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encer\Desktop\nnrg\carbon\"/>
    </mc:Choice>
  </mc:AlternateContent>
  <xr:revisionPtr revIDLastSave="0" documentId="13_ncr:1_{7CE51404-7036-4B42-BEE7-901638097307}" xr6:coauthVersionLast="46" xr6:coauthVersionMax="46" xr10:uidLastSave="{00000000-0000-0000-0000-000000000000}"/>
  <workbookProtection workbookAlgorithmName="SHA-512" workbookHashValue="P2J/inlnoshgTmK/WGbxt0VEOXUT5cfEuV9g6fUErbGFNXfN1+8wc09KtO+qoufBXyO1bUPwYBc0iisbv56F3Q==" workbookSaltValue="efpij9NIfgJe3r8iy1YDtw==" workbookSpinCount="100000" lockStructure="1"/>
  <bookViews>
    <workbookView xWindow="-108" yWindow="-108" windowWidth="23256" windowHeight="13176" tabRatio="863" firstSheet="3" activeTab="8" xr2:uid="{00000000-000D-0000-FFFF-FFFF00000000}"/>
  </bookViews>
  <sheets>
    <sheet name="Instructions" sheetId="27" r:id="rId1"/>
    <sheet name="Field_Data_Sheet" sheetId="36" r:id="rId2"/>
    <sheet name="Stand" sheetId="1" r:id="rId3"/>
    <sheet name="Tree" sheetId="2" r:id="rId4"/>
    <sheet name="Plot" sheetId="5" r:id="rId5"/>
    <sheet name="Merchantability" sheetId="24" r:id="rId6"/>
    <sheet name="Pre-Harvest Plots_rpt" sheetId="8" r:id="rId7"/>
    <sheet name="Post-Harvest Plots_rpt" sheetId="28" r:id="rId8"/>
    <sheet name="Stand_Biomass" sheetId="32" r:id="rId9"/>
    <sheet name="Stand_Carbon" sheetId="31" r:id="rId10"/>
    <sheet name="Species_rpt" sheetId="34" r:id="rId11"/>
    <sheet name="Volume_rpt" sheetId="35" r:id="rId12"/>
    <sheet name="Stand_Table" sheetId="13" r:id="rId13"/>
    <sheet name="Species Codes" sheetId="23" r:id="rId14"/>
    <sheet name="ESRI_MAPINFO_SHEET" sheetId="29" state="veryHidden" r:id="rId15"/>
  </sheets>
  <definedNames>
    <definedName name="_xlnm._FilterDatabase" localSheetId="4" hidden="1">Plot!$A$1:$D$199</definedName>
    <definedName name="_xlnm._FilterDatabase" localSheetId="6" hidden="1">'Pre-Harvest Plots_rpt'!$F$1:$F$1051</definedName>
    <definedName name="_xlnm._FilterDatabase" localSheetId="3" hidden="1">Tree!$A$1:$XEY$92</definedName>
    <definedName name="Lists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1" i="2" l="1"/>
  <c r="AA8" i="2"/>
  <c r="G4" i="32" l="1"/>
  <c r="B78" i="35" l="1"/>
  <c r="B40" i="35"/>
  <c r="G77" i="35"/>
  <c r="U77" i="35" s="1"/>
  <c r="H77" i="35"/>
  <c r="I77" i="35"/>
  <c r="J77" i="35"/>
  <c r="X77" i="35" s="1"/>
  <c r="K77" i="35"/>
  <c r="Y77" i="35" s="1"/>
  <c r="L77" i="35"/>
  <c r="Z77" i="35" s="1"/>
  <c r="M77" i="35"/>
  <c r="AA77" i="35" s="1"/>
  <c r="N77" i="35"/>
  <c r="AB77" i="35" s="1"/>
  <c r="F77" i="35"/>
  <c r="T77" i="35" s="1"/>
  <c r="F39" i="35"/>
  <c r="G39" i="35"/>
  <c r="B104" i="35"/>
  <c r="R104" i="35" s="1"/>
  <c r="B103" i="35"/>
  <c r="P103" i="35" s="1"/>
  <c r="B102" i="35"/>
  <c r="N102" i="35" s="1"/>
  <c r="B101" i="35"/>
  <c r="L101" i="35" s="1"/>
  <c r="B100" i="35"/>
  <c r="R100" i="35" s="1"/>
  <c r="B99" i="35"/>
  <c r="N99" i="35" s="1"/>
  <c r="B98" i="35"/>
  <c r="B97" i="35"/>
  <c r="R97" i="35" s="1"/>
  <c r="B96" i="35"/>
  <c r="Q96" i="35" s="1"/>
  <c r="B95" i="35"/>
  <c r="N95" i="35" s="1"/>
  <c r="B94" i="35"/>
  <c r="R94" i="35" s="1"/>
  <c r="B93" i="35"/>
  <c r="R93" i="35" s="1"/>
  <c r="B92" i="35"/>
  <c r="O92" i="35" s="1"/>
  <c r="B91" i="35"/>
  <c r="N91" i="35" s="1"/>
  <c r="B90" i="35"/>
  <c r="B89" i="35"/>
  <c r="R89" i="35" s="1"/>
  <c r="B88" i="35"/>
  <c r="Q88" i="35" s="1"/>
  <c r="B87" i="35"/>
  <c r="R87" i="35" s="1"/>
  <c r="B86" i="35"/>
  <c r="O86" i="35" s="1"/>
  <c r="B85" i="35"/>
  <c r="M85" i="35" s="1"/>
  <c r="B84" i="35"/>
  <c r="L84" i="35" s="1"/>
  <c r="B83" i="35"/>
  <c r="R83" i="35" s="1"/>
  <c r="B82" i="35"/>
  <c r="N82" i="35" s="1"/>
  <c r="B81" i="35"/>
  <c r="P81" i="35" s="1"/>
  <c r="B80" i="35"/>
  <c r="L80" i="35" s="1"/>
  <c r="B79" i="35"/>
  <c r="Q79" i="35" s="1"/>
  <c r="W77" i="35"/>
  <c r="V77" i="35"/>
  <c r="N84" i="35" l="1"/>
  <c r="Q84" i="35"/>
  <c r="D91" i="35"/>
  <c r="M84" i="35"/>
  <c r="H91" i="35"/>
  <c r="D95" i="35"/>
  <c r="K95" i="35"/>
  <c r="K97" i="35"/>
  <c r="O97" i="35"/>
  <c r="R86" i="35"/>
  <c r="I91" i="35"/>
  <c r="O95" i="35"/>
  <c r="O79" i="35"/>
  <c r="Q87" i="35"/>
  <c r="K91" i="35"/>
  <c r="Q95" i="35"/>
  <c r="L79" i="35"/>
  <c r="K96" i="35"/>
  <c r="Q101" i="35"/>
  <c r="K83" i="35"/>
  <c r="D87" i="35"/>
  <c r="M91" i="35"/>
  <c r="P95" i="35"/>
  <c r="G87" i="35"/>
  <c r="D84" i="35"/>
  <c r="G86" i="35"/>
  <c r="H87" i="35"/>
  <c r="G100" i="35"/>
  <c r="I83" i="35"/>
  <c r="F84" i="35"/>
  <c r="I86" i="35"/>
  <c r="I87" i="35"/>
  <c r="G84" i="35"/>
  <c r="L86" i="35"/>
  <c r="L87" i="35"/>
  <c r="G91" i="35"/>
  <c r="M101" i="35"/>
  <c r="Q86" i="35"/>
  <c r="M87" i="35"/>
  <c r="G102" i="35"/>
  <c r="H80" i="35"/>
  <c r="D83" i="35"/>
  <c r="O83" i="35"/>
  <c r="I89" i="35"/>
  <c r="I102" i="35"/>
  <c r="M83" i="35"/>
  <c r="G80" i="35"/>
  <c r="N83" i="35"/>
  <c r="H89" i="35"/>
  <c r="K94" i="35"/>
  <c r="I80" i="35"/>
  <c r="F83" i="35"/>
  <c r="P83" i="35"/>
  <c r="O102" i="35"/>
  <c r="D79" i="35"/>
  <c r="O80" i="35"/>
  <c r="G83" i="35"/>
  <c r="Q83" i="35"/>
  <c r="N87" i="35"/>
  <c r="O91" i="35"/>
  <c r="G95" i="35"/>
  <c r="K79" i="35"/>
  <c r="P80" i="35"/>
  <c r="H83" i="35"/>
  <c r="P87" i="35"/>
  <c r="P91" i="35"/>
  <c r="I95" i="35"/>
  <c r="F97" i="35"/>
  <c r="F101" i="35"/>
  <c r="O90" i="35"/>
  <c r="Q90" i="35"/>
  <c r="M79" i="35"/>
  <c r="D81" i="35"/>
  <c r="Q81" i="35"/>
  <c r="J85" i="35"/>
  <c r="K89" i="35"/>
  <c r="D90" i="35"/>
  <c r="R90" i="35"/>
  <c r="G92" i="35"/>
  <c r="D93" i="35"/>
  <c r="P93" i="35"/>
  <c r="M97" i="35"/>
  <c r="D99" i="35"/>
  <c r="P99" i="35"/>
  <c r="K100" i="35"/>
  <c r="O101" i="35"/>
  <c r="N79" i="35"/>
  <c r="J80" i="35"/>
  <c r="G81" i="35"/>
  <c r="R81" i="35"/>
  <c r="H84" i="35"/>
  <c r="K87" i="35"/>
  <c r="K88" i="35"/>
  <c r="L89" i="35"/>
  <c r="F90" i="35"/>
  <c r="L91" i="35"/>
  <c r="I92" i="35"/>
  <c r="G93" i="35"/>
  <c r="Q93" i="35"/>
  <c r="H95" i="35"/>
  <c r="D97" i="35"/>
  <c r="N97" i="35"/>
  <c r="G99" i="35"/>
  <c r="Q99" i="35"/>
  <c r="M100" i="35"/>
  <c r="D101" i="35"/>
  <c r="P101" i="35"/>
  <c r="Q102" i="35"/>
  <c r="H81" i="35"/>
  <c r="H93" i="35"/>
  <c r="P79" i="35"/>
  <c r="J82" i="35"/>
  <c r="K92" i="35"/>
  <c r="G90" i="35"/>
  <c r="J92" i="35"/>
  <c r="H99" i="35"/>
  <c r="N100" i="35"/>
  <c r="O89" i="35"/>
  <c r="G97" i="35"/>
  <c r="P97" i="35"/>
  <c r="I99" i="35"/>
  <c r="G101" i="35"/>
  <c r="G79" i="35"/>
  <c r="Q80" i="35"/>
  <c r="L81" i="35"/>
  <c r="K82" i="35"/>
  <c r="O84" i="35"/>
  <c r="D89" i="35"/>
  <c r="P89" i="35"/>
  <c r="J90" i="35"/>
  <c r="Q92" i="35"/>
  <c r="K93" i="35"/>
  <c r="I94" i="35"/>
  <c r="L95" i="35"/>
  <c r="H97" i="35"/>
  <c r="Q97" i="35"/>
  <c r="K99" i="35"/>
  <c r="D100" i="35"/>
  <c r="Q100" i="35"/>
  <c r="H101" i="35"/>
  <c r="I103" i="35"/>
  <c r="M89" i="35"/>
  <c r="F79" i="35"/>
  <c r="I81" i="35"/>
  <c r="I90" i="35"/>
  <c r="I93" i="35"/>
  <c r="O100" i="35"/>
  <c r="H79" i="35"/>
  <c r="F80" i="35"/>
  <c r="R80" i="35"/>
  <c r="M81" i="35"/>
  <c r="L83" i="35"/>
  <c r="P84" i="35"/>
  <c r="J86" i="35"/>
  <c r="F87" i="35"/>
  <c r="O87" i="35"/>
  <c r="G89" i="35"/>
  <c r="Q89" i="35"/>
  <c r="N90" i="35"/>
  <c r="Q91" i="35"/>
  <c r="R92" i="35"/>
  <c r="L93" i="35"/>
  <c r="J94" i="35"/>
  <c r="M95" i="35"/>
  <c r="I97" i="35"/>
  <c r="L99" i="35"/>
  <c r="F100" i="35"/>
  <c r="I101" i="35"/>
  <c r="Q103" i="35"/>
  <c r="O81" i="35"/>
  <c r="M99" i="35"/>
  <c r="M93" i="35"/>
  <c r="F92" i="35"/>
  <c r="O93" i="35"/>
  <c r="N94" i="35"/>
  <c r="L97" i="35"/>
  <c r="O99" i="35"/>
  <c r="I100" i="35"/>
  <c r="N101" i="35"/>
  <c r="N98" i="35"/>
  <c r="F98" i="35"/>
  <c r="L98" i="35"/>
  <c r="P98" i="35"/>
  <c r="H98" i="35"/>
  <c r="O98" i="35"/>
  <c r="K85" i="35"/>
  <c r="Q98" i="35"/>
  <c r="J79" i="35"/>
  <c r="R79" i="35"/>
  <c r="D80" i="35"/>
  <c r="N80" i="35"/>
  <c r="N81" i="35"/>
  <c r="F81" i="35"/>
  <c r="K81" i="35"/>
  <c r="I82" i="35"/>
  <c r="R82" i="35"/>
  <c r="K84" i="35"/>
  <c r="I85" i="35"/>
  <c r="R85" i="35"/>
  <c r="F86" i="35"/>
  <c r="J88" i="35"/>
  <c r="L90" i="35"/>
  <c r="P90" i="35"/>
  <c r="H90" i="35"/>
  <c r="M90" i="35"/>
  <c r="D92" i="35"/>
  <c r="G94" i="35"/>
  <c r="J96" i="35"/>
  <c r="M98" i="35"/>
  <c r="L82" i="35"/>
  <c r="L85" i="35"/>
  <c r="N88" i="35"/>
  <c r="N96" i="35"/>
  <c r="D98" i="35"/>
  <c r="R98" i="35"/>
  <c r="M82" i="35"/>
  <c r="P86" i="35"/>
  <c r="H86" i="35"/>
  <c r="K86" i="35"/>
  <c r="D88" i="35"/>
  <c r="O88" i="35"/>
  <c r="L94" i="35"/>
  <c r="P94" i="35"/>
  <c r="H94" i="35"/>
  <c r="M94" i="35"/>
  <c r="D96" i="35"/>
  <c r="O96" i="35"/>
  <c r="G98" i="35"/>
  <c r="M88" i="35"/>
  <c r="M96" i="35"/>
  <c r="D78" i="35"/>
  <c r="F88" i="35"/>
  <c r="F96" i="35"/>
  <c r="I98" i="35"/>
  <c r="P82" i="35"/>
  <c r="H82" i="35"/>
  <c r="N85" i="35"/>
  <c r="F85" i="35"/>
  <c r="P88" i="35"/>
  <c r="H88" i="35"/>
  <c r="L88" i="35"/>
  <c r="P96" i="35"/>
  <c r="H96" i="35"/>
  <c r="L96" i="35"/>
  <c r="D82" i="35"/>
  <c r="D85" i="35"/>
  <c r="O85" i="35"/>
  <c r="K80" i="35"/>
  <c r="F82" i="35"/>
  <c r="O82" i="35"/>
  <c r="I84" i="35"/>
  <c r="R84" i="35"/>
  <c r="G85" i="35"/>
  <c r="P85" i="35"/>
  <c r="M86" i="35"/>
  <c r="G88" i="35"/>
  <c r="R88" i="35"/>
  <c r="P92" i="35"/>
  <c r="H92" i="35"/>
  <c r="L92" i="35"/>
  <c r="M92" i="35"/>
  <c r="D94" i="35"/>
  <c r="O94" i="35"/>
  <c r="G96" i="35"/>
  <c r="R96" i="35"/>
  <c r="J98" i="35"/>
  <c r="I79" i="35"/>
  <c r="M80" i="35"/>
  <c r="J81" i="35"/>
  <c r="G82" i="35"/>
  <c r="Q82" i="35"/>
  <c r="J84" i="35"/>
  <c r="H85" i="35"/>
  <c r="Q85" i="35"/>
  <c r="D86" i="35"/>
  <c r="N86" i="35"/>
  <c r="I88" i="35"/>
  <c r="K90" i="35"/>
  <c r="N92" i="35"/>
  <c r="F94" i="35"/>
  <c r="Q94" i="35"/>
  <c r="I96" i="35"/>
  <c r="K98" i="35"/>
  <c r="K104" i="35"/>
  <c r="J83" i="35"/>
  <c r="J87" i="35"/>
  <c r="F89" i="35"/>
  <c r="N89" i="35"/>
  <c r="J91" i="35"/>
  <c r="R91" i="35"/>
  <c r="F93" i="35"/>
  <c r="N93" i="35"/>
  <c r="J95" i="35"/>
  <c r="R95" i="35"/>
  <c r="J99" i="35"/>
  <c r="R99" i="35"/>
  <c r="L100" i="35"/>
  <c r="H102" i="35"/>
  <c r="P102" i="35"/>
  <c r="J103" i="35"/>
  <c r="R103" i="35"/>
  <c r="L104" i="35"/>
  <c r="K103" i="35"/>
  <c r="D104" i="35"/>
  <c r="M104" i="35"/>
  <c r="J102" i="35"/>
  <c r="R102" i="35"/>
  <c r="L103" i="35"/>
  <c r="F104" i="35"/>
  <c r="N104" i="35"/>
  <c r="K102" i="35"/>
  <c r="D103" i="35"/>
  <c r="M103" i="35"/>
  <c r="G104" i="35"/>
  <c r="O104" i="35"/>
  <c r="J89" i="35"/>
  <c r="F91" i="35"/>
  <c r="J93" i="35"/>
  <c r="F95" i="35"/>
  <c r="J97" i="35"/>
  <c r="F99" i="35"/>
  <c r="H100" i="35"/>
  <c r="P100" i="35"/>
  <c r="J101" i="35"/>
  <c r="R101" i="35"/>
  <c r="L102" i="35"/>
  <c r="F103" i="35"/>
  <c r="N103" i="35"/>
  <c r="H104" i="35"/>
  <c r="P104" i="35"/>
  <c r="K101" i="35"/>
  <c r="D102" i="35"/>
  <c r="M102" i="35"/>
  <c r="G103" i="35"/>
  <c r="O103" i="35"/>
  <c r="I104" i="35"/>
  <c r="Q104" i="35"/>
  <c r="J100" i="35"/>
  <c r="F102" i="35"/>
  <c r="H103" i="35"/>
  <c r="J104" i="35"/>
  <c r="B66" i="35"/>
  <c r="R66" i="35" s="1"/>
  <c r="B65" i="35"/>
  <c r="N65" i="35" s="1"/>
  <c r="B64" i="35"/>
  <c r="L64" i="35" s="1"/>
  <c r="B63" i="35"/>
  <c r="R63" i="35" s="1"/>
  <c r="B62" i="35"/>
  <c r="R62" i="35" s="1"/>
  <c r="B61" i="35"/>
  <c r="N61" i="35" s="1"/>
  <c r="B60" i="35"/>
  <c r="L60" i="35" s="1"/>
  <c r="B59" i="35"/>
  <c r="R59" i="35" s="1"/>
  <c r="B58" i="35"/>
  <c r="R58" i="35" s="1"/>
  <c r="B57" i="35"/>
  <c r="N57" i="35" s="1"/>
  <c r="B56" i="35"/>
  <c r="L56" i="35" s="1"/>
  <c r="B55" i="35"/>
  <c r="R55" i="35" s="1"/>
  <c r="B54" i="35"/>
  <c r="B53" i="35"/>
  <c r="N53" i="35" s="1"/>
  <c r="B52" i="35"/>
  <c r="L52" i="35" s="1"/>
  <c r="B51" i="35"/>
  <c r="R51" i="35" s="1"/>
  <c r="B50" i="35"/>
  <c r="G50" i="35" s="1"/>
  <c r="B49" i="35"/>
  <c r="N49" i="35" s="1"/>
  <c r="B48" i="35"/>
  <c r="L48" i="35" s="1"/>
  <c r="B47" i="35"/>
  <c r="R47" i="35" s="1"/>
  <c r="B46" i="35"/>
  <c r="J46" i="35" s="1"/>
  <c r="B45" i="35"/>
  <c r="O45" i="35" s="1"/>
  <c r="B44" i="35"/>
  <c r="L44" i="35" s="1"/>
  <c r="B43" i="35"/>
  <c r="R43" i="35" s="1"/>
  <c r="B42" i="35"/>
  <c r="R42" i="35" s="1"/>
  <c r="B41" i="35"/>
  <c r="Q41" i="35" s="1"/>
  <c r="AB39" i="35"/>
  <c r="N39" i="35"/>
  <c r="M39" i="35"/>
  <c r="AA39" i="35" s="1"/>
  <c r="L39" i="35"/>
  <c r="K39" i="35"/>
  <c r="Y39" i="35" s="1"/>
  <c r="J39" i="35"/>
  <c r="X39" i="35" s="1"/>
  <c r="I39" i="35"/>
  <c r="W39" i="35" s="1"/>
  <c r="H39" i="35"/>
  <c r="V39" i="35" s="1"/>
  <c r="U39" i="35"/>
  <c r="T39" i="35"/>
  <c r="B30" i="35"/>
  <c r="R30" i="35" s="1"/>
  <c r="B29" i="35"/>
  <c r="Q29" i="35" s="1"/>
  <c r="B28" i="35"/>
  <c r="R28" i="35" s="1"/>
  <c r="B27" i="35"/>
  <c r="P27" i="35" s="1"/>
  <c r="B26" i="35"/>
  <c r="R26" i="35" s="1"/>
  <c r="B25" i="35"/>
  <c r="J25" i="35" s="1"/>
  <c r="B24" i="35"/>
  <c r="R24" i="35" s="1"/>
  <c r="B23" i="35"/>
  <c r="G23" i="35" s="1"/>
  <c r="B22" i="35"/>
  <c r="D22" i="35" s="1"/>
  <c r="B21" i="35"/>
  <c r="L21" i="35" s="1"/>
  <c r="B20" i="35"/>
  <c r="R20" i="35" s="1"/>
  <c r="B19" i="35"/>
  <c r="D19" i="35" s="1"/>
  <c r="B18" i="35"/>
  <c r="R18" i="35" s="1"/>
  <c r="B17" i="35"/>
  <c r="K17" i="35" s="1"/>
  <c r="B16" i="35"/>
  <c r="K16" i="35" s="1"/>
  <c r="B15" i="35"/>
  <c r="M15" i="35" s="1"/>
  <c r="B14" i="35"/>
  <c r="R14" i="35" s="1"/>
  <c r="B13" i="35"/>
  <c r="J13" i="35" s="1"/>
  <c r="B12" i="35"/>
  <c r="B11" i="35"/>
  <c r="O11" i="35" s="1"/>
  <c r="B10" i="35"/>
  <c r="R10" i="35" s="1"/>
  <c r="B9" i="35"/>
  <c r="I9" i="35" s="1"/>
  <c r="B8" i="35"/>
  <c r="Q8" i="35" s="1"/>
  <c r="B7" i="35"/>
  <c r="L7" i="35" s="1"/>
  <c r="B6" i="35"/>
  <c r="R6" i="35" s="1"/>
  <c r="B5" i="35"/>
  <c r="P5" i="35" s="1"/>
  <c r="B4" i="35"/>
  <c r="AB3" i="35"/>
  <c r="AA3" i="35"/>
  <c r="Z3" i="35"/>
  <c r="Y3" i="35"/>
  <c r="X3" i="35"/>
  <c r="W3" i="35"/>
  <c r="V3" i="35"/>
  <c r="U3" i="35"/>
  <c r="T3" i="35"/>
  <c r="L59" i="35" l="1"/>
  <c r="Q24" i="35"/>
  <c r="K55" i="35"/>
  <c r="O46" i="35"/>
  <c r="G47" i="35"/>
  <c r="H47" i="35"/>
  <c r="J45" i="35"/>
  <c r="K47" i="35"/>
  <c r="J8" i="35"/>
  <c r="Q45" i="35"/>
  <c r="Q47" i="35"/>
  <c r="M46" i="35"/>
  <c r="P47" i="35"/>
  <c r="L55" i="35"/>
  <c r="N59" i="35"/>
  <c r="I62" i="35"/>
  <c r="K62" i="35"/>
  <c r="H16" i="35"/>
  <c r="M53" i="35"/>
  <c r="P56" i="35"/>
  <c r="I60" i="35"/>
  <c r="M62" i="35"/>
  <c r="I16" i="35"/>
  <c r="H45" i="35"/>
  <c r="N48" i="35"/>
  <c r="O53" i="35"/>
  <c r="K60" i="35"/>
  <c r="R16" i="35"/>
  <c r="I45" i="35"/>
  <c r="F47" i="35"/>
  <c r="O48" i="35"/>
  <c r="N60" i="35"/>
  <c r="P63" i="35"/>
  <c r="P45" i="35"/>
  <c r="H55" i="35"/>
  <c r="K59" i="35"/>
  <c r="H61" i="35"/>
  <c r="K64" i="35"/>
  <c r="D14" i="35"/>
  <c r="N55" i="35"/>
  <c r="Q56" i="35"/>
  <c r="I61" i="35"/>
  <c r="Q62" i="35"/>
  <c r="F14" i="35"/>
  <c r="K61" i="35"/>
  <c r="G14" i="35"/>
  <c r="D56" i="35"/>
  <c r="M61" i="35"/>
  <c r="F63" i="35"/>
  <c r="H14" i="35"/>
  <c r="M23" i="35"/>
  <c r="F46" i="35"/>
  <c r="F56" i="35"/>
  <c r="H63" i="35"/>
  <c r="Q65" i="35"/>
  <c r="I14" i="35"/>
  <c r="G46" i="35"/>
  <c r="I47" i="35"/>
  <c r="G56" i="35"/>
  <c r="D59" i="35"/>
  <c r="O60" i="35"/>
  <c r="G62" i="35"/>
  <c r="I63" i="35"/>
  <c r="P14" i="35"/>
  <c r="H56" i="35"/>
  <c r="L63" i="35"/>
  <c r="Q14" i="35"/>
  <c r="N46" i="35"/>
  <c r="K51" i="35"/>
  <c r="I56" i="35"/>
  <c r="G61" i="35"/>
  <c r="O63" i="35"/>
  <c r="M19" i="35"/>
  <c r="N7" i="35"/>
  <c r="H10" i="35"/>
  <c r="K13" i="35"/>
  <c r="H15" i="35"/>
  <c r="J17" i="35"/>
  <c r="H21" i="35"/>
  <c r="H24" i="35"/>
  <c r="P29" i="35"/>
  <c r="G48" i="35"/>
  <c r="D49" i="35"/>
  <c r="M50" i="35"/>
  <c r="G53" i="35"/>
  <c r="O55" i="35"/>
  <c r="D58" i="35"/>
  <c r="P60" i="35"/>
  <c r="H65" i="35"/>
  <c r="H19" i="35"/>
  <c r="D21" i="35"/>
  <c r="Q21" i="35"/>
  <c r="G29" i="35"/>
  <c r="D43" i="35"/>
  <c r="P10" i="35"/>
  <c r="I19" i="35"/>
  <c r="F24" i="35"/>
  <c r="H29" i="35"/>
  <c r="I50" i="35"/>
  <c r="Q53" i="35"/>
  <c r="G10" i="35"/>
  <c r="Q10" i="35"/>
  <c r="I13" i="35"/>
  <c r="F15" i="35"/>
  <c r="O25" i="35"/>
  <c r="O43" i="35"/>
  <c r="D48" i="35"/>
  <c r="K50" i="35"/>
  <c r="D53" i="35"/>
  <c r="I10" i="35"/>
  <c r="M11" i="35"/>
  <c r="N13" i="35"/>
  <c r="L14" i="35"/>
  <c r="J15" i="35"/>
  <c r="N17" i="35"/>
  <c r="H20" i="35"/>
  <c r="I21" i="35"/>
  <c r="I23" i="35"/>
  <c r="I24" i="35"/>
  <c r="I44" i="35"/>
  <c r="R45" i="35"/>
  <c r="Q46" i="35"/>
  <c r="L47" i="35"/>
  <c r="H48" i="35"/>
  <c r="M49" i="35"/>
  <c r="R50" i="35"/>
  <c r="H53" i="35"/>
  <c r="D55" i="35"/>
  <c r="P55" i="35"/>
  <c r="K56" i="35"/>
  <c r="O58" i="35"/>
  <c r="D60" i="35"/>
  <c r="Q60" i="35"/>
  <c r="O61" i="35"/>
  <c r="Q63" i="35"/>
  <c r="I65" i="35"/>
  <c r="N10" i="35"/>
  <c r="D10" i="35"/>
  <c r="O10" i="35"/>
  <c r="D13" i="35"/>
  <c r="D50" i="35"/>
  <c r="F10" i="35"/>
  <c r="F13" i="35"/>
  <c r="F21" i="35"/>
  <c r="M25" i="35"/>
  <c r="M7" i="35"/>
  <c r="G24" i="35"/>
  <c r="K10" i="35"/>
  <c r="R13" i="35"/>
  <c r="N14" i="35"/>
  <c r="P15" i="35"/>
  <c r="I20" i="35"/>
  <c r="M21" i="35"/>
  <c r="J23" i="35"/>
  <c r="O24" i="35"/>
  <c r="I30" i="35"/>
  <c r="P41" i="35"/>
  <c r="N47" i="35"/>
  <c r="I48" i="35"/>
  <c r="O49" i="35"/>
  <c r="I53" i="35"/>
  <c r="F55" i="35"/>
  <c r="Q55" i="35"/>
  <c r="M56" i="35"/>
  <c r="Q58" i="35"/>
  <c r="F60" i="35"/>
  <c r="Q61" i="35"/>
  <c r="M65" i="35"/>
  <c r="P21" i="35"/>
  <c r="L6" i="35"/>
  <c r="R21" i="35"/>
  <c r="N43" i="35"/>
  <c r="Q48" i="35"/>
  <c r="D65" i="35"/>
  <c r="G21" i="35"/>
  <c r="O29" i="35"/>
  <c r="G65" i="35"/>
  <c r="L10" i="35"/>
  <c r="P12" i="35"/>
  <c r="O14" i="35"/>
  <c r="L18" i="35"/>
  <c r="L20" i="35"/>
  <c r="O21" i="35"/>
  <c r="L23" i="35"/>
  <c r="P24" i="35"/>
  <c r="L28" i="35"/>
  <c r="Q30" i="35"/>
  <c r="G45" i="35"/>
  <c r="D46" i="35"/>
  <c r="D47" i="35"/>
  <c r="O47" i="35"/>
  <c r="K48" i="35"/>
  <c r="Q49" i="35"/>
  <c r="I51" i="35"/>
  <c r="K53" i="35"/>
  <c r="G55" i="35"/>
  <c r="O56" i="35"/>
  <c r="G60" i="35"/>
  <c r="D61" i="35"/>
  <c r="G63" i="35"/>
  <c r="I64" i="35"/>
  <c r="O65" i="35"/>
  <c r="Q27" i="35"/>
  <c r="P57" i="35"/>
  <c r="D6" i="35"/>
  <c r="N6" i="35"/>
  <c r="O15" i="35"/>
  <c r="Q16" i="35"/>
  <c r="D18" i="35"/>
  <c r="N18" i="35"/>
  <c r="J19" i="35"/>
  <c r="K20" i="35"/>
  <c r="R25" i="35"/>
  <c r="F27" i="35"/>
  <c r="D28" i="35"/>
  <c r="N28" i="35"/>
  <c r="P49" i="35"/>
  <c r="L51" i="35"/>
  <c r="F52" i="35"/>
  <c r="P52" i="35"/>
  <c r="G57" i="35"/>
  <c r="M59" i="35"/>
  <c r="M64" i="35"/>
  <c r="G66" i="35"/>
  <c r="M28" i="35"/>
  <c r="O52" i="35"/>
  <c r="D57" i="35"/>
  <c r="O6" i="35"/>
  <c r="F18" i="35"/>
  <c r="O18" i="35"/>
  <c r="I27" i="35"/>
  <c r="O28" i="35"/>
  <c r="M51" i="35"/>
  <c r="N64" i="35"/>
  <c r="I66" i="35"/>
  <c r="G52" i="35"/>
  <c r="H57" i="35"/>
  <c r="G6" i="35"/>
  <c r="P6" i="35"/>
  <c r="Q15" i="35"/>
  <c r="G18" i="35"/>
  <c r="P18" i="35"/>
  <c r="O19" i="35"/>
  <c r="O20" i="35"/>
  <c r="Q23" i="35"/>
  <c r="K24" i="35"/>
  <c r="G25" i="35"/>
  <c r="J26" i="35"/>
  <c r="K27" i="35"/>
  <c r="G28" i="35"/>
  <c r="P28" i="35"/>
  <c r="F43" i="35"/>
  <c r="J44" i="35"/>
  <c r="M48" i="35"/>
  <c r="G49" i="35"/>
  <c r="D51" i="35"/>
  <c r="N51" i="35"/>
  <c r="H52" i="35"/>
  <c r="P53" i="35"/>
  <c r="I55" i="35"/>
  <c r="N56" i="35"/>
  <c r="I57" i="35"/>
  <c r="G58" i="35"/>
  <c r="F59" i="35"/>
  <c r="O59" i="35"/>
  <c r="H60" i="35"/>
  <c r="P61" i="35"/>
  <c r="O62" i="35"/>
  <c r="K63" i="35"/>
  <c r="D64" i="35"/>
  <c r="O64" i="35"/>
  <c r="K65" i="35"/>
  <c r="K66" i="35"/>
  <c r="H6" i="35"/>
  <c r="Q6" i="35"/>
  <c r="M10" i="35"/>
  <c r="O12" i="35"/>
  <c r="Q13" i="35"/>
  <c r="K14" i="35"/>
  <c r="D15" i="35"/>
  <c r="R15" i="35"/>
  <c r="I17" i="35"/>
  <c r="H18" i="35"/>
  <c r="Q18" i="35"/>
  <c r="R19" i="35"/>
  <c r="P20" i="35"/>
  <c r="J21" i="35"/>
  <c r="R23" i="35"/>
  <c r="L24" i="35"/>
  <c r="H25" i="35"/>
  <c r="O26" i="35"/>
  <c r="L27" i="35"/>
  <c r="H28" i="35"/>
  <c r="Q28" i="35"/>
  <c r="G43" i="35"/>
  <c r="M44" i="35"/>
  <c r="H49" i="35"/>
  <c r="F51" i="35"/>
  <c r="O51" i="35"/>
  <c r="I52" i="35"/>
  <c r="K57" i="35"/>
  <c r="I58" i="35"/>
  <c r="G59" i="35"/>
  <c r="P59" i="35"/>
  <c r="F64" i="35"/>
  <c r="P64" i="35"/>
  <c r="O66" i="35"/>
  <c r="N52" i="35"/>
  <c r="M6" i="35"/>
  <c r="M18" i="35"/>
  <c r="D27" i="35"/>
  <c r="F6" i="35"/>
  <c r="F28" i="35"/>
  <c r="Q52" i="35"/>
  <c r="I6" i="35"/>
  <c r="I18" i="35"/>
  <c r="Q20" i="35"/>
  <c r="M24" i="35"/>
  <c r="I25" i="35"/>
  <c r="Q26" i="35"/>
  <c r="M27" i="35"/>
  <c r="I28" i="35"/>
  <c r="L43" i="35"/>
  <c r="R44" i="35"/>
  <c r="I49" i="35"/>
  <c r="G51" i="35"/>
  <c r="P51" i="35"/>
  <c r="K52" i="35"/>
  <c r="M57" i="35"/>
  <c r="K58" i="35"/>
  <c r="H59" i="35"/>
  <c r="Q59" i="35"/>
  <c r="M63" i="35"/>
  <c r="G64" i="35"/>
  <c r="Q64" i="35"/>
  <c r="Q66" i="35"/>
  <c r="D52" i="35"/>
  <c r="Q57" i="35"/>
  <c r="K6" i="35"/>
  <c r="D7" i="35"/>
  <c r="M14" i="35"/>
  <c r="G15" i="35"/>
  <c r="G16" i="35"/>
  <c r="K18" i="35"/>
  <c r="G20" i="35"/>
  <c r="N21" i="35"/>
  <c r="D24" i="35"/>
  <c r="N24" i="35"/>
  <c r="N27" i="35"/>
  <c r="K28" i="35"/>
  <c r="J30" i="35"/>
  <c r="K41" i="35"/>
  <c r="M43" i="35"/>
  <c r="M47" i="35"/>
  <c r="F48" i="35"/>
  <c r="P48" i="35"/>
  <c r="K49" i="35"/>
  <c r="J50" i="35"/>
  <c r="H51" i="35"/>
  <c r="Q51" i="35"/>
  <c r="M52" i="35"/>
  <c r="M55" i="35"/>
  <c r="O57" i="35"/>
  <c r="M58" i="35"/>
  <c r="I59" i="35"/>
  <c r="M60" i="35"/>
  <c r="D62" i="35"/>
  <c r="D63" i="35"/>
  <c r="N63" i="35"/>
  <c r="H64" i="35"/>
  <c r="P65" i="35"/>
  <c r="D106" i="35"/>
  <c r="I5" i="35"/>
  <c r="R5" i="35"/>
  <c r="K7" i="35"/>
  <c r="I8" i="35"/>
  <c r="K9" i="35"/>
  <c r="J11" i="35"/>
  <c r="N12" i="35"/>
  <c r="F12" i="35"/>
  <c r="M12" i="35"/>
  <c r="D12" i="35"/>
  <c r="L12" i="35"/>
  <c r="N22" i="35"/>
  <c r="F22" i="35"/>
  <c r="R22" i="35"/>
  <c r="I22" i="35"/>
  <c r="Q22" i="35"/>
  <c r="H22" i="35"/>
  <c r="M22" i="35"/>
  <c r="P22" i="35"/>
  <c r="L5" i="35"/>
  <c r="F7" i="35"/>
  <c r="O7" i="35"/>
  <c r="L8" i="35"/>
  <c r="N9" i="35"/>
  <c r="D11" i="35"/>
  <c r="G12" i="35"/>
  <c r="Q12" i="35"/>
  <c r="J16" i="35"/>
  <c r="P17" i="35"/>
  <c r="H17" i="35"/>
  <c r="O17" i="35"/>
  <c r="G17" i="35"/>
  <c r="L17" i="35"/>
  <c r="G22" i="35"/>
  <c r="K5" i="35"/>
  <c r="K8" i="35"/>
  <c r="M9" i="35"/>
  <c r="L11" i="35"/>
  <c r="K11" i="35"/>
  <c r="D5" i="35"/>
  <c r="M5" i="35"/>
  <c r="G7" i="35"/>
  <c r="P7" i="35"/>
  <c r="O8" i="35"/>
  <c r="D9" i="35"/>
  <c r="Q9" i="35"/>
  <c r="F11" i="35"/>
  <c r="P11" i="35"/>
  <c r="H12" i="35"/>
  <c r="R12" i="35"/>
  <c r="I15" i="35"/>
  <c r="M17" i="35"/>
  <c r="L19" i="35"/>
  <c r="K19" i="35"/>
  <c r="N19" i="35"/>
  <c r="J22" i="35"/>
  <c r="N26" i="35"/>
  <c r="F26" i="35"/>
  <c r="M26" i="35"/>
  <c r="D26" i="35"/>
  <c r="P26" i="35"/>
  <c r="H26" i="35"/>
  <c r="L26" i="35"/>
  <c r="K26" i="35"/>
  <c r="G26" i="35"/>
  <c r="F5" i="35"/>
  <c r="N5" i="35"/>
  <c r="H7" i="35"/>
  <c r="Q7" i="35"/>
  <c r="D8" i="35"/>
  <c r="P8" i="35"/>
  <c r="F9" i="35"/>
  <c r="R9" i="35"/>
  <c r="G11" i="35"/>
  <c r="Q11" i="35"/>
  <c r="I12" i="35"/>
  <c r="N16" i="35"/>
  <c r="F16" i="35"/>
  <c r="M16" i="35"/>
  <c r="D16" i="35"/>
  <c r="L16" i="35"/>
  <c r="K22" i="35"/>
  <c r="D4" i="35"/>
  <c r="G5" i="35"/>
  <c r="O5" i="35"/>
  <c r="I7" i="35"/>
  <c r="R7" i="35"/>
  <c r="G8" i="35"/>
  <c r="H11" i="35"/>
  <c r="R11" i="35"/>
  <c r="J12" i="35"/>
  <c r="P13" i="35"/>
  <c r="H13" i="35"/>
  <c r="O13" i="35"/>
  <c r="G13" i="35"/>
  <c r="L13" i="35"/>
  <c r="O16" i="35"/>
  <c r="D17" i="35"/>
  <c r="Q17" i="35"/>
  <c r="F19" i="35"/>
  <c r="P19" i="35"/>
  <c r="L22" i="35"/>
  <c r="O30" i="35"/>
  <c r="G30" i="35"/>
  <c r="N30" i="35"/>
  <c r="F30" i="35"/>
  <c r="M30" i="35"/>
  <c r="D30" i="35"/>
  <c r="P30" i="35"/>
  <c r="H30" i="35"/>
  <c r="L30" i="35"/>
  <c r="K30" i="35"/>
  <c r="J5" i="35"/>
  <c r="P9" i="35"/>
  <c r="H9" i="35"/>
  <c r="O9" i="35"/>
  <c r="G9" i="35"/>
  <c r="L9" i="35"/>
  <c r="N8" i="35"/>
  <c r="F8" i="35"/>
  <c r="M8" i="35"/>
  <c r="N11" i="35"/>
  <c r="H5" i="35"/>
  <c r="Q5" i="35"/>
  <c r="J7" i="35"/>
  <c r="H8" i="35"/>
  <c r="R8" i="35"/>
  <c r="J9" i="35"/>
  <c r="I11" i="35"/>
  <c r="K12" i="35"/>
  <c r="M13" i="35"/>
  <c r="L15" i="35"/>
  <c r="K15" i="35"/>
  <c r="N15" i="35"/>
  <c r="P16" i="35"/>
  <c r="F17" i="35"/>
  <c r="R17" i="35"/>
  <c r="G19" i="35"/>
  <c r="Q19" i="35"/>
  <c r="O22" i="35"/>
  <c r="I26" i="35"/>
  <c r="Z39" i="35"/>
  <c r="J41" i="35"/>
  <c r="P42" i="35"/>
  <c r="H42" i="35"/>
  <c r="O42" i="35"/>
  <c r="G42" i="35"/>
  <c r="N42" i="35"/>
  <c r="F42" i="35"/>
  <c r="L42" i="35"/>
  <c r="Q42" i="35"/>
  <c r="I42" i="35"/>
  <c r="J20" i="35"/>
  <c r="P23" i="35"/>
  <c r="H23" i="35"/>
  <c r="K23" i="35"/>
  <c r="M29" i="35"/>
  <c r="D29" i="35"/>
  <c r="L29" i="35"/>
  <c r="K29" i="35"/>
  <c r="N29" i="35"/>
  <c r="F29" i="35"/>
  <c r="R29" i="35"/>
  <c r="N41" i="35"/>
  <c r="F41" i="35"/>
  <c r="M41" i="35"/>
  <c r="D41" i="35"/>
  <c r="L41" i="35"/>
  <c r="O41" i="35"/>
  <c r="G41" i="35"/>
  <c r="R41" i="35"/>
  <c r="D42" i="35"/>
  <c r="P54" i="35"/>
  <c r="H54" i="35"/>
  <c r="N54" i="35"/>
  <c r="F54" i="35"/>
  <c r="L54" i="35"/>
  <c r="K54" i="35"/>
  <c r="J54" i="35"/>
  <c r="I54" i="35"/>
  <c r="G54" i="35"/>
  <c r="R54" i="35"/>
  <c r="D54" i="35"/>
  <c r="M54" i="35"/>
  <c r="J42" i="35"/>
  <c r="D20" i="35"/>
  <c r="M20" i="35"/>
  <c r="D23" i="35"/>
  <c r="N23" i="35"/>
  <c r="L25" i="35"/>
  <c r="K25" i="35"/>
  <c r="N25" i="35"/>
  <c r="F25" i="35"/>
  <c r="P25" i="35"/>
  <c r="I29" i="35"/>
  <c r="H41" i="35"/>
  <c r="K42" i="35"/>
  <c r="O54" i="35"/>
  <c r="J6" i="35"/>
  <c r="J10" i="35"/>
  <c r="J14" i="35"/>
  <c r="J18" i="35"/>
  <c r="F20" i="35"/>
  <c r="N20" i="35"/>
  <c r="K21" i="35"/>
  <c r="F23" i="35"/>
  <c r="O23" i="35"/>
  <c r="D25" i="35"/>
  <c r="Q25" i="35"/>
  <c r="J29" i="35"/>
  <c r="I41" i="35"/>
  <c r="M42" i="35"/>
  <c r="Q54" i="35"/>
  <c r="J27" i="35"/>
  <c r="R27" i="35"/>
  <c r="D40" i="35"/>
  <c r="K43" i="35"/>
  <c r="H44" i="35"/>
  <c r="Q44" i="35"/>
  <c r="D45" i="35"/>
  <c r="L46" i="35"/>
  <c r="K44" i="35"/>
  <c r="G27" i="35"/>
  <c r="O27" i="35"/>
  <c r="H43" i="35"/>
  <c r="P43" i="35"/>
  <c r="D44" i="35"/>
  <c r="N44" i="35"/>
  <c r="N45" i="35"/>
  <c r="F45" i="35"/>
  <c r="K45" i="35"/>
  <c r="I46" i="35"/>
  <c r="R46" i="35"/>
  <c r="P50" i="35"/>
  <c r="H50" i="35"/>
  <c r="N50" i="35"/>
  <c r="F50" i="35"/>
  <c r="L50" i="35"/>
  <c r="O50" i="35"/>
  <c r="J24" i="35"/>
  <c r="H27" i="35"/>
  <c r="J28" i="35"/>
  <c r="I43" i="35"/>
  <c r="Q43" i="35"/>
  <c r="F44" i="35"/>
  <c r="O44" i="35"/>
  <c r="L45" i="35"/>
  <c r="Q50" i="35"/>
  <c r="J43" i="35"/>
  <c r="G44" i="35"/>
  <c r="P44" i="35"/>
  <c r="M45" i="35"/>
  <c r="P46" i="35"/>
  <c r="H46" i="35"/>
  <c r="K46" i="35"/>
  <c r="J49" i="35"/>
  <c r="R49" i="35"/>
  <c r="J53" i="35"/>
  <c r="R53" i="35"/>
  <c r="J57" i="35"/>
  <c r="R57" i="35"/>
  <c r="L58" i="35"/>
  <c r="J61" i="35"/>
  <c r="R61" i="35"/>
  <c r="L62" i="35"/>
  <c r="J65" i="35"/>
  <c r="R65" i="35"/>
  <c r="L66" i="35"/>
  <c r="D66" i="35"/>
  <c r="M66" i="35"/>
  <c r="J48" i="35"/>
  <c r="R48" i="35"/>
  <c r="L49" i="35"/>
  <c r="J52" i="35"/>
  <c r="R52" i="35"/>
  <c r="L53" i="35"/>
  <c r="J56" i="35"/>
  <c r="R56" i="35"/>
  <c r="L57" i="35"/>
  <c r="F58" i="35"/>
  <c r="N58" i="35"/>
  <c r="J60" i="35"/>
  <c r="R60" i="35"/>
  <c r="L61" i="35"/>
  <c r="F62" i="35"/>
  <c r="N62" i="35"/>
  <c r="J64" i="35"/>
  <c r="R64" i="35"/>
  <c r="L65" i="35"/>
  <c r="F66" i="35"/>
  <c r="N66" i="35"/>
  <c r="J47" i="35"/>
  <c r="F49" i="35"/>
  <c r="J51" i="35"/>
  <c r="F53" i="35"/>
  <c r="J55" i="35"/>
  <c r="F57" i="35"/>
  <c r="H58" i="35"/>
  <c r="P58" i="35"/>
  <c r="J59" i="35"/>
  <c r="F61" i="35"/>
  <c r="H62" i="35"/>
  <c r="P62" i="35"/>
  <c r="J63" i="35"/>
  <c r="F65" i="35"/>
  <c r="H66" i="35"/>
  <c r="P66" i="35"/>
  <c r="J58" i="35"/>
  <c r="J62" i="35"/>
  <c r="J66" i="35"/>
  <c r="D68" i="35" l="1"/>
  <c r="D32" i="35"/>
  <c r="AA9" i="34" l="1"/>
  <c r="AA17" i="34"/>
  <c r="AA21" i="34"/>
  <c r="AA25" i="34"/>
  <c r="AA29" i="34"/>
  <c r="N10" i="34"/>
  <c r="N18" i="34"/>
  <c r="N26" i="34"/>
  <c r="B62" i="34"/>
  <c r="B61" i="34"/>
  <c r="B60" i="34"/>
  <c r="C59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Y35" i="34"/>
  <c r="U35" i="34"/>
  <c r="S35" i="34"/>
  <c r="M35" i="34"/>
  <c r="Z35" i="34" s="1"/>
  <c r="L35" i="34"/>
  <c r="K35" i="34"/>
  <c r="X35" i="34" s="1"/>
  <c r="J35" i="34"/>
  <c r="W35" i="34" s="1"/>
  <c r="I35" i="34"/>
  <c r="V35" i="34" s="1"/>
  <c r="H35" i="34"/>
  <c r="G35" i="34"/>
  <c r="T35" i="34" s="1"/>
  <c r="F35" i="34"/>
  <c r="E35" i="34"/>
  <c r="R35" i="34" s="1"/>
  <c r="B30" i="34"/>
  <c r="AA30" i="34" s="1"/>
  <c r="B29" i="34"/>
  <c r="C61" i="34" s="1"/>
  <c r="C28" i="34"/>
  <c r="K28" i="34" s="1"/>
  <c r="B28" i="34"/>
  <c r="C60" i="34" s="1"/>
  <c r="B27" i="34"/>
  <c r="C27" i="34" s="1"/>
  <c r="K27" i="34" s="1"/>
  <c r="B26" i="34"/>
  <c r="C58" i="34" s="1"/>
  <c r="B25" i="34"/>
  <c r="C25" i="34" s="1"/>
  <c r="H25" i="34" s="1"/>
  <c r="B24" i="34"/>
  <c r="C56" i="34" s="1"/>
  <c r="C23" i="34"/>
  <c r="B23" i="34"/>
  <c r="AA23" i="34" s="1"/>
  <c r="B22" i="34"/>
  <c r="C54" i="34" s="1"/>
  <c r="B21" i="34"/>
  <c r="C21" i="34" s="1"/>
  <c r="H21" i="34" s="1"/>
  <c r="B20" i="34"/>
  <c r="C52" i="34" s="1"/>
  <c r="B19" i="34"/>
  <c r="AA19" i="34" s="1"/>
  <c r="B18" i="34"/>
  <c r="C50" i="34" s="1"/>
  <c r="B17" i="34"/>
  <c r="N17" i="34" s="1"/>
  <c r="B16" i="34"/>
  <c r="C48" i="34" s="1"/>
  <c r="B15" i="34"/>
  <c r="AA15" i="34" s="1"/>
  <c r="B14" i="34"/>
  <c r="AA14" i="34" s="1"/>
  <c r="B13" i="34"/>
  <c r="N13" i="34" s="1"/>
  <c r="B12" i="34"/>
  <c r="N12" i="34" s="1"/>
  <c r="B11" i="34"/>
  <c r="AA11" i="34" s="1"/>
  <c r="B10" i="34"/>
  <c r="C42" i="34" s="1"/>
  <c r="C9" i="34"/>
  <c r="H9" i="34" s="1"/>
  <c r="B9" i="34"/>
  <c r="C41" i="34" s="1"/>
  <c r="B8" i="34"/>
  <c r="C40" i="34" s="1"/>
  <c r="B7" i="34"/>
  <c r="C39" i="34" s="1"/>
  <c r="B6" i="34"/>
  <c r="C38" i="34" s="1"/>
  <c r="B5" i="34"/>
  <c r="C37" i="34" s="1"/>
  <c r="B4" i="34"/>
  <c r="Z3" i="34"/>
  <c r="Y3" i="34"/>
  <c r="X3" i="34"/>
  <c r="W3" i="34"/>
  <c r="V3" i="34"/>
  <c r="U3" i="34"/>
  <c r="T3" i="34"/>
  <c r="S3" i="34"/>
  <c r="R3" i="34"/>
  <c r="B63" i="32"/>
  <c r="B62" i="32"/>
  <c r="B61" i="32"/>
  <c r="B60" i="32"/>
  <c r="B59" i="32"/>
  <c r="B58" i="32"/>
  <c r="C57" i="32"/>
  <c r="B57" i="32"/>
  <c r="B56" i="32"/>
  <c r="B55" i="32"/>
  <c r="B54" i="32"/>
  <c r="B53" i="32"/>
  <c r="B52" i="32"/>
  <c r="C51" i="32"/>
  <c r="B51" i="32"/>
  <c r="B50" i="32"/>
  <c r="B49" i="32"/>
  <c r="B48" i="32"/>
  <c r="B47" i="32"/>
  <c r="B46" i="32"/>
  <c r="B45" i="32"/>
  <c r="B44" i="32"/>
  <c r="C43" i="32"/>
  <c r="B43" i="32"/>
  <c r="C42" i="32"/>
  <c r="B42" i="32"/>
  <c r="C41" i="32"/>
  <c r="B41" i="32"/>
  <c r="B40" i="32"/>
  <c r="B39" i="32"/>
  <c r="B38" i="32"/>
  <c r="B37" i="32"/>
  <c r="B30" i="32"/>
  <c r="C30" i="32" s="1"/>
  <c r="B29" i="32"/>
  <c r="B28" i="32"/>
  <c r="C27" i="32"/>
  <c r="B27" i="32"/>
  <c r="B26" i="32"/>
  <c r="B25" i="32"/>
  <c r="B24" i="32"/>
  <c r="B23" i="32"/>
  <c r="C22" i="32"/>
  <c r="B22" i="32"/>
  <c r="B21" i="32"/>
  <c r="C20" i="32"/>
  <c r="B20" i="32"/>
  <c r="B19" i="32"/>
  <c r="C18" i="32"/>
  <c r="B18" i="32"/>
  <c r="B17" i="32"/>
  <c r="B16" i="32"/>
  <c r="B15" i="32"/>
  <c r="B14" i="32"/>
  <c r="B13" i="32"/>
  <c r="B12" i="32"/>
  <c r="B11" i="32"/>
  <c r="B10" i="32"/>
  <c r="B9" i="32"/>
  <c r="B8" i="32"/>
  <c r="C8" i="32" s="1"/>
  <c r="C7" i="32"/>
  <c r="B7" i="32"/>
  <c r="B6" i="32"/>
  <c r="C6" i="32" s="1"/>
  <c r="C5" i="32"/>
  <c r="B5" i="32"/>
  <c r="B4" i="32"/>
  <c r="AE50" i="32" l="1"/>
  <c r="R50" i="32"/>
  <c r="T50" i="31" s="1"/>
  <c r="K50" i="32"/>
  <c r="S50" i="32"/>
  <c r="U50" i="31" s="1"/>
  <c r="T50" i="32"/>
  <c r="V50" i="31" s="1"/>
  <c r="E50" i="32"/>
  <c r="M50" i="32"/>
  <c r="N50" i="31" s="1"/>
  <c r="U50" i="32"/>
  <c r="W50" i="31" s="1"/>
  <c r="F50" i="32"/>
  <c r="AA50" i="32"/>
  <c r="N50" i="32"/>
  <c r="P50" i="31" s="1"/>
  <c r="W50" i="32"/>
  <c r="G50" i="32"/>
  <c r="AB50" i="32"/>
  <c r="O50" i="32"/>
  <c r="Q50" i="31" s="1"/>
  <c r="Y50" i="32"/>
  <c r="H50" i="32"/>
  <c r="AC50" i="32"/>
  <c r="P50" i="32"/>
  <c r="R50" i="31" s="1"/>
  <c r="I50" i="32"/>
  <c r="J50" i="32"/>
  <c r="AD50" i="32"/>
  <c r="AE50" i="31" s="1"/>
  <c r="Q50" i="32"/>
  <c r="S50" i="31" s="1"/>
  <c r="AA7" i="32"/>
  <c r="AB7" i="32"/>
  <c r="AC7" i="32"/>
  <c r="AD7" i="32"/>
  <c r="AE7" i="32"/>
  <c r="T7" i="32"/>
  <c r="E7" i="32"/>
  <c r="M7" i="32"/>
  <c r="N7" i="31" s="1"/>
  <c r="U7" i="32"/>
  <c r="W7" i="31" s="1"/>
  <c r="F7" i="32"/>
  <c r="R7" i="32"/>
  <c r="T7" i="31" s="1"/>
  <c r="N7" i="32"/>
  <c r="P7" i="31" s="1"/>
  <c r="W7" i="32"/>
  <c r="G7" i="32"/>
  <c r="O7" i="32"/>
  <c r="Q7" i="31" s="1"/>
  <c r="Y7" i="32"/>
  <c r="H7" i="32"/>
  <c r="P7" i="32"/>
  <c r="R7" i="31" s="1"/>
  <c r="I7" i="32"/>
  <c r="Q7" i="32"/>
  <c r="J7" i="32"/>
  <c r="S7" i="32"/>
  <c r="U7" i="31" s="1"/>
  <c r="K7" i="32"/>
  <c r="AD11" i="32"/>
  <c r="AE11" i="32"/>
  <c r="AA11" i="32"/>
  <c r="AB11" i="32"/>
  <c r="AC11" i="32"/>
  <c r="P11" i="32"/>
  <c r="I11" i="32"/>
  <c r="W11" i="32"/>
  <c r="Q11" i="32"/>
  <c r="J11" i="32"/>
  <c r="R11" i="32"/>
  <c r="K11" i="32"/>
  <c r="N11" i="32"/>
  <c r="S11" i="32"/>
  <c r="T11" i="32"/>
  <c r="E11" i="32"/>
  <c r="M11" i="32"/>
  <c r="U11" i="32"/>
  <c r="W11" i="31" s="1"/>
  <c r="F11" i="32"/>
  <c r="Y11" i="32"/>
  <c r="O11" i="32"/>
  <c r="H11" i="32"/>
  <c r="G11" i="32"/>
  <c r="AA17" i="32"/>
  <c r="AB17" i="32"/>
  <c r="AC17" i="32"/>
  <c r="AD17" i="32"/>
  <c r="AE17" i="31" s="1"/>
  <c r="AF17" i="31" s="1"/>
  <c r="AH17" i="31" s="1"/>
  <c r="N17" i="32"/>
  <c r="W17" i="32"/>
  <c r="G17" i="32"/>
  <c r="O17" i="32"/>
  <c r="Q17" i="31" s="1"/>
  <c r="Y17" i="32"/>
  <c r="H17" i="32"/>
  <c r="P17" i="32"/>
  <c r="I17" i="32"/>
  <c r="T17" i="32"/>
  <c r="Q17" i="32"/>
  <c r="J17" i="32"/>
  <c r="AE17" i="32"/>
  <c r="R17" i="32"/>
  <c r="T17" i="31" s="1"/>
  <c r="K17" i="32"/>
  <c r="S17" i="32"/>
  <c r="M17" i="32"/>
  <c r="U17" i="32"/>
  <c r="F17" i="32"/>
  <c r="E17" i="32"/>
  <c r="AA26" i="32"/>
  <c r="AB26" i="32"/>
  <c r="AC26" i="32"/>
  <c r="AD26" i="32"/>
  <c r="AE26" i="31" s="1"/>
  <c r="AG26" i="31" s="1"/>
  <c r="AE26" i="32"/>
  <c r="S26" i="32"/>
  <c r="H26" i="32"/>
  <c r="Q26" i="32"/>
  <c r="S26" i="31" s="1"/>
  <c r="T26" i="32"/>
  <c r="V26" i="31" s="1"/>
  <c r="I26" i="32"/>
  <c r="M26" i="32"/>
  <c r="U26" i="32"/>
  <c r="J26" i="32"/>
  <c r="K26" i="32"/>
  <c r="N26" i="32"/>
  <c r="P26" i="31" s="1"/>
  <c r="W26" i="32"/>
  <c r="O26" i="32"/>
  <c r="Y26" i="32"/>
  <c r="P26" i="32"/>
  <c r="E26" i="32"/>
  <c r="R26" i="32"/>
  <c r="F26" i="32"/>
  <c r="G26" i="32"/>
  <c r="AB41" i="32"/>
  <c r="M41" i="32"/>
  <c r="N41" i="31" s="1"/>
  <c r="U41" i="32"/>
  <c r="W41" i="31" s="1"/>
  <c r="J41" i="32"/>
  <c r="AC41" i="32"/>
  <c r="N41" i="32"/>
  <c r="P41" i="31" s="1"/>
  <c r="W41" i="32"/>
  <c r="K41" i="32"/>
  <c r="AD41" i="32"/>
  <c r="AE41" i="31" s="1"/>
  <c r="O41" i="32"/>
  <c r="Q41" i="31" s="1"/>
  <c r="Y41" i="32"/>
  <c r="AE41" i="32"/>
  <c r="P41" i="32"/>
  <c r="R41" i="31" s="1"/>
  <c r="E41" i="32"/>
  <c r="Q41" i="32"/>
  <c r="S41" i="31" s="1"/>
  <c r="F41" i="32"/>
  <c r="R41" i="32"/>
  <c r="T41" i="31" s="1"/>
  <c r="G41" i="32"/>
  <c r="S41" i="32"/>
  <c r="U41" i="31" s="1"/>
  <c r="H41" i="32"/>
  <c r="T41" i="32"/>
  <c r="V41" i="31" s="1"/>
  <c r="I41" i="32"/>
  <c r="AA41" i="32"/>
  <c r="AA54" i="32"/>
  <c r="N54" i="32"/>
  <c r="P54" i="31" s="1"/>
  <c r="W54" i="32"/>
  <c r="G54" i="32"/>
  <c r="AB54" i="32"/>
  <c r="O54" i="32"/>
  <c r="Q54" i="31" s="1"/>
  <c r="Y54" i="32"/>
  <c r="H54" i="32"/>
  <c r="AC54" i="32"/>
  <c r="P54" i="32"/>
  <c r="R54" i="31" s="1"/>
  <c r="I54" i="32"/>
  <c r="AD54" i="32"/>
  <c r="AE54" i="31" s="1"/>
  <c r="Q54" i="32"/>
  <c r="S54" i="31" s="1"/>
  <c r="J54" i="32"/>
  <c r="AE54" i="32"/>
  <c r="R54" i="32"/>
  <c r="T54" i="31" s="1"/>
  <c r="K54" i="32"/>
  <c r="S54" i="32"/>
  <c r="U54" i="31" s="1"/>
  <c r="T54" i="32"/>
  <c r="V54" i="31" s="1"/>
  <c r="E54" i="32"/>
  <c r="M54" i="32"/>
  <c r="N54" i="31" s="1"/>
  <c r="U54" i="32"/>
  <c r="W54" i="31" s="1"/>
  <c r="F54" i="32"/>
  <c r="AA62" i="32"/>
  <c r="N62" i="32"/>
  <c r="P62" i="31" s="1"/>
  <c r="W62" i="32"/>
  <c r="G62" i="32"/>
  <c r="AB62" i="32"/>
  <c r="O62" i="32"/>
  <c r="Q62" i="31" s="1"/>
  <c r="Y62" i="32"/>
  <c r="H62" i="32"/>
  <c r="AC62" i="32"/>
  <c r="P62" i="32"/>
  <c r="R62" i="31" s="1"/>
  <c r="I62" i="32"/>
  <c r="AD62" i="32"/>
  <c r="AE62" i="31" s="1"/>
  <c r="Q62" i="32"/>
  <c r="S62" i="31" s="1"/>
  <c r="J62" i="32"/>
  <c r="AE62" i="32"/>
  <c r="R62" i="32"/>
  <c r="T62" i="31" s="1"/>
  <c r="K62" i="32"/>
  <c r="S62" i="32"/>
  <c r="U62" i="31" s="1"/>
  <c r="T62" i="32"/>
  <c r="V62" i="31" s="1"/>
  <c r="E62" i="32"/>
  <c r="F62" i="32"/>
  <c r="M62" i="32"/>
  <c r="N62" i="31" s="1"/>
  <c r="U62" i="32"/>
  <c r="W62" i="31" s="1"/>
  <c r="AE29" i="32"/>
  <c r="R29" i="32"/>
  <c r="T29" i="31" s="1"/>
  <c r="K29" i="32"/>
  <c r="S29" i="32"/>
  <c r="U29" i="31" s="1"/>
  <c r="F29" i="32"/>
  <c r="T29" i="32"/>
  <c r="E29" i="32"/>
  <c r="P29" i="32"/>
  <c r="R29" i="31" s="1"/>
  <c r="M29" i="32"/>
  <c r="N29" i="31" s="1"/>
  <c r="O29" i="31" s="1"/>
  <c r="Z29" i="31" s="1"/>
  <c r="U29" i="32"/>
  <c r="W29" i="31" s="1"/>
  <c r="G29" i="32"/>
  <c r="AC29" i="32"/>
  <c r="AA29" i="32"/>
  <c r="N29" i="32"/>
  <c r="W29" i="32"/>
  <c r="AB29" i="32"/>
  <c r="O29" i="32"/>
  <c r="Q29" i="31" s="1"/>
  <c r="Y29" i="32"/>
  <c r="H29" i="32"/>
  <c r="Q29" i="32"/>
  <c r="J29" i="32"/>
  <c r="AD29" i="32"/>
  <c r="AE29" i="31" s="1"/>
  <c r="AF29" i="31" s="1"/>
  <c r="AH29" i="31" s="1"/>
  <c r="I29" i="32"/>
  <c r="AD55" i="32"/>
  <c r="AE55" i="31" s="1"/>
  <c r="AF55" i="31" s="1"/>
  <c r="AH55" i="31" s="1"/>
  <c r="S55" i="32"/>
  <c r="U55" i="31" s="1"/>
  <c r="H55" i="32"/>
  <c r="AE55" i="32"/>
  <c r="T55" i="32"/>
  <c r="V55" i="31" s="1"/>
  <c r="I55" i="32"/>
  <c r="M55" i="32"/>
  <c r="N55" i="31" s="1"/>
  <c r="U55" i="32"/>
  <c r="W55" i="31" s="1"/>
  <c r="J55" i="32"/>
  <c r="N55" i="32"/>
  <c r="P55" i="31" s="1"/>
  <c r="W55" i="32"/>
  <c r="K55" i="32"/>
  <c r="O55" i="32"/>
  <c r="Q55" i="31" s="1"/>
  <c r="Y55" i="32"/>
  <c r="AA55" i="32"/>
  <c r="P55" i="32"/>
  <c r="R55" i="31" s="1"/>
  <c r="E55" i="32"/>
  <c r="AB55" i="32"/>
  <c r="Q55" i="32"/>
  <c r="S55" i="31" s="1"/>
  <c r="F55" i="32"/>
  <c r="R55" i="32"/>
  <c r="T55" i="31" s="1"/>
  <c r="G55" i="32"/>
  <c r="AC55" i="32"/>
  <c r="AA9" i="32"/>
  <c r="AB9" i="32"/>
  <c r="AC9" i="32"/>
  <c r="AD9" i="32"/>
  <c r="N9" i="32"/>
  <c r="P9" i="31" s="1"/>
  <c r="W9" i="32"/>
  <c r="G9" i="32"/>
  <c r="O9" i="32"/>
  <c r="Y9" i="32"/>
  <c r="H9" i="32"/>
  <c r="P9" i="32"/>
  <c r="I9" i="32"/>
  <c r="Q9" i="32"/>
  <c r="S9" i="31" s="1"/>
  <c r="J9" i="32"/>
  <c r="R9" i="32"/>
  <c r="T9" i="31" s="1"/>
  <c r="K9" i="32"/>
  <c r="S9" i="32"/>
  <c r="U9" i="31" s="1"/>
  <c r="T9" i="32"/>
  <c r="E9" i="32"/>
  <c r="F9" i="32"/>
  <c r="AE9" i="32"/>
  <c r="M9" i="32"/>
  <c r="U9" i="32"/>
  <c r="W9" i="31" s="1"/>
  <c r="AA25" i="32"/>
  <c r="AB25" i="32"/>
  <c r="AC25" i="32"/>
  <c r="AD25" i="32"/>
  <c r="AE25" i="31" s="1"/>
  <c r="AF25" i="31" s="1"/>
  <c r="AH25" i="31" s="1"/>
  <c r="N25" i="32"/>
  <c r="P25" i="31" s="1"/>
  <c r="W25" i="32"/>
  <c r="G25" i="32"/>
  <c r="K25" i="32"/>
  <c r="AE25" i="32"/>
  <c r="O25" i="32"/>
  <c r="Y25" i="32"/>
  <c r="H25" i="32"/>
  <c r="J25" i="32"/>
  <c r="T25" i="32"/>
  <c r="V25" i="31" s="1"/>
  <c r="P25" i="32"/>
  <c r="R25" i="31" s="1"/>
  <c r="I25" i="32"/>
  <c r="Q25" i="32"/>
  <c r="S25" i="31" s="1"/>
  <c r="R25" i="32"/>
  <c r="S25" i="32"/>
  <c r="M25" i="32"/>
  <c r="E25" i="32"/>
  <c r="U25" i="32"/>
  <c r="F25" i="32"/>
  <c r="C29" i="32"/>
  <c r="V29" i="32" s="1" a="1"/>
  <c r="V29" i="32" s="1"/>
  <c r="X29" i="31" s="1"/>
  <c r="AA46" i="32"/>
  <c r="N46" i="32"/>
  <c r="P46" i="31" s="1"/>
  <c r="W46" i="32"/>
  <c r="G46" i="32"/>
  <c r="AB46" i="32"/>
  <c r="O46" i="32"/>
  <c r="Q46" i="31" s="1"/>
  <c r="Y46" i="32"/>
  <c r="H46" i="32"/>
  <c r="AC46" i="32"/>
  <c r="P46" i="32"/>
  <c r="R46" i="31" s="1"/>
  <c r="I46" i="32"/>
  <c r="AD46" i="32"/>
  <c r="Q46" i="32"/>
  <c r="S46" i="31" s="1"/>
  <c r="J46" i="32"/>
  <c r="AE46" i="32"/>
  <c r="R46" i="32"/>
  <c r="T46" i="31" s="1"/>
  <c r="K46" i="32"/>
  <c r="S46" i="32"/>
  <c r="U46" i="31" s="1"/>
  <c r="T46" i="32"/>
  <c r="V46" i="31" s="1"/>
  <c r="E46" i="32"/>
  <c r="M46" i="32"/>
  <c r="N46" i="31" s="1"/>
  <c r="F46" i="32"/>
  <c r="U46" i="32"/>
  <c r="W46" i="31" s="1"/>
  <c r="C50" i="32"/>
  <c r="X50" i="32" s="1" a="1"/>
  <c r="X50" i="32" s="1"/>
  <c r="C55" i="32"/>
  <c r="AE58" i="32"/>
  <c r="R58" i="32"/>
  <c r="T58" i="31" s="1"/>
  <c r="K58" i="32"/>
  <c r="S58" i="32"/>
  <c r="U58" i="31" s="1"/>
  <c r="T58" i="32"/>
  <c r="V58" i="31" s="1"/>
  <c r="E58" i="32"/>
  <c r="M58" i="32"/>
  <c r="N58" i="31" s="1"/>
  <c r="U58" i="32"/>
  <c r="W58" i="31" s="1"/>
  <c r="F58" i="32"/>
  <c r="AA58" i="32"/>
  <c r="N58" i="32"/>
  <c r="P58" i="31" s="1"/>
  <c r="W58" i="32"/>
  <c r="G58" i="32"/>
  <c r="AB58" i="32"/>
  <c r="O58" i="32"/>
  <c r="Q58" i="31" s="1"/>
  <c r="Y58" i="32"/>
  <c r="H58" i="32"/>
  <c r="AC58" i="32"/>
  <c r="P58" i="32"/>
  <c r="R58" i="31" s="1"/>
  <c r="I58" i="32"/>
  <c r="J58" i="32"/>
  <c r="AD58" i="32"/>
  <c r="Q58" i="32"/>
  <c r="S58" i="31" s="1"/>
  <c r="AD63" i="32"/>
  <c r="AE63" i="31" s="1"/>
  <c r="AF63" i="31" s="1"/>
  <c r="AH63" i="31" s="1"/>
  <c r="S63" i="32"/>
  <c r="U63" i="31" s="1"/>
  <c r="H63" i="32"/>
  <c r="AE63" i="32"/>
  <c r="T63" i="32"/>
  <c r="V63" i="31" s="1"/>
  <c r="I63" i="32"/>
  <c r="M63" i="32"/>
  <c r="N63" i="31" s="1"/>
  <c r="U63" i="32"/>
  <c r="W63" i="31" s="1"/>
  <c r="J63" i="32"/>
  <c r="N63" i="32"/>
  <c r="P63" i="31" s="1"/>
  <c r="W63" i="32"/>
  <c r="K63" i="32"/>
  <c r="O63" i="32"/>
  <c r="Q63" i="31" s="1"/>
  <c r="Y63" i="32"/>
  <c r="AA63" i="32"/>
  <c r="P63" i="32"/>
  <c r="R63" i="31" s="1"/>
  <c r="E63" i="32"/>
  <c r="AB63" i="32"/>
  <c r="Q63" i="32"/>
  <c r="S63" i="31" s="1"/>
  <c r="F63" i="32"/>
  <c r="AC63" i="32"/>
  <c r="G63" i="32"/>
  <c r="R63" i="32"/>
  <c r="T63" i="31" s="1"/>
  <c r="S6" i="31"/>
  <c r="AE6" i="32"/>
  <c r="AA6" i="32"/>
  <c r="AB6" i="32"/>
  <c r="AC6" i="32"/>
  <c r="O6" i="32"/>
  <c r="Y6" i="32"/>
  <c r="M6" i="32"/>
  <c r="N6" i="31" s="1"/>
  <c r="P6" i="32"/>
  <c r="R6" i="31" s="1"/>
  <c r="E6" i="32"/>
  <c r="Q6" i="32"/>
  <c r="F6" i="32"/>
  <c r="R6" i="32"/>
  <c r="T6" i="31" s="1"/>
  <c r="G6" i="32"/>
  <c r="S6" i="32"/>
  <c r="U6" i="31" s="1"/>
  <c r="H6" i="32"/>
  <c r="AD6" i="32"/>
  <c r="AE6" i="31" s="1"/>
  <c r="T6" i="32"/>
  <c r="I6" i="32"/>
  <c r="U6" i="32"/>
  <c r="W6" i="31" s="1"/>
  <c r="J6" i="32"/>
  <c r="N6" i="32"/>
  <c r="K6" i="32"/>
  <c r="W6" i="32"/>
  <c r="AA18" i="32"/>
  <c r="AB18" i="32"/>
  <c r="AC18" i="32"/>
  <c r="AD18" i="32"/>
  <c r="AE18" i="31" s="1"/>
  <c r="AF18" i="31" s="1"/>
  <c r="AH18" i="31" s="1"/>
  <c r="AE18" i="32"/>
  <c r="S18" i="32"/>
  <c r="H18" i="32"/>
  <c r="T18" i="32"/>
  <c r="I18" i="32"/>
  <c r="Q18" i="32"/>
  <c r="S18" i="31" s="1"/>
  <c r="M18" i="32"/>
  <c r="N18" i="31" s="1"/>
  <c r="O18" i="31" s="1"/>
  <c r="Z18" i="31" s="1"/>
  <c r="U18" i="32"/>
  <c r="W18" i="31" s="1"/>
  <c r="J18" i="32"/>
  <c r="N18" i="32"/>
  <c r="W18" i="32"/>
  <c r="K18" i="32"/>
  <c r="O18" i="32"/>
  <c r="Q18" i="31" s="1"/>
  <c r="Y18" i="32"/>
  <c r="P18" i="32"/>
  <c r="R18" i="31" s="1"/>
  <c r="E18" i="32"/>
  <c r="F18" i="32"/>
  <c r="G18" i="32"/>
  <c r="R18" i="32"/>
  <c r="T18" i="31" s="1"/>
  <c r="AA20" i="32"/>
  <c r="AB20" i="32"/>
  <c r="AC20" i="32"/>
  <c r="AD20" i="32"/>
  <c r="AE20" i="31" s="1"/>
  <c r="AF20" i="31" s="1"/>
  <c r="AH20" i="31" s="1"/>
  <c r="AE20" i="32"/>
  <c r="M20" i="32"/>
  <c r="U20" i="32"/>
  <c r="J20" i="32"/>
  <c r="N20" i="32"/>
  <c r="W20" i="32"/>
  <c r="K20" i="32"/>
  <c r="E20" i="32"/>
  <c r="F20" i="32"/>
  <c r="O20" i="32"/>
  <c r="Y20" i="32"/>
  <c r="S20" i="32"/>
  <c r="P20" i="32"/>
  <c r="R20" i="31" s="1"/>
  <c r="Q20" i="32"/>
  <c r="S20" i="31" s="1"/>
  <c r="R20" i="32"/>
  <c r="T20" i="31" s="1"/>
  <c r="G20" i="32"/>
  <c r="T20" i="32"/>
  <c r="V20" i="31" s="1"/>
  <c r="I20" i="32"/>
  <c r="H20" i="32"/>
  <c r="AE22" i="32"/>
  <c r="AA22" i="32"/>
  <c r="AB22" i="32"/>
  <c r="AC22" i="32"/>
  <c r="O22" i="32"/>
  <c r="Q22" i="31" s="1"/>
  <c r="Y22" i="32"/>
  <c r="G22" i="32"/>
  <c r="M22" i="32"/>
  <c r="N22" i="31" s="1"/>
  <c r="P22" i="32"/>
  <c r="R22" i="31" s="1"/>
  <c r="E22" i="32"/>
  <c r="Q22" i="32"/>
  <c r="F22" i="32"/>
  <c r="R22" i="32"/>
  <c r="T22" i="31" s="1"/>
  <c r="U22" i="32"/>
  <c r="W22" i="31" s="1"/>
  <c r="S22" i="32"/>
  <c r="U22" i="31" s="1"/>
  <c r="H22" i="32"/>
  <c r="T22" i="32"/>
  <c r="I22" i="32"/>
  <c r="N22" i="32"/>
  <c r="P22" i="31" s="1"/>
  <c r="J22" i="32"/>
  <c r="K22" i="32"/>
  <c r="W22" i="32"/>
  <c r="AD22" i="32"/>
  <c r="AE22" i="31" s="1"/>
  <c r="AE42" i="32"/>
  <c r="R42" i="32"/>
  <c r="T42" i="31" s="1"/>
  <c r="K42" i="32"/>
  <c r="S42" i="32"/>
  <c r="U42" i="31" s="1"/>
  <c r="T42" i="32"/>
  <c r="V42" i="31" s="1"/>
  <c r="E42" i="32"/>
  <c r="M42" i="32"/>
  <c r="N42" i="31" s="1"/>
  <c r="U42" i="32"/>
  <c r="W42" i="31" s="1"/>
  <c r="F42" i="32"/>
  <c r="AA42" i="32"/>
  <c r="N42" i="32"/>
  <c r="P42" i="31" s="1"/>
  <c r="W42" i="32"/>
  <c r="G42" i="32"/>
  <c r="AB42" i="32"/>
  <c r="O42" i="32"/>
  <c r="Q42" i="31" s="1"/>
  <c r="Y42" i="32"/>
  <c r="H42" i="32"/>
  <c r="AC42" i="32"/>
  <c r="P42" i="32"/>
  <c r="R42" i="31" s="1"/>
  <c r="I42" i="32"/>
  <c r="Q42" i="32"/>
  <c r="S42" i="31" s="1"/>
  <c r="J42" i="32"/>
  <c r="AD42" i="32"/>
  <c r="AE42" i="31" s="1"/>
  <c r="C46" i="32"/>
  <c r="O51" i="32"/>
  <c r="Q51" i="31" s="1"/>
  <c r="Y51" i="32"/>
  <c r="AA51" i="32"/>
  <c r="P51" i="32"/>
  <c r="R51" i="31" s="1"/>
  <c r="E51" i="32"/>
  <c r="AB51" i="32"/>
  <c r="Q51" i="32"/>
  <c r="S51" i="31" s="1"/>
  <c r="F51" i="32"/>
  <c r="AC51" i="32"/>
  <c r="R51" i="32"/>
  <c r="T51" i="31" s="1"/>
  <c r="G51" i="32"/>
  <c r="AD51" i="32"/>
  <c r="S51" i="32"/>
  <c r="U51" i="31" s="1"/>
  <c r="H51" i="32"/>
  <c r="AE51" i="32"/>
  <c r="T51" i="32"/>
  <c r="V51" i="31" s="1"/>
  <c r="I51" i="32"/>
  <c r="M51" i="32"/>
  <c r="N51" i="31" s="1"/>
  <c r="U51" i="32"/>
  <c r="W51" i="31" s="1"/>
  <c r="J51" i="32"/>
  <c r="K51" i="32"/>
  <c r="W51" i="32"/>
  <c r="N51" i="32"/>
  <c r="P51" i="31" s="1"/>
  <c r="C58" i="32"/>
  <c r="C63" i="32"/>
  <c r="O30" i="32"/>
  <c r="Q30" i="31" s="1"/>
  <c r="Y30" i="32"/>
  <c r="H30" i="32"/>
  <c r="U30" i="32"/>
  <c r="W30" i="31" s="1"/>
  <c r="AA30" i="32"/>
  <c r="P30" i="32"/>
  <c r="R30" i="31" s="1"/>
  <c r="E30" i="32"/>
  <c r="AB30" i="32"/>
  <c r="Q30" i="32"/>
  <c r="S30" i="31" s="1"/>
  <c r="F30" i="32"/>
  <c r="G30" i="32"/>
  <c r="AC30" i="32"/>
  <c r="R30" i="32"/>
  <c r="T30" i="31" s="1"/>
  <c r="M30" i="32"/>
  <c r="N30" i="31" s="1"/>
  <c r="O30" i="31" s="1"/>
  <c r="Z30" i="31" s="1"/>
  <c r="AD30" i="32"/>
  <c r="AE30" i="31" s="1"/>
  <c r="S30" i="32"/>
  <c r="U30" i="31" s="1"/>
  <c r="AE30" i="32"/>
  <c r="T30" i="32"/>
  <c r="V30" i="31" s="1"/>
  <c r="I30" i="32"/>
  <c r="N30" i="32"/>
  <c r="P30" i="31" s="1"/>
  <c r="W30" i="32"/>
  <c r="J30" i="32"/>
  <c r="K30" i="32"/>
  <c r="AD19" i="32"/>
  <c r="AE19" i="31" s="1"/>
  <c r="AE19" i="32"/>
  <c r="AA19" i="32"/>
  <c r="AB19" i="32"/>
  <c r="P19" i="32"/>
  <c r="I19" i="32"/>
  <c r="E19" i="32"/>
  <c r="Q19" i="32"/>
  <c r="S19" i="31" s="1"/>
  <c r="J19" i="32"/>
  <c r="R19" i="32"/>
  <c r="T19" i="31" s="1"/>
  <c r="K19" i="32"/>
  <c r="S19" i="32"/>
  <c r="T19" i="32"/>
  <c r="V19" i="31" s="1"/>
  <c r="W19" i="32"/>
  <c r="AC19" i="32"/>
  <c r="M19" i="32"/>
  <c r="N19" i="31" s="1"/>
  <c r="Y19" i="31" s="1"/>
  <c r="U19" i="32"/>
  <c r="F19" i="32"/>
  <c r="N19" i="32"/>
  <c r="G19" i="32"/>
  <c r="H19" i="32"/>
  <c r="Y19" i="32"/>
  <c r="O19" i="32"/>
  <c r="Q19" i="31" s="1"/>
  <c r="AB28" i="32"/>
  <c r="M28" i="32"/>
  <c r="N28" i="31" s="1"/>
  <c r="U28" i="32"/>
  <c r="J28" i="32"/>
  <c r="E28" i="32"/>
  <c r="AC28" i="32"/>
  <c r="N28" i="32"/>
  <c r="W28" i="32"/>
  <c r="K28" i="32"/>
  <c r="F28" i="32"/>
  <c r="S28" i="32"/>
  <c r="AD28" i="32"/>
  <c r="O28" i="32"/>
  <c r="Y28" i="32"/>
  <c r="AE28" i="32"/>
  <c r="P28" i="32"/>
  <c r="R28" i="31" s="1"/>
  <c r="Q28" i="32"/>
  <c r="R28" i="32"/>
  <c r="T28" i="31" s="1"/>
  <c r="G28" i="32"/>
  <c r="AA28" i="32"/>
  <c r="T28" i="32"/>
  <c r="V28" i="31" s="1"/>
  <c r="H28" i="32"/>
  <c r="I28" i="32"/>
  <c r="AD47" i="32"/>
  <c r="AE47" i="31" s="1"/>
  <c r="AF47" i="31" s="1"/>
  <c r="AH47" i="31" s="1"/>
  <c r="S47" i="32"/>
  <c r="U47" i="31" s="1"/>
  <c r="H47" i="32"/>
  <c r="AE47" i="32"/>
  <c r="T47" i="32"/>
  <c r="V47" i="31" s="1"/>
  <c r="I47" i="32"/>
  <c r="M47" i="32"/>
  <c r="N47" i="31" s="1"/>
  <c r="U47" i="32"/>
  <c r="W47" i="31" s="1"/>
  <c r="J47" i="32"/>
  <c r="N47" i="32"/>
  <c r="P47" i="31" s="1"/>
  <c r="W47" i="32"/>
  <c r="K47" i="32"/>
  <c r="O47" i="32"/>
  <c r="Q47" i="31" s="1"/>
  <c r="Y47" i="32"/>
  <c r="AA47" i="32"/>
  <c r="P47" i="32"/>
  <c r="R47" i="31" s="1"/>
  <c r="E47" i="32"/>
  <c r="AB47" i="32"/>
  <c r="Q47" i="32"/>
  <c r="S47" i="31" s="1"/>
  <c r="F47" i="32"/>
  <c r="R47" i="32"/>
  <c r="T47" i="31" s="1"/>
  <c r="AC47" i="32"/>
  <c r="G47" i="32"/>
  <c r="P56" i="32"/>
  <c r="R56" i="31" s="1"/>
  <c r="I56" i="32"/>
  <c r="Q56" i="32"/>
  <c r="S56" i="31" s="1"/>
  <c r="J56" i="32"/>
  <c r="AA56" i="32"/>
  <c r="R56" i="32"/>
  <c r="T56" i="31" s="1"/>
  <c r="K56" i="32"/>
  <c r="AB56" i="32"/>
  <c r="S56" i="32"/>
  <c r="U56" i="31" s="1"/>
  <c r="AC56" i="32"/>
  <c r="T56" i="32"/>
  <c r="V56" i="31" s="1"/>
  <c r="E56" i="32"/>
  <c r="AD56" i="32"/>
  <c r="AE56" i="31" s="1"/>
  <c r="M56" i="32"/>
  <c r="N56" i="31" s="1"/>
  <c r="U56" i="32"/>
  <c r="W56" i="31" s="1"/>
  <c r="F56" i="32"/>
  <c r="AE56" i="32"/>
  <c r="N56" i="32"/>
  <c r="P56" i="31" s="1"/>
  <c r="W56" i="32"/>
  <c r="G56" i="32"/>
  <c r="H56" i="32"/>
  <c r="O56" i="32"/>
  <c r="Q56" i="31" s="1"/>
  <c r="Y56" i="32"/>
  <c r="O59" i="32"/>
  <c r="Q59" i="31" s="1"/>
  <c r="Y59" i="32"/>
  <c r="AA59" i="32"/>
  <c r="P59" i="32"/>
  <c r="R59" i="31" s="1"/>
  <c r="E59" i="32"/>
  <c r="AB59" i="32"/>
  <c r="Q59" i="32"/>
  <c r="S59" i="31" s="1"/>
  <c r="F59" i="32"/>
  <c r="AC59" i="32"/>
  <c r="R59" i="32"/>
  <c r="T59" i="31" s="1"/>
  <c r="G59" i="32"/>
  <c r="AD59" i="32"/>
  <c r="S59" i="32"/>
  <c r="U59" i="31" s="1"/>
  <c r="H59" i="32"/>
  <c r="AE59" i="32"/>
  <c r="T59" i="32"/>
  <c r="V59" i="31" s="1"/>
  <c r="I59" i="32"/>
  <c r="M59" i="32"/>
  <c r="N59" i="31" s="1"/>
  <c r="U59" i="32"/>
  <c r="W59" i="31" s="1"/>
  <c r="J59" i="32"/>
  <c r="N59" i="32"/>
  <c r="P59" i="31" s="1"/>
  <c r="W59" i="32"/>
  <c r="K59" i="32"/>
  <c r="AB21" i="32"/>
  <c r="AC21" i="32"/>
  <c r="AD21" i="32"/>
  <c r="AE21" i="32"/>
  <c r="R21" i="32"/>
  <c r="K21" i="32"/>
  <c r="S21" i="32"/>
  <c r="P21" i="32"/>
  <c r="T21" i="32"/>
  <c r="E21" i="32"/>
  <c r="G21" i="32"/>
  <c r="M21" i="32"/>
  <c r="N21" i="31" s="1"/>
  <c r="O21" i="31" s="1"/>
  <c r="Z21" i="31" s="1"/>
  <c r="U21" i="32"/>
  <c r="F21" i="32"/>
  <c r="N21" i="32"/>
  <c r="W21" i="32"/>
  <c r="O21" i="32"/>
  <c r="Q21" i="31" s="1"/>
  <c r="Y21" i="32"/>
  <c r="H21" i="32"/>
  <c r="AA21" i="32"/>
  <c r="I21" i="32"/>
  <c r="J21" i="32"/>
  <c r="Q21" i="32"/>
  <c r="AB13" i="32"/>
  <c r="AC13" i="32"/>
  <c r="AD13" i="32"/>
  <c r="AE13" i="31" s="1"/>
  <c r="AF13" i="31" s="1"/>
  <c r="AH13" i="31" s="1"/>
  <c r="AE13" i="32"/>
  <c r="R13" i="32"/>
  <c r="T13" i="31" s="1"/>
  <c r="K13" i="32"/>
  <c r="AA13" i="32"/>
  <c r="S13" i="32"/>
  <c r="T13" i="32"/>
  <c r="E13" i="32"/>
  <c r="M13" i="32"/>
  <c r="N13" i="31" s="1"/>
  <c r="O13" i="31" s="1"/>
  <c r="Z13" i="31" s="1"/>
  <c r="U13" i="32"/>
  <c r="W13" i="31" s="1"/>
  <c r="F13" i="32"/>
  <c r="N13" i="32"/>
  <c r="W13" i="32"/>
  <c r="G13" i="32"/>
  <c r="O13" i="32"/>
  <c r="Q13" i="31" s="1"/>
  <c r="Y13" i="32"/>
  <c r="H13" i="32"/>
  <c r="P13" i="32"/>
  <c r="R13" i="31" s="1"/>
  <c r="I13" i="32"/>
  <c r="J13" i="32"/>
  <c r="Q13" i="32"/>
  <c r="S13" i="31" s="1"/>
  <c r="AA15" i="32"/>
  <c r="AB15" i="32"/>
  <c r="AC15" i="32"/>
  <c r="AD15" i="32"/>
  <c r="AE15" i="31" s="1"/>
  <c r="AE15" i="32"/>
  <c r="T15" i="32"/>
  <c r="V15" i="31" s="1"/>
  <c r="E15" i="32"/>
  <c r="M15" i="32"/>
  <c r="N15" i="31" s="1"/>
  <c r="O15" i="31" s="1"/>
  <c r="Z15" i="31" s="1"/>
  <c r="U15" i="32"/>
  <c r="F15" i="32"/>
  <c r="N15" i="32"/>
  <c r="P15" i="31" s="1"/>
  <c r="W15" i="32"/>
  <c r="G15" i="32"/>
  <c r="O15" i="32"/>
  <c r="Q15" i="31" s="1"/>
  <c r="Y15" i="32"/>
  <c r="H15" i="32"/>
  <c r="P15" i="32"/>
  <c r="R15" i="31" s="1"/>
  <c r="I15" i="32"/>
  <c r="Q15" i="32"/>
  <c r="S15" i="31" s="1"/>
  <c r="J15" i="32"/>
  <c r="R15" i="32"/>
  <c r="K15" i="32"/>
  <c r="S15" i="32"/>
  <c r="U15" i="31" s="1"/>
  <c r="C19" i="32"/>
  <c r="V19" i="32" s="1" a="1"/>
  <c r="V19" i="32" s="1"/>
  <c r="X19" i="31" s="1"/>
  <c r="AA23" i="32"/>
  <c r="AB23" i="32"/>
  <c r="AC23" i="32"/>
  <c r="AD23" i="32"/>
  <c r="AE23" i="31" s="1"/>
  <c r="AE23" i="32"/>
  <c r="T23" i="32"/>
  <c r="E23" i="32"/>
  <c r="M23" i="32"/>
  <c r="N23" i="31" s="1"/>
  <c r="Y23" i="31" s="1"/>
  <c r="U23" i="32"/>
  <c r="W23" i="31" s="1"/>
  <c r="F23" i="32"/>
  <c r="R23" i="32"/>
  <c r="T23" i="31" s="1"/>
  <c r="N23" i="32"/>
  <c r="P23" i="31" s="1"/>
  <c r="W23" i="32"/>
  <c r="G23" i="32"/>
  <c r="H23" i="32"/>
  <c r="I23" i="32"/>
  <c r="O23" i="32"/>
  <c r="Y23" i="32"/>
  <c r="P23" i="32"/>
  <c r="R23" i="31" s="1"/>
  <c r="Q23" i="32"/>
  <c r="S23" i="31" s="1"/>
  <c r="J23" i="32"/>
  <c r="S23" i="32"/>
  <c r="U23" i="31" s="1"/>
  <c r="K23" i="32"/>
  <c r="P27" i="32"/>
  <c r="I27" i="32"/>
  <c r="Q27" i="32"/>
  <c r="S27" i="31" s="1"/>
  <c r="J27" i="32"/>
  <c r="AA27" i="32"/>
  <c r="R27" i="32"/>
  <c r="T27" i="31" s="1"/>
  <c r="K27" i="32"/>
  <c r="AE27" i="32"/>
  <c r="AB27" i="32"/>
  <c r="S27" i="32"/>
  <c r="AC27" i="32"/>
  <c r="T27" i="32"/>
  <c r="V27" i="31" s="1"/>
  <c r="E27" i="32"/>
  <c r="N27" i="32"/>
  <c r="AD27" i="32"/>
  <c r="AE27" i="31" s="1"/>
  <c r="M27" i="32"/>
  <c r="N27" i="31" s="1"/>
  <c r="Y27" i="31" s="1"/>
  <c r="U27" i="32"/>
  <c r="F27" i="32"/>
  <c r="W27" i="32"/>
  <c r="Y27" i="32"/>
  <c r="G27" i="32"/>
  <c r="H27" i="32"/>
  <c r="O27" i="32"/>
  <c r="Q27" i="31" s="1"/>
  <c r="C28" i="32"/>
  <c r="O43" i="32"/>
  <c r="Q43" i="31" s="1"/>
  <c r="Y43" i="32"/>
  <c r="AA43" i="32"/>
  <c r="P43" i="32"/>
  <c r="R43" i="31" s="1"/>
  <c r="E43" i="32"/>
  <c r="AB43" i="32"/>
  <c r="Q43" i="32"/>
  <c r="S43" i="31" s="1"/>
  <c r="F43" i="32"/>
  <c r="AC43" i="32"/>
  <c r="R43" i="32"/>
  <c r="T43" i="31" s="1"/>
  <c r="G43" i="32"/>
  <c r="AD43" i="32"/>
  <c r="S43" i="32"/>
  <c r="U43" i="31" s="1"/>
  <c r="H43" i="32"/>
  <c r="AE43" i="32"/>
  <c r="T43" i="32"/>
  <c r="V43" i="31" s="1"/>
  <c r="I43" i="32"/>
  <c r="M43" i="32"/>
  <c r="N43" i="31" s="1"/>
  <c r="U43" i="32"/>
  <c r="W43" i="31" s="1"/>
  <c r="J43" i="32"/>
  <c r="N43" i="32"/>
  <c r="P43" i="31" s="1"/>
  <c r="W43" i="32"/>
  <c r="K43" i="32"/>
  <c r="P48" i="32"/>
  <c r="R48" i="31" s="1"/>
  <c r="I48" i="32"/>
  <c r="Q48" i="32"/>
  <c r="S48" i="31" s="1"/>
  <c r="J48" i="32"/>
  <c r="AA48" i="32"/>
  <c r="R48" i="32"/>
  <c r="T48" i="31" s="1"/>
  <c r="K48" i="32"/>
  <c r="AB48" i="32"/>
  <c r="S48" i="32"/>
  <c r="U48" i="31" s="1"/>
  <c r="AC48" i="32"/>
  <c r="T48" i="32"/>
  <c r="V48" i="31" s="1"/>
  <c r="E48" i="32"/>
  <c r="AD48" i="32"/>
  <c r="M48" i="32"/>
  <c r="N48" i="31" s="1"/>
  <c r="U48" i="32"/>
  <c r="W48" i="31" s="1"/>
  <c r="F48" i="32"/>
  <c r="AE48" i="32"/>
  <c r="N48" i="32"/>
  <c r="P48" i="31" s="1"/>
  <c r="W48" i="32"/>
  <c r="G48" i="32"/>
  <c r="O48" i="32"/>
  <c r="Q48" i="31" s="1"/>
  <c r="Y48" i="32"/>
  <c r="H48" i="32"/>
  <c r="AC52" i="32"/>
  <c r="T52" i="32"/>
  <c r="V52" i="31" s="1"/>
  <c r="E52" i="32"/>
  <c r="AD52" i="32"/>
  <c r="AE52" i="31" s="1"/>
  <c r="M52" i="32"/>
  <c r="N52" i="31" s="1"/>
  <c r="U52" i="32"/>
  <c r="W52" i="31" s="1"/>
  <c r="F52" i="32"/>
  <c r="AE52" i="32"/>
  <c r="N52" i="32"/>
  <c r="P52" i="31" s="1"/>
  <c r="W52" i="32"/>
  <c r="G52" i="32"/>
  <c r="O52" i="32"/>
  <c r="Q52" i="31" s="1"/>
  <c r="Y52" i="32"/>
  <c r="H52" i="32"/>
  <c r="P52" i="32"/>
  <c r="R52" i="31" s="1"/>
  <c r="I52" i="32"/>
  <c r="Q52" i="32"/>
  <c r="S52" i="31" s="1"/>
  <c r="J52" i="32"/>
  <c r="AA52" i="32"/>
  <c r="R52" i="32"/>
  <c r="T52" i="31" s="1"/>
  <c r="K52" i="32"/>
  <c r="AB52" i="32"/>
  <c r="S52" i="32"/>
  <c r="U52" i="31" s="1"/>
  <c r="C56" i="32"/>
  <c r="C59" i="32"/>
  <c r="V59" i="32" s="1" a="1"/>
  <c r="V59" i="32" s="1"/>
  <c r="X59" i="31" s="1"/>
  <c r="AC8" i="32"/>
  <c r="AD8" i="32"/>
  <c r="AE8" i="31" s="1"/>
  <c r="AE8" i="32"/>
  <c r="AA8" i="32"/>
  <c r="Q8" i="32"/>
  <c r="S8" i="31" s="1"/>
  <c r="F8" i="32"/>
  <c r="AB8" i="32"/>
  <c r="Y8" i="32"/>
  <c r="R8" i="32"/>
  <c r="T8" i="31" s="1"/>
  <c r="G8" i="32"/>
  <c r="S8" i="32"/>
  <c r="U8" i="31" s="1"/>
  <c r="H8" i="32"/>
  <c r="O8" i="32"/>
  <c r="T8" i="32"/>
  <c r="I8" i="32"/>
  <c r="M8" i="32"/>
  <c r="N8" i="31" s="1"/>
  <c r="Y8" i="31" s="1"/>
  <c r="U8" i="32"/>
  <c r="W8" i="31" s="1"/>
  <c r="J8" i="32"/>
  <c r="N8" i="32"/>
  <c r="P8" i="31" s="1"/>
  <c r="W8" i="32"/>
  <c r="K8" i="32"/>
  <c r="P8" i="32"/>
  <c r="R8" i="31" s="1"/>
  <c r="E8" i="32"/>
  <c r="Q45" i="32"/>
  <c r="S45" i="31" s="1"/>
  <c r="F45" i="32"/>
  <c r="R45" i="32"/>
  <c r="T45" i="31" s="1"/>
  <c r="G45" i="32"/>
  <c r="S45" i="32"/>
  <c r="U45" i="31" s="1"/>
  <c r="H45" i="32"/>
  <c r="AA45" i="32"/>
  <c r="T45" i="32"/>
  <c r="V45" i="31" s="1"/>
  <c r="I45" i="32"/>
  <c r="AB45" i="32"/>
  <c r="M45" i="32"/>
  <c r="N45" i="31" s="1"/>
  <c r="U45" i="32"/>
  <c r="W45" i="31" s="1"/>
  <c r="J45" i="32"/>
  <c r="AC45" i="32"/>
  <c r="N45" i="32"/>
  <c r="P45" i="31" s="1"/>
  <c r="W45" i="32"/>
  <c r="K45" i="32"/>
  <c r="AD45" i="32"/>
  <c r="O45" i="32"/>
  <c r="Q45" i="31" s="1"/>
  <c r="Y45" i="32"/>
  <c r="AE45" i="32"/>
  <c r="E45" i="32"/>
  <c r="P45" i="32"/>
  <c r="R45" i="31" s="1"/>
  <c r="AA10" i="32"/>
  <c r="AB10" i="32"/>
  <c r="AC10" i="32"/>
  <c r="AD10" i="32"/>
  <c r="AE10" i="32"/>
  <c r="S10" i="32"/>
  <c r="H10" i="32"/>
  <c r="T10" i="32"/>
  <c r="V10" i="31" s="1"/>
  <c r="I10" i="32"/>
  <c r="M10" i="32"/>
  <c r="N10" i="31" s="1"/>
  <c r="O10" i="31" s="1"/>
  <c r="Z10" i="31" s="1"/>
  <c r="U10" i="32"/>
  <c r="J10" i="32"/>
  <c r="N10" i="32"/>
  <c r="W10" i="32"/>
  <c r="K10" i="32"/>
  <c r="O10" i="32"/>
  <c r="Q10" i="31" s="1"/>
  <c r="Y10" i="32"/>
  <c r="Q10" i="32"/>
  <c r="S10" i="31" s="1"/>
  <c r="P10" i="32"/>
  <c r="E10" i="32"/>
  <c r="R10" i="32"/>
  <c r="G10" i="32"/>
  <c r="F10" i="32"/>
  <c r="C13" i="32"/>
  <c r="V13" i="32" s="1" a="1"/>
  <c r="V13" i="32" s="1"/>
  <c r="X13" i="31" s="1"/>
  <c r="AE14" i="32"/>
  <c r="AA14" i="32"/>
  <c r="AB14" i="32"/>
  <c r="AC14" i="32"/>
  <c r="O14" i="32"/>
  <c r="Q14" i="31" s="1"/>
  <c r="Y14" i="32"/>
  <c r="P14" i="32"/>
  <c r="R14" i="31" s="1"/>
  <c r="E14" i="32"/>
  <c r="AD14" i="32"/>
  <c r="Q14" i="32"/>
  <c r="S14" i="31" s="1"/>
  <c r="F14" i="32"/>
  <c r="M14" i="32"/>
  <c r="N14" i="31" s="1"/>
  <c r="R14" i="32"/>
  <c r="T14" i="31" s="1"/>
  <c r="G14" i="32"/>
  <c r="U14" i="32"/>
  <c r="W14" i="31" s="1"/>
  <c r="S14" i="32"/>
  <c r="U14" i="31" s="1"/>
  <c r="H14" i="32"/>
  <c r="T14" i="32"/>
  <c r="I14" i="32"/>
  <c r="J14" i="32"/>
  <c r="K14" i="32"/>
  <c r="N14" i="32"/>
  <c r="W14" i="32"/>
  <c r="C15" i="32"/>
  <c r="AC16" i="32"/>
  <c r="AD16" i="32"/>
  <c r="AE16" i="31" s="1"/>
  <c r="AE16" i="32"/>
  <c r="AA16" i="32"/>
  <c r="Q16" i="32"/>
  <c r="F16" i="32"/>
  <c r="Y16" i="32"/>
  <c r="R16" i="32"/>
  <c r="T16" i="31" s="1"/>
  <c r="G16" i="32"/>
  <c r="O16" i="32"/>
  <c r="Q16" i="31" s="1"/>
  <c r="S16" i="32"/>
  <c r="H16" i="32"/>
  <c r="AB16" i="32"/>
  <c r="T16" i="32"/>
  <c r="V16" i="31" s="1"/>
  <c r="I16" i="32"/>
  <c r="M16" i="32"/>
  <c r="U16" i="32"/>
  <c r="J16" i="32"/>
  <c r="N16" i="32"/>
  <c r="W16" i="32"/>
  <c r="K16" i="32"/>
  <c r="P16" i="32"/>
  <c r="R16" i="31" s="1"/>
  <c r="E16" i="32"/>
  <c r="C23" i="32"/>
  <c r="AC24" i="32"/>
  <c r="AD24" i="32"/>
  <c r="AE24" i="31" s="1"/>
  <c r="AE24" i="32"/>
  <c r="AA24" i="32"/>
  <c r="AB24" i="32"/>
  <c r="Q24" i="32"/>
  <c r="S24" i="31" s="1"/>
  <c r="F24" i="32"/>
  <c r="R24" i="32"/>
  <c r="G24" i="32"/>
  <c r="J24" i="32"/>
  <c r="S24" i="32"/>
  <c r="U24" i="31" s="1"/>
  <c r="H24" i="32"/>
  <c r="Y24" i="32"/>
  <c r="T24" i="32"/>
  <c r="I24" i="32"/>
  <c r="M24" i="32"/>
  <c r="U24" i="32"/>
  <c r="W24" i="31" s="1"/>
  <c r="N24" i="32"/>
  <c r="P24" i="31" s="1"/>
  <c r="W24" i="32"/>
  <c r="K24" i="32"/>
  <c r="O24" i="32"/>
  <c r="P24" i="32"/>
  <c r="R24" i="31" s="1"/>
  <c r="E24" i="32"/>
  <c r="AD39" i="32"/>
  <c r="S39" i="32"/>
  <c r="U39" i="31" s="1"/>
  <c r="H39" i="32"/>
  <c r="AE39" i="32"/>
  <c r="T39" i="32"/>
  <c r="V39" i="31" s="1"/>
  <c r="I39" i="32"/>
  <c r="M39" i="32"/>
  <c r="N39" i="31" s="1"/>
  <c r="U39" i="32"/>
  <c r="W39" i="31" s="1"/>
  <c r="J39" i="32"/>
  <c r="N39" i="32"/>
  <c r="P39" i="31" s="1"/>
  <c r="W39" i="32"/>
  <c r="K39" i="32"/>
  <c r="O39" i="32"/>
  <c r="Q39" i="31" s="1"/>
  <c r="Y39" i="32"/>
  <c r="AA39" i="32"/>
  <c r="P39" i="32"/>
  <c r="R39" i="31" s="1"/>
  <c r="E39" i="32"/>
  <c r="AB39" i="32"/>
  <c r="Q39" i="32"/>
  <c r="S39" i="31" s="1"/>
  <c r="F39" i="32"/>
  <c r="AC39" i="32"/>
  <c r="R39" i="32"/>
  <c r="T39" i="31" s="1"/>
  <c r="G39" i="32"/>
  <c r="AB49" i="32"/>
  <c r="M49" i="32"/>
  <c r="N49" i="31" s="1"/>
  <c r="U49" i="32"/>
  <c r="W49" i="31" s="1"/>
  <c r="J49" i="32"/>
  <c r="AC49" i="32"/>
  <c r="N49" i="32"/>
  <c r="P49" i="31" s="1"/>
  <c r="W49" i="32"/>
  <c r="K49" i="32"/>
  <c r="AD49" i="32"/>
  <c r="AE49" i="31" s="1"/>
  <c r="O49" i="32"/>
  <c r="Q49" i="31" s="1"/>
  <c r="Y49" i="32"/>
  <c r="AE49" i="32"/>
  <c r="P49" i="32"/>
  <c r="R49" i="31" s="1"/>
  <c r="E49" i="32"/>
  <c r="Q49" i="32"/>
  <c r="S49" i="31" s="1"/>
  <c r="F49" i="32"/>
  <c r="R49" i="32"/>
  <c r="T49" i="31" s="1"/>
  <c r="G49" i="32"/>
  <c r="S49" i="32"/>
  <c r="U49" i="31" s="1"/>
  <c r="H49" i="32"/>
  <c r="I49" i="32"/>
  <c r="AA49" i="32"/>
  <c r="T49" i="32"/>
  <c r="V49" i="31" s="1"/>
  <c r="AC60" i="32"/>
  <c r="T60" i="32"/>
  <c r="V60" i="31" s="1"/>
  <c r="E60" i="32"/>
  <c r="AD60" i="32"/>
  <c r="AE60" i="31" s="1"/>
  <c r="M60" i="32"/>
  <c r="N60" i="31" s="1"/>
  <c r="U60" i="32"/>
  <c r="W60" i="31" s="1"/>
  <c r="F60" i="32"/>
  <c r="AE60" i="32"/>
  <c r="N60" i="32"/>
  <c r="P60" i="31" s="1"/>
  <c r="W60" i="32"/>
  <c r="G60" i="32"/>
  <c r="O60" i="32"/>
  <c r="Q60" i="31" s="1"/>
  <c r="Y60" i="32"/>
  <c r="H60" i="32"/>
  <c r="P60" i="32"/>
  <c r="R60" i="31" s="1"/>
  <c r="I60" i="32"/>
  <c r="Q60" i="32"/>
  <c r="S60" i="31" s="1"/>
  <c r="J60" i="32"/>
  <c r="AA60" i="32"/>
  <c r="R60" i="32"/>
  <c r="T60" i="31" s="1"/>
  <c r="K60" i="32"/>
  <c r="AB60" i="32"/>
  <c r="S60" i="32"/>
  <c r="U60" i="31" s="1"/>
  <c r="AA12" i="32"/>
  <c r="AB12" i="32"/>
  <c r="AC12" i="32"/>
  <c r="AD12" i="32"/>
  <c r="AE12" i="31" s="1"/>
  <c r="AE12" i="32"/>
  <c r="M12" i="32"/>
  <c r="N12" i="31" s="1"/>
  <c r="U12" i="32"/>
  <c r="J12" i="32"/>
  <c r="N12" i="32"/>
  <c r="P12" i="31" s="1"/>
  <c r="W12" i="32"/>
  <c r="K12" i="32"/>
  <c r="S12" i="32"/>
  <c r="O12" i="32"/>
  <c r="Q12" i="31" s="1"/>
  <c r="Y12" i="32"/>
  <c r="P12" i="32"/>
  <c r="E12" i="32"/>
  <c r="Q12" i="32"/>
  <c r="S12" i="31" s="1"/>
  <c r="F12" i="32"/>
  <c r="R12" i="32"/>
  <c r="T12" i="31" s="1"/>
  <c r="G12" i="32"/>
  <c r="H12" i="32"/>
  <c r="T12" i="32"/>
  <c r="I12" i="32"/>
  <c r="C14" i="32"/>
  <c r="P40" i="32"/>
  <c r="R40" i="31" s="1"/>
  <c r="I40" i="32"/>
  <c r="Q40" i="32"/>
  <c r="S40" i="31" s="1"/>
  <c r="J40" i="32"/>
  <c r="AA40" i="32"/>
  <c r="R40" i="32"/>
  <c r="T40" i="31" s="1"/>
  <c r="K40" i="32"/>
  <c r="AB40" i="32"/>
  <c r="S40" i="32"/>
  <c r="U40" i="31" s="1"/>
  <c r="AC40" i="32"/>
  <c r="T40" i="32"/>
  <c r="V40" i="31" s="1"/>
  <c r="E40" i="32"/>
  <c r="AD40" i="32"/>
  <c r="M40" i="32"/>
  <c r="N40" i="31" s="1"/>
  <c r="U40" i="32"/>
  <c r="W40" i="31" s="1"/>
  <c r="F40" i="32"/>
  <c r="AE40" i="32"/>
  <c r="N40" i="32"/>
  <c r="P40" i="31" s="1"/>
  <c r="W40" i="32"/>
  <c r="G40" i="32"/>
  <c r="H40" i="32"/>
  <c r="O40" i="32"/>
  <c r="Q40" i="31" s="1"/>
  <c r="Y40" i="32"/>
  <c r="AC44" i="32"/>
  <c r="T44" i="32"/>
  <c r="V44" i="31" s="1"/>
  <c r="E44" i="32"/>
  <c r="AD44" i="32"/>
  <c r="AE44" i="31" s="1"/>
  <c r="M44" i="32"/>
  <c r="N44" i="31" s="1"/>
  <c r="U44" i="32"/>
  <c r="W44" i="31" s="1"/>
  <c r="F44" i="32"/>
  <c r="AE44" i="32"/>
  <c r="N44" i="32"/>
  <c r="P44" i="31" s="1"/>
  <c r="W44" i="32"/>
  <c r="G44" i="32"/>
  <c r="O44" i="32"/>
  <c r="Q44" i="31" s="1"/>
  <c r="Y44" i="32"/>
  <c r="H44" i="32"/>
  <c r="P44" i="32"/>
  <c r="R44" i="31" s="1"/>
  <c r="I44" i="32"/>
  <c r="Q44" i="32"/>
  <c r="S44" i="31" s="1"/>
  <c r="J44" i="32"/>
  <c r="AA44" i="32"/>
  <c r="R44" i="32"/>
  <c r="T44" i="31" s="1"/>
  <c r="K44" i="32"/>
  <c r="AB44" i="32"/>
  <c r="S44" i="32"/>
  <c r="U44" i="31" s="1"/>
  <c r="C49" i="32"/>
  <c r="Q53" i="32"/>
  <c r="S53" i="31" s="1"/>
  <c r="F53" i="32"/>
  <c r="R53" i="32"/>
  <c r="T53" i="31" s="1"/>
  <c r="G53" i="32"/>
  <c r="S53" i="32"/>
  <c r="U53" i="31" s="1"/>
  <c r="H53" i="32"/>
  <c r="AA53" i="32"/>
  <c r="T53" i="32"/>
  <c r="V53" i="31" s="1"/>
  <c r="I53" i="32"/>
  <c r="AB53" i="32"/>
  <c r="M53" i="32"/>
  <c r="N53" i="31" s="1"/>
  <c r="U53" i="32"/>
  <c r="W53" i="31" s="1"/>
  <c r="J53" i="32"/>
  <c r="AC53" i="32"/>
  <c r="N53" i="32"/>
  <c r="P53" i="31" s="1"/>
  <c r="W53" i="32"/>
  <c r="K53" i="32"/>
  <c r="AD53" i="32"/>
  <c r="AE53" i="31" s="1"/>
  <c r="O53" i="32"/>
  <c r="Q53" i="31" s="1"/>
  <c r="Y53" i="32"/>
  <c r="P53" i="32"/>
  <c r="R53" i="31" s="1"/>
  <c r="AE53" i="32"/>
  <c r="E53" i="32"/>
  <c r="AB57" i="32"/>
  <c r="M57" i="32"/>
  <c r="N57" i="31" s="1"/>
  <c r="U57" i="32"/>
  <c r="W57" i="31" s="1"/>
  <c r="J57" i="32"/>
  <c r="AC57" i="32"/>
  <c r="N57" i="32"/>
  <c r="P57" i="31" s="1"/>
  <c r="W57" i="32"/>
  <c r="K57" i="32"/>
  <c r="AD57" i="32"/>
  <c r="AE57" i="31" s="1"/>
  <c r="O57" i="32"/>
  <c r="Q57" i="31" s="1"/>
  <c r="Y57" i="32"/>
  <c r="AE57" i="32"/>
  <c r="P57" i="32"/>
  <c r="R57" i="31" s="1"/>
  <c r="E57" i="32"/>
  <c r="Q57" i="32"/>
  <c r="S57" i="31" s="1"/>
  <c r="F57" i="32"/>
  <c r="R57" i="32"/>
  <c r="T57" i="31" s="1"/>
  <c r="G57" i="32"/>
  <c r="S57" i="32"/>
  <c r="U57" i="31" s="1"/>
  <c r="H57" i="32"/>
  <c r="AA57" i="32"/>
  <c r="T57" i="32"/>
  <c r="V57" i="31" s="1"/>
  <c r="I57" i="32"/>
  <c r="Q61" i="32"/>
  <c r="S61" i="31" s="1"/>
  <c r="F61" i="32"/>
  <c r="R61" i="32"/>
  <c r="T61" i="31" s="1"/>
  <c r="G61" i="32"/>
  <c r="S61" i="32"/>
  <c r="U61" i="31" s="1"/>
  <c r="H61" i="32"/>
  <c r="AA61" i="32"/>
  <c r="T61" i="32"/>
  <c r="V61" i="31" s="1"/>
  <c r="I61" i="32"/>
  <c r="AB61" i="32"/>
  <c r="M61" i="32"/>
  <c r="N61" i="31" s="1"/>
  <c r="U61" i="32"/>
  <c r="W61" i="31" s="1"/>
  <c r="J61" i="32"/>
  <c r="AC61" i="32"/>
  <c r="N61" i="32"/>
  <c r="P61" i="31" s="1"/>
  <c r="W61" i="32"/>
  <c r="K61" i="32"/>
  <c r="AD61" i="32"/>
  <c r="O61" i="32"/>
  <c r="Q61" i="31" s="1"/>
  <c r="Y61" i="32"/>
  <c r="E61" i="32"/>
  <c r="AE61" i="32"/>
  <c r="P61" i="32"/>
  <c r="R61" i="31" s="1"/>
  <c r="N27" i="34"/>
  <c r="N19" i="34"/>
  <c r="N11" i="34"/>
  <c r="AC29" i="34"/>
  <c r="AC25" i="34"/>
  <c r="AC21" i="34"/>
  <c r="AC17" i="34"/>
  <c r="AC13" i="34"/>
  <c r="AC9" i="34"/>
  <c r="C19" i="34"/>
  <c r="C24" i="34"/>
  <c r="K24" i="34" s="1"/>
  <c r="N25" i="34"/>
  <c r="N9" i="34"/>
  <c r="AC28" i="34"/>
  <c r="AC24" i="34"/>
  <c r="AC20" i="34"/>
  <c r="AC16" i="34"/>
  <c r="AC12" i="34"/>
  <c r="AC8" i="34"/>
  <c r="AA13" i="34"/>
  <c r="C29" i="34"/>
  <c r="F29" i="34" s="1"/>
  <c r="N24" i="34"/>
  <c r="N16" i="34"/>
  <c r="N8" i="34"/>
  <c r="AA28" i="34"/>
  <c r="AA24" i="34"/>
  <c r="AA20" i="34"/>
  <c r="AA16" i="34"/>
  <c r="AA12" i="34"/>
  <c r="AA8" i="34"/>
  <c r="C15" i="34"/>
  <c r="H15" i="34" s="1"/>
  <c r="C20" i="34"/>
  <c r="O20" i="34" s="1"/>
  <c r="N23" i="34"/>
  <c r="N15" i="34"/>
  <c r="N7" i="34"/>
  <c r="AC27" i="34"/>
  <c r="AC23" i="34"/>
  <c r="AC19" i="34"/>
  <c r="AC15" i="34"/>
  <c r="AC11" i="34"/>
  <c r="AC7" i="34"/>
  <c r="N30" i="34"/>
  <c r="N22" i="34"/>
  <c r="N14" i="34"/>
  <c r="N6" i="34"/>
  <c r="AA27" i="34"/>
  <c r="AA7" i="34"/>
  <c r="C16" i="34"/>
  <c r="O16" i="34" s="1"/>
  <c r="N29" i="34"/>
  <c r="N21" i="34"/>
  <c r="AC30" i="34"/>
  <c r="AC26" i="34"/>
  <c r="AC22" i="34"/>
  <c r="AC18" i="34"/>
  <c r="AC14" i="34"/>
  <c r="AC10" i="34"/>
  <c r="AC6" i="34"/>
  <c r="N28" i="34"/>
  <c r="N20" i="34"/>
  <c r="AA26" i="34"/>
  <c r="AA22" i="34"/>
  <c r="AA18" i="34"/>
  <c r="AA10" i="34"/>
  <c r="AA6" i="34"/>
  <c r="AC5" i="32"/>
  <c r="M5" i="32"/>
  <c r="N5" i="31" s="1"/>
  <c r="O5" i="31" s="1"/>
  <c r="Z5" i="31" s="1"/>
  <c r="U5" i="32"/>
  <c r="W5" i="31" s="1"/>
  <c r="G5" i="32"/>
  <c r="E5" i="32"/>
  <c r="AD5" i="32"/>
  <c r="AE5" i="31" s="1"/>
  <c r="AF5" i="31" s="1"/>
  <c r="AH5" i="31" s="1"/>
  <c r="N5" i="32"/>
  <c r="W5" i="32"/>
  <c r="H5" i="32"/>
  <c r="AE5" i="32"/>
  <c r="O5" i="32"/>
  <c r="Q5" i="31" s="1"/>
  <c r="Y5" i="32"/>
  <c r="I5" i="32"/>
  <c r="AA5" i="32"/>
  <c r="S5" i="32"/>
  <c r="P5" i="32"/>
  <c r="R5" i="31" s="1"/>
  <c r="J5" i="32"/>
  <c r="Q5" i="32"/>
  <c r="S5" i="31" s="1"/>
  <c r="K5" i="32"/>
  <c r="R5" i="32"/>
  <c r="T5" i="31" s="1"/>
  <c r="AB5" i="32"/>
  <c r="T5" i="32"/>
  <c r="F5" i="32"/>
  <c r="N5" i="34"/>
  <c r="C5" i="34"/>
  <c r="Z5" i="34" s="1"/>
  <c r="AA38" i="32"/>
  <c r="S38" i="32"/>
  <c r="U38" i="31" s="1"/>
  <c r="E38" i="32"/>
  <c r="AB38" i="32"/>
  <c r="T38" i="32"/>
  <c r="V38" i="31" s="1"/>
  <c r="F38" i="32"/>
  <c r="Q38" i="32"/>
  <c r="S38" i="31" s="1"/>
  <c r="K38" i="32"/>
  <c r="AC38" i="32"/>
  <c r="M38" i="32"/>
  <c r="N38" i="31" s="1"/>
  <c r="U38" i="32"/>
  <c r="W38" i="31" s="1"/>
  <c r="G38" i="32"/>
  <c r="AD38" i="32"/>
  <c r="N38" i="32"/>
  <c r="P38" i="31" s="1"/>
  <c r="W38" i="32"/>
  <c r="H38" i="32"/>
  <c r="AE38" i="32"/>
  <c r="O38" i="32"/>
  <c r="Q38" i="31" s="1"/>
  <c r="Y38" i="32"/>
  <c r="I38" i="32"/>
  <c r="P38" i="32"/>
  <c r="R38" i="31" s="1"/>
  <c r="J38" i="32"/>
  <c r="R38" i="32"/>
  <c r="T38" i="31" s="1"/>
  <c r="AC5" i="34"/>
  <c r="J25" i="34"/>
  <c r="AA5" i="34"/>
  <c r="V5" i="32" a="1"/>
  <c r="V5" i="32" s="1"/>
  <c r="X5" i="31" s="1"/>
  <c r="X5" i="32" a="1"/>
  <c r="X5" i="32" s="1"/>
  <c r="V6" i="32" a="1"/>
  <c r="V6" i="32" s="1"/>
  <c r="X6" i="32" a="1"/>
  <c r="X6" i="32" s="1"/>
  <c r="V8" i="32" a="1"/>
  <c r="V8" i="32" s="1"/>
  <c r="X8" i="31" s="1"/>
  <c r="X8" i="32" a="1"/>
  <c r="X8" i="32" s="1"/>
  <c r="X30" i="32" a="1"/>
  <c r="X30" i="32" s="1"/>
  <c r="V30" i="32" a="1"/>
  <c r="V30" i="32" s="1"/>
  <c r="X30" i="31" s="1"/>
  <c r="V55" i="32" a="1"/>
  <c r="V55" i="32" s="1"/>
  <c r="X55" i="31" s="1"/>
  <c r="X55" i="32" a="1"/>
  <c r="X55" i="32" s="1"/>
  <c r="V46" i="32" a="1"/>
  <c r="V46" i="32" s="1"/>
  <c r="X46" i="31" s="1"/>
  <c r="X46" i="32" a="1"/>
  <c r="X46" i="32" s="1"/>
  <c r="V58" i="32" a="1"/>
  <c r="V58" i="32" s="1"/>
  <c r="X58" i="31" s="1"/>
  <c r="X58" i="32" a="1"/>
  <c r="X58" i="32" s="1"/>
  <c r="X63" i="32" a="1"/>
  <c r="X63" i="32" s="1"/>
  <c r="V63" i="32" a="1"/>
  <c r="V63" i="32" s="1"/>
  <c r="X63" i="31" s="1"/>
  <c r="V18" i="32" a="1"/>
  <c r="V18" i="32" s="1"/>
  <c r="X18" i="32" a="1"/>
  <c r="X18" i="32" s="1"/>
  <c r="V20" i="32" a="1"/>
  <c r="V20" i="32" s="1"/>
  <c r="X20" i="31" s="1"/>
  <c r="X20" i="32" a="1"/>
  <c r="X20" i="32" s="1"/>
  <c r="V22" i="32" a="1"/>
  <c r="V22" i="32" s="1"/>
  <c r="X22" i="32" a="1"/>
  <c r="X22" i="32" s="1"/>
  <c r="X42" i="32" a="1"/>
  <c r="X42" i="32" s="1"/>
  <c r="V42" i="32" a="1"/>
  <c r="V42" i="32" s="1"/>
  <c r="X42" i="31" s="1"/>
  <c r="X51" i="32" a="1"/>
  <c r="X51" i="32" s="1"/>
  <c r="V51" i="32" a="1"/>
  <c r="V51" i="32" s="1"/>
  <c r="X51" i="31" s="1"/>
  <c r="M28" i="34"/>
  <c r="V28" i="32" a="1"/>
  <c r="V28" i="32" s="1"/>
  <c r="X28" i="31" s="1"/>
  <c r="X28" i="32" a="1"/>
  <c r="X28" i="32" s="1"/>
  <c r="X56" i="32" a="1"/>
  <c r="X56" i="32" s="1"/>
  <c r="V56" i="32" a="1"/>
  <c r="V56" i="32" s="1"/>
  <c r="X56" i="31" s="1"/>
  <c r="X15" i="32" a="1"/>
  <c r="X15" i="32" s="1"/>
  <c r="V15" i="32" a="1"/>
  <c r="V15" i="32" s="1"/>
  <c r="X15" i="31" s="1"/>
  <c r="V23" i="32" a="1"/>
  <c r="V23" i="32" s="1"/>
  <c r="X23" i="32" a="1"/>
  <c r="X23" i="32" s="1"/>
  <c r="X27" i="32" a="1"/>
  <c r="X27" i="32" s="1"/>
  <c r="V27" i="32" a="1"/>
  <c r="V27" i="32" s="1"/>
  <c r="V43" i="32" a="1"/>
  <c r="V43" i="32" s="1"/>
  <c r="X43" i="31" s="1"/>
  <c r="X43" i="32" a="1"/>
  <c r="X43" i="32" s="1"/>
  <c r="J27" i="34"/>
  <c r="V14" i="32" a="1"/>
  <c r="V14" i="32" s="1"/>
  <c r="X14" i="31" s="1"/>
  <c r="X14" i="32" a="1"/>
  <c r="X14" i="32" s="1"/>
  <c r="V49" i="32" a="1"/>
  <c r="V49" i="32" s="1"/>
  <c r="X49" i="31" s="1"/>
  <c r="X49" i="32" a="1"/>
  <c r="X49" i="32" s="1"/>
  <c r="V57" i="32" a="1"/>
  <c r="V57" i="32" s="1"/>
  <c r="X57" i="31" s="1"/>
  <c r="X57" i="32" a="1"/>
  <c r="X57" i="32" s="1"/>
  <c r="X7" i="32" a="1"/>
  <c r="X7" i="32" s="1"/>
  <c r="V7" i="32" a="1"/>
  <c r="V7" i="32" s="1"/>
  <c r="X7" i="31" s="1"/>
  <c r="V41" i="32" a="1"/>
  <c r="V41" i="32" s="1"/>
  <c r="X41" i="31" s="1"/>
  <c r="X41" i="32" a="1"/>
  <c r="X41" i="32" s="1"/>
  <c r="I28" i="34"/>
  <c r="G27" i="34"/>
  <c r="G25" i="34"/>
  <c r="M29" i="34"/>
  <c r="E28" i="34"/>
  <c r="F27" i="34"/>
  <c r="K15" i="34"/>
  <c r="J9" i="34"/>
  <c r="I29" i="34"/>
  <c r="O27" i="34"/>
  <c r="E27" i="34"/>
  <c r="L24" i="34"/>
  <c r="G29" i="34"/>
  <c r="E29" i="34"/>
  <c r="M27" i="34"/>
  <c r="L27" i="34"/>
  <c r="K25" i="34"/>
  <c r="L21" i="34"/>
  <c r="O29" i="34"/>
  <c r="I27" i="34"/>
  <c r="J21" i="34"/>
  <c r="H16" i="34"/>
  <c r="O23" i="31"/>
  <c r="Z23" i="31" s="1"/>
  <c r="AG30" i="31"/>
  <c r="AF30" i="31"/>
  <c r="AH30" i="31" s="1"/>
  <c r="O22" i="31"/>
  <c r="Z22" i="31" s="1"/>
  <c r="Y22" i="31"/>
  <c r="AF26" i="31"/>
  <c r="AH26" i="31" s="1"/>
  <c r="Y6" i="31"/>
  <c r="O6" i="31"/>
  <c r="Z6" i="31" s="1"/>
  <c r="O7" i="31"/>
  <c r="Z7" i="31" s="1"/>
  <c r="Y7" i="31"/>
  <c r="O14" i="31"/>
  <c r="Z14" i="31" s="1"/>
  <c r="Y14" i="31"/>
  <c r="AG22" i="31"/>
  <c r="AF22" i="31"/>
  <c r="AH22" i="31" s="1"/>
  <c r="AF52" i="31"/>
  <c r="AH52" i="31" s="1"/>
  <c r="AG52" i="31"/>
  <c r="AG62" i="31"/>
  <c r="AF62" i="31"/>
  <c r="AH62" i="31" s="1"/>
  <c r="U5" i="34"/>
  <c r="W5" i="34"/>
  <c r="Y5" i="34"/>
  <c r="R5" i="34"/>
  <c r="S5" i="34"/>
  <c r="X5" i="34"/>
  <c r="M5" i="34"/>
  <c r="F5" i="34"/>
  <c r="AB5" i="34"/>
  <c r="G5" i="34"/>
  <c r="O5" i="34"/>
  <c r="H5" i="34"/>
  <c r="I5" i="34"/>
  <c r="T5" i="34"/>
  <c r="K5" i="34"/>
  <c r="V5" i="34"/>
  <c r="L5" i="34"/>
  <c r="J5" i="34"/>
  <c r="F50" i="34"/>
  <c r="N50" i="34"/>
  <c r="R50" i="34"/>
  <c r="Z50" i="34"/>
  <c r="G50" i="34"/>
  <c r="O50" i="34"/>
  <c r="H50" i="34"/>
  <c r="T50" i="34"/>
  <c r="AB50" i="34"/>
  <c r="I50" i="34"/>
  <c r="J50" i="34"/>
  <c r="V50" i="34"/>
  <c r="K50" i="34"/>
  <c r="W50" i="34"/>
  <c r="L50" i="34"/>
  <c r="X50" i="34"/>
  <c r="S50" i="34"/>
  <c r="U50" i="34"/>
  <c r="Y50" i="34"/>
  <c r="AA50" i="34"/>
  <c r="E50" i="34"/>
  <c r="M50" i="34"/>
  <c r="R23" i="34"/>
  <c r="Z23" i="34"/>
  <c r="E23" i="34"/>
  <c r="M23" i="34"/>
  <c r="S23" i="34"/>
  <c r="F23" i="34"/>
  <c r="T23" i="34"/>
  <c r="AB23" i="34"/>
  <c r="G23" i="34"/>
  <c r="U23" i="34"/>
  <c r="V23" i="34"/>
  <c r="I23" i="34"/>
  <c r="W23" i="34"/>
  <c r="X23" i="34"/>
  <c r="Y23" i="34"/>
  <c r="O23" i="34"/>
  <c r="H23" i="34"/>
  <c r="J23" i="34"/>
  <c r="K23" i="34"/>
  <c r="L23" i="34"/>
  <c r="G60" i="34"/>
  <c r="O60" i="34"/>
  <c r="T60" i="34"/>
  <c r="AB60" i="34"/>
  <c r="H60" i="34"/>
  <c r="I60" i="34"/>
  <c r="V60" i="34"/>
  <c r="J60" i="34"/>
  <c r="K60" i="34"/>
  <c r="X60" i="34"/>
  <c r="L60" i="34"/>
  <c r="Y60" i="34"/>
  <c r="E60" i="34"/>
  <c r="M60" i="34"/>
  <c r="R60" i="34"/>
  <c r="Z60" i="34"/>
  <c r="S60" i="34"/>
  <c r="U60" i="34"/>
  <c r="W60" i="34"/>
  <c r="F60" i="34"/>
  <c r="AA60" i="34"/>
  <c r="N60" i="34"/>
  <c r="AG56" i="31"/>
  <c r="AF56" i="31"/>
  <c r="AH56" i="31" s="1"/>
  <c r="AG20" i="31"/>
  <c r="AF41" i="31"/>
  <c r="AH41" i="31" s="1"/>
  <c r="AG41" i="31"/>
  <c r="AF12" i="31"/>
  <c r="AH12" i="31" s="1"/>
  <c r="AG12" i="31"/>
  <c r="AG18" i="31"/>
  <c r="AF44" i="31"/>
  <c r="AH44" i="31" s="1"/>
  <c r="AG44" i="31"/>
  <c r="AF15" i="31"/>
  <c r="AH15" i="31" s="1"/>
  <c r="AG15" i="31"/>
  <c r="AF49" i="31"/>
  <c r="AH49" i="31" s="1"/>
  <c r="AG49" i="31"/>
  <c r="AF57" i="31"/>
  <c r="AH57" i="31" s="1"/>
  <c r="AG57" i="31"/>
  <c r="F38" i="34"/>
  <c r="N38" i="34"/>
  <c r="X38" i="34"/>
  <c r="G38" i="34"/>
  <c r="O38" i="34"/>
  <c r="Y38" i="34"/>
  <c r="H38" i="34"/>
  <c r="R38" i="34"/>
  <c r="Z38" i="34"/>
  <c r="I38" i="34"/>
  <c r="S38" i="34"/>
  <c r="AA38" i="34"/>
  <c r="J38" i="34"/>
  <c r="T38" i="34"/>
  <c r="AB38" i="34"/>
  <c r="K38" i="34"/>
  <c r="U38" i="34"/>
  <c r="L38" i="34"/>
  <c r="V38" i="34"/>
  <c r="W38" i="34"/>
  <c r="E38" i="34"/>
  <c r="M38" i="34"/>
  <c r="K56" i="34"/>
  <c r="X56" i="34"/>
  <c r="L56" i="34"/>
  <c r="E56" i="34"/>
  <c r="M56" i="34"/>
  <c r="R56" i="34"/>
  <c r="Z56" i="34"/>
  <c r="F56" i="34"/>
  <c r="N56" i="34"/>
  <c r="G56" i="34"/>
  <c r="O56" i="34"/>
  <c r="T56" i="34"/>
  <c r="AB56" i="34"/>
  <c r="H56" i="34"/>
  <c r="U56" i="34"/>
  <c r="I56" i="34"/>
  <c r="V56" i="34"/>
  <c r="S56" i="34"/>
  <c r="W56" i="34"/>
  <c r="Y56" i="34"/>
  <c r="AA56" i="34"/>
  <c r="J56" i="34"/>
  <c r="V28" i="34"/>
  <c r="W28" i="34"/>
  <c r="X28" i="34"/>
  <c r="Y28" i="34"/>
  <c r="R28" i="34"/>
  <c r="Z28" i="34"/>
  <c r="S28" i="34"/>
  <c r="T28" i="34"/>
  <c r="AB28" i="34"/>
  <c r="U28" i="34"/>
  <c r="J59" i="34"/>
  <c r="W59" i="34"/>
  <c r="K59" i="34"/>
  <c r="L59" i="34"/>
  <c r="Y59" i="34"/>
  <c r="E59" i="34"/>
  <c r="M59" i="34"/>
  <c r="F59" i="34"/>
  <c r="N59" i="34"/>
  <c r="S59" i="34"/>
  <c r="AA59" i="34"/>
  <c r="G59" i="34"/>
  <c r="O59" i="34"/>
  <c r="T59" i="34"/>
  <c r="AB59" i="34"/>
  <c r="H59" i="34"/>
  <c r="U59" i="34"/>
  <c r="Z59" i="34"/>
  <c r="I59" i="34"/>
  <c r="R59" i="34"/>
  <c r="V59" i="34"/>
  <c r="X59" i="34"/>
  <c r="J28" i="34"/>
  <c r="G16" i="34"/>
  <c r="J39" i="34"/>
  <c r="U39" i="34"/>
  <c r="K39" i="34"/>
  <c r="V39" i="34"/>
  <c r="L39" i="34"/>
  <c r="W39" i="34"/>
  <c r="E39" i="34"/>
  <c r="M39" i="34"/>
  <c r="X39" i="34"/>
  <c r="F39" i="34"/>
  <c r="N39" i="34"/>
  <c r="Y39" i="34"/>
  <c r="G39" i="34"/>
  <c r="O39" i="34"/>
  <c r="R39" i="34"/>
  <c r="Z39" i="34"/>
  <c r="H39" i="34"/>
  <c r="S39" i="34"/>
  <c r="AA39" i="34"/>
  <c r="T39" i="34"/>
  <c r="AB39" i="34"/>
  <c r="I39" i="34"/>
  <c r="R19" i="34"/>
  <c r="Z19" i="34"/>
  <c r="E19" i="34"/>
  <c r="M19" i="34"/>
  <c r="S19" i="34"/>
  <c r="F19" i="34"/>
  <c r="T19" i="34"/>
  <c r="AB19" i="34"/>
  <c r="G19" i="34"/>
  <c r="O19" i="34"/>
  <c r="U19" i="34"/>
  <c r="V19" i="34"/>
  <c r="I19" i="34"/>
  <c r="W19" i="34"/>
  <c r="X19" i="34"/>
  <c r="Y19" i="34"/>
  <c r="V24" i="34"/>
  <c r="I24" i="34"/>
  <c r="W24" i="34"/>
  <c r="X24" i="34"/>
  <c r="Y24" i="34"/>
  <c r="R24" i="34"/>
  <c r="Z24" i="34"/>
  <c r="E24" i="34"/>
  <c r="M24" i="34"/>
  <c r="S24" i="34"/>
  <c r="T24" i="34"/>
  <c r="AB24" i="34"/>
  <c r="U24" i="34"/>
  <c r="L61" i="34"/>
  <c r="Y61" i="34"/>
  <c r="E61" i="34"/>
  <c r="M61" i="34"/>
  <c r="F61" i="34"/>
  <c r="N61" i="34"/>
  <c r="S61" i="34"/>
  <c r="AA61" i="34"/>
  <c r="G61" i="34"/>
  <c r="O61" i="34"/>
  <c r="H61" i="34"/>
  <c r="U61" i="34"/>
  <c r="I61" i="34"/>
  <c r="V61" i="34"/>
  <c r="J61" i="34"/>
  <c r="W61" i="34"/>
  <c r="Z61" i="34"/>
  <c r="AB61" i="34"/>
  <c r="R61" i="34"/>
  <c r="K61" i="34"/>
  <c r="T61" i="34"/>
  <c r="X61" i="34"/>
  <c r="J24" i="34"/>
  <c r="F16" i="34"/>
  <c r="G40" i="34"/>
  <c r="O40" i="34"/>
  <c r="R40" i="34"/>
  <c r="Z40" i="34"/>
  <c r="H40" i="34"/>
  <c r="S40" i="34"/>
  <c r="AA40" i="34"/>
  <c r="I40" i="34"/>
  <c r="T40" i="34"/>
  <c r="AB40" i="34"/>
  <c r="J40" i="34"/>
  <c r="U40" i="34"/>
  <c r="K40" i="34"/>
  <c r="V40" i="34"/>
  <c r="L40" i="34"/>
  <c r="W40" i="34"/>
  <c r="E40" i="34"/>
  <c r="M40" i="34"/>
  <c r="X40" i="34"/>
  <c r="F40" i="34"/>
  <c r="N40" i="34"/>
  <c r="Y40" i="34"/>
  <c r="G52" i="34"/>
  <c r="O52" i="34"/>
  <c r="T52" i="34"/>
  <c r="AB52" i="34"/>
  <c r="H52" i="34"/>
  <c r="I52" i="34"/>
  <c r="V52" i="34"/>
  <c r="J52" i="34"/>
  <c r="K52" i="34"/>
  <c r="X52" i="34"/>
  <c r="L52" i="34"/>
  <c r="Y52" i="34"/>
  <c r="E52" i="34"/>
  <c r="M52" i="34"/>
  <c r="R52" i="34"/>
  <c r="Z52" i="34"/>
  <c r="S52" i="34"/>
  <c r="F52" i="34"/>
  <c r="U52" i="34"/>
  <c r="N52" i="34"/>
  <c r="W52" i="34"/>
  <c r="AA52" i="34"/>
  <c r="R29" i="34"/>
  <c r="Z29" i="34"/>
  <c r="S29" i="34"/>
  <c r="T29" i="34"/>
  <c r="AB29" i="34"/>
  <c r="U29" i="34"/>
  <c r="V29" i="34"/>
  <c r="W29" i="34"/>
  <c r="X29" i="34"/>
  <c r="Y29" i="34"/>
  <c r="L29" i="34"/>
  <c r="H28" i="34"/>
  <c r="H24" i="34"/>
  <c r="L19" i="34"/>
  <c r="K41" i="34"/>
  <c r="V41" i="34"/>
  <c r="L41" i="34"/>
  <c r="W41" i="34"/>
  <c r="E41" i="34"/>
  <c r="M41" i="34"/>
  <c r="X41" i="34"/>
  <c r="F41" i="34"/>
  <c r="N41" i="34"/>
  <c r="Y41" i="34"/>
  <c r="G41" i="34"/>
  <c r="O41" i="34"/>
  <c r="R41" i="34"/>
  <c r="Z41" i="34"/>
  <c r="H41" i="34"/>
  <c r="S41" i="34"/>
  <c r="AA41" i="34"/>
  <c r="I41" i="34"/>
  <c r="T41" i="34"/>
  <c r="AB41" i="34"/>
  <c r="J41" i="34"/>
  <c r="U41" i="34"/>
  <c r="AB15" i="34"/>
  <c r="Y15" i="34"/>
  <c r="V20" i="34"/>
  <c r="I20" i="34"/>
  <c r="W20" i="34"/>
  <c r="J20" i="34"/>
  <c r="X20" i="34"/>
  <c r="K20" i="34"/>
  <c r="Y20" i="34"/>
  <c r="R20" i="34"/>
  <c r="Z20" i="34"/>
  <c r="E20" i="34"/>
  <c r="M20" i="34"/>
  <c r="S20" i="34"/>
  <c r="T20" i="34"/>
  <c r="AB20" i="34"/>
  <c r="U20" i="34"/>
  <c r="R25" i="34"/>
  <c r="Z25" i="34"/>
  <c r="E25" i="34"/>
  <c r="M25" i="34"/>
  <c r="S25" i="34"/>
  <c r="T25" i="34"/>
  <c r="AB25" i="34"/>
  <c r="U25" i="34"/>
  <c r="V25" i="34"/>
  <c r="I25" i="34"/>
  <c r="W25" i="34"/>
  <c r="X25" i="34"/>
  <c r="Y25" i="34"/>
  <c r="K29" i="34"/>
  <c r="O28" i="34"/>
  <c r="G28" i="34"/>
  <c r="F25" i="34"/>
  <c r="G24" i="34"/>
  <c r="K19" i="34"/>
  <c r="U9" i="34"/>
  <c r="R9" i="34"/>
  <c r="Z9" i="34"/>
  <c r="W9" i="34"/>
  <c r="E9" i="34"/>
  <c r="M9" i="34"/>
  <c r="X9" i="34"/>
  <c r="F9" i="34"/>
  <c r="Y9" i="34"/>
  <c r="G9" i="34"/>
  <c r="O9" i="34"/>
  <c r="AB9" i="34"/>
  <c r="I9" i="34"/>
  <c r="S9" i="34"/>
  <c r="T9" i="34"/>
  <c r="K9" i="34"/>
  <c r="V9" i="34"/>
  <c r="L48" i="34"/>
  <c r="X48" i="34"/>
  <c r="E48" i="34"/>
  <c r="M48" i="34"/>
  <c r="F48" i="34"/>
  <c r="N48" i="34"/>
  <c r="R48" i="34"/>
  <c r="Z48" i="34"/>
  <c r="G48" i="34"/>
  <c r="O48" i="34"/>
  <c r="H48" i="34"/>
  <c r="T48" i="34"/>
  <c r="AB48" i="34"/>
  <c r="I48" i="34"/>
  <c r="U48" i="34"/>
  <c r="J48" i="34"/>
  <c r="V48" i="34"/>
  <c r="S48" i="34"/>
  <c r="W48" i="34"/>
  <c r="Y48" i="34"/>
  <c r="AA48" i="34"/>
  <c r="K48" i="34"/>
  <c r="R21" i="34"/>
  <c r="Z21" i="34"/>
  <c r="E21" i="34"/>
  <c r="M21" i="34"/>
  <c r="S21" i="34"/>
  <c r="F21" i="34"/>
  <c r="T21" i="34"/>
  <c r="AB21" i="34"/>
  <c r="G21" i="34"/>
  <c r="O21" i="34"/>
  <c r="U21" i="34"/>
  <c r="V21" i="34"/>
  <c r="I21" i="34"/>
  <c r="W21" i="34"/>
  <c r="X21" i="34"/>
  <c r="Y21" i="34"/>
  <c r="E58" i="34"/>
  <c r="M58" i="34"/>
  <c r="R58" i="34"/>
  <c r="Z58" i="34"/>
  <c r="F58" i="34"/>
  <c r="N58" i="34"/>
  <c r="G58" i="34"/>
  <c r="O58" i="34"/>
  <c r="T58" i="34"/>
  <c r="AB58" i="34"/>
  <c r="H58" i="34"/>
  <c r="I58" i="34"/>
  <c r="V58" i="34"/>
  <c r="J58" i="34"/>
  <c r="W58" i="34"/>
  <c r="K58" i="34"/>
  <c r="X58" i="34"/>
  <c r="S58" i="34"/>
  <c r="L58" i="34"/>
  <c r="U58" i="34"/>
  <c r="Y58" i="34"/>
  <c r="AA58" i="34"/>
  <c r="J29" i="34"/>
  <c r="F28" i="34"/>
  <c r="O25" i="34"/>
  <c r="F24" i="34"/>
  <c r="L20" i="34"/>
  <c r="J19" i="34"/>
  <c r="H42" i="34"/>
  <c r="S42" i="34"/>
  <c r="AA42" i="34"/>
  <c r="I42" i="34"/>
  <c r="T42" i="34"/>
  <c r="AB42" i="34"/>
  <c r="J42" i="34"/>
  <c r="U42" i="34"/>
  <c r="K42" i="34"/>
  <c r="V42" i="34"/>
  <c r="L42" i="34"/>
  <c r="W42" i="34"/>
  <c r="E42" i="34"/>
  <c r="M42" i="34"/>
  <c r="X42" i="34"/>
  <c r="F42" i="34"/>
  <c r="N42" i="34"/>
  <c r="Y42" i="34"/>
  <c r="Z42" i="34"/>
  <c r="G42" i="34"/>
  <c r="O42" i="34"/>
  <c r="R42" i="34"/>
  <c r="V16" i="34"/>
  <c r="I16" i="34"/>
  <c r="W16" i="34"/>
  <c r="J16" i="34"/>
  <c r="X16" i="34"/>
  <c r="K16" i="34"/>
  <c r="Y16" i="34"/>
  <c r="R16" i="34"/>
  <c r="Z16" i="34"/>
  <c r="E16" i="34"/>
  <c r="M16" i="34"/>
  <c r="S16" i="34"/>
  <c r="T16" i="34"/>
  <c r="AB16" i="34"/>
  <c r="U16" i="34"/>
  <c r="I54" i="34"/>
  <c r="V54" i="34"/>
  <c r="J54" i="34"/>
  <c r="K54" i="34"/>
  <c r="X54" i="34"/>
  <c r="L54" i="34"/>
  <c r="E54" i="34"/>
  <c r="M54" i="34"/>
  <c r="R54" i="34"/>
  <c r="Z54" i="34"/>
  <c r="F54" i="34"/>
  <c r="N54" i="34"/>
  <c r="S54" i="34"/>
  <c r="AA54" i="34"/>
  <c r="G54" i="34"/>
  <c r="O54" i="34"/>
  <c r="T54" i="34"/>
  <c r="AB54" i="34"/>
  <c r="U54" i="34"/>
  <c r="W54" i="34"/>
  <c r="Y54" i="34"/>
  <c r="H54" i="34"/>
  <c r="O24" i="34"/>
  <c r="H19" i="34"/>
  <c r="I37" i="34"/>
  <c r="S37" i="34"/>
  <c r="AA37" i="34"/>
  <c r="J37" i="34"/>
  <c r="T37" i="34"/>
  <c r="AB37" i="34"/>
  <c r="K37" i="34"/>
  <c r="U37" i="34"/>
  <c r="L37" i="34"/>
  <c r="V37" i="34"/>
  <c r="E37" i="34"/>
  <c r="M37" i="34"/>
  <c r="W37" i="34"/>
  <c r="F37" i="34"/>
  <c r="N37" i="34"/>
  <c r="X37" i="34"/>
  <c r="G37" i="34"/>
  <c r="O37" i="34"/>
  <c r="Y37" i="34"/>
  <c r="R37" i="34"/>
  <c r="Z37" i="34"/>
  <c r="H37" i="34"/>
  <c r="R27" i="34"/>
  <c r="Z27" i="34"/>
  <c r="S27" i="34"/>
  <c r="T27" i="34"/>
  <c r="AB27" i="34"/>
  <c r="U27" i="34"/>
  <c r="V27" i="34"/>
  <c r="W27" i="34"/>
  <c r="X27" i="34"/>
  <c r="Y27" i="34"/>
  <c r="H29" i="34"/>
  <c r="L28" i="34"/>
  <c r="H27" i="34"/>
  <c r="L25" i="34"/>
  <c r="K21" i="34"/>
  <c r="G20" i="34"/>
  <c r="L16" i="34"/>
  <c r="L9" i="34"/>
  <c r="C47" i="34"/>
  <c r="C57" i="34"/>
  <c r="C6" i="34"/>
  <c r="C10" i="34"/>
  <c r="C46" i="34"/>
  <c r="C14" i="34"/>
  <c r="C55" i="34"/>
  <c r="C43" i="34"/>
  <c r="C45" i="34"/>
  <c r="C49" i="34"/>
  <c r="C7" i="34"/>
  <c r="C11" i="34"/>
  <c r="C44" i="34"/>
  <c r="C13" i="34"/>
  <c r="C17" i="34"/>
  <c r="C12" i="34"/>
  <c r="C53" i="34"/>
  <c r="C8" i="34"/>
  <c r="C51" i="34"/>
  <c r="C62" i="34"/>
  <c r="C18" i="34"/>
  <c r="C22" i="34"/>
  <c r="C26" i="34"/>
  <c r="C30" i="34"/>
  <c r="AG63" i="31"/>
  <c r="AG29" i="31"/>
  <c r="AG13" i="31"/>
  <c r="AG5" i="31"/>
  <c r="AG25" i="31"/>
  <c r="AG17" i="31"/>
  <c r="O27" i="31"/>
  <c r="Z27" i="31" s="1"/>
  <c r="O19" i="31"/>
  <c r="Z19" i="31" s="1"/>
  <c r="Y18" i="31"/>
  <c r="Y29" i="31"/>
  <c r="Y13" i="31"/>
  <c r="V9" i="31"/>
  <c r="AE10" i="31"/>
  <c r="T11" i="31"/>
  <c r="C12" i="32"/>
  <c r="W12" i="31"/>
  <c r="V6" i="31"/>
  <c r="AE7" i="31"/>
  <c r="C9" i="32"/>
  <c r="N9" i="31"/>
  <c r="R10" i="31"/>
  <c r="U11" i="31"/>
  <c r="V14" i="31"/>
  <c r="U16" i="31"/>
  <c r="P17" i="31"/>
  <c r="W20" i="31"/>
  <c r="V24" i="31"/>
  <c r="R26" i="31"/>
  <c r="W26" i="31"/>
  <c r="N26" i="31"/>
  <c r="O26" i="31" s="1"/>
  <c r="Z26" i="31" s="1"/>
  <c r="C26" i="32"/>
  <c r="Q26" i="31"/>
  <c r="W28" i="31"/>
  <c r="AE40" i="31"/>
  <c r="C40" i="32"/>
  <c r="V11" i="31"/>
  <c r="S21" i="31"/>
  <c r="P21" i="31"/>
  <c r="U5" i="31"/>
  <c r="P6" i="31"/>
  <c r="X6" i="31"/>
  <c r="S7" i="31"/>
  <c r="V8" i="31"/>
  <c r="Q9" i="31"/>
  <c r="AE9" i="31"/>
  <c r="AF9" i="31" s="1"/>
  <c r="AH9" i="31" s="1"/>
  <c r="T10" i="31"/>
  <c r="C11" i="32"/>
  <c r="N11" i="31"/>
  <c r="Y11" i="31" s="1"/>
  <c r="R12" i="31"/>
  <c r="U13" i="31"/>
  <c r="P14" i="31"/>
  <c r="T15" i="31"/>
  <c r="C16" i="32"/>
  <c r="N16" i="31"/>
  <c r="W16" i="31"/>
  <c r="R17" i="31"/>
  <c r="U18" i="31"/>
  <c r="W19" i="31"/>
  <c r="N20" i="31"/>
  <c r="C21" i="32"/>
  <c r="R21" i="31"/>
  <c r="W25" i="31"/>
  <c r="N25" i="31"/>
  <c r="C25" i="32"/>
  <c r="T25" i="31"/>
  <c r="Q25" i="31"/>
  <c r="T26" i="31"/>
  <c r="W27" i="31"/>
  <c r="V5" i="31"/>
  <c r="Q6" i="31"/>
  <c r="R9" i="31"/>
  <c r="U10" i="31"/>
  <c r="P11" i="31"/>
  <c r="V13" i="31"/>
  <c r="AE14" i="31"/>
  <c r="P16" i="31"/>
  <c r="S17" i="31"/>
  <c r="V18" i="31"/>
  <c r="P20" i="31"/>
  <c r="U20" i="31"/>
  <c r="Q20" i="31"/>
  <c r="T21" i="31"/>
  <c r="N24" i="31"/>
  <c r="U26" i="31"/>
  <c r="X27" i="31"/>
  <c r="AE28" i="31"/>
  <c r="P28" i="31"/>
  <c r="U28" i="31"/>
  <c r="Q28" i="31"/>
  <c r="AE39" i="31"/>
  <c r="AF39" i="31" s="1"/>
  <c r="AH39" i="31" s="1"/>
  <c r="C39" i="32"/>
  <c r="Q11" i="31"/>
  <c r="U21" i="31"/>
  <c r="X23" i="31"/>
  <c r="T24" i="31"/>
  <c r="Q24" i="31"/>
  <c r="AE38" i="31"/>
  <c r="AF38" i="31" s="1"/>
  <c r="AH38" i="31" s="1"/>
  <c r="C38" i="32"/>
  <c r="C47" i="32"/>
  <c r="AE11" i="31"/>
  <c r="P5" i="31"/>
  <c r="V7" i="31"/>
  <c r="Q8" i="31"/>
  <c r="C10" i="32"/>
  <c r="W10" i="31"/>
  <c r="R11" i="31"/>
  <c r="U12" i="31"/>
  <c r="P13" i="31"/>
  <c r="W15" i="31"/>
  <c r="U17" i="31"/>
  <c r="P18" i="31"/>
  <c r="X18" i="31"/>
  <c r="U19" i="31"/>
  <c r="R19" i="31"/>
  <c r="P19" i="31"/>
  <c r="V21" i="31"/>
  <c r="AE21" i="31"/>
  <c r="AF21" i="31" s="1"/>
  <c r="AH21" i="31" s="1"/>
  <c r="X22" i="31"/>
  <c r="C24" i="32"/>
  <c r="U25" i="31"/>
  <c r="U27" i="31"/>
  <c r="R27" i="31"/>
  <c r="P27" i="31"/>
  <c r="S28" i="31"/>
  <c r="P10" i="31"/>
  <c r="S11" i="31"/>
  <c r="V12" i="31"/>
  <c r="S16" i="31"/>
  <c r="V17" i="31"/>
  <c r="W21" i="31"/>
  <c r="C17" i="32"/>
  <c r="N17" i="31"/>
  <c r="W17" i="31"/>
  <c r="V29" i="31"/>
  <c r="C44" i="32"/>
  <c r="AE46" i="31"/>
  <c r="C48" i="32"/>
  <c r="C52" i="32"/>
  <c r="S22" i="31"/>
  <c r="V23" i="31"/>
  <c r="P29" i="31"/>
  <c r="AE43" i="31"/>
  <c r="AE45" i="31"/>
  <c r="AE51" i="31"/>
  <c r="AE48" i="31"/>
  <c r="C54" i="32"/>
  <c r="AE61" i="31"/>
  <c r="C61" i="32"/>
  <c r="V22" i="31"/>
  <c r="Q23" i="31"/>
  <c r="S29" i="31"/>
  <c r="C45" i="32"/>
  <c r="C53" i="32"/>
  <c r="AE59" i="31"/>
  <c r="AE58" i="31"/>
  <c r="AF58" i="31" s="1"/>
  <c r="AH58" i="31" s="1"/>
  <c r="C60" i="32"/>
  <c r="C62" i="32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37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Y5" i="31" l="1"/>
  <c r="O8" i="31"/>
  <c r="Z8" i="31" s="1"/>
  <c r="Y30" i="31"/>
  <c r="AG55" i="31"/>
  <c r="AF60" i="31"/>
  <c r="AH60" i="31" s="1"/>
  <c r="AG60" i="31"/>
  <c r="AF8" i="31"/>
  <c r="AH8" i="31" s="1"/>
  <c r="AG8" i="31"/>
  <c r="AG23" i="31"/>
  <c r="AF23" i="31"/>
  <c r="AH23" i="31" s="1"/>
  <c r="AF50" i="31"/>
  <c r="AH50" i="31" s="1"/>
  <c r="AG50" i="31"/>
  <c r="AF42" i="31"/>
  <c r="AH42" i="31" s="1"/>
  <c r="AG42" i="31"/>
  <c r="O28" i="31"/>
  <c r="Z28" i="31" s="1"/>
  <c r="Y28" i="31"/>
  <c r="AG19" i="31"/>
  <c r="AF19" i="31"/>
  <c r="AH19" i="31" s="1"/>
  <c r="AG27" i="31"/>
  <c r="AF27" i="31"/>
  <c r="AH27" i="31" s="1"/>
  <c r="V50" i="32" a="1"/>
  <c r="V50" i="32" s="1"/>
  <c r="X50" i="31" s="1"/>
  <c r="O53" i="31"/>
  <c r="Z53" i="31" s="1"/>
  <c r="Y53" i="31"/>
  <c r="Y55" i="31"/>
  <c r="O55" i="31"/>
  <c r="Z55" i="31" s="1"/>
  <c r="Y62" i="31"/>
  <c r="O62" i="31"/>
  <c r="Z62" i="31" s="1"/>
  <c r="Y54" i="31"/>
  <c r="O54" i="31"/>
  <c r="Z54" i="31" s="1"/>
  <c r="O50" i="31"/>
  <c r="Z50" i="31" s="1"/>
  <c r="Y50" i="31"/>
  <c r="Y58" i="31"/>
  <c r="O58" i="31"/>
  <c r="Z58" i="31" s="1"/>
  <c r="X13" i="32" a="1"/>
  <c r="X13" i="32" s="1"/>
  <c r="X19" i="32" a="1"/>
  <c r="X19" i="32" s="1"/>
  <c r="Y61" i="31"/>
  <c r="O61" i="31"/>
  <c r="Z61" i="31" s="1"/>
  <c r="O57" i="31"/>
  <c r="Z57" i="31" s="1"/>
  <c r="Y57" i="31"/>
  <c r="O51" i="31"/>
  <c r="Z51" i="31" s="1"/>
  <c r="Y51" i="31"/>
  <c r="Y63" i="31"/>
  <c r="O63" i="31"/>
  <c r="Z63" i="31" s="1"/>
  <c r="O41" i="31"/>
  <c r="Z41" i="31" s="1"/>
  <c r="Y41" i="31"/>
  <c r="Y39" i="31"/>
  <c r="O39" i="31"/>
  <c r="Z39" i="31" s="1"/>
  <c r="Y15" i="31"/>
  <c r="X29" i="32" a="1"/>
  <c r="X29" i="32" s="1"/>
  <c r="O48" i="31"/>
  <c r="Z48" i="31" s="1"/>
  <c r="Y48" i="31"/>
  <c r="X59" i="32" a="1"/>
  <c r="X59" i="32" s="1"/>
  <c r="O40" i="31"/>
  <c r="Z40" i="31" s="1"/>
  <c r="Y40" i="31"/>
  <c r="O60" i="31"/>
  <c r="Z60" i="31" s="1"/>
  <c r="Y60" i="31"/>
  <c r="O59" i="31"/>
  <c r="Z59" i="31" s="1"/>
  <c r="Y59" i="31"/>
  <c r="Y46" i="31"/>
  <c r="O46" i="31"/>
  <c r="Z46" i="31" s="1"/>
  <c r="O52" i="31"/>
  <c r="Z52" i="31" s="1"/>
  <c r="Y52" i="31"/>
  <c r="Y47" i="31"/>
  <c r="O47" i="31"/>
  <c r="Z47" i="31" s="1"/>
  <c r="O42" i="31"/>
  <c r="Z42" i="31" s="1"/>
  <c r="Y42" i="31"/>
  <c r="O44" i="31"/>
  <c r="Z44" i="31" s="1"/>
  <c r="Y44" i="31"/>
  <c r="O45" i="31"/>
  <c r="Z45" i="31" s="1"/>
  <c r="Y45" i="31"/>
  <c r="O43" i="31"/>
  <c r="Z43" i="31" s="1"/>
  <c r="Y43" i="31"/>
  <c r="O49" i="31"/>
  <c r="Z49" i="31" s="1"/>
  <c r="Y49" i="31"/>
  <c r="O56" i="31"/>
  <c r="Z56" i="31" s="1"/>
  <c r="Y56" i="31"/>
  <c r="G15" i="34"/>
  <c r="R15" i="34"/>
  <c r="X15" i="34"/>
  <c r="T15" i="34"/>
  <c r="H20" i="34"/>
  <c r="L15" i="34"/>
  <c r="W15" i="34"/>
  <c r="F15" i="34"/>
  <c r="F20" i="34"/>
  <c r="I15" i="34"/>
  <c r="S15" i="34"/>
  <c r="V15" i="34"/>
  <c r="M15" i="34"/>
  <c r="J15" i="34"/>
  <c r="U15" i="34"/>
  <c r="E15" i="34"/>
  <c r="O15" i="34"/>
  <c r="Z15" i="34"/>
  <c r="AD12" i="31"/>
  <c r="AB12" i="31"/>
  <c r="F12" i="31"/>
  <c r="G12" i="31"/>
  <c r="L12" i="31"/>
  <c r="H12" i="31"/>
  <c r="AC12" i="31"/>
  <c r="I12" i="31"/>
  <c r="J12" i="31"/>
  <c r="K12" i="31"/>
  <c r="G58" i="31"/>
  <c r="H58" i="31"/>
  <c r="F58" i="31"/>
  <c r="I58" i="31"/>
  <c r="AB58" i="31"/>
  <c r="J58" i="31"/>
  <c r="AC58" i="31"/>
  <c r="K58" i="31"/>
  <c r="AD58" i="31"/>
  <c r="L58" i="31"/>
  <c r="F13" i="31"/>
  <c r="AB13" i="31"/>
  <c r="G13" i="31"/>
  <c r="L13" i="31"/>
  <c r="AC13" i="31"/>
  <c r="H13" i="31"/>
  <c r="AD13" i="31"/>
  <c r="I13" i="31"/>
  <c r="J13" i="31"/>
  <c r="K13" i="31"/>
  <c r="F21" i="31"/>
  <c r="AB21" i="31"/>
  <c r="G21" i="31"/>
  <c r="L21" i="31"/>
  <c r="AC21" i="31"/>
  <c r="H21" i="31"/>
  <c r="AD21" i="31"/>
  <c r="I21" i="31"/>
  <c r="J21" i="31"/>
  <c r="K21" i="31"/>
  <c r="F29" i="31"/>
  <c r="AB29" i="31"/>
  <c r="G29" i="31"/>
  <c r="AC29" i="31"/>
  <c r="H29" i="31"/>
  <c r="AD29" i="31"/>
  <c r="I29" i="31"/>
  <c r="L29" i="31"/>
  <c r="J29" i="31"/>
  <c r="K29" i="31"/>
  <c r="H43" i="31"/>
  <c r="I43" i="31"/>
  <c r="G43" i="31"/>
  <c r="AD43" i="31"/>
  <c r="J43" i="31"/>
  <c r="K43" i="31"/>
  <c r="L43" i="31"/>
  <c r="AB43" i="31"/>
  <c r="F43" i="31"/>
  <c r="AC43" i="31"/>
  <c r="H51" i="31"/>
  <c r="I51" i="31"/>
  <c r="J51" i="31"/>
  <c r="G51" i="31"/>
  <c r="K51" i="31"/>
  <c r="AD51" i="31"/>
  <c r="L51" i="31"/>
  <c r="AB51" i="31"/>
  <c r="F51" i="31"/>
  <c r="AC51" i="31"/>
  <c r="H59" i="31"/>
  <c r="I59" i="31"/>
  <c r="J59" i="31"/>
  <c r="AD59" i="31"/>
  <c r="K59" i="31"/>
  <c r="L59" i="31"/>
  <c r="G59" i="31"/>
  <c r="AB59" i="31"/>
  <c r="F59" i="31"/>
  <c r="AC59" i="31"/>
  <c r="AD20" i="31"/>
  <c r="F20" i="31"/>
  <c r="G20" i="31"/>
  <c r="L20" i="31"/>
  <c r="H20" i="31"/>
  <c r="I20" i="31"/>
  <c r="J20" i="31"/>
  <c r="AC20" i="31"/>
  <c r="AB20" i="31"/>
  <c r="K20" i="31"/>
  <c r="G30" i="31"/>
  <c r="H30" i="31"/>
  <c r="I30" i="31"/>
  <c r="F30" i="31"/>
  <c r="J30" i="31"/>
  <c r="AB30" i="31"/>
  <c r="K30" i="31"/>
  <c r="AC30" i="31"/>
  <c r="L30" i="31"/>
  <c r="AD30" i="31"/>
  <c r="G14" i="31"/>
  <c r="H14" i="31"/>
  <c r="F14" i="31"/>
  <c r="I14" i="31"/>
  <c r="J14" i="31"/>
  <c r="AB14" i="31"/>
  <c r="K14" i="31"/>
  <c r="AD14" i="31"/>
  <c r="AC14" i="31"/>
  <c r="L14" i="31"/>
  <c r="I60" i="31"/>
  <c r="AB60" i="31"/>
  <c r="J60" i="31"/>
  <c r="AC60" i="31"/>
  <c r="K60" i="31"/>
  <c r="AD60" i="31"/>
  <c r="L60" i="31"/>
  <c r="F60" i="31"/>
  <c r="G60" i="31"/>
  <c r="H60" i="31"/>
  <c r="AC7" i="31"/>
  <c r="H7" i="31"/>
  <c r="AD7" i="31"/>
  <c r="I7" i="31"/>
  <c r="G7" i="31"/>
  <c r="J7" i="31"/>
  <c r="K7" i="31"/>
  <c r="L7" i="31"/>
  <c r="F7" i="31"/>
  <c r="AB7" i="31"/>
  <c r="AC15" i="31"/>
  <c r="H15" i="31"/>
  <c r="AB15" i="31"/>
  <c r="AD15" i="31"/>
  <c r="I15" i="31"/>
  <c r="J15" i="31"/>
  <c r="K15" i="31"/>
  <c r="F15" i="31"/>
  <c r="L15" i="31"/>
  <c r="G15" i="31"/>
  <c r="AC23" i="31"/>
  <c r="H23" i="31"/>
  <c r="F23" i="31"/>
  <c r="G23" i="31"/>
  <c r="AD23" i="31"/>
  <c r="I23" i="31"/>
  <c r="J23" i="31"/>
  <c r="AB23" i="31"/>
  <c r="K23" i="31"/>
  <c r="L23" i="31"/>
  <c r="J45" i="31"/>
  <c r="K45" i="31"/>
  <c r="L45" i="31"/>
  <c r="AB45" i="31"/>
  <c r="F45" i="31"/>
  <c r="AC45" i="31"/>
  <c r="I45" i="31"/>
  <c r="G45" i="31"/>
  <c r="AD45" i="31"/>
  <c r="H45" i="31"/>
  <c r="J53" i="31"/>
  <c r="K53" i="31"/>
  <c r="L53" i="31"/>
  <c r="AB53" i="31"/>
  <c r="F53" i="31"/>
  <c r="AC53" i="31"/>
  <c r="G53" i="31"/>
  <c r="AD53" i="31"/>
  <c r="H53" i="31"/>
  <c r="I53" i="31"/>
  <c r="J61" i="31"/>
  <c r="K61" i="31"/>
  <c r="L61" i="31"/>
  <c r="AB61" i="31"/>
  <c r="F61" i="31"/>
  <c r="AC61" i="31"/>
  <c r="G61" i="31"/>
  <c r="AD61" i="31"/>
  <c r="I61" i="31"/>
  <c r="H61" i="31"/>
  <c r="AD28" i="31"/>
  <c r="AC28" i="31"/>
  <c r="F28" i="31"/>
  <c r="K28" i="31"/>
  <c r="G28" i="31"/>
  <c r="H28" i="31"/>
  <c r="L28" i="31"/>
  <c r="I28" i="31"/>
  <c r="J28" i="31"/>
  <c r="AB28" i="31"/>
  <c r="G6" i="31"/>
  <c r="H6" i="31"/>
  <c r="I6" i="31"/>
  <c r="J6" i="31"/>
  <c r="AB6" i="31"/>
  <c r="K6" i="31"/>
  <c r="F6" i="31"/>
  <c r="AC6" i="31"/>
  <c r="L6" i="31"/>
  <c r="AD6" i="31"/>
  <c r="I44" i="31"/>
  <c r="AB44" i="31"/>
  <c r="J44" i="31"/>
  <c r="AC44" i="31"/>
  <c r="K44" i="31"/>
  <c r="AD44" i="31"/>
  <c r="L44" i="31"/>
  <c r="F44" i="31"/>
  <c r="G44" i="31"/>
  <c r="H44" i="31"/>
  <c r="I16" i="31"/>
  <c r="G16" i="31"/>
  <c r="J16" i="31"/>
  <c r="AB16" i="31"/>
  <c r="K16" i="31"/>
  <c r="AC16" i="31"/>
  <c r="L16" i="31"/>
  <c r="AD16" i="31"/>
  <c r="F16" i="31"/>
  <c r="H16" i="31"/>
  <c r="I24" i="31"/>
  <c r="J24" i="31"/>
  <c r="AB24" i="31"/>
  <c r="K24" i="31"/>
  <c r="AC24" i="31"/>
  <c r="L24" i="31"/>
  <c r="G24" i="31"/>
  <c r="H24" i="31"/>
  <c r="AD24" i="31"/>
  <c r="F24" i="31"/>
  <c r="K46" i="31"/>
  <c r="AD46" i="31"/>
  <c r="L46" i="31"/>
  <c r="J46" i="31"/>
  <c r="F46" i="31"/>
  <c r="G46" i="31"/>
  <c r="H46" i="31"/>
  <c r="I46" i="31"/>
  <c r="AB46" i="31"/>
  <c r="AC46" i="31"/>
  <c r="K54" i="31"/>
  <c r="AD54" i="31"/>
  <c r="AC54" i="31"/>
  <c r="L54" i="31"/>
  <c r="F54" i="31"/>
  <c r="J54" i="31"/>
  <c r="G54" i="31"/>
  <c r="H54" i="31"/>
  <c r="I54" i="31"/>
  <c r="AB54" i="31"/>
  <c r="K62" i="31"/>
  <c r="AD62" i="31"/>
  <c r="L62" i="31"/>
  <c r="AB62" i="31"/>
  <c r="F62" i="31"/>
  <c r="J62" i="31"/>
  <c r="G62" i="31"/>
  <c r="H62" i="31"/>
  <c r="I62" i="31"/>
  <c r="AC62" i="31"/>
  <c r="G22" i="31"/>
  <c r="H22" i="31"/>
  <c r="AD22" i="31"/>
  <c r="F22" i="31"/>
  <c r="I22" i="31"/>
  <c r="J22" i="31"/>
  <c r="AB22" i="31"/>
  <c r="K22" i="31"/>
  <c r="AC22" i="31"/>
  <c r="L22" i="31"/>
  <c r="I52" i="31"/>
  <c r="AB52" i="31"/>
  <c r="J52" i="31"/>
  <c r="AC52" i="31"/>
  <c r="K52" i="31"/>
  <c r="AD52" i="31"/>
  <c r="L52" i="31"/>
  <c r="F52" i="31"/>
  <c r="H52" i="31"/>
  <c r="G52" i="31"/>
  <c r="I8" i="31"/>
  <c r="J8" i="31"/>
  <c r="AB8" i="31"/>
  <c r="K8" i="31"/>
  <c r="AC8" i="31"/>
  <c r="L8" i="31"/>
  <c r="AD8" i="31"/>
  <c r="F8" i="31"/>
  <c r="G8" i="31"/>
  <c r="H8" i="31"/>
  <c r="J9" i="31"/>
  <c r="K9" i="31"/>
  <c r="AD9" i="31"/>
  <c r="L9" i="31"/>
  <c r="F9" i="31"/>
  <c r="AB9" i="31"/>
  <c r="G9" i="31"/>
  <c r="I9" i="31"/>
  <c r="AC9" i="31"/>
  <c r="H9" i="31"/>
  <c r="J17" i="31"/>
  <c r="I17" i="31"/>
  <c r="K17" i="31"/>
  <c r="L17" i="31"/>
  <c r="AC17" i="31"/>
  <c r="F17" i="31"/>
  <c r="AB17" i="31"/>
  <c r="G17" i="31"/>
  <c r="H17" i="31"/>
  <c r="AD17" i="31"/>
  <c r="J25" i="31"/>
  <c r="K25" i="31"/>
  <c r="L25" i="31"/>
  <c r="AD25" i="31"/>
  <c r="F25" i="31"/>
  <c r="AB25" i="31"/>
  <c r="G25" i="31"/>
  <c r="I25" i="31"/>
  <c r="AC25" i="31"/>
  <c r="H25" i="31"/>
  <c r="L39" i="31"/>
  <c r="K39" i="31"/>
  <c r="AB39" i="31"/>
  <c r="F39" i="31"/>
  <c r="AC39" i="31"/>
  <c r="G39" i="31"/>
  <c r="AD39" i="31"/>
  <c r="H39" i="31"/>
  <c r="I39" i="31"/>
  <c r="J39" i="31"/>
  <c r="L47" i="31"/>
  <c r="K47" i="31"/>
  <c r="AB47" i="31"/>
  <c r="F47" i="31"/>
  <c r="AC47" i="31"/>
  <c r="G47" i="31"/>
  <c r="AD47" i="31"/>
  <c r="H47" i="31"/>
  <c r="I47" i="31"/>
  <c r="J47" i="31"/>
  <c r="L55" i="31"/>
  <c r="K55" i="31"/>
  <c r="AB55" i="31"/>
  <c r="F55" i="31"/>
  <c r="AC55" i="31"/>
  <c r="G55" i="31"/>
  <c r="AD55" i="31"/>
  <c r="H55" i="31"/>
  <c r="I55" i="31"/>
  <c r="J55" i="31"/>
  <c r="L63" i="31"/>
  <c r="K63" i="31"/>
  <c r="AB63" i="31"/>
  <c r="F63" i="31"/>
  <c r="AC63" i="31"/>
  <c r="G63" i="31"/>
  <c r="AD63" i="31"/>
  <c r="H63" i="31"/>
  <c r="I63" i="31"/>
  <c r="J63" i="31"/>
  <c r="G42" i="31"/>
  <c r="H42" i="31"/>
  <c r="I42" i="31"/>
  <c r="AB42" i="31"/>
  <c r="J42" i="31"/>
  <c r="AC42" i="31"/>
  <c r="K42" i="31"/>
  <c r="AD42" i="31"/>
  <c r="L42" i="31"/>
  <c r="F42" i="31"/>
  <c r="AB18" i="31"/>
  <c r="K18" i="31"/>
  <c r="AC18" i="31"/>
  <c r="L18" i="31"/>
  <c r="AD18" i="31"/>
  <c r="F18" i="31"/>
  <c r="J18" i="31"/>
  <c r="G18" i="31"/>
  <c r="I18" i="31"/>
  <c r="H18" i="31"/>
  <c r="F40" i="31"/>
  <c r="G40" i="31"/>
  <c r="H40" i="31"/>
  <c r="L40" i="31"/>
  <c r="I40" i="31"/>
  <c r="AB40" i="31"/>
  <c r="J40" i="31"/>
  <c r="AC40" i="31"/>
  <c r="K40" i="31"/>
  <c r="AD40" i="31"/>
  <c r="G50" i="31"/>
  <c r="H50" i="31"/>
  <c r="F50" i="31"/>
  <c r="I50" i="31"/>
  <c r="AB50" i="31"/>
  <c r="J50" i="31"/>
  <c r="AC50" i="31"/>
  <c r="K50" i="31"/>
  <c r="AD50" i="31"/>
  <c r="L50" i="31"/>
  <c r="AB10" i="31"/>
  <c r="K10" i="31"/>
  <c r="AC10" i="31"/>
  <c r="L10" i="31"/>
  <c r="AD10" i="31"/>
  <c r="F10" i="31"/>
  <c r="J10" i="31"/>
  <c r="G10" i="31"/>
  <c r="H10" i="31"/>
  <c r="I10" i="31"/>
  <c r="AB26" i="31"/>
  <c r="K26" i="31"/>
  <c r="AC26" i="31"/>
  <c r="L26" i="31"/>
  <c r="AD26" i="31"/>
  <c r="F26" i="31"/>
  <c r="G26" i="31"/>
  <c r="H26" i="31"/>
  <c r="I26" i="31"/>
  <c r="J26" i="31"/>
  <c r="F48" i="31"/>
  <c r="G48" i="31"/>
  <c r="H48" i="31"/>
  <c r="L48" i="31"/>
  <c r="I48" i="31"/>
  <c r="AB48" i="31"/>
  <c r="J48" i="31"/>
  <c r="AC48" i="31"/>
  <c r="K48" i="31"/>
  <c r="AD48" i="31"/>
  <c r="F56" i="31"/>
  <c r="G56" i="31"/>
  <c r="L56" i="31"/>
  <c r="H56" i="31"/>
  <c r="I56" i="31"/>
  <c r="AB56" i="31"/>
  <c r="J56" i="31"/>
  <c r="AC56" i="31"/>
  <c r="K56" i="31"/>
  <c r="AD56" i="31"/>
  <c r="L11" i="31"/>
  <c r="K11" i="31"/>
  <c r="F11" i="31"/>
  <c r="AB11" i="31"/>
  <c r="G11" i="31"/>
  <c r="AC11" i="31"/>
  <c r="H11" i="31"/>
  <c r="AD11" i="31"/>
  <c r="I11" i="31"/>
  <c r="J11" i="31"/>
  <c r="L19" i="31"/>
  <c r="F19" i="31"/>
  <c r="J19" i="31"/>
  <c r="AB19" i="31"/>
  <c r="G19" i="31"/>
  <c r="AC19" i="31"/>
  <c r="H19" i="31"/>
  <c r="K19" i="31"/>
  <c r="AD19" i="31"/>
  <c r="I19" i="31"/>
  <c r="L27" i="31"/>
  <c r="K27" i="31"/>
  <c r="F27" i="31"/>
  <c r="AB27" i="31"/>
  <c r="G27" i="31"/>
  <c r="AC27" i="31"/>
  <c r="H27" i="31"/>
  <c r="J27" i="31"/>
  <c r="AD27" i="31"/>
  <c r="I27" i="31"/>
  <c r="F41" i="31"/>
  <c r="AC41" i="31"/>
  <c r="G41" i="31"/>
  <c r="AD41" i="31"/>
  <c r="H41" i="31"/>
  <c r="AB41" i="31"/>
  <c r="I41" i="31"/>
  <c r="J41" i="31"/>
  <c r="K41" i="31"/>
  <c r="L41" i="31"/>
  <c r="F49" i="31"/>
  <c r="AC49" i="31"/>
  <c r="G49" i="31"/>
  <c r="AD49" i="31"/>
  <c r="H49" i="31"/>
  <c r="I49" i="31"/>
  <c r="J49" i="31"/>
  <c r="K49" i="31"/>
  <c r="AB49" i="31"/>
  <c r="L49" i="31"/>
  <c r="F57" i="31"/>
  <c r="AC57" i="31"/>
  <c r="G57" i="31"/>
  <c r="AD57" i="31"/>
  <c r="H57" i="31"/>
  <c r="I57" i="31"/>
  <c r="J57" i="31"/>
  <c r="AB57" i="31"/>
  <c r="K57" i="31"/>
  <c r="L57" i="31"/>
  <c r="E5" i="34"/>
  <c r="Y38" i="31"/>
  <c r="O38" i="31"/>
  <c r="Z38" i="31" s="1"/>
  <c r="F5" i="31"/>
  <c r="G5" i="31"/>
  <c r="L5" i="31"/>
  <c r="AB5" i="31"/>
  <c r="H5" i="31"/>
  <c r="AC5" i="31"/>
  <c r="I5" i="31"/>
  <c r="AD5" i="31"/>
  <c r="J5" i="31"/>
  <c r="K5" i="31"/>
  <c r="G38" i="31"/>
  <c r="H38" i="31"/>
  <c r="I38" i="31"/>
  <c r="J38" i="31"/>
  <c r="K38" i="31"/>
  <c r="L38" i="31"/>
  <c r="AB38" i="31"/>
  <c r="AC38" i="31"/>
  <c r="F38" i="31"/>
  <c r="AD38" i="31"/>
  <c r="V17" i="32" a="1"/>
  <c r="V17" i="32" s="1"/>
  <c r="X17" i="31" s="1"/>
  <c r="X17" i="32" a="1"/>
  <c r="X17" i="32" s="1"/>
  <c r="V53" i="32" a="1"/>
  <c r="V53" i="32" s="1"/>
  <c r="X53" i="31" s="1"/>
  <c r="X53" i="32" a="1"/>
  <c r="X53" i="32" s="1"/>
  <c r="X24" i="32" a="1"/>
  <c r="X24" i="32" s="1"/>
  <c r="V24" i="32" a="1"/>
  <c r="V24" i="32" s="1"/>
  <c r="V47" i="32" a="1"/>
  <c r="V47" i="32" s="1"/>
  <c r="X47" i="31" s="1"/>
  <c r="X47" i="32" a="1"/>
  <c r="X47" i="32" s="1"/>
  <c r="V54" i="32" a="1"/>
  <c r="V54" i="32" s="1"/>
  <c r="X54" i="31" s="1"/>
  <c r="X54" i="32" a="1"/>
  <c r="X54" i="32" s="1"/>
  <c r="V52" i="32" a="1"/>
  <c r="V52" i="32" s="1"/>
  <c r="X52" i="31" s="1"/>
  <c r="X52" i="32" a="1"/>
  <c r="X52" i="32" s="1"/>
  <c r="X48" i="32" a="1"/>
  <c r="X48" i="32" s="1"/>
  <c r="V48" i="32" a="1"/>
  <c r="V48" i="32" s="1"/>
  <c r="X48" i="31" s="1"/>
  <c r="V25" i="32" a="1"/>
  <c r="V25" i="32" s="1"/>
  <c r="X25" i="31" s="1"/>
  <c r="X25" i="32" a="1"/>
  <c r="X25" i="32" s="1"/>
  <c r="X12" i="32" a="1"/>
  <c r="X12" i="32" s="1"/>
  <c r="V12" i="32" a="1"/>
  <c r="V12" i="32" s="1"/>
  <c r="V38" i="32" a="1"/>
  <c r="V38" i="32" s="1"/>
  <c r="X38" i="31" s="1"/>
  <c r="X38" i="32" a="1"/>
  <c r="X38" i="32" s="1"/>
  <c r="V62" i="32" a="1"/>
  <c r="V62" i="32" s="1"/>
  <c r="X62" i="31" s="1"/>
  <c r="X62" i="32" a="1"/>
  <c r="X62" i="32" s="1"/>
  <c r="V40" i="32" a="1"/>
  <c r="V40" i="32" s="1"/>
  <c r="X40" i="31" s="1"/>
  <c r="X40" i="32" a="1"/>
  <c r="X40" i="32" s="1"/>
  <c r="V60" i="32" a="1"/>
  <c r="V60" i="32" s="1"/>
  <c r="X60" i="31" s="1"/>
  <c r="X60" i="32" a="1"/>
  <c r="X60" i="32" s="1"/>
  <c r="V44" i="32" a="1"/>
  <c r="V44" i="32" s="1"/>
  <c r="X44" i="31" s="1"/>
  <c r="X44" i="32" a="1"/>
  <c r="X44" i="32" s="1"/>
  <c r="X39" i="32" a="1"/>
  <c r="X39" i="32" s="1"/>
  <c r="V39" i="32" a="1"/>
  <c r="V39" i="32" s="1"/>
  <c r="X39" i="31" s="1"/>
  <c r="X45" i="32" a="1"/>
  <c r="X45" i="32" s="1"/>
  <c r="V45" i="32" a="1"/>
  <c r="V45" i="32" s="1"/>
  <c r="X45" i="31" s="1"/>
  <c r="V10" i="32" a="1"/>
  <c r="V10" i="32" s="1"/>
  <c r="X10" i="31" s="1"/>
  <c r="X10" i="32" a="1"/>
  <c r="X10" i="32" s="1"/>
  <c r="V61" i="32" a="1"/>
  <c r="V61" i="32" s="1"/>
  <c r="X61" i="31" s="1"/>
  <c r="X61" i="32" a="1"/>
  <c r="X61" i="32" s="1"/>
  <c r="V16" i="32" a="1"/>
  <c r="V16" i="32" s="1"/>
  <c r="X16" i="32" a="1"/>
  <c r="X16" i="32" s="1"/>
  <c r="V11" i="32" a="1"/>
  <c r="V11" i="32" s="1"/>
  <c r="X11" i="31" s="1"/>
  <c r="X11" i="32" a="1"/>
  <c r="X11" i="32" s="1"/>
  <c r="V9" i="32" a="1"/>
  <c r="V9" i="32" s="1"/>
  <c r="X9" i="31" s="1"/>
  <c r="X9" i="32" a="1"/>
  <c r="X9" i="32" s="1"/>
  <c r="X21" i="32" a="1"/>
  <c r="X21" i="32" s="1"/>
  <c r="V21" i="32" a="1"/>
  <c r="V21" i="32" s="1"/>
  <c r="X21" i="31" s="1"/>
  <c r="V26" i="32" a="1"/>
  <c r="V26" i="32" s="1"/>
  <c r="X26" i="32" a="1"/>
  <c r="X26" i="32" s="1"/>
  <c r="AC58" i="34"/>
  <c r="P54" i="34"/>
  <c r="AC41" i="34"/>
  <c r="AG40" i="31"/>
  <c r="AF40" i="31"/>
  <c r="AH40" i="31" s="1"/>
  <c r="AG11" i="31"/>
  <c r="AF11" i="31"/>
  <c r="AH11" i="31" s="1"/>
  <c r="O9" i="31"/>
  <c r="Z9" i="31" s="1"/>
  <c r="Y9" i="31"/>
  <c r="Y21" i="31"/>
  <c r="AG9" i="31"/>
  <c r="J51" i="34"/>
  <c r="W51" i="34"/>
  <c r="K51" i="34"/>
  <c r="L51" i="34"/>
  <c r="Y51" i="34"/>
  <c r="E51" i="34"/>
  <c r="M51" i="34"/>
  <c r="F51" i="34"/>
  <c r="N51" i="34"/>
  <c r="S51" i="34"/>
  <c r="AA51" i="34"/>
  <c r="G51" i="34"/>
  <c r="O51" i="34"/>
  <c r="T51" i="34"/>
  <c r="AB51" i="34"/>
  <c r="H51" i="34"/>
  <c r="U51" i="34"/>
  <c r="I51" i="34"/>
  <c r="R51" i="34"/>
  <c r="V51" i="34"/>
  <c r="X51" i="34"/>
  <c r="Z51" i="34"/>
  <c r="J44" i="34"/>
  <c r="T44" i="34"/>
  <c r="AB44" i="34"/>
  <c r="K44" i="34"/>
  <c r="U44" i="34"/>
  <c r="L44" i="34"/>
  <c r="V44" i="34"/>
  <c r="E44" i="34"/>
  <c r="M44" i="34"/>
  <c r="W44" i="34"/>
  <c r="F44" i="34"/>
  <c r="N44" i="34"/>
  <c r="X44" i="34"/>
  <c r="G44" i="34"/>
  <c r="O44" i="34"/>
  <c r="Y44" i="34"/>
  <c r="H44" i="34"/>
  <c r="R44" i="34"/>
  <c r="Z44" i="34"/>
  <c r="S44" i="34"/>
  <c r="AA44" i="34"/>
  <c r="I44" i="34"/>
  <c r="K46" i="34"/>
  <c r="V46" i="34"/>
  <c r="L46" i="34"/>
  <c r="E46" i="34"/>
  <c r="M46" i="34"/>
  <c r="X46" i="34"/>
  <c r="F46" i="34"/>
  <c r="N46" i="34"/>
  <c r="G46" i="34"/>
  <c r="O46" i="34"/>
  <c r="R46" i="34"/>
  <c r="Z46" i="34"/>
  <c r="H46" i="34"/>
  <c r="S46" i="34"/>
  <c r="AA46" i="34"/>
  <c r="I46" i="34"/>
  <c r="T46" i="34"/>
  <c r="AB46" i="34"/>
  <c r="U46" i="34"/>
  <c r="J46" i="34"/>
  <c r="W46" i="34"/>
  <c r="Y46" i="34"/>
  <c r="AC48" i="34"/>
  <c r="P52" i="34"/>
  <c r="AC40" i="34"/>
  <c r="AC61" i="34"/>
  <c r="P61" i="34"/>
  <c r="P59" i="34"/>
  <c r="P56" i="34"/>
  <c r="AC50" i="34"/>
  <c r="O20" i="31"/>
  <c r="Z20" i="31" s="1"/>
  <c r="Y20" i="31"/>
  <c r="O25" i="31"/>
  <c r="Z25" i="31" s="1"/>
  <c r="Y25" i="31"/>
  <c r="AF7" i="31"/>
  <c r="AH7" i="31" s="1"/>
  <c r="AG7" i="31"/>
  <c r="Y10" i="31"/>
  <c r="AG39" i="31"/>
  <c r="U7" i="34"/>
  <c r="Y7" i="34"/>
  <c r="R7" i="34"/>
  <c r="Z7" i="34"/>
  <c r="X7" i="34"/>
  <c r="E7" i="34"/>
  <c r="M7" i="34"/>
  <c r="F7" i="34"/>
  <c r="AB7" i="34"/>
  <c r="G7" i="34"/>
  <c r="O7" i="34"/>
  <c r="S7" i="34"/>
  <c r="I7" i="34"/>
  <c r="T7" i="34"/>
  <c r="V7" i="34"/>
  <c r="K7" i="34"/>
  <c r="W7" i="34"/>
  <c r="H7" i="34"/>
  <c r="J7" i="34"/>
  <c r="L7" i="34"/>
  <c r="Y6" i="34"/>
  <c r="S6" i="34"/>
  <c r="U6" i="34"/>
  <c r="V6" i="34"/>
  <c r="Z6" i="34"/>
  <c r="I6" i="34"/>
  <c r="J6" i="34"/>
  <c r="AB6" i="34"/>
  <c r="K6" i="34"/>
  <c r="L6" i="34"/>
  <c r="R6" i="34"/>
  <c r="E6" i="34"/>
  <c r="M6" i="34"/>
  <c r="T6" i="34"/>
  <c r="W6" i="34"/>
  <c r="G6" i="34"/>
  <c r="O6" i="34"/>
  <c r="X6" i="34"/>
  <c r="H6" i="34"/>
  <c r="F6" i="34"/>
  <c r="AC52" i="34"/>
  <c r="P40" i="34"/>
  <c r="AC59" i="34"/>
  <c r="AG58" i="31"/>
  <c r="AF45" i="31"/>
  <c r="AH45" i="31" s="1"/>
  <c r="AG45" i="31"/>
  <c r="O24" i="31"/>
  <c r="Z24" i="31" s="1"/>
  <c r="Y24" i="31"/>
  <c r="AG14" i="31"/>
  <c r="AF14" i="31"/>
  <c r="AH14" i="31" s="1"/>
  <c r="AG47" i="31"/>
  <c r="V30" i="34"/>
  <c r="W30" i="34"/>
  <c r="X30" i="34"/>
  <c r="Y30" i="34"/>
  <c r="R30" i="34"/>
  <c r="Z30" i="34"/>
  <c r="S30" i="34"/>
  <c r="T30" i="34"/>
  <c r="AB30" i="34"/>
  <c r="U30" i="34"/>
  <c r="L30" i="34"/>
  <c r="E30" i="34"/>
  <c r="M30" i="34"/>
  <c r="F30" i="34"/>
  <c r="G30" i="34"/>
  <c r="O30" i="34"/>
  <c r="H30" i="34"/>
  <c r="I30" i="34"/>
  <c r="J30" i="34"/>
  <c r="K30" i="34"/>
  <c r="L53" i="34"/>
  <c r="Y53" i="34"/>
  <c r="E53" i="34"/>
  <c r="M53" i="34"/>
  <c r="F53" i="34"/>
  <c r="N53" i="34"/>
  <c r="S53" i="34"/>
  <c r="AA53" i="34"/>
  <c r="G53" i="34"/>
  <c r="O53" i="34"/>
  <c r="H53" i="34"/>
  <c r="U53" i="34"/>
  <c r="I53" i="34"/>
  <c r="V53" i="34"/>
  <c r="J53" i="34"/>
  <c r="W53" i="34"/>
  <c r="AB53" i="34"/>
  <c r="K53" i="34"/>
  <c r="R53" i="34"/>
  <c r="T53" i="34"/>
  <c r="X53" i="34"/>
  <c r="Z53" i="34"/>
  <c r="I49" i="34"/>
  <c r="U49" i="34"/>
  <c r="J49" i="34"/>
  <c r="K49" i="34"/>
  <c r="W49" i="34"/>
  <c r="L49" i="34"/>
  <c r="E49" i="34"/>
  <c r="M49" i="34"/>
  <c r="Y49" i="34"/>
  <c r="F49" i="34"/>
  <c r="N49" i="34"/>
  <c r="R49" i="34"/>
  <c r="Z49" i="34"/>
  <c r="G49" i="34"/>
  <c r="O49" i="34"/>
  <c r="S49" i="34"/>
  <c r="AA49" i="34"/>
  <c r="T49" i="34"/>
  <c r="H49" i="34"/>
  <c r="V49" i="34"/>
  <c r="X49" i="34"/>
  <c r="AB49" i="34"/>
  <c r="H57" i="34"/>
  <c r="U57" i="34"/>
  <c r="I57" i="34"/>
  <c r="J57" i="34"/>
  <c r="W57" i="34"/>
  <c r="K57" i="34"/>
  <c r="L57" i="34"/>
  <c r="Y57" i="34"/>
  <c r="E57" i="34"/>
  <c r="M57" i="34"/>
  <c r="R57" i="34"/>
  <c r="Z57" i="34"/>
  <c r="F57" i="34"/>
  <c r="N57" i="34"/>
  <c r="S57" i="34"/>
  <c r="AA57" i="34"/>
  <c r="G57" i="34"/>
  <c r="AB57" i="34"/>
  <c r="O57" i="34"/>
  <c r="T57" i="34"/>
  <c r="V57" i="34"/>
  <c r="X57" i="34"/>
  <c r="P42" i="34"/>
  <c r="P41" i="34"/>
  <c r="AC38" i="34"/>
  <c r="P60" i="34"/>
  <c r="Y8" i="34"/>
  <c r="U8" i="34"/>
  <c r="V8" i="34"/>
  <c r="X8" i="34"/>
  <c r="I8" i="34"/>
  <c r="Z8" i="34"/>
  <c r="J8" i="34"/>
  <c r="K8" i="34"/>
  <c r="AB8" i="34"/>
  <c r="R8" i="34"/>
  <c r="E8" i="34"/>
  <c r="M8" i="34"/>
  <c r="S8" i="34"/>
  <c r="T8" i="34"/>
  <c r="G8" i="34"/>
  <c r="O8" i="34"/>
  <c r="W8" i="34"/>
  <c r="F8" i="34"/>
  <c r="H8" i="34"/>
  <c r="L8" i="34"/>
  <c r="AF61" i="31"/>
  <c r="AH61" i="31" s="1"/>
  <c r="AG61" i="31"/>
  <c r="AF53" i="31"/>
  <c r="AH53" i="31" s="1"/>
  <c r="AG53" i="31"/>
  <c r="AG43" i="31"/>
  <c r="AF43" i="31"/>
  <c r="AH43" i="31" s="1"/>
  <c r="Y17" i="31"/>
  <c r="O17" i="31"/>
  <c r="Z17" i="31" s="1"/>
  <c r="Y16" i="31"/>
  <c r="O16" i="31"/>
  <c r="Z16" i="31" s="1"/>
  <c r="Y26" i="31"/>
  <c r="V26" i="34"/>
  <c r="I26" i="34"/>
  <c r="W26" i="34"/>
  <c r="X26" i="34"/>
  <c r="Y26" i="34"/>
  <c r="R26" i="34"/>
  <c r="Z26" i="34"/>
  <c r="E26" i="34"/>
  <c r="M26" i="34"/>
  <c r="S26" i="34"/>
  <c r="T26" i="34"/>
  <c r="AB26" i="34"/>
  <c r="U26" i="34"/>
  <c r="K26" i="34"/>
  <c r="L26" i="34"/>
  <c r="O26" i="34"/>
  <c r="F26" i="34"/>
  <c r="G26" i="34"/>
  <c r="H26" i="34"/>
  <c r="J26" i="34"/>
  <c r="V12" i="34"/>
  <c r="I12" i="34"/>
  <c r="W12" i="34"/>
  <c r="J12" i="34"/>
  <c r="X12" i="34"/>
  <c r="K12" i="34"/>
  <c r="Y12" i="34"/>
  <c r="R12" i="34"/>
  <c r="Z12" i="34"/>
  <c r="E12" i="34"/>
  <c r="M12" i="34"/>
  <c r="S12" i="34"/>
  <c r="T12" i="34"/>
  <c r="AB12" i="34"/>
  <c r="G12" i="34"/>
  <c r="O12" i="34"/>
  <c r="U12" i="34"/>
  <c r="F12" i="34"/>
  <c r="H12" i="34"/>
  <c r="L12" i="34"/>
  <c r="F45" i="34"/>
  <c r="N45" i="34"/>
  <c r="Y45" i="34"/>
  <c r="G45" i="34"/>
  <c r="O45" i="34"/>
  <c r="R45" i="34"/>
  <c r="H45" i="34"/>
  <c r="S45" i="34"/>
  <c r="AA45" i="34"/>
  <c r="I45" i="34"/>
  <c r="J45" i="34"/>
  <c r="U45" i="34"/>
  <c r="K45" i="34"/>
  <c r="V45" i="34"/>
  <c r="L45" i="34"/>
  <c r="W45" i="34"/>
  <c r="M45" i="34"/>
  <c r="T45" i="34"/>
  <c r="X45" i="34"/>
  <c r="Z45" i="34"/>
  <c r="E45" i="34"/>
  <c r="AB45" i="34"/>
  <c r="G47" i="34"/>
  <c r="O47" i="34"/>
  <c r="S47" i="34"/>
  <c r="AA47" i="34"/>
  <c r="H47" i="34"/>
  <c r="I47" i="34"/>
  <c r="U47" i="34"/>
  <c r="J47" i="34"/>
  <c r="K47" i="34"/>
  <c r="W47" i="34"/>
  <c r="L47" i="34"/>
  <c r="X47" i="34"/>
  <c r="E47" i="34"/>
  <c r="M47" i="34"/>
  <c r="Y47" i="34"/>
  <c r="F47" i="34"/>
  <c r="N47" i="34"/>
  <c r="R47" i="34"/>
  <c r="T47" i="34"/>
  <c r="V47" i="34"/>
  <c r="Z47" i="34"/>
  <c r="AB47" i="34"/>
  <c r="P37" i="34"/>
  <c r="AC54" i="34"/>
  <c r="P48" i="34"/>
  <c r="AG46" i="31"/>
  <c r="AF46" i="31"/>
  <c r="AH46" i="31" s="1"/>
  <c r="AG54" i="31"/>
  <c r="AF54" i="31"/>
  <c r="AH54" i="31" s="1"/>
  <c r="AG51" i="31"/>
  <c r="AF51" i="31"/>
  <c r="AH51" i="31" s="1"/>
  <c r="AF16" i="31"/>
  <c r="AH16" i="31" s="1"/>
  <c r="AG16" i="31"/>
  <c r="AG6" i="31"/>
  <c r="AF6" i="31"/>
  <c r="AH6" i="31" s="1"/>
  <c r="O11" i="31"/>
  <c r="Z11" i="31" s="1"/>
  <c r="AG21" i="31"/>
  <c r="V22" i="34"/>
  <c r="I22" i="34"/>
  <c r="W22" i="34"/>
  <c r="J22" i="34"/>
  <c r="X22" i="34"/>
  <c r="K22" i="34"/>
  <c r="Y22" i="34"/>
  <c r="R22" i="34"/>
  <c r="Z22" i="34"/>
  <c r="E22" i="34"/>
  <c r="M22" i="34"/>
  <c r="S22" i="34"/>
  <c r="T22" i="34"/>
  <c r="AB22" i="34"/>
  <c r="U22" i="34"/>
  <c r="O22" i="34"/>
  <c r="F22" i="34"/>
  <c r="G22" i="34"/>
  <c r="H22" i="34"/>
  <c r="L22" i="34"/>
  <c r="E43" i="34"/>
  <c r="M43" i="34"/>
  <c r="W43" i="34"/>
  <c r="F43" i="34"/>
  <c r="N43" i="34"/>
  <c r="X43" i="34"/>
  <c r="G43" i="34"/>
  <c r="O43" i="34"/>
  <c r="Y43" i="34"/>
  <c r="H43" i="34"/>
  <c r="R43" i="34"/>
  <c r="Z43" i="34"/>
  <c r="I43" i="34"/>
  <c r="S43" i="34"/>
  <c r="AA43" i="34"/>
  <c r="J43" i="34"/>
  <c r="T43" i="34"/>
  <c r="AB43" i="34"/>
  <c r="K43" i="34"/>
  <c r="U43" i="34"/>
  <c r="V43" i="34"/>
  <c r="L43" i="34"/>
  <c r="AC39" i="34"/>
  <c r="P50" i="34"/>
  <c r="R11" i="34"/>
  <c r="Z11" i="34"/>
  <c r="E11" i="34"/>
  <c r="M11" i="34"/>
  <c r="S11" i="34"/>
  <c r="F11" i="34"/>
  <c r="T11" i="34"/>
  <c r="AB11" i="34"/>
  <c r="G11" i="34"/>
  <c r="O11" i="34"/>
  <c r="U11" i="34"/>
  <c r="V11" i="34"/>
  <c r="I11" i="34"/>
  <c r="W11" i="34"/>
  <c r="X11" i="34"/>
  <c r="K11" i="34"/>
  <c r="Y11" i="34"/>
  <c r="H11" i="34"/>
  <c r="J11" i="34"/>
  <c r="L11" i="34"/>
  <c r="AF24" i="31"/>
  <c r="AH24" i="31" s="1"/>
  <c r="AG24" i="31"/>
  <c r="AF28" i="31"/>
  <c r="AH28" i="31" s="1"/>
  <c r="AG28" i="31"/>
  <c r="AG10" i="31"/>
  <c r="AF10" i="31"/>
  <c r="AH10" i="31" s="1"/>
  <c r="AG38" i="31"/>
  <c r="V18" i="34"/>
  <c r="I18" i="34"/>
  <c r="W18" i="34"/>
  <c r="J18" i="34"/>
  <c r="X18" i="34"/>
  <c r="K18" i="34"/>
  <c r="Y18" i="34"/>
  <c r="R18" i="34"/>
  <c r="Z18" i="34"/>
  <c r="E18" i="34"/>
  <c r="M18" i="34"/>
  <c r="S18" i="34"/>
  <c r="T18" i="34"/>
  <c r="AB18" i="34"/>
  <c r="U18" i="34"/>
  <c r="F18" i="34"/>
  <c r="G18" i="34"/>
  <c r="H18" i="34"/>
  <c r="L18" i="34"/>
  <c r="O18" i="34"/>
  <c r="R17" i="34"/>
  <c r="Z17" i="34"/>
  <c r="E17" i="34"/>
  <c r="M17" i="34"/>
  <c r="S17" i="34"/>
  <c r="F17" i="34"/>
  <c r="T17" i="34"/>
  <c r="AB17" i="34"/>
  <c r="G17" i="34"/>
  <c r="O17" i="34"/>
  <c r="U17" i="34"/>
  <c r="V17" i="34"/>
  <c r="I17" i="34"/>
  <c r="W17" i="34"/>
  <c r="X17" i="34"/>
  <c r="Y17" i="34"/>
  <c r="H17" i="34"/>
  <c r="J17" i="34"/>
  <c r="K17" i="34"/>
  <c r="L17" i="34"/>
  <c r="F55" i="34"/>
  <c r="N55" i="34"/>
  <c r="S55" i="34"/>
  <c r="AA55" i="34"/>
  <c r="G55" i="34"/>
  <c r="O55" i="34"/>
  <c r="H55" i="34"/>
  <c r="U55" i="34"/>
  <c r="I55" i="34"/>
  <c r="J55" i="34"/>
  <c r="W55" i="34"/>
  <c r="K55" i="34"/>
  <c r="X55" i="34"/>
  <c r="L55" i="34"/>
  <c r="Y55" i="34"/>
  <c r="AB55" i="34"/>
  <c r="R55" i="34"/>
  <c r="E55" i="34"/>
  <c r="T55" i="34"/>
  <c r="M55" i="34"/>
  <c r="V55" i="34"/>
  <c r="Z55" i="34"/>
  <c r="AC42" i="34"/>
  <c r="P58" i="34"/>
  <c r="AC60" i="34"/>
  <c r="V10" i="34"/>
  <c r="T10" i="34"/>
  <c r="I10" i="34"/>
  <c r="U10" i="34"/>
  <c r="J10" i="34"/>
  <c r="W10" i="34"/>
  <c r="K10" i="34"/>
  <c r="X10" i="34"/>
  <c r="Y10" i="34"/>
  <c r="E10" i="34"/>
  <c r="M10" i="34"/>
  <c r="Z10" i="34"/>
  <c r="R10" i="34"/>
  <c r="G10" i="34"/>
  <c r="O10" i="34"/>
  <c r="S10" i="34"/>
  <c r="AB10" i="34"/>
  <c r="F10" i="34"/>
  <c r="H10" i="34"/>
  <c r="L10" i="34"/>
  <c r="AG59" i="31"/>
  <c r="AF59" i="31"/>
  <c r="AH59" i="31" s="1"/>
  <c r="AG48" i="31"/>
  <c r="AF48" i="31"/>
  <c r="AH48" i="31" s="1"/>
  <c r="O12" i="31"/>
  <c r="Z12" i="31" s="1"/>
  <c r="Y12" i="31"/>
  <c r="I62" i="34"/>
  <c r="V62" i="34"/>
  <c r="J62" i="34"/>
  <c r="K62" i="34"/>
  <c r="X62" i="34"/>
  <c r="L62" i="34"/>
  <c r="E62" i="34"/>
  <c r="M62" i="34"/>
  <c r="R62" i="34"/>
  <c r="Z62" i="34"/>
  <c r="F62" i="34"/>
  <c r="N62" i="34"/>
  <c r="S62" i="34"/>
  <c r="AA62" i="34"/>
  <c r="G62" i="34"/>
  <c r="O62" i="34"/>
  <c r="T62" i="34"/>
  <c r="AB62" i="34"/>
  <c r="U62" i="34"/>
  <c r="W62" i="34"/>
  <c r="Y62" i="34"/>
  <c r="H62" i="34"/>
  <c r="R13" i="34"/>
  <c r="Z13" i="34"/>
  <c r="E13" i="34"/>
  <c r="M13" i="34"/>
  <c r="S13" i="34"/>
  <c r="F13" i="34"/>
  <c r="T13" i="34"/>
  <c r="AB13" i="34"/>
  <c r="G13" i="34"/>
  <c r="O13" i="34"/>
  <c r="U13" i="34"/>
  <c r="V13" i="34"/>
  <c r="I13" i="34"/>
  <c r="W13" i="34"/>
  <c r="X13" i="34"/>
  <c r="Y13" i="34"/>
  <c r="H13" i="34"/>
  <c r="J13" i="34"/>
  <c r="K13" i="34"/>
  <c r="L13" i="34"/>
  <c r="V14" i="34"/>
  <c r="I14" i="34"/>
  <c r="W14" i="34"/>
  <c r="J14" i="34"/>
  <c r="X14" i="34"/>
  <c r="K14" i="34"/>
  <c r="Y14" i="34"/>
  <c r="R14" i="34"/>
  <c r="Z14" i="34"/>
  <c r="E14" i="34"/>
  <c r="M14" i="34"/>
  <c r="S14" i="34"/>
  <c r="T14" i="34"/>
  <c r="AB14" i="34"/>
  <c r="U14" i="34"/>
  <c r="F14" i="34"/>
  <c r="G14" i="34"/>
  <c r="H14" i="34"/>
  <c r="L14" i="34"/>
  <c r="O14" i="34"/>
  <c r="AC37" i="34"/>
  <c r="P39" i="34"/>
  <c r="AC56" i="34"/>
  <c r="P38" i="34"/>
  <c r="X24" i="31"/>
  <c r="X26" i="31"/>
  <c r="X12" i="31"/>
  <c r="X16" i="31"/>
  <c r="D11" i="31"/>
  <c r="D25" i="31"/>
  <c r="D47" i="31"/>
  <c r="D62" i="31"/>
  <c r="D24" i="31"/>
  <c r="D13" i="31"/>
  <c r="D17" i="31"/>
  <c r="D48" i="31"/>
  <c r="D39" i="31"/>
  <c r="D5" i="31"/>
  <c r="D40" i="31"/>
  <c r="D54" i="31"/>
  <c r="D50" i="31"/>
  <c r="D56" i="31"/>
  <c r="D12" i="31"/>
  <c r="D55" i="31"/>
  <c r="D29" i="31"/>
  <c r="D41" i="31"/>
  <c r="D18" i="31"/>
  <c r="D38" i="31"/>
  <c r="D42" i="31"/>
  <c r="D57" i="31"/>
  <c r="D63" i="31"/>
  <c r="D16" i="31"/>
  <c r="D49" i="31"/>
  <c r="D58" i="31"/>
  <c r="D28" i="31"/>
  <c r="D46" i="31"/>
  <c r="D10" i="31"/>
  <c r="D22" i="31"/>
  <c r="D7" i="31"/>
  <c r="D15" i="31"/>
  <c r="D53" i="31"/>
  <c r="D9" i="31"/>
  <c r="D23" i="31"/>
  <c r="D26" i="31"/>
  <c r="D6" i="31"/>
  <c r="D14" i="31"/>
  <c r="D20" i="31"/>
  <c r="D30" i="31"/>
  <c r="D8" i="31"/>
  <c r="D21" i="31"/>
  <c r="D52" i="31"/>
  <c r="D59" i="31"/>
  <c r="D61" i="31"/>
  <c r="D43" i="31"/>
  <c r="D51" i="31"/>
  <c r="D44" i="31"/>
  <c r="D45" i="31"/>
  <c r="D19" i="31"/>
  <c r="D27" i="31"/>
  <c r="D60" i="31"/>
  <c r="O2427" i="2"/>
  <c r="X2427" i="2" s="1"/>
  <c r="O2426" i="2"/>
  <c r="O2425" i="2"/>
  <c r="X2425" i="2" s="1"/>
  <c r="O2424" i="2"/>
  <c r="X2424" i="2" s="1"/>
  <c r="O2423" i="2"/>
  <c r="X2423" i="2" s="1"/>
  <c r="O2422" i="2"/>
  <c r="X2422" i="2" s="1"/>
  <c r="O2421" i="2"/>
  <c r="O2420" i="2"/>
  <c r="O2419" i="2"/>
  <c r="X2419" i="2" s="1"/>
  <c r="O2418" i="2"/>
  <c r="O2417" i="2"/>
  <c r="X2417" i="2" s="1"/>
  <c r="O2416" i="2"/>
  <c r="X2416" i="2" s="1"/>
  <c r="O2415" i="2"/>
  <c r="X2415" i="2" s="1"/>
  <c r="O2414" i="2"/>
  <c r="X2414" i="2" s="1"/>
  <c r="O2413" i="2"/>
  <c r="Z2413" i="2" s="1"/>
  <c r="O2412" i="2"/>
  <c r="O2411" i="2"/>
  <c r="X2411" i="2" s="1"/>
  <c r="O2410" i="2"/>
  <c r="O2409" i="2"/>
  <c r="X2409" i="2" s="1"/>
  <c r="O2408" i="2"/>
  <c r="X2408" i="2" s="1"/>
  <c r="O2407" i="2"/>
  <c r="X2407" i="2" s="1"/>
  <c r="O2406" i="2"/>
  <c r="X2406" i="2" s="1"/>
  <c r="O2405" i="2"/>
  <c r="Z2405" i="2" s="1"/>
  <c r="O2404" i="2"/>
  <c r="O2403" i="2"/>
  <c r="X2403" i="2" s="1"/>
  <c r="O2402" i="2"/>
  <c r="O2401" i="2"/>
  <c r="X2401" i="2" s="1"/>
  <c r="O2400" i="2"/>
  <c r="X2400" i="2" s="1"/>
  <c r="O2399" i="2"/>
  <c r="X2399" i="2" s="1"/>
  <c r="O2398" i="2"/>
  <c r="X2398" i="2" s="1"/>
  <c r="O2397" i="2"/>
  <c r="Z2397" i="2" s="1"/>
  <c r="O2396" i="2"/>
  <c r="O2395" i="2"/>
  <c r="X2395" i="2" s="1"/>
  <c r="O2394" i="2"/>
  <c r="O2393" i="2"/>
  <c r="X2393" i="2" s="1"/>
  <c r="O2392" i="2"/>
  <c r="X2392" i="2" s="1"/>
  <c r="O2391" i="2"/>
  <c r="X2391" i="2" s="1"/>
  <c r="O2390" i="2"/>
  <c r="X2390" i="2" s="1"/>
  <c r="O2389" i="2"/>
  <c r="Z2389" i="2" s="1"/>
  <c r="O2388" i="2"/>
  <c r="O2387" i="2"/>
  <c r="X2387" i="2" s="1"/>
  <c r="O2386" i="2"/>
  <c r="O2385" i="2"/>
  <c r="X2385" i="2" s="1"/>
  <c r="O2384" i="2"/>
  <c r="X2384" i="2" s="1"/>
  <c r="O2383" i="2"/>
  <c r="X2383" i="2" s="1"/>
  <c r="O2382" i="2"/>
  <c r="X2382" i="2" s="1"/>
  <c r="O2381" i="2"/>
  <c r="Z2381" i="2" s="1"/>
  <c r="O2380" i="2"/>
  <c r="O2379" i="2"/>
  <c r="X2379" i="2" s="1"/>
  <c r="O2378" i="2"/>
  <c r="O2377" i="2"/>
  <c r="X2377" i="2" s="1"/>
  <c r="O2376" i="2"/>
  <c r="X2376" i="2" s="1"/>
  <c r="O2375" i="2"/>
  <c r="X2375" i="2" s="1"/>
  <c r="O2374" i="2"/>
  <c r="X2374" i="2" s="1"/>
  <c r="O2373" i="2"/>
  <c r="Z2373" i="2" s="1"/>
  <c r="O2372" i="2"/>
  <c r="O2371" i="2"/>
  <c r="X2371" i="2" s="1"/>
  <c r="O2370" i="2"/>
  <c r="O2369" i="2"/>
  <c r="X2369" i="2" s="1"/>
  <c r="O2368" i="2"/>
  <c r="X2368" i="2" s="1"/>
  <c r="O2367" i="2"/>
  <c r="X2367" i="2" s="1"/>
  <c r="O2366" i="2"/>
  <c r="X2366" i="2" s="1"/>
  <c r="O2365" i="2"/>
  <c r="Z2365" i="2" s="1"/>
  <c r="O2364" i="2"/>
  <c r="O2363" i="2"/>
  <c r="X2363" i="2" s="1"/>
  <c r="O2362" i="2"/>
  <c r="O2361" i="2"/>
  <c r="X2361" i="2" s="1"/>
  <c r="O2360" i="2"/>
  <c r="X2360" i="2" s="1"/>
  <c r="O2359" i="2"/>
  <c r="X2359" i="2" s="1"/>
  <c r="O2358" i="2"/>
  <c r="X2358" i="2" s="1"/>
  <c r="O2357" i="2"/>
  <c r="Z2357" i="2" s="1"/>
  <c r="O2356" i="2"/>
  <c r="O2355" i="2"/>
  <c r="X2355" i="2" s="1"/>
  <c r="O2354" i="2"/>
  <c r="O2353" i="2"/>
  <c r="X2353" i="2" s="1"/>
  <c r="O2352" i="2"/>
  <c r="X2352" i="2" s="1"/>
  <c r="O2351" i="2"/>
  <c r="O2350" i="2"/>
  <c r="O2349" i="2"/>
  <c r="O2348" i="2"/>
  <c r="O2347" i="2"/>
  <c r="X2347" i="2" s="1"/>
  <c r="O2346" i="2"/>
  <c r="O2345" i="2"/>
  <c r="X2345" i="2" s="1"/>
  <c r="O2344" i="2"/>
  <c r="X2344" i="2" s="1"/>
  <c r="O2343" i="2"/>
  <c r="O2342" i="2"/>
  <c r="O2341" i="2"/>
  <c r="O2340" i="2"/>
  <c r="O2339" i="2"/>
  <c r="X2339" i="2" s="1"/>
  <c r="O2338" i="2"/>
  <c r="O2337" i="2"/>
  <c r="X2337" i="2" s="1"/>
  <c r="O2336" i="2"/>
  <c r="X2336" i="2" s="1"/>
  <c r="O2335" i="2"/>
  <c r="O2334" i="2"/>
  <c r="O2333" i="2"/>
  <c r="O2332" i="2"/>
  <c r="O2331" i="2"/>
  <c r="X2331" i="2" s="1"/>
  <c r="O2330" i="2"/>
  <c r="O2329" i="2"/>
  <c r="X2329" i="2" s="1"/>
  <c r="O2328" i="2"/>
  <c r="X2328" i="2" s="1"/>
  <c r="O2327" i="2"/>
  <c r="O2326" i="2"/>
  <c r="O2325" i="2"/>
  <c r="AV2325" i="2" s="1"/>
  <c r="O2324" i="2"/>
  <c r="O2323" i="2"/>
  <c r="X2323" i="2" s="1"/>
  <c r="O2322" i="2"/>
  <c r="O2321" i="2"/>
  <c r="X2321" i="2" s="1"/>
  <c r="O2320" i="2"/>
  <c r="O2319" i="2"/>
  <c r="X2319" i="2" s="1"/>
  <c r="O2318" i="2"/>
  <c r="O2317" i="2"/>
  <c r="O2316" i="2"/>
  <c r="O2315" i="2"/>
  <c r="X2315" i="2" s="1"/>
  <c r="O2314" i="2"/>
  <c r="O2313" i="2"/>
  <c r="X2313" i="2" s="1"/>
  <c r="O2312" i="2"/>
  <c r="O2311" i="2"/>
  <c r="X2311" i="2" s="1"/>
  <c r="O2310" i="2"/>
  <c r="O2309" i="2"/>
  <c r="AW2309" i="2" s="1"/>
  <c r="O2308" i="2"/>
  <c r="O2307" i="2"/>
  <c r="X2307" i="2" s="1"/>
  <c r="O2306" i="2"/>
  <c r="O2305" i="2"/>
  <c r="X2305" i="2" s="1"/>
  <c r="O2304" i="2"/>
  <c r="O2303" i="2"/>
  <c r="X2303" i="2" s="1"/>
  <c r="O2302" i="2"/>
  <c r="O2301" i="2"/>
  <c r="O2300" i="2"/>
  <c r="O2299" i="2"/>
  <c r="X2299" i="2" s="1"/>
  <c r="O2298" i="2"/>
  <c r="O2297" i="2"/>
  <c r="O2296" i="2"/>
  <c r="X2296" i="2" s="1"/>
  <c r="O2295" i="2"/>
  <c r="X2295" i="2" s="1"/>
  <c r="O2294" i="2"/>
  <c r="AY2294" i="2" s="1"/>
  <c r="O2293" i="2"/>
  <c r="AV2293" i="2" s="1"/>
  <c r="O2292" i="2"/>
  <c r="O2291" i="2"/>
  <c r="X2291" i="2" s="1"/>
  <c r="O2290" i="2"/>
  <c r="O2289" i="2"/>
  <c r="O2288" i="2"/>
  <c r="X2288" i="2" s="1"/>
  <c r="O2287" i="2"/>
  <c r="X2287" i="2" s="1"/>
  <c r="O2286" i="2"/>
  <c r="O2285" i="2"/>
  <c r="O2284" i="2"/>
  <c r="O2283" i="2"/>
  <c r="X2283" i="2" s="1"/>
  <c r="O2282" i="2"/>
  <c r="O2281" i="2"/>
  <c r="O2280" i="2"/>
  <c r="X2280" i="2" s="1"/>
  <c r="O2279" i="2"/>
  <c r="X2279" i="2" s="1"/>
  <c r="O2278" i="2"/>
  <c r="AY2278" i="2" s="1"/>
  <c r="O2277" i="2"/>
  <c r="O2276" i="2"/>
  <c r="O2275" i="2"/>
  <c r="X2275" i="2" s="1"/>
  <c r="O2274" i="2"/>
  <c r="AY2274" i="2" s="1"/>
  <c r="O2273" i="2"/>
  <c r="X2273" i="2" s="1"/>
  <c r="O2272" i="2"/>
  <c r="X2272" i="2" s="1"/>
  <c r="O2271" i="2"/>
  <c r="X2271" i="2" s="1"/>
  <c r="O2270" i="2"/>
  <c r="O2269" i="2"/>
  <c r="O2268" i="2"/>
  <c r="O2267" i="2"/>
  <c r="X2267" i="2" s="1"/>
  <c r="O2266" i="2"/>
  <c r="O2265" i="2"/>
  <c r="X2265" i="2" s="1"/>
  <c r="O2264" i="2"/>
  <c r="X2264" i="2" s="1"/>
  <c r="O2263" i="2"/>
  <c r="O2262" i="2"/>
  <c r="X2262" i="2" s="1"/>
  <c r="O2261" i="2"/>
  <c r="AV2261" i="2" s="1"/>
  <c r="O2260" i="2"/>
  <c r="O2259" i="2"/>
  <c r="O2258" i="2"/>
  <c r="O2257" i="2"/>
  <c r="X2257" i="2" s="1"/>
  <c r="O2256" i="2"/>
  <c r="O2255" i="2"/>
  <c r="X2255" i="2" s="1"/>
  <c r="O2254" i="2"/>
  <c r="O2253" i="2"/>
  <c r="O2252" i="2"/>
  <c r="O2251" i="2"/>
  <c r="X2251" i="2" s="1"/>
  <c r="O2250" i="2"/>
  <c r="O2249" i="2"/>
  <c r="O2248" i="2"/>
  <c r="X2248" i="2" s="1"/>
  <c r="O2247" i="2"/>
  <c r="X2247" i="2" s="1"/>
  <c r="O2246" i="2"/>
  <c r="X2246" i="2" s="1"/>
  <c r="O2245" i="2"/>
  <c r="AW2245" i="2" s="1"/>
  <c r="O2244" i="2"/>
  <c r="O2243" i="2"/>
  <c r="X2243" i="2" s="1"/>
  <c r="O2242" i="2"/>
  <c r="O2241" i="2"/>
  <c r="O2240" i="2"/>
  <c r="X2240" i="2" s="1"/>
  <c r="O2239" i="2"/>
  <c r="X2239" i="2" s="1"/>
  <c r="O2238" i="2"/>
  <c r="O2237" i="2"/>
  <c r="O2236" i="2"/>
  <c r="O2235" i="2"/>
  <c r="X2235" i="2" s="1"/>
  <c r="O2234" i="2"/>
  <c r="O2233" i="2"/>
  <c r="O2232" i="2"/>
  <c r="X2232" i="2" s="1"/>
  <c r="O2231" i="2"/>
  <c r="X2231" i="2" s="1"/>
  <c r="O2230" i="2"/>
  <c r="O2229" i="2"/>
  <c r="AV2229" i="2" s="1"/>
  <c r="O2228" i="2"/>
  <c r="O2227" i="2"/>
  <c r="X2227" i="2" s="1"/>
  <c r="O2226" i="2"/>
  <c r="O2225" i="2"/>
  <c r="O2224" i="2"/>
  <c r="X2224" i="2" s="1"/>
  <c r="O2223" i="2"/>
  <c r="X2223" i="2" s="1"/>
  <c r="O2222" i="2"/>
  <c r="O2221" i="2"/>
  <c r="O2220" i="2"/>
  <c r="O2219" i="2"/>
  <c r="X2219" i="2" s="1"/>
  <c r="O2218" i="2"/>
  <c r="O2217" i="2"/>
  <c r="O2216" i="2"/>
  <c r="X2216" i="2" s="1"/>
  <c r="O2215" i="2"/>
  <c r="O2214" i="2"/>
  <c r="O2213" i="2"/>
  <c r="O2212" i="2"/>
  <c r="O2211" i="2"/>
  <c r="X2211" i="2" s="1"/>
  <c r="O2210" i="2"/>
  <c r="O2209" i="2"/>
  <c r="X2209" i="2" s="1"/>
  <c r="O2208" i="2"/>
  <c r="O2207" i="2"/>
  <c r="X2207" i="2" s="1"/>
  <c r="O2206" i="2"/>
  <c r="O2205" i="2"/>
  <c r="O2204" i="2"/>
  <c r="O2203" i="2"/>
  <c r="X2203" i="2" s="1"/>
  <c r="O2202" i="2"/>
  <c r="O2201" i="2"/>
  <c r="O2200" i="2"/>
  <c r="O2199" i="2"/>
  <c r="X2199" i="2" s="1"/>
  <c r="O2198" i="2"/>
  <c r="X2198" i="2" s="1"/>
  <c r="O2197" i="2"/>
  <c r="AV2197" i="2" s="1"/>
  <c r="O2196" i="2"/>
  <c r="O2195" i="2"/>
  <c r="X2195" i="2" s="1"/>
  <c r="O2194" i="2"/>
  <c r="O2193" i="2"/>
  <c r="O2192" i="2"/>
  <c r="X2192" i="2" s="1"/>
  <c r="O2191" i="2"/>
  <c r="X2191" i="2" s="1"/>
  <c r="O2190" i="2"/>
  <c r="O2189" i="2"/>
  <c r="O2188" i="2"/>
  <c r="AV2188" i="2" s="1"/>
  <c r="O2187" i="2"/>
  <c r="X2187" i="2" s="1"/>
  <c r="O2186" i="2"/>
  <c r="O2185" i="2"/>
  <c r="O2184" i="2"/>
  <c r="X2184" i="2" s="1"/>
  <c r="O2183" i="2"/>
  <c r="X2183" i="2" s="1"/>
  <c r="O2182" i="2"/>
  <c r="O2181" i="2"/>
  <c r="AW2181" i="2" s="1"/>
  <c r="O2180" i="2"/>
  <c r="O2179" i="2"/>
  <c r="X2179" i="2" s="1"/>
  <c r="O2178" i="2"/>
  <c r="O2177" i="2"/>
  <c r="O2176" i="2"/>
  <c r="X2176" i="2" s="1"/>
  <c r="O2175" i="2"/>
  <c r="X2175" i="2" s="1"/>
  <c r="O2174" i="2"/>
  <c r="O2173" i="2"/>
  <c r="O2172" i="2"/>
  <c r="O2171" i="2"/>
  <c r="X2171" i="2" s="1"/>
  <c r="O2170" i="2"/>
  <c r="O2169" i="2"/>
  <c r="O2168" i="2"/>
  <c r="X2168" i="2" s="1"/>
  <c r="O2167" i="2"/>
  <c r="X2167" i="2" s="1"/>
  <c r="O2166" i="2"/>
  <c r="O2165" i="2"/>
  <c r="AV2165" i="2" s="1"/>
  <c r="O2164" i="2"/>
  <c r="O2163" i="2"/>
  <c r="X2163" i="2" s="1"/>
  <c r="O2162" i="2"/>
  <c r="AY2162" i="2" s="1"/>
  <c r="O2161" i="2"/>
  <c r="X2161" i="2" s="1"/>
  <c r="O2160" i="2"/>
  <c r="X2160" i="2" s="1"/>
  <c r="O2159" i="2"/>
  <c r="X2159" i="2" s="1"/>
  <c r="O2158" i="2"/>
  <c r="O2157" i="2"/>
  <c r="O2156" i="2"/>
  <c r="O2155" i="2"/>
  <c r="X2155" i="2" s="1"/>
  <c r="O2154" i="2"/>
  <c r="O2153" i="2"/>
  <c r="X2153" i="2" s="1"/>
  <c r="O2152" i="2"/>
  <c r="X2152" i="2" s="1"/>
  <c r="O2151" i="2"/>
  <c r="X2151" i="2" s="1"/>
  <c r="O2150" i="2"/>
  <c r="O2149" i="2"/>
  <c r="O2148" i="2"/>
  <c r="O2147" i="2"/>
  <c r="O2146" i="2"/>
  <c r="O2145" i="2"/>
  <c r="X2145" i="2" s="1"/>
  <c r="O2144" i="2"/>
  <c r="X2144" i="2" s="1"/>
  <c r="O2143" i="2"/>
  <c r="X2143" i="2" s="1"/>
  <c r="O2142" i="2"/>
  <c r="O2141" i="2"/>
  <c r="O2140" i="2"/>
  <c r="O2139" i="2"/>
  <c r="O2138" i="2"/>
  <c r="X2138" i="2" s="1"/>
  <c r="O2137" i="2"/>
  <c r="X2137" i="2" s="1"/>
  <c r="O2136" i="2"/>
  <c r="X2136" i="2" s="1"/>
  <c r="O2135" i="2"/>
  <c r="X2135" i="2" s="1"/>
  <c r="O2134" i="2"/>
  <c r="O2133" i="2"/>
  <c r="AV2133" i="2" s="1"/>
  <c r="O2132" i="2"/>
  <c r="O2131" i="2"/>
  <c r="O2130" i="2"/>
  <c r="O2129" i="2"/>
  <c r="X2129" i="2" s="1"/>
  <c r="O2128" i="2"/>
  <c r="X2128" i="2" s="1"/>
  <c r="O2127" i="2"/>
  <c r="X2127" i="2" s="1"/>
  <c r="O2126" i="2"/>
  <c r="O2125" i="2"/>
  <c r="O2124" i="2"/>
  <c r="O2123" i="2"/>
  <c r="O2122" i="2"/>
  <c r="O2121" i="2"/>
  <c r="X2121" i="2" s="1"/>
  <c r="O2120" i="2"/>
  <c r="X2120" i="2" s="1"/>
  <c r="O2119" i="2"/>
  <c r="X2119" i="2" s="1"/>
  <c r="O2118" i="2"/>
  <c r="O2117" i="2"/>
  <c r="AW2117" i="2" s="1"/>
  <c r="O2116" i="2"/>
  <c r="O2115" i="2"/>
  <c r="O2114" i="2"/>
  <c r="O2113" i="2"/>
  <c r="X2113" i="2" s="1"/>
  <c r="O2112" i="2"/>
  <c r="X2112" i="2" s="1"/>
  <c r="O2111" i="2"/>
  <c r="X2111" i="2" s="1"/>
  <c r="O2110" i="2"/>
  <c r="O2109" i="2"/>
  <c r="O2108" i="2"/>
  <c r="O2107" i="2"/>
  <c r="X2107" i="2" s="1"/>
  <c r="O2106" i="2"/>
  <c r="O2105" i="2"/>
  <c r="X2105" i="2" s="1"/>
  <c r="O2104" i="2"/>
  <c r="X2104" i="2" s="1"/>
  <c r="O2103" i="2"/>
  <c r="X2103" i="2" s="1"/>
  <c r="O2102" i="2"/>
  <c r="X2102" i="2" s="1"/>
  <c r="O2101" i="2"/>
  <c r="O2100" i="2"/>
  <c r="O2099" i="2"/>
  <c r="X2099" i="2" s="1"/>
  <c r="O2098" i="2"/>
  <c r="O2097" i="2"/>
  <c r="X2097" i="2" s="1"/>
  <c r="O2096" i="2"/>
  <c r="X2096" i="2" s="1"/>
  <c r="O2095" i="2"/>
  <c r="X2095" i="2" s="1"/>
  <c r="O2094" i="2"/>
  <c r="AV2094" i="2" s="1"/>
  <c r="O2093" i="2"/>
  <c r="O2092" i="2"/>
  <c r="O2091" i="2"/>
  <c r="X2091" i="2" s="1"/>
  <c r="O2090" i="2"/>
  <c r="O2089" i="2"/>
  <c r="X2089" i="2" s="1"/>
  <c r="O2088" i="2"/>
  <c r="X2088" i="2" s="1"/>
  <c r="O2087" i="2"/>
  <c r="X2087" i="2" s="1"/>
  <c r="O2086" i="2"/>
  <c r="X2086" i="2" s="1"/>
  <c r="O2085" i="2"/>
  <c r="AX2085" i="2" s="1"/>
  <c r="O2084" i="2"/>
  <c r="O2083" i="2"/>
  <c r="X2083" i="2" s="1"/>
  <c r="O2082" i="2"/>
  <c r="O2081" i="2"/>
  <c r="X2081" i="2" s="1"/>
  <c r="O2080" i="2"/>
  <c r="O2079" i="2"/>
  <c r="X2079" i="2" s="1"/>
  <c r="O2078" i="2"/>
  <c r="AY2078" i="2" s="1"/>
  <c r="O2077" i="2"/>
  <c r="O2076" i="2"/>
  <c r="AX2076" i="2" s="1"/>
  <c r="O2075" i="2"/>
  <c r="X2075" i="2" s="1"/>
  <c r="O2074" i="2"/>
  <c r="O2073" i="2"/>
  <c r="X2073" i="2" s="1"/>
  <c r="O2072" i="2"/>
  <c r="O2071" i="2"/>
  <c r="X2071" i="2" s="1"/>
  <c r="O2070" i="2"/>
  <c r="AY2070" i="2" s="1"/>
  <c r="O2069" i="2"/>
  <c r="O2068" i="2"/>
  <c r="AV2068" i="2" s="1"/>
  <c r="O2067" i="2"/>
  <c r="X2067" i="2" s="1"/>
  <c r="O2066" i="2"/>
  <c r="O2065" i="2"/>
  <c r="X2065" i="2" s="1"/>
  <c r="O2064" i="2"/>
  <c r="O2063" i="2"/>
  <c r="X2063" i="2" s="1"/>
  <c r="O2062" i="2"/>
  <c r="AY2062" i="2" s="1"/>
  <c r="O2061" i="2"/>
  <c r="AV2061" i="2" s="1"/>
  <c r="O2060" i="2"/>
  <c r="O2059" i="2"/>
  <c r="X2059" i="2" s="1"/>
  <c r="O2058" i="2"/>
  <c r="Y2058" i="2" s="1" a="1"/>
  <c r="Y2058" i="2" s="1"/>
  <c r="O2057" i="2"/>
  <c r="X2057" i="2" s="1"/>
  <c r="O2056" i="2"/>
  <c r="O2055" i="2"/>
  <c r="X2055" i="2" s="1"/>
  <c r="O2054" i="2"/>
  <c r="AY2054" i="2" s="1"/>
  <c r="O2053" i="2"/>
  <c r="O2052" i="2"/>
  <c r="O2051" i="2"/>
  <c r="X2051" i="2" s="1"/>
  <c r="O2050" i="2"/>
  <c r="O2049" i="2"/>
  <c r="X2049" i="2" s="1"/>
  <c r="O2048" i="2"/>
  <c r="O2047" i="2"/>
  <c r="X2047" i="2" s="1"/>
  <c r="O2046" i="2"/>
  <c r="X2046" i="2" s="1"/>
  <c r="O2045" i="2"/>
  <c r="O2044" i="2"/>
  <c r="O2043" i="2"/>
  <c r="X2043" i="2" s="1"/>
  <c r="O2042" i="2"/>
  <c r="X2042" i="2" s="1"/>
  <c r="O2041" i="2"/>
  <c r="X2041" i="2" s="1"/>
  <c r="O2040" i="2"/>
  <c r="AY2040" i="2" s="1"/>
  <c r="O2039" i="2"/>
  <c r="X2039" i="2" s="1"/>
  <c r="O2038" i="2"/>
  <c r="AY2038" i="2" s="1"/>
  <c r="O2037" i="2"/>
  <c r="O2036" i="2"/>
  <c r="O2035" i="2"/>
  <c r="X2035" i="2" s="1"/>
  <c r="O2034" i="2"/>
  <c r="O2033" i="2"/>
  <c r="X2033" i="2" s="1"/>
  <c r="O2032" i="2"/>
  <c r="AY2032" i="2" s="1"/>
  <c r="O2031" i="2"/>
  <c r="X2031" i="2" s="1"/>
  <c r="O2030" i="2"/>
  <c r="AY2030" i="2" s="1"/>
  <c r="O2029" i="2"/>
  <c r="O2028" i="2"/>
  <c r="O2027" i="2"/>
  <c r="X2027" i="2" s="1"/>
  <c r="O2026" i="2"/>
  <c r="O2025" i="2"/>
  <c r="X2025" i="2" s="1"/>
  <c r="O2024" i="2"/>
  <c r="O2023" i="2"/>
  <c r="X2023" i="2" s="1"/>
  <c r="O2022" i="2"/>
  <c r="AY2022" i="2" s="1"/>
  <c r="O2021" i="2"/>
  <c r="AX2021" i="2" s="1"/>
  <c r="O2020" i="2"/>
  <c r="O2019" i="2"/>
  <c r="X2019" i="2" s="1"/>
  <c r="O2018" i="2"/>
  <c r="O2017" i="2"/>
  <c r="X2017" i="2" s="1"/>
  <c r="O2016" i="2"/>
  <c r="AY2016" i="2" s="1"/>
  <c r="O2015" i="2"/>
  <c r="X2015" i="2" s="1"/>
  <c r="O2014" i="2"/>
  <c r="AY2014" i="2" s="1"/>
  <c r="O2013" i="2"/>
  <c r="O2012" i="2"/>
  <c r="AX2012" i="2" s="1"/>
  <c r="O2011" i="2"/>
  <c r="X2011" i="2" s="1"/>
  <c r="O2010" i="2"/>
  <c r="Y2010" i="2" s="1" a="1"/>
  <c r="Y2010" i="2" s="1"/>
  <c r="O2009" i="2"/>
  <c r="X2009" i="2" s="1"/>
  <c r="O2008" i="2"/>
  <c r="O2007" i="2"/>
  <c r="X2007" i="2" s="1"/>
  <c r="O2006" i="2"/>
  <c r="AY2006" i="2" s="1"/>
  <c r="O2005" i="2"/>
  <c r="O2004" i="2"/>
  <c r="AV2004" i="2" s="1"/>
  <c r="O2003" i="2"/>
  <c r="X2003" i="2" s="1"/>
  <c r="O2002" i="2"/>
  <c r="O2001" i="2"/>
  <c r="X2001" i="2" s="1"/>
  <c r="O2000" i="2"/>
  <c r="AY2000" i="2" s="1"/>
  <c r="O1999" i="2"/>
  <c r="X1999" i="2" s="1"/>
  <c r="O1998" i="2"/>
  <c r="AY1998" i="2" s="1"/>
  <c r="O1997" i="2"/>
  <c r="AV1997" i="2" s="1"/>
  <c r="O1996" i="2"/>
  <c r="O1995" i="2"/>
  <c r="X1995" i="2" s="1"/>
  <c r="O1994" i="2"/>
  <c r="O1993" i="2"/>
  <c r="X1993" i="2" s="1"/>
  <c r="O1992" i="2"/>
  <c r="O1991" i="2"/>
  <c r="X1991" i="2" s="1"/>
  <c r="O1990" i="2"/>
  <c r="AY1990" i="2" s="1"/>
  <c r="O1989" i="2"/>
  <c r="O1988" i="2"/>
  <c r="O1987" i="2"/>
  <c r="X1987" i="2" s="1"/>
  <c r="O1986" i="2"/>
  <c r="O1985" i="2"/>
  <c r="X1985" i="2" s="1"/>
  <c r="O1984" i="2"/>
  <c r="AY1984" i="2" s="1"/>
  <c r="O1983" i="2"/>
  <c r="X1983" i="2" s="1"/>
  <c r="O1982" i="2"/>
  <c r="X1982" i="2" s="1"/>
  <c r="O1981" i="2"/>
  <c r="O1980" i="2"/>
  <c r="O1979" i="2"/>
  <c r="X1979" i="2" s="1"/>
  <c r="O1978" i="2"/>
  <c r="X1978" i="2" s="1"/>
  <c r="O1977" i="2"/>
  <c r="X1977" i="2" s="1"/>
  <c r="O1976" i="2"/>
  <c r="O1975" i="2"/>
  <c r="X1975" i="2" s="1"/>
  <c r="O1974" i="2"/>
  <c r="AY1974" i="2" s="1"/>
  <c r="O1973" i="2"/>
  <c r="O1972" i="2"/>
  <c r="O1971" i="2"/>
  <c r="X1971" i="2" s="1"/>
  <c r="O1970" i="2"/>
  <c r="O1969" i="2"/>
  <c r="X1969" i="2" s="1"/>
  <c r="O1968" i="2"/>
  <c r="O1967" i="2"/>
  <c r="X1967" i="2" s="1"/>
  <c r="O1966" i="2"/>
  <c r="AY1966" i="2" s="1"/>
  <c r="O1965" i="2"/>
  <c r="O1964" i="2"/>
  <c r="O1963" i="2"/>
  <c r="X1963" i="2" s="1"/>
  <c r="O1962" i="2"/>
  <c r="O1961" i="2"/>
  <c r="X1961" i="2" s="1"/>
  <c r="O1960" i="2"/>
  <c r="O1959" i="2"/>
  <c r="X1959" i="2" s="1"/>
  <c r="O1958" i="2"/>
  <c r="AY1958" i="2" s="1"/>
  <c r="O1957" i="2"/>
  <c r="AX1957" i="2" s="1"/>
  <c r="O1956" i="2"/>
  <c r="O1955" i="2"/>
  <c r="X1955" i="2" s="1"/>
  <c r="O1954" i="2"/>
  <c r="O1953" i="2"/>
  <c r="X1953" i="2" s="1"/>
  <c r="O1952" i="2"/>
  <c r="O1951" i="2"/>
  <c r="X1951" i="2" s="1"/>
  <c r="O1950" i="2"/>
  <c r="AY1950" i="2" s="1"/>
  <c r="O1949" i="2"/>
  <c r="O1948" i="2"/>
  <c r="AX1948" i="2" s="1"/>
  <c r="O1947" i="2"/>
  <c r="X1947" i="2" s="1"/>
  <c r="O1946" i="2"/>
  <c r="O1945" i="2"/>
  <c r="X1945" i="2" s="1"/>
  <c r="O1944" i="2"/>
  <c r="O1943" i="2"/>
  <c r="X1943" i="2" s="1"/>
  <c r="O1942" i="2"/>
  <c r="AY1942" i="2" s="1"/>
  <c r="O1941" i="2"/>
  <c r="O1940" i="2"/>
  <c r="AV1940" i="2" s="1"/>
  <c r="O1939" i="2"/>
  <c r="X1939" i="2" s="1"/>
  <c r="O1938" i="2"/>
  <c r="O1937" i="2"/>
  <c r="X1937" i="2" s="1"/>
  <c r="O1936" i="2"/>
  <c r="O1935" i="2"/>
  <c r="X1935" i="2" s="1"/>
  <c r="O1934" i="2"/>
  <c r="AY1934" i="2" s="1"/>
  <c r="O1933" i="2"/>
  <c r="AX1933" i="2" s="1"/>
  <c r="O1932" i="2"/>
  <c r="O1931" i="2"/>
  <c r="X1931" i="2" s="1"/>
  <c r="O1930" i="2"/>
  <c r="Y1930" i="2" s="1" a="1"/>
  <c r="Y1930" i="2" s="1"/>
  <c r="O1929" i="2"/>
  <c r="X1929" i="2" s="1"/>
  <c r="O1928" i="2"/>
  <c r="O1927" i="2"/>
  <c r="X1927" i="2" s="1"/>
  <c r="O1926" i="2"/>
  <c r="AY1926" i="2" s="1"/>
  <c r="O1925" i="2"/>
  <c r="O1924" i="2"/>
  <c r="O1923" i="2"/>
  <c r="X1923" i="2" s="1"/>
  <c r="O1922" i="2"/>
  <c r="O1921" i="2"/>
  <c r="X1921" i="2" s="1"/>
  <c r="O1920" i="2"/>
  <c r="X1920" i="2" s="1"/>
  <c r="O1919" i="2"/>
  <c r="X1919" i="2" s="1"/>
  <c r="O1918" i="2"/>
  <c r="AV1918" i="2" s="1"/>
  <c r="O1917" i="2"/>
  <c r="O1916" i="2"/>
  <c r="O1915" i="2"/>
  <c r="X1915" i="2" s="1"/>
  <c r="O1914" i="2"/>
  <c r="X1914" i="2" s="1"/>
  <c r="O1913" i="2"/>
  <c r="O1912" i="2"/>
  <c r="X1912" i="2" s="1"/>
  <c r="O1911" i="2"/>
  <c r="O1910" i="2"/>
  <c r="O1909" i="2"/>
  <c r="AX1909" i="2" s="1"/>
  <c r="O1908" i="2"/>
  <c r="O1907" i="2"/>
  <c r="X1907" i="2" s="1"/>
  <c r="O1906" i="2"/>
  <c r="O1905" i="2"/>
  <c r="O1904" i="2"/>
  <c r="X1904" i="2" s="1"/>
  <c r="O1903" i="2"/>
  <c r="O1902" i="2"/>
  <c r="X1902" i="2" s="1"/>
  <c r="O1901" i="2"/>
  <c r="O1900" i="2"/>
  <c r="O1899" i="2"/>
  <c r="X1899" i="2" s="1"/>
  <c r="O1898" i="2"/>
  <c r="O1897" i="2"/>
  <c r="X1897" i="2" s="1"/>
  <c r="O1896" i="2"/>
  <c r="AY1896" i="2" s="1"/>
  <c r="O1895" i="2"/>
  <c r="O1894" i="2"/>
  <c r="O1893" i="2"/>
  <c r="O1892" i="2"/>
  <c r="O1891" i="2"/>
  <c r="O1890" i="2"/>
  <c r="O1889" i="2"/>
  <c r="X1889" i="2" s="1"/>
  <c r="O1888" i="2"/>
  <c r="X1888" i="2" s="1"/>
  <c r="O1887" i="2"/>
  <c r="O1886" i="2"/>
  <c r="O1885" i="2"/>
  <c r="O1884" i="2"/>
  <c r="O1883" i="2"/>
  <c r="X1883" i="2" s="1"/>
  <c r="O1882" i="2"/>
  <c r="X1882" i="2" s="1"/>
  <c r="O1881" i="2"/>
  <c r="X1881" i="2" s="1"/>
  <c r="O1880" i="2"/>
  <c r="O1879" i="2"/>
  <c r="X1879" i="2" s="1"/>
  <c r="O1878" i="2"/>
  <c r="O1877" i="2"/>
  <c r="AX1877" i="2" s="1"/>
  <c r="O1876" i="2"/>
  <c r="O1875" i="2"/>
  <c r="X1875" i="2" s="1"/>
  <c r="O1874" i="2"/>
  <c r="O1873" i="2"/>
  <c r="X1873" i="2" s="1"/>
  <c r="O1872" i="2"/>
  <c r="AY1872" i="2" s="1"/>
  <c r="O1871" i="2"/>
  <c r="O1870" i="2"/>
  <c r="O1869" i="2"/>
  <c r="O1868" i="2"/>
  <c r="O1867" i="2"/>
  <c r="X1867" i="2" s="1"/>
  <c r="O1866" i="2"/>
  <c r="O1865" i="2"/>
  <c r="X1865" i="2" s="1"/>
  <c r="O1864" i="2"/>
  <c r="O1863" i="2"/>
  <c r="X1863" i="2" s="1"/>
  <c r="O1862" i="2"/>
  <c r="AY1862" i="2" s="1"/>
  <c r="O1861" i="2"/>
  <c r="AW1861" i="2" s="1"/>
  <c r="O1860" i="2"/>
  <c r="O1859" i="2"/>
  <c r="X1859" i="2" s="1"/>
  <c r="O1858" i="2"/>
  <c r="AY1858" i="2" s="1"/>
  <c r="O1857" i="2"/>
  <c r="X1857" i="2" s="1"/>
  <c r="O1856" i="2"/>
  <c r="X1856" i="2" s="1"/>
  <c r="O1855" i="2"/>
  <c r="O1854" i="2"/>
  <c r="O1853" i="2"/>
  <c r="O1852" i="2"/>
  <c r="O1851" i="2"/>
  <c r="X1851" i="2" s="1"/>
  <c r="O1850" i="2"/>
  <c r="O1849" i="2"/>
  <c r="O1848" i="2"/>
  <c r="AY1848" i="2" s="1"/>
  <c r="O1847" i="2"/>
  <c r="X1847" i="2" s="1"/>
  <c r="O1846" i="2"/>
  <c r="O1845" i="2"/>
  <c r="AX1845" i="2" s="1"/>
  <c r="O1844" i="2"/>
  <c r="O1843" i="2"/>
  <c r="X1843" i="2" s="1"/>
  <c r="O1842" i="2"/>
  <c r="O1841" i="2"/>
  <c r="X1841" i="2" s="1"/>
  <c r="O1840" i="2"/>
  <c r="X1840" i="2" s="1"/>
  <c r="O1839" i="2"/>
  <c r="O1838" i="2"/>
  <c r="O1837" i="2"/>
  <c r="O1836" i="2"/>
  <c r="O1835" i="2"/>
  <c r="O1834" i="2"/>
  <c r="O1833" i="2"/>
  <c r="X1833" i="2" s="1"/>
  <c r="O1832" i="2"/>
  <c r="X1832" i="2" s="1"/>
  <c r="O1831" i="2"/>
  <c r="X1831" i="2" s="1"/>
  <c r="O1830" i="2"/>
  <c r="AW1830" i="2" s="1"/>
  <c r="O1829" i="2"/>
  <c r="O1828" i="2"/>
  <c r="O1827" i="2"/>
  <c r="O1826" i="2"/>
  <c r="O1825" i="2"/>
  <c r="X1825" i="2" s="1"/>
  <c r="O1824" i="2"/>
  <c r="X1824" i="2" s="1"/>
  <c r="O1823" i="2"/>
  <c r="X1823" i="2" s="1"/>
  <c r="O1822" i="2"/>
  <c r="AW1822" i="2" s="1"/>
  <c r="O1821" i="2"/>
  <c r="O1820" i="2"/>
  <c r="O1819" i="2"/>
  <c r="X1819" i="2" s="1"/>
  <c r="O1818" i="2"/>
  <c r="O1817" i="2"/>
  <c r="X1817" i="2" s="1"/>
  <c r="O1816" i="2"/>
  <c r="X1816" i="2" s="1"/>
  <c r="O1815" i="2"/>
  <c r="X1815" i="2" s="1"/>
  <c r="O1814" i="2"/>
  <c r="O1813" i="2"/>
  <c r="AX1813" i="2" s="1"/>
  <c r="O1812" i="2"/>
  <c r="O1811" i="2"/>
  <c r="X1811" i="2" s="1"/>
  <c r="O1810" i="2"/>
  <c r="AY1810" i="2" s="1"/>
  <c r="O1809" i="2"/>
  <c r="X1809" i="2" s="1"/>
  <c r="O1808" i="2"/>
  <c r="X1808" i="2" s="1"/>
  <c r="O1807" i="2"/>
  <c r="X1807" i="2" s="1"/>
  <c r="O1806" i="2"/>
  <c r="O1805" i="2"/>
  <c r="O1804" i="2"/>
  <c r="O1803" i="2"/>
  <c r="X1803" i="2" s="1"/>
  <c r="O1802" i="2"/>
  <c r="O1801" i="2"/>
  <c r="X1801" i="2" s="1"/>
  <c r="O1800" i="2"/>
  <c r="X1800" i="2" s="1"/>
  <c r="O1799" i="2"/>
  <c r="X1799" i="2" s="1"/>
  <c r="O1798" i="2"/>
  <c r="AY1798" i="2" s="1"/>
  <c r="O1797" i="2"/>
  <c r="O1796" i="2"/>
  <c r="O1795" i="2"/>
  <c r="X1795" i="2" s="1"/>
  <c r="O1794" i="2"/>
  <c r="AY1794" i="2" s="1"/>
  <c r="O1793" i="2"/>
  <c r="X1793" i="2" s="1"/>
  <c r="O1792" i="2"/>
  <c r="X1792" i="2" s="1"/>
  <c r="O1791" i="2"/>
  <c r="X1791" i="2" s="1"/>
  <c r="O1790" i="2"/>
  <c r="O1789" i="2"/>
  <c r="O1788" i="2"/>
  <c r="O1787" i="2"/>
  <c r="X1787" i="2" s="1"/>
  <c r="O1786" i="2"/>
  <c r="AY1786" i="2" s="1"/>
  <c r="O1785" i="2"/>
  <c r="X1785" i="2" s="1"/>
  <c r="O1784" i="2"/>
  <c r="X1784" i="2" s="1"/>
  <c r="O1783" i="2"/>
  <c r="O1782" i="2"/>
  <c r="Y1782" i="2" s="1" a="1"/>
  <c r="Y1782" i="2" s="1"/>
  <c r="O1781" i="2"/>
  <c r="O1780" i="2"/>
  <c r="O1779" i="2"/>
  <c r="X1779" i="2" s="1"/>
  <c r="O1778" i="2"/>
  <c r="O1777" i="2"/>
  <c r="X1777" i="2" s="1"/>
  <c r="O1776" i="2"/>
  <c r="AY1776" i="2" s="1"/>
  <c r="O1775" i="2"/>
  <c r="X1775" i="2" s="1"/>
  <c r="O1774" i="2"/>
  <c r="AY1774" i="2" s="1"/>
  <c r="O1773" i="2"/>
  <c r="O1772" i="2"/>
  <c r="O1771" i="2"/>
  <c r="O1770" i="2"/>
  <c r="O1769" i="2"/>
  <c r="X1769" i="2" s="1"/>
  <c r="O1768" i="2"/>
  <c r="O1767" i="2"/>
  <c r="X1767" i="2" s="1"/>
  <c r="O1766" i="2"/>
  <c r="O1765" i="2"/>
  <c r="O1764" i="2"/>
  <c r="O1763" i="2"/>
  <c r="X1763" i="2" s="1"/>
  <c r="O1762" i="2"/>
  <c r="X1762" i="2" s="1"/>
  <c r="O1761" i="2"/>
  <c r="X1761" i="2" s="1"/>
  <c r="O1760" i="2"/>
  <c r="AY1760" i="2" s="1"/>
  <c r="O1759" i="2"/>
  <c r="X1759" i="2" s="1"/>
  <c r="O1758" i="2"/>
  <c r="AY1758" i="2" s="1"/>
  <c r="O1757" i="2"/>
  <c r="O1756" i="2"/>
  <c r="O1755" i="2"/>
  <c r="O1754" i="2"/>
  <c r="X1754" i="2" s="1"/>
  <c r="O1753" i="2"/>
  <c r="X1753" i="2" s="1"/>
  <c r="O1752" i="2"/>
  <c r="O1751" i="2"/>
  <c r="X1751" i="2" s="1"/>
  <c r="O1750" i="2"/>
  <c r="O1749" i="2"/>
  <c r="O1748" i="2"/>
  <c r="AV1748" i="2" s="1"/>
  <c r="O1747" i="2"/>
  <c r="X1747" i="2" s="1"/>
  <c r="O1746" i="2"/>
  <c r="O1745" i="2"/>
  <c r="O1744" i="2"/>
  <c r="X1744" i="2" s="1"/>
  <c r="O1743" i="2"/>
  <c r="O1742" i="2"/>
  <c r="O1741" i="2"/>
  <c r="O1740" i="2"/>
  <c r="AW1740" i="2" s="1"/>
  <c r="O1739" i="2"/>
  <c r="X1739" i="2" s="1"/>
  <c r="O1738" i="2"/>
  <c r="AY1738" i="2" s="1"/>
  <c r="O1737" i="2"/>
  <c r="X1737" i="2" s="1"/>
  <c r="O1736" i="2"/>
  <c r="X1736" i="2" s="1"/>
  <c r="O1735" i="2"/>
  <c r="AY1735" i="2" s="1"/>
  <c r="O1734" i="2"/>
  <c r="AW1734" i="2" s="1"/>
  <c r="O1733" i="2"/>
  <c r="O1732" i="2"/>
  <c r="Y1732" i="2" s="1" a="1"/>
  <c r="Y1732" i="2" s="1"/>
  <c r="O1731" i="2"/>
  <c r="X1731" i="2" s="1"/>
  <c r="O1730" i="2"/>
  <c r="AY1730" i="2" s="1"/>
  <c r="O1729" i="2"/>
  <c r="X1729" i="2" s="1"/>
  <c r="O1728" i="2"/>
  <c r="X1728" i="2" s="1"/>
  <c r="O1727" i="2"/>
  <c r="AY1727" i="2" s="1"/>
  <c r="O1726" i="2"/>
  <c r="O1725" i="2"/>
  <c r="O1724" i="2"/>
  <c r="O1723" i="2"/>
  <c r="O1722" i="2"/>
  <c r="O1721" i="2"/>
  <c r="X1721" i="2" s="1"/>
  <c r="O1720" i="2"/>
  <c r="X1720" i="2" s="1"/>
  <c r="O1719" i="2"/>
  <c r="AY1719" i="2" s="1"/>
  <c r="O1718" i="2"/>
  <c r="AW1718" i="2" s="1"/>
  <c r="O1717" i="2"/>
  <c r="O1716" i="2"/>
  <c r="AY1716" i="2" s="1"/>
  <c r="O1715" i="2"/>
  <c r="O1714" i="2"/>
  <c r="O1713" i="2"/>
  <c r="X1713" i="2" s="1"/>
  <c r="O1712" i="2"/>
  <c r="X1712" i="2" s="1"/>
  <c r="O1711" i="2"/>
  <c r="AY1711" i="2" s="1"/>
  <c r="O1710" i="2"/>
  <c r="AY1710" i="2" s="1"/>
  <c r="O1709" i="2"/>
  <c r="O1708" i="2"/>
  <c r="O1707" i="2"/>
  <c r="X1707" i="2" s="1"/>
  <c r="O1706" i="2"/>
  <c r="O1705" i="2"/>
  <c r="X1705" i="2" s="1"/>
  <c r="O1704" i="2"/>
  <c r="O1703" i="2"/>
  <c r="O1702" i="2"/>
  <c r="O1701" i="2"/>
  <c r="O1700" i="2"/>
  <c r="AW1700" i="2" s="1"/>
  <c r="O1699" i="2"/>
  <c r="X1699" i="2" s="1"/>
  <c r="O1698" i="2"/>
  <c r="O1697" i="2"/>
  <c r="X1697" i="2" s="1"/>
  <c r="O1696" i="2"/>
  <c r="AY1696" i="2" s="1"/>
  <c r="O1695" i="2"/>
  <c r="O1694" i="2"/>
  <c r="O1693" i="2"/>
  <c r="O1692" i="2"/>
  <c r="AY1692" i="2" s="1"/>
  <c r="O1691" i="2"/>
  <c r="X1691" i="2" s="1"/>
  <c r="O1690" i="2"/>
  <c r="O1689" i="2"/>
  <c r="X1689" i="2" s="1"/>
  <c r="O1688" i="2"/>
  <c r="AY1688" i="2" s="1"/>
  <c r="O1687" i="2"/>
  <c r="O1686" i="2"/>
  <c r="O1685" i="2"/>
  <c r="O1684" i="2"/>
  <c r="AV1684" i="2" s="1"/>
  <c r="O1683" i="2"/>
  <c r="X1683" i="2" s="1"/>
  <c r="O1682" i="2"/>
  <c r="O1681" i="2"/>
  <c r="X1681" i="2" s="1"/>
  <c r="O1680" i="2"/>
  <c r="AY1680" i="2" s="1"/>
  <c r="O1679" i="2"/>
  <c r="O1678" i="2"/>
  <c r="O1677" i="2"/>
  <c r="O1676" i="2"/>
  <c r="O1675" i="2"/>
  <c r="X1675" i="2" s="1"/>
  <c r="O1674" i="2"/>
  <c r="O1673" i="2"/>
  <c r="X1673" i="2" s="1"/>
  <c r="O1672" i="2"/>
  <c r="O1671" i="2"/>
  <c r="AY1671" i="2" s="1"/>
  <c r="O1670" i="2"/>
  <c r="O1669" i="2"/>
  <c r="O1668" i="2"/>
  <c r="O1667" i="2"/>
  <c r="X1667" i="2" s="1"/>
  <c r="O1666" i="2"/>
  <c r="O1665" i="2"/>
  <c r="X1665" i="2" s="1"/>
  <c r="O1664" i="2"/>
  <c r="AY1664" i="2" s="1"/>
  <c r="O1663" i="2"/>
  <c r="AY1663" i="2" s="1"/>
  <c r="O1662" i="2"/>
  <c r="Y1662" i="2" s="1" a="1"/>
  <c r="Y1662" i="2" s="1"/>
  <c r="O1661" i="2"/>
  <c r="O1660" i="2"/>
  <c r="AW1660" i="2" s="1"/>
  <c r="O1659" i="2"/>
  <c r="X1659" i="2" s="1"/>
  <c r="O1658" i="2"/>
  <c r="O1657" i="2"/>
  <c r="O1656" i="2"/>
  <c r="X1656" i="2" s="1"/>
  <c r="O1655" i="2"/>
  <c r="O1654" i="2"/>
  <c r="O1653" i="2"/>
  <c r="O1652" i="2"/>
  <c r="AV1652" i="2" s="1"/>
  <c r="O1651" i="2"/>
  <c r="X1651" i="2" s="1"/>
  <c r="O1650" i="2"/>
  <c r="O1649" i="2"/>
  <c r="O1648" i="2"/>
  <c r="X1648" i="2" s="1"/>
  <c r="O1647" i="2"/>
  <c r="O1646" i="2"/>
  <c r="O1645" i="2"/>
  <c r="O1644" i="2"/>
  <c r="O1643" i="2"/>
  <c r="X1643" i="2" s="1"/>
  <c r="O1642" i="2"/>
  <c r="O1641" i="2"/>
  <c r="O1640" i="2"/>
  <c r="X1640" i="2" s="1"/>
  <c r="O1639" i="2"/>
  <c r="O1638" i="2"/>
  <c r="O1637" i="2"/>
  <c r="O1636" i="2"/>
  <c r="O1635" i="2"/>
  <c r="X1635" i="2" s="1"/>
  <c r="O1634" i="2"/>
  <c r="AY1634" i="2" s="1"/>
  <c r="O1633" i="2"/>
  <c r="X1633" i="2" s="1"/>
  <c r="O1632" i="2"/>
  <c r="X1632" i="2" s="1"/>
  <c r="O1631" i="2"/>
  <c r="O1630" i="2"/>
  <c r="AW1630" i="2" s="1"/>
  <c r="O1629" i="2"/>
  <c r="O1628" i="2"/>
  <c r="AY1628" i="2" s="1"/>
  <c r="O1627" i="2"/>
  <c r="X1627" i="2" s="1"/>
  <c r="O1626" i="2"/>
  <c r="O1625" i="2"/>
  <c r="X1625" i="2" s="1"/>
  <c r="O1624" i="2"/>
  <c r="X1624" i="2" s="1"/>
  <c r="O1623" i="2"/>
  <c r="O1622" i="2"/>
  <c r="O1621" i="2"/>
  <c r="O1620" i="2"/>
  <c r="AV1620" i="2" s="1"/>
  <c r="O1619" i="2"/>
  <c r="X1619" i="2" s="1"/>
  <c r="O1618" i="2"/>
  <c r="O1617" i="2"/>
  <c r="X1617" i="2" s="1"/>
  <c r="O1616" i="2"/>
  <c r="X1616" i="2" s="1"/>
  <c r="O1615" i="2"/>
  <c r="O1614" i="2"/>
  <c r="AY1614" i="2" s="1"/>
  <c r="O1613" i="2"/>
  <c r="O1612" i="2"/>
  <c r="O1611" i="2"/>
  <c r="X1611" i="2" s="1"/>
  <c r="O1610" i="2"/>
  <c r="X1610" i="2" s="1"/>
  <c r="O1609" i="2"/>
  <c r="X1609" i="2" s="1"/>
  <c r="O1608" i="2"/>
  <c r="X1608" i="2" s="1"/>
  <c r="O1607" i="2"/>
  <c r="O1606" i="2"/>
  <c r="O1605" i="2"/>
  <c r="O1604" i="2"/>
  <c r="AY1604" i="2" s="1"/>
  <c r="O1603" i="2"/>
  <c r="X1603" i="2" s="1"/>
  <c r="O1602" i="2"/>
  <c r="O1601" i="2"/>
  <c r="X1601" i="2" s="1"/>
  <c r="O1600" i="2"/>
  <c r="X1600" i="2" s="1"/>
  <c r="O1599" i="2"/>
  <c r="O1598" i="2"/>
  <c r="O1597" i="2"/>
  <c r="O1596" i="2"/>
  <c r="O1595" i="2"/>
  <c r="X1595" i="2" s="1"/>
  <c r="O1594" i="2"/>
  <c r="O1593" i="2"/>
  <c r="X1593" i="2" s="1"/>
  <c r="O1592" i="2"/>
  <c r="X1592" i="2" s="1"/>
  <c r="O1591" i="2"/>
  <c r="O1590" i="2"/>
  <c r="AY1590" i="2" s="1"/>
  <c r="O1589" i="2"/>
  <c r="O1588" i="2"/>
  <c r="AV1588" i="2" s="1"/>
  <c r="O1587" i="2"/>
  <c r="X1587" i="2" s="1"/>
  <c r="O1586" i="2"/>
  <c r="O1585" i="2"/>
  <c r="X1585" i="2" s="1"/>
  <c r="O1584" i="2"/>
  <c r="X1584" i="2" s="1"/>
  <c r="O1583" i="2"/>
  <c r="AY1583" i="2" s="1"/>
  <c r="O1582" i="2"/>
  <c r="O1581" i="2"/>
  <c r="O1580" i="2"/>
  <c r="AW1580" i="2" s="1"/>
  <c r="O1579" i="2"/>
  <c r="X1579" i="2" s="1"/>
  <c r="O1578" i="2"/>
  <c r="AY1578" i="2" s="1"/>
  <c r="O1577" i="2"/>
  <c r="X1577" i="2" s="1"/>
  <c r="O1576" i="2"/>
  <c r="AY1576" i="2" s="1"/>
  <c r="O1575" i="2"/>
  <c r="O1574" i="2"/>
  <c r="O1573" i="2"/>
  <c r="O1572" i="2"/>
  <c r="O1571" i="2"/>
  <c r="X1571" i="2" s="1"/>
  <c r="O1570" i="2"/>
  <c r="O1569" i="2"/>
  <c r="X1569" i="2" s="1"/>
  <c r="O1568" i="2"/>
  <c r="X1568" i="2" s="1"/>
  <c r="O1567" i="2"/>
  <c r="O1566" i="2"/>
  <c r="O1565" i="2"/>
  <c r="O1564" i="2"/>
  <c r="O1563" i="2"/>
  <c r="X1563" i="2" s="1"/>
  <c r="O1562" i="2"/>
  <c r="O1561" i="2"/>
  <c r="X1561" i="2" s="1"/>
  <c r="O1560" i="2"/>
  <c r="X1560" i="2" s="1"/>
  <c r="O1559" i="2"/>
  <c r="O1558" i="2"/>
  <c r="AW1558" i="2" s="1"/>
  <c r="O1557" i="2"/>
  <c r="O1556" i="2"/>
  <c r="AV1556" i="2" s="1"/>
  <c r="O1555" i="2"/>
  <c r="X1555" i="2" s="1"/>
  <c r="O1554" i="2"/>
  <c r="O1553" i="2"/>
  <c r="X1553" i="2" s="1"/>
  <c r="O1552" i="2"/>
  <c r="X1552" i="2" s="1"/>
  <c r="O1551" i="2"/>
  <c r="O1550" i="2"/>
  <c r="AY1550" i="2" s="1"/>
  <c r="O1549" i="2"/>
  <c r="O1548" i="2"/>
  <c r="O1547" i="2"/>
  <c r="O1546" i="2"/>
  <c r="O1545" i="2"/>
  <c r="X1545" i="2" s="1"/>
  <c r="O1544" i="2"/>
  <c r="X1544" i="2" s="1"/>
  <c r="O1543" i="2"/>
  <c r="O1542" i="2"/>
  <c r="O1541" i="2"/>
  <c r="O1540" i="2"/>
  <c r="AW1540" i="2" s="1"/>
  <c r="O1539" i="2"/>
  <c r="X1539" i="2" s="1"/>
  <c r="O1538" i="2"/>
  <c r="O1537" i="2"/>
  <c r="X1537" i="2" s="1"/>
  <c r="O1536" i="2"/>
  <c r="X1536" i="2" s="1"/>
  <c r="O1535" i="2"/>
  <c r="O1534" i="2"/>
  <c r="O1533" i="2"/>
  <c r="O1532" i="2"/>
  <c r="O1531" i="2"/>
  <c r="X1531" i="2" s="1"/>
  <c r="O1530" i="2"/>
  <c r="Y1530" i="2" s="1" a="1"/>
  <c r="Y1530" i="2" s="1"/>
  <c r="O1529" i="2"/>
  <c r="X1529" i="2" s="1"/>
  <c r="O1528" i="2"/>
  <c r="X1528" i="2" s="1"/>
  <c r="O1527" i="2"/>
  <c r="O1526" i="2"/>
  <c r="O1525" i="2"/>
  <c r="O1524" i="2"/>
  <c r="AV1524" i="2" s="1"/>
  <c r="O1523" i="2"/>
  <c r="X1523" i="2" s="1"/>
  <c r="O1522" i="2"/>
  <c r="O1521" i="2"/>
  <c r="X1521" i="2" s="1"/>
  <c r="O1520" i="2"/>
  <c r="X1520" i="2" s="1"/>
  <c r="O1519" i="2"/>
  <c r="O1518" i="2"/>
  <c r="O1517" i="2"/>
  <c r="O1516" i="2"/>
  <c r="O1515" i="2"/>
  <c r="X1515" i="2" s="1"/>
  <c r="O1514" i="2"/>
  <c r="O1513" i="2"/>
  <c r="X1513" i="2" s="1"/>
  <c r="O1512" i="2"/>
  <c r="X1512" i="2" s="1"/>
  <c r="O1511" i="2"/>
  <c r="AY1511" i="2" s="1"/>
  <c r="O1510" i="2"/>
  <c r="AW1510" i="2" s="1"/>
  <c r="O1509" i="2"/>
  <c r="O1508" i="2"/>
  <c r="O1507" i="2"/>
  <c r="X1507" i="2" s="1"/>
  <c r="O1506" i="2"/>
  <c r="O1505" i="2"/>
  <c r="X1505" i="2" s="1"/>
  <c r="O1504" i="2"/>
  <c r="O1503" i="2"/>
  <c r="O1502" i="2"/>
  <c r="AW1502" i="2" s="1"/>
  <c r="O1501" i="2"/>
  <c r="O1500" i="2"/>
  <c r="AW1500" i="2" s="1"/>
  <c r="O1499" i="2"/>
  <c r="X1499" i="2" s="1"/>
  <c r="O1498" i="2"/>
  <c r="O1497" i="2"/>
  <c r="X1497" i="2" s="1"/>
  <c r="O1496" i="2"/>
  <c r="AY1496" i="2" s="1"/>
  <c r="O1495" i="2"/>
  <c r="O1494" i="2"/>
  <c r="O1493" i="2"/>
  <c r="O1492" i="2"/>
  <c r="AY1492" i="2" s="1"/>
  <c r="O1491" i="2"/>
  <c r="X1491" i="2" s="1"/>
  <c r="O1490" i="2"/>
  <c r="O1489" i="2"/>
  <c r="X1489" i="2" s="1"/>
  <c r="O1488" i="2"/>
  <c r="AY1488" i="2" s="1"/>
  <c r="O1487" i="2"/>
  <c r="O1486" i="2"/>
  <c r="O1485" i="2"/>
  <c r="O1484" i="2"/>
  <c r="O1483" i="2"/>
  <c r="X1483" i="2" s="1"/>
  <c r="O1482" i="2"/>
  <c r="O1481" i="2"/>
  <c r="X1481" i="2" s="1"/>
  <c r="O1480" i="2"/>
  <c r="O1479" i="2"/>
  <c r="AY1479" i="2" s="1"/>
  <c r="O1478" i="2"/>
  <c r="AY1478" i="2" s="1"/>
  <c r="O1477" i="2"/>
  <c r="O1476" i="2"/>
  <c r="O1475" i="2"/>
  <c r="X1475" i="2" s="1"/>
  <c r="O1474" i="2"/>
  <c r="O1473" i="2"/>
  <c r="X1473" i="2" s="1"/>
  <c r="O1472" i="2"/>
  <c r="O1471" i="2"/>
  <c r="O1470" i="2"/>
  <c r="O1469" i="2"/>
  <c r="O1468" i="2"/>
  <c r="AY1468" i="2" s="1"/>
  <c r="O1467" i="2"/>
  <c r="X1467" i="2" s="1"/>
  <c r="O1466" i="2"/>
  <c r="O1465" i="2"/>
  <c r="X1465" i="2" s="1"/>
  <c r="O1464" i="2"/>
  <c r="O1463" i="2"/>
  <c r="O1462" i="2"/>
  <c r="AW1462" i="2" s="1"/>
  <c r="O1461" i="2"/>
  <c r="O1460" i="2"/>
  <c r="AW1460" i="2" s="1"/>
  <c r="O1459" i="2"/>
  <c r="X1459" i="2" s="1"/>
  <c r="O1458" i="2"/>
  <c r="Y1458" i="2" s="1" a="1"/>
  <c r="Y1458" i="2" s="1"/>
  <c r="O1457" i="2"/>
  <c r="X1457" i="2" s="1"/>
  <c r="O1456" i="2"/>
  <c r="AY1456" i="2" s="1"/>
  <c r="O1455" i="2"/>
  <c r="O1454" i="2"/>
  <c r="O1453" i="2"/>
  <c r="O1452" i="2"/>
  <c r="Y1452" i="2" s="1" a="1"/>
  <c r="Y1452" i="2" s="1"/>
  <c r="O1451" i="2"/>
  <c r="X1451" i="2" s="1"/>
  <c r="O1450" i="2"/>
  <c r="O1449" i="2"/>
  <c r="X1449" i="2" s="1"/>
  <c r="O1448" i="2"/>
  <c r="O1447" i="2"/>
  <c r="O1446" i="2"/>
  <c r="O1445" i="2"/>
  <c r="O1444" i="2"/>
  <c r="O1443" i="2"/>
  <c r="X1443" i="2" s="1"/>
  <c r="O1442" i="2"/>
  <c r="O1441" i="2"/>
  <c r="X1441" i="2" s="1"/>
  <c r="O1440" i="2"/>
  <c r="O1439" i="2"/>
  <c r="AY1439" i="2" s="1"/>
  <c r="O1438" i="2"/>
  <c r="AW1438" i="2" s="1"/>
  <c r="O1437" i="2"/>
  <c r="O1436" i="2"/>
  <c r="O1435" i="2"/>
  <c r="X1435" i="2" s="1"/>
  <c r="O1434" i="2"/>
  <c r="O1433" i="2"/>
  <c r="O1432" i="2"/>
  <c r="O1431" i="2"/>
  <c r="AY1431" i="2" s="1"/>
  <c r="O1430" i="2"/>
  <c r="O1429" i="2"/>
  <c r="O1428" i="2"/>
  <c r="AV1428" i="2" s="1"/>
  <c r="O1427" i="2"/>
  <c r="X1427" i="2" s="1"/>
  <c r="O1426" i="2"/>
  <c r="O1425" i="2"/>
  <c r="O1424" i="2"/>
  <c r="O1423" i="2"/>
  <c r="AY1423" i="2" s="1"/>
  <c r="O1422" i="2"/>
  <c r="O1421" i="2"/>
  <c r="O1420" i="2"/>
  <c r="O1419" i="2"/>
  <c r="X1419" i="2" s="1"/>
  <c r="O1418" i="2"/>
  <c r="X1418" i="2" s="1"/>
  <c r="O1417" i="2"/>
  <c r="O1416" i="2"/>
  <c r="O1415" i="2"/>
  <c r="AY1415" i="2" s="1"/>
  <c r="O1414" i="2"/>
  <c r="O1413" i="2"/>
  <c r="O1412" i="2"/>
  <c r="O1411" i="2"/>
  <c r="X1411" i="2" s="1"/>
  <c r="O1410" i="2"/>
  <c r="O1409" i="2"/>
  <c r="O1408" i="2"/>
  <c r="O1407" i="2"/>
  <c r="AY1407" i="2" s="1"/>
  <c r="O1406" i="2"/>
  <c r="O1405" i="2"/>
  <c r="O1404" i="2"/>
  <c r="O1403" i="2"/>
  <c r="X1403" i="2" s="1"/>
  <c r="O1402" i="2"/>
  <c r="O1401" i="2"/>
  <c r="O1400" i="2"/>
  <c r="O1399" i="2"/>
  <c r="AY1399" i="2" s="1"/>
  <c r="O1398" i="2"/>
  <c r="AW1398" i="2" s="1"/>
  <c r="O1397" i="2"/>
  <c r="O1396" i="2"/>
  <c r="AV1396" i="2" s="1"/>
  <c r="O1395" i="2"/>
  <c r="X1395" i="2" s="1"/>
  <c r="O1394" i="2"/>
  <c r="O1393" i="2"/>
  <c r="O1392" i="2"/>
  <c r="O1391" i="2"/>
  <c r="O1390" i="2"/>
  <c r="O1389" i="2"/>
  <c r="O1388" i="2"/>
  <c r="O1387" i="2"/>
  <c r="X1387" i="2" s="1"/>
  <c r="O1386" i="2"/>
  <c r="O1385" i="2"/>
  <c r="O1384" i="2"/>
  <c r="O1383" i="2"/>
  <c r="AY1383" i="2" s="1"/>
  <c r="O1382" i="2"/>
  <c r="O1381" i="2"/>
  <c r="O1380" i="2"/>
  <c r="O1379" i="2"/>
  <c r="X1379" i="2" s="1"/>
  <c r="O1378" i="2"/>
  <c r="O1377" i="2"/>
  <c r="O1376" i="2"/>
  <c r="O1375" i="2"/>
  <c r="AY1375" i="2" s="1"/>
  <c r="O1374" i="2"/>
  <c r="AW1374" i="2" s="1"/>
  <c r="O1373" i="2"/>
  <c r="O1372" i="2"/>
  <c r="AY1372" i="2" s="1"/>
  <c r="O1371" i="2"/>
  <c r="X1371" i="2" s="1"/>
  <c r="O1370" i="2"/>
  <c r="AW1370" i="2" s="1"/>
  <c r="O1369" i="2"/>
  <c r="X1369" i="2" s="1"/>
  <c r="O1368" i="2"/>
  <c r="O1367" i="2"/>
  <c r="AY1367" i="2" s="1"/>
  <c r="O1366" i="2"/>
  <c r="AW1366" i="2" s="1"/>
  <c r="O1365" i="2"/>
  <c r="O1364" i="2"/>
  <c r="AV1364" i="2" s="1"/>
  <c r="O1363" i="2"/>
  <c r="X1363" i="2" s="1"/>
  <c r="O1362" i="2"/>
  <c r="O1361" i="2"/>
  <c r="O1360" i="2"/>
  <c r="O1359" i="2"/>
  <c r="AY1359" i="2" s="1"/>
  <c r="O1358" i="2"/>
  <c r="O1357" i="2"/>
  <c r="O1356" i="2"/>
  <c r="O1355" i="2"/>
  <c r="X1355" i="2" s="1"/>
  <c r="O1354" i="2"/>
  <c r="O1353" i="2"/>
  <c r="O1352" i="2"/>
  <c r="O1351" i="2"/>
  <c r="AY1351" i="2" s="1"/>
  <c r="O1350" i="2"/>
  <c r="O1349" i="2"/>
  <c r="O1348" i="2"/>
  <c r="O1347" i="2"/>
  <c r="X1347" i="2" s="1"/>
  <c r="O1346" i="2"/>
  <c r="AW1346" i="2" s="1"/>
  <c r="O1345" i="2"/>
  <c r="O1344" i="2"/>
  <c r="O1343" i="2"/>
  <c r="O1342" i="2"/>
  <c r="O1341" i="2"/>
  <c r="O1340" i="2"/>
  <c r="O1339" i="2"/>
  <c r="X1339" i="2" s="1"/>
  <c r="O1338" i="2"/>
  <c r="O1337" i="2"/>
  <c r="O1336" i="2"/>
  <c r="O1335" i="2"/>
  <c r="O1334" i="2"/>
  <c r="AW1334" i="2" s="1"/>
  <c r="O1333" i="2"/>
  <c r="O1332" i="2"/>
  <c r="AV1332" i="2" s="1"/>
  <c r="O1331" i="2"/>
  <c r="X1331" i="2" s="1"/>
  <c r="O1330" i="2"/>
  <c r="O1329" i="2"/>
  <c r="O1328" i="2"/>
  <c r="O1327" i="2"/>
  <c r="O1326" i="2"/>
  <c r="Y1326" i="2" s="1" a="1"/>
  <c r="Y1326" i="2" s="1"/>
  <c r="O1325" i="2"/>
  <c r="O1324" i="2"/>
  <c r="O1323" i="2"/>
  <c r="X1323" i="2" s="1"/>
  <c r="O1322" i="2"/>
  <c r="X1322" i="2" s="1"/>
  <c r="O1321" i="2"/>
  <c r="O1320" i="2"/>
  <c r="O1319" i="2"/>
  <c r="O1318" i="2"/>
  <c r="O1317" i="2"/>
  <c r="O1316" i="2"/>
  <c r="O1315" i="2"/>
  <c r="X1315" i="2" s="1"/>
  <c r="O1314" i="2"/>
  <c r="O1313" i="2"/>
  <c r="O1312" i="2"/>
  <c r="O1311" i="2"/>
  <c r="O1310" i="2"/>
  <c r="AW1310" i="2" s="1"/>
  <c r="O1309" i="2"/>
  <c r="O1308" i="2"/>
  <c r="O1307" i="2"/>
  <c r="X1307" i="2" s="1"/>
  <c r="O1306" i="2"/>
  <c r="O1305" i="2"/>
  <c r="O1304" i="2"/>
  <c r="X1304" i="2" s="1"/>
  <c r="O1303" i="2"/>
  <c r="O1302" i="2"/>
  <c r="Y1302" i="2" s="1" a="1"/>
  <c r="Y1302" i="2" s="1"/>
  <c r="O1301" i="2"/>
  <c r="O1300" i="2"/>
  <c r="O1299" i="2"/>
  <c r="X1299" i="2" s="1"/>
  <c r="O1298" i="2"/>
  <c r="Y1298" i="2" s="1" a="1"/>
  <c r="Y1298" i="2" s="1"/>
  <c r="O1297" i="2"/>
  <c r="O1296" i="2"/>
  <c r="O1295" i="2"/>
  <c r="O1294" i="2"/>
  <c r="O1293" i="2"/>
  <c r="O1292" i="2"/>
  <c r="O1291" i="2"/>
  <c r="X1291" i="2" s="1"/>
  <c r="O1290" i="2"/>
  <c r="AY1290" i="2" s="1"/>
  <c r="O1289" i="2"/>
  <c r="X1289" i="2" s="1"/>
  <c r="O1288" i="2"/>
  <c r="O1287" i="2"/>
  <c r="O1286" i="2"/>
  <c r="O1285" i="2"/>
  <c r="O1284" i="2"/>
  <c r="AY1284" i="2" s="1"/>
  <c r="O1283" i="2"/>
  <c r="X1283" i="2" s="1"/>
  <c r="O1282" i="2"/>
  <c r="AY1282" i="2" s="1"/>
  <c r="O1281" i="2"/>
  <c r="X1281" i="2" s="1"/>
  <c r="O1280" i="2"/>
  <c r="O1279" i="2"/>
  <c r="O1278" i="2"/>
  <c r="AY1278" i="2" s="1"/>
  <c r="O1277" i="2"/>
  <c r="O1276" i="2"/>
  <c r="O1275" i="2"/>
  <c r="X1275" i="2" s="1"/>
  <c r="O1274" i="2"/>
  <c r="AY1274" i="2" s="1"/>
  <c r="O1273" i="2"/>
  <c r="X1273" i="2" s="1"/>
  <c r="O1272" i="2"/>
  <c r="O1271" i="2"/>
  <c r="O1270" i="2"/>
  <c r="O1269" i="2"/>
  <c r="O1268" i="2"/>
  <c r="AV1268" i="2" s="1"/>
  <c r="O1267" i="2"/>
  <c r="X1267" i="2" s="1"/>
  <c r="O1266" i="2"/>
  <c r="AY1266" i="2" s="1"/>
  <c r="O1265" i="2"/>
  <c r="X1265" i="2" s="1"/>
  <c r="O1264" i="2"/>
  <c r="O1263" i="2"/>
  <c r="O1262" i="2"/>
  <c r="O1261" i="2"/>
  <c r="O1260" i="2"/>
  <c r="O1259" i="2"/>
  <c r="X1259" i="2" s="1"/>
  <c r="O1258" i="2"/>
  <c r="AW1258" i="2" s="1"/>
  <c r="O1257" i="2"/>
  <c r="X1257" i="2" s="1"/>
  <c r="O1256" i="2"/>
  <c r="O1255" i="2"/>
  <c r="O1254" i="2"/>
  <c r="O1253" i="2"/>
  <c r="O1252" i="2"/>
  <c r="O1251" i="2"/>
  <c r="O1250" i="2"/>
  <c r="AW1250" i="2" s="1"/>
  <c r="O1249" i="2"/>
  <c r="X1249" i="2" s="1"/>
  <c r="O1248" i="2"/>
  <c r="O1247" i="2"/>
  <c r="O1246" i="2"/>
  <c r="AW1246" i="2" s="1"/>
  <c r="O1245" i="2"/>
  <c r="O1244" i="2"/>
  <c r="O1243" i="2"/>
  <c r="O1242" i="2"/>
  <c r="O1241" i="2"/>
  <c r="X1241" i="2" s="1"/>
  <c r="O1240" i="2"/>
  <c r="O1239" i="2"/>
  <c r="O1238" i="2"/>
  <c r="X1238" i="2" s="1"/>
  <c r="O1237" i="2"/>
  <c r="O1236" i="2"/>
  <c r="AY1236" i="2" s="1"/>
  <c r="O1235" i="2"/>
  <c r="O1234" i="2"/>
  <c r="Y1234" i="2" s="1" a="1"/>
  <c r="Y1234" i="2" s="1"/>
  <c r="O1233" i="2"/>
  <c r="X1233" i="2" s="1"/>
  <c r="O1232" i="2"/>
  <c r="O1231" i="2"/>
  <c r="O1230" i="2"/>
  <c r="O1229" i="2"/>
  <c r="O1228" i="2"/>
  <c r="O1227" i="2"/>
  <c r="O1226" i="2"/>
  <c r="O1225" i="2"/>
  <c r="X1225" i="2" s="1"/>
  <c r="O1224" i="2"/>
  <c r="O1223" i="2"/>
  <c r="O1222" i="2"/>
  <c r="O1221" i="2"/>
  <c r="O1220" i="2"/>
  <c r="O1219" i="2"/>
  <c r="X1219" i="2" s="1"/>
  <c r="O1218" i="2"/>
  <c r="O1217" i="2"/>
  <c r="X1217" i="2" s="1"/>
  <c r="O1216" i="2"/>
  <c r="O1215" i="2"/>
  <c r="O1214" i="2"/>
  <c r="O1213" i="2"/>
  <c r="O1212" i="2"/>
  <c r="O1211" i="2"/>
  <c r="X1211" i="2" s="1"/>
  <c r="O1210" i="2"/>
  <c r="O1209" i="2"/>
  <c r="X1209" i="2" s="1"/>
  <c r="O1208" i="2"/>
  <c r="O1207" i="2"/>
  <c r="O1206" i="2"/>
  <c r="O1205" i="2"/>
  <c r="O1204" i="2"/>
  <c r="AV1204" i="2" s="1"/>
  <c r="O1203" i="2"/>
  <c r="X1203" i="2" s="1"/>
  <c r="O1202" i="2"/>
  <c r="O1201" i="2"/>
  <c r="X1201" i="2" s="1"/>
  <c r="O1200" i="2"/>
  <c r="O1199" i="2"/>
  <c r="O1198" i="2"/>
  <c r="O1197" i="2"/>
  <c r="O1196" i="2"/>
  <c r="O1195" i="2"/>
  <c r="X1195" i="2" s="1"/>
  <c r="O1194" i="2"/>
  <c r="AW1194" i="2" s="1"/>
  <c r="O1193" i="2"/>
  <c r="X1193" i="2" s="1"/>
  <c r="O1192" i="2"/>
  <c r="O1191" i="2"/>
  <c r="AY1191" i="2" s="1"/>
  <c r="O1190" i="2"/>
  <c r="O1189" i="2"/>
  <c r="O1188" i="2"/>
  <c r="AW1188" i="2" s="1"/>
  <c r="O1187" i="2"/>
  <c r="X1187" i="2" s="1"/>
  <c r="O1186" i="2"/>
  <c r="AW1186" i="2" s="1"/>
  <c r="O1185" i="2"/>
  <c r="O1184" i="2"/>
  <c r="O1183" i="2"/>
  <c r="O1182" i="2"/>
  <c r="X1182" i="2" s="1"/>
  <c r="O1181" i="2"/>
  <c r="O1180" i="2"/>
  <c r="O1179" i="2"/>
  <c r="X1179" i="2" s="1"/>
  <c r="O1178" i="2"/>
  <c r="O1177" i="2"/>
  <c r="O1176" i="2"/>
  <c r="O1175" i="2"/>
  <c r="O1174" i="2"/>
  <c r="O1173" i="2"/>
  <c r="O1172" i="2"/>
  <c r="AV1172" i="2" s="1"/>
  <c r="O1171" i="2"/>
  <c r="X1171" i="2" s="1"/>
  <c r="O1170" i="2"/>
  <c r="AW1170" i="2" s="1"/>
  <c r="O1169" i="2"/>
  <c r="O1168" i="2"/>
  <c r="O1167" i="2"/>
  <c r="O1166" i="2"/>
  <c r="O1165" i="2"/>
  <c r="O1164" i="2"/>
  <c r="O1163" i="2"/>
  <c r="X1163" i="2" s="1"/>
  <c r="O1162" i="2"/>
  <c r="O1161" i="2"/>
  <c r="X1161" i="2" s="1"/>
  <c r="O1160" i="2"/>
  <c r="O1159" i="2"/>
  <c r="O1158" i="2"/>
  <c r="O1157" i="2"/>
  <c r="O1156" i="2"/>
  <c r="O1155" i="2"/>
  <c r="O1154" i="2"/>
  <c r="O1153" i="2"/>
  <c r="X1153" i="2" s="1"/>
  <c r="O1152" i="2"/>
  <c r="O1151" i="2"/>
  <c r="O1150" i="2"/>
  <c r="O1149" i="2"/>
  <c r="O1148" i="2"/>
  <c r="AY1148" i="2" s="1"/>
  <c r="O1147" i="2"/>
  <c r="X1147" i="2" s="1"/>
  <c r="O1146" i="2"/>
  <c r="AW1146" i="2" s="1"/>
  <c r="O1145" i="2"/>
  <c r="X1145" i="2" s="1"/>
  <c r="O1144" i="2"/>
  <c r="O1143" i="2"/>
  <c r="O1142" i="2"/>
  <c r="O1141" i="2"/>
  <c r="O1140" i="2"/>
  <c r="O1139" i="2"/>
  <c r="X1139" i="2" s="1"/>
  <c r="O1138" i="2"/>
  <c r="O1137" i="2"/>
  <c r="X1137" i="2" s="1"/>
  <c r="O1136" i="2"/>
  <c r="O1135" i="2"/>
  <c r="O1134" i="2"/>
  <c r="O1133" i="2"/>
  <c r="O1132" i="2"/>
  <c r="O1131" i="2"/>
  <c r="X1131" i="2" s="1"/>
  <c r="O1130" i="2"/>
  <c r="O1129" i="2"/>
  <c r="X1129" i="2" s="1"/>
  <c r="O1128" i="2"/>
  <c r="O1127" i="2"/>
  <c r="X1127" i="2" s="1"/>
  <c r="O1126" i="2"/>
  <c r="O1125" i="2"/>
  <c r="O1124" i="2"/>
  <c r="AY1124" i="2" s="1"/>
  <c r="O1123" i="2"/>
  <c r="X1123" i="2" s="1"/>
  <c r="O1122" i="2"/>
  <c r="O1121" i="2"/>
  <c r="X1121" i="2" s="1"/>
  <c r="O1120" i="2"/>
  <c r="X1120" i="2" s="1"/>
  <c r="O1119" i="2"/>
  <c r="AY1119" i="2" s="1"/>
  <c r="O1118" i="2"/>
  <c r="AY1118" i="2" s="1"/>
  <c r="O1117" i="2"/>
  <c r="O1116" i="2"/>
  <c r="O1115" i="2"/>
  <c r="X1115" i="2" s="1"/>
  <c r="O1114" i="2"/>
  <c r="O1113" i="2"/>
  <c r="X1113" i="2" s="1"/>
  <c r="O1112" i="2"/>
  <c r="AY1112" i="2" s="1"/>
  <c r="O1111" i="2"/>
  <c r="AY1111" i="2" s="1"/>
  <c r="O1110" i="2"/>
  <c r="O1109" i="2"/>
  <c r="O1108" i="2"/>
  <c r="AV1108" i="2" s="1"/>
  <c r="O1107" i="2"/>
  <c r="X1107" i="2" s="1"/>
  <c r="O1106" i="2"/>
  <c r="O1105" i="2"/>
  <c r="X1105" i="2" s="1"/>
  <c r="O1104" i="2"/>
  <c r="O1103" i="2"/>
  <c r="AY1103" i="2" s="1"/>
  <c r="O1102" i="2"/>
  <c r="AW1102" i="2" s="1"/>
  <c r="O1101" i="2"/>
  <c r="O1100" i="2"/>
  <c r="O1099" i="2"/>
  <c r="X1099" i="2" s="1"/>
  <c r="O1098" i="2"/>
  <c r="Y1098" i="2" s="1" a="1"/>
  <c r="Y1098" i="2" s="1"/>
  <c r="O1097" i="2"/>
  <c r="O1096" i="2"/>
  <c r="AY1096" i="2" s="1"/>
  <c r="O1095" i="2"/>
  <c r="O1094" i="2"/>
  <c r="O1093" i="2"/>
  <c r="O1092" i="2"/>
  <c r="O1091" i="2"/>
  <c r="X1091" i="2" s="1"/>
  <c r="O1090" i="2"/>
  <c r="AW1090" i="2" s="1"/>
  <c r="O1089" i="2"/>
  <c r="O1088" i="2"/>
  <c r="O1087" i="2"/>
  <c r="O1086" i="2"/>
  <c r="O1085" i="2"/>
  <c r="O1084" i="2"/>
  <c r="AX1084" i="2" s="1"/>
  <c r="O1083" i="2"/>
  <c r="X1083" i="2" s="1"/>
  <c r="O1082" i="2"/>
  <c r="AY1082" i="2" s="1"/>
  <c r="O1081" i="2"/>
  <c r="X1081" i="2" s="1"/>
  <c r="O1080" i="2"/>
  <c r="O1079" i="2"/>
  <c r="O1078" i="2"/>
  <c r="O1077" i="2"/>
  <c r="O1076" i="2"/>
  <c r="AX1076" i="2" s="1"/>
  <c r="O1075" i="2"/>
  <c r="O1074" i="2"/>
  <c r="AY1074" i="2" s="1"/>
  <c r="O1073" i="2"/>
  <c r="X1073" i="2" s="1"/>
  <c r="O1072" i="2"/>
  <c r="O1071" i="2"/>
  <c r="O1070" i="2"/>
  <c r="AY1070" i="2" s="1"/>
  <c r="O1069" i="2"/>
  <c r="O1068" i="2"/>
  <c r="AX1068" i="2" s="1"/>
  <c r="O1067" i="2"/>
  <c r="O1066" i="2"/>
  <c r="O1065" i="2"/>
  <c r="X1065" i="2" s="1"/>
  <c r="O1064" i="2"/>
  <c r="O1063" i="2"/>
  <c r="O1062" i="2"/>
  <c r="O1061" i="2"/>
  <c r="O1060" i="2"/>
  <c r="O1059" i="2"/>
  <c r="X1059" i="2" s="1"/>
  <c r="O1058" i="2"/>
  <c r="O1057" i="2"/>
  <c r="X1057" i="2" s="1"/>
  <c r="O1056" i="2"/>
  <c r="O1055" i="2"/>
  <c r="O1054" i="2"/>
  <c r="O1053" i="2"/>
  <c r="O1052" i="2"/>
  <c r="AX1052" i="2" s="1"/>
  <c r="O1051" i="2"/>
  <c r="X1051" i="2" s="1"/>
  <c r="O1050" i="2"/>
  <c r="AY1050" i="2" s="1"/>
  <c r="O1049" i="2"/>
  <c r="O1048" i="2"/>
  <c r="O1047" i="2"/>
  <c r="O1046" i="2"/>
  <c r="O1045" i="2"/>
  <c r="O1044" i="2"/>
  <c r="AX1044" i="2" s="1"/>
  <c r="O1043" i="2"/>
  <c r="X1043" i="2" s="1"/>
  <c r="O1042" i="2"/>
  <c r="O1041" i="2"/>
  <c r="O1040" i="2"/>
  <c r="O1039" i="2"/>
  <c r="O1038" i="2"/>
  <c r="AW1038" i="2" s="1"/>
  <c r="O1037" i="2"/>
  <c r="O1036" i="2"/>
  <c r="AX1036" i="2" s="1"/>
  <c r="O1035" i="2"/>
  <c r="X1035" i="2" s="1"/>
  <c r="O1034" i="2"/>
  <c r="X1034" i="2" s="1"/>
  <c r="O1033" i="2"/>
  <c r="O1032" i="2"/>
  <c r="O1031" i="2"/>
  <c r="AY1031" i="2" s="1"/>
  <c r="O1030" i="2"/>
  <c r="O1029" i="2"/>
  <c r="O1028" i="2"/>
  <c r="O1027" i="2"/>
  <c r="X1027" i="2" s="1"/>
  <c r="O1026" i="2"/>
  <c r="O1025" i="2"/>
  <c r="O1024" i="2"/>
  <c r="X1024" i="2" s="1"/>
  <c r="O1023" i="2"/>
  <c r="AY1023" i="2" s="1"/>
  <c r="O1022" i="2"/>
  <c r="O1021" i="2"/>
  <c r="O1020" i="2"/>
  <c r="AX1020" i="2" s="1"/>
  <c r="O1019" i="2"/>
  <c r="X1019" i="2" s="1"/>
  <c r="O1018" i="2"/>
  <c r="O1017" i="2"/>
  <c r="X1017" i="2" s="1"/>
  <c r="O1016" i="2"/>
  <c r="O1015" i="2"/>
  <c r="O1014" i="2"/>
  <c r="O1013" i="2"/>
  <c r="AW1013" i="2" s="1"/>
  <c r="O1012" i="2"/>
  <c r="AX1012" i="2" s="1"/>
  <c r="O1011" i="2"/>
  <c r="O1010" i="2"/>
  <c r="AW1010" i="2" s="1"/>
  <c r="O1009" i="2"/>
  <c r="O1008" i="2"/>
  <c r="O1007" i="2"/>
  <c r="O1006" i="2"/>
  <c r="O1005" i="2"/>
  <c r="AW1005" i="2" s="1"/>
  <c r="O1004" i="2"/>
  <c r="AX1004" i="2" s="1"/>
  <c r="O1003" i="2"/>
  <c r="O1002" i="2"/>
  <c r="X1002" i="2" s="1"/>
  <c r="O1001" i="2"/>
  <c r="O1000" i="2"/>
  <c r="O999" i="2"/>
  <c r="O998" i="2"/>
  <c r="O997" i="2"/>
  <c r="AW997" i="2" s="1"/>
  <c r="O996" i="2"/>
  <c r="AX996" i="2" s="1"/>
  <c r="O995" i="2"/>
  <c r="O994" i="2"/>
  <c r="AY994" i="2" s="1"/>
  <c r="O993" i="2"/>
  <c r="X993" i="2" s="1"/>
  <c r="O992" i="2"/>
  <c r="O991" i="2"/>
  <c r="O990" i="2"/>
  <c r="AY990" i="2" s="1"/>
  <c r="O989" i="2"/>
  <c r="AW989" i="2" s="1"/>
  <c r="O988" i="2"/>
  <c r="AX988" i="2" s="1"/>
  <c r="O987" i="2"/>
  <c r="O986" i="2"/>
  <c r="AW986" i="2" s="1"/>
  <c r="O985" i="2"/>
  <c r="X985" i="2" s="1"/>
  <c r="O984" i="2"/>
  <c r="O983" i="2"/>
  <c r="O982" i="2"/>
  <c r="AY982" i="2" s="1"/>
  <c r="O981" i="2"/>
  <c r="AW981" i="2" s="1"/>
  <c r="O980" i="2"/>
  <c r="AX980" i="2" s="1"/>
  <c r="O979" i="2"/>
  <c r="O978" i="2"/>
  <c r="AY978" i="2" s="1"/>
  <c r="O977" i="2"/>
  <c r="X977" i="2" s="1"/>
  <c r="O976" i="2"/>
  <c r="O975" i="2"/>
  <c r="O974" i="2"/>
  <c r="AY974" i="2" s="1"/>
  <c r="O973" i="2"/>
  <c r="O972" i="2"/>
  <c r="AY972" i="2" s="1"/>
  <c r="O971" i="2"/>
  <c r="O970" i="2"/>
  <c r="O969" i="2"/>
  <c r="X969" i="2" s="1"/>
  <c r="O968" i="2"/>
  <c r="O967" i="2"/>
  <c r="O966" i="2"/>
  <c r="O965" i="2"/>
  <c r="AW965" i="2" s="1"/>
  <c r="O964" i="2"/>
  <c r="O963" i="2"/>
  <c r="O962" i="2"/>
  <c r="O961" i="2"/>
  <c r="X961" i="2" s="1"/>
  <c r="O960" i="2"/>
  <c r="O959" i="2"/>
  <c r="O958" i="2"/>
  <c r="O957" i="2"/>
  <c r="AW957" i="2" s="1"/>
  <c r="O956" i="2"/>
  <c r="AX956" i="2" s="1"/>
  <c r="O955" i="2"/>
  <c r="X955" i="2" s="1"/>
  <c r="O954" i="2"/>
  <c r="AW954" i="2" s="1"/>
  <c r="O953" i="2"/>
  <c r="X953" i="2" s="1"/>
  <c r="O952" i="2"/>
  <c r="O951" i="2"/>
  <c r="O950" i="2"/>
  <c r="O949" i="2"/>
  <c r="AW949" i="2" s="1"/>
  <c r="O948" i="2"/>
  <c r="AX948" i="2" s="1"/>
  <c r="O947" i="2"/>
  <c r="O946" i="2"/>
  <c r="AY946" i="2" s="1"/>
  <c r="O945" i="2"/>
  <c r="X945" i="2" s="1"/>
  <c r="O944" i="2"/>
  <c r="O943" i="2"/>
  <c r="O942" i="2"/>
  <c r="AW942" i="2" s="1"/>
  <c r="O941" i="2"/>
  <c r="AW941" i="2" s="1"/>
  <c r="O940" i="2"/>
  <c r="AX940" i="2" s="1"/>
  <c r="O939" i="2"/>
  <c r="O938" i="2"/>
  <c r="AW938" i="2" s="1"/>
  <c r="O937" i="2"/>
  <c r="X937" i="2" s="1"/>
  <c r="O936" i="2"/>
  <c r="O935" i="2"/>
  <c r="O934" i="2"/>
  <c r="O933" i="2"/>
  <c r="AW933" i="2" s="1"/>
  <c r="O932" i="2"/>
  <c r="O931" i="2"/>
  <c r="O930" i="2"/>
  <c r="O929" i="2"/>
  <c r="X929" i="2" s="1"/>
  <c r="O928" i="2"/>
  <c r="O927" i="2"/>
  <c r="O926" i="2"/>
  <c r="O925" i="2"/>
  <c r="AW925" i="2" s="1"/>
  <c r="O924" i="2"/>
  <c r="AX924" i="2" s="1"/>
  <c r="O923" i="2"/>
  <c r="O922" i="2"/>
  <c r="AY922" i="2" s="1"/>
  <c r="O921" i="2"/>
  <c r="X921" i="2" s="1"/>
  <c r="O920" i="2"/>
  <c r="O919" i="2"/>
  <c r="O918" i="2"/>
  <c r="O917" i="2"/>
  <c r="AW917" i="2" s="1"/>
  <c r="O916" i="2"/>
  <c r="AX916" i="2" s="1"/>
  <c r="O915" i="2"/>
  <c r="O914" i="2"/>
  <c r="O913" i="2"/>
  <c r="X913" i="2" s="1"/>
  <c r="O912" i="2"/>
  <c r="O911" i="2"/>
  <c r="O910" i="2"/>
  <c r="AW910" i="2" s="1"/>
  <c r="O909" i="2"/>
  <c r="O908" i="2"/>
  <c r="AX908" i="2" s="1"/>
  <c r="O907" i="2"/>
  <c r="X907" i="2" s="1"/>
  <c r="O906" i="2"/>
  <c r="O905" i="2"/>
  <c r="X905" i="2" s="1"/>
  <c r="O904" i="2"/>
  <c r="O903" i="2"/>
  <c r="O902" i="2"/>
  <c r="O901" i="2"/>
  <c r="AW901" i="2" s="1"/>
  <c r="O900" i="2"/>
  <c r="O899" i="2"/>
  <c r="X899" i="2" s="1"/>
  <c r="O898" i="2"/>
  <c r="Y898" i="2" s="1" a="1"/>
  <c r="Y898" i="2" s="1"/>
  <c r="O897" i="2"/>
  <c r="X897" i="2" s="1"/>
  <c r="O896" i="2"/>
  <c r="O895" i="2"/>
  <c r="O894" i="2"/>
  <c r="O893" i="2"/>
  <c r="O892" i="2"/>
  <c r="AX892" i="2" s="1"/>
  <c r="O891" i="2"/>
  <c r="X891" i="2" s="1"/>
  <c r="O890" i="2"/>
  <c r="O889" i="2"/>
  <c r="X889" i="2" s="1"/>
  <c r="O888" i="2"/>
  <c r="O887" i="2"/>
  <c r="AY887" i="2" s="1"/>
  <c r="O886" i="2"/>
  <c r="O885" i="2"/>
  <c r="O884" i="2"/>
  <c r="AX884" i="2" s="1"/>
  <c r="O883" i="2"/>
  <c r="X883" i="2" s="1"/>
  <c r="O882" i="2"/>
  <c r="O881" i="2"/>
  <c r="X881" i="2" s="1"/>
  <c r="O880" i="2"/>
  <c r="O879" i="2"/>
  <c r="O878" i="2"/>
  <c r="O877" i="2"/>
  <c r="AW877" i="2" s="1"/>
  <c r="O876" i="2"/>
  <c r="AX876" i="2" s="1"/>
  <c r="O875" i="2"/>
  <c r="X875" i="2" s="1"/>
  <c r="O874" i="2"/>
  <c r="O873" i="2"/>
  <c r="X873" i="2" s="1"/>
  <c r="O872" i="2"/>
  <c r="O871" i="2"/>
  <c r="AY871" i="2" s="1"/>
  <c r="O870" i="2"/>
  <c r="O869" i="2"/>
  <c r="O868" i="2"/>
  <c r="O867" i="2"/>
  <c r="X867" i="2" s="1"/>
  <c r="O866" i="2"/>
  <c r="O865" i="2"/>
  <c r="AY865" i="2" s="1"/>
  <c r="O864" i="2"/>
  <c r="O863" i="2"/>
  <c r="O862" i="2"/>
  <c r="AY862" i="2" s="1"/>
  <c r="O861" i="2"/>
  <c r="AW861" i="2" s="1"/>
  <c r="O860" i="2"/>
  <c r="AX860" i="2" s="1"/>
  <c r="O859" i="2"/>
  <c r="X859" i="2" s="1"/>
  <c r="O858" i="2"/>
  <c r="AY858" i="2" s="1"/>
  <c r="O857" i="2"/>
  <c r="X857" i="2" s="1"/>
  <c r="O856" i="2"/>
  <c r="O855" i="2"/>
  <c r="O854" i="2"/>
  <c r="AY854" i="2" s="1"/>
  <c r="O853" i="2"/>
  <c r="O852" i="2"/>
  <c r="AX852" i="2" s="1"/>
  <c r="O851" i="2"/>
  <c r="O850" i="2"/>
  <c r="AY850" i="2" s="1"/>
  <c r="O849" i="2"/>
  <c r="X849" i="2" s="1"/>
  <c r="O848" i="2"/>
  <c r="AW848" i="2" s="1"/>
  <c r="O847" i="2"/>
  <c r="O846" i="2"/>
  <c r="O845" i="2"/>
  <c r="AW845" i="2" s="1"/>
  <c r="O844" i="2"/>
  <c r="AX844" i="2" s="1"/>
  <c r="O843" i="2"/>
  <c r="X843" i="2" s="1"/>
  <c r="O842" i="2"/>
  <c r="O841" i="2"/>
  <c r="X841" i="2" s="1"/>
  <c r="O840" i="2"/>
  <c r="O839" i="2"/>
  <c r="AY839" i="2" s="1"/>
  <c r="O838" i="2"/>
  <c r="AY838" i="2" s="1"/>
  <c r="O837" i="2"/>
  <c r="O836" i="2"/>
  <c r="O835" i="2"/>
  <c r="X835" i="2" s="1"/>
  <c r="O834" i="2"/>
  <c r="O833" i="2"/>
  <c r="X833" i="2" s="1"/>
  <c r="O832" i="2"/>
  <c r="AW832" i="2" s="1"/>
  <c r="O831" i="2"/>
  <c r="AY831" i="2" s="1"/>
  <c r="O830" i="2"/>
  <c r="O829" i="2"/>
  <c r="AW829" i="2" s="1"/>
  <c r="O828" i="2"/>
  <c r="AX828" i="2" s="1"/>
  <c r="O827" i="2"/>
  <c r="X827" i="2" s="1"/>
  <c r="O826" i="2"/>
  <c r="O825" i="2"/>
  <c r="X825" i="2" s="1"/>
  <c r="O824" i="2"/>
  <c r="O823" i="2"/>
  <c r="O822" i="2"/>
  <c r="O821" i="2"/>
  <c r="AW821" i="2" s="1"/>
  <c r="O820" i="2"/>
  <c r="AY820" i="2" s="1"/>
  <c r="O819" i="2"/>
  <c r="X819" i="2" s="1"/>
  <c r="O818" i="2"/>
  <c r="O817" i="2"/>
  <c r="O816" i="2"/>
  <c r="AW816" i="2" s="1"/>
  <c r="O815" i="2"/>
  <c r="AY815" i="2" s="1"/>
  <c r="O814" i="2"/>
  <c r="O813" i="2"/>
  <c r="O812" i="2"/>
  <c r="AX812" i="2" s="1"/>
  <c r="O811" i="2"/>
  <c r="X811" i="2" s="1"/>
  <c r="O810" i="2"/>
  <c r="O809" i="2"/>
  <c r="O808" i="2"/>
  <c r="AW808" i="2" s="1"/>
  <c r="O807" i="2"/>
  <c r="AY807" i="2" s="1"/>
  <c r="O806" i="2"/>
  <c r="O805" i="2"/>
  <c r="AW805" i="2" s="1"/>
  <c r="O804" i="2"/>
  <c r="O803" i="2"/>
  <c r="X803" i="2" s="1"/>
  <c r="O802" i="2"/>
  <c r="O801" i="2"/>
  <c r="O800" i="2"/>
  <c r="O799" i="2"/>
  <c r="AY799" i="2" s="1"/>
  <c r="O798" i="2"/>
  <c r="O797" i="2"/>
  <c r="AW797" i="2" s="1"/>
  <c r="O796" i="2"/>
  <c r="AX796" i="2" s="1"/>
  <c r="O795" i="2"/>
  <c r="X795" i="2" s="1"/>
  <c r="O794" i="2"/>
  <c r="O793" i="2"/>
  <c r="X793" i="2" s="1"/>
  <c r="O792" i="2"/>
  <c r="AW792" i="2" s="1"/>
  <c r="O791" i="2"/>
  <c r="O790" i="2"/>
  <c r="O789" i="2"/>
  <c r="O788" i="2"/>
  <c r="AX788" i="2" s="1"/>
  <c r="O787" i="2"/>
  <c r="X787" i="2" s="1"/>
  <c r="O786" i="2"/>
  <c r="O785" i="2"/>
  <c r="O784" i="2"/>
  <c r="AW784" i="2" s="1"/>
  <c r="O783" i="2"/>
  <c r="O782" i="2"/>
  <c r="O781" i="2"/>
  <c r="AW781" i="2" s="1"/>
  <c r="O780" i="2"/>
  <c r="Y780" i="2" s="1" a="1"/>
  <c r="Y780" i="2" s="1"/>
  <c r="O779" i="2"/>
  <c r="X779" i="2" s="1"/>
  <c r="O778" i="2"/>
  <c r="O777" i="2"/>
  <c r="O776" i="2"/>
  <c r="O775" i="2"/>
  <c r="O774" i="2"/>
  <c r="O773" i="2"/>
  <c r="AW773" i="2" s="1"/>
  <c r="O772" i="2"/>
  <c r="O771" i="2"/>
  <c r="X771" i="2" s="1"/>
  <c r="O770" i="2"/>
  <c r="O769" i="2"/>
  <c r="X769" i="2" s="1"/>
  <c r="O768" i="2"/>
  <c r="AW768" i="2" s="1"/>
  <c r="O767" i="2"/>
  <c r="O766" i="2"/>
  <c r="O765" i="2"/>
  <c r="O764" i="2"/>
  <c r="AX764" i="2" s="1"/>
  <c r="O763" i="2"/>
  <c r="O762" i="2"/>
  <c r="O761" i="2"/>
  <c r="X761" i="2" s="1"/>
  <c r="O760" i="2"/>
  <c r="AW760" i="2" s="1"/>
  <c r="O759" i="2"/>
  <c r="O758" i="2"/>
  <c r="O757" i="2"/>
  <c r="AW757" i="2" s="1"/>
  <c r="O756" i="2"/>
  <c r="O755" i="2"/>
  <c r="O754" i="2"/>
  <c r="Y754" i="2" s="1" a="1"/>
  <c r="Y754" i="2" s="1"/>
  <c r="O753" i="2"/>
  <c r="X753" i="2" s="1"/>
  <c r="O752" i="2"/>
  <c r="AW752" i="2" s="1"/>
  <c r="O751" i="2"/>
  <c r="O750" i="2"/>
  <c r="AY750" i="2" s="1"/>
  <c r="O749" i="2"/>
  <c r="AW749" i="2" s="1"/>
  <c r="O748" i="2"/>
  <c r="O747" i="2"/>
  <c r="X747" i="2" s="1"/>
  <c r="O746" i="2"/>
  <c r="O745" i="2"/>
  <c r="X745" i="2" s="1"/>
  <c r="O744" i="2"/>
  <c r="AW744" i="2" s="1"/>
  <c r="O743" i="2"/>
  <c r="O742" i="2"/>
  <c r="O741" i="2"/>
  <c r="AW741" i="2" s="1"/>
  <c r="O740" i="2"/>
  <c r="AW740" i="2" s="1"/>
  <c r="O739" i="2"/>
  <c r="X739" i="2" s="1"/>
  <c r="O738" i="2"/>
  <c r="O737" i="2"/>
  <c r="X737" i="2" s="1"/>
  <c r="O736" i="2"/>
  <c r="O735" i="2"/>
  <c r="O734" i="2"/>
  <c r="AY734" i="2" s="1"/>
  <c r="O733" i="2"/>
  <c r="O732" i="2"/>
  <c r="O731" i="2"/>
  <c r="X731" i="2" s="1"/>
  <c r="O730" i="2"/>
  <c r="Y730" i="2" s="1" a="1"/>
  <c r="Y730" i="2" s="1"/>
  <c r="O729" i="2"/>
  <c r="X729" i="2" s="1"/>
  <c r="O728" i="2"/>
  <c r="AW728" i="2" s="1"/>
  <c r="O727" i="2"/>
  <c r="O726" i="2"/>
  <c r="O725" i="2"/>
  <c r="O724" i="2"/>
  <c r="O723" i="2"/>
  <c r="X723" i="2" s="1"/>
  <c r="O722" i="2"/>
  <c r="AY722" i="2" s="1"/>
  <c r="O721" i="2"/>
  <c r="X721" i="2" s="1"/>
  <c r="O720" i="2"/>
  <c r="O719" i="2"/>
  <c r="O718" i="2"/>
  <c r="AW718" i="2" s="1"/>
  <c r="O717" i="2"/>
  <c r="O716" i="2"/>
  <c r="O715" i="2"/>
  <c r="X715" i="2" s="1"/>
  <c r="O714" i="2"/>
  <c r="O713" i="2"/>
  <c r="X713" i="2" s="1"/>
  <c r="O712" i="2"/>
  <c r="AY712" i="2" s="1"/>
  <c r="O711" i="2"/>
  <c r="O710" i="2"/>
  <c r="AW710" i="2" s="1"/>
  <c r="O709" i="2"/>
  <c r="O708" i="2"/>
  <c r="O707" i="2"/>
  <c r="X707" i="2" s="1"/>
  <c r="O706" i="2"/>
  <c r="AY706" i="2" s="1"/>
  <c r="O705" i="2"/>
  <c r="X705" i="2" s="1"/>
  <c r="O704" i="2"/>
  <c r="AW704" i="2" s="1"/>
  <c r="O703" i="2"/>
  <c r="O702" i="2"/>
  <c r="O701" i="2"/>
  <c r="O700" i="2"/>
  <c r="O699" i="2"/>
  <c r="X699" i="2" s="1"/>
  <c r="O698" i="2"/>
  <c r="O697" i="2"/>
  <c r="X697" i="2" s="1"/>
  <c r="O696" i="2"/>
  <c r="AW696" i="2" s="1"/>
  <c r="O695" i="2"/>
  <c r="AY695" i="2" s="1"/>
  <c r="O694" i="2"/>
  <c r="O693" i="2"/>
  <c r="O692" i="2"/>
  <c r="O691" i="2"/>
  <c r="X691" i="2" s="1"/>
  <c r="O690" i="2"/>
  <c r="O689" i="2"/>
  <c r="X689" i="2" s="1"/>
  <c r="O688" i="2"/>
  <c r="O687" i="2"/>
  <c r="O686" i="2"/>
  <c r="O685" i="2"/>
  <c r="O684" i="2"/>
  <c r="O683" i="2"/>
  <c r="X683" i="2" s="1"/>
  <c r="O682" i="2"/>
  <c r="O681" i="2"/>
  <c r="O680" i="2"/>
  <c r="O679" i="2"/>
  <c r="O678" i="2"/>
  <c r="O677" i="2"/>
  <c r="O676" i="2"/>
  <c r="O675" i="2"/>
  <c r="X675" i="2" s="1"/>
  <c r="O674" i="2"/>
  <c r="O673" i="2"/>
  <c r="O672" i="2"/>
  <c r="AW672" i="2" s="1"/>
  <c r="O671" i="2"/>
  <c r="O670" i="2"/>
  <c r="O669" i="2"/>
  <c r="O668" i="2"/>
  <c r="AW668" i="2" s="1"/>
  <c r="O667" i="2"/>
  <c r="X667" i="2" s="1"/>
  <c r="O666" i="2"/>
  <c r="AY666" i="2" s="1"/>
  <c r="O665" i="2"/>
  <c r="O664" i="2"/>
  <c r="AW664" i="2" s="1"/>
  <c r="O663" i="2"/>
  <c r="O662" i="2"/>
  <c r="AY662" i="2" s="1"/>
  <c r="O661" i="2"/>
  <c r="O660" i="2"/>
  <c r="O659" i="2"/>
  <c r="X659" i="2" s="1"/>
  <c r="O658" i="2"/>
  <c r="O657" i="2"/>
  <c r="O656" i="2"/>
  <c r="O655" i="2"/>
  <c r="O654" i="2"/>
  <c r="O653" i="2"/>
  <c r="AW653" i="2" s="1"/>
  <c r="O652" i="2"/>
  <c r="O651" i="2"/>
  <c r="X651" i="2" s="1"/>
  <c r="O650" i="2"/>
  <c r="O649" i="2"/>
  <c r="O648" i="2"/>
  <c r="O647" i="2"/>
  <c r="O646" i="2"/>
  <c r="O645" i="2"/>
  <c r="O644" i="2"/>
  <c r="O643" i="2"/>
  <c r="X643" i="2" s="1"/>
  <c r="O642" i="2"/>
  <c r="O641" i="2"/>
  <c r="O640" i="2"/>
  <c r="AY640" i="2" s="1"/>
  <c r="O639" i="2"/>
  <c r="O638" i="2"/>
  <c r="O637" i="2"/>
  <c r="AW637" i="2" s="1"/>
  <c r="O636" i="2"/>
  <c r="O635" i="2"/>
  <c r="X635" i="2" s="1"/>
  <c r="O634" i="2"/>
  <c r="O633" i="2"/>
  <c r="X633" i="2" s="1"/>
  <c r="O632" i="2"/>
  <c r="AY632" i="2" s="1"/>
  <c r="O631" i="2"/>
  <c r="O630" i="2"/>
  <c r="O629" i="2"/>
  <c r="AW629" i="2" s="1"/>
  <c r="O628" i="2"/>
  <c r="O627" i="2"/>
  <c r="X627" i="2" s="1"/>
  <c r="O626" i="2"/>
  <c r="O625" i="2"/>
  <c r="O624" i="2"/>
  <c r="AY624" i="2" s="1"/>
  <c r="O623" i="2"/>
  <c r="O622" i="2"/>
  <c r="O621" i="2"/>
  <c r="O620" i="2"/>
  <c r="O619" i="2"/>
  <c r="X619" i="2" s="1"/>
  <c r="O618" i="2"/>
  <c r="O617" i="2"/>
  <c r="Y617" i="2" s="1" a="1"/>
  <c r="Y617" i="2" s="1"/>
  <c r="O616" i="2"/>
  <c r="AY616" i="2" s="1"/>
  <c r="O615" i="2"/>
  <c r="O614" i="2"/>
  <c r="O613" i="2"/>
  <c r="O612" i="2"/>
  <c r="O611" i="2"/>
  <c r="X611" i="2" s="1"/>
  <c r="O610" i="2"/>
  <c r="X610" i="2" s="1"/>
  <c r="O609" i="2"/>
  <c r="X609" i="2" s="1"/>
  <c r="O608" i="2"/>
  <c r="O607" i="2"/>
  <c r="X607" i="2" s="1"/>
  <c r="O606" i="2"/>
  <c r="O605" i="2"/>
  <c r="O604" i="2"/>
  <c r="O603" i="2"/>
  <c r="X603" i="2" s="1"/>
  <c r="O602" i="2"/>
  <c r="AV602" i="2" s="1"/>
  <c r="O601" i="2"/>
  <c r="X601" i="2" s="1"/>
  <c r="O600" i="2"/>
  <c r="O599" i="2"/>
  <c r="X599" i="2" s="1"/>
  <c r="O598" i="2"/>
  <c r="O597" i="2"/>
  <c r="O596" i="2"/>
  <c r="O595" i="2"/>
  <c r="X595" i="2" s="1"/>
  <c r="O594" i="2"/>
  <c r="AV594" i="2" s="1"/>
  <c r="O593" i="2"/>
  <c r="X593" i="2" s="1"/>
  <c r="O592" i="2"/>
  <c r="O591" i="2"/>
  <c r="X591" i="2" s="1"/>
  <c r="O590" i="2"/>
  <c r="O589" i="2"/>
  <c r="O588" i="2"/>
  <c r="O587" i="2"/>
  <c r="X587" i="2" s="1"/>
  <c r="O586" i="2"/>
  <c r="AV586" i="2" s="1"/>
  <c r="O585" i="2"/>
  <c r="X585" i="2" s="1"/>
  <c r="O584" i="2"/>
  <c r="O583" i="2"/>
  <c r="X583" i="2" s="1"/>
  <c r="O582" i="2"/>
  <c r="O581" i="2"/>
  <c r="AW581" i="2" s="1"/>
  <c r="O580" i="2"/>
  <c r="O579" i="2"/>
  <c r="X579" i="2" s="1"/>
  <c r="O578" i="2"/>
  <c r="X578" i="2" s="1"/>
  <c r="O577" i="2"/>
  <c r="X577" i="2" s="1"/>
  <c r="O576" i="2"/>
  <c r="O575" i="2"/>
  <c r="X575" i="2" s="1"/>
  <c r="O574" i="2"/>
  <c r="O573" i="2"/>
  <c r="AW573" i="2" s="1"/>
  <c r="O572" i="2"/>
  <c r="O571" i="2"/>
  <c r="O570" i="2"/>
  <c r="AY570" i="2" s="1"/>
  <c r="O569" i="2"/>
  <c r="X569" i="2" s="1"/>
  <c r="O568" i="2"/>
  <c r="X568" i="2" s="1"/>
  <c r="O567" i="2"/>
  <c r="AY567" i="2" s="1"/>
  <c r="O566" i="2"/>
  <c r="O565" i="2"/>
  <c r="O564" i="2"/>
  <c r="O563" i="2"/>
  <c r="O562" i="2"/>
  <c r="AY562" i="2" s="1"/>
  <c r="O561" i="2"/>
  <c r="X561" i="2" s="1"/>
  <c r="O560" i="2"/>
  <c r="O559" i="2"/>
  <c r="O558" i="2"/>
  <c r="O557" i="2"/>
  <c r="AW557" i="2" s="1"/>
  <c r="O556" i="2"/>
  <c r="O555" i="2"/>
  <c r="O554" i="2"/>
  <c r="O553" i="2"/>
  <c r="O552" i="2"/>
  <c r="O551" i="2"/>
  <c r="O550" i="2"/>
  <c r="O549" i="2"/>
  <c r="AW549" i="2" s="1"/>
  <c r="O548" i="2"/>
  <c r="O547" i="2"/>
  <c r="O546" i="2"/>
  <c r="O545" i="2"/>
  <c r="X545" i="2" s="1"/>
  <c r="O544" i="2"/>
  <c r="O543" i="2"/>
  <c r="O542" i="2"/>
  <c r="O541" i="2"/>
  <c r="AW541" i="2" s="1"/>
  <c r="O540" i="2"/>
  <c r="O539" i="2"/>
  <c r="O538" i="2"/>
  <c r="O537" i="2"/>
  <c r="X537" i="2" s="1"/>
  <c r="O536" i="2"/>
  <c r="O535" i="2"/>
  <c r="X535" i="2" s="1"/>
  <c r="O534" i="2"/>
  <c r="AW534" i="2" s="1"/>
  <c r="O533" i="2"/>
  <c r="O532" i="2"/>
  <c r="O531" i="2"/>
  <c r="X531" i="2" s="1"/>
  <c r="O530" i="2"/>
  <c r="O529" i="2"/>
  <c r="X529" i="2" s="1"/>
  <c r="O528" i="2"/>
  <c r="O527" i="2"/>
  <c r="X527" i="2" s="1"/>
  <c r="O526" i="2"/>
  <c r="AW526" i="2" s="1"/>
  <c r="O525" i="2"/>
  <c r="O524" i="2"/>
  <c r="O523" i="2"/>
  <c r="X523" i="2" s="1"/>
  <c r="O522" i="2"/>
  <c r="O521" i="2"/>
  <c r="X521" i="2" s="1"/>
  <c r="O520" i="2"/>
  <c r="O519" i="2"/>
  <c r="X519" i="2" s="1"/>
  <c r="O518" i="2"/>
  <c r="AW518" i="2" s="1"/>
  <c r="O517" i="2"/>
  <c r="O516" i="2"/>
  <c r="O515" i="2"/>
  <c r="X515" i="2" s="1"/>
  <c r="O514" i="2"/>
  <c r="O513" i="2"/>
  <c r="X513" i="2" s="1"/>
  <c r="O512" i="2"/>
  <c r="AY512" i="2" s="1"/>
  <c r="O511" i="2"/>
  <c r="X511" i="2" s="1"/>
  <c r="O510" i="2"/>
  <c r="AW510" i="2" s="1"/>
  <c r="O509" i="2"/>
  <c r="AW509" i="2" s="1"/>
  <c r="O508" i="2"/>
  <c r="O507" i="2"/>
  <c r="X507" i="2" s="1"/>
  <c r="O506" i="2"/>
  <c r="O505" i="2"/>
  <c r="X505" i="2" s="1"/>
  <c r="O504" i="2"/>
  <c r="O503" i="2"/>
  <c r="X503" i="2" s="1"/>
  <c r="O502" i="2"/>
  <c r="O501" i="2"/>
  <c r="O500" i="2"/>
  <c r="O499" i="2"/>
  <c r="X499" i="2" s="1"/>
  <c r="O498" i="2"/>
  <c r="O497" i="2"/>
  <c r="X497" i="2" s="1"/>
  <c r="O496" i="2"/>
  <c r="AY496" i="2" s="1"/>
  <c r="O495" i="2"/>
  <c r="X495" i="2" s="1"/>
  <c r="O494" i="2"/>
  <c r="AW494" i="2" s="1"/>
  <c r="O493" i="2"/>
  <c r="O492" i="2"/>
  <c r="O491" i="2"/>
  <c r="X491" i="2" s="1"/>
  <c r="O490" i="2"/>
  <c r="X490" i="2" s="1"/>
  <c r="O489" i="2"/>
  <c r="X489" i="2" s="1"/>
  <c r="O488" i="2"/>
  <c r="O487" i="2"/>
  <c r="X487" i="2" s="1"/>
  <c r="O486" i="2"/>
  <c r="AW486" i="2" s="1"/>
  <c r="O485" i="2"/>
  <c r="O484" i="2"/>
  <c r="O483" i="2"/>
  <c r="X483" i="2" s="1"/>
  <c r="O482" i="2"/>
  <c r="X482" i="2" s="1"/>
  <c r="O481" i="2"/>
  <c r="X481" i="2" s="1"/>
  <c r="O480" i="2"/>
  <c r="O479" i="2"/>
  <c r="X479" i="2" s="1"/>
  <c r="O478" i="2"/>
  <c r="AW478" i="2" s="1"/>
  <c r="O477" i="2"/>
  <c r="O476" i="2"/>
  <c r="O475" i="2"/>
  <c r="X475" i="2" s="1"/>
  <c r="O474" i="2"/>
  <c r="O473" i="2"/>
  <c r="AY473" i="2" s="1"/>
  <c r="O472" i="2"/>
  <c r="AW472" i="2" s="1"/>
  <c r="O471" i="2"/>
  <c r="X471" i="2" s="1"/>
  <c r="O470" i="2"/>
  <c r="O469" i="2"/>
  <c r="O468" i="2"/>
  <c r="O467" i="2"/>
  <c r="X467" i="2" s="1"/>
  <c r="O466" i="2"/>
  <c r="O465" i="2"/>
  <c r="X465" i="2" s="1"/>
  <c r="O464" i="2"/>
  <c r="AW464" i="2" s="1"/>
  <c r="O463" i="2"/>
  <c r="O462" i="2"/>
  <c r="AW462" i="2" s="1"/>
  <c r="O461" i="2"/>
  <c r="O460" i="2"/>
  <c r="O459" i="2"/>
  <c r="O458" i="2"/>
  <c r="O457" i="2"/>
  <c r="X457" i="2" s="1"/>
  <c r="O456" i="2"/>
  <c r="AW456" i="2" s="1"/>
  <c r="O455" i="2"/>
  <c r="O454" i="2"/>
  <c r="O453" i="2"/>
  <c r="O452" i="2"/>
  <c r="O451" i="2"/>
  <c r="O450" i="2"/>
  <c r="O449" i="2"/>
  <c r="X449" i="2" s="1"/>
  <c r="O448" i="2"/>
  <c r="AW448" i="2" s="1"/>
  <c r="O447" i="2"/>
  <c r="O446" i="2"/>
  <c r="AW446" i="2" s="1"/>
  <c r="O445" i="2"/>
  <c r="AW445" i="2" s="1"/>
  <c r="O444" i="2"/>
  <c r="AX444" i="2" s="1"/>
  <c r="O443" i="2"/>
  <c r="X443" i="2" s="1"/>
  <c r="O442" i="2"/>
  <c r="O441" i="2"/>
  <c r="X441" i="2" s="1"/>
  <c r="O440" i="2"/>
  <c r="AW440" i="2" s="1"/>
  <c r="O439" i="2"/>
  <c r="O438" i="2"/>
  <c r="O437" i="2"/>
  <c r="O436" i="2"/>
  <c r="O435" i="2"/>
  <c r="X435" i="2" s="1"/>
  <c r="O434" i="2"/>
  <c r="O433" i="2"/>
  <c r="X433" i="2" s="1"/>
  <c r="O432" i="2"/>
  <c r="O431" i="2"/>
  <c r="X431" i="2" s="1"/>
  <c r="O430" i="2"/>
  <c r="O429" i="2"/>
  <c r="O428" i="2"/>
  <c r="O427" i="2"/>
  <c r="X427" i="2" s="1"/>
  <c r="O426" i="2"/>
  <c r="X426" i="2" s="1"/>
  <c r="O425" i="2"/>
  <c r="X425" i="2" s="1"/>
  <c r="O424" i="2"/>
  <c r="AY424" i="2" s="1"/>
  <c r="O423" i="2"/>
  <c r="X423" i="2" s="1"/>
  <c r="O422" i="2"/>
  <c r="O421" i="2"/>
  <c r="O420" i="2"/>
  <c r="O419" i="2"/>
  <c r="X419" i="2" s="1"/>
  <c r="O418" i="2"/>
  <c r="X418" i="2" s="1"/>
  <c r="O417" i="2"/>
  <c r="X417" i="2" s="1"/>
  <c r="O416" i="2"/>
  <c r="O415" i="2"/>
  <c r="X415" i="2" s="1"/>
  <c r="O414" i="2"/>
  <c r="O413" i="2"/>
  <c r="O412" i="2"/>
  <c r="O411" i="2"/>
  <c r="X411" i="2" s="1"/>
  <c r="O410" i="2"/>
  <c r="O409" i="2"/>
  <c r="X409" i="2" s="1"/>
  <c r="O408" i="2"/>
  <c r="O407" i="2"/>
  <c r="X407" i="2" s="1"/>
  <c r="O406" i="2"/>
  <c r="O405" i="2"/>
  <c r="O404" i="2"/>
  <c r="O403" i="2"/>
  <c r="X403" i="2" s="1"/>
  <c r="O402" i="2"/>
  <c r="O401" i="2"/>
  <c r="AY401" i="2" s="1"/>
  <c r="O400" i="2"/>
  <c r="AW400" i="2" s="1"/>
  <c r="O399" i="2"/>
  <c r="O398" i="2"/>
  <c r="O397" i="2"/>
  <c r="O396" i="2"/>
  <c r="O395" i="2"/>
  <c r="X395" i="2" s="1"/>
  <c r="O394" i="2"/>
  <c r="O393" i="2"/>
  <c r="AY393" i="2" s="1"/>
  <c r="O392" i="2"/>
  <c r="AW392" i="2" s="1"/>
  <c r="O391" i="2"/>
  <c r="O390" i="2"/>
  <c r="O389" i="2"/>
  <c r="O388" i="2"/>
  <c r="O387" i="2"/>
  <c r="X387" i="2" s="1"/>
  <c r="O386" i="2"/>
  <c r="O385" i="2"/>
  <c r="AY385" i="2" s="1"/>
  <c r="O384" i="2"/>
  <c r="AW384" i="2" s="1"/>
  <c r="O383" i="2"/>
  <c r="O382" i="2"/>
  <c r="O381" i="2"/>
  <c r="AW381" i="2" s="1"/>
  <c r="O380" i="2"/>
  <c r="O379" i="2"/>
  <c r="X379" i="2" s="1"/>
  <c r="O378" i="2"/>
  <c r="O377" i="2"/>
  <c r="AY377" i="2" s="1"/>
  <c r="O376" i="2"/>
  <c r="O375" i="2"/>
  <c r="X375" i="2" s="1"/>
  <c r="O374" i="2"/>
  <c r="O373" i="2"/>
  <c r="O372" i="2"/>
  <c r="O371" i="2"/>
  <c r="X371" i="2" s="1"/>
  <c r="O370" i="2"/>
  <c r="O369" i="2"/>
  <c r="AY369" i="2" s="1"/>
  <c r="O368" i="2"/>
  <c r="AW368" i="2" s="1"/>
  <c r="O367" i="2"/>
  <c r="X367" i="2" s="1"/>
  <c r="O366" i="2"/>
  <c r="O365" i="2"/>
  <c r="O364" i="2"/>
  <c r="O363" i="2"/>
  <c r="X363" i="2" s="1"/>
  <c r="O362" i="2"/>
  <c r="O361" i="2"/>
  <c r="AY361" i="2" s="1"/>
  <c r="O360" i="2"/>
  <c r="O359" i="2"/>
  <c r="X359" i="2" s="1"/>
  <c r="O358" i="2"/>
  <c r="O357" i="2"/>
  <c r="O356" i="2"/>
  <c r="O355" i="2"/>
  <c r="X355" i="2" s="1"/>
  <c r="O354" i="2"/>
  <c r="AW354" i="2" s="1"/>
  <c r="O353" i="2"/>
  <c r="O352" i="2"/>
  <c r="O351" i="2"/>
  <c r="X351" i="2" s="1"/>
  <c r="O350" i="2"/>
  <c r="O349" i="2"/>
  <c r="O348" i="2"/>
  <c r="O347" i="2"/>
  <c r="X347" i="2" s="1"/>
  <c r="O346" i="2"/>
  <c r="O345" i="2"/>
  <c r="X345" i="2" s="1"/>
  <c r="O344" i="2"/>
  <c r="O343" i="2"/>
  <c r="X343" i="2" s="1"/>
  <c r="O342" i="2"/>
  <c r="O341" i="2"/>
  <c r="O340" i="2"/>
  <c r="O339" i="2"/>
  <c r="AY339" i="2" s="1"/>
  <c r="O338" i="2"/>
  <c r="O337" i="2"/>
  <c r="X337" i="2" s="1"/>
  <c r="O336" i="2"/>
  <c r="O335" i="2"/>
  <c r="X335" i="2" s="1"/>
  <c r="O334" i="2"/>
  <c r="AY334" i="2" s="1"/>
  <c r="O333" i="2"/>
  <c r="O332" i="2"/>
  <c r="O331" i="2"/>
  <c r="O330" i="2"/>
  <c r="O329" i="2"/>
  <c r="X329" i="2" s="1"/>
  <c r="O328" i="2"/>
  <c r="AW328" i="2" s="1"/>
  <c r="O327" i="2"/>
  <c r="X327" i="2" s="1"/>
  <c r="O326" i="2"/>
  <c r="O325" i="2"/>
  <c r="O324" i="2"/>
  <c r="O323" i="2"/>
  <c r="O322" i="2"/>
  <c r="Y322" i="2" s="1" a="1"/>
  <c r="Y322" i="2" s="1"/>
  <c r="O321" i="2"/>
  <c r="X321" i="2" s="1"/>
  <c r="O320" i="2"/>
  <c r="O319" i="2"/>
  <c r="X319" i="2" s="1"/>
  <c r="O318" i="2"/>
  <c r="O317" i="2"/>
  <c r="AW317" i="2" s="1"/>
  <c r="O316" i="2"/>
  <c r="O315" i="2"/>
  <c r="O314" i="2"/>
  <c r="O313" i="2"/>
  <c r="X313" i="2" s="1"/>
  <c r="O312" i="2"/>
  <c r="AW312" i="2" s="1"/>
  <c r="O311" i="2"/>
  <c r="X311" i="2" s="1"/>
  <c r="O310" i="2"/>
  <c r="O309" i="2"/>
  <c r="O308" i="2"/>
  <c r="O307" i="2"/>
  <c r="X307" i="2" s="1"/>
  <c r="O306" i="2"/>
  <c r="O305" i="2"/>
  <c r="X305" i="2" s="1"/>
  <c r="O304" i="2"/>
  <c r="O303" i="2"/>
  <c r="X303" i="2" s="1"/>
  <c r="O302" i="2"/>
  <c r="O301" i="2"/>
  <c r="O300" i="2"/>
  <c r="O299" i="2"/>
  <c r="X299" i="2" s="1"/>
  <c r="O298" i="2"/>
  <c r="X298" i="2" s="1"/>
  <c r="O297" i="2"/>
  <c r="X297" i="2" s="1"/>
  <c r="O296" i="2"/>
  <c r="AW296" i="2" s="1"/>
  <c r="O295" i="2"/>
  <c r="X295" i="2" s="1"/>
  <c r="O294" i="2"/>
  <c r="AY294" i="2" s="1"/>
  <c r="O293" i="2"/>
  <c r="O292" i="2"/>
  <c r="O291" i="2"/>
  <c r="X291" i="2" s="1"/>
  <c r="O290" i="2"/>
  <c r="X290" i="2" s="1"/>
  <c r="O289" i="2"/>
  <c r="X289" i="2" s="1"/>
  <c r="O288" i="2"/>
  <c r="AW288" i="2" s="1"/>
  <c r="O287" i="2"/>
  <c r="X287" i="2" s="1"/>
  <c r="O286" i="2"/>
  <c r="O285" i="2"/>
  <c r="O284" i="2"/>
  <c r="O283" i="2"/>
  <c r="X283" i="2" s="1"/>
  <c r="O282" i="2"/>
  <c r="O281" i="2"/>
  <c r="X281" i="2" s="1"/>
  <c r="O280" i="2"/>
  <c r="AW280" i="2" s="1"/>
  <c r="O279" i="2"/>
  <c r="X279" i="2" s="1"/>
  <c r="O278" i="2"/>
  <c r="O277" i="2"/>
  <c r="O276" i="2"/>
  <c r="O275" i="2"/>
  <c r="X275" i="2" s="1"/>
  <c r="O274" i="2"/>
  <c r="O273" i="2"/>
  <c r="X273" i="2" s="1"/>
  <c r="O272" i="2"/>
  <c r="AW272" i="2" s="1"/>
  <c r="O271" i="2"/>
  <c r="X271" i="2" s="1"/>
  <c r="O270" i="2"/>
  <c r="AY270" i="2" s="1"/>
  <c r="O269" i="2"/>
  <c r="O268" i="2"/>
  <c r="O267" i="2"/>
  <c r="X267" i="2" s="1"/>
  <c r="O266" i="2"/>
  <c r="O265" i="2"/>
  <c r="X265" i="2" s="1"/>
  <c r="O264" i="2"/>
  <c r="AW264" i="2" s="1"/>
  <c r="O263" i="2"/>
  <c r="X263" i="2" s="1"/>
  <c r="O262" i="2"/>
  <c r="Y262" i="2" s="1" a="1"/>
  <c r="Y262" i="2" s="1"/>
  <c r="O261" i="2"/>
  <c r="Z261" i="2" s="1"/>
  <c r="O260" i="2"/>
  <c r="O259" i="2"/>
  <c r="X259" i="2" s="1"/>
  <c r="O258" i="2"/>
  <c r="O257" i="2"/>
  <c r="X257" i="2" s="1"/>
  <c r="O256" i="2"/>
  <c r="AW256" i="2" s="1"/>
  <c r="O255" i="2"/>
  <c r="X255" i="2" s="1"/>
  <c r="O254" i="2"/>
  <c r="O253" i="2"/>
  <c r="Z253" i="2" s="1"/>
  <c r="O252" i="2"/>
  <c r="O251" i="2"/>
  <c r="X251" i="2" s="1"/>
  <c r="O250" i="2"/>
  <c r="O249" i="2"/>
  <c r="X249" i="2" s="1"/>
  <c r="O248" i="2"/>
  <c r="O247" i="2"/>
  <c r="X247" i="2" s="1"/>
  <c r="O246" i="2"/>
  <c r="Y246" i="2" s="1" a="1"/>
  <c r="Y246" i="2" s="1"/>
  <c r="O245" i="2"/>
  <c r="O244" i="2"/>
  <c r="O243" i="2"/>
  <c r="X243" i="2" s="1"/>
  <c r="O242" i="2"/>
  <c r="O241" i="2"/>
  <c r="X241" i="2" s="1"/>
  <c r="O240" i="2"/>
  <c r="AW240" i="2" s="1"/>
  <c r="O239" i="2"/>
  <c r="X239" i="2" s="1"/>
  <c r="O238" i="2"/>
  <c r="O237" i="2"/>
  <c r="O236" i="2"/>
  <c r="O235" i="2"/>
  <c r="X235" i="2" s="1"/>
  <c r="O234" i="2"/>
  <c r="X234" i="2" s="1"/>
  <c r="O233" i="2"/>
  <c r="X233" i="2" s="1"/>
  <c r="O232" i="2"/>
  <c r="O231" i="2"/>
  <c r="X231" i="2" s="1"/>
  <c r="O230" i="2"/>
  <c r="O229" i="2"/>
  <c r="O228" i="2"/>
  <c r="O227" i="2"/>
  <c r="X227" i="2" s="1"/>
  <c r="O226" i="2"/>
  <c r="O225" i="2"/>
  <c r="X225" i="2" s="1"/>
  <c r="O224" i="2"/>
  <c r="O223" i="2"/>
  <c r="X223" i="2" s="1"/>
  <c r="O222" i="2"/>
  <c r="O221" i="2"/>
  <c r="O220" i="2"/>
  <c r="O219" i="2"/>
  <c r="X219" i="2" s="1"/>
  <c r="O218" i="2"/>
  <c r="X218" i="2" s="1"/>
  <c r="O217" i="2"/>
  <c r="X217" i="2" s="1"/>
  <c r="O216" i="2"/>
  <c r="O215" i="2"/>
  <c r="X215" i="2" s="1"/>
  <c r="N95" i="2"/>
  <c r="O95" i="2" s="1"/>
  <c r="N40" i="2"/>
  <c r="O40" i="2" s="1"/>
  <c r="P40" i="2" s="1"/>
  <c r="N50" i="2"/>
  <c r="O50" i="2" s="1"/>
  <c r="R50" i="2" s="1"/>
  <c r="N77" i="2"/>
  <c r="O77" i="2" s="1"/>
  <c r="N57" i="2"/>
  <c r="O57" i="2" s="1"/>
  <c r="N15" i="2"/>
  <c r="O15" i="2" s="1"/>
  <c r="N108" i="2"/>
  <c r="O108" i="2" s="1"/>
  <c r="N5" i="2"/>
  <c r="O5" i="2" s="1"/>
  <c r="N73" i="2"/>
  <c r="O73" i="2" s="1"/>
  <c r="N107" i="2"/>
  <c r="O107" i="2" s="1"/>
  <c r="W107" i="2" s="1"/>
  <c r="N94" i="2"/>
  <c r="O94" i="2" s="1"/>
  <c r="W94" i="2" s="1"/>
  <c r="N76" i="2"/>
  <c r="O76" i="2" s="1"/>
  <c r="N72" i="2"/>
  <c r="O72" i="2" s="1"/>
  <c r="N93" i="2"/>
  <c r="O93" i="2" s="1"/>
  <c r="N71" i="2"/>
  <c r="O71" i="2" s="1"/>
  <c r="N106" i="2"/>
  <c r="O106" i="2" s="1"/>
  <c r="N49" i="2"/>
  <c r="O49" i="2" s="1"/>
  <c r="N4" i="2"/>
  <c r="O4" i="2" s="1"/>
  <c r="R4" i="2" s="1"/>
  <c r="N75" i="2"/>
  <c r="O75" i="2" s="1"/>
  <c r="R75" i="2" s="1"/>
  <c r="N105" i="2"/>
  <c r="O105" i="2" s="1"/>
  <c r="N39" i="2"/>
  <c r="O39" i="2" s="1"/>
  <c r="N56" i="2"/>
  <c r="O56" i="2" s="1"/>
  <c r="N48" i="2"/>
  <c r="O48" i="2" s="1"/>
  <c r="N3" i="2"/>
  <c r="O3" i="2" s="1"/>
  <c r="N70" i="2"/>
  <c r="O70" i="2" s="1"/>
  <c r="N2" i="2"/>
  <c r="O2" i="2" s="1"/>
  <c r="P2" i="2" s="1"/>
  <c r="N203" i="2"/>
  <c r="O203" i="2" s="1"/>
  <c r="P203" i="2" s="1"/>
  <c r="N202" i="2"/>
  <c r="O202" i="2" s="1"/>
  <c r="N125" i="2"/>
  <c r="O125" i="2" s="1"/>
  <c r="N124" i="2"/>
  <c r="O124" i="2" s="1"/>
  <c r="N123" i="2"/>
  <c r="O123" i="2" s="1"/>
  <c r="N133" i="2"/>
  <c r="O133" i="2" s="1"/>
  <c r="N91" i="2"/>
  <c r="O91" i="2" s="1"/>
  <c r="N163" i="2"/>
  <c r="O163" i="2" s="1"/>
  <c r="R163" i="2" s="1"/>
  <c r="N162" i="2"/>
  <c r="O162" i="2" s="1"/>
  <c r="P162" i="2" s="1"/>
  <c r="N154" i="2"/>
  <c r="O154" i="2" s="1"/>
  <c r="N161" i="2"/>
  <c r="O161" i="2" s="1"/>
  <c r="N90" i="2"/>
  <c r="O90" i="2" s="1"/>
  <c r="N122" i="2"/>
  <c r="O122" i="2" s="1"/>
  <c r="N132" i="2"/>
  <c r="O132" i="2" s="1"/>
  <c r="N131" i="2"/>
  <c r="O131" i="2" s="1"/>
  <c r="N130" i="2"/>
  <c r="O130" i="2" s="1"/>
  <c r="T130" i="2" s="1"/>
  <c r="N129" i="2"/>
  <c r="O129" i="2" s="1"/>
  <c r="W129" i="2" s="1"/>
  <c r="Y2424" i="2" a="1"/>
  <c r="Y2424" i="2" s="1"/>
  <c r="Y2423" i="2" a="1"/>
  <c r="Y2423" i="2" s="1"/>
  <c r="Y2419" i="2" a="1"/>
  <c r="Y2419" i="2" s="1"/>
  <c r="Y2416" i="2" a="1"/>
  <c r="Y2416" i="2" s="1"/>
  <c r="Y2415" i="2" a="1"/>
  <c r="Y2415" i="2" s="1"/>
  <c r="Y2408" i="2" a="1"/>
  <c r="Y2408" i="2" s="1"/>
  <c r="Y2407" i="2" a="1"/>
  <c r="Y2407" i="2" s="1"/>
  <c r="Y2399" i="2" a="1"/>
  <c r="Y2399" i="2" s="1"/>
  <c r="Y2392" i="2" a="1"/>
  <c r="Y2392" i="2" s="1"/>
  <c r="Y2391" i="2" a="1"/>
  <c r="Y2391" i="2" s="1"/>
  <c r="Y2385" i="2" a="1"/>
  <c r="Y2385" i="2" s="1"/>
  <c r="Y2383" i="2" a="1"/>
  <c r="Y2383" i="2" s="1"/>
  <c r="Y2375" i="2" a="1"/>
  <c r="Y2375" i="2" s="1"/>
  <c r="Y2371" i="2" a="1"/>
  <c r="Y2371" i="2" s="1"/>
  <c r="Y2369" i="2" a="1"/>
  <c r="Y2369" i="2" s="1"/>
  <c r="Y2368" i="2" a="1"/>
  <c r="Y2368" i="2" s="1"/>
  <c r="Y2367" i="2" a="1"/>
  <c r="Y2367" i="2" s="1"/>
  <c r="Y2359" i="2" a="1"/>
  <c r="Y2359" i="2" s="1"/>
  <c r="Y2355" i="2" a="1"/>
  <c r="Y2355" i="2" s="1"/>
  <c r="Y2347" i="2" a="1"/>
  <c r="Y2347" i="2" s="1"/>
  <c r="Y2345" i="2" a="1"/>
  <c r="Y2345" i="2" s="1"/>
  <c r="Y2344" i="2" a="1"/>
  <c r="Y2344" i="2" s="1"/>
  <c r="Y2339" i="2" a="1"/>
  <c r="Y2339" i="2" s="1"/>
  <c r="Y2338" i="2" a="1"/>
  <c r="Y2338" i="2" s="1"/>
  <c r="Y2337" i="2" a="1"/>
  <c r="Y2337" i="2" s="1"/>
  <c r="Y2336" i="2" a="1"/>
  <c r="Y2336" i="2" s="1"/>
  <c r="Y2331" i="2" a="1"/>
  <c r="Y2331" i="2" s="1"/>
  <c r="Y2330" i="2" a="1"/>
  <c r="Y2330" i="2" s="1"/>
  <c r="Y2329" i="2" a="1"/>
  <c r="Y2329" i="2" s="1"/>
  <c r="Y2328" i="2" a="1"/>
  <c r="Y2328" i="2" s="1"/>
  <c r="Y2323" i="2" a="1"/>
  <c r="Y2323" i="2" s="1"/>
  <c r="Y2321" i="2" a="1"/>
  <c r="Y2321" i="2" s="1"/>
  <c r="Y2319" i="2" a="1"/>
  <c r="Y2319" i="2" s="1"/>
  <c r="Y2315" i="2" a="1"/>
  <c r="Y2315" i="2" s="1"/>
  <c r="Y2313" i="2" a="1"/>
  <c r="Y2313" i="2" s="1"/>
  <c r="Y2311" i="2" a="1"/>
  <c r="Y2311" i="2" s="1"/>
  <c r="Y2307" i="2" a="1"/>
  <c r="Y2307" i="2" s="1"/>
  <c r="Y2305" i="2" a="1"/>
  <c r="Y2305" i="2" s="1"/>
  <c r="Y2303" i="2" a="1"/>
  <c r="Y2303" i="2" s="1"/>
  <c r="Y2299" i="2" a="1"/>
  <c r="Y2299" i="2" s="1"/>
  <c r="Y2295" i="2" a="1"/>
  <c r="Y2295" i="2" s="1"/>
  <c r="Y2291" i="2" a="1"/>
  <c r="Y2291" i="2" s="1"/>
  <c r="Y2290" i="2" a="1"/>
  <c r="Y2290" i="2" s="1"/>
  <c r="Y2288" i="2" a="1"/>
  <c r="Y2288" i="2" s="1"/>
  <c r="Y2287" i="2" a="1"/>
  <c r="Y2287" i="2" s="1"/>
  <c r="Y2283" i="2" a="1"/>
  <c r="Y2283" i="2" s="1"/>
  <c r="Y2280" i="2" a="1"/>
  <c r="Y2280" i="2" s="1"/>
  <c r="Y2279" i="2" a="1"/>
  <c r="Y2279" i="2" s="1"/>
  <c r="Y2275" i="2" a="1"/>
  <c r="Y2275" i="2" s="1"/>
  <c r="Y2273" i="2" a="1"/>
  <c r="Y2273" i="2" s="1"/>
  <c r="Y2271" i="2" a="1"/>
  <c r="Y2271" i="2" s="1"/>
  <c r="Y2267" i="2" a="1"/>
  <c r="Y2267" i="2" s="1"/>
  <c r="Y2265" i="2" a="1"/>
  <c r="Y2265" i="2" s="1"/>
  <c r="Y2262" i="2" a="1"/>
  <c r="Y2262" i="2" s="1"/>
  <c r="Y2258" i="2" a="1"/>
  <c r="Y2258" i="2" s="1"/>
  <c r="Y2257" i="2" a="1"/>
  <c r="Y2257" i="2" s="1"/>
  <c r="Y2255" i="2" a="1"/>
  <c r="Y2255" i="2" s="1"/>
  <c r="Y2251" i="2" a="1"/>
  <c r="Y2251" i="2" s="1"/>
  <c r="Y2248" i="2" a="1"/>
  <c r="Y2248" i="2" s="1"/>
  <c r="Y2247" i="2" a="1"/>
  <c r="Y2247" i="2" s="1"/>
  <c r="Y2246" i="2" a="1"/>
  <c r="Y2246" i="2" s="1"/>
  <c r="Y2243" i="2" a="1"/>
  <c r="Y2243" i="2" s="1"/>
  <c r="Y2239" i="2" a="1"/>
  <c r="Y2239" i="2" s="1"/>
  <c r="Y2235" i="2" a="1"/>
  <c r="Y2235" i="2" s="1"/>
  <c r="Y2232" i="2" a="1"/>
  <c r="Y2232" i="2" s="1"/>
  <c r="Y2231" i="2" a="1"/>
  <c r="Y2231" i="2" s="1"/>
  <c r="Y2230" i="2" a="1"/>
  <c r="Y2230" i="2" s="1"/>
  <c r="Y2227" i="2" a="1"/>
  <c r="Y2227" i="2" s="1"/>
  <c r="Y2223" i="2" a="1"/>
  <c r="Y2223" i="2" s="1"/>
  <c r="Y2219" i="2" a="1"/>
  <c r="Y2219" i="2" s="1"/>
  <c r="Y2216" i="2" a="1"/>
  <c r="Y2216" i="2" s="1"/>
  <c r="Y2211" i="2" a="1"/>
  <c r="Y2211" i="2" s="1"/>
  <c r="Y2209" i="2" a="1"/>
  <c r="Y2209" i="2" s="1"/>
  <c r="Y2207" i="2" a="1"/>
  <c r="Y2207" i="2" s="1"/>
  <c r="Y2203" i="2" a="1"/>
  <c r="Y2203" i="2" s="1"/>
  <c r="Y2199" i="2" a="1"/>
  <c r="Y2199" i="2" s="1"/>
  <c r="Y2198" i="2" a="1"/>
  <c r="Y2198" i="2" s="1"/>
  <c r="Y2195" i="2" a="1"/>
  <c r="Y2195" i="2" s="1"/>
  <c r="Y2192" i="2" a="1"/>
  <c r="Y2192" i="2" s="1"/>
  <c r="Y2191" i="2" a="1"/>
  <c r="Y2191" i="2" s="1"/>
  <c r="Y2187" i="2" a="1"/>
  <c r="Y2187" i="2" s="1"/>
  <c r="Y2186" i="2" a="1"/>
  <c r="Y2186" i="2" s="1"/>
  <c r="Y2183" i="2" a="1"/>
  <c r="Y2183" i="2" s="1"/>
  <c r="Y2179" i="2" a="1"/>
  <c r="Y2179" i="2" s="1"/>
  <c r="Y2178" i="2" a="1"/>
  <c r="Y2178" i="2" s="1"/>
  <c r="Y2175" i="2" a="1"/>
  <c r="Y2175" i="2" s="1"/>
  <c r="Y2171" i="2" a="1"/>
  <c r="Y2171" i="2" s="1"/>
  <c r="Y2168" i="2" a="1"/>
  <c r="Y2168" i="2" s="1"/>
  <c r="Y2167" i="2" a="1"/>
  <c r="Y2167" i="2" s="1"/>
  <c r="Y2166" i="2" a="1"/>
  <c r="Y2166" i="2" s="1"/>
  <c r="Y2163" i="2" a="1"/>
  <c r="Y2163" i="2" s="1"/>
  <c r="Y2161" i="2" a="1"/>
  <c r="Y2161" i="2" s="1"/>
  <c r="Y2159" i="2" a="1"/>
  <c r="Y2159" i="2" s="1"/>
  <c r="Y2155" i="2" a="1"/>
  <c r="Y2155" i="2" s="1"/>
  <c r="Y2153" i="2" a="1"/>
  <c r="Y2153" i="2" s="1"/>
  <c r="Y2152" i="2" a="1"/>
  <c r="Y2152" i="2" s="1"/>
  <c r="Y2151" i="2" a="1"/>
  <c r="Y2151" i="2" s="1"/>
  <c r="Y2146" i="2" a="1"/>
  <c r="Y2146" i="2" s="1"/>
  <c r="Y2145" i="2" a="1"/>
  <c r="Y2145" i="2" s="1"/>
  <c r="Y2143" i="2" a="1"/>
  <c r="Y2143" i="2" s="1"/>
  <c r="Y2138" i="2" a="1"/>
  <c r="Y2138" i="2" s="1"/>
  <c r="Y2137" i="2" a="1"/>
  <c r="Y2137" i="2" s="1"/>
  <c r="Y2135" i="2" a="1"/>
  <c r="Y2135" i="2" s="1"/>
  <c r="Y2129" i="2" a="1"/>
  <c r="Y2129" i="2" s="1"/>
  <c r="Y2128" i="2" a="1"/>
  <c r="Y2128" i="2" s="1"/>
  <c r="Y2127" i="2" a="1"/>
  <c r="Y2127" i="2" s="1"/>
  <c r="Y2126" i="2" a="1"/>
  <c r="Y2126" i="2" s="1"/>
  <c r="Y2121" i="2" a="1"/>
  <c r="Y2121" i="2" s="1"/>
  <c r="Y2119" i="2" a="1"/>
  <c r="Y2119" i="2" s="1"/>
  <c r="Y2113" i="2" a="1"/>
  <c r="Y2113" i="2" s="1"/>
  <c r="Y2112" i="2" a="1"/>
  <c r="Y2112" i="2" s="1"/>
  <c r="Y2111" i="2" a="1"/>
  <c r="Y2111" i="2" s="1"/>
  <c r="Y2110" i="2" a="1"/>
  <c r="Y2110" i="2" s="1"/>
  <c r="Y2107" i="2" a="1"/>
  <c r="Y2107" i="2" s="1"/>
  <c r="Y2105" i="2" a="1"/>
  <c r="Y2105" i="2" s="1"/>
  <c r="Y2103" i="2" a="1"/>
  <c r="Y2103" i="2" s="1"/>
  <c r="Y2099" i="2" a="1"/>
  <c r="Y2099" i="2" s="1"/>
  <c r="Y2097" i="2" a="1"/>
  <c r="Y2097" i="2" s="1"/>
  <c r="Y2095" i="2" a="1"/>
  <c r="Y2095" i="2" s="1"/>
  <c r="Y2091" i="2" a="1"/>
  <c r="Y2091" i="2" s="1"/>
  <c r="Y2089" i="2" a="1"/>
  <c r="Y2089" i="2" s="1"/>
  <c r="Y2087" i="2" a="1"/>
  <c r="Y2087" i="2" s="1"/>
  <c r="Y2083" i="2" a="1"/>
  <c r="Y2083" i="2" s="1"/>
  <c r="Y2081" i="2" a="1"/>
  <c r="Y2081" i="2" s="1"/>
  <c r="Y2079" i="2" a="1"/>
  <c r="Y2079" i="2" s="1"/>
  <c r="Y2075" i="2" a="1"/>
  <c r="Y2075" i="2" s="1"/>
  <c r="Y2074" i="2" a="1"/>
  <c r="Y2074" i="2" s="1"/>
  <c r="Y2073" i="2" a="1"/>
  <c r="Y2073" i="2" s="1"/>
  <c r="Y2071" i="2" a="1"/>
  <c r="Y2071" i="2" s="1"/>
  <c r="Y2067" i="2" a="1"/>
  <c r="Y2067" i="2" s="1"/>
  <c r="Y2065" i="2" a="1"/>
  <c r="Y2065" i="2" s="1"/>
  <c r="Y2063" i="2" a="1"/>
  <c r="Y2063" i="2" s="1"/>
  <c r="Y2059" i="2" a="1"/>
  <c r="Y2059" i="2" s="1"/>
  <c r="Y2057" i="2" a="1"/>
  <c r="Y2057" i="2" s="1"/>
  <c r="Y2055" i="2" a="1"/>
  <c r="Y2055" i="2" s="1"/>
  <c r="Y2051" i="2" a="1"/>
  <c r="Y2051" i="2" s="1"/>
  <c r="Y2049" i="2" a="1"/>
  <c r="Y2049" i="2" s="1"/>
  <c r="Y2047" i="2" a="1"/>
  <c r="Y2047" i="2" s="1"/>
  <c r="Y2043" i="2" a="1"/>
  <c r="Y2043" i="2" s="1"/>
  <c r="Y2042" i="2" a="1"/>
  <c r="Y2042" i="2" s="1"/>
  <c r="Y2041" i="2" a="1"/>
  <c r="Y2041" i="2" s="1"/>
  <c r="Y2039" i="2" a="1"/>
  <c r="Y2039" i="2" s="1"/>
  <c r="Y2035" i="2" a="1"/>
  <c r="Y2035" i="2" s="1"/>
  <c r="Y2033" i="2" a="1"/>
  <c r="Y2033" i="2" s="1"/>
  <c r="Y2031" i="2" a="1"/>
  <c r="Y2031" i="2" s="1"/>
  <c r="Y2027" i="2" a="1"/>
  <c r="Y2027" i="2" s="1"/>
  <c r="Y2026" i="2" a="1"/>
  <c r="Y2026" i="2" s="1"/>
  <c r="Y2025" i="2" a="1"/>
  <c r="Y2025" i="2" s="1"/>
  <c r="Y2023" i="2" a="1"/>
  <c r="Y2023" i="2" s="1"/>
  <c r="Y2019" i="2" a="1"/>
  <c r="Y2019" i="2" s="1"/>
  <c r="Y2017" i="2" a="1"/>
  <c r="Y2017" i="2" s="1"/>
  <c r="Y2015" i="2" a="1"/>
  <c r="Y2015" i="2" s="1"/>
  <c r="Y2011" i="2" a="1"/>
  <c r="Y2011" i="2" s="1"/>
  <c r="Y2009" i="2" a="1"/>
  <c r="Y2009" i="2" s="1"/>
  <c r="Y2007" i="2" a="1"/>
  <c r="Y2007" i="2" s="1"/>
  <c r="Y2003" i="2" a="1"/>
  <c r="Y2003" i="2" s="1"/>
  <c r="Y2001" i="2" a="1"/>
  <c r="Y2001" i="2" s="1"/>
  <c r="Y1999" i="2" a="1"/>
  <c r="Y1999" i="2" s="1"/>
  <c r="Y1995" i="2" a="1"/>
  <c r="Y1995" i="2" s="1"/>
  <c r="Y1994" i="2" a="1"/>
  <c r="Y1994" i="2" s="1"/>
  <c r="Y1993" i="2" a="1"/>
  <c r="Y1993" i="2" s="1"/>
  <c r="Y1991" i="2" a="1"/>
  <c r="Y1991" i="2" s="1"/>
  <c r="Y1987" i="2" a="1"/>
  <c r="Y1987" i="2" s="1"/>
  <c r="Y1985" i="2" a="1"/>
  <c r="Y1985" i="2" s="1"/>
  <c r="Y1983" i="2" a="1"/>
  <c r="Y1983" i="2" s="1"/>
  <c r="Y1979" i="2" a="1"/>
  <c r="Y1979" i="2" s="1"/>
  <c r="Y1978" i="2" a="1"/>
  <c r="Y1978" i="2" s="1"/>
  <c r="Y1977" i="2" a="1"/>
  <c r="Y1977" i="2" s="1"/>
  <c r="Y1975" i="2" a="1"/>
  <c r="Y1975" i="2" s="1"/>
  <c r="Y1971" i="2" a="1"/>
  <c r="Y1971" i="2" s="1"/>
  <c r="Y1969" i="2" a="1"/>
  <c r="Y1969" i="2" s="1"/>
  <c r="Y1967" i="2" a="1"/>
  <c r="Y1967" i="2" s="1"/>
  <c r="Y1963" i="2" a="1"/>
  <c r="Y1963" i="2" s="1"/>
  <c r="Y1962" i="2" a="1"/>
  <c r="Y1962" i="2" s="1"/>
  <c r="Y1961" i="2" a="1"/>
  <c r="Y1961" i="2" s="1"/>
  <c r="Y1959" i="2" a="1"/>
  <c r="Y1959" i="2" s="1"/>
  <c r="Y1955" i="2" a="1"/>
  <c r="Y1955" i="2" s="1"/>
  <c r="Y1953" i="2" a="1"/>
  <c r="Y1953" i="2" s="1"/>
  <c r="Y1951" i="2" a="1"/>
  <c r="Y1951" i="2" s="1"/>
  <c r="Y1947" i="2" a="1"/>
  <c r="Y1947" i="2" s="1"/>
  <c r="Y1946" i="2" a="1"/>
  <c r="Y1946" i="2" s="1"/>
  <c r="Y1945" i="2" a="1"/>
  <c r="Y1945" i="2" s="1"/>
  <c r="Y1943" i="2" a="1"/>
  <c r="Y1943" i="2" s="1"/>
  <c r="Y1939" i="2" a="1"/>
  <c r="Y1939" i="2" s="1"/>
  <c r="Y1937" i="2" a="1"/>
  <c r="Y1937" i="2" s="1"/>
  <c r="Y1935" i="2" a="1"/>
  <c r="Y1935" i="2" s="1"/>
  <c r="Y1931" i="2" a="1"/>
  <c r="Y1931" i="2" s="1"/>
  <c r="Y1929" i="2" a="1"/>
  <c r="Y1929" i="2" s="1"/>
  <c r="Y1927" i="2" a="1"/>
  <c r="Y1927" i="2" s="1"/>
  <c r="Y1923" i="2" a="1"/>
  <c r="Y1923" i="2" s="1"/>
  <c r="Y1921" i="2" a="1"/>
  <c r="Y1921" i="2" s="1"/>
  <c r="Y1915" i="2" a="1"/>
  <c r="Y1915" i="2" s="1"/>
  <c r="Y1914" i="2" a="1"/>
  <c r="Y1914" i="2" s="1"/>
  <c r="Y1907" i="2" a="1"/>
  <c r="Y1907" i="2" s="1"/>
  <c r="Y1906" i="2" a="1"/>
  <c r="Y1906" i="2" s="1"/>
  <c r="Y1902" i="2" a="1"/>
  <c r="Y1902" i="2" s="1"/>
  <c r="Y1899" i="2" a="1"/>
  <c r="Y1899" i="2" s="1"/>
  <c r="Y1897" i="2" a="1"/>
  <c r="Y1897" i="2" s="1"/>
  <c r="Y1890" i="2" a="1"/>
  <c r="Y1890" i="2" s="1"/>
  <c r="Y1883" i="2" a="1"/>
  <c r="Y1883" i="2" s="1"/>
  <c r="Y1881" i="2" a="1"/>
  <c r="Y1881" i="2" s="1"/>
  <c r="Y1879" i="2" a="1"/>
  <c r="Y1879" i="2" s="1"/>
  <c r="Y1875" i="2" a="1"/>
  <c r="Y1875" i="2" s="1"/>
  <c r="Y1873" i="2" a="1"/>
  <c r="Y1873" i="2" s="1"/>
  <c r="Y1865" i="2" a="1"/>
  <c r="Y1865" i="2" s="1"/>
  <c r="Y1863" i="2" a="1"/>
  <c r="Y1863" i="2" s="1"/>
  <c r="Y1859" i="2" a="1"/>
  <c r="Y1859" i="2" s="1"/>
  <c r="Y1857" i="2" a="1"/>
  <c r="Y1857" i="2" s="1"/>
  <c r="Y1851" i="2" a="1"/>
  <c r="Y1851" i="2" s="1"/>
  <c r="Y1847" i="2" a="1"/>
  <c r="Y1847" i="2" s="1"/>
  <c r="Y1846" i="2" a="1"/>
  <c r="Y1846" i="2" s="1"/>
  <c r="Y1843" i="2" a="1"/>
  <c r="Y1843" i="2" s="1"/>
  <c r="Y1841" i="2" a="1"/>
  <c r="Y1841" i="2" s="1"/>
  <c r="Y1833" i="2" a="1"/>
  <c r="Y1833" i="2" s="1"/>
  <c r="Y1825" i="2" a="1"/>
  <c r="Y1825" i="2" s="1"/>
  <c r="Y1819" i="2" a="1"/>
  <c r="Y1819" i="2" s="1"/>
  <c r="Y1817" i="2" a="1"/>
  <c r="Y1817" i="2" s="1"/>
  <c r="Y1816" i="2" a="1"/>
  <c r="Y1816" i="2" s="1"/>
  <c r="Y1811" i="2" a="1"/>
  <c r="Y1811" i="2" s="1"/>
  <c r="Y1809" i="2" a="1"/>
  <c r="Y1809" i="2" s="1"/>
  <c r="Y1803" i="2" a="1"/>
  <c r="Y1803" i="2" s="1"/>
  <c r="Y1801" i="2" a="1"/>
  <c r="Y1801" i="2" s="1"/>
  <c r="Y1800" i="2" a="1"/>
  <c r="Y1800" i="2" s="1"/>
  <c r="Y1795" i="2" a="1"/>
  <c r="Y1795" i="2" s="1"/>
  <c r="Y1793" i="2" a="1"/>
  <c r="Y1793" i="2" s="1"/>
  <c r="Y1787" i="2" a="1"/>
  <c r="Y1787" i="2" s="1"/>
  <c r="Y1785" i="2" a="1"/>
  <c r="Y1785" i="2" s="1"/>
  <c r="Y1779" i="2" a="1"/>
  <c r="Y1779" i="2" s="1"/>
  <c r="Y1777" i="2" a="1"/>
  <c r="Y1777" i="2" s="1"/>
  <c r="Y1775" i="2" a="1"/>
  <c r="Y1775" i="2" s="1"/>
  <c r="Y1769" i="2" a="1"/>
  <c r="Y1769" i="2" s="1"/>
  <c r="Y1767" i="2" a="1"/>
  <c r="Y1767" i="2" s="1"/>
  <c r="Y1763" i="2" a="1"/>
  <c r="Y1763" i="2" s="1"/>
  <c r="Y1762" i="2" a="1"/>
  <c r="Y1762" i="2" s="1"/>
  <c r="Y1761" i="2" a="1"/>
  <c r="Y1761" i="2" s="1"/>
  <c r="Y1759" i="2" a="1"/>
  <c r="Y1759" i="2" s="1"/>
  <c r="Y1754" i="2" a="1"/>
  <c r="Y1754" i="2" s="1"/>
  <c r="Y1753" i="2" a="1"/>
  <c r="Y1753" i="2" s="1"/>
  <c r="Y1751" i="2" a="1"/>
  <c r="Y1751" i="2" s="1"/>
  <c r="Y1747" i="2" a="1"/>
  <c r="Y1747" i="2" s="1"/>
  <c r="Y1739" i="2" a="1"/>
  <c r="Y1739" i="2" s="1"/>
  <c r="Y1731" i="2" a="1"/>
  <c r="Y1731" i="2" s="1"/>
  <c r="Y1720" i="2" a="1"/>
  <c r="Y1720" i="2" s="1"/>
  <c r="Y1707" i="2" a="1"/>
  <c r="Y1707" i="2" s="1"/>
  <c r="Y1705" i="2" a="1"/>
  <c r="Y1705" i="2" s="1"/>
  <c r="Y1699" i="2" a="1"/>
  <c r="Y1699" i="2" s="1"/>
  <c r="Y1697" i="2" a="1"/>
  <c r="Y1697" i="2" s="1"/>
  <c r="Y1691" i="2" a="1"/>
  <c r="Y1691" i="2" s="1"/>
  <c r="Y1689" i="2" a="1"/>
  <c r="Y1689" i="2" s="1"/>
  <c r="Y1683" i="2" a="1"/>
  <c r="Y1683" i="2" s="1"/>
  <c r="Y1681" i="2" a="1"/>
  <c r="Y1681" i="2" s="1"/>
  <c r="Y1679" i="2" a="1"/>
  <c r="Y1679" i="2" s="1"/>
  <c r="Y1675" i="2" a="1"/>
  <c r="Y1675" i="2" s="1"/>
  <c r="Y1673" i="2" a="1"/>
  <c r="Y1673" i="2" s="1"/>
  <c r="Y1667" i="2" a="1"/>
  <c r="Y1667" i="2" s="1"/>
  <c r="Y1665" i="2" a="1"/>
  <c r="Y1665" i="2" s="1"/>
  <c r="Y1659" i="2" a="1"/>
  <c r="Y1659" i="2" s="1"/>
  <c r="Y1656" i="2" a="1"/>
  <c r="Y1656" i="2" s="1"/>
  <c r="Y1651" i="2" a="1"/>
  <c r="Y1651" i="2" s="1"/>
  <c r="Y1643" i="2" a="1"/>
  <c r="Y1643" i="2" s="1"/>
  <c r="Y1642" i="2" a="1"/>
  <c r="Y1642" i="2" s="1"/>
  <c r="Y1639" i="2" a="1"/>
  <c r="Y1639" i="2" s="1"/>
  <c r="Y1635" i="2" a="1"/>
  <c r="Y1635" i="2" s="1"/>
  <c r="Y1633" i="2" a="1"/>
  <c r="Y1633" i="2" s="1"/>
  <c r="Y1627" i="2" a="1"/>
  <c r="Y1627" i="2" s="1"/>
  <c r="Y1625" i="2" a="1"/>
  <c r="Y1625" i="2" s="1"/>
  <c r="Y1619" i="2" a="1"/>
  <c r="Y1619" i="2" s="1"/>
  <c r="Y1617" i="2" a="1"/>
  <c r="Y1617" i="2" s="1"/>
  <c r="Y1611" i="2" a="1"/>
  <c r="Y1611" i="2" s="1"/>
  <c r="Y1609" i="2" a="1"/>
  <c r="Y1609" i="2" s="1"/>
  <c r="Y1603" i="2" a="1"/>
  <c r="Y1603" i="2" s="1"/>
  <c r="Y1602" i="2" a="1"/>
  <c r="Y1602" i="2" s="1"/>
  <c r="Y1601" i="2" a="1"/>
  <c r="Y1601" i="2" s="1"/>
  <c r="Y1600" i="2" a="1"/>
  <c r="Y1600" i="2" s="1"/>
  <c r="Y1599" i="2" a="1"/>
  <c r="Y1599" i="2" s="1"/>
  <c r="Y1595" i="2" a="1"/>
  <c r="Y1595" i="2" s="1"/>
  <c r="Y1594" i="2" a="1"/>
  <c r="Y1594" i="2" s="1"/>
  <c r="Y1593" i="2" a="1"/>
  <c r="Y1593" i="2" s="1"/>
  <c r="Y1587" i="2" a="1"/>
  <c r="Y1587" i="2" s="1"/>
  <c r="Y1585" i="2" a="1"/>
  <c r="Y1585" i="2" s="1"/>
  <c r="Y1584" i="2" a="1"/>
  <c r="Y1584" i="2" s="1"/>
  <c r="Y1579" i="2" a="1"/>
  <c r="Y1579" i="2" s="1"/>
  <c r="Y1577" i="2" a="1"/>
  <c r="Y1577" i="2" s="1"/>
  <c r="Y1571" i="2" a="1"/>
  <c r="Y1571" i="2" s="1"/>
  <c r="Y1569" i="2" a="1"/>
  <c r="Y1569" i="2" s="1"/>
  <c r="Y1563" i="2" a="1"/>
  <c r="Y1563" i="2" s="1"/>
  <c r="Y1561" i="2" a="1"/>
  <c r="Y1561" i="2" s="1"/>
  <c r="Y1560" i="2" a="1"/>
  <c r="Y1560" i="2" s="1"/>
  <c r="Y1555" i="2" a="1"/>
  <c r="Y1555" i="2" s="1"/>
  <c r="Y1553" i="2" a="1"/>
  <c r="Y1553" i="2" s="1"/>
  <c r="Y1546" i="2" a="1"/>
  <c r="Y1546" i="2" s="1"/>
  <c r="Y1545" i="2" a="1"/>
  <c r="Y1545" i="2" s="1"/>
  <c r="Y1539" i="2" a="1"/>
  <c r="Y1539" i="2" s="1"/>
  <c r="Y1537" i="2" a="1"/>
  <c r="Y1537" i="2" s="1"/>
  <c r="Y1531" i="2" a="1"/>
  <c r="Y1531" i="2" s="1"/>
  <c r="Y1529" i="2" a="1"/>
  <c r="Y1529" i="2" s="1"/>
  <c r="Y1523" i="2" a="1"/>
  <c r="Y1523" i="2" s="1"/>
  <c r="Y1521" i="2" a="1"/>
  <c r="Y1521" i="2" s="1"/>
  <c r="Y1515" i="2" a="1"/>
  <c r="Y1515" i="2" s="1"/>
  <c r="Y1514" i="2" a="1"/>
  <c r="Y1514" i="2" s="1"/>
  <c r="Y1513" i="2" a="1"/>
  <c r="Y1513" i="2" s="1"/>
  <c r="Y1507" i="2" a="1"/>
  <c r="Y1507" i="2" s="1"/>
  <c r="Y1505" i="2" a="1"/>
  <c r="Y1505" i="2" s="1"/>
  <c r="Y1499" i="2" a="1"/>
  <c r="Y1499" i="2" s="1"/>
  <c r="Y1497" i="2" a="1"/>
  <c r="Y1497" i="2" s="1"/>
  <c r="Y1491" i="2" a="1"/>
  <c r="Y1491" i="2" s="1"/>
  <c r="Y1489" i="2" a="1"/>
  <c r="Y1489" i="2" s="1"/>
  <c r="Y1483" i="2" a="1"/>
  <c r="Y1483" i="2" s="1"/>
  <c r="Y1482" i="2" a="1"/>
  <c r="Y1482" i="2" s="1"/>
  <c r="Y1481" i="2" a="1"/>
  <c r="Y1481" i="2" s="1"/>
  <c r="Y1475" i="2" a="1"/>
  <c r="Y1475" i="2" s="1"/>
  <c r="Y1473" i="2" a="1"/>
  <c r="Y1473" i="2" s="1"/>
  <c r="Y1467" i="2" a="1"/>
  <c r="Y1467" i="2" s="1"/>
  <c r="Y1465" i="2" a="1"/>
  <c r="Y1465" i="2" s="1"/>
  <c r="Y1463" i="2" a="1"/>
  <c r="Y1463" i="2" s="1"/>
  <c r="Y1459" i="2" a="1"/>
  <c r="Y1459" i="2" s="1"/>
  <c r="Y1457" i="2" a="1"/>
  <c r="Y1457" i="2" s="1"/>
  <c r="Y1451" i="2" a="1"/>
  <c r="Y1451" i="2" s="1"/>
  <c r="Y1449" i="2" a="1"/>
  <c r="Y1449" i="2" s="1"/>
  <c r="Y1443" i="2" a="1"/>
  <c r="Y1443" i="2" s="1"/>
  <c r="Y1441" i="2" a="1"/>
  <c r="Y1441" i="2" s="1"/>
  <c r="Y1435" i="2" a="1"/>
  <c r="Y1435" i="2" s="1"/>
  <c r="Y1427" i="2" a="1"/>
  <c r="Y1427" i="2" s="1"/>
  <c r="Y1426" i="2" a="1"/>
  <c r="Y1426" i="2" s="1"/>
  <c r="Y1419" i="2" a="1"/>
  <c r="Y1419" i="2" s="1"/>
  <c r="Y1418" i="2" a="1"/>
  <c r="Y1418" i="2" s="1"/>
  <c r="Y1411" i="2" a="1"/>
  <c r="Y1411" i="2" s="1"/>
  <c r="Y1403" i="2" a="1"/>
  <c r="Y1403" i="2" s="1"/>
  <c r="Y1395" i="2" a="1"/>
  <c r="Y1395" i="2" s="1"/>
  <c r="Y1387" i="2" a="1"/>
  <c r="Y1387" i="2" s="1"/>
  <c r="Y1379" i="2" a="1"/>
  <c r="Y1379" i="2" s="1"/>
  <c r="Y1371" i="2" a="1"/>
  <c r="Y1371" i="2" s="1"/>
  <c r="Y1369" i="2" a="1"/>
  <c r="Y1369" i="2" s="1"/>
  <c r="Y1363" i="2" a="1"/>
  <c r="Y1363" i="2" s="1"/>
  <c r="Y1360" i="2" a="1"/>
  <c r="Y1360" i="2" s="1"/>
  <c r="Y1355" i="2" a="1"/>
  <c r="Y1355" i="2" s="1"/>
  <c r="Y1352" i="2" a="1"/>
  <c r="Y1352" i="2" s="1"/>
  <c r="Y1347" i="2" a="1"/>
  <c r="Y1347" i="2" s="1"/>
  <c r="Y1339" i="2" a="1"/>
  <c r="Y1339" i="2" s="1"/>
  <c r="Y1331" i="2" a="1"/>
  <c r="Y1331" i="2" s="1"/>
  <c r="Y1328" i="2" a="1"/>
  <c r="Y1328" i="2" s="1"/>
  <c r="Y1323" i="2" a="1"/>
  <c r="Y1323" i="2" s="1"/>
  <c r="Y1322" i="2" a="1"/>
  <c r="Y1322" i="2" s="1"/>
  <c r="Y1319" i="2" a="1"/>
  <c r="Y1319" i="2" s="1"/>
  <c r="Y1315" i="2" a="1"/>
  <c r="Y1315" i="2" s="1"/>
  <c r="Y1307" i="2" a="1"/>
  <c r="Y1307" i="2" s="1"/>
  <c r="Y1304" i="2" a="1"/>
  <c r="Y1304" i="2" s="1"/>
  <c r="Y1299" i="2" a="1"/>
  <c r="Y1299" i="2" s="1"/>
  <c r="Y1291" i="2" a="1"/>
  <c r="Y1291" i="2" s="1"/>
  <c r="Y1289" i="2" a="1"/>
  <c r="Y1289" i="2" s="1"/>
  <c r="Y1283" i="2" a="1"/>
  <c r="Y1283" i="2" s="1"/>
  <c r="Y1281" i="2" a="1"/>
  <c r="Y1281" i="2" s="1"/>
  <c r="Y1280" i="2" a="1"/>
  <c r="Y1280" i="2" s="1"/>
  <c r="Y1275" i="2" a="1"/>
  <c r="Y1275" i="2" s="1"/>
  <c r="Y1273" i="2" a="1"/>
  <c r="Y1273" i="2" s="1"/>
  <c r="Y1267" i="2" a="1"/>
  <c r="Y1267" i="2" s="1"/>
  <c r="Y1265" i="2" a="1"/>
  <c r="Y1265" i="2" s="1"/>
  <c r="Y1259" i="2" a="1"/>
  <c r="Y1259" i="2" s="1"/>
  <c r="Y1257" i="2" a="1"/>
  <c r="Y1257" i="2" s="1"/>
  <c r="Y1255" i="2" a="1"/>
  <c r="Y1255" i="2" s="1"/>
  <c r="Y1249" i="2" a="1"/>
  <c r="Y1249" i="2" s="1"/>
  <c r="Y1242" i="2" a="1"/>
  <c r="Y1242" i="2" s="1"/>
  <c r="Y1241" i="2" a="1"/>
  <c r="Y1241" i="2" s="1"/>
  <c r="Y1233" i="2" a="1"/>
  <c r="Y1233" i="2" s="1"/>
  <c r="Y1225" i="2" a="1"/>
  <c r="Y1225" i="2" s="1"/>
  <c r="Y1219" i="2" a="1"/>
  <c r="Y1219" i="2" s="1"/>
  <c r="Y1217" i="2" a="1"/>
  <c r="Y1217" i="2" s="1"/>
  <c r="Y1215" i="2" a="1"/>
  <c r="Y1215" i="2" s="1"/>
  <c r="Y1211" i="2" a="1"/>
  <c r="Y1211" i="2" s="1"/>
  <c r="Y1209" i="2" a="1"/>
  <c r="Y1209" i="2" s="1"/>
  <c r="Y1208" i="2" a="1"/>
  <c r="Y1208" i="2" s="1"/>
  <c r="Y1203" i="2" a="1"/>
  <c r="Y1203" i="2" s="1"/>
  <c r="Y1202" i="2" a="1"/>
  <c r="Y1202" i="2" s="1"/>
  <c r="Y1201" i="2" a="1"/>
  <c r="Y1201" i="2" s="1"/>
  <c r="Y1195" i="2" a="1"/>
  <c r="Y1195" i="2" s="1"/>
  <c r="Y1193" i="2" a="1"/>
  <c r="Y1193" i="2" s="1"/>
  <c r="Y1187" i="2" a="1"/>
  <c r="Y1187" i="2" s="1"/>
  <c r="Y1179" i="2" a="1"/>
  <c r="Y1179" i="2" s="1"/>
  <c r="Y1171" i="2" a="1"/>
  <c r="Y1171" i="2" s="1"/>
  <c r="Y1163" i="2" a="1"/>
  <c r="Y1163" i="2" s="1"/>
  <c r="Y1161" i="2" a="1"/>
  <c r="Y1161" i="2" s="1"/>
  <c r="Y1160" i="2" a="1"/>
  <c r="Y1160" i="2" s="1"/>
  <c r="Y1153" i="2" a="1"/>
  <c r="Y1153" i="2" s="1"/>
  <c r="Y1147" i="2" a="1"/>
  <c r="Y1147" i="2" s="1"/>
  <c r="Y1145" i="2" a="1"/>
  <c r="Y1145" i="2" s="1"/>
  <c r="Y1139" i="2" a="1"/>
  <c r="Y1139" i="2" s="1"/>
  <c r="Y1137" i="2" a="1"/>
  <c r="Y1137" i="2" s="1"/>
  <c r="Y1136" i="2" a="1"/>
  <c r="Y1136" i="2" s="1"/>
  <c r="Y1131" i="2" a="1"/>
  <c r="Y1131" i="2" s="1"/>
  <c r="Y1129" i="2" a="1"/>
  <c r="Y1129" i="2" s="1"/>
  <c r="Y1123" i="2" a="1"/>
  <c r="Y1123" i="2" s="1"/>
  <c r="Y1121" i="2" a="1"/>
  <c r="Y1121" i="2" s="1"/>
  <c r="Y1120" i="2" a="1"/>
  <c r="Y1120" i="2" s="1"/>
  <c r="Y1115" i="2" a="1"/>
  <c r="Y1115" i="2" s="1"/>
  <c r="Y1113" i="2" a="1"/>
  <c r="Y1113" i="2" s="1"/>
  <c r="Y1107" i="2" a="1"/>
  <c r="Y1107" i="2" s="1"/>
  <c r="Y1105" i="2" a="1"/>
  <c r="Y1105" i="2" s="1"/>
  <c r="Y1099" i="2" a="1"/>
  <c r="Y1099" i="2" s="1"/>
  <c r="Y1091" i="2" a="1"/>
  <c r="Y1091" i="2" s="1"/>
  <c r="Y1083" i="2" a="1"/>
  <c r="Y1083" i="2" s="1"/>
  <c r="Y1081" i="2" a="1"/>
  <c r="Y1081" i="2" s="1"/>
  <c r="Y1073" i="2" a="1"/>
  <c r="Y1073" i="2" s="1"/>
  <c r="Y1072" i="2" a="1"/>
  <c r="Y1072" i="2" s="1"/>
  <c r="Y1065" i="2" a="1"/>
  <c r="Y1065" i="2" s="1"/>
  <c r="Y1059" i="2" a="1"/>
  <c r="Y1059" i="2" s="1"/>
  <c r="Y1058" i="2" a="1"/>
  <c r="Y1058" i="2" s="1"/>
  <c r="Y1057" i="2" a="1"/>
  <c r="Y1057" i="2" s="1"/>
  <c r="Y1051" i="2" a="1"/>
  <c r="Y1051" i="2" s="1"/>
  <c r="Y1043" i="2" a="1"/>
  <c r="Y1043" i="2" s="1"/>
  <c r="Y1042" i="2" a="1"/>
  <c r="Y1042" i="2" s="1"/>
  <c r="Y1040" i="2" a="1"/>
  <c r="Y1040" i="2" s="1"/>
  <c r="Y1035" i="2" a="1"/>
  <c r="Y1035" i="2" s="1"/>
  <c r="Y1027" i="2" a="1"/>
  <c r="Y1027" i="2" s="1"/>
  <c r="Y1019" i="2" a="1"/>
  <c r="Y1019" i="2" s="1"/>
  <c r="Y1017" i="2" a="1"/>
  <c r="Y1017" i="2" s="1"/>
  <c r="Y1007" i="2" a="1"/>
  <c r="Y1007" i="2" s="1"/>
  <c r="Y1002" i="2" a="1"/>
  <c r="Y1002" i="2" s="1"/>
  <c r="Y993" i="2" a="1"/>
  <c r="Y993" i="2" s="1"/>
  <c r="Y985" i="2" a="1"/>
  <c r="Y985" i="2" s="1"/>
  <c r="Y977" i="2" a="1"/>
  <c r="Y977" i="2" s="1"/>
  <c r="Y969" i="2" a="1"/>
  <c r="Y969" i="2" s="1"/>
  <c r="Y961" i="2" a="1"/>
  <c r="Y961" i="2" s="1"/>
  <c r="Y955" i="2" a="1"/>
  <c r="Y955" i="2" s="1"/>
  <c r="Y953" i="2" a="1"/>
  <c r="Y953" i="2" s="1"/>
  <c r="Y945" i="2" a="1"/>
  <c r="Y945" i="2" s="1"/>
  <c r="Y937" i="2" a="1"/>
  <c r="Y937" i="2" s="1"/>
  <c r="Y936" i="2" a="1"/>
  <c r="Y936" i="2" s="1"/>
  <c r="Y921" i="2" a="1"/>
  <c r="Y921" i="2" s="1"/>
  <c r="Y907" i="2" a="1"/>
  <c r="Y907" i="2" s="1"/>
  <c r="Y899" i="2" a="1"/>
  <c r="Y899" i="2" s="1"/>
  <c r="Y897" i="2" a="1"/>
  <c r="Y897" i="2" s="1"/>
  <c r="Y891" i="2" a="1"/>
  <c r="Y891" i="2" s="1"/>
  <c r="Y888" i="2" a="1"/>
  <c r="Y888" i="2" s="1"/>
  <c r="Y883" i="2" a="1"/>
  <c r="Y883" i="2" s="1"/>
  <c r="Y880" i="2" a="1"/>
  <c r="Y880" i="2" s="1"/>
  <c r="Y875" i="2" a="1"/>
  <c r="Y875" i="2" s="1"/>
  <c r="Y867" i="2" a="1"/>
  <c r="Y867" i="2" s="1"/>
  <c r="Y859" i="2" a="1"/>
  <c r="Y859" i="2" s="1"/>
  <c r="Y856" i="2" a="1"/>
  <c r="Y856" i="2" s="1"/>
  <c r="Y843" i="2" a="1"/>
  <c r="Y843" i="2" s="1"/>
  <c r="Y835" i="2" a="1"/>
  <c r="Y835" i="2" s="1"/>
  <c r="Y827" i="2" a="1"/>
  <c r="Y827" i="2" s="1"/>
  <c r="Y825" i="2" a="1"/>
  <c r="Y825" i="2" s="1"/>
  <c r="Y819" i="2" a="1"/>
  <c r="Y819" i="2" s="1"/>
  <c r="Y795" i="2" a="1"/>
  <c r="Y795" i="2" s="1"/>
  <c r="Y761" i="2" a="1"/>
  <c r="Y761" i="2" s="1"/>
  <c r="Y759" i="2" a="1"/>
  <c r="Y759" i="2" s="1"/>
  <c r="Y753" i="2" a="1"/>
  <c r="Y753" i="2" s="1"/>
  <c r="Y747" i="2" a="1"/>
  <c r="Y747" i="2" s="1"/>
  <c r="Y746" i="2" a="1"/>
  <c r="Y746" i="2" s="1"/>
  <c r="Y739" i="2" a="1"/>
  <c r="Y739" i="2" s="1"/>
  <c r="Y731" i="2" a="1"/>
  <c r="Y731" i="2" s="1"/>
  <c r="Y727" i="2" a="1"/>
  <c r="Y727" i="2" s="1"/>
  <c r="Y723" i="2" a="1"/>
  <c r="Y723" i="2" s="1"/>
  <c r="Y715" i="2" a="1"/>
  <c r="Y715" i="2" s="1"/>
  <c r="Y707" i="2" a="1"/>
  <c r="Y707" i="2" s="1"/>
  <c r="Y699" i="2" a="1"/>
  <c r="Y699" i="2" s="1"/>
  <c r="Y691" i="2" a="1"/>
  <c r="Y691" i="2" s="1"/>
  <c r="Y689" i="2" a="1"/>
  <c r="Y689" i="2" s="1"/>
  <c r="Y683" i="2" a="1"/>
  <c r="Y683" i="2" s="1"/>
  <c r="Y679" i="2" a="1"/>
  <c r="Y679" i="2" s="1"/>
  <c r="Y675" i="2" a="1"/>
  <c r="Y675" i="2" s="1"/>
  <c r="Y667" i="2" a="1"/>
  <c r="Y667" i="2" s="1"/>
  <c r="Y663" i="2" a="1"/>
  <c r="Y663" i="2" s="1"/>
  <c r="Y659" i="2" a="1"/>
  <c r="Y659" i="2" s="1"/>
  <c r="Y651" i="2" a="1"/>
  <c r="Y651" i="2" s="1"/>
  <c r="Y643" i="2" a="1"/>
  <c r="Y643" i="2" s="1"/>
  <c r="Y635" i="2" a="1"/>
  <c r="Y635" i="2" s="1"/>
  <c r="Y633" i="2" a="1"/>
  <c r="Y633" i="2" s="1"/>
  <c r="Y627" i="2" a="1"/>
  <c r="Y627" i="2" s="1"/>
  <c r="Y623" i="2" a="1"/>
  <c r="Y623" i="2" s="1"/>
  <c r="Y619" i="2" a="1"/>
  <c r="Y619" i="2" s="1"/>
  <c r="Y611" i="2" a="1"/>
  <c r="Y611" i="2" s="1"/>
  <c r="Y609" i="2" a="1"/>
  <c r="Y609" i="2" s="1"/>
  <c r="Y603" i="2" a="1"/>
  <c r="Y603" i="2" s="1"/>
  <c r="Y595" i="2" a="1"/>
  <c r="Y595" i="2" s="1"/>
  <c r="Y587" i="2" a="1"/>
  <c r="Y587" i="2" s="1"/>
  <c r="Y579" i="2" a="1"/>
  <c r="Y579" i="2" s="1"/>
  <c r="Y535" i="2" a="1"/>
  <c r="Y535" i="2" s="1"/>
  <c r="Y531" i="2" a="1"/>
  <c r="Y531" i="2" s="1"/>
  <c r="Y527" i="2" a="1"/>
  <c r="Y527" i="2" s="1"/>
  <c r="Y523" i="2" a="1"/>
  <c r="Y523" i="2" s="1"/>
  <c r="Y519" i="2" a="1"/>
  <c r="Y519" i="2" s="1"/>
  <c r="Y515" i="2" a="1"/>
  <c r="Y515" i="2" s="1"/>
  <c r="Y511" i="2" a="1"/>
  <c r="Y511" i="2" s="1"/>
  <c r="Y507" i="2" a="1"/>
  <c r="Y507" i="2" s="1"/>
  <c r="Y503" i="2" a="1"/>
  <c r="Y503" i="2" s="1"/>
  <c r="Y499" i="2" a="1"/>
  <c r="Y499" i="2" s="1"/>
  <c r="Y495" i="2" a="1"/>
  <c r="Y495" i="2" s="1"/>
  <c r="Y491" i="2" a="1"/>
  <c r="Y491" i="2" s="1"/>
  <c r="Y487" i="2" a="1"/>
  <c r="Y487" i="2" s="1"/>
  <c r="Y483" i="2" a="1"/>
  <c r="Y483" i="2" s="1"/>
  <c r="Y479" i="2" a="1"/>
  <c r="Y479" i="2" s="1"/>
  <c r="Y475" i="2" a="1"/>
  <c r="Y475" i="2" s="1"/>
  <c r="Y471" i="2" a="1"/>
  <c r="Y471" i="2" s="1"/>
  <c r="Y467" i="2" a="1"/>
  <c r="Y467" i="2" s="1"/>
  <c r="Y449" i="2" a="1"/>
  <c r="Y449" i="2" s="1"/>
  <c r="Y443" i="2" a="1"/>
  <c r="Y443" i="2" s="1"/>
  <c r="Y435" i="2" a="1"/>
  <c r="Y435" i="2" s="1"/>
  <c r="Y431" i="2" a="1"/>
  <c r="Y431" i="2" s="1"/>
  <c r="Y427" i="2" a="1"/>
  <c r="Y427" i="2" s="1"/>
  <c r="Y423" i="2" a="1"/>
  <c r="Y423" i="2" s="1"/>
  <c r="Y419" i="2" a="1"/>
  <c r="Y419" i="2" s="1"/>
  <c r="Y415" i="2" a="1"/>
  <c r="Y415" i="2" s="1"/>
  <c r="Y411" i="2" a="1"/>
  <c r="Y411" i="2" s="1"/>
  <c r="Y407" i="2" a="1"/>
  <c r="Y407" i="2" s="1"/>
  <c r="Y375" i="2" a="1"/>
  <c r="Y375" i="2" s="1"/>
  <c r="Y367" i="2" a="1"/>
  <c r="Y367" i="2" s="1"/>
  <c r="Y359" i="2" a="1"/>
  <c r="Y359" i="2" s="1"/>
  <c r="Y351" i="2" a="1"/>
  <c r="Y351" i="2" s="1"/>
  <c r="Y347" i="2" a="1"/>
  <c r="Y347" i="2" s="1"/>
  <c r="Y343" i="2" a="1"/>
  <c r="Y343" i="2" s="1"/>
  <c r="Y335" i="2" a="1"/>
  <c r="Y335" i="2" s="1"/>
  <c r="Y327" i="2" a="1"/>
  <c r="Y327" i="2" s="1"/>
  <c r="Y321" i="2" a="1"/>
  <c r="Y321" i="2" s="1"/>
  <c r="Y319" i="2" a="1"/>
  <c r="Y319" i="2" s="1"/>
  <c r="Y313" i="2" a="1"/>
  <c r="Y313" i="2" s="1"/>
  <c r="Y311" i="2" a="1"/>
  <c r="Y311" i="2" s="1"/>
  <c r="Y307" i="2" a="1"/>
  <c r="Y307" i="2" s="1"/>
  <c r="Y303" i="2" a="1"/>
  <c r="Y303" i="2" s="1"/>
  <c r="Y299" i="2" a="1"/>
  <c r="Y299" i="2" s="1"/>
  <c r="Y297" i="2" a="1"/>
  <c r="Y297" i="2" s="1"/>
  <c r="Y295" i="2" a="1"/>
  <c r="Y295" i="2" s="1"/>
  <c r="Y291" i="2" a="1"/>
  <c r="Y291" i="2" s="1"/>
  <c r="Y287" i="2" a="1"/>
  <c r="Y287" i="2" s="1"/>
  <c r="Y283" i="2" a="1"/>
  <c r="Y283" i="2" s="1"/>
  <c r="Y281" i="2" a="1"/>
  <c r="Y281" i="2" s="1"/>
  <c r="Y279" i="2" a="1"/>
  <c r="Y279" i="2" s="1"/>
  <c r="Y275" i="2" a="1"/>
  <c r="Y275" i="2" s="1"/>
  <c r="Y271" i="2" a="1"/>
  <c r="Y271" i="2" s="1"/>
  <c r="Y267" i="2" a="1"/>
  <c r="Y267" i="2" s="1"/>
  <c r="Y265" i="2" a="1"/>
  <c r="Y265" i="2" s="1"/>
  <c r="Y263" i="2" a="1"/>
  <c r="Y263" i="2" s="1"/>
  <c r="Y259" i="2" a="1"/>
  <c r="Y259" i="2" s="1"/>
  <c r="Y255" i="2" a="1"/>
  <c r="Y255" i="2" s="1"/>
  <c r="Y251" i="2" a="1"/>
  <c r="Y251" i="2" s="1"/>
  <c r="Y247" i="2" a="1"/>
  <c r="Y247" i="2" s="1"/>
  <c r="Y243" i="2" a="1"/>
  <c r="Y243" i="2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A16" i="1"/>
  <c r="A17" i="1"/>
  <c r="A18" i="1"/>
  <c r="A19" i="1"/>
  <c r="A5" i="1"/>
  <c r="A6" i="1"/>
  <c r="A7" i="1"/>
  <c r="A8" i="1"/>
  <c r="A9" i="1"/>
  <c r="A10" i="1"/>
  <c r="A11" i="1"/>
  <c r="A12" i="1"/>
  <c r="A13" i="1"/>
  <c r="A14" i="1"/>
  <c r="A15" i="1"/>
  <c r="A20" i="1"/>
  <c r="A21" i="1"/>
  <c r="A22" i="1"/>
  <c r="A23" i="1"/>
  <c r="A24" i="1"/>
  <c r="A25" i="1"/>
  <c r="A26" i="1"/>
  <c r="A27" i="1"/>
  <c r="A28" i="1"/>
  <c r="A29" i="1"/>
  <c r="B2" i="5"/>
  <c r="B3" i="5"/>
  <c r="B4" i="5"/>
  <c r="AY243" i="2"/>
  <c r="AY247" i="2"/>
  <c r="AY251" i="2"/>
  <c r="AY255" i="2"/>
  <c r="AY259" i="2"/>
  <c r="AY263" i="2"/>
  <c r="AY265" i="2"/>
  <c r="AY266" i="2"/>
  <c r="AY267" i="2"/>
  <c r="AY271" i="2"/>
  <c r="AY275" i="2"/>
  <c r="AY279" i="2"/>
  <c r="AY281" i="2"/>
  <c r="AY283" i="2"/>
  <c r="AY287" i="2"/>
  <c r="AY291" i="2"/>
  <c r="AY295" i="2"/>
  <c r="AY297" i="2"/>
  <c r="AY299" i="2"/>
  <c r="AY303" i="2"/>
  <c r="AY307" i="2"/>
  <c r="AY311" i="2"/>
  <c r="AY313" i="2"/>
  <c r="AY319" i="2"/>
  <c r="AY327" i="2"/>
  <c r="AY335" i="2"/>
  <c r="AY343" i="2"/>
  <c r="AY347" i="2"/>
  <c r="AY351" i="2"/>
  <c r="AY353" i="2"/>
  <c r="AY359" i="2"/>
  <c r="AY367" i="2"/>
  <c r="AY375" i="2"/>
  <c r="AY383" i="2"/>
  <c r="AY391" i="2"/>
  <c r="AY399" i="2"/>
  <c r="AY407" i="2"/>
  <c r="AY409" i="2"/>
  <c r="AY411" i="2"/>
  <c r="AY415" i="2"/>
  <c r="AY419" i="2"/>
  <c r="AY423" i="2"/>
  <c r="AY427" i="2"/>
  <c r="AY431" i="2"/>
  <c r="AY435" i="2"/>
  <c r="AY441" i="2"/>
  <c r="AY443" i="2"/>
  <c r="AY451" i="2"/>
  <c r="AY459" i="2"/>
  <c r="AY467" i="2"/>
  <c r="AY471" i="2"/>
  <c r="AY475" i="2"/>
  <c r="AY479" i="2"/>
  <c r="AY483" i="2"/>
  <c r="AY487" i="2"/>
  <c r="AY489" i="2"/>
  <c r="AY491" i="2"/>
  <c r="AY495" i="2"/>
  <c r="AY497" i="2"/>
  <c r="AY499" i="2"/>
  <c r="AY503" i="2"/>
  <c r="AY507" i="2"/>
  <c r="AY511" i="2"/>
  <c r="AY515" i="2"/>
  <c r="AY519" i="2"/>
  <c r="AY523" i="2"/>
  <c r="AY527" i="2"/>
  <c r="AY529" i="2"/>
  <c r="AY531" i="2"/>
  <c r="AY535" i="2"/>
  <c r="AY537" i="2"/>
  <c r="AY545" i="2"/>
  <c r="AY546" i="2"/>
  <c r="AY553" i="2"/>
  <c r="AY561" i="2"/>
  <c r="AY569" i="2"/>
  <c r="AY577" i="2"/>
  <c r="AY579" i="2"/>
  <c r="AY585" i="2"/>
  <c r="AY587" i="2"/>
  <c r="AY592" i="2"/>
  <c r="AY593" i="2"/>
  <c r="AY595" i="2"/>
  <c r="AY601" i="2"/>
  <c r="AY603" i="2"/>
  <c r="AY609" i="2"/>
  <c r="AY611" i="2"/>
  <c r="AY619" i="2"/>
  <c r="AY627" i="2"/>
  <c r="AY633" i="2"/>
  <c r="AY635" i="2"/>
  <c r="AY643" i="2"/>
  <c r="AY648" i="2"/>
  <c r="AY651" i="2"/>
  <c r="AY657" i="2"/>
  <c r="AY658" i="2"/>
  <c r="AY659" i="2"/>
  <c r="AY665" i="2"/>
  <c r="AY667" i="2"/>
  <c r="AY673" i="2"/>
  <c r="AY675" i="2"/>
  <c r="AY681" i="2"/>
  <c r="AY683" i="2"/>
  <c r="AY689" i="2"/>
  <c r="AY691" i="2"/>
  <c r="AY697" i="2"/>
  <c r="AY699" i="2"/>
  <c r="AY705" i="2"/>
  <c r="AY707" i="2"/>
  <c r="AY711" i="2"/>
  <c r="AY713" i="2"/>
  <c r="AY715" i="2"/>
  <c r="AY721" i="2"/>
  <c r="AY723" i="2"/>
  <c r="AY729" i="2"/>
  <c r="AY731" i="2"/>
  <c r="AY737" i="2"/>
  <c r="AY739" i="2"/>
  <c r="AY744" i="2"/>
  <c r="AY745" i="2"/>
  <c r="AY747" i="2"/>
  <c r="AY751" i="2"/>
  <c r="AY753" i="2"/>
  <c r="AY755" i="2"/>
  <c r="AY761" i="2"/>
  <c r="AY763" i="2"/>
  <c r="AY769" i="2"/>
  <c r="AY777" i="2"/>
  <c r="AY785" i="2"/>
  <c r="AY793" i="2"/>
  <c r="AY794" i="2"/>
  <c r="AY801" i="2"/>
  <c r="AY808" i="2"/>
  <c r="AY809" i="2"/>
  <c r="AY817" i="2"/>
  <c r="AY819" i="2"/>
  <c r="AY823" i="2"/>
  <c r="AY825" i="2"/>
  <c r="AY827" i="2"/>
  <c r="AY833" i="2"/>
  <c r="AY835" i="2"/>
  <c r="AY841" i="2"/>
  <c r="AY843" i="2"/>
  <c r="AY849" i="2"/>
  <c r="AY851" i="2"/>
  <c r="AY856" i="2"/>
  <c r="AY859" i="2"/>
  <c r="AY867" i="2"/>
  <c r="AY875" i="2"/>
  <c r="AY880" i="2"/>
  <c r="AY883" i="2"/>
  <c r="AY888" i="2"/>
  <c r="AY891" i="2"/>
  <c r="AY897" i="2"/>
  <c r="AY899" i="2"/>
  <c r="AY905" i="2"/>
  <c r="AY907" i="2"/>
  <c r="AY913" i="2"/>
  <c r="AY915" i="2"/>
  <c r="AY921" i="2"/>
  <c r="AY923" i="2"/>
  <c r="AY929" i="2"/>
  <c r="AY931" i="2"/>
  <c r="AY937" i="2"/>
  <c r="AY938" i="2"/>
  <c r="AY939" i="2"/>
  <c r="AY944" i="2"/>
  <c r="AY945" i="2"/>
  <c r="AY947" i="2"/>
  <c r="AY953" i="2"/>
  <c r="AY955" i="2"/>
  <c r="AY961" i="2"/>
  <c r="AY963" i="2"/>
  <c r="AY969" i="2"/>
  <c r="AY970" i="2"/>
  <c r="AY971" i="2"/>
  <c r="AY977" i="2"/>
  <c r="AY979" i="2"/>
  <c r="AY984" i="2"/>
  <c r="AY985" i="2"/>
  <c r="AY987" i="2"/>
  <c r="AY993" i="2"/>
  <c r="AY995" i="2"/>
  <c r="AY1001" i="2"/>
  <c r="AY1003" i="2"/>
  <c r="AY1009" i="2"/>
  <c r="AY1011" i="2"/>
  <c r="AY1017" i="2"/>
  <c r="AY1018" i="2"/>
  <c r="AY1019" i="2"/>
  <c r="AY1024" i="2"/>
  <c r="AY1025" i="2"/>
  <c r="AY1027" i="2"/>
  <c r="AY1033" i="2"/>
  <c r="AY1034" i="2"/>
  <c r="AY1035" i="2"/>
  <c r="AY1041" i="2"/>
  <c r="AY1043" i="2"/>
  <c r="AY1048" i="2"/>
  <c r="AY1049" i="2"/>
  <c r="AY1051" i="2"/>
  <c r="AY1057" i="2"/>
  <c r="AY1059" i="2"/>
  <c r="AY1064" i="2"/>
  <c r="AY1065" i="2"/>
  <c r="AY1066" i="2"/>
  <c r="AY1067" i="2"/>
  <c r="AY1073" i="2"/>
  <c r="AY1075" i="2"/>
  <c r="AY1080" i="2"/>
  <c r="AY1081" i="2"/>
  <c r="AY1083" i="2"/>
  <c r="AY1089" i="2"/>
  <c r="AY1091" i="2"/>
  <c r="AY1097" i="2"/>
  <c r="AY1099" i="2"/>
  <c r="AY1105" i="2"/>
  <c r="AY1106" i="2"/>
  <c r="AY1107" i="2"/>
  <c r="AY1113" i="2"/>
  <c r="AY1115" i="2"/>
  <c r="AY1120" i="2"/>
  <c r="AY1121" i="2"/>
  <c r="AY1122" i="2"/>
  <c r="AY1123" i="2"/>
  <c r="AY1129" i="2"/>
  <c r="AY1131" i="2"/>
  <c r="AY1135" i="2"/>
  <c r="AY1136" i="2"/>
  <c r="AY1137" i="2"/>
  <c r="AY1139" i="2"/>
  <c r="AY1145" i="2"/>
  <c r="AY1147" i="2"/>
  <c r="AY1153" i="2"/>
  <c r="AY1155" i="2"/>
  <c r="AY1161" i="2"/>
  <c r="AY1163" i="2"/>
  <c r="AY1169" i="2"/>
  <c r="AY1171" i="2"/>
  <c r="AY1177" i="2"/>
  <c r="AY1179" i="2"/>
  <c r="AY1184" i="2"/>
  <c r="AY1185" i="2"/>
  <c r="AY1187" i="2"/>
  <c r="AY1193" i="2"/>
  <c r="AY1195" i="2"/>
  <c r="AY1200" i="2"/>
  <c r="AY1201" i="2"/>
  <c r="AY1203" i="2"/>
  <c r="AY1207" i="2"/>
  <c r="AY1209" i="2"/>
  <c r="AY1211" i="2"/>
  <c r="AY1217" i="2"/>
  <c r="AY1219" i="2"/>
  <c r="AY1224" i="2"/>
  <c r="AY1225" i="2"/>
  <c r="AY1227" i="2"/>
  <c r="AY1233" i="2"/>
  <c r="AY1235" i="2"/>
  <c r="AY1240" i="2"/>
  <c r="AY1241" i="2"/>
  <c r="AY1243" i="2"/>
  <c r="AY1249" i="2"/>
  <c r="AY1251" i="2"/>
  <c r="AY1257" i="2"/>
  <c r="AY1259" i="2"/>
  <c r="AY1263" i="2"/>
  <c r="AY1264" i="2"/>
  <c r="AY1265" i="2"/>
  <c r="AY1267" i="2"/>
  <c r="AY1273" i="2"/>
  <c r="AY1275" i="2"/>
  <c r="AY1281" i="2"/>
  <c r="AY1283" i="2"/>
  <c r="AY1289" i="2"/>
  <c r="AY1291" i="2"/>
  <c r="AY1297" i="2"/>
  <c r="AY1299" i="2"/>
  <c r="AY1304" i="2"/>
  <c r="AY1305" i="2"/>
  <c r="AY1306" i="2"/>
  <c r="AY1307" i="2"/>
  <c r="AY1313" i="2"/>
  <c r="AY1315" i="2"/>
  <c r="AY1321" i="2"/>
  <c r="AY1322" i="2"/>
  <c r="AY1323" i="2"/>
  <c r="AY1327" i="2"/>
  <c r="AY1329" i="2"/>
  <c r="AY1331" i="2"/>
  <c r="AY1337" i="2"/>
  <c r="AY1339" i="2"/>
  <c r="AY1345" i="2"/>
  <c r="AY1347" i="2"/>
  <c r="AY1353" i="2"/>
  <c r="AY1355" i="2"/>
  <c r="AY1360" i="2"/>
  <c r="AY1361" i="2"/>
  <c r="AY1363" i="2"/>
  <c r="AY1369" i="2"/>
  <c r="AY1371" i="2"/>
  <c r="AY1374" i="2"/>
  <c r="AY1377" i="2"/>
  <c r="AY1379" i="2"/>
  <c r="AY1385" i="2"/>
  <c r="AY1387" i="2"/>
  <c r="AY1391" i="2"/>
  <c r="AY1392" i="2"/>
  <c r="AY1393" i="2"/>
  <c r="AY1395" i="2"/>
  <c r="AY1401" i="2"/>
  <c r="AY1403" i="2"/>
  <c r="AY1409" i="2"/>
  <c r="AY1411" i="2"/>
  <c r="AY1417" i="2"/>
  <c r="AY1418" i="2"/>
  <c r="AY1419" i="2"/>
  <c r="AY1425" i="2"/>
  <c r="AY1427" i="2"/>
  <c r="AY1432" i="2"/>
  <c r="AY1433" i="2"/>
  <c r="AY1434" i="2"/>
  <c r="AY1435" i="2"/>
  <c r="AY1441" i="2"/>
  <c r="AY1443" i="2"/>
  <c r="AY1448" i="2"/>
  <c r="AY1449" i="2"/>
  <c r="AY1451" i="2"/>
  <c r="AY1455" i="2"/>
  <c r="AY1457" i="2"/>
  <c r="AY1459" i="2"/>
  <c r="AY1465" i="2"/>
  <c r="AY1467" i="2"/>
  <c r="AY1472" i="2"/>
  <c r="AY1473" i="2"/>
  <c r="AY1475" i="2"/>
  <c r="AY1481" i="2"/>
  <c r="AY1483" i="2"/>
  <c r="AY1489" i="2"/>
  <c r="AY1491" i="2"/>
  <c r="AY1497" i="2"/>
  <c r="AY1499" i="2"/>
  <c r="AY1505" i="2"/>
  <c r="AY1507" i="2"/>
  <c r="AY1512" i="2"/>
  <c r="AY1513" i="2"/>
  <c r="AY1515" i="2"/>
  <c r="AY1519" i="2"/>
  <c r="AY1521" i="2"/>
  <c r="AY1522" i="2"/>
  <c r="AY1523" i="2"/>
  <c r="AY1528" i="2"/>
  <c r="AY1529" i="2"/>
  <c r="AY1531" i="2"/>
  <c r="AY1537" i="2"/>
  <c r="AY1538" i="2"/>
  <c r="AY1539" i="2"/>
  <c r="AY1545" i="2"/>
  <c r="AY1547" i="2"/>
  <c r="AY1553" i="2"/>
  <c r="AY1555" i="2"/>
  <c r="AY1560" i="2"/>
  <c r="AY1561" i="2"/>
  <c r="AY1562" i="2"/>
  <c r="AY1563" i="2"/>
  <c r="AY1569" i="2"/>
  <c r="AY1571" i="2"/>
  <c r="AY1577" i="2"/>
  <c r="AY1579" i="2"/>
  <c r="AY1584" i="2"/>
  <c r="AY1585" i="2"/>
  <c r="AY1587" i="2"/>
  <c r="AY1593" i="2"/>
  <c r="AY1594" i="2"/>
  <c r="AY1595" i="2"/>
  <c r="AY1601" i="2"/>
  <c r="AY1603" i="2"/>
  <c r="AY1609" i="2"/>
  <c r="AY1610" i="2"/>
  <c r="AY1611" i="2"/>
  <c r="AY1617" i="2"/>
  <c r="AY1619" i="2"/>
  <c r="AY1625" i="2"/>
  <c r="AY1627" i="2"/>
  <c r="AY1633" i="2"/>
  <c r="AY1635" i="2"/>
  <c r="AY1640" i="2"/>
  <c r="AY1641" i="2"/>
  <c r="AY1643" i="2"/>
  <c r="AY1649" i="2"/>
  <c r="AY1651" i="2"/>
  <c r="AY1656" i="2"/>
  <c r="AY1657" i="2"/>
  <c r="AY1659" i="2"/>
  <c r="AY1665" i="2"/>
  <c r="AY1667" i="2"/>
  <c r="AY1672" i="2"/>
  <c r="AY1673" i="2"/>
  <c r="AY1675" i="2"/>
  <c r="AY1681" i="2"/>
  <c r="AY1683" i="2"/>
  <c r="AY1689" i="2"/>
  <c r="AY1691" i="2"/>
  <c r="AY1697" i="2"/>
  <c r="AY1699" i="2"/>
  <c r="AY1704" i="2"/>
  <c r="AY1705" i="2"/>
  <c r="AY1707" i="2"/>
  <c r="AY1712" i="2"/>
  <c r="AY1713" i="2"/>
  <c r="AY1715" i="2"/>
  <c r="AY1721" i="2"/>
  <c r="AY1723" i="2"/>
  <c r="AY1729" i="2"/>
  <c r="AY1731" i="2"/>
  <c r="AY1737" i="2"/>
  <c r="AY1739" i="2"/>
  <c r="AY1744" i="2"/>
  <c r="AY1745" i="2"/>
  <c r="AY1747" i="2"/>
  <c r="AY1751" i="2"/>
  <c r="AY1752" i="2"/>
  <c r="AY1753" i="2"/>
  <c r="AY1754" i="2"/>
  <c r="AY1755" i="2"/>
  <c r="AY1759" i="2"/>
  <c r="AY1761" i="2"/>
  <c r="AY1762" i="2"/>
  <c r="AY1763" i="2"/>
  <c r="AY1767" i="2"/>
  <c r="AY1768" i="2"/>
  <c r="AY1769" i="2"/>
  <c r="AY1771" i="2"/>
  <c r="AY1775" i="2"/>
  <c r="AY1777" i="2"/>
  <c r="AY1779" i="2"/>
  <c r="AY1783" i="2"/>
  <c r="AY1784" i="2"/>
  <c r="AY1785" i="2"/>
  <c r="AY1787" i="2"/>
  <c r="AY1791" i="2"/>
  <c r="AY1793" i="2"/>
  <c r="AY1795" i="2"/>
  <c r="AY1799" i="2"/>
  <c r="AY1800" i="2"/>
  <c r="AY1801" i="2"/>
  <c r="AY1803" i="2"/>
  <c r="AY1807" i="2"/>
  <c r="AY1809" i="2"/>
  <c r="AY1811" i="2"/>
  <c r="AY1815" i="2"/>
  <c r="AY1816" i="2"/>
  <c r="AY1817" i="2"/>
  <c r="AY1818" i="2"/>
  <c r="AY1819" i="2"/>
  <c r="AY1823" i="2"/>
  <c r="AY1824" i="2"/>
  <c r="AY1825" i="2"/>
  <c r="AY1826" i="2"/>
  <c r="AY1827" i="2"/>
  <c r="AY1831" i="2"/>
  <c r="AY1832" i="2"/>
  <c r="AY1833" i="2"/>
  <c r="AY1835" i="2"/>
  <c r="AY1839" i="2"/>
  <c r="AY1840" i="2"/>
  <c r="AY1841" i="2"/>
  <c r="AY1843" i="2"/>
  <c r="AY1847" i="2"/>
  <c r="AY1849" i="2"/>
  <c r="AY1850" i="2"/>
  <c r="AY1851" i="2"/>
  <c r="AY1855" i="2"/>
  <c r="AY1857" i="2"/>
  <c r="AY1859" i="2"/>
  <c r="AY1863" i="2"/>
  <c r="AY1864" i="2"/>
  <c r="AY1865" i="2"/>
  <c r="AY1867" i="2"/>
  <c r="AY1871" i="2"/>
  <c r="AY1873" i="2"/>
  <c r="AY1875" i="2"/>
  <c r="AY1878" i="2"/>
  <c r="AY1879" i="2"/>
  <c r="AY1880" i="2"/>
  <c r="AY1881" i="2"/>
  <c r="AY1882" i="2"/>
  <c r="AY1883" i="2"/>
  <c r="AY1887" i="2"/>
  <c r="AY1888" i="2"/>
  <c r="AY1889" i="2"/>
  <c r="AY1891" i="2"/>
  <c r="AY1895" i="2"/>
  <c r="AY1897" i="2"/>
  <c r="AY1899" i="2"/>
  <c r="AY1902" i="2"/>
  <c r="AY1903" i="2"/>
  <c r="AY1904" i="2"/>
  <c r="AY1905" i="2"/>
  <c r="AY1907" i="2"/>
  <c r="AY1911" i="2"/>
  <c r="AY1912" i="2"/>
  <c r="AY1913" i="2"/>
  <c r="AY1914" i="2"/>
  <c r="AY1915" i="2"/>
  <c r="AY1919" i="2"/>
  <c r="AY1920" i="2"/>
  <c r="AY1921" i="2"/>
  <c r="AY1923" i="2"/>
  <c r="AY1927" i="2"/>
  <c r="AY1928" i="2"/>
  <c r="AY1929" i="2"/>
  <c r="AY1931" i="2"/>
  <c r="AY1935" i="2"/>
  <c r="AY1936" i="2"/>
  <c r="AY1937" i="2"/>
  <c r="AY1939" i="2"/>
  <c r="AY1943" i="2"/>
  <c r="AY1944" i="2"/>
  <c r="AY1945" i="2"/>
  <c r="AY1947" i="2"/>
  <c r="AY1951" i="2"/>
  <c r="AY1952" i="2"/>
  <c r="AY1953" i="2"/>
  <c r="AY1955" i="2"/>
  <c r="AY1959" i="2"/>
  <c r="AY1960" i="2"/>
  <c r="AY1961" i="2"/>
  <c r="AY1963" i="2"/>
  <c r="AY1967" i="2"/>
  <c r="AY1968" i="2"/>
  <c r="AY1969" i="2"/>
  <c r="AY1970" i="2"/>
  <c r="AY1971" i="2"/>
  <c r="AY1975" i="2"/>
  <c r="AY1976" i="2"/>
  <c r="AY1977" i="2"/>
  <c r="AY1978" i="2"/>
  <c r="AY1979" i="2"/>
  <c r="AY1983" i="2"/>
  <c r="AY1985" i="2"/>
  <c r="AY1987" i="2"/>
  <c r="AY1991" i="2"/>
  <c r="AY1992" i="2"/>
  <c r="AY1993" i="2"/>
  <c r="AY1995" i="2"/>
  <c r="AY1999" i="2"/>
  <c r="AY2001" i="2"/>
  <c r="AY2003" i="2"/>
  <c r="AY2007" i="2"/>
  <c r="AY2008" i="2"/>
  <c r="AY2009" i="2"/>
  <c r="AY2011" i="2"/>
  <c r="AY2015" i="2"/>
  <c r="AY2017" i="2"/>
  <c r="AY2019" i="2"/>
  <c r="AY2023" i="2"/>
  <c r="AY2024" i="2"/>
  <c r="AY2025" i="2"/>
  <c r="AY2027" i="2"/>
  <c r="AY2031" i="2"/>
  <c r="AY2033" i="2"/>
  <c r="AY2034" i="2"/>
  <c r="AY2035" i="2"/>
  <c r="AY2039" i="2"/>
  <c r="AY2041" i="2"/>
  <c r="AY2042" i="2"/>
  <c r="AY2043" i="2"/>
  <c r="AY2047" i="2"/>
  <c r="AY2048" i="2"/>
  <c r="AY2049" i="2"/>
  <c r="AY2051" i="2"/>
  <c r="AY2055" i="2"/>
  <c r="AY2056" i="2"/>
  <c r="AY2057" i="2"/>
  <c r="AY2059" i="2"/>
  <c r="AY2063" i="2"/>
  <c r="AY2064" i="2"/>
  <c r="AY2065" i="2"/>
  <c r="AY2067" i="2"/>
  <c r="AY2071" i="2"/>
  <c r="AY2072" i="2"/>
  <c r="AY2073" i="2"/>
  <c r="AY2075" i="2"/>
  <c r="AY2079" i="2"/>
  <c r="AY2080" i="2"/>
  <c r="AY2081" i="2"/>
  <c r="AY2083" i="2"/>
  <c r="AY2087" i="2"/>
  <c r="AY2088" i="2"/>
  <c r="AY2089" i="2"/>
  <c r="AY2091" i="2"/>
  <c r="AY2095" i="2"/>
  <c r="AY2096" i="2"/>
  <c r="AY2097" i="2"/>
  <c r="AY2098" i="2"/>
  <c r="AY2099" i="2"/>
  <c r="AY2103" i="2"/>
  <c r="AY2104" i="2"/>
  <c r="AY2105" i="2"/>
  <c r="AY2106" i="2"/>
  <c r="AY2107" i="2"/>
  <c r="AY2111" i="2"/>
  <c r="AY2113" i="2"/>
  <c r="AY2115" i="2"/>
  <c r="AY2119" i="2"/>
  <c r="AY2120" i="2"/>
  <c r="AY2121" i="2"/>
  <c r="AY2123" i="2"/>
  <c r="AY2127" i="2"/>
  <c r="AY2128" i="2"/>
  <c r="AY2129" i="2"/>
  <c r="AY2131" i="2"/>
  <c r="AY2134" i="2"/>
  <c r="AY2135" i="2"/>
  <c r="AY2136" i="2"/>
  <c r="AY2137" i="2"/>
  <c r="AY2138" i="2"/>
  <c r="AY2139" i="2"/>
  <c r="AY2143" i="2"/>
  <c r="AY2144" i="2"/>
  <c r="AY2145" i="2"/>
  <c r="AY2147" i="2"/>
  <c r="AY2151" i="2"/>
  <c r="AY2152" i="2"/>
  <c r="AY2153" i="2"/>
  <c r="AY2155" i="2"/>
  <c r="AY2158" i="2"/>
  <c r="AY2159" i="2"/>
  <c r="AY2160" i="2"/>
  <c r="AY2161" i="2"/>
  <c r="AY2163" i="2"/>
  <c r="AY2167" i="2"/>
  <c r="AY2168" i="2"/>
  <c r="AY2169" i="2"/>
  <c r="AY2170" i="2"/>
  <c r="AY2171" i="2"/>
  <c r="AY2175" i="2"/>
  <c r="AY2176" i="2"/>
  <c r="AY2177" i="2"/>
  <c r="AY2179" i="2"/>
  <c r="AY2182" i="2"/>
  <c r="AY2183" i="2"/>
  <c r="AY2184" i="2"/>
  <c r="AY2185" i="2"/>
  <c r="AY2187" i="2"/>
  <c r="AY2191" i="2"/>
  <c r="AY2192" i="2"/>
  <c r="AY2193" i="2"/>
  <c r="AY2195" i="2"/>
  <c r="AY2198" i="2"/>
  <c r="AY2199" i="2"/>
  <c r="AY2200" i="2"/>
  <c r="AY2201" i="2"/>
  <c r="AY2202" i="2"/>
  <c r="AY2203" i="2"/>
  <c r="AY2206" i="2"/>
  <c r="AY2207" i="2"/>
  <c r="AY2208" i="2"/>
  <c r="AY2209" i="2"/>
  <c r="AY2211" i="2"/>
  <c r="AY2215" i="2"/>
  <c r="AY2216" i="2"/>
  <c r="AY2217" i="2"/>
  <c r="AY2219" i="2"/>
  <c r="AY2222" i="2"/>
  <c r="AY2223" i="2"/>
  <c r="AY2224" i="2"/>
  <c r="AY2225" i="2"/>
  <c r="AY2227" i="2"/>
  <c r="AY2231" i="2"/>
  <c r="AY2232" i="2"/>
  <c r="AY2233" i="2"/>
  <c r="AY2234" i="2"/>
  <c r="AY2235" i="2"/>
  <c r="AY2239" i="2"/>
  <c r="AY2240" i="2"/>
  <c r="AY2241" i="2"/>
  <c r="AY2243" i="2"/>
  <c r="AY2246" i="2"/>
  <c r="AY2247" i="2"/>
  <c r="AY2248" i="2"/>
  <c r="AY2249" i="2"/>
  <c r="AY2251" i="2"/>
  <c r="AY2255" i="2"/>
  <c r="AY2256" i="2"/>
  <c r="AY2257" i="2"/>
  <c r="AY2259" i="2"/>
  <c r="AY2262" i="2"/>
  <c r="AY2263" i="2"/>
  <c r="AY2264" i="2"/>
  <c r="AY2265" i="2"/>
  <c r="AY2266" i="2"/>
  <c r="AY2267" i="2"/>
  <c r="AY2270" i="2"/>
  <c r="AY2271" i="2"/>
  <c r="AY2272" i="2"/>
  <c r="AY2273" i="2"/>
  <c r="AY2275" i="2"/>
  <c r="AY2279" i="2"/>
  <c r="AY2280" i="2"/>
  <c r="AY2281" i="2"/>
  <c r="AY2283" i="2"/>
  <c r="AY2286" i="2"/>
  <c r="AY2287" i="2"/>
  <c r="AY2288" i="2"/>
  <c r="AY2289" i="2"/>
  <c r="AY2291" i="2"/>
  <c r="AY2295" i="2"/>
  <c r="AY2296" i="2"/>
  <c r="AY2297" i="2"/>
  <c r="AY2298" i="2"/>
  <c r="AY2299" i="2"/>
  <c r="AY2303" i="2"/>
  <c r="AY2304" i="2"/>
  <c r="AY2305" i="2"/>
  <c r="AY2307" i="2"/>
  <c r="AY2310" i="2"/>
  <c r="AY2311" i="2"/>
  <c r="AY2312" i="2"/>
  <c r="AY2313" i="2"/>
  <c r="AY2315" i="2"/>
  <c r="AY2319" i="2"/>
  <c r="AY2320" i="2"/>
  <c r="AY2321" i="2"/>
  <c r="AY2323" i="2"/>
  <c r="AY2327" i="2"/>
  <c r="AY2328" i="2"/>
  <c r="AY2329" i="2"/>
  <c r="AY2330" i="2"/>
  <c r="AY2331" i="2"/>
  <c r="AY2334" i="2"/>
  <c r="AY2335" i="2"/>
  <c r="AY2336" i="2"/>
  <c r="AY2337" i="2"/>
  <c r="AY2339" i="2"/>
  <c r="AY2343" i="2"/>
  <c r="AY2344" i="2"/>
  <c r="AY2345" i="2"/>
  <c r="AY2347" i="2"/>
  <c r="AY2351" i="2"/>
  <c r="AY2352" i="2"/>
  <c r="AY2359" i="2"/>
  <c r="AY2360" i="2"/>
  <c r="AY2361" i="2"/>
  <c r="AY2367" i="2"/>
  <c r="AY2368" i="2"/>
  <c r="AY2370" i="2"/>
  <c r="AY2375" i="2"/>
  <c r="AY2376" i="2"/>
  <c r="AY2378" i="2"/>
  <c r="AY2383" i="2"/>
  <c r="AY2384" i="2"/>
  <c r="AY2391" i="2"/>
  <c r="AY2392" i="2"/>
  <c r="AY2395" i="2"/>
  <c r="AY2399" i="2"/>
  <c r="AY2400" i="2"/>
  <c r="AY2407" i="2"/>
  <c r="AY2408" i="2"/>
  <c r="AY2409" i="2"/>
  <c r="AY2411" i="2"/>
  <c r="AY2415" i="2"/>
  <c r="AY2416" i="2"/>
  <c r="AY2423" i="2"/>
  <c r="AY2424" i="2"/>
  <c r="AY2425" i="2"/>
  <c r="AW233" i="2"/>
  <c r="AW241" i="2"/>
  <c r="AW243" i="2"/>
  <c r="AW247" i="2"/>
  <c r="AW249" i="2"/>
  <c r="AW251" i="2"/>
  <c r="AW255" i="2"/>
  <c r="AW257" i="2"/>
  <c r="AW259" i="2"/>
  <c r="AW263" i="2"/>
  <c r="AW265" i="2"/>
  <c r="AW267" i="2"/>
  <c r="AW271" i="2"/>
  <c r="AW273" i="2"/>
  <c r="AW275" i="2"/>
  <c r="AW279" i="2"/>
  <c r="AW281" i="2"/>
  <c r="AW283" i="2"/>
  <c r="AW287" i="2"/>
  <c r="AW289" i="2"/>
  <c r="AW290" i="2"/>
  <c r="AW291" i="2"/>
  <c r="AW295" i="2"/>
  <c r="AW297" i="2"/>
  <c r="AW299" i="2"/>
  <c r="AW303" i="2"/>
  <c r="AW304" i="2"/>
  <c r="AW305" i="2"/>
  <c r="AW307" i="2"/>
  <c r="AW311" i="2"/>
  <c r="AW313" i="2"/>
  <c r="AW315" i="2"/>
  <c r="AW319" i="2"/>
  <c r="AW320" i="2"/>
  <c r="AW321" i="2"/>
  <c r="AW323" i="2"/>
  <c r="AW327" i="2"/>
  <c r="AW329" i="2"/>
  <c r="AW331" i="2"/>
  <c r="AW335" i="2"/>
  <c r="AW336" i="2"/>
  <c r="AW337" i="2"/>
  <c r="AW339" i="2"/>
  <c r="AW343" i="2"/>
  <c r="AW344" i="2"/>
  <c r="AW345" i="2"/>
  <c r="AW347" i="2"/>
  <c r="AW351" i="2"/>
  <c r="AW352" i="2"/>
  <c r="AW353" i="2"/>
  <c r="AW355" i="2"/>
  <c r="AW359" i="2"/>
  <c r="AW360" i="2"/>
  <c r="AW361" i="2"/>
  <c r="AW362" i="2"/>
  <c r="AW363" i="2"/>
  <c r="AW367" i="2"/>
  <c r="AW369" i="2"/>
  <c r="AW371" i="2"/>
  <c r="AW375" i="2"/>
  <c r="AW377" i="2"/>
  <c r="AW379" i="2"/>
  <c r="AW383" i="2"/>
  <c r="AW385" i="2"/>
  <c r="AW387" i="2"/>
  <c r="AW391" i="2"/>
  <c r="AW393" i="2"/>
  <c r="AW395" i="2"/>
  <c r="AW399" i="2"/>
  <c r="AW401" i="2"/>
  <c r="AW403" i="2"/>
  <c r="AW407" i="2"/>
  <c r="AW409" i="2"/>
  <c r="AW411" i="2"/>
  <c r="AW415" i="2"/>
  <c r="AW417" i="2"/>
  <c r="AW418" i="2"/>
  <c r="AW419" i="2"/>
  <c r="AW423" i="2"/>
  <c r="AW424" i="2"/>
  <c r="AW425" i="2"/>
  <c r="AW426" i="2"/>
  <c r="AW427" i="2"/>
  <c r="AW431" i="2"/>
  <c r="AW433" i="2"/>
  <c r="AW435" i="2"/>
  <c r="AW439" i="2"/>
  <c r="AW441" i="2"/>
  <c r="AW443" i="2"/>
  <c r="AW447" i="2"/>
  <c r="AW449" i="2"/>
  <c r="AW451" i="2"/>
  <c r="AW455" i="2"/>
  <c r="AW457" i="2"/>
  <c r="AW459" i="2"/>
  <c r="AW463" i="2"/>
  <c r="AW465" i="2"/>
  <c r="AW467" i="2"/>
  <c r="AW471" i="2"/>
  <c r="AW473" i="2"/>
  <c r="AW475" i="2"/>
  <c r="AW479" i="2"/>
  <c r="AW481" i="2"/>
  <c r="AW483" i="2"/>
  <c r="AW487" i="2"/>
  <c r="AW489" i="2"/>
  <c r="AW490" i="2"/>
  <c r="AW491" i="2"/>
  <c r="AW495" i="2"/>
  <c r="AW496" i="2"/>
  <c r="AW497" i="2"/>
  <c r="AW499" i="2"/>
  <c r="AW503" i="2"/>
  <c r="AW504" i="2"/>
  <c r="AW505" i="2"/>
  <c r="AW507" i="2"/>
  <c r="AW511" i="2"/>
  <c r="AW512" i="2"/>
  <c r="AW513" i="2"/>
  <c r="AW515" i="2"/>
  <c r="AW519" i="2"/>
  <c r="AW520" i="2"/>
  <c r="AW521" i="2"/>
  <c r="AW523" i="2"/>
  <c r="AW527" i="2"/>
  <c r="AW528" i="2"/>
  <c r="AW529" i="2"/>
  <c r="AW531" i="2"/>
  <c r="AW535" i="2"/>
  <c r="AW536" i="2"/>
  <c r="AW537" i="2"/>
  <c r="AW539" i="2"/>
  <c r="AW545" i="2"/>
  <c r="AW547" i="2"/>
  <c r="AW552" i="2"/>
  <c r="AW553" i="2"/>
  <c r="AW555" i="2"/>
  <c r="AW559" i="2"/>
  <c r="AW561" i="2"/>
  <c r="AW563" i="2"/>
  <c r="AW567" i="2"/>
  <c r="AW568" i="2"/>
  <c r="AW569" i="2"/>
  <c r="AW570" i="2"/>
  <c r="AW571" i="2"/>
  <c r="AW575" i="2"/>
  <c r="AW576" i="2"/>
  <c r="AW577" i="2"/>
  <c r="AW579" i="2"/>
  <c r="AW583" i="2"/>
  <c r="AW584" i="2"/>
  <c r="AW585" i="2"/>
  <c r="AW587" i="2"/>
  <c r="AW591" i="2"/>
  <c r="AW592" i="2"/>
  <c r="AW593" i="2"/>
  <c r="AW595" i="2"/>
  <c r="AW599" i="2"/>
  <c r="AW600" i="2"/>
  <c r="AW601" i="2"/>
  <c r="AW603" i="2"/>
  <c r="AW607" i="2"/>
  <c r="AW608" i="2"/>
  <c r="AW609" i="2"/>
  <c r="AW611" i="2"/>
  <c r="AW615" i="2"/>
  <c r="AW616" i="2"/>
  <c r="AW617" i="2"/>
  <c r="AW619" i="2"/>
  <c r="AW623" i="2"/>
  <c r="AW624" i="2"/>
  <c r="AW625" i="2"/>
  <c r="AW627" i="2"/>
  <c r="AW631" i="2"/>
  <c r="AW632" i="2"/>
  <c r="AW633" i="2"/>
  <c r="AW635" i="2"/>
  <c r="AW639" i="2"/>
  <c r="AW640" i="2"/>
  <c r="AW641" i="2"/>
  <c r="AW643" i="2"/>
  <c r="AW647" i="2"/>
  <c r="AW648" i="2"/>
  <c r="AW649" i="2"/>
  <c r="AW651" i="2"/>
  <c r="AW655" i="2"/>
  <c r="AW656" i="2"/>
  <c r="AW657" i="2"/>
  <c r="AW658" i="2"/>
  <c r="AW659" i="2"/>
  <c r="AW663" i="2"/>
  <c r="AW665" i="2"/>
  <c r="AW667" i="2"/>
  <c r="AW671" i="2"/>
  <c r="AW673" i="2"/>
  <c r="AW675" i="2"/>
  <c r="AW679" i="2"/>
  <c r="AW681" i="2"/>
  <c r="AW683" i="2"/>
  <c r="AW687" i="2"/>
  <c r="AW689" i="2"/>
  <c r="AW691" i="2"/>
  <c r="AW695" i="2"/>
  <c r="AW697" i="2"/>
  <c r="AW699" i="2"/>
  <c r="AW703" i="2"/>
  <c r="AW705" i="2"/>
  <c r="AW706" i="2"/>
  <c r="AW707" i="2"/>
  <c r="AW711" i="2"/>
  <c r="AW712" i="2"/>
  <c r="AW713" i="2"/>
  <c r="AW714" i="2"/>
  <c r="AW715" i="2"/>
  <c r="AW719" i="2"/>
  <c r="AW721" i="2"/>
  <c r="AW723" i="2"/>
  <c r="AW727" i="2"/>
  <c r="AW729" i="2"/>
  <c r="AW731" i="2"/>
  <c r="AW735" i="2"/>
  <c r="AW737" i="2"/>
  <c r="AW738" i="2"/>
  <c r="AW739" i="2"/>
  <c r="AW743" i="2"/>
  <c r="AW745" i="2"/>
  <c r="AW747" i="2"/>
  <c r="AW751" i="2"/>
  <c r="AW753" i="2"/>
  <c r="AW755" i="2"/>
  <c r="AW759" i="2"/>
  <c r="AW761" i="2"/>
  <c r="AW763" i="2"/>
  <c r="AW767" i="2"/>
  <c r="AW769" i="2"/>
  <c r="AW771" i="2"/>
  <c r="AW775" i="2"/>
  <c r="AW777" i="2"/>
  <c r="AW779" i="2"/>
  <c r="AW783" i="2"/>
  <c r="AW785" i="2"/>
  <c r="AW787" i="2"/>
  <c r="AW791" i="2"/>
  <c r="AW793" i="2"/>
  <c r="AW794" i="2"/>
  <c r="AW795" i="2"/>
  <c r="AW799" i="2"/>
  <c r="AW800" i="2"/>
  <c r="AW801" i="2"/>
  <c r="AW802" i="2"/>
  <c r="AW803" i="2"/>
  <c r="AW807" i="2"/>
  <c r="AW809" i="2"/>
  <c r="AW811" i="2"/>
  <c r="AW815" i="2"/>
  <c r="AW817" i="2"/>
  <c r="AW819" i="2"/>
  <c r="AW823" i="2"/>
  <c r="AW825" i="2"/>
  <c r="AW827" i="2"/>
  <c r="AW831" i="2"/>
  <c r="AW833" i="2"/>
  <c r="AW835" i="2"/>
  <c r="AW839" i="2"/>
  <c r="AW841" i="2"/>
  <c r="AW843" i="2"/>
  <c r="AW847" i="2"/>
  <c r="AW849" i="2"/>
  <c r="AW851" i="2"/>
  <c r="AW855" i="2"/>
  <c r="AW857" i="2"/>
  <c r="AW858" i="2"/>
  <c r="AW859" i="2"/>
  <c r="AW863" i="2"/>
  <c r="AW864" i="2"/>
  <c r="AW865" i="2"/>
  <c r="AW866" i="2"/>
  <c r="AW867" i="2"/>
  <c r="AW871" i="2"/>
  <c r="AW873" i="2"/>
  <c r="AW875" i="2"/>
  <c r="AW879" i="2"/>
  <c r="AW881" i="2"/>
  <c r="AW883" i="2"/>
  <c r="AW887" i="2"/>
  <c r="AW889" i="2"/>
  <c r="AW891" i="2"/>
  <c r="AW895" i="2"/>
  <c r="AW897" i="2"/>
  <c r="AW899" i="2"/>
  <c r="AW903" i="2"/>
  <c r="AW905" i="2"/>
  <c r="AW907" i="2"/>
  <c r="AW911" i="2"/>
  <c r="AW913" i="2"/>
  <c r="AW915" i="2"/>
  <c r="AW919" i="2"/>
  <c r="AW920" i="2"/>
  <c r="AW921" i="2"/>
  <c r="AW922" i="2"/>
  <c r="AW923" i="2"/>
  <c r="AW926" i="2"/>
  <c r="AW927" i="2"/>
  <c r="AW929" i="2"/>
  <c r="AW931" i="2"/>
  <c r="AW935" i="2"/>
  <c r="AW936" i="2"/>
  <c r="AW937" i="2"/>
  <c r="AW939" i="2"/>
  <c r="AW943" i="2"/>
  <c r="AW945" i="2"/>
  <c r="AW946" i="2"/>
  <c r="AW947" i="2"/>
  <c r="AW951" i="2"/>
  <c r="AW953" i="2"/>
  <c r="AW955" i="2"/>
  <c r="AW959" i="2"/>
  <c r="AW961" i="2"/>
  <c r="AW963" i="2"/>
  <c r="AW967" i="2"/>
  <c r="AW969" i="2"/>
  <c r="AW970" i="2"/>
  <c r="AW971" i="2"/>
  <c r="AW975" i="2"/>
  <c r="AW976" i="2"/>
  <c r="AW977" i="2"/>
  <c r="AW978" i="2"/>
  <c r="AW979" i="2"/>
  <c r="AW983" i="2"/>
  <c r="AW985" i="2"/>
  <c r="AW987" i="2"/>
  <c r="AW991" i="2"/>
  <c r="AW992" i="2"/>
  <c r="AW993" i="2"/>
  <c r="AW994" i="2"/>
  <c r="AW995" i="2"/>
  <c r="AW999" i="2"/>
  <c r="AW1001" i="2"/>
  <c r="AW1002" i="2"/>
  <c r="AW1003" i="2"/>
  <c r="AW1007" i="2"/>
  <c r="AW1008" i="2"/>
  <c r="AW1009" i="2"/>
  <c r="AW1011" i="2"/>
  <c r="AW1015" i="2"/>
  <c r="AW1016" i="2"/>
  <c r="AW1017" i="2"/>
  <c r="AW1019" i="2"/>
  <c r="AW1023" i="2"/>
  <c r="AW1024" i="2"/>
  <c r="AW1025" i="2"/>
  <c r="AW1027" i="2"/>
  <c r="AW1031" i="2"/>
  <c r="AW1032" i="2"/>
  <c r="AW1033" i="2"/>
  <c r="AW1035" i="2"/>
  <c r="AW1039" i="2"/>
  <c r="AW1040" i="2"/>
  <c r="AW1041" i="2"/>
  <c r="AW1043" i="2"/>
  <c r="AW1047" i="2"/>
  <c r="AW1049" i="2"/>
  <c r="AW1051" i="2"/>
  <c r="AW1055" i="2"/>
  <c r="AW1057" i="2"/>
  <c r="AW1058" i="2"/>
  <c r="AW1059" i="2"/>
  <c r="AW1063" i="2"/>
  <c r="AW1064" i="2"/>
  <c r="AW1065" i="2"/>
  <c r="AW1067" i="2"/>
  <c r="AW1071" i="2"/>
  <c r="AW1073" i="2"/>
  <c r="AW1075" i="2"/>
  <c r="AW1079" i="2"/>
  <c r="AW1080" i="2"/>
  <c r="AW1081" i="2"/>
  <c r="AW1083" i="2"/>
  <c r="AW1087" i="2"/>
  <c r="AW1089" i="2"/>
  <c r="AW1091" i="2"/>
  <c r="AW1095" i="2"/>
  <c r="AW1096" i="2"/>
  <c r="AW1097" i="2"/>
  <c r="AW1098" i="2"/>
  <c r="AW1099" i="2"/>
  <c r="AW1103" i="2"/>
  <c r="AW1105" i="2"/>
  <c r="AW1107" i="2"/>
  <c r="AW1110" i="2"/>
  <c r="AW1111" i="2"/>
  <c r="AW1112" i="2"/>
  <c r="AW1113" i="2"/>
  <c r="AW1114" i="2"/>
  <c r="AW1115" i="2"/>
  <c r="AW1119" i="2"/>
  <c r="AW1120" i="2"/>
  <c r="AW1121" i="2"/>
  <c r="AW1123" i="2"/>
  <c r="AW1127" i="2"/>
  <c r="AW1129" i="2"/>
  <c r="AW1130" i="2"/>
  <c r="AW1131" i="2"/>
  <c r="AW1135" i="2"/>
  <c r="AW1137" i="2"/>
  <c r="AW1138" i="2"/>
  <c r="AW1139" i="2"/>
  <c r="AW1143" i="2"/>
  <c r="AW1144" i="2"/>
  <c r="AW1145" i="2"/>
  <c r="AW1147" i="2"/>
  <c r="AW1151" i="2"/>
  <c r="AW1152" i="2"/>
  <c r="AW1153" i="2"/>
  <c r="AW1155" i="2"/>
  <c r="AW1159" i="2"/>
  <c r="AW1160" i="2"/>
  <c r="AW1161" i="2"/>
  <c r="AW1163" i="2"/>
  <c r="AW1167" i="2"/>
  <c r="AW1168" i="2"/>
  <c r="AW1169" i="2"/>
  <c r="AW1171" i="2"/>
  <c r="AW1175" i="2"/>
  <c r="AW1177" i="2"/>
  <c r="AW1179" i="2"/>
  <c r="AW1183" i="2"/>
  <c r="AW1185" i="2"/>
  <c r="AW1187" i="2"/>
  <c r="AW1191" i="2"/>
  <c r="AW1192" i="2"/>
  <c r="AW1193" i="2"/>
  <c r="AW1195" i="2"/>
  <c r="AW1199" i="2"/>
  <c r="AW1201" i="2"/>
  <c r="AW1203" i="2"/>
  <c r="AW1207" i="2"/>
  <c r="AW1209" i="2"/>
  <c r="AW1210" i="2"/>
  <c r="AW1211" i="2"/>
  <c r="AW1215" i="2"/>
  <c r="AW1216" i="2"/>
  <c r="AW1217" i="2"/>
  <c r="AW1218" i="2"/>
  <c r="AW1219" i="2"/>
  <c r="AW1223" i="2"/>
  <c r="AW1225" i="2"/>
  <c r="AW1227" i="2"/>
  <c r="AW1231" i="2"/>
  <c r="AW1233" i="2"/>
  <c r="AW1235" i="2"/>
  <c r="AW1238" i="2"/>
  <c r="AW1239" i="2"/>
  <c r="AW1241" i="2"/>
  <c r="AW1242" i="2"/>
  <c r="AW1243" i="2"/>
  <c r="AW1247" i="2"/>
  <c r="AW1248" i="2"/>
  <c r="AW1249" i="2"/>
  <c r="AW1251" i="2"/>
  <c r="AW1255" i="2"/>
  <c r="AW1256" i="2"/>
  <c r="AW1257" i="2"/>
  <c r="AW1259" i="2"/>
  <c r="AW1263" i="2"/>
  <c r="AW1264" i="2"/>
  <c r="AW1265" i="2"/>
  <c r="AW1266" i="2"/>
  <c r="AW1267" i="2"/>
  <c r="AW1270" i="2"/>
  <c r="AW1271" i="2"/>
  <c r="AW1272" i="2"/>
  <c r="AW1273" i="2"/>
  <c r="AW1275" i="2"/>
  <c r="AW1279" i="2"/>
  <c r="AW1281" i="2"/>
  <c r="AW1283" i="2"/>
  <c r="AW1287" i="2"/>
  <c r="AW1288" i="2"/>
  <c r="AW1289" i="2"/>
  <c r="AW1290" i="2"/>
  <c r="AW1291" i="2"/>
  <c r="AW1295" i="2"/>
  <c r="AW1297" i="2"/>
  <c r="AW1299" i="2"/>
  <c r="AW1302" i="2"/>
  <c r="AW1303" i="2"/>
  <c r="AW1304" i="2"/>
  <c r="AW1305" i="2"/>
  <c r="AW1306" i="2"/>
  <c r="AW1307" i="2"/>
  <c r="AW1311" i="2"/>
  <c r="AW1312" i="2"/>
  <c r="AW1313" i="2"/>
  <c r="AW1315" i="2"/>
  <c r="AW1319" i="2"/>
  <c r="AW1321" i="2"/>
  <c r="AW1322" i="2"/>
  <c r="AW1323" i="2"/>
  <c r="AW1327" i="2"/>
  <c r="AW1329" i="2"/>
  <c r="AW1330" i="2"/>
  <c r="AW1331" i="2"/>
  <c r="AW1335" i="2"/>
  <c r="AW1337" i="2"/>
  <c r="AW1339" i="2"/>
  <c r="AW1343" i="2"/>
  <c r="AW1345" i="2"/>
  <c r="AW1347" i="2"/>
  <c r="AW1351" i="2"/>
  <c r="AW1353" i="2"/>
  <c r="AW1354" i="2"/>
  <c r="AW1355" i="2"/>
  <c r="AW1359" i="2"/>
  <c r="AW1361" i="2"/>
  <c r="AW1362" i="2"/>
  <c r="AW1363" i="2"/>
  <c r="AW1367" i="2"/>
  <c r="AW1368" i="2"/>
  <c r="AW1369" i="2"/>
  <c r="AW1371" i="2"/>
  <c r="AW1375" i="2"/>
  <c r="AW1377" i="2"/>
  <c r="AW1379" i="2"/>
  <c r="AW1383" i="2"/>
  <c r="AW1385" i="2"/>
  <c r="AW1387" i="2"/>
  <c r="AW1391" i="2"/>
  <c r="AW1393" i="2"/>
  <c r="AW1394" i="2"/>
  <c r="AW1395" i="2"/>
  <c r="AW1399" i="2"/>
  <c r="AW1401" i="2"/>
  <c r="AW1403" i="2"/>
  <c r="AW1407" i="2"/>
  <c r="AW1409" i="2"/>
  <c r="AW1411" i="2"/>
  <c r="AW1415" i="2"/>
  <c r="AW1417" i="2"/>
  <c r="AW1418" i="2"/>
  <c r="AW1419" i="2"/>
  <c r="AW1423" i="2"/>
  <c r="AW1424" i="2"/>
  <c r="AW1425" i="2"/>
  <c r="AW1426" i="2"/>
  <c r="AW1427" i="2"/>
  <c r="AW1430" i="2"/>
  <c r="AW1431" i="2"/>
  <c r="AW1432" i="2"/>
  <c r="AW1433" i="2"/>
  <c r="AW1435" i="2"/>
  <c r="AW1439" i="2"/>
  <c r="AW1440" i="2"/>
  <c r="AW1441" i="2"/>
  <c r="AW1442" i="2"/>
  <c r="AW1443" i="2"/>
  <c r="AW1447" i="2"/>
  <c r="AW1448" i="2"/>
  <c r="AW1449" i="2"/>
  <c r="AW1451" i="2"/>
  <c r="AW1455" i="2"/>
  <c r="AW1456" i="2"/>
  <c r="AW1457" i="2"/>
  <c r="AW1459" i="2"/>
  <c r="AW1463" i="2"/>
  <c r="AW1465" i="2"/>
  <c r="AW1466" i="2"/>
  <c r="AW1467" i="2"/>
  <c r="AW1471" i="2"/>
  <c r="AW1472" i="2"/>
  <c r="AW1473" i="2"/>
  <c r="AW1475" i="2"/>
  <c r="AW1479" i="2"/>
  <c r="AW1481" i="2"/>
  <c r="AW1483" i="2"/>
  <c r="AW1487" i="2"/>
  <c r="AW1488" i="2"/>
  <c r="AW1489" i="2"/>
  <c r="AW1490" i="2"/>
  <c r="AW1491" i="2"/>
  <c r="AW1495" i="2"/>
  <c r="AW1496" i="2"/>
  <c r="AW1497" i="2"/>
  <c r="AW1499" i="2"/>
  <c r="AW1503" i="2"/>
  <c r="AW1505" i="2"/>
  <c r="AW1507" i="2"/>
  <c r="AW1511" i="2"/>
  <c r="AW1512" i="2"/>
  <c r="AW1513" i="2"/>
  <c r="AW1514" i="2"/>
  <c r="AW1515" i="2"/>
  <c r="AW1519" i="2"/>
  <c r="AW1521" i="2"/>
  <c r="AW1523" i="2"/>
  <c r="AW1526" i="2"/>
  <c r="AW1527" i="2"/>
  <c r="AW1529" i="2"/>
  <c r="AW1531" i="2"/>
  <c r="AW1535" i="2"/>
  <c r="AW1536" i="2"/>
  <c r="AW1537" i="2"/>
  <c r="AW1538" i="2"/>
  <c r="AW1539" i="2"/>
  <c r="AW1543" i="2"/>
  <c r="AW1544" i="2"/>
  <c r="AW1545" i="2"/>
  <c r="AW1547" i="2"/>
  <c r="AW1551" i="2"/>
  <c r="AW1552" i="2"/>
  <c r="AW1553" i="2"/>
  <c r="AW1555" i="2"/>
  <c r="AW1559" i="2"/>
  <c r="AW1561" i="2"/>
  <c r="AW1562" i="2"/>
  <c r="AW1563" i="2"/>
  <c r="AW1566" i="2"/>
  <c r="AW1567" i="2"/>
  <c r="AW1569" i="2"/>
  <c r="AW1571" i="2"/>
  <c r="AW1575" i="2"/>
  <c r="AW1576" i="2"/>
  <c r="AW1577" i="2"/>
  <c r="AW1579" i="2"/>
  <c r="AW1583" i="2"/>
  <c r="AW1585" i="2"/>
  <c r="AW1586" i="2"/>
  <c r="AW1587" i="2"/>
  <c r="AW1590" i="2"/>
  <c r="AW1591" i="2"/>
  <c r="AW1592" i="2"/>
  <c r="AW1593" i="2"/>
  <c r="AW1595" i="2"/>
  <c r="AW1599" i="2"/>
  <c r="AW1601" i="2"/>
  <c r="AW1603" i="2"/>
  <c r="AW1607" i="2"/>
  <c r="AW1608" i="2"/>
  <c r="AW1609" i="2"/>
  <c r="AW1610" i="2"/>
  <c r="AW1611" i="2"/>
  <c r="AW1615" i="2"/>
  <c r="AW1616" i="2"/>
  <c r="AW1617" i="2"/>
  <c r="AW1619" i="2"/>
  <c r="AW1622" i="2"/>
  <c r="AW1623" i="2"/>
  <c r="AW1624" i="2"/>
  <c r="AW1625" i="2"/>
  <c r="AW1627" i="2"/>
  <c r="AW1631" i="2"/>
  <c r="AW1632" i="2"/>
  <c r="AW1633" i="2"/>
  <c r="AW1634" i="2"/>
  <c r="AW1635" i="2"/>
  <c r="AW1639" i="2"/>
  <c r="AW1640" i="2"/>
  <c r="AW1641" i="2"/>
  <c r="AW1643" i="2"/>
  <c r="AW1647" i="2"/>
  <c r="AW1648" i="2"/>
  <c r="AW1649" i="2"/>
  <c r="AW1651" i="2"/>
  <c r="AW1654" i="2"/>
  <c r="AW1655" i="2"/>
  <c r="AW1656" i="2"/>
  <c r="AW1657" i="2"/>
  <c r="AW1658" i="2"/>
  <c r="AW1659" i="2"/>
  <c r="AW1663" i="2"/>
  <c r="AW1664" i="2"/>
  <c r="AW1665" i="2"/>
  <c r="AW1667" i="2"/>
  <c r="AW1671" i="2"/>
  <c r="AW1672" i="2"/>
  <c r="AW1673" i="2"/>
  <c r="AW1675" i="2"/>
  <c r="AW1679" i="2"/>
  <c r="AW1680" i="2"/>
  <c r="AW1681" i="2"/>
  <c r="AW1682" i="2"/>
  <c r="AW1683" i="2"/>
  <c r="AW1686" i="2"/>
  <c r="AW1687" i="2"/>
  <c r="AW1688" i="2"/>
  <c r="AW1689" i="2"/>
  <c r="AW1691" i="2"/>
  <c r="AW1694" i="2"/>
  <c r="AW1695" i="2"/>
  <c r="AW1696" i="2"/>
  <c r="AW1697" i="2"/>
  <c r="AW1698" i="2"/>
  <c r="AW1699" i="2"/>
  <c r="AW1703" i="2"/>
  <c r="AW1704" i="2"/>
  <c r="AW1705" i="2"/>
  <c r="AW1706" i="2"/>
  <c r="AW1707" i="2"/>
  <c r="AW1711" i="2"/>
  <c r="AW1712" i="2"/>
  <c r="AW1713" i="2"/>
  <c r="AW1715" i="2"/>
  <c r="AW1719" i="2"/>
  <c r="AW1720" i="2"/>
  <c r="AW1721" i="2"/>
  <c r="AW1722" i="2"/>
  <c r="AW1723" i="2"/>
  <c r="AW1727" i="2"/>
  <c r="AW1728" i="2"/>
  <c r="AW1729" i="2"/>
  <c r="AW1730" i="2"/>
  <c r="AW1731" i="2"/>
  <c r="AW1735" i="2"/>
  <c r="AW1736" i="2"/>
  <c r="AW1737" i="2"/>
  <c r="AW1738" i="2"/>
  <c r="AW1739" i="2"/>
  <c r="AW1743" i="2"/>
  <c r="AW1744" i="2"/>
  <c r="AW1745" i="2"/>
  <c r="AW1746" i="2"/>
  <c r="AW1747" i="2"/>
  <c r="AW1750" i="2"/>
  <c r="AW1751" i="2"/>
  <c r="AW1752" i="2"/>
  <c r="AW1753" i="2"/>
  <c r="AW1754" i="2"/>
  <c r="AW1755" i="2"/>
  <c r="AW1758" i="2"/>
  <c r="AW1759" i="2"/>
  <c r="AW1760" i="2"/>
  <c r="AW1761" i="2"/>
  <c r="AW1762" i="2"/>
  <c r="AW1763" i="2"/>
  <c r="AW1767" i="2"/>
  <c r="AW1768" i="2"/>
  <c r="AW1769" i="2"/>
  <c r="AW1771" i="2"/>
  <c r="AW1774" i="2"/>
  <c r="AW1775" i="2"/>
  <c r="AW1776" i="2"/>
  <c r="AW1777" i="2"/>
  <c r="AW1778" i="2"/>
  <c r="AW1779" i="2"/>
  <c r="AW1782" i="2"/>
  <c r="AW1783" i="2"/>
  <c r="AW1784" i="2"/>
  <c r="AW1785" i="2"/>
  <c r="AW1786" i="2"/>
  <c r="AW1787" i="2"/>
  <c r="AW1791" i="2"/>
  <c r="AW1792" i="2"/>
  <c r="AW1793" i="2"/>
  <c r="AW1794" i="2"/>
  <c r="AW1795" i="2"/>
  <c r="AW1798" i="2"/>
  <c r="AW1799" i="2"/>
  <c r="AW1800" i="2"/>
  <c r="AW1801" i="2"/>
  <c r="AW1803" i="2"/>
  <c r="AW1806" i="2"/>
  <c r="AW1807" i="2"/>
  <c r="AW1808" i="2"/>
  <c r="AW1809" i="2"/>
  <c r="AW1810" i="2"/>
  <c r="AW1811" i="2"/>
  <c r="AW1814" i="2"/>
  <c r="AW1815" i="2"/>
  <c r="AW1816" i="2"/>
  <c r="AW1817" i="2"/>
  <c r="AW1818" i="2"/>
  <c r="AW1819" i="2"/>
  <c r="AW1823" i="2"/>
  <c r="AW1824" i="2"/>
  <c r="AW1825" i="2"/>
  <c r="AW1826" i="2"/>
  <c r="AW1827" i="2"/>
  <c r="AW1831" i="2"/>
  <c r="AW1832" i="2"/>
  <c r="AW1833" i="2"/>
  <c r="AW1835" i="2"/>
  <c r="AW1838" i="2"/>
  <c r="AW1839" i="2"/>
  <c r="AW1840" i="2"/>
  <c r="AW1841" i="2"/>
  <c r="AW1842" i="2"/>
  <c r="AW1843" i="2"/>
  <c r="AW1846" i="2"/>
  <c r="AW1847" i="2"/>
  <c r="AW1848" i="2"/>
  <c r="AW1849" i="2"/>
  <c r="AW1850" i="2"/>
  <c r="AW1851" i="2"/>
  <c r="AW1854" i="2"/>
  <c r="AW1855" i="2"/>
  <c r="AW1856" i="2"/>
  <c r="AW1857" i="2"/>
  <c r="AW1858" i="2"/>
  <c r="AW1859" i="2"/>
  <c r="AW1862" i="2"/>
  <c r="AW1863" i="2"/>
  <c r="AW1864" i="2"/>
  <c r="AW1865" i="2"/>
  <c r="AW1867" i="2"/>
  <c r="AW1870" i="2"/>
  <c r="AW1871" i="2"/>
  <c r="AW1872" i="2"/>
  <c r="AW1873" i="2"/>
  <c r="AW1874" i="2"/>
  <c r="AW1875" i="2"/>
  <c r="AW1879" i="2"/>
  <c r="AW1880" i="2"/>
  <c r="AW1881" i="2"/>
  <c r="AW1882" i="2"/>
  <c r="AW1883" i="2"/>
  <c r="AW1886" i="2"/>
  <c r="AW1887" i="2"/>
  <c r="AW1888" i="2"/>
  <c r="AW1889" i="2"/>
  <c r="AW1890" i="2"/>
  <c r="AW1891" i="2"/>
  <c r="AW1894" i="2"/>
  <c r="AW1895" i="2"/>
  <c r="AW1896" i="2"/>
  <c r="AW1897" i="2"/>
  <c r="AW1899" i="2"/>
  <c r="AW1902" i="2"/>
  <c r="AW1903" i="2"/>
  <c r="AW1904" i="2"/>
  <c r="AW1905" i="2"/>
  <c r="AW1906" i="2"/>
  <c r="AW1907" i="2"/>
  <c r="AW1910" i="2"/>
  <c r="AW1911" i="2"/>
  <c r="AW1912" i="2"/>
  <c r="AW1913" i="2"/>
  <c r="AW1914" i="2"/>
  <c r="AW1915" i="2"/>
  <c r="AW1919" i="2"/>
  <c r="AW1920" i="2"/>
  <c r="AW1921" i="2"/>
  <c r="AW1922" i="2"/>
  <c r="AW1923" i="2"/>
  <c r="AW1927" i="2"/>
  <c r="AW1928" i="2"/>
  <c r="AW1929" i="2"/>
  <c r="AW1930" i="2"/>
  <c r="AW1931" i="2"/>
  <c r="AW1935" i="2"/>
  <c r="AW1936" i="2"/>
  <c r="AW1937" i="2"/>
  <c r="AW1938" i="2"/>
  <c r="AW1939" i="2"/>
  <c r="AW1943" i="2"/>
  <c r="AW1944" i="2"/>
  <c r="AW1945" i="2"/>
  <c r="AW1947" i="2"/>
  <c r="AW1951" i="2"/>
  <c r="AW1952" i="2"/>
  <c r="AW1953" i="2"/>
  <c r="AW1955" i="2"/>
  <c r="AW1959" i="2"/>
  <c r="AW1960" i="2"/>
  <c r="AW1961" i="2"/>
  <c r="AW1962" i="2"/>
  <c r="AW1963" i="2"/>
  <c r="AW1967" i="2"/>
  <c r="AW1968" i="2"/>
  <c r="AW1969" i="2"/>
  <c r="AW1971" i="2"/>
  <c r="AW1975" i="2"/>
  <c r="AW1976" i="2"/>
  <c r="AW1977" i="2"/>
  <c r="AW1978" i="2"/>
  <c r="AW1979" i="2"/>
  <c r="AW1983" i="2"/>
  <c r="AW1984" i="2"/>
  <c r="AW1985" i="2"/>
  <c r="AW1986" i="2"/>
  <c r="AW1987" i="2"/>
  <c r="AW1991" i="2"/>
  <c r="AW1992" i="2"/>
  <c r="AW1993" i="2"/>
  <c r="AW1994" i="2"/>
  <c r="AW1995" i="2"/>
  <c r="AW1999" i="2"/>
  <c r="AW2000" i="2"/>
  <c r="AW2001" i="2"/>
  <c r="AW2002" i="2"/>
  <c r="AW2003" i="2"/>
  <c r="AW2007" i="2"/>
  <c r="AW2008" i="2"/>
  <c r="AW2009" i="2"/>
  <c r="AW2011" i="2"/>
  <c r="AW2015" i="2"/>
  <c r="AW2016" i="2"/>
  <c r="AW2017" i="2"/>
  <c r="AW2019" i="2"/>
  <c r="AW2023" i="2"/>
  <c r="AW2024" i="2"/>
  <c r="AW2025" i="2"/>
  <c r="AW2026" i="2"/>
  <c r="AW2027" i="2"/>
  <c r="AW2031" i="2"/>
  <c r="AW2032" i="2"/>
  <c r="AW2033" i="2"/>
  <c r="AW2035" i="2"/>
  <c r="AW2039" i="2"/>
  <c r="AW2040" i="2"/>
  <c r="AW2041" i="2"/>
  <c r="AW2042" i="2"/>
  <c r="AW2043" i="2"/>
  <c r="AW2047" i="2"/>
  <c r="AW2048" i="2"/>
  <c r="AW2049" i="2"/>
  <c r="AW2050" i="2"/>
  <c r="AW2051" i="2"/>
  <c r="AW2055" i="2"/>
  <c r="AW2056" i="2"/>
  <c r="AW2057" i="2"/>
  <c r="AW2058" i="2"/>
  <c r="AW2059" i="2"/>
  <c r="AW2063" i="2"/>
  <c r="AW2064" i="2"/>
  <c r="AW2065" i="2"/>
  <c r="AW2066" i="2"/>
  <c r="AW2067" i="2"/>
  <c r="AW2071" i="2"/>
  <c r="AW2072" i="2"/>
  <c r="AW2073" i="2"/>
  <c r="AW2075" i="2"/>
  <c r="AW2079" i="2"/>
  <c r="AW2080" i="2"/>
  <c r="AW2081" i="2"/>
  <c r="AW2083" i="2"/>
  <c r="AW2087" i="2"/>
  <c r="AW2088" i="2"/>
  <c r="AW2089" i="2"/>
  <c r="AW2090" i="2"/>
  <c r="AW2091" i="2"/>
  <c r="AW2095" i="2"/>
  <c r="AW2096" i="2"/>
  <c r="AW2097" i="2"/>
  <c r="AW2099" i="2"/>
  <c r="AW2103" i="2"/>
  <c r="AW2104" i="2"/>
  <c r="AW2105" i="2"/>
  <c r="AW2106" i="2"/>
  <c r="AW2107" i="2"/>
  <c r="AW2110" i="2"/>
  <c r="AW2111" i="2"/>
  <c r="AW2112" i="2"/>
  <c r="AW2113" i="2"/>
  <c r="AW2114" i="2"/>
  <c r="AW2115" i="2"/>
  <c r="AW2118" i="2"/>
  <c r="AW2119" i="2"/>
  <c r="AW2120" i="2"/>
  <c r="AW2121" i="2"/>
  <c r="AW2123" i="2"/>
  <c r="AW2126" i="2"/>
  <c r="AW2127" i="2"/>
  <c r="AW2128" i="2"/>
  <c r="AW2129" i="2"/>
  <c r="AW2130" i="2"/>
  <c r="AW2131" i="2"/>
  <c r="AW2134" i="2"/>
  <c r="AW2135" i="2"/>
  <c r="AW2136" i="2"/>
  <c r="AW2137" i="2"/>
  <c r="AW2138" i="2"/>
  <c r="AW2139" i="2"/>
  <c r="AW2142" i="2"/>
  <c r="AW2143" i="2"/>
  <c r="AW2144" i="2"/>
  <c r="AW2145" i="2"/>
  <c r="AW2146" i="2"/>
  <c r="AW2147" i="2"/>
  <c r="AW2150" i="2"/>
  <c r="AW2151" i="2"/>
  <c r="AW2152" i="2"/>
  <c r="AW2153" i="2"/>
  <c r="AW2155" i="2"/>
  <c r="AW2158" i="2"/>
  <c r="AW2159" i="2"/>
  <c r="AW2160" i="2"/>
  <c r="AW2161" i="2"/>
  <c r="AW2162" i="2"/>
  <c r="AW2163" i="2"/>
  <c r="AW2166" i="2"/>
  <c r="AW2167" i="2"/>
  <c r="AW2168" i="2"/>
  <c r="AW2169" i="2"/>
  <c r="AW2170" i="2"/>
  <c r="AW2171" i="2"/>
  <c r="AW2174" i="2"/>
  <c r="AW2175" i="2"/>
  <c r="AW2176" i="2"/>
  <c r="AW2177" i="2"/>
  <c r="AW2178" i="2"/>
  <c r="AW2179" i="2"/>
  <c r="AW2182" i="2"/>
  <c r="AW2183" i="2"/>
  <c r="AW2184" i="2"/>
  <c r="AW2185" i="2"/>
  <c r="AW2187" i="2"/>
  <c r="AW2190" i="2"/>
  <c r="AW2191" i="2"/>
  <c r="AW2192" i="2"/>
  <c r="AW2193" i="2"/>
  <c r="AW2194" i="2"/>
  <c r="AW2195" i="2"/>
  <c r="AW2198" i="2"/>
  <c r="AW2199" i="2"/>
  <c r="AW2200" i="2"/>
  <c r="AW2201" i="2"/>
  <c r="AW2202" i="2"/>
  <c r="AW2203" i="2"/>
  <c r="AW2206" i="2"/>
  <c r="AW2207" i="2"/>
  <c r="AW2208" i="2"/>
  <c r="AW2209" i="2"/>
  <c r="AW2210" i="2"/>
  <c r="AW2211" i="2"/>
  <c r="AW2214" i="2"/>
  <c r="AW2215" i="2"/>
  <c r="AW2216" i="2"/>
  <c r="AW2217" i="2"/>
  <c r="AW2219" i="2"/>
  <c r="AW2222" i="2"/>
  <c r="AW2223" i="2"/>
  <c r="AW2224" i="2"/>
  <c r="AW2225" i="2"/>
  <c r="AW2226" i="2"/>
  <c r="AW2227" i="2"/>
  <c r="AW2230" i="2"/>
  <c r="AW2231" i="2"/>
  <c r="AW2232" i="2"/>
  <c r="AW2233" i="2"/>
  <c r="AW2234" i="2"/>
  <c r="AW2235" i="2"/>
  <c r="AW2238" i="2"/>
  <c r="AW2239" i="2"/>
  <c r="AW2240" i="2"/>
  <c r="AW2241" i="2"/>
  <c r="AW2242" i="2"/>
  <c r="AW2243" i="2"/>
  <c r="AW2246" i="2"/>
  <c r="AW2247" i="2"/>
  <c r="AW2248" i="2"/>
  <c r="AW2249" i="2"/>
  <c r="AW2251" i="2"/>
  <c r="AW2254" i="2"/>
  <c r="AW2255" i="2"/>
  <c r="AW2256" i="2"/>
  <c r="AW2257" i="2"/>
  <c r="AW2258" i="2"/>
  <c r="AW2259" i="2"/>
  <c r="AW2262" i="2"/>
  <c r="AW2263" i="2"/>
  <c r="AW2264" i="2"/>
  <c r="AW2265" i="2"/>
  <c r="AW2266" i="2"/>
  <c r="AW2267" i="2"/>
  <c r="AW2270" i="2"/>
  <c r="AW2271" i="2"/>
  <c r="AW2272" i="2"/>
  <c r="AW2273" i="2"/>
  <c r="AW2274" i="2"/>
  <c r="AW2275" i="2"/>
  <c r="AW2278" i="2"/>
  <c r="AW2279" i="2"/>
  <c r="AW2280" i="2"/>
  <c r="AW2281" i="2"/>
  <c r="AW2283" i="2"/>
  <c r="AW2286" i="2"/>
  <c r="AW2287" i="2"/>
  <c r="AW2288" i="2"/>
  <c r="AW2289" i="2"/>
  <c r="AW2290" i="2"/>
  <c r="AW2291" i="2"/>
  <c r="AW2294" i="2"/>
  <c r="AW2295" i="2"/>
  <c r="AW2296" i="2"/>
  <c r="AW2297" i="2"/>
  <c r="AW2298" i="2"/>
  <c r="AW2299" i="2"/>
  <c r="AW2302" i="2"/>
  <c r="AW2303" i="2"/>
  <c r="AW2304" i="2"/>
  <c r="AW2305" i="2"/>
  <c r="AW2306" i="2"/>
  <c r="AW2307" i="2"/>
  <c r="AW2310" i="2"/>
  <c r="AW2311" i="2"/>
  <c r="AW2312" i="2"/>
  <c r="AW2313" i="2"/>
  <c r="AW2315" i="2"/>
  <c r="AW2318" i="2"/>
  <c r="AW2319" i="2"/>
  <c r="AW2320" i="2"/>
  <c r="AW2321" i="2"/>
  <c r="AW2322" i="2"/>
  <c r="AW2323" i="2"/>
  <c r="AW2326" i="2"/>
  <c r="AW2327" i="2"/>
  <c r="AW2328" i="2"/>
  <c r="AW2329" i="2"/>
  <c r="AW2330" i="2"/>
  <c r="AW2331" i="2"/>
  <c r="AW2334" i="2"/>
  <c r="AW2335" i="2"/>
  <c r="AW2336" i="2"/>
  <c r="AW2337" i="2"/>
  <c r="AW2338" i="2"/>
  <c r="AW2339" i="2"/>
  <c r="AW2342" i="2"/>
  <c r="AW2343" i="2"/>
  <c r="AW2344" i="2"/>
  <c r="AW2345" i="2"/>
  <c r="AW2347" i="2"/>
  <c r="AW2350" i="2"/>
  <c r="AW2351" i="2"/>
  <c r="AW2352" i="2"/>
  <c r="AW2353" i="2"/>
  <c r="AW2354" i="2"/>
  <c r="AW2355" i="2"/>
  <c r="AW2359" i="2"/>
  <c r="AW2360" i="2"/>
  <c r="AW2361" i="2"/>
  <c r="AW2362" i="2"/>
  <c r="AW2363" i="2"/>
  <c r="AW2367" i="2"/>
  <c r="AW2368" i="2"/>
  <c r="AW2369" i="2"/>
  <c r="AW2371" i="2"/>
  <c r="AW2374" i="2"/>
  <c r="AW2375" i="2"/>
  <c r="AW2376" i="2"/>
  <c r="AW2377" i="2"/>
  <c r="AW2378" i="2"/>
  <c r="AW2379" i="2"/>
  <c r="AW2383" i="2"/>
  <c r="AW2384" i="2"/>
  <c r="AW2385" i="2"/>
  <c r="AW2386" i="2"/>
  <c r="AW2387" i="2"/>
  <c r="AW2391" i="2"/>
  <c r="AW2392" i="2"/>
  <c r="AW2393" i="2"/>
  <c r="AW2395" i="2"/>
  <c r="AW2399" i="2"/>
  <c r="AW2400" i="2"/>
  <c r="AW2401" i="2"/>
  <c r="AW2403" i="2"/>
  <c r="AW2407" i="2"/>
  <c r="AW2408" i="2"/>
  <c r="AW2409" i="2"/>
  <c r="AW2410" i="2"/>
  <c r="AW2411" i="2"/>
  <c r="AW2415" i="2"/>
  <c r="AW2416" i="2"/>
  <c r="AW2417" i="2"/>
  <c r="AW2418" i="2"/>
  <c r="AW2419" i="2"/>
  <c r="AW2423" i="2"/>
  <c r="AW2424" i="2"/>
  <c r="AW2425" i="2"/>
  <c r="AW2426" i="2"/>
  <c r="AW2427" i="2"/>
  <c r="AX2427" i="2"/>
  <c r="AV2427" i="2"/>
  <c r="AV2426" i="2"/>
  <c r="AX2425" i="2"/>
  <c r="AV2425" i="2"/>
  <c r="AX2424" i="2"/>
  <c r="AV2424" i="2"/>
  <c r="AX2423" i="2"/>
  <c r="AV2423" i="2"/>
  <c r="AX2419" i="2"/>
  <c r="AV2419" i="2"/>
  <c r="AX2418" i="2"/>
  <c r="AV2418" i="2"/>
  <c r="AX2417" i="2"/>
  <c r="AV2417" i="2"/>
  <c r="AX2416" i="2"/>
  <c r="AV2416" i="2"/>
  <c r="AX2415" i="2"/>
  <c r="AV2415" i="2"/>
  <c r="AX2411" i="2"/>
  <c r="AV2411" i="2"/>
  <c r="AX2410" i="2"/>
  <c r="AX2409" i="2"/>
  <c r="AV2409" i="2"/>
  <c r="AX2408" i="2"/>
  <c r="AV2408" i="2"/>
  <c r="AX2407" i="2"/>
  <c r="AV2407" i="2"/>
  <c r="AX2403" i="2"/>
  <c r="AV2403" i="2"/>
  <c r="AX2402" i="2"/>
  <c r="AV2402" i="2"/>
  <c r="AX2401" i="2"/>
  <c r="AV2401" i="2"/>
  <c r="AX2400" i="2"/>
  <c r="AV2400" i="2"/>
  <c r="AX2399" i="2"/>
  <c r="AV2399" i="2"/>
  <c r="AX2395" i="2"/>
  <c r="AV2395" i="2"/>
  <c r="AV2394" i="2"/>
  <c r="AX2393" i="2"/>
  <c r="AV2393" i="2"/>
  <c r="AX2392" i="2"/>
  <c r="AV2392" i="2"/>
  <c r="AX2391" i="2"/>
  <c r="AV2391" i="2"/>
  <c r="AX2387" i="2"/>
  <c r="AV2387" i="2"/>
  <c r="AX2386" i="2"/>
  <c r="AV2386" i="2"/>
  <c r="AX2385" i="2"/>
  <c r="AV2385" i="2"/>
  <c r="AX2384" i="2"/>
  <c r="AV2384" i="2"/>
  <c r="AX2383" i="2"/>
  <c r="AV2383" i="2"/>
  <c r="AX2379" i="2"/>
  <c r="AV2379" i="2"/>
  <c r="AX2378" i="2"/>
  <c r="AX2377" i="2"/>
  <c r="AV2377" i="2"/>
  <c r="AX2376" i="2"/>
  <c r="AV2376" i="2"/>
  <c r="AX2375" i="2"/>
  <c r="AV2375" i="2"/>
  <c r="AX2374" i="2"/>
  <c r="AX2371" i="2"/>
  <c r="AV2371" i="2"/>
  <c r="AX2370" i="2"/>
  <c r="AX2369" i="2"/>
  <c r="AV2369" i="2"/>
  <c r="AX2368" i="2"/>
  <c r="AV2368" i="2"/>
  <c r="AX2367" i="2"/>
  <c r="AV2367" i="2"/>
  <c r="AX2363" i="2"/>
  <c r="AV2363" i="2"/>
  <c r="AX2362" i="2"/>
  <c r="AV2362" i="2"/>
  <c r="AX2361" i="2"/>
  <c r="AV2361" i="2"/>
  <c r="AX2360" i="2"/>
  <c r="AV2360" i="2"/>
  <c r="AX2359" i="2"/>
  <c r="AV2359" i="2"/>
  <c r="AV2358" i="2"/>
  <c r="AX2355" i="2"/>
  <c r="AV2355" i="2"/>
  <c r="AX2354" i="2"/>
  <c r="AX2353" i="2"/>
  <c r="AV2353" i="2"/>
  <c r="AX2352" i="2"/>
  <c r="AV2352" i="2"/>
  <c r="AX2351" i="2"/>
  <c r="AV2351" i="2"/>
  <c r="AX2350" i="2"/>
  <c r="AV2350" i="2"/>
  <c r="AX2347" i="2"/>
  <c r="AV2347" i="2"/>
  <c r="AV2346" i="2"/>
  <c r="AX2345" i="2"/>
  <c r="AV2345" i="2"/>
  <c r="AX2344" i="2"/>
  <c r="AV2344" i="2"/>
  <c r="AX2343" i="2"/>
  <c r="AV2343" i="2"/>
  <c r="AX2342" i="2"/>
  <c r="AV2342" i="2"/>
  <c r="AX2339" i="2"/>
  <c r="AV2339" i="2"/>
  <c r="AX2338" i="2"/>
  <c r="AX2337" i="2"/>
  <c r="AV2337" i="2"/>
  <c r="AX2336" i="2"/>
  <c r="AV2336" i="2"/>
  <c r="AX2335" i="2"/>
  <c r="AV2335" i="2"/>
  <c r="AX2334" i="2"/>
  <c r="AV2334" i="2"/>
  <c r="AX2331" i="2"/>
  <c r="AV2331" i="2"/>
  <c r="AV2330" i="2"/>
  <c r="AX2329" i="2"/>
  <c r="AV2329" i="2"/>
  <c r="AX2328" i="2"/>
  <c r="AV2328" i="2"/>
  <c r="AX2327" i="2"/>
  <c r="AV2327" i="2"/>
  <c r="AX2326" i="2"/>
  <c r="AV2326" i="2"/>
  <c r="AX2323" i="2"/>
  <c r="AV2323" i="2"/>
  <c r="AX2322" i="2"/>
  <c r="AX2321" i="2"/>
  <c r="AV2321" i="2"/>
  <c r="AX2320" i="2"/>
  <c r="AV2320" i="2"/>
  <c r="AX2319" i="2"/>
  <c r="AV2319" i="2"/>
  <c r="AX2318" i="2"/>
  <c r="AV2318" i="2"/>
  <c r="AX2315" i="2"/>
  <c r="AV2315" i="2"/>
  <c r="AX2314" i="2"/>
  <c r="AV2314" i="2"/>
  <c r="AX2313" i="2"/>
  <c r="AV2313" i="2"/>
  <c r="AX2312" i="2"/>
  <c r="AV2312" i="2"/>
  <c r="AX2311" i="2"/>
  <c r="AV2311" i="2"/>
  <c r="AX2310" i="2"/>
  <c r="AV2310" i="2"/>
  <c r="AX2307" i="2"/>
  <c r="AV2307" i="2"/>
  <c r="AX2306" i="2"/>
  <c r="AV2306" i="2"/>
  <c r="AX2305" i="2"/>
  <c r="AV2305" i="2"/>
  <c r="AX2304" i="2"/>
  <c r="AV2304" i="2"/>
  <c r="AX2303" i="2"/>
  <c r="AV2303" i="2"/>
  <c r="AX2302" i="2"/>
  <c r="AV2302" i="2"/>
  <c r="AX2299" i="2"/>
  <c r="AV2299" i="2"/>
  <c r="AX2298" i="2"/>
  <c r="AV2298" i="2"/>
  <c r="AX2297" i="2"/>
  <c r="AV2297" i="2"/>
  <c r="AX2296" i="2"/>
  <c r="AV2296" i="2"/>
  <c r="AX2295" i="2"/>
  <c r="AV2295" i="2"/>
  <c r="AX2294" i="2"/>
  <c r="AV2294" i="2"/>
  <c r="AX2291" i="2"/>
  <c r="AV2291" i="2"/>
  <c r="AX2290" i="2"/>
  <c r="AV2290" i="2"/>
  <c r="AX2289" i="2"/>
  <c r="AV2289" i="2"/>
  <c r="AX2288" i="2"/>
  <c r="AV2288" i="2"/>
  <c r="AX2287" i="2"/>
  <c r="AV2287" i="2"/>
  <c r="AX2286" i="2"/>
  <c r="AV2286" i="2"/>
  <c r="AX2283" i="2"/>
  <c r="AV2283" i="2"/>
  <c r="AX2282" i="2"/>
  <c r="AV2282" i="2"/>
  <c r="AX2281" i="2"/>
  <c r="AV2281" i="2"/>
  <c r="AX2280" i="2"/>
  <c r="AV2280" i="2"/>
  <c r="AX2279" i="2"/>
  <c r="AV2279" i="2"/>
  <c r="AX2278" i="2"/>
  <c r="AV2278" i="2"/>
  <c r="AX2275" i="2"/>
  <c r="AV2275" i="2"/>
  <c r="AX2274" i="2"/>
  <c r="AV2274" i="2"/>
  <c r="AX2273" i="2"/>
  <c r="AV2273" i="2"/>
  <c r="AX2272" i="2"/>
  <c r="AV2272" i="2"/>
  <c r="AX2271" i="2"/>
  <c r="AV2271" i="2"/>
  <c r="AX2270" i="2"/>
  <c r="AV2270" i="2"/>
  <c r="AX2267" i="2"/>
  <c r="AV2267" i="2"/>
  <c r="AX2266" i="2"/>
  <c r="AV2266" i="2"/>
  <c r="AX2265" i="2"/>
  <c r="AV2265" i="2"/>
  <c r="AX2264" i="2"/>
  <c r="AV2264" i="2"/>
  <c r="AX2263" i="2"/>
  <c r="AV2263" i="2"/>
  <c r="AX2262" i="2"/>
  <c r="AV2262" i="2"/>
  <c r="AX2259" i="2"/>
  <c r="AV2259" i="2"/>
  <c r="AX2258" i="2"/>
  <c r="AV2258" i="2"/>
  <c r="AX2257" i="2"/>
  <c r="AV2257" i="2"/>
  <c r="AX2256" i="2"/>
  <c r="AV2256" i="2"/>
  <c r="AX2255" i="2"/>
  <c r="AV2255" i="2"/>
  <c r="AX2254" i="2"/>
  <c r="AV2254" i="2"/>
  <c r="AX2251" i="2"/>
  <c r="AV2251" i="2"/>
  <c r="AX2250" i="2"/>
  <c r="AV2250" i="2"/>
  <c r="AX2249" i="2"/>
  <c r="AV2249" i="2"/>
  <c r="AX2248" i="2"/>
  <c r="AV2248" i="2"/>
  <c r="AX2247" i="2"/>
  <c r="AV2247" i="2"/>
  <c r="AX2246" i="2"/>
  <c r="AV2246" i="2"/>
  <c r="AX2243" i="2"/>
  <c r="AV2243" i="2"/>
  <c r="AX2242" i="2"/>
  <c r="AV2242" i="2"/>
  <c r="AX2241" i="2"/>
  <c r="AV2241" i="2"/>
  <c r="AX2240" i="2"/>
  <c r="AV2240" i="2"/>
  <c r="AX2239" i="2"/>
  <c r="AV2239" i="2"/>
  <c r="AX2238" i="2"/>
  <c r="AV2238" i="2"/>
  <c r="AX2235" i="2"/>
  <c r="AV2235" i="2"/>
  <c r="AX2234" i="2"/>
  <c r="AV2234" i="2"/>
  <c r="AX2233" i="2"/>
  <c r="AV2233" i="2"/>
  <c r="AX2232" i="2"/>
  <c r="AV2232" i="2"/>
  <c r="AX2231" i="2"/>
  <c r="AV2231" i="2"/>
  <c r="AX2230" i="2"/>
  <c r="AV2230" i="2"/>
  <c r="AX2227" i="2"/>
  <c r="AV2227" i="2"/>
  <c r="AX2226" i="2"/>
  <c r="AV2226" i="2"/>
  <c r="AX2225" i="2"/>
  <c r="AV2225" i="2"/>
  <c r="AX2224" i="2"/>
  <c r="AV2224" i="2"/>
  <c r="AX2223" i="2"/>
  <c r="AV2223" i="2"/>
  <c r="AX2222" i="2"/>
  <c r="AV2222" i="2"/>
  <c r="AX2219" i="2"/>
  <c r="AV2219" i="2"/>
  <c r="AX2218" i="2"/>
  <c r="AV2218" i="2"/>
  <c r="AX2217" i="2"/>
  <c r="AV2217" i="2"/>
  <c r="AX2216" i="2"/>
  <c r="AV2216" i="2"/>
  <c r="AX2215" i="2"/>
  <c r="AV2215" i="2"/>
  <c r="AX2214" i="2"/>
  <c r="AV2214" i="2"/>
  <c r="AX2211" i="2"/>
  <c r="AV2211" i="2"/>
  <c r="AX2210" i="2"/>
  <c r="AV2210" i="2"/>
  <c r="AX2209" i="2"/>
  <c r="AV2209" i="2"/>
  <c r="AX2208" i="2"/>
  <c r="AV2208" i="2"/>
  <c r="AX2207" i="2"/>
  <c r="AV2207" i="2"/>
  <c r="AX2206" i="2"/>
  <c r="AV2206" i="2"/>
  <c r="AX2203" i="2"/>
  <c r="AV2203" i="2"/>
  <c r="AX2202" i="2"/>
  <c r="AV2202" i="2"/>
  <c r="AX2201" i="2"/>
  <c r="AV2201" i="2"/>
  <c r="AX2200" i="2"/>
  <c r="AV2200" i="2"/>
  <c r="AX2199" i="2"/>
  <c r="AV2199" i="2"/>
  <c r="AX2198" i="2"/>
  <c r="AV2198" i="2"/>
  <c r="AX2195" i="2"/>
  <c r="AV2195" i="2"/>
  <c r="AX2194" i="2"/>
  <c r="AV2194" i="2"/>
  <c r="AX2193" i="2"/>
  <c r="AV2193" i="2"/>
  <c r="AX2192" i="2"/>
  <c r="AV2192" i="2"/>
  <c r="AX2191" i="2"/>
  <c r="AV2191" i="2"/>
  <c r="AX2190" i="2"/>
  <c r="AV2190" i="2"/>
  <c r="AX2187" i="2"/>
  <c r="AV2187" i="2"/>
  <c r="AX2186" i="2"/>
  <c r="AV2186" i="2"/>
  <c r="AX2185" i="2"/>
  <c r="AV2185" i="2"/>
  <c r="AX2184" i="2"/>
  <c r="AV2184" i="2"/>
  <c r="AX2183" i="2"/>
  <c r="AV2183" i="2"/>
  <c r="AX2182" i="2"/>
  <c r="AV2182" i="2"/>
  <c r="AX2179" i="2"/>
  <c r="AV2179" i="2"/>
  <c r="AX2178" i="2"/>
  <c r="AV2178" i="2"/>
  <c r="AX2177" i="2"/>
  <c r="AV2177" i="2"/>
  <c r="AX2176" i="2"/>
  <c r="AV2176" i="2"/>
  <c r="AX2175" i="2"/>
  <c r="AV2175" i="2"/>
  <c r="AX2174" i="2"/>
  <c r="AV2174" i="2"/>
  <c r="AX2171" i="2"/>
  <c r="AV2171" i="2"/>
  <c r="AX2170" i="2"/>
  <c r="AV2170" i="2"/>
  <c r="AX2169" i="2"/>
  <c r="AV2169" i="2"/>
  <c r="AX2168" i="2"/>
  <c r="AV2168" i="2"/>
  <c r="AX2167" i="2"/>
  <c r="AV2167" i="2"/>
  <c r="AX2166" i="2"/>
  <c r="AV2166" i="2"/>
  <c r="AX2163" i="2"/>
  <c r="AV2163" i="2"/>
  <c r="AX2162" i="2"/>
  <c r="AV2162" i="2"/>
  <c r="AX2161" i="2"/>
  <c r="AV2161" i="2"/>
  <c r="AX2160" i="2"/>
  <c r="AV2160" i="2"/>
  <c r="AX2159" i="2"/>
  <c r="AV2159" i="2"/>
  <c r="AX2158" i="2"/>
  <c r="AV2158" i="2"/>
  <c r="AX2155" i="2"/>
  <c r="AV2155" i="2"/>
  <c r="AX2154" i="2"/>
  <c r="AV2154" i="2"/>
  <c r="AX2153" i="2"/>
  <c r="AV2153" i="2"/>
  <c r="AX2152" i="2"/>
  <c r="AV2152" i="2"/>
  <c r="AX2151" i="2"/>
  <c r="AV2151" i="2"/>
  <c r="AX2150" i="2"/>
  <c r="AV2150" i="2"/>
  <c r="AX2147" i="2"/>
  <c r="AV2147" i="2"/>
  <c r="AX2146" i="2"/>
  <c r="AV2146" i="2"/>
  <c r="AX2145" i="2"/>
  <c r="AV2145" i="2"/>
  <c r="AX2144" i="2"/>
  <c r="AV2144" i="2"/>
  <c r="AX2143" i="2"/>
  <c r="AV2143" i="2"/>
  <c r="AX2142" i="2"/>
  <c r="AV2142" i="2"/>
  <c r="AX2139" i="2"/>
  <c r="AV2139" i="2"/>
  <c r="AX2138" i="2"/>
  <c r="AV2138" i="2"/>
  <c r="AX2137" i="2"/>
  <c r="AV2137" i="2"/>
  <c r="AX2136" i="2"/>
  <c r="AV2136" i="2"/>
  <c r="AX2135" i="2"/>
  <c r="AV2135" i="2"/>
  <c r="AX2134" i="2"/>
  <c r="AV2134" i="2"/>
  <c r="AX2131" i="2"/>
  <c r="AV2131" i="2"/>
  <c r="AX2130" i="2"/>
  <c r="AV2130" i="2"/>
  <c r="AX2129" i="2"/>
  <c r="AV2129" i="2"/>
  <c r="AX2128" i="2"/>
  <c r="AV2128" i="2"/>
  <c r="AX2127" i="2"/>
  <c r="AV2127" i="2"/>
  <c r="AX2126" i="2"/>
  <c r="AV2126" i="2"/>
  <c r="AX2123" i="2"/>
  <c r="AV2123" i="2"/>
  <c r="AX2122" i="2"/>
  <c r="AV2122" i="2"/>
  <c r="AX2121" i="2"/>
  <c r="AV2121" i="2"/>
  <c r="AX2120" i="2"/>
  <c r="AV2120" i="2"/>
  <c r="AX2119" i="2"/>
  <c r="AV2119" i="2"/>
  <c r="AX2118" i="2"/>
  <c r="AV2118" i="2"/>
  <c r="AX2115" i="2"/>
  <c r="AV2115" i="2"/>
  <c r="AX2114" i="2"/>
  <c r="AV2114" i="2"/>
  <c r="AX2113" i="2"/>
  <c r="AV2113" i="2"/>
  <c r="AX2112" i="2"/>
  <c r="AV2112" i="2"/>
  <c r="AX2111" i="2"/>
  <c r="AV2111" i="2"/>
  <c r="AX2110" i="2"/>
  <c r="AV2110" i="2"/>
  <c r="AX2107" i="2"/>
  <c r="AV2107" i="2"/>
  <c r="AX2106" i="2"/>
  <c r="AV2106" i="2"/>
  <c r="AX2105" i="2"/>
  <c r="AV2105" i="2"/>
  <c r="AX2104" i="2"/>
  <c r="AV2104" i="2"/>
  <c r="AX2103" i="2"/>
  <c r="AV2103" i="2"/>
  <c r="AX2102" i="2"/>
  <c r="AX2099" i="2"/>
  <c r="AV2099" i="2"/>
  <c r="AX2098" i="2"/>
  <c r="AV2098" i="2"/>
  <c r="AX2097" i="2"/>
  <c r="AV2097" i="2"/>
  <c r="AX2096" i="2"/>
  <c r="AV2096" i="2"/>
  <c r="AX2095" i="2"/>
  <c r="AV2095" i="2"/>
  <c r="AX2094" i="2"/>
  <c r="AX2091" i="2"/>
  <c r="AV2091" i="2"/>
  <c r="AX2090" i="2"/>
  <c r="AV2090" i="2"/>
  <c r="AX2089" i="2"/>
  <c r="AV2089" i="2"/>
  <c r="AX2088" i="2"/>
  <c r="AV2088" i="2"/>
  <c r="AX2087" i="2"/>
  <c r="AV2087" i="2"/>
  <c r="AX2086" i="2"/>
  <c r="AX2083" i="2"/>
  <c r="AV2083" i="2"/>
  <c r="AX2082" i="2"/>
  <c r="AV2082" i="2"/>
  <c r="AX2081" i="2"/>
  <c r="AV2081" i="2"/>
  <c r="AX2080" i="2"/>
  <c r="AV2080" i="2"/>
  <c r="AX2079" i="2"/>
  <c r="AV2079" i="2"/>
  <c r="AX2078" i="2"/>
  <c r="AX2075" i="2"/>
  <c r="AV2075" i="2"/>
  <c r="AX2074" i="2"/>
  <c r="AV2074" i="2"/>
  <c r="AX2073" i="2"/>
  <c r="AV2073" i="2"/>
  <c r="AX2072" i="2"/>
  <c r="AV2072" i="2"/>
  <c r="AX2071" i="2"/>
  <c r="AV2071" i="2"/>
  <c r="AX2070" i="2"/>
  <c r="AX2067" i="2"/>
  <c r="AV2067" i="2"/>
  <c r="AX2066" i="2"/>
  <c r="AV2066" i="2"/>
  <c r="AX2065" i="2"/>
  <c r="AV2065" i="2"/>
  <c r="AX2064" i="2"/>
  <c r="AV2064" i="2"/>
  <c r="AX2063" i="2"/>
  <c r="AV2063" i="2"/>
  <c r="AX2062" i="2"/>
  <c r="AX2059" i="2"/>
  <c r="AV2059" i="2"/>
  <c r="AX2058" i="2"/>
  <c r="AV2058" i="2"/>
  <c r="AX2057" i="2"/>
  <c r="AV2057" i="2"/>
  <c r="AX2056" i="2"/>
  <c r="AV2056" i="2"/>
  <c r="AX2055" i="2"/>
  <c r="AV2055" i="2"/>
  <c r="AX2054" i="2"/>
  <c r="AX2051" i="2"/>
  <c r="AV2051" i="2"/>
  <c r="AX2050" i="2"/>
  <c r="AV2050" i="2"/>
  <c r="AX2049" i="2"/>
  <c r="AV2049" i="2"/>
  <c r="AX2048" i="2"/>
  <c r="AV2048" i="2"/>
  <c r="AX2047" i="2"/>
  <c r="AV2047" i="2"/>
  <c r="AX2046" i="2"/>
  <c r="AX2043" i="2"/>
  <c r="AV2043" i="2"/>
  <c r="AX2042" i="2"/>
  <c r="AV2042" i="2"/>
  <c r="AX2041" i="2"/>
  <c r="AV2041" i="2"/>
  <c r="AX2040" i="2"/>
  <c r="AV2040" i="2"/>
  <c r="AX2039" i="2"/>
  <c r="AV2039" i="2"/>
  <c r="AX2038" i="2"/>
  <c r="AX2035" i="2"/>
  <c r="AV2035" i="2"/>
  <c r="AX2034" i="2"/>
  <c r="AV2034" i="2"/>
  <c r="AX2033" i="2"/>
  <c r="AV2033" i="2"/>
  <c r="AX2032" i="2"/>
  <c r="AV2032" i="2"/>
  <c r="AX2031" i="2"/>
  <c r="AV2031" i="2"/>
  <c r="AX2030" i="2"/>
  <c r="AX2027" i="2"/>
  <c r="AV2027" i="2"/>
  <c r="AX2026" i="2"/>
  <c r="AV2026" i="2"/>
  <c r="AX2025" i="2"/>
  <c r="AV2025" i="2"/>
  <c r="AX2024" i="2"/>
  <c r="AV2024" i="2"/>
  <c r="AX2023" i="2"/>
  <c r="AV2023" i="2"/>
  <c r="AX2022" i="2"/>
  <c r="AX2019" i="2"/>
  <c r="AV2019" i="2"/>
  <c r="AX2018" i="2"/>
  <c r="AV2018" i="2"/>
  <c r="AX2017" i="2"/>
  <c r="AV2017" i="2"/>
  <c r="AX2016" i="2"/>
  <c r="AV2016" i="2"/>
  <c r="AX2015" i="2"/>
  <c r="AV2015" i="2"/>
  <c r="AX2014" i="2"/>
  <c r="AX2011" i="2"/>
  <c r="AV2011" i="2"/>
  <c r="AX2010" i="2"/>
  <c r="AV2010" i="2"/>
  <c r="AX2009" i="2"/>
  <c r="AV2009" i="2"/>
  <c r="AX2008" i="2"/>
  <c r="AV2008" i="2"/>
  <c r="AX2007" i="2"/>
  <c r="AV2007" i="2"/>
  <c r="AX2006" i="2"/>
  <c r="AX2003" i="2"/>
  <c r="AV2003" i="2"/>
  <c r="AX2002" i="2"/>
  <c r="AV2002" i="2"/>
  <c r="AX2001" i="2"/>
  <c r="AV2001" i="2"/>
  <c r="AX2000" i="2"/>
  <c r="AV2000" i="2"/>
  <c r="AX1999" i="2"/>
  <c r="AV1999" i="2"/>
  <c r="AX1998" i="2"/>
  <c r="AX1995" i="2"/>
  <c r="AV1995" i="2"/>
  <c r="AX1994" i="2"/>
  <c r="AV1994" i="2"/>
  <c r="AX1993" i="2"/>
  <c r="AV1993" i="2"/>
  <c r="AX1992" i="2"/>
  <c r="AV1992" i="2"/>
  <c r="AX1991" i="2"/>
  <c r="AV1991" i="2"/>
  <c r="AX1990" i="2"/>
  <c r="AX1987" i="2"/>
  <c r="AV1987" i="2"/>
  <c r="AX1986" i="2"/>
  <c r="AV1986" i="2"/>
  <c r="AX1985" i="2"/>
  <c r="AV1985" i="2"/>
  <c r="AX1984" i="2"/>
  <c r="AV1984" i="2"/>
  <c r="AX1983" i="2"/>
  <c r="AV1983" i="2"/>
  <c r="AX1982" i="2"/>
  <c r="AX1979" i="2"/>
  <c r="AV1979" i="2"/>
  <c r="AX1978" i="2"/>
  <c r="AV1978" i="2"/>
  <c r="AX1977" i="2"/>
  <c r="AV1977" i="2"/>
  <c r="AX1976" i="2"/>
  <c r="AV1976" i="2"/>
  <c r="AX1975" i="2"/>
  <c r="AV1975" i="2"/>
  <c r="AX1974" i="2"/>
  <c r="AX1971" i="2"/>
  <c r="AV1971" i="2"/>
  <c r="AX1970" i="2"/>
  <c r="AV1970" i="2"/>
  <c r="AX1969" i="2"/>
  <c r="AV1969" i="2"/>
  <c r="AX1968" i="2"/>
  <c r="AV1968" i="2"/>
  <c r="AX1967" i="2"/>
  <c r="AV1967" i="2"/>
  <c r="AX1966" i="2"/>
  <c r="AX1963" i="2"/>
  <c r="AV1963" i="2"/>
  <c r="AX1962" i="2"/>
  <c r="AV1962" i="2"/>
  <c r="AX1961" i="2"/>
  <c r="AV1961" i="2"/>
  <c r="AX1960" i="2"/>
  <c r="AV1960" i="2"/>
  <c r="AX1959" i="2"/>
  <c r="AV1959" i="2"/>
  <c r="AX1958" i="2"/>
  <c r="AX1955" i="2"/>
  <c r="AV1955" i="2"/>
  <c r="AX1954" i="2"/>
  <c r="AV1954" i="2"/>
  <c r="AX1953" i="2"/>
  <c r="AV1953" i="2"/>
  <c r="AX1952" i="2"/>
  <c r="AV1952" i="2"/>
  <c r="AX1951" i="2"/>
  <c r="AV1951" i="2"/>
  <c r="AX1950" i="2"/>
  <c r="AX1947" i="2"/>
  <c r="AV1947" i="2"/>
  <c r="AX1946" i="2"/>
  <c r="AV1946" i="2"/>
  <c r="AX1945" i="2"/>
  <c r="AV1945" i="2"/>
  <c r="AX1944" i="2"/>
  <c r="AV1944" i="2"/>
  <c r="AX1943" i="2"/>
  <c r="AV1943" i="2"/>
  <c r="AX1942" i="2"/>
  <c r="AX1939" i="2"/>
  <c r="AV1939" i="2"/>
  <c r="AX1938" i="2"/>
  <c r="AV1938" i="2"/>
  <c r="AX1937" i="2"/>
  <c r="AV1937" i="2"/>
  <c r="AX1936" i="2"/>
  <c r="AV1936" i="2"/>
  <c r="AX1935" i="2"/>
  <c r="AV1935" i="2"/>
  <c r="AX1934" i="2"/>
  <c r="AX1931" i="2"/>
  <c r="AV1931" i="2"/>
  <c r="AX1930" i="2"/>
  <c r="AV1930" i="2"/>
  <c r="AX1929" i="2"/>
  <c r="AV1929" i="2"/>
  <c r="AX1928" i="2"/>
  <c r="AV1928" i="2"/>
  <c r="AX1927" i="2"/>
  <c r="AV1927" i="2"/>
  <c r="AX1926" i="2"/>
  <c r="AX1923" i="2"/>
  <c r="AV1923" i="2"/>
  <c r="AX1922" i="2"/>
  <c r="AV1922" i="2"/>
  <c r="AX1921" i="2"/>
  <c r="AV1921" i="2"/>
  <c r="AX1920" i="2"/>
  <c r="AV1920" i="2"/>
  <c r="AX1919" i="2"/>
  <c r="AV1919" i="2"/>
  <c r="AX1918" i="2"/>
  <c r="AX1915" i="2"/>
  <c r="AV1915" i="2"/>
  <c r="AX1914" i="2"/>
  <c r="AV1914" i="2"/>
  <c r="AX1913" i="2"/>
  <c r="AV1913" i="2"/>
  <c r="AX1912" i="2"/>
  <c r="AV1912" i="2"/>
  <c r="AX1911" i="2"/>
  <c r="AV1911" i="2"/>
  <c r="AX1910" i="2"/>
  <c r="AV1910" i="2"/>
  <c r="AX1907" i="2"/>
  <c r="AV1907" i="2"/>
  <c r="AX1906" i="2"/>
  <c r="AV1906" i="2"/>
  <c r="AX1905" i="2"/>
  <c r="AV1905" i="2"/>
  <c r="AX1904" i="2"/>
  <c r="AV1904" i="2"/>
  <c r="AX1903" i="2"/>
  <c r="AV1903" i="2"/>
  <c r="AX1902" i="2"/>
  <c r="AV1902" i="2"/>
  <c r="AX1899" i="2"/>
  <c r="AV1899" i="2"/>
  <c r="AX1898" i="2"/>
  <c r="AV1898" i="2"/>
  <c r="AX1897" i="2"/>
  <c r="AV1897" i="2"/>
  <c r="AX1896" i="2"/>
  <c r="AV1896" i="2"/>
  <c r="AX1895" i="2"/>
  <c r="AV1895" i="2"/>
  <c r="AX1894" i="2"/>
  <c r="AV1894" i="2"/>
  <c r="AX1891" i="2"/>
  <c r="AV1891" i="2"/>
  <c r="AX1890" i="2"/>
  <c r="AV1890" i="2"/>
  <c r="AX1889" i="2"/>
  <c r="AV1889" i="2"/>
  <c r="AX1888" i="2"/>
  <c r="AV1888" i="2"/>
  <c r="AX1887" i="2"/>
  <c r="AV1887" i="2"/>
  <c r="AX1886" i="2"/>
  <c r="AV1886" i="2"/>
  <c r="AX1883" i="2"/>
  <c r="AV1883" i="2"/>
  <c r="AX1882" i="2"/>
  <c r="AV1882" i="2"/>
  <c r="AX1881" i="2"/>
  <c r="AV1881" i="2"/>
  <c r="AX1880" i="2"/>
  <c r="AV1880" i="2"/>
  <c r="AX1879" i="2"/>
  <c r="AV1879" i="2"/>
  <c r="AX1878" i="2"/>
  <c r="AV1878" i="2"/>
  <c r="AX1875" i="2"/>
  <c r="AV1875" i="2"/>
  <c r="AX1874" i="2"/>
  <c r="AV1874" i="2"/>
  <c r="AX1873" i="2"/>
  <c r="AV1873" i="2"/>
  <c r="AX1872" i="2"/>
  <c r="AV1872" i="2"/>
  <c r="AX1871" i="2"/>
  <c r="AV1871" i="2"/>
  <c r="AX1870" i="2"/>
  <c r="AV1870" i="2"/>
  <c r="AX1867" i="2"/>
  <c r="AV1867" i="2"/>
  <c r="AX1866" i="2"/>
  <c r="AV1866" i="2"/>
  <c r="AX1865" i="2"/>
  <c r="AV1865" i="2"/>
  <c r="AX1864" i="2"/>
  <c r="AV1864" i="2"/>
  <c r="AX1863" i="2"/>
  <c r="AV1863" i="2"/>
  <c r="AX1862" i="2"/>
  <c r="AV1862" i="2"/>
  <c r="AX1859" i="2"/>
  <c r="AV1859" i="2"/>
  <c r="AX1858" i="2"/>
  <c r="AV1858" i="2"/>
  <c r="AX1857" i="2"/>
  <c r="AV1857" i="2"/>
  <c r="AX1856" i="2"/>
  <c r="AV1856" i="2"/>
  <c r="AX1855" i="2"/>
  <c r="AV1855" i="2"/>
  <c r="AX1854" i="2"/>
  <c r="AV1854" i="2"/>
  <c r="AX1851" i="2"/>
  <c r="AV1851" i="2"/>
  <c r="AX1850" i="2"/>
  <c r="AV1850" i="2"/>
  <c r="AX1849" i="2"/>
  <c r="AV1849" i="2"/>
  <c r="AX1848" i="2"/>
  <c r="AV1848" i="2"/>
  <c r="AX1847" i="2"/>
  <c r="AV1847" i="2"/>
  <c r="AX1846" i="2"/>
  <c r="AV1846" i="2"/>
  <c r="AX1843" i="2"/>
  <c r="AV1843" i="2"/>
  <c r="AX1842" i="2"/>
  <c r="AV1842" i="2"/>
  <c r="AX1841" i="2"/>
  <c r="AV1841" i="2"/>
  <c r="AX1840" i="2"/>
  <c r="AV1840" i="2"/>
  <c r="AX1839" i="2"/>
  <c r="AV1839" i="2"/>
  <c r="AX1838" i="2"/>
  <c r="AV1838" i="2"/>
  <c r="AX1835" i="2"/>
  <c r="AV1835" i="2"/>
  <c r="AX1834" i="2"/>
  <c r="AV1834" i="2"/>
  <c r="AX1833" i="2"/>
  <c r="AV1833" i="2"/>
  <c r="AX1832" i="2"/>
  <c r="AV1832" i="2"/>
  <c r="AX1831" i="2"/>
  <c r="AV1831" i="2"/>
  <c r="AX1830" i="2"/>
  <c r="AV1830" i="2"/>
  <c r="AX1827" i="2"/>
  <c r="AV1827" i="2"/>
  <c r="AX1826" i="2"/>
  <c r="AV1826" i="2"/>
  <c r="AX1825" i="2"/>
  <c r="AV1825" i="2"/>
  <c r="AX1824" i="2"/>
  <c r="AV1824" i="2"/>
  <c r="AX1823" i="2"/>
  <c r="AV1823" i="2"/>
  <c r="AX1822" i="2"/>
  <c r="AV1822" i="2"/>
  <c r="AX1819" i="2"/>
  <c r="AV1819" i="2"/>
  <c r="AX1818" i="2"/>
  <c r="AV1818" i="2"/>
  <c r="AX1817" i="2"/>
  <c r="AV1817" i="2"/>
  <c r="AX1816" i="2"/>
  <c r="AV1816" i="2"/>
  <c r="AX1815" i="2"/>
  <c r="AV1815" i="2"/>
  <c r="AX1814" i="2"/>
  <c r="AV1814" i="2"/>
  <c r="AX1811" i="2"/>
  <c r="AV1811" i="2"/>
  <c r="AX1810" i="2"/>
  <c r="AV1810" i="2"/>
  <c r="AX1809" i="2"/>
  <c r="AV1809" i="2"/>
  <c r="AX1808" i="2"/>
  <c r="AV1808" i="2"/>
  <c r="AX1807" i="2"/>
  <c r="AV1807" i="2"/>
  <c r="AX1806" i="2"/>
  <c r="AV1806" i="2"/>
  <c r="AX1803" i="2"/>
  <c r="AV1803" i="2"/>
  <c r="AX1802" i="2"/>
  <c r="AV1802" i="2"/>
  <c r="AX1801" i="2"/>
  <c r="AV1801" i="2"/>
  <c r="AX1800" i="2"/>
  <c r="AV1800" i="2"/>
  <c r="AX1799" i="2"/>
  <c r="AV1799" i="2"/>
  <c r="AX1798" i="2"/>
  <c r="AV1798" i="2"/>
  <c r="AX1795" i="2"/>
  <c r="AV1795" i="2"/>
  <c r="AX1794" i="2"/>
  <c r="AV1794" i="2"/>
  <c r="AX1793" i="2"/>
  <c r="AV1793" i="2"/>
  <c r="AX1792" i="2"/>
  <c r="AV1792" i="2"/>
  <c r="AX1791" i="2"/>
  <c r="AV1791" i="2"/>
  <c r="AX1790" i="2"/>
  <c r="AV1790" i="2"/>
  <c r="AX1787" i="2"/>
  <c r="AV1787" i="2"/>
  <c r="AX1786" i="2"/>
  <c r="AV1786" i="2"/>
  <c r="AX1785" i="2"/>
  <c r="AV1785" i="2"/>
  <c r="AX1784" i="2"/>
  <c r="AV1784" i="2"/>
  <c r="AX1783" i="2"/>
  <c r="AV1783" i="2"/>
  <c r="AX1782" i="2"/>
  <c r="AV1782" i="2"/>
  <c r="AX1779" i="2"/>
  <c r="AV1779" i="2"/>
  <c r="AX1778" i="2"/>
  <c r="AV1778" i="2"/>
  <c r="AX1777" i="2"/>
  <c r="AV1777" i="2"/>
  <c r="AX1776" i="2"/>
  <c r="AV1776" i="2"/>
  <c r="AX1775" i="2"/>
  <c r="AV1775" i="2"/>
  <c r="AX1774" i="2"/>
  <c r="AV1774" i="2"/>
  <c r="AX1771" i="2"/>
  <c r="AV1771" i="2"/>
  <c r="AX1770" i="2"/>
  <c r="AV1770" i="2"/>
  <c r="AX1769" i="2"/>
  <c r="AV1769" i="2"/>
  <c r="AX1768" i="2"/>
  <c r="AV1768" i="2"/>
  <c r="AX1767" i="2"/>
  <c r="AV1767" i="2"/>
  <c r="AX1766" i="2"/>
  <c r="AV1766" i="2"/>
  <c r="AX1763" i="2"/>
  <c r="AV1763" i="2"/>
  <c r="AX1762" i="2"/>
  <c r="AV1762" i="2"/>
  <c r="AX1761" i="2"/>
  <c r="AV1761" i="2"/>
  <c r="AX1760" i="2"/>
  <c r="AV1760" i="2"/>
  <c r="AX1759" i="2"/>
  <c r="AV1759" i="2"/>
  <c r="AX1758" i="2"/>
  <c r="AV1758" i="2"/>
  <c r="AX1755" i="2"/>
  <c r="AV1755" i="2"/>
  <c r="AX1754" i="2"/>
  <c r="AV1754" i="2"/>
  <c r="AX1753" i="2"/>
  <c r="AV1753" i="2"/>
  <c r="AX1752" i="2"/>
  <c r="AV1752" i="2"/>
  <c r="AX1751" i="2"/>
  <c r="AV1751" i="2"/>
  <c r="AX1750" i="2"/>
  <c r="AV1750" i="2"/>
  <c r="AX1747" i="2"/>
  <c r="AV1747" i="2"/>
  <c r="AX1746" i="2"/>
  <c r="AV1746" i="2"/>
  <c r="AX1745" i="2"/>
  <c r="AV1745" i="2"/>
  <c r="AX1744" i="2"/>
  <c r="AV1744" i="2"/>
  <c r="AX1743" i="2"/>
  <c r="AV1743" i="2"/>
  <c r="AX1742" i="2"/>
  <c r="AV1742" i="2"/>
  <c r="AX1739" i="2"/>
  <c r="AV1739" i="2"/>
  <c r="AX1738" i="2"/>
  <c r="AV1738" i="2"/>
  <c r="AX1737" i="2"/>
  <c r="AV1737" i="2"/>
  <c r="AX1736" i="2"/>
  <c r="AV1736" i="2"/>
  <c r="AX1735" i="2"/>
  <c r="AV1735" i="2"/>
  <c r="AX1734" i="2"/>
  <c r="AV1734" i="2"/>
  <c r="AX1731" i="2"/>
  <c r="AV1731" i="2"/>
  <c r="AX1730" i="2"/>
  <c r="AV1730" i="2"/>
  <c r="AX1729" i="2"/>
  <c r="AV1729" i="2"/>
  <c r="AX1728" i="2"/>
  <c r="AV1728" i="2"/>
  <c r="AX1727" i="2"/>
  <c r="AV1727" i="2"/>
  <c r="AX1726" i="2"/>
  <c r="AV1726" i="2"/>
  <c r="AX1723" i="2"/>
  <c r="AV1723" i="2"/>
  <c r="AX1722" i="2"/>
  <c r="AV1722" i="2"/>
  <c r="AX1721" i="2"/>
  <c r="AV1721" i="2"/>
  <c r="AX1720" i="2"/>
  <c r="AV1720" i="2"/>
  <c r="AX1719" i="2"/>
  <c r="AV1719" i="2"/>
  <c r="AX1718" i="2"/>
  <c r="AV1718" i="2"/>
  <c r="AX1715" i="2"/>
  <c r="AV1715" i="2"/>
  <c r="AX1714" i="2"/>
  <c r="AV1714" i="2"/>
  <c r="AX1713" i="2"/>
  <c r="AV1713" i="2"/>
  <c r="AX1712" i="2"/>
  <c r="AV1712" i="2"/>
  <c r="AX1711" i="2"/>
  <c r="AV1711" i="2"/>
  <c r="AX1710" i="2"/>
  <c r="AV1710" i="2"/>
  <c r="AX1707" i="2"/>
  <c r="AV1707" i="2"/>
  <c r="AX1706" i="2"/>
  <c r="AV1706" i="2"/>
  <c r="AX1705" i="2"/>
  <c r="AV1705" i="2"/>
  <c r="AX1704" i="2"/>
  <c r="AV1704" i="2"/>
  <c r="AX1703" i="2"/>
  <c r="AV1703" i="2"/>
  <c r="AX1702" i="2"/>
  <c r="AV1702" i="2"/>
  <c r="AX1699" i="2"/>
  <c r="AV1699" i="2"/>
  <c r="AX1698" i="2"/>
  <c r="AV1698" i="2"/>
  <c r="AX1697" i="2"/>
  <c r="AV1697" i="2"/>
  <c r="AX1696" i="2"/>
  <c r="AV1696" i="2"/>
  <c r="AX1695" i="2"/>
  <c r="AV1695" i="2"/>
  <c r="AX1694" i="2"/>
  <c r="AV1694" i="2"/>
  <c r="AX1691" i="2"/>
  <c r="AV1691" i="2"/>
  <c r="AX1690" i="2"/>
  <c r="AV1690" i="2"/>
  <c r="AX1689" i="2"/>
  <c r="AV1689" i="2"/>
  <c r="AX1688" i="2"/>
  <c r="AV1688" i="2"/>
  <c r="AX1687" i="2"/>
  <c r="AV1687" i="2"/>
  <c r="AX1686" i="2"/>
  <c r="AV1686" i="2"/>
  <c r="AX1683" i="2"/>
  <c r="AV1683" i="2"/>
  <c r="AX1682" i="2"/>
  <c r="AV1682" i="2"/>
  <c r="AX1681" i="2"/>
  <c r="AV1681" i="2"/>
  <c r="AX1680" i="2"/>
  <c r="AV1680" i="2"/>
  <c r="AX1679" i="2"/>
  <c r="AV1679" i="2"/>
  <c r="AX1678" i="2"/>
  <c r="AV1678" i="2"/>
  <c r="AX1675" i="2"/>
  <c r="AV1675" i="2"/>
  <c r="AX1674" i="2"/>
  <c r="AV1674" i="2"/>
  <c r="AX1673" i="2"/>
  <c r="AV1673" i="2"/>
  <c r="AX1672" i="2"/>
  <c r="AV1672" i="2"/>
  <c r="AX1671" i="2"/>
  <c r="AV1671" i="2"/>
  <c r="AX1670" i="2"/>
  <c r="AV1670" i="2"/>
  <c r="AX1667" i="2"/>
  <c r="AV1667" i="2"/>
  <c r="AX1666" i="2"/>
  <c r="AV1666" i="2"/>
  <c r="AX1665" i="2"/>
  <c r="AV1665" i="2"/>
  <c r="AX1664" i="2"/>
  <c r="AV1664" i="2"/>
  <c r="AX1663" i="2"/>
  <c r="AV1663" i="2"/>
  <c r="AX1662" i="2"/>
  <c r="AV1662" i="2"/>
  <c r="AX1659" i="2"/>
  <c r="AV1659" i="2"/>
  <c r="AX1658" i="2"/>
  <c r="AV1658" i="2"/>
  <c r="AX1657" i="2"/>
  <c r="AV1657" i="2"/>
  <c r="AX1656" i="2"/>
  <c r="AV1656" i="2"/>
  <c r="AX1655" i="2"/>
  <c r="AV1655" i="2"/>
  <c r="AX1654" i="2"/>
  <c r="AV1654" i="2"/>
  <c r="AX1651" i="2"/>
  <c r="AV1651" i="2"/>
  <c r="AX1650" i="2"/>
  <c r="AV1650" i="2"/>
  <c r="AX1649" i="2"/>
  <c r="AV1649" i="2"/>
  <c r="AX1648" i="2"/>
  <c r="AV1648" i="2"/>
  <c r="AX1647" i="2"/>
  <c r="AV1647" i="2"/>
  <c r="AX1646" i="2"/>
  <c r="AV1646" i="2"/>
  <c r="AX1643" i="2"/>
  <c r="AV1643" i="2"/>
  <c r="AX1642" i="2"/>
  <c r="AV1642" i="2"/>
  <c r="AX1641" i="2"/>
  <c r="AV1641" i="2"/>
  <c r="AX1640" i="2"/>
  <c r="AV1640" i="2"/>
  <c r="AX1639" i="2"/>
  <c r="AV1639" i="2"/>
  <c r="AX1638" i="2"/>
  <c r="AV1638" i="2"/>
  <c r="AX1635" i="2"/>
  <c r="AV1635" i="2"/>
  <c r="AX1634" i="2"/>
  <c r="AV1634" i="2"/>
  <c r="AX1633" i="2"/>
  <c r="AV1633" i="2"/>
  <c r="AX1632" i="2"/>
  <c r="AV1632" i="2"/>
  <c r="AX1631" i="2"/>
  <c r="AV1631" i="2"/>
  <c r="AX1630" i="2"/>
  <c r="AV1630" i="2"/>
  <c r="AX1627" i="2"/>
  <c r="AV1627" i="2"/>
  <c r="AX1626" i="2"/>
  <c r="AV1626" i="2"/>
  <c r="AX1625" i="2"/>
  <c r="AV1625" i="2"/>
  <c r="AX1624" i="2"/>
  <c r="AV1624" i="2"/>
  <c r="AX1623" i="2"/>
  <c r="AV1623" i="2"/>
  <c r="AX1622" i="2"/>
  <c r="AV1622" i="2"/>
  <c r="AX1619" i="2"/>
  <c r="AV1619" i="2"/>
  <c r="AX1618" i="2"/>
  <c r="AV1618" i="2"/>
  <c r="AX1617" i="2"/>
  <c r="AV1617" i="2"/>
  <c r="AX1616" i="2"/>
  <c r="AV1616" i="2"/>
  <c r="AX1615" i="2"/>
  <c r="AV1615" i="2"/>
  <c r="AX1614" i="2"/>
  <c r="AV1614" i="2"/>
  <c r="AX1611" i="2"/>
  <c r="AV1611" i="2"/>
  <c r="AX1610" i="2"/>
  <c r="AV1610" i="2"/>
  <c r="AX1609" i="2"/>
  <c r="AV1609" i="2"/>
  <c r="AX1608" i="2"/>
  <c r="AV1608" i="2"/>
  <c r="AX1607" i="2"/>
  <c r="AV1607" i="2"/>
  <c r="AX1606" i="2"/>
  <c r="AV1606" i="2"/>
  <c r="AX1603" i="2"/>
  <c r="AV1603" i="2"/>
  <c r="AX1602" i="2"/>
  <c r="AV1602" i="2"/>
  <c r="AX1601" i="2"/>
  <c r="AV1601" i="2"/>
  <c r="AX1600" i="2"/>
  <c r="AV1600" i="2"/>
  <c r="AX1599" i="2"/>
  <c r="AV1599" i="2"/>
  <c r="AX1598" i="2"/>
  <c r="AV1598" i="2"/>
  <c r="AX1595" i="2"/>
  <c r="AV1595" i="2"/>
  <c r="AX1594" i="2"/>
  <c r="AV1594" i="2"/>
  <c r="AX1593" i="2"/>
  <c r="AV1593" i="2"/>
  <c r="AX1592" i="2"/>
  <c r="AV1592" i="2"/>
  <c r="AX1591" i="2"/>
  <c r="AV1591" i="2"/>
  <c r="AX1590" i="2"/>
  <c r="AV1590" i="2"/>
  <c r="AX1587" i="2"/>
  <c r="AV1587" i="2"/>
  <c r="AX1586" i="2"/>
  <c r="AV1586" i="2"/>
  <c r="AX1585" i="2"/>
  <c r="AV1585" i="2"/>
  <c r="AX1584" i="2"/>
  <c r="AV1584" i="2"/>
  <c r="AX1583" i="2"/>
  <c r="AV1583" i="2"/>
  <c r="AX1582" i="2"/>
  <c r="AV1582" i="2"/>
  <c r="AX1579" i="2"/>
  <c r="AV1579" i="2"/>
  <c r="AX1578" i="2"/>
  <c r="AV1578" i="2"/>
  <c r="AX1577" i="2"/>
  <c r="AV1577" i="2"/>
  <c r="AX1576" i="2"/>
  <c r="AV1576" i="2"/>
  <c r="AX1575" i="2"/>
  <c r="AV1575" i="2"/>
  <c r="AX1574" i="2"/>
  <c r="AV1574" i="2"/>
  <c r="AX1571" i="2"/>
  <c r="AV1571" i="2"/>
  <c r="AX1570" i="2"/>
  <c r="AV1570" i="2"/>
  <c r="AX1569" i="2"/>
  <c r="AV1569" i="2"/>
  <c r="AX1568" i="2"/>
  <c r="AV1568" i="2"/>
  <c r="AX1567" i="2"/>
  <c r="AV1567" i="2"/>
  <c r="AX1566" i="2"/>
  <c r="AV1566" i="2"/>
  <c r="AX1563" i="2"/>
  <c r="AV1563" i="2"/>
  <c r="AX1562" i="2"/>
  <c r="AV1562" i="2"/>
  <c r="AX1561" i="2"/>
  <c r="AV1561" i="2"/>
  <c r="AX1560" i="2"/>
  <c r="AV1560" i="2"/>
  <c r="AX1559" i="2"/>
  <c r="AV1559" i="2"/>
  <c r="AX1558" i="2"/>
  <c r="AV1558" i="2"/>
  <c r="AX1555" i="2"/>
  <c r="AV1555" i="2"/>
  <c r="AX1554" i="2"/>
  <c r="AV1554" i="2"/>
  <c r="AX1553" i="2"/>
  <c r="AV1553" i="2"/>
  <c r="AX1552" i="2"/>
  <c r="AV1552" i="2"/>
  <c r="AX1551" i="2"/>
  <c r="AV1551" i="2"/>
  <c r="AX1550" i="2"/>
  <c r="AV1550" i="2"/>
  <c r="AX1547" i="2"/>
  <c r="AV1547" i="2"/>
  <c r="AX1546" i="2"/>
  <c r="AV1546" i="2"/>
  <c r="AX1545" i="2"/>
  <c r="AV1545" i="2"/>
  <c r="AX1544" i="2"/>
  <c r="AV1544" i="2"/>
  <c r="AX1543" i="2"/>
  <c r="AV1543" i="2"/>
  <c r="AX1542" i="2"/>
  <c r="AV1542" i="2"/>
  <c r="AX1539" i="2"/>
  <c r="AV1539" i="2"/>
  <c r="AX1538" i="2"/>
  <c r="AV1538" i="2"/>
  <c r="AX1537" i="2"/>
  <c r="AV1537" i="2"/>
  <c r="AX1536" i="2"/>
  <c r="AV1536" i="2"/>
  <c r="AX1535" i="2"/>
  <c r="AV1535" i="2"/>
  <c r="AX1534" i="2"/>
  <c r="AV1534" i="2"/>
  <c r="AX1531" i="2"/>
  <c r="AV1531" i="2"/>
  <c r="AX1530" i="2"/>
  <c r="AV1530" i="2"/>
  <c r="AX1529" i="2"/>
  <c r="AV1529" i="2"/>
  <c r="AX1528" i="2"/>
  <c r="AV1528" i="2"/>
  <c r="AX1527" i="2"/>
  <c r="AV1527" i="2"/>
  <c r="AX1526" i="2"/>
  <c r="AV1526" i="2"/>
  <c r="AX1523" i="2"/>
  <c r="AV1523" i="2"/>
  <c r="AX1522" i="2"/>
  <c r="AV1522" i="2"/>
  <c r="AX1521" i="2"/>
  <c r="AV1521" i="2"/>
  <c r="AX1520" i="2"/>
  <c r="AV1520" i="2"/>
  <c r="AX1519" i="2"/>
  <c r="AV1519" i="2"/>
  <c r="AX1518" i="2"/>
  <c r="AV1518" i="2"/>
  <c r="AX1515" i="2"/>
  <c r="AV1515" i="2"/>
  <c r="AX1514" i="2"/>
  <c r="AV1514" i="2"/>
  <c r="AX1513" i="2"/>
  <c r="AV1513" i="2"/>
  <c r="AX1512" i="2"/>
  <c r="AV1512" i="2"/>
  <c r="AX1511" i="2"/>
  <c r="AV1511" i="2"/>
  <c r="AX1510" i="2"/>
  <c r="AV1510" i="2"/>
  <c r="AX1507" i="2"/>
  <c r="AV1507" i="2"/>
  <c r="AX1506" i="2"/>
  <c r="AV1506" i="2"/>
  <c r="AX1505" i="2"/>
  <c r="AV1505" i="2"/>
  <c r="AX1504" i="2"/>
  <c r="AV1504" i="2"/>
  <c r="AX1503" i="2"/>
  <c r="AV1503" i="2"/>
  <c r="AX1502" i="2"/>
  <c r="AV1502" i="2"/>
  <c r="AX1499" i="2"/>
  <c r="AV1499" i="2"/>
  <c r="AX1498" i="2"/>
  <c r="AV1498" i="2"/>
  <c r="AX1497" i="2"/>
  <c r="AV1497" i="2"/>
  <c r="AX1496" i="2"/>
  <c r="AV1496" i="2"/>
  <c r="AX1495" i="2"/>
  <c r="AV1495" i="2"/>
  <c r="AX1494" i="2"/>
  <c r="AV1494" i="2"/>
  <c r="AX1491" i="2"/>
  <c r="AV1491" i="2"/>
  <c r="AX1490" i="2"/>
  <c r="AV1490" i="2"/>
  <c r="AX1489" i="2"/>
  <c r="AV1489" i="2"/>
  <c r="AX1488" i="2"/>
  <c r="AV1488" i="2"/>
  <c r="AX1487" i="2"/>
  <c r="AV1487" i="2"/>
  <c r="AX1486" i="2"/>
  <c r="AV1486" i="2"/>
  <c r="AX1483" i="2"/>
  <c r="AV1483" i="2"/>
  <c r="AX1482" i="2"/>
  <c r="AV1482" i="2"/>
  <c r="AX1481" i="2"/>
  <c r="AV1481" i="2"/>
  <c r="AX1480" i="2"/>
  <c r="AV1480" i="2"/>
  <c r="AX1479" i="2"/>
  <c r="AV1479" i="2"/>
  <c r="AX1478" i="2"/>
  <c r="AV1478" i="2"/>
  <c r="AX1475" i="2"/>
  <c r="AV1475" i="2"/>
  <c r="AX1474" i="2"/>
  <c r="AV1474" i="2"/>
  <c r="AX1473" i="2"/>
  <c r="AV1473" i="2"/>
  <c r="AX1472" i="2"/>
  <c r="AV1472" i="2"/>
  <c r="AX1471" i="2"/>
  <c r="AV1471" i="2"/>
  <c r="AX1470" i="2"/>
  <c r="AV1470" i="2"/>
  <c r="AX1467" i="2"/>
  <c r="AV1467" i="2"/>
  <c r="AX1466" i="2"/>
  <c r="AV1466" i="2"/>
  <c r="AX1465" i="2"/>
  <c r="AV1465" i="2"/>
  <c r="AX1464" i="2"/>
  <c r="AV1464" i="2"/>
  <c r="AX1463" i="2"/>
  <c r="AV1463" i="2"/>
  <c r="AX1462" i="2"/>
  <c r="AV1462" i="2"/>
  <c r="AX1459" i="2"/>
  <c r="AV1459" i="2"/>
  <c r="AX1458" i="2"/>
  <c r="AV1458" i="2"/>
  <c r="AX1457" i="2"/>
  <c r="AV1457" i="2"/>
  <c r="AX1456" i="2"/>
  <c r="AV1456" i="2"/>
  <c r="AX1455" i="2"/>
  <c r="AV1455" i="2"/>
  <c r="AX1454" i="2"/>
  <c r="AV1454" i="2"/>
  <c r="AX1451" i="2"/>
  <c r="AV1451" i="2"/>
  <c r="AX1450" i="2"/>
  <c r="AV1450" i="2"/>
  <c r="AX1449" i="2"/>
  <c r="AV1449" i="2"/>
  <c r="AX1448" i="2"/>
  <c r="AV1448" i="2"/>
  <c r="AX1447" i="2"/>
  <c r="AV1447" i="2"/>
  <c r="AX1446" i="2"/>
  <c r="AV1446" i="2"/>
  <c r="AX1443" i="2"/>
  <c r="AV1443" i="2"/>
  <c r="AX1442" i="2"/>
  <c r="AV1442" i="2"/>
  <c r="AX1441" i="2"/>
  <c r="AV1441" i="2"/>
  <c r="AX1440" i="2"/>
  <c r="AV1440" i="2"/>
  <c r="AX1439" i="2"/>
  <c r="AV1439" i="2"/>
  <c r="AX1438" i="2"/>
  <c r="AV1438" i="2"/>
  <c r="AX1435" i="2"/>
  <c r="AV1435" i="2"/>
  <c r="AX1434" i="2"/>
  <c r="AV1434" i="2"/>
  <c r="AX1433" i="2"/>
  <c r="AV1433" i="2"/>
  <c r="AX1432" i="2"/>
  <c r="AV1432" i="2"/>
  <c r="AX1431" i="2"/>
  <c r="AV1431" i="2"/>
  <c r="AX1430" i="2"/>
  <c r="AV1430" i="2"/>
  <c r="AX1427" i="2"/>
  <c r="AV1427" i="2"/>
  <c r="AX1426" i="2"/>
  <c r="AV1426" i="2"/>
  <c r="AX1425" i="2"/>
  <c r="AV1425" i="2"/>
  <c r="AX1424" i="2"/>
  <c r="AV1424" i="2"/>
  <c r="AX1423" i="2"/>
  <c r="AV1423" i="2"/>
  <c r="AX1422" i="2"/>
  <c r="AV1422" i="2"/>
  <c r="AX1419" i="2"/>
  <c r="AV1419" i="2"/>
  <c r="AX1418" i="2"/>
  <c r="AV1418" i="2"/>
  <c r="AX1417" i="2"/>
  <c r="AV1417" i="2"/>
  <c r="AX1416" i="2"/>
  <c r="AV1416" i="2"/>
  <c r="AX1415" i="2"/>
  <c r="AV1415" i="2"/>
  <c r="AX1414" i="2"/>
  <c r="AV1414" i="2"/>
  <c r="AX1411" i="2"/>
  <c r="AV1411" i="2"/>
  <c r="AX1410" i="2"/>
  <c r="AV1410" i="2"/>
  <c r="AX1409" i="2"/>
  <c r="AV1409" i="2"/>
  <c r="AX1408" i="2"/>
  <c r="AV1408" i="2"/>
  <c r="AX1407" i="2"/>
  <c r="AV1407" i="2"/>
  <c r="AX1406" i="2"/>
  <c r="AV1406" i="2"/>
  <c r="AX1403" i="2"/>
  <c r="AV1403" i="2"/>
  <c r="AX1402" i="2"/>
  <c r="AV1402" i="2"/>
  <c r="AX1401" i="2"/>
  <c r="AV1401" i="2"/>
  <c r="AX1400" i="2"/>
  <c r="AV1400" i="2"/>
  <c r="AX1399" i="2"/>
  <c r="AV1399" i="2"/>
  <c r="AX1398" i="2"/>
  <c r="AV1398" i="2"/>
  <c r="AX1395" i="2"/>
  <c r="AV1395" i="2"/>
  <c r="AX1394" i="2"/>
  <c r="AV1394" i="2"/>
  <c r="AX1393" i="2"/>
  <c r="AV1393" i="2"/>
  <c r="AX1392" i="2"/>
  <c r="AV1392" i="2"/>
  <c r="AX1391" i="2"/>
  <c r="AV1391" i="2"/>
  <c r="AX1390" i="2"/>
  <c r="AV1390" i="2"/>
  <c r="AX1387" i="2"/>
  <c r="AV1387" i="2"/>
  <c r="AX1386" i="2"/>
  <c r="AV1386" i="2"/>
  <c r="AX1385" i="2"/>
  <c r="AV1385" i="2"/>
  <c r="AX1384" i="2"/>
  <c r="AV1384" i="2"/>
  <c r="AX1383" i="2"/>
  <c r="AV1383" i="2"/>
  <c r="AX1382" i="2"/>
  <c r="AV1382" i="2"/>
  <c r="AX1379" i="2"/>
  <c r="AV1379" i="2"/>
  <c r="AX1378" i="2"/>
  <c r="AV1378" i="2"/>
  <c r="AX1377" i="2"/>
  <c r="AV1377" i="2"/>
  <c r="AX1376" i="2"/>
  <c r="AV1376" i="2"/>
  <c r="AX1375" i="2"/>
  <c r="AV1375" i="2"/>
  <c r="AX1374" i="2"/>
  <c r="AV1374" i="2"/>
  <c r="AX1371" i="2"/>
  <c r="AV1371" i="2"/>
  <c r="AX1370" i="2"/>
  <c r="AV1370" i="2"/>
  <c r="AX1369" i="2"/>
  <c r="AV1369" i="2"/>
  <c r="AX1368" i="2"/>
  <c r="AV1368" i="2"/>
  <c r="AX1367" i="2"/>
  <c r="AV1367" i="2"/>
  <c r="AX1366" i="2"/>
  <c r="AV1366" i="2"/>
  <c r="AX1363" i="2"/>
  <c r="AV1363" i="2"/>
  <c r="AX1362" i="2"/>
  <c r="AV1362" i="2"/>
  <c r="AX1361" i="2"/>
  <c r="AV1361" i="2"/>
  <c r="AX1360" i="2"/>
  <c r="AV1360" i="2"/>
  <c r="AX1359" i="2"/>
  <c r="AV1359" i="2"/>
  <c r="AX1358" i="2"/>
  <c r="AV1358" i="2"/>
  <c r="AX1355" i="2"/>
  <c r="AV1355" i="2"/>
  <c r="AX1354" i="2"/>
  <c r="AV1354" i="2"/>
  <c r="AX1353" i="2"/>
  <c r="AV1353" i="2"/>
  <c r="AX1352" i="2"/>
  <c r="AV1352" i="2"/>
  <c r="AX1351" i="2"/>
  <c r="AV1351" i="2"/>
  <c r="AX1350" i="2"/>
  <c r="AV1350" i="2"/>
  <c r="AX1347" i="2"/>
  <c r="AV1347" i="2"/>
  <c r="AX1346" i="2"/>
  <c r="AV1346" i="2"/>
  <c r="AX1345" i="2"/>
  <c r="AV1345" i="2"/>
  <c r="AX1344" i="2"/>
  <c r="AV1344" i="2"/>
  <c r="AX1343" i="2"/>
  <c r="AV1343" i="2"/>
  <c r="AX1342" i="2"/>
  <c r="AV1342" i="2"/>
  <c r="AX1339" i="2"/>
  <c r="AV1339" i="2"/>
  <c r="AX1338" i="2"/>
  <c r="AV1338" i="2"/>
  <c r="AX1337" i="2"/>
  <c r="AV1337" i="2"/>
  <c r="AX1336" i="2"/>
  <c r="AV1336" i="2"/>
  <c r="AX1335" i="2"/>
  <c r="AV1335" i="2"/>
  <c r="AX1334" i="2"/>
  <c r="AV1334" i="2"/>
  <c r="AX1331" i="2"/>
  <c r="AV1331" i="2"/>
  <c r="AX1330" i="2"/>
  <c r="AV1330" i="2"/>
  <c r="AX1329" i="2"/>
  <c r="AV1329" i="2"/>
  <c r="AX1328" i="2"/>
  <c r="AV1328" i="2"/>
  <c r="AX1327" i="2"/>
  <c r="AV1327" i="2"/>
  <c r="AX1326" i="2"/>
  <c r="AV1326" i="2"/>
  <c r="AX1323" i="2"/>
  <c r="AV1323" i="2"/>
  <c r="AX1322" i="2"/>
  <c r="AV1322" i="2"/>
  <c r="AX1321" i="2"/>
  <c r="AV1321" i="2"/>
  <c r="AX1320" i="2"/>
  <c r="AV1320" i="2"/>
  <c r="AX1319" i="2"/>
  <c r="AV1319" i="2"/>
  <c r="AX1318" i="2"/>
  <c r="AV1318" i="2"/>
  <c r="AX1315" i="2"/>
  <c r="AV1315" i="2"/>
  <c r="AX1314" i="2"/>
  <c r="AV1314" i="2"/>
  <c r="AX1313" i="2"/>
  <c r="AV1313" i="2"/>
  <c r="AX1312" i="2"/>
  <c r="AV1312" i="2"/>
  <c r="AX1311" i="2"/>
  <c r="AV1311" i="2"/>
  <c r="AX1310" i="2"/>
  <c r="AV1310" i="2"/>
  <c r="AX1307" i="2"/>
  <c r="AV1307" i="2"/>
  <c r="AX1306" i="2"/>
  <c r="AV1306" i="2"/>
  <c r="AX1305" i="2"/>
  <c r="AV1305" i="2"/>
  <c r="AX1304" i="2"/>
  <c r="AV1304" i="2"/>
  <c r="AX1303" i="2"/>
  <c r="AV1303" i="2"/>
  <c r="AX1302" i="2"/>
  <c r="AV1302" i="2"/>
  <c r="AX1299" i="2"/>
  <c r="AV1299" i="2"/>
  <c r="AX1298" i="2"/>
  <c r="AV1298" i="2"/>
  <c r="AX1297" i="2"/>
  <c r="AV1297" i="2"/>
  <c r="AX1296" i="2"/>
  <c r="AV1296" i="2"/>
  <c r="AX1295" i="2"/>
  <c r="AV1295" i="2"/>
  <c r="AX1294" i="2"/>
  <c r="AV1294" i="2"/>
  <c r="AX1291" i="2"/>
  <c r="AV1291" i="2"/>
  <c r="AX1290" i="2"/>
  <c r="AV1290" i="2"/>
  <c r="AX1289" i="2"/>
  <c r="AV1289" i="2"/>
  <c r="AX1288" i="2"/>
  <c r="AV1288" i="2"/>
  <c r="AX1287" i="2"/>
  <c r="AV1287" i="2"/>
  <c r="AX1286" i="2"/>
  <c r="AV1286" i="2"/>
  <c r="AX1283" i="2"/>
  <c r="AV1283" i="2"/>
  <c r="AX1282" i="2"/>
  <c r="AV1282" i="2"/>
  <c r="AX1281" i="2"/>
  <c r="AV1281" i="2"/>
  <c r="AX1280" i="2"/>
  <c r="AV1280" i="2"/>
  <c r="AX1279" i="2"/>
  <c r="AV1279" i="2"/>
  <c r="AX1278" i="2"/>
  <c r="AV1278" i="2"/>
  <c r="AX1275" i="2"/>
  <c r="AV1275" i="2"/>
  <c r="AX1274" i="2"/>
  <c r="AV1274" i="2"/>
  <c r="AX1273" i="2"/>
  <c r="AV1273" i="2"/>
  <c r="AX1272" i="2"/>
  <c r="AV1272" i="2"/>
  <c r="AX1271" i="2"/>
  <c r="AV1271" i="2"/>
  <c r="AX1270" i="2"/>
  <c r="AV1270" i="2"/>
  <c r="AX1267" i="2"/>
  <c r="AV1267" i="2"/>
  <c r="AX1266" i="2"/>
  <c r="AV1266" i="2"/>
  <c r="AX1265" i="2"/>
  <c r="AV1265" i="2"/>
  <c r="AX1264" i="2"/>
  <c r="AV1264" i="2"/>
  <c r="AX1263" i="2"/>
  <c r="AV1263" i="2"/>
  <c r="AX1262" i="2"/>
  <c r="AV1262" i="2"/>
  <c r="AX1259" i="2"/>
  <c r="AV1259" i="2"/>
  <c r="AX1258" i="2"/>
  <c r="AV1258" i="2"/>
  <c r="AX1257" i="2"/>
  <c r="AV1257" i="2"/>
  <c r="AX1256" i="2"/>
  <c r="AV1256" i="2"/>
  <c r="AX1255" i="2"/>
  <c r="AV1255" i="2"/>
  <c r="AX1254" i="2"/>
  <c r="AV1254" i="2"/>
  <c r="AX1251" i="2"/>
  <c r="AV1251" i="2"/>
  <c r="AX1250" i="2"/>
  <c r="AV1250" i="2"/>
  <c r="AX1249" i="2"/>
  <c r="AV1249" i="2"/>
  <c r="AX1248" i="2"/>
  <c r="AV1248" i="2"/>
  <c r="AX1247" i="2"/>
  <c r="AV1247" i="2"/>
  <c r="AX1246" i="2"/>
  <c r="AV1246" i="2"/>
  <c r="AX1243" i="2"/>
  <c r="AV1243" i="2"/>
  <c r="AX1242" i="2"/>
  <c r="AV1242" i="2"/>
  <c r="AX1241" i="2"/>
  <c r="AV1241" i="2"/>
  <c r="AX1240" i="2"/>
  <c r="AV1240" i="2"/>
  <c r="AX1239" i="2"/>
  <c r="AV1239" i="2"/>
  <c r="AX1238" i="2"/>
  <c r="AV1238" i="2"/>
  <c r="AX1235" i="2"/>
  <c r="AV1235" i="2"/>
  <c r="AX1234" i="2"/>
  <c r="AV1234" i="2"/>
  <c r="AX1233" i="2"/>
  <c r="AV1233" i="2"/>
  <c r="AX1232" i="2"/>
  <c r="AV1232" i="2"/>
  <c r="AX1231" i="2"/>
  <c r="AV1231" i="2"/>
  <c r="AX1230" i="2"/>
  <c r="AV1230" i="2"/>
  <c r="AX1227" i="2"/>
  <c r="AV1227" i="2"/>
  <c r="AX1226" i="2"/>
  <c r="AV1226" i="2"/>
  <c r="AX1225" i="2"/>
  <c r="AV1225" i="2"/>
  <c r="AX1224" i="2"/>
  <c r="AV1224" i="2"/>
  <c r="AX1223" i="2"/>
  <c r="AV1223" i="2"/>
  <c r="AX1222" i="2"/>
  <c r="AV1222" i="2"/>
  <c r="AX1219" i="2"/>
  <c r="AV1219" i="2"/>
  <c r="AX1218" i="2"/>
  <c r="AV1218" i="2"/>
  <c r="AX1217" i="2"/>
  <c r="AV1217" i="2"/>
  <c r="AX1216" i="2"/>
  <c r="AV1216" i="2"/>
  <c r="AX1215" i="2"/>
  <c r="AV1215" i="2"/>
  <c r="AX1214" i="2"/>
  <c r="AV1214" i="2"/>
  <c r="AX1211" i="2"/>
  <c r="AV1211" i="2"/>
  <c r="AX1210" i="2"/>
  <c r="AV1210" i="2"/>
  <c r="AX1209" i="2"/>
  <c r="AV1209" i="2"/>
  <c r="AX1208" i="2"/>
  <c r="AV1208" i="2"/>
  <c r="AX1207" i="2"/>
  <c r="AV1207" i="2"/>
  <c r="AX1206" i="2"/>
  <c r="AV1206" i="2"/>
  <c r="AX1203" i="2"/>
  <c r="AV1203" i="2"/>
  <c r="AX1202" i="2"/>
  <c r="AV1202" i="2"/>
  <c r="AX1201" i="2"/>
  <c r="AV1201" i="2"/>
  <c r="AX1200" i="2"/>
  <c r="AV1200" i="2"/>
  <c r="AX1199" i="2"/>
  <c r="AV1199" i="2"/>
  <c r="AX1198" i="2"/>
  <c r="AV1198" i="2"/>
  <c r="AX1195" i="2"/>
  <c r="AV1195" i="2"/>
  <c r="AX1194" i="2"/>
  <c r="AV1194" i="2"/>
  <c r="AX1193" i="2"/>
  <c r="AV1193" i="2"/>
  <c r="AX1192" i="2"/>
  <c r="AV1192" i="2"/>
  <c r="AX1191" i="2"/>
  <c r="AV1191" i="2"/>
  <c r="AX1190" i="2"/>
  <c r="AV1190" i="2"/>
  <c r="AX1187" i="2"/>
  <c r="AV1187" i="2"/>
  <c r="AX1186" i="2"/>
  <c r="AV1186" i="2"/>
  <c r="AX1185" i="2"/>
  <c r="AV1185" i="2"/>
  <c r="AX1184" i="2"/>
  <c r="AV1184" i="2"/>
  <c r="AX1183" i="2"/>
  <c r="AV1183" i="2"/>
  <c r="AX1182" i="2"/>
  <c r="AV1182" i="2"/>
  <c r="AX1179" i="2"/>
  <c r="AV1179" i="2"/>
  <c r="AX1178" i="2"/>
  <c r="AV1178" i="2"/>
  <c r="AX1177" i="2"/>
  <c r="AV1177" i="2"/>
  <c r="AX1176" i="2"/>
  <c r="AV1176" i="2"/>
  <c r="AX1175" i="2"/>
  <c r="AV1175" i="2"/>
  <c r="AX1174" i="2"/>
  <c r="AV1174" i="2"/>
  <c r="AX1171" i="2"/>
  <c r="AV1171" i="2"/>
  <c r="AX1170" i="2"/>
  <c r="AV1170" i="2"/>
  <c r="AX1169" i="2"/>
  <c r="AV1169" i="2"/>
  <c r="AX1168" i="2"/>
  <c r="AV1168" i="2"/>
  <c r="AX1167" i="2"/>
  <c r="AV1167" i="2"/>
  <c r="AX1166" i="2"/>
  <c r="AV1166" i="2"/>
  <c r="AX1163" i="2"/>
  <c r="AV1163" i="2"/>
  <c r="AX1162" i="2"/>
  <c r="AV1162" i="2"/>
  <c r="AX1161" i="2"/>
  <c r="AV1161" i="2"/>
  <c r="AX1160" i="2"/>
  <c r="AV1160" i="2"/>
  <c r="AX1159" i="2"/>
  <c r="AV1159" i="2"/>
  <c r="AX1158" i="2"/>
  <c r="AV1158" i="2"/>
  <c r="AX1155" i="2"/>
  <c r="AV1155" i="2"/>
  <c r="AX1154" i="2"/>
  <c r="AV1154" i="2"/>
  <c r="AX1153" i="2"/>
  <c r="AV1153" i="2"/>
  <c r="AX1152" i="2"/>
  <c r="AV1152" i="2"/>
  <c r="AX1151" i="2"/>
  <c r="AV1151" i="2"/>
  <c r="AX1150" i="2"/>
  <c r="AV1150" i="2"/>
  <c r="AX1147" i="2"/>
  <c r="AV1147" i="2"/>
  <c r="AX1146" i="2"/>
  <c r="AV1146" i="2"/>
  <c r="AX1145" i="2"/>
  <c r="AV1145" i="2"/>
  <c r="AX1144" i="2"/>
  <c r="AV1144" i="2"/>
  <c r="AX1143" i="2"/>
  <c r="AV1143" i="2"/>
  <c r="AX1142" i="2"/>
  <c r="AV1142" i="2"/>
  <c r="AX1139" i="2"/>
  <c r="AV1139" i="2"/>
  <c r="AX1138" i="2"/>
  <c r="AV1138" i="2"/>
  <c r="AX1137" i="2"/>
  <c r="AV1137" i="2"/>
  <c r="AX1136" i="2"/>
  <c r="AV1136" i="2"/>
  <c r="AX1135" i="2"/>
  <c r="AV1135" i="2"/>
  <c r="AX1134" i="2"/>
  <c r="AV1134" i="2"/>
  <c r="AX1131" i="2"/>
  <c r="AV1131" i="2"/>
  <c r="AX1130" i="2"/>
  <c r="AV1130" i="2"/>
  <c r="AX1129" i="2"/>
  <c r="AV1129" i="2"/>
  <c r="AX1128" i="2"/>
  <c r="AV1128" i="2"/>
  <c r="AX1127" i="2"/>
  <c r="AV1127" i="2"/>
  <c r="AX1126" i="2"/>
  <c r="AV1126" i="2"/>
  <c r="AX1123" i="2"/>
  <c r="AV1123" i="2"/>
  <c r="AX1122" i="2"/>
  <c r="AV1122" i="2"/>
  <c r="AX1121" i="2"/>
  <c r="AV1121" i="2"/>
  <c r="AX1120" i="2"/>
  <c r="AV1120" i="2"/>
  <c r="AX1119" i="2"/>
  <c r="AV1119" i="2"/>
  <c r="AX1118" i="2"/>
  <c r="AV1118" i="2"/>
  <c r="AX1115" i="2"/>
  <c r="AV1115" i="2"/>
  <c r="AX1114" i="2"/>
  <c r="AV1114" i="2"/>
  <c r="AX1113" i="2"/>
  <c r="AV1113" i="2"/>
  <c r="AX1112" i="2"/>
  <c r="AV1112" i="2"/>
  <c r="AX1111" i="2"/>
  <c r="AV1111" i="2"/>
  <c r="AX1110" i="2"/>
  <c r="AV1110" i="2"/>
  <c r="AX1107" i="2"/>
  <c r="AV1107" i="2"/>
  <c r="AX1106" i="2"/>
  <c r="AV1106" i="2"/>
  <c r="AX1105" i="2"/>
  <c r="AV1105" i="2"/>
  <c r="AX1104" i="2"/>
  <c r="AV1104" i="2"/>
  <c r="AX1103" i="2"/>
  <c r="AV1103" i="2"/>
  <c r="AX1102" i="2"/>
  <c r="AV1102" i="2"/>
  <c r="AX1099" i="2"/>
  <c r="AV1099" i="2"/>
  <c r="AX1098" i="2"/>
  <c r="AV1098" i="2"/>
  <c r="AX1097" i="2"/>
  <c r="AV1097" i="2"/>
  <c r="AX1096" i="2"/>
  <c r="AV1096" i="2"/>
  <c r="AX1095" i="2"/>
  <c r="AV1095" i="2"/>
  <c r="AX1094" i="2"/>
  <c r="AV1094" i="2"/>
  <c r="AX1091" i="2"/>
  <c r="AV1091" i="2"/>
  <c r="AX1090" i="2"/>
  <c r="AV1090" i="2"/>
  <c r="AX1089" i="2"/>
  <c r="AV1089" i="2"/>
  <c r="AX1088" i="2"/>
  <c r="AV1088" i="2"/>
  <c r="AX1087" i="2"/>
  <c r="AV1087" i="2"/>
  <c r="AX1086" i="2"/>
  <c r="AV1086" i="2"/>
  <c r="AX1083" i="2"/>
  <c r="AV1083" i="2"/>
  <c r="AX1082" i="2"/>
  <c r="AV1082" i="2"/>
  <c r="AX1081" i="2"/>
  <c r="AV1081" i="2"/>
  <c r="AX1080" i="2"/>
  <c r="AV1080" i="2"/>
  <c r="AX1079" i="2"/>
  <c r="AV1079" i="2"/>
  <c r="AX1078" i="2"/>
  <c r="AV1078" i="2"/>
  <c r="AX1075" i="2"/>
  <c r="AV1075" i="2"/>
  <c r="AX1074" i="2"/>
  <c r="AV1074" i="2"/>
  <c r="AX1073" i="2"/>
  <c r="AV1073" i="2"/>
  <c r="AX1072" i="2"/>
  <c r="AV1072" i="2"/>
  <c r="AX1071" i="2"/>
  <c r="AV1071" i="2"/>
  <c r="AX1070" i="2"/>
  <c r="AV1070" i="2"/>
  <c r="AX1067" i="2"/>
  <c r="AV1067" i="2"/>
  <c r="AX1066" i="2"/>
  <c r="AV1066" i="2"/>
  <c r="AX1065" i="2"/>
  <c r="AV1065" i="2"/>
  <c r="AX1064" i="2"/>
  <c r="AV1064" i="2"/>
  <c r="AX1063" i="2"/>
  <c r="AV1063" i="2"/>
  <c r="AX1062" i="2"/>
  <c r="AV1062" i="2"/>
  <c r="AX1059" i="2"/>
  <c r="AV1059" i="2"/>
  <c r="AX1058" i="2"/>
  <c r="AV1058" i="2"/>
  <c r="AX1057" i="2"/>
  <c r="AV1057" i="2"/>
  <c r="AX1056" i="2"/>
  <c r="AV1056" i="2"/>
  <c r="AX1055" i="2"/>
  <c r="AV1055" i="2"/>
  <c r="AX1054" i="2"/>
  <c r="AV1054" i="2"/>
  <c r="AX1051" i="2"/>
  <c r="AV1051" i="2"/>
  <c r="AX1050" i="2"/>
  <c r="AV1050" i="2"/>
  <c r="AX1049" i="2"/>
  <c r="AV1049" i="2"/>
  <c r="AX1048" i="2"/>
  <c r="AV1048" i="2"/>
  <c r="AX1047" i="2"/>
  <c r="AV1047" i="2"/>
  <c r="AX1046" i="2"/>
  <c r="AV1046" i="2"/>
  <c r="AX1043" i="2"/>
  <c r="AV1043" i="2"/>
  <c r="AX1042" i="2"/>
  <c r="AV1042" i="2"/>
  <c r="AX1041" i="2"/>
  <c r="AV1041" i="2"/>
  <c r="AX1040" i="2"/>
  <c r="AV1040" i="2"/>
  <c r="AX1039" i="2"/>
  <c r="AV1039" i="2"/>
  <c r="AX1038" i="2"/>
  <c r="AV1038" i="2"/>
  <c r="AX1035" i="2"/>
  <c r="AV1035" i="2"/>
  <c r="AX1034" i="2"/>
  <c r="AV1034" i="2"/>
  <c r="AX1033" i="2"/>
  <c r="AV1033" i="2"/>
  <c r="AX1032" i="2"/>
  <c r="AV1032" i="2"/>
  <c r="AX1031" i="2"/>
  <c r="AV1031" i="2"/>
  <c r="AX1030" i="2"/>
  <c r="AV1030" i="2"/>
  <c r="AX1027" i="2"/>
  <c r="AV1027" i="2"/>
  <c r="AX1026" i="2"/>
  <c r="AV1026" i="2"/>
  <c r="AX1025" i="2"/>
  <c r="AV1025" i="2"/>
  <c r="AX1024" i="2"/>
  <c r="AV1024" i="2"/>
  <c r="AX1023" i="2"/>
  <c r="AV1023" i="2"/>
  <c r="AX1022" i="2"/>
  <c r="AV1022" i="2"/>
  <c r="AX1019" i="2"/>
  <c r="AV1019" i="2"/>
  <c r="AX1018" i="2"/>
  <c r="AV1018" i="2"/>
  <c r="AX1017" i="2"/>
  <c r="AV1017" i="2"/>
  <c r="AX1016" i="2"/>
  <c r="AV1016" i="2"/>
  <c r="AX1015" i="2"/>
  <c r="AV1015" i="2"/>
  <c r="AX1014" i="2"/>
  <c r="AV1014" i="2"/>
  <c r="AX1011" i="2"/>
  <c r="AV1011" i="2"/>
  <c r="AX1010" i="2"/>
  <c r="AV1010" i="2"/>
  <c r="AX1009" i="2"/>
  <c r="AV1009" i="2"/>
  <c r="AX1008" i="2"/>
  <c r="AV1008" i="2"/>
  <c r="AX1007" i="2"/>
  <c r="AV1007" i="2"/>
  <c r="AX1006" i="2"/>
  <c r="AV1006" i="2"/>
  <c r="AX1003" i="2"/>
  <c r="AV1003" i="2"/>
  <c r="AX1002" i="2"/>
  <c r="AV1002" i="2"/>
  <c r="AX1001" i="2"/>
  <c r="AV1001" i="2"/>
  <c r="AX1000" i="2"/>
  <c r="AV1000" i="2"/>
  <c r="AX999" i="2"/>
  <c r="AV999" i="2"/>
  <c r="AX998" i="2"/>
  <c r="AV998" i="2"/>
  <c r="AX995" i="2"/>
  <c r="AV995" i="2"/>
  <c r="AX994" i="2"/>
  <c r="AV994" i="2"/>
  <c r="AX993" i="2"/>
  <c r="AV993" i="2"/>
  <c r="AX992" i="2"/>
  <c r="AV992" i="2"/>
  <c r="AX991" i="2"/>
  <c r="AV991" i="2"/>
  <c r="AX990" i="2"/>
  <c r="AV990" i="2"/>
  <c r="AX987" i="2"/>
  <c r="AV987" i="2"/>
  <c r="AX986" i="2"/>
  <c r="AV986" i="2"/>
  <c r="AX985" i="2"/>
  <c r="AV985" i="2"/>
  <c r="AX984" i="2"/>
  <c r="AV984" i="2"/>
  <c r="AX983" i="2"/>
  <c r="AV983" i="2"/>
  <c r="AX982" i="2"/>
  <c r="AV982" i="2"/>
  <c r="AX979" i="2"/>
  <c r="AV979" i="2"/>
  <c r="AX978" i="2"/>
  <c r="AV978" i="2"/>
  <c r="AX977" i="2"/>
  <c r="AV977" i="2"/>
  <c r="AX976" i="2"/>
  <c r="AV976" i="2"/>
  <c r="AX975" i="2"/>
  <c r="AV975" i="2"/>
  <c r="AX974" i="2"/>
  <c r="AV974" i="2"/>
  <c r="AX971" i="2"/>
  <c r="AV971" i="2"/>
  <c r="AX970" i="2"/>
  <c r="AV970" i="2"/>
  <c r="AX969" i="2"/>
  <c r="AV969" i="2"/>
  <c r="AX968" i="2"/>
  <c r="AV968" i="2"/>
  <c r="AX967" i="2"/>
  <c r="AV967" i="2"/>
  <c r="AX966" i="2"/>
  <c r="AV966" i="2"/>
  <c r="AX963" i="2"/>
  <c r="AV963" i="2"/>
  <c r="AX962" i="2"/>
  <c r="AV962" i="2"/>
  <c r="AX961" i="2"/>
  <c r="AV961" i="2"/>
  <c r="AX960" i="2"/>
  <c r="AV960" i="2"/>
  <c r="AX959" i="2"/>
  <c r="AV959" i="2"/>
  <c r="AX958" i="2"/>
  <c r="AV958" i="2"/>
  <c r="AX955" i="2"/>
  <c r="AV955" i="2"/>
  <c r="AX954" i="2"/>
  <c r="AV954" i="2"/>
  <c r="AX953" i="2"/>
  <c r="AV953" i="2"/>
  <c r="AX952" i="2"/>
  <c r="AV952" i="2"/>
  <c r="AX951" i="2"/>
  <c r="AV951" i="2"/>
  <c r="AX950" i="2"/>
  <c r="AV950" i="2"/>
  <c r="AX947" i="2"/>
  <c r="AV947" i="2"/>
  <c r="AX946" i="2"/>
  <c r="AV946" i="2"/>
  <c r="AX945" i="2"/>
  <c r="AV945" i="2"/>
  <c r="AX944" i="2"/>
  <c r="AV944" i="2"/>
  <c r="AX943" i="2"/>
  <c r="AV943" i="2"/>
  <c r="AX942" i="2"/>
  <c r="AV942" i="2"/>
  <c r="AX939" i="2"/>
  <c r="AV939" i="2"/>
  <c r="AX938" i="2"/>
  <c r="AV938" i="2"/>
  <c r="AX937" i="2"/>
  <c r="AV937" i="2"/>
  <c r="AX936" i="2"/>
  <c r="AV936" i="2"/>
  <c r="AX935" i="2"/>
  <c r="AV935" i="2"/>
  <c r="AX934" i="2"/>
  <c r="AV934" i="2"/>
  <c r="AX931" i="2"/>
  <c r="AV931" i="2"/>
  <c r="AX930" i="2"/>
  <c r="AV930" i="2"/>
  <c r="AX929" i="2"/>
  <c r="AV929" i="2"/>
  <c r="AX928" i="2"/>
  <c r="AV928" i="2"/>
  <c r="AX927" i="2"/>
  <c r="AV927" i="2"/>
  <c r="AX926" i="2"/>
  <c r="AV926" i="2"/>
  <c r="AX923" i="2"/>
  <c r="AV923" i="2"/>
  <c r="AX922" i="2"/>
  <c r="AV922" i="2"/>
  <c r="AX921" i="2"/>
  <c r="AV921" i="2"/>
  <c r="AX920" i="2"/>
  <c r="AV920" i="2"/>
  <c r="AX919" i="2"/>
  <c r="AV919" i="2"/>
  <c r="AX918" i="2"/>
  <c r="AV918" i="2"/>
  <c r="AX915" i="2"/>
  <c r="AV915" i="2"/>
  <c r="AX914" i="2"/>
  <c r="AV914" i="2"/>
  <c r="AX913" i="2"/>
  <c r="AV913" i="2"/>
  <c r="AX912" i="2"/>
  <c r="AV912" i="2"/>
  <c r="AX911" i="2"/>
  <c r="AV911" i="2"/>
  <c r="AX910" i="2"/>
  <c r="AV910" i="2"/>
  <c r="AX907" i="2"/>
  <c r="AV907" i="2"/>
  <c r="AX906" i="2"/>
  <c r="AV906" i="2"/>
  <c r="AX905" i="2"/>
  <c r="AV905" i="2"/>
  <c r="AX904" i="2"/>
  <c r="AV904" i="2"/>
  <c r="AX903" i="2"/>
  <c r="AV903" i="2"/>
  <c r="AX902" i="2"/>
  <c r="AV902" i="2"/>
  <c r="AX899" i="2"/>
  <c r="AV899" i="2"/>
  <c r="AX898" i="2"/>
  <c r="AV898" i="2"/>
  <c r="AX897" i="2"/>
  <c r="AV897" i="2"/>
  <c r="AX896" i="2"/>
  <c r="AV896" i="2"/>
  <c r="AX895" i="2"/>
  <c r="AV895" i="2"/>
  <c r="AX894" i="2"/>
  <c r="AV894" i="2"/>
  <c r="AX891" i="2"/>
  <c r="AV891" i="2"/>
  <c r="AX890" i="2"/>
  <c r="AV890" i="2"/>
  <c r="AX889" i="2"/>
  <c r="AV889" i="2"/>
  <c r="AX888" i="2"/>
  <c r="AV888" i="2"/>
  <c r="AX887" i="2"/>
  <c r="AV887" i="2"/>
  <c r="AX886" i="2"/>
  <c r="AV886" i="2"/>
  <c r="AX883" i="2"/>
  <c r="AV883" i="2"/>
  <c r="AX882" i="2"/>
  <c r="AV882" i="2"/>
  <c r="AX881" i="2"/>
  <c r="AV881" i="2"/>
  <c r="AX880" i="2"/>
  <c r="AV880" i="2"/>
  <c r="AX879" i="2"/>
  <c r="AV879" i="2"/>
  <c r="AX878" i="2"/>
  <c r="AV878" i="2"/>
  <c r="AX875" i="2"/>
  <c r="AV875" i="2"/>
  <c r="AX874" i="2"/>
  <c r="AV874" i="2"/>
  <c r="AX873" i="2"/>
  <c r="AV873" i="2"/>
  <c r="AX872" i="2"/>
  <c r="AV872" i="2"/>
  <c r="AX871" i="2"/>
  <c r="AV871" i="2"/>
  <c r="AX870" i="2"/>
  <c r="AV870" i="2"/>
  <c r="AX867" i="2"/>
  <c r="AV867" i="2"/>
  <c r="AX866" i="2"/>
  <c r="AV866" i="2"/>
  <c r="AX865" i="2"/>
  <c r="AV865" i="2"/>
  <c r="AX864" i="2"/>
  <c r="AV864" i="2"/>
  <c r="AX863" i="2"/>
  <c r="AV863" i="2"/>
  <c r="AX862" i="2"/>
  <c r="AV862" i="2"/>
  <c r="AX859" i="2"/>
  <c r="AV859" i="2"/>
  <c r="AX858" i="2"/>
  <c r="AV858" i="2"/>
  <c r="AX857" i="2"/>
  <c r="AV857" i="2"/>
  <c r="AX856" i="2"/>
  <c r="AV856" i="2"/>
  <c r="AX855" i="2"/>
  <c r="AV855" i="2"/>
  <c r="AX854" i="2"/>
  <c r="AV854" i="2"/>
  <c r="AX851" i="2"/>
  <c r="AV851" i="2"/>
  <c r="AX850" i="2"/>
  <c r="AV850" i="2"/>
  <c r="AX849" i="2"/>
  <c r="AV849" i="2"/>
  <c r="AX848" i="2"/>
  <c r="AV848" i="2"/>
  <c r="AX847" i="2"/>
  <c r="AV847" i="2"/>
  <c r="AX846" i="2"/>
  <c r="AV846" i="2"/>
  <c r="AX843" i="2"/>
  <c r="AV843" i="2"/>
  <c r="AX842" i="2"/>
  <c r="AV842" i="2"/>
  <c r="AX841" i="2"/>
  <c r="AV841" i="2"/>
  <c r="AX840" i="2"/>
  <c r="AV840" i="2"/>
  <c r="AX839" i="2"/>
  <c r="AV839" i="2"/>
  <c r="AX838" i="2"/>
  <c r="AV838" i="2"/>
  <c r="AX835" i="2"/>
  <c r="AV835" i="2"/>
  <c r="AX834" i="2"/>
  <c r="AV834" i="2"/>
  <c r="AX833" i="2"/>
  <c r="AV833" i="2"/>
  <c r="AX832" i="2"/>
  <c r="AV832" i="2"/>
  <c r="AX831" i="2"/>
  <c r="AV831" i="2"/>
  <c r="AX830" i="2"/>
  <c r="AV830" i="2"/>
  <c r="AX827" i="2"/>
  <c r="AV827" i="2"/>
  <c r="AX826" i="2"/>
  <c r="AV826" i="2"/>
  <c r="AX825" i="2"/>
  <c r="AV825" i="2"/>
  <c r="AX824" i="2"/>
  <c r="AV824" i="2"/>
  <c r="AX823" i="2"/>
  <c r="AV823" i="2"/>
  <c r="AX822" i="2"/>
  <c r="AV822" i="2"/>
  <c r="AX819" i="2"/>
  <c r="AV819" i="2"/>
  <c r="AX818" i="2"/>
  <c r="AV818" i="2"/>
  <c r="AX817" i="2"/>
  <c r="AV817" i="2"/>
  <c r="AX816" i="2"/>
  <c r="AV816" i="2"/>
  <c r="AX815" i="2"/>
  <c r="AV815" i="2"/>
  <c r="AX814" i="2"/>
  <c r="AV814" i="2"/>
  <c r="AX811" i="2"/>
  <c r="AV811" i="2"/>
  <c r="AX810" i="2"/>
  <c r="AV810" i="2"/>
  <c r="AX809" i="2"/>
  <c r="AV809" i="2"/>
  <c r="AX808" i="2"/>
  <c r="AV808" i="2"/>
  <c r="AX807" i="2"/>
  <c r="AV807" i="2"/>
  <c r="AX806" i="2"/>
  <c r="AV806" i="2"/>
  <c r="AX803" i="2"/>
  <c r="AV803" i="2"/>
  <c r="AX802" i="2"/>
  <c r="AV802" i="2"/>
  <c r="AX801" i="2"/>
  <c r="AV801" i="2"/>
  <c r="AX800" i="2"/>
  <c r="AV800" i="2"/>
  <c r="AX799" i="2"/>
  <c r="AV799" i="2"/>
  <c r="AX798" i="2"/>
  <c r="AV798" i="2"/>
  <c r="AX795" i="2"/>
  <c r="AV795" i="2"/>
  <c r="AX794" i="2"/>
  <c r="AV794" i="2"/>
  <c r="AX793" i="2"/>
  <c r="AV793" i="2"/>
  <c r="AX792" i="2"/>
  <c r="AV792" i="2"/>
  <c r="AX791" i="2"/>
  <c r="AV791" i="2"/>
  <c r="AX790" i="2"/>
  <c r="AV790" i="2"/>
  <c r="AX787" i="2"/>
  <c r="AV787" i="2"/>
  <c r="AX786" i="2"/>
  <c r="AV786" i="2"/>
  <c r="AX785" i="2"/>
  <c r="AV785" i="2"/>
  <c r="AX784" i="2"/>
  <c r="AV784" i="2"/>
  <c r="AX783" i="2"/>
  <c r="AV783" i="2"/>
  <c r="AX782" i="2"/>
  <c r="AV782" i="2"/>
  <c r="AX779" i="2"/>
  <c r="AV779" i="2"/>
  <c r="AX778" i="2"/>
  <c r="AV778" i="2"/>
  <c r="AX777" i="2"/>
  <c r="AV777" i="2"/>
  <c r="AX776" i="2"/>
  <c r="AV776" i="2"/>
  <c r="AX775" i="2"/>
  <c r="AV775" i="2"/>
  <c r="AX774" i="2"/>
  <c r="AV774" i="2"/>
  <c r="AX771" i="2"/>
  <c r="AV771" i="2"/>
  <c r="AX770" i="2"/>
  <c r="AV770" i="2"/>
  <c r="AX769" i="2"/>
  <c r="AV769" i="2"/>
  <c r="AX768" i="2"/>
  <c r="AV768" i="2"/>
  <c r="AX767" i="2"/>
  <c r="AV767" i="2"/>
  <c r="AX766" i="2"/>
  <c r="AV766" i="2"/>
  <c r="AX763" i="2"/>
  <c r="AV763" i="2"/>
  <c r="AX762" i="2"/>
  <c r="AV762" i="2"/>
  <c r="AX761" i="2"/>
  <c r="AV761" i="2"/>
  <c r="AX760" i="2"/>
  <c r="AV760" i="2"/>
  <c r="AX759" i="2"/>
  <c r="AV759" i="2"/>
  <c r="AX758" i="2"/>
  <c r="AV758" i="2"/>
  <c r="AX755" i="2"/>
  <c r="AV755" i="2"/>
  <c r="AX754" i="2"/>
  <c r="AV754" i="2"/>
  <c r="AX753" i="2"/>
  <c r="AV753" i="2"/>
  <c r="AX752" i="2"/>
  <c r="AV752" i="2"/>
  <c r="AX751" i="2"/>
  <c r="AV751" i="2"/>
  <c r="AX750" i="2"/>
  <c r="AV750" i="2"/>
  <c r="AX747" i="2"/>
  <c r="AV747" i="2"/>
  <c r="AX746" i="2"/>
  <c r="AV746" i="2"/>
  <c r="AX745" i="2"/>
  <c r="AV745" i="2"/>
  <c r="AX744" i="2"/>
  <c r="AV744" i="2"/>
  <c r="AX743" i="2"/>
  <c r="AV743" i="2"/>
  <c r="AX742" i="2"/>
  <c r="AV742" i="2"/>
  <c r="AX739" i="2"/>
  <c r="AV739" i="2"/>
  <c r="AX738" i="2"/>
  <c r="AV738" i="2"/>
  <c r="AX737" i="2"/>
  <c r="AV737" i="2"/>
  <c r="AX736" i="2"/>
  <c r="AV736" i="2"/>
  <c r="AX735" i="2"/>
  <c r="AV735" i="2"/>
  <c r="AX734" i="2"/>
  <c r="AV734" i="2"/>
  <c r="AX731" i="2"/>
  <c r="AV731" i="2"/>
  <c r="AX730" i="2"/>
  <c r="AV730" i="2"/>
  <c r="AX729" i="2"/>
  <c r="AV729" i="2"/>
  <c r="AX728" i="2"/>
  <c r="AV728" i="2"/>
  <c r="AX727" i="2"/>
  <c r="AV727" i="2"/>
  <c r="AX726" i="2"/>
  <c r="AV726" i="2"/>
  <c r="AX723" i="2"/>
  <c r="AV723" i="2"/>
  <c r="AX722" i="2"/>
  <c r="AV722" i="2"/>
  <c r="AX721" i="2"/>
  <c r="AV721" i="2"/>
  <c r="AX720" i="2"/>
  <c r="AV720" i="2"/>
  <c r="AX719" i="2"/>
  <c r="AV719" i="2"/>
  <c r="AX718" i="2"/>
  <c r="AV718" i="2"/>
  <c r="AX715" i="2"/>
  <c r="AV715" i="2"/>
  <c r="AX714" i="2"/>
  <c r="AV714" i="2"/>
  <c r="AX713" i="2"/>
  <c r="AV713" i="2"/>
  <c r="AX712" i="2"/>
  <c r="AV712" i="2"/>
  <c r="AX711" i="2"/>
  <c r="AV711" i="2"/>
  <c r="AX710" i="2"/>
  <c r="AV710" i="2"/>
  <c r="AX707" i="2"/>
  <c r="AV707" i="2"/>
  <c r="AX706" i="2"/>
  <c r="AV706" i="2"/>
  <c r="AX705" i="2"/>
  <c r="AV705" i="2"/>
  <c r="AX704" i="2"/>
  <c r="AV704" i="2"/>
  <c r="AX703" i="2"/>
  <c r="AV703" i="2"/>
  <c r="AX702" i="2"/>
  <c r="AV702" i="2"/>
  <c r="AX699" i="2"/>
  <c r="AV699" i="2"/>
  <c r="AX698" i="2"/>
  <c r="AV698" i="2"/>
  <c r="AX697" i="2"/>
  <c r="AV697" i="2"/>
  <c r="AX696" i="2"/>
  <c r="AV696" i="2"/>
  <c r="AX695" i="2"/>
  <c r="AV695" i="2"/>
  <c r="AX694" i="2"/>
  <c r="AV694" i="2"/>
  <c r="AX691" i="2"/>
  <c r="AV691" i="2"/>
  <c r="AX690" i="2"/>
  <c r="AV690" i="2"/>
  <c r="AX689" i="2"/>
  <c r="AV689" i="2"/>
  <c r="AX688" i="2"/>
  <c r="AV688" i="2"/>
  <c r="AX687" i="2"/>
  <c r="AV687" i="2"/>
  <c r="AX686" i="2"/>
  <c r="AV686" i="2"/>
  <c r="AX683" i="2"/>
  <c r="AV683" i="2"/>
  <c r="AX682" i="2"/>
  <c r="AV682" i="2"/>
  <c r="AX681" i="2"/>
  <c r="AV681" i="2"/>
  <c r="AX680" i="2"/>
  <c r="AV680" i="2"/>
  <c r="AX679" i="2"/>
  <c r="AV679" i="2"/>
  <c r="AX678" i="2"/>
  <c r="AV678" i="2"/>
  <c r="AX675" i="2"/>
  <c r="AV675" i="2"/>
  <c r="AX674" i="2"/>
  <c r="AV674" i="2"/>
  <c r="AX673" i="2"/>
  <c r="AV673" i="2"/>
  <c r="AX672" i="2"/>
  <c r="AV672" i="2"/>
  <c r="AX671" i="2"/>
  <c r="AV671" i="2"/>
  <c r="AX670" i="2"/>
  <c r="AV670" i="2"/>
  <c r="AX667" i="2"/>
  <c r="AV667" i="2"/>
  <c r="AX666" i="2"/>
  <c r="AV666" i="2"/>
  <c r="AX665" i="2"/>
  <c r="AV665" i="2"/>
  <c r="AX664" i="2"/>
  <c r="AV664" i="2"/>
  <c r="AX663" i="2"/>
  <c r="AV663" i="2"/>
  <c r="AX662" i="2"/>
  <c r="AV662" i="2"/>
  <c r="AX659" i="2"/>
  <c r="AV659" i="2"/>
  <c r="AX658" i="2"/>
  <c r="AV658" i="2"/>
  <c r="AX657" i="2"/>
  <c r="AV657" i="2"/>
  <c r="AX656" i="2"/>
  <c r="AV656" i="2"/>
  <c r="AX655" i="2"/>
  <c r="AV655" i="2"/>
  <c r="AX654" i="2"/>
  <c r="AV654" i="2"/>
  <c r="AX651" i="2"/>
  <c r="AV651" i="2"/>
  <c r="AX650" i="2"/>
  <c r="AV650" i="2"/>
  <c r="AX649" i="2"/>
  <c r="AV649" i="2"/>
  <c r="AX648" i="2"/>
  <c r="AV648" i="2"/>
  <c r="AX647" i="2"/>
  <c r="AV647" i="2"/>
  <c r="AX646" i="2"/>
  <c r="AV646" i="2"/>
  <c r="AX643" i="2"/>
  <c r="AV643" i="2"/>
  <c r="AX642" i="2"/>
  <c r="AV642" i="2"/>
  <c r="AX641" i="2"/>
  <c r="AV641" i="2"/>
  <c r="AX640" i="2"/>
  <c r="AV640" i="2"/>
  <c r="AX639" i="2"/>
  <c r="AV639" i="2"/>
  <c r="AX638" i="2"/>
  <c r="AV638" i="2"/>
  <c r="AX635" i="2"/>
  <c r="AV635" i="2"/>
  <c r="AX634" i="2"/>
  <c r="AV634" i="2"/>
  <c r="AX633" i="2"/>
  <c r="AV633" i="2"/>
  <c r="AX632" i="2"/>
  <c r="AV632" i="2"/>
  <c r="AX631" i="2"/>
  <c r="AV631" i="2"/>
  <c r="AX630" i="2"/>
  <c r="AV630" i="2"/>
  <c r="AX627" i="2"/>
  <c r="AV627" i="2"/>
  <c r="AX626" i="2"/>
  <c r="AV626" i="2"/>
  <c r="AX625" i="2"/>
  <c r="AV625" i="2"/>
  <c r="AX624" i="2"/>
  <c r="AV624" i="2"/>
  <c r="AX623" i="2"/>
  <c r="AV623" i="2"/>
  <c r="AX622" i="2"/>
  <c r="AV622" i="2"/>
  <c r="AX619" i="2"/>
  <c r="AV619" i="2"/>
  <c r="AX618" i="2"/>
  <c r="AV618" i="2"/>
  <c r="AX617" i="2"/>
  <c r="AV617" i="2"/>
  <c r="AX616" i="2"/>
  <c r="AV616" i="2"/>
  <c r="AX615" i="2"/>
  <c r="AV615" i="2"/>
  <c r="AX614" i="2"/>
  <c r="AV614" i="2"/>
  <c r="AX611" i="2"/>
  <c r="AV611" i="2"/>
  <c r="AX610" i="2"/>
  <c r="AX609" i="2"/>
  <c r="AV609" i="2"/>
  <c r="AX608" i="2"/>
  <c r="AV608" i="2"/>
  <c r="AX607" i="2"/>
  <c r="AV607" i="2"/>
  <c r="AX606" i="2"/>
  <c r="AV606" i="2"/>
  <c r="AX603" i="2"/>
  <c r="AV603" i="2"/>
  <c r="AX602" i="2"/>
  <c r="AX601" i="2"/>
  <c r="AV601" i="2"/>
  <c r="AX600" i="2"/>
  <c r="AV600" i="2"/>
  <c r="AX599" i="2"/>
  <c r="AV599" i="2"/>
  <c r="AX598" i="2"/>
  <c r="AV598" i="2"/>
  <c r="AX595" i="2"/>
  <c r="AV595" i="2"/>
  <c r="AX594" i="2"/>
  <c r="AX593" i="2"/>
  <c r="AV593" i="2"/>
  <c r="AX592" i="2"/>
  <c r="AV592" i="2"/>
  <c r="AX591" i="2"/>
  <c r="AV591" i="2"/>
  <c r="AX590" i="2"/>
  <c r="AV590" i="2"/>
  <c r="AX587" i="2"/>
  <c r="AV587" i="2"/>
  <c r="AX586" i="2"/>
  <c r="AX585" i="2"/>
  <c r="AV585" i="2"/>
  <c r="AX584" i="2"/>
  <c r="AV584" i="2"/>
  <c r="AX583" i="2"/>
  <c r="AV583" i="2"/>
  <c r="AX582" i="2"/>
  <c r="AV582" i="2"/>
  <c r="AX579" i="2"/>
  <c r="AV579" i="2"/>
  <c r="AX578" i="2"/>
  <c r="AX577" i="2"/>
  <c r="AV577" i="2"/>
  <c r="AX576" i="2"/>
  <c r="AV576" i="2"/>
  <c r="AX575" i="2"/>
  <c r="AV575" i="2"/>
  <c r="AX574" i="2"/>
  <c r="AV574" i="2"/>
  <c r="AX571" i="2"/>
  <c r="AV571" i="2"/>
  <c r="AX570" i="2"/>
  <c r="AV570" i="2"/>
  <c r="AX569" i="2"/>
  <c r="AV569" i="2"/>
  <c r="AX568" i="2"/>
  <c r="AV568" i="2"/>
  <c r="AX567" i="2"/>
  <c r="AV567" i="2"/>
  <c r="AX566" i="2"/>
  <c r="AV566" i="2"/>
  <c r="AX563" i="2"/>
  <c r="AV563" i="2"/>
  <c r="AX562" i="2"/>
  <c r="AV562" i="2"/>
  <c r="AX561" i="2"/>
  <c r="AV561" i="2"/>
  <c r="AX560" i="2"/>
  <c r="AV560" i="2"/>
  <c r="AX559" i="2"/>
  <c r="AV559" i="2"/>
  <c r="AX558" i="2"/>
  <c r="AV558" i="2"/>
  <c r="AX555" i="2"/>
  <c r="AV555" i="2"/>
  <c r="AX554" i="2"/>
  <c r="AV554" i="2"/>
  <c r="AX553" i="2"/>
  <c r="AV553" i="2"/>
  <c r="AX552" i="2"/>
  <c r="AV552" i="2"/>
  <c r="AX551" i="2"/>
  <c r="AV551" i="2"/>
  <c r="AX550" i="2"/>
  <c r="AV550" i="2"/>
  <c r="AX547" i="2"/>
  <c r="AV547" i="2"/>
  <c r="AX546" i="2"/>
  <c r="AV546" i="2"/>
  <c r="AX545" i="2"/>
  <c r="AV545" i="2"/>
  <c r="AX544" i="2"/>
  <c r="AV544" i="2"/>
  <c r="AX543" i="2"/>
  <c r="AV543" i="2"/>
  <c r="AX542" i="2"/>
  <c r="AV542" i="2"/>
  <c r="AX539" i="2"/>
  <c r="AV539" i="2"/>
  <c r="AX538" i="2"/>
  <c r="AV538" i="2"/>
  <c r="AX537" i="2"/>
  <c r="AV537" i="2"/>
  <c r="AX536" i="2"/>
  <c r="AV536" i="2"/>
  <c r="AX535" i="2"/>
  <c r="AV535" i="2"/>
  <c r="AX534" i="2"/>
  <c r="AV534" i="2"/>
  <c r="AX531" i="2"/>
  <c r="AV531" i="2"/>
  <c r="AX530" i="2"/>
  <c r="AV530" i="2"/>
  <c r="AX529" i="2"/>
  <c r="AV529" i="2"/>
  <c r="AX528" i="2"/>
  <c r="AV528" i="2"/>
  <c r="AX527" i="2"/>
  <c r="AV527" i="2"/>
  <c r="AX526" i="2"/>
  <c r="AV526" i="2"/>
  <c r="AX523" i="2"/>
  <c r="AV523" i="2"/>
  <c r="AX522" i="2"/>
  <c r="AV522" i="2"/>
  <c r="AX521" i="2"/>
  <c r="AV521" i="2"/>
  <c r="AX520" i="2"/>
  <c r="AV520" i="2"/>
  <c r="AX519" i="2"/>
  <c r="AV519" i="2"/>
  <c r="AX518" i="2"/>
  <c r="AV518" i="2"/>
  <c r="AX515" i="2"/>
  <c r="AV515" i="2"/>
  <c r="AX514" i="2"/>
  <c r="AV514" i="2"/>
  <c r="AX513" i="2"/>
  <c r="AV513" i="2"/>
  <c r="AX512" i="2"/>
  <c r="AV512" i="2"/>
  <c r="AX511" i="2"/>
  <c r="AV511" i="2"/>
  <c r="AX510" i="2"/>
  <c r="AV510" i="2"/>
  <c r="AX507" i="2"/>
  <c r="AV507" i="2"/>
  <c r="AX506" i="2"/>
  <c r="AV506" i="2"/>
  <c r="AX505" i="2"/>
  <c r="AV505" i="2"/>
  <c r="AX504" i="2"/>
  <c r="AV504" i="2"/>
  <c r="AX503" i="2"/>
  <c r="AV503" i="2"/>
  <c r="AX502" i="2"/>
  <c r="AV502" i="2"/>
  <c r="AX499" i="2"/>
  <c r="AV499" i="2"/>
  <c r="AX498" i="2"/>
  <c r="AV498" i="2"/>
  <c r="AX497" i="2"/>
  <c r="AV497" i="2"/>
  <c r="AX496" i="2"/>
  <c r="AV496" i="2"/>
  <c r="AX495" i="2"/>
  <c r="AV495" i="2"/>
  <c r="AX494" i="2"/>
  <c r="AV494" i="2"/>
  <c r="AX491" i="2"/>
  <c r="AV491" i="2"/>
  <c r="AX490" i="2"/>
  <c r="AV490" i="2"/>
  <c r="AX489" i="2"/>
  <c r="AV489" i="2"/>
  <c r="AX488" i="2"/>
  <c r="AV488" i="2"/>
  <c r="AX487" i="2"/>
  <c r="AV487" i="2"/>
  <c r="AX486" i="2"/>
  <c r="AV486" i="2"/>
  <c r="AX483" i="2"/>
  <c r="AV483" i="2"/>
  <c r="AX482" i="2"/>
  <c r="AV482" i="2"/>
  <c r="AX481" i="2"/>
  <c r="AV481" i="2"/>
  <c r="AX480" i="2"/>
  <c r="AV480" i="2"/>
  <c r="AX479" i="2"/>
  <c r="AV479" i="2"/>
  <c r="AX478" i="2"/>
  <c r="AV478" i="2"/>
  <c r="AX475" i="2"/>
  <c r="AV475" i="2"/>
  <c r="AX474" i="2"/>
  <c r="AV474" i="2"/>
  <c r="AX473" i="2"/>
  <c r="AV473" i="2"/>
  <c r="AX472" i="2"/>
  <c r="AV472" i="2"/>
  <c r="AX471" i="2"/>
  <c r="AV471" i="2"/>
  <c r="AX470" i="2"/>
  <c r="AV470" i="2"/>
  <c r="AX467" i="2"/>
  <c r="AV467" i="2"/>
  <c r="AX466" i="2"/>
  <c r="AV466" i="2"/>
  <c r="AX465" i="2"/>
  <c r="AV465" i="2"/>
  <c r="AX464" i="2"/>
  <c r="AV464" i="2"/>
  <c r="AX463" i="2"/>
  <c r="AV463" i="2"/>
  <c r="AX462" i="2"/>
  <c r="AV462" i="2"/>
  <c r="AX459" i="2"/>
  <c r="AV459" i="2"/>
  <c r="AX458" i="2"/>
  <c r="AV458" i="2"/>
  <c r="AX457" i="2"/>
  <c r="AV457" i="2"/>
  <c r="AX456" i="2"/>
  <c r="AV456" i="2"/>
  <c r="AX455" i="2"/>
  <c r="AV455" i="2"/>
  <c r="AX454" i="2"/>
  <c r="AV454" i="2"/>
  <c r="AX451" i="2"/>
  <c r="AV451" i="2"/>
  <c r="AX450" i="2"/>
  <c r="AV450" i="2"/>
  <c r="AX449" i="2"/>
  <c r="AV449" i="2"/>
  <c r="AX448" i="2"/>
  <c r="AV448" i="2"/>
  <c r="AX447" i="2"/>
  <c r="AV447" i="2"/>
  <c r="AX446" i="2"/>
  <c r="AV446" i="2"/>
  <c r="AX443" i="2"/>
  <c r="AV443" i="2"/>
  <c r="AX442" i="2"/>
  <c r="AV442" i="2"/>
  <c r="AX441" i="2"/>
  <c r="AV441" i="2"/>
  <c r="AX440" i="2"/>
  <c r="AV440" i="2"/>
  <c r="AX439" i="2"/>
  <c r="AV439" i="2"/>
  <c r="AX438" i="2"/>
  <c r="AV438" i="2"/>
  <c r="AX435" i="2"/>
  <c r="AV435" i="2"/>
  <c r="AX434" i="2"/>
  <c r="AV434" i="2"/>
  <c r="AX433" i="2"/>
  <c r="AV433" i="2"/>
  <c r="AX432" i="2"/>
  <c r="AV432" i="2"/>
  <c r="AX431" i="2"/>
  <c r="AV431" i="2"/>
  <c r="AX430" i="2"/>
  <c r="AV430" i="2"/>
  <c r="AX427" i="2"/>
  <c r="AV427" i="2"/>
  <c r="AX426" i="2"/>
  <c r="AV426" i="2"/>
  <c r="AX425" i="2"/>
  <c r="AV425" i="2"/>
  <c r="AX424" i="2"/>
  <c r="AV424" i="2"/>
  <c r="AX423" i="2"/>
  <c r="AV423" i="2"/>
  <c r="AX422" i="2"/>
  <c r="AV422" i="2"/>
  <c r="AX419" i="2"/>
  <c r="AV419" i="2"/>
  <c r="AX418" i="2"/>
  <c r="AV418" i="2"/>
  <c r="AX417" i="2"/>
  <c r="AV417" i="2"/>
  <c r="AX416" i="2"/>
  <c r="AV416" i="2"/>
  <c r="AX415" i="2"/>
  <c r="AV415" i="2"/>
  <c r="AX414" i="2"/>
  <c r="AV414" i="2"/>
  <c r="AX411" i="2"/>
  <c r="AV411" i="2"/>
  <c r="AX410" i="2"/>
  <c r="AV410" i="2"/>
  <c r="AX409" i="2"/>
  <c r="AV409" i="2"/>
  <c r="AX408" i="2"/>
  <c r="AV408" i="2"/>
  <c r="AX407" i="2"/>
  <c r="AV407" i="2"/>
  <c r="AX406" i="2"/>
  <c r="AV406" i="2"/>
  <c r="AX403" i="2"/>
  <c r="AV403" i="2"/>
  <c r="AX402" i="2"/>
  <c r="AV402" i="2"/>
  <c r="AX401" i="2"/>
  <c r="AV401" i="2"/>
  <c r="AX400" i="2"/>
  <c r="AV400" i="2"/>
  <c r="AX399" i="2"/>
  <c r="AV399" i="2"/>
  <c r="AX398" i="2"/>
  <c r="AV398" i="2"/>
  <c r="AX395" i="2"/>
  <c r="AV395" i="2"/>
  <c r="AX394" i="2"/>
  <c r="AV394" i="2"/>
  <c r="AX393" i="2"/>
  <c r="AV393" i="2"/>
  <c r="AX392" i="2"/>
  <c r="AV392" i="2"/>
  <c r="AX391" i="2"/>
  <c r="AV391" i="2"/>
  <c r="AX390" i="2"/>
  <c r="AV390" i="2"/>
  <c r="AX387" i="2"/>
  <c r="AV387" i="2"/>
  <c r="AX386" i="2"/>
  <c r="AV386" i="2"/>
  <c r="AX385" i="2"/>
  <c r="AV385" i="2"/>
  <c r="AX384" i="2"/>
  <c r="AV384" i="2"/>
  <c r="AX383" i="2"/>
  <c r="AV383" i="2"/>
  <c r="AX382" i="2"/>
  <c r="AV382" i="2"/>
  <c r="AX379" i="2"/>
  <c r="AV379" i="2"/>
  <c r="AX378" i="2"/>
  <c r="AV378" i="2"/>
  <c r="AX377" i="2"/>
  <c r="AV377" i="2"/>
  <c r="AX376" i="2"/>
  <c r="AV376" i="2"/>
  <c r="AX375" i="2"/>
  <c r="AV375" i="2"/>
  <c r="AX374" i="2"/>
  <c r="AV374" i="2"/>
  <c r="AX371" i="2"/>
  <c r="AV371" i="2"/>
  <c r="AX370" i="2"/>
  <c r="AV370" i="2"/>
  <c r="AX369" i="2"/>
  <c r="AV369" i="2"/>
  <c r="AX368" i="2"/>
  <c r="AV368" i="2"/>
  <c r="AX367" i="2"/>
  <c r="AV367" i="2"/>
  <c r="AX366" i="2"/>
  <c r="AV366" i="2"/>
  <c r="AX363" i="2"/>
  <c r="AV363" i="2"/>
  <c r="AX362" i="2"/>
  <c r="AV362" i="2"/>
  <c r="AX361" i="2"/>
  <c r="AV361" i="2"/>
  <c r="AX360" i="2"/>
  <c r="AV360" i="2"/>
  <c r="AX359" i="2"/>
  <c r="AV359" i="2"/>
  <c r="AX358" i="2"/>
  <c r="AV358" i="2"/>
  <c r="AX355" i="2"/>
  <c r="AV355" i="2"/>
  <c r="AX354" i="2"/>
  <c r="AV354" i="2"/>
  <c r="AX353" i="2"/>
  <c r="AV353" i="2"/>
  <c r="AX352" i="2"/>
  <c r="AV352" i="2"/>
  <c r="AX351" i="2"/>
  <c r="AV351" i="2"/>
  <c r="AX350" i="2"/>
  <c r="AV350" i="2"/>
  <c r="AX347" i="2"/>
  <c r="AV347" i="2"/>
  <c r="AX346" i="2"/>
  <c r="AV346" i="2"/>
  <c r="AX345" i="2"/>
  <c r="AV345" i="2"/>
  <c r="AX344" i="2"/>
  <c r="AV344" i="2"/>
  <c r="AX343" i="2"/>
  <c r="AV343" i="2"/>
  <c r="AX342" i="2"/>
  <c r="AV342" i="2"/>
  <c r="AX339" i="2"/>
  <c r="AV339" i="2"/>
  <c r="AX338" i="2"/>
  <c r="AV338" i="2"/>
  <c r="AX337" i="2"/>
  <c r="AV337" i="2"/>
  <c r="AX336" i="2"/>
  <c r="AV336" i="2"/>
  <c r="AX335" i="2"/>
  <c r="AV335" i="2"/>
  <c r="AX334" i="2"/>
  <c r="AV334" i="2"/>
  <c r="AX331" i="2"/>
  <c r="AV331" i="2"/>
  <c r="AX330" i="2"/>
  <c r="AV330" i="2"/>
  <c r="AX329" i="2"/>
  <c r="AV329" i="2"/>
  <c r="AX328" i="2"/>
  <c r="AV328" i="2"/>
  <c r="AX327" i="2"/>
  <c r="AV327" i="2"/>
  <c r="AX326" i="2"/>
  <c r="AV326" i="2"/>
  <c r="AX323" i="2"/>
  <c r="AV323" i="2"/>
  <c r="AX322" i="2"/>
  <c r="AV322" i="2"/>
  <c r="AX321" i="2"/>
  <c r="AV321" i="2"/>
  <c r="AX320" i="2"/>
  <c r="AV320" i="2"/>
  <c r="AX319" i="2"/>
  <c r="AV319" i="2"/>
  <c r="AX318" i="2"/>
  <c r="AV318" i="2"/>
  <c r="AX315" i="2"/>
  <c r="AV315" i="2"/>
  <c r="AX314" i="2"/>
  <c r="AV314" i="2"/>
  <c r="AX313" i="2"/>
  <c r="AV313" i="2"/>
  <c r="AX312" i="2"/>
  <c r="AV312" i="2"/>
  <c r="AX311" i="2"/>
  <c r="AV311" i="2"/>
  <c r="AX310" i="2"/>
  <c r="AV310" i="2"/>
  <c r="AX307" i="2"/>
  <c r="AV307" i="2"/>
  <c r="AX306" i="2"/>
  <c r="AV306" i="2"/>
  <c r="AX305" i="2"/>
  <c r="AV305" i="2"/>
  <c r="AX304" i="2"/>
  <c r="AV304" i="2"/>
  <c r="AX303" i="2"/>
  <c r="AV303" i="2"/>
  <c r="AX302" i="2"/>
  <c r="AV302" i="2"/>
  <c r="AX299" i="2"/>
  <c r="AV299" i="2"/>
  <c r="AX298" i="2"/>
  <c r="AV298" i="2"/>
  <c r="AX297" i="2"/>
  <c r="AV297" i="2"/>
  <c r="AX296" i="2"/>
  <c r="AV296" i="2"/>
  <c r="AX295" i="2"/>
  <c r="AV295" i="2"/>
  <c r="AX294" i="2"/>
  <c r="AV294" i="2"/>
  <c r="AX291" i="2"/>
  <c r="AV291" i="2"/>
  <c r="AX290" i="2"/>
  <c r="AV290" i="2"/>
  <c r="AX289" i="2"/>
  <c r="AV289" i="2"/>
  <c r="AX288" i="2"/>
  <c r="AV288" i="2"/>
  <c r="AX287" i="2"/>
  <c r="AV287" i="2"/>
  <c r="AX286" i="2"/>
  <c r="AV286" i="2"/>
  <c r="AX283" i="2"/>
  <c r="AV283" i="2"/>
  <c r="AX282" i="2"/>
  <c r="AV282" i="2"/>
  <c r="AX281" i="2"/>
  <c r="AV281" i="2"/>
  <c r="AX280" i="2"/>
  <c r="AV280" i="2"/>
  <c r="AX279" i="2"/>
  <c r="AV279" i="2"/>
  <c r="AX278" i="2"/>
  <c r="AV278" i="2"/>
  <c r="AX275" i="2"/>
  <c r="AV275" i="2"/>
  <c r="AX274" i="2"/>
  <c r="AV274" i="2"/>
  <c r="AX273" i="2"/>
  <c r="AV273" i="2"/>
  <c r="AX272" i="2"/>
  <c r="AV272" i="2"/>
  <c r="AX271" i="2"/>
  <c r="AV271" i="2"/>
  <c r="AX270" i="2"/>
  <c r="AV270" i="2"/>
  <c r="AX267" i="2"/>
  <c r="AV267" i="2"/>
  <c r="AX266" i="2"/>
  <c r="AV266" i="2"/>
  <c r="AX265" i="2"/>
  <c r="AV265" i="2"/>
  <c r="AX264" i="2"/>
  <c r="AV264" i="2"/>
  <c r="AX263" i="2"/>
  <c r="AV263" i="2"/>
  <c r="AX262" i="2"/>
  <c r="AV262" i="2"/>
  <c r="AX259" i="2"/>
  <c r="AV259" i="2"/>
  <c r="AX258" i="2"/>
  <c r="AV258" i="2"/>
  <c r="AX257" i="2"/>
  <c r="AV257" i="2"/>
  <c r="AX256" i="2"/>
  <c r="AV256" i="2"/>
  <c r="AX255" i="2"/>
  <c r="AV255" i="2"/>
  <c r="AX254" i="2"/>
  <c r="AV254" i="2"/>
  <c r="AX251" i="2"/>
  <c r="AV251" i="2"/>
  <c r="AX250" i="2"/>
  <c r="AV250" i="2"/>
  <c r="AX249" i="2"/>
  <c r="AV249" i="2"/>
  <c r="AX248" i="2"/>
  <c r="AV248" i="2"/>
  <c r="AX247" i="2"/>
  <c r="AV247" i="2"/>
  <c r="AX246" i="2"/>
  <c r="AV246" i="2"/>
  <c r="AX243" i="2"/>
  <c r="AV243" i="2"/>
  <c r="AX242" i="2"/>
  <c r="AV242" i="2"/>
  <c r="AX241" i="2"/>
  <c r="AV241" i="2"/>
  <c r="AX240" i="2"/>
  <c r="AV240" i="2"/>
  <c r="AX233" i="2"/>
  <c r="AV233" i="2"/>
  <c r="AX230" i="2"/>
  <c r="AV230" i="2"/>
  <c r="J61" i="13"/>
  <c r="B61" i="13"/>
  <c r="J60" i="13"/>
  <c r="I60" i="13"/>
  <c r="H60" i="13"/>
  <c r="G60" i="13"/>
  <c r="F60" i="13"/>
  <c r="J59" i="13"/>
  <c r="A38" i="13"/>
  <c r="A58" i="13"/>
  <c r="J58" i="13" s="1"/>
  <c r="G58" i="13"/>
  <c r="F58" i="13"/>
  <c r="A37" i="13"/>
  <c r="A57" i="13" s="1"/>
  <c r="H57" i="13"/>
  <c r="A36" i="13"/>
  <c r="J36" i="13" s="1"/>
  <c r="A56" i="13"/>
  <c r="A35" i="13"/>
  <c r="A55" i="13" s="1"/>
  <c r="A34" i="13"/>
  <c r="A54" i="13"/>
  <c r="G54" i="13" s="1"/>
  <c r="J54" i="13"/>
  <c r="I54" i="13"/>
  <c r="C54" i="13"/>
  <c r="B54" i="13"/>
  <c r="A33" i="13"/>
  <c r="A32" i="13"/>
  <c r="A52" i="13"/>
  <c r="I52" i="13"/>
  <c r="H52" i="13"/>
  <c r="G52" i="13"/>
  <c r="A31" i="13"/>
  <c r="A51" i="13"/>
  <c r="H51" i="13" s="1"/>
  <c r="J51" i="13"/>
  <c r="B51" i="13"/>
  <c r="A30" i="13"/>
  <c r="A50" i="13"/>
  <c r="J50" i="13" s="1"/>
  <c r="J41" i="13"/>
  <c r="J21" i="13"/>
  <c r="J40" i="13"/>
  <c r="J39" i="13"/>
  <c r="J38" i="13"/>
  <c r="J37" i="13"/>
  <c r="J35" i="13"/>
  <c r="J34" i="13"/>
  <c r="J32" i="13"/>
  <c r="J31" i="13"/>
  <c r="J30" i="13"/>
  <c r="Z215" i="2"/>
  <c r="AB215" i="2" s="1"/>
  <c r="Z216" i="2"/>
  <c r="AA216" i="2" s="1"/>
  <c r="AJ216" i="2" s="1"/>
  <c r="Z217" i="2"/>
  <c r="Z218" i="2"/>
  <c r="AA218" i="2" s="1"/>
  <c r="Z219" i="2"/>
  <c r="Z221" i="2"/>
  <c r="AB221" i="2" s="1"/>
  <c r="Z222" i="2"/>
  <c r="Z223" i="2"/>
  <c r="AB223" i="2" s="1"/>
  <c r="Z224" i="2"/>
  <c r="AA224" i="2" s="1"/>
  <c r="Z225" i="2"/>
  <c r="AC225" i="2" s="1"/>
  <c r="Z226" i="2"/>
  <c r="AA226" i="2" s="1"/>
  <c r="Z227" i="2"/>
  <c r="Z229" i="2"/>
  <c r="AB229" i="2" s="1"/>
  <c r="Z230" i="2"/>
  <c r="Z231" i="2"/>
  <c r="AB231" i="2" s="1"/>
  <c r="Z232" i="2"/>
  <c r="AA232" i="2" s="1"/>
  <c r="Z233" i="2"/>
  <c r="Z234" i="2"/>
  <c r="AC234" i="2" s="1"/>
  <c r="AL234" i="2" s="1"/>
  <c r="Z235" i="2"/>
  <c r="AA235" i="2" s="1"/>
  <c r="Z237" i="2"/>
  <c r="AB237" i="2" s="1"/>
  <c r="Z238" i="2"/>
  <c r="AA238" i="2" s="1"/>
  <c r="Z239" i="2"/>
  <c r="AB239" i="2" s="1"/>
  <c r="Z240" i="2"/>
  <c r="Z241" i="2"/>
  <c r="AB241" i="2" s="1"/>
  <c r="Z242" i="2"/>
  <c r="Z243" i="2"/>
  <c r="Z245" i="2"/>
  <c r="AB245" i="2" s="1"/>
  <c r="Z246" i="2"/>
  <c r="Z247" i="2"/>
  <c r="AB247" i="2" s="1"/>
  <c r="Z248" i="2"/>
  <c r="AA248" i="2" s="1"/>
  <c r="Z249" i="2"/>
  <c r="Z250" i="2"/>
  <c r="AA250" i="2" s="1"/>
  <c r="Z251" i="2"/>
  <c r="AB251" i="2" s="1"/>
  <c r="Z254" i="2"/>
  <c r="Z255" i="2"/>
  <c r="AB255" i="2" s="1"/>
  <c r="Z256" i="2"/>
  <c r="AA256" i="2" s="1"/>
  <c r="Z257" i="2"/>
  <c r="Z258" i="2"/>
  <c r="AA258" i="2" s="1"/>
  <c r="Z259" i="2"/>
  <c r="Z262" i="2"/>
  <c r="Z263" i="2"/>
  <c r="AB263" i="2" s="1"/>
  <c r="Z264" i="2"/>
  <c r="AA264" i="2" s="1"/>
  <c r="Z265" i="2"/>
  <c r="AB265" i="2" s="1"/>
  <c r="Z266" i="2"/>
  <c r="Z267" i="2"/>
  <c r="Z269" i="2"/>
  <c r="AB269" i="2" s="1"/>
  <c r="Z270" i="2"/>
  <c r="AA270" i="2" s="1"/>
  <c r="Z271" i="2"/>
  <c r="AB271" i="2" s="1"/>
  <c r="Z272" i="2"/>
  <c r="Z273" i="2"/>
  <c r="Z274" i="2"/>
  <c r="AA274" i="2" s="1"/>
  <c r="Z275" i="2"/>
  <c r="Z277" i="2"/>
  <c r="AB277" i="2" s="1"/>
  <c r="Z278" i="2"/>
  <c r="Z279" i="2"/>
  <c r="AB279" i="2" s="1"/>
  <c r="Z280" i="2"/>
  <c r="AA280" i="2" s="1"/>
  <c r="Z281" i="2"/>
  <c r="Z282" i="2"/>
  <c r="AA282" i="2" s="1"/>
  <c r="Z283" i="2"/>
  <c r="AA283" i="2" s="1"/>
  <c r="Z285" i="2"/>
  <c r="AB285" i="2" s="1"/>
  <c r="Z286" i="2"/>
  <c r="Z287" i="2"/>
  <c r="AB287" i="2" s="1"/>
  <c r="Z288" i="2"/>
  <c r="Z289" i="2"/>
  <c r="Z290" i="2"/>
  <c r="AA290" i="2" s="1"/>
  <c r="Z291" i="2"/>
  <c r="Z293" i="2"/>
  <c r="AB293" i="2" s="1"/>
  <c r="Z294" i="2"/>
  <c r="Z295" i="2"/>
  <c r="AB295" i="2" s="1"/>
  <c r="Z296" i="2"/>
  <c r="AA296" i="2" s="1"/>
  <c r="Z297" i="2"/>
  <c r="Z298" i="2"/>
  <c r="AA298" i="2" s="1"/>
  <c r="Z299" i="2"/>
  <c r="Z301" i="2"/>
  <c r="AB301" i="2" s="1"/>
  <c r="Z302" i="2"/>
  <c r="Z303" i="2"/>
  <c r="AB303" i="2" s="1"/>
  <c r="Z304" i="2"/>
  <c r="Z305" i="2"/>
  <c r="Z306" i="2"/>
  <c r="Z307" i="2"/>
  <c r="Z309" i="2"/>
  <c r="AB309" i="2" s="1"/>
  <c r="Z310" i="2"/>
  <c r="Z311" i="2"/>
  <c r="AB311" i="2" s="1"/>
  <c r="Z312" i="2"/>
  <c r="AA312" i="2" s="1"/>
  <c r="Z313" i="2"/>
  <c r="Z314" i="2"/>
  <c r="Z315" i="2"/>
  <c r="AB315" i="2" s="1"/>
  <c r="Z318" i="2"/>
  <c r="Z319" i="2"/>
  <c r="AB319" i="2" s="1"/>
  <c r="Z320" i="2"/>
  <c r="AA320" i="2" s="1"/>
  <c r="Z321" i="2"/>
  <c r="Z322" i="2"/>
  <c r="AA322" i="2" s="1"/>
  <c r="Z323" i="2"/>
  <c r="Z325" i="2"/>
  <c r="Z326" i="2"/>
  <c r="AA326" i="2" s="1"/>
  <c r="Z327" i="2"/>
  <c r="Z328" i="2"/>
  <c r="AA328" i="2" s="1"/>
  <c r="Z329" i="2"/>
  <c r="AB329" i="2" s="1"/>
  <c r="Z330" i="2"/>
  <c r="Z331" i="2"/>
  <c r="AA331" i="2" s="1"/>
  <c r="Z333" i="2"/>
  <c r="AB333" i="2" s="1"/>
  <c r="Z334" i="2"/>
  <c r="Z335" i="2"/>
  <c r="Z336" i="2"/>
  <c r="AA336" i="2" s="1"/>
  <c r="Z337" i="2"/>
  <c r="Z338" i="2"/>
  <c r="AA338" i="2" s="1"/>
  <c r="Z339" i="2"/>
  <c r="AA339" i="2" s="1"/>
  <c r="Z341" i="2"/>
  <c r="Z342" i="2"/>
  <c r="Z343" i="2"/>
  <c r="AB343" i="2" s="1"/>
  <c r="Z344" i="2"/>
  <c r="AA344" i="2" s="1"/>
  <c r="Z345" i="2"/>
  <c r="Z346" i="2"/>
  <c r="AA346" i="2" s="1"/>
  <c r="Z347" i="2"/>
  <c r="AB347" i="2" s="1"/>
  <c r="Z349" i="2"/>
  <c r="Z350" i="2"/>
  <c r="AA350" i="2" s="1"/>
  <c r="Z351" i="2"/>
  <c r="AB351" i="2" s="1"/>
  <c r="Z352" i="2"/>
  <c r="Z353" i="2"/>
  <c r="AB353" i="2" s="1"/>
  <c r="Z354" i="2"/>
  <c r="Z355" i="2"/>
  <c r="Z357" i="2"/>
  <c r="Z358" i="2"/>
  <c r="AA358" i="2" s="1"/>
  <c r="Z359" i="2"/>
  <c r="Z360" i="2"/>
  <c r="Z361" i="2"/>
  <c r="AB361" i="2" s="1"/>
  <c r="Z362" i="2"/>
  <c r="AB362" i="2" s="1"/>
  <c r="Z363" i="2"/>
  <c r="Z365" i="2"/>
  <c r="AB365" i="2" s="1"/>
  <c r="Z366" i="2"/>
  <c r="AB366" i="2" s="1"/>
  <c r="Z367" i="2"/>
  <c r="Z368" i="2"/>
  <c r="AB368" i="2" s="1"/>
  <c r="Z369" i="2"/>
  <c r="AA369" i="2" s="1"/>
  <c r="Z370" i="2"/>
  <c r="AB370" i="2" s="1"/>
  <c r="Z371" i="2"/>
  <c r="Z373" i="2"/>
  <c r="Z374" i="2"/>
  <c r="Z375" i="2"/>
  <c r="Z376" i="2"/>
  <c r="AA376" i="2" s="1"/>
  <c r="Z377" i="2"/>
  <c r="AA377" i="2" s="1"/>
  <c r="Z378" i="2"/>
  <c r="AB378" i="2" s="1"/>
  <c r="Z379" i="2"/>
  <c r="Z381" i="2"/>
  <c r="AA381" i="2" s="1"/>
  <c r="Z382" i="2"/>
  <c r="AB382" i="2" s="1"/>
  <c r="Z383" i="2"/>
  <c r="Z384" i="2"/>
  <c r="AB384" i="2" s="1"/>
  <c r="Z385" i="2"/>
  <c r="AA385" i="2" s="1"/>
  <c r="Z386" i="2"/>
  <c r="AB386" i="2" s="1"/>
  <c r="Z387" i="2"/>
  <c r="Z389" i="2"/>
  <c r="AA389" i="2" s="1"/>
  <c r="Z390" i="2"/>
  <c r="AB390" i="2" s="1"/>
  <c r="Z391" i="2"/>
  <c r="Z392" i="2"/>
  <c r="Z393" i="2"/>
  <c r="AA393" i="2" s="1"/>
  <c r="Z394" i="2"/>
  <c r="AB394" i="2" s="1"/>
  <c r="Z395" i="2"/>
  <c r="Z397" i="2"/>
  <c r="Z398" i="2"/>
  <c r="AB398" i="2" s="1"/>
  <c r="Z399" i="2"/>
  <c r="Z400" i="2"/>
  <c r="Z401" i="2"/>
  <c r="AA401" i="2" s="1"/>
  <c r="Z402" i="2"/>
  <c r="AB402" i="2" s="1"/>
  <c r="Z403" i="2"/>
  <c r="Z405" i="2"/>
  <c r="Z406" i="2"/>
  <c r="Z407" i="2"/>
  <c r="Z408" i="2"/>
  <c r="Z409" i="2"/>
  <c r="Z410" i="2"/>
  <c r="AB410" i="2" s="1"/>
  <c r="Z411" i="2"/>
  <c r="Z413" i="2"/>
  <c r="Z414" i="2"/>
  <c r="AB414" i="2" s="1"/>
  <c r="Z415" i="2"/>
  <c r="Z416" i="2"/>
  <c r="Z417" i="2"/>
  <c r="Z418" i="2"/>
  <c r="AB418" i="2" s="1"/>
  <c r="Z419" i="2"/>
  <c r="Z421" i="2"/>
  <c r="Z422" i="2"/>
  <c r="Z423" i="2"/>
  <c r="Z424" i="2"/>
  <c r="AA424" i="2" s="1"/>
  <c r="Z425" i="2"/>
  <c r="AA425" i="2" s="1"/>
  <c r="Z426" i="2"/>
  <c r="AB426" i="2" s="1"/>
  <c r="Z427" i="2"/>
  <c r="Z429" i="2"/>
  <c r="Z430" i="2"/>
  <c r="AB430" i="2" s="1"/>
  <c r="Z431" i="2"/>
  <c r="Z432" i="2"/>
  <c r="Z433" i="2"/>
  <c r="AA433" i="2" s="1"/>
  <c r="Z434" i="2"/>
  <c r="AB434" i="2" s="1"/>
  <c r="Z435" i="2"/>
  <c r="Z437" i="2"/>
  <c r="Z438" i="2"/>
  <c r="AB438" i="2" s="1"/>
  <c r="Z439" i="2"/>
  <c r="Z440" i="2"/>
  <c r="Z441" i="2"/>
  <c r="Z442" i="2"/>
  <c r="AB442" i="2" s="1"/>
  <c r="Z443" i="2"/>
  <c r="Z445" i="2"/>
  <c r="Z446" i="2"/>
  <c r="AB446" i="2" s="1"/>
  <c r="Z447" i="2"/>
  <c r="Z448" i="2"/>
  <c r="AB448" i="2" s="1"/>
  <c r="Z449" i="2"/>
  <c r="Z450" i="2"/>
  <c r="AB450" i="2" s="1"/>
  <c r="Z451" i="2"/>
  <c r="Z453" i="2"/>
  <c r="Z454" i="2"/>
  <c r="AB454" i="2" s="1"/>
  <c r="Z455" i="2"/>
  <c r="Z456" i="2"/>
  <c r="Z457" i="2"/>
  <c r="AA457" i="2" s="1"/>
  <c r="Z458" i="2"/>
  <c r="AB458" i="2" s="1"/>
  <c r="Z459" i="2"/>
  <c r="AA459" i="2" s="1"/>
  <c r="Z461" i="2"/>
  <c r="AA461" i="2" s="1"/>
  <c r="Z462" i="2"/>
  <c r="AB462" i="2" s="1"/>
  <c r="Z463" i="2"/>
  <c r="AA463" i="2" s="1"/>
  <c r="Z464" i="2"/>
  <c r="Z465" i="2"/>
  <c r="AA465" i="2" s="1"/>
  <c r="Z466" i="2"/>
  <c r="AB466" i="2" s="1"/>
  <c r="Z467" i="2"/>
  <c r="AA467" i="2" s="1"/>
  <c r="Z469" i="2"/>
  <c r="AA469" i="2" s="1"/>
  <c r="Z470" i="2"/>
  <c r="AB470" i="2" s="1"/>
  <c r="Z471" i="2"/>
  <c r="AA471" i="2" s="1"/>
  <c r="Z472" i="2"/>
  <c r="Z473" i="2"/>
  <c r="AA473" i="2" s="1"/>
  <c r="Z474" i="2"/>
  <c r="AB474" i="2" s="1"/>
  <c r="Z475" i="2"/>
  <c r="AA475" i="2" s="1"/>
  <c r="Z477" i="2"/>
  <c r="AA477" i="2" s="1"/>
  <c r="Z478" i="2"/>
  <c r="AB478" i="2" s="1"/>
  <c r="Z479" i="2"/>
  <c r="AA479" i="2" s="1"/>
  <c r="Z480" i="2"/>
  <c r="Z481" i="2"/>
  <c r="AA481" i="2" s="1"/>
  <c r="Z482" i="2"/>
  <c r="AB482" i="2" s="1"/>
  <c r="Z483" i="2"/>
  <c r="AA483" i="2" s="1"/>
  <c r="Z485" i="2"/>
  <c r="AA485" i="2" s="1"/>
  <c r="Z486" i="2"/>
  <c r="AB486" i="2" s="1"/>
  <c r="Z487" i="2"/>
  <c r="AA487" i="2" s="1"/>
  <c r="Z488" i="2"/>
  <c r="Z489" i="2"/>
  <c r="AA489" i="2" s="1"/>
  <c r="Z490" i="2"/>
  <c r="AB490" i="2" s="1"/>
  <c r="Z491" i="2"/>
  <c r="AA491" i="2" s="1"/>
  <c r="Z493" i="2"/>
  <c r="AA493" i="2" s="1"/>
  <c r="Z494" i="2"/>
  <c r="AB494" i="2" s="1"/>
  <c r="Z495" i="2"/>
  <c r="AA495" i="2" s="1"/>
  <c r="Z496" i="2"/>
  <c r="Z497" i="2"/>
  <c r="AA497" i="2" s="1"/>
  <c r="Z498" i="2"/>
  <c r="AB498" i="2" s="1"/>
  <c r="Z499" i="2"/>
  <c r="AA499" i="2" s="1"/>
  <c r="Z501" i="2"/>
  <c r="AA501" i="2" s="1"/>
  <c r="Z502" i="2"/>
  <c r="AB502" i="2" s="1"/>
  <c r="Z503" i="2"/>
  <c r="AA503" i="2" s="1"/>
  <c r="Z504" i="2"/>
  <c r="AA504" i="2" s="1"/>
  <c r="Z505" i="2"/>
  <c r="AA505" i="2" s="1"/>
  <c r="Z506" i="2"/>
  <c r="AB506" i="2" s="1"/>
  <c r="Z507" i="2"/>
  <c r="AA507" i="2" s="1"/>
  <c r="Z509" i="2"/>
  <c r="AA509" i="2" s="1"/>
  <c r="Z510" i="2"/>
  <c r="AB510" i="2" s="1"/>
  <c r="Z511" i="2"/>
  <c r="AA511" i="2" s="1"/>
  <c r="Z512" i="2"/>
  <c r="AB512" i="2" s="1"/>
  <c r="Z513" i="2"/>
  <c r="AA513" i="2" s="1"/>
  <c r="Z514" i="2"/>
  <c r="AB514" i="2" s="1"/>
  <c r="Z515" i="2"/>
  <c r="AA515" i="2" s="1"/>
  <c r="AJ515" i="2" s="1"/>
  <c r="Z517" i="2"/>
  <c r="Z518" i="2"/>
  <c r="Z519" i="2"/>
  <c r="Z520" i="2"/>
  <c r="AA520" i="2" s="1"/>
  <c r="Z521" i="2"/>
  <c r="Z522" i="2"/>
  <c r="Z523" i="2"/>
  <c r="Z525" i="2"/>
  <c r="Z526" i="2"/>
  <c r="Z527" i="2"/>
  <c r="Z528" i="2"/>
  <c r="Z529" i="2"/>
  <c r="Z530" i="2"/>
  <c r="Z531" i="2"/>
  <c r="Z533" i="2"/>
  <c r="Z534" i="2"/>
  <c r="Z535" i="2"/>
  <c r="Z536" i="2"/>
  <c r="Z537" i="2"/>
  <c r="Z538" i="2"/>
  <c r="Z539" i="2"/>
  <c r="Z541" i="2"/>
  <c r="Z542" i="2"/>
  <c r="Z543" i="2"/>
  <c r="Z544" i="2"/>
  <c r="Z545" i="2"/>
  <c r="Z546" i="2"/>
  <c r="Z547" i="2"/>
  <c r="Z549" i="2"/>
  <c r="Z550" i="2"/>
  <c r="Z551" i="2"/>
  <c r="Z552" i="2"/>
  <c r="Z553" i="2"/>
  <c r="Z554" i="2"/>
  <c r="Z555" i="2"/>
  <c r="Z557" i="2"/>
  <c r="Z558" i="2"/>
  <c r="Z559" i="2"/>
  <c r="Z560" i="2"/>
  <c r="AA560" i="2" s="1"/>
  <c r="Z561" i="2"/>
  <c r="Z562" i="2"/>
  <c r="Z563" i="2"/>
  <c r="Z565" i="2"/>
  <c r="Z566" i="2"/>
  <c r="Z567" i="2"/>
  <c r="Z568" i="2"/>
  <c r="Z569" i="2"/>
  <c r="Z570" i="2"/>
  <c r="Z571" i="2"/>
  <c r="Z573" i="2"/>
  <c r="Z574" i="2"/>
  <c r="Z575" i="2"/>
  <c r="Z576" i="2"/>
  <c r="AA576" i="2" s="1"/>
  <c r="Z577" i="2"/>
  <c r="Z578" i="2"/>
  <c r="Z579" i="2"/>
  <c r="Z581" i="2"/>
  <c r="Z582" i="2"/>
  <c r="Z583" i="2"/>
  <c r="Z584" i="2"/>
  <c r="Z585" i="2"/>
  <c r="Z586" i="2"/>
  <c r="Z587" i="2"/>
  <c r="Z589" i="2"/>
  <c r="AA589" i="2" s="1"/>
  <c r="Z590" i="2"/>
  <c r="Z591" i="2"/>
  <c r="Z592" i="2"/>
  <c r="Z593" i="2"/>
  <c r="AA593" i="2" s="1"/>
  <c r="Z594" i="2"/>
  <c r="Z595" i="2"/>
  <c r="Z597" i="2"/>
  <c r="Z598" i="2"/>
  <c r="Z599" i="2"/>
  <c r="Z600" i="2"/>
  <c r="AA600" i="2" s="1"/>
  <c r="Z601" i="2"/>
  <c r="Z602" i="2"/>
  <c r="Z603" i="2"/>
  <c r="Z605" i="2"/>
  <c r="AA605" i="2" s="1"/>
  <c r="Z606" i="2"/>
  <c r="Z607" i="2"/>
  <c r="Z608" i="2"/>
  <c r="AB608" i="2" s="1"/>
  <c r="Z609" i="2"/>
  <c r="Z610" i="2"/>
  <c r="Z611" i="2"/>
  <c r="Z613" i="2"/>
  <c r="Z614" i="2"/>
  <c r="Z615" i="2"/>
  <c r="Z616" i="2"/>
  <c r="Z617" i="2"/>
  <c r="AA617" i="2" s="1"/>
  <c r="Z618" i="2"/>
  <c r="Z619" i="2"/>
  <c r="Z621" i="2"/>
  <c r="AA621" i="2" s="1"/>
  <c r="Z622" i="2"/>
  <c r="Z623" i="2"/>
  <c r="Z624" i="2"/>
  <c r="AA624" i="2" s="1"/>
  <c r="Z625" i="2"/>
  <c r="AA625" i="2" s="1"/>
  <c r="Z626" i="2"/>
  <c r="Z627" i="2"/>
  <c r="Z629" i="2"/>
  <c r="Z630" i="2"/>
  <c r="Z631" i="2"/>
  <c r="Z632" i="2"/>
  <c r="AB632" i="2" s="1"/>
  <c r="Z633" i="2"/>
  <c r="AA633" i="2" s="1"/>
  <c r="Z634" i="2"/>
  <c r="Z635" i="2"/>
  <c r="Z637" i="2"/>
  <c r="AA637" i="2" s="1"/>
  <c r="Z638" i="2"/>
  <c r="Z639" i="2"/>
  <c r="Z640" i="2"/>
  <c r="AB640" i="2" s="1"/>
  <c r="Z641" i="2"/>
  <c r="Z642" i="2"/>
  <c r="Z643" i="2"/>
  <c r="Z645" i="2"/>
  <c r="Z646" i="2"/>
  <c r="Z647" i="2"/>
  <c r="Z648" i="2"/>
  <c r="AA648" i="2" s="1"/>
  <c r="Z649" i="2"/>
  <c r="AA649" i="2" s="1"/>
  <c r="Z650" i="2"/>
  <c r="Z651" i="2"/>
  <c r="Z653" i="2"/>
  <c r="AA653" i="2" s="1"/>
  <c r="AJ653" i="2" s="1"/>
  <c r="Z654" i="2"/>
  <c r="Z655" i="2"/>
  <c r="Z656" i="2"/>
  <c r="Z657" i="2"/>
  <c r="AA657" i="2" s="1"/>
  <c r="Z658" i="2"/>
  <c r="Z659" i="2"/>
  <c r="Z661" i="2"/>
  <c r="Z662" i="2"/>
  <c r="Z663" i="2"/>
  <c r="Z664" i="2"/>
  <c r="AA664" i="2" s="1"/>
  <c r="Z665" i="2"/>
  <c r="AA665" i="2" s="1"/>
  <c r="Z666" i="2"/>
  <c r="Z667" i="2"/>
  <c r="Z669" i="2"/>
  <c r="AA669" i="2" s="1"/>
  <c r="Z670" i="2"/>
  <c r="Z671" i="2"/>
  <c r="Z672" i="2"/>
  <c r="AB672" i="2" s="1"/>
  <c r="Z673" i="2"/>
  <c r="Z674" i="2"/>
  <c r="Z675" i="2"/>
  <c r="Z677" i="2"/>
  <c r="Z678" i="2"/>
  <c r="Z679" i="2"/>
  <c r="AA679" i="2" s="1"/>
  <c r="Z680" i="2"/>
  <c r="Z681" i="2"/>
  <c r="Z682" i="2"/>
  <c r="AB682" i="2" s="1"/>
  <c r="Z683" i="2"/>
  <c r="AA683" i="2" s="1"/>
  <c r="Z685" i="2"/>
  <c r="Z686" i="2"/>
  <c r="AB686" i="2" s="1"/>
  <c r="Z687" i="2"/>
  <c r="AA687" i="2" s="1"/>
  <c r="Z688" i="2"/>
  <c r="AB688" i="2" s="1"/>
  <c r="Z689" i="2"/>
  <c r="Z690" i="2"/>
  <c r="AB690" i="2" s="1"/>
  <c r="Z691" i="2"/>
  <c r="AA691" i="2" s="1"/>
  <c r="Z693" i="2"/>
  <c r="Z694" i="2"/>
  <c r="AB694" i="2" s="1"/>
  <c r="Z695" i="2"/>
  <c r="AA695" i="2" s="1"/>
  <c r="Z696" i="2"/>
  <c r="AA696" i="2" s="1"/>
  <c r="Z697" i="2"/>
  <c r="Z698" i="2"/>
  <c r="AB698" i="2" s="1"/>
  <c r="Z699" i="2"/>
  <c r="AA699" i="2" s="1"/>
  <c r="Z701" i="2"/>
  <c r="Z702" i="2"/>
  <c r="AB702" i="2" s="1"/>
  <c r="Z703" i="2"/>
  <c r="AA703" i="2" s="1"/>
  <c r="Z704" i="2"/>
  <c r="AB704" i="2" s="1"/>
  <c r="Z705" i="2"/>
  <c r="Z706" i="2"/>
  <c r="AB706" i="2" s="1"/>
  <c r="Z707" i="2"/>
  <c r="AA707" i="2" s="1"/>
  <c r="Z709" i="2"/>
  <c r="Z710" i="2"/>
  <c r="AB710" i="2" s="1"/>
  <c r="Z711" i="2"/>
  <c r="AA711" i="2" s="1"/>
  <c r="Z712" i="2"/>
  <c r="Z713" i="2"/>
  <c r="Z714" i="2"/>
  <c r="AB714" i="2" s="1"/>
  <c r="Z715" i="2"/>
  <c r="AA715" i="2" s="1"/>
  <c r="Z717" i="2"/>
  <c r="Z718" i="2"/>
  <c r="AB718" i="2" s="1"/>
  <c r="Z719" i="2"/>
  <c r="AA719" i="2" s="1"/>
  <c r="Z720" i="2"/>
  <c r="AB720" i="2" s="1"/>
  <c r="Z721" i="2"/>
  <c r="Z722" i="2"/>
  <c r="AB722" i="2" s="1"/>
  <c r="Z723" i="2"/>
  <c r="AA723" i="2" s="1"/>
  <c r="Z725" i="2"/>
  <c r="Z726" i="2"/>
  <c r="AB726" i="2" s="1"/>
  <c r="Z727" i="2"/>
  <c r="Z728" i="2"/>
  <c r="Z729" i="2"/>
  <c r="Z730" i="2"/>
  <c r="AB730" i="2" s="1"/>
  <c r="Z731" i="2"/>
  <c r="AA731" i="2" s="1"/>
  <c r="Z733" i="2"/>
  <c r="Z734" i="2"/>
  <c r="AB734" i="2" s="1"/>
  <c r="Z735" i="2"/>
  <c r="AA735" i="2" s="1"/>
  <c r="Z736" i="2"/>
  <c r="AB736" i="2" s="1"/>
  <c r="Z737" i="2"/>
  <c r="Z738" i="2"/>
  <c r="AB738" i="2" s="1"/>
  <c r="Z739" i="2"/>
  <c r="AA739" i="2" s="1"/>
  <c r="Z741" i="2"/>
  <c r="Z742" i="2"/>
  <c r="AB742" i="2" s="1"/>
  <c r="Z743" i="2"/>
  <c r="Z744" i="2"/>
  <c r="AA744" i="2" s="1"/>
  <c r="Z745" i="2"/>
  <c r="Z746" i="2"/>
  <c r="AB746" i="2" s="1"/>
  <c r="Z747" i="2"/>
  <c r="AA747" i="2" s="1"/>
  <c r="Z749" i="2"/>
  <c r="Z750" i="2"/>
  <c r="AB750" i="2" s="1"/>
  <c r="Z751" i="2"/>
  <c r="AA751" i="2" s="1"/>
  <c r="Z752" i="2"/>
  <c r="AB752" i="2" s="1"/>
  <c r="Z753" i="2"/>
  <c r="Z754" i="2"/>
  <c r="AB754" i="2" s="1"/>
  <c r="Z755" i="2"/>
  <c r="AA755" i="2" s="1"/>
  <c r="Z757" i="2"/>
  <c r="Z758" i="2"/>
  <c r="AB758" i="2" s="1"/>
  <c r="Z759" i="2"/>
  <c r="Z760" i="2"/>
  <c r="AA760" i="2" s="1"/>
  <c r="Z761" i="2"/>
  <c r="Z762" i="2"/>
  <c r="AB762" i="2" s="1"/>
  <c r="Z763" i="2"/>
  <c r="AA763" i="2" s="1"/>
  <c r="Z764" i="2"/>
  <c r="AB764" i="2" s="1"/>
  <c r="Z765" i="2"/>
  <c r="Z766" i="2"/>
  <c r="Z767" i="2"/>
  <c r="AA767" i="2" s="1"/>
  <c r="Z768" i="2"/>
  <c r="AB768" i="2" s="1"/>
  <c r="Z769" i="2"/>
  <c r="Z770" i="2"/>
  <c r="AB770" i="2" s="1"/>
  <c r="AK770" i="2" s="1"/>
  <c r="Z771" i="2"/>
  <c r="AA771" i="2" s="1"/>
  <c r="Z772" i="2"/>
  <c r="AA772" i="2" s="1"/>
  <c r="Z773" i="2"/>
  <c r="Z774" i="2"/>
  <c r="AB774" i="2" s="1"/>
  <c r="Z775" i="2"/>
  <c r="Z776" i="2"/>
  <c r="AA776" i="2" s="1"/>
  <c r="Z777" i="2"/>
  <c r="Z778" i="2"/>
  <c r="AB778" i="2" s="1"/>
  <c r="Z779" i="2"/>
  <c r="AA779" i="2" s="1"/>
  <c r="Z780" i="2"/>
  <c r="AA780" i="2" s="1"/>
  <c r="Z781" i="2"/>
  <c r="Z782" i="2"/>
  <c r="Z783" i="2"/>
  <c r="AA783" i="2" s="1"/>
  <c r="Z784" i="2"/>
  <c r="AB784" i="2" s="1"/>
  <c r="Z785" i="2"/>
  <c r="Z786" i="2"/>
  <c r="AB786" i="2" s="1"/>
  <c r="Z787" i="2"/>
  <c r="AA787" i="2" s="1"/>
  <c r="Z788" i="2"/>
  <c r="AA788" i="2" s="1"/>
  <c r="Z789" i="2"/>
  <c r="Z790" i="2"/>
  <c r="AB790" i="2" s="1"/>
  <c r="Z791" i="2"/>
  <c r="Z792" i="2"/>
  <c r="AA792" i="2" s="1"/>
  <c r="Z793" i="2"/>
  <c r="Z794" i="2"/>
  <c r="AB794" i="2" s="1"/>
  <c r="AK794" i="2" s="1"/>
  <c r="Z795" i="2"/>
  <c r="AA795" i="2" s="1"/>
  <c r="Z796" i="2"/>
  <c r="Z797" i="2"/>
  <c r="Z798" i="2"/>
  <c r="Z799" i="2"/>
  <c r="Z800" i="2"/>
  <c r="AA800" i="2" s="1"/>
  <c r="Z801" i="2"/>
  <c r="Z802" i="2"/>
  <c r="Z803" i="2"/>
  <c r="Z804" i="2"/>
  <c r="AB804" i="2" s="1"/>
  <c r="Z805" i="2"/>
  <c r="Z806" i="2"/>
  <c r="Z807" i="2"/>
  <c r="Z808" i="2"/>
  <c r="AA808" i="2" s="1"/>
  <c r="Z809" i="2"/>
  <c r="Z810" i="2"/>
  <c r="Z811" i="2"/>
  <c r="Z812" i="2"/>
  <c r="Z813" i="2"/>
  <c r="Z814" i="2"/>
  <c r="Z815" i="2"/>
  <c r="Z816" i="2"/>
  <c r="AA816" i="2" s="1"/>
  <c r="Z817" i="2"/>
  <c r="Z818" i="2"/>
  <c r="Z819" i="2"/>
  <c r="Z820" i="2"/>
  <c r="AB820" i="2" s="1"/>
  <c r="Z821" i="2"/>
  <c r="Z822" i="2"/>
  <c r="Z823" i="2"/>
  <c r="Z824" i="2"/>
  <c r="Z825" i="2"/>
  <c r="Z826" i="2"/>
  <c r="Z827" i="2"/>
  <c r="Z828" i="2"/>
  <c r="AA828" i="2" s="1"/>
  <c r="Z829" i="2"/>
  <c r="Z830" i="2"/>
  <c r="Z831" i="2"/>
  <c r="Z832" i="2"/>
  <c r="AA832" i="2" s="1"/>
  <c r="Z833" i="2"/>
  <c r="Z834" i="2"/>
  <c r="Z835" i="2"/>
  <c r="Z836" i="2"/>
  <c r="AB836" i="2" s="1"/>
  <c r="Z837" i="2"/>
  <c r="Z838" i="2"/>
  <c r="Z839" i="2"/>
  <c r="Z840" i="2"/>
  <c r="Z841" i="2"/>
  <c r="Z842" i="2"/>
  <c r="Z843" i="2"/>
  <c r="Z844" i="2"/>
  <c r="Z845" i="2"/>
  <c r="Z846" i="2"/>
  <c r="Z847" i="2"/>
  <c r="Z848" i="2"/>
  <c r="AA848" i="2" s="1"/>
  <c r="Z849" i="2"/>
  <c r="Z850" i="2"/>
  <c r="Z851" i="2"/>
  <c r="Z852" i="2"/>
  <c r="AB852" i="2" s="1"/>
  <c r="Z853" i="2"/>
  <c r="Z854" i="2"/>
  <c r="Z855" i="2"/>
  <c r="Z856" i="2"/>
  <c r="AB856" i="2" s="1"/>
  <c r="Z857" i="2"/>
  <c r="Z858" i="2"/>
  <c r="Z859" i="2"/>
  <c r="Z860" i="2"/>
  <c r="Z861" i="2"/>
  <c r="Z862" i="2"/>
  <c r="Z863" i="2"/>
  <c r="Z864" i="2"/>
  <c r="AA864" i="2" s="1"/>
  <c r="Z865" i="2"/>
  <c r="Z866" i="2"/>
  <c r="Z867" i="2"/>
  <c r="Z868" i="2"/>
  <c r="AB868" i="2" s="1"/>
  <c r="Z869" i="2"/>
  <c r="Z870" i="2"/>
  <c r="Z871" i="2"/>
  <c r="Z872" i="2"/>
  <c r="AA872" i="2" s="1"/>
  <c r="Z873" i="2"/>
  <c r="Z874" i="2"/>
  <c r="Z875" i="2"/>
  <c r="Z876" i="2"/>
  <c r="Z877" i="2"/>
  <c r="Z878" i="2"/>
  <c r="Z879" i="2"/>
  <c r="Z880" i="2"/>
  <c r="AA880" i="2" s="1"/>
  <c r="Z881" i="2"/>
  <c r="Z882" i="2"/>
  <c r="Z883" i="2"/>
  <c r="Z884" i="2"/>
  <c r="AB884" i="2" s="1"/>
  <c r="Z885" i="2"/>
  <c r="Z886" i="2"/>
  <c r="Z887" i="2"/>
  <c r="Z888" i="2"/>
  <c r="AA888" i="2" s="1"/>
  <c r="Z889" i="2"/>
  <c r="Z890" i="2"/>
  <c r="Z891" i="2"/>
  <c r="Z892" i="2"/>
  <c r="AA892" i="2" s="1"/>
  <c r="Z893" i="2"/>
  <c r="Z894" i="2"/>
  <c r="Z895" i="2"/>
  <c r="Z896" i="2"/>
  <c r="AA896" i="2" s="1"/>
  <c r="Z897" i="2"/>
  <c r="Z898" i="2"/>
  <c r="Z899" i="2"/>
  <c r="Z900" i="2"/>
  <c r="AB900" i="2" s="1"/>
  <c r="Z901" i="2"/>
  <c r="Z902" i="2"/>
  <c r="Z903" i="2"/>
  <c r="Z904" i="2"/>
  <c r="AA904" i="2" s="1"/>
  <c r="Z905" i="2"/>
  <c r="Z906" i="2"/>
  <c r="Z907" i="2"/>
  <c r="Z908" i="2"/>
  <c r="Z909" i="2"/>
  <c r="Z910" i="2"/>
  <c r="Z911" i="2"/>
  <c r="Z912" i="2"/>
  <c r="AA912" i="2" s="1"/>
  <c r="Z913" i="2"/>
  <c r="Z914" i="2"/>
  <c r="Z915" i="2"/>
  <c r="Z916" i="2"/>
  <c r="AB916" i="2" s="1"/>
  <c r="Z917" i="2"/>
  <c r="Z918" i="2"/>
  <c r="Z919" i="2"/>
  <c r="Z920" i="2"/>
  <c r="AB920" i="2" s="1"/>
  <c r="Z921" i="2"/>
  <c r="Z922" i="2"/>
  <c r="Z923" i="2"/>
  <c r="Z924" i="2"/>
  <c r="Z925" i="2"/>
  <c r="Z926" i="2"/>
  <c r="Z927" i="2"/>
  <c r="Z928" i="2"/>
  <c r="AA928" i="2" s="1"/>
  <c r="Z929" i="2"/>
  <c r="Z930" i="2"/>
  <c r="Z931" i="2"/>
  <c r="Z932" i="2"/>
  <c r="AB932" i="2" s="1"/>
  <c r="Z933" i="2"/>
  <c r="Z934" i="2"/>
  <c r="Z935" i="2"/>
  <c r="Z936" i="2"/>
  <c r="AA936" i="2" s="1"/>
  <c r="Z937" i="2"/>
  <c r="Z938" i="2"/>
  <c r="Z939" i="2"/>
  <c r="Z940" i="2"/>
  <c r="AA940" i="2" s="1"/>
  <c r="Z941" i="2"/>
  <c r="Z942" i="2"/>
  <c r="Z943" i="2"/>
  <c r="Z944" i="2"/>
  <c r="AA944" i="2" s="1"/>
  <c r="Z945" i="2"/>
  <c r="Z946" i="2"/>
  <c r="Z947" i="2"/>
  <c r="Z948" i="2"/>
  <c r="AB948" i="2" s="1"/>
  <c r="Z949" i="2"/>
  <c r="Z950" i="2"/>
  <c r="Z951" i="2"/>
  <c r="AA951" i="2" s="1"/>
  <c r="Z952" i="2"/>
  <c r="AA952" i="2" s="1"/>
  <c r="Z953" i="2"/>
  <c r="AB953" i="2" s="1"/>
  <c r="Z954" i="2"/>
  <c r="AB954" i="2" s="1"/>
  <c r="Z955" i="2"/>
  <c r="AA955" i="2" s="1"/>
  <c r="Z956" i="2"/>
  <c r="Z957" i="2"/>
  <c r="Z958" i="2"/>
  <c r="AB958" i="2" s="1"/>
  <c r="Z959" i="2"/>
  <c r="Z960" i="2"/>
  <c r="AA960" i="2" s="1"/>
  <c r="Z961" i="2"/>
  <c r="AB961" i="2" s="1"/>
  <c r="Z962" i="2"/>
  <c r="Z963" i="2"/>
  <c r="AA963" i="2" s="1"/>
  <c r="Z964" i="2"/>
  <c r="AB964" i="2" s="1"/>
  <c r="Z965" i="2"/>
  <c r="AB965" i="2" s="1"/>
  <c r="Z966" i="2"/>
  <c r="Z967" i="2"/>
  <c r="AA967" i="2" s="1"/>
  <c r="Z968" i="2"/>
  <c r="AB968" i="2" s="1"/>
  <c r="Z969" i="2"/>
  <c r="AB969" i="2" s="1"/>
  <c r="Z970" i="2"/>
  <c r="AB970" i="2" s="1"/>
  <c r="Z971" i="2"/>
  <c r="Z972" i="2"/>
  <c r="AA972" i="2" s="1"/>
  <c r="Z973" i="2"/>
  <c r="Z974" i="2"/>
  <c r="AB974" i="2" s="1"/>
  <c r="Z975" i="2"/>
  <c r="Z976" i="2"/>
  <c r="Z977" i="2"/>
  <c r="AB977" i="2" s="1"/>
  <c r="Z978" i="2"/>
  <c r="AB978" i="2" s="1"/>
  <c r="AK978" i="2" s="1"/>
  <c r="Z979" i="2"/>
  <c r="Z980" i="2"/>
  <c r="AB980" i="2" s="1"/>
  <c r="Z981" i="2"/>
  <c r="AB981" i="2" s="1"/>
  <c r="Z982" i="2"/>
  <c r="Z983" i="2"/>
  <c r="AA983" i="2" s="1"/>
  <c r="Z984" i="2"/>
  <c r="AB984" i="2" s="1"/>
  <c r="Z985" i="2"/>
  <c r="AB985" i="2" s="1"/>
  <c r="Z986" i="2"/>
  <c r="AB986" i="2" s="1"/>
  <c r="Z987" i="2"/>
  <c r="AA987" i="2" s="1"/>
  <c r="Z988" i="2"/>
  <c r="Z989" i="2"/>
  <c r="Z990" i="2"/>
  <c r="AB990" i="2" s="1"/>
  <c r="Z991" i="2"/>
  <c r="Z992" i="2"/>
  <c r="AA992" i="2" s="1"/>
  <c r="Z993" i="2"/>
  <c r="AB993" i="2" s="1"/>
  <c r="Z994" i="2"/>
  <c r="Z995" i="2"/>
  <c r="AA995" i="2" s="1"/>
  <c r="Z996" i="2"/>
  <c r="AA996" i="2" s="1"/>
  <c r="Z997" i="2"/>
  <c r="AB997" i="2" s="1"/>
  <c r="Z998" i="2"/>
  <c r="Z999" i="2"/>
  <c r="AA999" i="2" s="1"/>
  <c r="Z1000" i="2"/>
  <c r="AB1000" i="2" s="1"/>
  <c r="Z1001" i="2"/>
  <c r="Z1002" i="2"/>
  <c r="AB1002" i="2" s="1"/>
  <c r="AK1002" i="2" s="1"/>
  <c r="Z1003" i="2"/>
  <c r="AA1003" i="2" s="1"/>
  <c r="Z1004" i="2"/>
  <c r="AA1004" i="2" s="1"/>
  <c r="Z1005" i="2"/>
  <c r="Z1006" i="2"/>
  <c r="AB1006" i="2" s="1"/>
  <c r="Z1007" i="2"/>
  <c r="Z1008" i="2"/>
  <c r="Z1009" i="2"/>
  <c r="AB1009" i="2" s="1"/>
  <c r="Z1010" i="2"/>
  <c r="AB1010" i="2" s="1"/>
  <c r="Z1011" i="2"/>
  <c r="Z1012" i="2"/>
  <c r="AB1012" i="2" s="1"/>
  <c r="Z1013" i="2"/>
  <c r="AB1013" i="2" s="1"/>
  <c r="Z1014" i="2"/>
  <c r="Z1015" i="2"/>
  <c r="AA1015" i="2" s="1"/>
  <c r="Z1016" i="2"/>
  <c r="AB1016" i="2" s="1"/>
  <c r="Z1017" i="2"/>
  <c r="AB1017" i="2" s="1"/>
  <c r="Z1018" i="2"/>
  <c r="Z1019" i="2"/>
  <c r="AA1019" i="2" s="1"/>
  <c r="Z1020" i="2"/>
  <c r="AB1020" i="2" s="1"/>
  <c r="Z1021" i="2"/>
  <c r="Z1022" i="2"/>
  <c r="AB1022" i="2" s="1"/>
  <c r="Z1023" i="2"/>
  <c r="Z1024" i="2"/>
  <c r="AA1024" i="2" s="1"/>
  <c r="Z1025" i="2"/>
  <c r="AB1025" i="2" s="1"/>
  <c r="Z1026" i="2"/>
  <c r="AB1026" i="2" s="1"/>
  <c r="Z1027" i="2"/>
  <c r="AA1027" i="2" s="1"/>
  <c r="Z1028" i="2"/>
  <c r="AA1028" i="2" s="1"/>
  <c r="Z1029" i="2"/>
  <c r="AB1029" i="2" s="1"/>
  <c r="Z1030" i="2"/>
  <c r="Z1031" i="2"/>
  <c r="AA1031" i="2" s="1"/>
  <c r="Z1032" i="2"/>
  <c r="AB1032" i="2" s="1"/>
  <c r="Z1033" i="2"/>
  <c r="Z1034" i="2"/>
  <c r="AB1034" i="2" s="1"/>
  <c r="AK1034" i="2" s="1"/>
  <c r="Z1035" i="2"/>
  <c r="Z1036" i="2"/>
  <c r="AA1036" i="2" s="1"/>
  <c r="Z1037" i="2"/>
  <c r="Z1038" i="2"/>
  <c r="AB1038" i="2" s="1"/>
  <c r="Z1039" i="2"/>
  <c r="Z1040" i="2"/>
  <c r="Z1041" i="2"/>
  <c r="AB1041" i="2" s="1"/>
  <c r="Z1042" i="2"/>
  <c r="AB1042" i="2" s="1"/>
  <c r="Z1043" i="2"/>
  <c r="AA1043" i="2" s="1"/>
  <c r="Z1044" i="2"/>
  <c r="AB1044" i="2" s="1"/>
  <c r="Z1045" i="2"/>
  <c r="AB1045" i="2" s="1"/>
  <c r="Z1046" i="2"/>
  <c r="Z1047" i="2"/>
  <c r="AA1047" i="2" s="1"/>
  <c r="Z1048" i="2"/>
  <c r="AB1048" i="2" s="1"/>
  <c r="Z1049" i="2"/>
  <c r="AB1049" i="2" s="1"/>
  <c r="Z1050" i="2"/>
  <c r="Z1051" i="2"/>
  <c r="AA1051" i="2" s="1"/>
  <c r="Z1052" i="2"/>
  <c r="AA1052" i="2" s="1"/>
  <c r="AJ1052" i="2" s="1"/>
  <c r="Z1053" i="2"/>
  <c r="Z1054" i="2"/>
  <c r="AB1054" i="2" s="1"/>
  <c r="Z1055" i="2"/>
  <c r="Z1056" i="2"/>
  <c r="AA1056" i="2" s="1"/>
  <c r="Z1057" i="2"/>
  <c r="AB1057" i="2" s="1"/>
  <c r="Z1058" i="2"/>
  <c r="AB1058" i="2" s="1"/>
  <c r="AK1058" i="2" s="1"/>
  <c r="Z1059" i="2"/>
  <c r="AA1059" i="2" s="1"/>
  <c r="Z1060" i="2"/>
  <c r="AA1060" i="2" s="1"/>
  <c r="Z1061" i="2"/>
  <c r="AB1061" i="2" s="1"/>
  <c r="Z1062" i="2"/>
  <c r="Z1063" i="2"/>
  <c r="AA1063" i="2" s="1"/>
  <c r="Z1064" i="2"/>
  <c r="AB1064" i="2" s="1"/>
  <c r="Z1065" i="2"/>
  <c r="Z1066" i="2"/>
  <c r="AB1066" i="2" s="1"/>
  <c r="Z1067" i="2"/>
  <c r="AA1067" i="2" s="1"/>
  <c r="Z1068" i="2"/>
  <c r="AA1068" i="2" s="1"/>
  <c r="Z1069" i="2"/>
  <c r="Z1070" i="2"/>
  <c r="AB1070" i="2" s="1"/>
  <c r="Z1071" i="2"/>
  <c r="Z1072" i="2"/>
  <c r="AB1072" i="2" s="1"/>
  <c r="Z1073" i="2"/>
  <c r="Z1074" i="2"/>
  <c r="AB1074" i="2" s="1"/>
  <c r="AK1074" i="2" s="1"/>
  <c r="Z1075" i="2"/>
  <c r="Z1076" i="2"/>
  <c r="AB1076" i="2" s="1"/>
  <c r="Z1077" i="2"/>
  <c r="AB1077" i="2" s="1"/>
  <c r="Z1078" i="2"/>
  <c r="Z1079" i="2"/>
  <c r="AA1079" i="2" s="1"/>
  <c r="Z1080" i="2"/>
  <c r="AA1080" i="2" s="1"/>
  <c r="Z1081" i="2"/>
  <c r="AB1081" i="2" s="1"/>
  <c r="Z1082" i="2"/>
  <c r="Z1083" i="2"/>
  <c r="AA1083" i="2" s="1"/>
  <c r="Z1084" i="2"/>
  <c r="AB1084" i="2" s="1"/>
  <c r="Z1085" i="2"/>
  <c r="Z1086" i="2"/>
  <c r="AB1086" i="2" s="1"/>
  <c r="Z1087" i="2"/>
  <c r="Z1088" i="2"/>
  <c r="AA1088" i="2" s="1"/>
  <c r="Z1089" i="2"/>
  <c r="AB1089" i="2" s="1"/>
  <c r="Z1090" i="2"/>
  <c r="Z1091" i="2"/>
  <c r="AA1091" i="2" s="1"/>
  <c r="Z1092" i="2"/>
  <c r="AA1092" i="2" s="1"/>
  <c r="Z1093" i="2"/>
  <c r="AA1093" i="2" s="1"/>
  <c r="Z1094" i="2"/>
  <c r="Z1095" i="2"/>
  <c r="AA1095" i="2" s="1"/>
  <c r="Z1096" i="2"/>
  <c r="Z1097" i="2"/>
  <c r="AA1097" i="2" s="1"/>
  <c r="Z1098" i="2"/>
  <c r="Z1099" i="2"/>
  <c r="Z1100" i="2"/>
  <c r="AB1100" i="2" s="1"/>
  <c r="Z1101" i="2"/>
  <c r="AB1101" i="2" s="1"/>
  <c r="Z1102" i="2"/>
  <c r="Z1103" i="2"/>
  <c r="AA1103" i="2" s="1"/>
  <c r="Z1104" i="2"/>
  <c r="AA1104" i="2" s="1"/>
  <c r="Z1105" i="2"/>
  <c r="AB1105" i="2" s="1"/>
  <c r="Z1106" i="2"/>
  <c r="Z1107" i="2"/>
  <c r="AA1107" i="2" s="1"/>
  <c r="Z1108" i="2"/>
  <c r="AB1108" i="2" s="1"/>
  <c r="Z1109" i="2"/>
  <c r="AA1109" i="2" s="1"/>
  <c r="Z1110" i="2"/>
  <c r="Z1111" i="2"/>
  <c r="AA1111" i="2" s="1"/>
  <c r="Z1112" i="2"/>
  <c r="AA1112" i="2" s="1"/>
  <c r="Z1113" i="2"/>
  <c r="AA1113" i="2" s="1"/>
  <c r="Z1114" i="2"/>
  <c r="Z1115" i="2"/>
  <c r="Z1116" i="2"/>
  <c r="AB1116" i="2" s="1"/>
  <c r="Z1117" i="2"/>
  <c r="AA1117" i="2" s="1"/>
  <c r="Z1118" i="2"/>
  <c r="Z1119" i="2"/>
  <c r="AA1119" i="2" s="1"/>
  <c r="Z1120" i="2"/>
  <c r="AA1120" i="2" s="1"/>
  <c r="Z1121" i="2"/>
  <c r="AB1121" i="2" s="1"/>
  <c r="Z1122" i="2"/>
  <c r="Z1123" i="2"/>
  <c r="AA1123" i="2" s="1"/>
  <c r="Z1124" i="2"/>
  <c r="Z1125" i="2"/>
  <c r="AA1125" i="2" s="1"/>
  <c r="Z1126" i="2"/>
  <c r="Z1127" i="2"/>
  <c r="AA1127" i="2" s="1"/>
  <c r="Z1128" i="2"/>
  <c r="AB1128" i="2" s="1"/>
  <c r="Z1129" i="2"/>
  <c r="AA1129" i="2" s="1"/>
  <c r="Z1130" i="2"/>
  <c r="Z1131" i="2"/>
  <c r="Z1132" i="2"/>
  <c r="AB1132" i="2" s="1"/>
  <c r="Z1133" i="2"/>
  <c r="Z1134" i="2"/>
  <c r="Z1135" i="2"/>
  <c r="AA1135" i="2" s="1"/>
  <c r="Z1136" i="2"/>
  <c r="AA1136" i="2" s="1"/>
  <c r="Z1137" i="2"/>
  <c r="AB1137" i="2" s="1"/>
  <c r="Z1138" i="2"/>
  <c r="Z1139" i="2"/>
  <c r="AA1139" i="2" s="1"/>
  <c r="Z1140" i="2"/>
  <c r="Z1141" i="2"/>
  <c r="AA1141" i="2" s="1"/>
  <c r="Z1142" i="2"/>
  <c r="Z1143" i="2"/>
  <c r="AA1143" i="2" s="1"/>
  <c r="Z1144" i="2"/>
  <c r="AB1144" i="2" s="1"/>
  <c r="Z1145" i="2"/>
  <c r="Z1146" i="2"/>
  <c r="Z1147" i="2"/>
  <c r="AA1147" i="2" s="1"/>
  <c r="Z1148" i="2"/>
  <c r="AB1148" i="2" s="1"/>
  <c r="Z1149" i="2"/>
  <c r="Z1150" i="2"/>
  <c r="Z1151" i="2"/>
  <c r="Z1152" i="2"/>
  <c r="AA1152" i="2" s="1"/>
  <c r="Z1153" i="2"/>
  <c r="AB1153" i="2" s="1"/>
  <c r="Z1154" i="2"/>
  <c r="Z1155" i="2"/>
  <c r="AA1155" i="2" s="1"/>
  <c r="Z1156" i="2"/>
  <c r="AB1156" i="2" s="1"/>
  <c r="Z1157" i="2"/>
  <c r="AA1157" i="2" s="1"/>
  <c r="Z1158" i="2"/>
  <c r="Z1159" i="2"/>
  <c r="AA1159" i="2" s="1"/>
  <c r="Z1160" i="2"/>
  <c r="Z1161" i="2"/>
  <c r="AA1161" i="2" s="1"/>
  <c r="Z1162" i="2"/>
  <c r="Z1163" i="2"/>
  <c r="AA1163" i="2" s="1"/>
  <c r="Z1164" i="2"/>
  <c r="AB1164" i="2" s="1"/>
  <c r="Z1165" i="2"/>
  <c r="AA1165" i="2" s="1"/>
  <c r="Z1166" i="2"/>
  <c r="Z1167" i="2"/>
  <c r="Z1168" i="2"/>
  <c r="AA1168" i="2" s="1"/>
  <c r="Z1169" i="2"/>
  <c r="AB1169" i="2" s="1"/>
  <c r="Z1170" i="2"/>
  <c r="Z1171" i="2"/>
  <c r="AA1171" i="2" s="1"/>
  <c r="Z1172" i="2"/>
  <c r="AA1172" i="2" s="1"/>
  <c r="Z1173" i="2"/>
  <c r="AA1173" i="2" s="1"/>
  <c r="Z1174" i="2"/>
  <c r="Z1175" i="2"/>
  <c r="AA1175" i="2" s="1"/>
  <c r="Z1176" i="2"/>
  <c r="AA1176" i="2" s="1"/>
  <c r="Z1177" i="2"/>
  <c r="AB1177" i="2" s="1"/>
  <c r="Z1178" i="2"/>
  <c r="Z1179" i="2"/>
  <c r="Z1180" i="2"/>
  <c r="AB1180" i="2" s="1"/>
  <c r="Z1181" i="2"/>
  <c r="AA1181" i="2" s="1"/>
  <c r="Z1182" i="2"/>
  <c r="Z1183" i="2"/>
  <c r="Z1184" i="2"/>
  <c r="AA1184" i="2" s="1"/>
  <c r="Z1185" i="2"/>
  <c r="AB1185" i="2" s="1"/>
  <c r="Z1186" i="2"/>
  <c r="Z1187" i="2"/>
  <c r="AA1187" i="2" s="1"/>
  <c r="Z1188" i="2"/>
  <c r="AB1188" i="2" s="1"/>
  <c r="Z1189" i="2"/>
  <c r="AA1189" i="2" s="1"/>
  <c r="Z1190" i="2"/>
  <c r="Z1191" i="2"/>
  <c r="AA1191" i="2" s="1"/>
  <c r="Z1192" i="2"/>
  <c r="AB1192" i="2" s="1"/>
  <c r="Z1193" i="2"/>
  <c r="AA1193" i="2" s="1"/>
  <c r="Z1194" i="2"/>
  <c r="Z1195" i="2"/>
  <c r="Z1196" i="2"/>
  <c r="AB1196" i="2" s="1"/>
  <c r="Z1197" i="2"/>
  <c r="AB1197" i="2" s="1"/>
  <c r="Z1198" i="2"/>
  <c r="Z1199" i="2"/>
  <c r="AA1199" i="2" s="1"/>
  <c r="Z1200" i="2"/>
  <c r="AA1200" i="2" s="1"/>
  <c r="Z1201" i="2"/>
  <c r="AB1201" i="2" s="1"/>
  <c r="Z1202" i="2"/>
  <c r="Z1203" i="2"/>
  <c r="Z1204" i="2"/>
  <c r="Z1205" i="2"/>
  <c r="AA1205" i="2" s="1"/>
  <c r="Z1206" i="2"/>
  <c r="Z1207" i="2"/>
  <c r="AA1207" i="2" s="1"/>
  <c r="Z1208" i="2"/>
  <c r="AA1208" i="2" s="1"/>
  <c r="Z1209" i="2"/>
  <c r="Z1210" i="2"/>
  <c r="Z1211" i="2"/>
  <c r="Z1212" i="2"/>
  <c r="Z1213" i="2"/>
  <c r="AB1213" i="2" s="1"/>
  <c r="Z1214" i="2"/>
  <c r="Z1215" i="2"/>
  <c r="Z1216" i="2"/>
  <c r="AA1216" i="2" s="1"/>
  <c r="Z1217" i="2"/>
  <c r="Z1218" i="2"/>
  <c r="Z1219" i="2"/>
  <c r="Z1220" i="2"/>
  <c r="AB1220" i="2" s="1"/>
  <c r="Z1221" i="2"/>
  <c r="AA1221" i="2" s="1"/>
  <c r="Z1222" i="2"/>
  <c r="Z1223" i="2"/>
  <c r="AA1223" i="2" s="1"/>
  <c r="Z1224" i="2"/>
  <c r="Z1225" i="2"/>
  <c r="AB1225" i="2" s="1"/>
  <c r="Z1226" i="2"/>
  <c r="Z1227" i="2"/>
  <c r="Z1228" i="2"/>
  <c r="Z1229" i="2"/>
  <c r="AB1229" i="2" s="1"/>
  <c r="Z1230" i="2"/>
  <c r="Z1231" i="2"/>
  <c r="Z1232" i="2"/>
  <c r="AA1232" i="2" s="1"/>
  <c r="Z1233" i="2"/>
  <c r="Z1234" i="2"/>
  <c r="Z1235" i="2"/>
  <c r="Z1236" i="2"/>
  <c r="Z1237" i="2"/>
  <c r="AA1237" i="2" s="1"/>
  <c r="Z1238" i="2"/>
  <c r="Z1239" i="2"/>
  <c r="AA1239" i="2" s="1"/>
  <c r="Z1240" i="2"/>
  <c r="AA1240" i="2" s="1"/>
  <c r="Z1241" i="2"/>
  <c r="AB1241" i="2" s="1"/>
  <c r="Z1242" i="2"/>
  <c r="Z1243" i="2"/>
  <c r="Z1244" i="2"/>
  <c r="Z1245" i="2"/>
  <c r="AA1245" i="2" s="1"/>
  <c r="Z1246" i="2"/>
  <c r="Z1247" i="2"/>
  <c r="Z1248" i="2"/>
  <c r="AA1248" i="2" s="1"/>
  <c r="Z1249" i="2"/>
  <c r="Z1250" i="2"/>
  <c r="Z1251" i="2"/>
  <c r="Z1252" i="2"/>
  <c r="AA1252" i="2" s="1"/>
  <c r="Z1253" i="2"/>
  <c r="AA1253" i="2" s="1"/>
  <c r="Z1254" i="2"/>
  <c r="Z1255" i="2"/>
  <c r="AA1255" i="2" s="1"/>
  <c r="Z1256" i="2"/>
  <c r="AA1256" i="2" s="1"/>
  <c r="Z1257" i="2"/>
  <c r="AB1257" i="2" s="1"/>
  <c r="Z1258" i="2"/>
  <c r="Z1259" i="2"/>
  <c r="Z1260" i="2"/>
  <c r="Z1261" i="2"/>
  <c r="AA1261" i="2" s="1"/>
  <c r="Z1262" i="2"/>
  <c r="Z1263" i="2"/>
  <c r="AA1263" i="2" s="1"/>
  <c r="Z1264" i="2"/>
  <c r="AA1264" i="2" s="1"/>
  <c r="Z1265" i="2"/>
  <c r="Z1266" i="2"/>
  <c r="Z1267" i="2"/>
  <c r="Z1268" i="2"/>
  <c r="Z1269" i="2"/>
  <c r="AA1269" i="2" s="1"/>
  <c r="Z1270" i="2"/>
  <c r="Z1271" i="2"/>
  <c r="AA1271" i="2" s="1"/>
  <c r="Z1272" i="2"/>
  <c r="Z1273" i="2"/>
  <c r="Z1274" i="2"/>
  <c r="Z1275" i="2"/>
  <c r="Z1276" i="2"/>
  <c r="Z1277" i="2"/>
  <c r="AB1277" i="2" s="1"/>
  <c r="Z1278" i="2"/>
  <c r="Z1279" i="2"/>
  <c r="AA1279" i="2" s="1"/>
  <c r="Z1280" i="2"/>
  <c r="AA1280" i="2" s="1"/>
  <c r="Z1281" i="2"/>
  <c r="Z1282" i="2"/>
  <c r="Z1283" i="2"/>
  <c r="Z1284" i="2"/>
  <c r="AB1284" i="2" s="1"/>
  <c r="Z1285" i="2"/>
  <c r="AA1285" i="2" s="1"/>
  <c r="Z1286" i="2"/>
  <c r="Z1287" i="2"/>
  <c r="AA1287" i="2" s="1"/>
  <c r="Z1288" i="2"/>
  <c r="AB1288" i="2" s="1"/>
  <c r="Z1289" i="2"/>
  <c r="Z1290" i="2"/>
  <c r="Z1291" i="2"/>
  <c r="AA1291" i="2" s="1"/>
  <c r="Z1292" i="2"/>
  <c r="Z1293" i="2"/>
  <c r="AB1293" i="2" s="1"/>
  <c r="Z1294" i="2"/>
  <c r="Z1295" i="2"/>
  <c r="AA1295" i="2" s="1"/>
  <c r="Z1296" i="2"/>
  <c r="Z1297" i="2"/>
  <c r="AB1297" i="2" s="1"/>
  <c r="Z1298" i="2"/>
  <c r="Z1299" i="2"/>
  <c r="AA1299" i="2" s="1"/>
  <c r="Z1300" i="2"/>
  <c r="AB1300" i="2" s="1"/>
  <c r="Z1301" i="2"/>
  <c r="Z1302" i="2"/>
  <c r="Z1303" i="2"/>
  <c r="Z1304" i="2"/>
  <c r="AB1304" i="2" s="1"/>
  <c r="Z1305" i="2"/>
  <c r="AA1305" i="2" s="1"/>
  <c r="Z1306" i="2"/>
  <c r="Z1307" i="2"/>
  <c r="Z1308" i="2"/>
  <c r="AB1308" i="2" s="1"/>
  <c r="Z1309" i="2"/>
  <c r="AB1309" i="2" s="1"/>
  <c r="Z1310" i="2"/>
  <c r="Z1311" i="2"/>
  <c r="Z1312" i="2"/>
  <c r="Z1313" i="2"/>
  <c r="AB1313" i="2" s="1"/>
  <c r="Z1314" i="2"/>
  <c r="Z1315" i="2"/>
  <c r="AA1315" i="2" s="1"/>
  <c r="Z1316" i="2"/>
  <c r="AB1316" i="2" s="1"/>
  <c r="Z1317" i="2"/>
  <c r="Z1318" i="2"/>
  <c r="Z1319" i="2"/>
  <c r="Z1320" i="2"/>
  <c r="AA1320" i="2" s="1"/>
  <c r="Z1321" i="2"/>
  <c r="AA1321" i="2" s="1"/>
  <c r="Z1322" i="2"/>
  <c r="Z1323" i="2"/>
  <c r="Z1324" i="2"/>
  <c r="Z1325" i="2"/>
  <c r="Z1326" i="2"/>
  <c r="Z1327" i="2"/>
  <c r="Z1328" i="2"/>
  <c r="Z1329" i="2"/>
  <c r="Z1330" i="2"/>
  <c r="Z1331" i="2"/>
  <c r="AA1331" i="2" s="1"/>
  <c r="Z1332" i="2"/>
  <c r="AA1332" i="2" s="1"/>
  <c r="Z1333" i="2"/>
  <c r="Z1334" i="2"/>
  <c r="Z1335" i="2"/>
  <c r="Z1336" i="2"/>
  <c r="AB1336" i="2" s="1"/>
  <c r="Z1337" i="2"/>
  <c r="Z1338" i="2"/>
  <c r="Z1339" i="2"/>
  <c r="Z1340" i="2"/>
  <c r="Z1341" i="2"/>
  <c r="AA1341" i="2" s="1"/>
  <c r="Z1342" i="2"/>
  <c r="Z1343" i="2"/>
  <c r="Z1344" i="2"/>
  <c r="Z1345" i="2"/>
  <c r="AB1345" i="2" s="1"/>
  <c r="Z1346" i="2"/>
  <c r="Z1347" i="2"/>
  <c r="Z1348" i="2"/>
  <c r="AB1348" i="2" s="1"/>
  <c r="Z1349" i="2"/>
  <c r="Z1350" i="2"/>
  <c r="Z1351" i="2"/>
  <c r="Z1352" i="2"/>
  <c r="AA1352" i="2" s="1"/>
  <c r="Z1353" i="2"/>
  <c r="Z1354" i="2"/>
  <c r="Z1355" i="2"/>
  <c r="AA1355" i="2" s="1"/>
  <c r="Z1356" i="2"/>
  <c r="AB1356" i="2" s="1"/>
  <c r="Z1357" i="2"/>
  <c r="AB1357" i="2" s="1"/>
  <c r="Z1358" i="2"/>
  <c r="Z1359" i="2"/>
  <c r="Z1360" i="2"/>
  <c r="Z1361" i="2"/>
  <c r="AB1361" i="2" s="1"/>
  <c r="Z1362" i="2"/>
  <c r="Z1363" i="2"/>
  <c r="AA1363" i="2" s="1"/>
  <c r="Z1364" i="2"/>
  <c r="AA1364" i="2" s="1"/>
  <c r="Z1365" i="2"/>
  <c r="Z1366" i="2"/>
  <c r="Z1367" i="2"/>
  <c r="Z1368" i="2"/>
  <c r="AA1368" i="2" s="1"/>
  <c r="Z1369" i="2"/>
  <c r="AB1369" i="2" s="1"/>
  <c r="Z1370" i="2"/>
  <c r="Z1371" i="2"/>
  <c r="Z1372" i="2"/>
  <c r="Z1373" i="2"/>
  <c r="AA1373" i="2" s="1"/>
  <c r="Z1374" i="2"/>
  <c r="Z1375" i="2"/>
  <c r="Z1376" i="2"/>
  <c r="Z1377" i="2"/>
  <c r="Z1378" i="2"/>
  <c r="Z1379" i="2"/>
  <c r="AA1379" i="2" s="1"/>
  <c r="Z1380" i="2"/>
  <c r="Z1381" i="2"/>
  <c r="Z1382" i="2"/>
  <c r="Z1383" i="2"/>
  <c r="Z1384" i="2"/>
  <c r="AA1384" i="2" s="1"/>
  <c r="Z1385" i="2"/>
  <c r="AA1385" i="2" s="1"/>
  <c r="Z1386" i="2"/>
  <c r="Z1387" i="2"/>
  <c r="Z1388" i="2"/>
  <c r="AB1388" i="2" s="1"/>
  <c r="Z1389" i="2"/>
  <c r="AB1389" i="2" s="1"/>
  <c r="Z1390" i="2"/>
  <c r="Z1391" i="2"/>
  <c r="Z1392" i="2"/>
  <c r="Z1393" i="2"/>
  <c r="Z1394" i="2"/>
  <c r="Z1395" i="2"/>
  <c r="Z1396" i="2"/>
  <c r="Z1397" i="2"/>
  <c r="AB1397" i="2" s="1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AB1409" i="2" s="1"/>
  <c r="Z1410" i="2"/>
  <c r="Z1411" i="2"/>
  <c r="Z1412" i="2"/>
  <c r="Z1413" i="2"/>
  <c r="AA1413" i="2" s="1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AB1429" i="2" s="1"/>
  <c r="Z1430" i="2"/>
  <c r="Z1431" i="2"/>
  <c r="Z1432" i="2"/>
  <c r="Z1433" i="2"/>
  <c r="Z1434" i="2"/>
  <c r="Z1435" i="2"/>
  <c r="Z1436" i="2"/>
  <c r="Z1437" i="2"/>
  <c r="AB1437" i="2" s="1"/>
  <c r="Z1438" i="2"/>
  <c r="Z1439" i="2"/>
  <c r="Z1440" i="2"/>
  <c r="Z1441" i="2"/>
  <c r="AA1441" i="2" s="1"/>
  <c r="Z1442" i="2"/>
  <c r="Z1443" i="2"/>
  <c r="Z1444" i="2"/>
  <c r="Z1445" i="2"/>
  <c r="Z1446" i="2"/>
  <c r="Z1447" i="2"/>
  <c r="Z1448" i="2"/>
  <c r="Z1449" i="2"/>
  <c r="AA1449" i="2" s="1"/>
  <c r="Z1450" i="2"/>
  <c r="Z1451" i="2"/>
  <c r="Z1452" i="2"/>
  <c r="Z1453" i="2"/>
  <c r="Z1454" i="2"/>
  <c r="Z1455" i="2"/>
  <c r="Z1456" i="2"/>
  <c r="Z1457" i="2"/>
  <c r="AB1457" i="2" s="1"/>
  <c r="Z1458" i="2"/>
  <c r="Z1459" i="2"/>
  <c r="Z1460" i="2"/>
  <c r="Z1461" i="2"/>
  <c r="AB1461" i="2" s="1"/>
  <c r="Z1462" i="2"/>
  <c r="Z1463" i="2"/>
  <c r="Z1464" i="2"/>
  <c r="Z1465" i="2"/>
  <c r="Z1466" i="2"/>
  <c r="AA1466" i="2" s="1"/>
  <c r="AJ1466" i="2" s="1"/>
  <c r="Z1467" i="2"/>
  <c r="Z1468" i="2"/>
  <c r="Z1469" i="2"/>
  <c r="AB1469" i="2" s="1"/>
  <c r="Z1470" i="2"/>
  <c r="Z1471" i="2"/>
  <c r="AB1471" i="2" s="1"/>
  <c r="Z1472" i="2"/>
  <c r="Z1473" i="2"/>
  <c r="Z1474" i="2"/>
  <c r="AA1474" i="2" s="1"/>
  <c r="Z1475" i="2"/>
  <c r="Z1476" i="2"/>
  <c r="Z1477" i="2"/>
  <c r="Z1478" i="2"/>
  <c r="Z1479" i="2"/>
  <c r="AB1479" i="2" s="1"/>
  <c r="Z1480" i="2"/>
  <c r="Z1481" i="2"/>
  <c r="Z1482" i="2"/>
  <c r="Z1483" i="2"/>
  <c r="AB1483" i="2" s="1"/>
  <c r="Z1484" i="2"/>
  <c r="Z1485" i="2"/>
  <c r="Z1486" i="2"/>
  <c r="Z1487" i="2"/>
  <c r="Z1488" i="2"/>
  <c r="Z1489" i="2"/>
  <c r="AA1489" i="2" s="1"/>
  <c r="Z1490" i="2"/>
  <c r="Z1491" i="2"/>
  <c r="Z1492" i="2"/>
  <c r="Z1493" i="2"/>
  <c r="Z1494" i="2"/>
  <c r="AB1494" i="2" s="1"/>
  <c r="Z1495" i="2"/>
  <c r="AB1495" i="2" s="1"/>
  <c r="Z1496" i="2"/>
  <c r="Z1497" i="2"/>
  <c r="AA1497" i="2" s="1"/>
  <c r="Z1498" i="2"/>
  <c r="Z1499" i="2"/>
  <c r="Z1500" i="2"/>
  <c r="Z1501" i="2"/>
  <c r="Z1502" i="2"/>
  <c r="AA1502" i="2" s="1"/>
  <c r="Z1503" i="2"/>
  <c r="Z1504" i="2"/>
  <c r="Z1505" i="2"/>
  <c r="Z1506" i="2"/>
  <c r="Z1507" i="2"/>
  <c r="AB1507" i="2" s="1"/>
  <c r="Z1508" i="2"/>
  <c r="Z1509" i="2"/>
  <c r="Z1510" i="2"/>
  <c r="AB1510" i="2" s="1"/>
  <c r="Z1511" i="2"/>
  <c r="Z1512" i="2"/>
  <c r="Z1513" i="2"/>
  <c r="AA1513" i="2" s="1"/>
  <c r="Z1514" i="2"/>
  <c r="Z1515" i="2"/>
  <c r="Z1516" i="2"/>
  <c r="Z1517" i="2"/>
  <c r="AA1517" i="2" s="1"/>
  <c r="Z1518" i="2"/>
  <c r="Z1519" i="2"/>
  <c r="AB1519" i="2" s="1"/>
  <c r="Z1520" i="2"/>
  <c r="Z1521" i="2"/>
  <c r="AA1521" i="2" s="1"/>
  <c r="Z1522" i="2"/>
  <c r="AA1522" i="2" s="1"/>
  <c r="AJ1522" i="2" s="1"/>
  <c r="Z1523" i="2"/>
  <c r="AB1523" i="2" s="1"/>
  <c r="Z1524" i="2"/>
  <c r="Z1525" i="2"/>
  <c r="AA1525" i="2" s="1"/>
  <c r="Z1526" i="2"/>
  <c r="AB1526" i="2" s="1"/>
  <c r="Z1527" i="2"/>
  <c r="Z1528" i="2"/>
  <c r="Z1529" i="2"/>
  <c r="AA1529" i="2" s="1"/>
  <c r="Z1530" i="2"/>
  <c r="AA1530" i="2" s="1"/>
  <c r="Z1531" i="2"/>
  <c r="Z1532" i="2"/>
  <c r="Z1533" i="2"/>
  <c r="AB1533" i="2" s="1"/>
  <c r="Z1534" i="2"/>
  <c r="AB1534" i="2" s="1"/>
  <c r="Z1535" i="2"/>
  <c r="Z1536" i="2"/>
  <c r="Z1537" i="2"/>
  <c r="Z1538" i="2"/>
  <c r="AA1538" i="2" s="1"/>
  <c r="Z1539" i="2"/>
  <c r="AB1539" i="2" s="1"/>
  <c r="Z1540" i="2"/>
  <c r="Z1541" i="2"/>
  <c r="Z1542" i="2"/>
  <c r="AB1542" i="2" s="1"/>
  <c r="Z1543" i="2"/>
  <c r="AB1543" i="2" s="1"/>
  <c r="Z1544" i="2"/>
  <c r="Z1545" i="2"/>
  <c r="Z1546" i="2"/>
  <c r="Z1547" i="2"/>
  <c r="Z1548" i="2"/>
  <c r="Z1549" i="2"/>
  <c r="AA1549" i="2" s="1"/>
  <c r="Z1550" i="2"/>
  <c r="Z1551" i="2"/>
  <c r="AB1551" i="2" s="1"/>
  <c r="Z1552" i="2"/>
  <c r="Z1553" i="2"/>
  <c r="Z1554" i="2"/>
  <c r="Z1555" i="2"/>
  <c r="AB1555" i="2" s="1"/>
  <c r="Z1556" i="2"/>
  <c r="Z1557" i="2"/>
  <c r="AA1557" i="2" s="1"/>
  <c r="Z1558" i="2"/>
  <c r="AA1558" i="2" s="1"/>
  <c r="Z1559" i="2"/>
  <c r="AB1559" i="2" s="1"/>
  <c r="Z1560" i="2"/>
  <c r="Z1561" i="2"/>
  <c r="AA1561" i="2" s="1"/>
  <c r="Z1562" i="2"/>
  <c r="Z1563" i="2"/>
  <c r="Z1564" i="2"/>
  <c r="Z1565" i="2"/>
  <c r="AB1565" i="2" s="1"/>
  <c r="Z1566" i="2"/>
  <c r="AA1566" i="2" s="1"/>
  <c r="Z1567" i="2"/>
  <c r="AB1567" i="2" s="1"/>
  <c r="Z1568" i="2"/>
  <c r="Z1569" i="2"/>
  <c r="Z1570" i="2"/>
  <c r="Z1571" i="2"/>
  <c r="AB1571" i="2" s="1"/>
  <c r="Z1572" i="2"/>
  <c r="Z1573" i="2"/>
  <c r="Z1574" i="2"/>
  <c r="AB1574" i="2" s="1"/>
  <c r="Z1575" i="2"/>
  <c r="Z1576" i="2"/>
  <c r="Z1577" i="2"/>
  <c r="Z1578" i="2"/>
  <c r="Z1579" i="2"/>
  <c r="Z1580" i="2"/>
  <c r="Z1581" i="2"/>
  <c r="AB1581" i="2" s="1"/>
  <c r="Z1582" i="2"/>
  <c r="Z1583" i="2"/>
  <c r="Z1584" i="2"/>
  <c r="Z1585" i="2"/>
  <c r="Z1586" i="2"/>
  <c r="AA1586" i="2" s="1"/>
  <c r="AJ1586" i="2" s="1"/>
  <c r="Z1587" i="2"/>
  <c r="Z1588" i="2"/>
  <c r="Z1589" i="2"/>
  <c r="AA1589" i="2" s="1"/>
  <c r="Z1590" i="2"/>
  <c r="AA1590" i="2" s="1"/>
  <c r="Z1591" i="2"/>
  <c r="AB1591" i="2" s="1"/>
  <c r="Z1592" i="2"/>
  <c r="Z1593" i="2"/>
  <c r="Z1594" i="2"/>
  <c r="Z1595" i="2"/>
  <c r="AB1595" i="2" s="1"/>
  <c r="Z1596" i="2"/>
  <c r="Z1597" i="2"/>
  <c r="AB1597" i="2" s="1"/>
  <c r="Z1598" i="2"/>
  <c r="Z1599" i="2"/>
  <c r="Z1600" i="2"/>
  <c r="Z1601" i="2"/>
  <c r="Z1602" i="2"/>
  <c r="Z1603" i="2"/>
  <c r="AB1603" i="2" s="1"/>
  <c r="Z1604" i="2"/>
  <c r="Z1605" i="2"/>
  <c r="AA1605" i="2" s="1"/>
  <c r="Z1606" i="2"/>
  <c r="AA1606" i="2" s="1"/>
  <c r="Z1607" i="2"/>
  <c r="Z1608" i="2"/>
  <c r="Z1609" i="2"/>
  <c r="Z1610" i="2"/>
  <c r="Z1611" i="2"/>
  <c r="Z1612" i="2"/>
  <c r="Z1613" i="2"/>
  <c r="Z1614" i="2"/>
  <c r="AA1614" i="2" s="1"/>
  <c r="Z1615" i="2"/>
  <c r="Z1616" i="2"/>
  <c r="Z1617" i="2"/>
  <c r="Z1618" i="2"/>
  <c r="Z1619" i="2"/>
  <c r="AB1619" i="2" s="1"/>
  <c r="Z1620" i="2"/>
  <c r="Z1621" i="2"/>
  <c r="Z1622" i="2"/>
  <c r="AA1622" i="2" s="1"/>
  <c r="Z1623" i="2"/>
  <c r="AB1623" i="2" s="1"/>
  <c r="Z1624" i="2"/>
  <c r="Z1625" i="2"/>
  <c r="Z1626" i="2"/>
  <c r="Z1627" i="2"/>
  <c r="AB1627" i="2" s="1"/>
  <c r="Z1628" i="2"/>
  <c r="Z1629" i="2"/>
  <c r="AA1629" i="2" s="1"/>
  <c r="Z1630" i="2"/>
  <c r="AB1630" i="2" s="1"/>
  <c r="Z1631" i="2"/>
  <c r="Z1632" i="2"/>
  <c r="Z1633" i="2"/>
  <c r="Z1634" i="2"/>
  <c r="Z1635" i="2"/>
  <c r="Z1636" i="2"/>
  <c r="Z1637" i="2"/>
  <c r="AB1637" i="2" s="1"/>
  <c r="Z1638" i="2"/>
  <c r="AA1638" i="2" s="1"/>
  <c r="Z1639" i="2"/>
  <c r="Z1640" i="2"/>
  <c r="Z1641" i="2"/>
  <c r="Z1642" i="2"/>
  <c r="Z1643" i="2"/>
  <c r="Z1644" i="2"/>
  <c r="Z1645" i="2"/>
  <c r="Z1646" i="2"/>
  <c r="Z1647" i="2"/>
  <c r="AB1647" i="2" s="1"/>
  <c r="Z1648" i="2"/>
  <c r="Z1649" i="2"/>
  <c r="Z1650" i="2"/>
  <c r="Z1651" i="2"/>
  <c r="AB1651" i="2" s="1"/>
  <c r="Z1652" i="2"/>
  <c r="Z1653" i="2"/>
  <c r="AA1653" i="2" s="1"/>
  <c r="Z1654" i="2"/>
  <c r="AA1654" i="2" s="1"/>
  <c r="Z1655" i="2"/>
  <c r="Z1656" i="2"/>
  <c r="Z1657" i="2"/>
  <c r="Z1658" i="2"/>
  <c r="Z1659" i="2"/>
  <c r="AB1659" i="2" s="1"/>
  <c r="Z1660" i="2"/>
  <c r="Z1661" i="2"/>
  <c r="AA1661" i="2" s="1"/>
  <c r="Z1662" i="2"/>
  <c r="AB1662" i="2" s="1"/>
  <c r="Z1663" i="2"/>
  <c r="Z1664" i="2"/>
  <c r="Z1665" i="2"/>
  <c r="Z1666" i="2"/>
  <c r="Z1667" i="2"/>
  <c r="AB1667" i="2" s="1"/>
  <c r="Z1668" i="2"/>
  <c r="Z1669" i="2"/>
  <c r="Z1670" i="2"/>
  <c r="AA1670" i="2" s="1"/>
  <c r="AJ1670" i="2" s="1"/>
  <c r="Z1671" i="2"/>
  <c r="Z1672" i="2"/>
  <c r="Z1673" i="2"/>
  <c r="Z1674" i="2"/>
  <c r="Z1675" i="2"/>
  <c r="AB1675" i="2" s="1"/>
  <c r="Z1676" i="2"/>
  <c r="Z1677" i="2"/>
  <c r="Z1678" i="2"/>
  <c r="AB1678" i="2" s="1"/>
  <c r="Z1679" i="2"/>
  <c r="Z1680" i="2"/>
  <c r="Z1681" i="2"/>
  <c r="Z1682" i="2"/>
  <c r="Z1683" i="2"/>
  <c r="AB1683" i="2" s="1"/>
  <c r="Z1684" i="2"/>
  <c r="Z1685" i="2"/>
  <c r="AA1685" i="2" s="1"/>
  <c r="Z1686" i="2"/>
  <c r="AA1686" i="2" s="1"/>
  <c r="Z1687" i="2"/>
  <c r="Z1688" i="2"/>
  <c r="Z1689" i="2"/>
  <c r="Z1690" i="2"/>
  <c r="Z1691" i="2"/>
  <c r="AB1691" i="2" s="1"/>
  <c r="Z1692" i="2"/>
  <c r="Z1693" i="2"/>
  <c r="AA1693" i="2" s="1"/>
  <c r="Z1694" i="2"/>
  <c r="AB1694" i="2" s="1"/>
  <c r="Z1695" i="2"/>
  <c r="AB1695" i="2" s="1"/>
  <c r="Z1696" i="2"/>
  <c r="Z1697" i="2"/>
  <c r="Z1698" i="2"/>
  <c r="Z1699" i="2"/>
  <c r="Z1700" i="2"/>
  <c r="Z1701" i="2"/>
  <c r="AA1701" i="2" s="1"/>
  <c r="Z1702" i="2"/>
  <c r="Z1703" i="2"/>
  <c r="Z1704" i="2"/>
  <c r="Z1705" i="2"/>
  <c r="Z1706" i="2"/>
  <c r="Z1707" i="2"/>
  <c r="AB1707" i="2" s="1"/>
  <c r="Z1708" i="2"/>
  <c r="Z1709" i="2"/>
  <c r="Z1710" i="2"/>
  <c r="AB1710" i="2" s="1"/>
  <c r="Z1711" i="2"/>
  <c r="Z1712" i="2"/>
  <c r="Z1713" i="2"/>
  <c r="Z1714" i="2"/>
  <c r="AA1714" i="2" s="1"/>
  <c r="AJ1714" i="2" s="1"/>
  <c r="Z1715" i="2"/>
  <c r="AB1715" i="2" s="1"/>
  <c r="Z1716" i="2"/>
  <c r="Z1717" i="2"/>
  <c r="Z1718" i="2"/>
  <c r="AB1718" i="2" s="1"/>
  <c r="Z1719" i="2"/>
  <c r="Z1720" i="2"/>
  <c r="Z1721" i="2"/>
  <c r="Z1722" i="2"/>
  <c r="Z1723" i="2"/>
  <c r="AB1723" i="2" s="1"/>
  <c r="Z1724" i="2"/>
  <c r="Z1725" i="2"/>
  <c r="AB1725" i="2" s="1"/>
  <c r="Z1726" i="2"/>
  <c r="AB1726" i="2" s="1"/>
  <c r="Z1727" i="2"/>
  <c r="AB1727" i="2" s="1"/>
  <c r="Z1728" i="2"/>
  <c r="Z1729" i="2"/>
  <c r="AA1729" i="2" s="1"/>
  <c r="Z1730" i="2"/>
  <c r="Z1731" i="2"/>
  <c r="AB1731" i="2" s="1"/>
  <c r="Z1732" i="2"/>
  <c r="Z1733" i="2"/>
  <c r="AA1733" i="2" s="1"/>
  <c r="Z1734" i="2"/>
  <c r="AA1734" i="2" s="1"/>
  <c r="Z1735" i="2"/>
  <c r="Z1736" i="2"/>
  <c r="Z1737" i="2"/>
  <c r="Z1738" i="2"/>
  <c r="Z1739" i="2"/>
  <c r="AB1739" i="2" s="1"/>
  <c r="Z1740" i="2"/>
  <c r="Z1741" i="2"/>
  <c r="Z1742" i="2"/>
  <c r="AB1742" i="2" s="1"/>
  <c r="Z1743" i="2"/>
  <c r="AB1743" i="2" s="1"/>
  <c r="Z1744" i="2"/>
  <c r="Z1745" i="2"/>
  <c r="AA1745" i="2" s="1"/>
  <c r="Z1746" i="2"/>
  <c r="Z1747" i="2"/>
  <c r="AB1747" i="2" s="1"/>
  <c r="Z1748" i="2"/>
  <c r="Z1749" i="2"/>
  <c r="Z1750" i="2"/>
  <c r="AA1750" i="2" s="1"/>
  <c r="Z1751" i="2"/>
  <c r="Z1752" i="2"/>
  <c r="Z1753" i="2"/>
  <c r="Z1754" i="2"/>
  <c r="Z1755" i="2"/>
  <c r="AB1755" i="2" s="1"/>
  <c r="Z1756" i="2"/>
  <c r="Z1757" i="2"/>
  <c r="AB1757" i="2" s="1"/>
  <c r="Z1758" i="2"/>
  <c r="AB1758" i="2" s="1"/>
  <c r="Z1759" i="2"/>
  <c r="AB1759" i="2" s="1"/>
  <c r="Z1760" i="2"/>
  <c r="Z1761" i="2"/>
  <c r="AA1761" i="2" s="1"/>
  <c r="Z1762" i="2"/>
  <c r="AA1762" i="2" s="1"/>
  <c r="Z1763" i="2"/>
  <c r="AB1763" i="2" s="1"/>
  <c r="Z1764" i="2"/>
  <c r="Z1765" i="2"/>
  <c r="AA1765" i="2" s="1"/>
  <c r="Z1766" i="2"/>
  <c r="AA1766" i="2" s="1"/>
  <c r="Z1767" i="2"/>
  <c r="Z1768" i="2"/>
  <c r="Z1769" i="2"/>
  <c r="Z1770" i="2"/>
  <c r="Z1771" i="2"/>
  <c r="AB1771" i="2" s="1"/>
  <c r="Z1772" i="2"/>
  <c r="Z1773" i="2"/>
  <c r="AB1773" i="2" s="1"/>
  <c r="Z1774" i="2"/>
  <c r="AB1774" i="2" s="1"/>
  <c r="Z1775" i="2"/>
  <c r="AB1775" i="2" s="1"/>
  <c r="Z1776" i="2"/>
  <c r="Z1777" i="2"/>
  <c r="Z1778" i="2"/>
  <c r="AB1778" i="2" s="1"/>
  <c r="AK1778" i="2" s="1"/>
  <c r="Z1779" i="2"/>
  <c r="AB1779" i="2" s="1"/>
  <c r="Z1780" i="2"/>
  <c r="Z1781" i="2"/>
  <c r="AA1781" i="2" s="1"/>
  <c r="Z1782" i="2"/>
  <c r="AB1782" i="2" s="1"/>
  <c r="Z1783" i="2"/>
  <c r="Z1784" i="2"/>
  <c r="Z1785" i="2"/>
  <c r="Z1786" i="2"/>
  <c r="Z1787" i="2"/>
  <c r="AB1787" i="2" s="1"/>
  <c r="Z1788" i="2"/>
  <c r="Z1789" i="2"/>
  <c r="AB1789" i="2" s="1"/>
  <c r="Z1790" i="2"/>
  <c r="AB1790" i="2" s="1"/>
  <c r="Z1791" i="2"/>
  <c r="Z1792" i="2"/>
  <c r="Z1793" i="2"/>
  <c r="AB1793" i="2" s="1"/>
  <c r="Z1794" i="2"/>
  <c r="AA1794" i="2" s="1"/>
  <c r="Z1795" i="2"/>
  <c r="AB1795" i="2" s="1"/>
  <c r="Z1796" i="2"/>
  <c r="Z1797" i="2"/>
  <c r="AB1797" i="2" s="1"/>
  <c r="Z1798" i="2"/>
  <c r="AA1798" i="2" s="1"/>
  <c r="Z1799" i="2"/>
  <c r="Z1800" i="2"/>
  <c r="Z1801" i="2"/>
  <c r="Z1802" i="2"/>
  <c r="Z1803" i="2"/>
  <c r="AB1803" i="2" s="1"/>
  <c r="Z1804" i="2"/>
  <c r="Z1805" i="2"/>
  <c r="AB1805" i="2" s="1"/>
  <c r="Z1806" i="2"/>
  <c r="AB1806" i="2" s="1"/>
  <c r="Z1807" i="2"/>
  <c r="AB1807" i="2" s="1"/>
  <c r="Z1808" i="2"/>
  <c r="Z1809" i="2"/>
  <c r="AA1809" i="2" s="1"/>
  <c r="Z1810" i="2"/>
  <c r="AA1810" i="2" s="1"/>
  <c r="AJ1810" i="2" s="1"/>
  <c r="Z1811" i="2"/>
  <c r="AB1811" i="2" s="1"/>
  <c r="Z1812" i="2"/>
  <c r="Z1813" i="2"/>
  <c r="AA1813" i="2" s="1"/>
  <c r="Z1814" i="2"/>
  <c r="AA1814" i="2" s="1"/>
  <c r="Z1815" i="2"/>
  <c r="Z1816" i="2"/>
  <c r="Z1817" i="2"/>
  <c r="Z1818" i="2"/>
  <c r="Z1819" i="2"/>
  <c r="Z1820" i="2"/>
  <c r="Z1821" i="2"/>
  <c r="AB1821" i="2" s="1"/>
  <c r="Z1822" i="2"/>
  <c r="AB1822" i="2" s="1"/>
  <c r="Z1823" i="2"/>
  <c r="Z1824" i="2"/>
  <c r="Z1825" i="2"/>
  <c r="AA1825" i="2" s="1"/>
  <c r="Z1826" i="2"/>
  <c r="AB1826" i="2" s="1"/>
  <c r="AK1826" i="2" s="1"/>
  <c r="Z1827" i="2"/>
  <c r="AB1827" i="2" s="1"/>
  <c r="Z1828" i="2"/>
  <c r="Z1829" i="2"/>
  <c r="AA1829" i="2" s="1"/>
  <c r="Z1830" i="2"/>
  <c r="AB1830" i="2" s="1"/>
  <c r="Z1831" i="2"/>
  <c r="Z1832" i="2"/>
  <c r="Z1833" i="2"/>
  <c r="Z1834" i="2"/>
  <c r="Z1835" i="2"/>
  <c r="Z1836" i="2"/>
  <c r="Z1837" i="2"/>
  <c r="AB1837" i="2" s="1"/>
  <c r="Z1838" i="2"/>
  <c r="Z1839" i="2"/>
  <c r="Z1840" i="2"/>
  <c r="Z1841" i="2"/>
  <c r="Z1842" i="2"/>
  <c r="AA1842" i="2" s="1"/>
  <c r="Z1843" i="2"/>
  <c r="AB1843" i="2" s="1"/>
  <c r="Z1844" i="2"/>
  <c r="Z1845" i="2"/>
  <c r="AB1845" i="2" s="1"/>
  <c r="Z1846" i="2"/>
  <c r="AA1846" i="2" s="1"/>
  <c r="Z1847" i="2"/>
  <c r="Z1848" i="2"/>
  <c r="Z1849" i="2"/>
  <c r="Z1850" i="2"/>
  <c r="Z1851" i="2"/>
  <c r="AB1851" i="2" s="1"/>
  <c r="Z1852" i="2"/>
  <c r="Z1853" i="2"/>
  <c r="AB1853" i="2" s="1"/>
  <c r="Z1854" i="2"/>
  <c r="AB1854" i="2" s="1"/>
  <c r="Z1855" i="2"/>
  <c r="AB1855" i="2" s="1"/>
  <c r="Z1856" i="2"/>
  <c r="Z1857" i="2"/>
  <c r="AA1857" i="2" s="1"/>
  <c r="Z1858" i="2"/>
  <c r="Z1859" i="2"/>
  <c r="AB1859" i="2" s="1"/>
  <c r="Z1860" i="2"/>
  <c r="Z1861" i="2"/>
  <c r="AA1861" i="2" s="1"/>
  <c r="Z1862" i="2"/>
  <c r="AA1862" i="2" s="1"/>
  <c r="Z1863" i="2"/>
  <c r="Z1864" i="2"/>
  <c r="Z1865" i="2"/>
  <c r="Z1866" i="2"/>
  <c r="Z1867" i="2"/>
  <c r="AB1867" i="2" s="1"/>
  <c r="Z1868" i="2"/>
  <c r="Z1869" i="2"/>
  <c r="AB1869" i="2" s="1"/>
  <c r="Z1870" i="2"/>
  <c r="Z1871" i="2"/>
  <c r="Z1872" i="2"/>
  <c r="Z1873" i="2"/>
  <c r="Z1874" i="2"/>
  <c r="AA1874" i="2" s="1"/>
  <c r="AJ1874" i="2" s="1"/>
  <c r="Z1875" i="2"/>
  <c r="AB1875" i="2" s="1"/>
  <c r="Z1876" i="2"/>
  <c r="Z1877" i="2"/>
  <c r="AA1877" i="2" s="1"/>
  <c r="AJ1877" i="2" s="1"/>
  <c r="Z1878" i="2"/>
  <c r="AA1878" i="2" s="1"/>
  <c r="Z1879" i="2"/>
  <c r="Z1880" i="2"/>
  <c r="Z1881" i="2"/>
  <c r="Z1882" i="2"/>
  <c r="Z1883" i="2"/>
  <c r="AB1883" i="2" s="1"/>
  <c r="Z1884" i="2"/>
  <c r="Z1885" i="2"/>
  <c r="AB1885" i="2" s="1"/>
  <c r="Z1886" i="2"/>
  <c r="AB1886" i="2" s="1"/>
  <c r="Z1887" i="2"/>
  <c r="AB1887" i="2" s="1"/>
  <c r="Z1888" i="2"/>
  <c r="Z1889" i="2"/>
  <c r="Z1890" i="2"/>
  <c r="AB1890" i="2" s="1"/>
  <c r="AK1890" i="2" s="1"/>
  <c r="Z1891" i="2"/>
  <c r="AB1891" i="2" s="1"/>
  <c r="Z1892" i="2"/>
  <c r="Z1893" i="2"/>
  <c r="AA1893" i="2" s="1"/>
  <c r="Z1894" i="2"/>
  <c r="AB1894" i="2" s="1"/>
  <c r="Z1895" i="2"/>
  <c r="Z1896" i="2"/>
  <c r="Z1897" i="2"/>
  <c r="Z1898" i="2"/>
  <c r="Z1899" i="2"/>
  <c r="AB1899" i="2" s="1"/>
  <c r="Z1900" i="2"/>
  <c r="Z1901" i="2"/>
  <c r="AB1901" i="2" s="1"/>
  <c r="Z1902" i="2"/>
  <c r="AB1902" i="2" s="1"/>
  <c r="Z1903" i="2"/>
  <c r="AB1903" i="2" s="1"/>
  <c r="Z1904" i="2"/>
  <c r="Z1905" i="2"/>
  <c r="Z1906" i="2"/>
  <c r="AB1906" i="2" s="1"/>
  <c r="Z1907" i="2"/>
  <c r="AB1907" i="2" s="1"/>
  <c r="Z1908" i="2"/>
  <c r="Z1909" i="2"/>
  <c r="AA1909" i="2" s="1"/>
  <c r="Z1910" i="2"/>
  <c r="AB1910" i="2" s="1"/>
  <c r="Z1911" i="2"/>
  <c r="Z1912" i="2"/>
  <c r="Z1913" i="2"/>
  <c r="AA1913" i="2" s="1"/>
  <c r="Z1914" i="2"/>
  <c r="AA1914" i="2" s="1"/>
  <c r="Z1915" i="2"/>
  <c r="AB1915" i="2" s="1"/>
  <c r="Z1916" i="2"/>
  <c r="Z1917" i="2"/>
  <c r="AB1917" i="2" s="1"/>
  <c r="Z1918" i="2"/>
  <c r="AB1918" i="2" s="1"/>
  <c r="Z1919" i="2"/>
  <c r="AB1919" i="2" s="1"/>
  <c r="Z1920" i="2"/>
  <c r="Z1921" i="2"/>
  <c r="AA1921" i="2" s="1"/>
  <c r="Z1922" i="2"/>
  <c r="Z1923" i="2"/>
  <c r="AB1923" i="2" s="1"/>
  <c r="Z1924" i="2"/>
  <c r="Z1925" i="2"/>
  <c r="AB1925" i="2" s="1"/>
  <c r="Z1926" i="2"/>
  <c r="AB1926" i="2" s="1"/>
  <c r="Z1927" i="2"/>
  <c r="Z1928" i="2"/>
  <c r="Z1929" i="2"/>
  <c r="Z1930" i="2"/>
  <c r="AA1930" i="2" s="1"/>
  <c r="Z1931" i="2"/>
  <c r="AB1931" i="2" s="1"/>
  <c r="Z1932" i="2"/>
  <c r="Z1933" i="2"/>
  <c r="AB1933" i="2" s="1"/>
  <c r="Z1934" i="2"/>
  <c r="Z1935" i="2"/>
  <c r="AB1935" i="2" s="1"/>
  <c r="Z1936" i="2"/>
  <c r="Z1937" i="2"/>
  <c r="Z1938" i="2"/>
  <c r="AA1938" i="2" s="1"/>
  <c r="AJ1938" i="2" s="1"/>
  <c r="Z1939" i="2"/>
  <c r="AB1939" i="2" s="1"/>
  <c r="Z1940" i="2"/>
  <c r="Z1941" i="2"/>
  <c r="AA1941" i="2" s="1"/>
  <c r="Z1942" i="2"/>
  <c r="Z1943" i="2"/>
  <c r="Z1944" i="2"/>
  <c r="Z1945" i="2"/>
  <c r="AA1945" i="2" s="1"/>
  <c r="Z1946" i="2"/>
  <c r="AA1946" i="2" s="1"/>
  <c r="Z1947" i="2"/>
  <c r="AB1947" i="2" s="1"/>
  <c r="Z1948" i="2"/>
  <c r="Z1949" i="2"/>
  <c r="AB1949" i="2" s="1"/>
  <c r="Z1950" i="2"/>
  <c r="AB1950" i="2" s="1"/>
  <c r="Z1951" i="2"/>
  <c r="AB1951" i="2" s="1"/>
  <c r="Z1952" i="2"/>
  <c r="Z1953" i="2"/>
  <c r="AA1953" i="2" s="1"/>
  <c r="Z1954" i="2"/>
  <c r="AA1954" i="2" s="1"/>
  <c r="Z1955" i="2"/>
  <c r="AB1955" i="2" s="1"/>
  <c r="Z1956" i="2"/>
  <c r="Z1957" i="2"/>
  <c r="AA1957" i="2" s="1"/>
  <c r="Z1958" i="2"/>
  <c r="AA1958" i="2" s="1"/>
  <c r="Z1959" i="2"/>
  <c r="Z1960" i="2"/>
  <c r="Z1961" i="2"/>
  <c r="AA1961" i="2" s="1"/>
  <c r="Z1962" i="2"/>
  <c r="AA1962" i="2" s="1"/>
  <c r="Z1963" i="2"/>
  <c r="AB1963" i="2" s="1"/>
  <c r="Z1964" i="2"/>
  <c r="Z1965" i="2"/>
  <c r="Z1966" i="2"/>
  <c r="Z1967" i="2"/>
  <c r="AB1967" i="2" s="1"/>
  <c r="Z1968" i="2"/>
  <c r="Z1969" i="2"/>
  <c r="AA1969" i="2" s="1"/>
  <c r="Z1970" i="2"/>
  <c r="AA1970" i="2" s="1"/>
  <c r="Z1971" i="2"/>
  <c r="AB1971" i="2" s="1"/>
  <c r="Z1972" i="2"/>
  <c r="Z1973" i="2"/>
  <c r="AA1973" i="2" s="1"/>
  <c r="Z1974" i="2"/>
  <c r="AB1974" i="2" s="1"/>
  <c r="Z1975" i="2"/>
  <c r="Z1976" i="2"/>
  <c r="Z1977" i="2"/>
  <c r="AA1977" i="2" s="1"/>
  <c r="Z1978" i="2"/>
  <c r="AA1978" i="2" s="1"/>
  <c r="AJ1978" i="2" s="1"/>
  <c r="Z1979" i="2"/>
  <c r="Z1980" i="2"/>
  <c r="Z1981" i="2"/>
  <c r="AB1981" i="2" s="1"/>
  <c r="Z1982" i="2"/>
  <c r="AB1982" i="2" s="1"/>
  <c r="Z1983" i="2"/>
  <c r="AB1983" i="2" s="1"/>
  <c r="Z1984" i="2"/>
  <c r="Z1985" i="2"/>
  <c r="AA1985" i="2" s="1"/>
  <c r="AJ1985" i="2" s="1"/>
  <c r="Z1986" i="2"/>
  <c r="AA1986" i="2" s="1"/>
  <c r="Z1987" i="2"/>
  <c r="AB1987" i="2" s="1"/>
  <c r="Z1988" i="2"/>
  <c r="Z1989" i="2"/>
  <c r="AB1989" i="2" s="1"/>
  <c r="Z1990" i="2"/>
  <c r="AA1990" i="2" s="1"/>
  <c r="Z1991" i="2"/>
  <c r="Z1992" i="2"/>
  <c r="Z1993" i="2"/>
  <c r="AA1993" i="2" s="1"/>
  <c r="Z1994" i="2"/>
  <c r="AB1994" i="2" s="1"/>
  <c r="Z1995" i="2"/>
  <c r="AB1995" i="2" s="1"/>
  <c r="Z1996" i="2"/>
  <c r="Z1997" i="2"/>
  <c r="AB1997" i="2" s="1"/>
  <c r="Z1998" i="2"/>
  <c r="Z1999" i="2"/>
  <c r="AB1999" i="2" s="1"/>
  <c r="Z2000" i="2"/>
  <c r="Z2001" i="2"/>
  <c r="AA2001" i="2" s="1"/>
  <c r="Z2002" i="2"/>
  <c r="AA2002" i="2" s="1"/>
  <c r="Z2003" i="2"/>
  <c r="AB2003" i="2" s="1"/>
  <c r="Z2004" i="2"/>
  <c r="Z2005" i="2"/>
  <c r="AB2005" i="2" s="1"/>
  <c r="Z2006" i="2"/>
  <c r="AA2006" i="2" s="1"/>
  <c r="Z2007" i="2"/>
  <c r="AB2007" i="2" s="1"/>
  <c r="Z2008" i="2"/>
  <c r="Z2009" i="2"/>
  <c r="AA2009" i="2" s="1"/>
  <c r="Z2010" i="2"/>
  <c r="AA2010" i="2" s="1"/>
  <c r="AJ2010" i="2" s="1"/>
  <c r="Z2011" i="2"/>
  <c r="AB2011" i="2" s="1"/>
  <c r="Z2012" i="2"/>
  <c r="Z2013" i="2"/>
  <c r="AB2013" i="2" s="1"/>
  <c r="Z2014" i="2"/>
  <c r="AB2014" i="2" s="1"/>
  <c r="Z2015" i="2"/>
  <c r="AB2015" i="2" s="1"/>
  <c r="Z2016" i="2"/>
  <c r="Z2017" i="2"/>
  <c r="AA2017" i="2" s="1"/>
  <c r="Z2018" i="2"/>
  <c r="AA2018" i="2" s="1"/>
  <c r="AJ2018" i="2" s="1"/>
  <c r="Z2019" i="2"/>
  <c r="AB2019" i="2" s="1"/>
  <c r="Z2020" i="2"/>
  <c r="Z2021" i="2"/>
  <c r="AB2021" i="2" s="1"/>
  <c r="Z2022" i="2"/>
  <c r="AA2022" i="2" s="1"/>
  <c r="Z2023" i="2"/>
  <c r="Z2024" i="2"/>
  <c r="Z2025" i="2"/>
  <c r="AB2025" i="2" s="1"/>
  <c r="Z2026" i="2"/>
  <c r="AA2026" i="2" s="1"/>
  <c r="Z2027" i="2"/>
  <c r="AB2027" i="2" s="1"/>
  <c r="Z2028" i="2"/>
  <c r="Z2029" i="2"/>
  <c r="AA2029" i="2" s="1"/>
  <c r="Z2030" i="2"/>
  <c r="AA2030" i="2" s="1"/>
  <c r="Z2031" i="2"/>
  <c r="Z2032" i="2"/>
  <c r="Z2033" i="2"/>
  <c r="AB2033" i="2" s="1"/>
  <c r="Z2034" i="2"/>
  <c r="AB2034" i="2" s="1"/>
  <c r="Z2035" i="2"/>
  <c r="AB2035" i="2" s="1"/>
  <c r="Z2036" i="2"/>
  <c r="Z2037" i="2"/>
  <c r="AA2037" i="2" s="1"/>
  <c r="Z2038" i="2"/>
  <c r="AB2038" i="2" s="1"/>
  <c r="Z2039" i="2"/>
  <c r="AB2039" i="2" s="1"/>
  <c r="Z2040" i="2"/>
  <c r="Z2041" i="2"/>
  <c r="AA2041" i="2" s="1"/>
  <c r="Z2042" i="2"/>
  <c r="Z2043" i="2"/>
  <c r="AB2043" i="2" s="1"/>
  <c r="Z2044" i="2"/>
  <c r="Z2045" i="2"/>
  <c r="Z2046" i="2"/>
  <c r="AB2046" i="2" s="1"/>
  <c r="Z2047" i="2"/>
  <c r="AB2047" i="2" s="1"/>
  <c r="Z2048" i="2"/>
  <c r="Z2049" i="2"/>
  <c r="AA2049" i="2" s="1"/>
  <c r="Z2050" i="2"/>
  <c r="AA2050" i="2" s="1"/>
  <c r="AJ2050" i="2" s="1"/>
  <c r="Z2051" i="2"/>
  <c r="AB2051" i="2" s="1"/>
  <c r="Z2052" i="2"/>
  <c r="Z2053" i="2"/>
  <c r="AA2053" i="2" s="1"/>
  <c r="Z2054" i="2"/>
  <c r="AA2054" i="2" s="1"/>
  <c r="Z2055" i="2"/>
  <c r="Z2056" i="2"/>
  <c r="Z2057" i="2"/>
  <c r="Z2058" i="2"/>
  <c r="AB2058" i="2" s="1"/>
  <c r="Z2059" i="2"/>
  <c r="Z2060" i="2"/>
  <c r="Z2061" i="2"/>
  <c r="AB2061" i="2" s="1"/>
  <c r="Z2062" i="2"/>
  <c r="AA2062" i="2" s="1"/>
  <c r="Z2063" i="2"/>
  <c r="AB2063" i="2" s="1"/>
  <c r="Z2064" i="2"/>
  <c r="Z2065" i="2"/>
  <c r="AA2065" i="2" s="1"/>
  <c r="Z2066" i="2"/>
  <c r="AA2066" i="2" s="1"/>
  <c r="Z2067" i="2"/>
  <c r="AB2067" i="2" s="1"/>
  <c r="Z2068" i="2"/>
  <c r="Z2069" i="2"/>
  <c r="AA2069" i="2" s="1"/>
  <c r="Z2070" i="2"/>
  <c r="AA2070" i="2" s="1"/>
  <c r="Z2071" i="2"/>
  <c r="AB2071" i="2" s="1"/>
  <c r="Z2072" i="2"/>
  <c r="Z2073" i="2"/>
  <c r="Z2074" i="2"/>
  <c r="AB2074" i="2" s="1"/>
  <c r="AK2074" i="2" s="1"/>
  <c r="Z2075" i="2"/>
  <c r="Z2076" i="2"/>
  <c r="Z2077" i="2"/>
  <c r="AA2077" i="2" s="1"/>
  <c r="Z2078" i="2"/>
  <c r="AB2078" i="2" s="1"/>
  <c r="Z2079" i="2"/>
  <c r="Z2080" i="2"/>
  <c r="Z2081" i="2"/>
  <c r="Z2082" i="2"/>
  <c r="AB2082" i="2" s="1"/>
  <c r="Z2083" i="2"/>
  <c r="AB2083" i="2" s="1"/>
  <c r="Z2084" i="2"/>
  <c r="Z2085" i="2"/>
  <c r="AA2085" i="2" s="1"/>
  <c r="Z2086" i="2"/>
  <c r="AB2086" i="2" s="1"/>
  <c r="Z2087" i="2"/>
  <c r="AB2087" i="2" s="1"/>
  <c r="Z2088" i="2"/>
  <c r="Z2089" i="2"/>
  <c r="AA2089" i="2" s="1"/>
  <c r="Z2090" i="2"/>
  <c r="Z2091" i="2"/>
  <c r="AB2091" i="2" s="1"/>
  <c r="Z2092" i="2"/>
  <c r="Z2093" i="2"/>
  <c r="AB2093" i="2" s="1"/>
  <c r="Z2094" i="2"/>
  <c r="Z2095" i="2"/>
  <c r="Z2096" i="2"/>
  <c r="AA2096" i="2" s="1"/>
  <c r="Z2097" i="2"/>
  <c r="Z2098" i="2"/>
  <c r="AB2098" i="2" s="1"/>
  <c r="AK2098" i="2" s="1"/>
  <c r="Z2099" i="2"/>
  <c r="AB2099" i="2" s="1"/>
  <c r="Z2100" i="2"/>
  <c r="AA2100" i="2" s="1"/>
  <c r="Z2101" i="2"/>
  <c r="AA2101" i="2" s="1"/>
  <c r="Z2102" i="2"/>
  <c r="Z2103" i="2"/>
  <c r="AB2103" i="2" s="1"/>
  <c r="Z2104" i="2"/>
  <c r="Z2105" i="2"/>
  <c r="AA2105" i="2" s="1"/>
  <c r="Z2106" i="2"/>
  <c r="Z2107" i="2"/>
  <c r="AB2107" i="2" s="1"/>
  <c r="Z2108" i="2"/>
  <c r="Z2109" i="2"/>
  <c r="AB2109" i="2" s="1"/>
  <c r="Z2110" i="2"/>
  <c r="AB2110" i="2" s="1"/>
  <c r="Z2111" i="2"/>
  <c r="Z2112" i="2"/>
  <c r="AA2112" i="2" s="1"/>
  <c r="Z2113" i="2"/>
  <c r="Z2114" i="2"/>
  <c r="AB2114" i="2" s="1"/>
  <c r="AK2114" i="2" s="1"/>
  <c r="Z2115" i="2"/>
  <c r="Z2116" i="2"/>
  <c r="AA2116" i="2" s="1"/>
  <c r="Z2117" i="2"/>
  <c r="AA2117" i="2" s="1"/>
  <c r="Z2118" i="2"/>
  <c r="Z2119" i="2"/>
  <c r="Z2120" i="2"/>
  <c r="Z2121" i="2"/>
  <c r="AA2121" i="2" s="1"/>
  <c r="Z2122" i="2"/>
  <c r="Z2123" i="2"/>
  <c r="AB2123" i="2" s="1"/>
  <c r="Z2124" i="2"/>
  <c r="Z2125" i="2"/>
  <c r="AB2125" i="2" s="1"/>
  <c r="Z2126" i="2"/>
  <c r="Z2127" i="2"/>
  <c r="Z2128" i="2"/>
  <c r="AA2128" i="2" s="1"/>
  <c r="Z2129" i="2"/>
  <c r="AA2129" i="2" s="1"/>
  <c r="Z2130" i="2"/>
  <c r="Z2131" i="2"/>
  <c r="Z2132" i="2"/>
  <c r="AA2132" i="2" s="1"/>
  <c r="Z2133" i="2"/>
  <c r="AA2133" i="2" s="1"/>
  <c r="Z2134" i="2"/>
  <c r="Z2135" i="2"/>
  <c r="AB2135" i="2" s="1"/>
  <c r="Z2136" i="2"/>
  <c r="Z2137" i="2"/>
  <c r="AB2137" i="2" s="1"/>
  <c r="Z2138" i="2"/>
  <c r="Z2139" i="2"/>
  <c r="AB2139" i="2" s="1"/>
  <c r="Z2140" i="2"/>
  <c r="AA2140" i="2" s="1"/>
  <c r="Z2141" i="2"/>
  <c r="AB2141" i="2" s="1"/>
  <c r="Z2142" i="2"/>
  <c r="AB2142" i="2" s="1"/>
  <c r="Z2143" i="2"/>
  <c r="Z2144" i="2"/>
  <c r="AA2144" i="2" s="1"/>
  <c r="Z2145" i="2"/>
  <c r="AA2145" i="2" s="1"/>
  <c r="Z2146" i="2"/>
  <c r="AB2146" i="2" s="1"/>
  <c r="AK2146" i="2" s="1"/>
  <c r="Z2147" i="2"/>
  <c r="AB2147" i="2" s="1"/>
  <c r="Z2148" i="2"/>
  <c r="AA2148" i="2" s="1"/>
  <c r="Z2149" i="2"/>
  <c r="AA2149" i="2" s="1"/>
  <c r="Z2150" i="2"/>
  <c r="Z2151" i="2"/>
  <c r="AB2151" i="2" s="1"/>
  <c r="Z2152" i="2"/>
  <c r="Z2153" i="2"/>
  <c r="Z2154" i="2"/>
  <c r="Z2155" i="2"/>
  <c r="AB2155" i="2" s="1"/>
  <c r="Z2156" i="2"/>
  <c r="Z2157" i="2"/>
  <c r="Z2158" i="2"/>
  <c r="Z2159" i="2"/>
  <c r="Z2160" i="2"/>
  <c r="AA2160" i="2" s="1"/>
  <c r="Z2161" i="2"/>
  <c r="AA2161" i="2" s="1"/>
  <c r="Z2162" i="2"/>
  <c r="AB2162" i="2" s="1"/>
  <c r="Z2163" i="2"/>
  <c r="Z2164" i="2"/>
  <c r="AA2164" i="2" s="1"/>
  <c r="Z2165" i="2"/>
  <c r="AA2165" i="2" s="1"/>
  <c r="Z2166" i="2"/>
  <c r="Z2167" i="2"/>
  <c r="AB2167" i="2" s="1"/>
  <c r="Z2168" i="2"/>
  <c r="Z2169" i="2"/>
  <c r="AA2169" i="2" s="1"/>
  <c r="Z2170" i="2"/>
  <c r="AB2170" i="2" s="1"/>
  <c r="Z2171" i="2"/>
  <c r="AB2171" i="2" s="1"/>
  <c r="Z2172" i="2"/>
  <c r="AA2172" i="2" s="1"/>
  <c r="Z2173" i="2"/>
  <c r="AB2173" i="2" s="1"/>
  <c r="Z2174" i="2"/>
  <c r="AB2174" i="2" s="1"/>
  <c r="Z2175" i="2"/>
  <c r="Z2176" i="2"/>
  <c r="AA2176" i="2" s="1"/>
  <c r="Z2177" i="2"/>
  <c r="Z2178" i="2"/>
  <c r="Z2179" i="2"/>
  <c r="Z2180" i="2"/>
  <c r="AA2180" i="2" s="1"/>
  <c r="Z2181" i="2"/>
  <c r="AA2181" i="2" s="1"/>
  <c r="Z2182" i="2"/>
  <c r="Z2183" i="2"/>
  <c r="Z2184" i="2"/>
  <c r="Z2185" i="2"/>
  <c r="AA2185" i="2" s="1"/>
  <c r="Z2186" i="2"/>
  <c r="Z2187" i="2"/>
  <c r="Z2188" i="2"/>
  <c r="Z2189" i="2"/>
  <c r="AB2189" i="2" s="1"/>
  <c r="Z2190" i="2"/>
  <c r="Z2191" i="2"/>
  <c r="Z2192" i="2"/>
  <c r="AA2192" i="2" s="1"/>
  <c r="Z2193" i="2"/>
  <c r="AA2193" i="2" s="1"/>
  <c r="Z2194" i="2"/>
  <c r="AB2194" i="2" s="1"/>
  <c r="Z2195" i="2"/>
  <c r="AB2195" i="2" s="1"/>
  <c r="Z2196" i="2"/>
  <c r="AA2196" i="2" s="1"/>
  <c r="Z2197" i="2"/>
  <c r="AA2197" i="2" s="1"/>
  <c r="Z2198" i="2"/>
  <c r="Z2199" i="2"/>
  <c r="AB2199" i="2" s="1"/>
  <c r="Z2200" i="2"/>
  <c r="Z2201" i="2"/>
  <c r="AB2201" i="2" s="1"/>
  <c r="Z2202" i="2"/>
  <c r="AB2202" i="2" s="1"/>
  <c r="Z2203" i="2"/>
  <c r="AB2203" i="2" s="1"/>
  <c r="Z2204" i="2"/>
  <c r="Z2205" i="2"/>
  <c r="AB2205" i="2" s="1"/>
  <c r="Z2206" i="2"/>
  <c r="AB2206" i="2" s="1"/>
  <c r="Z2207" i="2"/>
  <c r="Z2208" i="2"/>
  <c r="AA2208" i="2" s="1"/>
  <c r="Z2209" i="2"/>
  <c r="AA2209" i="2" s="1"/>
  <c r="Z2210" i="2"/>
  <c r="AB2210" i="2" s="1"/>
  <c r="Z2211" i="2"/>
  <c r="AB2211" i="2" s="1"/>
  <c r="Z2212" i="2"/>
  <c r="AA2212" i="2" s="1"/>
  <c r="Z2213" i="2"/>
  <c r="AA2213" i="2" s="1"/>
  <c r="Z2214" i="2"/>
  <c r="Z2215" i="2"/>
  <c r="AB2215" i="2" s="1"/>
  <c r="Z2216" i="2"/>
  <c r="Z2217" i="2"/>
  <c r="Z2218" i="2"/>
  <c r="Z2219" i="2"/>
  <c r="AB2219" i="2" s="1"/>
  <c r="Z2220" i="2"/>
  <c r="Z2221" i="2"/>
  <c r="Z2222" i="2"/>
  <c r="Z2223" i="2"/>
  <c r="Z2224" i="2"/>
  <c r="AA2224" i="2" s="1"/>
  <c r="Z2225" i="2"/>
  <c r="AA2225" i="2" s="1"/>
  <c r="Z2226" i="2"/>
  <c r="AB2226" i="2" s="1"/>
  <c r="Z2227" i="2"/>
  <c r="Z2228" i="2"/>
  <c r="AA2228" i="2" s="1"/>
  <c r="Z2229" i="2"/>
  <c r="AA2229" i="2" s="1"/>
  <c r="Z2230" i="2"/>
  <c r="Z2231" i="2"/>
  <c r="AB2231" i="2" s="1"/>
  <c r="Z2232" i="2"/>
  <c r="Z2233" i="2"/>
  <c r="AA2233" i="2" s="1"/>
  <c r="Z2234" i="2"/>
  <c r="AB2234" i="2" s="1"/>
  <c r="Z2235" i="2"/>
  <c r="AB2235" i="2" s="1"/>
  <c r="Z2236" i="2"/>
  <c r="AA2236" i="2" s="1"/>
  <c r="Z2237" i="2"/>
  <c r="AB2237" i="2" s="1"/>
  <c r="Z2238" i="2"/>
  <c r="AB2238" i="2" s="1"/>
  <c r="Z2239" i="2"/>
  <c r="Z2240" i="2"/>
  <c r="AA2240" i="2" s="1"/>
  <c r="Z2241" i="2"/>
  <c r="Z2242" i="2"/>
  <c r="Z2243" i="2"/>
  <c r="Z2244" i="2"/>
  <c r="AA2244" i="2" s="1"/>
  <c r="Z2245" i="2"/>
  <c r="AA2245" i="2" s="1"/>
  <c r="Z2246" i="2"/>
  <c r="Z2247" i="2"/>
  <c r="Z2248" i="2"/>
  <c r="Z2249" i="2"/>
  <c r="AA2249" i="2" s="1"/>
  <c r="Z2250" i="2"/>
  <c r="Z2251" i="2"/>
  <c r="Z2252" i="2"/>
  <c r="Z2253" i="2"/>
  <c r="AB2253" i="2" s="1"/>
  <c r="Z2254" i="2"/>
  <c r="Z2255" i="2"/>
  <c r="Z2256" i="2"/>
  <c r="AA2256" i="2" s="1"/>
  <c r="Z2257" i="2"/>
  <c r="AA2257" i="2" s="1"/>
  <c r="Z2258" i="2"/>
  <c r="AB2258" i="2" s="1"/>
  <c r="Z2259" i="2"/>
  <c r="AB2259" i="2" s="1"/>
  <c r="Z2260" i="2"/>
  <c r="AA2260" i="2" s="1"/>
  <c r="Z2261" i="2"/>
  <c r="AA2261" i="2" s="1"/>
  <c r="Z2262" i="2"/>
  <c r="Z2263" i="2"/>
  <c r="AB2263" i="2" s="1"/>
  <c r="Z2264" i="2"/>
  <c r="Z2265" i="2"/>
  <c r="AB2265" i="2" s="1"/>
  <c r="Z2266" i="2"/>
  <c r="AB2266" i="2" s="1"/>
  <c r="AK2266" i="2" s="1"/>
  <c r="Z2267" i="2"/>
  <c r="AB2267" i="2" s="1"/>
  <c r="Z2268" i="2"/>
  <c r="Z2269" i="2"/>
  <c r="AB2269" i="2" s="1"/>
  <c r="Z2270" i="2"/>
  <c r="AB2270" i="2" s="1"/>
  <c r="Z2271" i="2"/>
  <c r="Z2272" i="2"/>
  <c r="AA2272" i="2" s="1"/>
  <c r="Z2273" i="2"/>
  <c r="AA2273" i="2" s="1"/>
  <c r="Z2274" i="2"/>
  <c r="AB2274" i="2" s="1"/>
  <c r="Z2275" i="2"/>
  <c r="AB2275" i="2" s="1"/>
  <c r="Z2276" i="2"/>
  <c r="AA2276" i="2" s="1"/>
  <c r="Z2277" i="2"/>
  <c r="AB2277" i="2" s="1"/>
  <c r="Z2278" i="2"/>
  <c r="Z2279" i="2"/>
  <c r="AB2279" i="2" s="1"/>
  <c r="Z2280" i="2"/>
  <c r="Z2281" i="2"/>
  <c r="Z2282" i="2"/>
  <c r="Z2283" i="2"/>
  <c r="AB2283" i="2" s="1"/>
  <c r="Z2284" i="2"/>
  <c r="Z2285" i="2"/>
  <c r="Z2286" i="2"/>
  <c r="Z2287" i="2"/>
  <c r="Z2288" i="2"/>
  <c r="AA2288" i="2" s="1"/>
  <c r="Z2289" i="2"/>
  <c r="AA2289" i="2" s="1"/>
  <c r="Z2290" i="2"/>
  <c r="AB2290" i="2" s="1"/>
  <c r="Z2291" i="2"/>
  <c r="Z2292" i="2"/>
  <c r="AA2292" i="2" s="1"/>
  <c r="Z2293" i="2"/>
  <c r="AA2293" i="2" s="1"/>
  <c r="Z2294" i="2"/>
  <c r="Z2295" i="2"/>
  <c r="AB2295" i="2" s="1"/>
  <c r="Z2296" i="2"/>
  <c r="Z2297" i="2"/>
  <c r="AB2297" i="2" s="1"/>
  <c r="Z2298" i="2"/>
  <c r="AB2298" i="2" s="1"/>
  <c r="Z2299" i="2"/>
  <c r="AB2299" i="2" s="1"/>
  <c r="Z2300" i="2"/>
  <c r="AA2300" i="2" s="1"/>
  <c r="Z2301" i="2"/>
  <c r="AB2301" i="2" s="1"/>
  <c r="Z2302" i="2"/>
  <c r="AB2302" i="2" s="1"/>
  <c r="Z2303" i="2"/>
  <c r="Z2304" i="2"/>
  <c r="AA2304" i="2" s="1"/>
  <c r="Z2305" i="2"/>
  <c r="Z2306" i="2"/>
  <c r="Z2307" i="2"/>
  <c r="Z2308" i="2"/>
  <c r="AA2308" i="2" s="1"/>
  <c r="Z2309" i="2"/>
  <c r="AA2309" i="2" s="1"/>
  <c r="Z2310" i="2"/>
  <c r="Z2311" i="2"/>
  <c r="Z2312" i="2"/>
  <c r="Z2313" i="2"/>
  <c r="AA2313" i="2" s="1"/>
  <c r="Z2314" i="2"/>
  <c r="Z2315" i="2"/>
  <c r="Z2316" i="2"/>
  <c r="Z2317" i="2"/>
  <c r="AB2317" i="2" s="1"/>
  <c r="Z2318" i="2"/>
  <c r="Z2319" i="2"/>
  <c r="Z2320" i="2"/>
  <c r="AA2320" i="2" s="1"/>
  <c r="Z2321" i="2"/>
  <c r="AA2321" i="2" s="1"/>
  <c r="Z2322" i="2"/>
  <c r="AB2322" i="2" s="1"/>
  <c r="Z2323" i="2"/>
  <c r="AB2323" i="2" s="1"/>
  <c r="Z2324" i="2"/>
  <c r="AA2324" i="2" s="1"/>
  <c r="Z2325" i="2"/>
  <c r="AA2325" i="2" s="1"/>
  <c r="Z2326" i="2"/>
  <c r="Z2327" i="2"/>
  <c r="AB2327" i="2" s="1"/>
  <c r="Z2328" i="2"/>
  <c r="Z2329" i="2"/>
  <c r="AB2329" i="2" s="1"/>
  <c r="Z2330" i="2"/>
  <c r="AB2330" i="2" s="1"/>
  <c r="Z2331" i="2"/>
  <c r="AB2331" i="2" s="1"/>
  <c r="Z2332" i="2"/>
  <c r="Z2333" i="2"/>
  <c r="AB2333" i="2" s="1"/>
  <c r="Z2334" i="2"/>
  <c r="AB2334" i="2" s="1"/>
  <c r="Z2335" i="2"/>
  <c r="Z2336" i="2"/>
  <c r="AA2336" i="2" s="1"/>
  <c r="Z2337" i="2"/>
  <c r="AA2337" i="2" s="1"/>
  <c r="Z2338" i="2"/>
  <c r="AB2338" i="2" s="1"/>
  <c r="Z2339" i="2"/>
  <c r="AB2339" i="2" s="1"/>
  <c r="Z2340" i="2"/>
  <c r="AA2340" i="2" s="1"/>
  <c r="Z2341" i="2"/>
  <c r="AB2341" i="2" s="1"/>
  <c r="Z2342" i="2"/>
  <c r="Z2343" i="2"/>
  <c r="AB2343" i="2" s="1"/>
  <c r="Z2344" i="2"/>
  <c r="Z2345" i="2"/>
  <c r="Z2346" i="2"/>
  <c r="Z2347" i="2"/>
  <c r="AB2347" i="2" s="1"/>
  <c r="Z2348" i="2"/>
  <c r="Z2349" i="2"/>
  <c r="Z2350" i="2"/>
  <c r="Z2351" i="2"/>
  <c r="Z2352" i="2"/>
  <c r="AA2352" i="2" s="1"/>
  <c r="Z2353" i="2"/>
  <c r="AA2353" i="2" s="1"/>
  <c r="Z2354" i="2"/>
  <c r="AB2354" i="2" s="1"/>
  <c r="AK2354" i="2" s="1"/>
  <c r="Z2355" i="2"/>
  <c r="Z2356" i="2"/>
  <c r="AA2356" i="2" s="1"/>
  <c r="Z2359" i="2"/>
  <c r="AB2359" i="2" s="1"/>
  <c r="Z2360" i="2"/>
  <c r="AA2360" i="2" s="1"/>
  <c r="Z2361" i="2"/>
  <c r="AA2361" i="2" s="1"/>
  <c r="Z2362" i="2"/>
  <c r="AB2362" i="2" s="1"/>
  <c r="Z2363" i="2"/>
  <c r="AB2363" i="2" s="1"/>
  <c r="Z2364" i="2"/>
  <c r="AA2364" i="2" s="1"/>
  <c r="Z2367" i="2"/>
  <c r="AB2367" i="2" s="1"/>
  <c r="Z2368" i="2"/>
  <c r="AA2368" i="2" s="1"/>
  <c r="Z2369" i="2"/>
  <c r="AA2369" i="2" s="1"/>
  <c r="Z2370" i="2"/>
  <c r="AB2370" i="2" s="1"/>
  <c r="Z2371" i="2"/>
  <c r="AB2371" i="2" s="1"/>
  <c r="Z2372" i="2"/>
  <c r="AA2372" i="2" s="1"/>
  <c r="Z2375" i="2"/>
  <c r="AB2375" i="2" s="1"/>
  <c r="Z2376" i="2"/>
  <c r="AA2376" i="2" s="1"/>
  <c r="AJ2376" i="2" s="1"/>
  <c r="Z2377" i="2"/>
  <c r="AA2377" i="2" s="1"/>
  <c r="Z2378" i="2"/>
  <c r="AB2378" i="2" s="1"/>
  <c r="Z2379" i="2"/>
  <c r="AB2379" i="2" s="1"/>
  <c r="Z2380" i="2"/>
  <c r="AA2380" i="2" s="1"/>
  <c r="Z2383" i="2"/>
  <c r="AB2383" i="2" s="1"/>
  <c r="Z2384" i="2"/>
  <c r="AA2384" i="2" s="1"/>
  <c r="Z2385" i="2"/>
  <c r="AA2385" i="2" s="1"/>
  <c r="Z2386" i="2"/>
  <c r="AB2386" i="2" s="1"/>
  <c r="Z2387" i="2"/>
  <c r="AB2387" i="2" s="1"/>
  <c r="Z2388" i="2"/>
  <c r="AA2388" i="2" s="1"/>
  <c r="Z2391" i="2"/>
  <c r="AB2391" i="2" s="1"/>
  <c r="Z2392" i="2"/>
  <c r="AA2392" i="2" s="1"/>
  <c r="Z2393" i="2"/>
  <c r="AA2393" i="2" s="1"/>
  <c r="Z2394" i="2"/>
  <c r="AB2394" i="2" s="1"/>
  <c r="Z2395" i="2"/>
  <c r="AB2395" i="2" s="1"/>
  <c r="Z2396" i="2"/>
  <c r="AA2396" i="2" s="1"/>
  <c r="AJ2396" i="2" s="1"/>
  <c r="Z2399" i="2"/>
  <c r="AB2399" i="2" s="1"/>
  <c r="Z2400" i="2"/>
  <c r="AA2400" i="2" s="1"/>
  <c r="Z2401" i="2"/>
  <c r="AA2401" i="2" s="1"/>
  <c r="Z2402" i="2"/>
  <c r="AB2402" i="2" s="1"/>
  <c r="Z2403" i="2"/>
  <c r="AB2403" i="2" s="1"/>
  <c r="Z2404" i="2"/>
  <c r="AA2404" i="2" s="1"/>
  <c r="Z2407" i="2"/>
  <c r="AB2407" i="2" s="1"/>
  <c r="Z2408" i="2"/>
  <c r="AA2408" i="2" s="1"/>
  <c r="Z2409" i="2"/>
  <c r="AA2409" i="2" s="1"/>
  <c r="Z2410" i="2"/>
  <c r="AB2410" i="2" s="1"/>
  <c r="Z2411" i="2"/>
  <c r="AB2411" i="2" s="1"/>
  <c r="Z2412" i="2"/>
  <c r="AA2412" i="2" s="1"/>
  <c r="Z2415" i="2"/>
  <c r="AB2415" i="2" s="1"/>
  <c r="Z2416" i="2"/>
  <c r="AA2416" i="2" s="1"/>
  <c r="Z2417" i="2"/>
  <c r="AA2417" i="2" s="1"/>
  <c r="Z2418" i="2"/>
  <c r="AB2418" i="2" s="1"/>
  <c r="Z2419" i="2"/>
  <c r="AB2419" i="2" s="1"/>
  <c r="AK2419" i="2" s="1"/>
  <c r="Z2420" i="2"/>
  <c r="AA2420" i="2" s="1"/>
  <c r="Z2423" i="2"/>
  <c r="AB2423" i="2" s="1"/>
  <c r="Z2424" i="2"/>
  <c r="AA2424" i="2" s="1"/>
  <c r="Z2425" i="2"/>
  <c r="AA2425" i="2" s="1"/>
  <c r="Z2426" i="2"/>
  <c r="AB2426" i="2" s="1"/>
  <c r="Z2427" i="2"/>
  <c r="AB2427" i="2" s="1"/>
  <c r="AK2427" i="2" s="1"/>
  <c r="B41" i="13"/>
  <c r="I40" i="13"/>
  <c r="H40" i="13"/>
  <c r="G40" i="13"/>
  <c r="F40" i="13"/>
  <c r="I38" i="13"/>
  <c r="H38" i="13"/>
  <c r="G38" i="13"/>
  <c r="F38" i="13"/>
  <c r="B38" i="13"/>
  <c r="I37" i="13"/>
  <c r="H37" i="13"/>
  <c r="G37" i="13"/>
  <c r="E37" i="13"/>
  <c r="B37" i="13"/>
  <c r="I36" i="13"/>
  <c r="H36" i="13"/>
  <c r="G36" i="13"/>
  <c r="F36" i="13"/>
  <c r="E36" i="13"/>
  <c r="D36" i="13"/>
  <c r="C36" i="13"/>
  <c r="B36" i="13"/>
  <c r="B35" i="13"/>
  <c r="I34" i="13"/>
  <c r="H34" i="13"/>
  <c r="G34" i="13"/>
  <c r="F34" i="13"/>
  <c r="E34" i="13"/>
  <c r="D34" i="13"/>
  <c r="C34" i="13"/>
  <c r="B34" i="13"/>
  <c r="I33" i="13"/>
  <c r="H33" i="13"/>
  <c r="G33" i="13"/>
  <c r="F33" i="13"/>
  <c r="B33" i="13"/>
  <c r="I32" i="13"/>
  <c r="H32" i="13"/>
  <c r="G32" i="13"/>
  <c r="B32" i="13"/>
  <c r="I31" i="13"/>
  <c r="H31" i="13"/>
  <c r="G31" i="13"/>
  <c r="F31" i="13"/>
  <c r="E31" i="13"/>
  <c r="D31" i="13"/>
  <c r="B31" i="13"/>
  <c r="I30" i="13"/>
  <c r="H30" i="13"/>
  <c r="B30" i="13"/>
  <c r="B21" i="13"/>
  <c r="J20" i="13"/>
  <c r="J18" i="13"/>
  <c r="J17" i="13"/>
  <c r="J16" i="13"/>
  <c r="J15" i="13"/>
  <c r="J14" i="13"/>
  <c r="J13" i="13"/>
  <c r="J12" i="13"/>
  <c r="J11" i="13"/>
  <c r="J10" i="13"/>
  <c r="I20" i="13"/>
  <c r="H20" i="13"/>
  <c r="G20" i="13"/>
  <c r="F20" i="13"/>
  <c r="I18" i="13"/>
  <c r="H18" i="13"/>
  <c r="G18" i="13"/>
  <c r="F18" i="13"/>
  <c r="B18" i="13"/>
  <c r="I17" i="13"/>
  <c r="H17" i="13"/>
  <c r="G17" i="13"/>
  <c r="E17" i="13"/>
  <c r="D17" i="13"/>
  <c r="C17" i="13"/>
  <c r="B17" i="13"/>
  <c r="I16" i="13"/>
  <c r="H16" i="13"/>
  <c r="G16" i="13"/>
  <c r="F16" i="13"/>
  <c r="E16" i="13"/>
  <c r="D16" i="13"/>
  <c r="C16" i="13"/>
  <c r="B16" i="13"/>
  <c r="B15" i="13"/>
  <c r="I14" i="13"/>
  <c r="H14" i="13"/>
  <c r="G14" i="13"/>
  <c r="F14" i="13"/>
  <c r="E14" i="13"/>
  <c r="D14" i="13"/>
  <c r="C14" i="13"/>
  <c r="B14" i="13"/>
  <c r="I13" i="13"/>
  <c r="H13" i="13"/>
  <c r="G13" i="13"/>
  <c r="F13" i="13"/>
  <c r="B13" i="13"/>
  <c r="I12" i="13"/>
  <c r="H12" i="13"/>
  <c r="G12" i="13"/>
  <c r="B12" i="13"/>
  <c r="I11" i="13"/>
  <c r="H11" i="13"/>
  <c r="G11" i="13"/>
  <c r="F11" i="13"/>
  <c r="E11" i="13"/>
  <c r="D11" i="13"/>
  <c r="B11" i="13"/>
  <c r="I10" i="13"/>
  <c r="H10" i="13"/>
  <c r="B10" i="13"/>
  <c r="R72" i="2"/>
  <c r="R131" i="2"/>
  <c r="R122" i="2"/>
  <c r="R90" i="2"/>
  <c r="R161" i="2"/>
  <c r="R91" i="2"/>
  <c r="R123" i="2"/>
  <c r="R124" i="2"/>
  <c r="R125" i="2"/>
  <c r="R203" i="2"/>
  <c r="R2" i="2"/>
  <c r="R70" i="2"/>
  <c r="R48" i="2"/>
  <c r="R56" i="2"/>
  <c r="R39" i="2"/>
  <c r="R49" i="2"/>
  <c r="R71" i="2"/>
  <c r="R93" i="2"/>
  <c r="R73" i="2"/>
  <c r="R108" i="2"/>
  <c r="R15" i="2"/>
  <c r="R57" i="2"/>
  <c r="R95" i="2"/>
  <c r="N96" i="2"/>
  <c r="O96" i="2" s="1"/>
  <c r="T96" i="2" s="1"/>
  <c r="N97" i="2"/>
  <c r="O97" i="2" s="1"/>
  <c r="W97" i="2" s="1"/>
  <c r="V97" i="2" s="1"/>
  <c r="N6" i="2"/>
  <c r="O6" i="2" s="1"/>
  <c r="W6" i="2" s="1"/>
  <c r="N16" i="2"/>
  <c r="O16" i="2" s="1"/>
  <c r="P16" i="2" s="1"/>
  <c r="N98" i="2"/>
  <c r="O98" i="2" s="1"/>
  <c r="P98" i="2" s="1"/>
  <c r="N78" i="2"/>
  <c r="O78" i="2" s="1"/>
  <c r="P78" i="2" s="1"/>
  <c r="N58" i="2"/>
  <c r="O58" i="2" s="1"/>
  <c r="Q58" i="2" s="1"/>
  <c r="N59" i="2"/>
  <c r="O59" i="2" s="1"/>
  <c r="R59" i="2" s="1"/>
  <c r="N17" i="2"/>
  <c r="O17" i="2" s="1"/>
  <c r="R17" i="2" s="1"/>
  <c r="N60" i="2"/>
  <c r="O60" i="2" s="1"/>
  <c r="R60" i="2" s="1"/>
  <c r="N18" i="2"/>
  <c r="O18" i="2" s="1"/>
  <c r="R18" i="2" s="1"/>
  <c r="N99" i="2"/>
  <c r="O99" i="2" s="1"/>
  <c r="P99" i="2" s="1"/>
  <c r="N19" i="2"/>
  <c r="O19" i="2" s="1"/>
  <c r="N7" i="2"/>
  <c r="O7" i="2" s="1"/>
  <c r="P7" i="2" s="1"/>
  <c r="N61" i="2"/>
  <c r="O61" i="2" s="1"/>
  <c r="S61" i="2" s="1"/>
  <c r="N83" i="2"/>
  <c r="O83" i="2" s="1"/>
  <c r="R83" i="2" s="1"/>
  <c r="N20" i="2"/>
  <c r="O20" i="2" s="1"/>
  <c r="S20" i="2" s="1"/>
  <c r="N8" i="2"/>
  <c r="O8" i="2" s="1"/>
  <c r="R8" i="2" s="1"/>
  <c r="N21" i="2"/>
  <c r="O21" i="2" s="1"/>
  <c r="S21" i="2" s="1"/>
  <c r="N22" i="2"/>
  <c r="O22" i="2" s="1"/>
  <c r="Z22" i="2" s="1"/>
  <c r="AC22" i="2" s="1"/>
  <c r="N23" i="2"/>
  <c r="O23" i="2" s="1"/>
  <c r="P23" i="2" s="1"/>
  <c r="N24" i="2"/>
  <c r="O24" i="2" s="1"/>
  <c r="P24" i="2" s="1"/>
  <c r="N25" i="2"/>
  <c r="O25" i="2" s="1"/>
  <c r="U25" i="2" s="1"/>
  <c r="N31" i="2"/>
  <c r="O31" i="2" s="1"/>
  <c r="P31" i="2" s="1"/>
  <c r="N32" i="2"/>
  <c r="O32" i="2" s="1"/>
  <c r="R32" i="2" s="1"/>
  <c r="N33" i="2"/>
  <c r="O33" i="2" s="1"/>
  <c r="R33" i="2" s="1"/>
  <c r="N41" i="2"/>
  <c r="O41" i="2" s="1"/>
  <c r="S41" i="2" s="1"/>
  <c r="N51" i="2"/>
  <c r="O51" i="2" s="1"/>
  <c r="Z51" i="2" s="1"/>
  <c r="AA51" i="2" s="1"/>
  <c r="AF51" i="2" s="1"/>
  <c r="AN51" i="2" s="1"/>
  <c r="N84" i="2"/>
  <c r="O84" i="2" s="1"/>
  <c r="W84" i="2" s="1"/>
  <c r="V84" i="2" s="1"/>
  <c r="N100" i="2"/>
  <c r="O100" i="2" s="1"/>
  <c r="W100" i="2" s="1"/>
  <c r="V100" i="2" s="1"/>
  <c r="N101" i="2"/>
  <c r="O101" i="2" s="1"/>
  <c r="T101" i="2" s="1"/>
  <c r="N134" i="2"/>
  <c r="O134" i="2" s="1"/>
  <c r="R134" i="2" s="1"/>
  <c r="N102" i="2"/>
  <c r="O102" i="2" s="1"/>
  <c r="P102" i="2" s="1"/>
  <c r="N34" i="2"/>
  <c r="O34" i="2" s="1"/>
  <c r="W34" i="2" s="1"/>
  <c r="V34" i="2" s="1"/>
  <c r="N42" i="2"/>
  <c r="O42" i="2" s="1"/>
  <c r="S42" i="2" s="1"/>
  <c r="N9" i="2"/>
  <c r="O9" i="2" s="1"/>
  <c r="Z9" i="2" s="1"/>
  <c r="AA9" i="2" s="1"/>
  <c r="AF9" i="2" s="1"/>
  <c r="N35" i="2"/>
  <c r="O35" i="2" s="1"/>
  <c r="P35" i="2" s="1"/>
  <c r="N26" i="2"/>
  <c r="O26" i="2" s="1"/>
  <c r="P26" i="2" s="1"/>
  <c r="N10" i="2"/>
  <c r="O10" i="2" s="1"/>
  <c r="T10" i="2" s="1"/>
  <c r="N62" i="2"/>
  <c r="O62" i="2" s="1"/>
  <c r="W62" i="2" s="1"/>
  <c r="N118" i="2"/>
  <c r="O118" i="2" s="1"/>
  <c r="R118" i="2" s="1"/>
  <c r="N85" i="2"/>
  <c r="O85" i="2" s="1"/>
  <c r="R85" i="2" s="1"/>
  <c r="N43" i="2"/>
  <c r="O43" i="2" s="1"/>
  <c r="W43" i="2" s="1"/>
  <c r="N63" i="2"/>
  <c r="O63" i="2" s="1"/>
  <c r="Z63" i="2" s="1"/>
  <c r="AA63" i="2" s="1"/>
  <c r="AF63" i="2" s="1"/>
  <c r="AN63" i="2" s="1"/>
  <c r="N44" i="2"/>
  <c r="O44" i="2" s="1"/>
  <c r="P44" i="2" s="1"/>
  <c r="N86" i="2"/>
  <c r="O86" i="2" s="1"/>
  <c r="P86" i="2" s="1"/>
  <c r="N64" i="2"/>
  <c r="O64" i="2" s="1"/>
  <c r="Z64" i="2" s="1"/>
  <c r="AB64" i="2" s="1"/>
  <c r="AG64" i="2" s="1"/>
  <c r="AO64" i="2" s="1"/>
  <c r="N119" i="2"/>
  <c r="O119" i="2" s="1"/>
  <c r="P119" i="2" s="1"/>
  <c r="N11" i="2"/>
  <c r="O11" i="2" s="1"/>
  <c r="S11" i="2" s="1"/>
  <c r="N65" i="2"/>
  <c r="O65" i="2" s="1"/>
  <c r="W65" i="2" s="1"/>
  <c r="V65" i="2" s="1"/>
  <c r="N87" i="2"/>
  <c r="O87" i="2" s="1"/>
  <c r="P87" i="2" s="1"/>
  <c r="N66" i="2"/>
  <c r="O66" i="2" s="1"/>
  <c r="Z66" i="2" s="1"/>
  <c r="AC66" i="2" s="1"/>
  <c r="AL66" i="2" s="1"/>
  <c r="N103" i="2"/>
  <c r="O103" i="2" s="1"/>
  <c r="P103" i="2" s="1"/>
  <c r="N12" i="2"/>
  <c r="O12" i="2" s="1"/>
  <c r="P12" i="2" s="1"/>
  <c r="N67" i="2"/>
  <c r="O67" i="2" s="1"/>
  <c r="T67" i="2" s="1"/>
  <c r="N88" i="2"/>
  <c r="O88" i="2" s="1"/>
  <c r="R88" i="2" s="1"/>
  <c r="N79" i="2"/>
  <c r="O79" i="2" s="1"/>
  <c r="S79" i="2" s="1"/>
  <c r="N27" i="2"/>
  <c r="O27" i="2" s="1"/>
  <c r="S27" i="2" s="1"/>
  <c r="N36" i="2"/>
  <c r="O36" i="2" s="1"/>
  <c r="P36" i="2" s="1"/>
  <c r="N13" i="2"/>
  <c r="O13" i="2" s="1"/>
  <c r="P13" i="2" s="1"/>
  <c r="N80" i="2"/>
  <c r="O80" i="2" s="1"/>
  <c r="P80" i="2" s="1"/>
  <c r="N37" i="2"/>
  <c r="O37" i="2" s="1"/>
  <c r="R37" i="2" s="1"/>
  <c r="N45" i="2"/>
  <c r="O45" i="2" s="1"/>
  <c r="S45" i="2" s="1"/>
  <c r="N28" i="2"/>
  <c r="O28" i="2" s="1"/>
  <c r="P28" i="2" s="1"/>
  <c r="N52" i="2"/>
  <c r="O52" i="2" s="1"/>
  <c r="R52" i="2" s="1"/>
  <c r="N81" i="2"/>
  <c r="O81" i="2" s="1"/>
  <c r="S81" i="2" s="1"/>
  <c r="N53" i="2"/>
  <c r="O53" i="2" s="1"/>
  <c r="W53" i="2" s="1"/>
  <c r="V53" i="2" s="1"/>
  <c r="N54" i="2"/>
  <c r="O54" i="2" s="1"/>
  <c r="P54" i="2" s="1"/>
  <c r="N46" i="2"/>
  <c r="O46" i="2" s="1"/>
  <c r="P46" i="2" s="1"/>
  <c r="N68" i="2"/>
  <c r="O68" i="2" s="1"/>
  <c r="P68" i="2" s="1"/>
  <c r="N29" i="2"/>
  <c r="O29" i="2" s="1"/>
  <c r="T29" i="2" s="1"/>
  <c r="N30" i="2"/>
  <c r="O30" i="2" s="1"/>
  <c r="W30" i="2" s="1"/>
  <c r="N69" i="2"/>
  <c r="O69" i="2" s="1"/>
  <c r="S69" i="2" s="1"/>
  <c r="N14" i="2"/>
  <c r="O14" i="2" s="1"/>
  <c r="R14" i="2" s="1"/>
  <c r="N109" i="2"/>
  <c r="O109" i="2" s="1"/>
  <c r="P109" i="2" s="1"/>
  <c r="N89" i="2"/>
  <c r="O89" i="2" s="1"/>
  <c r="P89" i="2" s="1"/>
  <c r="N38" i="2"/>
  <c r="O38" i="2" s="1"/>
  <c r="W38" i="2" s="1"/>
  <c r="AA2428" i="2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P130" i="2"/>
  <c r="P131" i="2"/>
  <c r="P122" i="2"/>
  <c r="P90" i="2"/>
  <c r="P161" i="2"/>
  <c r="P91" i="2"/>
  <c r="P123" i="2"/>
  <c r="P124" i="2"/>
  <c r="P125" i="2"/>
  <c r="P70" i="2"/>
  <c r="P48" i="2"/>
  <c r="P56" i="2"/>
  <c r="P39" i="2"/>
  <c r="P75" i="2"/>
  <c r="P4" i="2"/>
  <c r="P49" i="2"/>
  <c r="P71" i="2"/>
  <c r="P93" i="2"/>
  <c r="P72" i="2"/>
  <c r="P73" i="2"/>
  <c r="P108" i="2"/>
  <c r="P15" i="2"/>
  <c r="P57" i="2"/>
  <c r="P95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W131" i="2"/>
  <c r="W122" i="2"/>
  <c r="V122" i="2" s="1"/>
  <c r="W90" i="2"/>
  <c r="W161" i="2"/>
  <c r="W91" i="2"/>
  <c r="W123" i="2"/>
  <c r="W124" i="2"/>
  <c r="W125" i="2"/>
  <c r="V125" i="2" s="1"/>
  <c r="W2" i="2"/>
  <c r="W70" i="2"/>
  <c r="V70" i="2" s="1"/>
  <c r="W48" i="2"/>
  <c r="W56" i="2"/>
  <c r="W39" i="2"/>
  <c r="W75" i="2"/>
  <c r="W49" i="2"/>
  <c r="W71" i="2"/>
  <c r="W93" i="2"/>
  <c r="W72" i="2"/>
  <c r="V72" i="2" s="1"/>
  <c r="W73" i="2"/>
  <c r="W108" i="2"/>
  <c r="W15" i="2"/>
  <c r="W57" i="2"/>
  <c r="W40" i="2"/>
  <c r="W95" i="2"/>
  <c r="V95" i="2" s="1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632" i="2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157" i="2"/>
  <c r="W2158" i="2"/>
  <c r="W2159" i="2"/>
  <c r="W2160" i="2"/>
  <c r="W2161" i="2"/>
  <c r="W2162" i="2"/>
  <c r="W2163" i="2"/>
  <c r="W2164" i="2"/>
  <c r="W2165" i="2"/>
  <c r="W2166" i="2"/>
  <c r="W2167" i="2"/>
  <c r="W2168" i="2"/>
  <c r="W2169" i="2"/>
  <c r="W2170" i="2"/>
  <c r="W2171" i="2"/>
  <c r="W2172" i="2"/>
  <c r="W2173" i="2"/>
  <c r="W2174" i="2"/>
  <c r="W2175" i="2"/>
  <c r="W2176" i="2"/>
  <c r="W2177" i="2"/>
  <c r="W2178" i="2"/>
  <c r="W2179" i="2"/>
  <c r="W2180" i="2"/>
  <c r="W2181" i="2"/>
  <c r="W2182" i="2"/>
  <c r="W2183" i="2"/>
  <c r="W2184" i="2"/>
  <c r="W2185" i="2"/>
  <c r="W2186" i="2"/>
  <c r="W2187" i="2"/>
  <c r="W2188" i="2"/>
  <c r="W2189" i="2"/>
  <c r="W2190" i="2"/>
  <c r="W2191" i="2"/>
  <c r="W2192" i="2"/>
  <c r="W2193" i="2"/>
  <c r="W2194" i="2"/>
  <c r="W2195" i="2"/>
  <c r="W2196" i="2"/>
  <c r="W2197" i="2"/>
  <c r="W2198" i="2"/>
  <c r="W2199" i="2"/>
  <c r="W2200" i="2"/>
  <c r="W2201" i="2"/>
  <c r="W2202" i="2"/>
  <c r="W2203" i="2"/>
  <c r="W2204" i="2"/>
  <c r="W2205" i="2"/>
  <c r="W2206" i="2"/>
  <c r="W2207" i="2"/>
  <c r="W2208" i="2"/>
  <c r="W2209" i="2"/>
  <c r="W2210" i="2"/>
  <c r="W2211" i="2"/>
  <c r="W2212" i="2"/>
  <c r="W2213" i="2"/>
  <c r="W2214" i="2"/>
  <c r="W2215" i="2"/>
  <c r="W2216" i="2"/>
  <c r="W2217" i="2"/>
  <c r="W2218" i="2"/>
  <c r="W2219" i="2"/>
  <c r="W2220" i="2"/>
  <c r="W2221" i="2"/>
  <c r="W2222" i="2"/>
  <c r="W2223" i="2"/>
  <c r="W2224" i="2"/>
  <c r="W2225" i="2"/>
  <c r="W2226" i="2"/>
  <c r="W2227" i="2"/>
  <c r="W2228" i="2"/>
  <c r="W2229" i="2"/>
  <c r="W2230" i="2"/>
  <c r="W2231" i="2"/>
  <c r="W2232" i="2"/>
  <c r="W2233" i="2"/>
  <c r="W2234" i="2"/>
  <c r="W2235" i="2"/>
  <c r="W2236" i="2"/>
  <c r="W2237" i="2"/>
  <c r="W2238" i="2"/>
  <c r="W2239" i="2"/>
  <c r="W2240" i="2"/>
  <c r="W2241" i="2"/>
  <c r="W2242" i="2"/>
  <c r="W2243" i="2"/>
  <c r="W2244" i="2"/>
  <c r="W2245" i="2"/>
  <c r="W2246" i="2"/>
  <c r="W2247" i="2"/>
  <c r="W2248" i="2"/>
  <c r="W2249" i="2"/>
  <c r="W2250" i="2"/>
  <c r="W2251" i="2"/>
  <c r="W2252" i="2"/>
  <c r="W2253" i="2"/>
  <c r="W2254" i="2"/>
  <c r="W2255" i="2"/>
  <c r="W2256" i="2"/>
  <c r="W2257" i="2"/>
  <c r="W2258" i="2"/>
  <c r="W2259" i="2"/>
  <c r="W2260" i="2"/>
  <c r="W2261" i="2"/>
  <c r="W2262" i="2"/>
  <c r="W2263" i="2"/>
  <c r="W2264" i="2"/>
  <c r="W2265" i="2"/>
  <c r="W2266" i="2"/>
  <c r="W2267" i="2"/>
  <c r="W2268" i="2"/>
  <c r="W2269" i="2"/>
  <c r="W2270" i="2"/>
  <c r="W2271" i="2"/>
  <c r="W2272" i="2"/>
  <c r="W2273" i="2"/>
  <c r="W2274" i="2"/>
  <c r="W2275" i="2"/>
  <c r="W2276" i="2"/>
  <c r="W2277" i="2"/>
  <c r="W2278" i="2"/>
  <c r="W2279" i="2"/>
  <c r="W2280" i="2"/>
  <c r="W2281" i="2"/>
  <c r="W2282" i="2"/>
  <c r="W2283" i="2"/>
  <c r="W2284" i="2"/>
  <c r="W2285" i="2"/>
  <c r="W2286" i="2"/>
  <c r="W2287" i="2"/>
  <c r="W2288" i="2"/>
  <c r="W2289" i="2"/>
  <c r="W2290" i="2"/>
  <c r="W2291" i="2"/>
  <c r="W2292" i="2"/>
  <c r="W2293" i="2"/>
  <c r="W2294" i="2"/>
  <c r="W2295" i="2"/>
  <c r="W2296" i="2"/>
  <c r="W2297" i="2"/>
  <c r="W2298" i="2"/>
  <c r="W2299" i="2"/>
  <c r="W2300" i="2"/>
  <c r="W2301" i="2"/>
  <c r="W2302" i="2"/>
  <c r="W2303" i="2"/>
  <c r="W2304" i="2"/>
  <c r="W2305" i="2"/>
  <c r="W2306" i="2"/>
  <c r="W2307" i="2"/>
  <c r="W2308" i="2"/>
  <c r="W2309" i="2"/>
  <c r="W2310" i="2"/>
  <c r="W2311" i="2"/>
  <c r="W2312" i="2"/>
  <c r="W2313" i="2"/>
  <c r="W2314" i="2"/>
  <c r="W2315" i="2"/>
  <c r="W2316" i="2"/>
  <c r="W2317" i="2"/>
  <c r="W2318" i="2"/>
  <c r="W2319" i="2"/>
  <c r="W2320" i="2"/>
  <c r="W2321" i="2"/>
  <c r="W2322" i="2"/>
  <c r="W2323" i="2"/>
  <c r="W2324" i="2"/>
  <c r="W2325" i="2"/>
  <c r="W2326" i="2"/>
  <c r="W2327" i="2"/>
  <c r="W2328" i="2"/>
  <c r="W2329" i="2"/>
  <c r="W2330" i="2"/>
  <c r="W2331" i="2"/>
  <c r="W2332" i="2"/>
  <c r="W2333" i="2"/>
  <c r="W2334" i="2"/>
  <c r="W2335" i="2"/>
  <c r="W2336" i="2"/>
  <c r="W2337" i="2"/>
  <c r="W2338" i="2"/>
  <c r="W2339" i="2"/>
  <c r="W2340" i="2"/>
  <c r="W2341" i="2"/>
  <c r="W2342" i="2"/>
  <c r="W2343" i="2"/>
  <c r="W2344" i="2"/>
  <c r="W2345" i="2"/>
  <c r="W2346" i="2"/>
  <c r="W2347" i="2"/>
  <c r="W2348" i="2"/>
  <c r="W2349" i="2"/>
  <c r="W2350" i="2"/>
  <c r="W2351" i="2"/>
  <c r="W2352" i="2"/>
  <c r="W2353" i="2"/>
  <c r="W2354" i="2"/>
  <c r="W2355" i="2"/>
  <c r="W2356" i="2"/>
  <c r="W2357" i="2"/>
  <c r="W2358" i="2"/>
  <c r="W2359" i="2"/>
  <c r="W2360" i="2"/>
  <c r="W2361" i="2"/>
  <c r="W2362" i="2"/>
  <c r="W2363" i="2"/>
  <c r="W2364" i="2"/>
  <c r="W2365" i="2"/>
  <c r="W2366" i="2"/>
  <c r="W2367" i="2"/>
  <c r="W2368" i="2"/>
  <c r="W2369" i="2"/>
  <c r="W2370" i="2"/>
  <c r="W2371" i="2"/>
  <c r="W2372" i="2"/>
  <c r="W2373" i="2"/>
  <c r="W2374" i="2"/>
  <c r="W2375" i="2"/>
  <c r="W2376" i="2"/>
  <c r="W2377" i="2"/>
  <c r="W2378" i="2"/>
  <c r="W2379" i="2"/>
  <c r="W2380" i="2"/>
  <c r="W2381" i="2"/>
  <c r="W2382" i="2"/>
  <c r="W2383" i="2"/>
  <c r="W2384" i="2"/>
  <c r="W2385" i="2"/>
  <c r="W2386" i="2"/>
  <c r="W2387" i="2"/>
  <c r="W2388" i="2"/>
  <c r="W2389" i="2"/>
  <c r="W2390" i="2"/>
  <c r="W2391" i="2"/>
  <c r="W2392" i="2"/>
  <c r="W2393" i="2"/>
  <c r="W2394" i="2"/>
  <c r="W2395" i="2"/>
  <c r="W2396" i="2"/>
  <c r="W2397" i="2"/>
  <c r="W2398" i="2"/>
  <c r="W2399" i="2"/>
  <c r="W2400" i="2"/>
  <c r="W2401" i="2"/>
  <c r="W2402" i="2"/>
  <c r="W2403" i="2"/>
  <c r="W2404" i="2"/>
  <c r="W2405" i="2"/>
  <c r="W2406" i="2"/>
  <c r="W2407" i="2"/>
  <c r="W2408" i="2"/>
  <c r="W2409" i="2"/>
  <c r="W2410" i="2"/>
  <c r="W2411" i="2"/>
  <c r="W2412" i="2"/>
  <c r="W2413" i="2"/>
  <c r="W2414" i="2"/>
  <c r="W2415" i="2"/>
  <c r="W2416" i="2"/>
  <c r="W2417" i="2"/>
  <c r="W2418" i="2"/>
  <c r="W2419" i="2"/>
  <c r="W2420" i="2"/>
  <c r="W2421" i="2"/>
  <c r="W2422" i="2"/>
  <c r="W2423" i="2"/>
  <c r="W2424" i="2"/>
  <c r="W2425" i="2"/>
  <c r="W2426" i="2"/>
  <c r="W2427" i="2"/>
  <c r="S130" i="2"/>
  <c r="S131" i="2"/>
  <c r="S122" i="2"/>
  <c r="S90" i="2"/>
  <c r="S161" i="2"/>
  <c r="S91" i="2"/>
  <c r="S123" i="2"/>
  <c r="S124" i="2"/>
  <c r="S125" i="2"/>
  <c r="S70" i="2"/>
  <c r="S48" i="2"/>
  <c r="S56" i="2"/>
  <c r="S39" i="2"/>
  <c r="S75" i="2"/>
  <c r="S4" i="2"/>
  <c r="S49" i="2"/>
  <c r="S71" i="2"/>
  <c r="S93" i="2"/>
  <c r="S72" i="2"/>
  <c r="S73" i="2"/>
  <c r="S108" i="2"/>
  <c r="S15" i="2"/>
  <c r="S57" i="2"/>
  <c r="S95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AF160" i="2"/>
  <c r="AF216" i="2"/>
  <c r="AN216" i="2" s="1"/>
  <c r="AF218" i="2"/>
  <c r="AN218" i="2" s="1"/>
  <c r="AF221" i="2"/>
  <c r="AN221" i="2" s="1"/>
  <c r="AF224" i="2"/>
  <c r="AN224" i="2" s="1"/>
  <c r="AF226" i="2"/>
  <c r="AN226" i="2" s="1"/>
  <c r="AF230" i="2"/>
  <c r="AN230" i="2" s="1"/>
  <c r="AQ230" i="2" s="1"/>
  <c r="AF232" i="2"/>
  <c r="AN232" i="2" s="1"/>
  <c r="AF233" i="2"/>
  <c r="AN233" i="2" s="1"/>
  <c r="AQ233" i="2" s="1"/>
  <c r="AF234" i="2"/>
  <c r="AN234" i="2" s="1"/>
  <c r="AF235" i="2"/>
  <c r="AN235" i="2" s="1"/>
  <c r="AF238" i="2"/>
  <c r="AN238" i="2" s="1"/>
  <c r="AF240" i="2"/>
  <c r="AN240" i="2" s="1"/>
  <c r="AF241" i="2"/>
  <c r="AN241" i="2" s="1"/>
  <c r="AF242" i="2"/>
  <c r="AN242" i="2" s="1"/>
  <c r="AQ242" i="2" s="1"/>
  <c r="AF243" i="2"/>
  <c r="AN243" i="2" s="1"/>
  <c r="AQ243" i="2" s="1"/>
  <c r="AF244" i="2"/>
  <c r="AN244" i="2" s="1"/>
  <c r="AQ244" i="2" s="1"/>
  <c r="AF245" i="2"/>
  <c r="AF246" i="2"/>
  <c r="AN246" i="2" s="1"/>
  <c r="AQ246" i="2" s="1"/>
  <c r="AF247" i="2"/>
  <c r="AN247" i="2" s="1"/>
  <c r="AQ247" i="2" s="1"/>
  <c r="AF248" i="2"/>
  <c r="AN248" i="2" s="1"/>
  <c r="AF249" i="2"/>
  <c r="AN249" i="2" s="1"/>
  <c r="AF250" i="2"/>
  <c r="AN250" i="2" s="1"/>
  <c r="AQ250" i="2" s="1"/>
  <c r="AF251" i="2"/>
  <c r="AN251" i="2" s="1"/>
  <c r="AF252" i="2"/>
  <c r="AN252" i="2" s="1"/>
  <c r="AQ252" i="2" s="1"/>
  <c r="AF253" i="2"/>
  <c r="AN253" i="2" s="1"/>
  <c r="AQ253" i="2" s="1"/>
  <c r="AF254" i="2"/>
  <c r="AN254" i="2" s="1"/>
  <c r="AQ254" i="2" s="1"/>
  <c r="AF255" i="2"/>
  <c r="AN255" i="2" s="1"/>
  <c r="AQ255" i="2" s="1"/>
  <c r="AF256" i="2"/>
  <c r="AN256" i="2" s="1"/>
  <c r="AF257" i="2"/>
  <c r="AN257" i="2" s="1"/>
  <c r="AQ257" i="2" s="1"/>
  <c r="AF258" i="2"/>
  <c r="AN258" i="2" s="1"/>
  <c r="AF259" i="2"/>
  <c r="AN259" i="2" s="1"/>
  <c r="AQ259" i="2" s="1"/>
  <c r="AF260" i="2"/>
  <c r="AN260" i="2" s="1"/>
  <c r="AQ260" i="2" s="1"/>
  <c r="AF261" i="2"/>
  <c r="AN261" i="2" s="1"/>
  <c r="AQ261" i="2" s="1"/>
  <c r="AF262" i="2"/>
  <c r="AN262" i="2" s="1"/>
  <c r="AQ262" i="2" s="1"/>
  <c r="AF263" i="2"/>
  <c r="AN263" i="2" s="1"/>
  <c r="AQ263" i="2" s="1"/>
  <c r="AF264" i="2"/>
  <c r="AN264" i="2" s="1"/>
  <c r="AQ264" i="2" s="1"/>
  <c r="AF265" i="2"/>
  <c r="AN265" i="2" s="1"/>
  <c r="AF266" i="2"/>
  <c r="AF267" i="2"/>
  <c r="AN267" i="2" s="1"/>
  <c r="AQ267" i="2" s="1"/>
  <c r="AF268" i="2"/>
  <c r="AF269" i="2"/>
  <c r="AF270" i="2"/>
  <c r="AN270" i="2" s="1"/>
  <c r="AQ270" i="2" s="1"/>
  <c r="AF271" i="2"/>
  <c r="AN271" i="2" s="1"/>
  <c r="AQ271" i="2" s="1"/>
  <c r="AF272" i="2"/>
  <c r="AN272" i="2" s="1"/>
  <c r="AQ272" i="2" s="1"/>
  <c r="AF273" i="2"/>
  <c r="AN273" i="2" s="1"/>
  <c r="AQ273" i="2" s="1"/>
  <c r="AF274" i="2"/>
  <c r="AN274" i="2" s="1"/>
  <c r="AQ274" i="2" s="1"/>
  <c r="AF275" i="2"/>
  <c r="AN275" i="2" s="1"/>
  <c r="AQ275" i="2" s="1"/>
  <c r="AF276" i="2"/>
  <c r="AN276" i="2" s="1"/>
  <c r="AQ276" i="2" s="1"/>
  <c r="AF277" i="2"/>
  <c r="AN277" i="2" s="1"/>
  <c r="AQ277" i="2" s="1"/>
  <c r="AF278" i="2"/>
  <c r="AN278" i="2" s="1"/>
  <c r="AQ278" i="2" s="1"/>
  <c r="AF279" i="2"/>
  <c r="AF280" i="2"/>
  <c r="AN280" i="2" s="1"/>
  <c r="AF281" i="2"/>
  <c r="AN281" i="2" s="1"/>
  <c r="AF282" i="2"/>
  <c r="AN282" i="2" s="1"/>
  <c r="AQ282" i="2" s="1"/>
  <c r="AF283" i="2"/>
  <c r="AN283" i="2" s="1"/>
  <c r="AQ283" i="2" s="1"/>
  <c r="AF284" i="2"/>
  <c r="AN284" i="2" s="1"/>
  <c r="AQ284" i="2" s="1"/>
  <c r="AF285" i="2"/>
  <c r="AF286" i="2"/>
  <c r="AN286" i="2" s="1"/>
  <c r="AF287" i="2"/>
  <c r="AN287" i="2" s="1"/>
  <c r="AQ287" i="2" s="1"/>
  <c r="AF288" i="2"/>
  <c r="AN288" i="2" s="1"/>
  <c r="AQ288" i="2" s="1"/>
  <c r="AF289" i="2"/>
  <c r="AN289" i="2" s="1"/>
  <c r="AQ289" i="2" s="1"/>
  <c r="AF290" i="2"/>
  <c r="AF291" i="2"/>
  <c r="AN291" i="2" s="1"/>
  <c r="AQ291" i="2" s="1"/>
  <c r="AF292" i="2"/>
  <c r="AN292" i="2" s="1"/>
  <c r="AQ292" i="2" s="1"/>
  <c r="AF293" i="2"/>
  <c r="AN293" i="2" s="1"/>
  <c r="AQ293" i="2" s="1"/>
  <c r="AF294" i="2"/>
  <c r="AN294" i="2" s="1"/>
  <c r="AQ294" i="2" s="1"/>
  <c r="AF295" i="2"/>
  <c r="AF296" i="2"/>
  <c r="AN296" i="2" s="1"/>
  <c r="AQ296" i="2" s="1"/>
  <c r="AF297" i="2"/>
  <c r="AN297" i="2" s="1"/>
  <c r="AQ297" i="2" s="1"/>
  <c r="AF298" i="2"/>
  <c r="AN298" i="2" s="1"/>
  <c r="AQ298" i="2" s="1"/>
  <c r="AF299" i="2"/>
  <c r="AN299" i="2" s="1"/>
  <c r="AQ299" i="2" s="1"/>
  <c r="AF300" i="2"/>
  <c r="AN300" i="2" s="1"/>
  <c r="AQ300" i="2" s="1"/>
  <c r="AF301" i="2"/>
  <c r="AF302" i="2"/>
  <c r="AN302" i="2" s="1"/>
  <c r="AF303" i="2"/>
  <c r="AN303" i="2" s="1"/>
  <c r="AQ303" i="2" s="1"/>
  <c r="AF304" i="2"/>
  <c r="AN304" i="2" s="1"/>
  <c r="AF305" i="2"/>
  <c r="AN305" i="2" s="1"/>
  <c r="AQ305" i="2" s="1"/>
  <c r="AF306" i="2"/>
  <c r="AF307" i="2"/>
  <c r="AN307" i="2" s="1"/>
  <c r="AQ307" i="2" s="1"/>
  <c r="AF308" i="2"/>
  <c r="AN308" i="2" s="1"/>
  <c r="AQ308" i="2" s="1"/>
  <c r="AF309" i="2"/>
  <c r="AN309" i="2" s="1"/>
  <c r="AQ309" i="2" s="1"/>
  <c r="AF310" i="2"/>
  <c r="AN310" i="2" s="1"/>
  <c r="AQ310" i="2" s="1"/>
  <c r="AF311" i="2"/>
  <c r="AN311" i="2" s="1"/>
  <c r="AQ311" i="2" s="1"/>
  <c r="AF312" i="2"/>
  <c r="AN312" i="2" s="1"/>
  <c r="AF313" i="2"/>
  <c r="AN313" i="2" s="1"/>
  <c r="AF314" i="2"/>
  <c r="AN314" i="2" s="1"/>
  <c r="AQ314" i="2" s="1"/>
  <c r="AF315" i="2"/>
  <c r="AN315" i="2" s="1"/>
  <c r="AQ315" i="2" s="1"/>
  <c r="AF316" i="2"/>
  <c r="AN316" i="2" s="1"/>
  <c r="AQ316" i="2" s="1"/>
  <c r="AF317" i="2"/>
  <c r="AF318" i="2"/>
  <c r="AN318" i="2" s="1"/>
  <c r="AQ318" i="2" s="1"/>
  <c r="AF319" i="2"/>
  <c r="AF320" i="2"/>
  <c r="AN320" i="2" s="1"/>
  <c r="AQ320" i="2" s="1"/>
  <c r="AF321" i="2"/>
  <c r="AN321" i="2" s="1"/>
  <c r="AQ321" i="2" s="1"/>
  <c r="AF322" i="2"/>
  <c r="AN322" i="2" s="1"/>
  <c r="AQ322" i="2" s="1"/>
  <c r="AF323" i="2"/>
  <c r="AN323" i="2" s="1"/>
  <c r="AQ323" i="2" s="1"/>
  <c r="AF324" i="2"/>
  <c r="AN324" i="2" s="1"/>
  <c r="AQ324" i="2" s="1"/>
  <c r="AF325" i="2"/>
  <c r="AN325" i="2" s="1"/>
  <c r="AQ325" i="2" s="1"/>
  <c r="AF326" i="2"/>
  <c r="AN326" i="2" s="1"/>
  <c r="AF327" i="2"/>
  <c r="AN327" i="2" s="1"/>
  <c r="AQ327" i="2" s="1"/>
  <c r="AF328" i="2"/>
  <c r="AN328" i="2" s="1"/>
  <c r="AF329" i="2"/>
  <c r="AN329" i="2" s="1"/>
  <c r="AQ329" i="2" s="1"/>
  <c r="AF330" i="2"/>
  <c r="AF331" i="2"/>
  <c r="AN331" i="2" s="1"/>
  <c r="AQ331" i="2" s="1"/>
  <c r="AF332" i="2"/>
  <c r="AN332" i="2" s="1"/>
  <c r="AQ332" i="2" s="1"/>
  <c r="AF333" i="2"/>
  <c r="AF334" i="2"/>
  <c r="AN334" i="2" s="1"/>
  <c r="AQ334" i="2" s="1"/>
  <c r="AF335" i="2"/>
  <c r="AN335" i="2" s="1"/>
  <c r="AQ335" i="2" s="1"/>
  <c r="AF336" i="2"/>
  <c r="AN336" i="2" s="1"/>
  <c r="AQ336" i="2" s="1"/>
  <c r="AF337" i="2"/>
  <c r="AN337" i="2" s="1"/>
  <c r="AF338" i="2"/>
  <c r="AN338" i="2" s="1"/>
  <c r="AQ338" i="2" s="1"/>
  <c r="AF339" i="2"/>
  <c r="AN339" i="2" s="1"/>
  <c r="AQ339" i="2" s="1"/>
  <c r="AF340" i="2"/>
  <c r="AN340" i="2" s="1"/>
  <c r="AQ340" i="2" s="1"/>
  <c r="AF341" i="2"/>
  <c r="AF342" i="2"/>
  <c r="AN342" i="2" s="1"/>
  <c r="AQ342" i="2" s="1"/>
  <c r="AF343" i="2"/>
  <c r="AN343" i="2" s="1"/>
  <c r="AQ343" i="2" s="1"/>
  <c r="AF344" i="2"/>
  <c r="AN344" i="2" s="1"/>
  <c r="AQ344" i="2" s="1"/>
  <c r="AF345" i="2"/>
  <c r="AN345" i="2" s="1"/>
  <c r="AF346" i="2"/>
  <c r="AN346" i="2" s="1"/>
  <c r="AQ346" i="2" s="1"/>
  <c r="AF347" i="2"/>
  <c r="AN347" i="2" s="1"/>
  <c r="AQ347" i="2" s="1"/>
  <c r="AF348" i="2"/>
  <c r="AF349" i="2"/>
  <c r="AF350" i="2"/>
  <c r="AN350" i="2" s="1"/>
  <c r="AQ350" i="2" s="1"/>
  <c r="AF351" i="2"/>
  <c r="AN351" i="2" s="1"/>
  <c r="AQ351" i="2" s="1"/>
  <c r="AF352" i="2"/>
  <c r="AN352" i="2" s="1"/>
  <c r="AQ352" i="2" s="1"/>
  <c r="AF353" i="2"/>
  <c r="AN353" i="2" s="1"/>
  <c r="AQ353" i="2" s="1"/>
  <c r="AF354" i="2"/>
  <c r="AN354" i="2" s="1"/>
  <c r="AQ354" i="2" s="1"/>
  <c r="AF355" i="2"/>
  <c r="AN355" i="2" s="1"/>
  <c r="AQ355" i="2" s="1"/>
  <c r="AF356" i="2"/>
  <c r="AN356" i="2" s="1"/>
  <c r="AQ356" i="2" s="1"/>
  <c r="AF357" i="2"/>
  <c r="AF358" i="2"/>
  <c r="AN358" i="2" s="1"/>
  <c r="AQ358" i="2" s="1"/>
  <c r="AF359" i="2"/>
  <c r="AF360" i="2"/>
  <c r="AN360" i="2" s="1"/>
  <c r="AF361" i="2"/>
  <c r="AN361" i="2" s="1"/>
  <c r="AQ361" i="2" s="1"/>
  <c r="AF362" i="2"/>
  <c r="AN362" i="2" s="1"/>
  <c r="AQ362" i="2" s="1"/>
  <c r="AF363" i="2"/>
  <c r="AN363" i="2" s="1"/>
  <c r="AF364" i="2"/>
  <c r="AN364" i="2" s="1"/>
  <c r="AQ364" i="2" s="1"/>
  <c r="AF365" i="2"/>
  <c r="AF366" i="2"/>
  <c r="AN366" i="2" s="1"/>
  <c r="AF367" i="2"/>
  <c r="AF368" i="2"/>
  <c r="AN368" i="2" s="1"/>
  <c r="AQ368" i="2" s="1"/>
  <c r="AF369" i="2"/>
  <c r="AN369" i="2" s="1"/>
  <c r="AQ369" i="2" s="1"/>
  <c r="AF370" i="2"/>
  <c r="AN370" i="2" s="1"/>
  <c r="AQ370" i="2" s="1"/>
  <c r="AF371" i="2"/>
  <c r="AN371" i="2" s="1"/>
  <c r="AQ371" i="2" s="1"/>
  <c r="AF372" i="2"/>
  <c r="AN372" i="2" s="1"/>
  <c r="AQ372" i="2" s="1"/>
  <c r="AF373" i="2"/>
  <c r="AF374" i="2"/>
  <c r="AN374" i="2" s="1"/>
  <c r="AQ374" i="2" s="1"/>
  <c r="AF375" i="2"/>
  <c r="AN375" i="2" s="1"/>
  <c r="AQ375" i="2" s="1"/>
  <c r="AF376" i="2"/>
  <c r="AN376" i="2" s="1"/>
  <c r="AQ376" i="2" s="1"/>
  <c r="AF377" i="2"/>
  <c r="AN377" i="2" s="1"/>
  <c r="AQ377" i="2" s="1"/>
  <c r="AF378" i="2"/>
  <c r="AN378" i="2" s="1"/>
  <c r="AQ378" i="2" s="1"/>
  <c r="AF379" i="2"/>
  <c r="AN379" i="2" s="1"/>
  <c r="AQ379" i="2" s="1"/>
  <c r="AF380" i="2"/>
  <c r="AF381" i="2"/>
  <c r="AF382" i="2"/>
  <c r="AN382" i="2" s="1"/>
  <c r="AQ382" i="2" s="1"/>
  <c r="AF383" i="2"/>
  <c r="AN383" i="2" s="1"/>
  <c r="AQ383" i="2" s="1"/>
  <c r="AF384" i="2"/>
  <c r="AN384" i="2" s="1"/>
  <c r="AF385" i="2"/>
  <c r="AN385" i="2" s="1"/>
  <c r="AF386" i="2"/>
  <c r="AN386" i="2" s="1"/>
  <c r="AQ386" i="2" s="1"/>
  <c r="AF387" i="2"/>
  <c r="AN387" i="2" s="1"/>
  <c r="AQ387" i="2" s="1"/>
  <c r="AF388" i="2"/>
  <c r="AN388" i="2" s="1"/>
  <c r="AQ388" i="2" s="1"/>
  <c r="AF389" i="2"/>
  <c r="AF390" i="2"/>
  <c r="AN390" i="2" s="1"/>
  <c r="AF391" i="2"/>
  <c r="AF392" i="2"/>
  <c r="AN392" i="2" s="1"/>
  <c r="AQ392" i="2" s="1"/>
  <c r="AF393" i="2"/>
  <c r="AN393" i="2" s="1"/>
  <c r="AQ393" i="2" s="1"/>
  <c r="AF394" i="2"/>
  <c r="AN394" i="2" s="1"/>
  <c r="AQ394" i="2" s="1"/>
  <c r="AF395" i="2"/>
  <c r="AN395" i="2" s="1"/>
  <c r="AQ395" i="2" s="1"/>
  <c r="AF396" i="2"/>
  <c r="AN396" i="2" s="1"/>
  <c r="AQ396" i="2" s="1"/>
  <c r="AF397" i="2"/>
  <c r="AN397" i="2" s="1"/>
  <c r="AQ397" i="2" s="1"/>
  <c r="AF398" i="2"/>
  <c r="AN398" i="2" s="1"/>
  <c r="AQ398" i="2" s="1"/>
  <c r="AF399" i="2"/>
  <c r="AF400" i="2"/>
  <c r="AN400" i="2" s="1"/>
  <c r="AQ400" i="2" s="1"/>
  <c r="AF401" i="2"/>
  <c r="AN401" i="2" s="1"/>
  <c r="AF402" i="2"/>
  <c r="AN402" i="2" s="1"/>
  <c r="AF403" i="2"/>
  <c r="AN403" i="2" s="1"/>
  <c r="AQ403" i="2" s="1"/>
  <c r="AF404" i="2"/>
  <c r="AN404" i="2" s="1"/>
  <c r="AQ404" i="2" s="1"/>
  <c r="AF405" i="2"/>
  <c r="AF406" i="2"/>
  <c r="AN406" i="2" s="1"/>
  <c r="AQ406" i="2" s="1"/>
  <c r="AF407" i="2"/>
  <c r="AN407" i="2" s="1"/>
  <c r="AQ407" i="2" s="1"/>
  <c r="AF408" i="2"/>
  <c r="AN408" i="2" s="1"/>
  <c r="AF409" i="2"/>
  <c r="AN409" i="2" s="1"/>
  <c r="AF410" i="2"/>
  <c r="AN410" i="2" s="1"/>
  <c r="AQ410" i="2" s="1"/>
  <c r="AF411" i="2"/>
  <c r="AN411" i="2" s="1"/>
  <c r="AQ411" i="2" s="1"/>
  <c r="AF412" i="2"/>
  <c r="AF413" i="2"/>
  <c r="AF414" i="2"/>
  <c r="AN414" i="2" s="1"/>
  <c r="AF415" i="2"/>
  <c r="AN415" i="2" s="1"/>
  <c r="AQ415" i="2" s="1"/>
  <c r="AF416" i="2"/>
  <c r="AN416" i="2" s="1"/>
  <c r="AQ416" i="2" s="1"/>
  <c r="AF417" i="2"/>
  <c r="AN417" i="2" s="1"/>
  <c r="AQ417" i="2" s="1"/>
  <c r="AF418" i="2"/>
  <c r="AN418" i="2" s="1"/>
  <c r="AQ418" i="2" s="1"/>
  <c r="AF419" i="2"/>
  <c r="AN419" i="2" s="1"/>
  <c r="AQ419" i="2" s="1"/>
  <c r="AF420" i="2"/>
  <c r="AN420" i="2" s="1"/>
  <c r="AQ420" i="2" s="1"/>
  <c r="AF421" i="2"/>
  <c r="AF422" i="2"/>
  <c r="AN422" i="2" s="1"/>
  <c r="AQ422" i="2" s="1"/>
  <c r="AF423" i="2"/>
  <c r="AF424" i="2"/>
  <c r="AN424" i="2" s="1"/>
  <c r="AQ424" i="2" s="1"/>
  <c r="AF425" i="2"/>
  <c r="AN425" i="2" s="1"/>
  <c r="AQ425" i="2" s="1"/>
  <c r="AF426" i="2"/>
  <c r="AN426" i="2" s="1"/>
  <c r="AQ426" i="2" s="1"/>
  <c r="AF427" i="2"/>
  <c r="AN427" i="2" s="1"/>
  <c r="AQ427" i="2" s="1"/>
  <c r="AF428" i="2"/>
  <c r="AN428" i="2" s="1"/>
  <c r="AQ428" i="2" s="1"/>
  <c r="AF429" i="2"/>
  <c r="AN429" i="2" s="1"/>
  <c r="AQ429" i="2" s="1"/>
  <c r="AF430" i="2"/>
  <c r="AN430" i="2" s="1"/>
  <c r="AQ430" i="2" s="1"/>
  <c r="AF431" i="2"/>
  <c r="AF432" i="2"/>
  <c r="AN432" i="2" s="1"/>
  <c r="AF433" i="2"/>
  <c r="AN433" i="2" s="1"/>
  <c r="AF434" i="2"/>
  <c r="AN434" i="2" s="1"/>
  <c r="AQ434" i="2" s="1"/>
  <c r="AF435" i="2"/>
  <c r="AN435" i="2" s="1"/>
  <c r="AQ435" i="2" s="1"/>
  <c r="AF436" i="2"/>
  <c r="AN436" i="2" s="1"/>
  <c r="AQ436" i="2" s="1"/>
  <c r="AF437" i="2"/>
  <c r="AF438" i="2"/>
  <c r="AN438" i="2" s="1"/>
  <c r="AQ438" i="2" s="1"/>
  <c r="AF439" i="2"/>
  <c r="AN439" i="2" s="1"/>
  <c r="AQ439" i="2" s="1"/>
  <c r="AF440" i="2"/>
  <c r="AN440" i="2" s="1"/>
  <c r="AQ440" i="2" s="1"/>
  <c r="AF441" i="2"/>
  <c r="AN441" i="2" s="1"/>
  <c r="AQ441" i="2" s="1"/>
  <c r="AF442" i="2"/>
  <c r="AN442" i="2" s="1"/>
  <c r="AQ442" i="2" s="1"/>
  <c r="AF443" i="2"/>
  <c r="AN443" i="2" s="1"/>
  <c r="AQ443" i="2" s="1"/>
  <c r="AF444" i="2"/>
  <c r="AF445" i="2"/>
  <c r="AF446" i="2"/>
  <c r="AN446" i="2" s="1"/>
  <c r="AF447" i="2"/>
  <c r="AN447" i="2" s="1"/>
  <c r="AQ447" i="2" s="1"/>
  <c r="AF448" i="2"/>
  <c r="AN448" i="2" s="1"/>
  <c r="AQ448" i="2" s="1"/>
  <c r="AF449" i="2"/>
  <c r="AN449" i="2" s="1"/>
  <c r="AQ449" i="2" s="1"/>
  <c r="AF450" i="2"/>
  <c r="AF451" i="2"/>
  <c r="AF452" i="2"/>
  <c r="AN452" i="2" s="1"/>
  <c r="AQ452" i="2" s="1"/>
  <c r="AF453" i="2"/>
  <c r="AF454" i="2"/>
  <c r="AN454" i="2" s="1"/>
  <c r="AQ454" i="2" s="1"/>
  <c r="AF455" i="2"/>
  <c r="AN455" i="2" s="1"/>
  <c r="AQ455" i="2" s="1"/>
  <c r="AF456" i="2"/>
  <c r="AN456" i="2" s="1"/>
  <c r="AQ456" i="2" s="1"/>
  <c r="AF457" i="2"/>
  <c r="AN457" i="2" s="1"/>
  <c r="AF458" i="2"/>
  <c r="AF459" i="2"/>
  <c r="AN459" i="2" s="1"/>
  <c r="AQ459" i="2" s="1"/>
  <c r="AF460" i="2"/>
  <c r="AN460" i="2" s="1"/>
  <c r="AQ460" i="2" s="1"/>
  <c r="AF461" i="2"/>
  <c r="AF462" i="2"/>
  <c r="AN462" i="2" s="1"/>
  <c r="AF463" i="2"/>
  <c r="AN463" i="2" s="1"/>
  <c r="AQ463" i="2" s="1"/>
  <c r="AF464" i="2"/>
  <c r="AN464" i="2" s="1"/>
  <c r="AF465" i="2"/>
  <c r="AN465" i="2" s="1"/>
  <c r="AQ465" i="2" s="1"/>
  <c r="AF466" i="2"/>
  <c r="AN466" i="2" s="1"/>
  <c r="AQ466" i="2" s="1"/>
  <c r="AF467" i="2"/>
  <c r="AF468" i="2"/>
  <c r="AN468" i="2" s="1"/>
  <c r="AQ468" i="2" s="1"/>
  <c r="AF469" i="2"/>
  <c r="AN469" i="2" s="1"/>
  <c r="AQ469" i="2" s="1"/>
  <c r="AF470" i="2"/>
  <c r="AN470" i="2" s="1"/>
  <c r="AF471" i="2"/>
  <c r="AN471" i="2" s="1"/>
  <c r="AQ471" i="2" s="1"/>
  <c r="AF472" i="2"/>
  <c r="AN472" i="2" s="1"/>
  <c r="AQ472" i="2" s="1"/>
  <c r="AF473" i="2"/>
  <c r="AN473" i="2" s="1"/>
  <c r="AF474" i="2"/>
  <c r="AN474" i="2" s="1"/>
  <c r="AQ474" i="2" s="1"/>
  <c r="AF475" i="2"/>
  <c r="AN475" i="2" s="1"/>
  <c r="AQ475" i="2" s="1"/>
  <c r="AF476" i="2"/>
  <c r="AF477" i="2"/>
  <c r="AF478" i="2"/>
  <c r="AN478" i="2" s="1"/>
  <c r="AQ478" i="2" s="1"/>
  <c r="AF479" i="2"/>
  <c r="AN479" i="2" s="1"/>
  <c r="AQ479" i="2" s="1"/>
  <c r="AF480" i="2"/>
  <c r="AN480" i="2" s="1"/>
  <c r="AQ480" i="2" s="1"/>
  <c r="AF481" i="2"/>
  <c r="AN481" i="2" s="1"/>
  <c r="AQ481" i="2" s="1"/>
  <c r="AF482" i="2"/>
  <c r="AF483" i="2"/>
  <c r="AN483" i="2" s="1"/>
  <c r="AQ483" i="2" s="1"/>
  <c r="AF484" i="2"/>
  <c r="AN484" i="2" s="1"/>
  <c r="AQ484" i="2" s="1"/>
  <c r="AF485" i="2"/>
  <c r="AF486" i="2"/>
  <c r="AN486" i="2" s="1"/>
  <c r="AF487" i="2"/>
  <c r="AN487" i="2" s="1"/>
  <c r="AQ487" i="2" s="1"/>
  <c r="AF488" i="2"/>
  <c r="AN488" i="2" s="1"/>
  <c r="AF489" i="2"/>
  <c r="AN489" i="2" s="1"/>
  <c r="AF490" i="2"/>
  <c r="AF491" i="2"/>
  <c r="AN491" i="2" s="1"/>
  <c r="AQ491" i="2" s="1"/>
  <c r="AF492" i="2"/>
  <c r="AN492" i="2" s="1"/>
  <c r="AQ492" i="2" s="1"/>
  <c r="AF493" i="2"/>
  <c r="AN493" i="2" s="1"/>
  <c r="AQ493" i="2" s="1"/>
  <c r="AF494" i="2"/>
  <c r="AN494" i="2" s="1"/>
  <c r="AQ494" i="2" s="1"/>
  <c r="AF495" i="2"/>
  <c r="AF496" i="2"/>
  <c r="AN496" i="2" s="1"/>
  <c r="AQ496" i="2" s="1"/>
  <c r="AF497" i="2"/>
  <c r="AN497" i="2" s="1"/>
  <c r="AF498" i="2"/>
  <c r="AN498" i="2" s="1"/>
  <c r="AF499" i="2"/>
  <c r="AN499" i="2" s="1"/>
  <c r="AQ499" i="2" s="1"/>
  <c r="AF500" i="2"/>
  <c r="AN500" i="2" s="1"/>
  <c r="AQ500" i="2" s="1"/>
  <c r="AF501" i="2"/>
  <c r="AN501" i="2" s="1"/>
  <c r="AQ501" i="2" s="1"/>
  <c r="AF502" i="2"/>
  <c r="AN502" i="2" s="1"/>
  <c r="AQ502" i="2" s="1"/>
  <c r="AF503" i="2"/>
  <c r="AF504" i="2"/>
  <c r="AN504" i="2" s="1"/>
  <c r="AQ504" i="2" s="1"/>
  <c r="AF505" i="2"/>
  <c r="AN505" i="2" s="1"/>
  <c r="AQ505" i="2" s="1"/>
  <c r="AF506" i="2"/>
  <c r="AN506" i="2" s="1"/>
  <c r="AQ506" i="2" s="1"/>
  <c r="AF507" i="2"/>
  <c r="AN507" i="2" s="1"/>
  <c r="AQ507" i="2" s="1"/>
  <c r="AF508" i="2"/>
  <c r="AF509" i="2"/>
  <c r="AF510" i="2"/>
  <c r="AN510" i="2" s="1"/>
  <c r="AF511" i="2"/>
  <c r="AN511" i="2" s="1"/>
  <c r="AQ511" i="2" s="1"/>
  <c r="AF512" i="2"/>
  <c r="AN512" i="2" s="1"/>
  <c r="AF513" i="2"/>
  <c r="AN513" i="2" s="1"/>
  <c r="AQ513" i="2" s="1"/>
  <c r="AF514" i="2"/>
  <c r="AF515" i="2"/>
  <c r="AN515" i="2" s="1"/>
  <c r="AQ515" i="2" s="1"/>
  <c r="AF516" i="2"/>
  <c r="AN516" i="2" s="1"/>
  <c r="AQ516" i="2" s="1"/>
  <c r="AF517" i="2"/>
  <c r="AN517" i="2" s="1"/>
  <c r="AQ517" i="2" s="1"/>
  <c r="AF518" i="2"/>
  <c r="AN518" i="2" s="1"/>
  <c r="AQ518" i="2" s="1"/>
  <c r="AF519" i="2"/>
  <c r="AN519" i="2" s="1"/>
  <c r="AQ519" i="2" s="1"/>
  <c r="AF520" i="2"/>
  <c r="AN520" i="2" s="1"/>
  <c r="AF521" i="2"/>
  <c r="AN521" i="2" s="1"/>
  <c r="AQ521" i="2" s="1"/>
  <c r="AF522" i="2"/>
  <c r="AF523" i="2"/>
  <c r="AF524" i="2"/>
  <c r="AN524" i="2" s="1"/>
  <c r="AQ524" i="2" s="1"/>
  <c r="AF525" i="2"/>
  <c r="AF526" i="2"/>
  <c r="AN526" i="2" s="1"/>
  <c r="AQ526" i="2" s="1"/>
  <c r="AF527" i="2"/>
  <c r="AN527" i="2" s="1"/>
  <c r="AQ527" i="2" s="1"/>
  <c r="AF528" i="2"/>
  <c r="AN528" i="2" s="1"/>
  <c r="AQ528" i="2" s="1"/>
  <c r="AF529" i="2"/>
  <c r="AN529" i="2" s="1"/>
  <c r="AF530" i="2"/>
  <c r="AN530" i="2" s="1"/>
  <c r="AQ530" i="2" s="1"/>
  <c r="AF531" i="2"/>
  <c r="AN531" i="2" s="1"/>
  <c r="AQ531" i="2" s="1"/>
  <c r="AF532" i="2"/>
  <c r="AN532" i="2" s="1"/>
  <c r="AQ532" i="2" s="1"/>
  <c r="AF533" i="2"/>
  <c r="AN533" i="2" s="1"/>
  <c r="AQ533" i="2" s="1"/>
  <c r="AF534" i="2"/>
  <c r="AN534" i="2" s="1"/>
  <c r="AQ534" i="2" s="1"/>
  <c r="AF535" i="2"/>
  <c r="AN535" i="2" s="1"/>
  <c r="AQ535" i="2" s="1"/>
  <c r="AF536" i="2"/>
  <c r="AN536" i="2" s="1"/>
  <c r="AQ536" i="2" s="1"/>
  <c r="AF537" i="2"/>
  <c r="AN537" i="2" s="1"/>
  <c r="AF538" i="2"/>
  <c r="AN538" i="2" s="1"/>
  <c r="AF539" i="2"/>
  <c r="AN539" i="2" s="1"/>
  <c r="AQ539" i="2" s="1"/>
  <c r="AF540" i="2"/>
  <c r="AN540" i="2" s="1"/>
  <c r="AQ540" i="2" s="1"/>
  <c r="AF541" i="2"/>
  <c r="AF542" i="2"/>
  <c r="AN542" i="2" s="1"/>
  <c r="AQ542" i="2" s="1"/>
  <c r="AF543" i="2"/>
  <c r="AN543" i="2" s="1"/>
  <c r="AQ543" i="2" s="1"/>
  <c r="AF544" i="2"/>
  <c r="AN544" i="2" s="1"/>
  <c r="AF545" i="2"/>
  <c r="AN545" i="2" s="1"/>
  <c r="AQ545" i="2" s="1"/>
  <c r="AF546" i="2"/>
  <c r="AN546" i="2" s="1"/>
  <c r="AQ546" i="2" s="1"/>
  <c r="AF547" i="2"/>
  <c r="AF548" i="2"/>
  <c r="AN548" i="2" s="1"/>
  <c r="AQ548" i="2" s="1"/>
  <c r="AF549" i="2"/>
  <c r="AF550" i="2"/>
  <c r="AN550" i="2" s="1"/>
  <c r="AQ550" i="2" s="1"/>
  <c r="AF551" i="2"/>
  <c r="AF552" i="2"/>
  <c r="AN552" i="2" s="1"/>
  <c r="AQ552" i="2" s="1"/>
  <c r="AF553" i="2"/>
  <c r="AN553" i="2" s="1"/>
  <c r="AQ553" i="2" s="1"/>
  <c r="AF554" i="2"/>
  <c r="AN554" i="2" s="1"/>
  <c r="AQ554" i="2" s="1"/>
  <c r="AF555" i="2"/>
  <c r="AF556" i="2"/>
  <c r="AN556" i="2" s="1"/>
  <c r="AQ556" i="2" s="1"/>
  <c r="AF557" i="2"/>
  <c r="AF558" i="2"/>
  <c r="AN558" i="2" s="1"/>
  <c r="AQ558" i="2" s="1"/>
  <c r="AF559" i="2"/>
  <c r="AF560" i="2"/>
  <c r="AN560" i="2" s="1"/>
  <c r="AQ560" i="2" s="1"/>
  <c r="AF561" i="2"/>
  <c r="AN561" i="2" s="1"/>
  <c r="AQ561" i="2" s="1"/>
  <c r="AF562" i="2"/>
  <c r="AN562" i="2" s="1"/>
  <c r="AQ562" i="2" s="1"/>
  <c r="AF563" i="2"/>
  <c r="AF564" i="2"/>
  <c r="AN564" i="2" s="1"/>
  <c r="AQ564" i="2" s="1"/>
  <c r="AF565" i="2"/>
  <c r="AF566" i="2"/>
  <c r="AN566" i="2" s="1"/>
  <c r="AQ566" i="2" s="1"/>
  <c r="AF567" i="2"/>
  <c r="AN567" i="2" s="1"/>
  <c r="AQ567" i="2" s="1"/>
  <c r="AF568" i="2"/>
  <c r="AN568" i="2" s="1"/>
  <c r="AQ568" i="2" s="1"/>
  <c r="AF569" i="2"/>
  <c r="AN569" i="2" s="1"/>
  <c r="AQ569" i="2" s="1"/>
  <c r="AF570" i="2"/>
  <c r="AN570" i="2" s="1"/>
  <c r="AF571" i="2"/>
  <c r="AF572" i="2"/>
  <c r="AN572" i="2" s="1"/>
  <c r="AQ572" i="2" s="1"/>
  <c r="AF573" i="2"/>
  <c r="AF574" i="2"/>
  <c r="AN574" i="2" s="1"/>
  <c r="AQ574" i="2" s="1"/>
  <c r="AF575" i="2"/>
  <c r="AN575" i="2" s="1"/>
  <c r="AQ575" i="2" s="1"/>
  <c r="AF576" i="2"/>
  <c r="AN576" i="2" s="1"/>
  <c r="AQ576" i="2" s="1"/>
  <c r="AF577" i="2"/>
  <c r="AN577" i="2" s="1"/>
  <c r="AQ577" i="2" s="1"/>
  <c r="AF578" i="2"/>
  <c r="AN578" i="2" s="1"/>
  <c r="AQ578" i="2" s="1"/>
  <c r="AF579" i="2"/>
  <c r="AN579" i="2" s="1"/>
  <c r="AQ579" i="2" s="1"/>
  <c r="AF580" i="2"/>
  <c r="AN580" i="2" s="1"/>
  <c r="AQ580" i="2" s="1"/>
  <c r="AF581" i="2"/>
  <c r="AF582" i="2"/>
  <c r="AN582" i="2" s="1"/>
  <c r="AF583" i="2"/>
  <c r="AN583" i="2" s="1"/>
  <c r="AQ583" i="2" s="1"/>
  <c r="AF584" i="2"/>
  <c r="AN584" i="2" s="1"/>
  <c r="AQ584" i="2" s="1"/>
  <c r="AF585" i="2"/>
  <c r="AN585" i="2" s="1"/>
  <c r="AQ585" i="2" s="1"/>
  <c r="AF586" i="2"/>
  <c r="AN586" i="2" s="1"/>
  <c r="AQ586" i="2" s="1"/>
  <c r="AF587" i="2"/>
  <c r="AF588" i="2"/>
  <c r="AN588" i="2" s="1"/>
  <c r="AQ588" i="2" s="1"/>
  <c r="AF589" i="2"/>
  <c r="AF590" i="2"/>
  <c r="AN590" i="2" s="1"/>
  <c r="AQ590" i="2" s="1"/>
  <c r="AF591" i="2"/>
  <c r="AN591" i="2" s="1"/>
  <c r="AQ591" i="2" s="1"/>
  <c r="AF592" i="2"/>
  <c r="AN592" i="2" s="1"/>
  <c r="AF593" i="2"/>
  <c r="AN593" i="2" s="1"/>
  <c r="AF594" i="2"/>
  <c r="AN594" i="2" s="1"/>
  <c r="AQ594" i="2" s="1"/>
  <c r="AF595" i="2"/>
  <c r="AN595" i="2" s="1"/>
  <c r="AQ595" i="2" s="1"/>
  <c r="AF596" i="2"/>
  <c r="AN596" i="2" s="1"/>
  <c r="AQ596" i="2" s="1"/>
  <c r="AF597" i="2"/>
  <c r="AN597" i="2" s="1"/>
  <c r="AQ597" i="2" s="1"/>
  <c r="AF598" i="2"/>
  <c r="AN598" i="2" s="1"/>
  <c r="AQ598" i="2" s="1"/>
  <c r="AF599" i="2"/>
  <c r="AN599" i="2" s="1"/>
  <c r="AQ599" i="2" s="1"/>
  <c r="AF600" i="2"/>
  <c r="AN600" i="2" s="1"/>
  <c r="AQ600" i="2" s="1"/>
  <c r="AF601" i="2"/>
  <c r="AN601" i="2" s="1"/>
  <c r="AQ601" i="2" s="1"/>
  <c r="AF602" i="2"/>
  <c r="AN602" i="2" s="1"/>
  <c r="AQ602" i="2" s="1"/>
  <c r="AF603" i="2"/>
  <c r="AF604" i="2"/>
  <c r="AN604" i="2" s="1"/>
  <c r="AQ604" i="2" s="1"/>
  <c r="AF605" i="2"/>
  <c r="AN605" i="2" s="1"/>
  <c r="AQ605" i="2" s="1"/>
  <c r="AF606" i="2"/>
  <c r="AN606" i="2" s="1"/>
  <c r="AF607" i="2"/>
  <c r="AN607" i="2" s="1"/>
  <c r="AQ607" i="2" s="1"/>
  <c r="AF608" i="2"/>
  <c r="AN608" i="2" s="1"/>
  <c r="AQ608" i="2" s="1"/>
  <c r="AF609" i="2"/>
  <c r="AN609" i="2" s="1"/>
  <c r="AQ609" i="2" s="1"/>
  <c r="AF610" i="2"/>
  <c r="AN610" i="2" s="1"/>
  <c r="AQ610" i="2" s="1"/>
  <c r="AF611" i="2"/>
  <c r="AF612" i="2"/>
  <c r="AN612" i="2" s="1"/>
  <c r="AQ612" i="2" s="1"/>
  <c r="AF613" i="2"/>
  <c r="AN613" i="2" s="1"/>
  <c r="AQ613" i="2" s="1"/>
  <c r="AF614" i="2"/>
  <c r="AN614" i="2" s="1"/>
  <c r="AQ614" i="2" s="1"/>
  <c r="AF615" i="2"/>
  <c r="AN615" i="2" s="1"/>
  <c r="AQ615" i="2" s="1"/>
  <c r="AF616" i="2"/>
  <c r="AN616" i="2" s="1"/>
  <c r="AQ616" i="2" s="1"/>
  <c r="AF617" i="2"/>
  <c r="AN617" i="2" s="1"/>
  <c r="AQ617" i="2" s="1"/>
  <c r="AF618" i="2"/>
  <c r="AN618" i="2" s="1"/>
  <c r="AQ618" i="2" s="1"/>
  <c r="AF619" i="2"/>
  <c r="AN619" i="2" s="1"/>
  <c r="AQ619" i="2" s="1"/>
  <c r="AF620" i="2"/>
  <c r="AN620" i="2" s="1"/>
  <c r="AQ620" i="2" s="1"/>
  <c r="AF621" i="2"/>
  <c r="AF622" i="2"/>
  <c r="AN622" i="2" s="1"/>
  <c r="AF623" i="2"/>
  <c r="AN623" i="2" s="1"/>
  <c r="AQ623" i="2" s="1"/>
  <c r="AF624" i="2"/>
  <c r="AN624" i="2" s="1"/>
  <c r="AF625" i="2"/>
  <c r="AN625" i="2" s="1"/>
  <c r="AQ625" i="2" s="1"/>
  <c r="AF626" i="2"/>
  <c r="AN626" i="2" s="1"/>
  <c r="AQ626" i="2" s="1"/>
  <c r="AF627" i="2"/>
  <c r="AF628" i="2"/>
  <c r="AN628" i="2" s="1"/>
  <c r="AQ628" i="2" s="1"/>
  <c r="AF629" i="2"/>
  <c r="AF630" i="2"/>
  <c r="AN630" i="2" s="1"/>
  <c r="AQ630" i="2" s="1"/>
  <c r="AF631" i="2"/>
  <c r="AF632" i="2"/>
  <c r="AN632" i="2" s="1"/>
  <c r="AF633" i="2"/>
  <c r="AN633" i="2" s="1"/>
  <c r="AQ633" i="2" s="1"/>
  <c r="AF634" i="2"/>
  <c r="AN634" i="2" s="1"/>
  <c r="AQ634" i="2" s="1"/>
  <c r="AF635" i="2"/>
  <c r="AN635" i="2" s="1"/>
  <c r="AQ635" i="2" s="1"/>
  <c r="AF636" i="2"/>
  <c r="AN636" i="2" s="1"/>
  <c r="AQ636" i="2" s="1"/>
  <c r="AF637" i="2"/>
  <c r="AF638" i="2"/>
  <c r="AN638" i="2" s="1"/>
  <c r="AQ638" i="2" s="1"/>
  <c r="AF639" i="2"/>
  <c r="AN639" i="2" s="1"/>
  <c r="AQ639" i="2" s="1"/>
  <c r="AF640" i="2"/>
  <c r="AN640" i="2" s="1"/>
  <c r="AQ640" i="2" s="1"/>
  <c r="AF641" i="2"/>
  <c r="AN641" i="2" s="1"/>
  <c r="AQ641" i="2" s="1"/>
  <c r="AF642" i="2"/>
  <c r="AN642" i="2" s="1"/>
  <c r="AQ642" i="2" s="1"/>
  <c r="AF643" i="2"/>
  <c r="AN643" i="2" s="1"/>
  <c r="AQ643" i="2" s="1"/>
  <c r="AF644" i="2"/>
  <c r="AN644" i="2" s="1"/>
  <c r="AQ644" i="2" s="1"/>
  <c r="AF645" i="2"/>
  <c r="AN645" i="2" s="1"/>
  <c r="AQ645" i="2" s="1"/>
  <c r="AF646" i="2"/>
  <c r="AN646" i="2" s="1"/>
  <c r="AQ646" i="2" s="1"/>
  <c r="AF647" i="2"/>
  <c r="AF648" i="2"/>
  <c r="AN648" i="2" s="1"/>
  <c r="AQ648" i="2" s="1"/>
  <c r="AF649" i="2"/>
  <c r="AN649" i="2" s="1"/>
  <c r="AF650" i="2"/>
  <c r="AN650" i="2" s="1"/>
  <c r="AQ650" i="2" s="1"/>
  <c r="AF651" i="2"/>
  <c r="AN651" i="2" s="1"/>
  <c r="AQ651" i="2" s="1"/>
  <c r="AF652" i="2"/>
  <c r="AN652" i="2" s="1"/>
  <c r="AQ652" i="2" s="1"/>
  <c r="AF653" i="2"/>
  <c r="AF654" i="2"/>
  <c r="AN654" i="2" s="1"/>
  <c r="AQ654" i="2" s="1"/>
  <c r="AF655" i="2"/>
  <c r="AN655" i="2" s="1"/>
  <c r="AQ655" i="2" s="1"/>
  <c r="AF656" i="2"/>
  <c r="AN656" i="2" s="1"/>
  <c r="AQ656" i="2" s="1"/>
  <c r="AF657" i="2"/>
  <c r="AN657" i="2" s="1"/>
  <c r="AQ657" i="2" s="1"/>
  <c r="AF658" i="2"/>
  <c r="AN658" i="2" s="1"/>
  <c r="AQ658" i="2" s="1"/>
  <c r="AF659" i="2"/>
  <c r="AF660" i="2"/>
  <c r="AN660" i="2" s="1"/>
  <c r="AQ660" i="2" s="1"/>
  <c r="AF661" i="2"/>
  <c r="AF662" i="2"/>
  <c r="AN662" i="2" s="1"/>
  <c r="AQ662" i="2" s="1"/>
  <c r="AF663" i="2"/>
  <c r="AN663" i="2" s="1"/>
  <c r="AQ663" i="2" s="1"/>
  <c r="AF664" i="2"/>
  <c r="AN664" i="2" s="1"/>
  <c r="AQ664" i="2" s="1"/>
  <c r="AF665" i="2"/>
  <c r="AN665" i="2" s="1"/>
  <c r="AQ665" i="2" s="1"/>
  <c r="AF666" i="2"/>
  <c r="AN666" i="2" s="1"/>
  <c r="AQ666" i="2" s="1"/>
  <c r="AF667" i="2"/>
  <c r="AN667" i="2" s="1"/>
  <c r="AQ667" i="2" s="1"/>
  <c r="AF668" i="2"/>
  <c r="AN668" i="2" s="1"/>
  <c r="AQ668" i="2" s="1"/>
  <c r="AF669" i="2"/>
  <c r="AF670" i="2"/>
  <c r="AN670" i="2" s="1"/>
  <c r="AQ670" i="2" s="1"/>
  <c r="AF671" i="2"/>
  <c r="AN671" i="2" s="1"/>
  <c r="AQ671" i="2" s="1"/>
  <c r="AF672" i="2"/>
  <c r="AN672" i="2" s="1"/>
  <c r="AF673" i="2"/>
  <c r="AN673" i="2" s="1"/>
  <c r="AQ673" i="2" s="1"/>
  <c r="AF674" i="2"/>
  <c r="AN674" i="2" s="1"/>
  <c r="AQ674" i="2" s="1"/>
  <c r="AF675" i="2"/>
  <c r="AF676" i="2"/>
  <c r="AN676" i="2" s="1"/>
  <c r="AQ676" i="2" s="1"/>
  <c r="AF677" i="2"/>
  <c r="AF678" i="2"/>
  <c r="AN678" i="2" s="1"/>
  <c r="AQ678" i="2" s="1"/>
  <c r="AF679" i="2"/>
  <c r="AF680" i="2"/>
  <c r="AN680" i="2" s="1"/>
  <c r="AF681" i="2"/>
  <c r="AN681" i="2" s="1"/>
  <c r="AF682" i="2"/>
  <c r="AN682" i="2" s="1"/>
  <c r="AQ682" i="2" s="1"/>
  <c r="AF683" i="2"/>
  <c r="AN683" i="2" s="1"/>
  <c r="AQ683" i="2" s="1"/>
  <c r="AF684" i="2"/>
  <c r="AN684" i="2" s="1"/>
  <c r="AQ684" i="2" s="1"/>
  <c r="AF685" i="2"/>
  <c r="AN685" i="2" s="1"/>
  <c r="AQ685" i="2" s="1"/>
  <c r="AF686" i="2"/>
  <c r="AN686" i="2" s="1"/>
  <c r="AQ686" i="2" s="1"/>
  <c r="AF687" i="2"/>
  <c r="AN687" i="2" s="1"/>
  <c r="AQ687" i="2" s="1"/>
  <c r="AF688" i="2"/>
  <c r="AN688" i="2" s="1"/>
  <c r="AQ688" i="2" s="1"/>
  <c r="AF689" i="2"/>
  <c r="AN689" i="2" s="1"/>
  <c r="AQ689" i="2" s="1"/>
  <c r="AF690" i="2"/>
  <c r="AN690" i="2" s="1"/>
  <c r="AQ690" i="2" s="1"/>
  <c r="AF691" i="2"/>
  <c r="AF692" i="2"/>
  <c r="AN692" i="2" s="1"/>
  <c r="AQ692" i="2" s="1"/>
  <c r="AF693" i="2"/>
  <c r="AF694" i="2"/>
  <c r="AN694" i="2" s="1"/>
  <c r="AQ694" i="2" s="1"/>
  <c r="AF695" i="2"/>
  <c r="AN695" i="2" s="1"/>
  <c r="AQ695" i="2" s="1"/>
  <c r="AF696" i="2"/>
  <c r="AN696" i="2" s="1"/>
  <c r="AQ696" i="2" s="1"/>
  <c r="AF697" i="2"/>
  <c r="AN697" i="2" s="1"/>
  <c r="AQ697" i="2" s="1"/>
  <c r="AF698" i="2"/>
  <c r="AN698" i="2" s="1"/>
  <c r="AF699" i="2"/>
  <c r="AF700" i="2"/>
  <c r="AN700" i="2" s="1"/>
  <c r="AQ700" i="2" s="1"/>
  <c r="AF701" i="2"/>
  <c r="AN701" i="2" s="1"/>
  <c r="AQ701" i="2" s="1"/>
  <c r="AF702" i="2"/>
  <c r="AN702" i="2" s="1"/>
  <c r="AQ702" i="2" s="1"/>
  <c r="AF703" i="2"/>
  <c r="AN703" i="2" s="1"/>
  <c r="AQ703" i="2" s="1"/>
  <c r="AF704" i="2"/>
  <c r="AN704" i="2" s="1"/>
  <c r="AQ704" i="2" s="1"/>
  <c r="AF705" i="2"/>
  <c r="AN705" i="2" s="1"/>
  <c r="AQ705" i="2" s="1"/>
  <c r="AF706" i="2"/>
  <c r="AN706" i="2" s="1"/>
  <c r="AQ706" i="2" s="1"/>
  <c r="AF707" i="2"/>
  <c r="AN707" i="2" s="1"/>
  <c r="AQ707" i="2" s="1"/>
  <c r="AF708" i="2"/>
  <c r="AN708" i="2" s="1"/>
  <c r="AQ708" i="2" s="1"/>
  <c r="AF709" i="2"/>
  <c r="AN709" i="2" s="1"/>
  <c r="AQ709" i="2" s="1"/>
  <c r="AF710" i="2"/>
  <c r="AN710" i="2" s="1"/>
  <c r="AF711" i="2"/>
  <c r="AN711" i="2" s="1"/>
  <c r="AQ711" i="2" s="1"/>
  <c r="AF712" i="2"/>
  <c r="AN712" i="2" s="1"/>
  <c r="AF713" i="2"/>
  <c r="AN713" i="2" s="1"/>
  <c r="AQ713" i="2" s="1"/>
  <c r="AF714" i="2"/>
  <c r="AN714" i="2" s="1"/>
  <c r="AQ714" i="2" s="1"/>
  <c r="AF715" i="2"/>
  <c r="AF716" i="2"/>
  <c r="AN716" i="2" s="1"/>
  <c r="AQ716" i="2" s="1"/>
  <c r="AF717" i="2"/>
  <c r="AN717" i="2" s="1"/>
  <c r="AQ717" i="2" s="1"/>
  <c r="AF718" i="2"/>
  <c r="AN718" i="2" s="1"/>
  <c r="AQ718" i="2" s="1"/>
  <c r="AF719" i="2"/>
  <c r="AN719" i="2" s="1"/>
  <c r="AQ719" i="2" s="1"/>
  <c r="AF720" i="2"/>
  <c r="AN720" i="2" s="1"/>
  <c r="AQ720" i="2" s="1"/>
  <c r="AF721" i="2"/>
  <c r="AN721" i="2" s="1"/>
  <c r="AQ721" i="2" s="1"/>
  <c r="AF722" i="2"/>
  <c r="AN722" i="2" s="1"/>
  <c r="AQ722" i="2" s="1"/>
  <c r="AF723" i="2"/>
  <c r="AN723" i="2" s="1"/>
  <c r="AQ723" i="2" s="1"/>
  <c r="AF724" i="2"/>
  <c r="AN724" i="2" s="1"/>
  <c r="AQ724" i="2" s="1"/>
  <c r="AF725" i="2"/>
  <c r="AN725" i="2" s="1"/>
  <c r="AQ725" i="2" s="1"/>
  <c r="AF726" i="2"/>
  <c r="AN726" i="2" s="1"/>
  <c r="AQ726" i="2" s="1"/>
  <c r="AF727" i="2"/>
  <c r="AN727" i="2" s="1"/>
  <c r="AQ727" i="2" s="1"/>
  <c r="AF728" i="2"/>
  <c r="AN728" i="2" s="1"/>
  <c r="AQ728" i="2" s="1"/>
  <c r="AF729" i="2"/>
  <c r="AN729" i="2" s="1"/>
  <c r="AQ729" i="2" s="1"/>
  <c r="AF730" i="2"/>
  <c r="AN730" i="2" s="1"/>
  <c r="AQ730" i="2" s="1"/>
  <c r="AF731" i="2"/>
  <c r="AF732" i="2"/>
  <c r="AN732" i="2" s="1"/>
  <c r="AQ732" i="2" s="1"/>
  <c r="AF733" i="2"/>
  <c r="AN733" i="2" s="1"/>
  <c r="AQ733" i="2" s="1"/>
  <c r="AF734" i="2"/>
  <c r="AN734" i="2" s="1"/>
  <c r="AQ734" i="2" s="1"/>
  <c r="AF735" i="2"/>
  <c r="AN735" i="2" s="1"/>
  <c r="AQ735" i="2" s="1"/>
  <c r="AF736" i="2"/>
  <c r="AN736" i="2" s="1"/>
  <c r="AQ736" i="2" s="1"/>
  <c r="AF737" i="2"/>
  <c r="AN737" i="2" s="1"/>
  <c r="AQ737" i="2" s="1"/>
  <c r="AF738" i="2"/>
  <c r="AN738" i="2" s="1"/>
  <c r="AQ738" i="2" s="1"/>
  <c r="AF739" i="2"/>
  <c r="AN739" i="2" s="1"/>
  <c r="AQ739" i="2" s="1"/>
  <c r="AF740" i="2"/>
  <c r="AN740" i="2" s="1"/>
  <c r="AQ740" i="2" s="1"/>
  <c r="AF741" i="2"/>
  <c r="AN741" i="2" s="1"/>
  <c r="AQ741" i="2" s="1"/>
  <c r="AF742" i="2"/>
  <c r="AN742" i="2" s="1"/>
  <c r="AQ742" i="2" s="1"/>
  <c r="AF743" i="2"/>
  <c r="AN743" i="2" s="1"/>
  <c r="AQ743" i="2" s="1"/>
  <c r="AF744" i="2"/>
  <c r="AN744" i="2" s="1"/>
  <c r="AF745" i="2"/>
  <c r="AN745" i="2" s="1"/>
  <c r="AQ745" i="2" s="1"/>
  <c r="AF746" i="2"/>
  <c r="AF747" i="2"/>
  <c r="AN747" i="2" s="1"/>
  <c r="AQ747" i="2" s="1"/>
  <c r="AF748" i="2"/>
  <c r="AN748" i="2" s="1"/>
  <c r="AQ748" i="2" s="1"/>
  <c r="AF749" i="2"/>
  <c r="AF750" i="2"/>
  <c r="AN750" i="2" s="1"/>
  <c r="AQ750" i="2" s="1"/>
  <c r="AF751" i="2"/>
  <c r="AN751" i="2" s="1"/>
  <c r="AQ751" i="2" s="1"/>
  <c r="AF752" i="2"/>
  <c r="AN752" i="2" s="1"/>
  <c r="AF753" i="2"/>
  <c r="AN753" i="2" s="1"/>
  <c r="AF754" i="2"/>
  <c r="AN754" i="2" s="1"/>
  <c r="AQ754" i="2" s="1"/>
  <c r="AF755" i="2"/>
  <c r="AN755" i="2" s="1"/>
  <c r="AQ755" i="2" s="1"/>
  <c r="AF756" i="2"/>
  <c r="AN756" i="2" s="1"/>
  <c r="AQ756" i="2" s="1"/>
  <c r="AF757" i="2"/>
  <c r="AN757" i="2" s="1"/>
  <c r="AQ757" i="2" s="1"/>
  <c r="AF758" i="2"/>
  <c r="AN758" i="2" s="1"/>
  <c r="AQ758" i="2" s="1"/>
  <c r="AF759" i="2"/>
  <c r="AN759" i="2" s="1"/>
  <c r="AQ759" i="2" s="1"/>
  <c r="AF760" i="2"/>
  <c r="AN760" i="2" s="1"/>
  <c r="AQ760" i="2" s="1"/>
  <c r="AF761" i="2"/>
  <c r="AN761" i="2" s="1"/>
  <c r="AQ761" i="2" s="1"/>
  <c r="AF762" i="2"/>
  <c r="AN762" i="2" s="1"/>
  <c r="AQ762" i="2" s="1"/>
  <c r="AF763" i="2"/>
  <c r="AN763" i="2" s="1"/>
  <c r="AQ763" i="2" s="1"/>
  <c r="AF764" i="2"/>
  <c r="AN764" i="2" s="1"/>
  <c r="AQ764" i="2" s="1"/>
  <c r="AF765" i="2"/>
  <c r="AF766" i="2"/>
  <c r="AN766" i="2" s="1"/>
  <c r="AQ766" i="2" s="1"/>
  <c r="AF767" i="2"/>
  <c r="AN767" i="2" s="1"/>
  <c r="AQ767" i="2" s="1"/>
  <c r="AF768" i="2"/>
  <c r="AN768" i="2" s="1"/>
  <c r="AQ768" i="2" s="1"/>
  <c r="AF769" i="2"/>
  <c r="AN769" i="2" s="1"/>
  <c r="AQ769" i="2" s="1"/>
  <c r="AF770" i="2"/>
  <c r="AN770" i="2" s="1"/>
  <c r="AQ770" i="2" s="1"/>
  <c r="AF771" i="2"/>
  <c r="AF772" i="2"/>
  <c r="AN772" i="2" s="1"/>
  <c r="AQ772" i="2" s="1"/>
  <c r="AF773" i="2"/>
  <c r="AF774" i="2"/>
  <c r="AN774" i="2" s="1"/>
  <c r="AF775" i="2"/>
  <c r="AN775" i="2" s="1"/>
  <c r="AQ775" i="2" s="1"/>
  <c r="AF776" i="2"/>
  <c r="AN776" i="2" s="1"/>
  <c r="AF777" i="2"/>
  <c r="AN777" i="2" s="1"/>
  <c r="AQ777" i="2" s="1"/>
  <c r="AF778" i="2"/>
  <c r="AN778" i="2" s="1"/>
  <c r="AQ778" i="2" s="1"/>
  <c r="AF779" i="2"/>
  <c r="AN779" i="2" s="1"/>
  <c r="AQ779" i="2" s="1"/>
  <c r="AF780" i="2"/>
  <c r="AN780" i="2" s="1"/>
  <c r="AQ780" i="2" s="1"/>
  <c r="AF781" i="2"/>
  <c r="AN781" i="2" s="1"/>
  <c r="AQ781" i="2" s="1"/>
  <c r="AF782" i="2"/>
  <c r="AN782" i="2" s="1"/>
  <c r="AQ782" i="2" s="1"/>
  <c r="AF783" i="2"/>
  <c r="AN783" i="2" s="1"/>
  <c r="AQ783" i="2" s="1"/>
  <c r="AF784" i="2"/>
  <c r="AN784" i="2" s="1"/>
  <c r="AQ784" i="2" s="1"/>
  <c r="AF785" i="2"/>
  <c r="AN785" i="2" s="1"/>
  <c r="AQ785" i="2" s="1"/>
  <c r="AF786" i="2"/>
  <c r="AN786" i="2" s="1"/>
  <c r="AQ786" i="2" s="1"/>
  <c r="AF787" i="2"/>
  <c r="AF788" i="2"/>
  <c r="AN788" i="2" s="1"/>
  <c r="AQ788" i="2" s="1"/>
  <c r="AF789" i="2"/>
  <c r="AN789" i="2" s="1"/>
  <c r="AQ789" i="2" s="1"/>
  <c r="AF790" i="2"/>
  <c r="AN790" i="2" s="1"/>
  <c r="AQ790" i="2" s="1"/>
  <c r="AF791" i="2"/>
  <c r="AN791" i="2" s="1"/>
  <c r="AQ791" i="2" s="1"/>
  <c r="AF792" i="2"/>
  <c r="AN792" i="2" s="1"/>
  <c r="AQ792" i="2" s="1"/>
  <c r="AF793" i="2"/>
  <c r="AN793" i="2" s="1"/>
  <c r="AQ793" i="2" s="1"/>
  <c r="AF794" i="2"/>
  <c r="AN794" i="2" s="1"/>
  <c r="AQ794" i="2" s="1"/>
  <c r="AF795" i="2"/>
  <c r="AN795" i="2" s="1"/>
  <c r="AQ795" i="2" s="1"/>
  <c r="AF796" i="2"/>
  <c r="AN796" i="2" s="1"/>
  <c r="AQ796" i="2" s="1"/>
  <c r="AF797" i="2"/>
  <c r="AF798" i="2"/>
  <c r="AN798" i="2" s="1"/>
  <c r="AF799" i="2"/>
  <c r="AN799" i="2" s="1"/>
  <c r="AQ799" i="2" s="1"/>
  <c r="AF800" i="2"/>
  <c r="AN800" i="2" s="1"/>
  <c r="AQ800" i="2" s="1"/>
  <c r="AF801" i="2"/>
  <c r="AN801" i="2" s="1"/>
  <c r="AF802" i="2"/>
  <c r="AN802" i="2" s="1"/>
  <c r="AQ802" i="2" s="1"/>
  <c r="AF803" i="2"/>
  <c r="AN803" i="2" s="1"/>
  <c r="AQ803" i="2" s="1"/>
  <c r="AF804" i="2"/>
  <c r="AN804" i="2" s="1"/>
  <c r="AQ804" i="2" s="1"/>
  <c r="AF805" i="2"/>
  <c r="AF806" i="2"/>
  <c r="AN806" i="2" s="1"/>
  <c r="AQ806" i="2" s="1"/>
  <c r="AF807" i="2"/>
  <c r="AN807" i="2" s="1"/>
  <c r="AQ807" i="2" s="1"/>
  <c r="AF808" i="2"/>
  <c r="AN808" i="2" s="1"/>
  <c r="AF809" i="2"/>
  <c r="AN809" i="2" s="1"/>
  <c r="AQ809" i="2" s="1"/>
  <c r="AF810" i="2"/>
  <c r="AN810" i="2" s="1"/>
  <c r="AQ810" i="2" s="1"/>
  <c r="AF811" i="2"/>
  <c r="AF812" i="2"/>
  <c r="AN812" i="2" s="1"/>
  <c r="AQ812" i="2" s="1"/>
  <c r="AF813" i="2"/>
  <c r="AN813" i="2" s="1"/>
  <c r="AQ813" i="2" s="1"/>
  <c r="AF814" i="2"/>
  <c r="AN814" i="2" s="1"/>
  <c r="AQ814" i="2" s="1"/>
  <c r="AF815" i="2"/>
  <c r="AF816" i="2"/>
  <c r="AN816" i="2" s="1"/>
  <c r="AF817" i="2"/>
  <c r="AN817" i="2" s="1"/>
  <c r="AQ817" i="2" s="1"/>
  <c r="AF818" i="2"/>
  <c r="AN818" i="2" s="1"/>
  <c r="AQ818" i="2" s="1"/>
  <c r="AF819" i="2"/>
  <c r="AN819" i="2" s="1"/>
  <c r="AQ819" i="2" s="1"/>
  <c r="AF820" i="2"/>
  <c r="AN820" i="2" s="1"/>
  <c r="AQ820" i="2" s="1"/>
  <c r="AF821" i="2"/>
  <c r="AN821" i="2" s="1"/>
  <c r="AQ821" i="2" s="1"/>
  <c r="AF822" i="2"/>
  <c r="AN822" i="2" s="1"/>
  <c r="AQ822" i="2" s="1"/>
  <c r="AF823" i="2"/>
  <c r="AN823" i="2" s="1"/>
  <c r="AQ823" i="2" s="1"/>
  <c r="AF824" i="2"/>
  <c r="AN824" i="2" s="1"/>
  <c r="AQ824" i="2" s="1"/>
  <c r="AF825" i="2"/>
  <c r="AN825" i="2" s="1"/>
  <c r="AF826" i="2"/>
  <c r="AN826" i="2" s="1"/>
  <c r="AQ826" i="2" s="1"/>
  <c r="AF827" i="2"/>
  <c r="AN827" i="2" s="1"/>
  <c r="AQ827" i="2" s="1"/>
  <c r="AF828" i="2"/>
  <c r="AN828" i="2" s="1"/>
  <c r="AQ828" i="2" s="1"/>
  <c r="AF829" i="2"/>
  <c r="AN829" i="2" s="1"/>
  <c r="AQ829" i="2" s="1"/>
  <c r="AF830" i="2"/>
  <c r="AN830" i="2" s="1"/>
  <c r="AF831" i="2"/>
  <c r="AF832" i="2"/>
  <c r="AN832" i="2" s="1"/>
  <c r="AQ832" i="2" s="1"/>
  <c r="AF833" i="2"/>
  <c r="AN833" i="2" s="1"/>
  <c r="AQ833" i="2" s="1"/>
  <c r="AF834" i="2"/>
  <c r="AN834" i="2" s="1"/>
  <c r="AQ834" i="2" s="1"/>
  <c r="AF835" i="2"/>
  <c r="AN835" i="2" s="1"/>
  <c r="AQ835" i="2" s="1"/>
  <c r="AF836" i="2"/>
  <c r="AN836" i="2" s="1"/>
  <c r="AQ836" i="2" s="1"/>
  <c r="AF837" i="2"/>
  <c r="AF838" i="2"/>
  <c r="AN838" i="2" s="1"/>
  <c r="AQ838" i="2" s="1"/>
  <c r="AF839" i="2"/>
  <c r="AN839" i="2" s="1"/>
  <c r="AQ839" i="2" s="1"/>
  <c r="AF840" i="2"/>
  <c r="AN840" i="2" s="1"/>
  <c r="AF841" i="2"/>
  <c r="AN841" i="2" s="1"/>
  <c r="AQ841" i="2" s="1"/>
  <c r="AF842" i="2"/>
  <c r="AN842" i="2" s="1"/>
  <c r="AQ842" i="2" s="1"/>
  <c r="AF843" i="2"/>
  <c r="AN843" i="2" s="1"/>
  <c r="AQ843" i="2" s="1"/>
  <c r="AF844" i="2"/>
  <c r="AN844" i="2" s="1"/>
  <c r="AQ844" i="2" s="1"/>
  <c r="AF845" i="2"/>
  <c r="AN845" i="2" s="1"/>
  <c r="AQ845" i="2" s="1"/>
  <c r="AF846" i="2"/>
  <c r="AN846" i="2" s="1"/>
  <c r="AQ846" i="2" s="1"/>
  <c r="AF847" i="2"/>
  <c r="AN847" i="2" s="1"/>
  <c r="AQ847" i="2" s="1"/>
  <c r="AF848" i="2"/>
  <c r="AN848" i="2" s="1"/>
  <c r="AF849" i="2"/>
  <c r="AN849" i="2" s="1"/>
  <c r="AF850" i="2"/>
  <c r="AN850" i="2" s="1"/>
  <c r="AQ850" i="2" s="1"/>
  <c r="AF851" i="2"/>
  <c r="AN851" i="2" s="1"/>
  <c r="AQ851" i="2" s="1"/>
  <c r="AF852" i="2"/>
  <c r="AN852" i="2" s="1"/>
  <c r="AQ852" i="2" s="1"/>
  <c r="AF853" i="2"/>
  <c r="AF854" i="2"/>
  <c r="AN854" i="2" s="1"/>
  <c r="AQ854" i="2" s="1"/>
  <c r="AF855" i="2"/>
  <c r="AF856" i="2"/>
  <c r="AN856" i="2" s="1"/>
  <c r="AQ856" i="2" s="1"/>
  <c r="AF857" i="2"/>
  <c r="AN857" i="2" s="1"/>
  <c r="AQ857" i="2" s="1"/>
  <c r="AF858" i="2"/>
  <c r="AN858" i="2" s="1"/>
  <c r="AQ858" i="2" s="1"/>
  <c r="AF859" i="2"/>
  <c r="AN859" i="2" s="1"/>
  <c r="AQ859" i="2" s="1"/>
  <c r="AF860" i="2"/>
  <c r="AN860" i="2" s="1"/>
  <c r="AQ860" i="2" s="1"/>
  <c r="AF861" i="2"/>
  <c r="AN861" i="2" s="1"/>
  <c r="AQ861" i="2" s="1"/>
  <c r="AF862" i="2"/>
  <c r="AN862" i="2" s="1"/>
  <c r="AQ862" i="2" s="1"/>
  <c r="AF863" i="2"/>
  <c r="AF864" i="2"/>
  <c r="AN864" i="2" s="1"/>
  <c r="AQ864" i="2" s="1"/>
  <c r="AF865" i="2"/>
  <c r="AN865" i="2" s="1"/>
  <c r="AQ865" i="2" s="1"/>
  <c r="AF866" i="2"/>
  <c r="AN866" i="2" s="1"/>
  <c r="AQ866" i="2" s="1"/>
  <c r="AF867" i="2"/>
  <c r="AN867" i="2" s="1"/>
  <c r="AQ867" i="2" s="1"/>
  <c r="AF868" i="2"/>
  <c r="AN868" i="2" s="1"/>
  <c r="AQ868" i="2" s="1"/>
  <c r="AF869" i="2"/>
  <c r="AF870" i="2"/>
  <c r="AN870" i="2" s="1"/>
  <c r="AQ870" i="2" s="1"/>
  <c r="AF871" i="2"/>
  <c r="AF872" i="2"/>
  <c r="AN872" i="2" s="1"/>
  <c r="AQ872" i="2" s="1"/>
  <c r="AF873" i="2"/>
  <c r="AN873" i="2" s="1"/>
  <c r="AQ873" i="2" s="1"/>
  <c r="AF874" i="2"/>
  <c r="AN874" i="2" s="1"/>
  <c r="AQ874" i="2" s="1"/>
  <c r="AF875" i="2"/>
  <c r="AN875" i="2" s="1"/>
  <c r="AQ875" i="2" s="1"/>
  <c r="AF876" i="2"/>
  <c r="AN876" i="2" s="1"/>
  <c r="AQ876" i="2" s="1"/>
  <c r="AF877" i="2"/>
  <c r="AN877" i="2" s="1"/>
  <c r="AQ877" i="2" s="1"/>
  <c r="AF878" i="2"/>
  <c r="AN878" i="2" s="1"/>
  <c r="AQ878" i="2" s="1"/>
  <c r="AF879" i="2"/>
  <c r="AN879" i="2" s="1"/>
  <c r="AQ879" i="2" s="1"/>
  <c r="AF880" i="2"/>
  <c r="AN880" i="2" s="1"/>
  <c r="AQ880" i="2" s="1"/>
  <c r="AF881" i="2"/>
  <c r="AN881" i="2" s="1"/>
  <c r="AQ881" i="2" s="1"/>
  <c r="AF882" i="2"/>
  <c r="AN882" i="2" s="1"/>
  <c r="AQ882" i="2" s="1"/>
  <c r="AF883" i="2"/>
  <c r="AN883" i="2" s="1"/>
  <c r="AQ883" i="2" s="1"/>
  <c r="AF884" i="2"/>
  <c r="AN884" i="2" s="1"/>
  <c r="AQ884" i="2" s="1"/>
  <c r="AF885" i="2"/>
  <c r="AN885" i="2" s="1"/>
  <c r="AQ885" i="2" s="1"/>
  <c r="AF886" i="2"/>
  <c r="AN886" i="2" s="1"/>
  <c r="AQ886" i="2" s="1"/>
  <c r="AF887" i="2"/>
  <c r="AN887" i="2" s="1"/>
  <c r="AQ887" i="2" s="1"/>
  <c r="AF888" i="2"/>
  <c r="AN888" i="2" s="1"/>
  <c r="AQ888" i="2" s="1"/>
  <c r="AF889" i="2"/>
  <c r="AN889" i="2" s="1"/>
  <c r="AQ889" i="2" s="1"/>
  <c r="AF890" i="2"/>
  <c r="AN890" i="2" s="1"/>
  <c r="AQ890" i="2" s="1"/>
  <c r="AF891" i="2"/>
  <c r="AN891" i="2" s="1"/>
  <c r="AQ891" i="2" s="1"/>
  <c r="AF892" i="2"/>
  <c r="AN892" i="2" s="1"/>
  <c r="AQ892" i="2" s="1"/>
  <c r="AF893" i="2"/>
  <c r="AN893" i="2" s="1"/>
  <c r="AQ893" i="2" s="1"/>
  <c r="AF894" i="2"/>
  <c r="AN894" i="2" s="1"/>
  <c r="AF895" i="2"/>
  <c r="AN895" i="2" s="1"/>
  <c r="AQ895" i="2" s="1"/>
  <c r="AF896" i="2"/>
  <c r="AN896" i="2" s="1"/>
  <c r="AF897" i="2"/>
  <c r="AN897" i="2" s="1"/>
  <c r="AQ897" i="2" s="1"/>
  <c r="AF898" i="2"/>
  <c r="AN898" i="2" s="1"/>
  <c r="AQ898" i="2" s="1"/>
  <c r="AF899" i="2"/>
  <c r="AN899" i="2" s="1"/>
  <c r="AQ899" i="2" s="1"/>
  <c r="AF900" i="2"/>
  <c r="AN900" i="2" s="1"/>
  <c r="AQ900" i="2" s="1"/>
  <c r="AF901" i="2"/>
  <c r="AF902" i="2"/>
  <c r="AN902" i="2" s="1"/>
  <c r="AQ902" i="2" s="1"/>
  <c r="AF903" i="2"/>
  <c r="AN903" i="2" s="1"/>
  <c r="AQ903" i="2" s="1"/>
  <c r="AF904" i="2"/>
  <c r="AN904" i="2" s="1"/>
  <c r="AF905" i="2"/>
  <c r="AN905" i="2" s="1"/>
  <c r="AQ905" i="2" s="1"/>
  <c r="AF906" i="2"/>
  <c r="AN906" i="2" s="1"/>
  <c r="AQ906" i="2" s="1"/>
  <c r="AF907" i="2"/>
  <c r="AN907" i="2" s="1"/>
  <c r="AQ907" i="2" s="1"/>
  <c r="AF908" i="2"/>
  <c r="AN908" i="2" s="1"/>
  <c r="AQ908" i="2" s="1"/>
  <c r="AF909" i="2"/>
  <c r="AN909" i="2" s="1"/>
  <c r="AQ909" i="2" s="1"/>
  <c r="AF910" i="2"/>
  <c r="AN910" i="2" s="1"/>
  <c r="AQ910" i="2" s="1"/>
  <c r="AF911" i="2"/>
  <c r="AN911" i="2" s="1"/>
  <c r="AQ911" i="2" s="1"/>
  <c r="AF912" i="2"/>
  <c r="AN912" i="2" s="1"/>
  <c r="AQ912" i="2" s="1"/>
  <c r="AF913" i="2"/>
  <c r="AN913" i="2" s="1"/>
  <c r="AQ913" i="2" s="1"/>
  <c r="AF914" i="2"/>
  <c r="AN914" i="2" s="1"/>
  <c r="AQ914" i="2" s="1"/>
  <c r="AF915" i="2"/>
  <c r="AF916" i="2"/>
  <c r="AN916" i="2" s="1"/>
  <c r="AQ916" i="2" s="1"/>
  <c r="AF917" i="2"/>
  <c r="AN917" i="2" s="1"/>
  <c r="AQ917" i="2" s="1"/>
  <c r="AF918" i="2"/>
  <c r="AN918" i="2" s="1"/>
  <c r="AQ918" i="2" s="1"/>
  <c r="AF919" i="2"/>
  <c r="AN919" i="2" s="1"/>
  <c r="AQ919" i="2" s="1"/>
  <c r="AF920" i="2"/>
  <c r="AN920" i="2" s="1"/>
  <c r="AQ920" i="2" s="1"/>
  <c r="AF921" i="2"/>
  <c r="AN921" i="2" s="1"/>
  <c r="AQ921" i="2" s="1"/>
  <c r="AF922" i="2"/>
  <c r="AN922" i="2" s="1"/>
  <c r="AQ922" i="2" s="1"/>
  <c r="AF923" i="2"/>
  <c r="AN923" i="2" s="1"/>
  <c r="AQ923" i="2" s="1"/>
  <c r="AF924" i="2"/>
  <c r="AN924" i="2" s="1"/>
  <c r="AQ924" i="2" s="1"/>
  <c r="AF925" i="2"/>
  <c r="AN925" i="2" s="1"/>
  <c r="AQ925" i="2" s="1"/>
  <c r="AF926" i="2"/>
  <c r="AN926" i="2" s="1"/>
  <c r="AF927" i="2"/>
  <c r="AF928" i="2"/>
  <c r="AN928" i="2" s="1"/>
  <c r="AQ928" i="2" s="1"/>
  <c r="AF929" i="2"/>
  <c r="AN929" i="2" s="1"/>
  <c r="AQ929" i="2" s="1"/>
  <c r="AF930" i="2"/>
  <c r="AN930" i="2" s="1"/>
  <c r="AQ930" i="2" s="1"/>
  <c r="AF931" i="2"/>
  <c r="AF932" i="2"/>
  <c r="AN932" i="2" s="1"/>
  <c r="AQ932" i="2" s="1"/>
  <c r="AF933" i="2"/>
  <c r="AF934" i="2"/>
  <c r="AN934" i="2" s="1"/>
  <c r="AQ934" i="2" s="1"/>
  <c r="AF935" i="2"/>
  <c r="AN935" i="2" s="1"/>
  <c r="AQ935" i="2" s="1"/>
  <c r="AF936" i="2"/>
  <c r="AN936" i="2" s="1"/>
  <c r="AF937" i="2"/>
  <c r="AN937" i="2" s="1"/>
  <c r="AQ937" i="2" s="1"/>
  <c r="AF938" i="2"/>
  <c r="AN938" i="2" s="1"/>
  <c r="AQ938" i="2" s="1"/>
  <c r="AF939" i="2"/>
  <c r="AN939" i="2" s="1"/>
  <c r="AQ939" i="2" s="1"/>
  <c r="AF940" i="2"/>
  <c r="AN940" i="2" s="1"/>
  <c r="AQ940" i="2" s="1"/>
  <c r="AF941" i="2"/>
  <c r="AN941" i="2" s="1"/>
  <c r="AQ941" i="2" s="1"/>
  <c r="AF942" i="2"/>
  <c r="AN942" i="2" s="1"/>
  <c r="AQ942" i="2" s="1"/>
  <c r="AF943" i="2"/>
  <c r="AF944" i="2"/>
  <c r="AN944" i="2" s="1"/>
  <c r="AF945" i="2"/>
  <c r="AN945" i="2" s="1"/>
  <c r="AQ945" i="2" s="1"/>
  <c r="AF946" i="2"/>
  <c r="AN946" i="2" s="1"/>
  <c r="AQ946" i="2" s="1"/>
  <c r="AF947" i="2"/>
  <c r="AN947" i="2" s="1"/>
  <c r="AQ947" i="2" s="1"/>
  <c r="AF948" i="2"/>
  <c r="AN948" i="2" s="1"/>
  <c r="AQ948" i="2" s="1"/>
  <c r="AF949" i="2"/>
  <c r="AF950" i="2"/>
  <c r="AN950" i="2" s="1"/>
  <c r="AQ950" i="2" s="1"/>
  <c r="AF951" i="2"/>
  <c r="AN951" i="2" s="1"/>
  <c r="AQ951" i="2" s="1"/>
  <c r="AF952" i="2"/>
  <c r="AN952" i="2" s="1"/>
  <c r="AQ952" i="2" s="1"/>
  <c r="AF953" i="2"/>
  <c r="AN953" i="2" s="1"/>
  <c r="AQ953" i="2" s="1"/>
  <c r="AF954" i="2"/>
  <c r="AN954" i="2" s="1"/>
  <c r="AQ954" i="2" s="1"/>
  <c r="AF955" i="2"/>
  <c r="AF956" i="2"/>
  <c r="AN956" i="2" s="1"/>
  <c r="AQ956" i="2" s="1"/>
  <c r="AF957" i="2"/>
  <c r="AN957" i="2" s="1"/>
  <c r="AQ957" i="2" s="1"/>
  <c r="AF958" i="2"/>
  <c r="AN958" i="2" s="1"/>
  <c r="AF959" i="2"/>
  <c r="AN959" i="2" s="1"/>
  <c r="AQ959" i="2" s="1"/>
  <c r="AF960" i="2"/>
  <c r="AN960" i="2" s="1"/>
  <c r="AQ960" i="2" s="1"/>
  <c r="AF961" i="2"/>
  <c r="AN961" i="2" s="1"/>
  <c r="AQ961" i="2" s="1"/>
  <c r="AF962" i="2"/>
  <c r="AN962" i="2" s="1"/>
  <c r="AQ962" i="2" s="1"/>
  <c r="AF963" i="2"/>
  <c r="AN963" i="2" s="1"/>
  <c r="AQ963" i="2" s="1"/>
  <c r="AF964" i="2"/>
  <c r="AN964" i="2" s="1"/>
  <c r="AQ964" i="2" s="1"/>
  <c r="AF965" i="2"/>
  <c r="AN965" i="2" s="1"/>
  <c r="AQ965" i="2" s="1"/>
  <c r="AF966" i="2"/>
  <c r="AN966" i="2" s="1"/>
  <c r="AF967" i="2"/>
  <c r="AN967" i="2" s="1"/>
  <c r="AQ967" i="2" s="1"/>
  <c r="AF968" i="2"/>
  <c r="AN968" i="2" s="1"/>
  <c r="AQ968" i="2" s="1"/>
  <c r="AF969" i="2"/>
  <c r="AN969" i="2" s="1"/>
  <c r="AQ969" i="2" s="1"/>
  <c r="AF970" i="2"/>
  <c r="AN970" i="2" s="1"/>
  <c r="AQ970" i="2" s="1"/>
  <c r="AF971" i="2"/>
  <c r="AN971" i="2" s="1"/>
  <c r="AQ971" i="2" s="1"/>
  <c r="AF972" i="2"/>
  <c r="AN972" i="2" s="1"/>
  <c r="AQ972" i="2" s="1"/>
  <c r="AF973" i="2"/>
  <c r="AN973" i="2" s="1"/>
  <c r="AQ973" i="2" s="1"/>
  <c r="AF974" i="2"/>
  <c r="AN974" i="2" s="1"/>
  <c r="AQ974" i="2" s="1"/>
  <c r="AF975" i="2"/>
  <c r="AN975" i="2" s="1"/>
  <c r="AQ975" i="2" s="1"/>
  <c r="AF976" i="2"/>
  <c r="AN976" i="2" s="1"/>
  <c r="AF977" i="2"/>
  <c r="AN977" i="2" s="1"/>
  <c r="AQ977" i="2" s="1"/>
  <c r="AF978" i="2"/>
  <c r="AN978" i="2" s="1"/>
  <c r="AQ978" i="2" s="1"/>
  <c r="AF979" i="2"/>
  <c r="AN979" i="2" s="1"/>
  <c r="AQ979" i="2" s="1"/>
  <c r="AF980" i="2"/>
  <c r="AN980" i="2" s="1"/>
  <c r="AQ980" i="2" s="1"/>
  <c r="AF981" i="2"/>
  <c r="AF982" i="2"/>
  <c r="AN982" i="2" s="1"/>
  <c r="AQ982" i="2" s="1"/>
  <c r="AF983" i="2"/>
  <c r="AN983" i="2" s="1"/>
  <c r="AQ983" i="2" s="1"/>
  <c r="AF984" i="2"/>
  <c r="AN984" i="2" s="1"/>
  <c r="AF985" i="2"/>
  <c r="AN985" i="2" s="1"/>
  <c r="AF986" i="2"/>
  <c r="AN986" i="2" s="1"/>
  <c r="AQ986" i="2" s="1"/>
  <c r="AF987" i="2"/>
  <c r="AN987" i="2" s="1"/>
  <c r="AQ987" i="2" s="1"/>
  <c r="AF988" i="2"/>
  <c r="AN988" i="2" s="1"/>
  <c r="AQ988" i="2" s="1"/>
  <c r="AF989" i="2"/>
  <c r="AF990" i="2"/>
  <c r="AN990" i="2" s="1"/>
  <c r="AQ990" i="2" s="1"/>
  <c r="AF991" i="2"/>
  <c r="AF992" i="2"/>
  <c r="AN992" i="2" s="1"/>
  <c r="AQ992" i="2" s="1"/>
  <c r="AF993" i="2"/>
  <c r="AN993" i="2" s="1"/>
  <c r="AQ993" i="2" s="1"/>
  <c r="AF994" i="2"/>
  <c r="AF995" i="2"/>
  <c r="AN995" i="2" s="1"/>
  <c r="AQ995" i="2" s="1"/>
  <c r="AF996" i="2"/>
  <c r="AN996" i="2" s="1"/>
  <c r="AQ996" i="2" s="1"/>
  <c r="AF997" i="2"/>
  <c r="AF998" i="2"/>
  <c r="AN998" i="2" s="1"/>
  <c r="AQ998" i="2" s="1"/>
  <c r="AF999" i="2"/>
  <c r="AN999" i="2" s="1"/>
  <c r="AQ999" i="2" s="1"/>
  <c r="AF1000" i="2"/>
  <c r="AN1000" i="2" s="1"/>
  <c r="AQ1000" i="2" s="1"/>
  <c r="AF1001" i="2"/>
  <c r="AN1001" i="2" s="1"/>
  <c r="AQ1001" i="2" s="1"/>
  <c r="AF1002" i="2"/>
  <c r="AN1002" i="2" s="1"/>
  <c r="AQ1002" i="2" s="1"/>
  <c r="AF1003" i="2"/>
  <c r="AF1004" i="2"/>
  <c r="AN1004" i="2" s="1"/>
  <c r="AQ1004" i="2" s="1"/>
  <c r="AF1005" i="2"/>
  <c r="AF1006" i="2"/>
  <c r="AN1006" i="2" s="1"/>
  <c r="AQ1006" i="2" s="1"/>
  <c r="AF1007" i="2"/>
  <c r="AN1007" i="2" s="1"/>
  <c r="AQ1007" i="2" s="1"/>
  <c r="AF1008" i="2"/>
  <c r="AN1008" i="2" s="1"/>
  <c r="AQ1008" i="2" s="1"/>
  <c r="AF1009" i="2"/>
  <c r="AN1009" i="2" s="1"/>
  <c r="AF1010" i="2"/>
  <c r="AF1011" i="2"/>
  <c r="AN1011" i="2" s="1"/>
  <c r="AQ1011" i="2" s="1"/>
  <c r="AF1012" i="2"/>
  <c r="AN1012" i="2" s="1"/>
  <c r="AQ1012" i="2" s="1"/>
  <c r="AF1013" i="2"/>
  <c r="AF1014" i="2"/>
  <c r="AN1014" i="2" s="1"/>
  <c r="AQ1014" i="2" s="1"/>
  <c r="AF1015" i="2"/>
  <c r="AN1015" i="2" s="1"/>
  <c r="AQ1015" i="2" s="1"/>
  <c r="AF1016" i="2"/>
  <c r="AN1016" i="2" s="1"/>
  <c r="AQ1016" i="2" s="1"/>
  <c r="AF1017" i="2"/>
  <c r="AN1017" i="2" s="1"/>
  <c r="AQ1017" i="2" s="1"/>
  <c r="AF1018" i="2"/>
  <c r="AN1018" i="2" s="1"/>
  <c r="AQ1018" i="2" s="1"/>
  <c r="AF1019" i="2"/>
  <c r="AF1020" i="2"/>
  <c r="AN1020" i="2" s="1"/>
  <c r="AQ1020" i="2" s="1"/>
  <c r="AF1021" i="2"/>
  <c r="AN1021" i="2" s="1"/>
  <c r="AQ1021" i="2" s="1"/>
  <c r="AF1022" i="2"/>
  <c r="AN1022" i="2" s="1"/>
  <c r="AQ1022" i="2" s="1"/>
  <c r="AF1023" i="2"/>
  <c r="AN1023" i="2" s="1"/>
  <c r="AQ1023" i="2" s="1"/>
  <c r="AF1024" i="2"/>
  <c r="AN1024" i="2" s="1"/>
  <c r="AF1025" i="2"/>
  <c r="AN1025" i="2" s="1"/>
  <c r="AQ1025" i="2" s="1"/>
  <c r="AF1026" i="2"/>
  <c r="AN1026" i="2" s="1"/>
  <c r="AQ1026" i="2" s="1"/>
  <c r="AF1027" i="2"/>
  <c r="AF1028" i="2"/>
  <c r="AN1028" i="2" s="1"/>
  <c r="AQ1028" i="2" s="1"/>
  <c r="AF1029" i="2"/>
  <c r="AN1029" i="2" s="1"/>
  <c r="AQ1029" i="2" s="1"/>
  <c r="AF1030" i="2"/>
  <c r="AN1030" i="2" s="1"/>
  <c r="AQ1030" i="2" s="1"/>
  <c r="AF1031" i="2"/>
  <c r="AF1032" i="2"/>
  <c r="AN1032" i="2" s="1"/>
  <c r="AF1033" i="2"/>
  <c r="AN1033" i="2" s="1"/>
  <c r="AQ1033" i="2" s="1"/>
  <c r="AF1034" i="2"/>
  <c r="AN1034" i="2" s="1"/>
  <c r="AQ1034" i="2" s="1"/>
  <c r="AF1035" i="2"/>
  <c r="AF1036" i="2"/>
  <c r="AN1036" i="2" s="1"/>
  <c r="AQ1036" i="2" s="1"/>
  <c r="AF1037" i="2"/>
  <c r="AN1037" i="2" s="1"/>
  <c r="AQ1037" i="2" s="1"/>
  <c r="AF1038" i="2"/>
  <c r="AN1038" i="2" s="1"/>
  <c r="AQ1038" i="2" s="1"/>
  <c r="AF1039" i="2"/>
  <c r="AN1039" i="2" s="1"/>
  <c r="AQ1039" i="2" s="1"/>
  <c r="AF1040" i="2"/>
  <c r="AN1040" i="2" s="1"/>
  <c r="AQ1040" i="2" s="1"/>
  <c r="AF1041" i="2"/>
  <c r="AN1041" i="2" s="1"/>
  <c r="AQ1041" i="2" s="1"/>
  <c r="AF1042" i="2"/>
  <c r="AN1042" i="2" s="1"/>
  <c r="AQ1042" i="2" s="1"/>
  <c r="AF1043" i="2"/>
  <c r="AN1043" i="2" s="1"/>
  <c r="AQ1043" i="2" s="1"/>
  <c r="AF1044" i="2"/>
  <c r="AN1044" i="2" s="1"/>
  <c r="AQ1044" i="2" s="1"/>
  <c r="AF1045" i="2"/>
  <c r="AF1046" i="2"/>
  <c r="AN1046" i="2" s="1"/>
  <c r="AQ1046" i="2" s="1"/>
  <c r="AF1047" i="2"/>
  <c r="AN1047" i="2" s="1"/>
  <c r="AQ1047" i="2" s="1"/>
  <c r="AF1048" i="2"/>
  <c r="AN1048" i="2" s="1"/>
  <c r="AQ1048" i="2" s="1"/>
  <c r="AF1049" i="2"/>
  <c r="AN1049" i="2" s="1"/>
  <c r="AQ1049" i="2" s="1"/>
  <c r="AF1050" i="2"/>
  <c r="AN1050" i="2" s="1"/>
  <c r="AQ1050" i="2" s="1"/>
  <c r="AF1051" i="2"/>
  <c r="AF1052" i="2"/>
  <c r="AN1052" i="2" s="1"/>
  <c r="AQ1052" i="2" s="1"/>
  <c r="AF1053" i="2"/>
  <c r="AN1053" i="2" s="1"/>
  <c r="AQ1053" i="2" s="1"/>
  <c r="AF1054" i="2"/>
  <c r="AN1054" i="2" s="1"/>
  <c r="AQ1054" i="2" s="1"/>
  <c r="AF1055" i="2"/>
  <c r="AN1055" i="2" s="1"/>
  <c r="AQ1055" i="2" s="1"/>
  <c r="AF1056" i="2"/>
  <c r="AN1056" i="2" s="1"/>
  <c r="AQ1056" i="2" s="1"/>
  <c r="AF1057" i="2"/>
  <c r="AN1057" i="2" s="1"/>
  <c r="AQ1057" i="2" s="1"/>
  <c r="AF1058" i="2"/>
  <c r="AN1058" i="2" s="1"/>
  <c r="AQ1058" i="2" s="1"/>
  <c r="AF1059" i="2"/>
  <c r="AN1059" i="2" s="1"/>
  <c r="AQ1059" i="2" s="1"/>
  <c r="AF1060" i="2"/>
  <c r="AN1060" i="2" s="1"/>
  <c r="AQ1060" i="2" s="1"/>
  <c r="AF1061" i="2"/>
  <c r="AF1062" i="2"/>
  <c r="AN1062" i="2" s="1"/>
  <c r="AQ1062" i="2" s="1"/>
  <c r="AF1063" i="2"/>
  <c r="AN1063" i="2" s="1"/>
  <c r="AQ1063" i="2" s="1"/>
  <c r="AF1064" i="2"/>
  <c r="AN1064" i="2" s="1"/>
  <c r="AQ1064" i="2" s="1"/>
  <c r="AF1065" i="2"/>
  <c r="AN1065" i="2" s="1"/>
  <c r="AQ1065" i="2" s="1"/>
  <c r="AF1066" i="2"/>
  <c r="AN1066" i="2" s="1"/>
  <c r="AQ1066" i="2" s="1"/>
  <c r="AF1067" i="2"/>
  <c r="AN1067" i="2" s="1"/>
  <c r="AQ1067" i="2" s="1"/>
  <c r="AF1068" i="2"/>
  <c r="AN1068" i="2" s="1"/>
  <c r="AQ1068" i="2" s="1"/>
  <c r="AF1069" i="2"/>
  <c r="AF1070" i="2"/>
  <c r="AN1070" i="2" s="1"/>
  <c r="AQ1070" i="2" s="1"/>
  <c r="AF1071" i="2"/>
  <c r="AF1072" i="2"/>
  <c r="AN1072" i="2" s="1"/>
  <c r="AQ1072" i="2" s="1"/>
  <c r="AF1073" i="2"/>
  <c r="AN1073" i="2" s="1"/>
  <c r="AQ1073" i="2" s="1"/>
  <c r="AF1074" i="2"/>
  <c r="AN1074" i="2" s="1"/>
  <c r="AQ1074" i="2" s="1"/>
  <c r="AF1075" i="2"/>
  <c r="AN1075" i="2" s="1"/>
  <c r="AQ1075" i="2" s="1"/>
  <c r="AF1076" i="2"/>
  <c r="AN1076" i="2" s="1"/>
  <c r="AQ1076" i="2" s="1"/>
  <c r="AF1077" i="2"/>
  <c r="AN1077" i="2" s="1"/>
  <c r="AQ1077" i="2" s="1"/>
  <c r="AF1078" i="2"/>
  <c r="AN1078" i="2" s="1"/>
  <c r="AQ1078" i="2" s="1"/>
  <c r="AF1079" i="2"/>
  <c r="AN1079" i="2" s="1"/>
  <c r="AQ1079" i="2" s="1"/>
  <c r="AF1080" i="2"/>
  <c r="AN1080" i="2" s="1"/>
  <c r="AQ1080" i="2" s="1"/>
  <c r="AF1081" i="2"/>
  <c r="AN1081" i="2" s="1"/>
  <c r="AF1082" i="2"/>
  <c r="AN1082" i="2" s="1"/>
  <c r="AQ1082" i="2" s="1"/>
  <c r="AF1083" i="2"/>
  <c r="AN1083" i="2" s="1"/>
  <c r="AQ1083" i="2" s="1"/>
  <c r="AF1084" i="2"/>
  <c r="AN1084" i="2" s="1"/>
  <c r="AQ1084" i="2" s="1"/>
  <c r="AF1085" i="2"/>
  <c r="AN1085" i="2" s="1"/>
  <c r="AQ1085" i="2" s="1"/>
  <c r="AF1086" i="2"/>
  <c r="AN1086" i="2" s="1"/>
  <c r="AQ1086" i="2" s="1"/>
  <c r="AF1087" i="2"/>
  <c r="AN1087" i="2" s="1"/>
  <c r="AQ1087" i="2" s="1"/>
  <c r="AF1088" i="2"/>
  <c r="AN1088" i="2" s="1"/>
  <c r="AF1089" i="2"/>
  <c r="AN1089" i="2" s="1"/>
  <c r="AQ1089" i="2" s="1"/>
  <c r="AF1090" i="2"/>
  <c r="AN1090" i="2" s="1"/>
  <c r="AQ1090" i="2" s="1"/>
  <c r="AF1091" i="2"/>
  <c r="AN1091" i="2" s="1"/>
  <c r="AQ1091" i="2" s="1"/>
  <c r="AF1092" i="2"/>
  <c r="AN1092" i="2" s="1"/>
  <c r="AQ1092" i="2" s="1"/>
  <c r="AF1093" i="2"/>
  <c r="AN1093" i="2" s="1"/>
  <c r="AQ1093" i="2" s="1"/>
  <c r="AF1094" i="2"/>
  <c r="AN1094" i="2" s="1"/>
  <c r="AQ1094" i="2" s="1"/>
  <c r="AF1095" i="2"/>
  <c r="AN1095" i="2" s="1"/>
  <c r="AQ1095" i="2" s="1"/>
  <c r="AF1096" i="2"/>
  <c r="AN1096" i="2" s="1"/>
  <c r="AQ1096" i="2" s="1"/>
  <c r="AF1097" i="2"/>
  <c r="AN1097" i="2" s="1"/>
  <c r="AQ1097" i="2" s="1"/>
  <c r="AF1098" i="2"/>
  <c r="AN1098" i="2" s="1"/>
  <c r="AQ1098" i="2" s="1"/>
  <c r="AF1099" i="2"/>
  <c r="AN1099" i="2" s="1"/>
  <c r="AQ1099" i="2" s="1"/>
  <c r="AF1100" i="2"/>
  <c r="AN1100" i="2" s="1"/>
  <c r="AQ1100" i="2" s="1"/>
  <c r="AF1101" i="2"/>
  <c r="AN1101" i="2" s="1"/>
  <c r="AQ1101" i="2" s="1"/>
  <c r="AF1102" i="2"/>
  <c r="AN1102" i="2" s="1"/>
  <c r="AQ1102" i="2" s="1"/>
  <c r="AF1103" i="2"/>
  <c r="AN1103" i="2" s="1"/>
  <c r="AQ1103" i="2" s="1"/>
  <c r="AF1104" i="2"/>
  <c r="AN1104" i="2" s="1"/>
  <c r="AQ1104" i="2" s="1"/>
  <c r="AF1105" i="2"/>
  <c r="AN1105" i="2" s="1"/>
  <c r="AQ1105" i="2" s="1"/>
  <c r="AF1106" i="2"/>
  <c r="AN1106" i="2" s="1"/>
  <c r="AQ1106" i="2" s="1"/>
  <c r="AF1107" i="2"/>
  <c r="AF1108" i="2"/>
  <c r="AN1108" i="2" s="1"/>
  <c r="AQ1108" i="2" s="1"/>
  <c r="AF1109" i="2"/>
  <c r="AN1109" i="2" s="1"/>
  <c r="AQ1109" i="2" s="1"/>
  <c r="AF1110" i="2"/>
  <c r="AN1110" i="2" s="1"/>
  <c r="AQ1110" i="2" s="1"/>
  <c r="AF1111" i="2"/>
  <c r="AF1112" i="2"/>
  <c r="AN1112" i="2" s="1"/>
  <c r="AQ1112" i="2" s="1"/>
  <c r="AF1113" i="2"/>
  <c r="AN1113" i="2" s="1"/>
  <c r="AQ1113" i="2" s="1"/>
  <c r="AF1114" i="2"/>
  <c r="AN1114" i="2" s="1"/>
  <c r="AQ1114" i="2" s="1"/>
  <c r="AF1115" i="2"/>
  <c r="AN1115" i="2" s="1"/>
  <c r="AQ1115" i="2" s="1"/>
  <c r="AF1116" i="2"/>
  <c r="AN1116" i="2" s="1"/>
  <c r="AQ1116" i="2" s="1"/>
  <c r="AF1117" i="2"/>
  <c r="AF1118" i="2"/>
  <c r="AN1118" i="2" s="1"/>
  <c r="AQ1118" i="2" s="1"/>
  <c r="AF1119" i="2"/>
  <c r="AN1119" i="2" s="1"/>
  <c r="AQ1119" i="2" s="1"/>
  <c r="AF1120" i="2"/>
  <c r="AN1120" i="2" s="1"/>
  <c r="AQ1120" i="2" s="1"/>
  <c r="AF1121" i="2"/>
  <c r="AN1121" i="2" s="1"/>
  <c r="AQ1121" i="2" s="1"/>
  <c r="AF1122" i="2"/>
  <c r="AN1122" i="2" s="1"/>
  <c r="AQ1122" i="2" s="1"/>
  <c r="AF1123" i="2"/>
  <c r="AN1123" i="2" s="1"/>
  <c r="AQ1123" i="2" s="1"/>
  <c r="AF1124" i="2"/>
  <c r="AN1124" i="2" s="1"/>
  <c r="AQ1124" i="2" s="1"/>
  <c r="AF1125" i="2"/>
  <c r="AN1125" i="2" s="1"/>
  <c r="AQ1125" i="2" s="1"/>
  <c r="AF1126" i="2"/>
  <c r="AN1126" i="2" s="1"/>
  <c r="AF1127" i="2"/>
  <c r="AN1127" i="2" s="1"/>
  <c r="AQ1127" i="2" s="1"/>
  <c r="AF1128" i="2"/>
  <c r="AN1128" i="2" s="1"/>
  <c r="AQ1128" i="2" s="1"/>
  <c r="AF1129" i="2"/>
  <c r="AN1129" i="2" s="1"/>
  <c r="AQ1129" i="2" s="1"/>
  <c r="AF1130" i="2"/>
  <c r="AN1130" i="2" s="1"/>
  <c r="AQ1130" i="2" s="1"/>
  <c r="AF1131" i="2"/>
  <c r="AN1131" i="2" s="1"/>
  <c r="AQ1131" i="2" s="1"/>
  <c r="AF1132" i="2"/>
  <c r="AN1132" i="2" s="1"/>
  <c r="AQ1132" i="2" s="1"/>
  <c r="AF1133" i="2"/>
  <c r="AN1133" i="2" s="1"/>
  <c r="AQ1133" i="2" s="1"/>
  <c r="AF1134" i="2"/>
  <c r="AN1134" i="2" s="1"/>
  <c r="AQ1134" i="2" s="1"/>
  <c r="AF1135" i="2"/>
  <c r="AN1135" i="2" s="1"/>
  <c r="AQ1135" i="2" s="1"/>
  <c r="AF1136" i="2"/>
  <c r="AN1136" i="2" s="1"/>
  <c r="AF1137" i="2"/>
  <c r="AN1137" i="2" s="1"/>
  <c r="AQ1137" i="2" s="1"/>
  <c r="AF1138" i="2"/>
  <c r="AN1138" i="2" s="1"/>
  <c r="AQ1138" i="2" s="1"/>
  <c r="AF1139" i="2"/>
  <c r="AF1140" i="2"/>
  <c r="AN1140" i="2" s="1"/>
  <c r="AQ1140" i="2" s="1"/>
  <c r="AF1141" i="2"/>
  <c r="AN1141" i="2" s="1"/>
  <c r="AQ1141" i="2" s="1"/>
  <c r="AF1142" i="2"/>
  <c r="AN1142" i="2" s="1"/>
  <c r="AQ1142" i="2" s="1"/>
  <c r="AF1143" i="2"/>
  <c r="AF1144" i="2"/>
  <c r="AN1144" i="2" s="1"/>
  <c r="AF1145" i="2"/>
  <c r="AN1145" i="2" s="1"/>
  <c r="AQ1145" i="2" s="1"/>
  <c r="AF1146" i="2"/>
  <c r="AN1146" i="2" s="1"/>
  <c r="AQ1146" i="2" s="1"/>
  <c r="AF1147" i="2"/>
  <c r="AN1147" i="2" s="1"/>
  <c r="AQ1147" i="2" s="1"/>
  <c r="AF1148" i="2"/>
  <c r="AN1148" i="2" s="1"/>
  <c r="AQ1148" i="2" s="1"/>
  <c r="AF1149" i="2"/>
  <c r="AF1150" i="2"/>
  <c r="AN1150" i="2" s="1"/>
  <c r="AQ1150" i="2" s="1"/>
  <c r="AF1151" i="2"/>
  <c r="AN1151" i="2" s="1"/>
  <c r="AQ1151" i="2" s="1"/>
  <c r="AF1152" i="2"/>
  <c r="AN1152" i="2" s="1"/>
  <c r="AF1153" i="2"/>
  <c r="AN1153" i="2" s="1"/>
  <c r="AQ1153" i="2" s="1"/>
  <c r="AF1154" i="2"/>
  <c r="AN1154" i="2" s="1"/>
  <c r="AQ1154" i="2" s="1"/>
  <c r="AF1155" i="2"/>
  <c r="AF1156" i="2"/>
  <c r="AN1156" i="2" s="1"/>
  <c r="AQ1156" i="2" s="1"/>
  <c r="AF1157" i="2"/>
  <c r="AF1158" i="2"/>
  <c r="AN1158" i="2" s="1"/>
  <c r="AQ1158" i="2" s="1"/>
  <c r="AF1159" i="2"/>
  <c r="AN1159" i="2" s="1"/>
  <c r="AQ1159" i="2" s="1"/>
  <c r="AF1160" i="2"/>
  <c r="AN1160" i="2" s="1"/>
  <c r="AQ1160" i="2" s="1"/>
  <c r="AF1161" i="2"/>
  <c r="AN1161" i="2" s="1"/>
  <c r="AQ1161" i="2" s="1"/>
  <c r="AF1162" i="2"/>
  <c r="AN1162" i="2" s="1"/>
  <c r="AQ1162" i="2" s="1"/>
  <c r="AF1163" i="2"/>
  <c r="AN1163" i="2" s="1"/>
  <c r="AQ1163" i="2" s="1"/>
  <c r="AF1164" i="2"/>
  <c r="AN1164" i="2" s="1"/>
  <c r="AQ1164" i="2" s="1"/>
  <c r="AF1165" i="2"/>
  <c r="AF1166" i="2"/>
  <c r="AN1166" i="2" s="1"/>
  <c r="AF1167" i="2"/>
  <c r="AF1168" i="2"/>
  <c r="AN1168" i="2" s="1"/>
  <c r="AQ1168" i="2" s="1"/>
  <c r="AF1169" i="2"/>
  <c r="AN1169" i="2" s="1"/>
  <c r="AQ1169" i="2" s="1"/>
  <c r="AF1170" i="2"/>
  <c r="AN1170" i="2" s="1"/>
  <c r="AQ1170" i="2" s="1"/>
  <c r="AF1171" i="2"/>
  <c r="AN1171" i="2" s="1"/>
  <c r="AQ1171" i="2" s="1"/>
  <c r="AF1172" i="2"/>
  <c r="AN1172" i="2" s="1"/>
  <c r="AQ1172" i="2" s="1"/>
  <c r="AF1173" i="2"/>
  <c r="AN1173" i="2" s="1"/>
  <c r="AQ1173" i="2" s="1"/>
  <c r="AF1174" i="2"/>
  <c r="AN1174" i="2" s="1"/>
  <c r="AQ1174" i="2" s="1"/>
  <c r="AF1175" i="2"/>
  <c r="AN1175" i="2" s="1"/>
  <c r="AQ1175" i="2" s="1"/>
  <c r="AF1176" i="2"/>
  <c r="AN1176" i="2" s="1"/>
  <c r="AQ1176" i="2" s="1"/>
  <c r="AF1177" i="2"/>
  <c r="AN1177" i="2" s="1"/>
  <c r="AQ1177" i="2" s="1"/>
  <c r="AF1178" i="2"/>
  <c r="AN1178" i="2" s="1"/>
  <c r="AQ1178" i="2" s="1"/>
  <c r="AF1179" i="2"/>
  <c r="AN1179" i="2" s="1"/>
  <c r="AQ1179" i="2" s="1"/>
  <c r="AF1180" i="2"/>
  <c r="AN1180" i="2" s="1"/>
  <c r="AQ1180" i="2" s="1"/>
  <c r="AF1181" i="2"/>
  <c r="AF1182" i="2"/>
  <c r="AN1182" i="2" s="1"/>
  <c r="AQ1182" i="2" s="1"/>
  <c r="AF1183" i="2"/>
  <c r="AF1184" i="2"/>
  <c r="AN1184" i="2" s="1"/>
  <c r="AQ1184" i="2" s="1"/>
  <c r="AF1185" i="2"/>
  <c r="AN1185" i="2" s="1"/>
  <c r="AQ1185" i="2" s="1"/>
  <c r="AF1186" i="2"/>
  <c r="AN1186" i="2" s="1"/>
  <c r="AQ1186" i="2" s="1"/>
  <c r="AF1187" i="2"/>
  <c r="AN1187" i="2" s="1"/>
  <c r="AQ1187" i="2" s="1"/>
  <c r="AF1188" i="2"/>
  <c r="AN1188" i="2" s="1"/>
  <c r="AQ1188" i="2" s="1"/>
  <c r="AF1189" i="2"/>
  <c r="AF1190" i="2"/>
  <c r="AN1190" i="2" s="1"/>
  <c r="AQ1190" i="2" s="1"/>
  <c r="AF1191" i="2"/>
  <c r="AN1191" i="2" s="1"/>
  <c r="AQ1191" i="2" s="1"/>
  <c r="AF1192" i="2"/>
  <c r="AN1192" i="2" s="1"/>
  <c r="AF1193" i="2"/>
  <c r="AF1194" i="2"/>
  <c r="AN1194" i="2" s="1"/>
  <c r="AQ1194" i="2" s="1"/>
  <c r="AF1195" i="2"/>
  <c r="AF1196" i="2"/>
  <c r="AN1196" i="2" s="1"/>
  <c r="AQ1196" i="2" s="1"/>
  <c r="AF1197" i="2"/>
  <c r="AF1198" i="2"/>
  <c r="AN1198" i="2" s="1"/>
  <c r="AQ1198" i="2" s="1"/>
  <c r="AF1199" i="2"/>
  <c r="AN1199" i="2" s="1"/>
  <c r="AQ1199" i="2" s="1"/>
  <c r="AF1200" i="2"/>
  <c r="AN1200" i="2" s="1"/>
  <c r="AF1201" i="2"/>
  <c r="AN1201" i="2" s="1"/>
  <c r="AQ1201" i="2" s="1"/>
  <c r="AF1202" i="2"/>
  <c r="AN1202" i="2" s="1"/>
  <c r="AQ1202" i="2" s="1"/>
  <c r="AF1203" i="2"/>
  <c r="AF1204" i="2"/>
  <c r="AN1204" i="2" s="1"/>
  <c r="AQ1204" i="2" s="1"/>
  <c r="AF1205" i="2"/>
  <c r="AF1206" i="2"/>
  <c r="AN1206" i="2" s="1"/>
  <c r="AF1207" i="2"/>
  <c r="AN1207" i="2" s="1"/>
  <c r="AQ1207" i="2" s="1"/>
  <c r="AF1208" i="2"/>
  <c r="AN1208" i="2" s="1"/>
  <c r="AQ1208" i="2" s="1"/>
  <c r="AF1209" i="2"/>
  <c r="AN1209" i="2" s="1"/>
  <c r="AQ1209" i="2" s="1"/>
  <c r="AF1210" i="2"/>
  <c r="AN1210" i="2" s="1"/>
  <c r="AQ1210" i="2" s="1"/>
  <c r="AF1211" i="2"/>
  <c r="AN1211" i="2" s="1"/>
  <c r="AQ1211" i="2" s="1"/>
  <c r="AF1212" i="2"/>
  <c r="AN1212" i="2" s="1"/>
  <c r="AQ1212" i="2" s="1"/>
  <c r="AF1213" i="2"/>
  <c r="AN1213" i="2" s="1"/>
  <c r="AQ1213" i="2" s="1"/>
  <c r="AF1214" i="2"/>
  <c r="AN1214" i="2" s="1"/>
  <c r="AQ1214" i="2" s="1"/>
  <c r="AF1215" i="2"/>
  <c r="AN1215" i="2" s="1"/>
  <c r="AQ1215" i="2" s="1"/>
  <c r="AF1216" i="2"/>
  <c r="AN1216" i="2" s="1"/>
  <c r="AQ1216" i="2" s="1"/>
  <c r="AF1217" i="2"/>
  <c r="AN1217" i="2" s="1"/>
  <c r="AQ1217" i="2" s="1"/>
  <c r="AF1218" i="2"/>
  <c r="AN1218" i="2" s="1"/>
  <c r="AF1219" i="2"/>
  <c r="AN1219" i="2" s="1"/>
  <c r="AQ1219" i="2" s="1"/>
  <c r="AF1220" i="2"/>
  <c r="AN1220" i="2" s="1"/>
  <c r="AQ1220" i="2" s="1"/>
  <c r="AF1221" i="2"/>
  <c r="AF1222" i="2"/>
  <c r="AN1222" i="2" s="1"/>
  <c r="AQ1222" i="2" s="1"/>
  <c r="AF1223" i="2"/>
  <c r="AF1224" i="2"/>
  <c r="AN1224" i="2" s="1"/>
  <c r="AQ1224" i="2" s="1"/>
  <c r="AF1225" i="2"/>
  <c r="AF1226" i="2"/>
  <c r="AN1226" i="2" s="1"/>
  <c r="AQ1226" i="2" s="1"/>
  <c r="AF1227" i="2"/>
  <c r="AF1228" i="2"/>
  <c r="AN1228" i="2" s="1"/>
  <c r="AQ1228" i="2" s="1"/>
  <c r="AF1229" i="2"/>
  <c r="AF1230" i="2"/>
  <c r="AN1230" i="2" s="1"/>
  <c r="AQ1230" i="2" s="1"/>
  <c r="AF1231" i="2"/>
  <c r="AN1231" i="2" s="1"/>
  <c r="AQ1231" i="2" s="1"/>
  <c r="AF1232" i="2"/>
  <c r="AN1232" i="2" s="1"/>
  <c r="AQ1232" i="2" s="1"/>
  <c r="AF1233" i="2"/>
  <c r="AN1233" i="2" s="1"/>
  <c r="AQ1233" i="2" s="1"/>
  <c r="AF1234" i="2"/>
  <c r="AN1234" i="2" s="1"/>
  <c r="AQ1234" i="2" s="1"/>
  <c r="AF1235" i="2"/>
  <c r="AN1235" i="2" s="1"/>
  <c r="AQ1235" i="2" s="1"/>
  <c r="AF1236" i="2"/>
  <c r="AN1236" i="2" s="1"/>
  <c r="AQ1236" i="2" s="1"/>
  <c r="AF1237" i="2"/>
  <c r="AF1238" i="2"/>
  <c r="AN1238" i="2" s="1"/>
  <c r="AF1239" i="2"/>
  <c r="AN1239" i="2" s="1"/>
  <c r="AQ1239" i="2" s="1"/>
  <c r="AF1240" i="2"/>
  <c r="AN1240" i="2" s="1"/>
  <c r="AF1241" i="2"/>
  <c r="AN1241" i="2" s="1"/>
  <c r="AQ1241" i="2" s="1"/>
  <c r="AF1242" i="2"/>
  <c r="AN1242" i="2" s="1"/>
  <c r="AQ1242" i="2" s="1"/>
  <c r="AF1243" i="2"/>
  <c r="AF1244" i="2"/>
  <c r="AN1244" i="2" s="1"/>
  <c r="AQ1244" i="2" s="1"/>
  <c r="AF1245" i="2"/>
  <c r="AN1245" i="2" s="1"/>
  <c r="AQ1245" i="2" s="1"/>
  <c r="AF1246" i="2"/>
  <c r="AN1246" i="2" s="1"/>
  <c r="AQ1246" i="2" s="1"/>
  <c r="AF1247" i="2"/>
  <c r="AN1247" i="2" s="1"/>
  <c r="AQ1247" i="2" s="1"/>
  <c r="AF1248" i="2"/>
  <c r="AN1248" i="2" s="1"/>
  <c r="AF1249" i="2"/>
  <c r="AN1249" i="2" s="1"/>
  <c r="AQ1249" i="2" s="1"/>
  <c r="AF1250" i="2"/>
  <c r="AN1250" i="2" s="1"/>
  <c r="AQ1250" i="2" s="1"/>
  <c r="AF1251" i="2"/>
  <c r="AN1251" i="2" s="1"/>
  <c r="AQ1251" i="2" s="1"/>
  <c r="AF1252" i="2"/>
  <c r="AN1252" i="2" s="1"/>
  <c r="AQ1252" i="2" s="1"/>
  <c r="AF1253" i="2"/>
  <c r="AF1254" i="2"/>
  <c r="AN1254" i="2" s="1"/>
  <c r="AQ1254" i="2" s="1"/>
  <c r="AF1255" i="2"/>
  <c r="AF1256" i="2"/>
  <c r="AN1256" i="2" s="1"/>
  <c r="AQ1256" i="2" s="1"/>
  <c r="AF1257" i="2"/>
  <c r="AF1258" i="2"/>
  <c r="AN1258" i="2" s="1"/>
  <c r="AQ1258" i="2" s="1"/>
  <c r="AF1259" i="2"/>
  <c r="AN1259" i="2" s="1"/>
  <c r="AQ1259" i="2" s="1"/>
  <c r="AF1260" i="2"/>
  <c r="AN1260" i="2" s="1"/>
  <c r="AQ1260" i="2" s="1"/>
  <c r="AF1261" i="2"/>
  <c r="AN1261" i="2" s="1"/>
  <c r="AQ1261" i="2" s="1"/>
  <c r="AF1262" i="2"/>
  <c r="AN1262" i="2" s="1"/>
  <c r="AQ1262" i="2" s="1"/>
  <c r="AF1263" i="2"/>
  <c r="AF1264" i="2"/>
  <c r="AN1264" i="2" s="1"/>
  <c r="AQ1264" i="2" s="1"/>
  <c r="AF1265" i="2"/>
  <c r="AN1265" i="2" s="1"/>
  <c r="AQ1265" i="2" s="1"/>
  <c r="AF1266" i="2"/>
  <c r="AN1266" i="2" s="1"/>
  <c r="AQ1266" i="2" s="1"/>
  <c r="AF1267" i="2"/>
  <c r="AN1267" i="2" s="1"/>
  <c r="AQ1267" i="2" s="1"/>
  <c r="AF1268" i="2"/>
  <c r="AN1268" i="2" s="1"/>
  <c r="AQ1268" i="2" s="1"/>
  <c r="AF1269" i="2"/>
  <c r="AN1269" i="2" s="1"/>
  <c r="AQ1269" i="2" s="1"/>
  <c r="AF1270" i="2"/>
  <c r="AN1270" i="2" s="1"/>
  <c r="AQ1270" i="2" s="1"/>
  <c r="AF1271" i="2"/>
  <c r="AN1271" i="2" s="1"/>
  <c r="AQ1271" i="2" s="1"/>
  <c r="AF1272" i="2"/>
  <c r="AN1272" i="2" s="1"/>
  <c r="AQ1272" i="2" s="1"/>
  <c r="AF1273" i="2"/>
  <c r="AN1273" i="2" s="1"/>
  <c r="AQ1273" i="2" s="1"/>
  <c r="AF1274" i="2"/>
  <c r="AN1274" i="2" s="1"/>
  <c r="AQ1274" i="2" s="1"/>
  <c r="AF1275" i="2"/>
  <c r="AN1275" i="2" s="1"/>
  <c r="AQ1275" i="2" s="1"/>
  <c r="AF1276" i="2"/>
  <c r="AN1276" i="2" s="1"/>
  <c r="AQ1276" i="2" s="1"/>
  <c r="AF1277" i="2"/>
  <c r="AN1277" i="2" s="1"/>
  <c r="AQ1277" i="2" s="1"/>
  <c r="AF1278" i="2"/>
  <c r="AN1278" i="2" s="1"/>
  <c r="AF1279" i="2"/>
  <c r="AN1279" i="2" s="1"/>
  <c r="AQ1279" i="2" s="1"/>
  <c r="AF1280" i="2"/>
  <c r="AN1280" i="2" s="1"/>
  <c r="AQ1280" i="2" s="1"/>
  <c r="AF1281" i="2"/>
  <c r="AN1281" i="2" s="1"/>
  <c r="AQ1281" i="2" s="1"/>
  <c r="AF1282" i="2"/>
  <c r="AN1282" i="2" s="1"/>
  <c r="AQ1282" i="2" s="1"/>
  <c r="AF1283" i="2"/>
  <c r="AN1283" i="2" s="1"/>
  <c r="AQ1283" i="2" s="1"/>
  <c r="AF1284" i="2"/>
  <c r="AN1284" i="2" s="1"/>
  <c r="AQ1284" i="2" s="1"/>
  <c r="AF1285" i="2"/>
  <c r="AN1285" i="2" s="1"/>
  <c r="AQ1285" i="2" s="1"/>
  <c r="AF1286" i="2"/>
  <c r="AN1286" i="2" s="1"/>
  <c r="AF1287" i="2"/>
  <c r="AN1287" i="2" s="1"/>
  <c r="AQ1287" i="2" s="1"/>
  <c r="AF1288" i="2"/>
  <c r="AN1288" i="2" s="1"/>
  <c r="AF1289" i="2"/>
  <c r="AN1289" i="2" s="1"/>
  <c r="AQ1289" i="2" s="1"/>
  <c r="AF1290" i="2"/>
  <c r="AN1290" i="2" s="1"/>
  <c r="AQ1290" i="2" s="1"/>
  <c r="AF1291" i="2"/>
  <c r="AN1291" i="2" s="1"/>
  <c r="AQ1291" i="2" s="1"/>
  <c r="AF1292" i="2"/>
  <c r="AN1292" i="2" s="1"/>
  <c r="AQ1292" i="2" s="1"/>
  <c r="AF1293" i="2"/>
  <c r="AF1294" i="2"/>
  <c r="AN1294" i="2" s="1"/>
  <c r="AQ1294" i="2" s="1"/>
  <c r="AF1295" i="2"/>
  <c r="AN1295" i="2" s="1"/>
  <c r="AQ1295" i="2" s="1"/>
  <c r="AF1296" i="2"/>
  <c r="AN1296" i="2" s="1"/>
  <c r="AF1297" i="2"/>
  <c r="AN1297" i="2" s="1"/>
  <c r="AQ1297" i="2" s="1"/>
  <c r="AF1298" i="2"/>
  <c r="AN1298" i="2" s="1"/>
  <c r="AQ1298" i="2" s="1"/>
  <c r="AF1299" i="2"/>
  <c r="AN1299" i="2" s="1"/>
  <c r="AQ1299" i="2" s="1"/>
  <c r="AF1300" i="2"/>
  <c r="AN1300" i="2" s="1"/>
  <c r="AQ1300" i="2" s="1"/>
  <c r="AF1301" i="2"/>
  <c r="AN1301" i="2" s="1"/>
  <c r="AQ1301" i="2" s="1"/>
  <c r="AF1302" i="2"/>
  <c r="AN1302" i="2" s="1"/>
  <c r="AQ1302" i="2" s="1"/>
  <c r="AF1303" i="2"/>
  <c r="AF1304" i="2"/>
  <c r="AN1304" i="2" s="1"/>
  <c r="AQ1304" i="2" s="1"/>
  <c r="AF1305" i="2"/>
  <c r="AN1305" i="2" s="1"/>
  <c r="AQ1305" i="2" s="1"/>
  <c r="AF1306" i="2"/>
  <c r="AN1306" i="2" s="1"/>
  <c r="AQ1306" i="2" s="1"/>
  <c r="AF1307" i="2"/>
  <c r="AN1307" i="2" s="1"/>
  <c r="AQ1307" i="2" s="1"/>
  <c r="AF1308" i="2"/>
  <c r="AN1308" i="2" s="1"/>
  <c r="AQ1308" i="2" s="1"/>
  <c r="AF1309" i="2"/>
  <c r="AF1310" i="2"/>
  <c r="AN1310" i="2" s="1"/>
  <c r="AQ1310" i="2" s="1"/>
  <c r="AF1311" i="2"/>
  <c r="AN1311" i="2" s="1"/>
  <c r="AQ1311" i="2" s="1"/>
  <c r="AF1312" i="2"/>
  <c r="AN1312" i="2" s="1"/>
  <c r="AQ1312" i="2" s="1"/>
  <c r="AF1313" i="2"/>
  <c r="AN1313" i="2" s="1"/>
  <c r="AQ1313" i="2" s="1"/>
  <c r="AF1314" i="2"/>
  <c r="AN1314" i="2" s="1"/>
  <c r="AQ1314" i="2" s="1"/>
  <c r="AF1315" i="2"/>
  <c r="AN1315" i="2" s="1"/>
  <c r="AQ1315" i="2" s="1"/>
  <c r="AF1316" i="2"/>
  <c r="AN1316" i="2" s="1"/>
  <c r="AQ1316" i="2" s="1"/>
  <c r="AF1317" i="2"/>
  <c r="AF1318" i="2"/>
  <c r="AN1318" i="2" s="1"/>
  <c r="AQ1318" i="2" s="1"/>
  <c r="AF1319" i="2"/>
  <c r="AF1320" i="2"/>
  <c r="AN1320" i="2" s="1"/>
  <c r="AQ1320" i="2" s="1"/>
  <c r="AF1321" i="2"/>
  <c r="AN1321" i="2" s="1"/>
  <c r="AQ1321" i="2" s="1"/>
  <c r="AF1322" i="2"/>
  <c r="AN1322" i="2" s="1"/>
  <c r="AQ1322" i="2" s="1"/>
  <c r="AF1323" i="2"/>
  <c r="AN1323" i="2" s="1"/>
  <c r="AQ1323" i="2" s="1"/>
  <c r="AF1324" i="2"/>
  <c r="AN1324" i="2" s="1"/>
  <c r="AQ1324" i="2" s="1"/>
  <c r="AF1325" i="2"/>
  <c r="AF1326" i="2"/>
  <c r="AN1326" i="2" s="1"/>
  <c r="AQ1326" i="2" s="1"/>
  <c r="AF1327" i="2"/>
  <c r="AN1327" i="2" s="1"/>
  <c r="AQ1327" i="2" s="1"/>
  <c r="AF1328" i="2"/>
  <c r="AN1328" i="2" s="1"/>
  <c r="AQ1328" i="2" s="1"/>
  <c r="AF1329" i="2"/>
  <c r="AF1330" i="2"/>
  <c r="AN1330" i="2" s="1"/>
  <c r="AQ1330" i="2" s="1"/>
  <c r="AF1331" i="2"/>
  <c r="AN1331" i="2" s="1"/>
  <c r="AQ1331" i="2" s="1"/>
  <c r="AF1332" i="2"/>
  <c r="AN1332" i="2" s="1"/>
  <c r="AQ1332" i="2" s="1"/>
  <c r="AF1333" i="2"/>
  <c r="AF1334" i="2"/>
  <c r="AN1334" i="2" s="1"/>
  <c r="AQ1334" i="2" s="1"/>
  <c r="AF1335" i="2"/>
  <c r="AN1335" i="2" s="1"/>
  <c r="AQ1335" i="2" s="1"/>
  <c r="AF1336" i="2"/>
  <c r="AN1336" i="2" s="1"/>
  <c r="AQ1336" i="2" s="1"/>
  <c r="AF1337" i="2"/>
  <c r="AN1337" i="2" s="1"/>
  <c r="AQ1337" i="2" s="1"/>
  <c r="AF1338" i="2"/>
  <c r="AN1338" i="2" s="1"/>
  <c r="AQ1338" i="2" s="1"/>
  <c r="AF1339" i="2"/>
  <c r="AN1339" i="2" s="1"/>
  <c r="AQ1339" i="2" s="1"/>
  <c r="AF1340" i="2"/>
  <c r="AN1340" i="2" s="1"/>
  <c r="AQ1340" i="2" s="1"/>
  <c r="AF1341" i="2"/>
  <c r="AN1341" i="2" s="1"/>
  <c r="AQ1341" i="2" s="1"/>
  <c r="AF1342" i="2"/>
  <c r="AN1342" i="2" s="1"/>
  <c r="AQ1342" i="2" s="1"/>
  <c r="AF1343" i="2"/>
  <c r="AN1343" i="2" s="1"/>
  <c r="AQ1343" i="2" s="1"/>
  <c r="AF1344" i="2"/>
  <c r="AN1344" i="2" s="1"/>
  <c r="AF1345" i="2"/>
  <c r="AN1345" i="2" s="1"/>
  <c r="AQ1345" i="2" s="1"/>
  <c r="AF1346" i="2"/>
  <c r="AN1346" i="2" s="1"/>
  <c r="AQ1346" i="2" s="1"/>
  <c r="AF1347" i="2"/>
  <c r="AN1347" i="2" s="1"/>
  <c r="AQ1347" i="2" s="1"/>
  <c r="AF1348" i="2"/>
  <c r="AN1348" i="2" s="1"/>
  <c r="AQ1348" i="2" s="1"/>
  <c r="AF1349" i="2"/>
  <c r="AN1349" i="2" s="1"/>
  <c r="AQ1349" i="2" s="1"/>
  <c r="AF1350" i="2"/>
  <c r="AN1350" i="2" s="1"/>
  <c r="AQ1350" i="2" s="1"/>
  <c r="AF1351" i="2"/>
  <c r="AF1352" i="2"/>
  <c r="AN1352" i="2" s="1"/>
  <c r="AF1353" i="2"/>
  <c r="AN1353" i="2" s="1"/>
  <c r="AQ1353" i="2" s="1"/>
  <c r="AF1354" i="2"/>
  <c r="AN1354" i="2" s="1"/>
  <c r="AF1355" i="2"/>
  <c r="AN1355" i="2" s="1"/>
  <c r="AQ1355" i="2" s="1"/>
  <c r="AF1356" i="2"/>
  <c r="AN1356" i="2" s="1"/>
  <c r="AQ1356" i="2" s="1"/>
  <c r="AF1357" i="2"/>
  <c r="AF1358" i="2"/>
  <c r="AN1358" i="2" s="1"/>
  <c r="AQ1358" i="2" s="1"/>
  <c r="AF1359" i="2"/>
  <c r="AN1359" i="2" s="1"/>
  <c r="AQ1359" i="2" s="1"/>
  <c r="AF1360" i="2"/>
  <c r="AN1360" i="2" s="1"/>
  <c r="AQ1360" i="2" s="1"/>
  <c r="AF1361" i="2"/>
  <c r="AF1362" i="2"/>
  <c r="AN1362" i="2" s="1"/>
  <c r="AQ1362" i="2" s="1"/>
  <c r="AF1363" i="2"/>
  <c r="AN1363" i="2" s="1"/>
  <c r="AQ1363" i="2" s="1"/>
  <c r="AF1364" i="2"/>
  <c r="AN1364" i="2" s="1"/>
  <c r="AQ1364" i="2" s="1"/>
  <c r="AF1365" i="2"/>
  <c r="AF1366" i="2"/>
  <c r="AN1366" i="2" s="1"/>
  <c r="AF1367" i="2"/>
  <c r="AF1368" i="2"/>
  <c r="AN1368" i="2" s="1"/>
  <c r="AQ1368" i="2" s="1"/>
  <c r="AF1369" i="2"/>
  <c r="AN1369" i="2" s="1"/>
  <c r="AQ1369" i="2" s="1"/>
  <c r="AF1370" i="2"/>
  <c r="AN1370" i="2" s="1"/>
  <c r="AQ1370" i="2" s="1"/>
  <c r="AF1371" i="2"/>
  <c r="AF1372" i="2"/>
  <c r="AN1372" i="2" s="1"/>
  <c r="AQ1372" i="2" s="1"/>
  <c r="AF1373" i="2"/>
  <c r="AN1373" i="2" s="1"/>
  <c r="AQ1373" i="2" s="1"/>
  <c r="AF1374" i="2"/>
  <c r="AN1374" i="2" s="1"/>
  <c r="AQ1374" i="2" s="1"/>
  <c r="AF1375" i="2"/>
  <c r="AN1375" i="2" s="1"/>
  <c r="AQ1375" i="2" s="1"/>
  <c r="AF1376" i="2"/>
  <c r="AN1376" i="2" s="1"/>
  <c r="AQ1376" i="2" s="1"/>
  <c r="AF1377" i="2"/>
  <c r="AN1377" i="2" s="1"/>
  <c r="AQ1377" i="2" s="1"/>
  <c r="AF1378" i="2"/>
  <c r="AN1378" i="2" s="1"/>
  <c r="AQ1378" i="2" s="1"/>
  <c r="AF1379" i="2"/>
  <c r="AN1379" i="2" s="1"/>
  <c r="AQ1379" i="2" s="1"/>
  <c r="AF1380" i="2"/>
  <c r="AN1380" i="2" s="1"/>
  <c r="AQ1380" i="2" s="1"/>
  <c r="AF1381" i="2"/>
  <c r="AF1382" i="2"/>
  <c r="AN1382" i="2" s="1"/>
  <c r="AQ1382" i="2" s="1"/>
  <c r="AF1383" i="2"/>
  <c r="AF1384" i="2"/>
  <c r="AN1384" i="2" s="1"/>
  <c r="AQ1384" i="2" s="1"/>
  <c r="AF1385" i="2"/>
  <c r="AN1385" i="2" s="1"/>
  <c r="AQ1385" i="2" s="1"/>
  <c r="AF1386" i="2"/>
  <c r="AN1386" i="2" s="1"/>
  <c r="AQ1386" i="2" s="1"/>
  <c r="AF1387" i="2"/>
  <c r="AF1388" i="2"/>
  <c r="AN1388" i="2" s="1"/>
  <c r="AQ1388" i="2" s="1"/>
  <c r="AF1389" i="2"/>
  <c r="AF1390" i="2"/>
  <c r="AN1390" i="2" s="1"/>
  <c r="AQ1390" i="2" s="1"/>
  <c r="AF1391" i="2"/>
  <c r="AN1391" i="2" s="1"/>
  <c r="AQ1391" i="2" s="1"/>
  <c r="AF1392" i="2"/>
  <c r="AN1392" i="2" s="1"/>
  <c r="AF1393" i="2"/>
  <c r="AF1394" i="2"/>
  <c r="AN1394" i="2" s="1"/>
  <c r="AQ1394" i="2" s="1"/>
  <c r="AF1395" i="2"/>
  <c r="AN1395" i="2" s="1"/>
  <c r="AQ1395" i="2" s="1"/>
  <c r="AF1396" i="2"/>
  <c r="AN1396" i="2" s="1"/>
  <c r="AQ1396" i="2" s="1"/>
  <c r="AF1397" i="2"/>
  <c r="AF1398" i="2"/>
  <c r="AN1398" i="2" s="1"/>
  <c r="AF1399" i="2"/>
  <c r="AF1400" i="2"/>
  <c r="AN1400" i="2" s="1"/>
  <c r="AF1401" i="2"/>
  <c r="AN1401" i="2" s="1"/>
  <c r="AQ1401" i="2" s="1"/>
  <c r="AF1402" i="2"/>
  <c r="AN1402" i="2" s="1"/>
  <c r="AQ1402" i="2" s="1"/>
  <c r="AF1403" i="2"/>
  <c r="AF1404" i="2"/>
  <c r="AN1404" i="2" s="1"/>
  <c r="AQ1404" i="2" s="1"/>
  <c r="AF1405" i="2"/>
  <c r="AF1406" i="2"/>
  <c r="AN1406" i="2" s="1"/>
  <c r="AQ1406" i="2" s="1"/>
  <c r="AF1407" i="2"/>
  <c r="AN1407" i="2" s="1"/>
  <c r="AQ1407" i="2" s="1"/>
  <c r="AF1408" i="2"/>
  <c r="AN1408" i="2" s="1"/>
  <c r="AQ1408" i="2" s="1"/>
  <c r="AF1409" i="2"/>
  <c r="AN1409" i="2" s="1"/>
  <c r="AQ1409" i="2" s="1"/>
  <c r="AF1410" i="2"/>
  <c r="AN1410" i="2" s="1"/>
  <c r="AQ1410" i="2" s="1"/>
  <c r="AF1411" i="2"/>
  <c r="AN1411" i="2" s="1"/>
  <c r="AQ1411" i="2" s="1"/>
  <c r="AF1412" i="2"/>
  <c r="AN1412" i="2" s="1"/>
  <c r="AQ1412" i="2" s="1"/>
  <c r="AF1413" i="2"/>
  <c r="AN1413" i="2" s="1"/>
  <c r="AQ1413" i="2" s="1"/>
  <c r="AF1414" i="2"/>
  <c r="AN1414" i="2" s="1"/>
  <c r="AQ1414" i="2" s="1"/>
  <c r="AF1415" i="2"/>
  <c r="AF1416" i="2"/>
  <c r="AN1416" i="2" s="1"/>
  <c r="AQ1416" i="2" s="1"/>
  <c r="AF1417" i="2"/>
  <c r="AN1417" i="2" s="1"/>
  <c r="AQ1417" i="2" s="1"/>
  <c r="AF1418" i="2"/>
  <c r="AN1418" i="2" s="1"/>
  <c r="AQ1418" i="2" s="1"/>
  <c r="AF1419" i="2"/>
  <c r="AF1420" i="2"/>
  <c r="AN1420" i="2" s="1"/>
  <c r="AQ1420" i="2" s="1"/>
  <c r="AF1421" i="2"/>
  <c r="AN1421" i="2" s="1"/>
  <c r="AQ1421" i="2" s="1"/>
  <c r="AF1422" i="2"/>
  <c r="AN1422" i="2" s="1"/>
  <c r="AQ1422" i="2" s="1"/>
  <c r="AF1423" i="2"/>
  <c r="AN1423" i="2" s="1"/>
  <c r="AQ1423" i="2" s="1"/>
  <c r="AF1424" i="2"/>
  <c r="AN1424" i="2" s="1"/>
  <c r="AQ1424" i="2" s="1"/>
  <c r="AF1425" i="2"/>
  <c r="AF1426" i="2"/>
  <c r="AN1426" i="2" s="1"/>
  <c r="AQ1426" i="2" s="1"/>
  <c r="AF1427" i="2"/>
  <c r="AN1427" i="2" s="1"/>
  <c r="AQ1427" i="2" s="1"/>
  <c r="AF1428" i="2"/>
  <c r="AN1428" i="2" s="1"/>
  <c r="AQ1428" i="2" s="1"/>
  <c r="AF1429" i="2"/>
  <c r="AN1429" i="2" s="1"/>
  <c r="AQ1429" i="2" s="1"/>
  <c r="AF1430" i="2"/>
  <c r="AN1430" i="2" s="1"/>
  <c r="AQ1430" i="2" s="1"/>
  <c r="AF1431" i="2"/>
  <c r="AF1432" i="2"/>
  <c r="AN1432" i="2" s="1"/>
  <c r="AQ1432" i="2" s="1"/>
  <c r="AF1433" i="2"/>
  <c r="AN1433" i="2" s="1"/>
  <c r="AQ1433" i="2" s="1"/>
  <c r="AF1434" i="2"/>
  <c r="AN1434" i="2" s="1"/>
  <c r="AQ1434" i="2" s="1"/>
  <c r="AF1435" i="2"/>
  <c r="AF1436" i="2"/>
  <c r="AN1436" i="2" s="1"/>
  <c r="AQ1436" i="2" s="1"/>
  <c r="AF1437" i="2"/>
  <c r="AN1437" i="2" s="1"/>
  <c r="AQ1437" i="2" s="1"/>
  <c r="AF1438" i="2"/>
  <c r="AN1438" i="2" s="1"/>
  <c r="AQ1438" i="2" s="1"/>
  <c r="AF1439" i="2"/>
  <c r="AN1439" i="2" s="1"/>
  <c r="AQ1439" i="2" s="1"/>
  <c r="AF1440" i="2"/>
  <c r="AN1440" i="2" s="1"/>
  <c r="AQ1440" i="2" s="1"/>
  <c r="AF1441" i="2"/>
  <c r="AN1441" i="2" s="1"/>
  <c r="AQ1441" i="2" s="1"/>
  <c r="AF1442" i="2"/>
  <c r="AN1442" i="2" s="1"/>
  <c r="AQ1442" i="2" s="1"/>
  <c r="AF1443" i="2"/>
  <c r="AN1443" i="2" s="1"/>
  <c r="AQ1443" i="2" s="1"/>
  <c r="AF1444" i="2"/>
  <c r="AN1444" i="2" s="1"/>
  <c r="AQ1444" i="2" s="1"/>
  <c r="AF1445" i="2"/>
  <c r="AN1445" i="2" s="1"/>
  <c r="AQ1445" i="2" s="1"/>
  <c r="AF1446" i="2"/>
  <c r="AN1446" i="2" s="1"/>
  <c r="AQ1446" i="2" s="1"/>
  <c r="AF1447" i="2"/>
  <c r="AF1448" i="2"/>
  <c r="AN1448" i="2" s="1"/>
  <c r="AF1449" i="2"/>
  <c r="AN1449" i="2" s="1"/>
  <c r="AQ1449" i="2" s="1"/>
  <c r="AF1450" i="2"/>
  <c r="AN1450" i="2" s="1"/>
  <c r="AQ1450" i="2" s="1"/>
  <c r="AF1451" i="2"/>
  <c r="AF1452" i="2"/>
  <c r="AN1452" i="2" s="1"/>
  <c r="AQ1452" i="2" s="1"/>
  <c r="AF1453" i="2"/>
  <c r="AN1453" i="2" s="1"/>
  <c r="AQ1453" i="2" s="1"/>
  <c r="AF1454" i="2"/>
  <c r="AN1454" i="2" s="1"/>
  <c r="AQ1454" i="2" s="1"/>
  <c r="AF1455" i="2"/>
  <c r="AN1455" i="2" s="1"/>
  <c r="AQ1455" i="2" s="1"/>
  <c r="AF1456" i="2"/>
  <c r="AN1456" i="2" s="1"/>
  <c r="AQ1456" i="2" s="1"/>
  <c r="AF1457" i="2"/>
  <c r="AF1458" i="2"/>
  <c r="AN1458" i="2" s="1"/>
  <c r="AQ1458" i="2" s="1"/>
  <c r="AF1459" i="2"/>
  <c r="AN1459" i="2" s="1"/>
  <c r="AQ1459" i="2" s="1"/>
  <c r="AF1460" i="2"/>
  <c r="AN1460" i="2" s="1"/>
  <c r="AQ1460" i="2" s="1"/>
  <c r="AF1461" i="2"/>
  <c r="AN1461" i="2" s="1"/>
  <c r="AQ1461" i="2" s="1"/>
  <c r="AF1462" i="2"/>
  <c r="AN1462" i="2" s="1"/>
  <c r="AQ1462" i="2" s="1"/>
  <c r="AF1463" i="2"/>
  <c r="AF1464" i="2"/>
  <c r="AN1464" i="2" s="1"/>
  <c r="AF1465" i="2"/>
  <c r="AN1465" i="2" s="1"/>
  <c r="AQ1465" i="2" s="1"/>
  <c r="AF1466" i="2"/>
  <c r="AN1466" i="2" s="1"/>
  <c r="AQ1466" i="2" s="1"/>
  <c r="AF1467" i="2"/>
  <c r="AF1468" i="2"/>
  <c r="AN1468" i="2" s="1"/>
  <c r="AQ1468" i="2" s="1"/>
  <c r="AF1469" i="2"/>
  <c r="AN1469" i="2" s="1"/>
  <c r="AQ1469" i="2" s="1"/>
  <c r="AF1470" i="2"/>
  <c r="AN1470" i="2" s="1"/>
  <c r="AQ1470" i="2" s="1"/>
  <c r="AF1471" i="2"/>
  <c r="AN1471" i="2" s="1"/>
  <c r="AQ1471" i="2" s="1"/>
  <c r="AF1472" i="2"/>
  <c r="AN1472" i="2" s="1"/>
  <c r="AQ1472" i="2" s="1"/>
  <c r="AF1473" i="2"/>
  <c r="AN1473" i="2" s="1"/>
  <c r="AQ1473" i="2" s="1"/>
  <c r="AF1474" i="2"/>
  <c r="AN1474" i="2" s="1"/>
  <c r="AQ1474" i="2" s="1"/>
  <c r="AF1475" i="2"/>
  <c r="AN1475" i="2" s="1"/>
  <c r="AQ1475" i="2" s="1"/>
  <c r="AF1476" i="2"/>
  <c r="AN1476" i="2" s="1"/>
  <c r="AQ1476" i="2" s="1"/>
  <c r="AF1477" i="2"/>
  <c r="AN1477" i="2" s="1"/>
  <c r="AQ1477" i="2" s="1"/>
  <c r="AF1478" i="2"/>
  <c r="AN1478" i="2" s="1"/>
  <c r="AF1479" i="2"/>
  <c r="AF1480" i="2"/>
  <c r="AN1480" i="2" s="1"/>
  <c r="AQ1480" i="2" s="1"/>
  <c r="AF1481" i="2"/>
  <c r="AN1481" i="2" s="1"/>
  <c r="AQ1481" i="2" s="1"/>
  <c r="AF1482" i="2"/>
  <c r="AN1482" i="2" s="1"/>
  <c r="AQ1482" i="2" s="1"/>
  <c r="AF1483" i="2"/>
  <c r="AF1484" i="2"/>
  <c r="AN1484" i="2" s="1"/>
  <c r="AQ1484" i="2" s="1"/>
  <c r="AF1485" i="2"/>
  <c r="AF1486" i="2"/>
  <c r="AN1486" i="2" s="1"/>
  <c r="AQ1486" i="2" s="1"/>
  <c r="AF1487" i="2"/>
  <c r="AN1487" i="2" s="1"/>
  <c r="AQ1487" i="2" s="1"/>
  <c r="AF1488" i="2"/>
  <c r="AN1488" i="2" s="1"/>
  <c r="AQ1488" i="2" s="1"/>
  <c r="AF1489" i="2"/>
  <c r="AF1490" i="2"/>
  <c r="AN1490" i="2" s="1"/>
  <c r="AQ1490" i="2" s="1"/>
  <c r="AF1491" i="2"/>
  <c r="AN1491" i="2" s="1"/>
  <c r="AQ1491" i="2" s="1"/>
  <c r="AF1492" i="2"/>
  <c r="AN1492" i="2" s="1"/>
  <c r="AQ1492" i="2" s="1"/>
  <c r="AF1493" i="2"/>
  <c r="AN1493" i="2" s="1"/>
  <c r="AQ1493" i="2" s="1"/>
  <c r="AF1494" i="2"/>
  <c r="AN1494" i="2" s="1"/>
  <c r="AQ1494" i="2" s="1"/>
  <c r="AF1495" i="2"/>
  <c r="AN1495" i="2" s="1"/>
  <c r="AQ1495" i="2" s="1"/>
  <c r="AF1496" i="2"/>
  <c r="AN1496" i="2" s="1"/>
  <c r="AQ1496" i="2" s="1"/>
  <c r="AF1497" i="2"/>
  <c r="AN1497" i="2" s="1"/>
  <c r="AQ1497" i="2" s="1"/>
  <c r="AF1498" i="2"/>
  <c r="AN1498" i="2" s="1"/>
  <c r="AQ1498" i="2" s="1"/>
  <c r="AF1499" i="2"/>
  <c r="AN1499" i="2" s="1"/>
  <c r="AQ1499" i="2" s="1"/>
  <c r="AF1500" i="2"/>
  <c r="AN1500" i="2" s="1"/>
  <c r="AQ1500" i="2" s="1"/>
  <c r="AF1501" i="2"/>
  <c r="AN1501" i="2" s="1"/>
  <c r="AQ1501" i="2" s="1"/>
  <c r="AF1502" i="2"/>
  <c r="AN1502" i="2" s="1"/>
  <c r="AQ1502" i="2" s="1"/>
  <c r="AF1503" i="2"/>
  <c r="AN1503" i="2" s="1"/>
  <c r="AQ1503" i="2" s="1"/>
  <c r="AF1504" i="2"/>
  <c r="AN1504" i="2" s="1"/>
  <c r="AF1505" i="2"/>
  <c r="AN1505" i="2" s="1"/>
  <c r="AQ1505" i="2" s="1"/>
  <c r="AF1506" i="2"/>
  <c r="AN1506" i="2" s="1"/>
  <c r="AQ1506" i="2" s="1"/>
  <c r="AF1507" i="2"/>
  <c r="AN1507" i="2" s="1"/>
  <c r="AQ1507" i="2" s="1"/>
  <c r="AF1508" i="2"/>
  <c r="AN1508" i="2" s="1"/>
  <c r="AQ1508" i="2" s="1"/>
  <c r="AF1509" i="2"/>
  <c r="AN1509" i="2" s="1"/>
  <c r="AQ1509" i="2" s="1"/>
  <c r="AF1510" i="2"/>
  <c r="AN1510" i="2" s="1"/>
  <c r="AQ1510" i="2" s="1"/>
  <c r="AF1511" i="2"/>
  <c r="AF1512" i="2"/>
  <c r="AN1512" i="2" s="1"/>
  <c r="AQ1512" i="2" s="1"/>
  <c r="AF1513" i="2"/>
  <c r="AN1513" i="2" s="1"/>
  <c r="AQ1513" i="2" s="1"/>
  <c r="AF1514" i="2"/>
  <c r="AN1514" i="2" s="1"/>
  <c r="AQ1514" i="2" s="1"/>
  <c r="AF1515" i="2"/>
  <c r="AN1515" i="2" s="1"/>
  <c r="AQ1515" i="2" s="1"/>
  <c r="AF1516" i="2"/>
  <c r="AN1516" i="2" s="1"/>
  <c r="AQ1516" i="2" s="1"/>
  <c r="AF1517" i="2"/>
  <c r="AN1517" i="2" s="1"/>
  <c r="AQ1517" i="2" s="1"/>
  <c r="AF1518" i="2"/>
  <c r="AN1518" i="2" s="1"/>
  <c r="AQ1518" i="2" s="1"/>
  <c r="AF1519" i="2"/>
  <c r="AN1519" i="2" s="1"/>
  <c r="AQ1519" i="2" s="1"/>
  <c r="AF1520" i="2"/>
  <c r="AN1520" i="2" s="1"/>
  <c r="AF1521" i="2"/>
  <c r="AF1522" i="2"/>
  <c r="AN1522" i="2" s="1"/>
  <c r="AQ1522" i="2" s="1"/>
  <c r="AF1523" i="2"/>
  <c r="AN1523" i="2" s="1"/>
  <c r="AQ1523" i="2" s="1"/>
  <c r="AF1524" i="2"/>
  <c r="AN1524" i="2" s="1"/>
  <c r="AQ1524" i="2" s="1"/>
  <c r="AF1525" i="2"/>
  <c r="AN1525" i="2" s="1"/>
  <c r="AQ1525" i="2" s="1"/>
  <c r="AF1526" i="2"/>
  <c r="AN1526" i="2" s="1"/>
  <c r="AQ1526" i="2" s="1"/>
  <c r="AF1527" i="2"/>
  <c r="AN1527" i="2" s="1"/>
  <c r="AQ1527" i="2" s="1"/>
  <c r="AF1528" i="2"/>
  <c r="AN1528" i="2" s="1"/>
  <c r="AQ1528" i="2" s="1"/>
  <c r="AF1529" i="2"/>
  <c r="AN1529" i="2" s="1"/>
  <c r="AQ1529" i="2" s="1"/>
  <c r="AF1530" i="2"/>
  <c r="AN1530" i="2" s="1"/>
  <c r="AQ1530" i="2" s="1"/>
  <c r="AF1531" i="2"/>
  <c r="AN1531" i="2" s="1"/>
  <c r="AQ1531" i="2" s="1"/>
  <c r="AF1532" i="2"/>
  <c r="AN1532" i="2" s="1"/>
  <c r="AQ1532" i="2" s="1"/>
  <c r="AF1533" i="2"/>
  <c r="AN1533" i="2" s="1"/>
  <c r="AQ1533" i="2" s="1"/>
  <c r="AF1534" i="2"/>
  <c r="AN1534" i="2" s="1"/>
  <c r="AQ1534" i="2" s="1"/>
  <c r="AF1535" i="2"/>
  <c r="AN1535" i="2" s="1"/>
  <c r="AQ1535" i="2" s="1"/>
  <c r="AF1536" i="2"/>
  <c r="AN1536" i="2" s="1"/>
  <c r="AQ1536" i="2" s="1"/>
  <c r="AF1537" i="2"/>
  <c r="AF1538" i="2"/>
  <c r="AN1538" i="2" s="1"/>
  <c r="AQ1538" i="2" s="1"/>
  <c r="AF1539" i="2"/>
  <c r="AN1539" i="2" s="1"/>
  <c r="AQ1539" i="2" s="1"/>
  <c r="AF1540" i="2"/>
  <c r="AN1540" i="2" s="1"/>
  <c r="AQ1540" i="2" s="1"/>
  <c r="AF1541" i="2"/>
  <c r="AN1541" i="2" s="1"/>
  <c r="AQ1541" i="2" s="1"/>
  <c r="AF1542" i="2"/>
  <c r="AN1542" i="2" s="1"/>
  <c r="AQ1542" i="2" s="1"/>
  <c r="AF1543" i="2"/>
  <c r="AN1543" i="2" s="1"/>
  <c r="AQ1543" i="2" s="1"/>
  <c r="AF1544" i="2"/>
  <c r="AN1544" i="2" s="1"/>
  <c r="AQ1544" i="2" s="1"/>
  <c r="AF1545" i="2"/>
  <c r="AN1545" i="2" s="1"/>
  <c r="AQ1545" i="2" s="1"/>
  <c r="AF1546" i="2"/>
  <c r="AN1546" i="2" s="1"/>
  <c r="AQ1546" i="2" s="1"/>
  <c r="AF1547" i="2"/>
  <c r="AN1547" i="2" s="1"/>
  <c r="AQ1547" i="2" s="1"/>
  <c r="AF1548" i="2"/>
  <c r="AN1548" i="2" s="1"/>
  <c r="AQ1548" i="2" s="1"/>
  <c r="AF1549" i="2"/>
  <c r="AN1549" i="2" s="1"/>
  <c r="AQ1549" i="2" s="1"/>
  <c r="AF1550" i="2"/>
  <c r="AN1550" i="2" s="1"/>
  <c r="AQ1550" i="2" s="1"/>
  <c r="AF1551" i="2"/>
  <c r="AN1551" i="2" s="1"/>
  <c r="AQ1551" i="2" s="1"/>
  <c r="AF1552" i="2"/>
  <c r="AN1552" i="2" s="1"/>
  <c r="AQ1552" i="2" s="1"/>
  <c r="AF1553" i="2"/>
  <c r="AN1553" i="2" s="1"/>
  <c r="AQ1553" i="2" s="1"/>
  <c r="AF1554" i="2"/>
  <c r="AN1554" i="2" s="1"/>
  <c r="AQ1554" i="2" s="1"/>
  <c r="AF1555" i="2"/>
  <c r="AF1556" i="2"/>
  <c r="AN1556" i="2" s="1"/>
  <c r="AQ1556" i="2" s="1"/>
  <c r="AF1557" i="2"/>
  <c r="AN1557" i="2" s="1"/>
  <c r="AQ1557" i="2" s="1"/>
  <c r="AF1558" i="2"/>
  <c r="AN1558" i="2" s="1"/>
  <c r="AQ1558" i="2" s="1"/>
  <c r="AF1559" i="2"/>
  <c r="AN1559" i="2" s="1"/>
  <c r="AQ1559" i="2" s="1"/>
  <c r="AF1560" i="2"/>
  <c r="AN1560" i="2" s="1"/>
  <c r="AF1561" i="2"/>
  <c r="AF1562" i="2"/>
  <c r="AN1562" i="2" s="1"/>
  <c r="AQ1562" i="2" s="1"/>
  <c r="AF1563" i="2"/>
  <c r="AF1564" i="2"/>
  <c r="AN1564" i="2" s="1"/>
  <c r="AQ1564" i="2" s="1"/>
  <c r="AF1565" i="2"/>
  <c r="AF1566" i="2"/>
  <c r="AN1566" i="2" s="1"/>
  <c r="AQ1566" i="2" s="1"/>
  <c r="AF1567" i="2"/>
  <c r="AN1567" i="2" s="1"/>
  <c r="AQ1567" i="2" s="1"/>
  <c r="AF1568" i="2"/>
  <c r="AN1568" i="2" s="1"/>
  <c r="AQ1568" i="2" s="1"/>
  <c r="AF1569" i="2"/>
  <c r="AN1569" i="2" s="1"/>
  <c r="AQ1569" i="2" s="1"/>
  <c r="AF1570" i="2"/>
  <c r="AN1570" i="2" s="1"/>
  <c r="AQ1570" i="2" s="1"/>
  <c r="AF1571" i="2"/>
  <c r="AN1571" i="2" s="1"/>
  <c r="AQ1571" i="2" s="1"/>
  <c r="AF1572" i="2"/>
  <c r="AN1572" i="2" s="1"/>
  <c r="AQ1572" i="2" s="1"/>
  <c r="AF1573" i="2"/>
  <c r="AN1573" i="2" s="1"/>
  <c r="AQ1573" i="2" s="1"/>
  <c r="AF1574" i="2"/>
  <c r="AN1574" i="2" s="1"/>
  <c r="AQ1574" i="2" s="1"/>
  <c r="AF1575" i="2"/>
  <c r="AN1575" i="2" s="1"/>
  <c r="AQ1575" i="2" s="1"/>
  <c r="AF1576" i="2"/>
  <c r="AN1576" i="2" s="1"/>
  <c r="AF1577" i="2"/>
  <c r="AN1577" i="2" s="1"/>
  <c r="AQ1577" i="2" s="1"/>
  <c r="AF1578" i="2"/>
  <c r="AN1578" i="2" s="1"/>
  <c r="AQ1578" i="2" s="1"/>
  <c r="AF1579" i="2"/>
  <c r="AN1579" i="2" s="1"/>
  <c r="AQ1579" i="2" s="1"/>
  <c r="AF1580" i="2"/>
  <c r="AN1580" i="2" s="1"/>
  <c r="AQ1580" i="2" s="1"/>
  <c r="AF1581" i="2"/>
  <c r="AN1581" i="2" s="1"/>
  <c r="AQ1581" i="2" s="1"/>
  <c r="AF1582" i="2"/>
  <c r="AN1582" i="2" s="1"/>
  <c r="AQ1582" i="2" s="1"/>
  <c r="AF1583" i="2"/>
  <c r="AN1583" i="2" s="1"/>
  <c r="AQ1583" i="2" s="1"/>
  <c r="AF1584" i="2"/>
  <c r="AN1584" i="2" s="1"/>
  <c r="AQ1584" i="2" s="1"/>
  <c r="AF1585" i="2"/>
  <c r="AN1585" i="2" s="1"/>
  <c r="AQ1585" i="2" s="1"/>
  <c r="AF1586" i="2"/>
  <c r="AN1586" i="2" s="1"/>
  <c r="AQ1586" i="2" s="1"/>
  <c r="AF1587" i="2"/>
  <c r="AN1587" i="2" s="1"/>
  <c r="AQ1587" i="2" s="1"/>
  <c r="AF1588" i="2"/>
  <c r="AN1588" i="2" s="1"/>
  <c r="AQ1588" i="2" s="1"/>
  <c r="AF1589" i="2"/>
  <c r="AN1589" i="2" s="1"/>
  <c r="AQ1589" i="2" s="1"/>
  <c r="AF1590" i="2"/>
  <c r="AN1590" i="2" s="1"/>
  <c r="AQ1590" i="2" s="1"/>
  <c r="AF1591" i="2"/>
  <c r="AN1591" i="2" s="1"/>
  <c r="AQ1591" i="2" s="1"/>
  <c r="AF1592" i="2"/>
  <c r="AN1592" i="2" s="1"/>
  <c r="AQ1592" i="2" s="1"/>
  <c r="AF1593" i="2"/>
  <c r="AF1594" i="2"/>
  <c r="AN1594" i="2" s="1"/>
  <c r="AQ1594" i="2" s="1"/>
  <c r="AF1595" i="2"/>
  <c r="AN1595" i="2" s="1"/>
  <c r="AQ1595" i="2" s="1"/>
  <c r="AF1596" i="2"/>
  <c r="AN1596" i="2" s="1"/>
  <c r="AQ1596" i="2" s="1"/>
  <c r="AF1597" i="2"/>
  <c r="AN1597" i="2" s="1"/>
  <c r="AQ1597" i="2" s="1"/>
  <c r="AF1598" i="2"/>
  <c r="AN1598" i="2" s="1"/>
  <c r="AQ1598" i="2" s="1"/>
  <c r="AF1599" i="2"/>
  <c r="AN1599" i="2" s="1"/>
  <c r="AQ1599" i="2" s="1"/>
  <c r="AF1600" i="2"/>
  <c r="AN1600" i="2" s="1"/>
  <c r="AQ1600" i="2" s="1"/>
  <c r="AF1601" i="2"/>
  <c r="AN1601" i="2" s="1"/>
  <c r="AQ1601" i="2" s="1"/>
  <c r="AF1602" i="2"/>
  <c r="AN1602" i="2" s="1"/>
  <c r="AQ1602" i="2" s="1"/>
  <c r="AF1603" i="2"/>
  <c r="AN1603" i="2" s="1"/>
  <c r="AQ1603" i="2" s="1"/>
  <c r="AF1604" i="2"/>
  <c r="AN1604" i="2" s="1"/>
  <c r="AQ1604" i="2" s="1"/>
  <c r="AF1605" i="2"/>
  <c r="AF1606" i="2"/>
  <c r="AN1606" i="2" s="1"/>
  <c r="AQ1606" i="2" s="1"/>
  <c r="AF1607" i="2"/>
  <c r="AN1607" i="2" s="1"/>
  <c r="AQ1607" i="2" s="1"/>
  <c r="AF1608" i="2"/>
  <c r="AN1608" i="2" s="1"/>
  <c r="AQ1608" i="2" s="1"/>
  <c r="AF1609" i="2"/>
  <c r="AN1609" i="2" s="1"/>
  <c r="AQ1609" i="2" s="1"/>
  <c r="AF1610" i="2"/>
  <c r="AN1610" i="2" s="1"/>
  <c r="AQ1610" i="2" s="1"/>
  <c r="AF1611" i="2"/>
  <c r="AN1611" i="2" s="1"/>
  <c r="AQ1611" i="2" s="1"/>
  <c r="AF1612" i="2"/>
  <c r="AN1612" i="2" s="1"/>
  <c r="AQ1612" i="2" s="1"/>
  <c r="AF1613" i="2"/>
  <c r="AF1614" i="2"/>
  <c r="AN1614" i="2" s="1"/>
  <c r="AQ1614" i="2" s="1"/>
  <c r="AF1615" i="2"/>
  <c r="AN1615" i="2" s="1"/>
  <c r="AQ1615" i="2" s="1"/>
  <c r="AF1616" i="2"/>
  <c r="AN1616" i="2" s="1"/>
  <c r="AQ1616" i="2" s="1"/>
  <c r="AF1617" i="2"/>
  <c r="AN1617" i="2" s="1"/>
  <c r="AQ1617" i="2" s="1"/>
  <c r="AF1618" i="2"/>
  <c r="AN1618" i="2" s="1"/>
  <c r="AQ1618" i="2" s="1"/>
  <c r="AF1619" i="2"/>
  <c r="AN1619" i="2" s="1"/>
  <c r="AQ1619" i="2" s="1"/>
  <c r="AF1620" i="2"/>
  <c r="AN1620" i="2" s="1"/>
  <c r="AQ1620" i="2" s="1"/>
  <c r="AF1621" i="2"/>
  <c r="AN1621" i="2" s="1"/>
  <c r="AQ1621" i="2" s="1"/>
  <c r="AF1622" i="2"/>
  <c r="AN1622" i="2" s="1"/>
  <c r="AQ1622" i="2" s="1"/>
  <c r="AF1623" i="2"/>
  <c r="AN1623" i="2" s="1"/>
  <c r="AQ1623" i="2" s="1"/>
  <c r="AF1624" i="2"/>
  <c r="AN1624" i="2" s="1"/>
  <c r="AQ1624" i="2" s="1"/>
  <c r="AF1625" i="2"/>
  <c r="AN1625" i="2" s="1"/>
  <c r="AQ1625" i="2" s="1"/>
  <c r="AF1626" i="2"/>
  <c r="AN1626" i="2" s="1"/>
  <c r="AQ1626" i="2" s="1"/>
  <c r="AF1627" i="2"/>
  <c r="AN1627" i="2" s="1"/>
  <c r="AQ1627" i="2" s="1"/>
  <c r="AF1628" i="2"/>
  <c r="AN1628" i="2" s="1"/>
  <c r="AQ1628" i="2" s="1"/>
  <c r="AF1629" i="2"/>
  <c r="AN1629" i="2" s="1"/>
  <c r="AQ1629" i="2" s="1"/>
  <c r="AF1630" i="2"/>
  <c r="AN1630" i="2" s="1"/>
  <c r="AQ1630" i="2" s="1"/>
  <c r="AF1631" i="2"/>
  <c r="AN1631" i="2" s="1"/>
  <c r="AQ1631" i="2" s="1"/>
  <c r="AF1632" i="2"/>
  <c r="AN1632" i="2" s="1"/>
  <c r="AQ1632" i="2" s="1"/>
  <c r="AF1633" i="2"/>
  <c r="AN1633" i="2" s="1"/>
  <c r="AQ1633" i="2" s="1"/>
  <c r="AF1634" i="2"/>
  <c r="AN1634" i="2" s="1"/>
  <c r="AQ1634" i="2" s="1"/>
  <c r="AF1635" i="2"/>
  <c r="AN1635" i="2" s="1"/>
  <c r="AQ1635" i="2" s="1"/>
  <c r="AF1636" i="2"/>
  <c r="AN1636" i="2" s="1"/>
  <c r="AQ1636" i="2" s="1"/>
  <c r="AF1637" i="2"/>
  <c r="AN1637" i="2" s="1"/>
  <c r="AQ1637" i="2" s="1"/>
  <c r="AF1638" i="2"/>
  <c r="AN1638" i="2" s="1"/>
  <c r="AQ1638" i="2" s="1"/>
  <c r="AF1639" i="2"/>
  <c r="AN1639" i="2" s="1"/>
  <c r="AQ1639" i="2" s="1"/>
  <c r="AF1640" i="2"/>
  <c r="AN1640" i="2" s="1"/>
  <c r="AQ1640" i="2" s="1"/>
  <c r="AF1641" i="2"/>
  <c r="AN1641" i="2" s="1"/>
  <c r="AQ1641" i="2" s="1"/>
  <c r="AF1642" i="2"/>
  <c r="AN1642" i="2" s="1"/>
  <c r="AQ1642" i="2" s="1"/>
  <c r="AF1643" i="2"/>
  <c r="AN1643" i="2" s="1"/>
  <c r="AQ1643" i="2" s="1"/>
  <c r="AF1644" i="2"/>
  <c r="AN1644" i="2" s="1"/>
  <c r="AQ1644" i="2" s="1"/>
  <c r="AF1645" i="2"/>
  <c r="AF1646" i="2"/>
  <c r="AN1646" i="2" s="1"/>
  <c r="AQ1646" i="2" s="1"/>
  <c r="AF1647" i="2"/>
  <c r="AN1647" i="2" s="1"/>
  <c r="AQ1647" i="2" s="1"/>
  <c r="AF1648" i="2"/>
  <c r="AF1649" i="2"/>
  <c r="AN1649" i="2" s="1"/>
  <c r="AQ1649" i="2" s="1"/>
  <c r="AF1650" i="2"/>
  <c r="AN1650" i="2" s="1"/>
  <c r="AQ1650" i="2" s="1"/>
  <c r="AF1651" i="2"/>
  <c r="AN1651" i="2" s="1"/>
  <c r="AQ1651" i="2" s="1"/>
  <c r="AF1652" i="2"/>
  <c r="AN1652" i="2" s="1"/>
  <c r="AQ1652" i="2" s="1"/>
  <c r="AF1653" i="2"/>
  <c r="AN1653" i="2" s="1"/>
  <c r="AQ1653" i="2" s="1"/>
  <c r="AF1654" i="2"/>
  <c r="AN1654" i="2" s="1"/>
  <c r="AQ1654" i="2" s="1"/>
  <c r="AF1655" i="2"/>
  <c r="AN1655" i="2" s="1"/>
  <c r="AQ1655" i="2" s="1"/>
  <c r="AF1656" i="2"/>
  <c r="AN1656" i="2" s="1"/>
  <c r="AQ1656" i="2" s="1"/>
  <c r="AF1657" i="2"/>
  <c r="AN1657" i="2" s="1"/>
  <c r="AQ1657" i="2" s="1"/>
  <c r="AF1658" i="2"/>
  <c r="AN1658" i="2" s="1"/>
  <c r="AQ1658" i="2" s="1"/>
  <c r="AF1659" i="2"/>
  <c r="AN1659" i="2" s="1"/>
  <c r="AQ1659" i="2" s="1"/>
  <c r="AF1660" i="2"/>
  <c r="AN1660" i="2" s="1"/>
  <c r="AQ1660" i="2" s="1"/>
  <c r="AF1661" i="2"/>
  <c r="AN1661" i="2" s="1"/>
  <c r="AQ1661" i="2" s="1"/>
  <c r="AF1662" i="2"/>
  <c r="AN1662" i="2" s="1"/>
  <c r="AQ1662" i="2" s="1"/>
  <c r="AF1663" i="2"/>
  <c r="AN1663" i="2" s="1"/>
  <c r="AQ1663" i="2" s="1"/>
  <c r="AF1664" i="2"/>
  <c r="AN1664" i="2" s="1"/>
  <c r="AQ1664" i="2" s="1"/>
  <c r="AF1665" i="2"/>
  <c r="AN1665" i="2" s="1"/>
  <c r="AQ1665" i="2" s="1"/>
  <c r="AF1666" i="2"/>
  <c r="AN1666" i="2" s="1"/>
  <c r="AQ1666" i="2" s="1"/>
  <c r="AF1667" i="2"/>
  <c r="AN1667" i="2" s="1"/>
  <c r="AQ1667" i="2" s="1"/>
  <c r="AF1668" i="2"/>
  <c r="AN1668" i="2" s="1"/>
  <c r="AQ1668" i="2" s="1"/>
  <c r="AF1669" i="2"/>
  <c r="AN1669" i="2" s="1"/>
  <c r="AQ1669" i="2" s="1"/>
  <c r="AF1670" i="2"/>
  <c r="AN1670" i="2" s="1"/>
  <c r="AF1671" i="2"/>
  <c r="AN1671" i="2" s="1"/>
  <c r="AQ1671" i="2" s="1"/>
  <c r="AF1672" i="2"/>
  <c r="AF1673" i="2"/>
  <c r="AN1673" i="2" s="1"/>
  <c r="AQ1673" i="2" s="1"/>
  <c r="AF1674" i="2"/>
  <c r="AN1674" i="2" s="1"/>
  <c r="AQ1674" i="2" s="1"/>
  <c r="AF1675" i="2"/>
  <c r="AN1675" i="2" s="1"/>
  <c r="AQ1675" i="2" s="1"/>
  <c r="AF1676" i="2"/>
  <c r="AN1676" i="2" s="1"/>
  <c r="AQ1676" i="2" s="1"/>
  <c r="AF1677" i="2"/>
  <c r="AN1677" i="2" s="1"/>
  <c r="AQ1677" i="2" s="1"/>
  <c r="AF1678" i="2"/>
  <c r="AN1678" i="2" s="1"/>
  <c r="AQ1678" i="2" s="1"/>
  <c r="AF1679" i="2"/>
  <c r="AN1679" i="2" s="1"/>
  <c r="AQ1679" i="2" s="1"/>
  <c r="AF1680" i="2"/>
  <c r="AN1680" i="2" s="1"/>
  <c r="AQ1680" i="2" s="1"/>
  <c r="AF1681" i="2"/>
  <c r="AN1681" i="2" s="1"/>
  <c r="AQ1681" i="2" s="1"/>
  <c r="AF1682" i="2"/>
  <c r="AN1682" i="2" s="1"/>
  <c r="AQ1682" i="2" s="1"/>
  <c r="AF1683" i="2"/>
  <c r="AN1683" i="2" s="1"/>
  <c r="AQ1683" i="2" s="1"/>
  <c r="AF1684" i="2"/>
  <c r="AN1684" i="2" s="1"/>
  <c r="AQ1684" i="2" s="1"/>
  <c r="AF1685" i="2"/>
  <c r="AN1685" i="2" s="1"/>
  <c r="AQ1685" i="2" s="1"/>
  <c r="AF1686" i="2"/>
  <c r="AN1686" i="2" s="1"/>
  <c r="AQ1686" i="2" s="1"/>
  <c r="AF1687" i="2"/>
  <c r="AN1687" i="2" s="1"/>
  <c r="AQ1687" i="2" s="1"/>
  <c r="AF1688" i="2"/>
  <c r="AN1688" i="2" s="1"/>
  <c r="AQ1688" i="2" s="1"/>
  <c r="AF1689" i="2"/>
  <c r="AN1689" i="2" s="1"/>
  <c r="AQ1689" i="2" s="1"/>
  <c r="AF1690" i="2"/>
  <c r="AN1690" i="2" s="1"/>
  <c r="AQ1690" i="2" s="1"/>
  <c r="AF1691" i="2"/>
  <c r="AN1691" i="2" s="1"/>
  <c r="AQ1691" i="2" s="1"/>
  <c r="AF1692" i="2"/>
  <c r="AN1692" i="2" s="1"/>
  <c r="AQ1692" i="2" s="1"/>
  <c r="AF1693" i="2"/>
  <c r="AN1693" i="2" s="1"/>
  <c r="AQ1693" i="2" s="1"/>
  <c r="AF1694" i="2"/>
  <c r="AN1694" i="2" s="1"/>
  <c r="AQ1694" i="2" s="1"/>
  <c r="AF1695" i="2"/>
  <c r="AN1695" i="2" s="1"/>
  <c r="AQ1695" i="2" s="1"/>
  <c r="AF1696" i="2"/>
  <c r="AN1696" i="2" s="1"/>
  <c r="AQ1696" i="2" s="1"/>
  <c r="AF1697" i="2"/>
  <c r="AN1697" i="2" s="1"/>
  <c r="AF1698" i="2"/>
  <c r="AN1698" i="2" s="1"/>
  <c r="AQ1698" i="2" s="1"/>
  <c r="AF1699" i="2"/>
  <c r="AN1699" i="2" s="1"/>
  <c r="AQ1699" i="2" s="1"/>
  <c r="AF1700" i="2"/>
  <c r="AN1700" i="2" s="1"/>
  <c r="AQ1700" i="2" s="1"/>
  <c r="AF1701" i="2"/>
  <c r="AF1702" i="2"/>
  <c r="AN1702" i="2" s="1"/>
  <c r="AQ1702" i="2" s="1"/>
  <c r="AF1703" i="2"/>
  <c r="AN1703" i="2" s="1"/>
  <c r="AQ1703" i="2" s="1"/>
  <c r="AF1704" i="2"/>
  <c r="AN1704" i="2" s="1"/>
  <c r="AQ1704" i="2" s="1"/>
  <c r="AF1705" i="2"/>
  <c r="AN1705" i="2" s="1"/>
  <c r="AQ1705" i="2" s="1"/>
  <c r="AF1706" i="2"/>
  <c r="AN1706" i="2" s="1"/>
  <c r="AQ1706" i="2" s="1"/>
  <c r="AF1707" i="2"/>
  <c r="AN1707" i="2" s="1"/>
  <c r="AQ1707" i="2" s="1"/>
  <c r="AF1708" i="2"/>
  <c r="AN1708" i="2" s="1"/>
  <c r="AQ1708" i="2" s="1"/>
  <c r="AF1709" i="2"/>
  <c r="AN1709" i="2" s="1"/>
  <c r="AQ1709" i="2" s="1"/>
  <c r="AF1710" i="2"/>
  <c r="AN1710" i="2" s="1"/>
  <c r="AQ1710" i="2" s="1"/>
  <c r="AF1711" i="2"/>
  <c r="AN1711" i="2" s="1"/>
  <c r="AQ1711" i="2" s="1"/>
  <c r="AF1712" i="2"/>
  <c r="AF1713" i="2"/>
  <c r="AN1713" i="2" s="1"/>
  <c r="AQ1713" i="2" s="1"/>
  <c r="AF1714" i="2"/>
  <c r="AN1714" i="2" s="1"/>
  <c r="AQ1714" i="2" s="1"/>
  <c r="AF1715" i="2"/>
  <c r="AN1715" i="2" s="1"/>
  <c r="AQ1715" i="2" s="1"/>
  <c r="AF1716" i="2"/>
  <c r="AN1716" i="2" s="1"/>
  <c r="AQ1716" i="2" s="1"/>
  <c r="AF1717" i="2"/>
  <c r="AN1717" i="2" s="1"/>
  <c r="AQ1717" i="2" s="1"/>
  <c r="AF1718" i="2"/>
  <c r="AN1718" i="2" s="1"/>
  <c r="AQ1718" i="2" s="1"/>
  <c r="AF1719" i="2"/>
  <c r="AN1719" i="2" s="1"/>
  <c r="AQ1719" i="2" s="1"/>
  <c r="AF1720" i="2"/>
  <c r="AN1720" i="2" s="1"/>
  <c r="AQ1720" i="2" s="1"/>
  <c r="AF1721" i="2"/>
  <c r="AN1721" i="2" s="1"/>
  <c r="AQ1721" i="2" s="1"/>
  <c r="AF1722" i="2"/>
  <c r="AN1722" i="2" s="1"/>
  <c r="AQ1722" i="2" s="1"/>
  <c r="AF1723" i="2"/>
  <c r="AN1723" i="2" s="1"/>
  <c r="AQ1723" i="2" s="1"/>
  <c r="AF1724" i="2"/>
  <c r="AN1724" i="2" s="1"/>
  <c r="AQ1724" i="2" s="1"/>
  <c r="AF1725" i="2"/>
  <c r="AN1725" i="2" s="1"/>
  <c r="AQ1725" i="2" s="1"/>
  <c r="AF1726" i="2"/>
  <c r="AN1726" i="2" s="1"/>
  <c r="AQ1726" i="2" s="1"/>
  <c r="AF1727" i="2"/>
  <c r="AN1727" i="2" s="1"/>
  <c r="AQ1727" i="2" s="1"/>
  <c r="AF1728" i="2"/>
  <c r="AF1729" i="2"/>
  <c r="AN1729" i="2" s="1"/>
  <c r="AQ1729" i="2" s="1"/>
  <c r="AF1730" i="2"/>
  <c r="AN1730" i="2" s="1"/>
  <c r="AQ1730" i="2" s="1"/>
  <c r="AF1731" i="2"/>
  <c r="AN1731" i="2" s="1"/>
  <c r="AQ1731" i="2" s="1"/>
  <c r="AF1732" i="2"/>
  <c r="AN1732" i="2" s="1"/>
  <c r="AQ1732" i="2" s="1"/>
  <c r="AF1733" i="2"/>
  <c r="AF1734" i="2"/>
  <c r="AN1734" i="2" s="1"/>
  <c r="AQ1734" i="2" s="1"/>
  <c r="AF1735" i="2"/>
  <c r="AN1735" i="2" s="1"/>
  <c r="AQ1735" i="2" s="1"/>
  <c r="AF1736" i="2"/>
  <c r="AN1736" i="2" s="1"/>
  <c r="AQ1736" i="2" s="1"/>
  <c r="AF1737" i="2"/>
  <c r="AN1737" i="2" s="1"/>
  <c r="AQ1737" i="2" s="1"/>
  <c r="AF1738" i="2"/>
  <c r="AN1738" i="2" s="1"/>
  <c r="AQ1738" i="2" s="1"/>
  <c r="AF1739" i="2"/>
  <c r="AN1739" i="2" s="1"/>
  <c r="AQ1739" i="2" s="1"/>
  <c r="AF1740" i="2"/>
  <c r="AN1740" i="2" s="1"/>
  <c r="AQ1740" i="2" s="1"/>
  <c r="AF1741" i="2"/>
  <c r="AN1741" i="2" s="1"/>
  <c r="AQ1741" i="2" s="1"/>
  <c r="AF1742" i="2"/>
  <c r="AN1742" i="2" s="1"/>
  <c r="AQ1742" i="2" s="1"/>
  <c r="AF1743" i="2"/>
  <c r="AF1744" i="2"/>
  <c r="AN1744" i="2" s="1"/>
  <c r="AQ1744" i="2" s="1"/>
  <c r="AF1745" i="2"/>
  <c r="AN1745" i="2" s="1"/>
  <c r="AQ1745" i="2" s="1"/>
  <c r="AF1746" i="2"/>
  <c r="AN1746" i="2" s="1"/>
  <c r="AQ1746" i="2" s="1"/>
  <c r="AF1747" i="2"/>
  <c r="AN1747" i="2" s="1"/>
  <c r="AQ1747" i="2" s="1"/>
  <c r="AF1748" i="2"/>
  <c r="AN1748" i="2" s="1"/>
  <c r="AQ1748" i="2" s="1"/>
  <c r="AF1749" i="2"/>
  <c r="AN1749" i="2" s="1"/>
  <c r="AQ1749" i="2" s="1"/>
  <c r="AF1750" i="2"/>
  <c r="AN1750" i="2" s="1"/>
  <c r="AQ1750" i="2" s="1"/>
  <c r="AF1751" i="2"/>
  <c r="AF1752" i="2"/>
  <c r="AF1753" i="2"/>
  <c r="AN1753" i="2" s="1"/>
  <c r="AQ1753" i="2" s="1"/>
  <c r="AF1754" i="2"/>
  <c r="AN1754" i="2" s="1"/>
  <c r="AQ1754" i="2" s="1"/>
  <c r="AF1755" i="2"/>
  <c r="AN1755" i="2" s="1"/>
  <c r="AQ1755" i="2" s="1"/>
  <c r="AF1756" i="2"/>
  <c r="AN1756" i="2" s="1"/>
  <c r="AQ1756" i="2" s="1"/>
  <c r="AF1757" i="2"/>
  <c r="AN1757" i="2" s="1"/>
  <c r="AQ1757" i="2" s="1"/>
  <c r="AF1758" i="2"/>
  <c r="AN1758" i="2" s="1"/>
  <c r="AQ1758" i="2" s="1"/>
  <c r="AF1759" i="2"/>
  <c r="AF1760" i="2"/>
  <c r="AN1760" i="2" s="1"/>
  <c r="AF1761" i="2"/>
  <c r="AN1761" i="2" s="1"/>
  <c r="AQ1761" i="2" s="1"/>
  <c r="AF1762" i="2"/>
  <c r="AN1762" i="2" s="1"/>
  <c r="AQ1762" i="2" s="1"/>
  <c r="AF1763" i="2"/>
  <c r="AN1763" i="2" s="1"/>
  <c r="AQ1763" i="2" s="1"/>
  <c r="AF1764" i="2"/>
  <c r="AN1764" i="2" s="1"/>
  <c r="AQ1764" i="2" s="1"/>
  <c r="AF1765" i="2"/>
  <c r="AN1765" i="2" s="1"/>
  <c r="AQ1765" i="2" s="1"/>
  <c r="AF1766" i="2"/>
  <c r="AN1766" i="2" s="1"/>
  <c r="AQ1766" i="2" s="1"/>
  <c r="AF1767" i="2"/>
  <c r="AF1768" i="2"/>
  <c r="AF1769" i="2"/>
  <c r="AN1769" i="2" s="1"/>
  <c r="AQ1769" i="2" s="1"/>
  <c r="AF1770" i="2"/>
  <c r="AN1770" i="2" s="1"/>
  <c r="AQ1770" i="2" s="1"/>
  <c r="AF1771" i="2"/>
  <c r="AN1771" i="2" s="1"/>
  <c r="AQ1771" i="2" s="1"/>
  <c r="AF1772" i="2"/>
  <c r="AN1772" i="2" s="1"/>
  <c r="AQ1772" i="2" s="1"/>
  <c r="AF1773" i="2"/>
  <c r="AN1773" i="2" s="1"/>
  <c r="AQ1773" i="2" s="1"/>
  <c r="AF1774" i="2"/>
  <c r="AN1774" i="2" s="1"/>
  <c r="AQ1774" i="2" s="1"/>
  <c r="AF1775" i="2"/>
  <c r="AN1775" i="2" s="1"/>
  <c r="AQ1775" i="2" s="1"/>
  <c r="AF1776" i="2"/>
  <c r="AN1776" i="2" s="1"/>
  <c r="AF1777" i="2"/>
  <c r="AN1777" i="2" s="1"/>
  <c r="AQ1777" i="2" s="1"/>
  <c r="AF1778" i="2"/>
  <c r="AN1778" i="2" s="1"/>
  <c r="AQ1778" i="2" s="1"/>
  <c r="AF1779" i="2"/>
  <c r="AN1779" i="2" s="1"/>
  <c r="AQ1779" i="2" s="1"/>
  <c r="AF1780" i="2"/>
  <c r="AN1780" i="2" s="1"/>
  <c r="AQ1780" i="2" s="1"/>
  <c r="AF1781" i="2"/>
  <c r="AN1781" i="2" s="1"/>
  <c r="AQ1781" i="2" s="1"/>
  <c r="AF1782" i="2"/>
  <c r="AN1782" i="2" s="1"/>
  <c r="AQ1782" i="2" s="1"/>
  <c r="AF1783" i="2"/>
  <c r="AN1783" i="2" s="1"/>
  <c r="AQ1783" i="2" s="1"/>
  <c r="AF1784" i="2"/>
  <c r="AN1784" i="2" s="1"/>
  <c r="AQ1784" i="2" s="1"/>
  <c r="AF1785" i="2"/>
  <c r="AN1785" i="2" s="1"/>
  <c r="AQ1785" i="2" s="1"/>
  <c r="AF1786" i="2"/>
  <c r="AN1786" i="2" s="1"/>
  <c r="AQ1786" i="2" s="1"/>
  <c r="AF1787" i="2"/>
  <c r="AN1787" i="2" s="1"/>
  <c r="AQ1787" i="2" s="1"/>
  <c r="AF1788" i="2"/>
  <c r="AN1788" i="2" s="1"/>
  <c r="AQ1788" i="2" s="1"/>
  <c r="AF1789" i="2"/>
  <c r="AN1789" i="2" s="1"/>
  <c r="AQ1789" i="2" s="1"/>
  <c r="AF1790" i="2"/>
  <c r="AN1790" i="2" s="1"/>
  <c r="AQ1790" i="2" s="1"/>
  <c r="AF1791" i="2"/>
  <c r="AN1791" i="2" s="1"/>
  <c r="AQ1791" i="2" s="1"/>
  <c r="AF1792" i="2"/>
  <c r="AN1792" i="2" s="1"/>
  <c r="AQ1792" i="2" s="1"/>
  <c r="AF1793" i="2"/>
  <c r="AN1793" i="2" s="1"/>
  <c r="AQ1793" i="2" s="1"/>
  <c r="AF1794" i="2"/>
  <c r="AN1794" i="2" s="1"/>
  <c r="AQ1794" i="2" s="1"/>
  <c r="AF1795" i="2"/>
  <c r="AF1796" i="2"/>
  <c r="AN1796" i="2" s="1"/>
  <c r="AQ1796" i="2" s="1"/>
  <c r="AF1797" i="2"/>
  <c r="AN1797" i="2" s="1"/>
  <c r="AQ1797" i="2" s="1"/>
  <c r="AF1798" i="2"/>
  <c r="AN1798" i="2" s="1"/>
  <c r="AQ1798" i="2" s="1"/>
  <c r="AF1799" i="2"/>
  <c r="AN1799" i="2" s="1"/>
  <c r="AQ1799" i="2" s="1"/>
  <c r="AF1800" i="2"/>
  <c r="AF1801" i="2"/>
  <c r="AN1801" i="2" s="1"/>
  <c r="AF1802" i="2"/>
  <c r="AN1802" i="2" s="1"/>
  <c r="AQ1802" i="2" s="1"/>
  <c r="AF1803" i="2"/>
  <c r="AN1803" i="2" s="1"/>
  <c r="AQ1803" i="2" s="1"/>
  <c r="AF1804" i="2"/>
  <c r="AN1804" i="2" s="1"/>
  <c r="AQ1804" i="2" s="1"/>
  <c r="AF1805" i="2"/>
  <c r="AN1805" i="2" s="1"/>
  <c r="AQ1805" i="2" s="1"/>
  <c r="AF1806" i="2"/>
  <c r="AN1806" i="2" s="1"/>
  <c r="AQ1806" i="2" s="1"/>
  <c r="AF1807" i="2"/>
  <c r="AN1807" i="2" s="1"/>
  <c r="AQ1807" i="2" s="1"/>
  <c r="AF1808" i="2"/>
  <c r="AN1808" i="2" s="1"/>
  <c r="AQ1808" i="2" s="1"/>
  <c r="AF1809" i="2"/>
  <c r="AN1809" i="2" s="1"/>
  <c r="AQ1809" i="2" s="1"/>
  <c r="AF1810" i="2"/>
  <c r="AN1810" i="2" s="1"/>
  <c r="AQ1810" i="2" s="1"/>
  <c r="AF1811" i="2"/>
  <c r="AN1811" i="2" s="1"/>
  <c r="AQ1811" i="2" s="1"/>
  <c r="AF1812" i="2"/>
  <c r="AN1812" i="2" s="1"/>
  <c r="AQ1812" i="2" s="1"/>
  <c r="AF1813" i="2"/>
  <c r="AN1813" i="2" s="1"/>
  <c r="AQ1813" i="2" s="1"/>
  <c r="AF1814" i="2"/>
  <c r="AN1814" i="2" s="1"/>
  <c r="AQ1814" i="2" s="1"/>
  <c r="AF1815" i="2"/>
  <c r="AF1816" i="2"/>
  <c r="AN1816" i="2" s="1"/>
  <c r="AQ1816" i="2" s="1"/>
  <c r="AF1817" i="2"/>
  <c r="AN1817" i="2" s="1"/>
  <c r="AQ1817" i="2" s="1"/>
  <c r="AF1818" i="2"/>
  <c r="AN1818" i="2" s="1"/>
  <c r="AQ1818" i="2" s="1"/>
  <c r="AF1819" i="2"/>
  <c r="AN1819" i="2" s="1"/>
  <c r="AQ1819" i="2" s="1"/>
  <c r="AF1820" i="2"/>
  <c r="AN1820" i="2" s="1"/>
  <c r="AQ1820" i="2" s="1"/>
  <c r="AF1821" i="2"/>
  <c r="AN1821" i="2" s="1"/>
  <c r="AQ1821" i="2" s="1"/>
  <c r="AF1822" i="2"/>
  <c r="AN1822" i="2" s="1"/>
  <c r="AQ1822" i="2" s="1"/>
  <c r="AF1823" i="2"/>
  <c r="AF1824" i="2"/>
  <c r="AN1824" i="2" s="1"/>
  <c r="AQ1824" i="2" s="1"/>
  <c r="AF1825" i="2"/>
  <c r="AN1825" i="2" s="1"/>
  <c r="AQ1825" i="2" s="1"/>
  <c r="AF1826" i="2"/>
  <c r="AN1826" i="2" s="1"/>
  <c r="AQ1826" i="2" s="1"/>
  <c r="AF1827" i="2"/>
  <c r="AN1827" i="2" s="1"/>
  <c r="AQ1827" i="2" s="1"/>
  <c r="AF1828" i="2"/>
  <c r="AN1828" i="2" s="1"/>
  <c r="AQ1828" i="2" s="1"/>
  <c r="AF1829" i="2"/>
  <c r="AN1829" i="2" s="1"/>
  <c r="AQ1829" i="2" s="1"/>
  <c r="AF1830" i="2"/>
  <c r="AN1830" i="2" s="1"/>
  <c r="AQ1830" i="2" s="1"/>
  <c r="AF1831" i="2"/>
  <c r="AN1831" i="2" s="1"/>
  <c r="AQ1831" i="2" s="1"/>
  <c r="AF1832" i="2"/>
  <c r="AF1833" i="2"/>
  <c r="AN1833" i="2" s="1"/>
  <c r="AQ1833" i="2" s="1"/>
  <c r="AF1834" i="2"/>
  <c r="AN1834" i="2" s="1"/>
  <c r="AQ1834" i="2" s="1"/>
  <c r="AF1835" i="2"/>
  <c r="AN1835" i="2" s="1"/>
  <c r="AQ1835" i="2" s="1"/>
  <c r="AF1836" i="2"/>
  <c r="AN1836" i="2" s="1"/>
  <c r="AQ1836" i="2" s="1"/>
  <c r="AF1837" i="2"/>
  <c r="AN1837" i="2" s="1"/>
  <c r="AQ1837" i="2" s="1"/>
  <c r="AF1838" i="2"/>
  <c r="AN1838" i="2" s="1"/>
  <c r="AQ1838" i="2" s="1"/>
  <c r="AF1839" i="2"/>
  <c r="AN1839" i="2" s="1"/>
  <c r="AQ1839" i="2" s="1"/>
  <c r="AF1840" i="2"/>
  <c r="AN1840" i="2" s="1"/>
  <c r="AQ1840" i="2" s="1"/>
  <c r="AF1841" i="2"/>
  <c r="AN1841" i="2" s="1"/>
  <c r="AQ1841" i="2" s="1"/>
  <c r="AF1842" i="2"/>
  <c r="AN1842" i="2" s="1"/>
  <c r="AQ1842" i="2" s="1"/>
  <c r="AF1843" i="2"/>
  <c r="AF1844" i="2"/>
  <c r="AN1844" i="2" s="1"/>
  <c r="AQ1844" i="2" s="1"/>
  <c r="AF1845" i="2"/>
  <c r="AF1846" i="2"/>
  <c r="AN1846" i="2" s="1"/>
  <c r="AQ1846" i="2" s="1"/>
  <c r="AF1847" i="2"/>
  <c r="AF1848" i="2"/>
  <c r="AF1849" i="2"/>
  <c r="AN1849" i="2" s="1"/>
  <c r="AQ1849" i="2" s="1"/>
  <c r="AF1850" i="2"/>
  <c r="AN1850" i="2" s="1"/>
  <c r="AQ1850" i="2" s="1"/>
  <c r="AF1851" i="2"/>
  <c r="AN1851" i="2" s="1"/>
  <c r="AQ1851" i="2" s="1"/>
  <c r="AF1852" i="2"/>
  <c r="AN1852" i="2" s="1"/>
  <c r="AQ1852" i="2" s="1"/>
  <c r="AF1853" i="2"/>
  <c r="AF1854" i="2"/>
  <c r="AN1854" i="2" s="1"/>
  <c r="AQ1854" i="2" s="1"/>
  <c r="AF1855" i="2"/>
  <c r="AN1855" i="2" s="1"/>
  <c r="AQ1855" i="2" s="1"/>
  <c r="AF1856" i="2"/>
  <c r="AN1856" i="2" s="1"/>
  <c r="AQ1856" i="2" s="1"/>
  <c r="AF1857" i="2"/>
  <c r="AN1857" i="2" s="1"/>
  <c r="AQ1857" i="2" s="1"/>
  <c r="AF1858" i="2"/>
  <c r="AN1858" i="2" s="1"/>
  <c r="AQ1858" i="2" s="1"/>
  <c r="AF1859" i="2"/>
  <c r="AN1859" i="2" s="1"/>
  <c r="AQ1859" i="2" s="1"/>
  <c r="AF1860" i="2"/>
  <c r="AN1860" i="2" s="1"/>
  <c r="AQ1860" i="2" s="1"/>
  <c r="AF1861" i="2"/>
  <c r="AN1861" i="2" s="1"/>
  <c r="AQ1861" i="2" s="1"/>
  <c r="AF1862" i="2"/>
  <c r="AN1862" i="2" s="1"/>
  <c r="AQ1862" i="2" s="1"/>
  <c r="AF1863" i="2"/>
  <c r="AF1864" i="2"/>
  <c r="AN1864" i="2" s="1"/>
  <c r="AQ1864" i="2" s="1"/>
  <c r="AF1865" i="2"/>
  <c r="AN1865" i="2" s="1"/>
  <c r="AQ1865" i="2" s="1"/>
  <c r="AF1866" i="2"/>
  <c r="AN1866" i="2" s="1"/>
  <c r="AQ1866" i="2" s="1"/>
  <c r="AF1867" i="2"/>
  <c r="AN1867" i="2" s="1"/>
  <c r="AQ1867" i="2" s="1"/>
  <c r="AF1868" i="2"/>
  <c r="AN1868" i="2" s="1"/>
  <c r="AQ1868" i="2" s="1"/>
  <c r="AF1869" i="2"/>
  <c r="AN1869" i="2" s="1"/>
  <c r="AQ1869" i="2" s="1"/>
  <c r="AF1870" i="2"/>
  <c r="AN1870" i="2" s="1"/>
  <c r="AQ1870" i="2" s="1"/>
  <c r="AF1871" i="2"/>
  <c r="AN1871" i="2" s="1"/>
  <c r="AQ1871" i="2" s="1"/>
  <c r="AF1872" i="2"/>
  <c r="AN1872" i="2" s="1"/>
  <c r="AQ1872" i="2" s="1"/>
  <c r="AF1873" i="2"/>
  <c r="AN1873" i="2" s="1"/>
  <c r="AQ1873" i="2" s="1"/>
  <c r="AF1874" i="2"/>
  <c r="AN1874" i="2" s="1"/>
  <c r="AQ1874" i="2" s="1"/>
  <c r="AF1875" i="2"/>
  <c r="AN1875" i="2" s="1"/>
  <c r="AQ1875" i="2" s="1"/>
  <c r="AF1876" i="2"/>
  <c r="AN1876" i="2" s="1"/>
  <c r="AQ1876" i="2" s="1"/>
  <c r="AF1877" i="2"/>
  <c r="AN1877" i="2" s="1"/>
  <c r="AQ1877" i="2" s="1"/>
  <c r="AF1878" i="2"/>
  <c r="AN1878" i="2" s="1"/>
  <c r="AQ1878" i="2" s="1"/>
  <c r="AF1879" i="2"/>
  <c r="AF1880" i="2"/>
  <c r="AN1880" i="2" s="1"/>
  <c r="AQ1880" i="2" s="1"/>
  <c r="AF1881" i="2"/>
  <c r="AN1881" i="2" s="1"/>
  <c r="AQ1881" i="2" s="1"/>
  <c r="AF1882" i="2"/>
  <c r="AN1882" i="2" s="1"/>
  <c r="AQ1882" i="2" s="1"/>
  <c r="AF1883" i="2"/>
  <c r="AN1883" i="2" s="1"/>
  <c r="AQ1883" i="2" s="1"/>
  <c r="AF1884" i="2"/>
  <c r="AN1884" i="2" s="1"/>
  <c r="AQ1884" i="2" s="1"/>
  <c r="AF1885" i="2"/>
  <c r="AN1885" i="2" s="1"/>
  <c r="AQ1885" i="2" s="1"/>
  <c r="AF1886" i="2"/>
  <c r="AN1886" i="2" s="1"/>
  <c r="AQ1886" i="2" s="1"/>
  <c r="AF1887" i="2"/>
  <c r="AF1888" i="2"/>
  <c r="AN1888" i="2" s="1"/>
  <c r="AQ1888" i="2" s="1"/>
  <c r="AF1889" i="2"/>
  <c r="AN1889" i="2" s="1"/>
  <c r="AQ1889" i="2" s="1"/>
  <c r="AF1890" i="2"/>
  <c r="AN1890" i="2" s="1"/>
  <c r="AQ1890" i="2" s="1"/>
  <c r="AF1891" i="2"/>
  <c r="AN1891" i="2" s="1"/>
  <c r="AQ1891" i="2" s="1"/>
  <c r="AF1892" i="2"/>
  <c r="AN1892" i="2" s="1"/>
  <c r="AQ1892" i="2" s="1"/>
  <c r="AF1893" i="2"/>
  <c r="AN1893" i="2" s="1"/>
  <c r="AQ1893" i="2" s="1"/>
  <c r="AF1894" i="2"/>
  <c r="AN1894" i="2" s="1"/>
  <c r="AQ1894" i="2" s="1"/>
  <c r="AF1895" i="2"/>
  <c r="AF1896" i="2"/>
  <c r="AN1896" i="2" s="1"/>
  <c r="AF1897" i="2"/>
  <c r="AN1897" i="2" s="1"/>
  <c r="AQ1897" i="2" s="1"/>
  <c r="AF1898" i="2"/>
  <c r="AN1898" i="2" s="1"/>
  <c r="AQ1898" i="2" s="1"/>
  <c r="AF1899" i="2"/>
  <c r="AN1899" i="2" s="1"/>
  <c r="AQ1899" i="2" s="1"/>
  <c r="AF1900" i="2"/>
  <c r="AN1900" i="2" s="1"/>
  <c r="AQ1900" i="2" s="1"/>
  <c r="AF1901" i="2"/>
  <c r="AF1902" i="2"/>
  <c r="AN1902" i="2" s="1"/>
  <c r="AQ1902" i="2" s="1"/>
  <c r="AF1903" i="2"/>
  <c r="AF1904" i="2"/>
  <c r="AN1904" i="2" s="1"/>
  <c r="AQ1904" i="2" s="1"/>
  <c r="AF1905" i="2"/>
  <c r="AN1905" i="2" s="1"/>
  <c r="AQ1905" i="2" s="1"/>
  <c r="AF1906" i="2"/>
  <c r="AN1906" i="2" s="1"/>
  <c r="AQ1906" i="2" s="1"/>
  <c r="AF1907" i="2"/>
  <c r="AN1907" i="2" s="1"/>
  <c r="AQ1907" i="2" s="1"/>
  <c r="AF1908" i="2"/>
  <c r="AN1908" i="2" s="1"/>
  <c r="AQ1908" i="2" s="1"/>
  <c r="AF1909" i="2"/>
  <c r="AF1910" i="2"/>
  <c r="AN1910" i="2" s="1"/>
  <c r="AQ1910" i="2" s="1"/>
  <c r="AF1911" i="2"/>
  <c r="AF1912" i="2"/>
  <c r="AN1912" i="2" s="1"/>
  <c r="AQ1912" i="2" s="1"/>
  <c r="AF1913" i="2"/>
  <c r="AN1913" i="2" s="1"/>
  <c r="AQ1913" i="2" s="1"/>
  <c r="AF1914" i="2"/>
  <c r="AN1914" i="2" s="1"/>
  <c r="AQ1914" i="2" s="1"/>
  <c r="AF1915" i="2"/>
  <c r="AF1916" i="2"/>
  <c r="AN1916" i="2" s="1"/>
  <c r="AQ1916" i="2" s="1"/>
  <c r="AF1917" i="2"/>
  <c r="AF1918" i="2"/>
  <c r="AN1918" i="2" s="1"/>
  <c r="AQ1918" i="2" s="1"/>
  <c r="AF1919" i="2"/>
  <c r="AF1920" i="2"/>
  <c r="AN1920" i="2" s="1"/>
  <c r="AQ1920" i="2" s="1"/>
  <c r="AF1921" i="2"/>
  <c r="AN1921" i="2" s="1"/>
  <c r="AQ1921" i="2" s="1"/>
  <c r="AF1922" i="2"/>
  <c r="AN1922" i="2" s="1"/>
  <c r="AQ1922" i="2" s="1"/>
  <c r="AF1923" i="2"/>
  <c r="AN1923" i="2" s="1"/>
  <c r="AQ1923" i="2" s="1"/>
  <c r="AF1924" i="2"/>
  <c r="AN1924" i="2" s="1"/>
  <c r="AQ1924" i="2" s="1"/>
  <c r="AF1925" i="2"/>
  <c r="AN1925" i="2" s="1"/>
  <c r="AQ1925" i="2" s="1"/>
  <c r="AF1926" i="2"/>
  <c r="AN1926" i="2" s="1"/>
  <c r="AQ1926" i="2" s="1"/>
  <c r="AF1927" i="2"/>
  <c r="AF1928" i="2"/>
  <c r="AN1928" i="2" s="1"/>
  <c r="AQ1928" i="2" s="1"/>
  <c r="AF1929" i="2"/>
  <c r="AN1929" i="2" s="1"/>
  <c r="AQ1929" i="2" s="1"/>
  <c r="AF1930" i="2"/>
  <c r="AN1930" i="2" s="1"/>
  <c r="AQ1930" i="2" s="1"/>
  <c r="AF1931" i="2"/>
  <c r="AF1932" i="2"/>
  <c r="AN1932" i="2" s="1"/>
  <c r="AQ1932" i="2" s="1"/>
  <c r="AF1933" i="2"/>
  <c r="AN1933" i="2" s="1"/>
  <c r="AQ1933" i="2" s="1"/>
  <c r="AF1934" i="2"/>
  <c r="AN1934" i="2" s="1"/>
  <c r="AQ1934" i="2" s="1"/>
  <c r="AF1935" i="2"/>
  <c r="AF1936" i="2"/>
  <c r="AN1936" i="2" s="1"/>
  <c r="AQ1936" i="2" s="1"/>
  <c r="AF1937" i="2"/>
  <c r="AN1937" i="2" s="1"/>
  <c r="AQ1937" i="2" s="1"/>
  <c r="AF1938" i="2"/>
  <c r="AN1938" i="2" s="1"/>
  <c r="AQ1938" i="2" s="1"/>
  <c r="AF1939" i="2"/>
  <c r="AN1939" i="2" s="1"/>
  <c r="AQ1939" i="2" s="1"/>
  <c r="AF1940" i="2"/>
  <c r="AN1940" i="2" s="1"/>
  <c r="AQ1940" i="2" s="1"/>
  <c r="AF1941" i="2"/>
  <c r="AN1941" i="2" s="1"/>
  <c r="AQ1941" i="2" s="1"/>
  <c r="AF1942" i="2"/>
  <c r="AN1942" i="2" s="1"/>
  <c r="AQ1942" i="2" s="1"/>
  <c r="AF1943" i="2"/>
  <c r="AN1943" i="2" s="1"/>
  <c r="AQ1943" i="2" s="1"/>
  <c r="AF1944" i="2"/>
  <c r="AN1944" i="2" s="1"/>
  <c r="AQ1944" i="2" s="1"/>
  <c r="AF1945" i="2"/>
  <c r="AN1945" i="2" s="1"/>
  <c r="AQ1945" i="2" s="1"/>
  <c r="AF1946" i="2"/>
  <c r="AN1946" i="2" s="1"/>
  <c r="AQ1946" i="2" s="1"/>
  <c r="AF1947" i="2"/>
  <c r="AN1947" i="2" s="1"/>
  <c r="AQ1947" i="2" s="1"/>
  <c r="AF1948" i="2"/>
  <c r="AN1948" i="2" s="1"/>
  <c r="AQ1948" i="2" s="1"/>
  <c r="AF1949" i="2"/>
  <c r="AN1949" i="2" s="1"/>
  <c r="AQ1949" i="2" s="1"/>
  <c r="AF1950" i="2"/>
  <c r="AN1950" i="2" s="1"/>
  <c r="AQ1950" i="2" s="1"/>
  <c r="AF1951" i="2"/>
  <c r="AF1952" i="2"/>
  <c r="AN1952" i="2" s="1"/>
  <c r="AQ1952" i="2" s="1"/>
  <c r="AF1953" i="2"/>
  <c r="AN1953" i="2" s="1"/>
  <c r="AQ1953" i="2" s="1"/>
  <c r="AF1954" i="2"/>
  <c r="AN1954" i="2" s="1"/>
  <c r="AQ1954" i="2" s="1"/>
  <c r="AF1955" i="2"/>
  <c r="AN1955" i="2" s="1"/>
  <c r="AQ1955" i="2" s="1"/>
  <c r="AF1956" i="2"/>
  <c r="AN1956" i="2" s="1"/>
  <c r="AQ1956" i="2" s="1"/>
  <c r="AF1957" i="2"/>
  <c r="AN1957" i="2" s="1"/>
  <c r="AQ1957" i="2" s="1"/>
  <c r="AF1958" i="2"/>
  <c r="AN1958" i="2" s="1"/>
  <c r="AQ1958" i="2" s="1"/>
  <c r="AF1959" i="2"/>
  <c r="AF1960" i="2"/>
  <c r="AN1960" i="2" s="1"/>
  <c r="AQ1960" i="2" s="1"/>
  <c r="AF1961" i="2"/>
  <c r="AN1961" i="2" s="1"/>
  <c r="AQ1961" i="2" s="1"/>
  <c r="AF1962" i="2"/>
  <c r="AN1962" i="2" s="1"/>
  <c r="AQ1962" i="2" s="1"/>
  <c r="AF1963" i="2"/>
  <c r="AN1963" i="2" s="1"/>
  <c r="AQ1963" i="2" s="1"/>
  <c r="AF1964" i="2"/>
  <c r="AN1964" i="2" s="1"/>
  <c r="AQ1964" i="2" s="1"/>
  <c r="AF1965" i="2"/>
  <c r="AN1965" i="2" s="1"/>
  <c r="AQ1965" i="2" s="1"/>
  <c r="AF1966" i="2"/>
  <c r="AN1966" i="2" s="1"/>
  <c r="AQ1966" i="2" s="1"/>
  <c r="AF1967" i="2"/>
  <c r="AF1968" i="2"/>
  <c r="AN1968" i="2" s="1"/>
  <c r="AQ1968" i="2" s="1"/>
  <c r="AF1969" i="2"/>
  <c r="AN1969" i="2" s="1"/>
  <c r="AQ1969" i="2" s="1"/>
  <c r="AF1970" i="2"/>
  <c r="AN1970" i="2" s="1"/>
  <c r="AQ1970" i="2" s="1"/>
  <c r="AF1971" i="2"/>
  <c r="AN1971" i="2" s="1"/>
  <c r="AQ1971" i="2" s="1"/>
  <c r="AF1972" i="2"/>
  <c r="AN1972" i="2" s="1"/>
  <c r="AQ1972" i="2" s="1"/>
  <c r="AF1973" i="2"/>
  <c r="AN1973" i="2" s="1"/>
  <c r="AQ1973" i="2" s="1"/>
  <c r="AF1974" i="2"/>
  <c r="AN1974" i="2" s="1"/>
  <c r="AQ1974" i="2" s="1"/>
  <c r="AF1975" i="2"/>
  <c r="AN1975" i="2" s="1"/>
  <c r="AQ1975" i="2" s="1"/>
  <c r="AF1976" i="2"/>
  <c r="AN1976" i="2" s="1"/>
  <c r="AQ1976" i="2" s="1"/>
  <c r="AF1977" i="2"/>
  <c r="AN1977" i="2" s="1"/>
  <c r="AQ1977" i="2" s="1"/>
  <c r="AF1978" i="2"/>
  <c r="AN1978" i="2" s="1"/>
  <c r="AQ1978" i="2" s="1"/>
  <c r="AF1979" i="2"/>
  <c r="AN1979" i="2" s="1"/>
  <c r="AQ1979" i="2" s="1"/>
  <c r="AF1980" i="2"/>
  <c r="AN1980" i="2" s="1"/>
  <c r="AQ1980" i="2" s="1"/>
  <c r="AF1981" i="2"/>
  <c r="AN1981" i="2" s="1"/>
  <c r="AQ1981" i="2" s="1"/>
  <c r="AF1982" i="2"/>
  <c r="AN1982" i="2" s="1"/>
  <c r="AQ1982" i="2" s="1"/>
  <c r="AF1983" i="2"/>
  <c r="AN1983" i="2" s="1"/>
  <c r="AQ1983" i="2" s="1"/>
  <c r="AF1984" i="2"/>
  <c r="AF1985" i="2"/>
  <c r="AN1985" i="2" s="1"/>
  <c r="AQ1985" i="2" s="1"/>
  <c r="AF1986" i="2"/>
  <c r="AN1986" i="2" s="1"/>
  <c r="AQ1986" i="2" s="1"/>
  <c r="AF1987" i="2"/>
  <c r="AN1987" i="2" s="1"/>
  <c r="AQ1987" i="2" s="1"/>
  <c r="AF1988" i="2"/>
  <c r="AN1988" i="2" s="1"/>
  <c r="AQ1988" i="2" s="1"/>
  <c r="AF1989" i="2"/>
  <c r="AF1990" i="2"/>
  <c r="AN1990" i="2" s="1"/>
  <c r="AQ1990" i="2" s="1"/>
  <c r="AF1991" i="2"/>
  <c r="AN1991" i="2" s="1"/>
  <c r="AQ1991" i="2" s="1"/>
  <c r="AF1992" i="2"/>
  <c r="AN1992" i="2" s="1"/>
  <c r="AQ1992" i="2" s="1"/>
  <c r="AF1993" i="2"/>
  <c r="AN1993" i="2" s="1"/>
  <c r="AQ1993" i="2" s="1"/>
  <c r="AF1994" i="2"/>
  <c r="AN1994" i="2" s="1"/>
  <c r="AQ1994" i="2" s="1"/>
  <c r="AF1995" i="2"/>
  <c r="AN1995" i="2" s="1"/>
  <c r="AQ1995" i="2" s="1"/>
  <c r="AF1996" i="2"/>
  <c r="AN1996" i="2" s="1"/>
  <c r="AQ1996" i="2" s="1"/>
  <c r="AF1997" i="2"/>
  <c r="AN1997" i="2" s="1"/>
  <c r="AQ1997" i="2" s="1"/>
  <c r="AF1998" i="2"/>
  <c r="AN1998" i="2" s="1"/>
  <c r="AQ1998" i="2" s="1"/>
  <c r="AF1999" i="2"/>
  <c r="AN1999" i="2" s="1"/>
  <c r="AQ1999" i="2" s="1"/>
  <c r="AF2000" i="2"/>
  <c r="AN2000" i="2" s="1"/>
  <c r="AQ2000" i="2" s="1"/>
  <c r="AF2001" i="2"/>
  <c r="AN2001" i="2" s="1"/>
  <c r="AQ2001" i="2" s="1"/>
  <c r="AF2002" i="2"/>
  <c r="AN2002" i="2" s="1"/>
  <c r="AQ2002" i="2" s="1"/>
  <c r="AF2003" i="2"/>
  <c r="AF2004" i="2"/>
  <c r="AN2004" i="2" s="1"/>
  <c r="AQ2004" i="2" s="1"/>
  <c r="AF2005" i="2"/>
  <c r="AN2005" i="2" s="1"/>
  <c r="AQ2005" i="2" s="1"/>
  <c r="AF2006" i="2"/>
  <c r="AN2006" i="2" s="1"/>
  <c r="AQ2006" i="2" s="1"/>
  <c r="AF2007" i="2"/>
  <c r="AN2007" i="2" s="1"/>
  <c r="AQ2007" i="2" s="1"/>
  <c r="AF2008" i="2"/>
  <c r="AN2008" i="2" s="1"/>
  <c r="AQ2008" i="2" s="1"/>
  <c r="AF2009" i="2"/>
  <c r="AN2009" i="2" s="1"/>
  <c r="AQ2009" i="2" s="1"/>
  <c r="AF2010" i="2"/>
  <c r="AN2010" i="2" s="1"/>
  <c r="AQ2010" i="2" s="1"/>
  <c r="AF2011" i="2"/>
  <c r="AN2011" i="2" s="1"/>
  <c r="AQ2011" i="2" s="1"/>
  <c r="AF2012" i="2"/>
  <c r="AN2012" i="2" s="1"/>
  <c r="AQ2012" i="2" s="1"/>
  <c r="AF2013" i="2"/>
  <c r="AN2013" i="2" s="1"/>
  <c r="AQ2013" i="2" s="1"/>
  <c r="AF2014" i="2"/>
  <c r="AN2014" i="2" s="1"/>
  <c r="AQ2014" i="2" s="1"/>
  <c r="AF2015" i="2"/>
  <c r="AF2016" i="2"/>
  <c r="AN2016" i="2" s="1"/>
  <c r="AQ2016" i="2" s="1"/>
  <c r="AF2017" i="2"/>
  <c r="AN2017" i="2" s="1"/>
  <c r="AQ2017" i="2" s="1"/>
  <c r="AF2018" i="2"/>
  <c r="AN2018" i="2" s="1"/>
  <c r="AQ2018" i="2" s="1"/>
  <c r="AF2019" i="2"/>
  <c r="AF2020" i="2"/>
  <c r="AN2020" i="2" s="1"/>
  <c r="AQ2020" i="2" s="1"/>
  <c r="AF2021" i="2"/>
  <c r="AN2021" i="2" s="1"/>
  <c r="AQ2021" i="2" s="1"/>
  <c r="AF2022" i="2"/>
  <c r="AN2022" i="2" s="1"/>
  <c r="AQ2022" i="2" s="1"/>
  <c r="AF2023" i="2"/>
  <c r="AN2023" i="2" s="1"/>
  <c r="AQ2023" i="2" s="1"/>
  <c r="AF2024" i="2"/>
  <c r="AN2024" i="2" s="1"/>
  <c r="AQ2024" i="2" s="1"/>
  <c r="AF2025" i="2"/>
  <c r="AN2025" i="2" s="1"/>
  <c r="AQ2025" i="2" s="1"/>
  <c r="AF2026" i="2"/>
  <c r="AN2026" i="2" s="1"/>
  <c r="AQ2026" i="2" s="1"/>
  <c r="AF2027" i="2"/>
  <c r="AN2027" i="2" s="1"/>
  <c r="AQ2027" i="2" s="1"/>
  <c r="AF2028" i="2"/>
  <c r="AN2028" i="2" s="1"/>
  <c r="AQ2028" i="2" s="1"/>
  <c r="AF2029" i="2"/>
  <c r="AN2029" i="2" s="1"/>
  <c r="AQ2029" i="2" s="1"/>
  <c r="AF2030" i="2"/>
  <c r="AN2030" i="2" s="1"/>
  <c r="AQ2030" i="2" s="1"/>
  <c r="AF2031" i="2"/>
  <c r="AF2032" i="2"/>
  <c r="AN2032" i="2" s="1"/>
  <c r="AF2033" i="2"/>
  <c r="AN2033" i="2" s="1"/>
  <c r="AQ2033" i="2" s="1"/>
  <c r="AF2034" i="2"/>
  <c r="AN2034" i="2" s="1"/>
  <c r="AQ2034" i="2" s="1"/>
  <c r="AF2035" i="2"/>
  <c r="AN2035" i="2" s="1"/>
  <c r="AQ2035" i="2" s="1"/>
  <c r="AF2036" i="2"/>
  <c r="AN2036" i="2" s="1"/>
  <c r="AQ2036" i="2" s="1"/>
  <c r="AF2037" i="2"/>
  <c r="AN2037" i="2" s="1"/>
  <c r="AQ2037" i="2" s="1"/>
  <c r="AF2038" i="2"/>
  <c r="AN2038" i="2" s="1"/>
  <c r="AQ2038" i="2" s="1"/>
  <c r="AF2039" i="2"/>
  <c r="AN2039" i="2" s="1"/>
  <c r="AQ2039" i="2" s="1"/>
  <c r="AF2040" i="2"/>
  <c r="AN2040" i="2" s="1"/>
  <c r="AQ2040" i="2" s="1"/>
  <c r="AF2041" i="2"/>
  <c r="AN2041" i="2" s="1"/>
  <c r="AQ2041" i="2" s="1"/>
  <c r="AF2042" i="2"/>
  <c r="AN2042" i="2" s="1"/>
  <c r="AQ2042" i="2" s="1"/>
  <c r="AF2043" i="2"/>
  <c r="AN2043" i="2" s="1"/>
  <c r="AQ2043" i="2" s="1"/>
  <c r="AF2044" i="2"/>
  <c r="AN2044" i="2" s="1"/>
  <c r="AQ2044" i="2" s="1"/>
  <c r="AF2045" i="2"/>
  <c r="AN2045" i="2" s="1"/>
  <c r="AQ2045" i="2" s="1"/>
  <c r="AF2046" i="2"/>
  <c r="AN2046" i="2" s="1"/>
  <c r="AQ2046" i="2" s="1"/>
  <c r="AF2047" i="2"/>
  <c r="AN2047" i="2" s="1"/>
  <c r="AQ2047" i="2" s="1"/>
  <c r="AF2048" i="2"/>
  <c r="AN2048" i="2" s="1"/>
  <c r="AQ2048" i="2" s="1"/>
  <c r="AF2049" i="2"/>
  <c r="AN2049" i="2" s="1"/>
  <c r="AQ2049" i="2" s="1"/>
  <c r="AF2050" i="2"/>
  <c r="AN2050" i="2" s="1"/>
  <c r="AQ2050" i="2" s="1"/>
  <c r="AF2051" i="2"/>
  <c r="AN2051" i="2" s="1"/>
  <c r="AQ2051" i="2" s="1"/>
  <c r="AF2052" i="2"/>
  <c r="AN2052" i="2" s="1"/>
  <c r="AQ2052" i="2" s="1"/>
  <c r="AF2053" i="2"/>
  <c r="AN2053" i="2" s="1"/>
  <c r="AQ2053" i="2" s="1"/>
  <c r="AF2054" i="2"/>
  <c r="AN2054" i="2" s="1"/>
  <c r="AQ2054" i="2" s="1"/>
  <c r="AF2055" i="2"/>
  <c r="AN2055" i="2" s="1"/>
  <c r="AQ2055" i="2" s="1"/>
  <c r="AF2056" i="2"/>
  <c r="AN2056" i="2" s="1"/>
  <c r="AQ2056" i="2" s="1"/>
  <c r="AF2057" i="2"/>
  <c r="AN2057" i="2" s="1"/>
  <c r="AQ2057" i="2" s="1"/>
  <c r="AF2058" i="2"/>
  <c r="AN2058" i="2" s="1"/>
  <c r="AQ2058" i="2" s="1"/>
  <c r="AF2059" i="2"/>
  <c r="AN2059" i="2" s="1"/>
  <c r="AQ2059" i="2" s="1"/>
  <c r="AF2060" i="2"/>
  <c r="AN2060" i="2" s="1"/>
  <c r="AQ2060" i="2" s="1"/>
  <c r="AF2061" i="2"/>
  <c r="AN2061" i="2" s="1"/>
  <c r="AQ2061" i="2" s="1"/>
  <c r="AF2062" i="2"/>
  <c r="AN2062" i="2" s="1"/>
  <c r="AQ2062" i="2" s="1"/>
  <c r="AF2063" i="2"/>
  <c r="AF2064" i="2"/>
  <c r="AN2064" i="2" s="1"/>
  <c r="AQ2064" i="2" s="1"/>
  <c r="AF2065" i="2"/>
  <c r="AN2065" i="2" s="1"/>
  <c r="AQ2065" i="2" s="1"/>
  <c r="AF2066" i="2"/>
  <c r="AN2066" i="2" s="1"/>
  <c r="AQ2066" i="2" s="1"/>
  <c r="AF2067" i="2"/>
  <c r="AN2067" i="2" s="1"/>
  <c r="AQ2067" i="2" s="1"/>
  <c r="AF2068" i="2"/>
  <c r="AN2068" i="2" s="1"/>
  <c r="AQ2068" i="2" s="1"/>
  <c r="AF2069" i="2"/>
  <c r="AN2069" i="2" s="1"/>
  <c r="AQ2069" i="2" s="1"/>
  <c r="AF2070" i="2"/>
  <c r="AN2070" i="2" s="1"/>
  <c r="AQ2070" i="2" s="1"/>
  <c r="AF2071" i="2"/>
  <c r="AF2072" i="2"/>
  <c r="AN2072" i="2" s="1"/>
  <c r="AQ2072" i="2" s="1"/>
  <c r="AF2073" i="2"/>
  <c r="AN2073" i="2" s="1"/>
  <c r="AQ2073" i="2" s="1"/>
  <c r="AF2074" i="2"/>
  <c r="AN2074" i="2" s="1"/>
  <c r="AQ2074" i="2" s="1"/>
  <c r="AF2075" i="2"/>
  <c r="AN2075" i="2" s="1"/>
  <c r="AQ2075" i="2" s="1"/>
  <c r="AF2076" i="2"/>
  <c r="AN2076" i="2" s="1"/>
  <c r="AQ2076" i="2" s="1"/>
  <c r="AF2077" i="2"/>
  <c r="AN2077" i="2" s="1"/>
  <c r="AQ2077" i="2" s="1"/>
  <c r="AF2078" i="2"/>
  <c r="AN2078" i="2" s="1"/>
  <c r="AQ2078" i="2" s="1"/>
  <c r="AF2079" i="2"/>
  <c r="AF2080" i="2"/>
  <c r="AN2080" i="2" s="1"/>
  <c r="AQ2080" i="2" s="1"/>
  <c r="AF2081" i="2"/>
  <c r="AN2081" i="2" s="1"/>
  <c r="AQ2081" i="2" s="1"/>
  <c r="AF2082" i="2"/>
  <c r="AN2082" i="2" s="1"/>
  <c r="AQ2082" i="2" s="1"/>
  <c r="AF2083" i="2"/>
  <c r="AN2083" i="2" s="1"/>
  <c r="AQ2083" i="2" s="1"/>
  <c r="AF2084" i="2"/>
  <c r="AN2084" i="2" s="1"/>
  <c r="AQ2084" i="2" s="1"/>
  <c r="AF2085" i="2"/>
  <c r="AN2085" i="2" s="1"/>
  <c r="AQ2085" i="2" s="1"/>
  <c r="AF2086" i="2"/>
  <c r="AN2086" i="2" s="1"/>
  <c r="AQ2086" i="2" s="1"/>
  <c r="AF2087" i="2"/>
  <c r="AN2087" i="2" s="1"/>
  <c r="AQ2087" i="2" s="1"/>
  <c r="AF2088" i="2"/>
  <c r="AN2088" i="2" s="1"/>
  <c r="AQ2088" i="2" s="1"/>
  <c r="AF2089" i="2"/>
  <c r="AN2089" i="2" s="1"/>
  <c r="AQ2089" i="2" s="1"/>
  <c r="AF2090" i="2"/>
  <c r="AN2090" i="2" s="1"/>
  <c r="AQ2090" i="2" s="1"/>
  <c r="AF2091" i="2"/>
  <c r="AN2091" i="2" s="1"/>
  <c r="AQ2091" i="2" s="1"/>
  <c r="AF2092" i="2"/>
  <c r="AN2092" i="2" s="1"/>
  <c r="AQ2092" i="2" s="1"/>
  <c r="AF2093" i="2"/>
  <c r="AN2093" i="2" s="1"/>
  <c r="AQ2093" i="2" s="1"/>
  <c r="AF2094" i="2"/>
  <c r="AN2094" i="2" s="1"/>
  <c r="AQ2094" i="2" s="1"/>
  <c r="AF2095" i="2"/>
  <c r="AN2095" i="2" s="1"/>
  <c r="AQ2095" i="2" s="1"/>
  <c r="AF2096" i="2"/>
  <c r="AN2096" i="2" s="1"/>
  <c r="AQ2096" i="2" s="1"/>
  <c r="AF2097" i="2"/>
  <c r="AN2097" i="2" s="1"/>
  <c r="AQ2097" i="2" s="1"/>
  <c r="AF2098" i="2"/>
  <c r="AN2098" i="2" s="1"/>
  <c r="AQ2098" i="2" s="1"/>
  <c r="AF2099" i="2"/>
  <c r="AN2099" i="2" s="1"/>
  <c r="AQ2099" i="2" s="1"/>
  <c r="AF2100" i="2"/>
  <c r="AN2100" i="2" s="1"/>
  <c r="AQ2100" i="2" s="1"/>
  <c r="AF2101" i="2"/>
  <c r="AN2101" i="2" s="1"/>
  <c r="AQ2101" i="2" s="1"/>
  <c r="AF2102" i="2"/>
  <c r="AN2102" i="2" s="1"/>
  <c r="AQ2102" i="2" s="1"/>
  <c r="AF2103" i="2"/>
  <c r="AN2103" i="2" s="1"/>
  <c r="AQ2103" i="2" s="1"/>
  <c r="AF2104" i="2"/>
  <c r="AN2104" i="2" s="1"/>
  <c r="AQ2104" i="2" s="1"/>
  <c r="AF2105" i="2"/>
  <c r="AN2105" i="2" s="1"/>
  <c r="AQ2105" i="2" s="1"/>
  <c r="AF2106" i="2"/>
  <c r="AN2106" i="2" s="1"/>
  <c r="AQ2106" i="2" s="1"/>
  <c r="AF2107" i="2"/>
  <c r="AN2107" i="2" s="1"/>
  <c r="AQ2107" i="2" s="1"/>
  <c r="AF2108" i="2"/>
  <c r="AN2108" i="2" s="1"/>
  <c r="AQ2108" i="2" s="1"/>
  <c r="AF2109" i="2"/>
  <c r="AN2109" i="2" s="1"/>
  <c r="AQ2109" i="2" s="1"/>
  <c r="AF2110" i="2"/>
  <c r="AN2110" i="2" s="1"/>
  <c r="AQ2110" i="2" s="1"/>
  <c r="AF2111" i="2"/>
  <c r="AN2111" i="2" s="1"/>
  <c r="AQ2111" i="2" s="1"/>
  <c r="AF2112" i="2"/>
  <c r="AN2112" i="2" s="1"/>
  <c r="AQ2112" i="2" s="1"/>
  <c r="AF2113" i="2"/>
  <c r="AN2113" i="2" s="1"/>
  <c r="AQ2113" i="2" s="1"/>
  <c r="AF2114" i="2"/>
  <c r="AN2114" i="2" s="1"/>
  <c r="AQ2114" i="2" s="1"/>
  <c r="AF2115" i="2"/>
  <c r="AF2116" i="2"/>
  <c r="AN2116" i="2" s="1"/>
  <c r="AQ2116" i="2" s="1"/>
  <c r="AF2117" i="2"/>
  <c r="AN2117" i="2" s="1"/>
  <c r="AQ2117" i="2" s="1"/>
  <c r="AF2118" i="2"/>
  <c r="AN2118" i="2" s="1"/>
  <c r="AQ2118" i="2" s="1"/>
  <c r="AF2119" i="2"/>
  <c r="AN2119" i="2" s="1"/>
  <c r="AQ2119" i="2" s="1"/>
  <c r="AF2120" i="2"/>
  <c r="AN2120" i="2" s="1"/>
  <c r="AQ2120" i="2" s="1"/>
  <c r="AF2121" i="2"/>
  <c r="AN2121" i="2" s="1"/>
  <c r="AQ2121" i="2" s="1"/>
  <c r="AF2122" i="2"/>
  <c r="AN2122" i="2" s="1"/>
  <c r="AQ2122" i="2" s="1"/>
  <c r="AF2123" i="2"/>
  <c r="AN2123" i="2" s="1"/>
  <c r="AQ2123" i="2" s="1"/>
  <c r="AF2124" i="2"/>
  <c r="AN2124" i="2" s="1"/>
  <c r="AQ2124" i="2" s="1"/>
  <c r="AF2125" i="2"/>
  <c r="AN2125" i="2" s="1"/>
  <c r="AQ2125" i="2" s="1"/>
  <c r="AF2126" i="2"/>
  <c r="AN2126" i="2" s="1"/>
  <c r="AQ2126" i="2" s="1"/>
  <c r="AF2127" i="2"/>
  <c r="AF2128" i="2"/>
  <c r="AN2128" i="2" s="1"/>
  <c r="AQ2128" i="2" s="1"/>
  <c r="AF2129" i="2"/>
  <c r="AN2129" i="2" s="1"/>
  <c r="AQ2129" i="2" s="1"/>
  <c r="AF2130" i="2"/>
  <c r="AN2130" i="2" s="1"/>
  <c r="AQ2130" i="2" s="1"/>
  <c r="AF2131" i="2"/>
  <c r="AN2131" i="2" s="1"/>
  <c r="AQ2131" i="2" s="1"/>
  <c r="AF2132" i="2"/>
  <c r="AN2132" i="2" s="1"/>
  <c r="AQ2132" i="2" s="1"/>
  <c r="AF2133" i="2"/>
  <c r="AN2133" i="2" s="1"/>
  <c r="AQ2133" i="2" s="1"/>
  <c r="AF2134" i="2"/>
  <c r="AN2134" i="2" s="1"/>
  <c r="AQ2134" i="2" s="1"/>
  <c r="AF2135" i="2"/>
  <c r="AF2136" i="2"/>
  <c r="AF2137" i="2"/>
  <c r="AN2137" i="2" s="1"/>
  <c r="AQ2137" i="2" s="1"/>
  <c r="AF2138" i="2"/>
  <c r="AN2138" i="2" s="1"/>
  <c r="AQ2138" i="2" s="1"/>
  <c r="AF2139" i="2"/>
  <c r="AN2139" i="2" s="1"/>
  <c r="AQ2139" i="2" s="1"/>
  <c r="AF2140" i="2"/>
  <c r="AN2140" i="2" s="1"/>
  <c r="AQ2140" i="2" s="1"/>
  <c r="AF2141" i="2"/>
  <c r="AN2141" i="2" s="1"/>
  <c r="AQ2141" i="2" s="1"/>
  <c r="AF2142" i="2"/>
  <c r="AN2142" i="2" s="1"/>
  <c r="AQ2142" i="2" s="1"/>
  <c r="AF2143" i="2"/>
  <c r="AN2143" i="2" s="1"/>
  <c r="AQ2143" i="2" s="1"/>
  <c r="AF2144" i="2"/>
  <c r="AN2144" i="2" s="1"/>
  <c r="AQ2144" i="2" s="1"/>
  <c r="AF2145" i="2"/>
  <c r="AN2145" i="2" s="1"/>
  <c r="AQ2145" i="2" s="1"/>
  <c r="AF2146" i="2"/>
  <c r="AN2146" i="2" s="1"/>
  <c r="AQ2146" i="2" s="1"/>
  <c r="AF2147" i="2"/>
  <c r="AN2147" i="2" s="1"/>
  <c r="AQ2147" i="2" s="1"/>
  <c r="AF2148" i="2"/>
  <c r="AN2148" i="2" s="1"/>
  <c r="AQ2148" i="2" s="1"/>
  <c r="AF2149" i="2"/>
  <c r="AN2149" i="2" s="1"/>
  <c r="AQ2149" i="2" s="1"/>
  <c r="AF2150" i="2"/>
  <c r="AN2150" i="2" s="1"/>
  <c r="AQ2150" i="2" s="1"/>
  <c r="AF2151" i="2"/>
  <c r="AN2151" i="2" s="1"/>
  <c r="AQ2151" i="2" s="1"/>
  <c r="AF2152" i="2"/>
  <c r="AN2152" i="2" s="1"/>
  <c r="AQ2152" i="2" s="1"/>
  <c r="AF2153" i="2"/>
  <c r="AN2153" i="2" s="1"/>
  <c r="AQ2153" i="2" s="1"/>
  <c r="AF2154" i="2"/>
  <c r="AN2154" i="2" s="1"/>
  <c r="AQ2154" i="2" s="1"/>
  <c r="AF2155" i="2"/>
  <c r="AN2155" i="2" s="1"/>
  <c r="AQ2155" i="2" s="1"/>
  <c r="AF2156" i="2"/>
  <c r="AN2156" i="2" s="1"/>
  <c r="AQ2156" i="2" s="1"/>
  <c r="AF2157" i="2"/>
  <c r="AN2157" i="2" s="1"/>
  <c r="AQ2157" i="2" s="1"/>
  <c r="AF2158" i="2"/>
  <c r="AN2158" i="2" s="1"/>
  <c r="AQ2158" i="2" s="1"/>
  <c r="AF2159" i="2"/>
  <c r="AF2160" i="2"/>
  <c r="AN2160" i="2" s="1"/>
  <c r="AQ2160" i="2" s="1"/>
  <c r="AF2161" i="2"/>
  <c r="AN2161" i="2" s="1"/>
  <c r="AQ2161" i="2" s="1"/>
  <c r="AF2162" i="2"/>
  <c r="AN2162" i="2" s="1"/>
  <c r="AQ2162" i="2" s="1"/>
  <c r="AF2163" i="2"/>
  <c r="AF2164" i="2"/>
  <c r="AN2164" i="2" s="1"/>
  <c r="AQ2164" i="2" s="1"/>
  <c r="AF2165" i="2"/>
  <c r="AN2165" i="2" s="1"/>
  <c r="AQ2165" i="2" s="1"/>
  <c r="AF2166" i="2"/>
  <c r="AN2166" i="2" s="1"/>
  <c r="AQ2166" i="2" s="1"/>
  <c r="AF2167" i="2"/>
  <c r="AF2168" i="2"/>
  <c r="AN2168" i="2" s="1"/>
  <c r="AQ2168" i="2" s="1"/>
  <c r="AF2169" i="2"/>
  <c r="AN2169" i="2" s="1"/>
  <c r="AQ2169" i="2" s="1"/>
  <c r="AF2170" i="2"/>
  <c r="AN2170" i="2" s="1"/>
  <c r="AQ2170" i="2" s="1"/>
  <c r="AF2171" i="2"/>
  <c r="AN2171" i="2" s="1"/>
  <c r="AQ2171" i="2" s="1"/>
  <c r="AF2172" i="2"/>
  <c r="AN2172" i="2" s="1"/>
  <c r="AQ2172" i="2" s="1"/>
  <c r="AF2173" i="2"/>
  <c r="AN2173" i="2" s="1"/>
  <c r="AQ2173" i="2" s="1"/>
  <c r="AF2174" i="2"/>
  <c r="AN2174" i="2" s="1"/>
  <c r="AQ2174" i="2" s="1"/>
  <c r="AF2175" i="2"/>
  <c r="AF2176" i="2"/>
  <c r="AN2176" i="2" s="1"/>
  <c r="AF2177" i="2"/>
  <c r="AN2177" i="2" s="1"/>
  <c r="AQ2177" i="2" s="1"/>
  <c r="AF2178" i="2"/>
  <c r="AN2178" i="2" s="1"/>
  <c r="AQ2178" i="2" s="1"/>
  <c r="AF2179" i="2"/>
  <c r="AN2179" i="2" s="1"/>
  <c r="AQ2179" i="2" s="1"/>
  <c r="AF2180" i="2"/>
  <c r="AN2180" i="2" s="1"/>
  <c r="AQ2180" i="2" s="1"/>
  <c r="AF2181" i="2"/>
  <c r="AN2181" i="2" s="1"/>
  <c r="AQ2181" i="2" s="1"/>
  <c r="AF2182" i="2"/>
  <c r="AN2182" i="2" s="1"/>
  <c r="AQ2182" i="2" s="1"/>
  <c r="AF2183" i="2"/>
  <c r="AN2183" i="2" s="1"/>
  <c r="AQ2183" i="2" s="1"/>
  <c r="AF2184" i="2"/>
  <c r="AN2184" i="2" s="1"/>
  <c r="AQ2184" i="2" s="1"/>
  <c r="AF2185" i="2"/>
  <c r="AN2185" i="2" s="1"/>
  <c r="AF2186" i="2"/>
  <c r="AN2186" i="2" s="1"/>
  <c r="AQ2186" i="2" s="1"/>
  <c r="AF2187" i="2"/>
  <c r="AN2187" i="2" s="1"/>
  <c r="AQ2187" i="2" s="1"/>
  <c r="AF2188" i="2"/>
  <c r="AN2188" i="2" s="1"/>
  <c r="AQ2188" i="2" s="1"/>
  <c r="AF2189" i="2"/>
  <c r="AN2189" i="2" s="1"/>
  <c r="AQ2189" i="2" s="1"/>
  <c r="AF2190" i="2"/>
  <c r="AN2190" i="2" s="1"/>
  <c r="AQ2190" i="2" s="1"/>
  <c r="AF2191" i="2"/>
  <c r="AF2192" i="2"/>
  <c r="AN2192" i="2" s="1"/>
  <c r="AQ2192" i="2" s="1"/>
  <c r="AF2193" i="2"/>
  <c r="AN2193" i="2" s="1"/>
  <c r="AQ2193" i="2" s="1"/>
  <c r="AF2194" i="2"/>
  <c r="AN2194" i="2" s="1"/>
  <c r="AQ2194" i="2" s="1"/>
  <c r="AF2195" i="2"/>
  <c r="AN2195" i="2" s="1"/>
  <c r="AQ2195" i="2" s="1"/>
  <c r="AF2196" i="2"/>
  <c r="AN2196" i="2" s="1"/>
  <c r="AQ2196" i="2" s="1"/>
  <c r="AF2197" i="2"/>
  <c r="AN2197" i="2" s="1"/>
  <c r="AQ2197" i="2" s="1"/>
  <c r="AF2198" i="2"/>
  <c r="AN2198" i="2" s="1"/>
  <c r="AQ2198" i="2" s="1"/>
  <c r="AF2199" i="2"/>
  <c r="AF2200" i="2"/>
  <c r="AN2200" i="2" s="1"/>
  <c r="AQ2200" i="2" s="1"/>
  <c r="AF2201" i="2"/>
  <c r="AN2201" i="2" s="1"/>
  <c r="AQ2201" i="2" s="1"/>
  <c r="AF2202" i="2"/>
  <c r="AN2202" i="2" s="1"/>
  <c r="AQ2202" i="2" s="1"/>
  <c r="AF2203" i="2"/>
  <c r="AN2203" i="2" s="1"/>
  <c r="AQ2203" i="2" s="1"/>
  <c r="AF2204" i="2"/>
  <c r="AN2204" i="2" s="1"/>
  <c r="AQ2204" i="2" s="1"/>
  <c r="AF2205" i="2"/>
  <c r="AN2205" i="2" s="1"/>
  <c r="AQ2205" i="2" s="1"/>
  <c r="AF2206" i="2"/>
  <c r="AN2206" i="2" s="1"/>
  <c r="AQ2206" i="2" s="1"/>
  <c r="AF2207" i="2"/>
  <c r="AF2208" i="2"/>
  <c r="AN2208" i="2" s="1"/>
  <c r="AQ2208" i="2" s="1"/>
  <c r="AF2209" i="2"/>
  <c r="AN2209" i="2" s="1"/>
  <c r="AQ2209" i="2" s="1"/>
  <c r="AF2210" i="2"/>
  <c r="AN2210" i="2" s="1"/>
  <c r="AQ2210" i="2" s="1"/>
  <c r="AF2211" i="2"/>
  <c r="AN2211" i="2" s="1"/>
  <c r="AQ2211" i="2" s="1"/>
  <c r="AF2212" i="2"/>
  <c r="AN2212" i="2" s="1"/>
  <c r="AQ2212" i="2" s="1"/>
  <c r="AF2213" i="2"/>
  <c r="AN2213" i="2" s="1"/>
  <c r="AQ2213" i="2" s="1"/>
  <c r="AF2214" i="2"/>
  <c r="AN2214" i="2" s="1"/>
  <c r="AQ2214" i="2" s="1"/>
  <c r="AF2215" i="2"/>
  <c r="AF2216" i="2"/>
  <c r="AN2216" i="2" s="1"/>
  <c r="AQ2216" i="2" s="1"/>
  <c r="AF2217" i="2"/>
  <c r="AN2217" i="2" s="1"/>
  <c r="AQ2217" i="2" s="1"/>
  <c r="AF2218" i="2"/>
  <c r="AN2218" i="2" s="1"/>
  <c r="AQ2218" i="2" s="1"/>
  <c r="AF2219" i="2"/>
  <c r="AN2219" i="2" s="1"/>
  <c r="AQ2219" i="2" s="1"/>
  <c r="AF2220" i="2"/>
  <c r="AN2220" i="2" s="1"/>
  <c r="AQ2220" i="2" s="1"/>
  <c r="AF2221" i="2"/>
  <c r="AN2221" i="2" s="1"/>
  <c r="AQ2221" i="2" s="1"/>
  <c r="AF2222" i="2"/>
  <c r="AN2222" i="2" s="1"/>
  <c r="AQ2222" i="2" s="1"/>
  <c r="AF2223" i="2"/>
  <c r="AN2223" i="2" s="1"/>
  <c r="AQ2223" i="2" s="1"/>
  <c r="AF2224" i="2"/>
  <c r="AN2224" i="2" s="1"/>
  <c r="AQ2224" i="2" s="1"/>
  <c r="AF2225" i="2"/>
  <c r="AN2225" i="2" s="1"/>
  <c r="AQ2225" i="2" s="1"/>
  <c r="AF2226" i="2"/>
  <c r="AN2226" i="2" s="1"/>
  <c r="AQ2226" i="2" s="1"/>
  <c r="AF2227" i="2"/>
  <c r="AN2227" i="2" s="1"/>
  <c r="AQ2227" i="2" s="1"/>
  <c r="AF2228" i="2"/>
  <c r="AN2228" i="2" s="1"/>
  <c r="AQ2228" i="2" s="1"/>
  <c r="AF2229" i="2"/>
  <c r="AF2230" i="2"/>
  <c r="AN2230" i="2" s="1"/>
  <c r="AQ2230" i="2" s="1"/>
  <c r="AF2231" i="2"/>
  <c r="AF2232" i="2"/>
  <c r="AN2232" i="2" s="1"/>
  <c r="AQ2232" i="2" s="1"/>
  <c r="AF2233" i="2"/>
  <c r="AN2233" i="2" s="1"/>
  <c r="AQ2233" i="2" s="1"/>
  <c r="AF2234" i="2"/>
  <c r="AN2234" i="2" s="1"/>
  <c r="AQ2234" i="2" s="1"/>
  <c r="AF2235" i="2"/>
  <c r="AN2235" i="2" s="1"/>
  <c r="AQ2235" i="2" s="1"/>
  <c r="AF2236" i="2"/>
  <c r="AN2236" i="2" s="1"/>
  <c r="AQ2236" i="2" s="1"/>
  <c r="AF2237" i="2"/>
  <c r="AN2237" i="2" s="1"/>
  <c r="AQ2237" i="2" s="1"/>
  <c r="AF2238" i="2"/>
  <c r="AN2238" i="2" s="1"/>
  <c r="AQ2238" i="2" s="1"/>
  <c r="AF2239" i="2"/>
  <c r="AF2240" i="2"/>
  <c r="AN2240" i="2" s="1"/>
  <c r="AQ2240" i="2" s="1"/>
  <c r="AF2241" i="2"/>
  <c r="AN2241" i="2" s="1"/>
  <c r="AQ2241" i="2" s="1"/>
  <c r="AF2242" i="2"/>
  <c r="AN2242" i="2" s="1"/>
  <c r="AQ2242" i="2" s="1"/>
  <c r="AF2243" i="2"/>
  <c r="AN2243" i="2" s="1"/>
  <c r="AQ2243" i="2" s="1"/>
  <c r="AF2244" i="2"/>
  <c r="AN2244" i="2" s="1"/>
  <c r="AQ2244" i="2" s="1"/>
  <c r="AF2245" i="2"/>
  <c r="AN2245" i="2" s="1"/>
  <c r="AQ2245" i="2" s="1"/>
  <c r="AF2246" i="2"/>
  <c r="AN2246" i="2" s="1"/>
  <c r="AQ2246" i="2" s="1"/>
  <c r="AF2247" i="2"/>
  <c r="AF2248" i="2"/>
  <c r="AN2248" i="2" s="1"/>
  <c r="AQ2248" i="2" s="1"/>
  <c r="AF2249" i="2"/>
  <c r="AN2249" i="2" s="1"/>
  <c r="AQ2249" i="2" s="1"/>
  <c r="AF2250" i="2"/>
  <c r="AN2250" i="2" s="1"/>
  <c r="AQ2250" i="2" s="1"/>
  <c r="AF2251" i="2"/>
  <c r="AN2251" i="2" s="1"/>
  <c r="AQ2251" i="2" s="1"/>
  <c r="AF2252" i="2"/>
  <c r="AN2252" i="2" s="1"/>
  <c r="AQ2252" i="2" s="1"/>
  <c r="AF2253" i="2"/>
  <c r="AN2253" i="2" s="1"/>
  <c r="AQ2253" i="2" s="1"/>
  <c r="AF2254" i="2"/>
  <c r="AN2254" i="2" s="1"/>
  <c r="AQ2254" i="2" s="1"/>
  <c r="AF2255" i="2"/>
  <c r="AN2255" i="2" s="1"/>
  <c r="AQ2255" i="2" s="1"/>
  <c r="AF2256" i="2"/>
  <c r="AN2256" i="2" s="1"/>
  <c r="AQ2256" i="2" s="1"/>
  <c r="AF2257" i="2"/>
  <c r="AN2257" i="2" s="1"/>
  <c r="AQ2257" i="2" s="1"/>
  <c r="AF2258" i="2"/>
  <c r="AN2258" i="2" s="1"/>
  <c r="AQ2258" i="2" s="1"/>
  <c r="AF2259" i="2"/>
  <c r="AF2260" i="2"/>
  <c r="AN2260" i="2" s="1"/>
  <c r="AQ2260" i="2" s="1"/>
  <c r="AF2261" i="2"/>
  <c r="AN2261" i="2" s="1"/>
  <c r="AQ2261" i="2" s="1"/>
  <c r="AF2262" i="2"/>
  <c r="AN2262" i="2" s="1"/>
  <c r="AQ2262" i="2" s="1"/>
  <c r="AF2263" i="2"/>
  <c r="AF2264" i="2"/>
  <c r="AN2264" i="2" s="1"/>
  <c r="AQ2264" i="2" s="1"/>
  <c r="AF2265" i="2"/>
  <c r="AN2265" i="2" s="1"/>
  <c r="AQ2265" i="2" s="1"/>
  <c r="AF2266" i="2"/>
  <c r="AN2266" i="2" s="1"/>
  <c r="AQ2266" i="2" s="1"/>
  <c r="AF2267" i="2"/>
  <c r="AN2267" i="2" s="1"/>
  <c r="AQ2267" i="2" s="1"/>
  <c r="AF2268" i="2"/>
  <c r="AN2268" i="2" s="1"/>
  <c r="AQ2268" i="2" s="1"/>
  <c r="AF2269" i="2"/>
  <c r="AN2269" i="2" s="1"/>
  <c r="AQ2269" i="2" s="1"/>
  <c r="AF2270" i="2"/>
  <c r="AN2270" i="2" s="1"/>
  <c r="AQ2270" i="2" s="1"/>
  <c r="AF2271" i="2"/>
  <c r="AF2272" i="2"/>
  <c r="AN2272" i="2" s="1"/>
  <c r="AQ2272" i="2" s="1"/>
  <c r="AF2273" i="2"/>
  <c r="AN2273" i="2" s="1"/>
  <c r="AQ2273" i="2" s="1"/>
  <c r="AF2274" i="2"/>
  <c r="AN2274" i="2" s="1"/>
  <c r="AQ2274" i="2" s="1"/>
  <c r="AF2275" i="2"/>
  <c r="AN2275" i="2" s="1"/>
  <c r="AQ2275" i="2" s="1"/>
  <c r="AF2276" i="2"/>
  <c r="AN2276" i="2" s="1"/>
  <c r="AQ2276" i="2" s="1"/>
  <c r="AF2277" i="2"/>
  <c r="AN2277" i="2" s="1"/>
  <c r="AQ2277" i="2" s="1"/>
  <c r="AF2278" i="2"/>
  <c r="AN2278" i="2" s="1"/>
  <c r="AQ2278" i="2" s="1"/>
  <c r="AF2279" i="2"/>
  <c r="AN2279" i="2" s="1"/>
  <c r="AQ2279" i="2" s="1"/>
  <c r="AF2280" i="2"/>
  <c r="AN2280" i="2" s="1"/>
  <c r="AQ2280" i="2" s="1"/>
  <c r="AF2281" i="2"/>
  <c r="AN2281" i="2" s="1"/>
  <c r="AQ2281" i="2" s="1"/>
  <c r="AF2282" i="2"/>
  <c r="AN2282" i="2" s="1"/>
  <c r="AQ2282" i="2" s="1"/>
  <c r="AF2283" i="2"/>
  <c r="AN2283" i="2" s="1"/>
  <c r="AQ2283" i="2" s="1"/>
  <c r="AF2284" i="2"/>
  <c r="AN2284" i="2" s="1"/>
  <c r="AQ2284" i="2" s="1"/>
  <c r="AF2285" i="2"/>
  <c r="AN2285" i="2" s="1"/>
  <c r="AQ2285" i="2" s="1"/>
  <c r="AF2286" i="2"/>
  <c r="AN2286" i="2" s="1"/>
  <c r="AQ2286" i="2" s="1"/>
  <c r="AF2287" i="2"/>
  <c r="AN2287" i="2" s="1"/>
  <c r="AQ2287" i="2" s="1"/>
  <c r="AF2288" i="2"/>
  <c r="AF2289" i="2"/>
  <c r="AN2289" i="2" s="1"/>
  <c r="AQ2289" i="2" s="1"/>
  <c r="AF2290" i="2"/>
  <c r="AN2290" i="2" s="1"/>
  <c r="AQ2290" i="2" s="1"/>
  <c r="AF2291" i="2"/>
  <c r="AF2292" i="2"/>
  <c r="AN2292" i="2" s="1"/>
  <c r="AQ2292" i="2" s="1"/>
  <c r="AF2293" i="2"/>
  <c r="AN2293" i="2" s="1"/>
  <c r="AQ2293" i="2" s="1"/>
  <c r="AF2294" i="2"/>
  <c r="AN2294" i="2" s="1"/>
  <c r="AQ2294" i="2" s="1"/>
  <c r="AF2295" i="2"/>
  <c r="AF2296" i="2"/>
  <c r="AN2296" i="2" s="1"/>
  <c r="AQ2296" i="2" s="1"/>
  <c r="AF2297" i="2"/>
  <c r="AN2297" i="2" s="1"/>
  <c r="AQ2297" i="2" s="1"/>
  <c r="AF2298" i="2"/>
  <c r="AN2298" i="2" s="1"/>
  <c r="AQ2298" i="2" s="1"/>
  <c r="AF2299" i="2"/>
  <c r="AN2299" i="2" s="1"/>
  <c r="AQ2299" i="2" s="1"/>
  <c r="AF2300" i="2"/>
  <c r="AN2300" i="2" s="1"/>
  <c r="AQ2300" i="2" s="1"/>
  <c r="AF2301" i="2"/>
  <c r="AN2301" i="2" s="1"/>
  <c r="AQ2301" i="2" s="1"/>
  <c r="AF2302" i="2"/>
  <c r="AN2302" i="2" s="1"/>
  <c r="AQ2302" i="2" s="1"/>
  <c r="AF2303" i="2"/>
  <c r="AN2303" i="2" s="1"/>
  <c r="AQ2303" i="2" s="1"/>
  <c r="AF2304" i="2"/>
  <c r="AN2304" i="2" s="1"/>
  <c r="AQ2304" i="2" s="1"/>
  <c r="AF2305" i="2"/>
  <c r="AN2305" i="2" s="1"/>
  <c r="AQ2305" i="2" s="1"/>
  <c r="AF2306" i="2"/>
  <c r="AN2306" i="2" s="1"/>
  <c r="AQ2306" i="2" s="1"/>
  <c r="AF2307" i="2"/>
  <c r="AN2307" i="2" s="1"/>
  <c r="AQ2307" i="2" s="1"/>
  <c r="AF2308" i="2"/>
  <c r="AN2308" i="2" s="1"/>
  <c r="AQ2308" i="2" s="1"/>
  <c r="AF2309" i="2"/>
  <c r="AN2309" i="2" s="1"/>
  <c r="AQ2309" i="2" s="1"/>
  <c r="AF2310" i="2"/>
  <c r="AN2310" i="2" s="1"/>
  <c r="AQ2310" i="2" s="1"/>
  <c r="AF2311" i="2"/>
  <c r="AF2312" i="2"/>
  <c r="AF2313" i="2"/>
  <c r="AN2313" i="2" s="1"/>
  <c r="AQ2313" i="2" s="1"/>
  <c r="AF2314" i="2"/>
  <c r="AN2314" i="2" s="1"/>
  <c r="AQ2314" i="2" s="1"/>
  <c r="AF2315" i="2"/>
  <c r="AN2315" i="2" s="1"/>
  <c r="AQ2315" i="2" s="1"/>
  <c r="AF2316" i="2"/>
  <c r="AN2316" i="2" s="1"/>
  <c r="AQ2316" i="2" s="1"/>
  <c r="AF2317" i="2"/>
  <c r="AN2317" i="2" s="1"/>
  <c r="AQ2317" i="2" s="1"/>
  <c r="AF2318" i="2"/>
  <c r="AN2318" i="2" s="1"/>
  <c r="AQ2318" i="2" s="1"/>
  <c r="AF2319" i="2"/>
  <c r="AN2319" i="2" s="1"/>
  <c r="AQ2319" i="2" s="1"/>
  <c r="AF2320" i="2"/>
  <c r="AN2320" i="2" s="1"/>
  <c r="AQ2320" i="2" s="1"/>
  <c r="AF2321" i="2"/>
  <c r="AN2321" i="2" s="1"/>
  <c r="AQ2321" i="2" s="1"/>
  <c r="AF2322" i="2"/>
  <c r="AN2322" i="2" s="1"/>
  <c r="AQ2322" i="2" s="1"/>
  <c r="AF2323" i="2"/>
  <c r="AN2323" i="2" s="1"/>
  <c r="AQ2323" i="2" s="1"/>
  <c r="AF2324" i="2"/>
  <c r="AN2324" i="2" s="1"/>
  <c r="AQ2324" i="2" s="1"/>
  <c r="AF2325" i="2"/>
  <c r="AN2325" i="2" s="1"/>
  <c r="AQ2325" i="2" s="1"/>
  <c r="AF2326" i="2"/>
  <c r="AN2326" i="2" s="1"/>
  <c r="AQ2326" i="2" s="1"/>
  <c r="AF2327" i="2"/>
  <c r="AN2327" i="2" s="1"/>
  <c r="AQ2327" i="2" s="1"/>
  <c r="AF2328" i="2"/>
  <c r="AN2328" i="2" s="1"/>
  <c r="AQ2328" i="2" s="1"/>
  <c r="AF2329" i="2"/>
  <c r="AN2329" i="2" s="1"/>
  <c r="AQ2329" i="2" s="1"/>
  <c r="AF2330" i="2"/>
  <c r="AN2330" i="2" s="1"/>
  <c r="AQ2330" i="2" s="1"/>
  <c r="AF2331" i="2"/>
  <c r="AN2331" i="2" s="1"/>
  <c r="AQ2331" i="2" s="1"/>
  <c r="AF2332" i="2"/>
  <c r="AN2332" i="2" s="1"/>
  <c r="AQ2332" i="2" s="1"/>
  <c r="AF2333" i="2"/>
  <c r="AN2333" i="2" s="1"/>
  <c r="AQ2333" i="2" s="1"/>
  <c r="AF2334" i="2"/>
  <c r="AN2334" i="2" s="1"/>
  <c r="AQ2334" i="2" s="1"/>
  <c r="AF2335" i="2"/>
  <c r="AN2335" i="2" s="1"/>
  <c r="AQ2335" i="2" s="1"/>
  <c r="AF2336" i="2"/>
  <c r="AN2336" i="2" s="1"/>
  <c r="AQ2336" i="2" s="1"/>
  <c r="AF2337" i="2"/>
  <c r="AN2337" i="2" s="1"/>
  <c r="AQ2337" i="2" s="1"/>
  <c r="AF2338" i="2"/>
  <c r="AN2338" i="2" s="1"/>
  <c r="AQ2338" i="2" s="1"/>
  <c r="AF2339" i="2"/>
  <c r="AN2339" i="2" s="1"/>
  <c r="AQ2339" i="2" s="1"/>
  <c r="AF2340" i="2"/>
  <c r="AN2340" i="2" s="1"/>
  <c r="AQ2340" i="2" s="1"/>
  <c r="AF2341" i="2"/>
  <c r="AN2341" i="2" s="1"/>
  <c r="AQ2341" i="2" s="1"/>
  <c r="AF2342" i="2"/>
  <c r="AN2342" i="2" s="1"/>
  <c r="AQ2342" i="2" s="1"/>
  <c r="AF2343" i="2"/>
  <c r="AN2343" i="2" s="1"/>
  <c r="AQ2343" i="2" s="1"/>
  <c r="AF2344" i="2"/>
  <c r="AN2344" i="2" s="1"/>
  <c r="AQ2344" i="2" s="1"/>
  <c r="AF2345" i="2"/>
  <c r="AN2345" i="2" s="1"/>
  <c r="AQ2345" i="2" s="1"/>
  <c r="AF2346" i="2"/>
  <c r="AN2346" i="2" s="1"/>
  <c r="AQ2346" i="2" s="1"/>
  <c r="AF2347" i="2"/>
  <c r="AN2347" i="2" s="1"/>
  <c r="AQ2347" i="2" s="1"/>
  <c r="AF2348" i="2"/>
  <c r="AN2348" i="2" s="1"/>
  <c r="AQ2348" i="2" s="1"/>
  <c r="AF2349" i="2"/>
  <c r="AN2349" i="2" s="1"/>
  <c r="AQ2349" i="2" s="1"/>
  <c r="AF2350" i="2"/>
  <c r="AN2350" i="2" s="1"/>
  <c r="AQ2350" i="2" s="1"/>
  <c r="AF2351" i="2"/>
  <c r="AN2351" i="2" s="1"/>
  <c r="AQ2351" i="2" s="1"/>
  <c r="AF2352" i="2"/>
  <c r="AN2352" i="2" s="1"/>
  <c r="AQ2352" i="2" s="1"/>
  <c r="AF2353" i="2"/>
  <c r="AN2353" i="2" s="1"/>
  <c r="AQ2353" i="2" s="1"/>
  <c r="AF2354" i="2"/>
  <c r="AN2354" i="2" s="1"/>
  <c r="AQ2354" i="2" s="1"/>
  <c r="AF2355" i="2"/>
  <c r="AN2355" i="2" s="1"/>
  <c r="AQ2355" i="2" s="1"/>
  <c r="AF2356" i="2"/>
  <c r="AN2356" i="2" s="1"/>
  <c r="AQ2356" i="2" s="1"/>
  <c r="AF2357" i="2"/>
  <c r="AF2358" i="2"/>
  <c r="AN2358" i="2" s="1"/>
  <c r="AQ2358" i="2" s="1"/>
  <c r="AF2359" i="2"/>
  <c r="AN2359" i="2" s="1"/>
  <c r="AQ2359" i="2" s="1"/>
  <c r="AF2360" i="2"/>
  <c r="AN2360" i="2" s="1"/>
  <c r="AQ2360" i="2" s="1"/>
  <c r="AF2361" i="2"/>
  <c r="AN2361" i="2" s="1"/>
  <c r="AQ2361" i="2" s="1"/>
  <c r="AF2362" i="2"/>
  <c r="AN2362" i="2" s="1"/>
  <c r="AQ2362" i="2" s="1"/>
  <c r="AF2363" i="2"/>
  <c r="AN2363" i="2" s="1"/>
  <c r="AQ2363" i="2" s="1"/>
  <c r="AF2364" i="2"/>
  <c r="AN2364" i="2" s="1"/>
  <c r="AQ2364" i="2" s="1"/>
  <c r="AF2365" i="2"/>
  <c r="AN2365" i="2" s="1"/>
  <c r="AQ2365" i="2" s="1"/>
  <c r="AF2366" i="2"/>
  <c r="AN2366" i="2" s="1"/>
  <c r="AQ2366" i="2" s="1"/>
  <c r="AF2367" i="2"/>
  <c r="AN2367" i="2" s="1"/>
  <c r="AQ2367" i="2" s="1"/>
  <c r="AF2368" i="2"/>
  <c r="AN2368" i="2" s="1"/>
  <c r="AQ2368" i="2" s="1"/>
  <c r="AF2369" i="2"/>
  <c r="AN2369" i="2" s="1"/>
  <c r="AQ2369" i="2" s="1"/>
  <c r="AF2370" i="2"/>
  <c r="AN2370" i="2" s="1"/>
  <c r="AQ2370" i="2" s="1"/>
  <c r="AF2371" i="2"/>
  <c r="AN2371" i="2" s="1"/>
  <c r="AQ2371" i="2" s="1"/>
  <c r="AF2372" i="2"/>
  <c r="AN2372" i="2" s="1"/>
  <c r="AQ2372" i="2" s="1"/>
  <c r="AF2373" i="2"/>
  <c r="AN2373" i="2" s="1"/>
  <c r="AQ2373" i="2" s="1"/>
  <c r="AF2374" i="2"/>
  <c r="AN2374" i="2" s="1"/>
  <c r="AQ2374" i="2" s="1"/>
  <c r="AF2375" i="2"/>
  <c r="AF2376" i="2"/>
  <c r="AN2376" i="2" s="1"/>
  <c r="AQ2376" i="2" s="1"/>
  <c r="AF2377" i="2"/>
  <c r="AN2377" i="2" s="1"/>
  <c r="AQ2377" i="2" s="1"/>
  <c r="AF2378" i="2"/>
  <c r="AN2378" i="2" s="1"/>
  <c r="AQ2378" i="2" s="1"/>
  <c r="AF2379" i="2"/>
  <c r="AN2379" i="2" s="1"/>
  <c r="AQ2379" i="2" s="1"/>
  <c r="AF2380" i="2"/>
  <c r="AN2380" i="2" s="1"/>
  <c r="AQ2380" i="2" s="1"/>
  <c r="AF2381" i="2"/>
  <c r="AN2381" i="2" s="1"/>
  <c r="AQ2381" i="2" s="1"/>
  <c r="AF2382" i="2"/>
  <c r="AN2382" i="2" s="1"/>
  <c r="AQ2382" i="2" s="1"/>
  <c r="AF2383" i="2"/>
  <c r="AN2383" i="2" s="1"/>
  <c r="AQ2383" i="2" s="1"/>
  <c r="AF2384" i="2"/>
  <c r="AF2385" i="2"/>
  <c r="AN2385" i="2" s="1"/>
  <c r="AQ2385" i="2" s="1"/>
  <c r="AF2386" i="2"/>
  <c r="AN2386" i="2" s="1"/>
  <c r="AQ2386" i="2" s="1"/>
  <c r="AF2387" i="2"/>
  <c r="AF2388" i="2"/>
  <c r="AN2388" i="2" s="1"/>
  <c r="AQ2388" i="2" s="1"/>
  <c r="AF2389" i="2"/>
  <c r="AF2390" i="2"/>
  <c r="AN2390" i="2" s="1"/>
  <c r="AQ2390" i="2" s="1"/>
  <c r="AF2391" i="2"/>
  <c r="AN2391" i="2" s="1"/>
  <c r="AQ2391" i="2" s="1"/>
  <c r="AF2392" i="2"/>
  <c r="AN2392" i="2" s="1"/>
  <c r="AQ2392" i="2" s="1"/>
  <c r="AF2393" i="2"/>
  <c r="AN2393" i="2" s="1"/>
  <c r="AQ2393" i="2" s="1"/>
  <c r="AF2394" i="2"/>
  <c r="AN2394" i="2" s="1"/>
  <c r="AQ2394" i="2" s="1"/>
  <c r="AF2395" i="2"/>
  <c r="AN2395" i="2" s="1"/>
  <c r="AQ2395" i="2" s="1"/>
  <c r="AF2396" i="2"/>
  <c r="AN2396" i="2" s="1"/>
  <c r="AQ2396" i="2" s="1"/>
  <c r="AF2397" i="2"/>
  <c r="AN2397" i="2" s="1"/>
  <c r="AQ2397" i="2" s="1"/>
  <c r="AF2398" i="2"/>
  <c r="AN2398" i="2" s="1"/>
  <c r="AQ2398" i="2" s="1"/>
  <c r="AF2399" i="2"/>
  <c r="AF2400" i="2"/>
  <c r="AN2400" i="2" s="1"/>
  <c r="AQ2400" i="2" s="1"/>
  <c r="AF2401" i="2"/>
  <c r="AN2401" i="2" s="1"/>
  <c r="AQ2401" i="2" s="1"/>
  <c r="AF2402" i="2"/>
  <c r="AN2402" i="2" s="1"/>
  <c r="AQ2402" i="2" s="1"/>
  <c r="AF2403" i="2"/>
  <c r="AN2403" i="2" s="1"/>
  <c r="AQ2403" i="2" s="1"/>
  <c r="AF2404" i="2"/>
  <c r="AN2404" i="2" s="1"/>
  <c r="AQ2404" i="2" s="1"/>
  <c r="AF2405" i="2"/>
  <c r="AN2405" i="2" s="1"/>
  <c r="AQ2405" i="2" s="1"/>
  <c r="AF2406" i="2"/>
  <c r="AN2406" i="2" s="1"/>
  <c r="AQ2406" i="2" s="1"/>
  <c r="AF2407" i="2"/>
  <c r="AN2407" i="2" s="1"/>
  <c r="AQ2407" i="2" s="1"/>
  <c r="AF2408" i="2"/>
  <c r="AF2409" i="2"/>
  <c r="AN2409" i="2" s="1"/>
  <c r="AQ2409" i="2" s="1"/>
  <c r="AF2410" i="2"/>
  <c r="AN2410" i="2" s="1"/>
  <c r="AQ2410" i="2" s="1"/>
  <c r="AF2411" i="2"/>
  <c r="AN2411" i="2" s="1"/>
  <c r="AQ2411" i="2" s="1"/>
  <c r="AF2412" i="2"/>
  <c r="AN2412" i="2" s="1"/>
  <c r="AQ2412" i="2" s="1"/>
  <c r="AF2413" i="2"/>
  <c r="AN2413" i="2" s="1"/>
  <c r="AQ2413" i="2" s="1"/>
  <c r="AF2414" i="2"/>
  <c r="AN2414" i="2" s="1"/>
  <c r="AQ2414" i="2" s="1"/>
  <c r="AF2415" i="2"/>
  <c r="AF2416" i="2"/>
  <c r="AN2416" i="2" s="1"/>
  <c r="AQ2416" i="2" s="1"/>
  <c r="AF2417" i="2"/>
  <c r="AN2417" i="2" s="1"/>
  <c r="AQ2417" i="2" s="1"/>
  <c r="AF2418" i="2"/>
  <c r="AN2418" i="2" s="1"/>
  <c r="AQ2418" i="2" s="1"/>
  <c r="AF2419" i="2"/>
  <c r="AN2419" i="2" s="1"/>
  <c r="AQ2419" i="2" s="1"/>
  <c r="AF2420" i="2"/>
  <c r="AN2420" i="2" s="1"/>
  <c r="AQ2420" i="2" s="1"/>
  <c r="AF2421" i="2"/>
  <c r="AN2421" i="2" s="1"/>
  <c r="AQ2421" i="2" s="1"/>
  <c r="AF2422" i="2"/>
  <c r="AN2422" i="2" s="1"/>
  <c r="AQ2422" i="2" s="1"/>
  <c r="AF2423" i="2"/>
  <c r="AF2424" i="2"/>
  <c r="AF2425" i="2"/>
  <c r="AN2425" i="2" s="1"/>
  <c r="AQ2425" i="2" s="1"/>
  <c r="AF2426" i="2"/>
  <c r="AN2426" i="2" s="1"/>
  <c r="AQ2426" i="2" s="1"/>
  <c r="AF2427" i="2"/>
  <c r="AN2427" i="2" s="1"/>
  <c r="AQ2427" i="2" s="1"/>
  <c r="AG160" i="2"/>
  <c r="AG215" i="2"/>
  <c r="AO215" i="2" s="1"/>
  <c r="AG216" i="2"/>
  <c r="AO216" i="2" s="1"/>
  <c r="AG218" i="2"/>
  <c r="AO218" i="2" s="1"/>
  <c r="AG221" i="2"/>
  <c r="AO221" i="2" s="1"/>
  <c r="AG223" i="2"/>
  <c r="AO223" i="2" s="1"/>
  <c r="AG226" i="2"/>
  <c r="AO226" i="2" s="1"/>
  <c r="AG229" i="2"/>
  <c r="AO229" i="2" s="1"/>
  <c r="AG230" i="2"/>
  <c r="AO230" i="2" s="1"/>
  <c r="AG231" i="2"/>
  <c r="AO231" i="2" s="1"/>
  <c r="AG233" i="2"/>
  <c r="AO233" i="2" s="1"/>
  <c r="AG234" i="2"/>
  <c r="AO234" i="2" s="1"/>
  <c r="AG237" i="2"/>
  <c r="AO237" i="2" s="1"/>
  <c r="AG239" i="2"/>
  <c r="AO239" i="2" s="1"/>
  <c r="AG240" i="2"/>
  <c r="AO240" i="2" s="1"/>
  <c r="AG241" i="2"/>
  <c r="AO241" i="2" s="1"/>
  <c r="AG242" i="2"/>
  <c r="AO242" i="2" s="1"/>
  <c r="AG243" i="2"/>
  <c r="AO243" i="2" s="1"/>
  <c r="AG244" i="2"/>
  <c r="AO244" i="2" s="1"/>
  <c r="AG245" i="2"/>
  <c r="AO245" i="2" s="1"/>
  <c r="AG246" i="2"/>
  <c r="AO246" i="2" s="1"/>
  <c r="AG247" i="2"/>
  <c r="AO247" i="2" s="1"/>
  <c r="AG248" i="2"/>
  <c r="AO248" i="2" s="1"/>
  <c r="AG249" i="2"/>
  <c r="AO249" i="2" s="1"/>
  <c r="AG250" i="2"/>
  <c r="AO250" i="2" s="1"/>
  <c r="AG251" i="2"/>
  <c r="AO251" i="2" s="1"/>
  <c r="AG252" i="2"/>
  <c r="AO252" i="2" s="1"/>
  <c r="AG253" i="2"/>
  <c r="AO253" i="2" s="1"/>
  <c r="AG254" i="2"/>
  <c r="AO254" i="2" s="1"/>
  <c r="AG255" i="2"/>
  <c r="AO255" i="2" s="1"/>
  <c r="AG256" i="2"/>
  <c r="AO256" i="2" s="1"/>
  <c r="AG257" i="2"/>
  <c r="AO257" i="2" s="1"/>
  <c r="AG258" i="2"/>
  <c r="AO258" i="2" s="1"/>
  <c r="AG259" i="2"/>
  <c r="AO259" i="2" s="1"/>
  <c r="AG260" i="2"/>
  <c r="AO260" i="2" s="1"/>
  <c r="AG261" i="2"/>
  <c r="AO261" i="2" s="1"/>
  <c r="AG262" i="2"/>
  <c r="AO262" i="2" s="1"/>
  <c r="AG263" i="2"/>
  <c r="AO263" i="2" s="1"/>
  <c r="AG264" i="2"/>
  <c r="AO264" i="2" s="1"/>
  <c r="AG265" i="2"/>
  <c r="AO265" i="2" s="1"/>
  <c r="AG266" i="2"/>
  <c r="AO266" i="2" s="1"/>
  <c r="AG267" i="2"/>
  <c r="AO267" i="2" s="1"/>
  <c r="AG268" i="2"/>
  <c r="AO268" i="2" s="1"/>
  <c r="AG269" i="2"/>
  <c r="AO269" i="2" s="1"/>
  <c r="AG270" i="2"/>
  <c r="AO270" i="2" s="1"/>
  <c r="AG271" i="2"/>
  <c r="AO271" i="2" s="1"/>
  <c r="AG272" i="2"/>
  <c r="AO272" i="2" s="1"/>
  <c r="AG273" i="2"/>
  <c r="AO273" i="2" s="1"/>
  <c r="AG274" i="2"/>
  <c r="AO274" i="2" s="1"/>
  <c r="AG275" i="2"/>
  <c r="AO275" i="2" s="1"/>
  <c r="AG276" i="2"/>
  <c r="AO276" i="2" s="1"/>
  <c r="AG277" i="2"/>
  <c r="AO277" i="2" s="1"/>
  <c r="AG278" i="2"/>
  <c r="AO278" i="2" s="1"/>
  <c r="AG279" i="2"/>
  <c r="AO279" i="2" s="1"/>
  <c r="AG280" i="2"/>
  <c r="AO280" i="2" s="1"/>
  <c r="AG281" i="2"/>
  <c r="AO281" i="2" s="1"/>
  <c r="AG282" i="2"/>
  <c r="AO282" i="2" s="1"/>
  <c r="AG283" i="2"/>
  <c r="AO283" i="2" s="1"/>
  <c r="AG284" i="2"/>
  <c r="AO284" i="2" s="1"/>
  <c r="AG285" i="2"/>
  <c r="AO285" i="2" s="1"/>
  <c r="AG286" i="2"/>
  <c r="AO286" i="2" s="1"/>
  <c r="AG287" i="2"/>
  <c r="AO287" i="2" s="1"/>
  <c r="AG288" i="2"/>
  <c r="AO288" i="2" s="1"/>
  <c r="AG289" i="2"/>
  <c r="AO289" i="2" s="1"/>
  <c r="AG290" i="2"/>
  <c r="AO290" i="2" s="1"/>
  <c r="AG291" i="2"/>
  <c r="AO291" i="2" s="1"/>
  <c r="AG292" i="2"/>
  <c r="AO292" i="2" s="1"/>
  <c r="AG293" i="2"/>
  <c r="AO293" i="2" s="1"/>
  <c r="AG294" i="2"/>
  <c r="AO294" i="2" s="1"/>
  <c r="AG295" i="2"/>
  <c r="AO295" i="2" s="1"/>
  <c r="AG296" i="2"/>
  <c r="AO296" i="2" s="1"/>
  <c r="AG297" i="2"/>
  <c r="AO297" i="2" s="1"/>
  <c r="AG298" i="2"/>
  <c r="AO298" i="2" s="1"/>
  <c r="AG299" i="2"/>
  <c r="AO299" i="2" s="1"/>
  <c r="AG300" i="2"/>
  <c r="AO300" i="2" s="1"/>
  <c r="AG301" i="2"/>
  <c r="AO301" i="2" s="1"/>
  <c r="AG302" i="2"/>
  <c r="AO302" i="2" s="1"/>
  <c r="AG303" i="2"/>
  <c r="AO303" i="2" s="1"/>
  <c r="AG304" i="2"/>
  <c r="AO304" i="2" s="1"/>
  <c r="AG305" i="2"/>
  <c r="AO305" i="2" s="1"/>
  <c r="AG306" i="2"/>
  <c r="AO306" i="2" s="1"/>
  <c r="AG307" i="2"/>
  <c r="AO307" i="2" s="1"/>
  <c r="AG308" i="2"/>
  <c r="AO308" i="2" s="1"/>
  <c r="AG309" i="2"/>
  <c r="AO309" i="2" s="1"/>
  <c r="AG310" i="2"/>
  <c r="AO310" i="2" s="1"/>
  <c r="AG311" i="2"/>
  <c r="AO311" i="2" s="1"/>
  <c r="AG312" i="2"/>
  <c r="AO312" i="2" s="1"/>
  <c r="AG313" i="2"/>
  <c r="AO313" i="2" s="1"/>
  <c r="AG314" i="2"/>
  <c r="AO314" i="2" s="1"/>
  <c r="AG315" i="2"/>
  <c r="AO315" i="2" s="1"/>
  <c r="AG316" i="2"/>
  <c r="AO316" i="2" s="1"/>
  <c r="AG317" i="2"/>
  <c r="AO317" i="2" s="1"/>
  <c r="AG318" i="2"/>
  <c r="AO318" i="2" s="1"/>
  <c r="AG319" i="2"/>
  <c r="AO319" i="2" s="1"/>
  <c r="AG320" i="2"/>
  <c r="AO320" i="2" s="1"/>
  <c r="AG321" i="2"/>
  <c r="AO321" i="2" s="1"/>
  <c r="AG322" i="2"/>
  <c r="AO322" i="2" s="1"/>
  <c r="AG323" i="2"/>
  <c r="AO323" i="2" s="1"/>
  <c r="AG324" i="2"/>
  <c r="AO324" i="2" s="1"/>
  <c r="AG325" i="2"/>
  <c r="AO325" i="2" s="1"/>
  <c r="AG326" i="2"/>
  <c r="AO326" i="2" s="1"/>
  <c r="AG327" i="2"/>
  <c r="AO327" i="2" s="1"/>
  <c r="AG328" i="2"/>
  <c r="AO328" i="2" s="1"/>
  <c r="AG329" i="2"/>
  <c r="AO329" i="2" s="1"/>
  <c r="AG330" i="2"/>
  <c r="AO330" i="2" s="1"/>
  <c r="AG331" i="2"/>
  <c r="AO331" i="2" s="1"/>
  <c r="AG332" i="2"/>
  <c r="AO332" i="2" s="1"/>
  <c r="AG333" i="2"/>
  <c r="AO333" i="2" s="1"/>
  <c r="AG334" i="2"/>
  <c r="AO334" i="2" s="1"/>
  <c r="AG335" i="2"/>
  <c r="AO335" i="2" s="1"/>
  <c r="AG336" i="2"/>
  <c r="AO336" i="2" s="1"/>
  <c r="AG337" i="2"/>
  <c r="AO337" i="2" s="1"/>
  <c r="AG338" i="2"/>
  <c r="AO338" i="2" s="1"/>
  <c r="AG339" i="2"/>
  <c r="AO339" i="2" s="1"/>
  <c r="AG340" i="2"/>
  <c r="AO340" i="2" s="1"/>
  <c r="AG341" i="2"/>
  <c r="AO341" i="2" s="1"/>
  <c r="AG342" i="2"/>
  <c r="AO342" i="2" s="1"/>
  <c r="AG343" i="2"/>
  <c r="AO343" i="2" s="1"/>
  <c r="AG344" i="2"/>
  <c r="AO344" i="2" s="1"/>
  <c r="AG345" i="2"/>
  <c r="AO345" i="2" s="1"/>
  <c r="AG346" i="2"/>
  <c r="AO346" i="2" s="1"/>
  <c r="AG347" i="2"/>
  <c r="AO347" i="2" s="1"/>
  <c r="AG348" i="2"/>
  <c r="AO348" i="2" s="1"/>
  <c r="AG349" i="2"/>
  <c r="AO349" i="2" s="1"/>
  <c r="AG350" i="2"/>
  <c r="AO350" i="2" s="1"/>
  <c r="AG351" i="2"/>
  <c r="AO351" i="2" s="1"/>
  <c r="AG352" i="2"/>
  <c r="AO352" i="2" s="1"/>
  <c r="AG353" i="2"/>
  <c r="AO353" i="2" s="1"/>
  <c r="AG354" i="2"/>
  <c r="AO354" i="2" s="1"/>
  <c r="AG355" i="2"/>
  <c r="AO355" i="2" s="1"/>
  <c r="AG356" i="2"/>
  <c r="AO356" i="2" s="1"/>
  <c r="AG357" i="2"/>
  <c r="AO357" i="2" s="1"/>
  <c r="AG358" i="2"/>
  <c r="AO358" i="2" s="1"/>
  <c r="AG359" i="2"/>
  <c r="AO359" i="2" s="1"/>
  <c r="AG360" i="2"/>
  <c r="AO360" i="2" s="1"/>
  <c r="AG361" i="2"/>
  <c r="AO361" i="2" s="1"/>
  <c r="AG362" i="2"/>
  <c r="AO362" i="2" s="1"/>
  <c r="AG363" i="2"/>
  <c r="AO363" i="2" s="1"/>
  <c r="AG364" i="2"/>
  <c r="AO364" i="2" s="1"/>
  <c r="AG365" i="2"/>
  <c r="AO365" i="2" s="1"/>
  <c r="AG366" i="2"/>
  <c r="AO366" i="2" s="1"/>
  <c r="AG367" i="2"/>
  <c r="AO367" i="2" s="1"/>
  <c r="AG368" i="2"/>
  <c r="AO368" i="2" s="1"/>
  <c r="AG369" i="2"/>
  <c r="AO369" i="2" s="1"/>
  <c r="AG370" i="2"/>
  <c r="AO370" i="2" s="1"/>
  <c r="AG371" i="2"/>
  <c r="AO371" i="2" s="1"/>
  <c r="AG372" i="2"/>
  <c r="AO372" i="2" s="1"/>
  <c r="AG373" i="2"/>
  <c r="AO373" i="2" s="1"/>
  <c r="AG374" i="2"/>
  <c r="AO374" i="2" s="1"/>
  <c r="AG375" i="2"/>
  <c r="AO375" i="2" s="1"/>
  <c r="AG376" i="2"/>
  <c r="AO376" i="2" s="1"/>
  <c r="AG377" i="2"/>
  <c r="AO377" i="2" s="1"/>
  <c r="AG378" i="2"/>
  <c r="AO378" i="2" s="1"/>
  <c r="AG379" i="2"/>
  <c r="AO379" i="2" s="1"/>
  <c r="AG380" i="2"/>
  <c r="AO380" i="2" s="1"/>
  <c r="AG381" i="2"/>
  <c r="AO381" i="2" s="1"/>
  <c r="AG382" i="2"/>
  <c r="AO382" i="2" s="1"/>
  <c r="AG383" i="2"/>
  <c r="AO383" i="2" s="1"/>
  <c r="AG384" i="2"/>
  <c r="AO384" i="2" s="1"/>
  <c r="AG385" i="2"/>
  <c r="AO385" i="2" s="1"/>
  <c r="AG386" i="2"/>
  <c r="AO386" i="2" s="1"/>
  <c r="AG387" i="2"/>
  <c r="AO387" i="2" s="1"/>
  <c r="AG388" i="2"/>
  <c r="AO388" i="2" s="1"/>
  <c r="AG389" i="2"/>
  <c r="AO389" i="2" s="1"/>
  <c r="AG390" i="2"/>
  <c r="AO390" i="2" s="1"/>
  <c r="AG391" i="2"/>
  <c r="AO391" i="2" s="1"/>
  <c r="AG392" i="2"/>
  <c r="AO392" i="2" s="1"/>
  <c r="AG393" i="2"/>
  <c r="AO393" i="2" s="1"/>
  <c r="AG394" i="2"/>
  <c r="AO394" i="2" s="1"/>
  <c r="AG395" i="2"/>
  <c r="AO395" i="2" s="1"/>
  <c r="AG396" i="2"/>
  <c r="AO396" i="2" s="1"/>
  <c r="AG397" i="2"/>
  <c r="AO397" i="2" s="1"/>
  <c r="AG398" i="2"/>
  <c r="AO398" i="2" s="1"/>
  <c r="AG399" i="2"/>
  <c r="AO399" i="2" s="1"/>
  <c r="AG400" i="2"/>
  <c r="AO400" i="2" s="1"/>
  <c r="AG401" i="2"/>
  <c r="AO401" i="2" s="1"/>
  <c r="AG402" i="2"/>
  <c r="AO402" i="2" s="1"/>
  <c r="AG403" i="2"/>
  <c r="AO403" i="2" s="1"/>
  <c r="AG404" i="2"/>
  <c r="AO404" i="2" s="1"/>
  <c r="AG405" i="2"/>
  <c r="AO405" i="2" s="1"/>
  <c r="AG406" i="2"/>
  <c r="AO406" i="2" s="1"/>
  <c r="AG407" i="2"/>
  <c r="AO407" i="2" s="1"/>
  <c r="AG408" i="2"/>
  <c r="AO408" i="2" s="1"/>
  <c r="AG409" i="2"/>
  <c r="AO409" i="2" s="1"/>
  <c r="AG410" i="2"/>
  <c r="AO410" i="2" s="1"/>
  <c r="AG411" i="2"/>
  <c r="AO411" i="2" s="1"/>
  <c r="AG412" i="2"/>
  <c r="AO412" i="2" s="1"/>
  <c r="AG413" i="2"/>
  <c r="AO413" i="2" s="1"/>
  <c r="AG414" i="2"/>
  <c r="AO414" i="2" s="1"/>
  <c r="AG415" i="2"/>
  <c r="AO415" i="2" s="1"/>
  <c r="AG416" i="2"/>
  <c r="AO416" i="2" s="1"/>
  <c r="AG417" i="2"/>
  <c r="AO417" i="2" s="1"/>
  <c r="AG418" i="2"/>
  <c r="AO418" i="2" s="1"/>
  <c r="AG419" i="2"/>
  <c r="AO419" i="2" s="1"/>
  <c r="AG420" i="2"/>
  <c r="AO420" i="2" s="1"/>
  <c r="AG421" i="2"/>
  <c r="AO421" i="2" s="1"/>
  <c r="AG422" i="2"/>
  <c r="AO422" i="2" s="1"/>
  <c r="AG423" i="2"/>
  <c r="AO423" i="2" s="1"/>
  <c r="AG424" i="2"/>
  <c r="AO424" i="2" s="1"/>
  <c r="AG425" i="2"/>
  <c r="AO425" i="2" s="1"/>
  <c r="AG426" i="2"/>
  <c r="AO426" i="2" s="1"/>
  <c r="AG427" i="2"/>
  <c r="AO427" i="2" s="1"/>
  <c r="AG428" i="2"/>
  <c r="AO428" i="2" s="1"/>
  <c r="AG429" i="2"/>
  <c r="AO429" i="2" s="1"/>
  <c r="AG430" i="2"/>
  <c r="AO430" i="2" s="1"/>
  <c r="AG431" i="2"/>
  <c r="AO431" i="2" s="1"/>
  <c r="AG432" i="2"/>
  <c r="AO432" i="2" s="1"/>
  <c r="AG433" i="2"/>
  <c r="AO433" i="2" s="1"/>
  <c r="AG434" i="2"/>
  <c r="AO434" i="2" s="1"/>
  <c r="AG435" i="2"/>
  <c r="AO435" i="2" s="1"/>
  <c r="AG436" i="2"/>
  <c r="AO436" i="2" s="1"/>
  <c r="AG437" i="2"/>
  <c r="AO437" i="2" s="1"/>
  <c r="AG438" i="2"/>
  <c r="AO438" i="2" s="1"/>
  <c r="AG439" i="2"/>
  <c r="AO439" i="2" s="1"/>
  <c r="AG440" i="2"/>
  <c r="AO440" i="2" s="1"/>
  <c r="AG441" i="2"/>
  <c r="AO441" i="2" s="1"/>
  <c r="AG442" i="2"/>
  <c r="AO442" i="2" s="1"/>
  <c r="AG443" i="2"/>
  <c r="AO443" i="2" s="1"/>
  <c r="AG444" i="2"/>
  <c r="AO444" i="2" s="1"/>
  <c r="AG445" i="2"/>
  <c r="AO445" i="2" s="1"/>
  <c r="AG446" i="2"/>
  <c r="AO446" i="2" s="1"/>
  <c r="AG447" i="2"/>
  <c r="AO447" i="2" s="1"/>
  <c r="AG448" i="2"/>
  <c r="AO448" i="2" s="1"/>
  <c r="AG449" i="2"/>
  <c r="AO449" i="2" s="1"/>
  <c r="AG450" i="2"/>
  <c r="AO450" i="2" s="1"/>
  <c r="AG451" i="2"/>
  <c r="AO451" i="2" s="1"/>
  <c r="AG452" i="2"/>
  <c r="AO452" i="2" s="1"/>
  <c r="AG453" i="2"/>
  <c r="AO453" i="2" s="1"/>
  <c r="AG454" i="2"/>
  <c r="AO454" i="2" s="1"/>
  <c r="AG455" i="2"/>
  <c r="AO455" i="2" s="1"/>
  <c r="AG456" i="2"/>
  <c r="AO456" i="2" s="1"/>
  <c r="AG457" i="2"/>
  <c r="AO457" i="2" s="1"/>
  <c r="AG458" i="2"/>
  <c r="AO458" i="2" s="1"/>
  <c r="AG459" i="2"/>
  <c r="AO459" i="2" s="1"/>
  <c r="AG460" i="2"/>
  <c r="AO460" i="2" s="1"/>
  <c r="AG461" i="2"/>
  <c r="AO461" i="2" s="1"/>
  <c r="AG462" i="2"/>
  <c r="AO462" i="2" s="1"/>
  <c r="AG463" i="2"/>
  <c r="AO463" i="2" s="1"/>
  <c r="AG464" i="2"/>
  <c r="AO464" i="2" s="1"/>
  <c r="AG465" i="2"/>
  <c r="AO465" i="2" s="1"/>
  <c r="AG466" i="2"/>
  <c r="AO466" i="2" s="1"/>
  <c r="AG467" i="2"/>
  <c r="AO467" i="2" s="1"/>
  <c r="AG468" i="2"/>
  <c r="AO468" i="2" s="1"/>
  <c r="AG469" i="2"/>
  <c r="AO469" i="2" s="1"/>
  <c r="AG470" i="2"/>
  <c r="AO470" i="2" s="1"/>
  <c r="AG471" i="2"/>
  <c r="AO471" i="2" s="1"/>
  <c r="AG472" i="2"/>
  <c r="AO472" i="2" s="1"/>
  <c r="AG473" i="2"/>
  <c r="AO473" i="2" s="1"/>
  <c r="AG474" i="2"/>
  <c r="AO474" i="2" s="1"/>
  <c r="AG475" i="2"/>
  <c r="AO475" i="2" s="1"/>
  <c r="AG476" i="2"/>
  <c r="AO476" i="2" s="1"/>
  <c r="AG477" i="2"/>
  <c r="AO477" i="2" s="1"/>
  <c r="AG478" i="2"/>
  <c r="AO478" i="2" s="1"/>
  <c r="AG479" i="2"/>
  <c r="AO479" i="2" s="1"/>
  <c r="AG480" i="2"/>
  <c r="AO480" i="2" s="1"/>
  <c r="AG481" i="2"/>
  <c r="AO481" i="2" s="1"/>
  <c r="AG482" i="2"/>
  <c r="AO482" i="2" s="1"/>
  <c r="AG483" i="2"/>
  <c r="AO483" i="2" s="1"/>
  <c r="AG484" i="2"/>
  <c r="AO484" i="2" s="1"/>
  <c r="AG485" i="2"/>
  <c r="AO485" i="2" s="1"/>
  <c r="AG486" i="2"/>
  <c r="AO486" i="2" s="1"/>
  <c r="AG487" i="2"/>
  <c r="AO487" i="2" s="1"/>
  <c r="AG488" i="2"/>
  <c r="AO488" i="2" s="1"/>
  <c r="AG489" i="2"/>
  <c r="AO489" i="2" s="1"/>
  <c r="AG490" i="2"/>
  <c r="AO490" i="2" s="1"/>
  <c r="AG491" i="2"/>
  <c r="AO491" i="2" s="1"/>
  <c r="AG492" i="2"/>
  <c r="AO492" i="2" s="1"/>
  <c r="AG493" i="2"/>
  <c r="AO493" i="2" s="1"/>
  <c r="AG494" i="2"/>
  <c r="AO494" i="2" s="1"/>
  <c r="AG495" i="2"/>
  <c r="AO495" i="2" s="1"/>
  <c r="AG496" i="2"/>
  <c r="AO496" i="2" s="1"/>
  <c r="AG497" i="2"/>
  <c r="AO497" i="2" s="1"/>
  <c r="AG498" i="2"/>
  <c r="AO498" i="2" s="1"/>
  <c r="AG499" i="2"/>
  <c r="AO499" i="2" s="1"/>
  <c r="AG500" i="2"/>
  <c r="AO500" i="2" s="1"/>
  <c r="AG501" i="2"/>
  <c r="AO501" i="2" s="1"/>
  <c r="AG502" i="2"/>
  <c r="AO502" i="2" s="1"/>
  <c r="AG503" i="2"/>
  <c r="AO503" i="2" s="1"/>
  <c r="AG504" i="2"/>
  <c r="AO504" i="2" s="1"/>
  <c r="AG505" i="2"/>
  <c r="AO505" i="2" s="1"/>
  <c r="AG506" i="2"/>
  <c r="AO506" i="2" s="1"/>
  <c r="AG507" i="2"/>
  <c r="AO507" i="2" s="1"/>
  <c r="AG508" i="2"/>
  <c r="AO508" i="2" s="1"/>
  <c r="AG509" i="2"/>
  <c r="AO509" i="2" s="1"/>
  <c r="AG510" i="2"/>
  <c r="AO510" i="2" s="1"/>
  <c r="AG511" i="2"/>
  <c r="AO511" i="2" s="1"/>
  <c r="AG512" i="2"/>
  <c r="AO512" i="2" s="1"/>
  <c r="AG513" i="2"/>
  <c r="AO513" i="2" s="1"/>
  <c r="AG514" i="2"/>
  <c r="AO514" i="2" s="1"/>
  <c r="AG515" i="2"/>
  <c r="AO515" i="2" s="1"/>
  <c r="AG516" i="2"/>
  <c r="AO516" i="2" s="1"/>
  <c r="AG517" i="2"/>
  <c r="AO517" i="2" s="1"/>
  <c r="AG518" i="2"/>
  <c r="AO518" i="2" s="1"/>
  <c r="AG519" i="2"/>
  <c r="AO519" i="2" s="1"/>
  <c r="AG520" i="2"/>
  <c r="AO520" i="2" s="1"/>
  <c r="AG521" i="2"/>
  <c r="AO521" i="2" s="1"/>
  <c r="AG522" i="2"/>
  <c r="AO522" i="2" s="1"/>
  <c r="AG523" i="2"/>
  <c r="AO523" i="2" s="1"/>
  <c r="AG524" i="2"/>
  <c r="AO524" i="2" s="1"/>
  <c r="AG525" i="2"/>
  <c r="AO525" i="2" s="1"/>
  <c r="AG526" i="2"/>
  <c r="AO526" i="2" s="1"/>
  <c r="AG527" i="2"/>
  <c r="AO527" i="2" s="1"/>
  <c r="AG528" i="2"/>
  <c r="AO528" i="2" s="1"/>
  <c r="AG529" i="2"/>
  <c r="AO529" i="2" s="1"/>
  <c r="AG530" i="2"/>
  <c r="AO530" i="2" s="1"/>
  <c r="AG531" i="2"/>
  <c r="AO531" i="2" s="1"/>
  <c r="AG532" i="2"/>
  <c r="AO532" i="2" s="1"/>
  <c r="AG533" i="2"/>
  <c r="AO533" i="2" s="1"/>
  <c r="AG534" i="2"/>
  <c r="AO534" i="2" s="1"/>
  <c r="AG535" i="2"/>
  <c r="AO535" i="2" s="1"/>
  <c r="AG536" i="2"/>
  <c r="AO536" i="2" s="1"/>
  <c r="AG537" i="2"/>
  <c r="AO537" i="2" s="1"/>
  <c r="AG538" i="2"/>
  <c r="AO538" i="2" s="1"/>
  <c r="AG539" i="2"/>
  <c r="AO539" i="2" s="1"/>
  <c r="AG540" i="2"/>
  <c r="AO540" i="2" s="1"/>
  <c r="AG541" i="2"/>
  <c r="AO541" i="2" s="1"/>
  <c r="AG542" i="2"/>
  <c r="AO542" i="2" s="1"/>
  <c r="AG543" i="2"/>
  <c r="AO543" i="2" s="1"/>
  <c r="AG544" i="2"/>
  <c r="AO544" i="2" s="1"/>
  <c r="AG545" i="2"/>
  <c r="AO545" i="2" s="1"/>
  <c r="AG546" i="2"/>
  <c r="AO546" i="2" s="1"/>
  <c r="AG547" i="2"/>
  <c r="AO547" i="2" s="1"/>
  <c r="AG548" i="2"/>
  <c r="AO548" i="2" s="1"/>
  <c r="AG549" i="2"/>
  <c r="AO549" i="2" s="1"/>
  <c r="AG550" i="2"/>
  <c r="AO550" i="2" s="1"/>
  <c r="AG551" i="2"/>
  <c r="AO551" i="2" s="1"/>
  <c r="AG552" i="2"/>
  <c r="AO552" i="2" s="1"/>
  <c r="AG553" i="2"/>
  <c r="AO553" i="2" s="1"/>
  <c r="AG554" i="2"/>
  <c r="AO554" i="2" s="1"/>
  <c r="AG555" i="2"/>
  <c r="AO555" i="2" s="1"/>
  <c r="AG556" i="2"/>
  <c r="AO556" i="2" s="1"/>
  <c r="AG557" i="2"/>
  <c r="AO557" i="2" s="1"/>
  <c r="AG558" i="2"/>
  <c r="AO558" i="2" s="1"/>
  <c r="AG559" i="2"/>
  <c r="AO559" i="2" s="1"/>
  <c r="AG560" i="2"/>
  <c r="AO560" i="2" s="1"/>
  <c r="AG561" i="2"/>
  <c r="AO561" i="2" s="1"/>
  <c r="AG562" i="2"/>
  <c r="AO562" i="2" s="1"/>
  <c r="AG563" i="2"/>
  <c r="AO563" i="2" s="1"/>
  <c r="AG564" i="2"/>
  <c r="AO564" i="2" s="1"/>
  <c r="AG565" i="2"/>
  <c r="AO565" i="2" s="1"/>
  <c r="AG566" i="2"/>
  <c r="AO566" i="2" s="1"/>
  <c r="AG567" i="2"/>
  <c r="AO567" i="2" s="1"/>
  <c r="AG568" i="2"/>
  <c r="AO568" i="2" s="1"/>
  <c r="AG569" i="2"/>
  <c r="AO569" i="2" s="1"/>
  <c r="AG570" i="2"/>
  <c r="AO570" i="2" s="1"/>
  <c r="AG571" i="2"/>
  <c r="AO571" i="2" s="1"/>
  <c r="AG572" i="2"/>
  <c r="AO572" i="2" s="1"/>
  <c r="AG573" i="2"/>
  <c r="AO573" i="2" s="1"/>
  <c r="AG574" i="2"/>
  <c r="AO574" i="2" s="1"/>
  <c r="AG575" i="2"/>
  <c r="AO575" i="2" s="1"/>
  <c r="AG576" i="2"/>
  <c r="AO576" i="2" s="1"/>
  <c r="AG577" i="2"/>
  <c r="AO577" i="2" s="1"/>
  <c r="AG578" i="2"/>
  <c r="AO578" i="2" s="1"/>
  <c r="AG579" i="2"/>
  <c r="AO579" i="2" s="1"/>
  <c r="AG580" i="2"/>
  <c r="AO580" i="2" s="1"/>
  <c r="AG581" i="2"/>
  <c r="AO581" i="2" s="1"/>
  <c r="AG582" i="2"/>
  <c r="AO582" i="2" s="1"/>
  <c r="AG583" i="2"/>
  <c r="AO583" i="2" s="1"/>
  <c r="AG584" i="2"/>
  <c r="AO584" i="2" s="1"/>
  <c r="AG585" i="2"/>
  <c r="AO585" i="2" s="1"/>
  <c r="AG586" i="2"/>
  <c r="AO586" i="2" s="1"/>
  <c r="AG587" i="2"/>
  <c r="AO587" i="2" s="1"/>
  <c r="AG588" i="2"/>
  <c r="AO588" i="2" s="1"/>
  <c r="AG589" i="2"/>
  <c r="AO589" i="2" s="1"/>
  <c r="AG590" i="2"/>
  <c r="AO590" i="2" s="1"/>
  <c r="AG591" i="2"/>
  <c r="AO591" i="2" s="1"/>
  <c r="AG592" i="2"/>
  <c r="AO592" i="2" s="1"/>
  <c r="AG593" i="2"/>
  <c r="AO593" i="2" s="1"/>
  <c r="AG594" i="2"/>
  <c r="AO594" i="2" s="1"/>
  <c r="AG595" i="2"/>
  <c r="AO595" i="2" s="1"/>
  <c r="AG596" i="2"/>
  <c r="AO596" i="2" s="1"/>
  <c r="AG597" i="2"/>
  <c r="AO597" i="2" s="1"/>
  <c r="AG598" i="2"/>
  <c r="AO598" i="2" s="1"/>
  <c r="AG599" i="2"/>
  <c r="AO599" i="2" s="1"/>
  <c r="AG600" i="2"/>
  <c r="AO600" i="2" s="1"/>
  <c r="AG601" i="2"/>
  <c r="AO601" i="2" s="1"/>
  <c r="AG602" i="2"/>
  <c r="AO602" i="2" s="1"/>
  <c r="AG603" i="2"/>
  <c r="AO603" i="2" s="1"/>
  <c r="AG604" i="2"/>
  <c r="AO604" i="2" s="1"/>
  <c r="AG605" i="2"/>
  <c r="AO605" i="2" s="1"/>
  <c r="AG606" i="2"/>
  <c r="AO606" i="2" s="1"/>
  <c r="AG607" i="2"/>
  <c r="AO607" i="2" s="1"/>
  <c r="AG608" i="2"/>
  <c r="AO608" i="2" s="1"/>
  <c r="AG609" i="2"/>
  <c r="AO609" i="2" s="1"/>
  <c r="AG610" i="2"/>
  <c r="AO610" i="2" s="1"/>
  <c r="AG611" i="2"/>
  <c r="AO611" i="2" s="1"/>
  <c r="AG612" i="2"/>
  <c r="AO612" i="2" s="1"/>
  <c r="AG613" i="2"/>
  <c r="AO613" i="2" s="1"/>
  <c r="AG614" i="2"/>
  <c r="AO614" i="2" s="1"/>
  <c r="AG615" i="2"/>
  <c r="AO615" i="2" s="1"/>
  <c r="AG616" i="2"/>
  <c r="AO616" i="2" s="1"/>
  <c r="AG617" i="2"/>
  <c r="AO617" i="2" s="1"/>
  <c r="AG618" i="2"/>
  <c r="AO618" i="2" s="1"/>
  <c r="AG619" i="2"/>
  <c r="AO619" i="2" s="1"/>
  <c r="AG620" i="2"/>
  <c r="AO620" i="2" s="1"/>
  <c r="AG621" i="2"/>
  <c r="AO621" i="2" s="1"/>
  <c r="AG622" i="2"/>
  <c r="AO622" i="2" s="1"/>
  <c r="AG623" i="2"/>
  <c r="AO623" i="2" s="1"/>
  <c r="AG624" i="2"/>
  <c r="AO624" i="2" s="1"/>
  <c r="AG625" i="2"/>
  <c r="AO625" i="2" s="1"/>
  <c r="AG626" i="2"/>
  <c r="AO626" i="2" s="1"/>
  <c r="AG627" i="2"/>
  <c r="AO627" i="2" s="1"/>
  <c r="AG628" i="2"/>
  <c r="AO628" i="2" s="1"/>
  <c r="AG629" i="2"/>
  <c r="AO629" i="2" s="1"/>
  <c r="AG630" i="2"/>
  <c r="AO630" i="2" s="1"/>
  <c r="AG631" i="2"/>
  <c r="AO631" i="2" s="1"/>
  <c r="AG632" i="2"/>
  <c r="AO632" i="2" s="1"/>
  <c r="AG633" i="2"/>
  <c r="AO633" i="2" s="1"/>
  <c r="AG634" i="2"/>
  <c r="AO634" i="2" s="1"/>
  <c r="AG635" i="2"/>
  <c r="AO635" i="2" s="1"/>
  <c r="AG636" i="2"/>
  <c r="AO636" i="2" s="1"/>
  <c r="AG637" i="2"/>
  <c r="AO637" i="2" s="1"/>
  <c r="AG638" i="2"/>
  <c r="AO638" i="2" s="1"/>
  <c r="AG639" i="2"/>
  <c r="AO639" i="2" s="1"/>
  <c r="AG640" i="2"/>
  <c r="AO640" i="2" s="1"/>
  <c r="AG641" i="2"/>
  <c r="AO641" i="2" s="1"/>
  <c r="AG642" i="2"/>
  <c r="AO642" i="2" s="1"/>
  <c r="AG643" i="2"/>
  <c r="AO643" i="2" s="1"/>
  <c r="AG644" i="2"/>
  <c r="AO644" i="2" s="1"/>
  <c r="AG645" i="2"/>
  <c r="AO645" i="2" s="1"/>
  <c r="AG646" i="2"/>
  <c r="AO646" i="2" s="1"/>
  <c r="AG647" i="2"/>
  <c r="AO647" i="2" s="1"/>
  <c r="AG648" i="2"/>
  <c r="AO648" i="2" s="1"/>
  <c r="AG649" i="2"/>
  <c r="AO649" i="2" s="1"/>
  <c r="AG650" i="2"/>
  <c r="AO650" i="2" s="1"/>
  <c r="AG651" i="2"/>
  <c r="AO651" i="2" s="1"/>
  <c r="AG652" i="2"/>
  <c r="AO652" i="2" s="1"/>
  <c r="AG653" i="2"/>
  <c r="AO653" i="2" s="1"/>
  <c r="AG654" i="2"/>
  <c r="AO654" i="2" s="1"/>
  <c r="AG655" i="2"/>
  <c r="AO655" i="2" s="1"/>
  <c r="AG656" i="2"/>
  <c r="AO656" i="2" s="1"/>
  <c r="AG657" i="2"/>
  <c r="AO657" i="2" s="1"/>
  <c r="AG658" i="2"/>
  <c r="AO658" i="2" s="1"/>
  <c r="AG659" i="2"/>
  <c r="AO659" i="2" s="1"/>
  <c r="AG660" i="2"/>
  <c r="AO660" i="2" s="1"/>
  <c r="AG661" i="2"/>
  <c r="AO661" i="2" s="1"/>
  <c r="AG662" i="2"/>
  <c r="AO662" i="2" s="1"/>
  <c r="AG663" i="2"/>
  <c r="AO663" i="2" s="1"/>
  <c r="AG664" i="2"/>
  <c r="AO664" i="2" s="1"/>
  <c r="AG665" i="2"/>
  <c r="AO665" i="2" s="1"/>
  <c r="AG666" i="2"/>
  <c r="AO666" i="2" s="1"/>
  <c r="AG667" i="2"/>
  <c r="AO667" i="2" s="1"/>
  <c r="AG668" i="2"/>
  <c r="AO668" i="2" s="1"/>
  <c r="AG669" i="2"/>
  <c r="AO669" i="2" s="1"/>
  <c r="AG670" i="2"/>
  <c r="AO670" i="2" s="1"/>
  <c r="AG671" i="2"/>
  <c r="AO671" i="2" s="1"/>
  <c r="AG672" i="2"/>
  <c r="AO672" i="2" s="1"/>
  <c r="AG673" i="2"/>
  <c r="AO673" i="2" s="1"/>
  <c r="AG674" i="2"/>
  <c r="AO674" i="2" s="1"/>
  <c r="AG675" i="2"/>
  <c r="AO675" i="2" s="1"/>
  <c r="AG676" i="2"/>
  <c r="AO676" i="2" s="1"/>
  <c r="AG677" i="2"/>
  <c r="AO677" i="2" s="1"/>
  <c r="AG678" i="2"/>
  <c r="AO678" i="2" s="1"/>
  <c r="AG679" i="2"/>
  <c r="AO679" i="2" s="1"/>
  <c r="AG680" i="2"/>
  <c r="AO680" i="2" s="1"/>
  <c r="AG681" i="2"/>
  <c r="AO681" i="2" s="1"/>
  <c r="AG682" i="2"/>
  <c r="AO682" i="2" s="1"/>
  <c r="AG683" i="2"/>
  <c r="AO683" i="2" s="1"/>
  <c r="AG684" i="2"/>
  <c r="AO684" i="2" s="1"/>
  <c r="AG685" i="2"/>
  <c r="AO685" i="2" s="1"/>
  <c r="AG686" i="2"/>
  <c r="AO686" i="2" s="1"/>
  <c r="AG687" i="2"/>
  <c r="AO687" i="2" s="1"/>
  <c r="AG688" i="2"/>
  <c r="AO688" i="2" s="1"/>
  <c r="AG689" i="2"/>
  <c r="AO689" i="2" s="1"/>
  <c r="AG690" i="2"/>
  <c r="AO690" i="2" s="1"/>
  <c r="AG691" i="2"/>
  <c r="AO691" i="2" s="1"/>
  <c r="AG692" i="2"/>
  <c r="AO692" i="2" s="1"/>
  <c r="AG693" i="2"/>
  <c r="AO693" i="2" s="1"/>
  <c r="AG694" i="2"/>
  <c r="AO694" i="2" s="1"/>
  <c r="AG695" i="2"/>
  <c r="AO695" i="2" s="1"/>
  <c r="AG696" i="2"/>
  <c r="AO696" i="2" s="1"/>
  <c r="AG697" i="2"/>
  <c r="AO697" i="2" s="1"/>
  <c r="AG698" i="2"/>
  <c r="AO698" i="2" s="1"/>
  <c r="AG699" i="2"/>
  <c r="AO699" i="2" s="1"/>
  <c r="AG700" i="2"/>
  <c r="AO700" i="2" s="1"/>
  <c r="AG701" i="2"/>
  <c r="AO701" i="2" s="1"/>
  <c r="AG702" i="2"/>
  <c r="AO702" i="2" s="1"/>
  <c r="AG703" i="2"/>
  <c r="AO703" i="2" s="1"/>
  <c r="AG704" i="2"/>
  <c r="AO704" i="2" s="1"/>
  <c r="AG705" i="2"/>
  <c r="AO705" i="2" s="1"/>
  <c r="AG706" i="2"/>
  <c r="AO706" i="2" s="1"/>
  <c r="AG707" i="2"/>
  <c r="AO707" i="2" s="1"/>
  <c r="AG708" i="2"/>
  <c r="AO708" i="2" s="1"/>
  <c r="AG709" i="2"/>
  <c r="AO709" i="2" s="1"/>
  <c r="AG710" i="2"/>
  <c r="AO710" i="2" s="1"/>
  <c r="AG711" i="2"/>
  <c r="AO711" i="2" s="1"/>
  <c r="AG712" i="2"/>
  <c r="AO712" i="2" s="1"/>
  <c r="AG713" i="2"/>
  <c r="AO713" i="2" s="1"/>
  <c r="AG714" i="2"/>
  <c r="AO714" i="2" s="1"/>
  <c r="AG715" i="2"/>
  <c r="AO715" i="2" s="1"/>
  <c r="AG716" i="2"/>
  <c r="AO716" i="2" s="1"/>
  <c r="AG717" i="2"/>
  <c r="AO717" i="2" s="1"/>
  <c r="AG718" i="2"/>
  <c r="AO718" i="2" s="1"/>
  <c r="AG719" i="2"/>
  <c r="AO719" i="2" s="1"/>
  <c r="AG720" i="2"/>
  <c r="AO720" i="2" s="1"/>
  <c r="AG721" i="2"/>
  <c r="AO721" i="2" s="1"/>
  <c r="AG722" i="2"/>
  <c r="AO722" i="2" s="1"/>
  <c r="AG723" i="2"/>
  <c r="AO723" i="2" s="1"/>
  <c r="AG724" i="2"/>
  <c r="AO724" i="2" s="1"/>
  <c r="AG725" i="2"/>
  <c r="AO725" i="2" s="1"/>
  <c r="AG726" i="2"/>
  <c r="AO726" i="2" s="1"/>
  <c r="AG727" i="2"/>
  <c r="AO727" i="2" s="1"/>
  <c r="AG728" i="2"/>
  <c r="AO728" i="2" s="1"/>
  <c r="AG729" i="2"/>
  <c r="AO729" i="2" s="1"/>
  <c r="AG730" i="2"/>
  <c r="AO730" i="2" s="1"/>
  <c r="AG731" i="2"/>
  <c r="AO731" i="2" s="1"/>
  <c r="AG732" i="2"/>
  <c r="AO732" i="2" s="1"/>
  <c r="AG733" i="2"/>
  <c r="AO733" i="2" s="1"/>
  <c r="AG734" i="2"/>
  <c r="AO734" i="2" s="1"/>
  <c r="AG735" i="2"/>
  <c r="AO735" i="2" s="1"/>
  <c r="AG736" i="2"/>
  <c r="AO736" i="2" s="1"/>
  <c r="AG737" i="2"/>
  <c r="AO737" i="2" s="1"/>
  <c r="AG738" i="2"/>
  <c r="AO738" i="2" s="1"/>
  <c r="AG739" i="2"/>
  <c r="AO739" i="2" s="1"/>
  <c r="AG740" i="2"/>
  <c r="AO740" i="2" s="1"/>
  <c r="AG741" i="2"/>
  <c r="AO741" i="2" s="1"/>
  <c r="AG742" i="2"/>
  <c r="AO742" i="2" s="1"/>
  <c r="AG743" i="2"/>
  <c r="AO743" i="2" s="1"/>
  <c r="AG744" i="2"/>
  <c r="AO744" i="2" s="1"/>
  <c r="AG745" i="2"/>
  <c r="AO745" i="2" s="1"/>
  <c r="AG746" i="2"/>
  <c r="AO746" i="2" s="1"/>
  <c r="AG747" i="2"/>
  <c r="AO747" i="2" s="1"/>
  <c r="AG748" i="2"/>
  <c r="AO748" i="2" s="1"/>
  <c r="AG749" i="2"/>
  <c r="AO749" i="2" s="1"/>
  <c r="AG750" i="2"/>
  <c r="AO750" i="2" s="1"/>
  <c r="AG751" i="2"/>
  <c r="AO751" i="2" s="1"/>
  <c r="AG752" i="2"/>
  <c r="AO752" i="2" s="1"/>
  <c r="AG753" i="2"/>
  <c r="AO753" i="2" s="1"/>
  <c r="AG754" i="2"/>
  <c r="AO754" i="2" s="1"/>
  <c r="AG755" i="2"/>
  <c r="AO755" i="2" s="1"/>
  <c r="AG756" i="2"/>
  <c r="AO756" i="2" s="1"/>
  <c r="AG757" i="2"/>
  <c r="AO757" i="2" s="1"/>
  <c r="AG758" i="2"/>
  <c r="AO758" i="2" s="1"/>
  <c r="AG759" i="2"/>
  <c r="AO759" i="2" s="1"/>
  <c r="AG760" i="2"/>
  <c r="AO760" i="2" s="1"/>
  <c r="AG761" i="2"/>
  <c r="AO761" i="2" s="1"/>
  <c r="AG762" i="2"/>
  <c r="AO762" i="2" s="1"/>
  <c r="AG763" i="2"/>
  <c r="AO763" i="2" s="1"/>
  <c r="AG764" i="2"/>
  <c r="AO764" i="2" s="1"/>
  <c r="AG765" i="2"/>
  <c r="AO765" i="2" s="1"/>
  <c r="AG766" i="2"/>
  <c r="AO766" i="2" s="1"/>
  <c r="AG767" i="2"/>
  <c r="AO767" i="2" s="1"/>
  <c r="AG768" i="2"/>
  <c r="AO768" i="2" s="1"/>
  <c r="AG769" i="2"/>
  <c r="AO769" i="2" s="1"/>
  <c r="AG770" i="2"/>
  <c r="AO770" i="2" s="1"/>
  <c r="AG771" i="2"/>
  <c r="AO771" i="2" s="1"/>
  <c r="AG772" i="2"/>
  <c r="AO772" i="2" s="1"/>
  <c r="AG773" i="2"/>
  <c r="AO773" i="2" s="1"/>
  <c r="AG774" i="2"/>
  <c r="AO774" i="2" s="1"/>
  <c r="AG775" i="2"/>
  <c r="AO775" i="2" s="1"/>
  <c r="AG776" i="2"/>
  <c r="AO776" i="2" s="1"/>
  <c r="AG777" i="2"/>
  <c r="AO777" i="2" s="1"/>
  <c r="AG778" i="2"/>
  <c r="AO778" i="2" s="1"/>
  <c r="AG779" i="2"/>
  <c r="AO779" i="2" s="1"/>
  <c r="AG780" i="2"/>
  <c r="AO780" i="2" s="1"/>
  <c r="AG781" i="2"/>
  <c r="AO781" i="2" s="1"/>
  <c r="AG782" i="2"/>
  <c r="AO782" i="2" s="1"/>
  <c r="AG783" i="2"/>
  <c r="AO783" i="2" s="1"/>
  <c r="AG784" i="2"/>
  <c r="AO784" i="2" s="1"/>
  <c r="AG785" i="2"/>
  <c r="AO785" i="2" s="1"/>
  <c r="AG786" i="2"/>
  <c r="AO786" i="2" s="1"/>
  <c r="AG787" i="2"/>
  <c r="AO787" i="2" s="1"/>
  <c r="AG788" i="2"/>
  <c r="AO788" i="2" s="1"/>
  <c r="AG789" i="2"/>
  <c r="AO789" i="2" s="1"/>
  <c r="AG790" i="2"/>
  <c r="AO790" i="2" s="1"/>
  <c r="AG791" i="2"/>
  <c r="AO791" i="2" s="1"/>
  <c r="AG792" i="2"/>
  <c r="AO792" i="2" s="1"/>
  <c r="AG793" i="2"/>
  <c r="AO793" i="2" s="1"/>
  <c r="AG794" i="2"/>
  <c r="AO794" i="2" s="1"/>
  <c r="AG795" i="2"/>
  <c r="AO795" i="2" s="1"/>
  <c r="AG796" i="2"/>
  <c r="AO796" i="2" s="1"/>
  <c r="AG797" i="2"/>
  <c r="AO797" i="2" s="1"/>
  <c r="AG798" i="2"/>
  <c r="AO798" i="2" s="1"/>
  <c r="AG799" i="2"/>
  <c r="AO799" i="2" s="1"/>
  <c r="AG800" i="2"/>
  <c r="AO800" i="2" s="1"/>
  <c r="AG801" i="2"/>
  <c r="AO801" i="2" s="1"/>
  <c r="AG802" i="2"/>
  <c r="AO802" i="2" s="1"/>
  <c r="AG803" i="2"/>
  <c r="AO803" i="2" s="1"/>
  <c r="AG804" i="2"/>
  <c r="AO804" i="2" s="1"/>
  <c r="AG805" i="2"/>
  <c r="AO805" i="2" s="1"/>
  <c r="AG806" i="2"/>
  <c r="AO806" i="2" s="1"/>
  <c r="AG807" i="2"/>
  <c r="AO807" i="2" s="1"/>
  <c r="AG808" i="2"/>
  <c r="AO808" i="2" s="1"/>
  <c r="AG809" i="2"/>
  <c r="AO809" i="2" s="1"/>
  <c r="AG810" i="2"/>
  <c r="AO810" i="2" s="1"/>
  <c r="AG811" i="2"/>
  <c r="AO811" i="2" s="1"/>
  <c r="AG812" i="2"/>
  <c r="AO812" i="2" s="1"/>
  <c r="AG813" i="2"/>
  <c r="AO813" i="2" s="1"/>
  <c r="AG814" i="2"/>
  <c r="AO814" i="2" s="1"/>
  <c r="AG815" i="2"/>
  <c r="AO815" i="2" s="1"/>
  <c r="AG816" i="2"/>
  <c r="AO816" i="2" s="1"/>
  <c r="AG817" i="2"/>
  <c r="AO817" i="2" s="1"/>
  <c r="AG818" i="2"/>
  <c r="AO818" i="2" s="1"/>
  <c r="AG819" i="2"/>
  <c r="AO819" i="2" s="1"/>
  <c r="AG820" i="2"/>
  <c r="AO820" i="2" s="1"/>
  <c r="AG821" i="2"/>
  <c r="AO821" i="2" s="1"/>
  <c r="AG822" i="2"/>
  <c r="AO822" i="2" s="1"/>
  <c r="AG823" i="2"/>
  <c r="AO823" i="2" s="1"/>
  <c r="AG824" i="2"/>
  <c r="AO824" i="2" s="1"/>
  <c r="AG825" i="2"/>
  <c r="AO825" i="2" s="1"/>
  <c r="AG826" i="2"/>
  <c r="AO826" i="2" s="1"/>
  <c r="AG827" i="2"/>
  <c r="AO827" i="2" s="1"/>
  <c r="AG828" i="2"/>
  <c r="AO828" i="2" s="1"/>
  <c r="AG829" i="2"/>
  <c r="AO829" i="2" s="1"/>
  <c r="AG830" i="2"/>
  <c r="AO830" i="2" s="1"/>
  <c r="AG831" i="2"/>
  <c r="AO831" i="2" s="1"/>
  <c r="AG832" i="2"/>
  <c r="AO832" i="2" s="1"/>
  <c r="AG833" i="2"/>
  <c r="AO833" i="2" s="1"/>
  <c r="AG834" i="2"/>
  <c r="AO834" i="2" s="1"/>
  <c r="AG835" i="2"/>
  <c r="AO835" i="2" s="1"/>
  <c r="AG836" i="2"/>
  <c r="AO836" i="2" s="1"/>
  <c r="AG837" i="2"/>
  <c r="AO837" i="2" s="1"/>
  <c r="AG838" i="2"/>
  <c r="AO838" i="2" s="1"/>
  <c r="AG839" i="2"/>
  <c r="AO839" i="2" s="1"/>
  <c r="AG840" i="2"/>
  <c r="AO840" i="2" s="1"/>
  <c r="AG841" i="2"/>
  <c r="AO841" i="2" s="1"/>
  <c r="AG842" i="2"/>
  <c r="AO842" i="2" s="1"/>
  <c r="AG843" i="2"/>
  <c r="AO843" i="2" s="1"/>
  <c r="AG844" i="2"/>
  <c r="AO844" i="2" s="1"/>
  <c r="AG845" i="2"/>
  <c r="AO845" i="2" s="1"/>
  <c r="AG846" i="2"/>
  <c r="AO846" i="2" s="1"/>
  <c r="AG847" i="2"/>
  <c r="AO847" i="2" s="1"/>
  <c r="AG848" i="2"/>
  <c r="AO848" i="2" s="1"/>
  <c r="AG849" i="2"/>
  <c r="AO849" i="2" s="1"/>
  <c r="AG850" i="2"/>
  <c r="AO850" i="2" s="1"/>
  <c r="AG851" i="2"/>
  <c r="AO851" i="2" s="1"/>
  <c r="AG852" i="2"/>
  <c r="AO852" i="2" s="1"/>
  <c r="AG853" i="2"/>
  <c r="AO853" i="2" s="1"/>
  <c r="AG854" i="2"/>
  <c r="AO854" i="2" s="1"/>
  <c r="AG855" i="2"/>
  <c r="AO855" i="2" s="1"/>
  <c r="AG856" i="2"/>
  <c r="AO856" i="2" s="1"/>
  <c r="AG857" i="2"/>
  <c r="AO857" i="2" s="1"/>
  <c r="AG858" i="2"/>
  <c r="AO858" i="2" s="1"/>
  <c r="AG859" i="2"/>
  <c r="AO859" i="2" s="1"/>
  <c r="AG860" i="2"/>
  <c r="AO860" i="2" s="1"/>
  <c r="AG861" i="2"/>
  <c r="AO861" i="2" s="1"/>
  <c r="AG862" i="2"/>
  <c r="AO862" i="2" s="1"/>
  <c r="AG863" i="2"/>
  <c r="AO863" i="2" s="1"/>
  <c r="AG864" i="2"/>
  <c r="AO864" i="2" s="1"/>
  <c r="AG865" i="2"/>
  <c r="AO865" i="2" s="1"/>
  <c r="AG866" i="2"/>
  <c r="AO866" i="2" s="1"/>
  <c r="AG867" i="2"/>
  <c r="AO867" i="2" s="1"/>
  <c r="AG868" i="2"/>
  <c r="AO868" i="2" s="1"/>
  <c r="AG869" i="2"/>
  <c r="AO869" i="2" s="1"/>
  <c r="AG870" i="2"/>
  <c r="AO870" i="2" s="1"/>
  <c r="AG871" i="2"/>
  <c r="AO871" i="2" s="1"/>
  <c r="AG872" i="2"/>
  <c r="AO872" i="2" s="1"/>
  <c r="AG873" i="2"/>
  <c r="AO873" i="2" s="1"/>
  <c r="AG874" i="2"/>
  <c r="AO874" i="2" s="1"/>
  <c r="AG875" i="2"/>
  <c r="AO875" i="2" s="1"/>
  <c r="AG876" i="2"/>
  <c r="AO876" i="2" s="1"/>
  <c r="AG877" i="2"/>
  <c r="AO877" i="2" s="1"/>
  <c r="AG878" i="2"/>
  <c r="AO878" i="2" s="1"/>
  <c r="AG879" i="2"/>
  <c r="AO879" i="2" s="1"/>
  <c r="AG880" i="2"/>
  <c r="AO880" i="2" s="1"/>
  <c r="AG881" i="2"/>
  <c r="AO881" i="2" s="1"/>
  <c r="AG882" i="2"/>
  <c r="AO882" i="2" s="1"/>
  <c r="AG883" i="2"/>
  <c r="AO883" i="2" s="1"/>
  <c r="AG884" i="2"/>
  <c r="AO884" i="2" s="1"/>
  <c r="AG885" i="2"/>
  <c r="AO885" i="2" s="1"/>
  <c r="AG886" i="2"/>
  <c r="AO886" i="2" s="1"/>
  <c r="AG887" i="2"/>
  <c r="AO887" i="2" s="1"/>
  <c r="AG888" i="2"/>
  <c r="AO888" i="2" s="1"/>
  <c r="AG889" i="2"/>
  <c r="AO889" i="2" s="1"/>
  <c r="AG890" i="2"/>
  <c r="AO890" i="2" s="1"/>
  <c r="AG891" i="2"/>
  <c r="AO891" i="2" s="1"/>
  <c r="AG892" i="2"/>
  <c r="AO892" i="2" s="1"/>
  <c r="AG893" i="2"/>
  <c r="AO893" i="2" s="1"/>
  <c r="AG894" i="2"/>
  <c r="AO894" i="2" s="1"/>
  <c r="AG895" i="2"/>
  <c r="AO895" i="2" s="1"/>
  <c r="AG896" i="2"/>
  <c r="AO896" i="2" s="1"/>
  <c r="AG897" i="2"/>
  <c r="AO897" i="2" s="1"/>
  <c r="AG898" i="2"/>
  <c r="AO898" i="2" s="1"/>
  <c r="AG899" i="2"/>
  <c r="AO899" i="2" s="1"/>
  <c r="AG900" i="2"/>
  <c r="AO900" i="2" s="1"/>
  <c r="AG901" i="2"/>
  <c r="AO901" i="2" s="1"/>
  <c r="AG902" i="2"/>
  <c r="AO902" i="2" s="1"/>
  <c r="AG903" i="2"/>
  <c r="AO903" i="2" s="1"/>
  <c r="AG904" i="2"/>
  <c r="AO904" i="2" s="1"/>
  <c r="AG905" i="2"/>
  <c r="AO905" i="2" s="1"/>
  <c r="AG906" i="2"/>
  <c r="AO906" i="2" s="1"/>
  <c r="AG907" i="2"/>
  <c r="AO907" i="2" s="1"/>
  <c r="AG908" i="2"/>
  <c r="AO908" i="2" s="1"/>
  <c r="AG909" i="2"/>
  <c r="AO909" i="2" s="1"/>
  <c r="AG910" i="2"/>
  <c r="AO910" i="2" s="1"/>
  <c r="AG911" i="2"/>
  <c r="AO911" i="2" s="1"/>
  <c r="AG912" i="2"/>
  <c r="AO912" i="2" s="1"/>
  <c r="AG913" i="2"/>
  <c r="AO913" i="2" s="1"/>
  <c r="AG914" i="2"/>
  <c r="AO914" i="2" s="1"/>
  <c r="AG915" i="2"/>
  <c r="AO915" i="2" s="1"/>
  <c r="AG916" i="2"/>
  <c r="AO916" i="2" s="1"/>
  <c r="AG917" i="2"/>
  <c r="AO917" i="2" s="1"/>
  <c r="AG918" i="2"/>
  <c r="AO918" i="2" s="1"/>
  <c r="AG919" i="2"/>
  <c r="AO919" i="2" s="1"/>
  <c r="AG920" i="2"/>
  <c r="AO920" i="2" s="1"/>
  <c r="AG921" i="2"/>
  <c r="AO921" i="2" s="1"/>
  <c r="AG922" i="2"/>
  <c r="AO922" i="2" s="1"/>
  <c r="AG923" i="2"/>
  <c r="AO923" i="2" s="1"/>
  <c r="AG924" i="2"/>
  <c r="AO924" i="2" s="1"/>
  <c r="AG925" i="2"/>
  <c r="AO925" i="2" s="1"/>
  <c r="AG926" i="2"/>
  <c r="AO926" i="2" s="1"/>
  <c r="AG927" i="2"/>
  <c r="AO927" i="2" s="1"/>
  <c r="AG928" i="2"/>
  <c r="AO928" i="2" s="1"/>
  <c r="AG929" i="2"/>
  <c r="AO929" i="2" s="1"/>
  <c r="AG930" i="2"/>
  <c r="AO930" i="2" s="1"/>
  <c r="AG931" i="2"/>
  <c r="AO931" i="2" s="1"/>
  <c r="AG932" i="2"/>
  <c r="AO932" i="2" s="1"/>
  <c r="AG933" i="2"/>
  <c r="AO933" i="2" s="1"/>
  <c r="AG934" i="2"/>
  <c r="AO934" i="2" s="1"/>
  <c r="AG935" i="2"/>
  <c r="AO935" i="2" s="1"/>
  <c r="AG936" i="2"/>
  <c r="AO936" i="2" s="1"/>
  <c r="AG937" i="2"/>
  <c r="AO937" i="2" s="1"/>
  <c r="AG938" i="2"/>
  <c r="AO938" i="2" s="1"/>
  <c r="AG939" i="2"/>
  <c r="AO939" i="2" s="1"/>
  <c r="AG940" i="2"/>
  <c r="AO940" i="2" s="1"/>
  <c r="AG941" i="2"/>
  <c r="AO941" i="2" s="1"/>
  <c r="AG942" i="2"/>
  <c r="AO942" i="2" s="1"/>
  <c r="AG943" i="2"/>
  <c r="AO943" i="2" s="1"/>
  <c r="AG944" i="2"/>
  <c r="AO944" i="2" s="1"/>
  <c r="AG945" i="2"/>
  <c r="AO945" i="2" s="1"/>
  <c r="AG946" i="2"/>
  <c r="AO946" i="2" s="1"/>
  <c r="AG947" i="2"/>
  <c r="AO947" i="2" s="1"/>
  <c r="AG948" i="2"/>
  <c r="AO948" i="2" s="1"/>
  <c r="AG949" i="2"/>
  <c r="AO949" i="2" s="1"/>
  <c r="AG950" i="2"/>
  <c r="AO950" i="2" s="1"/>
  <c r="AG951" i="2"/>
  <c r="AO951" i="2" s="1"/>
  <c r="AG952" i="2"/>
  <c r="AO952" i="2" s="1"/>
  <c r="AG953" i="2"/>
  <c r="AO953" i="2" s="1"/>
  <c r="AG954" i="2"/>
  <c r="AO954" i="2" s="1"/>
  <c r="AG955" i="2"/>
  <c r="AO955" i="2" s="1"/>
  <c r="AG956" i="2"/>
  <c r="AO956" i="2" s="1"/>
  <c r="AG957" i="2"/>
  <c r="AO957" i="2" s="1"/>
  <c r="AG958" i="2"/>
  <c r="AO958" i="2" s="1"/>
  <c r="AG959" i="2"/>
  <c r="AO959" i="2" s="1"/>
  <c r="AG960" i="2"/>
  <c r="AO960" i="2" s="1"/>
  <c r="AG961" i="2"/>
  <c r="AO961" i="2" s="1"/>
  <c r="AG962" i="2"/>
  <c r="AO962" i="2" s="1"/>
  <c r="AG963" i="2"/>
  <c r="AO963" i="2" s="1"/>
  <c r="AG964" i="2"/>
  <c r="AO964" i="2" s="1"/>
  <c r="AG965" i="2"/>
  <c r="AO965" i="2" s="1"/>
  <c r="AG966" i="2"/>
  <c r="AO966" i="2" s="1"/>
  <c r="AG967" i="2"/>
  <c r="AO967" i="2" s="1"/>
  <c r="AG968" i="2"/>
  <c r="AO968" i="2" s="1"/>
  <c r="AG969" i="2"/>
  <c r="AO969" i="2" s="1"/>
  <c r="AG970" i="2"/>
  <c r="AO970" i="2" s="1"/>
  <c r="AG971" i="2"/>
  <c r="AO971" i="2" s="1"/>
  <c r="AG972" i="2"/>
  <c r="AO972" i="2" s="1"/>
  <c r="AG973" i="2"/>
  <c r="AO973" i="2" s="1"/>
  <c r="AG974" i="2"/>
  <c r="AO974" i="2" s="1"/>
  <c r="AG975" i="2"/>
  <c r="AO975" i="2" s="1"/>
  <c r="AG976" i="2"/>
  <c r="AO976" i="2" s="1"/>
  <c r="AG977" i="2"/>
  <c r="AO977" i="2" s="1"/>
  <c r="AG978" i="2"/>
  <c r="AO978" i="2" s="1"/>
  <c r="AG979" i="2"/>
  <c r="AO979" i="2" s="1"/>
  <c r="AG980" i="2"/>
  <c r="AO980" i="2" s="1"/>
  <c r="AG981" i="2"/>
  <c r="AO981" i="2" s="1"/>
  <c r="AG982" i="2"/>
  <c r="AO982" i="2" s="1"/>
  <c r="AG983" i="2"/>
  <c r="AO983" i="2" s="1"/>
  <c r="AG984" i="2"/>
  <c r="AO984" i="2" s="1"/>
  <c r="AG985" i="2"/>
  <c r="AO985" i="2" s="1"/>
  <c r="AG986" i="2"/>
  <c r="AO986" i="2" s="1"/>
  <c r="AG987" i="2"/>
  <c r="AO987" i="2" s="1"/>
  <c r="AG988" i="2"/>
  <c r="AO988" i="2" s="1"/>
  <c r="AG989" i="2"/>
  <c r="AO989" i="2" s="1"/>
  <c r="AG990" i="2"/>
  <c r="AO990" i="2" s="1"/>
  <c r="AG991" i="2"/>
  <c r="AO991" i="2" s="1"/>
  <c r="AG992" i="2"/>
  <c r="AO992" i="2" s="1"/>
  <c r="AG993" i="2"/>
  <c r="AO993" i="2" s="1"/>
  <c r="AG994" i="2"/>
  <c r="AO994" i="2" s="1"/>
  <c r="AG995" i="2"/>
  <c r="AO995" i="2" s="1"/>
  <c r="AG996" i="2"/>
  <c r="AO996" i="2" s="1"/>
  <c r="AG997" i="2"/>
  <c r="AO997" i="2" s="1"/>
  <c r="AG998" i="2"/>
  <c r="AO998" i="2" s="1"/>
  <c r="AG999" i="2"/>
  <c r="AO999" i="2" s="1"/>
  <c r="AG1000" i="2"/>
  <c r="AO1000" i="2" s="1"/>
  <c r="AG1001" i="2"/>
  <c r="AO1001" i="2" s="1"/>
  <c r="AG1002" i="2"/>
  <c r="AO1002" i="2" s="1"/>
  <c r="AG1003" i="2"/>
  <c r="AO1003" i="2" s="1"/>
  <c r="AG1004" i="2"/>
  <c r="AO1004" i="2" s="1"/>
  <c r="AG1005" i="2"/>
  <c r="AO1005" i="2" s="1"/>
  <c r="AG1006" i="2"/>
  <c r="AO1006" i="2" s="1"/>
  <c r="AG1007" i="2"/>
  <c r="AO1007" i="2" s="1"/>
  <c r="AG1008" i="2"/>
  <c r="AO1008" i="2" s="1"/>
  <c r="AG1009" i="2"/>
  <c r="AO1009" i="2" s="1"/>
  <c r="AG1010" i="2"/>
  <c r="AO1010" i="2" s="1"/>
  <c r="AG1011" i="2"/>
  <c r="AO1011" i="2" s="1"/>
  <c r="AG1012" i="2"/>
  <c r="AO1012" i="2" s="1"/>
  <c r="AG1013" i="2"/>
  <c r="AO1013" i="2" s="1"/>
  <c r="AG1014" i="2"/>
  <c r="AO1014" i="2" s="1"/>
  <c r="AG1015" i="2"/>
  <c r="AO1015" i="2" s="1"/>
  <c r="AG1016" i="2"/>
  <c r="AO1016" i="2" s="1"/>
  <c r="AG1017" i="2"/>
  <c r="AO1017" i="2" s="1"/>
  <c r="AG1018" i="2"/>
  <c r="AO1018" i="2" s="1"/>
  <c r="AG1019" i="2"/>
  <c r="AO1019" i="2" s="1"/>
  <c r="AG1020" i="2"/>
  <c r="AO1020" i="2" s="1"/>
  <c r="AG1021" i="2"/>
  <c r="AO1021" i="2" s="1"/>
  <c r="AG1022" i="2"/>
  <c r="AO1022" i="2" s="1"/>
  <c r="AG1023" i="2"/>
  <c r="AO1023" i="2" s="1"/>
  <c r="AG1024" i="2"/>
  <c r="AO1024" i="2" s="1"/>
  <c r="AG1025" i="2"/>
  <c r="AO1025" i="2" s="1"/>
  <c r="AG1026" i="2"/>
  <c r="AO1026" i="2" s="1"/>
  <c r="AG1027" i="2"/>
  <c r="AO1027" i="2" s="1"/>
  <c r="AG1028" i="2"/>
  <c r="AO1028" i="2" s="1"/>
  <c r="AG1029" i="2"/>
  <c r="AO1029" i="2" s="1"/>
  <c r="AG1030" i="2"/>
  <c r="AO1030" i="2" s="1"/>
  <c r="AG1031" i="2"/>
  <c r="AO1031" i="2" s="1"/>
  <c r="AG1032" i="2"/>
  <c r="AO1032" i="2" s="1"/>
  <c r="AG1033" i="2"/>
  <c r="AO1033" i="2" s="1"/>
  <c r="AG1034" i="2"/>
  <c r="AO1034" i="2" s="1"/>
  <c r="AG1035" i="2"/>
  <c r="AO1035" i="2" s="1"/>
  <c r="AG1036" i="2"/>
  <c r="AO1036" i="2" s="1"/>
  <c r="AG1037" i="2"/>
  <c r="AO1037" i="2" s="1"/>
  <c r="AG1038" i="2"/>
  <c r="AO1038" i="2" s="1"/>
  <c r="AG1039" i="2"/>
  <c r="AO1039" i="2" s="1"/>
  <c r="AG1040" i="2"/>
  <c r="AO1040" i="2" s="1"/>
  <c r="AG1041" i="2"/>
  <c r="AO1041" i="2" s="1"/>
  <c r="AG1042" i="2"/>
  <c r="AO1042" i="2" s="1"/>
  <c r="AG1043" i="2"/>
  <c r="AO1043" i="2" s="1"/>
  <c r="AG1044" i="2"/>
  <c r="AO1044" i="2" s="1"/>
  <c r="AG1045" i="2"/>
  <c r="AO1045" i="2" s="1"/>
  <c r="AG1046" i="2"/>
  <c r="AO1046" i="2" s="1"/>
  <c r="AG1047" i="2"/>
  <c r="AO1047" i="2" s="1"/>
  <c r="AG1048" i="2"/>
  <c r="AO1048" i="2" s="1"/>
  <c r="AG1049" i="2"/>
  <c r="AO1049" i="2" s="1"/>
  <c r="AG1050" i="2"/>
  <c r="AO1050" i="2" s="1"/>
  <c r="AG1051" i="2"/>
  <c r="AO1051" i="2" s="1"/>
  <c r="AG1052" i="2"/>
  <c r="AO1052" i="2" s="1"/>
  <c r="AG1053" i="2"/>
  <c r="AO1053" i="2" s="1"/>
  <c r="AG1054" i="2"/>
  <c r="AO1054" i="2" s="1"/>
  <c r="AG1055" i="2"/>
  <c r="AO1055" i="2" s="1"/>
  <c r="AG1056" i="2"/>
  <c r="AO1056" i="2" s="1"/>
  <c r="AG1057" i="2"/>
  <c r="AO1057" i="2" s="1"/>
  <c r="AG1058" i="2"/>
  <c r="AO1058" i="2" s="1"/>
  <c r="AG1059" i="2"/>
  <c r="AO1059" i="2" s="1"/>
  <c r="AG1060" i="2"/>
  <c r="AO1060" i="2" s="1"/>
  <c r="AG1061" i="2"/>
  <c r="AO1061" i="2" s="1"/>
  <c r="AG1062" i="2"/>
  <c r="AO1062" i="2" s="1"/>
  <c r="AG1063" i="2"/>
  <c r="AO1063" i="2" s="1"/>
  <c r="AG1064" i="2"/>
  <c r="AO1064" i="2" s="1"/>
  <c r="AG1065" i="2"/>
  <c r="AO1065" i="2" s="1"/>
  <c r="AG1066" i="2"/>
  <c r="AO1066" i="2" s="1"/>
  <c r="AG1067" i="2"/>
  <c r="AO1067" i="2" s="1"/>
  <c r="AG1068" i="2"/>
  <c r="AO1068" i="2" s="1"/>
  <c r="AG1069" i="2"/>
  <c r="AO1069" i="2" s="1"/>
  <c r="AG1070" i="2"/>
  <c r="AO1070" i="2" s="1"/>
  <c r="AG1071" i="2"/>
  <c r="AO1071" i="2" s="1"/>
  <c r="AG1072" i="2"/>
  <c r="AO1072" i="2" s="1"/>
  <c r="AG1073" i="2"/>
  <c r="AO1073" i="2" s="1"/>
  <c r="AG1074" i="2"/>
  <c r="AO1074" i="2" s="1"/>
  <c r="AG1075" i="2"/>
  <c r="AO1075" i="2" s="1"/>
  <c r="AG1076" i="2"/>
  <c r="AO1076" i="2" s="1"/>
  <c r="AG1077" i="2"/>
  <c r="AO1077" i="2" s="1"/>
  <c r="AG1078" i="2"/>
  <c r="AO1078" i="2" s="1"/>
  <c r="AG1079" i="2"/>
  <c r="AO1079" i="2" s="1"/>
  <c r="AG1080" i="2"/>
  <c r="AO1080" i="2" s="1"/>
  <c r="AG1081" i="2"/>
  <c r="AO1081" i="2" s="1"/>
  <c r="AG1082" i="2"/>
  <c r="AO1082" i="2" s="1"/>
  <c r="AG1083" i="2"/>
  <c r="AO1083" i="2" s="1"/>
  <c r="AG1084" i="2"/>
  <c r="AO1084" i="2" s="1"/>
  <c r="AG1085" i="2"/>
  <c r="AO1085" i="2" s="1"/>
  <c r="AG1086" i="2"/>
  <c r="AO1086" i="2" s="1"/>
  <c r="AG1087" i="2"/>
  <c r="AO1087" i="2" s="1"/>
  <c r="AG1088" i="2"/>
  <c r="AO1088" i="2" s="1"/>
  <c r="AG1089" i="2"/>
  <c r="AO1089" i="2" s="1"/>
  <c r="AG1090" i="2"/>
  <c r="AO1090" i="2" s="1"/>
  <c r="AG1091" i="2"/>
  <c r="AO1091" i="2" s="1"/>
  <c r="AG1092" i="2"/>
  <c r="AO1092" i="2" s="1"/>
  <c r="AG1093" i="2"/>
  <c r="AO1093" i="2" s="1"/>
  <c r="AG1094" i="2"/>
  <c r="AO1094" i="2" s="1"/>
  <c r="AG1095" i="2"/>
  <c r="AO1095" i="2" s="1"/>
  <c r="AG1096" i="2"/>
  <c r="AO1096" i="2" s="1"/>
  <c r="AG1097" i="2"/>
  <c r="AO1097" i="2" s="1"/>
  <c r="AG1098" i="2"/>
  <c r="AO1098" i="2" s="1"/>
  <c r="AG1099" i="2"/>
  <c r="AO1099" i="2" s="1"/>
  <c r="AG1100" i="2"/>
  <c r="AO1100" i="2" s="1"/>
  <c r="AG1101" i="2"/>
  <c r="AO1101" i="2" s="1"/>
  <c r="AG1102" i="2"/>
  <c r="AO1102" i="2" s="1"/>
  <c r="AG1103" i="2"/>
  <c r="AO1103" i="2" s="1"/>
  <c r="AG1104" i="2"/>
  <c r="AO1104" i="2" s="1"/>
  <c r="AG1105" i="2"/>
  <c r="AO1105" i="2" s="1"/>
  <c r="AG1106" i="2"/>
  <c r="AO1106" i="2" s="1"/>
  <c r="AG1107" i="2"/>
  <c r="AO1107" i="2" s="1"/>
  <c r="AG1108" i="2"/>
  <c r="AO1108" i="2" s="1"/>
  <c r="AG1109" i="2"/>
  <c r="AO1109" i="2" s="1"/>
  <c r="AG1110" i="2"/>
  <c r="AO1110" i="2" s="1"/>
  <c r="AG1111" i="2"/>
  <c r="AO1111" i="2" s="1"/>
  <c r="AG1112" i="2"/>
  <c r="AO1112" i="2" s="1"/>
  <c r="AG1113" i="2"/>
  <c r="AO1113" i="2" s="1"/>
  <c r="AG1114" i="2"/>
  <c r="AO1114" i="2" s="1"/>
  <c r="AG1115" i="2"/>
  <c r="AO1115" i="2" s="1"/>
  <c r="AG1116" i="2"/>
  <c r="AO1116" i="2" s="1"/>
  <c r="AG1117" i="2"/>
  <c r="AO1117" i="2" s="1"/>
  <c r="AG1118" i="2"/>
  <c r="AO1118" i="2" s="1"/>
  <c r="AG1119" i="2"/>
  <c r="AO1119" i="2" s="1"/>
  <c r="AG1120" i="2"/>
  <c r="AO1120" i="2" s="1"/>
  <c r="AG1121" i="2"/>
  <c r="AO1121" i="2" s="1"/>
  <c r="AG1122" i="2"/>
  <c r="AO1122" i="2" s="1"/>
  <c r="AG1123" i="2"/>
  <c r="AO1123" i="2" s="1"/>
  <c r="AG1124" i="2"/>
  <c r="AO1124" i="2" s="1"/>
  <c r="AG1125" i="2"/>
  <c r="AO1125" i="2" s="1"/>
  <c r="AG1126" i="2"/>
  <c r="AO1126" i="2" s="1"/>
  <c r="AG1127" i="2"/>
  <c r="AO1127" i="2" s="1"/>
  <c r="AG1128" i="2"/>
  <c r="AO1128" i="2" s="1"/>
  <c r="AG1129" i="2"/>
  <c r="AO1129" i="2" s="1"/>
  <c r="AG1130" i="2"/>
  <c r="AO1130" i="2" s="1"/>
  <c r="AG1131" i="2"/>
  <c r="AO1131" i="2" s="1"/>
  <c r="AG1132" i="2"/>
  <c r="AO1132" i="2" s="1"/>
  <c r="AG1133" i="2"/>
  <c r="AO1133" i="2" s="1"/>
  <c r="AG1134" i="2"/>
  <c r="AO1134" i="2" s="1"/>
  <c r="AG1135" i="2"/>
  <c r="AO1135" i="2" s="1"/>
  <c r="AG1136" i="2"/>
  <c r="AO1136" i="2" s="1"/>
  <c r="AG1137" i="2"/>
  <c r="AO1137" i="2" s="1"/>
  <c r="AG1138" i="2"/>
  <c r="AO1138" i="2" s="1"/>
  <c r="AG1139" i="2"/>
  <c r="AO1139" i="2" s="1"/>
  <c r="AG1140" i="2"/>
  <c r="AO1140" i="2" s="1"/>
  <c r="AG1141" i="2"/>
  <c r="AO1141" i="2" s="1"/>
  <c r="AG1142" i="2"/>
  <c r="AO1142" i="2" s="1"/>
  <c r="AG1143" i="2"/>
  <c r="AO1143" i="2" s="1"/>
  <c r="AG1144" i="2"/>
  <c r="AO1144" i="2" s="1"/>
  <c r="AG1145" i="2"/>
  <c r="AO1145" i="2" s="1"/>
  <c r="AG1146" i="2"/>
  <c r="AO1146" i="2" s="1"/>
  <c r="AG1147" i="2"/>
  <c r="AO1147" i="2" s="1"/>
  <c r="AG1148" i="2"/>
  <c r="AO1148" i="2" s="1"/>
  <c r="AG1149" i="2"/>
  <c r="AO1149" i="2" s="1"/>
  <c r="AG1150" i="2"/>
  <c r="AO1150" i="2" s="1"/>
  <c r="AG1151" i="2"/>
  <c r="AO1151" i="2" s="1"/>
  <c r="AG1152" i="2"/>
  <c r="AO1152" i="2" s="1"/>
  <c r="AG1153" i="2"/>
  <c r="AO1153" i="2" s="1"/>
  <c r="AG1154" i="2"/>
  <c r="AO1154" i="2" s="1"/>
  <c r="AG1155" i="2"/>
  <c r="AO1155" i="2" s="1"/>
  <c r="AG1156" i="2"/>
  <c r="AO1156" i="2" s="1"/>
  <c r="AG1157" i="2"/>
  <c r="AO1157" i="2" s="1"/>
  <c r="AG1158" i="2"/>
  <c r="AO1158" i="2" s="1"/>
  <c r="AG1159" i="2"/>
  <c r="AO1159" i="2" s="1"/>
  <c r="AG1160" i="2"/>
  <c r="AO1160" i="2" s="1"/>
  <c r="AG1161" i="2"/>
  <c r="AO1161" i="2" s="1"/>
  <c r="AG1162" i="2"/>
  <c r="AO1162" i="2" s="1"/>
  <c r="AG1163" i="2"/>
  <c r="AO1163" i="2" s="1"/>
  <c r="AG1164" i="2"/>
  <c r="AO1164" i="2" s="1"/>
  <c r="AG1165" i="2"/>
  <c r="AO1165" i="2" s="1"/>
  <c r="AG1166" i="2"/>
  <c r="AO1166" i="2" s="1"/>
  <c r="AG1167" i="2"/>
  <c r="AO1167" i="2" s="1"/>
  <c r="AG1168" i="2"/>
  <c r="AO1168" i="2" s="1"/>
  <c r="AG1169" i="2"/>
  <c r="AO1169" i="2" s="1"/>
  <c r="AG1170" i="2"/>
  <c r="AO1170" i="2" s="1"/>
  <c r="AG1171" i="2"/>
  <c r="AO1171" i="2" s="1"/>
  <c r="AG1172" i="2"/>
  <c r="AO1172" i="2" s="1"/>
  <c r="AG1173" i="2"/>
  <c r="AO1173" i="2" s="1"/>
  <c r="AG1174" i="2"/>
  <c r="AO1174" i="2" s="1"/>
  <c r="AG1175" i="2"/>
  <c r="AO1175" i="2" s="1"/>
  <c r="AG1176" i="2"/>
  <c r="AO1176" i="2" s="1"/>
  <c r="AG1177" i="2"/>
  <c r="AO1177" i="2" s="1"/>
  <c r="AG1178" i="2"/>
  <c r="AO1178" i="2" s="1"/>
  <c r="AG1179" i="2"/>
  <c r="AO1179" i="2" s="1"/>
  <c r="AG1180" i="2"/>
  <c r="AO1180" i="2" s="1"/>
  <c r="AG1181" i="2"/>
  <c r="AO1181" i="2" s="1"/>
  <c r="AG1182" i="2"/>
  <c r="AO1182" i="2" s="1"/>
  <c r="AG1183" i="2"/>
  <c r="AO1183" i="2" s="1"/>
  <c r="AG1184" i="2"/>
  <c r="AO1184" i="2" s="1"/>
  <c r="AG1185" i="2"/>
  <c r="AO1185" i="2" s="1"/>
  <c r="AG1186" i="2"/>
  <c r="AO1186" i="2" s="1"/>
  <c r="AG1187" i="2"/>
  <c r="AO1187" i="2" s="1"/>
  <c r="AG1188" i="2"/>
  <c r="AO1188" i="2" s="1"/>
  <c r="AG1189" i="2"/>
  <c r="AO1189" i="2" s="1"/>
  <c r="AG1190" i="2"/>
  <c r="AO1190" i="2" s="1"/>
  <c r="AG1191" i="2"/>
  <c r="AO1191" i="2" s="1"/>
  <c r="AG1192" i="2"/>
  <c r="AO1192" i="2" s="1"/>
  <c r="AG1193" i="2"/>
  <c r="AO1193" i="2" s="1"/>
  <c r="AG1194" i="2"/>
  <c r="AO1194" i="2" s="1"/>
  <c r="AG1195" i="2"/>
  <c r="AO1195" i="2" s="1"/>
  <c r="AG1196" i="2"/>
  <c r="AO1196" i="2" s="1"/>
  <c r="AG1197" i="2"/>
  <c r="AO1197" i="2" s="1"/>
  <c r="AG1198" i="2"/>
  <c r="AO1198" i="2" s="1"/>
  <c r="AG1199" i="2"/>
  <c r="AO1199" i="2" s="1"/>
  <c r="AG1200" i="2"/>
  <c r="AO1200" i="2" s="1"/>
  <c r="AG1201" i="2"/>
  <c r="AO1201" i="2" s="1"/>
  <c r="AG1202" i="2"/>
  <c r="AO1202" i="2" s="1"/>
  <c r="AG1203" i="2"/>
  <c r="AO1203" i="2" s="1"/>
  <c r="AG1204" i="2"/>
  <c r="AO1204" i="2" s="1"/>
  <c r="AG1205" i="2"/>
  <c r="AO1205" i="2" s="1"/>
  <c r="AG1206" i="2"/>
  <c r="AO1206" i="2" s="1"/>
  <c r="AG1207" i="2"/>
  <c r="AO1207" i="2" s="1"/>
  <c r="AG1208" i="2"/>
  <c r="AO1208" i="2" s="1"/>
  <c r="AG1209" i="2"/>
  <c r="AO1209" i="2" s="1"/>
  <c r="AG1210" i="2"/>
  <c r="AO1210" i="2" s="1"/>
  <c r="AG1211" i="2"/>
  <c r="AO1211" i="2" s="1"/>
  <c r="AG1212" i="2"/>
  <c r="AO1212" i="2" s="1"/>
  <c r="AG1213" i="2"/>
  <c r="AO1213" i="2" s="1"/>
  <c r="AG1214" i="2"/>
  <c r="AO1214" i="2" s="1"/>
  <c r="AG1215" i="2"/>
  <c r="AO1215" i="2" s="1"/>
  <c r="AG1216" i="2"/>
  <c r="AO1216" i="2" s="1"/>
  <c r="AG1217" i="2"/>
  <c r="AO1217" i="2" s="1"/>
  <c r="AG1218" i="2"/>
  <c r="AO1218" i="2" s="1"/>
  <c r="AG1219" i="2"/>
  <c r="AO1219" i="2" s="1"/>
  <c r="AG1220" i="2"/>
  <c r="AO1220" i="2" s="1"/>
  <c r="AG1221" i="2"/>
  <c r="AO1221" i="2" s="1"/>
  <c r="AG1222" i="2"/>
  <c r="AO1222" i="2" s="1"/>
  <c r="AG1223" i="2"/>
  <c r="AO1223" i="2" s="1"/>
  <c r="AG1224" i="2"/>
  <c r="AO1224" i="2" s="1"/>
  <c r="AG1225" i="2"/>
  <c r="AO1225" i="2" s="1"/>
  <c r="AG1226" i="2"/>
  <c r="AO1226" i="2" s="1"/>
  <c r="AG1227" i="2"/>
  <c r="AO1227" i="2" s="1"/>
  <c r="AG1228" i="2"/>
  <c r="AO1228" i="2" s="1"/>
  <c r="AG1229" i="2"/>
  <c r="AO1229" i="2" s="1"/>
  <c r="AG1230" i="2"/>
  <c r="AO1230" i="2" s="1"/>
  <c r="AG1231" i="2"/>
  <c r="AO1231" i="2" s="1"/>
  <c r="AG1232" i="2"/>
  <c r="AO1232" i="2" s="1"/>
  <c r="AG1233" i="2"/>
  <c r="AO1233" i="2" s="1"/>
  <c r="AG1234" i="2"/>
  <c r="AO1234" i="2" s="1"/>
  <c r="AG1235" i="2"/>
  <c r="AO1235" i="2" s="1"/>
  <c r="AG1236" i="2"/>
  <c r="AO1236" i="2" s="1"/>
  <c r="AG1237" i="2"/>
  <c r="AO1237" i="2" s="1"/>
  <c r="AG1238" i="2"/>
  <c r="AO1238" i="2" s="1"/>
  <c r="AG1239" i="2"/>
  <c r="AO1239" i="2" s="1"/>
  <c r="AG1240" i="2"/>
  <c r="AO1240" i="2" s="1"/>
  <c r="AG1241" i="2"/>
  <c r="AO1241" i="2" s="1"/>
  <c r="AG1242" i="2"/>
  <c r="AO1242" i="2" s="1"/>
  <c r="AG1243" i="2"/>
  <c r="AO1243" i="2" s="1"/>
  <c r="AG1244" i="2"/>
  <c r="AO1244" i="2" s="1"/>
  <c r="AG1245" i="2"/>
  <c r="AO1245" i="2" s="1"/>
  <c r="AG1246" i="2"/>
  <c r="AO1246" i="2" s="1"/>
  <c r="AG1247" i="2"/>
  <c r="AO1247" i="2" s="1"/>
  <c r="AG1248" i="2"/>
  <c r="AO1248" i="2" s="1"/>
  <c r="AG1249" i="2"/>
  <c r="AO1249" i="2" s="1"/>
  <c r="AG1250" i="2"/>
  <c r="AO1250" i="2" s="1"/>
  <c r="AG1251" i="2"/>
  <c r="AO1251" i="2" s="1"/>
  <c r="AG1252" i="2"/>
  <c r="AO1252" i="2" s="1"/>
  <c r="AG1253" i="2"/>
  <c r="AO1253" i="2" s="1"/>
  <c r="AG1254" i="2"/>
  <c r="AO1254" i="2" s="1"/>
  <c r="AG1255" i="2"/>
  <c r="AO1255" i="2" s="1"/>
  <c r="AG1256" i="2"/>
  <c r="AO1256" i="2" s="1"/>
  <c r="AG1257" i="2"/>
  <c r="AO1257" i="2" s="1"/>
  <c r="AG1258" i="2"/>
  <c r="AO1258" i="2" s="1"/>
  <c r="AG1259" i="2"/>
  <c r="AO1259" i="2" s="1"/>
  <c r="AG1260" i="2"/>
  <c r="AO1260" i="2" s="1"/>
  <c r="AG1261" i="2"/>
  <c r="AO1261" i="2" s="1"/>
  <c r="AG1262" i="2"/>
  <c r="AO1262" i="2" s="1"/>
  <c r="AG1263" i="2"/>
  <c r="AO1263" i="2" s="1"/>
  <c r="AG1264" i="2"/>
  <c r="AO1264" i="2" s="1"/>
  <c r="AG1265" i="2"/>
  <c r="AO1265" i="2" s="1"/>
  <c r="AG1266" i="2"/>
  <c r="AO1266" i="2" s="1"/>
  <c r="AG1267" i="2"/>
  <c r="AO1267" i="2" s="1"/>
  <c r="AG1268" i="2"/>
  <c r="AO1268" i="2" s="1"/>
  <c r="AG1269" i="2"/>
  <c r="AO1269" i="2" s="1"/>
  <c r="AG1270" i="2"/>
  <c r="AO1270" i="2" s="1"/>
  <c r="AG1271" i="2"/>
  <c r="AO1271" i="2" s="1"/>
  <c r="AG1272" i="2"/>
  <c r="AO1272" i="2" s="1"/>
  <c r="AG1273" i="2"/>
  <c r="AO1273" i="2" s="1"/>
  <c r="AG1274" i="2"/>
  <c r="AO1274" i="2" s="1"/>
  <c r="AG1275" i="2"/>
  <c r="AO1275" i="2" s="1"/>
  <c r="AG1276" i="2"/>
  <c r="AO1276" i="2" s="1"/>
  <c r="AG1277" i="2"/>
  <c r="AO1277" i="2" s="1"/>
  <c r="AG1278" i="2"/>
  <c r="AO1278" i="2" s="1"/>
  <c r="AG1279" i="2"/>
  <c r="AO1279" i="2" s="1"/>
  <c r="AG1280" i="2"/>
  <c r="AO1280" i="2" s="1"/>
  <c r="AG1281" i="2"/>
  <c r="AO1281" i="2" s="1"/>
  <c r="AG1282" i="2"/>
  <c r="AO1282" i="2" s="1"/>
  <c r="AG1283" i="2"/>
  <c r="AO1283" i="2" s="1"/>
  <c r="AG1284" i="2"/>
  <c r="AO1284" i="2" s="1"/>
  <c r="AG1285" i="2"/>
  <c r="AO1285" i="2" s="1"/>
  <c r="AG1286" i="2"/>
  <c r="AO1286" i="2" s="1"/>
  <c r="AG1287" i="2"/>
  <c r="AO1287" i="2" s="1"/>
  <c r="AG1288" i="2"/>
  <c r="AO1288" i="2" s="1"/>
  <c r="AG1289" i="2"/>
  <c r="AO1289" i="2" s="1"/>
  <c r="AG1290" i="2"/>
  <c r="AO1290" i="2" s="1"/>
  <c r="AG1291" i="2"/>
  <c r="AO1291" i="2" s="1"/>
  <c r="AG1292" i="2"/>
  <c r="AO1292" i="2" s="1"/>
  <c r="AG1293" i="2"/>
  <c r="AO1293" i="2" s="1"/>
  <c r="AG1294" i="2"/>
  <c r="AO1294" i="2" s="1"/>
  <c r="AG1295" i="2"/>
  <c r="AO1295" i="2" s="1"/>
  <c r="AG1296" i="2"/>
  <c r="AO1296" i="2" s="1"/>
  <c r="AG1297" i="2"/>
  <c r="AO1297" i="2" s="1"/>
  <c r="AG1298" i="2"/>
  <c r="AO1298" i="2" s="1"/>
  <c r="AG1299" i="2"/>
  <c r="AO1299" i="2" s="1"/>
  <c r="AG1300" i="2"/>
  <c r="AO1300" i="2" s="1"/>
  <c r="AG1301" i="2"/>
  <c r="AO1301" i="2" s="1"/>
  <c r="AG1302" i="2"/>
  <c r="AO1302" i="2" s="1"/>
  <c r="AG1303" i="2"/>
  <c r="AO1303" i="2" s="1"/>
  <c r="AG1304" i="2"/>
  <c r="AO1304" i="2" s="1"/>
  <c r="AG1305" i="2"/>
  <c r="AO1305" i="2" s="1"/>
  <c r="AG1306" i="2"/>
  <c r="AO1306" i="2" s="1"/>
  <c r="AG1307" i="2"/>
  <c r="AO1307" i="2" s="1"/>
  <c r="AG1308" i="2"/>
  <c r="AO1308" i="2" s="1"/>
  <c r="AG1309" i="2"/>
  <c r="AO1309" i="2" s="1"/>
  <c r="AG1310" i="2"/>
  <c r="AO1310" i="2" s="1"/>
  <c r="AG1311" i="2"/>
  <c r="AO1311" i="2" s="1"/>
  <c r="AG1312" i="2"/>
  <c r="AO1312" i="2" s="1"/>
  <c r="AG1313" i="2"/>
  <c r="AO1313" i="2" s="1"/>
  <c r="AG1314" i="2"/>
  <c r="AO1314" i="2" s="1"/>
  <c r="AG1315" i="2"/>
  <c r="AO1315" i="2" s="1"/>
  <c r="AG1316" i="2"/>
  <c r="AO1316" i="2" s="1"/>
  <c r="AG1317" i="2"/>
  <c r="AO1317" i="2" s="1"/>
  <c r="AG1318" i="2"/>
  <c r="AO1318" i="2" s="1"/>
  <c r="AG1319" i="2"/>
  <c r="AO1319" i="2" s="1"/>
  <c r="AG1320" i="2"/>
  <c r="AO1320" i="2" s="1"/>
  <c r="AG1321" i="2"/>
  <c r="AO1321" i="2" s="1"/>
  <c r="AG1322" i="2"/>
  <c r="AO1322" i="2" s="1"/>
  <c r="AG1323" i="2"/>
  <c r="AO1323" i="2" s="1"/>
  <c r="AG1324" i="2"/>
  <c r="AO1324" i="2" s="1"/>
  <c r="AG1325" i="2"/>
  <c r="AO1325" i="2" s="1"/>
  <c r="AG1326" i="2"/>
  <c r="AO1326" i="2" s="1"/>
  <c r="AG1327" i="2"/>
  <c r="AO1327" i="2" s="1"/>
  <c r="AG1328" i="2"/>
  <c r="AO1328" i="2" s="1"/>
  <c r="AG1329" i="2"/>
  <c r="AO1329" i="2" s="1"/>
  <c r="AG1330" i="2"/>
  <c r="AO1330" i="2" s="1"/>
  <c r="AG1331" i="2"/>
  <c r="AO1331" i="2" s="1"/>
  <c r="AG1332" i="2"/>
  <c r="AO1332" i="2" s="1"/>
  <c r="AG1333" i="2"/>
  <c r="AO1333" i="2" s="1"/>
  <c r="AG1334" i="2"/>
  <c r="AO1334" i="2" s="1"/>
  <c r="AG1335" i="2"/>
  <c r="AO1335" i="2" s="1"/>
  <c r="AG1336" i="2"/>
  <c r="AO1336" i="2" s="1"/>
  <c r="AG1337" i="2"/>
  <c r="AO1337" i="2" s="1"/>
  <c r="AG1338" i="2"/>
  <c r="AO1338" i="2" s="1"/>
  <c r="AG1339" i="2"/>
  <c r="AO1339" i="2" s="1"/>
  <c r="AG1340" i="2"/>
  <c r="AO1340" i="2" s="1"/>
  <c r="AG1341" i="2"/>
  <c r="AO1341" i="2" s="1"/>
  <c r="AG1342" i="2"/>
  <c r="AO1342" i="2" s="1"/>
  <c r="AG1343" i="2"/>
  <c r="AO1343" i="2" s="1"/>
  <c r="AG1344" i="2"/>
  <c r="AO1344" i="2" s="1"/>
  <c r="AG1345" i="2"/>
  <c r="AO1345" i="2" s="1"/>
  <c r="AG1346" i="2"/>
  <c r="AO1346" i="2" s="1"/>
  <c r="AG1347" i="2"/>
  <c r="AO1347" i="2" s="1"/>
  <c r="AG1348" i="2"/>
  <c r="AO1348" i="2" s="1"/>
  <c r="AG1349" i="2"/>
  <c r="AO1349" i="2" s="1"/>
  <c r="AG1350" i="2"/>
  <c r="AO1350" i="2" s="1"/>
  <c r="AG1351" i="2"/>
  <c r="AO1351" i="2" s="1"/>
  <c r="AG1352" i="2"/>
  <c r="AO1352" i="2" s="1"/>
  <c r="AG1353" i="2"/>
  <c r="AO1353" i="2" s="1"/>
  <c r="AG1354" i="2"/>
  <c r="AO1354" i="2" s="1"/>
  <c r="AG1355" i="2"/>
  <c r="AO1355" i="2" s="1"/>
  <c r="AG1356" i="2"/>
  <c r="AO1356" i="2" s="1"/>
  <c r="AG1357" i="2"/>
  <c r="AO1357" i="2" s="1"/>
  <c r="AG1358" i="2"/>
  <c r="AO1358" i="2" s="1"/>
  <c r="AG1359" i="2"/>
  <c r="AO1359" i="2" s="1"/>
  <c r="AG1360" i="2"/>
  <c r="AO1360" i="2" s="1"/>
  <c r="AG1361" i="2"/>
  <c r="AO1361" i="2" s="1"/>
  <c r="AG1362" i="2"/>
  <c r="AO1362" i="2" s="1"/>
  <c r="AG1363" i="2"/>
  <c r="AO1363" i="2" s="1"/>
  <c r="AG1364" i="2"/>
  <c r="AO1364" i="2" s="1"/>
  <c r="AG1365" i="2"/>
  <c r="AO1365" i="2" s="1"/>
  <c r="AG1366" i="2"/>
  <c r="AO1366" i="2" s="1"/>
  <c r="AG1367" i="2"/>
  <c r="AO1367" i="2" s="1"/>
  <c r="AG1368" i="2"/>
  <c r="AO1368" i="2" s="1"/>
  <c r="AG1369" i="2"/>
  <c r="AO1369" i="2" s="1"/>
  <c r="AG1370" i="2"/>
  <c r="AO1370" i="2" s="1"/>
  <c r="AG1371" i="2"/>
  <c r="AO1371" i="2" s="1"/>
  <c r="AG1372" i="2"/>
  <c r="AO1372" i="2" s="1"/>
  <c r="AG1373" i="2"/>
  <c r="AO1373" i="2" s="1"/>
  <c r="AG1374" i="2"/>
  <c r="AO1374" i="2" s="1"/>
  <c r="AG1375" i="2"/>
  <c r="AO1375" i="2" s="1"/>
  <c r="AG1376" i="2"/>
  <c r="AO1376" i="2" s="1"/>
  <c r="AG1377" i="2"/>
  <c r="AO1377" i="2" s="1"/>
  <c r="AG1378" i="2"/>
  <c r="AO1378" i="2" s="1"/>
  <c r="AG1379" i="2"/>
  <c r="AO1379" i="2" s="1"/>
  <c r="AG1380" i="2"/>
  <c r="AO1380" i="2" s="1"/>
  <c r="AG1381" i="2"/>
  <c r="AO1381" i="2" s="1"/>
  <c r="AG1382" i="2"/>
  <c r="AO1382" i="2" s="1"/>
  <c r="AG1383" i="2"/>
  <c r="AO1383" i="2" s="1"/>
  <c r="AG1384" i="2"/>
  <c r="AO1384" i="2" s="1"/>
  <c r="AG1385" i="2"/>
  <c r="AO1385" i="2" s="1"/>
  <c r="AG1386" i="2"/>
  <c r="AO1386" i="2" s="1"/>
  <c r="AG1387" i="2"/>
  <c r="AO1387" i="2" s="1"/>
  <c r="AG1388" i="2"/>
  <c r="AO1388" i="2" s="1"/>
  <c r="AG1389" i="2"/>
  <c r="AO1389" i="2" s="1"/>
  <c r="AG1390" i="2"/>
  <c r="AO1390" i="2" s="1"/>
  <c r="AG1391" i="2"/>
  <c r="AO1391" i="2" s="1"/>
  <c r="AG1392" i="2"/>
  <c r="AO1392" i="2" s="1"/>
  <c r="AG1393" i="2"/>
  <c r="AO1393" i="2" s="1"/>
  <c r="AG1394" i="2"/>
  <c r="AO1394" i="2" s="1"/>
  <c r="AG1395" i="2"/>
  <c r="AO1395" i="2" s="1"/>
  <c r="AG1396" i="2"/>
  <c r="AO1396" i="2" s="1"/>
  <c r="AG1397" i="2"/>
  <c r="AO1397" i="2" s="1"/>
  <c r="AG1398" i="2"/>
  <c r="AO1398" i="2" s="1"/>
  <c r="AG1399" i="2"/>
  <c r="AO1399" i="2" s="1"/>
  <c r="AG1400" i="2"/>
  <c r="AO1400" i="2" s="1"/>
  <c r="AG1401" i="2"/>
  <c r="AO1401" i="2" s="1"/>
  <c r="AG1402" i="2"/>
  <c r="AO1402" i="2" s="1"/>
  <c r="AG1403" i="2"/>
  <c r="AO1403" i="2" s="1"/>
  <c r="AG1404" i="2"/>
  <c r="AO1404" i="2" s="1"/>
  <c r="AG1405" i="2"/>
  <c r="AO1405" i="2" s="1"/>
  <c r="AG1406" i="2"/>
  <c r="AO1406" i="2" s="1"/>
  <c r="AG1407" i="2"/>
  <c r="AO1407" i="2" s="1"/>
  <c r="AG1408" i="2"/>
  <c r="AO1408" i="2" s="1"/>
  <c r="AG1409" i="2"/>
  <c r="AO1409" i="2" s="1"/>
  <c r="AG1410" i="2"/>
  <c r="AO1410" i="2" s="1"/>
  <c r="AG1411" i="2"/>
  <c r="AO1411" i="2" s="1"/>
  <c r="AG1412" i="2"/>
  <c r="AO1412" i="2" s="1"/>
  <c r="AG1413" i="2"/>
  <c r="AO1413" i="2" s="1"/>
  <c r="AG1414" i="2"/>
  <c r="AO1414" i="2" s="1"/>
  <c r="AG1415" i="2"/>
  <c r="AO1415" i="2" s="1"/>
  <c r="AG1416" i="2"/>
  <c r="AO1416" i="2" s="1"/>
  <c r="AG1417" i="2"/>
  <c r="AO1417" i="2" s="1"/>
  <c r="AG1418" i="2"/>
  <c r="AO1418" i="2" s="1"/>
  <c r="AG1419" i="2"/>
  <c r="AO1419" i="2" s="1"/>
  <c r="AG1420" i="2"/>
  <c r="AO1420" i="2" s="1"/>
  <c r="AG1421" i="2"/>
  <c r="AO1421" i="2" s="1"/>
  <c r="AG1422" i="2"/>
  <c r="AO1422" i="2" s="1"/>
  <c r="AG1423" i="2"/>
  <c r="AO1423" i="2" s="1"/>
  <c r="AG1424" i="2"/>
  <c r="AO1424" i="2" s="1"/>
  <c r="AG1425" i="2"/>
  <c r="AO1425" i="2" s="1"/>
  <c r="AG1426" i="2"/>
  <c r="AO1426" i="2" s="1"/>
  <c r="AG1427" i="2"/>
  <c r="AO1427" i="2" s="1"/>
  <c r="AG1428" i="2"/>
  <c r="AO1428" i="2" s="1"/>
  <c r="AG1429" i="2"/>
  <c r="AO1429" i="2" s="1"/>
  <c r="AG1430" i="2"/>
  <c r="AO1430" i="2" s="1"/>
  <c r="AG1431" i="2"/>
  <c r="AO1431" i="2" s="1"/>
  <c r="AG1432" i="2"/>
  <c r="AO1432" i="2" s="1"/>
  <c r="AG1433" i="2"/>
  <c r="AO1433" i="2" s="1"/>
  <c r="AG1434" i="2"/>
  <c r="AO1434" i="2" s="1"/>
  <c r="AG1435" i="2"/>
  <c r="AO1435" i="2" s="1"/>
  <c r="AG1436" i="2"/>
  <c r="AO1436" i="2" s="1"/>
  <c r="AG1437" i="2"/>
  <c r="AO1437" i="2" s="1"/>
  <c r="AG1438" i="2"/>
  <c r="AO1438" i="2" s="1"/>
  <c r="AG1439" i="2"/>
  <c r="AO1439" i="2" s="1"/>
  <c r="AG1440" i="2"/>
  <c r="AO1440" i="2" s="1"/>
  <c r="AG1441" i="2"/>
  <c r="AO1441" i="2" s="1"/>
  <c r="AG1442" i="2"/>
  <c r="AO1442" i="2" s="1"/>
  <c r="AG1443" i="2"/>
  <c r="AO1443" i="2" s="1"/>
  <c r="AG1444" i="2"/>
  <c r="AO1444" i="2" s="1"/>
  <c r="AG1445" i="2"/>
  <c r="AO1445" i="2" s="1"/>
  <c r="AG1446" i="2"/>
  <c r="AO1446" i="2" s="1"/>
  <c r="AG1447" i="2"/>
  <c r="AO1447" i="2" s="1"/>
  <c r="AG1448" i="2"/>
  <c r="AO1448" i="2" s="1"/>
  <c r="AG1449" i="2"/>
  <c r="AO1449" i="2" s="1"/>
  <c r="AG1450" i="2"/>
  <c r="AO1450" i="2" s="1"/>
  <c r="AG1451" i="2"/>
  <c r="AO1451" i="2" s="1"/>
  <c r="AG1452" i="2"/>
  <c r="AO1452" i="2" s="1"/>
  <c r="AG1453" i="2"/>
  <c r="AO1453" i="2" s="1"/>
  <c r="AG1454" i="2"/>
  <c r="AO1454" i="2" s="1"/>
  <c r="AG1455" i="2"/>
  <c r="AO1455" i="2" s="1"/>
  <c r="AG1456" i="2"/>
  <c r="AO1456" i="2" s="1"/>
  <c r="AG1457" i="2"/>
  <c r="AO1457" i="2" s="1"/>
  <c r="AG1458" i="2"/>
  <c r="AO1458" i="2" s="1"/>
  <c r="AG1459" i="2"/>
  <c r="AO1459" i="2" s="1"/>
  <c r="AG1460" i="2"/>
  <c r="AO1460" i="2" s="1"/>
  <c r="AG1461" i="2"/>
  <c r="AO1461" i="2" s="1"/>
  <c r="AG1462" i="2"/>
  <c r="AO1462" i="2" s="1"/>
  <c r="AG1463" i="2"/>
  <c r="AO1463" i="2" s="1"/>
  <c r="AG1464" i="2"/>
  <c r="AO1464" i="2" s="1"/>
  <c r="AG1465" i="2"/>
  <c r="AO1465" i="2" s="1"/>
  <c r="AG1466" i="2"/>
  <c r="AO1466" i="2" s="1"/>
  <c r="AG1467" i="2"/>
  <c r="AO1467" i="2" s="1"/>
  <c r="AG1468" i="2"/>
  <c r="AO1468" i="2" s="1"/>
  <c r="AG1469" i="2"/>
  <c r="AO1469" i="2" s="1"/>
  <c r="AG1470" i="2"/>
  <c r="AO1470" i="2" s="1"/>
  <c r="AG1471" i="2"/>
  <c r="AO1471" i="2" s="1"/>
  <c r="AG1472" i="2"/>
  <c r="AO1472" i="2" s="1"/>
  <c r="AG1473" i="2"/>
  <c r="AO1473" i="2" s="1"/>
  <c r="AG1474" i="2"/>
  <c r="AO1474" i="2" s="1"/>
  <c r="AG1475" i="2"/>
  <c r="AO1475" i="2" s="1"/>
  <c r="AG1476" i="2"/>
  <c r="AO1476" i="2" s="1"/>
  <c r="AG1477" i="2"/>
  <c r="AO1477" i="2" s="1"/>
  <c r="AG1478" i="2"/>
  <c r="AO1478" i="2" s="1"/>
  <c r="AG1479" i="2"/>
  <c r="AO1479" i="2" s="1"/>
  <c r="AG1480" i="2"/>
  <c r="AO1480" i="2" s="1"/>
  <c r="AG1481" i="2"/>
  <c r="AO1481" i="2" s="1"/>
  <c r="AG1482" i="2"/>
  <c r="AO1482" i="2" s="1"/>
  <c r="AG1483" i="2"/>
  <c r="AO1483" i="2" s="1"/>
  <c r="AG1484" i="2"/>
  <c r="AO1484" i="2" s="1"/>
  <c r="AG1485" i="2"/>
  <c r="AO1485" i="2" s="1"/>
  <c r="AG1486" i="2"/>
  <c r="AO1486" i="2" s="1"/>
  <c r="AG1487" i="2"/>
  <c r="AO1487" i="2" s="1"/>
  <c r="AG1488" i="2"/>
  <c r="AO1488" i="2" s="1"/>
  <c r="AG1489" i="2"/>
  <c r="AO1489" i="2" s="1"/>
  <c r="AG1490" i="2"/>
  <c r="AO1490" i="2" s="1"/>
  <c r="AG1491" i="2"/>
  <c r="AO1491" i="2" s="1"/>
  <c r="AG1492" i="2"/>
  <c r="AO1492" i="2" s="1"/>
  <c r="AG1493" i="2"/>
  <c r="AO1493" i="2" s="1"/>
  <c r="AG1494" i="2"/>
  <c r="AO1494" i="2" s="1"/>
  <c r="AG1495" i="2"/>
  <c r="AO1495" i="2" s="1"/>
  <c r="AG1496" i="2"/>
  <c r="AO1496" i="2" s="1"/>
  <c r="AG1497" i="2"/>
  <c r="AO1497" i="2" s="1"/>
  <c r="AG1498" i="2"/>
  <c r="AO1498" i="2" s="1"/>
  <c r="AG1499" i="2"/>
  <c r="AO1499" i="2" s="1"/>
  <c r="AG1500" i="2"/>
  <c r="AO1500" i="2" s="1"/>
  <c r="AG1501" i="2"/>
  <c r="AO1501" i="2" s="1"/>
  <c r="AG1502" i="2"/>
  <c r="AO1502" i="2" s="1"/>
  <c r="AG1503" i="2"/>
  <c r="AO1503" i="2" s="1"/>
  <c r="AG1504" i="2"/>
  <c r="AO1504" i="2" s="1"/>
  <c r="AG1505" i="2"/>
  <c r="AO1505" i="2" s="1"/>
  <c r="AG1506" i="2"/>
  <c r="AO1506" i="2" s="1"/>
  <c r="AG1507" i="2"/>
  <c r="AO1507" i="2" s="1"/>
  <c r="AG1508" i="2"/>
  <c r="AO1508" i="2" s="1"/>
  <c r="AG1509" i="2"/>
  <c r="AO1509" i="2" s="1"/>
  <c r="AG1510" i="2"/>
  <c r="AO1510" i="2" s="1"/>
  <c r="AG1511" i="2"/>
  <c r="AO1511" i="2" s="1"/>
  <c r="AG1512" i="2"/>
  <c r="AO1512" i="2" s="1"/>
  <c r="AG1513" i="2"/>
  <c r="AO1513" i="2" s="1"/>
  <c r="AG1514" i="2"/>
  <c r="AO1514" i="2" s="1"/>
  <c r="AG1515" i="2"/>
  <c r="AO1515" i="2" s="1"/>
  <c r="AG1516" i="2"/>
  <c r="AO1516" i="2" s="1"/>
  <c r="AG1517" i="2"/>
  <c r="AO1517" i="2" s="1"/>
  <c r="AG1518" i="2"/>
  <c r="AO1518" i="2" s="1"/>
  <c r="AG1519" i="2"/>
  <c r="AO1519" i="2" s="1"/>
  <c r="AG1520" i="2"/>
  <c r="AO1520" i="2" s="1"/>
  <c r="AG1521" i="2"/>
  <c r="AO1521" i="2" s="1"/>
  <c r="AG1522" i="2"/>
  <c r="AO1522" i="2" s="1"/>
  <c r="AG1523" i="2"/>
  <c r="AO1523" i="2" s="1"/>
  <c r="AG1524" i="2"/>
  <c r="AO1524" i="2" s="1"/>
  <c r="AG1525" i="2"/>
  <c r="AO1525" i="2" s="1"/>
  <c r="AG1526" i="2"/>
  <c r="AO1526" i="2" s="1"/>
  <c r="AG1527" i="2"/>
  <c r="AO1527" i="2" s="1"/>
  <c r="AG1528" i="2"/>
  <c r="AO1528" i="2" s="1"/>
  <c r="AG1529" i="2"/>
  <c r="AO1529" i="2" s="1"/>
  <c r="AG1530" i="2"/>
  <c r="AO1530" i="2" s="1"/>
  <c r="AG1531" i="2"/>
  <c r="AO1531" i="2" s="1"/>
  <c r="AG1532" i="2"/>
  <c r="AO1532" i="2" s="1"/>
  <c r="AG1533" i="2"/>
  <c r="AO1533" i="2" s="1"/>
  <c r="AG1534" i="2"/>
  <c r="AO1534" i="2" s="1"/>
  <c r="AG1535" i="2"/>
  <c r="AO1535" i="2" s="1"/>
  <c r="AG1536" i="2"/>
  <c r="AO1536" i="2" s="1"/>
  <c r="AG1537" i="2"/>
  <c r="AO1537" i="2" s="1"/>
  <c r="AG1538" i="2"/>
  <c r="AO1538" i="2" s="1"/>
  <c r="AG1539" i="2"/>
  <c r="AO1539" i="2" s="1"/>
  <c r="AG1540" i="2"/>
  <c r="AO1540" i="2" s="1"/>
  <c r="AG1541" i="2"/>
  <c r="AO1541" i="2" s="1"/>
  <c r="AG1542" i="2"/>
  <c r="AO1542" i="2" s="1"/>
  <c r="AG1543" i="2"/>
  <c r="AO1543" i="2" s="1"/>
  <c r="AG1544" i="2"/>
  <c r="AO1544" i="2" s="1"/>
  <c r="AG1545" i="2"/>
  <c r="AO1545" i="2" s="1"/>
  <c r="AG1546" i="2"/>
  <c r="AO1546" i="2" s="1"/>
  <c r="AG1547" i="2"/>
  <c r="AO1547" i="2" s="1"/>
  <c r="AG1548" i="2"/>
  <c r="AO1548" i="2" s="1"/>
  <c r="AG1549" i="2"/>
  <c r="AO1549" i="2" s="1"/>
  <c r="AG1550" i="2"/>
  <c r="AO1550" i="2" s="1"/>
  <c r="AG1551" i="2"/>
  <c r="AO1551" i="2" s="1"/>
  <c r="AG1552" i="2"/>
  <c r="AO1552" i="2" s="1"/>
  <c r="AG1553" i="2"/>
  <c r="AO1553" i="2" s="1"/>
  <c r="AG1554" i="2"/>
  <c r="AO1554" i="2" s="1"/>
  <c r="AG1555" i="2"/>
  <c r="AO1555" i="2" s="1"/>
  <c r="AG1556" i="2"/>
  <c r="AO1556" i="2" s="1"/>
  <c r="AG1557" i="2"/>
  <c r="AO1557" i="2" s="1"/>
  <c r="AG1558" i="2"/>
  <c r="AO1558" i="2" s="1"/>
  <c r="AG1559" i="2"/>
  <c r="AO1559" i="2" s="1"/>
  <c r="AG1560" i="2"/>
  <c r="AO1560" i="2" s="1"/>
  <c r="AG1561" i="2"/>
  <c r="AO1561" i="2" s="1"/>
  <c r="AG1562" i="2"/>
  <c r="AO1562" i="2" s="1"/>
  <c r="AG1563" i="2"/>
  <c r="AO1563" i="2" s="1"/>
  <c r="AG1564" i="2"/>
  <c r="AO1564" i="2" s="1"/>
  <c r="AG1565" i="2"/>
  <c r="AO1565" i="2" s="1"/>
  <c r="AG1566" i="2"/>
  <c r="AO1566" i="2" s="1"/>
  <c r="AG1567" i="2"/>
  <c r="AO1567" i="2" s="1"/>
  <c r="AG1568" i="2"/>
  <c r="AO1568" i="2" s="1"/>
  <c r="AG1569" i="2"/>
  <c r="AO1569" i="2" s="1"/>
  <c r="AG1570" i="2"/>
  <c r="AO1570" i="2" s="1"/>
  <c r="AG1571" i="2"/>
  <c r="AO1571" i="2" s="1"/>
  <c r="AG1572" i="2"/>
  <c r="AO1572" i="2" s="1"/>
  <c r="AG1573" i="2"/>
  <c r="AO1573" i="2" s="1"/>
  <c r="AG1574" i="2"/>
  <c r="AO1574" i="2" s="1"/>
  <c r="AG1575" i="2"/>
  <c r="AO1575" i="2" s="1"/>
  <c r="AG1576" i="2"/>
  <c r="AO1576" i="2" s="1"/>
  <c r="AG1577" i="2"/>
  <c r="AO1577" i="2" s="1"/>
  <c r="AG1578" i="2"/>
  <c r="AO1578" i="2" s="1"/>
  <c r="AG1579" i="2"/>
  <c r="AO1579" i="2" s="1"/>
  <c r="AG1580" i="2"/>
  <c r="AO1580" i="2" s="1"/>
  <c r="AG1581" i="2"/>
  <c r="AO1581" i="2" s="1"/>
  <c r="AG1582" i="2"/>
  <c r="AO1582" i="2" s="1"/>
  <c r="AG1583" i="2"/>
  <c r="AO1583" i="2" s="1"/>
  <c r="AG1584" i="2"/>
  <c r="AO1584" i="2" s="1"/>
  <c r="AG1585" i="2"/>
  <c r="AO1585" i="2" s="1"/>
  <c r="AG1586" i="2"/>
  <c r="AO1586" i="2" s="1"/>
  <c r="AG1587" i="2"/>
  <c r="AO1587" i="2" s="1"/>
  <c r="AG1588" i="2"/>
  <c r="AO1588" i="2" s="1"/>
  <c r="AG1589" i="2"/>
  <c r="AO1589" i="2" s="1"/>
  <c r="AG1590" i="2"/>
  <c r="AO1590" i="2" s="1"/>
  <c r="AG1591" i="2"/>
  <c r="AO1591" i="2" s="1"/>
  <c r="AG1592" i="2"/>
  <c r="AO1592" i="2" s="1"/>
  <c r="AG1593" i="2"/>
  <c r="AO1593" i="2" s="1"/>
  <c r="AG1594" i="2"/>
  <c r="AO1594" i="2" s="1"/>
  <c r="AG1595" i="2"/>
  <c r="AO1595" i="2" s="1"/>
  <c r="AG1596" i="2"/>
  <c r="AO1596" i="2" s="1"/>
  <c r="AG1597" i="2"/>
  <c r="AO1597" i="2" s="1"/>
  <c r="AG1598" i="2"/>
  <c r="AO1598" i="2" s="1"/>
  <c r="AG1599" i="2"/>
  <c r="AO1599" i="2" s="1"/>
  <c r="AG1600" i="2"/>
  <c r="AO1600" i="2" s="1"/>
  <c r="AG1601" i="2"/>
  <c r="AO1601" i="2" s="1"/>
  <c r="AG1602" i="2"/>
  <c r="AO1602" i="2" s="1"/>
  <c r="AG1603" i="2"/>
  <c r="AO1603" i="2" s="1"/>
  <c r="AG1604" i="2"/>
  <c r="AO1604" i="2" s="1"/>
  <c r="AG1605" i="2"/>
  <c r="AO1605" i="2" s="1"/>
  <c r="AG1606" i="2"/>
  <c r="AO1606" i="2" s="1"/>
  <c r="AG1607" i="2"/>
  <c r="AO1607" i="2" s="1"/>
  <c r="AG1608" i="2"/>
  <c r="AO1608" i="2" s="1"/>
  <c r="AG1609" i="2"/>
  <c r="AO1609" i="2" s="1"/>
  <c r="AG1610" i="2"/>
  <c r="AO1610" i="2" s="1"/>
  <c r="AG1611" i="2"/>
  <c r="AO1611" i="2" s="1"/>
  <c r="AG1612" i="2"/>
  <c r="AO1612" i="2" s="1"/>
  <c r="AG1613" i="2"/>
  <c r="AO1613" i="2" s="1"/>
  <c r="AG1614" i="2"/>
  <c r="AO1614" i="2" s="1"/>
  <c r="AG1615" i="2"/>
  <c r="AO1615" i="2" s="1"/>
  <c r="AG1616" i="2"/>
  <c r="AO1616" i="2" s="1"/>
  <c r="AG1617" i="2"/>
  <c r="AO1617" i="2" s="1"/>
  <c r="AG1618" i="2"/>
  <c r="AO1618" i="2" s="1"/>
  <c r="AG1619" i="2"/>
  <c r="AO1619" i="2" s="1"/>
  <c r="AG1620" i="2"/>
  <c r="AO1620" i="2" s="1"/>
  <c r="AG1621" i="2"/>
  <c r="AO1621" i="2" s="1"/>
  <c r="AG1622" i="2"/>
  <c r="AO1622" i="2" s="1"/>
  <c r="AG1623" i="2"/>
  <c r="AO1623" i="2" s="1"/>
  <c r="AG1624" i="2"/>
  <c r="AO1624" i="2" s="1"/>
  <c r="AG1625" i="2"/>
  <c r="AO1625" i="2" s="1"/>
  <c r="AG1626" i="2"/>
  <c r="AO1626" i="2" s="1"/>
  <c r="AG1627" i="2"/>
  <c r="AO1627" i="2" s="1"/>
  <c r="AG1628" i="2"/>
  <c r="AO1628" i="2" s="1"/>
  <c r="AG1629" i="2"/>
  <c r="AO1629" i="2" s="1"/>
  <c r="AG1630" i="2"/>
  <c r="AO1630" i="2" s="1"/>
  <c r="AG1631" i="2"/>
  <c r="AO1631" i="2" s="1"/>
  <c r="AG1632" i="2"/>
  <c r="AO1632" i="2" s="1"/>
  <c r="AG1633" i="2"/>
  <c r="AO1633" i="2" s="1"/>
  <c r="AG1634" i="2"/>
  <c r="AO1634" i="2" s="1"/>
  <c r="AG1635" i="2"/>
  <c r="AO1635" i="2" s="1"/>
  <c r="AG1636" i="2"/>
  <c r="AO1636" i="2" s="1"/>
  <c r="AG1637" i="2"/>
  <c r="AO1637" i="2" s="1"/>
  <c r="AG1638" i="2"/>
  <c r="AO1638" i="2" s="1"/>
  <c r="AG1639" i="2"/>
  <c r="AO1639" i="2" s="1"/>
  <c r="AG1640" i="2"/>
  <c r="AO1640" i="2" s="1"/>
  <c r="AG1641" i="2"/>
  <c r="AO1641" i="2" s="1"/>
  <c r="AG1642" i="2"/>
  <c r="AO1642" i="2" s="1"/>
  <c r="AG1643" i="2"/>
  <c r="AO1643" i="2" s="1"/>
  <c r="AG1644" i="2"/>
  <c r="AO1644" i="2" s="1"/>
  <c r="AG1645" i="2"/>
  <c r="AO1645" i="2" s="1"/>
  <c r="AG1646" i="2"/>
  <c r="AO1646" i="2" s="1"/>
  <c r="AG1647" i="2"/>
  <c r="AO1647" i="2" s="1"/>
  <c r="AG1648" i="2"/>
  <c r="AO1648" i="2" s="1"/>
  <c r="AG1649" i="2"/>
  <c r="AO1649" i="2" s="1"/>
  <c r="AG1650" i="2"/>
  <c r="AO1650" i="2" s="1"/>
  <c r="AG1651" i="2"/>
  <c r="AO1651" i="2" s="1"/>
  <c r="AG1652" i="2"/>
  <c r="AO1652" i="2" s="1"/>
  <c r="AG1653" i="2"/>
  <c r="AO1653" i="2" s="1"/>
  <c r="AG1654" i="2"/>
  <c r="AO1654" i="2" s="1"/>
  <c r="AG1655" i="2"/>
  <c r="AO1655" i="2" s="1"/>
  <c r="AG1656" i="2"/>
  <c r="AO1656" i="2" s="1"/>
  <c r="AG1657" i="2"/>
  <c r="AO1657" i="2" s="1"/>
  <c r="AG1658" i="2"/>
  <c r="AO1658" i="2" s="1"/>
  <c r="AG1659" i="2"/>
  <c r="AO1659" i="2" s="1"/>
  <c r="AG1660" i="2"/>
  <c r="AO1660" i="2" s="1"/>
  <c r="AG1661" i="2"/>
  <c r="AO1661" i="2" s="1"/>
  <c r="AG1662" i="2"/>
  <c r="AO1662" i="2" s="1"/>
  <c r="AG1663" i="2"/>
  <c r="AO1663" i="2" s="1"/>
  <c r="AG1664" i="2"/>
  <c r="AO1664" i="2" s="1"/>
  <c r="AG1665" i="2"/>
  <c r="AO1665" i="2" s="1"/>
  <c r="AG1666" i="2"/>
  <c r="AO1666" i="2" s="1"/>
  <c r="AG1667" i="2"/>
  <c r="AO1667" i="2" s="1"/>
  <c r="AG1668" i="2"/>
  <c r="AO1668" i="2" s="1"/>
  <c r="AG1669" i="2"/>
  <c r="AO1669" i="2" s="1"/>
  <c r="AG1670" i="2"/>
  <c r="AO1670" i="2" s="1"/>
  <c r="AG1671" i="2"/>
  <c r="AO1671" i="2" s="1"/>
  <c r="AG1672" i="2"/>
  <c r="AO1672" i="2" s="1"/>
  <c r="AG1673" i="2"/>
  <c r="AO1673" i="2" s="1"/>
  <c r="AG1674" i="2"/>
  <c r="AO1674" i="2" s="1"/>
  <c r="AG1675" i="2"/>
  <c r="AO1675" i="2" s="1"/>
  <c r="AG1676" i="2"/>
  <c r="AO1676" i="2" s="1"/>
  <c r="AG1677" i="2"/>
  <c r="AO1677" i="2" s="1"/>
  <c r="AG1678" i="2"/>
  <c r="AO1678" i="2" s="1"/>
  <c r="AG1679" i="2"/>
  <c r="AO1679" i="2" s="1"/>
  <c r="AG1680" i="2"/>
  <c r="AO1680" i="2" s="1"/>
  <c r="AG1681" i="2"/>
  <c r="AO1681" i="2" s="1"/>
  <c r="AG1682" i="2"/>
  <c r="AO1682" i="2" s="1"/>
  <c r="AG1683" i="2"/>
  <c r="AO1683" i="2" s="1"/>
  <c r="AG1684" i="2"/>
  <c r="AO1684" i="2" s="1"/>
  <c r="AG1685" i="2"/>
  <c r="AO1685" i="2" s="1"/>
  <c r="AG1686" i="2"/>
  <c r="AO1686" i="2" s="1"/>
  <c r="AG1687" i="2"/>
  <c r="AO1687" i="2" s="1"/>
  <c r="AG1688" i="2"/>
  <c r="AO1688" i="2" s="1"/>
  <c r="AG1689" i="2"/>
  <c r="AO1689" i="2" s="1"/>
  <c r="AG1690" i="2"/>
  <c r="AO1690" i="2" s="1"/>
  <c r="AG1691" i="2"/>
  <c r="AO1691" i="2" s="1"/>
  <c r="AG1692" i="2"/>
  <c r="AO1692" i="2" s="1"/>
  <c r="AG1693" i="2"/>
  <c r="AO1693" i="2" s="1"/>
  <c r="AG1694" i="2"/>
  <c r="AO1694" i="2" s="1"/>
  <c r="AG1695" i="2"/>
  <c r="AO1695" i="2" s="1"/>
  <c r="AG1696" i="2"/>
  <c r="AO1696" i="2" s="1"/>
  <c r="AG1697" i="2"/>
  <c r="AO1697" i="2" s="1"/>
  <c r="AG1698" i="2"/>
  <c r="AO1698" i="2" s="1"/>
  <c r="AG1699" i="2"/>
  <c r="AO1699" i="2" s="1"/>
  <c r="AG1700" i="2"/>
  <c r="AO1700" i="2" s="1"/>
  <c r="AG1701" i="2"/>
  <c r="AO1701" i="2" s="1"/>
  <c r="AG1702" i="2"/>
  <c r="AO1702" i="2" s="1"/>
  <c r="AG1703" i="2"/>
  <c r="AO1703" i="2" s="1"/>
  <c r="AG1704" i="2"/>
  <c r="AO1704" i="2" s="1"/>
  <c r="AG1705" i="2"/>
  <c r="AO1705" i="2" s="1"/>
  <c r="AG1706" i="2"/>
  <c r="AO1706" i="2" s="1"/>
  <c r="AG1707" i="2"/>
  <c r="AO1707" i="2" s="1"/>
  <c r="AG1708" i="2"/>
  <c r="AO1708" i="2" s="1"/>
  <c r="AG1709" i="2"/>
  <c r="AO1709" i="2" s="1"/>
  <c r="AG1710" i="2"/>
  <c r="AO1710" i="2" s="1"/>
  <c r="AG1711" i="2"/>
  <c r="AO1711" i="2" s="1"/>
  <c r="AG1712" i="2"/>
  <c r="AO1712" i="2" s="1"/>
  <c r="AG1713" i="2"/>
  <c r="AO1713" i="2" s="1"/>
  <c r="AG1714" i="2"/>
  <c r="AO1714" i="2" s="1"/>
  <c r="AG1715" i="2"/>
  <c r="AO1715" i="2" s="1"/>
  <c r="AG1716" i="2"/>
  <c r="AO1716" i="2" s="1"/>
  <c r="AG1717" i="2"/>
  <c r="AO1717" i="2" s="1"/>
  <c r="AG1718" i="2"/>
  <c r="AO1718" i="2" s="1"/>
  <c r="AG1719" i="2"/>
  <c r="AO1719" i="2" s="1"/>
  <c r="AG1720" i="2"/>
  <c r="AO1720" i="2" s="1"/>
  <c r="AG1721" i="2"/>
  <c r="AO1721" i="2" s="1"/>
  <c r="AG1722" i="2"/>
  <c r="AO1722" i="2" s="1"/>
  <c r="AG1723" i="2"/>
  <c r="AO1723" i="2" s="1"/>
  <c r="AG1724" i="2"/>
  <c r="AO1724" i="2" s="1"/>
  <c r="AG1725" i="2"/>
  <c r="AO1725" i="2" s="1"/>
  <c r="AG1726" i="2"/>
  <c r="AO1726" i="2" s="1"/>
  <c r="AG1727" i="2"/>
  <c r="AO1727" i="2" s="1"/>
  <c r="AG1728" i="2"/>
  <c r="AO1728" i="2" s="1"/>
  <c r="AG1729" i="2"/>
  <c r="AO1729" i="2" s="1"/>
  <c r="AG1730" i="2"/>
  <c r="AO1730" i="2" s="1"/>
  <c r="AG1731" i="2"/>
  <c r="AO1731" i="2" s="1"/>
  <c r="AG1732" i="2"/>
  <c r="AO1732" i="2" s="1"/>
  <c r="AG1733" i="2"/>
  <c r="AO1733" i="2" s="1"/>
  <c r="AG1734" i="2"/>
  <c r="AO1734" i="2" s="1"/>
  <c r="AG1735" i="2"/>
  <c r="AO1735" i="2" s="1"/>
  <c r="AG1736" i="2"/>
  <c r="AO1736" i="2" s="1"/>
  <c r="AG1737" i="2"/>
  <c r="AO1737" i="2" s="1"/>
  <c r="AG1738" i="2"/>
  <c r="AO1738" i="2" s="1"/>
  <c r="AG1739" i="2"/>
  <c r="AO1739" i="2" s="1"/>
  <c r="AG1740" i="2"/>
  <c r="AO1740" i="2" s="1"/>
  <c r="AG1741" i="2"/>
  <c r="AO1741" i="2" s="1"/>
  <c r="AG1742" i="2"/>
  <c r="AO1742" i="2" s="1"/>
  <c r="AG1743" i="2"/>
  <c r="AO1743" i="2" s="1"/>
  <c r="AG1744" i="2"/>
  <c r="AO1744" i="2" s="1"/>
  <c r="AG1745" i="2"/>
  <c r="AO1745" i="2" s="1"/>
  <c r="AG1746" i="2"/>
  <c r="AO1746" i="2" s="1"/>
  <c r="AG1747" i="2"/>
  <c r="AO1747" i="2" s="1"/>
  <c r="AG1748" i="2"/>
  <c r="AO1748" i="2" s="1"/>
  <c r="AG1749" i="2"/>
  <c r="AO1749" i="2" s="1"/>
  <c r="AG1750" i="2"/>
  <c r="AO1750" i="2" s="1"/>
  <c r="AG1751" i="2"/>
  <c r="AO1751" i="2" s="1"/>
  <c r="AG1752" i="2"/>
  <c r="AO1752" i="2" s="1"/>
  <c r="AG1753" i="2"/>
  <c r="AO1753" i="2" s="1"/>
  <c r="AG1754" i="2"/>
  <c r="AO1754" i="2" s="1"/>
  <c r="AG1755" i="2"/>
  <c r="AO1755" i="2" s="1"/>
  <c r="AG1756" i="2"/>
  <c r="AO1756" i="2" s="1"/>
  <c r="AG1757" i="2"/>
  <c r="AO1757" i="2" s="1"/>
  <c r="AG1758" i="2"/>
  <c r="AO1758" i="2" s="1"/>
  <c r="AG1759" i="2"/>
  <c r="AO1759" i="2" s="1"/>
  <c r="AG1760" i="2"/>
  <c r="AO1760" i="2" s="1"/>
  <c r="AG1761" i="2"/>
  <c r="AO1761" i="2" s="1"/>
  <c r="AG1762" i="2"/>
  <c r="AO1762" i="2" s="1"/>
  <c r="AG1763" i="2"/>
  <c r="AO1763" i="2" s="1"/>
  <c r="AG1764" i="2"/>
  <c r="AO1764" i="2" s="1"/>
  <c r="AG1765" i="2"/>
  <c r="AO1765" i="2" s="1"/>
  <c r="AG1766" i="2"/>
  <c r="AO1766" i="2" s="1"/>
  <c r="AG1767" i="2"/>
  <c r="AO1767" i="2" s="1"/>
  <c r="AG1768" i="2"/>
  <c r="AO1768" i="2" s="1"/>
  <c r="AG1769" i="2"/>
  <c r="AO1769" i="2" s="1"/>
  <c r="AG1770" i="2"/>
  <c r="AO1770" i="2" s="1"/>
  <c r="AG1771" i="2"/>
  <c r="AO1771" i="2" s="1"/>
  <c r="AG1772" i="2"/>
  <c r="AO1772" i="2" s="1"/>
  <c r="AG1773" i="2"/>
  <c r="AO1773" i="2" s="1"/>
  <c r="AG1774" i="2"/>
  <c r="AO1774" i="2" s="1"/>
  <c r="AG1775" i="2"/>
  <c r="AO1775" i="2" s="1"/>
  <c r="AG1776" i="2"/>
  <c r="AO1776" i="2" s="1"/>
  <c r="AG1777" i="2"/>
  <c r="AO1777" i="2" s="1"/>
  <c r="AG1778" i="2"/>
  <c r="AO1778" i="2" s="1"/>
  <c r="AG1779" i="2"/>
  <c r="AO1779" i="2" s="1"/>
  <c r="AG1780" i="2"/>
  <c r="AO1780" i="2" s="1"/>
  <c r="AG1781" i="2"/>
  <c r="AO1781" i="2" s="1"/>
  <c r="AG1782" i="2"/>
  <c r="AO1782" i="2" s="1"/>
  <c r="AG1783" i="2"/>
  <c r="AO1783" i="2" s="1"/>
  <c r="AG1784" i="2"/>
  <c r="AO1784" i="2" s="1"/>
  <c r="AG1785" i="2"/>
  <c r="AO1785" i="2" s="1"/>
  <c r="AG1786" i="2"/>
  <c r="AO1786" i="2" s="1"/>
  <c r="AG1787" i="2"/>
  <c r="AO1787" i="2" s="1"/>
  <c r="AG1788" i="2"/>
  <c r="AO1788" i="2" s="1"/>
  <c r="AG1789" i="2"/>
  <c r="AO1789" i="2" s="1"/>
  <c r="AG1790" i="2"/>
  <c r="AO1790" i="2" s="1"/>
  <c r="AG1791" i="2"/>
  <c r="AO1791" i="2" s="1"/>
  <c r="AG1792" i="2"/>
  <c r="AO1792" i="2" s="1"/>
  <c r="AG1793" i="2"/>
  <c r="AO1793" i="2" s="1"/>
  <c r="AG1794" i="2"/>
  <c r="AO1794" i="2" s="1"/>
  <c r="AG1795" i="2"/>
  <c r="AO1795" i="2" s="1"/>
  <c r="AG1796" i="2"/>
  <c r="AO1796" i="2" s="1"/>
  <c r="AG1797" i="2"/>
  <c r="AO1797" i="2" s="1"/>
  <c r="AG1798" i="2"/>
  <c r="AO1798" i="2" s="1"/>
  <c r="AG1799" i="2"/>
  <c r="AO1799" i="2" s="1"/>
  <c r="AG1800" i="2"/>
  <c r="AO1800" i="2" s="1"/>
  <c r="AG1801" i="2"/>
  <c r="AO1801" i="2" s="1"/>
  <c r="AG1802" i="2"/>
  <c r="AO1802" i="2" s="1"/>
  <c r="AG1803" i="2"/>
  <c r="AO1803" i="2" s="1"/>
  <c r="AG1804" i="2"/>
  <c r="AO1804" i="2" s="1"/>
  <c r="AG1805" i="2"/>
  <c r="AO1805" i="2" s="1"/>
  <c r="AG1806" i="2"/>
  <c r="AO1806" i="2" s="1"/>
  <c r="AG1807" i="2"/>
  <c r="AO1807" i="2" s="1"/>
  <c r="AG1808" i="2"/>
  <c r="AO1808" i="2" s="1"/>
  <c r="AG1809" i="2"/>
  <c r="AO1809" i="2" s="1"/>
  <c r="AG1810" i="2"/>
  <c r="AO1810" i="2" s="1"/>
  <c r="AG1811" i="2"/>
  <c r="AO1811" i="2" s="1"/>
  <c r="AG1812" i="2"/>
  <c r="AO1812" i="2" s="1"/>
  <c r="AG1813" i="2"/>
  <c r="AO1813" i="2" s="1"/>
  <c r="AG1814" i="2"/>
  <c r="AO1814" i="2" s="1"/>
  <c r="AG1815" i="2"/>
  <c r="AO1815" i="2" s="1"/>
  <c r="AG1816" i="2"/>
  <c r="AO1816" i="2" s="1"/>
  <c r="AG1817" i="2"/>
  <c r="AO1817" i="2" s="1"/>
  <c r="AG1818" i="2"/>
  <c r="AO1818" i="2" s="1"/>
  <c r="AG1819" i="2"/>
  <c r="AO1819" i="2" s="1"/>
  <c r="AG1820" i="2"/>
  <c r="AO1820" i="2" s="1"/>
  <c r="AG1821" i="2"/>
  <c r="AO1821" i="2" s="1"/>
  <c r="AG1822" i="2"/>
  <c r="AO1822" i="2" s="1"/>
  <c r="AG1823" i="2"/>
  <c r="AO1823" i="2" s="1"/>
  <c r="AG1824" i="2"/>
  <c r="AO1824" i="2" s="1"/>
  <c r="AG1825" i="2"/>
  <c r="AO1825" i="2" s="1"/>
  <c r="AG1826" i="2"/>
  <c r="AO1826" i="2" s="1"/>
  <c r="AG1827" i="2"/>
  <c r="AO1827" i="2" s="1"/>
  <c r="AG1828" i="2"/>
  <c r="AO1828" i="2" s="1"/>
  <c r="AG1829" i="2"/>
  <c r="AO1829" i="2" s="1"/>
  <c r="AG1830" i="2"/>
  <c r="AO1830" i="2" s="1"/>
  <c r="AG1831" i="2"/>
  <c r="AO1831" i="2" s="1"/>
  <c r="AG1832" i="2"/>
  <c r="AO1832" i="2" s="1"/>
  <c r="AG1833" i="2"/>
  <c r="AO1833" i="2" s="1"/>
  <c r="AG1834" i="2"/>
  <c r="AO1834" i="2" s="1"/>
  <c r="AG1835" i="2"/>
  <c r="AO1835" i="2" s="1"/>
  <c r="AG1836" i="2"/>
  <c r="AO1836" i="2" s="1"/>
  <c r="AG1837" i="2"/>
  <c r="AO1837" i="2" s="1"/>
  <c r="AG1838" i="2"/>
  <c r="AO1838" i="2" s="1"/>
  <c r="AG1839" i="2"/>
  <c r="AO1839" i="2" s="1"/>
  <c r="AG1840" i="2"/>
  <c r="AO1840" i="2" s="1"/>
  <c r="AG1841" i="2"/>
  <c r="AO1841" i="2" s="1"/>
  <c r="AG1842" i="2"/>
  <c r="AO1842" i="2" s="1"/>
  <c r="AG1843" i="2"/>
  <c r="AO1843" i="2" s="1"/>
  <c r="AG1844" i="2"/>
  <c r="AO1844" i="2" s="1"/>
  <c r="AG1845" i="2"/>
  <c r="AO1845" i="2" s="1"/>
  <c r="AG1846" i="2"/>
  <c r="AO1846" i="2" s="1"/>
  <c r="AG1847" i="2"/>
  <c r="AO1847" i="2" s="1"/>
  <c r="AG1848" i="2"/>
  <c r="AO1848" i="2" s="1"/>
  <c r="AG1849" i="2"/>
  <c r="AO1849" i="2" s="1"/>
  <c r="AG1850" i="2"/>
  <c r="AO1850" i="2" s="1"/>
  <c r="AG1851" i="2"/>
  <c r="AO1851" i="2" s="1"/>
  <c r="AG1852" i="2"/>
  <c r="AO1852" i="2" s="1"/>
  <c r="AG1853" i="2"/>
  <c r="AO1853" i="2" s="1"/>
  <c r="AG1854" i="2"/>
  <c r="AO1854" i="2" s="1"/>
  <c r="AG1855" i="2"/>
  <c r="AO1855" i="2" s="1"/>
  <c r="AG1856" i="2"/>
  <c r="AO1856" i="2" s="1"/>
  <c r="AG1857" i="2"/>
  <c r="AO1857" i="2" s="1"/>
  <c r="AG1858" i="2"/>
  <c r="AO1858" i="2" s="1"/>
  <c r="AG1859" i="2"/>
  <c r="AO1859" i="2" s="1"/>
  <c r="AG1860" i="2"/>
  <c r="AO1860" i="2" s="1"/>
  <c r="AG1861" i="2"/>
  <c r="AO1861" i="2" s="1"/>
  <c r="AG1862" i="2"/>
  <c r="AO1862" i="2" s="1"/>
  <c r="AG1863" i="2"/>
  <c r="AO1863" i="2" s="1"/>
  <c r="AG1864" i="2"/>
  <c r="AO1864" i="2" s="1"/>
  <c r="AG1865" i="2"/>
  <c r="AO1865" i="2" s="1"/>
  <c r="AG1866" i="2"/>
  <c r="AO1866" i="2" s="1"/>
  <c r="AG1867" i="2"/>
  <c r="AO1867" i="2" s="1"/>
  <c r="AG1868" i="2"/>
  <c r="AO1868" i="2" s="1"/>
  <c r="AG1869" i="2"/>
  <c r="AO1869" i="2" s="1"/>
  <c r="AG1870" i="2"/>
  <c r="AO1870" i="2" s="1"/>
  <c r="AG1871" i="2"/>
  <c r="AO1871" i="2" s="1"/>
  <c r="AG1872" i="2"/>
  <c r="AO1872" i="2" s="1"/>
  <c r="AG1873" i="2"/>
  <c r="AO1873" i="2" s="1"/>
  <c r="AG1874" i="2"/>
  <c r="AO1874" i="2" s="1"/>
  <c r="AG1875" i="2"/>
  <c r="AO1875" i="2" s="1"/>
  <c r="AG1876" i="2"/>
  <c r="AO1876" i="2" s="1"/>
  <c r="AG1877" i="2"/>
  <c r="AO1877" i="2" s="1"/>
  <c r="AG1878" i="2"/>
  <c r="AO1878" i="2" s="1"/>
  <c r="AG1879" i="2"/>
  <c r="AO1879" i="2" s="1"/>
  <c r="AG1880" i="2"/>
  <c r="AO1880" i="2" s="1"/>
  <c r="AG1881" i="2"/>
  <c r="AO1881" i="2" s="1"/>
  <c r="AG1882" i="2"/>
  <c r="AO1882" i="2" s="1"/>
  <c r="AG1883" i="2"/>
  <c r="AO1883" i="2" s="1"/>
  <c r="AG1884" i="2"/>
  <c r="AO1884" i="2" s="1"/>
  <c r="AG1885" i="2"/>
  <c r="AO1885" i="2" s="1"/>
  <c r="AG1886" i="2"/>
  <c r="AO1886" i="2" s="1"/>
  <c r="AG1887" i="2"/>
  <c r="AO1887" i="2" s="1"/>
  <c r="AG1888" i="2"/>
  <c r="AO1888" i="2" s="1"/>
  <c r="AG1889" i="2"/>
  <c r="AO1889" i="2" s="1"/>
  <c r="AG1890" i="2"/>
  <c r="AO1890" i="2" s="1"/>
  <c r="AG1891" i="2"/>
  <c r="AO1891" i="2" s="1"/>
  <c r="AG1892" i="2"/>
  <c r="AO1892" i="2" s="1"/>
  <c r="AG1893" i="2"/>
  <c r="AO1893" i="2" s="1"/>
  <c r="AG1894" i="2"/>
  <c r="AO1894" i="2" s="1"/>
  <c r="AG1895" i="2"/>
  <c r="AO1895" i="2" s="1"/>
  <c r="AG1896" i="2"/>
  <c r="AO1896" i="2" s="1"/>
  <c r="AG1897" i="2"/>
  <c r="AO1897" i="2" s="1"/>
  <c r="AG1898" i="2"/>
  <c r="AO1898" i="2" s="1"/>
  <c r="AG1899" i="2"/>
  <c r="AO1899" i="2" s="1"/>
  <c r="AG1900" i="2"/>
  <c r="AO1900" i="2" s="1"/>
  <c r="AG1901" i="2"/>
  <c r="AO1901" i="2" s="1"/>
  <c r="AG1902" i="2"/>
  <c r="AO1902" i="2" s="1"/>
  <c r="AG1903" i="2"/>
  <c r="AO1903" i="2" s="1"/>
  <c r="AG1904" i="2"/>
  <c r="AO1904" i="2" s="1"/>
  <c r="AG1905" i="2"/>
  <c r="AO1905" i="2" s="1"/>
  <c r="AG1906" i="2"/>
  <c r="AO1906" i="2" s="1"/>
  <c r="AG1907" i="2"/>
  <c r="AO1907" i="2" s="1"/>
  <c r="AG1908" i="2"/>
  <c r="AO1908" i="2" s="1"/>
  <c r="AG1909" i="2"/>
  <c r="AO1909" i="2" s="1"/>
  <c r="AG1910" i="2"/>
  <c r="AO1910" i="2" s="1"/>
  <c r="AG1911" i="2"/>
  <c r="AO1911" i="2" s="1"/>
  <c r="AG1912" i="2"/>
  <c r="AO1912" i="2" s="1"/>
  <c r="AG1913" i="2"/>
  <c r="AO1913" i="2" s="1"/>
  <c r="AG1914" i="2"/>
  <c r="AO1914" i="2" s="1"/>
  <c r="AG1915" i="2"/>
  <c r="AO1915" i="2" s="1"/>
  <c r="AG1916" i="2"/>
  <c r="AO1916" i="2" s="1"/>
  <c r="AG1917" i="2"/>
  <c r="AO1917" i="2" s="1"/>
  <c r="AG1918" i="2"/>
  <c r="AO1918" i="2" s="1"/>
  <c r="AG1919" i="2"/>
  <c r="AO1919" i="2" s="1"/>
  <c r="AG1920" i="2"/>
  <c r="AO1920" i="2" s="1"/>
  <c r="AG1921" i="2"/>
  <c r="AO1921" i="2" s="1"/>
  <c r="AG1922" i="2"/>
  <c r="AO1922" i="2" s="1"/>
  <c r="AG1923" i="2"/>
  <c r="AO1923" i="2" s="1"/>
  <c r="AG1924" i="2"/>
  <c r="AO1924" i="2" s="1"/>
  <c r="AG1925" i="2"/>
  <c r="AO1925" i="2" s="1"/>
  <c r="AG1926" i="2"/>
  <c r="AO1926" i="2" s="1"/>
  <c r="AG1927" i="2"/>
  <c r="AO1927" i="2" s="1"/>
  <c r="AG1928" i="2"/>
  <c r="AO1928" i="2" s="1"/>
  <c r="AG1929" i="2"/>
  <c r="AO1929" i="2" s="1"/>
  <c r="AG1930" i="2"/>
  <c r="AO1930" i="2" s="1"/>
  <c r="AG1931" i="2"/>
  <c r="AO1931" i="2" s="1"/>
  <c r="AG1932" i="2"/>
  <c r="AO1932" i="2" s="1"/>
  <c r="AG1933" i="2"/>
  <c r="AO1933" i="2" s="1"/>
  <c r="AG1934" i="2"/>
  <c r="AO1934" i="2" s="1"/>
  <c r="AG1935" i="2"/>
  <c r="AO1935" i="2" s="1"/>
  <c r="AG1936" i="2"/>
  <c r="AO1936" i="2" s="1"/>
  <c r="AG1937" i="2"/>
  <c r="AO1937" i="2" s="1"/>
  <c r="AG1938" i="2"/>
  <c r="AO1938" i="2" s="1"/>
  <c r="AG1939" i="2"/>
  <c r="AO1939" i="2" s="1"/>
  <c r="AG1940" i="2"/>
  <c r="AO1940" i="2" s="1"/>
  <c r="AG1941" i="2"/>
  <c r="AO1941" i="2" s="1"/>
  <c r="AG1942" i="2"/>
  <c r="AO1942" i="2" s="1"/>
  <c r="AG1943" i="2"/>
  <c r="AO1943" i="2" s="1"/>
  <c r="AG1944" i="2"/>
  <c r="AO1944" i="2" s="1"/>
  <c r="AG1945" i="2"/>
  <c r="AO1945" i="2" s="1"/>
  <c r="AG1946" i="2"/>
  <c r="AO1946" i="2" s="1"/>
  <c r="AG1947" i="2"/>
  <c r="AO1947" i="2" s="1"/>
  <c r="AG1948" i="2"/>
  <c r="AO1948" i="2" s="1"/>
  <c r="AG1949" i="2"/>
  <c r="AO1949" i="2" s="1"/>
  <c r="AG1950" i="2"/>
  <c r="AO1950" i="2" s="1"/>
  <c r="AG1951" i="2"/>
  <c r="AO1951" i="2" s="1"/>
  <c r="AG1952" i="2"/>
  <c r="AO1952" i="2" s="1"/>
  <c r="AG1953" i="2"/>
  <c r="AO1953" i="2" s="1"/>
  <c r="AG1954" i="2"/>
  <c r="AO1954" i="2" s="1"/>
  <c r="AG1955" i="2"/>
  <c r="AO1955" i="2" s="1"/>
  <c r="AG1956" i="2"/>
  <c r="AO1956" i="2" s="1"/>
  <c r="AG1957" i="2"/>
  <c r="AO1957" i="2" s="1"/>
  <c r="AG1958" i="2"/>
  <c r="AO1958" i="2" s="1"/>
  <c r="AG1959" i="2"/>
  <c r="AO1959" i="2" s="1"/>
  <c r="AG1960" i="2"/>
  <c r="AO1960" i="2" s="1"/>
  <c r="AG1961" i="2"/>
  <c r="AO1961" i="2" s="1"/>
  <c r="AG1962" i="2"/>
  <c r="AO1962" i="2" s="1"/>
  <c r="AG1963" i="2"/>
  <c r="AO1963" i="2" s="1"/>
  <c r="AG1964" i="2"/>
  <c r="AO1964" i="2" s="1"/>
  <c r="AG1965" i="2"/>
  <c r="AO1965" i="2" s="1"/>
  <c r="AG1966" i="2"/>
  <c r="AO1966" i="2" s="1"/>
  <c r="AG1967" i="2"/>
  <c r="AO1967" i="2" s="1"/>
  <c r="AG1968" i="2"/>
  <c r="AO1968" i="2" s="1"/>
  <c r="AG1969" i="2"/>
  <c r="AO1969" i="2" s="1"/>
  <c r="AG1970" i="2"/>
  <c r="AO1970" i="2" s="1"/>
  <c r="AG1971" i="2"/>
  <c r="AO1971" i="2" s="1"/>
  <c r="AG1972" i="2"/>
  <c r="AO1972" i="2" s="1"/>
  <c r="AG1973" i="2"/>
  <c r="AO1973" i="2" s="1"/>
  <c r="AG1974" i="2"/>
  <c r="AO1974" i="2" s="1"/>
  <c r="AG1975" i="2"/>
  <c r="AO1975" i="2" s="1"/>
  <c r="AG1976" i="2"/>
  <c r="AO1976" i="2" s="1"/>
  <c r="AG1977" i="2"/>
  <c r="AO1977" i="2" s="1"/>
  <c r="AG1978" i="2"/>
  <c r="AO1978" i="2" s="1"/>
  <c r="AG1979" i="2"/>
  <c r="AO1979" i="2" s="1"/>
  <c r="AG1980" i="2"/>
  <c r="AO1980" i="2" s="1"/>
  <c r="AG1981" i="2"/>
  <c r="AO1981" i="2" s="1"/>
  <c r="AG1982" i="2"/>
  <c r="AO1982" i="2" s="1"/>
  <c r="AG1983" i="2"/>
  <c r="AO1983" i="2" s="1"/>
  <c r="AG1984" i="2"/>
  <c r="AO1984" i="2" s="1"/>
  <c r="AG1985" i="2"/>
  <c r="AO1985" i="2" s="1"/>
  <c r="AG1986" i="2"/>
  <c r="AO1986" i="2" s="1"/>
  <c r="AG1987" i="2"/>
  <c r="AO1987" i="2" s="1"/>
  <c r="AG1988" i="2"/>
  <c r="AO1988" i="2" s="1"/>
  <c r="AG1989" i="2"/>
  <c r="AO1989" i="2" s="1"/>
  <c r="AG1990" i="2"/>
  <c r="AO1990" i="2" s="1"/>
  <c r="AG1991" i="2"/>
  <c r="AO1991" i="2" s="1"/>
  <c r="AG1992" i="2"/>
  <c r="AO1992" i="2" s="1"/>
  <c r="AG1993" i="2"/>
  <c r="AO1993" i="2" s="1"/>
  <c r="AG1994" i="2"/>
  <c r="AO1994" i="2" s="1"/>
  <c r="AG1995" i="2"/>
  <c r="AO1995" i="2" s="1"/>
  <c r="AG1996" i="2"/>
  <c r="AO1996" i="2" s="1"/>
  <c r="AG1997" i="2"/>
  <c r="AO1997" i="2" s="1"/>
  <c r="AG1998" i="2"/>
  <c r="AO1998" i="2" s="1"/>
  <c r="AG1999" i="2"/>
  <c r="AO1999" i="2" s="1"/>
  <c r="AG2000" i="2"/>
  <c r="AO2000" i="2" s="1"/>
  <c r="AG2001" i="2"/>
  <c r="AO2001" i="2" s="1"/>
  <c r="AG2002" i="2"/>
  <c r="AO2002" i="2" s="1"/>
  <c r="AG2003" i="2"/>
  <c r="AO2003" i="2" s="1"/>
  <c r="AG2004" i="2"/>
  <c r="AO2004" i="2" s="1"/>
  <c r="AG2005" i="2"/>
  <c r="AO2005" i="2" s="1"/>
  <c r="AG2006" i="2"/>
  <c r="AO2006" i="2" s="1"/>
  <c r="AG2007" i="2"/>
  <c r="AO2007" i="2" s="1"/>
  <c r="AG2008" i="2"/>
  <c r="AO2008" i="2" s="1"/>
  <c r="AG2009" i="2"/>
  <c r="AO2009" i="2" s="1"/>
  <c r="AG2010" i="2"/>
  <c r="AO2010" i="2" s="1"/>
  <c r="AG2011" i="2"/>
  <c r="AO2011" i="2" s="1"/>
  <c r="AG2012" i="2"/>
  <c r="AO2012" i="2" s="1"/>
  <c r="AG2013" i="2"/>
  <c r="AO2013" i="2" s="1"/>
  <c r="AG2014" i="2"/>
  <c r="AO2014" i="2" s="1"/>
  <c r="AG2015" i="2"/>
  <c r="AO2015" i="2" s="1"/>
  <c r="AG2016" i="2"/>
  <c r="AO2016" i="2" s="1"/>
  <c r="AG2017" i="2"/>
  <c r="AO2017" i="2" s="1"/>
  <c r="AG2018" i="2"/>
  <c r="AO2018" i="2" s="1"/>
  <c r="AG2019" i="2"/>
  <c r="AO2019" i="2" s="1"/>
  <c r="AG2020" i="2"/>
  <c r="AO2020" i="2" s="1"/>
  <c r="AG2021" i="2"/>
  <c r="AO2021" i="2" s="1"/>
  <c r="AG2022" i="2"/>
  <c r="AO2022" i="2" s="1"/>
  <c r="AG2023" i="2"/>
  <c r="AO2023" i="2" s="1"/>
  <c r="AG2024" i="2"/>
  <c r="AO2024" i="2" s="1"/>
  <c r="AG2025" i="2"/>
  <c r="AO2025" i="2" s="1"/>
  <c r="AG2026" i="2"/>
  <c r="AO2026" i="2" s="1"/>
  <c r="AG2027" i="2"/>
  <c r="AO2027" i="2" s="1"/>
  <c r="AG2028" i="2"/>
  <c r="AO2028" i="2" s="1"/>
  <c r="AG2029" i="2"/>
  <c r="AO2029" i="2" s="1"/>
  <c r="AG2030" i="2"/>
  <c r="AO2030" i="2" s="1"/>
  <c r="AG2031" i="2"/>
  <c r="AO2031" i="2" s="1"/>
  <c r="AG2032" i="2"/>
  <c r="AO2032" i="2" s="1"/>
  <c r="AG2033" i="2"/>
  <c r="AO2033" i="2" s="1"/>
  <c r="AG2034" i="2"/>
  <c r="AO2034" i="2" s="1"/>
  <c r="AG2035" i="2"/>
  <c r="AO2035" i="2" s="1"/>
  <c r="AG2036" i="2"/>
  <c r="AO2036" i="2" s="1"/>
  <c r="AG2037" i="2"/>
  <c r="AO2037" i="2" s="1"/>
  <c r="AG2038" i="2"/>
  <c r="AO2038" i="2" s="1"/>
  <c r="AG2039" i="2"/>
  <c r="AO2039" i="2" s="1"/>
  <c r="AG2040" i="2"/>
  <c r="AO2040" i="2" s="1"/>
  <c r="AG2041" i="2"/>
  <c r="AO2041" i="2" s="1"/>
  <c r="AG2042" i="2"/>
  <c r="AO2042" i="2" s="1"/>
  <c r="AG2043" i="2"/>
  <c r="AO2043" i="2" s="1"/>
  <c r="AG2044" i="2"/>
  <c r="AO2044" i="2" s="1"/>
  <c r="AG2045" i="2"/>
  <c r="AO2045" i="2" s="1"/>
  <c r="AG2046" i="2"/>
  <c r="AO2046" i="2" s="1"/>
  <c r="AG2047" i="2"/>
  <c r="AO2047" i="2" s="1"/>
  <c r="AG2048" i="2"/>
  <c r="AO2048" i="2" s="1"/>
  <c r="AG2049" i="2"/>
  <c r="AO2049" i="2" s="1"/>
  <c r="AG2050" i="2"/>
  <c r="AO2050" i="2" s="1"/>
  <c r="AG2051" i="2"/>
  <c r="AO2051" i="2" s="1"/>
  <c r="AG2052" i="2"/>
  <c r="AO2052" i="2" s="1"/>
  <c r="AG2053" i="2"/>
  <c r="AO2053" i="2" s="1"/>
  <c r="AG2054" i="2"/>
  <c r="AO2054" i="2" s="1"/>
  <c r="AG2055" i="2"/>
  <c r="AO2055" i="2" s="1"/>
  <c r="AG2056" i="2"/>
  <c r="AO2056" i="2" s="1"/>
  <c r="AG2057" i="2"/>
  <c r="AO2057" i="2" s="1"/>
  <c r="AG2058" i="2"/>
  <c r="AO2058" i="2" s="1"/>
  <c r="AG2059" i="2"/>
  <c r="AO2059" i="2" s="1"/>
  <c r="AG2060" i="2"/>
  <c r="AO2060" i="2" s="1"/>
  <c r="AG2061" i="2"/>
  <c r="AO2061" i="2" s="1"/>
  <c r="AG2062" i="2"/>
  <c r="AO2062" i="2" s="1"/>
  <c r="AG2063" i="2"/>
  <c r="AO2063" i="2" s="1"/>
  <c r="AG2064" i="2"/>
  <c r="AO2064" i="2" s="1"/>
  <c r="AG2065" i="2"/>
  <c r="AO2065" i="2" s="1"/>
  <c r="AG2066" i="2"/>
  <c r="AO2066" i="2" s="1"/>
  <c r="AG2067" i="2"/>
  <c r="AO2067" i="2" s="1"/>
  <c r="AG2068" i="2"/>
  <c r="AO2068" i="2" s="1"/>
  <c r="AG2069" i="2"/>
  <c r="AO2069" i="2" s="1"/>
  <c r="AG2070" i="2"/>
  <c r="AO2070" i="2" s="1"/>
  <c r="AG2071" i="2"/>
  <c r="AO2071" i="2" s="1"/>
  <c r="AG2072" i="2"/>
  <c r="AO2072" i="2" s="1"/>
  <c r="AG2073" i="2"/>
  <c r="AO2073" i="2" s="1"/>
  <c r="AG2074" i="2"/>
  <c r="AO2074" i="2" s="1"/>
  <c r="AG2075" i="2"/>
  <c r="AO2075" i="2" s="1"/>
  <c r="AG2076" i="2"/>
  <c r="AO2076" i="2" s="1"/>
  <c r="AG2077" i="2"/>
  <c r="AO2077" i="2" s="1"/>
  <c r="AG2078" i="2"/>
  <c r="AO2078" i="2" s="1"/>
  <c r="AG2079" i="2"/>
  <c r="AO2079" i="2" s="1"/>
  <c r="AG2080" i="2"/>
  <c r="AO2080" i="2" s="1"/>
  <c r="AG2081" i="2"/>
  <c r="AO2081" i="2" s="1"/>
  <c r="AG2082" i="2"/>
  <c r="AO2082" i="2" s="1"/>
  <c r="AG2083" i="2"/>
  <c r="AO2083" i="2" s="1"/>
  <c r="AG2084" i="2"/>
  <c r="AO2084" i="2" s="1"/>
  <c r="AG2085" i="2"/>
  <c r="AO2085" i="2" s="1"/>
  <c r="AG2086" i="2"/>
  <c r="AO2086" i="2" s="1"/>
  <c r="AG2087" i="2"/>
  <c r="AO2087" i="2" s="1"/>
  <c r="AG2088" i="2"/>
  <c r="AO2088" i="2" s="1"/>
  <c r="AG2089" i="2"/>
  <c r="AO2089" i="2" s="1"/>
  <c r="AG2090" i="2"/>
  <c r="AO2090" i="2" s="1"/>
  <c r="AG2091" i="2"/>
  <c r="AO2091" i="2" s="1"/>
  <c r="AG2092" i="2"/>
  <c r="AO2092" i="2" s="1"/>
  <c r="AG2093" i="2"/>
  <c r="AO2093" i="2" s="1"/>
  <c r="AG2094" i="2"/>
  <c r="AO2094" i="2" s="1"/>
  <c r="AG2095" i="2"/>
  <c r="AO2095" i="2" s="1"/>
  <c r="AG2096" i="2"/>
  <c r="AO2096" i="2" s="1"/>
  <c r="AG2097" i="2"/>
  <c r="AO2097" i="2" s="1"/>
  <c r="AG2098" i="2"/>
  <c r="AO2098" i="2" s="1"/>
  <c r="AG2099" i="2"/>
  <c r="AO2099" i="2" s="1"/>
  <c r="AG2100" i="2"/>
  <c r="AO2100" i="2" s="1"/>
  <c r="AG2101" i="2"/>
  <c r="AO2101" i="2" s="1"/>
  <c r="AG2102" i="2"/>
  <c r="AO2102" i="2" s="1"/>
  <c r="AG2103" i="2"/>
  <c r="AO2103" i="2" s="1"/>
  <c r="AG2104" i="2"/>
  <c r="AO2104" i="2" s="1"/>
  <c r="AG2105" i="2"/>
  <c r="AO2105" i="2" s="1"/>
  <c r="AG2106" i="2"/>
  <c r="AO2106" i="2" s="1"/>
  <c r="AG2107" i="2"/>
  <c r="AO2107" i="2" s="1"/>
  <c r="AG2108" i="2"/>
  <c r="AO2108" i="2" s="1"/>
  <c r="AG2109" i="2"/>
  <c r="AO2109" i="2" s="1"/>
  <c r="AG2110" i="2"/>
  <c r="AO2110" i="2" s="1"/>
  <c r="AG2111" i="2"/>
  <c r="AO2111" i="2" s="1"/>
  <c r="AG2112" i="2"/>
  <c r="AO2112" i="2" s="1"/>
  <c r="AG2113" i="2"/>
  <c r="AO2113" i="2" s="1"/>
  <c r="AG2114" i="2"/>
  <c r="AO2114" i="2" s="1"/>
  <c r="AG2115" i="2"/>
  <c r="AO2115" i="2" s="1"/>
  <c r="AG2116" i="2"/>
  <c r="AO2116" i="2" s="1"/>
  <c r="AG2117" i="2"/>
  <c r="AO2117" i="2" s="1"/>
  <c r="AG2118" i="2"/>
  <c r="AO2118" i="2" s="1"/>
  <c r="AG2119" i="2"/>
  <c r="AO2119" i="2" s="1"/>
  <c r="AG2120" i="2"/>
  <c r="AO2120" i="2" s="1"/>
  <c r="AG2121" i="2"/>
  <c r="AO2121" i="2" s="1"/>
  <c r="AG2122" i="2"/>
  <c r="AO2122" i="2" s="1"/>
  <c r="AG2123" i="2"/>
  <c r="AO2123" i="2" s="1"/>
  <c r="AG2124" i="2"/>
  <c r="AO2124" i="2" s="1"/>
  <c r="AG2125" i="2"/>
  <c r="AO2125" i="2" s="1"/>
  <c r="AG2126" i="2"/>
  <c r="AO2126" i="2" s="1"/>
  <c r="AG2127" i="2"/>
  <c r="AO2127" i="2" s="1"/>
  <c r="AG2128" i="2"/>
  <c r="AO2128" i="2" s="1"/>
  <c r="AG2129" i="2"/>
  <c r="AO2129" i="2" s="1"/>
  <c r="AG2130" i="2"/>
  <c r="AO2130" i="2" s="1"/>
  <c r="AG2131" i="2"/>
  <c r="AO2131" i="2" s="1"/>
  <c r="AG2132" i="2"/>
  <c r="AO2132" i="2" s="1"/>
  <c r="AG2133" i="2"/>
  <c r="AO2133" i="2" s="1"/>
  <c r="AG2134" i="2"/>
  <c r="AO2134" i="2" s="1"/>
  <c r="AG2135" i="2"/>
  <c r="AO2135" i="2" s="1"/>
  <c r="AG2136" i="2"/>
  <c r="AO2136" i="2" s="1"/>
  <c r="AG2137" i="2"/>
  <c r="AO2137" i="2" s="1"/>
  <c r="AG2138" i="2"/>
  <c r="AO2138" i="2" s="1"/>
  <c r="AG2139" i="2"/>
  <c r="AO2139" i="2" s="1"/>
  <c r="AG2140" i="2"/>
  <c r="AO2140" i="2" s="1"/>
  <c r="AG2141" i="2"/>
  <c r="AO2141" i="2" s="1"/>
  <c r="AG2142" i="2"/>
  <c r="AO2142" i="2" s="1"/>
  <c r="AG2143" i="2"/>
  <c r="AO2143" i="2" s="1"/>
  <c r="AG2144" i="2"/>
  <c r="AO2144" i="2" s="1"/>
  <c r="AG2145" i="2"/>
  <c r="AO2145" i="2" s="1"/>
  <c r="AG2146" i="2"/>
  <c r="AO2146" i="2" s="1"/>
  <c r="AG2147" i="2"/>
  <c r="AO2147" i="2" s="1"/>
  <c r="AG2148" i="2"/>
  <c r="AO2148" i="2" s="1"/>
  <c r="AG2149" i="2"/>
  <c r="AO2149" i="2" s="1"/>
  <c r="AG2150" i="2"/>
  <c r="AO2150" i="2" s="1"/>
  <c r="AG2151" i="2"/>
  <c r="AO2151" i="2" s="1"/>
  <c r="AG2152" i="2"/>
  <c r="AO2152" i="2" s="1"/>
  <c r="AG2153" i="2"/>
  <c r="AO2153" i="2" s="1"/>
  <c r="AG2154" i="2"/>
  <c r="AO2154" i="2" s="1"/>
  <c r="AG2155" i="2"/>
  <c r="AO2155" i="2" s="1"/>
  <c r="AG2156" i="2"/>
  <c r="AO2156" i="2" s="1"/>
  <c r="AG2157" i="2"/>
  <c r="AO2157" i="2" s="1"/>
  <c r="AG2158" i="2"/>
  <c r="AO2158" i="2" s="1"/>
  <c r="AG2159" i="2"/>
  <c r="AO2159" i="2" s="1"/>
  <c r="AG2160" i="2"/>
  <c r="AO2160" i="2" s="1"/>
  <c r="AG2161" i="2"/>
  <c r="AO2161" i="2" s="1"/>
  <c r="AG2162" i="2"/>
  <c r="AO2162" i="2" s="1"/>
  <c r="AG2163" i="2"/>
  <c r="AO2163" i="2" s="1"/>
  <c r="AG2164" i="2"/>
  <c r="AO2164" i="2" s="1"/>
  <c r="AG2165" i="2"/>
  <c r="AO2165" i="2" s="1"/>
  <c r="AG2166" i="2"/>
  <c r="AO2166" i="2" s="1"/>
  <c r="AG2167" i="2"/>
  <c r="AO2167" i="2" s="1"/>
  <c r="AG2168" i="2"/>
  <c r="AO2168" i="2" s="1"/>
  <c r="AG2169" i="2"/>
  <c r="AO2169" i="2" s="1"/>
  <c r="AG2170" i="2"/>
  <c r="AO2170" i="2" s="1"/>
  <c r="AG2171" i="2"/>
  <c r="AO2171" i="2" s="1"/>
  <c r="AG2172" i="2"/>
  <c r="AO2172" i="2" s="1"/>
  <c r="AG2173" i="2"/>
  <c r="AO2173" i="2" s="1"/>
  <c r="AG2174" i="2"/>
  <c r="AO2174" i="2" s="1"/>
  <c r="AG2175" i="2"/>
  <c r="AO2175" i="2" s="1"/>
  <c r="AG2176" i="2"/>
  <c r="AO2176" i="2" s="1"/>
  <c r="AG2177" i="2"/>
  <c r="AO2177" i="2" s="1"/>
  <c r="AG2178" i="2"/>
  <c r="AO2178" i="2" s="1"/>
  <c r="AG2179" i="2"/>
  <c r="AO2179" i="2" s="1"/>
  <c r="AG2180" i="2"/>
  <c r="AO2180" i="2" s="1"/>
  <c r="AG2181" i="2"/>
  <c r="AO2181" i="2" s="1"/>
  <c r="AG2182" i="2"/>
  <c r="AO2182" i="2" s="1"/>
  <c r="AG2183" i="2"/>
  <c r="AO2183" i="2" s="1"/>
  <c r="AG2184" i="2"/>
  <c r="AO2184" i="2" s="1"/>
  <c r="AG2185" i="2"/>
  <c r="AO2185" i="2" s="1"/>
  <c r="AG2186" i="2"/>
  <c r="AO2186" i="2" s="1"/>
  <c r="AG2187" i="2"/>
  <c r="AO2187" i="2" s="1"/>
  <c r="AG2188" i="2"/>
  <c r="AO2188" i="2" s="1"/>
  <c r="AG2189" i="2"/>
  <c r="AO2189" i="2" s="1"/>
  <c r="AG2190" i="2"/>
  <c r="AO2190" i="2" s="1"/>
  <c r="AG2191" i="2"/>
  <c r="AO2191" i="2" s="1"/>
  <c r="AG2192" i="2"/>
  <c r="AO2192" i="2" s="1"/>
  <c r="AG2193" i="2"/>
  <c r="AO2193" i="2" s="1"/>
  <c r="AG2194" i="2"/>
  <c r="AO2194" i="2" s="1"/>
  <c r="AG2195" i="2"/>
  <c r="AO2195" i="2" s="1"/>
  <c r="AG2196" i="2"/>
  <c r="AO2196" i="2" s="1"/>
  <c r="AG2197" i="2"/>
  <c r="AO2197" i="2" s="1"/>
  <c r="AG2198" i="2"/>
  <c r="AO2198" i="2" s="1"/>
  <c r="AG2199" i="2"/>
  <c r="AO2199" i="2" s="1"/>
  <c r="AG2200" i="2"/>
  <c r="AO2200" i="2" s="1"/>
  <c r="AG2201" i="2"/>
  <c r="AO2201" i="2" s="1"/>
  <c r="AG2202" i="2"/>
  <c r="AO2202" i="2" s="1"/>
  <c r="AG2203" i="2"/>
  <c r="AO2203" i="2" s="1"/>
  <c r="AG2204" i="2"/>
  <c r="AO2204" i="2" s="1"/>
  <c r="AG2205" i="2"/>
  <c r="AO2205" i="2" s="1"/>
  <c r="AG2206" i="2"/>
  <c r="AO2206" i="2" s="1"/>
  <c r="AG2207" i="2"/>
  <c r="AO2207" i="2" s="1"/>
  <c r="AG2208" i="2"/>
  <c r="AO2208" i="2" s="1"/>
  <c r="AG2209" i="2"/>
  <c r="AO2209" i="2" s="1"/>
  <c r="AG2210" i="2"/>
  <c r="AO2210" i="2" s="1"/>
  <c r="AG2211" i="2"/>
  <c r="AO2211" i="2" s="1"/>
  <c r="AG2212" i="2"/>
  <c r="AO2212" i="2" s="1"/>
  <c r="AG2213" i="2"/>
  <c r="AO2213" i="2" s="1"/>
  <c r="AG2214" i="2"/>
  <c r="AO2214" i="2" s="1"/>
  <c r="AG2215" i="2"/>
  <c r="AO2215" i="2" s="1"/>
  <c r="AG2216" i="2"/>
  <c r="AO2216" i="2" s="1"/>
  <c r="AG2217" i="2"/>
  <c r="AO2217" i="2" s="1"/>
  <c r="AG2218" i="2"/>
  <c r="AO2218" i="2" s="1"/>
  <c r="AG2219" i="2"/>
  <c r="AO2219" i="2" s="1"/>
  <c r="AG2220" i="2"/>
  <c r="AO2220" i="2" s="1"/>
  <c r="AG2221" i="2"/>
  <c r="AO2221" i="2" s="1"/>
  <c r="AG2222" i="2"/>
  <c r="AO2222" i="2" s="1"/>
  <c r="AG2223" i="2"/>
  <c r="AO2223" i="2" s="1"/>
  <c r="AG2224" i="2"/>
  <c r="AO2224" i="2" s="1"/>
  <c r="AG2225" i="2"/>
  <c r="AO2225" i="2" s="1"/>
  <c r="AG2226" i="2"/>
  <c r="AO2226" i="2" s="1"/>
  <c r="AG2227" i="2"/>
  <c r="AO2227" i="2" s="1"/>
  <c r="AG2228" i="2"/>
  <c r="AO2228" i="2" s="1"/>
  <c r="AG2229" i="2"/>
  <c r="AO2229" i="2" s="1"/>
  <c r="AG2230" i="2"/>
  <c r="AO2230" i="2" s="1"/>
  <c r="AG2231" i="2"/>
  <c r="AO2231" i="2" s="1"/>
  <c r="AG2232" i="2"/>
  <c r="AO2232" i="2" s="1"/>
  <c r="AG2233" i="2"/>
  <c r="AO2233" i="2" s="1"/>
  <c r="AG2234" i="2"/>
  <c r="AO2234" i="2" s="1"/>
  <c r="AG2235" i="2"/>
  <c r="AO2235" i="2" s="1"/>
  <c r="AG2236" i="2"/>
  <c r="AO2236" i="2" s="1"/>
  <c r="AG2237" i="2"/>
  <c r="AO2237" i="2" s="1"/>
  <c r="AG2238" i="2"/>
  <c r="AO2238" i="2" s="1"/>
  <c r="AG2239" i="2"/>
  <c r="AO2239" i="2" s="1"/>
  <c r="AG2240" i="2"/>
  <c r="AO2240" i="2" s="1"/>
  <c r="AG2241" i="2"/>
  <c r="AO2241" i="2" s="1"/>
  <c r="AG2242" i="2"/>
  <c r="AO2242" i="2" s="1"/>
  <c r="AG2243" i="2"/>
  <c r="AO2243" i="2" s="1"/>
  <c r="AG2244" i="2"/>
  <c r="AO2244" i="2" s="1"/>
  <c r="AG2245" i="2"/>
  <c r="AO2245" i="2" s="1"/>
  <c r="AG2246" i="2"/>
  <c r="AO2246" i="2" s="1"/>
  <c r="AG2247" i="2"/>
  <c r="AO2247" i="2" s="1"/>
  <c r="AG2248" i="2"/>
  <c r="AO2248" i="2" s="1"/>
  <c r="AG2249" i="2"/>
  <c r="AO2249" i="2" s="1"/>
  <c r="AG2250" i="2"/>
  <c r="AO2250" i="2" s="1"/>
  <c r="AG2251" i="2"/>
  <c r="AO2251" i="2" s="1"/>
  <c r="AG2252" i="2"/>
  <c r="AO2252" i="2" s="1"/>
  <c r="AG2253" i="2"/>
  <c r="AO2253" i="2" s="1"/>
  <c r="AG2254" i="2"/>
  <c r="AO2254" i="2" s="1"/>
  <c r="AG2255" i="2"/>
  <c r="AO2255" i="2" s="1"/>
  <c r="AG2256" i="2"/>
  <c r="AO2256" i="2" s="1"/>
  <c r="AG2257" i="2"/>
  <c r="AO2257" i="2" s="1"/>
  <c r="AG2258" i="2"/>
  <c r="AO2258" i="2" s="1"/>
  <c r="AG2259" i="2"/>
  <c r="AO2259" i="2" s="1"/>
  <c r="AG2260" i="2"/>
  <c r="AO2260" i="2" s="1"/>
  <c r="AG2261" i="2"/>
  <c r="AO2261" i="2" s="1"/>
  <c r="AG2262" i="2"/>
  <c r="AO2262" i="2" s="1"/>
  <c r="AG2263" i="2"/>
  <c r="AO2263" i="2" s="1"/>
  <c r="AG2264" i="2"/>
  <c r="AO2264" i="2" s="1"/>
  <c r="AG2265" i="2"/>
  <c r="AO2265" i="2" s="1"/>
  <c r="AG2266" i="2"/>
  <c r="AO2266" i="2" s="1"/>
  <c r="AG2267" i="2"/>
  <c r="AO2267" i="2" s="1"/>
  <c r="AG2268" i="2"/>
  <c r="AO2268" i="2" s="1"/>
  <c r="AG2269" i="2"/>
  <c r="AO2269" i="2" s="1"/>
  <c r="AG2270" i="2"/>
  <c r="AO2270" i="2" s="1"/>
  <c r="AG2271" i="2"/>
  <c r="AO2271" i="2" s="1"/>
  <c r="AG2272" i="2"/>
  <c r="AO2272" i="2" s="1"/>
  <c r="AG2273" i="2"/>
  <c r="AO2273" i="2" s="1"/>
  <c r="AG2274" i="2"/>
  <c r="AO2274" i="2" s="1"/>
  <c r="AG2275" i="2"/>
  <c r="AO2275" i="2" s="1"/>
  <c r="AG2276" i="2"/>
  <c r="AO2276" i="2" s="1"/>
  <c r="AG2277" i="2"/>
  <c r="AO2277" i="2" s="1"/>
  <c r="AG2278" i="2"/>
  <c r="AO2278" i="2" s="1"/>
  <c r="AG2279" i="2"/>
  <c r="AO2279" i="2" s="1"/>
  <c r="AG2280" i="2"/>
  <c r="AO2280" i="2" s="1"/>
  <c r="AG2281" i="2"/>
  <c r="AO2281" i="2" s="1"/>
  <c r="AG2282" i="2"/>
  <c r="AO2282" i="2" s="1"/>
  <c r="AG2283" i="2"/>
  <c r="AO2283" i="2" s="1"/>
  <c r="AG2284" i="2"/>
  <c r="AO2284" i="2" s="1"/>
  <c r="AG2285" i="2"/>
  <c r="AO2285" i="2" s="1"/>
  <c r="AG2286" i="2"/>
  <c r="AO2286" i="2" s="1"/>
  <c r="AG2287" i="2"/>
  <c r="AO2287" i="2" s="1"/>
  <c r="AG2288" i="2"/>
  <c r="AO2288" i="2" s="1"/>
  <c r="AG2289" i="2"/>
  <c r="AO2289" i="2" s="1"/>
  <c r="AG2290" i="2"/>
  <c r="AO2290" i="2" s="1"/>
  <c r="AG2291" i="2"/>
  <c r="AO2291" i="2" s="1"/>
  <c r="AG2292" i="2"/>
  <c r="AO2292" i="2" s="1"/>
  <c r="AG2293" i="2"/>
  <c r="AO2293" i="2" s="1"/>
  <c r="AG2294" i="2"/>
  <c r="AO2294" i="2" s="1"/>
  <c r="AG2295" i="2"/>
  <c r="AO2295" i="2" s="1"/>
  <c r="AG2296" i="2"/>
  <c r="AO2296" i="2" s="1"/>
  <c r="AG2297" i="2"/>
  <c r="AO2297" i="2" s="1"/>
  <c r="AG2298" i="2"/>
  <c r="AO2298" i="2" s="1"/>
  <c r="AG2299" i="2"/>
  <c r="AO2299" i="2" s="1"/>
  <c r="AG2300" i="2"/>
  <c r="AO2300" i="2" s="1"/>
  <c r="AG2301" i="2"/>
  <c r="AO2301" i="2" s="1"/>
  <c r="AG2302" i="2"/>
  <c r="AO2302" i="2" s="1"/>
  <c r="AG2303" i="2"/>
  <c r="AO2303" i="2" s="1"/>
  <c r="AG2304" i="2"/>
  <c r="AO2304" i="2" s="1"/>
  <c r="AG2305" i="2"/>
  <c r="AO2305" i="2" s="1"/>
  <c r="AG2306" i="2"/>
  <c r="AO2306" i="2" s="1"/>
  <c r="AG2307" i="2"/>
  <c r="AO2307" i="2" s="1"/>
  <c r="AG2308" i="2"/>
  <c r="AO2308" i="2" s="1"/>
  <c r="AG2309" i="2"/>
  <c r="AO2309" i="2" s="1"/>
  <c r="AG2310" i="2"/>
  <c r="AO2310" i="2" s="1"/>
  <c r="AG2311" i="2"/>
  <c r="AO2311" i="2" s="1"/>
  <c r="AG2312" i="2"/>
  <c r="AO2312" i="2" s="1"/>
  <c r="AG2313" i="2"/>
  <c r="AO2313" i="2" s="1"/>
  <c r="AG2314" i="2"/>
  <c r="AO2314" i="2" s="1"/>
  <c r="AG2315" i="2"/>
  <c r="AO2315" i="2" s="1"/>
  <c r="AG2316" i="2"/>
  <c r="AO2316" i="2" s="1"/>
  <c r="AG2317" i="2"/>
  <c r="AO2317" i="2" s="1"/>
  <c r="AG2318" i="2"/>
  <c r="AO2318" i="2" s="1"/>
  <c r="AG2319" i="2"/>
  <c r="AO2319" i="2" s="1"/>
  <c r="AG2320" i="2"/>
  <c r="AO2320" i="2" s="1"/>
  <c r="AG2321" i="2"/>
  <c r="AO2321" i="2" s="1"/>
  <c r="AG2322" i="2"/>
  <c r="AO2322" i="2" s="1"/>
  <c r="AG2323" i="2"/>
  <c r="AO2323" i="2" s="1"/>
  <c r="AG2324" i="2"/>
  <c r="AO2324" i="2" s="1"/>
  <c r="AG2325" i="2"/>
  <c r="AO2325" i="2" s="1"/>
  <c r="AG2326" i="2"/>
  <c r="AO2326" i="2" s="1"/>
  <c r="AG2327" i="2"/>
  <c r="AO2327" i="2" s="1"/>
  <c r="AG2328" i="2"/>
  <c r="AO2328" i="2" s="1"/>
  <c r="AG2329" i="2"/>
  <c r="AO2329" i="2" s="1"/>
  <c r="AG2330" i="2"/>
  <c r="AO2330" i="2" s="1"/>
  <c r="AG2331" i="2"/>
  <c r="AO2331" i="2" s="1"/>
  <c r="AG2332" i="2"/>
  <c r="AO2332" i="2" s="1"/>
  <c r="AG2333" i="2"/>
  <c r="AO2333" i="2" s="1"/>
  <c r="AG2334" i="2"/>
  <c r="AO2334" i="2" s="1"/>
  <c r="AG2335" i="2"/>
  <c r="AO2335" i="2" s="1"/>
  <c r="AG2336" i="2"/>
  <c r="AO2336" i="2" s="1"/>
  <c r="AG2337" i="2"/>
  <c r="AO2337" i="2" s="1"/>
  <c r="AG2338" i="2"/>
  <c r="AO2338" i="2" s="1"/>
  <c r="AG2339" i="2"/>
  <c r="AO2339" i="2" s="1"/>
  <c r="AG2340" i="2"/>
  <c r="AO2340" i="2" s="1"/>
  <c r="AG2341" i="2"/>
  <c r="AO2341" i="2" s="1"/>
  <c r="AG2342" i="2"/>
  <c r="AO2342" i="2" s="1"/>
  <c r="AG2343" i="2"/>
  <c r="AO2343" i="2" s="1"/>
  <c r="AG2344" i="2"/>
  <c r="AO2344" i="2" s="1"/>
  <c r="AG2345" i="2"/>
  <c r="AO2345" i="2" s="1"/>
  <c r="AG2346" i="2"/>
  <c r="AO2346" i="2" s="1"/>
  <c r="AG2347" i="2"/>
  <c r="AO2347" i="2" s="1"/>
  <c r="AG2348" i="2"/>
  <c r="AO2348" i="2" s="1"/>
  <c r="AG2349" i="2"/>
  <c r="AO2349" i="2" s="1"/>
  <c r="AG2350" i="2"/>
  <c r="AO2350" i="2" s="1"/>
  <c r="AG2351" i="2"/>
  <c r="AO2351" i="2" s="1"/>
  <c r="AG2352" i="2"/>
  <c r="AO2352" i="2" s="1"/>
  <c r="AG2353" i="2"/>
  <c r="AO2353" i="2" s="1"/>
  <c r="AG2354" i="2"/>
  <c r="AO2354" i="2" s="1"/>
  <c r="AG2355" i="2"/>
  <c r="AO2355" i="2" s="1"/>
  <c r="AG2356" i="2"/>
  <c r="AO2356" i="2" s="1"/>
  <c r="AG2357" i="2"/>
  <c r="AO2357" i="2" s="1"/>
  <c r="AG2358" i="2"/>
  <c r="AO2358" i="2" s="1"/>
  <c r="AG2359" i="2"/>
  <c r="AO2359" i="2" s="1"/>
  <c r="AG2360" i="2"/>
  <c r="AO2360" i="2" s="1"/>
  <c r="AG2361" i="2"/>
  <c r="AO2361" i="2" s="1"/>
  <c r="AG2362" i="2"/>
  <c r="AO2362" i="2" s="1"/>
  <c r="AG2363" i="2"/>
  <c r="AO2363" i="2" s="1"/>
  <c r="AG2364" i="2"/>
  <c r="AO2364" i="2" s="1"/>
  <c r="AG2365" i="2"/>
  <c r="AO2365" i="2" s="1"/>
  <c r="AG2366" i="2"/>
  <c r="AO2366" i="2" s="1"/>
  <c r="AG2367" i="2"/>
  <c r="AO2367" i="2" s="1"/>
  <c r="AG2368" i="2"/>
  <c r="AO2368" i="2" s="1"/>
  <c r="AG2369" i="2"/>
  <c r="AO2369" i="2" s="1"/>
  <c r="AG2370" i="2"/>
  <c r="AO2370" i="2" s="1"/>
  <c r="AG2371" i="2"/>
  <c r="AO2371" i="2" s="1"/>
  <c r="AG2372" i="2"/>
  <c r="AO2372" i="2" s="1"/>
  <c r="AG2373" i="2"/>
  <c r="AO2373" i="2" s="1"/>
  <c r="AG2374" i="2"/>
  <c r="AO2374" i="2" s="1"/>
  <c r="AG2375" i="2"/>
  <c r="AO2375" i="2" s="1"/>
  <c r="AG2376" i="2"/>
  <c r="AO2376" i="2" s="1"/>
  <c r="AG2377" i="2"/>
  <c r="AO2377" i="2" s="1"/>
  <c r="AG2378" i="2"/>
  <c r="AO2378" i="2" s="1"/>
  <c r="AG2379" i="2"/>
  <c r="AO2379" i="2" s="1"/>
  <c r="AG2380" i="2"/>
  <c r="AO2380" i="2" s="1"/>
  <c r="AG2381" i="2"/>
  <c r="AO2381" i="2" s="1"/>
  <c r="AG2382" i="2"/>
  <c r="AO2382" i="2" s="1"/>
  <c r="AG2383" i="2"/>
  <c r="AO2383" i="2" s="1"/>
  <c r="AG2384" i="2"/>
  <c r="AO2384" i="2" s="1"/>
  <c r="AG2385" i="2"/>
  <c r="AO2385" i="2" s="1"/>
  <c r="AG2386" i="2"/>
  <c r="AO2386" i="2" s="1"/>
  <c r="AG2387" i="2"/>
  <c r="AO2387" i="2" s="1"/>
  <c r="AG2388" i="2"/>
  <c r="AO2388" i="2" s="1"/>
  <c r="AG2389" i="2"/>
  <c r="AO2389" i="2" s="1"/>
  <c r="AG2390" i="2"/>
  <c r="AO2390" i="2" s="1"/>
  <c r="AG2391" i="2"/>
  <c r="AO2391" i="2" s="1"/>
  <c r="AG2392" i="2"/>
  <c r="AO2392" i="2" s="1"/>
  <c r="AG2393" i="2"/>
  <c r="AO2393" i="2" s="1"/>
  <c r="AG2394" i="2"/>
  <c r="AO2394" i="2" s="1"/>
  <c r="AG2395" i="2"/>
  <c r="AO2395" i="2" s="1"/>
  <c r="AG2396" i="2"/>
  <c r="AO2396" i="2" s="1"/>
  <c r="AG2397" i="2"/>
  <c r="AO2397" i="2" s="1"/>
  <c r="AG2398" i="2"/>
  <c r="AO2398" i="2" s="1"/>
  <c r="AG2399" i="2"/>
  <c r="AO2399" i="2" s="1"/>
  <c r="AG2400" i="2"/>
  <c r="AO2400" i="2" s="1"/>
  <c r="AG2401" i="2"/>
  <c r="AO2401" i="2" s="1"/>
  <c r="AG2402" i="2"/>
  <c r="AO2402" i="2" s="1"/>
  <c r="AG2403" i="2"/>
  <c r="AO2403" i="2" s="1"/>
  <c r="AG2404" i="2"/>
  <c r="AO2404" i="2" s="1"/>
  <c r="AG2405" i="2"/>
  <c r="AO2405" i="2" s="1"/>
  <c r="AG2406" i="2"/>
  <c r="AO2406" i="2" s="1"/>
  <c r="AG2407" i="2"/>
  <c r="AO2407" i="2" s="1"/>
  <c r="AG2408" i="2"/>
  <c r="AO2408" i="2" s="1"/>
  <c r="AG2409" i="2"/>
  <c r="AO2409" i="2" s="1"/>
  <c r="AG2410" i="2"/>
  <c r="AO2410" i="2" s="1"/>
  <c r="AG2411" i="2"/>
  <c r="AO2411" i="2" s="1"/>
  <c r="AG2412" i="2"/>
  <c r="AO2412" i="2" s="1"/>
  <c r="AG2413" i="2"/>
  <c r="AO2413" i="2" s="1"/>
  <c r="AG2414" i="2"/>
  <c r="AO2414" i="2" s="1"/>
  <c r="AG2415" i="2"/>
  <c r="AO2415" i="2" s="1"/>
  <c r="AG2416" i="2"/>
  <c r="AO2416" i="2" s="1"/>
  <c r="AG2417" i="2"/>
  <c r="AO2417" i="2" s="1"/>
  <c r="AG2418" i="2"/>
  <c r="AO2418" i="2" s="1"/>
  <c r="AG2419" i="2"/>
  <c r="AO2419" i="2" s="1"/>
  <c r="AG2420" i="2"/>
  <c r="AO2420" i="2" s="1"/>
  <c r="AG2421" i="2"/>
  <c r="AO2421" i="2" s="1"/>
  <c r="AG2422" i="2"/>
  <c r="AO2422" i="2" s="1"/>
  <c r="AG2423" i="2"/>
  <c r="AO2423" i="2" s="1"/>
  <c r="AG2424" i="2"/>
  <c r="AO2424" i="2" s="1"/>
  <c r="AG2425" i="2"/>
  <c r="AO2425" i="2" s="1"/>
  <c r="AG2426" i="2"/>
  <c r="AO2426" i="2" s="1"/>
  <c r="AG2427" i="2"/>
  <c r="AO2427" i="2" s="1"/>
  <c r="AH160" i="2"/>
  <c r="AH216" i="2"/>
  <c r="AP216" i="2" s="1"/>
  <c r="AH217" i="2"/>
  <c r="AP217" i="2" s="1"/>
  <c r="AH218" i="2"/>
  <c r="AP218" i="2" s="1"/>
  <c r="AH221" i="2"/>
  <c r="AP221" i="2" s="1"/>
  <c r="AH226" i="2"/>
  <c r="AP226" i="2" s="1"/>
  <c r="AH230" i="2"/>
  <c r="AP230" i="2" s="1"/>
  <c r="AH233" i="2"/>
  <c r="AP233" i="2" s="1"/>
  <c r="AH234" i="2"/>
  <c r="AP234" i="2" s="1"/>
  <c r="AQ234" i="2" s="1"/>
  <c r="AH240" i="2"/>
  <c r="AP240" i="2" s="1"/>
  <c r="AH241" i="2"/>
  <c r="AP241" i="2" s="1"/>
  <c r="AH242" i="2"/>
  <c r="AP242" i="2" s="1"/>
  <c r="AH243" i="2"/>
  <c r="AP243" i="2" s="1"/>
  <c r="AH244" i="2"/>
  <c r="AP244" i="2" s="1"/>
  <c r="AH245" i="2"/>
  <c r="AP245" i="2" s="1"/>
  <c r="AH246" i="2"/>
  <c r="AP246" i="2" s="1"/>
  <c r="AH247" i="2"/>
  <c r="AP247" i="2" s="1"/>
  <c r="AH248" i="2"/>
  <c r="AP248" i="2" s="1"/>
  <c r="AH249" i="2"/>
  <c r="AP249" i="2" s="1"/>
  <c r="AH250" i="2"/>
  <c r="AP250" i="2" s="1"/>
  <c r="AH251" i="2"/>
  <c r="AP251" i="2" s="1"/>
  <c r="AH252" i="2"/>
  <c r="AP252" i="2" s="1"/>
  <c r="AH253" i="2"/>
  <c r="AP253" i="2" s="1"/>
  <c r="AH254" i="2"/>
  <c r="AP254" i="2" s="1"/>
  <c r="AH255" i="2"/>
  <c r="AP255" i="2" s="1"/>
  <c r="AH256" i="2"/>
  <c r="AP256" i="2" s="1"/>
  <c r="AH257" i="2"/>
  <c r="AP257" i="2" s="1"/>
  <c r="AH258" i="2"/>
  <c r="AP258" i="2" s="1"/>
  <c r="AH259" i="2"/>
  <c r="AP259" i="2" s="1"/>
  <c r="AH260" i="2"/>
  <c r="AP260" i="2" s="1"/>
  <c r="AH261" i="2"/>
  <c r="AP261" i="2" s="1"/>
  <c r="AH262" i="2"/>
  <c r="AP262" i="2" s="1"/>
  <c r="AH263" i="2"/>
  <c r="AP263" i="2" s="1"/>
  <c r="AH264" i="2"/>
  <c r="AP264" i="2" s="1"/>
  <c r="AH265" i="2"/>
  <c r="AP265" i="2" s="1"/>
  <c r="AH266" i="2"/>
  <c r="AP266" i="2" s="1"/>
  <c r="AH267" i="2"/>
  <c r="AP267" i="2" s="1"/>
  <c r="AH268" i="2"/>
  <c r="AP268" i="2" s="1"/>
  <c r="AH269" i="2"/>
  <c r="AP269" i="2" s="1"/>
  <c r="AH270" i="2"/>
  <c r="AP270" i="2" s="1"/>
  <c r="AH271" i="2"/>
  <c r="AP271" i="2" s="1"/>
  <c r="AH272" i="2"/>
  <c r="AP272" i="2" s="1"/>
  <c r="AH273" i="2"/>
  <c r="AP273" i="2" s="1"/>
  <c r="AH274" i="2"/>
  <c r="AP274" i="2" s="1"/>
  <c r="AH275" i="2"/>
  <c r="AP275" i="2" s="1"/>
  <c r="AH276" i="2"/>
  <c r="AP276" i="2" s="1"/>
  <c r="AH277" i="2"/>
  <c r="AP277" i="2" s="1"/>
  <c r="AH278" i="2"/>
  <c r="AP278" i="2" s="1"/>
  <c r="AH279" i="2"/>
  <c r="AP279" i="2" s="1"/>
  <c r="AH280" i="2"/>
  <c r="AP280" i="2" s="1"/>
  <c r="AH281" i="2"/>
  <c r="AP281" i="2" s="1"/>
  <c r="AH282" i="2"/>
  <c r="AP282" i="2" s="1"/>
  <c r="AH283" i="2"/>
  <c r="AP283" i="2" s="1"/>
  <c r="AH284" i="2"/>
  <c r="AP284" i="2" s="1"/>
  <c r="AH285" i="2"/>
  <c r="AP285" i="2" s="1"/>
  <c r="AH286" i="2"/>
  <c r="AP286" i="2" s="1"/>
  <c r="AH287" i="2"/>
  <c r="AP287" i="2" s="1"/>
  <c r="AH288" i="2"/>
  <c r="AP288" i="2" s="1"/>
  <c r="AH289" i="2"/>
  <c r="AP289" i="2" s="1"/>
  <c r="AH290" i="2"/>
  <c r="AP290" i="2" s="1"/>
  <c r="AH291" i="2"/>
  <c r="AP291" i="2" s="1"/>
  <c r="AH292" i="2"/>
  <c r="AP292" i="2" s="1"/>
  <c r="AH293" i="2"/>
  <c r="AP293" i="2" s="1"/>
  <c r="AH294" i="2"/>
  <c r="AP294" i="2" s="1"/>
  <c r="AH295" i="2"/>
  <c r="AP295" i="2" s="1"/>
  <c r="AH296" i="2"/>
  <c r="AP296" i="2" s="1"/>
  <c r="AH297" i="2"/>
  <c r="AP297" i="2" s="1"/>
  <c r="AH298" i="2"/>
  <c r="AP298" i="2" s="1"/>
  <c r="AH299" i="2"/>
  <c r="AP299" i="2" s="1"/>
  <c r="AH300" i="2"/>
  <c r="AP300" i="2" s="1"/>
  <c r="AH301" i="2"/>
  <c r="AP301" i="2" s="1"/>
  <c r="AH302" i="2"/>
  <c r="AP302" i="2" s="1"/>
  <c r="AH303" i="2"/>
  <c r="AP303" i="2" s="1"/>
  <c r="AH304" i="2"/>
  <c r="AP304" i="2" s="1"/>
  <c r="AH305" i="2"/>
  <c r="AP305" i="2" s="1"/>
  <c r="AH306" i="2"/>
  <c r="AP306" i="2" s="1"/>
  <c r="AH307" i="2"/>
  <c r="AP307" i="2" s="1"/>
  <c r="AH308" i="2"/>
  <c r="AP308" i="2" s="1"/>
  <c r="AH309" i="2"/>
  <c r="AP309" i="2" s="1"/>
  <c r="AH310" i="2"/>
  <c r="AP310" i="2" s="1"/>
  <c r="AH311" i="2"/>
  <c r="AP311" i="2" s="1"/>
  <c r="AH312" i="2"/>
  <c r="AP312" i="2" s="1"/>
  <c r="AH313" i="2"/>
  <c r="AP313" i="2" s="1"/>
  <c r="AH314" i="2"/>
  <c r="AP314" i="2" s="1"/>
  <c r="AH315" i="2"/>
  <c r="AP315" i="2" s="1"/>
  <c r="AH316" i="2"/>
  <c r="AP316" i="2" s="1"/>
  <c r="AH317" i="2"/>
  <c r="AP317" i="2" s="1"/>
  <c r="AH318" i="2"/>
  <c r="AP318" i="2" s="1"/>
  <c r="AH319" i="2"/>
  <c r="AP319" i="2" s="1"/>
  <c r="AH320" i="2"/>
  <c r="AP320" i="2" s="1"/>
  <c r="AH321" i="2"/>
  <c r="AP321" i="2" s="1"/>
  <c r="AH322" i="2"/>
  <c r="AP322" i="2" s="1"/>
  <c r="AH323" i="2"/>
  <c r="AP323" i="2" s="1"/>
  <c r="AH324" i="2"/>
  <c r="AP324" i="2" s="1"/>
  <c r="AH325" i="2"/>
  <c r="AP325" i="2" s="1"/>
  <c r="AH326" i="2"/>
  <c r="AP326" i="2" s="1"/>
  <c r="AH327" i="2"/>
  <c r="AP327" i="2" s="1"/>
  <c r="AH328" i="2"/>
  <c r="AP328" i="2" s="1"/>
  <c r="AH329" i="2"/>
  <c r="AP329" i="2" s="1"/>
  <c r="AH330" i="2"/>
  <c r="AP330" i="2" s="1"/>
  <c r="AH331" i="2"/>
  <c r="AP331" i="2" s="1"/>
  <c r="AH332" i="2"/>
  <c r="AP332" i="2" s="1"/>
  <c r="AH333" i="2"/>
  <c r="AP333" i="2" s="1"/>
  <c r="AH334" i="2"/>
  <c r="AP334" i="2" s="1"/>
  <c r="AH335" i="2"/>
  <c r="AP335" i="2" s="1"/>
  <c r="AH336" i="2"/>
  <c r="AP336" i="2" s="1"/>
  <c r="AH337" i="2"/>
  <c r="AP337" i="2" s="1"/>
  <c r="AH338" i="2"/>
  <c r="AP338" i="2" s="1"/>
  <c r="AH339" i="2"/>
  <c r="AP339" i="2" s="1"/>
  <c r="AH340" i="2"/>
  <c r="AP340" i="2" s="1"/>
  <c r="AH341" i="2"/>
  <c r="AP341" i="2" s="1"/>
  <c r="AH342" i="2"/>
  <c r="AP342" i="2" s="1"/>
  <c r="AH343" i="2"/>
  <c r="AP343" i="2" s="1"/>
  <c r="AH344" i="2"/>
  <c r="AP344" i="2" s="1"/>
  <c r="AH345" i="2"/>
  <c r="AP345" i="2" s="1"/>
  <c r="AH346" i="2"/>
  <c r="AP346" i="2" s="1"/>
  <c r="AH347" i="2"/>
  <c r="AP347" i="2" s="1"/>
  <c r="AH348" i="2"/>
  <c r="AP348" i="2" s="1"/>
  <c r="AH349" i="2"/>
  <c r="AP349" i="2" s="1"/>
  <c r="AH350" i="2"/>
  <c r="AP350" i="2" s="1"/>
  <c r="AH351" i="2"/>
  <c r="AP351" i="2" s="1"/>
  <c r="AH352" i="2"/>
  <c r="AP352" i="2" s="1"/>
  <c r="AH353" i="2"/>
  <c r="AP353" i="2" s="1"/>
  <c r="AH354" i="2"/>
  <c r="AP354" i="2" s="1"/>
  <c r="AH355" i="2"/>
  <c r="AP355" i="2" s="1"/>
  <c r="AH356" i="2"/>
  <c r="AP356" i="2" s="1"/>
  <c r="AH357" i="2"/>
  <c r="AP357" i="2" s="1"/>
  <c r="AH358" i="2"/>
  <c r="AP358" i="2" s="1"/>
  <c r="AH359" i="2"/>
  <c r="AP359" i="2" s="1"/>
  <c r="AH360" i="2"/>
  <c r="AP360" i="2" s="1"/>
  <c r="AH361" i="2"/>
  <c r="AP361" i="2" s="1"/>
  <c r="AH362" i="2"/>
  <c r="AP362" i="2" s="1"/>
  <c r="AH363" i="2"/>
  <c r="AP363" i="2" s="1"/>
  <c r="AH364" i="2"/>
  <c r="AP364" i="2" s="1"/>
  <c r="AH365" i="2"/>
  <c r="AP365" i="2" s="1"/>
  <c r="AH366" i="2"/>
  <c r="AP366" i="2" s="1"/>
  <c r="AH367" i="2"/>
  <c r="AP367" i="2" s="1"/>
  <c r="AH368" i="2"/>
  <c r="AP368" i="2" s="1"/>
  <c r="AH369" i="2"/>
  <c r="AP369" i="2" s="1"/>
  <c r="AH370" i="2"/>
  <c r="AP370" i="2" s="1"/>
  <c r="AH371" i="2"/>
  <c r="AP371" i="2" s="1"/>
  <c r="AH372" i="2"/>
  <c r="AP372" i="2" s="1"/>
  <c r="AH373" i="2"/>
  <c r="AP373" i="2" s="1"/>
  <c r="AH374" i="2"/>
  <c r="AP374" i="2" s="1"/>
  <c r="AH375" i="2"/>
  <c r="AP375" i="2" s="1"/>
  <c r="AH376" i="2"/>
  <c r="AP376" i="2" s="1"/>
  <c r="AH377" i="2"/>
  <c r="AP377" i="2" s="1"/>
  <c r="AH378" i="2"/>
  <c r="AP378" i="2" s="1"/>
  <c r="AH379" i="2"/>
  <c r="AP379" i="2" s="1"/>
  <c r="AH380" i="2"/>
  <c r="AP380" i="2" s="1"/>
  <c r="AH381" i="2"/>
  <c r="AP381" i="2" s="1"/>
  <c r="AH382" i="2"/>
  <c r="AP382" i="2" s="1"/>
  <c r="AH383" i="2"/>
  <c r="AP383" i="2" s="1"/>
  <c r="AH384" i="2"/>
  <c r="AP384" i="2" s="1"/>
  <c r="AH385" i="2"/>
  <c r="AP385" i="2" s="1"/>
  <c r="AH386" i="2"/>
  <c r="AP386" i="2" s="1"/>
  <c r="AH387" i="2"/>
  <c r="AP387" i="2" s="1"/>
  <c r="AH388" i="2"/>
  <c r="AP388" i="2" s="1"/>
  <c r="AH389" i="2"/>
  <c r="AP389" i="2" s="1"/>
  <c r="AH390" i="2"/>
  <c r="AP390" i="2" s="1"/>
  <c r="AH391" i="2"/>
  <c r="AP391" i="2" s="1"/>
  <c r="AH392" i="2"/>
  <c r="AP392" i="2" s="1"/>
  <c r="AH393" i="2"/>
  <c r="AP393" i="2" s="1"/>
  <c r="AH394" i="2"/>
  <c r="AP394" i="2" s="1"/>
  <c r="AH395" i="2"/>
  <c r="AP395" i="2" s="1"/>
  <c r="AH396" i="2"/>
  <c r="AP396" i="2" s="1"/>
  <c r="AH397" i="2"/>
  <c r="AP397" i="2" s="1"/>
  <c r="AH398" i="2"/>
  <c r="AP398" i="2" s="1"/>
  <c r="AH399" i="2"/>
  <c r="AP399" i="2" s="1"/>
  <c r="AH400" i="2"/>
  <c r="AP400" i="2" s="1"/>
  <c r="AH401" i="2"/>
  <c r="AP401" i="2" s="1"/>
  <c r="AH402" i="2"/>
  <c r="AP402" i="2" s="1"/>
  <c r="AH403" i="2"/>
  <c r="AP403" i="2" s="1"/>
  <c r="AH404" i="2"/>
  <c r="AP404" i="2" s="1"/>
  <c r="AH405" i="2"/>
  <c r="AP405" i="2" s="1"/>
  <c r="AH406" i="2"/>
  <c r="AP406" i="2" s="1"/>
  <c r="AH407" i="2"/>
  <c r="AP407" i="2" s="1"/>
  <c r="AH408" i="2"/>
  <c r="AP408" i="2" s="1"/>
  <c r="AH409" i="2"/>
  <c r="AP409" i="2" s="1"/>
  <c r="AH410" i="2"/>
  <c r="AP410" i="2" s="1"/>
  <c r="AH411" i="2"/>
  <c r="AP411" i="2" s="1"/>
  <c r="AH412" i="2"/>
  <c r="AP412" i="2" s="1"/>
  <c r="AH413" i="2"/>
  <c r="AP413" i="2" s="1"/>
  <c r="AH414" i="2"/>
  <c r="AP414" i="2" s="1"/>
  <c r="AH415" i="2"/>
  <c r="AP415" i="2" s="1"/>
  <c r="AH416" i="2"/>
  <c r="AP416" i="2" s="1"/>
  <c r="AH417" i="2"/>
  <c r="AP417" i="2" s="1"/>
  <c r="AH418" i="2"/>
  <c r="AP418" i="2" s="1"/>
  <c r="AH419" i="2"/>
  <c r="AP419" i="2" s="1"/>
  <c r="AH420" i="2"/>
  <c r="AP420" i="2" s="1"/>
  <c r="AH421" i="2"/>
  <c r="AP421" i="2" s="1"/>
  <c r="AH422" i="2"/>
  <c r="AP422" i="2" s="1"/>
  <c r="AH423" i="2"/>
  <c r="AP423" i="2" s="1"/>
  <c r="AH424" i="2"/>
  <c r="AP424" i="2" s="1"/>
  <c r="AH425" i="2"/>
  <c r="AP425" i="2" s="1"/>
  <c r="AH426" i="2"/>
  <c r="AP426" i="2" s="1"/>
  <c r="AH427" i="2"/>
  <c r="AP427" i="2" s="1"/>
  <c r="AH428" i="2"/>
  <c r="AP428" i="2" s="1"/>
  <c r="AH429" i="2"/>
  <c r="AP429" i="2" s="1"/>
  <c r="AH430" i="2"/>
  <c r="AP430" i="2" s="1"/>
  <c r="AH431" i="2"/>
  <c r="AP431" i="2" s="1"/>
  <c r="AH432" i="2"/>
  <c r="AP432" i="2" s="1"/>
  <c r="AH433" i="2"/>
  <c r="AP433" i="2" s="1"/>
  <c r="AH434" i="2"/>
  <c r="AP434" i="2" s="1"/>
  <c r="AH435" i="2"/>
  <c r="AP435" i="2" s="1"/>
  <c r="AH436" i="2"/>
  <c r="AP436" i="2" s="1"/>
  <c r="AH437" i="2"/>
  <c r="AP437" i="2" s="1"/>
  <c r="AH438" i="2"/>
  <c r="AP438" i="2" s="1"/>
  <c r="AH439" i="2"/>
  <c r="AP439" i="2" s="1"/>
  <c r="AH440" i="2"/>
  <c r="AP440" i="2" s="1"/>
  <c r="AH441" i="2"/>
  <c r="AP441" i="2" s="1"/>
  <c r="AH442" i="2"/>
  <c r="AP442" i="2" s="1"/>
  <c r="AH443" i="2"/>
  <c r="AP443" i="2" s="1"/>
  <c r="AH444" i="2"/>
  <c r="AP444" i="2" s="1"/>
  <c r="AH445" i="2"/>
  <c r="AP445" i="2" s="1"/>
  <c r="AH446" i="2"/>
  <c r="AP446" i="2" s="1"/>
  <c r="AH447" i="2"/>
  <c r="AP447" i="2" s="1"/>
  <c r="AH448" i="2"/>
  <c r="AP448" i="2" s="1"/>
  <c r="AH449" i="2"/>
  <c r="AP449" i="2" s="1"/>
  <c r="AH450" i="2"/>
  <c r="AP450" i="2" s="1"/>
  <c r="AH451" i="2"/>
  <c r="AP451" i="2" s="1"/>
  <c r="AH452" i="2"/>
  <c r="AP452" i="2" s="1"/>
  <c r="AH453" i="2"/>
  <c r="AP453" i="2" s="1"/>
  <c r="AH454" i="2"/>
  <c r="AP454" i="2" s="1"/>
  <c r="AH455" i="2"/>
  <c r="AP455" i="2" s="1"/>
  <c r="AH456" i="2"/>
  <c r="AP456" i="2" s="1"/>
  <c r="AH457" i="2"/>
  <c r="AP457" i="2" s="1"/>
  <c r="AH458" i="2"/>
  <c r="AP458" i="2" s="1"/>
  <c r="AH459" i="2"/>
  <c r="AP459" i="2" s="1"/>
  <c r="AH460" i="2"/>
  <c r="AP460" i="2" s="1"/>
  <c r="AH461" i="2"/>
  <c r="AP461" i="2" s="1"/>
  <c r="AH462" i="2"/>
  <c r="AP462" i="2" s="1"/>
  <c r="AH463" i="2"/>
  <c r="AP463" i="2" s="1"/>
  <c r="AH464" i="2"/>
  <c r="AP464" i="2" s="1"/>
  <c r="AH465" i="2"/>
  <c r="AP465" i="2" s="1"/>
  <c r="AH466" i="2"/>
  <c r="AP466" i="2" s="1"/>
  <c r="AH467" i="2"/>
  <c r="AP467" i="2" s="1"/>
  <c r="AH468" i="2"/>
  <c r="AP468" i="2" s="1"/>
  <c r="AH469" i="2"/>
  <c r="AP469" i="2" s="1"/>
  <c r="AH470" i="2"/>
  <c r="AP470" i="2" s="1"/>
  <c r="AH471" i="2"/>
  <c r="AP471" i="2" s="1"/>
  <c r="AH472" i="2"/>
  <c r="AP472" i="2" s="1"/>
  <c r="AH473" i="2"/>
  <c r="AP473" i="2" s="1"/>
  <c r="AH474" i="2"/>
  <c r="AP474" i="2" s="1"/>
  <c r="AH475" i="2"/>
  <c r="AP475" i="2" s="1"/>
  <c r="AH476" i="2"/>
  <c r="AP476" i="2" s="1"/>
  <c r="AH477" i="2"/>
  <c r="AP477" i="2" s="1"/>
  <c r="AH478" i="2"/>
  <c r="AP478" i="2" s="1"/>
  <c r="AH479" i="2"/>
  <c r="AP479" i="2" s="1"/>
  <c r="AH480" i="2"/>
  <c r="AP480" i="2" s="1"/>
  <c r="AH481" i="2"/>
  <c r="AP481" i="2" s="1"/>
  <c r="AH482" i="2"/>
  <c r="AP482" i="2" s="1"/>
  <c r="AH483" i="2"/>
  <c r="AP483" i="2" s="1"/>
  <c r="AH484" i="2"/>
  <c r="AP484" i="2" s="1"/>
  <c r="AH485" i="2"/>
  <c r="AP485" i="2" s="1"/>
  <c r="AH486" i="2"/>
  <c r="AP486" i="2" s="1"/>
  <c r="AH487" i="2"/>
  <c r="AP487" i="2" s="1"/>
  <c r="AH488" i="2"/>
  <c r="AP488" i="2" s="1"/>
  <c r="AH489" i="2"/>
  <c r="AP489" i="2" s="1"/>
  <c r="AH490" i="2"/>
  <c r="AP490" i="2" s="1"/>
  <c r="AH491" i="2"/>
  <c r="AP491" i="2" s="1"/>
  <c r="AH492" i="2"/>
  <c r="AP492" i="2" s="1"/>
  <c r="AH493" i="2"/>
  <c r="AP493" i="2" s="1"/>
  <c r="AH494" i="2"/>
  <c r="AP494" i="2" s="1"/>
  <c r="AH495" i="2"/>
  <c r="AP495" i="2" s="1"/>
  <c r="AH496" i="2"/>
  <c r="AP496" i="2" s="1"/>
  <c r="AH497" i="2"/>
  <c r="AP497" i="2" s="1"/>
  <c r="AH498" i="2"/>
  <c r="AP498" i="2" s="1"/>
  <c r="AH499" i="2"/>
  <c r="AP499" i="2" s="1"/>
  <c r="AH500" i="2"/>
  <c r="AP500" i="2" s="1"/>
  <c r="AH501" i="2"/>
  <c r="AP501" i="2" s="1"/>
  <c r="AH502" i="2"/>
  <c r="AP502" i="2" s="1"/>
  <c r="AH503" i="2"/>
  <c r="AP503" i="2" s="1"/>
  <c r="AH504" i="2"/>
  <c r="AP504" i="2" s="1"/>
  <c r="AH505" i="2"/>
  <c r="AP505" i="2" s="1"/>
  <c r="AH506" i="2"/>
  <c r="AP506" i="2" s="1"/>
  <c r="AH507" i="2"/>
  <c r="AP507" i="2" s="1"/>
  <c r="AH508" i="2"/>
  <c r="AP508" i="2" s="1"/>
  <c r="AH509" i="2"/>
  <c r="AP509" i="2" s="1"/>
  <c r="AH510" i="2"/>
  <c r="AP510" i="2" s="1"/>
  <c r="AH511" i="2"/>
  <c r="AP511" i="2" s="1"/>
  <c r="AH512" i="2"/>
  <c r="AP512" i="2" s="1"/>
  <c r="AH513" i="2"/>
  <c r="AP513" i="2" s="1"/>
  <c r="AH514" i="2"/>
  <c r="AP514" i="2" s="1"/>
  <c r="AH515" i="2"/>
  <c r="AP515" i="2" s="1"/>
  <c r="AH516" i="2"/>
  <c r="AP516" i="2" s="1"/>
  <c r="AH517" i="2"/>
  <c r="AP517" i="2" s="1"/>
  <c r="AH518" i="2"/>
  <c r="AP518" i="2" s="1"/>
  <c r="AH519" i="2"/>
  <c r="AP519" i="2" s="1"/>
  <c r="AH520" i="2"/>
  <c r="AP520" i="2" s="1"/>
  <c r="AH521" i="2"/>
  <c r="AP521" i="2" s="1"/>
  <c r="AH522" i="2"/>
  <c r="AP522" i="2" s="1"/>
  <c r="AH523" i="2"/>
  <c r="AP523" i="2" s="1"/>
  <c r="AH524" i="2"/>
  <c r="AP524" i="2" s="1"/>
  <c r="AH525" i="2"/>
  <c r="AP525" i="2" s="1"/>
  <c r="AH526" i="2"/>
  <c r="AP526" i="2" s="1"/>
  <c r="AH527" i="2"/>
  <c r="AP527" i="2" s="1"/>
  <c r="AH528" i="2"/>
  <c r="AP528" i="2" s="1"/>
  <c r="AH529" i="2"/>
  <c r="AP529" i="2" s="1"/>
  <c r="AH530" i="2"/>
  <c r="AP530" i="2" s="1"/>
  <c r="AH531" i="2"/>
  <c r="AP531" i="2" s="1"/>
  <c r="AH532" i="2"/>
  <c r="AP532" i="2" s="1"/>
  <c r="AH533" i="2"/>
  <c r="AP533" i="2" s="1"/>
  <c r="AH534" i="2"/>
  <c r="AP534" i="2" s="1"/>
  <c r="AH535" i="2"/>
  <c r="AP535" i="2" s="1"/>
  <c r="AH536" i="2"/>
  <c r="AP536" i="2" s="1"/>
  <c r="AH537" i="2"/>
  <c r="AP537" i="2" s="1"/>
  <c r="AH538" i="2"/>
  <c r="AP538" i="2" s="1"/>
  <c r="AH539" i="2"/>
  <c r="AP539" i="2" s="1"/>
  <c r="AH540" i="2"/>
  <c r="AP540" i="2" s="1"/>
  <c r="AH541" i="2"/>
  <c r="AP541" i="2" s="1"/>
  <c r="AH542" i="2"/>
  <c r="AP542" i="2" s="1"/>
  <c r="AH543" i="2"/>
  <c r="AP543" i="2" s="1"/>
  <c r="AH544" i="2"/>
  <c r="AP544" i="2" s="1"/>
  <c r="AH545" i="2"/>
  <c r="AP545" i="2" s="1"/>
  <c r="AH546" i="2"/>
  <c r="AP546" i="2" s="1"/>
  <c r="AH547" i="2"/>
  <c r="AP547" i="2" s="1"/>
  <c r="AH548" i="2"/>
  <c r="AP548" i="2" s="1"/>
  <c r="AH549" i="2"/>
  <c r="AP549" i="2" s="1"/>
  <c r="AH550" i="2"/>
  <c r="AP550" i="2" s="1"/>
  <c r="AH551" i="2"/>
  <c r="AP551" i="2" s="1"/>
  <c r="AH552" i="2"/>
  <c r="AP552" i="2" s="1"/>
  <c r="AH553" i="2"/>
  <c r="AP553" i="2" s="1"/>
  <c r="AH554" i="2"/>
  <c r="AP554" i="2" s="1"/>
  <c r="AH555" i="2"/>
  <c r="AP555" i="2" s="1"/>
  <c r="AH556" i="2"/>
  <c r="AP556" i="2" s="1"/>
  <c r="AH557" i="2"/>
  <c r="AP557" i="2" s="1"/>
  <c r="AH558" i="2"/>
  <c r="AP558" i="2" s="1"/>
  <c r="AH559" i="2"/>
  <c r="AP559" i="2" s="1"/>
  <c r="AH560" i="2"/>
  <c r="AP560" i="2" s="1"/>
  <c r="AH561" i="2"/>
  <c r="AP561" i="2" s="1"/>
  <c r="AH562" i="2"/>
  <c r="AP562" i="2" s="1"/>
  <c r="AH563" i="2"/>
  <c r="AP563" i="2" s="1"/>
  <c r="AH564" i="2"/>
  <c r="AP564" i="2" s="1"/>
  <c r="AH565" i="2"/>
  <c r="AP565" i="2" s="1"/>
  <c r="AH566" i="2"/>
  <c r="AP566" i="2" s="1"/>
  <c r="AH567" i="2"/>
  <c r="AP567" i="2" s="1"/>
  <c r="AH568" i="2"/>
  <c r="AP568" i="2" s="1"/>
  <c r="AH569" i="2"/>
  <c r="AP569" i="2" s="1"/>
  <c r="AH570" i="2"/>
  <c r="AP570" i="2" s="1"/>
  <c r="AH571" i="2"/>
  <c r="AP571" i="2" s="1"/>
  <c r="AH572" i="2"/>
  <c r="AP572" i="2" s="1"/>
  <c r="AH573" i="2"/>
  <c r="AP573" i="2" s="1"/>
  <c r="AH574" i="2"/>
  <c r="AP574" i="2" s="1"/>
  <c r="AH575" i="2"/>
  <c r="AP575" i="2" s="1"/>
  <c r="AH576" i="2"/>
  <c r="AP576" i="2" s="1"/>
  <c r="AH577" i="2"/>
  <c r="AP577" i="2" s="1"/>
  <c r="AH578" i="2"/>
  <c r="AP578" i="2" s="1"/>
  <c r="AH579" i="2"/>
  <c r="AP579" i="2" s="1"/>
  <c r="AH580" i="2"/>
  <c r="AP580" i="2" s="1"/>
  <c r="AH581" i="2"/>
  <c r="AP581" i="2" s="1"/>
  <c r="AH582" i="2"/>
  <c r="AP582" i="2" s="1"/>
  <c r="AH583" i="2"/>
  <c r="AP583" i="2" s="1"/>
  <c r="AH584" i="2"/>
  <c r="AP584" i="2" s="1"/>
  <c r="AH585" i="2"/>
  <c r="AP585" i="2" s="1"/>
  <c r="AH586" i="2"/>
  <c r="AP586" i="2" s="1"/>
  <c r="AH587" i="2"/>
  <c r="AP587" i="2" s="1"/>
  <c r="AH588" i="2"/>
  <c r="AP588" i="2" s="1"/>
  <c r="AH589" i="2"/>
  <c r="AP589" i="2" s="1"/>
  <c r="AH590" i="2"/>
  <c r="AP590" i="2" s="1"/>
  <c r="AH591" i="2"/>
  <c r="AP591" i="2" s="1"/>
  <c r="AH592" i="2"/>
  <c r="AP592" i="2" s="1"/>
  <c r="AH593" i="2"/>
  <c r="AP593" i="2" s="1"/>
  <c r="AH594" i="2"/>
  <c r="AP594" i="2" s="1"/>
  <c r="AH595" i="2"/>
  <c r="AP595" i="2" s="1"/>
  <c r="AH596" i="2"/>
  <c r="AP596" i="2" s="1"/>
  <c r="AH597" i="2"/>
  <c r="AP597" i="2" s="1"/>
  <c r="AH598" i="2"/>
  <c r="AP598" i="2" s="1"/>
  <c r="AH599" i="2"/>
  <c r="AP599" i="2" s="1"/>
  <c r="AH600" i="2"/>
  <c r="AP600" i="2" s="1"/>
  <c r="AH601" i="2"/>
  <c r="AP601" i="2" s="1"/>
  <c r="AH602" i="2"/>
  <c r="AP602" i="2" s="1"/>
  <c r="AH603" i="2"/>
  <c r="AP603" i="2" s="1"/>
  <c r="AH604" i="2"/>
  <c r="AP604" i="2" s="1"/>
  <c r="AH605" i="2"/>
  <c r="AP605" i="2" s="1"/>
  <c r="AH606" i="2"/>
  <c r="AP606" i="2" s="1"/>
  <c r="AH607" i="2"/>
  <c r="AP607" i="2" s="1"/>
  <c r="AH608" i="2"/>
  <c r="AP608" i="2" s="1"/>
  <c r="AH609" i="2"/>
  <c r="AP609" i="2" s="1"/>
  <c r="AH610" i="2"/>
  <c r="AP610" i="2" s="1"/>
  <c r="AH611" i="2"/>
  <c r="AP611" i="2" s="1"/>
  <c r="AH612" i="2"/>
  <c r="AP612" i="2" s="1"/>
  <c r="AH613" i="2"/>
  <c r="AP613" i="2" s="1"/>
  <c r="AH614" i="2"/>
  <c r="AP614" i="2" s="1"/>
  <c r="AH615" i="2"/>
  <c r="AP615" i="2" s="1"/>
  <c r="AH616" i="2"/>
  <c r="AP616" i="2" s="1"/>
  <c r="AH617" i="2"/>
  <c r="AP617" i="2" s="1"/>
  <c r="AH618" i="2"/>
  <c r="AP618" i="2" s="1"/>
  <c r="AH619" i="2"/>
  <c r="AP619" i="2" s="1"/>
  <c r="AH620" i="2"/>
  <c r="AP620" i="2" s="1"/>
  <c r="AH621" i="2"/>
  <c r="AP621" i="2" s="1"/>
  <c r="AH622" i="2"/>
  <c r="AP622" i="2" s="1"/>
  <c r="AH623" i="2"/>
  <c r="AP623" i="2" s="1"/>
  <c r="AH624" i="2"/>
  <c r="AP624" i="2" s="1"/>
  <c r="AH625" i="2"/>
  <c r="AP625" i="2" s="1"/>
  <c r="AH626" i="2"/>
  <c r="AP626" i="2" s="1"/>
  <c r="AH627" i="2"/>
  <c r="AP627" i="2" s="1"/>
  <c r="AH628" i="2"/>
  <c r="AP628" i="2" s="1"/>
  <c r="AH629" i="2"/>
  <c r="AP629" i="2" s="1"/>
  <c r="AH630" i="2"/>
  <c r="AP630" i="2" s="1"/>
  <c r="AH631" i="2"/>
  <c r="AP631" i="2" s="1"/>
  <c r="AH632" i="2"/>
  <c r="AP632" i="2" s="1"/>
  <c r="AH633" i="2"/>
  <c r="AP633" i="2" s="1"/>
  <c r="AH634" i="2"/>
  <c r="AP634" i="2" s="1"/>
  <c r="AH635" i="2"/>
  <c r="AP635" i="2" s="1"/>
  <c r="AH636" i="2"/>
  <c r="AP636" i="2" s="1"/>
  <c r="AH637" i="2"/>
  <c r="AP637" i="2" s="1"/>
  <c r="AH638" i="2"/>
  <c r="AP638" i="2" s="1"/>
  <c r="AH639" i="2"/>
  <c r="AP639" i="2" s="1"/>
  <c r="AH640" i="2"/>
  <c r="AP640" i="2" s="1"/>
  <c r="AH641" i="2"/>
  <c r="AP641" i="2" s="1"/>
  <c r="AH642" i="2"/>
  <c r="AP642" i="2" s="1"/>
  <c r="AH643" i="2"/>
  <c r="AP643" i="2" s="1"/>
  <c r="AH644" i="2"/>
  <c r="AP644" i="2" s="1"/>
  <c r="AH645" i="2"/>
  <c r="AP645" i="2" s="1"/>
  <c r="AH646" i="2"/>
  <c r="AP646" i="2" s="1"/>
  <c r="AH647" i="2"/>
  <c r="AP647" i="2" s="1"/>
  <c r="AH648" i="2"/>
  <c r="AP648" i="2" s="1"/>
  <c r="AH649" i="2"/>
  <c r="AP649" i="2" s="1"/>
  <c r="AH650" i="2"/>
  <c r="AP650" i="2" s="1"/>
  <c r="AH651" i="2"/>
  <c r="AP651" i="2" s="1"/>
  <c r="AH652" i="2"/>
  <c r="AP652" i="2" s="1"/>
  <c r="AH653" i="2"/>
  <c r="AP653" i="2" s="1"/>
  <c r="AH654" i="2"/>
  <c r="AP654" i="2" s="1"/>
  <c r="AH655" i="2"/>
  <c r="AP655" i="2" s="1"/>
  <c r="AH656" i="2"/>
  <c r="AP656" i="2" s="1"/>
  <c r="AH657" i="2"/>
  <c r="AP657" i="2" s="1"/>
  <c r="AH658" i="2"/>
  <c r="AP658" i="2" s="1"/>
  <c r="AH659" i="2"/>
  <c r="AP659" i="2" s="1"/>
  <c r="AH660" i="2"/>
  <c r="AP660" i="2" s="1"/>
  <c r="AH661" i="2"/>
  <c r="AP661" i="2" s="1"/>
  <c r="AH662" i="2"/>
  <c r="AP662" i="2" s="1"/>
  <c r="AH663" i="2"/>
  <c r="AP663" i="2" s="1"/>
  <c r="AH664" i="2"/>
  <c r="AP664" i="2" s="1"/>
  <c r="AH665" i="2"/>
  <c r="AP665" i="2" s="1"/>
  <c r="AH666" i="2"/>
  <c r="AP666" i="2" s="1"/>
  <c r="AH667" i="2"/>
  <c r="AP667" i="2" s="1"/>
  <c r="AH668" i="2"/>
  <c r="AP668" i="2" s="1"/>
  <c r="AH669" i="2"/>
  <c r="AP669" i="2" s="1"/>
  <c r="AH670" i="2"/>
  <c r="AP670" i="2" s="1"/>
  <c r="AH671" i="2"/>
  <c r="AP671" i="2" s="1"/>
  <c r="AH672" i="2"/>
  <c r="AP672" i="2" s="1"/>
  <c r="AH673" i="2"/>
  <c r="AP673" i="2" s="1"/>
  <c r="AH674" i="2"/>
  <c r="AP674" i="2" s="1"/>
  <c r="AH675" i="2"/>
  <c r="AP675" i="2" s="1"/>
  <c r="AH676" i="2"/>
  <c r="AP676" i="2" s="1"/>
  <c r="AH677" i="2"/>
  <c r="AP677" i="2" s="1"/>
  <c r="AH678" i="2"/>
  <c r="AP678" i="2" s="1"/>
  <c r="AH679" i="2"/>
  <c r="AP679" i="2" s="1"/>
  <c r="AH680" i="2"/>
  <c r="AP680" i="2" s="1"/>
  <c r="AH681" i="2"/>
  <c r="AP681" i="2" s="1"/>
  <c r="AH682" i="2"/>
  <c r="AP682" i="2" s="1"/>
  <c r="AH683" i="2"/>
  <c r="AP683" i="2" s="1"/>
  <c r="AH684" i="2"/>
  <c r="AP684" i="2" s="1"/>
  <c r="AH685" i="2"/>
  <c r="AP685" i="2" s="1"/>
  <c r="AH686" i="2"/>
  <c r="AP686" i="2" s="1"/>
  <c r="AH687" i="2"/>
  <c r="AP687" i="2" s="1"/>
  <c r="AH688" i="2"/>
  <c r="AP688" i="2" s="1"/>
  <c r="AH689" i="2"/>
  <c r="AP689" i="2" s="1"/>
  <c r="AH690" i="2"/>
  <c r="AP690" i="2" s="1"/>
  <c r="AH691" i="2"/>
  <c r="AP691" i="2" s="1"/>
  <c r="AH692" i="2"/>
  <c r="AP692" i="2" s="1"/>
  <c r="AH693" i="2"/>
  <c r="AP693" i="2" s="1"/>
  <c r="AH694" i="2"/>
  <c r="AP694" i="2" s="1"/>
  <c r="AH695" i="2"/>
  <c r="AP695" i="2" s="1"/>
  <c r="AH696" i="2"/>
  <c r="AP696" i="2" s="1"/>
  <c r="AH697" i="2"/>
  <c r="AP697" i="2" s="1"/>
  <c r="AH698" i="2"/>
  <c r="AP698" i="2" s="1"/>
  <c r="AH699" i="2"/>
  <c r="AP699" i="2" s="1"/>
  <c r="AH700" i="2"/>
  <c r="AP700" i="2" s="1"/>
  <c r="AH701" i="2"/>
  <c r="AP701" i="2" s="1"/>
  <c r="AH702" i="2"/>
  <c r="AP702" i="2" s="1"/>
  <c r="AH703" i="2"/>
  <c r="AP703" i="2" s="1"/>
  <c r="AH704" i="2"/>
  <c r="AP704" i="2" s="1"/>
  <c r="AH705" i="2"/>
  <c r="AP705" i="2" s="1"/>
  <c r="AH706" i="2"/>
  <c r="AP706" i="2" s="1"/>
  <c r="AH707" i="2"/>
  <c r="AP707" i="2" s="1"/>
  <c r="AH708" i="2"/>
  <c r="AP708" i="2" s="1"/>
  <c r="AH709" i="2"/>
  <c r="AP709" i="2" s="1"/>
  <c r="AH710" i="2"/>
  <c r="AP710" i="2" s="1"/>
  <c r="AH711" i="2"/>
  <c r="AP711" i="2" s="1"/>
  <c r="AH712" i="2"/>
  <c r="AP712" i="2" s="1"/>
  <c r="AH713" i="2"/>
  <c r="AP713" i="2" s="1"/>
  <c r="AH714" i="2"/>
  <c r="AP714" i="2" s="1"/>
  <c r="AH715" i="2"/>
  <c r="AP715" i="2" s="1"/>
  <c r="AH716" i="2"/>
  <c r="AP716" i="2" s="1"/>
  <c r="AH717" i="2"/>
  <c r="AP717" i="2" s="1"/>
  <c r="AH718" i="2"/>
  <c r="AP718" i="2" s="1"/>
  <c r="AH719" i="2"/>
  <c r="AP719" i="2" s="1"/>
  <c r="AH720" i="2"/>
  <c r="AP720" i="2" s="1"/>
  <c r="AH721" i="2"/>
  <c r="AP721" i="2" s="1"/>
  <c r="AH722" i="2"/>
  <c r="AP722" i="2" s="1"/>
  <c r="AH723" i="2"/>
  <c r="AP723" i="2" s="1"/>
  <c r="AH724" i="2"/>
  <c r="AP724" i="2" s="1"/>
  <c r="AH725" i="2"/>
  <c r="AP725" i="2" s="1"/>
  <c r="AH726" i="2"/>
  <c r="AP726" i="2" s="1"/>
  <c r="AH727" i="2"/>
  <c r="AP727" i="2" s="1"/>
  <c r="AH728" i="2"/>
  <c r="AP728" i="2" s="1"/>
  <c r="AH729" i="2"/>
  <c r="AP729" i="2" s="1"/>
  <c r="AH730" i="2"/>
  <c r="AP730" i="2" s="1"/>
  <c r="AH731" i="2"/>
  <c r="AP731" i="2" s="1"/>
  <c r="AH732" i="2"/>
  <c r="AP732" i="2" s="1"/>
  <c r="AH733" i="2"/>
  <c r="AP733" i="2" s="1"/>
  <c r="AH734" i="2"/>
  <c r="AP734" i="2" s="1"/>
  <c r="AH735" i="2"/>
  <c r="AP735" i="2" s="1"/>
  <c r="AH736" i="2"/>
  <c r="AP736" i="2" s="1"/>
  <c r="AH737" i="2"/>
  <c r="AP737" i="2" s="1"/>
  <c r="AH738" i="2"/>
  <c r="AP738" i="2" s="1"/>
  <c r="AH739" i="2"/>
  <c r="AP739" i="2" s="1"/>
  <c r="AH740" i="2"/>
  <c r="AP740" i="2" s="1"/>
  <c r="AH741" i="2"/>
  <c r="AP741" i="2" s="1"/>
  <c r="AH742" i="2"/>
  <c r="AP742" i="2" s="1"/>
  <c r="AH743" i="2"/>
  <c r="AP743" i="2" s="1"/>
  <c r="AH744" i="2"/>
  <c r="AP744" i="2" s="1"/>
  <c r="AH745" i="2"/>
  <c r="AP745" i="2" s="1"/>
  <c r="AH746" i="2"/>
  <c r="AP746" i="2" s="1"/>
  <c r="AH747" i="2"/>
  <c r="AP747" i="2" s="1"/>
  <c r="AH748" i="2"/>
  <c r="AP748" i="2" s="1"/>
  <c r="AH749" i="2"/>
  <c r="AP749" i="2" s="1"/>
  <c r="AH750" i="2"/>
  <c r="AP750" i="2" s="1"/>
  <c r="AH751" i="2"/>
  <c r="AP751" i="2" s="1"/>
  <c r="AH752" i="2"/>
  <c r="AP752" i="2" s="1"/>
  <c r="AH753" i="2"/>
  <c r="AP753" i="2" s="1"/>
  <c r="AH754" i="2"/>
  <c r="AP754" i="2" s="1"/>
  <c r="AH755" i="2"/>
  <c r="AP755" i="2" s="1"/>
  <c r="AH756" i="2"/>
  <c r="AP756" i="2" s="1"/>
  <c r="AH757" i="2"/>
  <c r="AP757" i="2" s="1"/>
  <c r="AH758" i="2"/>
  <c r="AP758" i="2" s="1"/>
  <c r="AH759" i="2"/>
  <c r="AP759" i="2" s="1"/>
  <c r="AH760" i="2"/>
  <c r="AP760" i="2" s="1"/>
  <c r="AH761" i="2"/>
  <c r="AP761" i="2" s="1"/>
  <c r="AH762" i="2"/>
  <c r="AP762" i="2" s="1"/>
  <c r="AH763" i="2"/>
  <c r="AP763" i="2" s="1"/>
  <c r="AH764" i="2"/>
  <c r="AP764" i="2" s="1"/>
  <c r="AH765" i="2"/>
  <c r="AP765" i="2" s="1"/>
  <c r="AH766" i="2"/>
  <c r="AP766" i="2" s="1"/>
  <c r="AH767" i="2"/>
  <c r="AP767" i="2" s="1"/>
  <c r="AH768" i="2"/>
  <c r="AP768" i="2" s="1"/>
  <c r="AH769" i="2"/>
  <c r="AP769" i="2" s="1"/>
  <c r="AH770" i="2"/>
  <c r="AP770" i="2" s="1"/>
  <c r="AH771" i="2"/>
  <c r="AP771" i="2" s="1"/>
  <c r="AH772" i="2"/>
  <c r="AP772" i="2" s="1"/>
  <c r="AH773" i="2"/>
  <c r="AP773" i="2" s="1"/>
  <c r="AH774" i="2"/>
  <c r="AP774" i="2" s="1"/>
  <c r="AH775" i="2"/>
  <c r="AP775" i="2" s="1"/>
  <c r="AH776" i="2"/>
  <c r="AP776" i="2" s="1"/>
  <c r="AH777" i="2"/>
  <c r="AP777" i="2" s="1"/>
  <c r="AH778" i="2"/>
  <c r="AP778" i="2" s="1"/>
  <c r="AH779" i="2"/>
  <c r="AP779" i="2" s="1"/>
  <c r="AH780" i="2"/>
  <c r="AP780" i="2" s="1"/>
  <c r="AH781" i="2"/>
  <c r="AP781" i="2" s="1"/>
  <c r="AH782" i="2"/>
  <c r="AP782" i="2" s="1"/>
  <c r="AH783" i="2"/>
  <c r="AP783" i="2" s="1"/>
  <c r="AH784" i="2"/>
  <c r="AP784" i="2" s="1"/>
  <c r="AH785" i="2"/>
  <c r="AP785" i="2" s="1"/>
  <c r="AH786" i="2"/>
  <c r="AP786" i="2" s="1"/>
  <c r="AH787" i="2"/>
  <c r="AP787" i="2" s="1"/>
  <c r="AH788" i="2"/>
  <c r="AP788" i="2" s="1"/>
  <c r="AH789" i="2"/>
  <c r="AP789" i="2" s="1"/>
  <c r="AH790" i="2"/>
  <c r="AP790" i="2" s="1"/>
  <c r="AH791" i="2"/>
  <c r="AP791" i="2" s="1"/>
  <c r="AH792" i="2"/>
  <c r="AP792" i="2" s="1"/>
  <c r="AH793" i="2"/>
  <c r="AP793" i="2" s="1"/>
  <c r="AH794" i="2"/>
  <c r="AP794" i="2" s="1"/>
  <c r="AH795" i="2"/>
  <c r="AP795" i="2" s="1"/>
  <c r="AH796" i="2"/>
  <c r="AP796" i="2" s="1"/>
  <c r="AH797" i="2"/>
  <c r="AP797" i="2" s="1"/>
  <c r="AH798" i="2"/>
  <c r="AP798" i="2" s="1"/>
  <c r="AH799" i="2"/>
  <c r="AP799" i="2" s="1"/>
  <c r="AH800" i="2"/>
  <c r="AP800" i="2" s="1"/>
  <c r="AH801" i="2"/>
  <c r="AP801" i="2" s="1"/>
  <c r="AH802" i="2"/>
  <c r="AP802" i="2" s="1"/>
  <c r="AH803" i="2"/>
  <c r="AP803" i="2" s="1"/>
  <c r="AH804" i="2"/>
  <c r="AP804" i="2" s="1"/>
  <c r="AH805" i="2"/>
  <c r="AP805" i="2" s="1"/>
  <c r="AH806" i="2"/>
  <c r="AP806" i="2" s="1"/>
  <c r="AH807" i="2"/>
  <c r="AP807" i="2" s="1"/>
  <c r="AH808" i="2"/>
  <c r="AP808" i="2" s="1"/>
  <c r="AH809" i="2"/>
  <c r="AP809" i="2" s="1"/>
  <c r="AH810" i="2"/>
  <c r="AP810" i="2" s="1"/>
  <c r="AH811" i="2"/>
  <c r="AP811" i="2" s="1"/>
  <c r="AH812" i="2"/>
  <c r="AP812" i="2" s="1"/>
  <c r="AH813" i="2"/>
  <c r="AP813" i="2" s="1"/>
  <c r="AH814" i="2"/>
  <c r="AP814" i="2" s="1"/>
  <c r="AH815" i="2"/>
  <c r="AP815" i="2" s="1"/>
  <c r="AH816" i="2"/>
  <c r="AP816" i="2" s="1"/>
  <c r="AH817" i="2"/>
  <c r="AP817" i="2" s="1"/>
  <c r="AH818" i="2"/>
  <c r="AP818" i="2" s="1"/>
  <c r="AH819" i="2"/>
  <c r="AP819" i="2" s="1"/>
  <c r="AH820" i="2"/>
  <c r="AP820" i="2" s="1"/>
  <c r="AH821" i="2"/>
  <c r="AP821" i="2" s="1"/>
  <c r="AH822" i="2"/>
  <c r="AP822" i="2" s="1"/>
  <c r="AH823" i="2"/>
  <c r="AP823" i="2" s="1"/>
  <c r="AH824" i="2"/>
  <c r="AP824" i="2" s="1"/>
  <c r="AH825" i="2"/>
  <c r="AP825" i="2" s="1"/>
  <c r="AH826" i="2"/>
  <c r="AP826" i="2" s="1"/>
  <c r="AH827" i="2"/>
  <c r="AP827" i="2" s="1"/>
  <c r="AH828" i="2"/>
  <c r="AP828" i="2" s="1"/>
  <c r="AH829" i="2"/>
  <c r="AP829" i="2" s="1"/>
  <c r="AH830" i="2"/>
  <c r="AP830" i="2" s="1"/>
  <c r="AH831" i="2"/>
  <c r="AP831" i="2" s="1"/>
  <c r="AH832" i="2"/>
  <c r="AP832" i="2" s="1"/>
  <c r="AH833" i="2"/>
  <c r="AP833" i="2" s="1"/>
  <c r="AH834" i="2"/>
  <c r="AP834" i="2" s="1"/>
  <c r="AH835" i="2"/>
  <c r="AP835" i="2" s="1"/>
  <c r="AH836" i="2"/>
  <c r="AP836" i="2" s="1"/>
  <c r="AH837" i="2"/>
  <c r="AP837" i="2" s="1"/>
  <c r="AH838" i="2"/>
  <c r="AP838" i="2" s="1"/>
  <c r="AH839" i="2"/>
  <c r="AP839" i="2" s="1"/>
  <c r="AH840" i="2"/>
  <c r="AP840" i="2" s="1"/>
  <c r="AH841" i="2"/>
  <c r="AP841" i="2" s="1"/>
  <c r="AH842" i="2"/>
  <c r="AP842" i="2" s="1"/>
  <c r="AH843" i="2"/>
  <c r="AP843" i="2" s="1"/>
  <c r="AH844" i="2"/>
  <c r="AP844" i="2" s="1"/>
  <c r="AH845" i="2"/>
  <c r="AP845" i="2" s="1"/>
  <c r="AH846" i="2"/>
  <c r="AP846" i="2" s="1"/>
  <c r="AH847" i="2"/>
  <c r="AP847" i="2" s="1"/>
  <c r="AH848" i="2"/>
  <c r="AP848" i="2" s="1"/>
  <c r="AH849" i="2"/>
  <c r="AP849" i="2" s="1"/>
  <c r="AH850" i="2"/>
  <c r="AP850" i="2" s="1"/>
  <c r="AH851" i="2"/>
  <c r="AP851" i="2" s="1"/>
  <c r="AH852" i="2"/>
  <c r="AP852" i="2" s="1"/>
  <c r="AH853" i="2"/>
  <c r="AP853" i="2" s="1"/>
  <c r="AH854" i="2"/>
  <c r="AP854" i="2" s="1"/>
  <c r="AH855" i="2"/>
  <c r="AP855" i="2" s="1"/>
  <c r="AH856" i="2"/>
  <c r="AP856" i="2" s="1"/>
  <c r="AH857" i="2"/>
  <c r="AP857" i="2" s="1"/>
  <c r="AH858" i="2"/>
  <c r="AP858" i="2" s="1"/>
  <c r="AH859" i="2"/>
  <c r="AP859" i="2" s="1"/>
  <c r="AH860" i="2"/>
  <c r="AP860" i="2" s="1"/>
  <c r="AH861" i="2"/>
  <c r="AP861" i="2" s="1"/>
  <c r="AH862" i="2"/>
  <c r="AP862" i="2" s="1"/>
  <c r="AH863" i="2"/>
  <c r="AP863" i="2" s="1"/>
  <c r="AH864" i="2"/>
  <c r="AP864" i="2" s="1"/>
  <c r="AH865" i="2"/>
  <c r="AP865" i="2" s="1"/>
  <c r="AH866" i="2"/>
  <c r="AP866" i="2" s="1"/>
  <c r="AH867" i="2"/>
  <c r="AP867" i="2" s="1"/>
  <c r="AH868" i="2"/>
  <c r="AP868" i="2" s="1"/>
  <c r="AH869" i="2"/>
  <c r="AP869" i="2" s="1"/>
  <c r="AH870" i="2"/>
  <c r="AP870" i="2" s="1"/>
  <c r="AH871" i="2"/>
  <c r="AP871" i="2" s="1"/>
  <c r="AH872" i="2"/>
  <c r="AP872" i="2" s="1"/>
  <c r="AH873" i="2"/>
  <c r="AP873" i="2" s="1"/>
  <c r="AH874" i="2"/>
  <c r="AP874" i="2" s="1"/>
  <c r="AH875" i="2"/>
  <c r="AP875" i="2" s="1"/>
  <c r="AH876" i="2"/>
  <c r="AP876" i="2" s="1"/>
  <c r="AH877" i="2"/>
  <c r="AP877" i="2" s="1"/>
  <c r="AH878" i="2"/>
  <c r="AP878" i="2" s="1"/>
  <c r="AH879" i="2"/>
  <c r="AP879" i="2" s="1"/>
  <c r="AH880" i="2"/>
  <c r="AP880" i="2" s="1"/>
  <c r="AH881" i="2"/>
  <c r="AP881" i="2" s="1"/>
  <c r="AH882" i="2"/>
  <c r="AP882" i="2" s="1"/>
  <c r="AH883" i="2"/>
  <c r="AP883" i="2" s="1"/>
  <c r="AH884" i="2"/>
  <c r="AP884" i="2" s="1"/>
  <c r="AH885" i="2"/>
  <c r="AP885" i="2" s="1"/>
  <c r="AH886" i="2"/>
  <c r="AP886" i="2" s="1"/>
  <c r="AH887" i="2"/>
  <c r="AP887" i="2" s="1"/>
  <c r="AH888" i="2"/>
  <c r="AP888" i="2" s="1"/>
  <c r="AH889" i="2"/>
  <c r="AP889" i="2" s="1"/>
  <c r="AH890" i="2"/>
  <c r="AP890" i="2" s="1"/>
  <c r="AH891" i="2"/>
  <c r="AP891" i="2" s="1"/>
  <c r="AH892" i="2"/>
  <c r="AP892" i="2" s="1"/>
  <c r="AH893" i="2"/>
  <c r="AP893" i="2" s="1"/>
  <c r="AH894" i="2"/>
  <c r="AP894" i="2" s="1"/>
  <c r="AH895" i="2"/>
  <c r="AP895" i="2" s="1"/>
  <c r="AH896" i="2"/>
  <c r="AP896" i="2" s="1"/>
  <c r="AH897" i="2"/>
  <c r="AP897" i="2" s="1"/>
  <c r="AH898" i="2"/>
  <c r="AP898" i="2" s="1"/>
  <c r="AH899" i="2"/>
  <c r="AP899" i="2" s="1"/>
  <c r="AH900" i="2"/>
  <c r="AP900" i="2" s="1"/>
  <c r="AH901" i="2"/>
  <c r="AP901" i="2" s="1"/>
  <c r="AH902" i="2"/>
  <c r="AP902" i="2" s="1"/>
  <c r="AH903" i="2"/>
  <c r="AP903" i="2" s="1"/>
  <c r="AH904" i="2"/>
  <c r="AP904" i="2" s="1"/>
  <c r="AH905" i="2"/>
  <c r="AP905" i="2" s="1"/>
  <c r="AH906" i="2"/>
  <c r="AP906" i="2" s="1"/>
  <c r="AH907" i="2"/>
  <c r="AP907" i="2" s="1"/>
  <c r="AH908" i="2"/>
  <c r="AP908" i="2" s="1"/>
  <c r="AH909" i="2"/>
  <c r="AP909" i="2" s="1"/>
  <c r="AH910" i="2"/>
  <c r="AP910" i="2" s="1"/>
  <c r="AH911" i="2"/>
  <c r="AP911" i="2" s="1"/>
  <c r="AH912" i="2"/>
  <c r="AP912" i="2" s="1"/>
  <c r="AH913" i="2"/>
  <c r="AP913" i="2" s="1"/>
  <c r="AH914" i="2"/>
  <c r="AP914" i="2" s="1"/>
  <c r="AH915" i="2"/>
  <c r="AP915" i="2" s="1"/>
  <c r="AH916" i="2"/>
  <c r="AP916" i="2" s="1"/>
  <c r="AH917" i="2"/>
  <c r="AP917" i="2" s="1"/>
  <c r="AH918" i="2"/>
  <c r="AP918" i="2" s="1"/>
  <c r="AH919" i="2"/>
  <c r="AP919" i="2" s="1"/>
  <c r="AH920" i="2"/>
  <c r="AP920" i="2" s="1"/>
  <c r="AH921" i="2"/>
  <c r="AP921" i="2" s="1"/>
  <c r="AH922" i="2"/>
  <c r="AP922" i="2" s="1"/>
  <c r="AH923" i="2"/>
  <c r="AP923" i="2" s="1"/>
  <c r="AH924" i="2"/>
  <c r="AP924" i="2" s="1"/>
  <c r="AH925" i="2"/>
  <c r="AP925" i="2" s="1"/>
  <c r="AH926" i="2"/>
  <c r="AP926" i="2" s="1"/>
  <c r="AH927" i="2"/>
  <c r="AP927" i="2" s="1"/>
  <c r="AH928" i="2"/>
  <c r="AP928" i="2" s="1"/>
  <c r="AH929" i="2"/>
  <c r="AP929" i="2" s="1"/>
  <c r="AH930" i="2"/>
  <c r="AP930" i="2" s="1"/>
  <c r="AH931" i="2"/>
  <c r="AP931" i="2" s="1"/>
  <c r="AH932" i="2"/>
  <c r="AP932" i="2" s="1"/>
  <c r="AH933" i="2"/>
  <c r="AP933" i="2" s="1"/>
  <c r="AH934" i="2"/>
  <c r="AP934" i="2" s="1"/>
  <c r="AH935" i="2"/>
  <c r="AP935" i="2" s="1"/>
  <c r="AH936" i="2"/>
  <c r="AP936" i="2" s="1"/>
  <c r="AH937" i="2"/>
  <c r="AP937" i="2" s="1"/>
  <c r="AH938" i="2"/>
  <c r="AP938" i="2" s="1"/>
  <c r="AH939" i="2"/>
  <c r="AP939" i="2" s="1"/>
  <c r="AH940" i="2"/>
  <c r="AP940" i="2" s="1"/>
  <c r="AH941" i="2"/>
  <c r="AP941" i="2" s="1"/>
  <c r="AH942" i="2"/>
  <c r="AP942" i="2" s="1"/>
  <c r="AH943" i="2"/>
  <c r="AP943" i="2" s="1"/>
  <c r="AH944" i="2"/>
  <c r="AP944" i="2" s="1"/>
  <c r="AH945" i="2"/>
  <c r="AP945" i="2" s="1"/>
  <c r="AH946" i="2"/>
  <c r="AP946" i="2" s="1"/>
  <c r="AH947" i="2"/>
  <c r="AP947" i="2" s="1"/>
  <c r="AH948" i="2"/>
  <c r="AP948" i="2" s="1"/>
  <c r="AH949" i="2"/>
  <c r="AP949" i="2" s="1"/>
  <c r="AH950" i="2"/>
  <c r="AP950" i="2" s="1"/>
  <c r="AH951" i="2"/>
  <c r="AP951" i="2" s="1"/>
  <c r="AH952" i="2"/>
  <c r="AP952" i="2" s="1"/>
  <c r="AH953" i="2"/>
  <c r="AP953" i="2" s="1"/>
  <c r="AH954" i="2"/>
  <c r="AP954" i="2" s="1"/>
  <c r="AH955" i="2"/>
  <c r="AP955" i="2" s="1"/>
  <c r="AH956" i="2"/>
  <c r="AP956" i="2" s="1"/>
  <c r="AH957" i="2"/>
  <c r="AP957" i="2" s="1"/>
  <c r="AH958" i="2"/>
  <c r="AP958" i="2" s="1"/>
  <c r="AH959" i="2"/>
  <c r="AP959" i="2" s="1"/>
  <c r="AH960" i="2"/>
  <c r="AP960" i="2" s="1"/>
  <c r="AH961" i="2"/>
  <c r="AP961" i="2" s="1"/>
  <c r="AH962" i="2"/>
  <c r="AP962" i="2" s="1"/>
  <c r="AH963" i="2"/>
  <c r="AP963" i="2" s="1"/>
  <c r="AH964" i="2"/>
  <c r="AP964" i="2" s="1"/>
  <c r="AH965" i="2"/>
  <c r="AP965" i="2" s="1"/>
  <c r="AH966" i="2"/>
  <c r="AP966" i="2" s="1"/>
  <c r="AH967" i="2"/>
  <c r="AP967" i="2" s="1"/>
  <c r="AH968" i="2"/>
  <c r="AP968" i="2" s="1"/>
  <c r="AH969" i="2"/>
  <c r="AP969" i="2" s="1"/>
  <c r="AH970" i="2"/>
  <c r="AP970" i="2" s="1"/>
  <c r="AH971" i="2"/>
  <c r="AP971" i="2" s="1"/>
  <c r="AH972" i="2"/>
  <c r="AP972" i="2" s="1"/>
  <c r="AH973" i="2"/>
  <c r="AP973" i="2" s="1"/>
  <c r="AH974" i="2"/>
  <c r="AP974" i="2" s="1"/>
  <c r="AH975" i="2"/>
  <c r="AP975" i="2" s="1"/>
  <c r="AH976" i="2"/>
  <c r="AP976" i="2" s="1"/>
  <c r="AH977" i="2"/>
  <c r="AP977" i="2" s="1"/>
  <c r="AH978" i="2"/>
  <c r="AP978" i="2" s="1"/>
  <c r="AH979" i="2"/>
  <c r="AP979" i="2" s="1"/>
  <c r="AH980" i="2"/>
  <c r="AP980" i="2" s="1"/>
  <c r="AH981" i="2"/>
  <c r="AP981" i="2" s="1"/>
  <c r="AH982" i="2"/>
  <c r="AP982" i="2" s="1"/>
  <c r="AH983" i="2"/>
  <c r="AP983" i="2" s="1"/>
  <c r="AH984" i="2"/>
  <c r="AP984" i="2" s="1"/>
  <c r="AH985" i="2"/>
  <c r="AP985" i="2" s="1"/>
  <c r="AH986" i="2"/>
  <c r="AP986" i="2" s="1"/>
  <c r="AH987" i="2"/>
  <c r="AP987" i="2" s="1"/>
  <c r="AH988" i="2"/>
  <c r="AP988" i="2" s="1"/>
  <c r="AH989" i="2"/>
  <c r="AP989" i="2" s="1"/>
  <c r="AH990" i="2"/>
  <c r="AP990" i="2" s="1"/>
  <c r="AH991" i="2"/>
  <c r="AP991" i="2" s="1"/>
  <c r="AH992" i="2"/>
  <c r="AP992" i="2" s="1"/>
  <c r="AH993" i="2"/>
  <c r="AP993" i="2" s="1"/>
  <c r="AH994" i="2"/>
  <c r="AP994" i="2" s="1"/>
  <c r="AH995" i="2"/>
  <c r="AP995" i="2" s="1"/>
  <c r="AH996" i="2"/>
  <c r="AP996" i="2" s="1"/>
  <c r="AH997" i="2"/>
  <c r="AP997" i="2" s="1"/>
  <c r="AH998" i="2"/>
  <c r="AP998" i="2" s="1"/>
  <c r="AH999" i="2"/>
  <c r="AP999" i="2" s="1"/>
  <c r="AH1000" i="2"/>
  <c r="AP1000" i="2" s="1"/>
  <c r="AH1001" i="2"/>
  <c r="AP1001" i="2" s="1"/>
  <c r="AH1002" i="2"/>
  <c r="AP1002" i="2" s="1"/>
  <c r="AH1003" i="2"/>
  <c r="AP1003" i="2" s="1"/>
  <c r="AH1004" i="2"/>
  <c r="AP1004" i="2" s="1"/>
  <c r="AH1005" i="2"/>
  <c r="AP1005" i="2" s="1"/>
  <c r="AH1006" i="2"/>
  <c r="AP1006" i="2" s="1"/>
  <c r="AH1007" i="2"/>
  <c r="AP1007" i="2" s="1"/>
  <c r="AH1008" i="2"/>
  <c r="AP1008" i="2" s="1"/>
  <c r="AH1009" i="2"/>
  <c r="AP1009" i="2" s="1"/>
  <c r="AH1010" i="2"/>
  <c r="AP1010" i="2" s="1"/>
  <c r="AH1011" i="2"/>
  <c r="AP1011" i="2" s="1"/>
  <c r="AH1012" i="2"/>
  <c r="AP1012" i="2" s="1"/>
  <c r="AH1013" i="2"/>
  <c r="AP1013" i="2" s="1"/>
  <c r="AH1014" i="2"/>
  <c r="AP1014" i="2" s="1"/>
  <c r="AH1015" i="2"/>
  <c r="AP1015" i="2" s="1"/>
  <c r="AH1016" i="2"/>
  <c r="AP1016" i="2" s="1"/>
  <c r="AH1017" i="2"/>
  <c r="AP1017" i="2" s="1"/>
  <c r="AH1018" i="2"/>
  <c r="AP1018" i="2" s="1"/>
  <c r="AH1019" i="2"/>
  <c r="AP1019" i="2" s="1"/>
  <c r="AH1020" i="2"/>
  <c r="AP1020" i="2" s="1"/>
  <c r="AH1021" i="2"/>
  <c r="AP1021" i="2" s="1"/>
  <c r="AH1022" i="2"/>
  <c r="AP1022" i="2" s="1"/>
  <c r="AH1023" i="2"/>
  <c r="AP1023" i="2" s="1"/>
  <c r="AH1024" i="2"/>
  <c r="AP1024" i="2" s="1"/>
  <c r="AH1025" i="2"/>
  <c r="AP1025" i="2" s="1"/>
  <c r="AH1026" i="2"/>
  <c r="AP1026" i="2" s="1"/>
  <c r="AH1027" i="2"/>
  <c r="AP1027" i="2" s="1"/>
  <c r="AH1028" i="2"/>
  <c r="AP1028" i="2" s="1"/>
  <c r="AH1029" i="2"/>
  <c r="AP1029" i="2" s="1"/>
  <c r="AH1030" i="2"/>
  <c r="AP1030" i="2" s="1"/>
  <c r="AH1031" i="2"/>
  <c r="AP1031" i="2" s="1"/>
  <c r="AH1032" i="2"/>
  <c r="AP1032" i="2" s="1"/>
  <c r="AH1033" i="2"/>
  <c r="AP1033" i="2" s="1"/>
  <c r="AH1034" i="2"/>
  <c r="AP1034" i="2" s="1"/>
  <c r="AH1035" i="2"/>
  <c r="AP1035" i="2" s="1"/>
  <c r="AH1036" i="2"/>
  <c r="AP1036" i="2" s="1"/>
  <c r="AH1037" i="2"/>
  <c r="AP1037" i="2" s="1"/>
  <c r="AH1038" i="2"/>
  <c r="AP1038" i="2" s="1"/>
  <c r="AH1039" i="2"/>
  <c r="AP1039" i="2" s="1"/>
  <c r="AH1040" i="2"/>
  <c r="AP1040" i="2" s="1"/>
  <c r="AH1041" i="2"/>
  <c r="AP1041" i="2" s="1"/>
  <c r="AH1042" i="2"/>
  <c r="AP1042" i="2" s="1"/>
  <c r="AH1043" i="2"/>
  <c r="AP1043" i="2" s="1"/>
  <c r="AH1044" i="2"/>
  <c r="AP1044" i="2" s="1"/>
  <c r="AH1045" i="2"/>
  <c r="AP1045" i="2" s="1"/>
  <c r="AH1046" i="2"/>
  <c r="AP1046" i="2" s="1"/>
  <c r="AH1047" i="2"/>
  <c r="AP1047" i="2" s="1"/>
  <c r="AH1048" i="2"/>
  <c r="AP1048" i="2" s="1"/>
  <c r="AH1049" i="2"/>
  <c r="AP1049" i="2" s="1"/>
  <c r="AH1050" i="2"/>
  <c r="AP1050" i="2" s="1"/>
  <c r="AH1051" i="2"/>
  <c r="AP1051" i="2" s="1"/>
  <c r="AH1052" i="2"/>
  <c r="AP1052" i="2" s="1"/>
  <c r="AH1053" i="2"/>
  <c r="AP1053" i="2" s="1"/>
  <c r="AH1054" i="2"/>
  <c r="AP1054" i="2" s="1"/>
  <c r="AH1055" i="2"/>
  <c r="AP1055" i="2" s="1"/>
  <c r="AH1056" i="2"/>
  <c r="AP1056" i="2" s="1"/>
  <c r="AH1057" i="2"/>
  <c r="AP1057" i="2" s="1"/>
  <c r="AH1058" i="2"/>
  <c r="AP1058" i="2" s="1"/>
  <c r="AH1059" i="2"/>
  <c r="AP1059" i="2" s="1"/>
  <c r="AH1060" i="2"/>
  <c r="AP1060" i="2" s="1"/>
  <c r="AH1061" i="2"/>
  <c r="AP1061" i="2" s="1"/>
  <c r="AH1062" i="2"/>
  <c r="AP1062" i="2" s="1"/>
  <c r="AH1063" i="2"/>
  <c r="AP1063" i="2" s="1"/>
  <c r="AH1064" i="2"/>
  <c r="AP1064" i="2" s="1"/>
  <c r="AH1065" i="2"/>
  <c r="AP1065" i="2" s="1"/>
  <c r="AH1066" i="2"/>
  <c r="AP1066" i="2" s="1"/>
  <c r="AH1067" i="2"/>
  <c r="AP1067" i="2" s="1"/>
  <c r="AH1068" i="2"/>
  <c r="AP1068" i="2" s="1"/>
  <c r="AH1069" i="2"/>
  <c r="AP1069" i="2" s="1"/>
  <c r="AH1070" i="2"/>
  <c r="AP1070" i="2" s="1"/>
  <c r="AH1071" i="2"/>
  <c r="AP1071" i="2" s="1"/>
  <c r="AH1072" i="2"/>
  <c r="AP1072" i="2" s="1"/>
  <c r="AH1073" i="2"/>
  <c r="AP1073" i="2" s="1"/>
  <c r="AH1074" i="2"/>
  <c r="AP1074" i="2" s="1"/>
  <c r="AH1075" i="2"/>
  <c r="AP1075" i="2" s="1"/>
  <c r="AH1076" i="2"/>
  <c r="AP1076" i="2" s="1"/>
  <c r="AH1077" i="2"/>
  <c r="AP1077" i="2" s="1"/>
  <c r="AH1078" i="2"/>
  <c r="AP1078" i="2" s="1"/>
  <c r="AH1079" i="2"/>
  <c r="AP1079" i="2" s="1"/>
  <c r="AH1080" i="2"/>
  <c r="AP1080" i="2" s="1"/>
  <c r="AH1081" i="2"/>
  <c r="AP1081" i="2" s="1"/>
  <c r="AH1082" i="2"/>
  <c r="AP1082" i="2" s="1"/>
  <c r="AH1083" i="2"/>
  <c r="AP1083" i="2" s="1"/>
  <c r="AH1084" i="2"/>
  <c r="AP1084" i="2" s="1"/>
  <c r="AH1085" i="2"/>
  <c r="AP1085" i="2" s="1"/>
  <c r="AH1086" i="2"/>
  <c r="AP1086" i="2" s="1"/>
  <c r="AH1087" i="2"/>
  <c r="AP1087" i="2" s="1"/>
  <c r="AH1088" i="2"/>
  <c r="AP1088" i="2" s="1"/>
  <c r="AH1089" i="2"/>
  <c r="AP1089" i="2" s="1"/>
  <c r="AH1090" i="2"/>
  <c r="AP1090" i="2" s="1"/>
  <c r="AH1091" i="2"/>
  <c r="AP1091" i="2" s="1"/>
  <c r="AH1092" i="2"/>
  <c r="AP1092" i="2" s="1"/>
  <c r="AH1093" i="2"/>
  <c r="AP1093" i="2" s="1"/>
  <c r="AH1094" i="2"/>
  <c r="AP1094" i="2" s="1"/>
  <c r="AH1095" i="2"/>
  <c r="AP1095" i="2" s="1"/>
  <c r="AH1096" i="2"/>
  <c r="AP1096" i="2" s="1"/>
  <c r="AH1097" i="2"/>
  <c r="AP1097" i="2" s="1"/>
  <c r="AH1098" i="2"/>
  <c r="AP1098" i="2" s="1"/>
  <c r="AH1099" i="2"/>
  <c r="AP1099" i="2" s="1"/>
  <c r="AH1100" i="2"/>
  <c r="AP1100" i="2" s="1"/>
  <c r="AH1101" i="2"/>
  <c r="AP1101" i="2" s="1"/>
  <c r="AH1102" i="2"/>
  <c r="AP1102" i="2" s="1"/>
  <c r="AH1103" i="2"/>
  <c r="AP1103" i="2" s="1"/>
  <c r="AH1104" i="2"/>
  <c r="AP1104" i="2" s="1"/>
  <c r="AH1105" i="2"/>
  <c r="AP1105" i="2" s="1"/>
  <c r="AH1106" i="2"/>
  <c r="AP1106" i="2" s="1"/>
  <c r="AH1107" i="2"/>
  <c r="AP1107" i="2" s="1"/>
  <c r="AH1108" i="2"/>
  <c r="AP1108" i="2" s="1"/>
  <c r="AH1109" i="2"/>
  <c r="AP1109" i="2" s="1"/>
  <c r="AH1110" i="2"/>
  <c r="AP1110" i="2" s="1"/>
  <c r="AH1111" i="2"/>
  <c r="AP1111" i="2" s="1"/>
  <c r="AH1112" i="2"/>
  <c r="AP1112" i="2" s="1"/>
  <c r="AH1113" i="2"/>
  <c r="AP1113" i="2" s="1"/>
  <c r="AH1114" i="2"/>
  <c r="AP1114" i="2" s="1"/>
  <c r="AH1115" i="2"/>
  <c r="AP1115" i="2" s="1"/>
  <c r="AH1116" i="2"/>
  <c r="AP1116" i="2" s="1"/>
  <c r="AH1117" i="2"/>
  <c r="AP1117" i="2" s="1"/>
  <c r="AH1118" i="2"/>
  <c r="AP1118" i="2" s="1"/>
  <c r="AH1119" i="2"/>
  <c r="AP1119" i="2" s="1"/>
  <c r="AH1120" i="2"/>
  <c r="AP1120" i="2" s="1"/>
  <c r="AH1121" i="2"/>
  <c r="AP1121" i="2" s="1"/>
  <c r="AH1122" i="2"/>
  <c r="AP1122" i="2" s="1"/>
  <c r="AH1123" i="2"/>
  <c r="AP1123" i="2" s="1"/>
  <c r="AH1124" i="2"/>
  <c r="AP1124" i="2" s="1"/>
  <c r="AH1125" i="2"/>
  <c r="AP1125" i="2" s="1"/>
  <c r="AH1126" i="2"/>
  <c r="AP1126" i="2" s="1"/>
  <c r="AH1127" i="2"/>
  <c r="AP1127" i="2" s="1"/>
  <c r="AH1128" i="2"/>
  <c r="AP1128" i="2" s="1"/>
  <c r="AH1129" i="2"/>
  <c r="AP1129" i="2" s="1"/>
  <c r="AH1130" i="2"/>
  <c r="AP1130" i="2" s="1"/>
  <c r="AH1131" i="2"/>
  <c r="AP1131" i="2" s="1"/>
  <c r="AH1132" i="2"/>
  <c r="AP1132" i="2" s="1"/>
  <c r="AH1133" i="2"/>
  <c r="AP1133" i="2" s="1"/>
  <c r="AH1134" i="2"/>
  <c r="AP1134" i="2" s="1"/>
  <c r="AH1135" i="2"/>
  <c r="AP1135" i="2" s="1"/>
  <c r="AH1136" i="2"/>
  <c r="AP1136" i="2" s="1"/>
  <c r="AH1137" i="2"/>
  <c r="AP1137" i="2" s="1"/>
  <c r="AH1138" i="2"/>
  <c r="AP1138" i="2" s="1"/>
  <c r="AH1139" i="2"/>
  <c r="AP1139" i="2" s="1"/>
  <c r="AH1140" i="2"/>
  <c r="AP1140" i="2" s="1"/>
  <c r="AH1141" i="2"/>
  <c r="AP1141" i="2" s="1"/>
  <c r="AH1142" i="2"/>
  <c r="AP1142" i="2" s="1"/>
  <c r="AH1143" i="2"/>
  <c r="AP1143" i="2" s="1"/>
  <c r="AH1144" i="2"/>
  <c r="AP1144" i="2" s="1"/>
  <c r="AH1145" i="2"/>
  <c r="AP1145" i="2" s="1"/>
  <c r="AH1146" i="2"/>
  <c r="AP1146" i="2" s="1"/>
  <c r="AH1147" i="2"/>
  <c r="AP1147" i="2" s="1"/>
  <c r="AH1148" i="2"/>
  <c r="AP1148" i="2" s="1"/>
  <c r="AH1149" i="2"/>
  <c r="AP1149" i="2" s="1"/>
  <c r="AH1150" i="2"/>
  <c r="AP1150" i="2" s="1"/>
  <c r="AH1151" i="2"/>
  <c r="AP1151" i="2" s="1"/>
  <c r="AH1152" i="2"/>
  <c r="AP1152" i="2" s="1"/>
  <c r="AH1153" i="2"/>
  <c r="AP1153" i="2" s="1"/>
  <c r="AH1154" i="2"/>
  <c r="AP1154" i="2" s="1"/>
  <c r="AH1155" i="2"/>
  <c r="AP1155" i="2" s="1"/>
  <c r="AH1156" i="2"/>
  <c r="AP1156" i="2" s="1"/>
  <c r="AH1157" i="2"/>
  <c r="AP1157" i="2" s="1"/>
  <c r="AH1158" i="2"/>
  <c r="AP1158" i="2" s="1"/>
  <c r="AH1159" i="2"/>
  <c r="AP1159" i="2" s="1"/>
  <c r="AH1160" i="2"/>
  <c r="AP1160" i="2" s="1"/>
  <c r="AH1161" i="2"/>
  <c r="AP1161" i="2" s="1"/>
  <c r="AH1162" i="2"/>
  <c r="AP1162" i="2" s="1"/>
  <c r="AH1163" i="2"/>
  <c r="AP1163" i="2" s="1"/>
  <c r="AH1164" i="2"/>
  <c r="AP1164" i="2" s="1"/>
  <c r="AH1165" i="2"/>
  <c r="AP1165" i="2" s="1"/>
  <c r="AH1166" i="2"/>
  <c r="AP1166" i="2" s="1"/>
  <c r="AH1167" i="2"/>
  <c r="AP1167" i="2" s="1"/>
  <c r="AH1168" i="2"/>
  <c r="AP1168" i="2" s="1"/>
  <c r="AH1169" i="2"/>
  <c r="AP1169" i="2" s="1"/>
  <c r="AH1170" i="2"/>
  <c r="AP1170" i="2" s="1"/>
  <c r="AH1171" i="2"/>
  <c r="AP1171" i="2" s="1"/>
  <c r="AH1172" i="2"/>
  <c r="AP1172" i="2" s="1"/>
  <c r="AH1173" i="2"/>
  <c r="AP1173" i="2" s="1"/>
  <c r="AH1174" i="2"/>
  <c r="AP1174" i="2" s="1"/>
  <c r="AH1175" i="2"/>
  <c r="AP1175" i="2" s="1"/>
  <c r="AH1176" i="2"/>
  <c r="AP1176" i="2" s="1"/>
  <c r="AH1177" i="2"/>
  <c r="AP1177" i="2" s="1"/>
  <c r="AH1178" i="2"/>
  <c r="AP1178" i="2" s="1"/>
  <c r="AH1179" i="2"/>
  <c r="AP1179" i="2" s="1"/>
  <c r="AH1180" i="2"/>
  <c r="AP1180" i="2" s="1"/>
  <c r="AH1181" i="2"/>
  <c r="AP1181" i="2" s="1"/>
  <c r="AH1182" i="2"/>
  <c r="AP1182" i="2" s="1"/>
  <c r="AH1183" i="2"/>
  <c r="AP1183" i="2" s="1"/>
  <c r="AH1184" i="2"/>
  <c r="AP1184" i="2" s="1"/>
  <c r="AH1185" i="2"/>
  <c r="AP1185" i="2" s="1"/>
  <c r="AH1186" i="2"/>
  <c r="AP1186" i="2" s="1"/>
  <c r="AH1187" i="2"/>
  <c r="AP1187" i="2" s="1"/>
  <c r="AH1188" i="2"/>
  <c r="AP1188" i="2" s="1"/>
  <c r="AH1189" i="2"/>
  <c r="AP1189" i="2" s="1"/>
  <c r="AH1190" i="2"/>
  <c r="AP1190" i="2" s="1"/>
  <c r="AH1191" i="2"/>
  <c r="AP1191" i="2" s="1"/>
  <c r="AH1192" i="2"/>
  <c r="AP1192" i="2" s="1"/>
  <c r="AH1193" i="2"/>
  <c r="AP1193" i="2" s="1"/>
  <c r="AH1194" i="2"/>
  <c r="AP1194" i="2" s="1"/>
  <c r="AH1195" i="2"/>
  <c r="AP1195" i="2" s="1"/>
  <c r="AH1196" i="2"/>
  <c r="AP1196" i="2" s="1"/>
  <c r="AH1197" i="2"/>
  <c r="AP1197" i="2" s="1"/>
  <c r="AH1198" i="2"/>
  <c r="AP1198" i="2" s="1"/>
  <c r="AH1199" i="2"/>
  <c r="AP1199" i="2" s="1"/>
  <c r="AH1200" i="2"/>
  <c r="AP1200" i="2" s="1"/>
  <c r="AH1201" i="2"/>
  <c r="AP1201" i="2" s="1"/>
  <c r="AH1202" i="2"/>
  <c r="AP1202" i="2" s="1"/>
  <c r="AH1203" i="2"/>
  <c r="AP1203" i="2" s="1"/>
  <c r="AH1204" i="2"/>
  <c r="AP1204" i="2" s="1"/>
  <c r="AH1205" i="2"/>
  <c r="AP1205" i="2" s="1"/>
  <c r="AH1206" i="2"/>
  <c r="AP1206" i="2" s="1"/>
  <c r="AH1207" i="2"/>
  <c r="AP1207" i="2" s="1"/>
  <c r="AH1208" i="2"/>
  <c r="AP1208" i="2" s="1"/>
  <c r="AH1209" i="2"/>
  <c r="AP1209" i="2" s="1"/>
  <c r="AH1210" i="2"/>
  <c r="AP1210" i="2" s="1"/>
  <c r="AH1211" i="2"/>
  <c r="AP1211" i="2" s="1"/>
  <c r="AH1212" i="2"/>
  <c r="AP1212" i="2" s="1"/>
  <c r="AH1213" i="2"/>
  <c r="AP1213" i="2" s="1"/>
  <c r="AH1214" i="2"/>
  <c r="AP1214" i="2" s="1"/>
  <c r="AH1215" i="2"/>
  <c r="AP1215" i="2" s="1"/>
  <c r="AH1216" i="2"/>
  <c r="AP1216" i="2" s="1"/>
  <c r="AH1217" i="2"/>
  <c r="AP1217" i="2" s="1"/>
  <c r="AH1218" i="2"/>
  <c r="AP1218" i="2" s="1"/>
  <c r="AH1219" i="2"/>
  <c r="AP1219" i="2" s="1"/>
  <c r="AH1220" i="2"/>
  <c r="AP1220" i="2" s="1"/>
  <c r="AH1221" i="2"/>
  <c r="AP1221" i="2" s="1"/>
  <c r="AH1222" i="2"/>
  <c r="AP1222" i="2" s="1"/>
  <c r="AH1223" i="2"/>
  <c r="AP1223" i="2" s="1"/>
  <c r="AH1224" i="2"/>
  <c r="AP1224" i="2" s="1"/>
  <c r="AH1225" i="2"/>
  <c r="AP1225" i="2" s="1"/>
  <c r="AH1226" i="2"/>
  <c r="AP1226" i="2" s="1"/>
  <c r="AH1227" i="2"/>
  <c r="AP1227" i="2" s="1"/>
  <c r="AH1228" i="2"/>
  <c r="AP1228" i="2" s="1"/>
  <c r="AH1229" i="2"/>
  <c r="AP1229" i="2" s="1"/>
  <c r="AH1230" i="2"/>
  <c r="AP1230" i="2" s="1"/>
  <c r="AH1231" i="2"/>
  <c r="AP1231" i="2" s="1"/>
  <c r="AH1232" i="2"/>
  <c r="AP1232" i="2" s="1"/>
  <c r="AH1233" i="2"/>
  <c r="AP1233" i="2" s="1"/>
  <c r="AH1234" i="2"/>
  <c r="AP1234" i="2" s="1"/>
  <c r="AH1235" i="2"/>
  <c r="AP1235" i="2" s="1"/>
  <c r="AH1236" i="2"/>
  <c r="AP1236" i="2" s="1"/>
  <c r="AH1237" i="2"/>
  <c r="AP1237" i="2" s="1"/>
  <c r="AH1238" i="2"/>
  <c r="AP1238" i="2" s="1"/>
  <c r="AH1239" i="2"/>
  <c r="AP1239" i="2" s="1"/>
  <c r="AH1240" i="2"/>
  <c r="AP1240" i="2" s="1"/>
  <c r="AH1241" i="2"/>
  <c r="AP1241" i="2" s="1"/>
  <c r="AH1242" i="2"/>
  <c r="AP1242" i="2" s="1"/>
  <c r="AH1243" i="2"/>
  <c r="AP1243" i="2" s="1"/>
  <c r="AH1244" i="2"/>
  <c r="AP1244" i="2" s="1"/>
  <c r="AH1245" i="2"/>
  <c r="AP1245" i="2" s="1"/>
  <c r="AH1246" i="2"/>
  <c r="AP1246" i="2" s="1"/>
  <c r="AH1247" i="2"/>
  <c r="AP1247" i="2" s="1"/>
  <c r="AH1248" i="2"/>
  <c r="AP1248" i="2" s="1"/>
  <c r="AH1249" i="2"/>
  <c r="AP1249" i="2" s="1"/>
  <c r="AH1250" i="2"/>
  <c r="AP1250" i="2" s="1"/>
  <c r="AH1251" i="2"/>
  <c r="AP1251" i="2" s="1"/>
  <c r="AH1252" i="2"/>
  <c r="AP1252" i="2" s="1"/>
  <c r="AH1253" i="2"/>
  <c r="AP1253" i="2" s="1"/>
  <c r="AH1254" i="2"/>
  <c r="AP1254" i="2" s="1"/>
  <c r="AH1255" i="2"/>
  <c r="AP1255" i="2" s="1"/>
  <c r="AH1256" i="2"/>
  <c r="AP1256" i="2" s="1"/>
  <c r="AH1257" i="2"/>
  <c r="AP1257" i="2" s="1"/>
  <c r="AH1258" i="2"/>
  <c r="AP1258" i="2" s="1"/>
  <c r="AH1259" i="2"/>
  <c r="AP1259" i="2" s="1"/>
  <c r="AH1260" i="2"/>
  <c r="AP1260" i="2" s="1"/>
  <c r="AH1261" i="2"/>
  <c r="AP1261" i="2" s="1"/>
  <c r="AH1262" i="2"/>
  <c r="AP1262" i="2" s="1"/>
  <c r="AH1263" i="2"/>
  <c r="AP1263" i="2" s="1"/>
  <c r="AH1264" i="2"/>
  <c r="AP1264" i="2" s="1"/>
  <c r="AH1265" i="2"/>
  <c r="AP1265" i="2" s="1"/>
  <c r="AH1266" i="2"/>
  <c r="AP1266" i="2" s="1"/>
  <c r="AH1267" i="2"/>
  <c r="AP1267" i="2" s="1"/>
  <c r="AH1268" i="2"/>
  <c r="AP1268" i="2" s="1"/>
  <c r="AH1269" i="2"/>
  <c r="AP1269" i="2" s="1"/>
  <c r="AH1270" i="2"/>
  <c r="AP1270" i="2" s="1"/>
  <c r="AH1271" i="2"/>
  <c r="AP1271" i="2" s="1"/>
  <c r="AH1272" i="2"/>
  <c r="AP1272" i="2" s="1"/>
  <c r="AH1273" i="2"/>
  <c r="AP1273" i="2" s="1"/>
  <c r="AH1274" i="2"/>
  <c r="AP1274" i="2" s="1"/>
  <c r="AH1275" i="2"/>
  <c r="AP1275" i="2" s="1"/>
  <c r="AH1276" i="2"/>
  <c r="AP1276" i="2" s="1"/>
  <c r="AH1277" i="2"/>
  <c r="AP1277" i="2" s="1"/>
  <c r="AH1278" i="2"/>
  <c r="AP1278" i="2" s="1"/>
  <c r="AH1279" i="2"/>
  <c r="AP1279" i="2" s="1"/>
  <c r="AH1280" i="2"/>
  <c r="AP1280" i="2" s="1"/>
  <c r="AH1281" i="2"/>
  <c r="AP1281" i="2" s="1"/>
  <c r="AH1282" i="2"/>
  <c r="AP1282" i="2" s="1"/>
  <c r="AH1283" i="2"/>
  <c r="AP1283" i="2" s="1"/>
  <c r="AH1284" i="2"/>
  <c r="AP1284" i="2" s="1"/>
  <c r="AH1285" i="2"/>
  <c r="AP1285" i="2" s="1"/>
  <c r="AH1286" i="2"/>
  <c r="AP1286" i="2" s="1"/>
  <c r="AH1287" i="2"/>
  <c r="AP1287" i="2" s="1"/>
  <c r="AH1288" i="2"/>
  <c r="AP1288" i="2" s="1"/>
  <c r="AH1289" i="2"/>
  <c r="AP1289" i="2" s="1"/>
  <c r="AH1290" i="2"/>
  <c r="AP1290" i="2" s="1"/>
  <c r="AH1291" i="2"/>
  <c r="AP1291" i="2" s="1"/>
  <c r="AH1292" i="2"/>
  <c r="AP1292" i="2" s="1"/>
  <c r="AH1293" i="2"/>
  <c r="AP1293" i="2" s="1"/>
  <c r="AH1294" i="2"/>
  <c r="AP1294" i="2" s="1"/>
  <c r="AH1295" i="2"/>
  <c r="AP1295" i="2" s="1"/>
  <c r="AH1296" i="2"/>
  <c r="AP1296" i="2" s="1"/>
  <c r="AH1297" i="2"/>
  <c r="AP1297" i="2" s="1"/>
  <c r="AH1298" i="2"/>
  <c r="AP1298" i="2" s="1"/>
  <c r="AH1299" i="2"/>
  <c r="AP1299" i="2" s="1"/>
  <c r="AH1300" i="2"/>
  <c r="AP1300" i="2" s="1"/>
  <c r="AH1301" i="2"/>
  <c r="AP1301" i="2" s="1"/>
  <c r="AH1302" i="2"/>
  <c r="AP1302" i="2" s="1"/>
  <c r="AH1303" i="2"/>
  <c r="AP1303" i="2" s="1"/>
  <c r="AH1304" i="2"/>
  <c r="AP1304" i="2" s="1"/>
  <c r="AH1305" i="2"/>
  <c r="AP1305" i="2" s="1"/>
  <c r="AH1306" i="2"/>
  <c r="AP1306" i="2" s="1"/>
  <c r="AH1307" i="2"/>
  <c r="AP1307" i="2" s="1"/>
  <c r="AH1308" i="2"/>
  <c r="AP1308" i="2" s="1"/>
  <c r="AH1309" i="2"/>
  <c r="AP1309" i="2" s="1"/>
  <c r="AH1310" i="2"/>
  <c r="AP1310" i="2" s="1"/>
  <c r="AH1311" i="2"/>
  <c r="AP1311" i="2" s="1"/>
  <c r="AH1312" i="2"/>
  <c r="AP1312" i="2" s="1"/>
  <c r="AH1313" i="2"/>
  <c r="AP1313" i="2" s="1"/>
  <c r="AH1314" i="2"/>
  <c r="AP1314" i="2" s="1"/>
  <c r="AH1315" i="2"/>
  <c r="AP1315" i="2" s="1"/>
  <c r="AH1316" i="2"/>
  <c r="AP1316" i="2" s="1"/>
  <c r="AH1317" i="2"/>
  <c r="AP1317" i="2" s="1"/>
  <c r="AH1318" i="2"/>
  <c r="AP1318" i="2" s="1"/>
  <c r="AH1319" i="2"/>
  <c r="AP1319" i="2" s="1"/>
  <c r="AH1320" i="2"/>
  <c r="AP1320" i="2" s="1"/>
  <c r="AH1321" i="2"/>
  <c r="AP1321" i="2" s="1"/>
  <c r="AH1322" i="2"/>
  <c r="AP1322" i="2" s="1"/>
  <c r="AH1323" i="2"/>
  <c r="AP1323" i="2" s="1"/>
  <c r="AH1324" i="2"/>
  <c r="AP1324" i="2" s="1"/>
  <c r="AH1325" i="2"/>
  <c r="AP1325" i="2" s="1"/>
  <c r="AH1326" i="2"/>
  <c r="AP1326" i="2" s="1"/>
  <c r="AH1327" i="2"/>
  <c r="AP1327" i="2" s="1"/>
  <c r="AH1328" i="2"/>
  <c r="AP1328" i="2" s="1"/>
  <c r="AH1329" i="2"/>
  <c r="AP1329" i="2" s="1"/>
  <c r="AH1330" i="2"/>
  <c r="AP1330" i="2" s="1"/>
  <c r="AH1331" i="2"/>
  <c r="AP1331" i="2" s="1"/>
  <c r="AH1332" i="2"/>
  <c r="AP1332" i="2" s="1"/>
  <c r="AH1333" i="2"/>
  <c r="AP1333" i="2" s="1"/>
  <c r="AH1334" i="2"/>
  <c r="AP1334" i="2" s="1"/>
  <c r="AH1335" i="2"/>
  <c r="AP1335" i="2" s="1"/>
  <c r="AH1336" i="2"/>
  <c r="AP1336" i="2" s="1"/>
  <c r="AH1337" i="2"/>
  <c r="AP1337" i="2" s="1"/>
  <c r="AH1338" i="2"/>
  <c r="AP1338" i="2" s="1"/>
  <c r="AH1339" i="2"/>
  <c r="AP1339" i="2" s="1"/>
  <c r="AH1340" i="2"/>
  <c r="AP1340" i="2" s="1"/>
  <c r="AH1341" i="2"/>
  <c r="AP1341" i="2" s="1"/>
  <c r="AH1342" i="2"/>
  <c r="AP1342" i="2" s="1"/>
  <c r="AH1343" i="2"/>
  <c r="AP1343" i="2" s="1"/>
  <c r="AH1344" i="2"/>
  <c r="AP1344" i="2" s="1"/>
  <c r="AH1345" i="2"/>
  <c r="AP1345" i="2" s="1"/>
  <c r="AH1346" i="2"/>
  <c r="AP1346" i="2" s="1"/>
  <c r="AH1347" i="2"/>
  <c r="AP1347" i="2" s="1"/>
  <c r="AH1348" i="2"/>
  <c r="AP1348" i="2" s="1"/>
  <c r="AH1349" i="2"/>
  <c r="AP1349" i="2" s="1"/>
  <c r="AH1350" i="2"/>
  <c r="AP1350" i="2" s="1"/>
  <c r="AH1351" i="2"/>
  <c r="AP1351" i="2" s="1"/>
  <c r="AH1352" i="2"/>
  <c r="AP1352" i="2" s="1"/>
  <c r="AH1353" i="2"/>
  <c r="AP1353" i="2" s="1"/>
  <c r="AH1354" i="2"/>
  <c r="AP1354" i="2" s="1"/>
  <c r="AH1355" i="2"/>
  <c r="AP1355" i="2" s="1"/>
  <c r="AH1356" i="2"/>
  <c r="AP1356" i="2" s="1"/>
  <c r="AH1357" i="2"/>
  <c r="AP1357" i="2" s="1"/>
  <c r="AH1358" i="2"/>
  <c r="AP1358" i="2" s="1"/>
  <c r="AH1359" i="2"/>
  <c r="AP1359" i="2" s="1"/>
  <c r="AH1360" i="2"/>
  <c r="AP1360" i="2" s="1"/>
  <c r="AH1361" i="2"/>
  <c r="AP1361" i="2" s="1"/>
  <c r="AH1362" i="2"/>
  <c r="AP1362" i="2" s="1"/>
  <c r="AH1363" i="2"/>
  <c r="AP1363" i="2" s="1"/>
  <c r="AH1364" i="2"/>
  <c r="AP1364" i="2" s="1"/>
  <c r="AH1365" i="2"/>
  <c r="AP1365" i="2" s="1"/>
  <c r="AH1366" i="2"/>
  <c r="AP1366" i="2" s="1"/>
  <c r="AH1367" i="2"/>
  <c r="AP1367" i="2" s="1"/>
  <c r="AH1368" i="2"/>
  <c r="AP1368" i="2" s="1"/>
  <c r="AH1369" i="2"/>
  <c r="AP1369" i="2" s="1"/>
  <c r="AH1370" i="2"/>
  <c r="AP1370" i="2" s="1"/>
  <c r="AH1371" i="2"/>
  <c r="AP1371" i="2" s="1"/>
  <c r="AH1372" i="2"/>
  <c r="AP1372" i="2" s="1"/>
  <c r="AH1373" i="2"/>
  <c r="AP1373" i="2" s="1"/>
  <c r="AH1374" i="2"/>
  <c r="AP1374" i="2" s="1"/>
  <c r="AH1375" i="2"/>
  <c r="AP1375" i="2" s="1"/>
  <c r="AH1376" i="2"/>
  <c r="AP1376" i="2" s="1"/>
  <c r="AH1377" i="2"/>
  <c r="AP1377" i="2" s="1"/>
  <c r="AH1378" i="2"/>
  <c r="AP1378" i="2" s="1"/>
  <c r="AH1379" i="2"/>
  <c r="AP1379" i="2" s="1"/>
  <c r="AH1380" i="2"/>
  <c r="AP1380" i="2" s="1"/>
  <c r="AH1381" i="2"/>
  <c r="AP1381" i="2" s="1"/>
  <c r="AH1382" i="2"/>
  <c r="AP1382" i="2" s="1"/>
  <c r="AH1383" i="2"/>
  <c r="AP1383" i="2" s="1"/>
  <c r="AH1384" i="2"/>
  <c r="AP1384" i="2" s="1"/>
  <c r="AH1385" i="2"/>
  <c r="AP1385" i="2" s="1"/>
  <c r="AH1386" i="2"/>
  <c r="AP1386" i="2" s="1"/>
  <c r="AH1387" i="2"/>
  <c r="AP1387" i="2" s="1"/>
  <c r="AH1388" i="2"/>
  <c r="AP1388" i="2" s="1"/>
  <c r="AH1389" i="2"/>
  <c r="AP1389" i="2" s="1"/>
  <c r="AH1390" i="2"/>
  <c r="AP1390" i="2" s="1"/>
  <c r="AH1391" i="2"/>
  <c r="AP1391" i="2" s="1"/>
  <c r="AH1392" i="2"/>
  <c r="AP1392" i="2" s="1"/>
  <c r="AH1393" i="2"/>
  <c r="AP1393" i="2" s="1"/>
  <c r="AH1394" i="2"/>
  <c r="AP1394" i="2" s="1"/>
  <c r="AH1395" i="2"/>
  <c r="AP1395" i="2" s="1"/>
  <c r="AH1396" i="2"/>
  <c r="AP1396" i="2" s="1"/>
  <c r="AH1397" i="2"/>
  <c r="AP1397" i="2" s="1"/>
  <c r="AH1398" i="2"/>
  <c r="AP1398" i="2" s="1"/>
  <c r="AH1399" i="2"/>
  <c r="AP1399" i="2" s="1"/>
  <c r="AH1400" i="2"/>
  <c r="AP1400" i="2" s="1"/>
  <c r="AH1401" i="2"/>
  <c r="AP1401" i="2" s="1"/>
  <c r="AH1402" i="2"/>
  <c r="AP1402" i="2" s="1"/>
  <c r="AH1403" i="2"/>
  <c r="AP1403" i="2" s="1"/>
  <c r="AH1404" i="2"/>
  <c r="AP1404" i="2" s="1"/>
  <c r="AH1405" i="2"/>
  <c r="AP1405" i="2" s="1"/>
  <c r="AH1406" i="2"/>
  <c r="AP1406" i="2" s="1"/>
  <c r="AH1407" i="2"/>
  <c r="AP1407" i="2" s="1"/>
  <c r="AH1408" i="2"/>
  <c r="AP1408" i="2" s="1"/>
  <c r="AH1409" i="2"/>
  <c r="AP1409" i="2" s="1"/>
  <c r="AH1410" i="2"/>
  <c r="AP1410" i="2" s="1"/>
  <c r="AH1411" i="2"/>
  <c r="AP1411" i="2" s="1"/>
  <c r="AH1412" i="2"/>
  <c r="AP1412" i="2" s="1"/>
  <c r="AH1413" i="2"/>
  <c r="AP1413" i="2" s="1"/>
  <c r="AH1414" i="2"/>
  <c r="AP1414" i="2" s="1"/>
  <c r="AH1415" i="2"/>
  <c r="AP1415" i="2" s="1"/>
  <c r="AH1416" i="2"/>
  <c r="AP1416" i="2" s="1"/>
  <c r="AH1417" i="2"/>
  <c r="AP1417" i="2" s="1"/>
  <c r="AH1418" i="2"/>
  <c r="AP1418" i="2" s="1"/>
  <c r="AH1419" i="2"/>
  <c r="AP1419" i="2" s="1"/>
  <c r="AH1420" i="2"/>
  <c r="AP1420" i="2" s="1"/>
  <c r="AH1421" i="2"/>
  <c r="AP1421" i="2" s="1"/>
  <c r="AH1422" i="2"/>
  <c r="AP1422" i="2" s="1"/>
  <c r="AH1423" i="2"/>
  <c r="AP1423" i="2" s="1"/>
  <c r="AH1424" i="2"/>
  <c r="AP1424" i="2" s="1"/>
  <c r="AH1425" i="2"/>
  <c r="AP1425" i="2" s="1"/>
  <c r="AH1426" i="2"/>
  <c r="AP1426" i="2" s="1"/>
  <c r="AH1427" i="2"/>
  <c r="AP1427" i="2" s="1"/>
  <c r="AH1428" i="2"/>
  <c r="AP1428" i="2" s="1"/>
  <c r="AH1429" i="2"/>
  <c r="AP1429" i="2" s="1"/>
  <c r="AH1430" i="2"/>
  <c r="AP1430" i="2" s="1"/>
  <c r="AH1431" i="2"/>
  <c r="AP1431" i="2" s="1"/>
  <c r="AH1432" i="2"/>
  <c r="AP1432" i="2" s="1"/>
  <c r="AH1433" i="2"/>
  <c r="AP1433" i="2" s="1"/>
  <c r="AH1434" i="2"/>
  <c r="AP1434" i="2" s="1"/>
  <c r="AH1435" i="2"/>
  <c r="AP1435" i="2" s="1"/>
  <c r="AH1436" i="2"/>
  <c r="AP1436" i="2" s="1"/>
  <c r="AH1437" i="2"/>
  <c r="AP1437" i="2" s="1"/>
  <c r="AH1438" i="2"/>
  <c r="AP1438" i="2" s="1"/>
  <c r="AH1439" i="2"/>
  <c r="AP1439" i="2" s="1"/>
  <c r="AH1440" i="2"/>
  <c r="AP1440" i="2" s="1"/>
  <c r="AH1441" i="2"/>
  <c r="AP1441" i="2" s="1"/>
  <c r="AH1442" i="2"/>
  <c r="AP1442" i="2" s="1"/>
  <c r="AH1443" i="2"/>
  <c r="AP1443" i="2" s="1"/>
  <c r="AH1444" i="2"/>
  <c r="AP1444" i="2" s="1"/>
  <c r="AH1445" i="2"/>
  <c r="AP1445" i="2" s="1"/>
  <c r="AH1446" i="2"/>
  <c r="AP1446" i="2" s="1"/>
  <c r="AH1447" i="2"/>
  <c r="AP1447" i="2" s="1"/>
  <c r="AH1448" i="2"/>
  <c r="AP1448" i="2" s="1"/>
  <c r="AH1449" i="2"/>
  <c r="AP1449" i="2" s="1"/>
  <c r="AH1450" i="2"/>
  <c r="AP1450" i="2" s="1"/>
  <c r="AH1451" i="2"/>
  <c r="AP1451" i="2" s="1"/>
  <c r="AH1452" i="2"/>
  <c r="AP1452" i="2" s="1"/>
  <c r="AH1453" i="2"/>
  <c r="AP1453" i="2" s="1"/>
  <c r="AH1454" i="2"/>
  <c r="AP1454" i="2" s="1"/>
  <c r="AH1455" i="2"/>
  <c r="AP1455" i="2" s="1"/>
  <c r="AH1456" i="2"/>
  <c r="AP1456" i="2" s="1"/>
  <c r="AH1457" i="2"/>
  <c r="AP1457" i="2" s="1"/>
  <c r="AH1458" i="2"/>
  <c r="AP1458" i="2" s="1"/>
  <c r="AH1459" i="2"/>
  <c r="AP1459" i="2" s="1"/>
  <c r="AH1460" i="2"/>
  <c r="AP1460" i="2" s="1"/>
  <c r="AH1461" i="2"/>
  <c r="AP1461" i="2" s="1"/>
  <c r="AH1462" i="2"/>
  <c r="AP1462" i="2" s="1"/>
  <c r="AH1463" i="2"/>
  <c r="AP1463" i="2" s="1"/>
  <c r="AH1464" i="2"/>
  <c r="AP1464" i="2" s="1"/>
  <c r="AH1465" i="2"/>
  <c r="AP1465" i="2" s="1"/>
  <c r="AH1466" i="2"/>
  <c r="AP1466" i="2" s="1"/>
  <c r="AH1467" i="2"/>
  <c r="AP1467" i="2" s="1"/>
  <c r="AH1468" i="2"/>
  <c r="AP1468" i="2" s="1"/>
  <c r="AH1469" i="2"/>
  <c r="AP1469" i="2" s="1"/>
  <c r="AH1470" i="2"/>
  <c r="AP1470" i="2" s="1"/>
  <c r="AH1471" i="2"/>
  <c r="AP1471" i="2" s="1"/>
  <c r="AH1472" i="2"/>
  <c r="AP1472" i="2" s="1"/>
  <c r="AH1473" i="2"/>
  <c r="AP1473" i="2" s="1"/>
  <c r="AH1474" i="2"/>
  <c r="AP1474" i="2" s="1"/>
  <c r="AH1475" i="2"/>
  <c r="AP1475" i="2" s="1"/>
  <c r="AH1476" i="2"/>
  <c r="AP1476" i="2" s="1"/>
  <c r="AH1477" i="2"/>
  <c r="AP1477" i="2" s="1"/>
  <c r="AH1478" i="2"/>
  <c r="AP1478" i="2" s="1"/>
  <c r="AH1479" i="2"/>
  <c r="AP1479" i="2" s="1"/>
  <c r="AH1480" i="2"/>
  <c r="AP1480" i="2" s="1"/>
  <c r="AH1481" i="2"/>
  <c r="AP1481" i="2" s="1"/>
  <c r="AH1482" i="2"/>
  <c r="AP1482" i="2" s="1"/>
  <c r="AH1483" i="2"/>
  <c r="AP1483" i="2" s="1"/>
  <c r="AH1484" i="2"/>
  <c r="AP1484" i="2" s="1"/>
  <c r="AH1485" i="2"/>
  <c r="AP1485" i="2" s="1"/>
  <c r="AH1486" i="2"/>
  <c r="AP1486" i="2" s="1"/>
  <c r="AH1487" i="2"/>
  <c r="AP1487" i="2" s="1"/>
  <c r="AH1488" i="2"/>
  <c r="AP1488" i="2" s="1"/>
  <c r="AH1489" i="2"/>
  <c r="AP1489" i="2" s="1"/>
  <c r="AH1490" i="2"/>
  <c r="AP1490" i="2" s="1"/>
  <c r="AH1491" i="2"/>
  <c r="AP1491" i="2" s="1"/>
  <c r="AH1492" i="2"/>
  <c r="AP1492" i="2" s="1"/>
  <c r="AH1493" i="2"/>
  <c r="AP1493" i="2" s="1"/>
  <c r="AH1494" i="2"/>
  <c r="AP1494" i="2" s="1"/>
  <c r="AH1495" i="2"/>
  <c r="AP1495" i="2" s="1"/>
  <c r="AH1496" i="2"/>
  <c r="AP1496" i="2" s="1"/>
  <c r="AH1497" i="2"/>
  <c r="AP1497" i="2" s="1"/>
  <c r="AH1498" i="2"/>
  <c r="AP1498" i="2" s="1"/>
  <c r="AH1499" i="2"/>
  <c r="AP1499" i="2" s="1"/>
  <c r="AH1500" i="2"/>
  <c r="AP1500" i="2" s="1"/>
  <c r="AH1501" i="2"/>
  <c r="AP1501" i="2" s="1"/>
  <c r="AH1502" i="2"/>
  <c r="AP1502" i="2" s="1"/>
  <c r="AH1503" i="2"/>
  <c r="AP1503" i="2" s="1"/>
  <c r="AH1504" i="2"/>
  <c r="AP1504" i="2" s="1"/>
  <c r="AH1505" i="2"/>
  <c r="AP1505" i="2" s="1"/>
  <c r="AH1506" i="2"/>
  <c r="AP1506" i="2" s="1"/>
  <c r="AH1507" i="2"/>
  <c r="AP1507" i="2" s="1"/>
  <c r="AH1508" i="2"/>
  <c r="AP1508" i="2" s="1"/>
  <c r="AH1509" i="2"/>
  <c r="AP1509" i="2" s="1"/>
  <c r="AH1510" i="2"/>
  <c r="AP1510" i="2" s="1"/>
  <c r="AH1511" i="2"/>
  <c r="AP1511" i="2" s="1"/>
  <c r="AH1512" i="2"/>
  <c r="AP1512" i="2" s="1"/>
  <c r="AH1513" i="2"/>
  <c r="AP1513" i="2" s="1"/>
  <c r="AH1514" i="2"/>
  <c r="AP1514" i="2" s="1"/>
  <c r="AH1515" i="2"/>
  <c r="AP1515" i="2" s="1"/>
  <c r="AH1516" i="2"/>
  <c r="AP1516" i="2" s="1"/>
  <c r="AH1517" i="2"/>
  <c r="AP1517" i="2" s="1"/>
  <c r="AH1518" i="2"/>
  <c r="AP1518" i="2" s="1"/>
  <c r="AH1519" i="2"/>
  <c r="AP1519" i="2" s="1"/>
  <c r="AH1520" i="2"/>
  <c r="AP1520" i="2" s="1"/>
  <c r="AH1521" i="2"/>
  <c r="AP1521" i="2" s="1"/>
  <c r="AH1522" i="2"/>
  <c r="AP1522" i="2" s="1"/>
  <c r="AH1523" i="2"/>
  <c r="AP1523" i="2" s="1"/>
  <c r="AH1524" i="2"/>
  <c r="AP1524" i="2" s="1"/>
  <c r="AH1525" i="2"/>
  <c r="AP1525" i="2" s="1"/>
  <c r="AH1526" i="2"/>
  <c r="AP1526" i="2" s="1"/>
  <c r="AH1527" i="2"/>
  <c r="AP1527" i="2" s="1"/>
  <c r="AH1528" i="2"/>
  <c r="AP1528" i="2" s="1"/>
  <c r="AH1529" i="2"/>
  <c r="AP1529" i="2" s="1"/>
  <c r="AH1530" i="2"/>
  <c r="AP1530" i="2" s="1"/>
  <c r="AH1531" i="2"/>
  <c r="AP1531" i="2" s="1"/>
  <c r="AH1532" i="2"/>
  <c r="AP1532" i="2" s="1"/>
  <c r="AH1533" i="2"/>
  <c r="AP1533" i="2" s="1"/>
  <c r="AH1534" i="2"/>
  <c r="AP1534" i="2" s="1"/>
  <c r="AH1535" i="2"/>
  <c r="AP1535" i="2" s="1"/>
  <c r="AH1536" i="2"/>
  <c r="AP1536" i="2" s="1"/>
  <c r="AH1537" i="2"/>
  <c r="AP1537" i="2" s="1"/>
  <c r="AH1538" i="2"/>
  <c r="AP1538" i="2" s="1"/>
  <c r="AH1539" i="2"/>
  <c r="AP1539" i="2" s="1"/>
  <c r="AH1540" i="2"/>
  <c r="AP1540" i="2" s="1"/>
  <c r="AH1541" i="2"/>
  <c r="AP1541" i="2" s="1"/>
  <c r="AH1542" i="2"/>
  <c r="AP1542" i="2" s="1"/>
  <c r="AH1543" i="2"/>
  <c r="AP1543" i="2" s="1"/>
  <c r="AH1544" i="2"/>
  <c r="AP1544" i="2" s="1"/>
  <c r="AH1545" i="2"/>
  <c r="AP1545" i="2" s="1"/>
  <c r="AH1546" i="2"/>
  <c r="AP1546" i="2" s="1"/>
  <c r="AH1547" i="2"/>
  <c r="AP1547" i="2" s="1"/>
  <c r="AH1548" i="2"/>
  <c r="AP1548" i="2" s="1"/>
  <c r="AH1549" i="2"/>
  <c r="AP1549" i="2" s="1"/>
  <c r="AH1550" i="2"/>
  <c r="AP1550" i="2" s="1"/>
  <c r="AH1551" i="2"/>
  <c r="AP1551" i="2" s="1"/>
  <c r="AH1552" i="2"/>
  <c r="AP1552" i="2" s="1"/>
  <c r="AH1553" i="2"/>
  <c r="AP1553" i="2" s="1"/>
  <c r="AH1554" i="2"/>
  <c r="AP1554" i="2" s="1"/>
  <c r="AH1555" i="2"/>
  <c r="AP1555" i="2" s="1"/>
  <c r="AH1556" i="2"/>
  <c r="AP1556" i="2" s="1"/>
  <c r="AH1557" i="2"/>
  <c r="AP1557" i="2" s="1"/>
  <c r="AH1558" i="2"/>
  <c r="AP1558" i="2" s="1"/>
  <c r="AH1559" i="2"/>
  <c r="AP1559" i="2" s="1"/>
  <c r="AH1560" i="2"/>
  <c r="AP1560" i="2" s="1"/>
  <c r="AH1561" i="2"/>
  <c r="AP1561" i="2" s="1"/>
  <c r="AH1562" i="2"/>
  <c r="AP1562" i="2" s="1"/>
  <c r="AH1563" i="2"/>
  <c r="AP1563" i="2" s="1"/>
  <c r="AH1564" i="2"/>
  <c r="AP1564" i="2" s="1"/>
  <c r="AH1565" i="2"/>
  <c r="AP1565" i="2" s="1"/>
  <c r="AH1566" i="2"/>
  <c r="AP1566" i="2" s="1"/>
  <c r="AH1567" i="2"/>
  <c r="AP1567" i="2" s="1"/>
  <c r="AH1568" i="2"/>
  <c r="AP1568" i="2" s="1"/>
  <c r="AH1569" i="2"/>
  <c r="AP1569" i="2" s="1"/>
  <c r="AH1570" i="2"/>
  <c r="AP1570" i="2" s="1"/>
  <c r="AH1571" i="2"/>
  <c r="AP1571" i="2" s="1"/>
  <c r="AH1572" i="2"/>
  <c r="AP1572" i="2" s="1"/>
  <c r="AH1573" i="2"/>
  <c r="AP1573" i="2" s="1"/>
  <c r="AH1574" i="2"/>
  <c r="AP1574" i="2" s="1"/>
  <c r="AH1575" i="2"/>
  <c r="AP1575" i="2" s="1"/>
  <c r="AH1576" i="2"/>
  <c r="AP1576" i="2" s="1"/>
  <c r="AH1577" i="2"/>
  <c r="AP1577" i="2" s="1"/>
  <c r="AH1578" i="2"/>
  <c r="AP1578" i="2" s="1"/>
  <c r="AH1579" i="2"/>
  <c r="AP1579" i="2" s="1"/>
  <c r="AH1580" i="2"/>
  <c r="AP1580" i="2" s="1"/>
  <c r="AH1581" i="2"/>
  <c r="AP1581" i="2" s="1"/>
  <c r="AH1582" i="2"/>
  <c r="AP1582" i="2" s="1"/>
  <c r="AH1583" i="2"/>
  <c r="AP1583" i="2" s="1"/>
  <c r="AH1584" i="2"/>
  <c r="AP1584" i="2" s="1"/>
  <c r="AH1585" i="2"/>
  <c r="AP1585" i="2" s="1"/>
  <c r="AH1586" i="2"/>
  <c r="AP1586" i="2" s="1"/>
  <c r="AH1587" i="2"/>
  <c r="AP1587" i="2" s="1"/>
  <c r="AH1588" i="2"/>
  <c r="AP1588" i="2" s="1"/>
  <c r="AH1589" i="2"/>
  <c r="AP1589" i="2" s="1"/>
  <c r="AH1590" i="2"/>
  <c r="AP1590" i="2" s="1"/>
  <c r="AH1591" i="2"/>
  <c r="AP1591" i="2" s="1"/>
  <c r="AH1592" i="2"/>
  <c r="AP1592" i="2" s="1"/>
  <c r="AH1593" i="2"/>
  <c r="AP1593" i="2" s="1"/>
  <c r="AH1594" i="2"/>
  <c r="AP1594" i="2" s="1"/>
  <c r="AH1595" i="2"/>
  <c r="AP1595" i="2" s="1"/>
  <c r="AH1596" i="2"/>
  <c r="AP1596" i="2" s="1"/>
  <c r="AH1597" i="2"/>
  <c r="AP1597" i="2" s="1"/>
  <c r="AH1598" i="2"/>
  <c r="AP1598" i="2" s="1"/>
  <c r="AH1599" i="2"/>
  <c r="AP1599" i="2" s="1"/>
  <c r="AH1600" i="2"/>
  <c r="AP1600" i="2" s="1"/>
  <c r="AH1601" i="2"/>
  <c r="AP1601" i="2" s="1"/>
  <c r="AH1602" i="2"/>
  <c r="AP1602" i="2" s="1"/>
  <c r="AH1603" i="2"/>
  <c r="AP1603" i="2" s="1"/>
  <c r="AH1604" i="2"/>
  <c r="AP1604" i="2" s="1"/>
  <c r="AH1605" i="2"/>
  <c r="AP1605" i="2" s="1"/>
  <c r="AH1606" i="2"/>
  <c r="AP1606" i="2" s="1"/>
  <c r="AH1607" i="2"/>
  <c r="AP1607" i="2" s="1"/>
  <c r="AH1608" i="2"/>
  <c r="AP1608" i="2" s="1"/>
  <c r="AH1609" i="2"/>
  <c r="AP1609" i="2" s="1"/>
  <c r="AH1610" i="2"/>
  <c r="AP1610" i="2" s="1"/>
  <c r="AH1611" i="2"/>
  <c r="AP1611" i="2" s="1"/>
  <c r="AH1612" i="2"/>
  <c r="AP1612" i="2" s="1"/>
  <c r="AH1613" i="2"/>
  <c r="AP1613" i="2" s="1"/>
  <c r="AH1614" i="2"/>
  <c r="AP1614" i="2" s="1"/>
  <c r="AH1615" i="2"/>
  <c r="AP1615" i="2" s="1"/>
  <c r="AH1616" i="2"/>
  <c r="AP1616" i="2" s="1"/>
  <c r="AH1617" i="2"/>
  <c r="AP1617" i="2" s="1"/>
  <c r="AH1618" i="2"/>
  <c r="AP1618" i="2" s="1"/>
  <c r="AH1619" i="2"/>
  <c r="AP1619" i="2" s="1"/>
  <c r="AH1620" i="2"/>
  <c r="AP1620" i="2" s="1"/>
  <c r="AH1621" i="2"/>
  <c r="AP1621" i="2" s="1"/>
  <c r="AH1622" i="2"/>
  <c r="AP1622" i="2" s="1"/>
  <c r="AH1623" i="2"/>
  <c r="AP1623" i="2" s="1"/>
  <c r="AH1624" i="2"/>
  <c r="AP1624" i="2" s="1"/>
  <c r="AH1625" i="2"/>
  <c r="AP1625" i="2" s="1"/>
  <c r="AH1626" i="2"/>
  <c r="AP1626" i="2" s="1"/>
  <c r="AH1627" i="2"/>
  <c r="AP1627" i="2" s="1"/>
  <c r="AH1628" i="2"/>
  <c r="AP1628" i="2" s="1"/>
  <c r="AH1629" i="2"/>
  <c r="AP1629" i="2" s="1"/>
  <c r="AH1630" i="2"/>
  <c r="AP1630" i="2" s="1"/>
  <c r="AH1631" i="2"/>
  <c r="AP1631" i="2" s="1"/>
  <c r="AH1632" i="2"/>
  <c r="AP1632" i="2" s="1"/>
  <c r="AH1633" i="2"/>
  <c r="AP1633" i="2" s="1"/>
  <c r="AH1634" i="2"/>
  <c r="AP1634" i="2" s="1"/>
  <c r="AH1635" i="2"/>
  <c r="AP1635" i="2" s="1"/>
  <c r="AH1636" i="2"/>
  <c r="AP1636" i="2" s="1"/>
  <c r="AH1637" i="2"/>
  <c r="AP1637" i="2" s="1"/>
  <c r="AH1638" i="2"/>
  <c r="AP1638" i="2" s="1"/>
  <c r="AH1639" i="2"/>
  <c r="AP1639" i="2" s="1"/>
  <c r="AH1640" i="2"/>
  <c r="AP1640" i="2" s="1"/>
  <c r="AH1641" i="2"/>
  <c r="AP1641" i="2" s="1"/>
  <c r="AH1642" i="2"/>
  <c r="AP1642" i="2" s="1"/>
  <c r="AH1643" i="2"/>
  <c r="AP1643" i="2" s="1"/>
  <c r="AH1644" i="2"/>
  <c r="AP1644" i="2" s="1"/>
  <c r="AH1645" i="2"/>
  <c r="AP1645" i="2" s="1"/>
  <c r="AH1646" i="2"/>
  <c r="AP1646" i="2" s="1"/>
  <c r="AH1647" i="2"/>
  <c r="AP1647" i="2" s="1"/>
  <c r="AH1648" i="2"/>
  <c r="AP1648" i="2" s="1"/>
  <c r="AH1649" i="2"/>
  <c r="AP1649" i="2" s="1"/>
  <c r="AH1650" i="2"/>
  <c r="AP1650" i="2" s="1"/>
  <c r="AH1651" i="2"/>
  <c r="AP1651" i="2" s="1"/>
  <c r="AH1652" i="2"/>
  <c r="AP1652" i="2" s="1"/>
  <c r="AH1653" i="2"/>
  <c r="AP1653" i="2" s="1"/>
  <c r="AH1654" i="2"/>
  <c r="AP1654" i="2" s="1"/>
  <c r="AH1655" i="2"/>
  <c r="AP1655" i="2" s="1"/>
  <c r="AH1656" i="2"/>
  <c r="AP1656" i="2" s="1"/>
  <c r="AH1657" i="2"/>
  <c r="AP1657" i="2" s="1"/>
  <c r="AH1658" i="2"/>
  <c r="AP1658" i="2" s="1"/>
  <c r="AH1659" i="2"/>
  <c r="AP1659" i="2" s="1"/>
  <c r="AH1660" i="2"/>
  <c r="AP1660" i="2" s="1"/>
  <c r="AH1661" i="2"/>
  <c r="AP1661" i="2" s="1"/>
  <c r="AH1662" i="2"/>
  <c r="AP1662" i="2" s="1"/>
  <c r="AH1663" i="2"/>
  <c r="AP1663" i="2" s="1"/>
  <c r="AH1664" i="2"/>
  <c r="AP1664" i="2" s="1"/>
  <c r="AH1665" i="2"/>
  <c r="AP1665" i="2" s="1"/>
  <c r="AH1666" i="2"/>
  <c r="AP1666" i="2" s="1"/>
  <c r="AH1667" i="2"/>
  <c r="AP1667" i="2" s="1"/>
  <c r="AH1668" i="2"/>
  <c r="AP1668" i="2" s="1"/>
  <c r="AH1669" i="2"/>
  <c r="AP1669" i="2" s="1"/>
  <c r="AH1670" i="2"/>
  <c r="AP1670" i="2" s="1"/>
  <c r="AH1671" i="2"/>
  <c r="AP1671" i="2" s="1"/>
  <c r="AH1672" i="2"/>
  <c r="AP1672" i="2" s="1"/>
  <c r="AH1673" i="2"/>
  <c r="AP1673" i="2" s="1"/>
  <c r="AH1674" i="2"/>
  <c r="AP1674" i="2" s="1"/>
  <c r="AH1675" i="2"/>
  <c r="AP1675" i="2" s="1"/>
  <c r="AH1676" i="2"/>
  <c r="AP1676" i="2" s="1"/>
  <c r="AH1677" i="2"/>
  <c r="AP1677" i="2" s="1"/>
  <c r="AH1678" i="2"/>
  <c r="AP1678" i="2" s="1"/>
  <c r="AH1679" i="2"/>
  <c r="AP1679" i="2" s="1"/>
  <c r="AH1680" i="2"/>
  <c r="AP1680" i="2" s="1"/>
  <c r="AH1681" i="2"/>
  <c r="AP1681" i="2" s="1"/>
  <c r="AH1682" i="2"/>
  <c r="AP1682" i="2" s="1"/>
  <c r="AH1683" i="2"/>
  <c r="AP1683" i="2" s="1"/>
  <c r="AH1684" i="2"/>
  <c r="AP1684" i="2" s="1"/>
  <c r="AH1685" i="2"/>
  <c r="AP1685" i="2" s="1"/>
  <c r="AH1686" i="2"/>
  <c r="AP1686" i="2" s="1"/>
  <c r="AH1687" i="2"/>
  <c r="AP1687" i="2" s="1"/>
  <c r="AH1688" i="2"/>
  <c r="AP1688" i="2" s="1"/>
  <c r="AH1689" i="2"/>
  <c r="AP1689" i="2" s="1"/>
  <c r="AH1690" i="2"/>
  <c r="AP1690" i="2" s="1"/>
  <c r="AH1691" i="2"/>
  <c r="AP1691" i="2" s="1"/>
  <c r="AH1692" i="2"/>
  <c r="AP1692" i="2" s="1"/>
  <c r="AH1693" i="2"/>
  <c r="AP1693" i="2" s="1"/>
  <c r="AH1694" i="2"/>
  <c r="AP1694" i="2" s="1"/>
  <c r="AH1695" i="2"/>
  <c r="AP1695" i="2" s="1"/>
  <c r="AH1696" i="2"/>
  <c r="AP1696" i="2" s="1"/>
  <c r="AH1697" i="2"/>
  <c r="AP1697" i="2" s="1"/>
  <c r="AH1698" i="2"/>
  <c r="AP1698" i="2" s="1"/>
  <c r="AH1699" i="2"/>
  <c r="AP1699" i="2" s="1"/>
  <c r="AH1700" i="2"/>
  <c r="AP1700" i="2" s="1"/>
  <c r="AH1701" i="2"/>
  <c r="AP1701" i="2" s="1"/>
  <c r="AH1702" i="2"/>
  <c r="AP1702" i="2" s="1"/>
  <c r="AH1703" i="2"/>
  <c r="AP1703" i="2" s="1"/>
  <c r="AH1704" i="2"/>
  <c r="AP1704" i="2" s="1"/>
  <c r="AH1705" i="2"/>
  <c r="AP1705" i="2" s="1"/>
  <c r="AH1706" i="2"/>
  <c r="AP1706" i="2" s="1"/>
  <c r="AH1707" i="2"/>
  <c r="AP1707" i="2" s="1"/>
  <c r="AH1708" i="2"/>
  <c r="AP1708" i="2" s="1"/>
  <c r="AH1709" i="2"/>
  <c r="AP1709" i="2" s="1"/>
  <c r="AH1710" i="2"/>
  <c r="AP1710" i="2" s="1"/>
  <c r="AH1711" i="2"/>
  <c r="AP1711" i="2" s="1"/>
  <c r="AH1712" i="2"/>
  <c r="AP1712" i="2" s="1"/>
  <c r="AH1713" i="2"/>
  <c r="AP1713" i="2" s="1"/>
  <c r="AH1714" i="2"/>
  <c r="AP1714" i="2" s="1"/>
  <c r="AH1715" i="2"/>
  <c r="AP1715" i="2" s="1"/>
  <c r="AH1716" i="2"/>
  <c r="AP1716" i="2" s="1"/>
  <c r="AH1717" i="2"/>
  <c r="AP1717" i="2" s="1"/>
  <c r="AH1718" i="2"/>
  <c r="AP1718" i="2" s="1"/>
  <c r="AH1719" i="2"/>
  <c r="AP1719" i="2" s="1"/>
  <c r="AH1720" i="2"/>
  <c r="AP1720" i="2" s="1"/>
  <c r="AH1721" i="2"/>
  <c r="AP1721" i="2" s="1"/>
  <c r="AH1722" i="2"/>
  <c r="AP1722" i="2" s="1"/>
  <c r="AH1723" i="2"/>
  <c r="AP1723" i="2" s="1"/>
  <c r="AH1724" i="2"/>
  <c r="AP1724" i="2" s="1"/>
  <c r="AH1725" i="2"/>
  <c r="AP1725" i="2" s="1"/>
  <c r="AH1726" i="2"/>
  <c r="AP1726" i="2" s="1"/>
  <c r="AH1727" i="2"/>
  <c r="AP1727" i="2" s="1"/>
  <c r="AH1728" i="2"/>
  <c r="AP1728" i="2" s="1"/>
  <c r="AH1729" i="2"/>
  <c r="AP1729" i="2" s="1"/>
  <c r="AH1730" i="2"/>
  <c r="AP1730" i="2" s="1"/>
  <c r="AH1731" i="2"/>
  <c r="AP1731" i="2" s="1"/>
  <c r="AH1732" i="2"/>
  <c r="AP1732" i="2" s="1"/>
  <c r="AH1733" i="2"/>
  <c r="AP1733" i="2" s="1"/>
  <c r="AH1734" i="2"/>
  <c r="AP1734" i="2" s="1"/>
  <c r="AH1735" i="2"/>
  <c r="AP1735" i="2" s="1"/>
  <c r="AH1736" i="2"/>
  <c r="AP1736" i="2" s="1"/>
  <c r="AH1737" i="2"/>
  <c r="AP1737" i="2" s="1"/>
  <c r="AH1738" i="2"/>
  <c r="AP1738" i="2" s="1"/>
  <c r="AH1739" i="2"/>
  <c r="AP1739" i="2" s="1"/>
  <c r="AH1740" i="2"/>
  <c r="AP1740" i="2" s="1"/>
  <c r="AH1741" i="2"/>
  <c r="AP1741" i="2" s="1"/>
  <c r="AH1742" i="2"/>
  <c r="AP1742" i="2" s="1"/>
  <c r="AH1743" i="2"/>
  <c r="AP1743" i="2" s="1"/>
  <c r="AH1744" i="2"/>
  <c r="AP1744" i="2" s="1"/>
  <c r="AH1745" i="2"/>
  <c r="AP1745" i="2" s="1"/>
  <c r="AH1746" i="2"/>
  <c r="AP1746" i="2" s="1"/>
  <c r="AH1747" i="2"/>
  <c r="AP1747" i="2" s="1"/>
  <c r="AH1748" i="2"/>
  <c r="AP1748" i="2" s="1"/>
  <c r="AH1749" i="2"/>
  <c r="AP1749" i="2" s="1"/>
  <c r="AH1750" i="2"/>
  <c r="AP1750" i="2" s="1"/>
  <c r="AH1751" i="2"/>
  <c r="AP1751" i="2" s="1"/>
  <c r="AH1752" i="2"/>
  <c r="AP1752" i="2" s="1"/>
  <c r="AH1753" i="2"/>
  <c r="AP1753" i="2" s="1"/>
  <c r="AH1754" i="2"/>
  <c r="AP1754" i="2" s="1"/>
  <c r="AH1755" i="2"/>
  <c r="AP1755" i="2" s="1"/>
  <c r="AH1756" i="2"/>
  <c r="AP1756" i="2" s="1"/>
  <c r="AH1757" i="2"/>
  <c r="AP1757" i="2" s="1"/>
  <c r="AH1758" i="2"/>
  <c r="AP1758" i="2" s="1"/>
  <c r="AH1759" i="2"/>
  <c r="AP1759" i="2" s="1"/>
  <c r="AH1760" i="2"/>
  <c r="AP1760" i="2" s="1"/>
  <c r="AH1761" i="2"/>
  <c r="AP1761" i="2" s="1"/>
  <c r="AH1762" i="2"/>
  <c r="AP1762" i="2" s="1"/>
  <c r="AH1763" i="2"/>
  <c r="AP1763" i="2" s="1"/>
  <c r="AH1764" i="2"/>
  <c r="AP1764" i="2" s="1"/>
  <c r="AH1765" i="2"/>
  <c r="AP1765" i="2" s="1"/>
  <c r="AH1766" i="2"/>
  <c r="AP1766" i="2" s="1"/>
  <c r="AH1767" i="2"/>
  <c r="AP1767" i="2" s="1"/>
  <c r="AH1768" i="2"/>
  <c r="AP1768" i="2" s="1"/>
  <c r="AH1769" i="2"/>
  <c r="AP1769" i="2" s="1"/>
  <c r="AH1770" i="2"/>
  <c r="AP1770" i="2" s="1"/>
  <c r="AH1771" i="2"/>
  <c r="AP1771" i="2" s="1"/>
  <c r="AH1772" i="2"/>
  <c r="AP1772" i="2" s="1"/>
  <c r="AH1773" i="2"/>
  <c r="AP1773" i="2" s="1"/>
  <c r="AH1774" i="2"/>
  <c r="AP1774" i="2" s="1"/>
  <c r="AH1775" i="2"/>
  <c r="AP1775" i="2" s="1"/>
  <c r="AH1776" i="2"/>
  <c r="AP1776" i="2" s="1"/>
  <c r="AH1777" i="2"/>
  <c r="AP1777" i="2" s="1"/>
  <c r="AH1778" i="2"/>
  <c r="AP1778" i="2" s="1"/>
  <c r="AH1779" i="2"/>
  <c r="AP1779" i="2" s="1"/>
  <c r="AH1780" i="2"/>
  <c r="AP1780" i="2" s="1"/>
  <c r="AH1781" i="2"/>
  <c r="AP1781" i="2" s="1"/>
  <c r="AH1782" i="2"/>
  <c r="AP1782" i="2" s="1"/>
  <c r="AH1783" i="2"/>
  <c r="AP1783" i="2" s="1"/>
  <c r="AH1784" i="2"/>
  <c r="AP1784" i="2" s="1"/>
  <c r="AH1785" i="2"/>
  <c r="AP1785" i="2" s="1"/>
  <c r="AH1786" i="2"/>
  <c r="AP1786" i="2" s="1"/>
  <c r="AH1787" i="2"/>
  <c r="AP1787" i="2" s="1"/>
  <c r="AH1788" i="2"/>
  <c r="AP1788" i="2" s="1"/>
  <c r="AH1789" i="2"/>
  <c r="AP1789" i="2" s="1"/>
  <c r="AH1790" i="2"/>
  <c r="AP1790" i="2" s="1"/>
  <c r="AH1791" i="2"/>
  <c r="AP1791" i="2" s="1"/>
  <c r="AH1792" i="2"/>
  <c r="AP1792" i="2" s="1"/>
  <c r="AH1793" i="2"/>
  <c r="AP1793" i="2" s="1"/>
  <c r="AH1794" i="2"/>
  <c r="AP1794" i="2" s="1"/>
  <c r="AH1795" i="2"/>
  <c r="AP1795" i="2" s="1"/>
  <c r="AH1796" i="2"/>
  <c r="AP1796" i="2" s="1"/>
  <c r="AH1797" i="2"/>
  <c r="AP1797" i="2" s="1"/>
  <c r="AH1798" i="2"/>
  <c r="AP1798" i="2" s="1"/>
  <c r="AH1799" i="2"/>
  <c r="AP1799" i="2" s="1"/>
  <c r="AH1800" i="2"/>
  <c r="AP1800" i="2" s="1"/>
  <c r="AH1801" i="2"/>
  <c r="AP1801" i="2" s="1"/>
  <c r="AH1802" i="2"/>
  <c r="AP1802" i="2" s="1"/>
  <c r="AH1803" i="2"/>
  <c r="AP1803" i="2" s="1"/>
  <c r="AH1804" i="2"/>
  <c r="AP1804" i="2" s="1"/>
  <c r="AH1805" i="2"/>
  <c r="AP1805" i="2" s="1"/>
  <c r="AH1806" i="2"/>
  <c r="AP1806" i="2" s="1"/>
  <c r="AH1807" i="2"/>
  <c r="AP1807" i="2" s="1"/>
  <c r="AH1808" i="2"/>
  <c r="AP1808" i="2" s="1"/>
  <c r="AH1809" i="2"/>
  <c r="AP1809" i="2" s="1"/>
  <c r="AH1810" i="2"/>
  <c r="AP1810" i="2" s="1"/>
  <c r="AH1811" i="2"/>
  <c r="AP1811" i="2" s="1"/>
  <c r="AH1812" i="2"/>
  <c r="AP1812" i="2" s="1"/>
  <c r="AH1813" i="2"/>
  <c r="AP1813" i="2" s="1"/>
  <c r="AH1814" i="2"/>
  <c r="AP1814" i="2" s="1"/>
  <c r="AH1815" i="2"/>
  <c r="AP1815" i="2" s="1"/>
  <c r="AH1816" i="2"/>
  <c r="AP1816" i="2" s="1"/>
  <c r="AH1817" i="2"/>
  <c r="AP1817" i="2" s="1"/>
  <c r="AH1818" i="2"/>
  <c r="AP1818" i="2" s="1"/>
  <c r="AH1819" i="2"/>
  <c r="AP1819" i="2" s="1"/>
  <c r="AH1820" i="2"/>
  <c r="AP1820" i="2" s="1"/>
  <c r="AH1821" i="2"/>
  <c r="AP1821" i="2" s="1"/>
  <c r="AH1822" i="2"/>
  <c r="AP1822" i="2" s="1"/>
  <c r="AH1823" i="2"/>
  <c r="AP1823" i="2" s="1"/>
  <c r="AH1824" i="2"/>
  <c r="AP1824" i="2" s="1"/>
  <c r="AH1825" i="2"/>
  <c r="AP1825" i="2" s="1"/>
  <c r="AH1826" i="2"/>
  <c r="AP1826" i="2" s="1"/>
  <c r="AH1827" i="2"/>
  <c r="AP1827" i="2" s="1"/>
  <c r="AH1828" i="2"/>
  <c r="AP1828" i="2" s="1"/>
  <c r="AH1829" i="2"/>
  <c r="AP1829" i="2" s="1"/>
  <c r="AH1830" i="2"/>
  <c r="AP1830" i="2" s="1"/>
  <c r="AH1831" i="2"/>
  <c r="AP1831" i="2" s="1"/>
  <c r="AH1832" i="2"/>
  <c r="AP1832" i="2" s="1"/>
  <c r="AH1833" i="2"/>
  <c r="AP1833" i="2" s="1"/>
  <c r="AH1834" i="2"/>
  <c r="AP1834" i="2" s="1"/>
  <c r="AH1835" i="2"/>
  <c r="AP1835" i="2" s="1"/>
  <c r="AH1836" i="2"/>
  <c r="AP1836" i="2" s="1"/>
  <c r="AH1837" i="2"/>
  <c r="AP1837" i="2" s="1"/>
  <c r="AH1838" i="2"/>
  <c r="AP1838" i="2" s="1"/>
  <c r="AH1839" i="2"/>
  <c r="AP1839" i="2" s="1"/>
  <c r="AH1840" i="2"/>
  <c r="AP1840" i="2" s="1"/>
  <c r="AH1841" i="2"/>
  <c r="AP1841" i="2" s="1"/>
  <c r="AH1842" i="2"/>
  <c r="AP1842" i="2" s="1"/>
  <c r="AH1843" i="2"/>
  <c r="AP1843" i="2" s="1"/>
  <c r="AH1844" i="2"/>
  <c r="AP1844" i="2" s="1"/>
  <c r="AH1845" i="2"/>
  <c r="AP1845" i="2" s="1"/>
  <c r="AH1846" i="2"/>
  <c r="AP1846" i="2" s="1"/>
  <c r="AH1847" i="2"/>
  <c r="AP1847" i="2" s="1"/>
  <c r="AH1848" i="2"/>
  <c r="AP1848" i="2" s="1"/>
  <c r="AH1849" i="2"/>
  <c r="AP1849" i="2" s="1"/>
  <c r="AH1850" i="2"/>
  <c r="AP1850" i="2" s="1"/>
  <c r="AH1851" i="2"/>
  <c r="AP1851" i="2" s="1"/>
  <c r="AH1852" i="2"/>
  <c r="AP1852" i="2" s="1"/>
  <c r="AH1853" i="2"/>
  <c r="AP1853" i="2" s="1"/>
  <c r="AH1854" i="2"/>
  <c r="AP1854" i="2" s="1"/>
  <c r="AH1855" i="2"/>
  <c r="AP1855" i="2" s="1"/>
  <c r="AH1856" i="2"/>
  <c r="AP1856" i="2" s="1"/>
  <c r="AH1857" i="2"/>
  <c r="AP1857" i="2" s="1"/>
  <c r="AH1858" i="2"/>
  <c r="AP1858" i="2" s="1"/>
  <c r="AH1859" i="2"/>
  <c r="AP1859" i="2" s="1"/>
  <c r="AH1860" i="2"/>
  <c r="AP1860" i="2" s="1"/>
  <c r="AH1861" i="2"/>
  <c r="AP1861" i="2" s="1"/>
  <c r="AH1862" i="2"/>
  <c r="AP1862" i="2" s="1"/>
  <c r="AH1863" i="2"/>
  <c r="AP1863" i="2" s="1"/>
  <c r="AH1864" i="2"/>
  <c r="AP1864" i="2" s="1"/>
  <c r="AH1865" i="2"/>
  <c r="AP1865" i="2" s="1"/>
  <c r="AH1866" i="2"/>
  <c r="AP1866" i="2" s="1"/>
  <c r="AH1867" i="2"/>
  <c r="AP1867" i="2" s="1"/>
  <c r="AH1868" i="2"/>
  <c r="AP1868" i="2" s="1"/>
  <c r="AH1869" i="2"/>
  <c r="AP1869" i="2" s="1"/>
  <c r="AH1870" i="2"/>
  <c r="AP1870" i="2" s="1"/>
  <c r="AH1871" i="2"/>
  <c r="AP1871" i="2" s="1"/>
  <c r="AH1872" i="2"/>
  <c r="AP1872" i="2" s="1"/>
  <c r="AH1873" i="2"/>
  <c r="AP1873" i="2" s="1"/>
  <c r="AH1874" i="2"/>
  <c r="AP1874" i="2" s="1"/>
  <c r="AH1875" i="2"/>
  <c r="AP1875" i="2" s="1"/>
  <c r="AH1876" i="2"/>
  <c r="AP1876" i="2" s="1"/>
  <c r="AH1877" i="2"/>
  <c r="AP1877" i="2" s="1"/>
  <c r="AH1878" i="2"/>
  <c r="AP1878" i="2" s="1"/>
  <c r="AH1879" i="2"/>
  <c r="AP1879" i="2" s="1"/>
  <c r="AH1880" i="2"/>
  <c r="AP1880" i="2" s="1"/>
  <c r="AH1881" i="2"/>
  <c r="AP1881" i="2" s="1"/>
  <c r="AH1882" i="2"/>
  <c r="AP1882" i="2" s="1"/>
  <c r="AH1883" i="2"/>
  <c r="AP1883" i="2" s="1"/>
  <c r="AH1884" i="2"/>
  <c r="AP1884" i="2" s="1"/>
  <c r="AH1885" i="2"/>
  <c r="AP1885" i="2" s="1"/>
  <c r="AH1886" i="2"/>
  <c r="AP1886" i="2" s="1"/>
  <c r="AH1887" i="2"/>
  <c r="AP1887" i="2" s="1"/>
  <c r="AH1888" i="2"/>
  <c r="AP1888" i="2" s="1"/>
  <c r="AH1889" i="2"/>
  <c r="AP1889" i="2" s="1"/>
  <c r="AH1890" i="2"/>
  <c r="AP1890" i="2" s="1"/>
  <c r="AH1891" i="2"/>
  <c r="AP1891" i="2" s="1"/>
  <c r="AH1892" i="2"/>
  <c r="AP1892" i="2" s="1"/>
  <c r="AH1893" i="2"/>
  <c r="AP1893" i="2" s="1"/>
  <c r="AH1894" i="2"/>
  <c r="AP1894" i="2" s="1"/>
  <c r="AH1895" i="2"/>
  <c r="AP1895" i="2" s="1"/>
  <c r="AH1896" i="2"/>
  <c r="AP1896" i="2" s="1"/>
  <c r="AH1897" i="2"/>
  <c r="AP1897" i="2" s="1"/>
  <c r="AH1898" i="2"/>
  <c r="AP1898" i="2" s="1"/>
  <c r="AH1899" i="2"/>
  <c r="AP1899" i="2" s="1"/>
  <c r="AH1900" i="2"/>
  <c r="AP1900" i="2" s="1"/>
  <c r="AH1901" i="2"/>
  <c r="AP1901" i="2" s="1"/>
  <c r="AH1902" i="2"/>
  <c r="AP1902" i="2" s="1"/>
  <c r="AH1903" i="2"/>
  <c r="AP1903" i="2" s="1"/>
  <c r="AH1904" i="2"/>
  <c r="AP1904" i="2" s="1"/>
  <c r="AH1905" i="2"/>
  <c r="AP1905" i="2" s="1"/>
  <c r="AH1906" i="2"/>
  <c r="AP1906" i="2" s="1"/>
  <c r="AH1907" i="2"/>
  <c r="AP1907" i="2" s="1"/>
  <c r="AH1908" i="2"/>
  <c r="AP1908" i="2" s="1"/>
  <c r="AH1909" i="2"/>
  <c r="AP1909" i="2" s="1"/>
  <c r="AH1910" i="2"/>
  <c r="AP1910" i="2" s="1"/>
  <c r="AH1911" i="2"/>
  <c r="AP1911" i="2" s="1"/>
  <c r="AH1912" i="2"/>
  <c r="AP1912" i="2" s="1"/>
  <c r="AH1913" i="2"/>
  <c r="AP1913" i="2" s="1"/>
  <c r="AH1914" i="2"/>
  <c r="AP1914" i="2" s="1"/>
  <c r="AH1915" i="2"/>
  <c r="AP1915" i="2" s="1"/>
  <c r="AH1916" i="2"/>
  <c r="AP1916" i="2" s="1"/>
  <c r="AH1917" i="2"/>
  <c r="AP1917" i="2" s="1"/>
  <c r="AH1918" i="2"/>
  <c r="AP1918" i="2" s="1"/>
  <c r="AH1919" i="2"/>
  <c r="AP1919" i="2" s="1"/>
  <c r="AH1920" i="2"/>
  <c r="AP1920" i="2" s="1"/>
  <c r="AH1921" i="2"/>
  <c r="AP1921" i="2" s="1"/>
  <c r="AH1922" i="2"/>
  <c r="AP1922" i="2" s="1"/>
  <c r="AH1923" i="2"/>
  <c r="AP1923" i="2" s="1"/>
  <c r="AH1924" i="2"/>
  <c r="AP1924" i="2" s="1"/>
  <c r="AH1925" i="2"/>
  <c r="AP1925" i="2" s="1"/>
  <c r="AH1926" i="2"/>
  <c r="AP1926" i="2" s="1"/>
  <c r="AH1927" i="2"/>
  <c r="AP1927" i="2" s="1"/>
  <c r="AH1928" i="2"/>
  <c r="AP1928" i="2" s="1"/>
  <c r="AH1929" i="2"/>
  <c r="AP1929" i="2" s="1"/>
  <c r="AH1930" i="2"/>
  <c r="AP1930" i="2" s="1"/>
  <c r="AH1931" i="2"/>
  <c r="AP1931" i="2" s="1"/>
  <c r="AH1932" i="2"/>
  <c r="AP1932" i="2" s="1"/>
  <c r="AH1933" i="2"/>
  <c r="AP1933" i="2" s="1"/>
  <c r="AH1934" i="2"/>
  <c r="AP1934" i="2" s="1"/>
  <c r="AH1935" i="2"/>
  <c r="AP1935" i="2" s="1"/>
  <c r="AH1936" i="2"/>
  <c r="AP1936" i="2" s="1"/>
  <c r="AH1937" i="2"/>
  <c r="AP1937" i="2" s="1"/>
  <c r="AH1938" i="2"/>
  <c r="AP1938" i="2" s="1"/>
  <c r="AH1939" i="2"/>
  <c r="AP1939" i="2" s="1"/>
  <c r="AH1940" i="2"/>
  <c r="AP1940" i="2" s="1"/>
  <c r="AH1941" i="2"/>
  <c r="AP1941" i="2" s="1"/>
  <c r="AH1942" i="2"/>
  <c r="AP1942" i="2" s="1"/>
  <c r="AH1943" i="2"/>
  <c r="AP1943" i="2" s="1"/>
  <c r="AH1944" i="2"/>
  <c r="AP1944" i="2" s="1"/>
  <c r="AH1945" i="2"/>
  <c r="AP1945" i="2" s="1"/>
  <c r="AH1946" i="2"/>
  <c r="AP1946" i="2" s="1"/>
  <c r="AH1947" i="2"/>
  <c r="AP1947" i="2" s="1"/>
  <c r="AH1948" i="2"/>
  <c r="AP1948" i="2" s="1"/>
  <c r="AH1949" i="2"/>
  <c r="AP1949" i="2" s="1"/>
  <c r="AH1950" i="2"/>
  <c r="AP1950" i="2" s="1"/>
  <c r="AH1951" i="2"/>
  <c r="AP1951" i="2" s="1"/>
  <c r="AH1952" i="2"/>
  <c r="AP1952" i="2" s="1"/>
  <c r="AH1953" i="2"/>
  <c r="AP1953" i="2" s="1"/>
  <c r="AH1954" i="2"/>
  <c r="AP1954" i="2" s="1"/>
  <c r="AH1955" i="2"/>
  <c r="AP1955" i="2" s="1"/>
  <c r="AH1956" i="2"/>
  <c r="AP1956" i="2" s="1"/>
  <c r="AH1957" i="2"/>
  <c r="AP1957" i="2" s="1"/>
  <c r="AH1958" i="2"/>
  <c r="AP1958" i="2" s="1"/>
  <c r="AH1959" i="2"/>
  <c r="AP1959" i="2" s="1"/>
  <c r="AH1960" i="2"/>
  <c r="AP1960" i="2" s="1"/>
  <c r="AH1961" i="2"/>
  <c r="AP1961" i="2" s="1"/>
  <c r="AH1962" i="2"/>
  <c r="AP1962" i="2" s="1"/>
  <c r="AH1963" i="2"/>
  <c r="AP1963" i="2" s="1"/>
  <c r="AH1964" i="2"/>
  <c r="AP1964" i="2" s="1"/>
  <c r="AH1965" i="2"/>
  <c r="AP1965" i="2" s="1"/>
  <c r="AH1966" i="2"/>
  <c r="AP1966" i="2" s="1"/>
  <c r="AH1967" i="2"/>
  <c r="AP1967" i="2" s="1"/>
  <c r="AH1968" i="2"/>
  <c r="AP1968" i="2" s="1"/>
  <c r="AH1969" i="2"/>
  <c r="AP1969" i="2" s="1"/>
  <c r="AH1970" i="2"/>
  <c r="AP1970" i="2" s="1"/>
  <c r="AH1971" i="2"/>
  <c r="AP1971" i="2" s="1"/>
  <c r="AH1972" i="2"/>
  <c r="AP1972" i="2" s="1"/>
  <c r="AH1973" i="2"/>
  <c r="AP1973" i="2" s="1"/>
  <c r="AH1974" i="2"/>
  <c r="AP1974" i="2" s="1"/>
  <c r="AH1975" i="2"/>
  <c r="AP1975" i="2" s="1"/>
  <c r="AH1976" i="2"/>
  <c r="AP1976" i="2" s="1"/>
  <c r="AH1977" i="2"/>
  <c r="AP1977" i="2" s="1"/>
  <c r="AH1978" i="2"/>
  <c r="AP1978" i="2" s="1"/>
  <c r="AH1979" i="2"/>
  <c r="AP1979" i="2" s="1"/>
  <c r="AH1980" i="2"/>
  <c r="AP1980" i="2" s="1"/>
  <c r="AH1981" i="2"/>
  <c r="AP1981" i="2" s="1"/>
  <c r="AH1982" i="2"/>
  <c r="AP1982" i="2" s="1"/>
  <c r="AH1983" i="2"/>
  <c r="AP1983" i="2" s="1"/>
  <c r="AH1984" i="2"/>
  <c r="AP1984" i="2" s="1"/>
  <c r="AH1985" i="2"/>
  <c r="AP1985" i="2" s="1"/>
  <c r="AH1986" i="2"/>
  <c r="AP1986" i="2" s="1"/>
  <c r="AH1987" i="2"/>
  <c r="AP1987" i="2" s="1"/>
  <c r="AH1988" i="2"/>
  <c r="AP1988" i="2" s="1"/>
  <c r="AH1989" i="2"/>
  <c r="AP1989" i="2" s="1"/>
  <c r="AH1990" i="2"/>
  <c r="AP1990" i="2" s="1"/>
  <c r="AH1991" i="2"/>
  <c r="AP1991" i="2" s="1"/>
  <c r="AH1992" i="2"/>
  <c r="AP1992" i="2" s="1"/>
  <c r="AH1993" i="2"/>
  <c r="AP1993" i="2" s="1"/>
  <c r="AH1994" i="2"/>
  <c r="AP1994" i="2" s="1"/>
  <c r="AH1995" i="2"/>
  <c r="AP1995" i="2" s="1"/>
  <c r="AH1996" i="2"/>
  <c r="AP1996" i="2" s="1"/>
  <c r="AH1997" i="2"/>
  <c r="AP1997" i="2" s="1"/>
  <c r="AH1998" i="2"/>
  <c r="AP1998" i="2" s="1"/>
  <c r="AH1999" i="2"/>
  <c r="AP1999" i="2" s="1"/>
  <c r="AH2000" i="2"/>
  <c r="AP2000" i="2" s="1"/>
  <c r="AH2001" i="2"/>
  <c r="AP2001" i="2" s="1"/>
  <c r="AH2002" i="2"/>
  <c r="AP2002" i="2" s="1"/>
  <c r="AH2003" i="2"/>
  <c r="AP2003" i="2" s="1"/>
  <c r="AH2004" i="2"/>
  <c r="AP2004" i="2" s="1"/>
  <c r="AH2005" i="2"/>
  <c r="AP2005" i="2" s="1"/>
  <c r="AH2006" i="2"/>
  <c r="AP2006" i="2" s="1"/>
  <c r="AH2007" i="2"/>
  <c r="AP2007" i="2" s="1"/>
  <c r="AH2008" i="2"/>
  <c r="AP2008" i="2" s="1"/>
  <c r="AH2009" i="2"/>
  <c r="AP2009" i="2" s="1"/>
  <c r="AH2010" i="2"/>
  <c r="AP2010" i="2" s="1"/>
  <c r="AH2011" i="2"/>
  <c r="AP2011" i="2" s="1"/>
  <c r="AH2012" i="2"/>
  <c r="AP2012" i="2" s="1"/>
  <c r="AH2013" i="2"/>
  <c r="AP2013" i="2" s="1"/>
  <c r="AH2014" i="2"/>
  <c r="AP2014" i="2" s="1"/>
  <c r="AH2015" i="2"/>
  <c r="AP2015" i="2" s="1"/>
  <c r="AH2016" i="2"/>
  <c r="AP2016" i="2" s="1"/>
  <c r="AH2017" i="2"/>
  <c r="AP2017" i="2" s="1"/>
  <c r="AH2018" i="2"/>
  <c r="AP2018" i="2" s="1"/>
  <c r="AH2019" i="2"/>
  <c r="AP2019" i="2" s="1"/>
  <c r="AH2020" i="2"/>
  <c r="AP2020" i="2" s="1"/>
  <c r="AH2021" i="2"/>
  <c r="AP2021" i="2" s="1"/>
  <c r="AH2022" i="2"/>
  <c r="AP2022" i="2" s="1"/>
  <c r="AH2023" i="2"/>
  <c r="AP2023" i="2" s="1"/>
  <c r="AH2024" i="2"/>
  <c r="AP2024" i="2" s="1"/>
  <c r="AH2025" i="2"/>
  <c r="AP2025" i="2" s="1"/>
  <c r="AH2026" i="2"/>
  <c r="AP2026" i="2" s="1"/>
  <c r="AH2027" i="2"/>
  <c r="AP2027" i="2" s="1"/>
  <c r="AH2028" i="2"/>
  <c r="AP2028" i="2" s="1"/>
  <c r="AH2029" i="2"/>
  <c r="AP2029" i="2" s="1"/>
  <c r="AH2030" i="2"/>
  <c r="AP2030" i="2" s="1"/>
  <c r="AH2031" i="2"/>
  <c r="AP2031" i="2" s="1"/>
  <c r="AH2032" i="2"/>
  <c r="AP2032" i="2" s="1"/>
  <c r="AH2033" i="2"/>
  <c r="AP2033" i="2" s="1"/>
  <c r="AH2034" i="2"/>
  <c r="AP2034" i="2" s="1"/>
  <c r="AH2035" i="2"/>
  <c r="AP2035" i="2" s="1"/>
  <c r="AH2036" i="2"/>
  <c r="AP2036" i="2" s="1"/>
  <c r="AH2037" i="2"/>
  <c r="AP2037" i="2" s="1"/>
  <c r="AH2038" i="2"/>
  <c r="AP2038" i="2" s="1"/>
  <c r="AH2039" i="2"/>
  <c r="AP2039" i="2" s="1"/>
  <c r="AH2040" i="2"/>
  <c r="AP2040" i="2" s="1"/>
  <c r="AH2041" i="2"/>
  <c r="AP2041" i="2" s="1"/>
  <c r="AH2042" i="2"/>
  <c r="AP2042" i="2" s="1"/>
  <c r="AH2043" i="2"/>
  <c r="AP2043" i="2" s="1"/>
  <c r="AH2044" i="2"/>
  <c r="AP2044" i="2" s="1"/>
  <c r="AH2045" i="2"/>
  <c r="AP2045" i="2" s="1"/>
  <c r="AH2046" i="2"/>
  <c r="AP2046" i="2" s="1"/>
  <c r="AH2047" i="2"/>
  <c r="AP2047" i="2" s="1"/>
  <c r="AH2048" i="2"/>
  <c r="AP2048" i="2" s="1"/>
  <c r="AH2049" i="2"/>
  <c r="AP2049" i="2" s="1"/>
  <c r="AH2050" i="2"/>
  <c r="AP2050" i="2" s="1"/>
  <c r="AH2051" i="2"/>
  <c r="AP2051" i="2" s="1"/>
  <c r="AH2052" i="2"/>
  <c r="AP2052" i="2" s="1"/>
  <c r="AH2053" i="2"/>
  <c r="AP2053" i="2" s="1"/>
  <c r="AH2054" i="2"/>
  <c r="AP2054" i="2" s="1"/>
  <c r="AH2055" i="2"/>
  <c r="AP2055" i="2" s="1"/>
  <c r="AH2056" i="2"/>
  <c r="AP2056" i="2" s="1"/>
  <c r="AH2057" i="2"/>
  <c r="AP2057" i="2" s="1"/>
  <c r="AH2058" i="2"/>
  <c r="AP2058" i="2" s="1"/>
  <c r="AH2059" i="2"/>
  <c r="AP2059" i="2" s="1"/>
  <c r="AH2060" i="2"/>
  <c r="AP2060" i="2" s="1"/>
  <c r="AH2061" i="2"/>
  <c r="AP2061" i="2" s="1"/>
  <c r="AH2062" i="2"/>
  <c r="AP2062" i="2" s="1"/>
  <c r="AH2063" i="2"/>
  <c r="AP2063" i="2" s="1"/>
  <c r="AH2064" i="2"/>
  <c r="AP2064" i="2" s="1"/>
  <c r="AH2065" i="2"/>
  <c r="AP2065" i="2" s="1"/>
  <c r="AH2066" i="2"/>
  <c r="AP2066" i="2" s="1"/>
  <c r="AH2067" i="2"/>
  <c r="AP2067" i="2" s="1"/>
  <c r="AH2068" i="2"/>
  <c r="AP2068" i="2" s="1"/>
  <c r="AH2069" i="2"/>
  <c r="AP2069" i="2" s="1"/>
  <c r="AH2070" i="2"/>
  <c r="AP2070" i="2" s="1"/>
  <c r="AH2071" i="2"/>
  <c r="AP2071" i="2" s="1"/>
  <c r="AH2072" i="2"/>
  <c r="AP2072" i="2" s="1"/>
  <c r="AH2073" i="2"/>
  <c r="AP2073" i="2" s="1"/>
  <c r="AH2074" i="2"/>
  <c r="AP2074" i="2" s="1"/>
  <c r="AH2075" i="2"/>
  <c r="AP2075" i="2" s="1"/>
  <c r="AH2076" i="2"/>
  <c r="AP2076" i="2" s="1"/>
  <c r="AH2077" i="2"/>
  <c r="AP2077" i="2" s="1"/>
  <c r="AH2078" i="2"/>
  <c r="AP2078" i="2" s="1"/>
  <c r="AH2079" i="2"/>
  <c r="AP2079" i="2" s="1"/>
  <c r="AH2080" i="2"/>
  <c r="AP2080" i="2" s="1"/>
  <c r="AH2081" i="2"/>
  <c r="AP2081" i="2" s="1"/>
  <c r="AH2082" i="2"/>
  <c r="AP2082" i="2" s="1"/>
  <c r="AH2083" i="2"/>
  <c r="AP2083" i="2" s="1"/>
  <c r="AH2084" i="2"/>
  <c r="AP2084" i="2" s="1"/>
  <c r="AH2085" i="2"/>
  <c r="AP2085" i="2" s="1"/>
  <c r="AH2086" i="2"/>
  <c r="AP2086" i="2" s="1"/>
  <c r="AH2087" i="2"/>
  <c r="AP2087" i="2" s="1"/>
  <c r="AH2088" i="2"/>
  <c r="AP2088" i="2" s="1"/>
  <c r="AH2089" i="2"/>
  <c r="AP2089" i="2" s="1"/>
  <c r="AH2090" i="2"/>
  <c r="AP2090" i="2" s="1"/>
  <c r="AH2091" i="2"/>
  <c r="AP2091" i="2" s="1"/>
  <c r="AH2092" i="2"/>
  <c r="AP2092" i="2" s="1"/>
  <c r="AH2093" i="2"/>
  <c r="AP2093" i="2" s="1"/>
  <c r="AH2094" i="2"/>
  <c r="AP2094" i="2" s="1"/>
  <c r="AH2095" i="2"/>
  <c r="AP2095" i="2" s="1"/>
  <c r="AH2096" i="2"/>
  <c r="AP2096" i="2" s="1"/>
  <c r="AH2097" i="2"/>
  <c r="AP2097" i="2" s="1"/>
  <c r="AH2098" i="2"/>
  <c r="AP2098" i="2" s="1"/>
  <c r="AH2099" i="2"/>
  <c r="AP2099" i="2" s="1"/>
  <c r="AH2100" i="2"/>
  <c r="AP2100" i="2" s="1"/>
  <c r="AH2101" i="2"/>
  <c r="AP2101" i="2" s="1"/>
  <c r="AH2102" i="2"/>
  <c r="AP2102" i="2" s="1"/>
  <c r="AH2103" i="2"/>
  <c r="AP2103" i="2" s="1"/>
  <c r="AH2104" i="2"/>
  <c r="AP2104" i="2" s="1"/>
  <c r="AH2105" i="2"/>
  <c r="AP2105" i="2" s="1"/>
  <c r="AH2106" i="2"/>
  <c r="AP2106" i="2" s="1"/>
  <c r="AH2107" i="2"/>
  <c r="AP2107" i="2" s="1"/>
  <c r="AH2108" i="2"/>
  <c r="AP2108" i="2" s="1"/>
  <c r="AH2109" i="2"/>
  <c r="AP2109" i="2" s="1"/>
  <c r="AH2110" i="2"/>
  <c r="AP2110" i="2" s="1"/>
  <c r="AH2111" i="2"/>
  <c r="AP2111" i="2" s="1"/>
  <c r="AH2112" i="2"/>
  <c r="AP2112" i="2" s="1"/>
  <c r="AH2113" i="2"/>
  <c r="AP2113" i="2" s="1"/>
  <c r="AH2114" i="2"/>
  <c r="AP2114" i="2" s="1"/>
  <c r="AH2115" i="2"/>
  <c r="AP2115" i="2" s="1"/>
  <c r="AH2116" i="2"/>
  <c r="AP2116" i="2" s="1"/>
  <c r="AH2117" i="2"/>
  <c r="AP2117" i="2" s="1"/>
  <c r="AH2118" i="2"/>
  <c r="AP2118" i="2" s="1"/>
  <c r="AH2119" i="2"/>
  <c r="AP2119" i="2" s="1"/>
  <c r="AH2120" i="2"/>
  <c r="AP2120" i="2" s="1"/>
  <c r="AH2121" i="2"/>
  <c r="AP2121" i="2" s="1"/>
  <c r="AH2122" i="2"/>
  <c r="AP2122" i="2" s="1"/>
  <c r="AH2123" i="2"/>
  <c r="AP2123" i="2" s="1"/>
  <c r="AH2124" i="2"/>
  <c r="AP2124" i="2" s="1"/>
  <c r="AH2125" i="2"/>
  <c r="AP2125" i="2" s="1"/>
  <c r="AH2126" i="2"/>
  <c r="AP2126" i="2" s="1"/>
  <c r="AH2127" i="2"/>
  <c r="AP2127" i="2" s="1"/>
  <c r="AH2128" i="2"/>
  <c r="AP2128" i="2" s="1"/>
  <c r="AH2129" i="2"/>
  <c r="AP2129" i="2" s="1"/>
  <c r="AH2130" i="2"/>
  <c r="AP2130" i="2" s="1"/>
  <c r="AH2131" i="2"/>
  <c r="AP2131" i="2" s="1"/>
  <c r="AH2132" i="2"/>
  <c r="AP2132" i="2" s="1"/>
  <c r="AH2133" i="2"/>
  <c r="AP2133" i="2" s="1"/>
  <c r="AH2134" i="2"/>
  <c r="AP2134" i="2" s="1"/>
  <c r="AH2135" i="2"/>
  <c r="AP2135" i="2" s="1"/>
  <c r="AH2136" i="2"/>
  <c r="AP2136" i="2" s="1"/>
  <c r="AH2137" i="2"/>
  <c r="AP2137" i="2" s="1"/>
  <c r="AH2138" i="2"/>
  <c r="AP2138" i="2" s="1"/>
  <c r="AH2139" i="2"/>
  <c r="AP2139" i="2" s="1"/>
  <c r="AH2140" i="2"/>
  <c r="AP2140" i="2" s="1"/>
  <c r="AH2141" i="2"/>
  <c r="AP2141" i="2" s="1"/>
  <c r="AH2142" i="2"/>
  <c r="AP2142" i="2" s="1"/>
  <c r="AH2143" i="2"/>
  <c r="AP2143" i="2" s="1"/>
  <c r="AH2144" i="2"/>
  <c r="AP2144" i="2" s="1"/>
  <c r="AH2145" i="2"/>
  <c r="AP2145" i="2" s="1"/>
  <c r="AH2146" i="2"/>
  <c r="AP2146" i="2" s="1"/>
  <c r="AH2147" i="2"/>
  <c r="AP2147" i="2" s="1"/>
  <c r="AH2148" i="2"/>
  <c r="AP2148" i="2" s="1"/>
  <c r="AH2149" i="2"/>
  <c r="AP2149" i="2" s="1"/>
  <c r="AH2150" i="2"/>
  <c r="AP2150" i="2" s="1"/>
  <c r="AH2151" i="2"/>
  <c r="AP2151" i="2" s="1"/>
  <c r="AH2152" i="2"/>
  <c r="AP2152" i="2" s="1"/>
  <c r="AH2153" i="2"/>
  <c r="AP2153" i="2" s="1"/>
  <c r="AH2154" i="2"/>
  <c r="AP2154" i="2" s="1"/>
  <c r="AH2155" i="2"/>
  <c r="AP2155" i="2" s="1"/>
  <c r="AH2156" i="2"/>
  <c r="AP2156" i="2" s="1"/>
  <c r="AH2157" i="2"/>
  <c r="AP2157" i="2" s="1"/>
  <c r="AH2158" i="2"/>
  <c r="AP2158" i="2" s="1"/>
  <c r="AH2159" i="2"/>
  <c r="AP2159" i="2" s="1"/>
  <c r="AH2160" i="2"/>
  <c r="AP2160" i="2" s="1"/>
  <c r="AH2161" i="2"/>
  <c r="AP2161" i="2" s="1"/>
  <c r="AH2162" i="2"/>
  <c r="AP2162" i="2" s="1"/>
  <c r="AH2163" i="2"/>
  <c r="AP2163" i="2" s="1"/>
  <c r="AH2164" i="2"/>
  <c r="AP2164" i="2" s="1"/>
  <c r="AH2165" i="2"/>
  <c r="AP2165" i="2" s="1"/>
  <c r="AH2166" i="2"/>
  <c r="AP2166" i="2" s="1"/>
  <c r="AH2167" i="2"/>
  <c r="AP2167" i="2" s="1"/>
  <c r="AH2168" i="2"/>
  <c r="AP2168" i="2" s="1"/>
  <c r="AH2169" i="2"/>
  <c r="AP2169" i="2" s="1"/>
  <c r="AH2170" i="2"/>
  <c r="AP2170" i="2" s="1"/>
  <c r="AH2171" i="2"/>
  <c r="AP2171" i="2" s="1"/>
  <c r="AH2172" i="2"/>
  <c r="AP2172" i="2" s="1"/>
  <c r="AH2173" i="2"/>
  <c r="AP2173" i="2" s="1"/>
  <c r="AH2174" i="2"/>
  <c r="AP2174" i="2" s="1"/>
  <c r="AH2175" i="2"/>
  <c r="AP2175" i="2" s="1"/>
  <c r="AH2176" i="2"/>
  <c r="AP2176" i="2" s="1"/>
  <c r="AH2177" i="2"/>
  <c r="AP2177" i="2" s="1"/>
  <c r="AH2178" i="2"/>
  <c r="AP2178" i="2" s="1"/>
  <c r="AH2179" i="2"/>
  <c r="AP2179" i="2" s="1"/>
  <c r="AH2180" i="2"/>
  <c r="AP2180" i="2" s="1"/>
  <c r="AH2181" i="2"/>
  <c r="AP2181" i="2" s="1"/>
  <c r="AH2182" i="2"/>
  <c r="AP2182" i="2" s="1"/>
  <c r="AH2183" i="2"/>
  <c r="AP2183" i="2" s="1"/>
  <c r="AH2184" i="2"/>
  <c r="AP2184" i="2" s="1"/>
  <c r="AH2185" i="2"/>
  <c r="AP2185" i="2" s="1"/>
  <c r="AH2186" i="2"/>
  <c r="AP2186" i="2" s="1"/>
  <c r="AH2187" i="2"/>
  <c r="AP2187" i="2" s="1"/>
  <c r="AH2188" i="2"/>
  <c r="AP2188" i="2" s="1"/>
  <c r="AH2189" i="2"/>
  <c r="AP2189" i="2" s="1"/>
  <c r="AH2190" i="2"/>
  <c r="AP2190" i="2" s="1"/>
  <c r="AH2191" i="2"/>
  <c r="AP2191" i="2" s="1"/>
  <c r="AH2192" i="2"/>
  <c r="AP2192" i="2" s="1"/>
  <c r="AH2193" i="2"/>
  <c r="AP2193" i="2" s="1"/>
  <c r="AH2194" i="2"/>
  <c r="AP2194" i="2" s="1"/>
  <c r="AH2195" i="2"/>
  <c r="AP2195" i="2" s="1"/>
  <c r="AH2196" i="2"/>
  <c r="AP2196" i="2" s="1"/>
  <c r="AH2197" i="2"/>
  <c r="AP2197" i="2" s="1"/>
  <c r="AH2198" i="2"/>
  <c r="AP2198" i="2" s="1"/>
  <c r="AH2199" i="2"/>
  <c r="AP2199" i="2" s="1"/>
  <c r="AH2200" i="2"/>
  <c r="AP2200" i="2" s="1"/>
  <c r="AH2201" i="2"/>
  <c r="AP2201" i="2" s="1"/>
  <c r="AH2202" i="2"/>
  <c r="AP2202" i="2" s="1"/>
  <c r="AH2203" i="2"/>
  <c r="AP2203" i="2" s="1"/>
  <c r="AH2204" i="2"/>
  <c r="AP2204" i="2" s="1"/>
  <c r="AH2205" i="2"/>
  <c r="AP2205" i="2" s="1"/>
  <c r="AH2206" i="2"/>
  <c r="AP2206" i="2" s="1"/>
  <c r="AH2207" i="2"/>
  <c r="AP2207" i="2" s="1"/>
  <c r="AH2208" i="2"/>
  <c r="AP2208" i="2" s="1"/>
  <c r="AH2209" i="2"/>
  <c r="AP2209" i="2" s="1"/>
  <c r="AH2210" i="2"/>
  <c r="AP2210" i="2" s="1"/>
  <c r="AH2211" i="2"/>
  <c r="AP2211" i="2" s="1"/>
  <c r="AH2212" i="2"/>
  <c r="AP2212" i="2" s="1"/>
  <c r="AH2213" i="2"/>
  <c r="AP2213" i="2" s="1"/>
  <c r="AH2214" i="2"/>
  <c r="AP2214" i="2" s="1"/>
  <c r="AH2215" i="2"/>
  <c r="AP2215" i="2" s="1"/>
  <c r="AH2216" i="2"/>
  <c r="AP2216" i="2" s="1"/>
  <c r="AH2217" i="2"/>
  <c r="AP2217" i="2" s="1"/>
  <c r="AH2218" i="2"/>
  <c r="AP2218" i="2" s="1"/>
  <c r="AH2219" i="2"/>
  <c r="AP2219" i="2" s="1"/>
  <c r="AH2220" i="2"/>
  <c r="AP2220" i="2" s="1"/>
  <c r="AH2221" i="2"/>
  <c r="AP2221" i="2" s="1"/>
  <c r="AH2222" i="2"/>
  <c r="AP2222" i="2" s="1"/>
  <c r="AH2223" i="2"/>
  <c r="AP2223" i="2" s="1"/>
  <c r="AH2224" i="2"/>
  <c r="AP2224" i="2" s="1"/>
  <c r="AH2225" i="2"/>
  <c r="AP2225" i="2" s="1"/>
  <c r="AH2226" i="2"/>
  <c r="AP2226" i="2" s="1"/>
  <c r="AH2227" i="2"/>
  <c r="AP2227" i="2" s="1"/>
  <c r="AH2228" i="2"/>
  <c r="AP2228" i="2" s="1"/>
  <c r="AH2229" i="2"/>
  <c r="AP2229" i="2" s="1"/>
  <c r="AH2230" i="2"/>
  <c r="AP2230" i="2" s="1"/>
  <c r="AH2231" i="2"/>
  <c r="AP2231" i="2" s="1"/>
  <c r="AH2232" i="2"/>
  <c r="AP2232" i="2" s="1"/>
  <c r="AH2233" i="2"/>
  <c r="AP2233" i="2" s="1"/>
  <c r="AH2234" i="2"/>
  <c r="AP2234" i="2" s="1"/>
  <c r="AH2235" i="2"/>
  <c r="AP2235" i="2" s="1"/>
  <c r="AH2236" i="2"/>
  <c r="AP2236" i="2" s="1"/>
  <c r="AH2237" i="2"/>
  <c r="AP2237" i="2" s="1"/>
  <c r="AH2238" i="2"/>
  <c r="AP2238" i="2" s="1"/>
  <c r="AH2239" i="2"/>
  <c r="AP2239" i="2" s="1"/>
  <c r="AH2240" i="2"/>
  <c r="AP2240" i="2" s="1"/>
  <c r="AH2241" i="2"/>
  <c r="AP2241" i="2" s="1"/>
  <c r="AH2242" i="2"/>
  <c r="AP2242" i="2" s="1"/>
  <c r="AH2243" i="2"/>
  <c r="AP2243" i="2" s="1"/>
  <c r="AH2244" i="2"/>
  <c r="AP2244" i="2" s="1"/>
  <c r="AH2245" i="2"/>
  <c r="AP2245" i="2" s="1"/>
  <c r="AH2246" i="2"/>
  <c r="AP2246" i="2" s="1"/>
  <c r="AH2247" i="2"/>
  <c r="AP2247" i="2" s="1"/>
  <c r="AH2248" i="2"/>
  <c r="AP2248" i="2" s="1"/>
  <c r="AH2249" i="2"/>
  <c r="AP2249" i="2" s="1"/>
  <c r="AH2250" i="2"/>
  <c r="AP2250" i="2" s="1"/>
  <c r="AH2251" i="2"/>
  <c r="AP2251" i="2" s="1"/>
  <c r="AH2252" i="2"/>
  <c r="AP2252" i="2" s="1"/>
  <c r="AH2253" i="2"/>
  <c r="AP2253" i="2" s="1"/>
  <c r="AH2254" i="2"/>
  <c r="AP2254" i="2" s="1"/>
  <c r="AH2255" i="2"/>
  <c r="AP2255" i="2" s="1"/>
  <c r="AH2256" i="2"/>
  <c r="AP2256" i="2" s="1"/>
  <c r="AH2257" i="2"/>
  <c r="AP2257" i="2" s="1"/>
  <c r="AH2258" i="2"/>
  <c r="AP2258" i="2" s="1"/>
  <c r="AH2259" i="2"/>
  <c r="AP2259" i="2" s="1"/>
  <c r="AH2260" i="2"/>
  <c r="AP2260" i="2" s="1"/>
  <c r="AH2261" i="2"/>
  <c r="AP2261" i="2" s="1"/>
  <c r="AH2262" i="2"/>
  <c r="AP2262" i="2" s="1"/>
  <c r="AH2263" i="2"/>
  <c r="AP2263" i="2" s="1"/>
  <c r="AH2264" i="2"/>
  <c r="AP2264" i="2" s="1"/>
  <c r="AH2265" i="2"/>
  <c r="AP2265" i="2" s="1"/>
  <c r="AH2266" i="2"/>
  <c r="AP2266" i="2" s="1"/>
  <c r="AH2267" i="2"/>
  <c r="AP2267" i="2" s="1"/>
  <c r="AH2268" i="2"/>
  <c r="AP2268" i="2" s="1"/>
  <c r="AH2269" i="2"/>
  <c r="AP2269" i="2" s="1"/>
  <c r="AH2270" i="2"/>
  <c r="AP2270" i="2" s="1"/>
  <c r="AH2271" i="2"/>
  <c r="AP2271" i="2" s="1"/>
  <c r="AH2272" i="2"/>
  <c r="AP2272" i="2" s="1"/>
  <c r="AH2273" i="2"/>
  <c r="AP2273" i="2" s="1"/>
  <c r="AH2274" i="2"/>
  <c r="AP2274" i="2" s="1"/>
  <c r="AH2275" i="2"/>
  <c r="AP2275" i="2" s="1"/>
  <c r="AH2276" i="2"/>
  <c r="AP2276" i="2" s="1"/>
  <c r="AH2277" i="2"/>
  <c r="AP2277" i="2" s="1"/>
  <c r="AH2278" i="2"/>
  <c r="AP2278" i="2" s="1"/>
  <c r="AH2279" i="2"/>
  <c r="AP2279" i="2" s="1"/>
  <c r="AH2280" i="2"/>
  <c r="AP2280" i="2" s="1"/>
  <c r="AH2281" i="2"/>
  <c r="AP2281" i="2" s="1"/>
  <c r="AH2282" i="2"/>
  <c r="AP2282" i="2" s="1"/>
  <c r="AH2283" i="2"/>
  <c r="AP2283" i="2" s="1"/>
  <c r="AH2284" i="2"/>
  <c r="AP2284" i="2" s="1"/>
  <c r="AH2285" i="2"/>
  <c r="AP2285" i="2" s="1"/>
  <c r="AH2286" i="2"/>
  <c r="AP2286" i="2" s="1"/>
  <c r="AH2287" i="2"/>
  <c r="AP2287" i="2" s="1"/>
  <c r="AH2288" i="2"/>
  <c r="AP2288" i="2" s="1"/>
  <c r="AH2289" i="2"/>
  <c r="AP2289" i="2" s="1"/>
  <c r="AH2290" i="2"/>
  <c r="AP2290" i="2" s="1"/>
  <c r="AH2291" i="2"/>
  <c r="AP2291" i="2" s="1"/>
  <c r="AH2292" i="2"/>
  <c r="AP2292" i="2" s="1"/>
  <c r="AH2293" i="2"/>
  <c r="AP2293" i="2" s="1"/>
  <c r="AH2294" i="2"/>
  <c r="AP2294" i="2" s="1"/>
  <c r="AH2295" i="2"/>
  <c r="AP2295" i="2" s="1"/>
  <c r="AH2296" i="2"/>
  <c r="AP2296" i="2" s="1"/>
  <c r="AH2297" i="2"/>
  <c r="AP2297" i="2" s="1"/>
  <c r="AH2298" i="2"/>
  <c r="AP2298" i="2" s="1"/>
  <c r="AH2299" i="2"/>
  <c r="AP2299" i="2" s="1"/>
  <c r="AH2300" i="2"/>
  <c r="AP2300" i="2" s="1"/>
  <c r="AH2301" i="2"/>
  <c r="AP2301" i="2" s="1"/>
  <c r="AH2302" i="2"/>
  <c r="AP2302" i="2" s="1"/>
  <c r="AH2303" i="2"/>
  <c r="AP2303" i="2" s="1"/>
  <c r="AH2304" i="2"/>
  <c r="AP2304" i="2" s="1"/>
  <c r="AH2305" i="2"/>
  <c r="AP2305" i="2" s="1"/>
  <c r="AH2306" i="2"/>
  <c r="AP2306" i="2" s="1"/>
  <c r="AH2307" i="2"/>
  <c r="AP2307" i="2" s="1"/>
  <c r="AH2308" i="2"/>
  <c r="AP2308" i="2" s="1"/>
  <c r="AH2309" i="2"/>
  <c r="AP2309" i="2" s="1"/>
  <c r="AH2310" i="2"/>
  <c r="AP2310" i="2" s="1"/>
  <c r="AH2311" i="2"/>
  <c r="AP2311" i="2" s="1"/>
  <c r="AH2312" i="2"/>
  <c r="AP2312" i="2" s="1"/>
  <c r="AH2313" i="2"/>
  <c r="AP2313" i="2" s="1"/>
  <c r="AH2314" i="2"/>
  <c r="AP2314" i="2" s="1"/>
  <c r="AH2315" i="2"/>
  <c r="AP2315" i="2" s="1"/>
  <c r="AH2316" i="2"/>
  <c r="AP2316" i="2" s="1"/>
  <c r="AH2317" i="2"/>
  <c r="AP2317" i="2" s="1"/>
  <c r="AH2318" i="2"/>
  <c r="AP2318" i="2" s="1"/>
  <c r="AH2319" i="2"/>
  <c r="AP2319" i="2" s="1"/>
  <c r="AH2320" i="2"/>
  <c r="AP2320" i="2" s="1"/>
  <c r="AH2321" i="2"/>
  <c r="AP2321" i="2" s="1"/>
  <c r="AH2322" i="2"/>
  <c r="AP2322" i="2" s="1"/>
  <c r="AH2323" i="2"/>
  <c r="AP2323" i="2" s="1"/>
  <c r="AH2324" i="2"/>
  <c r="AP2324" i="2" s="1"/>
  <c r="AH2325" i="2"/>
  <c r="AP2325" i="2" s="1"/>
  <c r="AH2326" i="2"/>
  <c r="AP2326" i="2" s="1"/>
  <c r="AH2327" i="2"/>
  <c r="AP2327" i="2" s="1"/>
  <c r="AH2328" i="2"/>
  <c r="AP2328" i="2" s="1"/>
  <c r="AH2329" i="2"/>
  <c r="AP2329" i="2" s="1"/>
  <c r="AH2330" i="2"/>
  <c r="AP2330" i="2" s="1"/>
  <c r="AH2331" i="2"/>
  <c r="AP2331" i="2" s="1"/>
  <c r="AH2332" i="2"/>
  <c r="AP2332" i="2" s="1"/>
  <c r="AH2333" i="2"/>
  <c r="AP2333" i="2" s="1"/>
  <c r="AH2334" i="2"/>
  <c r="AP2334" i="2" s="1"/>
  <c r="AH2335" i="2"/>
  <c r="AP2335" i="2" s="1"/>
  <c r="AH2336" i="2"/>
  <c r="AP2336" i="2" s="1"/>
  <c r="AH2337" i="2"/>
  <c r="AP2337" i="2" s="1"/>
  <c r="AH2338" i="2"/>
  <c r="AP2338" i="2" s="1"/>
  <c r="AH2339" i="2"/>
  <c r="AP2339" i="2" s="1"/>
  <c r="AH2340" i="2"/>
  <c r="AP2340" i="2" s="1"/>
  <c r="AH2341" i="2"/>
  <c r="AP2341" i="2" s="1"/>
  <c r="AH2342" i="2"/>
  <c r="AP2342" i="2" s="1"/>
  <c r="AH2343" i="2"/>
  <c r="AP2343" i="2" s="1"/>
  <c r="AH2344" i="2"/>
  <c r="AP2344" i="2" s="1"/>
  <c r="AH2345" i="2"/>
  <c r="AP2345" i="2" s="1"/>
  <c r="AH2346" i="2"/>
  <c r="AP2346" i="2" s="1"/>
  <c r="AH2347" i="2"/>
  <c r="AP2347" i="2" s="1"/>
  <c r="AH2348" i="2"/>
  <c r="AP2348" i="2" s="1"/>
  <c r="AH2349" i="2"/>
  <c r="AP2349" i="2" s="1"/>
  <c r="AH2350" i="2"/>
  <c r="AP2350" i="2" s="1"/>
  <c r="AH2351" i="2"/>
  <c r="AP2351" i="2" s="1"/>
  <c r="AH2352" i="2"/>
  <c r="AP2352" i="2" s="1"/>
  <c r="AH2353" i="2"/>
  <c r="AP2353" i="2" s="1"/>
  <c r="AH2354" i="2"/>
  <c r="AP2354" i="2" s="1"/>
  <c r="AH2355" i="2"/>
  <c r="AP2355" i="2" s="1"/>
  <c r="AH2356" i="2"/>
  <c r="AP2356" i="2" s="1"/>
  <c r="AH2357" i="2"/>
  <c r="AP2357" i="2" s="1"/>
  <c r="AH2358" i="2"/>
  <c r="AP2358" i="2" s="1"/>
  <c r="AH2359" i="2"/>
  <c r="AP2359" i="2" s="1"/>
  <c r="AH2360" i="2"/>
  <c r="AP2360" i="2" s="1"/>
  <c r="AH2361" i="2"/>
  <c r="AP2361" i="2" s="1"/>
  <c r="AH2362" i="2"/>
  <c r="AP2362" i="2" s="1"/>
  <c r="AH2363" i="2"/>
  <c r="AP2363" i="2" s="1"/>
  <c r="AH2364" i="2"/>
  <c r="AP2364" i="2" s="1"/>
  <c r="AH2365" i="2"/>
  <c r="AP2365" i="2" s="1"/>
  <c r="AH2366" i="2"/>
  <c r="AP2366" i="2" s="1"/>
  <c r="AH2367" i="2"/>
  <c r="AP2367" i="2" s="1"/>
  <c r="AH2368" i="2"/>
  <c r="AP2368" i="2" s="1"/>
  <c r="AH2369" i="2"/>
  <c r="AP2369" i="2" s="1"/>
  <c r="AH2370" i="2"/>
  <c r="AP2370" i="2" s="1"/>
  <c r="AH2371" i="2"/>
  <c r="AP2371" i="2" s="1"/>
  <c r="AH2372" i="2"/>
  <c r="AP2372" i="2" s="1"/>
  <c r="AH2373" i="2"/>
  <c r="AP2373" i="2" s="1"/>
  <c r="AH2374" i="2"/>
  <c r="AP2374" i="2" s="1"/>
  <c r="AH2375" i="2"/>
  <c r="AP2375" i="2" s="1"/>
  <c r="AH2376" i="2"/>
  <c r="AP2376" i="2" s="1"/>
  <c r="AH2377" i="2"/>
  <c r="AP2377" i="2" s="1"/>
  <c r="AH2378" i="2"/>
  <c r="AP2378" i="2" s="1"/>
  <c r="AH2379" i="2"/>
  <c r="AP2379" i="2" s="1"/>
  <c r="AH2380" i="2"/>
  <c r="AP2380" i="2" s="1"/>
  <c r="AH2381" i="2"/>
  <c r="AP2381" i="2" s="1"/>
  <c r="AH2382" i="2"/>
  <c r="AP2382" i="2" s="1"/>
  <c r="AH2383" i="2"/>
  <c r="AP2383" i="2" s="1"/>
  <c r="AH2384" i="2"/>
  <c r="AP2384" i="2" s="1"/>
  <c r="AH2385" i="2"/>
  <c r="AP2385" i="2" s="1"/>
  <c r="AH2386" i="2"/>
  <c r="AP2386" i="2" s="1"/>
  <c r="AH2387" i="2"/>
  <c r="AP2387" i="2" s="1"/>
  <c r="AH2388" i="2"/>
  <c r="AP2388" i="2" s="1"/>
  <c r="AH2389" i="2"/>
  <c r="AP2389" i="2" s="1"/>
  <c r="AH2390" i="2"/>
  <c r="AP2390" i="2" s="1"/>
  <c r="AH2391" i="2"/>
  <c r="AP2391" i="2" s="1"/>
  <c r="AH2392" i="2"/>
  <c r="AP2392" i="2" s="1"/>
  <c r="AH2393" i="2"/>
  <c r="AP2393" i="2" s="1"/>
  <c r="AH2394" i="2"/>
  <c r="AP2394" i="2" s="1"/>
  <c r="AH2395" i="2"/>
  <c r="AP2395" i="2" s="1"/>
  <c r="AH2396" i="2"/>
  <c r="AP2396" i="2" s="1"/>
  <c r="AH2397" i="2"/>
  <c r="AP2397" i="2" s="1"/>
  <c r="AH2398" i="2"/>
  <c r="AP2398" i="2" s="1"/>
  <c r="AH2399" i="2"/>
  <c r="AP2399" i="2" s="1"/>
  <c r="AH2400" i="2"/>
  <c r="AP2400" i="2" s="1"/>
  <c r="AH2401" i="2"/>
  <c r="AP2401" i="2" s="1"/>
  <c r="AH2402" i="2"/>
  <c r="AP2402" i="2" s="1"/>
  <c r="AH2403" i="2"/>
  <c r="AP2403" i="2" s="1"/>
  <c r="AH2404" i="2"/>
  <c r="AP2404" i="2" s="1"/>
  <c r="AH2405" i="2"/>
  <c r="AP2405" i="2" s="1"/>
  <c r="AH2406" i="2"/>
  <c r="AP2406" i="2" s="1"/>
  <c r="AH2407" i="2"/>
  <c r="AP2407" i="2" s="1"/>
  <c r="AH2408" i="2"/>
  <c r="AP2408" i="2" s="1"/>
  <c r="AH2409" i="2"/>
  <c r="AP2409" i="2" s="1"/>
  <c r="AH2410" i="2"/>
  <c r="AP2410" i="2" s="1"/>
  <c r="AH2411" i="2"/>
  <c r="AP2411" i="2" s="1"/>
  <c r="AH2412" i="2"/>
  <c r="AP2412" i="2" s="1"/>
  <c r="AH2413" i="2"/>
  <c r="AP2413" i="2" s="1"/>
  <c r="AH2414" i="2"/>
  <c r="AP2414" i="2" s="1"/>
  <c r="AH2415" i="2"/>
  <c r="AP2415" i="2" s="1"/>
  <c r="AH2416" i="2"/>
  <c r="AP2416" i="2" s="1"/>
  <c r="AH2417" i="2"/>
  <c r="AP2417" i="2" s="1"/>
  <c r="AH2418" i="2"/>
  <c r="AP2418" i="2" s="1"/>
  <c r="AH2419" i="2"/>
  <c r="AP2419" i="2" s="1"/>
  <c r="AH2420" i="2"/>
  <c r="AP2420" i="2" s="1"/>
  <c r="AH2421" i="2"/>
  <c r="AP2421" i="2" s="1"/>
  <c r="AH2422" i="2"/>
  <c r="AP2422" i="2" s="1"/>
  <c r="AH2423" i="2"/>
  <c r="AP2423" i="2" s="1"/>
  <c r="AH2424" i="2"/>
  <c r="AP2424" i="2" s="1"/>
  <c r="AH2425" i="2"/>
  <c r="AP2425" i="2" s="1"/>
  <c r="AH2426" i="2"/>
  <c r="AP2426" i="2" s="1"/>
  <c r="AH2427" i="2"/>
  <c r="AP2427" i="2" s="1"/>
  <c r="AQ240" i="2"/>
  <c r="AQ241" i="2"/>
  <c r="AQ248" i="2"/>
  <c r="AQ249" i="2"/>
  <c r="AQ251" i="2"/>
  <c r="AQ256" i="2"/>
  <c r="AQ258" i="2"/>
  <c r="AQ265" i="2"/>
  <c r="AQ280" i="2"/>
  <c r="AQ281" i="2"/>
  <c r="AQ286" i="2"/>
  <c r="AQ302" i="2"/>
  <c r="AQ304" i="2"/>
  <c r="AQ312" i="2"/>
  <c r="AQ313" i="2"/>
  <c r="AQ326" i="2"/>
  <c r="AQ328" i="2"/>
  <c r="AQ337" i="2"/>
  <c r="AQ345" i="2"/>
  <c r="AQ360" i="2"/>
  <c r="AQ363" i="2"/>
  <c r="AQ366" i="2"/>
  <c r="AQ384" i="2"/>
  <c r="AQ385" i="2"/>
  <c r="AQ390" i="2"/>
  <c r="AQ401" i="2"/>
  <c r="AQ402" i="2"/>
  <c r="AQ408" i="2"/>
  <c r="AQ409" i="2"/>
  <c r="AQ414" i="2"/>
  <c r="AQ432" i="2"/>
  <c r="AQ433" i="2"/>
  <c r="AQ446" i="2"/>
  <c r="AQ457" i="2"/>
  <c r="AQ462" i="2"/>
  <c r="AQ464" i="2"/>
  <c r="AQ470" i="2"/>
  <c r="AQ473" i="2"/>
  <c r="AQ486" i="2"/>
  <c r="AQ488" i="2"/>
  <c r="AQ489" i="2"/>
  <c r="AQ497" i="2"/>
  <c r="AQ498" i="2"/>
  <c r="AQ510" i="2"/>
  <c r="AQ512" i="2"/>
  <c r="AQ520" i="2"/>
  <c r="AQ529" i="2"/>
  <c r="AQ537" i="2"/>
  <c r="AQ538" i="2"/>
  <c r="AQ544" i="2"/>
  <c r="AQ570" i="2"/>
  <c r="AQ582" i="2"/>
  <c r="AQ592" i="2"/>
  <c r="AQ593" i="2"/>
  <c r="AQ606" i="2"/>
  <c r="AQ622" i="2"/>
  <c r="AQ624" i="2"/>
  <c r="AQ632" i="2"/>
  <c r="AQ649" i="2"/>
  <c r="AQ672" i="2"/>
  <c r="AQ680" i="2"/>
  <c r="AQ681" i="2"/>
  <c r="AQ698" i="2"/>
  <c r="AQ710" i="2"/>
  <c r="AQ712" i="2"/>
  <c r="AQ744" i="2"/>
  <c r="AQ752" i="2"/>
  <c r="AQ753" i="2"/>
  <c r="AQ774" i="2"/>
  <c r="AQ776" i="2"/>
  <c r="AQ798" i="2"/>
  <c r="AQ801" i="2"/>
  <c r="AQ808" i="2"/>
  <c r="AQ816" i="2"/>
  <c r="AQ825" i="2"/>
  <c r="AQ830" i="2"/>
  <c r="AQ840" i="2"/>
  <c r="AQ848" i="2"/>
  <c r="AQ849" i="2"/>
  <c r="AQ894" i="2"/>
  <c r="AQ896" i="2"/>
  <c r="AQ904" i="2"/>
  <c r="AQ926" i="2"/>
  <c r="AQ936" i="2"/>
  <c r="AQ944" i="2"/>
  <c r="AQ958" i="2"/>
  <c r="AQ966" i="2"/>
  <c r="AQ976" i="2"/>
  <c r="AQ984" i="2"/>
  <c r="AQ985" i="2"/>
  <c r="AQ1009" i="2"/>
  <c r="AQ1024" i="2"/>
  <c r="AQ1032" i="2"/>
  <c r="AQ1081" i="2"/>
  <c r="AQ1088" i="2"/>
  <c r="AQ1126" i="2"/>
  <c r="AQ1136" i="2"/>
  <c r="AQ1144" i="2"/>
  <c r="AQ1152" i="2"/>
  <c r="AQ1166" i="2"/>
  <c r="AQ1192" i="2"/>
  <c r="AQ1200" i="2"/>
  <c r="AQ1206" i="2"/>
  <c r="AQ1218" i="2"/>
  <c r="AQ1238" i="2"/>
  <c r="AQ1240" i="2"/>
  <c r="AQ1248" i="2"/>
  <c r="AQ1278" i="2"/>
  <c r="AQ1286" i="2"/>
  <c r="AQ1288" i="2"/>
  <c r="AQ1296" i="2"/>
  <c r="AQ1344" i="2"/>
  <c r="AQ1352" i="2"/>
  <c r="AQ1354" i="2"/>
  <c r="AQ1366" i="2"/>
  <c r="AQ1392" i="2"/>
  <c r="AQ1398" i="2"/>
  <c r="AQ1400" i="2"/>
  <c r="AQ1448" i="2"/>
  <c r="AQ1464" i="2"/>
  <c r="AQ1478" i="2"/>
  <c r="AQ1504" i="2"/>
  <c r="AQ1520" i="2"/>
  <c r="AQ1560" i="2"/>
  <c r="AQ1576" i="2"/>
  <c r="AQ1670" i="2"/>
  <c r="AQ1697" i="2"/>
  <c r="AQ1760" i="2"/>
  <c r="AQ1776" i="2"/>
  <c r="AQ1801" i="2"/>
  <c r="AQ1896" i="2"/>
  <c r="AQ2032" i="2"/>
  <c r="AQ2176" i="2"/>
  <c r="AQ2185" i="2"/>
  <c r="AJ218" i="2"/>
  <c r="AJ224" i="2"/>
  <c r="AJ226" i="2"/>
  <c r="AJ232" i="2"/>
  <c r="AJ235" i="2"/>
  <c r="AJ238" i="2"/>
  <c r="AJ248" i="2"/>
  <c r="AJ250" i="2"/>
  <c r="AJ256" i="2"/>
  <c r="AJ258" i="2"/>
  <c r="AJ264" i="2"/>
  <c r="AJ270" i="2"/>
  <c r="AJ274" i="2"/>
  <c r="AJ280" i="2"/>
  <c r="AJ282" i="2"/>
  <c r="AJ283" i="2"/>
  <c r="AJ290" i="2"/>
  <c r="AJ296" i="2"/>
  <c r="AJ298" i="2"/>
  <c r="AJ312" i="2"/>
  <c r="AJ320" i="2"/>
  <c r="AJ322" i="2"/>
  <c r="AJ326" i="2"/>
  <c r="AJ328" i="2"/>
  <c r="AJ331" i="2"/>
  <c r="AJ336" i="2"/>
  <c r="AJ338" i="2"/>
  <c r="AJ339" i="2"/>
  <c r="AJ344" i="2"/>
  <c r="AJ346" i="2"/>
  <c r="AJ350" i="2"/>
  <c r="AJ358" i="2"/>
  <c r="AJ369" i="2"/>
  <c r="AJ376" i="2"/>
  <c r="AJ377" i="2"/>
  <c r="AJ381" i="2"/>
  <c r="AJ385" i="2"/>
  <c r="AJ389" i="2"/>
  <c r="AJ393" i="2"/>
  <c r="AJ401" i="2"/>
  <c r="AJ424" i="2"/>
  <c r="AJ425" i="2"/>
  <c r="AJ433" i="2"/>
  <c r="AJ457" i="2"/>
  <c r="AJ459" i="2"/>
  <c r="AJ461" i="2"/>
  <c r="AJ463" i="2"/>
  <c r="AJ465" i="2"/>
  <c r="AJ467" i="2"/>
  <c r="AJ469" i="2"/>
  <c r="AJ471" i="2"/>
  <c r="AJ473" i="2"/>
  <c r="AJ475" i="2"/>
  <c r="AJ477" i="2"/>
  <c r="AJ479" i="2"/>
  <c r="AJ481" i="2"/>
  <c r="AJ483" i="2"/>
  <c r="AJ485" i="2"/>
  <c r="AJ487" i="2"/>
  <c r="AJ489" i="2"/>
  <c r="AJ491" i="2"/>
  <c r="AJ493" i="2"/>
  <c r="AJ495" i="2"/>
  <c r="AJ497" i="2"/>
  <c r="AJ499" i="2"/>
  <c r="AJ501" i="2"/>
  <c r="AJ503" i="2"/>
  <c r="AJ504" i="2"/>
  <c r="AJ505" i="2"/>
  <c r="AJ507" i="2"/>
  <c r="AJ509" i="2"/>
  <c r="AJ511" i="2"/>
  <c r="AJ513" i="2"/>
  <c r="AJ520" i="2"/>
  <c r="AJ560" i="2"/>
  <c r="AJ576" i="2"/>
  <c r="AJ589" i="2"/>
  <c r="AJ593" i="2"/>
  <c r="AJ600" i="2"/>
  <c r="AJ605" i="2"/>
  <c r="AJ617" i="2"/>
  <c r="AJ621" i="2"/>
  <c r="AJ624" i="2"/>
  <c r="AJ625" i="2"/>
  <c r="AJ633" i="2"/>
  <c r="AJ637" i="2"/>
  <c r="AJ648" i="2"/>
  <c r="AJ649" i="2"/>
  <c r="AJ657" i="2"/>
  <c r="AJ664" i="2"/>
  <c r="AJ665" i="2"/>
  <c r="AJ669" i="2"/>
  <c r="AJ679" i="2"/>
  <c r="AJ683" i="2"/>
  <c r="AJ687" i="2"/>
  <c r="AJ691" i="2"/>
  <c r="AJ695" i="2"/>
  <c r="AJ696" i="2"/>
  <c r="AJ699" i="2"/>
  <c r="AJ703" i="2"/>
  <c r="AJ707" i="2"/>
  <c r="AJ711" i="2"/>
  <c r="AJ715" i="2"/>
  <c r="AJ719" i="2"/>
  <c r="AJ723" i="2"/>
  <c r="AJ731" i="2"/>
  <c r="AJ735" i="2"/>
  <c r="AJ739" i="2"/>
  <c r="AJ744" i="2"/>
  <c r="AJ747" i="2"/>
  <c r="AJ751" i="2"/>
  <c r="AJ755" i="2"/>
  <c r="AJ760" i="2"/>
  <c r="AJ763" i="2"/>
  <c r="AJ767" i="2"/>
  <c r="AJ771" i="2"/>
  <c r="AJ772" i="2"/>
  <c r="AJ776" i="2"/>
  <c r="AJ779" i="2"/>
  <c r="AJ780" i="2"/>
  <c r="AJ783" i="2"/>
  <c r="AJ787" i="2"/>
  <c r="AJ788" i="2"/>
  <c r="AJ792" i="2"/>
  <c r="AJ795" i="2"/>
  <c r="AJ800" i="2"/>
  <c r="AJ808" i="2"/>
  <c r="AJ816" i="2"/>
  <c r="AJ828" i="2"/>
  <c r="AJ832" i="2"/>
  <c r="AJ848" i="2"/>
  <c r="AJ864" i="2"/>
  <c r="AJ872" i="2"/>
  <c r="AJ880" i="2"/>
  <c r="AJ888" i="2"/>
  <c r="AJ892" i="2"/>
  <c r="AJ896" i="2"/>
  <c r="AJ904" i="2"/>
  <c r="AJ912" i="2"/>
  <c r="AJ928" i="2"/>
  <c r="AJ936" i="2"/>
  <c r="AJ940" i="2"/>
  <c r="AJ944" i="2"/>
  <c r="AJ951" i="2"/>
  <c r="AJ952" i="2"/>
  <c r="AJ955" i="2"/>
  <c r="AJ960" i="2"/>
  <c r="AJ963" i="2"/>
  <c r="AJ967" i="2"/>
  <c r="AJ972" i="2"/>
  <c r="AJ983" i="2"/>
  <c r="AJ987" i="2"/>
  <c r="AJ992" i="2"/>
  <c r="AJ995" i="2"/>
  <c r="AJ996" i="2"/>
  <c r="AJ999" i="2"/>
  <c r="AJ1003" i="2"/>
  <c r="AJ1004" i="2"/>
  <c r="AJ1015" i="2"/>
  <c r="AJ1019" i="2"/>
  <c r="AJ1024" i="2"/>
  <c r="AJ1027" i="2"/>
  <c r="AJ1028" i="2"/>
  <c r="AJ1031" i="2"/>
  <c r="AJ1036" i="2"/>
  <c r="AJ1043" i="2"/>
  <c r="AJ1047" i="2"/>
  <c r="AJ1051" i="2"/>
  <c r="AJ1056" i="2"/>
  <c r="AJ1059" i="2"/>
  <c r="AJ1060" i="2"/>
  <c r="AJ1063" i="2"/>
  <c r="AJ1067" i="2"/>
  <c r="AJ1068" i="2"/>
  <c r="AJ1079" i="2"/>
  <c r="AJ1080" i="2"/>
  <c r="AJ1083" i="2"/>
  <c r="AJ1088" i="2"/>
  <c r="AJ1091" i="2"/>
  <c r="AJ1092" i="2"/>
  <c r="AJ1093" i="2"/>
  <c r="AJ1095" i="2"/>
  <c r="AJ1097" i="2"/>
  <c r="AJ1103" i="2"/>
  <c r="AJ1104" i="2"/>
  <c r="AJ1107" i="2"/>
  <c r="AJ1109" i="2"/>
  <c r="AJ1111" i="2"/>
  <c r="AJ1112" i="2"/>
  <c r="AJ1113" i="2"/>
  <c r="AJ1117" i="2"/>
  <c r="AJ1119" i="2"/>
  <c r="AJ1120" i="2"/>
  <c r="AJ1123" i="2"/>
  <c r="AJ1125" i="2"/>
  <c r="AJ1127" i="2"/>
  <c r="AJ1129" i="2"/>
  <c r="AJ1135" i="2"/>
  <c r="AJ1136" i="2"/>
  <c r="AJ1139" i="2"/>
  <c r="AJ1141" i="2"/>
  <c r="AJ1143" i="2"/>
  <c r="AJ1147" i="2"/>
  <c r="AJ1152" i="2"/>
  <c r="AJ1155" i="2"/>
  <c r="AJ1157" i="2"/>
  <c r="AJ1159" i="2"/>
  <c r="AJ1161" i="2"/>
  <c r="AJ1163" i="2"/>
  <c r="AJ1165" i="2"/>
  <c r="AJ1168" i="2"/>
  <c r="AJ1171" i="2"/>
  <c r="AJ1172" i="2"/>
  <c r="AJ1173" i="2"/>
  <c r="AJ1175" i="2"/>
  <c r="AJ1176" i="2"/>
  <c r="AJ1181" i="2"/>
  <c r="AJ1184" i="2"/>
  <c r="AJ1187" i="2"/>
  <c r="AJ1189" i="2"/>
  <c r="AJ1191" i="2"/>
  <c r="AJ1193" i="2"/>
  <c r="AJ1199" i="2"/>
  <c r="AJ1200" i="2"/>
  <c r="AJ1205" i="2"/>
  <c r="AJ1207" i="2"/>
  <c r="AJ1208" i="2"/>
  <c r="AJ1216" i="2"/>
  <c r="AJ1221" i="2"/>
  <c r="AJ1223" i="2"/>
  <c r="AJ1232" i="2"/>
  <c r="AJ1237" i="2"/>
  <c r="AJ1239" i="2"/>
  <c r="AJ1240" i="2"/>
  <c r="AJ1245" i="2"/>
  <c r="AJ1248" i="2"/>
  <c r="AJ1252" i="2"/>
  <c r="AJ1253" i="2"/>
  <c r="AJ1255" i="2"/>
  <c r="AJ1256" i="2"/>
  <c r="AJ1261" i="2"/>
  <c r="AJ1263" i="2"/>
  <c r="AJ1264" i="2"/>
  <c r="AJ1269" i="2"/>
  <c r="AJ1271" i="2"/>
  <c r="AJ1279" i="2"/>
  <c r="AJ1280" i="2"/>
  <c r="AJ1285" i="2"/>
  <c r="AJ1287" i="2"/>
  <c r="AJ1291" i="2"/>
  <c r="AJ1295" i="2"/>
  <c r="AJ1299" i="2"/>
  <c r="AJ1305" i="2"/>
  <c r="AJ1315" i="2"/>
  <c r="AJ1320" i="2"/>
  <c r="AJ1321" i="2"/>
  <c r="AJ1331" i="2"/>
  <c r="AJ1332" i="2"/>
  <c r="AJ1341" i="2"/>
  <c r="AJ1352" i="2"/>
  <c r="AJ1355" i="2"/>
  <c r="AJ1363" i="2"/>
  <c r="AJ1364" i="2"/>
  <c r="AJ1368" i="2"/>
  <c r="AJ1373" i="2"/>
  <c r="AJ1379" i="2"/>
  <c r="AJ1384" i="2"/>
  <c r="AJ1385" i="2"/>
  <c r="AJ1413" i="2"/>
  <c r="AJ1441" i="2"/>
  <c r="AJ1449" i="2"/>
  <c r="AJ1474" i="2"/>
  <c r="AJ1489" i="2"/>
  <c r="AJ1497" i="2"/>
  <c r="AJ1502" i="2"/>
  <c r="AJ1513" i="2"/>
  <c r="AJ1517" i="2"/>
  <c r="AJ1521" i="2"/>
  <c r="AJ1525" i="2"/>
  <c r="AJ1529" i="2"/>
  <c r="AJ1530" i="2"/>
  <c r="AJ1538" i="2"/>
  <c r="AJ1549" i="2"/>
  <c r="AJ1557" i="2"/>
  <c r="AJ1558" i="2"/>
  <c r="AJ1561" i="2"/>
  <c r="AJ1566" i="2"/>
  <c r="AJ1589" i="2"/>
  <c r="AJ1590" i="2"/>
  <c r="AJ1605" i="2"/>
  <c r="AJ1606" i="2"/>
  <c r="AJ1614" i="2"/>
  <c r="AJ1622" i="2"/>
  <c r="AJ1629" i="2"/>
  <c r="AJ1638" i="2"/>
  <c r="AJ1653" i="2"/>
  <c r="AJ1654" i="2"/>
  <c r="AJ1661" i="2"/>
  <c r="AJ1685" i="2"/>
  <c r="AJ1686" i="2"/>
  <c r="AJ1693" i="2"/>
  <c r="AJ1701" i="2"/>
  <c r="AJ1729" i="2"/>
  <c r="AJ1733" i="2"/>
  <c r="AJ1734" i="2"/>
  <c r="AJ1745" i="2"/>
  <c r="AJ1750" i="2"/>
  <c r="AJ1761" i="2"/>
  <c r="AJ1762" i="2"/>
  <c r="AJ1765" i="2"/>
  <c r="AJ1766" i="2"/>
  <c r="AJ1781" i="2"/>
  <c r="AJ1794" i="2"/>
  <c r="AJ1798" i="2"/>
  <c r="AJ1809" i="2"/>
  <c r="AJ1813" i="2"/>
  <c r="AJ1814" i="2"/>
  <c r="AJ1825" i="2"/>
  <c r="AJ1829" i="2"/>
  <c r="AJ1842" i="2"/>
  <c r="AJ1846" i="2"/>
  <c r="AJ1857" i="2"/>
  <c r="AJ1861" i="2"/>
  <c r="AJ1862" i="2"/>
  <c r="AJ1878" i="2"/>
  <c r="AJ1893" i="2"/>
  <c r="AJ1909" i="2"/>
  <c r="AJ1913" i="2"/>
  <c r="AJ1914" i="2"/>
  <c r="AJ1921" i="2"/>
  <c r="AJ1930" i="2"/>
  <c r="AJ1941" i="2"/>
  <c r="AJ1945" i="2"/>
  <c r="AJ1946" i="2"/>
  <c r="AJ1953" i="2"/>
  <c r="AJ1954" i="2"/>
  <c r="AJ1957" i="2"/>
  <c r="AJ1958" i="2"/>
  <c r="AJ1961" i="2"/>
  <c r="AJ1962" i="2"/>
  <c r="AJ1969" i="2"/>
  <c r="AJ1970" i="2"/>
  <c r="AJ1973" i="2"/>
  <c r="AJ1977" i="2"/>
  <c r="AJ1986" i="2"/>
  <c r="AJ1990" i="2"/>
  <c r="AJ1993" i="2"/>
  <c r="AJ2001" i="2"/>
  <c r="AJ2002" i="2"/>
  <c r="AJ2006" i="2"/>
  <c r="AJ2009" i="2"/>
  <c r="AJ2017" i="2"/>
  <c r="AJ2022" i="2"/>
  <c r="AJ2026" i="2"/>
  <c r="AJ2029" i="2"/>
  <c r="AJ2030" i="2"/>
  <c r="AJ2037" i="2"/>
  <c r="AJ2041" i="2"/>
  <c r="AJ2049" i="2"/>
  <c r="AJ2053" i="2"/>
  <c r="AJ2054" i="2"/>
  <c r="AJ2062" i="2"/>
  <c r="AJ2065" i="2"/>
  <c r="AJ2066" i="2"/>
  <c r="AJ2069" i="2"/>
  <c r="AJ2070" i="2"/>
  <c r="AJ2077" i="2"/>
  <c r="AJ2085" i="2"/>
  <c r="AJ2089" i="2"/>
  <c r="AJ2096" i="2"/>
  <c r="AJ2100" i="2"/>
  <c r="AJ2101" i="2"/>
  <c r="AJ2105" i="2"/>
  <c r="AJ2112" i="2"/>
  <c r="AJ2116" i="2"/>
  <c r="AJ2117" i="2"/>
  <c r="AJ2121" i="2"/>
  <c r="AJ2128" i="2"/>
  <c r="AJ2129" i="2"/>
  <c r="AJ2132" i="2"/>
  <c r="AJ2133" i="2"/>
  <c r="AJ2140" i="2"/>
  <c r="AJ2144" i="2"/>
  <c r="AJ2145" i="2"/>
  <c r="AJ2148" i="2"/>
  <c r="AJ2149" i="2"/>
  <c r="AJ2160" i="2"/>
  <c r="AJ2161" i="2"/>
  <c r="AJ2164" i="2"/>
  <c r="AJ2165" i="2"/>
  <c r="AJ2169" i="2"/>
  <c r="AJ2172" i="2"/>
  <c r="AJ2176" i="2"/>
  <c r="AJ2180" i="2"/>
  <c r="AJ2181" i="2"/>
  <c r="AJ2185" i="2"/>
  <c r="AJ2192" i="2"/>
  <c r="AJ2193" i="2"/>
  <c r="AJ2196" i="2"/>
  <c r="AJ2197" i="2"/>
  <c r="AJ2208" i="2"/>
  <c r="AJ2209" i="2"/>
  <c r="AJ2212" i="2"/>
  <c r="AJ2213" i="2"/>
  <c r="AJ2224" i="2"/>
  <c r="AJ2225" i="2"/>
  <c r="AJ2228" i="2"/>
  <c r="AJ2229" i="2"/>
  <c r="AJ2233" i="2"/>
  <c r="AJ2236" i="2"/>
  <c r="AJ2240" i="2"/>
  <c r="AJ2244" i="2"/>
  <c r="AJ2245" i="2"/>
  <c r="AJ2249" i="2"/>
  <c r="AJ2256" i="2"/>
  <c r="AJ2257" i="2"/>
  <c r="AJ2260" i="2"/>
  <c r="AJ2261" i="2"/>
  <c r="AJ2272" i="2"/>
  <c r="AJ2273" i="2"/>
  <c r="AJ2276" i="2"/>
  <c r="AJ2288" i="2"/>
  <c r="AJ2289" i="2"/>
  <c r="AJ2292" i="2"/>
  <c r="AJ2293" i="2"/>
  <c r="AJ2300" i="2"/>
  <c r="AJ2304" i="2"/>
  <c r="AJ2308" i="2"/>
  <c r="AJ2309" i="2"/>
  <c r="AJ2313" i="2"/>
  <c r="AJ2320" i="2"/>
  <c r="AJ2321" i="2"/>
  <c r="AJ2324" i="2"/>
  <c r="AJ2325" i="2"/>
  <c r="AJ2336" i="2"/>
  <c r="AJ2337" i="2"/>
  <c r="AJ2340" i="2"/>
  <c r="AJ2352" i="2"/>
  <c r="AJ2353" i="2"/>
  <c r="AJ2356" i="2"/>
  <c r="AJ2360" i="2"/>
  <c r="AJ2361" i="2"/>
  <c r="AJ2364" i="2"/>
  <c r="AJ2368" i="2"/>
  <c r="AJ2369" i="2"/>
  <c r="AJ2372" i="2"/>
  <c r="AJ2377" i="2"/>
  <c r="AJ2380" i="2"/>
  <c r="AJ2384" i="2"/>
  <c r="AJ2385" i="2"/>
  <c r="AJ2388" i="2"/>
  <c r="AJ2392" i="2"/>
  <c r="AJ2393" i="2"/>
  <c r="AJ2400" i="2"/>
  <c r="AJ2401" i="2"/>
  <c r="AJ2404" i="2"/>
  <c r="AJ2408" i="2"/>
  <c r="AJ2409" i="2"/>
  <c r="AJ2412" i="2"/>
  <c r="AJ2416" i="2"/>
  <c r="AJ2417" i="2"/>
  <c r="AJ2420" i="2"/>
  <c r="AJ2424" i="2"/>
  <c r="AJ2425" i="2"/>
  <c r="AK215" i="2"/>
  <c r="AK221" i="2"/>
  <c r="AK223" i="2"/>
  <c r="AK229" i="2"/>
  <c r="AK231" i="2"/>
  <c r="AK237" i="2"/>
  <c r="AK239" i="2"/>
  <c r="AK241" i="2"/>
  <c r="AK245" i="2"/>
  <c r="AK247" i="2"/>
  <c r="AK251" i="2"/>
  <c r="AK255" i="2"/>
  <c r="AK263" i="2"/>
  <c r="AK265" i="2"/>
  <c r="AK269" i="2"/>
  <c r="AK271" i="2"/>
  <c r="AK277" i="2"/>
  <c r="AK279" i="2"/>
  <c r="AK285" i="2"/>
  <c r="AK287" i="2"/>
  <c r="AK293" i="2"/>
  <c r="AK295" i="2"/>
  <c r="AK301" i="2"/>
  <c r="AK303" i="2"/>
  <c r="AK309" i="2"/>
  <c r="AK311" i="2"/>
  <c r="AK315" i="2"/>
  <c r="AK319" i="2"/>
  <c r="AK329" i="2"/>
  <c r="AK333" i="2"/>
  <c r="AK343" i="2"/>
  <c r="AK347" i="2"/>
  <c r="AK351" i="2"/>
  <c r="AK353" i="2"/>
  <c r="AK361" i="2"/>
  <c r="AK362" i="2"/>
  <c r="AK365" i="2"/>
  <c r="AK366" i="2"/>
  <c r="AK368" i="2"/>
  <c r="AK370" i="2"/>
  <c r="AK378" i="2"/>
  <c r="AK382" i="2"/>
  <c r="AK384" i="2"/>
  <c r="AK386" i="2"/>
  <c r="AK390" i="2"/>
  <c r="AK394" i="2"/>
  <c r="AK398" i="2"/>
  <c r="AK402" i="2"/>
  <c r="AK410" i="2"/>
  <c r="AK414" i="2"/>
  <c r="AK418" i="2"/>
  <c r="AK426" i="2"/>
  <c r="AK430" i="2"/>
  <c r="AK434" i="2"/>
  <c r="AK438" i="2"/>
  <c r="AK442" i="2"/>
  <c r="AK446" i="2"/>
  <c r="AK448" i="2"/>
  <c r="AK450" i="2"/>
  <c r="AK454" i="2"/>
  <c r="AK458" i="2"/>
  <c r="AK462" i="2"/>
  <c r="AK466" i="2"/>
  <c r="AK470" i="2"/>
  <c r="AK474" i="2"/>
  <c r="AK478" i="2"/>
  <c r="AK482" i="2"/>
  <c r="AK486" i="2"/>
  <c r="AK490" i="2"/>
  <c r="AK494" i="2"/>
  <c r="AK498" i="2"/>
  <c r="AK502" i="2"/>
  <c r="AK506" i="2"/>
  <c r="AK510" i="2"/>
  <c r="AK512" i="2"/>
  <c r="AK514" i="2"/>
  <c r="AK608" i="2"/>
  <c r="AK632" i="2"/>
  <c r="AK640" i="2"/>
  <c r="AK672" i="2"/>
  <c r="AK682" i="2"/>
  <c r="AK686" i="2"/>
  <c r="AK688" i="2"/>
  <c r="AK690" i="2"/>
  <c r="AK694" i="2"/>
  <c r="AK698" i="2"/>
  <c r="AK702" i="2"/>
  <c r="AK704" i="2"/>
  <c r="AK706" i="2"/>
  <c r="AK710" i="2"/>
  <c r="AK714" i="2"/>
  <c r="AK718" i="2"/>
  <c r="AK720" i="2"/>
  <c r="AK722" i="2"/>
  <c r="AK726" i="2"/>
  <c r="AK730" i="2"/>
  <c r="AK734" i="2"/>
  <c r="AK736" i="2"/>
  <c r="AK738" i="2"/>
  <c r="AK742" i="2"/>
  <c r="AK746" i="2"/>
  <c r="AK750" i="2"/>
  <c r="AK752" i="2"/>
  <c r="AK754" i="2"/>
  <c r="AK758" i="2"/>
  <c r="AK762" i="2"/>
  <c r="AK764" i="2"/>
  <c r="AK768" i="2"/>
  <c r="AK774" i="2"/>
  <c r="AK778" i="2"/>
  <c r="AK784" i="2"/>
  <c r="AK786" i="2"/>
  <c r="AK790" i="2"/>
  <c r="AK804" i="2"/>
  <c r="AK820" i="2"/>
  <c r="AK836" i="2"/>
  <c r="AK852" i="2"/>
  <c r="AK856" i="2"/>
  <c r="AK868" i="2"/>
  <c r="AK884" i="2"/>
  <c r="AK900" i="2"/>
  <c r="AK916" i="2"/>
  <c r="AK920" i="2"/>
  <c r="AK932" i="2"/>
  <c r="AK948" i="2"/>
  <c r="AK953" i="2"/>
  <c r="AK954" i="2"/>
  <c r="AK958" i="2"/>
  <c r="AK961" i="2"/>
  <c r="AK964" i="2"/>
  <c r="AK965" i="2"/>
  <c r="AK968" i="2"/>
  <c r="AK969" i="2"/>
  <c r="AK970" i="2"/>
  <c r="AK974" i="2"/>
  <c r="AK977" i="2"/>
  <c r="AK980" i="2"/>
  <c r="AK981" i="2"/>
  <c r="AK984" i="2"/>
  <c r="AK985" i="2"/>
  <c r="AK986" i="2"/>
  <c r="AK990" i="2"/>
  <c r="AK993" i="2"/>
  <c r="AK997" i="2"/>
  <c r="AK1000" i="2"/>
  <c r="AK1006" i="2"/>
  <c r="AK1009" i="2"/>
  <c r="AK1010" i="2"/>
  <c r="AK1012" i="2"/>
  <c r="AK1013" i="2"/>
  <c r="AK1016" i="2"/>
  <c r="AK1017" i="2"/>
  <c r="AK1020" i="2"/>
  <c r="AK1022" i="2"/>
  <c r="AK1025" i="2"/>
  <c r="AK1026" i="2"/>
  <c r="AK1029" i="2"/>
  <c r="AK1032" i="2"/>
  <c r="AK1038" i="2"/>
  <c r="AK1041" i="2"/>
  <c r="AK1042" i="2"/>
  <c r="AK1044" i="2"/>
  <c r="AK1045" i="2"/>
  <c r="AK1048" i="2"/>
  <c r="AK1049" i="2"/>
  <c r="AK1054" i="2"/>
  <c r="AK1057" i="2"/>
  <c r="AK1061" i="2"/>
  <c r="AK1064" i="2"/>
  <c r="AK1066" i="2"/>
  <c r="AK1070" i="2"/>
  <c r="AK1072" i="2"/>
  <c r="AK1076" i="2"/>
  <c r="AK1077" i="2"/>
  <c r="AK1081" i="2"/>
  <c r="AK1084" i="2"/>
  <c r="AK1086" i="2"/>
  <c r="AK1089" i="2"/>
  <c r="AK1100" i="2"/>
  <c r="AK1101" i="2"/>
  <c r="AK1105" i="2"/>
  <c r="AK1108" i="2"/>
  <c r="AK1116" i="2"/>
  <c r="AK1121" i="2"/>
  <c r="AK1128" i="2"/>
  <c r="AK1132" i="2"/>
  <c r="AK1137" i="2"/>
  <c r="AK1144" i="2"/>
  <c r="AK1148" i="2"/>
  <c r="AK1153" i="2"/>
  <c r="AK1156" i="2"/>
  <c r="AK1164" i="2"/>
  <c r="AK1169" i="2"/>
  <c r="AK1177" i="2"/>
  <c r="AK1180" i="2"/>
  <c r="AK1185" i="2"/>
  <c r="AK1188" i="2"/>
  <c r="AK1192" i="2"/>
  <c r="AK1196" i="2"/>
  <c r="AK1197" i="2"/>
  <c r="AK1201" i="2"/>
  <c r="AK1213" i="2"/>
  <c r="AK1220" i="2"/>
  <c r="AK1225" i="2"/>
  <c r="AK1229" i="2"/>
  <c r="AK1241" i="2"/>
  <c r="AK1257" i="2"/>
  <c r="AK1277" i="2"/>
  <c r="AK1284" i="2"/>
  <c r="AK1288" i="2"/>
  <c r="AK1293" i="2"/>
  <c r="AK1297" i="2"/>
  <c r="AK1300" i="2"/>
  <c r="AK1304" i="2"/>
  <c r="AK1308" i="2"/>
  <c r="AK1309" i="2"/>
  <c r="AK1313" i="2"/>
  <c r="AK1316" i="2"/>
  <c r="AK1336" i="2"/>
  <c r="AK1345" i="2"/>
  <c r="AK1348" i="2"/>
  <c r="AK1356" i="2"/>
  <c r="AK1357" i="2"/>
  <c r="AK1361" i="2"/>
  <c r="AK1369" i="2"/>
  <c r="AK1388" i="2"/>
  <c r="AK1389" i="2"/>
  <c r="AK1397" i="2"/>
  <c r="AK1409" i="2"/>
  <c r="AK1429" i="2"/>
  <c r="AK1437" i="2"/>
  <c r="AK1457" i="2"/>
  <c r="AK1461" i="2"/>
  <c r="AK1469" i="2"/>
  <c r="AK1471" i="2"/>
  <c r="AK1479" i="2"/>
  <c r="AK1483" i="2"/>
  <c r="AK1494" i="2"/>
  <c r="AK1495" i="2"/>
  <c r="AK1507" i="2"/>
  <c r="AK1510" i="2"/>
  <c r="AK1519" i="2"/>
  <c r="AK1523" i="2"/>
  <c r="AK1526" i="2"/>
  <c r="AK1533" i="2"/>
  <c r="AK1534" i="2"/>
  <c r="AK1539" i="2"/>
  <c r="AK1542" i="2"/>
  <c r="AK1543" i="2"/>
  <c r="AK1551" i="2"/>
  <c r="AK1555" i="2"/>
  <c r="AK1559" i="2"/>
  <c r="AK1565" i="2"/>
  <c r="AK1567" i="2"/>
  <c r="AK1571" i="2"/>
  <c r="AK1574" i="2"/>
  <c r="AK1581" i="2"/>
  <c r="AK1591" i="2"/>
  <c r="AK1595" i="2"/>
  <c r="AK1597" i="2"/>
  <c r="AK1603" i="2"/>
  <c r="AK1619" i="2"/>
  <c r="AK1623" i="2"/>
  <c r="AK1627" i="2"/>
  <c r="AK1630" i="2"/>
  <c r="AK1637" i="2"/>
  <c r="AK1647" i="2"/>
  <c r="AK1651" i="2"/>
  <c r="AK1659" i="2"/>
  <c r="AK1662" i="2"/>
  <c r="AK1667" i="2"/>
  <c r="AK1675" i="2"/>
  <c r="AK1678" i="2"/>
  <c r="AK1683" i="2"/>
  <c r="AK1691" i="2"/>
  <c r="AK1694" i="2"/>
  <c r="AK1695" i="2"/>
  <c r="AK1707" i="2"/>
  <c r="AK1710" i="2"/>
  <c r="AK1715" i="2"/>
  <c r="AK1718" i="2"/>
  <c r="AK1723" i="2"/>
  <c r="AK1725" i="2"/>
  <c r="AK1726" i="2"/>
  <c r="AK1727" i="2"/>
  <c r="AK1731" i="2"/>
  <c r="AK1739" i="2"/>
  <c r="AK1742" i="2"/>
  <c r="AK1743" i="2"/>
  <c r="AK1747" i="2"/>
  <c r="AK1755" i="2"/>
  <c r="AK1757" i="2"/>
  <c r="AK1758" i="2"/>
  <c r="AK1759" i="2"/>
  <c r="AK1763" i="2"/>
  <c r="AK1771" i="2"/>
  <c r="AK1773" i="2"/>
  <c r="AK1774" i="2"/>
  <c r="AK1775" i="2"/>
  <c r="AK1779" i="2"/>
  <c r="AK1782" i="2"/>
  <c r="AK1787" i="2"/>
  <c r="AK1789" i="2"/>
  <c r="AK1790" i="2"/>
  <c r="AK1793" i="2"/>
  <c r="AK1795" i="2"/>
  <c r="AK1797" i="2"/>
  <c r="AK1803" i="2"/>
  <c r="AK1805" i="2"/>
  <c r="AK1806" i="2"/>
  <c r="AK1807" i="2"/>
  <c r="AK1811" i="2"/>
  <c r="AK1821" i="2"/>
  <c r="AK1822" i="2"/>
  <c r="AK1827" i="2"/>
  <c r="AK1830" i="2"/>
  <c r="AK1837" i="2"/>
  <c r="AK1843" i="2"/>
  <c r="AK1845" i="2"/>
  <c r="AK1851" i="2"/>
  <c r="AK1853" i="2"/>
  <c r="AK1854" i="2"/>
  <c r="AK1855" i="2"/>
  <c r="AK1859" i="2"/>
  <c r="AK1867" i="2"/>
  <c r="AK1869" i="2"/>
  <c r="AK1875" i="2"/>
  <c r="AK1883" i="2"/>
  <c r="AK1885" i="2"/>
  <c r="AK1886" i="2"/>
  <c r="AK1887" i="2"/>
  <c r="AK1891" i="2"/>
  <c r="AK1894" i="2"/>
  <c r="AK1899" i="2"/>
  <c r="AK1901" i="2"/>
  <c r="AK1902" i="2"/>
  <c r="AK1903" i="2"/>
  <c r="AK1906" i="2"/>
  <c r="AK1907" i="2"/>
  <c r="AK1910" i="2"/>
  <c r="AK1915" i="2"/>
  <c r="AK1917" i="2"/>
  <c r="AK1918" i="2"/>
  <c r="AK1919" i="2"/>
  <c r="AK1923" i="2"/>
  <c r="AK1925" i="2"/>
  <c r="AK1926" i="2"/>
  <c r="AK1931" i="2"/>
  <c r="AK1933" i="2"/>
  <c r="AK1935" i="2"/>
  <c r="AK1939" i="2"/>
  <c r="AK1947" i="2"/>
  <c r="AK1949" i="2"/>
  <c r="AK1950" i="2"/>
  <c r="AK1951" i="2"/>
  <c r="AK1955" i="2"/>
  <c r="AK1963" i="2"/>
  <c r="AK1967" i="2"/>
  <c r="AK1971" i="2"/>
  <c r="AK1974" i="2"/>
  <c r="AK1981" i="2"/>
  <c r="AK1982" i="2"/>
  <c r="AK1983" i="2"/>
  <c r="AK1987" i="2"/>
  <c r="AK1989" i="2"/>
  <c r="AK1994" i="2"/>
  <c r="AK1995" i="2"/>
  <c r="AK1997" i="2"/>
  <c r="AK1999" i="2"/>
  <c r="AK2003" i="2"/>
  <c r="AK2005" i="2"/>
  <c r="AK2007" i="2"/>
  <c r="AK2011" i="2"/>
  <c r="AK2013" i="2"/>
  <c r="AK2014" i="2"/>
  <c r="AK2015" i="2"/>
  <c r="AK2019" i="2"/>
  <c r="AK2021" i="2"/>
  <c r="AK2025" i="2"/>
  <c r="AK2027" i="2"/>
  <c r="AK2033" i="2"/>
  <c r="AK2034" i="2"/>
  <c r="AK2035" i="2"/>
  <c r="AK2038" i="2"/>
  <c r="AK2039" i="2"/>
  <c r="AK2043" i="2"/>
  <c r="AK2046" i="2"/>
  <c r="AK2047" i="2"/>
  <c r="AK2051" i="2"/>
  <c r="AK2058" i="2"/>
  <c r="AK2061" i="2"/>
  <c r="AK2063" i="2"/>
  <c r="AK2067" i="2"/>
  <c r="AK2071" i="2"/>
  <c r="AK2078" i="2"/>
  <c r="AK2082" i="2"/>
  <c r="AK2083" i="2"/>
  <c r="AK2086" i="2"/>
  <c r="AK2087" i="2"/>
  <c r="AK2091" i="2"/>
  <c r="AK2093" i="2"/>
  <c r="AK2099" i="2"/>
  <c r="AK2103" i="2"/>
  <c r="AK2107" i="2"/>
  <c r="AK2109" i="2"/>
  <c r="AK2110" i="2"/>
  <c r="AK2123" i="2"/>
  <c r="AK2125" i="2"/>
  <c r="AK2135" i="2"/>
  <c r="AK2137" i="2"/>
  <c r="AK2139" i="2"/>
  <c r="AK2141" i="2"/>
  <c r="AK2142" i="2"/>
  <c r="AK2147" i="2"/>
  <c r="AK2151" i="2"/>
  <c r="AK2155" i="2"/>
  <c r="AK2162" i="2"/>
  <c r="AK2167" i="2"/>
  <c r="AK2170" i="2"/>
  <c r="AK2171" i="2"/>
  <c r="AK2173" i="2"/>
  <c r="AK2174" i="2"/>
  <c r="AK2189" i="2"/>
  <c r="AK2194" i="2"/>
  <c r="AK2195" i="2"/>
  <c r="AK2199" i="2"/>
  <c r="AK2201" i="2"/>
  <c r="AK2202" i="2"/>
  <c r="AK2203" i="2"/>
  <c r="AK2205" i="2"/>
  <c r="AK2206" i="2"/>
  <c r="AK2210" i="2"/>
  <c r="AK2211" i="2"/>
  <c r="AK2215" i="2"/>
  <c r="AK2219" i="2"/>
  <c r="AK2226" i="2"/>
  <c r="AK2231" i="2"/>
  <c r="AK2234" i="2"/>
  <c r="AK2235" i="2"/>
  <c r="AK2237" i="2"/>
  <c r="AK2238" i="2"/>
  <c r="AK2253" i="2"/>
  <c r="AK2258" i="2"/>
  <c r="AK2259" i="2"/>
  <c r="AK2263" i="2"/>
  <c r="AK2265" i="2"/>
  <c r="AK2267" i="2"/>
  <c r="AK2269" i="2"/>
  <c r="AK2270" i="2"/>
  <c r="AK2274" i="2"/>
  <c r="AK2275" i="2"/>
  <c r="AK2277" i="2"/>
  <c r="AK2279" i="2"/>
  <c r="AK2283" i="2"/>
  <c r="AK2290" i="2"/>
  <c r="AK2295" i="2"/>
  <c r="AK2297" i="2"/>
  <c r="AK2298" i="2"/>
  <c r="AK2299" i="2"/>
  <c r="AK2301" i="2"/>
  <c r="AK2302" i="2"/>
  <c r="AK2317" i="2"/>
  <c r="AK2322" i="2"/>
  <c r="AK2323" i="2"/>
  <c r="AK2327" i="2"/>
  <c r="AK2329" i="2"/>
  <c r="AK2330" i="2"/>
  <c r="AK2331" i="2"/>
  <c r="AK2333" i="2"/>
  <c r="AK2334" i="2"/>
  <c r="AK2338" i="2"/>
  <c r="AK2339" i="2"/>
  <c r="AK2341" i="2"/>
  <c r="AK2343" i="2"/>
  <c r="AK2347" i="2"/>
  <c r="AK2359" i="2"/>
  <c r="AK2362" i="2"/>
  <c r="AK2363" i="2"/>
  <c r="AK2367" i="2"/>
  <c r="AK2370" i="2"/>
  <c r="AK2371" i="2"/>
  <c r="AK2375" i="2"/>
  <c r="AK2378" i="2"/>
  <c r="AK2379" i="2"/>
  <c r="AK2383" i="2"/>
  <c r="AK2386" i="2"/>
  <c r="AK2387" i="2"/>
  <c r="AK2391" i="2"/>
  <c r="AK2394" i="2"/>
  <c r="AK2395" i="2"/>
  <c r="AK2399" i="2"/>
  <c r="AK2402" i="2"/>
  <c r="AK2403" i="2"/>
  <c r="AK2407" i="2"/>
  <c r="AK2410" i="2"/>
  <c r="AK2411" i="2"/>
  <c r="AK2415" i="2"/>
  <c r="AK2418" i="2"/>
  <c r="AK2423" i="2"/>
  <c r="AK2426" i="2"/>
  <c r="AC215" i="2"/>
  <c r="AL215" i="2" s="1"/>
  <c r="AC217" i="2"/>
  <c r="AL217" i="2" s="1"/>
  <c r="AC218" i="2"/>
  <c r="AL218" i="2" s="1"/>
  <c r="AC219" i="2"/>
  <c r="AL219" i="2" s="1"/>
  <c r="AC221" i="2"/>
  <c r="AL221" i="2" s="1"/>
  <c r="AC222" i="2"/>
  <c r="AL222" i="2" s="1"/>
  <c r="AC223" i="2"/>
  <c r="AL223" i="2" s="1"/>
  <c r="AC224" i="2"/>
  <c r="AL224" i="2" s="1"/>
  <c r="AC226" i="2"/>
  <c r="AL226" i="2" s="1"/>
  <c r="AC227" i="2"/>
  <c r="AL227" i="2" s="1"/>
  <c r="AC229" i="2"/>
  <c r="AL229" i="2" s="1"/>
  <c r="AC230" i="2"/>
  <c r="AL230" i="2" s="1"/>
  <c r="AC231" i="2"/>
  <c r="AL231" i="2" s="1"/>
  <c r="AC232" i="2"/>
  <c r="AL232" i="2" s="1"/>
  <c r="AC233" i="2"/>
  <c r="AL233" i="2" s="1"/>
  <c r="AC235" i="2"/>
  <c r="AL235" i="2" s="1"/>
  <c r="AC237" i="2"/>
  <c r="AL237" i="2" s="1"/>
  <c r="AC238" i="2"/>
  <c r="AL238" i="2" s="1"/>
  <c r="AC239" i="2"/>
  <c r="AL239" i="2" s="1"/>
  <c r="AC240" i="2"/>
  <c r="AL240" i="2" s="1"/>
  <c r="AC241" i="2"/>
  <c r="AL241" i="2" s="1"/>
  <c r="AC242" i="2"/>
  <c r="AL242" i="2" s="1"/>
  <c r="AC243" i="2"/>
  <c r="AL243" i="2" s="1"/>
  <c r="AC245" i="2"/>
  <c r="AL245" i="2" s="1"/>
  <c r="AC246" i="2"/>
  <c r="AL246" i="2" s="1"/>
  <c r="AC247" i="2"/>
  <c r="AL247" i="2" s="1"/>
  <c r="AC248" i="2"/>
  <c r="AL248" i="2" s="1"/>
  <c r="AC249" i="2"/>
  <c r="AL249" i="2" s="1"/>
  <c r="AC250" i="2"/>
  <c r="AL250" i="2" s="1"/>
  <c r="AC251" i="2"/>
  <c r="AL251" i="2" s="1"/>
  <c r="AC254" i="2"/>
  <c r="AL254" i="2" s="1"/>
  <c r="AC255" i="2"/>
  <c r="AL255" i="2" s="1"/>
  <c r="AC256" i="2"/>
  <c r="AL256" i="2" s="1"/>
  <c r="AC257" i="2"/>
  <c r="AL257" i="2" s="1"/>
  <c r="AC258" i="2"/>
  <c r="AL258" i="2" s="1"/>
  <c r="AC259" i="2"/>
  <c r="AL259" i="2" s="1"/>
  <c r="AC262" i="2"/>
  <c r="AL262" i="2" s="1"/>
  <c r="AC263" i="2"/>
  <c r="AL263" i="2" s="1"/>
  <c r="AC264" i="2"/>
  <c r="AL264" i="2" s="1"/>
  <c r="AC265" i="2"/>
  <c r="AL265" i="2" s="1"/>
  <c r="AC266" i="2"/>
  <c r="AL266" i="2" s="1"/>
  <c r="AC267" i="2"/>
  <c r="AL267" i="2" s="1"/>
  <c r="AC269" i="2"/>
  <c r="AL269" i="2" s="1"/>
  <c r="AC270" i="2"/>
  <c r="AL270" i="2" s="1"/>
  <c r="AC271" i="2"/>
  <c r="AL271" i="2" s="1"/>
  <c r="AC272" i="2"/>
  <c r="AL272" i="2" s="1"/>
  <c r="AC273" i="2"/>
  <c r="AL273" i="2" s="1"/>
  <c r="AC274" i="2"/>
  <c r="AL274" i="2" s="1"/>
  <c r="AC275" i="2"/>
  <c r="AL275" i="2" s="1"/>
  <c r="AC277" i="2"/>
  <c r="AL277" i="2" s="1"/>
  <c r="AC278" i="2"/>
  <c r="AL278" i="2" s="1"/>
  <c r="AC279" i="2"/>
  <c r="AL279" i="2" s="1"/>
  <c r="AC280" i="2"/>
  <c r="AL280" i="2" s="1"/>
  <c r="AC281" i="2"/>
  <c r="AL281" i="2" s="1"/>
  <c r="AC282" i="2"/>
  <c r="AL282" i="2" s="1"/>
  <c r="AC283" i="2"/>
  <c r="AL283" i="2" s="1"/>
  <c r="AC285" i="2"/>
  <c r="AL285" i="2" s="1"/>
  <c r="AC286" i="2"/>
  <c r="AL286" i="2" s="1"/>
  <c r="AC287" i="2"/>
  <c r="AL287" i="2" s="1"/>
  <c r="AC288" i="2"/>
  <c r="AL288" i="2" s="1"/>
  <c r="AC289" i="2"/>
  <c r="AL289" i="2" s="1"/>
  <c r="AC290" i="2"/>
  <c r="AL290" i="2" s="1"/>
  <c r="AC291" i="2"/>
  <c r="AL291" i="2" s="1"/>
  <c r="AC293" i="2"/>
  <c r="AL293" i="2" s="1"/>
  <c r="AC294" i="2"/>
  <c r="AL294" i="2" s="1"/>
  <c r="AC295" i="2"/>
  <c r="AL295" i="2" s="1"/>
  <c r="AC296" i="2"/>
  <c r="AL296" i="2" s="1"/>
  <c r="AC297" i="2"/>
  <c r="AL297" i="2" s="1"/>
  <c r="AC298" i="2"/>
  <c r="AL298" i="2" s="1"/>
  <c r="AC299" i="2"/>
  <c r="AL299" i="2" s="1"/>
  <c r="AC301" i="2"/>
  <c r="AL301" i="2" s="1"/>
  <c r="AC302" i="2"/>
  <c r="AL302" i="2" s="1"/>
  <c r="AC303" i="2"/>
  <c r="AL303" i="2" s="1"/>
  <c r="AC304" i="2"/>
  <c r="AL304" i="2" s="1"/>
  <c r="AC305" i="2"/>
  <c r="AL305" i="2" s="1"/>
  <c r="AC306" i="2"/>
  <c r="AL306" i="2" s="1"/>
  <c r="AC307" i="2"/>
  <c r="AL307" i="2" s="1"/>
  <c r="AC309" i="2"/>
  <c r="AL309" i="2" s="1"/>
  <c r="AC310" i="2"/>
  <c r="AL310" i="2" s="1"/>
  <c r="AC311" i="2"/>
  <c r="AL311" i="2" s="1"/>
  <c r="AC312" i="2"/>
  <c r="AL312" i="2" s="1"/>
  <c r="AC313" i="2"/>
  <c r="AL313" i="2" s="1"/>
  <c r="AC314" i="2"/>
  <c r="AL314" i="2" s="1"/>
  <c r="AC315" i="2"/>
  <c r="AL315" i="2" s="1"/>
  <c r="AC318" i="2"/>
  <c r="AL318" i="2" s="1"/>
  <c r="AC319" i="2"/>
  <c r="AL319" i="2" s="1"/>
  <c r="AC320" i="2"/>
  <c r="AL320" i="2" s="1"/>
  <c r="AC321" i="2"/>
  <c r="AL321" i="2" s="1"/>
  <c r="AC322" i="2"/>
  <c r="AL322" i="2" s="1"/>
  <c r="AC323" i="2"/>
  <c r="AL323" i="2" s="1"/>
  <c r="AC325" i="2"/>
  <c r="AL325" i="2" s="1"/>
  <c r="AC326" i="2"/>
  <c r="AL326" i="2" s="1"/>
  <c r="AC327" i="2"/>
  <c r="AL327" i="2" s="1"/>
  <c r="AC328" i="2"/>
  <c r="AL328" i="2" s="1"/>
  <c r="AC329" i="2"/>
  <c r="AL329" i="2" s="1"/>
  <c r="AC330" i="2"/>
  <c r="AL330" i="2" s="1"/>
  <c r="AC331" i="2"/>
  <c r="AL331" i="2" s="1"/>
  <c r="AC333" i="2"/>
  <c r="AL333" i="2" s="1"/>
  <c r="AC334" i="2"/>
  <c r="AL334" i="2" s="1"/>
  <c r="AC335" i="2"/>
  <c r="AL335" i="2" s="1"/>
  <c r="AC336" i="2"/>
  <c r="AL336" i="2" s="1"/>
  <c r="AC337" i="2"/>
  <c r="AL337" i="2" s="1"/>
  <c r="AC338" i="2"/>
  <c r="AL338" i="2" s="1"/>
  <c r="AC339" i="2"/>
  <c r="AL339" i="2" s="1"/>
  <c r="AC341" i="2"/>
  <c r="AL341" i="2" s="1"/>
  <c r="AC342" i="2"/>
  <c r="AL342" i="2" s="1"/>
  <c r="AC343" i="2"/>
  <c r="AL343" i="2" s="1"/>
  <c r="AC344" i="2"/>
  <c r="AL344" i="2" s="1"/>
  <c r="AC345" i="2"/>
  <c r="AL345" i="2" s="1"/>
  <c r="AC346" i="2"/>
  <c r="AL346" i="2" s="1"/>
  <c r="AC347" i="2"/>
  <c r="AL347" i="2" s="1"/>
  <c r="AC349" i="2"/>
  <c r="AL349" i="2" s="1"/>
  <c r="AC350" i="2"/>
  <c r="AL350" i="2" s="1"/>
  <c r="AC351" i="2"/>
  <c r="AL351" i="2" s="1"/>
  <c r="AC352" i="2"/>
  <c r="AL352" i="2" s="1"/>
  <c r="AC353" i="2"/>
  <c r="AL353" i="2" s="1"/>
  <c r="AC354" i="2"/>
  <c r="AL354" i="2" s="1"/>
  <c r="AC355" i="2"/>
  <c r="AL355" i="2" s="1"/>
  <c r="AC357" i="2"/>
  <c r="AL357" i="2" s="1"/>
  <c r="AC358" i="2"/>
  <c r="AL358" i="2" s="1"/>
  <c r="AC359" i="2"/>
  <c r="AL359" i="2" s="1"/>
  <c r="AC360" i="2"/>
  <c r="AL360" i="2" s="1"/>
  <c r="AC361" i="2"/>
  <c r="AL361" i="2" s="1"/>
  <c r="AC362" i="2"/>
  <c r="AL362" i="2" s="1"/>
  <c r="AC363" i="2"/>
  <c r="AL363" i="2" s="1"/>
  <c r="AC365" i="2"/>
  <c r="AL365" i="2" s="1"/>
  <c r="AC366" i="2"/>
  <c r="AL366" i="2" s="1"/>
  <c r="AC367" i="2"/>
  <c r="AL367" i="2" s="1"/>
  <c r="AC368" i="2"/>
  <c r="AL368" i="2" s="1"/>
  <c r="AC369" i="2"/>
  <c r="AL369" i="2" s="1"/>
  <c r="AC370" i="2"/>
  <c r="AL370" i="2" s="1"/>
  <c r="AC371" i="2"/>
  <c r="AL371" i="2" s="1"/>
  <c r="AC373" i="2"/>
  <c r="AL373" i="2" s="1"/>
  <c r="AC374" i="2"/>
  <c r="AL374" i="2" s="1"/>
  <c r="AC375" i="2"/>
  <c r="AL375" i="2" s="1"/>
  <c r="AC376" i="2"/>
  <c r="AL376" i="2" s="1"/>
  <c r="AC377" i="2"/>
  <c r="AL377" i="2" s="1"/>
  <c r="AC378" i="2"/>
  <c r="AL378" i="2" s="1"/>
  <c r="AC379" i="2"/>
  <c r="AL379" i="2" s="1"/>
  <c r="AC381" i="2"/>
  <c r="AL381" i="2" s="1"/>
  <c r="AC382" i="2"/>
  <c r="AL382" i="2" s="1"/>
  <c r="AC383" i="2"/>
  <c r="AL383" i="2" s="1"/>
  <c r="AC384" i="2"/>
  <c r="AL384" i="2" s="1"/>
  <c r="AC385" i="2"/>
  <c r="AL385" i="2" s="1"/>
  <c r="AC386" i="2"/>
  <c r="AL386" i="2" s="1"/>
  <c r="AC387" i="2"/>
  <c r="AL387" i="2" s="1"/>
  <c r="AC389" i="2"/>
  <c r="AL389" i="2" s="1"/>
  <c r="AC390" i="2"/>
  <c r="AL390" i="2" s="1"/>
  <c r="AC391" i="2"/>
  <c r="AL391" i="2" s="1"/>
  <c r="AC392" i="2"/>
  <c r="AL392" i="2" s="1"/>
  <c r="AC393" i="2"/>
  <c r="AL393" i="2" s="1"/>
  <c r="AC394" i="2"/>
  <c r="AL394" i="2" s="1"/>
  <c r="AC395" i="2"/>
  <c r="AL395" i="2" s="1"/>
  <c r="AC397" i="2"/>
  <c r="AL397" i="2" s="1"/>
  <c r="AC398" i="2"/>
  <c r="AL398" i="2" s="1"/>
  <c r="AC399" i="2"/>
  <c r="AL399" i="2" s="1"/>
  <c r="AC400" i="2"/>
  <c r="AL400" i="2" s="1"/>
  <c r="AC401" i="2"/>
  <c r="AL401" i="2" s="1"/>
  <c r="AC402" i="2"/>
  <c r="AL402" i="2" s="1"/>
  <c r="AC403" i="2"/>
  <c r="AL403" i="2" s="1"/>
  <c r="AC405" i="2"/>
  <c r="AL405" i="2" s="1"/>
  <c r="AC406" i="2"/>
  <c r="AL406" i="2" s="1"/>
  <c r="AC407" i="2"/>
  <c r="AL407" i="2" s="1"/>
  <c r="AC408" i="2"/>
  <c r="AL408" i="2" s="1"/>
  <c r="AC409" i="2"/>
  <c r="AL409" i="2" s="1"/>
  <c r="AC410" i="2"/>
  <c r="AL410" i="2" s="1"/>
  <c r="AC411" i="2"/>
  <c r="AL411" i="2" s="1"/>
  <c r="AC413" i="2"/>
  <c r="AL413" i="2" s="1"/>
  <c r="AC414" i="2"/>
  <c r="AL414" i="2" s="1"/>
  <c r="AC415" i="2"/>
  <c r="AL415" i="2" s="1"/>
  <c r="AC416" i="2"/>
  <c r="AL416" i="2" s="1"/>
  <c r="AC417" i="2"/>
  <c r="AL417" i="2" s="1"/>
  <c r="AC418" i="2"/>
  <c r="AL418" i="2" s="1"/>
  <c r="AC419" i="2"/>
  <c r="AL419" i="2" s="1"/>
  <c r="AC421" i="2"/>
  <c r="AL421" i="2" s="1"/>
  <c r="AC422" i="2"/>
  <c r="AL422" i="2" s="1"/>
  <c r="AC423" i="2"/>
  <c r="AL423" i="2" s="1"/>
  <c r="AC424" i="2"/>
  <c r="AL424" i="2" s="1"/>
  <c r="AC425" i="2"/>
  <c r="AL425" i="2" s="1"/>
  <c r="AC426" i="2"/>
  <c r="AL426" i="2" s="1"/>
  <c r="AC427" i="2"/>
  <c r="AL427" i="2" s="1"/>
  <c r="AC429" i="2"/>
  <c r="AL429" i="2" s="1"/>
  <c r="AC430" i="2"/>
  <c r="AL430" i="2" s="1"/>
  <c r="AC431" i="2"/>
  <c r="AL431" i="2" s="1"/>
  <c r="AC432" i="2"/>
  <c r="AL432" i="2" s="1"/>
  <c r="AC433" i="2"/>
  <c r="AL433" i="2" s="1"/>
  <c r="AC434" i="2"/>
  <c r="AL434" i="2" s="1"/>
  <c r="AC435" i="2"/>
  <c r="AL435" i="2" s="1"/>
  <c r="AC437" i="2"/>
  <c r="AL437" i="2" s="1"/>
  <c r="AC438" i="2"/>
  <c r="AL438" i="2" s="1"/>
  <c r="AC439" i="2"/>
  <c r="AL439" i="2" s="1"/>
  <c r="AC440" i="2"/>
  <c r="AL440" i="2" s="1"/>
  <c r="AC441" i="2"/>
  <c r="AL441" i="2" s="1"/>
  <c r="AC442" i="2"/>
  <c r="AL442" i="2" s="1"/>
  <c r="AC443" i="2"/>
  <c r="AL443" i="2" s="1"/>
  <c r="AC445" i="2"/>
  <c r="AL445" i="2" s="1"/>
  <c r="AC446" i="2"/>
  <c r="AL446" i="2" s="1"/>
  <c r="AC447" i="2"/>
  <c r="AL447" i="2" s="1"/>
  <c r="AC448" i="2"/>
  <c r="AL448" i="2" s="1"/>
  <c r="AC449" i="2"/>
  <c r="AL449" i="2" s="1"/>
  <c r="AC450" i="2"/>
  <c r="AL450" i="2" s="1"/>
  <c r="AC451" i="2"/>
  <c r="AL451" i="2" s="1"/>
  <c r="AC453" i="2"/>
  <c r="AL453" i="2" s="1"/>
  <c r="AC454" i="2"/>
  <c r="AL454" i="2" s="1"/>
  <c r="AC455" i="2"/>
  <c r="AL455" i="2" s="1"/>
  <c r="AC456" i="2"/>
  <c r="AL456" i="2" s="1"/>
  <c r="AC457" i="2"/>
  <c r="AL457" i="2" s="1"/>
  <c r="AC458" i="2"/>
  <c r="AL458" i="2" s="1"/>
  <c r="AC459" i="2"/>
  <c r="AL459" i="2" s="1"/>
  <c r="AC461" i="2"/>
  <c r="AL461" i="2" s="1"/>
  <c r="AC462" i="2"/>
  <c r="AL462" i="2" s="1"/>
  <c r="AC463" i="2"/>
  <c r="AL463" i="2" s="1"/>
  <c r="AC464" i="2"/>
  <c r="AL464" i="2" s="1"/>
  <c r="AC465" i="2"/>
  <c r="AL465" i="2" s="1"/>
  <c r="AC466" i="2"/>
  <c r="AL466" i="2" s="1"/>
  <c r="AC467" i="2"/>
  <c r="AL467" i="2" s="1"/>
  <c r="AC469" i="2"/>
  <c r="AL469" i="2" s="1"/>
  <c r="AC470" i="2"/>
  <c r="AL470" i="2" s="1"/>
  <c r="AC471" i="2"/>
  <c r="AL471" i="2" s="1"/>
  <c r="AC472" i="2"/>
  <c r="AL472" i="2" s="1"/>
  <c r="AC473" i="2"/>
  <c r="AL473" i="2" s="1"/>
  <c r="AC474" i="2"/>
  <c r="AL474" i="2" s="1"/>
  <c r="AC475" i="2"/>
  <c r="AL475" i="2" s="1"/>
  <c r="AC477" i="2"/>
  <c r="AL477" i="2" s="1"/>
  <c r="AC478" i="2"/>
  <c r="AL478" i="2" s="1"/>
  <c r="AC479" i="2"/>
  <c r="AL479" i="2" s="1"/>
  <c r="AC480" i="2"/>
  <c r="AL480" i="2" s="1"/>
  <c r="AC481" i="2"/>
  <c r="AL481" i="2" s="1"/>
  <c r="AC482" i="2"/>
  <c r="AL482" i="2" s="1"/>
  <c r="AC483" i="2"/>
  <c r="AL483" i="2" s="1"/>
  <c r="AC485" i="2"/>
  <c r="AL485" i="2" s="1"/>
  <c r="AC486" i="2"/>
  <c r="AL486" i="2" s="1"/>
  <c r="AC487" i="2"/>
  <c r="AL487" i="2" s="1"/>
  <c r="AC488" i="2"/>
  <c r="AL488" i="2" s="1"/>
  <c r="AC489" i="2"/>
  <c r="AL489" i="2" s="1"/>
  <c r="AC490" i="2"/>
  <c r="AL490" i="2" s="1"/>
  <c r="AC491" i="2"/>
  <c r="AL491" i="2" s="1"/>
  <c r="AC493" i="2"/>
  <c r="AL493" i="2" s="1"/>
  <c r="AC494" i="2"/>
  <c r="AL494" i="2" s="1"/>
  <c r="AC495" i="2"/>
  <c r="AL495" i="2" s="1"/>
  <c r="AC496" i="2"/>
  <c r="AL496" i="2" s="1"/>
  <c r="AC497" i="2"/>
  <c r="AL497" i="2" s="1"/>
  <c r="AC498" i="2"/>
  <c r="AL498" i="2" s="1"/>
  <c r="AC499" i="2"/>
  <c r="AL499" i="2" s="1"/>
  <c r="AC501" i="2"/>
  <c r="AL501" i="2" s="1"/>
  <c r="AC502" i="2"/>
  <c r="AL502" i="2" s="1"/>
  <c r="AC503" i="2"/>
  <c r="AL503" i="2" s="1"/>
  <c r="AC504" i="2"/>
  <c r="AL504" i="2" s="1"/>
  <c r="AC505" i="2"/>
  <c r="AL505" i="2" s="1"/>
  <c r="AC506" i="2"/>
  <c r="AL506" i="2" s="1"/>
  <c r="AC507" i="2"/>
  <c r="AL507" i="2" s="1"/>
  <c r="AC509" i="2"/>
  <c r="AL509" i="2" s="1"/>
  <c r="AC510" i="2"/>
  <c r="AL510" i="2" s="1"/>
  <c r="AC511" i="2"/>
  <c r="AL511" i="2" s="1"/>
  <c r="AC512" i="2"/>
  <c r="AL512" i="2" s="1"/>
  <c r="AC513" i="2"/>
  <c r="AL513" i="2" s="1"/>
  <c r="AC514" i="2"/>
  <c r="AL514" i="2" s="1"/>
  <c r="AC515" i="2"/>
  <c r="AL515" i="2" s="1"/>
  <c r="AC517" i="2"/>
  <c r="AL517" i="2" s="1"/>
  <c r="AC518" i="2"/>
  <c r="AL518" i="2" s="1"/>
  <c r="AC519" i="2"/>
  <c r="AL519" i="2" s="1"/>
  <c r="AC520" i="2"/>
  <c r="AL520" i="2" s="1"/>
  <c r="AC521" i="2"/>
  <c r="AL521" i="2" s="1"/>
  <c r="AC522" i="2"/>
  <c r="AL522" i="2" s="1"/>
  <c r="AC523" i="2"/>
  <c r="AL523" i="2" s="1"/>
  <c r="AC525" i="2"/>
  <c r="AL525" i="2" s="1"/>
  <c r="AC526" i="2"/>
  <c r="AL526" i="2" s="1"/>
  <c r="AC527" i="2"/>
  <c r="AL527" i="2" s="1"/>
  <c r="AC528" i="2"/>
  <c r="AL528" i="2" s="1"/>
  <c r="AC529" i="2"/>
  <c r="AL529" i="2" s="1"/>
  <c r="AC530" i="2"/>
  <c r="AL530" i="2" s="1"/>
  <c r="AC531" i="2"/>
  <c r="AL531" i="2" s="1"/>
  <c r="AC533" i="2"/>
  <c r="AL533" i="2" s="1"/>
  <c r="AC534" i="2"/>
  <c r="AL534" i="2" s="1"/>
  <c r="AC535" i="2"/>
  <c r="AL535" i="2" s="1"/>
  <c r="AC536" i="2"/>
  <c r="AL536" i="2" s="1"/>
  <c r="AC537" i="2"/>
  <c r="AL537" i="2" s="1"/>
  <c r="AC538" i="2"/>
  <c r="AL538" i="2" s="1"/>
  <c r="AC539" i="2"/>
  <c r="AL539" i="2" s="1"/>
  <c r="AC541" i="2"/>
  <c r="AL541" i="2" s="1"/>
  <c r="AC542" i="2"/>
  <c r="AL542" i="2" s="1"/>
  <c r="AC543" i="2"/>
  <c r="AL543" i="2" s="1"/>
  <c r="AC544" i="2"/>
  <c r="AL544" i="2" s="1"/>
  <c r="AC545" i="2"/>
  <c r="AL545" i="2" s="1"/>
  <c r="AC546" i="2"/>
  <c r="AL546" i="2" s="1"/>
  <c r="AC547" i="2"/>
  <c r="AL547" i="2" s="1"/>
  <c r="AC549" i="2"/>
  <c r="AL549" i="2" s="1"/>
  <c r="AC550" i="2"/>
  <c r="AL550" i="2" s="1"/>
  <c r="AC551" i="2"/>
  <c r="AL551" i="2" s="1"/>
  <c r="AC552" i="2"/>
  <c r="AL552" i="2" s="1"/>
  <c r="AC553" i="2"/>
  <c r="AL553" i="2" s="1"/>
  <c r="AC554" i="2"/>
  <c r="AL554" i="2" s="1"/>
  <c r="AC555" i="2"/>
  <c r="AL555" i="2" s="1"/>
  <c r="AC557" i="2"/>
  <c r="AL557" i="2" s="1"/>
  <c r="AC558" i="2"/>
  <c r="AL558" i="2" s="1"/>
  <c r="AC559" i="2"/>
  <c r="AL559" i="2" s="1"/>
  <c r="AC560" i="2"/>
  <c r="AL560" i="2" s="1"/>
  <c r="AC561" i="2"/>
  <c r="AL561" i="2" s="1"/>
  <c r="AC562" i="2"/>
  <c r="AL562" i="2" s="1"/>
  <c r="AC563" i="2"/>
  <c r="AL563" i="2" s="1"/>
  <c r="AC565" i="2"/>
  <c r="AL565" i="2" s="1"/>
  <c r="AC566" i="2"/>
  <c r="AL566" i="2" s="1"/>
  <c r="AC567" i="2"/>
  <c r="AL567" i="2" s="1"/>
  <c r="AC568" i="2"/>
  <c r="AL568" i="2" s="1"/>
  <c r="AC569" i="2"/>
  <c r="AL569" i="2" s="1"/>
  <c r="AC570" i="2"/>
  <c r="AL570" i="2" s="1"/>
  <c r="AC571" i="2"/>
  <c r="AL571" i="2" s="1"/>
  <c r="AC573" i="2"/>
  <c r="AL573" i="2" s="1"/>
  <c r="AC574" i="2"/>
  <c r="AL574" i="2" s="1"/>
  <c r="AC575" i="2"/>
  <c r="AL575" i="2" s="1"/>
  <c r="AC576" i="2"/>
  <c r="AL576" i="2" s="1"/>
  <c r="AC577" i="2"/>
  <c r="AL577" i="2" s="1"/>
  <c r="AC578" i="2"/>
  <c r="AL578" i="2" s="1"/>
  <c r="AC579" i="2"/>
  <c r="AL579" i="2" s="1"/>
  <c r="AC581" i="2"/>
  <c r="AL581" i="2" s="1"/>
  <c r="AC582" i="2"/>
  <c r="AL582" i="2" s="1"/>
  <c r="AC583" i="2"/>
  <c r="AL583" i="2" s="1"/>
  <c r="AC584" i="2"/>
  <c r="AL584" i="2" s="1"/>
  <c r="AC585" i="2"/>
  <c r="AL585" i="2" s="1"/>
  <c r="AC586" i="2"/>
  <c r="AL586" i="2" s="1"/>
  <c r="AC587" i="2"/>
  <c r="AL587" i="2" s="1"/>
  <c r="AC589" i="2"/>
  <c r="AL589" i="2" s="1"/>
  <c r="AC590" i="2"/>
  <c r="AL590" i="2" s="1"/>
  <c r="AC591" i="2"/>
  <c r="AL591" i="2" s="1"/>
  <c r="AC592" i="2"/>
  <c r="AL592" i="2" s="1"/>
  <c r="AC593" i="2"/>
  <c r="AL593" i="2" s="1"/>
  <c r="AC594" i="2"/>
  <c r="AL594" i="2" s="1"/>
  <c r="AC595" i="2"/>
  <c r="AL595" i="2" s="1"/>
  <c r="AC597" i="2"/>
  <c r="AL597" i="2" s="1"/>
  <c r="AC598" i="2"/>
  <c r="AL598" i="2" s="1"/>
  <c r="AC599" i="2"/>
  <c r="AL599" i="2" s="1"/>
  <c r="AC600" i="2"/>
  <c r="AL600" i="2" s="1"/>
  <c r="AC601" i="2"/>
  <c r="AL601" i="2" s="1"/>
  <c r="AC602" i="2"/>
  <c r="AL602" i="2" s="1"/>
  <c r="AC603" i="2"/>
  <c r="AL603" i="2" s="1"/>
  <c r="AC605" i="2"/>
  <c r="AL605" i="2" s="1"/>
  <c r="AC606" i="2"/>
  <c r="AL606" i="2" s="1"/>
  <c r="AC607" i="2"/>
  <c r="AL607" i="2" s="1"/>
  <c r="AC608" i="2"/>
  <c r="AL608" i="2" s="1"/>
  <c r="AC609" i="2"/>
  <c r="AL609" i="2" s="1"/>
  <c r="AC610" i="2"/>
  <c r="AL610" i="2" s="1"/>
  <c r="AC611" i="2"/>
  <c r="AL611" i="2" s="1"/>
  <c r="AC613" i="2"/>
  <c r="AL613" i="2" s="1"/>
  <c r="AC614" i="2"/>
  <c r="AL614" i="2" s="1"/>
  <c r="AC615" i="2"/>
  <c r="AL615" i="2" s="1"/>
  <c r="AC616" i="2"/>
  <c r="AL616" i="2" s="1"/>
  <c r="AC617" i="2"/>
  <c r="AL617" i="2" s="1"/>
  <c r="AC618" i="2"/>
  <c r="AL618" i="2" s="1"/>
  <c r="AC619" i="2"/>
  <c r="AL619" i="2" s="1"/>
  <c r="AC621" i="2"/>
  <c r="AL621" i="2" s="1"/>
  <c r="AC622" i="2"/>
  <c r="AL622" i="2" s="1"/>
  <c r="AC623" i="2"/>
  <c r="AL623" i="2" s="1"/>
  <c r="AC624" i="2"/>
  <c r="AL624" i="2" s="1"/>
  <c r="AC625" i="2"/>
  <c r="AL625" i="2" s="1"/>
  <c r="AC626" i="2"/>
  <c r="AL626" i="2" s="1"/>
  <c r="AC627" i="2"/>
  <c r="AL627" i="2" s="1"/>
  <c r="AC629" i="2"/>
  <c r="AL629" i="2" s="1"/>
  <c r="AC630" i="2"/>
  <c r="AL630" i="2" s="1"/>
  <c r="AC631" i="2"/>
  <c r="AL631" i="2" s="1"/>
  <c r="AC632" i="2"/>
  <c r="AL632" i="2" s="1"/>
  <c r="AC633" i="2"/>
  <c r="AL633" i="2" s="1"/>
  <c r="AC634" i="2"/>
  <c r="AL634" i="2" s="1"/>
  <c r="AC635" i="2"/>
  <c r="AL635" i="2" s="1"/>
  <c r="AC637" i="2"/>
  <c r="AL637" i="2" s="1"/>
  <c r="AC638" i="2"/>
  <c r="AL638" i="2" s="1"/>
  <c r="AC639" i="2"/>
  <c r="AL639" i="2" s="1"/>
  <c r="AC640" i="2"/>
  <c r="AL640" i="2" s="1"/>
  <c r="AC641" i="2"/>
  <c r="AL641" i="2" s="1"/>
  <c r="AC642" i="2"/>
  <c r="AL642" i="2" s="1"/>
  <c r="AC643" i="2"/>
  <c r="AL643" i="2" s="1"/>
  <c r="AC645" i="2"/>
  <c r="AL645" i="2" s="1"/>
  <c r="AC646" i="2"/>
  <c r="AL646" i="2" s="1"/>
  <c r="AC647" i="2"/>
  <c r="AL647" i="2" s="1"/>
  <c r="AC648" i="2"/>
  <c r="AL648" i="2" s="1"/>
  <c r="AC649" i="2"/>
  <c r="AL649" i="2" s="1"/>
  <c r="AC650" i="2"/>
  <c r="AL650" i="2" s="1"/>
  <c r="AC651" i="2"/>
  <c r="AL651" i="2" s="1"/>
  <c r="AC653" i="2"/>
  <c r="AL653" i="2" s="1"/>
  <c r="AC654" i="2"/>
  <c r="AL654" i="2" s="1"/>
  <c r="AC655" i="2"/>
  <c r="AL655" i="2" s="1"/>
  <c r="AC656" i="2"/>
  <c r="AL656" i="2" s="1"/>
  <c r="AC657" i="2"/>
  <c r="AL657" i="2" s="1"/>
  <c r="AC658" i="2"/>
  <c r="AL658" i="2" s="1"/>
  <c r="AC659" i="2"/>
  <c r="AL659" i="2" s="1"/>
  <c r="AC661" i="2"/>
  <c r="AL661" i="2" s="1"/>
  <c r="AC662" i="2"/>
  <c r="AL662" i="2" s="1"/>
  <c r="AC663" i="2"/>
  <c r="AL663" i="2" s="1"/>
  <c r="AC664" i="2"/>
  <c r="AL664" i="2" s="1"/>
  <c r="AC665" i="2"/>
  <c r="AL665" i="2" s="1"/>
  <c r="AC666" i="2"/>
  <c r="AL666" i="2" s="1"/>
  <c r="AC667" i="2"/>
  <c r="AL667" i="2" s="1"/>
  <c r="AC669" i="2"/>
  <c r="AL669" i="2" s="1"/>
  <c r="AC670" i="2"/>
  <c r="AL670" i="2" s="1"/>
  <c r="AC671" i="2"/>
  <c r="AL671" i="2" s="1"/>
  <c r="AC672" i="2"/>
  <c r="AL672" i="2" s="1"/>
  <c r="AC673" i="2"/>
  <c r="AL673" i="2" s="1"/>
  <c r="AC674" i="2"/>
  <c r="AL674" i="2" s="1"/>
  <c r="AC675" i="2"/>
  <c r="AL675" i="2" s="1"/>
  <c r="AC677" i="2"/>
  <c r="AL677" i="2" s="1"/>
  <c r="AC678" i="2"/>
  <c r="AL678" i="2" s="1"/>
  <c r="AC679" i="2"/>
  <c r="AL679" i="2" s="1"/>
  <c r="AC680" i="2"/>
  <c r="AL680" i="2" s="1"/>
  <c r="AC681" i="2"/>
  <c r="AL681" i="2" s="1"/>
  <c r="AC682" i="2"/>
  <c r="AL682" i="2" s="1"/>
  <c r="AC683" i="2"/>
  <c r="AL683" i="2" s="1"/>
  <c r="AC685" i="2"/>
  <c r="AL685" i="2" s="1"/>
  <c r="AC686" i="2"/>
  <c r="AL686" i="2" s="1"/>
  <c r="AC687" i="2"/>
  <c r="AL687" i="2" s="1"/>
  <c r="AC688" i="2"/>
  <c r="AL688" i="2" s="1"/>
  <c r="AC689" i="2"/>
  <c r="AL689" i="2" s="1"/>
  <c r="AC690" i="2"/>
  <c r="AL690" i="2" s="1"/>
  <c r="AC691" i="2"/>
  <c r="AL691" i="2" s="1"/>
  <c r="AC693" i="2"/>
  <c r="AL693" i="2" s="1"/>
  <c r="AC694" i="2"/>
  <c r="AL694" i="2" s="1"/>
  <c r="AC695" i="2"/>
  <c r="AL695" i="2" s="1"/>
  <c r="AC696" i="2"/>
  <c r="AL696" i="2" s="1"/>
  <c r="AC697" i="2"/>
  <c r="AL697" i="2" s="1"/>
  <c r="AC698" i="2"/>
  <c r="AL698" i="2" s="1"/>
  <c r="AC699" i="2"/>
  <c r="AL699" i="2" s="1"/>
  <c r="AC701" i="2"/>
  <c r="AL701" i="2" s="1"/>
  <c r="AC702" i="2"/>
  <c r="AL702" i="2" s="1"/>
  <c r="AC703" i="2"/>
  <c r="AL703" i="2" s="1"/>
  <c r="AC704" i="2"/>
  <c r="AL704" i="2" s="1"/>
  <c r="AC705" i="2"/>
  <c r="AL705" i="2" s="1"/>
  <c r="AC706" i="2"/>
  <c r="AL706" i="2" s="1"/>
  <c r="AC707" i="2"/>
  <c r="AL707" i="2" s="1"/>
  <c r="AC709" i="2"/>
  <c r="AL709" i="2" s="1"/>
  <c r="AC710" i="2"/>
  <c r="AL710" i="2" s="1"/>
  <c r="AC711" i="2"/>
  <c r="AL711" i="2" s="1"/>
  <c r="AC712" i="2"/>
  <c r="AL712" i="2" s="1"/>
  <c r="AC713" i="2"/>
  <c r="AL713" i="2" s="1"/>
  <c r="AC714" i="2"/>
  <c r="AL714" i="2" s="1"/>
  <c r="AC715" i="2"/>
  <c r="AL715" i="2" s="1"/>
  <c r="AC717" i="2"/>
  <c r="AL717" i="2" s="1"/>
  <c r="AC718" i="2"/>
  <c r="AL718" i="2" s="1"/>
  <c r="AC719" i="2"/>
  <c r="AL719" i="2" s="1"/>
  <c r="AC720" i="2"/>
  <c r="AL720" i="2" s="1"/>
  <c r="AC721" i="2"/>
  <c r="AL721" i="2" s="1"/>
  <c r="AC722" i="2"/>
  <c r="AL722" i="2" s="1"/>
  <c r="AC723" i="2"/>
  <c r="AL723" i="2" s="1"/>
  <c r="AC725" i="2"/>
  <c r="AL725" i="2" s="1"/>
  <c r="AC726" i="2"/>
  <c r="AL726" i="2" s="1"/>
  <c r="AC727" i="2"/>
  <c r="AL727" i="2" s="1"/>
  <c r="AC728" i="2"/>
  <c r="AL728" i="2" s="1"/>
  <c r="AC729" i="2"/>
  <c r="AL729" i="2" s="1"/>
  <c r="AC730" i="2"/>
  <c r="AL730" i="2" s="1"/>
  <c r="AC731" i="2"/>
  <c r="AL731" i="2" s="1"/>
  <c r="AC733" i="2"/>
  <c r="AL733" i="2" s="1"/>
  <c r="AC734" i="2"/>
  <c r="AL734" i="2" s="1"/>
  <c r="AC735" i="2"/>
  <c r="AL735" i="2" s="1"/>
  <c r="AC736" i="2"/>
  <c r="AL736" i="2" s="1"/>
  <c r="AC737" i="2"/>
  <c r="AL737" i="2" s="1"/>
  <c r="AC738" i="2"/>
  <c r="AL738" i="2" s="1"/>
  <c r="AC739" i="2"/>
  <c r="AL739" i="2" s="1"/>
  <c r="AC741" i="2"/>
  <c r="AL741" i="2" s="1"/>
  <c r="AC742" i="2"/>
  <c r="AL742" i="2" s="1"/>
  <c r="AC743" i="2"/>
  <c r="AL743" i="2" s="1"/>
  <c r="AC744" i="2"/>
  <c r="AL744" i="2" s="1"/>
  <c r="AC745" i="2"/>
  <c r="AL745" i="2" s="1"/>
  <c r="AC746" i="2"/>
  <c r="AL746" i="2" s="1"/>
  <c r="AC747" i="2"/>
  <c r="AL747" i="2" s="1"/>
  <c r="AC749" i="2"/>
  <c r="AL749" i="2" s="1"/>
  <c r="AC750" i="2"/>
  <c r="AL750" i="2" s="1"/>
  <c r="AC751" i="2"/>
  <c r="AL751" i="2" s="1"/>
  <c r="AC752" i="2"/>
  <c r="AL752" i="2" s="1"/>
  <c r="AC753" i="2"/>
  <c r="AL753" i="2" s="1"/>
  <c r="AC754" i="2"/>
  <c r="AL754" i="2" s="1"/>
  <c r="AC755" i="2"/>
  <c r="AL755" i="2" s="1"/>
  <c r="AC757" i="2"/>
  <c r="AL757" i="2" s="1"/>
  <c r="AC758" i="2"/>
  <c r="AL758" i="2" s="1"/>
  <c r="AC759" i="2"/>
  <c r="AL759" i="2" s="1"/>
  <c r="AC760" i="2"/>
  <c r="AL760" i="2" s="1"/>
  <c r="AC761" i="2"/>
  <c r="AL761" i="2" s="1"/>
  <c r="AC762" i="2"/>
  <c r="AL762" i="2" s="1"/>
  <c r="AC763" i="2"/>
  <c r="AL763" i="2" s="1"/>
  <c r="AC764" i="2"/>
  <c r="AL764" i="2" s="1"/>
  <c r="AC765" i="2"/>
  <c r="AL765" i="2" s="1"/>
  <c r="AC766" i="2"/>
  <c r="AL766" i="2" s="1"/>
  <c r="AC767" i="2"/>
  <c r="AL767" i="2" s="1"/>
  <c r="AC768" i="2"/>
  <c r="AL768" i="2" s="1"/>
  <c r="AC769" i="2"/>
  <c r="AL769" i="2" s="1"/>
  <c r="AC770" i="2"/>
  <c r="AL770" i="2" s="1"/>
  <c r="AC771" i="2"/>
  <c r="AL771" i="2" s="1"/>
  <c r="AC772" i="2"/>
  <c r="AL772" i="2" s="1"/>
  <c r="AC773" i="2"/>
  <c r="AL773" i="2" s="1"/>
  <c r="AC774" i="2"/>
  <c r="AL774" i="2" s="1"/>
  <c r="AC775" i="2"/>
  <c r="AL775" i="2" s="1"/>
  <c r="AC776" i="2"/>
  <c r="AL776" i="2" s="1"/>
  <c r="AC777" i="2"/>
  <c r="AL777" i="2" s="1"/>
  <c r="AC778" i="2"/>
  <c r="AL778" i="2" s="1"/>
  <c r="AC779" i="2"/>
  <c r="AL779" i="2" s="1"/>
  <c r="AC780" i="2"/>
  <c r="AL780" i="2" s="1"/>
  <c r="AC781" i="2"/>
  <c r="AL781" i="2" s="1"/>
  <c r="AC782" i="2"/>
  <c r="AL782" i="2" s="1"/>
  <c r="AC783" i="2"/>
  <c r="AL783" i="2" s="1"/>
  <c r="AC784" i="2"/>
  <c r="AL784" i="2" s="1"/>
  <c r="AC785" i="2"/>
  <c r="AL785" i="2" s="1"/>
  <c r="AC786" i="2"/>
  <c r="AL786" i="2" s="1"/>
  <c r="AC787" i="2"/>
  <c r="AL787" i="2" s="1"/>
  <c r="AC788" i="2"/>
  <c r="AL788" i="2" s="1"/>
  <c r="AC789" i="2"/>
  <c r="AL789" i="2" s="1"/>
  <c r="AC790" i="2"/>
  <c r="AL790" i="2" s="1"/>
  <c r="AC791" i="2"/>
  <c r="AL791" i="2" s="1"/>
  <c r="AC792" i="2"/>
  <c r="AL792" i="2" s="1"/>
  <c r="AC793" i="2"/>
  <c r="AL793" i="2" s="1"/>
  <c r="AC794" i="2"/>
  <c r="AL794" i="2" s="1"/>
  <c r="AC795" i="2"/>
  <c r="AL795" i="2" s="1"/>
  <c r="AC796" i="2"/>
  <c r="AL796" i="2" s="1"/>
  <c r="AC797" i="2"/>
  <c r="AL797" i="2" s="1"/>
  <c r="AC798" i="2"/>
  <c r="AL798" i="2" s="1"/>
  <c r="AC799" i="2"/>
  <c r="AL799" i="2" s="1"/>
  <c r="AC800" i="2"/>
  <c r="AL800" i="2" s="1"/>
  <c r="AC801" i="2"/>
  <c r="AL801" i="2" s="1"/>
  <c r="AC802" i="2"/>
  <c r="AL802" i="2" s="1"/>
  <c r="AC803" i="2"/>
  <c r="AL803" i="2" s="1"/>
  <c r="AC804" i="2"/>
  <c r="AL804" i="2" s="1"/>
  <c r="AC805" i="2"/>
  <c r="AL805" i="2" s="1"/>
  <c r="AC806" i="2"/>
  <c r="AL806" i="2" s="1"/>
  <c r="AC807" i="2"/>
  <c r="AL807" i="2" s="1"/>
  <c r="AC808" i="2"/>
  <c r="AL808" i="2" s="1"/>
  <c r="AC809" i="2"/>
  <c r="AL809" i="2" s="1"/>
  <c r="AC810" i="2"/>
  <c r="AL810" i="2" s="1"/>
  <c r="AC811" i="2"/>
  <c r="AL811" i="2" s="1"/>
  <c r="AC812" i="2"/>
  <c r="AL812" i="2" s="1"/>
  <c r="AC813" i="2"/>
  <c r="AL813" i="2" s="1"/>
  <c r="AC814" i="2"/>
  <c r="AL814" i="2" s="1"/>
  <c r="AC815" i="2"/>
  <c r="AL815" i="2" s="1"/>
  <c r="AC816" i="2"/>
  <c r="AL816" i="2" s="1"/>
  <c r="AC817" i="2"/>
  <c r="AL817" i="2" s="1"/>
  <c r="AC818" i="2"/>
  <c r="AL818" i="2" s="1"/>
  <c r="AC819" i="2"/>
  <c r="AL819" i="2" s="1"/>
  <c r="AC820" i="2"/>
  <c r="AL820" i="2" s="1"/>
  <c r="AC821" i="2"/>
  <c r="AL821" i="2" s="1"/>
  <c r="AC822" i="2"/>
  <c r="AL822" i="2" s="1"/>
  <c r="AC823" i="2"/>
  <c r="AL823" i="2" s="1"/>
  <c r="AC824" i="2"/>
  <c r="AL824" i="2" s="1"/>
  <c r="AC825" i="2"/>
  <c r="AL825" i="2" s="1"/>
  <c r="AC826" i="2"/>
  <c r="AL826" i="2" s="1"/>
  <c r="AC827" i="2"/>
  <c r="AL827" i="2" s="1"/>
  <c r="AC828" i="2"/>
  <c r="AL828" i="2" s="1"/>
  <c r="AC829" i="2"/>
  <c r="AL829" i="2" s="1"/>
  <c r="AC830" i="2"/>
  <c r="AL830" i="2" s="1"/>
  <c r="AC831" i="2"/>
  <c r="AL831" i="2" s="1"/>
  <c r="AC832" i="2"/>
  <c r="AL832" i="2" s="1"/>
  <c r="AC833" i="2"/>
  <c r="AL833" i="2" s="1"/>
  <c r="AC834" i="2"/>
  <c r="AL834" i="2" s="1"/>
  <c r="AC835" i="2"/>
  <c r="AL835" i="2" s="1"/>
  <c r="AC836" i="2"/>
  <c r="AL836" i="2" s="1"/>
  <c r="AC837" i="2"/>
  <c r="AL837" i="2" s="1"/>
  <c r="AC838" i="2"/>
  <c r="AL838" i="2" s="1"/>
  <c r="AC839" i="2"/>
  <c r="AL839" i="2" s="1"/>
  <c r="AC840" i="2"/>
  <c r="AL840" i="2" s="1"/>
  <c r="AC841" i="2"/>
  <c r="AL841" i="2" s="1"/>
  <c r="AC842" i="2"/>
  <c r="AL842" i="2" s="1"/>
  <c r="AC843" i="2"/>
  <c r="AL843" i="2" s="1"/>
  <c r="AC844" i="2"/>
  <c r="AL844" i="2" s="1"/>
  <c r="AC845" i="2"/>
  <c r="AL845" i="2" s="1"/>
  <c r="AC846" i="2"/>
  <c r="AL846" i="2" s="1"/>
  <c r="AC847" i="2"/>
  <c r="AL847" i="2" s="1"/>
  <c r="AC848" i="2"/>
  <c r="AL848" i="2" s="1"/>
  <c r="AC849" i="2"/>
  <c r="AL849" i="2" s="1"/>
  <c r="AC850" i="2"/>
  <c r="AL850" i="2" s="1"/>
  <c r="AC851" i="2"/>
  <c r="AL851" i="2" s="1"/>
  <c r="AC852" i="2"/>
  <c r="AL852" i="2" s="1"/>
  <c r="AC853" i="2"/>
  <c r="AL853" i="2" s="1"/>
  <c r="AC854" i="2"/>
  <c r="AL854" i="2" s="1"/>
  <c r="AC855" i="2"/>
  <c r="AL855" i="2" s="1"/>
  <c r="AC856" i="2"/>
  <c r="AL856" i="2" s="1"/>
  <c r="AC857" i="2"/>
  <c r="AL857" i="2" s="1"/>
  <c r="AC858" i="2"/>
  <c r="AL858" i="2" s="1"/>
  <c r="AC859" i="2"/>
  <c r="AL859" i="2" s="1"/>
  <c r="AC860" i="2"/>
  <c r="AL860" i="2" s="1"/>
  <c r="AC861" i="2"/>
  <c r="AL861" i="2" s="1"/>
  <c r="AC862" i="2"/>
  <c r="AL862" i="2" s="1"/>
  <c r="AC863" i="2"/>
  <c r="AL863" i="2" s="1"/>
  <c r="AC864" i="2"/>
  <c r="AL864" i="2" s="1"/>
  <c r="AC865" i="2"/>
  <c r="AL865" i="2" s="1"/>
  <c r="AC866" i="2"/>
  <c r="AL866" i="2" s="1"/>
  <c r="AC867" i="2"/>
  <c r="AL867" i="2" s="1"/>
  <c r="AC868" i="2"/>
  <c r="AL868" i="2" s="1"/>
  <c r="AC869" i="2"/>
  <c r="AL869" i="2" s="1"/>
  <c r="AC870" i="2"/>
  <c r="AL870" i="2" s="1"/>
  <c r="AC871" i="2"/>
  <c r="AL871" i="2" s="1"/>
  <c r="AC872" i="2"/>
  <c r="AL872" i="2" s="1"/>
  <c r="AC873" i="2"/>
  <c r="AL873" i="2" s="1"/>
  <c r="AC874" i="2"/>
  <c r="AL874" i="2" s="1"/>
  <c r="AC875" i="2"/>
  <c r="AL875" i="2" s="1"/>
  <c r="AC876" i="2"/>
  <c r="AL876" i="2" s="1"/>
  <c r="AC877" i="2"/>
  <c r="AL877" i="2" s="1"/>
  <c r="AC878" i="2"/>
  <c r="AL878" i="2" s="1"/>
  <c r="AC879" i="2"/>
  <c r="AL879" i="2" s="1"/>
  <c r="AC880" i="2"/>
  <c r="AL880" i="2" s="1"/>
  <c r="AC881" i="2"/>
  <c r="AL881" i="2" s="1"/>
  <c r="AC882" i="2"/>
  <c r="AL882" i="2" s="1"/>
  <c r="AC883" i="2"/>
  <c r="AL883" i="2" s="1"/>
  <c r="AC884" i="2"/>
  <c r="AL884" i="2" s="1"/>
  <c r="AC885" i="2"/>
  <c r="AL885" i="2" s="1"/>
  <c r="AC886" i="2"/>
  <c r="AL886" i="2" s="1"/>
  <c r="AC887" i="2"/>
  <c r="AL887" i="2" s="1"/>
  <c r="AC888" i="2"/>
  <c r="AL888" i="2" s="1"/>
  <c r="AC889" i="2"/>
  <c r="AL889" i="2" s="1"/>
  <c r="AC890" i="2"/>
  <c r="AL890" i="2" s="1"/>
  <c r="AC891" i="2"/>
  <c r="AL891" i="2" s="1"/>
  <c r="AC892" i="2"/>
  <c r="AL892" i="2" s="1"/>
  <c r="AC893" i="2"/>
  <c r="AL893" i="2" s="1"/>
  <c r="AC894" i="2"/>
  <c r="AL894" i="2" s="1"/>
  <c r="AC895" i="2"/>
  <c r="AL895" i="2" s="1"/>
  <c r="AC896" i="2"/>
  <c r="AL896" i="2" s="1"/>
  <c r="AC897" i="2"/>
  <c r="AL897" i="2" s="1"/>
  <c r="AC898" i="2"/>
  <c r="AL898" i="2" s="1"/>
  <c r="AC899" i="2"/>
  <c r="AL899" i="2" s="1"/>
  <c r="AC900" i="2"/>
  <c r="AL900" i="2" s="1"/>
  <c r="AC901" i="2"/>
  <c r="AL901" i="2" s="1"/>
  <c r="AC902" i="2"/>
  <c r="AL902" i="2" s="1"/>
  <c r="AC903" i="2"/>
  <c r="AL903" i="2" s="1"/>
  <c r="AC904" i="2"/>
  <c r="AL904" i="2" s="1"/>
  <c r="AC905" i="2"/>
  <c r="AL905" i="2" s="1"/>
  <c r="AC906" i="2"/>
  <c r="AL906" i="2" s="1"/>
  <c r="AC907" i="2"/>
  <c r="AL907" i="2" s="1"/>
  <c r="AC908" i="2"/>
  <c r="AL908" i="2" s="1"/>
  <c r="AC909" i="2"/>
  <c r="AL909" i="2" s="1"/>
  <c r="AC910" i="2"/>
  <c r="AL910" i="2" s="1"/>
  <c r="AC911" i="2"/>
  <c r="AL911" i="2" s="1"/>
  <c r="AC912" i="2"/>
  <c r="AL912" i="2" s="1"/>
  <c r="AC913" i="2"/>
  <c r="AL913" i="2" s="1"/>
  <c r="AC914" i="2"/>
  <c r="AL914" i="2" s="1"/>
  <c r="AC915" i="2"/>
  <c r="AL915" i="2" s="1"/>
  <c r="AC916" i="2"/>
  <c r="AL916" i="2" s="1"/>
  <c r="AC917" i="2"/>
  <c r="AL917" i="2" s="1"/>
  <c r="AC918" i="2"/>
  <c r="AL918" i="2" s="1"/>
  <c r="AC919" i="2"/>
  <c r="AL919" i="2" s="1"/>
  <c r="AC920" i="2"/>
  <c r="AL920" i="2" s="1"/>
  <c r="AC921" i="2"/>
  <c r="AL921" i="2" s="1"/>
  <c r="AC922" i="2"/>
  <c r="AL922" i="2" s="1"/>
  <c r="AC923" i="2"/>
  <c r="AL923" i="2" s="1"/>
  <c r="AC924" i="2"/>
  <c r="AL924" i="2" s="1"/>
  <c r="AC925" i="2"/>
  <c r="AL925" i="2" s="1"/>
  <c r="AC926" i="2"/>
  <c r="AL926" i="2" s="1"/>
  <c r="AC927" i="2"/>
  <c r="AL927" i="2" s="1"/>
  <c r="AC928" i="2"/>
  <c r="AL928" i="2" s="1"/>
  <c r="AC929" i="2"/>
  <c r="AL929" i="2" s="1"/>
  <c r="AC930" i="2"/>
  <c r="AL930" i="2" s="1"/>
  <c r="AC931" i="2"/>
  <c r="AL931" i="2" s="1"/>
  <c r="AC932" i="2"/>
  <c r="AL932" i="2" s="1"/>
  <c r="AC933" i="2"/>
  <c r="AL933" i="2" s="1"/>
  <c r="AC934" i="2"/>
  <c r="AL934" i="2" s="1"/>
  <c r="AC935" i="2"/>
  <c r="AL935" i="2" s="1"/>
  <c r="AC936" i="2"/>
  <c r="AL936" i="2" s="1"/>
  <c r="AC937" i="2"/>
  <c r="AL937" i="2" s="1"/>
  <c r="AC938" i="2"/>
  <c r="AL938" i="2" s="1"/>
  <c r="AC939" i="2"/>
  <c r="AL939" i="2" s="1"/>
  <c r="AC940" i="2"/>
  <c r="AL940" i="2" s="1"/>
  <c r="AC941" i="2"/>
  <c r="AL941" i="2" s="1"/>
  <c r="AC942" i="2"/>
  <c r="AL942" i="2" s="1"/>
  <c r="AC943" i="2"/>
  <c r="AL943" i="2" s="1"/>
  <c r="AC944" i="2"/>
  <c r="AL944" i="2" s="1"/>
  <c r="AC945" i="2"/>
  <c r="AL945" i="2" s="1"/>
  <c r="AC946" i="2"/>
  <c r="AL946" i="2" s="1"/>
  <c r="AC947" i="2"/>
  <c r="AL947" i="2" s="1"/>
  <c r="AC948" i="2"/>
  <c r="AL948" i="2" s="1"/>
  <c r="AC949" i="2"/>
  <c r="AL949" i="2" s="1"/>
  <c r="AC950" i="2"/>
  <c r="AL950" i="2" s="1"/>
  <c r="AC951" i="2"/>
  <c r="AL951" i="2" s="1"/>
  <c r="AC952" i="2"/>
  <c r="AL952" i="2" s="1"/>
  <c r="AC953" i="2"/>
  <c r="AL953" i="2" s="1"/>
  <c r="AC954" i="2"/>
  <c r="AL954" i="2" s="1"/>
  <c r="AC955" i="2"/>
  <c r="AL955" i="2" s="1"/>
  <c r="AC956" i="2"/>
  <c r="AL956" i="2" s="1"/>
  <c r="AC957" i="2"/>
  <c r="AL957" i="2" s="1"/>
  <c r="AC958" i="2"/>
  <c r="AL958" i="2" s="1"/>
  <c r="AC959" i="2"/>
  <c r="AL959" i="2" s="1"/>
  <c r="AC960" i="2"/>
  <c r="AL960" i="2" s="1"/>
  <c r="AC961" i="2"/>
  <c r="AL961" i="2" s="1"/>
  <c r="AC962" i="2"/>
  <c r="AL962" i="2" s="1"/>
  <c r="AC963" i="2"/>
  <c r="AL963" i="2" s="1"/>
  <c r="AC964" i="2"/>
  <c r="AL964" i="2" s="1"/>
  <c r="AC965" i="2"/>
  <c r="AL965" i="2" s="1"/>
  <c r="AC966" i="2"/>
  <c r="AL966" i="2" s="1"/>
  <c r="AC967" i="2"/>
  <c r="AL967" i="2" s="1"/>
  <c r="AC968" i="2"/>
  <c r="AL968" i="2" s="1"/>
  <c r="AC969" i="2"/>
  <c r="AL969" i="2" s="1"/>
  <c r="AC970" i="2"/>
  <c r="AL970" i="2" s="1"/>
  <c r="AC971" i="2"/>
  <c r="AL971" i="2" s="1"/>
  <c r="AC972" i="2"/>
  <c r="AL972" i="2" s="1"/>
  <c r="AC973" i="2"/>
  <c r="AL973" i="2" s="1"/>
  <c r="AC974" i="2"/>
  <c r="AL974" i="2" s="1"/>
  <c r="AC975" i="2"/>
  <c r="AL975" i="2" s="1"/>
  <c r="AC976" i="2"/>
  <c r="AL976" i="2" s="1"/>
  <c r="AC977" i="2"/>
  <c r="AL977" i="2" s="1"/>
  <c r="AC978" i="2"/>
  <c r="AL978" i="2" s="1"/>
  <c r="AC979" i="2"/>
  <c r="AL979" i="2" s="1"/>
  <c r="AC980" i="2"/>
  <c r="AL980" i="2" s="1"/>
  <c r="AC981" i="2"/>
  <c r="AL981" i="2" s="1"/>
  <c r="AC982" i="2"/>
  <c r="AL982" i="2" s="1"/>
  <c r="AC983" i="2"/>
  <c r="AL983" i="2" s="1"/>
  <c r="AC984" i="2"/>
  <c r="AL984" i="2" s="1"/>
  <c r="AC985" i="2"/>
  <c r="AL985" i="2" s="1"/>
  <c r="AC986" i="2"/>
  <c r="AL986" i="2" s="1"/>
  <c r="AC987" i="2"/>
  <c r="AL987" i="2" s="1"/>
  <c r="AC988" i="2"/>
  <c r="AL988" i="2" s="1"/>
  <c r="AC989" i="2"/>
  <c r="AL989" i="2" s="1"/>
  <c r="AC990" i="2"/>
  <c r="AL990" i="2" s="1"/>
  <c r="AC991" i="2"/>
  <c r="AL991" i="2" s="1"/>
  <c r="AC992" i="2"/>
  <c r="AL992" i="2" s="1"/>
  <c r="AC993" i="2"/>
  <c r="AL993" i="2" s="1"/>
  <c r="AC994" i="2"/>
  <c r="AL994" i="2" s="1"/>
  <c r="AC995" i="2"/>
  <c r="AL995" i="2" s="1"/>
  <c r="AC996" i="2"/>
  <c r="AL996" i="2" s="1"/>
  <c r="AC997" i="2"/>
  <c r="AL997" i="2" s="1"/>
  <c r="AC998" i="2"/>
  <c r="AL998" i="2" s="1"/>
  <c r="AC999" i="2"/>
  <c r="AL999" i="2" s="1"/>
  <c r="AC1000" i="2"/>
  <c r="AL1000" i="2" s="1"/>
  <c r="AC1001" i="2"/>
  <c r="AL1001" i="2" s="1"/>
  <c r="AC1002" i="2"/>
  <c r="AL1002" i="2" s="1"/>
  <c r="AC1003" i="2"/>
  <c r="AL1003" i="2" s="1"/>
  <c r="AC1004" i="2"/>
  <c r="AL1004" i="2" s="1"/>
  <c r="AC1005" i="2"/>
  <c r="AL1005" i="2" s="1"/>
  <c r="AC1006" i="2"/>
  <c r="AL1006" i="2" s="1"/>
  <c r="AC1007" i="2"/>
  <c r="AL1007" i="2" s="1"/>
  <c r="AC1008" i="2"/>
  <c r="AL1008" i="2" s="1"/>
  <c r="AC1009" i="2"/>
  <c r="AL1009" i="2" s="1"/>
  <c r="AC1010" i="2"/>
  <c r="AL1010" i="2" s="1"/>
  <c r="AC1011" i="2"/>
  <c r="AL1011" i="2" s="1"/>
  <c r="AC1012" i="2"/>
  <c r="AL1012" i="2" s="1"/>
  <c r="AC1013" i="2"/>
  <c r="AL1013" i="2" s="1"/>
  <c r="AC1014" i="2"/>
  <c r="AL1014" i="2" s="1"/>
  <c r="AC1015" i="2"/>
  <c r="AL1015" i="2" s="1"/>
  <c r="AC1016" i="2"/>
  <c r="AL1016" i="2" s="1"/>
  <c r="AC1017" i="2"/>
  <c r="AL1017" i="2" s="1"/>
  <c r="AC1018" i="2"/>
  <c r="AL1018" i="2" s="1"/>
  <c r="AC1019" i="2"/>
  <c r="AL1019" i="2" s="1"/>
  <c r="AC1020" i="2"/>
  <c r="AL1020" i="2" s="1"/>
  <c r="AC1021" i="2"/>
  <c r="AL1021" i="2" s="1"/>
  <c r="AC1022" i="2"/>
  <c r="AL1022" i="2" s="1"/>
  <c r="AC1023" i="2"/>
  <c r="AL1023" i="2" s="1"/>
  <c r="AC1024" i="2"/>
  <c r="AL1024" i="2" s="1"/>
  <c r="AC1025" i="2"/>
  <c r="AL1025" i="2" s="1"/>
  <c r="AC1026" i="2"/>
  <c r="AL1026" i="2" s="1"/>
  <c r="AC1027" i="2"/>
  <c r="AL1027" i="2" s="1"/>
  <c r="AC1028" i="2"/>
  <c r="AL1028" i="2" s="1"/>
  <c r="AC1029" i="2"/>
  <c r="AL1029" i="2" s="1"/>
  <c r="AC1030" i="2"/>
  <c r="AL1030" i="2" s="1"/>
  <c r="AC1031" i="2"/>
  <c r="AL1031" i="2" s="1"/>
  <c r="AC1032" i="2"/>
  <c r="AL1032" i="2" s="1"/>
  <c r="AC1033" i="2"/>
  <c r="AL1033" i="2" s="1"/>
  <c r="AC1034" i="2"/>
  <c r="AL1034" i="2" s="1"/>
  <c r="AC1035" i="2"/>
  <c r="AL1035" i="2" s="1"/>
  <c r="AC1036" i="2"/>
  <c r="AL1036" i="2" s="1"/>
  <c r="AC1037" i="2"/>
  <c r="AL1037" i="2" s="1"/>
  <c r="AC1038" i="2"/>
  <c r="AL1038" i="2" s="1"/>
  <c r="AC1039" i="2"/>
  <c r="AL1039" i="2" s="1"/>
  <c r="AC1040" i="2"/>
  <c r="AL1040" i="2" s="1"/>
  <c r="AC1041" i="2"/>
  <c r="AL1041" i="2" s="1"/>
  <c r="AC1042" i="2"/>
  <c r="AL1042" i="2" s="1"/>
  <c r="AC1043" i="2"/>
  <c r="AL1043" i="2" s="1"/>
  <c r="AC1044" i="2"/>
  <c r="AL1044" i="2" s="1"/>
  <c r="AC1045" i="2"/>
  <c r="AL1045" i="2" s="1"/>
  <c r="AC1046" i="2"/>
  <c r="AL1046" i="2" s="1"/>
  <c r="AC1047" i="2"/>
  <c r="AL1047" i="2" s="1"/>
  <c r="AC1048" i="2"/>
  <c r="AL1048" i="2" s="1"/>
  <c r="AC1049" i="2"/>
  <c r="AL1049" i="2" s="1"/>
  <c r="AC1050" i="2"/>
  <c r="AL1050" i="2" s="1"/>
  <c r="AC1051" i="2"/>
  <c r="AL1051" i="2" s="1"/>
  <c r="AC1052" i="2"/>
  <c r="AL1052" i="2" s="1"/>
  <c r="AC1053" i="2"/>
  <c r="AL1053" i="2" s="1"/>
  <c r="AC1054" i="2"/>
  <c r="AL1054" i="2" s="1"/>
  <c r="AC1055" i="2"/>
  <c r="AL1055" i="2" s="1"/>
  <c r="AC1056" i="2"/>
  <c r="AL1056" i="2" s="1"/>
  <c r="AC1057" i="2"/>
  <c r="AL1057" i="2" s="1"/>
  <c r="AC1058" i="2"/>
  <c r="AL1058" i="2" s="1"/>
  <c r="AC1059" i="2"/>
  <c r="AL1059" i="2" s="1"/>
  <c r="AC1060" i="2"/>
  <c r="AL1060" i="2" s="1"/>
  <c r="AC1061" i="2"/>
  <c r="AL1061" i="2" s="1"/>
  <c r="AC1062" i="2"/>
  <c r="AL1062" i="2" s="1"/>
  <c r="AC1063" i="2"/>
  <c r="AL1063" i="2" s="1"/>
  <c r="AC1064" i="2"/>
  <c r="AL1064" i="2" s="1"/>
  <c r="AC1065" i="2"/>
  <c r="AL1065" i="2" s="1"/>
  <c r="AC1066" i="2"/>
  <c r="AL1066" i="2" s="1"/>
  <c r="AC1067" i="2"/>
  <c r="AL1067" i="2" s="1"/>
  <c r="AC1068" i="2"/>
  <c r="AL1068" i="2" s="1"/>
  <c r="AC1069" i="2"/>
  <c r="AL1069" i="2" s="1"/>
  <c r="AC1070" i="2"/>
  <c r="AL1070" i="2" s="1"/>
  <c r="AC1071" i="2"/>
  <c r="AL1071" i="2" s="1"/>
  <c r="AC1072" i="2"/>
  <c r="AL1072" i="2" s="1"/>
  <c r="AC1073" i="2"/>
  <c r="AL1073" i="2" s="1"/>
  <c r="AC1074" i="2"/>
  <c r="AL1074" i="2" s="1"/>
  <c r="AC1075" i="2"/>
  <c r="AL1075" i="2" s="1"/>
  <c r="AC1076" i="2"/>
  <c r="AL1076" i="2" s="1"/>
  <c r="AC1077" i="2"/>
  <c r="AL1077" i="2" s="1"/>
  <c r="AC1078" i="2"/>
  <c r="AL1078" i="2" s="1"/>
  <c r="AC1079" i="2"/>
  <c r="AL1079" i="2" s="1"/>
  <c r="AC1080" i="2"/>
  <c r="AL1080" i="2" s="1"/>
  <c r="AC1081" i="2"/>
  <c r="AL1081" i="2" s="1"/>
  <c r="AC1082" i="2"/>
  <c r="AL1082" i="2" s="1"/>
  <c r="AC1083" i="2"/>
  <c r="AL1083" i="2" s="1"/>
  <c r="AC1084" i="2"/>
  <c r="AL1084" i="2" s="1"/>
  <c r="AC1085" i="2"/>
  <c r="AL1085" i="2" s="1"/>
  <c r="AC1086" i="2"/>
  <c r="AL1086" i="2" s="1"/>
  <c r="AC1087" i="2"/>
  <c r="AL1087" i="2" s="1"/>
  <c r="AC1088" i="2"/>
  <c r="AL1088" i="2" s="1"/>
  <c r="AC1089" i="2"/>
  <c r="AL1089" i="2" s="1"/>
  <c r="AC1090" i="2"/>
  <c r="AL1090" i="2" s="1"/>
  <c r="AC1091" i="2"/>
  <c r="AL1091" i="2" s="1"/>
  <c r="AC1092" i="2"/>
  <c r="AL1092" i="2" s="1"/>
  <c r="AC1093" i="2"/>
  <c r="AL1093" i="2" s="1"/>
  <c r="AC1094" i="2"/>
  <c r="AL1094" i="2" s="1"/>
  <c r="AC1095" i="2"/>
  <c r="AL1095" i="2" s="1"/>
  <c r="AC1096" i="2"/>
  <c r="AL1096" i="2" s="1"/>
  <c r="AC1097" i="2"/>
  <c r="AL1097" i="2" s="1"/>
  <c r="AC1098" i="2"/>
  <c r="AL1098" i="2" s="1"/>
  <c r="AC1099" i="2"/>
  <c r="AL1099" i="2" s="1"/>
  <c r="AC1100" i="2"/>
  <c r="AL1100" i="2" s="1"/>
  <c r="AC1101" i="2"/>
  <c r="AL1101" i="2" s="1"/>
  <c r="AC1102" i="2"/>
  <c r="AL1102" i="2" s="1"/>
  <c r="AC1103" i="2"/>
  <c r="AL1103" i="2" s="1"/>
  <c r="AC1104" i="2"/>
  <c r="AL1104" i="2" s="1"/>
  <c r="AC1105" i="2"/>
  <c r="AL1105" i="2" s="1"/>
  <c r="AC1106" i="2"/>
  <c r="AL1106" i="2" s="1"/>
  <c r="AC1107" i="2"/>
  <c r="AL1107" i="2" s="1"/>
  <c r="AC1108" i="2"/>
  <c r="AL1108" i="2" s="1"/>
  <c r="AC1109" i="2"/>
  <c r="AL1109" i="2" s="1"/>
  <c r="AC1110" i="2"/>
  <c r="AL1110" i="2" s="1"/>
  <c r="AC1111" i="2"/>
  <c r="AL1111" i="2" s="1"/>
  <c r="AC1112" i="2"/>
  <c r="AL1112" i="2" s="1"/>
  <c r="AC1113" i="2"/>
  <c r="AL1113" i="2" s="1"/>
  <c r="AC1114" i="2"/>
  <c r="AL1114" i="2" s="1"/>
  <c r="AC1115" i="2"/>
  <c r="AL1115" i="2" s="1"/>
  <c r="AC1116" i="2"/>
  <c r="AL1116" i="2" s="1"/>
  <c r="AC1117" i="2"/>
  <c r="AL1117" i="2" s="1"/>
  <c r="AC1118" i="2"/>
  <c r="AL1118" i="2" s="1"/>
  <c r="AC1119" i="2"/>
  <c r="AL1119" i="2" s="1"/>
  <c r="AC1120" i="2"/>
  <c r="AL1120" i="2" s="1"/>
  <c r="AC1121" i="2"/>
  <c r="AL1121" i="2" s="1"/>
  <c r="AC1122" i="2"/>
  <c r="AL1122" i="2" s="1"/>
  <c r="AC1123" i="2"/>
  <c r="AL1123" i="2" s="1"/>
  <c r="AC1124" i="2"/>
  <c r="AL1124" i="2" s="1"/>
  <c r="AC1125" i="2"/>
  <c r="AL1125" i="2" s="1"/>
  <c r="AC1126" i="2"/>
  <c r="AL1126" i="2" s="1"/>
  <c r="AC1127" i="2"/>
  <c r="AL1127" i="2" s="1"/>
  <c r="AC1128" i="2"/>
  <c r="AL1128" i="2" s="1"/>
  <c r="AC1129" i="2"/>
  <c r="AL1129" i="2" s="1"/>
  <c r="AC1130" i="2"/>
  <c r="AL1130" i="2" s="1"/>
  <c r="AC1131" i="2"/>
  <c r="AL1131" i="2" s="1"/>
  <c r="AC1132" i="2"/>
  <c r="AL1132" i="2" s="1"/>
  <c r="AC1133" i="2"/>
  <c r="AL1133" i="2" s="1"/>
  <c r="AC1134" i="2"/>
  <c r="AL1134" i="2" s="1"/>
  <c r="AC1135" i="2"/>
  <c r="AL1135" i="2" s="1"/>
  <c r="AC1136" i="2"/>
  <c r="AL1136" i="2" s="1"/>
  <c r="AC1137" i="2"/>
  <c r="AL1137" i="2" s="1"/>
  <c r="AC1138" i="2"/>
  <c r="AL1138" i="2" s="1"/>
  <c r="AC1139" i="2"/>
  <c r="AL1139" i="2" s="1"/>
  <c r="AC1140" i="2"/>
  <c r="AL1140" i="2" s="1"/>
  <c r="AC1141" i="2"/>
  <c r="AL1141" i="2" s="1"/>
  <c r="AC1142" i="2"/>
  <c r="AL1142" i="2" s="1"/>
  <c r="AC1143" i="2"/>
  <c r="AL1143" i="2" s="1"/>
  <c r="AC1144" i="2"/>
  <c r="AL1144" i="2" s="1"/>
  <c r="AC1145" i="2"/>
  <c r="AL1145" i="2" s="1"/>
  <c r="AC1146" i="2"/>
  <c r="AL1146" i="2" s="1"/>
  <c r="AC1147" i="2"/>
  <c r="AL1147" i="2" s="1"/>
  <c r="AC1148" i="2"/>
  <c r="AL1148" i="2" s="1"/>
  <c r="AC1149" i="2"/>
  <c r="AL1149" i="2" s="1"/>
  <c r="AC1150" i="2"/>
  <c r="AL1150" i="2" s="1"/>
  <c r="AC1151" i="2"/>
  <c r="AL1151" i="2" s="1"/>
  <c r="AC1152" i="2"/>
  <c r="AL1152" i="2" s="1"/>
  <c r="AC1153" i="2"/>
  <c r="AL1153" i="2" s="1"/>
  <c r="AC1154" i="2"/>
  <c r="AL1154" i="2" s="1"/>
  <c r="AC1155" i="2"/>
  <c r="AL1155" i="2" s="1"/>
  <c r="AC1156" i="2"/>
  <c r="AL1156" i="2" s="1"/>
  <c r="AC1157" i="2"/>
  <c r="AL1157" i="2" s="1"/>
  <c r="AC1158" i="2"/>
  <c r="AL1158" i="2" s="1"/>
  <c r="AC1159" i="2"/>
  <c r="AL1159" i="2" s="1"/>
  <c r="AC1160" i="2"/>
  <c r="AL1160" i="2" s="1"/>
  <c r="AC1161" i="2"/>
  <c r="AL1161" i="2" s="1"/>
  <c r="AC1162" i="2"/>
  <c r="AL1162" i="2" s="1"/>
  <c r="AC1163" i="2"/>
  <c r="AL1163" i="2" s="1"/>
  <c r="AC1164" i="2"/>
  <c r="AL1164" i="2" s="1"/>
  <c r="AC1165" i="2"/>
  <c r="AL1165" i="2" s="1"/>
  <c r="AC1166" i="2"/>
  <c r="AL1166" i="2" s="1"/>
  <c r="AC1167" i="2"/>
  <c r="AL1167" i="2" s="1"/>
  <c r="AC1168" i="2"/>
  <c r="AL1168" i="2" s="1"/>
  <c r="AC1169" i="2"/>
  <c r="AL1169" i="2" s="1"/>
  <c r="AC1170" i="2"/>
  <c r="AL1170" i="2" s="1"/>
  <c r="AC1171" i="2"/>
  <c r="AL1171" i="2" s="1"/>
  <c r="AC1172" i="2"/>
  <c r="AL1172" i="2" s="1"/>
  <c r="AC1173" i="2"/>
  <c r="AL1173" i="2" s="1"/>
  <c r="AC1174" i="2"/>
  <c r="AL1174" i="2" s="1"/>
  <c r="AC1175" i="2"/>
  <c r="AL1175" i="2" s="1"/>
  <c r="AC1176" i="2"/>
  <c r="AL1176" i="2" s="1"/>
  <c r="AC1177" i="2"/>
  <c r="AL1177" i="2" s="1"/>
  <c r="AC1178" i="2"/>
  <c r="AL1178" i="2" s="1"/>
  <c r="AC1179" i="2"/>
  <c r="AL1179" i="2" s="1"/>
  <c r="AC1180" i="2"/>
  <c r="AL1180" i="2" s="1"/>
  <c r="AC1181" i="2"/>
  <c r="AL1181" i="2" s="1"/>
  <c r="AC1182" i="2"/>
  <c r="AL1182" i="2" s="1"/>
  <c r="AC1183" i="2"/>
  <c r="AL1183" i="2" s="1"/>
  <c r="AC1184" i="2"/>
  <c r="AL1184" i="2" s="1"/>
  <c r="AC1185" i="2"/>
  <c r="AL1185" i="2" s="1"/>
  <c r="AC1186" i="2"/>
  <c r="AL1186" i="2" s="1"/>
  <c r="AC1187" i="2"/>
  <c r="AL1187" i="2" s="1"/>
  <c r="AC1188" i="2"/>
  <c r="AL1188" i="2" s="1"/>
  <c r="AC1189" i="2"/>
  <c r="AL1189" i="2" s="1"/>
  <c r="AC1190" i="2"/>
  <c r="AL1190" i="2" s="1"/>
  <c r="AC1191" i="2"/>
  <c r="AL1191" i="2" s="1"/>
  <c r="AC1192" i="2"/>
  <c r="AL1192" i="2" s="1"/>
  <c r="AC1193" i="2"/>
  <c r="AL1193" i="2" s="1"/>
  <c r="AC1194" i="2"/>
  <c r="AL1194" i="2" s="1"/>
  <c r="AC1195" i="2"/>
  <c r="AL1195" i="2" s="1"/>
  <c r="AC1196" i="2"/>
  <c r="AL1196" i="2" s="1"/>
  <c r="AC1197" i="2"/>
  <c r="AL1197" i="2" s="1"/>
  <c r="AC1198" i="2"/>
  <c r="AL1198" i="2" s="1"/>
  <c r="AC1199" i="2"/>
  <c r="AL1199" i="2" s="1"/>
  <c r="AC1200" i="2"/>
  <c r="AL1200" i="2" s="1"/>
  <c r="AC1201" i="2"/>
  <c r="AL1201" i="2" s="1"/>
  <c r="AC1202" i="2"/>
  <c r="AL1202" i="2" s="1"/>
  <c r="AC1203" i="2"/>
  <c r="AL1203" i="2" s="1"/>
  <c r="AC1204" i="2"/>
  <c r="AL1204" i="2" s="1"/>
  <c r="AC1205" i="2"/>
  <c r="AL1205" i="2" s="1"/>
  <c r="AC1206" i="2"/>
  <c r="AL1206" i="2" s="1"/>
  <c r="AC1207" i="2"/>
  <c r="AL1207" i="2" s="1"/>
  <c r="AC1208" i="2"/>
  <c r="AL1208" i="2" s="1"/>
  <c r="AC1209" i="2"/>
  <c r="AL1209" i="2" s="1"/>
  <c r="AC1210" i="2"/>
  <c r="AL1210" i="2" s="1"/>
  <c r="AC1211" i="2"/>
  <c r="AL1211" i="2" s="1"/>
  <c r="AC1212" i="2"/>
  <c r="AL1212" i="2" s="1"/>
  <c r="AC1213" i="2"/>
  <c r="AL1213" i="2" s="1"/>
  <c r="AC1214" i="2"/>
  <c r="AL1214" i="2" s="1"/>
  <c r="AC1215" i="2"/>
  <c r="AL1215" i="2" s="1"/>
  <c r="AC1216" i="2"/>
  <c r="AL1216" i="2" s="1"/>
  <c r="AC1217" i="2"/>
  <c r="AL1217" i="2" s="1"/>
  <c r="AC1218" i="2"/>
  <c r="AL1218" i="2" s="1"/>
  <c r="AC1219" i="2"/>
  <c r="AL1219" i="2" s="1"/>
  <c r="AC1220" i="2"/>
  <c r="AL1220" i="2" s="1"/>
  <c r="AC1221" i="2"/>
  <c r="AL1221" i="2" s="1"/>
  <c r="AC1222" i="2"/>
  <c r="AL1222" i="2" s="1"/>
  <c r="AC1223" i="2"/>
  <c r="AL1223" i="2" s="1"/>
  <c r="AC1224" i="2"/>
  <c r="AL1224" i="2" s="1"/>
  <c r="AC1225" i="2"/>
  <c r="AL1225" i="2" s="1"/>
  <c r="AC1226" i="2"/>
  <c r="AL1226" i="2" s="1"/>
  <c r="AC1227" i="2"/>
  <c r="AL1227" i="2" s="1"/>
  <c r="AC1228" i="2"/>
  <c r="AL1228" i="2" s="1"/>
  <c r="AC1229" i="2"/>
  <c r="AL1229" i="2" s="1"/>
  <c r="AC1230" i="2"/>
  <c r="AL1230" i="2" s="1"/>
  <c r="AC1231" i="2"/>
  <c r="AL1231" i="2" s="1"/>
  <c r="AC1232" i="2"/>
  <c r="AL1232" i="2" s="1"/>
  <c r="AC1233" i="2"/>
  <c r="AL1233" i="2" s="1"/>
  <c r="AC1234" i="2"/>
  <c r="AL1234" i="2" s="1"/>
  <c r="AC1235" i="2"/>
  <c r="AL1235" i="2" s="1"/>
  <c r="AC1236" i="2"/>
  <c r="AL1236" i="2" s="1"/>
  <c r="AC1237" i="2"/>
  <c r="AL1237" i="2" s="1"/>
  <c r="AC1238" i="2"/>
  <c r="AL1238" i="2" s="1"/>
  <c r="AC1239" i="2"/>
  <c r="AL1239" i="2" s="1"/>
  <c r="AC1240" i="2"/>
  <c r="AL1240" i="2" s="1"/>
  <c r="AC1241" i="2"/>
  <c r="AL1241" i="2" s="1"/>
  <c r="AC1242" i="2"/>
  <c r="AL1242" i="2" s="1"/>
  <c r="AC1243" i="2"/>
  <c r="AL1243" i="2" s="1"/>
  <c r="AC1244" i="2"/>
  <c r="AL1244" i="2" s="1"/>
  <c r="AC1245" i="2"/>
  <c r="AL1245" i="2" s="1"/>
  <c r="AC1246" i="2"/>
  <c r="AL1246" i="2" s="1"/>
  <c r="AC1247" i="2"/>
  <c r="AL1247" i="2" s="1"/>
  <c r="AC1248" i="2"/>
  <c r="AL1248" i="2" s="1"/>
  <c r="AC1249" i="2"/>
  <c r="AL1249" i="2" s="1"/>
  <c r="AC1250" i="2"/>
  <c r="AL1250" i="2" s="1"/>
  <c r="AC1251" i="2"/>
  <c r="AL1251" i="2" s="1"/>
  <c r="AC1252" i="2"/>
  <c r="AL1252" i="2" s="1"/>
  <c r="AC1253" i="2"/>
  <c r="AL1253" i="2" s="1"/>
  <c r="AC1254" i="2"/>
  <c r="AL1254" i="2" s="1"/>
  <c r="AC1255" i="2"/>
  <c r="AL1255" i="2" s="1"/>
  <c r="AC1256" i="2"/>
  <c r="AL1256" i="2" s="1"/>
  <c r="AC1257" i="2"/>
  <c r="AL1257" i="2" s="1"/>
  <c r="AC1258" i="2"/>
  <c r="AL1258" i="2" s="1"/>
  <c r="AC1259" i="2"/>
  <c r="AL1259" i="2" s="1"/>
  <c r="AC1260" i="2"/>
  <c r="AL1260" i="2" s="1"/>
  <c r="AC1261" i="2"/>
  <c r="AL1261" i="2" s="1"/>
  <c r="AC1262" i="2"/>
  <c r="AL1262" i="2" s="1"/>
  <c r="AC1263" i="2"/>
  <c r="AL1263" i="2" s="1"/>
  <c r="AC1264" i="2"/>
  <c r="AL1264" i="2" s="1"/>
  <c r="AC1265" i="2"/>
  <c r="AL1265" i="2" s="1"/>
  <c r="AC1266" i="2"/>
  <c r="AL1266" i="2" s="1"/>
  <c r="AC1267" i="2"/>
  <c r="AL1267" i="2" s="1"/>
  <c r="AC1268" i="2"/>
  <c r="AL1268" i="2" s="1"/>
  <c r="AC1269" i="2"/>
  <c r="AL1269" i="2" s="1"/>
  <c r="AC1270" i="2"/>
  <c r="AL1270" i="2" s="1"/>
  <c r="AC1271" i="2"/>
  <c r="AL1271" i="2" s="1"/>
  <c r="AC1272" i="2"/>
  <c r="AL1272" i="2" s="1"/>
  <c r="AC1273" i="2"/>
  <c r="AL1273" i="2" s="1"/>
  <c r="AC1274" i="2"/>
  <c r="AL1274" i="2" s="1"/>
  <c r="AC1275" i="2"/>
  <c r="AL1275" i="2" s="1"/>
  <c r="AC1276" i="2"/>
  <c r="AL1276" i="2" s="1"/>
  <c r="AC1277" i="2"/>
  <c r="AL1277" i="2" s="1"/>
  <c r="AC1278" i="2"/>
  <c r="AL1278" i="2" s="1"/>
  <c r="AC1279" i="2"/>
  <c r="AL1279" i="2" s="1"/>
  <c r="AC1280" i="2"/>
  <c r="AL1280" i="2" s="1"/>
  <c r="AC1281" i="2"/>
  <c r="AL1281" i="2" s="1"/>
  <c r="AC1282" i="2"/>
  <c r="AL1282" i="2" s="1"/>
  <c r="AC1283" i="2"/>
  <c r="AL1283" i="2" s="1"/>
  <c r="AC1284" i="2"/>
  <c r="AL1284" i="2" s="1"/>
  <c r="AC1285" i="2"/>
  <c r="AL1285" i="2" s="1"/>
  <c r="AC1286" i="2"/>
  <c r="AL1286" i="2" s="1"/>
  <c r="AC1287" i="2"/>
  <c r="AL1287" i="2" s="1"/>
  <c r="AC1288" i="2"/>
  <c r="AL1288" i="2" s="1"/>
  <c r="AC1289" i="2"/>
  <c r="AL1289" i="2" s="1"/>
  <c r="AC1290" i="2"/>
  <c r="AL1290" i="2" s="1"/>
  <c r="AC1291" i="2"/>
  <c r="AL1291" i="2" s="1"/>
  <c r="AC1292" i="2"/>
  <c r="AL1292" i="2" s="1"/>
  <c r="AC1293" i="2"/>
  <c r="AL1293" i="2" s="1"/>
  <c r="AC1294" i="2"/>
  <c r="AL1294" i="2" s="1"/>
  <c r="AC1295" i="2"/>
  <c r="AL1295" i="2" s="1"/>
  <c r="AC1296" i="2"/>
  <c r="AL1296" i="2" s="1"/>
  <c r="AC1297" i="2"/>
  <c r="AL1297" i="2" s="1"/>
  <c r="AC1298" i="2"/>
  <c r="AL1298" i="2" s="1"/>
  <c r="AC1299" i="2"/>
  <c r="AL1299" i="2" s="1"/>
  <c r="AC1300" i="2"/>
  <c r="AL1300" i="2" s="1"/>
  <c r="AC1301" i="2"/>
  <c r="AL1301" i="2" s="1"/>
  <c r="AC1302" i="2"/>
  <c r="AL1302" i="2" s="1"/>
  <c r="AC1303" i="2"/>
  <c r="AL1303" i="2" s="1"/>
  <c r="AC1304" i="2"/>
  <c r="AL1304" i="2" s="1"/>
  <c r="AC1305" i="2"/>
  <c r="AL1305" i="2" s="1"/>
  <c r="AC1306" i="2"/>
  <c r="AL1306" i="2" s="1"/>
  <c r="AC1307" i="2"/>
  <c r="AL1307" i="2" s="1"/>
  <c r="AC1308" i="2"/>
  <c r="AL1308" i="2" s="1"/>
  <c r="AC1309" i="2"/>
  <c r="AL1309" i="2" s="1"/>
  <c r="AC1310" i="2"/>
  <c r="AL1310" i="2" s="1"/>
  <c r="AC1311" i="2"/>
  <c r="AL1311" i="2" s="1"/>
  <c r="AC1312" i="2"/>
  <c r="AL1312" i="2" s="1"/>
  <c r="AC1313" i="2"/>
  <c r="AL1313" i="2" s="1"/>
  <c r="AC1314" i="2"/>
  <c r="AL1314" i="2" s="1"/>
  <c r="AC1315" i="2"/>
  <c r="AL1315" i="2" s="1"/>
  <c r="AC1316" i="2"/>
  <c r="AL1316" i="2" s="1"/>
  <c r="AC1317" i="2"/>
  <c r="AL1317" i="2" s="1"/>
  <c r="AC1318" i="2"/>
  <c r="AL1318" i="2" s="1"/>
  <c r="AC1319" i="2"/>
  <c r="AL1319" i="2" s="1"/>
  <c r="AC1320" i="2"/>
  <c r="AL1320" i="2" s="1"/>
  <c r="AC1321" i="2"/>
  <c r="AL1321" i="2" s="1"/>
  <c r="AC1322" i="2"/>
  <c r="AL1322" i="2" s="1"/>
  <c r="AC1323" i="2"/>
  <c r="AL1323" i="2" s="1"/>
  <c r="AC1324" i="2"/>
  <c r="AL1324" i="2" s="1"/>
  <c r="AC1325" i="2"/>
  <c r="AL1325" i="2" s="1"/>
  <c r="AC1326" i="2"/>
  <c r="AL1326" i="2" s="1"/>
  <c r="AC1327" i="2"/>
  <c r="AL1327" i="2" s="1"/>
  <c r="AC1328" i="2"/>
  <c r="AL1328" i="2" s="1"/>
  <c r="AC1329" i="2"/>
  <c r="AL1329" i="2" s="1"/>
  <c r="AC1330" i="2"/>
  <c r="AL1330" i="2" s="1"/>
  <c r="AC1331" i="2"/>
  <c r="AL1331" i="2" s="1"/>
  <c r="AC1332" i="2"/>
  <c r="AL1332" i="2" s="1"/>
  <c r="AC1333" i="2"/>
  <c r="AL1333" i="2" s="1"/>
  <c r="AC1334" i="2"/>
  <c r="AL1334" i="2" s="1"/>
  <c r="AC1335" i="2"/>
  <c r="AL1335" i="2" s="1"/>
  <c r="AC1336" i="2"/>
  <c r="AL1336" i="2" s="1"/>
  <c r="AC1337" i="2"/>
  <c r="AL1337" i="2" s="1"/>
  <c r="AC1338" i="2"/>
  <c r="AL1338" i="2" s="1"/>
  <c r="AC1339" i="2"/>
  <c r="AL1339" i="2" s="1"/>
  <c r="AC1340" i="2"/>
  <c r="AL1340" i="2" s="1"/>
  <c r="AC1341" i="2"/>
  <c r="AL1341" i="2" s="1"/>
  <c r="AC1342" i="2"/>
  <c r="AL1342" i="2" s="1"/>
  <c r="AC1343" i="2"/>
  <c r="AL1343" i="2" s="1"/>
  <c r="AC1344" i="2"/>
  <c r="AL1344" i="2" s="1"/>
  <c r="AC1345" i="2"/>
  <c r="AL1345" i="2" s="1"/>
  <c r="AC1346" i="2"/>
  <c r="AL1346" i="2" s="1"/>
  <c r="AC1347" i="2"/>
  <c r="AL1347" i="2" s="1"/>
  <c r="AC1348" i="2"/>
  <c r="AL1348" i="2" s="1"/>
  <c r="AC1349" i="2"/>
  <c r="AL1349" i="2" s="1"/>
  <c r="AC1350" i="2"/>
  <c r="AL1350" i="2" s="1"/>
  <c r="AC1351" i="2"/>
  <c r="AL1351" i="2" s="1"/>
  <c r="AC1352" i="2"/>
  <c r="AL1352" i="2" s="1"/>
  <c r="AC1353" i="2"/>
  <c r="AL1353" i="2" s="1"/>
  <c r="AC1354" i="2"/>
  <c r="AL1354" i="2" s="1"/>
  <c r="AC1355" i="2"/>
  <c r="AL1355" i="2" s="1"/>
  <c r="AC1356" i="2"/>
  <c r="AL1356" i="2" s="1"/>
  <c r="AC1357" i="2"/>
  <c r="AL1357" i="2" s="1"/>
  <c r="AC1358" i="2"/>
  <c r="AL1358" i="2" s="1"/>
  <c r="AC1359" i="2"/>
  <c r="AL1359" i="2" s="1"/>
  <c r="AC1360" i="2"/>
  <c r="AL1360" i="2" s="1"/>
  <c r="AC1361" i="2"/>
  <c r="AL1361" i="2" s="1"/>
  <c r="AC1362" i="2"/>
  <c r="AL1362" i="2" s="1"/>
  <c r="AC1363" i="2"/>
  <c r="AL1363" i="2" s="1"/>
  <c r="AC1364" i="2"/>
  <c r="AL1364" i="2" s="1"/>
  <c r="AC1365" i="2"/>
  <c r="AL1365" i="2" s="1"/>
  <c r="AC1366" i="2"/>
  <c r="AL1366" i="2" s="1"/>
  <c r="AC1367" i="2"/>
  <c r="AL1367" i="2" s="1"/>
  <c r="AC1368" i="2"/>
  <c r="AL1368" i="2" s="1"/>
  <c r="AC1369" i="2"/>
  <c r="AL1369" i="2" s="1"/>
  <c r="AC1370" i="2"/>
  <c r="AL1370" i="2" s="1"/>
  <c r="AC1371" i="2"/>
  <c r="AL1371" i="2" s="1"/>
  <c r="AC1372" i="2"/>
  <c r="AL1372" i="2" s="1"/>
  <c r="AC1373" i="2"/>
  <c r="AL1373" i="2" s="1"/>
  <c r="AC1374" i="2"/>
  <c r="AL1374" i="2" s="1"/>
  <c r="AC1375" i="2"/>
  <c r="AL1375" i="2" s="1"/>
  <c r="AC1376" i="2"/>
  <c r="AL1376" i="2" s="1"/>
  <c r="AC1377" i="2"/>
  <c r="AL1377" i="2" s="1"/>
  <c r="AC1378" i="2"/>
  <c r="AL1378" i="2" s="1"/>
  <c r="AC1379" i="2"/>
  <c r="AL1379" i="2" s="1"/>
  <c r="AC1380" i="2"/>
  <c r="AL1380" i="2" s="1"/>
  <c r="AC1381" i="2"/>
  <c r="AL1381" i="2" s="1"/>
  <c r="AC1382" i="2"/>
  <c r="AL1382" i="2" s="1"/>
  <c r="AC1383" i="2"/>
  <c r="AL1383" i="2" s="1"/>
  <c r="AC1384" i="2"/>
  <c r="AL1384" i="2" s="1"/>
  <c r="AC1385" i="2"/>
  <c r="AL1385" i="2" s="1"/>
  <c r="AC1386" i="2"/>
  <c r="AL1386" i="2" s="1"/>
  <c r="AC1387" i="2"/>
  <c r="AL1387" i="2" s="1"/>
  <c r="AC1388" i="2"/>
  <c r="AL1388" i="2" s="1"/>
  <c r="AC1389" i="2"/>
  <c r="AL1389" i="2" s="1"/>
  <c r="AC1390" i="2"/>
  <c r="AL1390" i="2" s="1"/>
  <c r="AC1391" i="2"/>
  <c r="AL1391" i="2" s="1"/>
  <c r="AC1392" i="2"/>
  <c r="AL1392" i="2" s="1"/>
  <c r="AC1393" i="2"/>
  <c r="AL1393" i="2" s="1"/>
  <c r="AC1394" i="2"/>
  <c r="AL1394" i="2" s="1"/>
  <c r="AC1395" i="2"/>
  <c r="AL1395" i="2" s="1"/>
  <c r="AC1396" i="2"/>
  <c r="AL1396" i="2" s="1"/>
  <c r="AC1397" i="2"/>
  <c r="AL1397" i="2" s="1"/>
  <c r="AC1398" i="2"/>
  <c r="AL1398" i="2" s="1"/>
  <c r="AC1399" i="2"/>
  <c r="AL1399" i="2" s="1"/>
  <c r="AC1400" i="2"/>
  <c r="AL1400" i="2" s="1"/>
  <c r="AC1401" i="2"/>
  <c r="AL1401" i="2" s="1"/>
  <c r="AC1402" i="2"/>
  <c r="AL1402" i="2" s="1"/>
  <c r="AC1403" i="2"/>
  <c r="AL1403" i="2" s="1"/>
  <c r="AC1404" i="2"/>
  <c r="AL1404" i="2" s="1"/>
  <c r="AC1405" i="2"/>
  <c r="AL1405" i="2" s="1"/>
  <c r="AC1406" i="2"/>
  <c r="AL1406" i="2" s="1"/>
  <c r="AC1407" i="2"/>
  <c r="AL1407" i="2" s="1"/>
  <c r="AC1408" i="2"/>
  <c r="AL1408" i="2" s="1"/>
  <c r="AC1409" i="2"/>
  <c r="AL1409" i="2" s="1"/>
  <c r="AC1410" i="2"/>
  <c r="AL1410" i="2" s="1"/>
  <c r="AC1411" i="2"/>
  <c r="AL1411" i="2" s="1"/>
  <c r="AC1412" i="2"/>
  <c r="AL1412" i="2" s="1"/>
  <c r="AC1413" i="2"/>
  <c r="AL1413" i="2" s="1"/>
  <c r="AC1414" i="2"/>
  <c r="AL1414" i="2" s="1"/>
  <c r="AC1415" i="2"/>
  <c r="AL1415" i="2" s="1"/>
  <c r="AC1416" i="2"/>
  <c r="AL1416" i="2" s="1"/>
  <c r="AC1417" i="2"/>
  <c r="AL1417" i="2" s="1"/>
  <c r="AC1418" i="2"/>
  <c r="AL1418" i="2" s="1"/>
  <c r="AC1419" i="2"/>
  <c r="AL1419" i="2" s="1"/>
  <c r="AC1420" i="2"/>
  <c r="AL1420" i="2" s="1"/>
  <c r="AC1421" i="2"/>
  <c r="AL1421" i="2" s="1"/>
  <c r="AC1422" i="2"/>
  <c r="AL1422" i="2" s="1"/>
  <c r="AC1423" i="2"/>
  <c r="AL1423" i="2" s="1"/>
  <c r="AC1424" i="2"/>
  <c r="AL1424" i="2" s="1"/>
  <c r="AC1425" i="2"/>
  <c r="AL1425" i="2" s="1"/>
  <c r="AC1426" i="2"/>
  <c r="AL1426" i="2" s="1"/>
  <c r="AC1427" i="2"/>
  <c r="AL1427" i="2" s="1"/>
  <c r="AC1428" i="2"/>
  <c r="AL1428" i="2" s="1"/>
  <c r="AC1429" i="2"/>
  <c r="AL1429" i="2" s="1"/>
  <c r="AC1430" i="2"/>
  <c r="AL1430" i="2" s="1"/>
  <c r="AC1431" i="2"/>
  <c r="AL1431" i="2" s="1"/>
  <c r="AC1432" i="2"/>
  <c r="AL1432" i="2" s="1"/>
  <c r="AC1433" i="2"/>
  <c r="AL1433" i="2" s="1"/>
  <c r="AC1434" i="2"/>
  <c r="AL1434" i="2" s="1"/>
  <c r="AC1435" i="2"/>
  <c r="AL1435" i="2" s="1"/>
  <c r="AC1436" i="2"/>
  <c r="AL1436" i="2" s="1"/>
  <c r="AC1437" i="2"/>
  <c r="AL1437" i="2" s="1"/>
  <c r="AC1438" i="2"/>
  <c r="AL1438" i="2" s="1"/>
  <c r="AC1439" i="2"/>
  <c r="AL1439" i="2" s="1"/>
  <c r="AC1440" i="2"/>
  <c r="AL1440" i="2" s="1"/>
  <c r="AC1441" i="2"/>
  <c r="AL1441" i="2" s="1"/>
  <c r="AC1442" i="2"/>
  <c r="AL1442" i="2" s="1"/>
  <c r="AC1443" i="2"/>
  <c r="AL1443" i="2" s="1"/>
  <c r="AC1444" i="2"/>
  <c r="AL1444" i="2" s="1"/>
  <c r="AC1445" i="2"/>
  <c r="AL1445" i="2" s="1"/>
  <c r="AC1446" i="2"/>
  <c r="AL1446" i="2" s="1"/>
  <c r="AC1447" i="2"/>
  <c r="AL1447" i="2" s="1"/>
  <c r="AC1448" i="2"/>
  <c r="AL1448" i="2" s="1"/>
  <c r="AC1449" i="2"/>
  <c r="AL1449" i="2" s="1"/>
  <c r="AC1450" i="2"/>
  <c r="AL1450" i="2" s="1"/>
  <c r="AC1451" i="2"/>
  <c r="AL1451" i="2" s="1"/>
  <c r="AC1452" i="2"/>
  <c r="AL1452" i="2" s="1"/>
  <c r="AC1453" i="2"/>
  <c r="AL1453" i="2" s="1"/>
  <c r="AC1454" i="2"/>
  <c r="AL1454" i="2" s="1"/>
  <c r="AC1455" i="2"/>
  <c r="AL1455" i="2" s="1"/>
  <c r="AC1456" i="2"/>
  <c r="AL1456" i="2" s="1"/>
  <c r="AC1457" i="2"/>
  <c r="AL1457" i="2" s="1"/>
  <c r="AC1458" i="2"/>
  <c r="AL1458" i="2" s="1"/>
  <c r="AC1459" i="2"/>
  <c r="AL1459" i="2" s="1"/>
  <c r="AC1460" i="2"/>
  <c r="AL1460" i="2" s="1"/>
  <c r="AC1461" i="2"/>
  <c r="AL1461" i="2" s="1"/>
  <c r="AC1462" i="2"/>
  <c r="AL1462" i="2" s="1"/>
  <c r="AC1463" i="2"/>
  <c r="AL1463" i="2" s="1"/>
  <c r="AC1464" i="2"/>
  <c r="AL1464" i="2" s="1"/>
  <c r="AC1465" i="2"/>
  <c r="AL1465" i="2" s="1"/>
  <c r="AC1466" i="2"/>
  <c r="AL1466" i="2" s="1"/>
  <c r="AC1467" i="2"/>
  <c r="AL1467" i="2" s="1"/>
  <c r="AC1468" i="2"/>
  <c r="AL1468" i="2" s="1"/>
  <c r="AC1469" i="2"/>
  <c r="AL1469" i="2" s="1"/>
  <c r="AC1470" i="2"/>
  <c r="AL1470" i="2" s="1"/>
  <c r="AC1471" i="2"/>
  <c r="AL1471" i="2" s="1"/>
  <c r="AC1472" i="2"/>
  <c r="AL1472" i="2" s="1"/>
  <c r="AC1473" i="2"/>
  <c r="AL1473" i="2" s="1"/>
  <c r="AC1474" i="2"/>
  <c r="AL1474" i="2" s="1"/>
  <c r="AC1475" i="2"/>
  <c r="AL1475" i="2" s="1"/>
  <c r="AC1476" i="2"/>
  <c r="AL1476" i="2" s="1"/>
  <c r="AC1477" i="2"/>
  <c r="AL1477" i="2" s="1"/>
  <c r="AC1478" i="2"/>
  <c r="AL1478" i="2" s="1"/>
  <c r="AC1479" i="2"/>
  <c r="AL1479" i="2" s="1"/>
  <c r="AC1480" i="2"/>
  <c r="AL1480" i="2" s="1"/>
  <c r="AC1481" i="2"/>
  <c r="AL1481" i="2" s="1"/>
  <c r="AC1482" i="2"/>
  <c r="AL1482" i="2" s="1"/>
  <c r="AC1483" i="2"/>
  <c r="AL1483" i="2" s="1"/>
  <c r="AC1484" i="2"/>
  <c r="AL1484" i="2" s="1"/>
  <c r="AC1485" i="2"/>
  <c r="AL1485" i="2" s="1"/>
  <c r="AC1486" i="2"/>
  <c r="AL1486" i="2" s="1"/>
  <c r="AC1487" i="2"/>
  <c r="AL1487" i="2" s="1"/>
  <c r="AC1488" i="2"/>
  <c r="AL1488" i="2" s="1"/>
  <c r="AC1489" i="2"/>
  <c r="AL1489" i="2" s="1"/>
  <c r="AC1490" i="2"/>
  <c r="AL1490" i="2" s="1"/>
  <c r="AC1491" i="2"/>
  <c r="AL1491" i="2" s="1"/>
  <c r="AC1492" i="2"/>
  <c r="AL1492" i="2" s="1"/>
  <c r="AC1493" i="2"/>
  <c r="AL1493" i="2" s="1"/>
  <c r="AC1494" i="2"/>
  <c r="AL1494" i="2" s="1"/>
  <c r="AC1495" i="2"/>
  <c r="AL1495" i="2" s="1"/>
  <c r="AC1496" i="2"/>
  <c r="AL1496" i="2" s="1"/>
  <c r="AC1497" i="2"/>
  <c r="AL1497" i="2" s="1"/>
  <c r="AC1498" i="2"/>
  <c r="AL1498" i="2" s="1"/>
  <c r="AC1499" i="2"/>
  <c r="AL1499" i="2" s="1"/>
  <c r="AC1500" i="2"/>
  <c r="AL1500" i="2" s="1"/>
  <c r="AC1501" i="2"/>
  <c r="AL1501" i="2" s="1"/>
  <c r="AC1502" i="2"/>
  <c r="AL1502" i="2" s="1"/>
  <c r="AC1503" i="2"/>
  <c r="AL1503" i="2" s="1"/>
  <c r="AC1504" i="2"/>
  <c r="AL1504" i="2" s="1"/>
  <c r="AC1505" i="2"/>
  <c r="AL1505" i="2" s="1"/>
  <c r="AC1506" i="2"/>
  <c r="AL1506" i="2" s="1"/>
  <c r="AC1507" i="2"/>
  <c r="AL1507" i="2" s="1"/>
  <c r="AC1508" i="2"/>
  <c r="AL1508" i="2" s="1"/>
  <c r="AC1509" i="2"/>
  <c r="AL1509" i="2" s="1"/>
  <c r="AC1510" i="2"/>
  <c r="AL1510" i="2" s="1"/>
  <c r="AC1511" i="2"/>
  <c r="AL1511" i="2" s="1"/>
  <c r="AC1512" i="2"/>
  <c r="AL1512" i="2" s="1"/>
  <c r="AC1513" i="2"/>
  <c r="AL1513" i="2" s="1"/>
  <c r="AC1514" i="2"/>
  <c r="AL1514" i="2" s="1"/>
  <c r="AC1515" i="2"/>
  <c r="AL1515" i="2" s="1"/>
  <c r="AC1516" i="2"/>
  <c r="AL1516" i="2" s="1"/>
  <c r="AC1517" i="2"/>
  <c r="AL1517" i="2" s="1"/>
  <c r="AC1518" i="2"/>
  <c r="AL1518" i="2" s="1"/>
  <c r="AC1519" i="2"/>
  <c r="AL1519" i="2" s="1"/>
  <c r="AC1520" i="2"/>
  <c r="AL1520" i="2" s="1"/>
  <c r="AC1521" i="2"/>
  <c r="AL1521" i="2" s="1"/>
  <c r="AC1522" i="2"/>
  <c r="AL1522" i="2" s="1"/>
  <c r="AC1523" i="2"/>
  <c r="AL1523" i="2" s="1"/>
  <c r="AC1524" i="2"/>
  <c r="AL1524" i="2" s="1"/>
  <c r="AC1525" i="2"/>
  <c r="AL1525" i="2" s="1"/>
  <c r="AC1526" i="2"/>
  <c r="AL1526" i="2" s="1"/>
  <c r="AC1527" i="2"/>
  <c r="AL1527" i="2" s="1"/>
  <c r="AC1528" i="2"/>
  <c r="AL1528" i="2" s="1"/>
  <c r="AC1529" i="2"/>
  <c r="AL1529" i="2" s="1"/>
  <c r="AC1530" i="2"/>
  <c r="AL1530" i="2" s="1"/>
  <c r="AC1531" i="2"/>
  <c r="AL1531" i="2" s="1"/>
  <c r="AC1532" i="2"/>
  <c r="AL1532" i="2" s="1"/>
  <c r="AC1533" i="2"/>
  <c r="AL1533" i="2" s="1"/>
  <c r="AC1534" i="2"/>
  <c r="AL1534" i="2" s="1"/>
  <c r="AC1535" i="2"/>
  <c r="AL1535" i="2" s="1"/>
  <c r="AC1536" i="2"/>
  <c r="AL1536" i="2" s="1"/>
  <c r="AC1537" i="2"/>
  <c r="AL1537" i="2" s="1"/>
  <c r="AC1538" i="2"/>
  <c r="AL1538" i="2" s="1"/>
  <c r="AC1539" i="2"/>
  <c r="AL1539" i="2" s="1"/>
  <c r="AC1540" i="2"/>
  <c r="AL1540" i="2" s="1"/>
  <c r="AC1541" i="2"/>
  <c r="AL1541" i="2" s="1"/>
  <c r="AC1542" i="2"/>
  <c r="AL1542" i="2" s="1"/>
  <c r="AC1543" i="2"/>
  <c r="AL1543" i="2" s="1"/>
  <c r="AC1544" i="2"/>
  <c r="AL1544" i="2" s="1"/>
  <c r="AC1545" i="2"/>
  <c r="AL1545" i="2" s="1"/>
  <c r="AC1546" i="2"/>
  <c r="AL1546" i="2" s="1"/>
  <c r="AC1547" i="2"/>
  <c r="AL1547" i="2" s="1"/>
  <c r="AC1548" i="2"/>
  <c r="AL1548" i="2" s="1"/>
  <c r="AC1549" i="2"/>
  <c r="AL1549" i="2" s="1"/>
  <c r="AC1550" i="2"/>
  <c r="AL1550" i="2" s="1"/>
  <c r="AC1551" i="2"/>
  <c r="AL1551" i="2" s="1"/>
  <c r="AC1552" i="2"/>
  <c r="AL1552" i="2" s="1"/>
  <c r="AC1553" i="2"/>
  <c r="AL1553" i="2" s="1"/>
  <c r="AC1554" i="2"/>
  <c r="AL1554" i="2" s="1"/>
  <c r="AC1555" i="2"/>
  <c r="AL1555" i="2" s="1"/>
  <c r="AC1556" i="2"/>
  <c r="AL1556" i="2" s="1"/>
  <c r="AC1557" i="2"/>
  <c r="AL1557" i="2" s="1"/>
  <c r="AC1558" i="2"/>
  <c r="AL1558" i="2" s="1"/>
  <c r="AC1559" i="2"/>
  <c r="AL1559" i="2" s="1"/>
  <c r="AC1560" i="2"/>
  <c r="AL1560" i="2" s="1"/>
  <c r="AC1561" i="2"/>
  <c r="AL1561" i="2" s="1"/>
  <c r="AC1562" i="2"/>
  <c r="AL1562" i="2" s="1"/>
  <c r="AC1563" i="2"/>
  <c r="AL1563" i="2" s="1"/>
  <c r="AC1564" i="2"/>
  <c r="AL1564" i="2" s="1"/>
  <c r="AC1565" i="2"/>
  <c r="AL1565" i="2" s="1"/>
  <c r="AC1566" i="2"/>
  <c r="AL1566" i="2" s="1"/>
  <c r="AC1567" i="2"/>
  <c r="AL1567" i="2" s="1"/>
  <c r="AC1568" i="2"/>
  <c r="AL1568" i="2" s="1"/>
  <c r="AC1569" i="2"/>
  <c r="AL1569" i="2" s="1"/>
  <c r="AC1570" i="2"/>
  <c r="AL1570" i="2" s="1"/>
  <c r="AC1571" i="2"/>
  <c r="AL1571" i="2" s="1"/>
  <c r="AC1572" i="2"/>
  <c r="AL1572" i="2" s="1"/>
  <c r="AC1573" i="2"/>
  <c r="AL1573" i="2" s="1"/>
  <c r="AC1574" i="2"/>
  <c r="AL1574" i="2" s="1"/>
  <c r="AC1575" i="2"/>
  <c r="AL1575" i="2" s="1"/>
  <c r="AC1576" i="2"/>
  <c r="AL1576" i="2" s="1"/>
  <c r="AC1577" i="2"/>
  <c r="AL1577" i="2" s="1"/>
  <c r="AC1578" i="2"/>
  <c r="AL1578" i="2" s="1"/>
  <c r="AC1579" i="2"/>
  <c r="AL1579" i="2" s="1"/>
  <c r="AC1580" i="2"/>
  <c r="AL1580" i="2" s="1"/>
  <c r="AC1581" i="2"/>
  <c r="AL1581" i="2" s="1"/>
  <c r="AC1582" i="2"/>
  <c r="AL1582" i="2" s="1"/>
  <c r="AC1583" i="2"/>
  <c r="AL1583" i="2" s="1"/>
  <c r="AC1584" i="2"/>
  <c r="AL1584" i="2" s="1"/>
  <c r="AC1585" i="2"/>
  <c r="AL1585" i="2" s="1"/>
  <c r="AC1586" i="2"/>
  <c r="AL1586" i="2" s="1"/>
  <c r="AC1587" i="2"/>
  <c r="AL1587" i="2" s="1"/>
  <c r="AC1588" i="2"/>
  <c r="AL1588" i="2" s="1"/>
  <c r="AC1589" i="2"/>
  <c r="AL1589" i="2" s="1"/>
  <c r="AC1590" i="2"/>
  <c r="AL1590" i="2" s="1"/>
  <c r="AC1591" i="2"/>
  <c r="AL1591" i="2" s="1"/>
  <c r="AC1592" i="2"/>
  <c r="AL1592" i="2" s="1"/>
  <c r="AC1593" i="2"/>
  <c r="AL1593" i="2" s="1"/>
  <c r="AC1594" i="2"/>
  <c r="AL1594" i="2" s="1"/>
  <c r="AC1595" i="2"/>
  <c r="AL1595" i="2" s="1"/>
  <c r="AC1596" i="2"/>
  <c r="AL1596" i="2" s="1"/>
  <c r="AC1597" i="2"/>
  <c r="AL1597" i="2" s="1"/>
  <c r="AC1598" i="2"/>
  <c r="AL1598" i="2" s="1"/>
  <c r="AC1599" i="2"/>
  <c r="AL1599" i="2" s="1"/>
  <c r="AC1600" i="2"/>
  <c r="AL1600" i="2" s="1"/>
  <c r="AC1601" i="2"/>
  <c r="AL1601" i="2" s="1"/>
  <c r="AC1602" i="2"/>
  <c r="AL1602" i="2" s="1"/>
  <c r="AC1603" i="2"/>
  <c r="AL1603" i="2" s="1"/>
  <c r="AC1604" i="2"/>
  <c r="AL1604" i="2" s="1"/>
  <c r="AC1605" i="2"/>
  <c r="AL1605" i="2" s="1"/>
  <c r="AC1606" i="2"/>
  <c r="AL1606" i="2" s="1"/>
  <c r="AC1607" i="2"/>
  <c r="AL1607" i="2" s="1"/>
  <c r="AC1608" i="2"/>
  <c r="AL1608" i="2" s="1"/>
  <c r="AC1609" i="2"/>
  <c r="AL1609" i="2" s="1"/>
  <c r="AC1610" i="2"/>
  <c r="AL1610" i="2" s="1"/>
  <c r="AC1611" i="2"/>
  <c r="AL1611" i="2" s="1"/>
  <c r="AC1612" i="2"/>
  <c r="AL1612" i="2" s="1"/>
  <c r="AC1613" i="2"/>
  <c r="AL1613" i="2" s="1"/>
  <c r="AC1614" i="2"/>
  <c r="AL1614" i="2" s="1"/>
  <c r="AC1615" i="2"/>
  <c r="AL1615" i="2" s="1"/>
  <c r="AC1616" i="2"/>
  <c r="AL1616" i="2" s="1"/>
  <c r="AC1617" i="2"/>
  <c r="AL1617" i="2" s="1"/>
  <c r="AC1618" i="2"/>
  <c r="AL1618" i="2" s="1"/>
  <c r="AC1619" i="2"/>
  <c r="AL1619" i="2" s="1"/>
  <c r="AC1620" i="2"/>
  <c r="AL1620" i="2" s="1"/>
  <c r="AC1621" i="2"/>
  <c r="AL1621" i="2" s="1"/>
  <c r="AC1622" i="2"/>
  <c r="AL1622" i="2" s="1"/>
  <c r="AC1623" i="2"/>
  <c r="AL1623" i="2" s="1"/>
  <c r="AC1624" i="2"/>
  <c r="AL1624" i="2" s="1"/>
  <c r="AC1625" i="2"/>
  <c r="AL1625" i="2" s="1"/>
  <c r="AC1626" i="2"/>
  <c r="AL1626" i="2" s="1"/>
  <c r="AC1627" i="2"/>
  <c r="AL1627" i="2" s="1"/>
  <c r="AC1628" i="2"/>
  <c r="AL1628" i="2" s="1"/>
  <c r="AC1629" i="2"/>
  <c r="AL1629" i="2" s="1"/>
  <c r="AC1630" i="2"/>
  <c r="AL1630" i="2" s="1"/>
  <c r="AC1631" i="2"/>
  <c r="AL1631" i="2" s="1"/>
  <c r="AC1632" i="2"/>
  <c r="AL1632" i="2" s="1"/>
  <c r="AC1633" i="2"/>
  <c r="AL1633" i="2" s="1"/>
  <c r="AC1634" i="2"/>
  <c r="AL1634" i="2" s="1"/>
  <c r="AC1635" i="2"/>
  <c r="AL1635" i="2" s="1"/>
  <c r="AC1636" i="2"/>
  <c r="AL1636" i="2" s="1"/>
  <c r="AC1637" i="2"/>
  <c r="AL1637" i="2" s="1"/>
  <c r="AC1638" i="2"/>
  <c r="AL1638" i="2" s="1"/>
  <c r="AC1639" i="2"/>
  <c r="AL1639" i="2" s="1"/>
  <c r="AC1640" i="2"/>
  <c r="AL1640" i="2" s="1"/>
  <c r="AC1641" i="2"/>
  <c r="AL1641" i="2" s="1"/>
  <c r="AC1642" i="2"/>
  <c r="AL1642" i="2" s="1"/>
  <c r="AC1643" i="2"/>
  <c r="AL1643" i="2" s="1"/>
  <c r="AC1644" i="2"/>
  <c r="AL1644" i="2" s="1"/>
  <c r="AC1645" i="2"/>
  <c r="AL1645" i="2" s="1"/>
  <c r="AC1646" i="2"/>
  <c r="AL1646" i="2" s="1"/>
  <c r="AC1647" i="2"/>
  <c r="AL1647" i="2" s="1"/>
  <c r="AC1648" i="2"/>
  <c r="AL1648" i="2" s="1"/>
  <c r="AC1649" i="2"/>
  <c r="AL1649" i="2" s="1"/>
  <c r="AC1650" i="2"/>
  <c r="AL1650" i="2" s="1"/>
  <c r="AC1651" i="2"/>
  <c r="AL1651" i="2" s="1"/>
  <c r="AC1652" i="2"/>
  <c r="AL1652" i="2" s="1"/>
  <c r="AC1653" i="2"/>
  <c r="AL1653" i="2" s="1"/>
  <c r="AC1654" i="2"/>
  <c r="AL1654" i="2" s="1"/>
  <c r="AC1655" i="2"/>
  <c r="AL1655" i="2" s="1"/>
  <c r="AC1656" i="2"/>
  <c r="AL1656" i="2" s="1"/>
  <c r="AC1657" i="2"/>
  <c r="AL1657" i="2" s="1"/>
  <c r="AC1658" i="2"/>
  <c r="AL1658" i="2" s="1"/>
  <c r="AC1659" i="2"/>
  <c r="AL1659" i="2" s="1"/>
  <c r="AC1660" i="2"/>
  <c r="AL1660" i="2" s="1"/>
  <c r="AC1661" i="2"/>
  <c r="AL1661" i="2" s="1"/>
  <c r="AC1662" i="2"/>
  <c r="AL1662" i="2" s="1"/>
  <c r="AC1663" i="2"/>
  <c r="AL1663" i="2" s="1"/>
  <c r="AC1664" i="2"/>
  <c r="AL1664" i="2" s="1"/>
  <c r="AC1665" i="2"/>
  <c r="AL1665" i="2" s="1"/>
  <c r="AC1666" i="2"/>
  <c r="AL1666" i="2" s="1"/>
  <c r="AC1667" i="2"/>
  <c r="AL1667" i="2" s="1"/>
  <c r="AC1668" i="2"/>
  <c r="AL1668" i="2" s="1"/>
  <c r="AC1669" i="2"/>
  <c r="AL1669" i="2" s="1"/>
  <c r="AC1670" i="2"/>
  <c r="AL1670" i="2" s="1"/>
  <c r="AC1671" i="2"/>
  <c r="AL1671" i="2" s="1"/>
  <c r="AC1672" i="2"/>
  <c r="AL1672" i="2" s="1"/>
  <c r="AC1673" i="2"/>
  <c r="AL1673" i="2" s="1"/>
  <c r="AC1674" i="2"/>
  <c r="AL1674" i="2" s="1"/>
  <c r="AC1675" i="2"/>
  <c r="AL1675" i="2" s="1"/>
  <c r="AC1676" i="2"/>
  <c r="AL1676" i="2" s="1"/>
  <c r="AC1677" i="2"/>
  <c r="AL1677" i="2" s="1"/>
  <c r="AC1678" i="2"/>
  <c r="AL1678" i="2" s="1"/>
  <c r="AC1679" i="2"/>
  <c r="AL1679" i="2" s="1"/>
  <c r="AC1680" i="2"/>
  <c r="AL1680" i="2" s="1"/>
  <c r="AC1681" i="2"/>
  <c r="AL1681" i="2" s="1"/>
  <c r="AC1682" i="2"/>
  <c r="AL1682" i="2" s="1"/>
  <c r="AC1683" i="2"/>
  <c r="AL1683" i="2" s="1"/>
  <c r="AC1684" i="2"/>
  <c r="AL1684" i="2" s="1"/>
  <c r="AC1685" i="2"/>
  <c r="AL1685" i="2" s="1"/>
  <c r="AC1686" i="2"/>
  <c r="AL1686" i="2" s="1"/>
  <c r="AC1687" i="2"/>
  <c r="AL1687" i="2" s="1"/>
  <c r="AC1688" i="2"/>
  <c r="AL1688" i="2" s="1"/>
  <c r="AC1689" i="2"/>
  <c r="AL1689" i="2" s="1"/>
  <c r="AC1690" i="2"/>
  <c r="AL1690" i="2" s="1"/>
  <c r="AC1691" i="2"/>
  <c r="AL1691" i="2" s="1"/>
  <c r="AC1692" i="2"/>
  <c r="AL1692" i="2" s="1"/>
  <c r="AC1693" i="2"/>
  <c r="AL1693" i="2" s="1"/>
  <c r="AC1694" i="2"/>
  <c r="AL1694" i="2" s="1"/>
  <c r="AC1695" i="2"/>
  <c r="AL1695" i="2" s="1"/>
  <c r="AC1696" i="2"/>
  <c r="AL1696" i="2" s="1"/>
  <c r="AC1697" i="2"/>
  <c r="AL1697" i="2" s="1"/>
  <c r="AC1698" i="2"/>
  <c r="AL1698" i="2" s="1"/>
  <c r="AC1699" i="2"/>
  <c r="AL1699" i="2" s="1"/>
  <c r="AC1700" i="2"/>
  <c r="AL1700" i="2" s="1"/>
  <c r="AC1701" i="2"/>
  <c r="AL1701" i="2" s="1"/>
  <c r="AC1702" i="2"/>
  <c r="AL1702" i="2" s="1"/>
  <c r="AC1703" i="2"/>
  <c r="AL1703" i="2" s="1"/>
  <c r="AC1704" i="2"/>
  <c r="AL1704" i="2" s="1"/>
  <c r="AC1705" i="2"/>
  <c r="AL1705" i="2" s="1"/>
  <c r="AC1706" i="2"/>
  <c r="AL1706" i="2" s="1"/>
  <c r="AC1707" i="2"/>
  <c r="AL1707" i="2" s="1"/>
  <c r="AC1708" i="2"/>
  <c r="AL1708" i="2" s="1"/>
  <c r="AC1709" i="2"/>
  <c r="AL1709" i="2" s="1"/>
  <c r="AC1710" i="2"/>
  <c r="AL1710" i="2" s="1"/>
  <c r="AC1711" i="2"/>
  <c r="AL1711" i="2" s="1"/>
  <c r="AC1712" i="2"/>
  <c r="AL1712" i="2" s="1"/>
  <c r="AC1713" i="2"/>
  <c r="AL1713" i="2" s="1"/>
  <c r="AC1714" i="2"/>
  <c r="AL1714" i="2" s="1"/>
  <c r="AC1715" i="2"/>
  <c r="AL1715" i="2" s="1"/>
  <c r="AC1716" i="2"/>
  <c r="AL1716" i="2" s="1"/>
  <c r="AC1717" i="2"/>
  <c r="AL1717" i="2" s="1"/>
  <c r="AC1718" i="2"/>
  <c r="AL1718" i="2" s="1"/>
  <c r="AC1719" i="2"/>
  <c r="AL1719" i="2" s="1"/>
  <c r="AC1720" i="2"/>
  <c r="AL1720" i="2" s="1"/>
  <c r="AC1721" i="2"/>
  <c r="AL1721" i="2" s="1"/>
  <c r="AC1722" i="2"/>
  <c r="AL1722" i="2" s="1"/>
  <c r="AC1723" i="2"/>
  <c r="AL1723" i="2" s="1"/>
  <c r="AC1724" i="2"/>
  <c r="AL1724" i="2" s="1"/>
  <c r="AC1725" i="2"/>
  <c r="AL1725" i="2" s="1"/>
  <c r="AC1726" i="2"/>
  <c r="AL1726" i="2" s="1"/>
  <c r="AC1727" i="2"/>
  <c r="AL1727" i="2" s="1"/>
  <c r="AC1728" i="2"/>
  <c r="AL1728" i="2" s="1"/>
  <c r="AC1729" i="2"/>
  <c r="AL1729" i="2" s="1"/>
  <c r="AC1730" i="2"/>
  <c r="AL1730" i="2" s="1"/>
  <c r="AC1731" i="2"/>
  <c r="AL1731" i="2" s="1"/>
  <c r="AC1732" i="2"/>
  <c r="AL1732" i="2" s="1"/>
  <c r="AC1733" i="2"/>
  <c r="AL1733" i="2" s="1"/>
  <c r="AC1734" i="2"/>
  <c r="AL1734" i="2" s="1"/>
  <c r="AC1735" i="2"/>
  <c r="AL1735" i="2" s="1"/>
  <c r="AC1736" i="2"/>
  <c r="AL1736" i="2" s="1"/>
  <c r="AC1737" i="2"/>
  <c r="AL1737" i="2" s="1"/>
  <c r="AC1738" i="2"/>
  <c r="AL1738" i="2" s="1"/>
  <c r="AC1739" i="2"/>
  <c r="AL1739" i="2" s="1"/>
  <c r="AC1740" i="2"/>
  <c r="AL1740" i="2" s="1"/>
  <c r="AC1741" i="2"/>
  <c r="AL1741" i="2" s="1"/>
  <c r="AC1742" i="2"/>
  <c r="AL1742" i="2" s="1"/>
  <c r="AC1743" i="2"/>
  <c r="AL1743" i="2" s="1"/>
  <c r="AC1744" i="2"/>
  <c r="AL1744" i="2" s="1"/>
  <c r="AC1745" i="2"/>
  <c r="AL1745" i="2" s="1"/>
  <c r="AC1746" i="2"/>
  <c r="AL1746" i="2" s="1"/>
  <c r="AC1747" i="2"/>
  <c r="AL1747" i="2" s="1"/>
  <c r="AC1748" i="2"/>
  <c r="AL1748" i="2" s="1"/>
  <c r="AC1749" i="2"/>
  <c r="AL1749" i="2" s="1"/>
  <c r="AC1750" i="2"/>
  <c r="AL1750" i="2" s="1"/>
  <c r="AC1751" i="2"/>
  <c r="AL1751" i="2" s="1"/>
  <c r="AC1752" i="2"/>
  <c r="AL1752" i="2" s="1"/>
  <c r="AC1753" i="2"/>
  <c r="AL1753" i="2" s="1"/>
  <c r="AC1754" i="2"/>
  <c r="AL1754" i="2" s="1"/>
  <c r="AC1755" i="2"/>
  <c r="AL1755" i="2" s="1"/>
  <c r="AC1756" i="2"/>
  <c r="AL1756" i="2" s="1"/>
  <c r="AC1757" i="2"/>
  <c r="AL1757" i="2" s="1"/>
  <c r="AC1758" i="2"/>
  <c r="AL1758" i="2" s="1"/>
  <c r="AC1759" i="2"/>
  <c r="AL1759" i="2" s="1"/>
  <c r="AC1760" i="2"/>
  <c r="AL1760" i="2" s="1"/>
  <c r="AC1761" i="2"/>
  <c r="AL1761" i="2" s="1"/>
  <c r="AC1762" i="2"/>
  <c r="AL1762" i="2" s="1"/>
  <c r="AC1763" i="2"/>
  <c r="AL1763" i="2" s="1"/>
  <c r="AC1764" i="2"/>
  <c r="AL1764" i="2" s="1"/>
  <c r="AC1765" i="2"/>
  <c r="AL1765" i="2" s="1"/>
  <c r="AC1766" i="2"/>
  <c r="AL1766" i="2" s="1"/>
  <c r="AC1767" i="2"/>
  <c r="AL1767" i="2" s="1"/>
  <c r="AC1768" i="2"/>
  <c r="AL1768" i="2" s="1"/>
  <c r="AC1769" i="2"/>
  <c r="AL1769" i="2" s="1"/>
  <c r="AC1770" i="2"/>
  <c r="AL1770" i="2" s="1"/>
  <c r="AC1771" i="2"/>
  <c r="AL1771" i="2" s="1"/>
  <c r="AC1772" i="2"/>
  <c r="AL1772" i="2" s="1"/>
  <c r="AC1773" i="2"/>
  <c r="AL1773" i="2" s="1"/>
  <c r="AC1774" i="2"/>
  <c r="AL1774" i="2" s="1"/>
  <c r="AC1775" i="2"/>
  <c r="AL1775" i="2" s="1"/>
  <c r="AC1776" i="2"/>
  <c r="AL1776" i="2" s="1"/>
  <c r="AC1777" i="2"/>
  <c r="AL1777" i="2" s="1"/>
  <c r="AC1778" i="2"/>
  <c r="AL1778" i="2" s="1"/>
  <c r="AC1779" i="2"/>
  <c r="AL1779" i="2" s="1"/>
  <c r="AC1780" i="2"/>
  <c r="AL1780" i="2" s="1"/>
  <c r="AC1781" i="2"/>
  <c r="AL1781" i="2" s="1"/>
  <c r="AC1782" i="2"/>
  <c r="AL1782" i="2" s="1"/>
  <c r="AC1783" i="2"/>
  <c r="AL1783" i="2" s="1"/>
  <c r="AC1784" i="2"/>
  <c r="AL1784" i="2" s="1"/>
  <c r="AC1785" i="2"/>
  <c r="AL1785" i="2" s="1"/>
  <c r="AC1786" i="2"/>
  <c r="AL1786" i="2" s="1"/>
  <c r="AC1787" i="2"/>
  <c r="AL1787" i="2" s="1"/>
  <c r="AC1788" i="2"/>
  <c r="AL1788" i="2" s="1"/>
  <c r="AC1789" i="2"/>
  <c r="AL1789" i="2" s="1"/>
  <c r="AC1790" i="2"/>
  <c r="AL1790" i="2" s="1"/>
  <c r="AC1791" i="2"/>
  <c r="AL1791" i="2" s="1"/>
  <c r="AC1792" i="2"/>
  <c r="AL1792" i="2" s="1"/>
  <c r="AC1793" i="2"/>
  <c r="AL1793" i="2" s="1"/>
  <c r="AC1794" i="2"/>
  <c r="AL1794" i="2" s="1"/>
  <c r="AC1795" i="2"/>
  <c r="AL1795" i="2" s="1"/>
  <c r="AC1796" i="2"/>
  <c r="AL1796" i="2" s="1"/>
  <c r="AC1797" i="2"/>
  <c r="AL1797" i="2" s="1"/>
  <c r="AC1798" i="2"/>
  <c r="AL1798" i="2" s="1"/>
  <c r="AC1799" i="2"/>
  <c r="AL1799" i="2" s="1"/>
  <c r="AC1800" i="2"/>
  <c r="AL1800" i="2" s="1"/>
  <c r="AC1801" i="2"/>
  <c r="AL1801" i="2" s="1"/>
  <c r="AC1802" i="2"/>
  <c r="AL1802" i="2" s="1"/>
  <c r="AC1803" i="2"/>
  <c r="AL1803" i="2" s="1"/>
  <c r="AC1804" i="2"/>
  <c r="AL1804" i="2" s="1"/>
  <c r="AC1805" i="2"/>
  <c r="AL1805" i="2" s="1"/>
  <c r="AC1806" i="2"/>
  <c r="AL1806" i="2" s="1"/>
  <c r="AC1807" i="2"/>
  <c r="AL1807" i="2" s="1"/>
  <c r="AC1808" i="2"/>
  <c r="AL1808" i="2" s="1"/>
  <c r="AC1809" i="2"/>
  <c r="AL1809" i="2" s="1"/>
  <c r="AC1810" i="2"/>
  <c r="AL1810" i="2" s="1"/>
  <c r="AC1811" i="2"/>
  <c r="AL1811" i="2" s="1"/>
  <c r="AC1812" i="2"/>
  <c r="AL1812" i="2" s="1"/>
  <c r="AC1813" i="2"/>
  <c r="AL1813" i="2" s="1"/>
  <c r="AC1814" i="2"/>
  <c r="AL1814" i="2" s="1"/>
  <c r="AC1815" i="2"/>
  <c r="AL1815" i="2" s="1"/>
  <c r="AC1816" i="2"/>
  <c r="AL1816" i="2" s="1"/>
  <c r="AC1817" i="2"/>
  <c r="AL1817" i="2" s="1"/>
  <c r="AC1818" i="2"/>
  <c r="AL1818" i="2" s="1"/>
  <c r="AC1819" i="2"/>
  <c r="AL1819" i="2" s="1"/>
  <c r="AC1820" i="2"/>
  <c r="AL1820" i="2" s="1"/>
  <c r="AC1821" i="2"/>
  <c r="AL1821" i="2" s="1"/>
  <c r="AC1822" i="2"/>
  <c r="AL1822" i="2" s="1"/>
  <c r="AC1823" i="2"/>
  <c r="AL1823" i="2" s="1"/>
  <c r="AC1824" i="2"/>
  <c r="AL1824" i="2" s="1"/>
  <c r="AC1825" i="2"/>
  <c r="AL1825" i="2" s="1"/>
  <c r="AC1826" i="2"/>
  <c r="AL1826" i="2" s="1"/>
  <c r="AC1827" i="2"/>
  <c r="AL1827" i="2" s="1"/>
  <c r="AC1828" i="2"/>
  <c r="AL1828" i="2" s="1"/>
  <c r="AC1829" i="2"/>
  <c r="AL1829" i="2" s="1"/>
  <c r="AC1830" i="2"/>
  <c r="AL1830" i="2" s="1"/>
  <c r="AC1831" i="2"/>
  <c r="AL1831" i="2" s="1"/>
  <c r="AC1832" i="2"/>
  <c r="AL1832" i="2" s="1"/>
  <c r="AC1833" i="2"/>
  <c r="AL1833" i="2" s="1"/>
  <c r="AC1834" i="2"/>
  <c r="AL1834" i="2" s="1"/>
  <c r="AC1835" i="2"/>
  <c r="AL1835" i="2" s="1"/>
  <c r="AC1836" i="2"/>
  <c r="AL1836" i="2" s="1"/>
  <c r="AC1837" i="2"/>
  <c r="AL1837" i="2" s="1"/>
  <c r="AC1838" i="2"/>
  <c r="AL1838" i="2" s="1"/>
  <c r="AC1839" i="2"/>
  <c r="AL1839" i="2" s="1"/>
  <c r="AC1840" i="2"/>
  <c r="AL1840" i="2" s="1"/>
  <c r="AC1841" i="2"/>
  <c r="AL1841" i="2" s="1"/>
  <c r="AC1842" i="2"/>
  <c r="AL1842" i="2" s="1"/>
  <c r="AC1843" i="2"/>
  <c r="AL1843" i="2" s="1"/>
  <c r="AC1844" i="2"/>
  <c r="AL1844" i="2" s="1"/>
  <c r="AC1845" i="2"/>
  <c r="AL1845" i="2" s="1"/>
  <c r="AC1846" i="2"/>
  <c r="AL1846" i="2" s="1"/>
  <c r="AC1847" i="2"/>
  <c r="AL1847" i="2" s="1"/>
  <c r="AC1848" i="2"/>
  <c r="AL1848" i="2" s="1"/>
  <c r="AC1849" i="2"/>
  <c r="AL1849" i="2" s="1"/>
  <c r="AC1850" i="2"/>
  <c r="AL1850" i="2" s="1"/>
  <c r="AC1851" i="2"/>
  <c r="AL1851" i="2" s="1"/>
  <c r="AC1852" i="2"/>
  <c r="AL1852" i="2" s="1"/>
  <c r="AC1853" i="2"/>
  <c r="AL1853" i="2" s="1"/>
  <c r="AC1854" i="2"/>
  <c r="AL1854" i="2" s="1"/>
  <c r="AC1855" i="2"/>
  <c r="AL1855" i="2" s="1"/>
  <c r="AC1856" i="2"/>
  <c r="AL1856" i="2" s="1"/>
  <c r="AC1857" i="2"/>
  <c r="AL1857" i="2" s="1"/>
  <c r="AC1858" i="2"/>
  <c r="AL1858" i="2" s="1"/>
  <c r="AC1859" i="2"/>
  <c r="AL1859" i="2" s="1"/>
  <c r="AC1860" i="2"/>
  <c r="AL1860" i="2" s="1"/>
  <c r="AC1861" i="2"/>
  <c r="AL1861" i="2" s="1"/>
  <c r="AC1862" i="2"/>
  <c r="AL1862" i="2" s="1"/>
  <c r="AC1863" i="2"/>
  <c r="AL1863" i="2" s="1"/>
  <c r="AC1864" i="2"/>
  <c r="AL1864" i="2" s="1"/>
  <c r="AC1865" i="2"/>
  <c r="AL1865" i="2" s="1"/>
  <c r="AC1866" i="2"/>
  <c r="AL1866" i="2" s="1"/>
  <c r="AC1867" i="2"/>
  <c r="AL1867" i="2" s="1"/>
  <c r="AC1868" i="2"/>
  <c r="AL1868" i="2" s="1"/>
  <c r="AC1869" i="2"/>
  <c r="AL1869" i="2" s="1"/>
  <c r="AC1870" i="2"/>
  <c r="AL1870" i="2" s="1"/>
  <c r="AC1871" i="2"/>
  <c r="AL1871" i="2" s="1"/>
  <c r="AC1872" i="2"/>
  <c r="AL1872" i="2" s="1"/>
  <c r="AC1873" i="2"/>
  <c r="AL1873" i="2" s="1"/>
  <c r="AC1874" i="2"/>
  <c r="AL1874" i="2" s="1"/>
  <c r="AC1875" i="2"/>
  <c r="AL1875" i="2" s="1"/>
  <c r="AC1876" i="2"/>
  <c r="AL1876" i="2" s="1"/>
  <c r="AC1877" i="2"/>
  <c r="AL1877" i="2" s="1"/>
  <c r="AC1878" i="2"/>
  <c r="AL1878" i="2" s="1"/>
  <c r="AC1879" i="2"/>
  <c r="AL1879" i="2" s="1"/>
  <c r="AC1880" i="2"/>
  <c r="AL1880" i="2" s="1"/>
  <c r="AC1881" i="2"/>
  <c r="AL1881" i="2" s="1"/>
  <c r="AC1882" i="2"/>
  <c r="AL1882" i="2" s="1"/>
  <c r="AC1883" i="2"/>
  <c r="AL1883" i="2" s="1"/>
  <c r="AC1884" i="2"/>
  <c r="AL1884" i="2" s="1"/>
  <c r="AC1885" i="2"/>
  <c r="AL1885" i="2" s="1"/>
  <c r="AC1886" i="2"/>
  <c r="AL1886" i="2" s="1"/>
  <c r="AC1887" i="2"/>
  <c r="AL1887" i="2" s="1"/>
  <c r="AC1888" i="2"/>
  <c r="AL1888" i="2" s="1"/>
  <c r="AC1889" i="2"/>
  <c r="AL1889" i="2" s="1"/>
  <c r="AC1890" i="2"/>
  <c r="AL1890" i="2" s="1"/>
  <c r="AC1891" i="2"/>
  <c r="AL1891" i="2" s="1"/>
  <c r="AC1892" i="2"/>
  <c r="AL1892" i="2" s="1"/>
  <c r="AC1893" i="2"/>
  <c r="AL1893" i="2" s="1"/>
  <c r="AC1894" i="2"/>
  <c r="AL1894" i="2" s="1"/>
  <c r="AC1895" i="2"/>
  <c r="AL1895" i="2" s="1"/>
  <c r="AC1896" i="2"/>
  <c r="AL1896" i="2" s="1"/>
  <c r="AC1897" i="2"/>
  <c r="AL1897" i="2" s="1"/>
  <c r="AC1898" i="2"/>
  <c r="AL1898" i="2" s="1"/>
  <c r="AC1899" i="2"/>
  <c r="AL1899" i="2" s="1"/>
  <c r="AC1900" i="2"/>
  <c r="AL1900" i="2" s="1"/>
  <c r="AC1901" i="2"/>
  <c r="AL1901" i="2" s="1"/>
  <c r="AC1902" i="2"/>
  <c r="AL1902" i="2" s="1"/>
  <c r="AC1903" i="2"/>
  <c r="AL1903" i="2" s="1"/>
  <c r="AC1904" i="2"/>
  <c r="AL1904" i="2" s="1"/>
  <c r="AC1905" i="2"/>
  <c r="AL1905" i="2" s="1"/>
  <c r="AC1906" i="2"/>
  <c r="AL1906" i="2" s="1"/>
  <c r="AC1907" i="2"/>
  <c r="AL1907" i="2" s="1"/>
  <c r="AC1908" i="2"/>
  <c r="AL1908" i="2" s="1"/>
  <c r="AC1909" i="2"/>
  <c r="AL1909" i="2" s="1"/>
  <c r="AC1910" i="2"/>
  <c r="AL1910" i="2" s="1"/>
  <c r="AC1911" i="2"/>
  <c r="AL1911" i="2" s="1"/>
  <c r="AC1912" i="2"/>
  <c r="AL1912" i="2" s="1"/>
  <c r="AC1913" i="2"/>
  <c r="AL1913" i="2" s="1"/>
  <c r="AC1914" i="2"/>
  <c r="AL1914" i="2" s="1"/>
  <c r="AC1915" i="2"/>
  <c r="AL1915" i="2" s="1"/>
  <c r="AC1916" i="2"/>
  <c r="AL1916" i="2" s="1"/>
  <c r="AC1917" i="2"/>
  <c r="AL1917" i="2" s="1"/>
  <c r="AC1918" i="2"/>
  <c r="AL1918" i="2" s="1"/>
  <c r="AC1919" i="2"/>
  <c r="AL1919" i="2" s="1"/>
  <c r="AC1920" i="2"/>
  <c r="AL1920" i="2" s="1"/>
  <c r="AC1921" i="2"/>
  <c r="AL1921" i="2" s="1"/>
  <c r="AC1922" i="2"/>
  <c r="AL1922" i="2" s="1"/>
  <c r="AC1923" i="2"/>
  <c r="AL1923" i="2" s="1"/>
  <c r="AC1924" i="2"/>
  <c r="AL1924" i="2" s="1"/>
  <c r="AC1925" i="2"/>
  <c r="AL1925" i="2" s="1"/>
  <c r="AC1926" i="2"/>
  <c r="AL1926" i="2" s="1"/>
  <c r="AC1927" i="2"/>
  <c r="AL1927" i="2" s="1"/>
  <c r="AC1928" i="2"/>
  <c r="AL1928" i="2" s="1"/>
  <c r="AC1929" i="2"/>
  <c r="AL1929" i="2" s="1"/>
  <c r="AC1930" i="2"/>
  <c r="AL1930" i="2" s="1"/>
  <c r="AC1931" i="2"/>
  <c r="AL1931" i="2" s="1"/>
  <c r="AC1932" i="2"/>
  <c r="AL1932" i="2" s="1"/>
  <c r="AC1933" i="2"/>
  <c r="AL1933" i="2" s="1"/>
  <c r="AC1934" i="2"/>
  <c r="AL1934" i="2" s="1"/>
  <c r="AC1935" i="2"/>
  <c r="AL1935" i="2" s="1"/>
  <c r="AC1936" i="2"/>
  <c r="AL1936" i="2" s="1"/>
  <c r="AC1937" i="2"/>
  <c r="AL1937" i="2" s="1"/>
  <c r="AC1938" i="2"/>
  <c r="AL1938" i="2" s="1"/>
  <c r="AC1939" i="2"/>
  <c r="AL1939" i="2" s="1"/>
  <c r="AC1940" i="2"/>
  <c r="AL1940" i="2" s="1"/>
  <c r="AC1941" i="2"/>
  <c r="AL1941" i="2" s="1"/>
  <c r="AC1942" i="2"/>
  <c r="AL1942" i="2" s="1"/>
  <c r="AC1943" i="2"/>
  <c r="AL1943" i="2" s="1"/>
  <c r="AC1944" i="2"/>
  <c r="AL1944" i="2" s="1"/>
  <c r="AC1945" i="2"/>
  <c r="AL1945" i="2" s="1"/>
  <c r="AC1946" i="2"/>
  <c r="AL1946" i="2" s="1"/>
  <c r="AC1947" i="2"/>
  <c r="AL1947" i="2" s="1"/>
  <c r="AC1948" i="2"/>
  <c r="AL1948" i="2" s="1"/>
  <c r="AC1949" i="2"/>
  <c r="AL1949" i="2" s="1"/>
  <c r="AC1950" i="2"/>
  <c r="AL1950" i="2" s="1"/>
  <c r="AC1951" i="2"/>
  <c r="AL1951" i="2" s="1"/>
  <c r="AC1952" i="2"/>
  <c r="AL1952" i="2" s="1"/>
  <c r="AC1953" i="2"/>
  <c r="AL1953" i="2" s="1"/>
  <c r="AC1954" i="2"/>
  <c r="AL1954" i="2" s="1"/>
  <c r="AC1955" i="2"/>
  <c r="AL1955" i="2" s="1"/>
  <c r="AC1956" i="2"/>
  <c r="AL1956" i="2" s="1"/>
  <c r="AC1957" i="2"/>
  <c r="AL1957" i="2" s="1"/>
  <c r="AC1958" i="2"/>
  <c r="AL1958" i="2" s="1"/>
  <c r="AC1959" i="2"/>
  <c r="AL1959" i="2" s="1"/>
  <c r="AC1960" i="2"/>
  <c r="AL1960" i="2" s="1"/>
  <c r="AC1961" i="2"/>
  <c r="AL1961" i="2" s="1"/>
  <c r="AC1962" i="2"/>
  <c r="AL1962" i="2" s="1"/>
  <c r="AC1963" i="2"/>
  <c r="AL1963" i="2" s="1"/>
  <c r="AC1964" i="2"/>
  <c r="AL1964" i="2" s="1"/>
  <c r="AC1965" i="2"/>
  <c r="AL1965" i="2" s="1"/>
  <c r="AC1966" i="2"/>
  <c r="AL1966" i="2" s="1"/>
  <c r="AC1967" i="2"/>
  <c r="AL1967" i="2" s="1"/>
  <c r="AC1968" i="2"/>
  <c r="AL1968" i="2" s="1"/>
  <c r="AC1969" i="2"/>
  <c r="AL1969" i="2" s="1"/>
  <c r="AC1970" i="2"/>
  <c r="AL1970" i="2" s="1"/>
  <c r="AC1971" i="2"/>
  <c r="AL1971" i="2" s="1"/>
  <c r="AC1972" i="2"/>
  <c r="AL1972" i="2" s="1"/>
  <c r="AC1973" i="2"/>
  <c r="AL1973" i="2" s="1"/>
  <c r="AC1974" i="2"/>
  <c r="AL1974" i="2" s="1"/>
  <c r="AC1975" i="2"/>
  <c r="AL1975" i="2" s="1"/>
  <c r="AC1976" i="2"/>
  <c r="AL1976" i="2" s="1"/>
  <c r="AC1977" i="2"/>
  <c r="AL1977" i="2" s="1"/>
  <c r="AC1978" i="2"/>
  <c r="AL1978" i="2" s="1"/>
  <c r="AC1979" i="2"/>
  <c r="AL1979" i="2" s="1"/>
  <c r="AC1980" i="2"/>
  <c r="AL1980" i="2" s="1"/>
  <c r="AC1981" i="2"/>
  <c r="AL1981" i="2" s="1"/>
  <c r="AC1982" i="2"/>
  <c r="AL1982" i="2" s="1"/>
  <c r="AC1983" i="2"/>
  <c r="AL1983" i="2" s="1"/>
  <c r="AC1984" i="2"/>
  <c r="AL1984" i="2" s="1"/>
  <c r="AC1985" i="2"/>
  <c r="AL1985" i="2" s="1"/>
  <c r="AC1986" i="2"/>
  <c r="AL1986" i="2" s="1"/>
  <c r="AC1987" i="2"/>
  <c r="AL1987" i="2" s="1"/>
  <c r="AC1988" i="2"/>
  <c r="AL1988" i="2" s="1"/>
  <c r="AC1989" i="2"/>
  <c r="AL1989" i="2" s="1"/>
  <c r="AC1990" i="2"/>
  <c r="AL1990" i="2" s="1"/>
  <c r="AC1991" i="2"/>
  <c r="AL1991" i="2" s="1"/>
  <c r="AC1992" i="2"/>
  <c r="AL1992" i="2" s="1"/>
  <c r="AC1993" i="2"/>
  <c r="AL1993" i="2" s="1"/>
  <c r="AC1994" i="2"/>
  <c r="AL1994" i="2" s="1"/>
  <c r="AC1995" i="2"/>
  <c r="AL1995" i="2" s="1"/>
  <c r="AC1996" i="2"/>
  <c r="AL1996" i="2" s="1"/>
  <c r="AC1997" i="2"/>
  <c r="AL1997" i="2" s="1"/>
  <c r="AC1998" i="2"/>
  <c r="AL1998" i="2" s="1"/>
  <c r="AC1999" i="2"/>
  <c r="AL1999" i="2" s="1"/>
  <c r="AC2000" i="2"/>
  <c r="AL2000" i="2" s="1"/>
  <c r="AC2001" i="2"/>
  <c r="AL2001" i="2" s="1"/>
  <c r="AC2002" i="2"/>
  <c r="AL2002" i="2" s="1"/>
  <c r="AC2003" i="2"/>
  <c r="AL2003" i="2" s="1"/>
  <c r="AC2004" i="2"/>
  <c r="AL2004" i="2" s="1"/>
  <c r="AC2005" i="2"/>
  <c r="AL2005" i="2" s="1"/>
  <c r="AC2006" i="2"/>
  <c r="AL2006" i="2" s="1"/>
  <c r="AC2007" i="2"/>
  <c r="AL2007" i="2" s="1"/>
  <c r="AC2008" i="2"/>
  <c r="AL2008" i="2" s="1"/>
  <c r="AC2009" i="2"/>
  <c r="AL2009" i="2" s="1"/>
  <c r="AC2010" i="2"/>
  <c r="AL2010" i="2" s="1"/>
  <c r="AC2011" i="2"/>
  <c r="AL2011" i="2" s="1"/>
  <c r="AC2012" i="2"/>
  <c r="AL2012" i="2" s="1"/>
  <c r="AC2013" i="2"/>
  <c r="AL2013" i="2" s="1"/>
  <c r="AC2014" i="2"/>
  <c r="AL2014" i="2" s="1"/>
  <c r="AC2015" i="2"/>
  <c r="AL2015" i="2" s="1"/>
  <c r="AC2016" i="2"/>
  <c r="AL2016" i="2" s="1"/>
  <c r="AC2017" i="2"/>
  <c r="AL2017" i="2" s="1"/>
  <c r="AC2018" i="2"/>
  <c r="AL2018" i="2" s="1"/>
  <c r="AC2019" i="2"/>
  <c r="AL2019" i="2" s="1"/>
  <c r="AC2020" i="2"/>
  <c r="AL2020" i="2" s="1"/>
  <c r="AC2021" i="2"/>
  <c r="AL2021" i="2" s="1"/>
  <c r="AC2022" i="2"/>
  <c r="AL2022" i="2" s="1"/>
  <c r="AC2023" i="2"/>
  <c r="AL2023" i="2" s="1"/>
  <c r="AC2024" i="2"/>
  <c r="AL2024" i="2" s="1"/>
  <c r="AC2025" i="2"/>
  <c r="AL2025" i="2" s="1"/>
  <c r="AC2026" i="2"/>
  <c r="AL2026" i="2" s="1"/>
  <c r="AC2027" i="2"/>
  <c r="AL2027" i="2" s="1"/>
  <c r="AC2028" i="2"/>
  <c r="AL2028" i="2" s="1"/>
  <c r="AC2029" i="2"/>
  <c r="AL2029" i="2" s="1"/>
  <c r="AC2030" i="2"/>
  <c r="AL2030" i="2" s="1"/>
  <c r="AC2031" i="2"/>
  <c r="AL2031" i="2" s="1"/>
  <c r="AC2032" i="2"/>
  <c r="AL2032" i="2" s="1"/>
  <c r="AC2033" i="2"/>
  <c r="AL2033" i="2" s="1"/>
  <c r="AC2034" i="2"/>
  <c r="AL2034" i="2" s="1"/>
  <c r="AC2035" i="2"/>
  <c r="AL2035" i="2" s="1"/>
  <c r="AC2036" i="2"/>
  <c r="AL2036" i="2" s="1"/>
  <c r="AC2037" i="2"/>
  <c r="AL2037" i="2" s="1"/>
  <c r="AC2038" i="2"/>
  <c r="AL2038" i="2" s="1"/>
  <c r="AC2039" i="2"/>
  <c r="AL2039" i="2" s="1"/>
  <c r="AC2040" i="2"/>
  <c r="AL2040" i="2" s="1"/>
  <c r="AC2041" i="2"/>
  <c r="AL2041" i="2" s="1"/>
  <c r="AC2042" i="2"/>
  <c r="AL2042" i="2" s="1"/>
  <c r="AC2043" i="2"/>
  <c r="AL2043" i="2" s="1"/>
  <c r="AC2044" i="2"/>
  <c r="AL2044" i="2" s="1"/>
  <c r="AC2045" i="2"/>
  <c r="AL2045" i="2" s="1"/>
  <c r="AC2046" i="2"/>
  <c r="AL2046" i="2" s="1"/>
  <c r="AC2047" i="2"/>
  <c r="AL2047" i="2" s="1"/>
  <c r="AC2048" i="2"/>
  <c r="AL2048" i="2" s="1"/>
  <c r="AC2049" i="2"/>
  <c r="AL2049" i="2" s="1"/>
  <c r="AC2050" i="2"/>
  <c r="AL2050" i="2" s="1"/>
  <c r="AC2051" i="2"/>
  <c r="AL2051" i="2" s="1"/>
  <c r="AC2052" i="2"/>
  <c r="AL2052" i="2" s="1"/>
  <c r="AC2053" i="2"/>
  <c r="AL2053" i="2" s="1"/>
  <c r="AC2054" i="2"/>
  <c r="AL2054" i="2" s="1"/>
  <c r="AC2055" i="2"/>
  <c r="AL2055" i="2" s="1"/>
  <c r="AC2056" i="2"/>
  <c r="AL2056" i="2" s="1"/>
  <c r="AC2057" i="2"/>
  <c r="AL2057" i="2" s="1"/>
  <c r="AC2058" i="2"/>
  <c r="AL2058" i="2" s="1"/>
  <c r="AC2059" i="2"/>
  <c r="AL2059" i="2" s="1"/>
  <c r="AC2060" i="2"/>
  <c r="AL2060" i="2" s="1"/>
  <c r="AC2061" i="2"/>
  <c r="AL2061" i="2" s="1"/>
  <c r="AC2062" i="2"/>
  <c r="AL2062" i="2" s="1"/>
  <c r="AC2063" i="2"/>
  <c r="AL2063" i="2" s="1"/>
  <c r="AC2064" i="2"/>
  <c r="AL2064" i="2" s="1"/>
  <c r="AC2065" i="2"/>
  <c r="AL2065" i="2" s="1"/>
  <c r="AC2066" i="2"/>
  <c r="AL2066" i="2" s="1"/>
  <c r="AC2067" i="2"/>
  <c r="AL2067" i="2" s="1"/>
  <c r="AC2068" i="2"/>
  <c r="AL2068" i="2" s="1"/>
  <c r="AC2069" i="2"/>
  <c r="AL2069" i="2" s="1"/>
  <c r="AC2070" i="2"/>
  <c r="AL2070" i="2" s="1"/>
  <c r="AC2071" i="2"/>
  <c r="AL2071" i="2" s="1"/>
  <c r="AC2072" i="2"/>
  <c r="AL2072" i="2" s="1"/>
  <c r="AC2073" i="2"/>
  <c r="AL2073" i="2" s="1"/>
  <c r="AC2074" i="2"/>
  <c r="AL2074" i="2" s="1"/>
  <c r="AC2075" i="2"/>
  <c r="AL2075" i="2" s="1"/>
  <c r="AC2076" i="2"/>
  <c r="AL2076" i="2" s="1"/>
  <c r="AC2077" i="2"/>
  <c r="AL2077" i="2" s="1"/>
  <c r="AC2078" i="2"/>
  <c r="AL2078" i="2" s="1"/>
  <c r="AC2079" i="2"/>
  <c r="AL2079" i="2" s="1"/>
  <c r="AC2080" i="2"/>
  <c r="AL2080" i="2" s="1"/>
  <c r="AC2081" i="2"/>
  <c r="AL2081" i="2" s="1"/>
  <c r="AC2082" i="2"/>
  <c r="AL2082" i="2" s="1"/>
  <c r="AC2083" i="2"/>
  <c r="AL2083" i="2" s="1"/>
  <c r="AC2084" i="2"/>
  <c r="AL2084" i="2" s="1"/>
  <c r="AC2085" i="2"/>
  <c r="AL2085" i="2" s="1"/>
  <c r="AC2086" i="2"/>
  <c r="AL2086" i="2" s="1"/>
  <c r="AC2087" i="2"/>
  <c r="AL2087" i="2" s="1"/>
  <c r="AC2088" i="2"/>
  <c r="AL2088" i="2" s="1"/>
  <c r="AC2089" i="2"/>
  <c r="AL2089" i="2" s="1"/>
  <c r="AC2090" i="2"/>
  <c r="AL2090" i="2" s="1"/>
  <c r="AC2091" i="2"/>
  <c r="AL2091" i="2" s="1"/>
  <c r="AC2092" i="2"/>
  <c r="AL2092" i="2" s="1"/>
  <c r="AC2093" i="2"/>
  <c r="AL2093" i="2" s="1"/>
  <c r="AC2094" i="2"/>
  <c r="AL2094" i="2" s="1"/>
  <c r="AC2095" i="2"/>
  <c r="AL2095" i="2" s="1"/>
  <c r="AC2096" i="2"/>
  <c r="AL2096" i="2" s="1"/>
  <c r="AC2097" i="2"/>
  <c r="AL2097" i="2" s="1"/>
  <c r="AC2098" i="2"/>
  <c r="AL2098" i="2" s="1"/>
  <c r="AC2099" i="2"/>
  <c r="AL2099" i="2" s="1"/>
  <c r="AC2100" i="2"/>
  <c r="AL2100" i="2" s="1"/>
  <c r="AC2101" i="2"/>
  <c r="AL2101" i="2" s="1"/>
  <c r="AC2102" i="2"/>
  <c r="AL2102" i="2" s="1"/>
  <c r="AC2103" i="2"/>
  <c r="AL2103" i="2" s="1"/>
  <c r="AC2104" i="2"/>
  <c r="AL2104" i="2" s="1"/>
  <c r="AC2105" i="2"/>
  <c r="AL2105" i="2" s="1"/>
  <c r="AC2106" i="2"/>
  <c r="AL2106" i="2" s="1"/>
  <c r="AC2107" i="2"/>
  <c r="AL2107" i="2" s="1"/>
  <c r="AC2108" i="2"/>
  <c r="AL2108" i="2" s="1"/>
  <c r="AC2109" i="2"/>
  <c r="AL2109" i="2" s="1"/>
  <c r="AC2110" i="2"/>
  <c r="AL2110" i="2" s="1"/>
  <c r="AC2111" i="2"/>
  <c r="AL2111" i="2" s="1"/>
  <c r="AC2112" i="2"/>
  <c r="AL2112" i="2" s="1"/>
  <c r="AC2113" i="2"/>
  <c r="AL2113" i="2" s="1"/>
  <c r="AC2114" i="2"/>
  <c r="AL2114" i="2" s="1"/>
  <c r="AC2115" i="2"/>
  <c r="AL2115" i="2" s="1"/>
  <c r="AC2116" i="2"/>
  <c r="AL2116" i="2" s="1"/>
  <c r="AC2117" i="2"/>
  <c r="AL2117" i="2" s="1"/>
  <c r="AC2118" i="2"/>
  <c r="AL2118" i="2" s="1"/>
  <c r="AC2119" i="2"/>
  <c r="AL2119" i="2" s="1"/>
  <c r="AC2120" i="2"/>
  <c r="AL2120" i="2" s="1"/>
  <c r="AC2121" i="2"/>
  <c r="AL2121" i="2" s="1"/>
  <c r="AC2122" i="2"/>
  <c r="AL2122" i="2" s="1"/>
  <c r="AC2123" i="2"/>
  <c r="AL2123" i="2" s="1"/>
  <c r="AC2124" i="2"/>
  <c r="AL2124" i="2" s="1"/>
  <c r="AC2125" i="2"/>
  <c r="AL2125" i="2" s="1"/>
  <c r="AC2126" i="2"/>
  <c r="AL2126" i="2" s="1"/>
  <c r="AC2127" i="2"/>
  <c r="AL2127" i="2" s="1"/>
  <c r="AC2128" i="2"/>
  <c r="AL2128" i="2" s="1"/>
  <c r="AC2129" i="2"/>
  <c r="AL2129" i="2" s="1"/>
  <c r="AC2130" i="2"/>
  <c r="AL2130" i="2" s="1"/>
  <c r="AC2131" i="2"/>
  <c r="AL2131" i="2" s="1"/>
  <c r="AC2132" i="2"/>
  <c r="AL2132" i="2" s="1"/>
  <c r="AC2133" i="2"/>
  <c r="AL2133" i="2" s="1"/>
  <c r="AC2134" i="2"/>
  <c r="AL2134" i="2" s="1"/>
  <c r="AC2135" i="2"/>
  <c r="AL2135" i="2" s="1"/>
  <c r="AC2136" i="2"/>
  <c r="AL2136" i="2" s="1"/>
  <c r="AC2137" i="2"/>
  <c r="AL2137" i="2" s="1"/>
  <c r="AC2138" i="2"/>
  <c r="AL2138" i="2" s="1"/>
  <c r="AC2139" i="2"/>
  <c r="AL2139" i="2" s="1"/>
  <c r="AC2140" i="2"/>
  <c r="AL2140" i="2" s="1"/>
  <c r="AC2141" i="2"/>
  <c r="AL2141" i="2" s="1"/>
  <c r="AC2142" i="2"/>
  <c r="AL2142" i="2" s="1"/>
  <c r="AC2143" i="2"/>
  <c r="AL2143" i="2" s="1"/>
  <c r="AC2144" i="2"/>
  <c r="AL2144" i="2" s="1"/>
  <c r="AC2145" i="2"/>
  <c r="AL2145" i="2" s="1"/>
  <c r="AC2146" i="2"/>
  <c r="AL2146" i="2" s="1"/>
  <c r="AC2147" i="2"/>
  <c r="AL2147" i="2" s="1"/>
  <c r="AC2148" i="2"/>
  <c r="AL2148" i="2" s="1"/>
  <c r="AC2149" i="2"/>
  <c r="AL2149" i="2" s="1"/>
  <c r="AC2150" i="2"/>
  <c r="AL2150" i="2" s="1"/>
  <c r="AC2151" i="2"/>
  <c r="AL2151" i="2" s="1"/>
  <c r="AC2152" i="2"/>
  <c r="AL2152" i="2" s="1"/>
  <c r="AC2153" i="2"/>
  <c r="AL2153" i="2" s="1"/>
  <c r="AC2154" i="2"/>
  <c r="AL2154" i="2" s="1"/>
  <c r="AC2155" i="2"/>
  <c r="AL2155" i="2" s="1"/>
  <c r="AC2156" i="2"/>
  <c r="AL2156" i="2" s="1"/>
  <c r="AC2157" i="2"/>
  <c r="AL2157" i="2" s="1"/>
  <c r="AC2158" i="2"/>
  <c r="AL2158" i="2" s="1"/>
  <c r="AC2159" i="2"/>
  <c r="AL2159" i="2" s="1"/>
  <c r="AC2160" i="2"/>
  <c r="AL2160" i="2" s="1"/>
  <c r="AC2161" i="2"/>
  <c r="AL2161" i="2" s="1"/>
  <c r="AC2162" i="2"/>
  <c r="AL2162" i="2" s="1"/>
  <c r="AC2163" i="2"/>
  <c r="AL2163" i="2" s="1"/>
  <c r="AC2164" i="2"/>
  <c r="AL2164" i="2" s="1"/>
  <c r="AC2165" i="2"/>
  <c r="AL2165" i="2" s="1"/>
  <c r="AC2166" i="2"/>
  <c r="AL2166" i="2" s="1"/>
  <c r="AC2167" i="2"/>
  <c r="AL2167" i="2" s="1"/>
  <c r="AC2168" i="2"/>
  <c r="AL2168" i="2" s="1"/>
  <c r="AC2169" i="2"/>
  <c r="AL2169" i="2" s="1"/>
  <c r="AC2170" i="2"/>
  <c r="AL2170" i="2" s="1"/>
  <c r="AC2171" i="2"/>
  <c r="AL2171" i="2" s="1"/>
  <c r="AC2172" i="2"/>
  <c r="AL2172" i="2" s="1"/>
  <c r="AC2173" i="2"/>
  <c r="AL2173" i="2" s="1"/>
  <c r="AC2174" i="2"/>
  <c r="AL2174" i="2" s="1"/>
  <c r="AC2175" i="2"/>
  <c r="AL2175" i="2" s="1"/>
  <c r="AC2176" i="2"/>
  <c r="AL2176" i="2" s="1"/>
  <c r="AC2177" i="2"/>
  <c r="AL2177" i="2" s="1"/>
  <c r="AC2178" i="2"/>
  <c r="AL2178" i="2" s="1"/>
  <c r="AC2179" i="2"/>
  <c r="AL2179" i="2" s="1"/>
  <c r="AC2180" i="2"/>
  <c r="AL2180" i="2" s="1"/>
  <c r="AC2181" i="2"/>
  <c r="AL2181" i="2" s="1"/>
  <c r="AC2182" i="2"/>
  <c r="AL2182" i="2" s="1"/>
  <c r="AC2183" i="2"/>
  <c r="AL2183" i="2" s="1"/>
  <c r="AC2184" i="2"/>
  <c r="AL2184" i="2" s="1"/>
  <c r="AC2185" i="2"/>
  <c r="AL2185" i="2" s="1"/>
  <c r="AC2186" i="2"/>
  <c r="AL2186" i="2" s="1"/>
  <c r="AC2187" i="2"/>
  <c r="AL2187" i="2" s="1"/>
  <c r="AC2188" i="2"/>
  <c r="AL2188" i="2" s="1"/>
  <c r="AC2189" i="2"/>
  <c r="AL2189" i="2" s="1"/>
  <c r="AC2190" i="2"/>
  <c r="AL2190" i="2" s="1"/>
  <c r="AC2191" i="2"/>
  <c r="AL2191" i="2" s="1"/>
  <c r="AC2192" i="2"/>
  <c r="AL2192" i="2" s="1"/>
  <c r="AC2193" i="2"/>
  <c r="AL2193" i="2" s="1"/>
  <c r="AC2194" i="2"/>
  <c r="AL2194" i="2" s="1"/>
  <c r="AC2195" i="2"/>
  <c r="AL2195" i="2" s="1"/>
  <c r="AC2196" i="2"/>
  <c r="AL2196" i="2" s="1"/>
  <c r="AC2197" i="2"/>
  <c r="AL2197" i="2" s="1"/>
  <c r="AC2198" i="2"/>
  <c r="AL2198" i="2" s="1"/>
  <c r="AC2199" i="2"/>
  <c r="AL2199" i="2" s="1"/>
  <c r="AC2200" i="2"/>
  <c r="AL2200" i="2" s="1"/>
  <c r="AC2201" i="2"/>
  <c r="AL2201" i="2" s="1"/>
  <c r="AC2202" i="2"/>
  <c r="AL2202" i="2" s="1"/>
  <c r="AC2203" i="2"/>
  <c r="AL2203" i="2" s="1"/>
  <c r="AC2204" i="2"/>
  <c r="AL2204" i="2" s="1"/>
  <c r="AC2205" i="2"/>
  <c r="AL2205" i="2" s="1"/>
  <c r="AC2206" i="2"/>
  <c r="AL2206" i="2" s="1"/>
  <c r="AC2207" i="2"/>
  <c r="AL2207" i="2" s="1"/>
  <c r="AC2208" i="2"/>
  <c r="AL2208" i="2" s="1"/>
  <c r="AC2209" i="2"/>
  <c r="AL2209" i="2" s="1"/>
  <c r="AC2210" i="2"/>
  <c r="AL2210" i="2" s="1"/>
  <c r="AC2211" i="2"/>
  <c r="AL2211" i="2" s="1"/>
  <c r="AC2212" i="2"/>
  <c r="AL2212" i="2" s="1"/>
  <c r="AC2213" i="2"/>
  <c r="AL2213" i="2" s="1"/>
  <c r="AC2214" i="2"/>
  <c r="AL2214" i="2" s="1"/>
  <c r="AC2215" i="2"/>
  <c r="AL2215" i="2" s="1"/>
  <c r="AC2216" i="2"/>
  <c r="AL2216" i="2" s="1"/>
  <c r="AC2217" i="2"/>
  <c r="AL2217" i="2" s="1"/>
  <c r="AC2218" i="2"/>
  <c r="AL2218" i="2" s="1"/>
  <c r="AC2219" i="2"/>
  <c r="AL2219" i="2" s="1"/>
  <c r="AC2220" i="2"/>
  <c r="AL2220" i="2" s="1"/>
  <c r="AC2221" i="2"/>
  <c r="AL2221" i="2" s="1"/>
  <c r="AC2222" i="2"/>
  <c r="AL2222" i="2" s="1"/>
  <c r="AC2223" i="2"/>
  <c r="AL2223" i="2" s="1"/>
  <c r="AC2224" i="2"/>
  <c r="AL2224" i="2" s="1"/>
  <c r="AC2225" i="2"/>
  <c r="AL2225" i="2" s="1"/>
  <c r="AC2226" i="2"/>
  <c r="AL2226" i="2" s="1"/>
  <c r="AC2227" i="2"/>
  <c r="AL2227" i="2" s="1"/>
  <c r="AC2228" i="2"/>
  <c r="AL2228" i="2" s="1"/>
  <c r="AC2229" i="2"/>
  <c r="AL2229" i="2" s="1"/>
  <c r="AC2230" i="2"/>
  <c r="AL2230" i="2" s="1"/>
  <c r="AC2231" i="2"/>
  <c r="AL2231" i="2" s="1"/>
  <c r="AC2232" i="2"/>
  <c r="AL2232" i="2" s="1"/>
  <c r="AC2233" i="2"/>
  <c r="AL2233" i="2" s="1"/>
  <c r="AC2234" i="2"/>
  <c r="AL2234" i="2" s="1"/>
  <c r="AC2235" i="2"/>
  <c r="AL2235" i="2" s="1"/>
  <c r="AC2236" i="2"/>
  <c r="AL2236" i="2" s="1"/>
  <c r="AC2237" i="2"/>
  <c r="AL2237" i="2" s="1"/>
  <c r="AC2238" i="2"/>
  <c r="AL2238" i="2" s="1"/>
  <c r="AC2239" i="2"/>
  <c r="AL2239" i="2" s="1"/>
  <c r="AC2240" i="2"/>
  <c r="AL2240" i="2" s="1"/>
  <c r="AC2241" i="2"/>
  <c r="AL2241" i="2" s="1"/>
  <c r="AC2242" i="2"/>
  <c r="AL2242" i="2" s="1"/>
  <c r="AC2243" i="2"/>
  <c r="AL2243" i="2" s="1"/>
  <c r="AC2244" i="2"/>
  <c r="AL2244" i="2" s="1"/>
  <c r="AC2245" i="2"/>
  <c r="AL2245" i="2" s="1"/>
  <c r="AC2246" i="2"/>
  <c r="AL2246" i="2" s="1"/>
  <c r="AC2247" i="2"/>
  <c r="AL2247" i="2" s="1"/>
  <c r="AC2248" i="2"/>
  <c r="AL2248" i="2" s="1"/>
  <c r="AC2249" i="2"/>
  <c r="AL2249" i="2" s="1"/>
  <c r="AC2250" i="2"/>
  <c r="AL2250" i="2" s="1"/>
  <c r="AC2251" i="2"/>
  <c r="AL2251" i="2" s="1"/>
  <c r="AC2252" i="2"/>
  <c r="AL2252" i="2" s="1"/>
  <c r="AC2253" i="2"/>
  <c r="AL2253" i="2" s="1"/>
  <c r="AC2254" i="2"/>
  <c r="AL2254" i="2" s="1"/>
  <c r="AC2255" i="2"/>
  <c r="AL2255" i="2" s="1"/>
  <c r="AC2256" i="2"/>
  <c r="AL2256" i="2" s="1"/>
  <c r="AC2257" i="2"/>
  <c r="AL2257" i="2" s="1"/>
  <c r="AC2258" i="2"/>
  <c r="AL2258" i="2" s="1"/>
  <c r="AC2259" i="2"/>
  <c r="AL2259" i="2" s="1"/>
  <c r="AC2260" i="2"/>
  <c r="AL2260" i="2" s="1"/>
  <c r="AC2261" i="2"/>
  <c r="AL2261" i="2" s="1"/>
  <c r="AC2262" i="2"/>
  <c r="AL2262" i="2" s="1"/>
  <c r="AC2263" i="2"/>
  <c r="AL2263" i="2" s="1"/>
  <c r="AC2264" i="2"/>
  <c r="AL2264" i="2" s="1"/>
  <c r="AC2265" i="2"/>
  <c r="AL2265" i="2" s="1"/>
  <c r="AC2266" i="2"/>
  <c r="AL2266" i="2" s="1"/>
  <c r="AC2267" i="2"/>
  <c r="AL2267" i="2" s="1"/>
  <c r="AC2268" i="2"/>
  <c r="AL2268" i="2" s="1"/>
  <c r="AC2269" i="2"/>
  <c r="AL2269" i="2" s="1"/>
  <c r="AC2270" i="2"/>
  <c r="AL2270" i="2" s="1"/>
  <c r="AC2271" i="2"/>
  <c r="AL2271" i="2" s="1"/>
  <c r="AC2272" i="2"/>
  <c r="AL2272" i="2" s="1"/>
  <c r="AC2273" i="2"/>
  <c r="AL2273" i="2" s="1"/>
  <c r="AC2274" i="2"/>
  <c r="AL2274" i="2" s="1"/>
  <c r="AC2275" i="2"/>
  <c r="AL2275" i="2" s="1"/>
  <c r="AC2276" i="2"/>
  <c r="AL2276" i="2" s="1"/>
  <c r="AC2277" i="2"/>
  <c r="AL2277" i="2" s="1"/>
  <c r="AC2278" i="2"/>
  <c r="AL2278" i="2" s="1"/>
  <c r="AC2279" i="2"/>
  <c r="AL2279" i="2" s="1"/>
  <c r="AC2280" i="2"/>
  <c r="AL2280" i="2" s="1"/>
  <c r="AC2281" i="2"/>
  <c r="AL2281" i="2" s="1"/>
  <c r="AC2282" i="2"/>
  <c r="AL2282" i="2" s="1"/>
  <c r="AC2283" i="2"/>
  <c r="AL2283" i="2" s="1"/>
  <c r="AC2284" i="2"/>
  <c r="AL2284" i="2" s="1"/>
  <c r="AC2285" i="2"/>
  <c r="AL2285" i="2" s="1"/>
  <c r="AC2286" i="2"/>
  <c r="AL2286" i="2" s="1"/>
  <c r="AC2287" i="2"/>
  <c r="AL2287" i="2" s="1"/>
  <c r="AC2288" i="2"/>
  <c r="AL2288" i="2" s="1"/>
  <c r="AC2289" i="2"/>
  <c r="AL2289" i="2" s="1"/>
  <c r="AC2290" i="2"/>
  <c r="AL2290" i="2" s="1"/>
  <c r="AC2291" i="2"/>
  <c r="AL2291" i="2" s="1"/>
  <c r="AC2292" i="2"/>
  <c r="AL2292" i="2" s="1"/>
  <c r="AC2293" i="2"/>
  <c r="AL2293" i="2" s="1"/>
  <c r="AC2294" i="2"/>
  <c r="AL2294" i="2" s="1"/>
  <c r="AC2295" i="2"/>
  <c r="AL2295" i="2" s="1"/>
  <c r="AC2296" i="2"/>
  <c r="AL2296" i="2" s="1"/>
  <c r="AC2297" i="2"/>
  <c r="AL2297" i="2" s="1"/>
  <c r="AC2298" i="2"/>
  <c r="AL2298" i="2" s="1"/>
  <c r="AC2299" i="2"/>
  <c r="AL2299" i="2" s="1"/>
  <c r="AC2300" i="2"/>
  <c r="AL2300" i="2" s="1"/>
  <c r="AC2301" i="2"/>
  <c r="AL2301" i="2" s="1"/>
  <c r="AC2302" i="2"/>
  <c r="AL2302" i="2" s="1"/>
  <c r="AC2303" i="2"/>
  <c r="AL2303" i="2" s="1"/>
  <c r="AC2304" i="2"/>
  <c r="AL2304" i="2" s="1"/>
  <c r="AC2305" i="2"/>
  <c r="AL2305" i="2" s="1"/>
  <c r="AC2306" i="2"/>
  <c r="AL2306" i="2" s="1"/>
  <c r="AC2307" i="2"/>
  <c r="AL2307" i="2" s="1"/>
  <c r="AC2308" i="2"/>
  <c r="AL2308" i="2" s="1"/>
  <c r="AC2309" i="2"/>
  <c r="AL2309" i="2" s="1"/>
  <c r="AC2310" i="2"/>
  <c r="AL2310" i="2" s="1"/>
  <c r="AC2311" i="2"/>
  <c r="AL2311" i="2" s="1"/>
  <c r="AC2312" i="2"/>
  <c r="AL2312" i="2" s="1"/>
  <c r="AC2313" i="2"/>
  <c r="AL2313" i="2" s="1"/>
  <c r="AC2314" i="2"/>
  <c r="AL2314" i="2" s="1"/>
  <c r="AC2315" i="2"/>
  <c r="AL2315" i="2" s="1"/>
  <c r="AC2316" i="2"/>
  <c r="AL2316" i="2" s="1"/>
  <c r="AC2317" i="2"/>
  <c r="AL2317" i="2" s="1"/>
  <c r="AC2318" i="2"/>
  <c r="AL2318" i="2" s="1"/>
  <c r="AC2319" i="2"/>
  <c r="AL2319" i="2" s="1"/>
  <c r="AC2320" i="2"/>
  <c r="AL2320" i="2" s="1"/>
  <c r="AC2321" i="2"/>
  <c r="AL2321" i="2" s="1"/>
  <c r="AC2322" i="2"/>
  <c r="AL2322" i="2" s="1"/>
  <c r="AC2323" i="2"/>
  <c r="AL2323" i="2" s="1"/>
  <c r="AC2324" i="2"/>
  <c r="AL2324" i="2" s="1"/>
  <c r="AC2325" i="2"/>
  <c r="AL2325" i="2" s="1"/>
  <c r="AC2326" i="2"/>
  <c r="AL2326" i="2" s="1"/>
  <c r="AC2327" i="2"/>
  <c r="AL2327" i="2" s="1"/>
  <c r="AC2328" i="2"/>
  <c r="AL2328" i="2" s="1"/>
  <c r="AC2329" i="2"/>
  <c r="AL2329" i="2" s="1"/>
  <c r="AC2330" i="2"/>
  <c r="AL2330" i="2" s="1"/>
  <c r="AC2331" i="2"/>
  <c r="AL2331" i="2" s="1"/>
  <c r="AC2332" i="2"/>
  <c r="AL2332" i="2" s="1"/>
  <c r="AC2333" i="2"/>
  <c r="AL2333" i="2" s="1"/>
  <c r="AC2334" i="2"/>
  <c r="AL2334" i="2" s="1"/>
  <c r="AC2335" i="2"/>
  <c r="AL2335" i="2" s="1"/>
  <c r="AC2336" i="2"/>
  <c r="AL2336" i="2" s="1"/>
  <c r="AC2337" i="2"/>
  <c r="AL2337" i="2" s="1"/>
  <c r="AC2338" i="2"/>
  <c r="AL2338" i="2" s="1"/>
  <c r="AC2339" i="2"/>
  <c r="AL2339" i="2" s="1"/>
  <c r="AC2340" i="2"/>
  <c r="AL2340" i="2" s="1"/>
  <c r="AC2341" i="2"/>
  <c r="AL2341" i="2" s="1"/>
  <c r="AC2342" i="2"/>
  <c r="AL2342" i="2" s="1"/>
  <c r="AC2343" i="2"/>
  <c r="AL2343" i="2" s="1"/>
  <c r="AC2344" i="2"/>
  <c r="AL2344" i="2" s="1"/>
  <c r="AC2345" i="2"/>
  <c r="AL2345" i="2" s="1"/>
  <c r="AC2346" i="2"/>
  <c r="AL2346" i="2" s="1"/>
  <c r="AC2347" i="2"/>
  <c r="AL2347" i="2" s="1"/>
  <c r="AC2348" i="2"/>
  <c r="AL2348" i="2" s="1"/>
  <c r="AC2349" i="2"/>
  <c r="AL2349" i="2" s="1"/>
  <c r="AC2350" i="2"/>
  <c r="AL2350" i="2" s="1"/>
  <c r="AC2351" i="2"/>
  <c r="AL2351" i="2" s="1"/>
  <c r="AC2352" i="2"/>
  <c r="AL2352" i="2" s="1"/>
  <c r="AC2353" i="2"/>
  <c r="AL2353" i="2" s="1"/>
  <c r="AC2354" i="2"/>
  <c r="AL2354" i="2" s="1"/>
  <c r="AC2355" i="2"/>
  <c r="AL2355" i="2" s="1"/>
  <c r="AC2356" i="2"/>
  <c r="AL2356" i="2" s="1"/>
  <c r="AC2359" i="2"/>
  <c r="AL2359" i="2" s="1"/>
  <c r="AC2360" i="2"/>
  <c r="AL2360" i="2" s="1"/>
  <c r="AC2361" i="2"/>
  <c r="AL2361" i="2" s="1"/>
  <c r="AC2362" i="2"/>
  <c r="AL2362" i="2" s="1"/>
  <c r="AC2363" i="2"/>
  <c r="AL2363" i="2" s="1"/>
  <c r="AC2364" i="2"/>
  <c r="AL2364" i="2" s="1"/>
  <c r="AC2367" i="2"/>
  <c r="AL2367" i="2" s="1"/>
  <c r="AC2368" i="2"/>
  <c r="AL2368" i="2" s="1"/>
  <c r="AC2369" i="2"/>
  <c r="AL2369" i="2" s="1"/>
  <c r="AC2370" i="2"/>
  <c r="AL2370" i="2" s="1"/>
  <c r="AC2371" i="2"/>
  <c r="AL2371" i="2" s="1"/>
  <c r="AC2372" i="2"/>
  <c r="AL2372" i="2" s="1"/>
  <c r="AC2375" i="2"/>
  <c r="AL2375" i="2" s="1"/>
  <c r="AC2376" i="2"/>
  <c r="AL2376" i="2" s="1"/>
  <c r="AC2377" i="2"/>
  <c r="AL2377" i="2" s="1"/>
  <c r="AC2378" i="2"/>
  <c r="AL2378" i="2" s="1"/>
  <c r="AC2379" i="2"/>
  <c r="AL2379" i="2" s="1"/>
  <c r="AC2380" i="2"/>
  <c r="AL2380" i="2" s="1"/>
  <c r="AC2383" i="2"/>
  <c r="AL2383" i="2" s="1"/>
  <c r="AC2384" i="2"/>
  <c r="AL2384" i="2" s="1"/>
  <c r="AC2385" i="2"/>
  <c r="AL2385" i="2" s="1"/>
  <c r="AC2386" i="2"/>
  <c r="AL2386" i="2" s="1"/>
  <c r="AC2387" i="2"/>
  <c r="AL2387" i="2" s="1"/>
  <c r="AC2388" i="2"/>
  <c r="AL2388" i="2" s="1"/>
  <c r="AC2391" i="2"/>
  <c r="AL2391" i="2" s="1"/>
  <c r="AC2392" i="2"/>
  <c r="AL2392" i="2" s="1"/>
  <c r="AC2393" i="2"/>
  <c r="AL2393" i="2" s="1"/>
  <c r="AC2394" i="2"/>
  <c r="AL2394" i="2" s="1"/>
  <c r="AC2395" i="2"/>
  <c r="AL2395" i="2" s="1"/>
  <c r="AC2396" i="2"/>
  <c r="AL2396" i="2" s="1"/>
  <c r="AC2399" i="2"/>
  <c r="AL2399" i="2" s="1"/>
  <c r="AC2400" i="2"/>
  <c r="AL2400" i="2" s="1"/>
  <c r="AC2401" i="2"/>
  <c r="AL2401" i="2" s="1"/>
  <c r="AC2402" i="2"/>
  <c r="AL2402" i="2" s="1"/>
  <c r="AC2403" i="2"/>
  <c r="AL2403" i="2" s="1"/>
  <c r="AC2404" i="2"/>
  <c r="AL2404" i="2" s="1"/>
  <c r="AC2407" i="2"/>
  <c r="AL2407" i="2" s="1"/>
  <c r="AC2408" i="2"/>
  <c r="AL2408" i="2" s="1"/>
  <c r="AC2409" i="2"/>
  <c r="AL2409" i="2" s="1"/>
  <c r="AC2410" i="2"/>
  <c r="AL2410" i="2" s="1"/>
  <c r="AC2411" i="2"/>
  <c r="AL2411" i="2" s="1"/>
  <c r="AC2412" i="2"/>
  <c r="AL2412" i="2" s="1"/>
  <c r="AC2415" i="2"/>
  <c r="AL2415" i="2" s="1"/>
  <c r="AC2416" i="2"/>
  <c r="AL2416" i="2" s="1"/>
  <c r="AC2417" i="2"/>
  <c r="AL2417" i="2" s="1"/>
  <c r="AC2418" i="2"/>
  <c r="AL2418" i="2" s="1"/>
  <c r="AC2419" i="2"/>
  <c r="AL2419" i="2" s="1"/>
  <c r="AC2420" i="2"/>
  <c r="AL2420" i="2" s="1"/>
  <c r="AC2423" i="2"/>
  <c r="AL2423" i="2" s="1"/>
  <c r="AC2424" i="2"/>
  <c r="AL2424" i="2" s="1"/>
  <c r="AC2425" i="2"/>
  <c r="AL2425" i="2" s="1"/>
  <c r="AC2426" i="2"/>
  <c r="AL2426" i="2" s="1"/>
  <c r="AC2427" i="2"/>
  <c r="AL2427" i="2" s="1"/>
  <c r="N2427" i="2"/>
  <c r="N2426" i="2"/>
  <c r="N2425" i="2"/>
  <c r="N2424" i="2"/>
  <c r="N2423" i="2"/>
  <c r="AS2422" i="2"/>
  <c r="N2422" i="2"/>
  <c r="T2421" i="2"/>
  <c r="N2421" i="2"/>
  <c r="AU2420" i="2"/>
  <c r="N2420" i="2"/>
  <c r="N2419" i="2"/>
  <c r="N2418" i="2"/>
  <c r="U2417" i="2"/>
  <c r="N2417" i="2"/>
  <c r="N2416" i="2"/>
  <c r="N2415" i="2"/>
  <c r="N2414" i="2"/>
  <c r="N2413" i="2"/>
  <c r="N2412" i="2"/>
  <c r="AT2411" i="2"/>
  <c r="N2411" i="2"/>
  <c r="V2410" i="2"/>
  <c r="N2410" i="2"/>
  <c r="AT2409" i="2"/>
  <c r="N2409" i="2"/>
  <c r="N2408" i="2"/>
  <c r="N2407" i="2"/>
  <c r="N2406" i="2"/>
  <c r="N2405" i="2"/>
  <c r="V2404" i="2"/>
  <c r="N2404" i="2"/>
  <c r="N2403" i="2"/>
  <c r="N2402" i="2"/>
  <c r="N2401" i="2"/>
  <c r="AU2400" i="2"/>
  <c r="N2400" i="2"/>
  <c r="N2399" i="2"/>
  <c r="N2398" i="2"/>
  <c r="AU2397" i="2"/>
  <c r="N2397" i="2"/>
  <c r="N2396" i="2"/>
  <c r="N2395" i="2"/>
  <c r="Q2394" i="2"/>
  <c r="N2394" i="2"/>
  <c r="N2393" i="2"/>
  <c r="N2392" i="2"/>
  <c r="N2391" i="2"/>
  <c r="N2390" i="2"/>
  <c r="AR2389" i="2"/>
  <c r="N2389" i="2"/>
  <c r="N2388" i="2"/>
  <c r="AR2387" i="2"/>
  <c r="N2387" i="2"/>
  <c r="N2386" i="2"/>
  <c r="AR2385" i="2"/>
  <c r="N2385" i="2"/>
  <c r="N2384" i="2"/>
  <c r="N2383" i="2"/>
  <c r="N2382" i="2"/>
  <c r="N2381" i="2"/>
  <c r="N2380" i="2"/>
  <c r="N2379" i="2"/>
  <c r="AR2378" i="2"/>
  <c r="N2378" i="2"/>
  <c r="N2377" i="2"/>
  <c r="N2376" i="2"/>
  <c r="N2375" i="2"/>
  <c r="AS2374" i="2"/>
  <c r="N2374" i="2"/>
  <c r="N2373" i="2"/>
  <c r="N2372" i="2"/>
  <c r="N2371" i="2"/>
  <c r="N2370" i="2"/>
  <c r="N2369" i="2"/>
  <c r="N2368" i="2"/>
  <c r="N2367" i="2"/>
  <c r="AU2366" i="2"/>
  <c r="N2366" i="2"/>
  <c r="N2365" i="2"/>
  <c r="N2364" i="2"/>
  <c r="N2363" i="2"/>
  <c r="N2362" i="2"/>
  <c r="N2361" i="2"/>
  <c r="N2360" i="2"/>
  <c r="N2359" i="2"/>
  <c r="V2358" i="2"/>
  <c r="N2358" i="2"/>
  <c r="N2357" i="2"/>
  <c r="V2356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AU2344" i="2"/>
  <c r="N2344" i="2"/>
  <c r="N2343" i="2"/>
  <c r="N2342" i="2"/>
  <c r="N2341" i="2"/>
  <c r="U2340" i="2"/>
  <c r="N2340" i="2"/>
  <c r="N2339" i="2"/>
  <c r="N2338" i="2"/>
  <c r="N2337" i="2"/>
  <c r="AR2336" i="2"/>
  <c r="N2336" i="2"/>
  <c r="N2335" i="2"/>
  <c r="AS2334" i="2"/>
  <c r="N2334" i="2"/>
  <c r="AT2333" i="2"/>
  <c r="N2333" i="2"/>
  <c r="T2332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AR2313" i="2"/>
  <c r="N2313" i="2"/>
  <c r="N2312" i="2"/>
  <c r="AS2311" i="2"/>
  <c r="N2311" i="2"/>
  <c r="N2310" i="2"/>
  <c r="N2309" i="2"/>
  <c r="N2308" i="2"/>
  <c r="AU2307" i="2"/>
  <c r="N2307" i="2"/>
  <c r="N2306" i="2"/>
  <c r="N2305" i="2"/>
  <c r="N2304" i="2"/>
  <c r="N2303" i="2"/>
  <c r="N2302" i="2"/>
  <c r="V2301" i="2"/>
  <c r="N2301" i="2"/>
  <c r="N2300" i="2"/>
  <c r="N2299" i="2"/>
  <c r="N2298" i="2"/>
  <c r="AS2297" i="2"/>
  <c r="N2297" i="2"/>
  <c r="N2296" i="2"/>
  <c r="N2295" i="2"/>
  <c r="N2294" i="2"/>
  <c r="N2293" i="2"/>
  <c r="N2292" i="2"/>
  <c r="AU2291" i="2"/>
  <c r="N2291" i="2"/>
  <c r="N2290" i="2"/>
  <c r="AU2289" i="2"/>
  <c r="N2289" i="2"/>
  <c r="N2288" i="2"/>
  <c r="N2287" i="2"/>
  <c r="N2286" i="2"/>
  <c r="N2285" i="2"/>
  <c r="N2284" i="2"/>
  <c r="N2283" i="2"/>
  <c r="Q2282" i="2"/>
  <c r="N2282" i="2"/>
  <c r="N2281" i="2"/>
  <c r="N2280" i="2"/>
  <c r="N2279" i="2"/>
  <c r="N2278" i="2"/>
  <c r="AU2277" i="2"/>
  <c r="N2277" i="2"/>
  <c r="N2276" i="2"/>
  <c r="N2275" i="2"/>
  <c r="N2274" i="2"/>
  <c r="N2273" i="2"/>
  <c r="N2272" i="2"/>
  <c r="AS2271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AU2251" i="2"/>
  <c r="N2251" i="2"/>
  <c r="AR2250" i="2"/>
  <c r="N2250" i="2"/>
  <c r="N2249" i="2"/>
  <c r="N2248" i="2"/>
  <c r="AT2247" i="2"/>
  <c r="N2247" i="2"/>
  <c r="N2246" i="2"/>
  <c r="N2245" i="2"/>
  <c r="N2244" i="2"/>
  <c r="V2243" i="2"/>
  <c r="N2243" i="2"/>
  <c r="N2242" i="2"/>
  <c r="N2241" i="2"/>
  <c r="AT2240" i="2"/>
  <c r="N2240" i="2"/>
  <c r="N2239" i="2"/>
  <c r="N2238" i="2"/>
  <c r="N2237" i="2"/>
  <c r="AT2236" i="2"/>
  <c r="N2236" i="2"/>
  <c r="N2235" i="2"/>
  <c r="N2234" i="2"/>
  <c r="N2233" i="2"/>
  <c r="N2232" i="2"/>
  <c r="N2231" i="2"/>
  <c r="N2230" i="2"/>
  <c r="N2229" i="2"/>
  <c r="N2228" i="2"/>
  <c r="N2227" i="2"/>
  <c r="U2226" i="2"/>
  <c r="N2226" i="2"/>
  <c r="N2225" i="2"/>
  <c r="N2224" i="2"/>
  <c r="N2223" i="2"/>
  <c r="N2222" i="2"/>
  <c r="N2221" i="2"/>
  <c r="N2220" i="2"/>
  <c r="N2219" i="2"/>
  <c r="N2218" i="2"/>
  <c r="Q2217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AT2195" i="2"/>
  <c r="N2195" i="2"/>
  <c r="N2194" i="2"/>
  <c r="N2193" i="2"/>
  <c r="N2192" i="2"/>
  <c r="AT2191" i="2"/>
  <c r="N2191" i="2"/>
  <c r="N2190" i="2"/>
  <c r="N2189" i="2"/>
  <c r="N2188" i="2"/>
  <c r="N2187" i="2"/>
  <c r="V2186" i="2"/>
  <c r="N2186" i="2"/>
  <c r="N2185" i="2"/>
  <c r="N2184" i="2"/>
  <c r="N2183" i="2"/>
  <c r="N2182" i="2"/>
  <c r="N2181" i="2"/>
  <c r="AU2180" i="2"/>
  <c r="N2180" i="2"/>
  <c r="AT2179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AT2163" i="2"/>
  <c r="N2163" i="2"/>
  <c r="AU2162" i="2"/>
  <c r="N2162" i="2"/>
  <c r="N2161" i="2"/>
  <c r="N2160" i="2"/>
  <c r="AR2159" i="2"/>
  <c r="N2159" i="2"/>
  <c r="N2158" i="2"/>
  <c r="N2157" i="2"/>
  <c r="N2156" i="2"/>
  <c r="N2155" i="2"/>
  <c r="Q2154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AT2135" i="2"/>
  <c r="N2135" i="2"/>
  <c r="N2134" i="2"/>
  <c r="N2133" i="2"/>
  <c r="N2132" i="2"/>
  <c r="N2131" i="2"/>
  <c r="N2130" i="2"/>
  <c r="N2129" i="2"/>
  <c r="N2128" i="2"/>
  <c r="N2127" i="2"/>
  <c r="N2126" i="2"/>
  <c r="AR2125" i="2"/>
  <c r="N2125" i="2"/>
  <c r="N2124" i="2"/>
  <c r="N2123" i="2"/>
  <c r="N2122" i="2"/>
  <c r="N2121" i="2"/>
  <c r="T2120" i="2"/>
  <c r="N2120" i="2"/>
  <c r="N2119" i="2"/>
  <c r="N2118" i="2"/>
  <c r="AT2117" i="2"/>
  <c r="N2117" i="2"/>
  <c r="N2116" i="2"/>
  <c r="N2115" i="2"/>
  <c r="N2114" i="2"/>
  <c r="N2113" i="2"/>
  <c r="N2112" i="2"/>
  <c r="AR2111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V2088" i="2"/>
  <c r="N2088" i="2"/>
  <c r="N2087" i="2"/>
  <c r="N2086" i="2"/>
  <c r="AT2085" i="2"/>
  <c r="N2085" i="2"/>
  <c r="N2084" i="2"/>
  <c r="N2083" i="2"/>
  <c r="N2082" i="2"/>
  <c r="N2081" i="2"/>
  <c r="N2080" i="2"/>
  <c r="N2079" i="2"/>
  <c r="N2078" i="2"/>
  <c r="AR2077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V2054" i="2"/>
  <c r="N2054" i="2"/>
  <c r="N2053" i="2"/>
  <c r="N2052" i="2"/>
  <c r="N2051" i="2"/>
  <c r="N2050" i="2"/>
  <c r="N2049" i="2"/>
  <c r="N2048" i="2"/>
  <c r="N2047" i="2"/>
  <c r="AS2046" i="2"/>
  <c r="N2046" i="2"/>
  <c r="N2045" i="2"/>
  <c r="N2044" i="2"/>
  <c r="N2043" i="2"/>
  <c r="N2042" i="2"/>
  <c r="Q2041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AR2003" i="2"/>
  <c r="N2003" i="2"/>
  <c r="N2002" i="2"/>
  <c r="AR2001" i="2"/>
  <c r="N2001" i="2"/>
  <c r="N2000" i="2"/>
  <c r="T1999" i="2"/>
  <c r="N1999" i="2"/>
  <c r="AU1998" i="2"/>
  <c r="N1998" i="2"/>
  <c r="AT1997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AU1985" i="2"/>
  <c r="N1985" i="2"/>
  <c r="N1984" i="2"/>
  <c r="N1983" i="2"/>
  <c r="N1982" i="2"/>
  <c r="AU1981" i="2"/>
  <c r="N1981" i="2"/>
  <c r="N1980" i="2"/>
  <c r="N1979" i="2"/>
  <c r="N1978" i="2"/>
  <c r="N1977" i="2"/>
  <c r="N1976" i="2"/>
  <c r="N1975" i="2"/>
  <c r="N1974" i="2"/>
  <c r="AT1973" i="2"/>
  <c r="N1973" i="2"/>
  <c r="N1972" i="2"/>
  <c r="N1971" i="2"/>
  <c r="N1970" i="2"/>
  <c r="AT1969" i="2"/>
  <c r="N1969" i="2"/>
  <c r="N1968" i="2"/>
  <c r="N1967" i="2"/>
  <c r="N1966" i="2"/>
  <c r="N1965" i="2"/>
  <c r="N1964" i="2"/>
  <c r="N1963" i="2"/>
  <c r="U1962" i="2"/>
  <c r="N1962" i="2"/>
  <c r="N1961" i="2"/>
  <c r="T1960" i="2"/>
  <c r="N1960" i="2"/>
  <c r="N1959" i="2"/>
  <c r="N1958" i="2"/>
  <c r="AT1957" i="2"/>
  <c r="N1957" i="2"/>
  <c r="N1956" i="2"/>
  <c r="N1955" i="2"/>
  <c r="N1954" i="2"/>
  <c r="AT1953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V1938" i="2"/>
  <c r="N1938" i="2"/>
  <c r="AT1937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AT1909" i="2"/>
  <c r="N1909" i="2"/>
  <c r="N1908" i="2"/>
  <c r="N1907" i="2"/>
  <c r="N1906" i="2"/>
  <c r="N1905" i="2"/>
  <c r="N1904" i="2"/>
  <c r="N1903" i="2"/>
  <c r="N1902" i="2"/>
  <c r="AT1901" i="2"/>
  <c r="N1901" i="2"/>
  <c r="N1900" i="2"/>
  <c r="N1899" i="2"/>
  <c r="N1898" i="2"/>
  <c r="N1897" i="2"/>
  <c r="N1896" i="2"/>
  <c r="N1895" i="2"/>
  <c r="N1894" i="2"/>
  <c r="AT1893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AT1877" i="2"/>
  <c r="N1877" i="2"/>
  <c r="N1876" i="2"/>
  <c r="AR1875" i="2"/>
  <c r="N1875" i="2"/>
  <c r="N1874" i="2"/>
  <c r="AR1873" i="2"/>
  <c r="N1873" i="2"/>
  <c r="N1872" i="2"/>
  <c r="AR1871" i="2"/>
  <c r="N1871" i="2"/>
  <c r="N1870" i="2"/>
  <c r="N1869" i="2"/>
  <c r="N1868" i="2"/>
  <c r="N1867" i="2"/>
  <c r="U1866" i="2"/>
  <c r="N1866" i="2"/>
  <c r="N1865" i="2"/>
  <c r="N1864" i="2"/>
  <c r="N1863" i="2"/>
  <c r="N1862" i="2"/>
  <c r="N1861" i="2"/>
  <c r="N1860" i="2"/>
  <c r="N1859" i="2"/>
  <c r="N1858" i="2"/>
  <c r="N1857" i="2"/>
  <c r="N1856" i="2"/>
  <c r="AR1855" i="2"/>
  <c r="N1855" i="2"/>
  <c r="N1854" i="2"/>
  <c r="AT1853" i="2"/>
  <c r="N1853" i="2"/>
  <c r="N1852" i="2"/>
  <c r="N1851" i="2"/>
  <c r="N1850" i="2"/>
  <c r="N1849" i="2"/>
  <c r="N1848" i="2"/>
  <c r="N1847" i="2"/>
  <c r="N1846" i="2"/>
  <c r="T1845" i="2"/>
  <c r="N1845" i="2"/>
  <c r="N1844" i="2"/>
  <c r="AT1843" i="2"/>
  <c r="N1843" i="2"/>
  <c r="N1842" i="2"/>
  <c r="N1841" i="2"/>
  <c r="AU1840" i="2"/>
  <c r="N1840" i="2"/>
  <c r="N1839" i="2"/>
  <c r="N1838" i="2"/>
  <c r="N1837" i="2"/>
  <c r="AU1836" i="2"/>
  <c r="N1836" i="2"/>
  <c r="AR1835" i="2"/>
  <c r="N1835" i="2"/>
  <c r="N1834" i="2"/>
  <c r="N1833" i="2"/>
  <c r="N1832" i="2"/>
  <c r="N1831" i="2"/>
  <c r="AT1830" i="2"/>
  <c r="N1830" i="2"/>
  <c r="N1829" i="2"/>
  <c r="AT1828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AS1811" i="2"/>
  <c r="N1811" i="2"/>
  <c r="N1810" i="2"/>
  <c r="N1809" i="2"/>
  <c r="N1808" i="2"/>
  <c r="N1807" i="2"/>
  <c r="N1806" i="2"/>
  <c r="N1805" i="2"/>
  <c r="N1804" i="2"/>
  <c r="N1803" i="2"/>
  <c r="N1802" i="2"/>
  <c r="AT1801" i="2"/>
  <c r="N1801" i="2"/>
  <c r="N1800" i="2"/>
  <c r="N1799" i="2"/>
  <c r="AT1798" i="2"/>
  <c r="N1798" i="2"/>
  <c r="N1797" i="2"/>
  <c r="AS1796" i="2"/>
  <c r="N1796" i="2"/>
  <c r="AS1795" i="2"/>
  <c r="N1795" i="2"/>
  <c r="AU1794" i="2"/>
  <c r="N1794" i="2"/>
  <c r="N1793" i="2"/>
  <c r="N1792" i="2"/>
  <c r="N1791" i="2"/>
  <c r="AU1790" i="2"/>
  <c r="N1790" i="2"/>
  <c r="N1789" i="2"/>
  <c r="N1788" i="2"/>
  <c r="N1787" i="2"/>
  <c r="AT1786" i="2"/>
  <c r="N1786" i="2"/>
  <c r="N1785" i="2"/>
  <c r="N1784" i="2"/>
  <c r="N1783" i="2"/>
  <c r="U1782" i="2"/>
  <c r="N1782" i="2"/>
  <c r="N1781" i="2"/>
  <c r="T1780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AT1755" i="2"/>
  <c r="N1755" i="2"/>
  <c r="N1754" i="2"/>
  <c r="N1753" i="2"/>
  <c r="N1752" i="2"/>
  <c r="N1751" i="2"/>
  <c r="N1750" i="2"/>
  <c r="N1749" i="2"/>
  <c r="N1748" i="2"/>
  <c r="N1747" i="2"/>
  <c r="N1746" i="2"/>
  <c r="AU1745" i="2"/>
  <c r="N1745" i="2"/>
  <c r="AU1744" i="2"/>
  <c r="N1744" i="2"/>
  <c r="N1743" i="2"/>
  <c r="N1742" i="2"/>
  <c r="N1741" i="2"/>
  <c r="N1740" i="2"/>
  <c r="AS1739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V1698" i="2"/>
  <c r="N1698" i="2"/>
  <c r="N1697" i="2"/>
  <c r="N1696" i="2"/>
  <c r="N1695" i="2"/>
  <c r="N1694" i="2"/>
  <c r="N1693" i="2"/>
  <c r="N1692" i="2"/>
  <c r="N1691" i="2"/>
  <c r="AS1690" i="2"/>
  <c r="N1690" i="2"/>
  <c r="N1689" i="2"/>
  <c r="T1688" i="2"/>
  <c r="N1688" i="2"/>
  <c r="N1687" i="2"/>
  <c r="N1686" i="2"/>
  <c r="N1685" i="2"/>
  <c r="AS1684" i="2"/>
  <c r="N1684" i="2"/>
  <c r="N1683" i="2"/>
  <c r="N1682" i="2"/>
  <c r="N1681" i="2"/>
  <c r="N1680" i="2"/>
  <c r="N1679" i="2"/>
  <c r="N1678" i="2"/>
  <c r="N1677" i="2"/>
  <c r="N1676" i="2"/>
  <c r="N1675" i="2"/>
  <c r="AS1674" i="2"/>
  <c r="N1674" i="2"/>
  <c r="N1673" i="2"/>
  <c r="AU1672" i="2"/>
  <c r="N1672" i="2"/>
  <c r="N1671" i="2"/>
  <c r="N1670" i="2"/>
  <c r="N1669" i="2"/>
  <c r="N1668" i="2"/>
  <c r="Q1667" i="2"/>
  <c r="N1667" i="2"/>
  <c r="N1666" i="2"/>
  <c r="N1665" i="2"/>
  <c r="N1664" i="2"/>
  <c r="N1663" i="2"/>
  <c r="N1662" i="2"/>
  <c r="N1661" i="2"/>
  <c r="N1660" i="2"/>
  <c r="AR1659" i="2"/>
  <c r="N1659" i="2"/>
  <c r="N1658" i="2"/>
  <c r="N1657" i="2"/>
  <c r="AU1656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U1640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AU1628" i="2"/>
  <c r="N1628" i="2"/>
  <c r="N1627" i="2"/>
  <c r="N1626" i="2"/>
  <c r="N1625" i="2"/>
  <c r="AS1624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Q1608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AU1596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AR1583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U1567" i="2"/>
  <c r="N1567" i="2"/>
  <c r="N1566" i="2"/>
  <c r="N1565" i="2"/>
  <c r="N1564" i="2"/>
  <c r="AR1563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AT1525" i="2"/>
  <c r="N1525" i="2"/>
  <c r="N1524" i="2"/>
  <c r="N1523" i="2"/>
  <c r="N1522" i="2"/>
  <c r="N1521" i="2"/>
  <c r="N1520" i="2"/>
  <c r="N1519" i="2"/>
  <c r="N1518" i="2"/>
  <c r="N1517" i="2"/>
  <c r="V1516" i="2"/>
  <c r="N1516" i="2"/>
  <c r="N1515" i="2"/>
  <c r="N1514" i="2"/>
  <c r="AS1513" i="2"/>
  <c r="N1513" i="2"/>
  <c r="N1512" i="2"/>
  <c r="N1511" i="2"/>
  <c r="V1510" i="2"/>
  <c r="N1510" i="2"/>
  <c r="Q1509" i="2"/>
  <c r="N1509" i="2"/>
  <c r="AR1508" i="2"/>
  <c r="N1508" i="2"/>
  <c r="N1507" i="2"/>
  <c r="V1506" i="2"/>
  <c r="N1506" i="2"/>
  <c r="N1505" i="2"/>
  <c r="N1504" i="2"/>
  <c r="N1503" i="2"/>
  <c r="N1502" i="2"/>
  <c r="AS1501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Q1475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Q1356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T1324" i="2"/>
  <c r="N1324" i="2"/>
  <c r="N1323" i="2"/>
  <c r="N1322" i="2"/>
  <c r="AT1321" i="2"/>
  <c r="N1321" i="2"/>
  <c r="AU1320" i="2"/>
  <c r="N1320" i="2"/>
  <c r="N1319" i="2"/>
  <c r="N1318" i="2"/>
  <c r="N1317" i="2"/>
  <c r="AU1316" i="2"/>
  <c r="N1316" i="2"/>
  <c r="N1315" i="2"/>
  <c r="N1314" i="2"/>
  <c r="N1313" i="2"/>
  <c r="N1312" i="2"/>
  <c r="N1311" i="2"/>
  <c r="N1310" i="2"/>
  <c r="N1309" i="2"/>
  <c r="T1308" i="2"/>
  <c r="N1308" i="2"/>
  <c r="N1307" i="2"/>
  <c r="N1306" i="2"/>
  <c r="N1305" i="2"/>
  <c r="N1304" i="2"/>
  <c r="N1303" i="2"/>
  <c r="N1302" i="2"/>
  <c r="N1301" i="2"/>
  <c r="N1300" i="2"/>
  <c r="N1299" i="2"/>
  <c r="N1298" i="2"/>
  <c r="AT1297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AU1283" i="2"/>
  <c r="N1283" i="2"/>
  <c r="N1282" i="2"/>
  <c r="N1281" i="2"/>
  <c r="N1280" i="2"/>
  <c r="AT1279" i="2"/>
  <c r="N1279" i="2"/>
  <c r="N1278" i="2"/>
  <c r="N1277" i="2"/>
  <c r="N1276" i="2"/>
  <c r="N1275" i="2"/>
  <c r="AT1274" i="2"/>
  <c r="N1274" i="2"/>
  <c r="N1273" i="2"/>
  <c r="N1272" i="2"/>
  <c r="N1271" i="2"/>
  <c r="N1270" i="2"/>
  <c r="N1269" i="2"/>
  <c r="N1268" i="2"/>
  <c r="AU1267" i="2"/>
  <c r="N1267" i="2"/>
  <c r="N1266" i="2"/>
  <c r="N1265" i="2"/>
  <c r="N1264" i="2"/>
  <c r="T1263" i="2"/>
  <c r="N1263" i="2"/>
  <c r="N1262" i="2"/>
  <c r="N1261" i="2"/>
  <c r="N1260" i="2"/>
  <c r="N1259" i="2"/>
  <c r="N1258" i="2"/>
  <c r="N1257" i="2"/>
  <c r="AS1256" i="2"/>
  <c r="N1256" i="2"/>
  <c r="N1255" i="2"/>
  <c r="N1254" i="2"/>
  <c r="N1253" i="2"/>
  <c r="N1252" i="2"/>
  <c r="N1251" i="2"/>
  <c r="N1250" i="2"/>
  <c r="AT1249" i="2"/>
  <c r="N1249" i="2"/>
  <c r="N1248" i="2"/>
  <c r="N1247" i="2"/>
  <c r="N1246" i="2"/>
  <c r="N1245" i="2"/>
  <c r="N1244" i="2"/>
  <c r="N1243" i="2"/>
  <c r="AU1242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AU1229" i="2"/>
  <c r="N1229" i="2"/>
  <c r="N1228" i="2"/>
  <c r="N1227" i="2"/>
  <c r="AT1226" i="2"/>
  <c r="N1226" i="2"/>
  <c r="N1225" i="2"/>
  <c r="N1224" i="2"/>
  <c r="N1223" i="2"/>
  <c r="N1222" i="2"/>
  <c r="N1221" i="2"/>
  <c r="N1220" i="2"/>
  <c r="N1219" i="2"/>
  <c r="AT1218" i="2"/>
  <c r="N1218" i="2"/>
  <c r="N1217" i="2"/>
  <c r="AR1216" i="2"/>
  <c r="N1216" i="2"/>
  <c r="N1215" i="2"/>
  <c r="N1214" i="2"/>
  <c r="N1213" i="2"/>
  <c r="N1212" i="2"/>
  <c r="N1211" i="2"/>
  <c r="N1210" i="2"/>
  <c r="N1209" i="2"/>
  <c r="AS1208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AT1180" i="2"/>
  <c r="N1180" i="2"/>
  <c r="N1179" i="2"/>
  <c r="N1178" i="2"/>
  <c r="N1177" i="2"/>
  <c r="AR1176" i="2"/>
  <c r="N1176" i="2"/>
  <c r="N1175" i="2"/>
  <c r="AR1174" i="2"/>
  <c r="N1174" i="2"/>
  <c r="N1173" i="2"/>
  <c r="N1172" i="2"/>
  <c r="AU1171" i="2"/>
  <c r="N1171" i="2"/>
  <c r="N1170" i="2"/>
  <c r="N1169" i="2"/>
  <c r="N1168" i="2"/>
  <c r="N1167" i="2"/>
  <c r="N1166" i="2"/>
  <c r="N1165" i="2"/>
  <c r="AT1164" i="2"/>
  <c r="N1164" i="2"/>
  <c r="N1163" i="2"/>
  <c r="N1162" i="2"/>
  <c r="N1161" i="2"/>
  <c r="N1160" i="2"/>
  <c r="N1159" i="2"/>
  <c r="N1158" i="2"/>
  <c r="N1157" i="2"/>
  <c r="N1156" i="2"/>
  <c r="N1155" i="2"/>
  <c r="AT1154" i="2"/>
  <c r="N1154" i="2"/>
  <c r="N1153" i="2"/>
  <c r="N1152" i="2"/>
  <c r="N1151" i="2"/>
  <c r="N1150" i="2"/>
  <c r="N1149" i="2"/>
  <c r="AT1148" i="2"/>
  <c r="N1148" i="2"/>
  <c r="AR1147" i="2"/>
  <c r="N1147" i="2"/>
  <c r="N1146" i="2"/>
  <c r="N1145" i="2"/>
  <c r="N1144" i="2"/>
  <c r="AR1143" i="2"/>
  <c r="N1143" i="2"/>
  <c r="N1142" i="2"/>
  <c r="N1141" i="2"/>
  <c r="AT1140" i="2"/>
  <c r="N1140" i="2"/>
  <c r="N1139" i="2"/>
  <c r="AT1138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U1122" i="2"/>
  <c r="N1122" i="2"/>
  <c r="N1121" i="2"/>
  <c r="AR1120" i="2"/>
  <c r="N1120" i="2"/>
  <c r="N1119" i="2"/>
  <c r="T1118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AU1101" i="2"/>
  <c r="N1101" i="2"/>
  <c r="N1100" i="2"/>
  <c r="T1099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AT1082" i="2"/>
  <c r="N1082" i="2"/>
  <c r="N1081" i="2"/>
  <c r="N1080" i="2"/>
  <c r="N1079" i="2"/>
  <c r="N1078" i="2"/>
  <c r="N1077" i="2"/>
  <c r="N1076" i="2"/>
  <c r="AU1075" i="2"/>
  <c r="N1075" i="2"/>
  <c r="N1074" i="2"/>
  <c r="N1073" i="2"/>
  <c r="N1072" i="2"/>
  <c r="N1071" i="2"/>
  <c r="N1070" i="2"/>
  <c r="N1069" i="2"/>
  <c r="N1068" i="2"/>
  <c r="T1067" i="2"/>
  <c r="N1067" i="2"/>
  <c r="N1066" i="2"/>
  <c r="AS1065" i="2"/>
  <c r="N1065" i="2"/>
  <c r="N1064" i="2"/>
  <c r="AS1063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AT1041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T1022" i="2"/>
  <c r="N1022" i="2"/>
  <c r="N1021" i="2"/>
  <c r="N1020" i="2"/>
  <c r="N1019" i="2"/>
  <c r="N1018" i="2"/>
  <c r="N1017" i="2"/>
  <c r="N1016" i="2"/>
  <c r="N1015" i="2"/>
  <c r="AU1014" i="2"/>
  <c r="N1014" i="2"/>
  <c r="N1013" i="2"/>
  <c r="AT1012" i="2"/>
  <c r="N1012" i="2"/>
  <c r="N1011" i="2"/>
  <c r="N1010" i="2"/>
  <c r="N1009" i="2"/>
  <c r="AT1008" i="2"/>
  <c r="N1008" i="2"/>
  <c r="N1007" i="2"/>
  <c r="N1006" i="2"/>
  <c r="N1005" i="2"/>
  <c r="N1004" i="2"/>
  <c r="N1003" i="2"/>
  <c r="AU1002" i="2"/>
  <c r="N1002" i="2"/>
  <c r="AU1001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AU986" i="2"/>
  <c r="N986" i="2"/>
  <c r="AU985" i="2"/>
  <c r="N985" i="2"/>
  <c r="N984" i="2"/>
  <c r="N983" i="2"/>
  <c r="N982" i="2"/>
  <c r="N981" i="2"/>
  <c r="N980" i="2"/>
  <c r="N979" i="2"/>
  <c r="N978" i="2"/>
  <c r="N977" i="2"/>
  <c r="Q976" i="2"/>
  <c r="N976" i="2"/>
  <c r="AS975" i="2"/>
  <c r="N975" i="2"/>
  <c r="N974" i="2"/>
  <c r="N973" i="2"/>
  <c r="N972" i="2"/>
  <c r="AR971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AU951" i="2"/>
  <c r="N951" i="2"/>
  <c r="N950" i="2"/>
  <c r="N949" i="2"/>
  <c r="N948" i="2"/>
  <c r="N947" i="2"/>
  <c r="N946" i="2"/>
  <c r="N945" i="2"/>
  <c r="U944" i="2"/>
  <c r="N944" i="2"/>
  <c r="N943" i="2"/>
  <c r="N942" i="2"/>
  <c r="N941" i="2"/>
  <c r="N940" i="2"/>
  <c r="N939" i="2"/>
  <c r="N938" i="2"/>
  <c r="N937" i="2"/>
  <c r="N936" i="2"/>
  <c r="AU935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AR923" i="2"/>
  <c r="N923" i="2"/>
  <c r="N922" i="2"/>
  <c r="AS921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AU903" i="2"/>
  <c r="N903" i="2"/>
  <c r="N902" i="2"/>
  <c r="N901" i="2"/>
  <c r="N900" i="2"/>
  <c r="Q899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AU887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AU855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AR840" i="2"/>
  <c r="N840" i="2"/>
  <c r="AU839" i="2"/>
  <c r="N839" i="2"/>
  <c r="N838" i="2"/>
  <c r="N837" i="2"/>
  <c r="N836" i="2"/>
  <c r="N835" i="2"/>
  <c r="N834" i="2"/>
  <c r="N833" i="2"/>
  <c r="Q832" i="2"/>
  <c r="N832" i="2"/>
  <c r="N831" i="2"/>
  <c r="N830" i="2"/>
  <c r="N829" i="2"/>
  <c r="N828" i="2"/>
  <c r="N827" i="2"/>
  <c r="N826" i="2"/>
  <c r="N825" i="2"/>
  <c r="N824" i="2"/>
  <c r="AU823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V799" i="2"/>
  <c r="N799" i="2"/>
  <c r="N798" i="2"/>
  <c r="T797" i="2"/>
  <c r="N797" i="2"/>
  <c r="N796" i="2"/>
  <c r="N795" i="2"/>
  <c r="N794" i="2"/>
  <c r="N793" i="2"/>
  <c r="N792" i="2"/>
  <c r="N791" i="2"/>
  <c r="N790" i="2"/>
  <c r="N789" i="2"/>
  <c r="N788" i="2"/>
  <c r="N787" i="2"/>
  <c r="AT786" i="2"/>
  <c r="N786" i="2"/>
  <c r="AS785" i="2"/>
  <c r="N785" i="2"/>
  <c r="N784" i="2"/>
  <c r="N783" i="2"/>
  <c r="N782" i="2"/>
  <c r="N781" i="2"/>
  <c r="N780" i="2"/>
  <c r="V779" i="2"/>
  <c r="N779" i="2"/>
  <c r="N778" i="2"/>
  <c r="N777" i="2"/>
  <c r="Q776" i="2"/>
  <c r="N776" i="2"/>
  <c r="N775" i="2"/>
  <c r="N774" i="2"/>
  <c r="AS773" i="2"/>
  <c r="N773" i="2"/>
  <c r="N772" i="2"/>
  <c r="N771" i="2"/>
  <c r="AT770" i="2"/>
  <c r="N770" i="2"/>
  <c r="N769" i="2"/>
  <c r="N768" i="2"/>
  <c r="N767" i="2"/>
  <c r="N766" i="2"/>
  <c r="N765" i="2"/>
  <c r="N764" i="2"/>
  <c r="N763" i="2"/>
  <c r="AT762" i="2"/>
  <c r="N762" i="2"/>
  <c r="N761" i="2"/>
  <c r="N760" i="2"/>
  <c r="N759" i="2"/>
  <c r="N758" i="2"/>
  <c r="N757" i="2"/>
  <c r="N756" i="2"/>
  <c r="N755" i="2"/>
  <c r="Q754" i="2"/>
  <c r="N754" i="2"/>
  <c r="N753" i="2"/>
  <c r="AT752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AS736" i="2"/>
  <c r="N736" i="2"/>
  <c r="N735" i="2"/>
  <c r="AU734" i="2"/>
  <c r="N734" i="2"/>
  <c r="AU733" i="2"/>
  <c r="N733" i="2"/>
  <c r="N732" i="2"/>
  <c r="N731" i="2"/>
  <c r="N730" i="2"/>
  <c r="N729" i="2"/>
  <c r="N728" i="2"/>
  <c r="N727" i="2"/>
  <c r="N726" i="2"/>
  <c r="AU725" i="2"/>
  <c r="N725" i="2"/>
  <c r="N724" i="2"/>
  <c r="N723" i="2"/>
  <c r="N722" i="2"/>
  <c r="N721" i="2"/>
  <c r="AS720" i="2"/>
  <c r="N720" i="2"/>
  <c r="N719" i="2"/>
  <c r="N718" i="2"/>
  <c r="N717" i="2"/>
  <c r="N716" i="2"/>
  <c r="N715" i="2"/>
  <c r="N714" i="2"/>
  <c r="N713" i="2"/>
  <c r="N712" i="2"/>
  <c r="N711" i="2"/>
  <c r="N710" i="2"/>
  <c r="AU709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AR610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U534" i="2"/>
  <c r="N534" i="2"/>
  <c r="N533" i="2"/>
  <c r="N532" i="2"/>
  <c r="N531" i="2"/>
  <c r="N530" i="2"/>
  <c r="AU529" i="2"/>
  <c r="N529" i="2"/>
  <c r="N528" i="2"/>
  <c r="N527" i="2"/>
  <c r="U526" i="2"/>
  <c r="N526" i="2"/>
  <c r="N525" i="2"/>
  <c r="N524" i="2"/>
  <c r="N523" i="2"/>
  <c r="N522" i="2"/>
  <c r="N521" i="2"/>
  <c r="N520" i="2"/>
  <c r="N519" i="2"/>
  <c r="N518" i="2"/>
  <c r="N517" i="2"/>
  <c r="N516" i="2"/>
  <c r="AR515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AU499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AS487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AU467" i="2"/>
  <c r="N467" i="2"/>
  <c r="N466" i="2"/>
  <c r="N465" i="2"/>
  <c r="N464" i="2"/>
  <c r="N463" i="2"/>
  <c r="N462" i="2"/>
  <c r="N461" i="2"/>
  <c r="AT460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AT448" i="2"/>
  <c r="N448" i="2"/>
  <c r="N447" i="2"/>
  <c r="N446" i="2"/>
  <c r="N445" i="2"/>
  <c r="N444" i="2"/>
  <c r="N443" i="2"/>
  <c r="AT442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AT426" i="2"/>
  <c r="N426" i="2"/>
  <c r="N425" i="2"/>
  <c r="N424" i="2"/>
  <c r="N423" i="2"/>
  <c r="N422" i="2"/>
  <c r="N421" i="2"/>
  <c r="N420" i="2"/>
  <c r="N419" i="2"/>
  <c r="AT418" i="2"/>
  <c r="N418" i="2"/>
  <c r="AT417" i="2"/>
  <c r="N417" i="2"/>
  <c r="N416" i="2"/>
  <c r="N415" i="2"/>
  <c r="N414" i="2"/>
  <c r="N413" i="2"/>
  <c r="N412" i="2"/>
  <c r="N411" i="2"/>
  <c r="AT410" i="2"/>
  <c r="N410" i="2"/>
  <c r="AT409" i="2"/>
  <c r="N409" i="2"/>
  <c r="N408" i="2"/>
  <c r="N407" i="2"/>
  <c r="N406" i="2"/>
  <c r="N405" i="2"/>
  <c r="N404" i="2"/>
  <c r="N403" i="2"/>
  <c r="AT402" i="2"/>
  <c r="N402" i="2"/>
  <c r="AT401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AT385" i="2"/>
  <c r="N385" i="2"/>
  <c r="N384" i="2"/>
  <c r="N383" i="2"/>
  <c r="N382" i="2"/>
  <c r="N381" i="2"/>
  <c r="N380" i="2"/>
  <c r="N379" i="2"/>
  <c r="AT378" i="2"/>
  <c r="N378" i="2"/>
  <c r="N377" i="2"/>
  <c r="N376" i="2"/>
  <c r="N375" i="2"/>
  <c r="N374" i="2"/>
  <c r="N373" i="2"/>
  <c r="N372" i="2"/>
  <c r="N371" i="2"/>
  <c r="AT370" i="2"/>
  <c r="N370" i="2"/>
  <c r="N369" i="2"/>
  <c r="N368" i="2"/>
  <c r="N367" i="2"/>
  <c r="N366" i="2"/>
  <c r="N365" i="2"/>
  <c r="N364" i="2"/>
  <c r="N363" i="2"/>
  <c r="N362" i="2"/>
  <c r="AT361" i="2"/>
  <c r="N361" i="2"/>
  <c r="N360" i="2"/>
  <c r="N359" i="2"/>
  <c r="N358" i="2"/>
  <c r="N357" i="2"/>
  <c r="N356" i="2"/>
  <c r="N355" i="2"/>
  <c r="AT354" i="2"/>
  <c r="N354" i="2"/>
  <c r="AT353" i="2"/>
  <c r="N353" i="2"/>
  <c r="N352" i="2"/>
  <c r="N351" i="2"/>
  <c r="N350" i="2"/>
  <c r="N349" i="2"/>
  <c r="N348" i="2"/>
  <c r="N347" i="2"/>
  <c r="AT346" i="2"/>
  <c r="N346" i="2"/>
  <c r="AT345" i="2"/>
  <c r="N345" i="2"/>
  <c r="N344" i="2"/>
  <c r="N343" i="2"/>
  <c r="N342" i="2"/>
  <c r="N341" i="2"/>
  <c r="N340" i="2"/>
  <c r="V339" i="2"/>
  <c r="N339" i="2"/>
  <c r="N338" i="2"/>
  <c r="N337" i="2"/>
  <c r="N336" i="2"/>
  <c r="N335" i="2"/>
  <c r="N334" i="2"/>
  <c r="N333" i="2"/>
  <c r="N332" i="2"/>
  <c r="N331" i="2"/>
  <c r="AT330" i="2"/>
  <c r="N330" i="2"/>
  <c r="AU329" i="2"/>
  <c r="N329" i="2"/>
  <c r="N328" i="2"/>
  <c r="N327" i="2"/>
  <c r="N326" i="2"/>
  <c r="N325" i="2"/>
  <c r="N324" i="2"/>
  <c r="AU323" i="2"/>
  <c r="N323" i="2"/>
  <c r="N322" i="2"/>
  <c r="AU321" i="2"/>
  <c r="N321" i="2"/>
  <c r="N320" i="2"/>
  <c r="N319" i="2"/>
  <c r="N318" i="2"/>
  <c r="N317" i="2"/>
  <c r="N316" i="2"/>
  <c r="N315" i="2"/>
  <c r="N314" i="2"/>
  <c r="AU313" i="2"/>
  <c r="N313" i="2"/>
  <c r="Q312" i="2"/>
  <c r="N312" i="2"/>
  <c r="N311" i="2"/>
  <c r="N310" i="2"/>
  <c r="N309" i="2"/>
  <c r="N308" i="2"/>
  <c r="N307" i="2"/>
  <c r="N306" i="2"/>
  <c r="N305" i="2"/>
  <c r="N304" i="2"/>
  <c r="N303" i="2"/>
  <c r="N302" i="2"/>
  <c r="AU301" i="2"/>
  <c r="N301" i="2"/>
  <c r="N300" i="2"/>
  <c r="N299" i="2"/>
  <c r="N298" i="2"/>
  <c r="AU297" i="2"/>
  <c r="N297" i="2"/>
  <c r="N296" i="2"/>
  <c r="N295" i="2"/>
  <c r="N294" i="2"/>
  <c r="N293" i="2"/>
  <c r="N292" i="2"/>
  <c r="N291" i="2"/>
  <c r="Q290" i="2"/>
  <c r="N290" i="2"/>
  <c r="N289" i="2"/>
  <c r="AR288" i="2"/>
  <c r="N288" i="2"/>
  <c r="N287" i="2"/>
  <c r="N286" i="2"/>
  <c r="AU285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AR272" i="2"/>
  <c r="N272" i="2"/>
  <c r="N271" i="2"/>
  <c r="N270" i="2"/>
  <c r="AU269" i="2"/>
  <c r="N269" i="2"/>
  <c r="N268" i="2"/>
  <c r="N267" i="2"/>
  <c r="N266" i="2"/>
  <c r="N265" i="2"/>
  <c r="N264" i="2"/>
  <c r="AU263" i="2"/>
  <c r="N263" i="2"/>
  <c r="N262" i="2"/>
  <c r="N261" i="2"/>
  <c r="AS260" i="2"/>
  <c r="N260" i="2"/>
  <c r="N259" i="2"/>
  <c r="N258" i="2"/>
  <c r="N257" i="2"/>
  <c r="Q256" i="2"/>
  <c r="N256" i="2"/>
  <c r="N255" i="2"/>
  <c r="N254" i="2"/>
  <c r="N253" i="2"/>
  <c r="N252" i="2"/>
  <c r="V251" i="2"/>
  <c r="N251" i="2"/>
  <c r="N250" i="2"/>
  <c r="AU249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Q227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196" i="2"/>
  <c r="O196" i="2" s="1"/>
  <c r="N209" i="2"/>
  <c r="O209" i="2" s="1"/>
  <c r="U209" i="2" s="1"/>
  <c r="N193" i="2"/>
  <c r="O193" i="2" s="1"/>
  <c r="Q193" i="2" s="1"/>
  <c r="N179" i="2"/>
  <c r="O179" i="2" s="1"/>
  <c r="U179" i="2" s="1"/>
  <c r="N201" i="2"/>
  <c r="O201" i="2" s="1"/>
  <c r="U201" i="2" s="1"/>
  <c r="N160" i="2"/>
  <c r="O160" i="2" s="1"/>
  <c r="T160" i="2" s="1"/>
  <c r="N117" i="2"/>
  <c r="O117" i="2" s="1"/>
  <c r="T117" i="2" s="1"/>
  <c r="N159" i="2"/>
  <c r="O159" i="2" s="1"/>
  <c r="Q159" i="2" s="1"/>
  <c r="N208" i="2"/>
  <c r="O208" i="2" s="1"/>
  <c r="Q208" i="2" s="1"/>
  <c r="N158" i="2"/>
  <c r="O158" i="2" s="1"/>
  <c r="U158" i="2" s="1"/>
  <c r="N153" i="2"/>
  <c r="O153" i="2" s="1"/>
  <c r="Q153" i="2" s="1"/>
  <c r="N152" i="2"/>
  <c r="O152" i="2" s="1"/>
  <c r="T152" i="2" s="1"/>
  <c r="N177" i="2"/>
  <c r="O177" i="2" s="1"/>
  <c r="U177" i="2" s="1"/>
  <c r="N151" i="2"/>
  <c r="O151" i="2" s="1"/>
  <c r="T151" i="2" s="1"/>
  <c r="N214" i="2"/>
  <c r="O214" i="2" s="1"/>
  <c r="Q214" i="2" s="1"/>
  <c r="N184" i="2"/>
  <c r="O184" i="2" s="1"/>
  <c r="Q184" i="2" s="1"/>
  <c r="N176" i="2"/>
  <c r="O176" i="2" s="1"/>
  <c r="U176" i="2" s="1"/>
  <c r="N213" i="2"/>
  <c r="O213" i="2" s="1"/>
  <c r="N150" i="2"/>
  <c r="O150" i="2" s="1"/>
  <c r="T150" i="2" s="1"/>
  <c r="N149" i="2"/>
  <c r="O149" i="2" s="1"/>
  <c r="U149" i="2" s="1"/>
  <c r="N142" i="2"/>
  <c r="O142" i="2" s="1"/>
  <c r="U142" i="2" s="1"/>
  <c r="N116" i="2"/>
  <c r="O116" i="2" s="1"/>
  <c r="Q116" i="2" s="1"/>
  <c r="N195" i="2"/>
  <c r="O195" i="2" s="1"/>
  <c r="U195" i="2" s="1"/>
  <c r="N175" i="2"/>
  <c r="O175" i="2" s="1"/>
  <c r="Q175" i="2" s="1"/>
  <c r="N128" i="2"/>
  <c r="O128" i="2" s="1"/>
  <c r="U128" i="2" s="1"/>
  <c r="N141" i="2"/>
  <c r="O141" i="2" s="1"/>
  <c r="U141" i="2" s="1"/>
  <c r="N174" i="2"/>
  <c r="O174" i="2" s="1"/>
  <c r="T174" i="2" s="1"/>
  <c r="N127" i="2"/>
  <c r="N183" i="2"/>
  <c r="O183" i="2" s="1"/>
  <c r="U183" i="2" s="1"/>
  <c r="N115" i="2"/>
  <c r="O115" i="2" s="1"/>
  <c r="U115" i="2" s="1"/>
  <c r="N200" i="2"/>
  <c r="O200" i="2" s="1"/>
  <c r="U200" i="2" s="1"/>
  <c r="N187" i="2"/>
  <c r="O187" i="2" s="1"/>
  <c r="T187" i="2" s="1"/>
  <c r="N199" i="2"/>
  <c r="O199" i="2" s="1"/>
  <c r="Q199" i="2" s="1"/>
  <c r="N207" i="2"/>
  <c r="O207" i="2" s="1"/>
  <c r="U207" i="2" s="1"/>
  <c r="N198" i="2"/>
  <c r="O198" i="2" s="1"/>
  <c r="U198" i="2" s="1"/>
  <c r="N212" i="2"/>
  <c r="O212" i="2" s="1"/>
  <c r="Q212" i="2" s="1"/>
  <c r="N157" i="2"/>
  <c r="O157" i="2" s="1"/>
  <c r="U157" i="2" s="1"/>
  <c r="N173" i="2"/>
  <c r="O173" i="2" s="1"/>
  <c r="U173" i="2" s="1"/>
  <c r="N172" i="2"/>
  <c r="O172" i="2" s="1"/>
  <c r="U172" i="2" s="1"/>
  <c r="N156" i="2"/>
  <c r="O156" i="2" s="1"/>
  <c r="Q156" i="2" s="1"/>
  <c r="N140" i="2"/>
  <c r="O140" i="2" s="1"/>
  <c r="T140" i="2" s="1"/>
  <c r="N178" i="2"/>
  <c r="O178" i="2" s="1"/>
  <c r="Q178" i="2" s="1"/>
  <c r="N197" i="2"/>
  <c r="O197" i="2" s="1"/>
  <c r="U197" i="2" s="1"/>
  <c r="N148" i="2"/>
  <c r="O148" i="2" s="1"/>
  <c r="Q148" i="2" s="1"/>
  <c r="N139" i="2"/>
  <c r="O139" i="2" s="1"/>
  <c r="U139" i="2" s="1"/>
  <c r="N182" i="2"/>
  <c r="O182" i="2" s="1"/>
  <c r="Q182" i="2" s="1"/>
  <c r="N181" i="2"/>
  <c r="O181" i="2" s="1"/>
  <c r="T181" i="2" s="1"/>
  <c r="N114" i="2"/>
  <c r="O114" i="2" s="1"/>
  <c r="U114" i="2" s="1"/>
  <c r="N180" i="2"/>
  <c r="O180" i="2" s="1"/>
  <c r="U180" i="2" s="1"/>
  <c r="N155" i="2"/>
  <c r="O155" i="2" s="1"/>
  <c r="N171" i="2"/>
  <c r="O171" i="2" s="1"/>
  <c r="Q171" i="2" s="1"/>
  <c r="N192" i="2"/>
  <c r="O192" i="2" s="1"/>
  <c r="N138" i="2"/>
  <c r="O138" i="2" s="1"/>
  <c r="U138" i="2" s="1"/>
  <c r="N126" i="2"/>
  <c r="O126" i="2" s="1"/>
  <c r="Q126" i="2" s="1"/>
  <c r="N147" i="2"/>
  <c r="O147" i="2" s="1"/>
  <c r="Q147" i="2" s="1"/>
  <c r="N146" i="2"/>
  <c r="O146" i="2" s="1"/>
  <c r="U146" i="2" s="1"/>
  <c r="N211" i="2"/>
  <c r="O211" i="2" s="1"/>
  <c r="T211" i="2" s="1"/>
  <c r="N206" i="2"/>
  <c r="O206" i="2" s="1"/>
  <c r="Q206" i="2" s="1"/>
  <c r="N205" i="2"/>
  <c r="O205" i="2" s="1"/>
  <c r="Q205" i="2" s="1"/>
  <c r="N92" i="2"/>
  <c r="O92" i="2" s="1"/>
  <c r="U92" i="2" s="1"/>
  <c r="N137" i="2"/>
  <c r="O137" i="2" s="1"/>
  <c r="T137" i="2" s="1"/>
  <c r="N113" i="2"/>
  <c r="O113" i="2" s="1"/>
  <c r="T113" i="2" s="1"/>
  <c r="N186" i="2"/>
  <c r="O186" i="2" s="1"/>
  <c r="Q186" i="2" s="1"/>
  <c r="N145" i="2"/>
  <c r="O145" i="2" s="1"/>
  <c r="Q145" i="2" s="1"/>
  <c r="N194" i="2"/>
  <c r="O194" i="2" s="1"/>
  <c r="U194" i="2" s="1"/>
  <c r="N136" i="2"/>
  <c r="O136" i="2" s="1"/>
  <c r="U136" i="2" s="1"/>
  <c r="N170" i="2"/>
  <c r="O170" i="2" s="1"/>
  <c r="T170" i="2" s="1"/>
  <c r="N169" i="2"/>
  <c r="O169" i="2" s="1"/>
  <c r="Q169" i="2" s="1"/>
  <c r="N168" i="2"/>
  <c r="O168" i="2" s="1"/>
  <c r="U168" i="2" s="1"/>
  <c r="N210" i="2"/>
  <c r="O210" i="2" s="1"/>
  <c r="Q210" i="2" s="1"/>
  <c r="N191" i="2"/>
  <c r="O191" i="2" s="1"/>
  <c r="Q191" i="2" s="1"/>
  <c r="N167" i="2"/>
  <c r="O167" i="2" s="1"/>
  <c r="T167" i="2" s="1"/>
  <c r="N166" i="2"/>
  <c r="O166" i="2" s="1"/>
  <c r="U166" i="2" s="1"/>
  <c r="N144" i="2"/>
  <c r="O144" i="2" s="1"/>
  <c r="T144" i="2" s="1"/>
  <c r="N165" i="2"/>
  <c r="O165" i="2" s="1"/>
  <c r="Q165" i="2" s="1"/>
  <c r="N135" i="2"/>
  <c r="O135" i="2" s="1"/>
  <c r="T135" i="2" s="1"/>
  <c r="N190" i="2"/>
  <c r="O190" i="2" s="1"/>
  <c r="U190" i="2" s="1"/>
  <c r="N143" i="2"/>
  <c r="O143" i="2" s="1"/>
  <c r="Q143" i="2" s="1"/>
  <c r="N185" i="2"/>
  <c r="O185" i="2" s="1"/>
  <c r="T185" i="2" s="1"/>
  <c r="N204" i="2"/>
  <c r="O204" i="2" s="1"/>
  <c r="Q204" i="2" s="1"/>
  <c r="N189" i="2"/>
  <c r="O189" i="2" s="1"/>
  <c r="N188" i="2"/>
  <c r="O188" i="2" s="1"/>
  <c r="Q188" i="2" s="1"/>
  <c r="N164" i="2"/>
  <c r="O164" i="2" s="1"/>
  <c r="T164" i="2" s="1"/>
  <c r="N112" i="2"/>
  <c r="O112" i="2" s="1"/>
  <c r="Q112" i="2" s="1"/>
  <c r="N111" i="2"/>
  <c r="O111" i="2" s="1"/>
  <c r="U111" i="2" s="1"/>
  <c r="N47" i="2"/>
  <c r="O47" i="2" s="1"/>
  <c r="T47" i="2" s="1"/>
  <c r="N82" i="2"/>
  <c r="O82" i="2" s="1"/>
  <c r="T82" i="2" s="1"/>
  <c r="N74" i="2"/>
  <c r="O74" i="2" s="1"/>
  <c r="T74" i="2" s="1"/>
  <c r="N110" i="2"/>
  <c r="O110" i="2" s="1"/>
  <c r="T110" i="2" s="1"/>
  <c r="N55" i="2"/>
  <c r="O55" i="2" s="1"/>
  <c r="N104" i="2"/>
  <c r="O104" i="2" s="1"/>
  <c r="T104" i="2" s="1"/>
  <c r="N121" i="2"/>
  <c r="O121" i="2" s="1"/>
  <c r="Q121" i="2" s="1"/>
  <c r="N120" i="2"/>
  <c r="O120" i="2" s="1"/>
  <c r="U120" i="2" s="1"/>
  <c r="AI263" i="2"/>
  <c r="AI271" i="2"/>
  <c r="AI287" i="2"/>
  <c r="AI303" i="2"/>
  <c r="AI311" i="2"/>
  <c r="AI327" i="2"/>
  <c r="AI335" i="2"/>
  <c r="AI447" i="2"/>
  <c r="AI463" i="2"/>
  <c r="AI471" i="2"/>
  <c r="AI475" i="2"/>
  <c r="AI479" i="2"/>
  <c r="AI487" i="2"/>
  <c r="AI491" i="2"/>
  <c r="AI499" i="2"/>
  <c r="AI507" i="2"/>
  <c r="AI527" i="2"/>
  <c r="AI531" i="2"/>
  <c r="AI535" i="2"/>
  <c r="AI539" i="2"/>
  <c r="AI567" i="2"/>
  <c r="AI583" i="2"/>
  <c r="AI595" i="2"/>
  <c r="AI599" i="2"/>
  <c r="AI615" i="2"/>
  <c r="AI619" i="2"/>
  <c r="AI643" i="2"/>
  <c r="AI651" i="2"/>
  <c r="AI663" i="2"/>
  <c r="AI216" i="2"/>
  <c r="AI240" i="2"/>
  <c r="AI244" i="2"/>
  <c r="AI248" i="2"/>
  <c r="AI252" i="2"/>
  <c r="AI256" i="2"/>
  <c r="AI264" i="2"/>
  <c r="AI272" i="2"/>
  <c r="AI280" i="2"/>
  <c r="AI320" i="2"/>
  <c r="AI328" i="2"/>
  <c r="AI336" i="2"/>
  <c r="AI384" i="2"/>
  <c r="AI392" i="2"/>
  <c r="AI440" i="2"/>
  <c r="AI448" i="2"/>
  <c r="AI456" i="2"/>
  <c r="AI496" i="2"/>
  <c r="AI504" i="2"/>
  <c r="AI512" i="2"/>
  <c r="AI560" i="2"/>
  <c r="AI568" i="2"/>
  <c r="AI576" i="2"/>
  <c r="AI616" i="2"/>
  <c r="AI624" i="2"/>
  <c r="AI632" i="2"/>
  <c r="AI233" i="2"/>
  <c r="AI241" i="2"/>
  <c r="AI249" i="2"/>
  <c r="AI257" i="2"/>
  <c r="AI265" i="2"/>
  <c r="AI273" i="2"/>
  <c r="AI281" i="2"/>
  <c r="AI289" i="2"/>
  <c r="AI297" i="2"/>
  <c r="AI305" i="2"/>
  <c r="AI313" i="2"/>
  <c r="AI321" i="2"/>
  <c r="AI329" i="2"/>
  <c r="AI337" i="2"/>
  <c r="AI345" i="2"/>
  <c r="AI353" i="2"/>
  <c r="AI361" i="2"/>
  <c r="AI369" i="2"/>
  <c r="AI377" i="2"/>
  <c r="AI385" i="2"/>
  <c r="AI393" i="2"/>
  <c r="AI401" i="2"/>
  <c r="AI409" i="2"/>
  <c r="AI417" i="2"/>
  <c r="AI425" i="2"/>
  <c r="AI429" i="2"/>
  <c r="AI433" i="2"/>
  <c r="AI441" i="2"/>
  <c r="AI449" i="2"/>
  <c r="AI457" i="2"/>
  <c r="AI465" i="2"/>
  <c r="AI473" i="2"/>
  <c r="AI489" i="2"/>
  <c r="AI497" i="2"/>
  <c r="AI513" i="2"/>
  <c r="AI521" i="2"/>
  <c r="AI529" i="2"/>
  <c r="AI537" i="2"/>
  <c r="AI545" i="2"/>
  <c r="AI561" i="2"/>
  <c r="AI577" i="2"/>
  <c r="AI593" i="2"/>
  <c r="AI609" i="2"/>
  <c r="AI625" i="2"/>
  <c r="AI641" i="2"/>
  <c r="AI657" i="2"/>
  <c r="AI242" i="2"/>
  <c r="AI246" i="2"/>
  <c r="AI254" i="2"/>
  <c r="AI262" i="2"/>
  <c r="AI270" i="2"/>
  <c r="AI278" i="2"/>
  <c r="AI282" i="2"/>
  <c r="AI286" i="2"/>
  <c r="AI294" i="2"/>
  <c r="AI302" i="2"/>
  <c r="AI310" i="2"/>
  <c r="AI318" i="2"/>
  <c r="AI322" i="2"/>
  <c r="AI326" i="2"/>
  <c r="AI334" i="2"/>
  <c r="AI342" i="2"/>
  <c r="AI350" i="2"/>
  <c r="AI358" i="2"/>
  <c r="AI366" i="2"/>
  <c r="AI374" i="2"/>
  <c r="AI382" i="2"/>
  <c r="AI390" i="2"/>
  <c r="AI398" i="2"/>
  <c r="AI406" i="2"/>
  <c r="AI414" i="2"/>
  <c r="AI422" i="2"/>
  <c r="AI430" i="2"/>
  <c r="AI438" i="2"/>
  <c r="AI446" i="2"/>
  <c r="AI454" i="2"/>
  <c r="AI462" i="2"/>
  <c r="AI466" i="2"/>
  <c r="AI470" i="2"/>
  <c r="AI474" i="2"/>
  <c r="AI478" i="2"/>
  <c r="AI486" i="2"/>
  <c r="AI494" i="2"/>
  <c r="AI498" i="2"/>
  <c r="AI502" i="2"/>
  <c r="AI506" i="2"/>
  <c r="AI510" i="2"/>
  <c r="AI518" i="2"/>
  <c r="AI526" i="2"/>
  <c r="AI530" i="2"/>
  <c r="AI534" i="2"/>
  <c r="AI538" i="2"/>
  <c r="AI683" i="2"/>
  <c r="AI695" i="2"/>
  <c r="AI755" i="2"/>
  <c r="AI767" i="2"/>
  <c r="AI803" i="2"/>
  <c r="AI819" i="2"/>
  <c r="AI823" i="2"/>
  <c r="AI827" i="2"/>
  <c r="AI843" i="2"/>
  <c r="AI859" i="2"/>
  <c r="AI891" i="2"/>
  <c r="AI899" i="2"/>
  <c r="AI935" i="2"/>
  <c r="AI939" i="2"/>
  <c r="AI951" i="2"/>
  <c r="AI1039" i="2"/>
  <c r="AI1191" i="2"/>
  <c r="AI1207" i="2"/>
  <c r="AI1251" i="2"/>
  <c r="AI1259" i="2"/>
  <c r="AI1291" i="2"/>
  <c r="AI1295" i="2"/>
  <c r="AI1315" i="2"/>
  <c r="AI1335" i="2"/>
  <c r="AI1339" i="2"/>
  <c r="AI1507" i="2"/>
  <c r="AI1515" i="2"/>
  <c r="AI1523" i="2"/>
  <c r="AI1527" i="2"/>
  <c r="AI1539" i="2"/>
  <c r="AI1571" i="2"/>
  <c r="AI1579" i="2"/>
  <c r="AI1739" i="2"/>
  <c r="AI1803" i="2"/>
  <c r="AI1835" i="2"/>
  <c r="AI1859" i="2"/>
  <c r="AI1883" i="2"/>
  <c r="AI1899" i="2"/>
  <c r="AI1907" i="2"/>
  <c r="AI1955" i="2"/>
  <c r="AI1971" i="2"/>
  <c r="AI1983" i="2"/>
  <c r="AI2067" i="2"/>
  <c r="AI2083" i="2"/>
  <c r="AI2171" i="2"/>
  <c r="AI2187" i="2"/>
  <c r="AI2307" i="2"/>
  <c r="AI2395" i="2"/>
  <c r="AI680" i="2"/>
  <c r="AI688" i="2"/>
  <c r="AI696" i="2"/>
  <c r="AI744" i="2"/>
  <c r="AI752" i="2"/>
  <c r="AI760" i="2"/>
  <c r="AI976" i="2"/>
  <c r="AI992" i="2"/>
  <c r="AI1004" i="2"/>
  <c r="AI1104" i="2"/>
  <c r="AI1112" i="2"/>
  <c r="AI1120" i="2"/>
  <c r="AI1168" i="2"/>
  <c r="AI1176" i="2"/>
  <c r="AI1184" i="2"/>
  <c r="AI1220" i="2"/>
  <c r="AI1224" i="2"/>
  <c r="AI1232" i="2"/>
  <c r="AI1240" i="2"/>
  <c r="AI1304" i="2"/>
  <c r="AI1320" i="2"/>
  <c r="AI1328" i="2"/>
  <c r="AI1408" i="2"/>
  <c r="AI1424" i="2"/>
  <c r="AI1440" i="2"/>
  <c r="AI1520" i="2"/>
  <c r="AI1536" i="2"/>
  <c r="AI1560" i="2"/>
  <c r="AI1624" i="2"/>
  <c r="AI1632" i="2"/>
  <c r="AI1640" i="2"/>
  <c r="AI1744" i="2"/>
  <c r="AI1760" i="2"/>
  <c r="AI1792" i="2"/>
  <c r="AI1872" i="2"/>
  <c r="AI1896" i="2"/>
  <c r="AI1960" i="2"/>
  <c r="AI2016" i="2"/>
  <c r="AI2176" i="2"/>
  <c r="AI2208" i="2"/>
  <c r="AI2296" i="2"/>
  <c r="AI2336" i="2"/>
  <c r="AI673" i="2"/>
  <c r="AI689" i="2"/>
  <c r="AI705" i="2"/>
  <c r="AI713" i="2"/>
  <c r="AI721" i="2"/>
  <c r="AI729" i="2"/>
  <c r="AI737" i="2"/>
  <c r="AI745" i="2"/>
  <c r="AI761" i="2"/>
  <c r="AI777" i="2"/>
  <c r="AI801" i="2"/>
  <c r="AI809" i="2"/>
  <c r="AI817" i="2"/>
  <c r="AI825" i="2"/>
  <c r="AI841" i="2"/>
  <c r="AI857" i="2"/>
  <c r="AI873" i="2"/>
  <c r="AI889" i="2"/>
  <c r="AI897" i="2"/>
  <c r="AI905" i="2"/>
  <c r="AI913" i="2"/>
  <c r="AI929" i="2"/>
  <c r="AI937" i="2"/>
  <c r="AI945" i="2"/>
  <c r="AI961" i="2"/>
  <c r="AI977" i="2"/>
  <c r="AI985" i="2"/>
  <c r="AI993" i="2"/>
  <c r="AI1001" i="2"/>
  <c r="AI1009" i="2"/>
  <c r="AI1017" i="2"/>
  <c r="AI1025" i="2"/>
  <c r="AI1033" i="2"/>
  <c r="AI1041" i="2"/>
  <c r="AI1049" i="2"/>
  <c r="AI1057" i="2"/>
  <c r="AI1065" i="2"/>
  <c r="AI1073" i="2"/>
  <c r="AI1081" i="2"/>
  <c r="AI1089" i="2"/>
  <c r="AI1097" i="2"/>
  <c r="AI1105" i="2"/>
  <c r="AI1113" i="2"/>
  <c r="AI1121" i="2"/>
  <c r="AI1129" i="2"/>
  <c r="AI1137" i="2"/>
  <c r="AI1145" i="2"/>
  <c r="AI1153" i="2"/>
  <c r="AI1161" i="2"/>
  <c r="AI1169" i="2"/>
  <c r="AI1177" i="2"/>
  <c r="AI1185" i="2"/>
  <c r="AI1201" i="2"/>
  <c r="AI1209" i="2"/>
  <c r="AI1217" i="2"/>
  <c r="AI1233" i="2"/>
  <c r="AI1241" i="2"/>
  <c r="AI1249" i="2"/>
  <c r="AI1265" i="2"/>
  <c r="AI1281" i="2"/>
  <c r="AI1289" i="2"/>
  <c r="AI1305" i="2"/>
  <c r="AI1313" i="2"/>
  <c r="AI1321" i="2"/>
  <c r="AI1337" i="2"/>
  <c r="AI1345" i="2"/>
  <c r="AI1353" i="2"/>
  <c r="AI1369" i="2"/>
  <c r="AI1377" i="2"/>
  <c r="AI1385" i="2"/>
  <c r="AI1401" i="2"/>
  <c r="AI1409" i="2"/>
  <c r="AI1413" i="2"/>
  <c r="AI1417" i="2"/>
  <c r="AI1433" i="2"/>
  <c r="AI1441" i="2"/>
  <c r="AI1449" i="2"/>
  <c r="AI1465" i="2"/>
  <c r="AI1473" i="2"/>
  <c r="AI1481" i="2"/>
  <c r="AI1497" i="2"/>
  <c r="AI1505" i="2"/>
  <c r="AI1513" i="2"/>
  <c r="AI1529" i="2"/>
  <c r="AI1545" i="2"/>
  <c r="AI1553" i="2"/>
  <c r="AI1569" i="2"/>
  <c r="AI1577" i="2"/>
  <c r="AI1585" i="2"/>
  <c r="AI1601" i="2"/>
  <c r="AI1609" i="2"/>
  <c r="AI1617" i="2"/>
  <c r="AI1625" i="2"/>
  <c r="AI1633" i="2"/>
  <c r="AI1641" i="2"/>
  <c r="AI1649" i="2"/>
  <c r="AI1657" i="2"/>
  <c r="AI1665" i="2"/>
  <c r="AI1673" i="2"/>
  <c r="AI1681" i="2"/>
  <c r="AI1689" i="2"/>
  <c r="AI1697" i="2"/>
  <c r="AI1705" i="2"/>
  <c r="AI1713" i="2"/>
  <c r="AI1721" i="2"/>
  <c r="AI1729" i="2"/>
  <c r="AI1737" i="2"/>
  <c r="AI1745" i="2"/>
  <c r="AI1753" i="2"/>
  <c r="AI1761" i="2"/>
  <c r="AI1769" i="2"/>
  <c r="AI1777" i="2"/>
  <c r="AI1785" i="2"/>
  <c r="AI1793" i="2"/>
  <c r="AI1801" i="2"/>
  <c r="AI1809" i="2"/>
  <c r="AI1817" i="2"/>
  <c r="AI1833" i="2"/>
  <c r="AI1849" i="2"/>
  <c r="AI1857" i="2"/>
  <c r="AI1865" i="2"/>
  <c r="AI1873" i="2"/>
  <c r="AI1881" i="2"/>
  <c r="AI1889" i="2"/>
  <c r="AI1897" i="2"/>
  <c r="AI1905" i="2"/>
  <c r="AI1913" i="2"/>
  <c r="AI1921" i="2"/>
  <c r="AI1929" i="2"/>
  <c r="AI1937" i="2"/>
  <c r="AI1945" i="2"/>
  <c r="AI1953" i="2"/>
  <c r="AI1961" i="2"/>
  <c r="AI1969" i="2"/>
  <c r="AI1973" i="2"/>
  <c r="AI1985" i="2"/>
  <c r="AI1993" i="2"/>
  <c r="AI2001" i="2"/>
  <c r="AI2017" i="2"/>
  <c r="AI2033" i="2"/>
  <c r="AI2049" i="2"/>
  <c r="AI2065" i="2"/>
  <c r="AI2081" i="2"/>
  <c r="AI2097" i="2"/>
  <c r="AI2113" i="2"/>
  <c r="AI2129" i="2"/>
  <c r="AI2145" i="2"/>
  <c r="AI2153" i="2"/>
  <c r="AI2169" i="2"/>
  <c r="AI2177" i="2"/>
  <c r="AI2185" i="2"/>
  <c r="AI2193" i="2"/>
  <c r="AI2225" i="2"/>
  <c r="AI2233" i="2"/>
  <c r="AI2241" i="2"/>
  <c r="AI2245" i="2"/>
  <c r="AI2249" i="2"/>
  <c r="AI2289" i="2"/>
  <c r="AI2297" i="2"/>
  <c r="AI2305" i="2"/>
  <c r="AI2313" i="2"/>
  <c r="AI2321" i="2"/>
  <c r="AI2329" i="2"/>
  <c r="AI2337" i="2"/>
  <c r="AI2353" i="2"/>
  <c r="AI2361" i="2"/>
  <c r="AI706" i="2"/>
  <c r="AI714" i="2"/>
  <c r="AI718" i="2"/>
  <c r="AI722" i="2"/>
  <c r="AI742" i="2"/>
  <c r="AI750" i="2"/>
  <c r="AI754" i="2"/>
  <c r="AI758" i="2"/>
  <c r="AI974" i="2"/>
  <c r="AI978" i="2"/>
  <c r="AI986" i="2"/>
  <c r="AI990" i="2"/>
  <c r="AI1002" i="2"/>
  <c r="AI1006" i="2"/>
  <c r="AI1018" i="2"/>
  <c r="AI1026" i="2"/>
  <c r="AI1050" i="2"/>
  <c r="AI1126" i="2"/>
  <c r="AI1142" i="2"/>
  <c r="AI1150" i="2"/>
  <c r="AI1158" i="2"/>
  <c r="AI1166" i="2"/>
  <c r="AI1174" i="2"/>
  <c r="AI1182" i="2"/>
  <c r="AI1190" i="2"/>
  <c r="AI1198" i="2"/>
  <c r="AI1206" i="2"/>
  <c r="AI1214" i="2"/>
  <c r="AI1222" i="2"/>
  <c r="AI1230" i="2"/>
  <c r="AI1238" i="2"/>
  <c r="AI1246" i="2"/>
  <c r="AI1254" i="2"/>
  <c r="AI1262" i="2"/>
  <c r="AI1270" i="2"/>
  <c r="AI1274" i="2"/>
  <c r="AI1278" i="2"/>
  <c r="AI1282" i="2"/>
  <c r="AI1286" i="2"/>
  <c r="AI1290" i="2"/>
  <c r="AI1294" i="2"/>
  <c r="AI1306" i="2"/>
  <c r="AI1310" i="2"/>
  <c r="AI1318" i="2"/>
  <c r="AI1326" i="2"/>
  <c r="AI1330" i="2"/>
  <c r="AI1338" i="2"/>
  <c r="AI1354" i="2"/>
  <c r="AI1366" i="2"/>
  <c r="AI1370" i="2"/>
  <c r="AI1374" i="2"/>
  <c r="AI1382" i="2"/>
  <c r="AI1386" i="2"/>
  <c r="AI1390" i="2"/>
  <c r="AI1398" i="2"/>
  <c r="AI1402" i="2"/>
  <c r="AI1406" i="2"/>
  <c r="AI1414" i="2"/>
  <c r="AI1418" i="2"/>
  <c r="AI1422" i="2"/>
  <c r="AI1430" i="2"/>
  <c r="AI1434" i="2"/>
  <c r="AI1438" i="2"/>
  <c r="AI1446" i="2"/>
  <c r="AI1450" i="2"/>
  <c r="AI1462" i="2"/>
  <c r="AI1466" i="2"/>
  <c r="AI1470" i="2"/>
  <c r="AI1478" i="2"/>
  <c r="AI1482" i="2"/>
  <c r="AI1514" i="2"/>
  <c r="AI1518" i="2"/>
  <c r="AI1522" i="2"/>
  <c r="AI1526" i="2"/>
  <c r="AI1534" i="2"/>
  <c r="AI1550" i="2"/>
  <c r="AI1578" i="2"/>
  <c r="AI1582" i="2"/>
  <c r="AI1590" i="2"/>
  <c r="AI1610" i="2"/>
  <c r="AI1618" i="2"/>
  <c r="AI1634" i="2"/>
  <c r="AI1642" i="2"/>
  <c r="AI1678" i="2"/>
  <c r="AI1686" i="2"/>
  <c r="AI1694" i="2"/>
  <c r="AI1710" i="2"/>
  <c r="AI1714" i="2"/>
  <c r="AI1718" i="2"/>
  <c r="AI1722" i="2"/>
  <c r="AI1734" i="2"/>
  <c r="AI1762" i="2"/>
  <c r="AI1770" i="2"/>
  <c r="AI1774" i="2"/>
  <c r="AI1778" i="2"/>
  <c r="AI1782" i="2"/>
  <c r="AI1802" i="2"/>
  <c r="AI1818" i="2"/>
  <c r="AI1826" i="2"/>
  <c r="AI1830" i="2"/>
  <c r="AI1838" i="2"/>
  <c r="AI1858" i="2"/>
  <c r="AI1890" i="2"/>
  <c r="AI1902" i="2"/>
  <c r="AI1910" i="2"/>
  <c r="AI1914" i="2"/>
  <c r="AI1946" i="2"/>
  <c r="AI1962" i="2"/>
  <c r="AI1990" i="2"/>
  <c r="AI1998" i="2"/>
  <c r="AI2002" i="2"/>
  <c r="AI2058" i="2"/>
  <c r="AI2066" i="2"/>
  <c r="AI2078" i="2"/>
  <c r="AI2086" i="2"/>
  <c r="AI2110" i="2"/>
  <c r="AI2146" i="2"/>
  <c r="AI2206" i="2"/>
  <c r="AI2214" i="2"/>
  <c r="AI2218" i="2"/>
  <c r="AI2242" i="2"/>
  <c r="AI2286" i="2"/>
  <c r="AI2294" i="2"/>
  <c r="AI2302" i="2"/>
  <c r="AI2346" i="2"/>
  <c r="Q2141" i="2"/>
  <c r="T581" i="2"/>
  <c r="Q2213" i="2"/>
  <c r="U2374" i="2"/>
  <c r="Q462" i="2"/>
  <c r="U690" i="2"/>
  <c r="Q459" i="2"/>
  <c r="Q939" i="2"/>
  <c r="Q1043" i="2"/>
  <c r="U1616" i="2"/>
  <c r="AS1616" i="2"/>
  <c r="T1650" i="2"/>
  <c r="AU1650" i="2"/>
  <c r="Q698" i="2"/>
  <c r="T857" i="2"/>
  <c r="T1043" i="2"/>
  <c r="U2202" i="2"/>
  <c r="V1043" i="2"/>
  <c r="AT2202" i="2"/>
  <c r="U323" i="2"/>
  <c r="Q731" i="2"/>
  <c r="Q1024" i="2"/>
  <c r="U730" i="2"/>
  <c r="AT730" i="2"/>
  <c r="AS1356" i="2"/>
  <c r="Q478" i="2"/>
  <c r="Q690" i="2"/>
  <c r="T741" i="2"/>
  <c r="AS741" i="2"/>
  <c r="Q1719" i="2"/>
  <c r="T537" i="2"/>
  <c r="AS995" i="2"/>
  <c r="V995" i="2"/>
  <c r="U1683" i="2"/>
  <c r="AT1925" i="2"/>
  <c r="AR2185" i="2"/>
  <c r="AU2279" i="2"/>
  <c r="T2279" i="2"/>
  <c r="T677" i="2"/>
  <c r="T873" i="2"/>
  <c r="Q1031" i="2"/>
  <c r="AS2158" i="2"/>
  <c r="T2158" i="2"/>
  <c r="AU2190" i="2"/>
  <c r="V2190" i="2"/>
  <c r="AU293" i="2"/>
  <c r="U904" i="2"/>
  <c r="U2155" i="2"/>
  <c r="Q2155" i="2"/>
  <c r="AT2183" i="2"/>
  <c r="U2208" i="2"/>
  <c r="AR2361" i="2"/>
  <c r="U1571" i="2"/>
  <c r="AU354" i="2"/>
  <c r="Q392" i="2"/>
  <c r="Q474" i="2"/>
  <c r="Q554" i="2"/>
  <c r="AU1103" i="2"/>
  <c r="U1103" i="2"/>
  <c r="V1199" i="2"/>
  <c r="Q1015" i="2"/>
  <c r="Q1355" i="2"/>
  <c r="Q1387" i="2"/>
  <c r="T1414" i="2"/>
  <c r="Q1524" i="2"/>
  <c r="Q1587" i="2"/>
  <c r="U1624" i="2"/>
  <c r="T1802" i="2"/>
  <c r="T1908" i="2"/>
  <c r="U1959" i="2"/>
  <c r="T1015" i="2"/>
  <c r="V1795" i="2"/>
  <c r="U2147" i="2"/>
  <c r="V2166" i="2"/>
  <c r="V2168" i="2"/>
  <c r="T2176" i="2"/>
  <c r="Q2202" i="2"/>
  <c r="U2269" i="2"/>
  <c r="AU2269" i="2"/>
  <c r="AU710" i="2"/>
  <c r="Q53" i="2"/>
  <c r="AS264" i="2"/>
  <c r="Q264" i="2"/>
  <c r="Q298" i="2"/>
  <c r="AR407" i="2"/>
  <c r="AT425" i="2"/>
  <c r="V425" i="2"/>
  <c r="T549" i="2"/>
  <c r="AU573" i="2"/>
  <c r="T573" i="2"/>
  <c r="AR655" i="2"/>
  <c r="V655" i="2"/>
  <c r="AR856" i="2"/>
  <c r="T315" i="2"/>
  <c r="Q563" i="2"/>
  <c r="T685" i="2"/>
  <c r="Q224" i="2"/>
  <c r="AT250" i="2"/>
  <c r="U274" i="2"/>
  <c r="Q274" i="2"/>
  <c r="Q378" i="2"/>
  <c r="AT393" i="2"/>
  <c r="V393" i="2"/>
  <c r="U466" i="2"/>
  <c r="T521" i="2"/>
  <c r="AR575" i="2"/>
  <c r="V575" i="2"/>
  <c r="Q607" i="2"/>
  <c r="AS1264" i="2"/>
  <c r="U1264" i="2"/>
  <c r="AU1532" i="2"/>
  <c r="V1532" i="2"/>
  <c r="AS1704" i="2"/>
  <c r="U1704" i="2"/>
  <c r="Q2040" i="2"/>
  <c r="V2068" i="2"/>
  <c r="T945" i="2"/>
  <c r="Q975" i="2"/>
  <c r="Q979" i="2"/>
  <c r="Q1027" i="2"/>
  <c r="V1120" i="2"/>
  <c r="V1145" i="2"/>
  <c r="V1243" i="2"/>
  <c r="T1259" i="2"/>
  <c r="Q1259" i="2"/>
  <c r="AU1272" i="2"/>
  <c r="Q1272" i="2"/>
  <c r="AR1444" i="2"/>
  <c r="V1444" i="2"/>
  <c r="AS1452" i="2"/>
  <c r="U1452" i="2"/>
  <c r="AU1900" i="2"/>
  <c r="T1900" i="2"/>
  <c r="Q651" i="2"/>
  <c r="V783" i="2"/>
  <c r="AR783" i="2"/>
  <c r="U811" i="2"/>
  <c r="AS811" i="2"/>
  <c r="V821" i="2"/>
  <c r="T823" i="2"/>
  <c r="Q824" i="2"/>
  <c r="T921" i="2"/>
  <c r="V1015" i="2"/>
  <c r="AS1015" i="2"/>
  <c r="AR1027" i="2"/>
  <c r="AR1040" i="2"/>
  <c r="T1049" i="2"/>
  <c r="AS1049" i="2"/>
  <c r="V1051" i="2"/>
  <c r="AR1168" i="2"/>
  <c r="U1170" i="2"/>
  <c r="Q1179" i="2"/>
  <c r="V1207" i="2"/>
  <c r="AU1207" i="2"/>
  <c r="Q1215" i="2"/>
  <c r="AU1215" i="2"/>
  <c r="V1259" i="2"/>
  <c r="AT1269" i="2"/>
  <c r="U1269" i="2"/>
  <c r="AR1854" i="2"/>
  <c r="Q1854" i="2"/>
  <c r="AR1982" i="2"/>
  <c r="U1982" i="2"/>
  <c r="V2078" i="2"/>
  <c r="Q354" i="2"/>
  <c r="AR355" i="2"/>
  <c r="V361" i="2"/>
  <c r="AR371" i="2"/>
  <c r="AU410" i="2"/>
  <c r="U824" i="2"/>
  <c r="T849" i="2"/>
  <c r="AS849" i="2"/>
  <c r="V923" i="2"/>
  <c r="Q1427" i="2"/>
  <c r="Q1604" i="2"/>
  <c r="AU2370" i="2"/>
  <c r="AR1340" i="2"/>
  <c r="V1524" i="2"/>
  <c r="AS1524" i="2"/>
  <c r="AR1571" i="2"/>
  <c r="V2213" i="2"/>
  <c r="Q2281" i="2"/>
  <c r="T1306" i="2"/>
  <c r="AR1355" i="2"/>
  <c r="Q1571" i="2"/>
  <c r="U1699" i="2"/>
  <c r="AR1959" i="2"/>
  <c r="Q2056" i="2"/>
  <c r="V2112" i="2"/>
  <c r="T2130" i="2"/>
  <c r="AS2130" i="2"/>
  <c r="AR2169" i="2"/>
  <c r="U2228" i="2"/>
  <c r="Q2266" i="2"/>
  <c r="U2324" i="2"/>
  <c r="AR2324" i="2"/>
  <c r="Q2333" i="2"/>
  <c r="AT2338" i="2"/>
  <c r="U2360" i="2"/>
  <c r="AU2360" i="2"/>
  <c r="Q595" i="2"/>
  <c r="T1956" i="2"/>
  <c r="AS1994" i="2"/>
  <c r="Q2036" i="2"/>
  <c r="AR2080" i="2"/>
  <c r="AS2080" i="2"/>
  <c r="Q2080" i="2"/>
  <c r="V2214" i="2"/>
  <c r="AS2225" i="2"/>
  <c r="U2225" i="2"/>
  <c r="AS2233" i="2"/>
  <c r="Q2308" i="2"/>
  <c r="AT2357" i="2"/>
  <c r="Q2412" i="2"/>
  <c r="AT2417" i="2"/>
  <c r="T1972" i="2"/>
  <c r="Q2004" i="2"/>
  <c r="Q2043" i="2"/>
  <c r="AR2061" i="2"/>
  <c r="Q2084" i="2"/>
  <c r="AU2084" i="2"/>
  <c r="T2084" i="2"/>
  <c r="AT2087" i="2"/>
  <c r="AT2103" i="2"/>
  <c r="U2209" i="2"/>
  <c r="U2328" i="2"/>
  <c r="U2378" i="2"/>
  <c r="V2384" i="2"/>
  <c r="V2392" i="2"/>
  <c r="AT362" i="2"/>
  <c r="AU362" i="2"/>
  <c r="AR423" i="2"/>
  <c r="Q432" i="2"/>
  <c r="AS451" i="2"/>
  <c r="AR510" i="2"/>
  <c r="AS659" i="2"/>
  <c r="AR687" i="2"/>
  <c r="V687" i="2"/>
  <c r="Q727" i="2"/>
  <c r="AS881" i="2"/>
  <c r="T881" i="2"/>
  <c r="AT986" i="2"/>
  <c r="Q998" i="2"/>
  <c r="Q1007" i="2"/>
  <c r="V1073" i="2"/>
  <c r="AT1162" i="2"/>
  <c r="AU1162" i="2"/>
  <c r="AS1240" i="2"/>
  <c r="AR1240" i="2"/>
  <c r="U1319" i="2"/>
  <c r="AS1342" i="2"/>
  <c r="T1342" i="2"/>
  <c r="AR1363" i="2"/>
  <c r="AS1428" i="2"/>
  <c r="V1428" i="2"/>
  <c r="Q1489" i="2"/>
  <c r="T1662" i="2"/>
  <c r="AR1930" i="2"/>
  <c r="V1930" i="2"/>
  <c r="T2082" i="2"/>
  <c r="AS2082" i="2"/>
  <c r="V2082" i="2"/>
  <c r="V2104" i="2"/>
  <c r="Q2165" i="2"/>
  <c r="AU2184" i="2"/>
  <c r="AS2186" i="2"/>
  <c r="T2186" i="2"/>
  <c r="AU2261" i="2"/>
  <c r="V2261" i="2"/>
  <c r="AU2390" i="2"/>
  <c r="T2390" i="2"/>
  <c r="AR2415" i="2"/>
  <c r="V272" i="2"/>
  <c r="AU333" i="2"/>
  <c r="Q360" i="2"/>
  <c r="Q370" i="2"/>
  <c r="AR375" i="2"/>
  <c r="AR439" i="2"/>
  <c r="T449" i="2"/>
  <c r="T467" i="2"/>
  <c r="Q470" i="2"/>
  <c r="AS481" i="2"/>
  <c r="Q483" i="2"/>
  <c r="Q510" i="2"/>
  <c r="Q519" i="2"/>
  <c r="AT520" i="2"/>
  <c r="AR650" i="2"/>
  <c r="T653" i="2"/>
  <c r="Q658" i="2"/>
  <c r="AU726" i="2"/>
  <c r="AR727" i="2"/>
  <c r="Q747" i="2"/>
  <c r="AU775" i="2"/>
  <c r="V775" i="2"/>
  <c r="AR911" i="2"/>
  <c r="V911" i="2"/>
  <c r="U931" i="2"/>
  <c r="AS931" i="2"/>
  <c r="Q944" i="2"/>
  <c r="AS1000" i="2"/>
  <c r="Q1026" i="2"/>
  <c r="Q1032" i="2"/>
  <c r="AR1056" i="2"/>
  <c r="Q1058" i="2"/>
  <c r="AT1058" i="2"/>
  <c r="Q1131" i="2"/>
  <c r="T1134" i="2"/>
  <c r="Q1152" i="2"/>
  <c r="U1180" i="2"/>
  <c r="AU1183" i="2"/>
  <c r="V1183" i="2"/>
  <c r="Q1208" i="2"/>
  <c r="AR1299" i="2"/>
  <c r="AU1302" i="2"/>
  <c r="T1302" i="2"/>
  <c r="AS1314" i="2"/>
  <c r="T1314" i="2"/>
  <c r="Q1339" i="2"/>
  <c r="U1343" i="2"/>
  <c r="U1375" i="2"/>
  <c r="AS1378" i="2"/>
  <c r="AS1388" i="2"/>
  <c r="U1388" i="2"/>
  <c r="AR1411" i="2"/>
  <c r="Q1419" i="2"/>
  <c r="Q1476" i="2"/>
  <c r="AR1489" i="2"/>
  <c r="Q1492" i="2"/>
  <c r="U1528" i="2"/>
  <c r="AS1528" i="2"/>
  <c r="U1551" i="2"/>
  <c r="AS1696" i="2"/>
  <c r="Q1696" i="2"/>
  <c r="Q1737" i="2"/>
  <c r="U1754" i="2"/>
  <c r="AS1754" i="2"/>
  <c r="Q1814" i="2"/>
  <c r="AT1814" i="2"/>
  <c r="Q1927" i="2"/>
  <c r="V223" i="2"/>
  <c r="U235" i="2"/>
  <c r="AS240" i="2"/>
  <c r="AI274" i="2"/>
  <c r="AS276" i="2"/>
  <c r="AS292" i="2"/>
  <c r="AR304" i="2"/>
  <c r="V304" i="2"/>
  <c r="V491" i="2"/>
  <c r="AS503" i="2"/>
  <c r="U503" i="2"/>
  <c r="AS505" i="2"/>
  <c r="T509" i="2"/>
  <c r="T513" i="2"/>
  <c r="Q515" i="2"/>
  <c r="AR518" i="2"/>
  <c r="Q559" i="2"/>
  <c r="AU565" i="2"/>
  <c r="T565" i="2"/>
  <c r="AU597" i="2"/>
  <c r="T597" i="2"/>
  <c r="AR658" i="2"/>
  <c r="Q659" i="2"/>
  <c r="V699" i="2"/>
  <c r="AR699" i="2"/>
  <c r="U706" i="2"/>
  <c r="U744" i="2"/>
  <c r="T767" i="2"/>
  <c r="Q775" i="2"/>
  <c r="T793" i="2"/>
  <c r="AS793" i="2"/>
  <c r="T809" i="2"/>
  <c r="Q856" i="2"/>
  <c r="AR864" i="2"/>
  <c r="T865" i="2"/>
  <c r="AS865" i="2"/>
  <c r="AR867" i="2"/>
  <c r="V867" i="2"/>
  <c r="AR872" i="2"/>
  <c r="AR883" i="2"/>
  <c r="V883" i="2"/>
  <c r="AS909" i="2"/>
  <c r="Q911" i="2"/>
  <c r="V955" i="2"/>
  <c r="Q971" i="2"/>
  <c r="Q1000" i="2"/>
  <c r="AR1032" i="2"/>
  <c r="AS1052" i="2"/>
  <c r="U1052" i="2"/>
  <c r="V1083" i="2"/>
  <c r="AS1083" i="2"/>
  <c r="V1088" i="2"/>
  <c r="AU1091" i="2"/>
  <c r="V1217" i="2"/>
  <c r="AT1234" i="2"/>
  <c r="Q1234" i="2"/>
  <c r="T1268" i="2"/>
  <c r="T1276" i="2"/>
  <c r="Q1288" i="2"/>
  <c r="Q1371" i="2"/>
  <c r="U1371" i="2"/>
  <c r="Q1443" i="2"/>
  <c r="V1448" i="2"/>
  <c r="AR1448" i="2"/>
  <c r="U1451" i="2"/>
  <c r="U1455" i="2"/>
  <c r="AS1458" i="2"/>
  <c r="V1464" i="2"/>
  <c r="AR1464" i="2"/>
  <c r="AR1467" i="2"/>
  <c r="T1508" i="2"/>
  <c r="U1513" i="2"/>
  <c r="V1540" i="2"/>
  <c r="Q1551" i="2"/>
  <c r="AS1600" i="2"/>
  <c r="U1600" i="2"/>
  <c r="Q1758" i="2"/>
  <c r="Q250" i="2"/>
  <c r="Q251" i="2"/>
  <c r="AU275" i="2"/>
  <c r="AU279" i="2"/>
  <c r="V295" i="2"/>
  <c r="AT298" i="2"/>
  <c r="AR360" i="2"/>
  <c r="V385" i="2"/>
  <c r="Q410" i="2"/>
  <c r="AT434" i="2"/>
  <c r="Q434" i="2"/>
  <c r="AT456" i="2"/>
  <c r="T497" i="2"/>
  <c r="Q511" i="2"/>
  <c r="AR526" i="2"/>
  <c r="U527" i="2"/>
  <c r="AS527" i="2"/>
  <c r="Q591" i="2"/>
  <c r="Q666" i="2"/>
  <c r="AR674" i="2"/>
  <c r="U776" i="2"/>
  <c r="Q780" i="2"/>
  <c r="AR832" i="2"/>
  <c r="Q840" i="2"/>
  <c r="U856" i="2"/>
  <c r="Q864" i="2"/>
  <c r="AU921" i="2"/>
  <c r="Q968" i="2"/>
  <c r="AS979" i="2"/>
  <c r="V979" i="2"/>
  <c r="U999" i="2"/>
  <c r="AU999" i="2"/>
  <c r="V1000" i="2"/>
  <c r="Q1018" i="2"/>
  <c r="AR1047" i="2"/>
  <c r="U1047" i="2"/>
  <c r="Q1066" i="2"/>
  <c r="V1072" i="2"/>
  <c r="V1087" i="2"/>
  <c r="AT1146" i="2"/>
  <c r="AU1146" i="2"/>
  <c r="AS1184" i="2"/>
  <c r="AU1187" i="2"/>
  <c r="V1187" i="2"/>
  <c r="AS1200" i="2"/>
  <c r="AR1248" i="2"/>
  <c r="AT1277" i="2"/>
  <c r="U1277" i="2"/>
  <c r="Q1304" i="2"/>
  <c r="T1330" i="2"/>
  <c r="AR1335" i="2"/>
  <c r="Q1348" i="2"/>
  <c r="AS1350" i="2"/>
  <c r="AR1371" i="2"/>
  <c r="T1374" i="2"/>
  <c r="AR1403" i="2"/>
  <c r="AR1475" i="2"/>
  <c r="AR1476" i="2"/>
  <c r="T1590" i="2"/>
  <c r="AS1598" i="2"/>
  <c r="AR1620" i="2"/>
  <c r="V1620" i="2"/>
  <c r="Q1620" i="2"/>
  <c r="AR1711" i="2"/>
  <c r="U1723" i="2"/>
  <c r="AS1726" i="2"/>
  <c r="Q1728" i="2"/>
  <c r="AS1808" i="2"/>
  <c r="U1808" i="2"/>
  <c r="Q1812" i="2"/>
  <c r="AT1812" i="2"/>
  <c r="AU1896" i="2"/>
  <c r="T1896" i="2"/>
  <c r="AR1915" i="2"/>
  <c r="Q1942" i="2"/>
  <c r="AT1949" i="2"/>
  <c r="Q1958" i="2"/>
  <c r="U1996" i="2"/>
  <c r="AS2100" i="2"/>
  <c r="U2103" i="2"/>
  <c r="AT2157" i="2"/>
  <c r="Q2170" i="2"/>
  <c r="T2231" i="2"/>
  <c r="Q2249" i="2"/>
  <c r="AU2249" i="2"/>
  <c r="U2249" i="2"/>
  <c r="U2253" i="2"/>
  <c r="Q2359" i="2"/>
  <c r="Q1243" i="2"/>
  <c r="AR1347" i="2"/>
  <c r="Q1532" i="2"/>
  <c r="Q1583" i="2"/>
  <c r="AU1658" i="2"/>
  <c r="T1658" i="2"/>
  <c r="Q1796" i="2"/>
  <c r="AU1858" i="2"/>
  <c r="AS1962" i="2"/>
  <c r="AS2094" i="2"/>
  <c r="T2094" i="2"/>
  <c r="AR2154" i="2"/>
  <c r="AS2263" i="2"/>
  <c r="T2354" i="2"/>
  <c r="T2367" i="2"/>
  <c r="AU2219" i="2"/>
  <c r="V2219" i="2"/>
  <c r="Q2306" i="2"/>
  <c r="U2352" i="2"/>
  <c r="AU2128" i="2"/>
  <c r="U239" i="2"/>
  <c r="Q242" i="2"/>
  <c r="AU242" i="2"/>
  <c r="Q240" i="2"/>
  <c r="AR251" i="2"/>
  <c r="Q255" i="2"/>
  <c r="AS256" i="2"/>
  <c r="U263" i="2"/>
  <c r="Q267" i="2"/>
  <c r="Q280" i="2"/>
  <c r="AU282" i="2"/>
  <c r="Q283" i="2"/>
  <c r="V288" i="2"/>
  <c r="U290" i="2"/>
  <c r="AU291" i="2"/>
  <c r="Q306" i="2"/>
  <c r="U307" i="2"/>
  <c r="AU307" i="2"/>
  <c r="AS308" i="2"/>
  <c r="U311" i="2"/>
  <c r="AR311" i="2"/>
  <c r="U322" i="2"/>
  <c r="AS324" i="2"/>
  <c r="Q328" i="2"/>
  <c r="Q346" i="2"/>
  <c r="AR359" i="2"/>
  <c r="Q368" i="2"/>
  <c r="Q402" i="2"/>
  <c r="AR403" i="2"/>
  <c r="V409" i="2"/>
  <c r="Q418" i="2"/>
  <c r="AR419" i="2"/>
  <c r="AR435" i="2"/>
  <c r="AR440" i="2"/>
  <c r="Q442" i="2"/>
  <c r="Q490" i="2"/>
  <c r="Q494" i="2"/>
  <c r="Q506" i="2"/>
  <c r="Q547" i="2"/>
  <c r="AS547" i="2"/>
  <c r="V255" i="2"/>
  <c r="Q282" i="2"/>
  <c r="T283" i="2"/>
  <c r="AU311" i="2"/>
  <c r="Q314" i="2"/>
  <c r="AU314" i="2"/>
  <c r="AU327" i="2"/>
  <c r="Q330" i="2"/>
  <c r="Q336" i="2"/>
  <c r="AR336" i="2"/>
  <c r="V345" i="2"/>
  <c r="AU346" i="2"/>
  <c r="AR376" i="2"/>
  <c r="V401" i="2"/>
  <c r="AU402" i="2"/>
  <c r="Q416" i="2"/>
  <c r="AR416" i="2"/>
  <c r="V417" i="2"/>
  <c r="AU418" i="2"/>
  <c r="Q426" i="2"/>
  <c r="Q440" i="2"/>
  <c r="Q448" i="2"/>
  <c r="V547" i="2"/>
  <c r="AR255" i="2"/>
  <c r="Q296" i="2"/>
  <c r="Q352" i="2"/>
  <c r="AR352" i="2"/>
  <c r="V353" i="2"/>
  <c r="Q362" i="2"/>
  <c r="Q376" i="2"/>
  <c r="Q384" i="2"/>
  <c r="Q424" i="2"/>
  <c r="AR424" i="2"/>
  <c r="AU426" i="2"/>
  <c r="AR432" i="2"/>
  <c r="AT488" i="2"/>
  <c r="AR368" i="2"/>
  <c r="AR546" i="2"/>
  <c r="Q546" i="2"/>
  <c r="V635" i="2"/>
  <c r="V771" i="2"/>
  <c r="V851" i="2"/>
  <c r="U928" i="2"/>
  <c r="AS969" i="2"/>
  <c r="T969" i="2"/>
  <c r="AT1025" i="2"/>
  <c r="T1025" i="2"/>
  <c r="V1035" i="2"/>
  <c r="T1035" i="2"/>
  <c r="Q1035" i="2"/>
  <c r="AT1053" i="2"/>
  <c r="Q1104" i="2"/>
  <c r="U1114" i="2"/>
  <c r="V1135" i="2"/>
  <c r="Q1135" i="2"/>
  <c r="AU1221" i="2"/>
  <c r="AU1257" i="2"/>
  <c r="V459" i="2"/>
  <c r="AR459" i="2"/>
  <c r="T465" i="2"/>
  <c r="V471" i="2"/>
  <c r="AR474" i="2"/>
  <c r="Q475" i="2"/>
  <c r="T477" i="2"/>
  <c r="AR478" i="2"/>
  <c r="V483" i="2"/>
  <c r="AR483" i="2"/>
  <c r="AS493" i="2"/>
  <c r="U511" i="2"/>
  <c r="AS511" i="2"/>
  <c r="V515" i="2"/>
  <c r="V519" i="2"/>
  <c r="U535" i="2"/>
  <c r="AR554" i="2"/>
  <c r="U563" i="2"/>
  <c r="U566" i="2"/>
  <c r="AS569" i="2"/>
  <c r="Q578" i="2"/>
  <c r="V579" i="2"/>
  <c r="AR579" i="2"/>
  <c r="Q586" i="2"/>
  <c r="U595" i="2"/>
  <c r="U598" i="2"/>
  <c r="AS601" i="2"/>
  <c r="T613" i="2"/>
  <c r="Q634" i="2"/>
  <c r="AS635" i="2"/>
  <c r="Q639" i="2"/>
  <c r="U646" i="2"/>
  <c r="AS649" i="2"/>
  <c r="U678" i="2"/>
  <c r="AS681" i="2"/>
  <c r="Q703" i="2"/>
  <c r="Q719" i="2"/>
  <c r="U760" i="2"/>
  <c r="Q763" i="2"/>
  <c r="AR771" i="2"/>
  <c r="T777" i="2"/>
  <c r="Q792" i="2"/>
  <c r="Q803" i="2"/>
  <c r="V805" i="2"/>
  <c r="AS805" i="2"/>
  <c r="Q819" i="2"/>
  <c r="T825" i="2"/>
  <c r="Q848" i="2"/>
  <c r="AR851" i="2"/>
  <c r="AU881" i="2"/>
  <c r="AS893" i="2"/>
  <c r="Q895" i="2"/>
  <c r="U900" i="2"/>
  <c r="U912" i="2"/>
  <c r="AR920" i="2"/>
  <c r="AR927" i="2"/>
  <c r="V927" i="2"/>
  <c r="AR955" i="2"/>
  <c r="T961" i="2"/>
  <c r="AS991" i="2"/>
  <c r="Q991" i="2"/>
  <c r="AR991" i="2"/>
  <c r="V1059" i="2"/>
  <c r="T1059" i="2"/>
  <c r="Q1059" i="2"/>
  <c r="Q1136" i="2"/>
  <c r="Q1144" i="2"/>
  <c r="U1186" i="2"/>
  <c r="AU1231" i="2"/>
  <c r="V1231" i="2"/>
  <c r="V475" i="2"/>
  <c r="U479" i="2"/>
  <c r="AS479" i="2"/>
  <c r="U498" i="2"/>
  <c r="AS501" i="2"/>
  <c r="Q518" i="2"/>
  <c r="AR519" i="2"/>
  <c r="Q523" i="2"/>
  <c r="AR523" i="2"/>
  <c r="Q534" i="2"/>
  <c r="U555" i="2"/>
  <c r="AS555" i="2"/>
  <c r="AR586" i="2"/>
  <c r="AR634" i="2"/>
  <c r="Q635" i="2"/>
  <c r="V639" i="2"/>
  <c r="AR639" i="2"/>
  <c r="T661" i="2"/>
  <c r="Q671" i="2"/>
  <c r="Q675" i="2"/>
  <c r="AR690" i="2"/>
  <c r="V703" i="2"/>
  <c r="AR703" i="2"/>
  <c r="AS716" i="2"/>
  <c r="AR719" i="2"/>
  <c r="U735" i="2"/>
  <c r="AU735" i="2"/>
  <c r="Q736" i="2"/>
  <c r="V751" i="2"/>
  <c r="T763" i="2"/>
  <c r="Q764" i="2"/>
  <c r="Q771" i="2"/>
  <c r="AR776" i="2"/>
  <c r="T781" i="2"/>
  <c r="AS781" i="2"/>
  <c r="Q799" i="2"/>
  <c r="AU799" i="2"/>
  <c r="U804" i="2"/>
  <c r="AS813" i="2"/>
  <c r="Q815" i="2"/>
  <c r="U820" i="2"/>
  <c r="AR824" i="2"/>
  <c r="T833" i="2"/>
  <c r="AS833" i="2"/>
  <c r="V835" i="2"/>
  <c r="AR835" i="2"/>
  <c r="V847" i="2"/>
  <c r="AR847" i="2"/>
  <c r="Q851" i="2"/>
  <c r="AU865" i="2"/>
  <c r="Q872" i="2"/>
  <c r="Q880" i="2"/>
  <c r="V907" i="2"/>
  <c r="AR907" i="2"/>
  <c r="U915" i="2"/>
  <c r="AS915" i="2"/>
  <c r="Q920" i="2"/>
  <c r="AS925" i="2"/>
  <c r="Q927" i="2"/>
  <c r="U948" i="2"/>
  <c r="T951" i="2"/>
  <c r="T953" i="2"/>
  <c r="AS953" i="2"/>
  <c r="Q955" i="2"/>
  <c r="AS957" i="2"/>
  <c r="Q959" i="2"/>
  <c r="AS963" i="2"/>
  <c r="U963" i="2"/>
  <c r="V991" i="2"/>
  <c r="Q1050" i="2"/>
  <c r="T1062" i="2"/>
  <c r="V1079" i="2"/>
  <c r="Q1079" i="2"/>
  <c r="V1123" i="2"/>
  <c r="U1210" i="2"/>
  <c r="AU1219" i="2"/>
  <c r="V1219" i="2"/>
  <c r="AU1258" i="2"/>
  <c r="V603" i="2"/>
  <c r="AS603" i="2"/>
  <c r="U614" i="2"/>
  <c r="AS617" i="2"/>
  <c r="Q626" i="2"/>
  <c r="V627" i="2"/>
  <c r="AS627" i="2"/>
  <c r="T637" i="2"/>
  <c r="V659" i="2"/>
  <c r="V667" i="2"/>
  <c r="AS667" i="2"/>
  <c r="T701" i="2"/>
  <c r="V736" i="2"/>
  <c r="AS763" i="2"/>
  <c r="AR764" i="2"/>
  <c r="AU833" i="2"/>
  <c r="U872" i="2"/>
  <c r="AR880" i="2"/>
  <c r="T889" i="2"/>
  <c r="U891" i="2"/>
  <c r="AS891" i="2"/>
  <c r="AR944" i="2"/>
  <c r="Q952" i="2"/>
  <c r="V976" i="2"/>
  <c r="T1003" i="2"/>
  <c r="AS1051" i="2"/>
  <c r="Q1051" i="2"/>
  <c r="AR1051" i="2"/>
  <c r="AU1069" i="2"/>
  <c r="AS1111" i="2"/>
  <c r="T1111" i="2"/>
  <c r="AT1113" i="2"/>
  <c r="AS1127" i="2"/>
  <c r="U1127" i="2"/>
  <c r="AU1211" i="2"/>
  <c r="V1211" i="2"/>
  <c r="Q1211" i="2"/>
  <c r="AR1292" i="2"/>
  <c r="V1292" i="2"/>
  <c r="Q1292" i="2"/>
  <c r="AR1296" i="2"/>
  <c r="V1296" i="2"/>
  <c r="AR1328" i="2"/>
  <c r="U1328" i="2"/>
  <c r="AS1334" i="2"/>
  <c r="V1340" i="2"/>
  <c r="Q1347" i="2"/>
  <c r="AR1348" i="2"/>
  <c r="Q1364" i="2"/>
  <c r="T1398" i="2"/>
  <c r="Q1412" i="2"/>
  <c r="V1416" i="2"/>
  <c r="AR1416" i="2"/>
  <c r="U1420" i="2"/>
  <c r="AS1420" i="2"/>
  <c r="Q1448" i="2"/>
  <c r="T1462" i="2"/>
  <c r="Q1467" i="2"/>
  <c r="Q1480" i="2"/>
  <c r="AR1492" i="2"/>
  <c r="AS1500" i="2"/>
  <c r="V1500" i="2"/>
  <c r="U1501" i="2"/>
  <c r="AT1549" i="2"/>
  <c r="Q1563" i="2"/>
  <c r="Q1575" i="2"/>
  <c r="T1610" i="2"/>
  <c r="V992" i="2"/>
  <c r="V1024" i="2"/>
  <c r="AU1026" i="2"/>
  <c r="V1031" i="2"/>
  <c r="AT1061" i="2"/>
  <c r="U1066" i="2"/>
  <c r="V1081" i="2"/>
  <c r="Q1087" i="2"/>
  <c r="AR1088" i="2"/>
  <c r="V1097" i="2"/>
  <c r="V1131" i="2"/>
  <c r="V1312" i="2"/>
  <c r="V1396" i="2"/>
  <c r="U1497" i="2"/>
  <c r="T1512" i="2"/>
  <c r="AS1512" i="2"/>
  <c r="V1521" i="2"/>
  <c r="Q1536" i="2"/>
  <c r="AU1538" i="2"/>
  <c r="T1538" i="2"/>
  <c r="AS1554" i="2"/>
  <c r="V1554" i="2"/>
  <c r="AS1560" i="2"/>
  <c r="U1560" i="2"/>
  <c r="AS1576" i="2"/>
  <c r="V1576" i="2"/>
  <c r="Q1615" i="2"/>
  <c r="V975" i="2"/>
  <c r="AT1002" i="2"/>
  <c r="AS1131" i="2"/>
  <c r="Q1203" i="2"/>
  <c r="AU1218" i="2"/>
  <c r="Q1239" i="2"/>
  <c r="Q1263" i="2"/>
  <c r="Q1280" i="2"/>
  <c r="AS1312" i="2"/>
  <c r="AU1314" i="2"/>
  <c r="Q1332" i="2"/>
  <c r="Q1336" i="2"/>
  <c r="AR1339" i="2"/>
  <c r="Q1340" i="2"/>
  <c r="V1356" i="2"/>
  <c r="T1358" i="2"/>
  <c r="AU1358" i="2"/>
  <c r="U1359" i="2"/>
  <c r="AS1362" i="2"/>
  <c r="AR1387" i="2"/>
  <c r="Q1395" i="2"/>
  <c r="AS1396" i="2"/>
  <c r="Q1400" i="2"/>
  <c r="U1407" i="2"/>
  <c r="AS1410" i="2"/>
  <c r="T1422" i="2"/>
  <c r="Q1432" i="2"/>
  <c r="T1446" i="2"/>
  <c r="T1454" i="2"/>
  <c r="AU1454" i="2"/>
  <c r="V1476" i="2"/>
  <c r="T1486" i="2"/>
  <c r="AS1486" i="2"/>
  <c r="U1489" i="2"/>
  <c r="Q1508" i="2"/>
  <c r="U1536" i="2"/>
  <c r="T1562" i="2"/>
  <c r="AS1562" i="2"/>
  <c r="AU1612" i="2"/>
  <c r="T1612" i="2"/>
  <c r="T1618" i="2"/>
  <c r="V971" i="2"/>
  <c r="AS973" i="2"/>
  <c r="AR975" i="2"/>
  <c r="T987" i="2"/>
  <c r="V988" i="2"/>
  <c r="AR988" i="2"/>
  <c r="Q992" i="2"/>
  <c r="AT998" i="2"/>
  <c r="AR1007" i="2"/>
  <c r="T1009" i="2"/>
  <c r="AS1009" i="2"/>
  <c r="Q1011" i="2"/>
  <c r="U1020" i="2"/>
  <c r="AR1020" i="2"/>
  <c r="AT1021" i="2"/>
  <c r="AR1022" i="2"/>
  <c r="V1032" i="2"/>
  <c r="Q1042" i="2"/>
  <c r="AT1042" i="2"/>
  <c r="AU1047" i="2"/>
  <c r="Q1048" i="2"/>
  <c r="V1055" i="2"/>
  <c r="Q1072" i="2"/>
  <c r="Q1083" i="2"/>
  <c r="Q1088" i="2"/>
  <c r="V1105" i="2"/>
  <c r="AU1107" i="2"/>
  <c r="U1140" i="2"/>
  <c r="Q1146" i="2"/>
  <c r="T1147" i="2"/>
  <c r="V1161" i="2"/>
  <c r="V1171" i="2"/>
  <c r="Q1183" i="2"/>
  <c r="Q1184" i="2"/>
  <c r="AR1184" i="2"/>
  <c r="Q1200" i="2"/>
  <c r="AR1200" i="2"/>
  <c r="Q1207" i="2"/>
  <c r="AR1208" i="2"/>
  <c r="AU1241" i="2"/>
  <c r="AT1263" i="2"/>
  <c r="V1280" i="2"/>
  <c r="Q1312" i="2"/>
  <c r="V1332" i="2"/>
  <c r="AR1332" i="2"/>
  <c r="V1348" i="2"/>
  <c r="AR1395" i="2"/>
  <c r="Q1396" i="2"/>
  <c r="V1400" i="2"/>
  <c r="AR1400" i="2"/>
  <c r="U1484" i="2"/>
  <c r="AS1484" i="2"/>
  <c r="AU1486" i="2"/>
  <c r="Q1501" i="2"/>
  <c r="T1516" i="2"/>
  <c r="AS1520" i="2"/>
  <c r="T1520" i="2"/>
  <c r="AS1556" i="2"/>
  <c r="U1556" i="2"/>
  <c r="AS1558" i="2"/>
  <c r="Q1567" i="2"/>
  <c r="AR1567" i="2"/>
  <c r="AR1607" i="2"/>
  <c r="AR1631" i="2"/>
  <c r="Q1664" i="2"/>
  <c r="U1667" i="2"/>
  <c r="Q1676" i="2"/>
  <c r="U1692" i="2"/>
  <c r="AR1692" i="2"/>
  <c r="V1696" i="2"/>
  <c r="AR1735" i="2"/>
  <c r="T1768" i="2"/>
  <c r="AT1775" i="2"/>
  <c r="AU1866" i="2"/>
  <c r="AS1888" i="2"/>
  <c r="T1888" i="2"/>
  <c r="AR1894" i="2"/>
  <c r="Q1894" i="2"/>
  <c r="V1592" i="2"/>
  <c r="AR1592" i="2"/>
  <c r="U1611" i="2"/>
  <c r="U1627" i="2"/>
  <c r="U1643" i="2"/>
  <c r="AS1646" i="2"/>
  <c r="Q1655" i="2"/>
  <c r="V1656" i="2"/>
  <c r="AS1656" i="2"/>
  <c r="T1660" i="2"/>
  <c r="T1668" i="2"/>
  <c r="U1671" i="2"/>
  <c r="U1676" i="2"/>
  <c r="AR1676" i="2"/>
  <c r="V1680" i="2"/>
  <c r="AS1680" i="2"/>
  <c r="U1687" i="2"/>
  <c r="T1694" i="2"/>
  <c r="AU1694" i="2"/>
  <c r="AR1696" i="2"/>
  <c r="Q1699" i="2"/>
  <c r="T1706" i="2"/>
  <c r="AS1706" i="2"/>
  <c r="AR1727" i="2"/>
  <c r="T1776" i="2"/>
  <c r="AS1776" i="2"/>
  <c r="AU1780" i="2"/>
  <c r="V1788" i="2"/>
  <c r="V1819" i="2"/>
  <c r="T1825" i="2"/>
  <c r="Q1828" i="2"/>
  <c r="T1829" i="2"/>
  <c r="AU1837" i="2"/>
  <c r="V1854" i="2"/>
  <c r="T1856" i="2"/>
  <c r="AS1856" i="2"/>
  <c r="V1664" i="2"/>
  <c r="AR1668" i="2"/>
  <c r="AU1706" i="2"/>
  <c r="AU1776" i="2"/>
  <c r="AU1819" i="2"/>
  <c r="AT1867" i="2"/>
  <c r="U1867" i="2"/>
  <c r="T1872" i="2"/>
  <c r="U1883" i="2"/>
  <c r="V1513" i="2"/>
  <c r="U1583" i="2"/>
  <c r="AR1587" i="2"/>
  <c r="T1626" i="2"/>
  <c r="T1628" i="2"/>
  <c r="Q1631" i="2"/>
  <c r="Q1636" i="2"/>
  <c r="V1638" i="2"/>
  <c r="T1642" i="2"/>
  <c r="U1648" i="2"/>
  <c r="AS1648" i="2"/>
  <c r="AR1664" i="2"/>
  <c r="Q1668" i="2"/>
  <c r="AS1668" i="2"/>
  <c r="T1672" i="2"/>
  <c r="T1678" i="2"/>
  <c r="AU1678" i="2"/>
  <c r="U1703" i="2"/>
  <c r="Q1708" i="2"/>
  <c r="Q1712" i="2"/>
  <c r="AR1719" i="2"/>
  <c r="AU1722" i="2"/>
  <c r="Q1735" i="2"/>
  <c r="AR1757" i="2"/>
  <c r="T1760" i="2"/>
  <c r="AT1763" i="2"/>
  <c r="V1807" i="2"/>
  <c r="T1813" i="2"/>
  <c r="AU1854" i="2"/>
  <c r="V1862" i="2"/>
  <c r="AU1862" i="2"/>
  <c r="U2016" i="2"/>
  <c r="U2051" i="2"/>
  <c r="Q2053" i="2"/>
  <c r="U2067" i="2"/>
  <c r="Q2068" i="2"/>
  <c r="U1898" i="2"/>
  <c r="AR1898" i="2"/>
  <c r="Q1903" i="2"/>
  <c r="Q1934" i="2"/>
  <c r="U1935" i="2"/>
  <c r="V1942" i="2"/>
  <c r="AR1942" i="2"/>
  <c r="Q1950" i="2"/>
  <c r="AR1950" i="2"/>
  <c r="V1958" i="2"/>
  <c r="AR1971" i="2"/>
  <c r="Q1990" i="2"/>
  <c r="V2004" i="2"/>
  <c r="AU2006" i="2"/>
  <c r="Q2011" i="2"/>
  <c r="V2020" i="2"/>
  <c r="T2022" i="2"/>
  <c r="AS2028" i="2"/>
  <c r="AS2032" i="2"/>
  <c r="Q2071" i="2"/>
  <c r="U1895" i="2"/>
  <c r="U1903" i="2"/>
  <c r="Q1938" i="2"/>
  <c r="T1940" i="2"/>
  <c r="U1966" i="2"/>
  <c r="U1978" i="2"/>
  <c r="AU1989" i="2"/>
  <c r="V1990" i="2"/>
  <c r="AR1990" i="2"/>
  <c r="V1991" i="2"/>
  <c r="AT1998" i="2"/>
  <c r="Q2009" i="2"/>
  <c r="Q2012" i="2"/>
  <c r="T2038" i="2"/>
  <c r="AU2038" i="2"/>
  <c r="AT2039" i="2"/>
  <c r="U2053" i="2"/>
  <c r="U2055" i="2"/>
  <c r="AS2060" i="2"/>
  <c r="AR2068" i="2"/>
  <c r="Q2069" i="2"/>
  <c r="AR1903" i="2"/>
  <c r="V1926" i="2"/>
  <c r="AS1926" i="2"/>
  <c r="V1950" i="2"/>
  <c r="U2081" i="2"/>
  <c r="Q2085" i="2"/>
  <c r="AT2119" i="2"/>
  <c r="Q2194" i="2"/>
  <c r="V2201" i="2"/>
  <c r="U2085" i="2"/>
  <c r="Q2091" i="2"/>
  <c r="AU2094" i="2"/>
  <c r="AU2106" i="2"/>
  <c r="Q2108" i="2"/>
  <c r="Q2116" i="2"/>
  <c r="Q2117" i="2"/>
  <c r="T2118" i="2"/>
  <c r="AU2130" i="2"/>
  <c r="Q2135" i="2"/>
  <c r="T2141" i="2"/>
  <c r="AR2141" i="2"/>
  <c r="Q2142" i="2"/>
  <c r="AT2147" i="2"/>
  <c r="T2148" i="2"/>
  <c r="Q2150" i="2"/>
  <c r="V2154" i="2"/>
  <c r="T2162" i="2"/>
  <c r="V2170" i="2"/>
  <c r="AS2172" i="2"/>
  <c r="Q2173" i="2"/>
  <c r="V2178" i="2"/>
  <c r="V2180" i="2"/>
  <c r="Q2182" i="2"/>
  <c r="Q2189" i="2"/>
  <c r="Q2190" i="2"/>
  <c r="T2194" i="2"/>
  <c r="AR2201" i="2"/>
  <c r="V2206" i="2"/>
  <c r="AU2209" i="2"/>
  <c r="Q2216" i="2"/>
  <c r="Q2089" i="2"/>
  <c r="Q2096" i="2"/>
  <c r="Q2103" i="2"/>
  <c r="Q2112" i="2"/>
  <c r="U2113" i="2"/>
  <c r="U2115" i="2"/>
  <c r="V2116" i="2"/>
  <c r="AR2116" i="2"/>
  <c r="U2117" i="2"/>
  <c r="Q2123" i="2"/>
  <c r="AS2126" i="2"/>
  <c r="V2128" i="2"/>
  <c r="U2129" i="2"/>
  <c r="U2135" i="2"/>
  <c r="AU2141" i="2"/>
  <c r="AT2149" i="2"/>
  <c r="Q2169" i="2"/>
  <c r="AR2170" i="2"/>
  <c r="U2177" i="2"/>
  <c r="V2182" i="2"/>
  <c r="AR2182" i="2"/>
  <c r="V2188" i="2"/>
  <c r="U2189" i="2"/>
  <c r="T2190" i="2"/>
  <c r="V2194" i="2"/>
  <c r="AU2194" i="2"/>
  <c r="Q2201" i="2"/>
  <c r="AS2201" i="2"/>
  <c r="AT2210" i="2"/>
  <c r="Q2210" i="2"/>
  <c r="T2217" i="2"/>
  <c r="AS2217" i="2"/>
  <c r="V2217" i="2"/>
  <c r="AR2150" i="2"/>
  <c r="AS2215" i="2"/>
  <c r="AT2250" i="2"/>
  <c r="Q2253" i="2"/>
  <c r="U2258" i="2"/>
  <c r="U2268" i="2"/>
  <c r="AT2268" i="2"/>
  <c r="Q2273" i="2"/>
  <c r="AR2273" i="2"/>
  <c r="U2276" i="2"/>
  <c r="V2293" i="2"/>
  <c r="V2344" i="2"/>
  <c r="U2348" i="2"/>
  <c r="U2357" i="2"/>
  <c r="AU2358" i="2"/>
  <c r="Q2391" i="2"/>
  <c r="U2397" i="2"/>
  <c r="T2404" i="2"/>
  <c r="AR2406" i="2"/>
  <c r="AR2412" i="2"/>
  <c r="Q2416" i="2"/>
  <c r="AR2293" i="2"/>
  <c r="U2394" i="2"/>
  <c r="AR2394" i="2"/>
  <c r="Q2398" i="2"/>
  <c r="AU2412" i="2"/>
  <c r="T2414" i="2"/>
  <c r="AS2414" i="2"/>
  <c r="Q2268" i="2"/>
  <c r="V2273" i="2"/>
  <c r="U2306" i="2"/>
  <c r="AR2312" i="2"/>
  <c r="Q2317" i="2"/>
  <c r="Q2335" i="2"/>
  <c r="T2336" i="2"/>
  <c r="Q2360" i="2"/>
  <c r="AT2370" i="2"/>
  <c r="T2371" i="2"/>
  <c r="Q2374" i="2"/>
  <c r="U2387" i="2"/>
  <c r="U2389" i="2"/>
  <c r="U2391" i="2"/>
  <c r="U2398" i="2"/>
  <c r="AS2237" i="2"/>
  <c r="V2239" i="2"/>
  <c r="AS2239" i="2"/>
  <c r="Q2240" i="2"/>
  <c r="U2250" i="2"/>
  <c r="T2255" i="2"/>
  <c r="Q2258" i="2"/>
  <c r="V2271" i="2"/>
  <c r="Q2276" i="2"/>
  <c r="V2281" i="2"/>
  <c r="Q2284" i="2"/>
  <c r="Q2292" i="2"/>
  <c r="Q2293" i="2"/>
  <c r="Q2298" i="2"/>
  <c r="AT2306" i="2"/>
  <c r="U2309" i="2"/>
  <c r="T2335" i="2"/>
  <c r="V2362" i="2"/>
  <c r="Q2406" i="2"/>
  <c r="AR2409" i="2"/>
  <c r="V231" i="2"/>
  <c r="Q231" i="2"/>
  <c r="AI247" i="2"/>
  <c r="AU261" i="2"/>
  <c r="AT386" i="2"/>
  <c r="AU386" i="2"/>
  <c r="Q386" i="2"/>
  <c r="U463" i="2"/>
  <c r="AS463" i="2"/>
  <c r="AR623" i="2"/>
  <c r="V623" i="2"/>
  <c r="Q623" i="2"/>
  <c r="AU245" i="2"/>
  <c r="AS252" i="2"/>
  <c r="T343" i="2"/>
  <c r="AR343" i="2"/>
  <c r="Q343" i="2"/>
  <c r="AT394" i="2"/>
  <c r="AU394" i="2"/>
  <c r="Q394" i="2"/>
  <c r="AR455" i="2"/>
  <c r="V455" i="2"/>
  <c r="Q455" i="2"/>
  <c r="AS469" i="2"/>
  <c r="AR502" i="2"/>
  <c r="U502" i="2"/>
  <c r="Q502" i="2"/>
  <c r="Q522" i="2"/>
  <c r="AR522" i="2"/>
  <c r="AS533" i="2"/>
  <c r="Q538" i="2"/>
  <c r="AR538" i="2"/>
  <c r="AS571" i="2"/>
  <c r="U571" i="2"/>
  <c r="Q36" i="2"/>
  <c r="T53" i="2"/>
  <c r="U53" i="2"/>
  <c r="AU253" i="2"/>
  <c r="AI258" i="2"/>
  <c r="AT266" i="2"/>
  <c r="Q266" i="2"/>
  <c r="AS299" i="2"/>
  <c r="V299" i="2"/>
  <c r="T299" i="2"/>
  <c r="Q299" i="2"/>
  <c r="V320" i="2"/>
  <c r="AR320" i="2"/>
  <c r="AR344" i="2"/>
  <c r="Q344" i="2"/>
  <c r="AT369" i="2"/>
  <c r="V369" i="2"/>
  <c r="AR391" i="2"/>
  <c r="T453" i="2"/>
  <c r="AU453" i="2"/>
  <c r="AI481" i="2"/>
  <c r="T489" i="2"/>
  <c r="AS489" i="2"/>
  <c r="U495" i="2"/>
  <c r="AS495" i="2"/>
  <c r="U530" i="2"/>
  <c r="V611" i="2"/>
  <c r="AS611" i="2"/>
  <c r="U611" i="2"/>
  <c r="Q611" i="2"/>
  <c r="V227" i="2"/>
  <c r="AI298" i="2"/>
  <c r="AU317" i="2"/>
  <c r="V319" i="2"/>
  <c r="T319" i="2"/>
  <c r="AS319" i="2"/>
  <c r="Q319" i="2"/>
  <c r="AU335" i="2"/>
  <c r="AR335" i="2"/>
  <c r="V335" i="2"/>
  <c r="Q335" i="2"/>
  <c r="AT377" i="2"/>
  <c r="V377" i="2"/>
  <c r="AR400" i="2"/>
  <c r="Q400" i="2"/>
  <c r="AR487" i="2"/>
  <c r="Q487" i="2"/>
  <c r="V487" i="2"/>
  <c r="AI505" i="2"/>
  <c r="AR642" i="2"/>
  <c r="Q642" i="2"/>
  <c r="U219" i="2"/>
  <c r="Q223" i="2"/>
  <c r="AI314" i="2"/>
  <c r="AR387" i="2"/>
  <c r="AT441" i="2"/>
  <c r="V441" i="2"/>
  <c r="AS461" i="2"/>
  <c r="U487" i="2"/>
  <c r="Q218" i="2"/>
  <c r="U223" i="2"/>
  <c r="Q226" i="2"/>
  <c r="AR263" i="2"/>
  <c r="Q263" i="2"/>
  <c r="V263" i="2"/>
  <c r="AU266" i="2"/>
  <c r="AU325" i="2"/>
  <c r="AR408" i="2"/>
  <c r="Q408" i="2"/>
  <c r="AT433" i="2"/>
  <c r="V433" i="2"/>
  <c r="Q450" i="2"/>
  <c r="AR486" i="2"/>
  <c r="Q486" i="2"/>
  <c r="U507" i="2"/>
  <c r="AS507" i="2"/>
  <c r="AS553" i="2"/>
  <c r="Q562" i="2"/>
  <c r="AR562" i="2"/>
  <c r="Q594" i="2"/>
  <c r="AR594" i="2"/>
  <c r="AS619" i="2"/>
  <c r="Q619" i="2"/>
  <c r="V619" i="2"/>
  <c r="U619" i="2"/>
  <c r="AU258" i="2"/>
  <c r="T259" i="2"/>
  <c r="T267" i="2"/>
  <c r="V283" i="2"/>
  <c r="AS283" i="2"/>
  <c r="Q295" i="2"/>
  <c r="AS296" i="2"/>
  <c r="AU298" i="2"/>
  <c r="U306" i="2"/>
  <c r="AR307" i="2"/>
  <c r="AS312" i="2"/>
  <c r="AT314" i="2"/>
  <c r="AR323" i="2"/>
  <c r="AU370" i="2"/>
  <c r="AU378" i="2"/>
  <c r="AR384" i="2"/>
  <c r="AR392" i="2"/>
  <c r="AU434" i="2"/>
  <c r="AU442" i="2"/>
  <c r="AU449" i="2"/>
  <c r="U451" i="2"/>
  <c r="U462" i="2"/>
  <c r="AR470" i="2"/>
  <c r="Q471" i="2"/>
  <c r="T473" i="2"/>
  <c r="AS475" i="2"/>
  <c r="AU481" i="2"/>
  <c r="AR490" i="2"/>
  <c r="Q491" i="2"/>
  <c r="T493" i="2"/>
  <c r="U494" i="2"/>
  <c r="U506" i="2"/>
  <c r="V511" i="2"/>
  <c r="AI511" i="2"/>
  <c r="AI519" i="2"/>
  <c r="AS523" i="2"/>
  <c r="T525" i="2"/>
  <c r="U539" i="2"/>
  <c r="T541" i="2"/>
  <c r="AU541" i="2"/>
  <c r="Q543" i="2"/>
  <c r="U550" i="2"/>
  <c r="Q570" i="2"/>
  <c r="AI579" i="2"/>
  <c r="AU589" i="2"/>
  <c r="T589" i="2"/>
  <c r="Q602" i="2"/>
  <c r="AR602" i="2"/>
  <c r="Q610" i="2"/>
  <c r="T621" i="2"/>
  <c r="AU621" i="2"/>
  <c r="AS643" i="2"/>
  <c r="Q643" i="2"/>
  <c r="V643" i="2"/>
  <c r="AT242" i="2"/>
  <c r="AU251" i="2"/>
  <c r="AU255" i="2"/>
  <c r="AR259" i="2"/>
  <c r="V267" i="2"/>
  <c r="AS267" i="2"/>
  <c r="U275" i="2"/>
  <c r="AU277" i="2"/>
  <c r="U279" i="2"/>
  <c r="AS280" i="2"/>
  <c r="AT282" i="2"/>
  <c r="U291" i="2"/>
  <c r="AR295" i="2"/>
  <c r="U327" i="2"/>
  <c r="AS328" i="2"/>
  <c r="AU330" i="2"/>
  <c r="AR462" i="2"/>
  <c r="AU465" i="2"/>
  <c r="AS471" i="2"/>
  <c r="U475" i="2"/>
  <c r="AS477" i="2"/>
  <c r="T481" i="2"/>
  <c r="AR491" i="2"/>
  <c r="AR494" i="2"/>
  <c r="AU497" i="2"/>
  <c r="T505" i="2"/>
  <c r="AR506" i="2"/>
  <c r="AS509" i="2"/>
  <c r="AS513" i="2"/>
  <c r="AU513" i="2"/>
  <c r="U523" i="2"/>
  <c r="Q526" i="2"/>
  <c r="T529" i="2"/>
  <c r="AU531" i="2"/>
  <c r="T531" i="2"/>
  <c r="AS535" i="2"/>
  <c r="V543" i="2"/>
  <c r="AR543" i="2"/>
  <c r="AU551" i="2"/>
  <c r="AR570" i="2"/>
  <c r="Q575" i="2"/>
  <c r="AS585" i="2"/>
  <c r="U602" i="2"/>
  <c r="U643" i="2"/>
  <c r="T645" i="2"/>
  <c r="AU645" i="2"/>
  <c r="U251" i="2"/>
  <c r="U255" i="2"/>
  <c r="AR275" i="2"/>
  <c r="AR279" i="2"/>
  <c r="AR291" i="2"/>
  <c r="U295" i="2"/>
  <c r="AU295" i="2"/>
  <c r="AR327" i="2"/>
  <c r="U471" i="2"/>
  <c r="AS473" i="2"/>
  <c r="U491" i="2"/>
  <c r="AS491" i="2"/>
  <c r="V523" i="2"/>
  <c r="AS525" i="2"/>
  <c r="AR534" i="2"/>
  <c r="AS539" i="2"/>
  <c r="V563" i="2"/>
  <c r="AR563" i="2"/>
  <c r="AS563" i="2"/>
  <c r="U582" i="2"/>
  <c r="U587" i="2"/>
  <c r="AS587" i="2"/>
  <c r="V595" i="2"/>
  <c r="AR595" i="2"/>
  <c r="AS595" i="2"/>
  <c r="AR618" i="2"/>
  <c r="Q618" i="2"/>
  <c r="AI635" i="2"/>
  <c r="U683" i="2"/>
  <c r="AS683" i="2"/>
  <c r="U711" i="2"/>
  <c r="AU711" i="2"/>
  <c r="AT738" i="2"/>
  <c r="AS749" i="2"/>
  <c r="AS757" i="2"/>
  <c r="AU841" i="2"/>
  <c r="AR983" i="2"/>
  <c r="AR1031" i="2"/>
  <c r="V1037" i="2"/>
  <c r="Q1039" i="2"/>
  <c r="AS1039" i="2"/>
  <c r="AU1045" i="2"/>
  <c r="AI1047" i="2"/>
  <c r="V1048" i="2"/>
  <c r="U1051" i="2"/>
  <c r="AU1051" i="2"/>
  <c r="AT1052" i="2"/>
  <c r="AU1053" i="2"/>
  <c r="AS1055" i="2"/>
  <c r="T1063" i="2"/>
  <c r="Q1071" i="2"/>
  <c r="AR1072" i="2"/>
  <c r="AR1075" i="2"/>
  <c r="AT1077" i="2"/>
  <c r="AU1077" i="2"/>
  <c r="U1098" i="2"/>
  <c r="Q1098" i="2"/>
  <c r="U519" i="2"/>
  <c r="AS519" i="2"/>
  <c r="AS521" i="2"/>
  <c r="AS537" i="2"/>
  <c r="U547" i="2"/>
  <c r="AU549" i="2"/>
  <c r="T557" i="2"/>
  <c r="V559" i="2"/>
  <c r="AR559" i="2"/>
  <c r="AR578" i="2"/>
  <c r="Q579" i="2"/>
  <c r="AU581" i="2"/>
  <c r="U586" i="2"/>
  <c r="V591" i="2"/>
  <c r="AR591" i="2"/>
  <c r="Q603" i="2"/>
  <c r="T605" i="2"/>
  <c r="V607" i="2"/>
  <c r="AR607" i="2"/>
  <c r="AR626" i="2"/>
  <c r="Q627" i="2"/>
  <c r="T629" i="2"/>
  <c r="U635" i="2"/>
  <c r="AU637" i="2"/>
  <c r="AS651" i="2"/>
  <c r="U659" i="2"/>
  <c r="AU661" i="2"/>
  <c r="U662" i="2"/>
  <c r="AS665" i="2"/>
  <c r="AR666" i="2"/>
  <c r="Q667" i="2"/>
  <c r="AI667" i="2"/>
  <c r="T669" i="2"/>
  <c r="V671" i="2"/>
  <c r="AR671" i="2"/>
  <c r="AS675" i="2"/>
  <c r="Q682" i="2"/>
  <c r="V683" i="2"/>
  <c r="U691" i="2"/>
  <c r="AU693" i="2"/>
  <c r="U694" i="2"/>
  <c r="AS697" i="2"/>
  <c r="AR698" i="2"/>
  <c r="Q699" i="2"/>
  <c r="AU701" i="2"/>
  <c r="AT706" i="2"/>
  <c r="AT710" i="2"/>
  <c r="V711" i="2"/>
  <c r="Q712" i="2"/>
  <c r="AT714" i="2"/>
  <c r="Q715" i="2"/>
  <c r="AU719" i="2"/>
  <c r="Q720" i="2"/>
  <c r="U722" i="2"/>
  <c r="AS727" i="2"/>
  <c r="V728" i="2"/>
  <c r="V731" i="2"/>
  <c r="AS731" i="2"/>
  <c r="AR735" i="2"/>
  <c r="V747" i="2"/>
  <c r="U754" i="2"/>
  <c r="U764" i="2"/>
  <c r="T765" i="2"/>
  <c r="V769" i="2"/>
  <c r="AS769" i="2"/>
  <c r="U771" i="2"/>
  <c r="AS771" i="2"/>
  <c r="T779" i="2"/>
  <c r="AR780" i="2"/>
  <c r="AU781" i="2"/>
  <c r="Q783" i="2"/>
  <c r="AI783" i="2"/>
  <c r="U787" i="2"/>
  <c r="AR792" i="2"/>
  <c r="AU793" i="2"/>
  <c r="Q796" i="2"/>
  <c r="AU797" i="2"/>
  <c r="Q800" i="2"/>
  <c r="AS801" i="2"/>
  <c r="AR803" i="2"/>
  <c r="Q808" i="2"/>
  <c r="AU809" i="2"/>
  <c r="V815" i="2"/>
  <c r="AR815" i="2"/>
  <c r="Q816" i="2"/>
  <c r="AS817" i="2"/>
  <c r="AR819" i="2"/>
  <c r="U827" i="2"/>
  <c r="AS829" i="2"/>
  <c r="Q831" i="2"/>
  <c r="AI833" i="2"/>
  <c r="Q835" i="2"/>
  <c r="AI835" i="2"/>
  <c r="U836" i="2"/>
  <c r="U840" i="2"/>
  <c r="AS843" i="2"/>
  <c r="AR848" i="2"/>
  <c r="AU849" i="2"/>
  <c r="U851" i="2"/>
  <c r="AS851" i="2"/>
  <c r="U859" i="2"/>
  <c r="AS861" i="2"/>
  <c r="Q863" i="2"/>
  <c r="AI865" i="2"/>
  <c r="Q867" i="2"/>
  <c r="AI867" i="2"/>
  <c r="U868" i="2"/>
  <c r="U875" i="2"/>
  <c r="AS877" i="2"/>
  <c r="Q879" i="2"/>
  <c r="AI881" i="2"/>
  <c r="Q883" i="2"/>
  <c r="AI883" i="2"/>
  <c r="U884" i="2"/>
  <c r="Q888" i="2"/>
  <c r="AU889" i="2"/>
  <c r="V895" i="2"/>
  <c r="AR895" i="2"/>
  <c r="Q896" i="2"/>
  <c r="AS897" i="2"/>
  <c r="AR899" i="2"/>
  <c r="AR904" i="2"/>
  <c r="T905" i="2"/>
  <c r="Q907" i="2"/>
  <c r="AI907" i="2"/>
  <c r="AR912" i="2"/>
  <c r="T913" i="2"/>
  <c r="U916" i="2"/>
  <c r="AI921" i="2"/>
  <c r="Q923" i="2"/>
  <c r="AI923" i="2"/>
  <c r="AR928" i="2"/>
  <c r="T929" i="2"/>
  <c r="U932" i="2"/>
  <c r="Q936" i="2"/>
  <c r="AS937" i="2"/>
  <c r="AR939" i="2"/>
  <c r="AS941" i="2"/>
  <c r="Q943" i="2"/>
  <c r="U947" i="2"/>
  <c r="AR952" i="2"/>
  <c r="AU953" i="2"/>
  <c r="U955" i="2"/>
  <c r="AS955" i="2"/>
  <c r="V959" i="2"/>
  <c r="AR959" i="2"/>
  <c r="Q960" i="2"/>
  <c r="AU961" i="2"/>
  <c r="AR968" i="2"/>
  <c r="AU969" i="2"/>
  <c r="U971" i="2"/>
  <c r="AS971" i="2"/>
  <c r="U975" i="2"/>
  <c r="AU975" i="2"/>
  <c r="AS976" i="2"/>
  <c r="Q982" i="2"/>
  <c r="AU983" i="2"/>
  <c r="Q984" i="2"/>
  <c r="U991" i="2"/>
  <c r="AU991" i="2"/>
  <c r="AS992" i="2"/>
  <c r="AR999" i="2"/>
  <c r="AU1007" i="2"/>
  <c r="AR1008" i="2"/>
  <c r="V1011" i="2"/>
  <c r="AT1013" i="2"/>
  <c r="T1019" i="2"/>
  <c r="V1021" i="2"/>
  <c r="U1026" i="2"/>
  <c r="AU1027" i="2"/>
  <c r="U1028" i="2"/>
  <c r="AT1028" i="2"/>
  <c r="U1031" i="2"/>
  <c r="AU1031" i="2"/>
  <c r="AR1048" i="2"/>
  <c r="U1055" i="2"/>
  <c r="AT1065" i="2"/>
  <c r="AT1069" i="2"/>
  <c r="AR1071" i="2"/>
  <c r="Q1074" i="2"/>
  <c r="AT1085" i="2"/>
  <c r="AT1098" i="2"/>
  <c r="V1103" i="2"/>
  <c r="AR1103" i="2"/>
  <c r="Q1103" i="2"/>
  <c r="Q1106" i="2"/>
  <c r="AU613" i="2"/>
  <c r="U651" i="2"/>
  <c r="AU653" i="2"/>
  <c r="U675" i="2"/>
  <c r="AU677" i="2"/>
  <c r="AR682" i="2"/>
  <c r="Q683" i="2"/>
  <c r="AU685" i="2"/>
  <c r="Q711" i="2"/>
  <c r="AR711" i="2"/>
  <c r="V715" i="2"/>
  <c r="AS715" i="2"/>
  <c r="Q718" i="2"/>
  <c r="U719" i="2"/>
  <c r="V720" i="2"/>
  <c r="U727" i="2"/>
  <c r="AU727" i="2"/>
  <c r="U738" i="2"/>
  <c r="T749" i="2"/>
  <c r="T757" i="2"/>
  <c r="AU767" i="2"/>
  <c r="AU777" i="2"/>
  <c r="U796" i="2"/>
  <c r="AR800" i="2"/>
  <c r="AU801" i="2"/>
  <c r="U803" i="2"/>
  <c r="AS803" i="2"/>
  <c r="U808" i="2"/>
  <c r="AR816" i="2"/>
  <c r="AU817" i="2"/>
  <c r="U819" i="2"/>
  <c r="AS819" i="2"/>
  <c r="AU825" i="2"/>
  <c r="V831" i="2"/>
  <c r="AR831" i="2"/>
  <c r="T841" i="2"/>
  <c r="AU857" i="2"/>
  <c r="V863" i="2"/>
  <c r="AR863" i="2"/>
  <c r="AU873" i="2"/>
  <c r="V879" i="2"/>
  <c r="AR879" i="2"/>
  <c r="U888" i="2"/>
  <c r="AR896" i="2"/>
  <c r="AU897" i="2"/>
  <c r="U899" i="2"/>
  <c r="AS899" i="2"/>
  <c r="AR936" i="2"/>
  <c r="AU937" i="2"/>
  <c r="U939" i="2"/>
  <c r="AS939" i="2"/>
  <c r="V943" i="2"/>
  <c r="AR943" i="2"/>
  <c r="AU945" i="2"/>
  <c r="U960" i="2"/>
  <c r="AT982" i="2"/>
  <c r="V984" i="2"/>
  <c r="U1007" i="2"/>
  <c r="U1027" i="2"/>
  <c r="AU1037" i="2"/>
  <c r="U1039" i="2"/>
  <c r="U1071" i="2"/>
  <c r="AU1071" i="2"/>
  <c r="U1075" i="2"/>
  <c r="AU1090" i="2"/>
  <c r="AT1109" i="2"/>
  <c r="AU1109" i="2"/>
  <c r="Q1119" i="2"/>
  <c r="V1119" i="2"/>
  <c r="AU557" i="2"/>
  <c r="U579" i="2"/>
  <c r="AS579" i="2"/>
  <c r="U603" i="2"/>
  <c r="AU605" i="2"/>
  <c r="U627" i="2"/>
  <c r="AU629" i="2"/>
  <c r="U630" i="2"/>
  <c r="AS633" i="2"/>
  <c r="Q650" i="2"/>
  <c r="V651" i="2"/>
  <c r="Q655" i="2"/>
  <c r="U667" i="2"/>
  <c r="AU669" i="2"/>
  <c r="Q674" i="2"/>
  <c r="V675" i="2"/>
  <c r="AR683" i="2"/>
  <c r="Q687" i="2"/>
  <c r="AS691" i="2"/>
  <c r="T693" i="2"/>
  <c r="U699" i="2"/>
  <c r="AS699" i="2"/>
  <c r="AS711" i="2"/>
  <c r="V712" i="2"/>
  <c r="U714" i="2"/>
  <c r="AT718" i="2"/>
  <c r="V719" i="2"/>
  <c r="AT722" i="2"/>
  <c r="AT726" i="2"/>
  <c r="V727" i="2"/>
  <c r="Q728" i="2"/>
  <c r="AS728" i="2"/>
  <c r="AI730" i="2"/>
  <c r="AI738" i="2"/>
  <c r="Q751" i="2"/>
  <c r="U783" i="2"/>
  <c r="AS783" i="2"/>
  <c r="AS787" i="2"/>
  <c r="AI793" i="2"/>
  <c r="AR796" i="2"/>
  <c r="T801" i="2"/>
  <c r="V803" i="2"/>
  <c r="AR808" i="2"/>
  <c r="T817" i="2"/>
  <c r="V819" i="2"/>
  <c r="AS827" i="2"/>
  <c r="U835" i="2"/>
  <c r="AS835" i="2"/>
  <c r="U843" i="2"/>
  <c r="AS845" i="2"/>
  <c r="Q847" i="2"/>
  <c r="AI849" i="2"/>
  <c r="AI851" i="2"/>
  <c r="U852" i="2"/>
  <c r="AS859" i="2"/>
  <c r="U867" i="2"/>
  <c r="AS867" i="2"/>
  <c r="AS875" i="2"/>
  <c r="U883" i="2"/>
  <c r="AS883" i="2"/>
  <c r="V885" i="2"/>
  <c r="T887" i="2"/>
  <c r="AR888" i="2"/>
  <c r="T897" i="2"/>
  <c r="V899" i="2"/>
  <c r="Q904" i="2"/>
  <c r="AU905" i="2"/>
  <c r="U907" i="2"/>
  <c r="AS907" i="2"/>
  <c r="Q912" i="2"/>
  <c r="AU913" i="2"/>
  <c r="U923" i="2"/>
  <c r="AS923" i="2"/>
  <c r="Q928" i="2"/>
  <c r="AU929" i="2"/>
  <c r="V933" i="2"/>
  <c r="T935" i="2"/>
  <c r="T937" i="2"/>
  <c r="V939" i="2"/>
  <c r="AS947" i="2"/>
  <c r="AI953" i="2"/>
  <c r="AR960" i="2"/>
  <c r="U964" i="2"/>
  <c r="AI969" i="2"/>
  <c r="AI971" i="2"/>
  <c r="U974" i="2"/>
  <c r="U983" i="2"/>
  <c r="AS984" i="2"/>
  <c r="U990" i="2"/>
  <c r="Q995" i="2"/>
  <c r="V1007" i="2"/>
  <c r="V1027" i="2"/>
  <c r="V1039" i="2"/>
  <c r="Q1055" i="2"/>
  <c r="AR1055" i="2"/>
  <c r="V1065" i="2"/>
  <c r="AT1066" i="2"/>
  <c r="V1071" i="2"/>
  <c r="Q1082" i="2"/>
  <c r="U1082" i="2"/>
  <c r="T1115" i="2"/>
  <c r="AR1115" i="2"/>
  <c r="U1087" i="2"/>
  <c r="AU1087" i="2"/>
  <c r="U1091" i="2"/>
  <c r="AT1097" i="2"/>
  <c r="AR1104" i="2"/>
  <c r="U1107" i="2"/>
  <c r="AU1123" i="2"/>
  <c r="AU1125" i="2"/>
  <c r="U1131" i="2"/>
  <c r="V1137" i="2"/>
  <c r="AU1138" i="2"/>
  <c r="U1148" i="2"/>
  <c r="V1153" i="2"/>
  <c r="AU1154" i="2"/>
  <c r="AR1160" i="2"/>
  <c r="Q1162" i="2"/>
  <c r="AR1163" i="2"/>
  <c r="V1167" i="2"/>
  <c r="AT1172" i="2"/>
  <c r="U1172" i="2"/>
  <c r="U1178" i="2"/>
  <c r="AU1195" i="2"/>
  <c r="V1195" i="2"/>
  <c r="Q1195" i="2"/>
  <c r="AR1091" i="2"/>
  <c r="AT1101" i="2"/>
  <c r="AR1107" i="2"/>
  <c r="U1123" i="2"/>
  <c r="AT1130" i="2"/>
  <c r="AR1144" i="2"/>
  <c r="AU1167" i="2"/>
  <c r="Q1171" i="2"/>
  <c r="AS1176" i="2"/>
  <c r="Q1176" i="2"/>
  <c r="AI1215" i="2"/>
  <c r="Q1175" i="2"/>
  <c r="AU1191" i="2"/>
  <c r="V1191" i="2"/>
  <c r="Q1191" i="2"/>
  <c r="AT1081" i="2"/>
  <c r="AR1087" i="2"/>
  <c r="V1104" i="2"/>
  <c r="AT1114" i="2"/>
  <c r="Q1123" i="2"/>
  <c r="AS1123" i="2"/>
  <c r="AT1129" i="2"/>
  <c r="AU1131" i="2"/>
  <c r="AU1133" i="2"/>
  <c r="AU1135" i="2"/>
  <c r="AR1136" i="2"/>
  <c r="Q1138" i="2"/>
  <c r="T1143" i="2"/>
  <c r="AR1151" i="2"/>
  <c r="AR1152" i="2"/>
  <c r="Q1154" i="2"/>
  <c r="Q1160" i="2"/>
  <c r="U1164" i="2"/>
  <c r="Q1167" i="2"/>
  <c r="AS1168" i="2"/>
  <c r="Q1168" i="2"/>
  <c r="V1175" i="2"/>
  <c r="AU1175" i="2"/>
  <c r="AS1192" i="2"/>
  <c r="AR1192" i="2"/>
  <c r="Q1192" i="2"/>
  <c r="U1194" i="2"/>
  <c r="AU1249" i="2"/>
  <c r="AT1293" i="2"/>
  <c r="U1300" i="2"/>
  <c r="AS1300" i="2"/>
  <c r="AS1338" i="2"/>
  <c r="U1352" i="2"/>
  <c r="AS1354" i="2"/>
  <c r="AU1366" i="2"/>
  <c r="U1380" i="2"/>
  <c r="AU1382" i="2"/>
  <c r="AU1406" i="2"/>
  <c r="U1460" i="2"/>
  <c r="AS1460" i="2"/>
  <c r="AI1506" i="2"/>
  <c r="AI1538" i="2"/>
  <c r="AR1544" i="2"/>
  <c r="T1544" i="2"/>
  <c r="T1550" i="2"/>
  <c r="AS1550" i="2"/>
  <c r="AU1552" i="2"/>
  <c r="T1552" i="2"/>
  <c r="T1582" i="2"/>
  <c r="AS1582" i="2"/>
  <c r="AR1599" i="2"/>
  <c r="U1599" i="2"/>
  <c r="Q1599" i="2"/>
  <c r="U1632" i="2"/>
  <c r="AS1632" i="2"/>
  <c r="AR1639" i="2"/>
  <c r="Q1639" i="2"/>
  <c r="AI1664" i="2"/>
  <c r="AR1716" i="2"/>
  <c r="V1716" i="2"/>
  <c r="Q1716" i="2"/>
  <c r="AS1742" i="2"/>
  <c r="AR1742" i="2"/>
  <c r="Q1742" i="2"/>
  <c r="V1742" i="2"/>
  <c r="AU1821" i="2"/>
  <c r="T1821" i="2"/>
  <c r="AT1824" i="2"/>
  <c r="U1824" i="2"/>
  <c r="AS1886" i="2"/>
  <c r="AR1886" i="2"/>
  <c r="Q1886" i="2"/>
  <c r="V1886" i="2"/>
  <c r="U1886" i="2"/>
  <c r="V1179" i="2"/>
  <c r="AU1179" i="2"/>
  <c r="AU1199" i="2"/>
  <c r="Q1223" i="2"/>
  <c r="Q1224" i="2"/>
  <c r="Q1227" i="2"/>
  <c r="AI1235" i="2"/>
  <c r="Q1255" i="2"/>
  <c r="AR1273" i="2"/>
  <c r="AS1276" i="2"/>
  <c r="Q1284" i="2"/>
  <c r="AS1288" i="2"/>
  <c r="AU1290" i="2"/>
  <c r="U1291" i="2"/>
  <c r="Q1293" i="2"/>
  <c r="Q1295" i="2"/>
  <c r="V1300" i="2"/>
  <c r="AI1302" i="2"/>
  <c r="AR1304" i="2"/>
  <c r="U1315" i="2"/>
  <c r="AS1318" i="2"/>
  <c r="Q1327" i="2"/>
  <c r="AR1336" i="2"/>
  <c r="AI1342" i="2"/>
  <c r="Q1344" i="2"/>
  <c r="AS1346" i="2"/>
  <c r="Q1351" i="2"/>
  <c r="V1352" i="2"/>
  <c r="AR1364" i="2"/>
  <c r="Q1368" i="2"/>
  <c r="AS1372" i="2"/>
  <c r="Q1379" i="2"/>
  <c r="V1380" i="2"/>
  <c r="Q1384" i="2"/>
  <c r="AU1390" i="2"/>
  <c r="U1391" i="2"/>
  <c r="AS1394" i="2"/>
  <c r="U1404" i="2"/>
  <c r="AS1412" i="2"/>
  <c r="U1428" i="2"/>
  <c r="AU1430" i="2"/>
  <c r="Q1435" i="2"/>
  <c r="AS1436" i="2"/>
  <c r="T1438" i="2"/>
  <c r="U1444" i="2"/>
  <c r="AS1444" i="2"/>
  <c r="AR1451" i="2"/>
  <c r="AI1454" i="2"/>
  <c r="Q1459" i="2"/>
  <c r="V1460" i="2"/>
  <c r="U1468" i="2"/>
  <c r="AU1470" i="2"/>
  <c r="U1471" i="2"/>
  <c r="AS1474" i="2"/>
  <c r="AU1478" i="2"/>
  <c r="Q1483" i="2"/>
  <c r="U1487" i="2"/>
  <c r="AS1492" i="2"/>
  <c r="U1493" i="2"/>
  <c r="U1496" i="2"/>
  <c r="AR1497" i="2"/>
  <c r="U1500" i="2"/>
  <c r="AU1500" i="2"/>
  <c r="AR1501" i="2"/>
  <c r="AS1502" i="2"/>
  <c r="U1505" i="2"/>
  <c r="AS1509" i="2"/>
  <c r="V1509" i="2"/>
  <c r="AS1510" i="2"/>
  <c r="V1517" i="2"/>
  <c r="AS1517" i="2"/>
  <c r="AS1529" i="2"/>
  <c r="Q1553" i="2"/>
  <c r="AT1555" i="2"/>
  <c r="Q1555" i="2"/>
  <c r="AR1559" i="2"/>
  <c r="U1559" i="2"/>
  <c r="Q1559" i="2"/>
  <c r="AI1562" i="2"/>
  <c r="T1570" i="2"/>
  <c r="AS1570" i="2"/>
  <c r="AR1640" i="2"/>
  <c r="Q1640" i="2"/>
  <c r="V1640" i="2"/>
  <c r="AR1652" i="2"/>
  <c r="V1652" i="2"/>
  <c r="Q1652" i="2"/>
  <c r="T1714" i="2"/>
  <c r="AU1714" i="2"/>
  <c r="AT1736" i="2"/>
  <c r="U1736" i="2"/>
  <c r="AU1736" i="2"/>
  <c r="AS1736" i="2"/>
  <c r="U1742" i="2"/>
  <c r="AU1742" i="2"/>
  <c r="AR1753" i="2"/>
  <c r="U1753" i="2"/>
  <c r="Q1753" i="2"/>
  <c r="U1761" i="2"/>
  <c r="U1769" i="2"/>
  <c r="AR1782" i="2"/>
  <c r="Q1782" i="2"/>
  <c r="V1782" i="2"/>
  <c r="T1806" i="2"/>
  <c r="AU1806" i="2"/>
  <c r="V1223" i="2"/>
  <c r="AU1223" i="2"/>
  <c r="AR1224" i="2"/>
  <c r="V1227" i="2"/>
  <c r="AU1227" i="2"/>
  <c r="AR1232" i="2"/>
  <c r="V1255" i="2"/>
  <c r="AU1255" i="2"/>
  <c r="AU1274" i="2"/>
  <c r="V1284" i="2"/>
  <c r="U1288" i="2"/>
  <c r="U1295" i="2"/>
  <c r="Q1300" i="2"/>
  <c r="U1304" i="2"/>
  <c r="AU1304" i="2"/>
  <c r="AU1306" i="2"/>
  <c r="AU1318" i="2"/>
  <c r="U1327" i="2"/>
  <c r="U1336" i="2"/>
  <c r="AS1336" i="2"/>
  <c r="T1338" i="2"/>
  <c r="V1344" i="2"/>
  <c r="AR1344" i="2"/>
  <c r="AR1351" i="2"/>
  <c r="Q1352" i="2"/>
  <c r="T1354" i="2"/>
  <c r="U1364" i="2"/>
  <c r="AS1364" i="2"/>
  <c r="T1366" i="2"/>
  <c r="V1368" i="2"/>
  <c r="AR1368" i="2"/>
  <c r="AU1374" i="2"/>
  <c r="AR1379" i="2"/>
  <c r="Q1380" i="2"/>
  <c r="T1382" i="2"/>
  <c r="V1384" i="2"/>
  <c r="AR1384" i="2"/>
  <c r="T1406" i="2"/>
  <c r="U1412" i="2"/>
  <c r="AU1414" i="2"/>
  <c r="AR1435" i="2"/>
  <c r="AR1459" i="2"/>
  <c r="Q1460" i="2"/>
  <c r="AU1462" i="2"/>
  <c r="U1483" i="2"/>
  <c r="U1492" i="2"/>
  <c r="AU1492" i="2"/>
  <c r="AR1493" i="2"/>
  <c r="AR1496" i="2"/>
  <c r="V1498" i="2"/>
  <c r="AS1498" i="2"/>
  <c r="AI1510" i="2"/>
  <c r="V1522" i="2"/>
  <c r="AI1528" i="2"/>
  <c r="AU1542" i="2"/>
  <c r="V1542" i="2"/>
  <c r="U1564" i="2"/>
  <c r="AS1564" i="2"/>
  <c r="V1574" i="2"/>
  <c r="AU1580" i="2"/>
  <c r="T1580" i="2"/>
  <c r="U1595" i="2"/>
  <c r="AR1623" i="2"/>
  <c r="Q1623" i="2"/>
  <c r="AR1691" i="2"/>
  <c r="AR1732" i="2"/>
  <c r="V1732" i="2"/>
  <c r="Q1732" i="2"/>
  <c r="AU1791" i="2"/>
  <c r="AS1791" i="2"/>
  <c r="Q1791" i="2"/>
  <c r="V1791" i="2"/>
  <c r="V1800" i="2"/>
  <c r="Q1800" i="2"/>
  <c r="AU1803" i="2"/>
  <c r="AS1803" i="2"/>
  <c r="Q1803" i="2"/>
  <c r="V1803" i="2"/>
  <c r="AS1906" i="2"/>
  <c r="AR1906" i="2"/>
  <c r="Q1906" i="2"/>
  <c r="V1906" i="2"/>
  <c r="U1906" i="2"/>
  <c r="V1928" i="2"/>
  <c r="AR1943" i="2"/>
  <c r="Q1943" i="2"/>
  <c r="AR1954" i="2"/>
  <c r="V1954" i="2"/>
  <c r="Q1954" i="2"/>
  <c r="AR1974" i="2"/>
  <c r="V1974" i="2"/>
  <c r="Q1974" i="2"/>
  <c r="Q1187" i="2"/>
  <c r="Q1199" i="2"/>
  <c r="V1203" i="2"/>
  <c r="AU1203" i="2"/>
  <c r="V1215" i="2"/>
  <c r="Q1216" i="2"/>
  <c r="Q1218" i="2"/>
  <c r="Q1219" i="2"/>
  <c r="Q1231" i="2"/>
  <c r="Q1232" i="2"/>
  <c r="V1233" i="2"/>
  <c r="AU1234" i="2"/>
  <c r="V1239" i="2"/>
  <c r="AU1239" i="2"/>
  <c r="AR1256" i="2"/>
  <c r="AI1264" i="2"/>
  <c r="T1267" i="2"/>
  <c r="AU1268" i="2"/>
  <c r="T1271" i="2"/>
  <c r="V1272" i="2"/>
  <c r="AR1272" i="2"/>
  <c r="T1286" i="2"/>
  <c r="AS1286" i="2"/>
  <c r="V1288" i="2"/>
  <c r="T1290" i="2"/>
  <c r="U1293" i="2"/>
  <c r="AT1295" i="2"/>
  <c r="Q1296" i="2"/>
  <c r="V1304" i="2"/>
  <c r="U1312" i="2"/>
  <c r="AI1314" i="2"/>
  <c r="T1318" i="2"/>
  <c r="U1323" i="2"/>
  <c r="AR1327" i="2"/>
  <c r="AU1328" i="2"/>
  <c r="AU1330" i="2"/>
  <c r="Q1335" i="2"/>
  <c r="V1336" i="2"/>
  <c r="U1340" i="2"/>
  <c r="AS1340" i="2"/>
  <c r="Q1343" i="2"/>
  <c r="U1348" i="2"/>
  <c r="AS1348" i="2"/>
  <c r="AS1352" i="2"/>
  <c r="U1356" i="2"/>
  <c r="AI1358" i="2"/>
  <c r="Q1363" i="2"/>
  <c r="V1364" i="2"/>
  <c r="U1372" i="2"/>
  <c r="AS1380" i="2"/>
  <c r="T1390" i="2"/>
  <c r="U1396" i="2"/>
  <c r="AU1398" i="2"/>
  <c r="Q1403" i="2"/>
  <c r="AS1404" i="2"/>
  <c r="Q1411" i="2"/>
  <c r="V1412" i="2"/>
  <c r="Q1416" i="2"/>
  <c r="AR1419" i="2"/>
  <c r="AU1422" i="2"/>
  <c r="U1423" i="2"/>
  <c r="AS1426" i="2"/>
  <c r="AR1427" i="2"/>
  <c r="Q1428" i="2"/>
  <c r="T1430" i="2"/>
  <c r="V1432" i="2"/>
  <c r="AR1432" i="2"/>
  <c r="U1436" i="2"/>
  <c r="AU1438" i="2"/>
  <c r="U1439" i="2"/>
  <c r="AS1442" i="2"/>
  <c r="AR1443" i="2"/>
  <c r="Q1444" i="2"/>
  <c r="AU1446" i="2"/>
  <c r="Q1451" i="2"/>
  <c r="AR1460" i="2"/>
  <c r="Q1464" i="2"/>
  <c r="U1467" i="2"/>
  <c r="AS1468" i="2"/>
  <c r="T1470" i="2"/>
  <c r="U1476" i="2"/>
  <c r="AS1476" i="2"/>
  <c r="T1478" i="2"/>
  <c r="V1480" i="2"/>
  <c r="AR1480" i="2"/>
  <c r="AR1483" i="2"/>
  <c r="AI1486" i="2"/>
  <c r="V1490" i="2"/>
  <c r="AS1490" i="2"/>
  <c r="V1492" i="2"/>
  <c r="Q1493" i="2"/>
  <c r="AS1493" i="2"/>
  <c r="AS1494" i="2"/>
  <c r="AU1496" i="2"/>
  <c r="Q1497" i="2"/>
  <c r="Q1500" i="2"/>
  <c r="AR1500" i="2"/>
  <c r="AU1504" i="2"/>
  <c r="V1520" i="2"/>
  <c r="Q1520" i="2"/>
  <c r="V1536" i="2"/>
  <c r="AR1536" i="2"/>
  <c r="AS1536" i="2"/>
  <c r="AT1581" i="2"/>
  <c r="U1588" i="2"/>
  <c r="AS1588" i="2"/>
  <c r="AS1614" i="2"/>
  <c r="AR1624" i="2"/>
  <c r="Q1624" i="2"/>
  <c r="V1624" i="2"/>
  <c r="AS1630" i="2"/>
  <c r="AS1640" i="2"/>
  <c r="AR1647" i="2"/>
  <c r="U1647" i="2"/>
  <c r="Q1647" i="2"/>
  <c r="AS1670" i="2"/>
  <c r="T1674" i="2"/>
  <c r="AU1674" i="2"/>
  <c r="T1690" i="2"/>
  <c r="AU1690" i="2"/>
  <c r="U1720" i="2"/>
  <c r="AS1720" i="2"/>
  <c r="T1730" i="2"/>
  <c r="AU1730" i="2"/>
  <c r="AS1743" i="2"/>
  <c r="AR1743" i="2"/>
  <c r="Q1743" i="2"/>
  <c r="AS1746" i="2"/>
  <c r="V1746" i="2"/>
  <c r="Q1746" i="2"/>
  <c r="AT1751" i="2"/>
  <c r="U1765" i="2"/>
  <c r="U1791" i="2"/>
  <c r="U1803" i="2"/>
  <c r="AT1805" i="2"/>
  <c r="AU1815" i="2"/>
  <c r="U1815" i="2"/>
  <c r="AS1815" i="2"/>
  <c r="V1815" i="2"/>
  <c r="Q1815" i="2"/>
  <c r="AS2090" i="2"/>
  <c r="T2110" i="2"/>
  <c r="AU2110" i="2"/>
  <c r="AS2110" i="2"/>
  <c r="T2164" i="2"/>
  <c r="AS2164" i="2"/>
  <c r="AT2167" i="2"/>
  <c r="AT1551" i="2"/>
  <c r="U1563" i="2"/>
  <c r="U1568" i="2"/>
  <c r="U1572" i="2"/>
  <c r="AR1575" i="2"/>
  <c r="Q1576" i="2"/>
  <c r="T1578" i="2"/>
  <c r="U1584" i="2"/>
  <c r="T1586" i="2"/>
  <c r="U1587" i="2"/>
  <c r="T1602" i="2"/>
  <c r="V1604" i="2"/>
  <c r="AR1604" i="2"/>
  <c r="AS1608" i="2"/>
  <c r="AR1615" i="2"/>
  <c r="AU1618" i="2"/>
  <c r="U1631" i="2"/>
  <c r="T1634" i="2"/>
  <c r="V1636" i="2"/>
  <c r="AR1636" i="2"/>
  <c r="AR1655" i="2"/>
  <c r="Q1656" i="2"/>
  <c r="V1660" i="2"/>
  <c r="V1662" i="2"/>
  <c r="AS1662" i="2"/>
  <c r="U1664" i="2"/>
  <c r="AS1664" i="2"/>
  <c r="AR1671" i="2"/>
  <c r="V1676" i="2"/>
  <c r="AI1676" i="2"/>
  <c r="Q1680" i="2"/>
  <c r="AR1680" i="2"/>
  <c r="AR1687" i="2"/>
  <c r="AU1688" i="2"/>
  <c r="Q1692" i="2"/>
  <c r="U1696" i="2"/>
  <c r="AR1703" i="2"/>
  <c r="AI1706" i="2"/>
  <c r="V1708" i="2"/>
  <c r="AR1708" i="2"/>
  <c r="AR1712" i="2"/>
  <c r="U1719" i="2"/>
  <c r="T1722" i="2"/>
  <c r="AR1728" i="2"/>
  <c r="U1735" i="2"/>
  <c r="AU1737" i="2"/>
  <c r="T1756" i="2"/>
  <c r="AS1758" i="2"/>
  <c r="AU1768" i="2"/>
  <c r="AT1779" i="2"/>
  <c r="AI1790" i="2"/>
  <c r="V1792" i="2"/>
  <c r="Q1795" i="2"/>
  <c r="AR1795" i="2"/>
  <c r="AR1796" i="2"/>
  <c r="AU1802" i="2"/>
  <c r="U1804" i="2"/>
  <c r="AS1804" i="2"/>
  <c r="Q1807" i="2"/>
  <c r="AS1807" i="2"/>
  <c r="AI1819" i="2"/>
  <c r="AI1825" i="2"/>
  <c r="AT1917" i="2"/>
  <c r="Q1919" i="2"/>
  <c r="AT1929" i="2"/>
  <c r="T1944" i="2"/>
  <c r="AU1944" i="2"/>
  <c r="AS1944" i="2"/>
  <c r="AR1962" i="2"/>
  <c r="Q1962" i="2"/>
  <c r="V1962" i="2"/>
  <c r="AU1590" i="2"/>
  <c r="U1608" i="2"/>
  <c r="AU1610" i="2"/>
  <c r="AU1626" i="2"/>
  <c r="AU1642" i="2"/>
  <c r="AU1660" i="2"/>
  <c r="U1712" i="2"/>
  <c r="AS1712" i="2"/>
  <c r="U1728" i="2"/>
  <c r="AS1728" i="2"/>
  <c r="U1758" i="2"/>
  <c r="AU1807" i="2"/>
  <c r="Q1866" i="2"/>
  <c r="V1866" i="2"/>
  <c r="T1876" i="2"/>
  <c r="U1918" i="2"/>
  <c r="Q1918" i="2"/>
  <c r="AT1941" i="2"/>
  <c r="AS1948" i="2"/>
  <c r="U1951" i="2"/>
  <c r="AS2052" i="2"/>
  <c r="Q1540" i="2"/>
  <c r="AS1566" i="2"/>
  <c r="AS1568" i="2"/>
  <c r="AS1572" i="2"/>
  <c r="U1576" i="2"/>
  <c r="AU1578" i="2"/>
  <c r="U1579" i="2"/>
  <c r="AS1584" i="2"/>
  <c r="AS1586" i="2"/>
  <c r="Q1592" i="2"/>
  <c r="T1596" i="2"/>
  <c r="AU1602" i="2"/>
  <c r="Q1607" i="2"/>
  <c r="V1608" i="2"/>
  <c r="AU1634" i="2"/>
  <c r="U1656" i="2"/>
  <c r="AS1658" i="2"/>
  <c r="Q1671" i="2"/>
  <c r="U1680" i="2"/>
  <c r="Q1683" i="2"/>
  <c r="AS1686" i="2"/>
  <c r="Q1687" i="2"/>
  <c r="V1692" i="2"/>
  <c r="Q1703" i="2"/>
  <c r="Q1711" i="2"/>
  <c r="V1712" i="2"/>
  <c r="AS1722" i="2"/>
  <c r="Q1727" i="2"/>
  <c r="V1728" i="2"/>
  <c r="AS1756" i="2"/>
  <c r="Q1757" i="2"/>
  <c r="V1758" i="2"/>
  <c r="U1773" i="2"/>
  <c r="U1777" i="2"/>
  <c r="U1795" i="2"/>
  <c r="AU1795" i="2"/>
  <c r="U1807" i="2"/>
  <c r="U1859" i="2"/>
  <c r="AT1885" i="2"/>
  <c r="Q1887" i="2"/>
  <c r="AS1902" i="2"/>
  <c r="AT1905" i="2"/>
  <c r="U1907" i="2"/>
  <c r="Q1907" i="2"/>
  <c r="V1918" i="2"/>
  <c r="AR1918" i="2"/>
  <c r="AT1933" i="2"/>
  <c r="AS1936" i="2"/>
  <c r="V1936" i="2"/>
  <c r="AR1939" i="2"/>
  <c r="U1939" i="2"/>
  <c r="Q1939" i="2"/>
  <c r="AT1965" i="2"/>
  <c r="Q1983" i="2"/>
  <c r="V1983" i="2"/>
  <c r="AT1988" i="2"/>
  <c r="AU1988" i="2"/>
  <c r="T1988" i="2"/>
  <c r="U2132" i="2"/>
  <c r="AS2132" i="2"/>
  <c r="AS1817" i="2"/>
  <c r="U1819" i="2"/>
  <c r="AS1819" i="2"/>
  <c r="AU1825" i="2"/>
  <c r="V1827" i="2"/>
  <c r="AU1829" i="2"/>
  <c r="U1851" i="2"/>
  <c r="U1854" i="2"/>
  <c r="U1858" i="2"/>
  <c r="Q1862" i="2"/>
  <c r="AR1862" i="2"/>
  <c r="T1864" i="2"/>
  <c r="AS1864" i="2"/>
  <c r="AT1869" i="2"/>
  <c r="AR1870" i="2"/>
  <c r="V1874" i="2"/>
  <c r="T1880" i="2"/>
  <c r="AU1888" i="2"/>
  <c r="AS1894" i="2"/>
  <c r="V1898" i="2"/>
  <c r="AI1898" i="2"/>
  <c r="T1920" i="2"/>
  <c r="U1926" i="2"/>
  <c r="U1930" i="2"/>
  <c r="AS1930" i="2"/>
  <c r="AS1934" i="2"/>
  <c r="AU1940" i="2"/>
  <c r="U1946" i="2"/>
  <c r="AS1975" i="2"/>
  <c r="AU1977" i="2"/>
  <c r="U1977" i="2"/>
  <c r="V1978" i="2"/>
  <c r="AR1978" i="2"/>
  <c r="AT2005" i="2"/>
  <c r="U2005" i="2"/>
  <c r="Q2005" i="2"/>
  <c r="T2034" i="2"/>
  <c r="AU2034" i="2"/>
  <c r="AS2034" i="2"/>
  <c r="T2044" i="2"/>
  <c r="Q2044" i="2"/>
  <c r="T2086" i="2"/>
  <c r="AU2086" i="2"/>
  <c r="U2097" i="2"/>
  <c r="AR2136" i="2"/>
  <c r="Q2136" i="2"/>
  <c r="V2136" i="2"/>
  <c r="AT2140" i="2"/>
  <c r="V2140" i="2"/>
  <c r="U2146" i="2"/>
  <c r="AU2146" i="2"/>
  <c r="AR2146" i="2"/>
  <c r="T2160" i="2"/>
  <c r="AS2160" i="2"/>
  <c r="AI2161" i="2"/>
  <c r="AU2199" i="2"/>
  <c r="U2245" i="2"/>
  <c r="AU2252" i="2"/>
  <c r="AR2252" i="2"/>
  <c r="T2252" i="2"/>
  <c r="Q2252" i="2"/>
  <c r="AS2257" i="2"/>
  <c r="AU2259" i="2"/>
  <c r="T2259" i="2"/>
  <c r="AR1827" i="2"/>
  <c r="U1894" i="2"/>
  <c r="AS1920" i="2"/>
  <c r="AS1924" i="2"/>
  <c r="U1934" i="2"/>
  <c r="Q1955" i="2"/>
  <c r="AS1956" i="2"/>
  <c r="U1963" i="2"/>
  <c r="Q1971" i="2"/>
  <c r="AU1972" i="2"/>
  <c r="Q1975" i="2"/>
  <c r="Q1978" i="2"/>
  <c r="AS1978" i="2"/>
  <c r="Q1979" i="2"/>
  <c r="AS1980" i="2"/>
  <c r="AU1982" i="2"/>
  <c r="Q1986" i="2"/>
  <c r="AU1995" i="2"/>
  <c r="U1995" i="2"/>
  <c r="T2002" i="2"/>
  <c r="AU2002" i="2"/>
  <c r="Q2023" i="2"/>
  <c r="AR2031" i="2"/>
  <c r="AT2059" i="2"/>
  <c r="Q2121" i="2"/>
  <c r="U2136" i="2"/>
  <c r="AS2136" i="2"/>
  <c r="Q1819" i="2"/>
  <c r="Q1827" i="2"/>
  <c r="AS1827" i="2"/>
  <c r="T1837" i="2"/>
  <c r="Q1851" i="2"/>
  <c r="AT1851" i="2"/>
  <c r="U1862" i="2"/>
  <c r="Q1869" i="2"/>
  <c r="AS1872" i="2"/>
  <c r="Q1874" i="2"/>
  <c r="AR1874" i="2"/>
  <c r="AS1880" i="2"/>
  <c r="AR1883" i="2"/>
  <c r="AS1892" i="2"/>
  <c r="V1894" i="2"/>
  <c r="Q1895" i="2"/>
  <c r="Q1898" i="2"/>
  <c r="AS1900" i="2"/>
  <c r="U1915" i="2"/>
  <c r="AU1920" i="2"/>
  <c r="Q1926" i="2"/>
  <c r="AR1926" i="2"/>
  <c r="U1927" i="2"/>
  <c r="Q1930" i="2"/>
  <c r="V1934" i="2"/>
  <c r="AS1946" i="2"/>
  <c r="U1950" i="2"/>
  <c r="AS1950" i="2"/>
  <c r="AR1955" i="2"/>
  <c r="AU1956" i="2"/>
  <c r="Q1959" i="2"/>
  <c r="AU1960" i="2"/>
  <c r="AS1966" i="2"/>
  <c r="U1971" i="2"/>
  <c r="AU1976" i="2"/>
  <c r="AU1978" i="2"/>
  <c r="AS1979" i="2"/>
  <c r="T1980" i="2"/>
  <c r="V1986" i="2"/>
  <c r="AS1986" i="2"/>
  <c r="AS2016" i="2"/>
  <c r="Q2016" i="2"/>
  <c r="V2016" i="2"/>
  <c r="U2037" i="2"/>
  <c r="Q2037" i="2"/>
  <c r="T2070" i="2"/>
  <c r="U2099" i="2"/>
  <c r="T1989" i="2"/>
  <c r="AS1996" i="2"/>
  <c r="T2006" i="2"/>
  <c r="Q2020" i="2"/>
  <c r="T2026" i="2"/>
  <c r="U2028" i="2"/>
  <c r="U2032" i="2"/>
  <c r="V2036" i="2"/>
  <c r="AR2036" i="2"/>
  <c r="AI2038" i="2"/>
  <c r="AT2053" i="2"/>
  <c r="U2056" i="2"/>
  <c r="Q2060" i="2"/>
  <c r="AS2068" i="2"/>
  <c r="V2080" i="2"/>
  <c r="V2096" i="2"/>
  <c r="Q2104" i="2"/>
  <c r="T2106" i="2"/>
  <c r="AU2112" i="2"/>
  <c r="AU2126" i="2"/>
  <c r="AU2138" i="2"/>
  <c r="V2142" i="2"/>
  <c r="U2150" i="2"/>
  <c r="AU2150" i="2"/>
  <c r="U2174" i="2"/>
  <c r="AS2174" i="2"/>
  <c r="AS2198" i="2"/>
  <c r="Q2198" i="2"/>
  <c r="AU2200" i="2"/>
  <c r="U2200" i="2"/>
  <c r="Q2200" i="2"/>
  <c r="U2229" i="2"/>
  <c r="AS2229" i="2"/>
  <c r="AR2241" i="2"/>
  <c r="T2241" i="2"/>
  <c r="AT1994" i="2"/>
  <c r="T2018" i="2"/>
  <c r="AS2050" i="2"/>
  <c r="V2056" i="2"/>
  <c r="AI2056" i="2"/>
  <c r="AU2058" i="2"/>
  <c r="U2060" i="2"/>
  <c r="U2068" i="2"/>
  <c r="AT2069" i="2"/>
  <c r="U2071" i="2"/>
  <c r="AU2096" i="2"/>
  <c r="U2100" i="2"/>
  <c r="AR2104" i="2"/>
  <c r="U2108" i="2"/>
  <c r="AS2108" i="2"/>
  <c r="T2126" i="2"/>
  <c r="Q2128" i="2"/>
  <c r="AI2130" i="2"/>
  <c r="T2138" i="2"/>
  <c r="U2139" i="2"/>
  <c r="AR2139" i="2"/>
  <c r="Q2147" i="2"/>
  <c r="AS2148" i="2"/>
  <c r="Q2149" i="2"/>
  <c r="V2150" i="2"/>
  <c r="AR2151" i="2"/>
  <c r="U2154" i="2"/>
  <c r="AU2154" i="2"/>
  <c r="U2161" i="2"/>
  <c r="Q2161" i="2"/>
  <c r="AI2170" i="2"/>
  <c r="Q2193" i="2"/>
  <c r="AR2198" i="2"/>
  <c r="AT2234" i="2"/>
  <c r="AS2241" i="2"/>
  <c r="U2261" i="2"/>
  <c r="Q2261" i="2"/>
  <c r="T2263" i="2"/>
  <c r="AU2018" i="2"/>
  <c r="U2020" i="2"/>
  <c r="AU2026" i="2"/>
  <c r="V2060" i="2"/>
  <c r="AT2071" i="2"/>
  <c r="U2104" i="2"/>
  <c r="AS2104" i="2"/>
  <c r="V2108" i="2"/>
  <c r="AU2108" i="2"/>
  <c r="AU2118" i="2"/>
  <c r="Q2225" i="2"/>
  <c r="AU2225" i="2"/>
  <c r="V2225" i="2"/>
  <c r="T2235" i="2"/>
  <c r="AU2235" i="2"/>
  <c r="AR2244" i="2"/>
  <c r="U2244" i="2"/>
  <c r="AT2290" i="2"/>
  <c r="U2290" i="2"/>
  <c r="Q2290" i="2"/>
  <c r="AS2305" i="2"/>
  <c r="AU2305" i="2"/>
  <c r="U2305" i="2"/>
  <c r="T2322" i="2"/>
  <c r="AS2322" i="2"/>
  <c r="AR2165" i="2"/>
  <c r="Q2166" i="2"/>
  <c r="U2170" i="2"/>
  <c r="AU2170" i="2"/>
  <c r="T2172" i="2"/>
  <c r="U2173" i="2"/>
  <c r="Q2178" i="2"/>
  <c r="T2184" i="2"/>
  <c r="U2201" i="2"/>
  <c r="AU2201" i="2"/>
  <c r="AR2209" i="2"/>
  <c r="AR2213" i="2"/>
  <c r="U2216" i="2"/>
  <c r="AU2231" i="2"/>
  <c r="V2249" i="2"/>
  <c r="AS2249" i="2"/>
  <c r="V2253" i="2"/>
  <c r="AU2253" i="2"/>
  <c r="AS2255" i="2"/>
  <c r="T2267" i="2"/>
  <c r="AT2319" i="2"/>
  <c r="AT2327" i="2"/>
  <c r="U2327" i="2"/>
  <c r="AT2383" i="2"/>
  <c r="AR2383" i="2"/>
  <c r="Q2383" i="2"/>
  <c r="AR2166" i="2"/>
  <c r="AR2173" i="2"/>
  <c r="AU2176" i="2"/>
  <c r="AR2178" i="2"/>
  <c r="AS2184" i="2"/>
  <c r="U2205" i="2"/>
  <c r="U2213" i="2"/>
  <c r="AS2213" i="2"/>
  <c r="AT2216" i="2"/>
  <c r="U2233" i="2"/>
  <c r="U2237" i="2"/>
  <c r="AR2265" i="2"/>
  <c r="AU2299" i="2"/>
  <c r="AS2299" i="2"/>
  <c r="V2299" i="2"/>
  <c r="T2299" i="2"/>
  <c r="U2301" i="2"/>
  <c r="Q2301" i="2"/>
  <c r="AU2301" i="2"/>
  <c r="AS2320" i="2"/>
  <c r="Q2320" i="2"/>
  <c r="AT2325" i="2"/>
  <c r="U2325" i="2"/>
  <c r="Q2325" i="2"/>
  <c r="AU2339" i="2"/>
  <c r="T2339" i="2"/>
  <c r="U2166" i="2"/>
  <c r="AS2166" i="2"/>
  <c r="U2178" i="2"/>
  <c r="AS2178" i="2"/>
  <c r="AS2205" i="2"/>
  <c r="AT2266" i="2"/>
  <c r="AS2267" i="2"/>
  <c r="AS2285" i="2"/>
  <c r="T2285" i="2"/>
  <c r="AU2309" i="2"/>
  <c r="AR2309" i="2"/>
  <c r="Q2309" i="2"/>
  <c r="V2309" i="2"/>
  <c r="T2311" i="2"/>
  <c r="AU2330" i="2"/>
  <c r="AS2330" i="2"/>
  <c r="V2330" i="2"/>
  <c r="V2350" i="2"/>
  <c r="AI2370" i="2"/>
  <c r="Q2375" i="2"/>
  <c r="AS2375" i="2"/>
  <c r="U2273" i="2"/>
  <c r="AU2273" i="2"/>
  <c r="T2275" i="2"/>
  <c r="AT2276" i="2"/>
  <c r="U2277" i="2"/>
  <c r="AR2281" i="2"/>
  <c r="T2287" i="2"/>
  <c r="U2289" i="2"/>
  <c r="AU2293" i="2"/>
  <c r="T2295" i="2"/>
  <c r="AT2298" i="2"/>
  <c r="U2313" i="2"/>
  <c r="U2317" i="2"/>
  <c r="AU2324" i="2"/>
  <c r="AU2335" i="2"/>
  <c r="AR2335" i="2"/>
  <c r="AR2347" i="2"/>
  <c r="U2356" i="2"/>
  <c r="AU2356" i="2"/>
  <c r="Q2356" i="2"/>
  <c r="AU2424" i="2"/>
  <c r="T2424" i="2"/>
  <c r="AS2275" i="2"/>
  <c r="U2281" i="2"/>
  <c r="AU2281" i="2"/>
  <c r="AT2284" i="2"/>
  <c r="AS2287" i="2"/>
  <c r="U2293" i="2"/>
  <c r="AS2295" i="2"/>
  <c r="U2298" i="2"/>
  <c r="T2314" i="2"/>
  <c r="AS2314" i="2"/>
  <c r="T2334" i="2"/>
  <c r="AR2340" i="2"/>
  <c r="Q2340" i="2"/>
  <c r="V2340" i="2"/>
  <c r="AU2340" i="2"/>
  <c r="AS2342" i="2"/>
  <c r="V2342" i="2"/>
  <c r="U2344" i="2"/>
  <c r="AS2368" i="2"/>
  <c r="Q2368" i="2"/>
  <c r="AT2377" i="2"/>
  <c r="AT2403" i="2"/>
  <c r="U2403" i="2"/>
  <c r="Q2403" i="2"/>
  <c r="AU2425" i="2"/>
  <c r="U2425" i="2"/>
  <c r="T2425" i="2"/>
  <c r="AU2314" i="2"/>
  <c r="AS2328" i="2"/>
  <c r="AU2338" i="2"/>
  <c r="Q2344" i="2"/>
  <c r="AT2349" i="2"/>
  <c r="AS2372" i="2"/>
  <c r="V2372" i="2"/>
  <c r="Q2372" i="2"/>
  <c r="AS2388" i="2"/>
  <c r="V2395" i="2"/>
  <c r="AS2395" i="2"/>
  <c r="Q2395" i="2"/>
  <c r="Q2426" i="2"/>
  <c r="Q2348" i="2"/>
  <c r="AU2348" i="2"/>
  <c r="Q2352" i="2"/>
  <c r="AS2364" i="2"/>
  <c r="V2394" i="2"/>
  <c r="AU2406" i="2"/>
  <c r="AU2392" i="2"/>
  <c r="U2406" i="2"/>
  <c r="U2412" i="2"/>
  <c r="U2416" i="2"/>
  <c r="AR2416" i="2"/>
  <c r="T2420" i="2"/>
  <c r="U2421" i="2"/>
  <c r="AR2421" i="2"/>
  <c r="U2422" i="2"/>
  <c r="V2348" i="2"/>
  <c r="V2352" i="2"/>
  <c r="AU2352" i="2"/>
  <c r="AS2354" i="2"/>
  <c r="V2360" i="2"/>
  <c r="Q2364" i="2"/>
  <c r="V2374" i="2"/>
  <c r="AR2374" i="2"/>
  <c r="Q2385" i="2"/>
  <c r="AT2391" i="2"/>
  <c r="AT2397" i="2"/>
  <c r="V2398" i="2"/>
  <c r="AU2398" i="2"/>
  <c r="V2406" i="2"/>
  <c r="U2409" i="2"/>
  <c r="AT2410" i="2"/>
  <c r="Q2411" i="2"/>
  <c r="V2412" i="2"/>
  <c r="V2416" i="2"/>
  <c r="AU2416" i="2"/>
  <c r="AU2421" i="2"/>
  <c r="V2422" i="2"/>
  <c r="Q87" i="2"/>
  <c r="T36" i="2"/>
  <c r="U36" i="2"/>
  <c r="Q216" i="2"/>
  <c r="Q219" i="2"/>
  <c r="V219" i="2"/>
  <c r="V224" i="2"/>
  <c r="U226" i="2"/>
  <c r="U227" i="2"/>
  <c r="U231" i="2"/>
  <c r="T235" i="2"/>
  <c r="T239" i="2"/>
  <c r="AU243" i="2"/>
  <c r="AS244" i="2"/>
  <c r="AR247" i="2"/>
  <c r="Q248" i="2"/>
  <c r="AS248" i="2"/>
  <c r="AS251" i="2"/>
  <c r="AI253" i="2"/>
  <c r="V256" i="2"/>
  <c r="AR256" i="2"/>
  <c r="U258" i="2"/>
  <c r="AI260" i="2"/>
  <c r="AU267" i="2"/>
  <c r="AR267" i="2"/>
  <c r="U267" i="2"/>
  <c r="V271" i="2"/>
  <c r="AU274" i="2"/>
  <c r="AT274" i="2"/>
  <c r="AR283" i="2"/>
  <c r="U283" i="2"/>
  <c r="AU283" i="2"/>
  <c r="V287" i="2"/>
  <c r="AU290" i="2"/>
  <c r="AT290" i="2"/>
  <c r="AU299" i="2"/>
  <c r="AR299" i="2"/>
  <c r="U299" i="2"/>
  <c r="V303" i="2"/>
  <c r="AU306" i="2"/>
  <c r="AT306" i="2"/>
  <c r="Q315" i="2"/>
  <c r="AS315" i="2"/>
  <c r="AS316" i="2"/>
  <c r="AU319" i="2"/>
  <c r="U319" i="2"/>
  <c r="AR319" i="2"/>
  <c r="Q322" i="2"/>
  <c r="V331" i="2"/>
  <c r="T335" i="2"/>
  <c r="T355" i="2"/>
  <c r="T359" i="2"/>
  <c r="T371" i="2"/>
  <c r="T375" i="2"/>
  <c r="T387" i="2"/>
  <c r="T391" i="2"/>
  <c r="T403" i="2"/>
  <c r="T407" i="2"/>
  <c r="T419" i="2"/>
  <c r="T423" i="2"/>
  <c r="T435" i="2"/>
  <c r="T439" i="2"/>
  <c r="AI455" i="2"/>
  <c r="AR458" i="2"/>
  <c r="U458" i="2"/>
  <c r="Q458" i="2"/>
  <c r="AS467" i="2"/>
  <c r="AR467" i="2"/>
  <c r="V467" i="2"/>
  <c r="Q467" i="2"/>
  <c r="U467" i="2"/>
  <c r="AT472" i="2"/>
  <c r="AT476" i="2"/>
  <c r="AR482" i="2"/>
  <c r="U482" i="2"/>
  <c r="Q482" i="2"/>
  <c r="AU485" i="2"/>
  <c r="T485" i="2"/>
  <c r="AS485" i="2"/>
  <c r="T499" i="2"/>
  <c r="AR514" i="2"/>
  <c r="U514" i="2"/>
  <c r="Q514" i="2"/>
  <c r="AU517" i="2"/>
  <c r="T517" i="2"/>
  <c r="AS517" i="2"/>
  <c r="AR542" i="2"/>
  <c r="U542" i="2"/>
  <c r="Q542" i="2"/>
  <c r="AU545" i="2"/>
  <c r="T545" i="2"/>
  <c r="AS545" i="2"/>
  <c r="AS551" i="2"/>
  <c r="AR551" i="2"/>
  <c r="V551" i="2"/>
  <c r="Q551" i="2"/>
  <c r="U551" i="2"/>
  <c r="T109" i="2"/>
  <c r="T215" i="2"/>
  <c r="V232" i="2"/>
  <c r="U234" i="2"/>
  <c r="T243" i="2"/>
  <c r="T247" i="2"/>
  <c r="AS247" i="2"/>
  <c r="AS268" i="2"/>
  <c r="AR271" i="2"/>
  <c r="AU271" i="2"/>
  <c r="U271" i="2"/>
  <c r="AS284" i="2"/>
  <c r="AU287" i="2"/>
  <c r="U287" i="2"/>
  <c r="AR287" i="2"/>
  <c r="AS300" i="2"/>
  <c r="AR303" i="2"/>
  <c r="AU303" i="2"/>
  <c r="U303" i="2"/>
  <c r="AU331" i="2"/>
  <c r="AR331" i="2"/>
  <c r="U331" i="2"/>
  <c r="AT337" i="2"/>
  <c r="AT338" i="2"/>
  <c r="AS339" i="2"/>
  <c r="U339" i="2"/>
  <c r="AR339" i="2"/>
  <c r="AU347" i="2"/>
  <c r="V347" i="2"/>
  <c r="Q347" i="2"/>
  <c r="AS347" i="2"/>
  <c r="U347" i="2"/>
  <c r="AU351" i="2"/>
  <c r="V351" i="2"/>
  <c r="Q351" i="2"/>
  <c r="AS351" i="2"/>
  <c r="U351" i="2"/>
  <c r="AU357" i="2"/>
  <c r="AU363" i="2"/>
  <c r="V363" i="2"/>
  <c r="Q363" i="2"/>
  <c r="AS363" i="2"/>
  <c r="U363" i="2"/>
  <c r="AU367" i="2"/>
  <c r="V367" i="2"/>
  <c r="Q367" i="2"/>
  <c r="AS367" i="2"/>
  <c r="U367" i="2"/>
  <c r="AU373" i="2"/>
  <c r="AU379" i="2"/>
  <c r="V379" i="2"/>
  <c r="Q379" i="2"/>
  <c r="AS379" i="2"/>
  <c r="U379" i="2"/>
  <c r="AU383" i="2"/>
  <c r="V383" i="2"/>
  <c r="Q383" i="2"/>
  <c r="AS383" i="2"/>
  <c r="U383" i="2"/>
  <c r="AU389" i="2"/>
  <c r="AU395" i="2"/>
  <c r="V395" i="2"/>
  <c r="Q395" i="2"/>
  <c r="AS395" i="2"/>
  <c r="U395" i="2"/>
  <c r="AU399" i="2"/>
  <c r="V399" i="2"/>
  <c r="Q399" i="2"/>
  <c r="AS399" i="2"/>
  <c r="U399" i="2"/>
  <c r="AU405" i="2"/>
  <c r="AU411" i="2"/>
  <c r="V411" i="2"/>
  <c r="Q411" i="2"/>
  <c r="AS411" i="2"/>
  <c r="U411" i="2"/>
  <c r="AU415" i="2"/>
  <c r="V415" i="2"/>
  <c r="Q415" i="2"/>
  <c r="AS415" i="2"/>
  <c r="U415" i="2"/>
  <c r="AU421" i="2"/>
  <c r="AU427" i="2"/>
  <c r="V427" i="2"/>
  <c r="Q427" i="2"/>
  <c r="AS427" i="2"/>
  <c r="U427" i="2"/>
  <c r="AU431" i="2"/>
  <c r="V431" i="2"/>
  <c r="Q431" i="2"/>
  <c r="AS431" i="2"/>
  <c r="U431" i="2"/>
  <c r="AU437" i="2"/>
  <c r="AU443" i="2"/>
  <c r="V443" i="2"/>
  <c r="Q443" i="2"/>
  <c r="AS443" i="2"/>
  <c r="U443" i="2"/>
  <c r="AS447" i="2"/>
  <c r="AR447" i="2"/>
  <c r="V447" i="2"/>
  <c r="Q447" i="2"/>
  <c r="U447" i="2"/>
  <c r="AS457" i="2"/>
  <c r="T457" i="2"/>
  <c r="AI459" i="2"/>
  <c r="AI483" i="2"/>
  <c r="V485" i="2"/>
  <c r="AI515" i="2"/>
  <c r="V517" i="2"/>
  <c r="AI543" i="2"/>
  <c r="V545" i="2"/>
  <c r="T551" i="2"/>
  <c r="T87" i="2"/>
  <c r="U87" i="2"/>
  <c r="U109" i="2"/>
  <c r="U215" i="2"/>
  <c r="T219" i="2"/>
  <c r="T223" i="2"/>
  <c r="Q232" i="2"/>
  <c r="Q235" i="2"/>
  <c r="V235" i="2"/>
  <c r="Q239" i="2"/>
  <c r="V239" i="2"/>
  <c r="V240" i="2"/>
  <c r="AR240" i="2"/>
  <c r="U242" i="2"/>
  <c r="U243" i="2"/>
  <c r="AR243" i="2"/>
  <c r="U247" i="2"/>
  <c r="AU247" i="2"/>
  <c r="AI250" i="2"/>
  <c r="AU250" i="2"/>
  <c r="T251" i="2"/>
  <c r="T255" i="2"/>
  <c r="AI255" i="2"/>
  <c r="AS255" i="2"/>
  <c r="Q258" i="2"/>
  <c r="AT258" i="2"/>
  <c r="AS259" i="2"/>
  <c r="V259" i="2"/>
  <c r="Q259" i="2"/>
  <c r="U259" i="2"/>
  <c r="AU259" i="2"/>
  <c r="Q271" i="2"/>
  <c r="Q287" i="2"/>
  <c r="Q303" i="2"/>
  <c r="V315" i="2"/>
  <c r="AS320" i="2"/>
  <c r="Q320" i="2"/>
  <c r="Q331" i="2"/>
  <c r="AS331" i="2"/>
  <c r="AS332" i="2"/>
  <c r="AS335" i="2"/>
  <c r="U335" i="2"/>
  <c r="V337" i="2"/>
  <c r="Q338" i="2"/>
  <c r="AU338" i="2"/>
  <c r="Q339" i="2"/>
  <c r="AU339" i="2"/>
  <c r="AU341" i="2"/>
  <c r="AU343" i="2"/>
  <c r="V343" i="2"/>
  <c r="AS343" i="2"/>
  <c r="U343" i="2"/>
  <c r="T347" i="2"/>
  <c r="T351" i="2"/>
  <c r="T363" i="2"/>
  <c r="T367" i="2"/>
  <c r="T379" i="2"/>
  <c r="T383" i="2"/>
  <c r="T395" i="2"/>
  <c r="T399" i="2"/>
  <c r="T411" i="2"/>
  <c r="T415" i="2"/>
  <c r="T427" i="2"/>
  <c r="T431" i="2"/>
  <c r="T443" i="2"/>
  <c r="T447" i="2"/>
  <c r="V457" i="2"/>
  <c r="AU457" i="2"/>
  <c r="AT504" i="2"/>
  <c r="AT508" i="2"/>
  <c r="AT536" i="2"/>
  <c r="AR558" i="2"/>
  <c r="U558" i="2"/>
  <c r="Q558" i="2"/>
  <c r="AU561" i="2"/>
  <c r="T561" i="2"/>
  <c r="AS561" i="2"/>
  <c r="Q109" i="2"/>
  <c r="Q215" i="2"/>
  <c r="V215" i="2"/>
  <c r="V216" i="2"/>
  <c r="U218" i="2"/>
  <c r="T227" i="2"/>
  <c r="T231" i="2"/>
  <c r="Q234" i="2"/>
  <c r="Q243" i="2"/>
  <c r="V243" i="2"/>
  <c r="AS243" i="2"/>
  <c r="Q247" i="2"/>
  <c r="V247" i="2"/>
  <c r="V248" i="2"/>
  <c r="AR248" i="2"/>
  <c r="U250" i="2"/>
  <c r="T271" i="2"/>
  <c r="AS271" i="2"/>
  <c r="AS272" i="2"/>
  <c r="Q272" i="2"/>
  <c r="T287" i="2"/>
  <c r="AS287" i="2"/>
  <c r="AS288" i="2"/>
  <c r="Q288" i="2"/>
  <c r="T303" i="2"/>
  <c r="AS303" i="2"/>
  <c r="AS304" i="2"/>
  <c r="Q304" i="2"/>
  <c r="AR315" i="2"/>
  <c r="U315" i="2"/>
  <c r="AU315" i="2"/>
  <c r="AU322" i="2"/>
  <c r="AT322" i="2"/>
  <c r="T331" i="2"/>
  <c r="U338" i="2"/>
  <c r="T339" i="2"/>
  <c r="AR347" i="2"/>
  <c r="AU349" i="2"/>
  <c r="AR351" i="2"/>
  <c r="AU355" i="2"/>
  <c r="V355" i="2"/>
  <c r="Q355" i="2"/>
  <c r="AS355" i="2"/>
  <c r="U355" i="2"/>
  <c r="AU359" i="2"/>
  <c r="V359" i="2"/>
  <c r="Q359" i="2"/>
  <c r="AS359" i="2"/>
  <c r="U359" i="2"/>
  <c r="AR363" i="2"/>
  <c r="AU365" i="2"/>
  <c r="AR367" i="2"/>
  <c r="AU371" i="2"/>
  <c r="V371" i="2"/>
  <c r="Q371" i="2"/>
  <c r="AS371" i="2"/>
  <c r="U371" i="2"/>
  <c r="AU375" i="2"/>
  <c r="V375" i="2"/>
  <c r="Q375" i="2"/>
  <c r="AS375" i="2"/>
  <c r="U375" i="2"/>
  <c r="AR379" i="2"/>
  <c r="AU381" i="2"/>
  <c r="AR383" i="2"/>
  <c r="AU387" i="2"/>
  <c r="V387" i="2"/>
  <c r="Q387" i="2"/>
  <c r="AS387" i="2"/>
  <c r="U387" i="2"/>
  <c r="AU391" i="2"/>
  <c r="V391" i="2"/>
  <c r="Q391" i="2"/>
  <c r="AS391" i="2"/>
  <c r="U391" i="2"/>
  <c r="AR395" i="2"/>
  <c r="AU397" i="2"/>
  <c r="AR399" i="2"/>
  <c r="AU403" i="2"/>
  <c r="V403" i="2"/>
  <c r="Q403" i="2"/>
  <c r="AS403" i="2"/>
  <c r="U403" i="2"/>
  <c r="AU407" i="2"/>
  <c r="V407" i="2"/>
  <c r="Q407" i="2"/>
  <c r="AS407" i="2"/>
  <c r="U407" i="2"/>
  <c r="AR411" i="2"/>
  <c r="AU413" i="2"/>
  <c r="AR415" i="2"/>
  <c r="AU419" i="2"/>
  <c r="V419" i="2"/>
  <c r="Q419" i="2"/>
  <c r="AS419" i="2"/>
  <c r="U419" i="2"/>
  <c r="AU423" i="2"/>
  <c r="V423" i="2"/>
  <c r="Q423" i="2"/>
  <c r="AS423" i="2"/>
  <c r="U423" i="2"/>
  <c r="AR427" i="2"/>
  <c r="AU429" i="2"/>
  <c r="AR431" i="2"/>
  <c r="AU435" i="2"/>
  <c r="V435" i="2"/>
  <c r="Q435" i="2"/>
  <c r="AS435" i="2"/>
  <c r="U435" i="2"/>
  <c r="AU439" i="2"/>
  <c r="V439" i="2"/>
  <c r="Q439" i="2"/>
  <c r="AS439" i="2"/>
  <c r="U439" i="2"/>
  <c r="AR443" i="2"/>
  <c r="AU445" i="2"/>
  <c r="AU447" i="2"/>
  <c r="AR454" i="2"/>
  <c r="U454" i="2"/>
  <c r="Q454" i="2"/>
  <c r="AS499" i="2"/>
  <c r="AR499" i="2"/>
  <c r="V499" i="2"/>
  <c r="Q499" i="2"/>
  <c r="U499" i="2"/>
  <c r="AS531" i="2"/>
  <c r="AR531" i="2"/>
  <c r="V531" i="2"/>
  <c r="Q531" i="2"/>
  <c r="U531" i="2"/>
  <c r="AI553" i="2"/>
  <c r="V561" i="2"/>
  <c r="T567" i="2"/>
  <c r="AU567" i="2"/>
  <c r="V577" i="2"/>
  <c r="T583" i="2"/>
  <c r="AU583" i="2"/>
  <c r="V593" i="2"/>
  <c r="T599" i="2"/>
  <c r="AU599" i="2"/>
  <c r="V609" i="2"/>
  <c r="T615" i="2"/>
  <c r="AU615" i="2"/>
  <c r="V625" i="2"/>
  <c r="T631" i="2"/>
  <c r="AU631" i="2"/>
  <c r="V641" i="2"/>
  <c r="T647" i="2"/>
  <c r="AU647" i="2"/>
  <c r="V657" i="2"/>
  <c r="T663" i="2"/>
  <c r="AU663" i="2"/>
  <c r="V673" i="2"/>
  <c r="T679" i="2"/>
  <c r="AU679" i="2"/>
  <c r="V689" i="2"/>
  <c r="T695" i="2"/>
  <c r="AU695" i="2"/>
  <c r="T707" i="2"/>
  <c r="V708" i="2"/>
  <c r="T723" i="2"/>
  <c r="V724" i="2"/>
  <c r="T739" i="2"/>
  <c r="V740" i="2"/>
  <c r="AR740" i="2"/>
  <c r="T743" i="2"/>
  <c r="AS743" i="2"/>
  <c r="V745" i="2"/>
  <c r="AU745" i="2"/>
  <c r="T755" i="2"/>
  <c r="AS755" i="2"/>
  <c r="T759" i="2"/>
  <c r="AS759" i="2"/>
  <c r="V761" i="2"/>
  <c r="AU761" i="2"/>
  <c r="AI763" i="2"/>
  <c r="Q768" i="2"/>
  <c r="AR772" i="2"/>
  <c r="Q772" i="2"/>
  <c r="AI775" i="2"/>
  <c r="AR784" i="2"/>
  <c r="Q784" i="2"/>
  <c r="Q788" i="2"/>
  <c r="AR788" i="2"/>
  <c r="AS791" i="2"/>
  <c r="U791" i="2"/>
  <c r="AR791" i="2"/>
  <c r="U795" i="2"/>
  <c r="AS795" i="2"/>
  <c r="AR795" i="2"/>
  <c r="AI799" i="2"/>
  <c r="U807" i="2"/>
  <c r="AS807" i="2"/>
  <c r="AR807" i="2"/>
  <c r="U860" i="2"/>
  <c r="Q860" i="2"/>
  <c r="AR860" i="2"/>
  <c r="AS869" i="2"/>
  <c r="AU869" i="2"/>
  <c r="T869" i="2"/>
  <c r="AR871" i="2"/>
  <c r="V871" i="2"/>
  <c r="Q871" i="2"/>
  <c r="U871" i="2"/>
  <c r="AS871" i="2"/>
  <c r="AI879" i="2"/>
  <c r="AS917" i="2"/>
  <c r="AU917" i="2"/>
  <c r="T917" i="2"/>
  <c r="AR919" i="2"/>
  <c r="V919" i="2"/>
  <c r="Q919" i="2"/>
  <c r="U919" i="2"/>
  <c r="AS919" i="2"/>
  <c r="U924" i="2"/>
  <c r="Q924" i="2"/>
  <c r="AR924" i="2"/>
  <c r="AU978" i="2"/>
  <c r="AT978" i="2"/>
  <c r="U978" i="2"/>
  <c r="AI1007" i="2"/>
  <c r="AI1015" i="2"/>
  <c r="U1034" i="2"/>
  <c r="AU1034" i="2"/>
  <c r="Q1034" i="2"/>
  <c r="AT1034" i="2"/>
  <c r="AR1095" i="2"/>
  <c r="V1095" i="2"/>
  <c r="Q1095" i="2"/>
  <c r="AU1095" i="2"/>
  <c r="U1095" i="2"/>
  <c r="AS1095" i="2"/>
  <c r="T1095" i="2"/>
  <c r="V264" i="2"/>
  <c r="AR264" i="2"/>
  <c r="U266" i="2"/>
  <c r="T275" i="2"/>
  <c r="T279" i="2"/>
  <c r="AS279" i="2"/>
  <c r="Q291" i="2"/>
  <c r="V291" i="2"/>
  <c r="AS291" i="2"/>
  <c r="V296" i="2"/>
  <c r="AR296" i="2"/>
  <c r="U298" i="2"/>
  <c r="T307" i="2"/>
  <c r="AU309" i="2"/>
  <c r="T311" i="2"/>
  <c r="AS311" i="2"/>
  <c r="Q323" i="2"/>
  <c r="V323" i="2"/>
  <c r="AS323" i="2"/>
  <c r="Q327" i="2"/>
  <c r="V327" i="2"/>
  <c r="V328" i="2"/>
  <c r="AR328" i="2"/>
  <c r="U330" i="2"/>
  <c r="AS336" i="2"/>
  <c r="AI343" i="2"/>
  <c r="AS344" i="2"/>
  <c r="AI351" i="2"/>
  <c r="AS352" i="2"/>
  <c r="AS360" i="2"/>
  <c r="AS368" i="2"/>
  <c r="AI375" i="2"/>
  <c r="AS376" i="2"/>
  <c r="AI383" i="2"/>
  <c r="AS384" i="2"/>
  <c r="AS392" i="2"/>
  <c r="AS400" i="2"/>
  <c r="AI407" i="2"/>
  <c r="AS408" i="2"/>
  <c r="AI415" i="2"/>
  <c r="AS416" i="2"/>
  <c r="AS424" i="2"/>
  <c r="AS432" i="2"/>
  <c r="AI439" i="2"/>
  <c r="AS440" i="2"/>
  <c r="V449" i="2"/>
  <c r="AS449" i="2"/>
  <c r="T451" i="2"/>
  <c r="AR451" i="2"/>
  <c r="V453" i="2"/>
  <c r="AS455" i="2"/>
  <c r="AS459" i="2"/>
  <c r="T461" i="2"/>
  <c r="AU461" i="2"/>
  <c r="Q463" i="2"/>
  <c r="V463" i="2"/>
  <c r="AR463" i="2"/>
  <c r="AS465" i="2"/>
  <c r="AR466" i="2"/>
  <c r="T469" i="2"/>
  <c r="AU469" i="2"/>
  <c r="AR471" i="2"/>
  <c r="V473" i="2"/>
  <c r="AU473" i="2"/>
  <c r="AR475" i="2"/>
  <c r="U478" i="2"/>
  <c r="T479" i="2"/>
  <c r="AU479" i="2"/>
  <c r="V481" i="2"/>
  <c r="AS483" i="2"/>
  <c r="U486" i="2"/>
  <c r="T487" i="2"/>
  <c r="AU487" i="2"/>
  <c r="U490" i="2"/>
  <c r="T491" i="2"/>
  <c r="AU491" i="2"/>
  <c r="V493" i="2"/>
  <c r="AU493" i="2"/>
  <c r="Q495" i="2"/>
  <c r="V495" i="2"/>
  <c r="AR495" i="2"/>
  <c r="AS497" i="2"/>
  <c r="AR498" i="2"/>
  <c r="T501" i="2"/>
  <c r="AU501" i="2"/>
  <c r="Q503" i="2"/>
  <c r="V503" i="2"/>
  <c r="AR503" i="2"/>
  <c r="V505" i="2"/>
  <c r="AU505" i="2"/>
  <c r="Q507" i="2"/>
  <c r="V507" i="2"/>
  <c r="AR507" i="2"/>
  <c r="U510" i="2"/>
  <c r="T511" i="2"/>
  <c r="AU511" i="2"/>
  <c r="V513" i="2"/>
  <c r="AS515" i="2"/>
  <c r="U518" i="2"/>
  <c r="T519" i="2"/>
  <c r="AU519" i="2"/>
  <c r="U522" i="2"/>
  <c r="T523" i="2"/>
  <c r="AU523" i="2"/>
  <c r="V525" i="2"/>
  <c r="AU525" i="2"/>
  <c r="Q527" i="2"/>
  <c r="V527" i="2"/>
  <c r="AR527" i="2"/>
  <c r="AS529" i="2"/>
  <c r="AR530" i="2"/>
  <c r="T533" i="2"/>
  <c r="AU533" i="2"/>
  <c r="Q535" i="2"/>
  <c r="V535" i="2"/>
  <c r="AR535" i="2"/>
  <c r="V537" i="2"/>
  <c r="AU537" i="2"/>
  <c r="Q539" i="2"/>
  <c r="V539" i="2"/>
  <c r="AR539" i="2"/>
  <c r="V541" i="2"/>
  <c r="AS543" i="2"/>
  <c r="U546" i="2"/>
  <c r="T547" i="2"/>
  <c r="AU547" i="2"/>
  <c r="AS549" i="2"/>
  <c r="AR550" i="2"/>
  <c r="T553" i="2"/>
  <c r="AU553" i="2"/>
  <c r="Q555" i="2"/>
  <c r="V555" i="2"/>
  <c r="AR555" i="2"/>
  <c r="V557" i="2"/>
  <c r="AS559" i="2"/>
  <c r="U562" i="2"/>
  <c r="T563" i="2"/>
  <c r="AU563" i="2"/>
  <c r="AS565" i="2"/>
  <c r="AR566" i="2"/>
  <c r="U567" i="2"/>
  <c r="T569" i="2"/>
  <c r="AU569" i="2"/>
  <c r="Q571" i="2"/>
  <c r="V571" i="2"/>
  <c r="AR571" i="2"/>
  <c r="V573" i="2"/>
  <c r="Q574" i="2"/>
  <c r="AS575" i="2"/>
  <c r="U578" i="2"/>
  <c r="T579" i="2"/>
  <c r="AU579" i="2"/>
  <c r="AS581" i="2"/>
  <c r="AR582" i="2"/>
  <c r="U583" i="2"/>
  <c r="T585" i="2"/>
  <c r="AU585" i="2"/>
  <c r="Q587" i="2"/>
  <c r="V587" i="2"/>
  <c r="AR587" i="2"/>
  <c r="V589" i="2"/>
  <c r="Q590" i="2"/>
  <c r="AS591" i="2"/>
  <c r="U594" i="2"/>
  <c r="T595" i="2"/>
  <c r="AU595" i="2"/>
  <c r="AS597" i="2"/>
  <c r="AR598" i="2"/>
  <c r="U599" i="2"/>
  <c r="T601" i="2"/>
  <c r="AU601" i="2"/>
  <c r="AR603" i="2"/>
  <c r="V605" i="2"/>
  <c r="Q606" i="2"/>
  <c r="AS607" i="2"/>
  <c r="U610" i="2"/>
  <c r="T611" i="2"/>
  <c r="AU611" i="2"/>
  <c r="AS613" i="2"/>
  <c r="AR614" i="2"/>
  <c r="U615" i="2"/>
  <c r="T617" i="2"/>
  <c r="AU617" i="2"/>
  <c r="AR619" i="2"/>
  <c r="V621" i="2"/>
  <c r="Q622" i="2"/>
  <c r="AS623" i="2"/>
  <c r="U626" i="2"/>
  <c r="T627" i="2"/>
  <c r="AU627" i="2"/>
  <c r="AS629" i="2"/>
  <c r="AR630" i="2"/>
  <c r="U631" i="2"/>
  <c r="T633" i="2"/>
  <c r="AU633" i="2"/>
  <c r="AR635" i="2"/>
  <c r="V637" i="2"/>
  <c r="Q638" i="2"/>
  <c r="AS639" i="2"/>
  <c r="U642" i="2"/>
  <c r="T643" i="2"/>
  <c r="AU643" i="2"/>
  <c r="AS645" i="2"/>
  <c r="AR646" i="2"/>
  <c r="U647" i="2"/>
  <c r="T649" i="2"/>
  <c r="AU649" i="2"/>
  <c r="AR651" i="2"/>
  <c r="V653" i="2"/>
  <c r="Q654" i="2"/>
  <c r="AS655" i="2"/>
  <c r="U658" i="2"/>
  <c r="T659" i="2"/>
  <c r="AU659" i="2"/>
  <c r="AS661" i="2"/>
  <c r="AR662" i="2"/>
  <c r="U663" i="2"/>
  <c r="T665" i="2"/>
  <c r="AU665" i="2"/>
  <c r="AR667" i="2"/>
  <c r="V669" i="2"/>
  <c r="Q670" i="2"/>
  <c r="AS671" i="2"/>
  <c r="U674" i="2"/>
  <c r="T675" i="2"/>
  <c r="AU675" i="2"/>
  <c r="AS677" i="2"/>
  <c r="AR678" i="2"/>
  <c r="U679" i="2"/>
  <c r="T681" i="2"/>
  <c r="AU681" i="2"/>
  <c r="V685" i="2"/>
  <c r="Q686" i="2"/>
  <c r="AS687" i="2"/>
  <c r="T691" i="2"/>
  <c r="AU691" i="2"/>
  <c r="AS693" i="2"/>
  <c r="AR694" i="2"/>
  <c r="U695" i="2"/>
  <c r="T697" i="2"/>
  <c r="AU697" i="2"/>
  <c r="V701" i="2"/>
  <c r="Q702" i="2"/>
  <c r="AS703" i="2"/>
  <c r="AS705" i="2"/>
  <c r="U707" i="2"/>
  <c r="AR707" i="2"/>
  <c r="Q708" i="2"/>
  <c r="AR708" i="2"/>
  <c r="U710" i="2"/>
  <c r="AI710" i="2"/>
  <c r="AS712" i="2"/>
  <c r="AU715" i="2"/>
  <c r="AU717" i="2"/>
  <c r="AU718" i="2"/>
  <c r="T719" i="2"/>
  <c r="U723" i="2"/>
  <c r="AR723" i="2"/>
  <c r="Q724" i="2"/>
  <c r="AR724" i="2"/>
  <c r="U726" i="2"/>
  <c r="AI726" i="2"/>
  <c r="AU731" i="2"/>
  <c r="U734" i="2"/>
  <c r="AI734" i="2"/>
  <c r="AT734" i="2"/>
  <c r="T735" i="2"/>
  <c r="U739" i="2"/>
  <c r="AR739" i="2"/>
  <c r="Q740" i="2"/>
  <c r="U743" i="2"/>
  <c r="AU743" i="2"/>
  <c r="AT744" i="2"/>
  <c r="Q746" i="2"/>
  <c r="AR747" i="2"/>
  <c r="V749" i="2"/>
  <c r="AU749" i="2"/>
  <c r="AR751" i="2"/>
  <c r="Q752" i="2"/>
  <c r="T753" i="2"/>
  <c r="AS753" i="2"/>
  <c r="AT754" i="2"/>
  <c r="U755" i="2"/>
  <c r="AU755" i="2"/>
  <c r="U759" i="2"/>
  <c r="AU759" i="2"/>
  <c r="AT760" i="2"/>
  <c r="Q762" i="2"/>
  <c r="U763" i="2"/>
  <c r="V763" i="2"/>
  <c r="AU763" i="2"/>
  <c r="V765" i="2"/>
  <c r="U768" i="2"/>
  <c r="AU769" i="2"/>
  <c r="T769" i="2"/>
  <c r="AI769" i="2"/>
  <c r="U772" i="2"/>
  <c r="V773" i="2"/>
  <c r="T775" i="2"/>
  <c r="U784" i="2"/>
  <c r="V785" i="2"/>
  <c r="U788" i="2"/>
  <c r="V789" i="2"/>
  <c r="AS789" i="2"/>
  <c r="Q791" i="2"/>
  <c r="AI791" i="2"/>
  <c r="AU791" i="2"/>
  <c r="AT794" i="2"/>
  <c r="Q795" i="2"/>
  <c r="AI795" i="2"/>
  <c r="AU795" i="2"/>
  <c r="T799" i="2"/>
  <c r="Q807" i="2"/>
  <c r="AI807" i="2"/>
  <c r="AU807" i="2"/>
  <c r="U844" i="2"/>
  <c r="Q844" i="2"/>
  <c r="AR844" i="2"/>
  <c r="AS853" i="2"/>
  <c r="AU853" i="2"/>
  <c r="T853" i="2"/>
  <c r="AR855" i="2"/>
  <c r="V855" i="2"/>
  <c r="Q855" i="2"/>
  <c r="U855" i="2"/>
  <c r="AS855" i="2"/>
  <c r="V869" i="2"/>
  <c r="T871" i="2"/>
  <c r="U908" i="2"/>
  <c r="Q908" i="2"/>
  <c r="AR908" i="2"/>
  <c r="V917" i="2"/>
  <c r="T919" i="2"/>
  <c r="AS965" i="2"/>
  <c r="AU965" i="2"/>
  <c r="T965" i="2"/>
  <c r="AR967" i="2"/>
  <c r="V967" i="2"/>
  <c r="Q967" i="2"/>
  <c r="U967" i="2"/>
  <c r="AS967" i="2"/>
  <c r="U972" i="2"/>
  <c r="Q972" i="2"/>
  <c r="AR972" i="2"/>
  <c r="AT990" i="2"/>
  <c r="Q990" i="2"/>
  <c r="AU990" i="2"/>
  <c r="AS1003" i="2"/>
  <c r="V1003" i="2"/>
  <c r="Q1003" i="2"/>
  <c r="AR1003" i="2"/>
  <c r="U1003" i="2"/>
  <c r="AU1003" i="2"/>
  <c r="AS1023" i="2"/>
  <c r="U1023" i="2"/>
  <c r="AU1023" i="2"/>
  <c r="T1023" i="2"/>
  <c r="AR1023" i="2"/>
  <c r="Q1023" i="2"/>
  <c r="V1023" i="2"/>
  <c r="AI1042" i="2"/>
  <c r="U346" i="2"/>
  <c r="U354" i="2"/>
  <c r="U362" i="2"/>
  <c r="U370" i="2"/>
  <c r="U378" i="2"/>
  <c r="U386" i="2"/>
  <c r="U394" i="2"/>
  <c r="U402" i="2"/>
  <c r="U410" i="2"/>
  <c r="U418" i="2"/>
  <c r="U426" i="2"/>
  <c r="U434" i="2"/>
  <c r="U442" i="2"/>
  <c r="T455" i="2"/>
  <c r="AU455" i="2"/>
  <c r="T459" i="2"/>
  <c r="AU459" i="2"/>
  <c r="V461" i="2"/>
  <c r="V469" i="2"/>
  <c r="T483" i="2"/>
  <c r="AU483" i="2"/>
  <c r="AT492" i="2"/>
  <c r="V501" i="2"/>
  <c r="T515" i="2"/>
  <c r="AU515" i="2"/>
  <c r="AT524" i="2"/>
  <c r="V533" i="2"/>
  <c r="T543" i="2"/>
  <c r="AU543" i="2"/>
  <c r="V553" i="2"/>
  <c r="T559" i="2"/>
  <c r="AU559" i="2"/>
  <c r="Q567" i="2"/>
  <c r="V567" i="2"/>
  <c r="AR567" i="2"/>
  <c r="V569" i="2"/>
  <c r="U574" i="2"/>
  <c r="T575" i="2"/>
  <c r="AU575" i="2"/>
  <c r="AS577" i="2"/>
  <c r="Q583" i="2"/>
  <c r="V583" i="2"/>
  <c r="AR583" i="2"/>
  <c r="V585" i="2"/>
  <c r="U590" i="2"/>
  <c r="T591" i="2"/>
  <c r="AU591" i="2"/>
  <c r="AS593" i="2"/>
  <c r="Q599" i="2"/>
  <c r="V599" i="2"/>
  <c r="AR599" i="2"/>
  <c r="V601" i="2"/>
  <c r="U606" i="2"/>
  <c r="T607" i="2"/>
  <c r="AU607" i="2"/>
  <c r="AS609" i="2"/>
  <c r="Q615" i="2"/>
  <c r="V615" i="2"/>
  <c r="AR615" i="2"/>
  <c r="V617" i="2"/>
  <c r="U622" i="2"/>
  <c r="T623" i="2"/>
  <c r="AU623" i="2"/>
  <c r="AS625" i="2"/>
  <c r="Q631" i="2"/>
  <c r="V631" i="2"/>
  <c r="AR631" i="2"/>
  <c r="V633" i="2"/>
  <c r="U638" i="2"/>
  <c r="T639" i="2"/>
  <c r="AU639" i="2"/>
  <c r="AS641" i="2"/>
  <c r="Q647" i="2"/>
  <c r="V647" i="2"/>
  <c r="AR647" i="2"/>
  <c r="V649" i="2"/>
  <c r="U654" i="2"/>
  <c r="T655" i="2"/>
  <c r="AU655" i="2"/>
  <c r="AS657" i="2"/>
  <c r="Q663" i="2"/>
  <c r="V663" i="2"/>
  <c r="AR663" i="2"/>
  <c r="V665" i="2"/>
  <c r="U670" i="2"/>
  <c r="T671" i="2"/>
  <c r="AU671" i="2"/>
  <c r="AS673" i="2"/>
  <c r="Q679" i="2"/>
  <c r="V679" i="2"/>
  <c r="AR679" i="2"/>
  <c r="V681" i="2"/>
  <c r="U686" i="2"/>
  <c r="T687" i="2"/>
  <c r="AU687" i="2"/>
  <c r="AS689" i="2"/>
  <c r="Q695" i="2"/>
  <c r="V695" i="2"/>
  <c r="AR695" i="2"/>
  <c r="V697" i="2"/>
  <c r="U702" i="2"/>
  <c r="T703" i="2"/>
  <c r="AU703" i="2"/>
  <c r="AU705" i="2"/>
  <c r="Q707" i="2"/>
  <c r="V707" i="2"/>
  <c r="AS707" i="2"/>
  <c r="AS708" i="2"/>
  <c r="T715" i="2"/>
  <c r="V716" i="2"/>
  <c r="Q723" i="2"/>
  <c r="V723" i="2"/>
  <c r="AS723" i="2"/>
  <c r="AS724" i="2"/>
  <c r="T731" i="2"/>
  <c r="V732" i="2"/>
  <c r="Q739" i="2"/>
  <c r="V739" i="2"/>
  <c r="AS739" i="2"/>
  <c r="Q743" i="2"/>
  <c r="V743" i="2"/>
  <c r="AT746" i="2"/>
  <c r="T747" i="2"/>
  <c r="AS747" i="2"/>
  <c r="T751" i="2"/>
  <c r="AS751" i="2"/>
  <c r="U752" i="2"/>
  <c r="V753" i="2"/>
  <c r="AU753" i="2"/>
  <c r="Q755" i="2"/>
  <c r="V755" i="2"/>
  <c r="Q759" i="2"/>
  <c r="V759" i="2"/>
  <c r="U762" i="2"/>
  <c r="AS765" i="2"/>
  <c r="AR768" i="2"/>
  <c r="AS779" i="2"/>
  <c r="U779" i="2"/>
  <c r="AR779" i="2"/>
  <c r="AI785" i="2"/>
  <c r="T791" i="2"/>
  <c r="T795" i="2"/>
  <c r="AU805" i="2"/>
  <c r="T805" i="2"/>
  <c r="T807" i="2"/>
  <c r="U828" i="2"/>
  <c r="Q828" i="2"/>
  <c r="AR828" i="2"/>
  <c r="AS837" i="2"/>
  <c r="AU837" i="2"/>
  <c r="T837" i="2"/>
  <c r="AR839" i="2"/>
  <c r="V839" i="2"/>
  <c r="Q839" i="2"/>
  <c r="U839" i="2"/>
  <c r="AS839" i="2"/>
  <c r="AI847" i="2"/>
  <c r="V853" i="2"/>
  <c r="T855" i="2"/>
  <c r="AU871" i="2"/>
  <c r="U892" i="2"/>
  <c r="Q892" i="2"/>
  <c r="AR892" i="2"/>
  <c r="AS901" i="2"/>
  <c r="AU901" i="2"/>
  <c r="T901" i="2"/>
  <c r="AR903" i="2"/>
  <c r="V903" i="2"/>
  <c r="Q903" i="2"/>
  <c r="U903" i="2"/>
  <c r="AS903" i="2"/>
  <c r="AI911" i="2"/>
  <c r="AU919" i="2"/>
  <c r="AS949" i="2"/>
  <c r="AU949" i="2"/>
  <c r="T949" i="2"/>
  <c r="AR951" i="2"/>
  <c r="V951" i="2"/>
  <c r="Q951" i="2"/>
  <c r="U951" i="2"/>
  <c r="AS951" i="2"/>
  <c r="U956" i="2"/>
  <c r="Q956" i="2"/>
  <c r="AR956" i="2"/>
  <c r="V965" i="2"/>
  <c r="T967" i="2"/>
  <c r="AT974" i="2"/>
  <c r="Q974" i="2"/>
  <c r="AU974" i="2"/>
  <c r="AS987" i="2"/>
  <c r="V987" i="2"/>
  <c r="Q987" i="2"/>
  <c r="AR987" i="2"/>
  <c r="U987" i="2"/>
  <c r="AU987" i="2"/>
  <c r="AS1004" i="2"/>
  <c r="AR1004" i="2"/>
  <c r="Q1004" i="2"/>
  <c r="V1004" i="2"/>
  <c r="AT1029" i="2"/>
  <c r="AU1029" i="2"/>
  <c r="V1029" i="2"/>
  <c r="AI1058" i="2"/>
  <c r="V1121" i="2"/>
  <c r="AT1121" i="2"/>
  <c r="T263" i="2"/>
  <c r="AS263" i="2"/>
  <c r="Q275" i="2"/>
  <c r="V275" i="2"/>
  <c r="AS275" i="2"/>
  <c r="Q279" i="2"/>
  <c r="V279" i="2"/>
  <c r="V280" i="2"/>
  <c r="AR280" i="2"/>
  <c r="U282" i="2"/>
  <c r="T291" i="2"/>
  <c r="T295" i="2"/>
  <c r="AS295" i="2"/>
  <c r="Q307" i="2"/>
  <c r="V307" i="2"/>
  <c r="AS307" i="2"/>
  <c r="Q311" i="2"/>
  <c r="V311" i="2"/>
  <c r="V312" i="2"/>
  <c r="AR312" i="2"/>
  <c r="U314" i="2"/>
  <c r="T323" i="2"/>
  <c r="T327" i="2"/>
  <c r="AS327" i="2"/>
  <c r="V336" i="2"/>
  <c r="V344" i="2"/>
  <c r="V352" i="2"/>
  <c r="V360" i="2"/>
  <c r="V368" i="2"/>
  <c r="V376" i="2"/>
  <c r="V384" i="2"/>
  <c r="V392" i="2"/>
  <c r="V400" i="2"/>
  <c r="V408" i="2"/>
  <c r="V416" i="2"/>
  <c r="V424" i="2"/>
  <c r="V432" i="2"/>
  <c r="V440" i="2"/>
  <c r="Q451" i="2"/>
  <c r="V451" i="2"/>
  <c r="AU451" i="2"/>
  <c r="AS453" i="2"/>
  <c r="U455" i="2"/>
  <c r="U459" i="2"/>
  <c r="T463" i="2"/>
  <c r="AU463" i="2"/>
  <c r="V465" i="2"/>
  <c r="Q466" i="2"/>
  <c r="U470" i="2"/>
  <c r="T471" i="2"/>
  <c r="AU471" i="2"/>
  <c r="U474" i="2"/>
  <c r="T475" i="2"/>
  <c r="AU475" i="2"/>
  <c r="V477" i="2"/>
  <c r="AU477" i="2"/>
  <c r="Q479" i="2"/>
  <c r="V479" i="2"/>
  <c r="AR479" i="2"/>
  <c r="U483" i="2"/>
  <c r="V489" i="2"/>
  <c r="AU489" i="2"/>
  <c r="T495" i="2"/>
  <c r="AU495" i="2"/>
  <c r="V497" i="2"/>
  <c r="Q498" i="2"/>
  <c r="T503" i="2"/>
  <c r="AU503" i="2"/>
  <c r="T507" i="2"/>
  <c r="AU507" i="2"/>
  <c r="V509" i="2"/>
  <c r="AU509" i="2"/>
  <c r="AR511" i="2"/>
  <c r="U515" i="2"/>
  <c r="V521" i="2"/>
  <c r="AU521" i="2"/>
  <c r="T527" i="2"/>
  <c r="AU527" i="2"/>
  <c r="V529" i="2"/>
  <c r="Q530" i="2"/>
  <c r="T535" i="2"/>
  <c r="AU535" i="2"/>
  <c r="U538" i="2"/>
  <c r="T539" i="2"/>
  <c r="AU539" i="2"/>
  <c r="AS541" i="2"/>
  <c r="U543" i="2"/>
  <c r="AR547" i="2"/>
  <c r="V549" i="2"/>
  <c r="Q550" i="2"/>
  <c r="U554" i="2"/>
  <c r="T555" i="2"/>
  <c r="AU555" i="2"/>
  <c r="AS557" i="2"/>
  <c r="U559" i="2"/>
  <c r="V565" i="2"/>
  <c r="Q566" i="2"/>
  <c r="AS567" i="2"/>
  <c r="AI569" i="2"/>
  <c r="U570" i="2"/>
  <c r="T571" i="2"/>
  <c r="AU571" i="2"/>
  <c r="AS573" i="2"/>
  <c r="AR574" i="2"/>
  <c r="U575" i="2"/>
  <c r="AI575" i="2"/>
  <c r="T577" i="2"/>
  <c r="AU577" i="2"/>
  <c r="V581" i="2"/>
  <c r="Q582" i="2"/>
  <c r="AS583" i="2"/>
  <c r="AI585" i="2"/>
  <c r="T587" i="2"/>
  <c r="AU587" i="2"/>
  <c r="AS589" i="2"/>
  <c r="AR590" i="2"/>
  <c r="U591" i="2"/>
  <c r="AI591" i="2"/>
  <c r="T593" i="2"/>
  <c r="AU593" i="2"/>
  <c r="V597" i="2"/>
  <c r="Q598" i="2"/>
  <c r="AS599" i="2"/>
  <c r="AI601" i="2"/>
  <c r="T603" i="2"/>
  <c r="AU603" i="2"/>
  <c r="AS605" i="2"/>
  <c r="AR606" i="2"/>
  <c r="U607" i="2"/>
  <c r="AI607" i="2"/>
  <c r="T609" i="2"/>
  <c r="AU609" i="2"/>
  <c r="AR611" i="2"/>
  <c r="V613" i="2"/>
  <c r="Q614" i="2"/>
  <c r="AS615" i="2"/>
  <c r="AI617" i="2"/>
  <c r="U618" i="2"/>
  <c r="T619" i="2"/>
  <c r="AU619" i="2"/>
  <c r="AS621" i="2"/>
  <c r="AR622" i="2"/>
  <c r="U623" i="2"/>
  <c r="AI623" i="2"/>
  <c r="T625" i="2"/>
  <c r="AU625" i="2"/>
  <c r="AR627" i="2"/>
  <c r="V629" i="2"/>
  <c r="Q630" i="2"/>
  <c r="AS631" i="2"/>
  <c r="AI633" i="2"/>
  <c r="U634" i="2"/>
  <c r="T635" i="2"/>
  <c r="AU635" i="2"/>
  <c r="AS637" i="2"/>
  <c r="AR638" i="2"/>
  <c r="U639" i="2"/>
  <c r="AI639" i="2"/>
  <c r="T641" i="2"/>
  <c r="AU641" i="2"/>
  <c r="AR643" i="2"/>
  <c r="V645" i="2"/>
  <c r="Q646" i="2"/>
  <c r="AS647" i="2"/>
  <c r="AI649" i="2"/>
  <c r="U650" i="2"/>
  <c r="T651" i="2"/>
  <c r="AU651" i="2"/>
  <c r="AS653" i="2"/>
  <c r="AR654" i="2"/>
  <c r="U655" i="2"/>
  <c r="AI655" i="2"/>
  <c r="T657" i="2"/>
  <c r="AU657" i="2"/>
  <c r="AR659" i="2"/>
  <c r="V661" i="2"/>
  <c r="Q662" i="2"/>
  <c r="AS663" i="2"/>
  <c r="AI665" i="2"/>
  <c r="U666" i="2"/>
  <c r="T667" i="2"/>
  <c r="AU667" i="2"/>
  <c r="AS669" i="2"/>
  <c r="AR670" i="2"/>
  <c r="U671" i="2"/>
  <c r="AI671" i="2"/>
  <c r="T673" i="2"/>
  <c r="AU673" i="2"/>
  <c r="AR675" i="2"/>
  <c r="V677" i="2"/>
  <c r="Q678" i="2"/>
  <c r="AS679" i="2"/>
  <c r="AI681" i="2"/>
  <c r="U682" i="2"/>
  <c r="T683" i="2"/>
  <c r="AU683" i="2"/>
  <c r="AS685" i="2"/>
  <c r="AR686" i="2"/>
  <c r="U687" i="2"/>
  <c r="AI687" i="2"/>
  <c r="T689" i="2"/>
  <c r="AU689" i="2"/>
  <c r="Q691" i="2"/>
  <c r="V691" i="2"/>
  <c r="AR691" i="2"/>
  <c r="V693" i="2"/>
  <c r="Q694" i="2"/>
  <c r="AS695" i="2"/>
  <c r="AI697" i="2"/>
  <c r="U698" i="2"/>
  <c r="T699" i="2"/>
  <c r="AU699" i="2"/>
  <c r="AS701" i="2"/>
  <c r="AR702" i="2"/>
  <c r="U703" i="2"/>
  <c r="AI703" i="2"/>
  <c r="T705" i="2"/>
  <c r="AU707" i="2"/>
  <c r="Q710" i="2"/>
  <c r="T711" i="2"/>
  <c r="U715" i="2"/>
  <c r="AR715" i="2"/>
  <c r="Q716" i="2"/>
  <c r="AR716" i="2"/>
  <c r="U718" i="2"/>
  <c r="AS719" i="2"/>
  <c r="AU723" i="2"/>
  <c r="Q726" i="2"/>
  <c r="T727" i="2"/>
  <c r="U731" i="2"/>
  <c r="AR731" i="2"/>
  <c r="Q732" i="2"/>
  <c r="AS732" i="2"/>
  <c r="Q734" i="2"/>
  <c r="Q735" i="2"/>
  <c r="V735" i="2"/>
  <c r="AS735" i="2"/>
  <c r="AU739" i="2"/>
  <c r="V741" i="2"/>
  <c r="AU741" i="2"/>
  <c r="AR743" i="2"/>
  <c r="Q744" i="2"/>
  <c r="T745" i="2"/>
  <c r="AS745" i="2"/>
  <c r="U746" i="2"/>
  <c r="U747" i="2"/>
  <c r="AI747" i="2"/>
  <c r="AU747" i="2"/>
  <c r="U751" i="2"/>
  <c r="AI751" i="2"/>
  <c r="AU751" i="2"/>
  <c r="AI753" i="2"/>
  <c r="AR755" i="2"/>
  <c r="V757" i="2"/>
  <c r="AU757" i="2"/>
  <c r="AR759" i="2"/>
  <c r="Q760" i="2"/>
  <c r="T761" i="2"/>
  <c r="AS761" i="2"/>
  <c r="AR763" i="2"/>
  <c r="AU765" i="2"/>
  <c r="AR767" i="2"/>
  <c r="V767" i="2"/>
  <c r="Q767" i="2"/>
  <c r="U767" i="2"/>
  <c r="AS767" i="2"/>
  <c r="AU773" i="2"/>
  <c r="T773" i="2"/>
  <c r="U775" i="2"/>
  <c r="AS775" i="2"/>
  <c r="AR775" i="2"/>
  <c r="AT778" i="2"/>
  <c r="Q779" i="2"/>
  <c r="AI779" i="2"/>
  <c r="AU779" i="2"/>
  <c r="AU785" i="2"/>
  <c r="T785" i="2"/>
  <c r="AU789" i="2"/>
  <c r="T789" i="2"/>
  <c r="V791" i="2"/>
  <c r="V795" i="2"/>
  <c r="AS799" i="2"/>
  <c r="U799" i="2"/>
  <c r="AR799" i="2"/>
  <c r="AR804" i="2"/>
  <c r="Q804" i="2"/>
  <c r="V807" i="2"/>
  <c r="U812" i="2"/>
  <c r="Q812" i="2"/>
  <c r="AR812" i="2"/>
  <c r="AS821" i="2"/>
  <c r="AU821" i="2"/>
  <c r="T821" i="2"/>
  <c r="AR823" i="2"/>
  <c r="V823" i="2"/>
  <c r="Q823" i="2"/>
  <c r="U823" i="2"/>
  <c r="AS823" i="2"/>
  <c r="V837" i="2"/>
  <c r="T839" i="2"/>
  <c r="U876" i="2"/>
  <c r="Q876" i="2"/>
  <c r="AR876" i="2"/>
  <c r="AS885" i="2"/>
  <c r="AU885" i="2"/>
  <c r="T885" i="2"/>
  <c r="AR887" i="2"/>
  <c r="V887" i="2"/>
  <c r="Q887" i="2"/>
  <c r="U887" i="2"/>
  <c r="AS887" i="2"/>
  <c r="AI895" i="2"/>
  <c r="V901" i="2"/>
  <c r="T903" i="2"/>
  <c r="AS933" i="2"/>
  <c r="AU933" i="2"/>
  <c r="T933" i="2"/>
  <c r="AR935" i="2"/>
  <c r="V935" i="2"/>
  <c r="Q935" i="2"/>
  <c r="U935" i="2"/>
  <c r="AS935" i="2"/>
  <c r="U940" i="2"/>
  <c r="Q940" i="2"/>
  <c r="AR940" i="2"/>
  <c r="V949" i="2"/>
  <c r="AI959" i="2"/>
  <c r="AU967" i="2"/>
  <c r="AS988" i="2"/>
  <c r="Q988" i="2"/>
  <c r="AU994" i="2"/>
  <c r="AT994" i="2"/>
  <c r="U994" i="2"/>
  <c r="AU1006" i="2"/>
  <c r="AT1006" i="2"/>
  <c r="Q1006" i="2"/>
  <c r="U1006" i="2"/>
  <c r="AT1016" i="2"/>
  <c r="U1016" i="2"/>
  <c r="Q1016" i="2"/>
  <c r="AR1016" i="2"/>
  <c r="AS1033" i="2"/>
  <c r="AT1033" i="2"/>
  <c r="V1033" i="2"/>
  <c r="AR1038" i="2"/>
  <c r="AI1055" i="2"/>
  <c r="V777" i="2"/>
  <c r="T787" i="2"/>
  <c r="AU787" i="2"/>
  <c r="V797" i="2"/>
  <c r="V809" i="2"/>
  <c r="T811" i="2"/>
  <c r="AU811" i="2"/>
  <c r="U815" i="2"/>
  <c r="Q820" i="2"/>
  <c r="V825" i="2"/>
  <c r="T827" i="2"/>
  <c r="AU827" i="2"/>
  <c r="U831" i="2"/>
  <c r="Q836" i="2"/>
  <c r="V841" i="2"/>
  <c r="T843" i="2"/>
  <c r="AU843" i="2"/>
  <c r="U847" i="2"/>
  <c r="Q852" i="2"/>
  <c r="V857" i="2"/>
  <c r="T859" i="2"/>
  <c r="AU859" i="2"/>
  <c r="U863" i="2"/>
  <c r="Q868" i="2"/>
  <c r="V873" i="2"/>
  <c r="T875" i="2"/>
  <c r="AU875" i="2"/>
  <c r="U879" i="2"/>
  <c r="Q884" i="2"/>
  <c r="V889" i="2"/>
  <c r="T891" i="2"/>
  <c r="AU891" i="2"/>
  <c r="U895" i="2"/>
  <c r="Q900" i="2"/>
  <c r="V905" i="2"/>
  <c r="T907" i="2"/>
  <c r="AU907" i="2"/>
  <c r="U911" i="2"/>
  <c r="AS913" i="2"/>
  <c r="Q915" i="2"/>
  <c r="V915" i="2"/>
  <c r="AR915" i="2"/>
  <c r="Q916" i="2"/>
  <c r="U920" i="2"/>
  <c r="V921" i="2"/>
  <c r="T923" i="2"/>
  <c r="AU923" i="2"/>
  <c r="U927" i="2"/>
  <c r="AS929" i="2"/>
  <c r="Q931" i="2"/>
  <c r="V931" i="2"/>
  <c r="AR931" i="2"/>
  <c r="Q932" i="2"/>
  <c r="U936" i="2"/>
  <c r="V937" i="2"/>
  <c r="T939" i="2"/>
  <c r="AU939" i="2"/>
  <c r="U943" i="2"/>
  <c r="AS945" i="2"/>
  <c r="Q947" i="2"/>
  <c r="V947" i="2"/>
  <c r="AR947" i="2"/>
  <c r="Q948" i="2"/>
  <c r="U952" i="2"/>
  <c r="V953" i="2"/>
  <c r="T955" i="2"/>
  <c r="AU955" i="2"/>
  <c r="U959" i="2"/>
  <c r="AS961" i="2"/>
  <c r="Q963" i="2"/>
  <c r="V963" i="2"/>
  <c r="AR963" i="2"/>
  <c r="Q964" i="2"/>
  <c r="U968" i="2"/>
  <c r="V969" i="2"/>
  <c r="T971" i="2"/>
  <c r="AU971" i="2"/>
  <c r="T975" i="2"/>
  <c r="U979" i="2"/>
  <c r="AR979" i="2"/>
  <c r="Q980" i="2"/>
  <c r="AS980" i="2"/>
  <c r="Q983" i="2"/>
  <c r="V983" i="2"/>
  <c r="AS983" i="2"/>
  <c r="T991" i="2"/>
  <c r="U995" i="2"/>
  <c r="AR995" i="2"/>
  <c r="Q996" i="2"/>
  <c r="AS996" i="2"/>
  <c r="Q999" i="2"/>
  <c r="V999" i="2"/>
  <c r="AS999" i="2"/>
  <c r="T1011" i="2"/>
  <c r="AU1015" i="2"/>
  <c r="U1015" i="2"/>
  <c r="AR1015" i="2"/>
  <c r="AR1018" i="2"/>
  <c r="T1018" i="2"/>
  <c r="AU1018" i="2"/>
  <c r="Q1019" i="2"/>
  <c r="AS1019" i="2"/>
  <c r="AS1020" i="2"/>
  <c r="AT1020" i="2"/>
  <c r="AU1021" i="2"/>
  <c r="AU1035" i="2"/>
  <c r="AR1035" i="2"/>
  <c r="U1035" i="2"/>
  <c r="AS1035" i="2"/>
  <c r="AT1036" i="2"/>
  <c r="AS1036" i="2"/>
  <c r="AT1037" i="2"/>
  <c r="AR1043" i="2"/>
  <c r="U1043" i="2"/>
  <c r="AU1043" i="2"/>
  <c r="AS1043" i="2"/>
  <c r="AT1050" i="2"/>
  <c r="U1050" i="2"/>
  <c r="AU1050" i="2"/>
  <c r="T1054" i="2"/>
  <c r="AT1057" i="2"/>
  <c r="T1057" i="2"/>
  <c r="AS1057" i="2"/>
  <c r="AU1059" i="2"/>
  <c r="AR1059" i="2"/>
  <c r="U1059" i="2"/>
  <c r="AS1059" i="2"/>
  <c r="AT1060" i="2"/>
  <c r="U1060" i="2"/>
  <c r="AU1067" i="2"/>
  <c r="AS1067" i="2"/>
  <c r="V1067" i="2"/>
  <c r="Q1067" i="2"/>
  <c r="AR1067" i="2"/>
  <c r="U1067" i="2"/>
  <c r="V1089" i="2"/>
  <c r="AT1089" i="2"/>
  <c r="V1093" i="2"/>
  <c r="AR1111" i="2"/>
  <c r="V1111" i="2"/>
  <c r="Q1111" i="2"/>
  <c r="AU1111" i="2"/>
  <c r="U1111" i="2"/>
  <c r="AU1115" i="2"/>
  <c r="V1115" i="2"/>
  <c r="Q1115" i="2"/>
  <c r="AS1115" i="2"/>
  <c r="U1115" i="2"/>
  <c r="T1151" i="2"/>
  <c r="T1163" i="2"/>
  <c r="V1169" i="2"/>
  <c r="AT1169" i="2"/>
  <c r="V1177" i="2"/>
  <c r="AT1177" i="2"/>
  <c r="V1185" i="2"/>
  <c r="AT1185" i="2"/>
  <c r="AU1194" i="2"/>
  <c r="Q1194" i="2"/>
  <c r="AT1194" i="2"/>
  <c r="V1201" i="2"/>
  <c r="AT1201" i="2"/>
  <c r="AU1210" i="2"/>
  <c r="Q1210" i="2"/>
  <c r="AT1210" i="2"/>
  <c r="AU1139" i="2"/>
  <c r="V1139" i="2"/>
  <c r="Q1139" i="2"/>
  <c r="AS1139" i="2"/>
  <c r="U1139" i="2"/>
  <c r="AR1142" i="2"/>
  <c r="AU1155" i="2"/>
  <c r="V1155" i="2"/>
  <c r="Q1155" i="2"/>
  <c r="AS1155" i="2"/>
  <c r="U1155" i="2"/>
  <c r="AU1159" i="2"/>
  <c r="V1159" i="2"/>
  <c r="Q1159" i="2"/>
  <c r="AS1159" i="2"/>
  <c r="U1159" i="2"/>
  <c r="T771" i="2"/>
  <c r="AU771" i="2"/>
  <c r="AS777" i="2"/>
  <c r="U780" i="2"/>
  <c r="V781" i="2"/>
  <c r="T783" i="2"/>
  <c r="AU783" i="2"/>
  <c r="Q787" i="2"/>
  <c r="V787" i="2"/>
  <c r="AR787" i="2"/>
  <c r="U792" i="2"/>
  <c r="V793" i="2"/>
  <c r="AS797" i="2"/>
  <c r="U800" i="2"/>
  <c r="V801" i="2"/>
  <c r="T803" i="2"/>
  <c r="AU803" i="2"/>
  <c r="AS809" i="2"/>
  <c r="Q811" i="2"/>
  <c r="V811" i="2"/>
  <c r="AR811" i="2"/>
  <c r="T813" i="2"/>
  <c r="AU813" i="2"/>
  <c r="AS815" i="2"/>
  <c r="U816" i="2"/>
  <c r="V817" i="2"/>
  <c r="T819" i="2"/>
  <c r="AU819" i="2"/>
  <c r="AR820" i="2"/>
  <c r="AS825" i="2"/>
  <c r="Q827" i="2"/>
  <c r="V827" i="2"/>
  <c r="AR827" i="2"/>
  <c r="T829" i="2"/>
  <c r="AU829" i="2"/>
  <c r="AS831" i="2"/>
  <c r="U832" i="2"/>
  <c r="V833" i="2"/>
  <c r="T835" i="2"/>
  <c r="AU835" i="2"/>
  <c r="AR836" i="2"/>
  <c r="AS841" i="2"/>
  <c r="Q843" i="2"/>
  <c r="V843" i="2"/>
  <c r="AR843" i="2"/>
  <c r="T845" i="2"/>
  <c r="AU845" i="2"/>
  <c r="AS847" i="2"/>
  <c r="U848" i="2"/>
  <c r="V849" i="2"/>
  <c r="T851" i="2"/>
  <c r="AU851" i="2"/>
  <c r="AR852" i="2"/>
  <c r="AS857" i="2"/>
  <c r="Q859" i="2"/>
  <c r="V859" i="2"/>
  <c r="AR859" i="2"/>
  <c r="T861" i="2"/>
  <c r="AU861" i="2"/>
  <c r="AS863" i="2"/>
  <c r="U864" i="2"/>
  <c r="V865" i="2"/>
  <c r="T867" i="2"/>
  <c r="AU867" i="2"/>
  <c r="AR868" i="2"/>
  <c r="AS873" i="2"/>
  <c r="Q875" i="2"/>
  <c r="V875" i="2"/>
  <c r="AR875" i="2"/>
  <c r="T877" i="2"/>
  <c r="AU877" i="2"/>
  <c r="AS879" i="2"/>
  <c r="U880" i="2"/>
  <c r="V881" i="2"/>
  <c r="T883" i="2"/>
  <c r="AU883" i="2"/>
  <c r="AR884" i="2"/>
  <c r="AS889" i="2"/>
  <c r="Q891" i="2"/>
  <c r="V891" i="2"/>
  <c r="AR891" i="2"/>
  <c r="T893" i="2"/>
  <c r="AU893" i="2"/>
  <c r="AS895" i="2"/>
  <c r="U896" i="2"/>
  <c r="V897" i="2"/>
  <c r="T899" i="2"/>
  <c r="AU899" i="2"/>
  <c r="AR900" i="2"/>
  <c r="AS905" i="2"/>
  <c r="T909" i="2"/>
  <c r="AU909" i="2"/>
  <c r="AS911" i="2"/>
  <c r="V913" i="2"/>
  <c r="T915" i="2"/>
  <c r="AU915" i="2"/>
  <c r="AR916" i="2"/>
  <c r="T925" i="2"/>
  <c r="AU925" i="2"/>
  <c r="AS927" i="2"/>
  <c r="V929" i="2"/>
  <c r="T931" i="2"/>
  <c r="AU931" i="2"/>
  <c r="AR932" i="2"/>
  <c r="T941" i="2"/>
  <c r="AU941" i="2"/>
  <c r="AS943" i="2"/>
  <c r="V945" i="2"/>
  <c r="T947" i="2"/>
  <c r="AU947" i="2"/>
  <c r="AR948" i="2"/>
  <c r="T957" i="2"/>
  <c r="AU957" i="2"/>
  <c r="AS959" i="2"/>
  <c r="V961" i="2"/>
  <c r="T963" i="2"/>
  <c r="AU963" i="2"/>
  <c r="AR964" i="2"/>
  <c r="T973" i="2"/>
  <c r="AU973" i="2"/>
  <c r="AU979" i="2"/>
  <c r="AI982" i="2"/>
  <c r="AU982" i="2"/>
  <c r="T983" i="2"/>
  <c r="U986" i="2"/>
  <c r="AU995" i="2"/>
  <c r="AI998" i="2"/>
  <c r="AU998" i="2"/>
  <c r="T999" i="2"/>
  <c r="U1002" i="2"/>
  <c r="Q1010" i="2"/>
  <c r="AU1011" i="2"/>
  <c r="AR1011" i="2"/>
  <c r="U1011" i="2"/>
  <c r="AS1011" i="2"/>
  <c r="V1019" i="2"/>
  <c r="T1030" i="2"/>
  <c r="AU1042" i="2"/>
  <c r="U1042" i="2"/>
  <c r="AT1049" i="2"/>
  <c r="V1049" i="2"/>
  <c r="U1058" i="2"/>
  <c r="AU1058" i="2"/>
  <c r="AR1063" i="2"/>
  <c r="V1063" i="2"/>
  <c r="Q1063" i="2"/>
  <c r="AU1063" i="2"/>
  <c r="U1063" i="2"/>
  <c r="AR1080" i="2"/>
  <c r="V1080" i="2"/>
  <c r="Q1080" i="2"/>
  <c r="AT1090" i="2"/>
  <c r="U1090" i="2"/>
  <c r="Q1090" i="2"/>
  <c r="AU1117" i="2"/>
  <c r="Q1120" i="2"/>
  <c r="AT1124" i="2"/>
  <c r="U1124" i="2"/>
  <c r="T1139" i="2"/>
  <c r="AU1143" i="2"/>
  <c r="V1143" i="2"/>
  <c r="Q1143" i="2"/>
  <c r="AS1143" i="2"/>
  <c r="U1143" i="2"/>
  <c r="AU1147" i="2"/>
  <c r="V1147" i="2"/>
  <c r="Q1147" i="2"/>
  <c r="AS1147" i="2"/>
  <c r="U1147" i="2"/>
  <c r="T1155" i="2"/>
  <c r="T1159" i="2"/>
  <c r="AU1170" i="2"/>
  <c r="Q1170" i="2"/>
  <c r="AT1170" i="2"/>
  <c r="AU1173" i="2"/>
  <c r="AU1178" i="2"/>
  <c r="Q1178" i="2"/>
  <c r="AT1178" i="2"/>
  <c r="AU1181" i="2"/>
  <c r="AU1186" i="2"/>
  <c r="Q1186" i="2"/>
  <c r="AT1186" i="2"/>
  <c r="V1193" i="2"/>
  <c r="AT1193" i="2"/>
  <c r="AU1202" i="2"/>
  <c r="Q1202" i="2"/>
  <c r="AT1202" i="2"/>
  <c r="V1209" i="2"/>
  <c r="AT1209" i="2"/>
  <c r="V813" i="2"/>
  <c r="T815" i="2"/>
  <c r="AU815" i="2"/>
  <c r="V829" i="2"/>
  <c r="T831" i="2"/>
  <c r="AU831" i="2"/>
  <c r="V845" i="2"/>
  <c r="T847" i="2"/>
  <c r="AU847" i="2"/>
  <c r="V861" i="2"/>
  <c r="T863" i="2"/>
  <c r="AU863" i="2"/>
  <c r="V877" i="2"/>
  <c r="T879" i="2"/>
  <c r="AU879" i="2"/>
  <c r="V893" i="2"/>
  <c r="T895" i="2"/>
  <c r="AU895" i="2"/>
  <c r="V909" i="2"/>
  <c r="T911" i="2"/>
  <c r="AU911" i="2"/>
  <c r="V925" i="2"/>
  <c r="T927" i="2"/>
  <c r="AU927" i="2"/>
  <c r="V941" i="2"/>
  <c r="T943" i="2"/>
  <c r="AU943" i="2"/>
  <c r="V957" i="2"/>
  <c r="T959" i="2"/>
  <c r="AU959" i="2"/>
  <c r="V973" i="2"/>
  <c r="AU977" i="2"/>
  <c r="T979" i="2"/>
  <c r="V980" i="2"/>
  <c r="AR980" i="2"/>
  <c r="U982" i="2"/>
  <c r="AU993" i="2"/>
  <c r="T995" i="2"/>
  <c r="V996" i="2"/>
  <c r="AR996" i="2"/>
  <c r="U998" i="2"/>
  <c r="AU1019" i="2"/>
  <c r="U1019" i="2"/>
  <c r="AR1019" i="2"/>
  <c r="Q1040" i="2"/>
  <c r="V1040" i="2"/>
  <c r="AR1054" i="2"/>
  <c r="Q1056" i="2"/>
  <c r="V1056" i="2"/>
  <c r="AU1093" i="2"/>
  <c r="AT1093" i="2"/>
  <c r="AU1099" i="2"/>
  <c r="AS1099" i="2"/>
  <c r="V1099" i="2"/>
  <c r="Q1099" i="2"/>
  <c r="AR1099" i="2"/>
  <c r="U1099" i="2"/>
  <c r="T1110" i="2"/>
  <c r="AU1122" i="2"/>
  <c r="Q1122" i="2"/>
  <c r="AT1122" i="2"/>
  <c r="AR1139" i="2"/>
  <c r="AU1151" i="2"/>
  <c r="V1151" i="2"/>
  <c r="Q1151" i="2"/>
  <c r="AS1151" i="2"/>
  <c r="U1151" i="2"/>
  <c r="AR1155" i="2"/>
  <c r="AU1157" i="2"/>
  <c r="AR1159" i="2"/>
  <c r="AU1163" i="2"/>
  <c r="V1163" i="2"/>
  <c r="Q1163" i="2"/>
  <c r="AS1163" i="2"/>
  <c r="U1163" i="2"/>
  <c r="U1202" i="2"/>
  <c r="T1219" i="2"/>
  <c r="AR1219" i="2"/>
  <c r="T1223" i="2"/>
  <c r="AR1223" i="2"/>
  <c r="V1225" i="2"/>
  <c r="Q1226" i="2"/>
  <c r="AU1226" i="2"/>
  <c r="T1227" i="2"/>
  <c r="AR1227" i="2"/>
  <c r="T1231" i="2"/>
  <c r="AR1231" i="2"/>
  <c r="T1235" i="2"/>
  <c r="AS1235" i="2"/>
  <c r="T1247" i="2"/>
  <c r="AR1247" i="2"/>
  <c r="T1251" i="2"/>
  <c r="AS1251" i="2"/>
  <c r="AS1265" i="2"/>
  <c r="AT1266" i="2"/>
  <c r="AI1266" i="2"/>
  <c r="AU1266" i="2"/>
  <c r="AI1273" i="2"/>
  <c r="T1294" i="2"/>
  <c r="AU1294" i="2"/>
  <c r="AI1296" i="2"/>
  <c r="AI1307" i="2"/>
  <c r="T1316" i="2"/>
  <c r="T1320" i="2"/>
  <c r="AI1322" i="2"/>
  <c r="AS1324" i="2"/>
  <c r="AR1324" i="2"/>
  <c r="V1324" i="2"/>
  <c r="Q1324" i="2"/>
  <c r="U1324" i="2"/>
  <c r="V1013" i="2"/>
  <c r="AU1013" i="2"/>
  <c r="AS1025" i="2"/>
  <c r="AS1027" i="2"/>
  <c r="T1039" i="2"/>
  <c r="AU1039" i="2"/>
  <c r="AT1045" i="2"/>
  <c r="Q1047" i="2"/>
  <c r="V1047" i="2"/>
  <c r="T1051" i="2"/>
  <c r="V1053" i="2"/>
  <c r="T1055" i="2"/>
  <c r="AU1055" i="2"/>
  <c r="AU1061" i="2"/>
  <c r="AI1063" i="2"/>
  <c r="V1064" i="2"/>
  <c r="AR1064" i="2"/>
  <c r="AU1066" i="2"/>
  <c r="V1069" i="2"/>
  <c r="T1071" i="2"/>
  <c r="AS1071" i="2"/>
  <c r="U1074" i="2"/>
  <c r="AT1074" i="2"/>
  <c r="T1075" i="2"/>
  <c r="AR1079" i="2"/>
  <c r="AU1083" i="2"/>
  <c r="AU1085" i="2"/>
  <c r="Q1091" i="2"/>
  <c r="V1091" i="2"/>
  <c r="AS1091" i="2"/>
  <c r="AI1095" i="2"/>
  <c r="V1096" i="2"/>
  <c r="AR1096" i="2"/>
  <c r="AU1098" i="2"/>
  <c r="V1101" i="2"/>
  <c r="T1103" i="2"/>
  <c r="AS1103" i="2"/>
  <c r="U1106" i="2"/>
  <c r="AT1106" i="2"/>
  <c r="T1107" i="2"/>
  <c r="V1112" i="2"/>
  <c r="AR1112" i="2"/>
  <c r="AU1114" i="2"/>
  <c r="AR1119" i="2"/>
  <c r="T1123" i="2"/>
  <c r="AR1123" i="2"/>
  <c r="Q1127" i="2"/>
  <c r="V1127" i="2"/>
  <c r="AU1127" i="2"/>
  <c r="V1129" i="2"/>
  <c r="Q1130" i="2"/>
  <c r="AU1130" i="2"/>
  <c r="T1131" i="2"/>
  <c r="AR1131" i="2"/>
  <c r="V1136" i="2"/>
  <c r="AU1141" i="2"/>
  <c r="AS1144" i="2"/>
  <c r="AU1149" i="2"/>
  <c r="AI1151" i="2"/>
  <c r="AS1152" i="2"/>
  <c r="AI1159" i="2"/>
  <c r="AS1160" i="2"/>
  <c r="AU1165" i="2"/>
  <c r="V1168" i="2"/>
  <c r="V1176" i="2"/>
  <c r="V1184" i="2"/>
  <c r="AU1189" i="2"/>
  <c r="V1192" i="2"/>
  <c r="AU1197" i="2"/>
  <c r="V1200" i="2"/>
  <c r="AU1205" i="2"/>
  <c r="V1208" i="2"/>
  <c r="AU1213" i="2"/>
  <c r="V1216" i="2"/>
  <c r="U1219" i="2"/>
  <c r="AS1219" i="2"/>
  <c r="U1223" i="2"/>
  <c r="AS1223" i="2"/>
  <c r="AS1224" i="2"/>
  <c r="U1227" i="2"/>
  <c r="AS1227" i="2"/>
  <c r="U1231" i="2"/>
  <c r="AI1231" i="2"/>
  <c r="AS1231" i="2"/>
  <c r="AS1232" i="2"/>
  <c r="U1235" i="2"/>
  <c r="AU1235" i="2"/>
  <c r="AT1241" i="2"/>
  <c r="AR1243" i="2"/>
  <c r="U1247" i="2"/>
  <c r="AI1247" i="2"/>
  <c r="AS1247" i="2"/>
  <c r="AS1248" i="2"/>
  <c r="V1249" i="2"/>
  <c r="Q1250" i="2"/>
  <c r="AU1250" i="2"/>
  <c r="U1251" i="2"/>
  <c r="AU1251" i="2"/>
  <c r="AT1257" i="2"/>
  <c r="AR1259" i="2"/>
  <c r="AU1259" i="2"/>
  <c r="U1259" i="2"/>
  <c r="AU1263" i="2"/>
  <c r="U1263" i="2"/>
  <c r="AR1263" i="2"/>
  <c r="U1265" i="2"/>
  <c r="V1268" i="2"/>
  <c r="T1272" i="2"/>
  <c r="V1285" i="2"/>
  <c r="V1294" i="2"/>
  <c r="AS1294" i="2"/>
  <c r="AS1308" i="2"/>
  <c r="AR1308" i="2"/>
  <c r="V1308" i="2"/>
  <c r="Q1308" i="2"/>
  <c r="U1308" i="2"/>
  <c r="U1311" i="2"/>
  <c r="Q1311" i="2"/>
  <c r="AR1311" i="2"/>
  <c r="AU1326" i="2"/>
  <c r="T1326" i="2"/>
  <c r="AS1326" i="2"/>
  <c r="AT1337" i="2"/>
  <c r="AI1350" i="2"/>
  <c r="AU1074" i="2"/>
  <c r="V1077" i="2"/>
  <c r="T1079" i="2"/>
  <c r="AS1079" i="2"/>
  <c r="T1083" i="2"/>
  <c r="AU1106" i="2"/>
  <c r="V1109" i="2"/>
  <c r="T1119" i="2"/>
  <c r="AS1119" i="2"/>
  <c r="V1128" i="2"/>
  <c r="T1135" i="2"/>
  <c r="AR1135" i="2"/>
  <c r="U1138" i="2"/>
  <c r="U1146" i="2"/>
  <c r="U1154" i="2"/>
  <c r="U1162" i="2"/>
  <c r="T1167" i="2"/>
  <c r="AR1167" i="2"/>
  <c r="T1171" i="2"/>
  <c r="AR1171" i="2"/>
  <c r="T1175" i="2"/>
  <c r="AR1175" i="2"/>
  <c r="T1179" i="2"/>
  <c r="AR1179" i="2"/>
  <c r="T1183" i="2"/>
  <c r="AR1183" i="2"/>
  <c r="T1187" i="2"/>
  <c r="AR1187" i="2"/>
  <c r="T1191" i="2"/>
  <c r="AR1191" i="2"/>
  <c r="T1195" i="2"/>
  <c r="AR1195" i="2"/>
  <c r="T1199" i="2"/>
  <c r="AR1199" i="2"/>
  <c r="T1203" i="2"/>
  <c r="AR1203" i="2"/>
  <c r="T1207" i="2"/>
  <c r="AR1207" i="2"/>
  <c r="T1211" i="2"/>
  <c r="AR1211" i="2"/>
  <c r="T1215" i="2"/>
  <c r="AR1215" i="2"/>
  <c r="U1218" i="2"/>
  <c r="U1226" i="2"/>
  <c r="U1234" i="2"/>
  <c r="Q1235" i="2"/>
  <c r="V1235" i="2"/>
  <c r="T1239" i="2"/>
  <c r="AR1239" i="2"/>
  <c r="T1243" i="2"/>
  <c r="AS1243" i="2"/>
  <c r="Q1247" i="2"/>
  <c r="V1247" i="2"/>
  <c r="AU1247" i="2"/>
  <c r="Q1251" i="2"/>
  <c r="V1251" i="2"/>
  <c r="T1255" i="2"/>
  <c r="AR1255" i="2"/>
  <c r="AT1265" i="2"/>
  <c r="V1266" i="2"/>
  <c r="AS1268" i="2"/>
  <c r="U1268" i="2"/>
  <c r="AR1279" i="2"/>
  <c r="U1279" i="2"/>
  <c r="T1279" i="2"/>
  <c r="AS1281" i="2"/>
  <c r="AR1281" i="2"/>
  <c r="AS1310" i="2"/>
  <c r="T1310" i="2"/>
  <c r="AU1324" i="2"/>
  <c r="V1326" i="2"/>
  <c r="AR1331" i="2"/>
  <c r="U1331" i="2"/>
  <c r="Q1331" i="2"/>
  <c r="AI1334" i="2"/>
  <c r="AI1346" i="2"/>
  <c r="AT1353" i="2"/>
  <c r="T1007" i="2"/>
  <c r="AS1007" i="2"/>
  <c r="AR1024" i="2"/>
  <c r="AT1026" i="2"/>
  <c r="T1027" i="2"/>
  <c r="T1031" i="2"/>
  <c r="AS1031" i="2"/>
  <c r="AR1039" i="2"/>
  <c r="V1045" i="2"/>
  <c r="T1047" i="2"/>
  <c r="AS1047" i="2"/>
  <c r="V1061" i="2"/>
  <c r="Q1064" i="2"/>
  <c r="AT1073" i="2"/>
  <c r="Q1075" i="2"/>
  <c r="V1075" i="2"/>
  <c r="AS1075" i="2"/>
  <c r="U1079" i="2"/>
  <c r="AU1079" i="2"/>
  <c r="AU1082" i="2"/>
  <c r="U1083" i="2"/>
  <c r="AR1083" i="2"/>
  <c r="V1085" i="2"/>
  <c r="T1087" i="2"/>
  <c r="AS1087" i="2"/>
  <c r="T1091" i="2"/>
  <c r="Q1096" i="2"/>
  <c r="AT1105" i="2"/>
  <c r="Q1107" i="2"/>
  <c r="V1107" i="2"/>
  <c r="AS1107" i="2"/>
  <c r="Q1112" i="2"/>
  <c r="V1113" i="2"/>
  <c r="Q1114" i="2"/>
  <c r="U1119" i="2"/>
  <c r="AU1119" i="2"/>
  <c r="T1127" i="2"/>
  <c r="AR1127" i="2"/>
  <c r="Q1128" i="2"/>
  <c r="AR1128" i="2"/>
  <c r="U1130" i="2"/>
  <c r="U1135" i="2"/>
  <c r="AS1135" i="2"/>
  <c r="AT1137" i="2"/>
  <c r="V1144" i="2"/>
  <c r="AT1145" i="2"/>
  <c r="V1152" i="2"/>
  <c r="AT1153" i="2"/>
  <c r="V1160" i="2"/>
  <c r="AT1161" i="2"/>
  <c r="U1167" i="2"/>
  <c r="AS1167" i="2"/>
  <c r="U1171" i="2"/>
  <c r="AS1171" i="2"/>
  <c r="U1175" i="2"/>
  <c r="AS1175" i="2"/>
  <c r="U1179" i="2"/>
  <c r="AS1179" i="2"/>
  <c r="U1183" i="2"/>
  <c r="AS1183" i="2"/>
  <c r="U1187" i="2"/>
  <c r="AS1187" i="2"/>
  <c r="U1191" i="2"/>
  <c r="AS1191" i="2"/>
  <c r="U1195" i="2"/>
  <c r="AS1195" i="2"/>
  <c r="U1199" i="2"/>
  <c r="AS1199" i="2"/>
  <c r="U1203" i="2"/>
  <c r="AS1203" i="2"/>
  <c r="U1207" i="2"/>
  <c r="AS1207" i="2"/>
  <c r="U1211" i="2"/>
  <c r="AS1211" i="2"/>
  <c r="U1215" i="2"/>
  <c r="AS1215" i="2"/>
  <c r="AT1217" i="2"/>
  <c r="V1224" i="2"/>
  <c r="AT1225" i="2"/>
  <c r="V1232" i="2"/>
  <c r="AT1233" i="2"/>
  <c r="AR1235" i="2"/>
  <c r="U1239" i="2"/>
  <c r="AS1239" i="2"/>
  <c r="V1241" i="2"/>
  <c r="Q1242" i="2"/>
  <c r="U1243" i="2"/>
  <c r="AU1243" i="2"/>
  <c r="AR1251" i="2"/>
  <c r="U1255" i="2"/>
  <c r="AS1255" i="2"/>
  <c r="V1257" i="2"/>
  <c r="Q1258" i="2"/>
  <c r="AS1259" i="2"/>
  <c r="AR1267" i="2"/>
  <c r="Q1268" i="2"/>
  <c r="AR1268" i="2"/>
  <c r="AS1272" i="2"/>
  <c r="U1272" i="2"/>
  <c r="AU1275" i="2"/>
  <c r="Q1275" i="2"/>
  <c r="AR1276" i="2"/>
  <c r="V1276" i="2"/>
  <c r="Q1276" i="2"/>
  <c r="AU1276" i="2"/>
  <c r="U1276" i="2"/>
  <c r="AI1298" i="2"/>
  <c r="U1307" i="2"/>
  <c r="AU1308" i="2"/>
  <c r="V1310" i="2"/>
  <c r="AU1310" i="2"/>
  <c r="AS1316" i="2"/>
  <c r="AR1316" i="2"/>
  <c r="V1316" i="2"/>
  <c r="Q1316" i="2"/>
  <c r="U1316" i="2"/>
  <c r="AS1320" i="2"/>
  <c r="AR1320" i="2"/>
  <c r="V1320" i="2"/>
  <c r="Q1320" i="2"/>
  <c r="U1320" i="2"/>
  <c r="AT1341" i="2"/>
  <c r="AI1344" i="2"/>
  <c r="AT1357" i="2"/>
  <c r="T1360" i="2"/>
  <c r="AU1360" i="2"/>
  <c r="V1370" i="2"/>
  <c r="T1376" i="2"/>
  <c r="AU1376" i="2"/>
  <c r="V1386" i="2"/>
  <c r="T1392" i="2"/>
  <c r="AU1392" i="2"/>
  <c r="V1402" i="2"/>
  <c r="T1408" i="2"/>
  <c r="AU1408" i="2"/>
  <c r="V1418" i="2"/>
  <c r="T1424" i="2"/>
  <c r="AU1424" i="2"/>
  <c r="V1434" i="2"/>
  <c r="T1440" i="2"/>
  <c r="AU1440" i="2"/>
  <c r="V1450" i="2"/>
  <c r="T1456" i="2"/>
  <c r="AU1456" i="2"/>
  <c r="V1466" i="2"/>
  <c r="T1472" i="2"/>
  <c r="AU1472" i="2"/>
  <c r="V1482" i="2"/>
  <c r="T1488" i="2"/>
  <c r="AU1488" i="2"/>
  <c r="AS1514" i="2"/>
  <c r="AS1518" i="2"/>
  <c r="Q1591" i="2"/>
  <c r="AR1591" i="2"/>
  <c r="U1591" i="2"/>
  <c r="Q1619" i="2"/>
  <c r="AR1619" i="2"/>
  <c r="U1619" i="2"/>
  <c r="AU1622" i="2"/>
  <c r="T1622" i="2"/>
  <c r="AS1622" i="2"/>
  <c r="U1644" i="2"/>
  <c r="AS1644" i="2"/>
  <c r="AR1644" i="2"/>
  <c r="V1644" i="2"/>
  <c r="Q1644" i="2"/>
  <c r="Q1651" i="2"/>
  <c r="AR1651" i="2"/>
  <c r="U1651" i="2"/>
  <c r="AU1654" i="2"/>
  <c r="T1654" i="2"/>
  <c r="AS1654" i="2"/>
  <c r="U1663" i="2"/>
  <c r="Q1663" i="2"/>
  <c r="AR1663" i="2"/>
  <c r="AS1666" i="2"/>
  <c r="AU1666" i="2"/>
  <c r="V1666" i="2"/>
  <c r="T1666" i="2"/>
  <c r="Q1264" i="2"/>
  <c r="V1264" i="2"/>
  <c r="AU1264" i="2"/>
  <c r="AS1273" i="2"/>
  <c r="V1274" i="2"/>
  <c r="V1277" i="2"/>
  <c r="AR1280" i="2"/>
  <c r="AT1282" i="2"/>
  <c r="AR1284" i="2"/>
  <c r="AU1288" i="2"/>
  <c r="AS1290" i="2"/>
  <c r="AS1292" i="2"/>
  <c r="AS1296" i="2"/>
  <c r="T1298" i="2"/>
  <c r="AS1298" i="2"/>
  <c r="AT1299" i="2"/>
  <c r="AU1300" i="2"/>
  <c r="AS1302" i="2"/>
  <c r="V1306" i="2"/>
  <c r="AT1309" i="2"/>
  <c r="AR1312" i="2"/>
  <c r="AR1315" i="2"/>
  <c r="AR1319" i="2"/>
  <c r="T1322" i="2"/>
  <c r="AS1322" i="2"/>
  <c r="AR1323" i="2"/>
  <c r="AT1325" i="2"/>
  <c r="T1328" i="2"/>
  <c r="AS1328" i="2"/>
  <c r="V1330" i="2"/>
  <c r="AS1332" i="2"/>
  <c r="T1334" i="2"/>
  <c r="AU1334" i="2"/>
  <c r="V1338" i="2"/>
  <c r="AU1338" i="2"/>
  <c r="AS1344" i="2"/>
  <c r="T1346" i="2"/>
  <c r="AU1346" i="2"/>
  <c r="T1350" i="2"/>
  <c r="AU1350" i="2"/>
  <c r="AR1352" i="2"/>
  <c r="V1354" i="2"/>
  <c r="AU1354" i="2"/>
  <c r="AR1356" i="2"/>
  <c r="AS1358" i="2"/>
  <c r="AR1359" i="2"/>
  <c r="U1360" i="2"/>
  <c r="T1362" i="2"/>
  <c r="AU1362" i="2"/>
  <c r="V1366" i="2"/>
  <c r="Q1367" i="2"/>
  <c r="AS1368" i="2"/>
  <c r="T1372" i="2"/>
  <c r="AU1372" i="2"/>
  <c r="AS1374" i="2"/>
  <c r="AR1375" i="2"/>
  <c r="U1376" i="2"/>
  <c r="T1378" i="2"/>
  <c r="AU1378" i="2"/>
  <c r="AR1380" i="2"/>
  <c r="V1382" i="2"/>
  <c r="Q1383" i="2"/>
  <c r="AS1384" i="2"/>
  <c r="U1387" i="2"/>
  <c r="T1388" i="2"/>
  <c r="AU1388" i="2"/>
  <c r="AS1390" i="2"/>
  <c r="AR1391" i="2"/>
  <c r="U1392" i="2"/>
  <c r="T1394" i="2"/>
  <c r="AU1394" i="2"/>
  <c r="AR1396" i="2"/>
  <c r="V1398" i="2"/>
  <c r="Q1399" i="2"/>
  <c r="AS1400" i="2"/>
  <c r="U1403" i="2"/>
  <c r="T1404" i="2"/>
  <c r="AU1404" i="2"/>
  <c r="AS1406" i="2"/>
  <c r="AR1407" i="2"/>
  <c r="U1408" i="2"/>
  <c r="T1410" i="2"/>
  <c r="AU1410" i="2"/>
  <c r="AR1412" i="2"/>
  <c r="V1414" i="2"/>
  <c r="Q1415" i="2"/>
  <c r="AS1416" i="2"/>
  <c r="U1419" i="2"/>
  <c r="T1420" i="2"/>
  <c r="AU1420" i="2"/>
  <c r="AS1422" i="2"/>
  <c r="AR1423" i="2"/>
  <c r="U1424" i="2"/>
  <c r="T1426" i="2"/>
  <c r="AU1426" i="2"/>
  <c r="AR1428" i="2"/>
  <c r="V1430" i="2"/>
  <c r="Q1431" i="2"/>
  <c r="AS1432" i="2"/>
  <c r="U1435" i="2"/>
  <c r="T1436" i="2"/>
  <c r="AU1436" i="2"/>
  <c r="AS1438" i="2"/>
  <c r="AR1439" i="2"/>
  <c r="U1440" i="2"/>
  <c r="T1442" i="2"/>
  <c r="AU1442" i="2"/>
  <c r="V1446" i="2"/>
  <c r="Q1447" i="2"/>
  <c r="AS1448" i="2"/>
  <c r="T1452" i="2"/>
  <c r="AU1452" i="2"/>
  <c r="AS1454" i="2"/>
  <c r="AR1455" i="2"/>
  <c r="U1456" i="2"/>
  <c r="T1458" i="2"/>
  <c r="AU1458" i="2"/>
  <c r="V1462" i="2"/>
  <c r="Q1463" i="2"/>
  <c r="AS1464" i="2"/>
  <c r="T1468" i="2"/>
  <c r="AU1468" i="2"/>
  <c r="AS1470" i="2"/>
  <c r="AR1471" i="2"/>
  <c r="U1472" i="2"/>
  <c r="T1474" i="2"/>
  <c r="AU1474" i="2"/>
  <c r="V1478" i="2"/>
  <c r="Q1479" i="2"/>
  <c r="AS1480" i="2"/>
  <c r="T1484" i="2"/>
  <c r="AU1484" i="2"/>
  <c r="AR1487" i="2"/>
  <c r="U1488" i="2"/>
  <c r="V1489" i="2"/>
  <c r="AI1490" i="2"/>
  <c r="AI1491" i="2"/>
  <c r="T1496" i="2"/>
  <c r="V1497" i="2"/>
  <c r="AI1498" i="2"/>
  <c r="AI1499" i="2"/>
  <c r="T1504" i="2"/>
  <c r="V1505" i="2"/>
  <c r="V1514" i="2"/>
  <c r="V1518" i="2"/>
  <c r="AU1530" i="2"/>
  <c r="AT1530" i="2"/>
  <c r="AU1546" i="2"/>
  <c r="T1546" i="2"/>
  <c r="AS1546" i="2"/>
  <c r="AU1548" i="2"/>
  <c r="U1548" i="2"/>
  <c r="AR1548" i="2"/>
  <c r="V1548" i="2"/>
  <c r="Q1548" i="2"/>
  <c r="AI1558" i="2"/>
  <c r="AT1565" i="2"/>
  <c r="AI1566" i="2"/>
  <c r="AT1569" i="2"/>
  <c r="AI1592" i="2"/>
  <c r="AI1614" i="2"/>
  <c r="V1622" i="2"/>
  <c r="AI1630" i="2"/>
  <c r="T1644" i="2"/>
  <c r="V1654" i="2"/>
  <c r="T1280" i="2"/>
  <c r="AS1280" i="2"/>
  <c r="V1282" i="2"/>
  <c r="AU1282" i="2"/>
  <c r="T1284" i="2"/>
  <c r="AS1284" i="2"/>
  <c r="T1292" i="2"/>
  <c r="AU1292" i="2"/>
  <c r="T1296" i="2"/>
  <c r="AU1296" i="2"/>
  <c r="V1298" i="2"/>
  <c r="AU1298" i="2"/>
  <c r="V1322" i="2"/>
  <c r="AU1322" i="2"/>
  <c r="T1332" i="2"/>
  <c r="AU1332" i="2"/>
  <c r="V1334" i="2"/>
  <c r="T1344" i="2"/>
  <c r="AU1344" i="2"/>
  <c r="V1346" i="2"/>
  <c r="V1350" i="2"/>
  <c r="Q1360" i="2"/>
  <c r="V1360" i="2"/>
  <c r="AR1360" i="2"/>
  <c r="V1362" i="2"/>
  <c r="U1367" i="2"/>
  <c r="T1368" i="2"/>
  <c r="AU1368" i="2"/>
  <c r="AS1370" i="2"/>
  <c r="Q1376" i="2"/>
  <c r="V1376" i="2"/>
  <c r="AR1376" i="2"/>
  <c r="V1378" i="2"/>
  <c r="U1383" i="2"/>
  <c r="T1384" i="2"/>
  <c r="AU1384" i="2"/>
  <c r="AS1386" i="2"/>
  <c r="Q1392" i="2"/>
  <c r="V1392" i="2"/>
  <c r="AR1392" i="2"/>
  <c r="V1394" i="2"/>
  <c r="U1399" i="2"/>
  <c r="T1400" i="2"/>
  <c r="AU1400" i="2"/>
  <c r="AS1402" i="2"/>
  <c r="Q1408" i="2"/>
  <c r="V1408" i="2"/>
  <c r="AR1408" i="2"/>
  <c r="V1410" i="2"/>
  <c r="U1415" i="2"/>
  <c r="T1416" i="2"/>
  <c r="AU1416" i="2"/>
  <c r="AS1418" i="2"/>
  <c r="Q1424" i="2"/>
  <c r="V1424" i="2"/>
  <c r="AR1424" i="2"/>
  <c r="V1426" i="2"/>
  <c r="U1431" i="2"/>
  <c r="T1432" i="2"/>
  <c r="AU1432" i="2"/>
  <c r="AS1434" i="2"/>
  <c r="Q1440" i="2"/>
  <c r="V1440" i="2"/>
  <c r="AR1440" i="2"/>
  <c r="V1442" i="2"/>
  <c r="U1447" i="2"/>
  <c r="T1448" i="2"/>
  <c r="AU1448" i="2"/>
  <c r="AS1450" i="2"/>
  <c r="Q1456" i="2"/>
  <c r="V1456" i="2"/>
  <c r="AR1456" i="2"/>
  <c r="V1458" i="2"/>
  <c r="U1463" i="2"/>
  <c r="T1464" i="2"/>
  <c r="AU1464" i="2"/>
  <c r="AS1466" i="2"/>
  <c r="Q1472" i="2"/>
  <c r="V1472" i="2"/>
  <c r="AR1472" i="2"/>
  <c r="V1474" i="2"/>
  <c r="U1479" i="2"/>
  <c r="T1480" i="2"/>
  <c r="AU1480" i="2"/>
  <c r="AS1482" i="2"/>
  <c r="Q1488" i="2"/>
  <c r="V1488" i="2"/>
  <c r="AR1488" i="2"/>
  <c r="U1504" i="2"/>
  <c r="AR1504" i="2"/>
  <c r="Q1505" i="2"/>
  <c r="AR1505" i="2"/>
  <c r="AU1508" i="2"/>
  <c r="U1508" i="2"/>
  <c r="AS1508" i="2"/>
  <c r="AR1512" i="2"/>
  <c r="U1512" i="2"/>
  <c r="V1512" i="2"/>
  <c r="AU1512" i="2"/>
  <c r="AR1513" i="2"/>
  <c r="Q1513" i="2"/>
  <c r="AU1516" i="2"/>
  <c r="AR1516" i="2"/>
  <c r="U1516" i="2"/>
  <c r="AR1520" i="2"/>
  <c r="U1520" i="2"/>
  <c r="AU1520" i="2"/>
  <c r="V1530" i="2"/>
  <c r="Q1541" i="2"/>
  <c r="AT1541" i="2"/>
  <c r="Q1543" i="2"/>
  <c r="AT1543" i="2"/>
  <c r="V1546" i="2"/>
  <c r="T1548" i="2"/>
  <c r="U1552" i="2"/>
  <c r="AS1552" i="2"/>
  <c r="AR1552" i="2"/>
  <c r="V1552" i="2"/>
  <c r="Q1552" i="2"/>
  <c r="AI1598" i="2"/>
  <c r="Q1603" i="2"/>
  <c r="AR1603" i="2"/>
  <c r="U1603" i="2"/>
  <c r="AU1606" i="2"/>
  <c r="T1606" i="2"/>
  <c r="AS1606" i="2"/>
  <c r="U1612" i="2"/>
  <c r="AS1612" i="2"/>
  <c r="AR1612" i="2"/>
  <c r="V1612" i="2"/>
  <c r="Q1612" i="2"/>
  <c r="U1628" i="2"/>
  <c r="AS1628" i="2"/>
  <c r="AR1628" i="2"/>
  <c r="V1628" i="2"/>
  <c r="Q1628" i="2"/>
  <c r="Q1635" i="2"/>
  <c r="AR1635" i="2"/>
  <c r="U1635" i="2"/>
  <c r="AU1638" i="2"/>
  <c r="T1638" i="2"/>
  <c r="AS1638" i="2"/>
  <c r="AU1644" i="2"/>
  <c r="U1675" i="2"/>
  <c r="Q1675" i="2"/>
  <c r="AR1675" i="2"/>
  <c r="T1264" i="2"/>
  <c r="AR1264" i="2"/>
  <c r="Q1277" i="2"/>
  <c r="U1280" i="2"/>
  <c r="AU1280" i="2"/>
  <c r="Q1283" i="2"/>
  <c r="U1284" i="2"/>
  <c r="AU1284" i="2"/>
  <c r="T1288" i="2"/>
  <c r="AR1288" i="2"/>
  <c r="V1290" i="2"/>
  <c r="U1292" i="2"/>
  <c r="U1296" i="2"/>
  <c r="T1300" i="2"/>
  <c r="AR1300" i="2"/>
  <c r="V1302" i="2"/>
  <c r="T1304" i="2"/>
  <c r="AS1304" i="2"/>
  <c r="U1305" i="2"/>
  <c r="AS1306" i="2"/>
  <c r="T1312" i="2"/>
  <c r="AU1312" i="2"/>
  <c r="V1314" i="2"/>
  <c r="Q1315" i="2"/>
  <c r="V1318" i="2"/>
  <c r="Q1319" i="2"/>
  <c r="Q1323" i="2"/>
  <c r="Q1328" i="2"/>
  <c r="V1328" i="2"/>
  <c r="AS1330" i="2"/>
  <c r="U1332" i="2"/>
  <c r="U1335" i="2"/>
  <c r="T1336" i="2"/>
  <c r="AU1336" i="2"/>
  <c r="U1339" i="2"/>
  <c r="T1340" i="2"/>
  <c r="AU1340" i="2"/>
  <c r="V1342" i="2"/>
  <c r="AU1342" i="2"/>
  <c r="AR1343" i="2"/>
  <c r="U1344" i="2"/>
  <c r="U1347" i="2"/>
  <c r="T1348" i="2"/>
  <c r="AU1348" i="2"/>
  <c r="U1351" i="2"/>
  <c r="T1352" i="2"/>
  <c r="AU1352" i="2"/>
  <c r="U1355" i="2"/>
  <c r="T1356" i="2"/>
  <c r="AU1356" i="2"/>
  <c r="V1358" i="2"/>
  <c r="Q1359" i="2"/>
  <c r="AS1360" i="2"/>
  <c r="AI1362" i="2"/>
  <c r="U1363" i="2"/>
  <c r="T1364" i="2"/>
  <c r="AU1364" i="2"/>
  <c r="AS1366" i="2"/>
  <c r="AR1367" i="2"/>
  <c r="U1368" i="2"/>
  <c r="T1370" i="2"/>
  <c r="AU1370" i="2"/>
  <c r="Q1372" i="2"/>
  <c r="V1372" i="2"/>
  <c r="AR1372" i="2"/>
  <c r="V1374" i="2"/>
  <c r="Q1375" i="2"/>
  <c r="AS1376" i="2"/>
  <c r="AI1378" i="2"/>
  <c r="U1379" i="2"/>
  <c r="T1380" i="2"/>
  <c r="AU1380" i="2"/>
  <c r="AS1382" i="2"/>
  <c r="AR1383" i="2"/>
  <c r="U1384" i="2"/>
  <c r="T1386" i="2"/>
  <c r="AU1386" i="2"/>
  <c r="Q1388" i="2"/>
  <c r="V1388" i="2"/>
  <c r="AR1388" i="2"/>
  <c r="V1390" i="2"/>
  <c r="Q1391" i="2"/>
  <c r="AS1392" i="2"/>
  <c r="AI1394" i="2"/>
  <c r="U1395" i="2"/>
  <c r="T1396" i="2"/>
  <c r="AU1396" i="2"/>
  <c r="AS1398" i="2"/>
  <c r="AR1399" i="2"/>
  <c r="U1400" i="2"/>
  <c r="T1402" i="2"/>
  <c r="AU1402" i="2"/>
  <c r="Q1404" i="2"/>
  <c r="V1404" i="2"/>
  <c r="AR1404" i="2"/>
  <c r="V1406" i="2"/>
  <c r="Q1407" i="2"/>
  <c r="AS1408" i="2"/>
  <c r="AI1410" i="2"/>
  <c r="U1411" i="2"/>
  <c r="T1412" i="2"/>
  <c r="AU1412" i="2"/>
  <c r="AS1414" i="2"/>
  <c r="AR1415" i="2"/>
  <c r="U1416" i="2"/>
  <c r="T1418" i="2"/>
  <c r="AU1418" i="2"/>
  <c r="Q1420" i="2"/>
  <c r="V1420" i="2"/>
  <c r="AR1420" i="2"/>
  <c r="V1422" i="2"/>
  <c r="Q1423" i="2"/>
  <c r="AS1424" i="2"/>
  <c r="AI1426" i="2"/>
  <c r="U1427" i="2"/>
  <c r="T1428" i="2"/>
  <c r="AU1428" i="2"/>
  <c r="AS1430" i="2"/>
  <c r="AR1431" i="2"/>
  <c r="U1432" i="2"/>
  <c r="T1434" i="2"/>
  <c r="AU1434" i="2"/>
  <c r="Q1436" i="2"/>
  <c r="V1436" i="2"/>
  <c r="AR1436" i="2"/>
  <c r="V1438" i="2"/>
  <c r="Q1439" i="2"/>
  <c r="AS1440" i="2"/>
  <c r="AI1442" i="2"/>
  <c r="U1443" i="2"/>
  <c r="T1444" i="2"/>
  <c r="AU1444" i="2"/>
  <c r="AS1446" i="2"/>
  <c r="AR1447" i="2"/>
  <c r="U1448" i="2"/>
  <c r="T1450" i="2"/>
  <c r="AU1450" i="2"/>
  <c r="Q1452" i="2"/>
  <c r="V1452" i="2"/>
  <c r="AR1452" i="2"/>
  <c r="V1454" i="2"/>
  <c r="Q1455" i="2"/>
  <c r="AS1456" i="2"/>
  <c r="AI1458" i="2"/>
  <c r="U1459" i="2"/>
  <c r="T1460" i="2"/>
  <c r="AU1460" i="2"/>
  <c r="AS1462" i="2"/>
  <c r="AR1463" i="2"/>
  <c r="U1464" i="2"/>
  <c r="T1466" i="2"/>
  <c r="AU1466" i="2"/>
  <c r="Q1468" i="2"/>
  <c r="V1468" i="2"/>
  <c r="AR1468" i="2"/>
  <c r="V1470" i="2"/>
  <c r="Q1471" i="2"/>
  <c r="AS1472" i="2"/>
  <c r="AI1474" i="2"/>
  <c r="U1475" i="2"/>
  <c r="T1476" i="2"/>
  <c r="AU1476" i="2"/>
  <c r="AS1478" i="2"/>
  <c r="AR1479" i="2"/>
  <c r="U1480" i="2"/>
  <c r="T1482" i="2"/>
  <c r="AU1482" i="2"/>
  <c r="Q1484" i="2"/>
  <c r="V1484" i="2"/>
  <c r="AR1484" i="2"/>
  <c r="V1486" i="2"/>
  <c r="Q1487" i="2"/>
  <c r="AS1488" i="2"/>
  <c r="AS1489" i="2"/>
  <c r="T1492" i="2"/>
  <c r="V1493" i="2"/>
  <c r="V1494" i="2"/>
  <c r="AI1494" i="2"/>
  <c r="AI1495" i="2"/>
  <c r="Q1496" i="2"/>
  <c r="V1496" i="2"/>
  <c r="AS1496" i="2"/>
  <c r="AS1497" i="2"/>
  <c r="T1500" i="2"/>
  <c r="V1501" i="2"/>
  <c r="V1502" i="2"/>
  <c r="AI1502" i="2"/>
  <c r="Q1504" i="2"/>
  <c r="V1504" i="2"/>
  <c r="AS1504" i="2"/>
  <c r="AS1505" i="2"/>
  <c r="AS1506" i="2"/>
  <c r="V1508" i="2"/>
  <c r="U1509" i="2"/>
  <c r="AR1509" i="2"/>
  <c r="Q1512" i="2"/>
  <c r="Q1516" i="2"/>
  <c r="AS1516" i="2"/>
  <c r="U1517" i="2"/>
  <c r="AR1517" i="2"/>
  <c r="Q1517" i="2"/>
  <c r="AR1521" i="2"/>
  <c r="Q1521" i="2"/>
  <c r="U1521" i="2"/>
  <c r="AS1521" i="2"/>
  <c r="AI1530" i="2"/>
  <c r="AS1542" i="2"/>
  <c r="T1542" i="2"/>
  <c r="AS1544" i="2"/>
  <c r="U1544" i="2"/>
  <c r="AU1544" i="2"/>
  <c r="V1544" i="2"/>
  <c r="Q1544" i="2"/>
  <c r="AS1548" i="2"/>
  <c r="AU1554" i="2"/>
  <c r="T1554" i="2"/>
  <c r="AU1574" i="2"/>
  <c r="T1574" i="2"/>
  <c r="AS1574" i="2"/>
  <c r="U1580" i="2"/>
  <c r="AS1580" i="2"/>
  <c r="AR1580" i="2"/>
  <c r="V1580" i="2"/>
  <c r="Q1580" i="2"/>
  <c r="AI1594" i="2"/>
  <c r="U1596" i="2"/>
  <c r="AS1596" i="2"/>
  <c r="AR1596" i="2"/>
  <c r="V1596" i="2"/>
  <c r="Q1596" i="2"/>
  <c r="V1606" i="2"/>
  <c r="AI1646" i="2"/>
  <c r="AU1682" i="2"/>
  <c r="T1682" i="2"/>
  <c r="AS1682" i="2"/>
  <c r="V1682" i="2"/>
  <c r="Q1695" i="2"/>
  <c r="AR1695" i="2"/>
  <c r="U1695" i="2"/>
  <c r="T1524" i="2"/>
  <c r="V1525" i="2"/>
  <c r="T1532" i="2"/>
  <c r="AR1532" i="2"/>
  <c r="AT1537" i="2"/>
  <c r="T1540" i="2"/>
  <c r="AS1540" i="2"/>
  <c r="V1558" i="2"/>
  <c r="V1566" i="2"/>
  <c r="T1592" i="2"/>
  <c r="AU1592" i="2"/>
  <c r="V1594" i="2"/>
  <c r="AU1594" i="2"/>
  <c r="V1598" i="2"/>
  <c r="T1604" i="2"/>
  <c r="AU1604" i="2"/>
  <c r="V1614" i="2"/>
  <c r="T1620" i="2"/>
  <c r="AU1620" i="2"/>
  <c r="V1630" i="2"/>
  <c r="T1636" i="2"/>
  <c r="AU1636" i="2"/>
  <c r="V1646" i="2"/>
  <c r="T1652" i="2"/>
  <c r="AU1652" i="2"/>
  <c r="Q1659" i="2"/>
  <c r="AS1672" i="2"/>
  <c r="AR1672" i="2"/>
  <c r="V1672" i="2"/>
  <c r="Q1672" i="2"/>
  <c r="AI1680" i="2"/>
  <c r="U1524" i="2"/>
  <c r="AR1524" i="2"/>
  <c r="Q1525" i="2"/>
  <c r="T1528" i="2"/>
  <c r="AR1528" i="2"/>
  <c r="AR1529" i="2"/>
  <c r="Q1531" i="2"/>
  <c r="AU1531" i="2"/>
  <c r="U1532" i="2"/>
  <c r="AS1532" i="2"/>
  <c r="Q1537" i="2"/>
  <c r="Q1539" i="2"/>
  <c r="AT1539" i="2"/>
  <c r="U1540" i="2"/>
  <c r="AU1540" i="2"/>
  <c r="Q1549" i="2"/>
  <c r="Q1556" i="2"/>
  <c r="V1556" i="2"/>
  <c r="AR1556" i="2"/>
  <c r="T1560" i="2"/>
  <c r="AU1560" i="2"/>
  <c r="T1564" i="2"/>
  <c r="AU1564" i="2"/>
  <c r="T1568" i="2"/>
  <c r="AU1568" i="2"/>
  <c r="T1572" i="2"/>
  <c r="AU1572" i="2"/>
  <c r="AR1576" i="2"/>
  <c r="V1578" i="2"/>
  <c r="Q1579" i="2"/>
  <c r="V1582" i="2"/>
  <c r="AU1582" i="2"/>
  <c r="Q1584" i="2"/>
  <c r="V1584" i="2"/>
  <c r="AR1584" i="2"/>
  <c r="V1586" i="2"/>
  <c r="AU1586" i="2"/>
  <c r="Q1588" i="2"/>
  <c r="V1588" i="2"/>
  <c r="AR1588" i="2"/>
  <c r="AS1590" i="2"/>
  <c r="U1592" i="2"/>
  <c r="Q1595" i="2"/>
  <c r="T1600" i="2"/>
  <c r="AU1600" i="2"/>
  <c r="AS1602" i="2"/>
  <c r="U1604" i="2"/>
  <c r="AR1608" i="2"/>
  <c r="V1610" i="2"/>
  <c r="Q1611" i="2"/>
  <c r="U1615" i="2"/>
  <c r="T1616" i="2"/>
  <c r="AU1616" i="2"/>
  <c r="AS1618" i="2"/>
  <c r="U1620" i="2"/>
  <c r="V1626" i="2"/>
  <c r="Q1627" i="2"/>
  <c r="T1632" i="2"/>
  <c r="AU1632" i="2"/>
  <c r="AS1634" i="2"/>
  <c r="U1636" i="2"/>
  <c r="V1642" i="2"/>
  <c r="Q1643" i="2"/>
  <c r="T1648" i="2"/>
  <c r="AU1648" i="2"/>
  <c r="AS1650" i="2"/>
  <c r="U1652" i="2"/>
  <c r="U1659" i="2"/>
  <c r="AS1660" i="2"/>
  <c r="U1660" i="2"/>
  <c r="AR1660" i="2"/>
  <c r="AU1698" i="2"/>
  <c r="T1698" i="2"/>
  <c r="AS1698" i="2"/>
  <c r="AS1522" i="2"/>
  <c r="AU1524" i="2"/>
  <c r="U1525" i="2"/>
  <c r="Q1528" i="2"/>
  <c r="V1528" i="2"/>
  <c r="AU1528" i="2"/>
  <c r="T1536" i="2"/>
  <c r="AU1536" i="2"/>
  <c r="V1538" i="2"/>
  <c r="AS1538" i="2"/>
  <c r="AR1540" i="2"/>
  <c r="AI1542" i="2"/>
  <c r="AI1546" i="2"/>
  <c r="U1549" i="2"/>
  <c r="V1550" i="2"/>
  <c r="AU1550" i="2"/>
  <c r="AT1553" i="2"/>
  <c r="T1556" i="2"/>
  <c r="AU1556" i="2"/>
  <c r="T1558" i="2"/>
  <c r="AU1558" i="2"/>
  <c r="Q1560" i="2"/>
  <c r="V1560" i="2"/>
  <c r="AR1560" i="2"/>
  <c r="V1562" i="2"/>
  <c r="AU1562" i="2"/>
  <c r="Q1564" i="2"/>
  <c r="V1564" i="2"/>
  <c r="AR1564" i="2"/>
  <c r="T1566" i="2"/>
  <c r="AU1566" i="2"/>
  <c r="Q1568" i="2"/>
  <c r="V1568" i="2"/>
  <c r="AR1568" i="2"/>
  <c r="V1570" i="2"/>
  <c r="AU1570" i="2"/>
  <c r="Q1572" i="2"/>
  <c r="V1572" i="2"/>
  <c r="AR1572" i="2"/>
  <c r="AI1574" i="2"/>
  <c r="U1575" i="2"/>
  <c r="T1576" i="2"/>
  <c r="AU1576" i="2"/>
  <c r="AS1578" i="2"/>
  <c r="AR1579" i="2"/>
  <c r="T1584" i="2"/>
  <c r="AU1584" i="2"/>
  <c r="AT1585" i="2"/>
  <c r="T1588" i="2"/>
  <c r="AU1588" i="2"/>
  <c r="V1590" i="2"/>
  <c r="AS1592" i="2"/>
  <c r="T1594" i="2"/>
  <c r="AS1594" i="2"/>
  <c r="AR1595" i="2"/>
  <c r="T1598" i="2"/>
  <c r="AU1598" i="2"/>
  <c r="Q1600" i="2"/>
  <c r="V1600" i="2"/>
  <c r="AR1600" i="2"/>
  <c r="V1602" i="2"/>
  <c r="AS1604" i="2"/>
  <c r="AI1606" i="2"/>
  <c r="U1607" i="2"/>
  <c r="T1608" i="2"/>
  <c r="AU1608" i="2"/>
  <c r="AS1610" i="2"/>
  <c r="AR1611" i="2"/>
  <c r="T1614" i="2"/>
  <c r="AU1614" i="2"/>
  <c r="Q1616" i="2"/>
  <c r="V1616" i="2"/>
  <c r="AR1616" i="2"/>
  <c r="V1618" i="2"/>
  <c r="AS1620" i="2"/>
  <c r="AI1622" i="2"/>
  <c r="U1623" i="2"/>
  <c r="T1624" i="2"/>
  <c r="AU1624" i="2"/>
  <c r="AS1626" i="2"/>
  <c r="AR1627" i="2"/>
  <c r="T1630" i="2"/>
  <c r="AU1630" i="2"/>
  <c r="Q1632" i="2"/>
  <c r="V1632" i="2"/>
  <c r="AR1632" i="2"/>
  <c r="V1634" i="2"/>
  <c r="AS1636" i="2"/>
  <c r="AI1638" i="2"/>
  <c r="U1639" i="2"/>
  <c r="T1640" i="2"/>
  <c r="AU1640" i="2"/>
  <c r="AS1642" i="2"/>
  <c r="AR1643" i="2"/>
  <c r="T1646" i="2"/>
  <c r="AU1646" i="2"/>
  <c r="Q1648" i="2"/>
  <c r="V1648" i="2"/>
  <c r="AR1648" i="2"/>
  <c r="V1650" i="2"/>
  <c r="AS1652" i="2"/>
  <c r="AI1654" i="2"/>
  <c r="U1655" i="2"/>
  <c r="AR1656" i="2"/>
  <c r="T1656" i="2"/>
  <c r="AI1658" i="2"/>
  <c r="Q1660" i="2"/>
  <c r="AI1662" i="2"/>
  <c r="AU1662" i="2"/>
  <c r="AR1667" i="2"/>
  <c r="U1668" i="2"/>
  <c r="V1668" i="2"/>
  <c r="AU1668" i="2"/>
  <c r="AI1670" i="2"/>
  <c r="U1672" i="2"/>
  <c r="AI1674" i="2"/>
  <c r="Q1679" i="2"/>
  <c r="AR1679" i="2"/>
  <c r="U1679" i="2"/>
  <c r="U1688" i="2"/>
  <c r="AS1688" i="2"/>
  <c r="AR1688" i="2"/>
  <c r="V1688" i="2"/>
  <c r="Q1688" i="2"/>
  <c r="AI1696" i="2"/>
  <c r="V1658" i="2"/>
  <c r="T1664" i="2"/>
  <c r="AU1664" i="2"/>
  <c r="T1670" i="2"/>
  <c r="AU1670" i="2"/>
  <c r="V1674" i="2"/>
  <c r="AS1676" i="2"/>
  <c r="T1680" i="2"/>
  <c r="AU1680" i="2"/>
  <c r="AR1683" i="2"/>
  <c r="U1684" i="2"/>
  <c r="T1686" i="2"/>
  <c r="AU1686" i="2"/>
  <c r="V1690" i="2"/>
  <c r="Q1691" i="2"/>
  <c r="AS1692" i="2"/>
  <c r="T1696" i="2"/>
  <c r="AU1696" i="2"/>
  <c r="AR1699" i="2"/>
  <c r="U1700" i="2"/>
  <c r="T1702" i="2"/>
  <c r="AU1702" i="2"/>
  <c r="Q1704" i="2"/>
  <c r="V1704" i="2"/>
  <c r="AR1704" i="2"/>
  <c r="V1706" i="2"/>
  <c r="Q1707" i="2"/>
  <c r="AS1708" i="2"/>
  <c r="U1711" i="2"/>
  <c r="T1712" i="2"/>
  <c r="AU1712" i="2"/>
  <c r="AS1714" i="2"/>
  <c r="AR1715" i="2"/>
  <c r="U1716" i="2"/>
  <c r="T1718" i="2"/>
  <c r="AU1718" i="2"/>
  <c r="Q1720" i="2"/>
  <c r="V1720" i="2"/>
  <c r="AR1720" i="2"/>
  <c r="V1722" i="2"/>
  <c r="Q1723" i="2"/>
  <c r="AS1724" i="2"/>
  <c r="AI1726" i="2"/>
  <c r="U1727" i="2"/>
  <c r="T1728" i="2"/>
  <c r="AU1728" i="2"/>
  <c r="AS1730" i="2"/>
  <c r="AR1731" i="2"/>
  <c r="U1732" i="2"/>
  <c r="T1734" i="2"/>
  <c r="AU1734" i="2"/>
  <c r="Q1736" i="2"/>
  <c r="V1736" i="2"/>
  <c r="AT1737" i="2"/>
  <c r="AU1738" i="2"/>
  <c r="V1739" i="2"/>
  <c r="U1741" i="2"/>
  <c r="AT1741" i="2"/>
  <c r="T1742" i="2"/>
  <c r="V1743" i="2"/>
  <c r="U1746" i="2"/>
  <c r="AR1746" i="2"/>
  <c r="Q1747" i="2"/>
  <c r="AR1750" i="2"/>
  <c r="Q1751" i="2"/>
  <c r="T1752" i="2"/>
  <c r="AU1752" i="2"/>
  <c r="Q1754" i="2"/>
  <c r="V1754" i="2"/>
  <c r="AR1754" i="2"/>
  <c r="U1757" i="2"/>
  <c r="T1758" i="2"/>
  <c r="AU1758" i="2"/>
  <c r="AU1760" i="2"/>
  <c r="Q1761" i="2"/>
  <c r="AS1762" i="2"/>
  <c r="Q1765" i="2"/>
  <c r="AS1766" i="2"/>
  <c r="AS1768" i="2"/>
  <c r="AR1769" i="2"/>
  <c r="U1770" i="2"/>
  <c r="T1772" i="2"/>
  <c r="AS1772" i="2"/>
  <c r="AR1773" i="2"/>
  <c r="U1774" i="2"/>
  <c r="AR1777" i="2"/>
  <c r="U1778" i="2"/>
  <c r="Q1784" i="2"/>
  <c r="U1786" i="2"/>
  <c r="AU1787" i="2"/>
  <c r="AS1787" i="2"/>
  <c r="V1787" i="2"/>
  <c r="Q1787" i="2"/>
  <c r="AR1787" i="2"/>
  <c r="U1787" i="2"/>
  <c r="V1670" i="2"/>
  <c r="T1676" i="2"/>
  <c r="AU1676" i="2"/>
  <c r="AS1678" i="2"/>
  <c r="Q1684" i="2"/>
  <c r="V1684" i="2"/>
  <c r="AR1684" i="2"/>
  <c r="V1686" i="2"/>
  <c r="U1691" i="2"/>
  <c r="T1692" i="2"/>
  <c r="AU1692" i="2"/>
  <c r="AS1694" i="2"/>
  <c r="Q1700" i="2"/>
  <c r="V1700" i="2"/>
  <c r="AR1700" i="2"/>
  <c r="V1702" i="2"/>
  <c r="U1707" i="2"/>
  <c r="T1708" i="2"/>
  <c r="AU1708" i="2"/>
  <c r="AS1710" i="2"/>
  <c r="V1718" i="2"/>
  <c r="T1724" i="2"/>
  <c r="AU1724" i="2"/>
  <c r="V1734" i="2"/>
  <c r="T1738" i="2"/>
  <c r="U1745" i="2"/>
  <c r="T1750" i="2"/>
  <c r="AS1750" i="2"/>
  <c r="V1752" i="2"/>
  <c r="T1762" i="2"/>
  <c r="AU1762" i="2"/>
  <c r="T1766" i="2"/>
  <c r="AU1766" i="2"/>
  <c r="Q1770" i="2"/>
  <c r="V1770" i="2"/>
  <c r="AR1770" i="2"/>
  <c r="V1772" i="2"/>
  <c r="AU1772" i="2"/>
  <c r="Q1774" i="2"/>
  <c r="V1774" i="2"/>
  <c r="AR1774" i="2"/>
  <c r="Q1778" i="2"/>
  <c r="V1778" i="2"/>
  <c r="AR1778" i="2"/>
  <c r="V1780" i="2"/>
  <c r="U1781" i="2"/>
  <c r="Q1781" i="2"/>
  <c r="AR1783" i="2"/>
  <c r="T1787" i="2"/>
  <c r="AS1788" i="2"/>
  <c r="AR1788" i="2"/>
  <c r="Q1788" i="2"/>
  <c r="AS1700" i="2"/>
  <c r="AI1702" i="2"/>
  <c r="T1704" i="2"/>
  <c r="AU1704" i="2"/>
  <c r="AR1707" i="2"/>
  <c r="U1708" i="2"/>
  <c r="T1710" i="2"/>
  <c r="AU1710" i="2"/>
  <c r="V1714" i="2"/>
  <c r="Q1715" i="2"/>
  <c r="AS1716" i="2"/>
  <c r="T1720" i="2"/>
  <c r="AU1720" i="2"/>
  <c r="AR1723" i="2"/>
  <c r="U1724" i="2"/>
  <c r="T1726" i="2"/>
  <c r="AU1726" i="2"/>
  <c r="V1730" i="2"/>
  <c r="Q1731" i="2"/>
  <c r="AS1732" i="2"/>
  <c r="T1736" i="2"/>
  <c r="U1738" i="2"/>
  <c r="AR1738" i="2"/>
  <c r="Q1739" i="2"/>
  <c r="AT1745" i="2"/>
  <c r="AU1746" i="2"/>
  <c r="V1747" i="2"/>
  <c r="AR1749" i="2"/>
  <c r="U1750" i="2"/>
  <c r="AU1750" i="2"/>
  <c r="U1751" i="2"/>
  <c r="T1754" i="2"/>
  <c r="AU1754" i="2"/>
  <c r="V1756" i="2"/>
  <c r="AU1756" i="2"/>
  <c r="AR1758" i="2"/>
  <c r="V1760" i="2"/>
  <c r="AR1761" i="2"/>
  <c r="U1762" i="2"/>
  <c r="T1764" i="2"/>
  <c r="AS1764" i="2"/>
  <c r="AR1765" i="2"/>
  <c r="U1766" i="2"/>
  <c r="V1768" i="2"/>
  <c r="Q1769" i="2"/>
  <c r="AS1770" i="2"/>
  <c r="Q1773" i="2"/>
  <c r="AS1774" i="2"/>
  <c r="V1776" i="2"/>
  <c r="Q1777" i="2"/>
  <c r="AS1778" i="2"/>
  <c r="AS1780" i="2"/>
  <c r="AR1781" i="2"/>
  <c r="V1678" i="2"/>
  <c r="T1684" i="2"/>
  <c r="AU1684" i="2"/>
  <c r="V1694" i="2"/>
  <c r="T1700" i="2"/>
  <c r="AU1700" i="2"/>
  <c r="AS1702" i="2"/>
  <c r="V1710" i="2"/>
  <c r="U1715" i="2"/>
  <c r="T1716" i="2"/>
  <c r="AU1716" i="2"/>
  <c r="AS1718" i="2"/>
  <c r="Q1724" i="2"/>
  <c r="V1724" i="2"/>
  <c r="AR1724" i="2"/>
  <c r="V1726" i="2"/>
  <c r="U1731" i="2"/>
  <c r="T1732" i="2"/>
  <c r="AU1732" i="2"/>
  <c r="AS1734" i="2"/>
  <c r="U1737" i="2"/>
  <c r="Q1738" i="2"/>
  <c r="V1738" i="2"/>
  <c r="AS1738" i="2"/>
  <c r="Q1745" i="2"/>
  <c r="T1746" i="2"/>
  <c r="Q1750" i="2"/>
  <c r="V1750" i="2"/>
  <c r="AS1752" i="2"/>
  <c r="Q1762" i="2"/>
  <c r="V1762" i="2"/>
  <c r="AR1762" i="2"/>
  <c r="V1764" i="2"/>
  <c r="AU1764" i="2"/>
  <c r="Q1766" i="2"/>
  <c r="V1766" i="2"/>
  <c r="AR1766" i="2"/>
  <c r="T1770" i="2"/>
  <c r="AU1770" i="2"/>
  <c r="T1774" i="2"/>
  <c r="AU1774" i="2"/>
  <c r="T1778" i="2"/>
  <c r="AU1778" i="2"/>
  <c r="V1784" i="2"/>
  <c r="AS1784" i="2"/>
  <c r="AU1786" i="2"/>
  <c r="U1798" i="2"/>
  <c r="AU1798" i="2"/>
  <c r="T1799" i="2"/>
  <c r="AR1799" i="2"/>
  <c r="T1823" i="2"/>
  <c r="AU1823" i="2"/>
  <c r="T1831" i="2"/>
  <c r="AR1831" i="2"/>
  <c r="V1833" i="2"/>
  <c r="T1835" i="2"/>
  <c r="AS1835" i="2"/>
  <c r="V1836" i="2"/>
  <c r="T1838" i="2"/>
  <c r="AR1838" i="2"/>
  <c r="AT1840" i="2"/>
  <c r="AT1844" i="2"/>
  <c r="AR1846" i="2"/>
  <c r="V1848" i="2"/>
  <c r="AU1848" i="2"/>
  <c r="AR1850" i="2"/>
  <c r="T1852" i="2"/>
  <c r="AS1852" i="2"/>
  <c r="U1853" i="2"/>
  <c r="AI1854" i="2"/>
  <c r="T1858" i="2"/>
  <c r="AS1858" i="2"/>
  <c r="T1860" i="2"/>
  <c r="AS1860" i="2"/>
  <c r="AT1861" i="2"/>
  <c r="AU1876" i="2"/>
  <c r="T1878" i="2"/>
  <c r="AU1878" i="2"/>
  <c r="AR1879" i="2"/>
  <c r="AS1882" i="2"/>
  <c r="V1884" i="2"/>
  <c r="T1890" i="2"/>
  <c r="AU1890" i="2"/>
  <c r="AR1891" i="2"/>
  <c r="AT1897" i="2"/>
  <c r="V1904" i="2"/>
  <c r="AU1908" i="2"/>
  <c r="T1910" i="2"/>
  <c r="AU1910" i="2"/>
  <c r="AR1911" i="2"/>
  <c r="AS1914" i="2"/>
  <c r="V1916" i="2"/>
  <c r="AI1918" i="2"/>
  <c r="T1922" i="2"/>
  <c r="AU1922" i="2"/>
  <c r="AR1923" i="2"/>
  <c r="AU1932" i="2"/>
  <c r="T1932" i="2"/>
  <c r="U1790" i="2"/>
  <c r="U1799" i="2"/>
  <c r="AS1799" i="2"/>
  <c r="T1811" i="2"/>
  <c r="AU1811" i="2"/>
  <c r="V1821" i="2"/>
  <c r="U1823" i="2"/>
  <c r="Q1826" i="2"/>
  <c r="Q1830" i="2"/>
  <c r="U1831" i="2"/>
  <c r="AS1831" i="2"/>
  <c r="U1835" i="2"/>
  <c r="AT1835" i="2"/>
  <c r="U1838" i="2"/>
  <c r="AS1838" i="2"/>
  <c r="T1842" i="2"/>
  <c r="AR1842" i="2"/>
  <c r="V1844" i="2"/>
  <c r="AU1844" i="2"/>
  <c r="T1846" i="2"/>
  <c r="AS1846" i="2"/>
  <c r="T1850" i="2"/>
  <c r="AS1850" i="2"/>
  <c r="V1852" i="2"/>
  <c r="AU1852" i="2"/>
  <c r="V1860" i="2"/>
  <c r="AU1860" i="2"/>
  <c r="T1870" i="2"/>
  <c r="AS1870" i="2"/>
  <c r="V1872" i="2"/>
  <c r="AU1872" i="2"/>
  <c r="Q1875" i="2"/>
  <c r="V1876" i="2"/>
  <c r="U1878" i="2"/>
  <c r="T1882" i="2"/>
  <c r="AU1882" i="2"/>
  <c r="AT1889" i="2"/>
  <c r="U1890" i="2"/>
  <c r="V1896" i="2"/>
  <c r="Q1899" i="2"/>
  <c r="T1902" i="2"/>
  <c r="AU1902" i="2"/>
  <c r="V1908" i="2"/>
  <c r="U1910" i="2"/>
  <c r="AS1912" i="2"/>
  <c r="T1914" i="2"/>
  <c r="AU1914" i="2"/>
  <c r="AT1921" i="2"/>
  <c r="U1922" i="2"/>
  <c r="AS1928" i="2"/>
  <c r="Q1931" i="2"/>
  <c r="AR1931" i="2"/>
  <c r="AS1938" i="2"/>
  <c r="AR1938" i="2"/>
  <c r="U1938" i="2"/>
  <c r="AU1938" i="2"/>
  <c r="AI1942" i="2"/>
  <c r="AS1782" i="2"/>
  <c r="AT1790" i="2"/>
  <c r="AU1797" i="2"/>
  <c r="Q1798" i="2"/>
  <c r="Q1799" i="2"/>
  <c r="V1799" i="2"/>
  <c r="AU1799" i="2"/>
  <c r="V1804" i="2"/>
  <c r="V1808" i="2"/>
  <c r="AT1810" i="2"/>
  <c r="U1811" i="2"/>
  <c r="V1813" i="2"/>
  <c r="AS1813" i="2"/>
  <c r="T1817" i="2"/>
  <c r="AU1817" i="2"/>
  <c r="U1822" i="2"/>
  <c r="Q1823" i="2"/>
  <c r="V1823" i="2"/>
  <c r="AR1823" i="2"/>
  <c r="Q1824" i="2"/>
  <c r="AT1826" i="2"/>
  <c r="T1827" i="2"/>
  <c r="AU1827" i="2"/>
  <c r="Q1831" i="2"/>
  <c r="V1831" i="2"/>
  <c r="AU1831" i="2"/>
  <c r="AS1833" i="2"/>
  <c r="Q1835" i="2"/>
  <c r="V1835" i="2"/>
  <c r="AT1836" i="2"/>
  <c r="Q1838" i="2"/>
  <c r="V1838" i="2"/>
  <c r="AU1838" i="2"/>
  <c r="U1842" i="2"/>
  <c r="AS1842" i="2"/>
  <c r="U1843" i="2"/>
  <c r="AR1843" i="2"/>
  <c r="Q1845" i="2"/>
  <c r="U1846" i="2"/>
  <c r="AU1846" i="2"/>
  <c r="U1850" i="2"/>
  <c r="AU1850" i="2"/>
  <c r="Q1853" i="2"/>
  <c r="V1856" i="2"/>
  <c r="AU1856" i="2"/>
  <c r="Q1858" i="2"/>
  <c r="V1858" i="2"/>
  <c r="AT1859" i="2"/>
  <c r="Q1861" i="2"/>
  <c r="V1864" i="2"/>
  <c r="AU1864" i="2"/>
  <c r="AR1866" i="2"/>
  <c r="Q1867" i="2"/>
  <c r="T1868" i="2"/>
  <c r="AS1868" i="2"/>
  <c r="U1869" i="2"/>
  <c r="U1870" i="2"/>
  <c r="AU1870" i="2"/>
  <c r="T1874" i="2"/>
  <c r="AS1874" i="2"/>
  <c r="U1875" i="2"/>
  <c r="Q1878" i="2"/>
  <c r="V1878" i="2"/>
  <c r="AR1878" i="2"/>
  <c r="Q1879" i="2"/>
  <c r="AU1880" i="2"/>
  <c r="AT1881" i="2"/>
  <c r="U1882" i="2"/>
  <c r="AS1884" i="2"/>
  <c r="U1887" i="2"/>
  <c r="V1888" i="2"/>
  <c r="Q1890" i="2"/>
  <c r="V1890" i="2"/>
  <c r="AR1890" i="2"/>
  <c r="Q1891" i="2"/>
  <c r="T1892" i="2"/>
  <c r="AU1892" i="2"/>
  <c r="T1894" i="2"/>
  <c r="AU1894" i="2"/>
  <c r="AR1895" i="2"/>
  <c r="AS1898" i="2"/>
  <c r="U1899" i="2"/>
  <c r="V1900" i="2"/>
  <c r="U1902" i="2"/>
  <c r="AS1904" i="2"/>
  <c r="T1906" i="2"/>
  <c r="AU1906" i="2"/>
  <c r="AR1907" i="2"/>
  <c r="Q1910" i="2"/>
  <c r="V1910" i="2"/>
  <c r="AR1910" i="2"/>
  <c r="Q1911" i="2"/>
  <c r="T1912" i="2"/>
  <c r="AU1912" i="2"/>
  <c r="AT1913" i="2"/>
  <c r="U1914" i="2"/>
  <c r="AS1916" i="2"/>
  <c r="AS1918" i="2"/>
  <c r="U1919" i="2"/>
  <c r="V1920" i="2"/>
  <c r="Q1922" i="2"/>
  <c r="V1922" i="2"/>
  <c r="AR1922" i="2"/>
  <c r="Q1923" i="2"/>
  <c r="T1924" i="2"/>
  <c r="AU1924" i="2"/>
  <c r="T1926" i="2"/>
  <c r="AU1926" i="2"/>
  <c r="AR1927" i="2"/>
  <c r="AU1928" i="2"/>
  <c r="U1931" i="2"/>
  <c r="V1932" i="2"/>
  <c r="AS1932" i="2"/>
  <c r="AU1936" i="2"/>
  <c r="T1936" i="2"/>
  <c r="T1782" i="2"/>
  <c r="AU1782" i="2"/>
  <c r="AU1789" i="2"/>
  <c r="Q1790" i="2"/>
  <c r="T1791" i="2"/>
  <c r="AR1791" i="2"/>
  <c r="Q1792" i="2"/>
  <c r="U1794" i="2"/>
  <c r="AT1794" i="2"/>
  <c r="T1795" i="2"/>
  <c r="V1796" i="2"/>
  <c r="T1803" i="2"/>
  <c r="AR1803" i="2"/>
  <c r="Q1804" i="2"/>
  <c r="T1807" i="2"/>
  <c r="AR1807" i="2"/>
  <c r="Q1808" i="2"/>
  <c r="U1810" i="2"/>
  <c r="Q1811" i="2"/>
  <c r="V1811" i="2"/>
  <c r="AR1811" i="2"/>
  <c r="AU1813" i="2"/>
  <c r="T1815" i="2"/>
  <c r="AR1815" i="2"/>
  <c r="V1817" i="2"/>
  <c r="T1819" i="2"/>
  <c r="AR1819" i="2"/>
  <c r="U1820" i="2"/>
  <c r="AS1821" i="2"/>
  <c r="AS1823" i="2"/>
  <c r="V1825" i="2"/>
  <c r="AS1825" i="2"/>
  <c r="U1826" i="2"/>
  <c r="U1827" i="2"/>
  <c r="AI1827" i="2"/>
  <c r="V1829" i="2"/>
  <c r="AS1829" i="2"/>
  <c r="T1833" i="2"/>
  <c r="AU1833" i="2"/>
  <c r="V1840" i="2"/>
  <c r="Q1842" i="2"/>
  <c r="V1842" i="2"/>
  <c r="AU1842" i="2"/>
  <c r="Q1846" i="2"/>
  <c r="V1846" i="2"/>
  <c r="T1848" i="2"/>
  <c r="AS1848" i="2"/>
  <c r="Q1850" i="2"/>
  <c r="V1850" i="2"/>
  <c r="T1854" i="2"/>
  <c r="AS1854" i="2"/>
  <c r="AR1858" i="2"/>
  <c r="Q1859" i="2"/>
  <c r="U1861" i="2"/>
  <c r="T1862" i="2"/>
  <c r="AS1862" i="2"/>
  <c r="T1866" i="2"/>
  <c r="AS1866" i="2"/>
  <c r="V1868" i="2"/>
  <c r="AU1868" i="2"/>
  <c r="Q1870" i="2"/>
  <c r="V1870" i="2"/>
  <c r="U1874" i="2"/>
  <c r="AI1874" i="2"/>
  <c r="AU1874" i="2"/>
  <c r="AS1876" i="2"/>
  <c r="AS1878" i="2"/>
  <c r="U1879" i="2"/>
  <c r="V1880" i="2"/>
  <c r="Q1882" i="2"/>
  <c r="V1882" i="2"/>
  <c r="AR1882" i="2"/>
  <c r="Q1883" i="2"/>
  <c r="T1884" i="2"/>
  <c r="AU1884" i="2"/>
  <c r="T1886" i="2"/>
  <c r="AU1886" i="2"/>
  <c r="AR1887" i="2"/>
  <c r="AS1890" i="2"/>
  <c r="U1891" i="2"/>
  <c r="V1892" i="2"/>
  <c r="AI1894" i="2"/>
  <c r="AS1896" i="2"/>
  <c r="T1898" i="2"/>
  <c r="AU1898" i="2"/>
  <c r="AR1899" i="2"/>
  <c r="Q1902" i="2"/>
  <c r="V1902" i="2"/>
  <c r="AR1902" i="2"/>
  <c r="T1904" i="2"/>
  <c r="AU1904" i="2"/>
  <c r="AI1906" i="2"/>
  <c r="AS1908" i="2"/>
  <c r="AS1910" i="2"/>
  <c r="U1911" i="2"/>
  <c r="V1912" i="2"/>
  <c r="Q1914" i="2"/>
  <c r="V1914" i="2"/>
  <c r="AR1914" i="2"/>
  <c r="Q1915" i="2"/>
  <c r="T1916" i="2"/>
  <c r="AU1916" i="2"/>
  <c r="T1918" i="2"/>
  <c r="AU1918" i="2"/>
  <c r="AR1919" i="2"/>
  <c r="AI1920" i="2"/>
  <c r="AS1922" i="2"/>
  <c r="U1923" i="2"/>
  <c r="V1924" i="2"/>
  <c r="T1928" i="2"/>
  <c r="AR1935" i="2"/>
  <c r="Q1935" i="2"/>
  <c r="T1938" i="2"/>
  <c r="AT1945" i="2"/>
  <c r="V1952" i="2"/>
  <c r="T1958" i="2"/>
  <c r="AU1958" i="2"/>
  <c r="V1964" i="2"/>
  <c r="AS1968" i="2"/>
  <c r="T1970" i="2"/>
  <c r="AU1970" i="2"/>
  <c r="U1981" i="2"/>
  <c r="U1993" i="2"/>
  <c r="Q2000" i="2"/>
  <c r="V2000" i="2"/>
  <c r="AU2000" i="2"/>
  <c r="T2004" i="2"/>
  <c r="AU2004" i="2"/>
  <c r="Q2008" i="2"/>
  <c r="V2008" i="2"/>
  <c r="AR2008" i="2"/>
  <c r="V2012" i="2"/>
  <c r="AU2012" i="2"/>
  <c r="AS2014" i="2"/>
  <c r="AU2016" i="2"/>
  <c r="V2018" i="2"/>
  <c r="U2019" i="2"/>
  <c r="AR2020" i="2"/>
  <c r="Q2021" i="2"/>
  <c r="AT2023" i="2"/>
  <c r="T2024" i="2"/>
  <c r="AU2024" i="2"/>
  <c r="V2026" i="2"/>
  <c r="AS2026" i="2"/>
  <c r="T2028" i="2"/>
  <c r="AR2028" i="2"/>
  <c r="T2030" i="2"/>
  <c r="AU2030" i="2"/>
  <c r="Q2032" i="2"/>
  <c r="V2032" i="2"/>
  <c r="AU2032" i="2"/>
  <c r="V2034" i="2"/>
  <c r="U2035" i="2"/>
  <c r="U2036" i="2"/>
  <c r="Q2039" i="2"/>
  <c r="U2040" i="2"/>
  <c r="V2040" i="2"/>
  <c r="AU2040" i="2"/>
  <c r="V2042" i="2"/>
  <c r="AU2044" i="2"/>
  <c r="V2046" i="2"/>
  <c r="Q2057" i="2"/>
  <c r="T1930" i="2"/>
  <c r="AU1930" i="2"/>
  <c r="AR1934" i="2"/>
  <c r="AS1940" i="2"/>
  <c r="AS1942" i="2"/>
  <c r="U1943" i="2"/>
  <c r="V1944" i="2"/>
  <c r="Q1946" i="2"/>
  <c r="V1946" i="2"/>
  <c r="AR1946" i="2"/>
  <c r="Q1947" i="2"/>
  <c r="T1948" i="2"/>
  <c r="AU1948" i="2"/>
  <c r="T1950" i="2"/>
  <c r="AU1950" i="2"/>
  <c r="AR1951" i="2"/>
  <c r="AS1954" i="2"/>
  <c r="U1955" i="2"/>
  <c r="V1956" i="2"/>
  <c r="U1958" i="2"/>
  <c r="AS1960" i="2"/>
  <c r="T1962" i="2"/>
  <c r="AU1962" i="2"/>
  <c r="AR1963" i="2"/>
  <c r="Q1966" i="2"/>
  <c r="V1966" i="2"/>
  <c r="AR1966" i="2"/>
  <c r="Q1967" i="2"/>
  <c r="T1968" i="2"/>
  <c r="AU1968" i="2"/>
  <c r="U1970" i="2"/>
  <c r="AS1972" i="2"/>
  <c r="AS1974" i="2"/>
  <c r="U1975" i="2"/>
  <c r="AI1977" i="2"/>
  <c r="AT1977" i="2"/>
  <c r="T1978" i="2"/>
  <c r="V1979" i="2"/>
  <c r="AR1979" i="2"/>
  <c r="Q1982" i="2"/>
  <c r="V1982" i="2"/>
  <c r="AS1982" i="2"/>
  <c r="AU1986" i="2"/>
  <c r="Q1989" i="2"/>
  <c r="AR1989" i="2"/>
  <c r="AS1990" i="2"/>
  <c r="AT1991" i="2"/>
  <c r="V1994" i="2"/>
  <c r="Q1995" i="2"/>
  <c r="Q1996" i="2"/>
  <c r="V1996" i="2"/>
  <c r="AR1996" i="2"/>
  <c r="V1998" i="2"/>
  <c r="AS2002" i="2"/>
  <c r="U2004" i="2"/>
  <c r="Q2007" i="2"/>
  <c r="AS2008" i="2"/>
  <c r="T2010" i="2"/>
  <c r="T2014" i="2"/>
  <c r="AU2014" i="2"/>
  <c r="AI2018" i="2"/>
  <c r="AS2020" i="2"/>
  <c r="AT2021" i="2"/>
  <c r="V2022" i="2"/>
  <c r="AS2022" i="2"/>
  <c r="U2023" i="2"/>
  <c r="U2024" i="2"/>
  <c r="AT2025" i="2"/>
  <c r="AT2027" i="2"/>
  <c r="V2030" i="2"/>
  <c r="AU2042" i="2"/>
  <c r="AU2046" i="2"/>
  <c r="AS2048" i="2"/>
  <c r="U2048" i="2"/>
  <c r="AU2048" i="2"/>
  <c r="V2048" i="2"/>
  <c r="Q2048" i="2"/>
  <c r="AU2054" i="2"/>
  <c r="T2054" i="2"/>
  <c r="AT2057" i="2"/>
  <c r="Q2059" i="2"/>
  <c r="T1942" i="2"/>
  <c r="AU1942" i="2"/>
  <c r="U1947" i="2"/>
  <c r="V1948" i="2"/>
  <c r="AS1952" i="2"/>
  <c r="T1954" i="2"/>
  <c r="AU1954" i="2"/>
  <c r="AR1958" i="2"/>
  <c r="AT1961" i="2"/>
  <c r="AS1964" i="2"/>
  <c r="U1967" i="2"/>
  <c r="V1968" i="2"/>
  <c r="Q1970" i="2"/>
  <c r="V1970" i="2"/>
  <c r="AR1970" i="2"/>
  <c r="T1974" i="2"/>
  <c r="AU1974" i="2"/>
  <c r="Q1981" i="2"/>
  <c r="AT1981" i="2"/>
  <c r="AS1983" i="2"/>
  <c r="AU1984" i="2"/>
  <c r="AT1985" i="2"/>
  <c r="T1986" i="2"/>
  <c r="T1990" i="2"/>
  <c r="AU1990" i="2"/>
  <c r="Q1993" i="2"/>
  <c r="T2000" i="2"/>
  <c r="AR2000" i="2"/>
  <c r="AR2004" i="2"/>
  <c r="AT2007" i="2"/>
  <c r="T2008" i="2"/>
  <c r="AU2008" i="2"/>
  <c r="V2010" i="2"/>
  <c r="AS2010" i="2"/>
  <c r="T2012" i="2"/>
  <c r="AR2012" i="2"/>
  <c r="V2014" i="2"/>
  <c r="T2016" i="2"/>
  <c r="AR2016" i="2"/>
  <c r="U2017" i="2"/>
  <c r="AS2018" i="2"/>
  <c r="T2020" i="2"/>
  <c r="AU2020" i="2"/>
  <c r="U2021" i="2"/>
  <c r="AI2022" i="2"/>
  <c r="AU2022" i="2"/>
  <c r="Q2024" i="2"/>
  <c r="V2024" i="2"/>
  <c r="AR2024" i="2"/>
  <c r="Q2025" i="2"/>
  <c r="Q2027" i="2"/>
  <c r="Q2028" i="2"/>
  <c r="V2028" i="2"/>
  <c r="AU2028" i="2"/>
  <c r="T2032" i="2"/>
  <c r="AR2032" i="2"/>
  <c r="U2033" i="2"/>
  <c r="AS2036" i="2"/>
  <c r="AT2037" i="2"/>
  <c r="V2038" i="2"/>
  <c r="AS2038" i="2"/>
  <c r="U2039" i="2"/>
  <c r="AR2040" i="2"/>
  <c r="AS2042" i="2"/>
  <c r="AR2048" i="2"/>
  <c r="U2049" i="2"/>
  <c r="T1934" i="2"/>
  <c r="AU1934" i="2"/>
  <c r="V1940" i="2"/>
  <c r="U1942" i="2"/>
  <c r="T1946" i="2"/>
  <c r="AU1946" i="2"/>
  <c r="AR1947" i="2"/>
  <c r="Q1951" i="2"/>
  <c r="T1952" i="2"/>
  <c r="AU1952" i="2"/>
  <c r="U1954" i="2"/>
  <c r="AI1954" i="2"/>
  <c r="AS1958" i="2"/>
  <c r="V1960" i="2"/>
  <c r="Q1963" i="2"/>
  <c r="T1964" i="2"/>
  <c r="AU1964" i="2"/>
  <c r="T1966" i="2"/>
  <c r="AU1966" i="2"/>
  <c r="AR1967" i="2"/>
  <c r="AS1970" i="2"/>
  <c r="V1972" i="2"/>
  <c r="U1974" i="2"/>
  <c r="AI1974" i="2"/>
  <c r="AI1976" i="2"/>
  <c r="T1982" i="2"/>
  <c r="U1985" i="2"/>
  <c r="U1986" i="2"/>
  <c r="AR1986" i="2"/>
  <c r="U1989" i="2"/>
  <c r="U1990" i="2"/>
  <c r="T1993" i="2"/>
  <c r="AR1993" i="2"/>
  <c r="AT1995" i="2"/>
  <c r="T1996" i="2"/>
  <c r="AU1996" i="2"/>
  <c r="U2000" i="2"/>
  <c r="AS2000" i="2"/>
  <c r="V2002" i="2"/>
  <c r="AS2004" i="2"/>
  <c r="V2006" i="2"/>
  <c r="AS2006" i="2"/>
  <c r="U2007" i="2"/>
  <c r="U2008" i="2"/>
  <c r="AT2009" i="2"/>
  <c r="AU2010" i="2"/>
  <c r="AT2011" i="2"/>
  <c r="U2012" i="2"/>
  <c r="AS2012" i="2"/>
  <c r="AS2024" i="2"/>
  <c r="AR2029" i="2"/>
  <c r="AS2030" i="2"/>
  <c r="T2036" i="2"/>
  <c r="AU2036" i="2"/>
  <c r="T2040" i="2"/>
  <c r="AS2040" i="2"/>
  <c r="T2042" i="2"/>
  <c r="AS2044" i="2"/>
  <c r="U2044" i="2"/>
  <c r="V2044" i="2"/>
  <c r="AR2044" i="2"/>
  <c r="T2046" i="2"/>
  <c r="T2048" i="2"/>
  <c r="AS2054" i="2"/>
  <c r="V2050" i="2"/>
  <c r="Q2052" i="2"/>
  <c r="V2052" i="2"/>
  <c r="AR2052" i="2"/>
  <c r="AT2055" i="2"/>
  <c r="T2056" i="2"/>
  <c r="AU2056" i="2"/>
  <c r="V2058" i="2"/>
  <c r="AS2058" i="2"/>
  <c r="T2060" i="2"/>
  <c r="AR2060" i="2"/>
  <c r="T2062" i="2"/>
  <c r="AU2062" i="2"/>
  <c r="AR2063" i="2"/>
  <c r="Q2064" i="2"/>
  <c r="V2064" i="2"/>
  <c r="AU2064" i="2"/>
  <c r="T2066" i="2"/>
  <c r="AU2066" i="2"/>
  <c r="AS2072" i="2"/>
  <c r="T2074" i="2"/>
  <c r="U2080" i="2"/>
  <c r="AS2084" i="2"/>
  <c r="U2084" i="2"/>
  <c r="AR2084" i="2"/>
  <c r="U2087" i="2"/>
  <c r="Q2087" i="2"/>
  <c r="V2090" i="2"/>
  <c r="V2092" i="2"/>
  <c r="AR2095" i="2"/>
  <c r="U2120" i="2"/>
  <c r="AS2120" i="2"/>
  <c r="AR2120" i="2"/>
  <c r="V2120" i="2"/>
  <c r="Q2120" i="2"/>
  <c r="Q2133" i="2"/>
  <c r="U2133" i="2"/>
  <c r="AT2133" i="2"/>
  <c r="AR2153" i="2"/>
  <c r="AS2180" i="2"/>
  <c r="T2180" i="2"/>
  <c r="AI2182" i="2"/>
  <c r="AS2223" i="2"/>
  <c r="T2223" i="2"/>
  <c r="AU2223" i="2"/>
  <c r="V2223" i="2"/>
  <c r="V2062" i="2"/>
  <c r="V2066" i="2"/>
  <c r="T2072" i="2"/>
  <c r="AU2072" i="2"/>
  <c r="V2074" i="2"/>
  <c r="AS2074" i="2"/>
  <c r="T2076" i="2"/>
  <c r="AR2076" i="2"/>
  <c r="U2088" i="2"/>
  <c r="AS2088" i="2"/>
  <c r="AR2088" i="2"/>
  <c r="AS2092" i="2"/>
  <c r="U2092" i="2"/>
  <c r="AU2098" i="2"/>
  <c r="T2098" i="2"/>
  <c r="AS2098" i="2"/>
  <c r="Q2101" i="2"/>
  <c r="U2101" i="2"/>
  <c r="AT2101" i="2"/>
  <c r="AI2112" i="2"/>
  <c r="AU2122" i="2"/>
  <c r="T2122" i="2"/>
  <c r="AS2124" i="2"/>
  <c r="U2124" i="2"/>
  <c r="AU2124" i="2"/>
  <c r="V2124" i="2"/>
  <c r="Q2124" i="2"/>
  <c r="AR2127" i="2"/>
  <c r="U2131" i="2"/>
  <c r="U2143" i="2"/>
  <c r="AS2152" i="2"/>
  <c r="T2152" i="2"/>
  <c r="AI2211" i="2"/>
  <c r="AT2238" i="2"/>
  <c r="Q2238" i="2"/>
  <c r="U2242" i="2"/>
  <c r="AR2242" i="2"/>
  <c r="T2052" i="2"/>
  <c r="AU2052" i="2"/>
  <c r="AR2056" i="2"/>
  <c r="AU2060" i="2"/>
  <c r="T2064" i="2"/>
  <c r="AR2064" i="2"/>
  <c r="U2065" i="2"/>
  <c r="V2070" i="2"/>
  <c r="AS2070" i="2"/>
  <c r="U2072" i="2"/>
  <c r="AT2073" i="2"/>
  <c r="AU2074" i="2"/>
  <c r="AT2075" i="2"/>
  <c r="U2076" i="2"/>
  <c r="AS2076" i="2"/>
  <c r="AU2078" i="2"/>
  <c r="T2078" i="2"/>
  <c r="AU2082" i="2"/>
  <c r="U2083" i="2"/>
  <c r="Q2088" i="2"/>
  <c r="AI2088" i="2"/>
  <c r="AU2088" i="2"/>
  <c r="AU2090" i="2"/>
  <c r="T2090" i="2"/>
  <c r="Q2092" i="2"/>
  <c r="AR2092" i="2"/>
  <c r="V2098" i="2"/>
  <c r="AI2102" i="2"/>
  <c r="AU2114" i="2"/>
  <c r="T2114" i="2"/>
  <c r="AS2114" i="2"/>
  <c r="AU2120" i="2"/>
  <c r="V2122" i="2"/>
  <c r="AS2122" i="2"/>
  <c r="T2124" i="2"/>
  <c r="AI2128" i="2"/>
  <c r="V2152" i="2"/>
  <c r="AU2152" i="2"/>
  <c r="AU2158" i="2"/>
  <c r="U2158" i="2"/>
  <c r="AR2158" i="2"/>
  <c r="V2158" i="2"/>
  <c r="Q2158" i="2"/>
  <c r="AI2203" i="2"/>
  <c r="AI2219" i="2"/>
  <c r="AS2221" i="2"/>
  <c r="U2221" i="2"/>
  <c r="AR2221" i="2"/>
  <c r="Q2221" i="2"/>
  <c r="V2221" i="2"/>
  <c r="AU2221" i="2"/>
  <c r="T2221" i="2"/>
  <c r="AI2261" i="2"/>
  <c r="AT2041" i="2"/>
  <c r="AT2043" i="2"/>
  <c r="T2050" i="2"/>
  <c r="AU2050" i="2"/>
  <c r="U2052" i="2"/>
  <c r="Q2055" i="2"/>
  <c r="AS2056" i="2"/>
  <c r="T2058" i="2"/>
  <c r="AS2062" i="2"/>
  <c r="U2064" i="2"/>
  <c r="AS2064" i="2"/>
  <c r="AS2066" i="2"/>
  <c r="T2068" i="2"/>
  <c r="AU2068" i="2"/>
  <c r="U2069" i="2"/>
  <c r="AU2070" i="2"/>
  <c r="Q2072" i="2"/>
  <c r="V2072" i="2"/>
  <c r="AR2072" i="2"/>
  <c r="Q2073" i="2"/>
  <c r="Q2075" i="2"/>
  <c r="Q2076" i="2"/>
  <c r="V2076" i="2"/>
  <c r="AU2076" i="2"/>
  <c r="AS2078" i="2"/>
  <c r="T2080" i="2"/>
  <c r="AU2080" i="2"/>
  <c r="V2084" i="2"/>
  <c r="T2088" i="2"/>
  <c r="T2092" i="2"/>
  <c r="AU2092" i="2"/>
  <c r="V2114" i="2"/>
  <c r="AR2124" i="2"/>
  <c r="U2162" i="2"/>
  <c r="AS2162" i="2"/>
  <c r="AR2162" i="2"/>
  <c r="V2162" i="2"/>
  <c r="Q2162" i="2"/>
  <c r="AU2168" i="2"/>
  <c r="T2168" i="2"/>
  <c r="AS2168" i="2"/>
  <c r="AT2175" i="2"/>
  <c r="Q2181" i="2"/>
  <c r="AR2181" i="2"/>
  <c r="U2181" i="2"/>
  <c r="AS2196" i="2"/>
  <c r="T2196" i="2"/>
  <c r="AU2196" i="2"/>
  <c r="V2196" i="2"/>
  <c r="T2096" i="2"/>
  <c r="AR2096" i="2"/>
  <c r="V2102" i="2"/>
  <c r="AS2102" i="2"/>
  <c r="AT2105" i="2"/>
  <c r="AT2107" i="2"/>
  <c r="T2112" i="2"/>
  <c r="AR2112" i="2"/>
  <c r="T2116" i="2"/>
  <c r="AU2116" i="2"/>
  <c r="T2128" i="2"/>
  <c r="AR2128" i="2"/>
  <c r="V2134" i="2"/>
  <c r="AS2134" i="2"/>
  <c r="AT2137" i="2"/>
  <c r="T2142" i="2"/>
  <c r="AS2142" i="2"/>
  <c r="V2144" i="2"/>
  <c r="AU2144" i="2"/>
  <c r="V2156" i="2"/>
  <c r="AU2156" i="2"/>
  <c r="AR2177" i="2"/>
  <c r="T2182" i="2"/>
  <c r="AU2182" i="2"/>
  <c r="Q2185" i="2"/>
  <c r="AI2190" i="2"/>
  <c r="AU2197" i="2"/>
  <c r="Q2197" i="2"/>
  <c r="AR2206" i="2"/>
  <c r="Q2206" i="2"/>
  <c r="AU2208" i="2"/>
  <c r="AR2214" i="2"/>
  <c r="Q2214" i="2"/>
  <c r="AI2217" i="2"/>
  <c r="AR2218" i="2"/>
  <c r="Q2218" i="2"/>
  <c r="AT2224" i="2"/>
  <c r="U2224" i="2"/>
  <c r="AI2227" i="2"/>
  <c r="Q2232" i="2"/>
  <c r="AT2232" i="2"/>
  <c r="U2232" i="2"/>
  <c r="AU2265" i="2"/>
  <c r="U2265" i="2"/>
  <c r="V2265" i="2"/>
  <c r="Q2265" i="2"/>
  <c r="AS2265" i="2"/>
  <c r="T2271" i="2"/>
  <c r="AU2271" i="2"/>
  <c r="U2274" i="2"/>
  <c r="AT2274" i="2"/>
  <c r="Q2274" i="2"/>
  <c r="V2297" i="2"/>
  <c r="Q2297" i="2"/>
  <c r="AR2297" i="2"/>
  <c r="AU2297" i="2"/>
  <c r="U2297" i="2"/>
  <c r="Q2300" i="2"/>
  <c r="AT2300" i="2"/>
  <c r="U2300" i="2"/>
  <c r="AS2307" i="2"/>
  <c r="T2307" i="2"/>
  <c r="AU2312" i="2"/>
  <c r="U2312" i="2"/>
  <c r="V2312" i="2"/>
  <c r="Q2312" i="2"/>
  <c r="AS2312" i="2"/>
  <c r="AI2354" i="2"/>
  <c r="AR2093" i="2"/>
  <c r="U2096" i="2"/>
  <c r="AS2096" i="2"/>
  <c r="T2100" i="2"/>
  <c r="AU2100" i="2"/>
  <c r="AU2102" i="2"/>
  <c r="Q2105" i="2"/>
  <c r="Q2107" i="2"/>
  <c r="U2112" i="2"/>
  <c r="AS2112" i="2"/>
  <c r="U2116" i="2"/>
  <c r="Q2119" i="2"/>
  <c r="U2128" i="2"/>
  <c r="AS2128" i="2"/>
  <c r="T2132" i="2"/>
  <c r="AU2132" i="2"/>
  <c r="AU2134" i="2"/>
  <c r="Q2137" i="2"/>
  <c r="U2142" i="2"/>
  <c r="AU2142" i="2"/>
  <c r="T2146" i="2"/>
  <c r="AS2146" i="2"/>
  <c r="V2148" i="2"/>
  <c r="AU2148" i="2"/>
  <c r="AT2155" i="2"/>
  <c r="Q2157" i="2"/>
  <c r="V2164" i="2"/>
  <c r="AU2164" i="2"/>
  <c r="AT2171" i="2"/>
  <c r="T2174" i="2"/>
  <c r="AU2174" i="2"/>
  <c r="V2176" i="2"/>
  <c r="Q2177" i="2"/>
  <c r="U2182" i="2"/>
  <c r="U2185" i="2"/>
  <c r="AR2186" i="2"/>
  <c r="U2186" i="2"/>
  <c r="AS2188" i="2"/>
  <c r="T2188" i="2"/>
  <c r="AU2192" i="2"/>
  <c r="T2192" i="2"/>
  <c r="V2197" i="2"/>
  <c r="AS2206" i="2"/>
  <c r="Q2208" i="2"/>
  <c r="AT2208" i="2"/>
  <c r="AS2214" i="2"/>
  <c r="AT2220" i="2"/>
  <c r="Q2220" i="2"/>
  <c r="AU2227" i="2"/>
  <c r="T2227" i="2"/>
  <c r="AS2243" i="2"/>
  <c r="AU2243" i="2"/>
  <c r="T2243" i="2"/>
  <c r="T2265" i="2"/>
  <c r="AI2281" i="2"/>
  <c r="T2297" i="2"/>
  <c r="V2307" i="2"/>
  <c r="T2312" i="2"/>
  <c r="AI2345" i="2"/>
  <c r="AS2346" i="2"/>
  <c r="T2346" i="2"/>
  <c r="V2346" i="2"/>
  <c r="AU2346" i="2"/>
  <c r="AI2275" i="2"/>
  <c r="AS2291" i="2"/>
  <c r="T2291" i="2"/>
  <c r="AR2321" i="2"/>
  <c r="V2086" i="2"/>
  <c r="AS2086" i="2"/>
  <c r="AT2089" i="2"/>
  <c r="AT2091" i="2"/>
  <c r="V2094" i="2"/>
  <c r="Q2100" i="2"/>
  <c r="V2100" i="2"/>
  <c r="AR2100" i="2"/>
  <c r="T2102" i="2"/>
  <c r="T2104" i="2"/>
  <c r="AU2104" i="2"/>
  <c r="V2106" i="2"/>
  <c r="AS2106" i="2"/>
  <c r="T2108" i="2"/>
  <c r="AR2108" i="2"/>
  <c r="V2110" i="2"/>
  <c r="AI2114" i="2"/>
  <c r="AS2116" i="2"/>
  <c r="V2118" i="2"/>
  <c r="AS2118" i="2"/>
  <c r="U2119" i="2"/>
  <c r="AT2121" i="2"/>
  <c r="AT2123" i="2"/>
  <c r="V2126" i="2"/>
  <c r="V2130" i="2"/>
  <c r="Q2132" i="2"/>
  <c r="V2132" i="2"/>
  <c r="AR2132" i="2"/>
  <c r="T2134" i="2"/>
  <c r="T2136" i="2"/>
  <c r="AU2136" i="2"/>
  <c r="V2138" i="2"/>
  <c r="AS2138" i="2"/>
  <c r="AT2139" i="2"/>
  <c r="AR2142" i="2"/>
  <c r="T2144" i="2"/>
  <c r="AS2144" i="2"/>
  <c r="Q2146" i="2"/>
  <c r="V2146" i="2"/>
  <c r="U2149" i="2"/>
  <c r="T2150" i="2"/>
  <c r="AS2150" i="2"/>
  <c r="T2154" i="2"/>
  <c r="AS2154" i="2"/>
  <c r="T2156" i="2"/>
  <c r="AS2156" i="2"/>
  <c r="U2157" i="2"/>
  <c r="AI2158" i="2"/>
  <c r="V2160" i="2"/>
  <c r="AU2160" i="2"/>
  <c r="AR2161" i="2"/>
  <c r="AI2162" i="2"/>
  <c r="U2165" i="2"/>
  <c r="T2166" i="2"/>
  <c r="AU2166" i="2"/>
  <c r="AI2168" i="2"/>
  <c r="U2169" i="2"/>
  <c r="T2170" i="2"/>
  <c r="AS2170" i="2"/>
  <c r="V2172" i="2"/>
  <c r="AU2172" i="2"/>
  <c r="Q2174" i="2"/>
  <c r="V2174" i="2"/>
  <c r="AR2174" i="2"/>
  <c r="AS2176" i="2"/>
  <c r="T2178" i="2"/>
  <c r="AU2178" i="2"/>
  <c r="AS2182" i="2"/>
  <c r="Q2186" i="2"/>
  <c r="AU2186" i="2"/>
  <c r="AT2187" i="2"/>
  <c r="AU2188" i="2"/>
  <c r="AR2189" i="2"/>
  <c r="U2190" i="2"/>
  <c r="AS2190" i="2"/>
  <c r="AR2190" i="2"/>
  <c r="V2192" i="2"/>
  <c r="AS2192" i="2"/>
  <c r="AS2194" i="2"/>
  <c r="U2194" i="2"/>
  <c r="AR2194" i="2"/>
  <c r="AT2200" i="2"/>
  <c r="AI2210" i="2"/>
  <c r="AU2217" i="2"/>
  <c r="U2217" i="2"/>
  <c r="AR2217" i="2"/>
  <c r="AS2219" i="2"/>
  <c r="T2219" i="2"/>
  <c r="AR2220" i="2"/>
  <c r="V2227" i="2"/>
  <c r="AS2227" i="2"/>
  <c r="Q2230" i="2"/>
  <c r="AT2230" i="2"/>
  <c r="U2230" i="2"/>
  <c r="AI2232" i="2"/>
  <c r="Q2234" i="2"/>
  <c r="Q2236" i="2"/>
  <c r="AU2239" i="2"/>
  <c r="T2239" i="2"/>
  <c r="AR2246" i="2"/>
  <c r="Q2246" i="2"/>
  <c r="U2246" i="2"/>
  <c r="Q2260" i="2"/>
  <c r="U2260" i="2"/>
  <c r="AT2260" i="2"/>
  <c r="V2291" i="2"/>
  <c r="AR2193" i="2"/>
  <c r="V2198" i="2"/>
  <c r="T2205" i="2"/>
  <c r="AU2205" i="2"/>
  <c r="T2209" i="2"/>
  <c r="T2229" i="2"/>
  <c r="AU2229" i="2"/>
  <c r="V2231" i="2"/>
  <c r="AS2231" i="2"/>
  <c r="T2233" i="2"/>
  <c r="AU2233" i="2"/>
  <c r="V2235" i="2"/>
  <c r="AS2235" i="2"/>
  <c r="T2237" i="2"/>
  <c r="AR2237" i="2"/>
  <c r="AR2245" i="2"/>
  <c r="V2245" i="2"/>
  <c r="Q2245" i="2"/>
  <c r="AS2245" i="2"/>
  <c r="AU2257" i="2"/>
  <c r="U2257" i="2"/>
  <c r="V2257" i="2"/>
  <c r="Q2257" i="2"/>
  <c r="AR2257" i="2"/>
  <c r="AI2267" i="2"/>
  <c r="V2269" i="2"/>
  <c r="Q2269" i="2"/>
  <c r="AR2269" i="2"/>
  <c r="V2277" i="2"/>
  <c r="Q2277" i="2"/>
  <c r="AR2277" i="2"/>
  <c r="V2289" i="2"/>
  <c r="Q2289" i="2"/>
  <c r="AR2289" i="2"/>
  <c r="T2305" i="2"/>
  <c r="U2308" i="2"/>
  <c r="AT2308" i="2"/>
  <c r="AR2315" i="2"/>
  <c r="U2316" i="2"/>
  <c r="AR2320" i="2"/>
  <c r="AU2320" i="2"/>
  <c r="U2320" i="2"/>
  <c r="T2320" i="2"/>
  <c r="V2320" i="2"/>
  <c r="AS2326" i="2"/>
  <c r="T2326" i="2"/>
  <c r="V2326" i="2"/>
  <c r="AU2326" i="2"/>
  <c r="V2184" i="2"/>
  <c r="U2193" i="2"/>
  <c r="T2201" i="2"/>
  <c r="Q2205" i="2"/>
  <c r="V2205" i="2"/>
  <c r="AR2205" i="2"/>
  <c r="Q2209" i="2"/>
  <c r="V2209" i="2"/>
  <c r="AS2209" i="2"/>
  <c r="U2210" i="2"/>
  <c r="T2213" i="2"/>
  <c r="AU2213" i="2"/>
  <c r="T2225" i="2"/>
  <c r="AR2225" i="2"/>
  <c r="Q2229" i="2"/>
  <c r="V2229" i="2"/>
  <c r="AR2229" i="2"/>
  <c r="Q2233" i="2"/>
  <c r="V2233" i="2"/>
  <c r="AR2233" i="2"/>
  <c r="Q2237" i="2"/>
  <c r="V2237" i="2"/>
  <c r="AU2237" i="2"/>
  <c r="AU2241" i="2"/>
  <c r="V2241" i="2"/>
  <c r="Q2241" i="2"/>
  <c r="U2241" i="2"/>
  <c r="T2245" i="2"/>
  <c r="AU2245" i="2"/>
  <c r="V2247" i="2"/>
  <c r="AU2247" i="2"/>
  <c r="T2257" i="2"/>
  <c r="V2259" i="2"/>
  <c r="AS2259" i="2"/>
  <c r="T2269" i="2"/>
  <c r="AS2269" i="2"/>
  <c r="AI2273" i="2"/>
  <c r="T2277" i="2"/>
  <c r="AS2277" i="2"/>
  <c r="V2279" i="2"/>
  <c r="AS2279" i="2"/>
  <c r="AT2282" i="2"/>
  <c r="U2282" i="2"/>
  <c r="AU2285" i="2"/>
  <c r="U2285" i="2"/>
  <c r="V2285" i="2"/>
  <c r="Q2285" i="2"/>
  <c r="AR2285" i="2"/>
  <c r="T2289" i="2"/>
  <c r="AS2289" i="2"/>
  <c r="U2292" i="2"/>
  <c r="AT2292" i="2"/>
  <c r="V2305" i="2"/>
  <c r="Q2305" i="2"/>
  <c r="AR2305" i="2"/>
  <c r="AS2316" i="2"/>
  <c r="T2316" i="2"/>
  <c r="AR2316" i="2"/>
  <c r="V2316" i="2"/>
  <c r="AU2316" i="2"/>
  <c r="Q2316" i="2"/>
  <c r="AU2332" i="2"/>
  <c r="U2332" i="2"/>
  <c r="V2332" i="2"/>
  <c r="Q2332" i="2"/>
  <c r="AS2332" i="2"/>
  <c r="AR2332" i="2"/>
  <c r="AT2337" i="2"/>
  <c r="U2337" i="2"/>
  <c r="AT2343" i="2"/>
  <c r="U2343" i="2"/>
  <c r="Q2343" i="2"/>
  <c r="U2351" i="2"/>
  <c r="AT2351" i="2"/>
  <c r="Q2351" i="2"/>
  <c r="T2249" i="2"/>
  <c r="AR2249" i="2"/>
  <c r="T2253" i="2"/>
  <c r="AS2253" i="2"/>
  <c r="T2261" i="2"/>
  <c r="AS2261" i="2"/>
  <c r="V2283" i="2"/>
  <c r="AU2283" i="2"/>
  <c r="T2301" i="2"/>
  <c r="AS2301" i="2"/>
  <c r="V2303" i="2"/>
  <c r="AU2303" i="2"/>
  <c r="AT2313" i="2"/>
  <c r="AT2317" i="2"/>
  <c r="AS2318" i="2"/>
  <c r="T2318" i="2"/>
  <c r="AU2318" i="2"/>
  <c r="Q2327" i="2"/>
  <c r="AR2331" i="2"/>
  <c r="AR2345" i="2"/>
  <c r="AI2352" i="2"/>
  <c r="AS2358" i="2"/>
  <c r="T2358" i="2"/>
  <c r="AU2363" i="2"/>
  <c r="AS2365" i="2"/>
  <c r="T2365" i="2"/>
  <c r="Q2377" i="2"/>
  <c r="AU2377" i="2"/>
  <c r="U2377" i="2"/>
  <c r="V2382" i="2"/>
  <c r="Q2382" i="2"/>
  <c r="AR2382" i="2"/>
  <c r="AS2382" i="2"/>
  <c r="T2382" i="2"/>
  <c r="AU2382" i="2"/>
  <c r="U2382" i="2"/>
  <c r="V2251" i="2"/>
  <c r="AT2251" i="2"/>
  <c r="AR2253" i="2"/>
  <c r="V2255" i="2"/>
  <c r="AU2255" i="2"/>
  <c r="AI2257" i="2"/>
  <c r="AT2258" i="2"/>
  <c r="AR2261" i="2"/>
  <c r="V2263" i="2"/>
  <c r="AU2263" i="2"/>
  <c r="AI2265" i="2"/>
  <c r="U2266" i="2"/>
  <c r="V2267" i="2"/>
  <c r="AU2267" i="2"/>
  <c r="T2273" i="2"/>
  <c r="AS2273" i="2"/>
  <c r="V2275" i="2"/>
  <c r="AU2275" i="2"/>
  <c r="T2281" i="2"/>
  <c r="AS2281" i="2"/>
  <c r="T2283" i="2"/>
  <c r="AS2283" i="2"/>
  <c r="U2284" i="2"/>
  <c r="V2287" i="2"/>
  <c r="AU2287" i="2"/>
  <c r="T2293" i="2"/>
  <c r="AS2293" i="2"/>
  <c r="V2295" i="2"/>
  <c r="AU2295" i="2"/>
  <c r="AI2299" i="2"/>
  <c r="AR2301" i="2"/>
  <c r="T2303" i="2"/>
  <c r="AS2303" i="2"/>
  <c r="T2309" i="2"/>
  <c r="AS2309" i="2"/>
  <c r="V2311" i="2"/>
  <c r="AU2311" i="2"/>
  <c r="V2318" i="2"/>
  <c r="Q2319" i="2"/>
  <c r="U2319" i="2"/>
  <c r="AS2367" i="2"/>
  <c r="V2367" i="2"/>
  <c r="Q2367" i="2"/>
  <c r="AU2367" i="2"/>
  <c r="U2367" i="2"/>
  <c r="AR2367" i="2"/>
  <c r="AS2371" i="2"/>
  <c r="V2371" i="2"/>
  <c r="Q2371" i="2"/>
  <c r="AU2371" i="2"/>
  <c r="U2371" i="2"/>
  <c r="AR2371" i="2"/>
  <c r="AS2378" i="2"/>
  <c r="V2378" i="2"/>
  <c r="Q2378" i="2"/>
  <c r="AU2378" i="2"/>
  <c r="T2378" i="2"/>
  <c r="Q2381" i="2"/>
  <c r="AT2381" i="2"/>
  <c r="V2322" i="2"/>
  <c r="AU2322" i="2"/>
  <c r="Q2324" i="2"/>
  <c r="V2324" i="2"/>
  <c r="Q2328" i="2"/>
  <c r="V2328" i="2"/>
  <c r="AI2328" i="2"/>
  <c r="AR2328" i="2"/>
  <c r="T2330" i="2"/>
  <c r="AS2336" i="2"/>
  <c r="U2336" i="2"/>
  <c r="AU2336" i="2"/>
  <c r="V2336" i="2"/>
  <c r="Q2336" i="2"/>
  <c r="AR2341" i="2"/>
  <c r="AI2347" i="2"/>
  <c r="Q2349" i="2"/>
  <c r="U2349" i="2"/>
  <c r="AS2350" i="2"/>
  <c r="T2350" i="2"/>
  <c r="AU2350" i="2"/>
  <c r="U2366" i="2"/>
  <c r="V2368" i="2"/>
  <c r="AR2372" i="2"/>
  <c r="AT2376" i="2"/>
  <c r="V2376" i="2"/>
  <c r="AU2376" i="2"/>
  <c r="AT2379" i="2"/>
  <c r="U2379" i="2"/>
  <c r="AU2402" i="2"/>
  <c r="U2402" i="2"/>
  <c r="V2402" i="2"/>
  <c r="Q2402" i="2"/>
  <c r="AS2402" i="2"/>
  <c r="T2402" i="2"/>
  <c r="AR2402" i="2"/>
  <c r="T2324" i="2"/>
  <c r="AS2324" i="2"/>
  <c r="AU2328" i="2"/>
  <c r="T2328" i="2"/>
  <c r="AR2329" i="2"/>
  <c r="Q2357" i="2"/>
  <c r="AT2359" i="2"/>
  <c r="U2359" i="2"/>
  <c r="AS2362" i="2"/>
  <c r="T2362" i="2"/>
  <c r="AU2362" i="2"/>
  <c r="Q2366" i="2"/>
  <c r="AT2366" i="2"/>
  <c r="AS2386" i="2"/>
  <c r="U2386" i="2"/>
  <c r="AU2386" i="2"/>
  <c r="V2386" i="2"/>
  <c r="Q2386" i="2"/>
  <c r="AR2386" i="2"/>
  <c r="T2386" i="2"/>
  <c r="Q2393" i="2"/>
  <c r="AT2393" i="2"/>
  <c r="U2393" i="2"/>
  <c r="AR2413" i="2"/>
  <c r="AS2418" i="2"/>
  <c r="T2418" i="2"/>
  <c r="V2418" i="2"/>
  <c r="V2338" i="2"/>
  <c r="T2344" i="2"/>
  <c r="AS2344" i="2"/>
  <c r="T2348" i="2"/>
  <c r="AS2348" i="2"/>
  <c r="T2352" i="2"/>
  <c r="AS2352" i="2"/>
  <c r="T2356" i="2"/>
  <c r="AS2356" i="2"/>
  <c r="T2360" i="2"/>
  <c r="AS2360" i="2"/>
  <c r="T2374" i="2"/>
  <c r="AR2375" i="2"/>
  <c r="V2375" i="2"/>
  <c r="AS2384" i="2"/>
  <c r="AU2384" i="2"/>
  <c r="T2384" i="2"/>
  <c r="U2390" i="2"/>
  <c r="AR2390" i="2"/>
  <c r="V2390" i="2"/>
  <c r="Q2390" i="2"/>
  <c r="AS2390" i="2"/>
  <c r="Q2405" i="2"/>
  <c r="U2405" i="2"/>
  <c r="AT2405" i="2"/>
  <c r="V2408" i="2"/>
  <c r="Q2408" i="2"/>
  <c r="AR2408" i="2"/>
  <c r="AS2408" i="2"/>
  <c r="T2408" i="2"/>
  <c r="AU2408" i="2"/>
  <c r="U2408" i="2"/>
  <c r="AR2426" i="2"/>
  <c r="AS2426" i="2"/>
  <c r="U2426" i="2"/>
  <c r="V2426" i="2"/>
  <c r="U2333" i="2"/>
  <c r="V2334" i="2"/>
  <c r="AU2334" i="2"/>
  <c r="AI2338" i="2"/>
  <c r="T2340" i="2"/>
  <c r="AS2340" i="2"/>
  <c r="AR2344" i="2"/>
  <c r="AR2348" i="2"/>
  <c r="AR2352" i="2"/>
  <c r="V2354" i="2"/>
  <c r="AU2354" i="2"/>
  <c r="AR2356" i="2"/>
  <c r="AR2360" i="2"/>
  <c r="V2364" i="2"/>
  <c r="AR2364" i="2"/>
  <c r="U2370" i="2"/>
  <c r="AU2374" i="2"/>
  <c r="T2392" i="2"/>
  <c r="AS2392" i="2"/>
  <c r="T2396" i="2"/>
  <c r="AS2396" i="2"/>
  <c r="AS2400" i="2"/>
  <c r="T2400" i="2"/>
  <c r="V2400" i="2"/>
  <c r="AT2385" i="2"/>
  <c r="V2388" i="2"/>
  <c r="AU2394" i="2"/>
  <c r="T2394" i="2"/>
  <c r="AU2404" i="2"/>
  <c r="U2411" i="2"/>
  <c r="Q2417" i="2"/>
  <c r="Q2422" i="2"/>
  <c r="AR2422" i="2"/>
  <c r="AR2425" i="2"/>
  <c r="Q2425" i="2"/>
  <c r="AI2386" i="2"/>
  <c r="T2388" i="2"/>
  <c r="AU2388" i="2"/>
  <c r="AS2404" i="2"/>
  <c r="AU2410" i="2"/>
  <c r="AI2414" i="2"/>
  <c r="Q2421" i="2"/>
  <c r="T2398" i="2"/>
  <c r="AS2398" i="2"/>
  <c r="T2406" i="2"/>
  <c r="AS2406" i="2"/>
  <c r="T2412" i="2"/>
  <c r="AS2412" i="2"/>
  <c r="T2416" i="2"/>
  <c r="AS2416" i="2"/>
  <c r="AR2398" i="2"/>
  <c r="V2414" i="2"/>
  <c r="AU2414" i="2"/>
  <c r="AR337" i="2"/>
  <c r="U337" i="2"/>
  <c r="Q337" i="2"/>
  <c r="T337" i="2"/>
  <c r="AS337" i="2"/>
  <c r="AI338" i="2"/>
  <c r="AS340" i="2"/>
  <c r="AR345" i="2"/>
  <c r="U345" i="2"/>
  <c r="Q345" i="2"/>
  <c r="T345" i="2"/>
  <c r="AS345" i="2"/>
  <c r="AI346" i="2"/>
  <c r="AS348" i="2"/>
  <c r="AR353" i="2"/>
  <c r="U353" i="2"/>
  <c r="Q353" i="2"/>
  <c r="T353" i="2"/>
  <c r="AS353" i="2"/>
  <c r="AI354" i="2"/>
  <c r="AS356" i="2"/>
  <c r="AR361" i="2"/>
  <c r="U361" i="2"/>
  <c r="Q361" i="2"/>
  <c r="T361" i="2"/>
  <c r="AS361" i="2"/>
  <c r="AI362" i="2"/>
  <c r="AS364" i="2"/>
  <c r="AR369" i="2"/>
  <c r="U369" i="2"/>
  <c r="Q369" i="2"/>
  <c r="T369" i="2"/>
  <c r="AS369" i="2"/>
  <c r="AI370" i="2"/>
  <c r="AS372" i="2"/>
  <c r="AR377" i="2"/>
  <c r="U377" i="2"/>
  <c r="Q377" i="2"/>
  <c r="T377" i="2"/>
  <c r="AS377" i="2"/>
  <c r="AI378" i="2"/>
  <c r="AS380" i="2"/>
  <c r="AR385" i="2"/>
  <c r="U385" i="2"/>
  <c r="Q385" i="2"/>
  <c r="T385" i="2"/>
  <c r="AS385" i="2"/>
  <c r="AI386" i="2"/>
  <c r="AS388" i="2"/>
  <c r="AR393" i="2"/>
  <c r="U393" i="2"/>
  <c r="Q393" i="2"/>
  <c r="T393" i="2"/>
  <c r="AS393" i="2"/>
  <c r="AI394" i="2"/>
  <c r="AS396" i="2"/>
  <c r="AR401" i="2"/>
  <c r="U401" i="2"/>
  <c r="Q401" i="2"/>
  <c r="T401" i="2"/>
  <c r="AS401" i="2"/>
  <c r="AI402" i="2"/>
  <c r="AS404" i="2"/>
  <c r="AR409" i="2"/>
  <c r="U409" i="2"/>
  <c r="Q409" i="2"/>
  <c r="T409" i="2"/>
  <c r="AS409" i="2"/>
  <c r="AI410" i="2"/>
  <c r="AS412" i="2"/>
  <c r="AR417" i="2"/>
  <c r="U417" i="2"/>
  <c r="Q417" i="2"/>
  <c r="T417" i="2"/>
  <c r="AS417" i="2"/>
  <c r="AI418" i="2"/>
  <c r="AS420" i="2"/>
  <c r="AR425" i="2"/>
  <c r="U425" i="2"/>
  <c r="Q425" i="2"/>
  <c r="T425" i="2"/>
  <c r="AS425" i="2"/>
  <c r="AI426" i="2"/>
  <c r="AS428" i="2"/>
  <c r="AR433" i="2"/>
  <c r="U433" i="2"/>
  <c r="Q433" i="2"/>
  <c r="T433" i="2"/>
  <c r="AS433" i="2"/>
  <c r="AI434" i="2"/>
  <c r="AS436" i="2"/>
  <c r="AR441" i="2"/>
  <c r="U441" i="2"/>
  <c r="Q441" i="2"/>
  <c r="T441" i="2"/>
  <c r="AS441" i="2"/>
  <c r="AI442" i="2"/>
  <c r="AS444" i="2"/>
  <c r="AU448" i="2"/>
  <c r="T448" i="2"/>
  <c r="AS448" i="2"/>
  <c r="V448" i="2"/>
  <c r="AR448" i="2"/>
  <c r="AS450" i="2"/>
  <c r="V450" i="2"/>
  <c r="AU450" i="2"/>
  <c r="T450" i="2"/>
  <c r="AR450" i="2"/>
  <c r="U452" i="2"/>
  <c r="AU464" i="2"/>
  <c r="T464" i="2"/>
  <c r="AS464" i="2"/>
  <c r="V464" i="2"/>
  <c r="AR464" i="2"/>
  <c r="U464" i="2"/>
  <c r="Q464" i="2"/>
  <c r="AU480" i="2"/>
  <c r="T480" i="2"/>
  <c r="AS480" i="2"/>
  <c r="V480" i="2"/>
  <c r="AR480" i="2"/>
  <c r="U480" i="2"/>
  <c r="Q480" i="2"/>
  <c r="AU496" i="2"/>
  <c r="T496" i="2"/>
  <c r="AS496" i="2"/>
  <c r="V496" i="2"/>
  <c r="AR496" i="2"/>
  <c r="U496" i="2"/>
  <c r="Q496" i="2"/>
  <c r="AU512" i="2"/>
  <c r="T512" i="2"/>
  <c r="AS512" i="2"/>
  <c r="V512" i="2"/>
  <c r="AR512" i="2"/>
  <c r="U512" i="2"/>
  <c r="Q512" i="2"/>
  <c r="AU528" i="2"/>
  <c r="T528" i="2"/>
  <c r="AS528" i="2"/>
  <c r="V528" i="2"/>
  <c r="AR528" i="2"/>
  <c r="U528" i="2"/>
  <c r="Q528" i="2"/>
  <c r="AS230" i="2"/>
  <c r="V230" i="2"/>
  <c r="T230" i="2"/>
  <c r="AR230" i="2"/>
  <c r="V233" i="2"/>
  <c r="AT233" i="2"/>
  <c r="T236" i="2"/>
  <c r="U236" i="2"/>
  <c r="V238" i="2"/>
  <c r="T238" i="2"/>
  <c r="V241" i="2"/>
  <c r="AT241" i="2"/>
  <c r="AU244" i="2"/>
  <c r="T244" i="2"/>
  <c r="U244" i="2"/>
  <c r="AT244" i="2"/>
  <c r="AS246" i="2"/>
  <c r="V246" i="2"/>
  <c r="T246" i="2"/>
  <c r="AR246" i="2"/>
  <c r="V249" i="2"/>
  <c r="AT249" i="2"/>
  <c r="AU252" i="2"/>
  <c r="T252" i="2"/>
  <c r="U252" i="2"/>
  <c r="AT252" i="2"/>
  <c r="AS254" i="2"/>
  <c r="V254" i="2"/>
  <c r="T254" i="2"/>
  <c r="AR254" i="2"/>
  <c r="V257" i="2"/>
  <c r="AT257" i="2"/>
  <c r="AU260" i="2"/>
  <c r="T260" i="2"/>
  <c r="U260" i="2"/>
  <c r="AT260" i="2"/>
  <c r="AS262" i="2"/>
  <c r="V262" i="2"/>
  <c r="T262" i="2"/>
  <c r="AR262" i="2"/>
  <c r="V265" i="2"/>
  <c r="AT265" i="2"/>
  <c r="AU268" i="2"/>
  <c r="T268" i="2"/>
  <c r="U268" i="2"/>
  <c r="AT268" i="2"/>
  <c r="AS270" i="2"/>
  <c r="V270" i="2"/>
  <c r="T270" i="2"/>
  <c r="AR270" i="2"/>
  <c r="V273" i="2"/>
  <c r="AT273" i="2"/>
  <c r="AU276" i="2"/>
  <c r="T276" i="2"/>
  <c r="U276" i="2"/>
  <c r="AT276" i="2"/>
  <c r="AS278" i="2"/>
  <c r="V278" i="2"/>
  <c r="T278" i="2"/>
  <c r="AR278" i="2"/>
  <c r="V281" i="2"/>
  <c r="AT281" i="2"/>
  <c r="AU284" i="2"/>
  <c r="T284" i="2"/>
  <c r="U284" i="2"/>
  <c r="AT284" i="2"/>
  <c r="AS286" i="2"/>
  <c r="V286" i="2"/>
  <c r="T286" i="2"/>
  <c r="AR286" i="2"/>
  <c r="V289" i="2"/>
  <c r="AT289" i="2"/>
  <c r="AU292" i="2"/>
  <c r="T292" i="2"/>
  <c r="U292" i="2"/>
  <c r="AT292" i="2"/>
  <c r="AS294" i="2"/>
  <c r="V294" i="2"/>
  <c r="T294" i="2"/>
  <c r="AR294" i="2"/>
  <c r="V297" i="2"/>
  <c r="AT297" i="2"/>
  <c r="AU300" i="2"/>
  <c r="T300" i="2"/>
  <c r="U300" i="2"/>
  <c r="AT300" i="2"/>
  <c r="AS302" i="2"/>
  <c r="V302" i="2"/>
  <c r="T302" i="2"/>
  <c r="AR302" i="2"/>
  <c r="V305" i="2"/>
  <c r="AT305" i="2"/>
  <c r="AU308" i="2"/>
  <c r="T308" i="2"/>
  <c r="U308" i="2"/>
  <c r="AT308" i="2"/>
  <c r="AS310" i="2"/>
  <c r="V310" i="2"/>
  <c r="T310" i="2"/>
  <c r="AR310" i="2"/>
  <c r="V313" i="2"/>
  <c r="AT313" i="2"/>
  <c r="AU316" i="2"/>
  <c r="T316" i="2"/>
  <c r="U316" i="2"/>
  <c r="AT316" i="2"/>
  <c r="AS318" i="2"/>
  <c r="V318" i="2"/>
  <c r="T318" i="2"/>
  <c r="AR318" i="2"/>
  <c r="V321" i="2"/>
  <c r="AT321" i="2"/>
  <c r="AU324" i="2"/>
  <c r="T324" i="2"/>
  <c r="U324" i="2"/>
  <c r="AT324" i="2"/>
  <c r="AS326" i="2"/>
  <c r="V326" i="2"/>
  <c r="T326" i="2"/>
  <c r="AR326" i="2"/>
  <c r="V329" i="2"/>
  <c r="AT329" i="2"/>
  <c r="AU332" i="2"/>
  <c r="T332" i="2"/>
  <c r="U332" i="2"/>
  <c r="AT332" i="2"/>
  <c r="AS334" i="2"/>
  <c r="V334" i="2"/>
  <c r="T334" i="2"/>
  <c r="AR334" i="2"/>
  <c r="AU340" i="2"/>
  <c r="T340" i="2"/>
  <c r="U340" i="2"/>
  <c r="AT340" i="2"/>
  <c r="AS342" i="2"/>
  <c r="V342" i="2"/>
  <c r="T342" i="2"/>
  <c r="AR342" i="2"/>
  <c r="AU348" i="2"/>
  <c r="T348" i="2"/>
  <c r="U348" i="2"/>
  <c r="AT348" i="2"/>
  <c r="AS350" i="2"/>
  <c r="V350" i="2"/>
  <c r="T350" i="2"/>
  <c r="AR350" i="2"/>
  <c r="AU356" i="2"/>
  <c r="T356" i="2"/>
  <c r="U356" i="2"/>
  <c r="AT356" i="2"/>
  <c r="AS358" i="2"/>
  <c r="V358" i="2"/>
  <c r="T358" i="2"/>
  <c r="AR358" i="2"/>
  <c r="AU364" i="2"/>
  <c r="T364" i="2"/>
  <c r="U364" i="2"/>
  <c r="AT364" i="2"/>
  <c r="AS366" i="2"/>
  <c r="V366" i="2"/>
  <c r="T366" i="2"/>
  <c r="AR366" i="2"/>
  <c r="AU372" i="2"/>
  <c r="T372" i="2"/>
  <c r="U372" i="2"/>
  <c r="AT372" i="2"/>
  <c r="AS374" i="2"/>
  <c r="V374" i="2"/>
  <c r="T374" i="2"/>
  <c r="AR374" i="2"/>
  <c r="AU380" i="2"/>
  <c r="T380" i="2"/>
  <c r="U380" i="2"/>
  <c r="AT380" i="2"/>
  <c r="AS382" i="2"/>
  <c r="V382" i="2"/>
  <c r="T382" i="2"/>
  <c r="AR382" i="2"/>
  <c r="AU388" i="2"/>
  <c r="T388" i="2"/>
  <c r="U388" i="2"/>
  <c r="AT388" i="2"/>
  <c r="AS390" i="2"/>
  <c r="V390" i="2"/>
  <c r="T390" i="2"/>
  <c r="AR390" i="2"/>
  <c r="AU396" i="2"/>
  <c r="T396" i="2"/>
  <c r="U396" i="2"/>
  <c r="AT396" i="2"/>
  <c r="AS398" i="2"/>
  <c r="V398" i="2"/>
  <c r="T398" i="2"/>
  <c r="AR398" i="2"/>
  <c r="AU404" i="2"/>
  <c r="T404" i="2"/>
  <c r="U404" i="2"/>
  <c r="AT404" i="2"/>
  <c r="AS406" i="2"/>
  <c r="V406" i="2"/>
  <c r="T406" i="2"/>
  <c r="AR406" i="2"/>
  <c r="AU412" i="2"/>
  <c r="T412" i="2"/>
  <c r="U412" i="2"/>
  <c r="AT412" i="2"/>
  <c r="AS414" i="2"/>
  <c r="V414" i="2"/>
  <c r="T414" i="2"/>
  <c r="AR414" i="2"/>
  <c r="AU420" i="2"/>
  <c r="T420" i="2"/>
  <c r="U420" i="2"/>
  <c r="AT420" i="2"/>
  <c r="AS422" i="2"/>
  <c r="V422" i="2"/>
  <c r="T422" i="2"/>
  <c r="AR422" i="2"/>
  <c r="AU428" i="2"/>
  <c r="T428" i="2"/>
  <c r="U428" i="2"/>
  <c r="AT428" i="2"/>
  <c r="AS430" i="2"/>
  <c r="V430" i="2"/>
  <c r="T430" i="2"/>
  <c r="AR430" i="2"/>
  <c r="AU436" i="2"/>
  <c r="T436" i="2"/>
  <c r="U436" i="2"/>
  <c r="AT436" i="2"/>
  <c r="AS438" i="2"/>
  <c r="V438" i="2"/>
  <c r="T438" i="2"/>
  <c r="AR438" i="2"/>
  <c r="AU444" i="2"/>
  <c r="T444" i="2"/>
  <c r="U444" i="2"/>
  <c r="AT444" i="2"/>
  <c r="AS446" i="2"/>
  <c r="V446" i="2"/>
  <c r="T446" i="2"/>
  <c r="AR446" i="2"/>
  <c r="AT450" i="2"/>
  <c r="AU452" i="2"/>
  <c r="T452" i="2"/>
  <c r="AS452" i="2"/>
  <c r="V452" i="2"/>
  <c r="AR452" i="2"/>
  <c r="AU468" i="2"/>
  <c r="T468" i="2"/>
  <c r="AS468" i="2"/>
  <c r="V468" i="2"/>
  <c r="AR468" i="2"/>
  <c r="U468" i="2"/>
  <c r="Q468" i="2"/>
  <c r="AU484" i="2"/>
  <c r="T484" i="2"/>
  <c r="AS484" i="2"/>
  <c r="V484" i="2"/>
  <c r="AR484" i="2"/>
  <c r="U484" i="2"/>
  <c r="Q484" i="2"/>
  <c r="AU500" i="2"/>
  <c r="T500" i="2"/>
  <c r="AS500" i="2"/>
  <c r="V500" i="2"/>
  <c r="AR500" i="2"/>
  <c r="U500" i="2"/>
  <c r="Q500" i="2"/>
  <c r="AU516" i="2"/>
  <c r="T516" i="2"/>
  <c r="AS516" i="2"/>
  <c r="V516" i="2"/>
  <c r="AR516" i="2"/>
  <c r="U516" i="2"/>
  <c r="Q516" i="2"/>
  <c r="AU532" i="2"/>
  <c r="T532" i="2"/>
  <c r="AS532" i="2"/>
  <c r="V532" i="2"/>
  <c r="AR532" i="2"/>
  <c r="U532" i="2"/>
  <c r="Q532" i="2"/>
  <c r="Q80" i="2"/>
  <c r="T38" i="2"/>
  <c r="U217" i="2"/>
  <c r="Q217" i="2"/>
  <c r="T217" i="2"/>
  <c r="AR233" i="2"/>
  <c r="U233" i="2"/>
  <c r="Q233" i="2"/>
  <c r="T233" i="2"/>
  <c r="AR241" i="2"/>
  <c r="U241" i="2"/>
  <c r="Q241" i="2"/>
  <c r="T241" i="2"/>
  <c r="AS249" i="2"/>
  <c r="AR257" i="2"/>
  <c r="U257" i="2"/>
  <c r="Q257" i="2"/>
  <c r="T257" i="2"/>
  <c r="AR265" i="2"/>
  <c r="U265" i="2"/>
  <c r="Q265" i="2"/>
  <c r="T265" i="2"/>
  <c r="AR273" i="2"/>
  <c r="U273" i="2"/>
  <c r="Q273" i="2"/>
  <c r="T273" i="2"/>
  <c r="AR281" i="2"/>
  <c r="U281" i="2"/>
  <c r="Q281" i="2"/>
  <c r="T281" i="2"/>
  <c r="AR289" i="2"/>
  <c r="U289" i="2"/>
  <c r="Q289" i="2"/>
  <c r="T289" i="2"/>
  <c r="AS297" i="2"/>
  <c r="AR305" i="2"/>
  <c r="U305" i="2"/>
  <c r="Q305" i="2"/>
  <c r="T305" i="2"/>
  <c r="AS313" i="2"/>
  <c r="AS321" i="2"/>
  <c r="T69" i="2"/>
  <c r="Q220" i="2"/>
  <c r="V220" i="2"/>
  <c r="U221" i="2"/>
  <c r="Q221" i="2"/>
  <c r="T221" i="2"/>
  <c r="U222" i="2"/>
  <c r="Q228" i="2"/>
  <c r="V228" i="2"/>
  <c r="U229" i="2"/>
  <c r="Q229" i="2"/>
  <c r="T229" i="2"/>
  <c r="U230" i="2"/>
  <c r="AT230" i="2"/>
  <c r="AU233" i="2"/>
  <c r="Q236" i="2"/>
  <c r="V236" i="2"/>
  <c r="U237" i="2"/>
  <c r="Q237" i="2"/>
  <c r="T237" i="2"/>
  <c r="U238" i="2"/>
  <c r="AU241" i="2"/>
  <c r="Q244" i="2"/>
  <c r="V244" i="2"/>
  <c r="AR245" i="2"/>
  <c r="U245" i="2"/>
  <c r="Q245" i="2"/>
  <c r="T245" i="2"/>
  <c r="AS245" i="2"/>
  <c r="U246" i="2"/>
  <c r="AT246" i="2"/>
  <c r="Q252" i="2"/>
  <c r="V252" i="2"/>
  <c r="AR253" i="2"/>
  <c r="U253" i="2"/>
  <c r="Q253" i="2"/>
  <c r="T253" i="2"/>
  <c r="AS253" i="2"/>
  <c r="U254" i="2"/>
  <c r="AT254" i="2"/>
  <c r="AU257" i="2"/>
  <c r="Q260" i="2"/>
  <c r="V260" i="2"/>
  <c r="AR261" i="2"/>
  <c r="U261" i="2"/>
  <c r="Q261" i="2"/>
  <c r="T261" i="2"/>
  <c r="AS261" i="2"/>
  <c r="U262" i="2"/>
  <c r="AT262" i="2"/>
  <c r="AU265" i="2"/>
  <c r="Q268" i="2"/>
  <c r="V268" i="2"/>
  <c r="AR269" i="2"/>
  <c r="U269" i="2"/>
  <c r="Q269" i="2"/>
  <c r="T269" i="2"/>
  <c r="AS269" i="2"/>
  <c r="U270" i="2"/>
  <c r="AT270" i="2"/>
  <c r="AU273" i="2"/>
  <c r="Q276" i="2"/>
  <c r="V276" i="2"/>
  <c r="AR277" i="2"/>
  <c r="U277" i="2"/>
  <c r="Q277" i="2"/>
  <c r="T277" i="2"/>
  <c r="AS277" i="2"/>
  <c r="U278" i="2"/>
  <c r="AT278" i="2"/>
  <c r="AU281" i="2"/>
  <c r="Q284" i="2"/>
  <c r="V284" i="2"/>
  <c r="AR285" i="2"/>
  <c r="U285" i="2"/>
  <c r="Q285" i="2"/>
  <c r="T285" i="2"/>
  <c r="AS285" i="2"/>
  <c r="U286" i="2"/>
  <c r="AT286" i="2"/>
  <c r="AU289" i="2"/>
  <c r="Q292" i="2"/>
  <c r="V292" i="2"/>
  <c r="AR293" i="2"/>
  <c r="U293" i="2"/>
  <c r="Q293" i="2"/>
  <c r="T293" i="2"/>
  <c r="AS293" i="2"/>
  <c r="U294" i="2"/>
  <c r="AT294" i="2"/>
  <c r="Q300" i="2"/>
  <c r="V300" i="2"/>
  <c r="AR301" i="2"/>
  <c r="U301" i="2"/>
  <c r="Q301" i="2"/>
  <c r="T301" i="2"/>
  <c r="AS301" i="2"/>
  <c r="U302" i="2"/>
  <c r="AT302" i="2"/>
  <c r="AU305" i="2"/>
  <c r="Q308" i="2"/>
  <c r="V308" i="2"/>
  <c r="AR309" i="2"/>
  <c r="U309" i="2"/>
  <c r="Q309" i="2"/>
  <c r="T309" i="2"/>
  <c r="AS309" i="2"/>
  <c r="U310" i="2"/>
  <c r="AT310" i="2"/>
  <c r="Q316" i="2"/>
  <c r="V316" i="2"/>
  <c r="AR317" i="2"/>
  <c r="U317" i="2"/>
  <c r="Q317" i="2"/>
  <c r="T317" i="2"/>
  <c r="AS317" i="2"/>
  <c r="U318" i="2"/>
  <c r="AT318" i="2"/>
  <c r="Q324" i="2"/>
  <c r="V324" i="2"/>
  <c r="AR325" i="2"/>
  <c r="U325" i="2"/>
  <c r="Q325" i="2"/>
  <c r="T325" i="2"/>
  <c r="AS325" i="2"/>
  <c r="U326" i="2"/>
  <c r="AT326" i="2"/>
  <c r="Q332" i="2"/>
  <c r="V332" i="2"/>
  <c r="AR333" i="2"/>
  <c r="U333" i="2"/>
  <c r="Q333" i="2"/>
  <c r="T333" i="2"/>
  <c r="AS333" i="2"/>
  <c r="U334" i="2"/>
  <c r="AT334" i="2"/>
  <c r="AU337" i="2"/>
  <c r="Q340" i="2"/>
  <c r="V340" i="2"/>
  <c r="AR341" i="2"/>
  <c r="U341" i="2"/>
  <c r="Q341" i="2"/>
  <c r="T341" i="2"/>
  <c r="AS341" i="2"/>
  <c r="U342" i="2"/>
  <c r="AT342" i="2"/>
  <c r="AU345" i="2"/>
  <c r="Q348" i="2"/>
  <c r="V348" i="2"/>
  <c r="AR349" i="2"/>
  <c r="U349" i="2"/>
  <c r="Q349" i="2"/>
  <c r="T349" i="2"/>
  <c r="AS349" i="2"/>
  <c r="U350" i="2"/>
  <c r="AT350" i="2"/>
  <c r="AU353" i="2"/>
  <c r="Q356" i="2"/>
  <c r="V356" i="2"/>
  <c r="AR357" i="2"/>
  <c r="U357" i="2"/>
  <c r="Q357" i="2"/>
  <c r="T357" i="2"/>
  <c r="AS357" i="2"/>
  <c r="U358" i="2"/>
  <c r="AT358" i="2"/>
  <c r="AU361" i="2"/>
  <c r="Q364" i="2"/>
  <c r="V364" i="2"/>
  <c r="AR365" i="2"/>
  <c r="U365" i="2"/>
  <c r="Q365" i="2"/>
  <c r="T365" i="2"/>
  <c r="AS365" i="2"/>
  <c r="U366" i="2"/>
  <c r="AT366" i="2"/>
  <c r="AU369" i="2"/>
  <c r="Q372" i="2"/>
  <c r="V372" i="2"/>
  <c r="AR373" i="2"/>
  <c r="U373" i="2"/>
  <c r="Q373" i="2"/>
  <c r="T373" i="2"/>
  <c r="AS373" i="2"/>
  <c r="U374" i="2"/>
  <c r="AT374" i="2"/>
  <c r="AU377" i="2"/>
  <c r="Q380" i="2"/>
  <c r="V380" i="2"/>
  <c r="AR381" i="2"/>
  <c r="U381" i="2"/>
  <c r="Q381" i="2"/>
  <c r="T381" i="2"/>
  <c r="AS381" i="2"/>
  <c r="U382" i="2"/>
  <c r="AT382" i="2"/>
  <c r="AU385" i="2"/>
  <c r="Q388" i="2"/>
  <c r="V388" i="2"/>
  <c r="AR389" i="2"/>
  <c r="U389" i="2"/>
  <c r="Q389" i="2"/>
  <c r="T389" i="2"/>
  <c r="AS389" i="2"/>
  <c r="U390" i="2"/>
  <c r="AT390" i="2"/>
  <c r="AU393" i="2"/>
  <c r="Q396" i="2"/>
  <c r="V396" i="2"/>
  <c r="AR397" i="2"/>
  <c r="U397" i="2"/>
  <c r="Q397" i="2"/>
  <c r="T397" i="2"/>
  <c r="AS397" i="2"/>
  <c r="U398" i="2"/>
  <c r="AT398" i="2"/>
  <c r="AU401" i="2"/>
  <c r="Q404" i="2"/>
  <c r="V404" i="2"/>
  <c r="AR405" i="2"/>
  <c r="U405" i="2"/>
  <c r="Q405" i="2"/>
  <c r="T405" i="2"/>
  <c r="AS405" i="2"/>
  <c r="U406" i="2"/>
  <c r="AT406" i="2"/>
  <c r="AU409" i="2"/>
  <c r="Q412" i="2"/>
  <c r="V412" i="2"/>
  <c r="AR413" i="2"/>
  <c r="U413" i="2"/>
  <c r="Q413" i="2"/>
  <c r="T413" i="2"/>
  <c r="AS413" i="2"/>
  <c r="U414" i="2"/>
  <c r="AT414" i="2"/>
  <c r="AU417" i="2"/>
  <c r="Q420" i="2"/>
  <c r="V420" i="2"/>
  <c r="AR421" i="2"/>
  <c r="U421" i="2"/>
  <c r="Q421" i="2"/>
  <c r="T421" i="2"/>
  <c r="AS421" i="2"/>
  <c r="U422" i="2"/>
  <c r="AT422" i="2"/>
  <c r="AU425" i="2"/>
  <c r="Q428" i="2"/>
  <c r="V428" i="2"/>
  <c r="AR429" i="2"/>
  <c r="U429" i="2"/>
  <c r="Q429" i="2"/>
  <c r="T429" i="2"/>
  <c r="AS429" i="2"/>
  <c r="U430" i="2"/>
  <c r="AT430" i="2"/>
  <c r="AU433" i="2"/>
  <c r="Q436" i="2"/>
  <c r="V436" i="2"/>
  <c r="AR437" i="2"/>
  <c r="U437" i="2"/>
  <c r="Q437" i="2"/>
  <c r="T437" i="2"/>
  <c r="AS437" i="2"/>
  <c r="U438" i="2"/>
  <c r="AT438" i="2"/>
  <c r="AU441" i="2"/>
  <c r="Q444" i="2"/>
  <c r="V444" i="2"/>
  <c r="AR445" i="2"/>
  <c r="U445" i="2"/>
  <c r="Q445" i="2"/>
  <c r="T445" i="2"/>
  <c r="AS445" i="2"/>
  <c r="U446" i="2"/>
  <c r="AT446" i="2"/>
  <c r="Q452" i="2"/>
  <c r="AT452" i="2"/>
  <c r="AU456" i="2"/>
  <c r="T456" i="2"/>
  <c r="AS456" i="2"/>
  <c r="V456" i="2"/>
  <c r="AR456" i="2"/>
  <c r="U456" i="2"/>
  <c r="Q456" i="2"/>
  <c r="AT464" i="2"/>
  <c r="AU472" i="2"/>
  <c r="T472" i="2"/>
  <c r="AS472" i="2"/>
  <c r="V472" i="2"/>
  <c r="AR472" i="2"/>
  <c r="U472" i="2"/>
  <c r="Q472" i="2"/>
  <c r="AT480" i="2"/>
  <c r="AU488" i="2"/>
  <c r="T488" i="2"/>
  <c r="AS488" i="2"/>
  <c r="V488" i="2"/>
  <c r="AR488" i="2"/>
  <c r="U488" i="2"/>
  <c r="Q488" i="2"/>
  <c r="AT496" i="2"/>
  <c r="AU504" i="2"/>
  <c r="T504" i="2"/>
  <c r="AS504" i="2"/>
  <c r="V504" i="2"/>
  <c r="AR504" i="2"/>
  <c r="U504" i="2"/>
  <c r="Q504" i="2"/>
  <c r="AT512" i="2"/>
  <c r="AU520" i="2"/>
  <c r="T520" i="2"/>
  <c r="AS520" i="2"/>
  <c r="V520" i="2"/>
  <c r="AR520" i="2"/>
  <c r="U520" i="2"/>
  <c r="Q520" i="2"/>
  <c r="AT528" i="2"/>
  <c r="AU536" i="2"/>
  <c r="T536" i="2"/>
  <c r="AS536" i="2"/>
  <c r="V536" i="2"/>
  <c r="AR536" i="2"/>
  <c r="U536" i="2"/>
  <c r="Q536" i="2"/>
  <c r="T46" i="2"/>
  <c r="U46" i="2"/>
  <c r="U225" i="2"/>
  <c r="Q225" i="2"/>
  <c r="T225" i="2"/>
  <c r="AS233" i="2"/>
  <c r="AS241" i="2"/>
  <c r="AR249" i="2"/>
  <c r="U249" i="2"/>
  <c r="Q249" i="2"/>
  <c r="T249" i="2"/>
  <c r="AS257" i="2"/>
  <c r="AS265" i="2"/>
  <c r="AS273" i="2"/>
  <c r="AS281" i="2"/>
  <c r="AS289" i="2"/>
  <c r="AR297" i="2"/>
  <c r="U297" i="2"/>
  <c r="Q297" i="2"/>
  <c r="T297" i="2"/>
  <c r="AS305" i="2"/>
  <c r="AR313" i="2"/>
  <c r="U313" i="2"/>
  <c r="Q313" i="2"/>
  <c r="T313" i="2"/>
  <c r="AR321" i="2"/>
  <c r="U321" i="2"/>
  <c r="Q321" i="2"/>
  <c r="T321" i="2"/>
  <c r="AR329" i="2"/>
  <c r="U329" i="2"/>
  <c r="Q329" i="2"/>
  <c r="T329" i="2"/>
  <c r="AS329" i="2"/>
  <c r="T11" i="2"/>
  <c r="V217" i="2"/>
  <c r="T220" i="2"/>
  <c r="U220" i="2"/>
  <c r="V222" i="2"/>
  <c r="T222" i="2"/>
  <c r="V225" i="2"/>
  <c r="T228" i="2"/>
  <c r="U228" i="2"/>
  <c r="U52" i="2"/>
  <c r="T13" i="2"/>
  <c r="T216" i="2"/>
  <c r="U216" i="2"/>
  <c r="V218" i="2"/>
  <c r="T218" i="2"/>
  <c r="V221" i="2"/>
  <c r="Q222" i="2"/>
  <c r="T224" i="2"/>
  <c r="U224" i="2"/>
  <c r="V226" i="2"/>
  <c r="T226" i="2"/>
  <c r="V229" i="2"/>
  <c r="Q230" i="2"/>
  <c r="AU230" i="2"/>
  <c r="T232" i="2"/>
  <c r="U232" i="2"/>
  <c r="V234" i="2"/>
  <c r="T234" i="2"/>
  <c r="V237" i="2"/>
  <c r="Q238" i="2"/>
  <c r="AU240" i="2"/>
  <c r="T240" i="2"/>
  <c r="U240" i="2"/>
  <c r="AT240" i="2"/>
  <c r="AS242" i="2"/>
  <c r="V242" i="2"/>
  <c r="T242" i="2"/>
  <c r="AR242" i="2"/>
  <c r="AI243" i="2"/>
  <c r="AR244" i="2"/>
  <c r="V245" i="2"/>
  <c r="AT245" i="2"/>
  <c r="Q246" i="2"/>
  <c r="AU246" i="2"/>
  <c r="AU248" i="2"/>
  <c r="T248" i="2"/>
  <c r="U248" i="2"/>
  <c r="AT248" i="2"/>
  <c r="AS250" i="2"/>
  <c r="V250" i="2"/>
  <c r="T250" i="2"/>
  <c r="AR250" i="2"/>
  <c r="AI251" i="2"/>
  <c r="AR252" i="2"/>
  <c r="V253" i="2"/>
  <c r="AT253" i="2"/>
  <c r="Q254" i="2"/>
  <c r="AU254" i="2"/>
  <c r="AU256" i="2"/>
  <c r="T256" i="2"/>
  <c r="U256" i="2"/>
  <c r="AT256" i="2"/>
  <c r="AS258" i="2"/>
  <c r="V258" i="2"/>
  <c r="T258" i="2"/>
  <c r="AR258" i="2"/>
  <c r="AI259" i="2"/>
  <c r="AR260" i="2"/>
  <c r="V261" i="2"/>
  <c r="AT261" i="2"/>
  <c r="Q262" i="2"/>
  <c r="AU262" i="2"/>
  <c r="AU264" i="2"/>
  <c r="T264" i="2"/>
  <c r="U264" i="2"/>
  <c r="AT264" i="2"/>
  <c r="AS266" i="2"/>
  <c r="V266" i="2"/>
  <c r="T266" i="2"/>
  <c r="AR266" i="2"/>
  <c r="AI267" i="2"/>
  <c r="AR268" i="2"/>
  <c r="V269" i="2"/>
  <c r="AT269" i="2"/>
  <c r="Q270" i="2"/>
  <c r="AU270" i="2"/>
  <c r="AU272" i="2"/>
  <c r="T272" i="2"/>
  <c r="U272" i="2"/>
  <c r="AT272" i="2"/>
  <c r="AS274" i="2"/>
  <c r="V274" i="2"/>
  <c r="T274" i="2"/>
  <c r="AR274" i="2"/>
  <c r="AI275" i="2"/>
  <c r="AR276" i="2"/>
  <c r="V277" i="2"/>
  <c r="AT277" i="2"/>
  <c r="Q278" i="2"/>
  <c r="AU278" i="2"/>
  <c r="AU280" i="2"/>
  <c r="T280" i="2"/>
  <c r="U280" i="2"/>
  <c r="AT280" i="2"/>
  <c r="AS282" i="2"/>
  <c r="V282" i="2"/>
  <c r="T282" i="2"/>
  <c r="AR282" i="2"/>
  <c r="AI283" i="2"/>
  <c r="AR284" i="2"/>
  <c r="V285" i="2"/>
  <c r="AT285" i="2"/>
  <c r="Q286" i="2"/>
  <c r="AU286" i="2"/>
  <c r="AU288" i="2"/>
  <c r="T288" i="2"/>
  <c r="U288" i="2"/>
  <c r="AT288" i="2"/>
  <c r="AS290" i="2"/>
  <c r="V290" i="2"/>
  <c r="T290" i="2"/>
  <c r="AR290" i="2"/>
  <c r="AI291" i="2"/>
  <c r="AR292" i="2"/>
  <c r="V293" i="2"/>
  <c r="AT293" i="2"/>
  <c r="Q294" i="2"/>
  <c r="AU294" i="2"/>
  <c r="AU296" i="2"/>
  <c r="T296" i="2"/>
  <c r="U296" i="2"/>
  <c r="AT296" i="2"/>
  <c r="AS298" i="2"/>
  <c r="V298" i="2"/>
  <c r="T298" i="2"/>
  <c r="AR298" i="2"/>
  <c r="AI299" i="2"/>
  <c r="AR300" i="2"/>
  <c r="V301" i="2"/>
  <c r="AT301" i="2"/>
  <c r="Q302" i="2"/>
  <c r="AU302" i="2"/>
  <c r="AU304" i="2"/>
  <c r="T304" i="2"/>
  <c r="U304" i="2"/>
  <c r="AT304" i="2"/>
  <c r="AS306" i="2"/>
  <c r="V306" i="2"/>
  <c r="T306" i="2"/>
  <c r="AR306" i="2"/>
  <c r="AI307" i="2"/>
  <c r="AR308" i="2"/>
  <c r="V309" i="2"/>
  <c r="AT309" i="2"/>
  <c r="Q310" i="2"/>
  <c r="AU310" i="2"/>
  <c r="AU312" i="2"/>
  <c r="T312" i="2"/>
  <c r="U312" i="2"/>
  <c r="AT312" i="2"/>
  <c r="AS314" i="2"/>
  <c r="V314" i="2"/>
  <c r="T314" i="2"/>
  <c r="AR314" i="2"/>
  <c r="AI315" i="2"/>
  <c r="AR316" i="2"/>
  <c r="V317" i="2"/>
  <c r="AT317" i="2"/>
  <c r="Q318" i="2"/>
  <c r="AU318" i="2"/>
  <c r="AU320" i="2"/>
  <c r="T320" i="2"/>
  <c r="U320" i="2"/>
  <c r="AT320" i="2"/>
  <c r="AS322" i="2"/>
  <c r="V322" i="2"/>
  <c r="T322" i="2"/>
  <c r="AR322" i="2"/>
  <c r="AI323" i="2"/>
  <c r="AR324" i="2"/>
  <c r="V325" i="2"/>
  <c r="AT325" i="2"/>
  <c r="Q326" i="2"/>
  <c r="AU326" i="2"/>
  <c r="AU328" i="2"/>
  <c r="T328" i="2"/>
  <c r="U328" i="2"/>
  <c r="AT328" i="2"/>
  <c r="AS330" i="2"/>
  <c r="V330" i="2"/>
  <c r="T330" i="2"/>
  <c r="AR330" i="2"/>
  <c r="AI331" i="2"/>
  <c r="AR332" i="2"/>
  <c r="V333" i="2"/>
  <c r="AT333" i="2"/>
  <c r="Q334" i="2"/>
  <c r="AU334" i="2"/>
  <c r="AU336" i="2"/>
  <c r="T336" i="2"/>
  <c r="U336" i="2"/>
  <c r="AT336" i="2"/>
  <c r="AS338" i="2"/>
  <c r="V338" i="2"/>
  <c r="T338" i="2"/>
  <c r="AR338" i="2"/>
  <c r="AI339" i="2"/>
  <c r="AR340" i="2"/>
  <c r="V341" i="2"/>
  <c r="AT341" i="2"/>
  <c r="Q342" i="2"/>
  <c r="AU342" i="2"/>
  <c r="AU344" i="2"/>
  <c r="T344" i="2"/>
  <c r="U344" i="2"/>
  <c r="AT344" i="2"/>
  <c r="AS346" i="2"/>
  <c r="V346" i="2"/>
  <c r="T346" i="2"/>
  <c r="AR346" i="2"/>
  <c r="AI347" i="2"/>
  <c r="AR348" i="2"/>
  <c r="V349" i="2"/>
  <c r="AT349" i="2"/>
  <c r="Q350" i="2"/>
  <c r="AU350" i="2"/>
  <c r="AU352" i="2"/>
  <c r="T352" i="2"/>
  <c r="U352" i="2"/>
  <c r="AT352" i="2"/>
  <c r="AS354" i="2"/>
  <c r="V354" i="2"/>
  <c r="T354" i="2"/>
  <c r="AR354" i="2"/>
  <c r="AI355" i="2"/>
  <c r="AR356" i="2"/>
  <c r="V357" i="2"/>
  <c r="AT357" i="2"/>
  <c r="Q358" i="2"/>
  <c r="AU358" i="2"/>
  <c r="AU360" i="2"/>
  <c r="T360" i="2"/>
  <c r="U360" i="2"/>
  <c r="AT360" i="2"/>
  <c r="AS362" i="2"/>
  <c r="V362" i="2"/>
  <c r="T362" i="2"/>
  <c r="AR362" i="2"/>
  <c r="AI363" i="2"/>
  <c r="AR364" i="2"/>
  <c r="V365" i="2"/>
  <c r="AT365" i="2"/>
  <c r="Q366" i="2"/>
  <c r="AU366" i="2"/>
  <c r="AU368" i="2"/>
  <c r="T368" i="2"/>
  <c r="U368" i="2"/>
  <c r="AT368" i="2"/>
  <c r="AS370" i="2"/>
  <c r="V370" i="2"/>
  <c r="T370" i="2"/>
  <c r="AR370" i="2"/>
  <c r="AI371" i="2"/>
  <c r="AR372" i="2"/>
  <c r="V373" i="2"/>
  <c r="AT373" i="2"/>
  <c r="Q374" i="2"/>
  <c r="AU374" i="2"/>
  <c r="AU376" i="2"/>
  <c r="T376" i="2"/>
  <c r="U376" i="2"/>
  <c r="AT376" i="2"/>
  <c r="AS378" i="2"/>
  <c r="V378" i="2"/>
  <c r="T378" i="2"/>
  <c r="AR378" i="2"/>
  <c r="AI379" i="2"/>
  <c r="AR380" i="2"/>
  <c r="V381" i="2"/>
  <c r="AT381" i="2"/>
  <c r="Q382" i="2"/>
  <c r="AU382" i="2"/>
  <c r="AU384" i="2"/>
  <c r="T384" i="2"/>
  <c r="U384" i="2"/>
  <c r="AT384" i="2"/>
  <c r="AS386" i="2"/>
  <c r="V386" i="2"/>
  <c r="T386" i="2"/>
  <c r="AR386" i="2"/>
  <c r="AI387" i="2"/>
  <c r="AR388" i="2"/>
  <c r="V389" i="2"/>
  <c r="AT389" i="2"/>
  <c r="Q390" i="2"/>
  <c r="AU390" i="2"/>
  <c r="AU392" i="2"/>
  <c r="T392" i="2"/>
  <c r="U392" i="2"/>
  <c r="AT392" i="2"/>
  <c r="AS394" i="2"/>
  <c r="V394" i="2"/>
  <c r="T394" i="2"/>
  <c r="AR394" i="2"/>
  <c r="AI395" i="2"/>
  <c r="AR396" i="2"/>
  <c r="V397" i="2"/>
  <c r="AT397" i="2"/>
  <c r="Q398" i="2"/>
  <c r="AU398" i="2"/>
  <c r="AU400" i="2"/>
  <c r="T400" i="2"/>
  <c r="U400" i="2"/>
  <c r="AT400" i="2"/>
  <c r="AS402" i="2"/>
  <c r="V402" i="2"/>
  <c r="T402" i="2"/>
  <c r="AR402" i="2"/>
  <c r="AI403" i="2"/>
  <c r="AR404" i="2"/>
  <c r="V405" i="2"/>
  <c r="AT405" i="2"/>
  <c r="Q406" i="2"/>
  <c r="AU406" i="2"/>
  <c r="AU408" i="2"/>
  <c r="T408" i="2"/>
  <c r="U408" i="2"/>
  <c r="AT408" i="2"/>
  <c r="AS410" i="2"/>
  <c r="V410" i="2"/>
  <c r="T410" i="2"/>
  <c r="AR410" i="2"/>
  <c r="AI411" i="2"/>
  <c r="AR412" i="2"/>
  <c r="V413" i="2"/>
  <c r="AT413" i="2"/>
  <c r="Q414" i="2"/>
  <c r="AU414" i="2"/>
  <c r="AU416" i="2"/>
  <c r="T416" i="2"/>
  <c r="U416" i="2"/>
  <c r="AT416" i="2"/>
  <c r="AS418" i="2"/>
  <c r="V418" i="2"/>
  <c r="T418" i="2"/>
  <c r="AR418" i="2"/>
  <c r="AI419" i="2"/>
  <c r="AR420" i="2"/>
  <c r="V421" i="2"/>
  <c r="AT421" i="2"/>
  <c r="Q422" i="2"/>
  <c r="AU422" i="2"/>
  <c r="AU424" i="2"/>
  <c r="T424" i="2"/>
  <c r="U424" i="2"/>
  <c r="AT424" i="2"/>
  <c r="AS426" i="2"/>
  <c r="V426" i="2"/>
  <c r="T426" i="2"/>
  <c r="AR426" i="2"/>
  <c r="AI427" i="2"/>
  <c r="AR428" i="2"/>
  <c r="V429" i="2"/>
  <c r="AT429" i="2"/>
  <c r="Q430" i="2"/>
  <c r="AU430" i="2"/>
  <c r="AU432" i="2"/>
  <c r="T432" i="2"/>
  <c r="U432" i="2"/>
  <c r="AT432" i="2"/>
  <c r="AS434" i="2"/>
  <c r="V434" i="2"/>
  <c r="T434" i="2"/>
  <c r="AR434" i="2"/>
  <c r="AI435" i="2"/>
  <c r="AR436" i="2"/>
  <c r="V437" i="2"/>
  <c r="AT437" i="2"/>
  <c r="Q438" i="2"/>
  <c r="AU438" i="2"/>
  <c r="AU440" i="2"/>
  <c r="T440" i="2"/>
  <c r="U440" i="2"/>
  <c r="AT440" i="2"/>
  <c r="AS442" i="2"/>
  <c r="V442" i="2"/>
  <c r="T442" i="2"/>
  <c r="AR442" i="2"/>
  <c r="AI443" i="2"/>
  <c r="AR444" i="2"/>
  <c r="V445" i="2"/>
  <c r="AT445" i="2"/>
  <c r="Q446" i="2"/>
  <c r="AU446" i="2"/>
  <c r="U448" i="2"/>
  <c r="U450" i="2"/>
  <c r="AU460" i="2"/>
  <c r="T460" i="2"/>
  <c r="AS460" i="2"/>
  <c r="V460" i="2"/>
  <c r="AR460" i="2"/>
  <c r="U460" i="2"/>
  <c r="Q460" i="2"/>
  <c r="AT468" i="2"/>
  <c r="AU476" i="2"/>
  <c r="T476" i="2"/>
  <c r="AS476" i="2"/>
  <c r="V476" i="2"/>
  <c r="AR476" i="2"/>
  <c r="U476" i="2"/>
  <c r="Q476" i="2"/>
  <c r="AT484" i="2"/>
  <c r="AU492" i="2"/>
  <c r="T492" i="2"/>
  <c r="AS492" i="2"/>
  <c r="V492" i="2"/>
  <c r="AR492" i="2"/>
  <c r="U492" i="2"/>
  <c r="Q492" i="2"/>
  <c r="AT500" i="2"/>
  <c r="AU508" i="2"/>
  <c r="T508" i="2"/>
  <c r="AS508" i="2"/>
  <c r="V508" i="2"/>
  <c r="AR508" i="2"/>
  <c r="U508" i="2"/>
  <c r="Q508" i="2"/>
  <c r="AT516" i="2"/>
  <c r="AU524" i="2"/>
  <c r="T524" i="2"/>
  <c r="AS524" i="2"/>
  <c r="V524" i="2"/>
  <c r="AR524" i="2"/>
  <c r="U524" i="2"/>
  <c r="Q524" i="2"/>
  <c r="AT532" i="2"/>
  <c r="AT454" i="2"/>
  <c r="AT458" i="2"/>
  <c r="AT462" i="2"/>
  <c r="AT466" i="2"/>
  <c r="AT470" i="2"/>
  <c r="AT474" i="2"/>
  <c r="AT478" i="2"/>
  <c r="AT482" i="2"/>
  <c r="AT486" i="2"/>
  <c r="AT490" i="2"/>
  <c r="AT494" i="2"/>
  <c r="AT498" i="2"/>
  <c r="AT502" i="2"/>
  <c r="AT506" i="2"/>
  <c r="AT510" i="2"/>
  <c r="AT514" i="2"/>
  <c r="AT518" i="2"/>
  <c r="AT522" i="2"/>
  <c r="AT526" i="2"/>
  <c r="AT530" i="2"/>
  <c r="AT534" i="2"/>
  <c r="AT538" i="2"/>
  <c r="Q540" i="2"/>
  <c r="U540" i="2"/>
  <c r="AR540" i="2"/>
  <c r="AT542" i="2"/>
  <c r="Q544" i="2"/>
  <c r="U544" i="2"/>
  <c r="AR544" i="2"/>
  <c r="AT546" i="2"/>
  <c r="Q548" i="2"/>
  <c r="U548" i="2"/>
  <c r="AR548" i="2"/>
  <c r="AT550" i="2"/>
  <c r="Q552" i="2"/>
  <c r="U552" i="2"/>
  <c r="AR552" i="2"/>
  <c r="AT554" i="2"/>
  <c r="Q556" i="2"/>
  <c r="U556" i="2"/>
  <c r="AR556" i="2"/>
  <c r="AT558" i="2"/>
  <c r="Q560" i="2"/>
  <c r="U560" i="2"/>
  <c r="AR560" i="2"/>
  <c r="AT562" i="2"/>
  <c r="Q564" i="2"/>
  <c r="U564" i="2"/>
  <c r="AR564" i="2"/>
  <c r="AT566" i="2"/>
  <c r="Q568" i="2"/>
  <c r="U568" i="2"/>
  <c r="AR568" i="2"/>
  <c r="AT570" i="2"/>
  <c r="Q572" i="2"/>
  <c r="U572" i="2"/>
  <c r="AR572" i="2"/>
  <c r="AT574" i="2"/>
  <c r="Q576" i="2"/>
  <c r="U576" i="2"/>
  <c r="AR576" i="2"/>
  <c r="AT578" i="2"/>
  <c r="Q580" i="2"/>
  <c r="U580" i="2"/>
  <c r="AR580" i="2"/>
  <c r="AT582" i="2"/>
  <c r="Q584" i="2"/>
  <c r="U584" i="2"/>
  <c r="AR584" i="2"/>
  <c r="AT586" i="2"/>
  <c r="Q588" i="2"/>
  <c r="U588" i="2"/>
  <c r="AR588" i="2"/>
  <c r="AT590" i="2"/>
  <c r="Q592" i="2"/>
  <c r="U592" i="2"/>
  <c r="AR592" i="2"/>
  <c r="AT594" i="2"/>
  <c r="Q596" i="2"/>
  <c r="U596" i="2"/>
  <c r="AR596" i="2"/>
  <c r="AT598" i="2"/>
  <c r="Q600" i="2"/>
  <c r="U600" i="2"/>
  <c r="AR600" i="2"/>
  <c r="AT602" i="2"/>
  <c r="Q604" i="2"/>
  <c r="U604" i="2"/>
  <c r="AR604" i="2"/>
  <c r="AT606" i="2"/>
  <c r="Q608" i="2"/>
  <c r="U608" i="2"/>
  <c r="AR608" i="2"/>
  <c r="AT610" i="2"/>
  <c r="Q612" i="2"/>
  <c r="U612" i="2"/>
  <c r="AR612" i="2"/>
  <c r="AT614" i="2"/>
  <c r="Q616" i="2"/>
  <c r="U616" i="2"/>
  <c r="AR616" i="2"/>
  <c r="AT618" i="2"/>
  <c r="Q620" i="2"/>
  <c r="U620" i="2"/>
  <c r="AR620" i="2"/>
  <c r="AT622" i="2"/>
  <c r="Q624" i="2"/>
  <c r="U624" i="2"/>
  <c r="AR624" i="2"/>
  <c r="AT626" i="2"/>
  <c r="Q628" i="2"/>
  <c r="U628" i="2"/>
  <c r="AR628" i="2"/>
  <c r="AT630" i="2"/>
  <c r="Q632" i="2"/>
  <c r="U632" i="2"/>
  <c r="AR632" i="2"/>
  <c r="AT634" i="2"/>
  <c r="Q636" i="2"/>
  <c r="U636" i="2"/>
  <c r="AR636" i="2"/>
  <c r="AT638" i="2"/>
  <c r="Q640" i="2"/>
  <c r="U640" i="2"/>
  <c r="AR640" i="2"/>
  <c r="AT642" i="2"/>
  <c r="Q644" i="2"/>
  <c r="U644" i="2"/>
  <c r="AR644" i="2"/>
  <c r="AT646" i="2"/>
  <c r="Q648" i="2"/>
  <c r="U648" i="2"/>
  <c r="AR648" i="2"/>
  <c r="AT650" i="2"/>
  <c r="Q652" i="2"/>
  <c r="U652" i="2"/>
  <c r="AR652" i="2"/>
  <c r="AT654" i="2"/>
  <c r="Q656" i="2"/>
  <c r="U656" i="2"/>
  <c r="AR656" i="2"/>
  <c r="AT658" i="2"/>
  <c r="Q660" i="2"/>
  <c r="U660" i="2"/>
  <c r="AR660" i="2"/>
  <c r="AT662" i="2"/>
  <c r="Q664" i="2"/>
  <c r="U664" i="2"/>
  <c r="AR664" i="2"/>
  <c r="AT666" i="2"/>
  <c r="Q668" i="2"/>
  <c r="U668" i="2"/>
  <c r="AR668" i="2"/>
  <c r="AT670" i="2"/>
  <c r="Q672" i="2"/>
  <c r="U672" i="2"/>
  <c r="AR672" i="2"/>
  <c r="AT674" i="2"/>
  <c r="Q676" i="2"/>
  <c r="U676" i="2"/>
  <c r="AR676" i="2"/>
  <c r="AT678" i="2"/>
  <c r="Q680" i="2"/>
  <c r="U680" i="2"/>
  <c r="AR680" i="2"/>
  <c r="AT682" i="2"/>
  <c r="Q684" i="2"/>
  <c r="U684" i="2"/>
  <c r="AR684" i="2"/>
  <c r="AT686" i="2"/>
  <c r="Q688" i="2"/>
  <c r="U688" i="2"/>
  <c r="AR688" i="2"/>
  <c r="AT690" i="2"/>
  <c r="Q692" i="2"/>
  <c r="U692" i="2"/>
  <c r="AR692" i="2"/>
  <c r="AT694" i="2"/>
  <c r="Q696" i="2"/>
  <c r="U696" i="2"/>
  <c r="AR696" i="2"/>
  <c r="AT698" i="2"/>
  <c r="Q700" i="2"/>
  <c r="U700" i="2"/>
  <c r="AR700" i="2"/>
  <c r="AT702" i="2"/>
  <c r="Q704" i="2"/>
  <c r="U704" i="2"/>
  <c r="AR704" i="2"/>
  <c r="AR709" i="2"/>
  <c r="U709" i="2"/>
  <c r="Q709" i="2"/>
  <c r="T709" i="2"/>
  <c r="AS709" i="2"/>
  <c r="AU713" i="2"/>
  <c r="AR717" i="2"/>
  <c r="U717" i="2"/>
  <c r="Q717" i="2"/>
  <c r="T717" i="2"/>
  <c r="AS717" i="2"/>
  <c r="AU721" i="2"/>
  <c r="AR725" i="2"/>
  <c r="U725" i="2"/>
  <c r="Q725" i="2"/>
  <c r="T725" i="2"/>
  <c r="AS725" i="2"/>
  <c r="AU729" i="2"/>
  <c r="AR733" i="2"/>
  <c r="U733" i="2"/>
  <c r="Q733" i="2"/>
  <c r="T733" i="2"/>
  <c r="AS733" i="2"/>
  <c r="AU737" i="2"/>
  <c r="AS748" i="2"/>
  <c r="V748" i="2"/>
  <c r="AU748" i="2"/>
  <c r="T748" i="2"/>
  <c r="AR748" i="2"/>
  <c r="AU750" i="2"/>
  <c r="T750" i="2"/>
  <c r="AS750" i="2"/>
  <c r="V750" i="2"/>
  <c r="AR750" i="2"/>
  <c r="AT449" i="2"/>
  <c r="AT453" i="2"/>
  <c r="T454" i="2"/>
  <c r="AU454" i="2"/>
  <c r="AT457" i="2"/>
  <c r="T458" i="2"/>
  <c r="AU458" i="2"/>
  <c r="AT461" i="2"/>
  <c r="T462" i="2"/>
  <c r="AU462" i="2"/>
  <c r="AT465" i="2"/>
  <c r="T466" i="2"/>
  <c r="AU466" i="2"/>
  <c r="AT469" i="2"/>
  <c r="T470" i="2"/>
  <c r="AU470" i="2"/>
  <c r="AT473" i="2"/>
  <c r="T474" i="2"/>
  <c r="AU474" i="2"/>
  <c r="AT477" i="2"/>
  <c r="T478" i="2"/>
  <c r="AU478" i="2"/>
  <c r="AT481" i="2"/>
  <c r="T482" i="2"/>
  <c r="AU482" i="2"/>
  <c r="AT485" i="2"/>
  <c r="T486" i="2"/>
  <c r="AU486" i="2"/>
  <c r="AT489" i="2"/>
  <c r="T490" i="2"/>
  <c r="AU490" i="2"/>
  <c r="AT493" i="2"/>
  <c r="T494" i="2"/>
  <c r="AU494" i="2"/>
  <c r="AT497" i="2"/>
  <c r="T498" i="2"/>
  <c r="AU498" i="2"/>
  <c r="AT501" i="2"/>
  <c r="T502" i="2"/>
  <c r="AU502" i="2"/>
  <c r="AT505" i="2"/>
  <c r="T506" i="2"/>
  <c r="AU506" i="2"/>
  <c r="AT509" i="2"/>
  <c r="T510" i="2"/>
  <c r="AU510" i="2"/>
  <c r="AT513" i="2"/>
  <c r="T514" i="2"/>
  <c r="AU514" i="2"/>
  <c r="AT517" i="2"/>
  <c r="T518" i="2"/>
  <c r="AU518" i="2"/>
  <c r="AT521" i="2"/>
  <c r="T522" i="2"/>
  <c r="AU522" i="2"/>
  <c r="AT525" i="2"/>
  <c r="T526" i="2"/>
  <c r="AU526" i="2"/>
  <c r="AT529" i="2"/>
  <c r="T530" i="2"/>
  <c r="AU530" i="2"/>
  <c r="AT533" i="2"/>
  <c r="T534" i="2"/>
  <c r="AU534" i="2"/>
  <c r="AT537" i="2"/>
  <c r="T538" i="2"/>
  <c r="AU538" i="2"/>
  <c r="V540" i="2"/>
  <c r="AS540" i="2"/>
  <c r="AT541" i="2"/>
  <c r="T542" i="2"/>
  <c r="AI542" i="2"/>
  <c r="AU542" i="2"/>
  <c r="V544" i="2"/>
  <c r="AS544" i="2"/>
  <c r="AT545" i="2"/>
  <c r="T546" i="2"/>
  <c r="AI546" i="2"/>
  <c r="AU546" i="2"/>
  <c r="V548" i="2"/>
  <c r="AS548" i="2"/>
  <c r="AT549" i="2"/>
  <c r="T550" i="2"/>
  <c r="AI550" i="2"/>
  <c r="AU550" i="2"/>
  <c r="V552" i="2"/>
  <c r="AS552" i="2"/>
  <c r="AT553" i="2"/>
  <c r="T554" i="2"/>
  <c r="AI554" i="2"/>
  <c r="AU554" i="2"/>
  <c r="V556" i="2"/>
  <c r="AS556" i="2"/>
  <c r="AT557" i="2"/>
  <c r="T558" i="2"/>
  <c r="AI558" i="2"/>
  <c r="AU558" i="2"/>
  <c r="V560" i="2"/>
  <c r="AS560" i="2"/>
  <c r="AT561" i="2"/>
  <c r="T562" i="2"/>
  <c r="AI562" i="2"/>
  <c r="AU562" i="2"/>
  <c r="V564" i="2"/>
  <c r="AS564" i="2"/>
  <c r="AT565" i="2"/>
  <c r="T566" i="2"/>
  <c r="AI566" i="2"/>
  <c r="AU566" i="2"/>
  <c r="V568" i="2"/>
  <c r="AS568" i="2"/>
  <c r="AT569" i="2"/>
  <c r="T570" i="2"/>
  <c r="AI570" i="2"/>
  <c r="AU570" i="2"/>
  <c r="V572" i="2"/>
  <c r="AS572" i="2"/>
  <c r="AT573" i="2"/>
  <c r="T574" i="2"/>
  <c r="AI574" i="2"/>
  <c r="AU574" i="2"/>
  <c r="V576" i="2"/>
  <c r="AS576" i="2"/>
  <c r="AT577" i="2"/>
  <c r="T578" i="2"/>
  <c r="AI578" i="2"/>
  <c r="AU578" i="2"/>
  <c r="V580" i="2"/>
  <c r="AS580" i="2"/>
  <c r="AT581" i="2"/>
  <c r="T582" i="2"/>
  <c r="AI582" i="2"/>
  <c r="AU582" i="2"/>
  <c r="V584" i="2"/>
  <c r="AS584" i="2"/>
  <c r="AT585" i="2"/>
  <c r="T586" i="2"/>
  <c r="AI586" i="2"/>
  <c r="AU586" i="2"/>
  <c r="V588" i="2"/>
  <c r="AS588" i="2"/>
  <c r="AT589" i="2"/>
  <c r="T590" i="2"/>
  <c r="AI590" i="2"/>
  <c r="AU590" i="2"/>
  <c r="V592" i="2"/>
  <c r="AS592" i="2"/>
  <c r="AT593" i="2"/>
  <c r="T594" i="2"/>
  <c r="AI594" i="2"/>
  <c r="AU594" i="2"/>
  <c r="V596" i="2"/>
  <c r="AS596" i="2"/>
  <c r="AT597" i="2"/>
  <c r="T598" i="2"/>
  <c r="AI598" i="2"/>
  <c r="AU598" i="2"/>
  <c r="V600" i="2"/>
  <c r="AS600" i="2"/>
  <c r="AT601" i="2"/>
  <c r="T602" i="2"/>
  <c r="AI602" i="2"/>
  <c r="AU602" i="2"/>
  <c r="V604" i="2"/>
  <c r="AS604" i="2"/>
  <c r="AT605" i="2"/>
  <c r="T606" i="2"/>
  <c r="AI606" i="2"/>
  <c r="AU606" i="2"/>
  <c r="V608" i="2"/>
  <c r="AS608" i="2"/>
  <c r="AT609" i="2"/>
  <c r="T610" i="2"/>
  <c r="AI610" i="2"/>
  <c r="AU610" i="2"/>
  <c r="V612" i="2"/>
  <c r="AS612" i="2"/>
  <c r="AT613" i="2"/>
  <c r="T614" i="2"/>
  <c r="AI614" i="2"/>
  <c r="AU614" i="2"/>
  <c r="V616" i="2"/>
  <c r="AS616" i="2"/>
  <c r="AT617" i="2"/>
  <c r="T618" i="2"/>
  <c r="AI618" i="2"/>
  <c r="AU618" i="2"/>
  <c r="V620" i="2"/>
  <c r="AS620" i="2"/>
  <c r="AT621" i="2"/>
  <c r="T622" i="2"/>
  <c r="AI622" i="2"/>
  <c r="AU622" i="2"/>
  <c r="V624" i="2"/>
  <c r="AS624" i="2"/>
  <c r="AT625" i="2"/>
  <c r="T626" i="2"/>
  <c r="AI626" i="2"/>
  <c r="AU626" i="2"/>
  <c r="V628" i="2"/>
  <c r="AS628" i="2"/>
  <c r="AT629" i="2"/>
  <c r="T630" i="2"/>
  <c r="AI630" i="2"/>
  <c r="AU630" i="2"/>
  <c r="V632" i="2"/>
  <c r="AS632" i="2"/>
  <c r="AT633" i="2"/>
  <c r="T634" i="2"/>
  <c r="AI634" i="2"/>
  <c r="AU634" i="2"/>
  <c r="V636" i="2"/>
  <c r="AS636" i="2"/>
  <c r="AT637" i="2"/>
  <c r="T638" i="2"/>
  <c r="AI638" i="2"/>
  <c r="AU638" i="2"/>
  <c r="V640" i="2"/>
  <c r="AS640" i="2"/>
  <c r="AT641" i="2"/>
  <c r="T642" i="2"/>
  <c r="AI642" i="2"/>
  <c r="AU642" i="2"/>
  <c r="V644" i="2"/>
  <c r="AS644" i="2"/>
  <c r="AT645" i="2"/>
  <c r="T646" i="2"/>
  <c r="AI646" i="2"/>
  <c r="AU646" i="2"/>
  <c r="V648" i="2"/>
  <c r="AS648" i="2"/>
  <c r="AT649" i="2"/>
  <c r="T650" i="2"/>
  <c r="AI650" i="2"/>
  <c r="AU650" i="2"/>
  <c r="V652" i="2"/>
  <c r="AS652" i="2"/>
  <c r="AT653" i="2"/>
  <c r="T654" i="2"/>
  <c r="AI654" i="2"/>
  <c r="AU654" i="2"/>
  <c r="V656" i="2"/>
  <c r="AS656" i="2"/>
  <c r="AT657" i="2"/>
  <c r="T658" i="2"/>
  <c r="AI658" i="2"/>
  <c r="AU658" i="2"/>
  <c r="V660" i="2"/>
  <c r="AS660" i="2"/>
  <c r="AT661" i="2"/>
  <c r="T662" i="2"/>
  <c r="AI662" i="2"/>
  <c r="AU662" i="2"/>
  <c r="V664" i="2"/>
  <c r="AS664" i="2"/>
  <c r="AT665" i="2"/>
  <c r="T666" i="2"/>
  <c r="AI666" i="2"/>
  <c r="AU666" i="2"/>
  <c r="V668" i="2"/>
  <c r="AS668" i="2"/>
  <c r="AT669" i="2"/>
  <c r="T670" i="2"/>
  <c r="AI670" i="2"/>
  <c r="AU670" i="2"/>
  <c r="V672" i="2"/>
  <c r="AS672" i="2"/>
  <c r="AT673" i="2"/>
  <c r="T674" i="2"/>
  <c r="AI674" i="2"/>
  <c r="AU674" i="2"/>
  <c r="V676" i="2"/>
  <c r="AS676" i="2"/>
  <c r="AT677" i="2"/>
  <c r="T678" i="2"/>
  <c r="AI678" i="2"/>
  <c r="AU678" i="2"/>
  <c r="V680" i="2"/>
  <c r="AS680" i="2"/>
  <c r="AT681" i="2"/>
  <c r="T682" i="2"/>
  <c r="AI682" i="2"/>
  <c r="AU682" i="2"/>
  <c r="V684" i="2"/>
  <c r="AS684" i="2"/>
  <c r="AT685" i="2"/>
  <c r="T686" i="2"/>
  <c r="AI686" i="2"/>
  <c r="AU686" i="2"/>
  <c r="V688" i="2"/>
  <c r="AS688" i="2"/>
  <c r="AT689" i="2"/>
  <c r="T690" i="2"/>
  <c r="AI690" i="2"/>
  <c r="AU690" i="2"/>
  <c r="V692" i="2"/>
  <c r="AS692" i="2"/>
  <c r="AT693" i="2"/>
  <c r="T694" i="2"/>
  <c r="AI694" i="2"/>
  <c r="AU694" i="2"/>
  <c r="V696" i="2"/>
  <c r="AS696" i="2"/>
  <c r="AT697" i="2"/>
  <c r="T698" i="2"/>
  <c r="AI698" i="2"/>
  <c r="AU698" i="2"/>
  <c r="V700" i="2"/>
  <c r="AS700" i="2"/>
  <c r="AT701" i="2"/>
  <c r="T702" i="2"/>
  <c r="AI702" i="2"/>
  <c r="AU702" i="2"/>
  <c r="V704" i="2"/>
  <c r="AS704" i="2"/>
  <c r="AR705" i="2"/>
  <c r="U705" i="2"/>
  <c r="AS706" i="2"/>
  <c r="V706" i="2"/>
  <c r="T706" i="2"/>
  <c r="AR706" i="2"/>
  <c r="AI707" i="2"/>
  <c r="V709" i="2"/>
  <c r="AT709" i="2"/>
  <c r="AU712" i="2"/>
  <c r="T712" i="2"/>
  <c r="U712" i="2"/>
  <c r="AT712" i="2"/>
  <c r="AS714" i="2"/>
  <c r="V714" i="2"/>
  <c r="T714" i="2"/>
  <c r="AR714" i="2"/>
  <c r="V717" i="2"/>
  <c r="AT717" i="2"/>
  <c r="AU720" i="2"/>
  <c r="T720" i="2"/>
  <c r="U720" i="2"/>
  <c r="AT720" i="2"/>
  <c r="AS722" i="2"/>
  <c r="V722" i="2"/>
  <c r="T722" i="2"/>
  <c r="AR722" i="2"/>
  <c r="AI723" i="2"/>
  <c r="V725" i="2"/>
  <c r="AT725" i="2"/>
  <c r="AU728" i="2"/>
  <c r="T728" i="2"/>
  <c r="U728" i="2"/>
  <c r="AT728" i="2"/>
  <c r="AS730" i="2"/>
  <c r="V730" i="2"/>
  <c r="T730" i="2"/>
  <c r="AR730" i="2"/>
  <c r="AR732" i="2"/>
  <c r="V733" i="2"/>
  <c r="AT733" i="2"/>
  <c r="AU736" i="2"/>
  <c r="T736" i="2"/>
  <c r="U736" i="2"/>
  <c r="AT736" i="2"/>
  <c r="AS738" i="2"/>
  <c r="V738" i="2"/>
  <c r="T738" i="2"/>
  <c r="AR738" i="2"/>
  <c r="AI739" i="2"/>
  <c r="U742" i="2"/>
  <c r="Q748" i="2"/>
  <c r="AT748" i="2"/>
  <c r="Q750" i="2"/>
  <c r="AT750" i="2"/>
  <c r="AS752" i="2"/>
  <c r="V752" i="2"/>
  <c r="AU752" i="2"/>
  <c r="T752" i="2"/>
  <c r="AR752" i="2"/>
  <c r="AU754" i="2"/>
  <c r="T754" i="2"/>
  <c r="AS754" i="2"/>
  <c r="V754" i="2"/>
  <c r="AR754" i="2"/>
  <c r="U756" i="2"/>
  <c r="U758" i="2"/>
  <c r="AR766" i="2"/>
  <c r="U766" i="2"/>
  <c r="Q766" i="2"/>
  <c r="AU766" i="2"/>
  <c r="T766" i="2"/>
  <c r="AS766" i="2"/>
  <c r="V766" i="2"/>
  <c r="AR774" i="2"/>
  <c r="U774" i="2"/>
  <c r="Q774" i="2"/>
  <c r="AU774" i="2"/>
  <c r="T774" i="2"/>
  <c r="AS774" i="2"/>
  <c r="V774" i="2"/>
  <c r="AR782" i="2"/>
  <c r="U782" i="2"/>
  <c r="Q782" i="2"/>
  <c r="AU782" i="2"/>
  <c r="T782" i="2"/>
  <c r="AS782" i="2"/>
  <c r="V782" i="2"/>
  <c r="AR790" i="2"/>
  <c r="U790" i="2"/>
  <c r="Q790" i="2"/>
  <c r="AU790" i="2"/>
  <c r="T790" i="2"/>
  <c r="AS790" i="2"/>
  <c r="V790" i="2"/>
  <c r="AR798" i="2"/>
  <c r="U798" i="2"/>
  <c r="Q798" i="2"/>
  <c r="AU798" i="2"/>
  <c r="T798" i="2"/>
  <c r="AS798" i="2"/>
  <c r="V798" i="2"/>
  <c r="AT540" i="2"/>
  <c r="AT544" i="2"/>
  <c r="AT548" i="2"/>
  <c r="AT552" i="2"/>
  <c r="AT556" i="2"/>
  <c r="AT560" i="2"/>
  <c r="AT564" i="2"/>
  <c r="AT568" i="2"/>
  <c r="AT572" i="2"/>
  <c r="AT576" i="2"/>
  <c r="AT580" i="2"/>
  <c r="AT584" i="2"/>
  <c r="AT588" i="2"/>
  <c r="AT592" i="2"/>
  <c r="AT596" i="2"/>
  <c r="AT600" i="2"/>
  <c r="AT604" i="2"/>
  <c r="AT608" i="2"/>
  <c r="AT612" i="2"/>
  <c r="AT616" i="2"/>
  <c r="AT620" i="2"/>
  <c r="AT624" i="2"/>
  <c r="AT628" i="2"/>
  <c r="AT632" i="2"/>
  <c r="AT636" i="2"/>
  <c r="AT640" i="2"/>
  <c r="AT644" i="2"/>
  <c r="AT648" i="2"/>
  <c r="AT652" i="2"/>
  <c r="AT656" i="2"/>
  <c r="AT660" i="2"/>
  <c r="AT664" i="2"/>
  <c r="AT668" i="2"/>
  <c r="AT672" i="2"/>
  <c r="AT676" i="2"/>
  <c r="AT680" i="2"/>
  <c r="AT684" i="2"/>
  <c r="AT688" i="2"/>
  <c r="AT692" i="2"/>
  <c r="AT696" i="2"/>
  <c r="AT700" i="2"/>
  <c r="AT704" i="2"/>
  <c r="AR713" i="2"/>
  <c r="U713" i="2"/>
  <c r="Q713" i="2"/>
  <c r="T713" i="2"/>
  <c r="AS713" i="2"/>
  <c r="AR721" i="2"/>
  <c r="U721" i="2"/>
  <c r="Q721" i="2"/>
  <c r="T721" i="2"/>
  <c r="AS721" i="2"/>
  <c r="AR729" i="2"/>
  <c r="U729" i="2"/>
  <c r="Q729" i="2"/>
  <c r="T729" i="2"/>
  <c r="AS729" i="2"/>
  <c r="AR737" i="2"/>
  <c r="U737" i="2"/>
  <c r="Q737" i="2"/>
  <c r="T737" i="2"/>
  <c r="AS737" i="2"/>
  <c r="AU742" i="2"/>
  <c r="T742" i="2"/>
  <c r="AS742" i="2"/>
  <c r="V742" i="2"/>
  <c r="AR742" i="2"/>
  <c r="AS756" i="2"/>
  <c r="V756" i="2"/>
  <c r="AU756" i="2"/>
  <c r="T756" i="2"/>
  <c r="AR756" i="2"/>
  <c r="AU758" i="2"/>
  <c r="T758" i="2"/>
  <c r="AS758" i="2"/>
  <c r="V758" i="2"/>
  <c r="AR758" i="2"/>
  <c r="AT243" i="2"/>
  <c r="AT247" i="2"/>
  <c r="AT251" i="2"/>
  <c r="AT255" i="2"/>
  <c r="AT259" i="2"/>
  <c r="AT263" i="2"/>
  <c r="AT267" i="2"/>
  <c r="AT271" i="2"/>
  <c r="AT275" i="2"/>
  <c r="AT279" i="2"/>
  <c r="AT283" i="2"/>
  <c r="AT287" i="2"/>
  <c r="AT291" i="2"/>
  <c r="AT295" i="2"/>
  <c r="AT299" i="2"/>
  <c r="AT303" i="2"/>
  <c r="AT307" i="2"/>
  <c r="AT311" i="2"/>
  <c r="AT315" i="2"/>
  <c r="AT319" i="2"/>
  <c r="AT323" i="2"/>
  <c r="AT327" i="2"/>
  <c r="AT331" i="2"/>
  <c r="AT335" i="2"/>
  <c r="AT339" i="2"/>
  <c r="AT343" i="2"/>
  <c r="AT347" i="2"/>
  <c r="AT351" i="2"/>
  <c r="AT355" i="2"/>
  <c r="AT359" i="2"/>
  <c r="AT363" i="2"/>
  <c r="AT367" i="2"/>
  <c r="AT371" i="2"/>
  <c r="AT375" i="2"/>
  <c r="AT379" i="2"/>
  <c r="AT383" i="2"/>
  <c r="AT387" i="2"/>
  <c r="AT391" i="2"/>
  <c r="AT395" i="2"/>
  <c r="AT399" i="2"/>
  <c r="AT403" i="2"/>
  <c r="AT407" i="2"/>
  <c r="AT411" i="2"/>
  <c r="AT415" i="2"/>
  <c r="AT419" i="2"/>
  <c r="AT423" i="2"/>
  <c r="AT427" i="2"/>
  <c r="AT431" i="2"/>
  <c r="AT435" i="2"/>
  <c r="AT439" i="2"/>
  <c r="AT443" i="2"/>
  <c r="AT447" i="2"/>
  <c r="Q449" i="2"/>
  <c r="U449" i="2"/>
  <c r="AR449" i="2"/>
  <c r="AT451" i="2"/>
  <c r="Q453" i="2"/>
  <c r="U453" i="2"/>
  <c r="AR453" i="2"/>
  <c r="V454" i="2"/>
  <c r="AS454" i="2"/>
  <c r="AT455" i="2"/>
  <c r="Q457" i="2"/>
  <c r="U457" i="2"/>
  <c r="AR457" i="2"/>
  <c r="V458" i="2"/>
  <c r="AS458" i="2"/>
  <c r="AT459" i="2"/>
  <c r="Q461" i="2"/>
  <c r="U461" i="2"/>
  <c r="AR461" i="2"/>
  <c r="V462" i="2"/>
  <c r="AS462" i="2"/>
  <c r="AT463" i="2"/>
  <c r="Q465" i="2"/>
  <c r="U465" i="2"/>
  <c r="AR465" i="2"/>
  <c r="V466" i="2"/>
  <c r="AS466" i="2"/>
  <c r="AT467" i="2"/>
  <c r="Q469" i="2"/>
  <c r="U469" i="2"/>
  <c r="AR469" i="2"/>
  <c r="V470" i="2"/>
  <c r="AS470" i="2"/>
  <c r="AT471" i="2"/>
  <c r="Q473" i="2"/>
  <c r="U473" i="2"/>
  <c r="AR473" i="2"/>
  <c r="V474" i="2"/>
  <c r="AS474" i="2"/>
  <c r="AT475" i="2"/>
  <c r="Q477" i="2"/>
  <c r="U477" i="2"/>
  <c r="AR477" i="2"/>
  <c r="V478" i="2"/>
  <c r="AS478" i="2"/>
  <c r="AT479" i="2"/>
  <c r="Q481" i="2"/>
  <c r="U481" i="2"/>
  <c r="AR481" i="2"/>
  <c r="V482" i="2"/>
  <c r="AS482" i="2"/>
  <c r="AT483" i="2"/>
  <c r="Q485" i="2"/>
  <c r="U485" i="2"/>
  <c r="AR485" i="2"/>
  <c r="V486" i="2"/>
  <c r="AS486" i="2"/>
  <c r="AT487" i="2"/>
  <c r="Q489" i="2"/>
  <c r="U489" i="2"/>
  <c r="AR489" i="2"/>
  <c r="V490" i="2"/>
  <c r="AS490" i="2"/>
  <c r="AT491" i="2"/>
  <c r="Q493" i="2"/>
  <c r="U493" i="2"/>
  <c r="AR493" i="2"/>
  <c r="V494" i="2"/>
  <c r="AS494" i="2"/>
  <c r="AT495" i="2"/>
  <c r="Q497" i="2"/>
  <c r="U497" i="2"/>
  <c r="AR497" i="2"/>
  <c r="V498" i="2"/>
  <c r="AS498" i="2"/>
  <c r="AT499" i="2"/>
  <c r="Q501" i="2"/>
  <c r="U501" i="2"/>
  <c r="AR501" i="2"/>
  <c r="V502" i="2"/>
  <c r="AS502" i="2"/>
  <c r="AT503" i="2"/>
  <c r="Q505" i="2"/>
  <c r="U505" i="2"/>
  <c r="AR505" i="2"/>
  <c r="V506" i="2"/>
  <c r="AS506" i="2"/>
  <c r="AT507" i="2"/>
  <c r="Q509" i="2"/>
  <c r="U509" i="2"/>
  <c r="AR509" i="2"/>
  <c r="V510" i="2"/>
  <c r="AS510" i="2"/>
  <c r="AT511" i="2"/>
  <c r="Q513" i="2"/>
  <c r="U513" i="2"/>
  <c r="AR513" i="2"/>
  <c r="V514" i="2"/>
  <c r="AS514" i="2"/>
  <c r="AT515" i="2"/>
  <c r="Q517" i="2"/>
  <c r="U517" i="2"/>
  <c r="AR517" i="2"/>
  <c r="V518" i="2"/>
  <c r="AS518" i="2"/>
  <c r="AT519" i="2"/>
  <c r="Q521" i="2"/>
  <c r="U521" i="2"/>
  <c r="AR521" i="2"/>
  <c r="V522" i="2"/>
  <c r="AS522" i="2"/>
  <c r="AT523" i="2"/>
  <c r="Q525" i="2"/>
  <c r="U525" i="2"/>
  <c r="AR525" i="2"/>
  <c r="V526" i="2"/>
  <c r="AS526" i="2"/>
  <c r="AT527" i="2"/>
  <c r="Q529" i="2"/>
  <c r="U529" i="2"/>
  <c r="AR529" i="2"/>
  <c r="V530" i="2"/>
  <c r="AS530" i="2"/>
  <c r="AT531" i="2"/>
  <c r="Q533" i="2"/>
  <c r="U533" i="2"/>
  <c r="AR533" i="2"/>
  <c r="V534" i="2"/>
  <c r="AS534" i="2"/>
  <c r="AT535" i="2"/>
  <c r="Q537" i="2"/>
  <c r="U537" i="2"/>
  <c r="AR537" i="2"/>
  <c r="V538" i="2"/>
  <c r="AS538" i="2"/>
  <c r="AT539" i="2"/>
  <c r="T540" i="2"/>
  <c r="AU540" i="2"/>
  <c r="Q541" i="2"/>
  <c r="U541" i="2"/>
  <c r="AR541" i="2"/>
  <c r="V542" i="2"/>
  <c r="AS542" i="2"/>
  <c r="AT543" i="2"/>
  <c r="T544" i="2"/>
  <c r="AU544" i="2"/>
  <c r="Q545" i="2"/>
  <c r="U545" i="2"/>
  <c r="AR545" i="2"/>
  <c r="V546" i="2"/>
  <c r="AS546" i="2"/>
  <c r="AT547" i="2"/>
  <c r="T548" i="2"/>
  <c r="AU548" i="2"/>
  <c r="Q549" i="2"/>
  <c r="U549" i="2"/>
  <c r="AR549" i="2"/>
  <c r="V550" i="2"/>
  <c r="AS550" i="2"/>
  <c r="AT551" i="2"/>
  <c r="T552" i="2"/>
  <c r="AU552" i="2"/>
  <c r="Q553" i="2"/>
  <c r="U553" i="2"/>
  <c r="AR553" i="2"/>
  <c r="V554" i="2"/>
  <c r="AS554" i="2"/>
  <c r="AT555" i="2"/>
  <c r="T556" i="2"/>
  <c r="AU556" i="2"/>
  <c r="Q557" i="2"/>
  <c r="U557" i="2"/>
  <c r="AR557" i="2"/>
  <c r="V558" i="2"/>
  <c r="AS558" i="2"/>
  <c r="AT559" i="2"/>
  <c r="T560" i="2"/>
  <c r="AU560" i="2"/>
  <c r="Q561" i="2"/>
  <c r="U561" i="2"/>
  <c r="AR561" i="2"/>
  <c r="V562" i="2"/>
  <c r="AS562" i="2"/>
  <c r="AT563" i="2"/>
  <c r="T564" i="2"/>
  <c r="AU564" i="2"/>
  <c r="Q565" i="2"/>
  <c r="U565" i="2"/>
  <c r="AR565" i="2"/>
  <c r="V566" i="2"/>
  <c r="AS566" i="2"/>
  <c r="AT567" i="2"/>
  <c r="T568" i="2"/>
  <c r="AU568" i="2"/>
  <c r="Q569" i="2"/>
  <c r="U569" i="2"/>
  <c r="AR569" i="2"/>
  <c r="V570" i="2"/>
  <c r="AS570" i="2"/>
  <c r="AT571" i="2"/>
  <c r="T572" i="2"/>
  <c r="AU572" i="2"/>
  <c r="Q573" i="2"/>
  <c r="U573" i="2"/>
  <c r="AR573" i="2"/>
  <c r="V574" i="2"/>
  <c r="AS574" i="2"/>
  <c r="AT575" i="2"/>
  <c r="T576" i="2"/>
  <c r="AU576" i="2"/>
  <c r="Q577" i="2"/>
  <c r="U577" i="2"/>
  <c r="AR577" i="2"/>
  <c r="V578" i="2"/>
  <c r="AS578" i="2"/>
  <c r="AT579" i="2"/>
  <c r="T580" i="2"/>
  <c r="AU580" i="2"/>
  <c r="Q581" i="2"/>
  <c r="U581" i="2"/>
  <c r="AR581" i="2"/>
  <c r="V582" i="2"/>
  <c r="AS582" i="2"/>
  <c r="AT583" i="2"/>
  <c r="T584" i="2"/>
  <c r="AU584" i="2"/>
  <c r="Q585" i="2"/>
  <c r="U585" i="2"/>
  <c r="AR585" i="2"/>
  <c r="V586" i="2"/>
  <c r="AS586" i="2"/>
  <c r="AT587" i="2"/>
  <c r="T588" i="2"/>
  <c r="AU588" i="2"/>
  <c r="Q589" i="2"/>
  <c r="U589" i="2"/>
  <c r="AR589" i="2"/>
  <c r="V590" i="2"/>
  <c r="AS590" i="2"/>
  <c r="AT591" i="2"/>
  <c r="T592" i="2"/>
  <c r="AU592" i="2"/>
  <c r="Q593" i="2"/>
  <c r="U593" i="2"/>
  <c r="AR593" i="2"/>
  <c r="V594" i="2"/>
  <c r="AS594" i="2"/>
  <c r="AT595" i="2"/>
  <c r="T596" i="2"/>
  <c r="AU596" i="2"/>
  <c r="Q597" i="2"/>
  <c r="U597" i="2"/>
  <c r="AR597" i="2"/>
  <c r="V598" i="2"/>
  <c r="AS598" i="2"/>
  <c r="AT599" i="2"/>
  <c r="T600" i="2"/>
  <c r="AU600" i="2"/>
  <c r="Q601" i="2"/>
  <c r="U601" i="2"/>
  <c r="AR601" i="2"/>
  <c r="V602" i="2"/>
  <c r="AS602" i="2"/>
  <c r="AT603" i="2"/>
  <c r="T604" i="2"/>
  <c r="AU604" i="2"/>
  <c r="Q605" i="2"/>
  <c r="U605" i="2"/>
  <c r="AR605" i="2"/>
  <c r="V606" i="2"/>
  <c r="AS606" i="2"/>
  <c r="AT607" i="2"/>
  <c r="T608" i="2"/>
  <c r="AU608" i="2"/>
  <c r="Q609" i="2"/>
  <c r="U609" i="2"/>
  <c r="AR609" i="2"/>
  <c r="V610" i="2"/>
  <c r="AS610" i="2"/>
  <c r="AT611" i="2"/>
  <c r="T612" i="2"/>
  <c r="AU612" i="2"/>
  <c r="Q613" i="2"/>
  <c r="U613" i="2"/>
  <c r="AR613" i="2"/>
  <c r="V614" i="2"/>
  <c r="AS614" i="2"/>
  <c r="AT615" i="2"/>
  <c r="T616" i="2"/>
  <c r="AU616" i="2"/>
  <c r="Q617" i="2"/>
  <c r="U617" i="2"/>
  <c r="AR617" i="2"/>
  <c r="V618" i="2"/>
  <c r="AS618" i="2"/>
  <c r="AT619" i="2"/>
  <c r="T620" i="2"/>
  <c r="AU620" i="2"/>
  <c r="Q621" i="2"/>
  <c r="U621" i="2"/>
  <c r="AR621" i="2"/>
  <c r="V622" i="2"/>
  <c r="AS622" i="2"/>
  <c r="AT623" i="2"/>
  <c r="T624" i="2"/>
  <c r="AU624" i="2"/>
  <c r="Q625" i="2"/>
  <c r="U625" i="2"/>
  <c r="AR625" i="2"/>
  <c r="V626" i="2"/>
  <c r="AS626" i="2"/>
  <c r="AT627" i="2"/>
  <c r="T628" i="2"/>
  <c r="AU628" i="2"/>
  <c r="Q629" i="2"/>
  <c r="U629" i="2"/>
  <c r="AR629" i="2"/>
  <c r="V630" i="2"/>
  <c r="AS630" i="2"/>
  <c r="AT631" i="2"/>
  <c r="T632" i="2"/>
  <c r="AU632" i="2"/>
  <c r="Q633" i="2"/>
  <c r="U633" i="2"/>
  <c r="AR633" i="2"/>
  <c r="V634" i="2"/>
  <c r="AS634" i="2"/>
  <c r="AT635" i="2"/>
  <c r="T636" i="2"/>
  <c r="AU636" i="2"/>
  <c r="Q637" i="2"/>
  <c r="U637" i="2"/>
  <c r="AR637" i="2"/>
  <c r="V638" i="2"/>
  <c r="AS638" i="2"/>
  <c r="AT639" i="2"/>
  <c r="T640" i="2"/>
  <c r="AU640" i="2"/>
  <c r="Q641" i="2"/>
  <c r="U641" i="2"/>
  <c r="AR641" i="2"/>
  <c r="V642" i="2"/>
  <c r="AS642" i="2"/>
  <c r="AT643" i="2"/>
  <c r="T644" i="2"/>
  <c r="AU644" i="2"/>
  <c r="Q645" i="2"/>
  <c r="U645" i="2"/>
  <c r="AR645" i="2"/>
  <c r="V646" i="2"/>
  <c r="AS646" i="2"/>
  <c r="AT647" i="2"/>
  <c r="T648" i="2"/>
  <c r="AU648" i="2"/>
  <c r="Q649" i="2"/>
  <c r="U649" i="2"/>
  <c r="AR649" i="2"/>
  <c r="V650" i="2"/>
  <c r="AS650" i="2"/>
  <c r="AT651" i="2"/>
  <c r="T652" i="2"/>
  <c r="AU652" i="2"/>
  <c r="Q653" i="2"/>
  <c r="U653" i="2"/>
  <c r="AR653" i="2"/>
  <c r="V654" i="2"/>
  <c r="AS654" i="2"/>
  <c r="AT655" i="2"/>
  <c r="T656" i="2"/>
  <c r="AU656" i="2"/>
  <c r="Q657" i="2"/>
  <c r="U657" i="2"/>
  <c r="AR657" i="2"/>
  <c r="V658" i="2"/>
  <c r="AS658" i="2"/>
  <c r="AT659" i="2"/>
  <c r="T660" i="2"/>
  <c r="AU660" i="2"/>
  <c r="Q661" i="2"/>
  <c r="U661" i="2"/>
  <c r="AR661" i="2"/>
  <c r="V662" i="2"/>
  <c r="AS662" i="2"/>
  <c r="AT663" i="2"/>
  <c r="T664" i="2"/>
  <c r="AU664" i="2"/>
  <c r="Q665" i="2"/>
  <c r="U665" i="2"/>
  <c r="AR665" i="2"/>
  <c r="V666" i="2"/>
  <c r="AS666" i="2"/>
  <c r="AT667" i="2"/>
  <c r="T668" i="2"/>
  <c r="AU668" i="2"/>
  <c r="Q669" i="2"/>
  <c r="U669" i="2"/>
  <c r="AR669" i="2"/>
  <c r="V670" i="2"/>
  <c r="AS670" i="2"/>
  <c r="AT671" i="2"/>
  <c r="T672" i="2"/>
  <c r="AU672" i="2"/>
  <c r="Q673" i="2"/>
  <c r="U673" i="2"/>
  <c r="AR673" i="2"/>
  <c r="V674" i="2"/>
  <c r="AS674" i="2"/>
  <c r="AT675" i="2"/>
  <c r="T676" i="2"/>
  <c r="AU676" i="2"/>
  <c r="Q677" i="2"/>
  <c r="U677" i="2"/>
  <c r="AR677" i="2"/>
  <c r="V678" i="2"/>
  <c r="AS678" i="2"/>
  <c r="AT679" i="2"/>
  <c r="T680" i="2"/>
  <c r="AU680" i="2"/>
  <c r="Q681" i="2"/>
  <c r="U681" i="2"/>
  <c r="AR681" i="2"/>
  <c r="V682" i="2"/>
  <c r="AS682" i="2"/>
  <c r="AT683" i="2"/>
  <c r="T684" i="2"/>
  <c r="AU684" i="2"/>
  <c r="Q685" i="2"/>
  <c r="U685" i="2"/>
  <c r="AR685" i="2"/>
  <c r="V686" i="2"/>
  <c r="AS686" i="2"/>
  <c r="AT687" i="2"/>
  <c r="T688" i="2"/>
  <c r="AU688" i="2"/>
  <c r="Q689" i="2"/>
  <c r="U689" i="2"/>
  <c r="AR689" i="2"/>
  <c r="V690" i="2"/>
  <c r="AS690" i="2"/>
  <c r="AT691" i="2"/>
  <c r="T692" i="2"/>
  <c r="AU692" i="2"/>
  <c r="Q693" i="2"/>
  <c r="U693" i="2"/>
  <c r="AR693" i="2"/>
  <c r="V694" i="2"/>
  <c r="AS694" i="2"/>
  <c r="AT695" i="2"/>
  <c r="T696" i="2"/>
  <c r="AU696" i="2"/>
  <c r="Q697" i="2"/>
  <c r="U697" i="2"/>
  <c r="AR697" i="2"/>
  <c r="V698" i="2"/>
  <c r="AS698" i="2"/>
  <c r="AT699" i="2"/>
  <c r="T700" i="2"/>
  <c r="AU700" i="2"/>
  <c r="Q701" i="2"/>
  <c r="U701" i="2"/>
  <c r="AR701" i="2"/>
  <c r="V702" i="2"/>
  <c r="AS702" i="2"/>
  <c r="AT703" i="2"/>
  <c r="T704" i="2"/>
  <c r="AU704" i="2"/>
  <c r="Q705" i="2"/>
  <c r="V705" i="2"/>
  <c r="AT705" i="2"/>
  <c r="Q706" i="2"/>
  <c r="AU706" i="2"/>
  <c r="AU708" i="2"/>
  <c r="T708" i="2"/>
  <c r="U708" i="2"/>
  <c r="AT708" i="2"/>
  <c r="AS710" i="2"/>
  <c r="V710" i="2"/>
  <c r="T710" i="2"/>
  <c r="AR710" i="2"/>
  <c r="AI711" i="2"/>
  <c r="AR712" i="2"/>
  <c r="V713" i="2"/>
  <c r="AT713" i="2"/>
  <c r="Q714" i="2"/>
  <c r="AU714" i="2"/>
  <c r="AU716" i="2"/>
  <c r="T716" i="2"/>
  <c r="U716" i="2"/>
  <c r="AT716" i="2"/>
  <c r="AS718" i="2"/>
  <c r="V718" i="2"/>
  <c r="T718" i="2"/>
  <c r="AR718" i="2"/>
  <c r="AI719" i="2"/>
  <c r="AR720" i="2"/>
  <c r="V721" i="2"/>
  <c r="AT721" i="2"/>
  <c r="Q722" i="2"/>
  <c r="AU722" i="2"/>
  <c r="AU724" i="2"/>
  <c r="T724" i="2"/>
  <c r="U724" i="2"/>
  <c r="AT724" i="2"/>
  <c r="AS726" i="2"/>
  <c r="V726" i="2"/>
  <c r="T726" i="2"/>
  <c r="AR726" i="2"/>
  <c r="AI727" i="2"/>
  <c r="AR728" i="2"/>
  <c r="V729" i="2"/>
  <c r="AT729" i="2"/>
  <c r="Q730" i="2"/>
  <c r="AU730" i="2"/>
  <c r="AU732" i="2"/>
  <c r="T732" i="2"/>
  <c r="U732" i="2"/>
  <c r="AT732" i="2"/>
  <c r="AS734" i="2"/>
  <c r="V734" i="2"/>
  <c r="T734" i="2"/>
  <c r="AR734" i="2"/>
  <c r="AI735" i="2"/>
  <c r="AR736" i="2"/>
  <c r="V737" i="2"/>
  <c r="AT737" i="2"/>
  <c r="Q738" i="2"/>
  <c r="AU738" i="2"/>
  <c r="AS740" i="2"/>
  <c r="AU740" i="2"/>
  <c r="T740" i="2"/>
  <c r="U740" i="2"/>
  <c r="AT740" i="2"/>
  <c r="Q742" i="2"/>
  <c r="AT742" i="2"/>
  <c r="AS744" i="2"/>
  <c r="V744" i="2"/>
  <c r="AU744" i="2"/>
  <c r="T744" i="2"/>
  <c r="AR744" i="2"/>
  <c r="AU746" i="2"/>
  <c r="T746" i="2"/>
  <c r="AS746" i="2"/>
  <c r="V746" i="2"/>
  <c r="AR746" i="2"/>
  <c r="U748" i="2"/>
  <c r="U750" i="2"/>
  <c r="Q756" i="2"/>
  <c r="AT756" i="2"/>
  <c r="Q758" i="2"/>
  <c r="AT758" i="2"/>
  <c r="AS760" i="2"/>
  <c r="V760" i="2"/>
  <c r="AU760" i="2"/>
  <c r="T760" i="2"/>
  <c r="AR760" i="2"/>
  <c r="AR762" i="2"/>
  <c r="AU762" i="2"/>
  <c r="T762" i="2"/>
  <c r="AS762" i="2"/>
  <c r="V762" i="2"/>
  <c r="AT766" i="2"/>
  <c r="AR770" i="2"/>
  <c r="U770" i="2"/>
  <c r="Q770" i="2"/>
  <c r="AU770" i="2"/>
  <c r="T770" i="2"/>
  <c r="AS770" i="2"/>
  <c r="V770" i="2"/>
  <c r="AT774" i="2"/>
  <c r="AR778" i="2"/>
  <c r="U778" i="2"/>
  <c r="Q778" i="2"/>
  <c r="AU778" i="2"/>
  <c r="T778" i="2"/>
  <c r="AS778" i="2"/>
  <c r="V778" i="2"/>
  <c r="AT782" i="2"/>
  <c r="AR786" i="2"/>
  <c r="U786" i="2"/>
  <c r="Q786" i="2"/>
  <c r="AU786" i="2"/>
  <c r="T786" i="2"/>
  <c r="AS786" i="2"/>
  <c r="V786" i="2"/>
  <c r="AT790" i="2"/>
  <c r="AR794" i="2"/>
  <c r="U794" i="2"/>
  <c r="Q794" i="2"/>
  <c r="AU794" i="2"/>
  <c r="T794" i="2"/>
  <c r="AS794" i="2"/>
  <c r="V794" i="2"/>
  <c r="AT798" i="2"/>
  <c r="AT707" i="2"/>
  <c r="AT711" i="2"/>
  <c r="AT715" i="2"/>
  <c r="AT719" i="2"/>
  <c r="AT723" i="2"/>
  <c r="AT727" i="2"/>
  <c r="AT731" i="2"/>
  <c r="AT735" i="2"/>
  <c r="AT739" i="2"/>
  <c r="Q741" i="2"/>
  <c r="U741" i="2"/>
  <c r="AR741" i="2"/>
  <c r="AT743" i="2"/>
  <c r="Q745" i="2"/>
  <c r="U745" i="2"/>
  <c r="AR745" i="2"/>
  <c r="AT747" i="2"/>
  <c r="Q749" i="2"/>
  <c r="U749" i="2"/>
  <c r="AR749" i="2"/>
  <c r="AT751" i="2"/>
  <c r="Q753" i="2"/>
  <c r="U753" i="2"/>
  <c r="AR753" i="2"/>
  <c r="AT755" i="2"/>
  <c r="Q757" i="2"/>
  <c r="U757" i="2"/>
  <c r="AR757" i="2"/>
  <c r="AT759" i="2"/>
  <c r="Q761" i="2"/>
  <c r="U761" i="2"/>
  <c r="AR761" i="2"/>
  <c r="AT763" i="2"/>
  <c r="T764" i="2"/>
  <c r="AU764" i="2"/>
  <c r="Q765" i="2"/>
  <c r="U765" i="2"/>
  <c r="AR765" i="2"/>
  <c r="AT767" i="2"/>
  <c r="T768" i="2"/>
  <c r="AU768" i="2"/>
  <c r="Q769" i="2"/>
  <c r="U769" i="2"/>
  <c r="AR769" i="2"/>
  <c r="AT771" i="2"/>
  <c r="T772" i="2"/>
  <c r="AU772" i="2"/>
  <c r="Q773" i="2"/>
  <c r="U773" i="2"/>
  <c r="AR773" i="2"/>
  <c r="AT775" i="2"/>
  <c r="T776" i="2"/>
  <c r="AU776" i="2"/>
  <c r="Q777" i="2"/>
  <c r="U777" i="2"/>
  <c r="AR777" i="2"/>
  <c r="AT779" i="2"/>
  <c r="T780" i="2"/>
  <c r="AU780" i="2"/>
  <c r="Q781" i="2"/>
  <c r="U781" i="2"/>
  <c r="AR781" i="2"/>
  <c r="AT783" i="2"/>
  <c r="T784" i="2"/>
  <c r="AU784" i="2"/>
  <c r="Q785" i="2"/>
  <c r="U785" i="2"/>
  <c r="AR785" i="2"/>
  <c r="AT787" i="2"/>
  <c r="T788" i="2"/>
  <c r="AU788" i="2"/>
  <c r="Q789" i="2"/>
  <c r="U789" i="2"/>
  <c r="AR789" i="2"/>
  <c r="AT791" i="2"/>
  <c r="T792" i="2"/>
  <c r="AU792" i="2"/>
  <c r="Q793" i="2"/>
  <c r="U793" i="2"/>
  <c r="AR793" i="2"/>
  <c r="AT795" i="2"/>
  <c r="T796" i="2"/>
  <c r="AU796" i="2"/>
  <c r="Q797" i="2"/>
  <c r="U797" i="2"/>
  <c r="AR797" i="2"/>
  <c r="AT799" i="2"/>
  <c r="T800" i="2"/>
  <c r="AI800" i="2"/>
  <c r="AU800" i="2"/>
  <c r="Q801" i="2"/>
  <c r="U801" i="2"/>
  <c r="AR801" i="2"/>
  <c r="V802" i="2"/>
  <c r="AS802" i="2"/>
  <c r="AT803" i="2"/>
  <c r="T804" i="2"/>
  <c r="AU804" i="2"/>
  <c r="Q805" i="2"/>
  <c r="U805" i="2"/>
  <c r="AR805" i="2"/>
  <c r="V806" i="2"/>
  <c r="AS806" i="2"/>
  <c r="AT807" i="2"/>
  <c r="T808" i="2"/>
  <c r="AI808" i="2"/>
  <c r="AU808" i="2"/>
  <c r="Q809" i="2"/>
  <c r="U809" i="2"/>
  <c r="AR809" i="2"/>
  <c r="V810" i="2"/>
  <c r="AS810" i="2"/>
  <c r="AT811" i="2"/>
  <c r="T812" i="2"/>
  <c r="AU812" i="2"/>
  <c r="Q813" i="2"/>
  <c r="U813" i="2"/>
  <c r="AR813" i="2"/>
  <c r="V814" i="2"/>
  <c r="AS814" i="2"/>
  <c r="AT815" i="2"/>
  <c r="T816" i="2"/>
  <c r="AU816" i="2"/>
  <c r="Q817" i="2"/>
  <c r="U817" i="2"/>
  <c r="AR817" i="2"/>
  <c r="V818" i="2"/>
  <c r="AS818" i="2"/>
  <c r="AT819" i="2"/>
  <c r="T820" i="2"/>
  <c r="AU820" i="2"/>
  <c r="Q821" i="2"/>
  <c r="U821" i="2"/>
  <c r="AR821" i="2"/>
  <c r="V822" i="2"/>
  <c r="AS822" i="2"/>
  <c r="AT823" i="2"/>
  <c r="T824" i="2"/>
  <c r="AU824" i="2"/>
  <c r="Q825" i="2"/>
  <c r="U825" i="2"/>
  <c r="AR825" i="2"/>
  <c r="V826" i="2"/>
  <c r="AS826" i="2"/>
  <c r="AT827" i="2"/>
  <c r="T828" i="2"/>
  <c r="AU828" i="2"/>
  <c r="Q829" i="2"/>
  <c r="U829" i="2"/>
  <c r="AR829" i="2"/>
  <c r="V830" i="2"/>
  <c r="AS830" i="2"/>
  <c r="AT831" i="2"/>
  <c r="T832" i="2"/>
  <c r="AU832" i="2"/>
  <c r="Q833" i="2"/>
  <c r="U833" i="2"/>
  <c r="AR833" i="2"/>
  <c r="V834" i="2"/>
  <c r="AS834" i="2"/>
  <c r="AT835" i="2"/>
  <c r="T836" i="2"/>
  <c r="AU836" i="2"/>
  <c r="Q837" i="2"/>
  <c r="U837" i="2"/>
  <c r="AR837" i="2"/>
  <c r="V838" i="2"/>
  <c r="AS838" i="2"/>
  <c r="AT839" i="2"/>
  <c r="T840" i="2"/>
  <c r="AU840" i="2"/>
  <c r="Q841" i="2"/>
  <c r="U841" i="2"/>
  <c r="AR841" i="2"/>
  <c r="V842" i="2"/>
  <c r="AS842" i="2"/>
  <c r="AT843" i="2"/>
  <c r="T844" i="2"/>
  <c r="AI844" i="2"/>
  <c r="AU844" i="2"/>
  <c r="Q845" i="2"/>
  <c r="U845" i="2"/>
  <c r="AR845" i="2"/>
  <c r="V846" i="2"/>
  <c r="AS846" i="2"/>
  <c r="AT847" i="2"/>
  <c r="T848" i="2"/>
  <c r="AI848" i="2"/>
  <c r="AU848" i="2"/>
  <c r="Q849" i="2"/>
  <c r="U849" i="2"/>
  <c r="AR849" i="2"/>
  <c r="V850" i="2"/>
  <c r="AS850" i="2"/>
  <c r="AT851" i="2"/>
  <c r="T852" i="2"/>
  <c r="AU852" i="2"/>
  <c r="Q853" i="2"/>
  <c r="U853" i="2"/>
  <c r="AR853" i="2"/>
  <c r="V854" i="2"/>
  <c r="AS854" i="2"/>
  <c r="AT855" i="2"/>
  <c r="T856" i="2"/>
  <c r="AI856" i="2"/>
  <c r="AU856" i="2"/>
  <c r="Q857" i="2"/>
  <c r="U857" i="2"/>
  <c r="AR857" i="2"/>
  <c r="V858" i="2"/>
  <c r="AS858" i="2"/>
  <c r="AT859" i="2"/>
  <c r="T860" i="2"/>
  <c r="AU860" i="2"/>
  <c r="Q861" i="2"/>
  <c r="U861" i="2"/>
  <c r="AR861" i="2"/>
  <c r="V862" i="2"/>
  <c r="AS862" i="2"/>
  <c r="AT863" i="2"/>
  <c r="T864" i="2"/>
  <c r="AI864" i="2"/>
  <c r="AU864" i="2"/>
  <c r="Q865" i="2"/>
  <c r="U865" i="2"/>
  <c r="AR865" i="2"/>
  <c r="V866" i="2"/>
  <c r="AS866" i="2"/>
  <c r="AT867" i="2"/>
  <c r="T868" i="2"/>
  <c r="AU868" i="2"/>
  <c r="Q869" i="2"/>
  <c r="U869" i="2"/>
  <c r="AR869" i="2"/>
  <c r="V870" i="2"/>
  <c r="AS870" i="2"/>
  <c r="AT871" i="2"/>
  <c r="T872" i="2"/>
  <c r="AU872" i="2"/>
  <c r="Q873" i="2"/>
  <c r="U873" i="2"/>
  <c r="AR873" i="2"/>
  <c r="V874" i="2"/>
  <c r="AS874" i="2"/>
  <c r="AT875" i="2"/>
  <c r="T876" i="2"/>
  <c r="AU876" i="2"/>
  <c r="Q877" i="2"/>
  <c r="U877" i="2"/>
  <c r="AR877" i="2"/>
  <c r="V878" i="2"/>
  <c r="AS878" i="2"/>
  <c r="AT879" i="2"/>
  <c r="T880" i="2"/>
  <c r="AU880" i="2"/>
  <c r="Q881" i="2"/>
  <c r="U881" i="2"/>
  <c r="AR881" i="2"/>
  <c r="V882" i="2"/>
  <c r="AS882" i="2"/>
  <c r="AT883" i="2"/>
  <c r="T884" i="2"/>
  <c r="AU884" i="2"/>
  <c r="Q885" i="2"/>
  <c r="U885" i="2"/>
  <c r="AR885" i="2"/>
  <c r="V886" i="2"/>
  <c r="AS886" i="2"/>
  <c r="AT887" i="2"/>
  <c r="T888" i="2"/>
  <c r="AU888" i="2"/>
  <c r="Q889" i="2"/>
  <c r="U889" i="2"/>
  <c r="AR889" i="2"/>
  <c r="V890" i="2"/>
  <c r="AS890" i="2"/>
  <c r="AT891" i="2"/>
  <c r="T892" i="2"/>
  <c r="AU892" i="2"/>
  <c r="Q893" i="2"/>
  <c r="U893" i="2"/>
  <c r="AR893" i="2"/>
  <c r="V894" i="2"/>
  <c r="AS894" i="2"/>
  <c r="AT895" i="2"/>
  <c r="T896" i="2"/>
  <c r="AU896" i="2"/>
  <c r="Q897" i="2"/>
  <c r="U897" i="2"/>
  <c r="AR897" i="2"/>
  <c r="V898" i="2"/>
  <c r="AS898" i="2"/>
  <c r="AT899" i="2"/>
  <c r="T900" i="2"/>
  <c r="AU900" i="2"/>
  <c r="Q901" i="2"/>
  <c r="U901" i="2"/>
  <c r="AR901" i="2"/>
  <c r="V902" i="2"/>
  <c r="AS902" i="2"/>
  <c r="AT903" i="2"/>
  <c r="T904" i="2"/>
  <c r="AI904" i="2"/>
  <c r="AU904" i="2"/>
  <c r="Q905" i="2"/>
  <c r="U905" i="2"/>
  <c r="AR905" i="2"/>
  <c r="V906" i="2"/>
  <c r="AS906" i="2"/>
  <c r="AT907" i="2"/>
  <c r="T908" i="2"/>
  <c r="AU908" i="2"/>
  <c r="Q909" i="2"/>
  <c r="U909" i="2"/>
  <c r="AR909" i="2"/>
  <c r="V910" i="2"/>
  <c r="AS910" i="2"/>
  <c r="AT911" i="2"/>
  <c r="T912" i="2"/>
  <c r="AI912" i="2"/>
  <c r="AU912" i="2"/>
  <c r="Q913" i="2"/>
  <c r="U913" i="2"/>
  <c r="AR913" i="2"/>
  <c r="V914" i="2"/>
  <c r="AS914" i="2"/>
  <c r="AT915" i="2"/>
  <c r="T916" i="2"/>
  <c r="AU916" i="2"/>
  <c r="Q917" i="2"/>
  <c r="U917" i="2"/>
  <c r="AR917" i="2"/>
  <c r="V918" i="2"/>
  <c r="AS918" i="2"/>
  <c r="AT919" i="2"/>
  <c r="T920" i="2"/>
  <c r="AU920" i="2"/>
  <c r="Q921" i="2"/>
  <c r="U921" i="2"/>
  <c r="AR921" i="2"/>
  <c r="V922" i="2"/>
  <c r="AS922" i="2"/>
  <c r="AT923" i="2"/>
  <c r="T924" i="2"/>
  <c r="AU924" i="2"/>
  <c r="Q925" i="2"/>
  <c r="U925" i="2"/>
  <c r="AR925" i="2"/>
  <c r="V926" i="2"/>
  <c r="AS926" i="2"/>
  <c r="AT927" i="2"/>
  <c r="T928" i="2"/>
  <c r="AU928" i="2"/>
  <c r="Q929" i="2"/>
  <c r="U929" i="2"/>
  <c r="AR929" i="2"/>
  <c r="V930" i="2"/>
  <c r="AS930" i="2"/>
  <c r="AT931" i="2"/>
  <c r="T932" i="2"/>
  <c r="AU932" i="2"/>
  <c r="Q933" i="2"/>
  <c r="U933" i="2"/>
  <c r="AR933" i="2"/>
  <c r="V934" i="2"/>
  <c r="AS934" i="2"/>
  <c r="AT935" i="2"/>
  <c r="T936" i="2"/>
  <c r="AU936" i="2"/>
  <c r="Q937" i="2"/>
  <c r="U937" i="2"/>
  <c r="AR937" i="2"/>
  <c r="V938" i="2"/>
  <c r="AS938" i="2"/>
  <c r="AT939" i="2"/>
  <c r="T940" i="2"/>
  <c r="AI940" i="2"/>
  <c r="AU940" i="2"/>
  <c r="Q941" i="2"/>
  <c r="U941" i="2"/>
  <c r="AR941" i="2"/>
  <c r="V942" i="2"/>
  <c r="AS942" i="2"/>
  <c r="AT943" i="2"/>
  <c r="T944" i="2"/>
  <c r="AU944" i="2"/>
  <c r="Q945" i="2"/>
  <c r="U945" i="2"/>
  <c r="AR945" i="2"/>
  <c r="V946" i="2"/>
  <c r="AS946" i="2"/>
  <c r="AT947" i="2"/>
  <c r="T948" i="2"/>
  <c r="AU948" i="2"/>
  <c r="Q949" i="2"/>
  <c r="U949" i="2"/>
  <c r="AR949" i="2"/>
  <c r="V950" i="2"/>
  <c r="AS950" i="2"/>
  <c r="AT951" i="2"/>
  <c r="T952" i="2"/>
  <c r="AI952" i="2"/>
  <c r="AU952" i="2"/>
  <c r="Q953" i="2"/>
  <c r="U953" i="2"/>
  <c r="AR953" i="2"/>
  <c r="V954" i="2"/>
  <c r="AS954" i="2"/>
  <c r="AT955" i="2"/>
  <c r="T956" i="2"/>
  <c r="AU956" i="2"/>
  <c r="Q957" i="2"/>
  <c r="U957" i="2"/>
  <c r="AR957" i="2"/>
  <c r="V958" i="2"/>
  <c r="AS958" i="2"/>
  <c r="AT959" i="2"/>
  <c r="T960" i="2"/>
  <c r="AI960" i="2"/>
  <c r="AU960" i="2"/>
  <c r="Q961" i="2"/>
  <c r="U961" i="2"/>
  <c r="AR961" i="2"/>
  <c r="V962" i="2"/>
  <c r="AS962" i="2"/>
  <c r="AT963" i="2"/>
  <c r="T964" i="2"/>
  <c r="AU964" i="2"/>
  <c r="Q965" i="2"/>
  <c r="U965" i="2"/>
  <c r="AR965" i="2"/>
  <c r="V966" i="2"/>
  <c r="AS966" i="2"/>
  <c r="AT967" i="2"/>
  <c r="T968" i="2"/>
  <c r="AI968" i="2"/>
  <c r="AU968" i="2"/>
  <c r="Q969" i="2"/>
  <c r="U969" i="2"/>
  <c r="AR969" i="2"/>
  <c r="V970" i="2"/>
  <c r="AS970" i="2"/>
  <c r="AT971" i="2"/>
  <c r="T972" i="2"/>
  <c r="AU972" i="2"/>
  <c r="Q973" i="2"/>
  <c r="U973" i="2"/>
  <c r="AS974" i="2"/>
  <c r="V974" i="2"/>
  <c r="T974" i="2"/>
  <c r="AR974" i="2"/>
  <c r="AI975" i="2"/>
  <c r="AR976" i="2"/>
  <c r="V977" i="2"/>
  <c r="AT977" i="2"/>
  <c r="Q978" i="2"/>
  <c r="AU980" i="2"/>
  <c r="T980" i="2"/>
  <c r="U980" i="2"/>
  <c r="AT980" i="2"/>
  <c r="AS982" i="2"/>
  <c r="V982" i="2"/>
  <c r="T982" i="2"/>
  <c r="AR982" i="2"/>
  <c r="AI983" i="2"/>
  <c r="AR984" i="2"/>
  <c r="V985" i="2"/>
  <c r="AT985" i="2"/>
  <c r="Q986" i="2"/>
  <c r="AU988" i="2"/>
  <c r="T988" i="2"/>
  <c r="U988" i="2"/>
  <c r="AT988" i="2"/>
  <c r="AS990" i="2"/>
  <c r="V990" i="2"/>
  <c r="T990" i="2"/>
  <c r="AR990" i="2"/>
  <c r="AR992" i="2"/>
  <c r="V993" i="2"/>
  <c r="AT993" i="2"/>
  <c r="Q994" i="2"/>
  <c r="AU996" i="2"/>
  <c r="T996" i="2"/>
  <c r="U996" i="2"/>
  <c r="AT996" i="2"/>
  <c r="AS998" i="2"/>
  <c r="V998" i="2"/>
  <c r="T998" i="2"/>
  <c r="AR998" i="2"/>
  <c r="AI999" i="2"/>
  <c r="AR1000" i="2"/>
  <c r="V1001" i="2"/>
  <c r="AT1001" i="2"/>
  <c r="Q1002" i="2"/>
  <c r="AU1004" i="2"/>
  <c r="T1004" i="2"/>
  <c r="U1004" i="2"/>
  <c r="AT1004" i="2"/>
  <c r="AS1006" i="2"/>
  <c r="V1006" i="2"/>
  <c r="T1006" i="2"/>
  <c r="AR1006" i="2"/>
  <c r="Q1008" i="2"/>
  <c r="AU1010" i="2"/>
  <c r="AI1011" i="2"/>
  <c r="U1012" i="2"/>
  <c r="T1014" i="2"/>
  <c r="AU1016" i="2"/>
  <c r="T1016" i="2"/>
  <c r="AS1016" i="2"/>
  <c r="V1016" i="2"/>
  <c r="AS1018" i="2"/>
  <c r="V1018" i="2"/>
  <c r="U1018" i="2"/>
  <c r="AT1018" i="2"/>
  <c r="AS1022" i="2"/>
  <c r="V1022" i="2"/>
  <c r="AU1022" i="2"/>
  <c r="Q1022" i="2"/>
  <c r="AT1022" i="2"/>
  <c r="U1022" i="2"/>
  <c r="AS1028" i="2"/>
  <c r="AR1030" i="2"/>
  <c r="T1033" i="2"/>
  <c r="AI1034" i="2"/>
  <c r="U1036" i="2"/>
  <c r="T1038" i="2"/>
  <c r="V1041" i="2"/>
  <c r="AR1049" i="2"/>
  <c r="U1049" i="2"/>
  <c r="Q1049" i="2"/>
  <c r="AU1049" i="2"/>
  <c r="AU1052" i="2"/>
  <c r="T1052" i="2"/>
  <c r="AR1052" i="2"/>
  <c r="V1052" i="2"/>
  <c r="Q1052" i="2"/>
  <c r="AS1054" i="2"/>
  <c r="V1054" i="2"/>
  <c r="AU1054" i="2"/>
  <c r="Q1054" i="2"/>
  <c r="AT1054" i="2"/>
  <c r="U1054" i="2"/>
  <c r="AS1060" i="2"/>
  <c r="AR1062" i="2"/>
  <c r="AI1064" i="2"/>
  <c r="T1065" i="2"/>
  <c r="T1070" i="2"/>
  <c r="T1078" i="2"/>
  <c r="T1086" i="2"/>
  <c r="T1094" i="2"/>
  <c r="T1102" i="2"/>
  <c r="AU1116" i="2"/>
  <c r="T1116" i="2"/>
  <c r="AS1116" i="2"/>
  <c r="AR1116" i="2"/>
  <c r="V1116" i="2"/>
  <c r="Q1116" i="2"/>
  <c r="AI1122" i="2"/>
  <c r="AI1138" i="2"/>
  <c r="AU1140" i="2"/>
  <c r="T1140" i="2"/>
  <c r="AS1140" i="2"/>
  <c r="AR1140" i="2"/>
  <c r="V1140" i="2"/>
  <c r="Q1140" i="2"/>
  <c r="T1142" i="2"/>
  <c r="AS1150" i="2"/>
  <c r="V1150" i="2"/>
  <c r="AU1150" i="2"/>
  <c r="Q1150" i="2"/>
  <c r="AT1150" i="2"/>
  <c r="U1150" i="2"/>
  <c r="AI1170" i="2"/>
  <c r="AU1172" i="2"/>
  <c r="T1172" i="2"/>
  <c r="AS1172" i="2"/>
  <c r="AR1172" i="2"/>
  <c r="V1172" i="2"/>
  <c r="Q1172" i="2"/>
  <c r="T1174" i="2"/>
  <c r="AS1182" i="2"/>
  <c r="V1182" i="2"/>
  <c r="AU1182" i="2"/>
  <c r="Q1182" i="2"/>
  <c r="AT1182" i="2"/>
  <c r="U1182" i="2"/>
  <c r="AT802" i="2"/>
  <c r="AT806" i="2"/>
  <c r="AT810" i="2"/>
  <c r="AT814" i="2"/>
  <c r="AT818" i="2"/>
  <c r="AT822" i="2"/>
  <c r="AT826" i="2"/>
  <c r="AT830" i="2"/>
  <c r="AT834" i="2"/>
  <c r="AT838" i="2"/>
  <c r="AT842" i="2"/>
  <c r="AT846" i="2"/>
  <c r="AT850" i="2"/>
  <c r="AT854" i="2"/>
  <c r="AT858" i="2"/>
  <c r="AT862" i="2"/>
  <c r="AT866" i="2"/>
  <c r="AT870" i="2"/>
  <c r="AT874" i="2"/>
  <c r="AT878" i="2"/>
  <c r="AT882" i="2"/>
  <c r="AT886" i="2"/>
  <c r="AT890" i="2"/>
  <c r="AT894" i="2"/>
  <c r="AT898" i="2"/>
  <c r="AT902" i="2"/>
  <c r="AT906" i="2"/>
  <c r="AT910" i="2"/>
  <c r="AT914" i="2"/>
  <c r="AT918" i="2"/>
  <c r="AT922" i="2"/>
  <c r="AT926" i="2"/>
  <c r="AT930" i="2"/>
  <c r="AT934" i="2"/>
  <c r="AT938" i="2"/>
  <c r="AT942" i="2"/>
  <c r="AT946" i="2"/>
  <c r="AT950" i="2"/>
  <c r="AT954" i="2"/>
  <c r="AT958" i="2"/>
  <c r="AT962" i="2"/>
  <c r="AT966" i="2"/>
  <c r="AT970" i="2"/>
  <c r="AR981" i="2"/>
  <c r="U981" i="2"/>
  <c r="Q981" i="2"/>
  <c r="T981" i="2"/>
  <c r="AS981" i="2"/>
  <c r="AR989" i="2"/>
  <c r="U989" i="2"/>
  <c r="Q989" i="2"/>
  <c r="T989" i="2"/>
  <c r="AS989" i="2"/>
  <c r="AR997" i="2"/>
  <c r="U997" i="2"/>
  <c r="Q997" i="2"/>
  <c r="T997" i="2"/>
  <c r="AS997" i="2"/>
  <c r="AR1005" i="2"/>
  <c r="U1005" i="2"/>
  <c r="Q1005" i="2"/>
  <c r="T1005" i="2"/>
  <c r="AS1005" i="2"/>
  <c r="AU1012" i="2"/>
  <c r="T1012" i="2"/>
  <c r="V1012" i="2"/>
  <c r="Q1012" i="2"/>
  <c r="AS1014" i="2"/>
  <c r="V1014" i="2"/>
  <c r="AT1014" i="2"/>
  <c r="U1014" i="2"/>
  <c r="AR1041" i="2"/>
  <c r="U1041" i="2"/>
  <c r="Q1041" i="2"/>
  <c r="AU1041" i="2"/>
  <c r="AU1044" i="2"/>
  <c r="T1044" i="2"/>
  <c r="AR1044" i="2"/>
  <c r="V1044" i="2"/>
  <c r="Q1044" i="2"/>
  <c r="AS1046" i="2"/>
  <c r="V1046" i="2"/>
  <c r="AU1046" i="2"/>
  <c r="Q1046" i="2"/>
  <c r="AT1046" i="2"/>
  <c r="U1046" i="2"/>
  <c r="AI1059" i="2"/>
  <c r="AI1066" i="2"/>
  <c r="AU1068" i="2"/>
  <c r="T1068" i="2"/>
  <c r="AS1068" i="2"/>
  <c r="AR1068" i="2"/>
  <c r="V1068" i="2"/>
  <c r="Q1068" i="2"/>
  <c r="AI1074" i="2"/>
  <c r="AU1076" i="2"/>
  <c r="T1076" i="2"/>
  <c r="AS1076" i="2"/>
  <c r="AR1076" i="2"/>
  <c r="V1076" i="2"/>
  <c r="Q1076" i="2"/>
  <c r="AI1082" i="2"/>
  <c r="AU1084" i="2"/>
  <c r="T1084" i="2"/>
  <c r="AS1084" i="2"/>
  <c r="AR1084" i="2"/>
  <c r="V1084" i="2"/>
  <c r="Q1084" i="2"/>
  <c r="AI1090" i="2"/>
  <c r="AU1092" i="2"/>
  <c r="T1092" i="2"/>
  <c r="AS1092" i="2"/>
  <c r="AR1092" i="2"/>
  <c r="V1092" i="2"/>
  <c r="Q1092" i="2"/>
  <c r="AI1098" i="2"/>
  <c r="AU1100" i="2"/>
  <c r="T1100" i="2"/>
  <c r="AS1100" i="2"/>
  <c r="AR1100" i="2"/>
  <c r="V1100" i="2"/>
  <c r="Q1100" i="2"/>
  <c r="AI1106" i="2"/>
  <c r="AU1108" i="2"/>
  <c r="T1108" i="2"/>
  <c r="AS1108" i="2"/>
  <c r="AR1108" i="2"/>
  <c r="V1108" i="2"/>
  <c r="Q1108" i="2"/>
  <c r="AI1114" i="2"/>
  <c r="U1116" i="2"/>
  <c r="AT1116" i="2"/>
  <c r="AS1134" i="2"/>
  <c r="V1134" i="2"/>
  <c r="AU1134" i="2"/>
  <c r="Q1134" i="2"/>
  <c r="AT1134" i="2"/>
  <c r="U1134" i="2"/>
  <c r="AR1134" i="2"/>
  <c r="AI1146" i="2"/>
  <c r="AU1148" i="2"/>
  <c r="T1148" i="2"/>
  <c r="AS1148" i="2"/>
  <c r="AR1148" i="2"/>
  <c r="V1148" i="2"/>
  <c r="Q1148" i="2"/>
  <c r="T1150" i="2"/>
  <c r="AR1150" i="2"/>
  <c r="AS1158" i="2"/>
  <c r="V1158" i="2"/>
  <c r="AU1158" i="2"/>
  <c r="Q1158" i="2"/>
  <c r="AT1158" i="2"/>
  <c r="U1158" i="2"/>
  <c r="AI1178" i="2"/>
  <c r="AU1180" i="2"/>
  <c r="T1180" i="2"/>
  <c r="AS1180" i="2"/>
  <c r="AR1180" i="2"/>
  <c r="V1180" i="2"/>
  <c r="Q1180" i="2"/>
  <c r="T1182" i="2"/>
  <c r="AR1182" i="2"/>
  <c r="AT741" i="2"/>
  <c r="AT745" i="2"/>
  <c r="AT749" i="2"/>
  <c r="AT753" i="2"/>
  <c r="AT757" i="2"/>
  <c r="AT761" i="2"/>
  <c r="AI762" i="2"/>
  <c r="V764" i="2"/>
  <c r="AS764" i="2"/>
  <c r="AT765" i="2"/>
  <c r="AI766" i="2"/>
  <c r="V768" i="2"/>
  <c r="AS768" i="2"/>
  <c r="AT769" i="2"/>
  <c r="AI770" i="2"/>
  <c r="V772" i="2"/>
  <c r="AS772" i="2"/>
  <c r="AT773" i="2"/>
  <c r="AI774" i="2"/>
  <c r="V776" i="2"/>
  <c r="AS776" i="2"/>
  <c r="AT777" i="2"/>
  <c r="AI778" i="2"/>
  <c r="V780" i="2"/>
  <c r="AS780" i="2"/>
  <c r="AT781" i="2"/>
  <c r="AI782" i="2"/>
  <c r="V784" i="2"/>
  <c r="AS784" i="2"/>
  <c r="AT785" i="2"/>
  <c r="AI786" i="2"/>
  <c r="V788" i="2"/>
  <c r="AS788" i="2"/>
  <c r="AT789" i="2"/>
  <c r="AI790" i="2"/>
  <c r="V792" i="2"/>
  <c r="AS792" i="2"/>
  <c r="AT793" i="2"/>
  <c r="AI794" i="2"/>
  <c r="V796" i="2"/>
  <c r="AS796" i="2"/>
  <c r="AT797" i="2"/>
  <c r="AI798" i="2"/>
  <c r="V800" i="2"/>
  <c r="AS800" i="2"/>
  <c r="AT801" i="2"/>
  <c r="T802" i="2"/>
  <c r="AI802" i="2"/>
  <c r="AU802" i="2"/>
  <c r="V804" i="2"/>
  <c r="AS804" i="2"/>
  <c r="AT805" i="2"/>
  <c r="T806" i="2"/>
  <c r="AI806" i="2"/>
  <c r="AU806" i="2"/>
  <c r="V808" i="2"/>
  <c r="AS808" i="2"/>
  <c r="AT809" i="2"/>
  <c r="T810" i="2"/>
  <c r="AI810" i="2"/>
  <c r="AU810" i="2"/>
  <c r="V812" i="2"/>
  <c r="AS812" i="2"/>
  <c r="AT813" i="2"/>
  <c r="T814" i="2"/>
  <c r="AI814" i="2"/>
  <c r="AU814" i="2"/>
  <c r="V816" i="2"/>
  <c r="AS816" i="2"/>
  <c r="AT817" i="2"/>
  <c r="T818" i="2"/>
  <c r="AI818" i="2"/>
  <c r="AU818" i="2"/>
  <c r="V820" i="2"/>
  <c r="AS820" i="2"/>
  <c r="AT821" i="2"/>
  <c r="T822" i="2"/>
  <c r="AI822" i="2"/>
  <c r="AU822" i="2"/>
  <c r="V824" i="2"/>
  <c r="AS824" i="2"/>
  <c r="AT825" i="2"/>
  <c r="T826" i="2"/>
  <c r="AI826" i="2"/>
  <c r="AU826" i="2"/>
  <c r="V828" i="2"/>
  <c r="AS828" i="2"/>
  <c r="AT829" i="2"/>
  <c r="T830" i="2"/>
  <c r="AI830" i="2"/>
  <c r="AU830" i="2"/>
  <c r="V832" i="2"/>
  <c r="AS832" i="2"/>
  <c r="AT833" i="2"/>
  <c r="T834" i="2"/>
  <c r="AI834" i="2"/>
  <c r="AU834" i="2"/>
  <c r="V836" i="2"/>
  <c r="AS836" i="2"/>
  <c r="AT837" i="2"/>
  <c r="T838" i="2"/>
  <c r="AI838" i="2"/>
  <c r="AU838" i="2"/>
  <c r="V840" i="2"/>
  <c r="AS840" i="2"/>
  <c r="AT841" i="2"/>
  <c r="T842" i="2"/>
  <c r="AI842" i="2"/>
  <c r="AU842" i="2"/>
  <c r="V844" i="2"/>
  <c r="AS844" i="2"/>
  <c r="AT845" i="2"/>
  <c r="T846" i="2"/>
  <c r="AI846" i="2"/>
  <c r="AU846" i="2"/>
  <c r="V848" i="2"/>
  <c r="AS848" i="2"/>
  <c r="AT849" i="2"/>
  <c r="T850" i="2"/>
  <c r="AI850" i="2"/>
  <c r="AU850" i="2"/>
  <c r="V852" i="2"/>
  <c r="AS852" i="2"/>
  <c r="AT853" i="2"/>
  <c r="T854" i="2"/>
  <c r="AI854" i="2"/>
  <c r="AU854" i="2"/>
  <c r="V856" i="2"/>
  <c r="AS856" i="2"/>
  <c r="AT857" i="2"/>
  <c r="T858" i="2"/>
  <c r="AI858" i="2"/>
  <c r="AU858" i="2"/>
  <c r="V860" i="2"/>
  <c r="AS860" i="2"/>
  <c r="AT861" i="2"/>
  <c r="T862" i="2"/>
  <c r="AI862" i="2"/>
  <c r="AU862" i="2"/>
  <c r="V864" i="2"/>
  <c r="AS864" i="2"/>
  <c r="AT865" i="2"/>
  <c r="T866" i="2"/>
  <c r="AI866" i="2"/>
  <c r="AU866" i="2"/>
  <c r="V868" i="2"/>
  <c r="AS868" i="2"/>
  <c r="AT869" i="2"/>
  <c r="T870" i="2"/>
  <c r="AI870" i="2"/>
  <c r="AU870" i="2"/>
  <c r="V872" i="2"/>
  <c r="AS872" i="2"/>
  <c r="AT873" i="2"/>
  <c r="T874" i="2"/>
  <c r="AI874" i="2"/>
  <c r="AU874" i="2"/>
  <c r="V876" i="2"/>
  <c r="AS876" i="2"/>
  <c r="AT877" i="2"/>
  <c r="T878" i="2"/>
  <c r="AI878" i="2"/>
  <c r="AU878" i="2"/>
  <c r="V880" i="2"/>
  <c r="AS880" i="2"/>
  <c r="AT881" i="2"/>
  <c r="T882" i="2"/>
  <c r="AI882" i="2"/>
  <c r="AU882" i="2"/>
  <c r="V884" i="2"/>
  <c r="AS884" i="2"/>
  <c r="AT885" i="2"/>
  <c r="T886" i="2"/>
  <c r="AI886" i="2"/>
  <c r="AU886" i="2"/>
  <c r="V888" i="2"/>
  <c r="AS888" i="2"/>
  <c r="AT889" i="2"/>
  <c r="T890" i="2"/>
  <c r="AI890" i="2"/>
  <c r="AU890" i="2"/>
  <c r="V892" i="2"/>
  <c r="AS892" i="2"/>
  <c r="AT893" i="2"/>
  <c r="T894" i="2"/>
  <c r="AI894" i="2"/>
  <c r="AU894" i="2"/>
  <c r="V896" i="2"/>
  <c r="AS896" i="2"/>
  <c r="AT897" i="2"/>
  <c r="T898" i="2"/>
  <c r="AI898" i="2"/>
  <c r="AU898" i="2"/>
  <c r="V900" i="2"/>
  <c r="AS900" i="2"/>
  <c r="AT901" i="2"/>
  <c r="T902" i="2"/>
  <c r="AI902" i="2"/>
  <c r="AU902" i="2"/>
  <c r="V904" i="2"/>
  <c r="AS904" i="2"/>
  <c r="AT905" i="2"/>
  <c r="T906" i="2"/>
  <c r="AI906" i="2"/>
  <c r="AU906" i="2"/>
  <c r="V908" i="2"/>
  <c r="AS908" i="2"/>
  <c r="AT909" i="2"/>
  <c r="T910" i="2"/>
  <c r="AI910" i="2"/>
  <c r="AU910" i="2"/>
  <c r="V912" i="2"/>
  <c r="AS912" i="2"/>
  <c r="AT913" i="2"/>
  <c r="T914" i="2"/>
  <c r="AI914" i="2"/>
  <c r="AU914" i="2"/>
  <c r="V916" i="2"/>
  <c r="AS916" i="2"/>
  <c r="AT917" i="2"/>
  <c r="T918" i="2"/>
  <c r="AI918" i="2"/>
  <c r="AU918" i="2"/>
  <c r="V920" i="2"/>
  <c r="AS920" i="2"/>
  <c r="AT921" i="2"/>
  <c r="T922" i="2"/>
  <c r="AI922" i="2"/>
  <c r="AU922" i="2"/>
  <c r="V924" i="2"/>
  <c r="AS924" i="2"/>
  <c r="AT925" i="2"/>
  <c r="T926" i="2"/>
  <c r="AI926" i="2"/>
  <c r="AU926" i="2"/>
  <c r="V928" i="2"/>
  <c r="AS928" i="2"/>
  <c r="AT929" i="2"/>
  <c r="T930" i="2"/>
  <c r="AI930" i="2"/>
  <c r="AU930" i="2"/>
  <c r="V932" i="2"/>
  <c r="AS932" i="2"/>
  <c r="AT933" i="2"/>
  <c r="T934" i="2"/>
  <c r="AI934" i="2"/>
  <c r="AU934" i="2"/>
  <c r="V936" i="2"/>
  <c r="AS936" i="2"/>
  <c r="AT937" i="2"/>
  <c r="T938" i="2"/>
  <c r="AI938" i="2"/>
  <c r="AU938" i="2"/>
  <c r="V940" i="2"/>
  <c r="AS940" i="2"/>
  <c r="AT941" i="2"/>
  <c r="T942" i="2"/>
  <c r="AI942" i="2"/>
  <c r="AU942" i="2"/>
  <c r="V944" i="2"/>
  <c r="AS944" i="2"/>
  <c r="AT945" i="2"/>
  <c r="T946" i="2"/>
  <c r="AI946" i="2"/>
  <c r="AU946" i="2"/>
  <c r="V948" i="2"/>
  <c r="AS948" i="2"/>
  <c r="AT949" i="2"/>
  <c r="T950" i="2"/>
  <c r="AI950" i="2"/>
  <c r="AU950" i="2"/>
  <c r="V952" i="2"/>
  <c r="AS952" i="2"/>
  <c r="AT953" i="2"/>
  <c r="T954" i="2"/>
  <c r="AI954" i="2"/>
  <c r="AU954" i="2"/>
  <c r="V956" i="2"/>
  <c r="AS956" i="2"/>
  <c r="AT957" i="2"/>
  <c r="T958" i="2"/>
  <c r="AI958" i="2"/>
  <c r="AU958" i="2"/>
  <c r="V960" i="2"/>
  <c r="AS960" i="2"/>
  <c r="AT961" i="2"/>
  <c r="T962" i="2"/>
  <c r="AI962" i="2"/>
  <c r="AU962" i="2"/>
  <c r="V964" i="2"/>
  <c r="AS964" i="2"/>
  <c r="AT965" i="2"/>
  <c r="T966" i="2"/>
  <c r="AI966" i="2"/>
  <c r="AU966" i="2"/>
  <c r="V968" i="2"/>
  <c r="AS968" i="2"/>
  <c r="AT969" i="2"/>
  <c r="T970" i="2"/>
  <c r="AI970" i="2"/>
  <c r="AU970" i="2"/>
  <c r="V972" i="2"/>
  <c r="AS972" i="2"/>
  <c r="AR973" i="2"/>
  <c r="AT973" i="2"/>
  <c r="AU976" i="2"/>
  <c r="T976" i="2"/>
  <c r="U976" i="2"/>
  <c r="AT976" i="2"/>
  <c r="AS978" i="2"/>
  <c r="V978" i="2"/>
  <c r="T978" i="2"/>
  <c r="AR978" i="2"/>
  <c r="AI979" i="2"/>
  <c r="V981" i="2"/>
  <c r="AT981" i="2"/>
  <c r="AU984" i="2"/>
  <c r="T984" i="2"/>
  <c r="U984" i="2"/>
  <c r="AT984" i="2"/>
  <c r="AS986" i="2"/>
  <c r="V986" i="2"/>
  <c r="T986" i="2"/>
  <c r="AR986" i="2"/>
  <c r="AI987" i="2"/>
  <c r="V989" i="2"/>
  <c r="AT989" i="2"/>
  <c r="AU992" i="2"/>
  <c r="T992" i="2"/>
  <c r="U992" i="2"/>
  <c r="AT992" i="2"/>
  <c r="AS994" i="2"/>
  <c r="V994" i="2"/>
  <c r="T994" i="2"/>
  <c r="AR994" i="2"/>
  <c r="AI995" i="2"/>
  <c r="V997" i="2"/>
  <c r="AT997" i="2"/>
  <c r="AU1000" i="2"/>
  <c r="T1000" i="2"/>
  <c r="U1000" i="2"/>
  <c r="AT1000" i="2"/>
  <c r="AS1002" i="2"/>
  <c r="V1002" i="2"/>
  <c r="T1002" i="2"/>
  <c r="AR1002" i="2"/>
  <c r="V1005" i="2"/>
  <c r="AT1005" i="2"/>
  <c r="U1008" i="2"/>
  <c r="AR1009" i="2"/>
  <c r="U1009" i="2"/>
  <c r="Q1009" i="2"/>
  <c r="AU1009" i="2"/>
  <c r="V1009" i="2"/>
  <c r="AT1009" i="2"/>
  <c r="T1010" i="2"/>
  <c r="AR1010" i="2"/>
  <c r="AR1012" i="2"/>
  <c r="Q1014" i="2"/>
  <c r="AI1016" i="2"/>
  <c r="T1017" i="2"/>
  <c r="AS1017" i="2"/>
  <c r="AU1020" i="2"/>
  <c r="T1020" i="2"/>
  <c r="V1020" i="2"/>
  <c r="Q1020" i="2"/>
  <c r="V1025" i="2"/>
  <c r="AR1033" i="2"/>
  <c r="U1033" i="2"/>
  <c r="Q1033" i="2"/>
  <c r="AU1033" i="2"/>
  <c r="AU1036" i="2"/>
  <c r="T1036" i="2"/>
  <c r="AR1036" i="2"/>
  <c r="V1036" i="2"/>
  <c r="Q1036" i="2"/>
  <c r="AS1038" i="2"/>
  <c r="V1038" i="2"/>
  <c r="AU1038" i="2"/>
  <c r="Q1038" i="2"/>
  <c r="AT1038" i="2"/>
  <c r="U1038" i="2"/>
  <c r="AS1044" i="2"/>
  <c r="AR1046" i="2"/>
  <c r="AI1048" i="2"/>
  <c r="V1057" i="2"/>
  <c r="AR1065" i="2"/>
  <c r="U1065" i="2"/>
  <c r="Q1065" i="2"/>
  <c r="AU1065" i="2"/>
  <c r="U1068" i="2"/>
  <c r="AT1068" i="2"/>
  <c r="U1076" i="2"/>
  <c r="AT1076" i="2"/>
  <c r="U1084" i="2"/>
  <c r="AT1084" i="2"/>
  <c r="U1092" i="2"/>
  <c r="AT1092" i="2"/>
  <c r="U1100" i="2"/>
  <c r="AT1100" i="2"/>
  <c r="U1108" i="2"/>
  <c r="AT1108" i="2"/>
  <c r="AS1126" i="2"/>
  <c r="V1126" i="2"/>
  <c r="AU1126" i="2"/>
  <c r="Q1126" i="2"/>
  <c r="AT1126" i="2"/>
  <c r="U1126" i="2"/>
  <c r="AI1130" i="2"/>
  <c r="AU1132" i="2"/>
  <c r="T1132" i="2"/>
  <c r="AS1132" i="2"/>
  <c r="AR1132" i="2"/>
  <c r="V1132" i="2"/>
  <c r="Q1132" i="2"/>
  <c r="AI1154" i="2"/>
  <c r="AU1156" i="2"/>
  <c r="T1156" i="2"/>
  <c r="AS1156" i="2"/>
  <c r="AR1156" i="2"/>
  <c r="V1156" i="2"/>
  <c r="Q1156" i="2"/>
  <c r="T1158" i="2"/>
  <c r="AR1158" i="2"/>
  <c r="AS1166" i="2"/>
  <c r="V1166" i="2"/>
  <c r="AU1166" i="2"/>
  <c r="Q1166" i="2"/>
  <c r="AT1166" i="2"/>
  <c r="U1166" i="2"/>
  <c r="AT764" i="2"/>
  <c r="AT768" i="2"/>
  <c r="AT772" i="2"/>
  <c r="AT776" i="2"/>
  <c r="AT780" i="2"/>
  <c r="AT784" i="2"/>
  <c r="AT788" i="2"/>
  <c r="AT792" i="2"/>
  <c r="AT796" i="2"/>
  <c r="AT800" i="2"/>
  <c r="Q802" i="2"/>
  <c r="U802" i="2"/>
  <c r="AR802" i="2"/>
  <c r="AT804" i="2"/>
  <c r="Q806" i="2"/>
  <c r="U806" i="2"/>
  <c r="AR806" i="2"/>
  <c r="AT808" i="2"/>
  <c r="Q810" i="2"/>
  <c r="U810" i="2"/>
  <c r="AR810" i="2"/>
  <c r="AT812" i="2"/>
  <c r="Q814" i="2"/>
  <c r="U814" i="2"/>
  <c r="AR814" i="2"/>
  <c r="AT816" i="2"/>
  <c r="Q818" i="2"/>
  <c r="U818" i="2"/>
  <c r="AR818" i="2"/>
  <c r="AT820" i="2"/>
  <c r="Q822" i="2"/>
  <c r="U822" i="2"/>
  <c r="AR822" i="2"/>
  <c r="AT824" i="2"/>
  <c r="Q826" i="2"/>
  <c r="U826" i="2"/>
  <c r="AR826" i="2"/>
  <c r="AT828" i="2"/>
  <c r="Q830" i="2"/>
  <c r="U830" i="2"/>
  <c r="AR830" i="2"/>
  <c r="AT832" i="2"/>
  <c r="Q834" i="2"/>
  <c r="U834" i="2"/>
  <c r="AR834" i="2"/>
  <c r="AT836" i="2"/>
  <c r="Q838" i="2"/>
  <c r="U838" i="2"/>
  <c r="AR838" i="2"/>
  <c r="AT840" i="2"/>
  <c r="Q842" i="2"/>
  <c r="U842" i="2"/>
  <c r="AR842" i="2"/>
  <c r="AT844" i="2"/>
  <c r="Q846" i="2"/>
  <c r="U846" i="2"/>
  <c r="AR846" i="2"/>
  <c r="AT848" i="2"/>
  <c r="Q850" i="2"/>
  <c r="U850" i="2"/>
  <c r="AR850" i="2"/>
  <c r="AT852" i="2"/>
  <c r="Q854" i="2"/>
  <c r="U854" i="2"/>
  <c r="AR854" i="2"/>
  <c r="AT856" i="2"/>
  <c r="Q858" i="2"/>
  <c r="U858" i="2"/>
  <c r="AR858" i="2"/>
  <c r="AT860" i="2"/>
  <c r="Q862" i="2"/>
  <c r="U862" i="2"/>
  <c r="AR862" i="2"/>
  <c r="AT864" i="2"/>
  <c r="Q866" i="2"/>
  <c r="U866" i="2"/>
  <c r="AR866" i="2"/>
  <c r="AT868" i="2"/>
  <c r="Q870" i="2"/>
  <c r="U870" i="2"/>
  <c r="AR870" i="2"/>
  <c r="AT872" i="2"/>
  <c r="Q874" i="2"/>
  <c r="U874" i="2"/>
  <c r="AR874" i="2"/>
  <c r="AT876" i="2"/>
  <c r="Q878" i="2"/>
  <c r="U878" i="2"/>
  <c r="AR878" i="2"/>
  <c r="AT880" i="2"/>
  <c r="Q882" i="2"/>
  <c r="U882" i="2"/>
  <c r="AR882" i="2"/>
  <c r="AT884" i="2"/>
  <c r="Q886" i="2"/>
  <c r="U886" i="2"/>
  <c r="AR886" i="2"/>
  <c r="AT888" i="2"/>
  <c r="Q890" i="2"/>
  <c r="U890" i="2"/>
  <c r="AR890" i="2"/>
  <c r="AT892" i="2"/>
  <c r="Q894" i="2"/>
  <c r="U894" i="2"/>
  <c r="AR894" i="2"/>
  <c r="AT896" i="2"/>
  <c r="Q898" i="2"/>
  <c r="U898" i="2"/>
  <c r="AR898" i="2"/>
  <c r="AT900" i="2"/>
  <c r="Q902" i="2"/>
  <c r="U902" i="2"/>
  <c r="AR902" i="2"/>
  <c r="AT904" i="2"/>
  <c r="Q906" i="2"/>
  <c r="U906" i="2"/>
  <c r="AR906" i="2"/>
  <c r="AT908" i="2"/>
  <c r="Q910" i="2"/>
  <c r="U910" i="2"/>
  <c r="AR910" i="2"/>
  <c r="AT912" i="2"/>
  <c r="Q914" i="2"/>
  <c r="U914" i="2"/>
  <c r="AR914" i="2"/>
  <c r="AT916" i="2"/>
  <c r="Q918" i="2"/>
  <c r="U918" i="2"/>
  <c r="AR918" i="2"/>
  <c r="AT920" i="2"/>
  <c r="Q922" i="2"/>
  <c r="U922" i="2"/>
  <c r="AR922" i="2"/>
  <c r="AT924" i="2"/>
  <c r="Q926" i="2"/>
  <c r="U926" i="2"/>
  <c r="AR926" i="2"/>
  <c r="AT928" i="2"/>
  <c r="Q930" i="2"/>
  <c r="U930" i="2"/>
  <c r="AR930" i="2"/>
  <c r="AT932" i="2"/>
  <c r="Q934" i="2"/>
  <c r="U934" i="2"/>
  <c r="AR934" i="2"/>
  <c r="AT936" i="2"/>
  <c r="Q938" i="2"/>
  <c r="U938" i="2"/>
  <c r="AR938" i="2"/>
  <c r="AT940" i="2"/>
  <c r="Q942" i="2"/>
  <c r="U942" i="2"/>
  <c r="AR942" i="2"/>
  <c r="AT944" i="2"/>
  <c r="Q946" i="2"/>
  <c r="U946" i="2"/>
  <c r="AR946" i="2"/>
  <c r="AT948" i="2"/>
  <c r="Q950" i="2"/>
  <c r="U950" i="2"/>
  <c r="AR950" i="2"/>
  <c r="AT952" i="2"/>
  <c r="Q954" i="2"/>
  <c r="U954" i="2"/>
  <c r="AR954" i="2"/>
  <c r="AT956" i="2"/>
  <c r="Q958" i="2"/>
  <c r="U958" i="2"/>
  <c r="AR958" i="2"/>
  <c r="AT960" i="2"/>
  <c r="Q962" i="2"/>
  <c r="U962" i="2"/>
  <c r="AR962" i="2"/>
  <c r="AT964" i="2"/>
  <c r="Q966" i="2"/>
  <c r="U966" i="2"/>
  <c r="AR966" i="2"/>
  <c r="AT968" i="2"/>
  <c r="Q970" i="2"/>
  <c r="U970" i="2"/>
  <c r="AR970" i="2"/>
  <c r="AT972" i="2"/>
  <c r="AR977" i="2"/>
  <c r="U977" i="2"/>
  <c r="Q977" i="2"/>
  <c r="T977" i="2"/>
  <c r="AS977" i="2"/>
  <c r="AU981" i="2"/>
  <c r="AR985" i="2"/>
  <c r="U985" i="2"/>
  <c r="Q985" i="2"/>
  <c r="T985" i="2"/>
  <c r="AS985" i="2"/>
  <c r="AU989" i="2"/>
  <c r="AR993" i="2"/>
  <c r="U993" i="2"/>
  <c r="Q993" i="2"/>
  <c r="T993" i="2"/>
  <c r="AS993" i="2"/>
  <c r="AU997" i="2"/>
  <c r="AR1001" i="2"/>
  <c r="U1001" i="2"/>
  <c r="Q1001" i="2"/>
  <c r="T1001" i="2"/>
  <c r="AS1001" i="2"/>
  <c r="AU1005" i="2"/>
  <c r="AU1008" i="2"/>
  <c r="T1008" i="2"/>
  <c r="AS1008" i="2"/>
  <c r="V1008" i="2"/>
  <c r="AS1010" i="2"/>
  <c r="V1010" i="2"/>
  <c r="U1010" i="2"/>
  <c r="AT1010" i="2"/>
  <c r="AS1012" i="2"/>
  <c r="AI1014" i="2"/>
  <c r="AR1014" i="2"/>
  <c r="AR1017" i="2"/>
  <c r="U1017" i="2"/>
  <c r="Q1017" i="2"/>
  <c r="AU1017" i="2"/>
  <c r="V1017" i="2"/>
  <c r="AT1017" i="2"/>
  <c r="AR1025" i="2"/>
  <c r="U1025" i="2"/>
  <c r="Q1025" i="2"/>
  <c r="AU1025" i="2"/>
  <c r="AU1028" i="2"/>
  <c r="T1028" i="2"/>
  <c r="AR1028" i="2"/>
  <c r="V1028" i="2"/>
  <c r="Q1028" i="2"/>
  <c r="AS1030" i="2"/>
  <c r="V1030" i="2"/>
  <c r="AU1030" i="2"/>
  <c r="Q1030" i="2"/>
  <c r="AT1030" i="2"/>
  <c r="U1030" i="2"/>
  <c r="T1041" i="2"/>
  <c r="AS1041" i="2"/>
  <c r="AI1043" i="2"/>
  <c r="U1044" i="2"/>
  <c r="AT1044" i="2"/>
  <c r="T1046" i="2"/>
  <c r="AR1057" i="2"/>
  <c r="U1057" i="2"/>
  <c r="Q1057" i="2"/>
  <c r="AU1057" i="2"/>
  <c r="AU1060" i="2"/>
  <c r="T1060" i="2"/>
  <c r="AR1060" i="2"/>
  <c r="V1060" i="2"/>
  <c r="Q1060" i="2"/>
  <c r="AS1062" i="2"/>
  <c r="V1062" i="2"/>
  <c r="AU1062" i="2"/>
  <c r="Q1062" i="2"/>
  <c r="AT1062" i="2"/>
  <c r="U1062" i="2"/>
  <c r="AS1070" i="2"/>
  <c r="V1070" i="2"/>
  <c r="AU1070" i="2"/>
  <c r="Q1070" i="2"/>
  <c r="AT1070" i="2"/>
  <c r="U1070" i="2"/>
  <c r="AR1070" i="2"/>
  <c r="AS1078" i="2"/>
  <c r="V1078" i="2"/>
  <c r="AU1078" i="2"/>
  <c r="Q1078" i="2"/>
  <c r="AT1078" i="2"/>
  <c r="U1078" i="2"/>
  <c r="AR1078" i="2"/>
  <c r="AS1086" i="2"/>
  <c r="V1086" i="2"/>
  <c r="AU1086" i="2"/>
  <c r="Q1086" i="2"/>
  <c r="AT1086" i="2"/>
  <c r="U1086" i="2"/>
  <c r="AR1086" i="2"/>
  <c r="AS1094" i="2"/>
  <c r="V1094" i="2"/>
  <c r="AU1094" i="2"/>
  <c r="Q1094" i="2"/>
  <c r="AT1094" i="2"/>
  <c r="U1094" i="2"/>
  <c r="AR1094" i="2"/>
  <c r="AS1102" i="2"/>
  <c r="V1102" i="2"/>
  <c r="AU1102" i="2"/>
  <c r="Q1102" i="2"/>
  <c r="AT1102" i="2"/>
  <c r="U1102" i="2"/>
  <c r="AR1102" i="2"/>
  <c r="AS1110" i="2"/>
  <c r="V1110" i="2"/>
  <c r="AU1110" i="2"/>
  <c r="Q1110" i="2"/>
  <c r="AT1110" i="2"/>
  <c r="U1110" i="2"/>
  <c r="AR1110" i="2"/>
  <c r="AS1118" i="2"/>
  <c r="V1118" i="2"/>
  <c r="AU1118" i="2"/>
  <c r="Q1118" i="2"/>
  <c r="AT1118" i="2"/>
  <c r="U1118" i="2"/>
  <c r="AR1118" i="2"/>
  <c r="AU1124" i="2"/>
  <c r="T1124" i="2"/>
  <c r="AS1124" i="2"/>
  <c r="AR1124" i="2"/>
  <c r="V1124" i="2"/>
  <c r="Q1124" i="2"/>
  <c r="T1126" i="2"/>
  <c r="AR1126" i="2"/>
  <c r="U1132" i="2"/>
  <c r="AT1132" i="2"/>
  <c r="AS1142" i="2"/>
  <c r="V1142" i="2"/>
  <c r="AU1142" i="2"/>
  <c r="Q1142" i="2"/>
  <c r="AT1142" i="2"/>
  <c r="U1142" i="2"/>
  <c r="U1156" i="2"/>
  <c r="AT1156" i="2"/>
  <c r="AI1162" i="2"/>
  <c r="AU1164" i="2"/>
  <c r="T1164" i="2"/>
  <c r="AS1164" i="2"/>
  <c r="AR1164" i="2"/>
  <c r="V1164" i="2"/>
  <c r="Q1164" i="2"/>
  <c r="T1166" i="2"/>
  <c r="AR1166" i="2"/>
  <c r="AS1174" i="2"/>
  <c r="V1174" i="2"/>
  <c r="AU1174" i="2"/>
  <c r="Q1174" i="2"/>
  <c r="AT1174" i="2"/>
  <c r="U1174" i="2"/>
  <c r="AU1188" i="2"/>
  <c r="T1188" i="2"/>
  <c r="U1188" i="2"/>
  <c r="AT1188" i="2"/>
  <c r="AS1190" i="2"/>
  <c r="V1190" i="2"/>
  <c r="T1190" i="2"/>
  <c r="AR1190" i="2"/>
  <c r="AU1196" i="2"/>
  <c r="T1196" i="2"/>
  <c r="U1196" i="2"/>
  <c r="AT1196" i="2"/>
  <c r="AS1198" i="2"/>
  <c r="V1198" i="2"/>
  <c r="T1198" i="2"/>
  <c r="AR1198" i="2"/>
  <c r="AU1204" i="2"/>
  <c r="T1204" i="2"/>
  <c r="U1204" i="2"/>
  <c r="AT1204" i="2"/>
  <c r="AS1206" i="2"/>
  <c r="V1206" i="2"/>
  <c r="T1206" i="2"/>
  <c r="AR1206" i="2"/>
  <c r="AU1212" i="2"/>
  <c r="T1212" i="2"/>
  <c r="U1212" i="2"/>
  <c r="AT1212" i="2"/>
  <c r="AS1214" i="2"/>
  <c r="V1214" i="2"/>
  <c r="T1214" i="2"/>
  <c r="AR1214" i="2"/>
  <c r="AU1220" i="2"/>
  <c r="T1220" i="2"/>
  <c r="U1220" i="2"/>
  <c r="AT1220" i="2"/>
  <c r="AS1222" i="2"/>
  <c r="V1222" i="2"/>
  <c r="T1222" i="2"/>
  <c r="AR1222" i="2"/>
  <c r="AU1228" i="2"/>
  <c r="T1228" i="2"/>
  <c r="U1228" i="2"/>
  <c r="AT1228" i="2"/>
  <c r="AS1230" i="2"/>
  <c r="V1230" i="2"/>
  <c r="T1230" i="2"/>
  <c r="AR1230" i="2"/>
  <c r="AU1236" i="2"/>
  <c r="T1236" i="2"/>
  <c r="U1236" i="2"/>
  <c r="AT1236" i="2"/>
  <c r="AS1238" i="2"/>
  <c r="V1238" i="2"/>
  <c r="T1238" i="2"/>
  <c r="AR1238" i="2"/>
  <c r="AU1244" i="2"/>
  <c r="T1244" i="2"/>
  <c r="U1244" i="2"/>
  <c r="AT1244" i="2"/>
  <c r="AS1246" i="2"/>
  <c r="V1246" i="2"/>
  <c r="T1246" i="2"/>
  <c r="AR1246" i="2"/>
  <c r="AU1252" i="2"/>
  <c r="T1252" i="2"/>
  <c r="U1252" i="2"/>
  <c r="AT1252" i="2"/>
  <c r="AS1254" i="2"/>
  <c r="V1254" i="2"/>
  <c r="T1254" i="2"/>
  <c r="AR1254" i="2"/>
  <c r="AU1260" i="2"/>
  <c r="T1260" i="2"/>
  <c r="U1260" i="2"/>
  <c r="AT1260" i="2"/>
  <c r="AS1262" i="2"/>
  <c r="V1262" i="2"/>
  <c r="T1262" i="2"/>
  <c r="AR1262" i="2"/>
  <c r="AI1267" i="2"/>
  <c r="AR1270" i="2"/>
  <c r="U1270" i="2"/>
  <c r="Q1270" i="2"/>
  <c r="AU1270" i="2"/>
  <c r="V1270" i="2"/>
  <c r="AT1270" i="2"/>
  <c r="AR1278" i="2"/>
  <c r="U1278" i="2"/>
  <c r="Q1278" i="2"/>
  <c r="AU1278" i="2"/>
  <c r="AT1278" i="2"/>
  <c r="V1278" i="2"/>
  <c r="AS1287" i="2"/>
  <c r="V1287" i="2"/>
  <c r="AU1287" i="2"/>
  <c r="Q1287" i="2"/>
  <c r="AU1301" i="2"/>
  <c r="T1301" i="2"/>
  <c r="AS1301" i="2"/>
  <c r="V1301" i="2"/>
  <c r="AT1301" i="2"/>
  <c r="Q1301" i="2"/>
  <c r="AS1303" i="2"/>
  <c r="V1303" i="2"/>
  <c r="AU1303" i="2"/>
  <c r="T1303" i="2"/>
  <c r="AT1303" i="2"/>
  <c r="Q1303" i="2"/>
  <c r="AR1013" i="2"/>
  <c r="U1013" i="2"/>
  <c r="Q1013" i="2"/>
  <c r="T1013" i="2"/>
  <c r="AS1013" i="2"/>
  <c r="AR1021" i="2"/>
  <c r="U1021" i="2"/>
  <c r="Q1021" i="2"/>
  <c r="T1021" i="2"/>
  <c r="AS1021" i="2"/>
  <c r="AI1022" i="2"/>
  <c r="AS1024" i="2"/>
  <c r="AR1029" i="2"/>
  <c r="U1029" i="2"/>
  <c r="Q1029" i="2"/>
  <c r="T1029" i="2"/>
  <c r="AS1029" i="2"/>
  <c r="AI1030" i="2"/>
  <c r="AS1032" i="2"/>
  <c r="AR1037" i="2"/>
  <c r="U1037" i="2"/>
  <c r="Q1037" i="2"/>
  <c r="T1037" i="2"/>
  <c r="AS1037" i="2"/>
  <c r="AI1038" i="2"/>
  <c r="AS1040" i="2"/>
  <c r="AR1045" i="2"/>
  <c r="U1045" i="2"/>
  <c r="Q1045" i="2"/>
  <c r="T1045" i="2"/>
  <c r="AS1045" i="2"/>
  <c r="AI1046" i="2"/>
  <c r="AS1048" i="2"/>
  <c r="AR1053" i="2"/>
  <c r="U1053" i="2"/>
  <c r="Q1053" i="2"/>
  <c r="T1053" i="2"/>
  <c r="AS1053" i="2"/>
  <c r="AI1054" i="2"/>
  <c r="AS1056" i="2"/>
  <c r="AR1061" i="2"/>
  <c r="U1061" i="2"/>
  <c r="Q1061" i="2"/>
  <c r="T1061" i="2"/>
  <c r="AS1061" i="2"/>
  <c r="AI1062" i="2"/>
  <c r="AS1064" i="2"/>
  <c r="AR1069" i="2"/>
  <c r="U1069" i="2"/>
  <c r="Q1069" i="2"/>
  <c r="T1069" i="2"/>
  <c r="AS1069" i="2"/>
  <c r="AI1070" i="2"/>
  <c r="AS1072" i="2"/>
  <c r="AU1073" i="2"/>
  <c r="AR1077" i="2"/>
  <c r="U1077" i="2"/>
  <c r="Q1077" i="2"/>
  <c r="T1077" i="2"/>
  <c r="AS1077" i="2"/>
  <c r="AI1078" i="2"/>
  <c r="AS1080" i="2"/>
  <c r="AU1081" i="2"/>
  <c r="AR1085" i="2"/>
  <c r="U1085" i="2"/>
  <c r="Q1085" i="2"/>
  <c r="T1085" i="2"/>
  <c r="AS1085" i="2"/>
  <c r="AI1086" i="2"/>
  <c r="AS1088" i="2"/>
  <c r="AU1089" i="2"/>
  <c r="AR1093" i="2"/>
  <c r="U1093" i="2"/>
  <c r="Q1093" i="2"/>
  <c r="T1093" i="2"/>
  <c r="AS1093" i="2"/>
  <c r="AI1094" i="2"/>
  <c r="AS1096" i="2"/>
  <c r="AU1097" i="2"/>
  <c r="AR1101" i="2"/>
  <c r="U1101" i="2"/>
  <c r="Q1101" i="2"/>
  <c r="T1101" i="2"/>
  <c r="AS1101" i="2"/>
  <c r="AI1102" i="2"/>
  <c r="AS1104" i="2"/>
  <c r="AU1105" i="2"/>
  <c r="AR1109" i="2"/>
  <c r="U1109" i="2"/>
  <c r="Q1109" i="2"/>
  <c r="T1109" i="2"/>
  <c r="AS1109" i="2"/>
  <c r="AI1110" i="2"/>
  <c r="AS1112" i="2"/>
  <c r="AU1113" i="2"/>
  <c r="AR1117" i="2"/>
  <c r="U1117" i="2"/>
  <c r="Q1117" i="2"/>
  <c r="T1117" i="2"/>
  <c r="AS1117" i="2"/>
  <c r="AI1118" i="2"/>
  <c r="AS1120" i="2"/>
  <c r="AU1121" i="2"/>
  <c r="AR1125" i="2"/>
  <c r="U1125" i="2"/>
  <c r="Q1125" i="2"/>
  <c r="T1125" i="2"/>
  <c r="AS1125" i="2"/>
  <c r="AS1128" i="2"/>
  <c r="AU1129" i="2"/>
  <c r="AR1133" i="2"/>
  <c r="U1133" i="2"/>
  <c r="Q1133" i="2"/>
  <c r="T1133" i="2"/>
  <c r="AS1133" i="2"/>
  <c r="AI1134" i="2"/>
  <c r="AS1136" i="2"/>
  <c r="AU1137" i="2"/>
  <c r="AR1141" i="2"/>
  <c r="U1141" i="2"/>
  <c r="Q1141" i="2"/>
  <c r="T1141" i="2"/>
  <c r="AS1141" i="2"/>
  <c r="AU1145" i="2"/>
  <c r="AR1149" i="2"/>
  <c r="U1149" i="2"/>
  <c r="Q1149" i="2"/>
  <c r="T1149" i="2"/>
  <c r="AS1149" i="2"/>
  <c r="AU1153" i="2"/>
  <c r="AR1157" i="2"/>
  <c r="U1157" i="2"/>
  <c r="Q1157" i="2"/>
  <c r="T1157" i="2"/>
  <c r="AS1157" i="2"/>
  <c r="AU1161" i="2"/>
  <c r="AR1165" i="2"/>
  <c r="U1165" i="2"/>
  <c r="Q1165" i="2"/>
  <c r="T1165" i="2"/>
  <c r="AS1165" i="2"/>
  <c r="AU1169" i="2"/>
  <c r="AR1173" i="2"/>
  <c r="U1173" i="2"/>
  <c r="Q1173" i="2"/>
  <c r="T1173" i="2"/>
  <c r="AS1173" i="2"/>
  <c r="AU1177" i="2"/>
  <c r="AR1181" i="2"/>
  <c r="U1181" i="2"/>
  <c r="Q1181" i="2"/>
  <c r="T1181" i="2"/>
  <c r="AS1181" i="2"/>
  <c r="AU1185" i="2"/>
  <c r="Q1188" i="2"/>
  <c r="V1188" i="2"/>
  <c r="AR1189" i="2"/>
  <c r="U1189" i="2"/>
  <c r="Q1189" i="2"/>
  <c r="T1189" i="2"/>
  <c r="AS1189" i="2"/>
  <c r="U1190" i="2"/>
  <c r="AT1190" i="2"/>
  <c r="AU1193" i="2"/>
  <c r="Q1196" i="2"/>
  <c r="V1196" i="2"/>
  <c r="AR1197" i="2"/>
  <c r="U1197" i="2"/>
  <c r="Q1197" i="2"/>
  <c r="T1197" i="2"/>
  <c r="AS1197" i="2"/>
  <c r="U1198" i="2"/>
  <c r="AT1198" i="2"/>
  <c r="AU1201" i="2"/>
  <c r="Q1204" i="2"/>
  <c r="V1204" i="2"/>
  <c r="AR1205" i="2"/>
  <c r="U1205" i="2"/>
  <c r="Q1205" i="2"/>
  <c r="T1205" i="2"/>
  <c r="AS1205" i="2"/>
  <c r="U1206" i="2"/>
  <c r="AT1206" i="2"/>
  <c r="AU1209" i="2"/>
  <c r="Q1212" i="2"/>
  <c r="V1212" i="2"/>
  <c r="AR1213" i="2"/>
  <c r="U1213" i="2"/>
  <c r="Q1213" i="2"/>
  <c r="T1213" i="2"/>
  <c r="AS1213" i="2"/>
  <c r="U1214" i="2"/>
  <c r="AT1214" i="2"/>
  <c r="AS1216" i="2"/>
  <c r="AU1217" i="2"/>
  <c r="Q1220" i="2"/>
  <c r="V1220" i="2"/>
  <c r="AR1221" i="2"/>
  <c r="U1221" i="2"/>
  <c r="Q1221" i="2"/>
  <c r="T1221" i="2"/>
  <c r="AS1221" i="2"/>
  <c r="U1222" i="2"/>
  <c r="AT1222" i="2"/>
  <c r="AU1225" i="2"/>
  <c r="Q1228" i="2"/>
  <c r="V1228" i="2"/>
  <c r="AR1229" i="2"/>
  <c r="U1229" i="2"/>
  <c r="Q1229" i="2"/>
  <c r="T1229" i="2"/>
  <c r="AS1229" i="2"/>
  <c r="U1230" i="2"/>
  <c r="AT1230" i="2"/>
  <c r="AU1233" i="2"/>
  <c r="Q1236" i="2"/>
  <c r="V1236" i="2"/>
  <c r="AR1237" i="2"/>
  <c r="U1237" i="2"/>
  <c r="Q1237" i="2"/>
  <c r="T1237" i="2"/>
  <c r="AS1237" i="2"/>
  <c r="U1238" i="2"/>
  <c r="AT1238" i="2"/>
  <c r="Q1244" i="2"/>
  <c r="V1244" i="2"/>
  <c r="AR1245" i="2"/>
  <c r="U1245" i="2"/>
  <c r="Q1245" i="2"/>
  <c r="T1245" i="2"/>
  <c r="AS1245" i="2"/>
  <c r="U1246" i="2"/>
  <c r="AT1246" i="2"/>
  <c r="Q1252" i="2"/>
  <c r="V1252" i="2"/>
  <c r="AR1253" i="2"/>
  <c r="U1253" i="2"/>
  <c r="Q1253" i="2"/>
  <c r="T1253" i="2"/>
  <c r="AS1253" i="2"/>
  <c r="U1254" i="2"/>
  <c r="AT1254" i="2"/>
  <c r="Q1260" i="2"/>
  <c r="V1260" i="2"/>
  <c r="AR1261" i="2"/>
  <c r="U1261" i="2"/>
  <c r="Q1261" i="2"/>
  <c r="T1261" i="2"/>
  <c r="AS1261" i="2"/>
  <c r="U1262" i="2"/>
  <c r="AT1262" i="2"/>
  <c r="AU1269" i="2"/>
  <c r="T1269" i="2"/>
  <c r="AS1269" i="2"/>
  <c r="V1269" i="2"/>
  <c r="AS1271" i="2"/>
  <c r="V1271" i="2"/>
  <c r="AU1271" i="2"/>
  <c r="U1271" i="2"/>
  <c r="AI1283" i="2"/>
  <c r="AU1285" i="2"/>
  <c r="T1285" i="2"/>
  <c r="AS1285" i="2"/>
  <c r="AR1285" i="2"/>
  <c r="AU1297" i="2"/>
  <c r="T1297" i="2"/>
  <c r="AS1297" i="2"/>
  <c r="V1297" i="2"/>
  <c r="U1297" i="2"/>
  <c r="U1301" i="2"/>
  <c r="U1303" i="2"/>
  <c r="AU1317" i="2"/>
  <c r="T1317" i="2"/>
  <c r="AS1317" i="2"/>
  <c r="V1317" i="2"/>
  <c r="AR1317" i="2"/>
  <c r="U1317" i="2"/>
  <c r="Q1317" i="2"/>
  <c r="AT1317" i="2"/>
  <c r="AU1329" i="2"/>
  <c r="T1329" i="2"/>
  <c r="AS1329" i="2"/>
  <c r="V1329" i="2"/>
  <c r="AR1329" i="2"/>
  <c r="U1329" i="2"/>
  <c r="Q1329" i="2"/>
  <c r="AT1329" i="2"/>
  <c r="AU1349" i="2"/>
  <c r="T1349" i="2"/>
  <c r="AS1349" i="2"/>
  <c r="V1349" i="2"/>
  <c r="AR1349" i="2"/>
  <c r="U1349" i="2"/>
  <c r="Q1349" i="2"/>
  <c r="AT1349" i="2"/>
  <c r="AU1024" i="2"/>
  <c r="T1024" i="2"/>
  <c r="U1024" i="2"/>
  <c r="AT1024" i="2"/>
  <c r="AS1026" i="2"/>
  <c r="V1026" i="2"/>
  <c r="T1026" i="2"/>
  <c r="AR1026" i="2"/>
  <c r="AU1032" i="2"/>
  <c r="T1032" i="2"/>
  <c r="U1032" i="2"/>
  <c r="AT1032" i="2"/>
  <c r="AS1034" i="2"/>
  <c r="V1034" i="2"/>
  <c r="T1034" i="2"/>
  <c r="AR1034" i="2"/>
  <c r="AU1040" i="2"/>
  <c r="T1040" i="2"/>
  <c r="U1040" i="2"/>
  <c r="AT1040" i="2"/>
  <c r="AS1042" i="2"/>
  <c r="V1042" i="2"/>
  <c r="T1042" i="2"/>
  <c r="AR1042" i="2"/>
  <c r="AU1048" i="2"/>
  <c r="T1048" i="2"/>
  <c r="U1048" i="2"/>
  <c r="AT1048" i="2"/>
  <c r="AS1050" i="2"/>
  <c r="V1050" i="2"/>
  <c r="T1050" i="2"/>
  <c r="AR1050" i="2"/>
  <c r="AU1056" i="2"/>
  <c r="T1056" i="2"/>
  <c r="U1056" i="2"/>
  <c r="AT1056" i="2"/>
  <c r="AS1058" i="2"/>
  <c r="V1058" i="2"/>
  <c r="T1058" i="2"/>
  <c r="AR1058" i="2"/>
  <c r="AU1064" i="2"/>
  <c r="T1064" i="2"/>
  <c r="U1064" i="2"/>
  <c r="AT1064" i="2"/>
  <c r="AS1066" i="2"/>
  <c r="V1066" i="2"/>
  <c r="T1066" i="2"/>
  <c r="AR1066" i="2"/>
  <c r="AI1067" i="2"/>
  <c r="AU1072" i="2"/>
  <c r="T1072" i="2"/>
  <c r="U1072" i="2"/>
  <c r="AT1072" i="2"/>
  <c r="AS1074" i="2"/>
  <c r="V1074" i="2"/>
  <c r="T1074" i="2"/>
  <c r="AR1074" i="2"/>
  <c r="AI1075" i="2"/>
  <c r="AU1080" i="2"/>
  <c r="T1080" i="2"/>
  <c r="U1080" i="2"/>
  <c r="AT1080" i="2"/>
  <c r="AS1082" i="2"/>
  <c r="V1082" i="2"/>
  <c r="T1082" i="2"/>
  <c r="AR1082" i="2"/>
  <c r="AI1083" i="2"/>
  <c r="AU1088" i="2"/>
  <c r="T1088" i="2"/>
  <c r="U1088" i="2"/>
  <c r="AT1088" i="2"/>
  <c r="AS1090" i="2"/>
  <c r="V1090" i="2"/>
  <c r="T1090" i="2"/>
  <c r="AR1090" i="2"/>
  <c r="AI1091" i="2"/>
  <c r="AU1096" i="2"/>
  <c r="T1096" i="2"/>
  <c r="U1096" i="2"/>
  <c r="AT1096" i="2"/>
  <c r="AS1098" i="2"/>
  <c r="V1098" i="2"/>
  <c r="T1098" i="2"/>
  <c r="AR1098" i="2"/>
  <c r="AI1099" i="2"/>
  <c r="AU1104" i="2"/>
  <c r="T1104" i="2"/>
  <c r="U1104" i="2"/>
  <c r="AT1104" i="2"/>
  <c r="AS1106" i="2"/>
  <c r="V1106" i="2"/>
  <c r="T1106" i="2"/>
  <c r="AR1106" i="2"/>
  <c r="AU1112" i="2"/>
  <c r="T1112" i="2"/>
  <c r="U1112" i="2"/>
  <c r="AT1112" i="2"/>
  <c r="AS1114" i="2"/>
  <c r="V1114" i="2"/>
  <c r="T1114" i="2"/>
  <c r="AR1114" i="2"/>
  <c r="AI1115" i="2"/>
  <c r="V1117" i="2"/>
  <c r="AT1117" i="2"/>
  <c r="AU1120" i="2"/>
  <c r="T1120" i="2"/>
  <c r="U1120" i="2"/>
  <c r="AT1120" i="2"/>
  <c r="AS1122" i="2"/>
  <c r="V1122" i="2"/>
  <c r="T1122" i="2"/>
  <c r="AR1122" i="2"/>
  <c r="AI1123" i="2"/>
  <c r="V1125" i="2"/>
  <c r="AT1125" i="2"/>
  <c r="AU1128" i="2"/>
  <c r="T1128" i="2"/>
  <c r="U1128" i="2"/>
  <c r="AT1128" i="2"/>
  <c r="AS1130" i="2"/>
  <c r="V1130" i="2"/>
  <c r="T1130" i="2"/>
  <c r="AR1130" i="2"/>
  <c r="AI1131" i="2"/>
  <c r="V1133" i="2"/>
  <c r="AT1133" i="2"/>
  <c r="AU1136" i="2"/>
  <c r="T1136" i="2"/>
  <c r="U1136" i="2"/>
  <c r="AT1136" i="2"/>
  <c r="AS1138" i="2"/>
  <c r="V1138" i="2"/>
  <c r="T1138" i="2"/>
  <c r="AR1138" i="2"/>
  <c r="V1141" i="2"/>
  <c r="AT1141" i="2"/>
  <c r="AU1144" i="2"/>
  <c r="T1144" i="2"/>
  <c r="U1144" i="2"/>
  <c r="AT1144" i="2"/>
  <c r="AS1146" i="2"/>
  <c r="V1146" i="2"/>
  <c r="T1146" i="2"/>
  <c r="AR1146" i="2"/>
  <c r="AI1147" i="2"/>
  <c r="V1149" i="2"/>
  <c r="AT1149" i="2"/>
  <c r="AU1152" i="2"/>
  <c r="T1152" i="2"/>
  <c r="U1152" i="2"/>
  <c r="AT1152" i="2"/>
  <c r="AS1154" i="2"/>
  <c r="V1154" i="2"/>
  <c r="T1154" i="2"/>
  <c r="AR1154" i="2"/>
  <c r="V1157" i="2"/>
  <c r="AT1157" i="2"/>
  <c r="AU1160" i="2"/>
  <c r="T1160" i="2"/>
  <c r="U1160" i="2"/>
  <c r="AT1160" i="2"/>
  <c r="AS1162" i="2"/>
  <c r="V1162" i="2"/>
  <c r="T1162" i="2"/>
  <c r="AR1162" i="2"/>
  <c r="AI1163" i="2"/>
  <c r="V1165" i="2"/>
  <c r="AT1165" i="2"/>
  <c r="AU1168" i="2"/>
  <c r="T1168" i="2"/>
  <c r="U1168" i="2"/>
  <c r="AT1168" i="2"/>
  <c r="AS1170" i="2"/>
  <c r="V1170" i="2"/>
  <c r="T1170" i="2"/>
  <c r="AR1170" i="2"/>
  <c r="AI1171" i="2"/>
  <c r="V1173" i="2"/>
  <c r="AT1173" i="2"/>
  <c r="AU1176" i="2"/>
  <c r="T1176" i="2"/>
  <c r="U1176" i="2"/>
  <c r="AT1176" i="2"/>
  <c r="AS1178" i="2"/>
  <c r="V1178" i="2"/>
  <c r="T1178" i="2"/>
  <c r="AR1178" i="2"/>
  <c r="AI1179" i="2"/>
  <c r="V1181" i="2"/>
  <c r="AT1181" i="2"/>
  <c r="AU1184" i="2"/>
  <c r="T1184" i="2"/>
  <c r="U1184" i="2"/>
  <c r="AT1184" i="2"/>
  <c r="AS1186" i="2"/>
  <c r="V1186" i="2"/>
  <c r="T1186" i="2"/>
  <c r="AR1186" i="2"/>
  <c r="AI1187" i="2"/>
  <c r="AR1188" i="2"/>
  <c r="V1189" i="2"/>
  <c r="AT1189" i="2"/>
  <c r="Q1190" i="2"/>
  <c r="AU1190" i="2"/>
  <c r="AU1192" i="2"/>
  <c r="T1192" i="2"/>
  <c r="U1192" i="2"/>
  <c r="AT1192" i="2"/>
  <c r="AS1194" i="2"/>
  <c r="V1194" i="2"/>
  <c r="T1194" i="2"/>
  <c r="AR1194" i="2"/>
  <c r="AR1196" i="2"/>
  <c r="V1197" i="2"/>
  <c r="AT1197" i="2"/>
  <c r="Q1198" i="2"/>
  <c r="AU1198" i="2"/>
  <c r="AU1200" i="2"/>
  <c r="T1200" i="2"/>
  <c r="U1200" i="2"/>
  <c r="AT1200" i="2"/>
  <c r="AS1202" i="2"/>
  <c r="V1202" i="2"/>
  <c r="T1202" i="2"/>
  <c r="AR1202" i="2"/>
  <c r="AR1204" i="2"/>
  <c r="V1205" i="2"/>
  <c r="AT1205" i="2"/>
  <c r="Q1206" i="2"/>
  <c r="AU1206" i="2"/>
  <c r="AU1208" i="2"/>
  <c r="T1208" i="2"/>
  <c r="U1208" i="2"/>
  <c r="AT1208" i="2"/>
  <c r="AS1210" i="2"/>
  <c r="V1210" i="2"/>
  <c r="T1210" i="2"/>
  <c r="AR1210" i="2"/>
  <c r="AI1211" i="2"/>
  <c r="AR1212" i="2"/>
  <c r="V1213" i="2"/>
  <c r="AT1213" i="2"/>
  <c r="Q1214" i="2"/>
  <c r="AU1214" i="2"/>
  <c r="AU1216" i="2"/>
  <c r="T1216" i="2"/>
  <c r="U1216" i="2"/>
  <c r="AT1216" i="2"/>
  <c r="AS1218" i="2"/>
  <c r="V1218" i="2"/>
  <c r="T1218" i="2"/>
  <c r="AR1218" i="2"/>
  <c r="AI1219" i="2"/>
  <c r="AR1220" i="2"/>
  <c r="V1221" i="2"/>
  <c r="AT1221" i="2"/>
  <c r="Q1222" i="2"/>
  <c r="AU1222" i="2"/>
  <c r="AU1224" i="2"/>
  <c r="T1224" i="2"/>
  <c r="U1224" i="2"/>
  <c r="AT1224" i="2"/>
  <c r="AS1226" i="2"/>
  <c r="V1226" i="2"/>
  <c r="T1226" i="2"/>
  <c r="AR1226" i="2"/>
  <c r="AR1228" i="2"/>
  <c r="V1229" i="2"/>
  <c r="AT1229" i="2"/>
  <c r="Q1230" i="2"/>
  <c r="AU1230" i="2"/>
  <c r="AU1232" i="2"/>
  <c r="T1232" i="2"/>
  <c r="U1232" i="2"/>
  <c r="AT1232" i="2"/>
  <c r="AS1234" i="2"/>
  <c r="V1234" i="2"/>
  <c r="T1234" i="2"/>
  <c r="AR1234" i="2"/>
  <c r="AR1236" i="2"/>
  <c r="V1237" i="2"/>
  <c r="AT1237" i="2"/>
  <c r="Q1238" i="2"/>
  <c r="AU1238" i="2"/>
  <c r="AU1240" i="2"/>
  <c r="T1240" i="2"/>
  <c r="U1240" i="2"/>
  <c r="AT1240" i="2"/>
  <c r="AS1242" i="2"/>
  <c r="V1242" i="2"/>
  <c r="T1242" i="2"/>
  <c r="AR1242" i="2"/>
  <c r="AR1244" i="2"/>
  <c r="V1245" i="2"/>
  <c r="AT1245" i="2"/>
  <c r="Q1246" i="2"/>
  <c r="AU1246" i="2"/>
  <c r="AU1248" i="2"/>
  <c r="T1248" i="2"/>
  <c r="U1248" i="2"/>
  <c r="AT1248" i="2"/>
  <c r="AS1250" i="2"/>
  <c r="V1250" i="2"/>
  <c r="T1250" i="2"/>
  <c r="AR1250" i="2"/>
  <c r="AR1252" i="2"/>
  <c r="V1253" i="2"/>
  <c r="AT1253" i="2"/>
  <c r="Q1254" i="2"/>
  <c r="AU1254" i="2"/>
  <c r="AU1256" i="2"/>
  <c r="T1256" i="2"/>
  <c r="U1256" i="2"/>
  <c r="AT1256" i="2"/>
  <c r="AS1258" i="2"/>
  <c r="V1258" i="2"/>
  <c r="T1258" i="2"/>
  <c r="AR1258" i="2"/>
  <c r="AR1260" i="2"/>
  <c r="V1261" i="2"/>
  <c r="AT1261" i="2"/>
  <c r="Q1262" i="2"/>
  <c r="AU1262" i="2"/>
  <c r="AU1265" i="2"/>
  <c r="T1265" i="2"/>
  <c r="V1265" i="2"/>
  <c r="Q1265" i="2"/>
  <c r="AS1267" i="2"/>
  <c r="V1267" i="2"/>
  <c r="AT1267" i="2"/>
  <c r="U1267" i="2"/>
  <c r="Q1269" i="2"/>
  <c r="AR1271" i="2"/>
  <c r="T1278" i="2"/>
  <c r="AS1278" i="2"/>
  <c r="AS1279" i="2"/>
  <c r="V1279" i="2"/>
  <c r="AU1279" i="2"/>
  <c r="Q1279" i="2"/>
  <c r="Q1285" i="2"/>
  <c r="AR1286" i="2"/>
  <c r="U1286" i="2"/>
  <c r="Q1286" i="2"/>
  <c r="AU1286" i="2"/>
  <c r="AT1286" i="2"/>
  <c r="V1286" i="2"/>
  <c r="T1287" i="2"/>
  <c r="AR1287" i="2"/>
  <c r="Q1297" i="2"/>
  <c r="AI1297" i="2"/>
  <c r="AS1299" i="2"/>
  <c r="V1299" i="2"/>
  <c r="AU1299" i="2"/>
  <c r="T1299" i="2"/>
  <c r="U1299" i="2"/>
  <c r="AR1301" i="2"/>
  <c r="AR1303" i="2"/>
  <c r="AR1073" i="2"/>
  <c r="U1073" i="2"/>
  <c r="Q1073" i="2"/>
  <c r="T1073" i="2"/>
  <c r="AS1073" i="2"/>
  <c r="AR1081" i="2"/>
  <c r="U1081" i="2"/>
  <c r="Q1081" i="2"/>
  <c r="T1081" i="2"/>
  <c r="AS1081" i="2"/>
  <c r="AR1089" i="2"/>
  <c r="U1089" i="2"/>
  <c r="Q1089" i="2"/>
  <c r="T1089" i="2"/>
  <c r="AS1089" i="2"/>
  <c r="AR1097" i="2"/>
  <c r="U1097" i="2"/>
  <c r="Q1097" i="2"/>
  <c r="T1097" i="2"/>
  <c r="AS1097" i="2"/>
  <c r="AR1105" i="2"/>
  <c r="U1105" i="2"/>
  <c r="Q1105" i="2"/>
  <c r="T1105" i="2"/>
  <c r="AS1105" i="2"/>
  <c r="AR1113" i="2"/>
  <c r="U1113" i="2"/>
  <c r="Q1113" i="2"/>
  <c r="T1113" i="2"/>
  <c r="AS1113" i="2"/>
  <c r="AR1121" i="2"/>
  <c r="U1121" i="2"/>
  <c r="Q1121" i="2"/>
  <c r="T1121" i="2"/>
  <c r="AS1121" i="2"/>
  <c r="AR1129" i="2"/>
  <c r="U1129" i="2"/>
  <c r="Q1129" i="2"/>
  <c r="T1129" i="2"/>
  <c r="AS1129" i="2"/>
  <c r="AR1137" i="2"/>
  <c r="U1137" i="2"/>
  <c r="Q1137" i="2"/>
  <c r="T1137" i="2"/>
  <c r="AS1137" i="2"/>
  <c r="AR1145" i="2"/>
  <c r="U1145" i="2"/>
  <c r="Q1145" i="2"/>
  <c r="T1145" i="2"/>
  <c r="AS1145" i="2"/>
  <c r="AR1153" i="2"/>
  <c r="U1153" i="2"/>
  <c r="Q1153" i="2"/>
  <c r="T1153" i="2"/>
  <c r="AS1153" i="2"/>
  <c r="AR1161" i="2"/>
  <c r="U1161" i="2"/>
  <c r="Q1161" i="2"/>
  <c r="T1161" i="2"/>
  <c r="AS1161" i="2"/>
  <c r="AR1169" i="2"/>
  <c r="U1169" i="2"/>
  <c r="Q1169" i="2"/>
  <c r="T1169" i="2"/>
  <c r="AS1169" i="2"/>
  <c r="AR1177" i="2"/>
  <c r="U1177" i="2"/>
  <c r="Q1177" i="2"/>
  <c r="T1177" i="2"/>
  <c r="AS1177" i="2"/>
  <c r="AR1185" i="2"/>
  <c r="U1185" i="2"/>
  <c r="Q1185" i="2"/>
  <c r="T1185" i="2"/>
  <c r="AS1185" i="2"/>
  <c r="AI1186" i="2"/>
  <c r="AS1188" i="2"/>
  <c r="AR1193" i="2"/>
  <c r="U1193" i="2"/>
  <c r="Q1193" i="2"/>
  <c r="T1193" i="2"/>
  <c r="AS1193" i="2"/>
  <c r="AI1194" i="2"/>
  <c r="AS1196" i="2"/>
  <c r="AR1201" i="2"/>
  <c r="U1201" i="2"/>
  <c r="Q1201" i="2"/>
  <c r="T1201" i="2"/>
  <c r="AS1201" i="2"/>
  <c r="AI1202" i="2"/>
  <c r="AS1204" i="2"/>
  <c r="AR1209" i="2"/>
  <c r="U1209" i="2"/>
  <c r="Q1209" i="2"/>
  <c r="T1209" i="2"/>
  <c r="AS1209" i="2"/>
  <c r="AI1210" i="2"/>
  <c r="AS1212" i="2"/>
  <c r="AR1217" i="2"/>
  <c r="U1217" i="2"/>
  <c r="Q1217" i="2"/>
  <c r="T1217" i="2"/>
  <c r="AS1217" i="2"/>
  <c r="AI1218" i="2"/>
  <c r="AS1220" i="2"/>
  <c r="AR1225" i="2"/>
  <c r="U1225" i="2"/>
  <c r="Q1225" i="2"/>
  <c r="T1225" i="2"/>
  <c r="AS1225" i="2"/>
  <c r="AI1226" i="2"/>
  <c r="AS1228" i="2"/>
  <c r="AR1233" i="2"/>
  <c r="U1233" i="2"/>
  <c r="Q1233" i="2"/>
  <c r="T1233" i="2"/>
  <c r="AS1233" i="2"/>
  <c r="AI1234" i="2"/>
  <c r="AS1236" i="2"/>
  <c r="AU1237" i="2"/>
  <c r="Q1240" i="2"/>
  <c r="V1240" i="2"/>
  <c r="AR1241" i="2"/>
  <c r="U1241" i="2"/>
  <c r="Q1241" i="2"/>
  <c r="T1241" i="2"/>
  <c r="AS1241" i="2"/>
  <c r="U1242" i="2"/>
  <c r="AI1242" i="2"/>
  <c r="AT1242" i="2"/>
  <c r="AS1244" i="2"/>
  <c r="AU1245" i="2"/>
  <c r="Q1248" i="2"/>
  <c r="V1248" i="2"/>
  <c r="AR1249" i="2"/>
  <c r="U1249" i="2"/>
  <c r="Q1249" i="2"/>
  <c r="T1249" i="2"/>
  <c r="AS1249" i="2"/>
  <c r="U1250" i="2"/>
  <c r="AI1250" i="2"/>
  <c r="AT1250" i="2"/>
  <c r="AS1252" i="2"/>
  <c r="AU1253" i="2"/>
  <c r="Q1256" i="2"/>
  <c r="V1256" i="2"/>
  <c r="AR1257" i="2"/>
  <c r="U1257" i="2"/>
  <c r="Q1257" i="2"/>
  <c r="T1257" i="2"/>
  <c r="AS1257" i="2"/>
  <c r="U1258" i="2"/>
  <c r="AI1258" i="2"/>
  <c r="AT1258" i="2"/>
  <c r="AS1260" i="2"/>
  <c r="AU1261" i="2"/>
  <c r="AR1265" i="2"/>
  <c r="Q1267" i="2"/>
  <c r="AR1269" i="2"/>
  <c r="T1270" i="2"/>
  <c r="AS1270" i="2"/>
  <c r="Q1271" i="2"/>
  <c r="AT1271" i="2"/>
  <c r="AI1275" i="2"/>
  <c r="AU1277" i="2"/>
  <c r="T1277" i="2"/>
  <c r="AS1277" i="2"/>
  <c r="AR1277" i="2"/>
  <c r="U1285" i="2"/>
  <c r="AT1285" i="2"/>
  <c r="U1287" i="2"/>
  <c r="AT1287" i="2"/>
  <c r="AR1297" i="2"/>
  <c r="Q1299" i="2"/>
  <c r="AI1299" i="2"/>
  <c r="AU1313" i="2"/>
  <c r="T1313" i="2"/>
  <c r="AS1313" i="2"/>
  <c r="V1313" i="2"/>
  <c r="AR1313" i="2"/>
  <c r="U1313" i="2"/>
  <c r="Q1313" i="2"/>
  <c r="AT1313" i="2"/>
  <c r="AU1333" i="2"/>
  <c r="T1333" i="2"/>
  <c r="AS1333" i="2"/>
  <c r="V1333" i="2"/>
  <c r="AR1333" i="2"/>
  <c r="U1333" i="2"/>
  <c r="Q1333" i="2"/>
  <c r="AT1333" i="2"/>
  <c r="AU1345" i="2"/>
  <c r="T1345" i="2"/>
  <c r="AS1345" i="2"/>
  <c r="V1345" i="2"/>
  <c r="AR1345" i="2"/>
  <c r="U1345" i="2"/>
  <c r="Q1345" i="2"/>
  <c r="AT1345" i="2"/>
  <c r="AU1273" i="2"/>
  <c r="T1273" i="2"/>
  <c r="U1273" i="2"/>
  <c r="AT1273" i="2"/>
  <c r="AS1275" i="2"/>
  <c r="V1275" i="2"/>
  <c r="T1275" i="2"/>
  <c r="AR1275" i="2"/>
  <c r="AU1281" i="2"/>
  <c r="T1281" i="2"/>
  <c r="U1281" i="2"/>
  <c r="AT1281" i="2"/>
  <c r="AS1283" i="2"/>
  <c r="V1283" i="2"/>
  <c r="T1283" i="2"/>
  <c r="AR1283" i="2"/>
  <c r="AU1289" i="2"/>
  <c r="T1289" i="2"/>
  <c r="AS1289" i="2"/>
  <c r="U1289" i="2"/>
  <c r="AR1289" i="2"/>
  <c r="AS1291" i="2"/>
  <c r="V1291" i="2"/>
  <c r="AU1291" i="2"/>
  <c r="T1291" i="2"/>
  <c r="AR1291" i="2"/>
  <c r="AU1305" i="2"/>
  <c r="T1305" i="2"/>
  <c r="AS1305" i="2"/>
  <c r="V1305" i="2"/>
  <c r="AR1305" i="2"/>
  <c r="AS1307" i="2"/>
  <c r="V1307" i="2"/>
  <c r="AU1307" i="2"/>
  <c r="T1307" i="2"/>
  <c r="AR1307" i="2"/>
  <c r="AU1321" i="2"/>
  <c r="T1321" i="2"/>
  <c r="AS1321" i="2"/>
  <c r="V1321" i="2"/>
  <c r="AR1321" i="2"/>
  <c r="U1321" i="2"/>
  <c r="Q1321" i="2"/>
  <c r="AU1337" i="2"/>
  <c r="T1337" i="2"/>
  <c r="AS1337" i="2"/>
  <c r="V1337" i="2"/>
  <c r="AR1337" i="2"/>
  <c r="U1337" i="2"/>
  <c r="Q1337" i="2"/>
  <c r="AU1353" i="2"/>
  <c r="T1353" i="2"/>
  <c r="AS1353" i="2"/>
  <c r="V1353" i="2"/>
  <c r="AR1353" i="2"/>
  <c r="U1353" i="2"/>
  <c r="Q1353" i="2"/>
  <c r="AT975" i="2"/>
  <c r="AT979" i="2"/>
  <c r="AT983" i="2"/>
  <c r="AT987" i="2"/>
  <c r="AT991" i="2"/>
  <c r="AT995" i="2"/>
  <c r="AT999" i="2"/>
  <c r="AT1003" i="2"/>
  <c r="AT1007" i="2"/>
  <c r="AT1011" i="2"/>
  <c r="AT1015" i="2"/>
  <c r="AT1019" i="2"/>
  <c r="AT1023" i="2"/>
  <c r="AT1027" i="2"/>
  <c r="AT1031" i="2"/>
  <c r="AT1035" i="2"/>
  <c r="AT1039" i="2"/>
  <c r="AT1043" i="2"/>
  <c r="AT1047" i="2"/>
  <c r="AT1051" i="2"/>
  <c r="AT1055" i="2"/>
  <c r="AT1059" i="2"/>
  <c r="AT1063" i="2"/>
  <c r="AT1067" i="2"/>
  <c r="AT1071" i="2"/>
  <c r="AT1075" i="2"/>
  <c r="AT1079" i="2"/>
  <c r="AT1083" i="2"/>
  <c r="AT1087" i="2"/>
  <c r="AT1091" i="2"/>
  <c r="AT1095" i="2"/>
  <c r="AT1099" i="2"/>
  <c r="AT1103" i="2"/>
  <c r="AT1107" i="2"/>
  <c r="AT1111" i="2"/>
  <c r="AT1115" i="2"/>
  <c r="AT1119" i="2"/>
  <c r="AT1123" i="2"/>
  <c r="AT1127" i="2"/>
  <c r="AT1131" i="2"/>
  <c r="AT1135" i="2"/>
  <c r="AT1139" i="2"/>
  <c r="AT1143" i="2"/>
  <c r="AT1147" i="2"/>
  <c r="AT1151" i="2"/>
  <c r="AT1155" i="2"/>
  <c r="AT1159" i="2"/>
  <c r="AT1163" i="2"/>
  <c r="AT1167" i="2"/>
  <c r="AT1171" i="2"/>
  <c r="AT1175" i="2"/>
  <c r="AT1179" i="2"/>
  <c r="AT1183" i="2"/>
  <c r="AT1187" i="2"/>
  <c r="AT1191" i="2"/>
  <c r="AT1195" i="2"/>
  <c r="AT1199" i="2"/>
  <c r="AT1203" i="2"/>
  <c r="AT1207" i="2"/>
  <c r="AT1211" i="2"/>
  <c r="AT1215" i="2"/>
  <c r="AT1219" i="2"/>
  <c r="AT1223" i="2"/>
  <c r="AT1227" i="2"/>
  <c r="AT1231" i="2"/>
  <c r="AT1235" i="2"/>
  <c r="AT1239" i="2"/>
  <c r="AT1243" i="2"/>
  <c r="AT1247" i="2"/>
  <c r="AT1251" i="2"/>
  <c r="AT1255" i="2"/>
  <c r="AT1259" i="2"/>
  <c r="AS1263" i="2"/>
  <c r="V1263" i="2"/>
  <c r="AR1266" i="2"/>
  <c r="U1266" i="2"/>
  <c r="Q1266" i="2"/>
  <c r="T1266" i="2"/>
  <c r="AS1266" i="2"/>
  <c r="Q1273" i="2"/>
  <c r="V1273" i="2"/>
  <c r="AR1274" i="2"/>
  <c r="U1274" i="2"/>
  <c r="Q1274" i="2"/>
  <c r="T1274" i="2"/>
  <c r="AS1274" i="2"/>
  <c r="U1275" i="2"/>
  <c r="AT1275" i="2"/>
  <c r="Q1281" i="2"/>
  <c r="V1281" i="2"/>
  <c r="AR1282" i="2"/>
  <c r="U1282" i="2"/>
  <c r="Q1282" i="2"/>
  <c r="T1282" i="2"/>
  <c r="AS1282" i="2"/>
  <c r="U1283" i="2"/>
  <c r="AT1283" i="2"/>
  <c r="Q1289" i="2"/>
  <c r="V1289" i="2"/>
  <c r="AT1289" i="2"/>
  <c r="Q1291" i="2"/>
  <c r="AT1291" i="2"/>
  <c r="AU1293" i="2"/>
  <c r="T1293" i="2"/>
  <c r="AS1293" i="2"/>
  <c r="V1293" i="2"/>
  <c r="AR1293" i="2"/>
  <c r="AS1295" i="2"/>
  <c r="V1295" i="2"/>
  <c r="AU1295" i="2"/>
  <c r="T1295" i="2"/>
  <c r="AR1295" i="2"/>
  <c r="Q1305" i="2"/>
  <c r="AT1305" i="2"/>
  <c r="Q1307" i="2"/>
  <c r="AT1307" i="2"/>
  <c r="AU1309" i="2"/>
  <c r="T1309" i="2"/>
  <c r="AS1309" i="2"/>
  <c r="V1309" i="2"/>
  <c r="AR1309" i="2"/>
  <c r="U1309" i="2"/>
  <c r="Q1309" i="2"/>
  <c r="AU1325" i="2"/>
  <c r="T1325" i="2"/>
  <c r="AS1325" i="2"/>
  <c r="V1325" i="2"/>
  <c r="AR1325" i="2"/>
  <c r="U1325" i="2"/>
  <c r="Q1325" i="2"/>
  <c r="AU1341" i="2"/>
  <c r="T1341" i="2"/>
  <c r="AS1341" i="2"/>
  <c r="V1341" i="2"/>
  <c r="AR1341" i="2"/>
  <c r="U1341" i="2"/>
  <c r="Q1341" i="2"/>
  <c r="AU1357" i="2"/>
  <c r="T1357" i="2"/>
  <c r="AS1357" i="2"/>
  <c r="V1357" i="2"/>
  <c r="AR1357" i="2"/>
  <c r="U1357" i="2"/>
  <c r="Q1357" i="2"/>
  <c r="AT1311" i="2"/>
  <c r="AT1315" i="2"/>
  <c r="AT1319" i="2"/>
  <c r="AT1323" i="2"/>
  <c r="AT1327" i="2"/>
  <c r="AT1331" i="2"/>
  <c r="AT1335" i="2"/>
  <c r="AT1339" i="2"/>
  <c r="AT1343" i="2"/>
  <c r="AT1347" i="2"/>
  <c r="AT1351" i="2"/>
  <c r="AT1355" i="2"/>
  <c r="AT1359" i="2"/>
  <c r="Q1361" i="2"/>
  <c r="U1361" i="2"/>
  <c r="AR1361" i="2"/>
  <c r="AT1363" i="2"/>
  <c r="Q1365" i="2"/>
  <c r="U1365" i="2"/>
  <c r="AR1365" i="2"/>
  <c r="AT1367" i="2"/>
  <c r="Q1369" i="2"/>
  <c r="U1369" i="2"/>
  <c r="AR1369" i="2"/>
  <c r="AT1371" i="2"/>
  <c r="Q1373" i="2"/>
  <c r="U1373" i="2"/>
  <c r="AR1373" i="2"/>
  <c r="AT1375" i="2"/>
  <c r="Q1377" i="2"/>
  <c r="U1377" i="2"/>
  <c r="AR1377" i="2"/>
  <c r="AT1379" i="2"/>
  <c r="Q1381" i="2"/>
  <c r="U1381" i="2"/>
  <c r="AR1381" i="2"/>
  <c r="AT1383" i="2"/>
  <c r="Q1385" i="2"/>
  <c r="U1385" i="2"/>
  <c r="AR1385" i="2"/>
  <c r="AT1387" i="2"/>
  <c r="Q1389" i="2"/>
  <c r="U1389" i="2"/>
  <c r="AR1389" i="2"/>
  <c r="AT1391" i="2"/>
  <c r="Q1393" i="2"/>
  <c r="U1393" i="2"/>
  <c r="AR1393" i="2"/>
  <c r="AT1395" i="2"/>
  <c r="Q1397" i="2"/>
  <c r="U1397" i="2"/>
  <c r="AR1397" i="2"/>
  <c r="AT1399" i="2"/>
  <c r="Q1401" i="2"/>
  <c r="U1401" i="2"/>
  <c r="AR1401" i="2"/>
  <c r="AT1403" i="2"/>
  <c r="Q1405" i="2"/>
  <c r="U1405" i="2"/>
  <c r="AR1405" i="2"/>
  <c r="AT1407" i="2"/>
  <c r="Q1409" i="2"/>
  <c r="U1409" i="2"/>
  <c r="AR1409" i="2"/>
  <c r="AT1411" i="2"/>
  <c r="Q1413" i="2"/>
  <c r="U1413" i="2"/>
  <c r="AR1413" i="2"/>
  <c r="AT1415" i="2"/>
  <c r="Q1417" i="2"/>
  <c r="U1417" i="2"/>
  <c r="AR1417" i="2"/>
  <c r="AT1419" i="2"/>
  <c r="Q1421" i="2"/>
  <c r="U1421" i="2"/>
  <c r="AR1421" i="2"/>
  <c r="AT1423" i="2"/>
  <c r="Q1425" i="2"/>
  <c r="U1425" i="2"/>
  <c r="AR1425" i="2"/>
  <c r="AT1427" i="2"/>
  <c r="Q1429" i="2"/>
  <c r="U1429" i="2"/>
  <c r="AR1429" i="2"/>
  <c r="AT1431" i="2"/>
  <c r="Q1433" i="2"/>
  <c r="U1433" i="2"/>
  <c r="AR1433" i="2"/>
  <c r="AT1435" i="2"/>
  <c r="Q1437" i="2"/>
  <c r="U1437" i="2"/>
  <c r="AR1437" i="2"/>
  <c r="AT1439" i="2"/>
  <c r="Q1441" i="2"/>
  <c r="U1441" i="2"/>
  <c r="AR1441" i="2"/>
  <c r="AT1443" i="2"/>
  <c r="Q1445" i="2"/>
  <c r="U1445" i="2"/>
  <c r="AR1445" i="2"/>
  <c r="AT1447" i="2"/>
  <c r="Q1449" i="2"/>
  <c r="U1449" i="2"/>
  <c r="AR1449" i="2"/>
  <c r="AT1451" i="2"/>
  <c r="Q1453" i="2"/>
  <c r="U1453" i="2"/>
  <c r="AR1453" i="2"/>
  <c r="AT1455" i="2"/>
  <c r="Q1457" i="2"/>
  <c r="U1457" i="2"/>
  <c r="AR1457" i="2"/>
  <c r="AT1459" i="2"/>
  <c r="Q1461" i="2"/>
  <c r="U1461" i="2"/>
  <c r="AR1461" i="2"/>
  <c r="AT1463" i="2"/>
  <c r="Q1465" i="2"/>
  <c r="U1465" i="2"/>
  <c r="AR1465" i="2"/>
  <c r="AT1467" i="2"/>
  <c r="Q1469" i="2"/>
  <c r="U1469" i="2"/>
  <c r="AR1469" i="2"/>
  <c r="AT1471" i="2"/>
  <c r="Q1473" i="2"/>
  <c r="U1473" i="2"/>
  <c r="AR1473" i="2"/>
  <c r="AT1475" i="2"/>
  <c r="Q1477" i="2"/>
  <c r="U1477" i="2"/>
  <c r="AR1477" i="2"/>
  <c r="AT1479" i="2"/>
  <c r="Q1481" i="2"/>
  <c r="U1481" i="2"/>
  <c r="AR1481" i="2"/>
  <c r="AT1483" i="2"/>
  <c r="Q1485" i="2"/>
  <c r="U1485" i="2"/>
  <c r="AR1485" i="2"/>
  <c r="AT1487" i="2"/>
  <c r="AT1491" i="2"/>
  <c r="AT1495" i="2"/>
  <c r="AT1499" i="2"/>
  <c r="AT1503" i="2"/>
  <c r="AT1507" i="2"/>
  <c r="AT1511" i="2"/>
  <c r="AT1515" i="2"/>
  <c r="AT1519" i="2"/>
  <c r="AT1523" i="2"/>
  <c r="AS1527" i="2"/>
  <c r="V1527" i="2"/>
  <c r="T1527" i="2"/>
  <c r="AR1527" i="2"/>
  <c r="AU1533" i="2"/>
  <c r="T1533" i="2"/>
  <c r="U1533" i="2"/>
  <c r="AT1533" i="2"/>
  <c r="AS1535" i="2"/>
  <c r="V1535" i="2"/>
  <c r="T1535" i="2"/>
  <c r="AR1535" i="2"/>
  <c r="AU1541" i="2"/>
  <c r="T1541" i="2"/>
  <c r="AS1541" i="2"/>
  <c r="V1541" i="2"/>
  <c r="AR1541" i="2"/>
  <c r="AS1543" i="2"/>
  <c r="V1543" i="2"/>
  <c r="AU1543" i="2"/>
  <c r="T1543" i="2"/>
  <c r="AR1543" i="2"/>
  <c r="U1545" i="2"/>
  <c r="U1547" i="2"/>
  <c r="AU1557" i="2"/>
  <c r="T1557" i="2"/>
  <c r="AS1557" i="2"/>
  <c r="V1557" i="2"/>
  <c r="AR1557" i="2"/>
  <c r="U1557" i="2"/>
  <c r="Q1557" i="2"/>
  <c r="AU1573" i="2"/>
  <c r="T1573" i="2"/>
  <c r="AS1573" i="2"/>
  <c r="V1573" i="2"/>
  <c r="AR1573" i="2"/>
  <c r="U1573" i="2"/>
  <c r="Q1573" i="2"/>
  <c r="AU1589" i="2"/>
  <c r="T1589" i="2"/>
  <c r="AS1589" i="2"/>
  <c r="V1589" i="2"/>
  <c r="AR1589" i="2"/>
  <c r="U1589" i="2"/>
  <c r="Q1589" i="2"/>
  <c r="AT1290" i="2"/>
  <c r="AT1294" i="2"/>
  <c r="AT1298" i="2"/>
  <c r="AT1302" i="2"/>
  <c r="AT1306" i="2"/>
  <c r="AT1310" i="2"/>
  <c r="T1311" i="2"/>
  <c r="AU1311" i="2"/>
  <c r="AT1314" i="2"/>
  <c r="T1315" i="2"/>
  <c r="AU1315" i="2"/>
  <c r="AT1318" i="2"/>
  <c r="T1319" i="2"/>
  <c r="AU1319" i="2"/>
  <c r="AT1322" i="2"/>
  <c r="T1323" i="2"/>
  <c r="AU1323" i="2"/>
  <c r="AT1326" i="2"/>
  <c r="T1327" i="2"/>
  <c r="AU1327" i="2"/>
  <c r="AT1330" i="2"/>
  <c r="T1331" i="2"/>
  <c r="AU1331" i="2"/>
  <c r="AT1334" i="2"/>
  <c r="T1335" i="2"/>
  <c r="AU1335" i="2"/>
  <c r="AT1338" i="2"/>
  <c r="T1339" i="2"/>
  <c r="AU1339" i="2"/>
  <c r="AT1342" i="2"/>
  <c r="T1343" i="2"/>
  <c r="AU1343" i="2"/>
  <c r="AT1346" i="2"/>
  <c r="T1347" i="2"/>
  <c r="AU1347" i="2"/>
  <c r="AT1350" i="2"/>
  <c r="T1351" i="2"/>
  <c r="AU1351" i="2"/>
  <c r="AT1354" i="2"/>
  <c r="T1355" i="2"/>
  <c r="AU1355" i="2"/>
  <c r="AT1358" i="2"/>
  <c r="T1359" i="2"/>
  <c r="AI1359" i="2"/>
  <c r="AU1359" i="2"/>
  <c r="V1361" i="2"/>
  <c r="AS1361" i="2"/>
  <c r="AT1362" i="2"/>
  <c r="T1363" i="2"/>
  <c r="AI1363" i="2"/>
  <c r="AU1363" i="2"/>
  <c r="V1365" i="2"/>
  <c r="AS1365" i="2"/>
  <c r="AT1366" i="2"/>
  <c r="T1367" i="2"/>
  <c r="AU1367" i="2"/>
  <c r="V1369" i="2"/>
  <c r="AS1369" i="2"/>
  <c r="AT1370" i="2"/>
  <c r="T1371" i="2"/>
  <c r="AU1371" i="2"/>
  <c r="V1373" i="2"/>
  <c r="AS1373" i="2"/>
  <c r="AT1374" i="2"/>
  <c r="T1375" i="2"/>
  <c r="AI1375" i="2"/>
  <c r="AU1375" i="2"/>
  <c r="V1377" i="2"/>
  <c r="AS1377" i="2"/>
  <c r="AT1378" i="2"/>
  <c r="T1379" i="2"/>
  <c r="AI1379" i="2"/>
  <c r="AU1379" i="2"/>
  <c r="V1381" i="2"/>
  <c r="AS1381" i="2"/>
  <c r="AT1382" i="2"/>
  <c r="T1383" i="2"/>
  <c r="AU1383" i="2"/>
  <c r="V1385" i="2"/>
  <c r="AS1385" i="2"/>
  <c r="AT1386" i="2"/>
  <c r="T1387" i="2"/>
  <c r="AU1387" i="2"/>
  <c r="V1389" i="2"/>
  <c r="AS1389" i="2"/>
  <c r="AT1390" i="2"/>
  <c r="T1391" i="2"/>
  <c r="AI1391" i="2"/>
  <c r="AU1391" i="2"/>
  <c r="V1393" i="2"/>
  <c r="AS1393" i="2"/>
  <c r="AT1394" i="2"/>
  <c r="T1395" i="2"/>
  <c r="AI1395" i="2"/>
  <c r="AU1395" i="2"/>
  <c r="V1397" i="2"/>
  <c r="AS1397" i="2"/>
  <c r="AT1398" i="2"/>
  <c r="T1399" i="2"/>
  <c r="AU1399" i="2"/>
  <c r="V1401" i="2"/>
  <c r="AS1401" i="2"/>
  <c r="AT1402" i="2"/>
  <c r="T1403" i="2"/>
  <c r="AU1403" i="2"/>
  <c r="V1405" i="2"/>
  <c r="AS1405" i="2"/>
  <c r="AT1406" i="2"/>
  <c r="T1407" i="2"/>
  <c r="AI1407" i="2"/>
  <c r="AU1407" i="2"/>
  <c r="V1409" i="2"/>
  <c r="AS1409" i="2"/>
  <c r="AT1410" i="2"/>
  <c r="T1411" i="2"/>
  <c r="AI1411" i="2"/>
  <c r="AU1411" i="2"/>
  <c r="V1413" i="2"/>
  <c r="AS1413" i="2"/>
  <c r="AT1414" i="2"/>
  <c r="T1415" i="2"/>
  <c r="AU1415" i="2"/>
  <c r="V1417" i="2"/>
  <c r="AS1417" i="2"/>
  <c r="AT1418" i="2"/>
  <c r="T1419" i="2"/>
  <c r="AU1419" i="2"/>
  <c r="V1421" i="2"/>
  <c r="AS1421" i="2"/>
  <c r="AT1422" i="2"/>
  <c r="T1423" i="2"/>
  <c r="AI1423" i="2"/>
  <c r="AU1423" i="2"/>
  <c r="V1425" i="2"/>
  <c r="AS1425" i="2"/>
  <c r="AT1426" i="2"/>
  <c r="T1427" i="2"/>
  <c r="AI1427" i="2"/>
  <c r="AU1427" i="2"/>
  <c r="V1429" i="2"/>
  <c r="AS1429" i="2"/>
  <c r="AT1430" i="2"/>
  <c r="T1431" i="2"/>
  <c r="AU1431" i="2"/>
  <c r="V1433" i="2"/>
  <c r="AS1433" i="2"/>
  <c r="AT1434" i="2"/>
  <c r="T1435" i="2"/>
  <c r="AU1435" i="2"/>
  <c r="V1437" i="2"/>
  <c r="AS1437" i="2"/>
  <c r="AT1438" i="2"/>
  <c r="T1439" i="2"/>
  <c r="AI1439" i="2"/>
  <c r="AU1439" i="2"/>
  <c r="V1441" i="2"/>
  <c r="AS1441" i="2"/>
  <c r="AT1442" i="2"/>
  <c r="T1443" i="2"/>
  <c r="AI1443" i="2"/>
  <c r="AU1443" i="2"/>
  <c r="V1445" i="2"/>
  <c r="AS1445" i="2"/>
  <c r="AT1446" i="2"/>
  <c r="T1447" i="2"/>
  <c r="AU1447" i="2"/>
  <c r="V1449" i="2"/>
  <c r="AS1449" i="2"/>
  <c r="AT1450" i="2"/>
  <c r="T1451" i="2"/>
  <c r="AU1451" i="2"/>
  <c r="V1453" i="2"/>
  <c r="AS1453" i="2"/>
  <c r="AT1454" i="2"/>
  <c r="T1455" i="2"/>
  <c r="AI1455" i="2"/>
  <c r="AU1455" i="2"/>
  <c r="V1457" i="2"/>
  <c r="AS1457" i="2"/>
  <c r="AT1458" i="2"/>
  <c r="T1459" i="2"/>
  <c r="AI1459" i="2"/>
  <c r="AU1459" i="2"/>
  <c r="V1461" i="2"/>
  <c r="AS1461" i="2"/>
  <c r="AT1462" i="2"/>
  <c r="T1463" i="2"/>
  <c r="AU1463" i="2"/>
  <c r="V1465" i="2"/>
  <c r="AS1465" i="2"/>
  <c r="AT1466" i="2"/>
  <c r="T1467" i="2"/>
  <c r="AU1467" i="2"/>
  <c r="V1469" i="2"/>
  <c r="AS1469" i="2"/>
  <c r="AT1470" i="2"/>
  <c r="T1471" i="2"/>
  <c r="AI1471" i="2"/>
  <c r="AU1471" i="2"/>
  <c r="V1473" i="2"/>
  <c r="AS1473" i="2"/>
  <c r="AT1474" i="2"/>
  <c r="T1475" i="2"/>
  <c r="AI1475" i="2"/>
  <c r="AU1475" i="2"/>
  <c r="V1477" i="2"/>
  <c r="AS1477" i="2"/>
  <c r="AT1478" i="2"/>
  <c r="T1479" i="2"/>
  <c r="AU1479" i="2"/>
  <c r="V1481" i="2"/>
  <c r="AS1481" i="2"/>
  <c r="AT1482" i="2"/>
  <c r="T1483" i="2"/>
  <c r="AU1483" i="2"/>
  <c r="V1485" i="2"/>
  <c r="AS1485" i="2"/>
  <c r="AT1486" i="2"/>
  <c r="T1487" i="2"/>
  <c r="AI1487" i="2"/>
  <c r="AU1487" i="2"/>
  <c r="AT1490" i="2"/>
  <c r="T1491" i="2"/>
  <c r="AU1491" i="2"/>
  <c r="AT1494" i="2"/>
  <c r="T1495" i="2"/>
  <c r="AU1495" i="2"/>
  <c r="AT1498" i="2"/>
  <c r="T1499" i="2"/>
  <c r="AU1499" i="2"/>
  <c r="AT1502" i="2"/>
  <c r="T1503" i="2"/>
  <c r="AU1503" i="2"/>
  <c r="AT1506" i="2"/>
  <c r="T1507" i="2"/>
  <c r="AU1507" i="2"/>
  <c r="AT1510" i="2"/>
  <c r="T1511" i="2"/>
  <c r="AU1511" i="2"/>
  <c r="AT1514" i="2"/>
  <c r="T1515" i="2"/>
  <c r="AU1515" i="2"/>
  <c r="AT1518" i="2"/>
  <c r="T1519" i="2"/>
  <c r="AU1519" i="2"/>
  <c r="AT1522" i="2"/>
  <c r="T1523" i="2"/>
  <c r="AU1523" i="2"/>
  <c r="AR1526" i="2"/>
  <c r="U1526" i="2"/>
  <c r="Q1526" i="2"/>
  <c r="T1526" i="2"/>
  <c r="AS1526" i="2"/>
  <c r="U1527" i="2"/>
  <c r="AT1527" i="2"/>
  <c r="Q1533" i="2"/>
  <c r="V1533" i="2"/>
  <c r="AR1534" i="2"/>
  <c r="U1534" i="2"/>
  <c r="Q1534" i="2"/>
  <c r="T1534" i="2"/>
  <c r="AS1534" i="2"/>
  <c r="U1535" i="2"/>
  <c r="AT1535" i="2"/>
  <c r="AU1545" i="2"/>
  <c r="T1545" i="2"/>
  <c r="AS1545" i="2"/>
  <c r="V1545" i="2"/>
  <c r="AR1545" i="2"/>
  <c r="AS1547" i="2"/>
  <c r="V1547" i="2"/>
  <c r="AU1547" i="2"/>
  <c r="T1547" i="2"/>
  <c r="AR1547" i="2"/>
  <c r="AU1561" i="2"/>
  <c r="T1561" i="2"/>
  <c r="AS1561" i="2"/>
  <c r="V1561" i="2"/>
  <c r="AR1561" i="2"/>
  <c r="U1561" i="2"/>
  <c r="Q1561" i="2"/>
  <c r="AU1577" i="2"/>
  <c r="T1577" i="2"/>
  <c r="AS1577" i="2"/>
  <c r="V1577" i="2"/>
  <c r="AR1577" i="2"/>
  <c r="U1577" i="2"/>
  <c r="Q1577" i="2"/>
  <c r="AU1593" i="2"/>
  <c r="T1593" i="2"/>
  <c r="AS1593" i="2"/>
  <c r="V1593" i="2"/>
  <c r="AR1593" i="2"/>
  <c r="U1593" i="2"/>
  <c r="Q1593" i="2"/>
  <c r="AT1361" i="2"/>
  <c r="AT1365" i="2"/>
  <c r="AT1369" i="2"/>
  <c r="AT1373" i="2"/>
  <c r="AT1377" i="2"/>
  <c r="AT1381" i="2"/>
  <c r="AT1385" i="2"/>
  <c r="AT1389" i="2"/>
  <c r="AT1393" i="2"/>
  <c r="AT1397" i="2"/>
  <c r="AT1401" i="2"/>
  <c r="AT1405" i="2"/>
  <c r="AT1409" i="2"/>
  <c r="AT1413" i="2"/>
  <c r="AT1417" i="2"/>
  <c r="AT1421" i="2"/>
  <c r="AT1425" i="2"/>
  <c r="AT1429" i="2"/>
  <c r="AT1433" i="2"/>
  <c r="AT1437" i="2"/>
  <c r="AT1441" i="2"/>
  <c r="AT1445" i="2"/>
  <c r="AT1449" i="2"/>
  <c r="AT1453" i="2"/>
  <c r="AT1457" i="2"/>
  <c r="AT1461" i="2"/>
  <c r="AT1465" i="2"/>
  <c r="AT1469" i="2"/>
  <c r="AT1473" i="2"/>
  <c r="AT1477" i="2"/>
  <c r="AT1481" i="2"/>
  <c r="AT1485" i="2"/>
  <c r="AT1489" i="2"/>
  <c r="T1490" i="2"/>
  <c r="AU1490" i="2"/>
  <c r="Q1491" i="2"/>
  <c r="U1491" i="2"/>
  <c r="AR1491" i="2"/>
  <c r="AT1493" i="2"/>
  <c r="T1494" i="2"/>
  <c r="AU1494" i="2"/>
  <c r="Q1495" i="2"/>
  <c r="U1495" i="2"/>
  <c r="AR1495" i="2"/>
  <c r="AT1497" i="2"/>
  <c r="T1498" i="2"/>
  <c r="AU1498" i="2"/>
  <c r="Q1499" i="2"/>
  <c r="U1499" i="2"/>
  <c r="AR1499" i="2"/>
  <c r="AT1501" i="2"/>
  <c r="T1502" i="2"/>
  <c r="AU1502" i="2"/>
  <c r="Q1503" i="2"/>
  <c r="U1503" i="2"/>
  <c r="AR1503" i="2"/>
  <c r="AT1505" i="2"/>
  <c r="T1506" i="2"/>
  <c r="AU1506" i="2"/>
  <c r="Q1507" i="2"/>
  <c r="U1507" i="2"/>
  <c r="AR1507" i="2"/>
  <c r="AT1509" i="2"/>
  <c r="T1510" i="2"/>
  <c r="AU1510" i="2"/>
  <c r="Q1511" i="2"/>
  <c r="U1511" i="2"/>
  <c r="AR1511" i="2"/>
  <c r="AT1513" i="2"/>
  <c r="T1514" i="2"/>
  <c r="AU1514" i="2"/>
  <c r="Q1515" i="2"/>
  <c r="U1515" i="2"/>
  <c r="AR1515" i="2"/>
  <c r="AT1517" i="2"/>
  <c r="T1518" i="2"/>
  <c r="AU1518" i="2"/>
  <c r="Q1519" i="2"/>
  <c r="U1519" i="2"/>
  <c r="AR1519" i="2"/>
  <c r="AT1521" i="2"/>
  <c r="T1522" i="2"/>
  <c r="AU1522" i="2"/>
  <c r="Q1523" i="2"/>
  <c r="U1523" i="2"/>
  <c r="AR1523" i="2"/>
  <c r="AU1525" i="2"/>
  <c r="AR1525" i="2"/>
  <c r="V1526" i="2"/>
  <c r="AT1526" i="2"/>
  <c r="Q1527" i="2"/>
  <c r="AU1527" i="2"/>
  <c r="AU1529" i="2"/>
  <c r="T1529" i="2"/>
  <c r="U1529" i="2"/>
  <c r="AT1529" i="2"/>
  <c r="AS1531" i="2"/>
  <c r="V1531" i="2"/>
  <c r="T1531" i="2"/>
  <c r="AR1531" i="2"/>
  <c r="AR1533" i="2"/>
  <c r="V1534" i="2"/>
  <c r="AT1534" i="2"/>
  <c r="Q1535" i="2"/>
  <c r="AU1535" i="2"/>
  <c r="U1537" i="2"/>
  <c r="U1539" i="2"/>
  <c r="Q1545" i="2"/>
  <c r="AT1545" i="2"/>
  <c r="Q1547" i="2"/>
  <c r="AT1547" i="2"/>
  <c r="AU1549" i="2"/>
  <c r="T1549" i="2"/>
  <c r="AS1549" i="2"/>
  <c r="V1549" i="2"/>
  <c r="AR1549" i="2"/>
  <c r="AS1551" i="2"/>
  <c r="V1551" i="2"/>
  <c r="AU1551" i="2"/>
  <c r="T1551" i="2"/>
  <c r="AR1551" i="2"/>
  <c r="U1553" i="2"/>
  <c r="U1555" i="2"/>
  <c r="AT1557" i="2"/>
  <c r="AU1565" i="2"/>
  <c r="T1565" i="2"/>
  <c r="AS1565" i="2"/>
  <c r="V1565" i="2"/>
  <c r="AR1565" i="2"/>
  <c r="U1565" i="2"/>
  <c r="Q1565" i="2"/>
  <c r="AT1573" i="2"/>
  <c r="AU1581" i="2"/>
  <c r="T1581" i="2"/>
  <c r="AS1581" i="2"/>
  <c r="V1581" i="2"/>
  <c r="AR1581" i="2"/>
  <c r="U1581" i="2"/>
  <c r="Q1581" i="2"/>
  <c r="AT1589" i="2"/>
  <c r="AT1264" i="2"/>
  <c r="AT1268" i="2"/>
  <c r="AT1272" i="2"/>
  <c r="AT1276" i="2"/>
  <c r="AT1280" i="2"/>
  <c r="AT1284" i="2"/>
  <c r="AT1288" i="2"/>
  <c r="Q1290" i="2"/>
  <c r="U1290" i="2"/>
  <c r="AR1290" i="2"/>
  <c r="AT1292" i="2"/>
  <c r="Q1294" i="2"/>
  <c r="U1294" i="2"/>
  <c r="AR1294" i="2"/>
  <c r="AT1296" i="2"/>
  <c r="Q1298" i="2"/>
  <c r="U1298" i="2"/>
  <c r="AR1298" i="2"/>
  <c r="AT1300" i="2"/>
  <c r="Q1302" i="2"/>
  <c r="U1302" i="2"/>
  <c r="AR1302" i="2"/>
  <c r="AT1304" i="2"/>
  <c r="Q1306" i="2"/>
  <c r="U1306" i="2"/>
  <c r="AR1306" i="2"/>
  <c r="AT1308" i="2"/>
  <c r="Q1310" i="2"/>
  <c r="U1310" i="2"/>
  <c r="AR1310" i="2"/>
  <c r="V1311" i="2"/>
  <c r="AS1311" i="2"/>
  <c r="AT1312" i="2"/>
  <c r="Q1314" i="2"/>
  <c r="U1314" i="2"/>
  <c r="AR1314" i="2"/>
  <c r="V1315" i="2"/>
  <c r="AS1315" i="2"/>
  <c r="AT1316" i="2"/>
  <c r="Q1318" i="2"/>
  <c r="U1318" i="2"/>
  <c r="AR1318" i="2"/>
  <c r="V1319" i="2"/>
  <c r="AS1319" i="2"/>
  <c r="AT1320" i="2"/>
  <c r="Q1322" i="2"/>
  <c r="U1322" i="2"/>
  <c r="AR1322" i="2"/>
  <c r="V1323" i="2"/>
  <c r="AS1323" i="2"/>
  <c r="AT1324" i="2"/>
  <c r="Q1326" i="2"/>
  <c r="U1326" i="2"/>
  <c r="AR1326" i="2"/>
  <c r="V1327" i="2"/>
  <c r="AS1327" i="2"/>
  <c r="AT1328" i="2"/>
  <c r="Q1330" i="2"/>
  <c r="U1330" i="2"/>
  <c r="AR1330" i="2"/>
  <c r="V1331" i="2"/>
  <c r="AS1331" i="2"/>
  <c r="AT1332" i="2"/>
  <c r="Q1334" i="2"/>
  <c r="U1334" i="2"/>
  <c r="AR1334" i="2"/>
  <c r="V1335" i="2"/>
  <c r="AS1335" i="2"/>
  <c r="AT1336" i="2"/>
  <c r="Q1338" i="2"/>
  <c r="U1338" i="2"/>
  <c r="AR1338" i="2"/>
  <c r="V1339" i="2"/>
  <c r="AS1339" i="2"/>
  <c r="AT1340" i="2"/>
  <c r="Q1342" i="2"/>
  <c r="U1342" i="2"/>
  <c r="AR1342" i="2"/>
  <c r="V1343" i="2"/>
  <c r="AS1343" i="2"/>
  <c r="AT1344" i="2"/>
  <c r="Q1346" i="2"/>
  <c r="U1346" i="2"/>
  <c r="AR1346" i="2"/>
  <c r="V1347" i="2"/>
  <c r="AS1347" i="2"/>
  <c r="AT1348" i="2"/>
  <c r="Q1350" i="2"/>
  <c r="U1350" i="2"/>
  <c r="AR1350" i="2"/>
  <c r="V1351" i="2"/>
  <c r="AS1351" i="2"/>
  <c r="AT1352" i="2"/>
  <c r="Q1354" i="2"/>
  <c r="U1354" i="2"/>
  <c r="AR1354" i="2"/>
  <c r="V1355" i="2"/>
  <c r="AS1355" i="2"/>
  <c r="AT1356" i="2"/>
  <c r="Q1358" i="2"/>
  <c r="U1358" i="2"/>
  <c r="AR1358" i="2"/>
  <c r="V1359" i="2"/>
  <c r="AS1359" i="2"/>
  <c r="AT1360" i="2"/>
  <c r="T1361" i="2"/>
  <c r="AU1361" i="2"/>
  <c r="Q1362" i="2"/>
  <c r="U1362" i="2"/>
  <c r="AR1362" i="2"/>
  <c r="V1363" i="2"/>
  <c r="AS1363" i="2"/>
  <c r="AT1364" i="2"/>
  <c r="T1365" i="2"/>
  <c r="AU1365" i="2"/>
  <c r="Q1366" i="2"/>
  <c r="U1366" i="2"/>
  <c r="AR1366" i="2"/>
  <c r="V1367" i="2"/>
  <c r="AS1367" i="2"/>
  <c r="AT1368" i="2"/>
  <c r="T1369" i="2"/>
  <c r="AU1369" i="2"/>
  <c r="Q1370" i="2"/>
  <c r="U1370" i="2"/>
  <c r="AR1370" i="2"/>
  <c r="V1371" i="2"/>
  <c r="AS1371" i="2"/>
  <c r="AT1372" i="2"/>
  <c r="T1373" i="2"/>
  <c r="AU1373" i="2"/>
  <c r="Q1374" i="2"/>
  <c r="U1374" i="2"/>
  <c r="AR1374" i="2"/>
  <c r="V1375" i="2"/>
  <c r="AS1375" i="2"/>
  <c r="AT1376" i="2"/>
  <c r="T1377" i="2"/>
  <c r="AU1377" i="2"/>
  <c r="Q1378" i="2"/>
  <c r="U1378" i="2"/>
  <c r="AR1378" i="2"/>
  <c r="V1379" i="2"/>
  <c r="AS1379" i="2"/>
  <c r="AT1380" i="2"/>
  <c r="T1381" i="2"/>
  <c r="AU1381" i="2"/>
  <c r="Q1382" i="2"/>
  <c r="U1382" i="2"/>
  <c r="AR1382" i="2"/>
  <c r="V1383" i="2"/>
  <c r="AS1383" i="2"/>
  <c r="AT1384" i="2"/>
  <c r="T1385" i="2"/>
  <c r="AU1385" i="2"/>
  <c r="Q1386" i="2"/>
  <c r="U1386" i="2"/>
  <c r="AR1386" i="2"/>
  <c r="V1387" i="2"/>
  <c r="AS1387" i="2"/>
  <c r="AT1388" i="2"/>
  <c r="T1389" i="2"/>
  <c r="AU1389" i="2"/>
  <c r="Q1390" i="2"/>
  <c r="U1390" i="2"/>
  <c r="AR1390" i="2"/>
  <c r="V1391" i="2"/>
  <c r="AS1391" i="2"/>
  <c r="AT1392" i="2"/>
  <c r="T1393" i="2"/>
  <c r="AU1393" i="2"/>
  <c r="Q1394" i="2"/>
  <c r="U1394" i="2"/>
  <c r="AR1394" i="2"/>
  <c r="V1395" i="2"/>
  <c r="AS1395" i="2"/>
  <c r="AT1396" i="2"/>
  <c r="T1397" i="2"/>
  <c r="AU1397" i="2"/>
  <c r="Q1398" i="2"/>
  <c r="U1398" i="2"/>
  <c r="AR1398" i="2"/>
  <c r="V1399" i="2"/>
  <c r="AS1399" i="2"/>
  <c r="AT1400" i="2"/>
  <c r="T1401" i="2"/>
  <c r="AU1401" i="2"/>
  <c r="Q1402" i="2"/>
  <c r="U1402" i="2"/>
  <c r="AR1402" i="2"/>
  <c r="V1403" i="2"/>
  <c r="AS1403" i="2"/>
  <c r="AT1404" i="2"/>
  <c r="T1405" i="2"/>
  <c r="AU1405" i="2"/>
  <c r="Q1406" i="2"/>
  <c r="U1406" i="2"/>
  <c r="AR1406" i="2"/>
  <c r="V1407" i="2"/>
  <c r="AS1407" i="2"/>
  <c r="AT1408" i="2"/>
  <c r="T1409" i="2"/>
  <c r="AU1409" i="2"/>
  <c r="Q1410" i="2"/>
  <c r="U1410" i="2"/>
  <c r="AR1410" i="2"/>
  <c r="V1411" i="2"/>
  <c r="AS1411" i="2"/>
  <c r="AT1412" i="2"/>
  <c r="T1413" i="2"/>
  <c r="AU1413" i="2"/>
  <c r="Q1414" i="2"/>
  <c r="U1414" i="2"/>
  <c r="AR1414" i="2"/>
  <c r="V1415" i="2"/>
  <c r="AS1415" i="2"/>
  <c r="AT1416" i="2"/>
  <c r="T1417" i="2"/>
  <c r="AU1417" i="2"/>
  <c r="Q1418" i="2"/>
  <c r="U1418" i="2"/>
  <c r="AR1418" i="2"/>
  <c r="V1419" i="2"/>
  <c r="AS1419" i="2"/>
  <c r="AT1420" i="2"/>
  <c r="T1421" i="2"/>
  <c r="AU1421" i="2"/>
  <c r="Q1422" i="2"/>
  <c r="U1422" i="2"/>
  <c r="AR1422" i="2"/>
  <c r="V1423" i="2"/>
  <c r="AS1423" i="2"/>
  <c r="AT1424" i="2"/>
  <c r="T1425" i="2"/>
  <c r="AU1425" i="2"/>
  <c r="Q1426" i="2"/>
  <c r="U1426" i="2"/>
  <c r="AR1426" i="2"/>
  <c r="V1427" i="2"/>
  <c r="AS1427" i="2"/>
  <c r="AT1428" i="2"/>
  <c r="T1429" i="2"/>
  <c r="AU1429" i="2"/>
  <c r="Q1430" i="2"/>
  <c r="U1430" i="2"/>
  <c r="AR1430" i="2"/>
  <c r="V1431" i="2"/>
  <c r="AS1431" i="2"/>
  <c r="AT1432" i="2"/>
  <c r="T1433" i="2"/>
  <c r="AU1433" i="2"/>
  <c r="Q1434" i="2"/>
  <c r="U1434" i="2"/>
  <c r="AR1434" i="2"/>
  <c r="V1435" i="2"/>
  <c r="AS1435" i="2"/>
  <c r="AT1436" i="2"/>
  <c r="T1437" i="2"/>
  <c r="AU1437" i="2"/>
  <c r="Q1438" i="2"/>
  <c r="U1438" i="2"/>
  <c r="AR1438" i="2"/>
  <c r="V1439" i="2"/>
  <c r="AS1439" i="2"/>
  <c r="AT1440" i="2"/>
  <c r="T1441" i="2"/>
  <c r="AU1441" i="2"/>
  <c r="Q1442" i="2"/>
  <c r="U1442" i="2"/>
  <c r="AR1442" i="2"/>
  <c r="V1443" i="2"/>
  <c r="AS1443" i="2"/>
  <c r="AT1444" i="2"/>
  <c r="T1445" i="2"/>
  <c r="AU1445" i="2"/>
  <c r="Q1446" i="2"/>
  <c r="U1446" i="2"/>
  <c r="AR1446" i="2"/>
  <c r="V1447" i="2"/>
  <c r="AS1447" i="2"/>
  <c r="AT1448" i="2"/>
  <c r="T1449" i="2"/>
  <c r="AU1449" i="2"/>
  <c r="Q1450" i="2"/>
  <c r="U1450" i="2"/>
  <c r="AR1450" i="2"/>
  <c r="V1451" i="2"/>
  <c r="AS1451" i="2"/>
  <c r="AT1452" i="2"/>
  <c r="T1453" i="2"/>
  <c r="AU1453" i="2"/>
  <c r="Q1454" i="2"/>
  <c r="U1454" i="2"/>
  <c r="AR1454" i="2"/>
  <c r="V1455" i="2"/>
  <c r="AS1455" i="2"/>
  <c r="AT1456" i="2"/>
  <c r="T1457" i="2"/>
  <c r="AU1457" i="2"/>
  <c r="Q1458" i="2"/>
  <c r="U1458" i="2"/>
  <c r="AR1458" i="2"/>
  <c r="V1459" i="2"/>
  <c r="AS1459" i="2"/>
  <c r="AT1460" i="2"/>
  <c r="T1461" i="2"/>
  <c r="AU1461" i="2"/>
  <c r="Q1462" i="2"/>
  <c r="U1462" i="2"/>
  <c r="AR1462" i="2"/>
  <c r="V1463" i="2"/>
  <c r="AS1463" i="2"/>
  <c r="AT1464" i="2"/>
  <c r="T1465" i="2"/>
  <c r="AU1465" i="2"/>
  <c r="Q1466" i="2"/>
  <c r="U1466" i="2"/>
  <c r="AR1466" i="2"/>
  <c r="V1467" i="2"/>
  <c r="AS1467" i="2"/>
  <c r="AT1468" i="2"/>
  <c r="T1469" i="2"/>
  <c r="AU1469" i="2"/>
  <c r="Q1470" i="2"/>
  <c r="U1470" i="2"/>
  <c r="AR1470" i="2"/>
  <c r="V1471" i="2"/>
  <c r="AS1471" i="2"/>
  <c r="AT1472" i="2"/>
  <c r="T1473" i="2"/>
  <c r="AU1473" i="2"/>
  <c r="Q1474" i="2"/>
  <c r="U1474" i="2"/>
  <c r="AR1474" i="2"/>
  <c r="V1475" i="2"/>
  <c r="AS1475" i="2"/>
  <c r="AT1476" i="2"/>
  <c r="T1477" i="2"/>
  <c r="AU1477" i="2"/>
  <c r="Q1478" i="2"/>
  <c r="U1478" i="2"/>
  <c r="AR1478" i="2"/>
  <c r="V1479" i="2"/>
  <c r="AS1479" i="2"/>
  <c r="AT1480" i="2"/>
  <c r="T1481" i="2"/>
  <c r="AU1481" i="2"/>
  <c r="Q1482" i="2"/>
  <c r="U1482" i="2"/>
  <c r="AR1482" i="2"/>
  <c r="V1483" i="2"/>
  <c r="AS1483" i="2"/>
  <c r="AT1484" i="2"/>
  <c r="T1485" i="2"/>
  <c r="AU1485" i="2"/>
  <c r="Q1486" i="2"/>
  <c r="U1486" i="2"/>
  <c r="AR1486" i="2"/>
  <c r="V1487" i="2"/>
  <c r="AS1487" i="2"/>
  <c r="AT1488" i="2"/>
  <c r="T1489" i="2"/>
  <c r="AU1489" i="2"/>
  <c r="Q1490" i="2"/>
  <c r="U1490" i="2"/>
  <c r="AR1490" i="2"/>
  <c r="V1491" i="2"/>
  <c r="AS1491" i="2"/>
  <c r="AT1492" i="2"/>
  <c r="T1493" i="2"/>
  <c r="AU1493" i="2"/>
  <c r="Q1494" i="2"/>
  <c r="U1494" i="2"/>
  <c r="AR1494" i="2"/>
  <c r="V1495" i="2"/>
  <c r="AS1495" i="2"/>
  <c r="AT1496" i="2"/>
  <c r="T1497" i="2"/>
  <c r="AU1497" i="2"/>
  <c r="Q1498" i="2"/>
  <c r="U1498" i="2"/>
  <c r="AR1498" i="2"/>
  <c r="V1499" i="2"/>
  <c r="AS1499" i="2"/>
  <c r="AT1500" i="2"/>
  <c r="T1501" i="2"/>
  <c r="AU1501" i="2"/>
  <c r="Q1502" i="2"/>
  <c r="U1502" i="2"/>
  <c r="AR1502" i="2"/>
  <c r="V1503" i="2"/>
  <c r="AS1503" i="2"/>
  <c r="AT1504" i="2"/>
  <c r="T1505" i="2"/>
  <c r="AU1505" i="2"/>
  <c r="Q1506" i="2"/>
  <c r="U1506" i="2"/>
  <c r="AR1506" i="2"/>
  <c r="V1507" i="2"/>
  <c r="AS1507" i="2"/>
  <c r="AT1508" i="2"/>
  <c r="T1509" i="2"/>
  <c r="AU1509" i="2"/>
  <c r="Q1510" i="2"/>
  <c r="U1510" i="2"/>
  <c r="AR1510" i="2"/>
  <c r="V1511" i="2"/>
  <c r="AS1511" i="2"/>
  <c r="AT1512" i="2"/>
  <c r="T1513" i="2"/>
  <c r="AU1513" i="2"/>
  <c r="Q1514" i="2"/>
  <c r="U1514" i="2"/>
  <c r="AR1514" i="2"/>
  <c r="V1515" i="2"/>
  <c r="AS1515" i="2"/>
  <c r="AT1516" i="2"/>
  <c r="T1517" i="2"/>
  <c r="AU1517" i="2"/>
  <c r="Q1518" i="2"/>
  <c r="U1518" i="2"/>
  <c r="AR1518" i="2"/>
  <c r="V1519" i="2"/>
  <c r="AS1519" i="2"/>
  <c r="AT1520" i="2"/>
  <c r="T1521" i="2"/>
  <c r="AU1521" i="2"/>
  <c r="Q1522" i="2"/>
  <c r="U1522" i="2"/>
  <c r="AR1522" i="2"/>
  <c r="V1523" i="2"/>
  <c r="AS1523" i="2"/>
  <c r="AT1524" i="2"/>
  <c r="T1525" i="2"/>
  <c r="AS1525" i="2"/>
  <c r="AU1526" i="2"/>
  <c r="Q1529" i="2"/>
  <c r="V1529" i="2"/>
  <c r="AR1530" i="2"/>
  <c r="U1530" i="2"/>
  <c r="Q1530" i="2"/>
  <c r="T1530" i="2"/>
  <c r="AS1530" i="2"/>
  <c r="U1531" i="2"/>
  <c r="AI1531" i="2"/>
  <c r="AT1531" i="2"/>
  <c r="AS1533" i="2"/>
  <c r="AU1534" i="2"/>
  <c r="AU1537" i="2"/>
  <c r="T1537" i="2"/>
  <c r="AS1537" i="2"/>
  <c r="V1537" i="2"/>
  <c r="AR1537" i="2"/>
  <c r="AS1539" i="2"/>
  <c r="V1539" i="2"/>
  <c r="AU1539" i="2"/>
  <c r="T1539" i="2"/>
  <c r="AR1539" i="2"/>
  <c r="U1541" i="2"/>
  <c r="U1543" i="2"/>
  <c r="AU1553" i="2"/>
  <c r="T1553" i="2"/>
  <c r="AS1553" i="2"/>
  <c r="V1553" i="2"/>
  <c r="AR1553" i="2"/>
  <c r="AS1555" i="2"/>
  <c r="V1555" i="2"/>
  <c r="AU1555" i="2"/>
  <c r="T1555" i="2"/>
  <c r="AR1555" i="2"/>
  <c r="AT1561" i="2"/>
  <c r="AU1569" i="2"/>
  <c r="T1569" i="2"/>
  <c r="AS1569" i="2"/>
  <c r="V1569" i="2"/>
  <c r="AR1569" i="2"/>
  <c r="U1569" i="2"/>
  <c r="Q1569" i="2"/>
  <c r="AT1577" i="2"/>
  <c r="AU1585" i="2"/>
  <c r="T1585" i="2"/>
  <c r="AS1585" i="2"/>
  <c r="V1585" i="2"/>
  <c r="AR1585" i="2"/>
  <c r="U1585" i="2"/>
  <c r="Q1585" i="2"/>
  <c r="AT1593" i="2"/>
  <c r="AT1559" i="2"/>
  <c r="AT1563" i="2"/>
  <c r="AT1567" i="2"/>
  <c r="AT1571" i="2"/>
  <c r="AT1575" i="2"/>
  <c r="AT1579" i="2"/>
  <c r="AT1583" i="2"/>
  <c r="AT1587" i="2"/>
  <c r="AT1591" i="2"/>
  <c r="AT1595" i="2"/>
  <c r="Q1597" i="2"/>
  <c r="U1597" i="2"/>
  <c r="AR1597" i="2"/>
  <c r="AT1599" i="2"/>
  <c r="Q1601" i="2"/>
  <c r="U1601" i="2"/>
  <c r="AR1601" i="2"/>
  <c r="AT1603" i="2"/>
  <c r="Q1605" i="2"/>
  <c r="U1605" i="2"/>
  <c r="AR1605" i="2"/>
  <c r="AT1607" i="2"/>
  <c r="Q1609" i="2"/>
  <c r="U1609" i="2"/>
  <c r="AR1609" i="2"/>
  <c r="AT1611" i="2"/>
  <c r="Q1613" i="2"/>
  <c r="U1613" i="2"/>
  <c r="AR1613" i="2"/>
  <c r="AT1615" i="2"/>
  <c r="Q1617" i="2"/>
  <c r="U1617" i="2"/>
  <c r="AR1617" i="2"/>
  <c r="AT1619" i="2"/>
  <c r="Q1621" i="2"/>
  <c r="U1621" i="2"/>
  <c r="AR1621" i="2"/>
  <c r="AT1623" i="2"/>
  <c r="Q1625" i="2"/>
  <c r="U1625" i="2"/>
  <c r="AR1625" i="2"/>
  <c r="AT1627" i="2"/>
  <c r="Q1629" i="2"/>
  <c r="U1629" i="2"/>
  <c r="AR1629" i="2"/>
  <c r="AT1631" i="2"/>
  <c r="Q1633" i="2"/>
  <c r="U1633" i="2"/>
  <c r="AR1633" i="2"/>
  <c r="AT1635" i="2"/>
  <c r="Q1637" i="2"/>
  <c r="U1637" i="2"/>
  <c r="AR1637" i="2"/>
  <c r="AT1639" i="2"/>
  <c r="Q1641" i="2"/>
  <c r="U1641" i="2"/>
  <c r="AR1641" i="2"/>
  <c r="AT1643" i="2"/>
  <c r="Q1645" i="2"/>
  <c r="U1645" i="2"/>
  <c r="AR1645" i="2"/>
  <c r="AT1647" i="2"/>
  <c r="Q1649" i="2"/>
  <c r="U1649" i="2"/>
  <c r="AR1649" i="2"/>
  <c r="AT1651" i="2"/>
  <c r="Q1653" i="2"/>
  <c r="U1653" i="2"/>
  <c r="AR1653" i="2"/>
  <c r="AT1655" i="2"/>
  <c r="Q1657" i="2"/>
  <c r="U1657" i="2"/>
  <c r="AR1657" i="2"/>
  <c r="AT1659" i="2"/>
  <c r="Q1661" i="2"/>
  <c r="U1661" i="2"/>
  <c r="AR1661" i="2"/>
  <c r="AT1663" i="2"/>
  <c r="Q1665" i="2"/>
  <c r="U1665" i="2"/>
  <c r="AR1665" i="2"/>
  <c r="AT1667" i="2"/>
  <c r="Q1669" i="2"/>
  <c r="U1669" i="2"/>
  <c r="AR1669" i="2"/>
  <c r="AT1671" i="2"/>
  <c r="Q1673" i="2"/>
  <c r="U1673" i="2"/>
  <c r="AR1673" i="2"/>
  <c r="AT1675" i="2"/>
  <c r="Q1677" i="2"/>
  <c r="U1677" i="2"/>
  <c r="AR1677" i="2"/>
  <c r="AT1679" i="2"/>
  <c r="Q1681" i="2"/>
  <c r="U1681" i="2"/>
  <c r="AR1681" i="2"/>
  <c r="AT1683" i="2"/>
  <c r="Q1685" i="2"/>
  <c r="U1685" i="2"/>
  <c r="AR1685" i="2"/>
  <c r="AT1687" i="2"/>
  <c r="Q1689" i="2"/>
  <c r="U1689" i="2"/>
  <c r="AR1689" i="2"/>
  <c r="AT1691" i="2"/>
  <c r="Q1693" i="2"/>
  <c r="U1693" i="2"/>
  <c r="AR1693" i="2"/>
  <c r="AT1695" i="2"/>
  <c r="Q1697" i="2"/>
  <c r="U1697" i="2"/>
  <c r="AR1697" i="2"/>
  <c r="AT1699" i="2"/>
  <c r="Q1701" i="2"/>
  <c r="U1701" i="2"/>
  <c r="AR1701" i="2"/>
  <c r="AT1703" i="2"/>
  <c r="Q1705" i="2"/>
  <c r="U1705" i="2"/>
  <c r="AR1705" i="2"/>
  <c r="AT1707" i="2"/>
  <c r="Q1709" i="2"/>
  <c r="U1709" i="2"/>
  <c r="AR1709" i="2"/>
  <c r="AT1711" i="2"/>
  <c r="Q1713" i="2"/>
  <c r="U1713" i="2"/>
  <c r="AR1713" i="2"/>
  <c r="AT1715" i="2"/>
  <c r="Q1717" i="2"/>
  <c r="U1717" i="2"/>
  <c r="AR1717" i="2"/>
  <c r="AT1719" i="2"/>
  <c r="Q1721" i="2"/>
  <c r="U1721" i="2"/>
  <c r="AR1721" i="2"/>
  <c r="AT1723" i="2"/>
  <c r="Q1725" i="2"/>
  <c r="U1725" i="2"/>
  <c r="AR1725" i="2"/>
  <c r="AT1727" i="2"/>
  <c r="Q1729" i="2"/>
  <c r="U1729" i="2"/>
  <c r="AR1729" i="2"/>
  <c r="AT1731" i="2"/>
  <c r="Q1733" i="2"/>
  <c r="U1733" i="2"/>
  <c r="AR1733" i="2"/>
  <c r="AT1735" i="2"/>
  <c r="AU1740" i="2"/>
  <c r="AR1744" i="2"/>
  <c r="U1744" i="2"/>
  <c r="Q1744" i="2"/>
  <c r="T1744" i="2"/>
  <c r="AS1744" i="2"/>
  <c r="AS1747" i="2"/>
  <c r="AU1748" i="2"/>
  <c r="AS1755" i="2"/>
  <c r="V1755" i="2"/>
  <c r="AR1755" i="2"/>
  <c r="U1755" i="2"/>
  <c r="Q1755" i="2"/>
  <c r="AU1755" i="2"/>
  <c r="T1755" i="2"/>
  <c r="AS1763" i="2"/>
  <c r="V1763" i="2"/>
  <c r="AR1763" i="2"/>
  <c r="U1763" i="2"/>
  <c r="Q1763" i="2"/>
  <c r="AU1763" i="2"/>
  <c r="T1763" i="2"/>
  <c r="AT1771" i="2"/>
  <c r="AS1779" i="2"/>
  <c r="V1779" i="2"/>
  <c r="AR1779" i="2"/>
  <c r="U1779" i="2"/>
  <c r="Q1779" i="2"/>
  <c r="AU1779" i="2"/>
  <c r="T1779" i="2"/>
  <c r="AR1785" i="2"/>
  <c r="U1785" i="2"/>
  <c r="Q1785" i="2"/>
  <c r="AU1785" i="2"/>
  <c r="AT1785" i="2"/>
  <c r="V1785" i="2"/>
  <c r="AT1538" i="2"/>
  <c r="AT1542" i="2"/>
  <c r="AT1546" i="2"/>
  <c r="AT1550" i="2"/>
  <c r="AT1554" i="2"/>
  <c r="AT1558" i="2"/>
  <c r="T1559" i="2"/>
  <c r="AU1559" i="2"/>
  <c r="AT1562" i="2"/>
  <c r="T1563" i="2"/>
  <c r="AU1563" i="2"/>
  <c r="AT1566" i="2"/>
  <c r="T1567" i="2"/>
  <c r="AU1567" i="2"/>
  <c r="AT1570" i="2"/>
  <c r="T1571" i="2"/>
  <c r="AU1571" i="2"/>
  <c r="AT1574" i="2"/>
  <c r="T1575" i="2"/>
  <c r="AU1575" i="2"/>
  <c r="AT1578" i="2"/>
  <c r="T1579" i="2"/>
  <c r="AU1579" i="2"/>
  <c r="AT1582" i="2"/>
  <c r="T1583" i="2"/>
  <c r="AU1583" i="2"/>
  <c r="AT1586" i="2"/>
  <c r="T1587" i="2"/>
  <c r="AU1587" i="2"/>
  <c r="AT1590" i="2"/>
  <c r="T1591" i="2"/>
  <c r="AU1591" i="2"/>
  <c r="AT1594" i="2"/>
  <c r="T1595" i="2"/>
  <c r="AI1595" i="2"/>
  <c r="AU1595" i="2"/>
  <c r="V1597" i="2"/>
  <c r="AS1597" i="2"/>
  <c r="AT1598" i="2"/>
  <c r="T1599" i="2"/>
  <c r="AI1599" i="2"/>
  <c r="AU1599" i="2"/>
  <c r="V1601" i="2"/>
  <c r="AS1601" i="2"/>
  <c r="AT1602" i="2"/>
  <c r="T1603" i="2"/>
  <c r="AI1603" i="2"/>
  <c r="AU1603" i="2"/>
  <c r="V1605" i="2"/>
  <c r="AS1605" i="2"/>
  <c r="AT1606" i="2"/>
  <c r="T1607" i="2"/>
  <c r="AI1607" i="2"/>
  <c r="AU1607" i="2"/>
  <c r="V1609" i="2"/>
  <c r="AS1609" i="2"/>
  <c r="AT1610" i="2"/>
  <c r="T1611" i="2"/>
  <c r="AI1611" i="2"/>
  <c r="AU1611" i="2"/>
  <c r="V1613" i="2"/>
  <c r="AS1613" i="2"/>
  <c r="AT1614" i="2"/>
  <c r="T1615" i="2"/>
  <c r="AI1615" i="2"/>
  <c r="AU1615" i="2"/>
  <c r="V1617" i="2"/>
  <c r="AS1617" i="2"/>
  <c r="AT1618" i="2"/>
  <c r="T1619" i="2"/>
  <c r="AI1619" i="2"/>
  <c r="AU1619" i="2"/>
  <c r="V1621" i="2"/>
  <c r="AS1621" i="2"/>
  <c r="AT1622" i="2"/>
  <c r="T1623" i="2"/>
  <c r="AI1623" i="2"/>
  <c r="AU1623" i="2"/>
  <c r="V1625" i="2"/>
  <c r="AS1625" i="2"/>
  <c r="AT1626" i="2"/>
  <c r="T1627" i="2"/>
  <c r="AI1627" i="2"/>
  <c r="AU1627" i="2"/>
  <c r="V1629" i="2"/>
  <c r="AS1629" i="2"/>
  <c r="AT1630" i="2"/>
  <c r="T1631" i="2"/>
  <c r="AI1631" i="2"/>
  <c r="AU1631" i="2"/>
  <c r="V1633" i="2"/>
  <c r="AS1633" i="2"/>
  <c r="AT1634" i="2"/>
  <c r="T1635" i="2"/>
  <c r="AI1635" i="2"/>
  <c r="AU1635" i="2"/>
  <c r="V1637" i="2"/>
  <c r="AS1637" i="2"/>
  <c r="AT1638" i="2"/>
  <c r="T1639" i="2"/>
  <c r="AI1639" i="2"/>
  <c r="AU1639" i="2"/>
  <c r="V1641" i="2"/>
  <c r="AS1641" i="2"/>
  <c r="AT1642" i="2"/>
  <c r="T1643" i="2"/>
  <c r="AI1643" i="2"/>
  <c r="AU1643" i="2"/>
  <c r="V1645" i="2"/>
  <c r="AS1645" i="2"/>
  <c r="AT1646" i="2"/>
  <c r="T1647" i="2"/>
  <c r="AI1647" i="2"/>
  <c r="AU1647" i="2"/>
  <c r="V1649" i="2"/>
  <c r="AS1649" i="2"/>
  <c r="AT1650" i="2"/>
  <c r="T1651" i="2"/>
  <c r="AI1651" i="2"/>
  <c r="AU1651" i="2"/>
  <c r="V1653" i="2"/>
  <c r="AS1653" i="2"/>
  <c r="AT1654" i="2"/>
  <c r="T1655" i="2"/>
  <c r="AI1655" i="2"/>
  <c r="AU1655" i="2"/>
  <c r="V1657" i="2"/>
  <c r="AS1657" i="2"/>
  <c r="AT1658" i="2"/>
  <c r="T1659" i="2"/>
  <c r="AI1659" i="2"/>
  <c r="AU1659" i="2"/>
  <c r="V1661" i="2"/>
  <c r="AS1661" i="2"/>
  <c r="AT1662" i="2"/>
  <c r="T1663" i="2"/>
  <c r="AI1663" i="2"/>
  <c r="AU1663" i="2"/>
  <c r="V1665" i="2"/>
  <c r="AS1665" i="2"/>
  <c r="AT1666" i="2"/>
  <c r="T1667" i="2"/>
  <c r="AI1667" i="2"/>
  <c r="AU1667" i="2"/>
  <c r="V1669" i="2"/>
  <c r="AS1669" i="2"/>
  <c r="AT1670" i="2"/>
  <c r="T1671" i="2"/>
  <c r="AI1671" i="2"/>
  <c r="AU1671" i="2"/>
  <c r="V1673" i="2"/>
  <c r="AS1673" i="2"/>
  <c r="AT1674" i="2"/>
  <c r="T1675" i="2"/>
  <c r="AI1675" i="2"/>
  <c r="AU1675" i="2"/>
  <c r="V1677" i="2"/>
  <c r="AS1677" i="2"/>
  <c r="AT1678" i="2"/>
  <c r="T1679" i="2"/>
  <c r="AI1679" i="2"/>
  <c r="AU1679" i="2"/>
  <c r="V1681" i="2"/>
  <c r="AS1681" i="2"/>
  <c r="AT1682" i="2"/>
  <c r="T1683" i="2"/>
  <c r="AI1683" i="2"/>
  <c r="AU1683" i="2"/>
  <c r="V1685" i="2"/>
  <c r="AS1685" i="2"/>
  <c r="AT1686" i="2"/>
  <c r="T1687" i="2"/>
  <c r="AI1687" i="2"/>
  <c r="AU1687" i="2"/>
  <c r="V1689" i="2"/>
  <c r="AS1689" i="2"/>
  <c r="AT1690" i="2"/>
  <c r="T1691" i="2"/>
  <c r="AI1691" i="2"/>
  <c r="AU1691" i="2"/>
  <c r="V1693" i="2"/>
  <c r="AS1693" i="2"/>
  <c r="AT1694" i="2"/>
  <c r="T1695" i="2"/>
  <c r="AI1695" i="2"/>
  <c r="AU1695" i="2"/>
  <c r="V1697" i="2"/>
  <c r="AS1697" i="2"/>
  <c r="AT1698" i="2"/>
  <c r="T1699" i="2"/>
  <c r="AI1699" i="2"/>
  <c r="AU1699" i="2"/>
  <c r="V1701" i="2"/>
  <c r="AS1701" i="2"/>
  <c r="AT1702" i="2"/>
  <c r="T1703" i="2"/>
  <c r="AI1703" i="2"/>
  <c r="AU1703" i="2"/>
  <c r="V1705" i="2"/>
  <c r="AS1705" i="2"/>
  <c r="AT1706" i="2"/>
  <c r="T1707" i="2"/>
  <c r="AI1707" i="2"/>
  <c r="AU1707" i="2"/>
  <c r="V1709" i="2"/>
  <c r="AS1709" i="2"/>
  <c r="AT1710" i="2"/>
  <c r="T1711" i="2"/>
  <c r="AI1711" i="2"/>
  <c r="AU1711" i="2"/>
  <c r="V1713" i="2"/>
  <c r="AS1713" i="2"/>
  <c r="AT1714" i="2"/>
  <c r="T1715" i="2"/>
  <c r="AI1715" i="2"/>
  <c r="AU1715" i="2"/>
  <c r="V1717" i="2"/>
  <c r="AS1717" i="2"/>
  <c r="AT1718" i="2"/>
  <c r="T1719" i="2"/>
  <c r="AI1719" i="2"/>
  <c r="AU1719" i="2"/>
  <c r="V1721" i="2"/>
  <c r="AS1721" i="2"/>
  <c r="AT1722" i="2"/>
  <c r="T1723" i="2"/>
  <c r="AI1723" i="2"/>
  <c r="AU1723" i="2"/>
  <c r="V1725" i="2"/>
  <c r="AS1725" i="2"/>
  <c r="AT1726" i="2"/>
  <c r="T1727" i="2"/>
  <c r="AI1727" i="2"/>
  <c r="AU1727" i="2"/>
  <c r="V1729" i="2"/>
  <c r="AS1729" i="2"/>
  <c r="AT1730" i="2"/>
  <c r="T1731" i="2"/>
  <c r="AI1731" i="2"/>
  <c r="AU1731" i="2"/>
  <c r="V1733" i="2"/>
  <c r="AS1733" i="2"/>
  <c r="AT1734" i="2"/>
  <c r="T1735" i="2"/>
  <c r="AI1735" i="2"/>
  <c r="AU1735" i="2"/>
  <c r="AU1739" i="2"/>
  <c r="T1739" i="2"/>
  <c r="U1739" i="2"/>
  <c r="AT1739" i="2"/>
  <c r="AS1741" i="2"/>
  <c r="V1741" i="2"/>
  <c r="T1741" i="2"/>
  <c r="AR1741" i="2"/>
  <c r="V1744" i="2"/>
  <c r="AT1744" i="2"/>
  <c r="AU1747" i="2"/>
  <c r="T1747" i="2"/>
  <c r="U1747" i="2"/>
  <c r="AT1747" i="2"/>
  <c r="AU1749" i="2"/>
  <c r="T1749" i="2"/>
  <c r="AS1749" i="2"/>
  <c r="V1749" i="2"/>
  <c r="U1749" i="2"/>
  <c r="AS1759" i="2"/>
  <c r="V1759" i="2"/>
  <c r="AR1759" i="2"/>
  <c r="U1759" i="2"/>
  <c r="Q1759" i="2"/>
  <c r="AU1759" i="2"/>
  <c r="T1759" i="2"/>
  <c r="AS1767" i="2"/>
  <c r="V1767" i="2"/>
  <c r="AR1767" i="2"/>
  <c r="U1767" i="2"/>
  <c r="Q1767" i="2"/>
  <c r="AU1767" i="2"/>
  <c r="T1767" i="2"/>
  <c r="AT1783" i="2"/>
  <c r="V1783" i="2"/>
  <c r="AU1783" i="2"/>
  <c r="U1783" i="2"/>
  <c r="Q1783" i="2"/>
  <c r="AS1783" i="2"/>
  <c r="T1783" i="2"/>
  <c r="T1785" i="2"/>
  <c r="AS1785" i="2"/>
  <c r="AT1597" i="2"/>
  <c r="AT1601" i="2"/>
  <c r="AT1605" i="2"/>
  <c r="AT1609" i="2"/>
  <c r="AT1613" i="2"/>
  <c r="AT1617" i="2"/>
  <c r="AT1621" i="2"/>
  <c r="AT1625" i="2"/>
  <c r="AT1629" i="2"/>
  <c r="AT1633" i="2"/>
  <c r="AT1637" i="2"/>
  <c r="AT1641" i="2"/>
  <c r="AT1645" i="2"/>
  <c r="AT1649" i="2"/>
  <c r="AT1653" i="2"/>
  <c r="AT1657" i="2"/>
  <c r="AT1661" i="2"/>
  <c r="AT1665" i="2"/>
  <c r="AT1669" i="2"/>
  <c r="AT1673" i="2"/>
  <c r="AT1677" i="2"/>
  <c r="AT1681" i="2"/>
  <c r="AT1685" i="2"/>
  <c r="AT1689" i="2"/>
  <c r="AT1693" i="2"/>
  <c r="AT1697" i="2"/>
  <c r="AT1701" i="2"/>
  <c r="AT1705" i="2"/>
  <c r="AT1709" i="2"/>
  <c r="AT1713" i="2"/>
  <c r="AT1717" i="2"/>
  <c r="AT1721" i="2"/>
  <c r="AT1725" i="2"/>
  <c r="AT1729" i="2"/>
  <c r="AT1733" i="2"/>
  <c r="AR1740" i="2"/>
  <c r="U1740" i="2"/>
  <c r="Q1740" i="2"/>
  <c r="T1740" i="2"/>
  <c r="AS1740" i="2"/>
  <c r="AR1748" i="2"/>
  <c r="U1748" i="2"/>
  <c r="Q1748" i="2"/>
  <c r="T1748" i="2"/>
  <c r="AS1748" i="2"/>
  <c r="AS1771" i="2"/>
  <c r="V1771" i="2"/>
  <c r="AR1771" i="2"/>
  <c r="U1771" i="2"/>
  <c r="Q1771" i="2"/>
  <c r="AU1771" i="2"/>
  <c r="T1771" i="2"/>
  <c r="AI1787" i="2"/>
  <c r="AT1528" i="2"/>
  <c r="AT1532" i="2"/>
  <c r="AT1536" i="2"/>
  <c r="Q1538" i="2"/>
  <c r="U1538" i="2"/>
  <c r="AR1538" i="2"/>
  <c r="AT1540" i="2"/>
  <c r="Q1542" i="2"/>
  <c r="U1542" i="2"/>
  <c r="AR1542" i="2"/>
  <c r="AT1544" i="2"/>
  <c r="Q1546" i="2"/>
  <c r="U1546" i="2"/>
  <c r="AR1546" i="2"/>
  <c r="AT1548" i="2"/>
  <c r="Q1550" i="2"/>
  <c r="U1550" i="2"/>
  <c r="AR1550" i="2"/>
  <c r="AT1552" i="2"/>
  <c r="Q1554" i="2"/>
  <c r="U1554" i="2"/>
  <c r="AR1554" i="2"/>
  <c r="AT1556" i="2"/>
  <c r="Q1558" i="2"/>
  <c r="U1558" i="2"/>
  <c r="AR1558" i="2"/>
  <c r="V1559" i="2"/>
  <c r="AS1559" i="2"/>
  <c r="AT1560" i="2"/>
  <c r="Q1562" i="2"/>
  <c r="U1562" i="2"/>
  <c r="AR1562" i="2"/>
  <c r="V1563" i="2"/>
  <c r="AS1563" i="2"/>
  <c r="AT1564" i="2"/>
  <c r="Q1566" i="2"/>
  <c r="U1566" i="2"/>
  <c r="AR1566" i="2"/>
  <c r="V1567" i="2"/>
  <c r="AS1567" i="2"/>
  <c r="AT1568" i="2"/>
  <c r="Q1570" i="2"/>
  <c r="U1570" i="2"/>
  <c r="AR1570" i="2"/>
  <c r="V1571" i="2"/>
  <c r="AS1571" i="2"/>
  <c r="AT1572" i="2"/>
  <c r="Q1574" i="2"/>
  <c r="U1574" i="2"/>
  <c r="AR1574" i="2"/>
  <c r="V1575" i="2"/>
  <c r="AS1575" i="2"/>
  <c r="AT1576" i="2"/>
  <c r="Q1578" i="2"/>
  <c r="U1578" i="2"/>
  <c r="AR1578" i="2"/>
  <c r="V1579" i="2"/>
  <c r="AS1579" i="2"/>
  <c r="AT1580" i="2"/>
  <c r="Q1582" i="2"/>
  <c r="U1582" i="2"/>
  <c r="AR1582" i="2"/>
  <c r="V1583" i="2"/>
  <c r="AS1583" i="2"/>
  <c r="AT1584" i="2"/>
  <c r="Q1586" i="2"/>
  <c r="U1586" i="2"/>
  <c r="AR1586" i="2"/>
  <c r="V1587" i="2"/>
  <c r="AS1587" i="2"/>
  <c r="AT1588" i="2"/>
  <c r="Q1590" i="2"/>
  <c r="U1590" i="2"/>
  <c r="AR1590" i="2"/>
  <c r="V1591" i="2"/>
  <c r="AS1591" i="2"/>
  <c r="AT1592" i="2"/>
  <c r="Q1594" i="2"/>
  <c r="U1594" i="2"/>
  <c r="AR1594" i="2"/>
  <c r="V1595" i="2"/>
  <c r="AS1595" i="2"/>
  <c r="AT1596" i="2"/>
  <c r="T1597" i="2"/>
  <c r="AU1597" i="2"/>
  <c r="Q1598" i="2"/>
  <c r="U1598" i="2"/>
  <c r="AR1598" i="2"/>
  <c r="V1599" i="2"/>
  <c r="AS1599" i="2"/>
  <c r="AT1600" i="2"/>
  <c r="T1601" i="2"/>
  <c r="AU1601" i="2"/>
  <c r="Q1602" i="2"/>
  <c r="U1602" i="2"/>
  <c r="AR1602" i="2"/>
  <c r="V1603" i="2"/>
  <c r="AS1603" i="2"/>
  <c r="AT1604" i="2"/>
  <c r="T1605" i="2"/>
  <c r="AU1605" i="2"/>
  <c r="Q1606" i="2"/>
  <c r="U1606" i="2"/>
  <c r="AR1606" i="2"/>
  <c r="V1607" i="2"/>
  <c r="AS1607" i="2"/>
  <c r="AT1608" i="2"/>
  <c r="T1609" i="2"/>
  <c r="AU1609" i="2"/>
  <c r="Q1610" i="2"/>
  <c r="U1610" i="2"/>
  <c r="AR1610" i="2"/>
  <c r="V1611" i="2"/>
  <c r="AS1611" i="2"/>
  <c r="AT1612" i="2"/>
  <c r="T1613" i="2"/>
  <c r="AU1613" i="2"/>
  <c r="Q1614" i="2"/>
  <c r="U1614" i="2"/>
  <c r="AR1614" i="2"/>
  <c r="V1615" i="2"/>
  <c r="AS1615" i="2"/>
  <c r="AT1616" i="2"/>
  <c r="T1617" i="2"/>
  <c r="AU1617" i="2"/>
  <c r="Q1618" i="2"/>
  <c r="U1618" i="2"/>
  <c r="AR1618" i="2"/>
  <c r="V1619" i="2"/>
  <c r="AS1619" i="2"/>
  <c r="AT1620" i="2"/>
  <c r="T1621" i="2"/>
  <c r="AU1621" i="2"/>
  <c r="Q1622" i="2"/>
  <c r="U1622" i="2"/>
  <c r="AR1622" i="2"/>
  <c r="V1623" i="2"/>
  <c r="AS1623" i="2"/>
  <c r="AT1624" i="2"/>
  <c r="T1625" i="2"/>
  <c r="AU1625" i="2"/>
  <c r="Q1626" i="2"/>
  <c r="U1626" i="2"/>
  <c r="AR1626" i="2"/>
  <c r="V1627" i="2"/>
  <c r="AS1627" i="2"/>
  <c r="AT1628" i="2"/>
  <c r="T1629" i="2"/>
  <c r="AU1629" i="2"/>
  <c r="Q1630" i="2"/>
  <c r="U1630" i="2"/>
  <c r="AR1630" i="2"/>
  <c r="V1631" i="2"/>
  <c r="AS1631" i="2"/>
  <c r="AT1632" i="2"/>
  <c r="T1633" i="2"/>
  <c r="AU1633" i="2"/>
  <c r="Q1634" i="2"/>
  <c r="U1634" i="2"/>
  <c r="AR1634" i="2"/>
  <c r="V1635" i="2"/>
  <c r="AS1635" i="2"/>
  <c r="AT1636" i="2"/>
  <c r="T1637" i="2"/>
  <c r="AU1637" i="2"/>
  <c r="Q1638" i="2"/>
  <c r="U1638" i="2"/>
  <c r="AR1638" i="2"/>
  <c r="V1639" i="2"/>
  <c r="AS1639" i="2"/>
  <c r="AT1640" i="2"/>
  <c r="T1641" i="2"/>
  <c r="AU1641" i="2"/>
  <c r="Q1642" i="2"/>
  <c r="U1642" i="2"/>
  <c r="AR1642" i="2"/>
  <c r="V1643" i="2"/>
  <c r="AS1643" i="2"/>
  <c r="AT1644" i="2"/>
  <c r="T1645" i="2"/>
  <c r="AU1645" i="2"/>
  <c r="Q1646" i="2"/>
  <c r="U1646" i="2"/>
  <c r="AR1646" i="2"/>
  <c r="V1647" i="2"/>
  <c r="AS1647" i="2"/>
  <c r="AT1648" i="2"/>
  <c r="T1649" i="2"/>
  <c r="AU1649" i="2"/>
  <c r="Q1650" i="2"/>
  <c r="U1650" i="2"/>
  <c r="AR1650" i="2"/>
  <c r="V1651" i="2"/>
  <c r="AS1651" i="2"/>
  <c r="AT1652" i="2"/>
  <c r="T1653" i="2"/>
  <c r="AU1653" i="2"/>
  <c r="Q1654" i="2"/>
  <c r="U1654" i="2"/>
  <c r="AR1654" i="2"/>
  <c r="V1655" i="2"/>
  <c r="AS1655" i="2"/>
  <c r="AT1656" i="2"/>
  <c r="T1657" i="2"/>
  <c r="AU1657" i="2"/>
  <c r="Q1658" i="2"/>
  <c r="U1658" i="2"/>
  <c r="AR1658" i="2"/>
  <c r="V1659" i="2"/>
  <c r="AS1659" i="2"/>
  <c r="AT1660" i="2"/>
  <c r="T1661" i="2"/>
  <c r="AU1661" i="2"/>
  <c r="Q1662" i="2"/>
  <c r="U1662" i="2"/>
  <c r="AR1662" i="2"/>
  <c r="V1663" i="2"/>
  <c r="AS1663" i="2"/>
  <c r="AT1664" i="2"/>
  <c r="T1665" i="2"/>
  <c r="AU1665" i="2"/>
  <c r="Q1666" i="2"/>
  <c r="U1666" i="2"/>
  <c r="AR1666" i="2"/>
  <c r="V1667" i="2"/>
  <c r="AS1667" i="2"/>
  <c r="AT1668" i="2"/>
  <c r="T1669" i="2"/>
  <c r="AU1669" i="2"/>
  <c r="Q1670" i="2"/>
  <c r="U1670" i="2"/>
  <c r="AR1670" i="2"/>
  <c r="V1671" i="2"/>
  <c r="AS1671" i="2"/>
  <c r="AT1672" i="2"/>
  <c r="T1673" i="2"/>
  <c r="AU1673" i="2"/>
  <c r="Q1674" i="2"/>
  <c r="U1674" i="2"/>
  <c r="AR1674" i="2"/>
  <c r="V1675" i="2"/>
  <c r="AS1675" i="2"/>
  <c r="AT1676" i="2"/>
  <c r="T1677" i="2"/>
  <c r="AU1677" i="2"/>
  <c r="Q1678" i="2"/>
  <c r="U1678" i="2"/>
  <c r="AR1678" i="2"/>
  <c r="V1679" i="2"/>
  <c r="AS1679" i="2"/>
  <c r="AT1680" i="2"/>
  <c r="T1681" i="2"/>
  <c r="AU1681" i="2"/>
  <c r="Q1682" i="2"/>
  <c r="U1682" i="2"/>
  <c r="AR1682" i="2"/>
  <c r="V1683" i="2"/>
  <c r="AS1683" i="2"/>
  <c r="AT1684" i="2"/>
  <c r="T1685" i="2"/>
  <c r="AU1685" i="2"/>
  <c r="Q1686" i="2"/>
  <c r="U1686" i="2"/>
  <c r="AR1686" i="2"/>
  <c r="V1687" i="2"/>
  <c r="AS1687" i="2"/>
  <c r="AT1688" i="2"/>
  <c r="T1689" i="2"/>
  <c r="AU1689" i="2"/>
  <c r="Q1690" i="2"/>
  <c r="U1690" i="2"/>
  <c r="AR1690" i="2"/>
  <c r="V1691" i="2"/>
  <c r="AS1691" i="2"/>
  <c r="AT1692" i="2"/>
  <c r="T1693" i="2"/>
  <c r="AU1693" i="2"/>
  <c r="Q1694" i="2"/>
  <c r="U1694" i="2"/>
  <c r="AR1694" i="2"/>
  <c r="V1695" i="2"/>
  <c r="AS1695" i="2"/>
  <c r="AT1696" i="2"/>
  <c r="T1697" i="2"/>
  <c r="AU1697" i="2"/>
  <c r="Q1698" i="2"/>
  <c r="U1698" i="2"/>
  <c r="AR1698" i="2"/>
  <c r="V1699" i="2"/>
  <c r="AS1699" i="2"/>
  <c r="AT1700" i="2"/>
  <c r="T1701" i="2"/>
  <c r="AU1701" i="2"/>
  <c r="Q1702" i="2"/>
  <c r="U1702" i="2"/>
  <c r="AR1702" i="2"/>
  <c r="V1703" i="2"/>
  <c r="AS1703" i="2"/>
  <c r="AT1704" i="2"/>
  <c r="T1705" i="2"/>
  <c r="AU1705" i="2"/>
  <c r="Q1706" i="2"/>
  <c r="U1706" i="2"/>
  <c r="AR1706" i="2"/>
  <c r="V1707" i="2"/>
  <c r="AS1707" i="2"/>
  <c r="AT1708" i="2"/>
  <c r="T1709" i="2"/>
  <c r="AU1709" i="2"/>
  <c r="Q1710" i="2"/>
  <c r="U1710" i="2"/>
  <c r="AR1710" i="2"/>
  <c r="V1711" i="2"/>
  <c r="AS1711" i="2"/>
  <c r="AT1712" i="2"/>
  <c r="T1713" i="2"/>
  <c r="AU1713" i="2"/>
  <c r="Q1714" i="2"/>
  <c r="U1714" i="2"/>
  <c r="AR1714" i="2"/>
  <c r="V1715" i="2"/>
  <c r="AS1715" i="2"/>
  <c r="AT1716" i="2"/>
  <c r="T1717" i="2"/>
  <c r="AU1717" i="2"/>
  <c r="Q1718" i="2"/>
  <c r="U1718" i="2"/>
  <c r="AR1718" i="2"/>
  <c r="V1719" i="2"/>
  <c r="AS1719" i="2"/>
  <c r="AT1720" i="2"/>
  <c r="T1721" i="2"/>
  <c r="AU1721" i="2"/>
  <c r="Q1722" i="2"/>
  <c r="U1722" i="2"/>
  <c r="AR1722" i="2"/>
  <c r="V1723" i="2"/>
  <c r="AS1723" i="2"/>
  <c r="AT1724" i="2"/>
  <c r="T1725" i="2"/>
  <c r="AU1725" i="2"/>
  <c r="Q1726" i="2"/>
  <c r="U1726" i="2"/>
  <c r="AR1726" i="2"/>
  <c r="V1727" i="2"/>
  <c r="AS1727" i="2"/>
  <c r="AT1728" i="2"/>
  <c r="T1729" i="2"/>
  <c r="AU1729" i="2"/>
  <c r="Q1730" i="2"/>
  <c r="U1730" i="2"/>
  <c r="AR1730" i="2"/>
  <c r="V1731" i="2"/>
  <c r="AS1731" i="2"/>
  <c r="AT1732" i="2"/>
  <c r="T1733" i="2"/>
  <c r="AU1733" i="2"/>
  <c r="Q1734" i="2"/>
  <c r="U1734" i="2"/>
  <c r="AR1734" i="2"/>
  <c r="V1735" i="2"/>
  <c r="AS1735" i="2"/>
  <c r="AR1736" i="2"/>
  <c r="AS1737" i="2"/>
  <c r="V1737" i="2"/>
  <c r="T1737" i="2"/>
  <c r="AR1737" i="2"/>
  <c r="AI1738" i="2"/>
  <c r="AR1739" i="2"/>
  <c r="V1740" i="2"/>
  <c r="AT1740" i="2"/>
  <c r="Q1741" i="2"/>
  <c r="AU1741" i="2"/>
  <c r="AU1743" i="2"/>
  <c r="T1743" i="2"/>
  <c r="U1743" i="2"/>
  <c r="AT1743" i="2"/>
  <c r="AS1745" i="2"/>
  <c r="V1745" i="2"/>
  <c r="T1745" i="2"/>
  <c r="AR1745" i="2"/>
  <c r="AI1746" i="2"/>
  <c r="AR1747" i="2"/>
  <c r="V1748" i="2"/>
  <c r="AT1748" i="2"/>
  <c r="Q1749" i="2"/>
  <c r="AT1749" i="2"/>
  <c r="AS1751" i="2"/>
  <c r="V1751" i="2"/>
  <c r="AU1751" i="2"/>
  <c r="T1751" i="2"/>
  <c r="AR1751" i="2"/>
  <c r="AT1759" i="2"/>
  <c r="AT1767" i="2"/>
  <c r="AS1775" i="2"/>
  <c r="V1775" i="2"/>
  <c r="AR1775" i="2"/>
  <c r="U1775" i="2"/>
  <c r="Q1775" i="2"/>
  <c r="AU1775" i="2"/>
  <c r="T1775" i="2"/>
  <c r="AI1784" i="2"/>
  <c r="AT1738" i="2"/>
  <c r="AT1742" i="2"/>
  <c r="AT1746" i="2"/>
  <c r="AT1750" i="2"/>
  <c r="Q1752" i="2"/>
  <c r="U1752" i="2"/>
  <c r="AR1752" i="2"/>
  <c r="V1753" i="2"/>
  <c r="AS1753" i="2"/>
  <c r="AT1754" i="2"/>
  <c r="AI1755" i="2"/>
  <c r="Q1756" i="2"/>
  <c r="U1756" i="2"/>
  <c r="AR1756" i="2"/>
  <c r="V1757" i="2"/>
  <c r="AS1757" i="2"/>
  <c r="AT1758" i="2"/>
  <c r="Q1760" i="2"/>
  <c r="U1760" i="2"/>
  <c r="AR1760" i="2"/>
  <c r="V1761" i="2"/>
  <c r="AS1761" i="2"/>
  <c r="AT1762" i="2"/>
  <c r="AI1763" i="2"/>
  <c r="Q1764" i="2"/>
  <c r="U1764" i="2"/>
  <c r="AR1764" i="2"/>
  <c r="V1765" i="2"/>
  <c r="AS1765" i="2"/>
  <c r="AT1766" i="2"/>
  <c r="Q1768" i="2"/>
  <c r="U1768" i="2"/>
  <c r="AR1768" i="2"/>
  <c r="V1769" i="2"/>
  <c r="AS1769" i="2"/>
  <c r="AT1770" i="2"/>
  <c r="AI1771" i="2"/>
  <c r="Q1772" i="2"/>
  <c r="U1772" i="2"/>
  <c r="AR1772" i="2"/>
  <c r="V1773" i="2"/>
  <c r="AS1773" i="2"/>
  <c r="AT1774" i="2"/>
  <c r="AI1775" i="2"/>
  <c r="Q1776" i="2"/>
  <c r="U1776" i="2"/>
  <c r="AR1776" i="2"/>
  <c r="V1777" i="2"/>
  <c r="AS1777" i="2"/>
  <c r="AT1778" i="2"/>
  <c r="AI1779" i="2"/>
  <c r="Q1780" i="2"/>
  <c r="U1780" i="2"/>
  <c r="AR1780" i="2"/>
  <c r="V1781" i="2"/>
  <c r="AS1781" i="2"/>
  <c r="AT1782" i="2"/>
  <c r="AI1783" i="2"/>
  <c r="AR1784" i="2"/>
  <c r="Q1786" i="2"/>
  <c r="AU1788" i="2"/>
  <c r="T1788" i="2"/>
  <c r="U1788" i="2"/>
  <c r="AT1788" i="2"/>
  <c r="AS1790" i="2"/>
  <c r="V1790" i="2"/>
  <c r="T1790" i="2"/>
  <c r="AR1790" i="2"/>
  <c r="AI1791" i="2"/>
  <c r="AR1792" i="2"/>
  <c r="V1793" i="2"/>
  <c r="AT1793" i="2"/>
  <c r="Q1794" i="2"/>
  <c r="AU1796" i="2"/>
  <c r="T1796" i="2"/>
  <c r="U1796" i="2"/>
  <c r="AT1796" i="2"/>
  <c r="AS1798" i="2"/>
  <c r="V1798" i="2"/>
  <c r="T1798" i="2"/>
  <c r="AR1798" i="2"/>
  <c r="AI1799" i="2"/>
  <c r="AR1800" i="2"/>
  <c r="AT1753" i="2"/>
  <c r="AT1757" i="2"/>
  <c r="AS1760" i="2"/>
  <c r="AT1761" i="2"/>
  <c r="AT1765" i="2"/>
  <c r="AT1769" i="2"/>
  <c r="AT1773" i="2"/>
  <c r="AT1777" i="2"/>
  <c r="AT1781" i="2"/>
  <c r="AR1789" i="2"/>
  <c r="U1789" i="2"/>
  <c r="Q1789" i="2"/>
  <c r="T1789" i="2"/>
  <c r="AS1789" i="2"/>
  <c r="AS1792" i="2"/>
  <c r="AU1793" i="2"/>
  <c r="AR1797" i="2"/>
  <c r="U1797" i="2"/>
  <c r="Q1797" i="2"/>
  <c r="T1797" i="2"/>
  <c r="AS1797" i="2"/>
  <c r="AI1798" i="2"/>
  <c r="AS1800" i="2"/>
  <c r="AS1801" i="2"/>
  <c r="AT1752" i="2"/>
  <c r="T1753" i="2"/>
  <c r="AU1753" i="2"/>
  <c r="AT1756" i="2"/>
  <c r="T1757" i="2"/>
  <c r="AU1757" i="2"/>
  <c r="AT1760" i="2"/>
  <c r="T1761" i="2"/>
  <c r="AU1761" i="2"/>
  <c r="AT1764" i="2"/>
  <c r="T1765" i="2"/>
  <c r="AU1765" i="2"/>
  <c r="AT1768" i="2"/>
  <c r="T1769" i="2"/>
  <c r="AU1769" i="2"/>
  <c r="AT1772" i="2"/>
  <c r="T1773" i="2"/>
  <c r="AU1773" i="2"/>
  <c r="AT1776" i="2"/>
  <c r="T1777" i="2"/>
  <c r="AU1777" i="2"/>
  <c r="AT1780" i="2"/>
  <c r="T1781" i="2"/>
  <c r="AU1781" i="2"/>
  <c r="AU1784" i="2"/>
  <c r="T1784" i="2"/>
  <c r="U1784" i="2"/>
  <c r="AT1784" i="2"/>
  <c r="AS1786" i="2"/>
  <c r="V1786" i="2"/>
  <c r="T1786" i="2"/>
  <c r="AR1786" i="2"/>
  <c r="V1789" i="2"/>
  <c r="AT1789" i="2"/>
  <c r="AU1792" i="2"/>
  <c r="T1792" i="2"/>
  <c r="U1792" i="2"/>
  <c r="AT1792" i="2"/>
  <c r="AS1794" i="2"/>
  <c r="V1794" i="2"/>
  <c r="T1794" i="2"/>
  <c r="AR1794" i="2"/>
  <c r="V1797" i="2"/>
  <c r="AT1797" i="2"/>
  <c r="AU1800" i="2"/>
  <c r="T1800" i="2"/>
  <c r="U1800" i="2"/>
  <c r="AT1800" i="2"/>
  <c r="AR1793" i="2"/>
  <c r="U1793" i="2"/>
  <c r="Q1793" i="2"/>
  <c r="T1793" i="2"/>
  <c r="AS1793" i="2"/>
  <c r="AR1801" i="2"/>
  <c r="U1801" i="2"/>
  <c r="Q1801" i="2"/>
  <c r="AU1801" i="2"/>
  <c r="T1801" i="2"/>
  <c r="V1801" i="2"/>
  <c r="AR1805" i="2"/>
  <c r="U1805" i="2"/>
  <c r="Q1805" i="2"/>
  <c r="AU1805" i="2"/>
  <c r="T1805" i="2"/>
  <c r="AS1805" i="2"/>
  <c r="V1805" i="2"/>
  <c r="AT1802" i="2"/>
  <c r="AR1804" i="2"/>
  <c r="AT1806" i="2"/>
  <c r="AI1807" i="2"/>
  <c r="AR1808" i="2"/>
  <c r="V1809" i="2"/>
  <c r="AS1810" i="2"/>
  <c r="V1810" i="2"/>
  <c r="T1810" i="2"/>
  <c r="AR1810" i="2"/>
  <c r="AS1812" i="2"/>
  <c r="V1812" i="2"/>
  <c r="AU1812" i="2"/>
  <c r="T1812" i="2"/>
  <c r="AR1812" i="2"/>
  <c r="AU1814" i="2"/>
  <c r="T1814" i="2"/>
  <c r="AS1814" i="2"/>
  <c r="V1814" i="2"/>
  <c r="AR1814" i="2"/>
  <c r="U1816" i="2"/>
  <c r="U1818" i="2"/>
  <c r="AS1828" i="2"/>
  <c r="V1828" i="2"/>
  <c r="AU1828" i="2"/>
  <c r="T1828" i="2"/>
  <c r="AR1828" i="2"/>
  <c r="AU1830" i="2"/>
  <c r="T1830" i="2"/>
  <c r="AS1830" i="2"/>
  <c r="V1830" i="2"/>
  <c r="AR1830" i="2"/>
  <c r="U1832" i="2"/>
  <c r="U1834" i="2"/>
  <c r="AI1841" i="2"/>
  <c r="AU1843" i="2"/>
  <c r="T1843" i="2"/>
  <c r="AS1843" i="2"/>
  <c r="V1843" i="2"/>
  <c r="Q1843" i="2"/>
  <c r="AS1845" i="2"/>
  <c r="V1845" i="2"/>
  <c r="AT1845" i="2"/>
  <c r="U1845" i="2"/>
  <c r="AR1845" i="2"/>
  <c r="AU1857" i="2"/>
  <c r="T1857" i="2"/>
  <c r="AS1857" i="2"/>
  <c r="V1857" i="2"/>
  <c r="AT1857" i="2"/>
  <c r="Q1857" i="2"/>
  <c r="U1857" i="2"/>
  <c r="AR1809" i="2"/>
  <c r="AS1809" i="2"/>
  <c r="AS1816" i="2"/>
  <c r="V1816" i="2"/>
  <c r="AU1816" i="2"/>
  <c r="T1816" i="2"/>
  <c r="AR1816" i="2"/>
  <c r="AU1818" i="2"/>
  <c r="T1818" i="2"/>
  <c r="AS1818" i="2"/>
  <c r="V1818" i="2"/>
  <c r="AR1818" i="2"/>
  <c r="AS1832" i="2"/>
  <c r="V1832" i="2"/>
  <c r="AU1832" i="2"/>
  <c r="T1832" i="2"/>
  <c r="AR1832" i="2"/>
  <c r="AU1834" i="2"/>
  <c r="T1834" i="2"/>
  <c r="AS1834" i="2"/>
  <c r="V1834" i="2"/>
  <c r="AR1834" i="2"/>
  <c r="AU1839" i="2"/>
  <c r="T1839" i="2"/>
  <c r="V1839" i="2"/>
  <c r="Q1839" i="2"/>
  <c r="AS1839" i="2"/>
  <c r="AS1841" i="2"/>
  <c r="V1841" i="2"/>
  <c r="AT1841" i="2"/>
  <c r="U1841" i="2"/>
  <c r="AS1855" i="2"/>
  <c r="V1855" i="2"/>
  <c r="AU1855" i="2"/>
  <c r="T1855" i="2"/>
  <c r="AT1855" i="2"/>
  <c r="Q1855" i="2"/>
  <c r="U1855" i="2"/>
  <c r="AU1873" i="2"/>
  <c r="T1873" i="2"/>
  <c r="AS1873" i="2"/>
  <c r="V1873" i="2"/>
  <c r="AT1873" i="2"/>
  <c r="Q1873" i="2"/>
  <c r="U1873" i="2"/>
  <c r="Q1802" i="2"/>
  <c r="U1802" i="2"/>
  <c r="AR1802" i="2"/>
  <c r="AT1804" i="2"/>
  <c r="Q1806" i="2"/>
  <c r="U1806" i="2"/>
  <c r="AR1806" i="2"/>
  <c r="AT1808" i="2"/>
  <c r="T1809" i="2"/>
  <c r="AT1809" i="2"/>
  <c r="Q1810" i="2"/>
  <c r="AU1810" i="2"/>
  <c r="Q1816" i="2"/>
  <c r="AT1816" i="2"/>
  <c r="Q1818" i="2"/>
  <c r="AT1818" i="2"/>
  <c r="AS1820" i="2"/>
  <c r="V1820" i="2"/>
  <c r="AU1820" i="2"/>
  <c r="T1820" i="2"/>
  <c r="AR1820" i="2"/>
  <c r="AU1822" i="2"/>
  <c r="T1822" i="2"/>
  <c r="AS1822" i="2"/>
  <c r="V1822" i="2"/>
  <c r="AR1822" i="2"/>
  <c r="Q1832" i="2"/>
  <c r="AT1832" i="2"/>
  <c r="Q1834" i="2"/>
  <c r="AT1834" i="2"/>
  <c r="AS1837" i="2"/>
  <c r="V1837" i="2"/>
  <c r="AT1837" i="2"/>
  <c r="U1837" i="2"/>
  <c r="AR1839" i="2"/>
  <c r="Q1841" i="2"/>
  <c r="AR1841" i="2"/>
  <c r="AI1851" i="2"/>
  <c r="AS1871" i="2"/>
  <c r="V1871" i="2"/>
  <c r="AU1871" i="2"/>
  <c r="T1871" i="2"/>
  <c r="AT1871" i="2"/>
  <c r="Q1871" i="2"/>
  <c r="U1871" i="2"/>
  <c r="AT1787" i="2"/>
  <c r="AT1791" i="2"/>
  <c r="AT1795" i="2"/>
  <c r="AT1799" i="2"/>
  <c r="V1802" i="2"/>
  <c r="AS1802" i="2"/>
  <c r="AT1803" i="2"/>
  <c r="T1804" i="2"/>
  <c r="AU1804" i="2"/>
  <c r="V1806" i="2"/>
  <c r="AS1806" i="2"/>
  <c r="AT1807" i="2"/>
  <c r="T1808" i="2"/>
  <c r="AU1808" i="2"/>
  <c r="Q1809" i="2"/>
  <c r="U1809" i="2"/>
  <c r="AU1809" i="2"/>
  <c r="U1812" i="2"/>
  <c r="U1814" i="2"/>
  <c r="Q1820" i="2"/>
  <c r="AT1820" i="2"/>
  <c r="Q1822" i="2"/>
  <c r="AT1822" i="2"/>
  <c r="AS1824" i="2"/>
  <c r="V1824" i="2"/>
  <c r="AU1824" i="2"/>
  <c r="T1824" i="2"/>
  <c r="AR1824" i="2"/>
  <c r="AU1826" i="2"/>
  <c r="T1826" i="2"/>
  <c r="AS1826" i="2"/>
  <c r="V1826" i="2"/>
  <c r="AR1826" i="2"/>
  <c r="U1828" i="2"/>
  <c r="U1830" i="2"/>
  <c r="Q1837" i="2"/>
  <c r="AR1837" i="2"/>
  <c r="U1839" i="2"/>
  <c r="AT1839" i="2"/>
  <c r="T1841" i="2"/>
  <c r="AU1841" i="2"/>
  <c r="AU1845" i="2"/>
  <c r="AR1857" i="2"/>
  <c r="AI1867" i="2"/>
  <c r="AS1847" i="2"/>
  <c r="V1847" i="2"/>
  <c r="AU1847" i="2"/>
  <c r="T1847" i="2"/>
  <c r="AR1847" i="2"/>
  <c r="AU1849" i="2"/>
  <c r="T1849" i="2"/>
  <c r="AS1849" i="2"/>
  <c r="V1849" i="2"/>
  <c r="AR1849" i="2"/>
  <c r="AS1863" i="2"/>
  <c r="V1863" i="2"/>
  <c r="AU1863" i="2"/>
  <c r="T1863" i="2"/>
  <c r="AR1863" i="2"/>
  <c r="AU1865" i="2"/>
  <c r="T1865" i="2"/>
  <c r="AS1865" i="2"/>
  <c r="V1865" i="2"/>
  <c r="AR1865" i="2"/>
  <c r="AI1995" i="2"/>
  <c r="AU2109" i="2"/>
  <c r="T2109" i="2"/>
  <c r="AS2109" i="2"/>
  <c r="V2109" i="2"/>
  <c r="AT2109" i="2"/>
  <c r="Q2109" i="2"/>
  <c r="U2109" i="2"/>
  <c r="AR2109" i="2"/>
  <c r="AT1811" i="2"/>
  <c r="Q1813" i="2"/>
  <c r="U1813" i="2"/>
  <c r="AR1813" i="2"/>
  <c r="AT1815" i="2"/>
  <c r="Q1817" i="2"/>
  <c r="U1817" i="2"/>
  <c r="AR1817" i="2"/>
  <c r="AT1819" i="2"/>
  <c r="Q1821" i="2"/>
  <c r="U1821" i="2"/>
  <c r="AR1821" i="2"/>
  <c r="AT1823" i="2"/>
  <c r="Q1825" i="2"/>
  <c r="U1825" i="2"/>
  <c r="AR1825" i="2"/>
  <c r="AT1827" i="2"/>
  <c r="Q1829" i="2"/>
  <c r="U1829" i="2"/>
  <c r="AR1829" i="2"/>
  <c r="AT1831" i="2"/>
  <c r="Q1833" i="2"/>
  <c r="U1833" i="2"/>
  <c r="AR1833" i="2"/>
  <c r="AU1835" i="2"/>
  <c r="AR1836" i="2"/>
  <c r="U1836" i="2"/>
  <c r="Q1836" i="2"/>
  <c r="T1836" i="2"/>
  <c r="AS1836" i="2"/>
  <c r="AR1844" i="2"/>
  <c r="U1844" i="2"/>
  <c r="Q1844" i="2"/>
  <c r="T1844" i="2"/>
  <c r="AS1844" i="2"/>
  <c r="Q1847" i="2"/>
  <c r="AT1847" i="2"/>
  <c r="Q1849" i="2"/>
  <c r="AT1849" i="2"/>
  <c r="AS1851" i="2"/>
  <c r="V1851" i="2"/>
  <c r="AU1851" i="2"/>
  <c r="T1851" i="2"/>
  <c r="AR1851" i="2"/>
  <c r="AU1853" i="2"/>
  <c r="T1853" i="2"/>
  <c r="AS1853" i="2"/>
  <c r="V1853" i="2"/>
  <c r="AR1853" i="2"/>
  <c r="Q1863" i="2"/>
  <c r="AT1863" i="2"/>
  <c r="Q1865" i="2"/>
  <c r="AT1865" i="2"/>
  <c r="AS1867" i="2"/>
  <c r="V1867" i="2"/>
  <c r="AU1867" i="2"/>
  <c r="T1867" i="2"/>
  <c r="AR1867" i="2"/>
  <c r="AU1869" i="2"/>
  <c r="T1869" i="2"/>
  <c r="AS1869" i="2"/>
  <c r="V1869" i="2"/>
  <c r="AR1869" i="2"/>
  <c r="AU1881" i="2"/>
  <c r="T1881" i="2"/>
  <c r="AS1881" i="2"/>
  <c r="V1881" i="2"/>
  <c r="AR1881" i="2"/>
  <c r="U1881" i="2"/>
  <c r="Q1881" i="2"/>
  <c r="AU1889" i="2"/>
  <c r="T1889" i="2"/>
  <c r="AS1889" i="2"/>
  <c r="V1889" i="2"/>
  <c r="AR1889" i="2"/>
  <c r="U1889" i="2"/>
  <c r="Q1889" i="2"/>
  <c r="AU1897" i="2"/>
  <c r="T1897" i="2"/>
  <c r="AS1897" i="2"/>
  <c r="V1897" i="2"/>
  <c r="AR1897" i="2"/>
  <c r="U1897" i="2"/>
  <c r="Q1897" i="2"/>
  <c r="AU1905" i="2"/>
  <c r="T1905" i="2"/>
  <c r="AS1905" i="2"/>
  <c r="V1905" i="2"/>
  <c r="AR1905" i="2"/>
  <c r="U1905" i="2"/>
  <c r="Q1905" i="2"/>
  <c r="AU1913" i="2"/>
  <c r="T1913" i="2"/>
  <c r="AS1913" i="2"/>
  <c r="V1913" i="2"/>
  <c r="AR1913" i="2"/>
  <c r="U1913" i="2"/>
  <c r="Q1913" i="2"/>
  <c r="AU1921" i="2"/>
  <c r="T1921" i="2"/>
  <c r="AS1921" i="2"/>
  <c r="V1921" i="2"/>
  <c r="AR1921" i="2"/>
  <c r="U1921" i="2"/>
  <c r="Q1921" i="2"/>
  <c r="AU1929" i="2"/>
  <c r="T1929" i="2"/>
  <c r="AS1929" i="2"/>
  <c r="V1929" i="2"/>
  <c r="AR1929" i="2"/>
  <c r="U1929" i="2"/>
  <c r="Q1929" i="2"/>
  <c r="AU1937" i="2"/>
  <c r="T1937" i="2"/>
  <c r="AS1937" i="2"/>
  <c r="V1937" i="2"/>
  <c r="AR1937" i="2"/>
  <c r="U1937" i="2"/>
  <c r="Q1937" i="2"/>
  <c r="AU1945" i="2"/>
  <c r="T1945" i="2"/>
  <c r="AS1945" i="2"/>
  <c r="V1945" i="2"/>
  <c r="AR1945" i="2"/>
  <c r="U1945" i="2"/>
  <c r="Q1945" i="2"/>
  <c r="AU1953" i="2"/>
  <c r="T1953" i="2"/>
  <c r="AS1953" i="2"/>
  <c r="V1953" i="2"/>
  <c r="AR1953" i="2"/>
  <c r="U1953" i="2"/>
  <c r="Q1953" i="2"/>
  <c r="AU1961" i="2"/>
  <c r="T1961" i="2"/>
  <c r="AS1961" i="2"/>
  <c r="V1961" i="2"/>
  <c r="AR1961" i="2"/>
  <c r="U1961" i="2"/>
  <c r="Q1961" i="2"/>
  <c r="AU1969" i="2"/>
  <c r="T1969" i="2"/>
  <c r="AS1969" i="2"/>
  <c r="V1969" i="2"/>
  <c r="AR1969" i="2"/>
  <c r="U1969" i="2"/>
  <c r="Q1969" i="2"/>
  <c r="AR1980" i="2"/>
  <c r="U1980" i="2"/>
  <c r="Q1980" i="2"/>
  <c r="AT1980" i="2"/>
  <c r="V1980" i="2"/>
  <c r="AU1980" i="2"/>
  <c r="AI1986" i="2"/>
  <c r="AS1992" i="2"/>
  <c r="V1992" i="2"/>
  <c r="AR1992" i="2"/>
  <c r="U1992" i="2"/>
  <c r="Q1992" i="2"/>
  <c r="AU1992" i="2"/>
  <c r="T1992" i="2"/>
  <c r="AT1992" i="2"/>
  <c r="AS2015" i="2"/>
  <c r="V2015" i="2"/>
  <c r="AU2015" i="2"/>
  <c r="T2015" i="2"/>
  <c r="AT2015" i="2"/>
  <c r="Q2015" i="2"/>
  <c r="U2015" i="2"/>
  <c r="AR2015" i="2"/>
  <c r="AI2089" i="2"/>
  <c r="AI1979" i="2"/>
  <c r="AU2045" i="2"/>
  <c r="T2045" i="2"/>
  <c r="AS2045" i="2"/>
  <c r="V2045" i="2"/>
  <c r="AT2045" i="2"/>
  <c r="Q2045" i="2"/>
  <c r="U2045" i="2"/>
  <c r="AR2045" i="2"/>
  <c r="AI2123" i="2"/>
  <c r="AT1813" i="2"/>
  <c r="AT1817" i="2"/>
  <c r="AT1821" i="2"/>
  <c r="AT1825" i="2"/>
  <c r="AT1829" i="2"/>
  <c r="AT1833" i="2"/>
  <c r="AR1840" i="2"/>
  <c r="U1840" i="2"/>
  <c r="Q1840" i="2"/>
  <c r="T1840" i="2"/>
  <c r="AS1840" i="2"/>
  <c r="U1847" i="2"/>
  <c r="U1849" i="2"/>
  <c r="AS1859" i="2"/>
  <c r="V1859" i="2"/>
  <c r="AU1859" i="2"/>
  <c r="T1859" i="2"/>
  <c r="AR1859" i="2"/>
  <c r="AU1861" i="2"/>
  <c r="T1861" i="2"/>
  <c r="AS1861" i="2"/>
  <c r="V1861" i="2"/>
  <c r="AR1861" i="2"/>
  <c r="U1863" i="2"/>
  <c r="U1865" i="2"/>
  <c r="AS1875" i="2"/>
  <c r="V1875" i="2"/>
  <c r="AU1875" i="2"/>
  <c r="T1875" i="2"/>
  <c r="AT1875" i="2"/>
  <c r="AU1877" i="2"/>
  <c r="T1877" i="2"/>
  <c r="AS1877" i="2"/>
  <c r="V1877" i="2"/>
  <c r="AR1877" i="2"/>
  <c r="U1877" i="2"/>
  <c r="Q1877" i="2"/>
  <c r="AU1885" i="2"/>
  <c r="T1885" i="2"/>
  <c r="AS1885" i="2"/>
  <c r="V1885" i="2"/>
  <c r="AR1885" i="2"/>
  <c r="U1885" i="2"/>
  <c r="Q1885" i="2"/>
  <c r="AU1893" i="2"/>
  <c r="T1893" i="2"/>
  <c r="AS1893" i="2"/>
  <c r="V1893" i="2"/>
  <c r="AR1893" i="2"/>
  <c r="U1893" i="2"/>
  <c r="Q1893" i="2"/>
  <c r="AU1901" i="2"/>
  <c r="T1901" i="2"/>
  <c r="AS1901" i="2"/>
  <c r="V1901" i="2"/>
  <c r="AR1901" i="2"/>
  <c r="U1901" i="2"/>
  <c r="Q1901" i="2"/>
  <c r="AU1909" i="2"/>
  <c r="T1909" i="2"/>
  <c r="AS1909" i="2"/>
  <c r="V1909" i="2"/>
  <c r="AR1909" i="2"/>
  <c r="U1909" i="2"/>
  <c r="Q1909" i="2"/>
  <c r="AU1917" i="2"/>
  <c r="T1917" i="2"/>
  <c r="AS1917" i="2"/>
  <c r="V1917" i="2"/>
  <c r="AR1917" i="2"/>
  <c r="U1917" i="2"/>
  <c r="Q1917" i="2"/>
  <c r="AU1925" i="2"/>
  <c r="T1925" i="2"/>
  <c r="AS1925" i="2"/>
  <c r="V1925" i="2"/>
  <c r="AR1925" i="2"/>
  <c r="U1925" i="2"/>
  <c r="Q1925" i="2"/>
  <c r="AU1933" i="2"/>
  <c r="T1933" i="2"/>
  <c r="AS1933" i="2"/>
  <c r="V1933" i="2"/>
  <c r="AR1933" i="2"/>
  <c r="U1933" i="2"/>
  <c r="Q1933" i="2"/>
  <c r="AU1941" i="2"/>
  <c r="T1941" i="2"/>
  <c r="AS1941" i="2"/>
  <c r="V1941" i="2"/>
  <c r="AR1941" i="2"/>
  <c r="U1941" i="2"/>
  <c r="Q1941" i="2"/>
  <c r="AU1949" i="2"/>
  <c r="T1949" i="2"/>
  <c r="AS1949" i="2"/>
  <c r="V1949" i="2"/>
  <c r="AR1949" i="2"/>
  <c r="U1949" i="2"/>
  <c r="Q1949" i="2"/>
  <c r="AU1957" i="2"/>
  <c r="T1957" i="2"/>
  <c r="AS1957" i="2"/>
  <c r="V1957" i="2"/>
  <c r="AR1957" i="2"/>
  <c r="U1957" i="2"/>
  <c r="Q1957" i="2"/>
  <c r="AU1965" i="2"/>
  <c r="T1965" i="2"/>
  <c r="AS1965" i="2"/>
  <c r="V1965" i="2"/>
  <c r="AR1965" i="2"/>
  <c r="U1965" i="2"/>
  <c r="Q1965" i="2"/>
  <c r="AU1973" i="2"/>
  <c r="T1973" i="2"/>
  <c r="AS1973" i="2"/>
  <c r="V1973" i="2"/>
  <c r="AR1973" i="2"/>
  <c r="U1973" i="2"/>
  <c r="Q1973" i="2"/>
  <c r="AI2025" i="2"/>
  <c r="AI2059" i="2"/>
  <c r="AS2079" i="2"/>
  <c r="V2079" i="2"/>
  <c r="AU2079" i="2"/>
  <c r="T2079" i="2"/>
  <c r="AT2079" i="2"/>
  <c r="Q2079" i="2"/>
  <c r="U2079" i="2"/>
  <c r="AR2079" i="2"/>
  <c r="AT1879" i="2"/>
  <c r="AT1883" i="2"/>
  <c r="AT1887" i="2"/>
  <c r="AT1891" i="2"/>
  <c r="AT1895" i="2"/>
  <c r="AT1899" i="2"/>
  <c r="AT1903" i="2"/>
  <c r="AT1907" i="2"/>
  <c r="AT1911" i="2"/>
  <c r="AT1915" i="2"/>
  <c r="AT1919" i="2"/>
  <c r="AT1923" i="2"/>
  <c r="AT1927" i="2"/>
  <c r="AT1931" i="2"/>
  <c r="AT1935" i="2"/>
  <c r="AT1939" i="2"/>
  <c r="AT1943" i="2"/>
  <c r="AT1947" i="2"/>
  <c r="AT1951" i="2"/>
  <c r="AT1955" i="2"/>
  <c r="AT1959" i="2"/>
  <c r="AT1963" i="2"/>
  <c r="AT1967" i="2"/>
  <c r="AT1971" i="2"/>
  <c r="AU1975" i="2"/>
  <c r="AR1976" i="2"/>
  <c r="U1976" i="2"/>
  <c r="Q1976" i="2"/>
  <c r="T1976" i="2"/>
  <c r="AS1976" i="2"/>
  <c r="AR1984" i="2"/>
  <c r="U1984" i="2"/>
  <c r="Q1984" i="2"/>
  <c r="T1984" i="2"/>
  <c r="AS1984" i="2"/>
  <c r="AR1987" i="2"/>
  <c r="U1987" i="2"/>
  <c r="Q1987" i="2"/>
  <c r="AU1987" i="2"/>
  <c r="T1987" i="2"/>
  <c r="AS1987" i="2"/>
  <c r="AS1997" i="2"/>
  <c r="AT1999" i="2"/>
  <c r="U2001" i="2"/>
  <c r="U2003" i="2"/>
  <c r="AU2013" i="2"/>
  <c r="T2013" i="2"/>
  <c r="AS2013" i="2"/>
  <c r="V2013" i="2"/>
  <c r="AT2013" i="2"/>
  <c r="Q2013" i="2"/>
  <c r="U2013" i="2"/>
  <c r="AI2027" i="2"/>
  <c r="AS2047" i="2"/>
  <c r="V2047" i="2"/>
  <c r="AU2047" i="2"/>
  <c r="T2047" i="2"/>
  <c r="AT2047" i="2"/>
  <c r="Q2047" i="2"/>
  <c r="U2047" i="2"/>
  <c r="AI2057" i="2"/>
  <c r="AU2077" i="2"/>
  <c r="T2077" i="2"/>
  <c r="AS2077" i="2"/>
  <c r="V2077" i="2"/>
  <c r="AT2077" i="2"/>
  <c r="Q2077" i="2"/>
  <c r="U2077" i="2"/>
  <c r="AI2091" i="2"/>
  <c r="AS2111" i="2"/>
  <c r="V2111" i="2"/>
  <c r="AU2111" i="2"/>
  <c r="T2111" i="2"/>
  <c r="AT2111" i="2"/>
  <c r="Q2111" i="2"/>
  <c r="U2111" i="2"/>
  <c r="AI2121" i="2"/>
  <c r="AT1838" i="2"/>
  <c r="AT1842" i="2"/>
  <c r="AT1846" i="2"/>
  <c r="Q1848" i="2"/>
  <c r="U1848" i="2"/>
  <c r="AR1848" i="2"/>
  <c r="AT1850" i="2"/>
  <c r="Q1852" i="2"/>
  <c r="U1852" i="2"/>
  <c r="AR1852" i="2"/>
  <c r="AT1854" i="2"/>
  <c r="Q1856" i="2"/>
  <c r="U1856" i="2"/>
  <c r="AR1856" i="2"/>
  <c r="AT1858" i="2"/>
  <c r="Q1860" i="2"/>
  <c r="U1860" i="2"/>
  <c r="AR1860" i="2"/>
  <c r="AT1862" i="2"/>
  <c r="Q1864" i="2"/>
  <c r="U1864" i="2"/>
  <c r="AR1864" i="2"/>
  <c r="AT1866" i="2"/>
  <c r="Q1868" i="2"/>
  <c r="U1868" i="2"/>
  <c r="AR1868" i="2"/>
  <c r="AT1870" i="2"/>
  <c r="Q1872" i="2"/>
  <c r="U1872" i="2"/>
  <c r="AR1872" i="2"/>
  <c r="AT1874" i="2"/>
  <c r="Q1876" i="2"/>
  <c r="U1876" i="2"/>
  <c r="AR1876" i="2"/>
  <c r="AT1878" i="2"/>
  <c r="T1879" i="2"/>
  <c r="AU1879" i="2"/>
  <c r="Q1880" i="2"/>
  <c r="U1880" i="2"/>
  <c r="AR1880" i="2"/>
  <c r="AT1882" i="2"/>
  <c r="T1883" i="2"/>
  <c r="AU1883" i="2"/>
  <c r="Q1884" i="2"/>
  <c r="U1884" i="2"/>
  <c r="AR1884" i="2"/>
  <c r="AT1886" i="2"/>
  <c r="T1887" i="2"/>
  <c r="AU1887" i="2"/>
  <c r="Q1888" i="2"/>
  <c r="U1888" i="2"/>
  <c r="AR1888" i="2"/>
  <c r="AT1890" i="2"/>
  <c r="T1891" i="2"/>
  <c r="AU1891" i="2"/>
  <c r="Q1892" i="2"/>
  <c r="U1892" i="2"/>
  <c r="AR1892" i="2"/>
  <c r="AT1894" i="2"/>
  <c r="T1895" i="2"/>
  <c r="AU1895" i="2"/>
  <c r="Q1896" i="2"/>
  <c r="U1896" i="2"/>
  <c r="AR1896" i="2"/>
  <c r="AT1898" i="2"/>
  <c r="T1899" i="2"/>
  <c r="AU1899" i="2"/>
  <c r="Q1900" i="2"/>
  <c r="U1900" i="2"/>
  <c r="AR1900" i="2"/>
  <c r="AT1902" i="2"/>
  <c r="T1903" i="2"/>
  <c r="AU1903" i="2"/>
  <c r="Q1904" i="2"/>
  <c r="U1904" i="2"/>
  <c r="AR1904" i="2"/>
  <c r="AT1906" i="2"/>
  <c r="T1907" i="2"/>
  <c r="AU1907" i="2"/>
  <c r="Q1908" i="2"/>
  <c r="U1908" i="2"/>
  <c r="AR1908" i="2"/>
  <c r="AT1910" i="2"/>
  <c r="T1911" i="2"/>
  <c r="AU1911" i="2"/>
  <c r="Q1912" i="2"/>
  <c r="U1912" i="2"/>
  <c r="AR1912" i="2"/>
  <c r="AT1914" i="2"/>
  <c r="T1915" i="2"/>
  <c r="AU1915" i="2"/>
  <c r="Q1916" i="2"/>
  <c r="U1916" i="2"/>
  <c r="AR1916" i="2"/>
  <c r="AT1918" i="2"/>
  <c r="T1919" i="2"/>
  <c r="AU1919" i="2"/>
  <c r="Q1920" i="2"/>
  <c r="U1920" i="2"/>
  <c r="AR1920" i="2"/>
  <c r="AT1922" i="2"/>
  <c r="T1923" i="2"/>
  <c r="AU1923" i="2"/>
  <c r="Q1924" i="2"/>
  <c r="U1924" i="2"/>
  <c r="AR1924" i="2"/>
  <c r="AT1926" i="2"/>
  <c r="T1927" i="2"/>
  <c r="AU1927" i="2"/>
  <c r="Q1928" i="2"/>
  <c r="U1928" i="2"/>
  <c r="AR1928" i="2"/>
  <c r="AT1930" i="2"/>
  <c r="T1931" i="2"/>
  <c r="AU1931" i="2"/>
  <c r="Q1932" i="2"/>
  <c r="U1932" i="2"/>
  <c r="AR1932" i="2"/>
  <c r="AT1934" i="2"/>
  <c r="T1935" i="2"/>
  <c r="AU1935" i="2"/>
  <c r="Q1936" i="2"/>
  <c r="U1936" i="2"/>
  <c r="AR1936" i="2"/>
  <c r="AT1938" i="2"/>
  <c r="T1939" i="2"/>
  <c r="AU1939" i="2"/>
  <c r="Q1940" i="2"/>
  <c r="U1940" i="2"/>
  <c r="AR1940" i="2"/>
  <c r="AT1942" i="2"/>
  <c r="T1943" i="2"/>
  <c r="AU1943" i="2"/>
  <c r="Q1944" i="2"/>
  <c r="U1944" i="2"/>
  <c r="AR1944" i="2"/>
  <c r="AT1946" i="2"/>
  <c r="T1947" i="2"/>
  <c r="AU1947" i="2"/>
  <c r="Q1948" i="2"/>
  <c r="U1948" i="2"/>
  <c r="AR1948" i="2"/>
  <c r="AT1950" i="2"/>
  <c r="T1951" i="2"/>
  <c r="AU1951" i="2"/>
  <c r="Q1952" i="2"/>
  <c r="U1952" i="2"/>
  <c r="AR1952" i="2"/>
  <c r="AT1954" i="2"/>
  <c r="T1955" i="2"/>
  <c r="AU1955" i="2"/>
  <c r="Q1956" i="2"/>
  <c r="U1956" i="2"/>
  <c r="AR1956" i="2"/>
  <c r="AT1958" i="2"/>
  <c r="T1959" i="2"/>
  <c r="AU1959" i="2"/>
  <c r="Q1960" i="2"/>
  <c r="U1960" i="2"/>
  <c r="AR1960" i="2"/>
  <c r="AT1962" i="2"/>
  <c r="T1963" i="2"/>
  <c r="AU1963" i="2"/>
  <c r="Q1964" i="2"/>
  <c r="U1964" i="2"/>
  <c r="AR1964" i="2"/>
  <c r="AT1966" i="2"/>
  <c r="T1967" i="2"/>
  <c r="AU1967" i="2"/>
  <c r="Q1968" i="2"/>
  <c r="U1968" i="2"/>
  <c r="AR1968" i="2"/>
  <c r="AT1970" i="2"/>
  <c r="T1971" i="2"/>
  <c r="AU1971" i="2"/>
  <c r="Q1972" i="2"/>
  <c r="U1972" i="2"/>
  <c r="AR1972" i="2"/>
  <c r="AT1974" i="2"/>
  <c r="T1975" i="2"/>
  <c r="AR1975" i="2"/>
  <c r="V1976" i="2"/>
  <c r="AT1976" i="2"/>
  <c r="Q1977" i="2"/>
  <c r="AU1979" i="2"/>
  <c r="T1979" i="2"/>
  <c r="U1979" i="2"/>
  <c r="AT1979" i="2"/>
  <c r="AS1981" i="2"/>
  <c r="V1981" i="2"/>
  <c r="T1981" i="2"/>
  <c r="AR1981" i="2"/>
  <c r="AR1983" i="2"/>
  <c r="V1984" i="2"/>
  <c r="AT1984" i="2"/>
  <c r="Q1985" i="2"/>
  <c r="AT1987" i="2"/>
  <c r="AS1988" i="2"/>
  <c r="V1988" i="2"/>
  <c r="AR1988" i="2"/>
  <c r="U1988" i="2"/>
  <c r="Q1988" i="2"/>
  <c r="AR1991" i="2"/>
  <c r="U1991" i="2"/>
  <c r="Q1991" i="2"/>
  <c r="AU1991" i="2"/>
  <c r="T1991" i="2"/>
  <c r="AS1991" i="2"/>
  <c r="T1994" i="2"/>
  <c r="U1997" i="2"/>
  <c r="AI2011" i="2"/>
  <c r="AS2031" i="2"/>
  <c r="V2031" i="2"/>
  <c r="AU2031" i="2"/>
  <c r="T2031" i="2"/>
  <c r="AT2031" i="2"/>
  <c r="Q2031" i="2"/>
  <c r="U2031" i="2"/>
  <c r="AI2041" i="2"/>
  <c r="AU2061" i="2"/>
  <c r="T2061" i="2"/>
  <c r="AS2061" i="2"/>
  <c r="V2061" i="2"/>
  <c r="AT2061" i="2"/>
  <c r="Q2061" i="2"/>
  <c r="U2061" i="2"/>
  <c r="AI2075" i="2"/>
  <c r="AS2095" i="2"/>
  <c r="V2095" i="2"/>
  <c r="AU2095" i="2"/>
  <c r="T2095" i="2"/>
  <c r="AT2095" i="2"/>
  <c r="Q2095" i="2"/>
  <c r="U2095" i="2"/>
  <c r="AI2105" i="2"/>
  <c r="AU2125" i="2"/>
  <c r="T2125" i="2"/>
  <c r="AS2125" i="2"/>
  <c r="V2125" i="2"/>
  <c r="AT2125" i="2"/>
  <c r="Q2125" i="2"/>
  <c r="U2125" i="2"/>
  <c r="AI2209" i="2"/>
  <c r="AT1848" i="2"/>
  <c r="AT1852" i="2"/>
  <c r="AT1856" i="2"/>
  <c r="AT1860" i="2"/>
  <c r="AT1864" i="2"/>
  <c r="AT1868" i="2"/>
  <c r="AT1872" i="2"/>
  <c r="AT1876" i="2"/>
  <c r="V1879" i="2"/>
  <c r="AS1879" i="2"/>
  <c r="AT1880" i="2"/>
  <c r="V1883" i="2"/>
  <c r="AS1883" i="2"/>
  <c r="AT1884" i="2"/>
  <c r="V1887" i="2"/>
  <c r="AS1887" i="2"/>
  <c r="AT1888" i="2"/>
  <c r="V1891" i="2"/>
  <c r="AS1891" i="2"/>
  <c r="AT1892" i="2"/>
  <c r="V1895" i="2"/>
  <c r="AS1895" i="2"/>
  <c r="AT1896" i="2"/>
  <c r="V1899" i="2"/>
  <c r="AS1899" i="2"/>
  <c r="AT1900" i="2"/>
  <c r="V1903" i="2"/>
  <c r="AS1903" i="2"/>
  <c r="AT1904" i="2"/>
  <c r="V1907" i="2"/>
  <c r="AS1907" i="2"/>
  <c r="AT1908" i="2"/>
  <c r="V1911" i="2"/>
  <c r="AS1911" i="2"/>
  <c r="AT1912" i="2"/>
  <c r="V1915" i="2"/>
  <c r="AS1915" i="2"/>
  <c r="AT1916" i="2"/>
  <c r="V1919" i="2"/>
  <c r="AS1919" i="2"/>
  <c r="AT1920" i="2"/>
  <c r="V1923" i="2"/>
  <c r="AS1923" i="2"/>
  <c r="AT1924" i="2"/>
  <c r="V1927" i="2"/>
  <c r="AS1927" i="2"/>
  <c r="AT1928" i="2"/>
  <c r="V1931" i="2"/>
  <c r="AS1931" i="2"/>
  <c r="AT1932" i="2"/>
  <c r="V1935" i="2"/>
  <c r="AS1935" i="2"/>
  <c r="AT1936" i="2"/>
  <c r="V1939" i="2"/>
  <c r="AS1939" i="2"/>
  <c r="AT1940" i="2"/>
  <c r="V1943" i="2"/>
  <c r="AS1943" i="2"/>
  <c r="AT1944" i="2"/>
  <c r="V1947" i="2"/>
  <c r="AS1947" i="2"/>
  <c r="AT1948" i="2"/>
  <c r="V1951" i="2"/>
  <c r="AS1951" i="2"/>
  <c r="AT1952" i="2"/>
  <c r="V1955" i="2"/>
  <c r="AS1955" i="2"/>
  <c r="AT1956" i="2"/>
  <c r="V1959" i="2"/>
  <c r="AS1959" i="2"/>
  <c r="AT1960" i="2"/>
  <c r="V1963" i="2"/>
  <c r="AS1963" i="2"/>
  <c r="AT1964" i="2"/>
  <c r="V1967" i="2"/>
  <c r="AS1967" i="2"/>
  <c r="AT1968" i="2"/>
  <c r="V1971" i="2"/>
  <c r="AS1971" i="2"/>
  <c r="AT1972" i="2"/>
  <c r="V1975" i="2"/>
  <c r="AT1975" i="2"/>
  <c r="AS1977" i="2"/>
  <c r="V1977" i="2"/>
  <c r="T1977" i="2"/>
  <c r="AR1977" i="2"/>
  <c r="AI1978" i="2"/>
  <c r="AU1983" i="2"/>
  <c r="T1983" i="2"/>
  <c r="U1983" i="2"/>
  <c r="AT1983" i="2"/>
  <c r="AS1985" i="2"/>
  <c r="V1985" i="2"/>
  <c r="T1985" i="2"/>
  <c r="AR1985" i="2"/>
  <c r="V1987" i="2"/>
  <c r="AR1994" i="2"/>
  <c r="U1994" i="2"/>
  <c r="Q1994" i="2"/>
  <c r="AU1994" i="2"/>
  <c r="AU1997" i="2"/>
  <c r="T1997" i="2"/>
  <c r="AR1997" i="2"/>
  <c r="V1997" i="2"/>
  <c r="Q1997" i="2"/>
  <c r="AS1999" i="2"/>
  <c r="V1999" i="2"/>
  <c r="AU1999" i="2"/>
  <c r="Q1999" i="2"/>
  <c r="U1999" i="2"/>
  <c r="AR1999" i="2"/>
  <c r="AU2001" i="2"/>
  <c r="T2001" i="2"/>
  <c r="AS2001" i="2"/>
  <c r="V2001" i="2"/>
  <c r="AT2001" i="2"/>
  <c r="Q2001" i="2"/>
  <c r="AS2003" i="2"/>
  <c r="V2003" i="2"/>
  <c r="AU2003" i="2"/>
  <c r="T2003" i="2"/>
  <c r="AT2003" i="2"/>
  <c r="Q2003" i="2"/>
  <c r="AI2009" i="2"/>
  <c r="AR2013" i="2"/>
  <c r="AU2029" i="2"/>
  <c r="T2029" i="2"/>
  <c r="AS2029" i="2"/>
  <c r="V2029" i="2"/>
  <c r="AT2029" i="2"/>
  <c r="Q2029" i="2"/>
  <c r="U2029" i="2"/>
  <c r="AI2043" i="2"/>
  <c r="AR2047" i="2"/>
  <c r="AS2063" i="2"/>
  <c r="V2063" i="2"/>
  <c r="AU2063" i="2"/>
  <c r="T2063" i="2"/>
  <c r="AT2063" i="2"/>
  <c r="Q2063" i="2"/>
  <c r="U2063" i="2"/>
  <c r="AI2073" i="2"/>
  <c r="AU2093" i="2"/>
  <c r="T2093" i="2"/>
  <c r="AS2093" i="2"/>
  <c r="V2093" i="2"/>
  <c r="AT2093" i="2"/>
  <c r="Q2093" i="2"/>
  <c r="U2093" i="2"/>
  <c r="AI2107" i="2"/>
  <c r="AS2127" i="2"/>
  <c r="V2127" i="2"/>
  <c r="AU2127" i="2"/>
  <c r="T2127" i="2"/>
  <c r="AT2127" i="2"/>
  <c r="Q2127" i="2"/>
  <c r="U2127" i="2"/>
  <c r="AI2137" i="2"/>
  <c r="AS2145" i="2"/>
  <c r="V2145" i="2"/>
  <c r="AU2145" i="2"/>
  <c r="T2145" i="2"/>
  <c r="AT2145" i="2"/>
  <c r="Q2145" i="2"/>
  <c r="U2145" i="2"/>
  <c r="AR2145" i="2"/>
  <c r="AT1978" i="2"/>
  <c r="AT1982" i="2"/>
  <c r="AT1986" i="2"/>
  <c r="AI1987" i="2"/>
  <c r="V1989" i="2"/>
  <c r="AS1989" i="2"/>
  <c r="AT1990" i="2"/>
  <c r="V1993" i="2"/>
  <c r="AS1993" i="2"/>
  <c r="AR1998" i="2"/>
  <c r="U1998" i="2"/>
  <c r="Q1998" i="2"/>
  <c r="T1998" i="2"/>
  <c r="AS1998" i="2"/>
  <c r="AU2005" i="2"/>
  <c r="T2005" i="2"/>
  <c r="AS2005" i="2"/>
  <c r="V2005" i="2"/>
  <c r="AR2005" i="2"/>
  <c r="AS2007" i="2"/>
  <c r="V2007" i="2"/>
  <c r="AU2007" i="2"/>
  <c r="T2007" i="2"/>
  <c r="AR2007" i="2"/>
  <c r="U2009" i="2"/>
  <c r="U2011" i="2"/>
  <c r="Q2017" i="2"/>
  <c r="AT2017" i="2"/>
  <c r="Q2019" i="2"/>
  <c r="AT2019" i="2"/>
  <c r="AU2021" i="2"/>
  <c r="T2021" i="2"/>
  <c r="AS2021" i="2"/>
  <c r="V2021" i="2"/>
  <c r="AR2021" i="2"/>
  <c r="AS2023" i="2"/>
  <c r="V2023" i="2"/>
  <c r="AU2023" i="2"/>
  <c r="T2023" i="2"/>
  <c r="AR2023" i="2"/>
  <c r="U2025" i="2"/>
  <c r="U2027" i="2"/>
  <c r="Q2033" i="2"/>
  <c r="AT2033" i="2"/>
  <c r="Q2035" i="2"/>
  <c r="AT2035" i="2"/>
  <c r="AU2037" i="2"/>
  <c r="T2037" i="2"/>
  <c r="AS2037" i="2"/>
  <c r="V2037" i="2"/>
  <c r="AR2037" i="2"/>
  <c r="AS2039" i="2"/>
  <c r="V2039" i="2"/>
  <c r="AU2039" i="2"/>
  <c r="T2039" i="2"/>
  <c r="AR2039" i="2"/>
  <c r="U2041" i="2"/>
  <c r="U2043" i="2"/>
  <c r="Q2049" i="2"/>
  <c r="AT2049" i="2"/>
  <c r="Q2051" i="2"/>
  <c r="AT2051" i="2"/>
  <c r="AU2053" i="2"/>
  <c r="T2053" i="2"/>
  <c r="AS2053" i="2"/>
  <c r="V2053" i="2"/>
  <c r="AR2053" i="2"/>
  <c r="AS2055" i="2"/>
  <c r="V2055" i="2"/>
  <c r="AU2055" i="2"/>
  <c r="T2055" i="2"/>
  <c r="AR2055" i="2"/>
  <c r="U2057" i="2"/>
  <c r="U2059" i="2"/>
  <c r="Q2065" i="2"/>
  <c r="AT2065" i="2"/>
  <c r="Q2067" i="2"/>
  <c r="AT2067" i="2"/>
  <c r="AU2069" i="2"/>
  <c r="T2069" i="2"/>
  <c r="AS2069" i="2"/>
  <c r="V2069" i="2"/>
  <c r="AR2069" i="2"/>
  <c r="AS2071" i="2"/>
  <c r="V2071" i="2"/>
  <c r="AU2071" i="2"/>
  <c r="T2071" i="2"/>
  <c r="AR2071" i="2"/>
  <c r="U2073" i="2"/>
  <c r="U2075" i="2"/>
  <c r="Q2081" i="2"/>
  <c r="AT2081" i="2"/>
  <c r="Q2083" i="2"/>
  <c r="AT2083" i="2"/>
  <c r="AU2085" i="2"/>
  <c r="T2085" i="2"/>
  <c r="AS2085" i="2"/>
  <c r="V2085" i="2"/>
  <c r="AR2085" i="2"/>
  <c r="AS2087" i="2"/>
  <c r="V2087" i="2"/>
  <c r="AU2087" i="2"/>
  <c r="T2087" i="2"/>
  <c r="AR2087" i="2"/>
  <c r="U2089" i="2"/>
  <c r="U2091" i="2"/>
  <c r="Q2097" i="2"/>
  <c r="AT2097" i="2"/>
  <c r="Q2099" i="2"/>
  <c r="AT2099" i="2"/>
  <c r="AU2101" i="2"/>
  <c r="T2101" i="2"/>
  <c r="AS2101" i="2"/>
  <c r="V2101" i="2"/>
  <c r="AR2101" i="2"/>
  <c r="AS2103" i="2"/>
  <c r="V2103" i="2"/>
  <c r="AU2103" i="2"/>
  <c r="T2103" i="2"/>
  <c r="AR2103" i="2"/>
  <c r="U2105" i="2"/>
  <c r="U2107" i="2"/>
  <c r="Q2113" i="2"/>
  <c r="AT2113" i="2"/>
  <c r="Q2115" i="2"/>
  <c r="AT2115" i="2"/>
  <c r="AU2117" i="2"/>
  <c r="T2117" i="2"/>
  <c r="AS2117" i="2"/>
  <c r="V2117" i="2"/>
  <c r="AR2117" i="2"/>
  <c r="AS2119" i="2"/>
  <c r="V2119" i="2"/>
  <c r="AU2119" i="2"/>
  <c r="T2119" i="2"/>
  <c r="AR2119" i="2"/>
  <c r="U2121" i="2"/>
  <c r="U2123" i="2"/>
  <c r="Q2129" i="2"/>
  <c r="AT2129" i="2"/>
  <c r="Q2131" i="2"/>
  <c r="AT2131" i="2"/>
  <c r="AU2133" i="2"/>
  <c r="T2133" i="2"/>
  <c r="AS2133" i="2"/>
  <c r="V2133" i="2"/>
  <c r="AR2133" i="2"/>
  <c r="AS2135" i="2"/>
  <c r="V2135" i="2"/>
  <c r="AU2135" i="2"/>
  <c r="T2135" i="2"/>
  <c r="AR2135" i="2"/>
  <c r="U2137" i="2"/>
  <c r="AU2143" i="2"/>
  <c r="T2143" i="2"/>
  <c r="AS2143" i="2"/>
  <c r="AT2143" i="2"/>
  <c r="V2143" i="2"/>
  <c r="Q2143" i="2"/>
  <c r="AR2143" i="2"/>
  <c r="AI2147" i="2"/>
  <c r="AI2201" i="2"/>
  <c r="AT1989" i="2"/>
  <c r="AU1993" i="2"/>
  <c r="AT1993" i="2"/>
  <c r="AS1995" i="2"/>
  <c r="V1995" i="2"/>
  <c r="T1995" i="2"/>
  <c r="AR1995" i="2"/>
  <c r="AU2009" i="2"/>
  <c r="T2009" i="2"/>
  <c r="AS2009" i="2"/>
  <c r="V2009" i="2"/>
  <c r="AR2009" i="2"/>
  <c r="AS2011" i="2"/>
  <c r="V2011" i="2"/>
  <c r="AU2011" i="2"/>
  <c r="T2011" i="2"/>
  <c r="AR2011" i="2"/>
  <c r="AU2025" i="2"/>
  <c r="T2025" i="2"/>
  <c r="AS2025" i="2"/>
  <c r="V2025" i="2"/>
  <c r="AR2025" i="2"/>
  <c r="AS2027" i="2"/>
  <c r="V2027" i="2"/>
  <c r="AU2027" i="2"/>
  <c r="T2027" i="2"/>
  <c r="AR2027" i="2"/>
  <c r="AU2041" i="2"/>
  <c r="T2041" i="2"/>
  <c r="AS2041" i="2"/>
  <c r="V2041" i="2"/>
  <c r="AR2041" i="2"/>
  <c r="AS2043" i="2"/>
  <c r="V2043" i="2"/>
  <c r="AU2043" i="2"/>
  <c r="T2043" i="2"/>
  <c r="AR2043" i="2"/>
  <c r="AU2057" i="2"/>
  <c r="T2057" i="2"/>
  <c r="AS2057" i="2"/>
  <c r="V2057" i="2"/>
  <c r="AR2057" i="2"/>
  <c r="AS2059" i="2"/>
  <c r="V2059" i="2"/>
  <c r="AU2059" i="2"/>
  <c r="T2059" i="2"/>
  <c r="AR2059" i="2"/>
  <c r="AU2073" i="2"/>
  <c r="T2073" i="2"/>
  <c r="AS2073" i="2"/>
  <c r="V2073" i="2"/>
  <c r="AR2073" i="2"/>
  <c r="AS2075" i="2"/>
  <c r="V2075" i="2"/>
  <c r="AU2075" i="2"/>
  <c r="T2075" i="2"/>
  <c r="AR2075" i="2"/>
  <c r="AU2089" i="2"/>
  <c r="T2089" i="2"/>
  <c r="AS2089" i="2"/>
  <c r="V2089" i="2"/>
  <c r="AR2089" i="2"/>
  <c r="AS2091" i="2"/>
  <c r="V2091" i="2"/>
  <c r="AU2091" i="2"/>
  <c r="T2091" i="2"/>
  <c r="AR2091" i="2"/>
  <c r="AU2105" i="2"/>
  <c r="T2105" i="2"/>
  <c r="AS2105" i="2"/>
  <c r="V2105" i="2"/>
  <c r="AR2105" i="2"/>
  <c r="AS2107" i="2"/>
  <c r="V2107" i="2"/>
  <c r="AU2107" i="2"/>
  <c r="T2107" i="2"/>
  <c r="AR2107" i="2"/>
  <c r="AU2121" i="2"/>
  <c r="T2121" i="2"/>
  <c r="AS2121" i="2"/>
  <c r="V2121" i="2"/>
  <c r="AR2121" i="2"/>
  <c r="AS2123" i="2"/>
  <c r="V2123" i="2"/>
  <c r="AU2123" i="2"/>
  <c r="T2123" i="2"/>
  <c r="AR2123" i="2"/>
  <c r="AU2137" i="2"/>
  <c r="T2137" i="2"/>
  <c r="AS2137" i="2"/>
  <c r="V2137" i="2"/>
  <c r="AR2137" i="2"/>
  <c r="AU2139" i="2"/>
  <c r="T2139" i="2"/>
  <c r="AS2139" i="2"/>
  <c r="V2139" i="2"/>
  <c r="Q2139" i="2"/>
  <c r="AS2141" i="2"/>
  <c r="V2141" i="2"/>
  <c r="AT2141" i="2"/>
  <c r="U2141" i="2"/>
  <c r="AU2151" i="2"/>
  <c r="T2151" i="2"/>
  <c r="AS2151" i="2"/>
  <c r="V2151" i="2"/>
  <c r="U2151" i="2"/>
  <c r="AT2151" i="2"/>
  <c r="Q2151" i="2"/>
  <c r="AS2153" i="2"/>
  <c r="V2153" i="2"/>
  <c r="AU2153" i="2"/>
  <c r="T2153" i="2"/>
  <c r="U2153" i="2"/>
  <c r="AT2153" i="2"/>
  <c r="Q2153" i="2"/>
  <c r="AU2163" i="2"/>
  <c r="T2163" i="2"/>
  <c r="AS2163" i="2"/>
  <c r="V2163" i="2"/>
  <c r="AR2163" i="2"/>
  <c r="U2163" i="2"/>
  <c r="Q2163" i="2"/>
  <c r="AU2179" i="2"/>
  <c r="T2179" i="2"/>
  <c r="AS2179" i="2"/>
  <c r="V2179" i="2"/>
  <c r="AR2179" i="2"/>
  <c r="U2179" i="2"/>
  <c r="Q2179" i="2"/>
  <c r="AU2195" i="2"/>
  <c r="T2195" i="2"/>
  <c r="AS2195" i="2"/>
  <c r="V2195" i="2"/>
  <c r="AR2195" i="2"/>
  <c r="U2195" i="2"/>
  <c r="Q2195" i="2"/>
  <c r="AU2017" i="2"/>
  <c r="T2017" i="2"/>
  <c r="AS2017" i="2"/>
  <c r="V2017" i="2"/>
  <c r="AR2017" i="2"/>
  <c r="AS2019" i="2"/>
  <c r="V2019" i="2"/>
  <c r="AU2019" i="2"/>
  <c r="T2019" i="2"/>
  <c r="AR2019" i="2"/>
  <c r="AU2033" i="2"/>
  <c r="T2033" i="2"/>
  <c r="AS2033" i="2"/>
  <c r="V2033" i="2"/>
  <c r="AR2033" i="2"/>
  <c r="AS2035" i="2"/>
  <c r="V2035" i="2"/>
  <c r="AU2035" i="2"/>
  <c r="T2035" i="2"/>
  <c r="AR2035" i="2"/>
  <c r="AU2049" i="2"/>
  <c r="T2049" i="2"/>
  <c r="AS2049" i="2"/>
  <c r="V2049" i="2"/>
  <c r="AR2049" i="2"/>
  <c r="AS2051" i="2"/>
  <c r="V2051" i="2"/>
  <c r="AU2051" i="2"/>
  <c r="T2051" i="2"/>
  <c r="AR2051" i="2"/>
  <c r="AU2065" i="2"/>
  <c r="T2065" i="2"/>
  <c r="AS2065" i="2"/>
  <c r="V2065" i="2"/>
  <c r="AR2065" i="2"/>
  <c r="AS2067" i="2"/>
  <c r="V2067" i="2"/>
  <c r="AU2067" i="2"/>
  <c r="T2067" i="2"/>
  <c r="AR2067" i="2"/>
  <c r="AU2081" i="2"/>
  <c r="T2081" i="2"/>
  <c r="AS2081" i="2"/>
  <c r="V2081" i="2"/>
  <c r="AR2081" i="2"/>
  <c r="AS2083" i="2"/>
  <c r="V2083" i="2"/>
  <c r="AU2083" i="2"/>
  <c r="T2083" i="2"/>
  <c r="AR2083" i="2"/>
  <c r="AU2097" i="2"/>
  <c r="T2097" i="2"/>
  <c r="AS2097" i="2"/>
  <c r="V2097" i="2"/>
  <c r="AR2097" i="2"/>
  <c r="AS2099" i="2"/>
  <c r="V2099" i="2"/>
  <c r="AU2099" i="2"/>
  <c r="T2099" i="2"/>
  <c r="AR2099" i="2"/>
  <c r="AU2113" i="2"/>
  <c r="T2113" i="2"/>
  <c r="AS2113" i="2"/>
  <c r="V2113" i="2"/>
  <c r="AR2113" i="2"/>
  <c r="AS2115" i="2"/>
  <c r="V2115" i="2"/>
  <c r="AU2115" i="2"/>
  <c r="T2115" i="2"/>
  <c r="AR2115" i="2"/>
  <c r="AU2129" i="2"/>
  <c r="T2129" i="2"/>
  <c r="AS2129" i="2"/>
  <c r="V2129" i="2"/>
  <c r="AR2129" i="2"/>
  <c r="AS2131" i="2"/>
  <c r="V2131" i="2"/>
  <c r="AU2131" i="2"/>
  <c r="T2131" i="2"/>
  <c r="AR2131" i="2"/>
  <c r="AI2155" i="2"/>
  <c r="AU2159" i="2"/>
  <c r="T2159" i="2"/>
  <c r="AS2159" i="2"/>
  <c r="V2159" i="2"/>
  <c r="AT2159" i="2"/>
  <c r="Q2159" i="2"/>
  <c r="U2159" i="2"/>
  <c r="AU2171" i="2"/>
  <c r="T2171" i="2"/>
  <c r="AS2171" i="2"/>
  <c r="V2171" i="2"/>
  <c r="AR2171" i="2"/>
  <c r="U2171" i="2"/>
  <c r="Q2171" i="2"/>
  <c r="AU2187" i="2"/>
  <c r="T2187" i="2"/>
  <c r="AS2187" i="2"/>
  <c r="V2187" i="2"/>
  <c r="AR2187" i="2"/>
  <c r="U2187" i="2"/>
  <c r="Q2187" i="2"/>
  <c r="AS2280" i="2"/>
  <c r="V2280" i="2"/>
  <c r="AU2280" i="2"/>
  <c r="T2280" i="2"/>
  <c r="U2280" i="2"/>
  <c r="AT2280" i="2"/>
  <c r="Q2280" i="2"/>
  <c r="AR2280" i="2"/>
  <c r="AI2298" i="2"/>
  <c r="AT2002" i="2"/>
  <c r="AT2006" i="2"/>
  <c r="AT2010" i="2"/>
  <c r="AT2014" i="2"/>
  <c r="AT2018" i="2"/>
  <c r="AT2022" i="2"/>
  <c r="AT2026" i="2"/>
  <c r="AT2030" i="2"/>
  <c r="AT2034" i="2"/>
  <c r="AT2038" i="2"/>
  <c r="AT2042" i="2"/>
  <c r="AT2046" i="2"/>
  <c r="AT2050" i="2"/>
  <c r="AT2054" i="2"/>
  <c r="AT2058" i="2"/>
  <c r="AT2062" i="2"/>
  <c r="AT2066" i="2"/>
  <c r="AT2070" i="2"/>
  <c r="AT2074" i="2"/>
  <c r="AT2078" i="2"/>
  <c r="AT2082" i="2"/>
  <c r="AT2086" i="2"/>
  <c r="AT2090" i="2"/>
  <c r="AT2094" i="2"/>
  <c r="AT2098" i="2"/>
  <c r="AT2102" i="2"/>
  <c r="AT2106" i="2"/>
  <c r="AT2110" i="2"/>
  <c r="AT2114" i="2"/>
  <c r="AT2118" i="2"/>
  <c r="AT2122" i="2"/>
  <c r="AT2126" i="2"/>
  <c r="AT2130" i="2"/>
  <c r="AT2134" i="2"/>
  <c r="AT2138" i="2"/>
  <c r="AR2140" i="2"/>
  <c r="U2140" i="2"/>
  <c r="Q2140" i="2"/>
  <c r="T2140" i="2"/>
  <c r="AS2140" i="2"/>
  <c r="AU2155" i="2"/>
  <c r="T2155" i="2"/>
  <c r="AS2155" i="2"/>
  <c r="V2155" i="2"/>
  <c r="AR2155" i="2"/>
  <c r="AS2157" i="2"/>
  <c r="V2157" i="2"/>
  <c r="AU2157" i="2"/>
  <c r="T2157" i="2"/>
  <c r="AR2157" i="2"/>
  <c r="AU2175" i="2"/>
  <c r="T2175" i="2"/>
  <c r="AS2175" i="2"/>
  <c r="V2175" i="2"/>
  <c r="AR2175" i="2"/>
  <c r="U2175" i="2"/>
  <c r="Q2175" i="2"/>
  <c r="AU2191" i="2"/>
  <c r="T2191" i="2"/>
  <c r="AS2191" i="2"/>
  <c r="V2191" i="2"/>
  <c r="AR2191" i="2"/>
  <c r="U2191" i="2"/>
  <c r="Q2191" i="2"/>
  <c r="AI2240" i="2"/>
  <c r="AU2254" i="2"/>
  <c r="T2254" i="2"/>
  <c r="AS2254" i="2"/>
  <c r="V2254" i="2"/>
  <c r="AT2254" i="2"/>
  <c r="Q2254" i="2"/>
  <c r="U2254" i="2"/>
  <c r="AR2254" i="2"/>
  <c r="AT1996" i="2"/>
  <c r="AT2000" i="2"/>
  <c r="Q2002" i="2"/>
  <c r="U2002" i="2"/>
  <c r="AR2002" i="2"/>
  <c r="AT2004" i="2"/>
  <c r="Q2006" i="2"/>
  <c r="U2006" i="2"/>
  <c r="AR2006" i="2"/>
  <c r="AT2008" i="2"/>
  <c r="Q2010" i="2"/>
  <c r="U2010" i="2"/>
  <c r="AR2010" i="2"/>
  <c r="AT2012" i="2"/>
  <c r="Q2014" i="2"/>
  <c r="U2014" i="2"/>
  <c r="AR2014" i="2"/>
  <c r="AT2016" i="2"/>
  <c r="Q2018" i="2"/>
  <c r="U2018" i="2"/>
  <c r="AR2018" i="2"/>
  <c r="AT2020" i="2"/>
  <c r="Q2022" i="2"/>
  <c r="U2022" i="2"/>
  <c r="AR2022" i="2"/>
  <c r="AT2024" i="2"/>
  <c r="Q2026" i="2"/>
  <c r="U2026" i="2"/>
  <c r="AR2026" i="2"/>
  <c r="AT2028" i="2"/>
  <c r="Q2030" i="2"/>
  <c r="U2030" i="2"/>
  <c r="AR2030" i="2"/>
  <c r="AT2032" i="2"/>
  <c r="Q2034" i="2"/>
  <c r="U2034" i="2"/>
  <c r="AR2034" i="2"/>
  <c r="AT2036" i="2"/>
  <c r="Q2038" i="2"/>
  <c r="U2038" i="2"/>
  <c r="AR2038" i="2"/>
  <c r="AT2040" i="2"/>
  <c r="Q2042" i="2"/>
  <c r="U2042" i="2"/>
  <c r="AR2042" i="2"/>
  <c r="AT2044" i="2"/>
  <c r="Q2046" i="2"/>
  <c r="U2046" i="2"/>
  <c r="AR2046" i="2"/>
  <c r="AT2048" i="2"/>
  <c r="Q2050" i="2"/>
  <c r="U2050" i="2"/>
  <c r="AR2050" i="2"/>
  <c r="AT2052" i="2"/>
  <c r="Q2054" i="2"/>
  <c r="U2054" i="2"/>
  <c r="AR2054" i="2"/>
  <c r="AT2056" i="2"/>
  <c r="Q2058" i="2"/>
  <c r="U2058" i="2"/>
  <c r="AR2058" i="2"/>
  <c r="AT2060" i="2"/>
  <c r="Q2062" i="2"/>
  <c r="U2062" i="2"/>
  <c r="AR2062" i="2"/>
  <c r="AT2064" i="2"/>
  <c r="Q2066" i="2"/>
  <c r="U2066" i="2"/>
  <c r="AR2066" i="2"/>
  <c r="AT2068" i="2"/>
  <c r="Q2070" i="2"/>
  <c r="U2070" i="2"/>
  <c r="AR2070" i="2"/>
  <c r="AT2072" i="2"/>
  <c r="Q2074" i="2"/>
  <c r="U2074" i="2"/>
  <c r="AR2074" i="2"/>
  <c r="AT2076" i="2"/>
  <c r="Q2078" i="2"/>
  <c r="U2078" i="2"/>
  <c r="AR2078" i="2"/>
  <c r="AT2080" i="2"/>
  <c r="Q2082" i="2"/>
  <c r="U2082" i="2"/>
  <c r="AR2082" i="2"/>
  <c r="AT2084" i="2"/>
  <c r="Q2086" i="2"/>
  <c r="U2086" i="2"/>
  <c r="AR2086" i="2"/>
  <c r="AT2088" i="2"/>
  <c r="Q2090" i="2"/>
  <c r="U2090" i="2"/>
  <c r="AR2090" i="2"/>
  <c r="AT2092" i="2"/>
  <c r="Q2094" i="2"/>
  <c r="U2094" i="2"/>
  <c r="AR2094" i="2"/>
  <c r="AT2096" i="2"/>
  <c r="Q2098" i="2"/>
  <c r="U2098" i="2"/>
  <c r="AR2098" i="2"/>
  <c r="AT2100" i="2"/>
  <c r="Q2102" i="2"/>
  <c r="U2102" i="2"/>
  <c r="AR2102" i="2"/>
  <c r="AT2104" i="2"/>
  <c r="Q2106" i="2"/>
  <c r="U2106" i="2"/>
  <c r="AR2106" i="2"/>
  <c r="AT2108" i="2"/>
  <c r="Q2110" i="2"/>
  <c r="U2110" i="2"/>
  <c r="AR2110" i="2"/>
  <c r="AT2112" i="2"/>
  <c r="Q2114" i="2"/>
  <c r="U2114" i="2"/>
  <c r="AR2114" i="2"/>
  <c r="AT2116" i="2"/>
  <c r="Q2118" i="2"/>
  <c r="U2118" i="2"/>
  <c r="AR2118" i="2"/>
  <c r="AT2120" i="2"/>
  <c r="Q2122" i="2"/>
  <c r="U2122" i="2"/>
  <c r="AR2122" i="2"/>
  <c r="AT2124" i="2"/>
  <c r="Q2126" i="2"/>
  <c r="U2126" i="2"/>
  <c r="AR2126" i="2"/>
  <c r="AT2128" i="2"/>
  <c r="Q2130" i="2"/>
  <c r="U2130" i="2"/>
  <c r="AR2130" i="2"/>
  <c r="AT2132" i="2"/>
  <c r="Q2134" i="2"/>
  <c r="U2134" i="2"/>
  <c r="AR2134" i="2"/>
  <c r="AT2136" i="2"/>
  <c r="Q2138" i="2"/>
  <c r="U2138" i="2"/>
  <c r="AR2138" i="2"/>
  <c r="AU2140" i="2"/>
  <c r="AU2147" i="2"/>
  <c r="T2147" i="2"/>
  <c r="AS2147" i="2"/>
  <c r="V2147" i="2"/>
  <c r="AR2147" i="2"/>
  <c r="AS2149" i="2"/>
  <c r="V2149" i="2"/>
  <c r="AU2149" i="2"/>
  <c r="T2149" i="2"/>
  <c r="AR2149" i="2"/>
  <c r="AU2167" i="2"/>
  <c r="T2167" i="2"/>
  <c r="AS2167" i="2"/>
  <c r="V2167" i="2"/>
  <c r="AR2167" i="2"/>
  <c r="U2167" i="2"/>
  <c r="Q2167" i="2"/>
  <c r="AU2183" i="2"/>
  <c r="T2183" i="2"/>
  <c r="AS2183" i="2"/>
  <c r="V2183" i="2"/>
  <c r="AR2183" i="2"/>
  <c r="U2183" i="2"/>
  <c r="Q2183" i="2"/>
  <c r="AS2222" i="2"/>
  <c r="V2222" i="2"/>
  <c r="AU2222" i="2"/>
  <c r="T2222" i="2"/>
  <c r="AR2222" i="2"/>
  <c r="Q2222" i="2"/>
  <c r="AT2222" i="2"/>
  <c r="U2222" i="2"/>
  <c r="AU2262" i="2"/>
  <c r="T2262" i="2"/>
  <c r="AS2262" i="2"/>
  <c r="V2262" i="2"/>
  <c r="U2262" i="2"/>
  <c r="AT2262" i="2"/>
  <c r="Q2262" i="2"/>
  <c r="AR2262" i="2"/>
  <c r="AS2272" i="2"/>
  <c r="V2272" i="2"/>
  <c r="AU2272" i="2"/>
  <c r="T2272" i="2"/>
  <c r="AT2272" i="2"/>
  <c r="Q2272" i="2"/>
  <c r="U2272" i="2"/>
  <c r="AR2272" i="2"/>
  <c r="AT2161" i="2"/>
  <c r="AT2165" i="2"/>
  <c r="AT2169" i="2"/>
  <c r="AT2173" i="2"/>
  <c r="AT2177" i="2"/>
  <c r="AT2181" i="2"/>
  <c r="AT2185" i="2"/>
  <c r="AT2189" i="2"/>
  <c r="AT2193" i="2"/>
  <c r="AT2197" i="2"/>
  <c r="T2197" i="2"/>
  <c r="AR2197" i="2"/>
  <c r="AR2199" i="2"/>
  <c r="U2199" i="2"/>
  <c r="Q2199" i="2"/>
  <c r="T2199" i="2"/>
  <c r="AS2199" i="2"/>
  <c r="AR2203" i="2"/>
  <c r="U2203" i="2"/>
  <c r="Q2203" i="2"/>
  <c r="AT2203" i="2"/>
  <c r="V2203" i="2"/>
  <c r="AU2203" i="2"/>
  <c r="AS2204" i="2"/>
  <c r="V2204" i="2"/>
  <c r="AU2204" i="2"/>
  <c r="Q2204" i="2"/>
  <c r="U2204" i="2"/>
  <c r="AT2204" i="2"/>
  <c r="AR2207" i="2"/>
  <c r="U2207" i="2"/>
  <c r="Q2207" i="2"/>
  <c r="V2207" i="2"/>
  <c r="AT2207" i="2"/>
  <c r="AR2211" i="2"/>
  <c r="U2211" i="2"/>
  <c r="Q2211" i="2"/>
  <c r="AT2211" i="2"/>
  <c r="V2211" i="2"/>
  <c r="AU2211" i="2"/>
  <c r="AS2212" i="2"/>
  <c r="V2212" i="2"/>
  <c r="AU2212" i="2"/>
  <c r="Q2212" i="2"/>
  <c r="U2212" i="2"/>
  <c r="AT2212" i="2"/>
  <c r="AT2215" i="2"/>
  <c r="AR2215" i="2"/>
  <c r="U2215" i="2"/>
  <c r="Q2215" i="2"/>
  <c r="AU2215" i="2"/>
  <c r="V2215" i="2"/>
  <c r="AU2224" i="2"/>
  <c r="T2224" i="2"/>
  <c r="AS2224" i="2"/>
  <c r="V2224" i="2"/>
  <c r="AS2248" i="2"/>
  <c r="V2248" i="2"/>
  <c r="AT2248" i="2"/>
  <c r="U2248" i="2"/>
  <c r="AU2248" i="2"/>
  <c r="T2248" i="2"/>
  <c r="AR2248" i="2"/>
  <c r="AI2266" i="2"/>
  <c r="AU2286" i="2"/>
  <c r="T2286" i="2"/>
  <c r="AS2286" i="2"/>
  <c r="V2286" i="2"/>
  <c r="AT2286" i="2"/>
  <c r="Q2286" i="2"/>
  <c r="U2286" i="2"/>
  <c r="AR2286" i="2"/>
  <c r="AU2294" i="2"/>
  <c r="T2294" i="2"/>
  <c r="AS2294" i="2"/>
  <c r="V2294" i="2"/>
  <c r="U2294" i="2"/>
  <c r="AT2294" i="2"/>
  <c r="Q2294" i="2"/>
  <c r="AR2294" i="2"/>
  <c r="AS2304" i="2"/>
  <c r="V2304" i="2"/>
  <c r="AU2304" i="2"/>
  <c r="T2304" i="2"/>
  <c r="AT2304" i="2"/>
  <c r="Q2304" i="2"/>
  <c r="U2304" i="2"/>
  <c r="AR2304" i="2"/>
  <c r="AT2144" i="2"/>
  <c r="AT2148" i="2"/>
  <c r="AT2152" i="2"/>
  <c r="AT2156" i="2"/>
  <c r="AT2160" i="2"/>
  <c r="T2161" i="2"/>
  <c r="AU2161" i="2"/>
  <c r="AT2164" i="2"/>
  <c r="T2165" i="2"/>
  <c r="AU2165" i="2"/>
  <c r="AT2168" i="2"/>
  <c r="T2169" i="2"/>
  <c r="AU2169" i="2"/>
  <c r="AT2172" i="2"/>
  <c r="T2173" i="2"/>
  <c r="AU2173" i="2"/>
  <c r="AT2176" i="2"/>
  <c r="T2177" i="2"/>
  <c r="AU2177" i="2"/>
  <c r="AT2180" i="2"/>
  <c r="T2181" i="2"/>
  <c r="AU2181" i="2"/>
  <c r="AT2184" i="2"/>
  <c r="T2185" i="2"/>
  <c r="AU2185" i="2"/>
  <c r="AT2188" i="2"/>
  <c r="T2189" i="2"/>
  <c r="AU2189" i="2"/>
  <c r="AT2192" i="2"/>
  <c r="T2193" i="2"/>
  <c r="AU2193" i="2"/>
  <c r="AT2196" i="2"/>
  <c r="U2197" i="2"/>
  <c r="AS2197" i="2"/>
  <c r="V2199" i="2"/>
  <c r="AT2199" i="2"/>
  <c r="AU2202" i="2"/>
  <c r="T2202" i="2"/>
  <c r="AR2202" i="2"/>
  <c r="V2202" i="2"/>
  <c r="AU2207" i="2"/>
  <c r="AU2210" i="2"/>
  <c r="T2210" i="2"/>
  <c r="AR2210" i="2"/>
  <c r="V2210" i="2"/>
  <c r="AS2218" i="2"/>
  <c r="V2218" i="2"/>
  <c r="AU2218" i="2"/>
  <c r="T2218" i="2"/>
  <c r="U2218" i="2"/>
  <c r="AI2222" i="2"/>
  <c r="Q2224" i="2"/>
  <c r="AR2224" i="2"/>
  <c r="AS2226" i="2"/>
  <c r="V2226" i="2"/>
  <c r="AU2226" i="2"/>
  <c r="T2226" i="2"/>
  <c r="AT2226" i="2"/>
  <c r="Q2226" i="2"/>
  <c r="AU2228" i="2"/>
  <c r="T2228" i="2"/>
  <c r="AS2228" i="2"/>
  <c r="V2228" i="2"/>
  <c r="AT2228" i="2"/>
  <c r="Q2228" i="2"/>
  <c r="AS2238" i="2"/>
  <c r="V2238" i="2"/>
  <c r="AU2238" i="2"/>
  <c r="T2238" i="2"/>
  <c r="U2238" i="2"/>
  <c r="AU2240" i="2"/>
  <c r="T2240" i="2"/>
  <c r="AS2240" i="2"/>
  <c r="V2240" i="2"/>
  <c r="U2240" i="2"/>
  <c r="Q2248" i="2"/>
  <c r="AS2256" i="2"/>
  <c r="V2256" i="2"/>
  <c r="AU2256" i="2"/>
  <c r="T2256" i="2"/>
  <c r="AT2256" i="2"/>
  <c r="Q2256" i="2"/>
  <c r="U2256" i="2"/>
  <c r="AR2256" i="2"/>
  <c r="AS2264" i="2"/>
  <c r="V2264" i="2"/>
  <c r="AU2264" i="2"/>
  <c r="T2264" i="2"/>
  <c r="U2264" i="2"/>
  <c r="AT2264" i="2"/>
  <c r="Q2264" i="2"/>
  <c r="AR2264" i="2"/>
  <c r="AI2282" i="2"/>
  <c r="AU2302" i="2"/>
  <c r="T2302" i="2"/>
  <c r="AS2302" i="2"/>
  <c r="V2302" i="2"/>
  <c r="AT2302" i="2"/>
  <c r="Q2302" i="2"/>
  <c r="U2302" i="2"/>
  <c r="AR2302" i="2"/>
  <c r="AU2310" i="2"/>
  <c r="T2310" i="2"/>
  <c r="AS2310" i="2"/>
  <c r="V2310" i="2"/>
  <c r="U2310" i="2"/>
  <c r="AT2310" i="2"/>
  <c r="Q2310" i="2"/>
  <c r="AR2310" i="2"/>
  <c r="AS2323" i="2"/>
  <c r="V2323" i="2"/>
  <c r="AU2323" i="2"/>
  <c r="T2323" i="2"/>
  <c r="U2323" i="2"/>
  <c r="AT2323" i="2"/>
  <c r="Q2323" i="2"/>
  <c r="AR2323" i="2"/>
  <c r="AT2142" i="2"/>
  <c r="Q2144" i="2"/>
  <c r="U2144" i="2"/>
  <c r="AR2144" i="2"/>
  <c r="AT2146" i="2"/>
  <c r="Q2148" i="2"/>
  <c r="U2148" i="2"/>
  <c r="AR2148" i="2"/>
  <c r="AT2150" i="2"/>
  <c r="Q2152" i="2"/>
  <c r="U2152" i="2"/>
  <c r="AR2152" i="2"/>
  <c r="AT2154" i="2"/>
  <c r="Q2156" i="2"/>
  <c r="U2156" i="2"/>
  <c r="AR2156" i="2"/>
  <c r="AT2158" i="2"/>
  <c r="Q2160" i="2"/>
  <c r="U2160" i="2"/>
  <c r="AR2160" i="2"/>
  <c r="V2161" i="2"/>
  <c r="AS2161" i="2"/>
  <c r="AT2162" i="2"/>
  <c r="Q2164" i="2"/>
  <c r="U2164" i="2"/>
  <c r="AR2164" i="2"/>
  <c r="V2165" i="2"/>
  <c r="AS2165" i="2"/>
  <c r="AT2166" i="2"/>
  <c r="Q2168" i="2"/>
  <c r="U2168" i="2"/>
  <c r="AR2168" i="2"/>
  <c r="V2169" i="2"/>
  <c r="AS2169" i="2"/>
  <c r="AT2170" i="2"/>
  <c r="Q2172" i="2"/>
  <c r="U2172" i="2"/>
  <c r="AR2172" i="2"/>
  <c r="V2173" i="2"/>
  <c r="AS2173" i="2"/>
  <c r="AT2174" i="2"/>
  <c r="Q2176" i="2"/>
  <c r="U2176" i="2"/>
  <c r="AR2176" i="2"/>
  <c r="V2177" i="2"/>
  <c r="AS2177" i="2"/>
  <c r="AT2178" i="2"/>
  <c r="Q2180" i="2"/>
  <c r="U2180" i="2"/>
  <c r="AR2180" i="2"/>
  <c r="V2181" i="2"/>
  <c r="AS2181" i="2"/>
  <c r="AT2182" i="2"/>
  <c r="Q2184" i="2"/>
  <c r="U2184" i="2"/>
  <c r="AR2184" i="2"/>
  <c r="V2185" i="2"/>
  <c r="AS2185" i="2"/>
  <c r="AT2186" i="2"/>
  <c r="Q2188" i="2"/>
  <c r="U2188" i="2"/>
  <c r="AR2188" i="2"/>
  <c r="V2189" i="2"/>
  <c r="AS2189" i="2"/>
  <c r="AT2190" i="2"/>
  <c r="Q2192" i="2"/>
  <c r="U2192" i="2"/>
  <c r="AR2192" i="2"/>
  <c r="V2193" i="2"/>
  <c r="AS2193" i="2"/>
  <c r="AT2194" i="2"/>
  <c r="Q2196" i="2"/>
  <c r="U2196" i="2"/>
  <c r="AR2196" i="2"/>
  <c r="AU2198" i="2"/>
  <c r="T2198" i="2"/>
  <c r="U2198" i="2"/>
  <c r="AT2198" i="2"/>
  <c r="AS2200" i="2"/>
  <c r="V2200" i="2"/>
  <c r="AR2200" i="2"/>
  <c r="T2200" i="2"/>
  <c r="AS2202" i="2"/>
  <c r="T2203" i="2"/>
  <c r="AS2203" i="2"/>
  <c r="T2204" i="2"/>
  <c r="AR2204" i="2"/>
  <c r="T2207" i="2"/>
  <c r="AS2207" i="2"/>
  <c r="AS2210" i="2"/>
  <c r="T2211" i="2"/>
  <c r="AS2211" i="2"/>
  <c r="T2212" i="2"/>
  <c r="AR2212" i="2"/>
  <c r="T2215" i="2"/>
  <c r="AT2218" i="2"/>
  <c r="AU2220" i="2"/>
  <c r="T2220" i="2"/>
  <c r="AS2220" i="2"/>
  <c r="V2220" i="2"/>
  <c r="U2220" i="2"/>
  <c r="AR2226" i="2"/>
  <c r="AR2228" i="2"/>
  <c r="AR2238" i="2"/>
  <c r="AR2240" i="2"/>
  <c r="AS2242" i="2"/>
  <c r="V2242" i="2"/>
  <c r="AU2242" i="2"/>
  <c r="T2242" i="2"/>
  <c r="AT2242" i="2"/>
  <c r="Q2242" i="2"/>
  <c r="AU2244" i="2"/>
  <c r="T2244" i="2"/>
  <c r="AS2244" i="2"/>
  <c r="V2244" i="2"/>
  <c r="AT2244" i="2"/>
  <c r="Q2244" i="2"/>
  <c r="AU2270" i="2"/>
  <c r="T2270" i="2"/>
  <c r="AS2270" i="2"/>
  <c r="V2270" i="2"/>
  <c r="AT2270" i="2"/>
  <c r="Q2270" i="2"/>
  <c r="U2270" i="2"/>
  <c r="AR2270" i="2"/>
  <c r="AU2278" i="2"/>
  <c r="T2278" i="2"/>
  <c r="AS2278" i="2"/>
  <c r="V2278" i="2"/>
  <c r="U2278" i="2"/>
  <c r="AT2278" i="2"/>
  <c r="Q2278" i="2"/>
  <c r="AR2278" i="2"/>
  <c r="AS2288" i="2"/>
  <c r="V2288" i="2"/>
  <c r="AU2288" i="2"/>
  <c r="T2288" i="2"/>
  <c r="AT2288" i="2"/>
  <c r="Q2288" i="2"/>
  <c r="U2288" i="2"/>
  <c r="AR2288" i="2"/>
  <c r="AS2296" i="2"/>
  <c r="V2296" i="2"/>
  <c r="AU2296" i="2"/>
  <c r="T2296" i="2"/>
  <c r="U2296" i="2"/>
  <c r="AT2296" i="2"/>
  <c r="Q2296" i="2"/>
  <c r="AR2296" i="2"/>
  <c r="AS2234" i="2"/>
  <c r="V2234" i="2"/>
  <c r="AU2234" i="2"/>
  <c r="T2234" i="2"/>
  <c r="AR2234" i="2"/>
  <c r="AU2236" i="2"/>
  <c r="T2236" i="2"/>
  <c r="AS2236" i="2"/>
  <c r="V2236" i="2"/>
  <c r="AR2236" i="2"/>
  <c r="AU2250" i="2"/>
  <c r="T2250" i="2"/>
  <c r="V2250" i="2"/>
  <c r="Q2250" i="2"/>
  <c r="AS2250" i="2"/>
  <c r="AS2252" i="2"/>
  <c r="V2252" i="2"/>
  <c r="AT2252" i="2"/>
  <c r="U2252" i="2"/>
  <c r="AI2258" i="2"/>
  <c r="AI2274" i="2"/>
  <c r="AI2290" i="2"/>
  <c r="AI2306" i="2"/>
  <c r="AI2319" i="2"/>
  <c r="AS2353" i="2"/>
  <c r="V2353" i="2"/>
  <c r="AU2353" i="2"/>
  <c r="T2353" i="2"/>
  <c r="AT2353" i="2"/>
  <c r="Q2353" i="2"/>
  <c r="U2353" i="2"/>
  <c r="AR2353" i="2"/>
  <c r="AU2427" i="2"/>
  <c r="T2427" i="2"/>
  <c r="AR2427" i="2"/>
  <c r="U2427" i="2"/>
  <c r="Q2427" i="2"/>
  <c r="V2427" i="2"/>
  <c r="AT2427" i="2"/>
  <c r="AS2427" i="2"/>
  <c r="AU2206" i="2"/>
  <c r="T2206" i="2"/>
  <c r="U2206" i="2"/>
  <c r="AT2206" i="2"/>
  <c r="AS2208" i="2"/>
  <c r="V2208" i="2"/>
  <c r="T2208" i="2"/>
  <c r="AR2208" i="2"/>
  <c r="AU2214" i="2"/>
  <c r="T2214" i="2"/>
  <c r="U2214" i="2"/>
  <c r="AT2214" i="2"/>
  <c r="AU2216" i="2"/>
  <c r="T2216" i="2"/>
  <c r="AS2216" i="2"/>
  <c r="V2216" i="2"/>
  <c r="AR2216" i="2"/>
  <c r="AS2230" i="2"/>
  <c r="V2230" i="2"/>
  <c r="AU2230" i="2"/>
  <c r="T2230" i="2"/>
  <c r="AR2230" i="2"/>
  <c r="AU2232" i="2"/>
  <c r="T2232" i="2"/>
  <c r="AS2232" i="2"/>
  <c r="V2232" i="2"/>
  <c r="AR2232" i="2"/>
  <c r="U2234" i="2"/>
  <c r="U2236" i="2"/>
  <c r="AU2246" i="2"/>
  <c r="AS2246" i="2"/>
  <c r="V2246" i="2"/>
  <c r="T2246" i="2"/>
  <c r="AT2246" i="2"/>
  <c r="AU2321" i="2"/>
  <c r="T2321" i="2"/>
  <c r="AS2321" i="2"/>
  <c r="V2321" i="2"/>
  <c r="U2321" i="2"/>
  <c r="AT2321" i="2"/>
  <c r="Q2321" i="2"/>
  <c r="AU2355" i="2"/>
  <c r="T2355" i="2"/>
  <c r="AS2355" i="2"/>
  <c r="V2355" i="2"/>
  <c r="AT2355" i="2"/>
  <c r="Q2355" i="2"/>
  <c r="U2355" i="2"/>
  <c r="AR2355" i="2"/>
  <c r="AR2369" i="2"/>
  <c r="U2369" i="2"/>
  <c r="Q2369" i="2"/>
  <c r="AT2369" i="2"/>
  <c r="V2369" i="2"/>
  <c r="AU2369" i="2"/>
  <c r="AS2369" i="2"/>
  <c r="T2369" i="2"/>
  <c r="AT2201" i="2"/>
  <c r="AT2205" i="2"/>
  <c r="AT2209" i="2"/>
  <c r="AT2213" i="2"/>
  <c r="AT2217" i="2"/>
  <c r="Q2219" i="2"/>
  <c r="U2219" i="2"/>
  <c r="AR2219" i="2"/>
  <c r="AT2221" i="2"/>
  <c r="Q2223" i="2"/>
  <c r="U2223" i="2"/>
  <c r="AR2223" i="2"/>
  <c r="AT2225" i="2"/>
  <c r="Q2227" i="2"/>
  <c r="U2227" i="2"/>
  <c r="AR2227" i="2"/>
  <c r="AT2229" i="2"/>
  <c r="Q2231" i="2"/>
  <c r="U2231" i="2"/>
  <c r="AR2231" i="2"/>
  <c r="AT2233" i="2"/>
  <c r="Q2235" i="2"/>
  <c r="U2235" i="2"/>
  <c r="AR2235" i="2"/>
  <c r="AT2237" i="2"/>
  <c r="Q2239" i="2"/>
  <c r="U2239" i="2"/>
  <c r="AR2239" i="2"/>
  <c r="AT2241" i="2"/>
  <c r="Q2243" i="2"/>
  <c r="U2243" i="2"/>
  <c r="AR2243" i="2"/>
  <c r="AT2245" i="2"/>
  <c r="AR2247" i="2"/>
  <c r="U2247" i="2"/>
  <c r="Q2247" i="2"/>
  <c r="T2247" i="2"/>
  <c r="AS2247" i="2"/>
  <c r="AU2266" i="2"/>
  <c r="T2266" i="2"/>
  <c r="AS2266" i="2"/>
  <c r="V2266" i="2"/>
  <c r="AR2266" i="2"/>
  <c r="AS2268" i="2"/>
  <c r="V2268" i="2"/>
  <c r="AU2268" i="2"/>
  <c r="T2268" i="2"/>
  <c r="AR2268" i="2"/>
  <c r="AU2282" i="2"/>
  <c r="T2282" i="2"/>
  <c r="AS2282" i="2"/>
  <c r="V2282" i="2"/>
  <c r="AR2282" i="2"/>
  <c r="AS2284" i="2"/>
  <c r="V2284" i="2"/>
  <c r="AU2284" i="2"/>
  <c r="T2284" i="2"/>
  <c r="AR2284" i="2"/>
  <c r="AU2298" i="2"/>
  <c r="T2298" i="2"/>
  <c r="AS2298" i="2"/>
  <c r="V2298" i="2"/>
  <c r="AR2298" i="2"/>
  <c r="AS2300" i="2"/>
  <c r="V2300" i="2"/>
  <c r="AU2300" i="2"/>
  <c r="T2300" i="2"/>
  <c r="AR2300" i="2"/>
  <c r="AU2313" i="2"/>
  <c r="T2313" i="2"/>
  <c r="V2313" i="2"/>
  <c r="Q2313" i="2"/>
  <c r="AS2313" i="2"/>
  <c r="AU2337" i="2"/>
  <c r="T2337" i="2"/>
  <c r="V2337" i="2"/>
  <c r="Q2337" i="2"/>
  <c r="AS2337" i="2"/>
  <c r="AR2337" i="2"/>
  <c r="AS2339" i="2"/>
  <c r="V2339" i="2"/>
  <c r="AT2339" i="2"/>
  <c r="U2339" i="2"/>
  <c r="AR2339" i="2"/>
  <c r="Q2339" i="2"/>
  <c r="AT2219" i="2"/>
  <c r="AT2223" i="2"/>
  <c r="AT2227" i="2"/>
  <c r="AT2231" i="2"/>
  <c r="AT2235" i="2"/>
  <c r="AT2239" i="2"/>
  <c r="AT2243" i="2"/>
  <c r="AR2251" i="2"/>
  <c r="U2251" i="2"/>
  <c r="Q2251" i="2"/>
  <c r="T2251" i="2"/>
  <c r="AS2251" i="2"/>
  <c r="AU2258" i="2"/>
  <c r="T2258" i="2"/>
  <c r="AS2258" i="2"/>
  <c r="V2258" i="2"/>
  <c r="AR2258" i="2"/>
  <c r="AS2260" i="2"/>
  <c r="V2260" i="2"/>
  <c r="AU2260" i="2"/>
  <c r="T2260" i="2"/>
  <c r="AR2260" i="2"/>
  <c r="AU2274" i="2"/>
  <c r="T2274" i="2"/>
  <c r="AS2274" i="2"/>
  <c r="V2274" i="2"/>
  <c r="AR2274" i="2"/>
  <c r="AS2276" i="2"/>
  <c r="V2276" i="2"/>
  <c r="AU2276" i="2"/>
  <c r="T2276" i="2"/>
  <c r="AR2276" i="2"/>
  <c r="AU2290" i="2"/>
  <c r="T2290" i="2"/>
  <c r="AS2290" i="2"/>
  <c r="V2290" i="2"/>
  <c r="AR2290" i="2"/>
  <c r="AS2292" i="2"/>
  <c r="V2292" i="2"/>
  <c r="AU2292" i="2"/>
  <c r="T2292" i="2"/>
  <c r="AR2292" i="2"/>
  <c r="AU2306" i="2"/>
  <c r="T2306" i="2"/>
  <c r="AS2306" i="2"/>
  <c r="V2306" i="2"/>
  <c r="AR2306" i="2"/>
  <c r="AS2308" i="2"/>
  <c r="V2308" i="2"/>
  <c r="AU2308" i="2"/>
  <c r="T2308" i="2"/>
  <c r="AR2308" i="2"/>
  <c r="AS2315" i="2"/>
  <c r="V2315" i="2"/>
  <c r="AU2315" i="2"/>
  <c r="T2315" i="2"/>
  <c r="AT2315" i="2"/>
  <c r="Q2315" i="2"/>
  <c r="U2315" i="2"/>
  <c r="AU2329" i="2"/>
  <c r="T2329" i="2"/>
  <c r="AS2329" i="2"/>
  <c r="V2329" i="2"/>
  <c r="AT2329" i="2"/>
  <c r="Q2329" i="2"/>
  <c r="U2329" i="2"/>
  <c r="AS2331" i="2"/>
  <c r="V2331" i="2"/>
  <c r="AU2331" i="2"/>
  <c r="T2331" i="2"/>
  <c r="AT2331" i="2"/>
  <c r="Q2331" i="2"/>
  <c r="U2331" i="2"/>
  <c r="AI2333" i="2"/>
  <c r="AI2371" i="2"/>
  <c r="AS2373" i="2"/>
  <c r="AU2373" i="2"/>
  <c r="U2373" i="2"/>
  <c r="Q2373" i="2"/>
  <c r="V2373" i="2"/>
  <c r="AT2373" i="2"/>
  <c r="AR2373" i="2"/>
  <c r="T2373" i="2"/>
  <c r="AT2255" i="2"/>
  <c r="AT2259" i="2"/>
  <c r="AT2263" i="2"/>
  <c r="AT2267" i="2"/>
  <c r="AT2271" i="2"/>
  <c r="AT2275" i="2"/>
  <c r="AT2279" i="2"/>
  <c r="AT2283" i="2"/>
  <c r="AT2287" i="2"/>
  <c r="AT2291" i="2"/>
  <c r="AT2295" i="2"/>
  <c r="AT2299" i="2"/>
  <c r="AT2303" i="2"/>
  <c r="AT2307" i="2"/>
  <c r="AT2311" i="2"/>
  <c r="AU2325" i="2"/>
  <c r="T2325" i="2"/>
  <c r="AS2325" i="2"/>
  <c r="V2325" i="2"/>
  <c r="AR2325" i="2"/>
  <c r="AS2327" i="2"/>
  <c r="V2327" i="2"/>
  <c r="AU2327" i="2"/>
  <c r="T2327" i="2"/>
  <c r="AR2327" i="2"/>
  <c r="AI2339" i="2"/>
  <c r="AU2341" i="2"/>
  <c r="T2341" i="2"/>
  <c r="AS2341" i="2"/>
  <c r="V2341" i="2"/>
  <c r="Q2341" i="2"/>
  <c r="AR2365" i="2"/>
  <c r="U2365" i="2"/>
  <c r="Q2365" i="2"/>
  <c r="AT2365" i="2"/>
  <c r="V2365" i="2"/>
  <c r="AU2365" i="2"/>
  <c r="AI2385" i="2"/>
  <c r="AT2249" i="2"/>
  <c r="AT2253" i="2"/>
  <c r="Q2255" i="2"/>
  <c r="U2255" i="2"/>
  <c r="AR2255" i="2"/>
  <c r="AT2257" i="2"/>
  <c r="Q2259" i="2"/>
  <c r="U2259" i="2"/>
  <c r="AR2259" i="2"/>
  <c r="AT2261" i="2"/>
  <c r="Q2263" i="2"/>
  <c r="U2263" i="2"/>
  <c r="AR2263" i="2"/>
  <c r="AT2265" i="2"/>
  <c r="Q2267" i="2"/>
  <c r="U2267" i="2"/>
  <c r="AR2267" i="2"/>
  <c r="AT2269" i="2"/>
  <c r="Q2271" i="2"/>
  <c r="U2271" i="2"/>
  <c r="AR2271" i="2"/>
  <c r="AT2273" i="2"/>
  <c r="Q2275" i="2"/>
  <c r="U2275" i="2"/>
  <c r="AR2275" i="2"/>
  <c r="AT2277" i="2"/>
  <c r="Q2279" i="2"/>
  <c r="U2279" i="2"/>
  <c r="AR2279" i="2"/>
  <c r="AT2281" i="2"/>
  <c r="Q2283" i="2"/>
  <c r="U2283" i="2"/>
  <c r="AR2283" i="2"/>
  <c r="AT2285" i="2"/>
  <c r="Q2287" i="2"/>
  <c r="U2287" i="2"/>
  <c r="AR2287" i="2"/>
  <c r="AT2289" i="2"/>
  <c r="Q2291" i="2"/>
  <c r="U2291" i="2"/>
  <c r="AR2291" i="2"/>
  <c r="AT2293" i="2"/>
  <c r="Q2295" i="2"/>
  <c r="U2295" i="2"/>
  <c r="AR2295" i="2"/>
  <c r="AT2297" i="2"/>
  <c r="Q2299" i="2"/>
  <c r="U2299" i="2"/>
  <c r="AR2299" i="2"/>
  <c r="AT2301" i="2"/>
  <c r="Q2303" i="2"/>
  <c r="U2303" i="2"/>
  <c r="AR2303" i="2"/>
  <c r="AT2305" i="2"/>
  <c r="Q2307" i="2"/>
  <c r="U2307" i="2"/>
  <c r="AR2307" i="2"/>
  <c r="AT2309" i="2"/>
  <c r="Q2311" i="2"/>
  <c r="U2311" i="2"/>
  <c r="AR2311" i="2"/>
  <c r="AR2314" i="2"/>
  <c r="U2314" i="2"/>
  <c r="Q2314" i="2"/>
  <c r="AT2314" i="2"/>
  <c r="V2314" i="2"/>
  <c r="AU2317" i="2"/>
  <c r="T2317" i="2"/>
  <c r="AS2317" i="2"/>
  <c r="V2317" i="2"/>
  <c r="AR2317" i="2"/>
  <c r="AS2319" i="2"/>
  <c r="V2319" i="2"/>
  <c r="AU2319" i="2"/>
  <c r="T2319" i="2"/>
  <c r="AR2319" i="2"/>
  <c r="AU2333" i="2"/>
  <c r="T2333" i="2"/>
  <c r="AS2333" i="2"/>
  <c r="V2333" i="2"/>
  <c r="AR2333" i="2"/>
  <c r="AS2335" i="2"/>
  <c r="V2335" i="2"/>
  <c r="AT2335" i="2"/>
  <c r="U2335" i="2"/>
  <c r="U2341" i="2"/>
  <c r="AT2341" i="2"/>
  <c r="AS2345" i="2"/>
  <c r="V2345" i="2"/>
  <c r="AU2345" i="2"/>
  <c r="T2345" i="2"/>
  <c r="U2345" i="2"/>
  <c r="AT2345" i="2"/>
  <c r="Q2345" i="2"/>
  <c r="AU2347" i="2"/>
  <c r="T2347" i="2"/>
  <c r="AS2347" i="2"/>
  <c r="V2347" i="2"/>
  <c r="U2347" i="2"/>
  <c r="AT2347" i="2"/>
  <c r="Q2347" i="2"/>
  <c r="AS2361" i="2"/>
  <c r="V2361" i="2"/>
  <c r="AU2361" i="2"/>
  <c r="T2361" i="2"/>
  <c r="U2361" i="2"/>
  <c r="AT2361" i="2"/>
  <c r="Q2361" i="2"/>
  <c r="AT2363" i="2"/>
  <c r="AS2363" i="2"/>
  <c r="T2363" i="2"/>
  <c r="V2363" i="2"/>
  <c r="AR2363" i="2"/>
  <c r="U2363" i="2"/>
  <c r="Q2363" i="2"/>
  <c r="AI2377" i="2"/>
  <c r="AT2318" i="2"/>
  <c r="AT2322" i="2"/>
  <c r="AT2326" i="2"/>
  <c r="AT2330" i="2"/>
  <c r="AT2334" i="2"/>
  <c r="AT2342" i="2"/>
  <c r="AR2342" i="2"/>
  <c r="U2342" i="2"/>
  <c r="Q2342" i="2"/>
  <c r="T2342" i="2"/>
  <c r="AS2349" i="2"/>
  <c r="V2349" i="2"/>
  <c r="AU2349" i="2"/>
  <c r="T2349" i="2"/>
  <c r="AR2349" i="2"/>
  <c r="AU2351" i="2"/>
  <c r="T2351" i="2"/>
  <c r="AS2351" i="2"/>
  <c r="V2351" i="2"/>
  <c r="AR2351" i="2"/>
  <c r="AI2363" i="2"/>
  <c r="AT2312" i="2"/>
  <c r="AT2316" i="2"/>
  <c r="Q2318" i="2"/>
  <c r="U2318" i="2"/>
  <c r="AR2318" i="2"/>
  <c r="AT2320" i="2"/>
  <c r="Q2322" i="2"/>
  <c r="U2322" i="2"/>
  <c r="AR2322" i="2"/>
  <c r="AT2324" i="2"/>
  <c r="Q2326" i="2"/>
  <c r="U2326" i="2"/>
  <c r="AR2326" i="2"/>
  <c r="AT2328" i="2"/>
  <c r="Q2330" i="2"/>
  <c r="U2330" i="2"/>
  <c r="AR2330" i="2"/>
  <c r="AT2332" i="2"/>
  <c r="Q2334" i="2"/>
  <c r="U2334" i="2"/>
  <c r="AR2334" i="2"/>
  <c r="AR2338" i="2"/>
  <c r="U2338" i="2"/>
  <c r="Q2338" i="2"/>
  <c r="T2338" i="2"/>
  <c r="AS2338" i="2"/>
  <c r="AU2342" i="2"/>
  <c r="AU2343" i="2"/>
  <c r="T2343" i="2"/>
  <c r="AS2343" i="2"/>
  <c r="V2343" i="2"/>
  <c r="AR2343" i="2"/>
  <c r="AS2357" i="2"/>
  <c r="V2357" i="2"/>
  <c r="AU2357" i="2"/>
  <c r="T2357" i="2"/>
  <c r="AR2357" i="2"/>
  <c r="AU2359" i="2"/>
  <c r="T2359" i="2"/>
  <c r="AS2359" i="2"/>
  <c r="V2359" i="2"/>
  <c r="AR2359" i="2"/>
  <c r="AU2379" i="2"/>
  <c r="T2379" i="2"/>
  <c r="AR2379" i="2"/>
  <c r="AS2379" i="2"/>
  <c r="Q2379" i="2"/>
  <c r="V2379" i="2"/>
  <c r="AU2401" i="2"/>
  <c r="T2401" i="2"/>
  <c r="AS2401" i="2"/>
  <c r="V2401" i="2"/>
  <c r="AT2401" i="2"/>
  <c r="Q2401" i="2"/>
  <c r="U2401" i="2"/>
  <c r="AR2401" i="2"/>
  <c r="AT2336" i="2"/>
  <c r="AT2340" i="2"/>
  <c r="AT2344" i="2"/>
  <c r="Q2346" i="2"/>
  <c r="U2346" i="2"/>
  <c r="AR2346" i="2"/>
  <c r="AT2348" i="2"/>
  <c r="Q2350" i="2"/>
  <c r="U2350" i="2"/>
  <c r="AR2350" i="2"/>
  <c r="AT2352" i="2"/>
  <c r="Q2354" i="2"/>
  <c r="U2354" i="2"/>
  <c r="AR2354" i="2"/>
  <c r="AT2356" i="2"/>
  <c r="Q2358" i="2"/>
  <c r="U2358" i="2"/>
  <c r="AR2358" i="2"/>
  <c r="AT2360" i="2"/>
  <c r="Q2362" i="2"/>
  <c r="U2362" i="2"/>
  <c r="AR2362" i="2"/>
  <c r="AU2364" i="2"/>
  <c r="T2364" i="2"/>
  <c r="U2364" i="2"/>
  <c r="AT2364" i="2"/>
  <c r="AS2366" i="2"/>
  <c r="V2366" i="2"/>
  <c r="T2366" i="2"/>
  <c r="AR2366" i="2"/>
  <c r="AR2368" i="2"/>
  <c r="Q2370" i="2"/>
  <c r="AU2372" i="2"/>
  <c r="T2372" i="2"/>
  <c r="U2372" i="2"/>
  <c r="AT2372" i="2"/>
  <c r="AI2379" i="2"/>
  <c r="T2380" i="2"/>
  <c r="AS2383" i="2"/>
  <c r="V2383" i="2"/>
  <c r="AU2383" i="2"/>
  <c r="T2383" i="2"/>
  <c r="U2383" i="2"/>
  <c r="AU2385" i="2"/>
  <c r="T2385" i="2"/>
  <c r="AS2385" i="2"/>
  <c r="V2385" i="2"/>
  <c r="U2385" i="2"/>
  <c r="AI2411" i="2"/>
  <c r="AU2419" i="2"/>
  <c r="T2419" i="2"/>
  <c r="AR2419" i="2"/>
  <c r="U2419" i="2"/>
  <c r="Q2419" i="2"/>
  <c r="V2419" i="2"/>
  <c r="AT2419" i="2"/>
  <c r="AS2419" i="2"/>
  <c r="AT2346" i="2"/>
  <c r="AT2350" i="2"/>
  <c r="AT2354" i="2"/>
  <c r="AT2358" i="2"/>
  <c r="AT2362" i="2"/>
  <c r="AU2368" i="2"/>
  <c r="T2368" i="2"/>
  <c r="U2368" i="2"/>
  <c r="AT2368" i="2"/>
  <c r="AS2370" i="2"/>
  <c r="V2370" i="2"/>
  <c r="T2370" i="2"/>
  <c r="AR2370" i="2"/>
  <c r="AT2380" i="2"/>
  <c r="AR2380" i="2"/>
  <c r="U2380" i="2"/>
  <c r="Q2380" i="2"/>
  <c r="AS2380" i="2"/>
  <c r="V2380" i="2"/>
  <c r="AU2380" i="2"/>
  <c r="AS2387" i="2"/>
  <c r="V2387" i="2"/>
  <c r="AU2387" i="2"/>
  <c r="T2387" i="2"/>
  <c r="AT2387" i="2"/>
  <c r="Q2387" i="2"/>
  <c r="AU2389" i="2"/>
  <c r="T2389" i="2"/>
  <c r="AS2389" i="2"/>
  <c r="V2389" i="2"/>
  <c r="AT2389" i="2"/>
  <c r="Q2389" i="2"/>
  <c r="AS2399" i="2"/>
  <c r="V2399" i="2"/>
  <c r="AU2399" i="2"/>
  <c r="T2399" i="2"/>
  <c r="AT2399" i="2"/>
  <c r="Q2399" i="2"/>
  <c r="U2399" i="2"/>
  <c r="AR2399" i="2"/>
  <c r="AS2407" i="2"/>
  <c r="V2407" i="2"/>
  <c r="AT2407" i="2"/>
  <c r="T2407" i="2"/>
  <c r="AR2407" i="2"/>
  <c r="U2407" i="2"/>
  <c r="Q2407" i="2"/>
  <c r="AU2407" i="2"/>
  <c r="AR2376" i="2"/>
  <c r="U2376" i="2"/>
  <c r="Q2376" i="2"/>
  <c r="T2376" i="2"/>
  <c r="AS2376" i="2"/>
  <c r="AU2381" i="2"/>
  <c r="T2381" i="2"/>
  <c r="AS2381" i="2"/>
  <c r="V2381" i="2"/>
  <c r="AR2381" i="2"/>
  <c r="AI2394" i="2"/>
  <c r="AR2396" i="2"/>
  <c r="U2396" i="2"/>
  <c r="Q2396" i="2"/>
  <c r="AT2396" i="2"/>
  <c r="V2396" i="2"/>
  <c r="AI2403" i="2"/>
  <c r="AT2367" i="2"/>
  <c r="AT2371" i="2"/>
  <c r="AU2375" i="2"/>
  <c r="T2375" i="2"/>
  <c r="U2375" i="2"/>
  <c r="AT2375" i="2"/>
  <c r="AS2377" i="2"/>
  <c r="V2377" i="2"/>
  <c r="T2377" i="2"/>
  <c r="AR2377" i="2"/>
  <c r="AI2378" i="2"/>
  <c r="U2381" i="2"/>
  <c r="AS2391" i="2"/>
  <c r="V2391" i="2"/>
  <c r="AU2391" i="2"/>
  <c r="T2391" i="2"/>
  <c r="AR2391" i="2"/>
  <c r="AU2393" i="2"/>
  <c r="T2393" i="2"/>
  <c r="AS2393" i="2"/>
  <c r="V2393" i="2"/>
  <c r="AR2393" i="2"/>
  <c r="AU2396" i="2"/>
  <c r="AT2374" i="2"/>
  <c r="AT2378" i="2"/>
  <c r="AT2382" i="2"/>
  <c r="Q2384" i="2"/>
  <c r="U2384" i="2"/>
  <c r="AR2384" i="2"/>
  <c r="AT2386" i="2"/>
  <c r="Q2388" i="2"/>
  <c r="U2388" i="2"/>
  <c r="AR2388" i="2"/>
  <c r="AT2390" i="2"/>
  <c r="Q2392" i="2"/>
  <c r="U2392" i="2"/>
  <c r="AR2392" i="2"/>
  <c r="AT2394" i="2"/>
  <c r="AS2394" i="2"/>
  <c r="AR2395" i="2"/>
  <c r="Q2397" i="2"/>
  <c r="AU2409" i="2"/>
  <c r="T2409" i="2"/>
  <c r="V2409" i="2"/>
  <c r="Q2409" i="2"/>
  <c r="AS2409" i="2"/>
  <c r="AS2411" i="2"/>
  <c r="V2411" i="2"/>
  <c r="AU2411" i="2"/>
  <c r="T2411" i="2"/>
  <c r="AR2411" i="2"/>
  <c r="AT2384" i="2"/>
  <c r="AT2388" i="2"/>
  <c r="AT2392" i="2"/>
  <c r="AU2395" i="2"/>
  <c r="T2395" i="2"/>
  <c r="U2395" i="2"/>
  <c r="AT2395" i="2"/>
  <c r="AS2397" i="2"/>
  <c r="V2397" i="2"/>
  <c r="T2397" i="2"/>
  <c r="AR2397" i="2"/>
  <c r="AS2403" i="2"/>
  <c r="V2403" i="2"/>
  <c r="AU2403" i="2"/>
  <c r="T2403" i="2"/>
  <c r="AR2403" i="2"/>
  <c r="AU2405" i="2"/>
  <c r="T2405" i="2"/>
  <c r="AS2405" i="2"/>
  <c r="V2405" i="2"/>
  <c r="AR2405" i="2"/>
  <c r="AU2413" i="2"/>
  <c r="T2413" i="2"/>
  <c r="AS2413" i="2"/>
  <c r="V2413" i="2"/>
  <c r="U2413" i="2"/>
  <c r="AT2413" i="2"/>
  <c r="Q2413" i="2"/>
  <c r="AS2415" i="2"/>
  <c r="V2415" i="2"/>
  <c r="AU2415" i="2"/>
  <c r="T2415" i="2"/>
  <c r="U2415" i="2"/>
  <c r="AT2415" i="2"/>
  <c r="Q2415" i="2"/>
  <c r="AI2417" i="2"/>
  <c r="AI2418" i="2"/>
  <c r="AI2426" i="2"/>
  <c r="AT2398" i="2"/>
  <c r="Q2400" i="2"/>
  <c r="U2400" i="2"/>
  <c r="AR2400" i="2"/>
  <c r="AT2402" i="2"/>
  <c r="Q2404" i="2"/>
  <c r="U2404" i="2"/>
  <c r="AR2404" i="2"/>
  <c r="AT2406" i="2"/>
  <c r="AU2417" i="2"/>
  <c r="T2417" i="2"/>
  <c r="AS2417" i="2"/>
  <c r="V2417" i="2"/>
  <c r="AR2417" i="2"/>
  <c r="AU2423" i="2"/>
  <c r="T2423" i="2"/>
  <c r="AR2423" i="2"/>
  <c r="U2423" i="2"/>
  <c r="Q2423" i="2"/>
  <c r="V2423" i="2"/>
  <c r="AT2423" i="2"/>
  <c r="AT2400" i="2"/>
  <c r="AT2404" i="2"/>
  <c r="AR2410" i="2"/>
  <c r="U2410" i="2"/>
  <c r="Q2410" i="2"/>
  <c r="T2410" i="2"/>
  <c r="AS2410" i="2"/>
  <c r="AS2423" i="2"/>
  <c r="AT2414" i="2"/>
  <c r="AT2418" i="2"/>
  <c r="AU2418" i="2"/>
  <c r="AR2420" i="2"/>
  <c r="U2420" i="2"/>
  <c r="Q2420" i="2"/>
  <c r="AS2420" i="2"/>
  <c r="V2420" i="2"/>
  <c r="AR2424" i="2"/>
  <c r="U2424" i="2"/>
  <c r="Q2424" i="2"/>
  <c r="AS2424" i="2"/>
  <c r="V2424" i="2"/>
  <c r="AT2408" i="2"/>
  <c r="AT2412" i="2"/>
  <c r="Q2414" i="2"/>
  <c r="U2414" i="2"/>
  <c r="AR2414" i="2"/>
  <c r="AT2416" i="2"/>
  <c r="Q2418" i="2"/>
  <c r="U2418" i="2"/>
  <c r="AR2418" i="2"/>
  <c r="AT2420" i="2"/>
  <c r="AT2424" i="2"/>
  <c r="AT2421" i="2"/>
  <c r="T2422" i="2"/>
  <c r="AU2422" i="2"/>
  <c r="AT2425" i="2"/>
  <c r="T2426" i="2"/>
  <c r="AU2426" i="2"/>
  <c r="V2421" i="2"/>
  <c r="AS2421" i="2"/>
  <c r="AT2422" i="2"/>
  <c r="V2425" i="2"/>
  <c r="AS2425" i="2"/>
  <c r="AT2426" i="2"/>
  <c r="T57" i="2"/>
  <c r="Q15" i="2"/>
  <c r="T98" i="2"/>
  <c r="T50" i="2"/>
  <c r="T94" i="2"/>
  <c r="Q122" i="2"/>
  <c r="Q22" i="2"/>
  <c r="Q124" i="2"/>
  <c r="Q131" i="2"/>
  <c r="T43" i="2"/>
  <c r="U43" i="2"/>
  <c r="T21" i="2"/>
  <c r="U21" i="2"/>
  <c r="T123" i="2"/>
  <c r="U123" i="2"/>
  <c r="V91" i="2"/>
  <c r="Q129" i="2"/>
  <c r="U163" i="2"/>
  <c r="V15" i="2"/>
  <c r="T48" i="2"/>
  <c r="U48" i="2"/>
  <c r="Q123" i="2"/>
  <c r="U122" i="2"/>
  <c r="V94" i="2"/>
  <c r="T19" i="2"/>
  <c r="T41" i="2"/>
  <c r="U41" i="2"/>
  <c r="T71" i="2"/>
  <c r="T95" i="2"/>
  <c r="U95" i="2"/>
  <c r="T73" i="2"/>
  <c r="U73" i="2"/>
  <c r="V71" i="2"/>
  <c r="U203" i="2"/>
  <c r="T91" i="2"/>
  <c r="U91" i="2"/>
  <c r="Q16" i="2"/>
  <c r="Q39" i="2"/>
  <c r="T203" i="2"/>
  <c r="T18" i="2"/>
  <c r="U18" i="2"/>
  <c r="Q95" i="2"/>
  <c r="T15" i="2"/>
  <c r="U15" i="2"/>
  <c r="Q73" i="2"/>
  <c r="T39" i="2"/>
  <c r="U39" i="2"/>
  <c r="Q48" i="2"/>
  <c r="T125" i="2"/>
  <c r="U9" i="2"/>
  <c r="T31" i="2"/>
  <c r="T26" i="2"/>
  <c r="Q42" i="2"/>
  <c r="T42" i="2"/>
  <c r="V6" i="2"/>
  <c r="T6" i="2"/>
  <c r="U6" i="2"/>
  <c r="Q6" i="2"/>
  <c r="Q75" i="2"/>
  <c r="V75" i="2"/>
  <c r="T75" i="2"/>
  <c r="U75" i="2"/>
  <c r="Q93" i="2"/>
  <c r="V93" i="2"/>
  <c r="T93" i="2"/>
  <c r="U93" i="2"/>
  <c r="Q85" i="2"/>
  <c r="U42" i="2"/>
  <c r="Q32" i="2"/>
  <c r="T99" i="2"/>
  <c r="T23" i="2"/>
  <c r="U23" i="2"/>
  <c r="Q20" i="2"/>
  <c r="U17" i="2"/>
  <c r="Q108" i="2"/>
  <c r="T108" i="2"/>
  <c r="U108" i="2"/>
  <c r="V108" i="2"/>
  <c r="V57" i="2"/>
  <c r="Q57" i="2"/>
  <c r="U57" i="2"/>
  <c r="T56" i="2"/>
  <c r="U56" i="2"/>
  <c r="V56" i="2"/>
  <c r="Q56" i="2"/>
  <c r="Q43" i="2"/>
  <c r="V43" i="2"/>
  <c r="Q21" i="2"/>
  <c r="U97" i="2"/>
  <c r="Q19" i="2"/>
  <c r="U19" i="2"/>
  <c r="T2" i="2"/>
  <c r="Q41" i="2"/>
  <c r="Q18" i="2"/>
  <c r="T16" i="2"/>
  <c r="T5" i="2"/>
  <c r="U5" i="2"/>
  <c r="Q5" i="2"/>
  <c r="T106" i="2"/>
  <c r="U106" i="2"/>
  <c r="Q106" i="2"/>
  <c r="T105" i="2"/>
  <c r="U105" i="2"/>
  <c r="Q105" i="2"/>
  <c r="T161" i="2"/>
  <c r="U161" i="2"/>
  <c r="Q161" i="2"/>
  <c r="V161" i="2"/>
  <c r="T40" i="2"/>
  <c r="U40" i="2"/>
  <c r="Q40" i="2"/>
  <c r="V40" i="2"/>
  <c r="Q107" i="2"/>
  <c r="Q72" i="2"/>
  <c r="V49" i="2"/>
  <c r="Q49" i="2"/>
  <c r="T107" i="2"/>
  <c r="U107" i="2"/>
  <c r="T76" i="2"/>
  <c r="U76" i="2"/>
  <c r="Q76" i="2"/>
  <c r="T72" i="2"/>
  <c r="U72" i="2"/>
  <c r="T49" i="2"/>
  <c r="U49" i="2"/>
  <c r="V90" i="2"/>
  <c r="Q90" i="2"/>
  <c r="T90" i="2"/>
  <c r="U90" i="2"/>
  <c r="Q50" i="2"/>
  <c r="U50" i="2"/>
  <c r="Q94" i="2"/>
  <c r="U94" i="2"/>
  <c r="Q71" i="2"/>
  <c r="U71" i="2"/>
  <c r="T124" i="2"/>
  <c r="V124" i="2"/>
  <c r="U124" i="2"/>
  <c r="V73" i="2"/>
  <c r="Q132" i="2"/>
  <c r="T132" i="2"/>
  <c r="U132" i="2"/>
  <c r="Q70" i="2"/>
  <c r="Q162" i="2"/>
  <c r="T162" i="2"/>
  <c r="U162" i="2"/>
  <c r="T129" i="2"/>
  <c r="U129" i="2"/>
  <c r="V129" i="2"/>
  <c r="V39" i="2"/>
  <c r="T70" i="2"/>
  <c r="U70" i="2"/>
  <c r="Q203" i="2"/>
  <c r="Q125" i="2"/>
  <c r="U125" i="2"/>
  <c r="Q91" i="2"/>
  <c r="T122" i="2"/>
  <c r="T131" i="2"/>
  <c r="U131" i="2"/>
  <c r="V131" i="2"/>
  <c r="V48" i="2"/>
  <c r="V123" i="2"/>
  <c r="A126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I2179" i="2" l="1"/>
  <c r="AI1963" i="2"/>
  <c r="AY574" i="2"/>
  <c r="AW574" i="2"/>
  <c r="AY670" i="2"/>
  <c r="AW670" i="2"/>
  <c r="AW726" i="2"/>
  <c r="Y726" i="2" a="1"/>
  <c r="Y726" i="2" s="1"/>
  <c r="AW822" i="2"/>
  <c r="AY822" i="2"/>
  <c r="AY918" i="2"/>
  <c r="AW918" i="2"/>
  <c r="AY1046" i="2"/>
  <c r="AW1046" i="2"/>
  <c r="X1174" i="2"/>
  <c r="AW1174" i="2"/>
  <c r="AY1206" i="2"/>
  <c r="AW1206" i="2"/>
  <c r="AW1446" i="2"/>
  <c r="AY1446" i="2"/>
  <c r="AY1494" i="2"/>
  <c r="AW1494" i="2"/>
  <c r="AY1766" i="2"/>
  <c r="AW1766" i="2"/>
  <c r="AY1790" i="2"/>
  <c r="AW1790" i="2"/>
  <c r="X1846" i="2"/>
  <c r="AY1846" i="2"/>
  <c r="X1854" i="2"/>
  <c r="Y1854" i="2" a="1"/>
  <c r="Y1854" i="2" s="1"/>
  <c r="AY1854" i="2"/>
  <c r="X1870" i="2"/>
  <c r="Y1870" i="2" a="1"/>
  <c r="Y1870" i="2" s="1"/>
  <c r="AY1870" i="2"/>
  <c r="X1878" i="2"/>
  <c r="AW1878" i="2"/>
  <c r="Y1878" i="2" a="1"/>
  <c r="Y1878" i="2" s="1"/>
  <c r="X1886" i="2"/>
  <c r="AY1886" i="2"/>
  <c r="X1894" i="2"/>
  <c r="Y1894" i="2" a="1"/>
  <c r="Y1894" i="2" s="1"/>
  <c r="AY1894" i="2"/>
  <c r="X1910" i="2"/>
  <c r="AY1910" i="2"/>
  <c r="Y1910" i="2" a="1"/>
  <c r="Y1910" i="2" s="1"/>
  <c r="X2110" i="2"/>
  <c r="AY2110" i="2"/>
  <c r="X2118" i="2"/>
  <c r="AY2118" i="2"/>
  <c r="Y2118" i="2" a="1"/>
  <c r="Y2118" i="2" s="1"/>
  <c r="X2126" i="2"/>
  <c r="AY2126" i="2"/>
  <c r="X2134" i="2"/>
  <c r="Y2134" i="2" a="1"/>
  <c r="Y2134" i="2" s="1"/>
  <c r="X2142" i="2"/>
  <c r="AY2142" i="2"/>
  <c r="Y2142" i="2" a="1"/>
  <c r="Y2142" i="2" s="1"/>
  <c r="X2150" i="2"/>
  <c r="Y2150" i="2" a="1"/>
  <c r="Y2150" i="2" s="1"/>
  <c r="AY2150" i="2"/>
  <c r="X2158" i="2"/>
  <c r="Y2158" i="2" a="1"/>
  <c r="Y2158" i="2" s="1"/>
  <c r="X2166" i="2"/>
  <c r="AY2166" i="2"/>
  <c r="X2174" i="2"/>
  <c r="Y2174" i="2" a="1"/>
  <c r="Y2174" i="2" s="1"/>
  <c r="AY2174" i="2"/>
  <c r="X2182" i="2"/>
  <c r="Y2182" i="2" a="1"/>
  <c r="Y2182" i="2" s="1"/>
  <c r="X2190" i="2"/>
  <c r="AY2190" i="2"/>
  <c r="Y2190" i="2" a="1"/>
  <c r="Y2190" i="2" s="1"/>
  <c r="X2206" i="2"/>
  <c r="Y2206" i="2" a="1"/>
  <c r="Y2206" i="2" s="1"/>
  <c r="X2214" i="2"/>
  <c r="AY2214" i="2"/>
  <c r="Y2214" i="2" a="1"/>
  <c r="Y2214" i="2" s="1"/>
  <c r="X2222" i="2"/>
  <c r="Y2222" i="2" a="1"/>
  <c r="Y2222" i="2" s="1"/>
  <c r="X2230" i="2"/>
  <c r="AY2230" i="2"/>
  <c r="X2238" i="2"/>
  <c r="AY2238" i="2"/>
  <c r="Y2238" i="2" a="1"/>
  <c r="Y2238" i="2" s="1"/>
  <c r="X2254" i="2"/>
  <c r="AY2254" i="2"/>
  <c r="Y2254" i="2" a="1"/>
  <c r="Y2254" i="2" s="1"/>
  <c r="X2270" i="2"/>
  <c r="Y2270" i="2" a="1"/>
  <c r="Y2270" i="2" s="1"/>
  <c r="X2302" i="2"/>
  <c r="AY2302" i="2"/>
  <c r="Y2302" i="2" a="1"/>
  <c r="Y2302" i="2" s="1"/>
  <c r="X2310" i="2"/>
  <c r="Y2310" i="2" a="1"/>
  <c r="Y2310" i="2" s="1"/>
  <c r="X2318" i="2"/>
  <c r="Y2318" i="2" a="1"/>
  <c r="Y2318" i="2" s="1"/>
  <c r="AY2318" i="2"/>
  <c r="X2326" i="2"/>
  <c r="Y2326" i="2" a="1"/>
  <c r="Y2326" i="2" s="1"/>
  <c r="AY2326" i="2"/>
  <c r="X2334" i="2"/>
  <c r="Y2334" i="2" a="1"/>
  <c r="Y2334" i="2" s="1"/>
  <c r="X2342" i="2"/>
  <c r="AY2342" i="2"/>
  <c r="Y2342" i="2" a="1"/>
  <c r="Y2342" i="2" s="1"/>
  <c r="X2350" i="2"/>
  <c r="AY2350" i="2"/>
  <c r="Y2350" i="2" a="1"/>
  <c r="Y2350" i="2" s="1"/>
  <c r="AI2427" i="2"/>
  <c r="AI2139" i="2"/>
  <c r="AI1923" i="2"/>
  <c r="AI1587" i="2"/>
  <c r="AI1347" i="2"/>
  <c r="AI875" i="2"/>
  <c r="AY910" i="2"/>
  <c r="AY248" i="2"/>
  <c r="AW248" i="2"/>
  <c r="AY376" i="2"/>
  <c r="AW376" i="2"/>
  <c r="AY408" i="2"/>
  <c r="AW408" i="2"/>
  <c r="AY416" i="2"/>
  <c r="AW416" i="2"/>
  <c r="AY432" i="2"/>
  <c r="AW432" i="2"/>
  <c r="AW480" i="2"/>
  <c r="AY480" i="2"/>
  <c r="AY488" i="2"/>
  <c r="AW488" i="2"/>
  <c r="X544" i="2"/>
  <c r="AW544" i="2"/>
  <c r="X552" i="2"/>
  <c r="Y552" i="2" a="1"/>
  <c r="Y552" i="2" s="1"/>
  <c r="X560" i="2"/>
  <c r="AW560" i="2"/>
  <c r="X576" i="2"/>
  <c r="Y576" i="2" a="1"/>
  <c r="Y576" i="2" s="1"/>
  <c r="X584" i="2"/>
  <c r="Y584" i="2" a="1"/>
  <c r="Y584" i="2" s="1"/>
  <c r="AY584" i="2"/>
  <c r="X592" i="2"/>
  <c r="Y592" i="2" a="1"/>
  <c r="Y592" i="2" s="1"/>
  <c r="X600" i="2"/>
  <c r="AY600" i="2"/>
  <c r="Y600" i="2" a="1"/>
  <c r="Y600" i="2" s="1"/>
  <c r="X608" i="2"/>
  <c r="Y608" i="2" a="1"/>
  <c r="Y608" i="2" s="1"/>
  <c r="AY608" i="2"/>
  <c r="X656" i="2"/>
  <c r="Y656" i="2" a="1"/>
  <c r="Y656" i="2" s="1"/>
  <c r="AY656" i="2"/>
  <c r="X680" i="2"/>
  <c r="AY680" i="2"/>
  <c r="Y680" i="2" a="1"/>
  <c r="Y680" i="2" s="1"/>
  <c r="AW680" i="2"/>
  <c r="AY688" i="2"/>
  <c r="AW688" i="2"/>
  <c r="AW720" i="2"/>
  <c r="Y720" i="2" a="1"/>
  <c r="Y720" i="2" s="1"/>
  <c r="AW736" i="2"/>
  <c r="Y736" i="2" a="1"/>
  <c r="Y736" i="2" s="1"/>
  <c r="AY776" i="2"/>
  <c r="AW776" i="2"/>
  <c r="AY824" i="2"/>
  <c r="AW824" i="2"/>
  <c r="AW840" i="2"/>
  <c r="AY840" i="2"/>
  <c r="X856" i="2"/>
  <c r="AW856" i="2"/>
  <c r="X864" i="2"/>
  <c r="AY864" i="2"/>
  <c r="Y864" i="2" a="1"/>
  <c r="Y864" i="2" s="1"/>
  <c r="X872" i="2"/>
  <c r="Y872" i="2" a="1"/>
  <c r="Y872" i="2" s="1"/>
  <c r="AW872" i="2"/>
  <c r="AY872" i="2"/>
  <c r="X880" i="2"/>
  <c r="AW880" i="2"/>
  <c r="X888" i="2"/>
  <c r="AW888" i="2"/>
  <c r="X896" i="2"/>
  <c r="AY896" i="2"/>
  <c r="AW896" i="2"/>
  <c r="X904" i="2"/>
  <c r="AW904" i="2"/>
  <c r="AY904" i="2"/>
  <c r="X912" i="2"/>
  <c r="AY912" i="2"/>
  <c r="AW912" i="2"/>
  <c r="X920" i="2"/>
  <c r="AY920" i="2"/>
  <c r="X928" i="2"/>
  <c r="AW928" i="2"/>
  <c r="AY928" i="2"/>
  <c r="X936" i="2"/>
  <c r="AY936" i="2"/>
  <c r="X944" i="2"/>
  <c r="AW944" i="2"/>
  <c r="X952" i="2"/>
  <c r="AY952" i="2"/>
  <c r="AW952" i="2"/>
  <c r="X960" i="2"/>
  <c r="AW960" i="2"/>
  <c r="AY960" i="2"/>
  <c r="X968" i="2"/>
  <c r="AY968" i="2"/>
  <c r="AW968" i="2"/>
  <c r="X976" i="2"/>
  <c r="AY976" i="2"/>
  <c r="X984" i="2"/>
  <c r="AW984" i="2"/>
  <c r="X992" i="2"/>
  <c r="AY992" i="2"/>
  <c r="X1000" i="2"/>
  <c r="AW1000" i="2"/>
  <c r="AY1000" i="2"/>
  <c r="X1008" i="2"/>
  <c r="AY1008" i="2"/>
  <c r="X1016" i="2"/>
  <c r="AY1016" i="2"/>
  <c r="X1032" i="2"/>
  <c r="AY1032" i="2"/>
  <c r="X1040" i="2"/>
  <c r="AY1040" i="2"/>
  <c r="X1048" i="2"/>
  <c r="AW1048" i="2"/>
  <c r="AW1056" i="2"/>
  <c r="AY1056" i="2"/>
  <c r="X1072" i="2"/>
  <c r="AW1072" i="2"/>
  <c r="AY1072" i="2"/>
  <c r="AY1088" i="2"/>
  <c r="AW1088" i="2"/>
  <c r="AW1104" i="2"/>
  <c r="AY1104" i="2"/>
  <c r="X1128" i="2"/>
  <c r="AY1128" i="2"/>
  <c r="AW1128" i="2"/>
  <c r="Y1128" i="2" a="1"/>
  <c r="Y1128" i="2" s="1"/>
  <c r="X1136" i="2"/>
  <c r="AW1136" i="2"/>
  <c r="X1144" i="2"/>
  <c r="AY1144" i="2"/>
  <c r="Y1144" i="2" a="1"/>
  <c r="Y1144" i="2" s="1"/>
  <c r="X1152" i="2"/>
  <c r="Y1152" i="2" a="1"/>
  <c r="Y1152" i="2" s="1"/>
  <c r="AY1152" i="2"/>
  <c r="X1160" i="2"/>
  <c r="AY1160" i="2"/>
  <c r="X1168" i="2"/>
  <c r="AY1168" i="2"/>
  <c r="Y1168" i="2" a="1"/>
  <c r="Y1168" i="2" s="1"/>
  <c r="X1176" i="2"/>
  <c r="Y1176" i="2" a="1"/>
  <c r="Y1176" i="2" s="1"/>
  <c r="AY1176" i="2"/>
  <c r="AW1176" i="2"/>
  <c r="X1184" i="2"/>
  <c r="Y1184" i="2" a="1"/>
  <c r="Y1184" i="2" s="1"/>
  <c r="AW1184" i="2"/>
  <c r="X1192" i="2"/>
  <c r="AY1192" i="2"/>
  <c r="Y1192" i="2" a="1"/>
  <c r="Y1192" i="2" s="1"/>
  <c r="X1200" i="2"/>
  <c r="AW1200" i="2"/>
  <c r="Y1200" i="2" a="1"/>
  <c r="Y1200" i="2" s="1"/>
  <c r="X1208" i="2"/>
  <c r="AY1208" i="2"/>
  <c r="AW1208" i="2"/>
  <c r="X1216" i="2"/>
  <c r="Y1216" i="2" a="1"/>
  <c r="Y1216" i="2" s="1"/>
  <c r="AY1216" i="2"/>
  <c r="X1224" i="2"/>
  <c r="Y1224" i="2" a="1"/>
  <c r="Y1224" i="2" s="1"/>
  <c r="AW1224" i="2"/>
  <c r="X1232" i="2"/>
  <c r="AY1232" i="2"/>
  <c r="AW1232" i="2"/>
  <c r="Y1232" i="2" a="1"/>
  <c r="Y1232" i="2" s="1"/>
  <c r="X1240" i="2"/>
  <c r="AW1240" i="2"/>
  <c r="Y1240" i="2" a="1"/>
  <c r="Y1240" i="2" s="1"/>
  <c r="X1248" i="2"/>
  <c r="AY1248" i="2"/>
  <c r="Y1248" i="2" a="1"/>
  <c r="Y1248" i="2" s="1"/>
  <c r="X1256" i="2"/>
  <c r="AY1256" i="2"/>
  <c r="Y1256" i="2" a="1"/>
  <c r="Y1256" i="2" s="1"/>
  <c r="X1264" i="2"/>
  <c r="Y1264" i="2" a="1"/>
  <c r="Y1264" i="2" s="1"/>
  <c r="X1272" i="2"/>
  <c r="Y1272" i="2" a="1"/>
  <c r="Y1272" i="2" s="1"/>
  <c r="AY1272" i="2"/>
  <c r="X1280" i="2"/>
  <c r="AW1280" i="2"/>
  <c r="AY1280" i="2"/>
  <c r="X1288" i="2"/>
  <c r="AY1288" i="2"/>
  <c r="Y1288" i="2" a="1"/>
  <c r="Y1288" i="2" s="1"/>
  <c r="AW1296" i="2"/>
  <c r="AY1296" i="2"/>
  <c r="X1312" i="2"/>
  <c r="Y1312" i="2" a="1"/>
  <c r="Y1312" i="2" s="1"/>
  <c r="AY1312" i="2"/>
  <c r="X1320" i="2"/>
  <c r="Y1320" i="2" a="1"/>
  <c r="Y1320" i="2" s="1"/>
  <c r="AW1320" i="2"/>
  <c r="AY1320" i="2"/>
  <c r="X1328" i="2"/>
  <c r="AY1328" i="2"/>
  <c r="AW1328" i="2"/>
  <c r="X1336" i="2"/>
  <c r="Y1336" i="2" a="1"/>
  <c r="Y1336" i="2" s="1"/>
  <c r="AW1336" i="2"/>
  <c r="AY1336" i="2"/>
  <c r="X1344" i="2"/>
  <c r="AW1344" i="2"/>
  <c r="Y1344" i="2" a="1"/>
  <c r="Y1344" i="2" s="1"/>
  <c r="AY1344" i="2"/>
  <c r="X1352" i="2"/>
  <c r="AY1352" i="2"/>
  <c r="AW1352" i="2"/>
  <c r="X1360" i="2"/>
  <c r="AW1360" i="2"/>
  <c r="X1368" i="2"/>
  <c r="AY1368" i="2"/>
  <c r="Y1368" i="2" a="1"/>
  <c r="Y1368" i="2" s="1"/>
  <c r="X1376" i="2"/>
  <c r="Y1376" i="2" a="1"/>
  <c r="Y1376" i="2" s="1"/>
  <c r="AW1376" i="2"/>
  <c r="AY1376" i="2"/>
  <c r="X1384" i="2"/>
  <c r="AW1384" i="2"/>
  <c r="AY1384" i="2"/>
  <c r="Y1384" i="2" a="1"/>
  <c r="Y1384" i="2" s="1"/>
  <c r="X1392" i="2"/>
  <c r="Y1392" i="2" a="1"/>
  <c r="Y1392" i="2" s="1"/>
  <c r="AW1392" i="2"/>
  <c r="X1400" i="2"/>
  <c r="AY1400" i="2"/>
  <c r="Y1400" i="2" a="1"/>
  <c r="Y1400" i="2" s="1"/>
  <c r="AW1400" i="2"/>
  <c r="X1408" i="2"/>
  <c r="Y1408" i="2" a="1"/>
  <c r="Y1408" i="2" s="1"/>
  <c r="AY1408" i="2"/>
  <c r="AW1408" i="2"/>
  <c r="X1416" i="2"/>
  <c r="AW1416" i="2"/>
  <c r="Y1416" i="2" a="1"/>
  <c r="Y1416" i="2" s="1"/>
  <c r="AY1416" i="2"/>
  <c r="X1424" i="2"/>
  <c r="AY1424" i="2"/>
  <c r="Y1424" i="2" a="1"/>
  <c r="Y1424" i="2" s="1"/>
  <c r="X1432" i="2"/>
  <c r="Y1432" i="2" a="1"/>
  <c r="Y1432" i="2" s="1"/>
  <c r="X1440" i="2"/>
  <c r="AY1440" i="2"/>
  <c r="Y1440" i="2" a="1"/>
  <c r="Y1440" i="2" s="1"/>
  <c r="AW1464" i="2"/>
  <c r="AY1464" i="2"/>
  <c r="X1480" i="2"/>
  <c r="AW1480" i="2"/>
  <c r="Y1480" i="2" a="1"/>
  <c r="Y1480" i="2" s="1"/>
  <c r="AY1480" i="2"/>
  <c r="AW1504" i="2"/>
  <c r="AY1504" i="2"/>
  <c r="Y704" i="2" a="1"/>
  <c r="Y704" i="2" s="1"/>
  <c r="AI2283" i="2"/>
  <c r="AI2051" i="2"/>
  <c r="AW1182" i="2"/>
  <c r="AW1118" i="2"/>
  <c r="AW662" i="2"/>
  <c r="AI2251" i="2"/>
  <c r="AW990" i="2"/>
  <c r="AW734" i="2"/>
  <c r="AY576" i="2"/>
  <c r="Y848" i="2" a="1"/>
  <c r="Y848" i="2" s="1"/>
  <c r="Y1886" i="2" a="1"/>
  <c r="Y1886" i="2" s="1"/>
  <c r="AW1584" i="2"/>
  <c r="AW1568" i="2"/>
  <c r="AW1528" i="2"/>
  <c r="AY2112" i="2"/>
  <c r="AY1856" i="2"/>
  <c r="AY1720" i="2"/>
  <c r="AY1616" i="2"/>
  <c r="AY1600" i="2"/>
  <c r="AY1544" i="2"/>
  <c r="Y850" i="2" a="1"/>
  <c r="Y850" i="2" s="1"/>
  <c r="Y1536" i="2" a="1"/>
  <c r="Y1536" i="2" s="1"/>
  <c r="Y1616" i="2" a="1"/>
  <c r="Y1616" i="2" s="1"/>
  <c r="Y1728" i="2" a="1"/>
  <c r="Y1728" i="2" s="1"/>
  <c r="Y2096" i="2" a="1"/>
  <c r="Y2096" i="2" s="1"/>
  <c r="Y2264" i="2" a="1"/>
  <c r="Y2264" i="2" s="1"/>
  <c r="Y2296" i="2" a="1"/>
  <c r="Y2296" i="2" s="1"/>
  <c r="Y2360" i="2" a="1"/>
  <c r="Y2360" i="2" s="1"/>
  <c r="Y2384" i="2" a="1"/>
  <c r="Y2384" i="2" s="1"/>
  <c r="AY1736" i="2"/>
  <c r="AY1632" i="2"/>
  <c r="Y1520" i="2" a="1"/>
  <c r="Y1520" i="2" s="1"/>
  <c r="Y1640" i="2" a="1"/>
  <c r="Y1640" i="2" s="1"/>
  <c r="Y1736" i="2" a="1"/>
  <c r="Y1736" i="2" s="1"/>
  <c r="Y1824" i="2" a="1"/>
  <c r="Y1824" i="2" s="1"/>
  <c r="Y1888" i="2" a="1"/>
  <c r="Y1888" i="2" s="1"/>
  <c r="Y2144" i="2" a="1"/>
  <c r="Y2144" i="2" s="1"/>
  <c r="Y2184" i="2" a="1"/>
  <c r="Y2184" i="2" s="1"/>
  <c r="AY1520" i="2"/>
  <c r="Y1544" i="2" a="1"/>
  <c r="Y1544" i="2" s="1"/>
  <c r="Y1624" i="2" a="1"/>
  <c r="Y1624" i="2" s="1"/>
  <c r="Y1784" i="2" a="1"/>
  <c r="Y1784" i="2" s="1"/>
  <c r="AY1648" i="2"/>
  <c r="AY1592" i="2"/>
  <c r="AY1552" i="2"/>
  <c r="AY1536" i="2"/>
  <c r="Y1568" i="2" a="1"/>
  <c r="Y1568" i="2" s="1"/>
  <c r="Y1592" i="2" a="1"/>
  <c r="Y1592" i="2" s="1"/>
  <c r="Y1744" i="2" a="1"/>
  <c r="Y1744" i="2" s="1"/>
  <c r="Y1808" i="2" a="1"/>
  <c r="Y1808" i="2" s="1"/>
  <c r="Y1832" i="2" a="1"/>
  <c r="Y1832" i="2" s="1"/>
  <c r="Y2088" i="2" a="1"/>
  <c r="Y2088" i="2" s="1"/>
  <c r="Y2104" i="2" a="1"/>
  <c r="Y2104" i="2" s="1"/>
  <c r="Y2160" i="2" a="1"/>
  <c r="Y2160" i="2" s="1"/>
  <c r="AW1520" i="2"/>
  <c r="AY1808" i="2"/>
  <c r="AY1792" i="2"/>
  <c r="AY1728" i="2"/>
  <c r="AY1624" i="2"/>
  <c r="AY1608" i="2"/>
  <c r="AY1568" i="2"/>
  <c r="Y1528" i="2" a="1"/>
  <c r="Y1528" i="2" s="1"/>
  <c r="Y1608" i="2" a="1"/>
  <c r="Y1608" i="2" s="1"/>
  <c r="Y1648" i="2" a="1"/>
  <c r="Y1648" i="2" s="1"/>
  <c r="Y1856" i="2" a="1"/>
  <c r="Y1856" i="2" s="1"/>
  <c r="Y1920" i="2" a="1"/>
  <c r="Y1920" i="2" s="1"/>
  <c r="Y2120" i="2" a="1"/>
  <c r="Y2120" i="2" s="1"/>
  <c r="Y2136" i="2" a="1"/>
  <c r="Y2136" i="2" s="1"/>
  <c r="Y2176" i="2" a="1"/>
  <c r="Y2176" i="2" s="1"/>
  <c r="Y2224" i="2" a="1"/>
  <c r="Y2224" i="2" s="1"/>
  <c r="Y2240" i="2" a="1"/>
  <c r="Y2240" i="2" s="1"/>
  <c r="Y2272" i="2" a="1"/>
  <c r="Y2272" i="2" s="1"/>
  <c r="Y2352" i="2" a="1"/>
  <c r="Y2352" i="2" s="1"/>
  <c r="Y2400" i="2" a="1"/>
  <c r="Y2400" i="2" s="1"/>
  <c r="AW1600" i="2"/>
  <c r="AW1560" i="2"/>
  <c r="Y1512" i="2" a="1"/>
  <c r="Y1512" i="2" s="1"/>
  <c r="Y1552" i="2" a="1"/>
  <c r="Y1552" i="2" s="1"/>
  <c r="Y1632" i="2" a="1"/>
  <c r="Y1632" i="2" s="1"/>
  <c r="Y1712" i="2" a="1"/>
  <c r="Y1712" i="2" s="1"/>
  <c r="Y1792" i="2" a="1"/>
  <c r="Y1792" i="2" s="1"/>
  <c r="Y1840" i="2" a="1"/>
  <c r="Y1840" i="2" s="1"/>
  <c r="Y2376" i="2" a="1"/>
  <c r="Y2376" i="2" s="1"/>
  <c r="Q62" i="2"/>
  <c r="T62" i="2"/>
  <c r="AI1805" i="2"/>
  <c r="AI2157" i="2"/>
  <c r="AI2197" i="2"/>
  <c r="AI2053" i="2"/>
  <c r="AI1037" i="2"/>
  <c r="AI293" i="2"/>
  <c r="AI2037" i="2"/>
  <c r="AI2173" i="2"/>
  <c r="AI2093" i="2"/>
  <c r="AI2029" i="2"/>
  <c r="AI1517" i="2"/>
  <c r="AI1341" i="2"/>
  <c r="AI1125" i="2"/>
  <c r="AI1029" i="2"/>
  <c r="AI845" i="2"/>
  <c r="AI325" i="2"/>
  <c r="AI1829" i="2"/>
  <c r="AI493" i="2"/>
  <c r="AI2237" i="2"/>
  <c r="AI2085" i="2"/>
  <c r="AI2021" i="2"/>
  <c r="AI1453" i="2"/>
  <c r="AI2405" i="2"/>
  <c r="AI2381" i="2"/>
  <c r="AI1285" i="2"/>
  <c r="AI277" i="2"/>
  <c r="AI1637" i="2"/>
  <c r="AI1573" i="2"/>
  <c r="AI1173" i="2"/>
  <c r="AI1053" i="2"/>
  <c r="AI2213" i="2"/>
  <c r="AI2205" i="2"/>
  <c r="AI1525" i="2"/>
  <c r="AI2301" i="2"/>
  <c r="AI2077" i="2"/>
  <c r="AI1949" i="2"/>
  <c r="AI1677" i="2"/>
  <c r="AI1445" i="2"/>
  <c r="AI1869" i="2"/>
  <c r="AI2253" i="2"/>
  <c r="AI1077" i="2"/>
  <c r="AI725" i="2"/>
  <c r="AI501" i="2"/>
  <c r="AI1085" i="2"/>
  <c r="AI1821" i="2"/>
  <c r="AI1773" i="2"/>
  <c r="AI1493" i="2"/>
  <c r="AI2325" i="2"/>
  <c r="AI2149" i="2"/>
  <c r="AI1837" i="2"/>
  <c r="AI1277" i="2"/>
  <c r="AI1133" i="2"/>
  <c r="AI1109" i="2"/>
  <c r="AI2117" i="2"/>
  <c r="AI1941" i="2"/>
  <c r="AI1669" i="2"/>
  <c r="AI1301" i="2"/>
  <c r="AI1213" i="2"/>
  <c r="AI885" i="2"/>
  <c r="AI613" i="2"/>
  <c r="AI2349" i="2"/>
  <c r="AI2317" i="2"/>
  <c r="AI2141" i="2"/>
  <c r="AI1269" i="2"/>
  <c r="AI1789" i="2"/>
  <c r="AI781" i="2"/>
  <c r="AI1549" i="2"/>
  <c r="AI2181" i="2"/>
  <c r="AI2045" i="2"/>
  <c r="AI1981" i="2"/>
  <c r="AI1877" i="2"/>
  <c r="AI1765" i="2"/>
  <c r="AI1709" i="2"/>
  <c r="AI1533" i="2"/>
  <c r="AI1477" i="2"/>
  <c r="AI1349" i="2"/>
  <c r="AI812" i="2"/>
  <c r="AI2364" i="2"/>
  <c r="AI396" i="2"/>
  <c r="AI908" i="2"/>
  <c r="AI1396" i="2"/>
  <c r="AI652" i="2"/>
  <c r="AI780" i="2"/>
  <c r="AI2252" i="2"/>
  <c r="AI972" i="2"/>
  <c r="AI876" i="2"/>
  <c r="AI1692" i="2"/>
  <c r="AI2236" i="2"/>
  <c r="AI1852" i="2"/>
  <c r="AI1268" i="2"/>
  <c r="AI468" i="2"/>
  <c r="AI580" i="2"/>
  <c r="AI2004" i="2"/>
  <c r="AI1580" i="2"/>
  <c r="AI2132" i="2"/>
  <c r="AI1092" i="2"/>
  <c r="AI316" i="2"/>
  <c r="AI2419" i="2"/>
  <c r="AI2359" i="2"/>
  <c r="AI1999" i="2"/>
  <c r="AI1991" i="2"/>
  <c r="AI1119" i="2"/>
  <c r="AI919" i="2"/>
  <c r="AI839" i="2"/>
  <c r="AI743" i="2"/>
  <c r="AI2351" i="2"/>
  <c r="AI2087" i="2"/>
  <c r="AI1287" i="2"/>
  <c r="AI1087" i="2"/>
  <c r="AI903" i="2"/>
  <c r="AI2407" i="2"/>
  <c r="AI2327" i="2"/>
  <c r="AI1127" i="2"/>
  <c r="AI1079" i="2"/>
  <c r="AI2119" i="2"/>
  <c r="AI1311" i="2"/>
  <c r="AI1239" i="2"/>
  <c r="AI1023" i="2"/>
  <c r="AI887" i="2"/>
  <c r="AI2303" i="2"/>
  <c r="AI1503" i="2"/>
  <c r="AI2007" i="2"/>
  <c r="AI1199" i="2"/>
  <c r="AI759" i="2"/>
  <c r="AI2368" i="2"/>
  <c r="AI936" i="2"/>
  <c r="AI880" i="2"/>
  <c r="AI832" i="2"/>
  <c r="AI2334" i="2"/>
  <c r="AI2120" i="2"/>
  <c r="AI2264" i="2"/>
  <c r="AI2064" i="2"/>
  <c r="AI2144" i="2"/>
  <c r="AI2230" i="2"/>
  <c r="AI1864" i="2"/>
  <c r="AI1886" i="2"/>
  <c r="AI1312" i="2"/>
  <c r="AI2350" i="2"/>
  <c r="AI2254" i="2"/>
  <c r="AI1950" i="2"/>
  <c r="AI1870" i="2"/>
  <c r="AI1814" i="2"/>
  <c r="AI2256" i="2"/>
  <c r="AI2072" i="2"/>
  <c r="AI1928" i="2"/>
  <c r="AI1824" i="2"/>
  <c r="AI1704" i="2"/>
  <c r="AI1600" i="2"/>
  <c r="AI1488" i="2"/>
  <c r="AI1360" i="2"/>
  <c r="AI1208" i="2"/>
  <c r="AI1144" i="2"/>
  <c r="AI1088" i="2"/>
  <c r="AI720" i="2"/>
  <c r="AI592" i="2"/>
  <c r="AI536" i="2"/>
  <c r="AI472" i="2"/>
  <c r="AI416" i="2"/>
  <c r="AI360" i="2"/>
  <c r="AI304" i="2"/>
  <c r="AI2224" i="2"/>
  <c r="AI1056" i="2"/>
  <c r="AI1024" i="2"/>
  <c r="AI928" i="2"/>
  <c r="AI824" i="2"/>
  <c r="AI2278" i="2"/>
  <c r="AI2320" i="2"/>
  <c r="AI2048" i="2"/>
  <c r="AI2096" i="2"/>
  <c r="AI2014" i="2"/>
  <c r="AI1968" i="2"/>
  <c r="AI1926" i="2"/>
  <c r="AI1888" i="2"/>
  <c r="AI1552" i="2"/>
  <c r="AI1496" i="2"/>
  <c r="AI2006" i="2"/>
  <c r="AI2126" i="2"/>
  <c r="AI2246" i="2"/>
  <c r="AI2142" i="2"/>
  <c r="AI2054" i="2"/>
  <c r="AI1806" i="2"/>
  <c r="AI1758" i="2"/>
  <c r="AI2400" i="2"/>
  <c r="AI2032" i="2"/>
  <c r="AI1912" i="2"/>
  <c r="AI1816" i="2"/>
  <c r="AI1688" i="2"/>
  <c r="AI1584" i="2"/>
  <c r="AI1472" i="2"/>
  <c r="AI1352" i="2"/>
  <c r="AI1256" i="2"/>
  <c r="AI1200" i="2"/>
  <c r="AI1136" i="2"/>
  <c r="AI1080" i="2"/>
  <c r="AI776" i="2"/>
  <c r="AI712" i="2"/>
  <c r="AI648" i="2"/>
  <c r="AI584" i="2"/>
  <c r="AI528" i="2"/>
  <c r="AI408" i="2"/>
  <c r="AI352" i="2"/>
  <c r="AI296" i="2"/>
  <c r="AI1008" i="2"/>
  <c r="AI1032" i="2"/>
  <c r="AI920" i="2"/>
  <c r="AI872" i="2"/>
  <c r="AI816" i="2"/>
  <c r="AI2318" i="2"/>
  <c r="AI2152" i="2"/>
  <c r="AI2192" i="2"/>
  <c r="AI2070" i="2"/>
  <c r="AI2134" i="2"/>
  <c r="AI2040" i="2"/>
  <c r="AI2046" i="2"/>
  <c r="AI1936" i="2"/>
  <c r="AI1000" i="2"/>
  <c r="AI1576" i="2"/>
  <c r="AI2310" i="2"/>
  <c r="AI2118" i="2"/>
  <c r="AI2030" i="2"/>
  <c r="AI1934" i="2"/>
  <c r="AI1846" i="2"/>
  <c r="AI1750" i="2"/>
  <c r="AI2216" i="2"/>
  <c r="AI2024" i="2"/>
  <c r="AI1904" i="2"/>
  <c r="AI1808" i="2"/>
  <c r="AI1656" i="2"/>
  <c r="AI1568" i="2"/>
  <c r="AI1456" i="2"/>
  <c r="AI1336" i="2"/>
  <c r="AI1248" i="2"/>
  <c r="AI1192" i="2"/>
  <c r="AI1128" i="2"/>
  <c r="AI1072" i="2"/>
  <c r="AI768" i="2"/>
  <c r="AI704" i="2"/>
  <c r="AI640" i="2"/>
  <c r="AI520" i="2"/>
  <c r="AI464" i="2"/>
  <c r="AI400" i="2"/>
  <c r="AI344" i="2"/>
  <c r="AI288" i="2"/>
  <c r="AI2304" i="2"/>
  <c r="AI2200" i="2"/>
  <c r="AI1992" i="2"/>
  <c r="AI1880" i="2"/>
  <c r="AI2422" i="2"/>
  <c r="AI2374" i="2"/>
  <c r="AI2248" i="2"/>
  <c r="AI2238" i="2"/>
  <c r="AI944" i="2"/>
  <c r="AI896" i="2"/>
  <c r="AI2398" i="2"/>
  <c r="AI2342" i="2"/>
  <c r="AI2344" i="2"/>
  <c r="AI2366" i="2"/>
  <c r="AI2080" i="2"/>
  <c r="AI1856" i="2"/>
  <c r="AI1544" i="2"/>
  <c r="AI1280" i="2"/>
  <c r="AI2160" i="2"/>
  <c r="AI1776" i="2"/>
  <c r="AI2382" i="2"/>
  <c r="AI2270" i="2"/>
  <c r="AI2174" i="2"/>
  <c r="AI1966" i="2"/>
  <c r="AI1822" i="2"/>
  <c r="AI2280" i="2"/>
  <c r="AI1952" i="2"/>
  <c r="AI1736" i="2"/>
  <c r="AI1616" i="2"/>
  <c r="AI1512" i="2"/>
  <c r="AI1392" i="2"/>
  <c r="AI1288" i="2"/>
  <c r="AI1160" i="2"/>
  <c r="AI1096" i="2"/>
  <c r="AI792" i="2"/>
  <c r="AI736" i="2"/>
  <c r="AI672" i="2"/>
  <c r="AI664" i="2"/>
  <c r="AI608" i="2"/>
  <c r="AI552" i="2"/>
  <c r="AI488" i="2"/>
  <c r="AI432" i="2"/>
  <c r="AI376" i="2"/>
  <c r="AI1742" i="2"/>
  <c r="AI1982" i="2"/>
  <c r="AI1040" i="2"/>
  <c r="AI888" i="2"/>
  <c r="AI840" i="2"/>
  <c r="AI2390" i="2"/>
  <c r="AI2406" i="2"/>
  <c r="AI2184" i="2"/>
  <c r="AI2326" i="2"/>
  <c r="AI2198" i="2"/>
  <c r="AI2008" i="2"/>
  <c r="AI2000" i="2"/>
  <c r="AI1958" i="2"/>
  <c r="AI1862" i="2"/>
  <c r="AI1480" i="2"/>
  <c r="AI1464" i="2"/>
  <c r="AI1448" i="2"/>
  <c r="AI1432" i="2"/>
  <c r="AI1416" i="2"/>
  <c r="AI1400" i="2"/>
  <c r="AI1384" i="2"/>
  <c r="AI1368" i="2"/>
  <c r="AI984" i="2"/>
  <c r="AI2094" i="2"/>
  <c r="AI2150" i="2"/>
  <c r="AI2358" i="2"/>
  <c r="AI2262" i="2"/>
  <c r="AI2166" i="2"/>
  <c r="AI2062" i="2"/>
  <c r="AI1878" i="2"/>
  <c r="AI1766" i="2"/>
  <c r="AI2272" i="2"/>
  <c r="AI2104" i="2"/>
  <c r="AI1944" i="2"/>
  <c r="AI1840" i="2"/>
  <c r="AI1720" i="2"/>
  <c r="AI1608" i="2"/>
  <c r="AI1504" i="2"/>
  <c r="AI1376" i="2"/>
  <c r="AI1272" i="2"/>
  <c r="AI1216" i="2"/>
  <c r="AI1152" i="2"/>
  <c r="AI784" i="2"/>
  <c r="AI728" i="2"/>
  <c r="AI656" i="2"/>
  <c r="AI600" i="2"/>
  <c r="AI544" i="2"/>
  <c r="AI480" i="2"/>
  <c r="AI424" i="2"/>
  <c r="AI368" i="2"/>
  <c r="AI312" i="2"/>
  <c r="AI2391" i="2"/>
  <c r="AI2223" i="2"/>
  <c r="AI2255" i="2"/>
  <c r="AI1871" i="2"/>
  <c r="AI1559" i="2"/>
  <c r="AI1343" i="2"/>
  <c r="AI1279" i="2"/>
  <c r="AI1175" i="2"/>
  <c r="AI967" i="2"/>
  <c r="AI2383" i="2"/>
  <c r="AI2343" i="2"/>
  <c r="AI2143" i="2"/>
  <c r="AI2023" i="2"/>
  <c r="AI2095" i="2"/>
  <c r="AI1271" i="2"/>
  <c r="AI1135" i="2"/>
  <c r="AI2367" i="2"/>
  <c r="AI2279" i="2"/>
  <c r="AI2287" i="2"/>
  <c r="AI1943" i="2"/>
  <c r="AI1327" i="2"/>
  <c r="AI1103" i="2"/>
  <c r="AI2335" i="2"/>
  <c r="AI1551" i="2"/>
  <c r="AI2103" i="2"/>
  <c r="AI2055" i="2"/>
  <c r="AI1519" i="2"/>
  <c r="AI2122" i="2"/>
  <c r="AI2082" i="2"/>
  <c r="AI2010" i="2"/>
  <c r="AI1842" i="2"/>
  <c r="AI2138" i="2"/>
  <c r="AI1930" i="2"/>
  <c r="AI2154" i="2"/>
  <c r="AI1970" i="2"/>
  <c r="AI1850" i="2"/>
  <c r="AI1666" i="2"/>
  <c r="AI1586" i="2"/>
  <c r="AI2098" i="2"/>
  <c r="AI2202" i="2"/>
  <c r="AI1690" i="2"/>
  <c r="AI2226" i="2"/>
  <c r="AI1882" i="2"/>
  <c r="AI1834" i="2"/>
  <c r="AI1786" i="2"/>
  <c r="AI1754" i="2"/>
  <c r="AI1698" i="2"/>
  <c r="AI1626" i="2"/>
  <c r="AI1570" i="2"/>
  <c r="AI2314" i="2"/>
  <c r="AI2194" i="2"/>
  <c r="AI2090" i="2"/>
  <c r="AI2042" i="2"/>
  <c r="AI1938" i="2"/>
  <c r="AI1554" i="2"/>
  <c r="AI1794" i="2"/>
  <c r="AI1650" i="2"/>
  <c r="AI1994" i="2"/>
  <c r="AI1922" i="2"/>
  <c r="AI1866" i="2"/>
  <c r="AI1730" i="2"/>
  <c r="AI1682" i="2"/>
  <c r="AI1602" i="2"/>
  <c r="AI1340" i="2"/>
  <c r="AI500" i="2"/>
  <c r="AI356" i="2"/>
  <c r="AI2220" i="2"/>
  <c r="AI1948" i="2"/>
  <c r="AI1716" i="2"/>
  <c r="AI332" i="2"/>
  <c r="AI2108" i="2"/>
  <c r="AI700" i="2"/>
  <c r="AI612" i="2"/>
  <c r="AI428" i="2"/>
  <c r="AI2276" i="2"/>
  <c r="AI964" i="2"/>
  <c r="AI932" i="2"/>
  <c r="AI900" i="2"/>
  <c r="AI868" i="2"/>
  <c r="AI836" i="2"/>
  <c r="AI804" i="2"/>
  <c r="AI2412" i="2"/>
  <c r="AI2340" i="2"/>
  <c r="AI2188" i="2"/>
  <c r="AI2036" i="2"/>
  <c r="AI1444" i="2"/>
  <c r="AI1356" i="2"/>
  <c r="AI2324" i="2"/>
  <c r="AI2212" i="2"/>
  <c r="AI1828" i="2"/>
  <c r="AI1748" i="2"/>
  <c r="AI1564" i="2"/>
  <c r="AI1484" i="2"/>
  <c r="AI1324" i="2"/>
  <c r="AI1252" i="2"/>
  <c r="AI1124" i="2"/>
  <c r="AI988" i="2"/>
  <c r="AI732" i="2"/>
  <c r="AI644" i="2"/>
  <c r="AI572" i="2"/>
  <c r="AI460" i="2"/>
  <c r="AI388" i="2"/>
  <c r="AI2092" i="2"/>
  <c r="AI1780" i="2"/>
  <c r="AI1732" i="2"/>
  <c r="AI1972" i="2"/>
  <c r="AI1996" i="2"/>
  <c r="AI1532" i="2"/>
  <c r="AI2012" i="2"/>
  <c r="AI2044" i="2"/>
  <c r="AI1644" i="2"/>
  <c r="AI1548" i="2"/>
  <c r="AI1636" i="2"/>
  <c r="AI1652" i="2"/>
  <c r="AI1956" i="2"/>
  <c r="AI1388" i="2"/>
  <c r="AI1204" i="2"/>
  <c r="AI1076" i="2"/>
  <c r="AI764" i="2"/>
  <c r="AI692" i="2"/>
  <c r="AI604" i="2"/>
  <c r="AI492" i="2"/>
  <c r="AI420" i="2"/>
  <c r="AI300" i="2"/>
  <c r="AI276" i="2"/>
  <c r="AI2388" i="2"/>
  <c r="AI1908" i="2"/>
  <c r="AI1172" i="2"/>
  <c r="AI540" i="2"/>
  <c r="AI2308" i="2"/>
  <c r="AI2268" i="2"/>
  <c r="AI956" i="2"/>
  <c r="AI924" i="2"/>
  <c r="AI892" i="2"/>
  <c r="AI860" i="2"/>
  <c r="AI828" i="2"/>
  <c r="AI2124" i="2"/>
  <c r="AI2084" i="2"/>
  <c r="AI2068" i="2"/>
  <c r="AI1836" i="2"/>
  <c r="AI1020" i="2"/>
  <c r="AI292" i="2"/>
  <c r="AI1428" i="2"/>
  <c r="AI2420" i="2"/>
  <c r="AI2204" i="2"/>
  <c r="AI1556" i="2"/>
  <c r="AI1460" i="2"/>
  <c r="AI1380" i="2"/>
  <c r="AI1156" i="2"/>
  <c r="AI796" i="2"/>
  <c r="AI724" i="2"/>
  <c r="AI636" i="2"/>
  <c r="AI524" i="2"/>
  <c r="AI452" i="2"/>
  <c r="AI340" i="2"/>
  <c r="AI2284" i="2"/>
  <c r="AI1900" i="2"/>
  <c r="AI1628" i="2"/>
  <c r="AI1668" i="2"/>
  <c r="AI1756" i="2"/>
  <c r="AI2260" i="2"/>
  <c r="AI2332" i="2"/>
  <c r="AI2116" i="2"/>
  <c r="AI2052" i="2"/>
  <c r="AI1988" i="2"/>
  <c r="AI1764" i="2"/>
  <c r="AI1596" i="2"/>
  <c r="AI1604" i="2"/>
  <c r="AI1500" i="2"/>
  <c r="AI1348" i="2"/>
  <c r="AI1812" i="2"/>
  <c r="AI1236" i="2"/>
  <c r="AI1108" i="2"/>
  <c r="AI1052" i="2"/>
  <c r="AI756" i="2"/>
  <c r="AI684" i="2"/>
  <c r="AI668" i="2"/>
  <c r="AI556" i="2"/>
  <c r="AI484" i="2"/>
  <c r="AI372" i="2"/>
  <c r="AI2300" i="2"/>
  <c r="AI948" i="2"/>
  <c r="AI916" i="2"/>
  <c r="AI884" i="2"/>
  <c r="AI852" i="2"/>
  <c r="AI820" i="2"/>
  <c r="AI2180" i="2"/>
  <c r="AI2156" i="2"/>
  <c r="AI324" i="2"/>
  <c r="AI2060" i="2"/>
  <c r="AI1476" i="2"/>
  <c r="AI2396" i="2"/>
  <c r="AI2020" i="2"/>
  <c r="AI1868" i="2"/>
  <c r="AI1284" i="2"/>
  <c r="AI1188" i="2"/>
  <c r="AI1028" i="2"/>
  <c r="AI788" i="2"/>
  <c r="AI716" i="2"/>
  <c r="AI588" i="2"/>
  <c r="AI516" i="2"/>
  <c r="AI404" i="2"/>
  <c r="AI284" i="2"/>
  <c r="AI2372" i="2"/>
  <c r="AI2292" i="2"/>
  <c r="AI2196" i="2"/>
  <c r="AI1932" i="2"/>
  <c r="AI1708" i="2"/>
  <c r="AI1612" i="2"/>
  <c r="AI1492" i="2"/>
  <c r="AI1620" i="2"/>
  <c r="AI1540" i="2"/>
  <c r="AI1332" i="2"/>
  <c r="AI1292" i="2"/>
  <c r="AI308" i="2"/>
  <c r="AI1508" i="2"/>
  <c r="AI2380" i="2"/>
  <c r="AI2164" i="2"/>
  <c r="AI1924" i="2"/>
  <c r="AI1860" i="2"/>
  <c r="AI1700" i="2"/>
  <c r="AI1436" i="2"/>
  <c r="AI1140" i="2"/>
  <c r="AI1012" i="2"/>
  <c r="AI748" i="2"/>
  <c r="AI620" i="2"/>
  <c r="AI548" i="2"/>
  <c r="AI436" i="2"/>
  <c r="AI364" i="2"/>
  <c r="AN2387" i="2"/>
  <c r="AQ2387" i="2" s="1"/>
  <c r="AI2387" i="2"/>
  <c r="AN2291" i="2"/>
  <c r="AQ2291" i="2" s="1"/>
  <c r="AI2291" i="2"/>
  <c r="AN2259" i="2"/>
  <c r="AQ2259" i="2" s="1"/>
  <c r="AI2259" i="2"/>
  <c r="AN2163" i="2"/>
  <c r="AQ2163" i="2" s="1"/>
  <c r="AI2163" i="2"/>
  <c r="AN2115" i="2"/>
  <c r="AQ2115" i="2" s="1"/>
  <c r="AI2115" i="2"/>
  <c r="AN2019" i="2"/>
  <c r="AQ2019" i="2" s="1"/>
  <c r="AI2019" i="2"/>
  <c r="AN2003" i="2"/>
  <c r="AQ2003" i="2" s="1"/>
  <c r="AI2003" i="2"/>
  <c r="AN1931" i="2"/>
  <c r="AQ1931" i="2" s="1"/>
  <c r="AI1931" i="2"/>
  <c r="AN1915" i="2"/>
  <c r="AQ1915" i="2" s="1"/>
  <c r="AI1915" i="2"/>
  <c r="AN1843" i="2"/>
  <c r="AQ1843" i="2" s="1"/>
  <c r="AI1843" i="2"/>
  <c r="AN1795" i="2"/>
  <c r="AQ1795" i="2" s="1"/>
  <c r="AI1795" i="2"/>
  <c r="AN1563" i="2"/>
  <c r="AQ1563" i="2" s="1"/>
  <c r="AI1563" i="2"/>
  <c r="AN1555" i="2"/>
  <c r="AQ1555" i="2" s="1"/>
  <c r="AI1555" i="2"/>
  <c r="AN1483" i="2"/>
  <c r="AQ1483" i="2" s="1"/>
  <c r="AI1483" i="2"/>
  <c r="AN1467" i="2"/>
  <c r="AQ1467" i="2" s="1"/>
  <c r="AI1467" i="2"/>
  <c r="AN1451" i="2"/>
  <c r="AQ1451" i="2" s="1"/>
  <c r="AI1451" i="2"/>
  <c r="AN1435" i="2"/>
  <c r="AQ1435" i="2" s="1"/>
  <c r="AI1435" i="2"/>
  <c r="AN1419" i="2"/>
  <c r="AQ1419" i="2" s="1"/>
  <c r="AI1419" i="2"/>
  <c r="AN1403" i="2"/>
  <c r="AQ1403" i="2" s="1"/>
  <c r="AI1403" i="2"/>
  <c r="AN1387" i="2"/>
  <c r="AQ1387" i="2" s="1"/>
  <c r="AI1387" i="2"/>
  <c r="AN1371" i="2"/>
  <c r="AQ1371" i="2" s="1"/>
  <c r="AI1371" i="2"/>
  <c r="AN1243" i="2"/>
  <c r="AQ1243" i="2" s="1"/>
  <c r="AI1243" i="2"/>
  <c r="AN1227" i="2"/>
  <c r="AQ1227" i="2" s="1"/>
  <c r="AI1227" i="2"/>
  <c r="AN1203" i="2"/>
  <c r="AQ1203" i="2" s="1"/>
  <c r="AI1203" i="2"/>
  <c r="AN1195" i="2"/>
  <c r="AQ1195" i="2" s="1"/>
  <c r="AI1195" i="2"/>
  <c r="AN1155" i="2"/>
  <c r="AQ1155" i="2" s="1"/>
  <c r="AI1155" i="2"/>
  <c r="AN1139" i="2"/>
  <c r="AQ1139" i="2" s="1"/>
  <c r="AI1139" i="2"/>
  <c r="AN1107" i="2"/>
  <c r="AQ1107" i="2" s="1"/>
  <c r="AI1107" i="2"/>
  <c r="AN1051" i="2"/>
  <c r="AQ1051" i="2" s="1"/>
  <c r="AI1051" i="2"/>
  <c r="AN1035" i="2"/>
  <c r="AQ1035" i="2" s="1"/>
  <c r="AI1035" i="2"/>
  <c r="AN1027" i="2"/>
  <c r="AQ1027" i="2" s="1"/>
  <c r="AI1027" i="2"/>
  <c r="AN1019" i="2"/>
  <c r="AQ1019" i="2" s="1"/>
  <c r="AI1019" i="2"/>
  <c r="AN1003" i="2"/>
  <c r="AQ1003" i="2" s="1"/>
  <c r="AI1003" i="2"/>
  <c r="AN955" i="2"/>
  <c r="AQ955" i="2" s="1"/>
  <c r="AI955" i="2"/>
  <c r="AN931" i="2"/>
  <c r="AQ931" i="2" s="1"/>
  <c r="AI931" i="2"/>
  <c r="AN915" i="2"/>
  <c r="AQ915" i="2" s="1"/>
  <c r="AI915" i="2"/>
  <c r="AN811" i="2"/>
  <c r="AQ811" i="2" s="1"/>
  <c r="AI811" i="2"/>
  <c r="AN787" i="2"/>
  <c r="AQ787" i="2" s="1"/>
  <c r="AI787" i="2"/>
  <c r="AN771" i="2"/>
  <c r="AQ771" i="2" s="1"/>
  <c r="AI771" i="2"/>
  <c r="AN731" i="2"/>
  <c r="AQ731" i="2" s="1"/>
  <c r="AI731" i="2"/>
  <c r="AN715" i="2"/>
  <c r="AQ715" i="2" s="1"/>
  <c r="AI715" i="2"/>
  <c r="AN699" i="2"/>
  <c r="AQ699" i="2" s="1"/>
  <c r="AI699" i="2"/>
  <c r="AN691" i="2"/>
  <c r="AQ691" i="2" s="1"/>
  <c r="AI691" i="2"/>
  <c r="AN659" i="2"/>
  <c r="AQ659" i="2" s="1"/>
  <c r="AI659" i="2"/>
  <c r="AN627" i="2"/>
  <c r="AQ627" i="2" s="1"/>
  <c r="AI627" i="2"/>
  <c r="AN603" i="2"/>
  <c r="AQ603" i="2" s="1"/>
  <c r="AI603" i="2"/>
  <c r="AN571" i="2"/>
  <c r="AQ571" i="2" s="1"/>
  <c r="AI571" i="2"/>
  <c r="AN547" i="2"/>
  <c r="AQ547" i="2" s="1"/>
  <c r="AI547" i="2"/>
  <c r="AN523" i="2"/>
  <c r="AQ523" i="2" s="1"/>
  <c r="AI523" i="2"/>
  <c r="AN467" i="2"/>
  <c r="AQ467" i="2" s="1"/>
  <c r="AI467" i="2"/>
  <c r="AN451" i="2"/>
  <c r="AQ451" i="2" s="1"/>
  <c r="AI451" i="2"/>
  <c r="AN2295" i="2"/>
  <c r="AQ2295" i="2" s="1"/>
  <c r="AI2295" i="2"/>
  <c r="AN2271" i="2"/>
  <c r="AQ2271" i="2" s="1"/>
  <c r="AI2271" i="2"/>
  <c r="AN2263" i="2"/>
  <c r="AQ2263" i="2" s="1"/>
  <c r="AI2263" i="2"/>
  <c r="AN2239" i="2"/>
  <c r="AQ2239" i="2" s="1"/>
  <c r="AI2239" i="2"/>
  <c r="AN1823" i="2"/>
  <c r="AQ1823" i="2" s="1"/>
  <c r="AI1823" i="2"/>
  <c r="AN1767" i="2"/>
  <c r="AQ1767" i="2" s="1"/>
  <c r="AI1767" i="2"/>
  <c r="AN1759" i="2"/>
  <c r="AQ1759" i="2" s="1"/>
  <c r="AI1759" i="2"/>
  <c r="AN1511" i="2"/>
  <c r="AQ1511" i="2" s="1"/>
  <c r="AI1511" i="2"/>
  <c r="AN1479" i="2"/>
  <c r="AQ1479" i="2" s="1"/>
  <c r="AI1479" i="2"/>
  <c r="AN1463" i="2"/>
  <c r="AQ1463" i="2" s="1"/>
  <c r="AI1463" i="2"/>
  <c r="AN1447" i="2"/>
  <c r="AQ1447" i="2" s="1"/>
  <c r="AI1447" i="2"/>
  <c r="AN1431" i="2"/>
  <c r="AQ1431" i="2" s="1"/>
  <c r="AI1431" i="2"/>
  <c r="AN1415" i="2"/>
  <c r="AQ1415" i="2" s="1"/>
  <c r="AI1415" i="2"/>
  <c r="AN1399" i="2"/>
  <c r="AQ1399" i="2" s="1"/>
  <c r="AI1399" i="2"/>
  <c r="AN1383" i="2"/>
  <c r="AQ1383" i="2" s="1"/>
  <c r="AI1383" i="2"/>
  <c r="AN1367" i="2"/>
  <c r="AQ1367" i="2" s="1"/>
  <c r="AI1367" i="2"/>
  <c r="AN1351" i="2"/>
  <c r="AQ1351" i="2" s="1"/>
  <c r="AI1351" i="2"/>
  <c r="AN1319" i="2"/>
  <c r="AQ1319" i="2" s="1"/>
  <c r="AI1319" i="2"/>
  <c r="AN1303" i="2"/>
  <c r="AQ1303" i="2" s="1"/>
  <c r="AI1303" i="2"/>
  <c r="AN1263" i="2"/>
  <c r="AQ1263" i="2" s="1"/>
  <c r="AI1263" i="2"/>
  <c r="AN1255" i="2"/>
  <c r="AQ1255" i="2" s="1"/>
  <c r="AI1255" i="2"/>
  <c r="AN1223" i="2"/>
  <c r="AQ1223" i="2" s="1"/>
  <c r="AI1223" i="2"/>
  <c r="AN1183" i="2"/>
  <c r="AQ1183" i="2" s="1"/>
  <c r="AI1183" i="2"/>
  <c r="AN1167" i="2"/>
  <c r="AQ1167" i="2" s="1"/>
  <c r="AI1167" i="2"/>
  <c r="AN1143" i="2"/>
  <c r="AQ1143" i="2" s="1"/>
  <c r="AI1143" i="2"/>
  <c r="AN1111" i="2"/>
  <c r="AQ1111" i="2" s="1"/>
  <c r="AI1111" i="2"/>
  <c r="AN1071" i="2"/>
  <c r="AQ1071" i="2" s="1"/>
  <c r="AI1071" i="2"/>
  <c r="AN1031" i="2"/>
  <c r="AQ1031" i="2" s="1"/>
  <c r="AI1031" i="2"/>
  <c r="AN991" i="2"/>
  <c r="AQ991" i="2" s="1"/>
  <c r="AI991" i="2"/>
  <c r="AN943" i="2"/>
  <c r="AQ943" i="2" s="1"/>
  <c r="AI943" i="2"/>
  <c r="AN927" i="2"/>
  <c r="AQ927" i="2" s="1"/>
  <c r="AI927" i="2"/>
  <c r="AN871" i="2"/>
  <c r="AQ871" i="2" s="1"/>
  <c r="AI871" i="2"/>
  <c r="AN863" i="2"/>
  <c r="AQ863" i="2" s="1"/>
  <c r="AI863" i="2"/>
  <c r="AN855" i="2"/>
  <c r="AQ855" i="2" s="1"/>
  <c r="AI855" i="2"/>
  <c r="AN831" i="2"/>
  <c r="AQ831" i="2" s="1"/>
  <c r="AI831" i="2"/>
  <c r="AN815" i="2"/>
  <c r="AQ815" i="2" s="1"/>
  <c r="AI815" i="2"/>
  <c r="AN679" i="2"/>
  <c r="AQ679" i="2" s="1"/>
  <c r="AI679" i="2"/>
  <c r="AN647" i="2"/>
  <c r="AQ647" i="2" s="1"/>
  <c r="AI647" i="2"/>
  <c r="AN631" i="2"/>
  <c r="AQ631" i="2" s="1"/>
  <c r="AI631" i="2"/>
  <c r="AN559" i="2"/>
  <c r="AQ559" i="2" s="1"/>
  <c r="AI559" i="2"/>
  <c r="AN551" i="2"/>
  <c r="AQ551" i="2" s="1"/>
  <c r="AI551" i="2"/>
  <c r="AN503" i="2"/>
  <c r="AQ503" i="2" s="1"/>
  <c r="AI503" i="2"/>
  <c r="AN495" i="2"/>
  <c r="AQ495" i="2" s="1"/>
  <c r="AI495" i="2"/>
  <c r="AN431" i="2"/>
  <c r="AQ431" i="2" s="1"/>
  <c r="AI431" i="2"/>
  <c r="AN423" i="2"/>
  <c r="AQ423" i="2" s="1"/>
  <c r="AI423" i="2"/>
  <c r="AN399" i="2"/>
  <c r="AQ399" i="2" s="1"/>
  <c r="AI399" i="2"/>
  <c r="AN391" i="2"/>
  <c r="AQ391" i="2" s="1"/>
  <c r="AI391" i="2"/>
  <c r="AN367" i="2"/>
  <c r="AQ367" i="2" s="1"/>
  <c r="AI367" i="2"/>
  <c r="AN359" i="2"/>
  <c r="AQ359" i="2" s="1"/>
  <c r="AI359" i="2"/>
  <c r="AN319" i="2"/>
  <c r="AQ319" i="2" s="1"/>
  <c r="AI319" i="2"/>
  <c r="AN295" i="2"/>
  <c r="AQ295" i="2" s="1"/>
  <c r="AI295" i="2"/>
  <c r="AN279" i="2"/>
  <c r="AQ279" i="2" s="1"/>
  <c r="AI279" i="2"/>
  <c r="AN1989" i="2"/>
  <c r="AQ1989" i="2" s="1"/>
  <c r="AI1989" i="2"/>
  <c r="AN1909" i="2"/>
  <c r="AQ1909" i="2" s="1"/>
  <c r="AI1909" i="2"/>
  <c r="AN1853" i="2"/>
  <c r="AQ1853" i="2" s="1"/>
  <c r="AI1853" i="2"/>
  <c r="AN1845" i="2"/>
  <c r="AQ1845" i="2" s="1"/>
  <c r="AI1845" i="2"/>
  <c r="AN1733" i="2"/>
  <c r="AQ1733" i="2" s="1"/>
  <c r="AI1733" i="2"/>
  <c r="AN1701" i="2"/>
  <c r="AQ1701" i="2" s="1"/>
  <c r="AI1701" i="2"/>
  <c r="AN1645" i="2"/>
  <c r="AQ1645" i="2" s="1"/>
  <c r="AI1645" i="2"/>
  <c r="AN1613" i="2"/>
  <c r="AQ1613" i="2" s="1"/>
  <c r="AI1613" i="2"/>
  <c r="AN1605" i="2"/>
  <c r="AQ1605" i="2" s="1"/>
  <c r="AI1605" i="2"/>
  <c r="AN1565" i="2"/>
  <c r="AQ1565" i="2" s="1"/>
  <c r="AI1565" i="2"/>
  <c r="AN1485" i="2"/>
  <c r="AQ1485" i="2" s="1"/>
  <c r="AI1485" i="2"/>
  <c r="AN1221" i="2"/>
  <c r="AQ1221" i="2" s="1"/>
  <c r="AI1221" i="2"/>
  <c r="AN1013" i="2"/>
  <c r="AQ1013" i="2" s="1"/>
  <c r="AI1013" i="2"/>
  <c r="AN1005" i="2"/>
  <c r="AQ1005" i="2" s="1"/>
  <c r="AI1005" i="2"/>
  <c r="AN933" i="2"/>
  <c r="AQ933" i="2" s="1"/>
  <c r="AI933" i="2"/>
  <c r="AN869" i="2"/>
  <c r="AQ869" i="2" s="1"/>
  <c r="AI869" i="2"/>
  <c r="AN805" i="2"/>
  <c r="AQ805" i="2" s="1"/>
  <c r="AI805" i="2"/>
  <c r="AN773" i="2"/>
  <c r="AQ773" i="2" s="1"/>
  <c r="AI773" i="2"/>
  <c r="AN573" i="2"/>
  <c r="AQ573" i="2" s="1"/>
  <c r="AI573" i="2"/>
  <c r="AN557" i="2"/>
  <c r="AQ557" i="2" s="1"/>
  <c r="AI557" i="2"/>
  <c r="AN485" i="2"/>
  <c r="AQ485" i="2" s="1"/>
  <c r="AI485" i="2"/>
  <c r="AN461" i="2"/>
  <c r="AQ461" i="2" s="1"/>
  <c r="AI461" i="2"/>
  <c r="T34" i="2"/>
  <c r="D12" i="13"/>
  <c r="U8" i="2"/>
  <c r="E12" i="13"/>
  <c r="T14" i="2"/>
  <c r="B20" i="13"/>
  <c r="C10" i="13"/>
  <c r="C18" i="13"/>
  <c r="D18" i="13"/>
  <c r="P55" i="34"/>
  <c r="E18" i="13"/>
  <c r="AC57" i="34"/>
  <c r="P44" i="34"/>
  <c r="P51" i="34"/>
  <c r="AI2331" i="2"/>
  <c r="AI2235" i="2"/>
  <c r="AI2323" i="2"/>
  <c r="AI2195" i="2"/>
  <c r="AI2099" i="2"/>
  <c r="AI1939" i="2"/>
  <c r="AI1875" i="2"/>
  <c r="AI1747" i="2"/>
  <c r="AI1547" i="2"/>
  <c r="AI1355" i="2"/>
  <c r="AI1323" i="2"/>
  <c r="AI947" i="2"/>
  <c r="AI2315" i="2"/>
  <c r="AI2355" i="2"/>
  <c r="AI2243" i="2"/>
  <c r="AI2131" i="2"/>
  <c r="AI2035" i="2"/>
  <c r="AI1947" i="2"/>
  <c r="AI1891" i="2"/>
  <c r="AI1811" i="2"/>
  <c r="AI1331" i="2"/>
  <c r="AI963" i="2"/>
  <c r="AW562" i="2"/>
  <c r="AW482" i="2"/>
  <c r="AY986" i="2"/>
  <c r="Y1186" i="2" a="1"/>
  <c r="Y1186" i="2" s="1"/>
  <c r="AW1274" i="2"/>
  <c r="AW1082" i="2"/>
  <c r="AW298" i="2"/>
  <c r="AY1090" i="2"/>
  <c r="AY1002" i="2"/>
  <c r="AW1282" i="2"/>
  <c r="AW1034" i="2"/>
  <c r="Y1034" i="2" a="1"/>
  <c r="Y1034" i="2" s="1"/>
  <c r="X226" i="2"/>
  <c r="AY226" i="2"/>
  <c r="X242" i="2"/>
  <c r="AW242" i="2"/>
  <c r="X250" i="2"/>
  <c r="AW250" i="2"/>
  <c r="X258" i="2"/>
  <c r="AW258" i="2"/>
  <c r="X266" i="2"/>
  <c r="AW266" i="2"/>
  <c r="X274" i="2"/>
  <c r="AY274" i="2"/>
  <c r="AW274" i="2"/>
  <c r="X282" i="2"/>
  <c r="AW282" i="2"/>
  <c r="X306" i="2"/>
  <c r="AW306" i="2"/>
  <c r="X314" i="2"/>
  <c r="AW314" i="2"/>
  <c r="X322" i="2"/>
  <c r="AW322" i="2"/>
  <c r="X330" i="2"/>
  <c r="AW330" i="2"/>
  <c r="X338" i="2"/>
  <c r="AY338" i="2"/>
  <c r="AW338" i="2"/>
  <c r="AY346" i="2"/>
  <c r="AW346" i="2"/>
  <c r="X354" i="2"/>
  <c r="Y354" i="2" a="1"/>
  <c r="Y354" i="2" s="1"/>
  <c r="X362" i="2"/>
  <c r="AY362" i="2"/>
  <c r="X370" i="2"/>
  <c r="AW370" i="2"/>
  <c r="X378" i="2"/>
  <c r="AW378" i="2"/>
  <c r="X386" i="2"/>
  <c r="AW386" i="2"/>
  <c r="X394" i="2"/>
  <c r="Y394" i="2" a="1"/>
  <c r="Y394" i="2" s="1"/>
  <c r="AY394" i="2"/>
  <c r="AW394" i="2"/>
  <c r="X402" i="2"/>
  <c r="AW402" i="2"/>
  <c r="X410" i="2"/>
  <c r="AY410" i="2"/>
  <c r="AW410" i="2"/>
  <c r="X434" i="2"/>
  <c r="AW434" i="2"/>
  <c r="AY434" i="2"/>
  <c r="X442" i="2"/>
  <c r="AW442" i="2"/>
  <c r="X450" i="2"/>
  <c r="AW450" i="2"/>
  <c r="X458" i="2"/>
  <c r="AW458" i="2"/>
  <c r="AY466" i="2"/>
  <c r="AW466" i="2"/>
  <c r="X474" i="2"/>
  <c r="AW474" i="2"/>
  <c r="X498" i="2"/>
  <c r="AW498" i="2"/>
  <c r="X506" i="2"/>
  <c r="AW506" i="2"/>
  <c r="X514" i="2"/>
  <c r="AW514" i="2"/>
  <c r="X522" i="2"/>
  <c r="Y522" i="2" a="1"/>
  <c r="Y522" i="2" s="1"/>
  <c r="AY522" i="2"/>
  <c r="AW522" i="2"/>
  <c r="X530" i="2"/>
  <c r="AW530" i="2"/>
  <c r="Y530" i="2" a="1"/>
  <c r="Y530" i="2" s="1"/>
  <c r="AY530" i="2"/>
  <c r="AY538" i="2"/>
  <c r="AW538" i="2"/>
  <c r="X546" i="2"/>
  <c r="AW546" i="2"/>
  <c r="X554" i="2"/>
  <c r="Y554" i="2" a="1"/>
  <c r="Y554" i="2" s="1"/>
  <c r="AW554" i="2"/>
  <c r="AY554" i="2"/>
  <c r="X618" i="2"/>
  <c r="AY618" i="2"/>
  <c r="AW618" i="2"/>
  <c r="X626" i="2"/>
  <c r="AW626" i="2"/>
  <c r="AY626" i="2"/>
  <c r="X634" i="2"/>
  <c r="AY634" i="2"/>
  <c r="AW634" i="2"/>
  <c r="X642" i="2"/>
  <c r="AY642" i="2"/>
  <c r="AW642" i="2"/>
  <c r="X650" i="2"/>
  <c r="AW650" i="2"/>
  <c r="AY650" i="2"/>
  <c r="X658" i="2"/>
  <c r="Y658" i="2" a="1"/>
  <c r="Y658" i="2" s="1"/>
  <c r="X666" i="2"/>
  <c r="Y666" i="2" a="1"/>
  <c r="Y666" i="2" s="1"/>
  <c r="AW666" i="2"/>
  <c r="X674" i="2"/>
  <c r="Y674" i="2" a="1"/>
  <c r="Y674" i="2" s="1"/>
  <c r="AY674" i="2"/>
  <c r="AW674" i="2"/>
  <c r="X682" i="2"/>
  <c r="Y682" i="2" a="1"/>
  <c r="Y682" i="2" s="1"/>
  <c r="AY682" i="2"/>
  <c r="AW682" i="2"/>
  <c r="X690" i="2"/>
  <c r="AY690" i="2"/>
  <c r="Y690" i="2" a="1"/>
  <c r="Y690" i="2" s="1"/>
  <c r="AW690" i="2"/>
  <c r="X698" i="2"/>
  <c r="AW698" i="2"/>
  <c r="Y698" i="2" a="1"/>
  <c r="Y698" i="2" s="1"/>
  <c r="X706" i="2"/>
  <c r="Y706" i="2" a="1"/>
  <c r="Y706" i="2" s="1"/>
  <c r="X714" i="2"/>
  <c r="Y714" i="2" a="1"/>
  <c r="Y714" i="2" s="1"/>
  <c r="X722" i="2"/>
  <c r="AW722" i="2"/>
  <c r="Y722" i="2" a="1"/>
  <c r="Y722" i="2" s="1"/>
  <c r="X730" i="2"/>
  <c r="AY730" i="2"/>
  <c r="AW730" i="2"/>
  <c r="X738" i="2"/>
  <c r="Y738" i="2" a="1"/>
  <c r="Y738" i="2" s="1"/>
  <c r="AY738" i="2"/>
  <c r="X746" i="2"/>
  <c r="AW746" i="2"/>
  <c r="AY746" i="2"/>
  <c r="X754" i="2"/>
  <c r="AW754" i="2"/>
  <c r="X762" i="2"/>
  <c r="Y762" i="2" a="1"/>
  <c r="Y762" i="2" s="1"/>
  <c r="AY762" i="2"/>
  <c r="AW762" i="2"/>
  <c r="AY770" i="2"/>
  <c r="AW770" i="2"/>
  <c r="AW778" i="2"/>
  <c r="AY778" i="2"/>
  <c r="AY786" i="2"/>
  <c r="AW786" i="2"/>
  <c r="X802" i="2"/>
  <c r="AY802" i="2"/>
  <c r="X810" i="2"/>
  <c r="AY810" i="2"/>
  <c r="AW810" i="2"/>
  <c r="Y810" i="2" a="1"/>
  <c r="Y810" i="2" s="1"/>
  <c r="X818" i="2"/>
  <c r="AW818" i="2"/>
  <c r="X826" i="2"/>
  <c r="AW826" i="2"/>
  <c r="X834" i="2"/>
  <c r="AW834" i="2"/>
  <c r="X842" i="2"/>
  <c r="AW842" i="2"/>
  <c r="X850" i="2"/>
  <c r="AW850" i="2"/>
  <c r="X866" i="2"/>
  <c r="Y866" i="2" a="1"/>
  <c r="Y866" i="2" s="1"/>
  <c r="AY866" i="2"/>
  <c r="X874" i="2"/>
  <c r="AW874" i="2"/>
  <c r="Y874" i="2" a="1"/>
  <c r="Y874" i="2" s="1"/>
  <c r="AY874" i="2"/>
  <c r="X882" i="2"/>
  <c r="AY882" i="2"/>
  <c r="Y882" i="2" a="1"/>
  <c r="Y882" i="2" s="1"/>
  <c r="AW882" i="2"/>
  <c r="X890" i="2"/>
  <c r="Y890" i="2" a="1"/>
  <c r="Y890" i="2" s="1"/>
  <c r="AW890" i="2"/>
  <c r="AY890" i="2"/>
  <c r="X898" i="2"/>
  <c r="AY898" i="2"/>
  <c r="AW898" i="2"/>
  <c r="X906" i="2"/>
  <c r="Y906" i="2" a="1"/>
  <c r="Y906" i="2" s="1"/>
  <c r="AW906" i="2"/>
  <c r="AY906" i="2"/>
  <c r="X914" i="2"/>
  <c r="AW914" i="2"/>
  <c r="Y914" i="2" a="1"/>
  <c r="Y914" i="2" s="1"/>
  <c r="AY914" i="2"/>
  <c r="AY930" i="2"/>
  <c r="AW930" i="2"/>
  <c r="AW962" i="2"/>
  <c r="AY962" i="2"/>
  <c r="X1010" i="2"/>
  <c r="AY1010" i="2"/>
  <c r="Y1010" i="2" a="1"/>
  <c r="Y1010" i="2" s="1"/>
  <c r="X1018" i="2"/>
  <c r="Y1018" i="2" a="1"/>
  <c r="Y1018" i="2" s="1"/>
  <c r="AW1018" i="2"/>
  <c r="X1026" i="2"/>
  <c r="Y1026" i="2" a="1"/>
  <c r="Y1026" i="2" s="1"/>
  <c r="AY1026" i="2"/>
  <c r="AW1026" i="2"/>
  <c r="X1042" i="2"/>
  <c r="AY1042" i="2"/>
  <c r="AW1042" i="2"/>
  <c r="X1050" i="2"/>
  <c r="Y1050" i="2" a="1"/>
  <c r="Y1050" i="2" s="1"/>
  <c r="AW1050" i="2"/>
  <c r="X1058" i="2"/>
  <c r="AY1058" i="2"/>
  <c r="X1066" i="2"/>
  <c r="AW1066" i="2"/>
  <c r="X1074" i="2"/>
  <c r="Y1074" i="2" a="1"/>
  <c r="Y1074" i="2" s="1"/>
  <c r="AW1074" i="2"/>
  <c r="X1090" i="2"/>
  <c r="Y1090" i="2" a="1"/>
  <c r="Y1090" i="2" s="1"/>
  <c r="X1098" i="2"/>
  <c r="AY1098" i="2"/>
  <c r="X1106" i="2"/>
  <c r="Y1106" i="2" a="1"/>
  <c r="Y1106" i="2" s="1"/>
  <c r="AW1106" i="2"/>
  <c r="X1114" i="2"/>
  <c r="Y1114" i="2" a="1"/>
  <c r="Y1114" i="2" s="1"/>
  <c r="AY1114" i="2"/>
  <c r="X1122" i="2"/>
  <c r="Y1122" i="2" a="1"/>
  <c r="Y1122" i="2" s="1"/>
  <c r="AW1122" i="2"/>
  <c r="X1130" i="2"/>
  <c r="Y1130" i="2" a="1"/>
  <c r="Y1130" i="2" s="1"/>
  <c r="AY1130" i="2"/>
  <c r="X1138" i="2"/>
  <c r="Y1138" i="2" a="1"/>
  <c r="Y1138" i="2" s="1"/>
  <c r="AY1138" i="2"/>
  <c r="X1146" i="2"/>
  <c r="AY1146" i="2"/>
  <c r="Y1146" i="2" a="1"/>
  <c r="Y1146" i="2" s="1"/>
  <c r="X1154" i="2"/>
  <c r="Y1154" i="2" a="1"/>
  <c r="Y1154" i="2" s="1"/>
  <c r="AY1154" i="2"/>
  <c r="AW1154" i="2"/>
  <c r="AY1162" i="2"/>
  <c r="AW1162" i="2"/>
  <c r="X1170" i="2"/>
  <c r="Y1170" i="2" a="1"/>
  <c r="Y1170" i="2" s="1"/>
  <c r="AY1170" i="2"/>
  <c r="X1178" i="2"/>
  <c r="AY1178" i="2"/>
  <c r="Y1178" i="2" a="1"/>
  <c r="Y1178" i="2" s="1"/>
  <c r="AW1178" i="2"/>
  <c r="X1186" i="2"/>
  <c r="AY1186" i="2"/>
  <c r="X1194" i="2"/>
  <c r="AY1194" i="2"/>
  <c r="Y1194" i="2" a="1"/>
  <c r="Y1194" i="2" s="1"/>
  <c r="X1202" i="2"/>
  <c r="AY1202" i="2"/>
  <c r="AW1202" i="2"/>
  <c r="X1210" i="2"/>
  <c r="AY1210" i="2"/>
  <c r="Y1210" i="2" a="1"/>
  <c r="Y1210" i="2" s="1"/>
  <c r="X1218" i="2"/>
  <c r="Y1218" i="2" a="1"/>
  <c r="Y1218" i="2" s="1"/>
  <c r="AY1218" i="2"/>
  <c r="X1226" i="2"/>
  <c r="Y1226" i="2" a="1"/>
  <c r="Y1226" i="2" s="1"/>
  <c r="AY1226" i="2"/>
  <c r="AW1226" i="2"/>
  <c r="X1234" i="2"/>
  <c r="AW1234" i="2"/>
  <c r="AY1234" i="2"/>
  <c r="X1242" i="2"/>
  <c r="AY1242" i="2"/>
  <c r="X1250" i="2"/>
  <c r="Y1250" i="2" a="1"/>
  <c r="Y1250" i="2" s="1"/>
  <c r="AY1250" i="2"/>
  <c r="X1258" i="2"/>
  <c r="AY1258" i="2"/>
  <c r="Y1258" i="2" a="1"/>
  <c r="Y1258" i="2" s="1"/>
  <c r="X1298" i="2"/>
  <c r="AW1298" i="2"/>
  <c r="AY1298" i="2"/>
  <c r="X1306" i="2"/>
  <c r="Y1306" i="2" a="1"/>
  <c r="Y1306" i="2" s="1"/>
  <c r="X1314" i="2"/>
  <c r="AW1314" i="2"/>
  <c r="Y1314" i="2" a="1"/>
  <c r="Y1314" i="2" s="1"/>
  <c r="AY1314" i="2"/>
  <c r="X1330" i="2"/>
  <c r="Y1330" i="2" a="1"/>
  <c r="Y1330" i="2" s="1"/>
  <c r="AY1330" i="2"/>
  <c r="X1338" i="2"/>
  <c r="AW1338" i="2"/>
  <c r="AY1338" i="2"/>
  <c r="Y1338" i="2" a="1"/>
  <c r="Y1338" i="2" s="1"/>
  <c r="X1346" i="2"/>
  <c r="AY1346" i="2"/>
  <c r="Y1346" i="2" a="1"/>
  <c r="Y1346" i="2" s="1"/>
  <c r="X1354" i="2"/>
  <c r="AY1354" i="2"/>
  <c r="Y1354" i="2" a="1"/>
  <c r="Y1354" i="2" s="1"/>
  <c r="X1362" i="2"/>
  <c r="AY1362" i="2"/>
  <c r="Y1362" i="2" a="1"/>
  <c r="Y1362" i="2" s="1"/>
  <c r="X1370" i="2"/>
  <c r="Y1370" i="2" a="1"/>
  <c r="Y1370" i="2" s="1"/>
  <c r="AY1370" i="2"/>
  <c r="X1378" i="2"/>
  <c r="AY1378" i="2"/>
  <c r="AW1378" i="2"/>
  <c r="Y1378" i="2" a="1"/>
  <c r="Y1378" i="2" s="1"/>
  <c r="X1386" i="2"/>
  <c r="AW1386" i="2"/>
  <c r="Y1386" i="2" a="1"/>
  <c r="Y1386" i="2" s="1"/>
  <c r="AY1386" i="2"/>
  <c r="X1394" i="2"/>
  <c r="AY1394" i="2"/>
  <c r="Y1394" i="2" a="1"/>
  <c r="Y1394" i="2" s="1"/>
  <c r="X1402" i="2"/>
  <c r="Y1402" i="2" a="1"/>
  <c r="Y1402" i="2" s="1"/>
  <c r="AW1402" i="2"/>
  <c r="X1410" i="2"/>
  <c r="Y1410" i="2" a="1"/>
  <c r="Y1410" i="2" s="1"/>
  <c r="AW1410" i="2"/>
  <c r="AY1410" i="2"/>
  <c r="X1426" i="2"/>
  <c r="AY1426" i="2"/>
  <c r="X1434" i="2"/>
  <c r="Y1434" i="2" a="1"/>
  <c r="Y1434" i="2" s="1"/>
  <c r="AW1434" i="2"/>
  <c r="X1442" i="2"/>
  <c r="AY1442" i="2"/>
  <c r="Y1442" i="2" a="1"/>
  <c r="Y1442" i="2" s="1"/>
  <c r="X1450" i="2"/>
  <c r="Y1450" i="2" a="1"/>
  <c r="Y1450" i="2" s="1"/>
  <c r="AW1450" i="2"/>
  <c r="AY1450" i="2"/>
  <c r="X1458" i="2"/>
  <c r="AW1458" i="2"/>
  <c r="AY1458" i="2"/>
  <c r="X1466" i="2"/>
  <c r="AY1466" i="2"/>
  <c r="Y1466" i="2" a="1"/>
  <c r="Y1466" i="2" s="1"/>
  <c r="X1474" i="2"/>
  <c r="AY1474" i="2"/>
  <c r="AW1474" i="2"/>
  <c r="Y1474" i="2" a="1"/>
  <c r="Y1474" i="2" s="1"/>
  <c r="X1482" i="2"/>
  <c r="AY1482" i="2"/>
  <c r="AW1482" i="2"/>
  <c r="X1490" i="2"/>
  <c r="Y1490" i="2" a="1"/>
  <c r="Y1490" i="2" s="1"/>
  <c r="AY1490" i="2"/>
  <c r="X1498" i="2"/>
  <c r="AY1498" i="2"/>
  <c r="AW1498" i="2"/>
  <c r="Y1498" i="2" a="1"/>
  <c r="Y1498" i="2" s="1"/>
  <c r="X1506" i="2"/>
  <c r="Y1506" i="2" a="1"/>
  <c r="Y1506" i="2" s="1"/>
  <c r="AW1506" i="2"/>
  <c r="AY1506" i="2"/>
  <c r="X1514" i="2"/>
  <c r="AY1514" i="2"/>
  <c r="X1522" i="2"/>
  <c r="Y1522" i="2" a="1"/>
  <c r="Y1522" i="2" s="1"/>
  <c r="AW1522" i="2"/>
  <c r="X1530" i="2"/>
  <c r="AY1530" i="2"/>
  <c r="AW1530" i="2"/>
  <c r="X1538" i="2"/>
  <c r="Y1538" i="2" a="1"/>
  <c r="Y1538" i="2" s="1"/>
  <c r="X1546" i="2"/>
  <c r="AY1546" i="2"/>
  <c r="AW1546" i="2"/>
  <c r="AW1554" i="2"/>
  <c r="AY1554" i="2"/>
  <c r="AW1570" i="2"/>
  <c r="AY1570" i="2"/>
  <c r="X1578" i="2"/>
  <c r="AW1578" i="2"/>
  <c r="X1586" i="2"/>
  <c r="Y1586" i="2" a="1"/>
  <c r="Y1586" i="2" s="1"/>
  <c r="AY1586" i="2"/>
  <c r="X1594" i="2"/>
  <c r="AW1594" i="2"/>
  <c r="X1602" i="2"/>
  <c r="AW1602" i="2"/>
  <c r="AY1602" i="2"/>
  <c r="AY1618" i="2"/>
  <c r="AW1618" i="2"/>
  <c r="AW1626" i="2"/>
  <c r="AY1626" i="2"/>
  <c r="X1642" i="2"/>
  <c r="AY1642" i="2"/>
  <c r="AW1642" i="2"/>
  <c r="X1650" i="2"/>
  <c r="AY1650" i="2"/>
  <c r="AW1650" i="2"/>
  <c r="X1658" i="2"/>
  <c r="AY1658" i="2"/>
  <c r="X1666" i="2"/>
  <c r="AY1666" i="2"/>
  <c r="AW1666" i="2"/>
  <c r="X1674" i="2"/>
  <c r="AW1674" i="2"/>
  <c r="AY1674" i="2"/>
  <c r="X1682" i="2"/>
  <c r="AY1682" i="2"/>
  <c r="X1690" i="2"/>
  <c r="AY1690" i="2"/>
  <c r="AW1690" i="2"/>
  <c r="X1698" i="2"/>
  <c r="AY1698" i="2"/>
  <c r="X1706" i="2"/>
  <c r="AY1706" i="2"/>
  <c r="X1714" i="2"/>
  <c r="AY1714" i="2"/>
  <c r="Y1714" i="2" a="1"/>
  <c r="Y1714" i="2" s="1"/>
  <c r="AW1714" i="2"/>
  <c r="X1722" i="2"/>
  <c r="Y1722" i="2" a="1"/>
  <c r="Y1722" i="2" s="1"/>
  <c r="AY1722" i="2"/>
  <c r="X1746" i="2"/>
  <c r="AY1746" i="2"/>
  <c r="Y1746" i="2" a="1"/>
  <c r="Y1746" i="2" s="1"/>
  <c r="X1770" i="2"/>
  <c r="AY1770" i="2"/>
  <c r="AW1770" i="2"/>
  <c r="Y1770" i="2" a="1"/>
  <c r="Y1770" i="2" s="1"/>
  <c r="X1778" i="2"/>
  <c r="Y1778" i="2" a="1"/>
  <c r="Y1778" i="2" s="1"/>
  <c r="AY1778" i="2"/>
  <c r="X1802" i="2"/>
  <c r="Y1802" i="2" a="1"/>
  <c r="Y1802" i="2" s="1"/>
  <c r="AY1802" i="2"/>
  <c r="AW1802" i="2"/>
  <c r="X1818" i="2"/>
  <c r="Y1818" i="2" a="1"/>
  <c r="Y1818" i="2" s="1"/>
  <c r="X1834" i="2"/>
  <c r="AY1834" i="2"/>
  <c r="Y1834" i="2" a="1"/>
  <c r="Y1834" i="2" s="1"/>
  <c r="AW1834" i="2"/>
  <c r="X1842" i="2"/>
  <c r="Y1842" i="2" a="1"/>
  <c r="Y1842" i="2" s="1"/>
  <c r="AY1842" i="2"/>
  <c r="X1850" i="2"/>
  <c r="Y1850" i="2" a="1"/>
  <c r="Y1850" i="2" s="1"/>
  <c r="X1866" i="2"/>
  <c r="Y1866" i="2" a="1"/>
  <c r="Y1866" i="2" s="1"/>
  <c r="AW1866" i="2"/>
  <c r="AY1866" i="2"/>
  <c r="X1874" i="2"/>
  <c r="AY1874" i="2"/>
  <c r="X1890" i="2"/>
  <c r="AY1890" i="2"/>
  <c r="AW1898" i="2"/>
  <c r="AY1898" i="2"/>
  <c r="X1906" i="2"/>
  <c r="AY1906" i="2"/>
  <c r="X1922" i="2"/>
  <c r="AY1922" i="2"/>
  <c r="Y1922" i="2" a="1"/>
  <c r="Y1922" i="2" s="1"/>
  <c r="X1930" i="2"/>
  <c r="AY1930" i="2"/>
  <c r="X1938" i="2"/>
  <c r="AY1938" i="2"/>
  <c r="Y1938" i="2" a="1"/>
  <c r="Y1938" i="2" s="1"/>
  <c r="X1946" i="2"/>
  <c r="AW1946" i="2"/>
  <c r="AY1946" i="2"/>
  <c r="X1954" i="2"/>
  <c r="AW1954" i="2"/>
  <c r="AY1954" i="2"/>
  <c r="Y1954" i="2" a="1"/>
  <c r="Y1954" i="2" s="1"/>
  <c r="X1962" i="2"/>
  <c r="AY1962" i="2"/>
  <c r="X1970" i="2"/>
  <c r="AW1970" i="2"/>
  <c r="Y1970" i="2" a="1"/>
  <c r="Y1970" i="2" s="1"/>
  <c r="X1986" i="2"/>
  <c r="AY1986" i="2"/>
  <c r="Y1986" i="2" a="1"/>
  <c r="Y1986" i="2" s="1"/>
  <c r="X1994" i="2"/>
  <c r="AY1994" i="2"/>
  <c r="X2002" i="2"/>
  <c r="AY2002" i="2"/>
  <c r="Y2002" i="2" a="1"/>
  <c r="Y2002" i="2" s="1"/>
  <c r="X2010" i="2"/>
  <c r="AW2010" i="2"/>
  <c r="AY2010" i="2"/>
  <c r="X2018" i="2"/>
  <c r="AW2018" i="2"/>
  <c r="AY2018" i="2"/>
  <c r="Y2018" i="2" a="1"/>
  <c r="Y2018" i="2" s="1"/>
  <c r="X2026" i="2"/>
  <c r="AY2026" i="2"/>
  <c r="X2034" i="2"/>
  <c r="AW2034" i="2"/>
  <c r="Y2034" i="2" a="1"/>
  <c r="Y2034" i="2" s="1"/>
  <c r="X2050" i="2"/>
  <c r="AY2050" i="2"/>
  <c r="Y2050" i="2" a="1"/>
  <c r="Y2050" i="2" s="1"/>
  <c r="X2058" i="2"/>
  <c r="AY2058" i="2"/>
  <c r="X2066" i="2"/>
  <c r="AY2066" i="2"/>
  <c r="Y2066" i="2" a="1"/>
  <c r="Y2066" i="2" s="1"/>
  <c r="X2074" i="2"/>
  <c r="AW2074" i="2"/>
  <c r="AY2074" i="2"/>
  <c r="X2082" i="2"/>
  <c r="AW2082" i="2"/>
  <c r="AY2082" i="2"/>
  <c r="Y2082" i="2" a="1"/>
  <c r="Y2082" i="2" s="1"/>
  <c r="X2090" i="2"/>
  <c r="AY2090" i="2"/>
  <c r="Y2090" i="2" a="1"/>
  <c r="Y2090" i="2" s="1"/>
  <c r="X2098" i="2"/>
  <c r="AW2098" i="2"/>
  <c r="Y2098" i="2" a="1"/>
  <c r="Y2098" i="2" s="1"/>
  <c r="X2106" i="2"/>
  <c r="Y2106" i="2" a="1"/>
  <c r="Y2106" i="2" s="1"/>
  <c r="X2114" i="2"/>
  <c r="AY2114" i="2"/>
  <c r="Y2114" i="2" a="1"/>
  <c r="Y2114" i="2" s="1"/>
  <c r="X2122" i="2"/>
  <c r="Y2122" i="2" a="1"/>
  <c r="Y2122" i="2" s="1"/>
  <c r="AW2122" i="2"/>
  <c r="AY2122" i="2"/>
  <c r="X2130" i="2"/>
  <c r="Y2130" i="2" a="1"/>
  <c r="Y2130" i="2" s="1"/>
  <c r="AY2130" i="2"/>
  <c r="X2146" i="2"/>
  <c r="AY2146" i="2"/>
  <c r="AW2154" i="2"/>
  <c r="AY2154" i="2"/>
  <c r="X2170" i="2"/>
  <c r="Y2170" i="2" a="1"/>
  <c r="Y2170" i="2" s="1"/>
  <c r="X2178" i="2"/>
  <c r="AY2178" i="2"/>
  <c r="X2186" i="2"/>
  <c r="AW2186" i="2"/>
  <c r="AY2186" i="2"/>
  <c r="X2194" i="2"/>
  <c r="Y2194" i="2" a="1"/>
  <c r="Y2194" i="2" s="1"/>
  <c r="AY2194" i="2"/>
  <c r="X2202" i="2"/>
  <c r="Y2202" i="2" a="1"/>
  <c r="Y2202" i="2" s="1"/>
  <c r="X2210" i="2"/>
  <c r="Y2210" i="2" a="1"/>
  <c r="Y2210" i="2" s="1"/>
  <c r="AY2210" i="2"/>
  <c r="X2218" i="2"/>
  <c r="Y2218" i="2" a="1"/>
  <c r="Y2218" i="2" s="1"/>
  <c r="AW2218" i="2"/>
  <c r="AY2218" i="2"/>
  <c r="X2226" i="2"/>
  <c r="AY2226" i="2"/>
  <c r="Y2226" i="2" a="1"/>
  <c r="Y2226" i="2" s="1"/>
  <c r="X2234" i="2"/>
  <c r="Y2234" i="2" a="1"/>
  <c r="Y2234" i="2" s="1"/>
  <c r="X2242" i="2"/>
  <c r="AY2242" i="2"/>
  <c r="Y2242" i="2" a="1"/>
  <c r="Y2242" i="2" s="1"/>
  <c r="X2250" i="2"/>
  <c r="Y2250" i="2" a="1"/>
  <c r="Y2250" i="2" s="1"/>
  <c r="AW2250" i="2"/>
  <c r="AY2250" i="2"/>
  <c r="X2258" i="2"/>
  <c r="AY2258" i="2"/>
  <c r="X2282" i="2"/>
  <c r="AW2282" i="2"/>
  <c r="Y2282" i="2" a="1"/>
  <c r="Y2282" i="2" s="1"/>
  <c r="AY2282" i="2"/>
  <c r="X2290" i="2"/>
  <c r="AY2290" i="2"/>
  <c r="X2298" i="2"/>
  <c r="Y2298" i="2" a="1"/>
  <c r="Y2298" i="2" s="1"/>
  <c r="X2306" i="2"/>
  <c r="AY2306" i="2"/>
  <c r="Y2306" i="2" a="1"/>
  <c r="Y2306" i="2" s="1"/>
  <c r="X2314" i="2"/>
  <c r="Y2314" i="2" a="1"/>
  <c r="Y2314" i="2" s="1"/>
  <c r="AW2314" i="2"/>
  <c r="AY2314" i="2"/>
  <c r="X2322" i="2"/>
  <c r="Y2322" i="2" a="1"/>
  <c r="Y2322" i="2" s="1"/>
  <c r="AV2322" i="2"/>
  <c r="AY2322" i="2"/>
  <c r="X2330" i="2"/>
  <c r="AX2330" i="2"/>
  <c r="X2338" i="2"/>
  <c r="AY2338" i="2"/>
  <c r="AV2338" i="2"/>
  <c r="X2346" i="2"/>
  <c r="Y2346" i="2" a="1"/>
  <c r="Y2346" i="2" s="1"/>
  <c r="AW2346" i="2"/>
  <c r="AX2346" i="2"/>
  <c r="AY2346" i="2"/>
  <c r="X2354" i="2"/>
  <c r="AV2354" i="2"/>
  <c r="AY2354" i="2"/>
  <c r="Y2354" i="2" a="1"/>
  <c r="Y2354" i="2" s="1"/>
  <c r="X2362" i="2"/>
  <c r="AY2362" i="2"/>
  <c r="Y2362" i="2" a="1"/>
  <c r="Y2362" i="2" s="1"/>
  <c r="X2370" i="2"/>
  <c r="Y2370" i="2" a="1"/>
  <c r="Y2370" i="2" s="1"/>
  <c r="AW2370" i="2"/>
  <c r="AV2370" i="2"/>
  <c r="X2378" i="2"/>
  <c r="Y2378" i="2" a="1"/>
  <c r="Y2378" i="2" s="1"/>
  <c r="AV2378" i="2"/>
  <c r="X2386" i="2"/>
  <c r="AY2386" i="2"/>
  <c r="Y2386" i="2" a="1"/>
  <c r="Y2386" i="2" s="1"/>
  <c r="X2394" i="2"/>
  <c r="Y2394" i="2" a="1"/>
  <c r="Y2394" i="2" s="1"/>
  <c r="AY2394" i="2"/>
  <c r="AW2394" i="2"/>
  <c r="AX2394" i="2"/>
  <c r="X2402" i="2"/>
  <c r="AY2402" i="2"/>
  <c r="AW2402" i="2"/>
  <c r="Y2402" i="2" a="1"/>
  <c r="Y2402" i="2" s="1"/>
  <c r="X2410" i="2"/>
  <c r="AV2410" i="2"/>
  <c r="Y2410" i="2" a="1"/>
  <c r="Y2410" i="2" s="1"/>
  <c r="AY2410" i="2"/>
  <c r="X2418" i="2"/>
  <c r="AY2418" i="2"/>
  <c r="Y2418" i="2" a="1"/>
  <c r="Y2418" i="2" s="1"/>
  <c r="X2426" i="2"/>
  <c r="AY2426" i="2"/>
  <c r="Y2426" i="2" a="1"/>
  <c r="Y2426" i="2" s="1"/>
  <c r="AX2426" i="2"/>
  <c r="AY1402" i="2"/>
  <c r="AY954" i="2"/>
  <c r="AY754" i="2"/>
  <c r="AY714" i="2"/>
  <c r="AY698" i="2"/>
  <c r="C37" i="32"/>
  <c r="C4" i="32"/>
  <c r="C4" i="34"/>
  <c r="C36" i="34"/>
  <c r="D4" i="31"/>
  <c r="D37" i="31"/>
  <c r="Y266" i="2" a="1"/>
  <c r="Y266" i="2" s="1"/>
  <c r="Y314" i="2" a="1"/>
  <c r="Y314" i="2" s="1"/>
  <c r="Y802" i="2" a="1"/>
  <c r="Y802" i="2" s="1"/>
  <c r="Y1066" i="2" a="1"/>
  <c r="Y1066" i="2" s="1"/>
  <c r="Y1578" i="2" a="1"/>
  <c r="Y1578" i="2" s="1"/>
  <c r="P62" i="34"/>
  <c r="AC46" i="34"/>
  <c r="P45" i="34"/>
  <c r="AC62" i="34"/>
  <c r="AC55" i="34"/>
  <c r="P57" i="34"/>
  <c r="P49" i="34"/>
  <c r="AC51" i="34"/>
  <c r="P43" i="34"/>
  <c r="P47" i="34"/>
  <c r="AC45" i="34"/>
  <c r="AC44" i="34"/>
  <c r="AC47" i="34"/>
  <c r="AC49" i="34"/>
  <c r="AC53" i="34"/>
  <c r="P53" i="34"/>
  <c r="AC43" i="34"/>
  <c r="P46" i="34"/>
  <c r="B199" i="8"/>
  <c r="D199" i="8" s="1"/>
  <c r="G199" i="8" s="1"/>
  <c r="AY426" i="2"/>
  <c r="AY378" i="2"/>
  <c r="AY322" i="2"/>
  <c r="AY282" i="2"/>
  <c r="Y250" i="2" a="1"/>
  <c r="Y250" i="2" s="1"/>
  <c r="Y306" i="2" a="1"/>
  <c r="Y306" i="2" s="1"/>
  <c r="Y402" i="2" a="1"/>
  <c r="Y402" i="2" s="1"/>
  <c r="Y618" i="2" a="1"/>
  <c r="Y618" i="2" s="1"/>
  <c r="Y642" i="2" a="1"/>
  <c r="Y642" i="2" s="1"/>
  <c r="AY298" i="2"/>
  <c r="Y290" i="2" a="1"/>
  <c r="Y290" i="2" s="1"/>
  <c r="Y330" i="2" a="1"/>
  <c r="Y330" i="2" s="1"/>
  <c r="Y362" i="2" a="1"/>
  <c r="Y362" i="2" s="1"/>
  <c r="Y514" i="2" a="1"/>
  <c r="Y514" i="2" s="1"/>
  <c r="AY506" i="2"/>
  <c r="AY402" i="2"/>
  <c r="AY370" i="2"/>
  <c r="AY314" i="2"/>
  <c r="AY242" i="2"/>
  <c r="Y274" i="2" a="1"/>
  <c r="Y274" i="2" s="1"/>
  <c r="Y410" i="2" a="1"/>
  <c r="Y410" i="2" s="1"/>
  <c r="Y546" i="2" a="1"/>
  <c r="Y546" i="2" s="1"/>
  <c r="Y650" i="2" a="1"/>
  <c r="Y650" i="2" s="1"/>
  <c r="AY418" i="2"/>
  <c r="AY258" i="2"/>
  <c r="AY234" i="2"/>
  <c r="Y258" i="2" a="1"/>
  <c r="Y258" i="2" s="1"/>
  <c r="Y338" i="2" a="1"/>
  <c r="Y338" i="2" s="1"/>
  <c r="Y370" i="2" a="1"/>
  <c r="Y370" i="2" s="1"/>
  <c r="Y626" i="2" a="1"/>
  <c r="Y626" i="2" s="1"/>
  <c r="AY290" i="2"/>
  <c r="AY218" i="2"/>
  <c r="Y242" i="2" a="1"/>
  <c r="Y242" i="2" s="1"/>
  <c r="Y298" i="2" a="1"/>
  <c r="Y298" i="2" s="1"/>
  <c r="Y378" i="2" a="1"/>
  <c r="Y378" i="2" s="1"/>
  <c r="AY514" i="2"/>
  <c r="AY386" i="2"/>
  <c r="AY354" i="2"/>
  <c r="AY330" i="2"/>
  <c r="AY306" i="2"/>
  <c r="AY250" i="2"/>
  <c r="Y282" i="2" a="1"/>
  <c r="Y282" i="2" s="1"/>
  <c r="Y386" i="2" a="1"/>
  <c r="Y386" i="2" s="1"/>
  <c r="Y506" i="2" a="1"/>
  <c r="Y506" i="2" s="1"/>
  <c r="Y634" i="2" a="1"/>
  <c r="Y634" i="2" s="1"/>
  <c r="U187" i="2"/>
  <c r="Q101" i="2"/>
  <c r="Q10" i="2"/>
  <c r="T25" i="2"/>
  <c r="U29" i="2"/>
  <c r="U67" i="2"/>
  <c r="Q146" i="2"/>
  <c r="U118" i="2"/>
  <c r="C20" i="13"/>
  <c r="D20" i="13"/>
  <c r="E13" i="13"/>
  <c r="E20" i="13"/>
  <c r="Q86" i="2"/>
  <c r="T24" i="2"/>
  <c r="U151" i="2"/>
  <c r="U160" i="2"/>
  <c r="U126" i="2"/>
  <c r="U78" i="2"/>
  <c r="T100" i="2"/>
  <c r="U68" i="2"/>
  <c r="U12" i="2"/>
  <c r="U37" i="2"/>
  <c r="T78" i="2"/>
  <c r="T86" i="2"/>
  <c r="T37" i="2"/>
  <c r="U86" i="2"/>
  <c r="U26" i="2"/>
  <c r="T7" i="2"/>
  <c r="Q68" i="2"/>
  <c r="U7" i="2"/>
  <c r="U24" i="2"/>
  <c r="Q26" i="2"/>
  <c r="Q78" i="2"/>
  <c r="Q113" i="2"/>
  <c r="T52" i="2"/>
  <c r="Q79" i="2"/>
  <c r="Q96" i="2"/>
  <c r="Q17" i="2"/>
  <c r="Q118" i="2"/>
  <c r="T66" i="2"/>
  <c r="U79" i="2"/>
  <c r="U20" i="2"/>
  <c r="T118" i="2"/>
  <c r="U96" i="2"/>
  <c r="T17" i="2"/>
  <c r="U11" i="2"/>
  <c r="T79" i="2"/>
  <c r="U63" i="2"/>
  <c r="T20" i="2"/>
  <c r="U99" i="2"/>
  <c r="U100" i="2"/>
  <c r="T68" i="2"/>
  <c r="Q11" i="2"/>
  <c r="T12" i="2"/>
  <c r="U22" i="2"/>
  <c r="U32" i="2"/>
  <c r="U51" i="2"/>
  <c r="Q100" i="2"/>
  <c r="Q7" i="2"/>
  <c r="U102" i="2"/>
  <c r="Q63" i="2"/>
  <c r="U66" i="2"/>
  <c r="Q69" i="2"/>
  <c r="Q37" i="2"/>
  <c r="AJ9" i="2"/>
  <c r="AH66" i="2"/>
  <c r="AP66" i="2" s="1"/>
  <c r="T22" i="2"/>
  <c r="T32" i="2"/>
  <c r="Q24" i="2"/>
  <c r="Q51" i="2"/>
  <c r="Q9" i="2"/>
  <c r="Q102" i="2"/>
  <c r="T102" i="2"/>
  <c r="Q52" i="2"/>
  <c r="U69" i="2"/>
  <c r="Q12" i="2"/>
  <c r="AJ51" i="2"/>
  <c r="T84" i="2"/>
  <c r="U16" i="2"/>
  <c r="Q99" i="2"/>
  <c r="U44" i="2"/>
  <c r="T51" i="2"/>
  <c r="U13" i="2"/>
  <c r="Q103" i="2"/>
  <c r="Q46" i="2"/>
  <c r="U38" i="2"/>
  <c r="Q13" i="2"/>
  <c r="T145" i="2"/>
  <c r="Q54" i="2"/>
  <c r="AJ63" i="2"/>
  <c r="U98" i="2"/>
  <c r="Q23" i="2"/>
  <c r="T9" i="2"/>
  <c r="Q35" i="2"/>
  <c r="T63" i="2"/>
  <c r="U89" i="2"/>
  <c r="Q66" i="2"/>
  <c r="U80" i="2"/>
  <c r="Q98" i="2"/>
  <c r="U35" i="2"/>
  <c r="T89" i="2"/>
  <c r="V38" i="2"/>
  <c r="T80" i="2"/>
  <c r="W44" i="2"/>
  <c r="V44" i="2" s="1"/>
  <c r="Q84" i="2"/>
  <c r="Q44" i="2"/>
  <c r="T35" i="2"/>
  <c r="T103" i="2"/>
  <c r="Q89" i="2"/>
  <c r="U84" i="2"/>
  <c r="T44" i="2"/>
  <c r="U54" i="2"/>
  <c r="S84" i="2"/>
  <c r="T54" i="2"/>
  <c r="U103" i="2"/>
  <c r="Q38" i="2"/>
  <c r="V2" i="2"/>
  <c r="Q31" i="2"/>
  <c r="T134" i="2"/>
  <c r="T119" i="2"/>
  <c r="U2" i="2"/>
  <c r="U31" i="2"/>
  <c r="Q28" i="2"/>
  <c r="U59" i="2"/>
  <c r="V62" i="2"/>
  <c r="U4" i="2"/>
  <c r="T163" i="2"/>
  <c r="Q119" i="2"/>
  <c r="U30" i="2"/>
  <c r="T59" i="2"/>
  <c r="T4" i="2"/>
  <c r="Q59" i="2"/>
  <c r="Q88" i="2"/>
  <c r="T30" i="2"/>
  <c r="W4" i="2"/>
  <c r="V4" i="2" s="1"/>
  <c r="W130" i="2"/>
  <c r="V130" i="2" s="1"/>
  <c r="Q130" i="2"/>
  <c r="V107" i="2"/>
  <c r="U62" i="2"/>
  <c r="U83" i="2"/>
  <c r="Q4" i="2"/>
  <c r="U28" i="2"/>
  <c r="T115" i="2"/>
  <c r="S107" i="2"/>
  <c r="S163" i="2"/>
  <c r="P107" i="2"/>
  <c r="P163" i="2"/>
  <c r="R40" i="2"/>
  <c r="R130" i="2"/>
  <c r="U134" i="2"/>
  <c r="Q83" i="2"/>
  <c r="U130" i="2"/>
  <c r="Q134" i="2"/>
  <c r="T28" i="2"/>
  <c r="R107" i="2"/>
  <c r="Q2" i="2"/>
  <c r="T83" i="2"/>
  <c r="U119" i="2"/>
  <c r="Q163" i="2"/>
  <c r="U88" i="2"/>
  <c r="V30" i="2"/>
  <c r="W163" i="2"/>
  <c r="V163" i="2" s="1"/>
  <c r="T88" i="2"/>
  <c r="Q30" i="2"/>
  <c r="S40" i="2"/>
  <c r="S2" i="2"/>
  <c r="AH224" i="2"/>
  <c r="AP224" i="2" s="1"/>
  <c r="AQ216" i="2"/>
  <c r="AH232" i="2"/>
  <c r="AP232" i="2" s="1"/>
  <c r="AL225" i="2"/>
  <c r="AH225" i="2"/>
  <c r="AP225" i="2" s="1"/>
  <c r="U101" i="2"/>
  <c r="AI226" i="2"/>
  <c r="Q64" i="2"/>
  <c r="U10" i="2"/>
  <c r="AQ226" i="2"/>
  <c r="AQ218" i="2"/>
  <c r="Q61" i="2"/>
  <c r="U64" i="2"/>
  <c r="U58" i="2"/>
  <c r="Q29" i="2"/>
  <c r="AI218" i="2"/>
  <c r="Q67" i="2"/>
  <c r="AK64" i="2"/>
  <c r="AH239" i="2"/>
  <c r="AP239" i="2" s="1"/>
  <c r="AH231" i="2"/>
  <c r="AP231" i="2" s="1"/>
  <c r="AH223" i="2"/>
  <c r="AP223" i="2" s="1"/>
  <c r="AH215" i="2"/>
  <c r="AP215" i="2" s="1"/>
  <c r="T64" i="2"/>
  <c r="T58" i="2"/>
  <c r="AH238" i="2"/>
  <c r="AP238" i="2" s="1"/>
  <c r="AH222" i="2"/>
  <c r="AP222" i="2" s="1"/>
  <c r="Q25" i="2"/>
  <c r="U61" i="2"/>
  <c r="AI234" i="2"/>
  <c r="Q45" i="2"/>
  <c r="AC216" i="2"/>
  <c r="AL216" i="2" s="1"/>
  <c r="AH237" i="2"/>
  <c r="AP237" i="2" s="1"/>
  <c r="AH229" i="2"/>
  <c r="AP229" i="2" s="1"/>
  <c r="U45" i="2"/>
  <c r="T61" i="2"/>
  <c r="T45" i="2"/>
  <c r="AH235" i="2"/>
  <c r="AP235" i="2" s="1"/>
  <c r="AH227" i="2"/>
  <c r="AP227" i="2" s="1"/>
  <c r="AH219" i="2"/>
  <c r="AP219" i="2" s="1"/>
  <c r="AQ221" i="2"/>
  <c r="AI230" i="2"/>
  <c r="U165" i="2"/>
  <c r="U159" i="2"/>
  <c r="T204" i="2"/>
  <c r="T198" i="2"/>
  <c r="Q114" i="2"/>
  <c r="T197" i="2"/>
  <c r="T156" i="2"/>
  <c r="T97" i="2"/>
  <c r="U34" i="2"/>
  <c r="Q8" i="2"/>
  <c r="S50" i="2"/>
  <c r="S162" i="2"/>
  <c r="W50" i="2"/>
  <c r="V50" i="2" s="1"/>
  <c r="W162" i="2"/>
  <c r="V162" i="2" s="1"/>
  <c r="R129" i="2"/>
  <c r="Q97" i="2"/>
  <c r="Q34" i="2"/>
  <c r="U33" i="2"/>
  <c r="P94" i="2"/>
  <c r="P129" i="2"/>
  <c r="T60" i="2"/>
  <c r="Q81" i="2"/>
  <c r="T27" i="2"/>
  <c r="U208" i="2"/>
  <c r="U81" i="2"/>
  <c r="U65" i="2"/>
  <c r="S203" i="2"/>
  <c r="W203" i="2"/>
  <c r="V203" i="2" s="1"/>
  <c r="R162" i="2"/>
  <c r="R94" i="2"/>
  <c r="U60" i="2"/>
  <c r="T33" i="2"/>
  <c r="U85" i="2"/>
  <c r="Q60" i="2"/>
  <c r="Q33" i="2"/>
  <c r="T85" i="2"/>
  <c r="U14" i="2"/>
  <c r="T81" i="2"/>
  <c r="T65" i="2"/>
  <c r="Q65" i="2"/>
  <c r="S62" i="2"/>
  <c r="P50" i="2"/>
  <c r="T8" i="2"/>
  <c r="Q27" i="2"/>
  <c r="U27" i="2"/>
  <c r="S98" i="2"/>
  <c r="W98" i="2"/>
  <c r="V98" i="2" s="1"/>
  <c r="Q14" i="2"/>
  <c r="S94" i="2"/>
  <c r="S129" i="2"/>
  <c r="B19" i="13"/>
  <c r="K14" i="13"/>
  <c r="K16" i="13"/>
  <c r="K18" i="13"/>
  <c r="J19" i="13"/>
  <c r="K34" i="13"/>
  <c r="K36" i="13"/>
  <c r="B39" i="13"/>
  <c r="U116" i="2"/>
  <c r="Q115" i="2"/>
  <c r="S24" i="2"/>
  <c r="U170" i="2"/>
  <c r="Q173" i="2"/>
  <c r="U182" i="2"/>
  <c r="Q150" i="2"/>
  <c r="T193" i="2"/>
  <c r="Q170" i="2"/>
  <c r="U143" i="2"/>
  <c r="T153" i="2"/>
  <c r="Q164" i="2"/>
  <c r="Q160" i="2"/>
  <c r="S68" i="2"/>
  <c r="U150" i="2"/>
  <c r="U171" i="2"/>
  <c r="T165" i="2"/>
  <c r="Q174" i="2"/>
  <c r="Q104" i="2"/>
  <c r="T171" i="2"/>
  <c r="U164" i="2"/>
  <c r="Q198" i="2"/>
  <c r="W11" i="2"/>
  <c r="V11" i="2" s="1"/>
  <c r="U174" i="2"/>
  <c r="Q197" i="2"/>
  <c r="U169" i="2"/>
  <c r="AI2047" i="2"/>
  <c r="AI1839" i="2"/>
  <c r="AI1591" i="2"/>
  <c r="AI1543" i="2"/>
  <c r="S97" i="2"/>
  <c r="U205" i="2"/>
  <c r="U104" i="2"/>
  <c r="AI2111" i="2"/>
  <c r="AI2039" i="2"/>
  <c r="W102" i="2"/>
  <c r="V102" i="2" s="1"/>
  <c r="R81" i="2"/>
  <c r="U193" i="2"/>
  <c r="T205" i="2"/>
  <c r="AI2183" i="2"/>
  <c r="AI1831" i="2"/>
  <c r="AI1535" i="2"/>
  <c r="U153" i="2"/>
  <c r="W37" i="2"/>
  <c r="V37" i="2" s="1"/>
  <c r="W24" i="2"/>
  <c r="V24" i="2" s="1"/>
  <c r="U181" i="2"/>
  <c r="S26" i="2"/>
  <c r="W12" i="2"/>
  <c r="V12" i="2" s="1"/>
  <c r="W7" i="2"/>
  <c r="V7" i="2" s="1"/>
  <c r="P100" i="2"/>
  <c r="T120" i="2"/>
  <c r="T114" i="2"/>
  <c r="T175" i="2"/>
  <c r="T159" i="2"/>
  <c r="U74" i="2"/>
  <c r="U156" i="2"/>
  <c r="S100" i="2"/>
  <c r="W78" i="2"/>
  <c r="V78" i="2" s="1"/>
  <c r="W86" i="2"/>
  <c r="V86" i="2" s="1"/>
  <c r="R12" i="2"/>
  <c r="U204" i="2"/>
  <c r="Q167" i="2"/>
  <c r="S37" i="2"/>
  <c r="S7" i="2"/>
  <c r="W26" i="2"/>
  <c r="V26" i="2" s="1"/>
  <c r="Q74" i="2"/>
  <c r="S12" i="2"/>
  <c r="S78" i="2"/>
  <c r="U175" i="2"/>
  <c r="S86" i="2"/>
  <c r="W68" i="2"/>
  <c r="V68" i="2" s="1"/>
  <c r="T186" i="2"/>
  <c r="W46" i="2"/>
  <c r="V46" i="2" s="1"/>
  <c r="P84" i="2"/>
  <c r="T111" i="2"/>
  <c r="AC64" i="2"/>
  <c r="S33" i="2"/>
  <c r="W35" i="2"/>
  <c r="V35" i="2" s="1"/>
  <c r="S65" i="2"/>
  <c r="S23" i="2"/>
  <c r="W103" i="2"/>
  <c r="V103" i="2" s="1"/>
  <c r="T142" i="2"/>
  <c r="U206" i="2"/>
  <c r="W14" i="2"/>
  <c r="V14" i="2" s="1"/>
  <c r="T112" i="2"/>
  <c r="S14" i="2"/>
  <c r="W33" i="2"/>
  <c r="V33" i="2" s="1"/>
  <c r="Q180" i="2"/>
  <c r="Q151" i="2"/>
  <c r="T182" i="2"/>
  <c r="T146" i="2"/>
  <c r="U112" i="2"/>
  <c r="U121" i="2"/>
  <c r="S85" i="2"/>
  <c r="W81" i="2"/>
  <c r="V81" i="2" s="1"/>
  <c r="S8" i="2"/>
  <c r="W85" i="2"/>
  <c r="V85" i="2" s="1"/>
  <c r="W8" i="2"/>
  <c r="V8" i="2" s="1"/>
  <c r="T176" i="2"/>
  <c r="T116" i="2"/>
  <c r="T126" i="2"/>
  <c r="T184" i="2"/>
  <c r="T169" i="2"/>
  <c r="U184" i="2"/>
  <c r="U167" i="2"/>
  <c r="W27" i="2"/>
  <c r="V27" i="2" s="1"/>
  <c r="T149" i="2"/>
  <c r="S34" i="2"/>
  <c r="S60" i="2"/>
  <c r="W60" i="2"/>
  <c r="V60" i="2" s="1"/>
  <c r="Q152" i="2"/>
  <c r="T148" i="2"/>
  <c r="AB253" i="2"/>
  <c r="AK253" i="2" s="1"/>
  <c r="AC253" i="2"/>
  <c r="AL253" i="2" s="1"/>
  <c r="AB261" i="2"/>
  <c r="AK261" i="2" s="1"/>
  <c r="AC261" i="2"/>
  <c r="AL261" i="2" s="1"/>
  <c r="S133" i="2"/>
  <c r="W133" i="2"/>
  <c r="V133" i="2" s="1"/>
  <c r="U133" i="2"/>
  <c r="R133" i="2"/>
  <c r="P133" i="2"/>
  <c r="Q133" i="2"/>
  <c r="T133" i="2"/>
  <c r="T214" i="2"/>
  <c r="T147" i="2"/>
  <c r="S109" i="2"/>
  <c r="S80" i="2"/>
  <c r="W41" i="2"/>
  <c r="V41" i="2" s="1"/>
  <c r="T195" i="2"/>
  <c r="Q194" i="2"/>
  <c r="Q128" i="2"/>
  <c r="T191" i="2"/>
  <c r="T173" i="2"/>
  <c r="U113" i="2"/>
  <c r="Q187" i="2"/>
  <c r="U145" i="2"/>
  <c r="AI2151" i="2"/>
  <c r="S46" i="2"/>
  <c r="S103" i="2"/>
  <c r="S35" i="2"/>
  <c r="S6" i="2"/>
  <c r="P38" i="2"/>
  <c r="Z317" i="2"/>
  <c r="U185" i="2"/>
  <c r="U188" i="2"/>
  <c r="S53" i="2"/>
  <c r="S87" i="2"/>
  <c r="S83" i="2"/>
  <c r="W21" i="2"/>
  <c r="V21" i="2" s="1"/>
  <c r="T172" i="2"/>
  <c r="Q135" i="2"/>
  <c r="AI1975" i="2"/>
  <c r="W87" i="2"/>
  <c r="V87" i="2" s="1"/>
  <c r="S38" i="2"/>
  <c r="S44" i="2"/>
  <c r="S19" i="2"/>
  <c r="W19" i="2"/>
  <c r="V19" i="2" s="1"/>
  <c r="P21" i="2"/>
  <c r="C199" i="8"/>
  <c r="N199" i="8"/>
  <c r="W199" i="8"/>
  <c r="T199" i="8"/>
  <c r="V199" i="8"/>
  <c r="S199" i="8"/>
  <c r="T3" i="2"/>
  <c r="S3" i="2"/>
  <c r="U3" i="2"/>
  <c r="R3" i="2"/>
  <c r="W3" i="2"/>
  <c r="V3" i="2" s="1"/>
  <c r="Q3" i="2"/>
  <c r="P3" i="2"/>
  <c r="T77" i="2"/>
  <c r="R77" i="2"/>
  <c r="S77" i="2"/>
  <c r="U77" i="2"/>
  <c r="W77" i="2"/>
  <c r="V77" i="2" s="1"/>
  <c r="Q77" i="2"/>
  <c r="P77" i="2"/>
  <c r="U214" i="2"/>
  <c r="U147" i="2"/>
  <c r="T199" i="2"/>
  <c r="U199" i="2"/>
  <c r="T155" i="2"/>
  <c r="Q144" i="2"/>
  <c r="S30" i="2"/>
  <c r="S119" i="2"/>
  <c r="W28" i="2"/>
  <c r="V28" i="2" s="1"/>
  <c r="W42" i="2"/>
  <c r="V42" i="2" s="1"/>
  <c r="W31" i="2"/>
  <c r="V31" i="2" s="1"/>
  <c r="W59" i="2"/>
  <c r="V59" i="2" s="1"/>
  <c r="R46" i="2"/>
  <c r="P19" i="2"/>
  <c r="R62" i="2"/>
  <c r="T208" i="2"/>
  <c r="T189" i="2"/>
  <c r="U144" i="2"/>
  <c r="U110" i="2"/>
  <c r="S36" i="2"/>
  <c r="S64" i="2"/>
  <c r="S31" i="2"/>
  <c r="W119" i="2"/>
  <c r="V119" i="2" s="1"/>
  <c r="W58" i="2"/>
  <c r="V58" i="2" s="1"/>
  <c r="P18" i="2"/>
  <c r="Q196" i="2"/>
  <c r="Q176" i="2"/>
  <c r="Q211" i="2"/>
  <c r="U191" i="2"/>
  <c r="U82" i="2"/>
  <c r="T180" i="2"/>
  <c r="T136" i="2"/>
  <c r="T55" i="2"/>
  <c r="S18" i="2"/>
  <c r="W80" i="2"/>
  <c r="V80" i="2" s="1"/>
  <c r="W23" i="2"/>
  <c r="V23" i="2" s="1"/>
  <c r="R80" i="2"/>
  <c r="P37" i="2"/>
  <c r="C13" i="13"/>
  <c r="B72" i="8"/>
  <c r="T128" i="2"/>
  <c r="U196" i="2"/>
  <c r="U140" i="2"/>
  <c r="U211" i="2"/>
  <c r="Q136" i="2"/>
  <c r="Q55" i="2"/>
  <c r="S88" i="2"/>
  <c r="S134" i="2"/>
  <c r="W101" i="2"/>
  <c r="V101" i="2" s="1"/>
  <c r="B135" i="8"/>
  <c r="Q140" i="2"/>
  <c r="Q166" i="2"/>
  <c r="Q110" i="2"/>
  <c r="T196" i="2"/>
  <c r="Q209" i="2"/>
  <c r="T206" i="2"/>
  <c r="T188" i="2"/>
  <c r="U55" i="2"/>
  <c r="S43" i="2"/>
  <c r="S101" i="2"/>
  <c r="S59" i="2"/>
  <c r="P101" i="2"/>
  <c r="U117" i="2"/>
  <c r="U186" i="2"/>
  <c r="T166" i="2"/>
  <c r="Q181" i="2"/>
  <c r="S28" i="2"/>
  <c r="S154" i="2"/>
  <c r="W154" i="2"/>
  <c r="V154" i="2" s="1"/>
  <c r="U154" i="2"/>
  <c r="R154" i="2"/>
  <c r="P154" i="2"/>
  <c r="Q154" i="2"/>
  <c r="T154" i="2"/>
  <c r="S202" i="2"/>
  <c r="U202" i="2"/>
  <c r="W202" i="2"/>
  <c r="V202" i="2" s="1"/>
  <c r="D13" i="13"/>
  <c r="R202" i="2"/>
  <c r="P202" i="2"/>
  <c r="T202" i="2"/>
  <c r="Q202" i="2"/>
  <c r="T190" i="2"/>
  <c r="Q177" i="2"/>
  <c r="U137" i="2"/>
  <c r="Q185" i="2"/>
  <c r="Q138" i="2"/>
  <c r="Q111" i="2"/>
  <c r="Q117" i="2"/>
  <c r="P10" i="2"/>
  <c r="Q120" i="2"/>
  <c r="Q137" i="2"/>
  <c r="Q82" i="2"/>
  <c r="T201" i="2"/>
  <c r="T183" i="2"/>
  <c r="T139" i="2"/>
  <c r="T168" i="2"/>
  <c r="R29" i="2"/>
  <c r="S29" i="2"/>
  <c r="S10" i="2"/>
  <c r="S58" i="2"/>
  <c r="W45" i="2"/>
  <c r="V45" i="2" s="1"/>
  <c r="W10" i="2"/>
  <c r="V10" i="2" s="1"/>
  <c r="R101" i="2"/>
  <c r="Q190" i="2"/>
  <c r="W61" i="2"/>
  <c r="V61" i="2" s="1"/>
  <c r="W29" i="2"/>
  <c r="V29" i="2" s="1"/>
  <c r="R45" i="2"/>
  <c r="P64" i="2"/>
  <c r="R61" i="2"/>
  <c r="T157" i="2"/>
  <c r="T138" i="2"/>
  <c r="Q139" i="2"/>
  <c r="W64" i="2"/>
  <c r="V64" i="2" s="1"/>
  <c r="P61" i="2"/>
  <c r="B191" i="8"/>
  <c r="Z191" i="8" s="1"/>
  <c r="T177" i="2"/>
  <c r="Q201" i="2"/>
  <c r="S67" i="2"/>
  <c r="S25" i="2"/>
  <c r="W67" i="2"/>
  <c r="V67" i="2" s="1"/>
  <c r="W25" i="2"/>
  <c r="V25" i="2" s="1"/>
  <c r="R67" i="2"/>
  <c r="Q207" i="2"/>
  <c r="U47" i="2"/>
  <c r="Q47" i="2"/>
  <c r="T143" i="2"/>
  <c r="U210" i="2"/>
  <c r="T210" i="2"/>
  <c r="Q158" i="2"/>
  <c r="W106" i="2"/>
  <c r="V106" i="2" s="1"/>
  <c r="F17" i="13"/>
  <c r="K17" i="13" s="1"/>
  <c r="S106" i="2"/>
  <c r="R106" i="2"/>
  <c r="P106" i="2"/>
  <c r="R5" i="2"/>
  <c r="W5" i="2"/>
  <c r="V5" i="2" s="1"/>
  <c r="S5" i="2"/>
  <c r="P5" i="2"/>
  <c r="U155" i="2"/>
  <c r="Q155" i="2"/>
  <c r="T178" i="2"/>
  <c r="Q141" i="2"/>
  <c r="T141" i="2"/>
  <c r="U213" i="2"/>
  <c r="Q213" i="2"/>
  <c r="T158" i="2"/>
  <c r="AL22" i="2"/>
  <c r="AH22" i="2"/>
  <c r="AP22" i="2" s="1"/>
  <c r="T209" i="2"/>
  <c r="U178" i="2"/>
  <c r="U189" i="2"/>
  <c r="Q189" i="2"/>
  <c r="T194" i="2"/>
  <c r="W132" i="2"/>
  <c r="V132" i="2" s="1"/>
  <c r="S132" i="2"/>
  <c r="R132" i="2"/>
  <c r="P132" i="2"/>
  <c r="R105" i="2"/>
  <c r="P105" i="2"/>
  <c r="W105" i="2"/>
  <c r="V105" i="2" s="1"/>
  <c r="S105" i="2"/>
  <c r="P76" i="2"/>
  <c r="W76" i="2"/>
  <c r="V76" i="2" s="1"/>
  <c r="R76" i="2"/>
  <c r="S76" i="2"/>
  <c r="T213" i="2"/>
  <c r="T207" i="2"/>
  <c r="T200" i="2"/>
  <c r="Q200" i="2"/>
  <c r="AC9" i="2"/>
  <c r="R30" i="2"/>
  <c r="P83" i="2"/>
  <c r="C15" i="13"/>
  <c r="AC51" i="2"/>
  <c r="S89" i="2"/>
  <c r="S54" i="2"/>
  <c r="S13" i="2"/>
  <c r="S66" i="2"/>
  <c r="S63" i="2"/>
  <c r="S9" i="2"/>
  <c r="S51" i="2"/>
  <c r="S22" i="2"/>
  <c r="S99" i="2"/>
  <c r="S16" i="2"/>
  <c r="B80" i="8"/>
  <c r="Z80" i="8" s="1"/>
  <c r="B143" i="8"/>
  <c r="AY345" i="2"/>
  <c r="AY305" i="2"/>
  <c r="AY289" i="2"/>
  <c r="AY273" i="2"/>
  <c r="Y273" i="2" a="1"/>
  <c r="Y273" i="2" s="1"/>
  <c r="Y289" i="2" a="1"/>
  <c r="Y289" i="2" s="1"/>
  <c r="Y305" i="2" a="1"/>
  <c r="Y305" i="2" s="1"/>
  <c r="Y345" i="2" a="1"/>
  <c r="Y345" i="2" s="1"/>
  <c r="Y433" i="2" a="1"/>
  <c r="Y433" i="2" s="1"/>
  <c r="Y537" i="2" a="1"/>
  <c r="Y537" i="2" s="1"/>
  <c r="Y577" i="2" a="1"/>
  <c r="Y577" i="2" s="1"/>
  <c r="Y929" i="2" a="1"/>
  <c r="Y929" i="2" s="1"/>
  <c r="W88" i="2"/>
  <c r="V88" i="2" s="1"/>
  <c r="R66" i="2"/>
  <c r="R31" i="2"/>
  <c r="B88" i="8"/>
  <c r="B151" i="8"/>
  <c r="X151" i="8" s="1"/>
  <c r="AY465" i="2"/>
  <c r="AY321" i="2"/>
  <c r="Y497" i="2" a="1"/>
  <c r="Y497" i="2" s="1"/>
  <c r="Y545" i="2" a="1"/>
  <c r="Y545" i="2" s="1"/>
  <c r="Y601" i="2" a="1"/>
  <c r="Y601" i="2" s="1"/>
  <c r="Y713" i="2" a="1"/>
  <c r="Y713" i="2" s="1"/>
  <c r="Y745" i="2" a="1"/>
  <c r="Y745" i="2" s="1"/>
  <c r="Y769" i="2" a="1"/>
  <c r="Y769" i="2" s="1"/>
  <c r="Y833" i="2" a="1"/>
  <c r="Y833" i="2" s="1"/>
  <c r="Y857" i="2" a="1"/>
  <c r="Y857" i="2" s="1"/>
  <c r="T92" i="2"/>
  <c r="AI2348" i="2"/>
  <c r="AI2172" i="2"/>
  <c r="U135" i="2"/>
  <c r="Q168" i="2"/>
  <c r="Q183" i="2"/>
  <c r="AI2356" i="2"/>
  <c r="AI2100" i="2"/>
  <c r="AI1940" i="2"/>
  <c r="AI1892" i="2"/>
  <c r="AI1844" i="2"/>
  <c r="AI1804" i="2"/>
  <c r="AI1684" i="2"/>
  <c r="AI1420" i="2"/>
  <c r="AI1372" i="2"/>
  <c r="AI1316" i="2"/>
  <c r="AI1260" i="2"/>
  <c r="AI1228" i="2"/>
  <c r="AI1196" i="2"/>
  <c r="AI1164" i="2"/>
  <c r="AI1132" i="2"/>
  <c r="AI1100" i="2"/>
  <c r="AI1068" i="2"/>
  <c r="AI996" i="2"/>
  <c r="AN9" i="2"/>
  <c r="W20" i="2"/>
  <c r="V20" i="2" s="1"/>
  <c r="P30" i="2"/>
  <c r="P88" i="2"/>
  <c r="P63" i="2"/>
  <c r="R119" i="2"/>
  <c r="R25" i="2"/>
  <c r="B96" i="8"/>
  <c r="X96" i="8" s="1"/>
  <c r="B159" i="8"/>
  <c r="X159" i="8" s="1"/>
  <c r="AY481" i="2"/>
  <c r="AY433" i="2"/>
  <c r="AY417" i="2"/>
  <c r="AY233" i="2"/>
  <c r="Y329" i="2" a="1"/>
  <c r="Y329" i="2" s="1"/>
  <c r="Y417" i="2" a="1"/>
  <c r="Y417" i="2" s="1"/>
  <c r="Y441" i="2" a="1"/>
  <c r="Y441" i="2" s="1"/>
  <c r="Y697" i="2" a="1"/>
  <c r="Y697" i="2" s="1"/>
  <c r="Y729" i="2" a="1"/>
  <c r="Y729" i="2" s="1"/>
  <c r="Y793" i="2" a="1"/>
  <c r="Y793" i="2" s="1"/>
  <c r="Y905" i="2" a="1"/>
  <c r="Y905" i="2" s="1"/>
  <c r="T121" i="2"/>
  <c r="Q92" i="2"/>
  <c r="Q142" i="2"/>
  <c r="AI2244" i="2"/>
  <c r="AI2076" i="2"/>
  <c r="AI1980" i="2"/>
  <c r="AI1884" i="2"/>
  <c r="AI1796" i="2"/>
  <c r="AI1740" i="2"/>
  <c r="AI1660" i="2"/>
  <c r="AI1588" i="2"/>
  <c r="AI1524" i="2"/>
  <c r="AI1468" i="2"/>
  <c r="AI1412" i="2"/>
  <c r="AI1364" i="2"/>
  <c r="AI1308" i="2"/>
  <c r="AI1060" i="2"/>
  <c r="S52" i="2"/>
  <c r="S118" i="2"/>
  <c r="S102" i="2"/>
  <c r="S32" i="2"/>
  <c r="S17" i="2"/>
  <c r="S96" i="2"/>
  <c r="W32" i="2"/>
  <c r="V32" i="2" s="1"/>
  <c r="W83" i="2"/>
  <c r="V83" i="2" s="1"/>
  <c r="R28" i="2"/>
  <c r="P29" i="2"/>
  <c r="P67" i="2"/>
  <c r="P62" i="2"/>
  <c r="P25" i="2"/>
  <c r="R64" i="2"/>
  <c r="B41" i="8"/>
  <c r="B104" i="8"/>
  <c r="B167" i="8"/>
  <c r="X167" i="8" s="1"/>
  <c r="AY457" i="2"/>
  <c r="AY337" i="2"/>
  <c r="Y481" i="2" a="1"/>
  <c r="Y481" i="2" s="1"/>
  <c r="Y585" i="2" a="1"/>
  <c r="Y585" i="2" s="1"/>
  <c r="Y841" i="2" a="1"/>
  <c r="Y841" i="2" s="1"/>
  <c r="B49" i="8"/>
  <c r="B111" i="8"/>
  <c r="B175" i="8"/>
  <c r="X175" i="8" s="1"/>
  <c r="AI1276" i="2"/>
  <c r="Q157" i="2"/>
  <c r="AI2404" i="2"/>
  <c r="AI2316" i="2"/>
  <c r="AI2228" i="2"/>
  <c r="AI2148" i="2"/>
  <c r="AI1964" i="2"/>
  <c r="AI1916" i="2"/>
  <c r="AI1876" i="2"/>
  <c r="AI1788" i="2"/>
  <c r="AI1724" i="2"/>
  <c r="AI1572" i="2"/>
  <c r="AI1516" i="2"/>
  <c r="AI1404" i="2"/>
  <c r="AI1300" i="2"/>
  <c r="AI1044" i="2"/>
  <c r="AI980" i="2"/>
  <c r="AI772" i="2"/>
  <c r="AI740" i="2"/>
  <c r="AI708" i="2"/>
  <c r="AI676" i="2"/>
  <c r="AI660" i="2"/>
  <c r="AI628" i="2"/>
  <c r="AI596" i="2"/>
  <c r="AI564" i="2"/>
  <c r="AI532" i="2"/>
  <c r="W134" i="2"/>
  <c r="V134" i="2" s="1"/>
  <c r="P59" i="2"/>
  <c r="R10" i="2"/>
  <c r="Z72" i="8"/>
  <c r="B57" i="8"/>
  <c r="X57" i="8" s="1"/>
  <c r="B119" i="8"/>
  <c r="B183" i="8"/>
  <c r="AY449" i="2"/>
  <c r="Y337" i="2" a="1"/>
  <c r="Y337" i="2" s="1"/>
  <c r="Y425" i="2" a="1"/>
  <c r="Y425" i="2" s="1"/>
  <c r="Y457" i="2" a="1"/>
  <c r="Y457" i="2" s="1"/>
  <c r="Y561" i="2" a="1"/>
  <c r="Y561" i="2" s="1"/>
  <c r="Y721" i="2" a="1"/>
  <c r="Y721" i="2" s="1"/>
  <c r="Y913" i="2" a="1"/>
  <c r="Y913" i="2" s="1"/>
  <c r="AI2140" i="2"/>
  <c r="AI2028" i="2"/>
  <c r="AI1820" i="2"/>
  <c r="AI1772" i="2"/>
  <c r="AI1452" i="2"/>
  <c r="AI1244" i="2"/>
  <c r="AI1212" i="2"/>
  <c r="AI1180" i="2"/>
  <c r="AI1148" i="2"/>
  <c r="AI1116" i="2"/>
  <c r="AI1084" i="2"/>
  <c r="AI1036" i="2"/>
  <c r="AC63" i="2"/>
  <c r="P45" i="2"/>
  <c r="P134" i="2"/>
  <c r="P58" i="2"/>
  <c r="R58" i="2"/>
  <c r="Z135" i="8"/>
  <c r="B65" i="8"/>
  <c r="X65" i="8" s="1"/>
  <c r="B127" i="8"/>
  <c r="AY425" i="2"/>
  <c r="AY329" i="2"/>
  <c r="Y409" i="2" a="1"/>
  <c r="Y409" i="2" s="1"/>
  <c r="Y465" i="2" a="1"/>
  <c r="Y465" i="2" s="1"/>
  <c r="Y489" i="2" a="1"/>
  <c r="Y489" i="2" s="1"/>
  <c r="Y569" i="2" a="1"/>
  <c r="Y569" i="2" s="1"/>
  <c r="Y593" i="2" a="1"/>
  <c r="Y593" i="2" s="1"/>
  <c r="Y705" i="2" a="1"/>
  <c r="Y705" i="2" s="1"/>
  <c r="Y737" i="2" a="1"/>
  <c r="Y737" i="2" s="1"/>
  <c r="Y849" i="2" a="1"/>
  <c r="Y849" i="2" s="1"/>
  <c r="T192" i="2"/>
  <c r="U212" i="2"/>
  <c r="T179" i="2"/>
  <c r="P55" i="2"/>
  <c r="R55" i="2"/>
  <c r="S55" i="2"/>
  <c r="W55" i="2"/>
  <c r="V55" i="2" s="1"/>
  <c r="P188" i="2"/>
  <c r="R188" i="2"/>
  <c r="S188" i="2"/>
  <c r="W188" i="2"/>
  <c r="V188" i="2" s="1"/>
  <c r="Z144" i="2"/>
  <c r="AB144" i="2" s="1"/>
  <c r="P144" i="2"/>
  <c r="R144" i="2"/>
  <c r="W144" i="2"/>
  <c r="V144" i="2" s="1"/>
  <c r="S144" i="2"/>
  <c r="P136" i="2"/>
  <c r="R136" i="2"/>
  <c r="S136" i="2"/>
  <c r="W136" i="2"/>
  <c r="V136" i="2" s="1"/>
  <c r="P206" i="2"/>
  <c r="R206" i="2"/>
  <c r="S206" i="2"/>
  <c r="W206" i="2"/>
  <c r="V206" i="2" s="1"/>
  <c r="R171" i="2"/>
  <c r="P171" i="2"/>
  <c r="W171" i="2"/>
  <c r="V171" i="2" s="1"/>
  <c r="S171" i="2"/>
  <c r="P197" i="2"/>
  <c r="R197" i="2"/>
  <c r="W197" i="2"/>
  <c r="V197" i="2" s="1"/>
  <c r="S197" i="2"/>
  <c r="P198" i="2"/>
  <c r="R198" i="2"/>
  <c r="W198" i="2"/>
  <c r="V198" i="2" s="1"/>
  <c r="S198" i="2"/>
  <c r="R174" i="2"/>
  <c r="W174" i="2"/>
  <c r="V174" i="2" s="1"/>
  <c r="P174" i="2"/>
  <c r="S174" i="2"/>
  <c r="R150" i="2"/>
  <c r="P150" i="2"/>
  <c r="W150" i="2"/>
  <c r="V150" i="2" s="1"/>
  <c r="S150" i="2"/>
  <c r="P153" i="2"/>
  <c r="R153" i="2"/>
  <c r="W153" i="2"/>
  <c r="V153" i="2" s="1"/>
  <c r="S153" i="2"/>
  <c r="P193" i="2"/>
  <c r="R193" i="2"/>
  <c r="W193" i="2"/>
  <c r="V193" i="2" s="1"/>
  <c r="S193" i="2"/>
  <c r="U192" i="2"/>
  <c r="P110" i="2"/>
  <c r="Z110" i="2"/>
  <c r="X110" i="2" s="1"/>
  <c r="S110" i="2"/>
  <c r="W110" i="2"/>
  <c r="V110" i="2" s="1"/>
  <c r="R110" i="2"/>
  <c r="P189" i="2"/>
  <c r="Z189" i="2"/>
  <c r="AC189" i="2" s="1"/>
  <c r="AL189" i="2" s="1"/>
  <c r="S189" i="2"/>
  <c r="R189" i="2"/>
  <c r="W189" i="2"/>
  <c r="V189" i="2" s="1"/>
  <c r="Z166" i="2"/>
  <c r="AB166" i="2" s="1"/>
  <c r="AG166" i="2" s="1"/>
  <c r="AO166" i="2" s="1"/>
  <c r="P166" i="2"/>
  <c r="S166" i="2"/>
  <c r="W166" i="2"/>
  <c r="V166" i="2" s="1"/>
  <c r="R166" i="2"/>
  <c r="Z194" i="2"/>
  <c r="AB194" i="2" s="1"/>
  <c r="AG194" i="2" s="1"/>
  <c r="P194" i="2"/>
  <c r="S194" i="2"/>
  <c r="W194" i="2"/>
  <c r="V194" i="2" s="1"/>
  <c r="R194" i="2"/>
  <c r="P211" i="2"/>
  <c r="Z211" i="2"/>
  <c r="AC211" i="2" s="1"/>
  <c r="AL211" i="2" s="1"/>
  <c r="S211" i="2"/>
  <c r="W211" i="2"/>
  <c r="V211" i="2" s="1"/>
  <c r="R211" i="2"/>
  <c r="P155" i="2"/>
  <c r="R155" i="2"/>
  <c r="S155" i="2"/>
  <c r="W155" i="2"/>
  <c r="V155" i="2" s="1"/>
  <c r="Z178" i="2"/>
  <c r="AB178" i="2" s="1"/>
  <c r="P178" i="2"/>
  <c r="R178" i="2"/>
  <c r="S178" i="2"/>
  <c r="W178" i="2"/>
  <c r="V178" i="2" s="1"/>
  <c r="P207" i="2"/>
  <c r="R207" i="2"/>
  <c r="W207" i="2"/>
  <c r="V207" i="2" s="1"/>
  <c r="S207" i="2"/>
  <c r="P141" i="2"/>
  <c r="R141" i="2"/>
  <c r="S141" i="2"/>
  <c r="W141" i="2"/>
  <c r="V141" i="2" s="1"/>
  <c r="P213" i="2"/>
  <c r="R213" i="2"/>
  <c r="S213" i="2"/>
  <c r="W213" i="2"/>
  <c r="V213" i="2" s="1"/>
  <c r="Z158" i="2"/>
  <c r="AB158" i="2" s="1"/>
  <c r="P158" i="2"/>
  <c r="R158" i="2"/>
  <c r="W158" i="2"/>
  <c r="V158" i="2" s="1"/>
  <c r="S158" i="2"/>
  <c r="Z209" i="2"/>
  <c r="AA209" i="2" s="1"/>
  <c r="AF209" i="2" s="1"/>
  <c r="P209" i="2"/>
  <c r="R209" i="2"/>
  <c r="S209" i="2"/>
  <c r="W209" i="2"/>
  <c r="V209" i="2" s="1"/>
  <c r="Q179" i="2"/>
  <c r="T212" i="2"/>
  <c r="Z47" i="2"/>
  <c r="X47" i="2" s="1"/>
  <c r="R47" i="2"/>
  <c r="P47" i="2"/>
  <c r="W47" i="2"/>
  <c r="V47" i="2" s="1"/>
  <c r="S47" i="2"/>
  <c r="Z143" i="2"/>
  <c r="X143" i="2" s="1"/>
  <c r="R143" i="2"/>
  <c r="P143" i="2"/>
  <c r="S143" i="2"/>
  <c r="W143" i="2"/>
  <c r="V143" i="2" s="1"/>
  <c r="R210" i="2"/>
  <c r="Z210" i="2"/>
  <c r="X210" i="2" s="1"/>
  <c r="S210" i="2"/>
  <c r="W210" i="2"/>
  <c r="V210" i="2" s="1"/>
  <c r="P210" i="2"/>
  <c r="R113" i="2"/>
  <c r="Z113" i="2"/>
  <c r="AC113" i="2" s="1"/>
  <c r="AL113" i="2" s="1"/>
  <c r="P113" i="2"/>
  <c r="S113" i="2"/>
  <c r="W113" i="2"/>
  <c r="V113" i="2" s="1"/>
  <c r="Z147" i="2"/>
  <c r="AC147" i="2" s="1"/>
  <c r="R147" i="2"/>
  <c r="P147" i="2"/>
  <c r="W147" i="2"/>
  <c r="V147" i="2" s="1"/>
  <c r="S147" i="2"/>
  <c r="Z181" i="2"/>
  <c r="AB181" i="2" s="1"/>
  <c r="W181" i="2"/>
  <c r="V181" i="2" s="1"/>
  <c r="P181" i="2"/>
  <c r="R181" i="2"/>
  <c r="S181" i="2"/>
  <c r="Z172" i="2"/>
  <c r="AC172" i="2" s="1"/>
  <c r="AL172" i="2" s="1"/>
  <c r="W172" i="2"/>
  <c r="V172" i="2" s="1"/>
  <c r="P172" i="2"/>
  <c r="R172" i="2"/>
  <c r="S172" i="2"/>
  <c r="Q172" i="2"/>
  <c r="Z200" i="2"/>
  <c r="W200" i="2"/>
  <c r="V200" i="2" s="1"/>
  <c r="P200" i="2"/>
  <c r="R200" i="2"/>
  <c r="S200" i="2"/>
  <c r="Z195" i="2"/>
  <c r="P195" i="2"/>
  <c r="W195" i="2"/>
  <c r="V195" i="2" s="1"/>
  <c r="R195" i="2"/>
  <c r="S195" i="2"/>
  <c r="Q195" i="2"/>
  <c r="Z214" i="2"/>
  <c r="W214" i="2"/>
  <c r="V214" i="2" s="1"/>
  <c r="P214" i="2"/>
  <c r="R214" i="2"/>
  <c r="S214" i="2"/>
  <c r="Z117" i="2"/>
  <c r="AC117" i="2" s="1"/>
  <c r="AL117" i="2" s="1"/>
  <c r="W117" i="2"/>
  <c r="V117" i="2" s="1"/>
  <c r="P117" i="2"/>
  <c r="R117" i="2"/>
  <c r="S117" i="2"/>
  <c r="Q192" i="2"/>
  <c r="R104" i="2"/>
  <c r="W104" i="2"/>
  <c r="V104" i="2" s="1"/>
  <c r="P104" i="2"/>
  <c r="S104" i="2"/>
  <c r="P164" i="2"/>
  <c r="W164" i="2"/>
  <c r="V164" i="2" s="1"/>
  <c r="S164" i="2"/>
  <c r="R164" i="2"/>
  <c r="P165" i="2"/>
  <c r="W165" i="2"/>
  <c r="V165" i="2" s="1"/>
  <c r="S165" i="2"/>
  <c r="R165" i="2"/>
  <c r="P170" i="2"/>
  <c r="W170" i="2"/>
  <c r="V170" i="2" s="1"/>
  <c r="S170" i="2"/>
  <c r="R170" i="2"/>
  <c r="R205" i="2"/>
  <c r="W205" i="2"/>
  <c r="V205" i="2" s="1"/>
  <c r="P205" i="2"/>
  <c r="S205" i="2"/>
  <c r="Z192" i="2"/>
  <c r="AB192" i="2" s="1"/>
  <c r="P192" i="2"/>
  <c r="S192" i="2"/>
  <c r="R192" i="2"/>
  <c r="W192" i="2"/>
  <c r="V192" i="2" s="1"/>
  <c r="Z148" i="2"/>
  <c r="X148" i="2" s="1"/>
  <c r="R148" i="2"/>
  <c r="S148" i="2"/>
  <c r="W148" i="2"/>
  <c r="V148" i="2" s="1"/>
  <c r="P148" i="2"/>
  <c r="U148" i="2"/>
  <c r="Z212" i="2"/>
  <c r="X212" i="2" s="1"/>
  <c r="W212" i="2"/>
  <c r="V212" i="2" s="1"/>
  <c r="R212" i="2"/>
  <c r="P212" i="2"/>
  <c r="S212" i="2"/>
  <c r="Z149" i="2"/>
  <c r="AC149" i="2" s="1"/>
  <c r="AL149" i="2" s="1"/>
  <c r="P149" i="2"/>
  <c r="S149" i="2"/>
  <c r="R149" i="2"/>
  <c r="W149" i="2"/>
  <c r="V149" i="2" s="1"/>
  <c r="Q149" i="2"/>
  <c r="Z152" i="2"/>
  <c r="AC152" i="2" s="1"/>
  <c r="AL152" i="2" s="1"/>
  <c r="P152" i="2"/>
  <c r="R152" i="2"/>
  <c r="S152" i="2"/>
  <c r="W152" i="2"/>
  <c r="V152" i="2" s="1"/>
  <c r="U152" i="2"/>
  <c r="Z179" i="2"/>
  <c r="X179" i="2" s="1"/>
  <c r="R179" i="2"/>
  <c r="S179" i="2"/>
  <c r="W179" i="2"/>
  <c r="V179" i="2" s="1"/>
  <c r="P179" i="2"/>
  <c r="Z74" i="2"/>
  <c r="X74" i="2" s="1"/>
  <c r="R74" i="2"/>
  <c r="S74" i="2"/>
  <c r="P74" i="2"/>
  <c r="W74" i="2"/>
  <c r="V74" i="2" s="1"/>
  <c r="Z204" i="2"/>
  <c r="X204" i="2" s="1"/>
  <c r="R204" i="2"/>
  <c r="P204" i="2"/>
  <c r="S204" i="2"/>
  <c r="W204" i="2"/>
  <c r="V204" i="2" s="1"/>
  <c r="Z167" i="2"/>
  <c r="X167" i="2" s="1"/>
  <c r="R167" i="2"/>
  <c r="P167" i="2"/>
  <c r="W167" i="2"/>
  <c r="V167" i="2" s="1"/>
  <c r="S167" i="2"/>
  <c r="Z145" i="2"/>
  <c r="X145" i="2" s="1"/>
  <c r="R145" i="2"/>
  <c r="S145" i="2"/>
  <c r="P145" i="2"/>
  <c r="W145" i="2"/>
  <c r="V145" i="2" s="1"/>
  <c r="Z146" i="2"/>
  <c r="X146" i="2" s="1"/>
  <c r="R146" i="2"/>
  <c r="P146" i="2"/>
  <c r="S146" i="2"/>
  <c r="W146" i="2"/>
  <c r="V146" i="2" s="1"/>
  <c r="P180" i="2"/>
  <c r="Z180" i="2"/>
  <c r="X180" i="2" s="1"/>
  <c r="S180" i="2"/>
  <c r="R180" i="2"/>
  <c r="W180" i="2"/>
  <c r="V180" i="2" s="1"/>
  <c r="Z140" i="2"/>
  <c r="AC140" i="2" s="1"/>
  <c r="AL140" i="2" s="1"/>
  <c r="P140" i="2"/>
  <c r="S140" i="2"/>
  <c r="R140" i="2"/>
  <c r="W140" i="2"/>
  <c r="V140" i="2" s="1"/>
  <c r="Z199" i="2"/>
  <c r="AC199" i="2" s="1"/>
  <c r="AL199" i="2" s="1"/>
  <c r="P199" i="2"/>
  <c r="S199" i="2"/>
  <c r="R199" i="2"/>
  <c r="W199" i="2"/>
  <c r="V199" i="2" s="1"/>
  <c r="P128" i="2"/>
  <c r="Z128" i="2"/>
  <c r="AC128" i="2" s="1"/>
  <c r="AL128" i="2" s="1"/>
  <c r="S128" i="2"/>
  <c r="R128" i="2"/>
  <c r="W128" i="2"/>
  <c r="V128" i="2" s="1"/>
  <c r="P176" i="2"/>
  <c r="Z176" i="2"/>
  <c r="AC176" i="2" s="1"/>
  <c r="AH176" i="2" s="1"/>
  <c r="AP176" i="2" s="1"/>
  <c r="S176" i="2"/>
  <c r="R176" i="2"/>
  <c r="W176" i="2"/>
  <c r="V176" i="2" s="1"/>
  <c r="Z208" i="2"/>
  <c r="AB208" i="2" s="1"/>
  <c r="AG208" i="2" s="1"/>
  <c r="AO208" i="2" s="1"/>
  <c r="P208" i="2"/>
  <c r="S208" i="2"/>
  <c r="R208" i="2"/>
  <c r="W208" i="2"/>
  <c r="V208" i="2" s="1"/>
  <c r="Z196" i="2"/>
  <c r="AC196" i="2" s="1"/>
  <c r="AL196" i="2" s="1"/>
  <c r="P196" i="2"/>
  <c r="S196" i="2"/>
  <c r="R196" i="2"/>
  <c r="W196" i="2"/>
  <c r="V196" i="2" s="1"/>
  <c r="Z82" i="2"/>
  <c r="R82" i="2"/>
  <c r="P82" i="2"/>
  <c r="W82" i="2"/>
  <c r="V82" i="2" s="1"/>
  <c r="S82" i="2"/>
  <c r="R185" i="2"/>
  <c r="Z185" i="2"/>
  <c r="AB185" i="2" s="1"/>
  <c r="W185" i="2"/>
  <c r="V185" i="2" s="1"/>
  <c r="P185" i="2"/>
  <c r="S185" i="2"/>
  <c r="R191" i="2"/>
  <c r="Z191" i="2"/>
  <c r="AC191" i="2" s="1"/>
  <c r="AL191" i="2" s="1"/>
  <c r="W191" i="2"/>
  <c r="V191" i="2" s="1"/>
  <c r="P191" i="2"/>
  <c r="S191" i="2"/>
  <c r="R186" i="2"/>
  <c r="Z186" i="2"/>
  <c r="W186" i="2"/>
  <c r="V186" i="2" s="1"/>
  <c r="P186" i="2"/>
  <c r="S186" i="2"/>
  <c r="Z114" i="2"/>
  <c r="X114" i="2" s="1"/>
  <c r="W114" i="2"/>
  <c r="V114" i="2" s="1"/>
  <c r="P114" i="2"/>
  <c r="S114" i="2"/>
  <c r="R114" i="2"/>
  <c r="Z156" i="2"/>
  <c r="X156" i="2" s="1"/>
  <c r="P156" i="2"/>
  <c r="R156" i="2"/>
  <c r="S156" i="2"/>
  <c r="W156" i="2"/>
  <c r="V156" i="2" s="1"/>
  <c r="Z187" i="2"/>
  <c r="AA187" i="2" s="1"/>
  <c r="AF187" i="2" s="1"/>
  <c r="S187" i="2"/>
  <c r="W187" i="2"/>
  <c r="V187" i="2" s="1"/>
  <c r="R187" i="2"/>
  <c r="P187" i="2"/>
  <c r="Z175" i="2"/>
  <c r="X175" i="2" s="1"/>
  <c r="R175" i="2"/>
  <c r="P175" i="2"/>
  <c r="S175" i="2"/>
  <c r="W175" i="2"/>
  <c r="V175" i="2" s="1"/>
  <c r="Z184" i="2"/>
  <c r="X184" i="2" s="1"/>
  <c r="S184" i="2"/>
  <c r="P184" i="2"/>
  <c r="R184" i="2"/>
  <c r="W184" i="2"/>
  <c r="V184" i="2" s="1"/>
  <c r="Z159" i="2"/>
  <c r="X159" i="2" s="1"/>
  <c r="P159" i="2"/>
  <c r="W159" i="2"/>
  <c r="V159" i="2" s="1"/>
  <c r="R159" i="2"/>
  <c r="S159" i="2"/>
  <c r="Z120" i="2"/>
  <c r="AC120" i="2" s="1"/>
  <c r="AL120" i="2" s="1"/>
  <c r="P120" i="2"/>
  <c r="S120" i="2"/>
  <c r="R120" i="2"/>
  <c r="W120" i="2"/>
  <c r="V120" i="2" s="1"/>
  <c r="Z111" i="2"/>
  <c r="X111" i="2" s="1"/>
  <c r="P111" i="2"/>
  <c r="S111" i="2"/>
  <c r="W111" i="2"/>
  <c r="V111" i="2" s="1"/>
  <c r="R111" i="2"/>
  <c r="Z190" i="2"/>
  <c r="X190" i="2" s="1"/>
  <c r="P190" i="2"/>
  <c r="S190" i="2"/>
  <c r="R190" i="2"/>
  <c r="W190" i="2"/>
  <c r="V190" i="2" s="1"/>
  <c r="Z168" i="2"/>
  <c r="AC168" i="2" s="1"/>
  <c r="AL168" i="2" s="1"/>
  <c r="R168" i="2"/>
  <c r="S168" i="2"/>
  <c r="P168" i="2"/>
  <c r="W168" i="2"/>
  <c r="V168" i="2" s="1"/>
  <c r="Z137" i="2"/>
  <c r="AC137" i="2" s="1"/>
  <c r="AL137" i="2" s="1"/>
  <c r="P137" i="2"/>
  <c r="S137" i="2"/>
  <c r="W137" i="2"/>
  <c r="V137" i="2" s="1"/>
  <c r="R137" i="2"/>
  <c r="Z126" i="2"/>
  <c r="AA126" i="2" s="1"/>
  <c r="AF126" i="2" s="1"/>
  <c r="AN126" i="2" s="1"/>
  <c r="P126" i="2"/>
  <c r="S126" i="2"/>
  <c r="W126" i="2"/>
  <c r="V126" i="2" s="1"/>
  <c r="R126" i="2"/>
  <c r="Z182" i="2"/>
  <c r="X182" i="2" s="1"/>
  <c r="R182" i="2"/>
  <c r="S182" i="2"/>
  <c r="W182" i="2"/>
  <c r="V182" i="2" s="1"/>
  <c r="P182" i="2"/>
  <c r="Z173" i="2"/>
  <c r="AC173" i="2" s="1"/>
  <c r="AH173" i="2" s="1"/>
  <c r="AP173" i="2" s="1"/>
  <c r="R173" i="2"/>
  <c r="P173" i="2"/>
  <c r="S173" i="2"/>
  <c r="W173" i="2"/>
  <c r="V173" i="2" s="1"/>
  <c r="Z115" i="2"/>
  <c r="AC115" i="2" s="1"/>
  <c r="AL115" i="2" s="1"/>
  <c r="P115" i="2"/>
  <c r="S115" i="2"/>
  <c r="W115" i="2"/>
  <c r="V115" i="2" s="1"/>
  <c r="R115" i="2"/>
  <c r="Z116" i="2"/>
  <c r="AC116" i="2" s="1"/>
  <c r="W116" i="2"/>
  <c r="V116" i="2" s="1"/>
  <c r="R116" i="2"/>
  <c r="P116" i="2"/>
  <c r="S116" i="2"/>
  <c r="Z151" i="2"/>
  <c r="AC151" i="2" s="1"/>
  <c r="P151" i="2"/>
  <c r="R151" i="2"/>
  <c r="S151" i="2"/>
  <c r="W151" i="2"/>
  <c r="V151" i="2" s="1"/>
  <c r="Z160" i="2"/>
  <c r="AC160" i="2" s="1"/>
  <c r="AL160" i="2" s="1"/>
  <c r="S160" i="2"/>
  <c r="W160" i="2"/>
  <c r="V160" i="2" s="1"/>
  <c r="P160" i="2"/>
  <c r="R160" i="2"/>
  <c r="Z121" i="2"/>
  <c r="X121" i="2" s="1"/>
  <c r="R121" i="2"/>
  <c r="S121" i="2"/>
  <c r="W121" i="2"/>
  <c r="V121" i="2" s="1"/>
  <c r="P121" i="2"/>
  <c r="Z112" i="2"/>
  <c r="AC112" i="2" s="1"/>
  <c r="AL112" i="2" s="1"/>
  <c r="R112" i="2"/>
  <c r="P112" i="2"/>
  <c r="S112" i="2"/>
  <c r="W112" i="2"/>
  <c r="V112" i="2" s="1"/>
  <c r="Z135" i="2"/>
  <c r="X135" i="2" s="1"/>
  <c r="R135" i="2"/>
  <c r="P135" i="2"/>
  <c r="S135" i="2"/>
  <c r="W135" i="2"/>
  <c r="V135" i="2" s="1"/>
  <c r="Z169" i="2"/>
  <c r="AC169" i="2" s="1"/>
  <c r="AL169" i="2" s="1"/>
  <c r="R169" i="2"/>
  <c r="S169" i="2"/>
  <c r="W169" i="2"/>
  <c r="V169" i="2" s="1"/>
  <c r="P169" i="2"/>
  <c r="Z92" i="2"/>
  <c r="X92" i="2" s="1"/>
  <c r="R92" i="2"/>
  <c r="W92" i="2"/>
  <c r="V92" i="2" s="1"/>
  <c r="P92" i="2"/>
  <c r="S92" i="2"/>
  <c r="Z138" i="2"/>
  <c r="AC138" i="2" s="1"/>
  <c r="AL138" i="2" s="1"/>
  <c r="R138" i="2"/>
  <c r="P138" i="2"/>
  <c r="S138" i="2"/>
  <c r="W138" i="2"/>
  <c r="V138" i="2" s="1"/>
  <c r="Z139" i="2"/>
  <c r="AC139" i="2" s="1"/>
  <c r="P139" i="2"/>
  <c r="R139" i="2"/>
  <c r="S139" i="2"/>
  <c r="W139" i="2"/>
  <c r="V139" i="2" s="1"/>
  <c r="Z157" i="2"/>
  <c r="AB157" i="2" s="1"/>
  <c r="AG157" i="2" s="1"/>
  <c r="AO157" i="2" s="1"/>
  <c r="R157" i="2"/>
  <c r="S157" i="2"/>
  <c r="P157" i="2"/>
  <c r="W157" i="2"/>
  <c r="V157" i="2" s="1"/>
  <c r="Z183" i="2"/>
  <c r="AC183" i="2" s="1"/>
  <c r="AL183" i="2" s="1"/>
  <c r="R183" i="2"/>
  <c r="P183" i="2"/>
  <c r="S183" i="2"/>
  <c r="W183" i="2"/>
  <c r="V183" i="2" s="1"/>
  <c r="Z142" i="2"/>
  <c r="X142" i="2" s="1"/>
  <c r="R142" i="2"/>
  <c r="P142" i="2"/>
  <c r="S142" i="2"/>
  <c r="W142" i="2"/>
  <c r="V142" i="2" s="1"/>
  <c r="Z177" i="2"/>
  <c r="AC177" i="2" s="1"/>
  <c r="AL177" i="2" s="1"/>
  <c r="P177" i="2"/>
  <c r="R177" i="2"/>
  <c r="S177" i="2"/>
  <c r="W177" i="2"/>
  <c r="V177" i="2" s="1"/>
  <c r="Z201" i="2"/>
  <c r="AC201" i="2" s="1"/>
  <c r="AL201" i="2" s="1"/>
  <c r="R201" i="2"/>
  <c r="S201" i="2"/>
  <c r="P201" i="2"/>
  <c r="W201" i="2"/>
  <c r="V201" i="2" s="1"/>
  <c r="E21" i="13"/>
  <c r="AN160" i="2"/>
  <c r="Z109" i="2"/>
  <c r="X109" i="2" s="1"/>
  <c r="R109" i="2"/>
  <c r="R53" i="2"/>
  <c r="Z53" i="2"/>
  <c r="X53" i="2" s="1"/>
  <c r="P53" i="2"/>
  <c r="R36" i="2"/>
  <c r="Z36" i="2"/>
  <c r="X36" i="2" s="1"/>
  <c r="Z87" i="2"/>
  <c r="X87" i="2" s="1"/>
  <c r="R87" i="2"/>
  <c r="Z43" i="2"/>
  <c r="X43" i="2" s="1"/>
  <c r="G15" i="13"/>
  <c r="G21" i="13"/>
  <c r="Z42" i="2"/>
  <c r="X42" i="2" s="1"/>
  <c r="P42" i="2"/>
  <c r="Z41" i="2"/>
  <c r="X41" i="2" s="1"/>
  <c r="R41" i="2"/>
  <c r="Z21" i="2"/>
  <c r="X21" i="2" s="1"/>
  <c r="D15" i="13"/>
  <c r="Z18" i="2"/>
  <c r="X18" i="2" s="1"/>
  <c r="Z6" i="2"/>
  <c r="AA6" i="2" s="1"/>
  <c r="AF6" i="2" s="1"/>
  <c r="AN6" i="2" s="1"/>
  <c r="I15" i="13"/>
  <c r="I21" i="13"/>
  <c r="P6" i="2"/>
  <c r="R43" i="2"/>
  <c r="W36" i="2"/>
  <c r="V36" i="2" s="1"/>
  <c r="W118" i="2"/>
  <c r="V118" i="2" s="1"/>
  <c r="AO160" i="2"/>
  <c r="P69" i="2"/>
  <c r="R69" i="2"/>
  <c r="Z52" i="2"/>
  <c r="AB52" i="2" s="1"/>
  <c r="P52" i="2"/>
  <c r="P79" i="2"/>
  <c r="R79" i="2"/>
  <c r="Z11" i="2"/>
  <c r="AB11" i="2" s="1"/>
  <c r="P11" i="2"/>
  <c r="R11" i="2"/>
  <c r="F12" i="13"/>
  <c r="P118" i="2"/>
  <c r="Z32" i="2"/>
  <c r="AB32" i="2" s="1"/>
  <c r="P32" i="2"/>
  <c r="E15" i="13"/>
  <c r="P20" i="2"/>
  <c r="R20" i="2"/>
  <c r="H15" i="13"/>
  <c r="P17" i="2"/>
  <c r="H21" i="13"/>
  <c r="Z96" i="2"/>
  <c r="AB96" i="2" s="1"/>
  <c r="P96" i="2"/>
  <c r="C21" i="13"/>
  <c r="W109" i="2"/>
  <c r="V109" i="2" s="1"/>
  <c r="W79" i="2"/>
  <c r="V79" i="2" s="1"/>
  <c r="W18" i="2"/>
  <c r="V18" i="2" s="1"/>
  <c r="R6" i="2"/>
  <c r="AP160" i="2"/>
  <c r="W52" i="2"/>
  <c r="V52" i="2" s="1"/>
  <c r="W96" i="2"/>
  <c r="V96" i="2" s="1"/>
  <c r="R42" i="2"/>
  <c r="R21" i="2"/>
  <c r="R96" i="2"/>
  <c r="W69" i="2"/>
  <c r="V69" i="2" s="1"/>
  <c r="W17" i="2"/>
  <c r="V17" i="2" s="1"/>
  <c r="P43" i="2"/>
  <c r="P41" i="2"/>
  <c r="R102" i="2"/>
  <c r="P51" i="2"/>
  <c r="R22" i="2"/>
  <c r="P9" i="2"/>
  <c r="R68" i="2"/>
  <c r="Z68" i="2"/>
  <c r="X68" i="2" s="1"/>
  <c r="Z37" i="2"/>
  <c r="AC37" i="2" s="1"/>
  <c r="Z12" i="2"/>
  <c r="AC12" i="2" s="1"/>
  <c r="R86" i="2"/>
  <c r="Z86" i="2"/>
  <c r="X86" i="2" s="1"/>
  <c r="R26" i="2"/>
  <c r="Z26" i="2"/>
  <c r="AC26" i="2" s="1"/>
  <c r="Z100" i="2"/>
  <c r="X100" i="2" s="1"/>
  <c r="R100" i="2"/>
  <c r="Z24" i="2"/>
  <c r="X24" i="2" s="1"/>
  <c r="R24" i="2"/>
  <c r="R7" i="2"/>
  <c r="Z7" i="2"/>
  <c r="X7" i="2" s="1"/>
  <c r="R78" i="2"/>
  <c r="Z78" i="2"/>
  <c r="X78" i="2" s="1"/>
  <c r="R51" i="2"/>
  <c r="G10" i="13"/>
  <c r="R38" i="2"/>
  <c r="Z38" i="2"/>
  <c r="X38" i="2" s="1"/>
  <c r="Z46" i="2"/>
  <c r="AA46" i="2" s="1"/>
  <c r="AF46" i="2" s="1"/>
  <c r="AN46" i="2" s="1"/>
  <c r="Z80" i="2"/>
  <c r="AC80" i="2" s="1"/>
  <c r="Z103" i="2"/>
  <c r="AC103" i="2" s="1"/>
  <c r="R44" i="2"/>
  <c r="Z44" i="2"/>
  <c r="X44" i="2" s="1"/>
  <c r="R35" i="2"/>
  <c r="Z35" i="2"/>
  <c r="X35" i="2" s="1"/>
  <c r="Z84" i="2"/>
  <c r="AC84" i="2" s="1"/>
  <c r="R84" i="2"/>
  <c r="Z23" i="2"/>
  <c r="X23" i="2" s="1"/>
  <c r="R23" i="2"/>
  <c r="R19" i="2"/>
  <c r="Z19" i="2"/>
  <c r="X19" i="2" s="1"/>
  <c r="R98" i="2"/>
  <c r="Z98" i="2"/>
  <c r="X98" i="2" s="1"/>
  <c r="R89" i="2"/>
  <c r="Z89" i="2"/>
  <c r="X89" i="2" s="1"/>
  <c r="R54" i="2"/>
  <c r="Z54" i="2"/>
  <c r="AC54" i="2" s="1"/>
  <c r="R13" i="2"/>
  <c r="Z13" i="2"/>
  <c r="AB13" i="2" s="1"/>
  <c r="Z99" i="2"/>
  <c r="X99" i="2" s="1"/>
  <c r="E10" i="13"/>
  <c r="F21" i="13"/>
  <c r="F10" i="13"/>
  <c r="Z16" i="2"/>
  <c r="R9" i="2"/>
  <c r="R16" i="2"/>
  <c r="W89" i="2"/>
  <c r="V89" i="2" s="1"/>
  <c r="W54" i="2"/>
  <c r="V54" i="2" s="1"/>
  <c r="W13" i="2"/>
  <c r="V13" i="2" s="1"/>
  <c r="W66" i="2"/>
  <c r="V66" i="2" s="1"/>
  <c r="W63" i="2"/>
  <c r="V63" i="2" s="1"/>
  <c r="W9" i="2"/>
  <c r="V9" i="2" s="1"/>
  <c r="W51" i="2"/>
  <c r="V51" i="2" s="1"/>
  <c r="W22" i="2"/>
  <c r="V22" i="2" s="1"/>
  <c r="W99" i="2"/>
  <c r="V99" i="2" s="1"/>
  <c r="W16" i="2"/>
  <c r="V16" i="2" s="1"/>
  <c r="R103" i="2"/>
  <c r="P66" i="2"/>
  <c r="P22" i="2"/>
  <c r="Z14" i="2"/>
  <c r="AC14" i="2" s="1"/>
  <c r="P14" i="2"/>
  <c r="Z81" i="2"/>
  <c r="AC81" i="2" s="1"/>
  <c r="P81" i="2"/>
  <c r="R27" i="2"/>
  <c r="P27" i="2"/>
  <c r="Z27" i="2"/>
  <c r="AC27" i="2" s="1"/>
  <c r="R65" i="2"/>
  <c r="P65" i="2"/>
  <c r="Z65" i="2"/>
  <c r="AB65" i="2" s="1"/>
  <c r="AG65" i="2" s="1"/>
  <c r="Z85" i="2"/>
  <c r="AB85" i="2" s="1"/>
  <c r="AG85" i="2" s="1"/>
  <c r="P85" i="2"/>
  <c r="Z34" i="2"/>
  <c r="X34" i="2" s="1"/>
  <c r="P34" i="2"/>
  <c r="P33" i="2"/>
  <c r="Z33" i="2"/>
  <c r="X33" i="2" s="1"/>
  <c r="P8" i="2"/>
  <c r="Z8" i="2"/>
  <c r="AB8" i="2" s="1"/>
  <c r="AG8" i="2" s="1"/>
  <c r="Z60" i="2"/>
  <c r="X60" i="2" s="1"/>
  <c r="P60" i="2"/>
  <c r="Z97" i="2"/>
  <c r="AC97" i="2" s="1"/>
  <c r="P97" i="2"/>
  <c r="R63" i="2"/>
  <c r="R34" i="2"/>
  <c r="R99" i="2"/>
  <c r="R97" i="2"/>
  <c r="C11" i="13"/>
  <c r="K11" i="13" s="1"/>
  <c r="C12" i="13"/>
  <c r="X199" i="8"/>
  <c r="Z199" i="8"/>
  <c r="AD199" i="8" s="1"/>
  <c r="Z61" i="2"/>
  <c r="AC61" i="2" s="1"/>
  <c r="X143" i="8"/>
  <c r="Z143" i="8"/>
  <c r="AV1781" i="2"/>
  <c r="AX1781" i="2"/>
  <c r="Z2421" i="2"/>
  <c r="AA2421" i="2" s="1"/>
  <c r="AV2421" i="2"/>
  <c r="X88" i="8"/>
  <c r="Z88" i="8"/>
  <c r="Z151" i="8"/>
  <c r="Z67" i="2"/>
  <c r="AC67" i="2" s="1"/>
  <c r="Z25" i="2"/>
  <c r="AC25" i="2" s="1"/>
  <c r="Z96" i="8"/>
  <c r="X41" i="8"/>
  <c r="Z41" i="8"/>
  <c r="X104" i="8"/>
  <c r="Z104" i="8"/>
  <c r="Z167" i="8"/>
  <c r="X64" i="2"/>
  <c r="F15" i="13"/>
  <c r="Z45" i="2"/>
  <c r="AC45" i="2" s="1"/>
  <c r="Z101" i="2"/>
  <c r="X101" i="2" s="1"/>
  <c r="X49" i="8"/>
  <c r="Z49" i="8"/>
  <c r="X111" i="8"/>
  <c r="Z111" i="8"/>
  <c r="Z175" i="8"/>
  <c r="X119" i="8"/>
  <c r="Z119" i="8"/>
  <c r="X183" i="8"/>
  <c r="Z183" i="8"/>
  <c r="B197" i="8"/>
  <c r="B189" i="8"/>
  <c r="B181" i="8"/>
  <c r="B173" i="8"/>
  <c r="B165" i="8"/>
  <c r="B157" i="8"/>
  <c r="B149" i="8"/>
  <c r="B141" i="8"/>
  <c r="B133" i="8"/>
  <c r="B125" i="8"/>
  <c r="B117" i="8"/>
  <c r="B109" i="8"/>
  <c r="B102" i="8"/>
  <c r="B94" i="8"/>
  <c r="B86" i="8"/>
  <c r="B78" i="8"/>
  <c r="B70" i="8"/>
  <c r="B63" i="8"/>
  <c r="B55" i="8"/>
  <c r="B47" i="8"/>
  <c r="B39" i="8"/>
  <c r="B31" i="8"/>
  <c r="B23" i="8"/>
  <c r="B196" i="8"/>
  <c r="B188" i="8"/>
  <c r="B180" i="8"/>
  <c r="B172" i="8"/>
  <c r="B164" i="8"/>
  <c r="B156" i="8"/>
  <c r="B148" i="8"/>
  <c r="B140" i="8"/>
  <c r="B132" i="8"/>
  <c r="B124" i="8"/>
  <c r="B116" i="8"/>
  <c r="B108" i="8"/>
  <c r="B101" i="8"/>
  <c r="B93" i="8"/>
  <c r="B85" i="8"/>
  <c r="B77" i="8"/>
  <c r="B69" i="8"/>
  <c r="B62" i="8"/>
  <c r="B54" i="8"/>
  <c r="B46" i="8"/>
  <c r="B38" i="8"/>
  <c r="B30" i="8"/>
  <c r="B22" i="8"/>
  <c r="B195" i="8"/>
  <c r="B187" i="8"/>
  <c r="B179" i="8"/>
  <c r="B171" i="8"/>
  <c r="B163" i="8"/>
  <c r="B155" i="8"/>
  <c r="B147" i="8"/>
  <c r="B139" i="8"/>
  <c r="B131" i="8"/>
  <c r="B123" i="8"/>
  <c r="B115" i="8"/>
  <c r="B100" i="8"/>
  <c r="B92" i="8"/>
  <c r="B84" i="8"/>
  <c r="B76" i="8"/>
  <c r="B68" i="8"/>
  <c r="B61" i="8"/>
  <c r="Z61" i="8" s="1"/>
  <c r="B53" i="8"/>
  <c r="B45" i="8"/>
  <c r="B37" i="8"/>
  <c r="B21" i="8"/>
  <c r="B194" i="8"/>
  <c r="B186" i="8"/>
  <c r="B178" i="8"/>
  <c r="B170" i="8"/>
  <c r="B162" i="8"/>
  <c r="B154" i="8"/>
  <c r="B146" i="8"/>
  <c r="B138" i="8"/>
  <c r="B130" i="8"/>
  <c r="B122" i="8"/>
  <c r="B114" i="8"/>
  <c r="B107" i="8"/>
  <c r="B99" i="8"/>
  <c r="B91" i="8"/>
  <c r="B83" i="8"/>
  <c r="B75" i="8"/>
  <c r="B60" i="8"/>
  <c r="B52" i="8"/>
  <c r="B44" i="8"/>
  <c r="B36" i="8"/>
  <c r="B20" i="8"/>
  <c r="B193" i="8"/>
  <c r="B185" i="8"/>
  <c r="B177" i="8"/>
  <c r="B169" i="8"/>
  <c r="B161" i="8"/>
  <c r="B153" i="8"/>
  <c r="B145" i="8"/>
  <c r="B137" i="8"/>
  <c r="B129" i="8"/>
  <c r="B121" i="8"/>
  <c r="B113" i="8"/>
  <c r="B106" i="8"/>
  <c r="B98" i="8"/>
  <c r="B90" i="8"/>
  <c r="B82" i="8"/>
  <c r="B74" i="8"/>
  <c r="B67" i="8"/>
  <c r="B59" i="8"/>
  <c r="B51" i="8"/>
  <c r="B43" i="8"/>
  <c r="B35" i="8"/>
  <c r="B192" i="8"/>
  <c r="B184" i="8"/>
  <c r="B176" i="8"/>
  <c r="B168" i="8"/>
  <c r="B160" i="8"/>
  <c r="B152" i="8"/>
  <c r="B144" i="8"/>
  <c r="B136" i="8"/>
  <c r="B128" i="8"/>
  <c r="B120" i="8"/>
  <c r="B112" i="8"/>
  <c r="B105" i="8"/>
  <c r="B97" i="8"/>
  <c r="B89" i="8"/>
  <c r="B81" i="8"/>
  <c r="B73" i="8"/>
  <c r="B66" i="8"/>
  <c r="B58" i="8"/>
  <c r="B50" i="8"/>
  <c r="B42" i="8"/>
  <c r="B34" i="8"/>
  <c r="B26" i="8"/>
  <c r="B198" i="8"/>
  <c r="B190" i="8"/>
  <c r="B182" i="8"/>
  <c r="B174" i="8"/>
  <c r="B166" i="8"/>
  <c r="B158" i="8"/>
  <c r="B150" i="8"/>
  <c r="B142" i="8"/>
  <c r="B134" i="8"/>
  <c r="B126" i="8"/>
  <c r="B118" i="8"/>
  <c r="B110" i="8"/>
  <c r="B103" i="8"/>
  <c r="B95" i="8"/>
  <c r="B87" i="8"/>
  <c r="B79" i="8"/>
  <c r="B71" i="8"/>
  <c r="B64" i="8"/>
  <c r="B56" i="8"/>
  <c r="B48" i="8"/>
  <c r="B40" i="8"/>
  <c r="B32" i="8"/>
  <c r="B24" i="8"/>
  <c r="Z29" i="2"/>
  <c r="X29" i="2" s="1"/>
  <c r="Z10" i="2"/>
  <c r="X10" i="2" s="1"/>
  <c r="Z58" i="2"/>
  <c r="X58" i="2" s="1"/>
  <c r="X127" i="8"/>
  <c r="Z127" i="8"/>
  <c r="A4" i="1"/>
  <c r="B13" i="8" s="1"/>
  <c r="AH168" i="2"/>
  <c r="AP168" i="2" s="1"/>
  <c r="AH149" i="2"/>
  <c r="AP149" i="2" s="1"/>
  <c r="AH113" i="2"/>
  <c r="AP113" i="2" s="1"/>
  <c r="AH199" i="2"/>
  <c r="AP199" i="2" s="1"/>
  <c r="AH189" i="2"/>
  <c r="AP189" i="2" s="1"/>
  <c r="AI160" i="2"/>
  <c r="AB209" i="2"/>
  <c r="AC209" i="2"/>
  <c r="Z155" i="2"/>
  <c r="Z79" i="2"/>
  <c r="Z207" i="2"/>
  <c r="X207" i="2" s="1"/>
  <c r="Z69" i="2"/>
  <c r="X69" i="2" s="1"/>
  <c r="Z17" i="2"/>
  <c r="AA17" i="2" s="1"/>
  <c r="AF17" i="2" s="1"/>
  <c r="AN17" i="2" s="1"/>
  <c r="Z141" i="2"/>
  <c r="AA141" i="2" s="1"/>
  <c r="AF141" i="2" s="1"/>
  <c r="Z55" i="2"/>
  <c r="AA55" i="2" s="1"/>
  <c r="AF55" i="2" s="1"/>
  <c r="AN55" i="2" s="1"/>
  <c r="Z20" i="2"/>
  <c r="Z213" i="2"/>
  <c r="Z188" i="2"/>
  <c r="AA188" i="2" s="1"/>
  <c r="AF188" i="2" s="1"/>
  <c r="AN188" i="2" s="1"/>
  <c r="Z102" i="2"/>
  <c r="Z136" i="2"/>
  <c r="AA136" i="2" s="1"/>
  <c r="AF136" i="2" s="1"/>
  <c r="Z118" i="2"/>
  <c r="AA118" i="2" s="1"/>
  <c r="AF118" i="2" s="1"/>
  <c r="Z206" i="2"/>
  <c r="AA206" i="2" s="1"/>
  <c r="AF206" i="2" s="1"/>
  <c r="AY2419" i="2"/>
  <c r="AY2369" i="2"/>
  <c r="AY2355" i="2"/>
  <c r="Y2361" i="2" a="1"/>
  <c r="Y2361" i="2" s="1"/>
  <c r="Y2411" i="2" a="1"/>
  <c r="Y2411" i="2" s="1"/>
  <c r="Y2425" i="2" a="1"/>
  <c r="Y2425" i="2" s="1"/>
  <c r="AY2393" i="2"/>
  <c r="AY2379" i="2"/>
  <c r="Y2387" i="2" a="1"/>
  <c r="Y2387" i="2" s="1"/>
  <c r="Y2401" i="2" a="1"/>
  <c r="Y2401" i="2" s="1"/>
  <c r="AY2417" i="2"/>
  <c r="AY2403" i="2"/>
  <c r="AY2353" i="2"/>
  <c r="Y2363" i="2" a="1"/>
  <c r="Y2363" i="2" s="1"/>
  <c r="Y2377" i="2" a="1"/>
  <c r="Y2377" i="2" s="1"/>
  <c r="Y2427" i="2" a="1"/>
  <c r="Y2427" i="2" s="1"/>
  <c r="AY2427" i="2"/>
  <c r="AY2377" i="2"/>
  <c r="AY2363" i="2"/>
  <c r="Y2353" i="2" a="1"/>
  <c r="Y2353" i="2" s="1"/>
  <c r="Y2403" i="2" a="1"/>
  <c r="Y2403" i="2" s="1"/>
  <c r="Y2417" i="2" a="1"/>
  <c r="Y2417" i="2" s="1"/>
  <c r="AY2401" i="2"/>
  <c r="AY2387" i="2"/>
  <c r="Y2379" i="2" a="1"/>
  <c r="Y2379" i="2" s="1"/>
  <c r="Y2393" i="2" a="1"/>
  <c r="Y2393" i="2" s="1"/>
  <c r="AY2385" i="2"/>
  <c r="AY2371" i="2"/>
  <c r="Y2395" i="2" a="1"/>
  <c r="Y2395" i="2" s="1"/>
  <c r="Y2409" i="2" a="1"/>
  <c r="Y2409" i="2" s="1"/>
  <c r="AV2374" i="2"/>
  <c r="AW2366" i="2"/>
  <c r="AX2358" i="2"/>
  <c r="AY2374" i="2"/>
  <c r="Y2406" i="2" a="1"/>
  <c r="Y2406" i="2" s="1"/>
  <c r="AV2406" i="2"/>
  <c r="AW2406" i="2"/>
  <c r="AV2389" i="2"/>
  <c r="AY2406" i="2"/>
  <c r="Y2374" i="2" a="1"/>
  <c r="Y2374" i="2" s="1"/>
  <c r="AV2390" i="2"/>
  <c r="AA2357" i="2"/>
  <c r="AJ2357" i="2" s="1"/>
  <c r="AC2357" i="2"/>
  <c r="AL2357" i="2" s="1"/>
  <c r="AB2365" i="2"/>
  <c r="AK2365" i="2" s="1"/>
  <c r="AC2365" i="2"/>
  <c r="AL2365" i="2" s="1"/>
  <c r="AB2373" i="2"/>
  <c r="AK2373" i="2" s="1"/>
  <c r="AC2373" i="2"/>
  <c r="AL2373" i="2" s="1"/>
  <c r="AB2381" i="2"/>
  <c r="AK2381" i="2" s="1"/>
  <c r="AC2381" i="2"/>
  <c r="AL2381" i="2" s="1"/>
  <c r="AA2389" i="2"/>
  <c r="AJ2389" i="2" s="1"/>
  <c r="AC2389" i="2"/>
  <c r="AL2389" i="2" s="1"/>
  <c r="AB2397" i="2"/>
  <c r="AK2397" i="2" s="1"/>
  <c r="AC2397" i="2"/>
  <c r="AL2397" i="2" s="1"/>
  <c r="AA2405" i="2"/>
  <c r="AJ2405" i="2" s="1"/>
  <c r="AC2405" i="2"/>
  <c r="AL2405" i="2" s="1"/>
  <c r="AB2413" i="2"/>
  <c r="AK2413" i="2" s="1"/>
  <c r="AC2413" i="2"/>
  <c r="AL2413" i="2" s="1"/>
  <c r="AI2416" i="2"/>
  <c r="AV2357" i="2"/>
  <c r="AW2398" i="2"/>
  <c r="AY2398" i="2"/>
  <c r="AY2366" i="2"/>
  <c r="AI2425" i="2"/>
  <c r="AX2390" i="2"/>
  <c r="AX2406" i="2"/>
  <c r="AV2422" i="2"/>
  <c r="AW2373" i="2"/>
  <c r="Y2366" i="2" a="1"/>
  <c r="Y2366" i="2" s="1"/>
  <c r="Y2398" i="2" a="1"/>
  <c r="Y2398" i="2" s="1"/>
  <c r="AI2409" i="2"/>
  <c r="AI2392" i="2"/>
  <c r="AX2422" i="2"/>
  <c r="AW2414" i="2"/>
  <c r="AW2382" i="2"/>
  <c r="AY2414" i="2"/>
  <c r="AY2382" i="2"/>
  <c r="AV2366" i="2"/>
  <c r="AV2382" i="2"/>
  <c r="Y2358" i="2" a="1"/>
  <c r="Y2358" i="2" s="1"/>
  <c r="Y2390" i="2" a="1"/>
  <c r="Y2390" i="2" s="1"/>
  <c r="Y2422" i="2" a="1"/>
  <c r="Y2422" i="2" s="1"/>
  <c r="AI2401" i="2"/>
  <c r="AI2421" i="2"/>
  <c r="AI2360" i="2"/>
  <c r="AI2393" i="2"/>
  <c r="AI2376" i="2"/>
  <c r="Z2422" i="2"/>
  <c r="Z2414" i="2"/>
  <c r="Z2406" i="2"/>
  <c r="Z2398" i="2"/>
  <c r="Z2390" i="2"/>
  <c r="Z2382" i="2"/>
  <c r="AA2382" i="2" s="1"/>
  <c r="AJ2382" i="2" s="1"/>
  <c r="Z2374" i="2"/>
  <c r="AA2374" i="2" s="1"/>
  <c r="AJ2374" i="2" s="1"/>
  <c r="Z2366" i="2"/>
  <c r="Z2358" i="2"/>
  <c r="AC2358" i="2" s="1"/>
  <c r="AL2358" i="2" s="1"/>
  <c r="AX2366" i="2"/>
  <c r="AX2382" i="2"/>
  <c r="AV2398" i="2"/>
  <c r="AV2414" i="2"/>
  <c r="AW2422" i="2"/>
  <c r="AW2390" i="2"/>
  <c r="AY2422" i="2"/>
  <c r="AY2390" i="2"/>
  <c r="AY2358" i="2"/>
  <c r="AI2369" i="2"/>
  <c r="AX2398" i="2"/>
  <c r="AX2414" i="2"/>
  <c r="AW2358" i="2"/>
  <c r="Y2382" i="2" a="1"/>
  <c r="Y2382" i="2" s="1"/>
  <c r="Y2414" i="2" a="1"/>
  <c r="Y2414" i="2" s="1"/>
  <c r="AV740" i="2"/>
  <c r="AV996" i="2"/>
  <c r="Z104" i="2"/>
  <c r="X104" i="2" s="1"/>
  <c r="Z164" i="2"/>
  <c r="AB164" i="2" s="1"/>
  <c r="Z165" i="2"/>
  <c r="AB165" i="2" s="1"/>
  <c r="Z170" i="2"/>
  <c r="AB170" i="2" s="1"/>
  <c r="Z205" i="2"/>
  <c r="AB205" i="2" s="1"/>
  <c r="Z171" i="2"/>
  <c r="Z197" i="2"/>
  <c r="X197" i="2" s="1"/>
  <c r="Z198" i="2"/>
  <c r="AB198" i="2" s="1"/>
  <c r="Z174" i="2"/>
  <c r="X174" i="2" s="1"/>
  <c r="Z150" i="2"/>
  <c r="X150" i="2" s="1"/>
  <c r="Z153" i="2"/>
  <c r="AB153" i="2" s="1"/>
  <c r="Z193" i="2"/>
  <c r="AB193" i="2" s="1"/>
  <c r="Z220" i="2"/>
  <c r="Z228" i="2"/>
  <c r="Z236" i="2"/>
  <c r="AB236" i="2" s="1"/>
  <c r="AW244" i="2"/>
  <c r="Z244" i="2"/>
  <c r="AB244" i="2" s="1"/>
  <c r="AK244" i="2" s="1"/>
  <c r="AW252" i="2"/>
  <c r="AX252" i="2"/>
  <c r="Z252" i="2"/>
  <c r="AW260" i="2"/>
  <c r="Z260" i="2"/>
  <c r="AW268" i="2"/>
  <c r="Z268" i="2"/>
  <c r="AB268" i="2" s="1"/>
  <c r="AK268" i="2" s="1"/>
  <c r="AW276" i="2"/>
  <c r="Z276" i="2"/>
  <c r="AV284" i="2"/>
  <c r="AX284" i="2"/>
  <c r="Z284" i="2"/>
  <c r="AW292" i="2"/>
  <c r="Z292" i="2"/>
  <c r="AW300" i="2"/>
  <c r="Z300" i="2"/>
  <c r="AB300" i="2" s="1"/>
  <c r="AK300" i="2" s="1"/>
  <c r="AW308" i="2"/>
  <c r="Z308" i="2"/>
  <c r="AV316" i="2"/>
  <c r="AX316" i="2"/>
  <c r="Z316" i="2"/>
  <c r="AY324" i="2"/>
  <c r="Z324" i="2"/>
  <c r="AB324" i="2" s="1"/>
  <c r="AK324" i="2" s="1"/>
  <c r="AX332" i="2"/>
  <c r="Z332" i="2"/>
  <c r="AC332" i="2" s="1"/>
  <c r="AL332" i="2" s="1"/>
  <c r="AX340" i="2"/>
  <c r="Z340" i="2"/>
  <c r="AB340" i="2" s="1"/>
  <c r="AK340" i="2" s="1"/>
  <c r="AV348" i="2"/>
  <c r="AX348" i="2"/>
  <c r="Z348" i="2"/>
  <c r="AX356" i="2"/>
  <c r="Z356" i="2"/>
  <c r="AC356" i="2" s="1"/>
  <c r="AL356" i="2" s="1"/>
  <c r="AX364" i="2"/>
  <c r="Z364" i="2"/>
  <c r="AC364" i="2" s="1"/>
  <c r="AL364" i="2" s="1"/>
  <c r="AX372" i="2"/>
  <c r="Z372" i="2"/>
  <c r="AB372" i="2" s="1"/>
  <c r="AK372" i="2" s="1"/>
  <c r="AV380" i="2"/>
  <c r="AX380" i="2"/>
  <c r="Z380" i="2"/>
  <c r="AC380" i="2" s="1"/>
  <c r="AL380" i="2" s="1"/>
  <c r="AX388" i="2"/>
  <c r="Z388" i="2"/>
  <c r="AX396" i="2"/>
  <c r="Z396" i="2"/>
  <c r="AA396" i="2" s="1"/>
  <c r="AJ396" i="2" s="1"/>
  <c r="AX404" i="2"/>
  <c r="Z404" i="2"/>
  <c r="AV412" i="2"/>
  <c r="AX412" i="2"/>
  <c r="Z412" i="2"/>
  <c r="AW420" i="2"/>
  <c r="Z420" i="2"/>
  <c r="AC420" i="2" s="1"/>
  <c r="AL420" i="2" s="1"/>
  <c r="AW428" i="2"/>
  <c r="Z428" i="2"/>
  <c r="AC428" i="2" s="1"/>
  <c r="AL428" i="2" s="1"/>
  <c r="AX436" i="2"/>
  <c r="Z436" i="2"/>
  <c r="AB436" i="2" s="1"/>
  <c r="AK436" i="2" s="1"/>
  <c r="AW444" i="2"/>
  <c r="Z444" i="2"/>
  <c r="AW452" i="2"/>
  <c r="Z452" i="2"/>
  <c r="Y460" i="2" a="1"/>
  <c r="Y460" i="2" s="1"/>
  <c r="Z460" i="2"/>
  <c r="AW468" i="2"/>
  <c r="Z468" i="2"/>
  <c r="AV476" i="2"/>
  <c r="Z476" i="2"/>
  <c r="AA476" i="2" s="1"/>
  <c r="AX476" i="2"/>
  <c r="AW484" i="2"/>
  <c r="Z484" i="2"/>
  <c r="AA484" i="2" s="1"/>
  <c r="AW492" i="2"/>
  <c r="Z492" i="2"/>
  <c r="AW500" i="2"/>
  <c r="Z500" i="2"/>
  <c r="AB500" i="2" s="1"/>
  <c r="AK500" i="2" s="1"/>
  <c r="AW508" i="2"/>
  <c r="AX508" i="2"/>
  <c r="Z508" i="2"/>
  <c r="AC508" i="2" s="1"/>
  <c r="AL508" i="2" s="1"/>
  <c r="AW516" i="2"/>
  <c r="Z516" i="2"/>
  <c r="AC516" i="2" s="1"/>
  <c r="AL516" i="2" s="1"/>
  <c r="AW524" i="2"/>
  <c r="Z524" i="2"/>
  <c r="AC524" i="2" s="1"/>
  <c r="AL524" i="2" s="1"/>
  <c r="AX532" i="2"/>
  <c r="Z532" i="2"/>
  <c r="AV540" i="2"/>
  <c r="AX540" i="2"/>
  <c r="Z540" i="2"/>
  <c r="AA540" i="2" s="1"/>
  <c r="AJ540" i="2" s="1"/>
  <c r="AX548" i="2"/>
  <c r="Z548" i="2"/>
  <c r="AY556" i="2"/>
  <c r="Z556" i="2"/>
  <c r="AC556" i="2" s="1"/>
  <c r="AL556" i="2" s="1"/>
  <c r="AX564" i="2"/>
  <c r="Z564" i="2"/>
  <c r="AV572" i="2"/>
  <c r="AX572" i="2"/>
  <c r="Z572" i="2"/>
  <c r="AC572" i="2" s="1"/>
  <c r="AL572" i="2" s="1"/>
  <c r="AX580" i="2"/>
  <c r="Z580" i="2"/>
  <c r="AX588" i="2"/>
  <c r="Z588" i="2"/>
  <c r="AA588" i="2" s="1"/>
  <c r="AX596" i="2"/>
  <c r="Z596" i="2"/>
  <c r="AC596" i="2" s="1"/>
  <c r="AL596" i="2" s="1"/>
  <c r="AX604" i="2"/>
  <c r="Z604" i="2"/>
  <c r="AC604" i="2" s="1"/>
  <c r="AL604" i="2" s="1"/>
  <c r="AX612" i="2"/>
  <c r="AV612" i="2"/>
  <c r="Z612" i="2"/>
  <c r="AC612" i="2" s="1"/>
  <c r="AL612" i="2" s="1"/>
  <c r="AX620" i="2"/>
  <c r="Z620" i="2"/>
  <c r="AX628" i="2"/>
  <c r="Z628" i="2"/>
  <c r="AX636" i="2"/>
  <c r="Z636" i="2"/>
  <c r="AC636" i="2" s="1"/>
  <c r="AL636" i="2" s="1"/>
  <c r="AX644" i="2"/>
  <c r="AV644" i="2"/>
  <c r="Z644" i="2"/>
  <c r="AB644" i="2" s="1"/>
  <c r="AK644" i="2" s="1"/>
  <c r="AX652" i="2"/>
  <c r="Z652" i="2"/>
  <c r="AX660" i="2"/>
  <c r="Z660" i="2"/>
  <c r="AY668" i="2"/>
  <c r="Z668" i="2"/>
  <c r="AC668" i="2" s="1"/>
  <c r="AL668" i="2" s="1"/>
  <c r="AX676" i="2"/>
  <c r="AV676" i="2"/>
  <c r="Z676" i="2"/>
  <c r="AX684" i="2"/>
  <c r="Z684" i="2"/>
  <c r="AX692" i="2"/>
  <c r="Z692" i="2"/>
  <c r="AX700" i="2"/>
  <c r="Z700" i="2"/>
  <c r="AB700" i="2" s="1"/>
  <c r="AK700" i="2" s="1"/>
  <c r="AX708" i="2"/>
  <c r="AV708" i="2"/>
  <c r="Z708" i="2"/>
  <c r="AX716" i="2"/>
  <c r="Z716" i="2"/>
  <c r="AB716" i="2" s="1"/>
  <c r="AK716" i="2" s="1"/>
  <c r="AW724" i="2"/>
  <c r="Z724" i="2"/>
  <c r="AW732" i="2"/>
  <c r="Z732" i="2"/>
  <c r="AC732" i="2" s="1"/>
  <c r="AL732" i="2" s="1"/>
  <c r="AY740" i="2"/>
  <c r="Z740" i="2"/>
  <c r="AX748" i="2"/>
  <c r="Z748" i="2"/>
  <c r="AA748" i="2" s="1"/>
  <c r="AJ748" i="2" s="1"/>
  <c r="AX756" i="2"/>
  <c r="Z756" i="2"/>
  <c r="AW772" i="2"/>
  <c r="AV772" i="2"/>
  <c r="AW804" i="2"/>
  <c r="AV804" i="2"/>
  <c r="X836" i="2"/>
  <c r="AV836" i="2"/>
  <c r="AW868" i="2"/>
  <c r="AV868" i="2"/>
  <c r="AY900" i="2"/>
  <c r="AV900" i="2"/>
  <c r="AX932" i="2"/>
  <c r="AV932" i="2"/>
  <c r="AX964" i="2"/>
  <c r="AV964" i="2"/>
  <c r="AX1028" i="2"/>
  <c r="AV1028" i="2"/>
  <c r="AX1060" i="2"/>
  <c r="AV1060" i="2"/>
  <c r="Y1140" i="2" a="1"/>
  <c r="Y1140" i="2" s="1"/>
  <c r="AV1140" i="2"/>
  <c r="AV1300" i="2"/>
  <c r="Y1300" i="2" a="1"/>
  <c r="Y1300" i="2" s="1"/>
  <c r="AW1420" i="2"/>
  <c r="AY1420" i="2"/>
  <c r="AV244" i="2"/>
  <c r="AV276" i="2"/>
  <c r="AV308" i="2"/>
  <c r="AV340" i="2"/>
  <c r="AV372" i="2"/>
  <c r="AV404" i="2"/>
  <c r="AV436" i="2"/>
  <c r="AV468" i="2"/>
  <c r="AV500" i="2"/>
  <c r="AV532" i="2"/>
  <c r="AV564" i="2"/>
  <c r="AV588" i="2"/>
  <c r="AX740" i="2"/>
  <c r="AX772" i="2"/>
  <c r="AX804" i="2"/>
  <c r="AX836" i="2"/>
  <c r="AX868" i="2"/>
  <c r="AX900" i="2"/>
  <c r="AW1148" i="2"/>
  <c r="AW836" i="2"/>
  <c r="AW604" i="2"/>
  <c r="AW460" i="2"/>
  <c r="AX244" i="2"/>
  <c r="AX276" i="2"/>
  <c r="AX308" i="2"/>
  <c r="AX468" i="2"/>
  <c r="AX500" i="2"/>
  <c r="AV636" i="2"/>
  <c r="AV668" i="2"/>
  <c r="AV700" i="2"/>
  <c r="AV732" i="2"/>
  <c r="AV764" i="2"/>
  <c r="AV796" i="2"/>
  <c r="AV828" i="2"/>
  <c r="AV860" i="2"/>
  <c r="AV892" i="2"/>
  <c r="AV924" i="2"/>
  <c r="AV956" i="2"/>
  <c r="AV988" i="2"/>
  <c r="AV1020" i="2"/>
  <c r="AV1052" i="2"/>
  <c r="AV1460" i="2"/>
  <c r="AV1716" i="2"/>
  <c r="AW1300" i="2"/>
  <c r="AW1076" i="2"/>
  <c r="AW324" i="2"/>
  <c r="AY780" i="2"/>
  <c r="Y836" i="2" a="1"/>
  <c r="Y836" i="2" s="1"/>
  <c r="AV268" i="2"/>
  <c r="AV300" i="2"/>
  <c r="AV332" i="2"/>
  <c r="AV364" i="2"/>
  <c r="AV396" i="2"/>
  <c r="AV428" i="2"/>
  <c r="AV460" i="2"/>
  <c r="AV492" i="2"/>
  <c r="AV524" i="2"/>
  <c r="AV556" i="2"/>
  <c r="AV604" i="2"/>
  <c r="AX668" i="2"/>
  <c r="AX732" i="2"/>
  <c r="AV1236" i="2"/>
  <c r="AV1492" i="2"/>
  <c r="AW940" i="2"/>
  <c r="Y1076" i="2" a="1"/>
  <c r="Y1076" i="2" s="1"/>
  <c r="AX268" i="2"/>
  <c r="AX300" i="2"/>
  <c r="AX428" i="2"/>
  <c r="AX460" i="2"/>
  <c r="AX492" i="2"/>
  <c r="AX524" i="2"/>
  <c r="AX556" i="2"/>
  <c r="AV580" i="2"/>
  <c r="AV628" i="2"/>
  <c r="AV660" i="2"/>
  <c r="AV692" i="2"/>
  <c r="AV724" i="2"/>
  <c r="AV756" i="2"/>
  <c r="AV788" i="2"/>
  <c r="AV820" i="2"/>
  <c r="AV852" i="2"/>
  <c r="AV884" i="2"/>
  <c r="AV916" i="2"/>
  <c r="AV948" i="2"/>
  <c r="AV980" i="2"/>
  <c r="AV1012" i="2"/>
  <c r="AV1044" i="2"/>
  <c r="AV1076" i="2"/>
  <c r="Y812" i="2" a="1"/>
  <c r="Y812" i="2" s="1"/>
  <c r="Z30" i="2"/>
  <c r="X30" i="2" s="1"/>
  <c r="Z28" i="2"/>
  <c r="X28" i="2" s="1"/>
  <c r="Z88" i="2"/>
  <c r="X88" i="2" s="1"/>
  <c r="Z119" i="2"/>
  <c r="AB119" i="2" s="1"/>
  <c r="Z62" i="2"/>
  <c r="AB62" i="2" s="1"/>
  <c r="Z134" i="2"/>
  <c r="AB134" i="2" s="1"/>
  <c r="Z31" i="2"/>
  <c r="AB31" i="2" s="1"/>
  <c r="Z83" i="2"/>
  <c r="X83" i="2" s="1"/>
  <c r="Z59" i="2"/>
  <c r="X59" i="2" s="1"/>
  <c r="AV260" i="2"/>
  <c r="AV292" i="2"/>
  <c r="AV324" i="2"/>
  <c r="AV356" i="2"/>
  <c r="AV388" i="2"/>
  <c r="AV420" i="2"/>
  <c r="AV452" i="2"/>
  <c r="AV484" i="2"/>
  <c r="AV516" i="2"/>
  <c r="AV548" i="2"/>
  <c r="AX724" i="2"/>
  <c r="AX820" i="2"/>
  <c r="AW1108" i="2"/>
  <c r="AW356" i="2"/>
  <c r="Y1036" i="2" a="1"/>
  <c r="Y1036" i="2" s="1"/>
  <c r="AX260" i="2"/>
  <c r="AX292" i="2"/>
  <c r="AX324" i="2"/>
  <c r="AX420" i="2"/>
  <c r="AX452" i="2"/>
  <c r="AX484" i="2"/>
  <c r="AX516" i="2"/>
  <c r="AV596" i="2"/>
  <c r="AV620" i="2"/>
  <c r="AV652" i="2"/>
  <c r="AV684" i="2"/>
  <c r="AV716" i="2"/>
  <c r="AV748" i="2"/>
  <c r="AV780" i="2"/>
  <c r="AV812" i="2"/>
  <c r="AV844" i="2"/>
  <c r="AV876" i="2"/>
  <c r="AV908" i="2"/>
  <c r="AV940" i="2"/>
  <c r="AV972" i="2"/>
  <c r="AV1004" i="2"/>
  <c r="AV1036" i="2"/>
  <c r="AV1068" i="2"/>
  <c r="AW972" i="2"/>
  <c r="AY1036" i="2"/>
  <c r="AV252" i="2"/>
  <c r="AV444" i="2"/>
  <c r="AV508" i="2"/>
  <c r="AX780" i="2"/>
  <c r="AX972" i="2"/>
  <c r="AW900" i="2"/>
  <c r="AY836" i="2"/>
  <c r="Y284" i="2" a="1"/>
  <c r="Y284" i="2" s="1"/>
  <c r="AW284" i="2"/>
  <c r="AY316" i="2"/>
  <c r="AW316" i="2"/>
  <c r="AY332" i="2"/>
  <c r="AW332" i="2"/>
  <c r="X340" i="2"/>
  <c r="AW340" i="2"/>
  <c r="X348" i="2"/>
  <c r="AW348" i="2"/>
  <c r="X356" i="2"/>
  <c r="AY356" i="2"/>
  <c r="X364" i="2"/>
  <c r="AY364" i="2"/>
  <c r="AW364" i="2"/>
  <c r="X372" i="2"/>
  <c r="AY372" i="2"/>
  <c r="AW372" i="2"/>
  <c r="Y372" i="2" a="1"/>
  <c r="Y372" i="2" s="1"/>
  <c r="X380" i="2"/>
  <c r="AW380" i="2"/>
  <c r="AY380" i="2"/>
  <c r="X388" i="2"/>
  <c r="AY388" i="2"/>
  <c r="AW388" i="2"/>
  <c r="X396" i="2"/>
  <c r="Y396" i="2" a="1"/>
  <c r="Y396" i="2" s="1"/>
  <c r="AY396" i="2"/>
  <c r="AW396" i="2"/>
  <c r="X404" i="2"/>
  <c r="AY404" i="2"/>
  <c r="AW404" i="2"/>
  <c r="Y412" i="2" a="1"/>
  <c r="Y412" i="2" s="1"/>
  <c r="AW412" i="2"/>
  <c r="Y436" i="2" a="1"/>
  <c r="Y436" i="2" s="1"/>
  <c r="AW436" i="2"/>
  <c r="X476" i="2"/>
  <c r="AW476" i="2"/>
  <c r="AY476" i="2"/>
  <c r="AY532" i="2"/>
  <c r="AW532" i="2"/>
  <c r="X540" i="2"/>
  <c r="AY540" i="2"/>
  <c r="AW540" i="2"/>
  <c r="X548" i="2"/>
  <c r="AW548" i="2"/>
  <c r="AY548" i="2"/>
  <c r="Y548" i="2" a="1"/>
  <c r="Y548" i="2" s="1"/>
  <c r="X556" i="2"/>
  <c r="Y556" i="2" a="1"/>
  <c r="Y556" i="2" s="1"/>
  <c r="AW556" i="2"/>
  <c r="X564" i="2"/>
  <c r="Y564" i="2" a="1"/>
  <c r="Y564" i="2" s="1"/>
  <c r="AY564" i="2"/>
  <c r="AW564" i="2"/>
  <c r="X572" i="2"/>
  <c r="AW572" i="2"/>
  <c r="AY572" i="2"/>
  <c r="X580" i="2"/>
  <c r="AW580" i="2"/>
  <c r="AY580" i="2"/>
  <c r="Y580" i="2" a="1"/>
  <c r="Y580" i="2" s="1"/>
  <c r="X588" i="2"/>
  <c r="AY588" i="2"/>
  <c r="AW588" i="2"/>
  <c r="X596" i="2"/>
  <c r="AY596" i="2"/>
  <c r="AW596" i="2"/>
  <c r="Y596" i="2" a="1"/>
  <c r="Y596" i="2" s="1"/>
  <c r="X604" i="2"/>
  <c r="AY604" i="2"/>
  <c r="X612" i="2"/>
  <c r="AY612" i="2"/>
  <c r="Y612" i="2" a="1"/>
  <c r="Y612" i="2" s="1"/>
  <c r="AW612" i="2"/>
  <c r="X620" i="2"/>
  <c r="AW620" i="2"/>
  <c r="AY620" i="2"/>
  <c r="X628" i="2"/>
  <c r="AW628" i="2"/>
  <c r="AY628" i="2"/>
  <c r="Y628" i="2" a="1"/>
  <c r="Y628" i="2" s="1"/>
  <c r="X636" i="2"/>
  <c r="AY636" i="2"/>
  <c r="AW636" i="2"/>
  <c r="X644" i="2"/>
  <c r="AY644" i="2"/>
  <c r="Y644" i="2" a="1"/>
  <c r="Y644" i="2" s="1"/>
  <c r="AW644" i="2"/>
  <c r="X652" i="2"/>
  <c r="Y652" i="2" a="1"/>
  <c r="Y652" i="2" s="1"/>
  <c r="AW652" i="2"/>
  <c r="AY652" i="2"/>
  <c r="X660" i="2"/>
  <c r="AW660" i="2"/>
  <c r="AY660" i="2"/>
  <c r="Y660" i="2" a="1"/>
  <c r="Y660" i="2" s="1"/>
  <c r="X668" i="2"/>
  <c r="Y668" i="2" a="1"/>
  <c r="Y668" i="2" s="1"/>
  <c r="X676" i="2"/>
  <c r="AY676" i="2"/>
  <c r="Y676" i="2" a="1"/>
  <c r="Y676" i="2" s="1"/>
  <c r="AW676" i="2"/>
  <c r="X684" i="2"/>
  <c r="AY684" i="2"/>
  <c r="Y684" i="2" a="1"/>
  <c r="Y684" i="2" s="1"/>
  <c r="AW684" i="2"/>
  <c r="X692" i="2"/>
  <c r="AW692" i="2"/>
  <c r="AY692" i="2"/>
  <c r="Y692" i="2" a="1"/>
  <c r="Y692" i="2" s="1"/>
  <c r="X700" i="2"/>
  <c r="AY700" i="2"/>
  <c r="AW700" i="2"/>
  <c r="Y700" i="2" a="1"/>
  <c r="Y700" i="2" s="1"/>
  <c r="X708" i="2"/>
  <c r="Y708" i="2" a="1"/>
  <c r="Y708" i="2" s="1"/>
  <c r="AY708" i="2"/>
  <c r="AW708" i="2"/>
  <c r="X716" i="2"/>
  <c r="Y716" i="2" a="1"/>
  <c r="Y716" i="2" s="1"/>
  <c r="AY716" i="2"/>
  <c r="AW716" i="2"/>
  <c r="AY748" i="2"/>
  <c r="AW748" i="2"/>
  <c r="X756" i="2"/>
  <c r="AW756" i="2"/>
  <c r="Y756" i="2" a="1"/>
  <c r="Y756" i="2" s="1"/>
  <c r="X764" i="2"/>
  <c r="AW764" i="2"/>
  <c r="X772" i="2"/>
  <c r="Y772" i="2" a="1"/>
  <c r="Y772" i="2" s="1"/>
  <c r="AY772" i="2"/>
  <c r="X780" i="2"/>
  <c r="AW780" i="2"/>
  <c r="X788" i="2"/>
  <c r="AY788" i="2"/>
  <c r="AW788" i="2"/>
  <c r="Y788" i="2" a="1"/>
  <c r="Y788" i="2" s="1"/>
  <c r="X796" i="2"/>
  <c r="AW796" i="2"/>
  <c r="Y796" i="2" a="1"/>
  <c r="Y796" i="2" s="1"/>
  <c r="AY796" i="2"/>
  <c r="X804" i="2"/>
  <c r="AY804" i="2"/>
  <c r="Y804" i="2" a="1"/>
  <c r="Y804" i="2" s="1"/>
  <c r="X812" i="2"/>
  <c r="AY812" i="2"/>
  <c r="AW812" i="2"/>
  <c r="X820" i="2"/>
  <c r="AW820" i="2"/>
  <c r="Y820" i="2" a="1"/>
  <c r="Y820" i="2" s="1"/>
  <c r="X828" i="2"/>
  <c r="AW828" i="2"/>
  <c r="Y828" i="2" a="1"/>
  <c r="Y828" i="2" s="1"/>
  <c r="AY828" i="2"/>
  <c r="AY844" i="2"/>
  <c r="AW844" i="2"/>
  <c r="X852" i="2"/>
  <c r="AY852" i="2"/>
  <c r="Y852" i="2" a="1"/>
  <c r="Y852" i="2" s="1"/>
  <c r="AW852" i="2"/>
  <c r="X860" i="2"/>
  <c r="AW860" i="2"/>
  <c r="AY860" i="2"/>
  <c r="Y860" i="2" a="1"/>
  <c r="Y860" i="2" s="1"/>
  <c r="X868" i="2"/>
  <c r="AY868" i="2"/>
  <c r="Y868" i="2" a="1"/>
  <c r="Y868" i="2" s="1"/>
  <c r="X876" i="2"/>
  <c r="AY876" i="2"/>
  <c r="Y876" i="2" a="1"/>
  <c r="Y876" i="2" s="1"/>
  <c r="AW876" i="2"/>
  <c r="X884" i="2"/>
  <c r="AY884" i="2"/>
  <c r="Y884" i="2" a="1"/>
  <c r="Y884" i="2" s="1"/>
  <c r="AW884" i="2"/>
  <c r="X892" i="2"/>
  <c r="AW892" i="2"/>
  <c r="AY892" i="2"/>
  <c r="Y892" i="2" a="1"/>
  <c r="Y892" i="2" s="1"/>
  <c r="AW908" i="2"/>
  <c r="AY908" i="2"/>
  <c r="X916" i="2"/>
  <c r="AW916" i="2"/>
  <c r="Y916" i="2" a="1"/>
  <c r="Y916" i="2" s="1"/>
  <c r="AY916" i="2"/>
  <c r="X924" i="2"/>
  <c r="AY924" i="2"/>
  <c r="Y924" i="2" a="1"/>
  <c r="Y924" i="2" s="1"/>
  <c r="AW924" i="2"/>
  <c r="X932" i="2"/>
  <c r="Y932" i="2" a="1"/>
  <c r="Y932" i="2" s="1"/>
  <c r="AW932" i="2"/>
  <c r="AY932" i="2"/>
  <c r="X940" i="2"/>
  <c r="AY940" i="2"/>
  <c r="Y940" i="2" a="1"/>
  <c r="Y940" i="2" s="1"/>
  <c r="X948" i="2"/>
  <c r="AY948" i="2"/>
  <c r="Y948" i="2" a="1"/>
  <c r="Y948" i="2" s="1"/>
  <c r="AW948" i="2"/>
  <c r="X956" i="2"/>
  <c r="Y956" i="2" a="1"/>
  <c r="Y956" i="2" s="1"/>
  <c r="AW956" i="2"/>
  <c r="AY956" i="2"/>
  <c r="X964" i="2"/>
  <c r="AW964" i="2"/>
  <c r="AY964" i="2"/>
  <c r="Y964" i="2" a="1"/>
  <c r="Y964" i="2" s="1"/>
  <c r="X972" i="2"/>
  <c r="Y972" i="2" a="1"/>
  <c r="Y972" i="2" s="1"/>
  <c r="X980" i="2"/>
  <c r="Y980" i="2" a="1"/>
  <c r="Y980" i="2" s="1"/>
  <c r="AY980" i="2"/>
  <c r="AW980" i="2"/>
  <c r="X988" i="2"/>
  <c r="Y988" i="2" a="1"/>
  <c r="Y988" i="2" s="1"/>
  <c r="AY988" i="2"/>
  <c r="AW988" i="2"/>
  <c r="X996" i="2"/>
  <c r="AW996" i="2"/>
  <c r="Y996" i="2" a="1"/>
  <c r="Y996" i="2" s="1"/>
  <c r="AY996" i="2"/>
  <c r="X1004" i="2"/>
  <c r="AW1004" i="2"/>
  <c r="AY1004" i="2"/>
  <c r="Y1004" i="2" a="1"/>
  <c r="Y1004" i="2" s="1"/>
  <c r="X1012" i="2"/>
  <c r="AY1012" i="2"/>
  <c r="Y1012" i="2" a="1"/>
  <c r="Y1012" i="2" s="1"/>
  <c r="AW1012" i="2"/>
  <c r="X1020" i="2"/>
  <c r="AW1020" i="2"/>
  <c r="Y1020" i="2" a="1"/>
  <c r="Y1020" i="2" s="1"/>
  <c r="AY1020" i="2"/>
  <c r="X1028" i="2"/>
  <c r="Y1028" i="2" a="1"/>
  <c r="Y1028" i="2" s="1"/>
  <c r="AY1028" i="2"/>
  <c r="AW1028" i="2"/>
  <c r="X1036" i="2"/>
  <c r="AW1036" i="2"/>
  <c r="X1044" i="2"/>
  <c r="Y1044" i="2" a="1"/>
  <c r="Y1044" i="2" s="1"/>
  <c r="AY1044" i="2"/>
  <c r="AW1044" i="2"/>
  <c r="AY1052" i="2"/>
  <c r="AW1052" i="2"/>
  <c r="AW1060" i="2"/>
  <c r="AY1060" i="2"/>
  <c r="X1068" i="2"/>
  <c r="AW1068" i="2"/>
  <c r="Y1068" i="2" a="1"/>
  <c r="Y1068" i="2" s="1"/>
  <c r="AY1068" i="2"/>
  <c r="X1076" i="2"/>
  <c r="AY1076" i="2"/>
  <c r="X1084" i="2"/>
  <c r="AV1084" i="2"/>
  <c r="Y1084" i="2" a="1"/>
  <c r="Y1084" i="2" s="1"/>
  <c r="AW1084" i="2"/>
  <c r="AY1084" i="2"/>
  <c r="X1092" i="2"/>
  <c r="Y1092" i="2" a="1"/>
  <c r="Y1092" i="2" s="1"/>
  <c r="AX1092" i="2"/>
  <c r="AY1092" i="2"/>
  <c r="AW1092" i="2"/>
  <c r="AV1092" i="2"/>
  <c r="X1100" i="2"/>
  <c r="AY1100" i="2"/>
  <c r="AW1100" i="2"/>
  <c r="AX1100" i="2"/>
  <c r="AV1100" i="2"/>
  <c r="Y1100" i="2" a="1"/>
  <c r="Y1100" i="2" s="1"/>
  <c r="X1108" i="2"/>
  <c r="Y1108" i="2" a="1"/>
  <c r="Y1108" i="2" s="1"/>
  <c r="AY1108" i="2"/>
  <c r="AX1108" i="2"/>
  <c r="X1116" i="2"/>
  <c r="AX1116" i="2"/>
  <c r="AV1116" i="2"/>
  <c r="AY1116" i="2"/>
  <c r="Y1116" i="2" a="1"/>
  <c r="Y1116" i="2" s="1"/>
  <c r="AW1116" i="2"/>
  <c r="X1124" i="2"/>
  <c r="Y1124" i="2" a="1"/>
  <c r="Y1124" i="2" s="1"/>
  <c r="AX1124" i="2"/>
  <c r="AV1124" i="2"/>
  <c r="AW1124" i="2"/>
  <c r="X1132" i="2"/>
  <c r="AW1132" i="2"/>
  <c r="Y1132" i="2" a="1"/>
  <c r="Y1132" i="2" s="1"/>
  <c r="AY1132" i="2"/>
  <c r="AX1132" i="2"/>
  <c r="AV1132" i="2"/>
  <c r="X1140" i="2"/>
  <c r="AW1140" i="2"/>
  <c r="AY1140" i="2"/>
  <c r="AX1140" i="2"/>
  <c r="X1148" i="2"/>
  <c r="AX1148" i="2"/>
  <c r="AV1148" i="2"/>
  <c r="Y1148" i="2" a="1"/>
  <c r="Y1148" i="2" s="1"/>
  <c r="X1156" i="2"/>
  <c r="AX1156" i="2"/>
  <c r="AV1156" i="2"/>
  <c r="AY1156" i="2"/>
  <c r="AW1156" i="2"/>
  <c r="Y1156" i="2" a="1"/>
  <c r="Y1156" i="2" s="1"/>
  <c r="X1164" i="2"/>
  <c r="AY1164" i="2"/>
  <c r="Y1164" i="2" a="1"/>
  <c r="Y1164" i="2" s="1"/>
  <c r="AW1164" i="2"/>
  <c r="AX1164" i="2"/>
  <c r="AV1164" i="2"/>
  <c r="X1172" i="2"/>
  <c r="AW1172" i="2"/>
  <c r="Y1172" i="2" a="1"/>
  <c r="Y1172" i="2" s="1"/>
  <c r="AY1172" i="2"/>
  <c r="AX1172" i="2"/>
  <c r="X1180" i="2"/>
  <c r="AW1180" i="2"/>
  <c r="AX1180" i="2"/>
  <c r="AV1180" i="2"/>
  <c r="Y1180" i="2" a="1"/>
  <c r="Y1180" i="2" s="1"/>
  <c r="AY1180" i="2"/>
  <c r="AY1188" i="2"/>
  <c r="AX1188" i="2"/>
  <c r="AV1188" i="2"/>
  <c r="X1196" i="2"/>
  <c r="Y1196" i="2" a="1"/>
  <c r="Y1196" i="2" s="1"/>
  <c r="AX1196" i="2"/>
  <c r="AY1196" i="2"/>
  <c r="AW1196" i="2"/>
  <c r="AV1196" i="2"/>
  <c r="AY1204" i="2"/>
  <c r="AW1204" i="2"/>
  <c r="AX1204" i="2"/>
  <c r="AY1212" i="2"/>
  <c r="AX1212" i="2"/>
  <c r="AV1212" i="2"/>
  <c r="AW1212" i="2"/>
  <c r="AW1220" i="2"/>
  <c r="AX1220" i="2"/>
  <c r="AV1220" i="2"/>
  <c r="AY1220" i="2"/>
  <c r="AY1228" i="2"/>
  <c r="AX1228" i="2"/>
  <c r="AV1228" i="2"/>
  <c r="AW1228" i="2"/>
  <c r="AW1236" i="2"/>
  <c r="AX1236" i="2"/>
  <c r="AX1244" i="2"/>
  <c r="AV1244" i="2"/>
  <c r="AW1244" i="2"/>
  <c r="AY1244" i="2"/>
  <c r="X1252" i="2"/>
  <c r="Y1252" i="2" a="1"/>
  <c r="Y1252" i="2" s="1"/>
  <c r="AY1252" i="2"/>
  <c r="AW1252" i="2"/>
  <c r="AX1252" i="2"/>
  <c r="AV1252" i="2"/>
  <c r="X1260" i="2"/>
  <c r="AW1260" i="2"/>
  <c r="Y1260" i="2" a="1"/>
  <c r="Y1260" i="2" s="1"/>
  <c r="AX1260" i="2"/>
  <c r="AV1260" i="2"/>
  <c r="AY1260" i="2"/>
  <c r="X1268" i="2"/>
  <c r="AY1268" i="2"/>
  <c r="Y1268" i="2" a="1"/>
  <c r="Y1268" i="2" s="1"/>
  <c r="AW1268" i="2"/>
  <c r="AX1268" i="2"/>
  <c r="X1276" i="2"/>
  <c r="AX1276" i="2"/>
  <c r="AY1276" i="2"/>
  <c r="AV1276" i="2"/>
  <c r="Y1276" i="2" a="1"/>
  <c r="Y1276" i="2" s="1"/>
  <c r="AW1276" i="2"/>
  <c r="X1284" i="2"/>
  <c r="AX1284" i="2"/>
  <c r="AW1284" i="2"/>
  <c r="AV1284" i="2"/>
  <c r="Y1284" i="2" a="1"/>
  <c r="Y1284" i="2" s="1"/>
  <c r="X1292" i="2"/>
  <c r="AW1292" i="2"/>
  <c r="Y1292" i="2" a="1"/>
  <c r="Y1292" i="2" s="1"/>
  <c r="AY1292" i="2"/>
  <c r="AX1292" i="2"/>
  <c r="AV1292" i="2"/>
  <c r="X1300" i="2"/>
  <c r="AY1300" i="2"/>
  <c r="AX1300" i="2"/>
  <c r="X1308" i="2"/>
  <c r="AX1308" i="2"/>
  <c r="AV1308" i="2"/>
  <c r="Y1308" i="2" a="1"/>
  <c r="Y1308" i="2" s="1"/>
  <c r="AY1308" i="2"/>
  <c r="AW1308" i="2"/>
  <c r="X1316" i="2"/>
  <c r="AX1316" i="2"/>
  <c r="AY1316" i="2"/>
  <c r="AV1316" i="2"/>
  <c r="AW1316" i="2"/>
  <c r="Y1316" i="2" a="1"/>
  <c r="Y1316" i="2" s="1"/>
  <c r="X1324" i="2"/>
  <c r="AY1324" i="2"/>
  <c r="Y1324" i="2" a="1"/>
  <c r="Y1324" i="2" s="1"/>
  <c r="AW1324" i="2"/>
  <c r="AX1324" i="2"/>
  <c r="AV1324" i="2"/>
  <c r="X1332" i="2"/>
  <c r="AW1332" i="2"/>
  <c r="Y1332" i="2" a="1"/>
  <c r="Y1332" i="2" s="1"/>
  <c r="AY1332" i="2"/>
  <c r="AX1332" i="2"/>
  <c r="X1340" i="2"/>
  <c r="AW1340" i="2"/>
  <c r="AX1340" i="2"/>
  <c r="Y1340" i="2" a="1"/>
  <c r="Y1340" i="2" s="1"/>
  <c r="AV1340" i="2"/>
  <c r="AY1340" i="2"/>
  <c r="X1348" i="2"/>
  <c r="AY1348" i="2"/>
  <c r="AX1348" i="2"/>
  <c r="AV1348" i="2"/>
  <c r="Y1348" i="2" a="1"/>
  <c r="Y1348" i="2" s="1"/>
  <c r="AW1348" i="2"/>
  <c r="X1356" i="2"/>
  <c r="Y1356" i="2" a="1"/>
  <c r="Y1356" i="2" s="1"/>
  <c r="AW1356" i="2"/>
  <c r="AX1356" i="2"/>
  <c r="AY1356" i="2"/>
  <c r="AV1356" i="2"/>
  <c r="X1364" i="2"/>
  <c r="AY1364" i="2"/>
  <c r="AW1364" i="2"/>
  <c r="Y1364" i="2" a="1"/>
  <c r="Y1364" i="2" s="1"/>
  <c r="AX1364" i="2"/>
  <c r="X1372" i="2"/>
  <c r="Y1372" i="2" a="1"/>
  <c r="Y1372" i="2" s="1"/>
  <c r="AX1372" i="2"/>
  <c r="AW1372" i="2"/>
  <c r="AV1372" i="2"/>
  <c r="X1380" i="2"/>
  <c r="AW1380" i="2"/>
  <c r="AX1380" i="2"/>
  <c r="AV1380" i="2"/>
  <c r="Y1380" i="2" a="1"/>
  <c r="Y1380" i="2" s="1"/>
  <c r="AY1380" i="2"/>
  <c r="X1388" i="2"/>
  <c r="Y1388" i="2" a="1"/>
  <c r="Y1388" i="2" s="1"/>
  <c r="AY1388" i="2"/>
  <c r="AX1388" i="2"/>
  <c r="AV1388" i="2"/>
  <c r="AW1388" i="2"/>
  <c r="X1396" i="2"/>
  <c r="AY1396" i="2"/>
  <c r="Y1396" i="2" a="1"/>
  <c r="Y1396" i="2" s="1"/>
  <c r="AW1396" i="2"/>
  <c r="AX1396" i="2"/>
  <c r="X1404" i="2"/>
  <c r="Y1404" i="2" a="1"/>
  <c r="Y1404" i="2" s="1"/>
  <c r="AX1404" i="2"/>
  <c r="AV1404" i="2"/>
  <c r="AW1404" i="2"/>
  <c r="AY1404" i="2"/>
  <c r="X1412" i="2"/>
  <c r="AW1412" i="2"/>
  <c r="AY1412" i="2"/>
  <c r="AX1412" i="2"/>
  <c r="AV1412" i="2"/>
  <c r="Y1412" i="2" a="1"/>
  <c r="Y1412" i="2" s="1"/>
  <c r="X1420" i="2"/>
  <c r="Y1420" i="2" a="1"/>
  <c r="Y1420" i="2" s="1"/>
  <c r="AX1420" i="2"/>
  <c r="AV1420" i="2"/>
  <c r="X1428" i="2"/>
  <c r="Y1428" i="2" a="1"/>
  <c r="Y1428" i="2" s="1"/>
  <c r="AY1428" i="2"/>
  <c r="AW1428" i="2"/>
  <c r="AX1428" i="2"/>
  <c r="X1436" i="2"/>
  <c r="Y1436" i="2" a="1"/>
  <c r="Y1436" i="2" s="1"/>
  <c r="AX1436" i="2"/>
  <c r="AY1436" i="2"/>
  <c r="AV1436" i="2"/>
  <c r="AW1436" i="2"/>
  <c r="X1444" i="2"/>
  <c r="AX1444" i="2"/>
  <c r="Y1444" i="2" a="1"/>
  <c r="Y1444" i="2" s="1"/>
  <c r="AW1444" i="2"/>
  <c r="AV1444" i="2"/>
  <c r="AY1444" i="2"/>
  <c r="X1452" i="2"/>
  <c r="AW1452" i="2"/>
  <c r="AY1452" i="2"/>
  <c r="AX1452" i="2"/>
  <c r="AV1452" i="2"/>
  <c r="AY1460" i="2"/>
  <c r="AX1460" i="2"/>
  <c r="AX1468" i="2"/>
  <c r="AV1468" i="2"/>
  <c r="AW1468" i="2"/>
  <c r="X1476" i="2"/>
  <c r="AX1476" i="2"/>
  <c r="AV1476" i="2"/>
  <c r="Y1476" i="2" a="1"/>
  <c r="Y1476" i="2" s="1"/>
  <c r="AY1476" i="2"/>
  <c r="AW1476" i="2"/>
  <c r="X1484" i="2"/>
  <c r="AY1484" i="2"/>
  <c r="AW1484" i="2"/>
  <c r="AX1484" i="2"/>
  <c r="AV1484" i="2"/>
  <c r="X1492" i="2"/>
  <c r="AW1492" i="2"/>
  <c r="AX1492" i="2"/>
  <c r="X1500" i="2"/>
  <c r="AX1500" i="2"/>
  <c r="AV1500" i="2"/>
  <c r="AY1500" i="2"/>
  <c r="X1508" i="2"/>
  <c r="AY1508" i="2"/>
  <c r="AX1508" i="2"/>
  <c r="AV1508" i="2"/>
  <c r="AW1508" i="2"/>
  <c r="X1516" i="2"/>
  <c r="AW1516" i="2"/>
  <c r="AX1516" i="2"/>
  <c r="AV1516" i="2"/>
  <c r="AY1516" i="2"/>
  <c r="X1524" i="2"/>
  <c r="AW1524" i="2"/>
  <c r="AY1524" i="2"/>
  <c r="AX1524" i="2"/>
  <c r="X1532" i="2"/>
  <c r="AX1532" i="2"/>
  <c r="AY1532" i="2"/>
  <c r="AW1532" i="2"/>
  <c r="AV1532" i="2"/>
  <c r="Y1532" i="2" a="1"/>
  <c r="Y1532" i="2" s="1"/>
  <c r="AX1540" i="2"/>
  <c r="AV1540" i="2"/>
  <c r="AY1540" i="2"/>
  <c r="X1548" i="2"/>
  <c r="AY1548" i="2"/>
  <c r="AX1548" i="2"/>
  <c r="AW1548" i="2"/>
  <c r="AV1548" i="2"/>
  <c r="X1556" i="2"/>
  <c r="AY1556" i="2"/>
  <c r="AW1556" i="2"/>
  <c r="AX1556" i="2"/>
  <c r="X1564" i="2"/>
  <c r="AX1564" i="2"/>
  <c r="AV1564" i="2"/>
  <c r="AW1564" i="2"/>
  <c r="AY1564" i="2"/>
  <c r="AW1572" i="2"/>
  <c r="AX1572" i="2"/>
  <c r="AY1572" i="2"/>
  <c r="AV1572" i="2"/>
  <c r="AY1580" i="2"/>
  <c r="AX1580" i="2"/>
  <c r="AV1580" i="2"/>
  <c r="AY1588" i="2"/>
  <c r="AW1588" i="2"/>
  <c r="AX1588" i="2"/>
  <c r="AX1596" i="2"/>
  <c r="AV1596" i="2"/>
  <c r="AY1596" i="2"/>
  <c r="AW1596" i="2"/>
  <c r="X1604" i="2"/>
  <c r="Y1604" i="2" a="1"/>
  <c r="Y1604" i="2" s="1"/>
  <c r="AW1604" i="2"/>
  <c r="AX1604" i="2"/>
  <c r="AV1604" i="2"/>
  <c r="AW1612" i="2"/>
  <c r="AY1612" i="2"/>
  <c r="AX1612" i="2"/>
  <c r="AV1612" i="2"/>
  <c r="X1620" i="2"/>
  <c r="Y1620" i="2" a="1"/>
  <c r="Y1620" i="2" s="1"/>
  <c r="AY1620" i="2"/>
  <c r="AW1620" i="2"/>
  <c r="AX1620" i="2"/>
  <c r="AX1628" i="2"/>
  <c r="AV1628" i="2"/>
  <c r="AW1628" i="2"/>
  <c r="AX1636" i="2"/>
  <c r="AV1636" i="2"/>
  <c r="AY1636" i="2"/>
  <c r="AW1636" i="2"/>
  <c r="AY1644" i="2"/>
  <c r="AW1644" i="2"/>
  <c r="AX1644" i="2"/>
  <c r="AV1644" i="2"/>
  <c r="AW1652" i="2"/>
  <c r="AY1652" i="2"/>
  <c r="AX1652" i="2"/>
  <c r="AX1660" i="2"/>
  <c r="AV1660" i="2"/>
  <c r="AY1660" i="2"/>
  <c r="AY1668" i="2"/>
  <c r="AX1668" i="2"/>
  <c r="AV1668" i="2"/>
  <c r="AW1668" i="2"/>
  <c r="AW1676" i="2"/>
  <c r="AX1676" i="2"/>
  <c r="AY1676" i="2"/>
  <c r="AV1676" i="2"/>
  <c r="AW1684" i="2"/>
  <c r="AY1684" i="2"/>
  <c r="AX1684" i="2"/>
  <c r="AW1692" i="2"/>
  <c r="AX1692" i="2"/>
  <c r="AV1692" i="2"/>
  <c r="X1700" i="2"/>
  <c r="Y1700" i="2" a="1"/>
  <c r="Y1700" i="2" s="1"/>
  <c r="AX1700" i="2"/>
  <c r="AV1700" i="2"/>
  <c r="AY1700" i="2"/>
  <c r="AY1708" i="2"/>
  <c r="AX1708" i="2"/>
  <c r="AW1708" i="2"/>
  <c r="AV1708" i="2"/>
  <c r="AW1716" i="2"/>
  <c r="AX1716" i="2"/>
  <c r="AX1724" i="2"/>
  <c r="AV1724" i="2"/>
  <c r="AW1724" i="2"/>
  <c r="AY1724" i="2"/>
  <c r="X1732" i="2"/>
  <c r="AW1732" i="2"/>
  <c r="AY1732" i="2"/>
  <c r="AX1732" i="2"/>
  <c r="AV1732" i="2"/>
  <c r="AX1740" i="2"/>
  <c r="AV1740" i="2"/>
  <c r="AY1740" i="2"/>
  <c r="X1748" i="2"/>
  <c r="Y1748" i="2" a="1"/>
  <c r="Y1748" i="2" s="1"/>
  <c r="AY1748" i="2"/>
  <c r="AW1748" i="2"/>
  <c r="AX1748" i="2"/>
  <c r="Y636" i="2" a="1"/>
  <c r="Y636" i="2" s="1"/>
  <c r="Y404" i="2" a="1"/>
  <c r="Y404" i="2" s="1"/>
  <c r="Y620" i="2" a="1"/>
  <c r="Y620" i="2" s="1"/>
  <c r="Y604" i="2" a="1"/>
  <c r="Y604" i="2" s="1"/>
  <c r="Y588" i="2" a="1"/>
  <c r="Y588" i="2" s="1"/>
  <c r="Y572" i="2" a="1"/>
  <c r="Y572" i="2" s="1"/>
  <c r="AY221" i="2"/>
  <c r="AY245" i="2"/>
  <c r="AX245" i="2"/>
  <c r="AV245" i="2"/>
  <c r="AY253" i="2"/>
  <c r="AX253" i="2"/>
  <c r="AV253" i="2"/>
  <c r="AW253" i="2"/>
  <c r="AY261" i="2"/>
  <c r="AX261" i="2"/>
  <c r="AV261" i="2"/>
  <c r="AY269" i="2"/>
  <c r="AX269" i="2"/>
  <c r="AW269" i="2"/>
  <c r="AV269" i="2"/>
  <c r="AY277" i="2"/>
  <c r="AW277" i="2"/>
  <c r="AX277" i="2"/>
  <c r="AV277" i="2"/>
  <c r="AY285" i="2"/>
  <c r="AW285" i="2"/>
  <c r="AX285" i="2"/>
  <c r="AV285" i="2"/>
  <c r="AY293" i="2"/>
  <c r="AW293" i="2"/>
  <c r="AX293" i="2"/>
  <c r="AV293" i="2"/>
  <c r="AW301" i="2"/>
  <c r="AX301" i="2"/>
  <c r="AV301" i="2"/>
  <c r="AY309" i="2"/>
  <c r="AX309" i="2"/>
  <c r="AV309" i="2"/>
  <c r="AW309" i="2"/>
  <c r="X317" i="2"/>
  <c r="AX317" i="2"/>
  <c r="AV317" i="2"/>
  <c r="Y317" i="2" a="1"/>
  <c r="Y317" i="2" s="1"/>
  <c r="AX325" i="2"/>
  <c r="AV325" i="2"/>
  <c r="AW325" i="2"/>
  <c r="X333" i="2"/>
  <c r="AX333" i="2"/>
  <c r="AW333" i="2"/>
  <c r="AV333" i="2"/>
  <c r="AW341" i="2"/>
  <c r="AX341" i="2"/>
  <c r="AV341" i="2"/>
  <c r="AW349" i="2"/>
  <c r="AX349" i="2"/>
  <c r="AV349" i="2"/>
  <c r="AY357" i="2"/>
  <c r="AW357" i="2"/>
  <c r="AX357" i="2"/>
  <c r="AV357" i="2"/>
  <c r="AW365" i="2"/>
  <c r="AX365" i="2"/>
  <c r="AV365" i="2"/>
  <c r="AX373" i="2"/>
  <c r="AV373" i="2"/>
  <c r="AW373" i="2"/>
  <c r="Y381" i="2" a="1"/>
  <c r="Y381" i="2" s="1"/>
  <c r="AX381" i="2"/>
  <c r="AV381" i="2"/>
  <c r="AY389" i="2"/>
  <c r="AX389" i="2"/>
  <c r="AV389" i="2"/>
  <c r="AW389" i="2"/>
  <c r="AX397" i="2"/>
  <c r="AW397" i="2"/>
  <c r="AV397" i="2"/>
  <c r="X405" i="2"/>
  <c r="AW405" i="2"/>
  <c r="AX405" i="2"/>
  <c r="AV405" i="2"/>
  <c r="AW413" i="2"/>
  <c r="AX413" i="2"/>
  <c r="AY413" i="2"/>
  <c r="AV413" i="2"/>
  <c r="AY421" i="2"/>
  <c r="AW421" i="2"/>
  <c r="AX421" i="2"/>
  <c r="AV421" i="2"/>
  <c r="AY429" i="2"/>
  <c r="AW429" i="2"/>
  <c r="AX429" i="2"/>
  <c r="AV429" i="2"/>
  <c r="X437" i="2"/>
  <c r="AY437" i="2"/>
  <c r="AX437" i="2"/>
  <c r="AV437" i="2"/>
  <c r="AW437" i="2"/>
  <c r="X445" i="2"/>
  <c r="AX445" i="2"/>
  <c r="AV445" i="2"/>
  <c r="X453" i="2"/>
  <c r="AX453" i="2"/>
  <c r="AV453" i="2"/>
  <c r="AW453" i="2"/>
  <c r="X461" i="2"/>
  <c r="AX461" i="2"/>
  <c r="AW461" i="2"/>
  <c r="AV461" i="2"/>
  <c r="X469" i="2"/>
  <c r="AW469" i="2"/>
  <c r="AX469" i="2"/>
  <c r="AV469" i="2"/>
  <c r="AY477" i="2"/>
  <c r="AW477" i="2"/>
  <c r="AX477" i="2"/>
  <c r="AV477" i="2"/>
  <c r="AW485" i="2"/>
  <c r="AY485" i="2"/>
  <c r="AX485" i="2"/>
  <c r="AV485" i="2"/>
  <c r="AY493" i="2"/>
  <c r="AW493" i="2"/>
  <c r="AX493" i="2"/>
  <c r="AV493" i="2"/>
  <c r="X501" i="2"/>
  <c r="AY501" i="2"/>
  <c r="AX501" i="2"/>
  <c r="AV501" i="2"/>
  <c r="AW501" i="2"/>
  <c r="AY509" i="2"/>
  <c r="AX509" i="2"/>
  <c r="AV509" i="2"/>
  <c r="AY517" i="2"/>
  <c r="AX517" i="2"/>
  <c r="AV517" i="2"/>
  <c r="AW517" i="2"/>
  <c r="AY525" i="2"/>
  <c r="AX525" i="2"/>
  <c r="AW525" i="2"/>
  <c r="AV525" i="2"/>
  <c r="X533" i="2"/>
  <c r="AW533" i="2"/>
  <c r="AX533" i="2"/>
  <c r="AV533" i="2"/>
  <c r="AW589" i="2"/>
  <c r="AV589" i="2"/>
  <c r="AW597" i="2"/>
  <c r="AX597" i="2"/>
  <c r="AX1757" i="2"/>
  <c r="AV1757" i="2"/>
  <c r="AX1765" i="2"/>
  <c r="AV1765" i="2"/>
  <c r="AY1773" i="2"/>
  <c r="AX1773" i="2"/>
  <c r="AV1773" i="2"/>
  <c r="AY1789" i="2"/>
  <c r="AX1789" i="2"/>
  <c r="AV1789" i="2"/>
  <c r="AW1797" i="2"/>
  <c r="AX1797" i="2"/>
  <c r="AV1797" i="2"/>
  <c r="AY1805" i="2"/>
  <c r="AX1805" i="2"/>
  <c r="AW1805" i="2"/>
  <c r="AV1805" i="2"/>
  <c r="AW1813" i="2"/>
  <c r="AV1813" i="2"/>
  <c r="AX1821" i="2"/>
  <c r="AV1821" i="2"/>
  <c r="AW1821" i="2"/>
  <c r="AW1829" i="2"/>
  <c r="AX1829" i="2"/>
  <c r="AV1829" i="2"/>
  <c r="AW1837" i="2"/>
  <c r="AX1837" i="2"/>
  <c r="AV1837" i="2"/>
  <c r="AY1845" i="2"/>
  <c r="AW1845" i="2"/>
  <c r="AV1845" i="2"/>
  <c r="AX1853" i="2"/>
  <c r="AV1853" i="2"/>
  <c r="AW1853" i="2"/>
  <c r="AX1861" i="2"/>
  <c r="AV1861" i="2"/>
  <c r="AX1869" i="2"/>
  <c r="AW1869" i="2"/>
  <c r="AV1869" i="2"/>
  <c r="X1877" i="2"/>
  <c r="AW1877" i="2"/>
  <c r="AV1877" i="2"/>
  <c r="AX1885" i="2"/>
  <c r="AV1885" i="2"/>
  <c r="AW1885" i="2"/>
  <c r="AW1893" i="2"/>
  <c r="AX1893" i="2"/>
  <c r="AV1893" i="2"/>
  <c r="AW1901" i="2"/>
  <c r="AX1901" i="2"/>
  <c r="AV1901" i="2"/>
  <c r="AW1909" i="2"/>
  <c r="AV1909" i="2"/>
  <c r="AX1917" i="2"/>
  <c r="AV1917" i="2"/>
  <c r="AW1917" i="2"/>
  <c r="AX1925" i="2"/>
  <c r="AV1925" i="2"/>
  <c r="AW1925" i="2"/>
  <c r="AY1925" i="2"/>
  <c r="AW1933" i="2"/>
  <c r="AV1933" i="2"/>
  <c r="AW1941" i="2"/>
  <c r="AX1941" i="2"/>
  <c r="AV1941" i="2"/>
  <c r="AX1949" i="2"/>
  <c r="AV1949" i="2"/>
  <c r="AW1949" i="2"/>
  <c r="AW1957" i="2"/>
  <c r="AV1957" i="2"/>
  <c r="AX1965" i="2"/>
  <c r="AV1965" i="2"/>
  <c r="AW1965" i="2"/>
  <c r="Y1973" i="2" a="1"/>
  <c r="Y1973" i="2" s="1"/>
  <c r="AW1973" i="2"/>
  <c r="AX1973" i="2"/>
  <c r="AV1973" i="2"/>
  <c r="AV1981" i="2"/>
  <c r="AW1981" i="2"/>
  <c r="AX1981" i="2"/>
  <c r="AY1989" i="2"/>
  <c r="AX1989" i="2"/>
  <c r="AV1989" i="2"/>
  <c r="AW1989" i="2"/>
  <c r="AW1997" i="2"/>
  <c r="AX1997" i="2"/>
  <c r="AX2005" i="2"/>
  <c r="AW2005" i="2"/>
  <c r="AV2005" i="2"/>
  <c r="AX2013" i="2"/>
  <c r="AV2013" i="2"/>
  <c r="AW2013" i="2"/>
  <c r="AW2021" i="2"/>
  <c r="AV2021" i="2"/>
  <c r="AX2029" i="2"/>
  <c r="AV2029" i="2"/>
  <c r="AW2029" i="2"/>
  <c r="Y2037" i="2" a="1"/>
  <c r="Y2037" i="2" s="1"/>
  <c r="AW2037" i="2"/>
  <c r="AX2037" i="2"/>
  <c r="AV2037" i="2"/>
  <c r="AV2045" i="2"/>
  <c r="AW2045" i="2"/>
  <c r="AX2045" i="2"/>
  <c r="AX2053" i="2"/>
  <c r="AV2053" i="2"/>
  <c r="AW2053" i="2"/>
  <c r="AW2061" i="2"/>
  <c r="AX2061" i="2"/>
  <c r="AX2069" i="2"/>
  <c r="AW2069" i="2"/>
  <c r="AV2069" i="2"/>
  <c r="AX2077" i="2"/>
  <c r="AV2077" i="2"/>
  <c r="AW2077" i="2"/>
  <c r="AY2085" i="2"/>
  <c r="AW2085" i="2"/>
  <c r="AV2085" i="2"/>
  <c r="AY2093" i="2"/>
  <c r="AX2093" i="2"/>
  <c r="AV2093" i="2"/>
  <c r="AW2093" i="2"/>
  <c r="AY2101" i="2"/>
  <c r="AW2101" i="2"/>
  <c r="AX2101" i="2"/>
  <c r="AV2101" i="2"/>
  <c r="AV2109" i="2"/>
  <c r="AW2109" i="2"/>
  <c r="AX2109" i="2"/>
  <c r="AX2117" i="2"/>
  <c r="AV2117" i="2"/>
  <c r="X2125" i="2"/>
  <c r="AX2125" i="2"/>
  <c r="AV2125" i="2"/>
  <c r="AW2125" i="2"/>
  <c r="X2133" i="2"/>
  <c r="AW2133" i="2"/>
  <c r="AX2133" i="2"/>
  <c r="AV2141" i="2"/>
  <c r="AW2141" i="2"/>
  <c r="AX2141" i="2"/>
  <c r="AY2149" i="2"/>
  <c r="AX2149" i="2"/>
  <c r="AW2149" i="2"/>
  <c r="AV2149" i="2"/>
  <c r="AW2157" i="2"/>
  <c r="AX2157" i="2"/>
  <c r="AV2157" i="2"/>
  <c r="AW2165" i="2"/>
  <c r="AX2165" i="2"/>
  <c r="AV2173" i="2"/>
  <c r="AW2173" i="2"/>
  <c r="AX2173" i="2"/>
  <c r="AX2181" i="2"/>
  <c r="AV2181" i="2"/>
  <c r="AX2189" i="2"/>
  <c r="AV2189" i="2"/>
  <c r="AW2189" i="2"/>
  <c r="X2197" i="2"/>
  <c r="Y2197" i="2" a="1"/>
  <c r="Y2197" i="2" s="1"/>
  <c r="AW2197" i="2"/>
  <c r="AX2197" i="2"/>
  <c r="AV2205" i="2"/>
  <c r="AW2205" i="2"/>
  <c r="AX2205" i="2"/>
  <c r="AX2213" i="2"/>
  <c r="AW2213" i="2"/>
  <c r="AV2213" i="2"/>
  <c r="Y2221" i="2" a="1"/>
  <c r="Y2221" i="2" s="1"/>
  <c r="AW2221" i="2"/>
  <c r="AX2221" i="2"/>
  <c r="AV2221" i="2"/>
  <c r="AW2229" i="2"/>
  <c r="AX2229" i="2"/>
  <c r="AY2237" i="2"/>
  <c r="AV2237" i="2"/>
  <c r="AW2237" i="2"/>
  <c r="AX2237" i="2"/>
  <c r="AY2245" i="2"/>
  <c r="AX2245" i="2"/>
  <c r="AV2245" i="2"/>
  <c r="AY2253" i="2"/>
  <c r="AX2253" i="2"/>
  <c r="AV2253" i="2"/>
  <c r="AW2253" i="2"/>
  <c r="AY2261" i="2"/>
  <c r="AW2261" i="2"/>
  <c r="AX2261" i="2"/>
  <c r="AV2269" i="2"/>
  <c r="AW2269" i="2"/>
  <c r="AX2269" i="2"/>
  <c r="AX2277" i="2"/>
  <c r="AW2277" i="2"/>
  <c r="AV2277" i="2"/>
  <c r="AW2285" i="2"/>
  <c r="AX2285" i="2"/>
  <c r="AV2285" i="2"/>
  <c r="AW2293" i="2"/>
  <c r="AX2293" i="2"/>
  <c r="AY2301" i="2"/>
  <c r="AV2301" i="2"/>
  <c r="AW2301" i="2"/>
  <c r="AX2301" i="2"/>
  <c r="AY2309" i="2"/>
  <c r="AX2309" i="2"/>
  <c r="AV2309" i="2"/>
  <c r="AY2317" i="2"/>
  <c r="AX2317" i="2"/>
  <c r="AV2317" i="2"/>
  <c r="AW2317" i="2"/>
  <c r="AY2325" i="2"/>
  <c r="AW2325" i="2"/>
  <c r="AX2325" i="2"/>
  <c r="AV2333" i="2"/>
  <c r="AW2333" i="2"/>
  <c r="AX2333" i="2"/>
  <c r="AX2341" i="2"/>
  <c r="AW2341" i="2"/>
  <c r="AV2341" i="2"/>
  <c r="Y2341" i="2" a="1"/>
  <c r="Y2341" i="2" s="1"/>
  <c r="AW2349" i="2"/>
  <c r="AX2349" i="2"/>
  <c r="AV2349" i="2"/>
  <c r="AW2357" i="2"/>
  <c r="AX2357" i="2"/>
  <c r="AV2365" i="2"/>
  <c r="AW2365" i="2"/>
  <c r="AX2365" i="2"/>
  <c r="AX2373" i="2"/>
  <c r="AV2373" i="2"/>
  <c r="AX2381" i="2"/>
  <c r="AY2381" i="2"/>
  <c r="AV2381" i="2"/>
  <c r="AW2381" i="2"/>
  <c r="X2389" i="2"/>
  <c r="AW2389" i="2"/>
  <c r="AX2389" i="2"/>
  <c r="AY2397" i="2"/>
  <c r="AV2397" i="2"/>
  <c r="AW2397" i="2"/>
  <c r="AX2397" i="2"/>
  <c r="AY2405" i="2"/>
  <c r="AX2405" i="2"/>
  <c r="AW2405" i="2"/>
  <c r="AV2405" i="2"/>
  <c r="AW2413" i="2"/>
  <c r="AX2413" i="2"/>
  <c r="AV2413" i="2"/>
  <c r="AW2421" i="2"/>
  <c r="AX2421" i="2"/>
  <c r="Y356" i="2" a="1"/>
  <c r="Y356" i="2" s="1"/>
  <c r="Y476" i="2" a="1"/>
  <c r="Y476" i="2" s="1"/>
  <c r="Y540" i="2" a="1"/>
  <c r="Y540" i="2" s="1"/>
  <c r="Y380" i="2" a="1"/>
  <c r="Y380" i="2" s="1"/>
  <c r="Y340" i="2" a="1"/>
  <c r="Y340" i="2" s="1"/>
  <c r="Y364" i="2" a="1"/>
  <c r="Y364" i="2" s="1"/>
  <c r="Y388" i="2" a="1"/>
  <c r="Y388" i="2" s="1"/>
  <c r="AN1405" i="2"/>
  <c r="AQ1405" i="2" s="1"/>
  <c r="AI1405" i="2"/>
  <c r="AN1397" i="2"/>
  <c r="AQ1397" i="2" s="1"/>
  <c r="AI1397" i="2"/>
  <c r="AN1389" i="2"/>
  <c r="AQ1389" i="2" s="1"/>
  <c r="AI1389" i="2"/>
  <c r="AN1381" i="2"/>
  <c r="AQ1381" i="2" s="1"/>
  <c r="AI1381" i="2"/>
  <c r="AN1365" i="2"/>
  <c r="AQ1365" i="2" s="1"/>
  <c r="AI1365" i="2"/>
  <c r="AN1357" i="2"/>
  <c r="AQ1357" i="2" s="1"/>
  <c r="AI1357" i="2"/>
  <c r="AN1333" i="2"/>
  <c r="AQ1333" i="2" s="1"/>
  <c r="AI1333" i="2"/>
  <c r="AN1325" i="2"/>
  <c r="AQ1325" i="2" s="1"/>
  <c r="AI1325" i="2"/>
  <c r="AN1317" i="2"/>
  <c r="AQ1317" i="2" s="1"/>
  <c r="AI1317" i="2"/>
  <c r="AN1309" i="2"/>
  <c r="AQ1309" i="2" s="1"/>
  <c r="AI1309" i="2"/>
  <c r="AN1293" i="2"/>
  <c r="AQ1293" i="2" s="1"/>
  <c r="AI1293" i="2"/>
  <c r="AN1253" i="2"/>
  <c r="AQ1253" i="2" s="1"/>
  <c r="AI1253" i="2"/>
  <c r="AN1237" i="2"/>
  <c r="AQ1237" i="2" s="1"/>
  <c r="AI1237" i="2"/>
  <c r="AN1229" i="2"/>
  <c r="AQ1229" i="2" s="1"/>
  <c r="AI1229" i="2"/>
  <c r="AN1205" i="2"/>
  <c r="AQ1205" i="2" s="1"/>
  <c r="AI1205" i="2"/>
  <c r="AN1197" i="2"/>
  <c r="AQ1197" i="2" s="1"/>
  <c r="AI1197" i="2"/>
  <c r="AN1189" i="2"/>
  <c r="AQ1189" i="2" s="1"/>
  <c r="AI1189" i="2"/>
  <c r="AN1181" i="2"/>
  <c r="AQ1181" i="2" s="1"/>
  <c r="AI1181" i="2"/>
  <c r="AN1165" i="2"/>
  <c r="AQ1165" i="2" s="1"/>
  <c r="AI1165" i="2"/>
  <c r="AN1157" i="2"/>
  <c r="AQ1157" i="2" s="1"/>
  <c r="AI1157" i="2"/>
  <c r="AN1149" i="2"/>
  <c r="AQ1149" i="2" s="1"/>
  <c r="AI1149" i="2"/>
  <c r="AN1117" i="2"/>
  <c r="AQ1117" i="2" s="1"/>
  <c r="AI1117" i="2"/>
  <c r="AN1069" i="2"/>
  <c r="AQ1069" i="2" s="1"/>
  <c r="AI1069" i="2"/>
  <c r="AN1061" i="2"/>
  <c r="AQ1061" i="2" s="1"/>
  <c r="AI1061" i="2"/>
  <c r="AN1045" i="2"/>
  <c r="AQ1045" i="2" s="1"/>
  <c r="AI1045" i="2"/>
  <c r="AN997" i="2"/>
  <c r="AQ997" i="2" s="1"/>
  <c r="AI997" i="2"/>
  <c r="AN989" i="2"/>
  <c r="AQ989" i="2" s="1"/>
  <c r="AI989" i="2"/>
  <c r="AN981" i="2"/>
  <c r="AQ981" i="2" s="1"/>
  <c r="AI981" i="2"/>
  <c r="AN949" i="2"/>
  <c r="AQ949" i="2" s="1"/>
  <c r="AI949" i="2"/>
  <c r="AN901" i="2"/>
  <c r="AQ901" i="2" s="1"/>
  <c r="AI901" i="2"/>
  <c r="AN853" i="2"/>
  <c r="AQ853" i="2" s="1"/>
  <c r="AI853" i="2"/>
  <c r="AN837" i="2"/>
  <c r="AQ837" i="2" s="1"/>
  <c r="AI837" i="2"/>
  <c r="AN797" i="2"/>
  <c r="AQ797" i="2" s="1"/>
  <c r="AI797" i="2"/>
  <c r="AN765" i="2"/>
  <c r="AQ765" i="2" s="1"/>
  <c r="AI765" i="2"/>
  <c r="AN749" i="2"/>
  <c r="AQ749" i="2" s="1"/>
  <c r="AI749" i="2"/>
  <c r="AN693" i="2"/>
  <c r="AQ693" i="2" s="1"/>
  <c r="AI693" i="2"/>
  <c r="AN677" i="2"/>
  <c r="AQ677" i="2" s="1"/>
  <c r="AI677" i="2"/>
  <c r="AN669" i="2"/>
  <c r="AQ669" i="2" s="1"/>
  <c r="AI669" i="2"/>
  <c r="AN661" i="2"/>
  <c r="AQ661" i="2" s="1"/>
  <c r="AI661" i="2"/>
  <c r="AN653" i="2"/>
  <c r="AQ653" i="2" s="1"/>
  <c r="AI653" i="2"/>
  <c r="AN637" i="2"/>
  <c r="AQ637" i="2" s="1"/>
  <c r="AI637" i="2"/>
  <c r="AN629" i="2"/>
  <c r="AQ629" i="2" s="1"/>
  <c r="AI629" i="2"/>
  <c r="AN621" i="2"/>
  <c r="AQ621" i="2" s="1"/>
  <c r="AI621" i="2"/>
  <c r="AN589" i="2"/>
  <c r="AQ589" i="2" s="1"/>
  <c r="AI589" i="2"/>
  <c r="AN581" i="2"/>
  <c r="AQ581" i="2" s="1"/>
  <c r="AI581" i="2"/>
  <c r="AN565" i="2"/>
  <c r="AQ565" i="2" s="1"/>
  <c r="AI565" i="2"/>
  <c r="AN549" i="2"/>
  <c r="AQ549" i="2" s="1"/>
  <c r="AI549" i="2"/>
  <c r="AN541" i="2"/>
  <c r="AQ541" i="2" s="1"/>
  <c r="AI541" i="2"/>
  <c r="AN525" i="2"/>
  <c r="AQ525" i="2" s="1"/>
  <c r="AI525" i="2"/>
  <c r="AN509" i="2"/>
  <c r="AQ509" i="2" s="1"/>
  <c r="AI509" i="2"/>
  <c r="AN477" i="2"/>
  <c r="AQ477" i="2" s="1"/>
  <c r="AI477" i="2"/>
  <c r="AN453" i="2"/>
  <c r="AQ453" i="2" s="1"/>
  <c r="AI453" i="2"/>
  <c r="AN445" i="2"/>
  <c r="AQ445" i="2" s="1"/>
  <c r="AI445" i="2"/>
  <c r="AN437" i="2"/>
  <c r="AQ437" i="2" s="1"/>
  <c r="AI437" i="2"/>
  <c r="AN421" i="2"/>
  <c r="AQ421" i="2" s="1"/>
  <c r="AI421" i="2"/>
  <c r="AN413" i="2"/>
  <c r="AQ413" i="2" s="1"/>
  <c r="AI413" i="2"/>
  <c r="AN405" i="2"/>
  <c r="AQ405" i="2" s="1"/>
  <c r="AI405" i="2"/>
  <c r="AN389" i="2"/>
  <c r="AQ389" i="2" s="1"/>
  <c r="AI389" i="2"/>
  <c r="AN381" i="2"/>
  <c r="AQ381" i="2" s="1"/>
  <c r="AI381" i="2"/>
  <c r="AN373" i="2"/>
  <c r="AQ373" i="2" s="1"/>
  <c r="AI373" i="2"/>
  <c r="AN365" i="2"/>
  <c r="AQ365" i="2" s="1"/>
  <c r="AI365" i="2"/>
  <c r="AN357" i="2"/>
  <c r="AQ357" i="2" s="1"/>
  <c r="AI357" i="2"/>
  <c r="AN349" i="2"/>
  <c r="AQ349" i="2" s="1"/>
  <c r="AI349" i="2"/>
  <c r="AN341" i="2"/>
  <c r="AQ341" i="2" s="1"/>
  <c r="AI341" i="2"/>
  <c r="AN333" i="2"/>
  <c r="AQ333" i="2" s="1"/>
  <c r="AI333" i="2"/>
  <c r="AN317" i="2"/>
  <c r="AQ317" i="2" s="1"/>
  <c r="AI317" i="2"/>
  <c r="AN301" i="2"/>
  <c r="AQ301" i="2" s="1"/>
  <c r="AI301" i="2"/>
  <c r="AN285" i="2"/>
  <c r="AQ285" i="2" s="1"/>
  <c r="AI285" i="2"/>
  <c r="AN269" i="2"/>
  <c r="AQ269" i="2" s="1"/>
  <c r="AI269" i="2"/>
  <c r="AN245" i="2"/>
  <c r="AQ245" i="2" s="1"/>
  <c r="AI245" i="2"/>
  <c r="AI813" i="2"/>
  <c r="AI893" i="2"/>
  <c r="AI829" i="2"/>
  <c r="AI909" i="2"/>
  <c r="AI733" i="2"/>
  <c r="AI709" i="2"/>
  <c r="AI861" i="2"/>
  <c r="AI469" i="2"/>
  <c r="AI1797" i="2"/>
  <c r="AI1101" i="2"/>
  <c r="AI2069" i="2"/>
  <c r="AI1861" i="2"/>
  <c r="AI1725" i="2"/>
  <c r="AI1693" i="2"/>
  <c r="AI1661" i="2"/>
  <c r="AI1629" i="2"/>
  <c r="AI1597" i="2"/>
  <c r="AI1557" i="2"/>
  <c r="AI1509" i="2"/>
  <c r="AI1437" i="2"/>
  <c r="AI1261" i="2"/>
  <c r="AI1093" i="2"/>
  <c r="AI917" i="2"/>
  <c r="AI701" i="2"/>
  <c r="AI605" i="2"/>
  <c r="AI2221" i="2"/>
  <c r="AI877" i="2"/>
  <c r="AI789" i="2"/>
  <c r="AI973" i="2"/>
  <c r="AI261" i="2"/>
  <c r="AI741" i="2"/>
  <c r="AI2341" i="2"/>
  <c r="AI2165" i="2"/>
  <c r="AI2109" i="2"/>
  <c r="AI2013" i="2"/>
  <c r="AI1965" i="2"/>
  <c r="AI1933" i="2"/>
  <c r="AI1893" i="2"/>
  <c r="AI1757" i="2"/>
  <c r="AI1589" i="2"/>
  <c r="AI1469" i="2"/>
  <c r="AI1141" i="2"/>
  <c r="AI757" i="2"/>
  <c r="AI597" i="2"/>
  <c r="AI2309" i="2"/>
  <c r="AI2293" i="2"/>
  <c r="AI1741" i="2"/>
  <c r="AI941" i="2"/>
  <c r="AI1021" i="2"/>
  <c r="AI957" i="2"/>
  <c r="AI309" i="2"/>
  <c r="AI221" i="2"/>
  <c r="AI2397" i="2"/>
  <c r="AI2277" i="2"/>
  <c r="AI2101" i="2"/>
  <c r="AI2061" i="2"/>
  <c r="AI1717" i="2"/>
  <c r="AI1685" i="2"/>
  <c r="AI1653" i="2"/>
  <c r="AI1621" i="2"/>
  <c r="AI1501" i="2"/>
  <c r="AI1429" i="2"/>
  <c r="AI1373" i="2"/>
  <c r="AI1245" i="2"/>
  <c r="AI965" i="2"/>
  <c r="AI685" i="2"/>
  <c r="AI2413" i="2"/>
  <c r="AI2285" i="2"/>
  <c r="AI1813" i="2"/>
  <c r="AI717" i="2"/>
  <c r="AI925" i="2"/>
  <c r="AI533" i="2"/>
  <c r="AI2005" i="2"/>
  <c r="AI2269" i="2"/>
  <c r="AI2189" i="2"/>
  <c r="AI1997" i="2"/>
  <c r="AI1957" i="2"/>
  <c r="AI1925" i="2"/>
  <c r="AI1885" i="2"/>
  <c r="AI1781" i="2"/>
  <c r="AI1749" i="2"/>
  <c r="AI1581" i="2"/>
  <c r="AI1541" i="2"/>
  <c r="AI1461" i="2"/>
  <c r="AI1421" i="2"/>
  <c r="AI821" i="2"/>
  <c r="AI645" i="2"/>
  <c r="AI517" i="2"/>
  <c r="AI397" i="2"/>
  <c r="AI2373" i="2"/>
  <c r="AI2133" i="2"/>
  <c r="AN2423" i="2"/>
  <c r="AQ2423" i="2" s="1"/>
  <c r="AI2423" i="2"/>
  <c r="AN2375" i="2"/>
  <c r="AQ2375" i="2" s="1"/>
  <c r="AI2375" i="2"/>
  <c r="AN2231" i="2"/>
  <c r="AQ2231" i="2" s="1"/>
  <c r="AI2231" i="2"/>
  <c r="AN2215" i="2"/>
  <c r="AQ2215" i="2" s="1"/>
  <c r="AI2215" i="2"/>
  <c r="AN2207" i="2"/>
  <c r="AQ2207" i="2" s="1"/>
  <c r="AI2207" i="2"/>
  <c r="AN2199" i="2"/>
  <c r="AQ2199" i="2" s="1"/>
  <c r="AI2199" i="2"/>
  <c r="AN2191" i="2"/>
  <c r="AQ2191" i="2" s="1"/>
  <c r="AI2191" i="2"/>
  <c r="AN2175" i="2"/>
  <c r="AQ2175" i="2" s="1"/>
  <c r="AI2175" i="2"/>
  <c r="AN2167" i="2"/>
  <c r="AQ2167" i="2" s="1"/>
  <c r="AI2167" i="2"/>
  <c r="AN2159" i="2"/>
  <c r="AQ2159" i="2" s="1"/>
  <c r="AI2159" i="2"/>
  <c r="AN2135" i="2"/>
  <c r="AQ2135" i="2" s="1"/>
  <c r="AI2135" i="2"/>
  <c r="AN2127" i="2"/>
  <c r="AQ2127" i="2" s="1"/>
  <c r="AI2127" i="2"/>
  <c r="AN2079" i="2"/>
  <c r="AQ2079" i="2" s="1"/>
  <c r="AI2079" i="2"/>
  <c r="AN2071" i="2"/>
  <c r="AQ2071" i="2" s="1"/>
  <c r="AI2071" i="2"/>
  <c r="AN2063" i="2"/>
  <c r="AQ2063" i="2" s="1"/>
  <c r="AI2063" i="2"/>
  <c r="AN2031" i="2"/>
  <c r="AQ2031" i="2" s="1"/>
  <c r="AI2031" i="2"/>
  <c r="AN2015" i="2"/>
  <c r="AQ2015" i="2" s="1"/>
  <c r="AI2015" i="2"/>
  <c r="AN1967" i="2"/>
  <c r="AQ1967" i="2" s="1"/>
  <c r="AI1967" i="2"/>
  <c r="AN1959" i="2"/>
  <c r="AQ1959" i="2" s="1"/>
  <c r="AI1959" i="2"/>
  <c r="AN1951" i="2"/>
  <c r="AQ1951" i="2" s="1"/>
  <c r="AI1951" i="2"/>
  <c r="AN1935" i="2"/>
  <c r="AQ1935" i="2" s="1"/>
  <c r="AI1935" i="2"/>
  <c r="AN1927" i="2"/>
  <c r="AQ1927" i="2" s="1"/>
  <c r="AI1927" i="2"/>
  <c r="AN1919" i="2"/>
  <c r="AQ1919" i="2" s="1"/>
  <c r="AI1919" i="2"/>
  <c r="AN1903" i="2"/>
  <c r="AQ1903" i="2" s="1"/>
  <c r="AI1903" i="2"/>
  <c r="AN1895" i="2"/>
  <c r="AQ1895" i="2" s="1"/>
  <c r="AI1895" i="2"/>
  <c r="AN1879" i="2"/>
  <c r="AQ1879" i="2" s="1"/>
  <c r="AI1879" i="2"/>
  <c r="AN1863" i="2"/>
  <c r="AQ1863" i="2" s="1"/>
  <c r="AI1863" i="2"/>
  <c r="AN1847" i="2"/>
  <c r="AQ1847" i="2" s="1"/>
  <c r="AI1847" i="2"/>
  <c r="AN1815" i="2"/>
  <c r="AQ1815" i="2" s="1"/>
  <c r="AI1815" i="2"/>
  <c r="AN1751" i="2"/>
  <c r="AQ1751" i="2" s="1"/>
  <c r="AI1751" i="2"/>
  <c r="AN1743" i="2"/>
  <c r="AQ1743" i="2" s="1"/>
  <c r="AI1743" i="2"/>
  <c r="AI2365" i="2"/>
  <c r="AI2125" i="2"/>
  <c r="AI1583" i="2"/>
  <c r="AI1575" i="2"/>
  <c r="AI1567" i="2"/>
  <c r="AW982" i="2"/>
  <c r="AY718" i="2"/>
  <c r="X1757" i="2"/>
  <c r="AY1757" i="2"/>
  <c r="Y1757" i="2" a="1"/>
  <c r="Y1757" i="2" s="1"/>
  <c r="AW1757" i="2"/>
  <c r="X1765" i="2"/>
  <c r="AY1765" i="2"/>
  <c r="AW1765" i="2"/>
  <c r="Y1765" i="2" a="1"/>
  <c r="Y1765" i="2" s="1"/>
  <c r="X1773" i="2"/>
  <c r="Y1773" i="2" a="1"/>
  <c r="Y1773" i="2" s="1"/>
  <c r="AW1781" i="2"/>
  <c r="AY1781" i="2"/>
  <c r="X1797" i="2"/>
  <c r="AY1797" i="2"/>
  <c r="Y1797" i="2" a="1"/>
  <c r="Y1797" i="2" s="1"/>
  <c r="X1813" i="2"/>
  <c r="AY1813" i="2"/>
  <c r="Y1813" i="2" a="1"/>
  <c r="Y1813" i="2" s="1"/>
  <c r="X1821" i="2"/>
  <c r="Y1821" i="2" a="1"/>
  <c r="Y1821" i="2" s="1"/>
  <c r="AY1821" i="2"/>
  <c r="X1829" i="2"/>
  <c r="AY1829" i="2"/>
  <c r="Y1829" i="2" a="1"/>
  <c r="Y1829" i="2" s="1"/>
  <c r="X1837" i="2"/>
  <c r="Y1837" i="2" a="1"/>
  <c r="Y1837" i="2" s="1"/>
  <c r="X1861" i="2"/>
  <c r="AY1861" i="2"/>
  <c r="X1869" i="2"/>
  <c r="Y1869" i="2" a="1"/>
  <c r="Y1869" i="2" s="1"/>
  <c r="X1885" i="2"/>
  <c r="Y1885" i="2" a="1"/>
  <c r="Y1885" i="2" s="1"/>
  <c r="AY1885" i="2"/>
  <c r="X1893" i="2"/>
  <c r="AY1893" i="2"/>
  <c r="Y1893" i="2" a="1"/>
  <c r="Y1893" i="2" s="1"/>
  <c r="X1901" i="2"/>
  <c r="Y1901" i="2" a="1"/>
  <c r="Y1901" i="2" s="1"/>
  <c r="AY1901" i="2"/>
  <c r="X1909" i="2"/>
  <c r="AY1909" i="2"/>
  <c r="Y1909" i="2" a="1"/>
  <c r="Y1909" i="2" s="1"/>
  <c r="X1917" i="2"/>
  <c r="Y1917" i="2" a="1"/>
  <c r="Y1917" i="2" s="1"/>
  <c r="AY1917" i="2"/>
  <c r="X1925" i="2"/>
  <c r="Y1925" i="2" a="1"/>
  <c r="Y1925" i="2" s="1"/>
  <c r="X1933" i="2"/>
  <c r="AY1933" i="2"/>
  <c r="Y1933" i="2" a="1"/>
  <c r="Y1933" i="2" s="1"/>
  <c r="X1941" i="2"/>
  <c r="Y1941" i="2" a="1"/>
  <c r="Y1941" i="2" s="1"/>
  <c r="AY1941" i="2"/>
  <c r="X1949" i="2"/>
  <c r="AY1949" i="2"/>
  <c r="Y1949" i="2" a="1"/>
  <c r="Y1949" i="2" s="1"/>
  <c r="X1957" i="2"/>
  <c r="Y1957" i="2" a="1"/>
  <c r="Y1957" i="2" s="1"/>
  <c r="X1965" i="2"/>
  <c r="Y1965" i="2" a="1"/>
  <c r="Y1965" i="2" s="1"/>
  <c r="AY1965" i="2"/>
  <c r="X1973" i="2"/>
  <c r="AY1973" i="2"/>
  <c r="X1981" i="2"/>
  <c r="Y1981" i="2" a="1"/>
  <c r="Y1981" i="2" s="1"/>
  <c r="AY1981" i="2"/>
  <c r="X1989" i="2"/>
  <c r="Y1989" i="2" a="1"/>
  <c r="Y1989" i="2" s="1"/>
  <c r="X1997" i="2"/>
  <c r="AY1997" i="2"/>
  <c r="Y1997" i="2" a="1"/>
  <c r="Y1997" i="2" s="1"/>
  <c r="X2005" i="2"/>
  <c r="Y2005" i="2" a="1"/>
  <c r="Y2005" i="2" s="1"/>
  <c r="AY2005" i="2"/>
  <c r="X2013" i="2"/>
  <c r="AY2013" i="2"/>
  <c r="Y2013" i="2" a="1"/>
  <c r="Y2013" i="2" s="1"/>
  <c r="X2021" i="2"/>
  <c r="Y2021" i="2" a="1"/>
  <c r="Y2021" i="2" s="1"/>
  <c r="X2029" i="2"/>
  <c r="Y2029" i="2" a="1"/>
  <c r="Y2029" i="2" s="1"/>
  <c r="AY2029" i="2"/>
  <c r="X2037" i="2"/>
  <c r="AY2037" i="2"/>
  <c r="X2045" i="2"/>
  <c r="Y2045" i="2" a="1"/>
  <c r="Y2045" i="2" s="1"/>
  <c r="AY2045" i="2"/>
  <c r="X2053" i="2"/>
  <c r="Y2053" i="2" a="1"/>
  <c r="Y2053" i="2" s="1"/>
  <c r="X2061" i="2"/>
  <c r="AY2061" i="2"/>
  <c r="Y2061" i="2" a="1"/>
  <c r="Y2061" i="2" s="1"/>
  <c r="X2069" i="2"/>
  <c r="Y2069" i="2" a="1"/>
  <c r="Y2069" i="2" s="1"/>
  <c r="AY2069" i="2"/>
  <c r="X2077" i="2"/>
  <c r="AY2077" i="2"/>
  <c r="Y2077" i="2" a="1"/>
  <c r="Y2077" i="2" s="1"/>
  <c r="X2109" i="2"/>
  <c r="AY2109" i="2"/>
  <c r="X2117" i="2"/>
  <c r="AY2117" i="2"/>
  <c r="X2141" i="2"/>
  <c r="AY2141" i="2"/>
  <c r="X2157" i="2"/>
  <c r="AY2157" i="2"/>
  <c r="X2165" i="2"/>
  <c r="AY2165" i="2"/>
  <c r="X2173" i="2"/>
  <c r="Y2173" i="2" a="1"/>
  <c r="Y2173" i="2" s="1"/>
  <c r="AY2173" i="2"/>
  <c r="X2181" i="2"/>
  <c r="AY2181" i="2"/>
  <c r="Y2181" i="2" a="1"/>
  <c r="Y2181" i="2" s="1"/>
  <c r="X2189" i="2"/>
  <c r="Y2189" i="2" a="1"/>
  <c r="Y2189" i="2" s="1"/>
  <c r="X2205" i="2"/>
  <c r="Y2205" i="2" a="1"/>
  <c r="Y2205" i="2" s="1"/>
  <c r="AY2205" i="2"/>
  <c r="X2213" i="2"/>
  <c r="Y2213" i="2" a="1"/>
  <c r="Y2213" i="2" s="1"/>
  <c r="AY2213" i="2"/>
  <c r="X2221" i="2"/>
  <c r="AY2221" i="2"/>
  <c r="X2229" i="2"/>
  <c r="Y2229" i="2" a="1"/>
  <c r="Y2229" i="2" s="1"/>
  <c r="AY2229" i="2"/>
  <c r="X2253" i="2"/>
  <c r="Y2253" i="2" a="1"/>
  <c r="Y2253" i="2" s="1"/>
  <c r="X2261" i="2"/>
  <c r="Y2261" i="2" a="1"/>
  <c r="Y2261" i="2" s="1"/>
  <c r="X2269" i="2"/>
  <c r="AY2269" i="2"/>
  <c r="X2277" i="2"/>
  <c r="Y2277" i="2" a="1"/>
  <c r="Y2277" i="2" s="1"/>
  <c r="AY2277" i="2"/>
  <c r="X2285" i="2"/>
  <c r="Y2285" i="2" a="1"/>
  <c r="Y2285" i="2" s="1"/>
  <c r="AY2285" i="2"/>
  <c r="X2293" i="2"/>
  <c r="AY2293" i="2"/>
  <c r="X2317" i="2"/>
  <c r="Y2317" i="2" a="1"/>
  <c r="Y2317" i="2" s="1"/>
  <c r="X2333" i="2"/>
  <c r="Y2333" i="2" a="1"/>
  <c r="Y2333" i="2" s="1"/>
  <c r="AY2333" i="2"/>
  <c r="X2341" i="2"/>
  <c r="AY2341" i="2"/>
  <c r="X2349" i="2"/>
  <c r="Y2349" i="2" a="1"/>
  <c r="Y2349" i="2" s="1"/>
  <c r="AY2349" i="2"/>
  <c r="X2357" i="2"/>
  <c r="Y2357" i="2" a="1"/>
  <c r="Y2357" i="2" s="1"/>
  <c r="AY2357" i="2"/>
  <c r="X2365" i="2"/>
  <c r="AY2365" i="2"/>
  <c r="Y2365" i="2" a="1"/>
  <c r="Y2365" i="2" s="1"/>
  <c r="X2373" i="2"/>
  <c r="AY2373" i="2"/>
  <c r="Y2373" i="2" a="1"/>
  <c r="Y2373" i="2" s="1"/>
  <c r="X2381" i="2"/>
  <c r="Y2381" i="2" a="1"/>
  <c r="Y2381" i="2" s="1"/>
  <c r="X2413" i="2"/>
  <c r="Y2413" i="2" a="1"/>
  <c r="Y2413" i="2" s="1"/>
  <c r="AY2413" i="2"/>
  <c r="X2421" i="2"/>
  <c r="AY2421" i="2"/>
  <c r="Y2421" i="2" a="1"/>
  <c r="Y2421" i="2" s="1"/>
  <c r="Y230" i="2" a="1"/>
  <c r="Y230" i="2" s="1"/>
  <c r="AY230" i="2"/>
  <c r="AW470" i="2"/>
  <c r="AY470" i="2"/>
  <c r="X542" i="2"/>
  <c r="Y542" i="2" a="1"/>
  <c r="Y542" i="2" s="1"/>
  <c r="AY542" i="2"/>
  <c r="AW542" i="2"/>
  <c r="X550" i="2"/>
  <c r="Y550" i="2" a="1"/>
  <c r="Y550" i="2" s="1"/>
  <c r="AY550" i="2"/>
  <c r="AW550" i="2"/>
  <c r="X558" i="2"/>
  <c r="AW558" i="2"/>
  <c r="Y558" i="2" a="1"/>
  <c r="Y558" i="2" s="1"/>
  <c r="AY558" i="2"/>
  <c r="X566" i="2"/>
  <c r="AW566" i="2"/>
  <c r="Y566" i="2" a="1"/>
  <c r="Y566" i="2" s="1"/>
  <c r="AY566" i="2"/>
  <c r="X582" i="2"/>
  <c r="Y582" i="2" a="1"/>
  <c r="Y582" i="2" s="1"/>
  <c r="AY582" i="2"/>
  <c r="AW582" i="2"/>
  <c r="X590" i="2"/>
  <c r="AW590" i="2"/>
  <c r="Y590" i="2" a="1"/>
  <c r="Y590" i="2" s="1"/>
  <c r="X598" i="2"/>
  <c r="Y598" i="2" a="1"/>
  <c r="Y598" i="2" s="1"/>
  <c r="AW598" i="2"/>
  <c r="AY598" i="2"/>
  <c r="X606" i="2"/>
  <c r="AY606" i="2"/>
  <c r="Y606" i="2" a="1"/>
  <c r="Y606" i="2" s="1"/>
  <c r="X614" i="2"/>
  <c r="AW614" i="2"/>
  <c r="X622" i="2"/>
  <c r="AW622" i="2"/>
  <c r="X630" i="2"/>
  <c r="AW630" i="2"/>
  <c r="X638" i="2"/>
  <c r="AW638" i="2"/>
  <c r="X646" i="2"/>
  <c r="AW646" i="2"/>
  <c r="X654" i="2"/>
  <c r="AW654" i="2"/>
  <c r="AY678" i="2"/>
  <c r="AW678" i="2"/>
  <c r="AY686" i="2"/>
  <c r="AW686" i="2"/>
  <c r="X694" i="2"/>
  <c r="Y694" i="2" a="1"/>
  <c r="Y694" i="2" s="1"/>
  <c r="AW694" i="2"/>
  <c r="AY694" i="2"/>
  <c r="AY702" i="2"/>
  <c r="AW702" i="2"/>
  <c r="X726" i="2"/>
  <c r="AY726" i="2"/>
  <c r="X734" i="2"/>
  <c r="Y734" i="2" a="1"/>
  <c r="Y734" i="2" s="1"/>
  <c r="X742" i="2"/>
  <c r="AY742" i="2"/>
  <c r="Y742" i="2" a="1"/>
  <c r="Y742" i="2" s="1"/>
  <c r="AW742" i="2"/>
  <c r="X750" i="2"/>
  <c r="Y750" i="2" a="1"/>
  <c r="Y750" i="2" s="1"/>
  <c r="AW750" i="2"/>
  <c r="X758" i="2"/>
  <c r="AW758" i="2"/>
  <c r="Y758" i="2" a="1"/>
  <c r="Y758" i="2" s="1"/>
  <c r="AY758" i="2"/>
  <c r="X766" i="2"/>
  <c r="Y766" i="2" a="1"/>
  <c r="Y766" i="2" s="1"/>
  <c r="AY766" i="2"/>
  <c r="AW766" i="2"/>
  <c r="X774" i="2"/>
  <c r="AW774" i="2"/>
  <c r="AY774" i="2"/>
  <c r="Y774" i="2" a="1"/>
  <c r="Y774" i="2" s="1"/>
  <c r="X782" i="2"/>
  <c r="AW782" i="2"/>
  <c r="AY782" i="2"/>
  <c r="Y782" i="2" a="1"/>
  <c r="Y782" i="2" s="1"/>
  <c r="X790" i="2"/>
  <c r="Y790" i="2" a="1"/>
  <c r="Y790" i="2" s="1"/>
  <c r="AY790" i="2"/>
  <c r="X798" i="2"/>
  <c r="AY798" i="2"/>
  <c r="Y798" i="2" a="1"/>
  <c r="Y798" i="2" s="1"/>
  <c r="X806" i="2"/>
  <c r="Y806" i="2" a="1"/>
  <c r="Y806" i="2" s="1"/>
  <c r="AY806" i="2"/>
  <c r="AW806" i="2"/>
  <c r="X814" i="2"/>
  <c r="AY814" i="2"/>
  <c r="AW814" i="2"/>
  <c r="X830" i="2"/>
  <c r="Y830" i="2" a="1"/>
  <c r="Y830" i="2" s="1"/>
  <c r="AW830" i="2"/>
  <c r="AY830" i="2"/>
  <c r="X838" i="2"/>
  <c r="AW838" i="2"/>
  <c r="Y838" i="2" a="1"/>
  <c r="Y838" i="2" s="1"/>
  <c r="X846" i="2"/>
  <c r="AW846" i="2"/>
  <c r="Y846" i="2" a="1"/>
  <c r="Y846" i="2" s="1"/>
  <c r="AY846" i="2"/>
  <c r="AY870" i="2"/>
  <c r="AW870" i="2"/>
  <c r="AY878" i="2"/>
  <c r="AW878" i="2"/>
  <c r="X886" i="2"/>
  <c r="AW886" i="2"/>
  <c r="Y886" i="2" a="1"/>
  <c r="Y886" i="2" s="1"/>
  <c r="AY886" i="2"/>
  <c r="AY894" i="2"/>
  <c r="AW894" i="2"/>
  <c r="AY902" i="2"/>
  <c r="AW902" i="2"/>
  <c r="X926" i="2"/>
  <c r="AY926" i="2"/>
  <c r="Y926" i="2" a="1"/>
  <c r="Y926" i="2" s="1"/>
  <c r="AY934" i="2"/>
  <c r="AW934" i="2"/>
  <c r="X950" i="2"/>
  <c r="AW950" i="2"/>
  <c r="AY950" i="2"/>
  <c r="Y950" i="2" a="1"/>
  <c r="Y950" i="2" s="1"/>
  <c r="AY958" i="2"/>
  <c r="AW958" i="2"/>
  <c r="AY966" i="2"/>
  <c r="AW966" i="2"/>
  <c r="X974" i="2"/>
  <c r="AW974" i="2"/>
  <c r="Y974" i="2" a="1"/>
  <c r="Y974" i="2" s="1"/>
  <c r="AY998" i="2"/>
  <c r="AW998" i="2"/>
  <c r="X1006" i="2"/>
  <c r="Y1006" i="2" a="1"/>
  <c r="Y1006" i="2" s="1"/>
  <c r="AW1006" i="2"/>
  <c r="AW1014" i="2"/>
  <c r="AY1014" i="2"/>
  <c r="X1022" i="2"/>
  <c r="AY1022" i="2"/>
  <c r="AW1022" i="2"/>
  <c r="Y1022" i="2" a="1"/>
  <c r="Y1022" i="2" s="1"/>
  <c r="AY1030" i="2"/>
  <c r="AW1030" i="2"/>
  <c r="X1054" i="2"/>
  <c r="AY1054" i="2"/>
  <c r="AY1062" i="2"/>
  <c r="AW1062" i="2"/>
  <c r="X1070" i="2"/>
  <c r="Y1070" i="2" a="1"/>
  <c r="Y1070" i="2" s="1"/>
  <c r="AW1070" i="2"/>
  <c r="AW1078" i="2"/>
  <c r="AY1078" i="2"/>
  <c r="AY1086" i="2"/>
  <c r="AW1086" i="2"/>
  <c r="AY1094" i="2"/>
  <c r="AW1094" i="2"/>
  <c r="AY1126" i="2"/>
  <c r="AW1126" i="2"/>
  <c r="X1134" i="2"/>
  <c r="AW1134" i="2"/>
  <c r="X1142" i="2"/>
  <c r="AW1142" i="2"/>
  <c r="X1150" i="2"/>
  <c r="AW1150" i="2"/>
  <c r="X1158" i="2"/>
  <c r="AW1158" i="2"/>
  <c r="X1166" i="2"/>
  <c r="AW1166" i="2"/>
  <c r="X1190" i="2"/>
  <c r="AW1190" i="2"/>
  <c r="AY1198" i="2"/>
  <c r="AW1198" i="2"/>
  <c r="AY1214" i="2"/>
  <c r="AW1214" i="2"/>
  <c r="X1222" i="2"/>
  <c r="AW1222" i="2"/>
  <c r="X1230" i="2"/>
  <c r="AW1230" i="2"/>
  <c r="AY1230" i="2"/>
  <c r="X1246" i="2"/>
  <c r="AY1246" i="2"/>
  <c r="X1254" i="2"/>
  <c r="AY1254" i="2"/>
  <c r="AW1254" i="2"/>
  <c r="X1262" i="2"/>
  <c r="AY1262" i="2"/>
  <c r="AW1262" i="2"/>
  <c r="X1270" i="2"/>
  <c r="AY1270" i="2"/>
  <c r="Y1270" i="2" a="1"/>
  <c r="Y1270" i="2" s="1"/>
  <c r="X1278" i="2"/>
  <c r="AW1278" i="2"/>
  <c r="Y1278" i="2" a="1"/>
  <c r="Y1278" i="2" s="1"/>
  <c r="X1286" i="2"/>
  <c r="AW1286" i="2"/>
  <c r="AY1286" i="2"/>
  <c r="Y1286" i="2" a="1"/>
  <c r="Y1286" i="2" s="1"/>
  <c r="X1294" i="2"/>
  <c r="AW1294" i="2"/>
  <c r="Y1294" i="2" a="1"/>
  <c r="Y1294" i="2" s="1"/>
  <c r="AY1294" i="2"/>
  <c r="X1302" i="2"/>
  <c r="AY1302" i="2"/>
  <c r="X1310" i="2"/>
  <c r="Y1310" i="2" a="1"/>
  <c r="Y1310" i="2" s="1"/>
  <c r="X1318" i="2"/>
  <c r="Y1318" i="2" a="1"/>
  <c r="Y1318" i="2" s="1"/>
  <c r="AY1318" i="2"/>
  <c r="AW1318" i="2"/>
  <c r="X1326" i="2"/>
  <c r="AY1326" i="2"/>
  <c r="AW1326" i="2"/>
  <c r="X1334" i="2"/>
  <c r="Y1334" i="2" a="1"/>
  <c r="Y1334" i="2" s="1"/>
  <c r="AY1334" i="2"/>
  <c r="X1342" i="2"/>
  <c r="AW1342" i="2"/>
  <c r="Y1342" i="2" a="1"/>
  <c r="Y1342" i="2" s="1"/>
  <c r="X1350" i="2"/>
  <c r="AW1350" i="2"/>
  <c r="AY1350" i="2"/>
  <c r="Y1350" i="2" a="1"/>
  <c r="Y1350" i="2" s="1"/>
  <c r="X1358" i="2"/>
  <c r="AW1358" i="2"/>
  <c r="Y1358" i="2" a="1"/>
  <c r="Y1358" i="2" s="1"/>
  <c r="AY1358" i="2"/>
  <c r="X1366" i="2"/>
  <c r="AY1366" i="2"/>
  <c r="Y1366" i="2" a="1"/>
  <c r="Y1366" i="2" s="1"/>
  <c r="X1374" i="2"/>
  <c r="Y1374" i="2" a="1"/>
  <c r="Y1374" i="2" s="1"/>
  <c r="X1382" i="2"/>
  <c r="Y1382" i="2" a="1"/>
  <c r="Y1382" i="2" s="1"/>
  <c r="AY1382" i="2"/>
  <c r="AW1382" i="2"/>
  <c r="X1390" i="2"/>
  <c r="AY1390" i="2"/>
  <c r="AW1390" i="2"/>
  <c r="Y1390" i="2" a="1"/>
  <c r="Y1390" i="2" s="1"/>
  <c r="X1398" i="2"/>
  <c r="Y1398" i="2" a="1"/>
  <c r="Y1398" i="2" s="1"/>
  <c r="AY1398" i="2"/>
  <c r="X1406" i="2"/>
  <c r="AY1406" i="2"/>
  <c r="AW1406" i="2"/>
  <c r="Y1406" i="2" a="1"/>
  <c r="Y1406" i="2" s="1"/>
  <c r="X1414" i="2"/>
  <c r="AW1414" i="2"/>
  <c r="X1422" i="2"/>
  <c r="AW1422" i="2"/>
  <c r="Y1422" i="2" a="1"/>
  <c r="Y1422" i="2" s="1"/>
  <c r="AY1422" i="2"/>
  <c r="X1430" i="2"/>
  <c r="AY1430" i="2"/>
  <c r="Y1430" i="2" a="1"/>
  <c r="Y1430" i="2" s="1"/>
  <c r="X1438" i="2"/>
  <c r="AY1438" i="2"/>
  <c r="Y1438" i="2" a="1"/>
  <c r="Y1438" i="2" s="1"/>
  <c r="X1454" i="2"/>
  <c r="AY1454" i="2"/>
  <c r="AW1454" i="2"/>
  <c r="Y1454" i="2" a="1"/>
  <c r="Y1454" i="2" s="1"/>
  <c r="X1462" i="2"/>
  <c r="Y1462" i="2" a="1"/>
  <c r="Y1462" i="2" s="1"/>
  <c r="AY1462" i="2"/>
  <c r="X1470" i="2"/>
  <c r="AY1470" i="2"/>
  <c r="AW1470" i="2"/>
  <c r="Y1470" i="2" a="1"/>
  <c r="Y1470" i="2" s="1"/>
  <c r="X1478" i="2"/>
  <c r="AW1478" i="2"/>
  <c r="Y1478" i="2" a="1"/>
  <c r="Y1478" i="2" s="1"/>
  <c r="AW1486" i="2"/>
  <c r="AY1486" i="2"/>
  <c r="X1502" i="2"/>
  <c r="AY1502" i="2"/>
  <c r="Y1502" i="2" a="1"/>
  <c r="Y1502" i="2" s="1"/>
  <c r="AW1518" i="2"/>
  <c r="AY1518" i="2"/>
  <c r="X1526" i="2"/>
  <c r="Y1526" i="2" a="1"/>
  <c r="Y1526" i="2" s="1"/>
  <c r="AY1526" i="2"/>
  <c r="X1534" i="2"/>
  <c r="Y1534" i="2" a="1"/>
  <c r="Y1534" i="2" s="1"/>
  <c r="AY1534" i="2"/>
  <c r="AW1534" i="2"/>
  <c r="X1542" i="2"/>
  <c r="AY1542" i="2"/>
  <c r="AW1542" i="2"/>
  <c r="Y1542" i="2" a="1"/>
  <c r="Y1542" i="2" s="1"/>
  <c r="X1550" i="2"/>
  <c r="AW1550" i="2"/>
  <c r="Y1550" i="2" a="1"/>
  <c r="Y1550" i="2" s="1"/>
  <c r="X1558" i="2"/>
  <c r="AY1558" i="2"/>
  <c r="Y1558" i="2" a="1"/>
  <c r="Y1558" i="2" s="1"/>
  <c r="X1566" i="2"/>
  <c r="Y1566" i="2" a="1"/>
  <c r="Y1566" i="2" s="1"/>
  <c r="AY1566" i="2"/>
  <c r="X1574" i="2"/>
  <c r="AY1574" i="2"/>
  <c r="Y1574" i="2" a="1"/>
  <c r="Y1574" i="2" s="1"/>
  <c r="AW1574" i="2"/>
  <c r="X1582" i="2"/>
  <c r="Y1582" i="2" a="1"/>
  <c r="Y1582" i="2" s="1"/>
  <c r="AW1582" i="2"/>
  <c r="AY1598" i="2"/>
  <c r="AW1598" i="2"/>
  <c r="X1606" i="2"/>
  <c r="AY1606" i="2"/>
  <c r="AW1606" i="2"/>
  <c r="Y1606" i="2" a="1"/>
  <c r="Y1606" i="2" s="1"/>
  <c r="X1614" i="2"/>
  <c r="AW1614" i="2"/>
  <c r="X1622" i="2"/>
  <c r="Y1622" i="2" a="1"/>
  <c r="Y1622" i="2" s="1"/>
  <c r="AY1622" i="2"/>
  <c r="X1630" i="2"/>
  <c r="AY1630" i="2"/>
  <c r="Y1630" i="2" a="1"/>
  <c r="Y1630" i="2" s="1"/>
  <c r="X1638" i="2"/>
  <c r="AY1638" i="2"/>
  <c r="Y1638" i="2" a="1"/>
  <c r="Y1638" i="2" s="1"/>
  <c r="AW1638" i="2"/>
  <c r="X1646" i="2"/>
  <c r="Y1646" i="2" a="1"/>
  <c r="Y1646" i="2" s="1"/>
  <c r="AW1646" i="2"/>
  <c r="X1654" i="2"/>
  <c r="Y1654" i="2" a="1"/>
  <c r="Y1654" i="2" s="1"/>
  <c r="AY1654" i="2"/>
  <c r="X1662" i="2"/>
  <c r="AY1662" i="2"/>
  <c r="AW1662" i="2"/>
  <c r="X1670" i="2"/>
  <c r="AY1670" i="2"/>
  <c r="AW1670" i="2"/>
  <c r="Y1670" i="2" a="1"/>
  <c r="Y1670" i="2" s="1"/>
  <c r="X1678" i="2"/>
  <c r="Y1678" i="2" a="1"/>
  <c r="Y1678" i="2" s="1"/>
  <c r="AW1678" i="2"/>
  <c r="X1686" i="2"/>
  <c r="Y1686" i="2" a="1"/>
  <c r="Y1686" i="2" s="1"/>
  <c r="AY1686" i="2"/>
  <c r="X1694" i="2"/>
  <c r="Y1694" i="2" a="1"/>
  <c r="Y1694" i="2" s="1"/>
  <c r="AY1694" i="2"/>
  <c r="X1702" i="2"/>
  <c r="AY1702" i="2"/>
  <c r="Y1702" i="2" a="1"/>
  <c r="Y1702" i="2" s="1"/>
  <c r="AW1702" i="2"/>
  <c r="X1710" i="2"/>
  <c r="Y1710" i="2" a="1"/>
  <c r="Y1710" i="2" s="1"/>
  <c r="AW1710" i="2"/>
  <c r="X1718" i="2"/>
  <c r="AY1718" i="2"/>
  <c r="Y1718" i="2" a="1"/>
  <c r="Y1718" i="2" s="1"/>
  <c r="X1726" i="2"/>
  <c r="AY1726" i="2"/>
  <c r="AW1726" i="2"/>
  <c r="Y1726" i="2" a="1"/>
  <c r="Y1726" i="2" s="1"/>
  <c r="X1734" i="2"/>
  <c r="Y1734" i="2" a="1"/>
  <c r="Y1734" i="2" s="1"/>
  <c r="AY1734" i="2"/>
  <c r="X1742" i="2"/>
  <c r="AW1742" i="2"/>
  <c r="Y1742" i="2" a="1"/>
  <c r="Y1742" i="2" s="1"/>
  <c r="X1750" i="2"/>
  <c r="Y1750" i="2" a="1"/>
  <c r="Y1750" i="2" s="1"/>
  <c r="AY1750" i="2"/>
  <c r="AY1006" i="2"/>
  <c r="Y2293" i="2" a="1"/>
  <c r="Y2293" i="2" s="1"/>
  <c r="AB298" i="2"/>
  <c r="AW1773" i="2"/>
  <c r="AW854" i="2"/>
  <c r="AW606" i="2"/>
  <c r="AY2189" i="2"/>
  <c r="AY2021" i="2"/>
  <c r="AY1646" i="2"/>
  <c r="AY1310" i="2"/>
  <c r="AY1238" i="2"/>
  <c r="AY1102" i="2"/>
  <c r="Y1877" i="2" a="1"/>
  <c r="Y1877" i="2" s="1"/>
  <c r="Y2389" i="2" a="1"/>
  <c r="Y2389" i="2" s="1"/>
  <c r="AW862" i="2"/>
  <c r="AY2197" i="2"/>
  <c r="AY1742" i="2"/>
  <c r="AY942" i="2"/>
  <c r="Y1614" i="2" a="1"/>
  <c r="Y1614" i="2" s="1"/>
  <c r="Y1861" i="2" a="1"/>
  <c r="Y1861" i="2" s="1"/>
  <c r="Y2165" i="2" a="1"/>
  <c r="Y2165" i="2" s="1"/>
  <c r="Y2269" i="2" a="1"/>
  <c r="Y2269" i="2" s="1"/>
  <c r="AW790" i="2"/>
  <c r="AY2125" i="2"/>
  <c r="AY1957" i="2"/>
  <c r="AY1869" i="2"/>
  <c r="AY1837" i="2"/>
  <c r="AY1582" i="2"/>
  <c r="AY1510" i="2"/>
  <c r="AY1414" i="2"/>
  <c r="AY1342" i="2"/>
  <c r="AY1038" i="2"/>
  <c r="Y1054" i="2" a="1"/>
  <c r="Y1054" i="2" s="1"/>
  <c r="Y1262" i="2" a="1"/>
  <c r="Y1262" i="2" s="1"/>
  <c r="Y1414" i="2" a="1"/>
  <c r="Y1414" i="2" s="1"/>
  <c r="AW1789" i="2"/>
  <c r="AW1054" i="2"/>
  <c r="AW798" i="2"/>
  <c r="AY2389" i="2"/>
  <c r="AY2133" i="2"/>
  <c r="AY2053" i="2"/>
  <c r="AY1877" i="2"/>
  <c r="AY1678" i="2"/>
  <c r="AY710" i="2"/>
  <c r="AY590" i="2"/>
  <c r="Y814" i="2" a="1"/>
  <c r="Y814" i="2" s="1"/>
  <c r="AY453" i="2"/>
  <c r="AY317" i="2"/>
  <c r="Y405" i="2" a="1"/>
  <c r="Y405" i="2" s="1"/>
  <c r="Y437" i="2" a="1"/>
  <c r="Y437" i="2" s="1"/>
  <c r="Y461" i="2" a="1"/>
  <c r="Y461" i="2" s="1"/>
  <c r="Y501" i="2" a="1"/>
  <c r="Y501" i="2" s="1"/>
  <c r="AY333" i="2"/>
  <c r="AY469" i="2"/>
  <c r="AW245" i="2"/>
  <c r="AY445" i="2"/>
  <c r="AY405" i="2"/>
  <c r="Y445" i="2" a="1"/>
  <c r="Y445" i="2" s="1"/>
  <c r="Y469" i="2" a="1"/>
  <c r="Y469" i="2" s="1"/>
  <c r="AW261" i="2"/>
  <c r="AY533" i="2"/>
  <c r="AY461" i="2"/>
  <c r="Y333" i="2" a="1"/>
  <c r="Y333" i="2" s="1"/>
  <c r="Y453" i="2" a="1"/>
  <c r="Y453" i="2" s="1"/>
  <c r="Y533" i="2" a="1"/>
  <c r="Y533" i="2" s="1"/>
  <c r="AI2330" i="2"/>
  <c r="AI2410" i="2"/>
  <c r="AI2322" i="2"/>
  <c r="AI2250" i="2"/>
  <c r="AI2186" i="2"/>
  <c r="AI2106" i="2"/>
  <c r="AI2050" i="2"/>
  <c r="AI2402" i="2"/>
  <c r="AI2178" i="2"/>
  <c r="AI2034" i="2"/>
  <c r="AI1810" i="2"/>
  <c r="AI2362" i="2"/>
  <c r="AI2234" i="2"/>
  <c r="AI2074" i="2"/>
  <c r="AI2026" i="2"/>
  <c r="AN522" i="2"/>
  <c r="AQ522" i="2" s="1"/>
  <c r="AI522" i="2"/>
  <c r="AN514" i="2"/>
  <c r="AQ514" i="2" s="1"/>
  <c r="AI514" i="2"/>
  <c r="AN490" i="2"/>
  <c r="AQ490" i="2" s="1"/>
  <c r="AI490" i="2"/>
  <c r="AN482" i="2"/>
  <c r="AQ482" i="2" s="1"/>
  <c r="AI482" i="2"/>
  <c r="AN458" i="2"/>
  <c r="AQ458" i="2" s="1"/>
  <c r="AI458" i="2"/>
  <c r="AN450" i="2"/>
  <c r="AQ450" i="2" s="1"/>
  <c r="AI450" i="2"/>
  <c r="AN330" i="2"/>
  <c r="AQ330" i="2" s="1"/>
  <c r="AI330" i="2"/>
  <c r="AN306" i="2"/>
  <c r="AQ306" i="2" s="1"/>
  <c r="AI306" i="2"/>
  <c r="AN290" i="2"/>
  <c r="AQ290" i="2" s="1"/>
  <c r="AI290" i="2"/>
  <c r="AN266" i="2"/>
  <c r="AQ266" i="2" s="1"/>
  <c r="AI266" i="2"/>
  <c r="AY565" i="2"/>
  <c r="AW565" i="2"/>
  <c r="AW605" i="2"/>
  <c r="Y605" i="2" a="1"/>
  <c r="Y605" i="2" s="1"/>
  <c r="AY613" i="2"/>
  <c r="AW613" i="2"/>
  <c r="AW621" i="2"/>
  <c r="AY621" i="2"/>
  <c r="AW645" i="2"/>
  <c r="AY645" i="2"/>
  <c r="X661" i="2"/>
  <c r="AW661" i="2"/>
  <c r="X669" i="2"/>
  <c r="AW669" i="2"/>
  <c r="X677" i="2"/>
  <c r="AW677" i="2"/>
  <c r="X685" i="2"/>
  <c r="AW685" i="2"/>
  <c r="AY693" i="2"/>
  <c r="AW693" i="2"/>
  <c r="X701" i="2"/>
  <c r="AW701" i="2"/>
  <c r="AY709" i="2"/>
  <c r="AW709" i="2"/>
  <c r="AY717" i="2"/>
  <c r="AW717" i="2"/>
  <c r="AY725" i="2"/>
  <c r="AW725" i="2"/>
  <c r="AY733" i="2"/>
  <c r="AW733" i="2"/>
  <c r="AW765" i="2"/>
  <c r="AY765" i="2"/>
  <c r="AW789" i="2"/>
  <c r="AY789" i="2"/>
  <c r="AW813" i="2"/>
  <c r="AY813" i="2"/>
  <c r="AY837" i="2"/>
  <c r="AW837" i="2"/>
  <c r="AW853" i="2"/>
  <c r="Y853" i="2" a="1"/>
  <c r="Y853" i="2" s="1"/>
  <c r="AW869" i="2"/>
  <c r="AY869" i="2"/>
  <c r="AY885" i="2"/>
  <c r="AW885" i="2"/>
  <c r="AY893" i="2"/>
  <c r="AW893" i="2"/>
  <c r="X909" i="2"/>
  <c r="Y909" i="2" a="1"/>
  <c r="Y909" i="2" s="1"/>
  <c r="AW909" i="2"/>
  <c r="AY909" i="2"/>
  <c r="AW973" i="2"/>
  <c r="AY973" i="2"/>
  <c r="AW1021" i="2"/>
  <c r="AX1021" i="2"/>
  <c r="AV1021" i="2"/>
  <c r="AW1029" i="2"/>
  <c r="AX1029" i="2"/>
  <c r="AV1029" i="2"/>
  <c r="AW1037" i="2"/>
  <c r="AY1037" i="2"/>
  <c r="AX1037" i="2"/>
  <c r="AV1037" i="2"/>
  <c r="AW1045" i="2"/>
  <c r="AX1045" i="2"/>
  <c r="AV1045" i="2"/>
  <c r="AW1053" i="2"/>
  <c r="AX1053" i="2"/>
  <c r="AV1053" i="2"/>
  <c r="AW1061" i="2"/>
  <c r="AX1061" i="2"/>
  <c r="AV1061" i="2"/>
  <c r="AW1069" i="2"/>
  <c r="AX1069" i="2"/>
  <c r="AV1069" i="2"/>
  <c r="AW1077" i="2"/>
  <c r="AX1077" i="2"/>
  <c r="AV1077" i="2"/>
  <c r="AW1085" i="2"/>
  <c r="Y1085" i="2" a="1"/>
  <c r="Y1085" i="2" s="1"/>
  <c r="AX1085" i="2"/>
  <c r="AV1085" i="2"/>
  <c r="AW1093" i="2"/>
  <c r="AX1093" i="2"/>
  <c r="AV1093" i="2"/>
  <c r="X1101" i="2"/>
  <c r="AW1101" i="2"/>
  <c r="AY1101" i="2"/>
  <c r="Y1101" i="2" a="1"/>
  <c r="Y1101" i="2" s="1"/>
  <c r="AX1101" i="2"/>
  <c r="AV1101" i="2"/>
  <c r="AW1109" i="2"/>
  <c r="AX1109" i="2"/>
  <c r="AV1109" i="2"/>
  <c r="AW1117" i="2"/>
  <c r="AX1117" i="2"/>
  <c r="AV1117" i="2"/>
  <c r="Y1125" i="2" a="1"/>
  <c r="Y1125" i="2" s="1"/>
  <c r="AW1125" i="2"/>
  <c r="AX1125" i="2"/>
  <c r="AV1125" i="2"/>
  <c r="AY1133" i="2"/>
  <c r="AW1133" i="2"/>
  <c r="AX1133" i="2"/>
  <c r="AV1133" i="2"/>
  <c r="AY1141" i="2"/>
  <c r="AW1141" i="2"/>
  <c r="AX1141" i="2"/>
  <c r="AV1141" i="2"/>
  <c r="AY1149" i="2"/>
  <c r="AW1149" i="2"/>
  <c r="AX1149" i="2"/>
  <c r="AV1149" i="2"/>
  <c r="AY1157" i="2"/>
  <c r="AW1157" i="2"/>
  <c r="AX1157" i="2"/>
  <c r="AV1157" i="2"/>
  <c r="AY1165" i="2"/>
  <c r="AW1165" i="2"/>
  <c r="AX1165" i="2"/>
  <c r="AV1165" i="2"/>
  <c r="AY1173" i="2"/>
  <c r="AW1173" i="2"/>
  <c r="AX1173" i="2"/>
  <c r="AV1173" i="2"/>
  <c r="AY1181" i="2"/>
  <c r="AW1181" i="2"/>
  <c r="AX1181" i="2"/>
  <c r="AV1181" i="2"/>
  <c r="AW1189" i="2"/>
  <c r="AX1189" i="2"/>
  <c r="AV1189" i="2"/>
  <c r="AW1197" i="2"/>
  <c r="AX1197" i="2"/>
  <c r="AV1197" i="2"/>
  <c r="Y1205" i="2" a="1"/>
  <c r="Y1205" i="2" s="1"/>
  <c r="AW1205" i="2"/>
  <c r="AX1205" i="2"/>
  <c r="AV1205" i="2"/>
  <c r="AW1213" i="2"/>
  <c r="AX1213" i="2"/>
  <c r="AV1213" i="2"/>
  <c r="AY1221" i="2"/>
  <c r="AW1221" i="2"/>
  <c r="AX1221" i="2"/>
  <c r="AV1221" i="2"/>
  <c r="Y1229" i="2" a="1"/>
  <c r="Y1229" i="2" s="1"/>
  <c r="AW1229" i="2"/>
  <c r="AX1229" i="2"/>
  <c r="AV1229" i="2"/>
  <c r="AW1237" i="2"/>
  <c r="AX1237" i="2"/>
  <c r="AV1237" i="2"/>
  <c r="AW1245" i="2"/>
  <c r="AX1245" i="2"/>
  <c r="AV1245" i="2"/>
  <c r="Y1253" i="2" a="1"/>
  <c r="Y1253" i="2" s="1"/>
  <c r="AW1253" i="2"/>
  <c r="AX1253" i="2"/>
  <c r="AV1253" i="2"/>
  <c r="AW1261" i="2"/>
  <c r="AX1261" i="2"/>
  <c r="AV1261" i="2"/>
  <c r="AW1269" i="2"/>
  <c r="AX1269" i="2"/>
  <c r="AV1269" i="2"/>
  <c r="AW1277" i="2"/>
  <c r="AX1277" i="2"/>
  <c r="AV1277" i="2"/>
  <c r="AW1285" i="2"/>
  <c r="AX1285" i="2"/>
  <c r="AV1285" i="2"/>
  <c r="AW1293" i="2"/>
  <c r="AX1293" i="2"/>
  <c r="AV1293" i="2"/>
  <c r="AW1301" i="2"/>
  <c r="AX1301" i="2"/>
  <c r="AV1301" i="2"/>
  <c r="AW1309" i="2"/>
  <c r="AX1309" i="2"/>
  <c r="AV1309" i="2"/>
  <c r="AW1317" i="2"/>
  <c r="AX1317" i="2"/>
  <c r="AV1317" i="2"/>
  <c r="AW1325" i="2"/>
  <c r="AX1325" i="2"/>
  <c r="AV1325" i="2"/>
  <c r="AW1333" i="2"/>
  <c r="AX1333" i="2"/>
  <c r="AV1333" i="2"/>
  <c r="AW1341" i="2"/>
  <c r="AX1341" i="2"/>
  <c r="AV1341" i="2"/>
  <c r="AW1349" i="2"/>
  <c r="AX1349" i="2"/>
  <c r="AV1349" i="2"/>
  <c r="AW1357" i="2"/>
  <c r="AX1357" i="2"/>
  <c r="AV1357" i="2"/>
  <c r="AW1365" i="2"/>
  <c r="AX1365" i="2"/>
  <c r="AV1365" i="2"/>
  <c r="AW1373" i="2"/>
  <c r="AX1373" i="2"/>
  <c r="AV1373" i="2"/>
  <c r="AW1381" i="2"/>
  <c r="AX1381" i="2"/>
  <c r="AV1381" i="2"/>
  <c r="AW1389" i="2"/>
  <c r="AX1389" i="2"/>
  <c r="AV1389" i="2"/>
  <c r="AW1397" i="2"/>
  <c r="AX1397" i="2"/>
  <c r="AV1397" i="2"/>
  <c r="AW1405" i="2"/>
  <c r="AX1405" i="2"/>
  <c r="AV1405" i="2"/>
  <c r="AW1413" i="2"/>
  <c r="AX1413" i="2"/>
  <c r="AV1413" i="2"/>
  <c r="AW1421" i="2"/>
  <c r="AX1421" i="2"/>
  <c r="AV1421" i="2"/>
  <c r="AW1429" i="2"/>
  <c r="AX1429" i="2"/>
  <c r="AV1429" i="2"/>
  <c r="AW1437" i="2"/>
  <c r="AX1437" i="2"/>
  <c r="AV1437" i="2"/>
  <c r="AW1445" i="2"/>
  <c r="AX1445" i="2"/>
  <c r="AV1445" i="2"/>
  <c r="AY1453" i="2"/>
  <c r="AW1453" i="2"/>
  <c r="AX1453" i="2"/>
  <c r="AV1453" i="2"/>
  <c r="AW1461" i="2"/>
  <c r="AX1461" i="2"/>
  <c r="AV1461" i="2"/>
  <c r="AW1469" i="2"/>
  <c r="AX1469" i="2"/>
  <c r="AV1469" i="2"/>
  <c r="AW1477" i="2"/>
  <c r="AX1477" i="2"/>
  <c r="AV1477" i="2"/>
  <c r="AW1485" i="2"/>
  <c r="AX1485" i="2"/>
  <c r="AV1485" i="2"/>
  <c r="AW1493" i="2"/>
  <c r="AX1493" i="2"/>
  <c r="AV1493" i="2"/>
  <c r="Y1501" i="2" a="1"/>
  <c r="Y1501" i="2" s="1"/>
  <c r="AW1501" i="2"/>
  <c r="AX1501" i="2"/>
  <c r="AV1501" i="2"/>
  <c r="AW1509" i="2"/>
  <c r="AX1509" i="2"/>
  <c r="AV1509" i="2"/>
  <c r="AW1517" i="2"/>
  <c r="AX1517" i="2"/>
  <c r="AV1517" i="2"/>
  <c r="AY1525" i="2"/>
  <c r="AW1525" i="2"/>
  <c r="AX1525" i="2"/>
  <c r="AV1525" i="2"/>
  <c r="AY1533" i="2"/>
  <c r="AW1533" i="2"/>
  <c r="AX1533" i="2"/>
  <c r="AV1533" i="2"/>
  <c r="AY1541" i="2"/>
  <c r="AW1541" i="2"/>
  <c r="AX1541" i="2"/>
  <c r="AV1541" i="2"/>
  <c r="AY1549" i="2"/>
  <c r="AW1549" i="2"/>
  <c r="AX1549" i="2"/>
  <c r="AV1549" i="2"/>
  <c r="AY1557" i="2"/>
  <c r="AW1557" i="2"/>
  <c r="AX1557" i="2"/>
  <c r="AV1557" i="2"/>
  <c r="AY1565" i="2"/>
  <c r="AW1565" i="2"/>
  <c r="AX1565" i="2"/>
  <c r="AV1565" i="2"/>
  <c r="AW1573" i="2"/>
  <c r="AX1573" i="2"/>
  <c r="AV1573" i="2"/>
  <c r="AY1581" i="2"/>
  <c r="AW1581" i="2"/>
  <c r="AX1581" i="2"/>
  <c r="AV1581" i="2"/>
  <c r="Y1589" i="2" a="1"/>
  <c r="Y1589" i="2" s="1"/>
  <c r="AW1589" i="2"/>
  <c r="AX1589" i="2"/>
  <c r="AV1589" i="2"/>
  <c r="AY1597" i="2"/>
  <c r="AW1597" i="2"/>
  <c r="AX1597" i="2"/>
  <c r="AV1597" i="2"/>
  <c r="AY1605" i="2"/>
  <c r="AW1605" i="2"/>
  <c r="AX1605" i="2"/>
  <c r="AV1605" i="2"/>
  <c r="AW1613" i="2"/>
  <c r="AX1613" i="2"/>
  <c r="AV1613" i="2"/>
  <c r="AY1621" i="2"/>
  <c r="AW1621" i="2"/>
  <c r="AX1621" i="2"/>
  <c r="AV1621" i="2"/>
  <c r="AW1629" i="2"/>
  <c r="AX1629" i="2"/>
  <c r="AV1629" i="2"/>
  <c r="AW1637" i="2"/>
  <c r="AX1637" i="2"/>
  <c r="AV1637" i="2"/>
  <c r="AW1645" i="2"/>
  <c r="AX1645" i="2"/>
  <c r="AV1645" i="2"/>
  <c r="AW1653" i="2"/>
  <c r="AX1653" i="2"/>
  <c r="AV1653" i="2"/>
  <c r="AW1661" i="2"/>
  <c r="AX1661" i="2"/>
  <c r="AV1661" i="2"/>
  <c r="AW1669" i="2"/>
  <c r="AX1669" i="2"/>
  <c r="AV1669" i="2"/>
  <c r="AW1677" i="2"/>
  <c r="AX1677" i="2"/>
  <c r="AV1677" i="2"/>
  <c r="AY1685" i="2"/>
  <c r="AW1685" i="2"/>
  <c r="AX1685" i="2"/>
  <c r="AV1685" i="2"/>
  <c r="AW1693" i="2"/>
  <c r="AV1693" i="2"/>
  <c r="AX1693" i="2"/>
  <c r="AY1701" i="2"/>
  <c r="AW1701" i="2"/>
  <c r="AV1701" i="2"/>
  <c r="AW1709" i="2"/>
  <c r="AV1709" i="2"/>
  <c r="AX1709" i="2"/>
  <c r="AW1717" i="2"/>
  <c r="AV1717" i="2"/>
  <c r="AX1717" i="2"/>
  <c r="AW1725" i="2"/>
  <c r="AV1725" i="2"/>
  <c r="AX1725" i="2"/>
  <c r="AX1733" i="2"/>
  <c r="AW1733" i="2"/>
  <c r="AV1733" i="2"/>
  <c r="AX1741" i="2"/>
  <c r="AW1741" i="2"/>
  <c r="AV1741" i="2"/>
  <c r="AY1749" i="2"/>
  <c r="AX1749" i="2"/>
  <c r="AW1749" i="2"/>
  <c r="AV1749" i="2"/>
  <c r="AW1756" i="2"/>
  <c r="AX1756" i="2"/>
  <c r="AV1756" i="2"/>
  <c r="AW1764" i="2"/>
  <c r="AX1764" i="2"/>
  <c r="AV1764" i="2"/>
  <c r="AW1772" i="2"/>
  <c r="AX1772" i="2"/>
  <c r="AV1772" i="2"/>
  <c r="AW1780" i="2"/>
  <c r="AX1780" i="2"/>
  <c r="AV1780" i="2"/>
  <c r="AW1788" i="2"/>
  <c r="AX1788" i="2"/>
  <c r="AV1788" i="2"/>
  <c r="AW1796" i="2"/>
  <c r="AX1796" i="2"/>
  <c r="AV1796" i="2"/>
  <c r="AW1804" i="2"/>
  <c r="AX1804" i="2"/>
  <c r="AV1804" i="2"/>
  <c r="AW1812" i="2"/>
  <c r="AY1812" i="2"/>
  <c r="AX1812" i="2"/>
  <c r="AV1812" i="2"/>
  <c r="AY1820" i="2"/>
  <c r="AW1820" i="2"/>
  <c r="AX1820" i="2"/>
  <c r="AV1820" i="2"/>
  <c r="AW1828" i="2"/>
  <c r="AX1828" i="2"/>
  <c r="AV1828" i="2"/>
  <c r="AW1836" i="2"/>
  <c r="AX1836" i="2"/>
  <c r="AV1836" i="2"/>
  <c r="AW1844" i="2"/>
  <c r="AX1844" i="2"/>
  <c r="AV1844" i="2"/>
  <c r="AY1852" i="2"/>
  <c r="AW1852" i="2"/>
  <c r="AX1852" i="2"/>
  <c r="AV1852" i="2"/>
  <c r="AV581" i="2"/>
  <c r="AX589" i="2"/>
  <c r="AV541" i="2"/>
  <c r="AV549" i="2"/>
  <c r="AV557" i="2"/>
  <c r="AV565" i="2"/>
  <c r="AV573" i="2"/>
  <c r="AX581" i="2"/>
  <c r="AX541" i="2"/>
  <c r="AX549" i="2"/>
  <c r="AX557" i="2"/>
  <c r="AX565" i="2"/>
  <c r="AX573" i="2"/>
  <c r="AX1701" i="2"/>
  <c r="AV613" i="2"/>
  <c r="AV621" i="2"/>
  <c r="AV629" i="2"/>
  <c r="AV637" i="2"/>
  <c r="AV645" i="2"/>
  <c r="AV653" i="2"/>
  <c r="AV661" i="2"/>
  <c r="AV669" i="2"/>
  <c r="AV677" i="2"/>
  <c r="AV685" i="2"/>
  <c r="AV693" i="2"/>
  <c r="AV701" i="2"/>
  <c r="AV709" i="2"/>
  <c r="AV717" i="2"/>
  <c r="AV725" i="2"/>
  <c r="AV733" i="2"/>
  <c r="AV741" i="2"/>
  <c r="AV749" i="2"/>
  <c r="AV757" i="2"/>
  <c r="AV765" i="2"/>
  <c r="AV773" i="2"/>
  <c r="AV781" i="2"/>
  <c r="AV789" i="2"/>
  <c r="AV797" i="2"/>
  <c r="AV805" i="2"/>
  <c r="AV813" i="2"/>
  <c r="AV821" i="2"/>
  <c r="AV829" i="2"/>
  <c r="AV837" i="2"/>
  <c r="AV845" i="2"/>
  <c r="AV853" i="2"/>
  <c r="AV861" i="2"/>
  <c r="AV869" i="2"/>
  <c r="AV877" i="2"/>
  <c r="AV885" i="2"/>
  <c r="AV893" i="2"/>
  <c r="AV901" i="2"/>
  <c r="AV909" i="2"/>
  <c r="AV917" i="2"/>
  <c r="AV925" i="2"/>
  <c r="AV933" i="2"/>
  <c r="AV941" i="2"/>
  <c r="AV949" i="2"/>
  <c r="AV957" i="2"/>
  <c r="AV965" i="2"/>
  <c r="AV973" i="2"/>
  <c r="AV981" i="2"/>
  <c r="AV989" i="2"/>
  <c r="AV997" i="2"/>
  <c r="AV1005" i="2"/>
  <c r="AV1013" i="2"/>
  <c r="AV605" i="2"/>
  <c r="AX613" i="2"/>
  <c r="AX621" i="2"/>
  <c r="AX629" i="2"/>
  <c r="AX637" i="2"/>
  <c r="AX645" i="2"/>
  <c r="AX653" i="2"/>
  <c r="AX661" i="2"/>
  <c r="AX669" i="2"/>
  <c r="AX677" i="2"/>
  <c r="AX685" i="2"/>
  <c r="AX693" i="2"/>
  <c r="AX701" i="2"/>
  <c r="AX709" i="2"/>
  <c r="AX717" i="2"/>
  <c r="AX725" i="2"/>
  <c r="AX733" i="2"/>
  <c r="AX741" i="2"/>
  <c r="AX749" i="2"/>
  <c r="AX757" i="2"/>
  <c r="AX765" i="2"/>
  <c r="AX773" i="2"/>
  <c r="AX781" i="2"/>
  <c r="AX789" i="2"/>
  <c r="AX797" i="2"/>
  <c r="AX805" i="2"/>
  <c r="AX813" i="2"/>
  <c r="AX821" i="2"/>
  <c r="AX829" i="2"/>
  <c r="AX837" i="2"/>
  <c r="AX845" i="2"/>
  <c r="AX853" i="2"/>
  <c r="AX861" i="2"/>
  <c r="AX869" i="2"/>
  <c r="AX877" i="2"/>
  <c r="AX885" i="2"/>
  <c r="AX893" i="2"/>
  <c r="AX901" i="2"/>
  <c r="AX909" i="2"/>
  <c r="AX917" i="2"/>
  <c r="AX925" i="2"/>
  <c r="AX933" i="2"/>
  <c r="AX941" i="2"/>
  <c r="AX949" i="2"/>
  <c r="AX957" i="2"/>
  <c r="AX965" i="2"/>
  <c r="AX973" i="2"/>
  <c r="AX981" i="2"/>
  <c r="AX989" i="2"/>
  <c r="AX997" i="2"/>
  <c r="AX1005" i="2"/>
  <c r="AX1013" i="2"/>
  <c r="AV597" i="2"/>
  <c r="AX605" i="2"/>
  <c r="AW438" i="2"/>
  <c r="AY438" i="2"/>
  <c r="AY454" i="2"/>
  <c r="AW454" i="2"/>
  <c r="AY502" i="2"/>
  <c r="AW502" i="2"/>
  <c r="AB2065" i="2"/>
  <c r="AK2065" i="2" s="1"/>
  <c r="AB1938" i="2"/>
  <c r="AK1938" i="2" s="1"/>
  <c r="AA1389" i="2"/>
  <c r="AJ1389" i="2" s="1"/>
  <c r="X65" i="2"/>
  <c r="X14" i="2"/>
  <c r="X189" i="2"/>
  <c r="X166" i="2"/>
  <c r="X194" i="2"/>
  <c r="X140" i="2"/>
  <c r="X199" i="2"/>
  <c r="X128" i="2"/>
  <c r="X208" i="2"/>
  <c r="X196" i="2"/>
  <c r="X222" i="2"/>
  <c r="X230" i="2"/>
  <c r="AW230" i="2"/>
  <c r="X238" i="2"/>
  <c r="X246" i="2"/>
  <c r="AY246" i="2"/>
  <c r="AW246" i="2"/>
  <c r="X254" i="2"/>
  <c r="Y254" i="2" a="1"/>
  <c r="Y254" i="2" s="1"/>
  <c r="AY254" i="2"/>
  <c r="AW254" i="2"/>
  <c r="X262" i="2"/>
  <c r="AY262" i="2"/>
  <c r="AW262" i="2"/>
  <c r="X270" i="2"/>
  <c r="Y270" i="2" a="1"/>
  <c r="Y270" i="2" s="1"/>
  <c r="AW270" i="2"/>
  <c r="X278" i="2"/>
  <c r="AY278" i="2"/>
  <c r="Y278" i="2" a="1"/>
  <c r="Y278" i="2" s="1"/>
  <c r="AW278" i="2"/>
  <c r="X286" i="2"/>
  <c r="Y286" i="2" a="1"/>
  <c r="Y286" i="2" s="1"/>
  <c r="AY286" i="2"/>
  <c r="AW286" i="2"/>
  <c r="X294" i="2"/>
  <c r="Y294" i="2" a="1"/>
  <c r="Y294" i="2" s="1"/>
  <c r="AW294" i="2"/>
  <c r="X302" i="2"/>
  <c r="AY302" i="2"/>
  <c r="AW302" i="2"/>
  <c r="Y302" i="2" a="1"/>
  <c r="Y302" i="2" s="1"/>
  <c r="X310" i="2"/>
  <c r="Y310" i="2" a="1"/>
  <c r="Y310" i="2" s="1"/>
  <c r="AY310" i="2"/>
  <c r="AW310" i="2"/>
  <c r="X318" i="2"/>
  <c r="Y318" i="2" a="1"/>
  <c r="Y318" i="2" s="1"/>
  <c r="AW318" i="2"/>
  <c r="AY318" i="2"/>
  <c r="X326" i="2"/>
  <c r="Y326" i="2" a="1"/>
  <c r="Y326" i="2" s="1"/>
  <c r="AY326" i="2"/>
  <c r="AW326" i="2"/>
  <c r="X334" i="2"/>
  <c r="Y334" i="2" a="1"/>
  <c r="Y334" i="2" s="1"/>
  <c r="AW334" i="2"/>
  <c r="X342" i="2"/>
  <c r="AY342" i="2"/>
  <c r="AW342" i="2"/>
  <c r="Y342" i="2" a="1"/>
  <c r="Y342" i="2" s="1"/>
  <c r="X350" i="2"/>
  <c r="AY350" i="2"/>
  <c r="Y350" i="2" a="1"/>
  <c r="Y350" i="2" s="1"/>
  <c r="AW350" i="2"/>
  <c r="X358" i="2"/>
  <c r="AW358" i="2"/>
  <c r="Y358" i="2" a="1"/>
  <c r="Y358" i="2" s="1"/>
  <c r="AY358" i="2"/>
  <c r="X366" i="2"/>
  <c r="Y366" i="2" a="1"/>
  <c r="Y366" i="2" s="1"/>
  <c r="AY366" i="2"/>
  <c r="AW366" i="2"/>
  <c r="X374" i="2"/>
  <c r="AY374" i="2"/>
  <c r="AW374" i="2"/>
  <c r="Y374" i="2" a="1"/>
  <c r="Y374" i="2" s="1"/>
  <c r="X382" i="2"/>
  <c r="Y382" i="2" a="1"/>
  <c r="Y382" i="2" s="1"/>
  <c r="AY382" i="2"/>
  <c r="AW382" i="2"/>
  <c r="X390" i="2"/>
  <c r="AY390" i="2"/>
  <c r="AW390" i="2"/>
  <c r="Y390" i="2" a="1"/>
  <c r="Y390" i="2" s="1"/>
  <c r="X398" i="2"/>
  <c r="AY398" i="2"/>
  <c r="Y398" i="2" a="1"/>
  <c r="Y398" i="2" s="1"/>
  <c r="AW398" i="2"/>
  <c r="AW406" i="2"/>
  <c r="AY406" i="2"/>
  <c r="X414" i="2"/>
  <c r="Y414" i="2" a="1"/>
  <c r="Y414" i="2" s="1"/>
  <c r="AY414" i="2"/>
  <c r="AW414" i="2"/>
  <c r="X422" i="2"/>
  <c r="AY422" i="2"/>
  <c r="AW422" i="2"/>
  <c r="Y422" i="2" a="1"/>
  <c r="Y422" i="2" s="1"/>
  <c r="X430" i="2"/>
  <c r="AY430" i="2"/>
  <c r="Y430" i="2" a="1"/>
  <c r="Y430" i="2" s="1"/>
  <c r="AW430" i="2"/>
  <c r="X438" i="2"/>
  <c r="Y438" i="2" a="1"/>
  <c r="Y438" i="2" s="1"/>
  <c r="X446" i="2"/>
  <c r="Y446" i="2" a="1"/>
  <c r="Y446" i="2" s="1"/>
  <c r="AY446" i="2"/>
  <c r="X454" i="2"/>
  <c r="Y454" i="2" a="1"/>
  <c r="Y454" i="2" s="1"/>
  <c r="X462" i="2"/>
  <c r="Y462" i="2" a="1"/>
  <c r="Y462" i="2" s="1"/>
  <c r="AY462" i="2"/>
  <c r="X470" i="2"/>
  <c r="Y470" i="2" a="1"/>
  <c r="Y470" i="2" s="1"/>
  <c r="X478" i="2"/>
  <c r="Y478" i="2" a="1"/>
  <c r="Y478" i="2" s="1"/>
  <c r="AY478" i="2"/>
  <c r="X486" i="2"/>
  <c r="AY486" i="2"/>
  <c r="Y486" i="2" a="1"/>
  <c r="Y486" i="2" s="1"/>
  <c r="X494" i="2"/>
  <c r="AY494" i="2"/>
  <c r="Y494" i="2" a="1"/>
  <c r="Y494" i="2" s="1"/>
  <c r="X510" i="2"/>
  <c r="Y510" i="2" a="1"/>
  <c r="Y510" i="2" s="1"/>
  <c r="AY510" i="2"/>
  <c r="X518" i="2"/>
  <c r="AY518" i="2"/>
  <c r="Y518" i="2" a="1"/>
  <c r="Y518" i="2" s="1"/>
  <c r="X526" i="2"/>
  <c r="Y526" i="2" a="1"/>
  <c r="Y526" i="2" s="1"/>
  <c r="AY526" i="2"/>
  <c r="X534" i="2"/>
  <c r="AY534" i="2"/>
  <c r="Y534" i="2" a="1"/>
  <c r="Y534" i="2" s="1"/>
  <c r="X541" i="2"/>
  <c r="Y541" i="2" a="1"/>
  <c r="Y541" i="2" s="1"/>
  <c r="AY541" i="2"/>
  <c r="X549" i="2"/>
  <c r="Y549" i="2" a="1"/>
  <c r="Y549" i="2" s="1"/>
  <c r="AY549" i="2"/>
  <c r="X557" i="2"/>
  <c r="AY557" i="2"/>
  <c r="Y557" i="2" a="1"/>
  <c r="Y557" i="2" s="1"/>
  <c r="X565" i="2"/>
  <c r="Y565" i="2" a="1"/>
  <c r="Y565" i="2" s="1"/>
  <c r="X573" i="2"/>
  <c r="AY573" i="2"/>
  <c r="Y573" i="2" a="1"/>
  <c r="Y573" i="2" s="1"/>
  <c r="X581" i="2"/>
  <c r="Y581" i="2" a="1"/>
  <c r="Y581" i="2" s="1"/>
  <c r="AY581" i="2"/>
  <c r="X589" i="2"/>
  <c r="AY589" i="2"/>
  <c r="Y589" i="2" a="1"/>
  <c r="Y589" i="2" s="1"/>
  <c r="X597" i="2"/>
  <c r="Y597" i="2" a="1"/>
  <c r="Y597" i="2" s="1"/>
  <c r="AY597" i="2"/>
  <c r="X605" i="2"/>
  <c r="AY605" i="2"/>
  <c r="X621" i="2"/>
  <c r="Y621" i="2" a="1"/>
  <c r="Y621" i="2" s="1"/>
  <c r="X629" i="2"/>
  <c r="Y629" i="2" a="1"/>
  <c r="Y629" i="2" s="1"/>
  <c r="AY629" i="2"/>
  <c r="X637" i="2"/>
  <c r="AY637" i="2"/>
  <c r="Y637" i="2" a="1"/>
  <c r="Y637" i="2" s="1"/>
  <c r="X653" i="2"/>
  <c r="Y653" i="2" a="1"/>
  <c r="Y653" i="2" s="1"/>
  <c r="AY653" i="2"/>
  <c r="X741" i="2"/>
  <c r="Y741" i="2" a="1"/>
  <c r="Y741" i="2" s="1"/>
  <c r="AY741" i="2"/>
  <c r="X749" i="2"/>
  <c r="AY749" i="2"/>
  <c r="Y749" i="2" a="1"/>
  <c r="Y749" i="2" s="1"/>
  <c r="X757" i="2"/>
  <c r="Y757" i="2" a="1"/>
  <c r="Y757" i="2" s="1"/>
  <c r="AY757" i="2"/>
  <c r="X765" i="2"/>
  <c r="Y765" i="2" a="1"/>
  <c r="Y765" i="2" s="1"/>
  <c r="X773" i="2"/>
  <c r="Y773" i="2" a="1"/>
  <c r="Y773" i="2" s="1"/>
  <c r="AY773" i="2"/>
  <c r="X781" i="2"/>
  <c r="AY781" i="2"/>
  <c r="Y781" i="2" a="1"/>
  <c r="Y781" i="2" s="1"/>
  <c r="X789" i="2"/>
  <c r="Y789" i="2" a="1"/>
  <c r="Y789" i="2" s="1"/>
  <c r="X797" i="2"/>
  <c r="AY797" i="2"/>
  <c r="Y797" i="2" a="1"/>
  <c r="Y797" i="2" s="1"/>
  <c r="X805" i="2"/>
  <c r="Y805" i="2" a="1"/>
  <c r="Y805" i="2" s="1"/>
  <c r="AY805" i="2"/>
  <c r="X813" i="2"/>
  <c r="Y813" i="2" a="1"/>
  <c r="Y813" i="2" s="1"/>
  <c r="X821" i="2"/>
  <c r="Y821" i="2" a="1"/>
  <c r="Y821" i="2" s="1"/>
  <c r="AY821" i="2"/>
  <c r="X829" i="2"/>
  <c r="AY829" i="2"/>
  <c r="Y829" i="2" a="1"/>
  <c r="Y829" i="2" s="1"/>
  <c r="X845" i="2"/>
  <c r="Y845" i="2" a="1"/>
  <c r="Y845" i="2" s="1"/>
  <c r="AY845" i="2"/>
  <c r="X853" i="2"/>
  <c r="AY853" i="2"/>
  <c r="X861" i="2"/>
  <c r="AY861" i="2"/>
  <c r="Y861" i="2" a="1"/>
  <c r="Y861" i="2" s="1"/>
  <c r="X869" i="2"/>
  <c r="Y869" i="2" a="1"/>
  <c r="Y869" i="2" s="1"/>
  <c r="X877" i="2"/>
  <c r="Y877" i="2" a="1"/>
  <c r="Y877" i="2" s="1"/>
  <c r="AY877" i="2"/>
  <c r="X901" i="2"/>
  <c r="AY901" i="2"/>
  <c r="Y901" i="2" a="1"/>
  <c r="Y901" i="2" s="1"/>
  <c r="X917" i="2"/>
  <c r="Y917" i="2" a="1"/>
  <c r="Y917" i="2" s="1"/>
  <c r="AY917" i="2"/>
  <c r="X925" i="2"/>
  <c r="Y925" i="2" a="1"/>
  <c r="Y925" i="2" s="1"/>
  <c r="AY925" i="2"/>
  <c r="X933" i="2"/>
  <c r="Y933" i="2" a="1"/>
  <c r="Y933" i="2" s="1"/>
  <c r="AY933" i="2"/>
  <c r="X941" i="2"/>
  <c r="Y941" i="2" a="1"/>
  <c r="Y941" i="2" s="1"/>
  <c r="AY941" i="2"/>
  <c r="X949" i="2"/>
  <c r="AY949" i="2"/>
  <c r="Y949" i="2" a="1"/>
  <c r="Y949" i="2" s="1"/>
  <c r="X957" i="2"/>
  <c r="Y957" i="2" a="1"/>
  <c r="Y957" i="2" s="1"/>
  <c r="AY957" i="2"/>
  <c r="X965" i="2"/>
  <c r="AY965" i="2"/>
  <c r="Y965" i="2" a="1"/>
  <c r="Y965" i="2" s="1"/>
  <c r="X973" i="2"/>
  <c r="Y973" i="2" a="1"/>
  <c r="Y973" i="2" s="1"/>
  <c r="X981" i="2"/>
  <c r="Y981" i="2" a="1"/>
  <c r="Y981" i="2" s="1"/>
  <c r="AY981" i="2"/>
  <c r="X989" i="2"/>
  <c r="Y989" i="2" a="1"/>
  <c r="Y989" i="2" s="1"/>
  <c r="AY989" i="2"/>
  <c r="X997" i="2"/>
  <c r="Y997" i="2" a="1"/>
  <c r="Y997" i="2" s="1"/>
  <c r="AY997" i="2"/>
  <c r="X1005" i="2"/>
  <c r="AY1005" i="2"/>
  <c r="Y1005" i="2" a="1"/>
  <c r="Y1005" i="2" s="1"/>
  <c r="X1013" i="2"/>
  <c r="Y1013" i="2" a="1"/>
  <c r="Y1013" i="2" s="1"/>
  <c r="AY1013" i="2"/>
  <c r="X1021" i="2"/>
  <c r="AY1021" i="2"/>
  <c r="Y1021" i="2" a="1"/>
  <c r="Y1021" i="2" s="1"/>
  <c r="X1029" i="2"/>
  <c r="AY1029" i="2"/>
  <c r="Y1029" i="2" a="1"/>
  <c r="Y1029" i="2" s="1"/>
  <c r="X1037" i="2"/>
  <c r="Y1037" i="2" a="1"/>
  <c r="Y1037" i="2" s="1"/>
  <c r="X1045" i="2"/>
  <c r="Y1045" i="2" a="1"/>
  <c r="Y1045" i="2" s="1"/>
  <c r="AY1045" i="2"/>
  <c r="X1053" i="2"/>
  <c r="Y1053" i="2" a="1"/>
  <c r="Y1053" i="2" s="1"/>
  <c r="AY1053" i="2"/>
  <c r="X1061" i="2"/>
  <c r="AY1061" i="2"/>
  <c r="Y1061" i="2" a="1"/>
  <c r="Y1061" i="2" s="1"/>
  <c r="X1069" i="2"/>
  <c r="Y1069" i="2" a="1"/>
  <c r="Y1069" i="2" s="1"/>
  <c r="AY1069" i="2"/>
  <c r="X1077" i="2"/>
  <c r="AY1077" i="2"/>
  <c r="Y1077" i="2" a="1"/>
  <c r="Y1077" i="2" s="1"/>
  <c r="X1085" i="2"/>
  <c r="AY1085" i="2"/>
  <c r="X1093" i="2"/>
  <c r="AY1093" i="2"/>
  <c r="Y1093" i="2" a="1"/>
  <c r="Y1093" i="2" s="1"/>
  <c r="X1109" i="2"/>
  <c r="Y1109" i="2" a="1"/>
  <c r="Y1109" i="2" s="1"/>
  <c r="AY1109" i="2"/>
  <c r="X1117" i="2"/>
  <c r="AY1117" i="2"/>
  <c r="Y1117" i="2" a="1"/>
  <c r="Y1117" i="2" s="1"/>
  <c r="X1125" i="2"/>
  <c r="AY1125" i="2"/>
  <c r="X1189" i="2"/>
  <c r="Y1189" i="2" a="1"/>
  <c r="Y1189" i="2" s="1"/>
  <c r="AY1189" i="2"/>
  <c r="X1573" i="2"/>
  <c r="Y1573" i="2" a="1"/>
  <c r="Y1573" i="2" s="1"/>
  <c r="AY1573" i="2"/>
  <c r="X1589" i="2"/>
  <c r="AY1589" i="2"/>
  <c r="X1613" i="2"/>
  <c r="Y1613" i="2" a="1"/>
  <c r="Y1613" i="2" s="1"/>
  <c r="AY1613" i="2"/>
  <c r="X1621" i="2"/>
  <c r="Y1621" i="2" a="1"/>
  <c r="Y1621" i="2" s="1"/>
  <c r="X1629" i="2"/>
  <c r="Y1629" i="2" a="1"/>
  <c r="Y1629" i="2" s="1"/>
  <c r="AY1629" i="2"/>
  <c r="X1637" i="2"/>
  <c r="Y1637" i="2" a="1"/>
  <c r="Y1637" i="2" s="1"/>
  <c r="AY1637" i="2"/>
  <c r="X1645" i="2"/>
  <c r="Y1645" i="2" a="1"/>
  <c r="Y1645" i="2" s="1"/>
  <c r="AY1645" i="2"/>
  <c r="X1653" i="2"/>
  <c r="AY1653" i="2"/>
  <c r="Y1653" i="2" a="1"/>
  <c r="Y1653" i="2" s="1"/>
  <c r="X1661" i="2"/>
  <c r="Y1661" i="2" a="1"/>
  <c r="Y1661" i="2" s="1"/>
  <c r="AY1661" i="2"/>
  <c r="X1669" i="2"/>
  <c r="AY1669" i="2"/>
  <c r="Y1669" i="2" a="1"/>
  <c r="Y1669" i="2" s="1"/>
  <c r="X1677" i="2"/>
  <c r="AY1677" i="2"/>
  <c r="Y1677" i="2" a="1"/>
  <c r="Y1677" i="2" s="1"/>
  <c r="X1693" i="2"/>
  <c r="Y1693" i="2" a="1"/>
  <c r="Y1693" i="2" s="1"/>
  <c r="AY1693" i="2"/>
  <c r="X1709" i="2"/>
  <c r="Y1709" i="2" a="1"/>
  <c r="Y1709" i="2" s="1"/>
  <c r="AY1709" i="2"/>
  <c r="X1717" i="2"/>
  <c r="AY1717" i="2"/>
  <c r="Y1717" i="2" a="1"/>
  <c r="Y1717" i="2" s="1"/>
  <c r="X1725" i="2"/>
  <c r="Y1725" i="2" a="1"/>
  <c r="Y1725" i="2" s="1"/>
  <c r="AY1725" i="2"/>
  <c r="X1733" i="2"/>
  <c r="AY1733" i="2"/>
  <c r="Y1733" i="2" a="1"/>
  <c r="Y1733" i="2" s="1"/>
  <c r="X1741" i="2"/>
  <c r="AY1741" i="2"/>
  <c r="Y1741" i="2" a="1"/>
  <c r="Y1741" i="2" s="1"/>
  <c r="X1749" i="2"/>
  <c r="Y1749" i="2" a="1"/>
  <c r="Y1749" i="2" s="1"/>
  <c r="X1756" i="2"/>
  <c r="Y1756" i="2" a="1"/>
  <c r="Y1756" i="2" s="1"/>
  <c r="AY1756" i="2"/>
  <c r="X1764" i="2"/>
  <c r="Y1764" i="2" a="1"/>
  <c r="Y1764" i="2" s="1"/>
  <c r="AY1764" i="2"/>
  <c r="X1772" i="2"/>
  <c r="Y1772" i="2" a="1"/>
  <c r="Y1772" i="2" s="1"/>
  <c r="AY1772" i="2"/>
  <c r="X1780" i="2"/>
  <c r="AY1780" i="2"/>
  <c r="Y1780" i="2" a="1"/>
  <c r="Y1780" i="2" s="1"/>
  <c r="X1788" i="2"/>
  <c r="Y1788" i="2" a="1"/>
  <c r="Y1788" i="2" s="1"/>
  <c r="AY1788" i="2"/>
  <c r="X1796" i="2"/>
  <c r="AY1796" i="2"/>
  <c r="Y1796" i="2" a="1"/>
  <c r="Y1796" i="2" s="1"/>
  <c r="X1804" i="2"/>
  <c r="AY1804" i="2"/>
  <c r="Y1804" i="2" a="1"/>
  <c r="Y1804" i="2" s="1"/>
  <c r="X1828" i="2"/>
  <c r="Y1828" i="2" a="1"/>
  <c r="Y1828" i="2" s="1"/>
  <c r="AY1828" i="2"/>
  <c r="X1836" i="2"/>
  <c r="AY1836" i="2"/>
  <c r="Y1836" i="2" a="1"/>
  <c r="Y1836" i="2" s="1"/>
  <c r="X1844" i="2"/>
  <c r="AY1844" i="2"/>
  <c r="AB1043" i="2"/>
  <c r="AK1043" i="2" s="1"/>
  <c r="AB1028" i="2"/>
  <c r="AK1028" i="2" s="1"/>
  <c r="AA1910" i="2"/>
  <c r="AJ1910" i="2" s="1"/>
  <c r="AA1903" i="2"/>
  <c r="AJ1903" i="2" s="1"/>
  <c r="AN675" i="2"/>
  <c r="AQ675" i="2" s="1"/>
  <c r="AI675" i="2"/>
  <c r="AN611" i="2"/>
  <c r="AQ611" i="2" s="1"/>
  <c r="AI611" i="2"/>
  <c r="AN587" i="2"/>
  <c r="AQ587" i="2" s="1"/>
  <c r="AI587" i="2"/>
  <c r="AN563" i="2"/>
  <c r="AQ563" i="2" s="1"/>
  <c r="AI563" i="2"/>
  <c r="AN555" i="2"/>
  <c r="AQ555" i="2" s="1"/>
  <c r="AI555" i="2"/>
  <c r="AN508" i="2"/>
  <c r="AQ508" i="2" s="1"/>
  <c r="AI508" i="2"/>
  <c r="AN476" i="2"/>
  <c r="AQ476" i="2" s="1"/>
  <c r="AI476" i="2"/>
  <c r="AN444" i="2"/>
  <c r="AQ444" i="2" s="1"/>
  <c r="AI444" i="2"/>
  <c r="AN412" i="2"/>
  <c r="AQ412" i="2" s="1"/>
  <c r="AI412" i="2"/>
  <c r="AN380" i="2"/>
  <c r="AQ380" i="2" s="1"/>
  <c r="AI380" i="2"/>
  <c r="AN348" i="2"/>
  <c r="AQ348" i="2" s="1"/>
  <c r="AI348" i="2"/>
  <c r="AN268" i="2"/>
  <c r="AQ268" i="2" s="1"/>
  <c r="AI268" i="2"/>
  <c r="AN1593" i="2"/>
  <c r="AQ1593" i="2" s="1"/>
  <c r="AI1593" i="2"/>
  <c r="AN1561" i="2"/>
  <c r="AQ1561" i="2" s="1"/>
  <c r="AI1561" i="2"/>
  <c r="AN1537" i="2"/>
  <c r="AQ1537" i="2" s="1"/>
  <c r="AI1537" i="2"/>
  <c r="AN1521" i="2"/>
  <c r="AQ1521" i="2" s="1"/>
  <c r="AI1521" i="2"/>
  <c r="AN1489" i="2"/>
  <c r="AQ1489" i="2" s="1"/>
  <c r="AI1489" i="2"/>
  <c r="AN1457" i="2"/>
  <c r="AQ1457" i="2" s="1"/>
  <c r="AI1457" i="2"/>
  <c r="AN1425" i="2"/>
  <c r="AQ1425" i="2" s="1"/>
  <c r="AI1425" i="2"/>
  <c r="AN1393" i="2"/>
  <c r="AQ1393" i="2" s="1"/>
  <c r="AI1393" i="2"/>
  <c r="AN1361" i="2"/>
  <c r="AQ1361" i="2" s="1"/>
  <c r="AI1361" i="2"/>
  <c r="AN1329" i="2"/>
  <c r="AQ1329" i="2" s="1"/>
  <c r="AI1329" i="2"/>
  <c r="AN1257" i="2"/>
  <c r="AQ1257" i="2" s="1"/>
  <c r="AI1257" i="2"/>
  <c r="AN1225" i="2"/>
  <c r="AQ1225" i="2" s="1"/>
  <c r="AI1225" i="2"/>
  <c r="AN1193" i="2"/>
  <c r="AQ1193" i="2" s="1"/>
  <c r="AI1193" i="2"/>
  <c r="AN1010" i="2"/>
  <c r="AQ1010" i="2" s="1"/>
  <c r="AI1010" i="2"/>
  <c r="AN994" i="2"/>
  <c r="AQ994" i="2" s="1"/>
  <c r="AI994" i="2"/>
  <c r="AN746" i="2"/>
  <c r="AQ746" i="2" s="1"/>
  <c r="AI746" i="2"/>
  <c r="AN2424" i="2"/>
  <c r="AQ2424" i="2" s="1"/>
  <c r="AI2424" i="2"/>
  <c r="AN2408" i="2"/>
  <c r="AQ2408" i="2" s="1"/>
  <c r="AI2408" i="2"/>
  <c r="AN2384" i="2"/>
  <c r="AQ2384" i="2" s="1"/>
  <c r="AI2384" i="2"/>
  <c r="AN2312" i="2"/>
  <c r="AQ2312" i="2" s="1"/>
  <c r="AI2312" i="2"/>
  <c r="AN2288" i="2"/>
  <c r="AQ2288" i="2" s="1"/>
  <c r="AI2288" i="2"/>
  <c r="AN2136" i="2"/>
  <c r="AQ2136" i="2" s="1"/>
  <c r="AI2136" i="2"/>
  <c r="AN1984" i="2"/>
  <c r="AQ1984" i="2" s="1"/>
  <c r="AI1984" i="2"/>
  <c r="AN1848" i="2"/>
  <c r="AQ1848" i="2" s="1"/>
  <c r="AI1848" i="2"/>
  <c r="AN1832" i="2"/>
  <c r="AQ1832" i="2" s="1"/>
  <c r="AI1832" i="2"/>
  <c r="AN1800" i="2"/>
  <c r="AQ1800" i="2" s="1"/>
  <c r="AI1800" i="2"/>
  <c r="AN1768" i="2"/>
  <c r="AQ1768" i="2" s="1"/>
  <c r="AI1768" i="2"/>
  <c r="AN1752" i="2"/>
  <c r="AQ1752" i="2" s="1"/>
  <c r="AI1752" i="2"/>
  <c r="AN1728" i="2"/>
  <c r="AQ1728" i="2" s="1"/>
  <c r="AI1728" i="2"/>
  <c r="AN1712" i="2"/>
  <c r="AQ1712" i="2" s="1"/>
  <c r="AI1712" i="2"/>
  <c r="AN1672" i="2"/>
  <c r="AQ1672" i="2" s="1"/>
  <c r="AI1672" i="2"/>
  <c r="AN1648" i="2"/>
  <c r="AQ1648" i="2" s="1"/>
  <c r="AI1648" i="2"/>
  <c r="X1860" i="2"/>
  <c r="AY1860" i="2"/>
  <c r="Y1860" i="2" a="1"/>
  <c r="Y1860" i="2" s="1"/>
  <c r="AW1860" i="2"/>
  <c r="X1868" i="2"/>
  <c r="AY1868" i="2"/>
  <c r="AW1868" i="2"/>
  <c r="Y1868" i="2" a="1"/>
  <c r="Y1868" i="2" s="1"/>
  <c r="X1876" i="2"/>
  <c r="Y1876" i="2" a="1"/>
  <c r="Y1876" i="2" s="1"/>
  <c r="AY1876" i="2"/>
  <c r="AW1876" i="2"/>
  <c r="AY1884" i="2"/>
  <c r="AW1884" i="2"/>
  <c r="X1892" i="2"/>
  <c r="Y1892" i="2" a="1"/>
  <c r="Y1892" i="2" s="1"/>
  <c r="AY1892" i="2"/>
  <c r="AW1892" i="2"/>
  <c r="X1900" i="2"/>
  <c r="Y1900" i="2" a="1"/>
  <c r="Y1900" i="2" s="1"/>
  <c r="AY1900" i="2"/>
  <c r="AW1900" i="2"/>
  <c r="AY1908" i="2"/>
  <c r="AW1908" i="2"/>
  <c r="AY1916" i="2"/>
  <c r="AW1916" i="2"/>
  <c r="X1924" i="2"/>
  <c r="AY1924" i="2"/>
  <c r="Y1924" i="2" a="1"/>
  <c r="Y1924" i="2" s="1"/>
  <c r="X1932" i="2"/>
  <c r="AY1932" i="2"/>
  <c r="Y1932" i="2" a="1"/>
  <c r="Y1932" i="2" s="1"/>
  <c r="AW1932" i="2"/>
  <c r="X1940" i="2"/>
  <c r="AY1940" i="2"/>
  <c r="Y1940" i="2" a="1"/>
  <c r="Y1940" i="2" s="1"/>
  <c r="AW1940" i="2"/>
  <c r="X1948" i="2"/>
  <c r="Y1948" i="2" a="1"/>
  <c r="Y1948" i="2" s="1"/>
  <c r="AY1948" i="2"/>
  <c r="AW1948" i="2"/>
  <c r="X1956" i="2"/>
  <c r="Y1956" i="2" a="1"/>
  <c r="Y1956" i="2" s="1"/>
  <c r="AY1956" i="2"/>
  <c r="AW1956" i="2"/>
  <c r="X1964" i="2"/>
  <c r="AY1964" i="2"/>
  <c r="Y1964" i="2" a="1"/>
  <c r="Y1964" i="2" s="1"/>
  <c r="AW1964" i="2"/>
  <c r="X1972" i="2"/>
  <c r="Y1972" i="2" a="1"/>
  <c r="Y1972" i="2" s="1"/>
  <c r="AY1972" i="2"/>
  <c r="AW1972" i="2"/>
  <c r="X1980" i="2"/>
  <c r="Y1980" i="2" a="1"/>
  <c r="Y1980" i="2" s="1"/>
  <c r="AY1980" i="2"/>
  <c r="AW1980" i="2"/>
  <c r="X1988" i="2"/>
  <c r="AY1988" i="2"/>
  <c r="Y1988" i="2" a="1"/>
  <c r="Y1988" i="2" s="1"/>
  <c r="X1996" i="2"/>
  <c r="AY1996" i="2"/>
  <c r="Y1996" i="2" a="1"/>
  <c r="Y1996" i="2" s="1"/>
  <c r="AW1996" i="2"/>
  <c r="X2004" i="2"/>
  <c r="AY2004" i="2"/>
  <c r="Y2004" i="2" a="1"/>
  <c r="Y2004" i="2" s="1"/>
  <c r="AW2004" i="2"/>
  <c r="X2012" i="2"/>
  <c r="Y2012" i="2" a="1"/>
  <c r="Y2012" i="2" s="1"/>
  <c r="AY2012" i="2"/>
  <c r="AW2012" i="2"/>
  <c r="X2020" i="2"/>
  <c r="Y2020" i="2" a="1"/>
  <c r="Y2020" i="2" s="1"/>
  <c r="AY2020" i="2"/>
  <c r="AW2020" i="2"/>
  <c r="X2028" i="2"/>
  <c r="AY2028" i="2"/>
  <c r="AW2028" i="2"/>
  <c r="X2036" i="2"/>
  <c r="Y2036" i="2" a="1"/>
  <c r="Y2036" i="2" s="1"/>
  <c r="AY2036" i="2"/>
  <c r="AW2036" i="2"/>
  <c r="X2044" i="2"/>
  <c r="Y2044" i="2" a="1"/>
  <c r="Y2044" i="2" s="1"/>
  <c r="AY2044" i="2"/>
  <c r="AW2044" i="2"/>
  <c r="X2052" i="2"/>
  <c r="AY2052" i="2"/>
  <c r="Y2052" i="2" a="1"/>
  <c r="Y2052" i="2" s="1"/>
  <c r="X2060" i="2"/>
  <c r="AY2060" i="2"/>
  <c r="Y2060" i="2" a="1"/>
  <c r="Y2060" i="2" s="1"/>
  <c r="AW2060" i="2"/>
  <c r="X2068" i="2"/>
  <c r="AY2068" i="2"/>
  <c r="Y2068" i="2" a="1"/>
  <c r="Y2068" i="2" s="1"/>
  <c r="AW2068" i="2"/>
  <c r="X2076" i="2"/>
  <c r="Y2076" i="2" a="1"/>
  <c r="Y2076" i="2" s="1"/>
  <c r="AY2076" i="2"/>
  <c r="AW2076" i="2"/>
  <c r="X2084" i="2"/>
  <c r="Y2084" i="2" a="1"/>
  <c r="Y2084" i="2" s="1"/>
  <c r="AY2084" i="2"/>
  <c r="AW2084" i="2"/>
  <c r="X2092" i="2"/>
  <c r="AY2092" i="2"/>
  <c r="AW2092" i="2"/>
  <c r="Y2092" i="2" a="1"/>
  <c r="Y2092" i="2" s="1"/>
  <c r="X2100" i="2"/>
  <c r="Y2100" i="2" a="1"/>
  <c r="Y2100" i="2" s="1"/>
  <c r="AY2100" i="2"/>
  <c r="AW2100" i="2"/>
  <c r="AY2108" i="2"/>
  <c r="AW2108" i="2"/>
  <c r="X2116" i="2"/>
  <c r="AY2116" i="2"/>
  <c r="Y2116" i="2" a="1"/>
  <c r="Y2116" i="2" s="1"/>
  <c r="AW2116" i="2"/>
  <c r="X2124" i="2"/>
  <c r="Y2124" i="2" a="1"/>
  <c r="Y2124" i="2" s="1"/>
  <c r="AY2124" i="2"/>
  <c r="AW2124" i="2"/>
  <c r="X2132" i="2"/>
  <c r="Y2132" i="2" a="1"/>
  <c r="Y2132" i="2" s="1"/>
  <c r="AY2132" i="2"/>
  <c r="AW2132" i="2"/>
  <c r="X2140" i="2"/>
  <c r="AY2140" i="2"/>
  <c r="Y2140" i="2" a="1"/>
  <c r="Y2140" i="2" s="1"/>
  <c r="AW2140" i="2"/>
  <c r="X2148" i="2"/>
  <c r="AY2148" i="2"/>
  <c r="Y2148" i="2" a="1"/>
  <c r="Y2148" i="2" s="1"/>
  <c r="AW2148" i="2"/>
  <c r="X2156" i="2"/>
  <c r="Y2156" i="2" a="1"/>
  <c r="Y2156" i="2" s="1"/>
  <c r="AY2156" i="2"/>
  <c r="AW2156" i="2"/>
  <c r="X2164" i="2"/>
  <c r="Y2164" i="2" a="1"/>
  <c r="Y2164" i="2" s="1"/>
  <c r="AY2164" i="2"/>
  <c r="AW2164" i="2"/>
  <c r="AX2164" i="2"/>
  <c r="X2172" i="2"/>
  <c r="AY2172" i="2"/>
  <c r="AW2172" i="2"/>
  <c r="AX2172" i="2"/>
  <c r="X2180" i="2"/>
  <c r="AY2180" i="2"/>
  <c r="AW2180" i="2"/>
  <c r="AX2180" i="2"/>
  <c r="X2188" i="2"/>
  <c r="AY2188" i="2"/>
  <c r="AW2188" i="2"/>
  <c r="AX2188" i="2"/>
  <c r="X2196" i="2"/>
  <c r="AY2196" i="2"/>
  <c r="AW2196" i="2"/>
  <c r="AX2196" i="2"/>
  <c r="AV2196" i="2"/>
  <c r="X2204" i="2"/>
  <c r="AY2204" i="2"/>
  <c r="AW2204" i="2"/>
  <c r="AX2204" i="2"/>
  <c r="AV2204" i="2"/>
  <c r="X2212" i="2"/>
  <c r="AY2212" i="2"/>
  <c r="AW2212" i="2"/>
  <c r="AX2212" i="2"/>
  <c r="AV2212" i="2"/>
  <c r="X2220" i="2"/>
  <c r="AY2220" i="2"/>
  <c r="AW2220" i="2"/>
  <c r="AX2220" i="2"/>
  <c r="AV2220" i="2"/>
  <c r="X2228" i="2"/>
  <c r="AY2228" i="2"/>
  <c r="AW2228" i="2"/>
  <c r="AX2228" i="2"/>
  <c r="AV2228" i="2"/>
  <c r="X2236" i="2"/>
  <c r="AY2236" i="2"/>
  <c r="AW2236" i="2"/>
  <c r="AX2236" i="2"/>
  <c r="AV2236" i="2"/>
  <c r="AY2244" i="2"/>
  <c r="AW2244" i="2"/>
  <c r="AX2244" i="2"/>
  <c r="AV2244" i="2"/>
  <c r="AY2252" i="2"/>
  <c r="AW2252" i="2"/>
  <c r="AX2252" i="2"/>
  <c r="AV2252" i="2"/>
  <c r="X2260" i="2"/>
  <c r="AY2260" i="2"/>
  <c r="AW2260" i="2"/>
  <c r="AX2260" i="2"/>
  <c r="AV2260" i="2"/>
  <c r="X2268" i="2"/>
  <c r="AY2268" i="2"/>
  <c r="AW2268" i="2"/>
  <c r="AX2268" i="2"/>
  <c r="AV2268" i="2"/>
  <c r="AY2276" i="2"/>
  <c r="AW2276" i="2"/>
  <c r="AX2276" i="2"/>
  <c r="AV2276" i="2"/>
  <c r="X2284" i="2"/>
  <c r="AY2284" i="2"/>
  <c r="AW2284" i="2"/>
  <c r="AX2284" i="2"/>
  <c r="AV2284" i="2"/>
  <c r="X2292" i="2"/>
  <c r="AY2292" i="2"/>
  <c r="AW2292" i="2"/>
  <c r="AX2292" i="2"/>
  <c r="AV2292" i="2"/>
  <c r="X2300" i="2"/>
  <c r="AY2300" i="2"/>
  <c r="AW2300" i="2"/>
  <c r="AX2300" i="2"/>
  <c r="AV2300" i="2"/>
  <c r="AY2308" i="2"/>
  <c r="AW2308" i="2"/>
  <c r="AX2308" i="2"/>
  <c r="AV2308" i="2"/>
  <c r="X2316" i="2"/>
  <c r="AY2316" i="2"/>
  <c r="AW2316" i="2"/>
  <c r="AX2316" i="2"/>
  <c r="AV2316" i="2"/>
  <c r="X2324" i="2"/>
  <c r="AY2324" i="2"/>
  <c r="AW2324" i="2"/>
  <c r="AX2324" i="2"/>
  <c r="AV2324" i="2"/>
  <c r="AY2332" i="2"/>
  <c r="AW2332" i="2"/>
  <c r="AX2332" i="2"/>
  <c r="AV2332" i="2"/>
  <c r="AW2340" i="2"/>
  <c r="AX2340" i="2"/>
  <c r="AV2340" i="2"/>
  <c r="AY2340" i="2"/>
  <c r="AW2348" i="2"/>
  <c r="AX2348" i="2"/>
  <c r="AV2348" i="2"/>
  <c r="AY2348" i="2"/>
  <c r="AW2356" i="2"/>
  <c r="AX2356" i="2"/>
  <c r="AV2356" i="2"/>
  <c r="AY2356" i="2"/>
  <c r="AW2364" i="2"/>
  <c r="AX2364" i="2"/>
  <c r="AV2364" i="2"/>
  <c r="AY2364" i="2"/>
  <c r="AW2372" i="2"/>
  <c r="AX2372" i="2"/>
  <c r="AV2372" i="2"/>
  <c r="AY2372" i="2"/>
  <c r="AW2380" i="2"/>
  <c r="AX2380" i="2"/>
  <c r="AV2380" i="2"/>
  <c r="AY2380" i="2"/>
  <c r="AW2388" i="2"/>
  <c r="AX2388" i="2"/>
  <c r="AV2388" i="2"/>
  <c r="AY2388" i="2"/>
  <c r="AW2396" i="2"/>
  <c r="AX2396" i="2"/>
  <c r="AV2396" i="2"/>
  <c r="AY2396" i="2"/>
  <c r="AW2404" i="2"/>
  <c r="AX2404" i="2"/>
  <c r="AV2404" i="2"/>
  <c r="AY2404" i="2"/>
  <c r="AW2412" i="2"/>
  <c r="AX2412" i="2"/>
  <c r="AV2412" i="2"/>
  <c r="AY2412" i="2"/>
  <c r="AW2420" i="2"/>
  <c r="AX2420" i="2"/>
  <c r="AV2420" i="2"/>
  <c r="AY2420" i="2"/>
  <c r="AV1932" i="2"/>
  <c r="AX1940" i="2"/>
  <c r="AV1996" i="2"/>
  <c r="AX2004" i="2"/>
  <c r="AV2060" i="2"/>
  <c r="AX2068" i="2"/>
  <c r="AV2180" i="2"/>
  <c r="AW2052" i="2"/>
  <c r="AV1924" i="2"/>
  <c r="AX1932" i="2"/>
  <c r="AV1988" i="2"/>
  <c r="AX1996" i="2"/>
  <c r="AV2052" i="2"/>
  <c r="AX2060" i="2"/>
  <c r="AV2172" i="2"/>
  <c r="AW1988" i="2"/>
  <c r="Y2028" i="2" a="1"/>
  <c r="Y2028" i="2" s="1"/>
  <c r="AA1026" i="2"/>
  <c r="AV1860" i="2"/>
  <c r="AV1868" i="2"/>
  <c r="AV1876" i="2"/>
  <c r="AV1884" i="2"/>
  <c r="AV1892" i="2"/>
  <c r="AV1900" i="2"/>
  <c r="AV1908" i="2"/>
  <c r="AV1916" i="2"/>
  <c r="AX1924" i="2"/>
  <c r="AV1980" i="2"/>
  <c r="AX1988" i="2"/>
  <c r="AV2044" i="2"/>
  <c r="AX2052" i="2"/>
  <c r="AV2108" i="2"/>
  <c r="AV2116" i="2"/>
  <c r="AV2124" i="2"/>
  <c r="AV2132" i="2"/>
  <c r="AV2140" i="2"/>
  <c r="AV2148" i="2"/>
  <c r="AV2156" i="2"/>
  <c r="AV2164" i="2"/>
  <c r="AW1924" i="2"/>
  <c r="AX1860" i="2"/>
  <c r="AX1868" i="2"/>
  <c r="AX1876" i="2"/>
  <c r="AX1884" i="2"/>
  <c r="AX1892" i="2"/>
  <c r="AX1900" i="2"/>
  <c r="AX1908" i="2"/>
  <c r="AX1916" i="2"/>
  <c r="AV1972" i="2"/>
  <c r="AX1980" i="2"/>
  <c r="AV2036" i="2"/>
  <c r="AX2044" i="2"/>
  <c r="AV2100" i="2"/>
  <c r="AX2108" i="2"/>
  <c r="AX2116" i="2"/>
  <c r="AX2124" i="2"/>
  <c r="AX2132" i="2"/>
  <c r="AX2140" i="2"/>
  <c r="AX2148" i="2"/>
  <c r="AX2156" i="2"/>
  <c r="AA1197" i="2"/>
  <c r="AV1964" i="2"/>
  <c r="AX1972" i="2"/>
  <c r="AV2028" i="2"/>
  <c r="AX2036" i="2"/>
  <c r="AV2092" i="2"/>
  <c r="AX2100" i="2"/>
  <c r="AV1956" i="2"/>
  <c r="AX1964" i="2"/>
  <c r="AV2020" i="2"/>
  <c r="AX2028" i="2"/>
  <c r="AV2084" i="2"/>
  <c r="AX2092" i="2"/>
  <c r="AB2029" i="2"/>
  <c r="AK2029" i="2" s="1"/>
  <c r="AB2022" i="2"/>
  <c r="AK2022" i="2" s="1"/>
  <c r="AV1948" i="2"/>
  <c r="AX1956" i="2"/>
  <c r="AV2012" i="2"/>
  <c r="AX2020" i="2"/>
  <c r="AV2076" i="2"/>
  <c r="AX2084" i="2"/>
  <c r="X1853" i="2"/>
  <c r="Y1853" i="2" a="1"/>
  <c r="Y1853" i="2" s="1"/>
  <c r="AY1853" i="2"/>
  <c r="X16" i="2"/>
  <c r="X22" i="2"/>
  <c r="X51" i="2"/>
  <c r="X9" i="2"/>
  <c r="X63" i="2"/>
  <c r="X66" i="2"/>
  <c r="X54" i="2"/>
  <c r="X82" i="2"/>
  <c r="X191" i="2"/>
  <c r="X186" i="2"/>
  <c r="X147" i="2"/>
  <c r="X181" i="2"/>
  <c r="X172" i="2"/>
  <c r="X200" i="2"/>
  <c r="X195" i="2"/>
  <c r="X214" i="2"/>
  <c r="X117" i="2"/>
  <c r="X216" i="2"/>
  <c r="AY216" i="2"/>
  <c r="X224" i="2"/>
  <c r="X232" i="2"/>
  <c r="X240" i="2"/>
  <c r="AY240" i="2"/>
  <c r="X248" i="2"/>
  <c r="Y248" i="2" a="1"/>
  <c r="Y248" i="2" s="1"/>
  <c r="X256" i="2"/>
  <c r="AY256" i="2"/>
  <c r="Y256" i="2" a="1"/>
  <c r="Y256" i="2" s="1"/>
  <c r="X264" i="2"/>
  <c r="Y264" i="2" a="1"/>
  <c r="Y264" i="2" s="1"/>
  <c r="AY264" i="2"/>
  <c r="X272" i="2"/>
  <c r="AY272" i="2"/>
  <c r="Y272" i="2" a="1"/>
  <c r="Y272" i="2" s="1"/>
  <c r="X280" i="2"/>
  <c r="Y280" i="2" a="1"/>
  <c r="Y280" i="2" s="1"/>
  <c r="AY280" i="2"/>
  <c r="X288" i="2"/>
  <c r="AY288" i="2"/>
  <c r="Y288" i="2" a="1"/>
  <c r="Y288" i="2" s="1"/>
  <c r="X296" i="2"/>
  <c r="Y296" i="2" a="1"/>
  <c r="Y296" i="2" s="1"/>
  <c r="AY296" i="2"/>
  <c r="X304" i="2"/>
  <c r="AY304" i="2"/>
  <c r="Y304" i="2" a="1"/>
  <c r="Y304" i="2" s="1"/>
  <c r="X312" i="2"/>
  <c r="Y312" i="2" a="1"/>
  <c r="Y312" i="2" s="1"/>
  <c r="X320" i="2"/>
  <c r="AY320" i="2"/>
  <c r="Y320" i="2" a="1"/>
  <c r="Y320" i="2" s="1"/>
  <c r="X328" i="2"/>
  <c r="Y328" i="2" a="1"/>
  <c r="Y328" i="2" s="1"/>
  <c r="AY328" i="2"/>
  <c r="X336" i="2"/>
  <c r="AY336" i="2"/>
  <c r="Y336" i="2" a="1"/>
  <c r="Y336" i="2" s="1"/>
  <c r="X344" i="2"/>
  <c r="Y344" i="2" a="1"/>
  <c r="Y344" i="2" s="1"/>
  <c r="AY344" i="2"/>
  <c r="X352" i="2"/>
  <c r="Y352" i="2" a="1"/>
  <c r="Y352" i="2" s="1"/>
  <c r="AY352" i="2"/>
  <c r="X360" i="2"/>
  <c r="AY360" i="2"/>
  <c r="Y360" i="2" a="1"/>
  <c r="Y360" i="2" s="1"/>
  <c r="X368" i="2"/>
  <c r="AY368" i="2"/>
  <c r="Y368" i="2" a="1"/>
  <c r="Y368" i="2" s="1"/>
  <c r="X384" i="2"/>
  <c r="AY384" i="2"/>
  <c r="Y384" i="2" a="1"/>
  <c r="Y384" i="2" s="1"/>
  <c r="X392" i="2"/>
  <c r="Y392" i="2" a="1"/>
  <c r="Y392" i="2" s="1"/>
  <c r="AY392" i="2"/>
  <c r="X400" i="2"/>
  <c r="AY400" i="2"/>
  <c r="Y400" i="2" a="1"/>
  <c r="Y400" i="2" s="1"/>
  <c r="X416" i="2"/>
  <c r="Y416" i="2" a="1"/>
  <c r="Y416" i="2" s="1"/>
  <c r="X440" i="2"/>
  <c r="AY440" i="2"/>
  <c r="Y440" i="2" a="1"/>
  <c r="Y440" i="2" s="1"/>
  <c r="X448" i="2"/>
  <c r="AY448" i="2"/>
  <c r="X456" i="2"/>
  <c r="Y456" i="2" a="1"/>
  <c r="Y456" i="2" s="1"/>
  <c r="AY456" i="2"/>
  <c r="X464" i="2"/>
  <c r="AY464" i="2"/>
  <c r="Y464" i="2" a="1"/>
  <c r="Y464" i="2" s="1"/>
  <c r="X472" i="2"/>
  <c r="Y472" i="2" a="1"/>
  <c r="Y472" i="2" s="1"/>
  <c r="AY472" i="2"/>
  <c r="X504" i="2"/>
  <c r="AY504" i="2"/>
  <c r="X512" i="2"/>
  <c r="Y512" i="2" a="1"/>
  <c r="Y512" i="2" s="1"/>
  <c r="X520" i="2"/>
  <c r="Y520" i="2" a="1"/>
  <c r="Y520" i="2" s="1"/>
  <c r="AY520" i="2"/>
  <c r="X528" i="2"/>
  <c r="Y528" i="2" a="1"/>
  <c r="Y528" i="2" s="1"/>
  <c r="AY528" i="2"/>
  <c r="X536" i="2"/>
  <c r="Y536" i="2" a="1"/>
  <c r="Y536" i="2" s="1"/>
  <c r="AY536" i="2"/>
  <c r="X543" i="2"/>
  <c r="AY543" i="2"/>
  <c r="Y543" i="2" a="1"/>
  <c r="Y543" i="2" s="1"/>
  <c r="AW543" i="2"/>
  <c r="X551" i="2"/>
  <c r="AY551" i="2"/>
  <c r="AW551" i="2"/>
  <c r="X559" i="2"/>
  <c r="Y559" i="2" a="1"/>
  <c r="Y559" i="2" s="1"/>
  <c r="AY559" i="2"/>
  <c r="X615" i="2"/>
  <c r="Y615" i="2" a="1"/>
  <c r="Y615" i="2" s="1"/>
  <c r="AY615" i="2"/>
  <c r="X623" i="2"/>
  <c r="AY623" i="2"/>
  <c r="X631" i="2"/>
  <c r="AY631" i="2"/>
  <c r="Y631" i="2" a="1"/>
  <c r="Y631" i="2" s="1"/>
  <c r="X639" i="2"/>
  <c r="AY639" i="2"/>
  <c r="Y639" i="2" a="1"/>
  <c r="Y639" i="2" s="1"/>
  <c r="X647" i="2"/>
  <c r="Y647" i="2" a="1"/>
  <c r="Y647" i="2" s="1"/>
  <c r="AY647" i="2"/>
  <c r="X663" i="2"/>
  <c r="AY663" i="2"/>
  <c r="X671" i="2"/>
  <c r="AY671" i="2"/>
  <c r="Y671" i="2" a="1"/>
  <c r="Y671" i="2" s="1"/>
  <c r="X679" i="2"/>
  <c r="AY679" i="2"/>
  <c r="X687" i="2"/>
  <c r="Y687" i="2" a="1"/>
  <c r="Y687" i="2" s="1"/>
  <c r="AY687" i="2"/>
  <c r="X703" i="2"/>
  <c r="Y703" i="2" a="1"/>
  <c r="Y703" i="2" s="1"/>
  <c r="AY703" i="2"/>
  <c r="X711" i="2"/>
  <c r="Y711" i="2" a="1"/>
  <c r="Y711" i="2" s="1"/>
  <c r="X719" i="2"/>
  <c r="Y719" i="2" a="1"/>
  <c r="Y719" i="2" s="1"/>
  <c r="AY719" i="2"/>
  <c r="X727" i="2"/>
  <c r="AY727" i="2"/>
  <c r="X735" i="2"/>
  <c r="Y735" i="2" a="1"/>
  <c r="Y735" i="2" s="1"/>
  <c r="AY735" i="2"/>
  <c r="X743" i="2"/>
  <c r="AY743" i="2"/>
  <c r="Y743" i="2" a="1"/>
  <c r="Y743" i="2" s="1"/>
  <c r="X751" i="2"/>
  <c r="Y751" i="2" a="1"/>
  <c r="Y751" i="2" s="1"/>
  <c r="X759" i="2"/>
  <c r="AY759" i="2"/>
  <c r="X767" i="2"/>
  <c r="Y767" i="2" a="1"/>
  <c r="Y767" i="2" s="1"/>
  <c r="AY767" i="2"/>
  <c r="X775" i="2"/>
  <c r="AY775" i="2"/>
  <c r="Y775" i="2" a="1"/>
  <c r="Y775" i="2" s="1"/>
  <c r="X783" i="2"/>
  <c r="AY783" i="2"/>
  <c r="Y783" i="2" a="1"/>
  <c r="Y783" i="2" s="1"/>
  <c r="X791" i="2"/>
  <c r="Y791" i="2" a="1"/>
  <c r="Y791" i="2" s="1"/>
  <c r="AY791" i="2"/>
  <c r="X823" i="2"/>
  <c r="Y823" i="2" a="1"/>
  <c r="Y823" i="2" s="1"/>
  <c r="X847" i="2"/>
  <c r="AY847" i="2"/>
  <c r="Y847" i="2" a="1"/>
  <c r="Y847" i="2" s="1"/>
  <c r="X895" i="2"/>
  <c r="Y895" i="2" a="1"/>
  <c r="Y895" i="2" s="1"/>
  <c r="AY895" i="2"/>
  <c r="X903" i="2"/>
  <c r="AY903" i="2"/>
  <c r="Y903" i="2" a="1"/>
  <c r="Y903" i="2" s="1"/>
  <c r="X911" i="2"/>
  <c r="AY911" i="2"/>
  <c r="Y911" i="2" a="1"/>
  <c r="Y911" i="2" s="1"/>
  <c r="X919" i="2"/>
  <c r="AY919" i="2"/>
  <c r="Y919" i="2" a="1"/>
  <c r="Y919" i="2" s="1"/>
  <c r="X927" i="2"/>
  <c r="AY927" i="2"/>
  <c r="Y927" i="2" a="1"/>
  <c r="Y927" i="2" s="1"/>
  <c r="X935" i="2"/>
  <c r="Y935" i="2" a="1"/>
  <c r="Y935" i="2" s="1"/>
  <c r="AY935" i="2"/>
  <c r="X943" i="2"/>
  <c r="AY943" i="2"/>
  <c r="Y943" i="2" a="1"/>
  <c r="Y943" i="2" s="1"/>
  <c r="X951" i="2"/>
  <c r="AY951" i="2"/>
  <c r="Y951" i="2" a="1"/>
  <c r="Y951" i="2" s="1"/>
  <c r="X959" i="2"/>
  <c r="AY959" i="2"/>
  <c r="Y959" i="2" a="1"/>
  <c r="Y959" i="2" s="1"/>
  <c r="X967" i="2"/>
  <c r="AY967" i="2"/>
  <c r="Y967" i="2" a="1"/>
  <c r="Y967" i="2" s="1"/>
  <c r="X975" i="2"/>
  <c r="Y975" i="2" a="1"/>
  <c r="Y975" i="2" s="1"/>
  <c r="AY975" i="2"/>
  <c r="X983" i="2"/>
  <c r="AY983" i="2"/>
  <c r="Y983" i="2" a="1"/>
  <c r="Y983" i="2" s="1"/>
  <c r="X991" i="2"/>
  <c r="Y991" i="2" a="1"/>
  <c r="Y991" i="2" s="1"/>
  <c r="AY991" i="2"/>
  <c r="X999" i="2"/>
  <c r="AY999" i="2"/>
  <c r="Y999" i="2" a="1"/>
  <c r="Y999" i="2" s="1"/>
  <c r="X1007" i="2"/>
  <c r="AY1007" i="2"/>
  <c r="X1015" i="2"/>
  <c r="AY1015" i="2"/>
  <c r="Y1015" i="2" a="1"/>
  <c r="Y1015" i="2" s="1"/>
  <c r="X1039" i="2"/>
  <c r="AY1039" i="2"/>
  <c r="Y1039" i="2" a="1"/>
  <c r="Y1039" i="2" s="1"/>
  <c r="X1047" i="2"/>
  <c r="AY1047" i="2"/>
  <c r="Y1047" i="2" a="1"/>
  <c r="Y1047" i="2" s="1"/>
  <c r="X1055" i="2"/>
  <c r="AY1055" i="2"/>
  <c r="Y1055" i="2" a="1"/>
  <c r="Y1055" i="2" s="1"/>
  <c r="X1063" i="2"/>
  <c r="AY1063" i="2"/>
  <c r="Y1063" i="2" a="1"/>
  <c r="Y1063" i="2" s="1"/>
  <c r="X1071" i="2"/>
  <c r="AY1071" i="2"/>
  <c r="Y1071" i="2" a="1"/>
  <c r="Y1071" i="2" s="1"/>
  <c r="X1079" i="2"/>
  <c r="Y1079" i="2" a="1"/>
  <c r="Y1079" i="2" s="1"/>
  <c r="AY1079" i="2"/>
  <c r="X1087" i="2"/>
  <c r="AY1087" i="2"/>
  <c r="Y1087" i="2" a="1"/>
  <c r="Y1087" i="2" s="1"/>
  <c r="X1095" i="2"/>
  <c r="AY1095" i="2"/>
  <c r="Y1095" i="2" a="1"/>
  <c r="Y1095" i="2" s="1"/>
  <c r="X1135" i="2"/>
  <c r="Y1135" i="2" a="1"/>
  <c r="Y1135" i="2" s="1"/>
  <c r="X1143" i="2"/>
  <c r="AY1143" i="2"/>
  <c r="Y1143" i="2" a="1"/>
  <c r="Y1143" i="2" s="1"/>
  <c r="X1151" i="2"/>
  <c r="Y1151" i="2" a="1"/>
  <c r="Y1151" i="2" s="1"/>
  <c r="AY1151" i="2"/>
  <c r="X1159" i="2"/>
  <c r="AY1159" i="2"/>
  <c r="Y1159" i="2" a="1"/>
  <c r="Y1159" i="2" s="1"/>
  <c r="X1167" i="2"/>
  <c r="AY1167" i="2"/>
  <c r="Y1167" i="2" a="1"/>
  <c r="Y1167" i="2" s="1"/>
  <c r="X1175" i="2"/>
  <c r="Y1175" i="2" a="1"/>
  <c r="Y1175" i="2" s="1"/>
  <c r="AY1175" i="2"/>
  <c r="X1183" i="2"/>
  <c r="Y1183" i="2" a="1"/>
  <c r="Y1183" i="2" s="1"/>
  <c r="AY1183" i="2"/>
  <c r="X1199" i="2"/>
  <c r="AY1199" i="2"/>
  <c r="Y1199" i="2" a="1"/>
  <c r="Y1199" i="2" s="1"/>
  <c r="X1207" i="2"/>
  <c r="Y1207" i="2" a="1"/>
  <c r="Y1207" i="2" s="1"/>
  <c r="X1215" i="2"/>
  <c r="AY1215" i="2"/>
  <c r="X1223" i="2"/>
  <c r="Y1223" i="2" a="1"/>
  <c r="Y1223" i="2" s="1"/>
  <c r="AY1223" i="2"/>
  <c r="X1231" i="2"/>
  <c r="AY1231" i="2"/>
  <c r="Y1231" i="2" a="1"/>
  <c r="Y1231" i="2" s="1"/>
  <c r="X1239" i="2"/>
  <c r="Y1239" i="2" a="1"/>
  <c r="Y1239" i="2" s="1"/>
  <c r="AY1239" i="2"/>
  <c r="X1247" i="2"/>
  <c r="AY1247" i="2"/>
  <c r="Y1247" i="2" a="1"/>
  <c r="Y1247" i="2" s="1"/>
  <c r="X1255" i="2"/>
  <c r="AY1255" i="2"/>
  <c r="X1263" i="2"/>
  <c r="Y1263" i="2" a="1"/>
  <c r="Y1263" i="2" s="1"/>
  <c r="X1271" i="2"/>
  <c r="Y1271" i="2" a="1"/>
  <c r="Y1271" i="2" s="1"/>
  <c r="AY1271" i="2"/>
  <c r="X1279" i="2"/>
  <c r="Y1279" i="2" a="1"/>
  <c r="Y1279" i="2" s="1"/>
  <c r="AY1279" i="2"/>
  <c r="X1287" i="2"/>
  <c r="AY1287" i="2"/>
  <c r="Y1287" i="2" a="1"/>
  <c r="Y1287" i="2" s="1"/>
  <c r="X1295" i="2"/>
  <c r="Y1295" i="2" a="1"/>
  <c r="Y1295" i="2" s="1"/>
  <c r="AY1295" i="2"/>
  <c r="X1303" i="2"/>
  <c r="AY1303" i="2"/>
  <c r="Y1303" i="2" a="1"/>
  <c r="Y1303" i="2" s="1"/>
  <c r="X1311" i="2"/>
  <c r="AY1311" i="2"/>
  <c r="Y1311" i="2" a="1"/>
  <c r="Y1311" i="2" s="1"/>
  <c r="X1319" i="2"/>
  <c r="AY1319" i="2"/>
  <c r="X1327" i="2"/>
  <c r="Y1327" i="2" a="1"/>
  <c r="Y1327" i="2" s="1"/>
  <c r="X1335" i="2"/>
  <c r="Y1335" i="2" a="1"/>
  <c r="Y1335" i="2" s="1"/>
  <c r="AY1335" i="2"/>
  <c r="X1343" i="2"/>
  <c r="Y1343" i="2" a="1"/>
  <c r="Y1343" i="2" s="1"/>
  <c r="AY1343" i="2"/>
  <c r="X1447" i="2"/>
  <c r="AY1447" i="2"/>
  <c r="Y1447" i="2" a="1"/>
  <c r="Y1447" i="2" s="1"/>
  <c r="X1455" i="2"/>
  <c r="Y1455" i="2" a="1"/>
  <c r="Y1455" i="2" s="1"/>
  <c r="X1463" i="2"/>
  <c r="AY1463" i="2"/>
  <c r="X1471" i="2"/>
  <c r="Y1471" i="2" a="1"/>
  <c r="Y1471" i="2" s="1"/>
  <c r="AY1471" i="2"/>
  <c r="X1487" i="2"/>
  <c r="Y1487" i="2" a="1"/>
  <c r="Y1487" i="2" s="1"/>
  <c r="AY1487" i="2"/>
  <c r="X1495" i="2"/>
  <c r="AY1495" i="2"/>
  <c r="Y1495" i="2" a="1"/>
  <c r="Y1495" i="2" s="1"/>
  <c r="X1503" i="2"/>
  <c r="AY1503" i="2"/>
  <c r="Y1503" i="2" a="1"/>
  <c r="Y1503" i="2" s="1"/>
  <c r="X1519" i="2"/>
  <c r="Y1519" i="2" a="1"/>
  <c r="Y1519" i="2" s="1"/>
  <c r="X1527" i="2"/>
  <c r="Y1527" i="2" a="1"/>
  <c r="Y1527" i="2" s="1"/>
  <c r="AY1527" i="2"/>
  <c r="X1535" i="2"/>
  <c r="Y1535" i="2" a="1"/>
  <c r="Y1535" i="2" s="1"/>
  <c r="AY1535" i="2"/>
  <c r="X1543" i="2"/>
  <c r="Y1543" i="2" a="1"/>
  <c r="Y1543" i="2" s="1"/>
  <c r="AY1543" i="2"/>
  <c r="X1551" i="2"/>
  <c r="Y1551" i="2" a="1"/>
  <c r="Y1551" i="2" s="1"/>
  <c r="AY1551" i="2"/>
  <c r="X1559" i="2"/>
  <c r="Y1559" i="2" a="1"/>
  <c r="Y1559" i="2" s="1"/>
  <c r="AY1559" i="2"/>
  <c r="X1567" i="2"/>
  <c r="Y1567" i="2" a="1"/>
  <c r="Y1567" i="2" s="1"/>
  <c r="AY1567" i="2"/>
  <c r="X1575" i="2"/>
  <c r="Y1575" i="2" a="1"/>
  <c r="Y1575" i="2" s="1"/>
  <c r="AY1575" i="2"/>
  <c r="X1591" i="2"/>
  <c r="Y1591" i="2" a="1"/>
  <c r="Y1591" i="2" s="1"/>
  <c r="AY1591" i="2"/>
  <c r="X1599" i="2"/>
  <c r="AY1599" i="2"/>
  <c r="X1607" i="2"/>
  <c r="Y1607" i="2" a="1"/>
  <c r="Y1607" i="2" s="1"/>
  <c r="AY1607" i="2"/>
  <c r="X1615" i="2"/>
  <c r="Y1615" i="2" a="1"/>
  <c r="Y1615" i="2" s="1"/>
  <c r="AY1615" i="2"/>
  <c r="X1623" i="2"/>
  <c r="Y1623" i="2" a="1"/>
  <c r="Y1623" i="2" s="1"/>
  <c r="AY1623" i="2"/>
  <c r="X1631" i="2"/>
  <c r="Y1631" i="2" a="1"/>
  <c r="Y1631" i="2" s="1"/>
  <c r="AY1631" i="2"/>
  <c r="X1639" i="2"/>
  <c r="AY1639" i="2"/>
  <c r="X1647" i="2"/>
  <c r="Y1647" i="2" a="1"/>
  <c r="Y1647" i="2" s="1"/>
  <c r="AY1647" i="2"/>
  <c r="X1655" i="2"/>
  <c r="Y1655" i="2" a="1"/>
  <c r="Y1655" i="2" s="1"/>
  <c r="AY1655" i="2"/>
  <c r="X1679" i="2"/>
  <c r="AY1679" i="2"/>
  <c r="X1687" i="2"/>
  <c r="Y1687" i="2" a="1"/>
  <c r="Y1687" i="2" s="1"/>
  <c r="AY1687" i="2"/>
  <c r="X1695" i="2"/>
  <c r="Y1695" i="2" a="1"/>
  <c r="Y1695" i="2" s="1"/>
  <c r="AY1695" i="2"/>
  <c r="X1703" i="2"/>
  <c r="Y1703" i="2" a="1"/>
  <c r="Y1703" i="2" s="1"/>
  <c r="AY1703" i="2"/>
  <c r="X1743" i="2"/>
  <c r="Y1743" i="2" a="1"/>
  <c r="Y1743" i="2" s="1"/>
  <c r="AY1743" i="2"/>
  <c r="X1782" i="2"/>
  <c r="AY1782" i="2"/>
  <c r="X1806" i="2"/>
  <c r="Y1806" i="2" a="1"/>
  <c r="Y1806" i="2" s="1"/>
  <c r="AY1806" i="2"/>
  <c r="X1814" i="2"/>
  <c r="Y1814" i="2" a="1"/>
  <c r="Y1814" i="2" s="1"/>
  <c r="AY1814" i="2"/>
  <c r="X1822" i="2"/>
  <c r="Y1822" i="2" a="1"/>
  <c r="Y1822" i="2" s="1"/>
  <c r="AY1822" i="2"/>
  <c r="X1830" i="2"/>
  <c r="Y1830" i="2" a="1"/>
  <c r="Y1830" i="2" s="1"/>
  <c r="AY1830" i="2"/>
  <c r="X1838" i="2"/>
  <c r="Y1838" i="2" a="1"/>
  <c r="Y1838" i="2" s="1"/>
  <c r="AY1838" i="2"/>
  <c r="Y240" i="2" a="1"/>
  <c r="Y240" i="2" s="1"/>
  <c r="Y504" i="2" a="1"/>
  <c r="Y504" i="2" s="1"/>
  <c r="Y448" i="2" a="1"/>
  <c r="Y448" i="2" s="1"/>
  <c r="Y551" i="2" a="1"/>
  <c r="Y551" i="2" s="1"/>
  <c r="AY312" i="2"/>
  <c r="AB2010" i="2"/>
  <c r="AK2010" i="2" s="1"/>
  <c r="AB1052" i="2"/>
  <c r="AK1052" i="2" s="1"/>
  <c r="AA2419" i="2"/>
  <c r="AB2236" i="2"/>
  <c r="AK2236" i="2" s="1"/>
  <c r="AA1058" i="2"/>
  <c r="AB760" i="2"/>
  <c r="AK760" i="2" s="1"/>
  <c r="AB2212" i="2"/>
  <c r="AK2212" i="2" s="1"/>
  <c r="AA1533" i="2"/>
  <c r="AB1279" i="2"/>
  <c r="AK1279" i="2" s="1"/>
  <c r="AB270" i="2"/>
  <c r="AB1586" i="2"/>
  <c r="AK1586" i="2" s="1"/>
  <c r="AA718" i="2"/>
  <c r="AB624" i="2"/>
  <c r="AK624" i="2" s="1"/>
  <c r="AB2273" i="2"/>
  <c r="AK2273" i="2" s="1"/>
  <c r="AB1970" i="2"/>
  <c r="AK1970" i="2" s="1"/>
  <c r="AB1766" i="2"/>
  <c r="AK1766" i="2" s="1"/>
  <c r="AA1300" i="2"/>
  <c r="AJ1300" i="2" s="1"/>
  <c r="AB1119" i="2"/>
  <c r="AK1119" i="2" s="1"/>
  <c r="AA1072" i="2"/>
  <c r="AJ1072" i="2" s="1"/>
  <c r="AA856" i="2"/>
  <c r="AJ856" i="2" s="1"/>
  <c r="AB369" i="2"/>
  <c r="AK369" i="2" s="1"/>
  <c r="AV578" i="2"/>
  <c r="AV610" i="2"/>
  <c r="AV1926" i="2"/>
  <c r="AV1934" i="2"/>
  <c r="AV1942" i="2"/>
  <c r="AV1950" i="2"/>
  <c r="AV1958" i="2"/>
  <c r="AV1966" i="2"/>
  <c r="AV1974" i="2"/>
  <c r="AV1982" i="2"/>
  <c r="AV1990" i="2"/>
  <c r="AV1998" i="2"/>
  <c r="AV2006" i="2"/>
  <c r="AV2014" i="2"/>
  <c r="AV2022" i="2"/>
  <c r="AV2030" i="2"/>
  <c r="AV2038" i="2"/>
  <c r="AV2046" i="2"/>
  <c r="AV2054" i="2"/>
  <c r="AV2062" i="2"/>
  <c r="AV2070" i="2"/>
  <c r="AV2078" i="2"/>
  <c r="AV2086" i="2"/>
  <c r="AV2102" i="2"/>
  <c r="AY578" i="2"/>
  <c r="X617" i="2"/>
  <c r="AY617" i="2"/>
  <c r="X625" i="2"/>
  <c r="AY625" i="2"/>
  <c r="Y625" i="2" a="1"/>
  <c r="Y625" i="2" s="1"/>
  <c r="X641" i="2"/>
  <c r="Y641" i="2" a="1"/>
  <c r="Y641" i="2" s="1"/>
  <c r="AY641" i="2"/>
  <c r="X649" i="2"/>
  <c r="AY649" i="2"/>
  <c r="Y649" i="2" a="1"/>
  <c r="Y649" i="2" s="1"/>
  <c r="X657" i="2"/>
  <c r="Y657" i="2" a="1"/>
  <c r="Y657" i="2" s="1"/>
  <c r="X2149" i="2"/>
  <c r="Y2149" i="2" a="1"/>
  <c r="Y2149" i="2" s="1"/>
  <c r="X2244" i="2"/>
  <c r="Y2244" i="2" a="1"/>
  <c r="Y2244" i="2" s="1"/>
  <c r="X2276" i="2"/>
  <c r="Y2276" i="2" a="1"/>
  <c r="Y2276" i="2" s="1"/>
  <c r="X2308" i="2"/>
  <c r="Y2308" i="2" a="1"/>
  <c r="Y2308" i="2" s="1"/>
  <c r="X586" i="2"/>
  <c r="AY586" i="2"/>
  <c r="Y586" i="2" a="1"/>
  <c r="Y586" i="2" s="1"/>
  <c r="X594" i="2"/>
  <c r="AY594" i="2"/>
  <c r="Y594" i="2" a="1"/>
  <c r="Y594" i="2" s="1"/>
  <c r="X602" i="2"/>
  <c r="AY602" i="2"/>
  <c r="Y602" i="2" a="1"/>
  <c r="Y602" i="2" s="1"/>
  <c r="X1918" i="2"/>
  <c r="Y1918" i="2" a="1"/>
  <c r="Y1918" i="2" s="1"/>
  <c r="X2094" i="2"/>
  <c r="Y2094" i="2" a="1"/>
  <c r="Y2094" i="2" s="1"/>
  <c r="AA1999" i="2"/>
  <c r="AB1750" i="2"/>
  <c r="AK1750" i="2" s="1"/>
  <c r="AA1539" i="2"/>
  <c r="AJ1539" i="2" s="1"/>
  <c r="AB1384" i="2"/>
  <c r="AK1384" i="2" s="1"/>
  <c r="AB322" i="2"/>
  <c r="AK322" i="2" s="1"/>
  <c r="AA315" i="2"/>
  <c r="AJ315" i="2" s="1"/>
  <c r="X301" i="2"/>
  <c r="AY301" i="2"/>
  <c r="Y301" i="2" a="1"/>
  <c r="Y301" i="2" s="1"/>
  <c r="X325" i="2"/>
  <c r="Y325" i="2" a="1"/>
  <c r="Y325" i="2" s="1"/>
  <c r="AY325" i="2"/>
  <c r="X341" i="2"/>
  <c r="AY341" i="2"/>
  <c r="Y341" i="2" a="1"/>
  <c r="Y341" i="2" s="1"/>
  <c r="X349" i="2"/>
  <c r="AY349" i="2"/>
  <c r="Y349" i="2" a="1"/>
  <c r="Y349" i="2" s="1"/>
  <c r="X357" i="2"/>
  <c r="Y357" i="2" a="1"/>
  <c r="Y357" i="2" s="1"/>
  <c r="X365" i="2"/>
  <c r="Y365" i="2" a="1"/>
  <c r="Y365" i="2" s="1"/>
  <c r="AY365" i="2"/>
  <c r="X373" i="2"/>
  <c r="Y373" i="2" a="1"/>
  <c r="Y373" i="2" s="1"/>
  <c r="AY373" i="2"/>
  <c r="X381" i="2"/>
  <c r="AY381" i="2"/>
  <c r="X389" i="2"/>
  <c r="Y389" i="2" a="1"/>
  <c r="Y389" i="2" s="1"/>
  <c r="X397" i="2"/>
  <c r="AY397" i="2"/>
  <c r="Y397" i="2" a="1"/>
  <c r="Y397" i="2" s="1"/>
  <c r="X412" i="2"/>
  <c r="AY412" i="2"/>
  <c r="X420" i="2"/>
  <c r="AY420" i="2"/>
  <c r="Y420" i="2" a="1"/>
  <c r="Y420" i="2" s="1"/>
  <c r="X428" i="2"/>
  <c r="Y428" i="2" a="1"/>
  <c r="Y428" i="2" s="1"/>
  <c r="AY428" i="2"/>
  <c r="X436" i="2"/>
  <c r="AY436" i="2"/>
  <c r="X444" i="2"/>
  <c r="Y444" i="2" a="1"/>
  <c r="Y444" i="2" s="1"/>
  <c r="AY444" i="2"/>
  <c r="X452" i="2"/>
  <c r="Y452" i="2" a="1"/>
  <c r="Y452" i="2" s="1"/>
  <c r="AY452" i="2"/>
  <c r="X460" i="2"/>
  <c r="AY460" i="2"/>
  <c r="X468" i="2"/>
  <c r="AY468" i="2"/>
  <c r="Y468" i="2" a="1"/>
  <c r="Y468" i="2" s="1"/>
  <c r="X484" i="2"/>
  <c r="Y484" i="2" a="1"/>
  <c r="Y484" i="2" s="1"/>
  <c r="AY484" i="2"/>
  <c r="X492" i="2"/>
  <c r="Y492" i="2" a="1"/>
  <c r="Y492" i="2" s="1"/>
  <c r="AY492" i="2"/>
  <c r="X500" i="2"/>
  <c r="Y500" i="2" a="1"/>
  <c r="Y500" i="2" s="1"/>
  <c r="AY500" i="2"/>
  <c r="X563" i="2"/>
  <c r="Y563" i="2" a="1"/>
  <c r="Y563" i="2" s="1"/>
  <c r="AY563" i="2"/>
  <c r="X571" i="2"/>
  <c r="Y571" i="2" a="1"/>
  <c r="Y571" i="2" s="1"/>
  <c r="AY571" i="2"/>
  <c r="X1887" i="2"/>
  <c r="Y1887" i="2" a="1"/>
  <c r="Y1887" i="2" s="1"/>
  <c r="X1895" i="2"/>
  <c r="Y1895" i="2" a="1"/>
  <c r="Y1895" i="2" s="1"/>
  <c r="X1911" i="2"/>
  <c r="Y1911" i="2" a="1"/>
  <c r="Y1911" i="2" s="1"/>
  <c r="AA2397" i="2"/>
  <c r="AJ2397" i="2" s="1"/>
  <c r="AB2105" i="2"/>
  <c r="AK2105" i="2" s="1"/>
  <c r="AB1606" i="2"/>
  <c r="AK1606" i="2" s="1"/>
  <c r="AA1591" i="2"/>
  <c r="AA1437" i="2"/>
  <c r="AA351" i="2"/>
  <c r="AJ351" i="2" s="1"/>
  <c r="AB344" i="2"/>
  <c r="AK344" i="2" s="1"/>
  <c r="AW2102" i="2"/>
  <c r="AW2094" i="2"/>
  <c r="AW2086" i="2"/>
  <c r="AW2078" i="2"/>
  <c r="AW2070" i="2"/>
  <c r="AW2062" i="2"/>
  <c r="AW2054" i="2"/>
  <c r="AW2046" i="2"/>
  <c r="AW2038" i="2"/>
  <c r="AW2030" i="2"/>
  <c r="AW2022" i="2"/>
  <c r="AW2014" i="2"/>
  <c r="AW2006" i="2"/>
  <c r="AW1998" i="2"/>
  <c r="AW1990" i="2"/>
  <c r="AW1982" i="2"/>
  <c r="AW1974" i="2"/>
  <c r="AW1966" i="2"/>
  <c r="AW1958" i="2"/>
  <c r="AW1950" i="2"/>
  <c r="AW1942" i="2"/>
  <c r="AW1934" i="2"/>
  <c r="AW1926" i="2"/>
  <c r="AW1918" i="2"/>
  <c r="AY2102" i="2"/>
  <c r="AY2094" i="2"/>
  <c r="AY2086" i="2"/>
  <c r="AY2046" i="2"/>
  <c r="AY1982" i="2"/>
  <c r="AY1918" i="2"/>
  <c r="Y578" i="2" a="1"/>
  <c r="Y578" i="2" s="1"/>
  <c r="X1628" i="2"/>
  <c r="Y1628" i="2" a="1"/>
  <c r="Y1628" i="2" s="1"/>
  <c r="X1636" i="2"/>
  <c r="Y1636" i="2" a="1"/>
  <c r="Y1636" i="2" s="1"/>
  <c r="X1644" i="2"/>
  <c r="Y1644" i="2" a="1"/>
  <c r="Y1644" i="2" s="1"/>
  <c r="X1652" i="2"/>
  <c r="Y1652" i="2" a="1"/>
  <c r="Y1652" i="2" s="1"/>
  <c r="X1660" i="2"/>
  <c r="Y1660" i="2" a="1"/>
  <c r="Y1660" i="2" s="1"/>
  <c r="X1668" i="2"/>
  <c r="Y1668" i="2" a="1"/>
  <c r="Y1668" i="2" s="1"/>
  <c r="X1676" i="2"/>
  <c r="Y1676" i="2" a="1"/>
  <c r="Y1676" i="2" s="1"/>
  <c r="X1684" i="2"/>
  <c r="Y1684" i="2" a="1"/>
  <c r="Y1684" i="2" s="1"/>
  <c r="X1692" i="2"/>
  <c r="Y1692" i="2" a="1"/>
  <c r="Y1692" i="2" s="1"/>
  <c r="X1716" i="2"/>
  <c r="Y1716" i="2" a="1"/>
  <c r="Y1716" i="2" s="1"/>
  <c r="X1724" i="2"/>
  <c r="Y1724" i="2" a="1"/>
  <c r="Y1724" i="2" s="1"/>
  <c r="X1740" i="2"/>
  <c r="Y1740" i="2" a="1"/>
  <c r="Y1740" i="2" s="1"/>
  <c r="X1755" i="2"/>
  <c r="Y1755" i="2" a="1"/>
  <c r="Y1755" i="2" s="1"/>
  <c r="X1771" i="2"/>
  <c r="Y1771" i="2" a="1"/>
  <c r="Y1771" i="2" s="1"/>
  <c r="X1786" i="2"/>
  <c r="Y1786" i="2" a="1"/>
  <c r="Y1786" i="2" s="1"/>
  <c r="X1794" i="2"/>
  <c r="Y1794" i="2" a="1"/>
  <c r="Y1794" i="2" s="1"/>
  <c r="X1810" i="2"/>
  <c r="Y1810" i="2" a="1"/>
  <c r="Y1810" i="2" s="1"/>
  <c r="X1826" i="2"/>
  <c r="Y1826" i="2" a="1"/>
  <c r="Y1826" i="2" s="1"/>
  <c r="X1849" i="2"/>
  <c r="Y1849" i="2" a="1"/>
  <c r="Y1849" i="2" s="1"/>
  <c r="X1872" i="2"/>
  <c r="Y1872" i="2" a="1"/>
  <c r="Y1872" i="2" s="1"/>
  <c r="X1880" i="2"/>
  <c r="Y1880" i="2" a="1"/>
  <c r="Y1880" i="2" s="1"/>
  <c r="Y610" i="2" a="1"/>
  <c r="Y610" i="2" s="1"/>
  <c r="X1197" i="2"/>
  <c r="AY1197" i="2"/>
  <c r="Y1197" i="2" a="1"/>
  <c r="Y1197" i="2" s="1"/>
  <c r="X1205" i="2"/>
  <c r="AY1205" i="2"/>
  <c r="X1213" i="2"/>
  <c r="AY1213" i="2"/>
  <c r="Y1213" i="2" a="1"/>
  <c r="Y1213" i="2" s="1"/>
  <c r="X1229" i="2"/>
  <c r="AY1229" i="2"/>
  <c r="X1237" i="2"/>
  <c r="Y1237" i="2" a="1"/>
  <c r="Y1237" i="2" s="1"/>
  <c r="AY1237" i="2"/>
  <c r="X1245" i="2"/>
  <c r="Y1245" i="2" a="1"/>
  <c r="Y1245" i="2" s="1"/>
  <c r="AY1245" i="2"/>
  <c r="X1253" i="2"/>
  <c r="AY1253" i="2"/>
  <c r="X1261" i="2"/>
  <c r="AY1261" i="2"/>
  <c r="X1269" i="2"/>
  <c r="AY1269" i="2"/>
  <c r="X1277" i="2"/>
  <c r="AY1277" i="2"/>
  <c r="X1285" i="2"/>
  <c r="Y1285" i="2" a="1"/>
  <c r="Y1285" i="2" s="1"/>
  <c r="AY1285" i="2"/>
  <c r="X1293" i="2"/>
  <c r="AY1293" i="2"/>
  <c r="X1301" i="2"/>
  <c r="AY1301" i="2"/>
  <c r="X1309" i="2"/>
  <c r="AY1309" i="2"/>
  <c r="X1317" i="2"/>
  <c r="AY1317" i="2"/>
  <c r="X1325" i="2"/>
  <c r="AY1325" i="2"/>
  <c r="X1333" i="2"/>
  <c r="AY1333" i="2"/>
  <c r="X1341" i="2"/>
  <c r="AY1341" i="2"/>
  <c r="X1349" i="2"/>
  <c r="Y1349" i="2" a="1"/>
  <c r="Y1349" i="2" s="1"/>
  <c r="AY1349" i="2"/>
  <c r="X1357" i="2"/>
  <c r="AY1357" i="2"/>
  <c r="X1365" i="2"/>
  <c r="AY1365" i="2"/>
  <c r="X1373" i="2"/>
  <c r="AY1373" i="2"/>
  <c r="X1381" i="2"/>
  <c r="AY1381" i="2"/>
  <c r="X1389" i="2"/>
  <c r="AY1389" i="2"/>
  <c r="X1397" i="2"/>
  <c r="AY1397" i="2"/>
  <c r="X1405" i="2"/>
  <c r="AY1405" i="2"/>
  <c r="X1413" i="2"/>
  <c r="AY1413" i="2"/>
  <c r="X1421" i="2"/>
  <c r="AY1421" i="2"/>
  <c r="X1429" i="2"/>
  <c r="AY1429" i="2"/>
  <c r="X1437" i="2"/>
  <c r="AY1437" i="2"/>
  <c r="X1445" i="2"/>
  <c r="AY1445" i="2"/>
  <c r="X1461" i="2"/>
  <c r="AY1461" i="2"/>
  <c r="X1469" i="2"/>
  <c r="AY1469" i="2"/>
  <c r="X1477" i="2"/>
  <c r="AY1477" i="2"/>
  <c r="X1485" i="2"/>
  <c r="Y1485" i="2" a="1"/>
  <c r="Y1485" i="2" s="1"/>
  <c r="AY1485" i="2"/>
  <c r="X1493" i="2"/>
  <c r="Y1493" i="2" a="1"/>
  <c r="Y1493" i="2" s="1"/>
  <c r="AY1493" i="2"/>
  <c r="X1501" i="2"/>
  <c r="AY1501" i="2"/>
  <c r="X1509" i="2"/>
  <c r="Y1509" i="2" a="1"/>
  <c r="Y1509" i="2" s="1"/>
  <c r="AY1509" i="2"/>
  <c r="X1517" i="2"/>
  <c r="Y1517" i="2" a="1"/>
  <c r="Y1517" i="2" s="1"/>
  <c r="AY1517" i="2"/>
  <c r="X1549" i="2"/>
  <c r="Y1549" i="2" a="1"/>
  <c r="Y1549" i="2" s="1"/>
  <c r="X1557" i="2"/>
  <c r="Y1557" i="2" a="1"/>
  <c r="Y1557" i="2" s="1"/>
  <c r="X1581" i="2"/>
  <c r="Y1581" i="2" a="1"/>
  <c r="Y1581" i="2" s="1"/>
  <c r="X1597" i="2"/>
  <c r="Y1597" i="2" a="1"/>
  <c r="Y1597" i="2" s="1"/>
  <c r="AB1762" i="2"/>
  <c r="AK1762" i="2" s="1"/>
  <c r="AA1543" i="2"/>
  <c r="AB1474" i="2"/>
  <c r="AK1474" i="2" s="1"/>
  <c r="X894" i="2"/>
  <c r="Y894" i="2" a="1"/>
  <c r="Y894" i="2" s="1"/>
  <c r="X902" i="2"/>
  <c r="Y902" i="2" a="1"/>
  <c r="Y902" i="2" s="1"/>
  <c r="X910" i="2"/>
  <c r="Y910" i="2" a="1"/>
  <c r="Y910" i="2" s="1"/>
  <c r="X918" i="2"/>
  <c r="Y918" i="2" a="1"/>
  <c r="Y918" i="2" s="1"/>
  <c r="X934" i="2"/>
  <c r="Y934" i="2" a="1"/>
  <c r="Y934" i="2" s="1"/>
  <c r="X942" i="2"/>
  <c r="Y942" i="2" a="1"/>
  <c r="Y942" i="2" s="1"/>
  <c r="X958" i="2"/>
  <c r="Y958" i="2" a="1"/>
  <c r="Y958" i="2" s="1"/>
  <c r="X966" i="2"/>
  <c r="Y966" i="2" a="1"/>
  <c r="Y966" i="2" s="1"/>
  <c r="X982" i="2"/>
  <c r="Y982" i="2" a="1"/>
  <c r="Y982" i="2" s="1"/>
  <c r="X990" i="2"/>
  <c r="Y990" i="2" a="1"/>
  <c r="Y990" i="2" s="1"/>
  <c r="X998" i="2"/>
  <c r="Y998" i="2" a="1"/>
  <c r="Y998" i="2" s="1"/>
  <c r="X1014" i="2"/>
  <c r="Y1014" i="2" a="1"/>
  <c r="Y1014" i="2" s="1"/>
  <c r="X1030" i="2"/>
  <c r="Y1030" i="2" a="1"/>
  <c r="Y1030" i="2" s="1"/>
  <c r="X1062" i="2"/>
  <c r="Y1062" i="2" a="1"/>
  <c r="Y1062" i="2" s="1"/>
  <c r="X1078" i="2"/>
  <c r="Y1078" i="2" a="1"/>
  <c r="Y1078" i="2" s="1"/>
  <c r="X1086" i="2"/>
  <c r="Y1086" i="2" a="1"/>
  <c r="Y1086" i="2" s="1"/>
  <c r="X1094" i="2"/>
  <c r="Y1094" i="2" a="1"/>
  <c r="Y1094" i="2" s="1"/>
  <c r="X1102" i="2"/>
  <c r="Y1102" i="2" a="1"/>
  <c r="Y1102" i="2" s="1"/>
  <c r="X1110" i="2"/>
  <c r="Y1110" i="2" a="1"/>
  <c r="Y1110" i="2" s="1"/>
  <c r="AY1110" i="2"/>
  <c r="X855" i="2"/>
  <c r="Y855" i="2" a="1"/>
  <c r="Y855" i="2" s="1"/>
  <c r="AY855" i="2"/>
  <c r="X863" i="2"/>
  <c r="Y863" i="2" a="1"/>
  <c r="Y863" i="2" s="1"/>
  <c r="AY863" i="2"/>
  <c r="X871" i="2"/>
  <c r="Y871" i="2" a="1"/>
  <c r="Y871" i="2" s="1"/>
  <c r="X879" i="2"/>
  <c r="Y879" i="2" a="1"/>
  <c r="Y879" i="2" s="1"/>
  <c r="AY879" i="2"/>
  <c r="AW610" i="2"/>
  <c r="AW602" i="2"/>
  <c r="AW594" i="2"/>
  <c r="AW586" i="2"/>
  <c r="AW578" i="2"/>
  <c r="AY610" i="2"/>
  <c r="X664" i="2"/>
  <c r="Y664" i="2" a="1"/>
  <c r="Y664" i="2" s="1"/>
  <c r="AY664" i="2"/>
  <c r="X672" i="2"/>
  <c r="Y672" i="2" a="1"/>
  <c r="Y672" i="2" s="1"/>
  <c r="AY672" i="2"/>
  <c r="X696" i="2"/>
  <c r="AY696" i="2"/>
  <c r="Y696" i="2" a="1"/>
  <c r="Y696" i="2" s="1"/>
  <c r="X704" i="2"/>
  <c r="AY704" i="2"/>
  <c r="X712" i="2"/>
  <c r="Y712" i="2" a="1"/>
  <c r="Y712" i="2" s="1"/>
  <c r="X720" i="2"/>
  <c r="AY720" i="2"/>
  <c r="X728" i="2"/>
  <c r="Y728" i="2" a="1"/>
  <c r="Y728" i="2" s="1"/>
  <c r="AY728" i="2"/>
  <c r="X736" i="2"/>
  <c r="AY736" i="2"/>
  <c r="X744" i="2"/>
  <c r="Y744" i="2" a="1"/>
  <c r="Y744" i="2" s="1"/>
  <c r="X752" i="2"/>
  <c r="Y752" i="2" a="1"/>
  <c r="Y752" i="2" s="1"/>
  <c r="AY752" i="2"/>
  <c r="X760" i="2"/>
  <c r="AY760" i="2"/>
  <c r="Y760" i="2" a="1"/>
  <c r="Y760" i="2" s="1"/>
  <c r="X768" i="2"/>
  <c r="AY768" i="2"/>
  <c r="Y768" i="2" a="1"/>
  <c r="Y768" i="2" s="1"/>
  <c r="X776" i="2"/>
  <c r="Y776" i="2" a="1"/>
  <c r="Y776" i="2" s="1"/>
  <c r="X784" i="2"/>
  <c r="Y784" i="2" a="1"/>
  <c r="Y784" i="2" s="1"/>
  <c r="AY784" i="2"/>
  <c r="X792" i="2"/>
  <c r="Y792" i="2" a="1"/>
  <c r="Y792" i="2" s="1"/>
  <c r="AY792" i="2"/>
  <c r="X800" i="2"/>
  <c r="AY800" i="2"/>
  <c r="Y800" i="2" a="1"/>
  <c r="Y800" i="2" s="1"/>
  <c r="X808" i="2"/>
  <c r="Y808" i="2" a="1"/>
  <c r="Y808" i="2" s="1"/>
  <c r="X816" i="2"/>
  <c r="AY816" i="2"/>
  <c r="Y816" i="2" a="1"/>
  <c r="Y816" i="2" s="1"/>
  <c r="X832" i="2"/>
  <c r="AY832" i="2"/>
  <c r="Y832" i="2" a="1"/>
  <c r="Y832" i="2" s="1"/>
  <c r="X840" i="2"/>
  <c r="Y840" i="2" a="1"/>
  <c r="Y840" i="2" s="1"/>
  <c r="X848" i="2"/>
  <c r="AY848" i="2"/>
  <c r="AY241" i="2"/>
  <c r="Y257" i="2" a="1"/>
  <c r="Y257" i="2" s="1"/>
  <c r="AY249" i="2"/>
  <c r="AY257" i="2"/>
  <c r="Y249" i="2" a="1"/>
  <c r="Y249" i="2" s="1"/>
  <c r="AY160" i="2"/>
  <c r="Y241" i="2" a="1"/>
  <c r="Y241" i="2" s="1"/>
  <c r="Y233" i="2" a="1"/>
  <c r="Y233" i="2" s="1"/>
  <c r="AB676" i="2"/>
  <c r="AK676" i="2" s="1"/>
  <c r="AY1127" i="2"/>
  <c r="AY701" i="2"/>
  <c r="AY685" i="2"/>
  <c r="AY677" i="2"/>
  <c r="AY669" i="2"/>
  <c r="AY661" i="2"/>
  <c r="AY442" i="2"/>
  <c r="Y379" i="2" a="1"/>
  <c r="Y379" i="2" s="1"/>
  <c r="Y450" i="2" a="1"/>
  <c r="Y450" i="2" s="1"/>
  <c r="Y482" i="2" a="1"/>
  <c r="Y482" i="2" s="1"/>
  <c r="Y513" i="2" a="1"/>
  <c r="Y513" i="2" s="1"/>
  <c r="Y544" i="2" a="1"/>
  <c r="Y544" i="2" s="1"/>
  <c r="Y575" i="2" a="1"/>
  <c r="Y575" i="2" s="1"/>
  <c r="Y583" i="2" a="1"/>
  <c r="Y583" i="2" s="1"/>
  <c r="Y591" i="2" a="1"/>
  <c r="Y591" i="2" s="1"/>
  <c r="Y599" i="2" a="1"/>
  <c r="Y599" i="2" s="1"/>
  <c r="Y607" i="2" a="1"/>
  <c r="Y607" i="2" s="1"/>
  <c r="Y654" i="2" a="1"/>
  <c r="Y654" i="2" s="1"/>
  <c r="Y685" i="2" a="1"/>
  <c r="Y685" i="2" s="1"/>
  <c r="Y787" i="2" a="1"/>
  <c r="Y787" i="2" s="1"/>
  <c r="Y818" i="2" a="1"/>
  <c r="Y818" i="2" s="1"/>
  <c r="Y889" i="2" a="1"/>
  <c r="Y889" i="2" s="1"/>
  <c r="Y968" i="2" a="1"/>
  <c r="Y968" i="2" s="1"/>
  <c r="Y1000" i="2" a="1"/>
  <c r="Y1000" i="2" s="1"/>
  <c r="Y1127" i="2" a="1"/>
  <c r="Y1127" i="2" s="1"/>
  <c r="Y1166" i="2" a="1"/>
  <c r="Y1166" i="2" s="1"/>
  <c r="Y1230" i="2" a="1"/>
  <c r="Y1230" i="2" s="1"/>
  <c r="Y1277" i="2" a="1"/>
  <c r="Y1277" i="2" s="1"/>
  <c r="Y1341" i="2" a="1"/>
  <c r="Y1341" i="2" s="1"/>
  <c r="Y1381" i="2" a="1"/>
  <c r="Y1381" i="2" s="1"/>
  <c r="Y1413" i="2" a="1"/>
  <c r="Y1413" i="2" s="1"/>
  <c r="Y1484" i="2" a="1"/>
  <c r="Y1484" i="2" s="1"/>
  <c r="Y1524" i="2" a="1"/>
  <c r="Y1524" i="2" s="1"/>
  <c r="Y1682" i="2" a="1"/>
  <c r="Y1682" i="2" s="1"/>
  <c r="Y1713" i="2" a="1"/>
  <c r="Y1713" i="2" s="1"/>
  <c r="Y1919" i="2" a="1"/>
  <c r="Y1919" i="2" s="1"/>
  <c r="Y2086" i="2" a="1"/>
  <c r="Y2086" i="2" s="1"/>
  <c r="Y2141" i="2" a="1"/>
  <c r="Y2141" i="2" s="1"/>
  <c r="Y2196" i="2" a="1"/>
  <c r="Y2196" i="2" s="1"/>
  <c r="Y2268" i="2" a="1"/>
  <c r="Y2268" i="2" s="1"/>
  <c r="AB2388" i="2"/>
  <c r="AK2388" i="2" s="1"/>
  <c r="AB2240" i="2"/>
  <c r="AK2240" i="2" s="1"/>
  <c r="AA2234" i="2"/>
  <c r="AJ2234" i="2" s="1"/>
  <c r="AB1990" i="2"/>
  <c r="AK1990" i="2" s="1"/>
  <c r="AB1810" i="2"/>
  <c r="AK1810" i="2" s="1"/>
  <c r="AB1590" i="2"/>
  <c r="AK1590" i="2" s="1"/>
  <c r="AB1441" i="2"/>
  <c r="AK1441" i="2" s="1"/>
  <c r="AA1388" i="2"/>
  <c r="AJ1388" i="2" s="1"/>
  <c r="AB1261" i="2"/>
  <c r="AK1261" i="2" s="1"/>
  <c r="AB1240" i="2"/>
  <c r="AK1240" i="2" s="1"/>
  <c r="AB282" i="2"/>
  <c r="AY1222" i="2"/>
  <c r="AY1190" i="2"/>
  <c r="AY1182" i="2"/>
  <c r="AY1174" i="2"/>
  <c r="AY1166" i="2"/>
  <c r="AY1158" i="2"/>
  <c r="AY1150" i="2"/>
  <c r="AY1142" i="2"/>
  <c r="AY1134" i="2"/>
  <c r="AY450" i="2"/>
  <c r="Y442" i="2" a="1"/>
  <c r="Y442" i="2" s="1"/>
  <c r="Y646" i="2" a="1"/>
  <c r="Y646" i="2" s="1"/>
  <c r="Y928" i="2" a="1"/>
  <c r="Y928" i="2" s="1"/>
  <c r="Y1032" i="2" a="1"/>
  <c r="Y1032" i="2" s="1"/>
  <c r="Y1269" i="2" a="1"/>
  <c r="Y1269" i="2" s="1"/>
  <c r="Y1333" i="2" a="1"/>
  <c r="Y1333" i="2" s="1"/>
  <c r="Y1516" i="2" a="1"/>
  <c r="Y1516" i="2" s="1"/>
  <c r="Y1564" i="2" a="1"/>
  <c r="Y1564" i="2" s="1"/>
  <c r="Y1674" i="2" a="1"/>
  <c r="Y1674" i="2" s="1"/>
  <c r="Y1823" i="2" a="1"/>
  <c r="Y1823" i="2" s="1"/>
  <c r="Y1831" i="2" a="1"/>
  <c r="Y1831" i="2" s="1"/>
  <c r="Y1982" i="2" a="1"/>
  <c r="Y1982" i="2" s="1"/>
  <c r="Y2133" i="2" a="1"/>
  <c r="Y2133" i="2" s="1"/>
  <c r="Y2188" i="2" a="1"/>
  <c r="Y2188" i="2" s="1"/>
  <c r="Y2236" i="2" a="1"/>
  <c r="Y2236" i="2" s="1"/>
  <c r="Y2300" i="2" a="1"/>
  <c r="Y2300" i="2" s="1"/>
  <c r="Z94" i="2"/>
  <c r="X94" i="2" s="1"/>
  <c r="AB2293" i="2"/>
  <c r="AK2293" i="2" s="1"/>
  <c r="AB2140" i="2"/>
  <c r="AK2140" i="2" s="1"/>
  <c r="AA2109" i="2"/>
  <c r="AB1953" i="2"/>
  <c r="AK1953" i="2" s="1"/>
  <c r="AA1603" i="2"/>
  <c r="AJ1603" i="2" s="1"/>
  <c r="AA1523" i="2"/>
  <c r="AJ1523" i="2" s="1"/>
  <c r="AY544" i="2"/>
  <c r="AY458" i="2"/>
  <c r="Y371" i="2" a="1"/>
  <c r="Y371" i="2" s="1"/>
  <c r="Y403" i="2" a="1"/>
  <c r="Y403" i="2" s="1"/>
  <c r="Y434" i="2" a="1"/>
  <c r="Y434" i="2" s="1"/>
  <c r="Y474" i="2" a="1"/>
  <c r="Y474" i="2" s="1"/>
  <c r="Y505" i="2" a="1"/>
  <c r="Y505" i="2" s="1"/>
  <c r="Y677" i="2" a="1"/>
  <c r="Y677" i="2" s="1"/>
  <c r="Y779" i="2" a="1"/>
  <c r="Y779" i="2" s="1"/>
  <c r="Y881" i="2" a="1"/>
  <c r="Y881" i="2" s="1"/>
  <c r="Y960" i="2" a="1"/>
  <c r="Y960" i="2" s="1"/>
  <c r="Y992" i="2" a="1"/>
  <c r="Y992" i="2" s="1"/>
  <c r="Y1158" i="2" a="1"/>
  <c r="Y1158" i="2" s="1"/>
  <c r="Y1190" i="2" a="1"/>
  <c r="Y1190" i="2" s="1"/>
  <c r="Y1222" i="2" a="1"/>
  <c r="Y1222" i="2" s="1"/>
  <c r="Y1261" i="2" a="1"/>
  <c r="Y1261" i="2" s="1"/>
  <c r="Y1325" i="2" a="1"/>
  <c r="Y1325" i="2" s="1"/>
  <c r="Y1373" i="2" a="1"/>
  <c r="Y1373" i="2" s="1"/>
  <c r="Y1405" i="2" a="1"/>
  <c r="Y1405" i="2" s="1"/>
  <c r="Y1445" i="2" a="1"/>
  <c r="Y1445" i="2" s="1"/>
  <c r="Y1477" i="2" a="1"/>
  <c r="Y1477" i="2" s="1"/>
  <c r="Y1556" i="2" a="1"/>
  <c r="Y1556" i="2" s="1"/>
  <c r="Y1815" i="2" a="1"/>
  <c r="Y1815" i="2" s="1"/>
  <c r="Y1889" i="2" a="1"/>
  <c r="Y1889" i="2" s="1"/>
  <c r="Y2046" i="2" a="1"/>
  <c r="Y2046" i="2" s="1"/>
  <c r="Y2125" i="2" a="1"/>
  <c r="Y2125" i="2" s="1"/>
  <c r="Y2180" i="2" a="1"/>
  <c r="Y2180" i="2" s="1"/>
  <c r="Y2228" i="2" a="1"/>
  <c r="Y2228" i="2" s="1"/>
  <c r="Y2260" i="2" a="1"/>
  <c r="Y2260" i="2" s="1"/>
  <c r="AB1701" i="2"/>
  <c r="AK1701" i="2" s="1"/>
  <c r="AB1252" i="2"/>
  <c r="AK1252" i="2" s="1"/>
  <c r="AA143" i="2"/>
  <c r="AF143" i="2" s="1"/>
  <c r="AN143" i="2" s="1"/>
  <c r="AY764" i="2"/>
  <c r="AY756" i="2"/>
  <c r="AY552" i="2"/>
  <c r="AY498" i="2"/>
  <c r="AY490" i="2"/>
  <c r="AY482" i="2"/>
  <c r="AY474" i="2"/>
  <c r="Y363" i="2" a="1"/>
  <c r="Y363" i="2" s="1"/>
  <c r="Y568" i="2" a="1"/>
  <c r="Y568" i="2" s="1"/>
  <c r="Y638" i="2" a="1"/>
  <c r="Y638" i="2" s="1"/>
  <c r="Y811" i="2" a="1"/>
  <c r="Y811" i="2" s="1"/>
  <c r="Y842" i="2" a="1"/>
  <c r="Y842" i="2" s="1"/>
  <c r="Y873" i="2" a="1"/>
  <c r="Y873" i="2" s="1"/>
  <c r="Y920" i="2" a="1"/>
  <c r="Y920" i="2" s="1"/>
  <c r="Y952" i="2" a="1"/>
  <c r="Y952" i="2" s="1"/>
  <c r="Y1024" i="2" a="1"/>
  <c r="Y1024" i="2" s="1"/>
  <c r="Y1254" i="2" a="1"/>
  <c r="Y1254" i="2" s="1"/>
  <c r="Y1317" i="2" a="1"/>
  <c r="Y1317" i="2" s="1"/>
  <c r="Y1365" i="2" a="1"/>
  <c r="Y1365" i="2" s="1"/>
  <c r="Y1437" i="2" a="1"/>
  <c r="Y1437" i="2" s="1"/>
  <c r="Y1469" i="2" a="1"/>
  <c r="Y1469" i="2" s="1"/>
  <c r="Y1508" i="2" a="1"/>
  <c r="Y1508" i="2" s="1"/>
  <c r="Y1548" i="2" a="1"/>
  <c r="Y1548" i="2" s="1"/>
  <c r="Y1666" i="2" a="1"/>
  <c r="Y1666" i="2" s="1"/>
  <c r="Y1706" i="2" a="1"/>
  <c r="Y1706" i="2" s="1"/>
  <c r="Y1737" i="2" a="1"/>
  <c r="Y1737" i="2" s="1"/>
  <c r="Y1807" i="2" a="1"/>
  <c r="Y1807" i="2" s="1"/>
  <c r="Y1874" i="2" a="1"/>
  <c r="Y1874" i="2" s="1"/>
  <c r="Y1912" i="2" a="1"/>
  <c r="Y1912" i="2" s="1"/>
  <c r="Y2117" i="2" a="1"/>
  <c r="Y2117" i="2" s="1"/>
  <c r="Y2172" i="2" a="1"/>
  <c r="Y2172" i="2" s="1"/>
  <c r="Y2220" i="2" a="1"/>
  <c r="Y2220" i="2" s="1"/>
  <c r="Y2292" i="2" a="1"/>
  <c r="Y2292" i="2" s="1"/>
  <c r="AA2370" i="2"/>
  <c r="AJ2370" i="2" s="1"/>
  <c r="AA2201" i="2"/>
  <c r="AJ2201" i="2" s="1"/>
  <c r="AA2046" i="2"/>
  <c r="AJ2046" i="2" s="1"/>
  <c r="AB1957" i="2"/>
  <c r="AK1957" i="2" s="1"/>
  <c r="AB1861" i="2"/>
  <c r="AK1861" i="2" s="1"/>
  <c r="AB1846" i="2"/>
  <c r="AK1846" i="2" s="1"/>
  <c r="AA1707" i="2"/>
  <c r="AA1678" i="2"/>
  <c r="AJ1678" i="2" s="1"/>
  <c r="AB1557" i="2"/>
  <c r="AK1557" i="2" s="1"/>
  <c r="AA1507" i="2"/>
  <c r="AJ1507" i="2" s="1"/>
  <c r="AB1363" i="2"/>
  <c r="AK1363" i="2" s="1"/>
  <c r="AB1332" i="2"/>
  <c r="AK1332" i="2" s="1"/>
  <c r="AB1295" i="2"/>
  <c r="AK1295" i="2" s="1"/>
  <c r="AA1288" i="2"/>
  <c r="AJ1288" i="2" s="1"/>
  <c r="AB1199" i="2"/>
  <c r="AK1199" i="2" s="1"/>
  <c r="AB1193" i="2"/>
  <c r="AK1193" i="2" s="1"/>
  <c r="AB468" i="2"/>
  <c r="AK468" i="2" s="1"/>
  <c r="AB346" i="2"/>
  <c r="AA18" i="2"/>
  <c r="AF18" i="2" s="1"/>
  <c r="AY811" i="2"/>
  <c r="AY803" i="2"/>
  <c r="AY795" i="2"/>
  <c r="AY787" i="2"/>
  <c r="AY779" i="2"/>
  <c r="AY771" i="2"/>
  <c r="AY568" i="2"/>
  <c r="AY560" i="2"/>
  <c r="AY505" i="2"/>
  <c r="Y355" i="2" a="1"/>
  <c r="Y355" i="2" s="1"/>
  <c r="Y395" i="2" a="1"/>
  <c r="Y395" i="2" s="1"/>
  <c r="Y426" i="2" a="1"/>
  <c r="Y426" i="2" s="1"/>
  <c r="Y498" i="2" a="1"/>
  <c r="Y498" i="2" s="1"/>
  <c r="Y529" i="2" a="1"/>
  <c r="Y529" i="2" s="1"/>
  <c r="Y630" i="2" a="1"/>
  <c r="Y630" i="2" s="1"/>
  <c r="Y669" i="2" a="1"/>
  <c r="Y669" i="2" s="1"/>
  <c r="Y701" i="2" a="1"/>
  <c r="Y701" i="2" s="1"/>
  <c r="Y771" i="2" a="1"/>
  <c r="Y771" i="2" s="1"/>
  <c r="Y912" i="2" a="1"/>
  <c r="Y912" i="2" s="1"/>
  <c r="Y984" i="2" a="1"/>
  <c r="Y984" i="2" s="1"/>
  <c r="Y1016" i="2" a="1"/>
  <c r="Y1016" i="2" s="1"/>
  <c r="Y1150" i="2" a="1"/>
  <c r="Y1150" i="2" s="1"/>
  <c r="Y1182" i="2" a="1"/>
  <c r="Y1182" i="2" s="1"/>
  <c r="Y1246" i="2" a="1"/>
  <c r="Y1246" i="2" s="1"/>
  <c r="Y1309" i="2" a="1"/>
  <c r="Y1309" i="2" s="1"/>
  <c r="Y1397" i="2" a="1"/>
  <c r="Y1397" i="2" s="1"/>
  <c r="Y1500" i="2" a="1"/>
  <c r="Y1500" i="2" s="1"/>
  <c r="Y1610" i="2" a="1"/>
  <c r="Y1610" i="2" s="1"/>
  <c r="Y1799" i="2" a="1"/>
  <c r="Y1799" i="2" s="1"/>
  <c r="Y1844" i="2" a="1"/>
  <c r="Y1844" i="2" s="1"/>
  <c r="Y1882" i="2" a="1"/>
  <c r="Y1882" i="2" s="1"/>
  <c r="Y2109" i="2" a="1"/>
  <c r="Y2109" i="2" s="1"/>
  <c r="Y2324" i="2" a="1"/>
  <c r="Y2324" i="2" s="1"/>
  <c r="AA1951" i="2"/>
  <c r="AA1867" i="2"/>
  <c r="AJ1867" i="2" s="1"/>
  <c r="AB1654" i="2"/>
  <c r="AK1654" i="2" s="1"/>
  <c r="AB1513" i="2"/>
  <c r="AA1483" i="2"/>
  <c r="AA710" i="2"/>
  <c r="AY842" i="2"/>
  <c r="AY834" i="2"/>
  <c r="AY826" i="2"/>
  <c r="AY818" i="2"/>
  <c r="AY607" i="2"/>
  <c r="AY599" i="2"/>
  <c r="AY591" i="2"/>
  <c r="AY583" i="2"/>
  <c r="AY575" i="2"/>
  <c r="AY513" i="2"/>
  <c r="AY348" i="2"/>
  <c r="AY340" i="2"/>
  <c r="Y560" i="2" a="1"/>
  <c r="Y560" i="2" s="1"/>
  <c r="Y622" i="2" a="1"/>
  <c r="Y622" i="2" s="1"/>
  <c r="Y803" i="2" a="1"/>
  <c r="Y803" i="2" s="1"/>
  <c r="Y834" i="2" a="1"/>
  <c r="Y834" i="2" s="1"/>
  <c r="Y904" i="2" a="1"/>
  <c r="Y904" i="2" s="1"/>
  <c r="Y944" i="2" a="1"/>
  <c r="Y944" i="2" s="1"/>
  <c r="Y1048" i="2" a="1"/>
  <c r="Y1048" i="2" s="1"/>
  <c r="Y1142" i="2" a="1"/>
  <c r="Y1142" i="2" s="1"/>
  <c r="Y1301" i="2" a="1"/>
  <c r="Y1301" i="2" s="1"/>
  <c r="Y1357" i="2" a="1"/>
  <c r="Y1357" i="2" s="1"/>
  <c r="Y1429" i="2" a="1"/>
  <c r="Y1429" i="2" s="1"/>
  <c r="Y1461" i="2" a="1"/>
  <c r="Y1461" i="2" s="1"/>
  <c r="Y1658" i="2" a="1"/>
  <c r="Y1658" i="2" s="1"/>
  <c r="Y1698" i="2" a="1"/>
  <c r="Y1698" i="2" s="1"/>
  <c r="Y1729" i="2" a="1"/>
  <c r="Y1729" i="2" s="1"/>
  <c r="Y1791" i="2" a="1"/>
  <c r="Y1791" i="2" s="1"/>
  <c r="Y1867" i="2" a="1"/>
  <c r="Y1867" i="2" s="1"/>
  <c r="Y1904" i="2" a="1"/>
  <c r="Y1904" i="2" s="1"/>
  <c r="Y2212" i="2" a="1"/>
  <c r="Y2212" i="2" s="1"/>
  <c r="Y2284" i="2" a="1"/>
  <c r="Y2284" i="2" s="1"/>
  <c r="Y2316" i="2" a="1"/>
  <c r="Y2316" i="2" s="1"/>
  <c r="AB82" i="2"/>
  <c r="AY889" i="2"/>
  <c r="AY881" i="2"/>
  <c r="AY873" i="2"/>
  <c r="AY857" i="2"/>
  <c r="AY654" i="2"/>
  <c r="AY646" i="2"/>
  <c r="AY638" i="2"/>
  <c r="AY630" i="2"/>
  <c r="AY622" i="2"/>
  <c r="AY614" i="2"/>
  <c r="AY521" i="2"/>
  <c r="AY403" i="2"/>
  <c r="AY395" i="2"/>
  <c r="AY387" i="2"/>
  <c r="AY379" i="2"/>
  <c r="AY371" i="2"/>
  <c r="AY363" i="2"/>
  <c r="AY355" i="2"/>
  <c r="Y348" i="2" a="1"/>
  <c r="Y348" i="2" s="1"/>
  <c r="Y387" i="2" a="1"/>
  <c r="Y387" i="2" s="1"/>
  <c r="Y418" i="2" a="1"/>
  <c r="Y418" i="2" s="1"/>
  <c r="Y458" i="2" a="1"/>
  <c r="Y458" i="2" s="1"/>
  <c r="Y490" i="2" a="1"/>
  <c r="Y490" i="2" s="1"/>
  <c r="Y521" i="2" a="1"/>
  <c r="Y521" i="2" s="1"/>
  <c r="Y614" i="2" a="1"/>
  <c r="Y614" i="2" s="1"/>
  <c r="Y661" i="2" a="1"/>
  <c r="Y661" i="2" s="1"/>
  <c r="Y764" i="2" a="1"/>
  <c r="Y764" i="2" s="1"/>
  <c r="Y826" i="2" a="1"/>
  <c r="Y826" i="2" s="1"/>
  <c r="Y896" i="2" a="1"/>
  <c r="Y896" i="2" s="1"/>
  <c r="Y976" i="2" a="1"/>
  <c r="Y976" i="2" s="1"/>
  <c r="Y1008" i="2" a="1"/>
  <c r="Y1008" i="2" s="1"/>
  <c r="Y1134" i="2" a="1"/>
  <c r="Y1134" i="2" s="1"/>
  <c r="Y1174" i="2" a="1"/>
  <c r="Y1174" i="2" s="1"/>
  <c r="Y1238" i="2" a="1"/>
  <c r="Y1238" i="2" s="1"/>
  <c r="Y1293" i="2" a="1"/>
  <c r="Y1293" i="2" s="1"/>
  <c r="Y1389" i="2" a="1"/>
  <c r="Y1389" i="2" s="1"/>
  <c r="Y1421" i="2" a="1"/>
  <c r="Y1421" i="2" s="1"/>
  <c r="Y1492" i="2" a="1"/>
  <c r="Y1492" i="2" s="1"/>
  <c r="Y1650" i="2" a="1"/>
  <c r="Y1650" i="2" s="1"/>
  <c r="Y1690" i="2" a="1"/>
  <c r="Y1690" i="2" s="1"/>
  <c r="Y1721" i="2" a="1"/>
  <c r="Y1721" i="2" s="1"/>
  <c r="Y2102" i="2" a="1"/>
  <c r="Y2102" i="2" s="1"/>
  <c r="Y2157" i="2" a="1"/>
  <c r="Y2157" i="2" s="1"/>
  <c r="Y2204" i="2" a="1"/>
  <c r="Y2204" i="2" s="1"/>
  <c r="AB2393" i="2"/>
  <c r="AK2393" i="2" s="1"/>
  <c r="AB2261" i="2"/>
  <c r="AK2261" i="2" s="1"/>
  <c r="AB2145" i="2"/>
  <c r="AK2145" i="2" s="1"/>
  <c r="AA2015" i="2"/>
  <c r="AA1983" i="2"/>
  <c r="AJ1983" i="2" s="1"/>
  <c r="AB1961" i="2"/>
  <c r="AK1961" i="2" s="1"/>
  <c r="AA1915" i="2"/>
  <c r="AA1902" i="2"/>
  <c r="AJ1902" i="2" s="1"/>
  <c r="AB1165" i="2"/>
  <c r="AK1165" i="2" s="1"/>
  <c r="X31" i="2"/>
  <c r="X134" i="2"/>
  <c r="X164" i="2"/>
  <c r="X165" i="2"/>
  <c r="X170" i="2"/>
  <c r="X205" i="2"/>
  <c r="X171" i="2"/>
  <c r="X198" i="2"/>
  <c r="X153" i="2"/>
  <c r="X193" i="2"/>
  <c r="X220" i="2"/>
  <c r="X228" i="2"/>
  <c r="X236" i="2"/>
  <c r="X244" i="2"/>
  <c r="AY244" i="2"/>
  <c r="Y244" i="2" a="1"/>
  <c r="Y244" i="2" s="1"/>
  <c r="X252" i="2"/>
  <c r="AY252" i="2"/>
  <c r="Y252" i="2" a="1"/>
  <c r="Y252" i="2" s="1"/>
  <c r="X260" i="2"/>
  <c r="AY260" i="2"/>
  <c r="Y260" i="2" a="1"/>
  <c r="Y260" i="2" s="1"/>
  <c r="X268" i="2"/>
  <c r="AY268" i="2"/>
  <c r="Y268" i="2" a="1"/>
  <c r="Y268" i="2" s="1"/>
  <c r="X276" i="2"/>
  <c r="AY276" i="2"/>
  <c r="Y276" i="2" a="1"/>
  <c r="Y276" i="2" s="1"/>
  <c r="X284" i="2"/>
  <c r="AY284" i="2"/>
  <c r="X292" i="2"/>
  <c r="Y292" i="2" a="1"/>
  <c r="Y292" i="2" s="1"/>
  <c r="AY292" i="2"/>
  <c r="X300" i="2"/>
  <c r="Y300" i="2" a="1"/>
  <c r="Y300" i="2" s="1"/>
  <c r="AY300" i="2"/>
  <c r="X308" i="2"/>
  <c r="Y308" i="2" a="1"/>
  <c r="Y308" i="2" s="1"/>
  <c r="AY308" i="2"/>
  <c r="X693" i="2"/>
  <c r="Y693" i="2" a="1"/>
  <c r="Y693" i="2" s="1"/>
  <c r="X709" i="2"/>
  <c r="Y709" i="2" a="1"/>
  <c r="Y709" i="2" s="1"/>
  <c r="X717" i="2"/>
  <c r="Y717" i="2" a="1"/>
  <c r="Y717" i="2" s="1"/>
  <c r="X724" i="2"/>
  <c r="Y724" i="2" a="1"/>
  <c r="Y724" i="2" s="1"/>
  <c r="AY724" i="2"/>
  <c r="X732" i="2"/>
  <c r="AY732" i="2"/>
  <c r="Y732" i="2" a="1"/>
  <c r="Y732" i="2" s="1"/>
  <c r="X1056" i="2"/>
  <c r="Y1056" i="2" a="1"/>
  <c r="Y1056" i="2" s="1"/>
  <c r="X1064" i="2"/>
  <c r="Y1064" i="2" a="1"/>
  <c r="Y1064" i="2" s="1"/>
  <c r="X1080" i="2"/>
  <c r="Y1080" i="2" a="1"/>
  <c r="Y1080" i="2" s="1"/>
  <c r="X1088" i="2"/>
  <c r="Y1088" i="2" a="1"/>
  <c r="Y1088" i="2" s="1"/>
  <c r="X1096" i="2"/>
  <c r="Y1096" i="2" a="1"/>
  <c r="Y1096" i="2" s="1"/>
  <c r="X1103" i="2"/>
  <c r="Y1103" i="2" a="1"/>
  <c r="Y1103" i="2" s="1"/>
  <c r="X1111" i="2"/>
  <c r="Y1111" i="2" a="1"/>
  <c r="Y1111" i="2" s="1"/>
  <c r="X1572" i="2"/>
  <c r="Y1572" i="2" a="1"/>
  <c r="Y1572" i="2" s="1"/>
  <c r="X1580" i="2"/>
  <c r="Y1580" i="2" a="1"/>
  <c r="Y1580" i="2" s="1"/>
  <c r="X1588" i="2"/>
  <c r="Y1588" i="2" a="1"/>
  <c r="Y1588" i="2" s="1"/>
  <c r="X1596" i="2"/>
  <c r="Y1596" i="2" a="1"/>
  <c r="Y1596" i="2" s="1"/>
  <c r="X1618" i="2"/>
  <c r="Y1618" i="2" a="1"/>
  <c r="Y1618" i="2" s="1"/>
  <c r="X1626" i="2"/>
  <c r="Y1626" i="2" a="1"/>
  <c r="Y1626" i="2" s="1"/>
  <c r="X1634" i="2"/>
  <c r="Y1634" i="2" a="1"/>
  <c r="Y1634" i="2" s="1"/>
  <c r="X1926" i="2"/>
  <c r="Y1926" i="2" a="1"/>
  <c r="Y1926" i="2" s="1"/>
  <c r="X1934" i="2"/>
  <c r="Y1934" i="2" a="1"/>
  <c r="Y1934" i="2" s="1"/>
  <c r="X1942" i="2"/>
  <c r="Y1942" i="2" a="1"/>
  <c r="Y1942" i="2" s="1"/>
  <c r="X1950" i="2"/>
  <c r="Y1950" i="2" a="1"/>
  <c r="Y1950" i="2" s="1"/>
  <c r="X1958" i="2"/>
  <c r="Y1958" i="2" a="1"/>
  <c r="Y1958" i="2" s="1"/>
  <c r="X1966" i="2"/>
  <c r="Y1966" i="2" a="1"/>
  <c r="Y1966" i="2" s="1"/>
  <c r="X1974" i="2"/>
  <c r="Y1974" i="2" a="1"/>
  <c r="Y1974" i="2" s="1"/>
  <c r="X1990" i="2"/>
  <c r="Y1990" i="2" a="1"/>
  <c r="Y1990" i="2" s="1"/>
  <c r="X1998" i="2"/>
  <c r="Y1998" i="2" a="1"/>
  <c r="Y1998" i="2" s="1"/>
  <c r="X2006" i="2"/>
  <c r="Y2006" i="2" a="1"/>
  <c r="Y2006" i="2" s="1"/>
  <c r="X2014" i="2"/>
  <c r="Y2014" i="2" a="1"/>
  <c r="Y2014" i="2" s="1"/>
  <c r="X2022" i="2"/>
  <c r="Y2022" i="2" a="1"/>
  <c r="Y2022" i="2" s="1"/>
  <c r="X2030" i="2"/>
  <c r="Y2030" i="2" a="1"/>
  <c r="Y2030" i="2" s="1"/>
  <c r="X2038" i="2"/>
  <c r="Y2038" i="2" a="1"/>
  <c r="Y2038" i="2" s="1"/>
  <c r="X2054" i="2"/>
  <c r="Y2054" i="2" a="1"/>
  <c r="Y2054" i="2" s="1"/>
  <c r="X2062" i="2"/>
  <c r="Y2062" i="2" a="1"/>
  <c r="Y2062" i="2" s="1"/>
  <c r="X2070" i="2"/>
  <c r="Y2070" i="2" a="1"/>
  <c r="Y2070" i="2" s="1"/>
  <c r="X2078" i="2"/>
  <c r="Y2078" i="2" a="1"/>
  <c r="Y2078" i="2" s="1"/>
  <c r="X2332" i="2"/>
  <c r="Y2332" i="2" a="1"/>
  <c r="Y2332" i="2" s="1"/>
  <c r="X2340" i="2"/>
  <c r="Y2340" i="2" a="1"/>
  <c r="Y2340" i="2" s="1"/>
  <c r="X2348" i="2"/>
  <c r="Y2348" i="2" a="1"/>
  <c r="Y2348" i="2" s="1"/>
  <c r="X2356" i="2"/>
  <c r="Y2356" i="2" a="1"/>
  <c r="Y2356" i="2" s="1"/>
  <c r="X2364" i="2"/>
  <c r="Y2364" i="2" a="1"/>
  <c r="Y2364" i="2" s="1"/>
  <c r="X2372" i="2"/>
  <c r="Y2372" i="2" a="1"/>
  <c r="Y2372" i="2" s="1"/>
  <c r="X2380" i="2"/>
  <c r="Y2380" i="2" a="1"/>
  <c r="Y2380" i="2" s="1"/>
  <c r="X2388" i="2"/>
  <c r="Y2388" i="2" a="1"/>
  <c r="Y2388" i="2" s="1"/>
  <c r="X2396" i="2"/>
  <c r="Y2396" i="2" a="1"/>
  <c r="Y2396" i="2" s="1"/>
  <c r="X2404" i="2"/>
  <c r="Y2404" i="2" a="1"/>
  <c r="Y2404" i="2" s="1"/>
  <c r="AB2336" i="2"/>
  <c r="AK2336" i="2" s="1"/>
  <c r="AA2297" i="2"/>
  <c r="AJ2297" i="2" s="1"/>
  <c r="AA2210" i="2"/>
  <c r="AJ2210" i="2" s="1"/>
  <c r="AA2063" i="2"/>
  <c r="AA1994" i="2"/>
  <c r="AB1921" i="2"/>
  <c r="AK1921" i="2" s="1"/>
  <c r="AA1887" i="2"/>
  <c r="AA1845" i="2"/>
  <c r="AJ1845" i="2" s="1"/>
  <c r="AB1794" i="2"/>
  <c r="AK1794" i="2" s="1"/>
  <c r="AB1765" i="2"/>
  <c r="AK1765" i="2" s="1"/>
  <c r="AB1761" i="2"/>
  <c r="AK1761" i="2" s="1"/>
  <c r="AB1733" i="2"/>
  <c r="AB1670" i="2"/>
  <c r="AK1670" i="2" s="1"/>
  <c r="AB1629" i="2"/>
  <c r="AK1629" i="2" s="1"/>
  <c r="AB1622" i="2"/>
  <c r="AK1622" i="2" s="1"/>
  <c r="AB1517" i="2"/>
  <c r="AK1517" i="2" s="1"/>
  <c r="AB1355" i="2"/>
  <c r="AK1355" i="2" s="1"/>
  <c r="AA1313" i="2"/>
  <c r="AJ1313" i="2" s="1"/>
  <c r="AA1257" i="2"/>
  <c r="AJ1257" i="2" s="1"/>
  <c r="AA1144" i="2"/>
  <c r="AJ1144" i="2" s="1"/>
  <c r="AA1108" i="2"/>
  <c r="AJ1108" i="2" s="1"/>
  <c r="AB560" i="2"/>
  <c r="AK560" i="2" s="1"/>
  <c r="AA404" i="2"/>
  <c r="AJ404" i="2" s="1"/>
  <c r="AA390" i="2"/>
  <c r="AA384" i="2"/>
  <c r="AJ384" i="2" s="1"/>
  <c r="AA333" i="2"/>
  <c r="AB290" i="2"/>
  <c r="AB283" i="2"/>
  <c r="AK283" i="2" s="1"/>
  <c r="AB218" i="2"/>
  <c r="X655" i="2"/>
  <c r="Y655" i="2" a="1"/>
  <c r="Y655" i="2" s="1"/>
  <c r="AY655" i="2"/>
  <c r="X662" i="2"/>
  <c r="Y662" i="2" a="1"/>
  <c r="Y662" i="2" s="1"/>
  <c r="X670" i="2"/>
  <c r="Y670" i="2" a="1"/>
  <c r="Y670" i="2" s="1"/>
  <c r="X678" i="2"/>
  <c r="Y678" i="2" a="1"/>
  <c r="Y678" i="2" s="1"/>
  <c r="X686" i="2"/>
  <c r="Y686" i="2" a="1"/>
  <c r="Y686" i="2" s="1"/>
  <c r="X1025" i="2"/>
  <c r="Y1025" i="2" a="1"/>
  <c r="Y1025" i="2" s="1"/>
  <c r="X1033" i="2"/>
  <c r="Y1033" i="2" a="1"/>
  <c r="Y1033" i="2" s="1"/>
  <c r="X1041" i="2"/>
  <c r="Y1041" i="2" a="1"/>
  <c r="Y1041" i="2" s="1"/>
  <c r="X1049" i="2"/>
  <c r="Y1049" i="2" a="1"/>
  <c r="Y1049" i="2" s="1"/>
  <c r="X1541" i="2"/>
  <c r="Y1541" i="2" a="1"/>
  <c r="Y1541" i="2" s="1"/>
  <c r="X1565" i="2"/>
  <c r="Y1565" i="2" a="1"/>
  <c r="Y1565" i="2" s="1"/>
  <c r="X1905" i="2"/>
  <c r="Y1905" i="2" a="1"/>
  <c r="Y1905" i="2" s="1"/>
  <c r="X1913" i="2"/>
  <c r="Y1913" i="2" a="1"/>
  <c r="Y1913" i="2" s="1"/>
  <c r="X2301" i="2"/>
  <c r="Y2301" i="2" a="1"/>
  <c r="Y2301" i="2" s="1"/>
  <c r="X2309" i="2"/>
  <c r="Y2309" i="2" a="1"/>
  <c r="Y2309" i="2" s="1"/>
  <c r="X2325" i="2"/>
  <c r="Y2325" i="2" a="1"/>
  <c r="Y2325" i="2" s="1"/>
  <c r="AA2378" i="2"/>
  <c r="AJ2378" i="2" s="1"/>
  <c r="AB2364" i="2"/>
  <c r="AK2364" i="2" s="1"/>
  <c r="AB2357" i="2"/>
  <c r="AK2357" i="2" s="1"/>
  <c r="AB2149" i="2"/>
  <c r="AK2149" i="2" s="1"/>
  <c r="AA2091" i="2"/>
  <c r="AA1949" i="2"/>
  <c r="AB1893" i="2"/>
  <c r="AK1893" i="2" s="1"/>
  <c r="AB1814" i="2"/>
  <c r="AK1814" i="2" s="1"/>
  <c r="AA1739" i="2"/>
  <c r="AA1725" i="2"/>
  <c r="AA1691" i="2"/>
  <c r="AB1589" i="2"/>
  <c r="AK1589" i="2" s="1"/>
  <c r="AB1522" i="2"/>
  <c r="AK1522" i="2" s="1"/>
  <c r="AA1510" i="2"/>
  <c r="AJ1510" i="2" s="1"/>
  <c r="AA1348" i="2"/>
  <c r="AJ1348" i="2" s="1"/>
  <c r="AA1229" i="2"/>
  <c r="AJ1229" i="2" s="1"/>
  <c r="AB1113" i="2"/>
  <c r="AK1113" i="2" s="1"/>
  <c r="AB936" i="2"/>
  <c r="AK936" i="2" s="1"/>
  <c r="AB425" i="2"/>
  <c r="AK425" i="2" s="1"/>
  <c r="AB339" i="2"/>
  <c r="AK339" i="2" s="1"/>
  <c r="AB238" i="2"/>
  <c r="AG238" i="2" s="1"/>
  <c r="AO238" i="2" s="1"/>
  <c r="AQ238" i="2" s="1"/>
  <c r="AB224" i="2"/>
  <c r="Z203" i="2"/>
  <c r="X203" i="2" s="1"/>
  <c r="X562" i="2"/>
  <c r="Y562" i="2" a="1"/>
  <c r="Y562" i="2" s="1"/>
  <c r="X570" i="2"/>
  <c r="Y570" i="2" a="1"/>
  <c r="Y570" i="2" s="1"/>
  <c r="X616" i="2"/>
  <c r="Y616" i="2" a="1"/>
  <c r="Y616" i="2" s="1"/>
  <c r="X624" i="2"/>
  <c r="Y624" i="2" a="1"/>
  <c r="Y624" i="2" s="1"/>
  <c r="X632" i="2"/>
  <c r="Y632" i="2" a="1"/>
  <c r="Y632" i="2" s="1"/>
  <c r="X640" i="2"/>
  <c r="Y640" i="2" a="1"/>
  <c r="Y640" i="2" s="1"/>
  <c r="X648" i="2"/>
  <c r="Y648" i="2" a="1"/>
  <c r="Y648" i="2" s="1"/>
  <c r="X1479" i="2"/>
  <c r="Y1479" i="2" a="1"/>
  <c r="Y1479" i="2" s="1"/>
  <c r="X1486" i="2"/>
  <c r="Y1486" i="2" a="1"/>
  <c r="Y1486" i="2" s="1"/>
  <c r="X1494" i="2"/>
  <c r="Y1494" i="2" a="1"/>
  <c r="Y1494" i="2" s="1"/>
  <c r="X1510" i="2"/>
  <c r="Y1510" i="2" a="1"/>
  <c r="Y1510" i="2" s="1"/>
  <c r="X1891" i="2"/>
  <c r="Y1891" i="2" a="1"/>
  <c r="Y1891" i="2" s="1"/>
  <c r="X1898" i="2"/>
  <c r="Y1898" i="2" a="1"/>
  <c r="Y1898" i="2" s="1"/>
  <c r="X2278" i="2"/>
  <c r="Y2278" i="2" a="1"/>
  <c r="Y2278" i="2" s="1"/>
  <c r="X2286" i="2"/>
  <c r="Y2286" i="2" a="1"/>
  <c r="Y2286" i="2" s="1"/>
  <c r="X2294" i="2"/>
  <c r="Y2294" i="2" a="1"/>
  <c r="Y2294" i="2" s="1"/>
  <c r="AB78" i="2"/>
  <c r="X477" i="2"/>
  <c r="Y477" i="2" a="1"/>
  <c r="Y477" i="2" s="1"/>
  <c r="X485" i="2"/>
  <c r="Y485" i="2" a="1"/>
  <c r="Y485" i="2" s="1"/>
  <c r="X493" i="2"/>
  <c r="Y493" i="2" a="1"/>
  <c r="Y493" i="2" s="1"/>
  <c r="X508" i="2"/>
  <c r="AY508" i="2"/>
  <c r="Y508" i="2" a="1"/>
  <c r="Y508" i="2" s="1"/>
  <c r="X516" i="2"/>
  <c r="AY516" i="2"/>
  <c r="Y516" i="2" a="1"/>
  <c r="Y516" i="2" s="1"/>
  <c r="X524" i="2"/>
  <c r="AY524" i="2"/>
  <c r="Y524" i="2" a="1"/>
  <c r="Y524" i="2" s="1"/>
  <c r="X539" i="2"/>
  <c r="Y539" i="2" a="1"/>
  <c r="Y539" i="2" s="1"/>
  <c r="AY539" i="2"/>
  <c r="X547" i="2"/>
  <c r="Y547" i="2" a="1"/>
  <c r="Y547" i="2" s="1"/>
  <c r="AY547" i="2"/>
  <c r="X555" i="2"/>
  <c r="AY555" i="2"/>
  <c r="Y555" i="2" a="1"/>
  <c r="Y555" i="2" s="1"/>
  <c r="X923" i="2"/>
  <c r="Y923" i="2" a="1"/>
  <c r="Y923" i="2" s="1"/>
  <c r="X931" i="2"/>
  <c r="Y931" i="2" a="1"/>
  <c r="Y931" i="2" s="1"/>
  <c r="X939" i="2"/>
  <c r="Y939" i="2" a="1"/>
  <c r="Y939" i="2" s="1"/>
  <c r="X947" i="2"/>
  <c r="Y947" i="2" a="1"/>
  <c r="Y947" i="2" s="1"/>
  <c r="X963" i="2"/>
  <c r="Y963" i="2" a="1"/>
  <c r="Y963" i="2" s="1"/>
  <c r="X971" i="2"/>
  <c r="Y971" i="2" a="1"/>
  <c r="Y971" i="2" s="1"/>
  <c r="X979" i="2"/>
  <c r="Y979" i="2" a="1"/>
  <c r="Y979" i="2" s="1"/>
  <c r="X987" i="2"/>
  <c r="Y987" i="2" a="1"/>
  <c r="Y987" i="2" s="1"/>
  <c r="X995" i="2"/>
  <c r="Y995" i="2" a="1"/>
  <c r="Y995" i="2" s="1"/>
  <c r="X1003" i="2"/>
  <c r="Y1003" i="2" a="1"/>
  <c r="Y1003" i="2" s="1"/>
  <c r="X1011" i="2"/>
  <c r="Y1011" i="2" a="1"/>
  <c r="Y1011" i="2" s="1"/>
  <c r="X1448" i="2"/>
  <c r="Y1448" i="2" a="1"/>
  <c r="Y1448" i="2" s="1"/>
  <c r="X1456" i="2"/>
  <c r="Y1456" i="2" a="1"/>
  <c r="Y1456" i="2" s="1"/>
  <c r="X1464" i="2"/>
  <c r="Y1464" i="2" a="1"/>
  <c r="Y1464" i="2" s="1"/>
  <c r="X1472" i="2"/>
  <c r="Y1472" i="2" a="1"/>
  <c r="Y1472" i="2" s="1"/>
  <c r="X1855" i="2"/>
  <c r="Y1855" i="2" a="1"/>
  <c r="Y1855" i="2" s="1"/>
  <c r="X1862" i="2"/>
  <c r="Y1862" i="2" a="1"/>
  <c r="Y1862" i="2" s="1"/>
  <c r="X2263" i="2"/>
  <c r="Y2263" i="2" a="1"/>
  <c r="Y2263" i="2" s="1"/>
  <c r="AA2403" i="2"/>
  <c r="AB2340" i="2"/>
  <c r="AK2340" i="2" s="1"/>
  <c r="AB2229" i="2"/>
  <c r="AK2229" i="2" s="1"/>
  <c r="AB2169" i="2"/>
  <c r="AK2169" i="2" s="1"/>
  <c r="AB2148" i="2"/>
  <c r="AK2148" i="2" s="1"/>
  <c r="AA2082" i="2"/>
  <c r="AJ2082" i="2" s="1"/>
  <c r="AB2030" i="2"/>
  <c r="AK2030" i="2" s="1"/>
  <c r="AA2005" i="2"/>
  <c r="AJ2005" i="2" s="1"/>
  <c r="AB1985" i="2"/>
  <c r="AK1985" i="2" s="1"/>
  <c r="AA1925" i="2"/>
  <c r="AJ1925" i="2" s="1"/>
  <c r="AB1877" i="2"/>
  <c r="AK1877" i="2" s="1"/>
  <c r="AA1806" i="2"/>
  <c r="AJ1806" i="2" s="1"/>
  <c r="AA1581" i="2"/>
  <c r="AJ1581" i="2" s="1"/>
  <c r="AA1574" i="2"/>
  <c r="AJ1574" i="2" s="1"/>
  <c r="AB1521" i="2"/>
  <c r="AB1502" i="2"/>
  <c r="AK1502" i="2" s="1"/>
  <c r="AA1429" i="2"/>
  <c r="AB1385" i="2"/>
  <c r="AK1385" i="2" s="1"/>
  <c r="AA1220" i="2"/>
  <c r="AJ1220" i="2" s="1"/>
  <c r="AA1213" i="2"/>
  <c r="AJ1213" i="2" s="1"/>
  <c r="AB1163" i="2"/>
  <c r="AK1163" i="2" s="1"/>
  <c r="AB1112" i="2"/>
  <c r="AK1112" i="2" s="1"/>
  <c r="AB1067" i="2"/>
  <c r="AK1067" i="2" s="1"/>
  <c r="AA986" i="2"/>
  <c r="AB888" i="2"/>
  <c r="AK888" i="2" s="1"/>
  <c r="AB520" i="2"/>
  <c r="AK520" i="2" s="1"/>
  <c r="AB424" i="2"/>
  <c r="AK424" i="2" s="1"/>
  <c r="AA388" i="2"/>
  <c r="AJ388" i="2" s="1"/>
  <c r="AB348" i="2"/>
  <c r="AK348" i="2" s="1"/>
  <c r="AB331" i="2"/>
  <c r="AK331" i="2" s="1"/>
  <c r="X885" i="2"/>
  <c r="Y885" i="2" a="1"/>
  <c r="Y885" i="2" s="1"/>
  <c r="X893" i="2"/>
  <c r="Y893" i="2" a="1"/>
  <c r="Y893" i="2" s="1"/>
  <c r="X1297" i="2"/>
  <c r="Y1297" i="2" a="1"/>
  <c r="Y1297" i="2" s="1"/>
  <c r="X1305" i="2"/>
  <c r="Y1305" i="2" a="1"/>
  <c r="Y1305" i="2" s="1"/>
  <c r="X1313" i="2"/>
  <c r="Y1313" i="2" a="1"/>
  <c r="Y1313" i="2" s="1"/>
  <c r="X1321" i="2"/>
  <c r="Y1321" i="2" a="1"/>
  <c r="Y1321" i="2" s="1"/>
  <c r="X1329" i="2"/>
  <c r="Y1329" i="2" a="1"/>
  <c r="Y1329" i="2" s="1"/>
  <c r="X1337" i="2"/>
  <c r="Y1337" i="2" a="1"/>
  <c r="Y1337" i="2" s="1"/>
  <c r="X1345" i="2"/>
  <c r="Y1345" i="2" a="1"/>
  <c r="Y1345" i="2" s="1"/>
  <c r="X1353" i="2"/>
  <c r="Y1353" i="2" a="1"/>
  <c r="Y1353" i="2" s="1"/>
  <c r="X1361" i="2"/>
  <c r="Y1361" i="2" a="1"/>
  <c r="Y1361" i="2" s="1"/>
  <c r="X1377" i="2"/>
  <c r="Y1377" i="2" a="1"/>
  <c r="Y1377" i="2" s="1"/>
  <c r="X1385" i="2"/>
  <c r="Y1385" i="2" a="1"/>
  <c r="Y1385" i="2" s="1"/>
  <c r="X1393" i="2"/>
  <c r="Y1393" i="2" a="1"/>
  <c r="Y1393" i="2" s="1"/>
  <c r="X1401" i="2"/>
  <c r="Y1401" i="2" a="1"/>
  <c r="Y1401" i="2" s="1"/>
  <c r="X1409" i="2"/>
  <c r="Y1409" i="2" a="1"/>
  <c r="Y1409" i="2" s="1"/>
  <c r="X1417" i="2"/>
  <c r="Y1417" i="2" a="1"/>
  <c r="Y1417" i="2" s="1"/>
  <c r="X1425" i="2"/>
  <c r="Y1425" i="2" a="1"/>
  <c r="Y1425" i="2" s="1"/>
  <c r="X1433" i="2"/>
  <c r="Y1433" i="2" a="1"/>
  <c r="Y1433" i="2" s="1"/>
  <c r="X1835" i="2"/>
  <c r="Y1835" i="2" a="1"/>
  <c r="Y1835" i="2" s="1"/>
  <c r="X1848" i="2"/>
  <c r="Y1848" i="2" a="1"/>
  <c r="Y1848" i="2" s="1"/>
  <c r="X2256" i="2"/>
  <c r="Y2256" i="2" a="1"/>
  <c r="Y2256" i="2" s="1"/>
  <c r="AB2389" i="2"/>
  <c r="AK2389" i="2" s="1"/>
  <c r="AB2017" i="2"/>
  <c r="AK2017" i="2" s="1"/>
  <c r="AA1826" i="2"/>
  <c r="AJ1826" i="2" s="1"/>
  <c r="AA1723" i="2"/>
  <c r="AB1653" i="2"/>
  <c r="AK1653" i="2" s="1"/>
  <c r="AB1638" i="2"/>
  <c r="AK1638" i="2" s="1"/>
  <c r="AA1619" i="2"/>
  <c r="AJ1619" i="2" s="1"/>
  <c r="AB1605" i="2"/>
  <c r="AK1605" i="2" s="1"/>
  <c r="AA1551" i="2"/>
  <c r="AJ1551" i="2" s="1"/>
  <c r="AB1538" i="2"/>
  <c r="AK1538" i="2" s="1"/>
  <c r="AB1525" i="2"/>
  <c r="AK1525" i="2" s="1"/>
  <c r="AA1479" i="2"/>
  <c r="AB1449" i="2"/>
  <c r="AA1397" i="2"/>
  <c r="AA1357" i="2"/>
  <c r="AJ1357" i="2" s="1"/>
  <c r="AB1352" i="2"/>
  <c r="AK1352" i="2" s="1"/>
  <c r="AA1316" i="2"/>
  <c r="AJ1316" i="2" s="1"/>
  <c r="AB1147" i="2"/>
  <c r="AK1147" i="2" s="1"/>
  <c r="AB696" i="2"/>
  <c r="AK696" i="2" s="1"/>
  <c r="AB393" i="2"/>
  <c r="AK393" i="2" s="1"/>
  <c r="AA368" i="2"/>
  <c r="AJ368" i="2" s="1"/>
  <c r="AA353" i="2"/>
  <c r="AA343" i="2"/>
  <c r="AJ343" i="2" s="1"/>
  <c r="AB258" i="2"/>
  <c r="AA98" i="2"/>
  <c r="AF98" i="2" s="1"/>
  <c r="X439" i="2"/>
  <c r="Y439" i="2" a="1"/>
  <c r="Y439" i="2" s="1"/>
  <c r="AY439" i="2"/>
  <c r="X447" i="2"/>
  <c r="Y447" i="2" a="1"/>
  <c r="Y447" i="2" s="1"/>
  <c r="AY447" i="2"/>
  <c r="X455" i="2"/>
  <c r="Y455" i="2" a="1"/>
  <c r="Y455" i="2" s="1"/>
  <c r="AY455" i="2"/>
  <c r="X463" i="2"/>
  <c r="Y463" i="2" a="1"/>
  <c r="Y463" i="2" s="1"/>
  <c r="AY463" i="2"/>
  <c r="X831" i="2"/>
  <c r="Y831" i="2" a="1"/>
  <c r="Y831" i="2" s="1"/>
  <c r="X839" i="2"/>
  <c r="Y839" i="2" a="1"/>
  <c r="Y839" i="2" s="1"/>
  <c r="X854" i="2"/>
  <c r="Y854" i="2" a="1"/>
  <c r="Y854" i="2" s="1"/>
  <c r="X862" i="2"/>
  <c r="Y862" i="2" a="1"/>
  <c r="Y862" i="2" s="1"/>
  <c r="X870" i="2"/>
  <c r="Y870" i="2" a="1"/>
  <c r="Y870" i="2" s="1"/>
  <c r="X878" i="2"/>
  <c r="Y878" i="2" a="1"/>
  <c r="Y878" i="2" s="1"/>
  <c r="X1227" i="2"/>
  <c r="Y1227" i="2" a="1"/>
  <c r="Y1227" i="2" s="1"/>
  <c r="X1235" i="2"/>
  <c r="Y1235" i="2" a="1"/>
  <c r="Y1235" i="2" s="1"/>
  <c r="X1243" i="2"/>
  <c r="Y1243" i="2" a="1"/>
  <c r="Y1243" i="2" s="1"/>
  <c r="X1290" i="2"/>
  <c r="Y1290" i="2" a="1"/>
  <c r="Y1290" i="2" s="1"/>
  <c r="X2201" i="2"/>
  <c r="Y2201" i="2" a="1"/>
  <c r="Y2201" i="2" s="1"/>
  <c r="X2217" i="2"/>
  <c r="Y2217" i="2" a="1"/>
  <c r="Y2217" i="2" s="1"/>
  <c r="X2225" i="2"/>
  <c r="Y2225" i="2" a="1"/>
  <c r="Y2225" i="2" s="1"/>
  <c r="X2233" i="2"/>
  <c r="Y2233" i="2" a="1"/>
  <c r="Y2233" i="2" s="1"/>
  <c r="X2241" i="2"/>
  <c r="Y2241" i="2" a="1"/>
  <c r="Y2241" i="2" s="1"/>
  <c r="X2249" i="2"/>
  <c r="Y2249" i="2" a="1"/>
  <c r="Y2249" i="2" s="1"/>
  <c r="X377" i="2"/>
  <c r="Y377" i="2" a="1"/>
  <c r="Y377" i="2" s="1"/>
  <c r="X385" i="2"/>
  <c r="Y385" i="2" a="1"/>
  <c r="Y385" i="2" s="1"/>
  <c r="X393" i="2"/>
  <c r="Y393" i="2" a="1"/>
  <c r="Y393" i="2" s="1"/>
  <c r="X401" i="2"/>
  <c r="Y401" i="2" a="1"/>
  <c r="Y401" i="2" s="1"/>
  <c r="X408" i="2"/>
  <c r="Y408" i="2" a="1"/>
  <c r="Y408" i="2" s="1"/>
  <c r="X424" i="2"/>
  <c r="Y424" i="2" a="1"/>
  <c r="Y424" i="2" s="1"/>
  <c r="X432" i="2"/>
  <c r="Y432" i="2" a="1"/>
  <c r="Y432" i="2" s="1"/>
  <c r="X801" i="2"/>
  <c r="Y801" i="2" a="1"/>
  <c r="Y801" i="2" s="1"/>
  <c r="X809" i="2"/>
  <c r="Y809" i="2" a="1"/>
  <c r="Y809" i="2" s="1"/>
  <c r="X817" i="2"/>
  <c r="Y817" i="2" a="1"/>
  <c r="Y817" i="2" s="1"/>
  <c r="X824" i="2"/>
  <c r="Y824" i="2" a="1"/>
  <c r="Y824" i="2" s="1"/>
  <c r="X1188" i="2"/>
  <c r="Y1188" i="2" a="1"/>
  <c r="Y1188" i="2" s="1"/>
  <c r="X1204" i="2"/>
  <c r="Y1204" i="2" a="1"/>
  <c r="Y1204" i="2" s="1"/>
  <c r="X1212" i="2"/>
  <c r="Y1212" i="2" a="1"/>
  <c r="Y1212" i="2" s="1"/>
  <c r="X1220" i="2"/>
  <c r="Y1220" i="2" a="1"/>
  <c r="Y1220" i="2" s="1"/>
  <c r="X1664" i="2"/>
  <c r="Y1664" i="2" a="1"/>
  <c r="Y1664" i="2" s="1"/>
  <c r="X1672" i="2"/>
  <c r="Y1672" i="2" a="1"/>
  <c r="Y1672" i="2" s="1"/>
  <c r="X1680" i="2"/>
  <c r="Y1680" i="2" a="1"/>
  <c r="Y1680" i="2" s="1"/>
  <c r="X1688" i="2"/>
  <c r="Y1688" i="2" a="1"/>
  <c r="Y1688" i="2" s="1"/>
  <c r="X1696" i="2"/>
  <c r="Y1696" i="2" a="1"/>
  <c r="Y1696" i="2" s="1"/>
  <c r="X1704" i="2"/>
  <c r="Y1704" i="2" a="1"/>
  <c r="Y1704" i="2" s="1"/>
  <c r="X1711" i="2"/>
  <c r="Y1711" i="2" a="1"/>
  <c r="Y1711" i="2" s="1"/>
  <c r="X1719" i="2"/>
  <c r="Y1719" i="2" a="1"/>
  <c r="Y1719" i="2" s="1"/>
  <c r="X1727" i="2"/>
  <c r="Y1727" i="2" a="1"/>
  <c r="Y1727" i="2" s="1"/>
  <c r="X1735" i="2"/>
  <c r="Y1735" i="2" a="1"/>
  <c r="Y1735" i="2" s="1"/>
  <c r="X1758" i="2"/>
  <c r="Y1758" i="2" a="1"/>
  <c r="Y1758" i="2" s="1"/>
  <c r="X1766" i="2"/>
  <c r="Y1766" i="2" a="1"/>
  <c r="Y1766" i="2" s="1"/>
  <c r="X1774" i="2"/>
  <c r="Y1774" i="2" a="1"/>
  <c r="Y1774" i="2" s="1"/>
  <c r="X1781" i="2"/>
  <c r="Y1781" i="2" a="1"/>
  <c r="Y1781" i="2" s="1"/>
  <c r="X1789" i="2"/>
  <c r="Y1789" i="2" a="1"/>
  <c r="Y1789" i="2" s="1"/>
  <c r="AB1693" i="2"/>
  <c r="AK1693" i="2" s="1"/>
  <c r="AA1637" i="2"/>
  <c r="AJ1637" i="2" s="1"/>
  <c r="AA1630" i="2"/>
  <c r="AJ1630" i="2" s="1"/>
  <c r="AA1597" i="2"/>
  <c r="AJ1597" i="2" s="1"/>
  <c r="AB1530" i="2"/>
  <c r="AK1530" i="2" s="1"/>
  <c r="AA1369" i="2"/>
  <c r="AJ1369" i="2" s="1"/>
  <c r="AA1356" i="2"/>
  <c r="AJ1356" i="2" s="1"/>
  <c r="AA984" i="2"/>
  <c r="AJ984" i="2" s="1"/>
  <c r="AA977" i="2"/>
  <c r="AA954" i="2"/>
  <c r="AB892" i="2"/>
  <c r="AK892" i="2" s="1"/>
  <c r="AB792" i="2"/>
  <c r="AK792" i="2" s="1"/>
  <c r="AA532" i="2"/>
  <c r="AB226" i="2"/>
  <c r="X315" i="2"/>
  <c r="Y315" i="2" a="1"/>
  <c r="Y315" i="2" s="1"/>
  <c r="AY315" i="2"/>
  <c r="X323" i="2"/>
  <c r="Y323" i="2" a="1"/>
  <c r="Y323" i="2" s="1"/>
  <c r="AY323" i="2"/>
  <c r="X331" i="2"/>
  <c r="Y331" i="2" a="1"/>
  <c r="Y331" i="2" s="1"/>
  <c r="AY331" i="2"/>
  <c r="X778" i="2"/>
  <c r="Y778" i="2" a="1"/>
  <c r="Y778" i="2" s="1"/>
  <c r="X786" i="2"/>
  <c r="Y786" i="2" a="1"/>
  <c r="Y786" i="2" s="1"/>
  <c r="X794" i="2"/>
  <c r="Y794" i="2" a="1"/>
  <c r="Y794" i="2" s="1"/>
  <c r="X1118" i="2"/>
  <c r="Y1118" i="2" a="1"/>
  <c r="Y1118" i="2" s="1"/>
  <c r="X1133" i="2"/>
  <c r="Y1133" i="2" a="1"/>
  <c r="Y1133" i="2" s="1"/>
  <c r="X1141" i="2"/>
  <c r="Y1141" i="2" a="1"/>
  <c r="Y1141" i="2" s="1"/>
  <c r="X1149" i="2"/>
  <c r="Y1149" i="2" a="1"/>
  <c r="Y1149" i="2" s="1"/>
  <c r="X1157" i="2"/>
  <c r="Y1157" i="2" a="1"/>
  <c r="Y1157" i="2" s="1"/>
  <c r="X1165" i="2"/>
  <c r="Y1165" i="2" a="1"/>
  <c r="Y1165" i="2" s="1"/>
  <c r="X1173" i="2"/>
  <c r="Y1173" i="2" a="1"/>
  <c r="Y1173" i="2" s="1"/>
  <c r="X1181" i="2"/>
  <c r="Y1181" i="2" a="1"/>
  <c r="Y1181" i="2" s="1"/>
  <c r="X1641" i="2"/>
  <c r="Y1641" i="2" a="1"/>
  <c r="Y1641" i="2" s="1"/>
  <c r="X1649" i="2"/>
  <c r="Y1649" i="2" a="1"/>
  <c r="Y1649" i="2" s="1"/>
  <c r="X1657" i="2"/>
  <c r="Y1657" i="2" a="1"/>
  <c r="Y1657" i="2" s="1"/>
  <c r="X2085" i="2"/>
  <c r="Y2085" i="2" a="1"/>
  <c r="Y2085" i="2" s="1"/>
  <c r="X2093" i="2"/>
  <c r="Y2093" i="2" a="1"/>
  <c r="Y2093" i="2" s="1"/>
  <c r="X2101" i="2"/>
  <c r="Y2101" i="2" a="1"/>
  <c r="Y2101" i="2" s="1"/>
  <c r="Z131" i="2"/>
  <c r="X131" i="2" s="1"/>
  <c r="Z108" i="2"/>
  <c r="X108" i="2" s="1"/>
  <c r="Z39" i="2"/>
  <c r="X39" i="2" s="1"/>
  <c r="AB2425" i="2"/>
  <c r="AK2425" i="2" s="1"/>
  <c r="AB2420" i="2"/>
  <c r="AK2420" i="2" s="1"/>
  <c r="AB2409" i="2"/>
  <c r="AK2409" i="2" s="1"/>
  <c r="AB2404" i="2"/>
  <c r="AK2404" i="2" s="1"/>
  <c r="AA2394" i="2"/>
  <c r="AJ2394" i="2" s="1"/>
  <c r="AA2379" i="2"/>
  <c r="AA2329" i="2"/>
  <c r="AJ2329" i="2" s="1"/>
  <c r="AA2317" i="2"/>
  <c r="AB2304" i="2"/>
  <c r="AK2304" i="2" s="1"/>
  <c r="AA2298" i="2"/>
  <c r="AJ2298" i="2" s="1"/>
  <c r="AA2279" i="2"/>
  <c r="AA2274" i="2"/>
  <c r="AJ2274" i="2" s="1"/>
  <c r="AA2155" i="2"/>
  <c r="AB2132" i="2"/>
  <c r="AK2132" i="2" s="1"/>
  <c r="AB2069" i="2"/>
  <c r="AB2041" i="2"/>
  <c r="AK2041" i="2" s="1"/>
  <c r="AB2026" i="2"/>
  <c r="AK2026" i="2" s="1"/>
  <c r="AA2011" i="2"/>
  <c r="AB2006" i="2"/>
  <c r="AK2006" i="2" s="1"/>
  <c r="AA1995" i="2"/>
  <c r="AA1947" i="2"/>
  <c r="AA1933" i="2"/>
  <c r="AA1894" i="2"/>
  <c r="AJ1894" i="2" s="1"/>
  <c r="AB1862" i="2"/>
  <c r="AK1862" i="2" s="1"/>
  <c r="AB1857" i="2"/>
  <c r="AA1778" i="2"/>
  <c r="AJ1778" i="2" s="1"/>
  <c r="AA1718" i="2"/>
  <c r="AJ1718" i="2" s="1"/>
  <c r="AA1694" i="2"/>
  <c r="AJ1694" i="2" s="1"/>
  <c r="AA1623" i="2"/>
  <c r="AA1595" i="2"/>
  <c r="AB1566" i="2"/>
  <c r="AK1566" i="2" s="1"/>
  <c r="AA1555" i="2"/>
  <c r="AJ1555" i="2" s="1"/>
  <c r="AB1549" i="2"/>
  <c r="AK1549" i="2" s="1"/>
  <c r="AA1526" i="2"/>
  <c r="AJ1526" i="2" s="1"/>
  <c r="AA1498" i="2"/>
  <c r="AJ1498" i="2" s="1"/>
  <c r="AB1498" i="2"/>
  <c r="AK1498" i="2" s="1"/>
  <c r="AB1466" i="2"/>
  <c r="AK1466" i="2" s="1"/>
  <c r="AA1361" i="2"/>
  <c r="AJ1361" i="2" s="1"/>
  <c r="AA1325" i="2"/>
  <c r="AJ1325" i="2" s="1"/>
  <c r="AB1325" i="2"/>
  <c r="AK1325" i="2" s="1"/>
  <c r="AB1305" i="2"/>
  <c r="AK1305" i="2" s="1"/>
  <c r="AA1293" i="2"/>
  <c r="AJ1293" i="2" s="1"/>
  <c r="AB1236" i="2"/>
  <c r="AK1236" i="2" s="1"/>
  <c r="AA1236" i="2"/>
  <c r="AJ1236" i="2" s="1"/>
  <c r="AB1208" i="2"/>
  <c r="AK1208" i="2" s="1"/>
  <c r="AB1176" i="2"/>
  <c r="AK1176" i="2" s="1"/>
  <c r="AB1060" i="2"/>
  <c r="AK1060" i="2" s="1"/>
  <c r="AA1048" i="2"/>
  <c r="AJ1048" i="2" s="1"/>
  <c r="AA920" i="2"/>
  <c r="AA728" i="2"/>
  <c r="AJ728" i="2" s="1"/>
  <c r="AB728" i="2"/>
  <c r="AK728" i="2" s="1"/>
  <c r="AB708" i="2"/>
  <c r="AK708" i="2" s="1"/>
  <c r="AB600" i="2"/>
  <c r="AK600" i="2" s="1"/>
  <c r="AB432" i="2"/>
  <c r="AK432" i="2" s="1"/>
  <c r="AA432" i="2"/>
  <c r="AJ432" i="2" s="1"/>
  <c r="AA397" i="2"/>
  <c r="AJ397" i="2" s="1"/>
  <c r="AB397" i="2"/>
  <c r="AK397" i="2" s="1"/>
  <c r="AA360" i="2"/>
  <c r="AJ360" i="2" s="1"/>
  <c r="AB360" i="2"/>
  <c r="AK360" i="2" s="1"/>
  <c r="AA310" i="2"/>
  <c r="AJ310" i="2" s="1"/>
  <c r="AB310" i="2"/>
  <c r="AB274" i="2"/>
  <c r="AB233" i="2"/>
  <c r="AK233" i="2" s="1"/>
  <c r="AA233" i="2"/>
  <c r="AA2413" i="2"/>
  <c r="AJ2413" i="2" s="1"/>
  <c r="AA2373" i="2"/>
  <c r="AA2363" i="2"/>
  <c r="AA2339" i="2"/>
  <c r="AA2323" i="2"/>
  <c r="AB2309" i="2"/>
  <c r="AK2309" i="2" s="1"/>
  <c r="AB2172" i="2"/>
  <c r="AK2172" i="2" s="1"/>
  <c r="AB2144" i="2"/>
  <c r="AK2144" i="2" s="1"/>
  <c r="AB2117" i="2"/>
  <c r="AK2117" i="2" s="1"/>
  <c r="AA2099" i="2"/>
  <c r="AA2087" i="2"/>
  <c r="AA2074" i="2"/>
  <c r="AJ2074" i="2" s="1"/>
  <c r="AB1977" i="2"/>
  <c r="AA1851" i="2"/>
  <c r="AA1782" i="2"/>
  <c r="AJ1782" i="2" s="1"/>
  <c r="AA1755" i="2"/>
  <c r="AA1683" i="2"/>
  <c r="AJ1683" i="2" s="1"/>
  <c r="AA1659" i="2"/>
  <c r="AA1571" i="2"/>
  <c r="AJ1571" i="2" s="1"/>
  <c r="AA1559" i="2"/>
  <c r="AA1542" i="2"/>
  <c r="AJ1542" i="2" s="1"/>
  <c r="AB1497" i="2"/>
  <c r="AK1497" i="2" s="1"/>
  <c r="AA1471" i="2"/>
  <c r="AJ1471" i="2" s="1"/>
  <c r="AB1445" i="2"/>
  <c r="AK1445" i="2" s="1"/>
  <c r="AA1445" i="2"/>
  <c r="AA1409" i="2"/>
  <c r="AA1336" i="2"/>
  <c r="AJ1336" i="2" s="1"/>
  <c r="AB1331" i="2"/>
  <c r="AK1331" i="2" s="1"/>
  <c r="AA1188" i="2"/>
  <c r="AJ1188" i="2" s="1"/>
  <c r="AB1181" i="2"/>
  <c r="AK1181" i="2" s="1"/>
  <c r="AA1101" i="2"/>
  <c r="AB1080" i="2"/>
  <c r="AK1080" i="2" s="1"/>
  <c r="AA1041" i="2"/>
  <c r="AA1020" i="2"/>
  <c r="AJ1020" i="2" s="1"/>
  <c r="AB956" i="2"/>
  <c r="AK956" i="2" s="1"/>
  <c r="AA956" i="2"/>
  <c r="AB776" i="2"/>
  <c r="AK776" i="2" s="1"/>
  <c r="AA734" i="2"/>
  <c r="AA694" i="2"/>
  <c r="AB593" i="2"/>
  <c r="AK593" i="2" s="1"/>
  <c r="AA488" i="2"/>
  <c r="AJ488" i="2" s="1"/>
  <c r="AB488" i="2"/>
  <c r="AK488" i="2" s="1"/>
  <c r="AA365" i="2"/>
  <c r="AJ365" i="2" s="1"/>
  <c r="AA352" i="2"/>
  <c r="AJ352" i="2" s="1"/>
  <c r="AB352" i="2"/>
  <c r="AK352" i="2" s="1"/>
  <c r="AA330" i="2"/>
  <c r="AJ330" i="2" s="1"/>
  <c r="AB330" i="2"/>
  <c r="AK330" i="2" s="1"/>
  <c r="AB281" i="2"/>
  <c r="AK281" i="2" s="1"/>
  <c r="AA281" i="2"/>
  <c r="AA254" i="2"/>
  <c r="AJ254" i="2" s="1"/>
  <c r="AB254" i="2"/>
  <c r="AB225" i="2"/>
  <c r="AA225" i="2"/>
  <c r="AF225" i="2" s="1"/>
  <c r="AA128" i="2"/>
  <c r="AB128" i="2"/>
  <c r="AG128" i="2" s="1"/>
  <c r="AO128" i="2" s="1"/>
  <c r="AB172" i="2"/>
  <c r="AB1515" i="2"/>
  <c r="AK1515" i="2" s="1"/>
  <c r="AA1515" i="2"/>
  <c r="AA1490" i="2"/>
  <c r="AJ1490" i="2" s="1"/>
  <c r="AB1490" i="2"/>
  <c r="AK1490" i="2" s="1"/>
  <c r="AB1272" i="2"/>
  <c r="AK1272" i="2" s="1"/>
  <c r="AA1272" i="2"/>
  <c r="AJ1272" i="2" s="1"/>
  <c r="AB1033" i="2"/>
  <c r="AK1033" i="2" s="1"/>
  <c r="AA1033" i="2"/>
  <c r="AA812" i="2"/>
  <c r="AJ812" i="2" s="1"/>
  <c r="AB812" i="2"/>
  <c r="AK812" i="2" s="1"/>
  <c r="AB259" i="2"/>
  <c r="AK259" i="2" s="1"/>
  <c r="AA259" i="2"/>
  <c r="AJ259" i="2" s="1"/>
  <c r="AA246" i="2"/>
  <c r="AJ246" i="2" s="1"/>
  <c r="AB246" i="2"/>
  <c r="AB152" i="2"/>
  <c r="AA152" i="2"/>
  <c r="AA199" i="2"/>
  <c r="AB199" i="2"/>
  <c r="AG199" i="2" s="1"/>
  <c r="AO199" i="2" s="1"/>
  <c r="AB2372" i="2"/>
  <c r="AK2372" i="2" s="1"/>
  <c r="AA2362" i="2"/>
  <c r="AJ2362" i="2" s="1"/>
  <c r="AA2338" i="2"/>
  <c r="AJ2338" i="2" s="1"/>
  <c r="AB2308" i="2"/>
  <c r="AK2308" i="2" s="1"/>
  <c r="AA2283" i="2"/>
  <c r="AA2277" i="2"/>
  <c r="AA2266" i="2"/>
  <c r="AJ2266" i="2" s="1"/>
  <c r="AB2050" i="2"/>
  <c r="AK2050" i="2" s="1"/>
  <c r="AA2025" i="2"/>
  <c r="AJ2025" i="2" s="1"/>
  <c r="AB1958" i="2"/>
  <c r="AK1958" i="2" s="1"/>
  <c r="AB1954" i="2"/>
  <c r="AK1954" i="2" s="1"/>
  <c r="AA1830" i="2"/>
  <c r="AJ1830" i="2" s="1"/>
  <c r="AB1798" i="2"/>
  <c r="AK1798" i="2" s="1"/>
  <c r="AA1787" i="2"/>
  <c r="AB1781" i="2"/>
  <c r="AK1781" i="2" s="1"/>
  <c r="AB1734" i="2"/>
  <c r="AK1734" i="2" s="1"/>
  <c r="AA1710" i="2"/>
  <c r="AJ1710" i="2" s="1"/>
  <c r="AB1686" i="2"/>
  <c r="AK1686" i="2" s="1"/>
  <c r="AA1675" i="2"/>
  <c r="AA1627" i="2"/>
  <c r="AB1558" i="2"/>
  <c r="AK1558" i="2" s="1"/>
  <c r="AB1489" i="2"/>
  <c r="AA1470" i="2"/>
  <c r="AJ1470" i="2" s="1"/>
  <c r="AB1470" i="2"/>
  <c r="AK1470" i="2" s="1"/>
  <c r="AB1364" i="2"/>
  <c r="AK1364" i="2" s="1"/>
  <c r="AA1359" i="2"/>
  <c r="AJ1359" i="2" s="1"/>
  <c r="AB1359" i="2"/>
  <c r="AK1359" i="2" s="1"/>
  <c r="AB1341" i="2"/>
  <c r="AK1341" i="2" s="1"/>
  <c r="AA1309" i="2"/>
  <c r="AJ1309" i="2" s="1"/>
  <c r="AA1284" i="2"/>
  <c r="AJ1284" i="2" s="1"/>
  <c r="AB1263" i="2"/>
  <c r="AK1263" i="2" s="1"/>
  <c r="AB1129" i="2"/>
  <c r="AK1129" i="2" s="1"/>
  <c r="AB1117" i="2"/>
  <c r="AK1117" i="2" s="1"/>
  <c r="AB1092" i="2"/>
  <c r="AK1092" i="2" s="1"/>
  <c r="AB1040" i="2"/>
  <c r="AK1040" i="2" s="1"/>
  <c r="AA1040" i="2"/>
  <c r="AA969" i="2"/>
  <c r="AB872" i="2"/>
  <c r="AK872" i="2" s="1"/>
  <c r="AB664" i="2"/>
  <c r="AK664" i="2" s="1"/>
  <c r="AA592" i="2"/>
  <c r="AJ592" i="2" s="1"/>
  <c r="AB592" i="2"/>
  <c r="AK592" i="2" s="1"/>
  <c r="AB576" i="2"/>
  <c r="AK576" i="2" s="1"/>
  <c r="AA429" i="2"/>
  <c r="AJ429" i="2" s="1"/>
  <c r="AB429" i="2"/>
  <c r="AK429" i="2" s="1"/>
  <c r="AB401" i="2"/>
  <c r="AK401" i="2" s="1"/>
  <c r="AB357" i="2"/>
  <c r="AK357" i="2" s="1"/>
  <c r="AA357" i="2"/>
  <c r="AA307" i="2"/>
  <c r="AJ307" i="2" s="1"/>
  <c r="AB307" i="2"/>
  <c r="AK307" i="2" s="1"/>
  <c r="AA265" i="2"/>
  <c r="AA230" i="2"/>
  <c r="AJ230" i="2" s="1"/>
  <c r="AB230" i="2"/>
  <c r="AB110" i="2"/>
  <c r="AG110" i="2" s="1"/>
  <c r="AO110" i="2" s="1"/>
  <c r="AA67" i="2"/>
  <c r="AB67" i="2"/>
  <c r="AA2411" i="2"/>
  <c r="AA2402" i="2"/>
  <c r="AJ2402" i="2" s="1"/>
  <c r="AB2396" i="2"/>
  <c r="AK2396" i="2" s="1"/>
  <c r="AA2387" i="2"/>
  <c r="AA2381" i="2"/>
  <c r="AJ2381" i="2" s="1"/>
  <c r="AB2377" i="2"/>
  <c r="AK2377" i="2" s="1"/>
  <c r="AB2272" i="2"/>
  <c r="AK2272" i="2" s="1"/>
  <c r="AA2253" i="2"/>
  <c r="AB2233" i="2"/>
  <c r="AK2233" i="2" s="1"/>
  <c r="AB2213" i="2"/>
  <c r="AK2213" i="2" s="1"/>
  <c r="AB2209" i="2"/>
  <c r="AK2209" i="2" s="1"/>
  <c r="AB2197" i="2"/>
  <c r="AK2197" i="2" s="1"/>
  <c r="AB2176" i="2"/>
  <c r="AK2176" i="2" s="1"/>
  <c r="AA2170" i="2"/>
  <c r="AJ2170" i="2" s="1"/>
  <c r="AB2165" i="2"/>
  <c r="AK2165" i="2" s="1"/>
  <c r="AA2142" i="2"/>
  <c r="AJ2142" i="2" s="1"/>
  <c r="AA2078" i="2"/>
  <c r="AJ2078" i="2" s="1"/>
  <c r="AB2018" i="2"/>
  <c r="AK2018" i="2" s="1"/>
  <c r="AA2014" i="2"/>
  <c r="AB2009" i="2"/>
  <c r="AK2009" i="2" s="1"/>
  <c r="AB1986" i="2"/>
  <c r="AK1986" i="2" s="1"/>
  <c r="AB1930" i="2"/>
  <c r="AK1930" i="2" s="1"/>
  <c r="AB1878" i="2"/>
  <c r="AK1878" i="2" s="1"/>
  <c r="AA1855" i="2"/>
  <c r="AA1793" i="2"/>
  <c r="AA1775" i="2"/>
  <c r="AA1727" i="2"/>
  <c r="AA1662" i="2"/>
  <c r="AJ1662" i="2" s="1"/>
  <c r="AA1534" i="2"/>
  <c r="AJ1534" i="2" s="1"/>
  <c r="AB1529" i="2"/>
  <c r="AK1529" i="2" s="1"/>
  <c r="AA1519" i="2"/>
  <c r="AJ1519" i="2" s="1"/>
  <c r="AA1495" i="2"/>
  <c r="AB1475" i="2"/>
  <c r="AK1475" i="2" s="1"/>
  <c r="AA1475" i="2"/>
  <c r="AJ1475" i="2" s="1"/>
  <c r="AA1469" i="2"/>
  <c r="AB1421" i="2"/>
  <c r="AK1421" i="2" s="1"/>
  <c r="AA1421" i="2"/>
  <c r="AB1413" i="2"/>
  <c r="AK1413" i="2" s="1"/>
  <c r="AB1321" i="2"/>
  <c r="AK1321" i="2" s="1"/>
  <c r="AA1277" i="2"/>
  <c r="AJ1277" i="2" s="1"/>
  <c r="AB1245" i="2"/>
  <c r="AK1245" i="2" s="1"/>
  <c r="AA1225" i="2"/>
  <c r="AJ1225" i="2" s="1"/>
  <c r="AA1192" i="2"/>
  <c r="AJ1192" i="2" s="1"/>
  <c r="AA1156" i="2"/>
  <c r="AJ1156" i="2" s="1"/>
  <c r="AB1135" i="2"/>
  <c r="AK1135" i="2" s="1"/>
  <c r="AA1084" i="2"/>
  <c r="AA1011" i="2"/>
  <c r="AJ1011" i="2" s="1"/>
  <c r="AB1011" i="2"/>
  <c r="AK1011" i="2" s="1"/>
  <c r="AB1003" i="2"/>
  <c r="AK1003" i="2" s="1"/>
  <c r="AB996" i="2"/>
  <c r="AK996" i="2" s="1"/>
  <c r="AB780" i="2"/>
  <c r="AK780" i="2" s="1"/>
  <c r="AA692" i="2"/>
  <c r="AA612" i="2"/>
  <c r="AJ612" i="2" s="1"/>
  <c r="AB345" i="2"/>
  <c r="AK345" i="2" s="1"/>
  <c r="AA345" i="2"/>
  <c r="AB327" i="2"/>
  <c r="AK327" i="2" s="1"/>
  <c r="AA327" i="2"/>
  <c r="AB320" i="2"/>
  <c r="AK320" i="2" s="1"/>
  <c r="AB291" i="2"/>
  <c r="AK291" i="2" s="1"/>
  <c r="AA291" i="2"/>
  <c r="AA278" i="2"/>
  <c r="AJ278" i="2" s="1"/>
  <c r="AB278" i="2"/>
  <c r="AA251" i="2"/>
  <c r="AA117" i="2"/>
  <c r="AB117" i="2"/>
  <c r="AB2421" i="2"/>
  <c r="AK2421" i="2" s="1"/>
  <c r="AB2405" i="2"/>
  <c r="AK2405" i="2" s="1"/>
  <c r="AA2371" i="2"/>
  <c r="AA2365" i="2"/>
  <c r="AJ2365" i="2" s="1"/>
  <c r="AB2361" i="2"/>
  <c r="AK2361" i="2" s="1"/>
  <c r="AA2341" i="2"/>
  <c r="AB2337" i="2"/>
  <c r="AK2337" i="2" s="1"/>
  <c r="AB2325" i="2"/>
  <c r="AK2325" i="2" s="1"/>
  <c r="AB2300" i="2"/>
  <c r="AK2300" i="2" s="1"/>
  <c r="AB2276" i="2"/>
  <c r="AK2276" i="2" s="1"/>
  <c r="AA2265" i="2"/>
  <c r="AJ2265" i="2" s="1"/>
  <c r="AA2202" i="2"/>
  <c r="AJ2202" i="2" s="1"/>
  <c r="AA2146" i="2"/>
  <c r="AJ2146" i="2" s="1"/>
  <c r="AB2128" i="2"/>
  <c r="AK2128" i="2" s="1"/>
  <c r="AB2101" i="2"/>
  <c r="AK2101" i="2" s="1"/>
  <c r="AB2089" i="2"/>
  <c r="AK2089" i="2" s="1"/>
  <c r="AA2071" i="2"/>
  <c r="AB2066" i="2"/>
  <c r="AK2066" i="2" s="1"/>
  <c r="AA2061" i="2"/>
  <c r="AJ2061" i="2" s="1"/>
  <c r="AB2054" i="2"/>
  <c r="AK2054" i="2" s="1"/>
  <c r="AA2038" i="2"/>
  <c r="AJ2038" i="2" s="1"/>
  <c r="AA1997" i="2"/>
  <c r="AJ1997" i="2" s="1"/>
  <c r="AA1974" i="2"/>
  <c r="AJ1974" i="2" s="1"/>
  <c r="AB1969" i="2"/>
  <c r="AK1969" i="2" s="1"/>
  <c r="AB1962" i="2"/>
  <c r="AK1962" i="2" s="1"/>
  <c r="AB1829" i="2"/>
  <c r="AK1829" i="2" s="1"/>
  <c r="AB1825" i="2"/>
  <c r="AK1825" i="2" s="1"/>
  <c r="AB1813" i="2"/>
  <c r="AK1813" i="2" s="1"/>
  <c r="AB1809" i="2"/>
  <c r="AB1714" i="2"/>
  <c r="AK1714" i="2" s="1"/>
  <c r="AB1614" i="2"/>
  <c r="AK1614" i="2" s="1"/>
  <c r="AB1501" i="2"/>
  <c r="AK1501" i="2" s="1"/>
  <c r="AA1501" i="2"/>
  <c r="AJ1501" i="2" s="1"/>
  <c r="AA1481" i="2"/>
  <c r="AJ1481" i="2" s="1"/>
  <c r="AB1481" i="2"/>
  <c r="AA1380" i="2"/>
  <c r="AJ1380" i="2" s="1"/>
  <c r="AB1380" i="2"/>
  <c r="AK1380" i="2" s="1"/>
  <c r="AB1373" i="2"/>
  <c r="AK1373" i="2" s="1"/>
  <c r="AB1368" i="2"/>
  <c r="AK1368" i="2" s="1"/>
  <c r="AB1172" i="2"/>
  <c r="AK1172" i="2" s="1"/>
  <c r="AB1161" i="2"/>
  <c r="AK1161" i="2" s="1"/>
  <c r="AA641" i="2"/>
  <c r="AJ641" i="2" s="1"/>
  <c r="AB641" i="2"/>
  <c r="AK641" i="2" s="1"/>
  <c r="AA400" i="2"/>
  <c r="AJ400" i="2" s="1"/>
  <c r="AB400" i="2"/>
  <c r="AK400" i="2" s="1"/>
  <c r="AB313" i="2"/>
  <c r="AK313" i="2" s="1"/>
  <c r="AA313" i="2"/>
  <c r="AA243" i="2"/>
  <c r="AJ243" i="2" s="1"/>
  <c r="AB243" i="2"/>
  <c r="AK243" i="2" s="1"/>
  <c r="AB103" i="2"/>
  <c r="AA103" i="2"/>
  <c r="AF103" i="2" s="1"/>
  <c r="AN103" i="2" s="1"/>
  <c r="AA2426" i="2"/>
  <c r="AJ2426" i="2" s="1"/>
  <c r="AA2410" i="2"/>
  <c r="AJ2410" i="2" s="1"/>
  <c r="AA2395" i="2"/>
  <c r="AA2386" i="2"/>
  <c r="AJ2386" i="2" s="1"/>
  <c r="AB2380" i="2"/>
  <c r="AK2380" i="2" s="1"/>
  <c r="AA2347" i="2"/>
  <c r="AA2330" i="2"/>
  <c r="AJ2330" i="2" s="1"/>
  <c r="AB2208" i="2"/>
  <c r="AK2208" i="2" s="1"/>
  <c r="AA2189" i="2"/>
  <c r="AB2049" i="2"/>
  <c r="AK2049" i="2" s="1"/>
  <c r="AA2027" i="2"/>
  <c r="AB2002" i="2"/>
  <c r="AK2002" i="2" s="1"/>
  <c r="AB1842" i="2"/>
  <c r="AK1842" i="2" s="1"/>
  <c r="AA1797" i="2"/>
  <c r="AJ1797" i="2" s="1"/>
  <c r="AB1745" i="2"/>
  <c r="AA1695" i="2"/>
  <c r="AJ1695" i="2" s="1"/>
  <c r="AB1685" i="2"/>
  <c r="AK1685" i="2" s="1"/>
  <c r="AA1667" i="2"/>
  <c r="AJ1667" i="2" s="1"/>
  <c r="AB1661" i="2"/>
  <c r="AK1661" i="2" s="1"/>
  <c r="AA1567" i="2"/>
  <c r="AJ1567" i="2" s="1"/>
  <c r="AA1461" i="2"/>
  <c r="AB1379" i="2"/>
  <c r="AK1379" i="2" s="1"/>
  <c r="AA1345" i="2"/>
  <c r="AJ1345" i="2" s="1"/>
  <c r="AA1307" i="2"/>
  <c r="AJ1307" i="2" s="1"/>
  <c r="AB1307" i="2"/>
  <c r="AK1307" i="2" s="1"/>
  <c r="AB1256" i="2"/>
  <c r="AK1256" i="2" s="1"/>
  <c r="AA1177" i="2"/>
  <c r="AJ1177" i="2" s="1"/>
  <c r="AA1128" i="2"/>
  <c r="AJ1128" i="2" s="1"/>
  <c r="AB1103" i="2"/>
  <c r="AK1103" i="2" s="1"/>
  <c r="AA1016" i="2"/>
  <c r="AJ1016" i="2" s="1"/>
  <c r="AB952" i="2"/>
  <c r="AK952" i="2" s="1"/>
  <c r="AB808" i="2"/>
  <c r="AK808" i="2" s="1"/>
  <c r="AA764" i="2"/>
  <c r="AJ764" i="2" s="1"/>
  <c r="AA750" i="2"/>
  <c r="AB744" i="2"/>
  <c r="AK744" i="2" s="1"/>
  <c r="AA632" i="2"/>
  <c r="AJ632" i="2" s="1"/>
  <c r="AA536" i="2"/>
  <c r="AJ536" i="2" s="1"/>
  <c r="AB536" i="2"/>
  <c r="AA454" i="2"/>
  <c r="AB433" i="2"/>
  <c r="AK433" i="2" s="1"/>
  <c r="AB420" i="2"/>
  <c r="AK420" i="2" s="1"/>
  <c r="AA420" i="2"/>
  <c r="AJ420" i="2" s="1"/>
  <c r="AA412" i="2"/>
  <c r="AJ412" i="2" s="1"/>
  <c r="AA361" i="2"/>
  <c r="AA354" i="2"/>
  <c r="AJ354" i="2" s="1"/>
  <c r="AB354" i="2"/>
  <c r="AB332" i="2"/>
  <c r="AK332" i="2" s="1"/>
  <c r="AA332" i="2"/>
  <c r="AJ332" i="2" s="1"/>
  <c r="AA304" i="2"/>
  <c r="AJ304" i="2" s="1"/>
  <c r="AB304" i="2"/>
  <c r="AK304" i="2" s="1"/>
  <c r="AB256" i="2"/>
  <c r="AK256" i="2" s="1"/>
  <c r="AA227" i="2"/>
  <c r="AB227" i="2"/>
  <c r="AB195" i="2"/>
  <c r="AA148" i="2"/>
  <c r="AF148" i="2" s="1"/>
  <c r="AN148" i="2" s="1"/>
  <c r="AA1493" i="2"/>
  <c r="AJ1493" i="2" s="1"/>
  <c r="AB1493" i="2"/>
  <c r="AK1493" i="2" s="1"/>
  <c r="AA1183" i="2"/>
  <c r="AJ1183" i="2" s="1"/>
  <c r="AB1183" i="2"/>
  <c r="AK1183" i="2" s="1"/>
  <c r="AA1133" i="2"/>
  <c r="AJ1133" i="2" s="1"/>
  <c r="AB1133" i="2"/>
  <c r="AK1133" i="2" s="1"/>
  <c r="AA1075" i="2"/>
  <c r="AJ1075" i="2" s="1"/>
  <c r="AB1075" i="2"/>
  <c r="AK1075" i="2" s="1"/>
  <c r="AB1001" i="2"/>
  <c r="AK1001" i="2" s="1"/>
  <c r="AA1001" i="2"/>
  <c r="AA668" i="2"/>
  <c r="AJ668" i="2" s="1"/>
  <c r="AB668" i="2"/>
  <c r="AK668" i="2" s="1"/>
  <c r="AA392" i="2"/>
  <c r="AJ392" i="2" s="1"/>
  <c r="AB392" i="2"/>
  <c r="AK392" i="2" s="1"/>
  <c r="AA318" i="2"/>
  <c r="AJ318" i="2" s="1"/>
  <c r="AB318" i="2"/>
  <c r="AB289" i="2"/>
  <c r="AK289" i="2" s="1"/>
  <c r="AA289" i="2"/>
  <c r="AA275" i="2"/>
  <c r="AJ275" i="2" s="1"/>
  <c r="AB275" i="2"/>
  <c r="AK275" i="2" s="1"/>
  <c r="AB249" i="2"/>
  <c r="AK249" i="2" s="1"/>
  <c r="AA249" i="2"/>
  <c r="AB115" i="2"/>
  <c r="AA137" i="2"/>
  <c r="AB137" i="2"/>
  <c r="AG137" i="2" s="1"/>
  <c r="AO137" i="2" s="1"/>
  <c r="AA64" i="2"/>
  <c r="AF64" i="2" s="1"/>
  <c r="X339" i="2"/>
  <c r="Y339" i="2" a="1"/>
  <c r="Y339" i="2" s="1"/>
  <c r="X346" i="2"/>
  <c r="Y346" i="2" a="1"/>
  <c r="Y346" i="2" s="1"/>
  <c r="X353" i="2"/>
  <c r="Y353" i="2" a="1"/>
  <c r="Y353" i="2" s="1"/>
  <c r="X361" i="2"/>
  <c r="Y361" i="2" a="1"/>
  <c r="Y361" i="2" s="1"/>
  <c r="X369" i="2"/>
  <c r="Y369" i="2" a="1"/>
  <c r="Y369" i="2" s="1"/>
  <c r="X532" i="2"/>
  <c r="Y532" i="2" a="1"/>
  <c r="Y532" i="2" s="1"/>
  <c r="X740" i="2"/>
  <c r="Y740" i="2" a="1"/>
  <c r="Y740" i="2" s="1"/>
  <c r="X748" i="2"/>
  <c r="Y748" i="2" a="1"/>
  <c r="Y748" i="2" s="1"/>
  <c r="X755" i="2"/>
  <c r="Y755" i="2" a="1"/>
  <c r="Y755" i="2" s="1"/>
  <c r="X763" i="2"/>
  <c r="Y763" i="2" a="1"/>
  <c r="Y763" i="2" s="1"/>
  <c r="X770" i="2"/>
  <c r="Y770" i="2" a="1"/>
  <c r="Y770" i="2" s="1"/>
  <c r="X900" i="2"/>
  <c r="Y900" i="2" a="1"/>
  <c r="Y900" i="2" s="1"/>
  <c r="X908" i="2"/>
  <c r="Y908" i="2" a="1"/>
  <c r="Y908" i="2" s="1"/>
  <c r="X915" i="2"/>
  <c r="Y915" i="2" a="1"/>
  <c r="Y915" i="2" s="1"/>
  <c r="X1126" i="2"/>
  <c r="Y1126" i="2" a="1"/>
  <c r="Y1126" i="2" s="1"/>
  <c r="X1251" i="2"/>
  <c r="Y1251" i="2" a="1"/>
  <c r="Y1251" i="2" s="1"/>
  <c r="X1266" i="2"/>
  <c r="Y1266" i="2" a="1"/>
  <c r="Y1266" i="2" s="1"/>
  <c r="X1274" i="2"/>
  <c r="Y1274" i="2" a="1"/>
  <c r="Y1274" i="2" s="1"/>
  <c r="X1282" i="2"/>
  <c r="Y1282" i="2" a="1"/>
  <c r="Y1282" i="2" s="1"/>
  <c r="X1518" i="2"/>
  <c r="Y1518" i="2" a="1"/>
  <c r="Y1518" i="2" s="1"/>
  <c r="X1525" i="2"/>
  <c r="Y1525" i="2" a="1"/>
  <c r="Y1525" i="2" s="1"/>
  <c r="X1533" i="2"/>
  <c r="Y1533" i="2" a="1"/>
  <c r="Y1533" i="2" s="1"/>
  <c r="X1805" i="2"/>
  <c r="Y1805" i="2" a="1"/>
  <c r="Y1805" i="2" s="1"/>
  <c r="X1812" i="2"/>
  <c r="Y1812" i="2" a="1"/>
  <c r="Y1812" i="2" s="1"/>
  <c r="X1820" i="2"/>
  <c r="Y1820" i="2" a="1"/>
  <c r="Y1820" i="2" s="1"/>
  <c r="X1827" i="2"/>
  <c r="Y1827" i="2" a="1"/>
  <c r="Y1827" i="2" s="1"/>
  <c r="X2108" i="2"/>
  <c r="Y2108" i="2" a="1"/>
  <c r="Y2108" i="2" s="1"/>
  <c r="X2115" i="2"/>
  <c r="Y2115" i="2" a="1"/>
  <c r="Y2115" i="2" s="1"/>
  <c r="X2123" i="2"/>
  <c r="Y2123" i="2" a="1"/>
  <c r="Y2123" i="2" s="1"/>
  <c r="X2131" i="2"/>
  <c r="Y2131" i="2" a="1"/>
  <c r="Y2131" i="2" s="1"/>
  <c r="X2139" i="2"/>
  <c r="Y2139" i="2" a="1"/>
  <c r="Y2139" i="2" s="1"/>
  <c r="X2147" i="2"/>
  <c r="Y2147" i="2" a="1"/>
  <c r="Y2147" i="2" s="1"/>
  <c r="X2154" i="2"/>
  <c r="Y2154" i="2" a="1"/>
  <c r="Y2154" i="2" s="1"/>
  <c r="X2162" i="2"/>
  <c r="Y2162" i="2" a="1"/>
  <c r="Y2162" i="2" s="1"/>
  <c r="X2169" i="2"/>
  <c r="Y2169" i="2" a="1"/>
  <c r="Y2169" i="2" s="1"/>
  <c r="X2177" i="2"/>
  <c r="Y2177" i="2" a="1"/>
  <c r="Y2177" i="2" s="1"/>
  <c r="X2185" i="2"/>
  <c r="Y2185" i="2" a="1"/>
  <c r="Y2185" i="2" s="1"/>
  <c r="X2193" i="2"/>
  <c r="Y2193" i="2" a="1"/>
  <c r="Y2193" i="2" s="1"/>
  <c r="X2412" i="2"/>
  <c r="Y2412" i="2" a="1"/>
  <c r="Y2412" i="2" s="1"/>
  <c r="X2420" i="2"/>
  <c r="Y2420" i="2" a="1"/>
  <c r="Y2420" i="2" s="1"/>
  <c r="X96" i="2"/>
  <c r="X17" i="2"/>
  <c r="X20" i="2"/>
  <c r="X32" i="2"/>
  <c r="X102" i="2"/>
  <c r="X118" i="2"/>
  <c r="X11" i="2"/>
  <c r="X79" i="2"/>
  <c r="X52" i="2"/>
  <c r="X188" i="2"/>
  <c r="X144" i="2"/>
  <c r="X206" i="2"/>
  <c r="X155" i="2"/>
  <c r="X178" i="2"/>
  <c r="X141" i="2"/>
  <c r="X213" i="2"/>
  <c r="X158" i="2"/>
  <c r="X209" i="2"/>
  <c r="X221" i="2"/>
  <c r="X229" i="2"/>
  <c r="X237" i="2"/>
  <c r="X245" i="2"/>
  <c r="Y245" i="2" a="1"/>
  <c r="Y245" i="2" s="1"/>
  <c r="X253" i="2"/>
  <c r="Y253" i="2" a="1"/>
  <c r="Y253" i="2" s="1"/>
  <c r="X261" i="2"/>
  <c r="Y261" i="2" a="1"/>
  <c r="Y261" i="2" s="1"/>
  <c r="X269" i="2"/>
  <c r="Y269" i="2" a="1"/>
  <c r="Y269" i="2" s="1"/>
  <c r="X277" i="2"/>
  <c r="Y277" i="2" a="1"/>
  <c r="Y277" i="2" s="1"/>
  <c r="X285" i="2"/>
  <c r="Y285" i="2" a="1"/>
  <c r="Y285" i="2" s="1"/>
  <c r="X293" i="2"/>
  <c r="Y293" i="2" a="1"/>
  <c r="Y293" i="2" s="1"/>
  <c r="X309" i="2"/>
  <c r="Y309" i="2" a="1"/>
  <c r="Y309" i="2" s="1"/>
  <c r="X316" i="2"/>
  <c r="Y316" i="2" a="1"/>
  <c r="Y316" i="2" s="1"/>
  <c r="X324" i="2"/>
  <c r="Y324" i="2" a="1"/>
  <c r="Y324" i="2" s="1"/>
  <c r="X332" i="2"/>
  <c r="Y332" i="2" a="1"/>
  <c r="Y332" i="2" s="1"/>
  <c r="X509" i="2"/>
  <c r="Y509" i="2" a="1"/>
  <c r="Y509" i="2" s="1"/>
  <c r="X517" i="2"/>
  <c r="Y517" i="2" a="1"/>
  <c r="Y517" i="2" s="1"/>
  <c r="X525" i="2"/>
  <c r="Y525" i="2" a="1"/>
  <c r="Y525" i="2" s="1"/>
  <c r="X702" i="2"/>
  <c r="Y702" i="2" a="1"/>
  <c r="Y702" i="2" s="1"/>
  <c r="X710" i="2"/>
  <c r="Y710" i="2" a="1"/>
  <c r="Y710" i="2" s="1"/>
  <c r="X718" i="2"/>
  <c r="Y718" i="2" a="1"/>
  <c r="Y718" i="2" s="1"/>
  <c r="X725" i="2"/>
  <c r="Y725" i="2" a="1"/>
  <c r="Y725" i="2" s="1"/>
  <c r="X733" i="2"/>
  <c r="Y733" i="2" a="1"/>
  <c r="Y733" i="2" s="1"/>
  <c r="X1089" i="2"/>
  <c r="Y1089" i="2" a="1"/>
  <c r="Y1089" i="2" s="1"/>
  <c r="X1097" i="2"/>
  <c r="Y1097" i="2" a="1"/>
  <c r="Y1097" i="2" s="1"/>
  <c r="X1104" i="2"/>
  <c r="Y1104" i="2" a="1"/>
  <c r="Y1104" i="2" s="1"/>
  <c r="X1112" i="2"/>
  <c r="Y1112" i="2" a="1"/>
  <c r="Y1112" i="2" s="1"/>
  <c r="X1119" i="2"/>
  <c r="Y1119" i="2" a="1"/>
  <c r="Y1119" i="2" s="1"/>
  <c r="X1221" i="2"/>
  <c r="Y1221" i="2" a="1"/>
  <c r="Y1221" i="2" s="1"/>
  <c r="X1228" i="2"/>
  <c r="Y1228" i="2" a="1"/>
  <c r="Y1228" i="2" s="1"/>
  <c r="X1236" i="2"/>
  <c r="Y1236" i="2" a="1"/>
  <c r="Y1236" i="2" s="1"/>
  <c r="X1244" i="2"/>
  <c r="Y1244" i="2" a="1"/>
  <c r="Y1244" i="2" s="1"/>
  <c r="X1511" i="2"/>
  <c r="Y1511" i="2" a="1"/>
  <c r="Y1511" i="2" s="1"/>
  <c r="X1790" i="2"/>
  <c r="Y1790" i="2" a="1"/>
  <c r="Y1790" i="2" s="1"/>
  <c r="X1798" i="2"/>
  <c r="Y1798" i="2" a="1"/>
  <c r="Y1798" i="2" s="1"/>
  <c r="X2397" i="2"/>
  <c r="Y2397" i="2" a="1"/>
  <c r="Y2397" i="2" s="1"/>
  <c r="X2405" i="2"/>
  <c r="Y2405" i="2" a="1"/>
  <c r="Y2405" i="2" s="1"/>
  <c r="AB34" i="2"/>
  <c r="AG34" i="2" s="1"/>
  <c r="X502" i="2"/>
  <c r="Y502" i="2" a="1"/>
  <c r="Y502" i="2" s="1"/>
  <c r="X688" i="2"/>
  <c r="Y688" i="2" a="1"/>
  <c r="Y688" i="2" s="1"/>
  <c r="X695" i="2"/>
  <c r="Y695" i="2" a="1"/>
  <c r="Y695" i="2" s="1"/>
  <c r="X887" i="2"/>
  <c r="Y887" i="2" a="1"/>
  <c r="Y887" i="2" s="1"/>
  <c r="X1082" i="2"/>
  <c r="Y1082" i="2" a="1"/>
  <c r="Y1082" i="2" s="1"/>
  <c r="X1198" i="2"/>
  <c r="Y1198" i="2" a="1"/>
  <c r="Y1198" i="2" s="1"/>
  <c r="X1206" i="2"/>
  <c r="Y1206" i="2" a="1"/>
  <c r="Y1206" i="2" s="1"/>
  <c r="X1214" i="2"/>
  <c r="Y1214" i="2" a="1"/>
  <c r="Y1214" i="2" s="1"/>
  <c r="X1488" i="2"/>
  <c r="Y1488" i="2" a="1"/>
  <c r="Y1488" i="2" s="1"/>
  <c r="X1496" i="2"/>
  <c r="Y1496" i="2" a="1"/>
  <c r="Y1496" i="2" s="1"/>
  <c r="X1504" i="2"/>
  <c r="Y1504" i="2" a="1"/>
  <c r="Y1504" i="2" s="1"/>
  <c r="X1590" i="2"/>
  <c r="Y1590" i="2" a="1"/>
  <c r="Y1590" i="2" s="1"/>
  <c r="X1598" i="2"/>
  <c r="Y1598" i="2" a="1"/>
  <c r="Y1598" i="2" s="1"/>
  <c r="X1605" i="2"/>
  <c r="Y1605" i="2" a="1"/>
  <c r="Y1605" i="2" s="1"/>
  <c r="X1612" i="2"/>
  <c r="Y1612" i="2" a="1"/>
  <c r="Y1612" i="2" s="1"/>
  <c r="X1745" i="2"/>
  <c r="Y1745" i="2" a="1"/>
  <c r="Y1745" i="2" s="1"/>
  <c r="X1752" i="2"/>
  <c r="Y1752" i="2" a="1"/>
  <c r="Y1752" i="2" s="1"/>
  <c r="X1760" i="2"/>
  <c r="Y1760" i="2" a="1"/>
  <c r="Y1760" i="2" s="1"/>
  <c r="X1768" i="2"/>
  <c r="Y1768" i="2" a="1"/>
  <c r="Y1768" i="2" s="1"/>
  <c r="X1776" i="2"/>
  <c r="Y1776" i="2" a="1"/>
  <c r="Y1776" i="2" s="1"/>
  <c r="X1783" i="2"/>
  <c r="Y1783" i="2" a="1"/>
  <c r="Y1783" i="2" s="1"/>
  <c r="X1864" i="2"/>
  <c r="Y1864" i="2" a="1"/>
  <c r="Y1864" i="2" s="1"/>
  <c r="X1871" i="2"/>
  <c r="Y1871" i="2" a="1"/>
  <c r="Y1871" i="2" s="1"/>
  <c r="X1928" i="2"/>
  <c r="Y1928" i="2" a="1"/>
  <c r="Y1928" i="2" s="1"/>
  <c r="X1936" i="2"/>
  <c r="Y1936" i="2" a="1"/>
  <c r="Y1936" i="2" s="1"/>
  <c r="X1944" i="2"/>
  <c r="Y1944" i="2" a="1"/>
  <c r="Y1944" i="2" s="1"/>
  <c r="X1952" i="2"/>
  <c r="Y1952" i="2" a="1"/>
  <c r="Y1952" i="2" s="1"/>
  <c r="X1960" i="2"/>
  <c r="Y1960" i="2" a="1"/>
  <c r="Y1960" i="2" s="1"/>
  <c r="X1968" i="2"/>
  <c r="Y1968" i="2" a="1"/>
  <c r="Y1968" i="2" s="1"/>
  <c r="X1976" i="2"/>
  <c r="Y1976" i="2" a="1"/>
  <c r="Y1976" i="2" s="1"/>
  <c r="X1984" i="2"/>
  <c r="Y1984" i="2" a="1"/>
  <c r="Y1984" i="2" s="1"/>
  <c r="X1992" i="2"/>
  <c r="Y1992" i="2" a="1"/>
  <c r="Y1992" i="2" s="1"/>
  <c r="X2000" i="2"/>
  <c r="Y2000" i="2" a="1"/>
  <c r="Y2000" i="2" s="1"/>
  <c r="X2008" i="2"/>
  <c r="Y2008" i="2" a="1"/>
  <c r="Y2008" i="2" s="1"/>
  <c r="X2016" i="2"/>
  <c r="Y2016" i="2" a="1"/>
  <c r="Y2016" i="2" s="1"/>
  <c r="X2024" i="2"/>
  <c r="Y2024" i="2" a="1"/>
  <c r="Y2024" i="2" s="1"/>
  <c r="X2032" i="2"/>
  <c r="Y2032" i="2" a="1"/>
  <c r="Y2032" i="2" s="1"/>
  <c r="X2040" i="2"/>
  <c r="Y2040" i="2" a="1"/>
  <c r="Y2040" i="2" s="1"/>
  <c r="X2048" i="2"/>
  <c r="Y2048" i="2" a="1"/>
  <c r="Y2048" i="2" s="1"/>
  <c r="X2056" i="2"/>
  <c r="Y2056" i="2" a="1"/>
  <c r="Y2056" i="2" s="1"/>
  <c r="X2064" i="2"/>
  <c r="Y2064" i="2" a="1"/>
  <c r="Y2064" i="2" s="1"/>
  <c r="X2072" i="2"/>
  <c r="Y2072" i="2" a="1"/>
  <c r="Y2072" i="2" s="1"/>
  <c r="X2080" i="2"/>
  <c r="Y2080" i="2" a="1"/>
  <c r="Y2080" i="2" s="1"/>
  <c r="X480" i="2"/>
  <c r="Y480" i="2" a="1"/>
  <c r="Y480" i="2" s="1"/>
  <c r="X488" i="2"/>
  <c r="Y488" i="2" a="1"/>
  <c r="Y488" i="2" s="1"/>
  <c r="X496" i="2"/>
  <c r="Y496" i="2" a="1"/>
  <c r="Y496" i="2" s="1"/>
  <c r="X665" i="2"/>
  <c r="Y665" i="2" a="1"/>
  <c r="Y665" i="2" s="1"/>
  <c r="X673" i="2"/>
  <c r="Y673" i="2" a="1"/>
  <c r="Y673" i="2" s="1"/>
  <c r="X681" i="2"/>
  <c r="Y681" i="2" a="1"/>
  <c r="Y681" i="2" s="1"/>
  <c r="X865" i="2"/>
  <c r="Y865" i="2" a="1"/>
  <c r="Y865" i="2" s="1"/>
  <c r="X1067" i="2"/>
  <c r="Y1067" i="2" a="1"/>
  <c r="Y1067" i="2" s="1"/>
  <c r="X1075" i="2"/>
  <c r="Y1075" i="2" a="1"/>
  <c r="Y1075" i="2" s="1"/>
  <c r="X1191" i="2"/>
  <c r="Y1191" i="2" a="1"/>
  <c r="Y1191" i="2" s="1"/>
  <c r="X1583" i="2"/>
  <c r="Y1583" i="2" a="1"/>
  <c r="Y1583" i="2" s="1"/>
  <c r="X1730" i="2"/>
  <c r="Y1730" i="2" a="1"/>
  <c r="Y1730" i="2" s="1"/>
  <c r="X1738" i="2"/>
  <c r="Y1738" i="2" a="1"/>
  <c r="Y1738" i="2" s="1"/>
  <c r="X1858" i="2"/>
  <c r="Y1858" i="2" a="1"/>
  <c r="Y1858" i="2" s="1"/>
  <c r="X1908" i="2"/>
  <c r="Y1908" i="2" a="1"/>
  <c r="Y1908" i="2" s="1"/>
  <c r="X1916" i="2"/>
  <c r="Y1916" i="2" a="1"/>
  <c r="Y1916" i="2" s="1"/>
  <c r="X2259" i="2"/>
  <c r="Y2259" i="2" a="1"/>
  <c r="Y2259" i="2" s="1"/>
  <c r="X2266" i="2"/>
  <c r="Y2266" i="2" a="1"/>
  <c r="Y2266" i="2" s="1"/>
  <c r="X2274" i="2"/>
  <c r="Y2274" i="2" a="1"/>
  <c r="Y2274" i="2" s="1"/>
  <c r="X2281" i="2"/>
  <c r="Y2281" i="2" a="1"/>
  <c r="Y2281" i="2" s="1"/>
  <c r="X2289" i="2"/>
  <c r="Y2289" i="2" a="1"/>
  <c r="Y2289" i="2" s="1"/>
  <c r="X2297" i="2"/>
  <c r="Y2297" i="2" a="1"/>
  <c r="Y2297" i="2" s="1"/>
  <c r="X2304" i="2"/>
  <c r="Y2304" i="2" a="1"/>
  <c r="Y2304" i="2" s="1"/>
  <c r="X2312" i="2"/>
  <c r="Y2312" i="2" a="1"/>
  <c r="Y2312" i="2" s="1"/>
  <c r="X2320" i="2"/>
  <c r="Y2320" i="2" a="1"/>
  <c r="Y2320" i="2" s="1"/>
  <c r="X2327" i="2"/>
  <c r="Y2327" i="2" a="1"/>
  <c r="Y2327" i="2" s="1"/>
  <c r="X2335" i="2"/>
  <c r="Y2335" i="2" a="1"/>
  <c r="Y2335" i="2" s="1"/>
  <c r="X2343" i="2"/>
  <c r="Y2343" i="2" a="1"/>
  <c r="Y2343" i="2" s="1"/>
  <c r="X2351" i="2"/>
  <c r="Y2351" i="2" a="1"/>
  <c r="Y2351" i="2" s="1"/>
  <c r="Z70" i="2"/>
  <c r="X70" i="2" s="1"/>
  <c r="X451" i="2"/>
  <c r="Y451" i="2" a="1"/>
  <c r="Y451" i="2" s="1"/>
  <c r="X459" i="2"/>
  <c r="Y459" i="2" a="1"/>
  <c r="Y459" i="2" s="1"/>
  <c r="X466" i="2"/>
  <c r="Y466" i="2" a="1"/>
  <c r="Y466" i="2" s="1"/>
  <c r="X473" i="2"/>
  <c r="Y473" i="2" a="1"/>
  <c r="Y473" i="2" s="1"/>
  <c r="X858" i="2"/>
  <c r="Y858" i="2" a="1"/>
  <c r="Y858" i="2" s="1"/>
  <c r="X1052" i="2"/>
  <c r="Y1052" i="2" a="1"/>
  <c r="Y1052" i="2" s="1"/>
  <c r="X1060" i="2"/>
  <c r="Y1060" i="2" a="1"/>
  <c r="Y1060" i="2" s="1"/>
  <c r="X1169" i="2"/>
  <c r="Y1169" i="2" a="1"/>
  <c r="Y1169" i="2" s="1"/>
  <c r="X1177" i="2"/>
  <c r="Y1177" i="2" a="1"/>
  <c r="Y1177" i="2" s="1"/>
  <c r="X1185" i="2"/>
  <c r="Y1185" i="2" a="1"/>
  <c r="Y1185" i="2" s="1"/>
  <c r="X1460" i="2"/>
  <c r="Y1460" i="2" a="1"/>
  <c r="Y1460" i="2" s="1"/>
  <c r="X1468" i="2"/>
  <c r="Y1468" i="2" a="1"/>
  <c r="Y1468" i="2" s="1"/>
  <c r="X1576" i="2"/>
  <c r="Y1576" i="2" a="1"/>
  <c r="Y1576" i="2" s="1"/>
  <c r="X1715" i="2"/>
  <c r="Y1715" i="2" a="1"/>
  <c r="Y1715" i="2" s="1"/>
  <c r="X1723" i="2"/>
  <c r="Y1723" i="2" a="1"/>
  <c r="Y1723" i="2" s="1"/>
  <c r="X1852" i="2"/>
  <c r="Y1852" i="2" a="1"/>
  <c r="Y1852" i="2" s="1"/>
  <c r="X2237" i="2"/>
  <c r="Y2237" i="2" a="1"/>
  <c r="Y2237" i="2" s="1"/>
  <c r="X2245" i="2"/>
  <c r="Y2245" i="2" a="1"/>
  <c r="Y2245" i="2" s="1"/>
  <c r="X2252" i="2"/>
  <c r="Y2252" i="2" a="1"/>
  <c r="Y2252" i="2" s="1"/>
  <c r="X413" i="2"/>
  <c r="Y413" i="2" a="1"/>
  <c r="Y413" i="2" s="1"/>
  <c r="X421" i="2"/>
  <c r="Y421" i="2" a="1"/>
  <c r="Y421" i="2" s="1"/>
  <c r="X429" i="2"/>
  <c r="Y429" i="2" a="1"/>
  <c r="Y429" i="2" s="1"/>
  <c r="X567" i="2"/>
  <c r="Y567" i="2" a="1"/>
  <c r="Y567" i="2" s="1"/>
  <c r="X574" i="2"/>
  <c r="Y574" i="2" a="1"/>
  <c r="Y574" i="2" s="1"/>
  <c r="X613" i="2"/>
  <c r="Y613" i="2" a="1"/>
  <c r="Y613" i="2" s="1"/>
  <c r="X645" i="2"/>
  <c r="Y645" i="2" a="1"/>
  <c r="Y645" i="2" s="1"/>
  <c r="X844" i="2"/>
  <c r="Y844" i="2" a="1"/>
  <c r="Y844" i="2" s="1"/>
  <c r="X851" i="2"/>
  <c r="Y851" i="2" a="1"/>
  <c r="Y851" i="2" s="1"/>
  <c r="X1038" i="2"/>
  <c r="Y1038" i="2" a="1"/>
  <c r="Y1038" i="2" s="1"/>
  <c r="X1046" i="2"/>
  <c r="Y1046" i="2" a="1"/>
  <c r="Y1046" i="2" s="1"/>
  <c r="X1162" i="2"/>
  <c r="Y1162" i="2" a="1"/>
  <c r="Y1162" i="2" s="1"/>
  <c r="X1446" i="2"/>
  <c r="Y1446" i="2" a="1"/>
  <c r="Y1446" i="2" s="1"/>
  <c r="X1453" i="2"/>
  <c r="Y1453" i="2" a="1"/>
  <c r="Y1453" i="2" s="1"/>
  <c r="X1554" i="2"/>
  <c r="Y1554" i="2" a="1"/>
  <c r="Y1554" i="2" s="1"/>
  <c r="X1562" i="2"/>
  <c r="Y1562" i="2" a="1"/>
  <c r="Y1562" i="2" s="1"/>
  <c r="X1570" i="2"/>
  <c r="Y1570" i="2" a="1"/>
  <c r="Y1570" i="2" s="1"/>
  <c r="X1685" i="2"/>
  <c r="Y1685" i="2" a="1"/>
  <c r="Y1685" i="2" s="1"/>
  <c r="X1701" i="2"/>
  <c r="Y1701" i="2" a="1"/>
  <c r="Y1701" i="2" s="1"/>
  <c r="X1708" i="2"/>
  <c r="Y1708" i="2" a="1"/>
  <c r="Y1708" i="2" s="1"/>
  <c r="X1839" i="2"/>
  <c r="Y1839" i="2" a="1"/>
  <c r="Y1839" i="2" s="1"/>
  <c r="X1845" i="2"/>
  <c r="Y1845" i="2" a="1"/>
  <c r="Y1845" i="2" s="1"/>
  <c r="X383" i="2"/>
  <c r="Y383" i="2" a="1"/>
  <c r="Y383" i="2" s="1"/>
  <c r="X391" i="2"/>
  <c r="Y391" i="2" a="1"/>
  <c r="Y391" i="2" s="1"/>
  <c r="X399" i="2"/>
  <c r="Y399" i="2" a="1"/>
  <c r="Y399" i="2" s="1"/>
  <c r="X406" i="2"/>
  <c r="Y406" i="2" a="1"/>
  <c r="Y406" i="2" s="1"/>
  <c r="X553" i="2"/>
  <c r="Y553" i="2" a="1"/>
  <c r="Y553" i="2" s="1"/>
  <c r="X799" i="2"/>
  <c r="Y799" i="2" a="1"/>
  <c r="Y799" i="2" s="1"/>
  <c r="X807" i="2"/>
  <c r="Y807" i="2" a="1"/>
  <c r="Y807" i="2" s="1"/>
  <c r="X815" i="2"/>
  <c r="Y815" i="2" a="1"/>
  <c r="Y815" i="2" s="1"/>
  <c r="X822" i="2"/>
  <c r="Y822" i="2" a="1"/>
  <c r="Y822" i="2" s="1"/>
  <c r="X837" i="2"/>
  <c r="Y837" i="2" a="1"/>
  <c r="Y837" i="2" s="1"/>
  <c r="X1001" i="2"/>
  <c r="Y1001" i="2" a="1"/>
  <c r="Y1001" i="2" s="1"/>
  <c r="X1009" i="2"/>
  <c r="Y1009" i="2" a="1"/>
  <c r="Y1009" i="2" s="1"/>
  <c r="X1023" i="2"/>
  <c r="Y1023" i="2" a="1"/>
  <c r="Y1023" i="2" s="1"/>
  <c r="X1031" i="2"/>
  <c r="Y1031" i="2" a="1"/>
  <c r="Y1031" i="2" s="1"/>
  <c r="X1155" i="2"/>
  <c r="Y1155" i="2" a="1"/>
  <c r="Y1155" i="2" s="1"/>
  <c r="X1351" i="2"/>
  <c r="Y1351" i="2" a="1"/>
  <c r="Y1351" i="2" s="1"/>
  <c r="X1359" i="2"/>
  <c r="Y1359" i="2" a="1"/>
  <c r="Y1359" i="2" s="1"/>
  <c r="X1367" i="2"/>
  <c r="Y1367" i="2" a="1"/>
  <c r="Y1367" i="2" s="1"/>
  <c r="X1375" i="2"/>
  <c r="Y1375" i="2" a="1"/>
  <c r="Y1375" i="2" s="1"/>
  <c r="X1383" i="2"/>
  <c r="Y1383" i="2" a="1"/>
  <c r="Y1383" i="2" s="1"/>
  <c r="X1391" i="2"/>
  <c r="Y1391" i="2" a="1"/>
  <c r="Y1391" i="2" s="1"/>
  <c r="X1399" i="2"/>
  <c r="Y1399" i="2" a="1"/>
  <c r="Y1399" i="2" s="1"/>
  <c r="X1407" i="2"/>
  <c r="Y1407" i="2" a="1"/>
  <c r="Y1407" i="2" s="1"/>
  <c r="X1415" i="2"/>
  <c r="Y1415" i="2" a="1"/>
  <c r="Y1415" i="2" s="1"/>
  <c r="X1423" i="2"/>
  <c r="Y1423" i="2" a="1"/>
  <c r="Y1423" i="2" s="1"/>
  <c r="X1431" i="2"/>
  <c r="Y1431" i="2" a="1"/>
  <c r="Y1431" i="2" s="1"/>
  <c r="X1439" i="2"/>
  <c r="Y1439" i="2" a="1"/>
  <c r="Y1439" i="2" s="1"/>
  <c r="X1547" i="2"/>
  <c r="Y1547" i="2" a="1"/>
  <c r="Y1547" i="2" s="1"/>
  <c r="X1896" i="2"/>
  <c r="Y1896" i="2" a="1"/>
  <c r="Y1896" i="2" s="1"/>
  <c r="X1903" i="2"/>
  <c r="Y1903" i="2" a="1"/>
  <c r="Y1903" i="2" s="1"/>
  <c r="X2215" i="2"/>
  <c r="Y2215" i="2" a="1"/>
  <c r="Y2215" i="2" s="1"/>
  <c r="Z122" i="2"/>
  <c r="X122" i="2" s="1"/>
  <c r="X376" i="2"/>
  <c r="Y376" i="2" a="1"/>
  <c r="Y376" i="2" s="1"/>
  <c r="X538" i="2"/>
  <c r="Y538" i="2" a="1"/>
  <c r="Y538" i="2" s="1"/>
  <c r="X777" i="2"/>
  <c r="Y777" i="2" a="1"/>
  <c r="Y777" i="2" s="1"/>
  <c r="X785" i="2"/>
  <c r="Y785" i="2" a="1"/>
  <c r="Y785" i="2" s="1"/>
  <c r="X922" i="2"/>
  <c r="Y922" i="2" a="1"/>
  <c r="Y922" i="2" s="1"/>
  <c r="X930" i="2"/>
  <c r="Y930" i="2" a="1"/>
  <c r="Y930" i="2" s="1"/>
  <c r="X938" i="2"/>
  <c r="Y938" i="2" a="1"/>
  <c r="Y938" i="2" s="1"/>
  <c r="X946" i="2"/>
  <c r="Y946" i="2" a="1"/>
  <c r="Y946" i="2" s="1"/>
  <c r="X954" i="2"/>
  <c r="Y954" i="2" a="1"/>
  <c r="Y954" i="2" s="1"/>
  <c r="X962" i="2"/>
  <c r="Y962" i="2" a="1"/>
  <c r="Y962" i="2" s="1"/>
  <c r="X970" i="2"/>
  <c r="Y970" i="2" a="1"/>
  <c r="Y970" i="2" s="1"/>
  <c r="X978" i="2"/>
  <c r="Y978" i="2" a="1"/>
  <c r="Y978" i="2" s="1"/>
  <c r="X986" i="2"/>
  <c r="Y986" i="2" a="1"/>
  <c r="Y986" i="2" s="1"/>
  <c r="X994" i="2"/>
  <c r="Y994" i="2" a="1"/>
  <c r="Y994" i="2" s="1"/>
  <c r="X1296" i="2"/>
  <c r="Y1296" i="2" a="1"/>
  <c r="Y1296" i="2" s="1"/>
  <c r="X1540" i="2"/>
  <c r="Y1540" i="2" a="1"/>
  <c r="Y1540" i="2" s="1"/>
  <c r="X1663" i="2"/>
  <c r="Y1663" i="2" a="1"/>
  <c r="Y1663" i="2" s="1"/>
  <c r="X1671" i="2"/>
  <c r="Y1671" i="2" a="1"/>
  <c r="Y1671" i="2" s="1"/>
  <c r="X1884" i="2"/>
  <c r="Y1884" i="2" a="1"/>
  <c r="Y1884" i="2" s="1"/>
  <c r="X2200" i="2"/>
  <c r="Y2200" i="2" a="1"/>
  <c r="Y2200" i="2" s="1"/>
  <c r="X2208" i="2"/>
  <c r="Y2208" i="2" a="1"/>
  <c r="Y2208" i="2" s="1"/>
  <c r="Z72" i="2"/>
  <c r="X72" i="2" s="1"/>
  <c r="Z73" i="2"/>
  <c r="X73" i="2" s="1"/>
  <c r="Z161" i="2"/>
  <c r="X161" i="2" s="1"/>
  <c r="Z125" i="2"/>
  <c r="X125" i="2" s="1"/>
  <c r="Z57" i="2"/>
  <c r="X57" i="2" s="1"/>
  <c r="AA2348" i="2"/>
  <c r="AJ2348" i="2" s="1"/>
  <c r="AB2348" i="2"/>
  <c r="AK2348" i="2" s="1"/>
  <c r="AA2332" i="2"/>
  <c r="AJ2332" i="2" s="1"/>
  <c r="AB2332" i="2"/>
  <c r="AK2332" i="2" s="1"/>
  <c r="AB2314" i="2"/>
  <c r="AK2314" i="2" s="1"/>
  <c r="AA2314" i="2"/>
  <c r="AJ2314" i="2" s="1"/>
  <c r="AB2242" i="2"/>
  <c r="AK2242" i="2" s="1"/>
  <c r="AA2242" i="2"/>
  <c r="AJ2242" i="2" s="1"/>
  <c r="AB2218" i="2"/>
  <c r="AK2218" i="2" s="1"/>
  <c r="AA2218" i="2"/>
  <c r="AJ2218" i="2" s="1"/>
  <c r="AB2178" i="2"/>
  <c r="AK2178" i="2" s="1"/>
  <c r="AA2178" i="2"/>
  <c r="AJ2178" i="2" s="1"/>
  <c r="AB2154" i="2"/>
  <c r="AK2154" i="2" s="1"/>
  <c r="AA2154" i="2"/>
  <c r="AJ2154" i="2" s="1"/>
  <c r="AB2133" i="2"/>
  <c r="AK2133" i="2" s="1"/>
  <c r="AA2114" i="2"/>
  <c r="AJ2114" i="2" s="1"/>
  <c r="AA2108" i="2"/>
  <c r="AJ2108" i="2" s="1"/>
  <c r="AB2108" i="2"/>
  <c r="AK2108" i="2" s="1"/>
  <c r="AA2097" i="2"/>
  <c r="AJ2097" i="2" s="1"/>
  <c r="AB2097" i="2"/>
  <c r="AK2097" i="2" s="1"/>
  <c r="AB2090" i="2"/>
  <c r="AK2090" i="2" s="1"/>
  <c r="AA2090" i="2"/>
  <c r="AJ2090" i="2" s="1"/>
  <c r="AA1981" i="2"/>
  <c r="AB1937" i="2"/>
  <c r="AK1937" i="2" s="1"/>
  <c r="AA1937" i="2"/>
  <c r="AB1905" i="2"/>
  <c r="AK1905" i="2" s="1"/>
  <c r="AA1905" i="2"/>
  <c r="AA1899" i="2"/>
  <c r="AJ1899" i="2" s="1"/>
  <c r="AA1807" i="2"/>
  <c r="AA1651" i="2"/>
  <c r="AJ1651" i="2" s="1"/>
  <c r="AB1631" i="2"/>
  <c r="AK1631" i="2" s="1"/>
  <c r="AA1631" i="2"/>
  <c r="AJ1631" i="2" s="1"/>
  <c r="AA1570" i="2"/>
  <c r="AJ1570" i="2" s="1"/>
  <c r="AB1570" i="2"/>
  <c r="AK1570" i="2" s="1"/>
  <c r="AA1565" i="2"/>
  <c r="AA1554" i="2"/>
  <c r="AJ1554" i="2" s="1"/>
  <c r="AB1554" i="2"/>
  <c r="AK1554" i="2" s="1"/>
  <c r="AA1259" i="2"/>
  <c r="AJ1259" i="2" s="1"/>
  <c r="AB1259" i="2"/>
  <c r="AK1259" i="2" s="1"/>
  <c r="AA1241" i="2"/>
  <c r="AJ1241" i="2" s="1"/>
  <c r="AB1050" i="2"/>
  <c r="AK1050" i="2" s="1"/>
  <c r="AA1050" i="2"/>
  <c r="AB828" i="2"/>
  <c r="AK828" i="2" s="1"/>
  <c r="AA342" i="2"/>
  <c r="AB342" i="2"/>
  <c r="AK342" i="2" s="1"/>
  <c r="AB336" i="2"/>
  <c r="AK336" i="2" s="1"/>
  <c r="AB297" i="2"/>
  <c r="AK297" i="2" s="1"/>
  <c r="AA297" i="2"/>
  <c r="AA183" i="2"/>
  <c r="AB183" i="2"/>
  <c r="AG183" i="2" s="1"/>
  <c r="AO183" i="2" s="1"/>
  <c r="AB25" i="2"/>
  <c r="AB2355" i="2"/>
  <c r="AK2355" i="2" s="1"/>
  <c r="AA2355" i="2"/>
  <c r="AB2307" i="2"/>
  <c r="AK2307" i="2" s="1"/>
  <c r="AA2307" i="2"/>
  <c r="AB2282" i="2"/>
  <c r="AK2282" i="2" s="1"/>
  <c r="AA2282" i="2"/>
  <c r="AJ2282" i="2" s="1"/>
  <c r="AB2254" i="2"/>
  <c r="AK2254" i="2" s="1"/>
  <c r="AA2254" i="2"/>
  <c r="AJ2254" i="2" s="1"/>
  <c r="AB2247" i="2"/>
  <c r="AK2247" i="2" s="1"/>
  <c r="AA2247" i="2"/>
  <c r="AA2241" i="2"/>
  <c r="AJ2241" i="2" s="1"/>
  <c r="AB2241" i="2"/>
  <c r="AK2241" i="2" s="1"/>
  <c r="AA2217" i="2"/>
  <c r="AB2217" i="2"/>
  <c r="AK2217" i="2" s="1"/>
  <c r="AB2190" i="2"/>
  <c r="AK2190" i="2" s="1"/>
  <c r="AA2190" i="2"/>
  <c r="AJ2190" i="2" s="1"/>
  <c r="AB2183" i="2"/>
  <c r="AK2183" i="2" s="1"/>
  <c r="AA2183" i="2"/>
  <c r="AA2177" i="2"/>
  <c r="AJ2177" i="2" s="1"/>
  <c r="AB2177" i="2"/>
  <c r="AK2177" i="2" s="1"/>
  <c r="AA2153" i="2"/>
  <c r="AB2153" i="2"/>
  <c r="AK2153" i="2" s="1"/>
  <c r="AB2073" i="2"/>
  <c r="AK2073" i="2" s="1"/>
  <c r="AA2073" i="2"/>
  <c r="AJ2073" i="2" s="1"/>
  <c r="AA2057" i="2"/>
  <c r="AJ2057" i="2" s="1"/>
  <c r="AB2057" i="2"/>
  <c r="AB1839" i="2"/>
  <c r="AK1839" i="2" s="1"/>
  <c r="AA1839" i="2"/>
  <c r="AB1679" i="2"/>
  <c r="AK1679" i="2" s="1"/>
  <c r="AA1679" i="2"/>
  <c r="AJ1679" i="2" s="1"/>
  <c r="AB1655" i="2"/>
  <c r="AK1655" i="2" s="1"/>
  <c r="AA1655" i="2"/>
  <c r="AB1643" i="2"/>
  <c r="AK1643" i="2" s="1"/>
  <c r="AA1643" i="2"/>
  <c r="AB1575" i="2"/>
  <c r="AK1575" i="2" s="1"/>
  <c r="AA1575" i="2"/>
  <c r="AB1547" i="2"/>
  <c r="AK1547" i="2" s="1"/>
  <c r="AA1547" i="2"/>
  <c r="AB1535" i="2"/>
  <c r="AK1535" i="2" s="1"/>
  <c r="AA1535" i="2"/>
  <c r="AJ1535" i="2" s="1"/>
  <c r="AB1511" i="2"/>
  <c r="AK1511" i="2" s="1"/>
  <c r="AA1511" i="2"/>
  <c r="AB1377" i="2"/>
  <c r="AK1377" i="2" s="1"/>
  <c r="AA1377" i="2"/>
  <c r="AJ1377" i="2" s="1"/>
  <c r="AA1371" i="2"/>
  <c r="AJ1371" i="2" s="1"/>
  <c r="AB1371" i="2"/>
  <c r="AK1371" i="2" s="1"/>
  <c r="AB1289" i="2"/>
  <c r="AK1289" i="2" s="1"/>
  <c r="AA1289" i="2"/>
  <c r="AJ1289" i="2" s="1"/>
  <c r="AB1224" i="2"/>
  <c r="AK1224" i="2" s="1"/>
  <c r="AA1224" i="2"/>
  <c r="AJ1224" i="2" s="1"/>
  <c r="AA1211" i="2"/>
  <c r="AJ1211" i="2" s="1"/>
  <c r="AB1211" i="2"/>
  <c r="AK1211" i="2" s="1"/>
  <c r="AB1160" i="2"/>
  <c r="AK1160" i="2" s="1"/>
  <c r="AA1160" i="2"/>
  <c r="AJ1160" i="2" s="1"/>
  <c r="AB1073" i="2"/>
  <c r="AK1073" i="2" s="1"/>
  <c r="AA1073" i="2"/>
  <c r="AA979" i="2"/>
  <c r="AJ979" i="2" s="1"/>
  <c r="AB979" i="2"/>
  <c r="AK979" i="2" s="1"/>
  <c r="AB406" i="2"/>
  <c r="AK406" i="2" s="1"/>
  <c r="AA406" i="2"/>
  <c r="AB2306" i="2"/>
  <c r="AK2306" i="2" s="1"/>
  <c r="AA2306" i="2"/>
  <c r="AJ2306" i="2" s="1"/>
  <c r="AA2281" i="2"/>
  <c r="AB2281" i="2"/>
  <c r="AK2281" i="2" s="1"/>
  <c r="AB2138" i="2"/>
  <c r="AK2138" i="2" s="1"/>
  <c r="AA2138" i="2"/>
  <c r="AJ2138" i="2" s="1"/>
  <c r="AB2126" i="2"/>
  <c r="AK2126" i="2" s="1"/>
  <c r="AA2126" i="2"/>
  <c r="AJ2126" i="2" s="1"/>
  <c r="AB2119" i="2"/>
  <c r="AK2119" i="2" s="1"/>
  <c r="AA2119" i="2"/>
  <c r="AA2113" i="2"/>
  <c r="AJ2113" i="2" s="1"/>
  <c r="AB2113" i="2"/>
  <c r="AK2113" i="2" s="1"/>
  <c r="AB2106" i="2"/>
  <c r="AK2106" i="2" s="1"/>
  <c r="AA2106" i="2"/>
  <c r="AJ2106" i="2" s="1"/>
  <c r="AA1942" i="2"/>
  <c r="AJ1942" i="2" s="1"/>
  <c r="AB1942" i="2"/>
  <c r="AK1942" i="2" s="1"/>
  <c r="AA1929" i="2"/>
  <c r="AB1929" i="2"/>
  <c r="AK1929" i="2" s="1"/>
  <c r="AB1838" i="2"/>
  <c r="AK1838" i="2" s="1"/>
  <c r="AA1838" i="2"/>
  <c r="AJ1838" i="2" s="1"/>
  <c r="AB1777" i="2"/>
  <c r="AA1777" i="2"/>
  <c r="AJ1777" i="2" s="1"/>
  <c r="AA1327" i="2"/>
  <c r="AJ1327" i="2" s="1"/>
  <c r="AB1327" i="2"/>
  <c r="AK1327" i="2" s="1"/>
  <c r="AA1115" i="2"/>
  <c r="AJ1115" i="2" s="1"/>
  <c r="AB1115" i="2"/>
  <c r="AK1115" i="2" s="1"/>
  <c r="AB782" i="2"/>
  <c r="AK782" i="2" s="1"/>
  <c r="AA782" i="2"/>
  <c r="AA405" i="2"/>
  <c r="AJ405" i="2" s="1"/>
  <c r="AB405" i="2"/>
  <c r="AK405" i="2" s="1"/>
  <c r="AB349" i="2"/>
  <c r="AK349" i="2" s="1"/>
  <c r="AA349" i="2"/>
  <c r="AB149" i="2"/>
  <c r="AA149" i="2"/>
  <c r="AF149" i="2" s="1"/>
  <c r="AB2346" i="2"/>
  <c r="AK2346" i="2" s="1"/>
  <c r="AA2346" i="2"/>
  <c r="AJ2346" i="2" s="1"/>
  <c r="AB2318" i="2"/>
  <c r="AK2318" i="2" s="1"/>
  <c r="AA2318" i="2"/>
  <c r="AJ2318" i="2" s="1"/>
  <c r="AB2311" i="2"/>
  <c r="AK2311" i="2" s="1"/>
  <c r="AA2311" i="2"/>
  <c r="AA2305" i="2"/>
  <c r="AJ2305" i="2" s="1"/>
  <c r="AB2305" i="2"/>
  <c r="AK2305" i="2" s="1"/>
  <c r="AA2275" i="2"/>
  <c r="AA2259" i="2"/>
  <c r="AB2245" i="2"/>
  <c r="AK2245" i="2" s="1"/>
  <c r="AB2222" i="2"/>
  <c r="AK2222" i="2" s="1"/>
  <c r="AA2222" i="2"/>
  <c r="AJ2222" i="2" s="1"/>
  <c r="AA2215" i="2"/>
  <c r="AA2211" i="2"/>
  <c r="AA2195" i="2"/>
  <c r="AB2181" i="2"/>
  <c r="AK2181" i="2" s="1"/>
  <c r="AB2158" i="2"/>
  <c r="AK2158" i="2" s="1"/>
  <c r="AA2158" i="2"/>
  <c r="AJ2158" i="2" s="1"/>
  <c r="AA2151" i="2"/>
  <c r="AA2147" i="2"/>
  <c r="AA2137" i="2"/>
  <c r="AJ2137" i="2" s="1"/>
  <c r="AB2094" i="2"/>
  <c r="AK2094" i="2" s="1"/>
  <c r="AA2094" i="2"/>
  <c r="AJ2094" i="2" s="1"/>
  <c r="AB2077" i="2"/>
  <c r="AK2077" i="2" s="1"/>
  <c r="AB2045" i="2"/>
  <c r="AK2045" i="2" s="1"/>
  <c r="AA2045" i="2"/>
  <c r="AA1989" i="2"/>
  <c r="AJ1989" i="2" s="1"/>
  <c r="AB1934" i="2"/>
  <c r="AK1934" i="2" s="1"/>
  <c r="AA1934" i="2"/>
  <c r="AJ1934" i="2" s="1"/>
  <c r="AB1922" i="2"/>
  <c r="AK1922" i="2" s="1"/>
  <c r="AA1922" i="2"/>
  <c r="AJ1922" i="2" s="1"/>
  <c r="AB1873" i="2"/>
  <c r="AA1873" i="2"/>
  <c r="AJ1873" i="2" s="1"/>
  <c r="AB1729" i="2"/>
  <c r="AK1729" i="2" s="1"/>
  <c r="AB1713" i="2"/>
  <c r="AK1713" i="2" s="1"/>
  <c r="AA1713" i="2"/>
  <c r="AA1433" i="2"/>
  <c r="AB1433" i="2"/>
  <c r="AK1433" i="2" s="1"/>
  <c r="AB1337" i="2"/>
  <c r="AK1337" i="2" s="1"/>
  <c r="AA1337" i="2"/>
  <c r="AJ1337" i="2" s="1"/>
  <c r="AB1320" i="2"/>
  <c r="AK1320" i="2" s="1"/>
  <c r="AA1304" i="2"/>
  <c r="AJ1304" i="2" s="1"/>
  <c r="AB1299" i="2"/>
  <c r="AK1299" i="2" s="1"/>
  <c r="AA1209" i="2"/>
  <c r="AJ1209" i="2" s="1"/>
  <c r="AB1209" i="2"/>
  <c r="AK1209" i="2" s="1"/>
  <c r="AA1145" i="2"/>
  <c r="AJ1145" i="2" s="1"/>
  <c r="AB1145" i="2"/>
  <c r="AK1145" i="2" s="1"/>
  <c r="AB1097" i="2"/>
  <c r="AK1097" i="2" s="1"/>
  <c r="AD1072" i="2"/>
  <c r="AB796" i="2"/>
  <c r="AK796" i="2" s="1"/>
  <c r="AA796" i="2"/>
  <c r="AJ796" i="2" s="1"/>
  <c r="AA472" i="2"/>
  <c r="AJ472" i="2" s="1"/>
  <c r="AB472" i="2"/>
  <c r="AK472" i="2" s="1"/>
  <c r="AB359" i="2"/>
  <c r="AK359" i="2" s="1"/>
  <c r="AA359" i="2"/>
  <c r="AJ359" i="2" s="1"/>
  <c r="AA294" i="2"/>
  <c r="AJ294" i="2" s="1"/>
  <c r="AB294" i="2"/>
  <c r="AA266" i="2"/>
  <c r="AJ266" i="2" s="1"/>
  <c r="AB266" i="2"/>
  <c r="AB250" i="2"/>
  <c r="AA2345" i="2"/>
  <c r="AB2345" i="2"/>
  <c r="AK2345" i="2" s="1"/>
  <c r="AB2286" i="2"/>
  <c r="AK2286" i="2" s="1"/>
  <c r="AA2286" i="2"/>
  <c r="AJ2286" i="2" s="1"/>
  <c r="AA2252" i="2"/>
  <c r="AJ2252" i="2" s="1"/>
  <c r="AB2252" i="2"/>
  <c r="AK2252" i="2" s="1"/>
  <c r="AB2221" i="2"/>
  <c r="AK2221" i="2" s="1"/>
  <c r="AA2221" i="2"/>
  <c r="AA2188" i="2"/>
  <c r="AJ2188" i="2" s="1"/>
  <c r="AB2188" i="2"/>
  <c r="AK2188" i="2" s="1"/>
  <c r="AB2157" i="2"/>
  <c r="AK2157" i="2" s="1"/>
  <c r="AA2157" i="2"/>
  <c r="AB2131" i="2"/>
  <c r="AK2131" i="2" s="1"/>
  <c r="AA2131" i="2"/>
  <c r="AA2124" i="2"/>
  <c r="AJ2124" i="2" s="1"/>
  <c r="AB2124" i="2"/>
  <c r="AK2124" i="2" s="1"/>
  <c r="AB1819" i="2"/>
  <c r="AK1819" i="2" s="1"/>
  <c r="AA1819" i="2"/>
  <c r="AB1741" i="2"/>
  <c r="AK1741" i="2" s="1"/>
  <c r="AA1741" i="2"/>
  <c r="AJ1741" i="2" s="1"/>
  <c r="AA1717" i="2"/>
  <c r="AJ1717" i="2" s="1"/>
  <c r="AB1717" i="2"/>
  <c r="AA1613" i="2"/>
  <c r="AJ1613" i="2" s="1"/>
  <c r="AB1613" i="2"/>
  <c r="AK1613" i="2" s="1"/>
  <c r="AA1562" i="2"/>
  <c r="AJ1562" i="2" s="1"/>
  <c r="AB1562" i="2"/>
  <c r="AK1562" i="2" s="1"/>
  <c r="AB1487" i="2"/>
  <c r="AK1487" i="2" s="1"/>
  <c r="AA1487" i="2"/>
  <c r="AJ1487" i="2" s="1"/>
  <c r="AA1465" i="2"/>
  <c r="AJ1465" i="2" s="1"/>
  <c r="AB1465" i="2"/>
  <c r="AK1465" i="2" s="1"/>
  <c r="AA1151" i="2"/>
  <c r="AJ1151" i="2" s="1"/>
  <c r="AB1151" i="2"/>
  <c r="AK1151" i="2" s="1"/>
  <c r="AA1131" i="2"/>
  <c r="AJ1131" i="2" s="1"/>
  <c r="AB1131" i="2"/>
  <c r="AK1131" i="2" s="1"/>
  <c r="AA1035" i="2"/>
  <c r="AJ1035" i="2" s="1"/>
  <c r="AB1035" i="2"/>
  <c r="AK1035" i="2" s="1"/>
  <c r="AB962" i="2"/>
  <c r="AK962" i="2" s="1"/>
  <c r="AA962" i="2"/>
  <c r="AA840" i="2"/>
  <c r="AB840" i="2"/>
  <c r="AK840" i="2" s="1"/>
  <c r="AA544" i="2"/>
  <c r="AJ544" i="2" s="1"/>
  <c r="AB544" i="2"/>
  <c r="AK544" i="2" s="1"/>
  <c r="AA516" i="2"/>
  <c r="AJ516" i="2" s="1"/>
  <c r="AA272" i="2"/>
  <c r="AB272" i="2"/>
  <c r="AK272" i="2" s="1"/>
  <c r="AB151" i="2"/>
  <c r="AA151" i="2"/>
  <c r="AF151" i="2" s="1"/>
  <c r="AN151" i="2" s="1"/>
  <c r="AA2427" i="2"/>
  <c r="AA2418" i="2"/>
  <c r="AJ2418" i="2" s="1"/>
  <c r="AB2412" i="2"/>
  <c r="AK2412" i="2" s="1"/>
  <c r="AB2285" i="2"/>
  <c r="AK2285" i="2" s="1"/>
  <c r="AA2285" i="2"/>
  <c r="AB2251" i="2"/>
  <c r="AK2251" i="2" s="1"/>
  <c r="AA2251" i="2"/>
  <c r="AB2244" i="2"/>
  <c r="AK2244" i="2" s="1"/>
  <c r="AA2220" i="2"/>
  <c r="AJ2220" i="2" s="1"/>
  <c r="AB2220" i="2"/>
  <c r="AK2220" i="2" s="1"/>
  <c r="AB2187" i="2"/>
  <c r="AK2187" i="2" s="1"/>
  <c r="AA2187" i="2"/>
  <c r="AB2180" i="2"/>
  <c r="AK2180" i="2" s="1"/>
  <c r="AA2156" i="2"/>
  <c r="AJ2156" i="2" s="1"/>
  <c r="AB2156" i="2"/>
  <c r="AK2156" i="2" s="1"/>
  <c r="AB2130" i="2"/>
  <c r="AK2130" i="2" s="1"/>
  <c r="AA2130" i="2"/>
  <c r="AJ2130" i="2" s="1"/>
  <c r="AA2123" i="2"/>
  <c r="AA2092" i="2"/>
  <c r="AJ2092" i="2" s="1"/>
  <c r="AB2092" i="2"/>
  <c r="AK2092" i="2" s="1"/>
  <c r="AB1998" i="2"/>
  <c r="AK1998" i="2" s="1"/>
  <c r="AA1998" i="2"/>
  <c r="AJ1998" i="2" s="1"/>
  <c r="AB1993" i="2"/>
  <c r="AB1966" i="2"/>
  <c r="AK1966" i="2" s="1"/>
  <c r="AA1966" i="2"/>
  <c r="AJ1966" i="2" s="1"/>
  <c r="AA1926" i="2"/>
  <c r="AJ1926" i="2" s="1"/>
  <c r="AA1883" i="2"/>
  <c r="AB1871" i="2"/>
  <c r="AK1871" i="2" s="1"/>
  <c r="AA1871" i="2"/>
  <c r="AA1759" i="2"/>
  <c r="AB1699" i="2"/>
  <c r="AK1699" i="2" s="1"/>
  <c r="AA1699" i="2"/>
  <c r="AJ1699" i="2" s="1"/>
  <c r="AB1687" i="2"/>
  <c r="AK1687" i="2" s="1"/>
  <c r="AA1687" i="2"/>
  <c r="AB1579" i="2"/>
  <c r="AK1579" i="2" s="1"/>
  <c r="AA1579" i="2"/>
  <c r="AB1096" i="2"/>
  <c r="AK1096" i="2" s="1"/>
  <c r="AA1096" i="2"/>
  <c r="AJ1096" i="2" s="1"/>
  <c r="AB976" i="2"/>
  <c r="AK976" i="2" s="1"/>
  <c r="AA976" i="2"/>
  <c r="AB940" i="2"/>
  <c r="AB904" i="2"/>
  <c r="AK904" i="2" s="1"/>
  <c r="AA876" i="2"/>
  <c r="AB876" i="2"/>
  <c r="AK876" i="2" s="1"/>
  <c r="AA712" i="2"/>
  <c r="AB712" i="2"/>
  <c r="AK712" i="2" s="1"/>
  <c r="AB678" i="2"/>
  <c r="AK678" i="2" s="1"/>
  <c r="AA678" i="2"/>
  <c r="AA609" i="2"/>
  <c r="AJ609" i="2" s="1"/>
  <c r="AB609" i="2"/>
  <c r="AK609" i="2" s="1"/>
  <c r="AA373" i="2"/>
  <c r="AB373" i="2"/>
  <c r="AK373" i="2" s="1"/>
  <c r="AB299" i="2"/>
  <c r="AK299" i="2" s="1"/>
  <c r="AA299" i="2"/>
  <c r="AA288" i="2"/>
  <c r="AB288" i="2"/>
  <c r="AK288" i="2" s="1"/>
  <c r="AB219" i="2"/>
  <c r="AA219" i="2"/>
  <c r="AF219" i="2" s="1"/>
  <c r="AA147" i="2"/>
  <c r="AF147" i="2" s="1"/>
  <c r="AN147" i="2" s="1"/>
  <c r="AB147" i="2"/>
  <c r="AB2350" i="2"/>
  <c r="AK2350" i="2" s="1"/>
  <c r="AA2350" i="2"/>
  <c r="AJ2350" i="2" s="1"/>
  <c r="AA2343" i="2"/>
  <c r="AA2316" i="2"/>
  <c r="AJ2316" i="2" s="1"/>
  <c r="AB2316" i="2"/>
  <c r="AK2316" i="2" s="1"/>
  <c r="AD2297" i="2"/>
  <c r="AE2297" i="2" s="1"/>
  <c r="AA2284" i="2"/>
  <c r="AJ2284" i="2" s="1"/>
  <c r="AB2284" i="2"/>
  <c r="AK2284" i="2" s="1"/>
  <c r="AA2268" i="2"/>
  <c r="AJ2268" i="2" s="1"/>
  <c r="AB2268" i="2"/>
  <c r="AK2268" i="2" s="1"/>
  <c r="AB2250" i="2"/>
  <c r="AK2250" i="2" s="1"/>
  <c r="AA2250" i="2"/>
  <c r="AJ2250" i="2" s="1"/>
  <c r="AB2227" i="2"/>
  <c r="AK2227" i="2" s="1"/>
  <c r="AA2227" i="2"/>
  <c r="AA2219" i="2"/>
  <c r="AA2204" i="2"/>
  <c r="AJ2204" i="2" s="1"/>
  <c r="AB2204" i="2"/>
  <c r="AK2204" i="2" s="1"/>
  <c r="AB2186" i="2"/>
  <c r="AK2186" i="2" s="1"/>
  <c r="AA2186" i="2"/>
  <c r="AJ2186" i="2" s="1"/>
  <c r="AB2163" i="2"/>
  <c r="AK2163" i="2" s="1"/>
  <c r="AA2163" i="2"/>
  <c r="AB2081" i="2"/>
  <c r="AK2081" i="2" s="1"/>
  <c r="AA2081" i="2"/>
  <c r="AB2075" i="2"/>
  <c r="AK2075" i="2" s="1"/>
  <c r="AA2075" i="2"/>
  <c r="AA2042" i="2"/>
  <c r="AJ2042" i="2" s="1"/>
  <c r="AB2042" i="2"/>
  <c r="AK2042" i="2" s="1"/>
  <c r="AB1965" i="2"/>
  <c r="AK1965" i="2" s="1"/>
  <c r="AA1965" i="2"/>
  <c r="AA1889" i="2"/>
  <c r="AB1889" i="2"/>
  <c r="AK1889" i="2" s="1"/>
  <c r="AA1858" i="2"/>
  <c r="AJ1858" i="2" s="1"/>
  <c r="AB1858" i="2"/>
  <c r="AK1858" i="2" s="1"/>
  <c r="AB1746" i="2"/>
  <c r="AK1746" i="2" s="1"/>
  <c r="AA1746" i="2"/>
  <c r="AJ1746" i="2" s="1"/>
  <c r="AB1646" i="2"/>
  <c r="AK1646" i="2" s="1"/>
  <c r="AA1646" i="2"/>
  <c r="AJ1646" i="2" s="1"/>
  <c r="AB1611" i="2"/>
  <c r="AK1611" i="2" s="1"/>
  <c r="AA1611" i="2"/>
  <c r="AB1599" i="2"/>
  <c r="AK1599" i="2" s="1"/>
  <c r="AA1599" i="2"/>
  <c r="AJ1599" i="2" s="1"/>
  <c r="AA1585" i="2"/>
  <c r="AB1585" i="2"/>
  <c r="AK1585" i="2" s="1"/>
  <c r="AB1527" i="2"/>
  <c r="AK1527" i="2" s="1"/>
  <c r="AA1527" i="2"/>
  <c r="AB1491" i="2"/>
  <c r="AK1491" i="2" s="1"/>
  <c r="AA1491" i="2"/>
  <c r="AJ1491" i="2" s="1"/>
  <c r="AA1485" i="2"/>
  <c r="AJ1485" i="2" s="1"/>
  <c r="AB1485" i="2"/>
  <c r="AK1485" i="2" s="1"/>
  <c r="AB1353" i="2"/>
  <c r="AK1353" i="2" s="1"/>
  <c r="AA1353" i="2"/>
  <c r="AJ1353" i="2" s="1"/>
  <c r="AB1324" i="2"/>
  <c r="AK1324" i="2" s="1"/>
  <c r="AA1324" i="2"/>
  <c r="AJ1324" i="2" s="1"/>
  <c r="AA759" i="2"/>
  <c r="AJ759" i="2" s="1"/>
  <c r="AB759" i="2"/>
  <c r="AB97" i="2"/>
  <c r="AG97" i="2" s="1"/>
  <c r="AO97" i="2" s="1"/>
  <c r="AB2349" i="2"/>
  <c r="AK2349" i="2" s="1"/>
  <c r="AA2349" i="2"/>
  <c r="AB2315" i="2"/>
  <c r="AK2315" i="2" s="1"/>
  <c r="AA2315" i="2"/>
  <c r="AB2291" i="2"/>
  <c r="AK2291" i="2" s="1"/>
  <c r="AA2291" i="2"/>
  <c r="AB2243" i="2"/>
  <c r="AK2243" i="2" s="1"/>
  <c r="AA2243" i="2"/>
  <c r="AB2179" i="2"/>
  <c r="AK2179" i="2" s="1"/>
  <c r="AA2179" i="2"/>
  <c r="AB2122" i="2"/>
  <c r="AK2122" i="2" s="1"/>
  <c r="AA2122" i="2"/>
  <c r="AJ2122" i="2" s="1"/>
  <c r="AB2115" i="2"/>
  <c r="AK2115" i="2" s="1"/>
  <c r="AA2115" i="2"/>
  <c r="AB2059" i="2"/>
  <c r="AK2059" i="2" s="1"/>
  <c r="AA2059" i="2"/>
  <c r="AJ2059" i="2" s="1"/>
  <c r="AB1791" i="2"/>
  <c r="AK1791" i="2" s="1"/>
  <c r="AA1791" i="2"/>
  <c r="AA1645" i="2"/>
  <c r="AJ1645" i="2" s="1"/>
  <c r="AB1645" i="2"/>
  <c r="AK1645" i="2" s="1"/>
  <c r="AB1598" i="2"/>
  <c r="AK1598" i="2" s="1"/>
  <c r="AA1598" i="2"/>
  <c r="AJ1598" i="2" s="1"/>
  <c r="AA1124" i="2"/>
  <c r="AJ1124" i="2" s="1"/>
  <c r="AB1124" i="2"/>
  <c r="AK1124" i="2" s="1"/>
  <c r="AB994" i="2"/>
  <c r="AK994" i="2" s="1"/>
  <c r="AA994" i="2"/>
  <c r="AA924" i="2"/>
  <c r="AB924" i="2"/>
  <c r="AK924" i="2" s="1"/>
  <c r="AB528" i="2"/>
  <c r="AK528" i="2" s="1"/>
  <c r="AA528" i="2"/>
  <c r="AB321" i="2"/>
  <c r="AK321" i="2" s="1"/>
  <c r="AA321" i="2"/>
  <c r="AA286" i="2"/>
  <c r="AJ286" i="2" s="1"/>
  <c r="AB286" i="2"/>
  <c r="AA242" i="2"/>
  <c r="AJ242" i="2" s="1"/>
  <c r="AB242" i="2"/>
  <c r="AA176" i="2"/>
  <c r="AB176" i="2"/>
  <c r="AG176" i="2" s="1"/>
  <c r="AO176" i="2" s="1"/>
  <c r="AB113" i="2"/>
  <c r="AA113" i="2"/>
  <c r="AF113" i="2" s="1"/>
  <c r="AA54" i="2"/>
  <c r="AF54" i="2" s="1"/>
  <c r="AD1961" i="2"/>
  <c r="AB1841" i="2"/>
  <c r="AA1841" i="2"/>
  <c r="AJ1841" i="2" s="1"/>
  <c r="AB1635" i="2"/>
  <c r="AK1635" i="2" s="1"/>
  <c r="AA1635" i="2"/>
  <c r="AJ1635" i="2" s="1"/>
  <c r="AB1587" i="2"/>
  <c r="AK1587" i="2" s="1"/>
  <c r="AA1587" i="2"/>
  <c r="AJ1587" i="2" s="1"/>
  <c r="AA1577" i="2"/>
  <c r="AB1577" i="2"/>
  <c r="AK1577" i="2" s="1"/>
  <c r="AA1343" i="2"/>
  <c r="AJ1343" i="2" s="1"/>
  <c r="AB1343" i="2"/>
  <c r="AK1343" i="2" s="1"/>
  <c r="AA1231" i="2"/>
  <c r="AJ1231" i="2" s="1"/>
  <c r="AB1231" i="2"/>
  <c r="AK1231" i="2" s="1"/>
  <c r="AA1195" i="2"/>
  <c r="AJ1195" i="2" s="1"/>
  <c r="AB1195" i="2"/>
  <c r="AK1195" i="2" s="1"/>
  <c r="AA1167" i="2"/>
  <c r="AJ1167" i="2" s="1"/>
  <c r="AB1167" i="2"/>
  <c r="AK1167" i="2" s="1"/>
  <c r="AA1099" i="2"/>
  <c r="AJ1099" i="2" s="1"/>
  <c r="AB1099" i="2"/>
  <c r="AK1099" i="2" s="1"/>
  <c r="AD1020" i="2"/>
  <c r="AA1008" i="2"/>
  <c r="AB1008" i="2"/>
  <c r="AK1008" i="2" s="1"/>
  <c r="AD936" i="2"/>
  <c r="AA844" i="2"/>
  <c r="AB844" i="2"/>
  <c r="AK844" i="2" s="1"/>
  <c r="AB766" i="2"/>
  <c r="AK766" i="2" s="1"/>
  <c r="AA766" i="2"/>
  <c r="AA673" i="2"/>
  <c r="AJ673" i="2" s="1"/>
  <c r="AB673" i="2"/>
  <c r="AK673" i="2" s="1"/>
  <c r="AB596" i="2"/>
  <c r="AK596" i="2" s="1"/>
  <c r="AA596" i="2"/>
  <c r="AA552" i="2"/>
  <c r="AJ552" i="2" s="1"/>
  <c r="AB552" i="2"/>
  <c r="AA437" i="2"/>
  <c r="AJ437" i="2" s="1"/>
  <c r="AB437" i="2"/>
  <c r="AK437" i="2" s="1"/>
  <c r="AB355" i="2"/>
  <c r="AK355" i="2" s="1"/>
  <c r="AA355" i="2"/>
  <c r="AB337" i="2"/>
  <c r="AK337" i="2" s="1"/>
  <c r="AA337" i="2"/>
  <c r="AB305" i="2"/>
  <c r="AK305" i="2" s="1"/>
  <c r="AA305" i="2"/>
  <c r="AA267" i="2"/>
  <c r="AB267" i="2"/>
  <c r="AK267" i="2" s="1"/>
  <c r="AA240" i="2"/>
  <c r="AB240" i="2"/>
  <c r="AK240" i="2" s="1"/>
  <c r="AA234" i="2"/>
  <c r="AJ234" i="2" s="1"/>
  <c r="AB234" i="2"/>
  <c r="AB217" i="2"/>
  <c r="AA217" i="2"/>
  <c r="AF217" i="2" s="1"/>
  <c r="AA138" i="2"/>
  <c r="AB138" i="2"/>
  <c r="AG138" i="2" s="1"/>
  <c r="AO138" i="2" s="1"/>
  <c r="AA22" i="2"/>
  <c r="AF22" i="2" s="1"/>
  <c r="AB22" i="2"/>
  <c r="AA37" i="2"/>
  <c r="AB37" i="2"/>
  <c r="AG37" i="2" s="1"/>
  <c r="AO37" i="2" s="1"/>
  <c r="AA222" i="2"/>
  <c r="AB222" i="2"/>
  <c r="AG222" i="2" s="1"/>
  <c r="AO222" i="2" s="1"/>
  <c r="AB1979" i="2"/>
  <c r="AK1979" i="2" s="1"/>
  <c r="AA1979" i="2"/>
  <c r="AB1870" i="2"/>
  <c r="AK1870" i="2" s="1"/>
  <c r="AA1870" i="2"/>
  <c r="AJ1870" i="2" s="1"/>
  <c r="AD1765" i="2"/>
  <c r="AM1765" i="2" s="1"/>
  <c r="AB1711" i="2"/>
  <c r="AK1711" i="2" s="1"/>
  <c r="AA1711" i="2"/>
  <c r="AA1677" i="2"/>
  <c r="AJ1677" i="2" s="1"/>
  <c r="AB1677" i="2"/>
  <c r="AK1677" i="2" s="1"/>
  <c r="AA1553" i="2"/>
  <c r="AB1553" i="2"/>
  <c r="AK1553" i="2" s="1"/>
  <c r="AA1506" i="2"/>
  <c r="AJ1506" i="2" s="1"/>
  <c r="AB1506" i="2"/>
  <c r="AK1506" i="2" s="1"/>
  <c r="AB1372" i="2"/>
  <c r="AK1372" i="2" s="1"/>
  <c r="AA1372" i="2"/>
  <c r="AJ1372" i="2" s="1"/>
  <c r="AA1275" i="2"/>
  <c r="AJ1275" i="2" s="1"/>
  <c r="AB1275" i="2"/>
  <c r="AK1275" i="2" s="1"/>
  <c r="AB1268" i="2"/>
  <c r="AK1268" i="2" s="1"/>
  <c r="AA1268" i="2"/>
  <c r="AJ1268" i="2" s="1"/>
  <c r="AB1204" i="2"/>
  <c r="AK1204" i="2" s="1"/>
  <c r="AA1204" i="2"/>
  <c r="AJ1204" i="2" s="1"/>
  <c r="AB1065" i="2"/>
  <c r="AK1065" i="2" s="1"/>
  <c r="AA1065" i="2"/>
  <c r="AA656" i="2"/>
  <c r="AJ656" i="2" s="1"/>
  <c r="AB656" i="2"/>
  <c r="AK656" i="2" s="1"/>
  <c r="AA456" i="2"/>
  <c r="AJ456" i="2" s="1"/>
  <c r="AB456" i="2"/>
  <c r="AK456" i="2" s="1"/>
  <c r="AB374" i="2"/>
  <c r="AK374" i="2" s="1"/>
  <c r="AA374" i="2"/>
  <c r="AA364" i="2"/>
  <c r="AJ364" i="2" s="1"/>
  <c r="AB364" i="2"/>
  <c r="AA314" i="2"/>
  <c r="AJ314" i="2" s="1"/>
  <c r="AB314" i="2"/>
  <c r="AA302" i="2"/>
  <c r="AJ302" i="2" s="1"/>
  <c r="AB302" i="2"/>
  <c r="AA177" i="2"/>
  <c r="AB177" i="2"/>
  <c r="AG177" i="2" s="1"/>
  <c r="AO177" i="2" s="1"/>
  <c r="AA12" i="2"/>
  <c r="AA2125" i="2"/>
  <c r="AB2116" i="2"/>
  <c r="AK2116" i="2" s="1"/>
  <c r="AB2112" i="2"/>
  <c r="AK2112" i="2" s="1"/>
  <c r="AA2107" i="2"/>
  <c r="AA2103" i="2"/>
  <c r="AA2093" i="2"/>
  <c r="AB2085" i="2"/>
  <c r="AA2058" i="2"/>
  <c r="AA2033" i="2"/>
  <c r="AA2021" i="2"/>
  <c r="AJ2021" i="2" s="1"/>
  <c r="AA2013" i="2"/>
  <c r="AD1957" i="2"/>
  <c r="AE1957" i="2" s="1"/>
  <c r="AA1919" i="2"/>
  <c r="AJ1919" i="2" s="1"/>
  <c r="AA1906" i="2"/>
  <c r="AJ1906" i="2" s="1"/>
  <c r="AA1890" i="2"/>
  <c r="AJ1890" i="2" s="1"/>
  <c r="AA1885" i="2"/>
  <c r="AJ1885" i="2" s="1"/>
  <c r="AB1874" i="2"/>
  <c r="AK1874" i="2" s="1"/>
  <c r="AB1835" i="2"/>
  <c r="AK1835" i="2" s="1"/>
  <c r="AA1835" i="2"/>
  <c r="AJ1835" i="2" s="1"/>
  <c r="AA1743" i="2"/>
  <c r="AA1726" i="2"/>
  <c r="AJ1726" i="2" s="1"/>
  <c r="AB1703" i="2"/>
  <c r="AK1703" i="2" s="1"/>
  <c r="AA1703" i="2"/>
  <c r="AA1647" i="2"/>
  <c r="AJ1647" i="2" s="1"/>
  <c r="AA1621" i="2"/>
  <c r="AJ1621" i="2" s="1"/>
  <c r="AB1621" i="2"/>
  <c r="AK1621" i="2" s="1"/>
  <c r="AB1561" i="2"/>
  <c r="AK1561" i="2" s="1"/>
  <c r="AA1494" i="2"/>
  <c r="AJ1494" i="2" s="1"/>
  <c r="AA1457" i="2"/>
  <c r="AJ1457" i="2" s="1"/>
  <c r="AB1405" i="2"/>
  <c r="AK1405" i="2" s="1"/>
  <c r="AA1405" i="2"/>
  <c r="AA1391" i="2"/>
  <c r="AJ1391" i="2" s="1"/>
  <c r="AB1391" i="2"/>
  <c r="AK1391" i="2" s="1"/>
  <c r="AA1323" i="2"/>
  <c r="AJ1323" i="2" s="1"/>
  <c r="AB1323" i="2"/>
  <c r="AK1323" i="2" s="1"/>
  <c r="AA1311" i="2"/>
  <c r="AJ1311" i="2" s="1"/>
  <c r="AB1311" i="2"/>
  <c r="AK1311" i="2" s="1"/>
  <c r="AB1291" i="2"/>
  <c r="AK1291" i="2" s="1"/>
  <c r="AA1273" i="2"/>
  <c r="AJ1273" i="2" s="1"/>
  <c r="AB1273" i="2"/>
  <c r="AK1273" i="2" s="1"/>
  <c r="AA1227" i="2"/>
  <c r="AJ1227" i="2" s="1"/>
  <c r="AB1227" i="2"/>
  <c r="AK1227" i="2" s="1"/>
  <c r="AA1215" i="2"/>
  <c r="AJ1215" i="2" s="1"/>
  <c r="AB1215" i="2"/>
  <c r="AK1215" i="2" s="1"/>
  <c r="AB1082" i="2"/>
  <c r="AK1082" i="2" s="1"/>
  <c r="AA1082" i="2"/>
  <c r="AA1009" i="2"/>
  <c r="AA964" i="2"/>
  <c r="AJ964" i="2" s="1"/>
  <c r="AA860" i="2"/>
  <c r="AB860" i="2"/>
  <c r="AK860" i="2" s="1"/>
  <c r="AB824" i="2"/>
  <c r="AK824" i="2" s="1"/>
  <c r="AA824" i="2"/>
  <c r="AA604" i="2"/>
  <c r="AB604" i="2"/>
  <c r="AK604" i="2" s="1"/>
  <c r="AA584" i="2"/>
  <c r="AJ584" i="2" s="1"/>
  <c r="AB584" i="2"/>
  <c r="AK584" i="2" s="1"/>
  <c r="AB504" i="2"/>
  <c r="AK504" i="2" s="1"/>
  <c r="AB416" i="2"/>
  <c r="AA416" i="2"/>
  <c r="AJ416" i="2" s="1"/>
  <c r="AA347" i="2"/>
  <c r="AB323" i="2"/>
  <c r="AK323" i="2" s="1"/>
  <c r="AA323" i="2"/>
  <c r="AB257" i="2"/>
  <c r="AK257" i="2" s="1"/>
  <c r="AA257" i="2"/>
  <c r="AA241" i="2"/>
  <c r="AB235" i="2"/>
  <c r="AA179" i="2"/>
  <c r="AF179" i="2" s="1"/>
  <c r="AA140" i="2"/>
  <c r="AB140" i="2"/>
  <c r="AG140" i="2" s="1"/>
  <c r="AO140" i="2" s="1"/>
  <c r="AA168" i="2"/>
  <c r="AB168" i="2"/>
  <c r="AG168" i="2" s="1"/>
  <c r="AO168" i="2" s="1"/>
  <c r="AA47" i="2"/>
  <c r="AF47" i="2" s="1"/>
  <c r="AA1749" i="2"/>
  <c r="AJ1749" i="2" s="1"/>
  <c r="AB1749" i="2"/>
  <c r="AK1749" i="2" s="1"/>
  <c r="AA1730" i="2"/>
  <c r="AJ1730" i="2" s="1"/>
  <c r="AB1730" i="2"/>
  <c r="AK1730" i="2" s="1"/>
  <c r="AA1702" i="2"/>
  <c r="AJ1702" i="2" s="1"/>
  <c r="AB1702" i="2"/>
  <c r="AK1702" i="2" s="1"/>
  <c r="AA1669" i="2"/>
  <c r="AJ1669" i="2" s="1"/>
  <c r="AB1669" i="2"/>
  <c r="AK1669" i="2" s="1"/>
  <c r="AB1607" i="2"/>
  <c r="AK1607" i="2" s="1"/>
  <c r="AA1607" i="2"/>
  <c r="AB1583" i="2"/>
  <c r="AK1583" i="2" s="1"/>
  <c r="AA1583" i="2"/>
  <c r="AJ1583" i="2" s="1"/>
  <c r="AA1545" i="2"/>
  <c r="AB1545" i="2"/>
  <c r="AK1545" i="2" s="1"/>
  <c r="AB1503" i="2"/>
  <c r="AK1503" i="2" s="1"/>
  <c r="AA1503" i="2"/>
  <c r="AJ1503" i="2" s="1"/>
  <c r="AA1375" i="2"/>
  <c r="AJ1375" i="2" s="1"/>
  <c r="AB1375" i="2"/>
  <c r="AK1375" i="2" s="1"/>
  <c r="AA1243" i="2"/>
  <c r="AJ1243" i="2" s="1"/>
  <c r="AB1243" i="2"/>
  <c r="AK1243" i="2" s="1"/>
  <c r="AA1179" i="2"/>
  <c r="AJ1179" i="2" s="1"/>
  <c r="AB1179" i="2"/>
  <c r="AK1179" i="2" s="1"/>
  <c r="AB1140" i="2"/>
  <c r="AK1140" i="2" s="1"/>
  <c r="AA1140" i="2"/>
  <c r="AJ1140" i="2" s="1"/>
  <c r="AA988" i="2"/>
  <c r="AB988" i="2"/>
  <c r="AK988" i="2" s="1"/>
  <c r="AA908" i="2"/>
  <c r="AB908" i="2"/>
  <c r="AK908" i="2" s="1"/>
  <c r="AA775" i="2"/>
  <c r="AJ775" i="2" s="1"/>
  <c r="AB775" i="2"/>
  <c r="AA727" i="2"/>
  <c r="AJ727" i="2" s="1"/>
  <c r="AB727" i="2"/>
  <c r="AA680" i="2"/>
  <c r="AB680" i="2"/>
  <c r="AK680" i="2" s="1"/>
  <c r="AA568" i="2"/>
  <c r="AJ568" i="2" s="1"/>
  <c r="AB568" i="2"/>
  <c r="AK568" i="2" s="1"/>
  <c r="AB422" i="2"/>
  <c r="AK422" i="2" s="1"/>
  <c r="AA422" i="2"/>
  <c r="AA306" i="2"/>
  <c r="AJ306" i="2" s="1"/>
  <c r="AB306" i="2"/>
  <c r="AA189" i="2"/>
  <c r="AB189" i="2"/>
  <c r="AG189" i="2" s="1"/>
  <c r="AO189" i="2" s="1"/>
  <c r="AA66" i="2"/>
  <c r="AF66" i="2" s="1"/>
  <c r="AN66" i="2" s="1"/>
  <c r="AB66" i="2"/>
  <c r="AB1663" i="2"/>
  <c r="AK1663" i="2" s="1"/>
  <c r="AA1663" i="2"/>
  <c r="AJ1663" i="2" s="1"/>
  <c r="AA1387" i="2"/>
  <c r="AJ1387" i="2" s="1"/>
  <c r="AB1387" i="2"/>
  <c r="AK1387" i="2" s="1"/>
  <c r="AA1247" i="2"/>
  <c r="AJ1247" i="2" s="1"/>
  <c r="AB1247" i="2"/>
  <c r="AK1247" i="2" s="1"/>
  <c r="AA791" i="2"/>
  <c r="AJ791" i="2" s="1"/>
  <c r="AB791" i="2"/>
  <c r="AA636" i="2"/>
  <c r="AB636" i="2"/>
  <c r="AK636" i="2" s="1"/>
  <c r="AD425" i="2"/>
  <c r="AB335" i="2"/>
  <c r="AK335" i="2" s="1"/>
  <c r="AA335" i="2"/>
  <c r="AB173" i="2"/>
  <c r="AA173" i="2"/>
  <c r="AF173" i="2" s="1"/>
  <c r="AA26" i="2"/>
  <c r="I56" i="13"/>
  <c r="H56" i="13"/>
  <c r="G56" i="13"/>
  <c r="F56" i="13"/>
  <c r="E56" i="13"/>
  <c r="D56" i="13"/>
  <c r="J56" i="13"/>
  <c r="B56" i="13"/>
  <c r="C56" i="13"/>
  <c r="AB1823" i="2"/>
  <c r="AK1823" i="2" s="1"/>
  <c r="AA1823" i="2"/>
  <c r="AD1797" i="2"/>
  <c r="AE1797" i="2" s="1"/>
  <c r="AB1709" i="2"/>
  <c r="AK1709" i="2" s="1"/>
  <c r="AA1709" i="2"/>
  <c r="AJ1709" i="2" s="1"/>
  <c r="AB1671" i="2"/>
  <c r="AK1671" i="2" s="1"/>
  <c r="AA1671" i="2"/>
  <c r="AB1615" i="2"/>
  <c r="AK1615" i="2" s="1"/>
  <c r="AA1615" i="2"/>
  <c r="AJ1615" i="2" s="1"/>
  <c r="AB1478" i="2"/>
  <c r="AK1478" i="2" s="1"/>
  <c r="AA1478" i="2"/>
  <c r="AJ1478" i="2" s="1"/>
  <c r="AB1149" i="2"/>
  <c r="AK1149" i="2" s="1"/>
  <c r="AA1149" i="2"/>
  <c r="AJ1149" i="2" s="1"/>
  <c r="AA971" i="2"/>
  <c r="AJ971" i="2" s="1"/>
  <c r="AB971" i="2"/>
  <c r="AK971" i="2" s="1"/>
  <c r="AA743" i="2"/>
  <c r="AJ743" i="2" s="1"/>
  <c r="AB743" i="2"/>
  <c r="AB572" i="2"/>
  <c r="AK572" i="2" s="1"/>
  <c r="AA572" i="2"/>
  <c r="AJ572" i="2" s="1"/>
  <c r="AB428" i="2"/>
  <c r="AK428" i="2" s="1"/>
  <c r="AA428" i="2"/>
  <c r="AJ428" i="2" s="1"/>
  <c r="AB273" i="2"/>
  <c r="AK273" i="2" s="1"/>
  <c r="AA273" i="2"/>
  <c r="AD256" i="2"/>
  <c r="AA191" i="2"/>
  <c r="AF191" i="2" s="1"/>
  <c r="AN191" i="2" s="1"/>
  <c r="AB191" i="2"/>
  <c r="E57" i="13"/>
  <c r="J57" i="13"/>
  <c r="B57" i="13"/>
  <c r="I57" i="13"/>
  <c r="G57" i="13"/>
  <c r="AB1639" i="2"/>
  <c r="AK1639" i="2" s="1"/>
  <c r="AA1639" i="2"/>
  <c r="AA1339" i="2"/>
  <c r="AJ1339" i="2" s="1"/>
  <c r="AB1339" i="2"/>
  <c r="AK1339" i="2" s="1"/>
  <c r="AB1018" i="2"/>
  <c r="AK1018" i="2" s="1"/>
  <c r="AA1018" i="2"/>
  <c r="AB616" i="2"/>
  <c r="AK616" i="2" s="1"/>
  <c r="AA616" i="2"/>
  <c r="AJ616" i="2" s="1"/>
  <c r="AD384" i="2"/>
  <c r="AA262" i="2"/>
  <c r="AJ262" i="2" s="1"/>
  <c r="AB262" i="2"/>
  <c r="AB211" i="2"/>
  <c r="AG211" i="2" s="1"/>
  <c r="AO211" i="2" s="1"/>
  <c r="J33" i="13"/>
  <c r="A53" i="13"/>
  <c r="J55" i="13"/>
  <c r="B55" i="13"/>
  <c r="AD892" i="2"/>
  <c r="AD369" i="2"/>
  <c r="I51" i="13"/>
  <c r="H54" i="13"/>
  <c r="Z136" i="8"/>
  <c r="Z187" i="8"/>
  <c r="Z54" i="8"/>
  <c r="Z92" i="8"/>
  <c r="Z130" i="8"/>
  <c r="Z174" i="8"/>
  <c r="Z181" i="8"/>
  <c r="D51" i="13"/>
  <c r="Z48" i="8"/>
  <c r="Z86" i="8"/>
  <c r="Z168" i="8"/>
  <c r="AB9" i="2"/>
  <c r="AB33" i="2"/>
  <c r="AG33" i="2" s="1"/>
  <c r="AB24" i="2"/>
  <c r="AG24" i="2" s="1"/>
  <c r="H50" i="13"/>
  <c r="E51" i="13"/>
  <c r="B52" i="13"/>
  <c r="J52" i="13"/>
  <c r="D54" i="13"/>
  <c r="H58" i="13"/>
  <c r="Z42" i="8"/>
  <c r="Z117" i="8"/>
  <c r="Z162" i="8"/>
  <c r="Z198" i="8"/>
  <c r="AB16" i="2"/>
  <c r="I50" i="13"/>
  <c r="F51" i="13"/>
  <c r="E54" i="13"/>
  <c r="I58" i="13"/>
  <c r="Z110" i="8"/>
  <c r="X98" i="8"/>
  <c r="X142" i="8"/>
  <c r="B6" i="8"/>
  <c r="AB100" i="2"/>
  <c r="AG100" i="2" s="1"/>
  <c r="AA32" i="2"/>
  <c r="B50" i="13"/>
  <c r="G51" i="13"/>
  <c r="F54" i="13"/>
  <c r="B58" i="13"/>
  <c r="B6" i="28"/>
  <c r="Z149" i="8"/>
  <c r="Z91" i="2"/>
  <c r="X91" i="2" s="1"/>
  <c r="Z49" i="2"/>
  <c r="X49" i="2" s="1"/>
  <c r="Z95" i="2"/>
  <c r="X95" i="2" s="1"/>
  <c r="Z48" i="2"/>
  <c r="X48" i="2" s="1"/>
  <c r="Z162" i="2"/>
  <c r="X162" i="2" s="1"/>
  <c r="Z75" i="2"/>
  <c r="X75" i="2" s="1"/>
  <c r="Z50" i="2"/>
  <c r="X50" i="2" s="1"/>
  <c r="Z123" i="2"/>
  <c r="X123" i="2" s="1"/>
  <c r="Z71" i="2"/>
  <c r="X71" i="2" s="1"/>
  <c r="Z129" i="2"/>
  <c r="X129" i="2" s="1"/>
  <c r="AD2413" i="2"/>
  <c r="AE2413" i="2" s="1"/>
  <c r="AB2335" i="2"/>
  <c r="AK2335" i="2" s="1"/>
  <c r="AA2335" i="2"/>
  <c r="AD2329" i="2"/>
  <c r="AE2329" i="2" s="1"/>
  <c r="AB2310" i="2"/>
  <c r="AK2310" i="2" s="1"/>
  <c r="AA2310" i="2"/>
  <c r="AJ2310" i="2" s="1"/>
  <c r="AA2296" i="2"/>
  <c r="AB2296" i="2"/>
  <c r="AK2296" i="2" s="1"/>
  <c r="AB2271" i="2"/>
  <c r="AK2271" i="2" s="1"/>
  <c r="AA2271" i="2"/>
  <c r="AD2265" i="2"/>
  <c r="AE2265" i="2" s="1"/>
  <c r="AB2246" i="2"/>
  <c r="AK2246" i="2" s="1"/>
  <c r="AA2246" i="2"/>
  <c r="AJ2246" i="2" s="1"/>
  <c r="AA2232" i="2"/>
  <c r="AB2232" i="2"/>
  <c r="AK2232" i="2" s="1"/>
  <c r="AB2207" i="2"/>
  <c r="AK2207" i="2" s="1"/>
  <c r="AA2207" i="2"/>
  <c r="AD2201" i="2"/>
  <c r="AE2201" i="2" s="1"/>
  <c r="AB2182" i="2"/>
  <c r="AK2182" i="2" s="1"/>
  <c r="AA2182" i="2"/>
  <c r="AJ2182" i="2" s="1"/>
  <c r="AA2168" i="2"/>
  <c r="AB2168" i="2"/>
  <c r="AK2168" i="2" s="1"/>
  <c r="AB2143" i="2"/>
  <c r="AK2143" i="2" s="1"/>
  <c r="AA2143" i="2"/>
  <c r="AD2137" i="2"/>
  <c r="AM2137" i="2" s="1"/>
  <c r="AB2118" i="2"/>
  <c r="AK2118" i="2" s="1"/>
  <c r="AA2118" i="2"/>
  <c r="AJ2118" i="2" s="1"/>
  <c r="AA2104" i="2"/>
  <c r="AB2104" i="2"/>
  <c r="AK2104" i="2" s="1"/>
  <c r="AD2074" i="2"/>
  <c r="AE2074" i="2" s="1"/>
  <c r="AB1991" i="2"/>
  <c r="AK1991" i="2" s="1"/>
  <c r="AA1991" i="2"/>
  <c r="AB1959" i="2"/>
  <c r="AK1959" i="2" s="1"/>
  <c r="AA1959" i="2"/>
  <c r="AB1927" i="2"/>
  <c r="AK1927" i="2" s="1"/>
  <c r="AA1927" i="2"/>
  <c r="AA1898" i="2"/>
  <c r="AB1898" i="2"/>
  <c r="AK1898" i="2" s="1"/>
  <c r="AB1895" i="2"/>
  <c r="AK1895" i="2" s="1"/>
  <c r="AA1895" i="2"/>
  <c r="AA1881" i="2"/>
  <c r="AB1881" i="2"/>
  <c r="AK1881" i="2" s="1"/>
  <c r="AA1866" i="2"/>
  <c r="AB1866" i="2"/>
  <c r="AK1866" i="2" s="1"/>
  <c r="AB1863" i="2"/>
  <c r="AK1863" i="2" s="1"/>
  <c r="AA1863" i="2"/>
  <c r="AA1849" i="2"/>
  <c r="AB1849" i="2"/>
  <c r="AK1849" i="2" s="1"/>
  <c r="AA1834" i="2"/>
  <c r="AB1834" i="2"/>
  <c r="AK1834" i="2" s="1"/>
  <c r="AB1831" i="2"/>
  <c r="AK1831" i="2" s="1"/>
  <c r="AA1831" i="2"/>
  <c r="AA1817" i="2"/>
  <c r="AB1817" i="2"/>
  <c r="AK1817" i="2" s="1"/>
  <c r="AA1802" i="2"/>
  <c r="AB1802" i="2"/>
  <c r="AK1802" i="2" s="1"/>
  <c r="AB1799" i="2"/>
  <c r="AK1799" i="2" s="1"/>
  <c r="AA1799" i="2"/>
  <c r="AA1785" i="2"/>
  <c r="AB1785" i="2"/>
  <c r="AK1785" i="2" s="1"/>
  <c r="AA1770" i="2"/>
  <c r="AB1770" i="2"/>
  <c r="AK1770" i="2" s="1"/>
  <c r="AB1767" i="2"/>
  <c r="AK1767" i="2" s="1"/>
  <c r="AA1767" i="2"/>
  <c r="AA1753" i="2"/>
  <c r="AB1753" i="2"/>
  <c r="AK1753" i="2" s="1"/>
  <c r="AA1738" i="2"/>
  <c r="AB1738" i="2"/>
  <c r="AK1738" i="2" s="1"/>
  <c r="AB1719" i="2"/>
  <c r="AK1719" i="2" s="1"/>
  <c r="AA1719" i="2"/>
  <c r="AA1698" i="2"/>
  <c r="AJ1698" i="2" s="1"/>
  <c r="AB1698" i="2"/>
  <c r="AK1698" i="2" s="1"/>
  <c r="AA1682" i="2"/>
  <c r="AJ1682" i="2" s="1"/>
  <c r="AB1682" i="2"/>
  <c r="AK1682" i="2" s="1"/>
  <c r="AA1666" i="2"/>
  <c r="AJ1666" i="2" s="1"/>
  <c r="AB1666" i="2"/>
  <c r="AK1666" i="2" s="1"/>
  <c r="AA1650" i="2"/>
  <c r="AJ1650" i="2" s="1"/>
  <c r="AB1650" i="2"/>
  <c r="AK1650" i="2" s="1"/>
  <c r="AA1634" i="2"/>
  <c r="AJ1634" i="2" s="1"/>
  <c r="AB1634" i="2"/>
  <c r="AK1634" i="2" s="1"/>
  <c r="AA1618" i="2"/>
  <c r="AJ1618" i="2" s="1"/>
  <c r="AB1618" i="2"/>
  <c r="AK1618" i="2" s="1"/>
  <c r="AA1602" i="2"/>
  <c r="AJ1602" i="2" s="1"/>
  <c r="AB1602" i="2"/>
  <c r="AK1602" i="2" s="1"/>
  <c r="AA1582" i="2"/>
  <c r="AJ1582" i="2" s="1"/>
  <c r="AB1582" i="2"/>
  <c r="AK1582" i="2" s="1"/>
  <c r="AA1573" i="2"/>
  <c r="AB1573" i="2"/>
  <c r="AK1573" i="2" s="1"/>
  <c r="AB1563" i="2"/>
  <c r="AK1563" i="2" s="1"/>
  <c r="AA1563" i="2"/>
  <c r="AA1546" i="2"/>
  <c r="AB1546" i="2"/>
  <c r="AK1546" i="2" s="1"/>
  <c r="AA1505" i="2"/>
  <c r="AB1505" i="2"/>
  <c r="AK1505" i="2" s="1"/>
  <c r="AB1453" i="2"/>
  <c r="AK1453" i="2" s="1"/>
  <c r="AA1453" i="2"/>
  <c r="AB1340" i="2"/>
  <c r="AK1340" i="2" s="1"/>
  <c r="AA1340" i="2"/>
  <c r="AJ1340" i="2" s="1"/>
  <c r="AA1333" i="2"/>
  <c r="AJ1333" i="2" s="1"/>
  <c r="AB1333" i="2"/>
  <c r="AK1333" i="2" s="1"/>
  <c r="AB1281" i="2"/>
  <c r="AK1281" i="2" s="1"/>
  <c r="AA1281" i="2"/>
  <c r="AJ1281" i="2" s="1"/>
  <c r="AB1276" i="2"/>
  <c r="AK1276" i="2" s="1"/>
  <c r="AA1276" i="2"/>
  <c r="AJ1276" i="2" s="1"/>
  <c r="AA1267" i="2"/>
  <c r="AB1267" i="2"/>
  <c r="AK1267" i="2" s="1"/>
  <c r="AB1249" i="2"/>
  <c r="AK1249" i="2" s="1"/>
  <c r="AA1249" i="2"/>
  <c r="AJ1249" i="2" s="1"/>
  <c r="AB1244" i="2"/>
  <c r="AK1244" i="2" s="1"/>
  <c r="AA1244" i="2"/>
  <c r="AJ1244" i="2" s="1"/>
  <c r="AA1235" i="2"/>
  <c r="AB1235" i="2"/>
  <c r="AK1235" i="2" s="1"/>
  <c r="AB1217" i="2"/>
  <c r="AK1217" i="2" s="1"/>
  <c r="AA1217" i="2"/>
  <c r="AJ1217" i="2" s="1"/>
  <c r="AB1212" i="2"/>
  <c r="AK1212" i="2" s="1"/>
  <c r="AA1212" i="2"/>
  <c r="AJ1212" i="2" s="1"/>
  <c r="AA1203" i="2"/>
  <c r="AB1203" i="2"/>
  <c r="AK1203" i="2" s="1"/>
  <c r="AA2423" i="2"/>
  <c r="AD2420" i="2"/>
  <c r="AB2416" i="2"/>
  <c r="AK2416" i="2" s="1"/>
  <c r="AA2414" i="2"/>
  <c r="AJ2414" i="2" s="1"/>
  <c r="AA2407" i="2"/>
  <c r="AD2404" i="2"/>
  <c r="AB2400" i="2"/>
  <c r="AK2400" i="2" s="1"/>
  <c r="AA2398" i="2"/>
  <c r="AJ2398" i="2" s="1"/>
  <c r="AA2391" i="2"/>
  <c r="AD2388" i="2"/>
  <c r="AB2384" i="2"/>
  <c r="AK2384" i="2" s="1"/>
  <c r="AA2375" i="2"/>
  <c r="AD2372" i="2"/>
  <c r="AB2368" i="2"/>
  <c r="AK2368" i="2" s="1"/>
  <c r="AA2366" i="2"/>
  <c r="AJ2366" i="2" s="1"/>
  <c r="AA2359" i="2"/>
  <c r="AD2357" i="2"/>
  <c r="AM2357" i="2" s="1"/>
  <c r="AB2353" i="2"/>
  <c r="AK2353" i="2" s="1"/>
  <c r="AB2351" i="2"/>
  <c r="AK2351" i="2" s="1"/>
  <c r="AA2351" i="2"/>
  <c r="AD2337" i="2"/>
  <c r="AE2337" i="2" s="1"/>
  <c r="AA2334" i="2"/>
  <c r="AJ2334" i="2" s="1"/>
  <c r="AB2326" i="2"/>
  <c r="AK2326" i="2" s="1"/>
  <c r="AA2326" i="2"/>
  <c r="AJ2326" i="2" s="1"/>
  <c r="AB2324" i="2"/>
  <c r="AK2324" i="2" s="1"/>
  <c r="AA2322" i="2"/>
  <c r="AJ2322" i="2" s="1"/>
  <c r="AB2320" i="2"/>
  <c r="AK2320" i="2" s="1"/>
  <c r="AA2312" i="2"/>
  <c r="AB2312" i="2"/>
  <c r="AK2312" i="2" s="1"/>
  <c r="AA2301" i="2"/>
  <c r="AA2299" i="2"/>
  <c r="AA2295" i="2"/>
  <c r="AB2289" i="2"/>
  <c r="AK2289" i="2" s="1"/>
  <c r="AB2287" i="2"/>
  <c r="AK2287" i="2" s="1"/>
  <c r="AA2287" i="2"/>
  <c r="AD2273" i="2"/>
  <c r="AM2273" i="2" s="1"/>
  <c r="AA2270" i="2"/>
  <c r="AJ2270" i="2" s="1"/>
  <c r="AB2262" i="2"/>
  <c r="AK2262" i="2" s="1"/>
  <c r="AA2262" i="2"/>
  <c r="AJ2262" i="2" s="1"/>
  <c r="AB2260" i="2"/>
  <c r="AK2260" i="2" s="1"/>
  <c r="AA2258" i="2"/>
  <c r="AJ2258" i="2" s="1"/>
  <c r="AB2256" i="2"/>
  <c r="AK2256" i="2" s="1"/>
  <c r="AA2248" i="2"/>
  <c r="AB2248" i="2"/>
  <c r="AK2248" i="2" s="1"/>
  <c r="AA2237" i="2"/>
  <c r="AA2235" i="2"/>
  <c r="AA2231" i="2"/>
  <c r="AD2229" i="2"/>
  <c r="AE2229" i="2" s="1"/>
  <c r="AB2225" i="2"/>
  <c r="AK2225" i="2" s="1"/>
  <c r="AB2223" i="2"/>
  <c r="AK2223" i="2" s="1"/>
  <c r="AA2223" i="2"/>
  <c r="AD2209" i="2"/>
  <c r="AE2209" i="2" s="1"/>
  <c r="AA2206" i="2"/>
  <c r="AJ2206" i="2" s="1"/>
  <c r="AB2198" i="2"/>
  <c r="AK2198" i="2" s="1"/>
  <c r="AA2198" i="2"/>
  <c r="AJ2198" i="2" s="1"/>
  <c r="AB2196" i="2"/>
  <c r="AK2196" i="2" s="1"/>
  <c r="AA2194" i="2"/>
  <c r="AJ2194" i="2" s="1"/>
  <c r="AB2192" i="2"/>
  <c r="AK2192" i="2" s="1"/>
  <c r="AA2184" i="2"/>
  <c r="AB2184" i="2"/>
  <c r="AK2184" i="2" s="1"/>
  <c r="AA2173" i="2"/>
  <c r="AA2171" i="2"/>
  <c r="AA2167" i="2"/>
  <c r="AD2165" i="2"/>
  <c r="AE2165" i="2" s="1"/>
  <c r="AB2161" i="2"/>
  <c r="AK2161" i="2" s="1"/>
  <c r="AB2159" i="2"/>
  <c r="AK2159" i="2" s="1"/>
  <c r="AA2159" i="2"/>
  <c r="AB2134" i="2"/>
  <c r="AK2134" i="2" s="1"/>
  <c r="AA2134" i="2"/>
  <c r="AJ2134" i="2" s="1"/>
  <c r="AA2120" i="2"/>
  <c r="AB2120" i="2"/>
  <c r="AK2120" i="2" s="1"/>
  <c r="AD2116" i="2"/>
  <c r="AD2101" i="2"/>
  <c r="AE2101" i="2" s="1"/>
  <c r="AB2095" i="2"/>
  <c r="AK2095" i="2" s="1"/>
  <c r="AA2095" i="2"/>
  <c r="AD2089" i="2"/>
  <c r="AE2089" i="2" s="1"/>
  <c r="AB2031" i="2"/>
  <c r="AK2031" i="2" s="1"/>
  <c r="AA2031" i="2"/>
  <c r="AD2025" i="2"/>
  <c r="AE2025" i="2" s="1"/>
  <c r="AD1983" i="2"/>
  <c r="AE1983" i="2" s="1"/>
  <c r="AA1853" i="2"/>
  <c r="AA1821" i="2"/>
  <c r="AA1789" i="2"/>
  <c r="AA1774" i="2"/>
  <c r="AJ1774" i="2" s="1"/>
  <c r="AA1757" i="2"/>
  <c r="AA1742" i="2"/>
  <c r="AJ1742" i="2" s="1"/>
  <c r="AA1737" i="2"/>
  <c r="AB1737" i="2"/>
  <c r="AK1737" i="2" s="1"/>
  <c r="AA1722" i="2"/>
  <c r="AB1722" i="2"/>
  <c r="AK1722" i="2" s="1"/>
  <c r="AA1697" i="2"/>
  <c r="AB1697" i="2"/>
  <c r="AK1697" i="2" s="1"/>
  <c r="AD1693" i="2"/>
  <c r="AA1681" i="2"/>
  <c r="AB1681" i="2"/>
  <c r="AK1681" i="2" s="1"/>
  <c r="AA1665" i="2"/>
  <c r="AB1665" i="2"/>
  <c r="AK1665" i="2" s="1"/>
  <c r="AA1649" i="2"/>
  <c r="AB1649" i="2"/>
  <c r="AK1649" i="2" s="1"/>
  <c r="AA1633" i="2"/>
  <c r="AB1633" i="2"/>
  <c r="AK1633" i="2" s="1"/>
  <c r="AA1617" i="2"/>
  <c r="AB1617" i="2"/>
  <c r="AK1617" i="2" s="1"/>
  <c r="AA1601" i="2"/>
  <c r="AB1601" i="2"/>
  <c r="AK1601" i="2" s="1"/>
  <c r="AA1550" i="2"/>
  <c r="AJ1550" i="2" s="1"/>
  <c r="AB1550" i="2"/>
  <c r="AK1550" i="2" s="1"/>
  <c r="AA1541" i="2"/>
  <c r="AB1541" i="2"/>
  <c r="AK1541" i="2" s="1"/>
  <c r="AB1531" i="2"/>
  <c r="AK1531" i="2" s="1"/>
  <c r="AA1531" i="2"/>
  <c r="AD1529" i="2"/>
  <c r="AA1514" i="2"/>
  <c r="AB1514" i="2"/>
  <c r="AK1514" i="2" s="1"/>
  <c r="AA1473" i="2"/>
  <c r="AB1473" i="2"/>
  <c r="AK1473" i="2" s="1"/>
  <c r="AA1417" i="2"/>
  <c r="AB1417" i="2"/>
  <c r="AK1417" i="2" s="1"/>
  <c r="AA1347" i="2"/>
  <c r="AB1347" i="2"/>
  <c r="AK1347" i="2" s="1"/>
  <c r="AA1344" i="2"/>
  <c r="AJ1344" i="2" s="1"/>
  <c r="AB1344" i="2"/>
  <c r="AK1344" i="2" s="1"/>
  <c r="AA1303" i="2"/>
  <c r="AJ1303" i="2" s="1"/>
  <c r="AB1303" i="2"/>
  <c r="AK1303" i="2" s="1"/>
  <c r="AB2417" i="2"/>
  <c r="AK2417" i="2" s="1"/>
  <c r="AB2401" i="2"/>
  <c r="AK2401" i="2" s="1"/>
  <c r="AB2385" i="2"/>
  <c r="AK2385" i="2" s="1"/>
  <c r="AB2369" i="2"/>
  <c r="AK2369" i="2" s="1"/>
  <c r="AB2342" i="2"/>
  <c r="AK2342" i="2" s="1"/>
  <c r="AA2342" i="2"/>
  <c r="AJ2342" i="2" s="1"/>
  <c r="AA2328" i="2"/>
  <c r="AB2328" i="2"/>
  <c r="AK2328" i="2" s="1"/>
  <c r="AB2313" i="2"/>
  <c r="AK2313" i="2" s="1"/>
  <c r="AB2303" i="2"/>
  <c r="AK2303" i="2" s="1"/>
  <c r="AA2303" i="2"/>
  <c r="AB2278" i="2"/>
  <c r="AK2278" i="2" s="1"/>
  <c r="AA2278" i="2"/>
  <c r="AJ2278" i="2" s="1"/>
  <c r="AA2264" i="2"/>
  <c r="AB2264" i="2"/>
  <c r="AK2264" i="2" s="1"/>
  <c r="AB2249" i="2"/>
  <c r="AK2249" i="2" s="1"/>
  <c r="AB2239" i="2"/>
  <c r="AK2239" i="2" s="1"/>
  <c r="AA2239" i="2"/>
  <c r="AB2214" i="2"/>
  <c r="AK2214" i="2" s="1"/>
  <c r="AA2214" i="2"/>
  <c r="AJ2214" i="2" s="1"/>
  <c r="AA2200" i="2"/>
  <c r="AB2200" i="2"/>
  <c r="AK2200" i="2" s="1"/>
  <c r="AB2185" i="2"/>
  <c r="AK2185" i="2" s="1"/>
  <c r="AB2175" i="2"/>
  <c r="AK2175" i="2" s="1"/>
  <c r="AA2175" i="2"/>
  <c r="AB2150" i="2"/>
  <c r="AK2150" i="2" s="1"/>
  <c r="AA2150" i="2"/>
  <c r="AJ2150" i="2" s="1"/>
  <c r="AA2136" i="2"/>
  <c r="AB2136" i="2"/>
  <c r="AK2136" i="2" s="1"/>
  <c r="AD2132" i="2"/>
  <c r="AB2121" i="2"/>
  <c r="AK2121" i="2" s="1"/>
  <c r="AD2117" i="2"/>
  <c r="AE2117" i="2" s="1"/>
  <c r="AB2111" i="2"/>
  <c r="AK2111" i="2" s="1"/>
  <c r="AA2111" i="2"/>
  <c r="AB2062" i="2"/>
  <c r="AK2062" i="2" s="1"/>
  <c r="AD2061" i="2"/>
  <c r="AB2055" i="2"/>
  <c r="AK2055" i="2" s="1"/>
  <c r="AA2055" i="2"/>
  <c r="AB2053" i="2"/>
  <c r="AD2026" i="2"/>
  <c r="AE2026" i="2" s="1"/>
  <c r="AB1975" i="2"/>
  <c r="AK1975" i="2" s="1"/>
  <c r="AA1975" i="2"/>
  <c r="AB1973" i="2"/>
  <c r="AD1962" i="2"/>
  <c r="AE1962" i="2" s="1"/>
  <c r="AB1945" i="2"/>
  <c r="AB1943" i="2"/>
  <c r="AK1943" i="2" s="1"/>
  <c r="AA1943" i="2"/>
  <c r="AB1941" i="2"/>
  <c r="AD1930" i="2"/>
  <c r="AE1930" i="2" s="1"/>
  <c r="AA1917" i="2"/>
  <c r="AB1913" i="2"/>
  <c r="AK1913" i="2" s="1"/>
  <c r="AB1911" i="2"/>
  <c r="AK1911" i="2" s="1"/>
  <c r="AA1911" i="2"/>
  <c r="AB1909" i="2"/>
  <c r="AD1899" i="2"/>
  <c r="AA1897" i="2"/>
  <c r="AB1897" i="2"/>
  <c r="AK1897" i="2" s="1"/>
  <c r="AA1882" i="2"/>
  <c r="AB1882" i="2"/>
  <c r="AK1882" i="2" s="1"/>
  <c r="AB1879" i="2"/>
  <c r="AK1879" i="2" s="1"/>
  <c r="AA1879" i="2"/>
  <c r="AD1877" i="2"/>
  <c r="AE1877" i="2" s="1"/>
  <c r="AA1865" i="2"/>
  <c r="AB1865" i="2"/>
  <c r="AK1865" i="2" s="1"/>
  <c r="AA1850" i="2"/>
  <c r="AB1850" i="2"/>
  <c r="AK1850" i="2" s="1"/>
  <c r="AB1847" i="2"/>
  <c r="AK1847" i="2" s="1"/>
  <c r="AA1847" i="2"/>
  <c r="AD1845" i="2"/>
  <c r="AE1845" i="2" s="1"/>
  <c r="AA1833" i="2"/>
  <c r="AB1833" i="2"/>
  <c r="AK1833" i="2" s="1"/>
  <c r="AA1818" i="2"/>
  <c r="AB1818" i="2"/>
  <c r="AK1818" i="2" s="1"/>
  <c r="AB1815" i="2"/>
  <c r="AK1815" i="2" s="1"/>
  <c r="AA1815" i="2"/>
  <c r="AD1813" i="2"/>
  <c r="AE1813" i="2" s="1"/>
  <c r="AA1803" i="2"/>
  <c r="AA1801" i="2"/>
  <c r="AB1801" i="2"/>
  <c r="AK1801" i="2" s="1"/>
  <c r="AA1786" i="2"/>
  <c r="AB1786" i="2"/>
  <c r="AK1786" i="2" s="1"/>
  <c r="AB1783" i="2"/>
  <c r="AK1783" i="2" s="1"/>
  <c r="AA1783" i="2"/>
  <c r="AA1771" i="2"/>
  <c r="AA1769" i="2"/>
  <c r="AB1769" i="2"/>
  <c r="AK1769" i="2" s="1"/>
  <c r="AA1754" i="2"/>
  <c r="AB1754" i="2"/>
  <c r="AK1754" i="2" s="1"/>
  <c r="AB1751" i="2"/>
  <c r="AK1751" i="2" s="1"/>
  <c r="AA1751" i="2"/>
  <c r="AA1721" i="2"/>
  <c r="AB1721" i="2"/>
  <c r="AK1721" i="2" s="1"/>
  <c r="AA1706" i="2"/>
  <c r="AB1706" i="2"/>
  <c r="AK1706" i="2" s="1"/>
  <c r="AA1690" i="2"/>
  <c r="AB1690" i="2"/>
  <c r="AK1690" i="2" s="1"/>
  <c r="AA1674" i="2"/>
  <c r="AB1674" i="2"/>
  <c r="AK1674" i="2" s="1"/>
  <c r="AA1658" i="2"/>
  <c r="AB1658" i="2"/>
  <c r="AK1658" i="2" s="1"/>
  <c r="AA1642" i="2"/>
  <c r="AB1642" i="2"/>
  <c r="AK1642" i="2" s="1"/>
  <c r="AA1626" i="2"/>
  <c r="AB1626" i="2"/>
  <c r="AK1626" i="2" s="1"/>
  <c r="AA1610" i="2"/>
  <c r="AB1610" i="2"/>
  <c r="AK1610" i="2" s="1"/>
  <c r="AA1594" i="2"/>
  <c r="AB1594" i="2"/>
  <c r="AK1594" i="2" s="1"/>
  <c r="AA1569" i="2"/>
  <c r="AB1569" i="2"/>
  <c r="AK1569" i="2" s="1"/>
  <c r="AA1518" i="2"/>
  <c r="AJ1518" i="2" s="1"/>
  <c r="AB1518" i="2"/>
  <c r="AK1518" i="2" s="1"/>
  <c r="AA1509" i="2"/>
  <c r="AB1509" i="2"/>
  <c r="AK1509" i="2" s="1"/>
  <c r="AB1499" i="2"/>
  <c r="AK1499" i="2" s="1"/>
  <c r="AA1499" i="2"/>
  <c r="AD1497" i="2"/>
  <c r="AA1482" i="2"/>
  <c r="AB1482" i="2"/>
  <c r="AK1482" i="2" s="1"/>
  <c r="AB1393" i="2"/>
  <c r="AK1393" i="2" s="1"/>
  <c r="AA1393" i="2"/>
  <c r="AJ1393" i="2" s="1"/>
  <c r="AA1367" i="2"/>
  <c r="AJ1367" i="2" s="1"/>
  <c r="AB1367" i="2"/>
  <c r="AK1367" i="2" s="1"/>
  <c r="AB2424" i="2"/>
  <c r="AK2424" i="2" s="1"/>
  <c r="AA2422" i="2"/>
  <c r="AJ2422" i="2" s="1"/>
  <c r="AA2415" i="2"/>
  <c r="AD2412" i="2"/>
  <c r="AB2408" i="2"/>
  <c r="AK2408" i="2" s="1"/>
  <c r="AA2406" i="2"/>
  <c r="AJ2406" i="2" s="1"/>
  <c r="AA2399" i="2"/>
  <c r="AD2396" i="2"/>
  <c r="AB2392" i="2"/>
  <c r="AK2392" i="2" s="1"/>
  <c r="AA2390" i="2"/>
  <c r="AJ2390" i="2" s="1"/>
  <c r="AA2383" i="2"/>
  <c r="AD2380" i="2"/>
  <c r="AB2376" i="2"/>
  <c r="AK2376" i="2" s="1"/>
  <c r="AA2367" i="2"/>
  <c r="AD2364" i="2"/>
  <c r="AB2360" i="2"/>
  <c r="AK2360" i="2" s="1"/>
  <c r="AB2358" i="2"/>
  <c r="AK2358" i="2" s="1"/>
  <c r="AA2358" i="2"/>
  <c r="AJ2358" i="2" s="1"/>
  <c r="AB2356" i="2"/>
  <c r="AK2356" i="2" s="1"/>
  <c r="AA2354" i="2"/>
  <c r="AJ2354" i="2" s="1"/>
  <c r="AB2352" i="2"/>
  <c r="AK2352" i="2" s="1"/>
  <c r="AA2344" i="2"/>
  <c r="AB2344" i="2"/>
  <c r="AK2344" i="2" s="1"/>
  <c r="AD2336" i="2"/>
  <c r="AA2333" i="2"/>
  <c r="AA2331" i="2"/>
  <c r="AA2327" i="2"/>
  <c r="AD2325" i="2"/>
  <c r="AE2325" i="2" s="1"/>
  <c r="AB2321" i="2"/>
  <c r="AK2321" i="2" s="1"/>
  <c r="AB2319" i="2"/>
  <c r="AK2319" i="2" s="1"/>
  <c r="AA2319" i="2"/>
  <c r="AA2302" i="2"/>
  <c r="AJ2302" i="2" s="1"/>
  <c r="AB2294" i="2"/>
  <c r="AK2294" i="2" s="1"/>
  <c r="AA2294" i="2"/>
  <c r="AJ2294" i="2" s="1"/>
  <c r="AB2292" i="2"/>
  <c r="AK2292" i="2" s="1"/>
  <c r="AA2290" i="2"/>
  <c r="AJ2290" i="2" s="1"/>
  <c r="AB2288" i="2"/>
  <c r="AK2288" i="2" s="1"/>
  <c r="AA2280" i="2"/>
  <c r="AB2280" i="2"/>
  <c r="AK2280" i="2" s="1"/>
  <c r="AD2272" i="2"/>
  <c r="AA2269" i="2"/>
  <c r="AA2267" i="2"/>
  <c r="AA2263" i="2"/>
  <c r="AD2261" i="2"/>
  <c r="AE2261" i="2" s="1"/>
  <c r="AB2257" i="2"/>
  <c r="AK2257" i="2" s="1"/>
  <c r="AB2255" i="2"/>
  <c r="AK2255" i="2" s="1"/>
  <c r="AA2255" i="2"/>
  <c r="AA2238" i="2"/>
  <c r="AJ2238" i="2" s="1"/>
  <c r="AB2230" i="2"/>
  <c r="AK2230" i="2" s="1"/>
  <c r="AA2230" i="2"/>
  <c r="AJ2230" i="2" s="1"/>
  <c r="AB2228" i="2"/>
  <c r="AK2228" i="2" s="1"/>
  <c r="AA2226" i="2"/>
  <c r="AJ2226" i="2" s="1"/>
  <c r="AB2224" i="2"/>
  <c r="AK2224" i="2" s="1"/>
  <c r="AA2216" i="2"/>
  <c r="AB2216" i="2"/>
  <c r="AK2216" i="2" s="1"/>
  <c r="AD2212" i="2"/>
  <c r="AA2205" i="2"/>
  <c r="AA2203" i="2"/>
  <c r="AA2199" i="2"/>
  <c r="AB2193" i="2"/>
  <c r="AK2193" i="2" s="1"/>
  <c r="AB2191" i="2"/>
  <c r="AK2191" i="2" s="1"/>
  <c r="AA2191" i="2"/>
  <c r="AA2174" i="2"/>
  <c r="AJ2174" i="2" s="1"/>
  <c r="AB2166" i="2"/>
  <c r="AK2166" i="2" s="1"/>
  <c r="AA2166" i="2"/>
  <c r="AJ2166" i="2" s="1"/>
  <c r="AB2164" i="2"/>
  <c r="AK2164" i="2" s="1"/>
  <c r="AA2162" i="2"/>
  <c r="AJ2162" i="2" s="1"/>
  <c r="AB2160" i="2"/>
  <c r="AK2160" i="2" s="1"/>
  <c r="AA2152" i="2"/>
  <c r="AB2152" i="2"/>
  <c r="AK2152" i="2" s="1"/>
  <c r="AA2141" i="2"/>
  <c r="AA2139" i="2"/>
  <c r="AA2135" i="2"/>
  <c r="AB2129" i="2"/>
  <c r="AK2129" i="2" s="1"/>
  <c r="AB2127" i="2"/>
  <c r="AK2127" i="2" s="1"/>
  <c r="AA2127" i="2"/>
  <c r="AD2113" i="2"/>
  <c r="AE2113" i="2" s="1"/>
  <c r="AA2110" i="2"/>
  <c r="AJ2110" i="2" s="1"/>
  <c r="AB2102" i="2"/>
  <c r="AK2102" i="2" s="1"/>
  <c r="AA2102" i="2"/>
  <c r="AJ2102" i="2" s="1"/>
  <c r="AB2100" i="2"/>
  <c r="AK2100" i="2" s="1"/>
  <c r="AA2098" i="2"/>
  <c r="AJ2098" i="2" s="1"/>
  <c r="AB2096" i="2"/>
  <c r="AK2096" i="2" s="1"/>
  <c r="AA2086" i="2"/>
  <c r="AJ2086" i="2" s="1"/>
  <c r="AB2079" i="2"/>
  <c r="AK2079" i="2" s="1"/>
  <c r="AA2079" i="2"/>
  <c r="AB2070" i="2"/>
  <c r="AK2070" i="2" s="1"/>
  <c r="AA2047" i="2"/>
  <c r="AA2043" i="2"/>
  <c r="AA2039" i="2"/>
  <c r="AJ2039" i="2" s="1"/>
  <c r="AB2037" i="2"/>
  <c r="AA2034" i="2"/>
  <c r="AJ2034" i="2" s="1"/>
  <c r="AB2023" i="2"/>
  <c r="AK2023" i="2" s="1"/>
  <c r="AA2023" i="2"/>
  <c r="AJ2023" i="2" s="1"/>
  <c r="AD2010" i="2"/>
  <c r="AE2010" i="2" s="1"/>
  <c r="AD2005" i="2"/>
  <c r="AM2005" i="2" s="1"/>
  <c r="AB2001" i="2"/>
  <c r="AK2001" i="2" s="1"/>
  <c r="AA1982" i="2"/>
  <c r="AJ1982" i="2" s="1"/>
  <c r="AB1978" i="2"/>
  <c r="AK1978" i="2" s="1"/>
  <c r="AA1967" i="2"/>
  <c r="AA1963" i="2"/>
  <c r="AA1950" i="2"/>
  <c r="AJ1950" i="2" s="1"/>
  <c r="AB1946" i="2"/>
  <c r="AK1946" i="2" s="1"/>
  <c r="AA1935" i="2"/>
  <c r="AA1931" i="2"/>
  <c r="AA1918" i="2"/>
  <c r="AJ1918" i="2" s="1"/>
  <c r="AB1914" i="2"/>
  <c r="AK1914" i="2" s="1"/>
  <c r="AD1903" i="2"/>
  <c r="AE1903" i="2" s="1"/>
  <c r="AA1901" i="2"/>
  <c r="AA1886" i="2"/>
  <c r="AJ1886" i="2" s="1"/>
  <c r="AA1869" i="2"/>
  <c r="AA1854" i="2"/>
  <c r="AJ1854" i="2" s="1"/>
  <c r="AA1837" i="2"/>
  <c r="AA1822" i="2"/>
  <c r="AJ1822" i="2" s="1"/>
  <c r="AA1805" i="2"/>
  <c r="AA1790" i="2"/>
  <c r="AJ1790" i="2" s="1"/>
  <c r="AA1773" i="2"/>
  <c r="AA1758" i="2"/>
  <c r="AJ1758" i="2" s="1"/>
  <c r="AB1735" i="2"/>
  <c r="AK1735" i="2" s="1"/>
  <c r="AA1735" i="2"/>
  <c r="AA1705" i="2"/>
  <c r="AB1705" i="2"/>
  <c r="AK1705" i="2" s="1"/>
  <c r="AD1701" i="2"/>
  <c r="AA1689" i="2"/>
  <c r="AB1689" i="2"/>
  <c r="AK1689" i="2" s="1"/>
  <c r="AD1685" i="2"/>
  <c r="AA1673" i="2"/>
  <c r="AB1673" i="2"/>
  <c r="AK1673" i="2" s="1"/>
  <c r="AA1657" i="2"/>
  <c r="AB1657" i="2"/>
  <c r="AK1657" i="2" s="1"/>
  <c r="AD1653" i="2"/>
  <c r="AA1641" i="2"/>
  <c r="AB1641" i="2"/>
  <c r="AK1641" i="2" s="1"/>
  <c r="AD1637" i="2"/>
  <c r="AA1625" i="2"/>
  <c r="AB1625" i="2"/>
  <c r="AK1625" i="2" s="1"/>
  <c r="AD1621" i="2"/>
  <c r="AA1609" i="2"/>
  <c r="AB1609" i="2"/>
  <c r="AK1609" i="2" s="1"/>
  <c r="AD1605" i="2"/>
  <c r="AA1593" i="2"/>
  <c r="AB1593" i="2"/>
  <c r="AK1593" i="2" s="1"/>
  <c r="AD1589" i="2"/>
  <c r="AA1578" i="2"/>
  <c r="AB1578" i="2"/>
  <c r="AK1578" i="2" s="1"/>
  <c r="AA1537" i="2"/>
  <c r="AB1537" i="2"/>
  <c r="AK1537" i="2" s="1"/>
  <c r="AD1501" i="2"/>
  <c r="AA1486" i="2"/>
  <c r="AJ1486" i="2" s="1"/>
  <c r="AB1486" i="2"/>
  <c r="AK1486" i="2" s="1"/>
  <c r="AA1477" i="2"/>
  <c r="AB1477" i="2"/>
  <c r="AK1477" i="2" s="1"/>
  <c r="AB1467" i="2"/>
  <c r="AK1467" i="2" s="1"/>
  <c r="AA1467" i="2"/>
  <c r="AA1425" i="2"/>
  <c r="AB1425" i="2"/>
  <c r="AK1425" i="2" s="1"/>
  <c r="AA1401" i="2"/>
  <c r="AB1401" i="2"/>
  <c r="AK1401" i="2" s="1"/>
  <c r="AB1329" i="2"/>
  <c r="AK1329" i="2" s="1"/>
  <c r="AA1329" i="2"/>
  <c r="AJ1329" i="2" s="1"/>
  <c r="AD1525" i="2"/>
  <c r="AA1392" i="2"/>
  <c r="AJ1392" i="2" s="1"/>
  <c r="AB1392" i="2"/>
  <c r="AK1392" i="2" s="1"/>
  <c r="AA1381" i="2"/>
  <c r="AJ1381" i="2" s="1"/>
  <c r="AB1381" i="2"/>
  <c r="AK1381" i="2" s="1"/>
  <c r="AA1351" i="2"/>
  <c r="AJ1351" i="2" s="1"/>
  <c r="AB1351" i="2"/>
  <c r="AK1351" i="2" s="1"/>
  <c r="AD1331" i="2"/>
  <c r="AA1328" i="2"/>
  <c r="AJ1328" i="2" s="1"/>
  <c r="AB1328" i="2"/>
  <c r="AK1328" i="2" s="1"/>
  <c r="AA1317" i="2"/>
  <c r="AJ1317" i="2" s="1"/>
  <c r="AB1317" i="2"/>
  <c r="AK1317" i="2" s="1"/>
  <c r="AB1315" i="2"/>
  <c r="AK1315" i="2" s="1"/>
  <c r="AA1308" i="2"/>
  <c r="AJ1308" i="2" s="1"/>
  <c r="AA1297" i="2"/>
  <c r="AJ1297" i="2" s="1"/>
  <c r="AD1549" i="2"/>
  <c r="AD1530" i="2"/>
  <c r="AE1530" i="2" s="1"/>
  <c r="AD1517" i="2"/>
  <c r="AD1498" i="2"/>
  <c r="AE1498" i="2" s="1"/>
  <c r="AD1466" i="2"/>
  <c r="AE1466" i="2" s="1"/>
  <c r="AD1441" i="2"/>
  <c r="AA1376" i="2"/>
  <c r="AJ1376" i="2" s="1"/>
  <c r="AB1376" i="2"/>
  <c r="AK1376" i="2" s="1"/>
  <c r="AA1365" i="2"/>
  <c r="AJ1365" i="2" s="1"/>
  <c r="AB1365" i="2"/>
  <c r="AK1365" i="2" s="1"/>
  <c r="AA1335" i="2"/>
  <c r="AJ1335" i="2" s="1"/>
  <c r="AB1335" i="2"/>
  <c r="AK1335" i="2" s="1"/>
  <c r="AA1312" i="2"/>
  <c r="AJ1312" i="2" s="1"/>
  <c r="AB1312" i="2"/>
  <c r="AK1312" i="2" s="1"/>
  <c r="AA1301" i="2"/>
  <c r="AJ1301" i="2" s="1"/>
  <c r="AB1301" i="2"/>
  <c r="AK1301" i="2" s="1"/>
  <c r="AB1292" i="2"/>
  <c r="AK1292" i="2" s="1"/>
  <c r="AA1292" i="2"/>
  <c r="AJ1292" i="2" s="1"/>
  <c r="AA1283" i="2"/>
  <c r="AB1283" i="2"/>
  <c r="AK1283" i="2" s="1"/>
  <c r="AB1265" i="2"/>
  <c r="AK1265" i="2" s="1"/>
  <c r="AA1265" i="2"/>
  <c r="AJ1265" i="2" s="1"/>
  <c r="AB1260" i="2"/>
  <c r="AK1260" i="2" s="1"/>
  <c r="AA1260" i="2"/>
  <c r="AJ1260" i="2" s="1"/>
  <c r="AA1251" i="2"/>
  <c r="AB1251" i="2"/>
  <c r="AK1251" i="2" s="1"/>
  <c r="AB1233" i="2"/>
  <c r="AK1233" i="2" s="1"/>
  <c r="AA1233" i="2"/>
  <c r="AJ1233" i="2" s="1"/>
  <c r="AB1228" i="2"/>
  <c r="AK1228" i="2" s="1"/>
  <c r="AA1228" i="2"/>
  <c r="AJ1228" i="2" s="1"/>
  <c r="AA1219" i="2"/>
  <c r="AB1219" i="2"/>
  <c r="AK1219" i="2" s="1"/>
  <c r="AD2236" i="2"/>
  <c r="AD2172" i="2"/>
  <c r="AD2140" i="2"/>
  <c r="AA1383" i="2"/>
  <c r="AJ1383" i="2" s="1"/>
  <c r="AB1383" i="2"/>
  <c r="AK1383" i="2" s="1"/>
  <c r="AD1363" i="2"/>
  <c r="AA1360" i="2"/>
  <c r="AJ1360" i="2" s="1"/>
  <c r="AB1360" i="2"/>
  <c r="AK1360" i="2" s="1"/>
  <c r="AA1349" i="2"/>
  <c r="AJ1349" i="2" s="1"/>
  <c r="AB1349" i="2"/>
  <c r="AK1349" i="2" s="1"/>
  <c r="AA1319" i="2"/>
  <c r="AJ1319" i="2" s="1"/>
  <c r="AB1319" i="2"/>
  <c r="AK1319" i="2" s="1"/>
  <c r="AD1299" i="2"/>
  <c r="AA1296" i="2"/>
  <c r="AJ1296" i="2" s="1"/>
  <c r="AB1296" i="2"/>
  <c r="AK1296" i="2" s="1"/>
  <c r="AA1201" i="2"/>
  <c r="AA1196" i="2"/>
  <c r="AJ1196" i="2" s="1"/>
  <c r="AB1187" i="2"/>
  <c r="AK1187" i="2" s="1"/>
  <c r="AA1185" i="2"/>
  <c r="AJ1185" i="2" s="1"/>
  <c r="AA1180" i="2"/>
  <c r="AJ1180" i="2" s="1"/>
  <c r="AB1171" i="2"/>
  <c r="AK1171" i="2" s="1"/>
  <c r="AA1169" i="2"/>
  <c r="AJ1169" i="2" s="1"/>
  <c r="AA1164" i="2"/>
  <c r="AJ1164" i="2" s="1"/>
  <c r="AB1155" i="2"/>
  <c r="AK1155" i="2" s="1"/>
  <c r="AA1153" i="2"/>
  <c r="AJ1153" i="2" s="1"/>
  <c r="AA1148" i="2"/>
  <c r="AJ1148" i="2" s="1"/>
  <c r="AB1139" i="2"/>
  <c r="AK1139" i="2" s="1"/>
  <c r="AA1137" i="2"/>
  <c r="AA1132" i="2"/>
  <c r="AJ1132" i="2" s="1"/>
  <c r="AB1123" i="2"/>
  <c r="AK1123" i="2" s="1"/>
  <c r="AA1121" i="2"/>
  <c r="AA1116" i="2"/>
  <c r="AJ1116" i="2" s="1"/>
  <c r="AB1107" i="2"/>
  <c r="AK1107" i="2" s="1"/>
  <c r="AA1105" i="2"/>
  <c r="AA1100" i="2"/>
  <c r="AJ1100" i="2" s="1"/>
  <c r="AB1091" i="2"/>
  <c r="AK1091" i="2" s="1"/>
  <c r="AA1089" i="2"/>
  <c r="AA1076" i="2"/>
  <c r="AA1074" i="2"/>
  <c r="AA1064" i="2"/>
  <c r="AB1059" i="2"/>
  <c r="AK1059" i="2" s="1"/>
  <c r="AA1057" i="2"/>
  <c r="AA1044" i="2"/>
  <c r="AA1042" i="2"/>
  <c r="AA1032" i="2"/>
  <c r="AB1027" i="2"/>
  <c r="AK1027" i="2" s="1"/>
  <c r="AA1025" i="2"/>
  <c r="AA1012" i="2"/>
  <c r="AA1010" i="2"/>
  <c r="AA1000" i="2"/>
  <c r="AB995" i="2"/>
  <c r="AK995" i="2" s="1"/>
  <c r="AA993" i="2"/>
  <c r="AA980" i="2"/>
  <c r="AA978" i="2"/>
  <c r="AA968" i="2"/>
  <c r="AB963" i="2"/>
  <c r="AK963" i="2" s="1"/>
  <c r="AA961" i="2"/>
  <c r="AA948" i="2"/>
  <c r="AJ948" i="2" s="1"/>
  <c r="AA932" i="2"/>
  <c r="AA916" i="2"/>
  <c r="AA900" i="2"/>
  <c r="AA884" i="2"/>
  <c r="AA868" i="2"/>
  <c r="AA852" i="2"/>
  <c r="AA836" i="2"/>
  <c r="AA820" i="2"/>
  <c r="AA804" i="2"/>
  <c r="AB795" i="2"/>
  <c r="AK795" i="2" s="1"/>
  <c r="AA786" i="2"/>
  <c r="AA784" i="2"/>
  <c r="AJ784" i="2" s="1"/>
  <c r="AB779" i="2"/>
  <c r="AK779" i="2" s="1"/>
  <c r="AA770" i="2"/>
  <c r="AA768" i="2"/>
  <c r="AJ768" i="2" s="1"/>
  <c r="AB763" i="2"/>
  <c r="AK763" i="2" s="1"/>
  <c r="AA754" i="2"/>
  <c r="AA752" i="2"/>
  <c r="AJ752" i="2" s="1"/>
  <c r="AB747" i="2"/>
  <c r="AK747" i="2" s="1"/>
  <c r="AA738" i="2"/>
  <c r="AA736" i="2"/>
  <c r="AJ736" i="2" s="1"/>
  <c r="AB731" i="2"/>
  <c r="AK731" i="2" s="1"/>
  <c r="AA722" i="2"/>
  <c r="AA720" i="2"/>
  <c r="AJ720" i="2" s="1"/>
  <c r="AB715" i="2"/>
  <c r="AK715" i="2" s="1"/>
  <c r="AA706" i="2"/>
  <c r="AA704" i="2"/>
  <c r="AA690" i="2"/>
  <c r="AA688" i="2"/>
  <c r="AA672" i="2"/>
  <c r="AJ672" i="2" s="1"/>
  <c r="AA652" i="2"/>
  <c r="AB649" i="2"/>
  <c r="AK649" i="2" s="1"/>
  <c r="AA640" i="2"/>
  <c r="AJ640" i="2" s="1"/>
  <c r="AA620" i="2"/>
  <c r="AB617" i="2"/>
  <c r="AK617" i="2" s="1"/>
  <c r="AA608" i="2"/>
  <c r="AJ608" i="2" s="1"/>
  <c r="AB508" i="2"/>
  <c r="AK508" i="2" s="1"/>
  <c r="AA508" i="2"/>
  <c r="AA409" i="2"/>
  <c r="AB409" i="2"/>
  <c r="AK409" i="2" s="1"/>
  <c r="AD504" i="2"/>
  <c r="AA453" i="2"/>
  <c r="AB453" i="2"/>
  <c r="AK453" i="2" s="1"/>
  <c r="AA449" i="2"/>
  <c r="AB449" i="2"/>
  <c r="AK449" i="2" s="1"/>
  <c r="AA445" i="2"/>
  <c r="AJ445" i="2" s="1"/>
  <c r="AB445" i="2"/>
  <c r="AK445" i="2" s="1"/>
  <c r="AA441" i="2"/>
  <c r="AB441" i="2"/>
  <c r="AK441" i="2" s="1"/>
  <c r="AD424" i="2"/>
  <c r="AA421" i="2"/>
  <c r="AB421" i="2"/>
  <c r="AK421" i="2" s="1"/>
  <c r="AA408" i="2"/>
  <c r="AB408" i="2"/>
  <c r="AK408" i="2" s="1"/>
  <c r="AD401" i="2"/>
  <c r="AD1359" i="2"/>
  <c r="AE1359" i="2" s="1"/>
  <c r="AD1295" i="2"/>
  <c r="AE1295" i="2" s="1"/>
  <c r="AB1285" i="2"/>
  <c r="AK1285" i="2" s="1"/>
  <c r="AB1280" i="2"/>
  <c r="AK1280" i="2" s="1"/>
  <c r="AD1279" i="2"/>
  <c r="AE1279" i="2" s="1"/>
  <c r="AB1269" i="2"/>
  <c r="AK1269" i="2" s="1"/>
  <c r="AB1264" i="2"/>
  <c r="AK1264" i="2" s="1"/>
  <c r="AB1253" i="2"/>
  <c r="AK1253" i="2" s="1"/>
  <c r="AB1248" i="2"/>
  <c r="AK1248" i="2" s="1"/>
  <c r="AB1237" i="2"/>
  <c r="AK1237" i="2" s="1"/>
  <c r="AB1232" i="2"/>
  <c r="AK1232" i="2" s="1"/>
  <c r="AB1221" i="2"/>
  <c r="AK1221" i="2" s="1"/>
  <c r="AB1216" i="2"/>
  <c r="AK1216" i="2" s="1"/>
  <c r="AB1205" i="2"/>
  <c r="AK1205" i="2" s="1"/>
  <c r="AB1200" i="2"/>
  <c r="AK1200" i="2" s="1"/>
  <c r="AD1199" i="2"/>
  <c r="AE1199" i="2" s="1"/>
  <c r="AD1193" i="2"/>
  <c r="AB1189" i="2"/>
  <c r="AK1189" i="2" s="1"/>
  <c r="AB1184" i="2"/>
  <c r="AK1184" i="2" s="1"/>
  <c r="AD1183" i="2"/>
  <c r="AE1183" i="2" s="1"/>
  <c r="AB1173" i="2"/>
  <c r="AK1173" i="2" s="1"/>
  <c r="AB1168" i="2"/>
  <c r="AK1168" i="2" s="1"/>
  <c r="AB1157" i="2"/>
  <c r="AK1157" i="2" s="1"/>
  <c r="AB1152" i="2"/>
  <c r="AK1152" i="2" s="1"/>
  <c r="AD1151" i="2"/>
  <c r="AE1151" i="2" s="1"/>
  <c r="AB1141" i="2"/>
  <c r="AK1141" i="2" s="1"/>
  <c r="AB1136" i="2"/>
  <c r="AK1136" i="2" s="1"/>
  <c r="AD1135" i="2"/>
  <c r="AE1135" i="2" s="1"/>
  <c r="AB1125" i="2"/>
  <c r="AK1125" i="2" s="1"/>
  <c r="AB1120" i="2"/>
  <c r="AK1120" i="2" s="1"/>
  <c r="AD1119" i="2"/>
  <c r="AE1119" i="2" s="1"/>
  <c r="AD1113" i="2"/>
  <c r="AB1109" i="2"/>
  <c r="AK1109" i="2" s="1"/>
  <c r="AB1104" i="2"/>
  <c r="AK1104" i="2" s="1"/>
  <c r="AD1103" i="2"/>
  <c r="AE1103" i="2" s="1"/>
  <c r="AB1093" i="2"/>
  <c r="AK1093" i="2" s="1"/>
  <c r="AB1088" i="2"/>
  <c r="AK1088" i="2" s="1"/>
  <c r="AB1068" i="2"/>
  <c r="AK1068" i="2" s="1"/>
  <c r="AD1060" i="2"/>
  <c r="AB1056" i="2"/>
  <c r="AK1056" i="2" s="1"/>
  <c r="AB1036" i="2"/>
  <c r="AK1036" i="2" s="1"/>
  <c r="AD1028" i="2"/>
  <c r="AB1024" i="2"/>
  <c r="AK1024" i="2" s="1"/>
  <c r="AB1004" i="2"/>
  <c r="AK1004" i="2" s="1"/>
  <c r="AD996" i="2"/>
  <c r="AB992" i="2"/>
  <c r="AK992" i="2" s="1"/>
  <c r="AB972" i="2"/>
  <c r="AK972" i="2" s="1"/>
  <c r="AB960" i="2"/>
  <c r="AK960" i="2" s="1"/>
  <c r="AD952" i="2"/>
  <c r="AB944" i="2"/>
  <c r="AK944" i="2" s="1"/>
  <c r="AB928" i="2"/>
  <c r="AK928" i="2" s="1"/>
  <c r="AB912" i="2"/>
  <c r="AK912" i="2" s="1"/>
  <c r="AB896" i="2"/>
  <c r="AK896" i="2" s="1"/>
  <c r="AB880" i="2"/>
  <c r="AK880" i="2" s="1"/>
  <c r="AB864" i="2"/>
  <c r="AK864" i="2" s="1"/>
  <c r="AB848" i="2"/>
  <c r="AK848" i="2" s="1"/>
  <c r="AB832" i="2"/>
  <c r="AK832" i="2" s="1"/>
  <c r="AB816" i="2"/>
  <c r="AK816" i="2" s="1"/>
  <c r="AB800" i="2"/>
  <c r="AK800" i="2" s="1"/>
  <c r="AA794" i="2"/>
  <c r="AB788" i="2"/>
  <c r="AK788" i="2" s="1"/>
  <c r="AB787" i="2"/>
  <c r="AA778" i="2"/>
  <c r="AB772" i="2"/>
  <c r="AK772" i="2" s="1"/>
  <c r="AB771" i="2"/>
  <c r="AA762" i="2"/>
  <c r="AB756" i="2"/>
  <c r="AK756" i="2" s="1"/>
  <c r="AB755" i="2"/>
  <c r="AA746" i="2"/>
  <c r="AB740" i="2"/>
  <c r="AK740" i="2" s="1"/>
  <c r="AB739" i="2"/>
  <c r="AA730" i="2"/>
  <c r="AB724" i="2"/>
  <c r="AK724" i="2" s="1"/>
  <c r="AB723" i="2"/>
  <c r="AA714" i="2"/>
  <c r="AA698" i="2"/>
  <c r="AB684" i="2"/>
  <c r="AK684" i="2" s="1"/>
  <c r="AA682" i="2"/>
  <c r="AB665" i="2"/>
  <c r="AK665" i="2" s="1"/>
  <c r="AB660" i="2"/>
  <c r="AK660" i="2" s="1"/>
  <c r="AB648" i="2"/>
  <c r="AK648" i="2" s="1"/>
  <c r="AB633" i="2"/>
  <c r="AK633" i="2" s="1"/>
  <c r="AB628" i="2"/>
  <c r="AK628" i="2" s="1"/>
  <c r="AA601" i="2"/>
  <c r="AJ601" i="2" s="1"/>
  <c r="AB601" i="2"/>
  <c r="AK601" i="2" s="1"/>
  <c r="AA580" i="2"/>
  <c r="AA564" i="2"/>
  <c r="AA548" i="2"/>
  <c r="AJ548" i="2" s="1"/>
  <c r="AB524" i="2"/>
  <c r="AK524" i="2" s="1"/>
  <c r="AA524" i="2"/>
  <c r="AA512" i="2"/>
  <c r="AA440" i="2"/>
  <c r="AB440" i="2"/>
  <c r="AK440" i="2" s="1"/>
  <c r="AA417" i="2"/>
  <c r="AB417" i="2"/>
  <c r="AK417" i="2" s="1"/>
  <c r="AB1287" i="2"/>
  <c r="AK1287" i="2" s="1"/>
  <c r="AB1271" i="2"/>
  <c r="AK1271" i="2" s="1"/>
  <c r="AB1255" i="2"/>
  <c r="AK1255" i="2" s="1"/>
  <c r="AB1239" i="2"/>
  <c r="AK1239" i="2" s="1"/>
  <c r="AB1223" i="2"/>
  <c r="AK1223" i="2" s="1"/>
  <c r="AB1207" i="2"/>
  <c r="AK1207" i="2" s="1"/>
  <c r="AB1191" i="2"/>
  <c r="AK1191" i="2" s="1"/>
  <c r="AB1175" i="2"/>
  <c r="AK1175" i="2" s="1"/>
  <c r="AB1159" i="2"/>
  <c r="AK1159" i="2" s="1"/>
  <c r="AB1143" i="2"/>
  <c r="AK1143" i="2" s="1"/>
  <c r="AB1127" i="2"/>
  <c r="AK1127" i="2" s="1"/>
  <c r="AB1111" i="2"/>
  <c r="AK1111" i="2" s="1"/>
  <c r="AB1095" i="2"/>
  <c r="AK1095" i="2" s="1"/>
  <c r="AB1083" i="2"/>
  <c r="AK1083" i="2" s="1"/>
  <c r="AA1081" i="2"/>
  <c r="AA1066" i="2"/>
  <c r="AB1051" i="2"/>
  <c r="AK1051" i="2" s="1"/>
  <c r="AA1049" i="2"/>
  <c r="AA1034" i="2"/>
  <c r="AB1019" i="2"/>
  <c r="AK1019" i="2" s="1"/>
  <c r="AA1017" i="2"/>
  <c r="AA1002" i="2"/>
  <c r="AB987" i="2"/>
  <c r="AK987" i="2" s="1"/>
  <c r="AA985" i="2"/>
  <c r="AA970" i="2"/>
  <c r="AB955" i="2"/>
  <c r="AK955" i="2" s="1"/>
  <c r="AA953" i="2"/>
  <c r="AA790" i="2"/>
  <c r="AB783" i="2"/>
  <c r="AK783" i="2" s="1"/>
  <c r="AA774" i="2"/>
  <c r="AB767" i="2"/>
  <c r="AK767" i="2" s="1"/>
  <c r="AA758" i="2"/>
  <c r="AB751" i="2"/>
  <c r="AK751" i="2" s="1"/>
  <c r="AA742" i="2"/>
  <c r="AB735" i="2"/>
  <c r="AK735" i="2" s="1"/>
  <c r="AA726" i="2"/>
  <c r="AB719" i="2"/>
  <c r="AK719" i="2" s="1"/>
  <c r="AA702" i="2"/>
  <c r="AA686" i="2"/>
  <c r="AB657" i="2"/>
  <c r="AK657" i="2" s="1"/>
  <c r="AB625" i="2"/>
  <c r="AK625" i="2" s="1"/>
  <c r="AA496" i="2"/>
  <c r="AB496" i="2"/>
  <c r="AK496" i="2" s="1"/>
  <c r="AA480" i="2"/>
  <c r="AB480" i="2"/>
  <c r="AK480" i="2" s="1"/>
  <c r="AA464" i="2"/>
  <c r="AB464" i="2"/>
  <c r="AK464" i="2" s="1"/>
  <c r="AA413" i="2"/>
  <c r="AJ413" i="2" s="1"/>
  <c r="AB413" i="2"/>
  <c r="AK413" i="2" s="1"/>
  <c r="AA492" i="2"/>
  <c r="AA460" i="2"/>
  <c r="AA452" i="2"/>
  <c r="AJ452" i="2" s="1"/>
  <c r="AA448" i="2"/>
  <c r="AJ448" i="2" s="1"/>
  <c r="AA444" i="2"/>
  <c r="AJ444" i="2" s="1"/>
  <c r="AA438" i="2"/>
  <c r="AB389" i="2"/>
  <c r="AK389" i="2" s="1"/>
  <c r="AB385" i="2"/>
  <c r="AK385" i="2" s="1"/>
  <c r="AB381" i="2"/>
  <c r="AK381" i="2" s="1"/>
  <c r="AB377" i="2"/>
  <c r="AK377" i="2" s="1"/>
  <c r="AB376" i="2"/>
  <c r="AK376" i="2" s="1"/>
  <c r="AB312" i="2"/>
  <c r="AK312" i="2" s="1"/>
  <c r="AB296" i="2"/>
  <c r="AK296" i="2" s="1"/>
  <c r="AB280" i="2"/>
  <c r="AK280" i="2" s="1"/>
  <c r="AB264" i="2"/>
  <c r="AK264" i="2" s="1"/>
  <c r="AB248" i="2"/>
  <c r="AK248" i="2" s="1"/>
  <c r="AB232" i="2"/>
  <c r="AB216" i="2"/>
  <c r="AK216" i="2" s="1"/>
  <c r="AB214" i="2"/>
  <c r="AB200" i="2"/>
  <c r="AB186" i="2"/>
  <c r="AB89" i="2"/>
  <c r="AB63" i="2"/>
  <c r="AB51" i="2"/>
  <c r="AB99" i="2"/>
  <c r="AD432" i="2"/>
  <c r="AD368" i="2"/>
  <c r="AB350" i="2"/>
  <c r="AB338" i="2"/>
  <c r="AK338" i="2" s="1"/>
  <c r="AD331" i="2"/>
  <c r="AA329" i="2"/>
  <c r="AB326" i="2"/>
  <c r="AK326" i="2" s="1"/>
  <c r="AA319" i="2"/>
  <c r="AA317" i="2"/>
  <c r="AB308" i="2"/>
  <c r="AK308" i="2" s="1"/>
  <c r="AA303" i="2"/>
  <c r="AA301" i="2"/>
  <c r="AB292" i="2"/>
  <c r="AK292" i="2" s="1"/>
  <c r="AA287" i="2"/>
  <c r="AA285" i="2"/>
  <c r="AB276" i="2"/>
  <c r="AK276" i="2" s="1"/>
  <c r="AA271" i="2"/>
  <c r="AA269" i="2"/>
  <c r="AB260" i="2"/>
  <c r="AK260" i="2" s="1"/>
  <c r="AA255" i="2"/>
  <c r="AA253" i="2"/>
  <c r="AA239" i="2"/>
  <c r="AF239" i="2" s="1"/>
  <c r="AN239" i="2" s="1"/>
  <c r="AQ239" i="2" s="1"/>
  <c r="AA237" i="2"/>
  <c r="AF237" i="2" s="1"/>
  <c r="AB228" i="2"/>
  <c r="AA223" i="2"/>
  <c r="AF223" i="2" s="1"/>
  <c r="AN223" i="2" s="1"/>
  <c r="AQ223" i="2" s="1"/>
  <c r="AA221" i="2"/>
  <c r="AA158" i="2"/>
  <c r="AF158" i="2" s="1"/>
  <c r="AA175" i="2"/>
  <c r="AF175" i="2" s="1"/>
  <c r="AN175" i="2" s="1"/>
  <c r="AB171" i="2"/>
  <c r="AA146" i="2"/>
  <c r="AF146" i="2" s="1"/>
  <c r="AA167" i="2"/>
  <c r="AF167" i="2" s="1"/>
  <c r="AA144" i="2"/>
  <c r="AF144" i="2" s="1"/>
  <c r="AA74" i="2"/>
  <c r="AF74" i="2" s="1"/>
  <c r="AB30" i="2"/>
  <c r="AA87" i="2"/>
  <c r="AF87" i="2" s="1"/>
  <c r="AF11" i="2"/>
  <c r="AA42" i="2"/>
  <c r="AF42" i="2" s="1"/>
  <c r="AA102" i="2"/>
  <c r="AF102" i="2" s="1"/>
  <c r="AA20" i="2"/>
  <c r="AF20" i="2" s="1"/>
  <c r="AB59" i="2"/>
  <c r="AB341" i="2"/>
  <c r="AK341" i="2" s="1"/>
  <c r="AA341" i="2"/>
  <c r="AB358" i="2"/>
  <c r="AD351" i="2"/>
  <c r="AA334" i="2"/>
  <c r="AB334" i="2"/>
  <c r="AK334" i="2" s="1"/>
  <c r="AB328" i="2"/>
  <c r="AK328" i="2" s="1"/>
  <c r="AB325" i="2"/>
  <c r="AK325" i="2" s="1"/>
  <c r="AA325" i="2"/>
  <c r="AD322" i="2"/>
  <c r="AB316" i="2"/>
  <c r="AK316" i="2" s="1"/>
  <c r="AA311" i="2"/>
  <c r="AA309" i="2"/>
  <c r="AA295" i="2"/>
  <c r="AA293" i="2"/>
  <c r="AB284" i="2"/>
  <c r="AK284" i="2" s="1"/>
  <c r="AA279" i="2"/>
  <c r="AA277" i="2"/>
  <c r="AA263" i="2"/>
  <c r="AA261" i="2"/>
  <c r="AB252" i="2"/>
  <c r="AK252" i="2" s="1"/>
  <c r="AA247" i="2"/>
  <c r="AA245" i="2"/>
  <c r="AA231" i="2"/>
  <c r="AF231" i="2" s="1"/>
  <c r="AN231" i="2" s="1"/>
  <c r="AQ231" i="2" s="1"/>
  <c r="AA229" i="2"/>
  <c r="AF229" i="2" s="1"/>
  <c r="AN229" i="2" s="1"/>
  <c r="AQ229" i="2" s="1"/>
  <c r="AB220" i="2"/>
  <c r="AA215" i="2"/>
  <c r="AF215" i="2" s="1"/>
  <c r="AN215" i="2" s="1"/>
  <c r="AQ215" i="2" s="1"/>
  <c r="AA213" i="2"/>
  <c r="AF213" i="2" s="1"/>
  <c r="AB174" i="2"/>
  <c r="AA114" i="2"/>
  <c r="AF114" i="2" s="1"/>
  <c r="AA155" i="2"/>
  <c r="AF155" i="2" s="1"/>
  <c r="AA145" i="2"/>
  <c r="AF145" i="2" s="1"/>
  <c r="AB104" i="2"/>
  <c r="AA109" i="2"/>
  <c r="AF109" i="2" s="1"/>
  <c r="AA79" i="2"/>
  <c r="AF79" i="2" s="1"/>
  <c r="AA41" i="2"/>
  <c r="AF41" i="2" s="1"/>
  <c r="B198" i="28"/>
  <c r="X198" i="28" s="1"/>
  <c r="Z130" i="2"/>
  <c r="X130" i="2" s="1"/>
  <c r="Z90" i="2"/>
  <c r="X90" i="2" s="1"/>
  <c r="Z163" i="2"/>
  <c r="X163" i="2" s="1"/>
  <c r="Z124" i="2"/>
  <c r="X124" i="2" s="1"/>
  <c r="Z2" i="2"/>
  <c r="X2" i="2" s="1"/>
  <c r="Z56" i="2"/>
  <c r="X56" i="2" s="1"/>
  <c r="Z4" i="2"/>
  <c r="X4" i="2" s="1"/>
  <c r="Z93" i="2"/>
  <c r="X93" i="2" s="1"/>
  <c r="Z107" i="2"/>
  <c r="X107" i="2" s="1"/>
  <c r="Z15" i="2"/>
  <c r="X15" i="2" s="1"/>
  <c r="Z40" i="2"/>
  <c r="X40" i="2" s="1"/>
  <c r="Z132" i="2"/>
  <c r="X132" i="2" s="1"/>
  <c r="Z154" i="2"/>
  <c r="X154" i="2" s="1"/>
  <c r="Z133" i="2"/>
  <c r="X133" i="2" s="1"/>
  <c r="Z202" i="2"/>
  <c r="X202" i="2" s="1"/>
  <c r="Z3" i="2"/>
  <c r="X3" i="2" s="1"/>
  <c r="Z105" i="2"/>
  <c r="X105" i="2" s="1"/>
  <c r="Z106" i="2"/>
  <c r="X106" i="2" s="1"/>
  <c r="Z76" i="2"/>
  <c r="X76" i="2" s="1"/>
  <c r="Z5" i="2"/>
  <c r="X5" i="2" s="1"/>
  <c r="Z77" i="2"/>
  <c r="X77" i="2" s="1"/>
  <c r="AN2357" i="2"/>
  <c r="AQ2357" i="2" s="1"/>
  <c r="AI2357" i="2"/>
  <c r="AN2229" i="2"/>
  <c r="AQ2229" i="2" s="1"/>
  <c r="AI2229" i="2"/>
  <c r="AN1901" i="2"/>
  <c r="AQ1901" i="2" s="1"/>
  <c r="AI1901" i="2"/>
  <c r="AN1887" i="2"/>
  <c r="AQ1887" i="2" s="1"/>
  <c r="AI1887" i="2"/>
  <c r="AN2415" i="2"/>
  <c r="AQ2415" i="2" s="1"/>
  <c r="AI2415" i="2"/>
  <c r="AN2311" i="2"/>
  <c r="AQ2311" i="2" s="1"/>
  <c r="AI2311" i="2"/>
  <c r="AN2247" i="2"/>
  <c r="AQ2247" i="2" s="1"/>
  <c r="AI2247" i="2"/>
  <c r="AN1911" i="2"/>
  <c r="AQ1911" i="2" s="1"/>
  <c r="AI1911" i="2"/>
  <c r="AN2389" i="2"/>
  <c r="AQ2389" i="2" s="1"/>
  <c r="AI2389" i="2"/>
  <c r="AN1917" i="2"/>
  <c r="AQ1917" i="2" s="1"/>
  <c r="AI1917" i="2"/>
  <c r="AN2399" i="2"/>
  <c r="AQ2399" i="2" s="1"/>
  <c r="AI2399" i="2"/>
  <c r="AI1855" i="2"/>
  <c r="AE2357" i="2"/>
  <c r="AM2325" i="2"/>
  <c r="AE2273" i="2"/>
  <c r="AE1765" i="2"/>
  <c r="AD2426" i="2"/>
  <c r="AD2410" i="2"/>
  <c r="AD2402" i="2"/>
  <c r="AD2394" i="2"/>
  <c r="AD2386" i="2"/>
  <c r="AD2378" i="2"/>
  <c r="AD2362" i="2"/>
  <c r="AD2330" i="2"/>
  <c r="AD2318" i="2"/>
  <c r="AD2314" i="2"/>
  <c r="AD2298" i="2"/>
  <c r="AD2286" i="2"/>
  <c r="AD2282" i="2"/>
  <c r="AD2234" i="2"/>
  <c r="AD2222" i="2"/>
  <c r="AD2218" i="2"/>
  <c r="AD2210" i="2"/>
  <c r="AD2202" i="2"/>
  <c r="AD2194" i="2"/>
  <c r="AD2186" i="2"/>
  <c r="AD2170" i="2"/>
  <c r="AD2154" i="2"/>
  <c r="AD2126" i="2"/>
  <c r="AD2122" i="2"/>
  <c r="AA2088" i="2"/>
  <c r="AB2088" i="2"/>
  <c r="AK2088" i="2" s="1"/>
  <c r="AA2072" i="2"/>
  <c r="AB2072" i="2"/>
  <c r="AK2072" i="2" s="1"/>
  <c r="AA2056" i="2"/>
  <c r="AB2056" i="2"/>
  <c r="AK2056" i="2" s="1"/>
  <c r="AA2040" i="2"/>
  <c r="AB2040" i="2"/>
  <c r="AK2040" i="2" s="1"/>
  <c r="AA2024" i="2"/>
  <c r="AB2024" i="2"/>
  <c r="AK2024" i="2" s="1"/>
  <c r="AA2008" i="2"/>
  <c r="AB2008" i="2"/>
  <c r="AK2008" i="2" s="1"/>
  <c r="AA1992" i="2"/>
  <c r="AB1992" i="2"/>
  <c r="AK1992" i="2" s="1"/>
  <c r="AA1976" i="2"/>
  <c r="AB1976" i="2"/>
  <c r="AK1976" i="2" s="1"/>
  <c r="AA1960" i="2"/>
  <c r="AB1960" i="2"/>
  <c r="AK1960" i="2" s="1"/>
  <c r="AA1944" i="2"/>
  <c r="AB1944" i="2"/>
  <c r="AK1944" i="2" s="1"/>
  <c r="AA1928" i="2"/>
  <c r="AB1928" i="2"/>
  <c r="AK1928" i="2" s="1"/>
  <c r="AA1912" i="2"/>
  <c r="AB1912" i="2"/>
  <c r="AK1912" i="2" s="1"/>
  <c r="AA1896" i="2"/>
  <c r="AB1896" i="2"/>
  <c r="AK1896" i="2" s="1"/>
  <c r="AA1880" i="2"/>
  <c r="AB1880" i="2"/>
  <c r="AK1880" i="2" s="1"/>
  <c r="AA1864" i="2"/>
  <c r="AB1864" i="2"/>
  <c r="AK1864" i="2" s="1"/>
  <c r="AA1848" i="2"/>
  <c r="AB1848" i="2"/>
  <c r="AK1848" i="2" s="1"/>
  <c r="AA1832" i="2"/>
  <c r="AB1832" i="2"/>
  <c r="AK1832" i="2" s="1"/>
  <c r="AA1816" i="2"/>
  <c r="AB1816" i="2"/>
  <c r="AK1816" i="2" s="1"/>
  <c r="AA1800" i="2"/>
  <c r="AB1800" i="2"/>
  <c r="AK1800" i="2" s="1"/>
  <c r="AA1784" i="2"/>
  <c r="AB1784" i="2"/>
  <c r="AK1784" i="2" s="1"/>
  <c r="AA1768" i="2"/>
  <c r="AB1768" i="2"/>
  <c r="AK1768" i="2" s="1"/>
  <c r="AA1752" i="2"/>
  <c r="AB1752" i="2"/>
  <c r="AK1752" i="2" s="1"/>
  <c r="AA1736" i="2"/>
  <c r="AB1736" i="2"/>
  <c r="AK1736" i="2" s="1"/>
  <c r="AA1720" i="2"/>
  <c r="AB1720" i="2"/>
  <c r="AK1720" i="2" s="1"/>
  <c r="AA1692" i="2"/>
  <c r="AB1692" i="2"/>
  <c r="AK1692" i="2" s="1"/>
  <c r="AA1676" i="2"/>
  <c r="AB1676" i="2"/>
  <c r="AK1676" i="2" s="1"/>
  <c r="AA1660" i="2"/>
  <c r="AB1660" i="2"/>
  <c r="AK1660" i="2" s="1"/>
  <c r="AA1644" i="2"/>
  <c r="AB1644" i="2"/>
  <c r="AK1644" i="2" s="1"/>
  <c r="AA1628" i="2"/>
  <c r="AB1628" i="2"/>
  <c r="AK1628" i="2" s="1"/>
  <c r="AA1612" i="2"/>
  <c r="AB1612" i="2"/>
  <c r="AK1612" i="2" s="1"/>
  <c r="AA1596" i="2"/>
  <c r="AB1596" i="2"/>
  <c r="AK1596" i="2" s="1"/>
  <c r="AA1580" i="2"/>
  <c r="AB1580" i="2"/>
  <c r="AK1580" i="2" s="1"/>
  <c r="AA1564" i="2"/>
  <c r="AB1564" i="2"/>
  <c r="AK1564" i="2" s="1"/>
  <c r="AA1548" i="2"/>
  <c r="AB1548" i="2"/>
  <c r="AK1548" i="2" s="1"/>
  <c r="AA1532" i="2"/>
  <c r="AB1532" i="2"/>
  <c r="AK1532" i="2" s="1"/>
  <c r="AA1516" i="2"/>
  <c r="AB1516" i="2"/>
  <c r="AK1516" i="2" s="1"/>
  <c r="AA1500" i="2"/>
  <c r="AB1500" i="2"/>
  <c r="AK1500" i="2" s="1"/>
  <c r="AA1484" i="2"/>
  <c r="AB1484" i="2"/>
  <c r="AK1484" i="2" s="1"/>
  <c r="AA1468" i="2"/>
  <c r="AB1468" i="2"/>
  <c r="AK1468" i="2" s="1"/>
  <c r="AB1463" i="2"/>
  <c r="AK1463" i="2" s="1"/>
  <c r="AA1463" i="2"/>
  <c r="AA1458" i="2"/>
  <c r="AB1458" i="2"/>
  <c r="AK1458" i="2" s="1"/>
  <c r="AA1452" i="2"/>
  <c r="AB1452" i="2"/>
  <c r="AK1452" i="2" s="1"/>
  <c r="AB1447" i="2"/>
  <c r="AK1447" i="2" s="1"/>
  <c r="AA1447" i="2"/>
  <c r="AA1442" i="2"/>
  <c r="AB1442" i="2"/>
  <c r="AK1442" i="2" s="1"/>
  <c r="AA1436" i="2"/>
  <c r="AB1436" i="2"/>
  <c r="AK1436" i="2" s="1"/>
  <c r="AB1431" i="2"/>
  <c r="AK1431" i="2" s="1"/>
  <c r="AA1431" i="2"/>
  <c r="AA1426" i="2"/>
  <c r="AB1426" i="2"/>
  <c r="AK1426" i="2" s="1"/>
  <c r="AA1420" i="2"/>
  <c r="AB1420" i="2"/>
  <c r="AK1420" i="2" s="1"/>
  <c r="AB1415" i="2"/>
  <c r="AK1415" i="2" s="1"/>
  <c r="AA1415" i="2"/>
  <c r="AA1410" i="2"/>
  <c r="AB1410" i="2"/>
  <c r="AK1410" i="2" s="1"/>
  <c r="AA1404" i="2"/>
  <c r="AB1404" i="2"/>
  <c r="AK1404" i="2" s="1"/>
  <c r="AB1399" i="2"/>
  <c r="AK1399" i="2" s="1"/>
  <c r="AA1399" i="2"/>
  <c r="AA1394" i="2"/>
  <c r="AB1394" i="2"/>
  <c r="AK1394" i="2" s="1"/>
  <c r="AB1378" i="2"/>
  <c r="AK1378" i="2" s="1"/>
  <c r="AA1378" i="2"/>
  <c r="AB1362" i="2"/>
  <c r="AK1362" i="2" s="1"/>
  <c r="AA1362" i="2"/>
  <c r="AB1346" i="2"/>
  <c r="AK1346" i="2" s="1"/>
  <c r="AA1346" i="2"/>
  <c r="AB1330" i="2"/>
  <c r="AK1330" i="2" s="1"/>
  <c r="AA1330" i="2"/>
  <c r="AB1314" i="2"/>
  <c r="AK1314" i="2" s="1"/>
  <c r="AA1314" i="2"/>
  <c r="AB1298" i="2"/>
  <c r="AK1298" i="2" s="1"/>
  <c r="AA1298" i="2"/>
  <c r="AB1282" i="2"/>
  <c r="AK1282" i="2" s="1"/>
  <c r="AA1282" i="2"/>
  <c r="AB1266" i="2"/>
  <c r="AK1266" i="2" s="1"/>
  <c r="AA1266" i="2"/>
  <c r="AB1250" i="2"/>
  <c r="AK1250" i="2" s="1"/>
  <c r="AA1250" i="2"/>
  <c r="AB1234" i="2"/>
  <c r="AK1234" i="2" s="1"/>
  <c r="AA1234" i="2"/>
  <c r="AB1218" i="2"/>
  <c r="AK1218" i="2" s="1"/>
  <c r="AA1218" i="2"/>
  <c r="AB1202" i="2"/>
  <c r="AK1202" i="2" s="1"/>
  <c r="AA1202" i="2"/>
  <c r="AB1186" i="2"/>
  <c r="AK1186" i="2" s="1"/>
  <c r="AA1186" i="2"/>
  <c r="AB1170" i="2"/>
  <c r="AK1170" i="2" s="1"/>
  <c r="AA1170" i="2"/>
  <c r="AB1154" i="2"/>
  <c r="AK1154" i="2" s="1"/>
  <c r="AA1154" i="2"/>
  <c r="AB1138" i="2"/>
  <c r="AK1138" i="2" s="1"/>
  <c r="AA1138" i="2"/>
  <c r="AB1122" i="2"/>
  <c r="AK1122" i="2" s="1"/>
  <c r="AA1122" i="2"/>
  <c r="AB1106" i="2"/>
  <c r="AK1106" i="2" s="1"/>
  <c r="AA1106" i="2"/>
  <c r="AB1090" i="2"/>
  <c r="AK1090" i="2" s="1"/>
  <c r="AA1090" i="2"/>
  <c r="AA2084" i="2"/>
  <c r="AB2084" i="2"/>
  <c r="AK2084" i="2" s="1"/>
  <c r="AA2068" i="2"/>
  <c r="AB2068" i="2"/>
  <c r="AK2068" i="2" s="1"/>
  <c r="AD2054" i="2"/>
  <c r="AA2052" i="2"/>
  <c r="AB2052" i="2"/>
  <c r="AK2052" i="2" s="1"/>
  <c r="AA2036" i="2"/>
  <c r="AB2036" i="2"/>
  <c r="AK2036" i="2" s="1"/>
  <c r="AD2022" i="2"/>
  <c r="AA2020" i="2"/>
  <c r="AB2020" i="2"/>
  <c r="AK2020" i="2" s="1"/>
  <c r="AD2006" i="2"/>
  <c r="AA2004" i="2"/>
  <c r="AB2004" i="2"/>
  <c r="AK2004" i="2" s="1"/>
  <c r="AA1988" i="2"/>
  <c r="AB1988" i="2"/>
  <c r="AK1988" i="2" s="1"/>
  <c r="AD1974" i="2"/>
  <c r="AA1972" i="2"/>
  <c r="AB1972" i="2"/>
  <c r="AK1972" i="2" s="1"/>
  <c r="AD1958" i="2"/>
  <c r="AA1956" i="2"/>
  <c r="AB1956" i="2"/>
  <c r="AK1956" i="2" s="1"/>
  <c r="AA1940" i="2"/>
  <c r="AB1940" i="2"/>
  <c r="AK1940" i="2" s="1"/>
  <c r="AD1926" i="2"/>
  <c r="AA1924" i="2"/>
  <c r="AB1924" i="2"/>
  <c r="AK1924" i="2" s="1"/>
  <c r="AD1910" i="2"/>
  <c r="AA1908" i="2"/>
  <c r="AB1908" i="2"/>
  <c r="AK1908" i="2" s="1"/>
  <c r="AD1894" i="2"/>
  <c r="AA1892" i="2"/>
  <c r="AB1892" i="2"/>
  <c r="AK1892" i="2" s="1"/>
  <c r="AD1878" i="2"/>
  <c r="AA1876" i="2"/>
  <c r="AB1876" i="2"/>
  <c r="AK1876" i="2" s="1"/>
  <c r="AA1860" i="2"/>
  <c r="AB1860" i="2"/>
  <c r="AK1860" i="2" s="1"/>
  <c r="AD1846" i="2"/>
  <c r="AA1844" i="2"/>
  <c r="AB1844" i="2"/>
  <c r="AK1844" i="2" s="1"/>
  <c r="AD1830" i="2"/>
  <c r="AA1828" i="2"/>
  <c r="AB1828" i="2"/>
  <c r="AK1828" i="2" s="1"/>
  <c r="AD1814" i="2"/>
  <c r="AA1812" i="2"/>
  <c r="AB1812" i="2"/>
  <c r="AK1812" i="2" s="1"/>
  <c r="AA1796" i="2"/>
  <c r="AB1796" i="2"/>
  <c r="AK1796" i="2" s="1"/>
  <c r="AD1782" i="2"/>
  <c r="AA1780" i="2"/>
  <c r="AB1780" i="2"/>
  <c r="AK1780" i="2" s="1"/>
  <c r="AD1766" i="2"/>
  <c r="AA1764" i="2"/>
  <c r="AB1764" i="2"/>
  <c r="AK1764" i="2" s="1"/>
  <c r="AD1750" i="2"/>
  <c r="AA1748" i="2"/>
  <c r="AB1748" i="2"/>
  <c r="AK1748" i="2" s="1"/>
  <c r="AA1732" i="2"/>
  <c r="AB1732" i="2"/>
  <c r="AK1732" i="2" s="1"/>
  <c r="AD1718" i="2"/>
  <c r="AA1716" i="2"/>
  <c r="AB1716" i="2"/>
  <c r="AK1716" i="2" s="1"/>
  <c r="AA1696" i="2"/>
  <c r="AB1696" i="2"/>
  <c r="AK1696" i="2" s="1"/>
  <c r="AA1680" i="2"/>
  <c r="AB1680" i="2"/>
  <c r="AK1680" i="2" s="1"/>
  <c r="AD1678" i="2"/>
  <c r="AA1664" i="2"/>
  <c r="AB1664" i="2"/>
  <c r="AK1664" i="2" s="1"/>
  <c r="AA1648" i="2"/>
  <c r="AB1648" i="2"/>
  <c r="AK1648" i="2" s="1"/>
  <c r="AA1632" i="2"/>
  <c r="AB1632" i="2"/>
  <c r="AK1632" i="2" s="1"/>
  <c r="AD1630" i="2"/>
  <c r="AA1616" i="2"/>
  <c r="AB1616" i="2"/>
  <c r="AK1616" i="2" s="1"/>
  <c r="AD1614" i="2"/>
  <c r="AA1600" i="2"/>
  <c r="AB1600" i="2"/>
  <c r="AK1600" i="2" s="1"/>
  <c r="AA1584" i="2"/>
  <c r="AB1584" i="2"/>
  <c r="AK1584" i="2" s="1"/>
  <c r="AA1568" i="2"/>
  <c r="AB1568" i="2"/>
  <c r="AK1568" i="2" s="1"/>
  <c r="AD1566" i="2"/>
  <c r="AA1552" i="2"/>
  <c r="AB1552" i="2"/>
  <c r="AK1552" i="2" s="1"/>
  <c r="AA1536" i="2"/>
  <c r="AB1536" i="2"/>
  <c r="AK1536" i="2" s="1"/>
  <c r="AA1520" i="2"/>
  <c r="AB1520" i="2"/>
  <c r="AK1520" i="2" s="1"/>
  <c r="AA1504" i="2"/>
  <c r="AB1504" i="2"/>
  <c r="AK1504" i="2" s="1"/>
  <c r="AD1502" i="2"/>
  <c r="AA1488" i="2"/>
  <c r="AB1488" i="2"/>
  <c r="AK1488" i="2" s="1"/>
  <c r="AA1472" i="2"/>
  <c r="AB1472" i="2"/>
  <c r="AK1472" i="2" s="1"/>
  <c r="AD1470" i="2"/>
  <c r="AA1462" i="2"/>
  <c r="AB1462" i="2"/>
  <c r="AK1462" i="2" s="1"/>
  <c r="AA1456" i="2"/>
  <c r="AB1456" i="2"/>
  <c r="AK1456" i="2" s="1"/>
  <c r="AB1451" i="2"/>
  <c r="AK1451" i="2" s="1"/>
  <c r="AA1451" i="2"/>
  <c r="AA1446" i="2"/>
  <c r="AB1446" i="2"/>
  <c r="AK1446" i="2" s="1"/>
  <c r="AA1440" i="2"/>
  <c r="AB1440" i="2"/>
  <c r="AK1440" i="2" s="1"/>
  <c r="AB1435" i="2"/>
  <c r="AK1435" i="2" s="1"/>
  <c r="AA1435" i="2"/>
  <c r="AA1430" i="2"/>
  <c r="AB1430" i="2"/>
  <c r="AK1430" i="2" s="1"/>
  <c r="AA1424" i="2"/>
  <c r="AB1424" i="2"/>
  <c r="AK1424" i="2" s="1"/>
  <c r="AB1419" i="2"/>
  <c r="AK1419" i="2" s="1"/>
  <c r="AA1419" i="2"/>
  <c r="AA1414" i="2"/>
  <c r="AB1414" i="2"/>
  <c r="AK1414" i="2" s="1"/>
  <c r="AA1408" i="2"/>
  <c r="AB1408" i="2"/>
  <c r="AK1408" i="2" s="1"/>
  <c r="AB1403" i="2"/>
  <c r="AK1403" i="2" s="1"/>
  <c r="AA1403" i="2"/>
  <c r="AA1398" i="2"/>
  <c r="AB1398" i="2"/>
  <c r="AK1398" i="2" s="1"/>
  <c r="AB1390" i="2"/>
  <c r="AK1390" i="2" s="1"/>
  <c r="AA1390" i="2"/>
  <c r="AD1387" i="2"/>
  <c r="AB1374" i="2"/>
  <c r="AK1374" i="2" s="1"/>
  <c r="AA1374" i="2"/>
  <c r="AD1371" i="2"/>
  <c r="AB1358" i="2"/>
  <c r="AK1358" i="2" s="1"/>
  <c r="AA1358" i="2"/>
  <c r="AD1355" i="2"/>
  <c r="AB1342" i="2"/>
  <c r="AK1342" i="2" s="1"/>
  <c r="AA1342" i="2"/>
  <c r="AD1339" i="2"/>
  <c r="AB1326" i="2"/>
  <c r="AK1326" i="2" s="1"/>
  <c r="AA1326" i="2"/>
  <c r="AD1323" i="2"/>
  <c r="AB1310" i="2"/>
  <c r="AK1310" i="2" s="1"/>
  <c r="AA1310" i="2"/>
  <c r="AB1294" i="2"/>
  <c r="AK1294" i="2" s="1"/>
  <c r="AA1294" i="2"/>
  <c r="AD1291" i="2"/>
  <c r="AB1278" i="2"/>
  <c r="AK1278" i="2" s="1"/>
  <c r="AA1278" i="2"/>
  <c r="AB1262" i="2"/>
  <c r="AK1262" i="2" s="1"/>
  <c r="AA1262" i="2"/>
  <c r="AB1246" i="2"/>
  <c r="AK1246" i="2" s="1"/>
  <c r="AA1246" i="2"/>
  <c r="AB1230" i="2"/>
  <c r="AK1230" i="2" s="1"/>
  <c r="AA1230" i="2"/>
  <c r="AD1227" i="2"/>
  <c r="AB1214" i="2"/>
  <c r="AK1214" i="2" s="1"/>
  <c r="AA1214" i="2"/>
  <c r="AB1198" i="2"/>
  <c r="AK1198" i="2" s="1"/>
  <c r="AA1198" i="2"/>
  <c r="AB1182" i="2"/>
  <c r="AK1182" i="2" s="1"/>
  <c r="AA1182" i="2"/>
  <c r="AB1166" i="2"/>
  <c r="AK1166" i="2" s="1"/>
  <c r="AA1166" i="2"/>
  <c r="AB1150" i="2"/>
  <c r="AK1150" i="2" s="1"/>
  <c r="AA1150" i="2"/>
  <c r="AD1147" i="2"/>
  <c r="AB1134" i="2"/>
  <c r="AK1134" i="2" s="1"/>
  <c r="AA1134" i="2"/>
  <c r="AB1118" i="2"/>
  <c r="AK1118" i="2" s="1"/>
  <c r="AA1118" i="2"/>
  <c r="AD1115" i="2"/>
  <c r="AB1102" i="2"/>
  <c r="AK1102" i="2" s="1"/>
  <c r="AA1102" i="2"/>
  <c r="AD1099" i="2"/>
  <c r="AB1085" i="2"/>
  <c r="AK1085" i="2" s="1"/>
  <c r="AA1085" i="2"/>
  <c r="AA1071" i="2"/>
  <c r="AB1071" i="2"/>
  <c r="AK1071" i="2" s="1"/>
  <c r="AB1062" i="2"/>
  <c r="AK1062" i="2" s="1"/>
  <c r="AA1062" i="2"/>
  <c r="AB1053" i="2"/>
  <c r="AK1053" i="2" s="1"/>
  <c r="AA1053" i="2"/>
  <c r="AA1039" i="2"/>
  <c r="AB1039" i="2"/>
  <c r="AK1039" i="2" s="1"/>
  <c r="AB1030" i="2"/>
  <c r="AK1030" i="2" s="1"/>
  <c r="AA1030" i="2"/>
  <c r="AB1021" i="2"/>
  <c r="AK1021" i="2" s="1"/>
  <c r="AA1021" i="2"/>
  <c r="AA1007" i="2"/>
  <c r="AB1007" i="2"/>
  <c r="AK1007" i="2" s="1"/>
  <c r="AB998" i="2"/>
  <c r="AK998" i="2" s="1"/>
  <c r="AA998" i="2"/>
  <c r="AB989" i="2"/>
  <c r="AK989" i="2" s="1"/>
  <c r="AA989" i="2"/>
  <c r="AA975" i="2"/>
  <c r="AB975" i="2"/>
  <c r="AK975" i="2" s="1"/>
  <c r="AB966" i="2"/>
  <c r="AK966" i="2" s="1"/>
  <c r="AA966" i="2"/>
  <c r="AB957" i="2"/>
  <c r="AK957" i="2" s="1"/>
  <c r="AA957" i="2"/>
  <c r="AB670" i="2"/>
  <c r="AK670" i="2" s="1"/>
  <c r="AA670" i="2"/>
  <c r="AB638" i="2"/>
  <c r="AK638" i="2" s="1"/>
  <c r="AA638" i="2"/>
  <c r="AB606" i="2"/>
  <c r="AK606" i="2" s="1"/>
  <c r="AA606" i="2"/>
  <c r="AD2082" i="2"/>
  <c r="AA2080" i="2"/>
  <c r="AB2080" i="2"/>
  <c r="AK2080" i="2" s="1"/>
  <c r="AD2066" i="2"/>
  <c r="AA2064" i="2"/>
  <c r="AB2064" i="2"/>
  <c r="AK2064" i="2" s="1"/>
  <c r="AA2048" i="2"/>
  <c r="AB2048" i="2"/>
  <c r="AK2048" i="2" s="1"/>
  <c r="AA2032" i="2"/>
  <c r="AB2032" i="2"/>
  <c r="AK2032" i="2" s="1"/>
  <c r="AD2018" i="2"/>
  <c r="AA2016" i="2"/>
  <c r="AB2016" i="2"/>
  <c r="AK2016" i="2" s="1"/>
  <c r="AA2007" i="2"/>
  <c r="AA2000" i="2"/>
  <c r="AB2000" i="2"/>
  <c r="AK2000" i="2" s="1"/>
  <c r="AA1984" i="2"/>
  <c r="AB1984" i="2"/>
  <c r="AK1984" i="2" s="1"/>
  <c r="AD1970" i="2"/>
  <c r="AA1968" i="2"/>
  <c r="AB1968" i="2"/>
  <c r="AK1968" i="2" s="1"/>
  <c r="AA1952" i="2"/>
  <c r="AB1952" i="2"/>
  <c r="AK1952" i="2" s="1"/>
  <c r="AA1936" i="2"/>
  <c r="AB1936" i="2"/>
  <c r="AK1936" i="2" s="1"/>
  <c r="AA1920" i="2"/>
  <c r="AB1920" i="2"/>
  <c r="AK1920" i="2" s="1"/>
  <c r="AD1906" i="2"/>
  <c r="AA1904" i="2"/>
  <c r="AB1904" i="2"/>
  <c r="AK1904" i="2" s="1"/>
  <c r="AA1888" i="2"/>
  <c r="AB1888" i="2"/>
  <c r="AK1888" i="2" s="1"/>
  <c r="AD1874" i="2"/>
  <c r="AA1872" i="2"/>
  <c r="AB1872" i="2"/>
  <c r="AK1872" i="2" s="1"/>
  <c r="AA1856" i="2"/>
  <c r="AB1856" i="2"/>
  <c r="AK1856" i="2" s="1"/>
  <c r="AD1842" i="2"/>
  <c r="AA1840" i="2"/>
  <c r="AB1840" i="2"/>
  <c r="AK1840" i="2" s="1"/>
  <c r="AD1826" i="2"/>
  <c r="AA1824" i="2"/>
  <c r="AB1824" i="2"/>
  <c r="AK1824" i="2" s="1"/>
  <c r="AD1810" i="2"/>
  <c r="AA1808" i="2"/>
  <c r="AB1808" i="2"/>
  <c r="AK1808" i="2" s="1"/>
  <c r="AD1794" i="2"/>
  <c r="AA1792" i="2"/>
  <c r="AB1792" i="2"/>
  <c r="AK1792" i="2" s="1"/>
  <c r="AA1776" i="2"/>
  <c r="AB1776" i="2"/>
  <c r="AK1776" i="2" s="1"/>
  <c r="AD1762" i="2"/>
  <c r="AA1760" i="2"/>
  <c r="AB1760" i="2"/>
  <c r="AK1760" i="2" s="1"/>
  <c r="AD1746" i="2"/>
  <c r="AA1744" i="2"/>
  <c r="AB1744" i="2"/>
  <c r="AK1744" i="2" s="1"/>
  <c r="AD1730" i="2"/>
  <c r="AA1728" i="2"/>
  <c r="AB1728" i="2"/>
  <c r="AK1728" i="2" s="1"/>
  <c r="AA1712" i="2"/>
  <c r="AB1712" i="2"/>
  <c r="AK1712" i="2" s="1"/>
  <c r="AA1700" i="2"/>
  <c r="AB1700" i="2"/>
  <c r="AK1700" i="2" s="1"/>
  <c r="AA1684" i="2"/>
  <c r="AB1684" i="2"/>
  <c r="AK1684" i="2" s="1"/>
  <c r="AD1679" i="2"/>
  <c r="AA1668" i="2"/>
  <c r="AB1668" i="2"/>
  <c r="AK1668" i="2" s="1"/>
  <c r="AA1652" i="2"/>
  <c r="AB1652" i="2"/>
  <c r="AK1652" i="2" s="1"/>
  <c r="AA1636" i="2"/>
  <c r="AB1636" i="2"/>
  <c r="AK1636" i="2" s="1"/>
  <c r="AA1620" i="2"/>
  <c r="AB1620" i="2"/>
  <c r="AK1620" i="2" s="1"/>
  <c r="AA1604" i="2"/>
  <c r="AB1604" i="2"/>
  <c r="AK1604" i="2" s="1"/>
  <c r="AA1588" i="2"/>
  <c r="AB1588" i="2"/>
  <c r="AK1588" i="2" s="1"/>
  <c r="AD1586" i="2"/>
  <c r="AD1583" i="2"/>
  <c r="AA1572" i="2"/>
  <c r="AB1572" i="2"/>
  <c r="AK1572" i="2" s="1"/>
  <c r="AD1570" i="2"/>
  <c r="AD1567" i="2"/>
  <c r="AA1556" i="2"/>
  <c r="AB1556" i="2"/>
  <c r="AK1556" i="2" s="1"/>
  <c r="AD1554" i="2"/>
  <c r="AD1551" i="2"/>
  <c r="AA1540" i="2"/>
  <c r="AB1540" i="2"/>
  <c r="AK1540" i="2" s="1"/>
  <c r="AD1538" i="2"/>
  <c r="AA1524" i="2"/>
  <c r="AB1524" i="2"/>
  <c r="AK1524" i="2" s="1"/>
  <c r="AD1519" i="2"/>
  <c r="AA1508" i="2"/>
  <c r="AB1508" i="2"/>
  <c r="AK1508" i="2" s="1"/>
  <c r="AD1506" i="2"/>
  <c r="AA1492" i="2"/>
  <c r="AB1492" i="2"/>
  <c r="AK1492" i="2" s="1"/>
  <c r="AA1476" i="2"/>
  <c r="AB1476" i="2"/>
  <c r="AK1476" i="2" s="1"/>
  <c r="AD1474" i="2"/>
  <c r="AA1460" i="2"/>
  <c r="AB1460" i="2"/>
  <c r="AK1460" i="2" s="1"/>
  <c r="AB1455" i="2"/>
  <c r="AK1455" i="2" s="1"/>
  <c r="AA1455" i="2"/>
  <c r="AA1450" i="2"/>
  <c r="AB1450" i="2"/>
  <c r="AK1450" i="2" s="1"/>
  <c r="AA1444" i="2"/>
  <c r="AB1444" i="2"/>
  <c r="AK1444" i="2" s="1"/>
  <c r="AB1439" i="2"/>
  <c r="AK1439" i="2" s="1"/>
  <c r="AA1439" i="2"/>
  <c r="AA1434" i="2"/>
  <c r="AB1434" i="2"/>
  <c r="AK1434" i="2" s="1"/>
  <c r="AA1428" i="2"/>
  <c r="AB1428" i="2"/>
  <c r="AK1428" i="2" s="1"/>
  <c r="AB1423" i="2"/>
  <c r="AK1423" i="2" s="1"/>
  <c r="AA1423" i="2"/>
  <c r="AA1418" i="2"/>
  <c r="AB1418" i="2"/>
  <c r="AK1418" i="2" s="1"/>
  <c r="AA1412" i="2"/>
  <c r="AB1412" i="2"/>
  <c r="AK1412" i="2" s="1"/>
  <c r="AB1407" i="2"/>
  <c r="AK1407" i="2" s="1"/>
  <c r="AA1407" i="2"/>
  <c r="AA1402" i="2"/>
  <c r="AB1402" i="2"/>
  <c r="AK1402" i="2" s="1"/>
  <c r="AA1396" i="2"/>
  <c r="AB1396" i="2"/>
  <c r="AK1396" i="2" s="1"/>
  <c r="AB1386" i="2"/>
  <c r="AK1386" i="2" s="1"/>
  <c r="AA1386" i="2"/>
  <c r="AB1370" i="2"/>
  <c r="AK1370" i="2" s="1"/>
  <c r="AA1370" i="2"/>
  <c r="AB1354" i="2"/>
  <c r="AK1354" i="2" s="1"/>
  <c r="AA1354" i="2"/>
  <c r="AB1338" i="2"/>
  <c r="AK1338" i="2" s="1"/>
  <c r="AA1338" i="2"/>
  <c r="AB1322" i="2"/>
  <c r="AK1322" i="2" s="1"/>
  <c r="AA1322" i="2"/>
  <c r="AB1306" i="2"/>
  <c r="AK1306" i="2" s="1"/>
  <c r="AA1306" i="2"/>
  <c r="AB1290" i="2"/>
  <c r="AK1290" i="2" s="1"/>
  <c r="AA1290" i="2"/>
  <c r="AB1274" i="2"/>
  <c r="AK1274" i="2" s="1"/>
  <c r="AA1274" i="2"/>
  <c r="AB1258" i="2"/>
  <c r="AK1258" i="2" s="1"/>
  <c r="AA1258" i="2"/>
  <c r="AB1242" i="2"/>
  <c r="AK1242" i="2" s="1"/>
  <c r="AA1242" i="2"/>
  <c r="AB1226" i="2"/>
  <c r="AK1226" i="2" s="1"/>
  <c r="AA1226" i="2"/>
  <c r="AB1210" i="2"/>
  <c r="AK1210" i="2" s="1"/>
  <c r="AA1210" i="2"/>
  <c r="AB1194" i="2"/>
  <c r="AK1194" i="2" s="1"/>
  <c r="AA1194" i="2"/>
  <c r="AB1178" i="2"/>
  <c r="AK1178" i="2" s="1"/>
  <c r="AA1178" i="2"/>
  <c r="AB1162" i="2"/>
  <c r="AK1162" i="2" s="1"/>
  <c r="AA1162" i="2"/>
  <c r="AB1146" i="2"/>
  <c r="AK1146" i="2" s="1"/>
  <c r="AA1146" i="2"/>
  <c r="AB1130" i="2"/>
  <c r="AK1130" i="2" s="1"/>
  <c r="AA1130" i="2"/>
  <c r="AB1114" i="2"/>
  <c r="AK1114" i="2" s="1"/>
  <c r="AA1114" i="2"/>
  <c r="AB1098" i="2"/>
  <c r="AK1098" i="2" s="1"/>
  <c r="AA1098" i="2"/>
  <c r="AA2083" i="2"/>
  <c r="AA2076" i="2"/>
  <c r="AB2076" i="2"/>
  <c r="AK2076" i="2" s="1"/>
  <c r="AA2067" i="2"/>
  <c r="AA2060" i="2"/>
  <c r="AB2060" i="2"/>
  <c r="AK2060" i="2" s="1"/>
  <c r="AA2051" i="2"/>
  <c r="AD2046" i="2"/>
  <c r="AA2044" i="2"/>
  <c r="AB2044" i="2"/>
  <c r="AK2044" i="2" s="1"/>
  <c r="AA2035" i="2"/>
  <c r="AD2030" i="2"/>
  <c r="AA2028" i="2"/>
  <c r="AB2028" i="2"/>
  <c r="AK2028" i="2" s="1"/>
  <c r="AA2019" i="2"/>
  <c r="AA2012" i="2"/>
  <c r="AB2012" i="2"/>
  <c r="AK2012" i="2" s="1"/>
  <c r="AA2003" i="2"/>
  <c r="AA1996" i="2"/>
  <c r="AB1996" i="2"/>
  <c r="AK1996" i="2" s="1"/>
  <c r="AA1987" i="2"/>
  <c r="AA1980" i="2"/>
  <c r="AB1980" i="2"/>
  <c r="AK1980" i="2" s="1"/>
  <c r="AA1971" i="2"/>
  <c r="AA1964" i="2"/>
  <c r="AB1964" i="2"/>
  <c r="AK1964" i="2" s="1"/>
  <c r="AA1955" i="2"/>
  <c r="AA1948" i="2"/>
  <c r="AB1948" i="2"/>
  <c r="AK1948" i="2" s="1"/>
  <c r="AA1939" i="2"/>
  <c r="AD1934" i="2"/>
  <c r="AA1932" i="2"/>
  <c r="AB1932" i="2"/>
  <c r="AK1932" i="2" s="1"/>
  <c r="AA1923" i="2"/>
  <c r="AA1916" i="2"/>
  <c r="AB1916" i="2"/>
  <c r="AK1916" i="2" s="1"/>
  <c r="AA1907" i="2"/>
  <c r="AA1900" i="2"/>
  <c r="AB1900" i="2"/>
  <c r="AK1900" i="2" s="1"/>
  <c r="AA1891" i="2"/>
  <c r="AA1884" i="2"/>
  <c r="AB1884" i="2"/>
  <c r="AK1884" i="2" s="1"/>
  <c r="AA1875" i="2"/>
  <c r="AD1870" i="2"/>
  <c r="AA1868" i="2"/>
  <c r="AB1868" i="2"/>
  <c r="AK1868" i="2" s="1"/>
  <c r="AA1859" i="2"/>
  <c r="AD1854" i="2"/>
  <c r="AA1852" i="2"/>
  <c r="AB1852" i="2"/>
  <c r="AK1852" i="2" s="1"/>
  <c r="AA1843" i="2"/>
  <c r="AA1836" i="2"/>
  <c r="AB1836" i="2"/>
  <c r="AK1836" i="2" s="1"/>
  <c r="AA1827" i="2"/>
  <c r="AA1820" i="2"/>
  <c r="AB1820" i="2"/>
  <c r="AK1820" i="2" s="1"/>
  <c r="AA1811" i="2"/>
  <c r="AA1804" i="2"/>
  <c r="AB1804" i="2"/>
  <c r="AK1804" i="2" s="1"/>
  <c r="AA1795" i="2"/>
  <c r="AA1788" i="2"/>
  <c r="AB1788" i="2"/>
  <c r="AK1788" i="2" s="1"/>
  <c r="AA1779" i="2"/>
  <c r="AD1774" i="2"/>
  <c r="AA1772" i="2"/>
  <c r="AB1772" i="2"/>
  <c r="AK1772" i="2" s="1"/>
  <c r="AA1763" i="2"/>
  <c r="AA1756" i="2"/>
  <c r="AB1756" i="2"/>
  <c r="AK1756" i="2" s="1"/>
  <c r="AA1747" i="2"/>
  <c r="AA1740" i="2"/>
  <c r="AB1740" i="2"/>
  <c r="AK1740" i="2" s="1"/>
  <c r="AA1731" i="2"/>
  <c r="AA1724" i="2"/>
  <c r="AB1724" i="2"/>
  <c r="AK1724" i="2" s="1"/>
  <c r="AA1715" i="2"/>
  <c r="AD1710" i="2"/>
  <c r="AA1708" i="2"/>
  <c r="AB1708" i="2"/>
  <c r="AK1708" i="2" s="1"/>
  <c r="AA1704" i="2"/>
  <c r="AB1704" i="2"/>
  <c r="AK1704" i="2" s="1"/>
  <c r="AA1688" i="2"/>
  <c r="AB1688" i="2"/>
  <c r="AK1688" i="2" s="1"/>
  <c r="AD1686" i="2"/>
  <c r="AD1683" i="2"/>
  <c r="AA1672" i="2"/>
  <c r="AB1672" i="2"/>
  <c r="AK1672" i="2" s="1"/>
  <c r="AD1670" i="2"/>
  <c r="AD1667" i="2"/>
  <c r="AA1656" i="2"/>
  <c r="AB1656" i="2"/>
  <c r="AK1656" i="2" s="1"/>
  <c r="AD1654" i="2"/>
  <c r="AD1651" i="2"/>
  <c r="AA1640" i="2"/>
  <c r="AB1640" i="2"/>
  <c r="AK1640" i="2" s="1"/>
  <c r="AD1638" i="2"/>
  <c r="AD1635" i="2"/>
  <c r="AA1624" i="2"/>
  <c r="AB1624" i="2"/>
  <c r="AK1624" i="2" s="1"/>
  <c r="AA1608" i="2"/>
  <c r="AB1608" i="2"/>
  <c r="AK1608" i="2" s="1"/>
  <c r="AD1606" i="2"/>
  <c r="AD1603" i="2"/>
  <c r="AA1592" i="2"/>
  <c r="AB1592" i="2"/>
  <c r="AK1592" i="2" s="1"/>
  <c r="AA1576" i="2"/>
  <c r="AB1576" i="2"/>
  <c r="AK1576" i="2" s="1"/>
  <c r="AD1574" i="2"/>
  <c r="AA1560" i="2"/>
  <c r="AB1560" i="2"/>
  <c r="AK1560" i="2" s="1"/>
  <c r="AA1544" i="2"/>
  <c r="AB1544" i="2"/>
  <c r="AK1544" i="2" s="1"/>
  <c r="AD1539" i="2"/>
  <c r="AA1528" i="2"/>
  <c r="AB1528" i="2"/>
  <c r="AK1528" i="2" s="1"/>
  <c r="AD1523" i="2"/>
  <c r="AA1512" i="2"/>
  <c r="AB1512" i="2"/>
  <c r="AK1512" i="2" s="1"/>
  <c r="AD1510" i="2"/>
  <c r="AD1507" i="2"/>
  <c r="AA1496" i="2"/>
  <c r="AB1496" i="2"/>
  <c r="AK1496" i="2" s="1"/>
  <c r="AA1480" i="2"/>
  <c r="AB1480" i="2"/>
  <c r="AK1480" i="2" s="1"/>
  <c r="AA1464" i="2"/>
  <c r="AB1464" i="2"/>
  <c r="AK1464" i="2" s="1"/>
  <c r="AB1459" i="2"/>
  <c r="AK1459" i="2" s="1"/>
  <c r="AA1459" i="2"/>
  <c r="AA1454" i="2"/>
  <c r="AB1454" i="2"/>
  <c r="AK1454" i="2" s="1"/>
  <c r="AA1448" i="2"/>
  <c r="AB1448" i="2"/>
  <c r="AK1448" i="2" s="1"/>
  <c r="AB1443" i="2"/>
  <c r="AK1443" i="2" s="1"/>
  <c r="AA1443" i="2"/>
  <c r="AA1438" i="2"/>
  <c r="AB1438" i="2"/>
  <c r="AK1438" i="2" s="1"/>
  <c r="AA1432" i="2"/>
  <c r="AB1432" i="2"/>
  <c r="AK1432" i="2" s="1"/>
  <c r="AB1427" i="2"/>
  <c r="AK1427" i="2" s="1"/>
  <c r="AA1427" i="2"/>
  <c r="AA1422" i="2"/>
  <c r="AB1422" i="2"/>
  <c r="AK1422" i="2" s="1"/>
  <c r="AA1416" i="2"/>
  <c r="AB1416" i="2"/>
  <c r="AK1416" i="2" s="1"/>
  <c r="AB1411" i="2"/>
  <c r="AK1411" i="2" s="1"/>
  <c r="AA1411" i="2"/>
  <c r="AA1406" i="2"/>
  <c r="AB1406" i="2"/>
  <c r="AK1406" i="2" s="1"/>
  <c r="AA1400" i="2"/>
  <c r="AB1400" i="2"/>
  <c r="AK1400" i="2" s="1"/>
  <c r="AB1395" i="2"/>
  <c r="AK1395" i="2" s="1"/>
  <c r="AA1395" i="2"/>
  <c r="AB1382" i="2"/>
  <c r="AK1382" i="2" s="1"/>
  <c r="AA1382" i="2"/>
  <c r="AB1366" i="2"/>
  <c r="AK1366" i="2" s="1"/>
  <c r="AA1366" i="2"/>
  <c r="AB1350" i="2"/>
  <c r="AK1350" i="2" s="1"/>
  <c r="AA1350" i="2"/>
  <c r="AB1334" i="2"/>
  <c r="AK1334" i="2" s="1"/>
  <c r="AA1334" i="2"/>
  <c r="AB1318" i="2"/>
  <c r="AK1318" i="2" s="1"/>
  <c r="AA1318" i="2"/>
  <c r="AB1302" i="2"/>
  <c r="AK1302" i="2" s="1"/>
  <c r="AA1302" i="2"/>
  <c r="AB1286" i="2"/>
  <c r="AK1286" i="2" s="1"/>
  <c r="AA1286" i="2"/>
  <c r="AB1270" i="2"/>
  <c r="AK1270" i="2" s="1"/>
  <c r="AA1270" i="2"/>
  <c r="AB1254" i="2"/>
  <c r="AK1254" i="2" s="1"/>
  <c r="AA1254" i="2"/>
  <c r="AB1238" i="2"/>
  <c r="AK1238" i="2" s="1"/>
  <c r="AA1238" i="2"/>
  <c r="AB1222" i="2"/>
  <c r="AK1222" i="2" s="1"/>
  <c r="AA1222" i="2"/>
  <c r="AB1206" i="2"/>
  <c r="AK1206" i="2" s="1"/>
  <c r="AA1206" i="2"/>
  <c r="AB1190" i="2"/>
  <c r="AK1190" i="2" s="1"/>
  <c r="AA1190" i="2"/>
  <c r="AB1174" i="2"/>
  <c r="AK1174" i="2" s="1"/>
  <c r="AA1174" i="2"/>
  <c r="AB1158" i="2"/>
  <c r="AK1158" i="2" s="1"/>
  <c r="AA1158" i="2"/>
  <c r="AB1142" i="2"/>
  <c r="AK1142" i="2" s="1"/>
  <c r="AA1142" i="2"/>
  <c r="AB1126" i="2"/>
  <c r="AK1126" i="2" s="1"/>
  <c r="AA1126" i="2"/>
  <c r="AB1110" i="2"/>
  <c r="AK1110" i="2" s="1"/>
  <c r="AA1110" i="2"/>
  <c r="AB1094" i="2"/>
  <c r="AK1094" i="2" s="1"/>
  <c r="AA1094" i="2"/>
  <c r="AA1087" i="2"/>
  <c r="AB1087" i="2"/>
  <c r="AK1087" i="2" s="1"/>
  <c r="AB1078" i="2"/>
  <c r="AK1078" i="2" s="1"/>
  <c r="AA1078" i="2"/>
  <c r="AB1069" i="2"/>
  <c r="AK1069" i="2" s="1"/>
  <c r="AA1069" i="2"/>
  <c r="AA1055" i="2"/>
  <c r="AB1055" i="2"/>
  <c r="AK1055" i="2" s="1"/>
  <c r="AB1046" i="2"/>
  <c r="AK1046" i="2" s="1"/>
  <c r="AA1046" i="2"/>
  <c r="AB1037" i="2"/>
  <c r="AK1037" i="2" s="1"/>
  <c r="AA1037" i="2"/>
  <c r="AA1023" i="2"/>
  <c r="AB1023" i="2"/>
  <c r="AK1023" i="2" s="1"/>
  <c r="AB1014" i="2"/>
  <c r="AK1014" i="2" s="1"/>
  <c r="AA1014" i="2"/>
  <c r="AB1005" i="2"/>
  <c r="AK1005" i="2" s="1"/>
  <c r="AA1005" i="2"/>
  <c r="AA991" i="2"/>
  <c r="AB991" i="2"/>
  <c r="AK991" i="2" s="1"/>
  <c r="AB982" i="2"/>
  <c r="AK982" i="2" s="1"/>
  <c r="AA982" i="2"/>
  <c r="AB973" i="2"/>
  <c r="AK973" i="2" s="1"/>
  <c r="AA973" i="2"/>
  <c r="AA959" i="2"/>
  <c r="AB959" i="2"/>
  <c r="AK959" i="2" s="1"/>
  <c r="AB950" i="2"/>
  <c r="AK950" i="2" s="1"/>
  <c r="AA950" i="2"/>
  <c r="AA943" i="2"/>
  <c r="AB943" i="2"/>
  <c r="AK943" i="2" s="1"/>
  <c r="AB938" i="2"/>
  <c r="AK938" i="2" s="1"/>
  <c r="AA938" i="2"/>
  <c r="AA933" i="2"/>
  <c r="AB933" i="2"/>
  <c r="AK933" i="2" s="1"/>
  <c r="AA927" i="2"/>
  <c r="AB927" i="2"/>
  <c r="AK927" i="2" s="1"/>
  <c r="AB922" i="2"/>
  <c r="AK922" i="2" s="1"/>
  <c r="AA922" i="2"/>
  <c r="AA917" i="2"/>
  <c r="AB917" i="2"/>
  <c r="AK917" i="2" s="1"/>
  <c r="AA911" i="2"/>
  <c r="AB911" i="2"/>
  <c r="AK911" i="2" s="1"/>
  <c r="AB906" i="2"/>
  <c r="AK906" i="2" s="1"/>
  <c r="AA906" i="2"/>
  <c r="AA901" i="2"/>
  <c r="AB901" i="2"/>
  <c r="AK901" i="2" s="1"/>
  <c r="AA895" i="2"/>
  <c r="AB895" i="2"/>
  <c r="AK895" i="2" s="1"/>
  <c r="AB890" i="2"/>
  <c r="AK890" i="2" s="1"/>
  <c r="AA890" i="2"/>
  <c r="AA885" i="2"/>
  <c r="AB885" i="2"/>
  <c r="AK885" i="2" s="1"/>
  <c r="AA879" i="2"/>
  <c r="AB879" i="2"/>
  <c r="AK879" i="2" s="1"/>
  <c r="AB874" i="2"/>
  <c r="AK874" i="2" s="1"/>
  <c r="AA874" i="2"/>
  <c r="AA869" i="2"/>
  <c r="AB869" i="2"/>
  <c r="AK869" i="2" s="1"/>
  <c r="AA863" i="2"/>
  <c r="AB863" i="2"/>
  <c r="AK863" i="2" s="1"/>
  <c r="AB858" i="2"/>
  <c r="AK858" i="2" s="1"/>
  <c r="AA858" i="2"/>
  <c r="AA853" i="2"/>
  <c r="AB853" i="2"/>
  <c r="AK853" i="2" s="1"/>
  <c r="AA847" i="2"/>
  <c r="AB847" i="2"/>
  <c r="AK847" i="2" s="1"/>
  <c r="AB842" i="2"/>
  <c r="AK842" i="2" s="1"/>
  <c r="AA842" i="2"/>
  <c r="AA837" i="2"/>
  <c r="AB837" i="2"/>
  <c r="AK837" i="2" s="1"/>
  <c r="AA831" i="2"/>
  <c r="AB831" i="2"/>
  <c r="AK831" i="2" s="1"/>
  <c r="AB826" i="2"/>
  <c r="AK826" i="2" s="1"/>
  <c r="AA826" i="2"/>
  <c r="AA821" i="2"/>
  <c r="AB821" i="2"/>
  <c r="AK821" i="2" s="1"/>
  <c r="AA815" i="2"/>
  <c r="AB815" i="2"/>
  <c r="AK815" i="2" s="1"/>
  <c r="AB810" i="2"/>
  <c r="AK810" i="2" s="1"/>
  <c r="AA810" i="2"/>
  <c r="AA805" i="2"/>
  <c r="AB805" i="2"/>
  <c r="AK805" i="2" s="1"/>
  <c r="AA799" i="2"/>
  <c r="AB799" i="2"/>
  <c r="AK799" i="2" s="1"/>
  <c r="AA789" i="2"/>
  <c r="AB789" i="2"/>
  <c r="AK789" i="2" s="1"/>
  <c r="AA773" i="2"/>
  <c r="AB773" i="2"/>
  <c r="AK773" i="2" s="1"/>
  <c r="AA757" i="2"/>
  <c r="AB757" i="2"/>
  <c r="AK757" i="2" s="1"/>
  <c r="AA741" i="2"/>
  <c r="AB741" i="2"/>
  <c r="AK741" i="2" s="1"/>
  <c r="AA725" i="2"/>
  <c r="AB725" i="2"/>
  <c r="AK725" i="2" s="1"/>
  <c r="AB654" i="2"/>
  <c r="AK654" i="2" s="1"/>
  <c r="AA654" i="2"/>
  <c r="AB622" i="2"/>
  <c r="AK622" i="2" s="1"/>
  <c r="AA622" i="2"/>
  <c r="AB590" i="2"/>
  <c r="AK590" i="2" s="1"/>
  <c r="AA590" i="2"/>
  <c r="AD1388" i="2"/>
  <c r="AD1384" i="2"/>
  <c r="AD1368" i="2"/>
  <c r="AD1364" i="2"/>
  <c r="AD1356" i="2"/>
  <c r="AD1352" i="2"/>
  <c r="AD1348" i="2"/>
  <c r="AD1332" i="2"/>
  <c r="AD1316" i="2"/>
  <c r="AD1312" i="2"/>
  <c r="AD1304" i="2"/>
  <c r="AD1300" i="2"/>
  <c r="AD1288" i="2"/>
  <c r="AD1284" i="2"/>
  <c r="AD1276" i="2"/>
  <c r="AD1272" i="2"/>
  <c r="AD1256" i="2"/>
  <c r="AD1248" i="2"/>
  <c r="AD1240" i="2"/>
  <c r="AD1224" i="2"/>
  <c r="AD1220" i="2"/>
  <c r="AD1208" i="2"/>
  <c r="AD1192" i="2"/>
  <c r="AD1176" i="2"/>
  <c r="AD1172" i="2"/>
  <c r="AD1160" i="2"/>
  <c r="AD1144" i="2"/>
  <c r="AD1128" i="2"/>
  <c r="AD1124" i="2"/>
  <c r="AD1112" i="2"/>
  <c r="AD1108" i="2"/>
  <c r="AD1096" i="2"/>
  <c r="AD1092" i="2"/>
  <c r="AA1086" i="2"/>
  <c r="AD1083" i="2"/>
  <c r="AB1079" i="2"/>
  <c r="AK1079" i="2" s="1"/>
  <c r="AA1077" i="2"/>
  <c r="AA1070" i="2"/>
  <c r="AD1067" i="2"/>
  <c r="AB1063" i="2"/>
  <c r="AK1063" i="2" s="1"/>
  <c r="AA1061" i="2"/>
  <c r="AA1054" i="2"/>
  <c r="AB1047" i="2"/>
  <c r="AK1047" i="2" s="1"/>
  <c r="AA1045" i="2"/>
  <c r="AA1038" i="2"/>
  <c r="AB1031" i="2"/>
  <c r="AK1031" i="2" s="1"/>
  <c r="AA1029" i="2"/>
  <c r="AA1022" i="2"/>
  <c r="AB1015" i="2"/>
  <c r="AK1015" i="2" s="1"/>
  <c r="AA1013" i="2"/>
  <c r="AA1006" i="2"/>
  <c r="AB999" i="2"/>
  <c r="AK999" i="2" s="1"/>
  <c r="AA997" i="2"/>
  <c r="AA990" i="2"/>
  <c r="AB983" i="2"/>
  <c r="AK983" i="2" s="1"/>
  <c r="AA981" i="2"/>
  <c r="AA974" i="2"/>
  <c r="AD971" i="2"/>
  <c r="AB967" i="2"/>
  <c r="AK967" i="2" s="1"/>
  <c r="AA965" i="2"/>
  <c r="AA958" i="2"/>
  <c r="AB951" i="2"/>
  <c r="AK951" i="2" s="1"/>
  <c r="AA949" i="2"/>
  <c r="AB949" i="2"/>
  <c r="AK949" i="2" s="1"/>
  <c r="AA947" i="2"/>
  <c r="AB947" i="2"/>
  <c r="AK947" i="2" s="1"/>
  <c r="AB942" i="2"/>
  <c r="AK942" i="2" s="1"/>
  <c r="AA942" i="2"/>
  <c r="AA937" i="2"/>
  <c r="AB937" i="2"/>
  <c r="AK937" i="2" s="1"/>
  <c r="AA931" i="2"/>
  <c r="AB931" i="2"/>
  <c r="AK931" i="2" s="1"/>
  <c r="AB926" i="2"/>
  <c r="AK926" i="2" s="1"/>
  <c r="AA926" i="2"/>
  <c r="AA921" i="2"/>
  <c r="AB921" i="2"/>
  <c r="AK921" i="2" s="1"/>
  <c r="AA915" i="2"/>
  <c r="AB915" i="2"/>
  <c r="AK915" i="2" s="1"/>
  <c r="AB910" i="2"/>
  <c r="AK910" i="2" s="1"/>
  <c r="AA910" i="2"/>
  <c r="AA905" i="2"/>
  <c r="AB905" i="2"/>
  <c r="AK905" i="2" s="1"/>
  <c r="AA899" i="2"/>
  <c r="AB899" i="2"/>
  <c r="AK899" i="2" s="1"/>
  <c r="AB894" i="2"/>
  <c r="AK894" i="2" s="1"/>
  <c r="AA894" i="2"/>
  <c r="AA889" i="2"/>
  <c r="AB889" i="2"/>
  <c r="AK889" i="2" s="1"/>
  <c r="AA883" i="2"/>
  <c r="AB883" i="2"/>
  <c r="AK883" i="2" s="1"/>
  <c r="AB878" i="2"/>
  <c r="AK878" i="2" s="1"/>
  <c r="AA878" i="2"/>
  <c r="AA873" i="2"/>
  <c r="AB873" i="2"/>
  <c r="AK873" i="2" s="1"/>
  <c r="AA867" i="2"/>
  <c r="AB867" i="2"/>
  <c r="AK867" i="2" s="1"/>
  <c r="AB862" i="2"/>
  <c r="AK862" i="2" s="1"/>
  <c r="AA862" i="2"/>
  <c r="AA857" i="2"/>
  <c r="AB857" i="2"/>
  <c r="AK857" i="2" s="1"/>
  <c r="AA851" i="2"/>
  <c r="AB851" i="2"/>
  <c r="AK851" i="2" s="1"/>
  <c r="AB846" i="2"/>
  <c r="AK846" i="2" s="1"/>
  <c r="AA846" i="2"/>
  <c r="AA841" i="2"/>
  <c r="AB841" i="2"/>
  <c r="AK841" i="2" s="1"/>
  <c r="AA835" i="2"/>
  <c r="AB835" i="2"/>
  <c r="AK835" i="2" s="1"/>
  <c r="AB830" i="2"/>
  <c r="AK830" i="2" s="1"/>
  <c r="AA830" i="2"/>
  <c r="AA825" i="2"/>
  <c r="AB825" i="2"/>
  <c r="AK825" i="2" s="1"/>
  <c r="AA819" i="2"/>
  <c r="AB819" i="2"/>
  <c r="AK819" i="2" s="1"/>
  <c r="AB814" i="2"/>
  <c r="AK814" i="2" s="1"/>
  <c r="AA814" i="2"/>
  <c r="AA809" i="2"/>
  <c r="AB809" i="2"/>
  <c r="AK809" i="2" s="1"/>
  <c r="AA803" i="2"/>
  <c r="AB803" i="2"/>
  <c r="AK803" i="2" s="1"/>
  <c r="AB798" i="2"/>
  <c r="AK798" i="2" s="1"/>
  <c r="AA798" i="2"/>
  <c r="AA785" i="2"/>
  <c r="AB785" i="2"/>
  <c r="AK785" i="2" s="1"/>
  <c r="AA769" i="2"/>
  <c r="AB769" i="2"/>
  <c r="AK769" i="2" s="1"/>
  <c r="AA753" i="2"/>
  <c r="AB753" i="2"/>
  <c r="AK753" i="2" s="1"/>
  <c r="AA737" i="2"/>
  <c r="AB737" i="2"/>
  <c r="AK737" i="2" s="1"/>
  <c r="AA721" i="2"/>
  <c r="AB721" i="2"/>
  <c r="AK721" i="2" s="1"/>
  <c r="AA663" i="2"/>
  <c r="AB663" i="2"/>
  <c r="AK663" i="2" s="1"/>
  <c r="AA647" i="2"/>
  <c r="AB647" i="2"/>
  <c r="AK647" i="2" s="1"/>
  <c r="AA631" i="2"/>
  <c r="AB631" i="2"/>
  <c r="AK631" i="2" s="1"/>
  <c r="AA615" i="2"/>
  <c r="AB615" i="2"/>
  <c r="AK615" i="2" s="1"/>
  <c r="AA599" i="2"/>
  <c r="AB599" i="2"/>
  <c r="AK599" i="2" s="1"/>
  <c r="AD1389" i="2"/>
  <c r="AD1369" i="2"/>
  <c r="AD1361" i="2"/>
  <c r="AD1353" i="2"/>
  <c r="AD1345" i="2"/>
  <c r="AD1341" i="2"/>
  <c r="AD1321" i="2"/>
  <c r="AD1313" i="2"/>
  <c r="AD1305" i="2"/>
  <c r="AD1261" i="2"/>
  <c r="AD1257" i="2"/>
  <c r="AD1245" i="2"/>
  <c r="AD1241" i="2"/>
  <c r="AD1229" i="2"/>
  <c r="AD1225" i="2"/>
  <c r="AD1181" i="2"/>
  <c r="AD1173" i="2"/>
  <c r="AD1165" i="2"/>
  <c r="AB946" i="2"/>
  <c r="AK946" i="2" s="1"/>
  <c r="AA946" i="2"/>
  <c r="AA941" i="2"/>
  <c r="AB941" i="2"/>
  <c r="AK941" i="2" s="1"/>
  <c r="AA935" i="2"/>
  <c r="AB935" i="2"/>
  <c r="AK935" i="2" s="1"/>
  <c r="AB930" i="2"/>
  <c r="AK930" i="2" s="1"/>
  <c r="AA930" i="2"/>
  <c r="AA925" i="2"/>
  <c r="AB925" i="2"/>
  <c r="AK925" i="2" s="1"/>
  <c r="AA919" i="2"/>
  <c r="AB919" i="2"/>
  <c r="AK919" i="2" s="1"/>
  <c r="AB914" i="2"/>
  <c r="AK914" i="2" s="1"/>
  <c r="AA914" i="2"/>
  <c r="AA909" i="2"/>
  <c r="AB909" i="2"/>
  <c r="AK909" i="2" s="1"/>
  <c r="AA903" i="2"/>
  <c r="AB903" i="2"/>
  <c r="AK903" i="2" s="1"/>
  <c r="AB898" i="2"/>
  <c r="AK898" i="2" s="1"/>
  <c r="AA898" i="2"/>
  <c r="AA893" i="2"/>
  <c r="AB893" i="2"/>
  <c r="AK893" i="2" s="1"/>
  <c r="AA887" i="2"/>
  <c r="AB887" i="2"/>
  <c r="AK887" i="2" s="1"/>
  <c r="AB882" i="2"/>
  <c r="AK882" i="2" s="1"/>
  <c r="AA882" i="2"/>
  <c r="AA877" i="2"/>
  <c r="AB877" i="2"/>
  <c r="AK877" i="2" s="1"/>
  <c r="AA871" i="2"/>
  <c r="AB871" i="2"/>
  <c r="AK871" i="2" s="1"/>
  <c r="AB866" i="2"/>
  <c r="AK866" i="2" s="1"/>
  <c r="AA866" i="2"/>
  <c r="AA861" i="2"/>
  <c r="AB861" i="2"/>
  <c r="AK861" i="2" s="1"/>
  <c r="AA855" i="2"/>
  <c r="AB855" i="2"/>
  <c r="AK855" i="2" s="1"/>
  <c r="AB850" i="2"/>
  <c r="AK850" i="2" s="1"/>
  <c r="AA850" i="2"/>
  <c r="AA845" i="2"/>
  <c r="AB845" i="2"/>
  <c r="AK845" i="2" s="1"/>
  <c r="AA839" i="2"/>
  <c r="AB839" i="2"/>
  <c r="AK839" i="2" s="1"/>
  <c r="AB834" i="2"/>
  <c r="AK834" i="2" s="1"/>
  <c r="AA834" i="2"/>
  <c r="AA829" i="2"/>
  <c r="AB829" i="2"/>
  <c r="AK829" i="2" s="1"/>
  <c r="AA823" i="2"/>
  <c r="AB823" i="2"/>
  <c r="AK823" i="2" s="1"/>
  <c r="AB818" i="2"/>
  <c r="AK818" i="2" s="1"/>
  <c r="AA818" i="2"/>
  <c r="AA813" i="2"/>
  <c r="AB813" i="2"/>
  <c r="AK813" i="2" s="1"/>
  <c r="AA807" i="2"/>
  <c r="AB807" i="2"/>
  <c r="AK807" i="2" s="1"/>
  <c r="AB802" i="2"/>
  <c r="AK802" i="2" s="1"/>
  <c r="AA802" i="2"/>
  <c r="AA797" i="2"/>
  <c r="AB797" i="2"/>
  <c r="AK797" i="2" s="1"/>
  <c r="AA781" i="2"/>
  <c r="AB781" i="2"/>
  <c r="AK781" i="2" s="1"/>
  <c r="AA765" i="2"/>
  <c r="AB765" i="2"/>
  <c r="AK765" i="2" s="1"/>
  <c r="AA749" i="2"/>
  <c r="AB749" i="2"/>
  <c r="AK749" i="2" s="1"/>
  <c r="AA733" i="2"/>
  <c r="AB733" i="2"/>
  <c r="AK733" i="2" s="1"/>
  <c r="AA717" i="2"/>
  <c r="AB717" i="2"/>
  <c r="AK717" i="2" s="1"/>
  <c r="AD1043" i="2"/>
  <c r="AA945" i="2"/>
  <c r="AB945" i="2"/>
  <c r="AK945" i="2" s="1"/>
  <c r="AA939" i="2"/>
  <c r="AB939" i="2"/>
  <c r="AK939" i="2" s="1"/>
  <c r="AB934" i="2"/>
  <c r="AK934" i="2" s="1"/>
  <c r="AA934" i="2"/>
  <c r="AA929" i="2"/>
  <c r="AB929" i="2"/>
  <c r="AK929" i="2" s="1"/>
  <c r="AA923" i="2"/>
  <c r="AB923" i="2"/>
  <c r="AK923" i="2" s="1"/>
  <c r="AB918" i="2"/>
  <c r="AK918" i="2" s="1"/>
  <c r="AA918" i="2"/>
  <c r="AA913" i="2"/>
  <c r="AB913" i="2"/>
  <c r="AK913" i="2" s="1"/>
  <c r="AA907" i="2"/>
  <c r="AB907" i="2"/>
  <c r="AK907" i="2" s="1"/>
  <c r="AB902" i="2"/>
  <c r="AK902" i="2" s="1"/>
  <c r="AA902" i="2"/>
  <c r="AA897" i="2"/>
  <c r="AB897" i="2"/>
  <c r="AK897" i="2" s="1"/>
  <c r="AA891" i="2"/>
  <c r="AB891" i="2"/>
  <c r="AK891" i="2" s="1"/>
  <c r="AB886" i="2"/>
  <c r="AK886" i="2" s="1"/>
  <c r="AA886" i="2"/>
  <c r="AA881" i="2"/>
  <c r="AB881" i="2"/>
  <c r="AK881" i="2" s="1"/>
  <c r="AA875" i="2"/>
  <c r="AB875" i="2"/>
  <c r="AK875" i="2" s="1"/>
  <c r="AB870" i="2"/>
  <c r="AK870" i="2" s="1"/>
  <c r="AA870" i="2"/>
  <c r="AA865" i="2"/>
  <c r="AB865" i="2"/>
  <c r="AK865" i="2" s="1"/>
  <c r="AA859" i="2"/>
  <c r="AB859" i="2"/>
  <c r="AK859" i="2" s="1"/>
  <c r="AB854" i="2"/>
  <c r="AK854" i="2" s="1"/>
  <c r="AA854" i="2"/>
  <c r="AA849" i="2"/>
  <c r="AB849" i="2"/>
  <c r="AK849" i="2" s="1"/>
  <c r="AA843" i="2"/>
  <c r="AB843" i="2"/>
  <c r="AK843" i="2" s="1"/>
  <c r="AB838" i="2"/>
  <c r="AK838" i="2" s="1"/>
  <c r="AA838" i="2"/>
  <c r="AA833" i="2"/>
  <c r="AB833" i="2"/>
  <c r="AK833" i="2" s="1"/>
  <c r="AA827" i="2"/>
  <c r="AB827" i="2"/>
  <c r="AK827" i="2" s="1"/>
  <c r="AB822" i="2"/>
  <c r="AK822" i="2" s="1"/>
  <c r="AA822" i="2"/>
  <c r="AA817" i="2"/>
  <c r="AB817" i="2"/>
  <c r="AK817" i="2" s="1"/>
  <c r="AA811" i="2"/>
  <c r="AB811" i="2"/>
  <c r="AK811" i="2" s="1"/>
  <c r="AB806" i="2"/>
  <c r="AK806" i="2" s="1"/>
  <c r="AA806" i="2"/>
  <c r="AA801" i="2"/>
  <c r="AB801" i="2"/>
  <c r="AK801" i="2" s="1"/>
  <c r="AA793" i="2"/>
  <c r="AB793" i="2"/>
  <c r="AK793" i="2" s="1"/>
  <c r="AA777" i="2"/>
  <c r="AB777" i="2"/>
  <c r="AK777" i="2" s="1"/>
  <c r="AA761" i="2"/>
  <c r="AB761" i="2"/>
  <c r="AK761" i="2" s="1"/>
  <c r="AA745" i="2"/>
  <c r="AB745" i="2"/>
  <c r="AK745" i="2" s="1"/>
  <c r="AA729" i="2"/>
  <c r="AB729" i="2"/>
  <c r="AK729" i="2" s="1"/>
  <c r="AA713" i="2"/>
  <c r="AB713" i="2"/>
  <c r="AK713" i="2" s="1"/>
  <c r="AA709" i="2"/>
  <c r="AB709" i="2"/>
  <c r="AK709" i="2" s="1"/>
  <c r="AA705" i="2"/>
  <c r="AB705" i="2"/>
  <c r="AK705" i="2" s="1"/>
  <c r="AA701" i="2"/>
  <c r="AB701" i="2"/>
  <c r="AK701" i="2" s="1"/>
  <c r="AA697" i="2"/>
  <c r="AB697" i="2"/>
  <c r="AK697" i="2" s="1"/>
  <c r="AA693" i="2"/>
  <c r="AB693" i="2"/>
  <c r="AK693" i="2" s="1"/>
  <c r="AA689" i="2"/>
  <c r="AB689" i="2"/>
  <c r="AK689" i="2" s="1"/>
  <c r="AA685" i="2"/>
  <c r="AB685" i="2"/>
  <c r="AK685" i="2" s="1"/>
  <c r="AA681" i="2"/>
  <c r="AB681" i="2"/>
  <c r="AK681" i="2" s="1"/>
  <c r="AA677" i="2"/>
  <c r="AB677" i="2"/>
  <c r="AK677" i="2" s="1"/>
  <c r="AA661" i="2"/>
  <c r="AB661" i="2"/>
  <c r="AK661" i="2" s="1"/>
  <c r="AA645" i="2"/>
  <c r="AB645" i="2"/>
  <c r="AK645" i="2" s="1"/>
  <c r="AA629" i="2"/>
  <c r="AB629" i="2"/>
  <c r="AK629" i="2" s="1"/>
  <c r="AA613" i="2"/>
  <c r="AB613" i="2"/>
  <c r="AK613" i="2" s="1"/>
  <c r="AA597" i="2"/>
  <c r="AB597" i="2"/>
  <c r="AK597" i="2" s="1"/>
  <c r="AA585" i="2"/>
  <c r="AB585" i="2"/>
  <c r="AK585" i="2" s="1"/>
  <c r="AA583" i="2"/>
  <c r="AB583" i="2"/>
  <c r="AK583" i="2" s="1"/>
  <c r="AA577" i="2"/>
  <c r="AB577" i="2"/>
  <c r="AK577" i="2" s="1"/>
  <c r="AA575" i="2"/>
  <c r="AB575" i="2"/>
  <c r="AK575" i="2" s="1"/>
  <c r="AA569" i="2"/>
  <c r="AB569" i="2"/>
  <c r="AK569" i="2" s="1"/>
  <c r="AA567" i="2"/>
  <c r="AB567" i="2"/>
  <c r="AK567" i="2" s="1"/>
  <c r="AA561" i="2"/>
  <c r="AB561" i="2"/>
  <c r="AK561" i="2" s="1"/>
  <c r="AA559" i="2"/>
  <c r="AB559" i="2"/>
  <c r="AK559" i="2" s="1"/>
  <c r="AA553" i="2"/>
  <c r="AB553" i="2"/>
  <c r="AK553" i="2" s="1"/>
  <c r="AA551" i="2"/>
  <c r="AB551" i="2"/>
  <c r="AK551" i="2" s="1"/>
  <c r="AA545" i="2"/>
  <c r="AB545" i="2"/>
  <c r="AK545" i="2" s="1"/>
  <c r="AA543" i="2"/>
  <c r="AB543" i="2"/>
  <c r="AK543" i="2" s="1"/>
  <c r="AA537" i="2"/>
  <c r="AB537" i="2"/>
  <c r="AK537" i="2" s="1"/>
  <c r="AA535" i="2"/>
  <c r="AB535" i="2"/>
  <c r="AK535" i="2" s="1"/>
  <c r="AB530" i="2"/>
  <c r="AK530" i="2" s="1"/>
  <c r="AA530" i="2"/>
  <c r="AA525" i="2"/>
  <c r="AB525" i="2"/>
  <c r="AK525" i="2" s="1"/>
  <c r="AA519" i="2"/>
  <c r="AB519" i="2"/>
  <c r="AK519" i="2" s="1"/>
  <c r="AD780" i="2"/>
  <c r="AD768" i="2"/>
  <c r="AD764" i="2"/>
  <c r="AD760" i="2"/>
  <c r="AA671" i="2"/>
  <c r="AB671" i="2"/>
  <c r="AK671" i="2" s="1"/>
  <c r="AB662" i="2"/>
  <c r="AK662" i="2" s="1"/>
  <c r="AA662" i="2"/>
  <c r="AA655" i="2"/>
  <c r="AB655" i="2"/>
  <c r="AK655" i="2" s="1"/>
  <c r="AB646" i="2"/>
  <c r="AK646" i="2" s="1"/>
  <c r="AA646" i="2"/>
  <c r="AA639" i="2"/>
  <c r="AB639" i="2"/>
  <c r="AK639" i="2" s="1"/>
  <c r="AB630" i="2"/>
  <c r="AK630" i="2" s="1"/>
  <c r="AA630" i="2"/>
  <c r="AA623" i="2"/>
  <c r="AB623" i="2"/>
  <c r="AK623" i="2" s="1"/>
  <c r="AB614" i="2"/>
  <c r="AK614" i="2" s="1"/>
  <c r="AA614" i="2"/>
  <c r="AA607" i="2"/>
  <c r="AB607" i="2"/>
  <c r="AK607" i="2" s="1"/>
  <c r="AB598" i="2"/>
  <c r="AK598" i="2" s="1"/>
  <c r="AA598" i="2"/>
  <c r="AA591" i="2"/>
  <c r="AB591" i="2"/>
  <c r="AK591" i="2" s="1"/>
  <c r="AA587" i="2"/>
  <c r="AB587" i="2"/>
  <c r="AK587" i="2" s="1"/>
  <c r="AA581" i="2"/>
  <c r="AB581" i="2"/>
  <c r="AK581" i="2" s="1"/>
  <c r="AA579" i="2"/>
  <c r="AB579" i="2"/>
  <c r="AK579" i="2" s="1"/>
  <c r="AA573" i="2"/>
  <c r="AB573" i="2"/>
  <c r="AK573" i="2" s="1"/>
  <c r="AA571" i="2"/>
  <c r="AB571" i="2"/>
  <c r="AK571" i="2" s="1"/>
  <c r="AA565" i="2"/>
  <c r="AB565" i="2"/>
  <c r="AK565" i="2" s="1"/>
  <c r="AA563" i="2"/>
  <c r="AB563" i="2"/>
  <c r="AK563" i="2" s="1"/>
  <c r="AA557" i="2"/>
  <c r="AB557" i="2"/>
  <c r="AK557" i="2" s="1"/>
  <c r="AA555" i="2"/>
  <c r="AB555" i="2"/>
  <c r="AK555" i="2" s="1"/>
  <c r="AA549" i="2"/>
  <c r="AB549" i="2"/>
  <c r="AK549" i="2" s="1"/>
  <c r="AA547" i="2"/>
  <c r="AB547" i="2"/>
  <c r="AK547" i="2" s="1"/>
  <c r="AA541" i="2"/>
  <c r="AB541" i="2"/>
  <c r="AK541" i="2" s="1"/>
  <c r="AA539" i="2"/>
  <c r="AB539" i="2"/>
  <c r="AK539" i="2" s="1"/>
  <c r="AA533" i="2"/>
  <c r="AB533" i="2"/>
  <c r="AK533" i="2" s="1"/>
  <c r="AA527" i="2"/>
  <c r="AB527" i="2"/>
  <c r="AK527" i="2" s="1"/>
  <c r="AB522" i="2"/>
  <c r="AK522" i="2" s="1"/>
  <c r="AA522" i="2"/>
  <c r="AA517" i="2"/>
  <c r="AB517" i="2"/>
  <c r="AK517" i="2" s="1"/>
  <c r="AB674" i="2"/>
  <c r="AK674" i="2" s="1"/>
  <c r="AA674" i="2"/>
  <c r="AA667" i="2"/>
  <c r="AB667" i="2"/>
  <c r="AK667" i="2" s="1"/>
  <c r="AB658" i="2"/>
  <c r="AK658" i="2" s="1"/>
  <c r="AA658" i="2"/>
  <c r="AA651" i="2"/>
  <c r="AB651" i="2"/>
  <c r="AK651" i="2" s="1"/>
  <c r="AB642" i="2"/>
  <c r="AK642" i="2" s="1"/>
  <c r="AA642" i="2"/>
  <c r="AA635" i="2"/>
  <c r="AB635" i="2"/>
  <c r="AK635" i="2" s="1"/>
  <c r="AB626" i="2"/>
  <c r="AK626" i="2" s="1"/>
  <c r="AA626" i="2"/>
  <c r="AD624" i="2"/>
  <c r="AA619" i="2"/>
  <c r="AB619" i="2"/>
  <c r="AK619" i="2" s="1"/>
  <c r="AB610" i="2"/>
  <c r="AK610" i="2" s="1"/>
  <c r="AA610" i="2"/>
  <c r="AA603" i="2"/>
  <c r="AB603" i="2"/>
  <c r="AK603" i="2" s="1"/>
  <c r="AB594" i="2"/>
  <c r="AK594" i="2" s="1"/>
  <c r="AA594" i="2"/>
  <c r="AD592" i="2"/>
  <c r="AB586" i="2"/>
  <c r="AK586" i="2" s="1"/>
  <c r="AA586" i="2"/>
  <c r="AB578" i="2"/>
  <c r="AK578" i="2" s="1"/>
  <c r="AA578" i="2"/>
  <c r="AB570" i="2"/>
  <c r="AK570" i="2" s="1"/>
  <c r="AA570" i="2"/>
  <c r="AB562" i="2"/>
  <c r="AK562" i="2" s="1"/>
  <c r="AA562" i="2"/>
  <c r="AB554" i="2"/>
  <c r="AK554" i="2" s="1"/>
  <c r="AA554" i="2"/>
  <c r="AB546" i="2"/>
  <c r="AK546" i="2" s="1"/>
  <c r="AA546" i="2"/>
  <c r="AB538" i="2"/>
  <c r="AK538" i="2" s="1"/>
  <c r="AA538" i="2"/>
  <c r="AA531" i="2"/>
  <c r="AB531" i="2"/>
  <c r="AK531" i="2" s="1"/>
  <c r="AB526" i="2"/>
  <c r="AK526" i="2" s="1"/>
  <c r="AA526" i="2"/>
  <c r="AA521" i="2"/>
  <c r="AB521" i="2"/>
  <c r="AK521" i="2" s="1"/>
  <c r="AB711" i="2"/>
  <c r="AB707" i="2"/>
  <c r="AB703" i="2"/>
  <c r="AB699" i="2"/>
  <c r="AB695" i="2"/>
  <c r="AB691" i="2"/>
  <c r="AB687" i="2"/>
  <c r="AB683" i="2"/>
  <c r="AB679" i="2"/>
  <c r="AA675" i="2"/>
  <c r="AB675" i="2"/>
  <c r="AK675" i="2" s="1"/>
  <c r="AB669" i="2"/>
  <c r="AK669" i="2" s="1"/>
  <c r="AB666" i="2"/>
  <c r="AK666" i="2" s="1"/>
  <c r="AA666" i="2"/>
  <c r="AD664" i="2"/>
  <c r="AA659" i="2"/>
  <c r="AB659" i="2"/>
  <c r="AK659" i="2" s="1"/>
  <c r="AB653" i="2"/>
  <c r="AK653" i="2" s="1"/>
  <c r="AB650" i="2"/>
  <c r="AK650" i="2" s="1"/>
  <c r="AA650" i="2"/>
  <c r="AA643" i="2"/>
  <c r="AB643" i="2"/>
  <c r="AK643" i="2" s="1"/>
  <c r="AB637" i="2"/>
  <c r="AK637" i="2" s="1"/>
  <c r="AB634" i="2"/>
  <c r="AK634" i="2" s="1"/>
  <c r="AA634" i="2"/>
  <c r="AD632" i="2"/>
  <c r="AA627" i="2"/>
  <c r="AB627" i="2"/>
  <c r="AK627" i="2" s="1"/>
  <c r="AB621" i="2"/>
  <c r="AK621" i="2" s="1"/>
  <c r="AB618" i="2"/>
  <c r="AK618" i="2" s="1"/>
  <c r="AA618" i="2"/>
  <c r="AA611" i="2"/>
  <c r="AB611" i="2"/>
  <c r="AK611" i="2" s="1"/>
  <c r="AB605" i="2"/>
  <c r="AK605" i="2" s="1"/>
  <c r="AB602" i="2"/>
  <c r="AK602" i="2" s="1"/>
  <c r="AA602" i="2"/>
  <c r="AD600" i="2"/>
  <c r="AA595" i="2"/>
  <c r="AB595" i="2"/>
  <c r="AK595" i="2" s="1"/>
  <c r="AD593" i="2"/>
  <c r="AB589" i="2"/>
  <c r="AK589" i="2" s="1"/>
  <c r="AB582" i="2"/>
  <c r="AK582" i="2" s="1"/>
  <c r="AA582" i="2"/>
  <c r="AB574" i="2"/>
  <c r="AK574" i="2" s="1"/>
  <c r="AA574" i="2"/>
  <c r="AB566" i="2"/>
  <c r="AK566" i="2" s="1"/>
  <c r="AA566" i="2"/>
  <c r="AB558" i="2"/>
  <c r="AK558" i="2" s="1"/>
  <c r="AA558" i="2"/>
  <c r="AB550" i="2"/>
  <c r="AK550" i="2" s="1"/>
  <c r="AA550" i="2"/>
  <c r="AB542" i="2"/>
  <c r="AK542" i="2" s="1"/>
  <c r="AA542" i="2"/>
  <c r="AB534" i="2"/>
  <c r="AK534" i="2" s="1"/>
  <c r="AA534" i="2"/>
  <c r="AA529" i="2"/>
  <c r="AB529" i="2"/>
  <c r="AK529" i="2" s="1"/>
  <c r="AA523" i="2"/>
  <c r="AB523" i="2"/>
  <c r="AK523" i="2" s="1"/>
  <c r="AB518" i="2"/>
  <c r="AK518" i="2" s="1"/>
  <c r="AA518" i="2"/>
  <c r="AA447" i="2"/>
  <c r="AB447" i="2"/>
  <c r="AK447" i="2" s="1"/>
  <c r="AA431" i="2"/>
  <c r="AB431" i="2"/>
  <c r="AK431" i="2" s="1"/>
  <c r="AA415" i="2"/>
  <c r="AB415" i="2"/>
  <c r="AK415" i="2" s="1"/>
  <c r="AA399" i="2"/>
  <c r="AB399" i="2"/>
  <c r="AK399" i="2" s="1"/>
  <c r="AA383" i="2"/>
  <c r="AB383" i="2"/>
  <c r="AK383" i="2" s="1"/>
  <c r="AA367" i="2"/>
  <c r="AB367" i="2"/>
  <c r="AK367" i="2" s="1"/>
  <c r="AB513" i="2"/>
  <c r="AK513" i="2" s="1"/>
  <c r="AB509" i="2"/>
  <c r="AK509" i="2" s="1"/>
  <c r="AB505" i="2"/>
  <c r="AK505" i="2" s="1"/>
  <c r="AB501" i="2"/>
  <c r="AK501" i="2" s="1"/>
  <c r="AB497" i="2"/>
  <c r="AK497" i="2" s="1"/>
  <c r="AB493" i="2"/>
  <c r="AK493" i="2" s="1"/>
  <c r="AB489" i="2"/>
  <c r="AK489" i="2" s="1"/>
  <c r="AB485" i="2"/>
  <c r="AK485" i="2" s="1"/>
  <c r="AB481" i="2"/>
  <c r="AK481" i="2" s="1"/>
  <c r="AB477" i="2"/>
  <c r="AK477" i="2" s="1"/>
  <c r="AB473" i="2"/>
  <c r="AK473" i="2" s="1"/>
  <c r="AB469" i="2"/>
  <c r="AK469" i="2" s="1"/>
  <c r="AB465" i="2"/>
  <c r="AK465" i="2" s="1"/>
  <c r="AB461" i="2"/>
  <c r="AK461" i="2" s="1"/>
  <c r="AB457" i="2"/>
  <c r="AK457" i="2" s="1"/>
  <c r="AA450" i="2"/>
  <c r="AA443" i="2"/>
  <c r="AB443" i="2"/>
  <c r="AK443" i="2" s="1"/>
  <c r="AA434" i="2"/>
  <c r="AA427" i="2"/>
  <c r="AB427" i="2"/>
  <c r="AK427" i="2" s="1"/>
  <c r="AA418" i="2"/>
  <c r="AA411" i="2"/>
  <c r="AB411" i="2"/>
  <c r="AK411" i="2" s="1"/>
  <c r="AA402" i="2"/>
  <c r="AA395" i="2"/>
  <c r="AB395" i="2"/>
  <c r="AK395" i="2" s="1"/>
  <c r="AA386" i="2"/>
  <c r="AA379" i="2"/>
  <c r="AB379" i="2"/>
  <c r="AK379" i="2" s="1"/>
  <c r="AA370" i="2"/>
  <c r="AD365" i="2"/>
  <c r="AA363" i="2"/>
  <c r="AB363" i="2"/>
  <c r="AK363" i="2" s="1"/>
  <c r="AD344" i="2"/>
  <c r="AD332" i="2"/>
  <c r="AD328" i="2"/>
  <c r="AD320" i="2"/>
  <c r="AB515" i="2"/>
  <c r="AK515" i="2" s="1"/>
  <c r="AA514" i="2"/>
  <c r="AB511" i="2"/>
  <c r="AK511" i="2" s="1"/>
  <c r="AA510" i="2"/>
  <c r="AB507" i="2"/>
  <c r="AK507" i="2" s="1"/>
  <c r="AA506" i="2"/>
  <c r="AB503" i="2"/>
  <c r="AK503" i="2" s="1"/>
  <c r="AA502" i="2"/>
  <c r="AB499" i="2"/>
  <c r="AK499" i="2" s="1"/>
  <c r="AA498" i="2"/>
  <c r="AB495" i="2"/>
  <c r="AK495" i="2" s="1"/>
  <c r="AA494" i="2"/>
  <c r="AB491" i="2"/>
  <c r="AK491" i="2" s="1"/>
  <c r="AA490" i="2"/>
  <c r="AB487" i="2"/>
  <c r="AK487" i="2" s="1"/>
  <c r="AA486" i="2"/>
  <c r="AB483" i="2"/>
  <c r="AK483" i="2" s="1"/>
  <c r="AA482" i="2"/>
  <c r="AB479" i="2"/>
  <c r="AK479" i="2" s="1"/>
  <c r="AA478" i="2"/>
  <c r="AB475" i="2"/>
  <c r="AK475" i="2" s="1"/>
  <c r="AA474" i="2"/>
  <c r="AB471" i="2"/>
  <c r="AK471" i="2" s="1"/>
  <c r="AA470" i="2"/>
  <c r="AB467" i="2"/>
  <c r="AK467" i="2" s="1"/>
  <c r="AA466" i="2"/>
  <c r="AB463" i="2"/>
  <c r="AK463" i="2" s="1"/>
  <c r="AA462" i="2"/>
  <c r="AB459" i="2"/>
  <c r="AK459" i="2" s="1"/>
  <c r="AA458" i="2"/>
  <c r="AA455" i="2"/>
  <c r="AB455" i="2"/>
  <c r="AK455" i="2" s="1"/>
  <c r="AA446" i="2"/>
  <c r="AA439" i="2"/>
  <c r="AB439" i="2"/>
  <c r="AK439" i="2" s="1"/>
  <c r="AA430" i="2"/>
  <c r="AA423" i="2"/>
  <c r="AB423" i="2"/>
  <c r="AK423" i="2" s="1"/>
  <c r="AA414" i="2"/>
  <c r="AA407" i="2"/>
  <c r="AB407" i="2"/>
  <c r="AK407" i="2" s="1"/>
  <c r="AA398" i="2"/>
  <c r="AA391" i="2"/>
  <c r="AB391" i="2"/>
  <c r="AK391" i="2" s="1"/>
  <c r="AA382" i="2"/>
  <c r="AA375" i="2"/>
  <c r="AB375" i="2"/>
  <c r="AK375" i="2" s="1"/>
  <c r="AA366" i="2"/>
  <c r="AA451" i="2"/>
  <c r="AB451" i="2"/>
  <c r="AK451" i="2" s="1"/>
  <c r="AA442" i="2"/>
  <c r="AA435" i="2"/>
  <c r="AB435" i="2"/>
  <c r="AK435" i="2" s="1"/>
  <c r="AA426" i="2"/>
  <c r="AA419" i="2"/>
  <c r="AB419" i="2"/>
  <c r="AK419" i="2" s="1"/>
  <c r="AA410" i="2"/>
  <c r="AA403" i="2"/>
  <c r="AB403" i="2"/>
  <c r="AK403" i="2" s="1"/>
  <c r="AA394" i="2"/>
  <c r="AA387" i="2"/>
  <c r="AB387" i="2"/>
  <c r="AK387" i="2" s="1"/>
  <c r="AA378" i="2"/>
  <c r="AA371" i="2"/>
  <c r="AB371" i="2"/>
  <c r="AK371" i="2" s="1"/>
  <c r="AA362" i="2"/>
  <c r="B7" i="28"/>
  <c r="B9" i="28"/>
  <c r="B11" i="28"/>
  <c r="B13" i="28"/>
  <c r="B15" i="28"/>
  <c r="B17" i="28"/>
  <c r="B19" i="28"/>
  <c r="B21" i="28"/>
  <c r="B23" i="28"/>
  <c r="B25" i="28"/>
  <c r="B27" i="28"/>
  <c r="B29" i="28"/>
  <c r="B31" i="28"/>
  <c r="B33" i="28"/>
  <c r="B35" i="28"/>
  <c r="B37" i="28"/>
  <c r="B39" i="28"/>
  <c r="B41" i="28"/>
  <c r="B43" i="28"/>
  <c r="B45" i="28"/>
  <c r="B47" i="28"/>
  <c r="B49" i="28"/>
  <c r="B51" i="28"/>
  <c r="B53" i="28"/>
  <c r="B55" i="28"/>
  <c r="B57" i="28"/>
  <c r="B59" i="28"/>
  <c r="B61" i="28"/>
  <c r="B63" i="28"/>
  <c r="B65" i="28"/>
  <c r="B67" i="28"/>
  <c r="B69" i="28"/>
  <c r="B71" i="28"/>
  <c r="B73" i="28"/>
  <c r="B75" i="28"/>
  <c r="B77" i="28"/>
  <c r="B79" i="28"/>
  <c r="B81" i="28"/>
  <c r="B83" i="28"/>
  <c r="B85" i="28"/>
  <c r="B87" i="28"/>
  <c r="B89" i="28"/>
  <c r="B91" i="28"/>
  <c r="B93" i="28"/>
  <c r="B95" i="28"/>
  <c r="B97" i="28"/>
  <c r="B99" i="28"/>
  <c r="B101" i="28"/>
  <c r="B103" i="28"/>
  <c r="B105" i="28"/>
  <c r="B107" i="28"/>
  <c r="B109" i="28"/>
  <c r="B111" i="28"/>
  <c r="B113" i="28"/>
  <c r="B115" i="28"/>
  <c r="B117" i="28"/>
  <c r="B119" i="28"/>
  <c r="B121" i="28"/>
  <c r="B123" i="28"/>
  <c r="B125" i="28"/>
  <c r="B127" i="28"/>
  <c r="B129" i="28"/>
  <c r="B131" i="28"/>
  <c r="B133" i="28"/>
  <c r="B135" i="28"/>
  <c r="B137" i="28"/>
  <c r="B139" i="28"/>
  <c r="B141" i="28"/>
  <c r="B143" i="28"/>
  <c r="B145" i="28"/>
  <c r="B147" i="28"/>
  <c r="B149" i="28"/>
  <c r="B151" i="28"/>
  <c r="B153" i="28"/>
  <c r="B155" i="28"/>
  <c r="B157" i="28"/>
  <c r="B159" i="28"/>
  <c r="B161" i="28"/>
  <c r="B163" i="28"/>
  <c r="B165" i="28"/>
  <c r="B167" i="28"/>
  <c r="B169" i="28"/>
  <c r="B171" i="28"/>
  <c r="B173" i="28"/>
  <c r="B175" i="28"/>
  <c r="B177" i="28"/>
  <c r="B179" i="28"/>
  <c r="B181" i="28"/>
  <c r="B183" i="28"/>
  <c r="B185" i="28"/>
  <c r="B187" i="28"/>
  <c r="B189" i="28"/>
  <c r="B191" i="28"/>
  <c r="B193" i="28"/>
  <c r="B195" i="28"/>
  <c r="B197" i="28"/>
  <c r="B199" i="28"/>
  <c r="B8" i="28"/>
  <c r="B10" i="28"/>
  <c r="B12" i="28"/>
  <c r="B14" i="28"/>
  <c r="B16" i="28"/>
  <c r="B18" i="28"/>
  <c r="B20" i="28"/>
  <c r="B22" i="28"/>
  <c r="B24" i="28"/>
  <c r="B26" i="28"/>
  <c r="B28" i="28"/>
  <c r="B30" i="28"/>
  <c r="B32" i="28"/>
  <c r="B34" i="28"/>
  <c r="B36" i="28"/>
  <c r="B38" i="28"/>
  <c r="B40" i="28"/>
  <c r="B42" i="28"/>
  <c r="B44" i="28"/>
  <c r="B46" i="28"/>
  <c r="B48" i="28"/>
  <c r="B50" i="28"/>
  <c r="B52" i="28"/>
  <c r="B54" i="28"/>
  <c r="B56" i="28"/>
  <c r="B58" i="28"/>
  <c r="B60" i="28"/>
  <c r="B62" i="28"/>
  <c r="B64" i="28"/>
  <c r="B66" i="28"/>
  <c r="B68" i="28"/>
  <c r="B70" i="28"/>
  <c r="B72" i="28"/>
  <c r="B74" i="28"/>
  <c r="B76" i="28"/>
  <c r="B78" i="28"/>
  <c r="B80" i="28"/>
  <c r="B82" i="28"/>
  <c r="B84" i="28"/>
  <c r="B86" i="28"/>
  <c r="B88" i="28"/>
  <c r="B90" i="28"/>
  <c r="B92" i="28"/>
  <c r="B94" i="28"/>
  <c r="B96" i="28"/>
  <c r="B98" i="28"/>
  <c r="B100" i="28"/>
  <c r="B102" i="28"/>
  <c r="B104" i="28"/>
  <c r="B106" i="28"/>
  <c r="B108" i="28"/>
  <c r="B110" i="28"/>
  <c r="B112" i="28"/>
  <c r="B114" i="28"/>
  <c r="B116" i="28"/>
  <c r="B118" i="28"/>
  <c r="B120" i="28"/>
  <c r="B122" i="28"/>
  <c r="B124" i="28"/>
  <c r="B126" i="28"/>
  <c r="B128" i="28"/>
  <c r="B130" i="28"/>
  <c r="B132" i="28"/>
  <c r="B134" i="28"/>
  <c r="B136" i="28"/>
  <c r="B138" i="28"/>
  <c r="B140" i="28"/>
  <c r="B142" i="28"/>
  <c r="B144" i="28"/>
  <c r="B146" i="28"/>
  <c r="B148" i="28"/>
  <c r="B150" i="28"/>
  <c r="B152" i="28"/>
  <c r="B154" i="28"/>
  <c r="B156" i="28"/>
  <c r="B158" i="28"/>
  <c r="B160" i="28"/>
  <c r="B162" i="28"/>
  <c r="B164" i="28"/>
  <c r="B166" i="28"/>
  <c r="B168" i="28"/>
  <c r="B170" i="28"/>
  <c r="B172" i="28"/>
  <c r="B174" i="28"/>
  <c r="B176" i="28"/>
  <c r="B178" i="28"/>
  <c r="B180" i="28"/>
  <c r="B182" i="28"/>
  <c r="B184" i="28"/>
  <c r="B186" i="28"/>
  <c r="B188" i="28"/>
  <c r="B190" i="28"/>
  <c r="B192" i="28"/>
  <c r="B194" i="28"/>
  <c r="B196" i="28"/>
  <c r="AM1466" i="2" l="1"/>
  <c r="Z65" i="8"/>
  <c r="Z159" i="8"/>
  <c r="AD1265" i="2"/>
  <c r="U199" i="8"/>
  <c r="R199" i="8"/>
  <c r="F199" i="8"/>
  <c r="K199" i="8" s="1"/>
  <c r="O199" i="8"/>
  <c r="Q199" i="8"/>
  <c r="P199" i="8"/>
  <c r="C86" i="35" a="1"/>
  <c r="C86" i="35" s="1"/>
  <c r="C90" i="35" a="1"/>
  <c r="C90" i="35" s="1"/>
  <c r="C97" i="35" a="1"/>
  <c r="C97" i="35" s="1"/>
  <c r="C102" i="35" a="1"/>
  <c r="C102" i="35" s="1"/>
  <c r="C85" i="35" a="1"/>
  <c r="C85" i="35" s="1"/>
  <c r="C51" i="35" a="1"/>
  <c r="C51" i="35" s="1"/>
  <c r="C83" i="35" a="1"/>
  <c r="C83" i="35" s="1"/>
  <c r="C89" i="35" a="1"/>
  <c r="C89" i="35" s="1"/>
  <c r="C95" i="35" a="1"/>
  <c r="C95" i="35" s="1"/>
  <c r="C99" i="35" a="1"/>
  <c r="C99" i="35" s="1"/>
  <c r="C55" i="35" a="1"/>
  <c r="C55" i="35" s="1"/>
  <c r="C94" i="35" a="1"/>
  <c r="C94" i="35" s="1"/>
  <c r="C88" i="35" a="1"/>
  <c r="C88" i="35" s="1"/>
  <c r="C92" i="35" a="1"/>
  <c r="C92" i="35" s="1"/>
  <c r="C61" i="35" a="1"/>
  <c r="C61" i="35" s="1"/>
  <c r="C87" i="35" a="1"/>
  <c r="C87" i="35" s="1"/>
  <c r="C81" i="35" a="1"/>
  <c r="C81" i="35" s="1"/>
  <c r="C100" i="35" a="1"/>
  <c r="C100" i="35" s="1"/>
  <c r="C78" i="35" a="1"/>
  <c r="C78" i="35" s="1"/>
  <c r="C11" i="35" a="1"/>
  <c r="C11" i="35" s="1"/>
  <c r="C101" i="35" a="1"/>
  <c r="C101" i="35" s="1"/>
  <c r="C103" i="35" a="1"/>
  <c r="C103" i="35" s="1"/>
  <c r="C15" i="35" a="1"/>
  <c r="C15" i="35" s="1"/>
  <c r="C91" i="35" a="1"/>
  <c r="C91" i="35" s="1"/>
  <c r="C84" i="35" a="1"/>
  <c r="C84" i="35" s="1"/>
  <c r="C93" i="35" a="1"/>
  <c r="C93" i="35" s="1"/>
  <c r="C104" i="35" a="1"/>
  <c r="C104" i="35" s="1"/>
  <c r="C96" i="35" a="1"/>
  <c r="C96" i="35" s="1"/>
  <c r="C30" i="35" a="1"/>
  <c r="C30" i="35" s="1"/>
  <c r="C79" i="35" a="1"/>
  <c r="C79" i="35" s="1"/>
  <c r="C82" i="35" a="1"/>
  <c r="C82" i="35" s="1"/>
  <c r="C98" i="35" a="1"/>
  <c r="C98" i="35" s="1"/>
  <c r="C80" i="35" a="1"/>
  <c r="C80" i="35" s="1"/>
  <c r="C12" i="35" a="1"/>
  <c r="C12" i="35" s="1"/>
  <c r="C10" i="35" a="1"/>
  <c r="C10" i="35" s="1"/>
  <c r="C40" i="35" a="1"/>
  <c r="C40" i="35" s="1"/>
  <c r="C41" i="35" a="1"/>
  <c r="C41" i="35" s="1"/>
  <c r="C13" i="35" a="1"/>
  <c r="C13" i="35" s="1"/>
  <c r="C65" i="35" a="1"/>
  <c r="C65" i="35" s="1"/>
  <c r="C45" i="35" a="1"/>
  <c r="C45" i="35" s="1"/>
  <c r="C62" i="35" a="1"/>
  <c r="C62" i="35" s="1"/>
  <c r="C42" i="35" a="1"/>
  <c r="C42" i="35" s="1"/>
  <c r="C7" i="35" a="1"/>
  <c r="C7" i="35" s="1"/>
  <c r="C59" i="35" a="1"/>
  <c r="C59" i="35" s="1"/>
  <c r="C24" i="35" a="1"/>
  <c r="C24" i="35" s="1"/>
  <c r="C17" i="35" a="1"/>
  <c r="C17" i="35" s="1"/>
  <c r="C56" i="35" a="1"/>
  <c r="C56" i="35" s="1"/>
  <c r="C66" i="35" a="1"/>
  <c r="C66" i="35" s="1"/>
  <c r="C46" i="35" a="1"/>
  <c r="C46" i="35" s="1"/>
  <c r="C23" i="35" a="1"/>
  <c r="C23" i="35" s="1"/>
  <c r="C63" i="35" a="1"/>
  <c r="C63" i="35" s="1"/>
  <c r="C49" i="35" a="1"/>
  <c r="C49" i="35" s="1"/>
  <c r="C60" i="35" a="1"/>
  <c r="C60" i="35" s="1"/>
  <c r="C4" i="35" a="1"/>
  <c r="C4" i="35" s="1"/>
  <c r="C43" i="35" a="1"/>
  <c r="C43" i="35" s="1"/>
  <c r="C27" i="35" a="1"/>
  <c r="C27" i="35" s="1"/>
  <c r="C53" i="35" a="1"/>
  <c r="C53" i="35" s="1"/>
  <c r="C18" i="35" a="1"/>
  <c r="C18" i="35" s="1"/>
  <c r="C54" i="35" a="1"/>
  <c r="C54" i="35" s="1"/>
  <c r="C44" i="35" a="1"/>
  <c r="C44" i="35" s="1"/>
  <c r="C29" i="35" a="1"/>
  <c r="C29" i="35" s="1"/>
  <c r="C22" i="35" a="1"/>
  <c r="C22" i="35" s="1"/>
  <c r="C14" i="35" a="1"/>
  <c r="C14" i="35" s="1"/>
  <c r="C47" i="35" a="1"/>
  <c r="C47" i="35" s="1"/>
  <c r="C25" i="35" a="1"/>
  <c r="C25" i="35" s="1"/>
  <c r="C5" i="35" a="1"/>
  <c r="C5" i="35" s="1"/>
  <c r="C21" i="35" a="1"/>
  <c r="C21" i="35" s="1"/>
  <c r="C16" i="35" a="1"/>
  <c r="C16" i="35" s="1"/>
  <c r="C8" i="35" a="1"/>
  <c r="C8" i="35" s="1"/>
  <c r="C26" i="35" a="1"/>
  <c r="C26" i="35" s="1"/>
  <c r="C19" i="35" a="1"/>
  <c r="C19" i="35" s="1"/>
  <c r="C57" i="35" a="1"/>
  <c r="C57" i="35" s="1"/>
  <c r="C58" i="35" a="1"/>
  <c r="C58" i="35" s="1"/>
  <c r="C64" i="35" a="1"/>
  <c r="C64" i="35" s="1"/>
  <c r="C50" i="35" a="1"/>
  <c r="C50" i="35" s="1"/>
  <c r="C9" i="35" a="1"/>
  <c r="C9" i="35" s="1"/>
  <c r="C28" i="35" a="1"/>
  <c r="C28" i="35" s="1"/>
  <c r="C48" i="35" a="1"/>
  <c r="C48" i="35" s="1"/>
  <c r="C20" i="35" a="1"/>
  <c r="C20" i="35" s="1"/>
  <c r="C6" i="35" a="1"/>
  <c r="C6" i="35" s="1"/>
  <c r="C52" i="35" a="1"/>
  <c r="C52" i="35" s="1"/>
  <c r="AD856" i="2"/>
  <c r="X119" i="2"/>
  <c r="V191" i="8"/>
  <c r="B14" i="8"/>
  <c r="B15" i="8"/>
  <c r="K20" i="13"/>
  <c r="AK82" i="2"/>
  <c r="AG82" i="2"/>
  <c r="AO82" i="2" s="1"/>
  <c r="X191" i="8"/>
  <c r="AA36" i="34"/>
  <c r="S36" i="34"/>
  <c r="I36" i="34"/>
  <c r="Y36" i="34"/>
  <c r="O36" i="34"/>
  <c r="G36" i="34"/>
  <c r="W36" i="34"/>
  <c r="M36" i="34"/>
  <c r="E36" i="34"/>
  <c r="V36" i="34"/>
  <c r="L36" i="34"/>
  <c r="U36" i="34"/>
  <c r="K36" i="34"/>
  <c r="T36" i="34"/>
  <c r="R36" i="34"/>
  <c r="N36" i="34"/>
  <c r="J36" i="34"/>
  <c r="H36" i="34"/>
  <c r="AB36" i="34"/>
  <c r="F36" i="34"/>
  <c r="Z36" i="34"/>
  <c r="X36" i="34"/>
  <c r="Y4" i="34"/>
  <c r="G4" i="34"/>
  <c r="X4" i="34"/>
  <c r="O4" i="34"/>
  <c r="F4" i="34"/>
  <c r="W4" i="34"/>
  <c r="M4" i="34"/>
  <c r="V4" i="34"/>
  <c r="L4" i="34"/>
  <c r="U4" i="34"/>
  <c r="K4" i="34"/>
  <c r="T4" i="34"/>
  <c r="J4" i="34"/>
  <c r="AB4" i="34"/>
  <c r="S4" i="34"/>
  <c r="I4" i="34"/>
  <c r="Z4" i="34"/>
  <c r="H4" i="34"/>
  <c r="AC144" i="2"/>
  <c r="AL144" i="2" s="1"/>
  <c r="AM2165" i="2"/>
  <c r="AD1200" i="2"/>
  <c r="AM1983" i="2"/>
  <c r="X8" i="2"/>
  <c r="X55" i="2"/>
  <c r="AH117" i="2"/>
  <c r="AP117" i="2" s="1"/>
  <c r="AC158" i="2"/>
  <c r="AL158" i="2" s="1"/>
  <c r="AB68" i="2"/>
  <c r="AG68" i="2" s="1"/>
  <c r="AO68" i="2" s="1"/>
  <c r="AA120" i="2"/>
  <c r="AC11" i="2"/>
  <c r="AL11" i="2" s="1"/>
  <c r="AK78" i="2"/>
  <c r="AG78" i="2"/>
  <c r="AO78" i="2" s="1"/>
  <c r="AL97" i="2"/>
  <c r="AH97" i="2"/>
  <c r="AP97" i="2" s="1"/>
  <c r="AL116" i="2"/>
  <c r="AH116" i="2"/>
  <c r="AP116" i="2" s="1"/>
  <c r="AL81" i="2"/>
  <c r="AH81" i="2"/>
  <c r="AP81" i="2" s="1"/>
  <c r="AL139" i="2"/>
  <c r="AH139" i="2"/>
  <c r="AP139" i="2" s="1"/>
  <c r="AA43" i="2"/>
  <c r="AF43" i="2" s="1"/>
  <c r="AA207" i="2"/>
  <c r="AF207" i="2" s="1"/>
  <c r="AN207" i="2" s="1"/>
  <c r="AA61" i="2"/>
  <c r="AF61" i="2" s="1"/>
  <c r="AN61" i="2" s="1"/>
  <c r="AB61" i="2"/>
  <c r="AA38" i="2"/>
  <c r="AB83" i="2"/>
  <c r="AG83" i="2" s="1"/>
  <c r="AO83" i="2" s="1"/>
  <c r="AB27" i="2"/>
  <c r="AG27" i="2" s="1"/>
  <c r="AO27" i="2" s="1"/>
  <c r="AA27" i="2"/>
  <c r="AB120" i="2"/>
  <c r="AG120" i="2" s="1"/>
  <c r="AO120" i="2" s="1"/>
  <c r="AA115" i="2"/>
  <c r="AF115" i="2" s="1"/>
  <c r="AN115" i="2" s="1"/>
  <c r="AH138" i="2"/>
  <c r="AP138" i="2" s="1"/>
  <c r="AB101" i="2"/>
  <c r="AB197" i="2"/>
  <c r="AH128" i="2"/>
  <c r="AP128" i="2" s="1"/>
  <c r="AA23" i="2"/>
  <c r="AF23" i="2" s="1"/>
  <c r="AN23" i="2" s="1"/>
  <c r="AA80" i="2"/>
  <c r="AF80" i="2" s="1"/>
  <c r="AN80" i="2" s="1"/>
  <c r="AH115" i="2"/>
  <c r="AP115" i="2" s="1"/>
  <c r="AL176" i="2"/>
  <c r="AH120" i="2"/>
  <c r="AP120" i="2" s="1"/>
  <c r="AK219" i="2"/>
  <c r="AG219" i="2"/>
  <c r="AO219" i="2" s="1"/>
  <c r="AJ227" i="2"/>
  <c r="AF227" i="2"/>
  <c r="AK164" i="2"/>
  <c r="AG164" i="2"/>
  <c r="AO164" i="2" s="1"/>
  <c r="AH144" i="2"/>
  <c r="AP144" i="2" s="1"/>
  <c r="AI239" i="2"/>
  <c r="AK151" i="2"/>
  <c r="AG151" i="2"/>
  <c r="AO151" i="2" s="1"/>
  <c r="AK224" i="2"/>
  <c r="AG224" i="2"/>
  <c r="AK144" i="2"/>
  <c r="AG144" i="2"/>
  <c r="AO144" i="2" s="1"/>
  <c r="AN41" i="2"/>
  <c r="AN144" i="2"/>
  <c r="AL64" i="2"/>
  <c r="AH64" i="2"/>
  <c r="AP64" i="2" s="1"/>
  <c r="AI215" i="2"/>
  <c r="AK235" i="2"/>
  <c r="AG235" i="2"/>
  <c r="AN217" i="2"/>
  <c r="AN64" i="2"/>
  <c r="AI223" i="2"/>
  <c r="AN237" i="2"/>
  <c r="AQ237" i="2" s="1"/>
  <c r="AI237" i="2"/>
  <c r="AJ222" i="2"/>
  <c r="AF222" i="2"/>
  <c r="AK217" i="2"/>
  <c r="AG217" i="2"/>
  <c r="AO217" i="2" s="1"/>
  <c r="AL80" i="2"/>
  <c r="AH80" i="2"/>
  <c r="AP80" i="2" s="1"/>
  <c r="AL26" i="2"/>
  <c r="AH26" i="2"/>
  <c r="AP26" i="2" s="1"/>
  <c r="AI231" i="2"/>
  <c r="AK147" i="2"/>
  <c r="AG147" i="2"/>
  <c r="AO147" i="2" s="1"/>
  <c r="AN225" i="2"/>
  <c r="AL84" i="2"/>
  <c r="AH84" i="2"/>
  <c r="AP84" i="2" s="1"/>
  <c r="AL9" i="2"/>
  <c r="AH9" i="2"/>
  <c r="AP9" i="2" s="1"/>
  <c r="AK228" i="2"/>
  <c r="AG228" i="2"/>
  <c r="AO228" i="2" s="1"/>
  <c r="AK232" i="2"/>
  <c r="AG232" i="2"/>
  <c r="AK9" i="2"/>
  <c r="AG9" i="2"/>
  <c r="AK220" i="2"/>
  <c r="AG220" i="2"/>
  <c r="AO220" i="2" s="1"/>
  <c r="AK89" i="2"/>
  <c r="AG89" i="2"/>
  <c r="AO89" i="2" s="1"/>
  <c r="AJ26" i="2"/>
  <c r="AF26" i="2"/>
  <c r="AK66" i="2"/>
  <c r="AG66" i="2"/>
  <c r="AO66" i="2" s="1"/>
  <c r="AQ66" i="2" s="1"/>
  <c r="AK225" i="2"/>
  <c r="AG225" i="2"/>
  <c r="AO225" i="2" s="1"/>
  <c r="AL147" i="2"/>
  <c r="AH147" i="2"/>
  <c r="AP147" i="2" s="1"/>
  <c r="AI238" i="2"/>
  <c r="AN219" i="2"/>
  <c r="AQ219" i="2" s="1"/>
  <c r="AI219" i="2"/>
  <c r="AK227" i="2"/>
  <c r="AG227" i="2"/>
  <c r="AO227" i="2" s="1"/>
  <c r="AI229" i="2"/>
  <c r="AK13" i="2"/>
  <c r="AG13" i="2"/>
  <c r="AO13" i="2" s="1"/>
  <c r="AL151" i="2"/>
  <c r="AH151" i="2"/>
  <c r="AP151" i="2" s="1"/>
  <c r="AK236" i="2"/>
  <c r="AG236" i="2"/>
  <c r="AO236" i="2" s="1"/>
  <c r="AK185" i="2"/>
  <c r="AG185" i="2"/>
  <c r="AO185" i="2" s="1"/>
  <c r="AA35" i="2"/>
  <c r="AF35" i="2" s="1"/>
  <c r="AN35" i="2" s="1"/>
  <c r="AL173" i="2"/>
  <c r="AB86" i="2"/>
  <c r="AG86" i="2" s="1"/>
  <c r="AA81" i="2"/>
  <c r="AA204" i="2"/>
  <c r="AF204" i="2" s="1"/>
  <c r="AN204" i="2" s="1"/>
  <c r="AA84" i="2"/>
  <c r="AF84" i="2" s="1"/>
  <c r="AA169" i="2"/>
  <c r="AF169" i="2" s="1"/>
  <c r="AN169" i="2" s="1"/>
  <c r="AA96" i="2"/>
  <c r="AF96" i="2" s="1"/>
  <c r="AN96" i="2" s="1"/>
  <c r="AB84" i="2"/>
  <c r="AB169" i="2"/>
  <c r="AG169" i="2" s="1"/>
  <c r="AO169" i="2" s="1"/>
  <c r="AA36" i="2"/>
  <c r="AF36" i="2" s="1"/>
  <c r="AA184" i="2"/>
  <c r="AF184" i="2" s="1"/>
  <c r="AN184" i="2" s="1"/>
  <c r="AB88" i="2"/>
  <c r="AG88" i="2" s="1"/>
  <c r="AO88" i="2" s="1"/>
  <c r="AB150" i="2"/>
  <c r="AB28" i="2"/>
  <c r="AA52" i="2"/>
  <c r="AF52" i="2" s="1"/>
  <c r="AN52" i="2" s="1"/>
  <c r="AB10" i="2"/>
  <c r="AG10" i="2" s="1"/>
  <c r="AB7" i="2"/>
  <c r="AG7" i="2" s="1"/>
  <c r="AO7" i="2" s="1"/>
  <c r="AB121" i="2"/>
  <c r="AK121" i="2" s="1"/>
  <c r="AA69" i="2"/>
  <c r="AF69" i="2" s="1"/>
  <c r="AN69" i="2" s="1"/>
  <c r="AA21" i="2"/>
  <c r="AF21" i="2" s="1"/>
  <c r="AN21" i="2" s="1"/>
  <c r="AA53" i="2"/>
  <c r="AF53" i="2" s="1"/>
  <c r="AN53" i="2" s="1"/>
  <c r="AB12" i="2"/>
  <c r="AG12" i="2" s="1"/>
  <c r="AO12" i="2" s="1"/>
  <c r="AB54" i="2"/>
  <c r="AK54" i="2" s="1"/>
  <c r="AA25" i="2"/>
  <c r="AJ25" i="2" s="1"/>
  <c r="AA44" i="2"/>
  <c r="AF44" i="2" s="1"/>
  <c r="AN44" i="2" s="1"/>
  <c r="AB14" i="2"/>
  <c r="AG14" i="2" s="1"/>
  <c r="AO14" i="2" s="1"/>
  <c r="AB139" i="2"/>
  <c r="AG139" i="2" s="1"/>
  <c r="AO139" i="2" s="1"/>
  <c r="AB135" i="2"/>
  <c r="AA156" i="2"/>
  <c r="AF156" i="2" s="1"/>
  <c r="AN156" i="2" s="1"/>
  <c r="AA97" i="2"/>
  <c r="X97" i="2"/>
  <c r="AH152" i="2"/>
  <c r="AP152" i="2" s="1"/>
  <c r="AH137" i="2"/>
  <c r="AP137" i="2" s="1"/>
  <c r="K13" i="13"/>
  <c r="AB199" i="8"/>
  <c r="K12" i="13"/>
  <c r="AC199" i="8"/>
  <c r="X152" i="2"/>
  <c r="AH183" i="2"/>
  <c r="AP183" i="2" s="1"/>
  <c r="AH177" i="2"/>
  <c r="AP177" i="2" s="1"/>
  <c r="AB516" i="2"/>
  <c r="AK516" i="2" s="1"/>
  <c r="AD1329" i="2"/>
  <c r="AA58" i="2"/>
  <c r="AJ58" i="2" s="1"/>
  <c r="AD1120" i="2"/>
  <c r="AM1120" i="2" s="1"/>
  <c r="AD2062" i="2"/>
  <c r="AD2268" i="2"/>
  <c r="AD1985" i="2"/>
  <c r="AD640" i="2"/>
  <c r="AE640" i="2" s="1"/>
  <c r="AD995" i="2"/>
  <c r="X85" i="2"/>
  <c r="AD633" i="2"/>
  <c r="AE633" i="2" s="1"/>
  <c r="AM1877" i="2"/>
  <c r="AM2201" i="2"/>
  <c r="AD429" i="2"/>
  <c r="AM429" i="2" s="1"/>
  <c r="AD1209" i="2"/>
  <c r="AD1236" i="2"/>
  <c r="AD1336" i="2"/>
  <c r="AD1571" i="2"/>
  <c r="AM1571" i="2" s="1"/>
  <c r="AD1503" i="2"/>
  <c r="AE1503" i="2" s="1"/>
  <c r="AD1615" i="2"/>
  <c r="AD1890" i="2"/>
  <c r="AD1938" i="2"/>
  <c r="AD1986" i="2"/>
  <c r="AM1986" i="2" s="1"/>
  <c r="AM2026" i="2"/>
  <c r="AD1131" i="2"/>
  <c r="AD2130" i="2"/>
  <c r="AE2130" i="2" s="1"/>
  <c r="AD437" i="2"/>
  <c r="AE437" i="2" s="1"/>
  <c r="AD2188" i="2"/>
  <c r="AD2176" i="2"/>
  <c r="AD1133" i="2"/>
  <c r="AE1133" i="2" s="1"/>
  <c r="AB190" i="2"/>
  <c r="AG190" i="2" s="1"/>
  <c r="AO190" i="2" s="1"/>
  <c r="AA172" i="2"/>
  <c r="AD172" i="2" s="1"/>
  <c r="J199" i="8"/>
  <c r="X176" i="2"/>
  <c r="AH172" i="2"/>
  <c r="AP172" i="2" s="1"/>
  <c r="AH211" i="2"/>
  <c r="AP211" i="2" s="1"/>
  <c r="AD796" i="2"/>
  <c r="AD1213" i="2"/>
  <c r="AE1213" i="2" s="1"/>
  <c r="AD1277" i="2"/>
  <c r="AE1277" i="2" s="1"/>
  <c r="AD1344" i="2"/>
  <c r="AD1111" i="2"/>
  <c r="AD1714" i="2"/>
  <c r="AE1714" i="2" s="1"/>
  <c r="AM2074" i="2"/>
  <c r="AD1534" i="2"/>
  <c r="AD1582" i="2"/>
  <c r="AD1798" i="2"/>
  <c r="AE1798" i="2" s="1"/>
  <c r="AD2142" i="2"/>
  <c r="AE2142" i="2" s="1"/>
  <c r="AD2302" i="2"/>
  <c r="AD984" i="2"/>
  <c r="AD2105" i="2"/>
  <c r="AD2244" i="2"/>
  <c r="AM2244" i="2" s="1"/>
  <c r="AD2308" i="2"/>
  <c r="AA19" i="2"/>
  <c r="AF19" i="2" s="1"/>
  <c r="AN19" i="2" s="1"/>
  <c r="AD696" i="2"/>
  <c r="AM696" i="2" s="1"/>
  <c r="AB212" i="2"/>
  <c r="AB81" i="2"/>
  <c r="AG81" i="2" s="1"/>
  <c r="AO81" i="2" s="1"/>
  <c r="AB612" i="2"/>
  <c r="AK612" i="2" s="1"/>
  <c r="AD888" i="2"/>
  <c r="AE888" i="2" s="1"/>
  <c r="X62" i="2"/>
  <c r="H199" i="8"/>
  <c r="I199" i="8"/>
  <c r="AB180" i="2"/>
  <c r="AG180" i="2" s="1"/>
  <c r="AO180" i="2" s="1"/>
  <c r="X185" i="2"/>
  <c r="AC178" i="2"/>
  <c r="AL178" i="2" s="1"/>
  <c r="AD1619" i="2"/>
  <c r="AD1902" i="2"/>
  <c r="AE1902" i="2" s="1"/>
  <c r="AD2300" i="2"/>
  <c r="AE2300" i="2" s="1"/>
  <c r="AB60" i="2"/>
  <c r="AG60" i="2" s="1"/>
  <c r="L199" i="8"/>
  <c r="AC96" i="2"/>
  <c r="AL96" i="2" s="1"/>
  <c r="AD1301" i="2"/>
  <c r="AM1301" i="2" s="1"/>
  <c r="AD1244" i="2"/>
  <c r="AD1247" i="2"/>
  <c r="AE1247" i="2" s="1"/>
  <c r="AD1307" i="2"/>
  <c r="AE1307" i="2" s="1"/>
  <c r="AD1080" i="2"/>
  <c r="AE1080" i="2" s="1"/>
  <c r="AD1327" i="2"/>
  <c r="AA211" i="2"/>
  <c r="AJ211" i="2" s="1"/>
  <c r="AD445" i="2"/>
  <c r="AD649" i="2"/>
  <c r="AD979" i="2"/>
  <c r="AD1161" i="2"/>
  <c r="AD1309" i="2"/>
  <c r="AE1309" i="2" s="1"/>
  <c r="AD1140" i="2"/>
  <c r="AE1140" i="2" s="1"/>
  <c r="AD1204" i="2"/>
  <c r="AD1252" i="2"/>
  <c r="AD1590" i="2"/>
  <c r="AM1590" i="2" s="1"/>
  <c r="AD1127" i="2"/>
  <c r="AM1127" i="2" s="1"/>
  <c r="AD1695" i="2"/>
  <c r="AD1598" i="2"/>
  <c r="AD2238" i="2"/>
  <c r="AE2238" i="2" s="1"/>
  <c r="AM2413" i="2"/>
  <c r="AA159" i="2"/>
  <c r="AF159" i="2" s="1"/>
  <c r="AD544" i="2"/>
  <c r="AD1343" i="2"/>
  <c r="AE1343" i="2" s="1"/>
  <c r="AD433" i="2"/>
  <c r="AM433" i="2" s="1"/>
  <c r="AD2316" i="2"/>
  <c r="AD2365" i="2"/>
  <c r="AE2365" i="2" s="1"/>
  <c r="AD392" i="2"/>
  <c r="AM392" i="2" s="1"/>
  <c r="AB26" i="2"/>
  <c r="AG26" i="2" s="1"/>
  <c r="AO26" i="2" s="1"/>
  <c r="AA112" i="2"/>
  <c r="AF112" i="2" s="1"/>
  <c r="AN112" i="2" s="1"/>
  <c r="AA182" i="2"/>
  <c r="AF182" i="2" s="1"/>
  <c r="AN182" i="2" s="1"/>
  <c r="X81" i="2"/>
  <c r="AH201" i="2"/>
  <c r="AP201" i="2" s="1"/>
  <c r="AD2050" i="2"/>
  <c r="AM1903" i="2"/>
  <c r="AD2158" i="2"/>
  <c r="AM2158" i="2" s="1"/>
  <c r="AD1255" i="2"/>
  <c r="AD1490" i="2"/>
  <c r="AD2090" i="2"/>
  <c r="AE2090" i="2" s="1"/>
  <c r="AD2274" i="2"/>
  <c r="AE2274" i="2" s="1"/>
  <c r="AD343" i="2"/>
  <c r="AD488" i="2"/>
  <c r="AD2332" i="2"/>
  <c r="AM2332" i="2" s="1"/>
  <c r="AD2381" i="2"/>
  <c r="AA556" i="2"/>
  <c r="AJ556" i="2" s="1"/>
  <c r="AD259" i="2"/>
  <c r="AB112" i="2"/>
  <c r="AK112" i="2" s="1"/>
  <c r="X136" i="2"/>
  <c r="AD283" i="2"/>
  <c r="AA380" i="2"/>
  <c r="AJ380" i="2" s="1"/>
  <c r="AB92" i="2"/>
  <c r="AK92" i="2" s="1"/>
  <c r="X211" i="2"/>
  <c r="X27" i="2"/>
  <c r="AH112" i="2"/>
  <c r="AP112" i="2" s="1"/>
  <c r="AD1357" i="2"/>
  <c r="AE1357" i="2" s="1"/>
  <c r="AD1558" i="2"/>
  <c r="AE1558" i="2" s="1"/>
  <c r="AD1275" i="2"/>
  <c r="AD1646" i="2"/>
  <c r="AD1694" i="2"/>
  <c r="AE1694" i="2" s="1"/>
  <c r="AD1734" i="2"/>
  <c r="AM1734" i="2" s="1"/>
  <c r="AD1011" i="2"/>
  <c r="AD1373" i="2"/>
  <c r="AD1152" i="2"/>
  <c r="AM1152" i="2" s="1"/>
  <c r="AD1320" i="2"/>
  <c r="AM1320" i="2" s="1"/>
  <c r="AD1806" i="2"/>
  <c r="AM1813" i="2"/>
  <c r="AA178" i="2"/>
  <c r="AF178" i="2" s="1"/>
  <c r="AN178" i="2" s="1"/>
  <c r="AD1097" i="2"/>
  <c r="AD1129" i="2"/>
  <c r="AD1562" i="2"/>
  <c r="AE1562" i="2" s="1"/>
  <c r="AD2208" i="2"/>
  <c r="AM2208" i="2" s="1"/>
  <c r="AD2128" i="2"/>
  <c r="AM2128" i="2" s="1"/>
  <c r="AD1997" i="2"/>
  <c r="AD2397" i="2"/>
  <c r="AE2397" i="2" s="1"/>
  <c r="AD330" i="2"/>
  <c r="AM330" i="2" s="1"/>
  <c r="AB556" i="2"/>
  <c r="AK556" i="2" s="1"/>
  <c r="AB380" i="2"/>
  <c r="AK380" i="2" s="1"/>
  <c r="AB80" i="2"/>
  <c r="AD80" i="2" s="1"/>
  <c r="AD1861" i="2"/>
  <c r="X84" i="2"/>
  <c r="AD1100" i="2"/>
  <c r="AD1216" i="2"/>
  <c r="AE1216" i="2" s="1"/>
  <c r="X183" i="2"/>
  <c r="AH140" i="2"/>
  <c r="AP140" i="2" s="1"/>
  <c r="AH169" i="2"/>
  <c r="AP169" i="2" s="1"/>
  <c r="X138" i="2"/>
  <c r="F19" i="13"/>
  <c r="X12" i="2"/>
  <c r="G19" i="13"/>
  <c r="X120" i="2"/>
  <c r="I19" i="13"/>
  <c r="X139" i="2"/>
  <c r="AB29" i="2"/>
  <c r="AK29" i="2" s="1"/>
  <c r="X46" i="2"/>
  <c r="X13" i="2"/>
  <c r="AA199" i="8"/>
  <c r="AB317" i="2"/>
  <c r="AK317" i="2" s="1"/>
  <c r="AC317" i="2"/>
  <c r="AL317" i="2" s="1"/>
  <c r="X103" i="2"/>
  <c r="X113" i="2"/>
  <c r="X80" i="2"/>
  <c r="X151" i="2"/>
  <c r="X137" i="2"/>
  <c r="AA14" i="2"/>
  <c r="AJ14" i="2" s="1"/>
  <c r="AA139" i="2"/>
  <c r="AH196" i="2"/>
  <c r="AP196" i="2" s="1"/>
  <c r="AA45" i="2"/>
  <c r="AF45" i="2" s="1"/>
  <c r="AC32" i="2"/>
  <c r="AL32" i="2" s="1"/>
  <c r="AB45" i="2"/>
  <c r="AG45" i="2" s="1"/>
  <c r="AO45" i="2" s="1"/>
  <c r="AB196" i="2"/>
  <c r="AG196" i="2" s="1"/>
  <c r="AO196" i="2" s="1"/>
  <c r="AA210" i="2"/>
  <c r="AF210" i="2" s="1"/>
  <c r="AN210" i="2" s="1"/>
  <c r="AA196" i="2"/>
  <c r="AF196" i="2" s="1"/>
  <c r="AA160" i="2"/>
  <c r="AJ160" i="2" s="1"/>
  <c r="AH191" i="2"/>
  <c r="AP191" i="2" s="1"/>
  <c r="AB160" i="2"/>
  <c r="AK160" i="2" s="1"/>
  <c r="AB142" i="2"/>
  <c r="AG142" i="2" s="1"/>
  <c r="AO142" i="2" s="1"/>
  <c r="AB111" i="2"/>
  <c r="AG111" i="2" s="1"/>
  <c r="AO111" i="2" s="1"/>
  <c r="X45" i="2"/>
  <c r="X201" i="2"/>
  <c r="X157" i="2"/>
  <c r="X116" i="2"/>
  <c r="X126" i="2"/>
  <c r="X187" i="2"/>
  <c r="X192" i="2"/>
  <c r="AQ160" i="2"/>
  <c r="X6" i="2"/>
  <c r="X169" i="2"/>
  <c r="X61" i="2"/>
  <c r="X160" i="2"/>
  <c r="X25" i="2"/>
  <c r="X37" i="2"/>
  <c r="X173" i="2"/>
  <c r="X168" i="2"/>
  <c r="X26" i="2"/>
  <c r="X149" i="2"/>
  <c r="X177" i="2"/>
  <c r="X112" i="2"/>
  <c r="X115" i="2"/>
  <c r="X67" i="2"/>
  <c r="B25" i="8"/>
  <c r="X135" i="8"/>
  <c r="W135" i="8"/>
  <c r="P135" i="8"/>
  <c r="N135" i="8"/>
  <c r="C135" i="8"/>
  <c r="S135" i="8"/>
  <c r="F135" i="8"/>
  <c r="O135" i="8"/>
  <c r="T135" i="8"/>
  <c r="R135" i="8"/>
  <c r="Q135" i="8"/>
  <c r="V135" i="8"/>
  <c r="U135" i="8"/>
  <c r="D135" i="8"/>
  <c r="G135" i="8" s="1"/>
  <c r="AD1117" i="2"/>
  <c r="AM1117" i="2" s="1"/>
  <c r="B29" i="8"/>
  <c r="B17" i="8"/>
  <c r="AD1969" i="2"/>
  <c r="AD1761" i="2"/>
  <c r="AE1761" i="2" s="1"/>
  <c r="AD2029" i="2"/>
  <c r="B33" i="8"/>
  <c r="AD243" i="2"/>
  <c r="AE243" i="2" s="1"/>
  <c r="AD117" i="2"/>
  <c r="AE117" i="2" s="1"/>
  <c r="B19" i="8"/>
  <c r="B28" i="8"/>
  <c r="AM2113" i="2"/>
  <c r="AD2017" i="2"/>
  <c r="B16" i="8"/>
  <c r="B18" i="8"/>
  <c r="B27" i="8"/>
  <c r="X72" i="8"/>
  <c r="N72" i="8"/>
  <c r="T72" i="8"/>
  <c r="W72" i="8"/>
  <c r="C72" i="8"/>
  <c r="U72" i="8"/>
  <c r="O72" i="8"/>
  <c r="Q72" i="8"/>
  <c r="P72" i="8"/>
  <c r="F72" i="8"/>
  <c r="R72" i="8"/>
  <c r="V72" i="8"/>
  <c r="S72" i="8"/>
  <c r="D72" i="8"/>
  <c r="G72" i="8" s="1"/>
  <c r="AD641" i="2"/>
  <c r="AM641" i="2" s="1"/>
  <c r="AD728" i="2"/>
  <c r="AD1185" i="2"/>
  <c r="AM1185" i="2" s="1"/>
  <c r="AD1003" i="2"/>
  <c r="AM1003" i="2" s="1"/>
  <c r="AD1631" i="2"/>
  <c r="AD2242" i="2"/>
  <c r="AD520" i="2"/>
  <c r="AE520" i="2" s="1"/>
  <c r="AD812" i="2"/>
  <c r="U191" i="8"/>
  <c r="Q191" i="8"/>
  <c r="D191" i="8"/>
  <c r="G191" i="8" s="1"/>
  <c r="S191" i="8"/>
  <c r="W191" i="8"/>
  <c r="P191" i="8"/>
  <c r="O191" i="8"/>
  <c r="T191" i="8"/>
  <c r="R191" i="8"/>
  <c r="C191" i="8"/>
  <c r="F191" i="8"/>
  <c r="N191" i="8"/>
  <c r="AD625" i="2"/>
  <c r="AM625" i="2" s="1"/>
  <c r="AD1324" i="2"/>
  <c r="AM1324" i="2" s="1"/>
  <c r="AD1998" i="2"/>
  <c r="AE1998" i="2" s="1"/>
  <c r="AD1629" i="2"/>
  <c r="AD1052" i="2"/>
  <c r="AE1052" i="2" s="1"/>
  <c r="AD1921" i="2"/>
  <c r="AE1921" i="2" s="1"/>
  <c r="AD1179" i="2"/>
  <c r="AD744" i="2"/>
  <c r="AM744" i="2" s="1"/>
  <c r="AD1051" i="2"/>
  <c r="AD1475" i="2"/>
  <c r="AD1159" i="2"/>
  <c r="AM1159" i="2" s="1"/>
  <c r="AD1954" i="2"/>
  <c r="AD2270" i="2"/>
  <c r="AD420" i="2"/>
  <c r="AE420" i="2" s="1"/>
  <c r="AB201" i="2"/>
  <c r="AG201" i="2" s="1"/>
  <c r="AO201" i="2" s="1"/>
  <c r="AD2065" i="2"/>
  <c r="AD1822" i="2"/>
  <c r="AE1822" i="2" s="1"/>
  <c r="AD1522" i="2"/>
  <c r="AE1522" i="2" s="1"/>
  <c r="AD2250" i="2"/>
  <c r="AD617" i="2"/>
  <c r="AD609" i="2"/>
  <c r="AM609" i="2" s="1"/>
  <c r="AD1221" i="2"/>
  <c r="AE1221" i="2" s="1"/>
  <c r="AD1337" i="2"/>
  <c r="AD1385" i="2"/>
  <c r="AD1478" i="2"/>
  <c r="AD1778" i="2"/>
  <c r="AM1778" i="2" s="1"/>
  <c r="AD2002" i="2"/>
  <c r="AD2334" i="2"/>
  <c r="AM2209" i="2"/>
  <c r="AD2144" i="2"/>
  <c r="AD307" i="2"/>
  <c r="AE307" i="2" s="1"/>
  <c r="AA201" i="2"/>
  <c r="AJ201" i="2" s="1"/>
  <c r="AD656" i="2"/>
  <c r="AD352" i="2"/>
  <c r="AE352" i="2" s="1"/>
  <c r="AD1293" i="2"/>
  <c r="AE1293" i="2" s="1"/>
  <c r="AD1132" i="2"/>
  <c r="AD1726" i="2"/>
  <c r="AD2078" i="2"/>
  <c r="AD1287" i="2"/>
  <c r="AE1287" i="2" s="1"/>
  <c r="AD2338" i="2"/>
  <c r="AE2005" i="2"/>
  <c r="AD2276" i="2"/>
  <c r="AD1867" i="2"/>
  <c r="AD304" i="2"/>
  <c r="AD576" i="2"/>
  <c r="AE576" i="2" s="1"/>
  <c r="Z57" i="8"/>
  <c r="AC57" i="8" s="1"/>
  <c r="AD1526" i="2"/>
  <c r="AD1838" i="2"/>
  <c r="AD1471" i="2"/>
  <c r="AE1471" i="2" s="1"/>
  <c r="AD1990" i="2"/>
  <c r="AD359" i="2"/>
  <c r="AD2340" i="2"/>
  <c r="AD2145" i="2"/>
  <c r="AM2145" i="2" s="1"/>
  <c r="AA356" i="2"/>
  <c r="AD1925" i="2"/>
  <c r="AE1925" i="2" s="1"/>
  <c r="AA116" i="2"/>
  <c r="AF116" i="2" s="1"/>
  <c r="AA732" i="2"/>
  <c r="AD1982" i="2"/>
  <c r="AD360" i="2"/>
  <c r="AD1075" i="2"/>
  <c r="AM1075" i="2" s="1"/>
  <c r="AD1177" i="2"/>
  <c r="AE1177" i="2" s="1"/>
  <c r="AD560" i="2"/>
  <c r="AD1661" i="2"/>
  <c r="AD2180" i="2"/>
  <c r="AB356" i="2"/>
  <c r="AK356" i="2" s="1"/>
  <c r="AD339" i="2"/>
  <c r="AE339" i="2" s="1"/>
  <c r="AB116" i="2"/>
  <c r="AB732" i="2"/>
  <c r="AK732" i="2" s="1"/>
  <c r="AD315" i="2"/>
  <c r="AD1953" i="2"/>
  <c r="AD1893" i="2"/>
  <c r="B4" i="28"/>
  <c r="B9" i="8"/>
  <c r="B5" i="28"/>
  <c r="V119" i="8"/>
  <c r="O119" i="8"/>
  <c r="C119" i="8"/>
  <c r="U119" i="8"/>
  <c r="W119" i="8"/>
  <c r="R119" i="8"/>
  <c r="D119" i="8"/>
  <c r="G119" i="8" s="1"/>
  <c r="N119" i="8"/>
  <c r="P119" i="8"/>
  <c r="Q119" i="8"/>
  <c r="T119" i="8"/>
  <c r="S119" i="8"/>
  <c r="F119" i="8"/>
  <c r="V143" i="8"/>
  <c r="Q143" i="8"/>
  <c r="T143" i="8"/>
  <c r="S143" i="8"/>
  <c r="N143" i="8"/>
  <c r="W143" i="8"/>
  <c r="P143" i="8"/>
  <c r="F143" i="8"/>
  <c r="O143" i="8"/>
  <c r="C143" i="8"/>
  <c r="R143" i="8"/>
  <c r="D143" i="8"/>
  <c r="G143" i="8" s="1"/>
  <c r="U143" i="8"/>
  <c r="B5" i="8"/>
  <c r="B8" i="8"/>
  <c r="B7" i="8"/>
  <c r="AQ151" i="2"/>
  <c r="D57" i="8"/>
  <c r="G57" i="8" s="1"/>
  <c r="V57" i="8"/>
  <c r="C57" i="8"/>
  <c r="R57" i="8"/>
  <c r="P57" i="8"/>
  <c r="T57" i="8"/>
  <c r="S57" i="8"/>
  <c r="U57" i="8"/>
  <c r="O57" i="8"/>
  <c r="N57" i="8"/>
  <c r="Q57" i="8"/>
  <c r="F57" i="8"/>
  <c r="W57" i="8"/>
  <c r="V159" i="8"/>
  <c r="O159" i="8"/>
  <c r="D159" i="8"/>
  <c r="G159" i="8" s="1"/>
  <c r="C159" i="8"/>
  <c r="U159" i="8"/>
  <c r="P159" i="8"/>
  <c r="R159" i="8"/>
  <c r="W159" i="8"/>
  <c r="N159" i="8"/>
  <c r="Q159" i="8"/>
  <c r="T159" i="8"/>
  <c r="S159" i="8"/>
  <c r="F159" i="8"/>
  <c r="X80" i="8"/>
  <c r="V80" i="8"/>
  <c r="U80" i="8"/>
  <c r="Q80" i="8"/>
  <c r="W80" i="8"/>
  <c r="T80" i="8"/>
  <c r="P80" i="8"/>
  <c r="F80" i="8"/>
  <c r="S80" i="8"/>
  <c r="C80" i="8"/>
  <c r="O80" i="8"/>
  <c r="D80" i="8"/>
  <c r="G80" i="8" s="1"/>
  <c r="R80" i="8"/>
  <c r="N80" i="8"/>
  <c r="B10" i="8"/>
  <c r="B11" i="8"/>
  <c r="B12" i="8"/>
  <c r="AL63" i="2"/>
  <c r="AH63" i="2"/>
  <c r="AP63" i="2" s="1"/>
  <c r="AD72" i="8"/>
  <c r="AA72" i="8"/>
  <c r="AB72" i="8"/>
  <c r="AC72" i="8"/>
  <c r="V96" i="8"/>
  <c r="W96" i="8"/>
  <c r="C96" i="8"/>
  <c r="S96" i="8"/>
  <c r="D96" i="8"/>
  <c r="G96" i="8" s="1"/>
  <c r="T96" i="8"/>
  <c r="Q96" i="8"/>
  <c r="O96" i="8"/>
  <c r="R96" i="8"/>
  <c r="N96" i="8"/>
  <c r="U96" i="8"/>
  <c r="P96" i="8"/>
  <c r="F96" i="8"/>
  <c r="AD1136" i="2"/>
  <c r="AD1457" i="2"/>
  <c r="AE1457" i="2" s="1"/>
  <c r="C19" i="13"/>
  <c r="V127" i="8"/>
  <c r="W127" i="8"/>
  <c r="P127" i="8"/>
  <c r="D127" i="8"/>
  <c r="G127" i="8" s="1"/>
  <c r="Q127" i="8"/>
  <c r="S127" i="8"/>
  <c r="F127" i="8"/>
  <c r="O127" i="8"/>
  <c r="C127" i="8"/>
  <c r="R127" i="8"/>
  <c r="N127" i="8"/>
  <c r="U127" i="8"/>
  <c r="T127" i="8"/>
  <c r="Q175" i="8"/>
  <c r="T175" i="8"/>
  <c r="S175" i="8"/>
  <c r="W175" i="8"/>
  <c r="P175" i="8"/>
  <c r="N175" i="8"/>
  <c r="F175" i="8"/>
  <c r="O175" i="8"/>
  <c r="D175" i="8"/>
  <c r="G175" i="8" s="1"/>
  <c r="R175" i="8"/>
  <c r="C175" i="8"/>
  <c r="V175" i="8"/>
  <c r="U175" i="8"/>
  <c r="V167" i="8"/>
  <c r="S167" i="8"/>
  <c r="F167" i="8"/>
  <c r="O167" i="8"/>
  <c r="T167" i="8"/>
  <c r="R167" i="8"/>
  <c r="C167" i="8"/>
  <c r="N167" i="8"/>
  <c r="D167" i="8"/>
  <c r="G167" i="8" s="1"/>
  <c r="U167" i="8"/>
  <c r="Q167" i="8"/>
  <c r="W167" i="8"/>
  <c r="P167" i="8"/>
  <c r="AD1104" i="2"/>
  <c r="AE1104" i="2" s="1"/>
  <c r="AD2086" i="2"/>
  <c r="AD1919" i="2"/>
  <c r="AE1919" i="2" s="1"/>
  <c r="AD1829" i="2"/>
  <c r="AH178" i="2"/>
  <c r="AP178" i="2" s="1"/>
  <c r="V65" i="8"/>
  <c r="U65" i="8"/>
  <c r="N65" i="8"/>
  <c r="F65" i="8"/>
  <c r="P65" i="8"/>
  <c r="D65" i="8"/>
  <c r="G65" i="8" s="1"/>
  <c r="Q65" i="8"/>
  <c r="T65" i="8"/>
  <c r="C65" i="8"/>
  <c r="W65" i="8"/>
  <c r="S65" i="8"/>
  <c r="O65" i="8"/>
  <c r="R65" i="8"/>
  <c r="W111" i="8"/>
  <c r="P111" i="8"/>
  <c r="F111" i="8"/>
  <c r="S111" i="8"/>
  <c r="O111" i="8"/>
  <c r="R111" i="8"/>
  <c r="V111" i="8"/>
  <c r="U111" i="8"/>
  <c r="Q111" i="8"/>
  <c r="C111" i="8"/>
  <c r="T111" i="8"/>
  <c r="D111" i="8"/>
  <c r="G111" i="8" s="1"/>
  <c r="N111" i="8"/>
  <c r="V104" i="8"/>
  <c r="O104" i="8"/>
  <c r="R104" i="8"/>
  <c r="W104" i="8"/>
  <c r="N104" i="8"/>
  <c r="U104" i="8"/>
  <c r="T104" i="8"/>
  <c r="Q104" i="8"/>
  <c r="P104" i="8"/>
  <c r="F104" i="8"/>
  <c r="C104" i="8"/>
  <c r="S104" i="8"/>
  <c r="D104" i="8"/>
  <c r="G104" i="8" s="1"/>
  <c r="AD135" i="8"/>
  <c r="AB135" i="8"/>
  <c r="AC135" i="8"/>
  <c r="AA135" i="8"/>
  <c r="R49" i="8"/>
  <c r="V49" i="8"/>
  <c r="C49" i="8"/>
  <c r="D49" i="8"/>
  <c r="G49" i="8" s="1"/>
  <c r="S49" i="8"/>
  <c r="N49" i="8"/>
  <c r="W49" i="8"/>
  <c r="P49" i="8"/>
  <c r="T49" i="8"/>
  <c r="Q49" i="8"/>
  <c r="F49" i="8"/>
  <c r="U49" i="8"/>
  <c r="O49" i="8"/>
  <c r="P41" i="8"/>
  <c r="T41" i="8"/>
  <c r="C41" i="8"/>
  <c r="S41" i="8"/>
  <c r="D41" i="8"/>
  <c r="G41" i="8" s="1"/>
  <c r="N41" i="8"/>
  <c r="Q41" i="8"/>
  <c r="R41" i="8"/>
  <c r="U41" i="8"/>
  <c r="O41" i="8"/>
  <c r="F41" i="8"/>
  <c r="V41" i="8"/>
  <c r="W41" i="8"/>
  <c r="AH51" i="2"/>
  <c r="AP51" i="2" s="1"/>
  <c r="AL51" i="2"/>
  <c r="N151" i="8"/>
  <c r="U151" i="8"/>
  <c r="T151" i="8"/>
  <c r="Q151" i="8"/>
  <c r="O151" i="8"/>
  <c r="D151" i="8"/>
  <c r="G151" i="8" s="1"/>
  <c r="W151" i="8"/>
  <c r="P151" i="8"/>
  <c r="V151" i="8"/>
  <c r="S151" i="8"/>
  <c r="F151" i="8"/>
  <c r="R151" i="8"/>
  <c r="C151" i="8"/>
  <c r="V183" i="8"/>
  <c r="O183" i="8"/>
  <c r="D183" i="8"/>
  <c r="G183" i="8" s="1"/>
  <c r="R183" i="8"/>
  <c r="C183" i="8"/>
  <c r="W183" i="8"/>
  <c r="P183" i="8"/>
  <c r="N183" i="8"/>
  <c r="U183" i="8"/>
  <c r="Q183" i="8"/>
  <c r="T183" i="8"/>
  <c r="S183" i="8"/>
  <c r="F183" i="8"/>
  <c r="N88" i="8"/>
  <c r="P88" i="8"/>
  <c r="U88" i="8"/>
  <c r="V88" i="8"/>
  <c r="T88" i="8"/>
  <c r="Q88" i="8"/>
  <c r="F88" i="8"/>
  <c r="O88" i="8"/>
  <c r="W88" i="8"/>
  <c r="C88" i="8"/>
  <c r="S88" i="8"/>
  <c r="D88" i="8"/>
  <c r="G88" i="8" s="1"/>
  <c r="R88" i="8"/>
  <c r="AD191" i="8"/>
  <c r="AA191" i="8"/>
  <c r="AB191" i="8"/>
  <c r="AC191" i="8"/>
  <c r="AJ2421" i="2"/>
  <c r="AD2421" i="2"/>
  <c r="AA10" i="2"/>
  <c r="AC10" i="2"/>
  <c r="X56" i="8"/>
  <c r="Z56" i="8"/>
  <c r="D56" i="8"/>
  <c r="G56" i="8" s="1"/>
  <c r="C56" i="8"/>
  <c r="R56" i="8"/>
  <c r="V56" i="8"/>
  <c r="S56" i="8"/>
  <c r="N56" i="8"/>
  <c r="U56" i="8"/>
  <c r="W56" i="8"/>
  <c r="F56" i="8"/>
  <c r="P56" i="8"/>
  <c r="T56" i="8"/>
  <c r="O56" i="8"/>
  <c r="Q56" i="8"/>
  <c r="X118" i="8"/>
  <c r="Z118" i="8"/>
  <c r="V118" i="8"/>
  <c r="P118" i="8"/>
  <c r="W118" i="8"/>
  <c r="S118" i="8"/>
  <c r="R118" i="8"/>
  <c r="O118" i="8"/>
  <c r="N118" i="8"/>
  <c r="F118" i="8"/>
  <c r="U118" i="8"/>
  <c r="Q118" i="8"/>
  <c r="T118" i="8"/>
  <c r="D118" i="8"/>
  <c r="G118" i="8" s="1"/>
  <c r="C118" i="8"/>
  <c r="X182" i="8"/>
  <c r="Z182" i="8"/>
  <c r="V182" i="8"/>
  <c r="R182" i="8"/>
  <c r="O182" i="8"/>
  <c r="N182" i="8"/>
  <c r="F182" i="8"/>
  <c r="U182" i="8"/>
  <c r="Q182" i="8"/>
  <c r="T182" i="8"/>
  <c r="P182" i="8"/>
  <c r="W182" i="8"/>
  <c r="S182" i="8"/>
  <c r="C182" i="8"/>
  <c r="D182" i="8"/>
  <c r="G182" i="8" s="1"/>
  <c r="X50" i="8"/>
  <c r="Z50" i="8"/>
  <c r="C50" i="8"/>
  <c r="D50" i="8"/>
  <c r="G50" i="8" s="1"/>
  <c r="R50" i="8"/>
  <c r="V50" i="8"/>
  <c r="O50" i="8"/>
  <c r="Q50" i="8"/>
  <c r="U50" i="8"/>
  <c r="W50" i="8"/>
  <c r="P50" i="8"/>
  <c r="N50" i="8"/>
  <c r="T50" i="8"/>
  <c r="S50" i="8"/>
  <c r="F50" i="8"/>
  <c r="X112" i="8"/>
  <c r="Z112" i="8"/>
  <c r="V112" i="8"/>
  <c r="S112" i="8"/>
  <c r="N112" i="8"/>
  <c r="U112" i="8"/>
  <c r="T112" i="8"/>
  <c r="Q112" i="8"/>
  <c r="P112" i="8"/>
  <c r="F112" i="8"/>
  <c r="W112" i="8"/>
  <c r="O112" i="8"/>
  <c r="R112" i="8"/>
  <c r="C112" i="8"/>
  <c r="D112" i="8"/>
  <c r="G112" i="8" s="1"/>
  <c r="X176" i="8"/>
  <c r="Z176" i="8"/>
  <c r="V176" i="8"/>
  <c r="P176" i="8"/>
  <c r="F176" i="8"/>
  <c r="W176" i="8"/>
  <c r="S176" i="8"/>
  <c r="O176" i="8"/>
  <c r="R176" i="8"/>
  <c r="N176" i="8"/>
  <c r="U176" i="8"/>
  <c r="T176" i="8"/>
  <c r="Q176" i="8"/>
  <c r="D176" i="8"/>
  <c r="G176" i="8" s="1"/>
  <c r="C176" i="8"/>
  <c r="X43" i="8"/>
  <c r="Z43" i="8"/>
  <c r="C43" i="8"/>
  <c r="D43" i="8"/>
  <c r="G43" i="8" s="1"/>
  <c r="V43" i="8"/>
  <c r="R43" i="8"/>
  <c r="Q43" i="8"/>
  <c r="F43" i="8"/>
  <c r="W43" i="8"/>
  <c r="P43" i="8"/>
  <c r="T43" i="8"/>
  <c r="U43" i="8"/>
  <c r="O43" i="8"/>
  <c r="S43" i="8"/>
  <c r="N43" i="8"/>
  <c r="X106" i="8"/>
  <c r="Z106" i="8"/>
  <c r="V106" i="8"/>
  <c r="T106" i="8"/>
  <c r="P106" i="8"/>
  <c r="S106" i="8"/>
  <c r="C106" i="8"/>
  <c r="R106" i="8"/>
  <c r="O106" i="8"/>
  <c r="D106" i="8"/>
  <c r="G106" i="8" s="1"/>
  <c r="N106" i="8"/>
  <c r="F106" i="8"/>
  <c r="U106" i="8"/>
  <c r="Q106" i="8"/>
  <c r="W106" i="8"/>
  <c r="X169" i="8"/>
  <c r="Z169" i="8"/>
  <c r="V169" i="8"/>
  <c r="U169" i="8"/>
  <c r="N169" i="8"/>
  <c r="C169" i="8"/>
  <c r="Q169" i="8"/>
  <c r="F169" i="8"/>
  <c r="P169" i="8"/>
  <c r="W169" i="8"/>
  <c r="S169" i="8"/>
  <c r="O169" i="8"/>
  <c r="R169" i="8"/>
  <c r="D169" i="8"/>
  <c r="G169" i="8" s="1"/>
  <c r="T169" i="8"/>
  <c r="X44" i="8"/>
  <c r="Z44" i="8"/>
  <c r="D44" i="8"/>
  <c r="G44" i="8" s="1"/>
  <c r="C44" i="8"/>
  <c r="R44" i="8"/>
  <c r="V44" i="8"/>
  <c r="F44" i="8"/>
  <c r="W44" i="8"/>
  <c r="U44" i="8"/>
  <c r="T44" i="8"/>
  <c r="P44" i="8"/>
  <c r="O44" i="8"/>
  <c r="S44" i="8"/>
  <c r="Q44" i="8"/>
  <c r="N44" i="8"/>
  <c r="X114" i="8"/>
  <c r="Z114" i="8"/>
  <c r="V114" i="8"/>
  <c r="Q114" i="8"/>
  <c r="W114" i="8"/>
  <c r="S114" i="8"/>
  <c r="R114" i="8"/>
  <c r="O114" i="8"/>
  <c r="N114" i="8"/>
  <c r="F114" i="8"/>
  <c r="U114" i="8"/>
  <c r="P114" i="8"/>
  <c r="D114" i="8"/>
  <c r="G114" i="8" s="1"/>
  <c r="T114" i="8"/>
  <c r="C114" i="8"/>
  <c r="X178" i="8"/>
  <c r="Z178" i="8"/>
  <c r="V178" i="8"/>
  <c r="N178" i="8"/>
  <c r="F178" i="8"/>
  <c r="T178" i="8"/>
  <c r="P178" i="8"/>
  <c r="W178" i="8"/>
  <c r="S178" i="8"/>
  <c r="R178" i="8"/>
  <c r="O178" i="8"/>
  <c r="D178" i="8"/>
  <c r="G178" i="8" s="1"/>
  <c r="U178" i="8"/>
  <c r="Q178" i="8"/>
  <c r="C178" i="8"/>
  <c r="X53" i="8"/>
  <c r="Z53" i="8"/>
  <c r="C53" i="8"/>
  <c r="D53" i="8"/>
  <c r="G53" i="8" s="1"/>
  <c r="V53" i="8"/>
  <c r="R53" i="8"/>
  <c r="U53" i="8"/>
  <c r="T53" i="8"/>
  <c r="O53" i="8"/>
  <c r="S53" i="8"/>
  <c r="N53" i="8"/>
  <c r="Q53" i="8"/>
  <c r="F53" i="8"/>
  <c r="W53" i="8"/>
  <c r="P53" i="8"/>
  <c r="X123" i="8"/>
  <c r="Z123" i="8"/>
  <c r="V123" i="8"/>
  <c r="W123" i="8"/>
  <c r="P123" i="8"/>
  <c r="C123" i="8"/>
  <c r="S123" i="8"/>
  <c r="F123" i="8"/>
  <c r="D123" i="8"/>
  <c r="G123" i="8" s="1"/>
  <c r="R123" i="8"/>
  <c r="N123" i="8"/>
  <c r="U123" i="8"/>
  <c r="Q123" i="8"/>
  <c r="T123" i="8"/>
  <c r="O123" i="8"/>
  <c r="X187" i="8"/>
  <c r="V187" i="8"/>
  <c r="Q187" i="8"/>
  <c r="S187" i="8"/>
  <c r="F187" i="8"/>
  <c r="O187" i="8"/>
  <c r="R187" i="8"/>
  <c r="N187" i="8"/>
  <c r="U187" i="8"/>
  <c r="W187" i="8"/>
  <c r="C187" i="8"/>
  <c r="T187" i="8"/>
  <c r="P187" i="8"/>
  <c r="D187" i="8"/>
  <c r="G187" i="8" s="1"/>
  <c r="X54" i="8"/>
  <c r="C54" i="8"/>
  <c r="D54" i="8"/>
  <c r="G54" i="8" s="1"/>
  <c r="R54" i="8"/>
  <c r="V54" i="8"/>
  <c r="W54" i="8"/>
  <c r="O54" i="8"/>
  <c r="S54" i="8"/>
  <c r="N54" i="8"/>
  <c r="F54" i="8"/>
  <c r="Q54" i="8"/>
  <c r="U54" i="8"/>
  <c r="T54" i="8"/>
  <c r="P54" i="8"/>
  <c r="X116" i="8"/>
  <c r="Z116" i="8"/>
  <c r="V116" i="8"/>
  <c r="N116" i="8"/>
  <c r="P116" i="8"/>
  <c r="F116" i="8"/>
  <c r="W116" i="8"/>
  <c r="S116" i="8"/>
  <c r="O116" i="8"/>
  <c r="R116" i="8"/>
  <c r="T116" i="8"/>
  <c r="U116" i="8"/>
  <c r="C116" i="8"/>
  <c r="D116" i="8"/>
  <c r="G116" i="8" s="1"/>
  <c r="Q116" i="8"/>
  <c r="X180" i="8"/>
  <c r="Z180" i="8"/>
  <c r="V180" i="8"/>
  <c r="S180" i="8"/>
  <c r="O180" i="8"/>
  <c r="N180" i="8"/>
  <c r="U180" i="8"/>
  <c r="T180" i="8"/>
  <c r="Q180" i="8"/>
  <c r="P180" i="8"/>
  <c r="F180" i="8"/>
  <c r="C180" i="8"/>
  <c r="W180" i="8"/>
  <c r="D180" i="8"/>
  <c r="G180" i="8" s="1"/>
  <c r="R180" i="8"/>
  <c r="X39" i="8"/>
  <c r="Z39" i="8"/>
  <c r="D39" i="8"/>
  <c r="G39" i="8" s="1"/>
  <c r="V39" i="8"/>
  <c r="C39" i="8"/>
  <c r="F39" i="8"/>
  <c r="P39" i="8"/>
  <c r="R39" i="8"/>
  <c r="T39" i="8"/>
  <c r="O39" i="8"/>
  <c r="W39" i="8"/>
  <c r="S39" i="8"/>
  <c r="Q39" i="8"/>
  <c r="U39" i="8"/>
  <c r="N39" i="8"/>
  <c r="X102" i="8"/>
  <c r="Z102" i="8"/>
  <c r="V102" i="8"/>
  <c r="N102" i="8"/>
  <c r="F102" i="8"/>
  <c r="U102" i="8"/>
  <c r="T102" i="8"/>
  <c r="P102" i="8"/>
  <c r="W102" i="8"/>
  <c r="S102" i="8"/>
  <c r="R102" i="8"/>
  <c r="O102" i="8"/>
  <c r="D102" i="8"/>
  <c r="G102" i="8" s="1"/>
  <c r="Q102" i="8"/>
  <c r="C102" i="8"/>
  <c r="X165" i="8"/>
  <c r="Z165" i="8"/>
  <c r="V165" i="8"/>
  <c r="U165" i="8"/>
  <c r="N165" i="8"/>
  <c r="C165" i="8"/>
  <c r="Q165" i="8"/>
  <c r="F165" i="8"/>
  <c r="P165" i="8"/>
  <c r="W165" i="8"/>
  <c r="S165" i="8"/>
  <c r="O165" i="8"/>
  <c r="R165" i="8"/>
  <c r="D165" i="8"/>
  <c r="G165" i="8" s="1"/>
  <c r="T165" i="8"/>
  <c r="AD104" i="8"/>
  <c r="AA104" i="8"/>
  <c r="AC104" i="8"/>
  <c r="AB104" i="8"/>
  <c r="AA33" i="2"/>
  <c r="AD33" i="2" s="1"/>
  <c r="AC33" i="2"/>
  <c r="AA89" i="2"/>
  <c r="AC89" i="2"/>
  <c r="AB35" i="2"/>
  <c r="AC35" i="2"/>
  <c r="AL37" i="2"/>
  <c r="AH37" i="2"/>
  <c r="AP37" i="2" s="1"/>
  <c r="AA92" i="2"/>
  <c r="AC92" i="2"/>
  <c r="AB184" i="2"/>
  <c r="AC184" i="2"/>
  <c r="AA185" i="2"/>
  <c r="AC185" i="2"/>
  <c r="AA208" i="2"/>
  <c r="AC208" i="2"/>
  <c r="AA180" i="2"/>
  <c r="AC180" i="2"/>
  <c r="AB204" i="2"/>
  <c r="AC204" i="2"/>
  <c r="AB47" i="2"/>
  <c r="AC47" i="2"/>
  <c r="AM1845" i="2"/>
  <c r="AD1669" i="2"/>
  <c r="AD2133" i="2"/>
  <c r="AE2133" i="2" s="1"/>
  <c r="AA29" i="2"/>
  <c r="AC29" i="2"/>
  <c r="X64" i="8"/>
  <c r="Z64" i="8"/>
  <c r="V64" i="8"/>
  <c r="R64" i="8"/>
  <c r="T64" i="8"/>
  <c r="Q64" i="8"/>
  <c r="P64" i="8"/>
  <c r="F64" i="8"/>
  <c r="W64" i="8"/>
  <c r="S64" i="8"/>
  <c r="O64" i="8"/>
  <c r="C64" i="8"/>
  <c r="D64" i="8"/>
  <c r="G64" i="8" s="1"/>
  <c r="N64" i="8"/>
  <c r="U64" i="8"/>
  <c r="X126" i="8"/>
  <c r="Z126" i="8"/>
  <c r="V126" i="8"/>
  <c r="P126" i="8"/>
  <c r="R126" i="8"/>
  <c r="O126" i="8"/>
  <c r="N126" i="8"/>
  <c r="F126" i="8"/>
  <c r="U126" i="8"/>
  <c r="Q126" i="8"/>
  <c r="T126" i="8"/>
  <c r="W126" i="8"/>
  <c r="C126" i="8"/>
  <c r="D126" i="8"/>
  <c r="G126" i="8" s="1"/>
  <c r="S126" i="8"/>
  <c r="X190" i="8"/>
  <c r="Z190" i="8"/>
  <c r="V190" i="8"/>
  <c r="U190" i="8"/>
  <c r="Q190" i="8"/>
  <c r="T190" i="8"/>
  <c r="P190" i="8"/>
  <c r="W190" i="8"/>
  <c r="S190" i="8"/>
  <c r="R190" i="8"/>
  <c r="O190" i="8"/>
  <c r="F190" i="8"/>
  <c r="N190" i="8"/>
  <c r="C190" i="8"/>
  <c r="D190" i="8"/>
  <c r="G190" i="8" s="1"/>
  <c r="X58" i="8"/>
  <c r="Z58" i="8"/>
  <c r="V58" i="8"/>
  <c r="R58" i="8"/>
  <c r="O58" i="8"/>
  <c r="Q58" i="8"/>
  <c r="T58" i="8"/>
  <c r="P58" i="8"/>
  <c r="W58" i="8"/>
  <c r="S58" i="8"/>
  <c r="U58" i="8"/>
  <c r="C58" i="8"/>
  <c r="F58" i="8"/>
  <c r="N58" i="8"/>
  <c r="D58" i="8"/>
  <c r="G58" i="8" s="1"/>
  <c r="X120" i="8"/>
  <c r="Z120" i="8"/>
  <c r="O120" i="8"/>
  <c r="R120" i="8"/>
  <c r="N120" i="8"/>
  <c r="U120" i="8"/>
  <c r="V120" i="8"/>
  <c r="T120" i="8"/>
  <c r="Q120" i="8"/>
  <c r="P120" i="8"/>
  <c r="F120" i="8"/>
  <c r="W120" i="8"/>
  <c r="S120" i="8"/>
  <c r="C120" i="8"/>
  <c r="D120" i="8"/>
  <c r="G120" i="8" s="1"/>
  <c r="X184" i="8"/>
  <c r="Z184" i="8"/>
  <c r="V184" i="8"/>
  <c r="T184" i="8"/>
  <c r="Q184" i="8"/>
  <c r="S184" i="8"/>
  <c r="O184" i="8"/>
  <c r="R184" i="8"/>
  <c r="N184" i="8"/>
  <c r="W184" i="8"/>
  <c r="C184" i="8"/>
  <c r="U184" i="8"/>
  <c r="P184" i="8"/>
  <c r="F184" i="8"/>
  <c r="D184" i="8"/>
  <c r="G184" i="8" s="1"/>
  <c r="X51" i="8"/>
  <c r="Z51" i="8"/>
  <c r="D51" i="8"/>
  <c r="G51" i="8" s="1"/>
  <c r="V51" i="8"/>
  <c r="C51" i="8"/>
  <c r="R51" i="8"/>
  <c r="O51" i="8"/>
  <c r="S51" i="8"/>
  <c r="Q51" i="8"/>
  <c r="U51" i="8"/>
  <c r="P51" i="8"/>
  <c r="T51" i="8"/>
  <c r="W51" i="8"/>
  <c r="F51" i="8"/>
  <c r="N51" i="8"/>
  <c r="X113" i="8"/>
  <c r="Z113" i="8"/>
  <c r="V113" i="8"/>
  <c r="P113" i="8"/>
  <c r="O113" i="8"/>
  <c r="R113" i="8"/>
  <c r="U113" i="8"/>
  <c r="N113" i="8"/>
  <c r="Q113" i="8"/>
  <c r="F113" i="8"/>
  <c r="T113" i="8"/>
  <c r="D113" i="8"/>
  <c r="G113" i="8" s="1"/>
  <c r="W113" i="8"/>
  <c r="S113" i="8"/>
  <c r="C113" i="8"/>
  <c r="X177" i="8"/>
  <c r="Z177" i="8"/>
  <c r="V177" i="8"/>
  <c r="T177" i="8"/>
  <c r="P177" i="8"/>
  <c r="S177" i="8"/>
  <c r="O177" i="8"/>
  <c r="C177" i="8"/>
  <c r="R177" i="8"/>
  <c r="D177" i="8"/>
  <c r="G177" i="8" s="1"/>
  <c r="U177" i="8"/>
  <c r="N177" i="8"/>
  <c r="Q177" i="8"/>
  <c r="F177" i="8"/>
  <c r="W177" i="8"/>
  <c r="X52" i="8"/>
  <c r="Z52" i="8"/>
  <c r="D52" i="8"/>
  <c r="G52" i="8" s="1"/>
  <c r="R52" i="8"/>
  <c r="C52" i="8"/>
  <c r="V52" i="8"/>
  <c r="Q52" i="8"/>
  <c r="P52" i="8"/>
  <c r="T52" i="8"/>
  <c r="O52" i="8"/>
  <c r="S52" i="8"/>
  <c r="N52" i="8"/>
  <c r="W52" i="8"/>
  <c r="U52" i="8"/>
  <c r="F52" i="8"/>
  <c r="X122" i="8"/>
  <c r="Z122" i="8"/>
  <c r="V122" i="8"/>
  <c r="S122" i="8"/>
  <c r="R122" i="8"/>
  <c r="O122" i="8"/>
  <c r="U122" i="8"/>
  <c r="Q122" i="8"/>
  <c r="T122" i="8"/>
  <c r="P122" i="8"/>
  <c r="W122" i="8"/>
  <c r="N122" i="8"/>
  <c r="D122" i="8"/>
  <c r="G122" i="8" s="1"/>
  <c r="F122" i="8"/>
  <c r="C122" i="8"/>
  <c r="X186" i="8"/>
  <c r="Z186" i="8"/>
  <c r="V186" i="8"/>
  <c r="N186" i="8"/>
  <c r="F186" i="8"/>
  <c r="U186" i="8"/>
  <c r="T186" i="8"/>
  <c r="P186" i="8"/>
  <c r="W186" i="8"/>
  <c r="S186" i="8"/>
  <c r="R186" i="8"/>
  <c r="O186" i="8"/>
  <c r="Q186" i="8"/>
  <c r="D186" i="8"/>
  <c r="G186" i="8" s="1"/>
  <c r="C186" i="8"/>
  <c r="X61" i="8"/>
  <c r="V61" i="8"/>
  <c r="O61" i="8"/>
  <c r="R61" i="8"/>
  <c r="U61" i="8"/>
  <c r="N61" i="8"/>
  <c r="Q61" i="8"/>
  <c r="F61" i="8"/>
  <c r="T61" i="8"/>
  <c r="P61" i="8"/>
  <c r="W61" i="8"/>
  <c r="S61" i="8"/>
  <c r="D61" i="8"/>
  <c r="G61" i="8" s="1"/>
  <c r="C61" i="8"/>
  <c r="X131" i="8"/>
  <c r="Z131" i="8"/>
  <c r="V131" i="8"/>
  <c r="Q131" i="8"/>
  <c r="S131" i="8"/>
  <c r="F131" i="8"/>
  <c r="O131" i="8"/>
  <c r="R131" i="8"/>
  <c r="N131" i="8"/>
  <c r="U131" i="8"/>
  <c r="P131" i="8"/>
  <c r="C131" i="8"/>
  <c r="W131" i="8"/>
  <c r="T131" i="8"/>
  <c r="D131" i="8"/>
  <c r="G131" i="8" s="1"/>
  <c r="X195" i="8"/>
  <c r="Z195" i="8"/>
  <c r="V195" i="8"/>
  <c r="R195" i="8"/>
  <c r="Q195" i="8"/>
  <c r="T195" i="8"/>
  <c r="W195" i="8"/>
  <c r="P195" i="8"/>
  <c r="S195" i="8"/>
  <c r="F195" i="8"/>
  <c r="O195" i="8"/>
  <c r="D195" i="8"/>
  <c r="G195" i="8" s="1"/>
  <c r="C195" i="8"/>
  <c r="N195" i="8"/>
  <c r="U195" i="8"/>
  <c r="X62" i="8"/>
  <c r="Z62" i="8"/>
  <c r="V62" i="8"/>
  <c r="R62" i="8"/>
  <c r="O62" i="8"/>
  <c r="D62" i="8"/>
  <c r="G62" i="8" s="1"/>
  <c r="N62" i="8"/>
  <c r="F62" i="8"/>
  <c r="Q62" i="8"/>
  <c r="T62" i="8"/>
  <c r="P62" i="8"/>
  <c r="W62" i="8"/>
  <c r="S62" i="8"/>
  <c r="C62" i="8"/>
  <c r="U62" i="8"/>
  <c r="X124" i="8"/>
  <c r="Z124" i="8"/>
  <c r="V124" i="8"/>
  <c r="N124" i="8"/>
  <c r="P124" i="8"/>
  <c r="F124" i="8"/>
  <c r="W124" i="8"/>
  <c r="S124" i="8"/>
  <c r="O124" i="8"/>
  <c r="R124" i="8"/>
  <c r="Q124" i="8"/>
  <c r="C124" i="8"/>
  <c r="T124" i="8"/>
  <c r="U124" i="8"/>
  <c r="D124" i="8"/>
  <c r="G124" i="8" s="1"/>
  <c r="X188" i="8"/>
  <c r="Z188" i="8"/>
  <c r="V188" i="8"/>
  <c r="U188" i="8"/>
  <c r="T188" i="8"/>
  <c r="Q188" i="8"/>
  <c r="P188" i="8"/>
  <c r="F188" i="8"/>
  <c r="W188" i="8"/>
  <c r="S188" i="8"/>
  <c r="O188" i="8"/>
  <c r="R188" i="8"/>
  <c r="N188" i="8"/>
  <c r="C188" i="8"/>
  <c r="D188" i="8"/>
  <c r="G188" i="8" s="1"/>
  <c r="X47" i="8"/>
  <c r="Z47" i="8"/>
  <c r="D47" i="8"/>
  <c r="G47" i="8" s="1"/>
  <c r="C47" i="8"/>
  <c r="V47" i="8"/>
  <c r="F47" i="8"/>
  <c r="Q47" i="8"/>
  <c r="U47" i="8"/>
  <c r="P47" i="8"/>
  <c r="R47" i="8"/>
  <c r="O47" i="8"/>
  <c r="S47" i="8"/>
  <c r="N47" i="8"/>
  <c r="W47" i="8"/>
  <c r="T47" i="8"/>
  <c r="X109" i="8"/>
  <c r="Z109" i="8"/>
  <c r="V109" i="8"/>
  <c r="W109" i="8"/>
  <c r="R109" i="8"/>
  <c r="U109" i="8"/>
  <c r="N109" i="8"/>
  <c r="Q109" i="8"/>
  <c r="F109" i="8"/>
  <c r="T109" i="8"/>
  <c r="P109" i="8"/>
  <c r="C109" i="8"/>
  <c r="S109" i="8"/>
  <c r="O109" i="8"/>
  <c r="D109" i="8"/>
  <c r="G109" i="8" s="1"/>
  <c r="X173" i="8"/>
  <c r="Z173" i="8"/>
  <c r="V173" i="8"/>
  <c r="W173" i="8"/>
  <c r="S173" i="8"/>
  <c r="R173" i="8"/>
  <c r="U173" i="8"/>
  <c r="N173" i="8"/>
  <c r="D173" i="8"/>
  <c r="G173" i="8" s="1"/>
  <c r="Q173" i="8"/>
  <c r="F173" i="8"/>
  <c r="C173" i="8"/>
  <c r="T173" i="8"/>
  <c r="P173" i="8"/>
  <c r="O173" i="8"/>
  <c r="AA101" i="2"/>
  <c r="AC101" i="2"/>
  <c r="AL27" i="2"/>
  <c r="AH27" i="2"/>
  <c r="AP27" i="2" s="1"/>
  <c r="H19" i="13"/>
  <c r="K15" i="13"/>
  <c r="AB87" i="2"/>
  <c r="AC87" i="2"/>
  <c r="AA142" i="2"/>
  <c r="AC142" i="2"/>
  <c r="AA121" i="2"/>
  <c r="AC121" i="2"/>
  <c r="AB114" i="2"/>
  <c r="AC114" i="2"/>
  <c r="AA200" i="2"/>
  <c r="AC200" i="2"/>
  <c r="AA194" i="2"/>
  <c r="AC194" i="2"/>
  <c r="AM1103" i="2"/>
  <c r="AD2198" i="2"/>
  <c r="AM2198" i="2" s="1"/>
  <c r="X71" i="8"/>
  <c r="Z71" i="8"/>
  <c r="V71" i="8"/>
  <c r="N71" i="8"/>
  <c r="U71" i="8"/>
  <c r="Q71" i="8"/>
  <c r="T71" i="8"/>
  <c r="W71" i="8"/>
  <c r="P71" i="8"/>
  <c r="S71" i="8"/>
  <c r="F71" i="8"/>
  <c r="O71" i="8"/>
  <c r="R71" i="8"/>
  <c r="D71" i="8"/>
  <c r="G71" i="8" s="1"/>
  <c r="C71" i="8"/>
  <c r="X134" i="8"/>
  <c r="Z134" i="8"/>
  <c r="V134" i="8"/>
  <c r="R134" i="8"/>
  <c r="O134" i="8"/>
  <c r="D134" i="8"/>
  <c r="G134" i="8" s="1"/>
  <c r="N134" i="8"/>
  <c r="F134" i="8"/>
  <c r="C134" i="8"/>
  <c r="Q134" i="8"/>
  <c r="T134" i="8"/>
  <c r="P134" i="8"/>
  <c r="W134" i="8"/>
  <c r="S134" i="8"/>
  <c r="U134" i="8"/>
  <c r="X198" i="8"/>
  <c r="V198" i="8"/>
  <c r="Q198" i="8"/>
  <c r="T198" i="8"/>
  <c r="P198" i="8"/>
  <c r="W198" i="8"/>
  <c r="S198" i="8"/>
  <c r="R198" i="8"/>
  <c r="O198" i="8"/>
  <c r="N198" i="8"/>
  <c r="F198" i="8"/>
  <c r="D198" i="8"/>
  <c r="G198" i="8" s="1"/>
  <c r="U198" i="8"/>
  <c r="C198" i="8"/>
  <c r="X66" i="8"/>
  <c r="Z66" i="8"/>
  <c r="N66" i="8"/>
  <c r="F66" i="8"/>
  <c r="U66" i="8"/>
  <c r="Q66" i="8"/>
  <c r="T66" i="8"/>
  <c r="P66" i="8"/>
  <c r="W66" i="8"/>
  <c r="V66" i="8"/>
  <c r="S66" i="8"/>
  <c r="R66" i="8"/>
  <c r="O66" i="8"/>
  <c r="C66" i="8"/>
  <c r="D66" i="8"/>
  <c r="G66" i="8" s="1"/>
  <c r="X128" i="8"/>
  <c r="Z128" i="8"/>
  <c r="V128" i="8"/>
  <c r="T128" i="8"/>
  <c r="Q128" i="8"/>
  <c r="P128" i="8"/>
  <c r="F128" i="8"/>
  <c r="W128" i="8"/>
  <c r="S128" i="8"/>
  <c r="O128" i="8"/>
  <c r="R128" i="8"/>
  <c r="N128" i="8"/>
  <c r="U128" i="8"/>
  <c r="C128" i="8"/>
  <c r="D128" i="8"/>
  <c r="G128" i="8" s="1"/>
  <c r="X192" i="8"/>
  <c r="Z192" i="8"/>
  <c r="V192" i="8"/>
  <c r="T192" i="8"/>
  <c r="Q192" i="8"/>
  <c r="P192" i="8"/>
  <c r="F192" i="8"/>
  <c r="S192" i="8"/>
  <c r="O192" i="8"/>
  <c r="R192" i="8"/>
  <c r="N192" i="8"/>
  <c r="D192" i="8"/>
  <c r="G192" i="8" s="1"/>
  <c r="U192" i="8"/>
  <c r="C192" i="8"/>
  <c r="W192" i="8"/>
  <c r="X59" i="8"/>
  <c r="Z59" i="8"/>
  <c r="V59" i="8"/>
  <c r="W59" i="8"/>
  <c r="P59" i="8"/>
  <c r="S59" i="8"/>
  <c r="F59" i="8"/>
  <c r="O59" i="8"/>
  <c r="R59" i="8"/>
  <c r="N59" i="8"/>
  <c r="U59" i="8"/>
  <c r="Q59" i="8"/>
  <c r="C59" i="8"/>
  <c r="D59" i="8"/>
  <c r="G59" i="8" s="1"/>
  <c r="T59" i="8"/>
  <c r="X121" i="8"/>
  <c r="Z121" i="8"/>
  <c r="Q121" i="8"/>
  <c r="F121" i="8"/>
  <c r="T121" i="8"/>
  <c r="P121" i="8"/>
  <c r="W121" i="8"/>
  <c r="S121" i="8"/>
  <c r="V121" i="8"/>
  <c r="O121" i="8"/>
  <c r="R121" i="8"/>
  <c r="U121" i="8"/>
  <c r="N121" i="8"/>
  <c r="D121" i="8"/>
  <c r="G121" i="8" s="1"/>
  <c r="C121" i="8"/>
  <c r="X185" i="8"/>
  <c r="Z185" i="8"/>
  <c r="V185" i="8"/>
  <c r="T185" i="8"/>
  <c r="S185" i="8"/>
  <c r="O185" i="8"/>
  <c r="R185" i="8"/>
  <c r="U185" i="8"/>
  <c r="N185" i="8"/>
  <c r="Q185" i="8"/>
  <c r="F185" i="8"/>
  <c r="W185" i="8"/>
  <c r="P185" i="8"/>
  <c r="D185" i="8"/>
  <c r="G185" i="8" s="1"/>
  <c r="C185" i="8"/>
  <c r="X60" i="8"/>
  <c r="Z60" i="8"/>
  <c r="V60" i="8"/>
  <c r="W60" i="8"/>
  <c r="R60" i="8"/>
  <c r="N60" i="8"/>
  <c r="U60" i="8"/>
  <c r="T60" i="8"/>
  <c r="Q60" i="8"/>
  <c r="P60" i="8"/>
  <c r="F60" i="8"/>
  <c r="D60" i="8"/>
  <c r="G60" i="8" s="1"/>
  <c r="C60" i="8"/>
  <c r="S60" i="8"/>
  <c r="O60" i="8"/>
  <c r="X130" i="8"/>
  <c r="V130" i="8"/>
  <c r="R130" i="8"/>
  <c r="O130" i="8"/>
  <c r="Q130" i="8"/>
  <c r="T130" i="8"/>
  <c r="P130" i="8"/>
  <c r="W130" i="8"/>
  <c r="S130" i="8"/>
  <c r="U130" i="8"/>
  <c r="F130" i="8"/>
  <c r="N130" i="8"/>
  <c r="C130" i="8"/>
  <c r="D130" i="8"/>
  <c r="G130" i="8" s="1"/>
  <c r="X194" i="8"/>
  <c r="Z194" i="8"/>
  <c r="V194" i="8"/>
  <c r="R194" i="8"/>
  <c r="O194" i="8"/>
  <c r="Q194" i="8"/>
  <c r="T194" i="8"/>
  <c r="P194" i="8"/>
  <c r="W194" i="8"/>
  <c r="S194" i="8"/>
  <c r="N194" i="8"/>
  <c r="U194" i="8"/>
  <c r="F194" i="8"/>
  <c r="C194" i="8"/>
  <c r="D194" i="8"/>
  <c r="G194" i="8" s="1"/>
  <c r="Z68" i="8"/>
  <c r="X68" i="8"/>
  <c r="V68" i="8"/>
  <c r="T68" i="8"/>
  <c r="Q68" i="8"/>
  <c r="S68" i="8"/>
  <c r="O68" i="8"/>
  <c r="R68" i="8"/>
  <c r="N68" i="8"/>
  <c r="U68" i="8"/>
  <c r="P68" i="8"/>
  <c r="W68" i="8"/>
  <c r="C68" i="8"/>
  <c r="D68" i="8"/>
  <c r="G68" i="8" s="1"/>
  <c r="F68" i="8"/>
  <c r="X139" i="8"/>
  <c r="Z139" i="8"/>
  <c r="V139" i="8"/>
  <c r="O139" i="8"/>
  <c r="R139" i="8"/>
  <c r="U139" i="8"/>
  <c r="Q139" i="8"/>
  <c r="T139" i="8"/>
  <c r="D139" i="8"/>
  <c r="G139" i="8" s="1"/>
  <c r="W139" i="8"/>
  <c r="P139" i="8"/>
  <c r="C139" i="8"/>
  <c r="S139" i="8"/>
  <c r="F139" i="8"/>
  <c r="N139" i="8"/>
  <c r="B4" i="8"/>
  <c r="X69" i="8"/>
  <c r="Z69" i="8"/>
  <c r="V69" i="8"/>
  <c r="S69" i="8"/>
  <c r="U69" i="8"/>
  <c r="Q69" i="8"/>
  <c r="F69" i="8"/>
  <c r="T69" i="8"/>
  <c r="P69" i="8"/>
  <c r="O69" i="8"/>
  <c r="R69" i="8"/>
  <c r="C69" i="8"/>
  <c r="D69" i="8"/>
  <c r="G69" i="8" s="1"/>
  <c r="W69" i="8"/>
  <c r="N69" i="8"/>
  <c r="X132" i="8"/>
  <c r="Z132" i="8"/>
  <c r="V132" i="8"/>
  <c r="P132" i="8"/>
  <c r="F132" i="8"/>
  <c r="O132" i="8"/>
  <c r="R132" i="8"/>
  <c r="N132" i="8"/>
  <c r="U132" i="8"/>
  <c r="T132" i="8"/>
  <c r="Q132" i="8"/>
  <c r="W132" i="8"/>
  <c r="S132" i="8"/>
  <c r="C132" i="8"/>
  <c r="D132" i="8"/>
  <c r="G132" i="8" s="1"/>
  <c r="X196" i="8"/>
  <c r="Z196" i="8"/>
  <c r="V196" i="8"/>
  <c r="P196" i="8"/>
  <c r="F196" i="8"/>
  <c r="O196" i="8"/>
  <c r="R196" i="8"/>
  <c r="N196" i="8"/>
  <c r="U196" i="8"/>
  <c r="T196" i="8"/>
  <c r="Q196" i="8"/>
  <c r="S196" i="8"/>
  <c r="C196" i="8"/>
  <c r="W196" i="8"/>
  <c r="D196" i="8"/>
  <c r="G196" i="8" s="1"/>
  <c r="X55" i="8"/>
  <c r="Z55" i="8"/>
  <c r="D55" i="8"/>
  <c r="G55" i="8" s="1"/>
  <c r="V55" i="8"/>
  <c r="C55" i="8"/>
  <c r="R55" i="8"/>
  <c r="T55" i="8"/>
  <c r="W55" i="8"/>
  <c r="F55" i="8"/>
  <c r="S55" i="8"/>
  <c r="N55" i="8"/>
  <c r="Q55" i="8"/>
  <c r="U55" i="8"/>
  <c r="P55" i="8"/>
  <c r="O55" i="8"/>
  <c r="X117" i="8"/>
  <c r="V117" i="8"/>
  <c r="Q117" i="8"/>
  <c r="F117" i="8"/>
  <c r="C117" i="8"/>
  <c r="T117" i="8"/>
  <c r="D117" i="8"/>
  <c r="G117" i="8" s="1"/>
  <c r="W117" i="8"/>
  <c r="S117" i="8"/>
  <c r="O117" i="8"/>
  <c r="R117" i="8"/>
  <c r="U117" i="8"/>
  <c r="N117" i="8"/>
  <c r="P117" i="8"/>
  <c r="X181" i="8"/>
  <c r="V181" i="8"/>
  <c r="P181" i="8"/>
  <c r="O181" i="8"/>
  <c r="R181" i="8"/>
  <c r="U181" i="8"/>
  <c r="N181" i="8"/>
  <c r="Q181" i="8"/>
  <c r="F181" i="8"/>
  <c r="T181" i="8"/>
  <c r="W181" i="8"/>
  <c r="S181" i="8"/>
  <c r="C181" i="8"/>
  <c r="D181" i="8"/>
  <c r="G181" i="8" s="1"/>
  <c r="AH45" i="2"/>
  <c r="AP45" i="2" s="1"/>
  <c r="AL45" i="2"/>
  <c r="AD41" i="8"/>
  <c r="AA41" i="8"/>
  <c r="AB41" i="8"/>
  <c r="AC41" i="8"/>
  <c r="AH25" i="2"/>
  <c r="AP25" i="2" s="1"/>
  <c r="AL25" i="2"/>
  <c r="AB23" i="2"/>
  <c r="AC23" i="2"/>
  <c r="AA78" i="2"/>
  <c r="AF78" i="2" s="1"/>
  <c r="AC78" i="2"/>
  <c r="AA24" i="2"/>
  <c r="AC24" i="2"/>
  <c r="AA68" i="2"/>
  <c r="AC68" i="2"/>
  <c r="AB42" i="2"/>
  <c r="AC42" i="2"/>
  <c r="AB159" i="2"/>
  <c r="AC159" i="2"/>
  <c r="AB167" i="2"/>
  <c r="AC167" i="2"/>
  <c r="AB143" i="2"/>
  <c r="AC143" i="2"/>
  <c r="AD1650" i="2"/>
  <c r="AD2039" i="2"/>
  <c r="AM2039" i="2" s="1"/>
  <c r="AM1530" i="2"/>
  <c r="AM1135" i="2"/>
  <c r="AD2326" i="2"/>
  <c r="AM2329" i="2"/>
  <c r="AD2059" i="2"/>
  <c r="AM2059" i="2" s="1"/>
  <c r="AD127" i="8"/>
  <c r="AC127" i="8"/>
  <c r="AB127" i="8"/>
  <c r="AA127" i="8"/>
  <c r="X79" i="8"/>
  <c r="Z79" i="8"/>
  <c r="V79" i="8"/>
  <c r="Q79" i="8"/>
  <c r="T79" i="8"/>
  <c r="C79" i="8"/>
  <c r="S79" i="8"/>
  <c r="F79" i="8"/>
  <c r="O79" i="8"/>
  <c r="R79" i="8"/>
  <c r="N79" i="8"/>
  <c r="U79" i="8"/>
  <c r="D79" i="8"/>
  <c r="G79" i="8" s="1"/>
  <c r="W79" i="8"/>
  <c r="P79" i="8"/>
  <c r="Z142" i="8"/>
  <c r="V142" i="8"/>
  <c r="P142" i="8"/>
  <c r="W142" i="8"/>
  <c r="R142" i="8"/>
  <c r="O142" i="8"/>
  <c r="N142" i="8"/>
  <c r="F142" i="8"/>
  <c r="U142" i="8"/>
  <c r="Q142" i="8"/>
  <c r="T142" i="8"/>
  <c r="S142" i="8"/>
  <c r="D142" i="8"/>
  <c r="G142" i="8" s="1"/>
  <c r="C142" i="8"/>
  <c r="X73" i="8"/>
  <c r="Z73" i="8"/>
  <c r="V73" i="8"/>
  <c r="P73" i="8"/>
  <c r="O73" i="8"/>
  <c r="R73" i="8"/>
  <c r="U73" i="8"/>
  <c r="N73" i="8"/>
  <c r="Q73" i="8"/>
  <c r="F73" i="8"/>
  <c r="T73" i="8"/>
  <c r="S73" i="8"/>
  <c r="D73" i="8"/>
  <c r="G73" i="8" s="1"/>
  <c r="C73" i="8"/>
  <c r="W73" i="8"/>
  <c r="X136" i="8"/>
  <c r="S136" i="8"/>
  <c r="O136" i="8"/>
  <c r="R136" i="8"/>
  <c r="N136" i="8"/>
  <c r="V136" i="8"/>
  <c r="U136" i="8"/>
  <c r="T136" i="8"/>
  <c r="Q136" i="8"/>
  <c r="P136" i="8"/>
  <c r="F136" i="8"/>
  <c r="W136" i="8"/>
  <c r="D136" i="8"/>
  <c r="G136" i="8" s="1"/>
  <c r="C136" i="8"/>
  <c r="X67" i="8"/>
  <c r="Z67" i="8"/>
  <c r="V67" i="8"/>
  <c r="W67" i="8"/>
  <c r="P67" i="8"/>
  <c r="R67" i="8"/>
  <c r="N67" i="8"/>
  <c r="U67" i="8"/>
  <c r="Q67" i="8"/>
  <c r="T67" i="8"/>
  <c r="S67" i="8"/>
  <c r="C67" i="8"/>
  <c r="O67" i="8"/>
  <c r="F67" i="8"/>
  <c r="D67" i="8"/>
  <c r="G67" i="8" s="1"/>
  <c r="X129" i="8"/>
  <c r="Z129" i="8"/>
  <c r="V129" i="8"/>
  <c r="Q129" i="8"/>
  <c r="F129" i="8"/>
  <c r="W129" i="8"/>
  <c r="S129" i="8"/>
  <c r="O129" i="8"/>
  <c r="R129" i="8"/>
  <c r="U129" i="8"/>
  <c r="N129" i="8"/>
  <c r="P129" i="8"/>
  <c r="D129" i="8"/>
  <c r="G129" i="8" s="1"/>
  <c r="T129" i="8"/>
  <c r="C129" i="8"/>
  <c r="X193" i="8"/>
  <c r="Z193" i="8"/>
  <c r="T193" i="8"/>
  <c r="V193" i="8"/>
  <c r="P193" i="8"/>
  <c r="W193" i="8"/>
  <c r="S193" i="8"/>
  <c r="O193" i="8"/>
  <c r="R193" i="8"/>
  <c r="U193" i="8"/>
  <c r="N193" i="8"/>
  <c r="Q193" i="8"/>
  <c r="F193" i="8"/>
  <c r="D193" i="8"/>
  <c r="G193" i="8" s="1"/>
  <c r="C193" i="8"/>
  <c r="X75" i="8"/>
  <c r="Z75" i="8"/>
  <c r="V75" i="8"/>
  <c r="Q75" i="8"/>
  <c r="T75" i="8"/>
  <c r="S75" i="8"/>
  <c r="F75" i="8"/>
  <c r="O75" i="8"/>
  <c r="R75" i="8"/>
  <c r="N75" i="8"/>
  <c r="U75" i="8"/>
  <c r="D75" i="8"/>
  <c r="G75" i="8" s="1"/>
  <c r="W75" i="8"/>
  <c r="C75" i="8"/>
  <c r="P75" i="8"/>
  <c r="X138" i="8"/>
  <c r="Z138" i="8"/>
  <c r="V138" i="8"/>
  <c r="W138" i="8"/>
  <c r="S138" i="8"/>
  <c r="N138" i="8"/>
  <c r="F138" i="8"/>
  <c r="C138" i="8"/>
  <c r="U138" i="8"/>
  <c r="Q138" i="8"/>
  <c r="T138" i="8"/>
  <c r="P138" i="8"/>
  <c r="R138" i="8"/>
  <c r="O138" i="8"/>
  <c r="D138" i="8"/>
  <c r="G138" i="8" s="1"/>
  <c r="X76" i="8"/>
  <c r="Z76" i="8"/>
  <c r="V76" i="8"/>
  <c r="R76" i="8"/>
  <c r="T76" i="8"/>
  <c r="Q76" i="8"/>
  <c r="P76" i="8"/>
  <c r="F76" i="8"/>
  <c r="W76" i="8"/>
  <c r="S76" i="8"/>
  <c r="O76" i="8"/>
  <c r="N76" i="8"/>
  <c r="D76" i="8"/>
  <c r="G76" i="8" s="1"/>
  <c r="U76" i="8"/>
  <c r="C76" i="8"/>
  <c r="X147" i="8"/>
  <c r="Z147" i="8"/>
  <c r="V147" i="8"/>
  <c r="Q147" i="8"/>
  <c r="T147" i="8"/>
  <c r="W147" i="8"/>
  <c r="P147" i="8"/>
  <c r="S147" i="8"/>
  <c r="F147" i="8"/>
  <c r="O147" i="8"/>
  <c r="R147" i="8"/>
  <c r="N147" i="8"/>
  <c r="U147" i="8"/>
  <c r="D147" i="8"/>
  <c r="G147" i="8" s="1"/>
  <c r="C147" i="8"/>
  <c r="X77" i="8"/>
  <c r="Z77" i="8"/>
  <c r="V77" i="8"/>
  <c r="R77" i="8"/>
  <c r="U77" i="8"/>
  <c r="N77" i="8"/>
  <c r="Q77" i="8"/>
  <c r="F77" i="8"/>
  <c r="T77" i="8"/>
  <c r="P77" i="8"/>
  <c r="W77" i="8"/>
  <c r="S77" i="8"/>
  <c r="O77" i="8"/>
  <c r="D77" i="8"/>
  <c r="G77" i="8" s="1"/>
  <c r="C77" i="8"/>
  <c r="X140" i="8"/>
  <c r="Z140" i="8"/>
  <c r="V140" i="8"/>
  <c r="W140" i="8"/>
  <c r="S140" i="8"/>
  <c r="R140" i="8"/>
  <c r="N140" i="8"/>
  <c r="U140" i="8"/>
  <c r="D140" i="8"/>
  <c r="G140" i="8" s="1"/>
  <c r="T140" i="8"/>
  <c r="Q140" i="8"/>
  <c r="C140" i="8"/>
  <c r="P140" i="8"/>
  <c r="F140" i="8"/>
  <c r="O140" i="8"/>
  <c r="X63" i="8"/>
  <c r="Z63" i="8"/>
  <c r="V63" i="8"/>
  <c r="S63" i="8"/>
  <c r="F63" i="8"/>
  <c r="N63" i="8"/>
  <c r="U63" i="8"/>
  <c r="Q63" i="8"/>
  <c r="T63" i="8"/>
  <c r="W63" i="8"/>
  <c r="P63" i="8"/>
  <c r="D63" i="8"/>
  <c r="G63" i="8" s="1"/>
  <c r="O63" i="8"/>
  <c r="R63" i="8"/>
  <c r="C63" i="8"/>
  <c r="X125" i="8"/>
  <c r="Z125" i="8"/>
  <c r="V125" i="8"/>
  <c r="R125" i="8"/>
  <c r="T125" i="8"/>
  <c r="P125" i="8"/>
  <c r="W125" i="8"/>
  <c r="S125" i="8"/>
  <c r="O125" i="8"/>
  <c r="C125" i="8"/>
  <c r="U125" i="8"/>
  <c r="Q125" i="8"/>
  <c r="N125" i="8"/>
  <c r="F125" i="8"/>
  <c r="D125" i="8"/>
  <c r="G125" i="8" s="1"/>
  <c r="X189" i="8"/>
  <c r="Z189" i="8"/>
  <c r="V189" i="8"/>
  <c r="T189" i="8"/>
  <c r="P189" i="8"/>
  <c r="S189" i="8"/>
  <c r="O189" i="8"/>
  <c r="R189" i="8"/>
  <c r="U189" i="8"/>
  <c r="N189" i="8"/>
  <c r="D189" i="8"/>
  <c r="G189" i="8" s="1"/>
  <c r="Q189" i="8"/>
  <c r="F189" i="8"/>
  <c r="C189" i="8"/>
  <c r="W189" i="8"/>
  <c r="AD175" i="8"/>
  <c r="AB175" i="8"/>
  <c r="AA175" i="8"/>
  <c r="AC175" i="8"/>
  <c r="AH67" i="2"/>
  <c r="AP67" i="2" s="1"/>
  <c r="AL67" i="2"/>
  <c r="AA34" i="2"/>
  <c r="AC34" i="2"/>
  <c r="AA99" i="2"/>
  <c r="AC99" i="2"/>
  <c r="AB98" i="2"/>
  <c r="AC98" i="2"/>
  <c r="AB44" i="2"/>
  <c r="AC44" i="2"/>
  <c r="AB46" i="2"/>
  <c r="AC46" i="2"/>
  <c r="AA86" i="2"/>
  <c r="AC86" i="2"/>
  <c r="AB21" i="2"/>
  <c r="AC21" i="2"/>
  <c r="AB36" i="2"/>
  <c r="AC36" i="2"/>
  <c r="AB109" i="2"/>
  <c r="AC109" i="2"/>
  <c r="AB156" i="2"/>
  <c r="AC156" i="2"/>
  <c r="AB210" i="2"/>
  <c r="AC210" i="2"/>
  <c r="AD381" i="2"/>
  <c r="AD1153" i="2"/>
  <c r="AD1365" i="2"/>
  <c r="AE1365" i="2" s="1"/>
  <c r="AM1930" i="2"/>
  <c r="AM1183" i="2"/>
  <c r="AD568" i="2"/>
  <c r="AD1613" i="2"/>
  <c r="K56" i="13"/>
  <c r="X87" i="8"/>
  <c r="Z87" i="8"/>
  <c r="V87" i="8"/>
  <c r="Q87" i="8"/>
  <c r="T87" i="8"/>
  <c r="W87" i="8"/>
  <c r="P87" i="8"/>
  <c r="S87" i="8"/>
  <c r="F87" i="8"/>
  <c r="O87" i="8"/>
  <c r="R87" i="8"/>
  <c r="N87" i="8"/>
  <c r="U87" i="8"/>
  <c r="C87" i="8"/>
  <c r="D87" i="8"/>
  <c r="G87" i="8" s="1"/>
  <c r="X150" i="8"/>
  <c r="Z150" i="8"/>
  <c r="V150" i="8"/>
  <c r="T150" i="8"/>
  <c r="S150" i="8"/>
  <c r="R150" i="8"/>
  <c r="O150" i="8"/>
  <c r="N150" i="8"/>
  <c r="F150" i="8"/>
  <c r="U150" i="8"/>
  <c r="Q150" i="8"/>
  <c r="P150" i="8"/>
  <c r="W150" i="8"/>
  <c r="D150" i="8"/>
  <c r="G150" i="8" s="1"/>
  <c r="C150" i="8"/>
  <c r="X81" i="8"/>
  <c r="Z81" i="8"/>
  <c r="O81" i="8"/>
  <c r="R81" i="8"/>
  <c r="U81" i="8"/>
  <c r="N81" i="8"/>
  <c r="Q81" i="8"/>
  <c r="F81" i="8"/>
  <c r="V81" i="8"/>
  <c r="T81" i="8"/>
  <c r="P81" i="8"/>
  <c r="W81" i="8"/>
  <c r="S81" i="8"/>
  <c r="D81" i="8"/>
  <c r="G81" i="8" s="1"/>
  <c r="C81" i="8"/>
  <c r="X144" i="8"/>
  <c r="Z144" i="8"/>
  <c r="V144" i="8"/>
  <c r="S144" i="8"/>
  <c r="O144" i="8"/>
  <c r="R144" i="8"/>
  <c r="N144" i="8"/>
  <c r="U144" i="8"/>
  <c r="T144" i="8"/>
  <c r="Q144" i="8"/>
  <c r="P144" i="8"/>
  <c r="F144" i="8"/>
  <c r="W144" i="8"/>
  <c r="C144" i="8"/>
  <c r="D144" i="8"/>
  <c r="G144" i="8" s="1"/>
  <c r="X74" i="8"/>
  <c r="Z74" i="8"/>
  <c r="V74" i="8"/>
  <c r="Q74" i="8"/>
  <c r="T74" i="8"/>
  <c r="W74" i="8"/>
  <c r="S74" i="8"/>
  <c r="R74" i="8"/>
  <c r="O74" i="8"/>
  <c r="N74" i="8"/>
  <c r="F74" i="8"/>
  <c r="U74" i="8"/>
  <c r="C74" i="8"/>
  <c r="D74" i="8"/>
  <c r="G74" i="8" s="1"/>
  <c r="P74" i="8"/>
  <c r="X137" i="8"/>
  <c r="Z137" i="8"/>
  <c r="V137" i="8"/>
  <c r="R137" i="8"/>
  <c r="U137" i="8"/>
  <c r="N137" i="8"/>
  <c r="T137" i="8"/>
  <c r="C137" i="8"/>
  <c r="P137" i="8"/>
  <c r="W137" i="8"/>
  <c r="S137" i="8"/>
  <c r="O137" i="8"/>
  <c r="Q137" i="8"/>
  <c r="D137" i="8"/>
  <c r="G137" i="8" s="1"/>
  <c r="F137" i="8"/>
  <c r="X83" i="8"/>
  <c r="Z83" i="8"/>
  <c r="V83" i="8"/>
  <c r="Q83" i="8"/>
  <c r="T83" i="8"/>
  <c r="D83" i="8"/>
  <c r="G83" i="8" s="1"/>
  <c r="S83" i="8"/>
  <c r="F83" i="8"/>
  <c r="O83" i="8"/>
  <c r="R83" i="8"/>
  <c r="N83" i="8"/>
  <c r="U83" i="8"/>
  <c r="W83" i="8"/>
  <c r="P83" i="8"/>
  <c r="C83" i="8"/>
  <c r="X146" i="8"/>
  <c r="Z146" i="8"/>
  <c r="V146" i="8"/>
  <c r="U146" i="8"/>
  <c r="Q146" i="8"/>
  <c r="T146" i="8"/>
  <c r="P146" i="8"/>
  <c r="W146" i="8"/>
  <c r="S146" i="8"/>
  <c r="R146" i="8"/>
  <c r="O146" i="8"/>
  <c r="N146" i="8"/>
  <c r="F146" i="8"/>
  <c r="C146" i="8"/>
  <c r="D146" i="8"/>
  <c r="G146" i="8" s="1"/>
  <c r="X84" i="8"/>
  <c r="Z84" i="8"/>
  <c r="V84" i="8"/>
  <c r="N84" i="8"/>
  <c r="P84" i="8"/>
  <c r="F84" i="8"/>
  <c r="W84" i="8"/>
  <c r="S84" i="8"/>
  <c r="O84" i="8"/>
  <c r="R84" i="8"/>
  <c r="T84" i="8"/>
  <c r="U84" i="8"/>
  <c r="Q84" i="8"/>
  <c r="D84" i="8"/>
  <c r="G84" i="8" s="1"/>
  <c r="C84" i="8"/>
  <c r="X155" i="8"/>
  <c r="Z155" i="8"/>
  <c r="V155" i="8"/>
  <c r="T155" i="8"/>
  <c r="O155" i="8"/>
  <c r="R155" i="8"/>
  <c r="N155" i="8"/>
  <c r="U155" i="8"/>
  <c r="Q155" i="8"/>
  <c r="W155" i="8"/>
  <c r="D155" i="8"/>
  <c r="G155" i="8" s="1"/>
  <c r="P155" i="8"/>
  <c r="F155" i="8"/>
  <c r="C155" i="8"/>
  <c r="S155" i="8"/>
  <c r="X85" i="8"/>
  <c r="Z85" i="8"/>
  <c r="O85" i="8"/>
  <c r="R85" i="8"/>
  <c r="U85" i="8"/>
  <c r="N85" i="8"/>
  <c r="Q85" i="8"/>
  <c r="F85" i="8"/>
  <c r="T85" i="8"/>
  <c r="V85" i="8"/>
  <c r="P85" i="8"/>
  <c r="W85" i="8"/>
  <c r="S85" i="8"/>
  <c r="C85" i="8"/>
  <c r="D85" i="8"/>
  <c r="G85" i="8" s="1"/>
  <c r="X148" i="8"/>
  <c r="Z148" i="8"/>
  <c r="V148" i="8"/>
  <c r="U148" i="8"/>
  <c r="T148" i="8"/>
  <c r="Q148" i="8"/>
  <c r="P148" i="8"/>
  <c r="F148" i="8"/>
  <c r="W148" i="8"/>
  <c r="S148" i="8"/>
  <c r="O148" i="8"/>
  <c r="R148" i="8"/>
  <c r="N148" i="8"/>
  <c r="D148" i="8"/>
  <c r="G148" i="8" s="1"/>
  <c r="C148" i="8"/>
  <c r="X70" i="8"/>
  <c r="Z70" i="8"/>
  <c r="V70" i="8"/>
  <c r="P70" i="8"/>
  <c r="W70" i="8"/>
  <c r="S70" i="8"/>
  <c r="R70" i="8"/>
  <c r="O70" i="8"/>
  <c r="N70" i="8"/>
  <c r="F70" i="8"/>
  <c r="U70" i="8"/>
  <c r="Q70" i="8"/>
  <c r="T70" i="8"/>
  <c r="C70" i="8"/>
  <c r="D70" i="8"/>
  <c r="G70" i="8" s="1"/>
  <c r="X133" i="8"/>
  <c r="Z133" i="8"/>
  <c r="V133" i="8"/>
  <c r="W133" i="8"/>
  <c r="R133" i="8"/>
  <c r="U133" i="8"/>
  <c r="N133" i="8"/>
  <c r="Q133" i="8"/>
  <c r="F133" i="8"/>
  <c r="T133" i="8"/>
  <c r="P133" i="8"/>
  <c r="S133" i="8"/>
  <c r="O133" i="8"/>
  <c r="D133" i="8"/>
  <c r="G133" i="8" s="1"/>
  <c r="C133" i="8"/>
  <c r="X197" i="8"/>
  <c r="Z197" i="8"/>
  <c r="V197" i="8"/>
  <c r="T197" i="8"/>
  <c r="S197" i="8"/>
  <c r="O197" i="8"/>
  <c r="R197" i="8"/>
  <c r="U197" i="8"/>
  <c r="N197" i="8"/>
  <c r="Q197" i="8"/>
  <c r="F197" i="8"/>
  <c r="P197" i="8"/>
  <c r="D197" i="8"/>
  <c r="G197" i="8" s="1"/>
  <c r="W197" i="8"/>
  <c r="C197" i="8"/>
  <c r="AD159" i="8"/>
  <c r="AB159" i="8"/>
  <c r="AA159" i="8"/>
  <c r="AC159" i="8"/>
  <c r="AD151" i="8"/>
  <c r="AB151" i="8"/>
  <c r="AA151" i="8"/>
  <c r="AC151" i="8"/>
  <c r="AD143" i="8"/>
  <c r="AB143" i="8"/>
  <c r="AA143" i="8"/>
  <c r="AC143" i="8"/>
  <c r="AA13" i="2"/>
  <c r="AC13" i="2"/>
  <c r="AB6" i="2"/>
  <c r="AC6" i="2"/>
  <c r="E19" i="13"/>
  <c r="AA135" i="2"/>
  <c r="AF135" i="2" s="1"/>
  <c r="AC135" i="2"/>
  <c r="AB145" i="2"/>
  <c r="AC145" i="2"/>
  <c r="AB179" i="2"/>
  <c r="AC179" i="2"/>
  <c r="AA195" i="2"/>
  <c r="AC195" i="2"/>
  <c r="AA181" i="2"/>
  <c r="AC181" i="2"/>
  <c r="AC2421" i="2"/>
  <c r="AL2421" i="2" s="1"/>
  <c r="AD65" i="8"/>
  <c r="AB65" i="8"/>
  <c r="AC65" i="8"/>
  <c r="AA65" i="8"/>
  <c r="X95" i="8"/>
  <c r="Z95" i="8"/>
  <c r="V95" i="8"/>
  <c r="O95" i="8"/>
  <c r="R95" i="8"/>
  <c r="N95" i="8"/>
  <c r="U95" i="8"/>
  <c r="Q95" i="8"/>
  <c r="T95" i="8"/>
  <c r="W95" i="8"/>
  <c r="P95" i="8"/>
  <c r="S95" i="8"/>
  <c r="F95" i="8"/>
  <c r="D95" i="8"/>
  <c r="G95" i="8" s="1"/>
  <c r="C95" i="8"/>
  <c r="X158" i="8"/>
  <c r="Z158" i="8"/>
  <c r="V158" i="8"/>
  <c r="P158" i="8"/>
  <c r="W158" i="8"/>
  <c r="R158" i="8"/>
  <c r="O158" i="8"/>
  <c r="N158" i="8"/>
  <c r="F158" i="8"/>
  <c r="C158" i="8"/>
  <c r="U158" i="8"/>
  <c r="D158" i="8"/>
  <c r="G158" i="8" s="1"/>
  <c r="Q158" i="8"/>
  <c r="T158" i="8"/>
  <c r="S158" i="8"/>
  <c r="X89" i="8"/>
  <c r="Z89" i="8"/>
  <c r="V89" i="8"/>
  <c r="U89" i="8"/>
  <c r="N89" i="8"/>
  <c r="P89" i="8"/>
  <c r="W89" i="8"/>
  <c r="S89" i="8"/>
  <c r="O89" i="8"/>
  <c r="R89" i="8"/>
  <c r="C89" i="8"/>
  <c r="Q89" i="8"/>
  <c r="T89" i="8"/>
  <c r="F89" i="8"/>
  <c r="D89" i="8"/>
  <c r="G89" i="8" s="1"/>
  <c r="X152" i="8"/>
  <c r="Z152" i="8"/>
  <c r="V152" i="8"/>
  <c r="U152" i="8"/>
  <c r="W152" i="8"/>
  <c r="S152" i="8"/>
  <c r="O152" i="8"/>
  <c r="R152" i="8"/>
  <c r="N152" i="8"/>
  <c r="P152" i="8"/>
  <c r="Q152" i="8"/>
  <c r="T152" i="8"/>
  <c r="F152" i="8"/>
  <c r="D152" i="8"/>
  <c r="G152" i="8" s="1"/>
  <c r="C152" i="8"/>
  <c r="X82" i="8"/>
  <c r="Z82" i="8"/>
  <c r="V82" i="8"/>
  <c r="R82" i="8"/>
  <c r="O82" i="8"/>
  <c r="Q82" i="8"/>
  <c r="T82" i="8"/>
  <c r="P82" i="8"/>
  <c r="W82" i="8"/>
  <c r="S82" i="8"/>
  <c r="N82" i="8"/>
  <c r="U82" i="8"/>
  <c r="F82" i="8"/>
  <c r="D82" i="8"/>
  <c r="G82" i="8" s="1"/>
  <c r="C82" i="8"/>
  <c r="X145" i="8"/>
  <c r="Z145" i="8"/>
  <c r="V145" i="8"/>
  <c r="R145" i="8"/>
  <c r="T145" i="8"/>
  <c r="P145" i="8"/>
  <c r="W145" i="8"/>
  <c r="S145" i="8"/>
  <c r="O145" i="8"/>
  <c r="Q145" i="8"/>
  <c r="N145" i="8"/>
  <c r="D145" i="8"/>
  <c r="G145" i="8" s="1"/>
  <c r="U145" i="8"/>
  <c r="F145" i="8"/>
  <c r="C145" i="8"/>
  <c r="X91" i="8"/>
  <c r="Z91" i="8"/>
  <c r="V91" i="8"/>
  <c r="U91" i="8"/>
  <c r="W91" i="8"/>
  <c r="P91" i="8"/>
  <c r="S91" i="8"/>
  <c r="F91" i="8"/>
  <c r="O91" i="8"/>
  <c r="R91" i="8"/>
  <c r="N91" i="8"/>
  <c r="Q91" i="8"/>
  <c r="D91" i="8"/>
  <c r="G91" i="8" s="1"/>
  <c r="C91" i="8"/>
  <c r="T91" i="8"/>
  <c r="X154" i="8"/>
  <c r="Z154" i="8"/>
  <c r="V154" i="8"/>
  <c r="Q154" i="8"/>
  <c r="W154" i="8"/>
  <c r="S154" i="8"/>
  <c r="R154" i="8"/>
  <c r="O154" i="8"/>
  <c r="N154" i="8"/>
  <c r="F154" i="8"/>
  <c r="U154" i="8"/>
  <c r="T154" i="8"/>
  <c r="P154" i="8"/>
  <c r="C154" i="8"/>
  <c r="D154" i="8"/>
  <c r="G154" i="8" s="1"/>
  <c r="X92" i="8"/>
  <c r="V92" i="8"/>
  <c r="O92" i="8"/>
  <c r="R92" i="8"/>
  <c r="U92" i="8"/>
  <c r="T92" i="8"/>
  <c r="Q92" i="8"/>
  <c r="P92" i="8"/>
  <c r="F92" i="8"/>
  <c r="W92" i="8"/>
  <c r="C92" i="8"/>
  <c r="S92" i="8"/>
  <c r="D92" i="8"/>
  <c r="G92" i="8" s="1"/>
  <c r="N92" i="8"/>
  <c r="X163" i="8"/>
  <c r="Z163" i="8"/>
  <c r="V163" i="8"/>
  <c r="N163" i="8"/>
  <c r="T163" i="8"/>
  <c r="W163" i="8"/>
  <c r="P163" i="8"/>
  <c r="S163" i="8"/>
  <c r="F163" i="8"/>
  <c r="O163" i="8"/>
  <c r="R163" i="8"/>
  <c r="U163" i="8"/>
  <c r="Q163" i="8"/>
  <c r="D163" i="8"/>
  <c r="G163" i="8" s="1"/>
  <c r="C163" i="8"/>
  <c r="X93" i="8"/>
  <c r="Z93" i="8"/>
  <c r="V93" i="8"/>
  <c r="R93" i="8"/>
  <c r="T93" i="8"/>
  <c r="P93" i="8"/>
  <c r="W93" i="8"/>
  <c r="S93" i="8"/>
  <c r="O93" i="8"/>
  <c r="F93" i="8"/>
  <c r="C93" i="8"/>
  <c r="U93" i="8"/>
  <c r="Q93" i="8"/>
  <c r="N93" i="8"/>
  <c r="D93" i="8"/>
  <c r="G93" i="8" s="1"/>
  <c r="X156" i="8"/>
  <c r="Z156" i="8"/>
  <c r="V156" i="8"/>
  <c r="U156" i="8"/>
  <c r="W156" i="8"/>
  <c r="S156" i="8"/>
  <c r="O156" i="8"/>
  <c r="R156" i="8"/>
  <c r="N156" i="8"/>
  <c r="T156" i="8"/>
  <c r="Q156" i="8"/>
  <c r="F156" i="8"/>
  <c r="D156" i="8"/>
  <c r="G156" i="8" s="1"/>
  <c r="C156" i="8"/>
  <c r="P156" i="8"/>
  <c r="X78" i="8"/>
  <c r="Z78" i="8"/>
  <c r="V78" i="8"/>
  <c r="U78" i="8"/>
  <c r="P78" i="8"/>
  <c r="W78" i="8"/>
  <c r="S78" i="8"/>
  <c r="R78" i="8"/>
  <c r="O78" i="8"/>
  <c r="N78" i="8"/>
  <c r="F78" i="8"/>
  <c r="Q78" i="8"/>
  <c r="C78" i="8"/>
  <c r="D78" i="8"/>
  <c r="G78" i="8" s="1"/>
  <c r="T78" i="8"/>
  <c r="X141" i="8"/>
  <c r="Z141" i="8"/>
  <c r="W141" i="8"/>
  <c r="S141" i="8"/>
  <c r="O141" i="8"/>
  <c r="R141" i="8"/>
  <c r="U141" i="8"/>
  <c r="N141" i="8"/>
  <c r="Q141" i="8"/>
  <c r="F141" i="8"/>
  <c r="V141" i="8"/>
  <c r="T141" i="8"/>
  <c r="C141" i="8"/>
  <c r="P141" i="8"/>
  <c r="D141" i="8"/>
  <c r="G141" i="8" s="1"/>
  <c r="AD183" i="8"/>
  <c r="AB183" i="8"/>
  <c r="AA183" i="8"/>
  <c r="AC183" i="8"/>
  <c r="AD111" i="8"/>
  <c r="AC111" i="8"/>
  <c r="AA111" i="8"/>
  <c r="AB111" i="8"/>
  <c r="AA60" i="2"/>
  <c r="AC60" i="2"/>
  <c r="AA85" i="2"/>
  <c r="AC85" i="2"/>
  <c r="AB38" i="2"/>
  <c r="AC38" i="2"/>
  <c r="AA100" i="2"/>
  <c r="AC100" i="2"/>
  <c r="AA157" i="2"/>
  <c r="AC157" i="2"/>
  <c r="AB126" i="2"/>
  <c r="AC126" i="2"/>
  <c r="AB187" i="2"/>
  <c r="AC187" i="2"/>
  <c r="AA192" i="2"/>
  <c r="AC192" i="2"/>
  <c r="AD1059" i="2"/>
  <c r="AM1059" i="2" s="1"/>
  <c r="AD1281" i="2"/>
  <c r="AM1281" i="2" s="1"/>
  <c r="AD1742" i="2"/>
  <c r="AM2025" i="2"/>
  <c r="AD584" i="2"/>
  <c r="AD1231" i="2"/>
  <c r="AE1231" i="2" s="1"/>
  <c r="AD2124" i="2"/>
  <c r="AD1465" i="2"/>
  <c r="AC52" i="2"/>
  <c r="AL52" i="2" s="1"/>
  <c r="X40" i="8"/>
  <c r="Z40" i="8"/>
  <c r="D40" i="8"/>
  <c r="G40" i="8" s="1"/>
  <c r="R40" i="8"/>
  <c r="C40" i="8"/>
  <c r="Q40" i="8"/>
  <c r="U40" i="8"/>
  <c r="T40" i="8"/>
  <c r="N40" i="8"/>
  <c r="F40" i="8"/>
  <c r="W40" i="8"/>
  <c r="P40" i="8"/>
  <c r="O40" i="8"/>
  <c r="V40" i="8"/>
  <c r="S40" i="8"/>
  <c r="X103" i="8"/>
  <c r="Z103" i="8"/>
  <c r="V103" i="8"/>
  <c r="U103" i="8"/>
  <c r="Q103" i="8"/>
  <c r="T103" i="8"/>
  <c r="W103" i="8"/>
  <c r="P103" i="8"/>
  <c r="S103" i="8"/>
  <c r="F103" i="8"/>
  <c r="O103" i="8"/>
  <c r="R103" i="8"/>
  <c r="N103" i="8"/>
  <c r="C103" i="8"/>
  <c r="D103" i="8"/>
  <c r="G103" i="8" s="1"/>
  <c r="X166" i="8"/>
  <c r="Z166" i="8"/>
  <c r="V166" i="8"/>
  <c r="Q166" i="8"/>
  <c r="T166" i="8"/>
  <c r="W166" i="8"/>
  <c r="S166" i="8"/>
  <c r="R166" i="8"/>
  <c r="O166" i="8"/>
  <c r="N166" i="8"/>
  <c r="F166" i="8"/>
  <c r="U166" i="8"/>
  <c r="P166" i="8"/>
  <c r="C166" i="8"/>
  <c r="D166" i="8"/>
  <c r="G166" i="8" s="1"/>
  <c r="X34" i="8"/>
  <c r="Z34" i="8"/>
  <c r="C34" i="8"/>
  <c r="D34" i="8"/>
  <c r="G34" i="8" s="1"/>
  <c r="U34" i="8"/>
  <c r="P34" i="8"/>
  <c r="T34" i="8"/>
  <c r="V34" i="8"/>
  <c r="F34" i="8"/>
  <c r="S34" i="8"/>
  <c r="W34" i="8"/>
  <c r="N34" i="8"/>
  <c r="O34" i="8"/>
  <c r="R34" i="8"/>
  <c r="Q34" i="8"/>
  <c r="X97" i="8"/>
  <c r="Z97" i="8"/>
  <c r="V97" i="8"/>
  <c r="P97" i="8"/>
  <c r="R97" i="8"/>
  <c r="U97" i="8"/>
  <c r="N97" i="8"/>
  <c r="Q97" i="8"/>
  <c r="F97" i="8"/>
  <c r="T97" i="8"/>
  <c r="W97" i="8"/>
  <c r="S97" i="8"/>
  <c r="O97" i="8"/>
  <c r="C97" i="8"/>
  <c r="D97" i="8"/>
  <c r="G97" i="8" s="1"/>
  <c r="X160" i="8"/>
  <c r="Z160" i="8"/>
  <c r="V160" i="8"/>
  <c r="R160" i="8"/>
  <c r="T160" i="8"/>
  <c r="Q160" i="8"/>
  <c r="P160" i="8"/>
  <c r="F160" i="8"/>
  <c r="W160" i="8"/>
  <c r="S160" i="8"/>
  <c r="O160" i="8"/>
  <c r="N160" i="8"/>
  <c r="U160" i="8"/>
  <c r="C160" i="8"/>
  <c r="D160" i="8"/>
  <c r="G160" i="8" s="1"/>
  <c r="X90" i="8"/>
  <c r="Z90" i="8"/>
  <c r="V90" i="8"/>
  <c r="S90" i="8"/>
  <c r="R90" i="8"/>
  <c r="O90" i="8"/>
  <c r="N90" i="8"/>
  <c r="F90" i="8"/>
  <c r="U90" i="8"/>
  <c r="Q90" i="8"/>
  <c r="T90" i="8"/>
  <c r="P90" i="8"/>
  <c r="W90" i="8"/>
  <c r="D90" i="8"/>
  <c r="G90" i="8" s="1"/>
  <c r="C90" i="8"/>
  <c r="X153" i="8"/>
  <c r="Z153" i="8"/>
  <c r="V153" i="8"/>
  <c r="O153" i="8"/>
  <c r="R153" i="8"/>
  <c r="Q153" i="8"/>
  <c r="F153" i="8"/>
  <c r="C153" i="8"/>
  <c r="T153" i="8"/>
  <c r="P153" i="8"/>
  <c r="W153" i="8"/>
  <c r="S153" i="8"/>
  <c r="D153" i="8"/>
  <c r="G153" i="8" s="1"/>
  <c r="U153" i="8"/>
  <c r="N153" i="8"/>
  <c r="X99" i="8"/>
  <c r="Z99" i="8"/>
  <c r="V99" i="8"/>
  <c r="Q99" i="8"/>
  <c r="S99" i="8"/>
  <c r="F99" i="8"/>
  <c r="O99" i="8"/>
  <c r="R99" i="8"/>
  <c r="N99" i="8"/>
  <c r="U99" i="8"/>
  <c r="W99" i="8"/>
  <c r="T99" i="8"/>
  <c r="D99" i="8"/>
  <c r="G99" i="8" s="1"/>
  <c r="C99" i="8"/>
  <c r="P99" i="8"/>
  <c r="X162" i="8"/>
  <c r="V162" i="8"/>
  <c r="N162" i="8"/>
  <c r="F162" i="8"/>
  <c r="U162" i="8"/>
  <c r="Q162" i="8"/>
  <c r="T162" i="8"/>
  <c r="P162" i="8"/>
  <c r="W162" i="8"/>
  <c r="S162" i="8"/>
  <c r="O162" i="8"/>
  <c r="C162" i="8"/>
  <c r="R162" i="8"/>
  <c r="D162" i="8"/>
  <c r="G162" i="8" s="1"/>
  <c r="X37" i="8"/>
  <c r="Z37" i="8"/>
  <c r="C37" i="8"/>
  <c r="D37" i="8"/>
  <c r="G37" i="8" s="1"/>
  <c r="V37" i="8"/>
  <c r="F37" i="8"/>
  <c r="Q37" i="8"/>
  <c r="W37" i="8"/>
  <c r="S37" i="8"/>
  <c r="P37" i="8"/>
  <c r="O37" i="8"/>
  <c r="N37" i="8"/>
  <c r="T37" i="8"/>
  <c r="R37" i="8"/>
  <c r="U37" i="8"/>
  <c r="X100" i="8"/>
  <c r="Z100" i="8"/>
  <c r="V100" i="8"/>
  <c r="O100" i="8"/>
  <c r="U100" i="8"/>
  <c r="T100" i="8"/>
  <c r="Q100" i="8"/>
  <c r="P100" i="8"/>
  <c r="F100" i="8"/>
  <c r="W100" i="8"/>
  <c r="S100" i="8"/>
  <c r="R100" i="8"/>
  <c r="N100" i="8"/>
  <c r="D100" i="8"/>
  <c r="G100" i="8" s="1"/>
  <c r="C100" i="8"/>
  <c r="X171" i="8"/>
  <c r="Z171" i="8"/>
  <c r="V171" i="8"/>
  <c r="W171" i="8"/>
  <c r="P171" i="8"/>
  <c r="S171" i="8"/>
  <c r="F171" i="8"/>
  <c r="O171" i="8"/>
  <c r="R171" i="8"/>
  <c r="N171" i="8"/>
  <c r="U171" i="8"/>
  <c r="Q171" i="8"/>
  <c r="T171" i="8"/>
  <c r="D171" i="8"/>
  <c r="G171" i="8" s="1"/>
  <c r="C171" i="8"/>
  <c r="X38" i="8"/>
  <c r="Z38" i="8"/>
  <c r="C38" i="8"/>
  <c r="D38" i="8"/>
  <c r="G38" i="8" s="1"/>
  <c r="R38" i="8"/>
  <c r="V38" i="8"/>
  <c r="P38" i="8"/>
  <c r="T38" i="8"/>
  <c r="Q38" i="8"/>
  <c r="U38" i="8"/>
  <c r="O38" i="8"/>
  <c r="W38" i="8"/>
  <c r="F38" i="8"/>
  <c r="S38" i="8"/>
  <c r="N38" i="8"/>
  <c r="X101" i="8"/>
  <c r="Z101" i="8"/>
  <c r="V101" i="8"/>
  <c r="P101" i="8"/>
  <c r="O101" i="8"/>
  <c r="R101" i="8"/>
  <c r="U101" i="8"/>
  <c r="N101" i="8"/>
  <c r="Q101" i="8"/>
  <c r="F101" i="8"/>
  <c r="T101" i="8"/>
  <c r="W101" i="8"/>
  <c r="C101" i="8"/>
  <c r="S101" i="8"/>
  <c r="D101" i="8"/>
  <c r="G101" i="8" s="1"/>
  <c r="X164" i="8"/>
  <c r="Z164" i="8"/>
  <c r="V164" i="8"/>
  <c r="O164" i="8"/>
  <c r="U164" i="8"/>
  <c r="T164" i="8"/>
  <c r="Q164" i="8"/>
  <c r="P164" i="8"/>
  <c r="F164" i="8"/>
  <c r="W164" i="8"/>
  <c r="S164" i="8"/>
  <c r="C164" i="8"/>
  <c r="R164" i="8"/>
  <c r="D164" i="8"/>
  <c r="G164" i="8" s="1"/>
  <c r="N164" i="8"/>
  <c r="X86" i="8"/>
  <c r="V86" i="8"/>
  <c r="T86" i="8"/>
  <c r="P86" i="8"/>
  <c r="W86" i="8"/>
  <c r="S86" i="8"/>
  <c r="R86" i="8"/>
  <c r="O86" i="8"/>
  <c r="N86" i="8"/>
  <c r="F86" i="8"/>
  <c r="U86" i="8"/>
  <c r="C86" i="8"/>
  <c r="D86" i="8"/>
  <c r="G86" i="8" s="1"/>
  <c r="Q86" i="8"/>
  <c r="X149" i="8"/>
  <c r="V149" i="8"/>
  <c r="O149" i="8"/>
  <c r="Q149" i="8"/>
  <c r="F149" i="8"/>
  <c r="T149" i="8"/>
  <c r="P149" i="8"/>
  <c r="W149" i="8"/>
  <c r="S149" i="8"/>
  <c r="U149" i="8"/>
  <c r="R149" i="8"/>
  <c r="N149" i="8"/>
  <c r="C149" i="8"/>
  <c r="D149" i="8"/>
  <c r="G149" i="8" s="1"/>
  <c r="AD167" i="8"/>
  <c r="AB167" i="8"/>
  <c r="AA167" i="8"/>
  <c r="AC167" i="8"/>
  <c r="AD96" i="8"/>
  <c r="AC96" i="8"/>
  <c r="AB96" i="8"/>
  <c r="AA96" i="8"/>
  <c r="AD88" i="8"/>
  <c r="AC88" i="8"/>
  <c r="AB88" i="8"/>
  <c r="AA88" i="8"/>
  <c r="AL61" i="2"/>
  <c r="AH61" i="2"/>
  <c r="AP61" i="2" s="1"/>
  <c r="AC8" i="2"/>
  <c r="AA65" i="2"/>
  <c r="AC65" i="2"/>
  <c r="AL54" i="2"/>
  <c r="AH54" i="2"/>
  <c r="AP54" i="2" s="1"/>
  <c r="AB19" i="2"/>
  <c r="AC19" i="2"/>
  <c r="AH103" i="2"/>
  <c r="AP103" i="2" s="1"/>
  <c r="AL103" i="2"/>
  <c r="AA7" i="2"/>
  <c r="AC7" i="2"/>
  <c r="AL12" i="2"/>
  <c r="AH12" i="2"/>
  <c r="AP12" i="2" s="1"/>
  <c r="AB41" i="2"/>
  <c r="AC41" i="2"/>
  <c r="AB43" i="2"/>
  <c r="AC43" i="2"/>
  <c r="AA111" i="2"/>
  <c r="AC111" i="2"/>
  <c r="AA186" i="2"/>
  <c r="AC186" i="2"/>
  <c r="AA82" i="2"/>
  <c r="AF82" i="2" s="1"/>
  <c r="AC82" i="2"/>
  <c r="AB146" i="2"/>
  <c r="AC146" i="2"/>
  <c r="AB74" i="2"/>
  <c r="AC74" i="2"/>
  <c r="AA214" i="2"/>
  <c r="AC214" i="2"/>
  <c r="AA166" i="2"/>
  <c r="AC166" i="2"/>
  <c r="AD1918" i="2"/>
  <c r="AD1835" i="2"/>
  <c r="AD2042" i="2"/>
  <c r="AE2042" i="2" s="1"/>
  <c r="AD2112" i="2"/>
  <c r="AE2112" i="2" s="1"/>
  <c r="K54" i="13"/>
  <c r="AB58" i="2"/>
  <c r="AC58" i="2"/>
  <c r="X48" i="8"/>
  <c r="C48" i="8"/>
  <c r="D48" i="8"/>
  <c r="G48" i="8" s="1"/>
  <c r="R48" i="8"/>
  <c r="N48" i="8"/>
  <c r="F48" i="8"/>
  <c r="Q48" i="8"/>
  <c r="U48" i="8"/>
  <c r="V48" i="8"/>
  <c r="W48" i="8"/>
  <c r="P48" i="8"/>
  <c r="T48" i="8"/>
  <c r="O48" i="8"/>
  <c r="S48" i="8"/>
  <c r="X110" i="8"/>
  <c r="V110" i="8"/>
  <c r="W110" i="8"/>
  <c r="N110" i="8"/>
  <c r="F110" i="8"/>
  <c r="U110" i="8"/>
  <c r="Q110" i="8"/>
  <c r="T110" i="8"/>
  <c r="P110" i="8"/>
  <c r="O110" i="8"/>
  <c r="R110" i="8"/>
  <c r="S110" i="8"/>
  <c r="C110" i="8"/>
  <c r="D110" i="8"/>
  <c r="G110" i="8" s="1"/>
  <c r="X174" i="8"/>
  <c r="V174" i="8"/>
  <c r="U174" i="8"/>
  <c r="P174" i="8"/>
  <c r="W174" i="8"/>
  <c r="S174" i="8"/>
  <c r="R174" i="8"/>
  <c r="O174" i="8"/>
  <c r="N174" i="8"/>
  <c r="F174" i="8"/>
  <c r="C174" i="8"/>
  <c r="D174" i="8"/>
  <c r="G174" i="8" s="1"/>
  <c r="Q174" i="8"/>
  <c r="T174" i="8"/>
  <c r="X42" i="8"/>
  <c r="C42" i="8"/>
  <c r="D42" i="8"/>
  <c r="G42" i="8" s="1"/>
  <c r="U42" i="8"/>
  <c r="P42" i="8"/>
  <c r="T42" i="8"/>
  <c r="N42" i="8"/>
  <c r="O42" i="8"/>
  <c r="W42" i="8"/>
  <c r="R42" i="8"/>
  <c r="V42" i="8"/>
  <c r="Q42" i="8"/>
  <c r="S42" i="8"/>
  <c r="F42" i="8"/>
  <c r="X105" i="8"/>
  <c r="Z105" i="8"/>
  <c r="V105" i="8"/>
  <c r="U105" i="8"/>
  <c r="N105" i="8"/>
  <c r="P105" i="8"/>
  <c r="W105" i="8"/>
  <c r="S105" i="8"/>
  <c r="O105" i="8"/>
  <c r="R105" i="8"/>
  <c r="Q105" i="8"/>
  <c r="T105" i="8"/>
  <c r="F105" i="8"/>
  <c r="C105" i="8"/>
  <c r="D105" i="8"/>
  <c r="G105" i="8" s="1"/>
  <c r="X168" i="8"/>
  <c r="V168" i="8"/>
  <c r="W168" i="8"/>
  <c r="R168" i="8"/>
  <c r="N168" i="8"/>
  <c r="U168" i="8"/>
  <c r="T168" i="8"/>
  <c r="Q168" i="8"/>
  <c r="P168" i="8"/>
  <c r="F168" i="8"/>
  <c r="S168" i="8"/>
  <c r="O168" i="8"/>
  <c r="D168" i="8"/>
  <c r="G168" i="8" s="1"/>
  <c r="C168" i="8"/>
  <c r="X35" i="8"/>
  <c r="Z35" i="8"/>
  <c r="D35" i="8"/>
  <c r="G35" i="8" s="1"/>
  <c r="C35" i="8"/>
  <c r="V35" i="8"/>
  <c r="U35" i="8"/>
  <c r="R35" i="8"/>
  <c r="F35" i="8"/>
  <c r="N35" i="8"/>
  <c r="Q35" i="8"/>
  <c r="W35" i="8"/>
  <c r="P35" i="8"/>
  <c r="O35" i="8"/>
  <c r="T35" i="8"/>
  <c r="S35" i="8"/>
  <c r="Z98" i="8"/>
  <c r="V98" i="8"/>
  <c r="N98" i="8"/>
  <c r="F98" i="8"/>
  <c r="T98" i="8"/>
  <c r="P98" i="8"/>
  <c r="W98" i="8"/>
  <c r="S98" i="8"/>
  <c r="R98" i="8"/>
  <c r="O98" i="8"/>
  <c r="D98" i="8"/>
  <c r="G98" i="8" s="1"/>
  <c r="U98" i="8"/>
  <c r="C98" i="8"/>
  <c r="Q98" i="8"/>
  <c r="X161" i="8"/>
  <c r="Z161" i="8"/>
  <c r="V161" i="8"/>
  <c r="U161" i="8"/>
  <c r="N161" i="8"/>
  <c r="P161" i="8"/>
  <c r="W161" i="8"/>
  <c r="S161" i="8"/>
  <c r="O161" i="8"/>
  <c r="R161" i="8"/>
  <c r="Q161" i="8"/>
  <c r="T161" i="8"/>
  <c r="C161" i="8"/>
  <c r="D161" i="8"/>
  <c r="G161" i="8" s="1"/>
  <c r="F161" i="8"/>
  <c r="X36" i="8"/>
  <c r="Z36" i="8"/>
  <c r="D36" i="8"/>
  <c r="G36" i="8" s="1"/>
  <c r="C36" i="8"/>
  <c r="R36" i="8"/>
  <c r="F36" i="8"/>
  <c r="U36" i="8"/>
  <c r="W36" i="8"/>
  <c r="O36" i="8"/>
  <c r="S36" i="8"/>
  <c r="P36" i="8"/>
  <c r="T36" i="8"/>
  <c r="N36" i="8"/>
  <c r="V36" i="8"/>
  <c r="Q36" i="8"/>
  <c r="X107" i="8"/>
  <c r="Z107" i="8"/>
  <c r="V107" i="8"/>
  <c r="O107" i="8"/>
  <c r="R107" i="8"/>
  <c r="N107" i="8"/>
  <c r="U107" i="8"/>
  <c r="Q107" i="8"/>
  <c r="T107" i="8"/>
  <c r="W107" i="8"/>
  <c r="P107" i="8"/>
  <c r="F107" i="8"/>
  <c r="D107" i="8"/>
  <c r="G107" i="8" s="1"/>
  <c r="S107" i="8"/>
  <c r="C107" i="8"/>
  <c r="X170" i="8"/>
  <c r="Z170" i="8"/>
  <c r="V170" i="8"/>
  <c r="T170" i="8"/>
  <c r="P170" i="8"/>
  <c r="W170" i="8"/>
  <c r="S170" i="8"/>
  <c r="R170" i="8"/>
  <c r="O170" i="8"/>
  <c r="N170" i="8"/>
  <c r="F170" i="8"/>
  <c r="U170" i="8"/>
  <c r="Q170" i="8"/>
  <c r="C170" i="8"/>
  <c r="D170" i="8"/>
  <c r="G170" i="8" s="1"/>
  <c r="X45" i="8"/>
  <c r="Z45" i="8"/>
  <c r="D45" i="8"/>
  <c r="G45" i="8" s="1"/>
  <c r="C45" i="8"/>
  <c r="V45" i="8"/>
  <c r="O45" i="8"/>
  <c r="R45" i="8"/>
  <c r="F45" i="8"/>
  <c r="W45" i="8"/>
  <c r="S45" i="8"/>
  <c r="N45" i="8"/>
  <c r="Q45" i="8"/>
  <c r="P45" i="8"/>
  <c r="T45" i="8"/>
  <c r="U45" i="8"/>
  <c r="X115" i="8"/>
  <c r="Z115" i="8"/>
  <c r="V115" i="8"/>
  <c r="O115" i="8"/>
  <c r="U115" i="8"/>
  <c r="Q115" i="8"/>
  <c r="T115" i="8"/>
  <c r="W115" i="8"/>
  <c r="P115" i="8"/>
  <c r="S115" i="8"/>
  <c r="F115" i="8"/>
  <c r="R115" i="8"/>
  <c r="N115" i="8"/>
  <c r="D115" i="8"/>
  <c r="G115" i="8" s="1"/>
  <c r="C115" i="8"/>
  <c r="X179" i="8"/>
  <c r="Z179" i="8"/>
  <c r="V179" i="8"/>
  <c r="U179" i="8"/>
  <c r="W179" i="8"/>
  <c r="P179" i="8"/>
  <c r="S179" i="8"/>
  <c r="F179" i="8"/>
  <c r="O179" i="8"/>
  <c r="R179" i="8"/>
  <c r="N179" i="8"/>
  <c r="D179" i="8"/>
  <c r="G179" i="8" s="1"/>
  <c r="C179" i="8"/>
  <c r="Q179" i="8"/>
  <c r="T179" i="8"/>
  <c r="X46" i="8"/>
  <c r="Z46" i="8"/>
  <c r="C46" i="8"/>
  <c r="D46" i="8"/>
  <c r="G46" i="8" s="1"/>
  <c r="T46" i="8"/>
  <c r="N46" i="8"/>
  <c r="V46" i="8"/>
  <c r="O46" i="8"/>
  <c r="S46" i="8"/>
  <c r="Q46" i="8"/>
  <c r="U46" i="8"/>
  <c r="R46" i="8"/>
  <c r="W46" i="8"/>
  <c r="F46" i="8"/>
  <c r="P46" i="8"/>
  <c r="X108" i="8"/>
  <c r="Z108" i="8"/>
  <c r="V108" i="8"/>
  <c r="W108" i="8"/>
  <c r="S108" i="8"/>
  <c r="R108" i="8"/>
  <c r="N108" i="8"/>
  <c r="U108" i="8"/>
  <c r="T108" i="8"/>
  <c r="Q108" i="8"/>
  <c r="P108" i="8"/>
  <c r="F108" i="8"/>
  <c r="C108" i="8"/>
  <c r="O108" i="8"/>
  <c r="D108" i="8"/>
  <c r="G108" i="8" s="1"/>
  <c r="X172" i="8"/>
  <c r="Z172" i="8"/>
  <c r="V172" i="8"/>
  <c r="R172" i="8"/>
  <c r="N172" i="8"/>
  <c r="U172" i="8"/>
  <c r="T172" i="8"/>
  <c r="Q172" i="8"/>
  <c r="P172" i="8"/>
  <c r="F172" i="8"/>
  <c r="W172" i="8"/>
  <c r="S172" i="8"/>
  <c r="O172" i="8"/>
  <c r="D172" i="8"/>
  <c r="G172" i="8" s="1"/>
  <c r="C172" i="8"/>
  <c r="X94" i="8"/>
  <c r="Z94" i="8"/>
  <c r="V94" i="8"/>
  <c r="Q94" i="8"/>
  <c r="T94" i="8"/>
  <c r="P94" i="8"/>
  <c r="W94" i="8"/>
  <c r="S94" i="8"/>
  <c r="R94" i="8"/>
  <c r="O94" i="8"/>
  <c r="N94" i="8"/>
  <c r="F94" i="8"/>
  <c r="U94" i="8"/>
  <c r="C94" i="8"/>
  <c r="D94" i="8"/>
  <c r="G94" i="8" s="1"/>
  <c r="X157" i="8"/>
  <c r="Z157" i="8"/>
  <c r="V157" i="8"/>
  <c r="W157" i="8"/>
  <c r="S157" i="8"/>
  <c r="R157" i="8"/>
  <c r="U157" i="8"/>
  <c r="N157" i="8"/>
  <c r="Q157" i="8"/>
  <c r="F157" i="8"/>
  <c r="T157" i="8"/>
  <c r="P157" i="8"/>
  <c r="C157" i="8"/>
  <c r="D157" i="8"/>
  <c r="G157" i="8" s="1"/>
  <c r="O157" i="8"/>
  <c r="AD119" i="8"/>
  <c r="AB119" i="8"/>
  <c r="AA119" i="8"/>
  <c r="AC119" i="8"/>
  <c r="AD49" i="8"/>
  <c r="AC49" i="8"/>
  <c r="AA49" i="8"/>
  <c r="AB49" i="8"/>
  <c r="AL14" i="2"/>
  <c r="AH14" i="2"/>
  <c r="AP14" i="2" s="1"/>
  <c r="AA16" i="2"/>
  <c r="AC16" i="2"/>
  <c r="AB18" i="2"/>
  <c r="AC18" i="2"/>
  <c r="AB53" i="2"/>
  <c r="AC53" i="2"/>
  <c r="AB182" i="2"/>
  <c r="AC182" i="2"/>
  <c r="AA190" i="2"/>
  <c r="AC190" i="2"/>
  <c r="AB175" i="2"/>
  <c r="AC175" i="2"/>
  <c r="AA212" i="2"/>
  <c r="AC212" i="2"/>
  <c r="AB148" i="2"/>
  <c r="AC148" i="2"/>
  <c r="AA110" i="2"/>
  <c r="AC110" i="2"/>
  <c r="AK178" i="2"/>
  <c r="AG178" i="2"/>
  <c r="AO178" i="2" s="1"/>
  <c r="AK52" i="2"/>
  <c r="AG52" i="2"/>
  <c r="AO52" i="2" s="1"/>
  <c r="AK96" i="2"/>
  <c r="AG96" i="2"/>
  <c r="AO96" i="2" s="1"/>
  <c r="AN114" i="2"/>
  <c r="AN158" i="2"/>
  <c r="AO86" i="2"/>
  <c r="AK101" i="2"/>
  <c r="AG101" i="2"/>
  <c r="AN54" i="2"/>
  <c r="AG112" i="2"/>
  <c r="AO112" i="2" s="1"/>
  <c r="AN173" i="2"/>
  <c r="AJ37" i="2"/>
  <c r="AF37" i="2"/>
  <c r="AN113" i="2"/>
  <c r="AN149" i="2"/>
  <c r="AK25" i="2"/>
  <c r="AG25" i="2"/>
  <c r="AO25" i="2" s="1"/>
  <c r="AK119" i="2"/>
  <c r="AG119" i="2"/>
  <c r="AO119" i="2" s="1"/>
  <c r="AK62" i="2"/>
  <c r="AG62" i="2"/>
  <c r="AO62" i="2" s="1"/>
  <c r="AN74" i="2"/>
  <c r="AK193" i="2"/>
  <c r="AG193" i="2"/>
  <c r="AO193" i="2" s="1"/>
  <c r="AK186" i="2"/>
  <c r="AG186" i="2"/>
  <c r="AK191" i="2"/>
  <c r="AG191" i="2"/>
  <c r="AO191" i="2" s="1"/>
  <c r="AQ191" i="2" s="1"/>
  <c r="AK173" i="2"/>
  <c r="AG173" i="2"/>
  <c r="AO173" i="2" s="1"/>
  <c r="AJ140" i="2"/>
  <c r="AF140" i="2"/>
  <c r="AJ138" i="2"/>
  <c r="AF138" i="2"/>
  <c r="AK113" i="2"/>
  <c r="AG113" i="2"/>
  <c r="AO113" i="2" s="1"/>
  <c r="AK97" i="2"/>
  <c r="AD97" i="2"/>
  <c r="AE97" i="2" s="1"/>
  <c r="AK149" i="2"/>
  <c r="AG149" i="2"/>
  <c r="AO149" i="2" s="1"/>
  <c r="AN118" i="2"/>
  <c r="AN187" i="2"/>
  <c r="AN11" i="2"/>
  <c r="AK181" i="2"/>
  <c r="AG181" i="2"/>
  <c r="AO8" i="2"/>
  <c r="AO85" i="2"/>
  <c r="AK195" i="2"/>
  <c r="AG195" i="2"/>
  <c r="AJ152" i="2"/>
  <c r="AF152" i="2"/>
  <c r="AN209" i="2"/>
  <c r="AN146" i="2"/>
  <c r="AN79" i="2"/>
  <c r="AK165" i="2"/>
  <c r="AG165" i="2"/>
  <c r="AO165" i="2" s="1"/>
  <c r="AN36" i="2"/>
  <c r="AN136" i="2"/>
  <c r="AK174" i="2"/>
  <c r="AG174" i="2"/>
  <c r="AO174" i="2" s="1"/>
  <c r="AK59" i="2"/>
  <c r="AG59" i="2"/>
  <c r="AO59" i="2" s="1"/>
  <c r="AN87" i="2"/>
  <c r="AK198" i="2"/>
  <c r="AG198" i="2"/>
  <c r="AO198" i="2" s="1"/>
  <c r="AK99" i="2"/>
  <c r="AG99" i="2"/>
  <c r="AK200" i="2"/>
  <c r="AG200" i="2"/>
  <c r="AJ32" i="2"/>
  <c r="AF32" i="2"/>
  <c r="AN179" i="2"/>
  <c r="AN22" i="2"/>
  <c r="AF201" i="2"/>
  <c r="AJ176" i="2"/>
  <c r="AF176" i="2"/>
  <c r="AN145" i="2"/>
  <c r="AN47" i="2"/>
  <c r="AN45" i="2"/>
  <c r="AK169" i="2"/>
  <c r="AO65" i="2"/>
  <c r="AO33" i="2"/>
  <c r="AK83" i="2"/>
  <c r="AN213" i="2"/>
  <c r="AN20" i="2"/>
  <c r="AN167" i="2"/>
  <c r="AN141" i="2"/>
  <c r="AK51" i="2"/>
  <c r="AG51" i="2"/>
  <c r="AK214" i="2"/>
  <c r="AG214" i="2"/>
  <c r="AK205" i="2"/>
  <c r="AG205" i="2"/>
  <c r="AO205" i="2" s="1"/>
  <c r="AK170" i="2"/>
  <c r="AG170" i="2"/>
  <c r="AO170" i="2" s="1"/>
  <c r="AK63" i="2"/>
  <c r="AG63" i="2"/>
  <c r="AJ177" i="2"/>
  <c r="AF177" i="2"/>
  <c r="AK104" i="2"/>
  <c r="AG104" i="2"/>
  <c r="AO104" i="2" s="1"/>
  <c r="AN102" i="2"/>
  <c r="AK30" i="2"/>
  <c r="AG30" i="2"/>
  <c r="AO30" i="2" s="1"/>
  <c r="AK134" i="2"/>
  <c r="AG134" i="2"/>
  <c r="AO134" i="2" s="1"/>
  <c r="AN109" i="2"/>
  <c r="AN155" i="2"/>
  <c r="AK153" i="2"/>
  <c r="AG153" i="2"/>
  <c r="AO153" i="2" s="1"/>
  <c r="AK31" i="2"/>
  <c r="AG31" i="2"/>
  <c r="AO31" i="2" s="1"/>
  <c r="AN206" i="2"/>
  <c r="AO24" i="2"/>
  <c r="AF211" i="2"/>
  <c r="AO34" i="2"/>
  <c r="AK103" i="2"/>
  <c r="AG103" i="2"/>
  <c r="AO103" i="2" s="1"/>
  <c r="AO194" i="2"/>
  <c r="AK152" i="2"/>
  <c r="AG152" i="2"/>
  <c r="AO152" i="2" s="1"/>
  <c r="AF58" i="2"/>
  <c r="AK158" i="2"/>
  <c r="AG158" i="2"/>
  <c r="AO158" i="2" s="1"/>
  <c r="AN43" i="2"/>
  <c r="AK197" i="2"/>
  <c r="AG197" i="2"/>
  <c r="AO197" i="2" s="1"/>
  <c r="AN42" i="2"/>
  <c r="AK171" i="2"/>
  <c r="AG171" i="2"/>
  <c r="AO171" i="2" s="1"/>
  <c r="AN159" i="2"/>
  <c r="AK16" i="2"/>
  <c r="AG16" i="2"/>
  <c r="AK61" i="2"/>
  <c r="AG61" i="2"/>
  <c r="AO61" i="2" s="1"/>
  <c r="AJ189" i="2"/>
  <c r="AF189" i="2"/>
  <c r="AJ168" i="2"/>
  <c r="AF168" i="2"/>
  <c r="AK172" i="2"/>
  <c r="AG172" i="2"/>
  <c r="AO172" i="2" s="1"/>
  <c r="AF14" i="2"/>
  <c r="AJ172" i="2"/>
  <c r="AF172" i="2"/>
  <c r="AN98" i="2"/>
  <c r="AO60" i="2"/>
  <c r="AH11" i="2"/>
  <c r="AP11" i="2" s="1"/>
  <c r="AJ137" i="2"/>
  <c r="AF137" i="2"/>
  <c r="AK117" i="2"/>
  <c r="AG117" i="2"/>
  <c r="AO117" i="2" s="1"/>
  <c r="AK67" i="2"/>
  <c r="AG67" i="2"/>
  <c r="AO67" i="2" s="1"/>
  <c r="AJ128" i="2"/>
  <c r="AF128" i="2"/>
  <c r="AK11" i="2"/>
  <c r="AG11" i="2"/>
  <c r="AO11" i="2" s="1"/>
  <c r="AO100" i="2"/>
  <c r="AJ27" i="2"/>
  <c r="AF27" i="2"/>
  <c r="AJ12" i="2"/>
  <c r="AF12" i="2"/>
  <c r="AK22" i="2"/>
  <c r="AG22" i="2"/>
  <c r="AO22" i="2" s="1"/>
  <c r="AJ120" i="2"/>
  <c r="AF120" i="2"/>
  <c r="AJ183" i="2"/>
  <c r="AF183" i="2"/>
  <c r="AJ117" i="2"/>
  <c r="AF117" i="2"/>
  <c r="AJ67" i="2"/>
  <c r="AF67" i="2"/>
  <c r="AK192" i="2"/>
  <c r="AG192" i="2"/>
  <c r="AL209" i="2"/>
  <c r="AH209" i="2"/>
  <c r="AP209" i="2" s="1"/>
  <c r="AK115" i="2"/>
  <c r="AG115" i="2"/>
  <c r="AO115" i="2" s="1"/>
  <c r="AJ199" i="2"/>
  <c r="AF199" i="2"/>
  <c r="AJ38" i="2"/>
  <c r="AF38" i="2"/>
  <c r="AN18" i="2"/>
  <c r="AK209" i="2"/>
  <c r="AG209" i="2"/>
  <c r="AO209" i="2" s="1"/>
  <c r="AK32" i="2"/>
  <c r="AG32" i="2"/>
  <c r="AO32" i="2" s="1"/>
  <c r="AG92" i="2"/>
  <c r="AH158" i="2"/>
  <c r="AP158" i="2" s="1"/>
  <c r="AB207" i="2"/>
  <c r="AC207" i="2"/>
  <c r="AB206" i="2"/>
  <c r="AC206" i="2"/>
  <c r="AB102" i="2"/>
  <c r="AC102" i="2"/>
  <c r="AB79" i="2"/>
  <c r="AC79" i="2"/>
  <c r="AB118" i="2"/>
  <c r="AC118" i="2"/>
  <c r="AB20" i="2"/>
  <c r="AC20" i="2"/>
  <c r="AB155" i="2"/>
  <c r="AC155" i="2"/>
  <c r="AB136" i="2"/>
  <c r="AC136" i="2"/>
  <c r="AB188" i="2"/>
  <c r="AC188" i="2"/>
  <c r="AB55" i="2"/>
  <c r="AC55" i="2"/>
  <c r="AB17" i="2"/>
  <c r="AC17" i="2"/>
  <c r="AB213" i="2"/>
  <c r="AC213" i="2"/>
  <c r="AB141" i="2"/>
  <c r="AC141" i="2"/>
  <c r="AB69" i="2"/>
  <c r="AC69" i="2"/>
  <c r="AD67" i="2"/>
  <c r="AE67" i="2" s="1"/>
  <c r="AD2358" i="2"/>
  <c r="AM2358" i="2" s="1"/>
  <c r="AB2382" i="2"/>
  <c r="AC2382" i="2"/>
  <c r="AL2382" i="2" s="1"/>
  <c r="AB2390" i="2"/>
  <c r="AC2390" i="2"/>
  <c r="AL2390" i="2" s="1"/>
  <c r="AM2397" i="2"/>
  <c r="AB2398" i="2"/>
  <c r="AC2398" i="2"/>
  <c r="AL2398" i="2" s="1"/>
  <c r="AB2406" i="2"/>
  <c r="AK2406" i="2" s="1"/>
  <c r="AC2406" i="2"/>
  <c r="AL2406" i="2" s="1"/>
  <c r="AB2414" i="2"/>
  <c r="AC2414" i="2"/>
  <c r="AL2414" i="2" s="1"/>
  <c r="AB2422" i="2"/>
  <c r="AC2422" i="2"/>
  <c r="AL2422" i="2" s="1"/>
  <c r="AB2366" i="2"/>
  <c r="AC2366" i="2"/>
  <c r="AL2366" i="2" s="1"/>
  <c r="AB2374" i="2"/>
  <c r="AK2374" i="2" s="1"/>
  <c r="AC2374" i="2"/>
  <c r="AL2374" i="2" s="1"/>
  <c r="AD1381" i="2"/>
  <c r="AE1381" i="2" s="1"/>
  <c r="AE2137" i="2"/>
  <c r="AM2010" i="2"/>
  <c r="AD1168" i="2"/>
  <c r="AE1168" i="2" s="1"/>
  <c r="AD1027" i="2"/>
  <c r="AM1027" i="2" s="1"/>
  <c r="AD1205" i="2"/>
  <c r="AE1205" i="2" s="1"/>
  <c r="AD1253" i="2"/>
  <c r="AD608" i="2"/>
  <c r="AE608" i="2" s="1"/>
  <c r="AD2354" i="2"/>
  <c r="AE2354" i="2" s="1"/>
  <c r="AD784" i="2"/>
  <c r="AE784" i="2" s="1"/>
  <c r="AD648" i="2"/>
  <c r="AM648" i="2" s="1"/>
  <c r="AD1169" i="2"/>
  <c r="AE1169" i="2" s="1"/>
  <c r="AM1498" i="2"/>
  <c r="AA700" i="2"/>
  <c r="AC700" i="2"/>
  <c r="AL700" i="2" s="1"/>
  <c r="AA500" i="2"/>
  <c r="AJ500" i="2" s="1"/>
  <c r="AC500" i="2"/>
  <c r="AL500" i="2" s="1"/>
  <c r="AA324" i="2"/>
  <c r="AC324" i="2"/>
  <c r="AL324" i="2" s="1"/>
  <c r="AA268" i="2"/>
  <c r="AJ268" i="2" s="1"/>
  <c r="AC268" i="2"/>
  <c r="AL268" i="2" s="1"/>
  <c r="AA193" i="2"/>
  <c r="AC193" i="2"/>
  <c r="AA198" i="2"/>
  <c r="AC198" i="2"/>
  <c r="AA170" i="2"/>
  <c r="AC170" i="2"/>
  <c r="AD668" i="2"/>
  <c r="AM668" i="2" s="1"/>
  <c r="AA756" i="2"/>
  <c r="AC756" i="2"/>
  <c r="AL756" i="2" s="1"/>
  <c r="AA724" i="2"/>
  <c r="AJ724" i="2" s="1"/>
  <c r="AC724" i="2"/>
  <c r="AL724" i="2" s="1"/>
  <c r="AB580" i="2"/>
  <c r="AK580" i="2" s="1"/>
  <c r="AC580" i="2"/>
  <c r="AL580" i="2" s="1"/>
  <c r="AA468" i="2"/>
  <c r="AJ468" i="2" s="1"/>
  <c r="AC468" i="2"/>
  <c r="AL468" i="2" s="1"/>
  <c r="AA436" i="2"/>
  <c r="AC436" i="2"/>
  <c r="AL436" i="2" s="1"/>
  <c r="AA348" i="2"/>
  <c r="AC348" i="2"/>
  <c r="AL348" i="2" s="1"/>
  <c r="AA292" i="2"/>
  <c r="AJ292" i="2" s="1"/>
  <c r="AC292" i="2"/>
  <c r="AL292" i="2" s="1"/>
  <c r="AA236" i="2"/>
  <c r="AC236" i="2"/>
  <c r="AD1317" i="2"/>
  <c r="AM1317" i="2" s="1"/>
  <c r="AD1698" i="2"/>
  <c r="AE1698" i="2" s="1"/>
  <c r="AD2098" i="2"/>
  <c r="AE2098" i="2" s="1"/>
  <c r="AD2174" i="2"/>
  <c r="AE2174" i="2" s="1"/>
  <c r="AD2342" i="2"/>
  <c r="AM2342" i="2" s="1"/>
  <c r="AD2156" i="2"/>
  <c r="AE2156" i="2" s="1"/>
  <c r="AD2348" i="2"/>
  <c r="AE2348" i="2" s="1"/>
  <c r="AD2377" i="2"/>
  <c r="AB692" i="2"/>
  <c r="AK692" i="2" s="1"/>
  <c r="AC692" i="2"/>
  <c r="AL692" i="2" s="1"/>
  <c r="AB548" i="2"/>
  <c r="AK548" i="2" s="1"/>
  <c r="AC548" i="2"/>
  <c r="AL548" i="2" s="1"/>
  <c r="AB492" i="2"/>
  <c r="AC492" i="2"/>
  <c r="AL492" i="2" s="1"/>
  <c r="AB404" i="2"/>
  <c r="AC404" i="2"/>
  <c r="AL404" i="2" s="1"/>
  <c r="AA316" i="2"/>
  <c r="AC316" i="2"/>
  <c r="AL316" i="2" s="1"/>
  <c r="AA260" i="2"/>
  <c r="AJ260" i="2" s="1"/>
  <c r="AC260" i="2"/>
  <c r="AL260" i="2" s="1"/>
  <c r="AA153" i="2"/>
  <c r="AC153" i="2"/>
  <c r="AA197" i="2"/>
  <c r="AC197" i="2"/>
  <c r="AA165" i="2"/>
  <c r="AC165" i="2"/>
  <c r="AD413" i="2"/>
  <c r="AM413" i="2" s="1"/>
  <c r="AD720" i="2"/>
  <c r="AD1392" i="2"/>
  <c r="AE1392" i="2" s="1"/>
  <c r="AD1886" i="2"/>
  <c r="AM1886" i="2" s="1"/>
  <c r="AD1950" i="2"/>
  <c r="AE1950" i="2" s="1"/>
  <c r="AD428" i="2"/>
  <c r="AE428" i="2" s="1"/>
  <c r="AD1677" i="2"/>
  <c r="AM1677" i="2" s="1"/>
  <c r="AD227" i="2"/>
  <c r="AE227" i="2" s="1"/>
  <c r="AD275" i="2"/>
  <c r="AM275" i="2" s="1"/>
  <c r="AB748" i="2"/>
  <c r="AC748" i="2"/>
  <c r="AL748" i="2" s="1"/>
  <c r="AA716" i="2"/>
  <c r="AC716" i="2"/>
  <c r="AL716" i="2" s="1"/>
  <c r="AA660" i="2"/>
  <c r="AJ660" i="2" s="1"/>
  <c r="AC660" i="2"/>
  <c r="AL660" i="2" s="1"/>
  <c r="AB460" i="2"/>
  <c r="AK460" i="2" s="1"/>
  <c r="AC460" i="2"/>
  <c r="AL460" i="2" s="1"/>
  <c r="AA372" i="2"/>
  <c r="AC372" i="2"/>
  <c r="AL372" i="2" s="1"/>
  <c r="AA284" i="2"/>
  <c r="AJ284" i="2" s="1"/>
  <c r="AC284" i="2"/>
  <c r="AL284" i="2" s="1"/>
  <c r="AA228" i="2"/>
  <c r="AF228" i="2" s="1"/>
  <c r="AC228" i="2"/>
  <c r="AD1285" i="2"/>
  <c r="AM1285" i="2" s="1"/>
  <c r="AD1758" i="2"/>
  <c r="AM1758" i="2" s="1"/>
  <c r="AM2365" i="2"/>
  <c r="AD152" i="2"/>
  <c r="AE152" i="2" s="1"/>
  <c r="AD808" i="2"/>
  <c r="AE808" i="2" s="1"/>
  <c r="AA684" i="2"/>
  <c r="AJ684" i="2" s="1"/>
  <c r="AC684" i="2"/>
  <c r="AL684" i="2" s="1"/>
  <c r="AA628" i="2"/>
  <c r="AJ628" i="2" s="1"/>
  <c r="AC628" i="2"/>
  <c r="AL628" i="2" s="1"/>
  <c r="AB540" i="2"/>
  <c r="AC540" i="2"/>
  <c r="AL540" i="2" s="1"/>
  <c r="AB484" i="2"/>
  <c r="AK484" i="2" s="1"/>
  <c r="AC484" i="2"/>
  <c r="AL484" i="2" s="1"/>
  <c r="AB396" i="2"/>
  <c r="AK396" i="2" s="1"/>
  <c r="AC396" i="2"/>
  <c r="AL396" i="2" s="1"/>
  <c r="AA340" i="2"/>
  <c r="AC340" i="2"/>
  <c r="AL340" i="2" s="1"/>
  <c r="AA252" i="2"/>
  <c r="AJ252" i="2" s="1"/>
  <c r="AC252" i="2"/>
  <c r="AL252" i="2" s="1"/>
  <c r="AA150" i="2"/>
  <c r="AF150" i="2" s="1"/>
  <c r="AC150" i="2"/>
  <c r="AA171" i="2"/>
  <c r="AC171" i="2"/>
  <c r="AA164" i="2"/>
  <c r="AC164" i="2"/>
  <c r="AD2393" i="2"/>
  <c r="AA740" i="2"/>
  <c r="AC740" i="2"/>
  <c r="AL740" i="2" s="1"/>
  <c r="AA708" i="2"/>
  <c r="AJ708" i="2" s="1"/>
  <c r="AC708" i="2"/>
  <c r="AL708" i="2" s="1"/>
  <c r="AB652" i="2"/>
  <c r="AC652" i="2"/>
  <c r="AL652" i="2" s="1"/>
  <c r="AB452" i="2"/>
  <c r="AK452" i="2" s="1"/>
  <c r="AC452" i="2"/>
  <c r="AL452" i="2" s="1"/>
  <c r="AA308" i="2"/>
  <c r="AJ308" i="2" s="1"/>
  <c r="AC308" i="2"/>
  <c r="AL308" i="2" s="1"/>
  <c r="AD1634" i="2"/>
  <c r="AE1634" i="2" s="1"/>
  <c r="AA676" i="2"/>
  <c r="AC676" i="2"/>
  <c r="AL676" i="2" s="1"/>
  <c r="AB620" i="2"/>
  <c r="AK620" i="2" s="1"/>
  <c r="AC620" i="2"/>
  <c r="AL620" i="2" s="1"/>
  <c r="AB564" i="2"/>
  <c r="AK564" i="2" s="1"/>
  <c r="AC564" i="2"/>
  <c r="AL564" i="2" s="1"/>
  <c r="AB388" i="2"/>
  <c r="AC388" i="2"/>
  <c r="AL388" i="2" s="1"/>
  <c r="AA276" i="2"/>
  <c r="AJ276" i="2" s="1"/>
  <c r="AC276" i="2"/>
  <c r="AL276" i="2" s="1"/>
  <c r="AA220" i="2"/>
  <c r="AC220" i="2"/>
  <c r="AA174" i="2"/>
  <c r="AC174" i="2"/>
  <c r="AA205" i="2"/>
  <c r="AC205" i="2"/>
  <c r="AA104" i="2"/>
  <c r="AC104" i="2"/>
  <c r="AD601" i="2"/>
  <c r="AE601" i="2" s="1"/>
  <c r="AD788" i="2"/>
  <c r="AD2108" i="2"/>
  <c r="AE2108" i="2" s="1"/>
  <c r="AA644" i="2"/>
  <c r="AC644" i="2"/>
  <c r="AL644" i="2" s="1"/>
  <c r="AB588" i="2"/>
  <c r="AK588" i="2" s="1"/>
  <c r="AC588" i="2"/>
  <c r="AL588" i="2" s="1"/>
  <c r="AB532" i="2"/>
  <c r="AK532" i="2" s="1"/>
  <c r="AC532" i="2"/>
  <c r="AL532" i="2" s="1"/>
  <c r="AB476" i="2"/>
  <c r="AK476" i="2" s="1"/>
  <c r="AC476" i="2"/>
  <c r="AL476" i="2" s="1"/>
  <c r="AB444" i="2"/>
  <c r="AK444" i="2" s="1"/>
  <c r="AC444" i="2"/>
  <c r="AL444" i="2" s="1"/>
  <c r="AB412" i="2"/>
  <c r="AC412" i="2"/>
  <c r="AL412" i="2" s="1"/>
  <c r="AA300" i="2"/>
  <c r="AC300" i="2"/>
  <c r="AL300" i="2" s="1"/>
  <c r="AA244" i="2"/>
  <c r="AJ244" i="2" s="1"/>
  <c r="AC244" i="2"/>
  <c r="AL244" i="2" s="1"/>
  <c r="AA119" i="2"/>
  <c r="AC119" i="2"/>
  <c r="AA88" i="2"/>
  <c r="AC88" i="2"/>
  <c r="AA28" i="2"/>
  <c r="AC28" i="2"/>
  <c r="AA59" i="2"/>
  <c r="AC59" i="2"/>
  <c r="AA30" i="2"/>
  <c r="AC30" i="2"/>
  <c r="AA83" i="2"/>
  <c r="AC83" i="2"/>
  <c r="AA31" i="2"/>
  <c r="AC31" i="2"/>
  <c r="AA134" i="2"/>
  <c r="AC134" i="2"/>
  <c r="AA62" i="2"/>
  <c r="AC62" i="2"/>
  <c r="AD1143" i="2"/>
  <c r="AM1143" i="2" s="1"/>
  <c r="AD1191" i="2"/>
  <c r="AE1191" i="2" s="1"/>
  <c r="AD2230" i="2"/>
  <c r="AE2230" i="2" s="1"/>
  <c r="AD2294" i="2"/>
  <c r="AM2294" i="2" s="1"/>
  <c r="AD2409" i="2"/>
  <c r="AD955" i="2"/>
  <c r="AE955" i="2" s="1"/>
  <c r="AD987" i="2"/>
  <c r="AE987" i="2" s="1"/>
  <c r="AD1271" i="2"/>
  <c r="AD1413" i="2"/>
  <c r="AD1188" i="2"/>
  <c r="AM1188" i="2" s="1"/>
  <c r="AD1303" i="2"/>
  <c r="AE1303" i="2" s="1"/>
  <c r="AD1535" i="2"/>
  <c r="AE1535" i="2" s="1"/>
  <c r="AD1599" i="2"/>
  <c r="AE1599" i="2" s="1"/>
  <c r="AD1662" i="2"/>
  <c r="AM1662" i="2" s="1"/>
  <c r="AD2290" i="2"/>
  <c r="AD2370" i="2"/>
  <c r="AM2370" i="2" s="1"/>
  <c r="AM1925" i="2"/>
  <c r="AD1167" i="2"/>
  <c r="AE1167" i="2" s="1"/>
  <c r="AD1485" i="2"/>
  <c r="AM1485" i="2" s="1"/>
  <c r="AD1557" i="2"/>
  <c r="AM1557" i="2" s="1"/>
  <c r="AD1749" i="2"/>
  <c r="AD1781" i="2"/>
  <c r="AD2293" i="2"/>
  <c r="AD1233" i="2"/>
  <c r="AD1280" i="2"/>
  <c r="AE1280" i="2" s="1"/>
  <c r="AD2254" i="2"/>
  <c r="AE2254" i="2" s="1"/>
  <c r="AM2265" i="2"/>
  <c r="AD400" i="2"/>
  <c r="AE400" i="2" s="1"/>
  <c r="AD1048" i="2"/>
  <c r="AE1048" i="2" s="1"/>
  <c r="AD2148" i="2"/>
  <c r="AD1156" i="2"/>
  <c r="AE1156" i="2" s="1"/>
  <c r="AD1494" i="2"/>
  <c r="AE1494" i="2" s="1"/>
  <c r="AD1367" i="2"/>
  <c r="AM1367" i="2" s="1"/>
  <c r="AD1682" i="2"/>
  <c r="AD1922" i="2"/>
  <c r="AM1922" i="2" s="1"/>
  <c r="AD1259" i="2"/>
  <c r="AE1259" i="2" s="1"/>
  <c r="AD2094" i="2"/>
  <c r="AE2094" i="2" s="1"/>
  <c r="AD2134" i="2"/>
  <c r="AM2134" i="2" s="1"/>
  <c r="AD2258" i="2"/>
  <c r="AE2258" i="2" s="1"/>
  <c r="AM1797" i="2"/>
  <c r="AM1957" i="2"/>
  <c r="AD1215" i="2"/>
  <c r="AD1311" i="2"/>
  <c r="AD556" i="2"/>
  <c r="AM556" i="2" s="1"/>
  <c r="AD2204" i="2"/>
  <c r="AE2204" i="2" s="1"/>
  <c r="AD2041" i="2"/>
  <c r="AD1597" i="2"/>
  <c r="AM1597" i="2" s="1"/>
  <c r="AD2240" i="2"/>
  <c r="AM2240" i="2" s="1"/>
  <c r="AD872" i="2"/>
  <c r="AE872" i="2" s="1"/>
  <c r="AD2309" i="2"/>
  <c r="AD1555" i="2"/>
  <c r="AM1555" i="2" s="1"/>
  <c r="AD397" i="2"/>
  <c r="AD1163" i="2"/>
  <c r="AM1163" i="2" s="1"/>
  <c r="AD2138" i="2"/>
  <c r="AE2138" i="2" s="1"/>
  <c r="AD2182" i="2"/>
  <c r="AE2182" i="2" s="1"/>
  <c r="AD2266" i="2"/>
  <c r="AM2266" i="2" s="1"/>
  <c r="AD2350" i="2"/>
  <c r="AE2350" i="2" s="1"/>
  <c r="AD1263" i="2"/>
  <c r="AD2092" i="2"/>
  <c r="AM2092" i="2" s="1"/>
  <c r="AD1645" i="2"/>
  <c r="AD393" i="2"/>
  <c r="AE393" i="2" s="1"/>
  <c r="AD2361" i="2"/>
  <c r="AD1622" i="2"/>
  <c r="AD336" i="2"/>
  <c r="AE336" i="2" s="1"/>
  <c r="AD792" i="2"/>
  <c r="AM792" i="2" s="1"/>
  <c r="AD1157" i="2"/>
  <c r="AE1157" i="2" s="1"/>
  <c r="AD1237" i="2"/>
  <c r="AE1237" i="2" s="1"/>
  <c r="AD665" i="2"/>
  <c r="AE665" i="2" s="1"/>
  <c r="AD1289" i="2"/>
  <c r="AE1289" i="2" s="1"/>
  <c r="AD1164" i="2"/>
  <c r="AE1164" i="2" s="1"/>
  <c r="AD1296" i="2"/>
  <c r="AE1296" i="2" s="1"/>
  <c r="AD1380" i="2"/>
  <c r="AM1380" i="2" s="1"/>
  <c r="AD1618" i="2"/>
  <c r="AE1618" i="2" s="1"/>
  <c r="AM1295" i="2"/>
  <c r="AD2106" i="2"/>
  <c r="AM2106" i="2" s="1"/>
  <c r="AD1145" i="2"/>
  <c r="AE1145" i="2" s="1"/>
  <c r="AD2252" i="2"/>
  <c r="AM2252" i="2" s="1"/>
  <c r="AD2305" i="2"/>
  <c r="AE2305" i="2" s="1"/>
  <c r="AD2304" i="2"/>
  <c r="AE2304" i="2" s="1"/>
  <c r="AD2425" i="2"/>
  <c r="AD736" i="2"/>
  <c r="AM736" i="2" s="1"/>
  <c r="AD772" i="2"/>
  <c r="AE772" i="2" s="1"/>
  <c r="AD1217" i="2"/>
  <c r="AD1325" i="2"/>
  <c r="AD1340" i="2"/>
  <c r="AM1340" i="2" s="1"/>
  <c r="AD1335" i="2"/>
  <c r="AM1335" i="2" s="1"/>
  <c r="AD2114" i="2"/>
  <c r="AE2114" i="2" s="1"/>
  <c r="AD2146" i="2"/>
  <c r="AM2146" i="2" s="1"/>
  <c r="AD2190" i="2"/>
  <c r="AD1016" i="2"/>
  <c r="AD1379" i="2"/>
  <c r="AE1379" i="2" s="1"/>
  <c r="AD2197" i="2"/>
  <c r="AD776" i="2"/>
  <c r="AE776" i="2" s="1"/>
  <c r="AD1297" i="2"/>
  <c r="AE1297" i="2" s="1"/>
  <c r="AD1268" i="2"/>
  <c r="AE1268" i="2" s="1"/>
  <c r="AD1542" i="2"/>
  <c r="AE1542" i="2" s="1"/>
  <c r="AD1663" i="2"/>
  <c r="AE1663" i="2" s="1"/>
  <c r="AD1858" i="2"/>
  <c r="AE1858" i="2" s="1"/>
  <c r="AD1862" i="2"/>
  <c r="AE1862" i="2" s="1"/>
  <c r="AD2038" i="2"/>
  <c r="AE2038" i="2" s="1"/>
  <c r="AD2118" i="2"/>
  <c r="AE2118" i="2" s="1"/>
  <c r="AD2150" i="2"/>
  <c r="AD1375" i="2"/>
  <c r="AE1375" i="2" s="1"/>
  <c r="AD472" i="2"/>
  <c r="AM472" i="2" s="1"/>
  <c r="AD2284" i="2"/>
  <c r="AE2284" i="2" s="1"/>
  <c r="AD1581" i="2"/>
  <c r="AE1581" i="2" s="1"/>
  <c r="AD1493" i="2"/>
  <c r="AE1493" i="2" s="1"/>
  <c r="AD2073" i="2"/>
  <c r="AE2073" i="2" s="1"/>
  <c r="AD380" i="2"/>
  <c r="AM380" i="2" s="1"/>
  <c r="AD224" i="2"/>
  <c r="AE224" i="2" s="1"/>
  <c r="AD2009" i="2"/>
  <c r="AM1279" i="2"/>
  <c r="AM2229" i="2"/>
  <c r="AD1232" i="2"/>
  <c r="AE1232" i="2" s="1"/>
  <c r="AM2089" i="2"/>
  <c r="AM2337" i="2"/>
  <c r="AD2278" i="2"/>
  <c r="AM2278" i="2" s="1"/>
  <c r="AM2261" i="2"/>
  <c r="AD1207" i="2"/>
  <c r="AE1207" i="2" s="1"/>
  <c r="AD298" i="2"/>
  <c r="AK298" i="2"/>
  <c r="AD2192" i="2"/>
  <c r="AE2192" i="2" s="1"/>
  <c r="AD1026" i="2"/>
  <c r="AJ1026" i="2"/>
  <c r="AD1197" i="2"/>
  <c r="AJ1197" i="2"/>
  <c r="AD1533" i="2"/>
  <c r="AJ1533" i="2"/>
  <c r="AD1058" i="2"/>
  <c r="AJ1058" i="2"/>
  <c r="AD2419" i="2"/>
  <c r="AJ2419" i="2"/>
  <c r="AD718" i="2"/>
  <c r="AJ718" i="2"/>
  <c r="AD2196" i="2"/>
  <c r="AE2196" i="2" s="1"/>
  <c r="AD270" i="2"/>
  <c r="AK270" i="2"/>
  <c r="AD2260" i="2"/>
  <c r="AE2260" i="2" s="1"/>
  <c r="AD2320" i="2"/>
  <c r="AD1591" i="2"/>
  <c r="AJ1591" i="2"/>
  <c r="AD1999" i="2"/>
  <c r="AJ1999" i="2"/>
  <c r="AD1543" i="2"/>
  <c r="AJ1543" i="2"/>
  <c r="AK208" i="2"/>
  <c r="AD1349" i="2"/>
  <c r="AD1148" i="2"/>
  <c r="AD1184" i="2"/>
  <c r="AD1260" i="2"/>
  <c r="AE1260" i="2" s="1"/>
  <c r="AD1376" i="2"/>
  <c r="AM1376" i="2" s="1"/>
  <c r="AD2389" i="2"/>
  <c r="AD657" i="2"/>
  <c r="AM657" i="2" s="1"/>
  <c r="AD1264" i="2"/>
  <c r="AD1175" i="2"/>
  <c r="AM1175" i="2" s="1"/>
  <c r="AD1437" i="2"/>
  <c r="AJ1437" i="2"/>
  <c r="AJ126" i="2"/>
  <c r="AJ143" i="2"/>
  <c r="AD2162" i="2"/>
  <c r="AM2162" i="2" s="1"/>
  <c r="AM1562" i="2"/>
  <c r="AD2181" i="2"/>
  <c r="AD710" i="2"/>
  <c r="AJ710" i="2"/>
  <c r="AJ18" i="2"/>
  <c r="AD2109" i="2"/>
  <c r="AJ2109" i="2"/>
  <c r="AD2023" i="2"/>
  <c r="AM2023" i="2" s="1"/>
  <c r="AD1486" i="2"/>
  <c r="AE1486" i="2" s="1"/>
  <c r="AD1171" i="2"/>
  <c r="AE1171" i="2" s="1"/>
  <c r="AD2077" i="2"/>
  <c r="AD1483" i="2"/>
  <c r="AJ1483" i="2"/>
  <c r="AD346" i="2"/>
  <c r="AK346" i="2"/>
  <c r="AD282" i="2"/>
  <c r="AK282" i="2"/>
  <c r="AD1513" i="2"/>
  <c r="AK1513" i="2"/>
  <c r="AK60" i="2"/>
  <c r="AD1707" i="2"/>
  <c r="AJ1707" i="2"/>
  <c r="AA94" i="2"/>
  <c r="AF94" i="2" s="1"/>
  <c r="AB94" i="2"/>
  <c r="AC94" i="2"/>
  <c r="AJ17" i="2"/>
  <c r="AD1951" i="2"/>
  <c r="AJ1951" i="2"/>
  <c r="AD2091" i="2"/>
  <c r="AJ2091" i="2"/>
  <c r="AD1994" i="2"/>
  <c r="AJ1994" i="2"/>
  <c r="AK166" i="2"/>
  <c r="AD258" i="2"/>
  <c r="AK258" i="2"/>
  <c r="AD1429" i="2"/>
  <c r="AJ1429" i="2"/>
  <c r="AD2403" i="2"/>
  <c r="AJ2403" i="2"/>
  <c r="AD290" i="2"/>
  <c r="AK290" i="2"/>
  <c r="AD1733" i="2"/>
  <c r="AK1733" i="2"/>
  <c r="AD2063" i="2"/>
  <c r="AJ2063" i="2"/>
  <c r="AD2015" i="2"/>
  <c r="AJ2015" i="2"/>
  <c r="AD226" i="2"/>
  <c r="AK226" i="2"/>
  <c r="AD986" i="2"/>
  <c r="AJ986" i="2"/>
  <c r="AJ484" i="2"/>
  <c r="AD1691" i="2"/>
  <c r="AJ1691" i="2"/>
  <c r="AD333" i="2"/>
  <c r="AJ333" i="2"/>
  <c r="AD235" i="2"/>
  <c r="AD2049" i="2"/>
  <c r="AA39" i="2"/>
  <c r="AF39" i="2" s="1"/>
  <c r="AB39" i="2"/>
  <c r="AC39" i="2"/>
  <c r="AJ532" i="2"/>
  <c r="AD353" i="2"/>
  <c r="AJ353" i="2"/>
  <c r="AD1397" i="2"/>
  <c r="AJ1397" i="2"/>
  <c r="AD1521" i="2"/>
  <c r="AK1521" i="2"/>
  <c r="AD1725" i="2"/>
  <c r="AJ1725" i="2"/>
  <c r="AD2169" i="2"/>
  <c r="AD672" i="2"/>
  <c r="AM672" i="2" s="1"/>
  <c r="AD963" i="2"/>
  <c r="AE963" i="2" s="1"/>
  <c r="AD1019" i="2"/>
  <c r="AE1019" i="2" s="1"/>
  <c r="AD1328" i="2"/>
  <c r="AD1360" i="2"/>
  <c r="AE1360" i="2" s="1"/>
  <c r="AD1550" i="2"/>
  <c r="AE1550" i="2" s="1"/>
  <c r="AD2102" i="2"/>
  <c r="AE2102" i="2" s="1"/>
  <c r="AD1123" i="2"/>
  <c r="AM1123" i="2" s="1"/>
  <c r="AD2161" i="2"/>
  <c r="AE2161" i="2" s="1"/>
  <c r="AA108" i="2"/>
  <c r="AF108" i="2" s="1"/>
  <c r="AB108" i="2"/>
  <c r="AC108" i="2"/>
  <c r="AD1449" i="2"/>
  <c r="AK1449" i="2"/>
  <c r="AD2149" i="2"/>
  <c r="AA203" i="2"/>
  <c r="AF203" i="2" s="1"/>
  <c r="AB203" i="2"/>
  <c r="AC203" i="2"/>
  <c r="AD1739" i="2"/>
  <c r="AJ1739" i="2"/>
  <c r="AD390" i="2"/>
  <c r="AJ390" i="2"/>
  <c r="Z198" i="28"/>
  <c r="AD198" i="28" s="1"/>
  <c r="AD1228" i="2"/>
  <c r="AE1228" i="2" s="1"/>
  <c r="AD2070" i="2"/>
  <c r="AE2070" i="2" s="1"/>
  <c r="AM1199" i="2"/>
  <c r="AD338" i="2"/>
  <c r="AE338" i="2" s="1"/>
  <c r="AC131" i="2"/>
  <c r="AA131" i="2"/>
  <c r="AF131" i="2" s="1"/>
  <c r="AB131" i="2"/>
  <c r="AD1479" i="2"/>
  <c r="AJ1479" i="2"/>
  <c r="AD1723" i="2"/>
  <c r="AJ1723" i="2"/>
  <c r="AD1116" i="2"/>
  <c r="AE1116" i="2" s="1"/>
  <c r="AD1196" i="2"/>
  <c r="AE1196" i="2" s="1"/>
  <c r="AD1239" i="2"/>
  <c r="AM1239" i="2" s="1"/>
  <c r="AD2021" i="2"/>
  <c r="AD1729" i="2"/>
  <c r="AD954" i="2"/>
  <c r="AJ954" i="2"/>
  <c r="AD1887" i="2"/>
  <c r="AJ1887" i="2"/>
  <c r="AD1915" i="2"/>
  <c r="AJ1915" i="2"/>
  <c r="AM1247" i="2"/>
  <c r="AD977" i="2"/>
  <c r="AJ977" i="2"/>
  <c r="AJ98" i="2"/>
  <c r="AD238" i="2"/>
  <c r="AK238" i="2"/>
  <c r="AD1949" i="2"/>
  <c r="AJ1949" i="2"/>
  <c r="AD218" i="2"/>
  <c r="AK218" i="2"/>
  <c r="AC57" i="2"/>
  <c r="AA57" i="2"/>
  <c r="AF57" i="2" s="1"/>
  <c r="AB57" i="2"/>
  <c r="AA70" i="2"/>
  <c r="AF70" i="2" s="1"/>
  <c r="AB70" i="2"/>
  <c r="AC70" i="2"/>
  <c r="AE283" i="2"/>
  <c r="AM283" i="2"/>
  <c r="AD103" i="2"/>
  <c r="AJ103" i="2"/>
  <c r="AD1809" i="2"/>
  <c r="AK1809" i="2"/>
  <c r="AD291" i="2"/>
  <c r="AJ291" i="2"/>
  <c r="AD1421" i="2"/>
  <c r="AJ1421" i="2"/>
  <c r="AK194" i="2"/>
  <c r="AD357" i="2"/>
  <c r="AJ357" i="2"/>
  <c r="AD734" i="2"/>
  <c r="AJ734" i="2"/>
  <c r="AD1101" i="2"/>
  <c r="AJ1101" i="2"/>
  <c r="AD2011" i="2"/>
  <c r="AJ2011" i="2"/>
  <c r="AD2279" i="2"/>
  <c r="AJ2279" i="2"/>
  <c r="AD2405" i="2"/>
  <c r="AC125" i="2"/>
  <c r="AA125" i="2"/>
  <c r="AF125" i="2" s="1"/>
  <c r="AB125" i="2"/>
  <c r="AD318" i="2"/>
  <c r="AK318" i="2"/>
  <c r="AD1461" i="2"/>
  <c r="AJ1461" i="2"/>
  <c r="AD2347" i="2"/>
  <c r="AJ2347" i="2"/>
  <c r="AJ692" i="2"/>
  <c r="AD2387" i="2"/>
  <c r="AJ2387" i="2"/>
  <c r="AD1033" i="2"/>
  <c r="AJ1033" i="2"/>
  <c r="AD254" i="2"/>
  <c r="AK254" i="2"/>
  <c r="AD920" i="2"/>
  <c r="AJ920" i="2"/>
  <c r="AD1857" i="2"/>
  <c r="AK1857" i="2"/>
  <c r="AD2289" i="2"/>
  <c r="AD904" i="2"/>
  <c r="AE904" i="2" s="1"/>
  <c r="AD828" i="2"/>
  <c r="AE828" i="2" s="1"/>
  <c r="AA161" i="2"/>
  <c r="AF161" i="2" s="1"/>
  <c r="AB161" i="2"/>
  <c r="AC161" i="2"/>
  <c r="AC122" i="2"/>
  <c r="AA122" i="2"/>
  <c r="AF122" i="2" s="1"/>
  <c r="AB122" i="2"/>
  <c r="AK8" i="2"/>
  <c r="AJ148" i="2"/>
  <c r="AJ80" i="2"/>
  <c r="AD1481" i="2"/>
  <c r="AK1481" i="2"/>
  <c r="AD2371" i="2"/>
  <c r="AJ2371" i="2"/>
  <c r="AD1469" i="2"/>
  <c r="AJ1469" i="2"/>
  <c r="AD1727" i="2"/>
  <c r="AJ1727" i="2"/>
  <c r="AD2014" i="2"/>
  <c r="AJ2014" i="2"/>
  <c r="AD230" i="2"/>
  <c r="AK230" i="2"/>
  <c r="AD1489" i="2"/>
  <c r="AK1489" i="2"/>
  <c r="AD1787" i="2"/>
  <c r="AJ1787" i="2"/>
  <c r="AD2277" i="2"/>
  <c r="AJ2277" i="2"/>
  <c r="AD246" i="2"/>
  <c r="AK246" i="2"/>
  <c r="AD1851" i="2"/>
  <c r="AJ1851" i="2"/>
  <c r="AD233" i="2"/>
  <c r="AJ233" i="2"/>
  <c r="AD1561" i="2"/>
  <c r="AE1561" i="2" s="1"/>
  <c r="AD2245" i="2"/>
  <c r="AA73" i="2"/>
  <c r="AF73" i="2" s="1"/>
  <c r="AB73" i="2"/>
  <c r="AC73" i="2"/>
  <c r="AJ44" i="2"/>
  <c r="AK85" i="2"/>
  <c r="AD249" i="2"/>
  <c r="AJ249" i="2"/>
  <c r="AK157" i="2"/>
  <c r="AD327" i="2"/>
  <c r="AJ327" i="2"/>
  <c r="AD1775" i="2"/>
  <c r="AJ1775" i="2"/>
  <c r="AD969" i="2"/>
  <c r="AJ969" i="2"/>
  <c r="AD2283" i="2"/>
  <c r="AJ2283" i="2"/>
  <c r="AD281" i="2"/>
  <c r="AJ281" i="2"/>
  <c r="AD956" i="2"/>
  <c r="AJ956" i="2"/>
  <c r="AD1559" i="2"/>
  <c r="AJ1559" i="2"/>
  <c r="AD1977" i="2"/>
  <c r="AK1977" i="2"/>
  <c r="AD2323" i="2"/>
  <c r="AJ2323" i="2"/>
  <c r="AD2317" i="2"/>
  <c r="AJ2317" i="2"/>
  <c r="AD1079" i="2"/>
  <c r="AE1079" i="2" s="1"/>
  <c r="AA72" i="2"/>
  <c r="AF72" i="2" s="1"/>
  <c r="AB72" i="2"/>
  <c r="AC72" i="2"/>
  <c r="AK65" i="2"/>
  <c r="AD64" i="2"/>
  <c r="AJ64" i="2"/>
  <c r="AD750" i="2"/>
  <c r="AJ750" i="2"/>
  <c r="AD2027" i="2"/>
  <c r="AJ2027" i="2"/>
  <c r="AD2395" i="2"/>
  <c r="AJ2395" i="2"/>
  <c r="AD2071" i="2"/>
  <c r="AJ2071" i="2"/>
  <c r="AD1793" i="2"/>
  <c r="AJ1793" i="2"/>
  <c r="AD2411" i="2"/>
  <c r="AJ2411" i="2"/>
  <c r="AD265" i="2"/>
  <c r="AJ265" i="2"/>
  <c r="AD1040" i="2"/>
  <c r="AJ1040" i="2"/>
  <c r="AD1627" i="2"/>
  <c r="AJ1627" i="2"/>
  <c r="AD2339" i="2"/>
  <c r="AJ2339" i="2"/>
  <c r="AD274" i="2"/>
  <c r="AK274" i="2"/>
  <c r="AD1595" i="2"/>
  <c r="AJ1595" i="2"/>
  <c r="AD1933" i="2"/>
  <c r="AJ1933" i="2"/>
  <c r="AD2069" i="2"/>
  <c r="AK2069" i="2"/>
  <c r="AD1825" i="2"/>
  <c r="AD2233" i="2"/>
  <c r="AD1315" i="2"/>
  <c r="AE1315" i="2" s="1"/>
  <c r="AJ46" i="2"/>
  <c r="AK14" i="2"/>
  <c r="AD354" i="2"/>
  <c r="AK354" i="2"/>
  <c r="AD251" i="2"/>
  <c r="AJ251" i="2"/>
  <c r="AD345" i="2"/>
  <c r="AJ345" i="2"/>
  <c r="AD1495" i="2"/>
  <c r="AJ1495" i="2"/>
  <c r="AD1855" i="2"/>
  <c r="AJ1855" i="2"/>
  <c r="AD2253" i="2"/>
  <c r="AJ2253" i="2"/>
  <c r="AD1675" i="2"/>
  <c r="AJ1675" i="2"/>
  <c r="AD128" i="2"/>
  <c r="AK128" i="2"/>
  <c r="AD1409" i="2"/>
  <c r="AJ1409" i="2"/>
  <c r="AD1659" i="2"/>
  <c r="AJ1659" i="2"/>
  <c r="AD2087" i="2"/>
  <c r="AJ2087" i="2"/>
  <c r="AD2363" i="2"/>
  <c r="AJ2363" i="2"/>
  <c r="AD310" i="2"/>
  <c r="AK310" i="2"/>
  <c r="AD1623" i="2"/>
  <c r="AJ1623" i="2"/>
  <c r="AD1947" i="2"/>
  <c r="AJ1947" i="2"/>
  <c r="AD2379" i="2"/>
  <c r="AJ2379" i="2"/>
  <c r="AD1989" i="2"/>
  <c r="AK34" i="2"/>
  <c r="AD454" i="2"/>
  <c r="AJ454" i="2"/>
  <c r="AD2189" i="2"/>
  <c r="AJ2189" i="2"/>
  <c r="AD313" i="2"/>
  <c r="AJ313" i="2"/>
  <c r="AD278" i="2"/>
  <c r="AK278" i="2"/>
  <c r="AK110" i="2"/>
  <c r="AD199" i="2"/>
  <c r="AK199" i="2"/>
  <c r="AD1041" i="2"/>
  <c r="AJ1041" i="2"/>
  <c r="AD1445" i="2"/>
  <c r="AJ1445" i="2"/>
  <c r="AD2099" i="2"/>
  <c r="AJ2099" i="2"/>
  <c r="AD2373" i="2"/>
  <c r="AJ2373" i="2"/>
  <c r="AD1995" i="2"/>
  <c r="AJ1995" i="2"/>
  <c r="AD2155" i="2"/>
  <c r="AJ2155" i="2"/>
  <c r="AD1139" i="2"/>
  <c r="AM1139" i="2" s="1"/>
  <c r="AD2324" i="2"/>
  <c r="AE2324" i="2" s="1"/>
  <c r="AK86" i="2"/>
  <c r="AD137" i="2"/>
  <c r="AK137" i="2"/>
  <c r="AD289" i="2"/>
  <c r="AJ289" i="2"/>
  <c r="AD1001" i="2"/>
  <c r="AJ1001" i="2"/>
  <c r="AD361" i="2"/>
  <c r="AJ361" i="2"/>
  <c r="AD536" i="2"/>
  <c r="AK536" i="2"/>
  <c r="AD1745" i="2"/>
  <c r="AK1745" i="2"/>
  <c r="AD2341" i="2"/>
  <c r="AJ2341" i="2"/>
  <c r="AD1084" i="2"/>
  <c r="AJ1084" i="2"/>
  <c r="AD1515" i="2"/>
  <c r="AJ1515" i="2"/>
  <c r="AD225" i="2"/>
  <c r="AJ225" i="2"/>
  <c r="AD694" i="2"/>
  <c r="AJ694" i="2"/>
  <c r="AD1755" i="2"/>
  <c r="AJ1755" i="2"/>
  <c r="AD2213" i="2"/>
  <c r="AA71" i="2"/>
  <c r="AF71" i="2" s="1"/>
  <c r="AB71" i="2"/>
  <c r="AC71" i="2"/>
  <c r="AA91" i="2"/>
  <c r="AF91" i="2" s="1"/>
  <c r="AB91" i="2"/>
  <c r="AC91" i="2"/>
  <c r="AD80" i="8"/>
  <c r="AC80" i="8"/>
  <c r="AB80" i="8"/>
  <c r="AA80" i="8"/>
  <c r="AD61" i="8"/>
  <c r="AA61" i="8"/>
  <c r="AC61" i="8"/>
  <c r="AB61" i="8"/>
  <c r="AD1008" i="2"/>
  <c r="AJ1008" i="2"/>
  <c r="AJ54" i="2"/>
  <c r="AD2259" i="2"/>
  <c r="AJ2259" i="2"/>
  <c r="AD1905" i="2"/>
  <c r="AJ1905" i="2"/>
  <c r="AD240" i="2"/>
  <c r="AJ240" i="2"/>
  <c r="AD2123" i="2"/>
  <c r="AJ2123" i="2"/>
  <c r="AE1072" i="2"/>
  <c r="AM1072" i="2"/>
  <c r="AD1050" i="2"/>
  <c r="AJ1050" i="2"/>
  <c r="AD1149" i="2"/>
  <c r="AE1149" i="2" s="1"/>
  <c r="AD1035" i="2"/>
  <c r="AM1035" i="2" s="1"/>
  <c r="AD1292" i="2"/>
  <c r="AE1292" i="2" s="1"/>
  <c r="AD1699" i="2"/>
  <c r="AM1699" i="2" s="1"/>
  <c r="AD1383" i="2"/>
  <c r="AM1383" i="2" s="1"/>
  <c r="AD2226" i="2"/>
  <c r="AM2226" i="2" s="1"/>
  <c r="AD2322" i="2"/>
  <c r="AM2322" i="2" s="1"/>
  <c r="AD2418" i="2"/>
  <c r="AM2418" i="2" s="1"/>
  <c r="AD1091" i="2"/>
  <c r="AE1091" i="2" s="1"/>
  <c r="AD2220" i="2"/>
  <c r="AE2220" i="2" s="1"/>
  <c r="AD2384" i="2"/>
  <c r="AE2384" i="2" s="1"/>
  <c r="AA123" i="2"/>
  <c r="AF123" i="2" s="1"/>
  <c r="AB123" i="2"/>
  <c r="AC123" i="2"/>
  <c r="AD198" i="8"/>
  <c r="AA198" i="8"/>
  <c r="AB198" i="8"/>
  <c r="AC198" i="8"/>
  <c r="AD174" i="8"/>
  <c r="AB174" i="8"/>
  <c r="AC174" i="8"/>
  <c r="AA174" i="8"/>
  <c r="AE392" i="2"/>
  <c r="AD211" i="2"/>
  <c r="AK211" i="2"/>
  <c r="AD273" i="2"/>
  <c r="AJ273" i="2"/>
  <c r="AD908" i="2"/>
  <c r="AJ908" i="2"/>
  <c r="AJ47" i="2"/>
  <c r="AD604" i="2"/>
  <c r="AJ604" i="2"/>
  <c r="AD1009" i="2"/>
  <c r="AJ1009" i="2"/>
  <c r="AD1405" i="2"/>
  <c r="AJ1405" i="2"/>
  <c r="AD1703" i="2"/>
  <c r="AJ1703" i="2"/>
  <c r="AD2085" i="2"/>
  <c r="AK2085" i="2"/>
  <c r="AD314" i="2"/>
  <c r="AK314" i="2"/>
  <c r="AD22" i="2"/>
  <c r="AJ22" i="2"/>
  <c r="AD766" i="2"/>
  <c r="AJ766" i="2"/>
  <c r="AE1020" i="2"/>
  <c r="AM1020" i="2"/>
  <c r="AD113" i="2"/>
  <c r="AJ113" i="2"/>
  <c r="AD321" i="2"/>
  <c r="AJ321" i="2"/>
  <c r="AD2243" i="2"/>
  <c r="AJ2243" i="2"/>
  <c r="AD1527" i="2"/>
  <c r="AJ1527" i="2"/>
  <c r="AD1965" i="2"/>
  <c r="AJ1965" i="2"/>
  <c r="AD2163" i="2"/>
  <c r="AJ2163" i="2"/>
  <c r="AD147" i="2"/>
  <c r="AJ147" i="2"/>
  <c r="AD712" i="2"/>
  <c r="AJ712" i="2"/>
  <c r="AD2427" i="2"/>
  <c r="AJ2427" i="2"/>
  <c r="AD1873" i="2"/>
  <c r="AK1873" i="2"/>
  <c r="AD2275" i="2"/>
  <c r="AJ2275" i="2"/>
  <c r="AD782" i="2"/>
  <c r="AJ782" i="2"/>
  <c r="AD1511" i="2"/>
  <c r="AJ1511" i="2"/>
  <c r="AD1643" i="2"/>
  <c r="AJ1643" i="2"/>
  <c r="AD2057" i="2"/>
  <c r="AK2057" i="2"/>
  <c r="AD2183" i="2"/>
  <c r="AJ2183" i="2"/>
  <c r="AD2247" i="2"/>
  <c r="AJ2247" i="2"/>
  <c r="AD2355" i="2"/>
  <c r="AJ2355" i="2"/>
  <c r="AD297" i="2"/>
  <c r="AJ297" i="2"/>
  <c r="AJ179" i="2"/>
  <c r="AD2227" i="2"/>
  <c r="AJ2227" i="2"/>
  <c r="AD976" i="2"/>
  <c r="AJ976" i="2"/>
  <c r="AD2131" i="2"/>
  <c r="AJ2131" i="2"/>
  <c r="AD1565" i="2"/>
  <c r="AJ1565" i="2"/>
  <c r="AD616" i="2"/>
  <c r="AE616" i="2" s="1"/>
  <c r="AD1702" i="2"/>
  <c r="AE1702" i="2" s="1"/>
  <c r="AD1487" i="2"/>
  <c r="AM1487" i="2" s="1"/>
  <c r="AD1647" i="2"/>
  <c r="AM1647" i="2" s="1"/>
  <c r="AD2034" i="2"/>
  <c r="AE2034" i="2" s="1"/>
  <c r="AM1359" i="2"/>
  <c r="AD2166" i="2"/>
  <c r="AM2166" i="2" s="1"/>
  <c r="AD2262" i="2"/>
  <c r="AM2262" i="2" s="1"/>
  <c r="AM2117" i="2"/>
  <c r="AD964" i="2"/>
  <c r="AM964" i="2" s="1"/>
  <c r="AD1391" i="2"/>
  <c r="AD456" i="2"/>
  <c r="AD1107" i="2"/>
  <c r="AM1107" i="2" s="1"/>
  <c r="AD2225" i="2"/>
  <c r="AC50" i="2"/>
  <c r="AB50" i="2"/>
  <c r="AA50" i="2"/>
  <c r="AF50" i="2" s="1"/>
  <c r="AD149" i="8"/>
  <c r="AC149" i="8"/>
  <c r="AB149" i="8"/>
  <c r="AA149" i="8"/>
  <c r="AK100" i="2"/>
  <c r="AD162" i="8"/>
  <c r="AC162" i="8"/>
  <c r="AA162" i="8"/>
  <c r="AB162" i="8"/>
  <c r="AD168" i="8"/>
  <c r="AA168" i="8"/>
  <c r="AC168" i="8"/>
  <c r="AB168" i="8"/>
  <c r="AE696" i="2"/>
  <c r="AJ61" i="2"/>
  <c r="AD743" i="2"/>
  <c r="AK743" i="2"/>
  <c r="AD1823" i="2"/>
  <c r="AJ1823" i="2"/>
  <c r="AD636" i="2"/>
  <c r="AJ636" i="2"/>
  <c r="AD306" i="2"/>
  <c r="AK306" i="2"/>
  <c r="AD168" i="2"/>
  <c r="AK168" i="2"/>
  <c r="AD241" i="2"/>
  <c r="AJ241" i="2"/>
  <c r="AD347" i="2"/>
  <c r="AJ347" i="2"/>
  <c r="AD1082" i="2"/>
  <c r="AJ1082" i="2"/>
  <c r="AD2093" i="2"/>
  <c r="AJ2093" i="2"/>
  <c r="AD12" i="2"/>
  <c r="AD222" i="2"/>
  <c r="AK222" i="2"/>
  <c r="AD217" i="2"/>
  <c r="AJ217" i="2"/>
  <c r="AD267" i="2"/>
  <c r="AJ267" i="2"/>
  <c r="AJ116" i="2"/>
  <c r="AD1759" i="2"/>
  <c r="AJ1759" i="2"/>
  <c r="AD1993" i="2"/>
  <c r="AK1993" i="2"/>
  <c r="AD151" i="2"/>
  <c r="AJ151" i="2"/>
  <c r="AD1819" i="2"/>
  <c r="AJ1819" i="2"/>
  <c r="AD2157" i="2"/>
  <c r="AJ2157" i="2"/>
  <c r="AD2195" i="2"/>
  <c r="AJ2195" i="2"/>
  <c r="AD149" i="2"/>
  <c r="AJ149" i="2"/>
  <c r="AD1777" i="2"/>
  <c r="AK1777" i="2"/>
  <c r="AK81" i="2"/>
  <c r="AD1937" i="2"/>
  <c r="AJ1937" i="2"/>
  <c r="AD181" i="8"/>
  <c r="AB181" i="8"/>
  <c r="AA181" i="8"/>
  <c r="AC181" i="8"/>
  <c r="AD1889" i="2"/>
  <c r="AJ1889" i="2"/>
  <c r="AD673" i="2"/>
  <c r="AE673" i="2" s="1"/>
  <c r="AD1189" i="2"/>
  <c r="AM1189" i="2" s="1"/>
  <c r="AD1393" i="2"/>
  <c r="AM1393" i="2" s="1"/>
  <c r="AD1790" i="2"/>
  <c r="AM1790" i="2" s="1"/>
  <c r="AD1095" i="2"/>
  <c r="AM1095" i="2" s="1"/>
  <c r="AD1223" i="2"/>
  <c r="AE1223" i="2" s="1"/>
  <c r="AD1351" i="2"/>
  <c r="AE1351" i="2" s="1"/>
  <c r="AM1962" i="2"/>
  <c r="AM1119" i="2"/>
  <c r="AD2177" i="2"/>
  <c r="AD2400" i="2"/>
  <c r="AM2400" i="2" s="1"/>
  <c r="AC75" i="2"/>
  <c r="AB75" i="2"/>
  <c r="AA75" i="2"/>
  <c r="AF75" i="2" s="1"/>
  <c r="AD117" i="8"/>
  <c r="AC117" i="8"/>
  <c r="AA117" i="8"/>
  <c r="AB117" i="8"/>
  <c r="AD86" i="8"/>
  <c r="AA86" i="8"/>
  <c r="AC86" i="8"/>
  <c r="AB86" i="8"/>
  <c r="AD130" i="8"/>
  <c r="AC130" i="8"/>
  <c r="AA130" i="8"/>
  <c r="AB130" i="8"/>
  <c r="AD1018" i="2"/>
  <c r="AJ1018" i="2"/>
  <c r="AE304" i="2"/>
  <c r="AM304" i="2"/>
  <c r="AD791" i="2"/>
  <c r="AK791" i="2"/>
  <c r="AD680" i="2"/>
  <c r="AJ680" i="2"/>
  <c r="AD988" i="2"/>
  <c r="AJ988" i="2"/>
  <c r="AD1607" i="2"/>
  <c r="AJ1607" i="2"/>
  <c r="AD257" i="2"/>
  <c r="AJ257" i="2"/>
  <c r="AD2103" i="2"/>
  <c r="AJ2103" i="2"/>
  <c r="AD305" i="2"/>
  <c r="AJ305" i="2"/>
  <c r="AD552" i="2"/>
  <c r="AK552" i="2"/>
  <c r="AD176" i="2"/>
  <c r="AK176" i="2"/>
  <c r="AD528" i="2"/>
  <c r="AJ528" i="2"/>
  <c r="AD2115" i="2"/>
  <c r="AJ2115" i="2"/>
  <c r="AD2291" i="2"/>
  <c r="AJ2291" i="2"/>
  <c r="AD373" i="2"/>
  <c r="AJ373" i="2"/>
  <c r="AD1871" i="2"/>
  <c r="AJ1871" i="2"/>
  <c r="AD2251" i="2"/>
  <c r="AJ2251" i="2"/>
  <c r="AD2211" i="2"/>
  <c r="AJ2211" i="2"/>
  <c r="AE812" i="2"/>
  <c r="AM812" i="2"/>
  <c r="AD1073" i="2"/>
  <c r="AJ1073" i="2"/>
  <c r="AD1655" i="2"/>
  <c r="AJ1655" i="2"/>
  <c r="AE315" i="2"/>
  <c r="AM315" i="2"/>
  <c r="AE256" i="2"/>
  <c r="AM256" i="2"/>
  <c r="AD173" i="2"/>
  <c r="AJ173" i="2"/>
  <c r="AK68" i="2"/>
  <c r="AD1269" i="2"/>
  <c r="AM1269" i="2" s="1"/>
  <c r="AD1333" i="2"/>
  <c r="AE1333" i="2" s="1"/>
  <c r="AD1195" i="2"/>
  <c r="AM1195" i="2" s="1"/>
  <c r="AD2110" i="2"/>
  <c r="AM2110" i="2" s="1"/>
  <c r="AD2206" i="2"/>
  <c r="AE2206" i="2" s="1"/>
  <c r="AD572" i="2"/>
  <c r="AM572" i="2" s="1"/>
  <c r="AD2097" i="2"/>
  <c r="AD1709" i="2"/>
  <c r="AE1709" i="2" s="1"/>
  <c r="AC162" i="2"/>
  <c r="AB162" i="2"/>
  <c r="AA162" i="2"/>
  <c r="AF162" i="2" s="1"/>
  <c r="AD42" i="8"/>
  <c r="AC42" i="8"/>
  <c r="AB42" i="8"/>
  <c r="AA42" i="8"/>
  <c r="AD48" i="8"/>
  <c r="AC48" i="8"/>
  <c r="AB48" i="8"/>
  <c r="AA48" i="8"/>
  <c r="AD92" i="8"/>
  <c r="AA92" i="8"/>
  <c r="AC92" i="8"/>
  <c r="AB92" i="8"/>
  <c r="AE892" i="2"/>
  <c r="AM892" i="2"/>
  <c r="AJ84" i="2"/>
  <c r="AD335" i="2"/>
  <c r="AJ335" i="2"/>
  <c r="AD727" i="2"/>
  <c r="AK727" i="2"/>
  <c r="AD416" i="2"/>
  <c r="AK416" i="2"/>
  <c r="AD824" i="2"/>
  <c r="AJ824" i="2"/>
  <c r="AD1743" i="2"/>
  <c r="AJ1743" i="2"/>
  <c r="AD2107" i="2"/>
  <c r="AJ2107" i="2"/>
  <c r="AD364" i="2"/>
  <c r="AK364" i="2"/>
  <c r="AD1553" i="2"/>
  <c r="AJ1553" i="2"/>
  <c r="AM1133" i="2"/>
  <c r="AD1841" i="2"/>
  <c r="AK1841" i="2"/>
  <c r="AD169" i="2"/>
  <c r="AD1585" i="2"/>
  <c r="AJ1585" i="2"/>
  <c r="AD2343" i="2"/>
  <c r="AJ2343" i="2"/>
  <c r="AD219" i="2"/>
  <c r="AJ219" i="2"/>
  <c r="AD1579" i="2"/>
  <c r="AJ1579" i="2"/>
  <c r="AE259" i="2"/>
  <c r="AM259" i="2"/>
  <c r="AD840" i="2"/>
  <c r="AJ840" i="2"/>
  <c r="AD250" i="2"/>
  <c r="AK250" i="2"/>
  <c r="AD1433" i="2"/>
  <c r="AJ1433" i="2"/>
  <c r="AD2215" i="2"/>
  <c r="AJ2215" i="2"/>
  <c r="AD2311" i="2"/>
  <c r="AJ2311" i="2"/>
  <c r="AD120" i="2"/>
  <c r="AK120" i="2"/>
  <c r="AD1981" i="2"/>
  <c r="AJ1981" i="2"/>
  <c r="AD1639" i="2"/>
  <c r="AJ1639" i="2"/>
  <c r="AD752" i="2"/>
  <c r="AE752" i="2" s="1"/>
  <c r="AD1273" i="2"/>
  <c r="AE1273" i="2" s="1"/>
  <c r="AD1180" i="2"/>
  <c r="AE1180" i="2" s="1"/>
  <c r="AD1212" i="2"/>
  <c r="AE1212" i="2" s="1"/>
  <c r="AD1308" i="2"/>
  <c r="AE1308" i="2" s="1"/>
  <c r="AD1372" i="2"/>
  <c r="AE1372" i="2" s="1"/>
  <c r="AD1491" i="2"/>
  <c r="AM1491" i="2" s="1"/>
  <c r="AD1587" i="2"/>
  <c r="AE1587" i="2" s="1"/>
  <c r="AD1319" i="2"/>
  <c r="AM1319" i="2" s="1"/>
  <c r="AD1243" i="2"/>
  <c r="AE1243" i="2" s="1"/>
  <c r="AM1151" i="2"/>
  <c r="AD2178" i="2"/>
  <c r="AE2178" i="2" s="1"/>
  <c r="AD2306" i="2"/>
  <c r="AE2306" i="2" s="1"/>
  <c r="AD405" i="2"/>
  <c r="AM405" i="2" s="1"/>
  <c r="AD1155" i="2"/>
  <c r="AE1155" i="2" s="1"/>
  <c r="AD1741" i="2"/>
  <c r="AM1741" i="2" s="1"/>
  <c r="AD2241" i="2"/>
  <c r="AD2416" i="2"/>
  <c r="AE2416" i="2" s="1"/>
  <c r="AA48" i="2"/>
  <c r="AF48" i="2" s="1"/>
  <c r="AB48" i="2"/>
  <c r="AC48" i="2"/>
  <c r="AD54" i="8"/>
  <c r="AA54" i="8"/>
  <c r="AB54" i="8"/>
  <c r="AC54" i="8"/>
  <c r="J53" i="13"/>
  <c r="B53" i="13"/>
  <c r="I53" i="13"/>
  <c r="H53" i="13"/>
  <c r="G53" i="13"/>
  <c r="F53" i="13"/>
  <c r="AD262" i="2"/>
  <c r="AK262" i="2"/>
  <c r="AM1052" i="2"/>
  <c r="AD1671" i="2"/>
  <c r="AJ1671" i="2"/>
  <c r="AD26" i="2"/>
  <c r="AK26" i="2"/>
  <c r="AD66" i="2"/>
  <c r="AJ66" i="2"/>
  <c r="AD140" i="2"/>
  <c r="AK140" i="2"/>
  <c r="AD2013" i="2"/>
  <c r="AJ2013" i="2"/>
  <c r="AD177" i="2"/>
  <c r="AK177" i="2"/>
  <c r="AD1979" i="2"/>
  <c r="AJ1979" i="2"/>
  <c r="AD37" i="2"/>
  <c r="AK37" i="2"/>
  <c r="AD234" i="2"/>
  <c r="AK234" i="2"/>
  <c r="AD337" i="2"/>
  <c r="AJ337" i="2"/>
  <c r="AD596" i="2"/>
  <c r="AJ596" i="2"/>
  <c r="AD844" i="2"/>
  <c r="AJ844" i="2"/>
  <c r="AE1961" i="2"/>
  <c r="AM1961" i="2"/>
  <c r="AD242" i="2"/>
  <c r="AK242" i="2"/>
  <c r="AD2315" i="2"/>
  <c r="AJ2315" i="2"/>
  <c r="AD2075" i="2"/>
  <c r="AJ2075" i="2"/>
  <c r="AD876" i="2"/>
  <c r="AJ876" i="2"/>
  <c r="AD1883" i="2"/>
  <c r="AJ1883" i="2"/>
  <c r="AD2285" i="2"/>
  <c r="AJ2285" i="2"/>
  <c r="AD962" i="2"/>
  <c r="AJ962" i="2"/>
  <c r="AD1717" i="2"/>
  <c r="AK1717" i="2"/>
  <c r="AD266" i="2"/>
  <c r="AK266" i="2"/>
  <c r="AD1713" i="2"/>
  <c r="AJ1713" i="2"/>
  <c r="AD2147" i="2"/>
  <c r="AJ2147" i="2"/>
  <c r="AD349" i="2"/>
  <c r="AJ349" i="2"/>
  <c r="AD1547" i="2"/>
  <c r="AJ1547" i="2"/>
  <c r="AD183" i="2"/>
  <c r="AK183" i="2"/>
  <c r="AD299" i="2"/>
  <c r="AJ299" i="2"/>
  <c r="AD1518" i="2"/>
  <c r="AE1518" i="2" s="1"/>
  <c r="AD1942" i="2"/>
  <c r="AE1942" i="2" s="1"/>
  <c r="AD2214" i="2"/>
  <c r="AE2214" i="2" s="1"/>
  <c r="AD2246" i="2"/>
  <c r="AE2246" i="2" s="1"/>
  <c r="AD2310" i="2"/>
  <c r="AM2297" i="2"/>
  <c r="AM2101" i="2"/>
  <c r="AD516" i="2"/>
  <c r="AE516" i="2" s="1"/>
  <c r="AD2256" i="2"/>
  <c r="AE2256" i="2" s="1"/>
  <c r="AD2353" i="2"/>
  <c r="AA95" i="2"/>
  <c r="AF95" i="2" s="1"/>
  <c r="AB95" i="2"/>
  <c r="AC95" i="2"/>
  <c r="AD187" i="8"/>
  <c r="AA187" i="8"/>
  <c r="AC187" i="8"/>
  <c r="AB187" i="8"/>
  <c r="AD189" i="2"/>
  <c r="AK189" i="2"/>
  <c r="AD422" i="2"/>
  <c r="AJ422" i="2"/>
  <c r="AD775" i="2"/>
  <c r="AK775" i="2"/>
  <c r="AD27" i="2"/>
  <c r="AK27" i="2"/>
  <c r="AD374" i="2"/>
  <c r="AJ374" i="2"/>
  <c r="AD138" i="2"/>
  <c r="AK138" i="2"/>
  <c r="AE936" i="2"/>
  <c r="AM936" i="2"/>
  <c r="AD1577" i="2"/>
  <c r="AJ1577" i="2"/>
  <c r="AD924" i="2"/>
  <c r="AJ924" i="2"/>
  <c r="AD759" i="2"/>
  <c r="AK759" i="2"/>
  <c r="AD678" i="2"/>
  <c r="AJ678" i="2"/>
  <c r="AD1687" i="2"/>
  <c r="AJ1687" i="2"/>
  <c r="AD2187" i="2"/>
  <c r="AJ2187" i="2"/>
  <c r="AD272" i="2"/>
  <c r="AJ272" i="2"/>
  <c r="AD2151" i="2"/>
  <c r="AJ2151" i="2"/>
  <c r="AD1929" i="2"/>
  <c r="AJ1929" i="2"/>
  <c r="AD2281" i="2"/>
  <c r="AJ2281" i="2"/>
  <c r="AD406" i="2"/>
  <c r="AJ406" i="2"/>
  <c r="AD2153" i="2"/>
  <c r="AJ2153" i="2"/>
  <c r="AD2217" i="2"/>
  <c r="AJ2217" i="2"/>
  <c r="AD342" i="2"/>
  <c r="AJ342" i="2"/>
  <c r="AD1807" i="2"/>
  <c r="AJ1807" i="2"/>
  <c r="AK33" i="2"/>
  <c r="AD2058" i="2"/>
  <c r="AJ2058" i="2"/>
  <c r="AD1015" i="2"/>
  <c r="AE1015" i="2" s="1"/>
  <c r="AD1249" i="2"/>
  <c r="AM1249" i="2" s="1"/>
  <c r="AD1377" i="2"/>
  <c r="AE1377" i="2" s="1"/>
  <c r="AD1966" i="2"/>
  <c r="AE1966" i="2" s="1"/>
  <c r="AD1602" i="2"/>
  <c r="AM1602" i="2" s="1"/>
  <c r="AD1666" i="2"/>
  <c r="AE1666" i="2" s="1"/>
  <c r="AD1211" i="2"/>
  <c r="AE1211" i="2" s="1"/>
  <c r="AD2346" i="2"/>
  <c r="AM2346" i="2" s="1"/>
  <c r="AD1187" i="2"/>
  <c r="AE1187" i="2" s="1"/>
  <c r="AD2368" i="2"/>
  <c r="AM2368" i="2" s="1"/>
  <c r="AD1885" i="2"/>
  <c r="AM1885" i="2" s="1"/>
  <c r="AA129" i="2"/>
  <c r="AF129" i="2" s="1"/>
  <c r="AB129" i="2"/>
  <c r="AC129" i="2"/>
  <c r="AA49" i="2"/>
  <c r="AF49" i="2" s="1"/>
  <c r="AB49" i="2"/>
  <c r="AC49" i="2"/>
  <c r="AD110" i="8"/>
  <c r="AC110" i="8"/>
  <c r="AB110" i="8"/>
  <c r="AA110" i="8"/>
  <c r="AD9" i="2"/>
  <c r="AK24" i="2"/>
  <c r="AD136" i="8"/>
  <c r="AB136" i="8"/>
  <c r="AC136" i="8"/>
  <c r="AA136" i="8"/>
  <c r="AE369" i="2"/>
  <c r="AM369" i="2"/>
  <c r="AE384" i="2"/>
  <c r="AM384" i="2"/>
  <c r="AD191" i="2"/>
  <c r="AJ191" i="2"/>
  <c r="AE425" i="2"/>
  <c r="AM425" i="2"/>
  <c r="AD1545" i="2"/>
  <c r="AJ1545" i="2"/>
  <c r="AD323" i="2"/>
  <c r="AJ323" i="2"/>
  <c r="AD860" i="2"/>
  <c r="AJ860" i="2"/>
  <c r="AD2033" i="2"/>
  <c r="AJ2033" i="2"/>
  <c r="AD2125" i="2"/>
  <c r="AJ2125" i="2"/>
  <c r="AD302" i="2"/>
  <c r="AK302" i="2"/>
  <c r="AD1065" i="2"/>
  <c r="AJ1065" i="2"/>
  <c r="AD1711" i="2"/>
  <c r="AJ1711" i="2"/>
  <c r="AD355" i="2"/>
  <c r="AJ355" i="2"/>
  <c r="AD286" i="2"/>
  <c r="AK286" i="2"/>
  <c r="AD994" i="2"/>
  <c r="AJ994" i="2"/>
  <c r="AD1791" i="2"/>
  <c r="AJ1791" i="2"/>
  <c r="AD2179" i="2"/>
  <c r="AJ2179" i="2"/>
  <c r="AD2349" i="2"/>
  <c r="AJ2349" i="2"/>
  <c r="AD1611" i="2"/>
  <c r="AJ1611" i="2"/>
  <c r="AD2081" i="2"/>
  <c r="AJ2081" i="2"/>
  <c r="AD2219" i="2"/>
  <c r="AJ2219" i="2"/>
  <c r="AD288" i="2"/>
  <c r="AJ288" i="2"/>
  <c r="AD940" i="2"/>
  <c r="AK940" i="2"/>
  <c r="AD2221" i="2"/>
  <c r="AJ2221" i="2"/>
  <c r="AD2345" i="2"/>
  <c r="AJ2345" i="2"/>
  <c r="AD294" i="2"/>
  <c r="AK294" i="2"/>
  <c r="AE856" i="2"/>
  <c r="AM856" i="2"/>
  <c r="AD2045" i="2"/>
  <c r="AJ2045" i="2"/>
  <c r="AD2119" i="2"/>
  <c r="AJ2119" i="2"/>
  <c r="AD1575" i="2"/>
  <c r="AJ1575" i="2"/>
  <c r="AD1839" i="2"/>
  <c r="AJ1839" i="2"/>
  <c r="AD2307" i="2"/>
  <c r="AJ2307" i="2"/>
  <c r="AD475" i="2"/>
  <c r="AE475" i="2" s="1"/>
  <c r="AD491" i="2"/>
  <c r="AE491" i="2" s="1"/>
  <c r="AD489" i="2"/>
  <c r="AE489" i="2" s="1"/>
  <c r="AC77" i="2"/>
  <c r="AB77" i="2"/>
  <c r="AG77" i="2" s="1"/>
  <c r="AO77" i="2" s="1"/>
  <c r="AA77" i="2"/>
  <c r="AA105" i="2"/>
  <c r="AC105" i="2"/>
  <c r="AB105" i="2"/>
  <c r="AG105" i="2" s="1"/>
  <c r="AO105" i="2" s="1"/>
  <c r="AA154" i="2"/>
  <c r="AF154" i="2" s="1"/>
  <c r="AB154" i="2"/>
  <c r="AC154" i="2"/>
  <c r="AB107" i="2"/>
  <c r="AG107" i="2" s="1"/>
  <c r="AO107" i="2" s="1"/>
  <c r="AA107" i="2"/>
  <c r="AC107" i="2"/>
  <c r="AB2" i="2"/>
  <c r="AC2" i="2"/>
  <c r="AA2" i="2"/>
  <c r="AF2" i="2" s="1"/>
  <c r="AA130" i="2"/>
  <c r="AF130" i="2" s="1"/>
  <c r="AB130" i="2"/>
  <c r="AC130" i="2"/>
  <c r="AJ43" i="2"/>
  <c r="AJ188" i="2"/>
  <c r="AJ145" i="2"/>
  <c r="AJ213" i="2"/>
  <c r="AD215" i="2"/>
  <c r="AJ215" i="2"/>
  <c r="AD261" i="2"/>
  <c r="AJ261" i="2"/>
  <c r="AD279" i="2"/>
  <c r="AJ279" i="2"/>
  <c r="AE322" i="2"/>
  <c r="AM322" i="2"/>
  <c r="AJ6" i="2"/>
  <c r="AJ11" i="2"/>
  <c r="AJ53" i="2"/>
  <c r="AJ206" i="2"/>
  <c r="AD221" i="2"/>
  <c r="AJ221" i="2"/>
  <c r="AD239" i="2"/>
  <c r="AJ239" i="2"/>
  <c r="AD285" i="2"/>
  <c r="AJ285" i="2"/>
  <c r="AD303" i="2"/>
  <c r="AJ303" i="2"/>
  <c r="AE343" i="2"/>
  <c r="AM343" i="2"/>
  <c r="AD438" i="2"/>
  <c r="AJ438" i="2"/>
  <c r="AJ460" i="2"/>
  <c r="AD51" i="2"/>
  <c r="AE544" i="2"/>
  <c r="AM544" i="2"/>
  <c r="AD726" i="2"/>
  <c r="AJ726" i="2"/>
  <c r="AD758" i="2"/>
  <c r="AJ758" i="2"/>
  <c r="AD790" i="2"/>
  <c r="AJ790" i="2"/>
  <c r="AD985" i="2"/>
  <c r="AJ985" i="2"/>
  <c r="AD1066" i="2"/>
  <c r="AJ1066" i="2"/>
  <c r="AD385" i="2"/>
  <c r="AD448" i="2"/>
  <c r="AJ580" i="2"/>
  <c r="AD730" i="2"/>
  <c r="AJ730" i="2"/>
  <c r="AD755" i="2"/>
  <c r="AK755" i="2"/>
  <c r="AD794" i="2"/>
  <c r="AJ794" i="2"/>
  <c r="AE1193" i="2"/>
  <c r="AM1193" i="2"/>
  <c r="AD232" i="2"/>
  <c r="AE401" i="2"/>
  <c r="AM401" i="2"/>
  <c r="AD421" i="2"/>
  <c r="AJ421" i="2"/>
  <c r="AD441" i="2"/>
  <c r="AJ441" i="2"/>
  <c r="AD449" i="2"/>
  <c r="AJ449" i="2"/>
  <c r="AD280" i="2"/>
  <c r="AD409" i="2"/>
  <c r="AJ409" i="2"/>
  <c r="AJ588" i="2"/>
  <c r="AD688" i="2"/>
  <c r="AJ688" i="2"/>
  <c r="AD754" i="2"/>
  <c r="AJ754" i="2"/>
  <c r="AD804" i="2"/>
  <c r="AJ804" i="2"/>
  <c r="AD868" i="2"/>
  <c r="AJ868" i="2"/>
  <c r="AD932" i="2"/>
  <c r="AJ932" i="2"/>
  <c r="AD968" i="2"/>
  <c r="AJ968" i="2"/>
  <c r="AD1025" i="2"/>
  <c r="AJ1025" i="2"/>
  <c r="AD1044" i="2"/>
  <c r="AJ1044" i="2"/>
  <c r="AD1074" i="2"/>
  <c r="AJ1074" i="2"/>
  <c r="AD1121" i="2"/>
  <c r="AJ1121" i="2"/>
  <c r="AD719" i="2"/>
  <c r="AD880" i="2"/>
  <c r="AE1363" i="2"/>
  <c r="AM1363" i="2"/>
  <c r="AE2172" i="2"/>
  <c r="AM2172" i="2"/>
  <c r="AE2236" i="2"/>
  <c r="AM2236" i="2"/>
  <c r="AM2300" i="2"/>
  <c r="AD715" i="2"/>
  <c r="AD864" i="2"/>
  <c r="AD1004" i="2"/>
  <c r="AE1441" i="2"/>
  <c r="AM1441" i="2"/>
  <c r="AE1517" i="2"/>
  <c r="AM1517" i="2"/>
  <c r="AD731" i="2"/>
  <c r="AD912" i="2"/>
  <c r="AE1525" i="2"/>
  <c r="AM1525" i="2"/>
  <c r="AE1465" i="2"/>
  <c r="AM1465" i="2"/>
  <c r="AD1477" i="2"/>
  <c r="AJ1477" i="2"/>
  <c r="AE1589" i="2"/>
  <c r="AM1589" i="2"/>
  <c r="AD1625" i="2"/>
  <c r="AJ1625" i="2"/>
  <c r="AE1653" i="2"/>
  <c r="AM1653" i="2"/>
  <c r="AD1689" i="2"/>
  <c r="AJ1689" i="2"/>
  <c r="AD1735" i="2"/>
  <c r="AJ1735" i="2"/>
  <c r="AD1773" i="2"/>
  <c r="AJ1773" i="2"/>
  <c r="AD1837" i="2"/>
  <c r="AJ1837" i="2"/>
  <c r="AD1901" i="2"/>
  <c r="AJ1901" i="2"/>
  <c r="AD1931" i="2"/>
  <c r="AJ1931" i="2"/>
  <c r="AD1963" i="2"/>
  <c r="AJ1963" i="2"/>
  <c r="AD2139" i="2"/>
  <c r="AJ2139" i="2"/>
  <c r="AD2267" i="2"/>
  <c r="AJ2267" i="2"/>
  <c r="AE2336" i="2"/>
  <c r="AM2336" i="2"/>
  <c r="AE1497" i="2"/>
  <c r="AM1497" i="2"/>
  <c r="AD1509" i="2"/>
  <c r="AJ1509" i="2"/>
  <c r="AD1569" i="2"/>
  <c r="AJ1569" i="2"/>
  <c r="AD1610" i="2"/>
  <c r="AJ1610" i="2"/>
  <c r="AD1642" i="2"/>
  <c r="AJ1642" i="2"/>
  <c r="AD1674" i="2"/>
  <c r="AJ1674" i="2"/>
  <c r="AD1706" i="2"/>
  <c r="AJ1706" i="2"/>
  <c r="AD1751" i="2"/>
  <c r="AJ1751" i="2"/>
  <c r="AD1783" i="2"/>
  <c r="AJ1783" i="2"/>
  <c r="AD1815" i="2"/>
  <c r="AJ1815" i="2"/>
  <c r="AD1847" i="2"/>
  <c r="AJ1847" i="2"/>
  <c r="AD1879" i="2"/>
  <c r="AJ1879" i="2"/>
  <c r="AD1911" i="2"/>
  <c r="AJ1911" i="2"/>
  <c r="AD1945" i="2"/>
  <c r="AK1945" i="2"/>
  <c r="AD2055" i="2"/>
  <c r="AJ2055" i="2"/>
  <c r="AE2132" i="2"/>
  <c r="AM2132" i="2"/>
  <c r="AD2200" i="2"/>
  <c r="AJ2200" i="2"/>
  <c r="AD2239" i="2"/>
  <c r="AJ2239" i="2"/>
  <c r="AD2328" i="2"/>
  <c r="AJ2328" i="2"/>
  <c r="AD1417" i="2"/>
  <c r="AJ1417" i="2"/>
  <c r="AD1514" i="2"/>
  <c r="AJ1514" i="2"/>
  <c r="AD1633" i="2"/>
  <c r="AJ1633" i="2"/>
  <c r="AE1661" i="2"/>
  <c r="AM1661" i="2"/>
  <c r="AD1697" i="2"/>
  <c r="AJ1697" i="2"/>
  <c r="AD2031" i="2"/>
  <c r="AJ2031" i="2"/>
  <c r="AE2176" i="2"/>
  <c r="AM2176" i="2"/>
  <c r="AD2235" i="2"/>
  <c r="AJ2235" i="2"/>
  <c r="AD747" i="2"/>
  <c r="AD972" i="2"/>
  <c r="AD1563" i="2"/>
  <c r="AJ1563" i="2"/>
  <c r="AD1719" i="2"/>
  <c r="AJ1719" i="2"/>
  <c r="AD1799" i="2"/>
  <c r="AJ1799" i="2"/>
  <c r="AD1863" i="2"/>
  <c r="AJ1863" i="2"/>
  <c r="AD1978" i="2"/>
  <c r="AD2104" i="2"/>
  <c r="AJ2104" i="2"/>
  <c r="AD2164" i="2"/>
  <c r="AD2232" i="2"/>
  <c r="AJ2232" i="2"/>
  <c r="AD2292" i="2"/>
  <c r="AD2385" i="2"/>
  <c r="AD2249" i="2"/>
  <c r="AD2401" i="2"/>
  <c r="AD507" i="2"/>
  <c r="AM507" i="2" s="1"/>
  <c r="AD505" i="2"/>
  <c r="AM505" i="2" s="1"/>
  <c r="AD621" i="2"/>
  <c r="AM621" i="2" s="1"/>
  <c r="AD471" i="2"/>
  <c r="AM471" i="2" s="1"/>
  <c r="AD951" i="2"/>
  <c r="AM951" i="2" s="1"/>
  <c r="AB5" i="2"/>
  <c r="AG5" i="2" s="1"/>
  <c r="AO5" i="2" s="1"/>
  <c r="AC5" i="2"/>
  <c r="AA5" i="2"/>
  <c r="AB3" i="2"/>
  <c r="AG3" i="2" s="1"/>
  <c r="AO3" i="2" s="1"/>
  <c r="AC3" i="2"/>
  <c r="AA3" i="2"/>
  <c r="AA132" i="2"/>
  <c r="AF132" i="2" s="1"/>
  <c r="AB132" i="2"/>
  <c r="AC132" i="2"/>
  <c r="AC93" i="2"/>
  <c r="AA93" i="2"/>
  <c r="AF93" i="2" s="1"/>
  <c r="AB93" i="2"/>
  <c r="AB124" i="2"/>
  <c r="AC124" i="2"/>
  <c r="AA124" i="2"/>
  <c r="AF124" i="2" s="1"/>
  <c r="F198" i="28"/>
  <c r="Q198" i="28"/>
  <c r="R198" i="28"/>
  <c r="U198" i="28"/>
  <c r="S198" i="28"/>
  <c r="D198" i="28"/>
  <c r="G198" i="28" s="1"/>
  <c r="T198" i="28"/>
  <c r="P198" i="28"/>
  <c r="O198" i="28"/>
  <c r="N198" i="28"/>
  <c r="V198" i="28"/>
  <c r="W198" i="28"/>
  <c r="C198" i="28"/>
  <c r="AJ41" i="2"/>
  <c r="AD245" i="2"/>
  <c r="AJ245" i="2"/>
  <c r="AD263" i="2"/>
  <c r="AJ263" i="2"/>
  <c r="AD309" i="2"/>
  <c r="AJ309" i="2"/>
  <c r="AD325" i="2"/>
  <c r="AJ325" i="2"/>
  <c r="AD334" i="2"/>
  <c r="AJ334" i="2"/>
  <c r="AJ102" i="2"/>
  <c r="AJ87" i="2"/>
  <c r="AD144" i="2"/>
  <c r="AJ144" i="2"/>
  <c r="AJ146" i="2"/>
  <c r="AD158" i="2"/>
  <c r="AJ158" i="2"/>
  <c r="AD223" i="2"/>
  <c r="AJ223" i="2"/>
  <c r="AD269" i="2"/>
  <c r="AJ269" i="2"/>
  <c r="AD287" i="2"/>
  <c r="AJ287" i="2"/>
  <c r="AD329" i="2"/>
  <c r="AJ329" i="2"/>
  <c r="AD350" i="2"/>
  <c r="AK350" i="2"/>
  <c r="AE432" i="2"/>
  <c r="AM432" i="2"/>
  <c r="AJ476" i="2"/>
  <c r="AD480" i="2"/>
  <c r="AJ480" i="2"/>
  <c r="AD686" i="2"/>
  <c r="AJ686" i="2"/>
  <c r="AD953" i="2"/>
  <c r="AJ953" i="2"/>
  <c r="AD1034" i="2"/>
  <c r="AJ1034" i="2"/>
  <c r="AD1081" i="2"/>
  <c r="AJ1081" i="2"/>
  <c r="AE584" i="2"/>
  <c r="AM584" i="2"/>
  <c r="AD682" i="2"/>
  <c r="AJ682" i="2"/>
  <c r="AD714" i="2"/>
  <c r="AJ714" i="2"/>
  <c r="AD739" i="2"/>
  <c r="AK739" i="2"/>
  <c r="AD778" i="2"/>
  <c r="AJ778" i="2"/>
  <c r="AE996" i="2"/>
  <c r="AM996" i="2"/>
  <c r="AE1028" i="2"/>
  <c r="AM1028" i="2"/>
  <c r="AE1060" i="2"/>
  <c r="AM1060" i="2"/>
  <c r="AD296" i="2"/>
  <c r="AE424" i="2"/>
  <c r="AM424" i="2"/>
  <c r="AE488" i="2"/>
  <c r="AM488" i="2"/>
  <c r="AD63" i="2"/>
  <c r="AD326" i="2"/>
  <c r="AD508" i="2"/>
  <c r="AJ508" i="2"/>
  <c r="AD690" i="2"/>
  <c r="AJ690" i="2"/>
  <c r="AD738" i="2"/>
  <c r="AJ738" i="2"/>
  <c r="AD820" i="2"/>
  <c r="AJ820" i="2"/>
  <c r="AD884" i="2"/>
  <c r="AJ884" i="2"/>
  <c r="AD978" i="2"/>
  <c r="AJ978" i="2"/>
  <c r="AD1000" i="2"/>
  <c r="AJ1000" i="2"/>
  <c r="AD1057" i="2"/>
  <c r="AJ1057" i="2"/>
  <c r="AD1076" i="2"/>
  <c r="AJ1076" i="2"/>
  <c r="AD1105" i="2"/>
  <c r="AJ1105" i="2"/>
  <c r="AD763" i="2"/>
  <c r="AD992" i="2"/>
  <c r="AE1299" i="2"/>
  <c r="AM1299" i="2"/>
  <c r="AE2124" i="2"/>
  <c r="AM2124" i="2"/>
  <c r="AE2188" i="2"/>
  <c r="AM2188" i="2"/>
  <c r="AE2316" i="2"/>
  <c r="AM2316" i="2"/>
  <c r="AD735" i="2"/>
  <c r="AD928" i="2"/>
  <c r="AD1068" i="2"/>
  <c r="AD1219" i="2"/>
  <c r="AJ1219" i="2"/>
  <c r="AD1283" i="2"/>
  <c r="AJ1283" i="2"/>
  <c r="AD751" i="2"/>
  <c r="AD960" i="2"/>
  <c r="AD1401" i="2"/>
  <c r="AJ1401" i="2"/>
  <c r="AD1467" i="2"/>
  <c r="AJ1467" i="2"/>
  <c r="AD1537" i="2"/>
  <c r="AJ1537" i="2"/>
  <c r="AD1609" i="2"/>
  <c r="AJ1609" i="2"/>
  <c r="AE1637" i="2"/>
  <c r="AM1637" i="2"/>
  <c r="AD1673" i="2"/>
  <c r="AJ1673" i="2"/>
  <c r="AE1701" i="2"/>
  <c r="AM1701" i="2"/>
  <c r="AD1935" i="2"/>
  <c r="AJ1935" i="2"/>
  <c r="AD1967" i="2"/>
  <c r="AJ1967" i="2"/>
  <c r="AD2043" i="2"/>
  <c r="AJ2043" i="2"/>
  <c r="AD2079" i="2"/>
  <c r="AJ2079" i="2"/>
  <c r="AD2141" i="2"/>
  <c r="AJ2141" i="2"/>
  <c r="AD2152" i="2"/>
  <c r="AJ2152" i="2"/>
  <c r="AD2191" i="2"/>
  <c r="AJ2191" i="2"/>
  <c r="AD2199" i="2"/>
  <c r="AJ2199" i="2"/>
  <c r="AE2212" i="2"/>
  <c r="AM2212" i="2"/>
  <c r="AD2269" i="2"/>
  <c r="AJ2269" i="2"/>
  <c r="AD2280" i="2"/>
  <c r="AJ2280" i="2"/>
  <c r="AD2319" i="2"/>
  <c r="AJ2319" i="2"/>
  <c r="AD2327" i="2"/>
  <c r="AJ2327" i="2"/>
  <c r="AE2340" i="2"/>
  <c r="AM2340" i="2"/>
  <c r="AD1499" i="2"/>
  <c r="AJ1499" i="2"/>
  <c r="AD1769" i="2"/>
  <c r="AJ1769" i="2"/>
  <c r="AD1801" i="2"/>
  <c r="AJ1801" i="2"/>
  <c r="AD1833" i="2"/>
  <c r="AJ1833" i="2"/>
  <c r="AD1865" i="2"/>
  <c r="AJ1865" i="2"/>
  <c r="AD1897" i="2"/>
  <c r="AJ1897" i="2"/>
  <c r="AD1941" i="2"/>
  <c r="AK1941" i="2"/>
  <c r="AE1529" i="2"/>
  <c r="AM1529" i="2"/>
  <c r="AD1541" i="2"/>
  <c r="AJ1541" i="2"/>
  <c r="AD1617" i="2"/>
  <c r="AJ1617" i="2"/>
  <c r="AD1681" i="2"/>
  <c r="AJ1681" i="2"/>
  <c r="AD1737" i="2"/>
  <c r="AJ1737" i="2"/>
  <c r="AD1789" i="2"/>
  <c r="AJ1789" i="2"/>
  <c r="AD2120" i="2"/>
  <c r="AJ2120" i="2"/>
  <c r="AD2159" i="2"/>
  <c r="AJ2159" i="2"/>
  <c r="AD2167" i="2"/>
  <c r="AJ2167" i="2"/>
  <c r="AE2180" i="2"/>
  <c r="AM2180" i="2"/>
  <c r="AD2237" i="2"/>
  <c r="AJ2237" i="2"/>
  <c r="AD2248" i="2"/>
  <c r="AJ2248" i="2"/>
  <c r="AD2287" i="2"/>
  <c r="AJ2287" i="2"/>
  <c r="AD2295" i="2"/>
  <c r="AJ2295" i="2"/>
  <c r="AE2308" i="2"/>
  <c r="AM2308" i="2"/>
  <c r="AD767" i="2"/>
  <c r="AD1036" i="2"/>
  <c r="AD1203" i="2"/>
  <c r="AJ1203" i="2"/>
  <c r="AD1267" i="2"/>
  <c r="AJ1267" i="2"/>
  <c r="AD1505" i="2"/>
  <c r="AJ1505" i="2"/>
  <c r="AD1753" i="2"/>
  <c r="AJ1753" i="2"/>
  <c r="AD1770" i="2"/>
  <c r="AJ1770" i="2"/>
  <c r="AD1817" i="2"/>
  <c r="AJ1817" i="2"/>
  <c r="AD1834" i="2"/>
  <c r="AJ1834" i="2"/>
  <c r="AD1881" i="2"/>
  <c r="AJ1881" i="2"/>
  <c r="AD1898" i="2"/>
  <c r="AJ1898" i="2"/>
  <c r="AD1946" i="2"/>
  <c r="AD1991" i="2"/>
  <c r="AJ1991" i="2"/>
  <c r="AD2096" i="2"/>
  <c r="AD2143" i="2"/>
  <c r="AJ2143" i="2"/>
  <c r="AD2193" i="2"/>
  <c r="AD2224" i="2"/>
  <c r="AD2271" i="2"/>
  <c r="AJ2271" i="2"/>
  <c r="AD2321" i="2"/>
  <c r="AD2352" i="2"/>
  <c r="AD2376" i="2"/>
  <c r="AD2408" i="2"/>
  <c r="AD2417" i="2"/>
  <c r="AD2313" i="2"/>
  <c r="AD459" i="2"/>
  <c r="AE459" i="2" s="1"/>
  <c r="AD457" i="2"/>
  <c r="AE457" i="2" s="1"/>
  <c r="AD503" i="2"/>
  <c r="AE503" i="2" s="1"/>
  <c r="AA76" i="2"/>
  <c r="AB76" i="2"/>
  <c r="AG76" i="2" s="1"/>
  <c r="AO76" i="2" s="1"/>
  <c r="AC76" i="2"/>
  <c r="AB202" i="2"/>
  <c r="AC202" i="2"/>
  <c r="AA202" i="2"/>
  <c r="AF202" i="2" s="1"/>
  <c r="AA40" i="2"/>
  <c r="AB40" i="2"/>
  <c r="AG40" i="2" s="1"/>
  <c r="AO40" i="2" s="1"/>
  <c r="AC40" i="2"/>
  <c r="AC4" i="2"/>
  <c r="AA4" i="2"/>
  <c r="AB4" i="2"/>
  <c r="AG4" i="2" s="1"/>
  <c r="AO4" i="2" s="1"/>
  <c r="AA163" i="2"/>
  <c r="AF163" i="2" s="1"/>
  <c r="AB163" i="2"/>
  <c r="AC163" i="2"/>
  <c r="AJ79" i="2"/>
  <c r="AJ109" i="2"/>
  <c r="AJ155" i="2"/>
  <c r="AJ187" i="2"/>
  <c r="AD229" i="2"/>
  <c r="AJ229" i="2"/>
  <c r="AD247" i="2"/>
  <c r="AJ247" i="2"/>
  <c r="AD293" i="2"/>
  <c r="AJ293" i="2"/>
  <c r="AD311" i="2"/>
  <c r="AJ311" i="2"/>
  <c r="AE351" i="2"/>
  <c r="AM351" i="2"/>
  <c r="AD341" i="2"/>
  <c r="AJ341" i="2"/>
  <c r="AJ20" i="2"/>
  <c r="AJ42" i="2"/>
  <c r="AJ55" i="2"/>
  <c r="AJ167" i="2"/>
  <c r="AJ141" i="2"/>
  <c r="AJ159" i="2"/>
  <c r="AD253" i="2"/>
  <c r="AJ253" i="2"/>
  <c r="AD271" i="2"/>
  <c r="AJ271" i="2"/>
  <c r="AJ317" i="2"/>
  <c r="AE331" i="2"/>
  <c r="AM331" i="2"/>
  <c r="AE359" i="2"/>
  <c r="AM359" i="2"/>
  <c r="AJ492" i="2"/>
  <c r="AE560" i="2"/>
  <c r="AM560" i="2"/>
  <c r="AD702" i="2"/>
  <c r="AJ702" i="2"/>
  <c r="AD742" i="2"/>
  <c r="AJ742" i="2"/>
  <c r="AD774" i="2"/>
  <c r="AJ774" i="2"/>
  <c r="AD1002" i="2"/>
  <c r="AJ1002" i="2"/>
  <c r="AD1049" i="2"/>
  <c r="AJ1049" i="2"/>
  <c r="AD248" i="2"/>
  <c r="AD440" i="2"/>
  <c r="AJ440" i="2"/>
  <c r="AD512" i="2"/>
  <c r="AJ512" i="2"/>
  <c r="AJ564" i="2"/>
  <c r="AD723" i="2"/>
  <c r="AK723" i="2"/>
  <c r="AD762" i="2"/>
  <c r="AJ762" i="2"/>
  <c r="AD787" i="2"/>
  <c r="AK787" i="2"/>
  <c r="AE1097" i="2"/>
  <c r="AM1097" i="2"/>
  <c r="AE1113" i="2"/>
  <c r="AM1113" i="2"/>
  <c r="AE1129" i="2"/>
  <c r="AM1129" i="2"/>
  <c r="AD376" i="2"/>
  <c r="AD408" i="2"/>
  <c r="AJ408" i="2"/>
  <c r="AE433" i="2"/>
  <c r="AD453" i="2"/>
  <c r="AJ453" i="2"/>
  <c r="AE504" i="2"/>
  <c r="AM504" i="2"/>
  <c r="AD377" i="2"/>
  <c r="AJ652" i="2"/>
  <c r="AD704" i="2"/>
  <c r="AJ704" i="2"/>
  <c r="AD722" i="2"/>
  <c r="AJ722" i="2"/>
  <c r="AD786" i="2"/>
  <c r="AJ786" i="2"/>
  <c r="AD836" i="2"/>
  <c r="AJ836" i="2"/>
  <c r="AD900" i="2"/>
  <c r="AJ900" i="2"/>
  <c r="AD961" i="2"/>
  <c r="AJ961" i="2"/>
  <c r="AD980" i="2"/>
  <c r="AJ980" i="2"/>
  <c r="AD1010" i="2"/>
  <c r="AJ1010" i="2"/>
  <c r="AD1032" i="2"/>
  <c r="AJ1032" i="2"/>
  <c r="AD1089" i="2"/>
  <c r="AJ1089" i="2"/>
  <c r="AD783" i="2"/>
  <c r="AD1056" i="2"/>
  <c r="AE2140" i="2"/>
  <c r="AM2140" i="2"/>
  <c r="AE2268" i="2"/>
  <c r="AM2268" i="2"/>
  <c r="AD779" i="2"/>
  <c r="AD944" i="2"/>
  <c r="AD1093" i="2"/>
  <c r="AE1549" i="2"/>
  <c r="AM1549" i="2"/>
  <c r="AD795" i="2"/>
  <c r="AD1024" i="2"/>
  <c r="AM1457" i="2"/>
  <c r="AD1593" i="2"/>
  <c r="AJ1593" i="2"/>
  <c r="AE1621" i="2"/>
  <c r="AM1621" i="2"/>
  <c r="AD1657" i="2"/>
  <c r="AJ1657" i="2"/>
  <c r="AE1685" i="2"/>
  <c r="AM1685" i="2"/>
  <c r="AD1805" i="2"/>
  <c r="AJ1805" i="2"/>
  <c r="AD1869" i="2"/>
  <c r="AJ1869" i="2"/>
  <c r="AD2037" i="2"/>
  <c r="AK2037" i="2"/>
  <c r="AD2047" i="2"/>
  <c r="AJ2047" i="2"/>
  <c r="AE2144" i="2"/>
  <c r="AM2144" i="2"/>
  <c r="AD2203" i="2"/>
  <c r="AJ2203" i="2"/>
  <c r="AE2272" i="2"/>
  <c r="AM2272" i="2"/>
  <c r="AD2331" i="2"/>
  <c r="AJ2331" i="2"/>
  <c r="AE2364" i="2"/>
  <c r="AM2364" i="2"/>
  <c r="AE2380" i="2"/>
  <c r="AM2380" i="2"/>
  <c r="AE2396" i="2"/>
  <c r="AM2396" i="2"/>
  <c r="AE2412" i="2"/>
  <c r="AM2412" i="2"/>
  <c r="AD1594" i="2"/>
  <c r="AJ1594" i="2"/>
  <c r="AD1626" i="2"/>
  <c r="AJ1626" i="2"/>
  <c r="AD1658" i="2"/>
  <c r="AJ1658" i="2"/>
  <c r="AD1690" i="2"/>
  <c r="AJ1690" i="2"/>
  <c r="AD1721" i="2"/>
  <c r="AJ1721" i="2"/>
  <c r="AD1771" i="2"/>
  <c r="AJ1771" i="2"/>
  <c r="AD1803" i="2"/>
  <c r="AJ1803" i="2"/>
  <c r="AE1835" i="2"/>
  <c r="AM1835" i="2"/>
  <c r="AE1867" i="2"/>
  <c r="AM1867" i="2"/>
  <c r="AE1899" i="2"/>
  <c r="AM1899" i="2"/>
  <c r="AD1943" i="2"/>
  <c r="AJ1943" i="2"/>
  <c r="AD1973" i="2"/>
  <c r="AK1973" i="2"/>
  <c r="AD2136" i="2"/>
  <c r="AJ2136" i="2"/>
  <c r="AD2175" i="2"/>
  <c r="AJ2175" i="2"/>
  <c r="AD2264" i="2"/>
  <c r="AJ2264" i="2"/>
  <c r="AD2303" i="2"/>
  <c r="AJ2303" i="2"/>
  <c r="AD1347" i="2"/>
  <c r="AJ1347" i="2"/>
  <c r="AD1473" i="2"/>
  <c r="AJ1473" i="2"/>
  <c r="AD1531" i="2"/>
  <c r="AJ1531" i="2"/>
  <c r="AD1601" i="2"/>
  <c r="AJ1601" i="2"/>
  <c r="AE1629" i="2"/>
  <c r="AM1629" i="2"/>
  <c r="AD1665" i="2"/>
  <c r="AJ1665" i="2"/>
  <c r="AE1693" i="2"/>
  <c r="AM1693" i="2"/>
  <c r="AD1821" i="2"/>
  <c r="AJ1821" i="2"/>
  <c r="AD2171" i="2"/>
  <c r="AJ2171" i="2"/>
  <c r="AD2299" i="2"/>
  <c r="AJ2299" i="2"/>
  <c r="AE2372" i="2"/>
  <c r="AM2372" i="2"/>
  <c r="AE2388" i="2"/>
  <c r="AM2388" i="2"/>
  <c r="AE2404" i="2"/>
  <c r="AM2404" i="2"/>
  <c r="AE2420" i="2"/>
  <c r="AM2420" i="2"/>
  <c r="AD832" i="2"/>
  <c r="AD1109" i="2"/>
  <c r="AD1453" i="2"/>
  <c r="AJ1453" i="2"/>
  <c r="AD1767" i="2"/>
  <c r="AJ1767" i="2"/>
  <c r="AD1831" i="2"/>
  <c r="AJ1831" i="2"/>
  <c r="AD1895" i="2"/>
  <c r="AJ1895" i="2"/>
  <c r="AD1914" i="2"/>
  <c r="AD1959" i="2"/>
  <c r="AJ1959" i="2"/>
  <c r="AD2100" i="2"/>
  <c r="AD2168" i="2"/>
  <c r="AJ2168" i="2"/>
  <c r="AD2228" i="2"/>
  <c r="AD2296" i="2"/>
  <c r="AJ2296" i="2"/>
  <c r="AD2356" i="2"/>
  <c r="AD2121" i="2"/>
  <c r="AD1913" i="2"/>
  <c r="AD473" i="2"/>
  <c r="AE473" i="2" s="1"/>
  <c r="AA106" i="2"/>
  <c r="AB106" i="2"/>
  <c r="AG106" i="2" s="1"/>
  <c r="AO106" i="2" s="1"/>
  <c r="AC106" i="2"/>
  <c r="AC133" i="2"/>
  <c r="AA133" i="2"/>
  <c r="AF133" i="2" s="1"/>
  <c r="AB133" i="2"/>
  <c r="AB15" i="2"/>
  <c r="AA15" i="2"/>
  <c r="AF15" i="2" s="1"/>
  <c r="AC15" i="2"/>
  <c r="AA56" i="2"/>
  <c r="AF56" i="2" s="1"/>
  <c r="AB56" i="2"/>
  <c r="AC56" i="2"/>
  <c r="AA90" i="2"/>
  <c r="AF90" i="2" s="1"/>
  <c r="AB90" i="2"/>
  <c r="AC90" i="2"/>
  <c r="AJ118" i="2"/>
  <c r="AJ136" i="2"/>
  <c r="AJ114" i="2"/>
  <c r="AD209" i="2"/>
  <c r="AJ209" i="2"/>
  <c r="AD231" i="2"/>
  <c r="AJ231" i="2"/>
  <c r="AD277" i="2"/>
  <c r="AJ277" i="2"/>
  <c r="AD295" i="2"/>
  <c r="AJ295" i="2"/>
  <c r="AD358" i="2"/>
  <c r="AK358" i="2"/>
  <c r="AJ74" i="2"/>
  <c r="AD175" i="2"/>
  <c r="AJ175" i="2"/>
  <c r="AD237" i="2"/>
  <c r="AJ237" i="2"/>
  <c r="AD255" i="2"/>
  <c r="AJ255" i="2"/>
  <c r="AD301" i="2"/>
  <c r="AJ301" i="2"/>
  <c r="AD319" i="2"/>
  <c r="AJ319" i="2"/>
  <c r="AE368" i="2"/>
  <c r="AM368" i="2"/>
  <c r="AD264" i="2"/>
  <c r="AD464" i="2"/>
  <c r="AJ464" i="2"/>
  <c r="AD496" i="2"/>
  <c r="AJ496" i="2"/>
  <c r="AD970" i="2"/>
  <c r="AJ970" i="2"/>
  <c r="AD1017" i="2"/>
  <c r="AJ1017" i="2"/>
  <c r="AD312" i="2"/>
  <c r="AD417" i="2"/>
  <c r="AJ417" i="2"/>
  <c r="AD444" i="2"/>
  <c r="AD524" i="2"/>
  <c r="AJ524" i="2"/>
  <c r="AE568" i="2"/>
  <c r="AM568" i="2"/>
  <c r="AD698" i="2"/>
  <c r="AJ698" i="2"/>
  <c r="AD746" i="2"/>
  <c r="AJ746" i="2"/>
  <c r="AD771" i="2"/>
  <c r="AK771" i="2"/>
  <c r="AE952" i="2"/>
  <c r="AM952" i="2"/>
  <c r="AE984" i="2"/>
  <c r="AM984" i="2"/>
  <c r="AM1080" i="2"/>
  <c r="AD389" i="2"/>
  <c r="AD216" i="2"/>
  <c r="AJ620" i="2"/>
  <c r="AD706" i="2"/>
  <c r="AJ706" i="2"/>
  <c r="AD770" i="2"/>
  <c r="AJ770" i="2"/>
  <c r="AD852" i="2"/>
  <c r="AJ852" i="2"/>
  <c r="AD916" i="2"/>
  <c r="AJ916" i="2"/>
  <c r="AD993" i="2"/>
  <c r="AJ993" i="2"/>
  <c r="AD1012" i="2"/>
  <c r="AJ1012" i="2"/>
  <c r="AD1042" i="2"/>
  <c r="AJ1042" i="2"/>
  <c r="AD1064" i="2"/>
  <c r="AJ1064" i="2"/>
  <c r="AD1137" i="2"/>
  <c r="AJ1137" i="2"/>
  <c r="AD1201" i="2"/>
  <c r="AJ1201" i="2"/>
  <c r="AD816" i="2"/>
  <c r="AD800" i="2"/>
  <c r="AD948" i="2"/>
  <c r="AD1125" i="2"/>
  <c r="AD1251" i="2"/>
  <c r="AJ1251" i="2"/>
  <c r="AD848" i="2"/>
  <c r="AD1088" i="2"/>
  <c r="AE1331" i="2"/>
  <c r="AM1331" i="2"/>
  <c r="AD1425" i="2"/>
  <c r="AJ1425" i="2"/>
  <c r="AE1501" i="2"/>
  <c r="AM1501" i="2"/>
  <c r="AD1578" i="2"/>
  <c r="AJ1578" i="2"/>
  <c r="AE1605" i="2"/>
  <c r="AM1605" i="2"/>
  <c r="AD1641" i="2"/>
  <c r="AJ1641" i="2"/>
  <c r="AE1669" i="2"/>
  <c r="AM1669" i="2"/>
  <c r="AD1705" i="2"/>
  <c r="AJ1705" i="2"/>
  <c r="AD2127" i="2"/>
  <c r="AJ2127" i="2"/>
  <c r="AD2135" i="2"/>
  <c r="AJ2135" i="2"/>
  <c r="AD2205" i="2"/>
  <c r="AJ2205" i="2"/>
  <c r="AD2216" i="2"/>
  <c r="AJ2216" i="2"/>
  <c r="AD2255" i="2"/>
  <c r="AJ2255" i="2"/>
  <c r="AD2263" i="2"/>
  <c r="AJ2263" i="2"/>
  <c r="AE2276" i="2"/>
  <c r="AM2276" i="2"/>
  <c r="AD2333" i="2"/>
  <c r="AJ2333" i="2"/>
  <c r="AD2344" i="2"/>
  <c r="AJ2344" i="2"/>
  <c r="AD2367" i="2"/>
  <c r="AJ2367" i="2"/>
  <c r="AD2383" i="2"/>
  <c r="AJ2383" i="2"/>
  <c r="AD2399" i="2"/>
  <c r="AJ2399" i="2"/>
  <c r="AD2415" i="2"/>
  <c r="AJ2415" i="2"/>
  <c r="AD1482" i="2"/>
  <c r="AJ1482" i="2"/>
  <c r="AD1754" i="2"/>
  <c r="AJ1754" i="2"/>
  <c r="AD1786" i="2"/>
  <c r="AJ1786" i="2"/>
  <c r="AD1818" i="2"/>
  <c r="AJ1818" i="2"/>
  <c r="AD1850" i="2"/>
  <c r="AJ1850" i="2"/>
  <c r="AD1882" i="2"/>
  <c r="AJ1882" i="2"/>
  <c r="AD1909" i="2"/>
  <c r="AK1909" i="2"/>
  <c r="AD1917" i="2"/>
  <c r="AJ1917" i="2"/>
  <c r="AD1975" i="2"/>
  <c r="AJ1975" i="2"/>
  <c r="AD2053" i="2"/>
  <c r="AK2053" i="2"/>
  <c r="AE2061" i="2"/>
  <c r="AM2061" i="2"/>
  <c r="AD2111" i="2"/>
  <c r="AJ2111" i="2"/>
  <c r="AE1613" i="2"/>
  <c r="AM1613" i="2"/>
  <c r="AD1649" i="2"/>
  <c r="AJ1649" i="2"/>
  <c r="AD1722" i="2"/>
  <c r="AJ1722" i="2"/>
  <c r="AD1757" i="2"/>
  <c r="AJ1757" i="2"/>
  <c r="AD1853" i="2"/>
  <c r="AJ1853" i="2"/>
  <c r="AD2095" i="2"/>
  <c r="AJ2095" i="2"/>
  <c r="AE2116" i="2"/>
  <c r="AM2116" i="2"/>
  <c r="AD2173" i="2"/>
  <c r="AJ2173" i="2"/>
  <c r="AD2184" i="2"/>
  <c r="AJ2184" i="2"/>
  <c r="AD2223" i="2"/>
  <c r="AJ2223" i="2"/>
  <c r="AD2231" i="2"/>
  <c r="AJ2231" i="2"/>
  <c r="AD2301" i="2"/>
  <c r="AJ2301" i="2"/>
  <c r="AD2312" i="2"/>
  <c r="AJ2312" i="2"/>
  <c r="AD2351" i="2"/>
  <c r="AJ2351" i="2"/>
  <c r="AD2359" i="2"/>
  <c r="AJ2359" i="2"/>
  <c r="AD2375" i="2"/>
  <c r="AJ2375" i="2"/>
  <c r="AD2391" i="2"/>
  <c r="AJ2391" i="2"/>
  <c r="AD2407" i="2"/>
  <c r="AJ2407" i="2"/>
  <c r="AD2423" i="2"/>
  <c r="AJ2423" i="2"/>
  <c r="AD896" i="2"/>
  <c r="AD1141" i="2"/>
  <c r="AD1235" i="2"/>
  <c r="AJ1235" i="2"/>
  <c r="AD1546" i="2"/>
  <c r="AJ1546" i="2"/>
  <c r="AD1573" i="2"/>
  <c r="AJ1573" i="2"/>
  <c r="AD1738" i="2"/>
  <c r="AJ1738" i="2"/>
  <c r="AD1785" i="2"/>
  <c r="AJ1785" i="2"/>
  <c r="AD1802" i="2"/>
  <c r="AJ1802" i="2"/>
  <c r="AD1849" i="2"/>
  <c r="AJ1849" i="2"/>
  <c r="AD1866" i="2"/>
  <c r="AJ1866" i="2"/>
  <c r="AD1927" i="2"/>
  <c r="AJ1927" i="2"/>
  <c r="AE1997" i="2"/>
  <c r="AM1997" i="2"/>
  <c r="AD2129" i="2"/>
  <c r="AD2160" i="2"/>
  <c r="AD2207" i="2"/>
  <c r="AJ2207" i="2"/>
  <c r="AD2257" i="2"/>
  <c r="AD2288" i="2"/>
  <c r="AD2335" i="2"/>
  <c r="AJ2335" i="2"/>
  <c r="AD2360" i="2"/>
  <c r="AD2392" i="2"/>
  <c r="AD2424" i="2"/>
  <c r="AD2001" i="2"/>
  <c r="AD2185" i="2"/>
  <c r="AD2369" i="2"/>
  <c r="X172" i="28"/>
  <c r="Z172" i="28"/>
  <c r="D172" i="28"/>
  <c r="G172" i="28" s="1"/>
  <c r="T172" i="28"/>
  <c r="C172" i="28"/>
  <c r="O172" i="28"/>
  <c r="S172" i="28"/>
  <c r="R172" i="28"/>
  <c r="N172" i="28"/>
  <c r="Q172" i="28"/>
  <c r="U172" i="28"/>
  <c r="V172" i="28"/>
  <c r="F172" i="28"/>
  <c r="P172" i="28"/>
  <c r="W172" i="28"/>
  <c r="X140" i="28"/>
  <c r="Z140" i="28"/>
  <c r="D140" i="28"/>
  <c r="G140" i="28" s="1"/>
  <c r="T140" i="28"/>
  <c r="O140" i="28"/>
  <c r="W140" i="28"/>
  <c r="V140" i="28"/>
  <c r="C140" i="28"/>
  <c r="Q140" i="28"/>
  <c r="R140" i="28"/>
  <c r="F140" i="28"/>
  <c r="S140" i="28"/>
  <c r="N140" i="28"/>
  <c r="P140" i="28"/>
  <c r="U140" i="28"/>
  <c r="X116" i="28"/>
  <c r="Z116" i="28"/>
  <c r="D116" i="28"/>
  <c r="G116" i="28" s="1"/>
  <c r="V116" i="28"/>
  <c r="C116" i="28"/>
  <c r="T116" i="28"/>
  <c r="R116" i="28"/>
  <c r="O116" i="28"/>
  <c r="F116" i="28"/>
  <c r="Q116" i="28"/>
  <c r="S116" i="28"/>
  <c r="N116" i="28"/>
  <c r="U116" i="28"/>
  <c r="P116" i="28"/>
  <c r="W116" i="28"/>
  <c r="X76" i="28"/>
  <c r="Z76" i="28"/>
  <c r="D76" i="28"/>
  <c r="G76" i="28" s="1"/>
  <c r="V76" i="28"/>
  <c r="C76" i="28"/>
  <c r="R76" i="28"/>
  <c r="O76" i="28"/>
  <c r="Q76" i="28"/>
  <c r="N76" i="28"/>
  <c r="T76" i="28"/>
  <c r="U76" i="28"/>
  <c r="F76" i="28"/>
  <c r="W76" i="28"/>
  <c r="S76" i="28"/>
  <c r="P76" i="28"/>
  <c r="X44" i="28"/>
  <c r="Z44" i="28"/>
  <c r="T44" i="28"/>
  <c r="S44" i="28"/>
  <c r="C44" i="28"/>
  <c r="W44" i="28"/>
  <c r="R44" i="28"/>
  <c r="N44" i="28"/>
  <c r="Q44" i="28"/>
  <c r="D44" i="28"/>
  <c r="G44" i="28" s="1"/>
  <c r="V44" i="28"/>
  <c r="U44" i="28"/>
  <c r="F44" i="28"/>
  <c r="O44" i="28"/>
  <c r="P44" i="28"/>
  <c r="Z175" i="28"/>
  <c r="X175" i="28"/>
  <c r="C175" i="28"/>
  <c r="F175" i="28"/>
  <c r="S175" i="28"/>
  <c r="D175" i="28"/>
  <c r="G175" i="28" s="1"/>
  <c r="T175" i="28"/>
  <c r="O175" i="28"/>
  <c r="U175" i="28"/>
  <c r="N175" i="28"/>
  <c r="R175" i="28"/>
  <c r="V175" i="28"/>
  <c r="P175" i="28"/>
  <c r="Q175" i="28"/>
  <c r="W175" i="28"/>
  <c r="Z143" i="28"/>
  <c r="X143" i="28"/>
  <c r="V143" i="28"/>
  <c r="O143" i="28"/>
  <c r="F143" i="28"/>
  <c r="D143" i="28"/>
  <c r="G143" i="28" s="1"/>
  <c r="U143" i="28"/>
  <c r="T143" i="28"/>
  <c r="Q143" i="28"/>
  <c r="C143" i="28"/>
  <c r="S143" i="28"/>
  <c r="P143" i="28"/>
  <c r="N143" i="28"/>
  <c r="R143" i="28"/>
  <c r="W143" i="28"/>
  <c r="Z111" i="28"/>
  <c r="X111" i="28"/>
  <c r="S111" i="28"/>
  <c r="N111" i="28"/>
  <c r="V111" i="28"/>
  <c r="D111" i="28"/>
  <c r="G111" i="28" s="1"/>
  <c r="T111" i="28"/>
  <c r="F111" i="28"/>
  <c r="P111" i="28"/>
  <c r="O111" i="28"/>
  <c r="U111" i="28"/>
  <c r="R111" i="28"/>
  <c r="Q111" i="28"/>
  <c r="W111" i="28"/>
  <c r="C111" i="28"/>
  <c r="Z71" i="28"/>
  <c r="X71" i="28"/>
  <c r="V71" i="28"/>
  <c r="Q71" i="28"/>
  <c r="O71" i="28"/>
  <c r="D71" i="28"/>
  <c r="G71" i="28" s="1"/>
  <c r="S71" i="28"/>
  <c r="R71" i="28"/>
  <c r="U71" i="28"/>
  <c r="W71" i="28"/>
  <c r="C71" i="28"/>
  <c r="N71" i="28"/>
  <c r="T71" i="28"/>
  <c r="P71" i="28"/>
  <c r="F71" i="28"/>
  <c r="AD403" i="2"/>
  <c r="AJ403" i="2"/>
  <c r="AD375" i="2"/>
  <c r="AJ375" i="2"/>
  <c r="AD458" i="2"/>
  <c r="AJ458" i="2"/>
  <c r="AD490" i="2"/>
  <c r="AJ490" i="2"/>
  <c r="AD370" i="2"/>
  <c r="AJ370" i="2"/>
  <c r="AD518" i="2"/>
  <c r="AJ518" i="2"/>
  <c r="AD558" i="2"/>
  <c r="AJ558" i="2"/>
  <c r="AD683" i="2"/>
  <c r="AK683" i="2"/>
  <c r="AD546" i="2"/>
  <c r="AJ546" i="2"/>
  <c r="AD578" i="2"/>
  <c r="AJ578" i="2"/>
  <c r="AE592" i="2"/>
  <c r="AM592" i="2"/>
  <c r="AE656" i="2"/>
  <c r="AM656" i="2"/>
  <c r="AD646" i="2"/>
  <c r="AJ646" i="2"/>
  <c r="AD886" i="2"/>
  <c r="AJ886" i="2"/>
  <c r="AD834" i="2"/>
  <c r="AJ834" i="2"/>
  <c r="AD898" i="2"/>
  <c r="AJ898" i="2"/>
  <c r="X192" i="28"/>
  <c r="Z192" i="28"/>
  <c r="D192" i="28"/>
  <c r="G192" i="28" s="1"/>
  <c r="W192" i="28"/>
  <c r="Q192" i="28"/>
  <c r="T192" i="28"/>
  <c r="F192" i="28"/>
  <c r="V192" i="28"/>
  <c r="U192" i="28"/>
  <c r="C192" i="28"/>
  <c r="S192" i="28"/>
  <c r="P192" i="28"/>
  <c r="R192" i="28"/>
  <c r="O192" i="28"/>
  <c r="N192" i="28"/>
  <c r="X176" i="28"/>
  <c r="Z176" i="28"/>
  <c r="D176" i="28"/>
  <c r="G176" i="28" s="1"/>
  <c r="P176" i="28"/>
  <c r="F176" i="28"/>
  <c r="Q176" i="28"/>
  <c r="W176" i="28"/>
  <c r="V176" i="28"/>
  <c r="N176" i="28"/>
  <c r="C176" i="28"/>
  <c r="U176" i="28"/>
  <c r="T176" i="28"/>
  <c r="R176" i="28"/>
  <c r="O176" i="28"/>
  <c r="S176" i="28"/>
  <c r="X160" i="28"/>
  <c r="Z160" i="28"/>
  <c r="D160" i="28"/>
  <c r="G160" i="28" s="1"/>
  <c r="V160" i="28"/>
  <c r="Q160" i="28"/>
  <c r="R160" i="28"/>
  <c r="U160" i="28"/>
  <c r="P160" i="28"/>
  <c r="F160" i="28"/>
  <c r="N160" i="28"/>
  <c r="S160" i="28"/>
  <c r="W160" i="28"/>
  <c r="T160" i="28"/>
  <c r="C160" i="28"/>
  <c r="O160" i="28"/>
  <c r="X144" i="28"/>
  <c r="Z144" i="28"/>
  <c r="D144" i="28"/>
  <c r="G144" i="28" s="1"/>
  <c r="Q144" i="28"/>
  <c r="W144" i="28"/>
  <c r="R144" i="28"/>
  <c r="O144" i="28"/>
  <c r="T144" i="28"/>
  <c r="N144" i="28"/>
  <c r="U144" i="28"/>
  <c r="C144" i="28"/>
  <c r="V144" i="28"/>
  <c r="F144" i="28"/>
  <c r="P144" i="28"/>
  <c r="S144" i="28"/>
  <c r="X128" i="28"/>
  <c r="Z128" i="28"/>
  <c r="D128" i="28"/>
  <c r="G128" i="28" s="1"/>
  <c r="R128" i="28"/>
  <c r="U128" i="28"/>
  <c r="T128" i="28"/>
  <c r="N128" i="28"/>
  <c r="F128" i="28"/>
  <c r="C128" i="28"/>
  <c r="S128" i="28"/>
  <c r="V128" i="28"/>
  <c r="P128" i="28"/>
  <c r="Q128" i="28"/>
  <c r="W128" i="28"/>
  <c r="O128" i="28"/>
  <c r="X112" i="28"/>
  <c r="Z112" i="28"/>
  <c r="D112" i="28"/>
  <c r="G112" i="28" s="1"/>
  <c r="F112" i="28"/>
  <c r="O112" i="28"/>
  <c r="P112" i="28"/>
  <c r="T112" i="28"/>
  <c r="V112" i="28"/>
  <c r="S112" i="28"/>
  <c r="Q112" i="28"/>
  <c r="W112" i="28"/>
  <c r="N112" i="28"/>
  <c r="U112" i="28"/>
  <c r="R112" i="28"/>
  <c r="C112" i="28"/>
  <c r="X96" i="28"/>
  <c r="Z96" i="28"/>
  <c r="D96" i="28"/>
  <c r="G96" i="28" s="1"/>
  <c r="S96" i="28"/>
  <c r="F96" i="28"/>
  <c r="O96" i="28"/>
  <c r="V96" i="28"/>
  <c r="W96" i="28"/>
  <c r="U96" i="28"/>
  <c r="R96" i="28"/>
  <c r="P96" i="28"/>
  <c r="C96" i="28"/>
  <c r="Q96" i="28"/>
  <c r="T96" i="28"/>
  <c r="N96" i="28"/>
  <c r="X72" i="28"/>
  <c r="Z72" i="28"/>
  <c r="D72" i="28"/>
  <c r="G72" i="28" s="1"/>
  <c r="S72" i="28"/>
  <c r="F72" i="28"/>
  <c r="T72" i="28"/>
  <c r="U72" i="28"/>
  <c r="W72" i="28"/>
  <c r="P72" i="28"/>
  <c r="R72" i="28"/>
  <c r="C72" i="28"/>
  <c r="O72" i="28"/>
  <c r="V72" i="28"/>
  <c r="Q72" i="28"/>
  <c r="N72" i="28"/>
  <c r="X56" i="28"/>
  <c r="Z56" i="28"/>
  <c r="C56" i="28"/>
  <c r="O56" i="28"/>
  <c r="R56" i="28"/>
  <c r="V56" i="28"/>
  <c r="D56" i="28"/>
  <c r="G56" i="28" s="1"/>
  <c r="F56" i="28"/>
  <c r="W56" i="28"/>
  <c r="S56" i="28"/>
  <c r="U56" i="28"/>
  <c r="P56" i="28"/>
  <c r="T56" i="28"/>
  <c r="N56" i="28"/>
  <c r="Q56" i="28"/>
  <c r="X40" i="28"/>
  <c r="Z40" i="28"/>
  <c r="Q40" i="28"/>
  <c r="R40" i="28"/>
  <c r="C40" i="28"/>
  <c r="U40" i="28"/>
  <c r="V40" i="28"/>
  <c r="D40" i="28"/>
  <c r="G40" i="28" s="1"/>
  <c r="P40" i="28"/>
  <c r="O40" i="28"/>
  <c r="S40" i="28"/>
  <c r="F40" i="28"/>
  <c r="W40" i="28"/>
  <c r="T40" i="28"/>
  <c r="N40" i="28"/>
  <c r="Z187" i="28"/>
  <c r="X187" i="28"/>
  <c r="U187" i="28"/>
  <c r="S187" i="28"/>
  <c r="W187" i="28"/>
  <c r="D187" i="28"/>
  <c r="G187" i="28" s="1"/>
  <c r="R187" i="28"/>
  <c r="O187" i="28"/>
  <c r="F187" i="28"/>
  <c r="V187" i="28"/>
  <c r="Q187" i="28"/>
  <c r="C187" i="28"/>
  <c r="N187" i="28"/>
  <c r="P187" i="28"/>
  <c r="T187" i="28"/>
  <c r="Z171" i="28"/>
  <c r="X171" i="28"/>
  <c r="F171" i="28"/>
  <c r="S171" i="28"/>
  <c r="C171" i="28"/>
  <c r="D171" i="28"/>
  <c r="G171" i="28" s="1"/>
  <c r="R171" i="28"/>
  <c r="U171" i="28"/>
  <c r="P171" i="28"/>
  <c r="N171" i="28"/>
  <c r="Q171" i="28"/>
  <c r="T171" i="28"/>
  <c r="O171" i="28"/>
  <c r="V171" i="28"/>
  <c r="W171" i="28"/>
  <c r="Z155" i="28"/>
  <c r="X155" i="28"/>
  <c r="R155" i="28"/>
  <c r="U155" i="28"/>
  <c r="O155" i="28"/>
  <c r="V155" i="28"/>
  <c r="D155" i="28"/>
  <c r="G155" i="28" s="1"/>
  <c r="S155" i="28"/>
  <c r="T155" i="28"/>
  <c r="Q155" i="28"/>
  <c r="C155" i="28"/>
  <c r="F155" i="28"/>
  <c r="W155" i="28"/>
  <c r="N155" i="28"/>
  <c r="P155" i="28"/>
  <c r="Z139" i="28"/>
  <c r="X139" i="28"/>
  <c r="P139" i="28"/>
  <c r="F139" i="28"/>
  <c r="T139" i="28"/>
  <c r="D139" i="28"/>
  <c r="G139" i="28" s="1"/>
  <c r="R139" i="28"/>
  <c r="S139" i="28"/>
  <c r="Q139" i="28"/>
  <c r="W139" i="28"/>
  <c r="O139" i="28"/>
  <c r="C139" i="28"/>
  <c r="V139" i="28"/>
  <c r="N139" i="28"/>
  <c r="U139" i="28"/>
  <c r="Z123" i="28"/>
  <c r="X123" i="28"/>
  <c r="T123" i="28"/>
  <c r="P123" i="28"/>
  <c r="N123" i="28"/>
  <c r="D123" i="28"/>
  <c r="G123" i="28" s="1"/>
  <c r="S123" i="28"/>
  <c r="Q123" i="28"/>
  <c r="U123" i="28"/>
  <c r="V123" i="28"/>
  <c r="F123" i="28"/>
  <c r="C123" i="28"/>
  <c r="W123" i="28"/>
  <c r="R123" i="28"/>
  <c r="O123" i="28"/>
  <c r="Z99" i="28"/>
  <c r="X99" i="28"/>
  <c r="N99" i="28"/>
  <c r="V99" i="28"/>
  <c r="Q99" i="28"/>
  <c r="W99" i="28"/>
  <c r="D99" i="28"/>
  <c r="G99" i="28" s="1"/>
  <c r="O99" i="28"/>
  <c r="R99" i="28"/>
  <c r="T99" i="28"/>
  <c r="C99" i="28"/>
  <c r="U99" i="28"/>
  <c r="S99" i="28"/>
  <c r="F99" i="28"/>
  <c r="P99" i="28"/>
  <c r="Z83" i="28"/>
  <c r="X83" i="28"/>
  <c r="T83" i="28"/>
  <c r="U83" i="28"/>
  <c r="R83" i="28"/>
  <c r="D83" i="28"/>
  <c r="G83" i="28" s="1"/>
  <c r="F83" i="28"/>
  <c r="P83" i="28"/>
  <c r="Q83" i="28"/>
  <c r="V83" i="28"/>
  <c r="O83" i="28"/>
  <c r="S83" i="28"/>
  <c r="C83" i="28"/>
  <c r="N83" i="28"/>
  <c r="W83" i="28"/>
  <c r="Z67" i="28"/>
  <c r="X67" i="28"/>
  <c r="S67" i="28"/>
  <c r="U67" i="28"/>
  <c r="R67" i="28"/>
  <c r="W67" i="28"/>
  <c r="D67" i="28"/>
  <c r="G67" i="28" s="1"/>
  <c r="O67" i="28"/>
  <c r="Q67" i="28"/>
  <c r="V67" i="28"/>
  <c r="N67" i="28"/>
  <c r="T67" i="28"/>
  <c r="C67" i="28"/>
  <c r="F67" i="28"/>
  <c r="P67" i="28"/>
  <c r="Z51" i="28"/>
  <c r="X51" i="28"/>
  <c r="C51" i="28"/>
  <c r="V51" i="28"/>
  <c r="S51" i="28"/>
  <c r="D51" i="28"/>
  <c r="G51" i="28" s="1"/>
  <c r="T51" i="28"/>
  <c r="R51" i="28"/>
  <c r="N51" i="28"/>
  <c r="Q51" i="28"/>
  <c r="F51" i="28"/>
  <c r="P51" i="28"/>
  <c r="U51" i="28"/>
  <c r="W51" i="28"/>
  <c r="O51" i="28"/>
  <c r="Z35" i="28"/>
  <c r="X35" i="28"/>
  <c r="O35" i="28"/>
  <c r="F35" i="28"/>
  <c r="N35" i="28"/>
  <c r="U35" i="28"/>
  <c r="S35" i="28"/>
  <c r="R35" i="28"/>
  <c r="C35" i="28"/>
  <c r="V35" i="28"/>
  <c r="P35" i="28"/>
  <c r="D35" i="28"/>
  <c r="G35" i="28" s="1"/>
  <c r="W35" i="28"/>
  <c r="Q35" i="28"/>
  <c r="T35" i="28"/>
  <c r="AD371" i="2"/>
  <c r="AJ371" i="2"/>
  <c r="AD394" i="2"/>
  <c r="AJ394" i="2"/>
  <c r="AD435" i="2"/>
  <c r="AJ435" i="2"/>
  <c r="AD366" i="2"/>
  <c r="AJ366" i="2"/>
  <c r="AD470" i="2"/>
  <c r="AJ470" i="2"/>
  <c r="AD486" i="2"/>
  <c r="AJ486" i="2"/>
  <c r="AD502" i="2"/>
  <c r="AJ502" i="2"/>
  <c r="AE320" i="2"/>
  <c r="AM320" i="2"/>
  <c r="AD363" i="2"/>
  <c r="AJ363" i="2"/>
  <c r="AD395" i="2"/>
  <c r="AJ395" i="2"/>
  <c r="AD427" i="2"/>
  <c r="AJ427" i="2"/>
  <c r="AD443" i="2"/>
  <c r="AJ443" i="2"/>
  <c r="AD534" i="2"/>
  <c r="AJ534" i="2"/>
  <c r="AD550" i="2"/>
  <c r="AJ550" i="2"/>
  <c r="AD566" i="2"/>
  <c r="AJ566" i="2"/>
  <c r="AD611" i="2"/>
  <c r="AJ611" i="2"/>
  <c r="AE632" i="2"/>
  <c r="AM632" i="2"/>
  <c r="AE641" i="2"/>
  <c r="AD650" i="2"/>
  <c r="AJ650" i="2"/>
  <c r="AD675" i="2"/>
  <c r="AJ675" i="2"/>
  <c r="AD691" i="2"/>
  <c r="AK691" i="2"/>
  <c r="AD707" i="2"/>
  <c r="AK707" i="2"/>
  <c r="AD526" i="2"/>
  <c r="AJ526" i="2"/>
  <c r="AD538" i="2"/>
  <c r="AJ538" i="2"/>
  <c r="AD554" i="2"/>
  <c r="AJ554" i="2"/>
  <c r="AD570" i="2"/>
  <c r="AJ570" i="2"/>
  <c r="AD586" i="2"/>
  <c r="AJ586" i="2"/>
  <c r="AM640" i="2"/>
  <c r="AD469" i="2"/>
  <c r="AD501" i="2"/>
  <c r="AD522" i="2"/>
  <c r="AJ522" i="2"/>
  <c r="AD589" i="2"/>
  <c r="AD614" i="2"/>
  <c r="AJ614" i="2"/>
  <c r="AD623" i="2"/>
  <c r="AJ623" i="2"/>
  <c r="AD653" i="2"/>
  <c r="AE764" i="2"/>
  <c r="AM764" i="2"/>
  <c r="AE780" i="2"/>
  <c r="AM780" i="2"/>
  <c r="AE796" i="2"/>
  <c r="AM796" i="2"/>
  <c r="AD487" i="2"/>
  <c r="AD530" i="2"/>
  <c r="AJ530" i="2"/>
  <c r="AD806" i="2"/>
  <c r="AJ806" i="2"/>
  <c r="AD838" i="2"/>
  <c r="AJ838" i="2"/>
  <c r="AD870" i="2"/>
  <c r="AJ870" i="2"/>
  <c r="AD902" i="2"/>
  <c r="AJ902" i="2"/>
  <c r="AD934" i="2"/>
  <c r="AJ934" i="2"/>
  <c r="AE995" i="2"/>
  <c r="AM995" i="2"/>
  <c r="AE1059" i="2"/>
  <c r="AD818" i="2"/>
  <c r="AJ818" i="2"/>
  <c r="AD850" i="2"/>
  <c r="AJ850" i="2"/>
  <c r="AD882" i="2"/>
  <c r="AJ882" i="2"/>
  <c r="AD914" i="2"/>
  <c r="AJ914" i="2"/>
  <c r="AD946" i="2"/>
  <c r="AJ946" i="2"/>
  <c r="AD983" i="2"/>
  <c r="AD1047" i="2"/>
  <c r="AE1153" i="2"/>
  <c r="AM1153" i="2"/>
  <c r="AE1185" i="2"/>
  <c r="AM1213" i="2"/>
  <c r="AE1229" i="2"/>
  <c r="AM1229" i="2"/>
  <c r="AE1245" i="2"/>
  <c r="AM1245" i="2"/>
  <c r="AE1261" i="2"/>
  <c r="AM1261" i="2"/>
  <c r="AM1277" i="2"/>
  <c r="AE1341" i="2"/>
  <c r="AM1341" i="2"/>
  <c r="AM1357" i="2"/>
  <c r="AE1373" i="2"/>
  <c r="AM1373" i="2"/>
  <c r="AE1389" i="2"/>
  <c r="AM1389" i="2"/>
  <c r="AD814" i="2"/>
  <c r="AJ814" i="2"/>
  <c r="AD846" i="2"/>
  <c r="AJ846" i="2"/>
  <c r="AD878" i="2"/>
  <c r="AJ878" i="2"/>
  <c r="AD910" i="2"/>
  <c r="AJ910" i="2"/>
  <c r="AD942" i="2"/>
  <c r="AJ942" i="2"/>
  <c r="AD958" i="2"/>
  <c r="AJ958" i="2"/>
  <c r="AD974" i="2"/>
  <c r="AJ974" i="2"/>
  <c r="AD990" i="2"/>
  <c r="AJ990" i="2"/>
  <c r="AD1006" i="2"/>
  <c r="AJ1006" i="2"/>
  <c r="AD1022" i="2"/>
  <c r="AJ1022" i="2"/>
  <c r="AD1038" i="2"/>
  <c r="AJ1038" i="2"/>
  <c r="AD1054" i="2"/>
  <c r="AJ1054" i="2"/>
  <c r="AD1070" i="2"/>
  <c r="AJ1070" i="2"/>
  <c r="AD1086" i="2"/>
  <c r="AJ1086" i="2"/>
  <c r="AE1120" i="2"/>
  <c r="AE1136" i="2"/>
  <c r="AM1136" i="2"/>
  <c r="AE1152" i="2"/>
  <c r="AE1200" i="2"/>
  <c r="AM1200" i="2"/>
  <c r="AE1248" i="2"/>
  <c r="AM1248" i="2"/>
  <c r="AE1312" i="2"/>
  <c r="AM1312" i="2"/>
  <c r="AE1344" i="2"/>
  <c r="AM1344" i="2"/>
  <c r="AD725" i="2"/>
  <c r="AJ725" i="2"/>
  <c r="AD757" i="2"/>
  <c r="AJ757" i="2"/>
  <c r="AD789" i="2"/>
  <c r="AJ789" i="2"/>
  <c r="AD805" i="2"/>
  <c r="AJ805" i="2"/>
  <c r="AD815" i="2"/>
  <c r="AJ815" i="2"/>
  <c r="AD837" i="2"/>
  <c r="AJ837" i="2"/>
  <c r="AD847" i="2"/>
  <c r="AJ847" i="2"/>
  <c r="AD869" i="2"/>
  <c r="AJ869" i="2"/>
  <c r="AD879" i="2"/>
  <c r="AJ879" i="2"/>
  <c r="AD901" i="2"/>
  <c r="AJ901" i="2"/>
  <c r="AD911" i="2"/>
  <c r="AJ911" i="2"/>
  <c r="AD933" i="2"/>
  <c r="AJ933" i="2"/>
  <c r="AD943" i="2"/>
  <c r="AJ943" i="2"/>
  <c r="AD959" i="2"/>
  <c r="AJ959" i="2"/>
  <c r="AD1023" i="2"/>
  <c r="AJ1023" i="2"/>
  <c r="AD1087" i="2"/>
  <c r="AJ1087" i="2"/>
  <c r="AD1406" i="2"/>
  <c r="AJ1406" i="2"/>
  <c r="AD1416" i="2"/>
  <c r="AJ1416" i="2"/>
  <c r="AD1438" i="2"/>
  <c r="AJ1438" i="2"/>
  <c r="AD1448" i="2"/>
  <c r="AJ1448" i="2"/>
  <c r="AE1478" i="2"/>
  <c r="AM1478" i="2"/>
  <c r="AE1510" i="2"/>
  <c r="AM1510" i="2"/>
  <c r="AE1526" i="2"/>
  <c r="AM1526" i="2"/>
  <c r="AE1574" i="2"/>
  <c r="AM1574" i="2"/>
  <c r="AE1606" i="2"/>
  <c r="AM1606" i="2"/>
  <c r="AE1638" i="2"/>
  <c r="AM1638" i="2"/>
  <c r="AE1654" i="2"/>
  <c r="AM1654" i="2"/>
  <c r="AE1670" i="2"/>
  <c r="AM1670" i="2"/>
  <c r="AE1686" i="2"/>
  <c r="AM1686" i="2"/>
  <c r="AD1708" i="2"/>
  <c r="AJ1708" i="2"/>
  <c r="AD1724" i="2"/>
  <c r="AJ1724" i="2"/>
  <c r="AD1740" i="2"/>
  <c r="AJ1740" i="2"/>
  <c r="AD1756" i="2"/>
  <c r="AJ1756" i="2"/>
  <c r="AD1772" i="2"/>
  <c r="AJ1772" i="2"/>
  <c r="AD1788" i="2"/>
  <c r="AJ1788" i="2"/>
  <c r="AD1804" i="2"/>
  <c r="AJ1804" i="2"/>
  <c r="AD1820" i="2"/>
  <c r="AJ1820" i="2"/>
  <c r="AD1836" i="2"/>
  <c r="AJ1836" i="2"/>
  <c r="AD1852" i="2"/>
  <c r="AJ1852" i="2"/>
  <c r="AD1868" i="2"/>
  <c r="AJ1868" i="2"/>
  <c r="AD1884" i="2"/>
  <c r="AJ1884" i="2"/>
  <c r="AD1900" i="2"/>
  <c r="AJ1900" i="2"/>
  <c r="AD1916" i="2"/>
  <c r="AJ1916" i="2"/>
  <c r="AD1932" i="2"/>
  <c r="AJ1932" i="2"/>
  <c r="AD1948" i="2"/>
  <c r="AJ1948" i="2"/>
  <c r="AD1964" i="2"/>
  <c r="AJ1964" i="2"/>
  <c r="AD1980" i="2"/>
  <c r="AJ1980" i="2"/>
  <c r="AD1996" i="2"/>
  <c r="AJ1996" i="2"/>
  <c r="AD2012" i="2"/>
  <c r="AJ2012" i="2"/>
  <c r="AE2030" i="2"/>
  <c r="AM2030" i="2"/>
  <c r="AE2046" i="2"/>
  <c r="AM2046" i="2"/>
  <c r="AE2062" i="2"/>
  <c r="AM2062" i="2"/>
  <c r="AE2078" i="2"/>
  <c r="AM2078" i="2"/>
  <c r="AE1111" i="2"/>
  <c r="AM1111" i="2"/>
  <c r="AD1130" i="2"/>
  <c r="AJ1130" i="2"/>
  <c r="AD1194" i="2"/>
  <c r="AJ1194" i="2"/>
  <c r="AD1258" i="2"/>
  <c r="AJ1258" i="2"/>
  <c r="AD1322" i="2"/>
  <c r="AJ1322" i="2"/>
  <c r="AD1386" i="2"/>
  <c r="AJ1386" i="2"/>
  <c r="AD1423" i="2"/>
  <c r="AJ1423" i="2"/>
  <c r="AD1455" i="2"/>
  <c r="AJ1455" i="2"/>
  <c r="AM1503" i="2"/>
  <c r="AE1519" i="2"/>
  <c r="AM1519" i="2"/>
  <c r="AE1551" i="2"/>
  <c r="AM1551" i="2"/>
  <c r="AE1567" i="2"/>
  <c r="AM1567" i="2"/>
  <c r="AE1583" i="2"/>
  <c r="AM1583" i="2"/>
  <c r="AE1615" i="2"/>
  <c r="AM1615" i="2"/>
  <c r="AE1631" i="2"/>
  <c r="AM1631" i="2"/>
  <c r="AE1679" i="2"/>
  <c r="AM1679" i="2"/>
  <c r="AE1695" i="2"/>
  <c r="AM1695" i="2"/>
  <c r="AD1728" i="2"/>
  <c r="AJ1728" i="2"/>
  <c r="AE1746" i="2"/>
  <c r="AM1746" i="2"/>
  <c r="AD1792" i="2"/>
  <c r="AJ1792" i="2"/>
  <c r="AE1810" i="2"/>
  <c r="AM1810" i="2"/>
  <c r="AD1856" i="2"/>
  <c r="AJ1856" i="2"/>
  <c r="AE1874" i="2"/>
  <c r="AM1874" i="2"/>
  <c r="AD1920" i="2"/>
  <c r="AJ1920" i="2"/>
  <c r="AE1938" i="2"/>
  <c r="AM1938" i="2"/>
  <c r="AD1984" i="2"/>
  <c r="AJ1984" i="2"/>
  <c r="AE2002" i="2"/>
  <c r="AM2002" i="2"/>
  <c r="AE2018" i="2"/>
  <c r="AM2018" i="2"/>
  <c r="AE2050" i="2"/>
  <c r="AM2050" i="2"/>
  <c r="AD1007" i="2"/>
  <c r="AJ1007" i="2"/>
  <c r="AD1071" i="2"/>
  <c r="AJ1071" i="2"/>
  <c r="AD1102" i="2"/>
  <c r="AJ1102" i="2"/>
  <c r="AE1147" i="2"/>
  <c r="AM1147" i="2"/>
  <c r="AD1166" i="2"/>
  <c r="AJ1166" i="2"/>
  <c r="AD1230" i="2"/>
  <c r="AJ1230" i="2"/>
  <c r="AE1275" i="2"/>
  <c r="AM1275" i="2"/>
  <c r="AD1294" i="2"/>
  <c r="AJ1294" i="2"/>
  <c r="AE1339" i="2"/>
  <c r="AM1339" i="2"/>
  <c r="AD1358" i="2"/>
  <c r="AJ1358" i="2"/>
  <c r="AD1419" i="2"/>
  <c r="AJ1419" i="2"/>
  <c r="AD1451" i="2"/>
  <c r="AJ1451" i="2"/>
  <c r="AD1472" i="2"/>
  <c r="AJ1472" i="2"/>
  <c r="AE1502" i="2"/>
  <c r="AM1502" i="2"/>
  <c r="AD1536" i="2"/>
  <c r="AJ1536" i="2"/>
  <c r="AE1566" i="2"/>
  <c r="AM1566" i="2"/>
  <c r="AD1600" i="2"/>
  <c r="AJ1600" i="2"/>
  <c r="AE1630" i="2"/>
  <c r="AM1630" i="2"/>
  <c r="AD1664" i="2"/>
  <c r="AJ1664" i="2"/>
  <c r="AD1716" i="2"/>
  <c r="AJ1716" i="2"/>
  <c r="AD1780" i="2"/>
  <c r="AJ1780" i="2"/>
  <c r="AD1844" i="2"/>
  <c r="AJ1844" i="2"/>
  <c r="AD1908" i="2"/>
  <c r="AJ1908" i="2"/>
  <c r="AE1926" i="2"/>
  <c r="AM1926" i="2"/>
  <c r="AD1972" i="2"/>
  <c r="AJ1972" i="2"/>
  <c r="AE1990" i="2"/>
  <c r="AM1990" i="2"/>
  <c r="AD2036" i="2"/>
  <c r="AJ2036" i="2"/>
  <c r="AE2054" i="2"/>
  <c r="AM2054" i="2"/>
  <c r="AD1394" i="2"/>
  <c r="AJ1394" i="2"/>
  <c r="AD1404" i="2"/>
  <c r="AJ1404" i="2"/>
  <c r="AD1426" i="2"/>
  <c r="AJ1426" i="2"/>
  <c r="AD1436" i="2"/>
  <c r="AJ1436" i="2"/>
  <c r="AD1458" i="2"/>
  <c r="AJ1458" i="2"/>
  <c r="AD1468" i="2"/>
  <c r="AJ1468" i="2"/>
  <c r="AD1500" i="2"/>
  <c r="AJ1500" i="2"/>
  <c r="AD1532" i="2"/>
  <c r="AJ1532" i="2"/>
  <c r="AD1564" i="2"/>
  <c r="AJ1564" i="2"/>
  <c r="AD1596" i="2"/>
  <c r="AJ1596" i="2"/>
  <c r="AD1628" i="2"/>
  <c r="AJ1628" i="2"/>
  <c r="AD1660" i="2"/>
  <c r="AJ1660" i="2"/>
  <c r="AD1692" i="2"/>
  <c r="AJ1692" i="2"/>
  <c r="AD1736" i="2"/>
  <c r="AJ1736" i="2"/>
  <c r="AD1768" i="2"/>
  <c r="AJ1768" i="2"/>
  <c r="AD1800" i="2"/>
  <c r="AJ1800" i="2"/>
  <c r="AD1832" i="2"/>
  <c r="AJ1832" i="2"/>
  <c r="AD1864" i="2"/>
  <c r="AJ1864" i="2"/>
  <c r="AD1896" i="2"/>
  <c r="AJ1896" i="2"/>
  <c r="AD1928" i="2"/>
  <c r="AJ1928" i="2"/>
  <c r="AD1960" i="2"/>
  <c r="AJ1960" i="2"/>
  <c r="AD1992" i="2"/>
  <c r="AJ1992" i="2"/>
  <c r="AD2024" i="2"/>
  <c r="AJ2024" i="2"/>
  <c r="AD2056" i="2"/>
  <c r="AJ2056" i="2"/>
  <c r="AD2088" i="2"/>
  <c r="AJ2088" i="2"/>
  <c r="AE2326" i="2"/>
  <c r="AM2326" i="2"/>
  <c r="X188" i="28"/>
  <c r="Z188" i="28"/>
  <c r="D188" i="28"/>
  <c r="G188" i="28" s="1"/>
  <c r="R188" i="28"/>
  <c r="V188" i="28"/>
  <c r="C188" i="28"/>
  <c r="P188" i="28"/>
  <c r="O188" i="28"/>
  <c r="N188" i="28"/>
  <c r="F188" i="28"/>
  <c r="S188" i="28"/>
  <c r="U188" i="28"/>
  <c r="T188" i="28"/>
  <c r="W188" i="28"/>
  <c r="Q188" i="28"/>
  <c r="X156" i="28"/>
  <c r="Z156" i="28"/>
  <c r="D156" i="28"/>
  <c r="G156" i="28" s="1"/>
  <c r="R156" i="28"/>
  <c r="U156" i="28"/>
  <c r="V156" i="28"/>
  <c r="T156" i="28"/>
  <c r="N156" i="28"/>
  <c r="Q156" i="28"/>
  <c r="F156" i="28"/>
  <c r="P156" i="28"/>
  <c r="S156" i="28"/>
  <c r="O156" i="28"/>
  <c r="W156" i="28"/>
  <c r="C156" i="28"/>
  <c r="X124" i="28"/>
  <c r="Z124" i="28"/>
  <c r="D124" i="28"/>
  <c r="G124" i="28" s="1"/>
  <c r="W124" i="28"/>
  <c r="Q124" i="28"/>
  <c r="P124" i="28"/>
  <c r="R124" i="28"/>
  <c r="S124" i="28"/>
  <c r="V124" i="28"/>
  <c r="T124" i="28"/>
  <c r="U124" i="28"/>
  <c r="O124" i="28"/>
  <c r="N124" i="28"/>
  <c r="C124" i="28"/>
  <c r="F124" i="28"/>
  <c r="X92" i="28"/>
  <c r="Z92" i="28"/>
  <c r="D92" i="28"/>
  <c r="G92" i="28" s="1"/>
  <c r="R92" i="28"/>
  <c r="U92" i="28"/>
  <c r="T92" i="28"/>
  <c r="W92" i="28"/>
  <c r="S92" i="28"/>
  <c r="V92" i="28"/>
  <c r="P92" i="28"/>
  <c r="Q92" i="28"/>
  <c r="O92" i="28"/>
  <c r="N92" i="28"/>
  <c r="F92" i="28"/>
  <c r="C92" i="28"/>
  <c r="X60" i="28"/>
  <c r="Z60" i="28"/>
  <c r="D60" i="28"/>
  <c r="G60" i="28" s="1"/>
  <c r="F60" i="28"/>
  <c r="O60" i="28"/>
  <c r="P60" i="28"/>
  <c r="U60" i="28"/>
  <c r="V60" i="28"/>
  <c r="S60" i="28"/>
  <c r="W60" i="28"/>
  <c r="Q60" i="28"/>
  <c r="N60" i="28"/>
  <c r="T60" i="28"/>
  <c r="R60" i="28"/>
  <c r="C60" i="28"/>
  <c r="Z191" i="28"/>
  <c r="X191" i="28"/>
  <c r="C191" i="28"/>
  <c r="R191" i="28"/>
  <c r="Q191" i="28"/>
  <c r="D191" i="28"/>
  <c r="G191" i="28" s="1"/>
  <c r="T191" i="28"/>
  <c r="N191" i="28"/>
  <c r="F191" i="28"/>
  <c r="U191" i="28"/>
  <c r="W191" i="28"/>
  <c r="V191" i="28"/>
  <c r="P191" i="28"/>
  <c r="O191" i="28"/>
  <c r="S191" i="28"/>
  <c r="Z159" i="28"/>
  <c r="X159" i="28"/>
  <c r="S159" i="28"/>
  <c r="Q159" i="28"/>
  <c r="T159" i="28"/>
  <c r="D159" i="28"/>
  <c r="G159" i="28" s="1"/>
  <c r="F159" i="28"/>
  <c r="R159" i="28"/>
  <c r="C159" i="28"/>
  <c r="V159" i="28"/>
  <c r="P159" i="28"/>
  <c r="W159" i="28"/>
  <c r="U159" i="28"/>
  <c r="O159" i="28"/>
  <c r="N159" i="28"/>
  <c r="Z127" i="28"/>
  <c r="X127" i="28"/>
  <c r="Q127" i="28"/>
  <c r="O127" i="28"/>
  <c r="P127" i="28"/>
  <c r="D127" i="28"/>
  <c r="G127" i="28" s="1"/>
  <c r="N127" i="28"/>
  <c r="R127" i="28"/>
  <c r="U127" i="28"/>
  <c r="C127" i="28"/>
  <c r="W127" i="28"/>
  <c r="V127" i="28"/>
  <c r="T127" i="28"/>
  <c r="S127" i="28"/>
  <c r="F127" i="28"/>
  <c r="Z87" i="28"/>
  <c r="X87" i="28"/>
  <c r="U87" i="28"/>
  <c r="R87" i="28"/>
  <c r="F87" i="28"/>
  <c r="D87" i="28"/>
  <c r="G87" i="28" s="1"/>
  <c r="S87" i="28"/>
  <c r="Q87" i="28"/>
  <c r="C87" i="28"/>
  <c r="N87" i="28"/>
  <c r="V87" i="28"/>
  <c r="W87" i="28"/>
  <c r="T87" i="28"/>
  <c r="P87" i="28"/>
  <c r="O87" i="28"/>
  <c r="Z63" i="28"/>
  <c r="X63" i="28"/>
  <c r="T63" i="28"/>
  <c r="C63" i="28"/>
  <c r="U63" i="28"/>
  <c r="D63" i="28"/>
  <c r="G63" i="28" s="1"/>
  <c r="R63" i="28"/>
  <c r="O63" i="28"/>
  <c r="V63" i="28"/>
  <c r="N63" i="28"/>
  <c r="Q63" i="28"/>
  <c r="W63" i="28"/>
  <c r="F63" i="28"/>
  <c r="P63" i="28"/>
  <c r="S63" i="28"/>
  <c r="Z39" i="28"/>
  <c r="X39" i="28"/>
  <c r="P39" i="28"/>
  <c r="O39" i="28"/>
  <c r="C39" i="28"/>
  <c r="T39" i="28"/>
  <c r="S39" i="28"/>
  <c r="D39" i="28"/>
  <c r="G39" i="28" s="1"/>
  <c r="Q39" i="28"/>
  <c r="W39" i="28"/>
  <c r="R39" i="28"/>
  <c r="N39" i="28"/>
  <c r="U39" i="28"/>
  <c r="F39" i="28"/>
  <c r="V39" i="28"/>
  <c r="AD439" i="2"/>
  <c r="AJ439" i="2"/>
  <c r="AD482" i="2"/>
  <c r="AJ482" i="2"/>
  <c r="AD514" i="2"/>
  <c r="AJ514" i="2"/>
  <c r="AE344" i="2"/>
  <c r="AM344" i="2"/>
  <c r="AE360" i="2"/>
  <c r="AM360" i="2"/>
  <c r="AD418" i="2"/>
  <c r="AJ418" i="2"/>
  <c r="AD450" i="2"/>
  <c r="AJ450" i="2"/>
  <c r="AD485" i="2"/>
  <c r="AD854" i="2"/>
  <c r="AJ854" i="2"/>
  <c r="X184" i="28"/>
  <c r="Z184" i="28"/>
  <c r="D184" i="28"/>
  <c r="G184" i="28" s="1"/>
  <c r="S184" i="28"/>
  <c r="P184" i="28"/>
  <c r="Q184" i="28"/>
  <c r="N184" i="28"/>
  <c r="U184" i="28"/>
  <c r="V184" i="28"/>
  <c r="O184" i="28"/>
  <c r="C184" i="28"/>
  <c r="R184" i="28"/>
  <c r="T184" i="28"/>
  <c r="W184" i="28"/>
  <c r="F184" i="28"/>
  <c r="X168" i="28"/>
  <c r="Z168" i="28"/>
  <c r="D168" i="28"/>
  <c r="G168" i="28" s="1"/>
  <c r="P168" i="28"/>
  <c r="V168" i="28"/>
  <c r="W168" i="28"/>
  <c r="T168" i="28"/>
  <c r="S168" i="28"/>
  <c r="R168" i="28"/>
  <c r="N168" i="28"/>
  <c r="Q168" i="28"/>
  <c r="O168" i="28"/>
  <c r="F168" i="28"/>
  <c r="U168" i="28"/>
  <c r="C168" i="28"/>
  <c r="X152" i="28"/>
  <c r="Z152" i="28"/>
  <c r="D152" i="28"/>
  <c r="G152" i="28" s="1"/>
  <c r="T152" i="28"/>
  <c r="P152" i="28"/>
  <c r="O152" i="28"/>
  <c r="W152" i="28"/>
  <c r="U152" i="28"/>
  <c r="N152" i="28"/>
  <c r="Q152" i="28"/>
  <c r="C152" i="28"/>
  <c r="V152" i="28"/>
  <c r="S152" i="28"/>
  <c r="F152" i="28"/>
  <c r="R152" i="28"/>
  <c r="X136" i="28"/>
  <c r="Z136" i="28"/>
  <c r="D136" i="28"/>
  <c r="G136" i="28" s="1"/>
  <c r="V136" i="28"/>
  <c r="O136" i="28"/>
  <c r="W136" i="28"/>
  <c r="Q136" i="28"/>
  <c r="P136" i="28"/>
  <c r="C136" i="28"/>
  <c r="T136" i="28"/>
  <c r="S136" i="28"/>
  <c r="N136" i="28"/>
  <c r="R136" i="28"/>
  <c r="U136" i="28"/>
  <c r="F136" i="28"/>
  <c r="X120" i="28"/>
  <c r="Z120" i="28"/>
  <c r="D120" i="28"/>
  <c r="G120" i="28" s="1"/>
  <c r="W120" i="28"/>
  <c r="U120" i="28"/>
  <c r="N120" i="28"/>
  <c r="V120" i="28"/>
  <c r="C120" i="28"/>
  <c r="Q120" i="28"/>
  <c r="S120" i="28"/>
  <c r="F120" i="28"/>
  <c r="P120" i="28"/>
  <c r="R120" i="28"/>
  <c r="O120" i="28"/>
  <c r="T120" i="28"/>
  <c r="X104" i="28"/>
  <c r="Z104" i="28"/>
  <c r="D104" i="28"/>
  <c r="G104" i="28" s="1"/>
  <c r="O104" i="28"/>
  <c r="W104" i="28"/>
  <c r="T104" i="28"/>
  <c r="Q104" i="28"/>
  <c r="N104" i="28"/>
  <c r="R104" i="28"/>
  <c r="C104" i="28"/>
  <c r="U104" i="28"/>
  <c r="F104" i="28"/>
  <c r="V104" i="28"/>
  <c r="S104" i="28"/>
  <c r="P104" i="28"/>
  <c r="X88" i="28"/>
  <c r="Z88" i="28"/>
  <c r="D88" i="28"/>
  <c r="G88" i="28" s="1"/>
  <c r="W88" i="28"/>
  <c r="Q88" i="28"/>
  <c r="P88" i="28"/>
  <c r="N88" i="28"/>
  <c r="U88" i="28"/>
  <c r="R88" i="28"/>
  <c r="C88" i="28"/>
  <c r="O88" i="28"/>
  <c r="F88" i="28"/>
  <c r="S88" i="28"/>
  <c r="V88" i="28"/>
  <c r="T88" i="28"/>
  <c r="X80" i="28"/>
  <c r="Z80" i="28"/>
  <c r="D80" i="28"/>
  <c r="G80" i="28" s="1"/>
  <c r="O80" i="28"/>
  <c r="W80" i="28"/>
  <c r="T80" i="28"/>
  <c r="S80" i="28"/>
  <c r="U80" i="28"/>
  <c r="R80" i="28"/>
  <c r="C80" i="28"/>
  <c r="V80" i="28"/>
  <c r="F80" i="28"/>
  <c r="P80" i="28"/>
  <c r="Q80" i="28"/>
  <c r="N80" i="28"/>
  <c r="X64" i="28"/>
  <c r="Z64" i="28"/>
  <c r="D64" i="28"/>
  <c r="G64" i="28" s="1"/>
  <c r="V64" i="28"/>
  <c r="C64" i="28"/>
  <c r="T64" i="28"/>
  <c r="Q64" i="28"/>
  <c r="R64" i="28"/>
  <c r="O64" i="28"/>
  <c r="F64" i="28"/>
  <c r="S64" i="28"/>
  <c r="N64" i="28"/>
  <c r="P64" i="28"/>
  <c r="W64" i="28"/>
  <c r="U64" i="28"/>
  <c r="X48" i="28"/>
  <c r="Z48" i="28"/>
  <c r="C48" i="28"/>
  <c r="P48" i="28"/>
  <c r="R48" i="28"/>
  <c r="U48" i="28"/>
  <c r="D48" i="28"/>
  <c r="G48" i="28" s="1"/>
  <c r="F48" i="28"/>
  <c r="V48" i="28"/>
  <c r="O48" i="28"/>
  <c r="Q48" i="28"/>
  <c r="N48" i="28"/>
  <c r="S48" i="28"/>
  <c r="W48" i="28"/>
  <c r="T48" i="28"/>
  <c r="Z195" i="28"/>
  <c r="X195" i="28"/>
  <c r="V195" i="28"/>
  <c r="N195" i="28"/>
  <c r="F195" i="28"/>
  <c r="C195" i="28"/>
  <c r="D195" i="28"/>
  <c r="G195" i="28" s="1"/>
  <c r="R195" i="28"/>
  <c r="U195" i="28"/>
  <c r="O195" i="28"/>
  <c r="W195" i="28"/>
  <c r="Q195" i="28"/>
  <c r="S195" i="28"/>
  <c r="P195" i="28"/>
  <c r="T195" i="28"/>
  <c r="Z179" i="28"/>
  <c r="X179" i="28"/>
  <c r="V179" i="28"/>
  <c r="N179" i="28"/>
  <c r="C179" i="28"/>
  <c r="F179" i="28"/>
  <c r="D179" i="28"/>
  <c r="G179" i="28" s="1"/>
  <c r="T179" i="28"/>
  <c r="W179" i="28"/>
  <c r="O179" i="28"/>
  <c r="U179" i="28"/>
  <c r="S179" i="28"/>
  <c r="R179" i="28"/>
  <c r="Q179" i="28"/>
  <c r="P179" i="28"/>
  <c r="Z163" i="28"/>
  <c r="X163" i="28"/>
  <c r="S163" i="28"/>
  <c r="P163" i="28"/>
  <c r="Q163" i="28"/>
  <c r="V163" i="28"/>
  <c r="D163" i="28"/>
  <c r="G163" i="28" s="1"/>
  <c r="R163" i="28"/>
  <c r="U163" i="28"/>
  <c r="T163" i="28"/>
  <c r="C163" i="28"/>
  <c r="F163" i="28"/>
  <c r="W163" i="28"/>
  <c r="O163" i="28"/>
  <c r="N163" i="28"/>
  <c r="Z147" i="28"/>
  <c r="X147" i="28"/>
  <c r="V147" i="28"/>
  <c r="Q147" i="28"/>
  <c r="T147" i="28"/>
  <c r="D147" i="28"/>
  <c r="G147" i="28" s="1"/>
  <c r="N147" i="28"/>
  <c r="O147" i="28"/>
  <c r="S147" i="28"/>
  <c r="W147" i="28"/>
  <c r="F147" i="28"/>
  <c r="R147" i="28"/>
  <c r="U147" i="28"/>
  <c r="C147" i="28"/>
  <c r="P147" i="28"/>
  <c r="Z131" i="28"/>
  <c r="X131" i="28"/>
  <c r="T131" i="28"/>
  <c r="O131" i="28"/>
  <c r="P131" i="28"/>
  <c r="N131" i="28"/>
  <c r="D131" i="28"/>
  <c r="G131" i="28" s="1"/>
  <c r="U131" i="28"/>
  <c r="Q131" i="28"/>
  <c r="V131" i="28"/>
  <c r="S131" i="28"/>
  <c r="C131" i="28"/>
  <c r="W131" i="28"/>
  <c r="F131" i="28"/>
  <c r="R131" i="28"/>
  <c r="Z115" i="28"/>
  <c r="X115" i="28"/>
  <c r="T115" i="28"/>
  <c r="O115" i="28"/>
  <c r="P115" i="28"/>
  <c r="D115" i="28"/>
  <c r="G115" i="28" s="1"/>
  <c r="N115" i="28"/>
  <c r="W115" i="28"/>
  <c r="R115" i="28"/>
  <c r="Q115" i="28"/>
  <c r="F115" i="28"/>
  <c r="U115" i="28"/>
  <c r="S115" i="28"/>
  <c r="V115" i="28"/>
  <c r="C115" i="28"/>
  <c r="Z107" i="28"/>
  <c r="X107" i="28"/>
  <c r="T107" i="28"/>
  <c r="P107" i="28"/>
  <c r="N107" i="28"/>
  <c r="U107" i="28"/>
  <c r="D107" i="28"/>
  <c r="G107" i="28" s="1"/>
  <c r="W107" i="28"/>
  <c r="F107" i="28"/>
  <c r="O107" i="28"/>
  <c r="Q107" i="28"/>
  <c r="R107" i="28"/>
  <c r="S107" i="28"/>
  <c r="V107" i="28"/>
  <c r="C107" i="28"/>
  <c r="Z91" i="28"/>
  <c r="X91" i="28"/>
  <c r="V91" i="28"/>
  <c r="Q91" i="28"/>
  <c r="O91" i="28"/>
  <c r="D91" i="28"/>
  <c r="G91" i="28" s="1"/>
  <c r="T91" i="28"/>
  <c r="R91" i="28"/>
  <c r="U91" i="28"/>
  <c r="S91" i="28"/>
  <c r="N91" i="28"/>
  <c r="C91" i="28"/>
  <c r="W91" i="28"/>
  <c r="F91" i="28"/>
  <c r="P91" i="28"/>
  <c r="Z75" i="28"/>
  <c r="X75" i="28"/>
  <c r="T75" i="28"/>
  <c r="R75" i="28"/>
  <c r="F75" i="28"/>
  <c r="D75" i="28"/>
  <c r="G75" i="28" s="1"/>
  <c r="P75" i="28"/>
  <c r="O75" i="28"/>
  <c r="Q75" i="28"/>
  <c r="U75" i="28"/>
  <c r="C75" i="28"/>
  <c r="S75" i="28"/>
  <c r="V75" i="28"/>
  <c r="N75" i="28"/>
  <c r="W75" i="28"/>
  <c r="Z59" i="28"/>
  <c r="X59" i="28"/>
  <c r="S59" i="28"/>
  <c r="R59" i="28"/>
  <c r="F59" i="28"/>
  <c r="D59" i="28"/>
  <c r="G59" i="28" s="1"/>
  <c r="T59" i="28"/>
  <c r="Q59" i="28"/>
  <c r="U59" i="28"/>
  <c r="C59" i="28"/>
  <c r="W59" i="28"/>
  <c r="V59" i="28"/>
  <c r="N59" i="28"/>
  <c r="P59" i="28"/>
  <c r="O59" i="28"/>
  <c r="Z43" i="28"/>
  <c r="X43" i="28"/>
  <c r="P43" i="28"/>
  <c r="D43" i="28"/>
  <c r="G43" i="28" s="1"/>
  <c r="N43" i="28"/>
  <c r="T43" i="28"/>
  <c r="O43" i="28"/>
  <c r="F43" i="28"/>
  <c r="R43" i="28"/>
  <c r="Q43" i="28"/>
  <c r="V43" i="28"/>
  <c r="W43" i="28"/>
  <c r="C43" i="28"/>
  <c r="S43" i="28"/>
  <c r="U43" i="28"/>
  <c r="AD407" i="2"/>
  <c r="AJ407" i="2"/>
  <c r="AD430" i="2"/>
  <c r="AJ430" i="2"/>
  <c r="AD462" i="2"/>
  <c r="AJ462" i="2"/>
  <c r="AD478" i="2"/>
  <c r="AJ478" i="2"/>
  <c r="AD494" i="2"/>
  <c r="AJ494" i="2"/>
  <c r="AD510" i="2"/>
  <c r="AJ510" i="2"/>
  <c r="AM352" i="2"/>
  <c r="AD379" i="2"/>
  <c r="AJ379" i="2"/>
  <c r="AD411" i="2"/>
  <c r="AJ411" i="2"/>
  <c r="AD582" i="2"/>
  <c r="AJ582" i="2"/>
  <c r="X190" i="28"/>
  <c r="Z190" i="28"/>
  <c r="D190" i="28"/>
  <c r="G190" i="28" s="1"/>
  <c r="U190" i="28"/>
  <c r="S190" i="28"/>
  <c r="V190" i="28"/>
  <c r="T190" i="28"/>
  <c r="N190" i="28"/>
  <c r="C190" i="28"/>
  <c r="W190" i="28"/>
  <c r="F190" i="28"/>
  <c r="P190" i="28"/>
  <c r="Q190" i="28"/>
  <c r="O190" i="28"/>
  <c r="R190" i="28"/>
  <c r="X182" i="28"/>
  <c r="Z182" i="28"/>
  <c r="D182" i="28"/>
  <c r="G182" i="28" s="1"/>
  <c r="Q182" i="28"/>
  <c r="W182" i="28"/>
  <c r="N182" i="28"/>
  <c r="T182" i="28"/>
  <c r="O182" i="28"/>
  <c r="U182" i="28"/>
  <c r="R182" i="28"/>
  <c r="F182" i="28"/>
  <c r="S182" i="28"/>
  <c r="C182" i="28"/>
  <c r="V182" i="28"/>
  <c r="P182" i="28"/>
  <c r="X174" i="28"/>
  <c r="Z174" i="28"/>
  <c r="D174" i="28"/>
  <c r="G174" i="28" s="1"/>
  <c r="O174" i="28"/>
  <c r="W174" i="28"/>
  <c r="R174" i="28"/>
  <c r="C174" i="28"/>
  <c r="S174" i="28"/>
  <c r="Q174" i="28"/>
  <c r="F174" i="28"/>
  <c r="V174" i="28"/>
  <c r="N174" i="28"/>
  <c r="P174" i="28"/>
  <c r="T174" i="28"/>
  <c r="U174" i="28"/>
  <c r="X166" i="28"/>
  <c r="Z166" i="28"/>
  <c r="D166" i="28"/>
  <c r="G166" i="28" s="1"/>
  <c r="N166" i="28"/>
  <c r="F166" i="28"/>
  <c r="U166" i="28"/>
  <c r="O166" i="28"/>
  <c r="Q166" i="28"/>
  <c r="R166" i="28"/>
  <c r="V166" i="28"/>
  <c r="S166" i="28"/>
  <c r="C166" i="28"/>
  <c r="T166" i="28"/>
  <c r="P166" i="28"/>
  <c r="W166" i="28"/>
  <c r="X158" i="28"/>
  <c r="Z158" i="28"/>
  <c r="D158" i="28"/>
  <c r="G158" i="28" s="1"/>
  <c r="U158" i="28"/>
  <c r="Q158" i="28"/>
  <c r="F158" i="28"/>
  <c r="C158" i="28"/>
  <c r="W158" i="28"/>
  <c r="P158" i="28"/>
  <c r="V158" i="28"/>
  <c r="N158" i="28"/>
  <c r="O158" i="28"/>
  <c r="T158" i="28"/>
  <c r="S158" i="28"/>
  <c r="R158" i="28"/>
  <c r="X150" i="28"/>
  <c r="Z150" i="28"/>
  <c r="D150" i="28"/>
  <c r="G150" i="28" s="1"/>
  <c r="U150" i="28"/>
  <c r="N150" i="28"/>
  <c r="W150" i="28"/>
  <c r="C150" i="28"/>
  <c r="F150" i="28"/>
  <c r="Q150" i="28"/>
  <c r="T150" i="28"/>
  <c r="V150" i="28"/>
  <c r="R150" i="28"/>
  <c r="P150" i="28"/>
  <c r="O150" i="28"/>
  <c r="S150" i="28"/>
  <c r="X142" i="28"/>
  <c r="Z142" i="28"/>
  <c r="D142" i="28"/>
  <c r="G142" i="28" s="1"/>
  <c r="N142" i="28"/>
  <c r="V142" i="28"/>
  <c r="U142" i="28"/>
  <c r="T142" i="28"/>
  <c r="R142" i="28"/>
  <c r="Q142" i="28"/>
  <c r="C142" i="28"/>
  <c r="O142" i="28"/>
  <c r="W142" i="28"/>
  <c r="P142" i="28"/>
  <c r="F142" i="28"/>
  <c r="S142" i="28"/>
  <c r="X134" i="28"/>
  <c r="Z134" i="28"/>
  <c r="D134" i="28"/>
  <c r="G134" i="28" s="1"/>
  <c r="N134" i="28"/>
  <c r="O134" i="28"/>
  <c r="R134" i="28"/>
  <c r="W134" i="28"/>
  <c r="T134" i="28"/>
  <c r="V134" i="28"/>
  <c r="F134" i="28"/>
  <c r="C134" i="28"/>
  <c r="S134" i="28"/>
  <c r="U134" i="28"/>
  <c r="P134" i="28"/>
  <c r="Q134" i="28"/>
  <c r="X126" i="28"/>
  <c r="Z126" i="28"/>
  <c r="D126" i="28"/>
  <c r="G126" i="28" s="1"/>
  <c r="R126" i="28"/>
  <c r="U126" i="28"/>
  <c r="T126" i="28"/>
  <c r="F126" i="28"/>
  <c r="C126" i="28"/>
  <c r="S126" i="28"/>
  <c r="P126" i="28"/>
  <c r="Q126" i="28"/>
  <c r="V126" i="28"/>
  <c r="N126" i="28"/>
  <c r="W126" i="28"/>
  <c r="O126" i="28"/>
  <c r="X118" i="28"/>
  <c r="Z118" i="28"/>
  <c r="D118" i="28"/>
  <c r="G118" i="28" s="1"/>
  <c r="C118" i="28"/>
  <c r="R118" i="28"/>
  <c r="P118" i="28"/>
  <c r="N118" i="28"/>
  <c r="Q118" i="28"/>
  <c r="W118" i="28"/>
  <c r="F118" i="28"/>
  <c r="U118" i="28"/>
  <c r="T118" i="28"/>
  <c r="O118" i="28"/>
  <c r="S118" i="28"/>
  <c r="V118" i="28"/>
  <c r="X110" i="28"/>
  <c r="Z110" i="28"/>
  <c r="D110" i="28"/>
  <c r="G110" i="28" s="1"/>
  <c r="F110" i="28"/>
  <c r="O110" i="28"/>
  <c r="P110" i="28"/>
  <c r="V110" i="28"/>
  <c r="S110" i="28"/>
  <c r="N110" i="28"/>
  <c r="W110" i="28"/>
  <c r="T110" i="28"/>
  <c r="Q110" i="28"/>
  <c r="U110" i="28"/>
  <c r="C110" i="28"/>
  <c r="R110" i="28"/>
  <c r="X102" i="28"/>
  <c r="Z102" i="28"/>
  <c r="D102" i="28"/>
  <c r="G102" i="28" s="1"/>
  <c r="Q102" i="28"/>
  <c r="S102" i="28"/>
  <c r="F102" i="28"/>
  <c r="C102" i="28"/>
  <c r="U102" i="28"/>
  <c r="W102" i="28"/>
  <c r="O102" i="28"/>
  <c r="P102" i="28"/>
  <c r="R102" i="28"/>
  <c r="V102" i="28"/>
  <c r="N102" i="28"/>
  <c r="T102" i="28"/>
  <c r="X94" i="28"/>
  <c r="Z94" i="28"/>
  <c r="D94" i="28"/>
  <c r="G94" i="28" s="1"/>
  <c r="R94" i="28"/>
  <c r="U94" i="28"/>
  <c r="T94" i="28"/>
  <c r="S94" i="28"/>
  <c r="V94" i="28"/>
  <c r="P94" i="28"/>
  <c r="N94" i="28"/>
  <c r="O94" i="28"/>
  <c r="Q94" i="28"/>
  <c r="W94" i="28"/>
  <c r="F94" i="28"/>
  <c r="C94" i="28"/>
  <c r="X86" i="28"/>
  <c r="Z86" i="28"/>
  <c r="D86" i="28"/>
  <c r="G86" i="28" s="1"/>
  <c r="S86" i="28"/>
  <c r="F86" i="28"/>
  <c r="O86" i="28"/>
  <c r="R86" i="28"/>
  <c r="C86" i="28"/>
  <c r="V86" i="28"/>
  <c r="N86" i="28"/>
  <c r="T86" i="28"/>
  <c r="P86" i="28"/>
  <c r="Q86" i="28"/>
  <c r="W86" i="28"/>
  <c r="U86" i="28"/>
  <c r="X78" i="28"/>
  <c r="Z78" i="28"/>
  <c r="D78" i="28"/>
  <c r="G78" i="28" s="1"/>
  <c r="Q78" i="28"/>
  <c r="S78" i="28"/>
  <c r="F78" i="28"/>
  <c r="O78" i="28"/>
  <c r="R78" i="28"/>
  <c r="C78" i="28"/>
  <c r="N78" i="28"/>
  <c r="P78" i="28"/>
  <c r="V78" i="28"/>
  <c r="T78" i="28"/>
  <c r="U78" i="28"/>
  <c r="W78" i="28"/>
  <c r="X70" i="28"/>
  <c r="Z70" i="28"/>
  <c r="D70" i="28"/>
  <c r="G70" i="28" s="1"/>
  <c r="U70" i="28"/>
  <c r="N70" i="28"/>
  <c r="V70" i="28"/>
  <c r="O70" i="28"/>
  <c r="R70" i="28"/>
  <c r="T70" i="28"/>
  <c r="F70" i="28"/>
  <c r="S70" i="28"/>
  <c r="C70" i="28"/>
  <c r="Q70" i="28"/>
  <c r="W70" i="28"/>
  <c r="P70" i="28"/>
  <c r="X62" i="28"/>
  <c r="Z62" i="28"/>
  <c r="D62" i="28"/>
  <c r="G62" i="28" s="1"/>
  <c r="F62" i="28"/>
  <c r="O62" i="28"/>
  <c r="P62" i="28"/>
  <c r="T62" i="28"/>
  <c r="V62" i="28"/>
  <c r="S62" i="28"/>
  <c r="N62" i="28"/>
  <c r="U62" i="28"/>
  <c r="Q62" i="28"/>
  <c r="W62" i="28"/>
  <c r="R62" i="28"/>
  <c r="C62" i="28"/>
  <c r="X54" i="28"/>
  <c r="Z54" i="28"/>
  <c r="C54" i="28"/>
  <c r="W54" i="28"/>
  <c r="R54" i="28"/>
  <c r="D54" i="28"/>
  <c r="G54" i="28" s="1"/>
  <c r="O54" i="28"/>
  <c r="F54" i="28"/>
  <c r="P54" i="28"/>
  <c r="T54" i="28"/>
  <c r="N54" i="28"/>
  <c r="U54" i="28"/>
  <c r="Q54" i="28"/>
  <c r="V54" i="28"/>
  <c r="S54" i="28"/>
  <c r="X46" i="28"/>
  <c r="Z46" i="28"/>
  <c r="Q46" i="28"/>
  <c r="W46" i="28"/>
  <c r="R46" i="28"/>
  <c r="N46" i="28"/>
  <c r="C46" i="28"/>
  <c r="U46" i="28"/>
  <c r="V46" i="28"/>
  <c r="D46" i="28"/>
  <c r="G46" i="28" s="1"/>
  <c r="P46" i="28"/>
  <c r="O46" i="28"/>
  <c r="S46" i="28"/>
  <c r="F46" i="28"/>
  <c r="T46" i="28"/>
  <c r="X38" i="28"/>
  <c r="Z38" i="28"/>
  <c r="W38" i="28"/>
  <c r="T38" i="28"/>
  <c r="S38" i="28"/>
  <c r="N38" i="28"/>
  <c r="C38" i="28"/>
  <c r="R38" i="28"/>
  <c r="Q38" i="28"/>
  <c r="D38" i="28"/>
  <c r="G38" i="28" s="1"/>
  <c r="V38" i="28"/>
  <c r="U38" i="28"/>
  <c r="F38" i="28"/>
  <c r="O38" i="28"/>
  <c r="P38" i="28"/>
  <c r="Z193" i="28"/>
  <c r="X193" i="28"/>
  <c r="N193" i="28"/>
  <c r="S193" i="28"/>
  <c r="T193" i="28"/>
  <c r="D193" i="28"/>
  <c r="G193" i="28" s="1"/>
  <c r="Q193" i="28"/>
  <c r="V193" i="28"/>
  <c r="F193" i="28"/>
  <c r="R193" i="28"/>
  <c r="U193" i="28"/>
  <c r="P193" i="28"/>
  <c r="W193" i="28"/>
  <c r="O193" i="28"/>
  <c r="C193" i="28"/>
  <c r="Z185" i="28"/>
  <c r="X185" i="28"/>
  <c r="R185" i="28"/>
  <c r="T185" i="28"/>
  <c r="N185" i="28"/>
  <c r="D185" i="28"/>
  <c r="G185" i="28" s="1"/>
  <c r="V185" i="28"/>
  <c r="O185" i="28"/>
  <c r="S185" i="28"/>
  <c r="P185" i="28"/>
  <c r="Q185" i="28"/>
  <c r="F185" i="28"/>
  <c r="C185" i="28"/>
  <c r="W185" i="28"/>
  <c r="U185" i="28"/>
  <c r="Z177" i="28"/>
  <c r="X177" i="28"/>
  <c r="P177" i="28"/>
  <c r="S177" i="28"/>
  <c r="W177" i="28"/>
  <c r="D177" i="28"/>
  <c r="G177" i="28" s="1"/>
  <c r="V177" i="28"/>
  <c r="T177" i="28"/>
  <c r="O177" i="28"/>
  <c r="R177" i="28"/>
  <c r="U177" i="28"/>
  <c r="F177" i="28"/>
  <c r="Q177" i="28"/>
  <c r="C177" i="28"/>
  <c r="N177" i="28"/>
  <c r="Z169" i="28"/>
  <c r="X169" i="28"/>
  <c r="P169" i="28"/>
  <c r="F169" i="28"/>
  <c r="T169" i="28"/>
  <c r="D169" i="28"/>
  <c r="G169" i="28" s="1"/>
  <c r="C169" i="28"/>
  <c r="O169" i="28"/>
  <c r="V169" i="28"/>
  <c r="N169" i="28"/>
  <c r="W169" i="28"/>
  <c r="U169" i="28"/>
  <c r="R169" i="28"/>
  <c r="S169" i="28"/>
  <c r="Q169" i="28"/>
  <c r="Z161" i="28"/>
  <c r="X161" i="28"/>
  <c r="V161" i="28"/>
  <c r="W161" i="28"/>
  <c r="Q161" i="28"/>
  <c r="D161" i="28"/>
  <c r="G161" i="28" s="1"/>
  <c r="R161" i="28"/>
  <c r="C161" i="28"/>
  <c r="F161" i="28"/>
  <c r="T161" i="28"/>
  <c r="S161" i="28"/>
  <c r="U161" i="28"/>
  <c r="P161" i="28"/>
  <c r="N161" i="28"/>
  <c r="O161" i="28"/>
  <c r="Z153" i="28"/>
  <c r="X153" i="28"/>
  <c r="T153" i="28"/>
  <c r="U153" i="28"/>
  <c r="C153" i="28"/>
  <c r="F153" i="28"/>
  <c r="D153" i="28"/>
  <c r="G153" i="28" s="1"/>
  <c r="W153" i="28"/>
  <c r="N153" i="28"/>
  <c r="V153" i="28"/>
  <c r="R153" i="28"/>
  <c r="O153" i="28"/>
  <c r="S153" i="28"/>
  <c r="Q153" i="28"/>
  <c r="P153" i="28"/>
  <c r="Z145" i="28"/>
  <c r="X145" i="28"/>
  <c r="R145" i="28"/>
  <c r="S145" i="28"/>
  <c r="N145" i="28"/>
  <c r="D145" i="28"/>
  <c r="G145" i="28" s="1"/>
  <c r="F145" i="28"/>
  <c r="P145" i="28"/>
  <c r="O145" i="28"/>
  <c r="U145" i="28"/>
  <c r="W145" i="28"/>
  <c r="Q145" i="28"/>
  <c r="T145" i="28"/>
  <c r="C145" i="28"/>
  <c r="V145" i="28"/>
  <c r="Z137" i="28"/>
  <c r="X137" i="28"/>
  <c r="Q137" i="28"/>
  <c r="C137" i="28"/>
  <c r="W137" i="28"/>
  <c r="D137" i="28"/>
  <c r="G137" i="28" s="1"/>
  <c r="R137" i="28"/>
  <c r="U137" i="28"/>
  <c r="V137" i="28"/>
  <c r="N137" i="28"/>
  <c r="P137" i="28"/>
  <c r="S137" i="28"/>
  <c r="F137" i="28"/>
  <c r="T137" i="28"/>
  <c r="O137" i="28"/>
  <c r="Z129" i="28"/>
  <c r="X129" i="28"/>
  <c r="V129" i="28"/>
  <c r="Q129" i="28"/>
  <c r="T129" i="28"/>
  <c r="F129" i="28"/>
  <c r="D129" i="28"/>
  <c r="G129" i="28" s="1"/>
  <c r="S129" i="28"/>
  <c r="C129" i="28"/>
  <c r="W129" i="28"/>
  <c r="P129" i="28"/>
  <c r="N129" i="28"/>
  <c r="O129" i="28"/>
  <c r="U129" i="28"/>
  <c r="R129" i="28"/>
  <c r="Z121" i="28"/>
  <c r="X121" i="28"/>
  <c r="C121" i="28"/>
  <c r="U121" i="28"/>
  <c r="P121" i="28"/>
  <c r="F121" i="28"/>
  <c r="D121" i="28"/>
  <c r="G121" i="28" s="1"/>
  <c r="Q121" i="28"/>
  <c r="S121" i="28"/>
  <c r="V121" i="28"/>
  <c r="W121" i="28"/>
  <c r="N121" i="28"/>
  <c r="O121" i="28"/>
  <c r="R121" i="28"/>
  <c r="T121" i="28"/>
  <c r="Z113" i="28"/>
  <c r="X113" i="28"/>
  <c r="V113" i="28"/>
  <c r="Q113" i="28"/>
  <c r="T113" i="28"/>
  <c r="D113" i="28"/>
  <c r="G113" i="28" s="1"/>
  <c r="O113" i="28"/>
  <c r="P113" i="28"/>
  <c r="F113" i="28"/>
  <c r="U113" i="28"/>
  <c r="S113" i="28"/>
  <c r="R113" i="28"/>
  <c r="C113" i="28"/>
  <c r="N113" i="28"/>
  <c r="W113" i="28"/>
  <c r="Z105" i="28"/>
  <c r="X105" i="28"/>
  <c r="Q105" i="28"/>
  <c r="T105" i="28"/>
  <c r="W105" i="28"/>
  <c r="D105" i="28"/>
  <c r="G105" i="28" s="1"/>
  <c r="C105" i="28"/>
  <c r="S105" i="28"/>
  <c r="V105" i="28"/>
  <c r="F105" i="28"/>
  <c r="N105" i="28"/>
  <c r="P105" i="28"/>
  <c r="U105" i="28"/>
  <c r="O105" i="28"/>
  <c r="R105" i="28"/>
  <c r="Z97" i="28"/>
  <c r="X97" i="28"/>
  <c r="V97" i="28"/>
  <c r="Q97" i="28"/>
  <c r="T97" i="28"/>
  <c r="D97" i="28"/>
  <c r="G97" i="28" s="1"/>
  <c r="W97" i="28"/>
  <c r="N97" i="28"/>
  <c r="O97" i="28"/>
  <c r="F97" i="28"/>
  <c r="U97" i="28"/>
  <c r="P97" i="28"/>
  <c r="R97" i="28"/>
  <c r="C97" i="28"/>
  <c r="S97" i="28"/>
  <c r="Z89" i="28"/>
  <c r="X89" i="28"/>
  <c r="N89" i="28"/>
  <c r="S89" i="28"/>
  <c r="O89" i="28"/>
  <c r="D89" i="28"/>
  <c r="G89" i="28" s="1"/>
  <c r="R89" i="28"/>
  <c r="T89" i="28"/>
  <c r="P89" i="28"/>
  <c r="Q89" i="28"/>
  <c r="C89" i="28"/>
  <c r="U89" i="28"/>
  <c r="V89" i="28"/>
  <c r="F89" i="28"/>
  <c r="W89" i="28"/>
  <c r="Z81" i="28"/>
  <c r="X81" i="28"/>
  <c r="V81" i="28"/>
  <c r="Q81" i="28"/>
  <c r="T81" i="28"/>
  <c r="D81" i="28"/>
  <c r="G81" i="28" s="1"/>
  <c r="W81" i="28"/>
  <c r="N81" i="28"/>
  <c r="O81" i="28"/>
  <c r="U81" i="28"/>
  <c r="P81" i="28"/>
  <c r="F81" i="28"/>
  <c r="R81" i="28"/>
  <c r="S81" i="28"/>
  <c r="C81" i="28"/>
  <c r="Z73" i="28"/>
  <c r="X73" i="28"/>
  <c r="N73" i="28"/>
  <c r="S73" i="28"/>
  <c r="O73" i="28"/>
  <c r="D73" i="28"/>
  <c r="G73" i="28" s="1"/>
  <c r="Q73" i="28"/>
  <c r="U73" i="28"/>
  <c r="V73" i="28"/>
  <c r="W73" i="28"/>
  <c r="C73" i="28"/>
  <c r="F73" i="28"/>
  <c r="T73" i="28"/>
  <c r="P73" i="28"/>
  <c r="R73" i="28"/>
  <c r="Z65" i="28"/>
  <c r="X65" i="28"/>
  <c r="O65" i="28"/>
  <c r="W65" i="28"/>
  <c r="C65" i="28"/>
  <c r="D65" i="28"/>
  <c r="G65" i="28" s="1"/>
  <c r="S65" i="28"/>
  <c r="Q65" i="28"/>
  <c r="V65" i="28"/>
  <c r="F65" i="28"/>
  <c r="N65" i="28"/>
  <c r="P65" i="28"/>
  <c r="T65" i="28"/>
  <c r="U65" i="28"/>
  <c r="R65" i="28"/>
  <c r="Z57" i="28"/>
  <c r="X57" i="28"/>
  <c r="C57" i="28"/>
  <c r="W57" i="28"/>
  <c r="R57" i="28"/>
  <c r="P57" i="28"/>
  <c r="D57" i="28"/>
  <c r="G57" i="28" s="1"/>
  <c r="F57" i="28"/>
  <c r="O57" i="28"/>
  <c r="Q57" i="28"/>
  <c r="U57" i="28"/>
  <c r="N57" i="28"/>
  <c r="S57" i="28"/>
  <c r="T57" i="28"/>
  <c r="V57" i="28"/>
  <c r="Z49" i="28"/>
  <c r="X49" i="28"/>
  <c r="C49" i="28"/>
  <c r="O49" i="28"/>
  <c r="V49" i="28"/>
  <c r="T49" i="28"/>
  <c r="D49" i="28"/>
  <c r="G49" i="28" s="1"/>
  <c r="N49" i="28"/>
  <c r="F49" i="28"/>
  <c r="W49" i="28"/>
  <c r="Q49" i="28"/>
  <c r="U49" i="28"/>
  <c r="P49" i="28"/>
  <c r="S49" i="28"/>
  <c r="R49" i="28"/>
  <c r="Z41" i="28"/>
  <c r="X41" i="28"/>
  <c r="N41" i="28"/>
  <c r="C41" i="28"/>
  <c r="W41" i="28"/>
  <c r="D41" i="28"/>
  <c r="G41" i="28" s="1"/>
  <c r="R41" i="28"/>
  <c r="Q41" i="28"/>
  <c r="P41" i="28"/>
  <c r="O41" i="28"/>
  <c r="S41" i="28"/>
  <c r="V41" i="28"/>
  <c r="U41" i="28"/>
  <c r="F41" i="28"/>
  <c r="T41" i="28"/>
  <c r="AD378" i="2"/>
  <c r="AJ378" i="2"/>
  <c r="AD419" i="2"/>
  <c r="AJ419" i="2"/>
  <c r="AD442" i="2"/>
  <c r="AJ442" i="2"/>
  <c r="AD391" i="2"/>
  <c r="AJ391" i="2"/>
  <c r="AD414" i="2"/>
  <c r="AJ414" i="2"/>
  <c r="AD455" i="2"/>
  <c r="AJ455" i="2"/>
  <c r="AE365" i="2"/>
  <c r="AM365" i="2"/>
  <c r="AE381" i="2"/>
  <c r="AM381" i="2"/>
  <c r="AE445" i="2"/>
  <c r="AM445" i="2"/>
  <c r="AD383" i="2"/>
  <c r="AJ383" i="2"/>
  <c r="AD415" i="2"/>
  <c r="AJ415" i="2"/>
  <c r="AD447" i="2"/>
  <c r="AJ447" i="2"/>
  <c r="AD481" i="2"/>
  <c r="AD513" i="2"/>
  <c r="AD523" i="2"/>
  <c r="AJ523" i="2"/>
  <c r="AD595" i="2"/>
  <c r="AJ595" i="2"/>
  <c r="AD634" i="2"/>
  <c r="AJ634" i="2"/>
  <c r="AD659" i="2"/>
  <c r="AJ659" i="2"/>
  <c r="AD679" i="2"/>
  <c r="AK679" i="2"/>
  <c r="AD695" i="2"/>
  <c r="AK695" i="2"/>
  <c r="AD711" i="2"/>
  <c r="AK711" i="2"/>
  <c r="AD483" i="2"/>
  <c r="AD515" i="2"/>
  <c r="AD610" i="2"/>
  <c r="AJ610" i="2"/>
  <c r="AD619" i="2"/>
  <c r="AJ619" i="2"/>
  <c r="AD642" i="2"/>
  <c r="AJ642" i="2"/>
  <c r="AD651" i="2"/>
  <c r="AJ651" i="2"/>
  <c r="AD674" i="2"/>
  <c r="AJ674" i="2"/>
  <c r="AD479" i="2"/>
  <c r="AD511" i="2"/>
  <c r="AD533" i="2"/>
  <c r="AJ533" i="2"/>
  <c r="AD541" i="2"/>
  <c r="AJ541" i="2"/>
  <c r="AD549" i="2"/>
  <c r="AJ549" i="2"/>
  <c r="AD557" i="2"/>
  <c r="AJ557" i="2"/>
  <c r="AD565" i="2"/>
  <c r="AJ565" i="2"/>
  <c r="AD573" i="2"/>
  <c r="AJ573" i="2"/>
  <c r="AD581" i="2"/>
  <c r="AJ581" i="2"/>
  <c r="AD605" i="2"/>
  <c r="AD630" i="2"/>
  <c r="AJ630" i="2"/>
  <c r="AD639" i="2"/>
  <c r="AJ639" i="2"/>
  <c r="AD669" i="2"/>
  <c r="AE768" i="2"/>
  <c r="AM768" i="2"/>
  <c r="AD461" i="2"/>
  <c r="AD493" i="2"/>
  <c r="AD519" i="2"/>
  <c r="AJ519" i="2"/>
  <c r="AD537" i="2"/>
  <c r="AJ537" i="2"/>
  <c r="AD545" i="2"/>
  <c r="AJ545" i="2"/>
  <c r="AD553" i="2"/>
  <c r="AJ553" i="2"/>
  <c r="AD561" i="2"/>
  <c r="AJ561" i="2"/>
  <c r="AD569" i="2"/>
  <c r="AJ569" i="2"/>
  <c r="AD577" i="2"/>
  <c r="AJ577" i="2"/>
  <c r="AD585" i="2"/>
  <c r="AJ585" i="2"/>
  <c r="AD613" i="2"/>
  <c r="AJ613" i="2"/>
  <c r="AD645" i="2"/>
  <c r="AJ645" i="2"/>
  <c r="AD677" i="2"/>
  <c r="AJ677" i="2"/>
  <c r="AD685" i="2"/>
  <c r="AJ685" i="2"/>
  <c r="AD693" i="2"/>
  <c r="AJ693" i="2"/>
  <c r="AD701" i="2"/>
  <c r="AJ701" i="2"/>
  <c r="AD709" i="2"/>
  <c r="AJ709" i="2"/>
  <c r="AD729" i="2"/>
  <c r="AJ729" i="2"/>
  <c r="AD761" i="2"/>
  <c r="AJ761" i="2"/>
  <c r="AD793" i="2"/>
  <c r="AJ793" i="2"/>
  <c r="AD817" i="2"/>
  <c r="AJ817" i="2"/>
  <c r="AD827" i="2"/>
  <c r="AJ827" i="2"/>
  <c r="AD849" i="2"/>
  <c r="AJ849" i="2"/>
  <c r="AD859" i="2"/>
  <c r="AJ859" i="2"/>
  <c r="AD881" i="2"/>
  <c r="AJ881" i="2"/>
  <c r="AD891" i="2"/>
  <c r="AJ891" i="2"/>
  <c r="AD913" i="2"/>
  <c r="AJ913" i="2"/>
  <c r="AD923" i="2"/>
  <c r="AJ923" i="2"/>
  <c r="AD945" i="2"/>
  <c r="AJ945" i="2"/>
  <c r="AE1011" i="2"/>
  <c r="AM1011" i="2"/>
  <c r="AE1075" i="2"/>
  <c r="AD733" i="2"/>
  <c r="AJ733" i="2"/>
  <c r="AD765" i="2"/>
  <c r="AJ765" i="2"/>
  <c r="AD797" i="2"/>
  <c r="AJ797" i="2"/>
  <c r="AD807" i="2"/>
  <c r="AJ807" i="2"/>
  <c r="AD829" i="2"/>
  <c r="AJ829" i="2"/>
  <c r="AD839" i="2"/>
  <c r="AJ839" i="2"/>
  <c r="AD861" i="2"/>
  <c r="AJ861" i="2"/>
  <c r="AD871" i="2"/>
  <c r="AJ871" i="2"/>
  <c r="AD893" i="2"/>
  <c r="AJ893" i="2"/>
  <c r="AD903" i="2"/>
  <c r="AJ903" i="2"/>
  <c r="AD925" i="2"/>
  <c r="AJ925" i="2"/>
  <c r="AD935" i="2"/>
  <c r="AJ935" i="2"/>
  <c r="AD999" i="2"/>
  <c r="AD1063" i="2"/>
  <c r="AE1173" i="2"/>
  <c r="AM1173" i="2"/>
  <c r="AE1265" i="2"/>
  <c r="AM1265" i="2"/>
  <c r="AE1281" i="2"/>
  <c r="AE1313" i="2"/>
  <c r="AM1313" i="2"/>
  <c r="AE1329" i="2"/>
  <c r="AM1329" i="2"/>
  <c r="AE1345" i="2"/>
  <c r="AM1345" i="2"/>
  <c r="AE1361" i="2"/>
  <c r="AM1361" i="2"/>
  <c r="AD615" i="2"/>
  <c r="AJ615" i="2"/>
  <c r="AD647" i="2"/>
  <c r="AJ647" i="2"/>
  <c r="AD721" i="2"/>
  <c r="AJ721" i="2"/>
  <c r="AD753" i="2"/>
  <c r="AJ753" i="2"/>
  <c r="AD785" i="2"/>
  <c r="AJ785" i="2"/>
  <c r="AD803" i="2"/>
  <c r="AJ803" i="2"/>
  <c r="AD825" i="2"/>
  <c r="AJ825" i="2"/>
  <c r="AD835" i="2"/>
  <c r="AJ835" i="2"/>
  <c r="AD857" i="2"/>
  <c r="AJ857" i="2"/>
  <c r="AD867" i="2"/>
  <c r="AJ867" i="2"/>
  <c r="AD889" i="2"/>
  <c r="AJ889" i="2"/>
  <c r="AD899" i="2"/>
  <c r="AJ899" i="2"/>
  <c r="AD921" i="2"/>
  <c r="AJ921" i="2"/>
  <c r="AD931" i="2"/>
  <c r="AJ931" i="2"/>
  <c r="AD949" i="2"/>
  <c r="AJ949" i="2"/>
  <c r="AD965" i="2"/>
  <c r="AJ965" i="2"/>
  <c r="AD981" i="2"/>
  <c r="AJ981" i="2"/>
  <c r="AD997" i="2"/>
  <c r="AJ997" i="2"/>
  <c r="AD1013" i="2"/>
  <c r="AJ1013" i="2"/>
  <c r="AD1029" i="2"/>
  <c r="AJ1029" i="2"/>
  <c r="AD1045" i="2"/>
  <c r="AJ1045" i="2"/>
  <c r="AD1061" i="2"/>
  <c r="AJ1061" i="2"/>
  <c r="AD1077" i="2"/>
  <c r="AJ1077" i="2"/>
  <c r="AE1092" i="2"/>
  <c r="AM1092" i="2"/>
  <c r="AE1108" i="2"/>
  <c r="AM1108" i="2"/>
  <c r="AE1124" i="2"/>
  <c r="AM1124" i="2"/>
  <c r="AM1140" i="2"/>
  <c r="AE1172" i="2"/>
  <c r="AM1172" i="2"/>
  <c r="AE1204" i="2"/>
  <c r="AM1204" i="2"/>
  <c r="AE1220" i="2"/>
  <c r="AM1220" i="2"/>
  <c r="AE1236" i="2"/>
  <c r="AM1236" i="2"/>
  <c r="AE1252" i="2"/>
  <c r="AM1252" i="2"/>
  <c r="AE1284" i="2"/>
  <c r="AM1284" i="2"/>
  <c r="AE1300" i="2"/>
  <c r="AM1300" i="2"/>
  <c r="AE1316" i="2"/>
  <c r="AM1316" i="2"/>
  <c r="AE1332" i="2"/>
  <c r="AM1332" i="2"/>
  <c r="AE1348" i="2"/>
  <c r="AM1348" i="2"/>
  <c r="AE1364" i="2"/>
  <c r="AM1364" i="2"/>
  <c r="AD590" i="2"/>
  <c r="AJ590" i="2"/>
  <c r="AD654" i="2"/>
  <c r="AJ654" i="2"/>
  <c r="AD810" i="2"/>
  <c r="AJ810" i="2"/>
  <c r="AD842" i="2"/>
  <c r="AJ842" i="2"/>
  <c r="AD874" i="2"/>
  <c r="AJ874" i="2"/>
  <c r="AD906" i="2"/>
  <c r="AJ906" i="2"/>
  <c r="AD938" i="2"/>
  <c r="AJ938" i="2"/>
  <c r="AD950" i="2"/>
  <c r="AJ950" i="2"/>
  <c r="AD973" i="2"/>
  <c r="AJ973" i="2"/>
  <c r="AD1014" i="2"/>
  <c r="AJ1014" i="2"/>
  <c r="AD1037" i="2"/>
  <c r="AJ1037" i="2"/>
  <c r="AD1078" i="2"/>
  <c r="AJ1078" i="2"/>
  <c r="AD1094" i="2"/>
  <c r="AJ1094" i="2"/>
  <c r="AD1126" i="2"/>
  <c r="AJ1126" i="2"/>
  <c r="AD1158" i="2"/>
  <c r="AJ1158" i="2"/>
  <c r="AD1190" i="2"/>
  <c r="AJ1190" i="2"/>
  <c r="AD1222" i="2"/>
  <c r="AJ1222" i="2"/>
  <c r="AD1254" i="2"/>
  <c r="AJ1254" i="2"/>
  <c r="AD1286" i="2"/>
  <c r="AJ1286" i="2"/>
  <c r="AD1318" i="2"/>
  <c r="AJ1318" i="2"/>
  <c r="AD1350" i="2"/>
  <c r="AJ1350" i="2"/>
  <c r="AD1382" i="2"/>
  <c r="AJ1382" i="2"/>
  <c r="AD1411" i="2"/>
  <c r="AJ1411" i="2"/>
  <c r="AD1443" i="2"/>
  <c r="AJ1443" i="2"/>
  <c r="AE1710" i="2"/>
  <c r="AM1710" i="2"/>
  <c r="AE1726" i="2"/>
  <c r="AM1726" i="2"/>
  <c r="AE1742" i="2"/>
  <c r="AM1742" i="2"/>
  <c r="AE1774" i="2"/>
  <c r="AM1774" i="2"/>
  <c r="AE1806" i="2"/>
  <c r="AM1806" i="2"/>
  <c r="AE1838" i="2"/>
  <c r="AM1838" i="2"/>
  <c r="AE1854" i="2"/>
  <c r="AM1854" i="2"/>
  <c r="AE1870" i="2"/>
  <c r="AM1870" i="2"/>
  <c r="AE1886" i="2"/>
  <c r="AE1918" i="2"/>
  <c r="AM1918" i="2"/>
  <c r="AE1934" i="2"/>
  <c r="AM1934" i="2"/>
  <c r="AE1982" i="2"/>
  <c r="AM1982" i="2"/>
  <c r="AD2019" i="2"/>
  <c r="AJ2019" i="2"/>
  <c r="AD2035" i="2"/>
  <c r="AJ2035" i="2"/>
  <c r="AD2051" i="2"/>
  <c r="AJ2051" i="2"/>
  <c r="AD2067" i="2"/>
  <c r="AJ2067" i="2"/>
  <c r="AD2083" i="2"/>
  <c r="AJ2083" i="2"/>
  <c r="AD1114" i="2"/>
  <c r="AJ1114" i="2"/>
  <c r="AE1159" i="2"/>
  <c r="AD1178" i="2"/>
  <c r="AJ1178" i="2"/>
  <c r="AD1242" i="2"/>
  <c r="AJ1242" i="2"/>
  <c r="AM1287" i="2"/>
  <c r="AD1306" i="2"/>
  <c r="AJ1306" i="2"/>
  <c r="AD1370" i="2"/>
  <c r="AJ1370" i="2"/>
  <c r="AD1402" i="2"/>
  <c r="AJ1402" i="2"/>
  <c r="AD1412" i="2"/>
  <c r="AJ1412" i="2"/>
  <c r="AD1434" i="2"/>
  <c r="AJ1434" i="2"/>
  <c r="AD1444" i="2"/>
  <c r="AJ1444" i="2"/>
  <c r="AE1474" i="2"/>
  <c r="AM1474" i="2"/>
  <c r="AE1490" i="2"/>
  <c r="AM1490" i="2"/>
  <c r="AE1506" i="2"/>
  <c r="AM1506" i="2"/>
  <c r="AM1522" i="2"/>
  <c r="AE1538" i="2"/>
  <c r="AM1538" i="2"/>
  <c r="AE1554" i="2"/>
  <c r="AM1554" i="2"/>
  <c r="AE1570" i="2"/>
  <c r="AM1570" i="2"/>
  <c r="AE1586" i="2"/>
  <c r="AM1586" i="2"/>
  <c r="AE1650" i="2"/>
  <c r="AM1650" i="2"/>
  <c r="AD1712" i="2"/>
  <c r="AJ1712" i="2"/>
  <c r="AE1730" i="2"/>
  <c r="AM1730" i="2"/>
  <c r="AD1776" i="2"/>
  <c r="AJ1776" i="2"/>
  <c r="AE1794" i="2"/>
  <c r="AM1794" i="2"/>
  <c r="AD1840" i="2"/>
  <c r="AJ1840" i="2"/>
  <c r="AD1904" i="2"/>
  <c r="AJ1904" i="2"/>
  <c r="AD1968" i="2"/>
  <c r="AJ1968" i="2"/>
  <c r="AE1986" i="2"/>
  <c r="AD2007" i="2"/>
  <c r="AJ2007" i="2"/>
  <c r="AE2039" i="2"/>
  <c r="AD2080" i="2"/>
  <c r="AJ2080" i="2"/>
  <c r="AD638" i="2"/>
  <c r="AJ638" i="2"/>
  <c r="AD957" i="2"/>
  <c r="AJ957" i="2"/>
  <c r="AD998" i="2"/>
  <c r="AJ998" i="2"/>
  <c r="AD1021" i="2"/>
  <c r="AJ1021" i="2"/>
  <c r="AD1062" i="2"/>
  <c r="AJ1062" i="2"/>
  <c r="AD1085" i="2"/>
  <c r="AJ1085" i="2"/>
  <c r="AE1131" i="2"/>
  <c r="AM1131" i="2"/>
  <c r="AD1150" i="2"/>
  <c r="AJ1150" i="2"/>
  <c r="AD1214" i="2"/>
  <c r="AJ1214" i="2"/>
  <c r="AM1259" i="2"/>
  <c r="AD1278" i="2"/>
  <c r="AJ1278" i="2"/>
  <c r="AE1323" i="2"/>
  <c r="AM1323" i="2"/>
  <c r="AD1342" i="2"/>
  <c r="AJ1342" i="2"/>
  <c r="AE1387" i="2"/>
  <c r="AM1387" i="2"/>
  <c r="AD1398" i="2"/>
  <c r="AJ1398" i="2"/>
  <c r="AD1408" i="2"/>
  <c r="AJ1408" i="2"/>
  <c r="AD1430" i="2"/>
  <c r="AJ1430" i="2"/>
  <c r="AD1440" i="2"/>
  <c r="AJ1440" i="2"/>
  <c r="AD1462" i="2"/>
  <c r="AJ1462" i="2"/>
  <c r="AD1520" i="2"/>
  <c r="AJ1520" i="2"/>
  <c r="AD1584" i="2"/>
  <c r="AJ1584" i="2"/>
  <c r="AE1614" i="2"/>
  <c r="AM1614" i="2"/>
  <c r="AD1648" i="2"/>
  <c r="AJ1648" i="2"/>
  <c r="AE1678" i="2"/>
  <c r="AM1678" i="2"/>
  <c r="AE1718" i="2"/>
  <c r="AM1718" i="2"/>
  <c r="AD1764" i="2"/>
  <c r="AJ1764" i="2"/>
  <c r="AE1782" i="2"/>
  <c r="AM1782" i="2"/>
  <c r="AD1828" i="2"/>
  <c r="AJ1828" i="2"/>
  <c r="AE1846" i="2"/>
  <c r="AM1846" i="2"/>
  <c r="AD1892" i="2"/>
  <c r="AJ1892" i="2"/>
  <c r="AE1910" i="2"/>
  <c r="AM1910" i="2"/>
  <c r="AD1956" i="2"/>
  <c r="AJ1956" i="2"/>
  <c r="AE1974" i="2"/>
  <c r="AM1974" i="2"/>
  <c r="AD2020" i="2"/>
  <c r="AJ2020" i="2"/>
  <c r="AD2084" i="2"/>
  <c r="AJ2084" i="2"/>
  <c r="AD1090" i="2"/>
  <c r="AJ1090" i="2"/>
  <c r="AD1122" i="2"/>
  <c r="AJ1122" i="2"/>
  <c r="AD1154" i="2"/>
  <c r="AJ1154" i="2"/>
  <c r="AD1186" i="2"/>
  <c r="AJ1186" i="2"/>
  <c r="AD1218" i="2"/>
  <c r="AJ1218" i="2"/>
  <c r="AD1250" i="2"/>
  <c r="AJ1250" i="2"/>
  <c r="AD1282" i="2"/>
  <c r="AJ1282" i="2"/>
  <c r="AD1314" i="2"/>
  <c r="AJ1314" i="2"/>
  <c r="AD1346" i="2"/>
  <c r="AJ1346" i="2"/>
  <c r="AD1378" i="2"/>
  <c r="AJ1378" i="2"/>
  <c r="AD1399" i="2"/>
  <c r="AJ1399" i="2"/>
  <c r="AD1431" i="2"/>
  <c r="AJ1431" i="2"/>
  <c r="AD1463" i="2"/>
  <c r="AJ1463" i="2"/>
  <c r="AE2122" i="2"/>
  <c r="AM2122" i="2"/>
  <c r="AE2154" i="2"/>
  <c r="AM2154" i="2"/>
  <c r="AE2170" i="2"/>
  <c r="AM2170" i="2"/>
  <c r="AE2186" i="2"/>
  <c r="AM2186" i="2"/>
  <c r="AE2202" i="2"/>
  <c r="AM2202" i="2"/>
  <c r="AE2218" i="2"/>
  <c r="AM2218" i="2"/>
  <c r="AE2234" i="2"/>
  <c r="AM2234" i="2"/>
  <c r="AE2250" i="2"/>
  <c r="AM2250" i="2"/>
  <c r="AE2282" i="2"/>
  <c r="AM2282" i="2"/>
  <c r="AE2298" i="2"/>
  <c r="AM2298" i="2"/>
  <c r="AE2314" i="2"/>
  <c r="AM2314" i="2"/>
  <c r="AE2330" i="2"/>
  <c r="AM2330" i="2"/>
  <c r="AE2362" i="2"/>
  <c r="AM2362" i="2"/>
  <c r="AE2378" i="2"/>
  <c r="AM2378" i="2"/>
  <c r="AE2394" i="2"/>
  <c r="AM2394" i="2"/>
  <c r="AE2410" i="2"/>
  <c r="AM2410" i="2"/>
  <c r="AE2426" i="2"/>
  <c r="AM2426" i="2"/>
  <c r="X180" i="28"/>
  <c r="Z180" i="28"/>
  <c r="D180" i="28"/>
  <c r="G180" i="28" s="1"/>
  <c r="C180" i="28"/>
  <c r="F180" i="28"/>
  <c r="Q180" i="28"/>
  <c r="W180" i="28"/>
  <c r="U180" i="28"/>
  <c r="P180" i="28"/>
  <c r="V180" i="28"/>
  <c r="O180" i="28"/>
  <c r="T180" i="28"/>
  <c r="N180" i="28"/>
  <c r="R180" i="28"/>
  <c r="S180" i="28"/>
  <c r="X148" i="28"/>
  <c r="Z148" i="28"/>
  <c r="D148" i="28"/>
  <c r="G148" i="28" s="1"/>
  <c r="W148" i="28"/>
  <c r="T148" i="28"/>
  <c r="R148" i="28"/>
  <c r="V148" i="28"/>
  <c r="S148" i="28"/>
  <c r="F148" i="28"/>
  <c r="Q148" i="28"/>
  <c r="N148" i="28"/>
  <c r="P148" i="28"/>
  <c r="O148" i="28"/>
  <c r="C148" i="28"/>
  <c r="U148" i="28"/>
  <c r="X108" i="28"/>
  <c r="Z108" i="28"/>
  <c r="D108" i="28"/>
  <c r="G108" i="28" s="1"/>
  <c r="V108" i="28"/>
  <c r="C108" i="28"/>
  <c r="T108" i="28"/>
  <c r="W108" i="28"/>
  <c r="F108" i="28"/>
  <c r="S108" i="28"/>
  <c r="N108" i="28"/>
  <c r="U108" i="28"/>
  <c r="Q108" i="28"/>
  <c r="P108" i="28"/>
  <c r="R108" i="28"/>
  <c r="O108" i="28"/>
  <c r="X84" i="28"/>
  <c r="Z84" i="28"/>
  <c r="D84" i="28"/>
  <c r="G84" i="28" s="1"/>
  <c r="V84" i="28"/>
  <c r="C84" i="28"/>
  <c r="R84" i="28"/>
  <c r="S84" i="28"/>
  <c r="P84" i="28"/>
  <c r="Q84" i="28"/>
  <c r="T84" i="28"/>
  <c r="W84" i="28"/>
  <c r="N84" i="28"/>
  <c r="U84" i="28"/>
  <c r="F84" i="28"/>
  <c r="O84" i="28"/>
  <c r="X52" i="28"/>
  <c r="Z52" i="28"/>
  <c r="C52" i="28"/>
  <c r="O52" i="28"/>
  <c r="N52" i="28"/>
  <c r="S52" i="28"/>
  <c r="D52" i="28"/>
  <c r="G52" i="28" s="1"/>
  <c r="F52" i="28"/>
  <c r="T52" i="28"/>
  <c r="U52" i="28"/>
  <c r="P52" i="28"/>
  <c r="W52" i="28"/>
  <c r="R52" i="28"/>
  <c r="Q52" i="28"/>
  <c r="V52" i="28"/>
  <c r="Z183" i="28"/>
  <c r="X183" i="28"/>
  <c r="S183" i="28"/>
  <c r="V183" i="28"/>
  <c r="T183" i="28"/>
  <c r="D183" i="28"/>
  <c r="G183" i="28" s="1"/>
  <c r="R183" i="28"/>
  <c r="U183" i="28"/>
  <c r="N183" i="28"/>
  <c r="F183" i="28"/>
  <c r="P183" i="28"/>
  <c r="W183" i="28"/>
  <c r="C183" i="28"/>
  <c r="O183" i="28"/>
  <c r="Q183" i="28"/>
  <c r="Z151" i="28"/>
  <c r="X151" i="28"/>
  <c r="P151" i="28"/>
  <c r="S151" i="28"/>
  <c r="U151" i="28"/>
  <c r="D151" i="28"/>
  <c r="G151" i="28" s="1"/>
  <c r="O151" i="28"/>
  <c r="W151" i="28"/>
  <c r="F151" i="28"/>
  <c r="V151" i="28"/>
  <c r="R151" i="28"/>
  <c r="T151" i="28"/>
  <c r="C151" i="28"/>
  <c r="N151" i="28"/>
  <c r="Q151" i="28"/>
  <c r="Z119" i="28"/>
  <c r="X119" i="28"/>
  <c r="V119" i="28"/>
  <c r="Q119" i="28"/>
  <c r="O119" i="28"/>
  <c r="D119" i="28"/>
  <c r="G119" i="28" s="1"/>
  <c r="S119" i="28"/>
  <c r="W119" i="28"/>
  <c r="N119" i="28"/>
  <c r="P119" i="28"/>
  <c r="R119" i="28"/>
  <c r="T119" i="28"/>
  <c r="F119" i="28"/>
  <c r="U119" i="28"/>
  <c r="C119" i="28"/>
  <c r="Z95" i="28"/>
  <c r="X95" i="28"/>
  <c r="R95" i="28"/>
  <c r="F95" i="28"/>
  <c r="W95" i="28"/>
  <c r="D95" i="28"/>
  <c r="G95" i="28" s="1"/>
  <c r="U95" i="28"/>
  <c r="T95" i="28"/>
  <c r="N95" i="28"/>
  <c r="P95" i="28"/>
  <c r="S95" i="28"/>
  <c r="O95" i="28"/>
  <c r="Q95" i="28"/>
  <c r="V95" i="28"/>
  <c r="C95" i="28"/>
  <c r="Z55" i="28"/>
  <c r="X55" i="28"/>
  <c r="C55" i="28"/>
  <c r="V55" i="28"/>
  <c r="S55" i="28"/>
  <c r="D55" i="28"/>
  <c r="G55" i="28" s="1"/>
  <c r="R55" i="28"/>
  <c r="N55" i="28"/>
  <c r="Q55" i="28"/>
  <c r="T55" i="28"/>
  <c r="F55" i="28"/>
  <c r="P55" i="28"/>
  <c r="U55" i="28"/>
  <c r="W55" i="28"/>
  <c r="O55" i="28"/>
  <c r="AD362" i="2"/>
  <c r="AJ362" i="2"/>
  <c r="AD426" i="2"/>
  <c r="AJ426" i="2"/>
  <c r="AD398" i="2"/>
  <c r="AJ398" i="2"/>
  <c r="AD466" i="2"/>
  <c r="AJ466" i="2"/>
  <c r="AD498" i="2"/>
  <c r="AJ498" i="2"/>
  <c r="AE328" i="2"/>
  <c r="AM328" i="2"/>
  <c r="AD402" i="2"/>
  <c r="AJ402" i="2"/>
  <c r="AD542" i="2"/>
  <c r="AJ542" i="2"/>
  <c r="AE664" i="2"/>
  <c r="AM664" i="2"/>
  <c r="AD562" i="2"/>
  <c r="AJ562" i="2"/>
  <c r="AD591" i="2"/>
  <c r="AJ591" i="2"/>
  <c r="AD655" i="2"/>
  <c r="AJ655" i="2"/>
  <c r="AM772" i="2"/>
  <c r="AD822" i="2"/>
  <c r="AJ822" i="2"/>
  <c r="AD930" i="2"/>
  <c r="AJ930" i="2"/>
  <c r="AE1161" i="2"/>
  <c r="AM1161" i="2"/>
  <c r="AM1237" i="2"/>
  <c r="AM1365" i="2"/>
  <c r="AD798" i="2"/>
  <c r="AJ798" i="2"/>
  <c r="AD862" i="2"/>
  <c r="AJ862" i="2"/>
  <c r="AD894" i="2"/>
  <c r="AJ894" i="2"/>
  <c r="AD926" i="2"/>
  <c r="AJ926" i="2"/>
  <c r="AE1096" i="2"/>
  <c r="AM1096" i="2"/>
  <c r="AE1112" i="2"/>
  <c r="AM1112" i="2"/>
  <c r="AE1128" i="2"/>
  <c r="AM1128" i="2"/>
  <c r="AE1144" i="2"/>
  <c r="AM1144" i="2"/>
  <c r="AE1160" i="2"/>
  <c r="AM1160" i="2"/>
  <c r="AE1176" i="2"/>
  <c r="AM1176" i="2"/>
  <c r="AE1192" i="2"/>
  <c r="AM1192" i="2"/>
  <c r="AE1208" i="2"/>
  <c r="AM1208" i="2"/>
  <c r="AE1224" i="2"/>
  <c r="AM1224" i="2"/>
  <c r="AE1240" i="2"/>
  <c r="AM1240" i="2"/>
  <c r="AE1256" i="2"/>
  <c r="AM1256" i="2"/>
  <c r="AE1272" i="2"/>
  <c r="AM1272" i="2"/>
  <c r="AE1288" i="2"/>
  <c r="AM1288" i="2"/>
  <c r="AE1304" i="2"/>
  <c r="AM1304" i="2"/>
  <c r="AE1320" i="2"/>
  <c r="AE1336" i="2"/>
  <c r="AM1336" i="2"/>
  <c r="AE1352" i="2"/>
  <c r="AM1352" i="2"/>
  <c r="AE1368" i="2"/>
  <c r="AM1368" i="2"/>
  <c r="AD741" i="2"/>
  <c r="AJ741" i="2"/>
  <c r="AD773" i="2"/>
  <c r="AJ773" i="2"/>
  <c r="AD799" i="2"/>
  <c r="AJ799" i="2"/>
  <c r="AD821" i="2"/>
  <c r="AJ821" i="2"/>
  <c r="AD831" i="2"/>
  <c r="AJ831" i="2"/>
  <c r="AD853" i="2"/>
  <c r="AJ853" i="2"/>
  <c r="AD863" i="2"/>
  <c r="AJ863" i="2"/>
  <c r="AD885" i="2"/>
  <c r="AJ885" i="2"/>
  <c r="AD895" i="2"/>
  <c r="AJ895" i="2"/>
  <c r="AD917" i="2"/>
  <c r="AJ917" i="2"/>
  <c r="AD927" i="2"/>
  <c r="AJ927" i="2"/>
  <c r="AD991" i="2"/>
  <c r="AJ991" i="2"/>
  <c r="AD1055" i="2"/>
  <c r="AJ1055" i="2"/>
  <c r="AD1400" i="2"/>
  <c r="AJ1400" i="2"/>
  <c r="AD1422" i="2"/>
  <c r="AJ1422" i="2"/>
  <c r="AD1432" i="2"/>
  <c r="AJ1432" i="2"/>
  <c r="AD1454" i="2"/>
  <c r="AJ1454" i="2"/>
  <c r="AD1464" i="2"/>
  <c r="AJ1464" i="2"/>
  <c r="AD1480" i="2"/>
  <c r="AJ1480" i="2"/>
  <c r="AD1496" i="2"/>
  <c r="AJ1496" i="2"/>
  <c r="AD1512" i="2"/>
  <c r="AJ1512" i="2"/>
  <c r="AD1528" i="2"/>
  <c r="AJ1528" i="2"/>
  <c r="AD1544" i="2"/>
  <c r="AJ1544" i="2"/>
  <c r="AD1560" i="2"/>
  <c r="AJ1560" i="2"/>
  <c r="AD1576" i="2"/>
  <c r="AJ1576" i="2"/>
  <c r="AD1592" i="2"/>
  <c r="AJ1592" i="2"/>
  <c r="AD1608" i="2"/>
  <c r="AJ1608" i="2"/>
  <c r="AD1624" i="2"/>
  <c r="AJ1624" i="2"/>
  <c r="AD1640" i="2"/>
  <c r="AJ1640" i="2"/>
  <c r="AD1656" i="2"/>
  <c r="AJ1656" i="2"/>
  <c r="AD1672" i="2"/>
  <c r="AJ1672" i="2"/>
  <c r="AD1688" i="2"/>
  <c r="AJ1688" i="2"/>
  <c r="AD1704" i="2"/>
  <c r="AJ1704" i="2"/>
  <c r="AD1715" i="2"/>
  <c r="AJ1715" i="2"/>
  <c r="AD1731" i="2"/>
  <c r="AJ1731" i="2"/>
  <c r="AD1747" i="2"/>
  <c r="AJ1747" i="2"/>
  <c r="AD1763" i="2"/>
  <c r="AJ1763" i="2"/>
  <c r="AD1779" i="2"/>
  <c r="AJ1779" i="2"/>
  <c r="AD1795" i="2"/>
  <c r="AJ1795" i="2"/>
  <c r="AD1811" i="2"/>
  <c r="AJ1811" i="2"/>
  <c r="AD1827" i="2"/>
  <c r="AJ1827" i="2"/>
  <c r="AD1843" i="2"/>
  <c r="AJ1843" i="2"/>
  <c r="AD1859" i="2"/>
  <c r="AJ1859" i="2"/>
  <c r="AD1875" i="2"/>
  <c r="AJ1875" i="2"/>
  <c r="AD1891" i="2"/>
  <c r="AJ1891" i="2"/>
  <c r="AD1907" i="2"/>
  <c r="AJ1907" i="2"/>
  <c r="AD1923" i="2"/>
  <c r="AJ1923" i="2"/>
  <c r="AD1939" i="2"/>
  <c r="AJ1939" i="2"/>
  <c r="AD1955" i="2"/>
  <c r="AJ1955" i="2"/>
  <c r="AD1971" i="2"/>
  <c r="AJ1971" i="2"/>
  <c r="AD1987" i="2"/>
  <c r="AJ1987" i="2"/>
  <c r="AD2003" i="2"/>
  <c r="AJ2003" i="2"/>
  <c r="AD1098" i="2"/>
  <c r="AJ1098" i="2"/>
  <c r="AD1162" i="2"/>
  <c r="AJ1162" i="2"/>
  <c r="AD1226" i="2"/>
  <c r="AJ1226" i="2"/>
  <c r="AD1290" i="2"/>
  <c r="AJ1290" i="2"/>
  <c r="AD1354" i="2"/>
  <c r="AJ1354" i="2"/>
  <c r="AD1407" i="2"/>
  <c r="AJ1407" i="2"/>
  <c r="AD1439" i="2"/>
  <c r="AJ1439" i="2"/>
  <c r="AD1760" i="2"/>
  <c r="AJ1760" i="2"/>
  <c r="AD1824" i="2"/>
  <c r="AJ1824" i="2"/>
  <c r="AE1842" i="2"/>
  <c r="AM1842" i="2"/>
  <c r="AD1888" i="2"/>
  <c r="AJ1888" i="2"/>
  <c r="AE1906" i="2"/>
  <c r="AM1906" i="2"/>
  <c r="AD1952" i="2"/>
  <c r="AJ1952" i="2"/>
  <c r="AE1970" i="2"/>
  <c r="AM1970" i="2"/>
  <c r="AD2064" i="2"/>
  <c r="AJ2064" i="2"/>
  <c r="AE2082" i="2"/>
  <c r="AM2082" i="2"/>
  <c r="AD975" i="2"/>
  <c r="AJ975" i="2"/>
  <c r="AD1039" i="2"/>
  <c r="AJ1039" i="2"/>
  <c r="AE1115" i="2"/>
  <c r="AM1115" i="2"/>
  <c r="AD1134" i="2"/>
  <c r="AJ1134" i="2"/>
  <c r="AE1179" i="2"/>
  <c r="AM1179" i="2"/>
  <c r="AD1198" i="2"/>
  <c r="AJ1198" i="2"/>
  <c r="AD1262" i="2"/>
  <c r="AJ1262" i="2"/>
  <c r="AD1326" i="2"/>
  <c r="AJ1326" i="2"/>
  <c r="AE1371" i="2"/>
  <c r="AM1371" i="2"/>
  <c r="AD1390" i="2"/>
  <c r="AJ1390" i="2"/>
  <c r="AD1403" i="2"/>
  <c r="AJ1403" i="2"/>
  <c r="AD1435" i="2"/>
  <c r="AJ1435" i="2"/>
  <c r="AE1470" i="2"/>
  <c r="AM1470" i="2"/>
  <c r="AD1504" i="2"/>
  <c r="AJ1504" i="2"/>
  <c r="AE1534" i="2"/>
  <c r="AM1534" i="2"/>
  <c r="AD1568" i="2"/>
  <c r="AJ1568" i="2"/>
  <c r="AE1598" i="2"/>
  <c r="AM1598" i="2"/>
  <c r="AD1632" i="2"/>
  <c r="AJ1632" i="2"/>
  <c r="AD1696" i="2"/>
  <c r="AJ1696" i="2"/>
  <c r="AD1748" i="2"/>
  <c r="AJ1748" i="2"/>
  <c r="AE1766" i="2"/>
  <c r="AM1766" i="2"/>
  <c r="AD1812" i="2"/>
  <c r="AJ1812" i="2"/>
  <c r="AE1830" i="2"/>
  <c r="AM1830" i="2"/>
  <c r="AD1876" i="2"/>
  <c r="AJ1876" i="2"/>
  <c r="AE1894" i="2"/>
  <c r="AM1894" i="2"/>
  <c r="AD1940" i="2"/>
  <c r="AJ1940" i="2"/>
  <c r="AE1958" i="2"/>
  <c r="AM1958" i="2"/>
  <c r="AD2004" i="2"/>
  <c r="AJ2004" i="2"/>
  <c r="AE2022" i="2"/>
  <c r="AM2022" i="2"/>
  <c r="AD2068" i="2"/>
  <c r="AJ2068" i="2"/>
  <c r="AE2086" i="2"/>
  <c r="AM2086" i="2"/>
  <c r="AD1410" i="2"/>
  <c r="AJ1410" i="2"/>
  <c r="AD1420" i="2"/>
  <c r="AJ1420" i="2"/>
  <c r="AD1442" i="2"/>
  <c r="AJ1442" i="2"/>
  <c r="AD1452" i="2"/>
  <c r="AJ1452" i="2"/>
  <c r="AD1484" i="2"/>
  <c r="AJ1484" i="2"/>
  <c r="AD1516" i="2"/>
  <c r="AJ1516" i="2"/>
  <c r="AD1548" i="2"/>
  <c r="AJ1548" i="2"/>
  <c r="AD1580" i="2"/>
  <c r="AJ1580" i="2"/>
  <c r="AD1612" i="2"/>
  <c r="AJ1612" i="2"/>
  <c r="AD1644" i="2"/>
  <c r="AJ1644" i="2"/>
  <c r="AD1676" i="2"/>
  <c r="AJ1676" i="2"/>
  <c r="AD1720" i="2"/>
  <c r="AJ1720" i="2"/>
  <c r="AD1752" i="2"/>
  <c r="AJ1752" i="2"/>
  <c r="AD1784" i="2"/>
  <c r="AJ1784" i="2"/>
  <c r="AD1816" i="2"/>
  <c r="AJ1816" i="2"/>
  <c r="AD1848" i="2"/>
  <c r="AJ1848" i="2"/>
  <c r="AD1880" i="2"/>
  <c r="AJ1880" i="2"/>
  <c r="AD1912" i="2"/>
  <c r="AJ1912" i="2"/>
  <c r="AD1944" i="2"/>
  <c r="AJ1944" i="2"/>
  <c r="AD1976" i="2"/>
  <c r="AJ1976" i="2"/>
  <c r="AD2008" i="2"/>
  <c r="AJ2008" i="2"/>
  <c r="AD2040" i="2"/>
  <c r="AJ2040" i="2"/>
  <c r="AD2072" i="2"/>
  <c r="AJ2072" i="2"/>
  <c r="AE2126" i="2"/>
  <c r="AM2126" i="2"/>
  <c r="AM2142" i="2"/>
  <c r="AE2158" i="2"/>
  <c r="AE2190" i="2"/>
  <c r="AM2190" i="2"/>
  <c r="AM2206" i="2"/>
  <c r="AE2222" i="2"/>
  <c r="AM2222" i="2"/>
  <c r="AM2238" i="2"/>
  <c r="AE2270" i="2"/>
  <c r="AM2270" i="2"/>
  <c r="AE2286" i="2"/>
  <c r="AM2286" i="2"/>
  <c r="AE2302" i="2"/>
  <c r="AM2302" i="2"/>
  <c r="AE2318" i="2"/>
  <c r="AM2318" i="2"/>
  <c r="AE2334" i="2"/>
  <c r="AM2334" i="2"/>
  <c r="X196" i="28"/>
  <c r="Z196" i="28"/>
  <c r="D196" i="28"/>
  <c r="G196" i="28" s="1"/>
  <c r="S196" i="28"/>
  <c r="P196" i="28"/>
  <c r="C196" i="28"/>
  <c r="R196" i="28"/>
  <c r="V196" i="28"/>
  <c r="W196" i="28"/>
  <c r="O196" i="28"/>
  <c r="U196" i="28"/>
  <c r="T196" i="28"/>
  <c r="N196" i="28"/>
  <c r="F196" i="28"/>
  <c r="Q196" i="28"/>
  <c r="X164" i="28"/>
  <c r="Z164" i="28"/>
  <c r="D164" i="28"/>
  <c r="G164" i="28" s="1"/>
  <c r="C164" i="28"/>
  <c r="V164" i="28"/>
  <c r="S164" i="28"/>
  <c r="T164" i="28"/>
  <c r="N164" i="28"/>
  <c r="U164" i="28"/>
  <c r="Q164" i="28"/>
  <c r="R164" i="28"/>
  <c r="F164" i="28"/>
  <c r="P164" i="28"/>
  <c r="O164" i="28"/>
  <c r="W164" i="28"/>
  <c r="X132" i="28"/>
  <c r="Z132" i="28"/>
  <c r="D132" i="28"/>
  <c r="G132" i="28" s="1"/>
  <c r="C132" i="28"/>
  <c r="U132" i="28"/>
  <c r="P132" i="28"/>
  <c r="F132" i="28"/>
  <c r="S132" i="28"/>
  <c r="W132" i="28"/>
  <c r="V132" i="28"/>
  <c r="Q132" i="28"/>
  <c r="R132" i="28"/>
  <c r="O132" i="28"/>
  <c r="N132" i="28"/>
  <c r="T132" i="28"/>
  <c r="X100" i="28"/>
  <c r="Z100" i="28"/>
  <c r="D100" i="28"/>
  <c r="G100" i="28" s="1"/>
  <c r="R100" i="28"/>
  <c r="U100" i="28"/>
  <c r="T100" i="28"/>
  <c r="F100" i="28"/>
  <c r="C100" i="28"/>
  <c r="V100" i="28"/>
  <c r="Q100" i="28"/>
  <c r="S100" i="28"/>
  <c r="P100" i="28"/>
  <c r="N100" i="28"/>
  <c r="W100" i="28"/>
  <c r="O100" i="28"/>
  <c r="X68" i="28"/>
  <c r="Z68" i="28"/>
  <c r="D68" i="28"/>
  <c r="G68" i="28" s="1"/>
  <c r="F68" i="28"/>
  <c r="O68" i="28"/>
  <c r="P68" i="28"/>
  <c r="R68" i="28"/>
  <c r="C68" i="28"/>
  <c r="Q68" i="28"/>
  <c r="V68" i="28"/>
  <c r="S68" i="28"/>
  <c r="N68" i="28"/>
  <c r="U68" i="28"/>
  <c r="T68" i="28"/>
  <c r="W68" i="28"/>
  <c r="X36" i="28"/>
  <c r="Z36" i="28"/>
  <c r="W36" i="28"/>
  <c r="V36" i="28"/>
  <c r="P36" i="28"/>
  <c r="C36" i="28"/>
  <c r="N36" i="28"/>
  <c r="Q36" i="28"/>
  <c r="T36" i="28"/>
  <c r="D36" i="28"/>
  <c r="G36" i="28" s="1"/>
  <c r="O36" i="28"/>
  <c r="F36" i="28"/>
  <c r="U36" i="28"/>
  <c r="S36" i="28"/>
  <c r="R36" i="28"/>
  <c r="Z199" i="28"/>
  <c r="X199" i="28"/>
  <c r="R199" i="28"/>
  <c r="C199" i="28"/>
  <c r="O199" i="28"/>
  <c r="D199" i="28"/>
  <c r="G199" i="28" s="1"/>
  <c r="V199" i="28"/>
  <c r="P199" i="28"/>
  <c r="F199" i="28"/>
  <c r="N199" i="28"/>
  <c r="T199" i="28"/>
  <c r="U199" i="28"/>
  <c r="S199" i="28"/>
  <c r="Q199" i="28"/>
  <c r="W199" i="28"/>
  <c r="Z167" i="28"/>
  <c r="X167" i="28"/>
  <c r="T167" i="28"/>
  <c r="S167" i="28"/>
  <c r="U167" i="28"/>
  <c r="D167" i="28"/>
  <c r="G167" i="28" s="1"/>
  <c r="F167" i="28"/>
  <c r="V167" i="28"/>
  <c r="N167" i="28"/>
  <c r="P167" i="28"/>
  <c r="Q167" i="28"/>
  <c r="O167" i="28"/>
  <c r="W167" i="28"/>
  <c r="R167" i="28"/>
  <c r="C167" i="28"/>
  <c r="Z135" i="28"/>
  <c r="X135" i="28"/>
  <c r="U135" i="28"/>
  <c r="F135" i="28"/>
  <c r="N135" i="28"/>
  <c r="D135" i="28"/>
  <c r="G135" i="28" s="1"/>
  <c r="W135" i="28"/>
  <c r="Q135" i="28"/>
  <c r="P135" i="28"/>
  <c r="R135" i="28"/>
  <c r="O135" i="28"/>
  <c r="C135" i="28"/>
  <c r="S135" i="28"/>
  <c r="V135" i="28"/>
  <c r="T135" i="28"/>
  <c r="Z103" i="28"/>
  <c r="X103" i="28"/>
  <c r="V103" i="28"/>
  <c r="Q103" i="28"/>
  <c r="O103" i="28"/>
  <c r="D103" i="28"/>
  <c r="G103" i="28" s="1"/>
  <c r="S103" i="28"/>
  <c r="U103" i="28"/>
  <c r="C103" i="28"/>
  <c r="W103" i="28"/>
  <c r="P103" i="28"/>
  <c r="N103" i="28"/>
  <c r="F103" i="28"/>
  <c r="R103" i="28"/>
  <c r="T103" i="28"/>
  <c r="Z79" i="28"/>
  <c r="X79" i="28"/>
  <c r="S79" i="28"/>
  <c r="C79" i="28"/>
  <c r="U79" i="28"/>
  <c r="D79" i="28"/>
  <c r="G79" i="28" s="1"/>
  <c r="O79" i="28"/>
  <c r="N79" i="28"/>
  <c r="W79" i="28"/>
  <c r="F79" i="28"/>
  <c r="R79" i="28"/>
  <c r="T79" i="28"/>
  <c r="P79" i="28"/>
  <c r="Q79" i="28"/>
  <c r="V79" i="28"/>
  <c r="Z47" i="28"/>
  <c r="X47" i="28"/>
  <c r="P47" i="28"/>
  <c r="O47" i="28"/>
  <c r="C47" i="28"/>
  <c r="W47" i="28"/>
  <c r="T47" i="28"/>
  <c r="S47" i="28"/>
  <c r="N47" i="28"/>
  <c r="D47" i="28"/>
  <c r="G47" i="28" s="1"/>
  <c r="Q47" i="28"/>
  <c r="R47" i="28"/>
  <c r="U47" i="28"/>
  <c r="V47" i="28"/>
  <c r="F47" i="28"/>
  <c r="AD474" i="2"/>
  <c r="AJ474" i="2"/>
  <c r="AD506" i="2"/>
  <c r="AJ506" i="2"/>
  <c r="AD386" i="2"/>
  <c r="AJ386" i="2"/>
  <c r="AD434" i="2"/>
  <c r="AJ434" i="2"/>
  <c r="AD574" i="2"/>
  <c r="AJ574" i="2"/>
  <c r="AE600" i="2"/>
  <c r="AM600" i="2"/>
  <c r="AE609" i="2"/>
  <c r="AD618" i="2"/>
  <c r="AJ618" i="2"/>
  <c r="AD643" i="2"/>
  <c r="AJ643" i="2"/>
  <c r="AD699" i="2"/>
  <c r="AK699" i="2"/>
  <c r="AE624" i="2"/>
  <c r="AM624" i="2"/>
  <c r="AD918" i="2"/>
  <c r="AJ918" i="2"/>
  <c r="AD802" i="2"/>
  <c r="AJ802" i="2"/>
  <c r="AD866" i="2"/>
  <c r="AJ866" i="2"/>
  <c r="AM1221" i="2"/>
  <c r="AD830" i="2"/>
  <c r="AJ830" i="2"/>
  <c r="AE1384" i="2"/>
  <c r="AM1384" i="2"/>
  <c r="X194" i="28"/>
  <c r="Z194" i="28"/>
  <c r="D194" i="28"/>
  <c r="G194" i="28" s="1"/>
  <c r="P194" i="28"/>
  <c r="S194" i="28"/>
  <c r="R194" i="28"/>
  <c r="T194" i="28"/>
  <c r="V194" i="28"/>
  <c r="O194" i="28"/>
  <c r="C194" i="28"/>
  <c r="U194" i="28"/>
  <c r="Q194" i="28"/>
  <c r="F194" i="28"/>
  <c r="N194" i="28"/>
  <c r="W194" i="28"/>
  <c r="X186" i="28"/>
  <c r="Z186" i="28"/>
  <c r="D186" i="28"/>
  <c r="G186" i="28" s="1"/>
  <c r="W186" i="28"/>
  <c r="S186" i="28"/>
  <c r="R186" i="28"/>
  <c r="V186" i="28"/>
  <c r="P186" i="28"/>
  <c r="T186" i="28"/>
  <c r="N186" i="28"/>
  <c r="C186" i="28"/>
  <c r="F186" i="28"/>
  <c r="U186" i="28"/>
  <c r="O186" i="28"/>
  <c r="Q186" i="28"/>
  <c r="X178" i="28"/>
  <c r="Z178" i="28"/>
  <c r="D178" i="28"/>
  <c r="G178" i="28" s="1"/>
  <c r="W178" i="28"/>
  <c r="Q178" i="28"/>
  <c r="T178" i="28"/>
  <c r="S178" i="28"/>
  <c r="F178" i="28"/>
  <c r="C178" i="28"/>
  <c r="P178" i="28"/>
  <c r="V178" i="28"/>
  <c r="O178" i="28"/>
  <c r="U178" i="28"/>
  <c r="R178" i="28"/>
  <c r="N178" i="28"/>
  <c r="X170" i="28"/>
  <c r="Z170" i="28"/>
  <c r="D170" i="28"/>
  <c r="G170" i="28" s="1"/>
  <c r="W170" i="28"/>
  <c r="C170" i="28"/>
  <c r="Q170" i="28"/>
  <c r="R170" i="28"/>
  <c r="P170" i="28"/>
  <c r="U170" i="28"/>
  <c r="S170" i="28"/>
  <c r="T170" i="28"/>
  <c r="N170" i="28"/>
  <c r="V170" i="28"/>
  <c r="F170" i="28"/>
  <c r="O170" i="28"/>
  <c r="X162" i="28"/>
  <c r="Z162" i="28"/>
  <c r="D162" i="28"/>
  <c r="G162" i="28" s="1"/>
  <c r="V162" i="28"/>
  <c r="W162" i="28"/>
  <c r="O162" i="28"/>
  <c r="R162" i="28"/>
  <c r="C162" i="28"/>
  <c r="N162" i="28"/>
  <c r="P162" i="28"/>
  <c r="U162" i="28"/>
  <c r="S162" i="28"/>
  <c r="T162" i="28"/>
  <c r="Q162" i="28"/>
  <c r="F162" i="28"/>
  <c r="X154" i="28"/>
  <c r="Z154" i="28"/>
  <c r="D154" i="28"/>
  <c r="G154" i="28" s="1"/>
  <c r="V154" i="28"/>
  <c r="N154" i="28"/>
  <c r="F154" i="28"/>
  <c r="O154" i="28"/>
  <c r="C154" i="28"/>
  <c r="S154" i="28"/>
  <c r="T154" i="28"/>
  <c r="R154" i="28"/>
  <c r="P154" i="28"/>
  <c r="U154" i="28"/>
  <c r="Q154" i="28"/>
  <c r="W154" i="28"/>
  <c r="X146" i="28"/>
  <c r="Z146" i="28"/>
  <c r="D146" i="28"/>
  <c r="G146" i="28" s="1"/>
  <c r="Q146" i="28"/>
  <c r="T146" i="28"/>
  <c r="N146" i="28"/>
  <c r="S146" i="28"/>
  <c r="V146" i="28"/>
  <c r="F146" i="28"/>
  <c r="P146" i="28"/>
  <c r="W146" i="28"/>
  <c r="U146" i="28"/>
  <c r="R146" i="28"/>
  <c r="C146" i="28"/>
  <c r="O146" i="28"/>
  <c r="X138" i="28"/>
  <c r="Z138" i="28"/>
  <c r="D138" i="28"/>
  <c r="G138" i="28" s="1"/>
  <c r="Q138" i="28"/>
  <c r="F138" i="28"/>
  <c r="T138" i="28"/>
  <c r="C138" i="28"/>
  <c r="U138" i="28"/>
  <c r="P138" i="28"/>
  <c r="S138" i="28"/>
  <c r="R138" i="28"/>
  <c r="W138" i="28"/>
  <c r="O138" i="28"/>
  <c r="V138" i="28"/>
  <c r="N138" i="28"/>
  <c r="X130" i="28"/>
  <c r="Z130" i="28"/>
  <c r="D130" i="28"/>
  <c r="G130" i="28" s="1"/>
  <c r="S130" i="28"/>
  <c r="F130" i="28"/>
  <c r="O130" i="28"/>
  <c r="R130" i="28"/>
  <c r="N130" i="28"/>
  <c r="Q130" i="28"/>
  <c r="T130" i="28"/>
  <c r="W130" i="28"/>
  <c r="U130" i="28"/>
  <c r="C130" i="28"/>
  <c r="V130" i="28"/>
  <c r="P130" i="28"/>
  <c r="X122" i="28"/>
  <c r="Z122" i="28"/>
  <c r="D122" i="28"/>
  <c r="G122" i="28" s="1"/>
  <c r="S122" i="28"/>
  <c r="F122" i="28"/>
  <c r="O122" i="28"/>
  <c r="W122" i="28"/>
  <c r="U122" i="28"/>
  <c r="R122" i="28"/>
  <c r="V122" i="28"/>
  <c r="C122" i="28"/>
  <c r="P122" i="28"/>
  <c r="Q122" i="28"/>
  <c r="T122" i="28"/>
  <c r="N122" i="28"/>
  <c r="X114" i="28"/>
  <c r="Z114" i="28"/>
  <c r="D114" i="28"/>
  <c r="G114" i="28" s="1"/>
  <c r="F114" i="28"/>
  <c r="O114" i="28"/>
  <c r="P114" i="28"/>
  <c r="T114" i="28"/>
  <c r="V114" i="28"/>
  <c r="S114" i="28"/>
  <c r="N114" i="28"/>
  <c r="U114" i="28"/>
  <c r="Q114" i="28"/>
  <c r="W114" i="28"/>
  <c r="C114" i="28"/>
  <c r="R114" i="28"/>
  <c r="X106" i="28"/>
  <c r="Z106" i="28"/>
  <c r="D106" i="28"/>
  <c r="G106" i="28" s="1"/>
  <c r="F106" i="28"/>
  <c r="O106" i="28"/>
  <c r="P106" i="28"/>
  <c r="Q106" i="28"/>
  <c r="N106" i="28"/>
  <c r="W106" i="28"/>
  <c r="T106" i="28"/>
  <c r="R106" i="28"/>
  <c r="U106" i="28"/>
  <c r="C106" i="28"/>
  <c r="V106" i="28"/>
  <c r="S106" i="28"/>
  <c r="X98" i="28"/>
  <c r="Z98" i="28"/>
  <c r="D98" i="28"/>
  <c r="G98" i="28" s="1"/>
  <c r="W98" i="28"/>
  <c r="Q98" i="28"/>
  <c r="P98" i="28"/>
  <c r="S98" i="28"/>
  <c r="V98" i="28"/>
  <c r="T98" i="28"/>
  <c r="N98" i="28"/>
  <c r="R98" i="28"/>
  <c r="U98" i="28"/>
  <c r="O98" i="28"/>
  <c r="C98" i="28"/>
  <c r="F98" i="28"/>
  <c r="X90" i="28"/>
  <c r="Z90" i="28"/>
  <c r="D90" i="28"/>
  <c r="G90" i="28" s="1"/>
  <c r="S90" i="28"/>
  <c r="R90" i="28"/>
  <c r="U90" i="28"/>
  <c r="W90" i="28"/>
  <c r="O90" i="28"/>
  <c r="V90" i="28"/>
  <c r="Q90" i="28"/>
  <c r="P90" i="28"/>
  <c r="N90" i="28"/>
  <c r="T90" i="28"/>
  <c r="C90" i="28"/>
  <c r="F90" i="28"/>
  <c r="X82" i="28"/>
  <c r="Z82" i="28"/>
  <c r="D82" i="28"/>
  <c r="G82" i="28" s="1"/>
  <c r="V82" i="28"/>
  <c r="C82" i="28"/>
  <c r="R82" i="28"/>
  <c r="S82" i="28"/>
  <c r="P82" i="28"/>
  <c r="Q82" i="28"/>
  <c r="T82" i="28"/>
  <c r="W82" i="28"/>
  <c r="N82" i="28"/>
  <c r="U82" i="28"/>
  <c r="O82" i="28"/>
  <c r="F82" i="28"/>
  <c r="X74" i="28"/>
  <c r="Z74" i="28"/>
  <c r="D74" i="28"/>
  <c r="G74" i="28" s="1"/>
  <c r="V74" i="28"/>
  <c r="C74" i="28"/>
  <c r="R74" i="28"/>
  <c r="F74" i="28"/>
  <c r="Q74" i="28"/>
  <c r="N74" i="28"/>
  <c r="T74" i="28"/>
  <c r="U74" i="28"/>
  <c r="O74" i="28"/>
  <c r="W74" i="28"/>
  <c r="S74" i="28"/>
  <c r="P74" i="28"/>
  <c r="X66" i="28"/>
  <c r="Z66" i="28"/>
  <c r="D66" i="28"/>
  <c r="G66" i="28" s="1"/>
  <c r="F66" i="28"/>
  <c r="O66" i="28"/>
  <c r="P66" i="28"/>
  <c r="Q66" i="28"/>
  <c r="R66" i="28"/>
  <c r="C66" i="28"/>
  <c r="V66" i="28"/>
  <c r="N66" i="28"/>
  <c r="S66" i="28"/>
  <c r="W66" i="28"/>
  <c r="U66" i="28"/>
  <c r="T66" i="28"/>
  <c r="X58" i="28"/>
  <c r="Z58" i="28"/>
  <c r="D58" i="28"/>
  <c r="G58" i="28" s="1"/>
  <c r="O58" i="28"/>
  <c r="T58" i="28"/>
  <c r="R58" i="28"/>
  <c r="N58" i="28"/>
  <c r="F58" i="28"/>
  <c r="P58" i="28"/>
  <c r="Q58" i="28"/>
  <c r="U58" i="28"/>
  <c r="C58" i="28"/>
  <c r="W58" i="28"/>
  <c r="V58" i="28"/>
  <c r="S58" i="28"/>
  <c r="X50" i="28"/>
  <c r="Z50" i="28"/>
  <c r="C50" i="28"/>
  <c r="Q50" i="28"/>
  <c r="V50" i="28"/>
  <c r="T50" i="28"/>
  <c r="D50" i="28"/>
  <c r="G50" i="28" s="1"/>
  <c r="F50" i="28"/>
  <c r="N50" i="28"/>
  <c r="S50" i="28"/>
  <c r="U50" i="28"/>
  <c r="O50" i="28"/>
  <c r="W50" i="28"/>
  <c r="P50" i="28"/>
  <c r="R50" i="28"/>
  <c r="X42" i="28"/>
  <c r="Z42" i="28"/>
  <c r="O42" i="28"/>
  <c r="F42" i="28"/>
  <c r="R42" i="28"/>
  <c r="N42" i="28"/>
  <c r="Q42" i="28"/>
  <c r="C42" i="28"/>
  <c r="S42" i="28"/>
  <c r="V42" i="28"/>
  <c r="U42" i="28"/>
  <c r="D42" i="28"/>
  <c r="G42" i="28" s="1"/>
  <c r="W42" i="28"/>
  <c r="P42" i="28"/>
  <c r="T42" i="28"/>
  <c r="X34" i="28"/>
  <c r="Z34" i="28"/>
  <c r="V34" i="28"/>
  <c r="P34" i="28"/>
  <c r="Q34" i="28"/>
  <c r="T34" i="28"/>
  <c r="W34" i="28"/>
  <c r="O34" i="28"/>
  <c r="F34" i="28"/>
  <c r="U34" i="28"/>
  <c r="C34" i="28"/>
  <c r="S34" i="28"/>
  <c r="R34" i="28"/>
  <c r="N34" i="28"/>
  <c r="D34" i="28"/>
  <c r="G34" i="28" s="1"/>
  <c r="Z197" i="28"/>
  <c r="X197" i="28"/>
  <c r="T197" i="28"/>
  <c r="F197" i="28"/>
  <c r="N197" i="28"/>
  <c r="R197" i="28"/>
  <c r="C197" i="28"/>
  <c r="U197" i="28"/>
  <c r="S197" i="28"/>
  <c r="V197" i="28"/>
  <c r="D197" i="28"/>
  <c r="G197" i="28" s="1"/>
  <c r="Q197" i="28"/>
  <c r="P197" i="28"/>
  <c r="O197" i="28"/>
  <c r="W197" i="28"/>
  <c r="Z189" i="28"/>
  <c r="X189" i="28"/>
  <c r="S189" i="28"/>
  <c r="C189" i="28"/>
  <c r="Q189" i="28"/>
  <c r="U189" i="28"/>
  <c r="O189" i="28"/>
  <c r="N189" i="28"/>
  <c r="F189" i="28"/>
  <c r="D189" i="28"/>
  <c r="G189" i="28" s="1"/>
  <c r="V189" i="28"/>
  <c r="P189" i="28"/>
  <c r="R189" i="28"/>
  <c r="T189" i="28"/>
  <c r="W189" i="28"/>
  <c r="Z181" i="28"/>
  <c r="X181" i="28"/>
  <c r="F181" i="28"/>
  <c r="C181" i="28"/>
  <c r="R181" i="28"/>
  <c r="T181" i="28"/>
  <c r="Q181" i="28"/>
  <c r="N181" i="28"/>
  <c r="U181" i="28"/>
  <c r="O181" i="28"/>
  <c r="D181" i="28"/>
  <c r="G181" i="28" s="1"/>
  <c r="W181" i="28"/>
  <c r="V181" i="28"/>
  <c r="P181" i="28"/>
  <c r="S181" i="28"/>
  <c r="Z173" i="28"/>
  <c r="X173" i="28"/>
  <c r="U173" i="28"/>
  <c r="R173" i="28"/>
  <c r="Q173" i="28"/>
  <c r="P173" i="28"/>
  <c r="F173" i="28"/>
  <c r="N173" i="28"/>
  <c r="C173" i="28"/>
  <c r="D173" i="28"/>
  <c r="G173" i="28" s="1"/>
  <c r="W173" i="28"/>
  <c r="V173" i="28"/>
  <c r="T173" i="28"/>
  <c r="O173" i="28"/>
  <c r="S173" i="28"/>
  <c r="Z165" i="28"/>
  <c r="X165" i="28"/>
  <c r="N165" i="28"/>
  <c r="O165" i="28"/>
  <c r="S165" i="28"/>
  <c r="F165" i="28"/>
  <c r="W165" i="28"/>
  <c r="P165" i="28"/>
  <c r="U165" i="28"/>
  <c r="D165" i="28"/>
  <c r="G165" i="28" s="1"/>
  <c r="C165" i="28"/>
  <c r="Q165" i="28"/>
  <c r="T165" i="28"/>
  <c r="R165" i="28"/>
  <c r="V165" i="28"/>
  <c r="Z157" i="28"/>
  <c r="X157" i="28"/>
  <c r="V157" i="28"/>
  <c r="W157" i="28"/>
  <c r="S157" i="28"/>
  <c r="C157" i="28"/>
  <c r="F157" i="28"/>
  <c r="Q157" i="28"/>
  <c r="O157" i="28"/>
  <c r="T157" i="28"/>
  <c r="D157" i="28"/>
  <c r="G157" i="28" s="1"/>
  <c r="R157" i="28"/>
  <c r="U157" i="28"/>
  <c r="N157" i="28"/>
  <c r="P157" i="28"/>
  <c r="Z149" i="28"/>
  <c r="X149" i="28"/>
  <c r="R149" i="28"/>
  <c r="W149" i="28"/>
  <c r="S149" i="28"/>
  <c r="N149" i="28"/>
  <c r="Q149" i="28"/>
  <c r="U149" i="28"/>
  <c r="T149" i="28"/>
  <c r="D149" i="28"/>
  <c r="G149" i="28" s="1"/>
  <c r="C149" i="28"/>
  <c r="O149" i="28"/>
  <c r="P149" i="28"/>
  <c r="V149" i="28"/>
  <c r="F149" i="28"/>
  <c r="Z141" i="28"/>
  <c r="X141" i="28"/>
  <c r="C141" i="28"/>
  <c r="N141" i="28"/>
  <c r="Q141" i="28"/>
  <c r="O141" i="28"/>
  <c r="W141" i="28"/>
  <c r="F141" i="28"/>
  <c r="T141" i="28"/>
  <c r="V141" i="28"/>
  <c r="D141" i="28"/>
  <c r="G141" i="28" s="1"/>
  <c r="R141" i="28"/>
  <c r="U141" i="28"/>
  <c r="S141" i="28"/>
  <c r="P141" i="28"/>
  <c r="Z133" i="28"/>
  <c r="X133" i="28"/>
  <c r="N133" i="28"/>
  <c r="C133" i="28"/>
  <c r="P133" i="28"/>
  <c r="Q133" i="28"/>
  <c r="T133" i="28"/>
  <c r="V133" i="28"/>
  <c r="F133" i="28"/>
  <c r="R133" i="28"/>
  <c r="D133" i="28"/>
  <c r="G133" i="28" s="1"/>
  <c r="U133" i="28"/>
  <c r="O133" i="28"/>
  <c r="S133" i="28"/>
  <c r="W133" i="28"/>
  <c r="Z125" i="28"/>
  <c r="X125" i="28"/>
  <c r="Q125" i="28"/>
  <c r="T125" i="28"/>
  <c r="W125" i="28"/>
  <c r="R125" i="28"/>
  <c r="N125" i="28"/>
  <c r="V125" i="28"/>
  <c r="O125" i="28"/>
  <c r="P125" i="28"/>
  <c r="U125" i="28"/>
  <c r="D125" i="28"/>
  <c r="G125" i="28" s="1"/>
  <c r="F125" i="28"/>
  <c r="C125" i="28"/>
  <c r="S125" i="28"/>
  <c r="Z117" i="28"/>
  <c r="X117" i="28"/>
  <c r="O117" i="28"/>
  <c r="W117" i="28"/>
  <c r="C117" i="28"/>
  <c r="F117" i="28"/>
  <c r="S117" i="28"/>
  <c r="Q117" i="28"/>
  <c r="N117" i="28"/>
  <c r="D117" i="28"/>
  <c r="G117" i="28" s="1"/>
  <c r="V117" i="28"/>
  <c r="P117" i="28"/>
  <c r="R117" i="28"/>
  <c r="T117" i="28"/>
  <c r="U117" i="28"/>
  <c r="Z109" i="28"/>
  <c r="X109" i="28"/>
  <c r="O109" i="28"/>
  <c r="W109" i="28"/>
  <c r="C109" i="28"/>
  <c r="U109" i="28"/>
  <c r="V109" i="28"/>
  <c r="N109" i="28"/>
  <c r="F109" i="28"/>
  <c r="T109" i="28"/>
  <c r="D109" i="28"/>
  <c r="G109" i="28" s="1"/>
  <c r="P109" i="28"/>
  <c r="R109" i="28"/>
  <c r="S109" i="28"/>
  <c r="Q109" i="28"/>
  <c r="Z101" i="28"/>
  <c r="X101" i="28"/>
  <c r="W101" i="28"/>
  <c r="C101" i="28"/>
  <c r="U101" i="28"/>
  <c r="R101" i="28"/>
  <c r="T101" i="28"/>
  <c r="Q101" i="28"/>
  <c r="N101" i="28"/>
  <c r="D101" i="28"/>
  <c r="G101" i="28" s="1"/>
  <c r="O101" i="28"/>
  <c r="S101" i="28"/>
  <c r="V101" i="28"/>
  <c r="P101" i="28"/>
  <c r="F101" i="28"/>
  <c r="Z93" i="28"/>
  <c r="X93" i="28"/>
  <c r="Q93" i="28"/>
  <c r="T93" i="28"/>
  <c r="W93" i="28"/>
  <c r="S93" i="28"/>
  <c r="O93" i="28"/>
  <c r="F93" i="28"/>
  <c r="P93" i="28"/>
  <c r="U93" i="28"/>
  <c r="C93" i="28"/>
  <c r="D93" i="28"/>
  <c r="G93" i="28" s="1"/>
  <c r="R93" i="28"/>
  <c r="N93" i="28"/>
  <c r="V93" i="28"/>
  <c r="Z85" i="28"/>
  <c r="X85" i="28"/>
  <c r="Q85" i="28"/>
  <c r="T85" i="28"/>
  <c r="W85" i="28"/>
  <c r="O85" i="28"/>
  <c r="F85" i="28"/>
  <c r="P85" i="28"/>
  <c r="R85" i="28"/>
  <c r="S85" i="28"/>
  <c r="D85" i="28"/>
  <c r="G85" i="28" s="1"/>
  <c r="U85" i="28"/>
  <c r="C85" i="28"/>
  <c r="V85" i="28"/>
  <c r="N85" i="28"/>
  <c r="Z77" i="28"/>
  <c r="X77" i="28"/>
  <c r="F77" i="28"/>
  <c r="V77" i="28"/>
  <c r="Q77" i="28"/>
  <c r="U77" i="28"/>
  <c r="N77" i="28"/>
  <c r="W77" i="28"/>
  <c r="T77" i="28"/>
  <c r="R77" i="28"/>
  <c r="D77" i="28"/>
  <c r="G77" i="28" s="1"/>
  <c r="P77" i="28"/>
  <c r="O77" i="28"/>
  <c r="S77" i="28"/>
  <c r="C77" i="28"/>
  <c r="Z69" i="28"/>
  <c r="X69" i="28"/>
  <c r="T69" i="28"/>
  <c r="W69" i="28"/>
  <c r="C69" i="28"/>
  <c r="U69" i="28"/>
  <c r="R69" i="28"/>
  <c r="O69" i="28"/>
  <c r="Q69" i="28"/>
  <c r="D69" i="28"/>
  <c r="G69" i="28" s="1"/>
  <c r="S69" i="28"/>
  <c r="N69" i="28"/>
  <c r="V69" i="28"/>
  <c r="F69" i="28"/>
  <c r="P69" i="28"/>
  <c r="Z61" i="28"/>
  <c r="X61" i="28"/>
  <c r="P61" i="28"/>
  <c r="N61" i="28"/>
  <c r="S61" i="28"/>
  <c r="W61" i="28"/>
  <c r="O61" i="28"/>
  <c r="Q61" i="28"/>
  <c r="U61" i="28"/>
  <c r="V61" i="28"/>
  <c r="F61" i="28"/>
  <c r="D61" i="28"/>
  <c r="G61" i="28" s="1"/>
  <c r="C61" i="28"/>
  <c r="R61" i="28"/>
  <c r="T61" i="28"/>
  <c r="Z53" i="28"/>
  <c r="X53" i="28"/>
  <c r="C53" i="28"/>
  <c r="O53" i="28"/>
  <c r="V53" i="28"/>
  <c r="D53" i="28"/>
  <c r="G53" i="28" s="1"/>
  <c r="R53" i="28"/>
  <c r="F53" i="28"/>
  <c r="S53" i="28"/>
  <c r="T53" i="28"/>
  <c r="N53" i="28"/>
  <c r="Q53" i="28"/>
  <c r="W53" i="28"/>
  <c r="U53" i="28"/>
  <c r="P53" i="28"/>
  <c r="Z45" i="28"/>
  <c r="X45" i="28"/>
  <c r="V45" i="28"/>
  <c r="U45" i="28"/>
  <c r="C45" i="28"/>
  <c r="P45" i="28"/>
  <c r="O45" i="28"/>
  <c r="D45" i="28"/>
  <c r="G45" i="28" s="1"/>
  <c r="W45" i="28"/>
  <c r="T45" i="28"/>
  <c r="S45" i="28"/>
  <c r="N45" i="28"/>
  <c r="Q45" i="28"/>
  <c r="F45" i="28"/>
  <c r="R45" i="28"/>
  <c r="Z37" i="28"/>
  <c r="X37" i="28"/>
  <c r="V37" i="28"/>
  <c r="U37" i="28"/>
  <c r="C37" i="28"/>
  <c r="P37" i="28"/>
  <c r="O37" i="28"/>
  <c r="D37" i="28"/>
  <c r="G37" i="28" s="1"/>
  <c r="T37" i="28"/>
  <c r="S37" i="28"/>
  <c r="Q37" i="28"/>
  <c r="W37" i="28"/>
  <c r="R37" i="28"/>
  <c r="F37" i="28"/>
  <c r="N37" i="28"/>
  <c r="AD387" i="2"/>
  <c r="AJ387" i="2"/>
  <c r="AD410" i="2"/>
  <c r="AJ410" i="2"/>
  <c r="AD451" i="2"/>
  <c r="AJ451" i="2"/>
  <c r="AD382" i="2"/>
  <c r="AJ382" i="2"/>
  <c r="AD423" i="2"/>
  <c r="AJ423" i="2"/>
  <c r="AD446" i="2"/>
  <c r="AJ446" i="2"/>
  <c r="AE332" i="2"/>
  <c r="AM332" i="2"/>
  <c r="AD367" i="2"/>
  <c r="AJ367" i="2"/>
  <c r="AD399" i="2"/>
  <c r="AJ399" i="2"/>
  <c r="AD431" i="2"/>
  <c r="AJ431" i="2"/>
  <c r="AD465" i="2"/>
  <c r="AD497" i="2"/>
  <c r="AD529" i="2"/>
  <c r="AJ529" i="2"/>
  <c r="AE593" i="2"/>
  <c r="AM593" i="2"/>
  <c r="AD602" i="2"/>
  <c r="AJ602" i="2"/>
  <c r="AD627" i="2"/>
  <c r="AJ627" i="2"/>
  <c r="AE648" i="2"/>
  <c r="AD666" i="2"/>
  <c r="AJ666" i="2"/>
  <c r="AD687" i="2"/>
  <c r="AK687" i="2"/>
  <c r="AD703" i="2"/>
  <c r="AK703" i="2"/>
  <c r="AD467" i="2"/>
  <c r="AD499" i="2"/>
  <c r="AD521" i="2"/>
  <c r="AJ521" i="2"/>
  <c r="AD531" i="2"/>
  <c r="AJ531" i="2"/>
  <c r="AD594" i="2"/>
  <c r="AJ594" i="2"/>
  <c r="AD603" i="2"/>
  <c r="AJ603" i="2"/>
  <c r="AE617" i="2"/>
  <c r="AM617" i="2"/>
  <c r="AD626" i="2"/>
  <c r="AJ626" i="2"/>
  <c r="AD635" i="2"/>
  <c r="AJ635" i="2"/>
  <c r="AE649" i="2"/>
  <c r="AM649" i="2"/>
  <c r="AD658" i="2"/>
  <c r="AJ658" i="2"/>
  <c r="AD667" i="2"/>
  <c r="AJ667" i="2"/>
  <c r="AD463" i="2"/>
  <c r="AD495" i="2"/>
  <c r="AD517" i="2"/>
  <c r="AJ517" i="2"/>
  <c r="AD527" i="2"/>
  <c r="AJ527" i="2"/>
  <c r="AD539" i="2"/>
  <c r="AJ539" i="2"/>
  <c r="AD547" i="2"/>
  <c r="AJ547" i="2"/>
  <c r="AD555" i="2"/>
  <c r="AJ555" i="2"/>
  <c r="AD563" i="2"/>
  <c r="AJ563" i="2"/>
  <c r="AD571" i="2"/>
  <c r="AJ571" i="2"/>
  <c r="AD579" i="2"/>
  <c r="AJ579" i="2"/>
  <c r="AD587" i="2"/>
  <c r="AJ587" i="2"/>
  <c r="AD598" i="2"/>
  <c r="AJ598" i="2"/>
  <c r="AD607" i="2"/>
  <c r="AJ607" i="2"/>
  <c r="AD637" i="2"/>
  <c r="AD662" i="2"/>
  <c r="AJ662" i="2"/>
  <c r="AD671" i="2"/>
  <c r="AJ671" i="2"/>
  <c r="AE728" i="2"/>
  <c r="AM728" i="2"/>
  <c r="AE744" i="2"/>
  <c r="AE760" i="2"/>
  <c r="AM760" i="2"/>
  <c r="AD477" i="2"/>
  <c r="AD509" i="2"/>
  <c r="AD525" i="2"/>
  <c r="AJ525" i="2"/>
  <c r="AD535" i="2"/>
  <c r="AJ535" i="2"/>
  <c r="AD543" i="2"/>
  <c r="AJ543" i="2"/>
  <c r="AD551" i="2"/>
  <c r="AJ551" i="2"/>
  <c r="AD559" i="2"/>
  <c r="AJ559" i="2"/>
  <c r="AD567" i="2"/>
  <c r="AJ567" i="2"/>
  <c r="AD575" i="2"/>
  <c r="AJ575" i="2"/>
  <c r="AD583" i="2"/>
  <c r="AJ583" i="2"/>
  <c r="AD597" i="2"/>
  <c r="AJ597" i="2"/>
  <c r="AD629" i="2"/>
  <c r="AJ629" i="2"/>
  <c r="AD661" i="2"/>
  <c r="AJ661" i="2"/>
  <c r="AD681" i="2"/>
  <c r="AJ681" i="2"/>
  <c r="AD689" i="2"/>
  <c r="AJ689" i="2"/>
  <c r="AD697" i="2"/>
  <c r="AJ697" i="2"/>
  <c r="AD705" i="2"/>
  <c r="AJ705" i="2"/>
  <c r="AD713" i="2"/>
  <c r="AJ713" i="2"/>
  <c r="AD745" i="2"/>
  <c r="AJ745" i="2"/>
  <c r="AD777" i="2"/>
  <c r="AJ777" i="2"/>
  <c r="AD801" i="2"/>
  <c r="AJ801" i="2"/>
  <c r="AD811" i="2"/>
  <c r="AJ811" i="2"/>
  <c r="AD833" i="2"/>
  <c r="AJ833" i="2"/>
  <c r="AD843" i="2"/>
  <c r="AJ843" i="2"/>
  <c r="AD865" i="2"/>
  <c r="AJ865" i="2"/>
  <c r="AD875" i="2"/>
  <c r="AJ875" i="2"/>
  <c r="AD897" i="2"/>
  <c r="AJ897" i="2"/>
  <c r="AD907" i="2"/>
  <c r="AJ907" i="2"/>
  <c r="AD929" i="2"/>
  <c r="AJ929" i="2"/>
  <c r="AD939" i="2"/>
  <c r="AJ939" i="2"/>
  <c r="AE979" i="2"/>
  <c r="AM979" i="2"/>
  <c r="AE1043" i="2"/>
  <c r="AM1043" i="2"/>
  <c r="AD717" i="2"/>
  <c r="AJ717" i="2"/>
  <c r="AD749" i="2"/>
  <c r="AJ749" i="2"/>
  <c r="AD781" i="2"/>
  <c r="AJ781" i="2"/>
  <c r="AD813" i="2"/>
  <c r="AJ813" i="2"/>
  <c r="AD823" i="2"/>
  <c r="AJ823" i="2"/>
  <c r="AD845" i="2"/>
  <c r="AJ845" i="2"/>
  <c r="AD855" i="2"/>
  <c r="AJ855" i="2"/>
  <c r="AD877" i="2"/>
  <c r="AJ877" i="2"/>
  <c r="AD887" i="2"/>
  <c r="AJ887" i="2"/>
  <c r="AD909" i="2"/>
  <c r="AJ909" i="2"/>
  <c r="AD919" i="2"/>
  <c r="AJ919" i="2"/>
  <c r="AD941" i="2"/>
  <c r="AJ941" i="2"/>
  <c r="AD967" i="2"/>
  <c r="AD1031" i="2"/>
  <c r="AE1165" i="2"/>
  <c r="AM1165" i="2"/>
  <c r="AE1181" i="2"/>
  <c r="AM1181" i="2"/>
  <c r="AE1209" i="2"/>
  <c r="AM1209" i="2"/>
  <c r="AE1225" i="2"/>
  <c r="AM1225" i="2"/>
  <c r="AE1241" i="2"/>
  <c r="AM1241" i="2"/>
  <c r="AE1257" i="2"/>
  <c r="AM1257" i="2"/>
  <c r="AE1305" i="2"/>
  <c r="AM1305" i="2"/>
  <c r="AE1321" i="2"/>
  <c r="AM1321" i="2"/>
  <c r="AE1337" i="2"/>
  <c r="AM1337" i="2"/>
  <c r="AE1353" i="2"/>
  <c r="AM1353" i="2"/>
  <c r="AE1369" i="2"/>
  <c r="AM1369" i="2"/>
  <c r="AE1385" i="2"/>
  <c r="AM1385" i="2"/>
  <c r="AD599" i="2"/>
  <c r="AJ599" i="2"/>
  <c r="AD631" i="2"/>
  <c r="AJ631" i="2"/>
  <c r="AD663" i="2"/>
  <c r="AJ663" i="2"/>
  <c r="AD737" i="2"/>
  <c r="AJ737" i="2"/>
  <c r="AD769" i="2"/>
  <c r="AJ769" i="2"/>
  <c r="AD809" i="2"/>
  <c r="AJ809" i="2"/>
  <c r="AD819" i="2"/>
  <c r="AJ819" i="2"/>
  <c r="AD841" i="2"/>
  <c r="AJ841" i="2"/>
  <c r="AD851" i="2"/>
  <c r="AJ851" i="2"/>
  <c r="AD873" i="2"/>
  <c r="AJ873" i="2"/>
  <c r="AD883" i="2"/>
  <c r="AJ883" i="2"/>
  <c r="AD905" i="2"/>
  <c r="AJ905" i="2"/>
  <c r="AD915" i="2"/>
  <c r="AJ915" i="2"/>
  <c r="AD937" i="2"/>
  <c r="AJ937" i="2"/>
  <c r="AD947" i="2"/>
  <c r="AJ947" i="2"/>
  <c r="AE971" i="2"/>
  <c r="AM971" i="2"/>
  <c r="AE1003" i="2"/>
  <c r="AE1051" i="2"/>
  <c r="AM1051" i="2"/>
  <c r="AE1067" i="2"/>
  <c r="AM1067" i="2"/>
  <c r="AE1083" i="2"/>
  <c r="AM1083" i="2"/>
  <c r="AE1100" i="2"/>
  <c r="AM1100" i="2"/>
  <c r="AE1132" i="2"/>
  <c r="AM1132" i="2"/>
  <c r="AE1244" i="2"/>
  <c r="AM1244" i="2"/>
  <c r="AE1276" i="2"/>
  <c r="AM1276" i="2"/>
  <c r="AE1324" i="2"/>
  <c r="AE1356" i="2"/>
  <c r="AM1356" i="2"/>
  <c r="AE1388" i="2"/>
  <c r="AM1388" i="2"/>
  <c r="AD622" i="2"/>
  <c r="AJ622" i="2"/>
  <c r="AD826" i="2"/>
  <c r="AJ826" i="2"/>
  <c r="AD858" i="2"/>
  <c r="AJ858" i="2"/>
  <c r="AD890" i="2"/>
  <c r="AJ890" i="2"/>
  <c r="AD922" i="2"/>
  <c r="AJ922" i="2"/>
  <c r="AD982" i="2"/>
  <c r="AJ982" i="2"/>
  <c r="AD1005" i="2"/>
  <c r="AJ1005" i="2"/>
  <c r="AD1046" i="2"/>
  <c r="AJ1046" i="2"/>
  <c r="AD1069" i="2"/>
  <c r="AJ1069" i="2"/>
  <c r="AD1110" i="2"/>
  <c r="AJ1110" i="2"/>
  <c r="AD1142" i="2"/>
  <c r="AJ1142" i="2"/>
  <c r="AD1174" i="2"/>
  <c r="AJ1174" i="2"/>
  <c r="AD1206" i="2"/>
  <c r="AJ1206" i="2"/>
  <c r="AD1238" i="2"/>
  <c r="AJ1238" i="2"/>
  <c r="AD1270" i="2"/>
  <c r="AJ1270" i="2"/>
  <c r="AD1302" i="2"/>
  <c r="AJ1302" i="2"/>
  <c r="AD1334" i="2"/>
  <c r="AJ1334" i="2"/>
  <c r="AD1366" i="2"/>
  <c r="AJ1366" i="2"/>
  <c r="AD1395" i="2"/>
  <c r="AJ1395" i="2"/>
  <c r="AD1427" i="2"/>
  <c r="AJ1427" i="2"/>
  <c r="AD1459" i="2"/>
  <c r="AJ1459" i="2"/>
  <c r="AE1475" i="2"/>
  <c r="AM1475" i="2"/>
  <c r="AE1507" i="2"/>
  <c r="AM1507" i="2"/>
  <c r="AE1523" i="2"/>
  <c r="AM1523" i="2"/>
  <c r="AE1539" i="2"/>
  <c r="AM1539" i="2"/>
  <c r="AE1571" i="2"/>
  <c r="AE1603" i="2"/>
  <c r="AM1603" i="2"/>
  <c r="AE1619" i="2"/>
  <c r="AM1619" i="2"/>
  <c r="AE1635" i="2"/>
  <c r="AM1635" i="2"/>
  <c r="AE1651" i="2"/>
  <c r="AM1651" i="2"/>
  <c r="AE1667" i="2"/>
  <c r="AM1667" i="2"/>
  <c r="AE1683" i="2"/>
  <c r="AM1683" i="2"/>
  <c r="AD2028" i="2"/>
  <c r="AJ2028" i="2"/>
  <c r="AD2044" i="2"/>
  <c r="AJ2044" i="2"/>
  <c r="AD2060" i="2"/>
  <c r="AJ2060" i="2"/>
  <c r="AD2076" i="2"/>
  <c r="AJ2076" i="2"/>
  <c r="AD1146" i="2"/>
  <c r="AJ1146" i="2"/>
  <c r="AD1210" i="2"/>
  <c r="AJ1210" i="2"/>
  <c r="AE1255" i="2"/>
  <c r="AM1255" i="2"/>
  <c r="AD1274" i="2"/>
  <c r="AJ1274" i="2"/>
  <c r="AD1338" i="2"/>
  <c r="AJ1338" i="2"/>
  <c r="AD1396" i="2"/>
  <c r="AJ1396" i="2"/>
  <c r="AD1418" i="2"/>
  <c r="AJ1418" i="2"/>
  <c r="AD1428" i="2"/>
  <c r="AJ1428" i="2"/>
  <c r="AD1450" i="2"/>
  <c r="AJ1450" i="2"/>
  <c r="AD1460" i="2"/>
  <c r="AJ1460" i="2"/>
  <c r="AD1476" i="2"/>
  <c r="AJ1476" i="2"/>
  <c r="AD1492" i="2"/>
  <c r="AJ1492" i="2"/>
  <c r="AD1508" i="2"/>
  <c r="AJ1508" i="2"/>
  <c r="AD1524" i="2"/>
  <c r="AJ1524" i="2"/>
  <c r="AD1540" i="2"/>
  <c r="AJ1540" i="2"/>
  <c r="AD1556" i="2"/>
  <c r="AJ1556" i="2"/>
  <c r="AD1572" i="2"/>
  <c r="AJ1572" i="2"/>
  <c r="AD1588" i="2"/>
  <c r="AJ1588" i="2"/>
  <c r="AD1604" i="2"/>
  <c r="AJ1604" i="2"/>
  <c r="AD1620" i="2"/>
  <c r="AJ1620" i="2"/>
  <c r="AD1636" i="2"/>
  <c r="AJ1636" i="2"/>
  <c r="AD1652" i="2"/>
  <c r="AJ1652" i="2"/>
  <c r="AD1668" i="2"/>
  <c r="AJ1668" i="2"/>
  <c r="AD1684" i="2"/>
  <c r="AJ1684" i="2"/>
  <c r="AD1700" i="2"/>
  <c r="AJ1700" i="2"/>
  <c r="AD1744" i="2"/>
  <c r="AJ1744" i="2"/>
  <c r="AE1762" i="2"/>
  <c r="AM1762" i="2"/>
  <c r="AD1808" i="2"/>
  <c r="AJ1808" i="2"/>
  <c r="AE1826" i="2"/>
  <c r="AM1826" i="2"/>
  <c r="AD1872" i="2"/>
  <c r="AJ1872" i="2"/>
  <c r="AE1890" i="2"/>
  <c r="AM1890" i="2"/>
  <c r="AD1936" i="2"/>
  <c r="AJ1936" i="2"/>
  <c r="AE1954" i="2"/>
  <c r="AM1954" i="2"/>
  <c r="AD2000" i="2"/>
  <c r="AJ2000" i="2"/>
  <c r="AD2016" i="2"/>
  <c r="AJ2016" i="2"/>
  <c r="AD2032" i="2"/>
  <c r="AJ2032" i="2"/>
  <c r="AD2048" i="2"/>
  <c r="AJ2048" i="2"/>
  <c r="AE2066" i="2"/>
  <c r="AM2066" i="2"/>
  <c r="AD606" i="2"/>
  <c r="AJ606" i="2"/>
  <c r="AD670" i="2"/>
  <c r="AJ670" i="2"/>
  <c r="AD966" i="2"/>
  <c r="AJ966" i="2"/>
  <c r="AD989" i="2"/>
  <c r="AJ989" i="2"/>
  <c r="AD1030" i="2"/>
  <c r="AJ1030" i="2"/>
  <c r="AD1053" i="2"/>
  <c r="AJ1053" i="2"/>
  <c r="AE1099" i="2"/>
  <c r="AM1099" i="2"/>
  <c r="AD1118" i="2"/>
  <c r="AJ1118" i="2"/>
  <c r="AD1182" i="2"/>
  <c r="AJ1182" i="2"/>
  <c r="AE1227" i="2"/>
  <c r="AM1227" i="2"/>
  <c r="AD1246" i="2"/>
  <c r="AJ1246" i="2"/>
  <c r="AE1291" i="2"/>
  <c r="AM1291" i="2"/>
  <c r="AD1310" i="2"/>
  <c r="AJ1310" i="2"/>
  <c r="AE1355" i="2"/>
  <c r="AM1355" i="2"/>
  <c r="AD1374" i="2"/>
  <c r="AJ1374" i="2"/>
  <c r="AD1414" i="2"/>
  <c r="AJ1414" i="2"/>
  <c r="AD1424" i="2"/>
  <c r="AJ1424" i="2"/>
  <c r="AD1446" i="2"/>
  <c r="AJ1446" i="2"/>
  <c r="AD1456" i="2"/>
  <c r="AJ1456" i="2"/>
  <c r="AD1488" i="2"/>
  <c r="AJ1488" i="2"/>
  <c r="AD1552" i="2"/>
  <c r="AJ1552" i="2"/>
  <c r="AE1582" i="2"/>
  <c r="AM1582" i="2"/>
  <c r="AD1616" i="2"/>
  <c r="AJ1616" i="2"/>
  <c r="AE1646" i="2"/>
  <c r="AM1646" i="2"/>
  <c r="AD1680" i="2"/>
  <c r="AJ1680" i="2"/>
  <c r="AD1732" i="2"/>
  <c r="AJ1732" i="2"/>
  <c r="AE1750" i="2"/>
  <c r="AM1750" i="2"/>
  <c r="AD1796" i="2"/>
  <c r="AJ1796" i="2"/>
  <c r="AE1814" i="2"/>
  <c r="AM1814" i="2"/>
  <c r="AD1860" i="2"/>
  <c r="AJ1860" i="2"/>
  <c r="AE1878" i="2"/>
  <c r="AM1878" i="2"/>
  <c r="AD1924" i="2"/>
  <c r="AJ1924" i="2"/>
  <c r="AD1988" i="2"/>
  <c r="AJ1988" i="2"/>
  <c r="AE2006" i="2"/>
  <c r="AM2006" i="2"/>
  <c r="AD2052" i="2"/>
  <c r="AJ2052" i="2"/>
  <c r="AD1106" i="2"/>
  <c r="AJ1106" i="2"/>
  <c r="AD1138" i="2"/>
  <c r="AJ1138" i="2"/>
  <c r="AD1170" i="2"/>
  <c r="AJ1170" i="2"/>
  <c r="AD1202" i="2"/>
  <c r="AJ1202" i="2"/>
  <c r="AD1234" i="2"/>
  <c r="AJ1234" i="2"/>
  <c r="AD1266" i="2"/>
  <c r="AJ1266" i="2"/>
  <c r="AD1298" i="2"/>
  <c r="AJ1298" i="2"/>
  <c r="AD1330" i="2"/>
  <c r="AJ1330" i="2"/>
  <c r="AD1362" i="2"/>
  <c r="AJ1362" i="2"/>
  <c r="AD1415" i="2"/>
  <c r="AJ1415" i="2"/>
  <c r="AD1447" i="2"/>
  <c r="AJ1447" i="2"/>
  <c r="AE2194" i="2"/>
  <c r="AM2194" i="2"/>
  <c r="AE2210" i="2"/>
  <c r="AM2210" i="2"/>
  <c r="AE2242" i="2"/>
  <c r="AM2242" i="2"/>
  <c r="AM2274" i="2"/>
  <c r="AE2338" i="2"/>
  <c r="AM2338" i="2"/>
  <c r="AE2386" i="2"/>
  <c r="AM2386" i="2"/>
  <c r="AE2402" i="2"/>
  <c r="AM2402" i="2"/>
  <c r="AM1919" i="2" l="1"/>
  <c r="AM1303" i="2"/>
  <c r="AJ210" i="2"/>
  <c r="AJ21" i="2"/>
  <c r="AM117" i="2"/>
  <c r="AK7" i="2"/>
  <c r="AJ112" i="2"/>
  <c r="M4" i="32"/>
  <c r="N4" i="31" s="1"/>
  <c r="AE4" i="32"/>
  <c r="J4" i="32"/>
  <c r="I4" i="32"/>
  <c r="H4" i="32"/>
  <c r="AD4" i="32"/>
  <c r="AC4" i="32"/>
  <c r="F4" i="32"/>
  <c r="E4" i="32"/>
  <c r="AA4" i="32"/>
  <c r="AB4" i="32"/>
  <c r="AF64" i="35"/>
  <c r="T64" i="35"/>
  <c r="Z64" i="35"/>
  <c r="AE64" i="35"/>
  <c r="W64" i="35"/>
  <c r="Y64" i="35"/>
  <c r="U64" i="35"/>
  <c r="AD64" i="35"/>
  <c r="AA64" i="35"/>
  <c r="AC64" i="35"/>
  <c r="AB64" i="35"/>
  <c r="V64" i="35"/>
  <c r="X64" i="35"/>
  <c r="AA5" i="35"/>
  <c r="AD5" i="35"/>
  <c r="U5" i="35"/>
  <c r="AE5" i="35"/>
  <c r="AC5" i="35"/>
  <c r="V5" i="35"/>
  <c r="Z5" i="35"/>
  <c r="T5" i="35"/>
  <c r="X5" i="35"/>
  <c r="AF5" i="35"/>
  <c r="Y5" i="35"/>
  <c r="W5" i="35"/>
  <c r="AB5" i="35"/>
  <c r="Y18" i="35"/>
  <c r="AF18" i="35"/>
  <c r="AB18" i="35"/>
  <c r="AD18" i="35"/>
  <c r="V18" i="35"/>
  <c r="U18" i="35"/>
  <c r="AC18" i="35"/>
  <c r="T18" i="35"/>
  <c r="AE18" i="35"/>
  <c r="AA18" i="35"/>
  <c r="W18" i="35"/>
  <c r="X18" i="35"/>
  <c r="Z18" i="35"/>
  <c r="U23" i="35"/>
  <c r="Z23" i="35"/>
  <c r="X23" i="35"/>
  <c r="V23" i="35"/>
  <c r="AF23" i="35"/>
  <c r="AD23" i="35"/>
  <c r="AE23" i="35"/>
  <c r="AA23" i="35"/>
  <c r="AC23" i="35"/>
  <c r="W23" i="35"/>
  <c r="AB23" i="35"/>
  <c r="Y23" i="35"/>
  <c r="T23" i="35"/>
  <c r="Z42" i="35"/>
  <c r="Y42" i="35"/>
  <c r="AD42" i="35"/>
  <c r="X42" i="35"/>
  <c r="AA42" i="35"/>
  <c r="AF42" i="35"/>
  <c r="AB42" i="35"/>
  <c r="AE42" i="35"/>
  <c r="V42" i="35"/>
  <c r="W42" i="35"/>
  <c r="T42" i="35"/>
  <c r="AC42" i="35"/>
  <c r="U42" i="35"/>
  <c r="W12" i="35"/>
  <c r="T12" i="35"/>
  <c r="V12" i="35"/>
  <c r="AB12" i="35"/>
  <c r="X12" i="35"/>
  <c r="Y12" i="35"/>
  <c r="AA12" i="35"/>
  <c r="Z12" i="35"/>
  <c r="U12" i="35"/>
  <c r="AE12" i="35"/>
  <c r="AF12" i="35"/>
  <c r="AC12" i="35"/>
  <c r="AD12" i="35"/>
  <c r="W93" i="35"/>
  <c r="V93" i="35"/>
  <c r="AD93" i="35"/>
  <c r="AA93" i="35"/>
  <c r="AC93" i="35"/>
  <c r="AE93" i="35"/>
  <c r="X93" i="35"/>
  <c r="Y93" i="35"/>
  <c r="U93" i="35"/>
  <c r="T93" i="35"/>
  <c r="AB93" i="35"/>
  <c r="AF93" i="35"/>
  <c r="Z93" i="35"/>
  <c r="AA100" i="35"/>
  <c r="U100" i="35"/>
  <c r="AD100" i="35"/>
  <c r="AE100" i="35"/>
  <c r="AC100" i="35"/>
  <c r="V100" i="35"/>
  <c r="W100" i="35"/>
  <c r="T100" i="35"/>
  <c r="X100" i="35"/>
  <c r="Z100" i="35"/>
  <c r="Y100" i="35"/>
  <c r="AB100" i="35"/>
  <c r="AF100" i="35"/>
  <c r="AF99" i="35"/>
  <c r="AC99" i="35"/>
  <c r="AB99" i="35"/>
  <c r="Z99" i="35"/>
  <c r="V99" i="35"/>
  <c r="U99" i="35"/>
  <c r="AD99" i="35"/>
  <c r="W99" i="35"/>
  <c r="AE99" i="35"/>
  <c r="T99" i="35"/>
  <c r="X99" i="35"/>
  <c r="AA99" i="35"/>
  <c r="Y99" i="35"/>
  <c r="V90" i="35"/>
  <c r="AA90" i="35"/>
  <c r="Z90" i="35"/>
  <c r="AC90" i="35"/>
  <c r="AE90" i="35"/>
  <c r="U90" i="35"/>
  <c r="T90" i="35"/>
  <c r="Y90" i="35"/>
  <c r="AD90" i="35"/>
  <c r="W90" i="35"/>
  <c r="AB90" i="35"/>
  <c r="AF90" i="35"/>
  <c r="X90" i="35"/>
  <c r="U52" i="35"/>
  <c r="T52" i="35"/>
  <c r="Z52" i="35"/>
  <c r="Y52" i="35"/>
  <c r="V52" i="35"/>
  <c r="AD52" i="35"/>
  <c r="X52" i="35"/>
  <c r="AA52" i="35"/>
  <c r="AE52" i="35"/>
  <c r="AF52" i="35"/>
  <c r="AC52" i="35"/>
  <c r="AB52" i="35"/>
  <c r="W52" i="35"/>
  <c r="X58" i="35"/>
  <c r="AA58" i="35"/>
  <c r="AF58" i="35"/>
  <c r="AE58" i="35"/>
  <c r="Z58" i="35"/>
  <c r="V58" i="35"/>
  <c r="W58" i="35"/>
  <c r="AC58" i="35"/>
  <c r="U58" i="35"/>
  <c r="AD58" i="35"/>
  <c r="AB58" i="35"/>
  <c r="T58" i="35"/>
  <c r="Y58" i="35"/>
  <c r="AE25" i="35"/>
  <c r="V25" i="35"/>
  <c r="W25" i="35"/>
  <c r="AF25" i="35"/>
  <c r="AC25" i="35"/>
  <c r="Y25" i="35"/>
  <c r="AB25" i="35"/>
  <c r="T25" i="35"/>
  <c r="AD25" i="35"/>
  <c r="X25" i="35"/>
  <c r="AA25" i="35"/>
  <c r="Z25" i="35"/>
  <c r="U25" i="35"/>
  <c r="T53" i="35"/>
  <c r="AC53" i="35"/>
  <c r="AE53" i="35"/>
  <c r="X53" i="35"/>
  <c r="AD53" i="35"/>
  <c r="AF53" i="35"/>
  <c r="Y53" i="35"/>
  <c r="AB53" i="35"/>
  <c r="W53" i="35"/>
  <c r="V53" i="35"/>
  <c r="U53" i="35"/>
  <c r="Z53" i="35"/>
  <c r="AA53" i="35"/>
  <c r="Z46" i="35"/>
  <c r="U46" i="35"/>
  <c r="Y46" i="35"/>
  <c r="AE46" i="35"/>
  <c r="AF46" i="35"/>
  <c r="AD46" i="35"/>
  <c r="V46" i="35"/>
  <c r="AC46" i="35"/>
  <c r="W46" i="35"/>
  <c r="T46" i="35"/>
  <c r="X46" i="35"/>
  <c r="AB46" i="35"/>
  <c r="AA46" i="35"/>
  <c r="AA62" i="35"/>
  <c r="AF62" i="35"/>
  <c r="AE62" i="35"/>
  <c r="W62" i="35"/>
  <c r="AD62" i="35"/>
  <c r="V62" i="35"/>
  <c r="U62" i="35"/>
  <c r="AB62" i="35"/>
  <c r="AC62" i="35"/>
  <c r="X62" i="35"/>
  <c r="Y62" i="35"/>
  <c r="Z62" i="35"/>
  <c r="T62" i="35"/>
  <c r="AD80" i="35"/>
  <c r="AC80" i="35"/>
  <c r="Z80" i="35"/>
  <c r="U80" i="35"/>
  <c r="AB80" i="35"/>
  <c r="AF80" i="35"/>
  <c r="AA80" i="35"/>
  <c r="W80" i="35"/>
  <c r="X80" i="35"/>
  <c r="AE80" i="35"/>
  <c r="Y80" i="35"/>
  <c r="V80" i="35"/>
  <c r="T80" i="35"/>
  <c r="AF84" i="35"/>
  <c r="AE84" i="35"/>
  <c r="AB84" i="35"/>
  <c r="U84" i="35"/>
  <c r="T84" i="35"/>
  <c r="W84" i="35"/>
  <c r="V84" i="35"/>
  <c r="Y84" i="35"/>
  <c r="X84" i="35"/>
  <c r="AA84" i="35"/>
  <c r="AD84" i="35"/>
  <c r="AC84" i="35"/>
  <c r="Z84" i="35"/>
  <c r="V81" i="35"/>
  <c r="AD81" i="35"/>
  <c r="U81" i="35"/>
  <c r="AF81" i="35"/>
  <c r="W81" i="35"/>
  <c r="AC81" i="35"/>
  <c r="T81" i="35"/>
  <c r="AB81" i="35"/>
  <c r="Z81" i="35"/>
  <c r="AA81" i="35"/>
  <c r="Y81" i="35"/>
  <c r="AE81" i="35"/>
  <c r="X81" i="35"/>
  <c r="T95" i="35"/>
  <c r="W95" i="35"/>
  <c r="AC95" i="35"/>
  <c r="AA95" i="35"/>
  <c r="Z95" i="35"/>
  <c r="AB95" i="35"/>
  <c r="AE95" i="35"/>
  <c r="AF95" i="35"/>
  <c r="X95" i="35"/>
  <c r="U95" i="35"/>
  <c r="AD95" i="35"/>
  <c r="Y95" i="35"/>
  <c r="V95" i="35"/>
  <c r="AA86" i="35"/>
  <c r="Y86" i="35"/>
  <c r="U86" i="35"/>
  <c r="X86" i="35"/>
  <c r="AC86" i="35"/>
  <c r="AF86" i="35"/>
  <c r="T86" i="35"/>
  <c r="W86" i="35"/>
  <c r="Z86" i="35"/>
  <c r="AB86" i="35"/>
  <c r="AE86" i="35"/>
  <c r="V86" i="35"/>
  <c r="AD86" i="35"/>
  <c r="F37" i="32"/>
  <c r="AC37" i="32"/>
  <c r="E37" i="32"/>
  <c r="G37" i="32"/>
  <c r="AD37" i="32"/>
  <c r="H37" i="32"/>
  <c r="AE37" i="32"/>
  <c r="I37" i="32"/>
  <c r="J37" i="32"/>
  <c r="AB37" i="32"/>
  <c r="M37" i="32"/>
  <c r="AA37" i="32"/>
  <c r="U6" i="35"/>
  <c r="AA6" i="35"/>
  <c r="V6" i="35"/>
  <c r="AC6" i="35"/>
  <c r="X6" i="35"/>
  <c r="AE6" i="35"/>
  <c r="AD6" i="35"/>
  <c r="Z6" i="35"/>
  <c r="W6" i="35"/>
  <c r="T6" i="35"/>
  <c r="Y6" i="35"/>
  <c r="AB6" i="35"/>
  <c r="AF6" i="35"/>
  <c r="AA57" i="35"/>
  <c r="Z57" i="35"/>
  <c r="X57" i="35"/>
  <c r="Y57" i="35"/>
  <c r="AE57" i="35"/>
  <c r="V57" i="35"/>
  <c r="AD57" i="35"/>
  <c r="AB57" i="35"/>
  <c r="W57" i="35"/>
  <c r="U57" i="35"/>
  <c r="T57" i="35"/>
  <c r="AC57" i="35"/>
  <c r="AF57" i="35"/>
  <c r="AE47" i="35"/>
  <c r="AF47" i="35"/>
  <c r="AD47" i="35"/>
  <c r="AC47" i="35"/>
  <c r="Y47" i="35"/>
  <c r="U47" i="35"/>
  <c r="W47" i="35"/>
  <c r="T47" i="35"/>
  <c r="V47" i="35"/>
  <c r="X47" i="35"/>
  <c r="AA47" i="35"/>
  <c r="Z47" i="35"/>
  <c r="AB47" i="35"/>
  <c r="U27" i="35"/>
  <c r="X27" i="35"/>
  <c r="Z27" i="35"/>
  <c r="Y27" i="35"/>
  <c r="AB27" i="35"/>
  <c r="AE27" i="35"/>
  <c r="W27" i="35"/>
  <c r="AA27" i="35"/>
  <c r="AF27" i="35"/>
  <c r="AC27" i="35"/>
  <c r="T27" i="35"/>
  <c r="V27" i="35"/>
  <c r="AD27" i="35"/>
  <c r="AB66" i="35"/>
  <c r="T66" i="35"/>
  <c r="AD66" i="35"/>
  <c r="Z66" i="35"/>
  <c r="AC66" i="35"/>
  <c r="AF66" i="35"/>
  <c r="Y66" i="35"/>
  <c r="U66" i="35"/>
  <c r="X66" i="35"/>
  <c r="W66" i="35"/>
  <c r="AE66" i="35"/>
  <c r="V66" i="35"/>
  <c r="AA66" i="35"/>
  <c r="V45" i="35"/>
  <c r="Z45" i="35"/>
  <c r="AD45" i="35"/>
  <c r="AC45" i="35"/>
  <c r="U45" i="35"/>
  <c r="AE45" i="35"/>
  <c r="T45" i="35"/>
  <c r="W45" i="35"/>
  <c r="AB45" i="35"/>
  <c r="Y45" i="35"/>
  <c r="AF45" i="35"/>
  <c r="AA45" i="35"/>
  <c r="X45" i="35"/>
  <c r="AC98" i="35"/>
  <c r="AF98" i="35"/>
  <c r="U98" i="35"/>
  <c r="AA98" i="35"/>
  <c r="Y98" i="35"/>
  <c r="AD98" i="35"/>
  <c r="Z98" i="35"/>
  <c r="X98" i="35"/>
  <c r="AB98" i="35"/>
  <c r="AE98" i="35"/>
  <c r="V98" i="35"/>
  <c r="W98" i="35"/>
  <c r="T98" i="35"/>
  <c r="X91" i="35"/>
  <c r="U91" i="35"/>
  <c r="AF91" i="35"/>
  <c r="V91" i="35"/>
  <c r="T91" i="35"/>
  <c r="AD91" i="35"/>
  <c r="AC91" i="35"/>
  <c r="Z91" i="35"/>
  <c r="AA91" i="35"/>
  <c r="AB91" i="35"/>
  <c r="AE91" i="35"/>
  <c r="Y91" i="35"/>
  <c r="W91" i="35"/>
  <c r="AA87" i="35"/>
  <c r="AB87" i="35"/>
  <c r="Z87" i="35"/>
  <c r="W87" i="35"/>
  <c r="Y87" i="35"/>
  <c r="T87" i="35"/>
  <c r="AF87" i="35"/>
  <c r="V87" i="35"/>
  <c r="AD87" i="35"/>
  <c r="X87" i="35"/>
  <c r="AE87" i="35"/>
  <c r="U87" i="35"/>
  <c r="AC87" i="35"/>
  <c r="U89" i="35"/>
  <c r="AF89" i="35"/>
  <c r="V89" i="35"/>
  <c r="W89" i="35"/>
  <c r="AD89" i="35"/>
  <c r="X89" i="35"/>
  <c r="AC89" i="35"/>
  <c r="AB89" i="35"/>
  <c r="Y89" i="35"/>
  <c r="T89" i="35"/>
  <c r="AE89" i="35"/>
  <c r="AA89" i="35"/>
  <c r="Z89" i="35"/>
  <c r="AF20" i="35"/>
  <c r="W20" i="35"/>
  <c r="AB20" i="35"/>
  <c r="V20" i="35"/>
  <c r="AE20" i="35"/>
  <c r="AA20" i="35"/>
  <c r="T20" i="35"/>
  <c r="Z20" i="35"/>
  <c r="Y20" i="35"/>
  <c r="AD20" i="35"/>
  <c r="U20" i="35"/>
  <c r="X20" i="35"/>
  <c r="AC20" i="35"/>
  <c r="AB19" i="35"/>
  <c r="W19" i="35"/>
  <c r="T19" i="35"/>
  <c r="X19" i="35"/>
  <c r="AF19" i="35"/>
  <c r="AD19" i="35"/>
  <c r="AE19" i="35"/>
  <c r="V19" i="35"/>
  <c r="AA19" i="35"/>
  <c r="U19" i="35"/>
  <c r="Z19" i="35"/>
  <c r="Y19" i="35"/>
  <c r="AC19" i="35"/>
  <c r="AF14" i="35"/>
  <c r="X14" i="35"/>
  <c r="AE14" i="35"/>
  <c r="U14" i="35"/>
  <c r="AA14" i="35"/>
  <c r="AD14" i="35"/>
  <c r="Z14" i="35"/>
  <c r="T14" i="35"/>
  <c r="W14" i="35"/>
  <c r="AB14" i="35"/>
  <c r="Y14" i="35"/>
  <c r="AC14" i="35"/>
  <c r="V14" i="35"/>
  <c r="U43" i="35"/>
  <c r="AA43" i="35"/>
  <c r="V43" i="35"/>
  <c r="AC43" i="35"/>
  <c r="AF43" i="35"/>
  <c r="AB43" i="35"/>
  <c r="W43" i="35"/>
  <c r="T43" i="35"/>
  <c r="Z43" i="35"/>
  <c r="X43" i="35"/>
  <c r="AD43" i="35"/>
  <c r="Y43" i="35"/>
  <c r="AE43" i="35"/>
  <c r="X56" i="35"/>
  <c r="T56" i="35"/>
  <c r="V56" i="35"/>
  <c r="W56" i="35"/>
  <c r="AC56" i="35"/>
  <c r="AA56" i="35"/>
  <c r="Y56" i="35"/>
  <c r="AE56" i="35"/>
  <c r="U56" i="35"/>
  <c r="AB56" i="35"/>
  <c r="AD56" i="35"/>
  <c r="AF56" i="35"/>
  <c r="Z56" i="35"/>
  <c r="Z65" i="35"/>
  <c r="AE65" i="35"/>
  <c r="AA65" i="35"/>
  <c r="AD65" i="35"/>
  <c r="AC65" i="35"/>
  <c r="V65" i="35"/>
  <c r="U65" i="35"/>
  <c r="Y65" i="35"/>
  <c r="X65" i="35"/>
  <c r="T65" i="35"/>
  <c r="AB65" i="35"/>
  <c r="AF65" i="35"/>
  <c r="W65" i="35"/>
  <c r="U82" i="35"/>
  <c r="AF82" i="35"/>
  <c r="W82" i="35"/>
  <c r="Y82" i="35"/>
  <c r="AE82" i="35"/>
  <c r="AA82" i="35"/>
  <c r="V82" i="35"/>
  <c r="Z82" i="35"/>
  <c r="AB82" i="35"/>
  <c r="AD82" i="35"/>
  <c r="T82" i="35"/>
  <c r="X82" i="35"/>
  <c r="AC82" i="35"/>
  <c r="Y15" i="35"/>
  <c r="Z15" i="35"/>
  <c r="AD15" i="35"/>
  <c r="AA15" i="35"/>
  <c r="AC15" i="35"/>
  <c r="W15" i="35"/>
  <c r="T15" i="35"/>
  <c r="X15" i="35"/>
  <c r="AF15" i="35"/>
  <c r="V15" i="35"/>
  <c r="AE15" i="35"/>
  <c r="U15" i="35"/>
  <c r="AB15" i="35"/>
  <c r="T61" i="35"/>
  <c r="AF61" i="35"/>
  <c r="Y61" i="35"/>
  <c r="W61" i="35"/>
  <c r="AC61" i="35"/>
  <c r="AD61" i="35"/>
  <c r="AE61" i="35"/>
  <c r="V61" i="35"/>
  <c r="Z61" i="35"/>
  <c r="X61" i="35"/>
  <c r="AB61" i="35"/>
  <c r="U61" i="35"/>
  <c r="AA61" i="35"/>
  <c r="Y83" i="35"/>
  <c r="V83" i="35"/>
  <c r="Z83" i="35"/>
  <c r="AD83" i="35"/>
  <c r="U83" i="35"/>
  <c r="AA83" i="35"/>
  <c r="AC83" i="35"/>
  <c r="AF83" i="35"/>
  <c r="T83" i="35"/>
  <c r="W83" i="35"/>
  <c r="AB83" i="35"/>
  <c r="AE83" i="35"/>
  <c r="X83" i="35"/>
  <c r="AD74" i="2"/>
  <c r="V48" i="35"/>
  <c r="AC48" i="35"/>
  <c r="AA48" i="35"/>
  <c r="T48" i="35"/>
  <c r="W48" i="35"/>
  <c r="AD48" i="35"/>
  <c r="U48" i="35"/>
  <c r="Y48" i="35"/>
  <c r="AE48" i="35"/>
  <c r="Z48" i="35"/>
  <c r="AB48" i="35"/>
  <c r="X48" i="35"/>
  <c r="AF48" i="35"/>
  <c r="V26" i="35"/>
  <c r="U26" i="35"/>
  <c r="AA26" i="35"/>
  <c r="Z26" i="35"/>
  <c r="T26" i="35"/>
  <c r="AE26" i="35"/>
  <c r="AC26" i="35"/>
  <c r="W26" i="35"/>
  <c r="AB26" i="35"/>
  <c r="AD26" i="35"/>
  <c r="X26" i="35"/>
  <c r="AF26" i="35"/>
  <c r="Y26" i="35"/>
  <c r="AC22" i="35"/>
  <c r="AA22" i="35"/>
  <c r="T22" i="35"/>
  <c r="V22" i="35"/>
  <c r="Y22" i="35"/>
  <c r="AD22" i="35"/>
  <c r="AF22" i="35"/>
  <c r="AE22" i="35"/>
  <c r="AB22" i="35"/>
  <c r="U22" i="35"/>
  <c r="W22" i="35"/>
  <c r="Z22" i="35"/>
  <c r="X22" i="35"/>
  <c r="M4" i="35"/>
  <c r="G4" i="35"/>
  <c r="J4" i="35"/>
  <c r="X4" i="35" s="1"/>
  <c r="C32" i="35"/>
  <c r="AA4" i="35"/>
  <c r="L4" i="35"/>
  <c r="Z4" i="35" s="1"/>
  <c r="U4" i="35"/>
  <c r="X17" i="35"/>
  <c r="W17" i="35"/>
  <c r="AC17" i="35"/>
  <c r="AD17" i="35"/>
  <c r="U17" i="35"/>
  <c r="AE17" i="35"/>
  <c r="T17" i="35"/>
  <c r="AB17" i="35"/>
  <c r="AA17" i="35"/>
  <c r="Z17" i="35"/>
  <c r="Y17" i="35"/>
  <c r="V17" i="35"/>
  <c r="AF17" i="35"/>
  <c r="W13" i="35"/>
  <c r="V13" i="35"/>
  <c r="Y13" i="35"/>
  <c r="U13" i="35"/>
  <c r="AE13" i="35"/>
  <c r="AF13" i="35"/>
  <c r="AC13" i="35"/>
  <c r="X13" i="35"/>
  <c r="AD13" i="35"/>
  <c r="Z13" i="35"/>
  <c r="T13" i="35"/>
  <c r="AA13" i="35"/>
  <c r="AB13" i="35"/>
  <c r="W79" i="35"/>
  <c r="V79" i="35"/>
  <c r="AD79" i="35"/>
  <c r="U79" i="35"/>
  <c r="Y79" i="35"/>
  <c r="T79" i="35"/>
  <c r="AC79" i="35"/>
  <c r="AF79" i="35"/>
  <c r="AA79" i="35"/>
  <c r="Z79" i="35"/>
  <c r="AE79" i="35"/>
  <c r="X79" i="35"/>
  <c r="AB79" i="35"/>
  <c r="Z103" i="35"/>
  <c r="AE103" i="35"/>
  <c r="W103" i="35"/>
  <c r="AD103" i="35"/>
  <c r="AA103" i="35"/>
  <c r="T103" i="35"/>
  <c r="U103" i="35"/>
  <c r="Y103" i="35"/>
  <c r="AC103" i="35"/>
  <c r="AB103" i="35"/>
  <c r="V103" i="35"/>
  <c r="AF103" i="35"/>
  <c r="X103" i="35"/>
  <c r="Y92" i="35"/>
  <c r="AF92" i="35"/>
  <c r="AC92" i="35"/>
  <c r="V92" i="35"/>
  <c r="U92" i="35"/>
  <c r="AE92" i="35"/>
  <c r="Z92" i="35"/>
  <c r="T92" i="35"/>
  <c r="X92" i="35"/>
  <c r="AA92" i="35"/>
  <c r="AB92" i="35"/>
  <c r="W92" i="35"/>
  <c r="AD92" i="35"/>
  <c r="AE51" i="35"/>
  <c r="U51" i="35"/>
  <c r="AF51" i="35"/>
  <c r="V51" i="35"/>
  <c r="T51" i="35"/>
  <c r="AD51" i="35"/>
  <c r="AC51" i="35"/>
  <c r="AA51" i="35"/>
  <c r="AB51" i="35"/>
  <c r="Y51" i="35"/>
  <c r="Z51" i="35"/>
  <c r="X51" i="35"/>
  <c r="W51" i="35"/>
  <c r="AF28" i="35"/>
  <c r="AD28" i="35"/>
  <c r="AA28" i="35"/>
  <c r="Z28" i="35"/>
  <c r="AC28" i="35"/>
  <c r="T28" i="35"/>
  <c r="X28" i="35"/>
  <c r="V28" i="35"/>
  <c r="U28" i="35"/>
  <c r="W28" i="35"/>
  <c r="AE28" i="35"/>
  <c r="AB28" i="35"/>
  <c r="Y28" i="35"/>
  <c r="AC8" i="35"/>
  <c r="T8" i="35"/>
  <c r="U8" i="35"/>
  <c r="AA8" i="35"/>
  <c r="AB8" i="35"/>
  <c r="AE8" i="35"/>
  <c r="Z8" i="35"/>
  <c r="W8" i="35"/>
  <c r="X8" i="35"/>
  <c r="AD8" i="35"/>
  <c r="V8" i="35"/>
  <c r="Y8" i="35"/>
  <c r="AF8" i="35"/>
  <c r="V29" i="35"/>
  <c r="Z29" i="35"/>
  <c r="AC29" i="35"/>
  <c r="AF29" i="35"/>
  <c r="U29" i="35"/>
  <c r="Y29" i="35"/>
  <c r="T29" i="35"/>
  <c r="AB29" i="35"/>
  <c r="AE29" i="35"/>
  <c r="W29" i="35"/>
  <c r="AA29" i="35"/>
  <c r="AD29" i="35"/>
  <c r="X29" i="35"/>
  <c r="W60" i="35"/>
  <c r="AF60" i="35"/>
  <c r="X60" i="35"/>
  <c r="U60" i="35"/>
  <c r="Z60" i="35"/>
  <c r="AC60" i="35"/>
  <c r="T60" i="35"/>
  <c r="AE60" i="35"/>
  <c r="AB60" i="35"/>
  <c r="Y60" i="35"/>
  <c r="AA60" i="35"/>
  <c r="AD60" i="35"/>
  <c r="V60" i="35"/>
  <c r="Y24" i="35"/>
  <c r="Z24" i="35"/>
  <c r="U24" i="35"/>
  <c r="T24" i="35"/>
  <c r="W24" i="35"/>
  <c r="X24" i="35"/>
  <c r="V24" i="35"/>
  <c r="AE24" i="35"/>
  <c r="AF24" i="35"/>
  <c r="AD24" i="35"/>
  <c r="AA24" i="35"/>
  <c r="AC24" i="35"/>
  <c r="AB24" i="35"/>
  <c r="AF41" i="35"/>
  <c r="X41" i="35"/>
  <c r="W41" i="35"/>
  <c r="Y41" i="35"/>
  <c r="AE41" i="35"/>
  <c r="Z41" i="35"/>
  <c r="AD41" i="35"/>
  <c r="T41" i="35"/>
  <c r="V41" i="35"/>
  <c r="AA41" i="35"/>
  <c r="U41" i="35"/>
  <c r="AB41" i="35"/>
  <c r="AC41" i="35"/>
  <c r="AE30" i="35"/>
  <c r="AA30" i="35"/>
  <c r="W30" i="35"/>
  <c r="Z30" i="35"/>
  <c r="V30" i="35"/>
  <c r="AD30" i="35"/>
  <c r="T30" i="35"/>
  <c r="Y30" i="35"/>
  <c r="AC30" i="35"/>
  <c r="AF30" i="35"/>
  <c r="X30" i="35"/>
  <c r="AB30" i="35"/>
  <c r="U30" i="35"/>
  <c r="Y101" i="35"/>
  <c r="T101" i="35"/>
  <c r="X101" i="35"/>
  <c r="AA101" i="35"/>
  <c r="AE101" i="35"/>
  <c r="AF101" i="35"/>
  <c r="AB101" i="35"/>
  <c r="U101" i="35"/>
  <c r="W101" i="35"/>
  <c r="AD101" i="35"/>
  <c r="AC101" i="35"/>
  <c r="Z101" i="35"/>
  <c r="V101" i="35"/>
  <c r="AD88" i="35"/>
  <c r="X88" i="35"/>
  <c r="AB88" i="35"/>
  <c r="Y88" i="35"/>
  <c r="AA88" i="35"/>
  <c r="AC88" i="35"/>
  <c r="Z88" i="35"/>
  <c r="U88" i="35"/>
  <c r="AF88" i="35"/>
  <c r="AE88" i="35"/>
  <c r="V88" i="35"/>
  <c r="T88" i="35"/>
  <c r="W88" i="35"/>
  <c r="AE85" i="35"/>
  <c r="V85" i="35"/>
  <c r="W85" i="35"/>
  <c r="AB85" i="35"/>
  <c r="AA85" i="35"/>
  <c r="AD85" i="35"/>
  <c r="Z85" i="35"/>
  <c r="T85" i="35"/>
  <c r="Y85" i="35"/>
  <c r="AC85" i="35"/>
  <c r="X85" i="35"/>
  <c r="U85" i="35"/>
  <c r="AF85" i="35"/>
  <c r="AF9" i="35"/>
  <c r="AC9" i="35"/>
  <c r="X9" i="35"/>
  <c r="AB9" i="35"/>
  <c r="U9" i="35"/>
  <c r="V9" i="35"/>
  <c r="AE9" i="35"/>
  <c r="AA9" i="35"/>
  <c r="Z9" i="35"/>
  <c r="W9" i="35"/>
  <c r="AD9" i="35"/>
  <c r="Y9" i="35"/>
  <c r="T9" i="35"/>
  <c r="AE16" i="35"/>
  <c r="Y16" i="35"/>
  <c r="W16" i="35"/>
  <c r="X16" i="35"/>
  <c r="AD16" i="35"/>
  <c r="AF16" i="35"/>
  <c r="AA16" i="35"/>
  <c r="AB16" i="35"/>
  <c r="Z16" i="35"/>
  <c r="U16" i="35"/>
  <c r="T16" i="35"/>
  <c r="AC16" i="35"/>
  <c r="V16" i="35"/>
  <c r="AD44" i="35"/>
  <c r="Y44" i="35"/>
  <c r="AF44" i="35"/>
  <c r="AB44" i="35"/>
  <c r="W44" i="35"/>
  <c r="AE44" i="35"/>
  <c r="AC44" i="35"/>
  <c r="V44" i="35"/>
  <c r="Z44" i="35"/>
  <c r="T44" i="35"/>
  <c r="U44" i="35"/>
  <c r="X44" i="35"/>
  <c r="AA44" i="35"/>
  <c r="AB49" i="35"/>
  <c r="AE49" i="35"/>
  <c r="T49" i="35"/>
  <c r="W49" i="35"/>
  <c r="AF49" i="35"/>
  <c r="X49" i="35"/>
  <c r="AC49" i="35"/>
  <c r="V49" i="35"/>
  <c r="AA49" i="35"/>
  <c r="AD49" i="35"/>
  <c r="Y49" i="35"/>
  <c r="U49" i="35"/>
  <c r="Z49" i="35"/>
  <c r="X59" i="35"/>
  <c r="Y59" i="35"/>
  <c r="V59" i="35"/>
  <c r="T59" i="35"/>
  <c r="U59" i="35"/>
  <c r="Z59" i="35"/>
  <c r="AA59" i="35"/>
  <c r="W59" i="35"/>
  <c r="AD59" i="35"/>
  <c r="AC59" i="35"/>
  <c r="AF59" i="35"/>
  <c r="AE59" i="35"/>
  <c r="AB59" i="35"/>
  <c r="L40" i="35"/>
  <c r="G78" i="35"/>
  <c r="J78" i="35"/>
  <c r="L78" i="35"/>
  <c r="M78" i="35"/>
  <c r="M40" i="35"/>
  <c r="J40" i="35"/>
  <c r="C68" i="35"/>
  <c r="AA40" i="35"/>
  <c r="T40" i="35"/>
  <c r="AE40" i="35"/>
  <c r="G40" i="35"/>
  <c r="Z40" i="35"/>
  <c r="X40" i="35"/>
  <c r="U40" i="35"/>
  <c r="U96" i="35"/>
  <c r="Z96" i="35"/>
  <c r="AE96" i="35"/>
  <c r="AF96" i="35"/>
  <c r="T96" i="35"/>
  <c r="V96" i="35"/>
  <c r="AD96" i="35"/>
  <c r="W96" i="35"/>
  <c r="AB96" i="35"/>
  <c r="Y96" i="35"/>
  <c r="X96" i="35"/>
  <c r="AC96" i="35"/>
  <c r="AA96" i="35"/>
  <c r="V11" i="35"/>
  <c r="AD11" i="35"/>
  <c r="X11" i="35"/>
  <c r="AC11" i="35"/>
  <c r="AE11" i="35"/>
  <c r="U11" i="35"/>
  <c r="AA11" i="35"/>
  <c r="AB11" i="35"/>
  <c r="AF11" i="35"/>
  <c r="Y11" i="35"/>
  <c r="T11" i="35"/>
  <c r="Z11" i="35"/>
  <c r="W11" i="35"/>
  <c r="AA94" i="35"/>
  <c r="AC94" i="35"/>
  <c r="AD94" i="35"/>
  <c r="U94" i="35"/>
  <c r="W94" i="35"/>
  <c r="Y94" i="35"/>
  <c r="Z94" i="35"/>
  <c r="AB94" i="35"/>
  <c r="X94" i="35"/>
  <c r="AF94" i="35"/>
  <c r="AE94" i="35"/>
  <c r="V94" i="35"/>
  <c r="T94" i="35"/>
  <c r="T102" i="35"/>
  <c r="U102" i="35"/>
  <c r="AB102" i="35"/>
  <c r="W102" i="35"/>
  <c r="V102" i="35"/>
  <c r="Z102" i="35"/>
  <c r="X102" i="35"/>
  <c r="AF102" i="35"/>
  <c r="AA102" i="35"/>
  <c r="AD102" i="35"/>
  <c r="AE102" i="35"/>
  <c r="AC102" i="35"/>
  <c r="Y102" i="35"/>
  <c r="AC50" i="35"/>
  <c r="X50" i="35"/>
  <c r="U50" i="35"/>
  <c r="V50" i="35"/>
  <c r="AF50" i="35"/>
  <c r="AB50" i="35"/>
  <c r="Z50" i="35"/>
  <c r="Y50" i="35"/>
  <c r="W50" i="35"/>
  <c r="AA50" i="35"/>
  <c r="T50" i="35"/>
  <c r="AE50" i="35"/>
  <c r="AD50" i="35"/>
  <c r="W21" i="35"/>
  <c r="V21" i="35"/>
  <c r="T21" i="35"/>
  <c r="AB21" i="35"/>
  <c r="Z21" i="35"/>
  <c r="AA21" i="35"/>
  <c r="AC21" i="35"/>
  <c r="U21" i="35"/>
  <c r="AE21" i="35"/>
  <c r="AD21" i="35"/>
  <c r="AF21" i="35"/>
  <c r="Y21" i="35"/>
  <c r="X21" i="35"/>
  <c r="X54" i="35"/>
  <c r="V54" i="35"/>
  <c r="Y54" i="35"/>
  <c r="T54" i="35"/>
  <c r="W54" i="35"/>
  <c r="AA54" i="35"/>
  <c r="AB54" i="35"/>
  <c r="AE54" i="35"/>
  <c r="AC54" i="35"/>
  <c r="U54" i="35"/>
  <c r="Z54" i="35"/>
  <c r="AD54" i="35"/>
  <c r="AF54" i="35"/>
  <c r="X63" i="35"/>
  <c r="AA63" i="35"/>
  <c r="T63" i="35"/>
  <c r="Z63" i="35"/>
  <c r="V63" i="35"/>
  <c r="AB63" i="35"/>
  <c r="Y63" i="35"/>
  <c r="W63" i="35"/>
  <c r="AD63" i="35"/>
  <c r="AF63" i="35"/>
  <c r="AE63" i="35"/>
  <c r="U63" i="35"/>
  <c r="AC63" i="35"/>
  <c r="AB7" i="35"/>
  <c r="Z7" i="35"/>
  <c r="AF7" i="35"/>
  <c r="U7" i="35"/>
  <c r="V7" i="35"/>
  <c r="AD7" i="35"/>
  <c r="Y7" i="35"/>
  <c r="W7" i="35"/>
  <c r="AC7" i="35"/>
  <c r="X7" i="35"/>
  <c r="T7" i="35"/>
  <c r="AA7" i="35"/>
  <c r="AE7" i="35"/>
  <c r="V10" i="35"/>
  <c r="AA10" i="35"/>
  <c r="AB10" i="35"/>
  <c r="Z10" i="35"/>
  <c r="Y10" i="35"/>
  <c r="AD10" i="35"/>
  <c r="X10" i="35"/>
  <c r="T10" i="35"/>
  <c r="AE10" i="35"/>
  <c r="W10" i="35"/>
  <c r="U10" i="35"/>
  <c r="AF10" i="35"/>
  <c r="AC10" i="35"/>
  <c r="X104" i="35"/>
  <c r="AB104" i="35"/>
  <c r="T104" i="35"/>
  <c r="AD104" i="35"/>
  <c r="Y104" i="35"/>
  <c r="V104" i="35"/>
  <c r="AE104" i="35"/>
  <c r="AC104" i="35"/>
  <c r="AA104" i="35"/>
  <c r="U104" i="35"/>
  <c r="Z104" i="35"/>
  <c r="W104" i="35"/>
  <c r="AF104" i="35"/>
  <c r="W78" i="35"/>
  <c r="Z78" i="35"/>
  <c r="V78" i="35"/>
  <c r="AB78" i="35"/>
  <c r="T78" i="35"/>
  <c r="AA78" i="35"/>
  <c r="C106" i="35"/>
  <c r="AC78" i="35"/>
  <c r="X78" i="35"/>
  <c r="U78" i="35"/>
  <c r="AE78" i="35"/>
  <c r="Y78" i="35"/>
  <c r="Z55" i="35"/>
  <c r="V55" i="35"/>
  <c r="U55" i="35"/>
  <c r="AA55" i="35"/>
  <c r="AF55" i="35"/>
  <c r="Y55" i="35"/>
  <c r="T55" i="35"/>
  <c r="AD55" i="35"/>
  <c r="AC55" i="35"/>
  <c r="W55" i="35"/>
  <c r="AE55" i="35"/>
  <c r="AB55" i="35"/>
  <c r="X55" i="35"/>
  <c r="AB97" i="35"/>
  <c r="V97" i="35"/>
  <c r="U97" i="35"/>
  <c r="AC97" i="35"/>
  <c r="Z97" i="35"/>
  <c r="AA97" i="35"/>
  <c r="Y97" i="35"/>
  <c r="AE97" i="35"/>
  <c r="X97" i="35"/>
  <c r="W97" i="35"/>
  <c r="AF97" i="35"/>
  <c r="AD97" i="35"/>
  <c r="T97" i="35"/>
  <c r="AE1127" i="2"/>
  <c r="AM955" i="2"/>
  <c r="AE1301" i="2"/>
  <c r="AE1778" i="2"/>
  <c r="AM784" i="2"/>
  <c r="AE625" i="2"/>
  <c r="AE429" i="2"/>
  <c r="AE1734" i="2"/>
  <c r="AE1590" i="2"/>
  <c r="AE2244" i="2"/>
  <c r="AE2128" i="2"/>
  <c r="AE2208" i="2"/>
  <c r="AJ23" i="2"/>
  <c r="AE1117" i="2"/>
  <c r="AK196" i="2"/>
  <c r="AD45" i="2"/>
  <c r="AE45" i="2" s="1"/>
  <c r="AK111" i="2"/>
  <c r="AM1921" i="2"/>
  <c r="AK45" i="2"/>
  <c r="AM2094" i="2"/>
  <c r="AE2198" i="2"/>
  <c r="AM576" i="2"/>
  <c r="AK190" i="2"/>
  <c r="AM1714" i="2"/>
  <c r="AM2090" i="2"/>
  <c r="AM1822" i="2"/>
  <c r="AM1268" i="2"/>
  <c r="AM1798" i="2"/>
  <c r="AM1558" i="2"/>
  <c r="AM1392" i="2"/>
  <c r="AJ204" i="2"/>
  <c r="AM437" i="2"/>
  <c r="AD11" i="2"/>
  <c r="AM307" i="2"/>
  <c r="AM339" i="2"/>
  <c r="AM2042" i="2"/>
  <c r="AK88" i="2"/>
  <c r="AH96" i="2"/>
  <c r="AP96" i="2" s="1"/>
  <c r="AQ96" i="2" s="1"/>
  <c r="AE1557" i="2"/>
  <c r="AJ69" i="2"/>
  <c r="AE330" i="2"/>
  <c r="AD112" i="2"/>
  <c r="AM1343" i="2"/>
  <c r="AG29" i="2"/>
  <c r="AO29" i="2" s="1"/>
  <c r="P36" i="34"/>
  <c r="AC36" i="34"/>
  <c r="AE2342" i="2"/>
  <c r="AM1535" i="2"/>
  <c r="AE2332" i="2"/>
  <c r="AD61" i="2"/>
  <c r="AM61" i="2" s="1"/>
  <c r="AL82" i="2"/>
  <c r="AH82" i="2"/>
  <c r="AP82" i="2" s="1"/>
  <c r="AN82" i="2"/>
  <c r="AK122" i="2"/>
  <c r="AG122" i="2"/>
  <c r="AO122" i="2" s="1"/>
  <c r="AN122" i="2"/>
  <c r="AL122" i="2"/>
  <c r="AH122" i="2"/>
  <c r="AP122" i="2" s="1"/>
  <c r="AD580" i="2"/>
  <c r="AM580" i="2" s="1"/>
  <c r="AM1694" i="2"/>
  <c r="AK139" i="2"/>
  <c r="AM1177" i="2"/>
  <c r="AM633" i="2"/>
  <c r="AM2112" i="2"/>
  <c r="AD317" i="2"/>
  <c r="AM2133" i="2"/>
  <c r="C4" i="28"/>
  <c r="D4" i="28" s="1"/>
  <c r="AM520" i="2"/>
  <c r="AQ115" i="2"/>
  <c r="AE792" i="2"/>
  <c r="AM1307" i="2"/>
  <c r="AM1618" i="2"/>
  <c r="AM1471" i="2"/>
  <c r="AM1216" i="2"/>
  <c r="AM1309" i="2"/>
  <c r="AE2059" i="2"/>
  <c r="AE472" i="2"/>
  <c r="AM1998" i="2"/>
  <c r="AM1902" i="2"/>
  <c r="AD184" i="2"/>
  <c r="AM420" i="2"/>
  <c r="AM243" i="2"/>
  <c r="AM1231" i="2"/>
  <c r="AM888" i="2"/>
  <c r="AM1228" i="2"/>
  <c r="AM2130" i="2"/>
  <c r="AM1104" i="2"/>
  <c r="AM1293" i="2"/>
  <c r="AJ178" i="2"/>
  <c r="AJ207" i="2"/>
  <c r="AM2161" i="2"/>
  <c r="AJ115" i="2"/>
  <c r="AD115" i="2"/>
  <c r="AD21" i="2"/>
  <c r="AM1761" i="2"/>
  <c r="AE2145" i="2"/>
  <c r="AD708" i="2"/>
  <c r="AQ112" i="2"/>
  <c r="AD100" i="2"/>
  <c r="AE100" i="2" s="1"/>
  <c r="AD89" i="2"/>
  <c r="AM89" i="2" s="1"/>
  <c r="AE172" i="2"/>
  <c r="AM172" i="2"/>
  <c r="AD148" i="2"/>
  <c r="AE148" i="2" s="1"/>
  <c r="AD98" i="2"/>
  <c r="AM98" i="2" s="1"/>
  <c r="AD143" i="2"/>
  <c r="AD7" i="2"/>
  <c r="AD65" i="2"/>
  <c r="AE65" i="2" s="1"/>
  <c r="AD187" i="2"/>
  <c r="AM187" i="2" s="1"/>
  <c r="AD38" i="2"/>
  <c r="AD179" i="2"/>
  <c r="AD210" i="2"/>
  <c r="AE210" i="2" s="1"/>
  <c r="AD146" i="2"/>
  <c r="AE146" i="2" s="1"/>
  <c r="AD43" i="2"/>
  <c r="AD8" i="2"/>
  <c r="AD126" i="2"/>
  <c r="AM126" i="2" s="1"/>
  <c r="AD156" i="2"/>
  <c r="AM156" i="2" s="1"/>
  <c r="AD99" i="2"/>
  <c r="AD208" i="2"/>
  <c r="AL28" i="2"/>
  <c r="AH28" i="2"/>
  <c r="AP28" i="2" s="1"/>
  <c r="AK17" i="2"/>
  <c r="AG17" i="2"/>
  <c r="AL6" i="2"/>
  <c r="AH6" i="2"/>
  <c r="AP6" i="2" s="1"/>
  <c r="AD204" i="2"/>
  <c r="AJ97" i="2"/>
  <c r="AF97" i="2"/>
  <c r="AK28" i="2"/>
  <c r="AG28" i="2"/>
  <c r="AO28" i="2" s="1"/>
  <c r="AJ28" i="2"/>
  <c r="AF28" i="2"/>
  <c r="AK6" i="2"/>
  <c r="AG6" i="2"/>
  <c r="AJ139" i="2"/>
  <c r="AF139" i="2"/>
  <c r="AL175" i="2"/>
  <c r="AH175" i="2"/>
  <c r="AP175" i="2" s="1"/>
  <c r="AN116" i="2"/>
  <c r="AK135" i="2"/>
  <c r="AG135" i="2"/>
  <c r="AO135" i="2" s="1"/>
  <c r="AK175" i="2"/>
  <c r="AG175" i="2"/>
  <c r="AD167" i="2"/>
  <c r="AM167" i="2" s="1"/>
  <c r="AJ81" i="2"/>
  <c r="AF81" i="2"/>
  <c r="AL78" i="2"/>
  <c r="AH78" i="2"/>
  <c r="AP78" i="2" s="1"/>
  <c r="AK116" i="2"/>
  <c r="AG116" i="2"/>
  <c r="AO116" i="2" s="1"/>
  <c r="AI191" i="2"/>
  <c r="AL135" i="2"/>
  <c r="AH135" i="2"/>
  <c r="AP135" i="2" s="1"/>
  <c r="AD159" i="2"/>
  <c r="AN78" i="2"/>
  <c r="AD181" i="2"/>
  <c r="AM181" i="2" s="1"/>
  <c r="AN135" i="2"/>
  <c r="AD87" i="2"/>
  <c r="AE87" i="2" s="1"/>
  <c r="AL17" i="2"/>
  <c r="AH17" i="2"/>
  <c r="AP17" i="2" s="1"/>
  <c r="AQ147" i="2"/>
  <c r="AD116" i="2"/>
  <c r="AD157" i="2"/>
  <c r="AM157" i="2" s="1"/>
  <c r="AD60" i="2"/>
  <c r="AE60" i="2" s="1"/>
  <c r="AD109" i="2"/>
  <c r="AM109" i="2" s="1"/>
  <c r="AD46" i="2"/>
  <c r="AE46" i="2" s="1"/>
  <c r="AD200" i="2"/>
  <c r="AM200" i="2" s="1"/>
  <c r="AD47" i="2"/>
  <c r="AD84" i="2"/>
  <c r="AE84" i="2" s="1"/>
  <c r="AD58" i="2"/>
  <c r="AE58" i="2" s="1"/>
  <c r="AD42" i="2"/>
  <c r="AE42" i="2" s="1"/>
  <c r="AD10" i="2"/>
  <c r="AM10" i="2" s="1"/>
  <c r="AD180" i="2"/>
  <c r="AE180" i="2" s="1"/>
  <c r="AD23" i="2"/>
  <c r="AE23" i="2" s="1"/>
  <c r="AD25" i="2"/>
  <c r="AE25" i="2" s="1"/>
  <c r="AK10" i="2"/>
  <c r="AF25" i="2"/>
  <c r="AN25" i="2" s="1"/>
  <c r="AQ25" i="2" s="1"/>
  <c r="AD142" i="2"/>
  <c r="AJ182" i="2"/>
  <c r="AJ35" i="2"/>
  <c r="AD166" i="2"/>
  <c r="AE166" i="2" s="1"/>
  <c r="AD34" i="2"/>
  <c r="AE34" i="2" s="1"/>
  <c r="AQ225" i="2"/>
  <c r="AQ217" i="2"/>
  <c r="AD19" i="2"/>
  <c r="AM19" i="2" s="1"/>
  <c r="AD35" i="2"/>
  <c r="AD214" i="2"/>
  <c r="AM214" i="2" s="1"/>
  <c r="AD186" i="2"/>
  <c r="AE186" i="2" s="1"/>
  <c r="AD114" i="2"/>
  <c r="AE114" i="2" s="1"/>
  <c r="B40" i="13" s="1"/>
  <c r="AD24" i="2"/>
  <c r="AM24" i="2" s="1"/>
  <c r="AD145" i="2"/>
  <c r="AM145" i="2" s="1"/>
  <c r="AD139" i="2"/>
  <c r="AE139" i="2" s="1"/>
  <c r="AQ144" i="2"/>
  <c r="AJ220" i="2"/>
  <c r="AF220" i="2"/>
  <c r="AJ212" i="2"/>
  <c r="AF212" i="2"/>
  <c r="AL68" i="2"/>
  <c r="AH68" i="2"/>
  <c r="AP68" i="2" s="1"/>
  <c r="AJ89" i="2"/>
  <c r="AF89" i="2"/>
  <c r="AJ52" i="2"/>
  <c r="AD68" i="2"/>
  <c r="AM68" i="2" s="1"/>
  <c r="AD86" i="2"/>
  <c r="AM86" i="2" s="1"/>
  <c r="AD14" i="2"/>
  <c r="AE14" i="2" s="1"/>
  <c r="AD182" i="2"/>
  <c r="AE182" i="2" s="1"/>
  <c r="AN228" i="2"/>
  <c r="AL236" i="2"/>
  <c r="AH236" i="2"/>
  <c r="AP236" i="2" s="1"/>
  <c r="AD111" i="2"/>
  <c r="AK80" i="2"/>
  <c r="AG80" i="2"/>
  <c r="AD52" i="2"/>
  <c r="AE52" i="2" s="1"/>
  <c r="AJ156" i="2"/>
  <c r="AD6" i="2"/>
  <c r="AE6" i="2" s="1"/>
  <c r="AJ169" i="2"/>
  <c r="AK12" i="2"/>
  <c r="AK142" i="2"/>
  <c r="AJ236" i="2"/>
  <c r="AF236" i="2"/>
  <c r="AD18" i="2"/>
  <c r="AE18" i="2" s="1"/>
  <c r="AL13" i="2"/>
  <c r="AH13" i="2"/>
  <c r="AP13" i="2" s="1"/>
  <c r="AK84" i="2"/>
  <c r="AG84" i="2"/>
  <c r="AO84" i="2" s="1"/>
  <c r="AI225" i="2"/>
  <c r="AJ36" i="2"/>
  <c r="AN150" i="2"/>
  <c r="AG121" i="2"/>
  <c r="AO121" i="2" s="1"/>
  <c r="AG54" i="2"/>
  <c r="AO54" i="2" s="1"/>
  <c r="AD110" i="2"/>
  <c r="AE110" i="2" s="1"/>
  <c r="AJ190" i="2"/>
  <c r="AF190" i="2"/>
  <c r="AD16" i="2"/>
  <c r="AE16" i="2" s="1"/>
  <c r="AL41" i="2"/>
  <c r="AH41" i="2"/>
  <c r="AP41" i="2" s="1"/>
  <c r="AD85" i="2"/>
  <c r="AM85" i="2" s="1"/>
  <c r="AD194" i="2"/>
  <c r="AE194" i="2" s="1"/>
  <c r="AO9" i="2"/>
  <c r="AQ9" i="2" s="1"/>
  <c r="AI9" i="2"/>
  <c r="AI147" i="2"/>
  <c r="AD54" i="2"/>
  <c r="AH32" i="2"/>
  <c r="AP32" i="2" s="1"/>
  <c r="AK41" i="2"/>
  <c r="AG41" i="2"/>
  <c r="AL185" i="2"/>
  <c r="AH185" i="2"/>
  <c r="AP185" i="2" s="1"/>
  <c r="AK150" i="2"/>
  <c r="AG150" i="2"/>
  <c r="AO150" i="2" s="1"/>
  <c r="AN84" i="2"/>
  <c r="AQ64" i="2"/>
  <c r="AI64" i="2"/>
  <c r="AL150" i="2"/>
  <c r="AH150" i="2"/>
  <c r="AP150" i="2" s="1"/>
  <c r="AL190" i="2"/>
  <c r="AH190" i="2"/>
  <c r="AP190" i="2" s="1"/>
  <c r="AJ13" i="2"/>
  <c r="AF13" i="2"/>
  <c r="AJ96" i="2"/>
  <c r="AD36" i="2"/>
  <c r="AE36" i="2" s="1"/>
  <c r="AD178" i="2"/>
  <c r="AM178" i="2" s="1"/>
  <c r="AD96" i="2"/>
  <c r="AM96" i="2" s="1"/>
  <c r="AD185" i="2"/>
  <c r="AM185" i="2" s="1"/>
  <c r="AJ184" i="2"/>
  <c r="AD53" i="2"/>
  <c r="AE53" i="2" s="1"/>
  <c r="AD160" i="2"/>
  <c r="AJ19" i="2"/>
  <c r="AD81" i="2"/>
  <c r="AE81" i="2" s="1"/>
  <c r="AJ45" i="2"/>
  <c r="AD44" i="2"/>
  <c r="AE44" i="2" s="1"/>
  <c r="AK180" i="2"/>
  <c r="AD32" i="2"/>
  <c r="AM32" i="2" s="1"/>
  <c r="AL23" i="2"/>
  <c r="AH23" i="2"/>
  <c r="AP23" i="2" s="1"/>
  <c r="AJ185" i="2"/>
  <c r="AF185" i="2"/>
  <c r="AI26" i="2"/>
  <c r="AN26" i="2"/>
  <c r="AQ26" i="2" s="1"/>
  <c r="AO224" i="2"/>
  <c r="AQ224" i="2" s="1"/>
  <c r="AI224" i="2"/>
  <c r="AL220" i="2"/>
  <c r="AH220" i="2"/>
  <c r="AP220" i="2" s="1"/>
  <c r="AL164" i="2"/>
  <c r="AH164" i="2"/>
  <c r="AP164" i="2" s="1"/>
  <c r="AL212" i="2"/>
  <c r="AH212" i="2"/>
  <c r="AP212" i="2" s="1"/>
  <c r="AK23" i="2"/>
  <c r="AG23" i="2"/>
  <c r="AL89" i="2"/>
  <c r="AH89" i="2"/>
  <c r="AP89" i="2" s="1"/>
  <c r="AK212" i="2"/>
  <c r="AG212" i="2"/>
  <c r="AO212" i="2" s="1"/>
  <c r="AI217" i="2"/>
  <c r="AN222" i="2"/>
  <c r="AQ222" i="2" s="1"/>
  <c r="AI222" i="2"/>
  <c r="AI66" i="2"/>
  <c r="AN227" i="2"/>
  <c r="AQ227" i="2" s="1"/>
  <c r="AI227" i="2"/>
  <c r="AJ164" i="2"/>
  <c r="AF164" i="2"/>
  <c r="AL228" i="2"/>
  <c r="AH228" i="2"/>
  <c r="AP228" i="2" s="1"/>
  <c r="AJ68" i="2"/>
  <c r="AF68" i="2"/>
  <c r="AO232" i="2"/>
  <c r="AQ232" i="2" s="1"/>
  <c r="AI232" i="2"/>
  <c r="AI151" i="2"/>
  <c r="AO235" i="2"/>
  <c r="AQ235" i="2" s="1"/>
  <c r="AI235" i="2"/>
  <c r="AI144" i="2"/>
  <c r="AM97" i="2"/>
  <c r="AK201" i="2"/>
  <c r="AD201" i="2"/>
  <c r="AM201" i="2" s="1"/>
  <c r="AJ196" i="2"/>
  <c r="AD196" i="2"/>
  <c r="AE196" i="2" s="1"/>
  <c r="AD13" i="2"/>
  <c r="AE13" i="2" s="1"/>
  <c r="AQ103" i="2"/>
  <c r="AI103" i="2"/>
  <c r="AD41" i="2"/>
  <c r="AE41" i="2" s="1"/>
  <c r="AD212" i="2"/>
  <c r="AM212" i="2" s="1"/>
  <c r="AD190" i="2"/>
  <c r="AA57" i="8"/>
  <c r="AE1985" i="2"/>
  <c r="AM1985" i="2"/>
  <c r="AD284" i="2"/>
  <c r="AE284" i="2" s="1"/>
  <c r="AM1019" i="2"/>
  <c r="AE2092" i="2"/>
  <c r="AE2106" i="2"/>
  <c r="AM1169" i="2"/>
  <c r="AM963" i="2"/>
  <c r="AM1048" i="2"/>
  <c r="AM1168" i="2"/>
  <c r="AE1741" i="2"/>
  <c r="AI112" i="2"/>
  <c r="AE1327" i="2"/>
  <c r="AM1327" i="2"/>
  <c r="AM1157" i="2"/>
  <c r="AM1542" i="2"/>
  <c r="AE2381" i="2"/>
  <c r="AM2381" i="2"/>
  <c r="AE1319" i="2"/>
  <c r="AM2105" i="2"/>
  <c r="AE2105" i="2"/>
  <c r="AM1260" i="2"/>
  <c r="AM1634" i="2"/>
  <c r="AM2384" i="2"/>
  <c r="AM400" i="2"/>
  <c r="AE2146" i="2"/>
  <c r="AE736" i="2"/>
  <c r="AM2156" i="2"/>
  <c r="AM808" i="2"/>
  <c r="AD612" i="2"/>
  <c r="AE1861" i="2"/>
  <c r="AM1861" i="2"/>
  <c r="AE405" i="2"/>
  <c r="AD101" i="2"/>
  <c r="AM101" i="2" s="1"/>
  <c r="AE2278" i="2"/>
  <c r="AD620" i="2"/>
  <c r="AE620" i="2" s="1"/>
  <c r="AM828" i="2"/>
  <c r="AE1163" i="2"/>
  <c r="AE1188" i="2"/>
  <c r="AM1599" i="2"/>
  <c r="AE1376" i="2"/>
  <c r="AE1485" i="2"/>
  <c r="AE380" i="2"/>
  <c r="AD57" i="8"/>
  <c r="AE2162" i="2"/>
  <c r="AE1095" i="2"/>
  <c r="AM2070" i="2"/>
  <c r="AE505" i="2"/>
  <c r="AE1491" i="2"/>
  <c r="AE1662" i="2"/>
  <c r="AM1232" i="2"/>
  <c r="AE1367" i="2"/>
  <c r="AM1360" i="2"/>
  <c r="AD62" i="2"/>
  <c r="AM62" i="2" s="1"/>
  <c r="AD30" i="2"/>
  <c r="AE30" i="2" s="1"/>
  <c r="AD119" i="2"/>
  <c r="AM119" i="2" s="1"/>
  <c r="AD69" i="2"/>
  <c r="AM69" i="2" s="1"/>
  <c r="AM152" i="2"/>
  <c r="AD141" i="2"/>
  <c r="AM141" i="2" s="1"/>
  <c r="AE1335" i="2"/>
  <c r="AM475" i="2"/>
  <c r="AM2102" i="2"/>
  <c r="AE556" i="2"/>
  <c r="AE1597" i="2"/>
  <c r="AM776" i="2"/>
  <c r="AM2148" i="2"/>
  <c r="AE2148" i="2"/>
  <c r="AM1191" i="2"/>
  <c r="AE1195" i="2"/>
  <c r="AE668" i="2"/>
  <c r="AD308" i="2"/>
  <c r="AM308" i="2" s="1"/>
  <c r="AM1184" i="2"/>
  <c r="AE1184" i="2"/>
  <c r="AJ150" i="2"/>
  <c r="AD150" i="2"/>
  <c r="AM150" i="2" s="1"/>
  <c r="AK492" i="2"/>
  <c r="AD492" i="2"/>
  <c r="AM492" i="2" s="1"/>
  <c r="AM1349" i="2"/>
  <c r="AE1349" i="2"/>
  <c r="AM1622" i="2"/>
  <c r="AE1622" i="2"/>
  <c r="AE1253" i="2"/>
  <c r="AM1253" i="2"/>
  <c r="AM2204" i="2"/>
  <c r="AE456" i="2"/>
  <c r="AM456" i="2"/>
  <c r="AM1116" i="2"/>
  <c r="AE1317" i="2"/>
  <c r="AM2260" i="2"/>
  <c r="C5" i="28"/>
  <c r="AM2029" i="2"/>
  <c r="AE2029" i="2"/>
  <c r="AE2017" i="2"/>
  <c r="AM2017" i="2"/>
  <c r="AE1969" i="2"/>
  <c r="AM1969" i="2"/>
  <c r="H72" i="8"/>
  <c r="L72" i="8"/>
  <c r="K72" i="8"/>
  <c r="I72" i="8"/>
  <c r="J72" i="8"/>
  <c r="L135" i="8"/>
  <c r="J135" i="8"/>
  <c r="H135" i="8"/>
  <c r="K135" i="8"/>
  <c r="I135" i="8"/>
  <c r="AE1953" i="2"/>
  <c r="AM1953" i="2"/>
  <c r="AJ732" i="2"/>
  <c r="AD732" i="2"/>
  <c r="AE1175" i="2"/>
  <c r="AM1296" i="2"/>
  <c r="AE2065" i="2"/>
  <c r="AM2065" i="2"/>
  <c r="I191" i="8"/>
  <c r="H191" i="8"/>
  <c r="L191" i="8"/>
  <c r="J191" i="8"/>
  <c r="K191" i="8"/>
  <c r="AM2254" i="2"/>
  <c r="AB57" i="8"/>
  <c r="AE1380" i="2"/>
  <c r="AM1167" i="2"/>
  <c r="AM2182" i="2"/>
  <c r="AH52" i="2"/>
  <c r="AJ356" i="2"/>
  <c r="AD356" i="2"/>
  <c r="AB198" i="28"/>
  <c r="AM2304" i="2"/>
  <c r="AM2174" i="2"/>
  <c r="AE1758" i="2"/>
  <c r="AM336" i="2"/>
  <c r="AE1677" i="2"/>
  <c r="AM1171" i="2"/>
  <c r="AE275" i="2"/>
  <c r="AM2098" i="2"/>
  <c r="AM665" i="2"/>
  <c r="AE2134" i="2"/>
  <c r="AM1164" i="2"/>
  <c r="AM1079" i="2"/>
  <c r="AE2266" i="2"/>
  <c r="AE413" i="2"/>
  <c r="AM2118" i="2"/>
  <c r="AM1663" i="2"/>
  <c r="AE672" i="2"/>
  <c r="AM2348" i="2"/>
  <c r="AM1145" i="2"/>
  <c r="AM2108" i="2"/>
  <c r="AD236" i="2"/>
  <c r="AE236" i="2" s="1"/>
  <c r="AI178" i="2"/>
  <c r="AM1292" i="2"/>
  <c r="AM1280" i="2"/>
  <c r="AM1196" i="2"/>
  <c r="AD268" i="2"/>
  <c r="AM268" i="2" s="1"/>
  <c r="AM1950" i="2"/>
  <c r="AE2294" i="2"/>
  <c r="AM1862" i="2"/>
  <c r="AE1239" i="2"/>
  <c r="AE1027" i="2"/>
  <c r="AM2284" i="2"/>
  <c r="AE2240" i="2"/>
  <c r="AD660" i="2"/>
  <c r="AM660" i="2" s="1"/>
  <c r="AE1139" i="2"/>
  <c r="AM224" i="2"/>
  <c r="AM2038" i="2"/>
  <c r="AE2370" i="2"/>
  <c r="AE1340" i="2"/>
  <c r="AE657" i="2"/>
  <c r="AE2023" i="2"/>
  <c r="AE1249" i="2"/>
  <c r="AM608" i="2"/>
  <c r="AM227" i="2"/>
  <c r="AM235" i="2"/>
  <c r="AE235" i="2"/>
  <c r="AM1486" i="2"/>
  <c r="AE2320" i="2"/>
  <c r="AM2320" i="2"/>
  <c r="AM1325" i="2"/>
  <c r="AE1325" i="2"/>
  <c r="AM2290" i="2"/>
  <c r="AE2290" i="2"/>
  <c r="AM1271" i="2"/>
  <c r="AE1271" i="2"/>
  <c r="AJ300" i="2"/>
  <c r="AD300" i="2"/>
  <c r="AE300" i="2" s="1"/>
  <c r="AJ316" i="2"/>
  <c r="AD316" i="2"/>
  <c r="AE316" i="2" s="1"/>
  <c r="AE2226" i="2"/>
  <c r="AE1285" i="2"/>
  <c r="AM1698" i="2"/>
  <c r="AM601" i="2"/>
  <c r="AD452" i="2"/>
  <c r="AM452" i="2" s="1"/>
  <c r="AM1016" i="2"/>
  <c r="AE1016" i="2"/>
  <c r="AM1217" i="2"/>
  <c r="AE1217" i="2"/>
  <c r="AE1645" i="2"/>
  <c r="AM1645" i="2"/>
  <c r="AE397" i="2"/>
  <c r="AM397" i="2"/>
  <c r="AM38" i="2"/>
  <c r="AE38" i="2"/>
  <c r="AK652" i="2"/>
  <c r="AD652" i="2"/>
  <c r="AM652" i="2" s="1"/>
  <c r="AJ228" i="2"/>
  <c r="AD228" i="2"/>
  <c r="AE228" i="2" s="1"/>
  <c r="AM1328" i="2"/>
  <c r="AE1328" i="2"/>
  <c r="AM1494" i="2"/>
  <c r="AM1493" i="2"/>
  <c r="AD220" i="2"/>
  <c r="AM220" i="2" s="1"/>
  <c r="AE2252" i="2"/>
  <c r="AD692" i="2"/>
  <c r="AM692" i="2" s="1"/>
  <c r="AE2310" i="2"/>
  <c r="AM2310" i="2"/>
  <c r="AM1264" i="2"/>
  <c r="AE1264" i="2"/>
  <c r="AE2197" i="2"/>
  <c r="AM2197" i="2"/>
  <c r="AM1233" i="2"/>
  <c r="AE1233" i="2"/>
  <c r="AM1413" i="2"/>
  <c r="AE1413" i="2"/>
  <c r="AM788" i="2"/>
  <c r="AE788" i="2"/>
  <c r="AJ700" i="2"/>
  <c r="AD700" i="2"/>
  <c r="AE700" i="2" s="1"/>
  <c r="AM1289" i="2"/>
  <c r="AE1143" i="2"/>
  <c r="AM2138" i="2"/>
  <c r="AE2358" i="2"/>
  <c r="AD628" i="2"/>
  <c r="AM628" i="2" s="1"/>
  <c r="AM1148" i="2"/>
  <c r="AE1148" i="2"/>
  <c r="AE2150" i="2"/>
  <c r="AM2150" i="2"/>
  <c r="AE1682" i="2"/>
  <c r="AM1682" i="2"/>
  <c r="AM720" i="2"/>
  <c r="AE720" i="2"/>
  <c r="I96" i="8"/>
  <c r="K96" i="8"/>
  <c r="H96" i="8"/>
  <c r="J96" i="8"/>
  <c r="L96" i="8"/>
  <c r="K143" i="8"/>
  <c r="J143" i="8"/>
  <c r="L143" i="8"/>
  <c r="I143" i="8"/>
  <c r="H143" i="8"/>
  <c r="K104" i="8"/>
  <c r="J104" i="8"/>
  <c r="H104" i="8"/>
  <c r="L104" i="8"/>
  <c r="I104" i="8"/>
  <c r="I65" i="8"/>
  <c r="J65" i="8"/>
  <c r="L65" i="8"/>
  <c r="K65" i="8"/>
  <c r="H65" i="8"/>
  <c r="K167" i="8"/>
  <c r="I167" i="8"/>
  <c r="J167" i="8"/>
  <c r="L167" i="8"/>
  <c r="H167" i="8"/>
  <c r="AD134" i="2"/>
  <c r="AE134" i="2" s="1"/>
  <c r="AD213" i="2"/>
  <c r="AM213" i="2" s="1"/>
  <c r="L41" i="8"/>
  <c r="H41" i="8"/>
  <c r="K41" i="8"/>
  <c r="I41" i="8"/>
  <c r="J41" i="8"/>
  <c r="J175" i="8"/>
  <c r="I175" i="8"/>
  <c r="K175" i="8"/>
  <c r="H175" i="8"/>
  <c r="L175" i="8"/>
  <c r="J57" i="8"/>
  <c r="I57" i="8"/>
  <c r="L57" i="8"/>
  <c r="H57" i="8"/>
  <c r="K57" i="8"/>
  <c r="K151" i="8"/>
  <c r="J151" i="8"/>
  <c r="H151" i="8"/>
  <c r="I151" i="8"/>
  <c r="L151" i="8"/>
  <c r="J183" i="8"/>
  <c r="I183" i="8"/>
  <c r="K183" i="8"/>
  <c r="H183" i="8"/>
  <c r="L183" i="8"/>
  <c r="J80" i="8"/>
  <c r="I80" i="8"/>
  <c r="H80" i="8"/>
  <c r="L80" i="8"/>
  <c r="K80" i="8"/>
  <c r="I159" i="8"/>
  <c r="H159" i="8"/>
  <c r="K159" i="8"/>
  <c r="J159" i="8"/>
  <c r="L159" i="8"/>
  <c r="J88" i="8"/>
  <c r="H88" i="8"/>
  <c r="I88" i="8"/>
  <c r="L88" i="8"/>
  <c r="K88" i="8"/>
  <c r="I111" i="8"/>
  <c r="J111" i="8"/>
  <c r="H111" i="8"/>
  <c r="K111" i="8"/>
  <c r="L111" i="8"/>
  <c r="AD88" i="2"/>
  <c r="AM88" i="2" s="1"/>
  <c r="AD104" i="2"/>
  <c r="AE104" i="2" s="1"/>
  <c r="AD197" i="2"/>
  <c r="AE197" i="2" s="1"/>
  <c r="AE1829" i="2"/>
  <c r="AM1829" i="2"/>
  <c r="K119" i="8"/>
  <c r="H119" i="8"/>
  <c r="I119" i="8"/>
  <c r="L119" i="8"/>
  <c r="J119" i="8"/>
  <c r="AM1893" i="2"/>
  <c r="AE1893" i="2"/>
  <c r="AE1555" i="2"/>
  <c r="AM987" i="2"/>
  <c r="AE1922" i="2"/>
  <c r="AE1123" i="2"/>
  <c r="AD292" i="2"/>
  <c r="AE292" i="2" s="1"/>
  <c r="AD484" i="2"/>
  <c r="AE484" i="2" s="1"/>
  <c r="H49" i="8"/>
  <c r="J49" i="8"/>
  <c r="I49" i="8"/>
  <c r="L49" i="8"/>
  <c r="K49" i="8"/>
  <c r="K127" i="8"/>
  <c r="J127" i="8"/>
  <c r="I127" i="8"/>
  <c r="H127" i="8"/>
  <c r="L127" i="8"/>
  <c r="AL110" i="2"/>
  <c r="AH110" i="2"/>
  <c r="AP110" i="2" s="1"/>
  <c r="AL16" i="2"/>
  <c r="AH16" i="2"/>
  <c r="AP16" i="2" s="1"/>
  <c r="AD94" i="8"/>
  <c r="AA94" i="8"/>
  <c r="AC94" i="8"/>
  <c r="AB94" i="8"/>
  <c r="K46" i="8"/>
  <c r="I46" i="8"/>
  <c r="H46" i="8"/>
  <c r="J46" i="8"/>
  <c r="L46" i="8"/>
  <c r="AD170" i="8"/>
  <c r="AC170" i="8"/>
  <c r="AB170" i="8"/>
  <c r="AA170" i="8"/>
  <c r="H161" i="8"/>
  <c r="I161" i="8"/>
  <c r="L161" i="8"/>
  <c r="J161" i="8"/>
  <c r="K161" i="8"/>
  <c r="L168" i="8"/>
  <c r="H168" i="8"/>
  <c r="I168" i="8"/>
  <c r="K168" i="8"/>
  <c r="J168" i="8"/>
  <c r="AG146" i="2"/>
  <c r="AK146" i="2"/>
  <c r="AG43" i="2"/>
  <c r="AK43" i="2"/>
  <c r="AF8" i="2"/>
  <c r="AJ8" i="2"/>
  <c r="H149" i="8"/>
  <c r="L149" i="8"/>
  <c r="K149" i="8"/>
  <c r="I149" i="8"/>
  <c r="J149" i="8"/>
  <c r="L164" i="8"/>
  <c r="H164" i="8"/>
  <c r="I164" i="8"/>
  <c r="K164" i="8"/>
  <c r="J164" i="8"/>
  <c r="L153" i="8"/>
  <c r="J153" i="8"/>
  <c r="H153" i="8"/>
  <c r="I153" i="8"/>
  <c r="K153" i="8"/>
  <c r="AD34" i="8"/>
  <c r="AA34" i="8"/>
  <c r="AB34" i="8"/>
  <c r="AC34" i="8"/>
  <c r="AL126" i="2"/>
  <c r="AH126" i="2"/>
  <c r="AP126" i="2" s="1"/>
  <c r="AG38" i="2"/>
  <c r="AO38" i="2" s="1"/>
  <c r="AK38" i="2"/>
  <c r="I78" i="8"/>
  <c r="L78" i="8"/>
  <c r="K78" i="8"/>
  <c r="J78" i="8"/>
  <c r="H78" i="8"/>
  <c r="L91" i="8"/>
  <c r="H91" i="8"/>
  <c r="I91" i="8"/>
  <c r="K91" i="8"/>
  <c r="J91" i="8"/>
  <c r="J145" i="8"/>
  <c r="I145" i="8"/>
  <c r="L145" i="8"/>
  <c r="H145" i="8"/>
  <c r="K145" i="8"/>
  <c r="K82" i="8"/>
  <c r="L82" i="8"/>
  <c r="H82" i="8"/>
  <c r="J82" i="8"/>
  <c r="I82" i="8"/>
  <c r="AD152" i="8"/>
  <c r="AC152" i="8"/>
  <c r="AB152" i="8"/>
  <c r="AA152" i="8"/>
  <c r="AL179" i="2"/>
  <c r="AH179" i="2"/>
  <c r="AP179" i="2" s="1"/>
  <c r="AD148" i="8"/>
  <c r="AA148" i="8"/>
  <c r="AB148" i="8"/>
  <c r="AC148" i="8"/>
  <c r="I84" i="8"/>
  <c r="J84" i="8"/>
  <c r="L84" i="8"/>
  <c r="H84" i="8"/>
  <c r="K84" i="8"/>
  <c r="AD150" i="8"/>
  <c r="AC150" i="8"/>
  <c r="AA150" i="8"/>
  <c r="AB150" i="8"/>
  <c r="J87" i="8"/>
  <c r="K87" i="8"/>
  <c r="L87" i="8"/>
  <c r="I87" i="8"/>
  <c r="H87" i="8"/>
  <c r="AG109" i="2"/>
  <c r="AK109" i="2"/>
  <c r="AG46" i="2"/>
  <c r="AK46" i="2"/>
  <c r="AF34" i="2"/>
  <c r="AJ34" i="2"/>
  <c r="K77" i="8"/>
  <c r="L77" i="8"/>
  <c r="J77" i="8"/>
  <c r="H77" i="8"/>
  <c r="I77" i="8"/>
  <c r="AD75" i="8"/>
  <c r="AB75" i="8"/>
  <c r="AA75" i="8"/>
  <c r="AC75" i="8"/>
  <c r="AD142" i="8"/>
  <c r="AB142" i="8"/>
  <c r="AA142" i="8"/>
  <c r="AC142" i="8"/>
  <c r="J79" i="8"/>
  <c r="I79" i="8"/>
  <c r="L79" i="8"/>
  <c r="K79" i="8"/>
  <c r="H79" i="8"/>
  <c r="AL159" i="2"/>
  <c r="AH159" i="2"/>
  <c r="AP159" i="2" s="1"/>
  <c r="I132" i="8"/>
  <c r="J132" i="8"/>
  <c r="K132" i="8"/>
  <c r="H132" i="8"/>
  <c r="L132" i="8"/>
  <c r="AD194" i="8"/>
  <c r="AC194" i="8"/>
  <c r="AB194" i="8"/>
  <c r="AA194" i="8"/>
  <c r="AD128" i="8"/>
  <c r="AC128" i="8"/>
  <c r="AB128" i="8"/>
  <c r="AA128" i="8"/>
  <c r="AF194" i="2"/>
  <c r="AJ194" i="2"/>
  <c r="AF121" i="2"/>
  <c r="AN121" i="2" s="1"/>
  <c r="AJ121" i="2"/>
  <c r="AD121" i="2"/>
  <c r="AD124" i="8"/>
  <c r="AB124" i="8"/>
  <c r="AA124" i="8"/>
  <c r="AC124" i="8"/>
  <c r="AD52" i="8"/>
  <c r="AA52" i="8"/>
  <c r="AC52" i="8"/>
  <c r="AB52" i="8"/>
  <c r="K184" i="8"/>
  <c r="J184" i="8"/>
  <c r="L184" i="8"/>
  <c r="I184" i="8"/>
  <c r="H184" i="8"/>
  <c r="AD126" i="8"/>
  <c r="AA126" i="8"/>
  <c r="AC126" i="8"/>
  <c r="AB126" i="8"/>
  <c r="AL208" i="2"/>
  <c r="AH208" i="2"/>
  <c r="AP208" i="2" s="1"/>
  <c r="J53" i="8"/>
  <c r="K53" i="8"/>
  <c r="I53" i="8"/>
  <c r="H53" i="8"/>
  <c r="L53" i="8"/>
  <c r="AD44" i="8"/>
  <c r="AB44" i="8"/>
  <c r="AC44" i="8"/>
  <c r="AA44" i="8"/>
  <c r="J118" i="8"/>
  <c r="I118" i="8"/>
  <c r="L118" i="8"/>
  <c r="H118" i="8"/>
  <c r="K118" i="8"/>
  <c r="AD118" i="8"/>
  <c r="AA118" i="8"/>
  <c r="AC118" i="8"/>
  <c r="AB118" i="8"/>
  <c r="AM1381" i="2"/>
  <c r="AM1379" i="2"/>
  <c r="AM2192" i="2"/>
  <c r="AE964" i="2"/>
  <c r="AE1885" i="2"/>
  <c r="AD724" i="2"/>
  <c r="AM724" i="2" s="1"/>
  <c r="AD20" i="2"/>
  <c r="AM20" i="2" s="1"/>
  <c r="AJ110" i="2"/>
  <c r="AF110" i="2"/>
  <c r="AJ16" i="2"/>
  <c r="AF16" i="2"/>
  <c r="AN16" i="2" s="1"/>
  <c r="K157" i="8"/>
  <c r="H157" i="8"/>
  <c r="J157" i="8"/>
  <c r="I157" i="8"/>
  <c r="L157" i="8"/>
  <c r="AD157" i="8"/>
  <c r="AC157" i="8"/>
  <c r="AB157" i="8"/>
  <c r="AA157" i="8"/>
  <c r="H115" i="8"/>
  <c r="K115" i="8"/>
  <c r="I115" i="8"/>
  <c r="J115" i="8"/>
  <c r="L115" i="8"/>
  <c r="AD45" i="8"/>
  <c r="AA45" i="8"/>
  <c r="AC45" i="8"/>
  <c r="AB45" i="8"/>
  <c r="I98" i="8"/>
  <c r="H98" i="8"/>
  <c r="L98" i="8"/>
  <c r="K98" i="8"/>
  <c r="J98" i="8"/>
  <c r="J42" i="8"/>
  <c r="H42" i="8"/>
  <c r="I42" i="8"/>
  <c r="L42" i="8"/>
  <c r="K42" i="8"/>
  <c r="AL58" i="2"/>
  <c r="AH58" i="2"/>
  <c r="AP58" i="2" s="1"/>
  <c r="AL166" i="2"/>
  <c r="AH166" i="2"/>
  <c r="AP166" i="2" s="1"/>
  <c r="AL19" i="2"/>
  <c r="AH19" i="2"/>
  <c r="AP19" i="2" s="1"/>
  <c r="L86" i="8"/>
  <c r="K86" i="8"/>
  <c r="J86" i="8"/>
  <c r="H86" i="8"/>
  <c r="I86" i="8"/>
  <c r="AD97" i="8"/>
  <c r="AC97" i="8"/>
  <c r="AB97" i="8"/>
  <c r="AA97" i="8"/>
  <c r="H34" i="8"/>
  <c r="I34" i="8"/>
  <c r="J34" i="8"/>
  <c r="K34" i="8"/>
  <c r="L34" i="8"/>
  <c r="AK126" i="2"/>
  <c r="AG126" i="2"/>
  <c r="AH85" i="2"/>
  <c r="AP85" i="2" s="1"/>
  <c r="AL85" i="2"/>
  <c r="AD78" i="8"/>
  <c r="AC78" i="8"/>
  <c r="AB78" i="8"/>
  <c r="AA78" i="8"/>
  <c r="J95" i="8"/>
  <c r="I95" i="8"/>
  <c r="K95" i="8"/>
  <c r="H95" i="8"/>
  <c r="L95" i="8"/>
  <c r="AK179" i="2"/>
  <c r="AG179" i="2"/>
  <c r="J85" i="8"/>
  <c r="K85" i="8"/>
  <c r="I85" i="8"/>
  <c r="H85" i="8"/>
  <c r="L85" i="8"/>
  <c r="AD83" i="8"/>
  <c r="AA83" i="8"/>
  <c r="AB83" i="8"/>
  <c r="AC83" i="8"/>
  <c r="I137" i="8"/>
  <c r="H137" i="8"/>
  <c r="L137" i="8"/>
  <c r="K137" i="8"/>
  <c r="J137" i="8"/>
  <c r="L144" i="8"/>
  <c r="H144" i="8"/>
  <c r="I144" i="8"/>
  <c r="K144" i="8"/>
  <c r="J144" i="8"/>
  <c r="L150" i="8"/>
  <c r="J150" i="8"/>
  <c r="I150" i="8"/>
  <c r="K150" i="8"/>
  <c r="H150" i="8"/>
  <c r="AH36" i="2"/>
  <c r="AP36" i="2" s="1"/>
  <c r="AL36" i="2"/>
  <c r="AL44" i="2"/>
  <c r="AH44" i="2"/>
  <c r="AP44" i="2" s="1"/>
  <c r="J189" i="8"/>
  <c r="L189" i="8"/>
  <c r="H189" i="8"/>
  <c r="I189" i="8"/>
  <c r="K189" i="8"/>
  <c r="AD138" i="8"/>
  <c r="AC138" i="8"/>
  <c r="AB138" i="8"/>
  <c r="AA138" i="8"/>
  <c r="I67" i="8"/>
  <c r="K67" i="8"/>
  <c r="J67" i="8"/>
  <c r="L67" i="8"/>
  <c r="H67" i="8"/>
  <c r="I142" i="8"/>
  <c r="L142" i="8"/>
  <c r="J142" i="8"/>
  <c r="K142" i="8"/>
  <c r="H142" i="8"/>
  <c r="AK159" i="2"/>
  <c r="AG159" i="2"/>
  <c r="AJ78" i="2"/>
  <c r="AD78" i="2"/>
  <c r="L181" i="8"/>
  <c r="K181" i="8"/>
  <c r="H181" i="8"/>
  <c r="I181" i="8"/>
  <c r="J181" i="8"/>
  <c r="I196" i="8"/>
  <c r="K196" i="8"/>
  <c r="L196" i="8"/>
  <c r="J196" i="8"/>
  <c r="H196" i="8"/>
  <c r="J121" i="8"/>
  <c r="H121" i="8"/>
  <c r="K121" i="8"/>
  <c r="L121" i="8"/>
  <c r="I121" i="8"/>
  <c r="AD192" i="8"/>
  <c r="AA192" i="8"/>
  <c r="AB192" i="8"/>
  <c r="AC192" i="8"/>
  <c r="AL200" i="2"/>
  <c r="AH200" i="2"/>
  <c r="AP200" i="2" s="1"/>
  <c r="AL142" i="2"/>
  <c r="AH142" i="2"/>
  <c r="AP142" i="2" s="1"/>
  <c r="AH101" i="2"/>
  <c r="AP101" i="2" s="1"/>
  <c r="AL101" i="2"/>
  <c r="AD188" i="8"/>
  <c r="AA188" i="8"/>
  <c r="AC188" i="8"/>
  <c r="AB188" i="8"/>
  <c r="I62" i="8"/>
  <c r="L62" i="8"/>
  <c r="J62" i="8"/>
  <c r="K62" i="8"/>
  <c r="H62" i="8"/>
  <c r="J131" i="8"/>
  <c r="I131" i="8"/>
  <c r="H131" i="8"/>
  <c r="L131" i="8"/>
  <c r="K131" i="8"/>
  <c r="AD122" i="8"/>
  <c r="AB122" i="8"/>
  <c r="AA122" i="8"/>
  <c r="AC122" i="8"/>
  <c r="J51" i="8"/>
  <c r="K51" i="8"/>
  <c r="H51" i="8"/>
  <c r="L51" i="8"/>
  <c r="I51" i="8"/>
  <c r="AD190" i="8"/>
  <c r="AA190" i="8"/>
  <c r="AC190" i="8"/>
  <c r="AB190" i="8"/>
  <c r="I64" i="8"/>
  <c r="L64" i="8"/>
  <c r="J64" i="8"/>
  <c r="K64" i="8"/>
  <c r="H64" i="8"/>
  <c r="AH29" i="2"/>
  <c r="AP29" i="2" s="1"/>
  <c r="AL29" i="2"/>
  <c r="AJ208" i="2"/>
  <c r="AF208" i="2"/>
  <c r="J102" i="8"/>
  <c r="K102" i="8"/>
  <c r="H102" i="8"/>
  <c r="L102" i="8"/>
  <c r="I102" i="8"/>
  <c r="K180" i="8"/>
  <c r="L180" i="8"/>
  <c r="J180" i="8"/>
  <c r="H180" i="8"/>
  <c r="I180" i="8"/>
  <c r="AD116" i="8"/>
  <c r="AC116" i="8"/>
  <c r="AB116" i="8"/>
  <c r="AA116" i="8"/>
  <c r="L114" i="8"/>
  <c r="J114" i="8"/>
  <c r="H114" i="8"/>
  <c r="K114" i="8"/>
  <c r="I114" i="8"/>
  <c r="AD114" i="8"/>
  <c r="AA114" i="8"/>
  <c r="AC114" i="8"/>
  <c r="AB114" i="8"/>
  <c r="K169" i="8"/>
  <c r="L169" i="8"/>
  <c r="J169" i="8"/>
  <c r="I169" i="8"/>
  <c r="H169" i="8"/>
  <c r="J176" i="8"/>
  <c r="L176" i="8"/>
  <c r="I176" i="8"/>
  <c r="K176" i="8"/>
  <c r="H176" i="8"/>
  <c r="AD182" i="8"/>
  <c r="AB182" i="8"/>
  <c r="AA182" i="8"/>
  <c r="AC182" i="8"/>
  <c r="AL10" i="2"/>
  <c r="AH10" i="2"/>
  <c r="AP10" i="2" s="1"/>
  <c r="AD532" i="2"/>
  <c r="AM532" i="2" s="1"/>
  <c r="AD500" i="2"/>
  <c r="AD396" i="2"/>
  <c r="AL148" i="2"/>
  <c r="AH148" i="2"/>
  <c r="AP148" i="2" s="1"/>
  <c r="AL182" i="2"/>
  <c r="AH182" i="2"/>
  <c r="AP182" i="2" s="1"/>
  <c r="AD115" i="8"/>
  <c r="AC115" i="8"/>
  <c r="AA115" i="8"/>
  <c r="AB115" i="8"/>
  <c r="K36" i="8"/>
  <c r="I36" i="8"/>
  <c r="H36" i="8"/>
  <c r="J36" i="8"/>
  <c r="L36" i="8"/>
  <c r="AD35" i="8"/>
  <c r="AA35" i="8"/>
  <c r="AB35" i="8"/>
  <c r="AC35" i="8"/>
  <c r="AG58" i="2"/>
  <c r="AO58" i="2" s="1"/>
  <c r="AK58" i="2"/>
  <c r="AF166" i="2"/>
  <c r="AJ166" i="2"/>
  <c r="AJ82" i="2"/>
  <c r="AD82" i="2"/>
  <c r="AK19" i="2"/>
  <c r="AG19" i="2"/>
  <c r="J38" i="8"/>
  <c r="K38" i="8"/>
  <c r="H38" i="8"/>
  <c r="I38" i="8"/>
  <c r="L38" i="8"/>
  <c r="AD37" i="8"/>
  <c r="AC37" i="8"/>
  <c r="AB37" i="8"/>
  <c r="AA37" i="8"/>
  <c r="AD160" i="8"/>
  <c r="AA160" i="8"/>
  <c r="AB160" i="8"/>
  <c r="AC160" i="8"/>
  <c r="I97" i="8"/>
  <c r="J97" i="8"/>
  <c r="L97" i="8"/>
  <c r="K97" i="8"/>
  <c r="H97" i="8"/>
  <c r="AL157" i="2"/>
  <c r="AH157" i="2"/>
  <c r="AP157" i="2" s="1"/>
  <c r="AF85" i="2"/>
  <c r="AJ85" i="2"/>
  <c r="J141" i="8"/>
  <c r="H141" i="8"/>
  <c r="L141" i="8"/>
  <c r="K141" i="8"/>
  <c r="I141" i="8"/>
  <c r="AD141" i="8"/>
  <c r="AA141" i="8"/>
  <c r="AC141" i="8"/>
  <c r="AB141" i="8"/>
  <c r="I92" i="8"/>
  <c r="K92" i="8"/>
  <c r="J92" i="8"/>
  <c r="H92" i="8"/>
  <c r="L92" i="8"/>
  <c r="AL145" i="2"/>
  <c r="AH145" i="2"/>
  <c r="AP145" i="2" s="1"/>
  <c r="K70" i="8"/>
  <c r="L70" i="8"/>
  <c r="H70" i="8"/>
  <c r="J70" i="8"/>
  <c r="I70" i="8"/>
  <c r="AD70" i="8"/>
  <c r="AA70" i="8"/>
  <c r="AC70" i="8"/>
  <c r="AB70" i="8"/>
  <c r="L148" i="8"/>
  <c r="K148" i="8"/>
  <c r="H148" i="8"/>
  <c r="J148" i="8"/>
  <c r="I148" i="8"/>
  <c r="J155" i="8"/>
  <c r="I155" i="8"/>
  <c r="H155" i="8"/>
  <c r="K155" i="8"/>
  <c r="L155" i="8"/>
  <c r="AD146" i="8"/>
  <c r="AC146" i="8"/>
  <c r="AB146" i="8"/>
  <c r="AA146" i="8"/>
  <c r="AD81" i="8"/>
  <c r="AB81" i="8"/>
  <c r="AA81" i="8"/>
  <c r="AC81" i="8"/>
  <c r="AG36" i="2"/>
  <c r="AK36" i="2"/>
  <c r="AK44" i="2"/>
  <c r="AG44" i="2"/>
  <c r="AD63" i="8"/>
  <c r="AC63" i="8"/>
  <c r="AB63" i="8"/>
  <c r="AA63" i="8"/>
  <c r="J136" i="8"/>
  <c r="L136" i="8"/>
  <c r="I136" i="8"/>
  <c r="H136" i="8"/>
  <c r="K136" i="8"/>
  <c r="L73" i="8"/>
  <c r="K73" i="8"/>
  <c r="J73" i="8"/>
  <c r="H73" i="8"/>
  <c r="I73" i="8"/>
  <c r="AD73" i="8"/>
  <c r="AC73" i="8"/>
  <c r="AB73" i="8"/>
  <c r="AA73" i="8"/>
  <c r="AL42" i="2"/>
  <c r="AH42" i="2"/>
  <c r="AP42" i="2" s="1"/>
  <c r="AD69" i="8"/>
  <c r="AA69" i="8"/>
  <c r="AB69" i="8"/>
  <c r="AC69" i="8"/>
  <c r="AD139" i="8"/>
  <c r="AB139" i="8"/>
  <c r="AA139" i="8"/>
  <c r="AC139" i="8"/>
  <c r="AD68" i="8"/>
  <c r="AA68" i="8"/>
  <c r="AC68" i="8"/>
  <c r="AB68" i="8"/>
  <c r="AD59" i="8"/>
  <c r="AB59" i="8"/>
  <c r="AA59" i="8"/>
  <c r="AC59" i="8"/>
  <c r="K71" i="8"/>
  <c r="L71" i="8"/>
  <c r="J71" i="8"/>
  <c r="H71" i="8"/>
  <c r="I71" i="8"/>
  <c r="AF200" i="2"/>
  <c r="AN200" i="2" s="1"/>
  <c r="AJ200" i="2"/>
  <c r="AF142" i="2"/>
  <c r="AJ142" i="2"/>
  <c r="AF101" i="2"/>
  <c r="AN101" i="2" s="1"/>
  <c r="AJ101" i="2"/>
  <c r="AD47" i="8"/>
  <c r="AC47" i="8"/>
  <c r="AA47" i="8"/>
  <c r="AB47" i="8"/>
  <c r="AD186" i="8"/>
  <c r="AC186" i="8"/>
  <c r="AB186" i="8"/>
  <c r="AA186" i="8"/>
  <c r="I120" i="8"/>
  <c r="J120" i="8"/>
  <c r="L120" i="8"/>
  <c r="H120" i="8"/>
  <c r="K120" i="8"/>
  <c r="AD58" i="8"/>
  <c r="AA58" i="8"/>
  <c r="AC58" i="8"/>
  <c r="AB58" i="8"/>
  <c r="H126" i="8"/>
  <c r="J126" i="8"/>
  <c r="I126" i="8"/>
  <c r="L126" i="8"/>
  <c r="K126" i="8"/>
  <c r="AJ29" i="2"/>
  <c r="AF29" i="2"/>
  <c r="AN29" i="2" s="1"/>
  <c r="AD29" i="2"/>
  <c r="AL47" i="2"/>
  <c r="AH47" i="2"/>
  <c r="AP47" i="2" s="1"/>
  <c r="AH35" i="2"/>
  <c r="AP35" i="2" s="1"/>
  <c r="AL35" i="2"/>
  <c r="AD180" i="8"/>
  <c r="AA180" i="8"/>
  <c r="AB180" i="8"/>
  <c r="AC180" i="8"/>
  <c r="J187" i="8"/>
  <c r="H187" i="8"/>
  <c r="I187" i="8"/>
  <c r="L187" i="8"/>
  <c r="K187" i="8"/>
  <c r="AD178" i="8"/>
  <c r="AA178" i="8"/>
  <c r="AC178" i="8"/>
  <c r="AB178" i="8"/>
  <c r="AD50" i="8"/>
  <c r="AC50" i="8"/>
  <c r="AB50" i="8"/>
  <c r="AA50" i="8"/>
  <c r="AF10" i="2"/>
  <c r="AN10" i="2" s="1"/>
  <c r="AJ10" i="2"/>
  <c r="AM1315" i="2"/>
  <c r="AM1180" i="2"/>
  <c r="AM2350" i="2"/>
  <c r="AM1550" i="2"/>
  <c r="AM1858" i="2"/>
  <c r="AM1666" i="2"/>
  <c r="AM1156" i="2"/>
  <c r="AM1297" i="2"/>
  <c r="AM338" i="2"/>
  <c r="AM1581" i="2"/>
  <c r="AD276" i="2"/>
  <c r="AM1351" i="2"/>
  <c r="AE2166" i="2"/>
  <c r="AD684" i="2"/>
  <c r="AE684" i="2" s="1"/>
  <c r="AD460" i="2"/>
  <c r="AM460" i="2" s="1"/>
  <c r="AD244" i="2"/>
  <c r="AE244" i="2" s="1"/>
  <c r="AG148" i="2"/>
  <c r="AK148" i="2"/>
  <c r="AK182" i="2"/>
  <c r="AG182" i="2"/>
  <c r="J108" i="8"/>
  <c r="H108" i="8"/>
  <c r="K108" i="8"/>
  <c r="I108" i="8"/>
  <c r="L108" i="8"/>
  <c r="AD179" i="8"/>
  <c r="AB179" i="8"/>
  <c r="AC179" i="8"/>
  <c r="AA179" i="8"/>
  <c r="J45" i="8"/>
  <c r="L45" i="8"/>
  <c r="K45" i="8"/>
  <c r="H45" i="8"/>
  <c r="I45" i="8"/>
  <c r="J174" i="8"/>
  <c r="I174" i="8"/>
  <c r="K174" i="8"/>
  <c r="L174" i="8"/>
  <c r="H174" i="8"/>
  <c r="J48" i="8"/>
  <c r="L48" i="8"/>
  <c r="K48" i="8"/>
  <c r="I48" i="8"/>
  <c r="H48" i="8"/>
  <c r="AL214" i="2"/>
  <c r="AH214" i="2"/>
  <c r="AP214" i="2" s="1"/>
  <c r="AL186" i="2"/>
  <c r="AH186" i="2"/>
  <c r="AP186" i="2" s="1"/>
  <c r="AD100" i="8"/>
  <c r="AA100" i="8"/>
  <c r="AC100" i="8"/>
  <c r="AB100" i="8"/>
  <c r="J99" i="8"/>
  <c r="I99" i="8"/>
  <c r="H99" i="8"/>
  <c r="K99" i="8"/>
  <c r="L99" i="8"/>
  <c r="AF157" i="2"/>
  <c r="AJ157" i="2"/>
  <c r="AH60" i="2"/>
  <c r="AP60" i="2" s="1"/>
  <c r="AL60" i="2"/>
  <c r="AD163" i="8"/>
  <c r="AB163" i="8"/>
  <c r="AA163" i="8"/>
  <c r="AC163" i="8"/>
  <c r="AD82" i="8"/>
  <c r="AA82" i="8"/>
  <c r="AC82" i="8"/>
  <c r="AB82" i="8"/>
  <c r="K89" i="8"/>
  <c r="J89" i="8"/>
  <c r="I89" i="8"/>
  <c r="H89" i="8"/>
  <c r="L89" i="8"/>
  <c r="AG145" i="2"/>
  <c r="AK145" i="2"/>
  <c r="K197" i="8"/>
  <c r="L197" i="8"/>
  <c r="H197" i="8"/>
  <c r="I197" i="8"/>
  <c r="J197" i="8"/>
  <c r="AD133" i="8"/>
  <c r="AC133" i="8"/>
  <c r="AA133" i="8"/>
  <c r="AB133" i="8"/>
  <c r="I83" i="8"/>
  <c r="H83" i="8"/>
  <c r="L83" i="8"/>
  <c r="J83" i="8"/>
  <c r="K83" i="8"/>
  <c r="AD144" i="8"/>
  <c r="AB144" i="8"/>
  <c r="AA144" i="8"/>
  <c r="AC144" i="8"/>
  <c r="AL210" i="2"/>
  <c r="AH210" i="2"/>
  <c r="AP210" i="2" s="1"/>
  <c r="AL21" i="2"/>
  <c r="AH21" i="2"/>
  <c r="AP21" i="2" s="1"/>
  <c r="AH98" i="2"/>
  <c r="AP98" i="2" s="1"/>
  <c r="AL98" i="2"/>
  <c r="AD125" i="8"/>
  <c r="AA125" i="8"/>
  <c r="AB125" i="8"/>
  <c r="AC125" i="8"/>
  <c r="K140" i="8"/>
  <c r="L140" i="8"/>
  <c r="I140" i="8"/>
  <c r="J140" i="8"/>
  <c r="H140" i="8"/>
  <c r="AD76" i="8"/>
  <c r="AA76" i="8"/>
  <c r="AC76" i="8"/>
  <c r="AB76" i="8"/>
  <c r="J75" i="8"/>
  <c r="L75" i="8"/>
  <c r="H75" i="8"/>
  <c r="I75" i="8"/>
  <c r="K75" i="8"/>
  <c r="I129" i="8"/>
  <c r="H129" i="8"/>
  <c r="L129" i="8"/>
  <c r="K129" i="8"/>
  <c r="J129" i="8"/>
  <c r="AG42" i="2"/>
  <c r="AK42" i="2"/>
  <c r="AD132" i="8"/>
  <c r="AB132" i="8"/>
  <c r="AC132" i="8"/>
  <c r="AA132" i="8"/>
  <c r="J185" i="8"/>
  <c r="K185" i="8"/>
  <c r="I185" i="8"/>
  <c r="L185" i="8"/>
  <c r="H185" i="8"/>
  <c r="AD121" i="8"/>
  <c r="AA121" i="8"/>
  <c r="AC121" i="8"/>
  <c r="AB121" i="8"/>
  <c r="K128" i="8"/>
  <c r="J128" i="8"/>
  <c r="L128" i="8"/>
  <c r="H128" i="8"/>
  <c r="I128" i="8"/>
  <c r="AD71" i="8"/>
  <c r="AC71" i="8"/>
  <c r="AB71" i="8"/>
  <c r="AA71" i="8"/>
  <c r="AL87" i="2"/>
  <c r="AH87" i="2"/>
  <c r="AP87" i="2" s="1"/>
  <c r="K173" i="8"/>
  <c r="J173" i="8"/>
  <c r="L173" i="8"/>
  <c r="H173" i="8"/>
  <c r="I173" i="8"/>
  <c r="AD109" i="8"/>
  <c r="AA109" i="8"/>
  <c r="AC109" i="8"/>
  <c r="AB109" i="8"/>
  <c r="K188" i="8"/>
  <c r="I188" i="8"/>
  <c r="L188" i="8"/>
  <c r="J188" i="8"/>
  <c r="H188" i="8"/>
  <c r="K52" i="8"/>
  <c r="I52" i="8"/>
  <c r="J52" i="8"/>
  <c r="H52" i="8"/>
  <c r="L52" i="8"/>
  <c r="K177" i="8"/>
  <c r="J177" i="8"/>
  <c r="H177" i="8"/>
  <c r="L177" i="8"/>
  <c r="I177" i="8"/>
  <c r="AD120" i="8"/>
  <c r="AB120" i="8"/>
  <c r="AA120" i="8"/>
  <c r="AC120" i="8"/>
  <c r="AK47" i="2"/>
  <c r="AG47" i="2"/>
  <c r="AG35" i="2"/>
  <c r="AK35" i="2"/>
  <c r="AD39" i="8"/>
  <c r="AC39" i="8"/>
  <c r="AB39" i="8"/>
  <c r="AA39" i="8"/>
  <c r="AD53" i="8"/>
  <c r="AC53" i="8"/>
  <c r="AA53" i="8"/>
  <c r="AB53" i="8"/>
  <c r="I44" i="8"/>
  <c r="J44" i="8"/>
  <c r="H44" i="8"/>
  <c r="L44" i="8"/>
  <c r="K44" i="8"/>
  <c r="J112" i="8"/>
  <c r="H112" i="8"/>
  <c r="L112" i="8"/>
  <c r="K112" i="8"/>
  <c r="I112" i="8"/>
  <c r="AD112" i="8"/>
  <c r="AB112" i="8"/>
  <c r="AA112" i="8"/>
  <c r="AC112" i="8"/>
  <c r="AL53" i="2"/>
  <c r="AH53" i="2"/>
  <c r="AP53" i="2" s="1"/>
  <c r="AD46" i="8"/>
  <c r="AA46" i="8"/>
  <c r="AB46" i="8"/>
  <c r="AC46" i="8"/>
  <c r="AD98" i="8"/>
  <c r="AC98" i="8"/>
  <c r="AB98" i="8"/>
  <c r="AA98" i="8"/>
  <c r="J35" i="8"/>
  <c r="H35" i="8"/>
  <c r="K35" i="8"/>
  <c r="I35" i="8"/>
  <c r="L35" i="8"/>
  <c r="L105" i="8"/>
  <c r="H105" i="8"/>
  <c r="I105" i="8"/>
  <c r="K105" i="8"/>
  <c r="J105" i="8"/>
  <c r="AF214" i="2"/>
  <c r="AN214" i="2" s="1"/>
  <c r="AJ214" i="2"/>
  <c r="AJ186" i="2"/>
  <c r="AF186" i="2"/>
  <c r="AN186" i="2" s="1"/>
  <c r="AD171" i="8"/>
  <c r="AA171" i="8"/>
  <c r="AB171" i="8"/>
  <c r="AC171" i="8"/>
  <c r="K100" i="8"/>
  <c r="L100" i="8"/>
  <c r="I100" i="8"/>
  <c r="J100" i="8"/>
  <c r="H100" i="8"/>
  <c r="AD90" i="8"/>
  <c r="AB90" i="8"/>
  <c r="AC90" i="8"/>
  <c r="AA90" i="8"/>
  <c r="H160" i="8"/>
  <c r="J160" i="8"/>
  <c r="I160" i="8"/>
  <c r="K160" i="8"/>
  <c r="L160" i="8"/>
  <c r="AL192" i="2"/>
  <c r="AH192" i="2"/>
  <c r="AP192" i="2" s="1"/>
  <c r="AJ60" i="2"/>
  <c r="AF60" i="2"/>
  <c r="J163" i="8"/>
  <c r="H163" i="8"/>
  <c r="L163" i="8"/>
  <c r="K163" i="8"/>
  <c r="I163" i="8"/>
  <c r="AD145" i="8"/>
  <c r="AB145" i="8"/>
  <c r="AA145" i="8"/>
  <c r="AC145" i="8"/>
  <c r="AD95" i="8"/>
  <c r="AA95" i="8"/>
  <c r="AB95" i="8"/>
  <c r="AC95" i="8"/>
  <c r="AL181" i="2"/>
  <c r="AH181" i="2"/>
  <c r="AP181" i="2" s="1"/>
  <c r="AD197" i="8"/>
  <c r="AC197" i="8"/>
  <c r="AB197" i="8"/>
  <c r="AA197" i="8"/>
  <c r="L133" i="8"/>
  <c r="J133" i="8"/>
  <c r="H133" i="8"/>
  <c r="K133" i="8"/>
  <c r="I133" i="8"/>
  <c r="AD84" i="8"/>
  <c r="AA84" i="8"/>
  <c r="AC84" i="8"/>
  <c r="AB84" i="8"/>
  <c r="K74" i="8"/>
  <c r="L74" i="8"/>
  <c r="H74" i="8"/>
  <c r="I74" i="8"/>
  <c r="J74" i="8"/>
  <c r="L81" i="8"/>
  <c r="H81" i="8"/>
  <c r="J81" i="8"/>
  <c r="I81" i="8"/>
  <c r="K81" i="8"/>
  <c r="AG210" i="2"/>
  <c r="AK210" i="2"/>
  <c r="AK21" i="2"/>
  <c r="AG21" i="2"/>
  <c r="AK98" i="2"/>
  <c r="AG98" i="2"/>
  <c r="AD189" i="8"/>
  <c r="AC189" i="8"/>
  <c r="AB189" i="8"/>
  <c r="AA189" i="8"/>
  <c r="AD147" i="8"/>
  <c r="AA147" i="8"/>
  <c r="AB147" i="8"/>
  <c r="AC147" i="8"/>
  <c r="L138" i="8"/>
  <c r="I138" i="8"/>
  <c r="H138" i="8"/>
  <c r="K138" i="8"/>
  <c r="J138" i="8"/>
  <c r="I193" i="8"/>
  <c r="L193" i="8"/>
  <c r="H193" i="8"/>
  <c r="J193" i="8"/>
  <c r="K193" i="8"/>
  <c r="AL143" i="2"/>
  <c r="AH143" i="2"/>
  <c r="AP143" i="2" s="1"/>
  <c r="K117" i="8"/>
  <c r="J117" i="8"/>
  <c r="I117" i="8"/>
  <c r="L117" i="8"/>
  <c r="H117" i="8"/>
  <c r="AD196" i="8"/>
  <c r="AB196" i="8"/>
  <c r="AC196" i="8"/>
  <c r="AA196" i="8"/>
  <c r="C4" i="8"/>
  <c r="C5" i="8" s="1"/>
  <c r="D4" i="8"/>
  <c r="K68" i="8"/>
  <c r="I68" i="8"/>
  <c r="H68" i="8"/>
  <c r="L68" i="8"/>
  <c r="J68" i="8"/>
  <c r="L60" i="8"/>
  <c r="K60" i="8"/>
  <c r="J60" i="8"/>
  <c r="I60" i="8"/>
  <c r="H60" i="8"/>
  <c r="AD185" i="8"/>
  <c r="AC185" i="8"/>
  <c r="AB185" i="8"/>
  <c r="AA185" i="8"/>
  <c r="I192" i="8"/>
  <c r="L192" i="8"/>
  <c r="K192" i="8"/>
  <c r="H192" i="8"/>
  <c r="J192" i="8"/>
  <c r="I198" i="8"/>
  <c r="L198" i="8"/>
  <c r="H198" i="8"/>
  <c r="J198" i="8"/>
  <c r="K198" i="8"/>
  <c r="AD134" i="8"/>
  <c r="AB134" i="8"/>
  <c r="AA134" i="8"/>
  <c r="AC134" i="8"/>
  <c r="AG87" i="2"/>
  <c r="AK87" i="2"/>
  <c r="AD173" i="8"/>
  <c r="AC173" i="8"/>
  <c r="AB173" i="8"/>
  <c r="AA173" i="8"/>
  <c r="H109" i="8"/>
  <c r="L109" i="8"/>
  <c r="J109" i="8"/>
  <c r="I109" i="8"/>
  <c r="K109" i="8"/>
  <c r="J124" i="8"/>
  <c r="L124" i="8"/>
  <c r="H124" i="8"/>
  <c r="I124" i="8"/>
  <c r="K124" i="8"/>
  <c r="AD184" i="8"/>
  <c r="AB184" i="8"/>
  <c r="AA184" i="8"/>
  <c r="AC184" i="8"/>
  <c r="AL204" i="2"/>
  <c r="AH204" i="2"/>
  <c r="AP204" i="2" s="1"/>
  <c r="AL184" i="2"/>
  <c r="AH184" i="2"/>
  <c r="AP184" i="2" s="1"/>
  <c r="AD102" i="8"/>
  <c r="AC102" i="8"/>
  <c r="AB102" i="8"/>
  <c r="AA102" i="8"/>
  <c r="AD123" i="8"/>
  <c r="AA123" i="8"/>
  <c r="AB123" i="8"/>
  <c r="AC123" i="8"/>
  <c r="I106" i="8"/>
  <c r="K106" i="8"/>
  <c r="L106" i="8"/>
  <c r="J106" i="8"/>
  <c r="H106" i="8"/>
  <c r="AD176" i="8"/>
  <c r="AA176" i="8"/>
  <c r="AB176" i="8"/>
  <c r="AC176" i="8"/>
  <c r="H182" i="8"/>
  <c r="K182" i="8"/>
  <c r="I182" i="8"/>
  <c r="L182" i="8"/>
  <c r="J182" i="8"/>
  <c r="AM2114" i="2"/>
  <c r="AM1205" i="2"/>
  <c r="AM2230" i="2"/>
  <c r="AD252" i="2"/>
  <c r="AE252" i="2" s="1"/>
  <c r="AD588" i="2"/>
  <c r="AE588" i="2" s="1"/>
  <c r="AM393" i="2"/>
  <c r="AM872" i="2"/>
  <c r="AD548" i="2"/>
  <c r="AG53" i="2"/>
  <c r="AK53" i="2"/>
  <c r="AD108" i="8"/>
  <c r="AA108" i="8"/>
  <c r="AC108" i="8"/>
  <c r="AB108" i="8"/>
  <c r="K179" i="8"/>
  <c r="H179" i="8"/>
  <c r="J179" i="8"/>
  <c r="I179" i="8"/>
  <c r="L179" i="8"/>
  <c r="H107" i="8"/>
  <c r="K107" i="8"/>
  <c r="I107" i="8"/>
  <c r="L107" i="8"/>
  <c r="J107" i="8"/>
  <c r="AD161" i="8"/>
  <c r="AA161" i="8"/>
  <c r="AB161" i="8"/>
  <c r="AC161" i="8"/>
  <c r="AL74" i="2"/>
  <c r="AH74" i="2"/>
  <c r="AP74" i="2" s="1"/>
  <c r="AL111" i="2"/>
  <c r="AH111" i="2"/>
  <c r="AP111" i="2" s="1"/>
  <c r="AL7" i="2"/>
  <c r="AH7" i="2"/>
  <c r="AP7" i="2" s="1"/>
  <c r="AL65" i="2"/>
  <c r="AH65" i="2"/>
  <c r="AP65" i="2" s="1"/>
  <c r="AD38" i="8"/>
  <c r="AC38" i="8"/>
  <c r="AB38" i="8"/>
  <c r="AA38" i="8"/>
  <c r="AD153" i="8"/>
  <c r="AA153" i="8"/>
  <c r="AC153" i="8"/>
  <c r="AB153" i="8"/>
  <c r="J40" i="8"/>
  <c r="H40" i="8"/>
  <c r="K40" i="8"/>
  <c r="I40" i="8"/>
  <c r="L40" i="8"/>
  <c r="AD40" i="8"/>
  <c r="AC40" i="8"/>
  <c r="AA40" i="8"/>
  <c r="AB40" i="8"/>
  <c r="AJ192" i="2"/>
  <c r="AF192" i="2"/>
  <c r="AN192" i="2" s="1"/>
  <c r="AD192" i="2"/>
  <c r="AH100" i="2"/>
  <c r="AP100" i="2" s="1"/>
  <c r="AL100" i="2"/>
  <c r="I156" i="8"/>
  <c r="K156" i="8"/>
  <c r="L156" i="8"/>
  <c r="J156" i="8"/>
  <c r="H156" i="8"/>
  <c r="K152" i="8"/>
  <c r="I152" i="8"/>
  <c r="J152" i="8"/>
  <c r="H152" i="8"/>
  <c r="L152" i="8"/>
  <c r="AD158" i="8"/>
  <c r="AB158" i="8"/>
  <c r="AA158" i="8"/>
  <c r="AC158" i="8"/>
  <c r="AF181" i="2"/>
  <c r="AN181" i="2" s="1"/>
  <c r="AJ181" i="2"/>
  <c r="AJ135" i="2"/>
  <c r="AD135" i="2"/>
  <c r="AD155" i="8"/>
  <c r="AA155" i="8"/>
  <c r="AC155" i="8"/>
  <c r="AB155" i="8"/>
  <c r="AD74" i="8"/>
  <c r="AB74" i="8"/>
  <c r="AA74" i="8"/>
  <c r="AC74" i="8"/>
  <c r="AL156" i="2"/>
  <c r="AH156" i="2"/>
  <c r="AP156" i="2" s="1"/>
  <c r="AL86" i="2"/>
  <c r="AH86" i="2"/>
  <c r="AP86" i="2" s="1"/>
  <c r="AL99" i="2"/>
  <c r="AH99" i="2"/>
  <c r="AP99" i="2" s="1"/>
  <c r="H147" i="8"/>
  <c r="J147" i="8"/>
  <c r="I147" i="8"/>
  <c r="K147" i="8"/>
  <c r="L147" i="8"/>
  <c r="I76" i="8"/>
  <c r="K76" i="8"/>
  <c r="H76" i="8"/>
  <c r="L76" i="8"/>
  <c r="J76" i="8"/>
  <c r="AD67" i="8"/>
  <c r="AC67" i="8"/>
  <c r="AB67" i="8"/>
  <c r="AA67" i="8"/>
  <c r="AG143" i="2"/>
  <c r="AK143" i="2"/>
  <c r="AD55" i="8"/>
  <c r="AA55" i="8"/>
  <c r="AB55" i="8"/>
  <c r="AC55" i="8"/>
  <c r="J69" i="8"/>
  <c r="K69" i="8"/>
  <c r="I69" i="8"/>
  <c r="H69" i="8"/>
  <c r="L69" i="8"/>
  <c r="I194" i="8"/>
  <c r="K194" i="8"/>
  <c r="J194" i="8"/>
  <c r="L194" i="8"/>
  <c r="H194" i="8"/>
  <c r="I130" i="8"/>
  <c r="J130" i="8"/>
  <c r="K130" i="8"/>
  <c r="H130" i="8"/>
  <c r="L130" i="8"/>
  <c r="AD60" i="8"/>
  <c r="AC60" i="8"/>
  <c r="AB60" i="8"/>
  <c r="AA60" i="8"/>
  <c r="K59" i="8"/>
  <c r="H59" i="8"/>
  <c r="J59" i="8"/>
  <c r="L59" i="8"/>
  <c r="I59" i="8"/>
  <c r="H66" i="8"/>
  <c r="K66" i="8"/>
  <c r="L66" i="8"/>
  <c r="I66" i="8"/>
  <c r="J66" i="8"/>
  <c r="AL114" i="2"/>
  <c r="AH114" i="2"/>
  <c r="AP114" i="2" s="1"/>
  <c r="AD131" i="8"/>
  <c r="AC131" i="8"/>
  <c r="AB131" i="8"/>
  <c r="AA131" i="8"/>
  <c r="J61" i="8"/>
  <c r="K61" i="8"/>
  <c r="H61" i="8"/>
  <c r="L61" i="8"/>
  <c r="I61" i="8"/>
  <c r="J122" i="8"/>
  <c r="K122" i="8"/>
  <c r="H122" i="8"/>
  <c r="L122" i="8"/>
  <c r="I122" i="8"/>
  <c r="AD51" i="8"/>
  <c r="AA51" i="8"/>
  <c r="AB51" i="8"/>
  <c r="AC51" i="8"/>
  <c r="AG204" i="2"/>
  <c r="AK204" i="2"/>
  <c r="AG184" i="2"/>
  <c r="AK184" i="2"/>
  <c r="AD165" i="8"/>
  <c r="AC165" i="8"/>
  <c r="AB165" i="8"/>
  <c r="AA165" i="8"/>
  <c r="K116" i="8"/>
  <c r="J116" i="8"/>
  <c r="H116" i="8"/>
  <c r="L116" i="8"/>
  <c r="I116" i="8"/>
  <c r="AD43" i="8"/>
  <c r="AC43" i="8"/>
  <c r="AB43" i="8"/>
  <c r="AA43" i="8"/>
  <c r="K50" i="8"/>
  <c r="I50" i="8"/>
  <c r="J50" i="8"/>
  <c r="L50" i="8"/>
  <c r="H50" i="8"/>
  <c r="AM2421" i="2"/>
  <c r="AE2421" i="2"/>
  <c r="AM2354" i="2"/>
  <c r="AM2258" i="2"/>
  <c r="AM1207" i="2"/>
  <c r="AM2196" i="2"/>
  <c r="AM428" i="2"/>
  <c r="AM1518" i="2"/>
  <c r="AM2416" i="2"/>
  <c r="AD564" i="2"/>
  <c r="AE564" i="2" s="1"/>
  <c r="AD476" i="2"/>
  <c r="AE476" i="2" s="1"/>
  <c r="B59" i="13"/>
  <c r="AD260" i="2"/>
  <c r="AH18" i="2"/>
  <c r="AP18" i="2" s="1"/>
  <c r="AL18" i="2"/>
  <c r="J94" i="8"/>
  <c r="L94" i="8"/>
  <c r="K94" i="8"/>
  <c r="H94" i="8"/>
  <c r="I94" i="8"/>
  <c r="I172" i="8"/>
  <c r="H172" i="8"/>
  <c r="J172" i="8"/>
  <c r="L172" i="8"/>
  <c r="K172" i="8"/>
  <c r="AD172" i="8"/>
  <c r="AC172" i="8"/>
  <c r="AB172" i="8"/>
  <c r="AA172" i="8"/>
  <c r="AD36" i="8"/>
  <c r="AB36" i="8"/>
  <c r="AC36" i="8"/>
  <c r="AA36" i="8"/>
  <c r="K110" i="8"/>
  <c r="I110" i="8"/>
  <c r="L110" i="8"/>
  <c r="J110" i="8"/>
  <c r="H110" i="8"/>
  <c r="AK74" i="2"/>
  <c r="AG74" i="2"/>
  <c r="AJ111" i="2"/>
  <c r="AF111" i="2"/>
  <c r="AJ7" i="2"/>
  <c r="AF7" i="2"/>
  <c r="AF65" i="2"/>
  <c r="AJ65" i="2"/>
  <c r="K101" i="8"/>
  <c r="I101" i="8"/>
  <c r="H101" i="8"/>
  <c r="L101" i="8"/>
  <c r="J101" i="8"/>
  <c r="AD101" i="8"/>
  <c r="AB101" i="8"/>
  <c r="AA101" i="8"/>
  <c r="AC101" i="8"/>
  <c r="J37" i="8"/>
  <c r="K37" i="8"/>
  <c r="L37" i="8"/>
  <c r="H37" i="8"/>
  <c r="I37" i="8"/>
  <c r="K162" i="8"/>
  <c r="H162" i="8"/>
  <c r="L162" i="8"/>
  <c r="J162" i="8"/>
  <c r="I162" i="8"/>
  <c r="K90" i="8"/>
  <c r="I90" i="8"/>
  <c r="J90" i="8"/>
  <c r="H90" i="8"/>
  <c r="L90" i="8"/>
  <c r="I166" i="8"/>
  <c r="K166" i="8"/>
  <c r="J166" i="8"/>
  <c r="L166" i="8"/>
  <c r="H166" i="8"/>
  <c r="L103" i="8"/>
  <c r="K103" i="8"/>
  <c r="H103" i="8"/>
  <c r="I103" i="8"/>
  <c r="J103" i="8"/>
  <c r="AD103" i="8"/>
  <c r="AB103" i="8"/>
  <c r="AA103" i="8"/>
  <c r="AC103" i="8"/>
  <c r="AL187" i="2"/>
  <c r="AH187" i="2"/>
  <c r="AP187" i="2" s="1"/>
  <c r="AJ100" i="2"/>
  <c r="AF100" i="2"/>
  <c r="K93" i="8"/>
  <c r="I93" i="8"/>
  <c r="L93" i="8"/>
  <c r="H93" i="8"/>
  <c r="J93" i="8"/>
  <c r="AD93" i="8"/>
  <c r="AC93" i="8"/>
  <c r="AA93" i="8"/>
  <c r="AB93" i="8"/>
  <c r="AD91" i="8"/>
  <c r="AB91" i="8"/>
  <c r="AA91" i="8"/>
  <c r="AC91" i="8"/>
  <c r="J158" i="8"/>
  <c r="I158" i="8"/>
  <c r="H158" i="8"/>
  <c r="L158" i="8"/>
  <c r="K158" i="8"/>
  <c r="AL195" i="2"/>
  <c r="AH195" i="2"/>
  <c r="AP195" i="2" s="1"/>
  <c r="AD137" i="8"/>
  <c r="AA137" i="8"/>
  <c r="AC137" i="8"/>
  <c r="AB137" i="8"/>
  <c r="AG156" i="2"/>
  <c r="AK156" i="2"/>
  <c r="AJ86" i="2"/>
  <c r="AF86" i="2"/>
  <c r="AF99" i="2"/>
  <c r="AN99" i="2" s="1"/>
  <c r="AJ99" i="2"/>
  <c r="AD77" i="8"/>
  <c r="AB77" i="8"/>
  <c r="AC77" i="8"/>
  <c r="AA77" i="8"/>
  <c r="AD129" i="8"/>
  <c r="AA129" i="8"/>
  <c r="AB129" i="8"/>
  <c r="AC129" i="8"/>
  <c r="AD79" i="8"/>
  <c r="AC79" i="8"/>
  <c r="AB79" i="8"/>
  <c r="AA79" i="8"/>
  <c r="AL167" i="2"/>
  <c r="AH167" i="2"/>
  <c r="AP167" i="2" s="1"/>
  <c r="AL24" i="2"/>
  <c r="AH24" i="2"/>
  <c r="AP24" i="2" s="1"/>
  <c r="I55" i="8"/>
  <c r="J55" i="8"/>
  <c r="L55" i="8"/>
  <c r="K55" i="8"/>
  <c r="H55" i="8"/>
  <c r="I139" i="8"/>
  <c r="K139" i="8"/>
  <c r="J139" i="8"/>
  <c r="H139" i="8"/>
  <c r="L139" i="8"/>
  <c r="L134" i="8"/>
  <c r="K134" i="8"/>
  <c r="J134" i="8"/>
  <c r="I134" i="8"/>
  <c r="H134" i="8"/>
  <c r="AK114" i="2"/>
  <c r="AG114" i="2"/>
  <c r="J47" i="8"/>
  <c r="H47" i="8"/>
  <c r="I47" i="8"/>
  <c r="L47" i="8"/>
  <c r="K47" i="8"/>
  <c r="K195" i="8"/>
  <c r="I195" i="8"/>
  <c r="H195" i="8"/>
  <c r="J195" i="8"/>
  <c r="L195" i="8"/>
  <c r="AD195" i="8"/>
  <c r="AA195" i="8"/>
  <c r="AC195" i="8"/>
  <c r="AB195" i="8"/>
  <c r="I113" i="8"/>
  <c r="K113" i="8"/>
  <c r="L113" i="8"/>
  <c r="J113" i="8"/>
  <c r="H113" i="8"/>
  <c r="AD113" i="8"/>
  <c r="AC113" i="8"/>
  <c r="AB113" i="8"/>
  <c r="AA113" i="8"/>
  <c r="AL180" i="2"/>
  <c r="AH180" i="2"/>
  <c r="AP180" i="2" s="1"/>
  <c r="AL92" i="2"/>
  <c r="AH92" i="2"/>
  <c r="AP92" i="2" s="1"/>
  <c r="AL33" i="2"/>
  <c r="AH33" i="2"/>
  <c r="AP33" i="2" s="1"/>
  <c r="K123" i="8"/>
  <c r="L123" i="8"/>
  <c r="J123" i="8"/>
  <c r="H123" i="8"/>
  <c r="I123" i="8"/>
  <c r="AD106" i="8"/>
  <c r="AC106" i="8"/>
  <c r="AB106" i="8"/>
  <c r="AA106" i="8"/>
  <c r="J56" i="8"/>
  <c r="L56" i="8"/>
  <c r="K56" i="8"/>
  <c r="H56" i="8"/>
  <c r="I56" i="8"/>
  <c r="AD468" i="2"/>
  <c r="AM468" i="2" s="1"/>
  <c r="AD83" i="2"/>
  <c r="AE83" i="2" s="1"/>
  <c r="AK18" i="2"/>
  <c r="AG18" i="2"/>
  <c r="L170" i="8"/>
  <c r="K170" i="8"/>
  <c r="I170" i="8"/>
  <c r="H170" i="8"/>
  <c r="J170" i="8"/>
  <c r="AD107" i="8"/>
  <c r="AA107" i="8"/>
  <c r="AC107" i="8"/>
  <c r="AB107" i="8"/>
  <c r="AD105" i="8"/>
  <c r="AA105" i="8"/>
  <c r="AC105" i="8"/>
  <c r="AB105" i="8"/>
  <c r="AL146" i="2"/>
  <c r="AH146" i="2"/>
  <c r="AP146" i="2" s="1"/>
  <c r="AH43" i="2"/>
  <c r="AP43" i="2" s="1"/>
  <c r="AL43" i="2"/>
  <c r="AH8" i="2"/>
  <c r="AP8" i="2" s="1"/>
  <c r="AL8" i="2"/>
  <c r="AD164" i="8"/>
  <c r="AA164" i="8"/>
  <c r="AB164" i="8"/>
  <c r="AC164" i="8"/>
  <c r="H171" i="8"/>
  <c r="L171" i="8"/>
  <c r="I171" i="8"/>
  <c r="K171" i="8"/>
  <c r="J171" i="8"/>
  <c r="AD99" i="8"/>
  <c r="AC99" i="8"/>
  <c r="AA99" i="8"/>
  <c r="AB99" i="8"/>
  <c r="AD166" i="8"/>
  <c r="AB166" i="8"/>
  <c r="AC166" i="8"/>
  <c r="AA166" i="8"/>
  <c r="AG187" i="2"/>
  <c r="AK187" i="2"/>
  <c r="AL38" i="2"/>
  <c r="AH38" i="2"/>
  <c r="AP38" i="2" s="1"/>
  <c r="AD156" i="8"/>
  <c r="AB156" i="8"/>
  <c r="AA156" i="8"/>
  <c r="AC156" i="8"/>
  <c r="K154" i="8"/>
  <c r="H154" i="8"/>
  <c r="J154" i="8"/>
  <c r="I154" i="8"/>
  <c r="L154" i="8"/>
  <c r="AD154" i="8"/>
  <c r="AA154" i="8"/>
  <c r="AB154" i="8"/>
  <c r="AC154" i="8"/>
  <c r="AD89" i="8"/>
  <c r="AB89" i="8"/>
  <c r="AC89" i="8"/>
  <c r="AA89" i="8"/>
  <c r="AJ195" i="2"/>
  <c r="AF195" i="2"/>
  <c r="AN195" i="2" s="1"/>
  <c r="AD195" i="2"/>
  <c r="AD85" i="8"/>
  <c r="AC85" i="8"/>
  <c r="AB85" i="8"/>
  <c r="AA85" i="8"/>
  <c r="I146" i="8"/>
  <c r="H146" i="8"/>
  <c r="J146" i="8"/>
  <c r="L146" i="8"/>
  <c r="K146" i="8"/>
  <c r="AD87" i="8"/>
  <c r="AA87" i="8"/>
  <c r="AB87" i="8"/>
  <c r="AC87" i="8"/>
  <c r="AL109" i="2"/>
  <c r="AH109" i="2"/>
  <c r="AP109" i="2" s="1"/>
  <c r="AH46" i="2"/>
  <c r="AP46" i="2" s="1"/>
  <c r="AL46" i="2"/>
  <c r="AL34" i="2"/>
  <c r="AH34" i="2"/>
  <c r="AP34" i="2" s="1"/>
  <c r="I125" i="8"/>
  <c r="K125" i="8"/>
  <c r="H125" i="8"/>
  <c r="L125" i="8"/>
  <c r="J125" i="8"/>
  <c r="K63" i="8"/>
  <c r="H63" i="8"/>
  <c r="L63" i="8"/>
  <c r="I63" i="8"/>
  <c r="J63" i="8"/>
  <c r="AD140" i="8"/>
  <c r="AA140" i="8"/>
  <c r="AC140" i="8"/>
  <c r="AB140" i="8"/>
  <c r="AD193" i="8"/>
  <c r="AC193" i="8"/>
  <c r="AB193" i="8"/>
  <c r="AA193" i="8"/>
  <c r="AG167" i="2"/>
  <c r="AK167" i="2"/>
  <c r="AF24" i="2"/>
  <c r="AJ24" i="2"/>
  <c r="AD66" i="8"/>
  <c r="AB66" i="8"/>
  <c r="AA66" i="8"/>
  <c r="AC66" i="8"/>
  <c r="AL194" i="2"/>
  <c r="AH194" i="2"/>
  <c r="AP194" i="2" s="1"/>
  <c r="AL121" i="2"/>
  <c r="AH121" i="2"/>
  <c r="AP121" i="2" s="1"/>
  <c r="AD62" i="8"/>
  <c r="AA62" i="8"/>
  <c r="AC62" i="8"/>
  <c r="AB62" i="8"/>
  <c r="J186" i="8"/>
  <c r="I186" i="8"/>
  <c r="L186" i="8"/>
  <c r="K186" i="8"/>
  <c r="H186" i="8"/>
  <c r="AD177" i="8"/>
  <c r="AB177" i="8"/>
  <c r="AA177" i="8"/>
  <c r="AC177" i="8"/>
  <c r="L58" i="8"/>
  <c r="I58" i="8"/>
  <c r="H58" i="8"/>
  <c r="J58" i="8"/>
  <c r="K58" i="8"/>
  <c r="J190" i="8"/>
  <c r="L190" i="8"/>
  <c r="I190" i="8"/>
  <c r="H190" i="8"/>
  <c r="K190" i="8"/>
  <c r="AD64" i="8"/>
  <c r="AC64" i="8"/>
  <c r="AB64" i="8"/>
  <c r="AA64" i="8"/>
  <c r="AJ180" i="2"/>
  <c r="AF180" i="2"/>
  <c r="AJ92" i="2"/>
  <c r="AF92" i="2"/>
  <c r="AN92" i="2" s="1"/>
  <c r="AD92" i="2"/>
  <c r="AJ33" i="2"/>
  <c r="AF33" i="2"/>
  <c r="K165" i="8"/>
  <c r="I165" i="8"/>
  <c r="H165" i="8"/>
  <c r="L165" i="8"/>
  <c r="J165" i="8"/>
  <c r="J39" i="8"/>
  <c r="L39" i="8"/>
  <c r="I39" i="8"/>
  <c r="K39" i="8"/>
  <c r="H39" i="8"/>
  <c r="K54" i="8"/>
  <c r="J54" i="8"/>
  <c r="H54" i="8"/>
  <c r="L54" i="8"/>
  <c r="I54" i="8"/>
  <c r="J178" i="8"/>
  <c r="H178" i="8"/>
  <c r="L178" i="8"/>
  <c r="I178" i="8"/>
  <c r="K178" i="8"/>
  <c r="AD169" i="8"/>
  <c r="AA169" i="8"/>
  <c r="AC169" i="8"/>
  <c r="AB169" i="8"/>
  <c r="J43" i="8"/>
  <c r="H43" i="8"/>
  <c r="K43" i="8"/>
  <c r="I43" i="8"/>
  <c r="L43" i="8"/>
  <c r="AD56" i="8"/>
  <c r="AC56" i="8"/>
  <c r="AA56" i="8"/>
  <c r="AB56" i="8"/>
  <c r="AD205" i="2"/>
  <c r="AE205" i="2" s="1"/>
  <c r="AD153" i="2"/>
  <c r="AE153" i="2" s="1"/>
  <c r="AM58" i="2"/>
  <c r="AM67" i="2"/>
  <c r="AD31" i="2"/>
  <c r="AE31" i="2" s="1"/>
  <c r="AQ178" i="2"/>
  <c r="AQ149" i="2"/>
  <c r="AQ113" i="2"/>
  <c r="AD170" i="2"/>
  <c r="AM170" i="2" s="1"/>
  <c r="AD206" i="2"/>
  <c r="AM206" i="2" s="1"/>
  <c r="AD55" i="2"/>
  <c r="AI45" i="2"/>
  <c r="AI113" i="2"/>
  <c r="AL162" i="2"/>
  <c r="AH162" i="2"/>
  <c r="AP162" i="2" s="1"/>
  <c r="AN39" i="2"/>
  <c r="AJ59" i="2"/>
  <c r="AF59" i="2"/>
  <c r="AL15" i="2"/>
  <c r="AH15" i="2"/>
  <c r="AP15" i="2" s="1"/>
  <c r="AJ106" i="2"/>
  <c r="AF106" i="2"/>
  <c r="AL163" i="2"/>
  <c r="AH163" i="2"/>
  <c r="AP163" i="2" s="1"/>
  <c r="AJ40" i="2"/>
  <c r="AF40" i="2"/>
  <c r="AN124" i="2"/>
  <c r="AN132" i="2"/>
  <c r="AL107" i="2"/>
  <c r="AH107" i="2"/>
  <c r="AP107" i="2" s="1"/>
  <c r="AJ105" i="2"/>
  <c r="AF105" i="2"/>
  <c r="AK129" i="2"/>
  <c r="AG129" i="2"/>
  <c r="AO129" i="2" s="1"/>
  <c r="AN95" i="2"/>
  <c r="AL48" i="2"/>
  <c r="AH48" i="2"/>
  <c r="AP48" i="2" s="1"/>
  <c r="AK123" i="2"/>
  <c r="AG123" i="2"/>
  <c r="AO123" i="2" s="1"/>
  <c r="AL71" i="2"/>
  <c r="AH71" i="2"/>
  <c r="AP71" i="2" s="1"/>
  <c r="AK73" i="2"/>
  <c r="AG73" i="2"/>
  <c r="AO73" i="2" s="1"/>
  <c r="AL161" i="2"/>
  <c r="AH161" i="2"/>
  <c r="AP161" i="2" s="1"/>
  <c r="AL70" i="2"/>
  <c r="AH70" i="2"/>
  <c r="AP70" i="2" s="1"/>
  <c r="AL131" i="2"/>
  <c r="AH131" i="2"/>
  <c r="AP131" i="2" s="1"/>
  <c r="AL31" i="2"/>
  <c r="AH31" i="2"/>
  <c r="AP31" i="2" s="1"/>
  <c r="AL165" i="2"/>
  <c r="AH165" i="2"/>
  <c r="AP165" i="2" s="1"/>
  <c r="AJ193" i="2"/>
  <c r="AF193" i="2"/>
  <c r="AK213" i="2"/>
  <c r="AG213" i="2"/>
  <c r="AK136" i="2"/>
  <c r="AG136" i="2"/>
  <c r="AK79" i="2"/>
  <c r="AG79" i="2"/>
  <c r="AN90" i="2"/>
  <c r="AN133" i="2"/>
  <c r="AJ4" i="2"/>
  <c r="AF4" i="2"/>
  <c r="AL76" i="2"/>
  <c r="AH76" i="2"/>
  <c r="AP76" i="2" s="1"/>
  <c r="AN93" i="2"/>
  <c r="AJ5" i="2"/>
  <c r="AF5" i="2"/>
  <c r="AN130" i="2"/>
  <c r="AK154" i="2"/>
  <c r="AG154" i="2"/>
  <c r="AO154" i="2" s="1"/>
  <c r="AL49" i="2"/>
  <c r="AH49" i="2"/>
  <c r="AP49" i="2" s="1"/>
  <c r="AL75" i="2"/>
  <c r="AH75" i="2"/>
  <c r="AP75" i="2" s="1"/>
  <c r="AL50" i="2"/>
  <c r="AH50" i="2"/>
  <c r="AP50" i="2" s="1"/>
  <c r="AK56" i="2"/>
  <c r="AG56" i="2"/>
  <c r="AO56" i="2" s="1"/>
  <c r="AL106" i="2"/>
  <c r="AH106" i="2"/>
  <c r="AP106" i="2" s="1"/>
  <c r="AL40" i="2"/>
  <c r="AH40" i="2"/>
  <c r="AP40" i="2" s="1"/>
  <c r="AJ76" i="2"/>
  <c r="AF76" i="2"/>
  <c r="AL132" i="2"/>
  <c r="AH132" i="2"/>
  <c r="AP132" i="2" s="1"/>
  <c r="AD28" i="2"/>
  <c r="AE28" i="2" s="1"/>
  <c r="AL2" i="2"/>
  <c r="AH2" i="2"/>
  <c r="AP2" i="2" s="1"/>
  <c r="AN49" i="2"/>
  <c r="AL95" i="2"/>
  <c r="AH95" i="2"/>
  <c r="AP95" i="2" s="1"/>
  <c r="AK162" i="2"/>
  <c r="AG162" i="2"/>
  <c r="AO162" i="2" s="1"/>
  <c r="AK91" i="2"/>
  <c r="AG91" i="2"/>
  <c r="AO91" i="2" s="1"/>
  <c r="AN72" i="2"/>
  <c r="AK131" i="2"/>
  <c r="AG131" i="2"/>
  <c r="AO131" i="2" s="1"/>
  <c r="AK39" i="2"/>
  <c r="AG39" i="2"/>
  <c r="AO39" i="2" s="1"/>
  <c r="AL134" i="2"/>
  <c r="AH134" i="2"/>
  <c r="AP134" i="2" s="1"/>
  <c r="AL59" i="2"/>
  <c r="AH59" i="2"/>
  <c r="AP59" i="2" s="1"/>
  <c r="AL174" i="2"/>
  <c r="AH174" i="2"/>
  <c r="AP174" i="2" s="1"/>
  <c r="AJ198" i="2"/>
  <c r="AF198" i="2"/>
  <c r="AK141" i="2"/>
  <c r="AG141" i="2"/>
  <c r="AK188" i="2"/>
  <c r="AG188" i="2"/>
  <c r="AK118" i="2"/>
  <c r="AG118" i="2"/>
  <c r="AK207" i="2"/>
  <c r="AG207" i="2"/>
  <c r="AN12" i="2"/>
  <c r="AQ12" i="2" s="1"/>
  <c r="AI12" i="2"/>
  <c r="AQ45" i="2"/>
  <c r="AI22" i="2"/>
  <c r="AO99" i="2"/>
  <c r="AN152" i="2"/>
  <c r="AQ152" i="2" s="1"/>
  <c r="AI152" i="2"/>
  <c r="AI173" i="2"/>
  <c r="AI158" i="2"/>
  <c r="AN128" i="2"/>
  <c r="AQ128" i="2" s="1"/>
  <c r="AI128" i="2"/>
  <c r="AN189" i="2"/>
  <c r="AQ189" i="2" s="1"/>
  <c r="AI189" i="2"/>
  <c r="AN58" i="2"/>
  <c r="AO214" i="2"/>
  <c r="AQ22" i="2"/>
  <c r="AO181" i="2"/>
  <c r="AQ173" i="2"/>
  <c r="AO101" i="2"/>
  <c r="AQ158" i="2"/>
  <c r="AN56" i="2"/>
  <c r="AK132" i="2"/>
  <c r="AG132" i="2"/>
  <c r="AO132" i="2" s="1"/>
  <c r="AK2" i="2"/>
  <c r="AG2" i="2"/>
  <c r="AO2" i="2" s="1"/>
  <c r="AL105" i="2"/>
  <c r="AH105" i="2"/>
  <c r="AP105" i="2" s="1"/>
  <c r="AL129" i="2"/>
  <c r="AH129" i="2"/>
  <c r="AP129" i="2" s="1"/>
  <c r="AK95" i="2"/>
  <c r="AG95" i="2"/>
  <c r="AO95" i="2" s="1"/>
  <c r="AL123" i="2"/>
  <c r="AH123" i="2"/>
  <c r="AP123" i="2" s="1"/>
  <c r="AN91" i="2"/>
  <c r="AJ134" i="2"/>
  <c r="AF134" i="2"/>
  <c r="AL136" i="2"/>
  <c r="AH136" i="2"/>
  <c r="AP136" i="2" s="1"/>
  <c r="AN183" i="2"/>
  <c r="AQ183" i="2" s="1"/>
  <c r="AI183" i="2"/>
  <c r="AN27" i="2"/>
  <c r="AQ27" i="2" s="1"/>
  <c r="AI27" i="2"/>
  <c r="AN211" i="2"/>
  <c r="AQ211" i="2" s="1"/>
  <c r="AI211" i="2"/>
  <c r="AO63" i="2"/>
  <c r="AQ63" i="2" s="1"/>
  <c r="AI63" i="2"/>
  <c r="AI169" i="2"/>
  <c r="AO195" i="2"/>
  <c r="AN138" i="2"/>
  <c r="AQ138" i="2" s="1"/>
  <c r="AI138" i="2"/>
  <c r="AO10" i="2"/>
  <c r="AI149" i="2"/>
  <c r="AN131" i="2"/>
  <c r="AJ174" i="2"/>
  <c r="AF174" i="2"/>
  <c r="AL193" i="2"/>
  <c r="AH193" i="2"/>
  <c r="AP193" i="2" s="1"/>
  <c r="AL79" i="2"/>
  <c r="AH79" i="2"/>
  <c r="AP79" i="2" s="1"/>
  <c r="AL108" i="2"/>
  <c r="AH108" i="2"/>
  <c r="AP108" i="2" s="1"/>
  <c r="AJ31" i="2"/>
  <c r="AF31" i="2"/>
  <c r="AJ165" i="2"/>
  <c r="AF165" i="2"/>
  <c r="AL155" i="2"/>
  <c r="AH155" i="2"/>
  <c r="AP155" i="2" s="1"/>
  <c r="AL102" i="2"/>
  <c r="AH102" i="2"/>
  <c r="AP102" i="2" s="1"/>
  <c r="AN38" i="2"/>
  <c r="AO192" i="2"/>
  <c r="AO51" i="2"/>
  <c r="AQ51" i="2" s="1"/>
  <c r="AI51" i="2"/>
  <c r="AQ169" i="2"/>
  <c r="AI11" i="2"/>
  <c r="AL73" i="2"/>
  <c r="AH73" i="2"/>
  <c r="AP73" i="2" s="1"/>
  <c r="AL213" i="2"/>
  <c r="AH213" i="2"/>
  <c r="AP213" i="2" s="1"/>
  <c r="AN161" i="2"/>
  <c r="AK125" i="2"/>
  <c r="AG125" i="2"/>
  <c r="AO125" i="2" s="1"/>
  <c r="AN70" i="2"/>
  <c r="AK108" i="2"/>
  <c r="AG108" i="2"/>
  <c r="AO108" i="2" s="1"/>
  <c r="AD17" i="2"/>
  <c r="AE17" i="2" s="1"/>
  <c r="AL83" i="2"/>
  <c r="AH83" i="2"/>
  <c r="AP83" i="2" s="1"/>
  <c r="AL88" i="2"/>
  <c r="AH88" i="2"/>
  <c r="AP88" i="2" s="1"/>
  <c r="AL104" i="2"/>
  <c r="AH104" i="2"/>
  <c r="AP104" i="2" s="1"/>
  <c r="AL171" i="2"/>
  <c r="AH171" i="2"/>
  <c r="AP171" i="2" s="1"/>
  <c r="AL197" i="2"/>
  <c r="AH197" i="2"/>
  <c r="AP197" i="2" s="1"/>
  <c r="AK155" i="2"/>
  <c r="AG155" i="2"/>
  <c r="AK102" i="2"/>
  <c r="AG102" i="2"/>
  <c r="AN120" i="2"/>
  <c r="AQ120" i="2" s="1"/>
  <c r="AI120" i="2"/>
  <c r="AN172" i="2"/>
  <c r="AQ172" i="2" s="1"/>
  <c r="AI172" i="2"/>
  <c r="AN177" i="2"/>
  <c r="AQ177" i="2" s="1"/>
  <c r="AI177" i="2"/>
  <c r="AN176" i="2"/>
  <c r="AQ176" i="2" s="1"/>
  <c r="AI176" i="2"/>
  <c r="AN32" i="2"/>
  <c r="AI32" i="2"/>
  <c r="AQ11" i="2"/>
  <c r="AN196" i="2"/>
  <c r="AQ196" i="2" s="1"/>
  <c r="AI196" i="2"/>
  <c r="AN140" i="2"/>
  <c r="AQ140" i="2" s="1"/>
  <c r="AI140" i="2"/>
  <c r="AO186" i="2"/>
  <c r="AC198" i="28"/>
  <c r="AD118" i="2"/>
  <c r="AM118" i="2" s="1"/>
  <c r="AN15" i="2"/>
  <c r="AK163" i="2"/>
  <c r="AG163" i="2"/>
  <c r="AO163" i="2" s="1"/>
  <c r="AN202" i="2"/>
  <c r="AM16" i="2"/>
  <c r="AL124" i="2"/>
  <c r="AH124" i="2"/>
  <c r="AP124" i="2" s="1"/>
  <c r="AJ3" i="2"/>
  <c r="AF3" i="2"/>
  <c r="AJ107" i="2"/>
  <c r="AF107" i="2"/>
  <c r="AJ77" i="2"/>
  <c r="AF77" i="2"/>
  <c r="AN129" i="2"/>
  <c r="AK48" i="2"/>
  <c r="AG48" i="2"/>
  <c r="AO48" i="2" s="1"/>
  <c r="AN123" i="2"/>
  <c r="AK71" i="2"/>
  <c r="AG71" i="2"/>
  <c r="AO71" i="2" s="1"/>
  <c r="AN73" i="2"/>
  <c r="AK161" i="2"/>
  <c r="AG161" i="2"/>
  <c r="AO161" i="2" s="1"/>
  <c r="AK70" i="2"/>
  <c r="AG70" i="2"/>
  <c r="AO70" i="2" s="1"/>
  <c r="AA198" i="28"/>
  <c r="AL90" i="2"/>
  <c r="AH90" i="2"/>
  <c r="AP90" i="2" s="1"/>
  <c r="AK15" i="2"/>
  <c r="AG15" i="2"/>
  <c r="AO15" i="2" s="1"/>
  <c r="AD174" i="2"/>
  <c r="AE174" i="2" s="1"/>
  <c r="AD193" i="2"/>
  <c r="AM193" i="2" s="1"/>
  <c r="AD155" i="2"/>
  <c r="AM155" i="2" s="1"/>
  <c r="AN163" i="2"/>
  <c r="AL202" i="2"/>
  <c r="AH202" i="2"/>
  <c r="AP202" i="2" s="1"/>
  <c r="AD207" i="2"/>
  <c r="AM207" i="2" s="1"/>
  <c r="AK124" i="2"/>
  <c r="AG124" i="2"/>
  <c r="AO124" i="2" s="1"/>
  <c r="AL3" i="2"/>
  <c r="AH3" i="2"/>
  <c r="AP3" i="2" s="1"/>
  <c r="AL130" i="2"/>
  <c r="AH130" i="2"/>
  <c r="AP130" i="2" s="1"/>
  <c r="AN48" i="2"/>
  <c r="AN75" i="2"/>
  <c r="AN50" i="2"/>
  <c r="AN71" i="2"/>
  <c r="AK90" i="2"/>
  <c r="AG90" i="2"/>
  <c r="AO90" i="2" s="1"/>
  <c r="AK133" i="2"/>
  <c r="AG133" i="2"/>
  <c r="AO133" i="2" s="1"/>
  <c r="AK202" i="2"/>
  <c r="AG202" i="2"/>
  <c r="AO202" i="2" s="1"/>
  <c r="AD102" i="2"/>
  <c r="AE102" i="2" s="1"/>
  <c r="AK93" i="2"/>
  <c r="AG93" i="2"/>
  <c r="AO93" i="2" s="1"/>
  <c r="AD198" i="2"/>
  <c r="AE198" i="2" s="1"/>
  <c r="AD188" i="2"/>
  <c r="AE188" i="2" s="1"/>
  <c r="AK130" i="2"/>
  <c r="AG130" i="2"/>
  <c r="AO130" i="2" s="1"/>
  <c r="AL154" i="2"/>
  <c r="AH154" i="2"/>
  <c r="AP154" i="2" s="1"/>
  <c r="AL77" i="2"/>
  <c r="AH77" i="2"/>
  <c r="AP77" i="2" s="1"/>
  <c r="AK75" i="2"/>
  <c r="AG75" i="2"/>
  <c r="AO75" i="2" s="1"/>
  <c r="AK50" i="2"/>
  <c r="AG50" i="2"/>
  <c r="AO50" i="2" s="1"/>
  <c r="AN125" i="2"/>
  <c r="AK57" i="2"/>
  <c r="AG57" i="2"/>
  <c r="AO57" i="2" s="1"/>
  <c r="AL203" i="2"/>
  <c r="AH203" i="2"/>
  <c r="AP203" i="2" s="1"/>
  <c r="AN108" i="2"/>
  <c r="AL94" i="2"/>
  <c r="AH94" i="2"/>
  <c r="AP94" i="2" s="1"/>
  <c r="AJ83" i="2"/>
  <c r="AF83" i="2"/>
  <c r="AJ88" i="2"/>
  <c r="AF88" i="2"/>
  <c r="AJ104" i="2"/>
  <c r="AF104" i="2"/>
  <c r="AJ171" i="2"/>
  <c r="AF171" i="2"/>
  <c r="AJ197" i="2"/>
  <c r="AF197" i="2"/>
  <c r="AL170" i="2"/>
  <c r="AH170" i="2"/>
  <c r="AP170" i="2" s="1"/>
  <c r="AL69" i="2"/>
  <c r="AH69" i="2"/>
  <c r="AP69" i="2" s="1"/>
  <c r="AL55" i="2"/>
  <c r="AH55" i="2"/>
  <c r="AP55" i="2" s="1"/>
  <c r="AL20" i="2"/>
  <c r="AH20" i="2"/>
  <c r="AP20" i="2" s="1"/>
  <c r="AL206" i="2"/>
  <c r="AH206" i="2"/>
  <c r="AP206" i="2" s="1"/>
  <c r="AN199" i="2"/>
  <c r="AQ199" i="2" s="1"/>
  <c r="AI199" i="2"/>
  <c r="AN67" i="2"/>
  <c r="AQ67" i="2" s="1"/>
  <c r="AI67" i="2"/>
  <c r="AO16" i="2"/>
  <c r="AK203" i="2"/>
  <c r="AG203" i="2"/>
  <c r="AO203" i="2" s="1"/>
  <c r="AK94" i="2"/>
  <c r="AG94" i="2"/>
  <c r="AO94" i="2" s="1"/>
  <c r="AL62" i="2"/>
  <c r="AH62" i="2"/>
  <c r="AP62" i="2" s="1"/>
  <c r="AL30" i="2"/>
  <c r="AH30" i="2"/>
  <c r="AP30" i="2" s="1"/>
  <c r="AL119" i="2"/>
  <c r="AH119" i="2"/>
  <c r="AP119" i="2" s="1"/>
  <c r="AL205" i="2"/>
  <c r="AH205" i="2"/>
  <c r="AP205" i="2" s="1"/>
  <c r="AL153" i="2"/>
  <c r="AH153" i="2"/>
  <c r="AP153" i="2" s="1"/>
  <c r="AJ170" i="2"/>
  <c r="AF170" i="2"/>
  <c r="AK69" i="2"/>
  <c r="AG69" i="2"/>
  <c r="AK55" i="2"/>
  <c r="AG55" i="2"/>
  <c r="AK20" i="2"/>
  <c r="AG20" i="2"/>
  <c r="AK206" i="2"/>
  <c r="AG206" i="2"/>
  <c r="AO92" i="2"/>
  <c r="AI61" i="2"/>
  <c r="AN201" i="2"/>
  <c r="AQ201" i="2" s="1"/>
  <c r="AI201" i="2"/>
  <c r="AO200" i="2"/>
  <c r="AQ209" i="2"/>
  <c r="AN37" i="2"/>
  <c r="AQ37" i="2" s="1"/>
  <c r="AI37" i="2"/>
  <c r="AL72" i="2"/>
  <c r="AH72" i="2"/>
  <c r="AP72" i="2" s="1"/>
  <c r="AL125" i="2"/>
  <c r="AH125" i="2"/>
  <c r="AP125" i="2" s="1"/>
  <c r="AN57" i="2"/>
  <c r="AL56" i="2"/>
  <c r="AH56" i="2"/>
  <c r="AP56" i="2" s="1"/>
  <c r="AL133" i="2"/>
  <c r="AH133" i="2"/>
  <c r="AP133" i="2" s="1"/>
  <c r="AL4" i="2"/>
  <c r="AH4" i="2"/>
  <c r="AP4" i="2" s="1"/>
  <c r="AL93" i="2"/>
  <c r="AH93" i="2"/>
  <c r="AP93" i="2" s="1"/>
  <c r="AL5" i="2"/>
  <c r="AH5" i="2"/>
  <c r="AP5" i="2" s="1"/>
  <c r="AD165" i="2"/>
  <c r="AE165" i="2" s="1"/>
  <c r="AD59" i="2"/>
  <c r="AE59" i="2" s="1"/>
  <c r="AN2" i="2"/>
  <c r="AN154" i="2"/>
  <c r="AK49" i="2"/>
  <c r="AG49" i="2"/>
  <c r="AO49" i="2" s="1"/>
  <c r="AN162" i="2"/>
  <c r="AL91" i="2"/>
  <c r="AH91" i="2"/>
  <c r="AP91" i="2" s="1"/>
  <c r="AK72" i="2"/>
  <c r="AG72" i="2"/>
  <c r="AO72" i="2" s="1"/>
  <c r="AL57" i="2"/>
  <c r="AH57" i="2"/>
  <c r="AP57" i="2" s="1"/>
  <c r="AN203" i="2"/>
  <c r="AL39" i="2"/>
  <c r="AH39" i="2"/>
  <c r="AP39" i="2" s="1"/>
  <c r="AN94" i="2"/>
  <c r="AJ62" i="2"/>
  <c r="AF62" i="2"/>
  <c r="AJ30" i="2"/>
  <c r="AF30" i="2"/>
  <c r="AJ119" i="2"/>
  <c r="AF119" i="2"/>
  <c r="AJ205" i="2"/>
  <c r="AF205" i="2"/>
  <c r="AJ153" i="2"/>
  <c r="AF153" i="2"/>
  <c r="AL198" i="2"/>
  <c r="AH198" i="2"/>
  <c r="AP198" i="2" s="1"/>
  <c r="AL141" i="2"/>
  <c r="AH141" i="2"/>
  <c r="AP141" i="2" s="1"/>
  <c r="AL188" i="2"/>
  <c r="AH188" i="2"/>
  <c r="AP188" i="2" s="1"/>
  <c r="AL118" i="2"/>
  <c r="AH118" i="2"/>
  <c r="AP118" i="2" s="1"/>
  <c r="AL207" i="2"/>
  <c r="AH207" i="2"/>
  <c r="AP207" i="2" s="1"/>
  <c r="AN117" i="2"/>
  <c r="AQ117" i="2" s="1"/>
  <c r="AI117" i="2"/>
  <c r="AI115" i="2"/>
  <c r="AN137" i="2"/>
  <c r="AQ137" i="2" s="1"/>
  <c r="AI137" i="2"/>
  <c r="AN14" i="2"/>
  <c r="AQ14" i="2" s="1"/>
  <c r="AI14" i="2"/>
  <c r="AN168" i="2"/>
  <c r="AQ168" i="2" s="1"/>
  <c r="AI168" i="2"/>
  <c r="AQ61" i="2"/>
  <c r="AI209" i="2"/>
  <c r="AQ54" i="2"/>
  <c r="AD171" i="2"/>
  <c r="AD136" i="2"/>
  <c r="AE136" i="2" s="1"/>
  <c r="AD79" i="2"/>
  <c r="AM79" i="2" s="1"/>
  <c r="AK2366" i="2"/>
  <c r="AD2366" i="2"/>
  <c r="AK2398" i="2"/>
  <c r="AD2398" i="2"/>
  <c r="AK2422" i="2"/>
  <c r="AD2422" i="2"/>
  <c r="AD2406" i="2"/>
  <c r="AK2390" i="2"/>
  <c r="AD2390" i="2"/>
  <c r="AD2374" i="2"/>
  <c r="AK2414" i="2"/>
  <c r="AD2414" i="2"/>
  <c r="AK2382" i="2"/>
  <c r="AD2382" i="2"/>
  <c r="AM473" i="2"/>
  <c r="AD164" i="2"/>
  <c r="AE2418" i="2"/>
  <c r="AM1149" i="2"/>
  <c r="AM673" i="2"/>
  <c r="AJ340" i="2"/>
  <c r="AD340" i="2"/>
  <c r="AJ436" i="2"/>
  <c r="AD436" i="2"/>
  <c r="AJ756" i="2"/>
  <c r="AD756" i="2"/>
  <c r="AE2377" i="2"/>
  <c r="AM2377" i="2"/>
  <c r="AM1375" i="2"/>
  <c r="AK412" i="2"/>
  <c r="AD412" i="2"/>
  <c r="AJ676" i="2"/>
  <c r="AD676" i="2"/>
  <c r="AK404" i="2"/>
  <c r="AD404" i="2"/>
  <c r="AJ716" i="2"/>
  <c r="AD716" i="2"/>
  <c r="AJ324" i="2"/>
  <c r="AD324" i="2"/>
  <c r="AJ644" i="2"/>
  <c r="AD644" i="2"/>
  <c r="AK388" i="2"/>
  <c r="AD388" i="2"/>
  <c r="AJ740" i="2"/>
  <c r="AD740" i="2"/>
  <c r="AJ372" i="2"/>
  <c r="AD372" i="2"/>
  <c r="AK748" i="2"/>
  <c r="AD748" i="2"/>
  <c r="AM2393" i="2"/>
  <c r="AE2393" i="2"/>
  <c r="AK540" i="2"/>
  <c r="AD540" i="2"/>
  <c r="AJ348" i="2"/>
  <c r="AD348" i="2"/>
  <c r="AM2305" i="2"/>
  <c r="AM2073" i="2"/>
  <c r="AE2409" i="2"/>
  <c r="AM2409" i="2"/>
  <c r="AE2293" i="2"/>
  <c r="AM2293" i="2"/>
  <c r="AE1781" i="2"/>
  <c r="AM1781" i="2"/>
  <c r="AE1311" i="2"/>
  <c r="AM1311" i="2"/>
  <c r="AE1749" i="2"/>
  <c r="AM1749" i="2"/>
  <c r="AE2009" i="2"/>
  <c r="AM2009" i="2"/>
  <c r="AE1263" i="2"/>
  <c r="AM1263" i="2"/>
  <c r="AM2309" i="2"/>
  <c r="AE2309" i="2"/>
  <c r="AE1215" i="2"/>
  <c r="AM1215" i="2"/>
  <c r="AE2425" i="2"/>
  <c r="AM2425" i="2"/>
  <c r="AE2361" i="2"/>
  <c r="AM2361" i="2"/>
  <c r="AE2041" i="2"/>
  <c r="AM2041" i="2"/>
  <c r="AE298" i="2"/>
  <c r="AM298" i="2"/>
  <c r="AM1966" i="2"/>
  <c r="AM752" i="2"/>
  <c r="AM503" i="2"/>
  <c r="AE1197" i="2"/>
  <c r="AM1197" i="2"/>
  <c r="AE621" i="2"/>
  <c r="AE1602" i="2"/>
  <c r="AM1155" i="2"/>
  <c r="AE1026" i="2"/>
  <c r="AM1026" i="2"/>
  <c r="AE718" i="2"/>
  <c r="AM718" i="2"/>
  <c r="AE2368" i="2"/>
  <c r="AE1393" i="2"/>
  <c r="AE1035" i="2"/>
  <c r="AE1269" i="2"/>
  <c r="AE1107" i="2"/>
  <c r="AE2419" i="2"/>
  <c r="AM2419" i="2"/>
  <c r="AM2306" i="2"/>
  <c r="AM1308" i="2"/>
  <c r="AE270" i="2"/>
  <c r="AM270" i="2"/>
  <c r="AE1058" i="2"/>
  <c r="AM1058" i="2"/>
  <c r="AE1533" i="2"/>
  <c r="AM1533" i="2"/>
  <c r="AE1543" i="2"/>
  <c r="AM1543" i="2"/>
  <c r="AM2214" i="2"/>
  <c r="AE507" i="2"/>
  <c r="AE1437" i="2"/>
  <c r="AM1437" i="2"/>
  <c r="AE1999" i="2"/>
  <c r="AM1999" i="2"/>
  <c r="AM2220" i="2"/>
  <c r="AM1561" i="2"/>
  <c r="AE1591" i="2"/>
  <c r="AM1591" i="2"/>
  <c r="AE1383" i="2"/>
  <c r="AM1211" i="2"/>
  <c r="AE208" i="2"/>
  <c r="AM208" i="2"/>
  <c r="AM1942" i="2"/>
  <c r="AE1647" i="2"/>
  <c r="AE572" i="2"/>
  <c r="AE2389" i="2"/>
  <c r="AM2389" i="2"/>
  <c r="AE471" i="2"/>
  <c r="AE1483" i="2"/>
  <c r="AM1483" i="2"/>
  <c r="AE2109" i="2"/>
  <c r="AM2109" i="2"/>
  <c r="AE1513" i="2"/>
  <c r="AM1513" i="2"/>
  <c r="AE2077" i="2"/>
  <c r="AM2077" i="2"/>
  <c r="AM2256" i="2"/>
  <c r="AE7" i="2"/>
  <c r="AM7" i="2"/>
  <c r="AJ94" i="2"/>
  <c r="AD94" i="2"/>
  <c r="AE111" i="2"/>
  <c r="AM111" i="2"/>
  <c r="AE282" i="2"/>
  <c r="AM282" i="2"/>
  <c r="AE710" i="2"/>
  <c r="AM710" i="2"/>
  <c r="AE143" i="2"/>
  <c r="AM143" i="2"/>
  <c r="AM1587" i="2"/>
  <c r="AM489" i="2"/>
  <c r="AE2110" i="2"/>
  <c r="AM1223" i="2"/>
  <c r="AM616" i="2"/>
  <c r="AM516" i="2"/>
  <c r="AE1707" i="2"/>
  <c r="AM1707" i="2"/>
  <c r="AE2181" i="2"/>
  <c r="AM2181" i="2"/>
  <c r="AE2322" i="2"/>
  <c r="AE1951" i="2"/>
  <c r="AM1951" i="2"/>
  <c r="AE346" i="2"/>
  <c r="AM346" i="2"/>
  <c r="AE98" i="2"/>
  <c r="AE1479" i="2"/>
  <c r="AM1479" i="2"/>
  <c r="AE1521" i="2"/>
  <c r="AM1521" i="2"/>
  <c r="AE333" i="2"/>
  <c r="AM333" i="2"/>
  <c r="AE226" i="2"/>
  <c r="AM226" i="2"/>
  <c r="AE2262" i="2"/>
  <c r="AM904" i="2"/>
  <c r="AM1333" i="2"/>
  <c r="AE1189" i="2"/>
  <c r="AE1487" i="2"/>
  <c r="AE954" i="2"/>
  <c r="AM954" i="2"/>
  <c r="AJ203" i="2"/>
  <c r="AD203" i="2"/>
  <c r="AE290" i="2"/>
  <c r="AM290" i="2"/>
  <c r="AE218" i="2"/>
  <c r="AM218" i="2"/>
  <c r="AE977" i="2"/>
  <c r="AM977" i="2"/>
  <c r="AE1729" i="2"/>
  <c r="AM1729" i="2"/>
  <c r="AJ131" i="2"/>
  <c r="AD131" i="2"/>
  <c r="AE2149" i="2"/>
  <c r="AM2149" i="2"/>
  <c r="AE1691" i="2"/>
  <c r="AM1691" i="2"/>
  <c r="AJ39" i="2"/>
  <c r="AD39" i="2"/>
  <c r="AE2015" i="2"/>
  <c r="AM2015" i="2"/>
  <c r="AE2403" i="2"/>
  <c r="AM2403" i="2"/>
  <c r="AE1994" i="2"/>
  <c r="AM1994" i="2"/>
  <c r="AE1699" i="2"/>
  <c r="AM1372" i="2"/>
  <c r="AE951" i="2"/>
  <c r="AM491" i="2"/>
  <c r="AE1790" i="2"/>
  <c r="AM1702" i="2"/>
  <c r="AM2324" i="2"/>
  <c r="AM1091" i="2"/>
  <c r="AE1949" i="2"/>
  <c r="AM1949" i="2"/>
  <c r="AE390" i="2"/>
  <c r="AM390" i="2"/>
  <c r="AE1449" i="2"/>
  <c r="AM1449" i="2"/>
  <c r="AE2169" i="2"/>
  <c r="AM2169" i="2"/>
  <c r="AE1397" i="2"/>
  <c r="AM1397" i="2"/>
  <c r="AE2049" i="2"/>
  <c r="AM2049" i="2"/>
  <c r="AE2021" i="2"/>
  <c r="AM2021" i="2"/>
  <c r="AE1915" i="2"/>
  <c r="AM1915" i="2"/>
  <c r="AE2063" i="2"/>
  <c r="AM2063" i="2"/>
  <c r="AE1429" i="2"/>
  <c r="AM1429" i="2"/>
  <c r="AE2091" i="2"/>
  <c r="AM2091" i="2"/>
  <c r="AE1723" i="2"/>
  <c r="AM1723" i="2"/>
  <c r="AE1739" i="2"/>
  <c r="AM1739" i="2"/>
  <c r="AE1725" i="2"/>
  <c r="AM1725" i="2"/>
  <c r="AE353" i="2"/>
  <c r="AM353" i="2"/>
  <c r="AE986" i="2"/>
  <c r="AM986" i="2"/>
  <c r="AM459" i="2"/>
  <c r="AE238" i="2"/>
  <c r="AM238" i="2"/>
  <c r="AM2178" i="2"/>
  <c r="AE2346" i="2"/>
  <c r="AE1887" i="2"/>
  <c r="AM1887" i="2"/>
  <c r="AJ108" i="2"/>
  <c r="AD108" i="2"/>
  <c r="AE1733" i="2"/>
  <c r="AM1733" i="2"/>
  <c r="AE258" i="2"/>
  <c r="AM258" i="2"/>
  <c r="AE35" i="2"/>
  <c r="AM35" i="2"/>
  <c r="AM1377" i="2"/>
  <c r="AM2213" i="2"/>
  <c r="AE2213" i="2"/>
  <c r="AE1515" i="2"/>
  <c r="AM1515" i="2"/>
  <c r="AE1745" i="2"/>
  <c r="AM1745" i="2"/>
  <c r="AE289" i="2"/>
  <c r="AM289" i="2"/>
  <c r="AE1995" i="2"/>
  <c r="AM1995" i="2"/>
  <c r="AE1041" i="2"/>
  <c r="AM1041" i="2"/>
  <c r="AE278" i="2"/>
  <c r="AM278" i="2"/>
  <c r="AE1595" i="2"/>
  <c r="AM1595" i="2"/>
  <c r="AE1040" i="2"/>
  <c r="AM1040" i="2"/>
  <c r="AE2071" i="2"/>
  <c r="AM2071" i="2"/>
  <c r="AE64" i="2"/>
  <c r="AM64" i="2"/>
  <c r="AJ73" i="2"/>
  <c r="AD73" i="2"/>
  <c r="AE920" i="2"/>
  <c r="AM920" i="2"/>
  <c r="AE2387" i="2"/>
  <c r="AM2387" i="2"/>
  <c r="AE318" i="2"/>
  <c r="AM318" i="2"/>
  <c r="AE1989" i="2"/>
  <c r="AM1989" i="2"/>
  <c r="AE310" i="2"/>
  <c r="AM310" i="2"/>
  <c r="AE1409" i="2"/>
  <c r="AM1409" i="2"/>
  <c r="AE2253" i="2"/>
  <c r="AM2253" i="2"/>
  <c r="AE251" i="2"/>
  <c r="AM251" i="2"/>
  <c r="AE2233" i="2"/>
  <c r="AM2233" i="2"/>
  <c r="AE1559" i="2"/>
  <c r="AM1559" i="2"/>
  <c r="AE969" i="2"/>
  <c r="AM969" i="2"/>
  <c r="AE249" i="2"/>
  <c r="AM249" i="2"/>
  <c r="AE2245" i="2"/>
  <c r="AM2245" i="2"/>
  <c r="AE246" i="2"/>
  <c r="AM246" i="2"/>
  <c r="AE1469" i="2"/>
  <c r="AM1469" i="2"/>
  <c r="AE2279" i="2"/>
  <c r="AM2279" i="2"/>
  <c r="AE734" i="2"/>
  <c r="AM734" i="2"/>
  <c r="AE291" i="2"/>
  <c r="AM291" i="2"/>
  <c r="AM1187" i="2"/>
  <c r="AM1273" i="2"/>
  <c r="AM2246" i="2"/>
  <c r="AM457" i="2"/>
  <c r="AE2400" i="2"/>
  <c r="AE1755" i="2"/>
  <c r="AM1755" i="2"/>
  <c r="AE190" i="2"/>
  <c r="AM190" i="2"/>
  <c r="AE536" i="2"/>
  <c r="AM536" i="2"/>
  <c r="AE137" i="2"/>
  <c r="AM137" i="2"/>
  <c r="AE2373" i="2"/>
  <c r="AM2373" i="2"/>
  <c r="AE313" i="2"/>
  <c r="AM313" i="2"/>
  <c r="AE1825" i="2"/>
  <c r="AM1825" i="2"/>
  <c r="AE274" i="2"/>
  <c r="AM274" i="2"/>
  <c r="AE265" i="2"/>
  <c r="AM265" i="2"/>
  <c r="AE2395" i="2"/>
  <c r="AM2395" i="2"/>
  <c r="AE254" i="2"/>
  <c r="AM254" i="2"/>
  <c r="AE115" i="2"/>
  <c r="AM115" i="2"/>
  <c r="AM1243" i="2"/>
  <c r="AM1709" i="2"/>
  <c r="AE2379" i="2"/>
  <c r="AM2379" i="2"/>
  <c r="AE2363" i="2"/>
  <c r="AM2363" i="2"/>
  <c r="AE128" i="2"/>
  <c r="AM128" i="2"/>
  <c r="AE1855" i="2"/>
  <c r="AM1855" i="2"/>
  <c r="AE354" i="2"/>
  <c r="AM354" i="2"/>
  <c r="AE2317" i="2"/>
  <c r="AM2317" i="2"/>
  <c r="AE956" i="2"/>
  <c r="AM956" i="2"/>
  <c r="AE1775" i="2"/>
  <c r="AM1775" i="2"/>
  <c r="AM2277" i="2"/>
  <c r="AE2277" i="2"/>
  <c r="AE230" i="2"/>
  <c r="AM230" i="2"/>
  <c r="AM2371" i="2"/>
  <c r="AE2371" i="2"/>
  <c r="AD161" i="2"/>
  <c r="AJ161" i="2"/>
  <c r="AE2289" i="2"/>
  <c r="AM2289" i="2"/>
  <c r="AE2011" i="2"/>
  <c r="AM2011" i="2"/>
  <c r="AE357" i="2"/>
  <c r="AM357" i="2"/>
  <c r="AJ70" i="2"/>
  <c r="AD70" i="2"/>
  <c r="AM1212" i="2"/>
  <c r="AM2034" i="2"/>
  <c r="AE694" i="2"/>
  <c r="AM694" i="2"/>
  <c r="AE1084" i="2"/>
  <c r="AM1084" i="2"/>
  <c r="AE361" i="2"/>
  <c r="AM361" i="2"/>
  <c r="AE2099" i="2"/>
  <c r="AM2099" i="2"/>
  <c r="AE199" i="2"/>
  <c r="AM199" i="2"/>
  <c r="AM2189" i="2"/>
  <c r="AE2189" i="2"/>
  <c r="AE2069" i="2"/>
  <c r="AM2069" i="2"/>
  <c r="AE2339" i="2"/>
  <c r="AM2339" i="2"/>
  <c r="AE2411" i="2"/>
  <c r="AM2411" i="2"/>
  <c r="AE2027" i="2"/>
  <c r="AM2027" i="2"/>
  <c r="AE708" i="2"/>
  <c r="AM708" i="2"/>
  <c r="AE1033" i="2"/>
  <c r="AM1033" i="2"/>
  <c r="AM2347" i="2"/>
  <c r="AE2347" i="2"/>
  <c r="AJ125" i="2"/>
  <c r="AD125" i="2"/>
  <c r="AE1809" i="2"/>
  <c r="AM1809" i="2"/>
  <c r="AM1015" i="2"/>
  <c r="AE1947" i="2"/>
  <c r="AM1947" i="2"/>
  <c r="AE2087" i="2"/>
  <c r="AM2087" i="2"/>
  <c r="AE1675" i="2"/>
  <c r="AM1675" i="2"/>
  <c r="AE1495" i="2"/>
  <c r="AM1495" i="2"/>
  <c r="AJ72" i="2"/>
  <c r="AD72" i="2"/>
  <c r="AE2323" i="2"/>
  <c r="AM2323" i="2"/>
  <c r="AE281" i="2"/>
  <c r="AM281" i="2"/>
  <c r="AE327" i="2"/>
  <c r="AM327" i="2"/>
  <c r="AM44" i="2"/>
  <c r="AE233" i="2"/>
  <c r="AM233" i="2"/>
  <c r="AE1787" i="2"/>
  <c r="AM1787" i="2"/>
  <c r="AE2014" i="2"/>
  <c r="AM2014" i="2"/>
  <c r="AE1481" i="2"/>
  <c r="AM1481" i="2"/>
  <c r="AE8" i="2"/>
  <c r="AM8" i="2"/>
  <c r="AJ57" i="2"/>
  <c r="AD57" i="2"/>
  <c r="AE225" i="2"/>
  <c r="AM225" i="2"/>
  <c r="AE2341" i="2"/>
  <c r="AM2341" i="2"/>
  <c r="AE1001" i="2"/>
  <c r="AM1001" i="2"/>
  <c r="AE2155" i="2"/>
  <c r="AM2155" i="2"/>
  <c r="AE1445" i="2"/>
  <c r="AM1445" i="2"/>
  <c r="AE454" i="2"/>
  <c r="AM454" i="2"/>
  <c r="AE1933" i="2"/>
  <c r="AM1933" i="2"/>
  <c r="AE1627" i="2"/>
  <c r="AM1627" i="2"/>
  <c r="AE1793" i="2"/>
  <c r="AM1793" i="2"/>
  <c r="AE750" i="2"/>
  <c r="AM750" i="2"/>
  <c r="AE1857" i="2"/>
  <c r="AM1857" i="2"/>
  <c r="AE142" i="2"/>
  <c r="AM142" i="2"/>
  <c r="AE1461" i="2"/>
  <c r="AM1461" i="2"/>
  <c r="AE103" i="2"/>
  <c r="AM103" i="2"/>
  <c r="AE1623" i="2"/>
  <c r="AM1623" i="2"/>
  <c r="AE1659" i="2"/>
  <c r="AM1659" i="2"/>
  <c r="AE345" i="2"/>
  <c r="AM345" i="2"/>
  <c r="AE1977" i="2"/>
  <c r="AM1977" i="2"/>
  <c r="AE2283" i="2"/>
  <c r="AM2283" i="2"/>
  <c r="AE157" i="2"/>
  <c r="AE1851" i="2"/>
  <c r="AM1851" i="2"/>
  <c r="AE1489" i="2"/>
  <c r="AM1489" i="2"/>
  <c r="AE1727" i="2"/>
  <c r="AM1727" i="2"/>
  <c r="AE80" i="2"/>
  <c r="AM80" i="2"/>
  <c r="AJ122" i="2"/>
  <c r="AD122" i="2"/>
  <c r="AE2405" i="2"/>
  <c r="AM2405" i="2"/>
  <c r="AE1101" i="2"/>
  <c r="AM1101" i="2"/>
  <c r="AE1421" i="2"/>
  <c r="AM1421" i="2"/>
  <c r="AE342" i="2"/>
  <c r="AM342" i="2"/>
  <c r="AE2281" i="2"/>
  <c r="AM2281" i="2"/>
  <c r="AE2187" i="2"/>
  <c r="AM2187" i="2"/>
  <c r="AE924" i="2"/>
  <c r="AM924" i="2"/>
  <c r="AE374" i="2"/>
  <c r="AM374" i="2"/>
  <c r="AE422" i="2"/>
  <c r="AM422" i="2"/>
  <c r="AE299" i="2"/>
  <c r="AM299" i="2"/>
  <c r="AE1981" i="2"/>
  <c r="AM1981" i="2"/>
  <c r="AE1433" i="2"/>
  <c r="AM1433" i="2"/>
  <c r="AE1579" i="2"/>
  <c r="AM1579" i="2"/>
  <c r="AE169" i="2"/>
  <c r="AM169" i="2"/>
  <c r="AE373" i="2"/>
  <c r="AM373" i="2"/>
  <c r="AE176" i="2"/>
  <c r="AM176" i="2"/>
  <c r="AE1607" i="2"/>
  <c r="AM1607" i="2"/>
  <c r="AM2177" i="2"/>
  <c r="AE2177" i="2"/>
  <c r="AE1777" i="2"/>
  <c r="AM1777" i="2"/>
  <c r="AM2157" i="2"/>
  <c r="AE2157" i="2"/>
  <c r="AE1759" i="2"/>
  <c r="AM1759" i="2"/>
  <c r="AE2093" i="2"/>
  <c r="AM2093" i="2"/>
  <c r="AE241" i="2"/>
  <c r="AM241" i="2"/>
  <c r="AE160" i="2"/>
  <c r="AM160" i="2"/>
  <c r="AE2119" i="2"/>
  <c r="AM2119" i="2"/>
  <c r="AE2345" i="2"/>
  <c r="AM2345" i="2"/>
  <c r="AE2219" i="2"/>
  <c r="AM2219" i="2"/>
  <c r="AM2179" i="2"/>
  <c r="AE2179" i="2"/>
  <c r="AE355" i="2"/>
  <c r="AM355" i="2"/>
  <c r="AE302" i="2"/>
  <c r="AM302" i="2"/>
  <c r="AE323" i="2"/>
  <c r="AM323" i="2"/>
  <c r="AE191" i="2"/>
  <c r="AM191" i="2"/>
  <c r="AJ95" i="2"/>
  <c r="AD95" i="2"/>
  <c r="AM2147" i="2"/>
  <c r="AE2147" i="2"/>
  <c r="AE962" i="2"/>
  <c r="AM962" i="2"/>
  <c r="AE2075" i="2"/>
  <c r="AM2075" i="2"/>
  <c r="AE844" i="2"/>
  <c r="AM844" i="2"/>
  <c r="AE2013" i="2"/>
  <c r="AM2013" i="2"/>
  <c r="AE26" i="2"/>
  <c r="AM26" i="2"/>
  <c r="AE262" i="2"/>
  <c r="AM262" i="2"/>
  <c r="AE2241" i="2"/>
  <c r="AM2241" i="2"/>
  <c r="AE2107" i="2"/>
  <c r="AM2107" i="2"/>
  <c r="AE2225" i="2"/>
  <c r="AM2225" i="2"/>
  <c r="AE2131" i="2"/>
  <c r="AM2131" i="2"/>
  <c r="AE2355" i="2"/>
  <c r="AM2355" i="2"/>
  <c r="AE1643" i="2"/>
  <c r="AM1643" i="2"/>
  <c r="AE1873" i="2"/>
  <c r="AM1873" i="2"/>
  <c r="AE2163" i="2"/>
  <c r="AM2163" i="2"/>
  <c r="AE321" i="2"/>
  <c r="AM321" i="2"/>
  <c r="AE22" i="2"/>
  <c r="AM22" i="2"/>
  <c r="AE1703" i="2"/>
  <c r="AM1703" i="2"/>
  <c r="AE273" i="2"/>
  <c r="AM273" i="2"/>
  <c r="AE2259" i="2"/>
  <c r="AM2259" i="2"/>
  <c r="AD129" i="2"/>
  <c r="AJ129" i="2"/>
  <c r="AE2217" i="2"/>
  <c r="AM2217" i="2"/>
  <c r="AE1929" i="2"/>
  <c r="AM1929" i="2"/>
  <c r="AE1687" i="2"/>
  <c r="AM1687" i="2"/>
  <c r="AE1577" i="2"/>
  <c r="AM1577" i="2"/>
  <c r="AE189" i="2"/>
  <c r="AM189" i="2"/>
  <c r="AM2353" i="2"/>
  <c r="AE2353" i="2"/>
  <c r="AE120" i="2"/>
  <c r="AM120" i="2"/>
  <c r="AE250" i="2"/>
  <c r="AM250" i="2"/>
  <c r="AE219" i="2"/>
  <c r="AM219" i="2"/>
  <c r="AE1841" i="2"/>
  <c r="AM1841" i="2"/>
  <c r="AM2097" i="2"/>
  <c r="AE2097" i="2"/>
  <c r="AM2211" i="2"/>
  <c r="AE2211" i="2"/>
  <c r="AE2291" i="2"/>
  <c r="AM2291" i="2"/>
  <c r="AE2103" i="2"/>
  <c r="AM2103" i="2"/>
  <c r="AE988" i="2"/>
  <c r="AM988" i="2"/>
  <c r="AE1937" i="2"/>
  <c r="AM1937" i="2"/>
  <c r="AE149" i="2"/>
  <c r="AM149" i="2"/>
  <c r="AE1819" i="2"/>
  <c r="AM1819" i="2"/>
  <c r="AE116" i="2"/>
  <c r="AM116" i="2"/>
  <c r="AE222" i="2"/>
  <c r="AM222" i="2"/>
  <c r="AE1082" i="2"/>
  <c r="AM1082" i="2"/>
  <c r="AE168" i="2"/>
  <c r="AM168" i="2"/>
  <c r="AE1823" i="2"/>
  <c r="AM1823" i="2"/>
  <c r="AE240" i="2"/>
  <c r="AM240" i="2"/>
  <c r="AE2307" i="2"/>
  <c r="AM2307" i="2"/>
  <c r="AE2045" i="2"/>
  <c r="AM2045" i="2"/>
  <c r="AE2221" i="2"/>
  <c r="AM2221" i="2"/>
  <c r="AE2081" i="2"/>
  <c r="AM2081" i="2"/>
  <c r="AE1791" i="2"/>
  <c r="AM1791" i="2"/>
  <c r="AE2125" i="2"/>
  <c r="AM2125" i="2"/>
  <c r="AE1545" i="2"/>
  <c r="AM1545" i="2"/>
  <c r="AE201" i="2"/>
  <c r="AE183" i="2"/>
  <c r="AM183" i="2"/>
  <c r="AE1713" i="2"/>
  <c r="AM1713" i="2"/>
  <c r="AM2285" i="2"/>
  <c r="AE2285" i="2"/>
  <c r="AE2315" i="2"/>
  <c r="AM2315" i="2"/>
  <c r="AE596" i="2"/>
  <c r="AM596" i="2"/>
  <c r="AE37" i="2"/>
  <c r="AM37" i="2"/>
  <c r="AE1671" i="2"/>
  <c r="AM1671" i="2"/>
  <c r="AE1553" i="2"/>
  <c r="AM1553" i="2"/>
  <c r="AE1743" i="2"/>
  <c r="AM1743" i="2"/>
  <c r="AE727" i="2"/>
  <c r="AM727" i="2"/>
  <c r="AD75" i="2"/>
  <c r="AJ75" i="2"/>
  <c r="AE976" i="2"/>
  <c r="AM976" i="2"/>
  <c r="AE2247" i="2"/>
  <c r="AM2247" i="2"/>
  <c r="AE1511" i="2"/>
  <c r="AM1511" i="2"/>
  <c r="AE2427" i="2"/>
  <c r="AM2427" i="2"/>
  <c r="AE1965" i="2"/>
  <c r="AM1965" i="2"/>
  <c r="AE113" i="2"/>
  <c r="AM113" i="2"/>
  <c r="AE1405" i="2"/>
  <c r="AM1405" i="2"/>
  <c r="AE47" i="2"/>
  <c r="AM47" i="2"/>
  <c r="AE211" i="2"/>
  <c r="AM211" i="2"/>
  <c r="AE54" i="2"/>
  <c r="AM54" i="2"/>
  <c r="AM2153" i="2"/>
  <c r="AE2153" i="2"/>
  <c r="AE2151" i="2"/>
  <c r="AM2151" i="2"/>
  <c r="AE678" i="2"/>
  <c r="AM678" i="2"/>
  <c r="AE27" i="2"/>
  <c r="AM27" i="2"/>
  <c r="AE1639" i="2"/>
  <c r="AM1639" i="2"/>
  <c r="AE2311" i="2"/>
  <c r="AM2311" i="2"/>
  <c r="AE840" i="2"/>
  <c r="AM840" i="2"/>
  <c r="AE2343" i="2"/>
  <c r="AM2343" i="2"/>
  <c r="AE173" i="2"/>
  <c r="AM173" i="2"/>
  <c r="AE1655" i="2"/>
  <c r="AM1655" i="2"/>
  <c r="AE2251" i="2"/>
  <c r="AM2251" i="2"/>
  <c r="AE2115" i="2"/>
  <c r="AM2115" i="2"/>
  <c r="AE552" i="2"/>
  <c r="AM552" i="2"/>
  <c r="AE680" i="2"/>
  <c r="AM680" i="2"/>
  <c r="AE1018" i="2"/>
  <c r="AM1018" i="2"/>
  <c r="AE1889" i="2"/>
  <c r="AM1889" i="2"/>
  <c r="AM23" i="2"/>
  <c r="AE2195" i="2"/>
  <c r="AM2195" i="2"/>
  <c r="AE151" i="2"/>
  <c r="AM151" i="2"/>
  <c r="AE267" i="2"/>
  <c r="AM267" i="2"/>
  <c r="AE306" i="2"/>
  <c r="AM306" i="2"/>
  <c r="AE743" i="2"/>
  <c r="AM743" i="2"/>
  <c r="AJ123" i="2"/>
  <c r="AD123" i="2"/>
  <c r="AE112" i="2"/>
  <c r="AM112" i="2"/>
  <c r="AJ91" i="2"/>
  <c r="AD91" i="2"/>
  <c r="AE1839" i="2"/>
  <c r="AM1839" i="2"/>
  <c r="AE940" i="2"/>
  <c r="AM940" i="2"/>
  <c r="AE1611" i="2"/>
  <c r="AM1611" i="2"/>
  <c r="AE994" i="2"/>
  <c r="AM994" i="2"/>
  <c r="AE1711" i="2"/>
  <c r="AM1711" i="2"/>
  <c r="AE2033" i="2"/>
  <c r="AM2033" i="2"/>
  <c r="AE24" i="2"/>
  <c r="AE2058" i="2"/>
  <c r="AM2058" i="2"/>
  <c r="AE1547" i="2"/>
  <c r="AM1547" i="2"/>
  <c r="AE266" i="2"/>
  <c r="AM266" i="2"/>
  <c r="AE1883" i="2"/>
  <c r="AM1883" i="2"/>
  <c r="AE242" i="2"/>
  <c r="AM242" i="2"/>
  <c r="AE337" i="2"/>
  <c r="AM337" i="2"/>
  <c r="AE1979" i="2"/>
  <c r="AM1979" i="2"/>
  <c r="AE140" i="2"/>
  <c r="AM140" i="2"/>
  <c r="AE364" i="2"/>
  <c r="AM364" i="2"/>
  <c r="AE824" i="2"/>
  <c r="AM824" i="2"/>
  <c r="AE335" i="2"/>
  <c r="AM335" i="2"/>
  <c r="AD50" i="2"/>
  <c r="AJ50" i="2"/>
  <c r="AE1391" i="2"/>
  <c r="AM1391" i="2"/>
  <c r="AE1565" i="2"/>
  <c r="AM1565" i="2"/>
  <c r="AE2227" i="2"/>
  <c r="AM2227" i="2"/>
  <c r="AE2183" i="2"/>
  <c r="AM2183" i="2"/>
  <c r="AE782" i="2"/>
  <c r="AM782" i="2"/>
  <c r="AE712" i="2"/>
  <c r="AM712" i="2"/>
  <c r="AE1527" i="2"/>
  <c r="AM1527" i="2"/>
  <c r="AE314" i="2"/>
  <c r="AM314" i="2"/>
  <c r="AE1009" i="2"/>
  <c r="AM1009" i="2"/>
  <c r="AE908" i="2"/>
  <c r="AM908" i="2"/>
  <c r="AE1008" i="2"/>
  <c r="AM1008" i="2"/>
  <c r="AE9" i="2"/>
  <c r="AM9" i="2"/>
  <c r="AE1807" i="2"/>
  <c r="AM1807" i="2"/>
  <c r="AE406" i="2"/>
  <c r="AM406" i="2"/>
  <c r="AE272" i="2"/>
  <c r="AM272" i="2"/>
  <c r="AE759" i="2"/>
  <c r="AM759" i="2"/>
  <c r="AE138" i="2"/>
  <c r="AM138" i="2"/>
  <c r="AE775" i="2"/>
  <c r="AM775" i="2"/>
  <c r="AM2215" i="2"/>
  <c r="AE2215" i="2"/>
  <c r="AE1585" i="2"/>
  <c r="AM1585" i="2"/>
  <c r="AD162" i="2"/>
  <c r="AJ162" i="2"/>
  <c r="AE1073" i="2"/>
  <c r="AM1073" i="2"/>
  <c r="AE1871" i="2"/>
  <c r="AM1871" i="2"/>
  <c r="AE528" i="2"/>
  <c r="AM528" i="2"/>
  <c r="AE305" i="2"/>
  <c r="AM305" i="2"/>
  <c r="AE257" i="2"/>
  <c r="AM257" i="2"/>
  <c r="AE791" i="2"/>
  <c r="AM791" i="2"/>
  <c r="AE1993" i="2"/>
  <c r="AM1993" i="2"/>
  <c r="AE217" i="2"/>
  <c r="AM217" i="2"/>
  <c r="AE12" i="2"/>
  <c r="AM12" i="2"/>
  <c r="AE347" i="2"/>
  <c r="AM347" i="2"/>
  <c r="AE636" i="2"/>
  <c r="AM636" i="2"/>
  <c r="AE61" i="2"/>
  <c r="AE1050" i="2"/>
  <c r="AM1050" i="2"/>
  <c r="AE2123" i="2"/>
  <c r="AM2123" i="2"/>
  <c r="AE1575" i="2"/>
  <c r="AM1575" i="2"/>
  <c r="AE294" i="2"/>
  <c r="AM294" i="2"/>
  <c r="AE288" i="2"/>
  <c r="AM288" i="2"/>
  <c r="AE2349" i="2"/>
  <c r="AM2349" i="2"/>
  <c r="AE286" i="2"/>
  <c r="AM286" i="2"/>
  <c r="AE1065" i="2"/>
  <c r="AM1065" i="2"/>
  <c r="AE860" i="2"/>
  <c r="AM860" i="2"/>
  <c r="AJ49" i="2"/>
  <c r="AD49" i="2"/>
  <c r="AE33" i="2"/>
  <c r="AM33" i="2"/>
  <c r="AE349" i="2"/>
  <c r="AM349" i="2"/>
  <c r="AE1717" i="2"/>
  <c r="AM1717" i="2"/>
  <c r="AE876" i="2"/>
  <c r="AM876" i="2"/>
  <c r="AE234" i="2"/>
  <c r="AM234" i="2"/>
  <c r="AE177" i="2"/>
  <c r="AM177" i="2"/>
  <c r="AE66" i="2"/>
  <c r="AM66" i="2"/>
  <c r="AD48" i="2"/>
  <c r="AJ48" i="2"/>
  <c r="AE416" i="2"/>
  <c r="AM416" i="2"/>
  <c r="AE179" i="2"/>
  <c r="AM179" i="2"/>
  <c r="AE297" i="2"/>
  <c r="AM297" i="2"/>
  <c r="AM2057" i="2"/>
  <c r="AE2057" i="2"/>
  <c r="AM2275" i="2"/>
  <c r="AE2275" i="2"/>
  <c r="AE147" i="2"/>
  <c r="AM147" i="2"/>
  <c r="AM2243" i="2"/>
  <c r="AE2243" i="2"/>
  <c r="AE766" i="2"/>
  <c r="AM766" i="2"/>
  <c r="AE2085" i="2"/>
  <c r="AM2085" i="2"/>
  <c r="AE604" i="2"/>
  <c r="AM604" i="2"/>
  <c r="AE1905" i="2"/>
  <c r="AM1905" i="2"/>
  <c r="AD71" i="2"/>
  <c r="AJ71" i="2"/>
  <c r="AE2424" i="2"/>
  <c r="AM2424" i="2"/>
  <c r="AE2335" i="2"/>
  <c r="AM2335" i="2"/>
  <c r="AE2207" i="2"/>
  <c r="AM2207" i="2"/>
  <c r="AE1866" i="2"/>
  <c r="AM1866" i="2"/>
  <c r="AE1802" i="2"/>
  <c r="AM1802" i="2"/>
  <c r="AE1738" i="2"/>
  <c r="AM1738" i="2"/>
  <c r="AE1546" i="2"/>
  <c r="AM1546" i="2"/>
  <c r="AE896" i="2"/>
  <c r="AM896" i="2"/>
  <c r="AE1975" i="2"/>
  <c r="AM1975" i="2"/>
  <c r="AE1909" i="2"/>
  <c r="AM1909" i="2"/>
  <c r="AE1850" i="2"/>
  <c r="AM1850" i="2"/>
  <c r="AE1786" i="2"/>
  <c r="AM1786" i="2"/>
  <c r="AE1482" i="2"/>
  <c r="AM1482" i="2"/>
  <c r="AE2399" i="2"/>
  <c r="AM2399" i="2"/>
  <c r="AE2367" i="2"/>
  <c r="AM2367" i="2"/>
  <c r="AM2333" i="2"/>
  <c r="AE2333" i="2"/>
  <c r="AE2263" i="2"/>
  <c r="AM2263" i="2"/>
  <c r="AE2216" i="2"/>
  <c r="AM2216" i="2"/>
  <c r="AE2127" i="2"/>
  <c r="AM2127" i="2"/>
  <c r="AE848" i="2"/>
  <c r="AM848" i="2"/>
  <c r="AE800" i="2"/>
  <c r="AM800" i="2"/>
  <c r="AE216" i="2"/>
  <c r="AM216" i="2"/>
  <c r="AE746" i="2"/>
  <c r="AM746" i="2"/>
  <c r="AE1017" i="2"/>
  <c r="AM1017" i="2"/>
  <c r="AE496" i="2"/>
  <c r="AM496" i="2"/>
  <c r="AE99" i="2"/>
  <c r="AM99" i="2"/>
  <c r="AE319" i="2"/>
  <c r="AM319" i="2"/>
  <c r="AE255" i="2"/>
  <c r="AM255" i="2"/>
  <c r="AE175" i="2"/>
  <c r="AM175" i="2"/>
  <c r="AE74" i="2"/>
  <c r="AM74" i="2"/>
  <c r="AE21" i="2"/>
  <c r="AM21" i="2"/>
  <c r="AE358" i="2"/>
  <c r="AM358" i="2"/>
  <c r="AE277" i="2"/>
  <c r="AM277" i="2"/>
  <c r="AE209" i="2"/>
  <c r="AM209" i="2"/>
  <c r="AD56" i="2"/>
  <c r="AJ56" i="2"/>
  <c r="AD106" i="2"/>
  <c r="AK106" i="2"/>
  <c r="AE1913" i="2"/>
  <c r="AM1913" i="2"/>
  <c r="AE2296" i="2"/>
  <c r="AM2296" i="2"/>
  <c r="AE2100" i="2"/>
  <c r="AM2100" i="2"/>
  <c r="AE1109" i="2"/>
  <c r="AM1109" i="2"/>
  <c r="AE1024" i="2"/>
  <c r="AM1024" i="2"/>
  <c r="AE944" i="2"/>
  <c r="AM944" i="2"/>
  <c r="AE376" i="2"/>
  <c r="AM376" i="2"/>
  <c r="AE1049" i="2"/>
  <c r="AM1049" i="2"/>
  <c r="AE774" i="2"/>
  <c r="AM774" i="2"/>
  <c r="AE702" i="2"/>
  <c r="AM702" i="2"/>
  <c r="AE311" i="2"/>
  <c r="AM311" i="2"/>
  <c r="AE247" i="2"/>
  <c r="AM247" i="2"/>
  <c r="AD4" i="2"/>
  <c r="AK4" i="2"/>
  <c r="AD40" i="2"/>
  <c r="AK40" i="2"/>
  <c r="AE2376" i="2"/>
  <c r="AM2376" i="2"/>
  <c r="AE2271" i="2"/>
  <c r="AM2271" i="2"/>
  <c r="AE2143" i="2"/>
  <c r="AM2143" i="2"/>
  <c r="AE1946" i="2"/>
  <c r="AM1946" i="2"/>
  <c r="AE1881" i="2"/>
  <c r="AM1881" i="2"/>
  <c r="AE1817" i="2"/>
  <c r="AM1817" i="2"/>
  <c r="AE1753" i="2"/>
  <c r="AM1753" i="2"/>
  <c r="AE1267" i="2"/>
  <c r="AM1267" i="2"/>
  <c r="AE767" i="2"/>
  <c r="AM767" i="2"/>
  <c r="AE2295" i="2"/>
  <c r="AM2295" i="2"/>
  <c r="AE2248" i="2"/>
  <c r="AM2248" i="2"/>
  <c r="AE2159" i="2"/>
  <c r="AM2159" i="2"/>
  <c r="AE1789" i="2"/>
  <c r="AM1789" i="2"/>
  <c r="AE1541" i="2"/>
  <c r="AM1541" i="2"/>
  <c r="AE1941" i="2"/>
  <c r="AM1941" i="2"/>
  <c r="AE1865" i="2"/>
  <c r="AM1865" i="2"/>
  <c r="AE1801" i="2"/>
  <c r="AM1801" i="2"/>
  <c r="AE1499" i="2"/>
  <c r="AM1499" i="2"/>
  <c r="AE2327" i="2"/>
  <c r="AM2327" i="2"/>
  <c r="AE2280" i="2"/>
  <c r="AM2280" i="2"/>
  <c r="AE2191" i="2"/>
  <c r="AM2191" i="2"/>
  <c r="AM2141" i="2"/>
  <c r="AE2141" i="2"/>
  <c r="AE2043" i="2"/>
  <c r="AM2043" i="2"/>
  <c r="AE1935" i="2"/>
  <c r="AM1935" i="2"/>
  <c r="AE1673" i="2"/>
  <c r="AM1673" i="2"/>
  <c r="AE1609" i="2"/>
  <c r="AM1609" i="2"/>
  <c r="AE1467" i="2"/>
  <c r="AM1467" i="2"/>
  <c r="AE1068" i="2"/>
  <c r="AM1068" i="2"/>
  <c r="AE1105" i="2"/>
  <c r="AM1105" i="2"/>
  <c r="AE1057" i="2"/>
  <c r="AM1057" i="2"/>
  <c r="AE978" i="2"/>
  <c r="AM978" i="2"/>
  <c r="AE820" i="2"/>
  <c r="AM820" i="2"/>
  <c r="AE690" i="2"/>
  <c r="AM690" i="2"/>
  <c r="AE63" i="2"/>
  <c r="AM63" i="2"/>
  <c r="AE185" i="2"/>
  <c r="J198" i="28"/>
  <c r="I198" i="28"/>
  <c r="L198" i="28"/>
  <c r="H198" i="28"/>
  <c r="K198" i="28"/>
  <c r="AD3" i="2"/>
  <c r="AK3" i="2"/>
  <c r="AE2401" i="2"/>
  <c r="AM2401" i="2"/>
  <c r="AE2104" i="2"/>
  <c r="AM2104" i="2"/>
  <c r="AE912" i="2"/>
  <c r="AM912" i="2"/>
  <c r="AE715" i="2"/>
  <c r="AM715" i="2"/>
  <c r="AE719" i="2"/>
  <c r="AM719" i="2"/>
  <c r="AE1074" i="2"/>
  <c r="AM1074" i="2"/>
  <c r="AE1025" i="2"/>
  <c r="AM1025" i="2"/>
  <c r="AE932" i="2"/>
  <c r="AM932" i="2"/>
  <c r="AE804" i="2"/>
  <c r="AM804" i="2"/>
  <c r="AE688" i="2"/>
  <c r="AM688" i="2"/>
  <c r="AE409" i="2"/>
  <c r="AM409" i="2"/>
  <c r="AE755" i="2"/>
  <c r="AM755" i="2"/>
  <c r="AE580" i="2"/>
  <c r="AE385" i="2"/>
  <c r="AM385" i="2"/>
  <c r="AE285" i="2"/>
  <c r="AM285" i="2"/>
  <c r="AE221" i="2"/>
  <c r="AM221" i="2"/>
  <c r="AE11" i="2"/>
  <c r="AM11" i="2"/>
  <c r="AD107" i="2"/>
  <c r="AK107" i="2"/>
  <c r="AD105" i="2"/>
  <c r="AK105" i="2"/>
  <c r="AD77" i="2"/>
  <c r="AK77" i="2"/>
  <c r="AE2369" i="2"/>
  <c r="AM2369" i="2"/>
  <c r="AE2392" i="2"/>
  <c r="AM2392" i="2"/>
  <c r="AE2288" i="2"/>
  <c r="AM2288" i="2"/>
  <c r="AE2160" i="2"/>
  <c r="AM2160" i="2"/>
  <c r="AE2407" i="2"/>
  <c r="AM2407" i="2"/>
  <c r="AE2375" i="2"/>
  <c r="AM2375" i="2"/>
  <c r="AE2351" i="2"/>
  <c r="AM2351" i="2"/>
  <c r="AM2301" i="2"/>
  <c r="AE2301" i="2"/>
  <c r="AE2231" i="2"/>
  <c r="AM2231" i="2"/>
  <c r="AE2184" i="2"/>
  <c r="AM2184" i="2"/>
  <c r="AE1853" i="2"/>
  <c r="AM1853" i="2"/>
  <c r="AE1722" i="2"/>
  <c r="AM1722" i="2"/>
  <c r="AE1649" i="2"/>
  <c r="AM1649" i="2"/>
  <c r="AE1251" i="2"/>
  <c r="AM1251" i="2"/>
  <c r="AE1201" i="2"/>
  <c r="AM1201" i="2"/>
  <c r="AE1064" i="2"/>
  <c r="AM1064" i="2"/>
  <c r="AE1012" i="2"/>
  <c r="AM1012" i="2"/>
  <c r="AE916" i="2"/>
  <c r="AM916" i="2"/>
  <c r="AE770" i="2"/>
  <c r="AM770" i="2"/>
  <c r="AM620" i="2"/>
  <c r="AE389" i="2"/>
  <c r="AM389" i="2"/>
  <c r="AE417" i="2"/>
  <c r="AM417" i="2"/>
  <c r="AD90" i="2"/>
  <c r="AJ90" i="2"/>
  <c r="AD133" i="2"/>
  <c r="AJ133" i="2"/>
  <c r="AM2121" i="2"/>
  <c r="AE2121" i="2"/>
  <c r="AE2228" i="2"/>
  <c r="AM2228" i="2"/>
  <c r="AE1895" i="2"/>
  <c r="AM1895" i="2"/>
  <c r="AE1767" i="2"/>
  <c r="AM1767" i="2"/>
  <c r="AE832" i="2"/>
  <c r="AM832" i="2"/>
  <c r="AE1531" i="2"/>
  <c r="AM1531" i="2"/>
  <c r="AE1347" i="2"/>
  <c r="AM1347" i="2"/>
  <c r="AE2303" i="2"/>
  <c r="AM2303" i="2"/>
  <c r="AE2136" i="2"/>
  <c r="AM2136" i="2"/>
  <c r="AE1973" i="2"/>
  <c r="AM1973" i="2"/>
  <c r="AE1771" i="2"/>
  <c r="AM1771" i="2"/>
  <c r="AE1690" i="2"/>
  <c r="AM1690" i="2"/>
  <c r="AE1626" i="2"/>
  <c r="AM1626" i="2"/>
  <c r="AE2331" i="2"/>
  <c r="AM2331" i="2"/>
  <c r="AE2203" i="2"/>
  <c r="AM2203" i="2"/>
  <c r="AE2047" i="2"/>
  <c r="AM2047" i="2"/>
  <c r="AE1869" i="2"/>
  <c r="AM1869" i="2"/>
  <c r="AE1657" i="2"/>
  <c r="AM1657" i="2"/>
  <c r="AE1593" i="2"/>
  <c r="AM1593" i="2"/>
  <c r="AE795" i="2"/>
  <c r="AM795" i="2"/>
  <c r="AE779" i="2"/>
  <c r="AM779" i="2"/>
  <c r="AE1089" i="2"/>
  <c r="AM1089" i="2"/>
  <c r="AE1010" i="2"/>
  <c r="AM1010" i="2"/>
  <c r="AE961" i="2"/>
  <c r="AM961" i="2"/>
  <c r="AE836" i="2"/>
  <c r="AM836" i="2"/>
  <c r="AE722" i="2"/>
  <c r="AM722" i="2"/>
  <c r="AE762" i="2"/>
  <c r="AM762" i="2"/>
  <c r="AE440" i="2"/>
  <c r="AM440" i="2"/>
  <c r="AE317" i="2"/>
  <c r="AM317" i="2"/>
  <c r="AE253" i="2"/>
  <c r="AM253" i="2"/>
  <c r="AM2313" i="2"/>
  <c r="AE2313" i="2"/>
  <c r="AE2352" i="2"/>
  <c r="AM2352" i="2"/>
  <c r="AE2224" i="2"/>
  <c r="AM2224" i="2"/>
  <c r="AE2096" i="2"/>
  <c r="AM2096" i="2"/>
  <c r="AE960" i="2"/>
  <c r="AM960" i="2"/>
  <c r="AE1283" i="2"/>
  <c r="AM1283" i="2"/>
  <c r="AE928" i="2"/>
  <c r="AM928" i="2"/>
  <c r="AE992" i="2"/>
  <c r="AM992" i="2"/>
  <c r="AE296" i="2"/>
  <c r="AM296" i="2"/>
  <c r="AE739" i="2"/>
  <c r="AM739" i="2"/>
  <c r="AE682" i="2"/>
  <c r="AM682" i="2"/>
  <c r="AE1081" i="2"/>
  <c r="AM1081" i="2"/>
  <c r="AE953" i="2"/>
  <c r="AM953" i="2"/>
  <c r="AE350" i="2"/>
  <c r="AM350" i="2"/>
  <c r="AE287" i="2"/>
  <c r="AM287" i="2"/>
  <c r="AE223" i="2"/>
  <c r="AM223" i="2"/>
  <c r="AM146" i="2"/>
  <c r="AE325" i="2"/>
  <c r="AM325" i="2"/>
  <c r="AE263" i="2"/>
  <c r="AM263" i="2"/>
  <c r="AE184" i="2"/>
  <c r="AM184" i="2"/>
  <c r="AE204" i="2"/>
  <c r="AM204" i="2"/>
  <c r="AD124" i="2"/>
  <c r="AJ124" i="2"/>
  <c r="AD93" i="2"/>
  <c r="AJ93" i="2"/>
  <c r="AD132" i="2"/>
  <c r="AJ132" i="2"/>
  <c r="AM2249" i="2"/>
  <c r="AE2249" i="2"/>
  <c r="AE2232" i="2"/>
  <c r="AM2232" i="2"/>
  <c r="AE1978" i="2"/>
  <c r="AM1978" i="2"/>
  <c r="AE1799" i="2"/>
  <c r="AM1799" i="2"/>
  <c r="AE1563" i="2"/>
  <c r="AM1563" i="2"/>
  <c r="AE1417" i="2"/>
  <c r="AM1417" i="2"/>
  <c r="AE2200" i="2"/>
  <c r="AM2200" i="2"/>
  <c r="AM2055" i="2"/>
  <c r="AE2055" i="2"/>
  <c r="AE1911" i="2"/>
  <c r="AM1911" i="2"/>
  <c r="AE1847" i="2"/>
  <c r="AM1847" i="2"/>
  <c r="AE1783" i="2"/>
  <c r="AM1783" i="2"/>
  <c r="AE1706" i="2"/>
  <c r="AM1706" i="2"/>
  <c r="AE1642" i="2"/>
  <c r="AM1642" i="2"/>
  <c r="AE1569" i="2"/>
  <c r="AM1569" i="2"/>
  <c r="AE2267" i="2"/>
  <c r="AM2267" i="2"/>
  <c r="AE2139" i="2"/>
  <c r="AM2139" i="2"/>
  <c r="AE1931" i="2"/>
  <c r="AM1931" i="2"/>
  <c r="AE1837" i="2"/>
  <c r="AM1837" i="2"/>
  <c r="AE1735" i="2"/>
  <c r="AM1735" i="2"/>
  <c r="AE731" i="2"/>
  <c r="AM731" i="2"/>
  <c r="AE280" i="2"/>
  <c r="AM280" i="2"/>
  <c r="AE441" i="2"/>
  <c r="AM441" i="2"/>
  <c r="AE448" i="2"/>
  <c r="AM448" i="2"/>
  <c r="AE985" i="2"/>
  <c r="AM985" i="2"/>
  <c r="AE758" i="2"/>
  <c r="AM758" i="2"/>
  <c r="AE279" i="2"/>
  <c r="AM279" i="2"/>
  <c r="AE215" i="2"/>
  <c r="AM215" i="2"/>
  <c r="AE43" i="2"/>
  <c r="AM43" i="2"/>
  <c r="AM2185" i="2"/>
  <c r="AE2185" i="2"/>
  <c r="AE2360" i="2"/>
  <c r="AM2360" i="2"/>
  <c r="AE2257" i="2"/>
  <c r="AM2257" i="2"/>
  <c r="AE2129" i="2"/>
  <c r="AM2129" i="2"/>
  <c r="AE1927" i="2"/>
  <c r="AM1927" i="2"/>
  <c r="AE1849" i="2"/>
  <c r="AM1849" i="2"/>
  <c r="AE1785" i="2"/>
  <c r="AM1785" i="2"/>
  <c r="AE1573" i="2"/>
  <c r="AM1573" i="2"/>
  <c r="AE1235" i="2"/>
  <c r="AM1235" i="2"/>
  <c r="AE2111" i="2"/>
  <c r="AM2111" i="2"/>
  <c r="AM2053" i="2"/>
  <c r="AE2053" i="2"/>
  <c r="AE1917" i="2"/>
  <c r="AM1917" i="2"/>
  <c r="AE1882" i="2"/>
  <c r="AM1882" i="2"/>
  <c r="AE1818" i="2"/>
  <c r="AM1818" i="2"/>
  <c r="AE1754" i="2"/>
  <c r="AM1754" i="2"/>
  <c r="AE2415" i="2"/>
  <c r="AM2415" i="2"/>
  <c r="AE2383" i="2"/>
  <c r="AM2383" i="2"/>
  <c r="AE2344" i="2"/>
  <c r="AM2344" i="2"/>
  <c r="AE2255" i="2"/>
  <c r="AM2255" i="2"/>
  <c r="AM2205" i="2"/>
  <c r="AE2205" i="2"/>
  <c r="AE2135" i="2"/>
  <c r="AM2135" i="2"/>
  <c r="AE1705" i="2"/>
  <c r="AM1705" i="2"/>
  <c r="AE1641" i="2"/>
  <c r="AM1641" i="2"/>
  <c r="AE1578" i="2"/>
  <c r="AM1578" i="2"/>
  <c r="AE1425" i="2"/>
  <c r="AM1425" i="2"/>
  <c r="AE1125" i="2"/>
  <c r="AM1125" i="2"/>
  <c r="AE771" i="2"/>
  <c r="AM771" i="2"/>
  <c r="AE698" i="2"/>
  <c r="AM698" i="2"/>
  <c r="AE524" i="2"/>
  <c r="AM524" i="2"/>
  <c r="AE312" i="2"/>
  <c r="AM312" i="2"/>
  <c r="AE970" i="2"/>
  <c r="AM970" i="2"/>
  <c r="AE464" i="2"/>
  <c r="AM464" i="2"/>
  <c r="AE301" i="2"/>
  <c r="AM301" i="2"/>
  <c r="AE237" i="2"/>
  <c r="AM237" i="2"/>
  <c r="AE96" i="2"/>
  <c r="AE295" i="2"/>
  <c r="AM295" i="2"/>
  <c r="AE231" i="2"/>
  <c r="AM231" i="2"/>
  <c r="AD15" i="2"/>
  <c r="AJ15" i="2"/>
  <c r="AE2356" i="2"/>
  <c r="AM2356" i="2"/>
  <c r="AE1959" i="2"/>
  <c r="AM1959" i="2"/>
  <c r="AM684" i="2"/>
  <c r="AE1056" i="2"/>
  <c r="AM1056" i="2"/>
  <c r="AE377" i="2"/>
  <c r="AM377" i="2"/>
  <c r="AE248" i="2"/>
  <c r="AM248" i="2"/>
  <c r="AE1002" i="2"/>
  <c r="AM1002" i="2"/>
  <c r="AE742" i="2"/>
  <c r="AM742" i="2"/>
  <c r="AE293" i="2"/>
  <c r="AM293" i="2"/>
  <c r="AE229" i="2"/>
  <c r="AM229" i="2"/>
  <c r="AD202" i="2"/>
  <c r="AJ202" i="2"/>
  <c r="AD76" i="2"/>
  <c r="AK76" i="2"/>
  <c r="AE2417" i="2"/>
  <c r="AM2417" i="2"/>
  <c r="AE2321" i="2"/>
  <c r="AM2321" i="2"/>
  <c r="AE2193" i="2"/>
  <c r="AM2193" i="2"/>
  <c r="AE1898" i="2"/>
  <c r="AM1898" i="2"/>
  <c r="AE1834" i="2"/>
  <c r="AM1834" i="2"/>
  <c r="AE1770" i="2"/>
  <c r="AM1770" i="2"/>
  <c r="AE1505" i="2"/>
  <c r="AM1505" i="2"/>
  <c r="AE1203" i="2"/>
  <c r="AM1203" i="2"/>
  <c r="AE2287" i="2"/>
  <c r="AM2287" i="2"/>
  <c r="AM2237" i="2"/>
  <c r="AE2237" i="2"/>
  <c r="AE2167" i="2"/>
  <c r="AM2167" i="2"/>
  <c r="AE2120" i="2"/>
  <c r="AM2120" i="2"/>
  <c r="AE1737" i="2"/>
  <c r="AM1737" i="2"/>
  <c r="AE1681" i="2"/>
  <c r="AM1681" i="2"/>
  <c r="AE1617" i="2"/>
  <c r="AM1617" i="2"/>
  <c r="AE1897" i="2"/>
  <c r="AM1897" i="2"/>
  <c r="AE1833" i="2"/>
  <c r="AM1833" i="2"/>
  <c r="AE1769" i="2"/>
  <c r="AM1769" i="2"/>
  <c r="AE2319" i="2"/>
  <c r="AM2319" i="2"/>
  <c r="AM2269" i="2"/>
  <c r="AE2269" i="2"/>
  <c r="AE2199" i="2"/>
  <c r="AM2199" i="2"/>
  <c r="AE2152" i="2"/>
  <c r="AM2152" i="2"/>
  <c r="AE2079" i="2"/>
  <c r="AM2079" i="2"/>
  <c r="AE1967" i="2"/>
  <c r="AM1967" i="2"/>
  <c r="AE1537" i="2"/>
  <c r="AM1537" i="2"/>
  <c r="AE1401" i="2"/>
  <c r="AM1401" i="2"/>
  <c r="AE751" i="2"/>
  <c r="AM751" i="2"/>
  <c r="AE735" i="2"/>
  <c r="AM735" i="2"/>
  <c r="AE763" i="2"/>
  <c r="AM763" i="2"/>
  <c r="AE1076" i="2"/>
  <c r="AM1076" i="2"/>
  <c r="AE1000" i="2"/>
  <c r="AM1000" i="2"/>
  <c r="AE884" i="2"/>
  <c r="AM884" i="2"/>
  <c r="AE738" i="2"/>
  <c r="AM738" i="2"/>
  <c r="AE508" i="2"/>
  <c r="AM508" i="2"/>
  <c r="AE2385" i="2"/>
  <c r="AM2385" i="2"/>
  <c r="AE2164" i="2"/>
  <c r="AM2164" i="2"/>
  <c r="AE972" i="2"/>
  <c r="AM972" i="2"/>
  <c r="AE1004" i="2"/>
  <c r="AM1004" i="2"/>
  <c r="AE1121" i="2"/>
  <c r="AM1121" i="2"/>
  <c r="AE1044" i="2"/>
  <c r="AM1044" i="2"/>
  <c r="AE968" i="2"/>
  <c r="AM968" i="2"/>
  <c r="AE868" i="2"/>
  <c r="AM868" i="2"/>
  <c r="AE754" i="2"/>
  <c r="AM754" i="2"/>
  <c r="AE232" i="2"/>
  <c r="AM232" i="2"/>
  <c r="AE794" i="2"/>
  <c r="AM794" i="2"/>
  <c r="AE730" i="2"/>
  <c r="AM730" i="2"/>
  <c r="AE51" i="2"/>
  <c r="AM51" i="2"/>
  <c r="AE438" i="2"/>
  <c r="AM438" i="2"/>
  <c r="AE303" i="2"/>
  <c r="AM303" i="2"/>
  <c r="AE239" i="2"/>
  <c r="AM239" i="2"/>
  <c r="AD130" i="2"/>
  <c r="AJ130" i="2"/>
  <c r="AE2001" i="2"/>
  <c r="AM2001" i="2"/>
  <c r="AE1141" i="2"/>
  <c r="AM1141" i="2"/>
  <c r="AE2423" i="2"/>
  <c r="AM2423" i="2"/>
  <c r="AE2391" i="2"/>
  <c r="AM2391" i="2"/>
  <c r="AE2359" i="2"/>
  <c r="AM2359" i="2"/>
  <c r="AE2312" i="2"/>
  <c r="AM2312" i="2"/>
  <c r="AE2223" i="2"/>
  <c r="AM2223" i="2"/>
  <c r="AM2173" i="2"/>
  <c r="AE2173" i="2"/>
  <c r="AE2095" i="2"/>
  <c r="AM2095" i="2"/>
  <c r="AE1757" i="2"/>
  <c r="AM1757" i="2"/>
  <c r="AE1088" i="2"/>
  <c r="AM1088" i="2"/>
  <c r="AE948" i="2"/>
  <c r="AM948" i="2"/>
  <c r="AE816" i="2"/>
  <c r="AM816" i="2"/>
  <c r="AE1137" i="2"/>
  <c r="AM1137" i="2"/>
  <c r="AE1042" i="2"/>
  <c r="AM1042" i="2"/>
  <c r="AE993" i="2"/>
  <c r="AM993" i="2"/>
  <c r="AE852" i="2"/>
  <c r="AM852" i="2"/>
  <c r="AE706" i="2"/>
  <c r="AM706" i="2"/>
  <c r="AE444" i="2"/>
  <c r="AM444" i="2"/>
  <c r="AE264" i="2"/>
  <c r="AM264" i="2"/>
  <c r="AE2168" i="2"/>
  <c r="AM2168" i="2"/>
  <c r="AE1914" i="2"/>
  <c r="AM1914" i="2"/>
  <c r="AE1831" i="2"/>
  <c r="AM1831" i="2"/>
  <c r="AE1453" i="2"/>
  <c r="AM1453" i="2"/>
  <c r="AE2299" i="2"/>
  <c r="AM2299" i="2"/>
  <c r="AE2171" i="2"/>
  <c r="AM2171" i="2"/>
  <c r="AE1821" i="2"/>
  <c r="AM1821" i="2"/>
  <c r="AE1665" i="2"/>
  <c r="AM1665" i="2"/>
  <c r="AE1601" i="2"/>
  <c r="AM1601" i="2"/>
  <c r="AE1473" i="2"/>
  <c r="AM1473" i="2"/>
  <c r="AE2264" i="2"/>
  <c r="AM2264" i="2"/>
  <c r="AE2175" i="2"/>
  <c r="AM2175" i="2"/>
  <c r="AE1943" i="2"/>
  <c r="AM1943" i="2"/>
  <c r="AE1803" i="2"/>
  <c r="AM1803" i="2"/>
  <c r="AE1721" i="2"/>
  <c r="AM1721" i="2"/>
  <c r="AE1658" i="2"/>
  <c r="AM1658" i="2"/>
  <c r="AE1594" i="2"/>
  <c r="AM1594" i="2"/>
  <c r="AE2037" i="2"/>
  <c r="AM2037" i="2"/>
  <c r="AE1805" i="2"/>
  <c r="AM1805" i="2"/>
  <c r="AE1093" i="2"/>
  <c r="AM1093" i="2"/>
  <c r="AE783" i="2"/>
  <c r="AM783" i="2"/>
  <c r="AE1032" i="2"/>
  <c r="AM1032" i="2"/>
  <c r="AE980" i="2"/>
  <c r="AM980" i="2"/>
  <c r="AE900" i="2"/>
  <c r="AM900" i="2"/>
  <c r="AE786" i="2"/>
  <c r="AM786" i="2"/>
  <c r="AE704" i="2"/>
  <c r="AM704" i="2"/>
  <c r="AE453" i="2"/>
  <c r="AM453" i="2"/>
  <c r="AE408" i="2"/>
  <c r="AM408" i="2"/>
  <c r="AE787" i="2"/>
  <c r="AM787" i="2"/>
  <c r="AE723" i="2"/>
  <c r="AM723" i="2"/>
  <c r="AE512" i="2"/>
  <c r="AM512" i="2"/>
  <c r="AE214" i="2"/>
  <c r="AE271" i="2"/>
  <c r="AM271" i="2"/>
  <c r="AE159" i="2"/>
  <c r="AM159" i="2"/>
  <c r="AE341" i="2"/>
  <c r="AM341" i="2"/>
  <c r="AD163" i="2"/>
  <c r="AJ163" i="2"/>
  <c r="AE2408" i="2"/>
  <c r="AM2408" i="2"/>
  <c r="AE1991" i="2"/>
  <c r="AM1991" i="2"/>
  <c r="AE1036" i="2"/>
  <c r="AM1036" i="2"/>
  <c r="AE1219" i="2"/>
  <c r="AM1219" i="2"/>
  <c r="AE326" i="2"/>
  <c r="AM326" i="2"/>
  <c r="AE778" i="2"/>
  <c r="AM778" i="2"/>
  <c r="AE714" i="2"/>
  <c r="AM714" i="2"/>
  <c r="AE1034" i="2"/>
  <c r="AM1034" i="2"/>
  <c r="AE686" i="2"/>
  <c r="AM686" i="2"/>
  <c r="AE480" i="2"/>
  <c r="AM480" i="2"/>
  <c r="AE329" i="2"/>
  <c r="AM329" i="2"/>
  <c r="AE269" i="2"/>
  <c r="AM269" i="2"/>
  <c r="AE158" i="2"/>
  <c r="AM158" i="2"/>
  <c r="AE144" i="2"/>
  <c r="AM144" i="2"/>
  <c r="AE334" i="2"/>
  <c r="AM334" i="2"/>
  <c r="AE309" i="2"/>
  <c r="AM309" i="2"/>
  <c r="AE245" i="2"/>
  <c r="AM245" i="2"/>
  <c r="AD5" i="2"/>
  <c r="AK5" i="2"/>
  <c r="AE2292" i="2"/>
  <c r="AM2292" i="2"/>
  <c r="AE1863" i="2"/>
  <c r="AM1863" i="2"/>
  <c r="AE1719" i="2"/>
  <c r="AM1719" i="2"/>
  <c r="AE747" i="2"/>
  <c r="AM747" i="2"/>
  <c r="AE2235" i="2"/>
  <c r="AM2235" i="2"/>
  <c r="AE2031" i="2"/>
  <c r="AM2031" i="2"/>
  <c r="AE1697" i="2"/>
  <c r="AM1697" i="2"/>
  <c r="AE1633" i="2"/>
  <c r="AM1633" i="2"/>
  <c r="AE1514" i="2"/>
  <c r="AM1514" i="2"/>
  <c r="AE2328" i="2"/>
  <c r="AM2328" i="2"/>
  <c r="AE2239" i="2"/>
  <c r="AM2239" i="2"/>
  <c r="AE1945" i="2"/>
  <c r="AM1945" i="2"/>
  <c r="AE1879" i="2"/>
  <c r="AM1879" i="2"/>
  <c r="AE1815" i="2"/>
  <c r="AM1815" i="2"/>
  <c r="AE1751" i="2"/>
  <c r="AM1751" i="2"/>
  <c r="AE1674" i="2"/>
  <c r="AM1674" i="2"/>
  <c r="AE1610" i="2"/>
  <c r="AM1610" i="2"/>
  <c r="AE1509" i="2"/>
  <c r="AM1509" i="2"/>
  <c r="AE1963" i="2"/>
  <c r="AM1963" i="2"/>
  <c r="AE1901" i="2"/>
  <c r="AM1901" i="2"/>
  <c r="AE1773" i="2"/>
  <c r="AM1773" i="2"/>
  <c r="AE1689" i="2"/>
  <c r="AM1689" i="2"/>
  <c r="AE1625" i="2"/>
  <c r="AM1625" i="2"/>
  <c r="AE1477" i="2"/>
  <c r="AM1477" i="2"/>
  <c r="AE864" i="2"/>
  <c r="AM864" i="2"/>
  <c r="AE880" i="2"/>
  <c r="AM880" i="2"/>
  <c r="AE449" i="2"/>
  <c r="AM449" i="2"/>
  <c r="AE421" i="2"/>
  <c r="AM421" i="2"/>
  <c r="AE1066" i="2"/>
  <c r="AM1066" i="2"/>
  <c r="AE790" i="2"/>
  <c r="AM790" i="2"/>
  <c r="AE726" i="2"/>
  <c r="AM726" i="2"/>
  <c r="AE261" i="2"/>
  <c r="AM261" i="2"/>
  <c r="AD2" i="2"/>
  <c r="AJ2" i="2"/>
  <c r="AD154" i="2"/>
  <c r="AJ154" i="2"/>
  <c r="AE2032" i="2"/>
  <c r="AM2032" i="2"/>
  <c r="AE2000" i="2"/>
  <c r="AM2000" i="2"/>
  <c r="AE1936" i="2"/>
  <c r="AM1936" i="2"/>
  <c r="AE1872" i="2"/>
  <c r="AM1872" i="2"/>
  <c r="AE1808" i="2"/>
  <c r="AM1808" i="2"/>
  <c r="AE1744" i="2"/>
  <c r="AM1744" i="2"/>
  <c r="AE1684" i="2"/>
  <c r="AM1684" i="2"/>
  <c r="AE1652" i="2"/>
  <c r="AM1652" i="2"/>
  <c r="AE1620" i="2"/>
  <c r="AM1620" i="2"/>
  <c r="AE1588" i="2"/>
  <c r="AM1588" i="2"/>
  <c r="AE1556" i="2"/>
  <c r="AM1556" i="2"/>
  <c r="AE1524" i="2"/>
  <c r="AM1524" i="2"/>
  <c r="AE1492" i="2"/>
  <c r="AM1492" i="2"/>
  <c r="AE1460" i="2"/>
  <c r="AM1460" i="2"/>
  <c r="AE1428" i="2"/>
  <c r="AM1428" i="2"/>
  <c r="AE1396" i="2"/>
  <c r="AM1396" i="2"/>
  <c r="AE1338" i="2"/>
  <c r="AM1338" i="2"/>
  <c r="AE1274" i="2"/>
  <c r="AM1274" i="2"/>
  <c r="AE1210" i="2"/>
  <c r="AM1210" i="2"/>
  <c r="AE1146" i="2"/>
  <c r="AM1146" i="2"/>
  <c r="AE2076" i="2"/>
  <c r="AM2076" i="2"/>
  <c r="AE2044" i="2"/>
  <c r="AM2044" i="2"/>
  <c r="AE1427" i="2"/>
  <c r="AM1427" i="2"/>
  <c r="AE1366" i="2"/>
  <c r="AM1366" i="2"/>
  <c r="AE1302" i="2"/>
  <c r="AM1302" i="2"/>
  <c r="AE1238" i="2"/>
  <c r="AM1238" i="2"/>
  <c r="AE1174" i="2"/>
  <c r="AM1174" i="2"/>
  <c r="AE1110" i="2"/>
  <c r="AM1110" i="2"/>
  <c r="AE1046" i="2"/>
  <c r="AM1046" i="2"/>
  <c r="AE982" i="2"/>
  <c r="AM982" i="2"/>
  <c r="AE890" i="2"/>
  <c r="AM890" i="2"/>
  <c r="AE826" i="2"/>
  <c r="AM826" i="2"/>
  <c r="AE947" i="2"/>
  <c r="AM947" i="2"/>
  <c r="AE915" i="2"/>
  <c r="AM915" i="2"/>
  <c r="AE883" i="2"/>
  <c r="AM883" i="2"/>
  <c r="AE851" i="2"/>
  <c r="AM851" i="2"/>
  <c r="AE819" i="2"/>
  <c r="AM819" i="2"/>
  <c r="AE769" i="2"/>
  <c r="AM769" i="2"/>
  <c r="AE663" i="2"/>
  <c r="AM663" i="2"/>
  <c r="AE599" i="2"/>
  <c r="AM599" i="2"/>
  <c r="AE967" i="2"/>
  <c r="AM967" i="2"/>
  <c r="AE919" i="2"/>
  <c r="AM919" i="2"/>
  <c r="AE887" i="2"/>
  <c r="AM887" i="2"/>
  <c r="AE855" i="2"/>
  <c r="AM855" i="2"/>
  <c r="AE823" i="2"/>
  <c r="AM823" i="2"/>
  <c r="AE781" i="2"/>
  <c r="AM781" i="2"/>
  <c r="AE717" i="2"/>
  <c r="AM717" i="2"/>
  <c r="AE929" i="2"/>
  <c r="AM929" i="2"/>
  <c r="AE897" i="2"/>
  <c r="AM897" i="2"/>
  <c r="AE865" i="2"/>
  <c r="AM865" i="2"/>
  <c r="AE833" i="2"/>
  <c r="AM833" i="2"/>
  <c r="AE801" i="2"/>
  <c r="AM801" i="2"/>
  <c r="AE745" i="2"/>
  <c r="AM745" i="2"/>
  <c r="AE705" i="2"/>
  <c r="AM705" i="2"/>
  <c r="AE689" i="2"/>
  <c r="AM689" i="2"/>
  <c r="AE661" i="2"/>
  <c r="AM661" i="2"/>
  <c r="AE597" i="2"/>
  <c r="AM597" i="2"/>
  <c r="AE575" i="2"/>
  <c r="AM575" i="2"/>
  <c r="AE559" i="2"/>
  <c r="AM559" i="2"/>
  <c r="AE543" i="2"/>
  <c r="AM543" i="2"/>
  <c r="AE525" i="2"/>
  <c r="AM525" i="2"/>
  <c r="AE662" i="2"/>
  <c r="AM662" i="2"/>
  <c r="AE495" i="2"/>
  <c r="AM495" i="2"/>
  <c r="K37" i="28"/>
  <c r="J37" i="28"/>
  <c r="I37" i="28"/>
  <c r="H37" i="28"/>
  <c r="L37" i="28"/>
  <c r="AD45" i="28"/>
  <c r="AA45" i="28"/>
  <c r="AC45" i="28"/>
  <c r="AB45" i="28"/>
  <c r="K53" i="28"/>
  <c r="J53" i="28"/>
  <c r="I53" i="28"/>
  <c r="H53" i="28"/>
  <c r="L53" i="28"/>
  <c r="H61" i="28"/>
  <c r="J61" i="28"/>
  <c r="I61" i="28"/>
  <c r="K61" i="28"/>
  <c r="L61" i="28"/>
  <c r="H69" i="28"/>
  <c r="I69" i="28"/>
  <c r="L69" i="28"/>
  <c r="K69" i="28"/>
  <c r="J69" i="28"/>
  <c r="AD77" i="28"/>
  <c r="AA77" i="28"/>
  <c r="AB77" i="28"/>
  <c r="AC77" i="28"/>
  <c r="I109" i="28"/>
  <c r="J109" i="28"/>
  <c r="H109" i="28"/>
  <c r="K109" i="28"/>
  <c r="L109" i="28"/>
  <c r="AD109" i="28"/>
  <c r="AA109" i="28"/>
  <c r="AB109" i="28"/>
  <c r="AC109" i="28"/>
  <c r="AD141" i="28"/>
  <c r="AA141" i="28"/>
  <c r="AB141" i="28"/>
  <c r="AC141" i="28"/>
  <c r="K157" i="28"/>
  <c r="I157" i="28"/>
  <c r="H157" i="28"/>
  <c r="J157" i="28"/>
  <c r="L157" i="28"/>
  <c r="I165" i="28"/>
  <c r="L165" i="28"/>
  <c r="K165" i="28"/>
  <c r="H165" i="28"/>
  <c r="J165" i="28"/>
  <c r="AD173" i="28"/>
  <c r="AA173" i="28"/>
  <c r="AB173" i="28"/>
  <c r="AC173" i="28"/>
  <c r="AD34" i="28"/>
  <c r="AA34" i="28"/>
  <c r="AB34" i="28"/>
  <c r="AC34" i="28"/>
  <c r="K50" i="28"/>
  <c r="I50" i="28"/>
  <c r="H50" i="28"/>
  <c r="J50" i="28"/>
  <c r="L50" i="28"/>
  <c r="AD66" i="28"/>
  <c r="AA66" i="28"/>
  <c r="AB66" i="28"/>
  <c r="AC66" i="28"/>
  <c r="I90" i="28"/>
  <c r="H90" i="28"/>
  <c r="K90" i="28"/>
  <c r="L90" i="28"/>
  <c r="J90" i="28"/>
  <c r="AD98" i="28"/>
  <c r="AA98" i="28"/>
  <c r="AC98" i="28"/>
  <c r="AB98" i="28"/>
  <c r="J114" i="28"/>
  <c r="L114" i="28"/>
  <c r="K114" i="28"/>
  <c r="I114" i="28"/>
  <c r="H114" i="28"/>
  <c r="AD130" i="28"/>
  <c r="AA130" i="28"/>
  <c r="AB130" i="28"/>
  <c r="AC130" i="28"/>
  <c r="K138" i="28"/>
  <c r="H138" i="28"/>
  <c r="L138" i="28"/>
  <c r="J138" i="28"/>
  <c r="I138" i="28"/>
  <c r="AD162" i="28"/>
  <c r="AA162" i="28"/>
  <c r="AC162" i="28"/>
  <c r="AB162" i="28"/>
  <c r="I178" i="28"/>
  <c r="K178" i="28"/>
  <c r="L178" i="28"/>
  <c r="J178" i="28"/>
  <c r="H178" i="28"/>
  <c r="AD194" i="28"/>
  <c r="AA194" i="28"/>
  <c r="AB194" i="28"/>
  <c r="AC194" i="28"/>
  <c r="AD47" i="28"/>
  <c r="AA47" i="28"/>
  <c r="AC47" i="28"/>
  <c r="AB47" i="28"/>
  <c r="AD167" i="28"/>
  <c r="AA167" i="28"/>
  <c r="AC167" i="28"/>
  <c r="AB167" i="28"/>
  <c r="AD68" i="28"/>
  <c r="AA68" i="28"/>
  <c r="AC68" i="28"/>
  <c r="AB68" i="28"/>
  <c r="J196" i="28"/>
  <c r="I196" i="28"/>
  <c r="H196" i="28"/>
  <c r="K196" i="28"/>
  <c r="L196" i="28"/>
  <c r="AD196" i="28"/>
  <c r="AA196" i="28"/>
  <c r="AC196" i="28"/>
  <c r="AB196" i="28"/>
  <c r="AE2072" i="2"/>
  <c r="AM2072" i="2"/>
  <c r="AE2008" i="2"/>
  <c r="AM2008" i="2"/>
  <c r="AE1944" i="2"/>
  <c r="AM1944" i="2"/>
  <c r="AE1880" i="2"/>
  <c r="AM1880" i="2"/>
  <c r="AE1816" i="2"/>
  <c r="AM1816" i="2"/>
  <c r="AE1752" i="2"/>
  <c r="AM1752" i="2"/>
  <c r="AE1676" i="2"/>
  <c r="AM1676" i="2"/>
  <c r="AE1612" i="2"/>
  <c r="AM1612" i="2"/>
  <c r="AE1548" i="2"/>
  <c r="AM1548" i="2"/>
  <c r="AE1484" i="2"/>
  <c r="AM1484" i="2"/>
  <c r="AE1442" i="2"/>
  <c r="AM1442" i="2"/>
  <c r="AE1410" i="2"/>
  <c r="AM1410" i="2"/>
  <c r="AE2068" i="2"/>
  <c r="AM2068" i="2"/>
  <c r="AE2004" i="2"/>
  <c r="AM2004" i="2"/>
  <c r="AE1940" i="2"/>
  <c r="AM1940" i="2"/>
  <c r="AE1876" i="2"/>
  <c r="AM1876" i="2"/>
  <c r="AE1812" i="2"/>
  <c r="AM1812" i="2"/>
  <c r="AE1748" i="2"/>
  <c r="AM1748" i="2"/>
  <c r="AE1403" i="2"/>
  <c r="AM1403" i="2"/>
  <c r="AE975" i="2"/>
  <c r="AM975" i="2"/>
  <c r="AE2064" i="2"/>
  <c r="AM2064" i="2"/>
  <c r="AE1952" i="2"/>
  <c r="AM1952" i="2"/>
  <c r="AE1888" i="2"/>
  <c r="AM1888" i="2"/>
  <c r="AE1824" i="2"/>
  <c r="AM1824" i="2"/>
  <c r="AE1760" i="2"/>
  <c r="AM1760" i="2"/>
  <c r="AE1439" i="2"/>
  <c r="AM1439" i="2"/>
  <c r="AE1354" i="2"/>
  <c r="AM1354" i="2"/>
  <c r="AE1290" i="2"/>
  <c r="AM1290" i="2"/>
  <c r="AE1226" i="2"/>
  <c r="AM1226" i="2"/>
  <c r="AE1162" i="2"/>
  <c r="AM1162" i="2"/>
  <c r="AE1098" i="2"/>
  <c r="AM1098" i="2"/>
  <c r="AE1987" i="2"/>
  <c r="AM1987" i="2"/>
  <c r="AE1955" i="2"/>
  <c r="AM1955" i="2"/>
  <c r="AE1923" i="2"/>
  <c r="AM1923" i="2"/>
  <c r="AE1891" i="2"/>
  <c r="AM1891" i="2"/>
  <c r="AE1859" i="2"/>
  <c r="AM1859" i="2"/>
  <c r="AE1827" i="2"/>
  <c r="AM1827" i="2"/>
  <c r="AE1795" i="2"/>
  <c r="AM1795" i="2"/>
  <c r="AE1763" i="2"/>
  <c r="AM1763" i="2"/>
  <c r="AE1731" i="2"/>
  <c r="AM1731" i="2"/>
  <c r="AE1704" i="2"/>
  <c r="AM1704" i="2"/>
  <c r="AE1672" i="2"/>
  <c r="AM1672" i="2"/>
  <c r="AE1640" i="2"/>
  <c r="AM1640" i="2"/>
  <c r="AE1608" i="2"/>
  <c r="AM1608" i="2"/>
  <c r="AE1576" i="2"/>
  <c r="AM1576" i="2"/>
  <c r="AE1544" i="2"/>
  <c r="AM1544" i="2"/>
  <c r="AE1512" i="2"/>
  <c r="AM1512" i="2"/>
  <c r="AE1480" i="2"/>
  <c r="AM1480" i="2"/>
  <c r="AE1454" i="2"/>
  <c r="AM1454" i="2"/>
  <c r="AE1422" i="2"/>
  <c r="AM1422" i="2"/>
  <c r="AE1055" i="2"/>
  <c r="AM1055" i="2"/>
  <c r="AE927" i="2"/>
  <c r="AM927" i="2"/>
  <c r="AE895" i="2"/>
  <c r="AM895" i="2"/>
  <c r="AE863" i="2"/>
  <c r="AM863" i="2"/>
  <c r="AE831" i="2"/>
  <c r="AM831" i="2"/>
  <c r="AE799" i="2"/>
  <c r="AM799" i="2"/>
  <c r="AE741" i="2"/>
  <c r="AM741" i="2"/>
  <c r="AE894" i="2"/>
  <c r="AM894" i="2"/>
  <c r="AE798" i="2"/>
  <c r="AM798" i="2"/>
  <c r="AE930" i="2"/>
  <c r="AM930" i="2"/>
  <c r="AE562" i="2"/>
  <c r="AM562" i="2"/>
  <c r="AE542" i="2"/>
  <c r="AM542" i="2"/>
  <c r="AE466" i="2"/>
  <c r="AM466" i="2"/>
  <c r="AE426" i="2"/>
  <c r="AM426" i="2"/>
  <c r="AD55" i="28"/>
  <c r="AA55" i="28"/>
  <c r="AC55" i="28"/>
  <c r="AB55" i="28"/>
  <c r="I95" i="28"/>
  <c r="L95" i="28"/>
  <c r="H95" i="28"/>
  <c r="K95" i="28"/>
  <c r="J95" i="28"/>
  <c r="AD183" i="28"/>
  <c r="AA183" i="28"/>
  <c r="AC183" i="28"/>
  <c r="AB183" i="28"/>
  <c r="I84" i="28"/>
  <c r="J84" i="28"/>
  <c r="L84" i="28"/>
  <c r="H84" i="28"/>
  <c r="K84" i="28"/>
  <c r="AD84" i="28"/>
  <c r="AA84" i="28"/>
  <c r="AC84" i="28"/>
  <c r="AB84" i="28"/>
  <c r="AE1063" i="2"/>
  <c r="AM1063" i="2"/>
  <c r="AE493" i="2"/>
  <c r="AM493" i="2"/>
  <c r="AE669" i="2"/>
  <c r="AM669" i="2"/>
  <c r="AE630" i="2"/>
  <c r="AM630" i="2"/>
  <c r="AE511" i="2"/>
  <c r="AM511" i="2"/>
  <c r="AD41" i="28"/>
  <c r="AA41" i="28"/>
  <c r="AB41" i="28"/>
  <c r="AC41" i="28"/>
  <c r="K65" i="28"/>
  <c r="H65" i="28"/>
  <c r="I65" i="28"/>
  <c r="L65" i="28"/>
  <c r="J65" i="28"/>
  <c r="AD73" i="28"/>
  <c r="AA73" i="28"/>
  <c r="AC73" i="28"/>
  <c r="AB73" i="28"/>
  <c r="I81" i="28"/>
  <c r="J81" i="28"/>
  <c r="H81" i="28"/>
  <c r="K81" i="28"/>
  <c r="L81" i="28"/>
  <c r="H97" i="28"/>
  <c r="L97" i="28"/>
  <c r="K97" i="28"/>
  <c r="J97" i="28"/>
  <c r="I97" i="28"/>
  <c r="AD105" i="28"/>
  <c r="AA105" i="28"/>
  <c r="AC105" i="28"/>
  <c r="AB105" i="28"/>
  <c r="L129" i="28"/>
  <c r="J129" i="28"/>
  <c r="I129" i="28"/>
  <c r="H129" i="28"/>
  <c r="K129" i="28"/>
  <c r="L137" i="28"/>
  <c r="J137" i="28"/>
  <c r="I137" i="28"/>
  <c r="H137" i="28"/>
  <c r="K137" i="28"/>
  <c r="AD137" i="28"/>
  <c r="AA137" i="28"/>
  <c r="AC137" i="28"/>
  <c r="AB137" i="28"/>
  <c r="AD169" i="28"/>
  <c r="AA169" i="28"/>
  <c r="AC169" i="28"/>
  <c r="AB169" i="28"/>
  <c r="K177" i="28"/>
  <c r="L177" i="28"/>
  <c r="J177" i="28"/>
  <c r="H177" i="28"/>
  <c r="I177" i="28"/>
  <c r="AD38" i="28"/>
  <c r="AA38" i="28"/>
  <c r="AB38" i="28"/>
  <c r="AC38" i="28"/>
  <c r="H54" i="28"/>
  <c r="I54" i="28"/>
  <c r="L54" i="28"/>
  <c r="K54" i="28"/>
  <c r="J54" i="28"/>
  <c r="J70" i="28"/>
  <c r="L70" i="28"/>
  <c r="K70" i="28"/>
  <c r="I70" i="28"/>
  <c r="H70" i="28"/>
  <c r="AD70" i="28"/>
  <c r="AA70" i="28"/>
  <c r="AC70" i="28"/>
  <c r="AB70" i="28"/>
  <c r="K102" i="28"/>
  <c r="L102" i="28"/>
  <c r="H102" i="28"/>
  <c r="J102" i="28"/>
  <c r="I102" i="28"/>
  <c r="AD102" i="28"/>
  <c r="AA102" i="28"/>
  <c r="AC102" i="28"/>
  <c r="AB102" i="28"/>
  <c r="I126" i="28"/>
  <c r="K126" i="28"/>
  <c r="J126" i="28"/>
  <c r="L126" i="28"/>
  <c r="H126" i="28"/>
  <c r="J134" i="28"/>
  <c r="L134" i="28"/>
  <c r="K134" i="28"/>
  <c r="H134" i="28"/>
  <c r="I134" i="28"/>
  <c r="AD134" i="28"/>
  <c r="AA134" i="28"/>
  <c r="AC134" i="28"/>
  <c r="AB134" i="28"/>
  <c r="K150" i="28"/>
  <c r="J150" i="28"/>
  <c r="I150" i="28"/>
  <c r="H150" i="28"/>
  <c r="L150" i="28"/>
  <c r="AD166" i="28"/>
  <c r="AA166" i="28"/>
  <c r="AC166" i="28"/>
  <c r="AB166" i="28"/>
  <c r="L190" i="28"/>
  <c r="J190" i="28"/>
  <c r="K190" i="28"/>
  <c r="I190" i="28"/>
  <c r="H190" i="28"/>
  <c r="AE582" i="2"/>
  <c r="AM582" i="2"/>
  <c r="AE379" i="2"/>
  <c r="AM379" i="2"/>
  <c r="AE494" i="2"/>
  <c r="AM494" i="2"/>
  <c r="AE462" i="2"/>
  <c r="AM462" i="2"/>
  <c r="AE407" i="2"/>
  <c r="AM407" i="2"/>
  <c r="H43" i="28"/>
  <c r="J43" i="28"/>
  <c r="K43" i="28"/>
  <c r="I43" i="28"/>
  <c r="L43" i="28"/>
  <c r="AD91" i="28"/>
  <c r="AA91" i="28"/>
  <c r="AC91" i="28"/>
  <c r="AB91" i="28"/>
  <c r="I115" i="28"/>
  <c r="K115" i="28"/>
  <c r="H115" i="28"/>
  <c r="J115" i="28"/>
  <c r="L115" i="28"/>
  <c r="I131" i="28"/>
  <c r="L131" i="28"/>
  <c r="H131" i="28"/>
  <c r="K131" i="28"/>
  <c r="J131" i="28"/>
  <c r="AD147" i="28"/>
  <c r="AA147" i="28"/>
  <c r="AC147" i="28"/>
  <c r="AB147" i="28"/>
  <c r="J163" i="28"/>
  <c r="I163" i="28"/>
  <c r="H163" i="28"/>
  <c r="K163" i="28"/>
  <c r="L163" i="28"/>
  <c r="H64" i="28"/>
  <c r="I64" i="28"/>
  <c r="J64" i="28"/>
  <c r="L64" i="28"/>
  <c r="K64" i="28"/>
  <c r="AD64" i="28"/>
  <c r="AA64" i="28"/>
  <c r="AC64" i="28"/>
  <c r="AB64" i="28"/>
  <c r="K88" i="28"/>
  <c r="J88" i="28"/>
  <c r="I88" i="28"/>
  <c r="H88" i="28"/>
  <c r="L88" i="28"/>
  <c r="AD120" i="28"/>
  <c r="AA120" i="28"/>
  <c r="AC120" i="28"/>
  <c r="AB120" i="28"/>
  <c r="AD184" i="28"/>
  <c r="AA184" i="28"/>
  <c r="AC184" i="28"/>
  <c r="AB184" i="28"/>
  <c r="AE485" i="2"/>
  <c r="AM485" i="2"/>
  <c r="AE450" i="2"/>
  <c r="AM450" i="2"/>
  <c r="AE514" i="2"/>
  <c r="AM514" i="2"/>
  <c r="AE439" i="2"/>
  <c r="AM439" i="2"/>
  <c r="L87" i="28"/>
  <c r="H87" i="28"/>
  <c r="K87" i="28"/>
  <c r="J87" i="28"/>
  <c r="I87" i="28"/>
  <c r="AD87" i="28"/>
  <c r="AA87" i="28"/>
  <c r="AC87" i="28"/>
  <c r="AB87" i="28"/>
  <c r="H159" i="28"/>
  <c r="L159" i="28"/>
  <c r="K159" i="28"/>
  <c r="J159" i="28"/>
  <c r="I159" i="28"/>
  <c r="J60" i="28"/>
  <c r="K60" i="28"/>
  <c r="L60" i="28"/>
  <c r="H60" i="28"/>
  <c r="I60" i="28"/>
  <c r="AD124" i="28"/>
  <c r="AA124" i="28"/>
  <c r="AC124" i="28"/>
  <c r="AB124" i="28"/>
  <c r="AE589" i="2"/>
  <c r="AM589" i="2"/>
  <c r="AE469" i="2"/>
  <c r="AM469" i="2"/>
  <c r="AE586" i="2"/>
  <c r="AM586" i="2"/>
  <c r="AE554" i="2"/>
  <c r="AM554" i="2"/>
  <c r="AE526" i="2"/>
  <c r="AM526" i="2"/>
  <c r="AE691" i="2"/>
  <c r="AM691" i="2"/>
  <c r="AE650" i="2"/>
  <c r="AM650" i="2"/>
  <c r="AE566" i="2"/>
  <c r="AM566" i="2"/>
  <c r="AE534" i="2"/>
  <c r="AM534" i="2"/>
  <c r="AE427" i="2"/>
  <c r="AM427" i="2"/>
  <c r="AE363" i="2"/>
  <c r="AM363" i="2"/>
  <c r="AE502" i="2"/>
  <c r="AM502" i="2"/>
  <c r="AE470" i="2"/>
  <c r="AM470" i="2"/>
  <c r="AE435" i="2"/>
  <c r="AM435" i="2"/>
  <c r="AE371" i="2"/>
  <c r="AM371" i="2"/>
  <c r="AD35" i="28"/>
  <c r="AA35" i="28"/>
  <c r="AC35" i="28"/>
  <c r="AB35" i="28"/>
  <c r="AD99" i="28"/>
  <c r="AA99" i="28"/>
  <c r="AC99" i="28"/>
  <c r="AB99" i="28"/>
  <c r="AD171" i="28"/>
  <c r="AA171" i="28"/>
  <c r="AC171" i="28"/>
  <c r="AB171" i="28"/>
  <c r="K56" i="28"/>
  <c r="L56" i="28"/>
  <c r="I56" i="28"/>
  <c r="H56" i="28"/>
  <c r="J56" i="28"/>
  <c r="AD96" i="28"/>
  <c r="AA96" i="28"/>
  <c r="AC96" i="28"/>
  <c r="AB96" i="28"/>
  <c r="L128" i="28"/>
  <c r="K128" i="28"/>
  <c r="I128" i="28"/>
  <c r="H128" i="28"/>
  <c r="J128" i="28"/>
  <c r="AD160" i="28"/>
  <c r="AA160" i="28"/>
  <c r="AC160" i="28"/>
  <c r="AB160" i="28"/>
  <c r="L176" i="28"/>
  <c r="K176" i="28"/>
  <c r="H176" i="28"/>
  <c r="J176" i="28"/>
  <c r="I176" i="28"/>
  <c r="AD71" i="28"/>
  <c r="AA71" i="28"/>
  <c r="AC71" i="28"/>
  <c r="AB71" i="28"/>
  <c r="L111" i="28"/>
  <c r="I111" i="28"/>
  <c r="H111" i="28"/>
  <c r="K111" i="28"/>
  <c r="J111" i="28"/>
  <c r="AD116" i="28"/>
  <c r="AA116" i="28"/>
  <c r="AC116" i="28"/>
  <c r="AB116" i="28"/>
  <c r="AE1415" i="2"/>
  <c r="AM1415" i="2"/>
  <c r="AE1330" i="2"/>
  <c r="AM1330" i="2"/>
  <c r="AE1266" i="2"/>
  <c r="AM1266" i="2"/>
  <c r="AE1202" i="2"/>
  <c r="AM1202" i="2"/>
  <c r="AE1138" i="2"/>
  <c r="AM1138" i="2"/>
  <c r="AE1680" i="2"/>
  <c r="AM1680" i="2"/>
  <c r="AE1616" i="2"/>
  <c r="AM1616" i="2"/>
  <c r="AE1552" i="2"/>
  <c r="AM1552" i="2"/>
  <c r="AE1488" i="2"/>
  <c r="AM1488" i="2"/>
  <c r="AE1446" i="2"/>
  <c r="AM1446" i="2"/>
  <c r="AE1414" i="2"/>
  <c r="AM1414" i="2"/>
  <c r="AE1030" i="2"/>
  <c r="AM1030" i="2"/>
  <c r="AE966" i="2"/>
  <c r="AM966" i="2"/>
  <c r="AE606" i="2"/>
  <c r="AM606" i="2"/>
  <c r="AE509" i="2"/>
  <c r="AM509" i="2"/>
  <c r="AE637" i="2"/>
  <c r="AM637" i="2"/>
  <c r="AE598" i="2"/>
  <c r="AM598" i="2"/>
  <c r="AE579" i="2"/>
  <c r="AM579" i="2"/>
  <c r="AE563" i="2"/>
  <c r="AM563" i="2"/>
  <c r="AE547" i="2"/>
  <c r="AM547" i="2"/>
  <c r="AE527" i="2"/>
  <c r="AM527" i="2"/>
  <c r="AE463" i="2"/>
  <c r="AM463" i="2"/>
  <c r="AE658" i="2"/>
  <c r="AM658" i="2"/>
  <c r="AE635" i="2"/>
  <c r="AM635" i="2"/>
  <c r="AE594" i="2"/>
  <c r="AM594" i="2"/>
  <c r="AE521" i="2"/>
  <c r="AM521" i="2"/>
  <c r="AE703" i="2"/>
  <c r="AM703" i="2"/>
  <c r="AE666" i="2"/>
  <c r="AM666" i="2"/>
  <c r="AE602" i="2"/>
  <c r="AM602" i="2"/>
  <c r="AE529" i="2"/>
  <c r="AM529" i="2"/>
  <c r="AE431" i="2"/>
  <c r="AM431" i="2"/>
  <c r="AE367" i="2"/>
  <c r="AM367" i="2"/>
  <c r="AE423" i="2"/>
  <c r="AM423" i="2"/>
  <c r="AE451" i="2"/>
  <c r="AM451" i="2"/>
  <c r="AE387" i="2"/>
  <c r="AM387" i="2"/>
  <c r="AD37" i="28"/>
  <c r="AA37" i="28"/>
  <c r="AC37" i="28"/>
  <c r="AB37" i="28"/>
  <c r="AD69" i="28"/>
  <c r="AA69" i="28"/>
  <c r="AC69" i="28"/>
  <c r="AB69" i="28"/>
  <c r="H85" i="28"/>
  <c r="I85" i="28"/>
  <c r="L85" i="28"/>
  <c r="J85" i="28"/>
  <c r="K85" i="28"/>
  <c r="AD101" i="28"/>
  <c r="AA101" i="28"/>
  <c r="AB101" i="28"/>
  <c r="AC101" i="28"/>
  <c r="H133" i="28"/>
  <c r="I133" i="28"/>
  <c r="J133" i="28"/>
  <c r="K133" i="28"/>
  <c r="L133" i="28"/>
  <c r="AD133" i="28"/>
  <c r="AA133" i="28"/>
  <c r="AB133" i="28"/>
  <c r="AC133" i="28"/>
  <c r="I141" i="28"/>
  <c r="K141" i="28"/>
  <c r="J141" i="28"/>
  <c r="L141" i="28"/>
  <c r="H141" i="28"/>
  <c r="L149" i="28"/>
  <c r="H149" i="28"/>
  <c r="I149" i="28"/>
  <c r="J149" i="28"/>
  <c r="K149" i="28"/>
  <c r="AD165" i="28"/>
  <c r="AA165" i="28"/>
  <c r="AC165" i="28"/>
  <c r="AB165" i="28"/>
  <c r="L181" i="28"/>
  <c r="I181" i="28"/>
  <c r="J181" i="28"/>
  <c r="H181" i="28"/>
  <c r="K181" i="28"/>
  <c r="AD197" i="28"/>
  <c r="AA197" i="28"/>
  <c r="AB197" i="28"/>
  <c r="AC197" i="28"/>
  <c r="K34" i="28"/>
  <c r="H34" i="28"/>
  <c r="J34" i="28"/>
  <c r="I34" i="28"/>
  <c r="L34" i="28"/>
  <c r="H42" i="28"/>
  <c r="J42" i="28"/>
  <c r="I42" i="28"/>
  <c r="K42" i="28"/>
  <c r="L42" i="28"/>
  <c r="AD58" i="28"/>
  <c r="AA58" i="28"/>
  <c r="AC58" i="28"/>
  <c r="AB58" i="28"/>
  <c r="L82" i="28"/>
  <c r="J82" i="28"/>
  <c r="I82" i="28"/>
  <c r="H82" i="28"/>
  <c r="K82" i="28"/>
  <c r="AD90" i="28"/>
  <c r="AA90" i="28"/>
  <c r="AB90" i="28"/>
  <c r="AC90" i="28"/>
  <c r="I106" i="28"/>
  <c r="L106" i="28"/>
  <c r="H106" i="28"/>
  <c r="K106" i="28"/>
  <c r="J106" i="28"/>
  <c r="AD122" i="28"/>
  <c r="AA122" i="28"/>
  <c r="AC122" i="28"/>
  <c r="AB122" i="28"/>
  <c r="J130" i="28"/>
  <c r="K130" i="28"/>
  <c r="L130" i="28"/>
  <c r="H130" i="28"/>
  <c r="I130" i="28"/>
  <c r="L154" i="28"/>
  <c r="H154" i="28"/>
  <c r="J154" i="28"/>
  <c r="I154" i="28"/>
  <c r="K154" i="28"/>
  <c r="AD154" i="28"/>
  <c r="AA154" i="28"/>
  <c r="AC154" i="28"/>
  <c r="AB154" i="28"/>
  <c r="AD186" i="28"/>
  <c r="AA186" i="28"/>
  <c r="AC186" i="28"/>
  <c r="AB186" i="28"/>
  <c r="H194" i="28"/>
  <c r="J194" i="28"/>
  <c r="K194" i="28"/>
  <c r="I194" i="28"/>
  <c r="L194" i="28"/>
  <c r="AE830" i="2"/>
  <c r="AM830" i="2"/>
  <c r="AE802" i="2"/>
  <c r="AM802" i="2"/>
  <c r="AE699" i="2"/>
  <c r="AM699" i="2"/>
  <c r="AE618" i="2"/>
  <c r="AM618" i="2"/>
  <c r="AE434" i="2"/>
  <c r="AM434" i="2"/>
  <c r="AE506" i="2"/>
  <c r="AM506" i="2"/>
  <c r="AD135" i="28"/>
  <c r="AA135" i="28"/>
  <c r="AC135" i="28"/>
  <c r="AB135" i="28"/>
  <c r="AD36" i="28"/>
  <c r="AB36" i="28"/>
  <c r="AC36" i="28"/>
  <c r="AA36" i="28"/>
  <c r="I132" i="28"/>
  <c r="J132" i="28"/>
  <c r="K132" i="28"/>
  <c r="H132" i="28"/>
  <c r="L132" i="28"/>
  <c r="AD164" i="28"/>
  <c r="AA164" i="28"/>
  <c r="AC164" i="28"/>
  <c r="AB164" i="28"/>
  <c r="L151" i="28"/>
  <c r="I151" i="28"/>
  <c r="H151" i="28"/>
  <c r="J151" i="28"/>
  <c r="K151" i="28"/>
  <c r="AD151" i="28"/>
  <c r="AA151" i="28"/>
  <c r="AC151" i="28"/>
  <c r="AB151" i="28"/>
  <c r="AD52" i="28"/>
  <c r="AC52" i="28"/>
  <c r="AA52" i="28"/>
  <c r="AB52" i="28"/>
  <c r="H108" i="28"/>
  <c r="K108" i="28"/>
  <c r="L108" i="28"/>
  <c r="J108" i="28"/>
  <c r="I108" i="28"/>
  <c r="AD180" i="28"/>
  <c r="AA180" i="28"/>
  <c r="AC180" i="28"/>
  <c r="AB180" i="28"/>
  <c r="AE1431" i="2"/>
  <c r="AM1431" i="2"/>
  <c r="AE1378" i="2"/>
  <c r="AM1378" i="2"/>
  <c r="AE1314" i="2"/>
  <c r="AM1314" i="2"/>
  <c r="AE1250" i="2"/>
  <c r="AM1250" i="2"/>
  <c r="AE1186" i="2"/>
  <c r="AM1186" i="2"/>
  <c r="AE1122" i="2"/>
  <c r="AM1122" i="2"/>
  <c r="AE2084" i="2"/>
  <c r="AM2084" i="2"/>
  <c r="AE2020" i="2"/>
  <c r="AM2020" i="2"/>
  <c r="AE1956" i="2"/>
  <c r="AM1956" i="2"/>
  <c r="AE1892" i="2"/>
  <c r="AM1892" i="2"/>
  <c r="AE1828" i="2"/>
  <c r="AM1828" i="2"/>
  <c r="AE1764" i="2"/>
  <c r="AM1764" i="2"/>
  <c r="AE1440" i="2"/>
  <c r="AM1440" i="2"/>
  <c r="AE1408" i="2"/>
  <c r="AM1408" i="2"/>
  <c r="AE1062" i="2"/>
  <c r="AM1062" i="2"/>
  <c r="AE998" i="2"/>
  <c r="AM998" i="2"/>
  <c r="AE638" i="2"/>
  <c r="AM638" i="2"/>
  <c r="AE2080" i="2"/>
  <c r="AM2080" i="2"/>
  <c r="AE1434" i="2"/>
  <c r="AM1434" i="2"/>
  <c r="AE1402" i="2"/>
  <c r="AM1402" i="2"/>
  <c r="AE2067" i="2"/>
  <c r="AM2067" i="2"/>
  <c r="AE2035" i="2"/>
  <c r="AM2035" i="2"/>
  <c r="AE1411" i="2"/>
  <c r="AM1411" i="2"/>
  <c r="AE1350" i="2"/>
  <c r="AM1350" i="2"/>
  <c r="AE1286" i="2"/>
  <c r="AM1286" i="2"/>
  <c r="AE1222" i="2"/>
  <c r="AM1222" i="2"/>
  <c r="AE1158" i="2"/>
  <c r="AM1158" i="2"/>
  <c r="AE1094" i="2"/>
  <c r="AM1094" i="2"/>
  <c r="AE1037" i="2"/>
  <c r="AM1037" i="2"/>
  <c r="AE973" i="2"/>
  <c r="AM973" i="2"/>
  <c r="AE938" i="2"/>
  <c r="AM938" i="2"/>
  <c r="AE874" i="2"/>
  <c r="AM874" i="2"/>
  <c r="AE810" i="2"/>
  <c r="AM810" i="2"/>
  <c r="AE590" i="2"/>
  <c r="AM590" i="2"/>
  <c r="AE1077" i="2"/>
  <c r="AM1077" i="2"/>
  <c r="AE1045" i="2"/>
  <c r="AM1045" i="2"/>
  <c r="AE1013" i="2"/>
  <c r="AM1013" i="2"/>
  <c r="AE981" i="2"/>
  <c r="AM981" i="2"/>
  <c r="AE949" i="2"/>
  <c r="AM949" i="2"/>
  <c r="AE921" i="2"/>
  <c r="AM921" i="2"/>
  <c r="AE889" i="2"/>
  <c r="AM889" i="2"/>
  <c r="AE857" i="2"/>
  <c r="AM857" i="2"/>
  <c r="AE825" i="2"/>
  <c r="AM825" i="2"/>
  <c r="AE785" i="2"/>
  <c r="AM785" i="2"/>
  <c r="AE721" i="2"/>
  <c r="AM721" i="2"/>
  <c r="AE615" i="2"/>
  <c r="AM615" i="2"/>
  <c r="AE999" i="2"/>
  <c r="AM999" i="2"/>
  <c r="AE925" i="2"/>
  <c r="AM925" i="2"/>
  <c r="AE893" i="2"/>
  <c r="AM893" i="2"/>
  <c r="AE861" i="2"/>
  <c r="AM861" i="2"/>
  <c r="AE829" i="2"/>
  <c r="AM829" i="2"/>
  <c r="AE797" i="2"/>
  <c r="AM797" i="2"/>
  <c r="AE733" i="2"/>
  <c r="AM733" i="2"/>
  <c r="AE923" i="2"/>
  <c r="AM923" i="2"/>
  <c r="AE891" i="2"/>
  <c r="AM891" i="2"/>
  <c r="AE859" i="2"/>
  <c r="AM859" i="2"/>
  <c r="AE827" i="2"/>
  <c r="AM827" i="2"/>
  <c r="AE793" i="2"/>
  <c r="AM793" i="2"/>
  <c r="AE729" i="2"/>
  <c r="AM729" i="2"/>
  <c r="AE701" i="2"/>
  <c r="AM701" i="2"/>
  <c r="AE685" i="2"/>
  <c r="AM685" i="2"/>
  <c r="AE645" i="2"/>
  <c r="AM645" i="2"/>
  <c r="AE585" i="2"/>
  <c r="AM585" i="2"/>
  <c r="AE569" i="2"/>
  <c r="AM569" i="2"/>
  <c r="AE553" i="2"/>
  <c r="AM553" i="2"/>
  <c r="AE537" i="2"/>
  <c r="AM537" i="2"/>
  <c r="AE461" i="2"/>
  <c r="AM461" i="2"/>
  <c r="AE605" i="2"/>
  <c r="AM605" i="2"/>
  <c r="AE573" i="2"/>
  <c r="AM573" i="2"/>
  <c r="AE557" i="2"/>
  <c r="AM557" i="2"/>
  <c r="AE541" i="2"/>
  <c r="AM541" i="2"/>
  <c r="AE479" i="2"/>
  <c r="AM479" i="2"/>
  <c r="AE642" i="2"/>
  <c r="AM642" i="2"/>
  <c r="AE619" i="2"/>
  <c r="AM619" i="2"/>
  <c r="AE711" i="2"/>
  <c r="AM711" i="2"/>
  <c r="AE679" i="2"/>
  <c r="AM679" i="2"/>
  <c r="AE634" i="2"/>
  <c r="AM634" i="2"/>
  <c r="AE523" i="2"/>
  <c r="AM523" i="2"/>
  <c r="AE447" i="2"/>
  <c r="AM447" i="2"/>
  <c r="AE383" i="2"/>
  <c r="AM383" i="2"/>
  <c r="AE455" i="2"/>
  <c r="AM455" i="2"/>
  <c r="AE391" i="2"/>
  <c r="AM391" i="2"/>
  <c r="AE419" i="2"/>
  <c r="AM419" i="2"/>
  <c r="AD65" i="28"/>
  <c r="AA65" i="28"/>
  <c r="AC65" i="28"/>
  <c r="AB65" i="28"/>
  <c r="K73" i="28"/>
  <c r="L73" i="28"/>
  <c r="J73" i="28"/>
  <c r="H73" i="28"/>
  <c r="I73" i="28"/>
  <c r="I89" i="28"/>
  <c r="H89" i="28"/>
  <c r="L89" i="28"/>
  <c r="J89" i="28"/>
  <c r="K89" i="28"/>
  <c r="AD97" i="28"/>
  <c r="AA97" i="28"/>
  <c r="AC97" i="28"/>
  <c r="AB97" i="28"/>
  <c r="J121" i="28"/>
  <c r="H121" i="28"/>
  <c r="I121" i="28"/>
  <c r="L121" i="28"/>
  <c r="K121" i="28"/>
  <c r="AD129" i="28"/>
  <c r="AA129" i="28"/>
  <c r="AC129" i="28"/>
  <c r="AB129" i="28"/>
  <c r="L145" i="28"/>
  <c r="I145" i="28"/>
  <c r="K145" i="28"/>
  <c r="H145" i="28"/>
  <c r="J145" i="28"/>
  <c r="L153" i="28"/>
  <c r="K153" i="28"/>
  <c r="J153" i="28"/>
  <c r="I153" i="28"/>
  <c r="H153" i="28"/>
  <c r="L161" i="28"/>
  <c r="K161" i="28"/>
  <c r="H161" i="28"/>
  <c r="J161" i="28"/>
  <c r="I161" i="28"/>
  <c r="AD161" i="28"/>
  <c r="AA161" i="28"/>
  <c r="AC161" i="28"/>
  <c r="AB161" i="28"/>
  <c r="K169" i="28"/>
  <c r="L169" i="28"/>
  <c r="J169" i="28"/>
  <c r="I169" i="28"/>
  <c r="H169" i="28"/>
  <c r="H193" i="28"/>
  <c r="J193" i="28"/>
  <c r="I193" i="28"/>
  <c r="L193" i="28"/>
  <c r="K193" i="28"/>
  <c r="AD193" i="28"/>
  <c r="AA193" i="28"/>
  <c r="AB193" i="28"/>
  <c r="AC193" i="28"/>
  <c r="H38" i="28"/>
  <c r="K38" i="28"/>
  <c r="J38" i="28"/>
  <c r="I38" i="28"/>
  <c r="L38" i="28"/>
  <c r="AD62" i="28"/>
  <c r="AA62" i="28"/>
  <c r="AC62" i="28"/>
  <c r="AB62" i="28"/>
  <c r="K94" i="28"/>
  <c r="L94" i="28"/>
  <c r="H94" i="28"/>
  <c r="I94" i="28"/>
  <c r="J94" i="28"/>
  <c r="AD94" i="28"/>
  <c r="AA94" i="28"/>
  <c r="AB94" i="28"/>
  <c r="AC94" i="28"/>
  <c r="L110" i="28"/>
  <c r="I110" i="28"/>
  <c r="K110" i="28"/>
  <c r="H110" i="28"/>
  <c r="J110" i="28"/>
  <c r="AD126" i="28"/>
  <c r="AA126" i="28"/>
  <c r="AC126" i="28"/>
  <c r="AB126" i="28"/>
  <c r="H158" i="28"/>
  <c r="K158" i="28"/>
  <c r="L158" i="28"/>
  <c r="J158" i="28"/>
  <c r="I158" i="28"/>
  <c r="AD158" i="28"/>
  <c r="AA158" i="28"/>
  <c r="AC158" i="28"/>
  <c r="AB158" i="28"/>
  <c r="H166" i="28"/>
  <c r="J166" i="28"/>
  <c r="L166" i="28"/>
  <c r="I166" i="28"/>
  <c r="K166" i="28"/>
  <c r="J182" i="28"/>
  <c r="K182" i="28"/>
  <c r="L182" i="28"/>
  <c r="I182" i="28"/>
  <c r="H182" i="28"/>
  <c r="AD190" i="28"/>
  <c r="AA190" i="28"/>
  <c r="AB190" i="28"/>
  <c r="AC190" i="28"/>
  <c r="H75" i="28"/>
  <c r="J75" i="28"/>
  <c r="I75" i="28"/>
  <c r="K75" i="28"/>
  <c r="L75" i="28"/>
  <c r="AD75" i="28"/>
  <c r="AA75" i="28"/>
  <c r="AC75" i="28"/>
  <c r="AB75" i="28"/>
  <c r="AD131" i="28"/>
  <c r="AA131" i="28"/>
  <c r="AC131" i="28"/>
  <c r="AB131" i="28"/>
  <c r="K179" i="28"/>
  <c r="L179" i="28"/>
  <c r="J179" i="28"/>
  <c r="H179" i="28"/>
  <c r="I179" i="28"/>
  <c r="L195" i="28"/>
  <c r="K195" i="28"/>
  <c r="J195" i="28"/>
  <c r="I195" i="28"/>
  <c r="H195" i="28"/>
  <c r="AD195" i="28"/>
  <c r="AA195" i="28"/>
  <c r="AC195" i="28"/>
  <c r="AB195" i="28"/>
  <c r="AD48" i="28"/>
  <c r="AA48" i="28"/>
  <c r="AC48" i="28"/>
  <c r="AB48" i="28"/>
  <c r="L80" i="28"/>
  <c r="J80" i="28"/>
  <c r="I80" i="28"/>
  <c r="H80" i="28"/>
  <c r="K80" i="28"/>
  <c r="AD104" i="28"/>
  <c r="AA104" i="28"/>
  <c r="AC104" i="28"/>
  <c r="AB104" i="28"/>
  <c r="AD168" i="28"/>
  <c r="AA168" i="28"/>
  <c r="AC168" i="28"/>
  <c r="AB168" i="28"/>
  <c r="I39" i="28"/>
  <c r="K39" i="28"/>
  <c r="J39" i="28"/>
  <c r="H39" i="28"/>
  <c r="L39" i="28"/>
  <c r="H63" i="28"/>
  <c r="J63" i="28"/>
  <c r="L63" i="28"/>
  <c r="K63" i="28"/>
  <c r="I63" i="28"/>
  <c r="AD63" i="28"/>
  <c r="AA63" i="28"/>
  <c r="AC63" i="28"/>
  <c r="AB63" i="28"/>
  <c r="L127" i="28"/>
  <c r="I127" i="28"/>
  <c r="H127" i="28"/>
  <c r="J127" i="28"/>
  <c r="K127" i="28"/>
  <c r="K191" i="28"/>
  <c r="H191" i="28"/>
  <c r="I191" i="28"/>
  <c r="L191" i="28"/>
  <c r="J191" i="28"/>
  <c r="AD191" i="28"/>
  <c r="AA191" i="28"/>
  <c r="AC191" i="28"/>
  <c r="AB191" i="28"/>
  <c r="L92" i="28"/>
  <c r="J92" i="28"/>
  <c r="H92" i="28"/>
  <c r="K92" i="28"/>
  <c r="I92" i="28"/>
  <c r="AD92" i="28"/>
  <c r="AA92" i="28"/>
  <c r="AC92" i="28"/>
  <c r="AB92" i="28"/>
  <c r="AE2088" i="2"/>
  <c r="AM2088" i="2"/>
  <c r="AE2024" i="2"/>
  <c r="AM2024" i="2"/>
  <c r="AE1960" i="2"/>
  <c r="AM1960" i="2"/>
  <c r="AE1896" i="2"/>
  <c r="AM1896" i="2"/>
  <c r="AE1832" i="2"/>
  <c r="AM1832" i="2"/>
  <c r="AE1768" i="2"/>
  <c r="AM1768" i="2"/>
  <c r="AE1692" i="2"/>
  <c r="AM1692" i="2"/>
  <c r="AE1628" i="2"/>
  <c r="AM1628" i="2"/>
  <c r="AE1564" i="2"/>
  <c r="AM1564" i="2"/>
  <c r="AE1500" i="2"/>
  <c r="AM1500" i="2"/>
  <c r="AE1458" i="2"/>
  <c r="AM1458" i="2"/>
  <c r="AE1426" i="2"/>
  <c r="AM1426" i="2"/>
  <c r="AE1394" i="2"/>
  <c r="AM1394" i="2"/>
  <c r="AE2036" i="2"/>
  <c r="AM2036" i="2"/>
  <c r="AE1972" i="2"/>
  <c r="AM1972" i="2"/>
  <c r="AE1908" i="2"/>
  <c r="AM1908" i="2"/>
  <c r="AE1844" i="2"/>
  <c r="AM1844" i="2"/>
  <c r="AE1780" i="2"/>
  <c r="AM1780" i="2"/>
  <c r="AE1716" i="2"/>
  <c r="AM1716" i="2"/>
  <c r="AE1664" i="2"/>
  <c r="AM1664" i="2"/>
  <c r="AE1600" i="2"/>
  <c r="AM1600" i="2"/>
  <c r="AE1536" i="2"/>
  <c r="AM1536" i="2"/>
  <c r="AE1472" i="2"/>
  <c r="AM1472" i="2"/>
  <c r="AE1419" i="2"/>
  <c r="AM1419" i="2"/>
  <c r="AE1071" i="2"/>
  <c r="AM1071" i="2"/>
  <c r="AE1984" i="2"/>
  <c r="AM1984" i="2"/>
  <c r="AE1920" i="2"/>
  <c r="AM1920" i="2"/>
  <c r="AE1856" i="2"/>
  <c r="AM1856" i="2"/>
  <c r="AE1792" i="2"/>
  <c r="AM1792" i="2"/>
  <c r="AE1728" i="2"/>
  <c r="AM1728" i="2"/>
  <c r="AE1455" i="2"/>
  <c r="AM1455" i="2"/>
  <c r="AE1386" i="2"/>
  <c r="AM1386" i="2"/>
  <c r="AE1322" i="2"/>
  <c r="AM1322" i="2"/>
  <c r="AE1258" i="2"/>
  <c r="AM1258" i="2"/>
  <c r="AE1194" i="2"/>
  <c r="AM1194" i="2"/>
  <c r="AE1130" i="2"/>
  <c r="AM1130" i="2"/>
  <c r="AE2012" i="2"/>
  <c r="AM2012" i="2"/>
  <c r="AE1980" i="2"/>
  <c r="AM1980" i="2"/>
  <c r="AE1948" i="2"/>
  <c r="AM1948" i="2"/>
  <c r="AE1916" i="2"/>
  <c r="AM1916" i="2"/>
  <c r="AE1884" i="2"/>
  <c r="AM1884" i="2"/>
  <c r="AE1852" i="2"/>
  <c r="AM1852" i="2"/>
  <c r="AE1820" i="2"/>
  <c r="AM1820" i="2"/>
  <c r="AE1788" i="2"/>
  <c r="AM1788" i="2"/>
  <c r="AE1756" i="2"/>
  <c r="AM1756" i="2"/>
  <c r="AE1724" i="2"/>
  <c r="AM1724" i="2"/>
  <c r="AE1438" i="2"/>
  <c r="AM1438" i="2"/>
  <c r="AE1406" i="2"/>
  <c r="AM1406" i="2"/>
  <c r="AE1023" i="2"/>
  <c r="AM1023" i="2"/>
  <c r="AE943" i="2"/>
  <c r="AM943" i="2"/>
  <c r="AE911" i="2"/>
  <c r="AM911" i="2"/>
  <c r="AE879" i="2"/>
  <c r="AM879" i="2"/>
  <c r="AE847" i="2"/>
  <c r="AM847" i="2"/>
  <c r="AE815" i="2"/>
  <c r="AM815" i="2"/>
  <c r="AE789" i="2"/>
  <c r="AM789" i="2"/>
  <c r="AE725" i="2"/>
  <c r="AM725" i="2"/>
  <c r="AE1086" i="2"/>
  <c r="AM1086" i="2"/>
  <c r="AE1054" i="2"/>
  <c r="AM1054" i="2"/>
  <c r="AE1022" i="2"/>
  <c r="AM1022" i="2"/>
  <c r="AE990" i="2"/>
  <c r="AM990" i="2"/>
  <c r="AE958" i="2"/>
  <c r="AM958" i="2"/>
  <c r="AE910" i="2"/>
  <c r="AM910" i="2"/>
  <c r="AE846" i="2"/>
  <c r="AM846" i="2"/>
  <c r="AE946" i="2"/>
  <c r="AM946" i="2"/>
  <c r="AE882" i="2"/>
  <c r="AM882" i="2"/>
  <c r="AE818" i="2"/>
  <c r="AM818" i="2"/>
  <c r="AE902" i="2"/>
  <c r="AM902" i="2"/>
  <c r="AE838" i="2"/>
  <c r="AM838" i="2"/>
  <c r="AE530" i="2"/>
  <c r="AM530" i="2"/>
  <c r="AE623" i="2"/>
  <c r="AM623" i="2"/>
  <c r="I35" i="28"/>
  <c r="J35" i="28"/>
  <c r="K35" i="28"/>
  <c r="H35" i="28"/>
  <c r="L35" i="28"/>
  <c r="K51" i="28"/>
  <c r="J51" i="28"/>
  <c r="I51" i="28"/>
  <c r="H51" i="28"/>
  <c r="L51" i="28"/>
  <c r="J67" i="28"/>
  <c r="K67" i="28"/>
  <c r="L67" i="28"/>
  <c r="I67" i="28"/>
  <c r="H67" i="28"/>
  <c r="AD83" i="28"/>
  <c r="AA83" i="28"/>
  <c r="AC83" i="28"/>
  <c r="AB83" i="28"/>
  <c r="J123" i="28"/>
  <c r="K123" i="28"/>
  <c r="L123" i="28"/>
  <c r="H123" i="28"/>
  <c r="I123" i="28"/>
  <c r="AD155" i="28"/>
  <c r="AA155" i="28"/>
  <c r="AC155" i="28"/>
  <c r="AB155" i="28"/>
  <c r="I40" i="28"/>
  <c r="K40" i="28"/>
  <c r="J40" i="28"/>
  <c r="H40" i="28"/>
  <c r="L40" i="28"/>
  <c r="AD72" i="28"/>
  <c r="AA72" i="28"/>
  <c r="AC72" i="28"/>
  <c r="AB72" i="28"/>
  <c r="J96" i="28"/>
  <c r="H96" i="28"/>
  <c r="L96" i="28"/>
  <c r="K96" i="28"/>
  <c r="I96" i="28"/>
  <c r="L112" i="28"/>
  <c r="K112" i="28"/>
  <c r="J112" i="28"/>
  <c r="I112" i="28"/>
  <c r="H112" i="28"/>
  <c r="AD144" i="28"/>
  <c r="AA144" i="28"/>
  <c r="AC144" i="28"/>
  <c r="AB144" i="28"/>
  <c r="L160" i="28"/>
  <c r="H160" i="28"/>
  <c r="K160" i="28"/>
  <c r="I160" i="28"/>
  <c r="J160" i="28"/>
  <c r="J192" i="28"/>
  <c r="L192" i="28"/>
  <c r="I192" i="28"/>
  <c r="H192" i="28"/>
  <c r="K192" i="28"/>
  <c r="AE898" i="2"/>
  <c r="AM898" i="2"/>
  <c r="AE886" i="2"/>
  <c r="AM886" i="2"/>
  <c r="AE578" i="2"/>
  <c r="AM578" i="2"/>
  <c r="AE558" i="2"/>
  <c r="AM558" i="2"/>
  <c r="AE370" i="2"/>
  <c r="AM370" i="2"/>
  <c r="AE458" i="2"/>
  <c r="AM458" i="2"/>
  <c r="AE403" i="2"/>
  <c r="AM403" i="2"/>
  <c r="AD175" i="28"/>
  <c r="AA175" i="28"/>
  <c r="AC175" i="28"/>
  <c r="AB175" i="28"/>
  <c r="AD76" i="28"/>
  <c r="AA76" i="28"/>
  <c r="AC76" i="28"/>
  <c r="AB76" i="28"/>
  <c r="J116" i="28"/>
  <c r="I116" i="28"/>
  <c r="H116" i="28"/>
  <c r="L116" i="28"/>
  <c r="K116" i="28"/>
  <c r="AE2048" i="2"/>
  <c r="AM2048" i="2"/>
  <c r="AE2016" i="2"/>
  <c r="AM2016" i="2"/>
  <c r="AE1700" i="2"/>
  <c r="AM1700" i="2"/>
  <c r="AE1668" i="2"/>
  <c r="AM1668" i="2"/>
  <c r="AE1636" i="2"/>
  <c r="AM1636" i="2"/>
  <c r="AE1604" i="2"/>
  <c r="AM1604" i="2"/>
  <c r="AE1572" i="2"/>
  <c r="AM1572" i="2"/>
  <c r="AE1540" i="2"/>
  <c r="AM1540" i="2"/>
  <c r="AE1508" i="2"/>
  <c r="AM1508" i="2"/>
  <c r="AE1476" i="2"/>
  <c r="AM1476" i="2"/>
  <c r="AE1450" i="2"/>
  <c r="AM1450" i="2"/>
  <c r="AE1418" i="2"/>
  <c r="AM1418" i="2"/>
  <c r="AE2060" i="2"/>
  <c r="AM2060" i="2"/>
  <c r="AE2028" i="2"/>
  <c r="AM2028" i="2"/>
  <c r="AE1459" i="2"/>
  <c r="AM1459" i="2"/>
  <c r="AE1395" i="2"/>
  <c r="AM1395" i="2"/>
  <c r="AE1334" i="2"/>
  <c r="AM1334" i="2"/>
  <c r="AE1270" i="2"/>
  <c r="AM1270" i="2"/>
  <c r="AE1206" i="2"/>
  <c r="AM1206" i="2"/>
  <c r="AE1142" i="2"/>
  <c r="AM1142" i="2"/>
  <c r="AE1069" i="2"/>
  <c r="AM1069" i="2"/>
  <c r="AE1005" i="2"/>
  <c r="AM1005" i="2"/>
  <c r="AE922" i="2"/>
  <c r="AM922" i="2"/>
  <c r="AE858" i="2"/>
  <c r="AM858" i="2"/>
  <c r="AE622" i="2"/>
  <c r="AM622" i="2"/>
  <c r="AE937" i="2"/>
  <c r="AM937" i="2"/>
  <c r="AE905" i="2"/>
  <c r="AM905" i="2"/>
  <c r="AE873" i="2"/>
  <c r="AM873" i="2"/>
  <c r="AE841" i="2"/>
  <c r="AM841" i="2"/>
  <c r="AE809" i="2"/>
  <c r="AM809" i="2"/>
  <c r="AE737" i="2"/>
  <c r="AM737" i="2"/>
  <c r="AE631" i="2"/>
  <c r="AM631" i="2"/>
  <c r="AE941" i="2"/>
  <c r="AM941" i="2"/>
  <c r="AE909" i="2"/>
  <c r="AM909" i="2"/>
  <c r="AE877" i="2"/>
  <c r="AM877" i="2"/>
  <c r="AE845" i="2"/>
  <c r="AM845" i="2"/>
  <c r="AE813" i="2"/>
  <c r="AM813" i="2"/>
  <c r="AE749" i="2"/>
  <c r="AM749" i="2"/>
  <c r="AE939" i="2"/>
  <c r="AM939" i="2"/>
  <c r="AE907" i="2"/>
  <c r="AM907" i="2"/>
  <c r="AE875" i="2"/>
  <c r="AM875" i="2"/>
  <c r="AE843" i="2"/>
  <c r="AM843" i="2"/>
  <c r="AE811" i="2"/>
  <c r="AM811" i="2"/>
  <c r="AE777" i="2"/>
  <c r="AM777" i="2"/>
  <c r="AE713" i="2"/>
  <c r="AM713" i="2"/>
  <c r="AE697" i="2"/>
  <c r="AM697" i="2"/>
  <c r="AE681" i="2"/>
  <c r="AM681" i="2"/>
  <c r="AE629" i="2"/>
  <c r="AM629" i="2"/>
  <c r="AE583" i="2"/>
  <c r="AM583" i="2"/>
  <c r="AE567" i="2"/>
  <c r="AM567" i="2"/>
  <c r="AE551" i="2"/>
  <c r="AM551" i="2"/>
  <c r="AE535" i="2"/>
  <c r="AM535" i="2"/>
  <c r="AE477" i="2"/>
  <c r="AM477" i="2"/>
  <c r="AE671" i="2"/>
  <c r="AM671" i="2"/>
  <c r="AE499" i="2"/>
  <c r="AM499" i="2"/>
  <c r="AE497" i="2"/>
  <c r="AM497" i="2"/>
  <c r="AD61" i="28"/>
  <c r="AA61" i="28"/>
  <c r="AC61" i="28"/>
  <c r="AB61" i="28"/>
  <c r="L77" i="28"/>
  <c r="H77" i="28"/>
  <c r="K77" i="28"/>
  <c r="J77" i="28"/>
  <c r="I77" i="28"/>
  <c r="AD93" i="28"/>
  <c r="AA93" i="28"/>
  <c r="AC93" i="28"/>
  <c r="AB93" i="28"/>
  <c r="I117" i="28"/>
  <c r="H117" i="28"/>
  <c r="L117" i="28"/>
  <c r="K117" i="28"/>
  <c r="J117" i="28"/>
  <c r="K125" i="28"/>
  <c r="I125" i="28"/>
  <c r="J125" i="28"/>
  <c r="H125" i="28"/>
  <c r="L125" i="28"/>
  <c r="AD125" i="28"/>
  <c r="AA125" i="28"/>
  <c r="AC125" i="28"/>
  <c r="AB125" i="28"/>
  <c r="AD157" i="28"/>
  <c r="AA157" i="28"/>
  <c r="AC157" i="28"/>
  <c r="AB157" i="28"/>
  <c r="J173" i="28"/>
  <c r="I173" i="28"/>
  <c r="L173" i="28"/>
  <c r="K173" i="28"/>
  <c r="H173" i="28"/>
  <c r="I189" i="28"/>
  <c r="J189" i="28"/>
  <c r="H189" i="28"/>
  <c r="K189" i="28"/>
  <c r="L189" i="28"/>
  <c r="AD189" i="28"/>
  <c r="AA189" i="28"/>
  <c r="AC189" i="28"/>
  <c r="AB189" i="28"/>
  <c r="J197" i="28"/>
  <c r="I197" i="28"/>
  <c r="H197" i="28"/>
  <c r="K197" i="28"/>
  <c r="L197" i="28"/>
  <c r="AD50" i="28"/>
  <c r="AA50" i="28"/>
  <c r="AC50" i="28"/>
  <c r="AB50" i="28"/>
  <c r="K66" i="28"/>
  <c r="H66" i="28"/>
  <c r="L66" i="28"/>
  <c r="J66" i="28"/>
  <c r="I66" i="28"/>
  <c r="J74" i="28"/>
  <c r="I74" i="28"/>
  <c r="H74" i="28"/>
  <c r="K74" i="28"/>
  <c r="L74" i="28"/>
  <c r="AD82" i="28"/>
  <c r="AA82" i="28"/>
  <c r="AC82" i="28"/>
  <c r="AB82" i="28"/>
  <c r="AD114" i="28"/>
  <c r="AA114" i="28"/>
  <c r="AB114" i="28"/>
  <c r="AC114" i="28"/>
  <c r="L122" i="28"/>
  <c r="K122" i="28"/>
  <c r="I122" i="28"/>
  <c r="H122" i="28"/>
  <c r="J122" i="28"/>
  <c r="AD146" i="28"/>
  <c r="AA146" i="28"/>
  <c r="AB146" i="28"/>
  <c r="AC146" i="28"/>
  <c r="AD178" i="28"/>
  <c r="AA178" i="28"/>
  <c r="AB178" i="28"/>
  <c r="AC178" i="28"/>
  <c r="H47" i="28"/>
  <c r="L47" i="28"/>
  <c r="I47" i="28"/>
  <c r="J47" i="28"/>
  <c r="K47" i="28"/>
  <c r="H79" i="28"/>
  <c r="L79" i="28"/>
  <c r="K79" i="28"/>
  <c r="J79" i="28"/>
  <c r="I79" i="28"/>
  <c r="J103" i="28"/>
  <c r="I103" i="28"/>
  <c r="H103" i="28"/>
  <c r="K103" i="28"/>
  <c r="L103" i="28"/>
  <c r="AD103" i="28"/>
  <c r="AA103" i="28"/>
  <c r="AC103" i="28"/>
  <c r="AB103" i="28"/>
  <c r="K135" i="28"/>
  <c r="I135" i="28"/>
  <c r="L135" i="28"/>
  <c r="H135" i="28"/>
  <c r="J135" i="28"/>
  <c r="L167" i="28"/>
  <c r="I167" i="28"/>
  <c r="H167" i="28"/>
  <c r="K167" i="28"/>
  <c r="J167" i="28"/>
  <c r="H68" i="28"/>
  <c r="I68" i="28"/>
  <c r="J68" i="28"/>
  <c r="L68" i="28"/>
  <c r="K68" i="28"/>
  <c r="K100" i="28"/>
  <c r="L100" i="28"/>
  <c r="J100" i="28"/>
  <c r="I100" i="28"/>
  <c r="H100" i="28"/>
  <c r="AD132" i="28"/>
  <c r="AA132" i="28"/>
  <c r="AC132" i="28"/>
  <c r="AB132" i="28"/>
  <c r="AE2040" i="2"/>
  <c r="AM2040" i="2"/>
  <c r="AE1976" i="2"/>
  <c r="AM1976" i="2"/>
  <c r="AE1912" i="2"/>
  <c r="AM1912" i="2"/>
  <c r="AE1848" i="2"/>
  <c r="AM1848" i="2"/>
  <c r="AE1784" i="2"/>
  <c r="AM1784" i="2"/>
  <c r="AE1720" i="2"/>
  <c r="AM1720" i="2"/>
  <c r="AE1644" i="2"/>
  <c r="AM1644" i="2"/>
  <c r="AE1580" i="2"/>
  <c r="AM1580" i="2"/>
  <c r="AE1516" i="2"/>
  <c r="AM1516" i="2"/>
  <c r="AE1452" i="2"/>
  <c r="AM1452" i="2"/>
  <c r="AE1420" i="2"/>
  <c r="AM1420" i="2"/>
  <c r="AE1696" i="2"/>
  <c r="AM1696" i="2"/>
  <c r="AE1632" i="2"/>
  <c r="AM1632" i="2"/>
  <c r="AE1568" i="2"/>
  <c r="AM1568" i="2"/>
  <c r="AE1504" i="2"/>
  <c r="AM1504" i="2"/>
  <c r="AE1435" i="2"/>
  <c r="AM1435" i="2"/>
  <c r="AE1390" i="2"/>
  <c r="AM1390" i="2"/>
  <c r="AE1326" i="2"/>
  <c r="AM1326" i="2"/>
  <c r="AE1262" i="2"/>
  <c r="AM1262" i="2"/>
  <c r="AE1198" i="2"/>
  <c r="AM1198" i="2"/>
  <c r="AE1134" i="2"/>
  <c r="AM1134" i="2"/>
  <c r="AE1039" i="2"/>
  <c r="AM1039" i="2"/>
  <c r="AE1407" i="2"/>
  <c r="AM1407" i="2"/>
  <c r="AE2003" i="2"/>
  <c r="AM2003" i="2"/>
  <c r="AE1971" i="2"/>
  <c r="AM1971" i="2"/>
  <c r="AE1939" i="2"/>
  <c r="AM1939" i="2"/>
  <c r="AE1907" i="2"/>
  <c r="AM1907" i="2"/>
  <c r="AE1875" i="2"/>
  <c r="AM1875" i="2"/>
  <c r="AE1843" i="2"/>
  <c r="AM1843" i="2"/>
  <c r="AE1811" i="2"/>
  <c r="AM1811" i="2"/>
  <c r="AE1779" i="2"/>
  <c r="AM1779" i="2"/>
  <c r="AE1747" i="2"/>
  <c r="AM1747" i="2"/>
  <c r="AE1715" i="2"/>
  <c r="AM1715" i="2"/>
  <c r="AE1688" i="2"/>
  <c r="AM1688" i="2"/>
  <c r="AE1656" i="2"/>
  <c r="AM1656" i="2"/>
  <c r="AE1624" i="2"/>
  <c r="AM1624" i="2"/>
  <c r="AE1592" i="2"/>
  <c r="AM1592" i="2"/>
  <c r="AE1560" i="2"/>
  <c r="AM1560" i="2"/>
  <c r="AE1528" i="2"/>
  <c r="AM1528" i="2"/>
  <c r="AE1496" i="2"/>
  <c r="AM1496" i="2"/>
  <c r="AE1464" i="2"/>
  <c r="AM1464" i="2"/>
  <c r="AE1432" i="2"/>
  <c r="AM1432" i="2"/>
  <c r="AE1400" i="2"/>
  <c r="AM1400" i="2"/>
  <c r="AE991" i="2"/>
  <c r="AM991" i="2"/>
  <c r="AE917" i="2"/>
  <c r="AM917" i="2"/>
  <c r="AE885" i="2"/>
  <c r="AM885" i="2"/>
  <c r="AE853" i="2"/>
  <c r="AM853" i="2"/>
  <c r="AE821" i="2"/>
  <c r="AM821" i="2"/>
  <c r="AE773" i="2"/>
  <c r="AM773" i="2"/>
  <c r="AE926" i="2"/>
  <c r="AM926" i="2"/>
  <c r="AE862" i="2"/>
  <c r="AM862" i="2"/>
  <c r="AE822" i="2"/>
  <c r="AM822" i="2"/>
  <c r="AE655" i="2"/>
  <c r="AM655" i="2"/>
  <c r="AE591" i="2"/>
  <c r="AM591" i="2"/>
  <c r="AE402" i="2"/>
  <c r="AM402" i="2"/>
  <c r="AE498" i="2"/>
  <c r="AM498" i="2"/>
  <c r="AE398" i="2"/>
  <c r="AM398" i="2"/>
  <c r="AE362" i="2"/>
  <c r="AM362" i="2"/>
  <c r="H55" i="28"/>
  <c r="J55" i="28"/>
  <c r="K55" i="28"/>
  <c r="I55" i="28"/>
  <c r="L55" i="28"/>
  <c r="J119" i="28"/>
  <c r="L119" i="28"/>
  <c r="H119" i="28"/>
  <c r="I119" i="28"/>
  <c r="K119" i="28"/>
  <c r="AD119" i="28"/>
  <c r="AA119" i="28"/>
  <c r="AC119" i="28"/>
  <c r="AB119" i="28"/>
  <c r="AD148" i="28"/>
  <c r="AA148" i="28"/>
  <c r="AC148" i="28"/>
  <c r="AB148" i="28"/>
  <c r="J180" i="28"/>
  <c r="L180" i="28"/>
  <c r="H180" i="28"/>
  <c r="K180" i="28"/>
  <c r="I180" i="28"/>
  <c r="AE639" i="2"/>
  <c r="AM639" i="2"/>
  <c r="AE515" i="2"/>
  <c r="AM515" i="2"/>
  <c r="AE513" i="2"/>
  <c r="AM513" i="2"/>
  <c r="AD57" i="28"/>
  <c r="AA57" i="28"/>
  <c r="AC57" i="28"/>
  <c r="AB57" i="28"/>
  <c r="AD89" i="28"/>
  <c r="AA89" i="28"/>
  <c r="AC89" i="28"/>
  <c r="AB89" i="28"/>
  <c r="AD121" i="28"/>
  <c r="AA121" i="28"/>
  <c r="AC121" i="28"/>
  <c r="AB121" i="28"/>
  <c r="AD153" i="28"/>
  <c r="AA153" i="28"/>
  <c r="AC153" i="28"/>
  <c r="AB153" i="28"/>
  <c r="AD185" i="28"/>
  <c r="AA185" i="28"/>
  <c r="AC185" i="28"/>
  <c r="AB185" i="28"/>
  <c r="AD54" i="28"/>
  <c r="AA54" i="28"/>
  <c r="AC54" i="28"/>
  <c r="AB54" i="28"/>
  <c r="AD86" i="28"/>
  <c r="AA86" i="28"/>
  <c r="AC86" i="28"/>
  <c r="AB86" i="28"/>
  <c r="K118" i="28"/>
  <c r="I118" i="28"/>
  <c r="H118" i="28"/>
  <c r="L118" i="28"/>
  <c r="J118" i="28"/>
  <c r="AD118" i="28"/>
  <c r="AA118" i="28"/>
  <c r="AB118" i="28"/>
  <c r="AC118" i="28"/>
  <c r="AD150" i="28"/>
  <c r="AA150" i="28"/>
  <c r="AC150" i="28"/>
  <c r="AB150" i="28"/>
  <c r="AD182" i="28"/>
  <c r="AA182" i="28"/>
  <c r="AC182" i="28"/>
  <c r="AB182" i="28"/>
  <c r="AE411" i="2"/>
  <c r="AM411" i="2"/>
  <c r="AE510" i="2"/>
  <c r="AM510" i="2"/>
  <c r="AE478" i="2"/>
  <c r="AM478" i="2"/>
  <c r="AE430" i="2"/>
  <c r="AM430" i="2"/>
  <c r="I59" i="28"/>
  <c r="H59" i="28"/>
  <c r="K59" i="28"/>
  <c r="J59" i="28"/>
  <c r="L59" i="28"/>
  <c r="AD59" i="28"/>
  <c r="AA59" i="28"/>
  <c r="AC59" i="28"/>
  <c r="AB59" i="28"/>
  <c r="AD115" i="28"/>
  <c r="AA115" i="28"/>
  <c r="AC115" i="28"/>
  <c r="AB115" i="28"/>
  <c r="I147" i="28"/>
  <c r="L147" i="28"/>
  <c r="K147" i="28"/>
  <c r="J147" i="28"/>
  <c r="H147" i="28"/>
  <c r="AD179" i="28"/>
  <c r="AA179" i="28"/>
  <c r="AC179" i="28"/>
  <c r="AB179" i="28"/>
  <c r="AD88" i="28"/>
  <c r="AA88" i="28"/>
  <c r="AC88" i="28"/>
  <c r="AB88" i="28"/>
  <c r="J136" i="28"/>
  <c r="L136" i="28"/>
  <c r="K136" i="28"/>
  <c r="H136" i="28"/>
  <c r="I136" i="28"/>
  <c r="K152" i="28"/>
  <c r="L152" i="28"/>
  <c r="I152" i="28"/>
  <c r="J152" i="28"/>
  <c r="H152" i="28"/>
  <c r="AD152" i="28"/>
  <c r="AA152" i="28"/>
  <c r="AC152" i="28"/>
  <c r="AB152" i="28"/>
  <c r="I168" i="28"/>
  <c r="L168" i="28"/>
  <c r="K168" i="28"/>
  <c r="H168" i="28"/>
  <c r="J168" i="28"/>
  <c r="AE418" i="2"/>
  <c r="AM418" i="2"/>
  <c r="AE482" i="2"/>
  <c r="AM482" i="2"/>
  <c r="AD39" i="28"/>
  <c r="AA39" i="28"/>
  <c r="AC39" i="28"/>
  <c r="AB39" i="28"/>
  <c r="AD159" i="28"/>
  <c r="AA159" i="28"/>
  <c r="AC159" i="28"/>
  <c r="AB159" i="28"/>
  <c r="AD60" i="28"/>
  <c r="AA60" i="28"/>
  <c r="AC60" i="28"/>
  <c r="AB60" i="28"/>
  <c r="L188" i="28"/>
  <c r="H188" i="28"/>
  <c r="K188" i="28"/>
  <c r="I188" i="28"/>
  <c r="J188" i="28"/>
  <c r="AD188" i="28"/>
  <c r="AA188" i="28"/>
  <c r="AC188" i="28"/>
  <c r="AB188" i="28"/>
  <c r="AE1047" i="2"/>
  <c r="AM1047" i="2"/>
  <c r="AE487" i="2"/>
  <c r="AM487" i="2"/>
  <c r="AE522" i="2"/>
  <c r="AM522" i="2"/>
  <c r="AE570" i="2"/>
  <c r="AM570" i="2"/>
  <c r="AE538" i="2"/>
  <c r="AM538" i="2"/>
  <c r="AE707" i="2"/>
  <c r="AM707" i="2"/>
  <c r="AE675" i="2"/>
  <c r="AM675" i="2"/>
  <c r="AE611" i="2"/>
  <c r="AM611" i="2"/>
  <c r="AE550" i="2"/>
  <c r="AM550" i="2"/>
  <c r="AE443" i="2"/>
  <c r="AM443" i="2"/>
  <c r="AE395" i="2"/>
  <c r="AM395" i="2"/>
  <c r="AE486" i="2"/>
  <c r="AM486" i="2"/>
  <c r="AE366" i="2"/>
  <c r="AM366" i="2"/>
  <c r="AE394" i="2"/>
  <c r="AM394" i="2"/>
  <c r="AD67" i="28"/>
  <c r="AA67" i="28"/>
  <c r="AC67" i="28"/>
  <c r="AB67" i="28"/>
  <c r="AD139" i="28"/>
  <c r="AA139" i="28"/>
  <c r="AC139" i="28"/>
  <c r="AB139" i="28"/>
  <c r="H155" i="28"/>
  <c r="L155" i="28"/>
  <c r="K155" i="28"/>
  <c r="I155" i="28"/>
  <c r="J155" i="28"/>
  <c r="J171" i="28"/>
  <c r="L171" i="28"/>
  <c r="K171" i="28"/>
  <c r="I171" i="28"/>
  <c r="H171" i="28"/>
  <c r="AD56" i="28"/>
  <c r="AA56" i="28"/>
  <c r="AC56" i="28"/>
  <c r="AB56" i="28"/>
  <c r="J72" i="28"/>
  <c r="K72" i="28"/>
  <c r="I72" i="28"/>
  <c r="H72" i="28"/>
  <c r="L72" i="28"/>
  <c r="AD128" i="28"/>
  <c r="AA128" i="28"/>
  <c r="AC128" i="28"/>
  <c r="AB128" i="28"/>
  <c r="I144" i="28"/>
  <c r="H144" i="28"/>
  <c r="J144" i="28"/>
  <c r="L144" i="28"/>
  <c r="K144" i="28"/>
  <c r="AD192" i="28"/>
  <c r="AA192" i="28"/>
  <c r="AC192" i="28"/>
  <c r="AB192" i="28"/>
  <c r="I71" i="28"/>
  <c r="H71" i="28"/>
  <c r="K71" i="28"/>
  <c r="J71" i="28"/>
  <c r="L71" i="28"/>
  <c r="J143" i="28"/>
  <c r="K143" i="28"/>
  <c r="L143" i="28"/>
  <c r="I143" i="28"/>
  <c r="H143" i="28"/>
  <c r="AD143" i="28"/>
  <c r="AA143" i="28"/>
  <c r="AC143" i="28"/>
  <c r="AB143" i="28"/>
  <c r="H175" i="28"/>
  <c r="L175" i="28"/>
  <c r="K175" i="28"/>
  <c r="J175" i="28"/>
  <c r="I175" i="28"/>
  <c r="AD44" i="28"/>
  <c r="AA44" i="28"/>
  <c r="AC44" i="28"/>
  <c r="AB44" i="28"/>
  <c r="K140" i="28"/>
  <c r="I140" i="28"/>
  <c r="J140" i="28"/>
  <c r="L140" i="28"/>
  <c r="H140" i="28"/>
  <c r="AD172" i="28"/>
  <c r="AA172" i="28"/>
  <c r="AC172" i="28"/>
  <c r="AB172" i="28"/>
  <c r="AE1447" i="2"/>
  <c r="AM1447" i="2"/>
  <c r="AE1362" i="2"/>
  <c r="AM1362" i="2"/>
  <c r="AE1298" i="2"/>
  <c r="AM1298" i="2"/>
  <c r="AE1234" i="2"/>
  <c r="AM1234" i="2"/>
  <c r="AE1170" i="2"/>
  <c r="AM1170" i="2"/>
  <c r="AE1106" i="2"/>
  <c r="AM1106" i="2"/>
  <c r="AE2052" i="2"/>
  <c r="AM2052" i="2"/>
  <c r="AE1988" i="2"/>
  <c r="AM1988" i="2"/>
  <c r="AE1924" i="2"/>
  <c r="AM1924" i="2"/>
  <c r="AE1860" i="2"/>
  <c r="AM1860" i="2"/>
  <c r="AE1796" i="2"/>
  <c r="AM1796" i="2"/>
  <c r="AE1732" i="2"/>
  <c r="AM1732" i="2"/>
  <c r="AE1456" i="2"/>
  <c r="AM1456" i="2"/>
  <c r="AE1424" i="2"/>
  <c r="AM1424" i="2"/>
  <c r="AE1374" i="2"/>
  <c r="AM1374" i="2"/>
  <c r="AE1310" i="2"/>
  <c r="AM1310" i="2"/>
  <c r="AE1246" i="2"/>
  <c r="AM1246" i="2"/>
  <c r="AE1182" i="2"/>
  <c r="AM1182" i="2"/>
  <c r="AE1118" i="2"/>
  <c r="AM1118" i="2"/>
  <c r="AE1053" i="2"/>
  <c r="AM1053" i="2"/>
  <c r="AE989" i="2"/>
  <c r="AM989" i="2"/>
  <c r="AE670" i="2"/>
  <c r="AM670" i="2"/>
  <c r="AE1031" i="2"/>
  <c r="AM1031" i="2"/>
  <c r="AE607" i="2"/>
  <c r="AM607" i="2"/>
  <c r="AE587" i="2"/>
  <c r="AM587" i="2"/>
  <c r="AE571" i="2"/>
  <c r="AM571" i="2"/>
  <c r="AE555" i="2"/>
  <c r="AM555" i="2"/>
  <c r="AE539" i="2"/>
  <c r="AM539" i="2"/>
  <c r="AE517" i="2"/>
  <c r="AM517" i="2"/>
  <c r="AE667" i="2"/>
  <c r="AM667" i="2"/>
  <c r="AE626" i="2"/>
  <c r="AM626" i="2"/>
  <c r="AE603" i="2"/>
  <c r="AM603" i="2"/>
  <c r="AE531" i="2"/>
  <c r="AM531" i="2"/>
  <c r="AE467" i="2"/>
  <c r="AM467" i="2"/>
  <c r="AE687" i="2"/>
  <c r="AM687" i="2"/>
  <c r="AE627" i="2"/>
  <c r="AM627" i="2"/>
  <c r="AE465" i="2"/>
  <c r="AM465" i="2"/>
  <c r="AE399" i="2"/>
  <c r="AM399" i="2"/>
  <c r="AE446" i="2"/>
  <c r="AM446" i="2"/>
  <c r="AE382" i="2"/>
  <c r="AM382" i="2"/>
  <c r="AE410" i="2"/>
  <c r="AM410" i="2"/>
  <c r="K45" i="28"/>
  <c r="J45" i="28"/>
  <c r="I45" i="28"/>
  <c r="H45" i="28"/>
  <c r="L45" i="28"/>
  <c r="AD53" i="28"/>
  <c r="AA53" i="28"/>
  <c r="AC53" i="28"/>
  <c r="AB53" i="28"/>
  <c r="AD85" i="28"/>
  <c r="AA85" i="28"/>
  <c r="AC85" i="28"/>
  <c r="AB85" i="28"/>
  <c r="H93" i="28"/>
  <c r="J93" i="28"/>
  <c r="L93" i="28"/>
  <c r="K93" i="28"/>
  <c r="I93" i="28"/>
  <c r="J101" i="28"/>
  <c r="K101" i="28"/>
  <c r="I101" i="28"/>
  <c r="H101" i="28"/>
  <c r="L101" i="28"/>
  <c r="AD117" i="28"/>
  <c r="AA117" i="28"/>
  <c r="AC117" i="28"/>
  <c r="AB117" i="28"/>
  <c r="AD149" i="28"/>
  <c r="AA149" i="28"/>
  <c r="AC149" i="28"/>
  <c r="AB149" i="28"/>
  <c r="AD181" i="28"/>
  <c r="AA181" i="28"/>
  <c r="AC181" i="28"/>
  <c r="AB181" i="28"/>
  <c r="AD42" i="28"/>
  <c r="AA42" i="28"/>
  <c r="AB42" i="28"/>
  <c r="AC42" i="28"/>
  <c r="L58" i="28"/>
  <c r="I58" i="28"/>
  <c r="H58" i="28"/>
  <c r="K58" i="28"/>
  <c r="J58" i="28"/>
  <c r="AD74" i="28"/>
  <c r="AB74" i="28"/>
  <c r="AA74" i="28"/>
  <c r="AC74" i="28"/>
  <c r="L98" i="28"/>
  <c r="H98" i="28"/>
  <c r="I98" i="28"/>
  <c r="K98" i="28"/>
  <c r="J98" i="28"/>
  <c r="AD106" i="28"/>
  <c r="AA106" i="28"/>
  <c r="AC106" i="28"/>
  <c r="AB106" i="28"/>
  <c r="AD138" i="28"/>
  <c r="AA138" i="28"/>
  <c r="AC138" i="28"/>
  <c r="AB138" i="28"/>
  <c r="J146" i="28"/>
  <c r="L146" i="28"/>
  <c r="H146" i="28"/>
  <c r="K146" i="28"/>
  <c r="I146" i="28"/>
  <c r="I162" i="28"/>
  <c r="L162" i="28"/>
  <c r="H162" i="28"/>
  <c r="K162" i="28"/>
  <c r="J162" i="28"/>
  <c r="H170" i="28"/>
  <c r="K170" i="28"/>
  <c r="I170" i="28"/>
  <c r="J170" i="28"/>
  <c r="L170" i="28"/>
  <c r="AD170" i="28"/>
  <c r="AA170" i="28"/>
  <c r="AB170" i="28"/>
  <c r="AC170" i="28"/>
  <c r="J186" i="28"/>
  <c r="K186" i="28"/>
  <c r="I186" i="28"/>
  <c r="L186" i="28"/>
  <c r="H186" i="28"/>
  <c r="AE866" i="2"/>
  <c r="AM866" i="2"/>
  <c r="AE918" i="2"/>
  <c r="AM918" i="2"/>
  <c r="AE643" i="2"/>
  <c r="AM643" i="2"/>
  <c r="AE574" i="2"/>
  <c r="AM574" i="2"/>
  <c r="AE386" i="2"/>
  <c r="AM386" i="2"/>
  <c r="AE474" i="2"/>
  <c r="AM474" i="2"/>
  <c r="AD79" i="28"/>
  <c r="AA79" i="28"/>
  <c r="AC79" i="28"/>
  <c r="AB79" i="28"/>
  <c r="H199" i="28"/>
  <c r="L199" i="28"/>
  <c r="I199" i="28"/>
  <c r="J199" i="28"/>
  <c r="K199" i="28"/>
  <c r="AD199" i="28"/>
  <c r="AA199" i="28"/>
  <c r="AC199" i="28"/>
  <c r="AB199" i="28"/>
  <c r="I36" i="28"/>
  <c r="K36" i="28"/>
  <c r="J36" i="28"/>
  <c r="H36" i="28"/>
  <c r="L36" i="28"/>
  <c r="AD100" i="28"/>
  <c r="AA100" i="28"/>
  <c r="AC100" i="28"/>
  <c r="AB100" i="28"/>
  <c r="L164" i="28"/>
  <c r="J164" i="28"/>
  <c r="I164" i="28"/>
  <c r="K164" i="28"/>
  <c r="H164" i="28"/>
  <c r="AD95" i="28"/>
  <c r="AA95" i="28"/>
  <c r="AC95" i="28"/>
  <c r="AB95" i="28"/>
  <c r="H183" i="28"/>
  <c r="K183" i="28"/>
  <c r="I183" i="28"/>
  <c r="L183" i="28"/>
  <c r="J183" i="28"/>
  <c r="J52" i="28"/>
  <c r="K52" i="28"/>
  <c r="H52" i="28"/>
  <c r="L52" i="28"/>
  <c r="I52" i="28"/>
  <c r="AD108" i="28"/>
  <c r="AA108" i="28"/>
  <c r="AC108" i="28"/>
  <c r="AB108" i="28"/>
  <c r="K148" i="28"/>
  <c r="J148" i="28"/>
  <c r="H148" i="28"/>
  <c r="I148" i="28"/>
  <c r="L148" i="28"/>
  <c r="AE1463" i="2"/>
  <c r="AM1463" i="2"/>
  <c r="AE1399" i="2"/>
  <c r="AM1399" i="2"/>
  <c r="AE1346" i="2"/>
  <c r="AM1346" i="2"/>
  <c r="AE1282" i="2"/>
  <c r="AM1282" i="2"/>
  <c r="AE1218" i="2"/>
  <c r="AM1218" i="2"/>
  <c r="AE1154" i="2"/>
  <c r="AM1154" i="2"/>
  <c r="AE1090" i="2"/>
  <c r="AM1090" i="2"/>
  <c r="AE1648" i="2"/>
  <c r="AM1648" i="2"/>
  <c r="AE1584" i="2"/>
  <c r="AM1584" i="2"/>
  <c r="AE1520" i="2"/>
  <c r="AM1520" i="2"/>
  <c r="AE1462" i="2"/>
  <c r="AM1462" i="2"/>
  <c r="AE1430" i="2"/>
  <c r="AM1430" i="2"/>
  <c r="AE1398" i="2"/>
  <c r="AM1398" i="2"/>
  <c r="AE1342" i="2"/>
  <c r="AM1342" i="2"/>
  <c r="AE1278" i="2"/>
  <c r="AM1278" i="2"/>
  <c r="AE1214" i="2"/>
  <c r="AM1214" i="2"/>
  <c r="AE1150" i="2"/>
  <c r="AM1150" i="2"/>
  <c r="AE1085" i="2"/>
  <c r="AM1085" i="2"/>
  <c r="AE1021" i="2"/>
  <c r="AM1021" i="2"/>
  <c r="AE957" i="2"/>
  <c r="AM957" i="2"/>
  <c r="AE2007" i="2"/>
  <c r="AM2007" i="2"/>
  <c r="AE1968" i="2"/>
  <c r="AM1968" i="2"/>
  <c r="AE1904" i="2"/>
  <c r="AM1904" i="2"/>
  <c r="AE1840" i="2"/>
  <c r="AM1840" i="2"/>
  <c r="AE1776" i="2"/>
  <c r="AM1776" i="2"/>
  <c r="AE1712" i="2"/>
  <c r="AM1712" i="2"/>
  <c r="AE1444" i="2"/>
  <c r="AM1444" i="2"/>
  <c r="AE1412" i="2"/>
  <c r="AM1412" i="2"/>
  <c r="AE1370" i="2"/>
  <c r="AM1370" i="2"/>
  <c r="AE1306" i="2"/>
  <c r="AM1306" i="2"/>
  <c r="AE1242" i="2"/>
  <c r="AM1242" i="2"/>
  <c r="AE1178" i="2"/>
  <c r="AM1178" i="2"/>
  <c r="AE1114" i="2"/>
  <c r="AM1114" i="2"/>
  <c r="AE2083" i="2"/>
  <c r="AM2083" i="2"/>
  <c r="AE2051" i="2"/>
  <c r="AM2051" i="2"/>
  <c r="AE2019" i="2"/>
  <c r="AM2019" i="2"/>
  <c r="AE1443" i="2"/>
  <c r="AM1443" i="2"/>
  <c r="AE1382" i="2"/>
  <c r="AM1382" i="2"/>
  <c r="AE1318" i="2"/>
  <c r="AM1318" i="2"/>
  <c r="AE1254" i="2"/>
  <c r="AM1254" i="2"/>
  <c r="AE1190" i="2"/>
  <c r="AM1190" i="2"/>
  <c r="AE1126" i="2"/>
  <c r="AM1126" i="2"/>
  <c r="AE1078" i="2"/>
  <c r="AM1078" i="2"/>
  <c r="AE1014" i="2"/>
  <c r="AM1014" i="2"/>
  <c r="AE950" i="2"/>
  <c r="AM950" i="2"/>
  <c r="AE906" i="2"/>
  <c r="AM906" i="2"/>
  <c r="AE842" i="2"/>
  <c r="AM842" i="2"/>
  <c r="AE654" i="2"/>
  <c r="AM654" i="2"/>
  <c r="AE1061" i="2"/>
  <c r="AM1061" i="2"/>
  <c r="AE1029" i="2"/>
  <c r="AM1029" i="2"/>
  <c r="AE997" i="2"/>
  <c r="AM997" i="2"/>
  <c r="AE965" i="2"/>
  <c r="AM965" i="2"/>
  <c r="AE931" i="2"/>
  <c r="AM931" i="2"/>
  <c r="AE899" i="2"/>
  <c r="AM899" i="2"/>
  <c r="AE867" i="2"/>
  <c r="AM867" i="2"/>
  <c r="AE835" i="2"/>
  <c r="AM835" i="2"/>
  <c r="AE803" i="2"/>
  <c r="AM803" i="2"/>
  <c r="AE753" i="2"/>
  <c r="AM753" i="2"/>
  <c r="AE647" i="2"/>
  <c r="AM647" i="2"/>
  <c r="AE935" i="2"/>
  <c r="AM935" i="2"/>
  <c r="AE903" i="2"/>
  <c r="AM903" i="2"/>
  <c r="AE871" i="2"/>
  <c r="AM871" i="2"/>
  <c r="AE839" i="2"/>
  <c r="AM839" i="2"/>
  <c r="AE807" i="2"/>
  <c r="AM807" i="2"/>
  <c r="AE765" i="2"/>
  <c r="AM765" i="2"/>
  <c r="AE945" i="2"/>
  <c r="AM945" i="2"/>
  <c r="AE913" i="2"/>
  <c r="AM913" i="2"/>
  <c r="AE881" i="2"/>
  <c r="AM881" i="2"/>
  <c r="AE849" i="2"/>
  <c r="AM849" i="2"/>
  <c r="AE817" i="2"/>
  <c r="AM817" i="2"/>
  <c r="AE761" i="2"/>
  <c r="AM761" i="2"/>
  <c r="AE709" i="2"/>
  <c r="AM709" i="2"/>
  <c r="AE693" i="2"/>
  <c r="AM693" i="2"/>
  <c r="AE677" i="2"/>
  <c r="AM677" i="2"/>
  <c r="AE613" i="2"/>
  <c r="AM613" i="2"/>
  <c r="AE577" i="2"/>
  <c r="AM577" i="2"/>
  <c r="AE561" i="2"/>
  <c r="AM561" i="2"/>
  <c r="AE545" i="2"/>
  <c r="AM545" i="2"/>
  <c r="AE519" i="2"/>
  <c r="AM519" i="2"/>
  <c r="AE581" i="2"/>
  <c r="AM581" i="2"/>
  <c r="AE565" i="2"/>
  <c r="AM565" i="2"/>
  <c r="AE549" i="2"/>
  <c r="AM549" i="2"/>
  <c r="AE533" i="2"/>
  <c r="AM533" i="2"/>
  <c r="AE674" i="2"/>
  <c r="AM674" i="2"/>
  <c r="AE651" i="2"/>
  <c r="AM651" i="2"/>
  <c r="AE610" i="2"/>
  <c r="AM610" i="2"/>
  <c r="AE483" i="2"/>
  <c r="AM483" i="2"/>
  <c r="AE695" i="2"/>
  <c r="AM695" i="2"/>
  <c r="AE659" i="2"/>
  <c r="AM659" i="2"/>
  <c r="AE595" i="2"/>
  <c r="AM595" i="2"/>
  <c r="AE481" i="2"/>
  <c r="AM481" i="2"/>
  <c r="AE415" i="2"/>
  <c r="AM415" i="2"/>
  <c r="AE414" i="2"/>
  <c r="AM414" i="2"/>
  <c r="AE442" i="2"/>
  <c r="AM442" i="2"/>
  <c r="AE378" i="2"/>
  <c r="AM378" i="2"/>
  <c r="H41" i="28"/>
  <c r="K41" i="28"/>
  <c r="J41" i="28"/>
  <c r="I41" i="28"/>
  <c r="L41" i="28"/>
  <c r="K49" i="28"/>
  <c r="I49" i="28"/>
  <c r="L49" i="28"/>
  <c r="J49" i="28"/>
  <c r="H49" i="28"/>
  <c r="AD49" i="28"/>
  <c r="AA49" i="28"/>
  <c r="AC49" i="28"/>
  <c r="AB49" i="28"/>
  <c r="L57" i="28"/>
  <c r="K57" i="28"/>
  <c r="I57" i="28"/>
  <c r="J57" i="28"/>
  <c r="H57" i="28"/>
  <c r="AD81" i="28"/>
  <c r="AA81" i="28"/>
  <c r="AC81" i="28"/>
  <c r="AB81" i="28"/>
  <c r="H105" i="28"/>
  <c r="K105" i="28"/>
  <c r="I105" i="28"/>
  <c r="J105" i="28"/>
  <c r="L105" i="28"/>
  <c r="K113" i="28"/>
  <c r="I113" i="28"/>
  <c r="L113" i="28"/>
  <c r="J113" i="28"/>
  <c r="H113" i="28"/>
  <c r="AD113" i="28"/>
  <c r="AA113" i="28"/>
  <c r="AC113" i="28"/>
  <c r="AB113" i="28"/>
  <c r="AD145" i="28"/>
  <c r="AA145" i="28"/>
  <c r="AC145" i="28"/>
  <c r="AB145" i="28"/>
  <c r="AD177" i="28"/>
  <c r="AA177" i="28"/>
  <c r="AB177" i="28"/>
  <c r="AC177" i="28"/>
  <c r="I185" i="28"/>
  <c r="J185" i="28"/>
  <c r="H185" i="28"/>
  <c r="L185" i="28"/>
  <c r="K185" i="28"/>
  <c r="H46" i="28"/>
  <c r="I46" i="28"/>
  <c r="K46" i="28"/>
  <c r="J46" i="28"/>
  <c r="L46" i="28"/>
  <c r="AD46" i="28"/>
  <c r="AA46" i="28"/>
  <c r="AB46" i="28"/>
  <c r="AC46" i="28"/>
  <c r="I62" i="28"/>
  <c r="L62" i="28"/>
  <c r="H62" i="28"/>
  <c r="K62" i="28"/>
  <c r="J62" i="28"/>
  <c r="K78" i="28"/>
  <c r="H78" i="28"/>
  <c r="L78" i="28"/>
  <c r="J78" i="28"/>
  <c r="I78" i="28"/>
  <c r="AD78" i="28"/>
  <c r="AA78" i="28"/>
  <c r="AB78" i="28"/>
  <c r="AC78" i="28"/>
  <c r="H86" i="28"/>
  <c r="J86" i="28"/>
  <c r="I86" i="28"/>
  <c r="L86" i="28"/>
  <c r="K86" i="28"/>
  <c r="AD110" i="28"/>
  <c r="AA110" i="28"/>
  <c r="AC110" i="28"/>
  <c r="AB110" i="28"/>
  <c r="K142" i="28"/>
  <c r="J142" i="28"/>
  <c r="I142" i="28"/>
  <c r="L142" i="28"/>
  <c r="H142" i="28"/>
  <c r="AD142" i="28"/>
  <c r="AA142" i="28"/>
  <c r="AC142" i="28"/>
  <c r="AB142" i="28"/>
  <c r="L174" i="28"/>
  <c r="J174" i="28"/>
  <c r="I174" i="28"/>
  <c r="H174" i="28"/>
  <c r="K174" i="28"/>
  <c r="AD174" i="28"/>
  <c r="AA174" i="28"/>
  <c r="AB174" i="28"/>
  <c r="AC174" i="28"/>
  <c r="AD43" i="28"/>
  <c r="AA43" i="28"/>
  <c r="AC43" i="28"/>
  <c r="AB43" i="28"/>
  <c r="K91" i="28"/>
  <c r="H91" i="28"/>
  <c r="J91" i="28"/>
  <c r="L91" i="28"/>
  <c r="I91" i="28"/>
  <c r="L107" i="28"/>
  <c r="K107" i="28"/>
  <c r="J107" i="28"/>
  <c r="I107" i="28"/>
  <c r="H107" i="28"/>
  <c r="AD107" i="28"/>
  <c r="AA107" i="28"/>
  <c r="AC107" i="28"/>
  <c r="AB107" i="28"/>
  <c r="AD163" i="28"/>
  <c r="AA163" i="28"/>
  <c r="AC163" i="28"/>
  <c r="AB163" i="28"/>
  <c r="L48" i="28"/>
  <c r="J48" i="28"/>
  <c r="I48" i="28"/>
  <c r="K48" i="28"/>
  <c r="H48" i="28"/>
  <c r="AD80" i="28"/>
  <c r="AA80" i="28"/>
  <c r="AC80" i="28"/>
  <c r="AB80" i="28"/>
  <c r="H104" i="28"/>
  <c r="I104" i="28"/>
  <c r="L104" i="28"/>
  <c r="J104" i="28"/>
  <c r="K104" i="28"/>
  <c r="H120" i="28"/>
  <c r="L120" i="28"/>
  <c r="K120" i="28"/>
  <c r="J120" i="28"/>
  <c r="I120" i="28"/>
  <c r="AD136" i="28"/>
  <c r="AA136" i="28"/>
  <c r="AC136" i="28"/>
  <c r="AB136" i="28"/>
  <c r="K184" i="28"/>
  <c r="L184" i="28"/>
  <c r="H184" i="28"/>
  <c r="I184" i="28"/>
  <c r="J184" i="28"/>
  <c r="AE854" i="2"/>
  <c r="AM854" i="2"/>
  <c r="AD127" i="28"/>
  <c r="AA127" i="28"/>
  <c r="AC127" i="28"/>
  <c r="AB127" i="28"/>
  <c r="L124" i="28"/>
  <c r="K124" i="28"/>
  <c r="J124" i="28"/>
  <c r="H124" i="28"/>
  <c r="I124" i="28"/>
  <c r="J156" i="28"/>
  <c r="K156" i="28"/>
  <c r="I156" i="28"/>
  <c r="H156" i="28"/>
  <c r="L156" i="28"/>
  <c r="AD156" i="28"/>
  <c r="AA156" i="28"/>
  <c r="AC156" i="28"/>
  <c r="AB156" i="28"/>
  <c r="AE2056" i="2"/>
  <c r="AM2056" i="2"/>
  <c r="AE1992" i="2"/>
  <c r="AM1992" i="2"/>
  <c r="AE1928" i="2"/>
  <c r="AM1928" i="2"/>
  <c r="AE1864" i="2"/>
  <c r="AM1864" i="2"/>
  <c r="AE1800" i="2"/>
  <c r="AM1800" i="2"/>
  <c r="AE1736" i="2"/>
  <c r="AM1736" i="2"/>
  <c r="AE1660" i="2"/>
  <c r="AM1660" i="2"/>
  <c r="AE1596" i="2"/>
  <c r="AM1596" i="2"/>
  <c r="AE1532" i="2"/>
  <c r="AM1532" i="2"/>
  <c r="AE1468" i="2"/>
  <c r="AM1468" i="2"/>
  <c r="AE1436" i="2"/>
  <c r="AM1436" i="2"/>
  <c r="AE1404" i="2"/>
  <c r="AM1404" i="2"/>
  <c r="AE1451" i="2"/>
  <c r="AM1451" i="2"/>
  <c r="AE1358" i="2"/>
  <c r="AM1358" i="2"/>
  <c r="AE1294" i="2"/>
  <c r="AM1294" i="2"/>
  <c r="AE1230" i="2"/>
  <c r="AM1230" i="2"/>
  <c r="AE1166" i="2"/>
  <c r="AM1166" i="2"/>
  <c r="AE1102" i="2"/>
  <c r="AM1102" i="2"/>
  <c r="AE1007" i="2"/>
  <c r="AM1007" i="2"/>
  <c r="AE1423" i="2"/>
  <c r="AM1423" i="2"/>
  <c r="AE1996" i="2"/>
  <c r="AM1996" i="2"/>
  <c r="AE1964" i="2"/>
  <c r="AM1964" i="2"/>
  <c r="AE1932" i="2"/>
  <c r="AM1932" i="2"/>
  <c r="AE1900" i="2"/>
  <c r="AM1900" i="2"/>
  <c r="AE1868" i="2"/>
  <c r="AM1868" i="2"/>
  <c r="AE1836" i="2"/>
  <c r="AM1836" i="2"/>
  <c r="AE1804" i="2"/>
  <c r="AM1804" i="2"/>
  <c r="AE1772" i="2"/>
  <c r="AM1772" i="2"/>
  <c r="AE1740" i="2"/>
  <c r="AM1740" i="2"/>
  <c r="AE1708" i="2"/>
  <c r="AM1708" i="2"/>
  <c r="AE1448" i="2"/>
  <c r="AM1448" i="2"/>
  <c r="AE1416" i="2"/>
  <c r="AM1416" i="2"/>
  <c r="AE1087" i="2"/>
  <c r="AM1087" i="2"/>
  <c r="AE959" i="2"/>
  <c r="AM959" i="2"/>
  <c r="AE933" i="2"/>
  <c r="AM933" i="2"/>
  <c r="AE901" i="2"/>
  <c r="AM901" i="2"/>
  <c r="AE869" i="2"/>
  <c r="AM869" i="2"/>
  <c r="AE837" i="2"/>
  <c r="AM837" i="2"/>
  <c r="AE805" i="2"/>
  <c r="AM805" i="2"/>
  <c r="AE757" i="2"/>
  <c r="AM757" i="2"/>
  <c r="AE1070" i="2"/>
  <c r="AM1070" i="2"/>
  <c r="AE1038" i="2"/>
  <c r="AM1038" i="2"/>
  <c r="AE1006" i="2"/>
  <c r="AM1006" i="2"/>
  <c r="AE974" i="2"/>
  <c r="AM974" i="2"/>
  <c r="AE942" i="2"/>
  <c r="AM942" i="2"/>
  <c r="AE878" i="2"/>
  <c r="AM878" i="2"/>
  <c r="AE814" i="2"/>
  <c r="AM814" i="2"/>
  <c r="AE983" i="2"/>
  <c r="AM983" i="2"/>
  <c r="AE914" i="2"/>
  <c r="AM914" i="2"/>
  <c r="AE850" i="2"/>
  <c r="AM850" i="2"/>
  <c r="AE934" i="2"/>
  <c r="AM934" i="2"/>
  <c r="AE870" i="2"/>
  <c r="AM870" i="2"/>
  <c r="AE806" i="2"/>
  <c r="AM806" i="2"/>
  <c r="AE653" i="2"/>
  <c r="AM653" i="2"/>
  <c r="AE614" i="2"/>
  <c r="AM614" i="2"/>
  <c r="AE501" i="2"/>
  <c r="AM501" i="2"/>
  <c r="AD51" i="28"/>
  <c r="AA51" i="28"/>
  <c r="AC51" i="28"/>
  <c r="AB51" i="28"/>
  <c r="K83" i="28"/>
  <c r="J83" i="28"/>
  <c r="L83" i="28"/>
  <c r="I83" i="28"/>
  <c r="H83" i="28"/>
  <c r="K99" i="28"/>
  <c r="J99" i="28"/>
  <c r="I99" i="28"/>
  <c r="H99" i="28"/>
  <c r="L99" i="28"/>
  <c r="AD123" i="28"/>
  <c r="AA123" i="28"/>
  <c r="AC123" i="28"/>
  <c r="AB123" i="28"/>
  <c r="J139" i="28"/>
  <c r="I139" i="28"/>
  <c r="L139" i="28"/>
  <c r="H139" i="28"/>
  <c r="K139" i="28"/>
  <c r="K187" i="28"/>
  <c r="I187" i="28"/>
  <c r="L187" i="28"/>
  <c r="J187" i="28"/>
  <c r="H187" i="28"/>
  <c r="AD187" i="28"/>
  <c r="AA187" i="28"/>
  <c r="AC187" i="28"/>
  <c r="AB187" i="28"/>
  <c r="AD40" i="28"/>
  <c r="AA40" i="28"/>
  <c r="AC40" i="28"/>
  <c r="AB40" i="28"/>
  <c r="AD112" i="28"/>
  <c r="AA112" i="28"/>
  <c r="AC112" i="28"/>
  <c r="AB112" i="28"/>
  <c r="AD176" i="28"/>
  <c r="AA176" i="28"/>
  <c r="AC176" i="28"/>
  <c r="AB176" i="28"/>
  <c r="AE834" i="2"/>
  <c r="AM834" i="2"/>
  <c r="AE646" i="2"/>
  <c r="AM646" i="2"/>
  <c r="AE546" i="2"/>
  <c r="AM546" i="2"/>
  <c r="AE683" i="2"/>
  <c r="AM683" i="2"/>
  <c r="AE518" i="2"/>
  <c r="AM518" i="2"/>
  <c r="AE490" i="2"/>
  <c r="AM490" i="2"/>
  <c r="AE375" i="2"/>
  <c r="AM375" i="2"/>
  <c r="AD111" i="28"/>
  <c r="AA111" i="28"/>
  <c r="AC111" i="28"/>
  <c r="AB111" i="28"/>
  <c r="H44" i="28"/>
  <c r="J44" i="28"/>
  <c r="K44" i="28"/>
  <c r="I44" i="28"/>
  <c r="L44" i="28"/>
  <c r="K76" i="28"/>
  <c r="I76" i="28"/>
  <c r="H76" i="28"/>
  <c r="J76" i="28"/>
  <c r="L76" i="28"/>
  <c r="AD140" i="28"/>
  <c r="AA140" i="28"/>
  <c r="AC140" i="28"/>
  <c r="AB140" i="28"/>
  <c r="I172" i="28"/>
  <c r="K172" i="28"/>
  <c r="J172" i="28"/>
  <c r="H172" i="28"/>
  <c r="L172" i="28"/>
  <c r="P5" i="34" l="1"/>
  <c r="P16" i="34"/>
  <c r="P27" i="34"/>
  <c r="P30" i="34"/>
  <c r="P20" i="34"/>
  <c r="P24" i="34"/>
  <c r="P14" i="34"/>
  <c r="P21" i="34"/>
  <c r="P18" i="34"/>
  <c r="P28" i="34"/>
  <c r="P26" i="34"/>
  <c r="P19" i="34"/>
  <c r="P11" i="34"/>
  <c r="P29" i="34"/>
  <c r="P22" i="34"/>
  <c r="P9" i="34"/>
  <c r="P15" i="34"/>
  <c r="P25" i="34"/>
  <c r="P17" i="34"/>
  <c r="P7" i="34"/>
  <c r="P6" i="34"/>
  <c r="P23" i="34"/>
  <c r="P13" i="34"/>
  <c r="P12" i="34"/>
  <c r="P8" i="34"/>
  <c r="P10" i="34"/>
  <c r="U106" i="35"/>
  <c r="AE212" i="2"/>
  <c r="AM52" i="2"/>
  <c r="AE10" i="2"/>
  <c r="W106" i="35"/>
  <c r="AE85" i="2"/>
  <c r="T106" i="35"/>
  <c r="AE68" i="35"/>
  <c r="X32" i="35"/>
  <c r="Q78" i="35"/>
  <c r="N37" i="31"/>
  <c r="Q40" i="35"/>
  <c r="AE109" i="2"/>
  <c r="AM100" i="2"/>
  <c r="Y106" i="35"/>
  <c r="T68" i="35"/>
  <c r="AE106" i="35"/>
  <c r="V106" i="35"/>
  <c r="X106" i="35"/>
  <c r="U68" i="35"/>
  <c r="AE181" i="2"/>
  <c r="AE187" i="2"/>
  <c r="AC106" i="35"/>
  <c r="X68" i="35"/>
  <c r="AE178" i="2"/>
  <c r="U32" i="35"/>
  <c r="AM284" i="2"/>
  <c r="I78" i="35"/>
  <c r="I40" i="35"/>
  <c r="W40" i="35" s="1"/>
  <c r="W68" i="35" s="1"/>
  <c r="AI96" i="2"/>
  <c r="AM114" i="2"/>
  <c r="AM13" i="2"/>
  <c r="AE19" i="2"/>
  <c r="AM166" i="2"/>
  <c r="AM53" i="2"/>
  <c r="AM45" i="2"/>
  <c r="AM14" i="2"/>
  <c r="AM180" i="2"/>
  <c r="AI25" i="2"/>
  <c r="AM84" i="2"/>
  <c r="E32" i="13"/>
  <c r="AE692" i="2"/>
  <c r="AQ122" i="2"/>
  <c r="AI78" i="2"/>
  <c r="C38" i="13"/>
  <c r="AQ32" i="2"/>
  <c r="D40" i="13"/>
  <c r="AI82" i="2"/>
  <c r="AQ82" i="2"/>
  <c r="AQ78" i="2"/>
  <c r="AI122" i="2"/>
  <c r="AE167" i="2"/>
  <c r="AE126" i="2"/>
  <c r="AM60" i="2"/>
  <c r="AM6" i="2"/>
  <c r="AM186" i="2"/>
  <c r="AE141" i="2"/>
  <c r="AE156" i="2"/>
  <c r="AE145" i="2"/>
  <c r="AE213" i="2"/>
  <c r="AE200" i="2"/>
  <c r="AE68" i="2"/>
  <c r="AE86" i="2"/>
  <c r="AM42" i="2"/>
  <c r="AM316" i="2"/>
  <c r="AE89" i="2"/>
  <c r="AM110" i="2"/>
  <c r="AM148" i="2"/>
  <c r="AM25" i="2"/>
  <c r="AM196" i="2"/>
  <c r="AM65" i="2"/>
  <c r="AM484" i="2"/>
  <c r="AM81" i="2"/>
  <c r="AM700" i="2"/>
  <c r="AQ135" i="2"/>
  <c r="AQ116" i="2"/>
  <c r="C40" i="13"/>
  <c r="AM46" i="2"/>
  <c r="AM194" i="2"/>
  <c r="AM87" i="2"/>
  <c r="AM210" i="2"/>
  <c r="AI54" i="2"/>
  <c r="AM34" i="2"/>
  <c r="AI116" i="2"/>
  <c r="AI135" i="2"/>
  <c r="AO6" i="2"/>
  <c r="AQ6" i="2" s="1"/>
  <c r="AI6" i="2"/>
  <c r="AI28" i="2"/>
  <c r="AN28" i="2"/>
  <c r="AQ28" i="2" s="1"/>
  <c r="AN81" i="2"/>
  <c r="AQ81" i="2" s="1"/>
  <c r="AI81" i="2"/>
  <c r="AI17" i="2"/>
  <c r="AO17" i="2"/>
  <c r="AQ17" i="2" s="1"/>
  <c r="AO175" i="2"/>
  <c r="AQ175" i="2" s="1"/>
  <c r="AI175" i="2"/>
  <c r="AI139" i="2"/>
  <c r="AN139" i="2"/>
  <c r="AQ139" i="2" s="1"/>
  <c r="AN97" i="2"/>
  <c r="AQ97" i="2" s="1"/>
  <c r="AI97" i="2"/>
  <c r="AM139" i="2"/>
  <c r="AE32" i="2"/>
  <c r="E40" i="13" s="1"/>
  <c r="AQ150" i="2"/>
  <c r="AQ84" i="2"/>
  <c r="AI84" i="2"/>
  <c r="AM41" i="2"/>
  <c r="AI150" i="2"/>
  <c r="AQ228" i="2"/>
  <c r="AI68" i="2"/>
  <c r="AN68" i="2"/>
  <c r="AQ68" i="2" s="1"/>
  <c r="AM36" i="2"/>
  <c r="AM182" i="2"/>
  <c r="AM18" i="2"/>
  <c r="AN236" i="2"/>
  <c r="AQ236" i="2" s="1"/>
  <c r="AI236" i="2"/>
  <c r="AO80" i="2"/>
  <c r="AQ80" i="2" s="1"/>
  <c r="AI80" i="2"/>
  <c r="AN212" i="2"/>
  <c r="AQ212" i="2" s="1"/>
  <c r="AI212" i="2"/>
  <c r="AN185" i="2"/>
  <c r="AQ185" i="2" s="1"/>
  <c r="AI185" i="2"/>
  <c r="AO23" i="2"/>
  <c r="AQ23" i="2" s="1"/>
  <c r="AI23" i="2"/>
  <c r="AI13" i="2"/>
  <c r="AN13" i="2"/>
  <c r="AQ13" i="2" s="1"/>
  <c r="AI190" i="2"/>
  <c r="AN190" i="2"/>
  <c r="AQ190" i="2" s="1"/>
  <c r="AO41" i="2"/>
  <c r="AQ41" i="2" s="1"/>
  <c r="AI41" i="2"/>
  <c r="AN220" i="2"/>
  <c r="AQ220" i="2" s="1"/>
  <c r="AI220" i="2"/>
  <c r="AN164" i="2"/>
  <c r="AQ164" i="2" s="1"/>
  <c r="AI164" i="2"/>
  <c r="AI89" i="2"/>
  <c r="AN89" i="2"/>
  <c r="AQ89" i="2" s="1"/>
  <c r="AI228" i="2"/>
  <c r="AE532" i="2"/>
  <c r="AE79" i="2"/>
  <c r="AE452" i="2"/>
  <c r="AM59" i="2"/>
  <c r="AE468" i="2"/>
  <c r="AE69" i="2"/>
  <c r="AM134" i="2"/>
  <c r="AE155" i="2"/>
  <c r="AE119" i="2"/>
  <c r="AE652" i="2"/>
  <c r="AE612" i="2"/>
  <c r="AM612" i="2"/>
  <c r="AE101" i="2"/>
  <c r="E38" i="13" s="1"/>
  <c r="AM228" i="2"/>
  <c r="AQ29" i="2"/>
  <c r="AE492" i="2"/>
  <c r="AM588" i="2"/>
  <c r="AE268" i="2"/>
  <c r="AE62" i="2"/>
  <c r="AM198" i="2"/>
  <c r="AE118" i="2"/>
  <c r="AE660" i="2"/>
  <c r="AM236" i="2"/>
  <c r="AE220" i="2"/>
  <c r="AE88" i="2"/>
  <c r="AE460" i="2"/>
  <c r="AI16" i="2"/>
  <c r="AM30" i="2"/>
  <c r="AQ16" i="2"/>
  <c r="AE308" i="2"/>
  <c r="AE193" i="2"/>
  <c r="AM165" i="2"/>
  <c r="AE150" i="2"/>
  <c r="AI29" i="2"/>
  <c r="AE170" i="2"/>
  <c r="AE206" i="2"/>
  <c r="AI214" i="2"/>
  <c r="AQ214" i="2"/>
  <c r="AE55" i="2"/>
  <c r="AM55" i="2"/>
  <c r="AQ99" i="2"/>
  <c r="AE20" i="2"/>
  <c r="AE628" i="2"/>
  <c r="AM104" i="2"/>
  <c r="AE724" i="2"/>
  <c r="AI92" i="2"/>
  <c r="AQ121" i="2"/>
  <c r="AM300" i="2"/>
  <c r="AM476" i="2"/>
  <c r="AM564" i="2"/>
  <c r="AI181" i="2"/>
  <c r="AM17" i="2"/>
  <c r="AQ181" i="2"/>
  <c r="D5" i="28"/>
  <c r="C6" i="28"/>
  <c r="AM102" i="2"/>
  <c r="AM244" i="2"/>
  <c r="AE207" i="2"/>
  <c r="AI131" i="2"/>
  <c r="AI125" i="2"/>
  <c r="AM292" i="2"/>
  <c r="AQ92" i="2"/>
  <c r="AE356" i="2"/>
  <c r="AM356" i="2"/>
  <c r="AQ15" i="2"/>
  <c r="AP52" i="2"/>
  <c r="AQ52" i="2" s="1"/>
  <c r="AI52" i="2"/>
  <c r="AE732" i="2"/>
  <c r="AM732" i="2"/>
  <c r="D5" i="8"/>
  <c r="C6" i="8"/>
  <c r="AM252" i="2"/>
  <c r="AI200" i="2"/>
  <c r="AI186" i="2"/>
  <c r="AM153" i="2"/>
  <c r="AM28" i="2"/>
  <c r="AI162" i="2"/>
  <c r="AQ200" i="2"/>
  <c r="AI108" i="2"/>
  <c r="AI73" i="2"/>
  <c r="AI129" i="2"/>
  <c r="AQ186" i="2"/>
  <c r="AQ192" i="2"/>
  <c r="AQ195" i="2"/>
  <c r="AI192" i="2"/>
  <c r="AI195" i="2"/>
  <c r="AQ162" i="2"/>
  <c r="AQ129" i="2"/>
  <c r="AQ38" i="2"/>
  <c r="AI101" i="2"/>
  <c r="AQ57" i="2"/>
  <c r="AI163" i="2"/>
  <c r="Q4" i="8"/>
  <c r="AM136" i="2"/>
  <c r="AI10" i="2"/>
  <c r="AI58" i="2"/>
  <c r="AM188" i="2"/>
  <c r="AM197" i="2"/>
  <c r="AM83" i="2"/>
  <c r="AM205" i="2"/>
  <c r="AM174" i="2"/>
  <c r="AI123" i="2"/>
  <c r="AQ10" i="2"/>
  <c r="AQ58" i="2"/>
  <c r="AQ101" i="2"/>
  <c r="AQ123" i="2"/>
  <c r="AI121" i="2"/>
  <c r="AI99" i="2"/>
  <c r="AI38" i="2"/>
  <c r="AN180" i="2"/>
  <c r="AQ180" i="2" s="1"/>
  <c r="AI180" i="2"/>
  <c r="AO167" i="2"/>
  <c r="AQ167" i="2" s="1"/>
  <c r="AI167" i="2"/>
  <c r="AO74" i="2"/>
  <c r="AQ74" i="2" s="1"/>
  <c r="AI74" i="2"/>
  <c r="AE260" i="2"/>
  <c r="AM260" i="2"/>
  <c r="AO143" i="2"/>
  <c r="AQ143" i="2" s="1"/>
  <c r="AI143" i="2"/>
  <c r="AO42" i="2"/>
  <c r="AQ42" i="2" s="1"/>
  <c r="AI42" i="2"/>
  <c r="AO182" i="2"/>
  <c r="AQ182" i="2" s="1"/>
  <c r="AI182" i="2"/>
  <c r="AN110" i="2"/>
  <c r="AQ110" i="2" s="1"/>
  <c r="AI110" i="2"/>
  <c r="AN34" i="2"/>
  <c r="AQ34" i="2" s="1"/>
  <c r="AI34" i="2"/>
  <c r="AE192" i="2"/>
  <c r="AM192" i="2"/>
  <c r="AO145" i="2"/>
  <c r="AQ145" i="2" s="1"/>
  <c r="AI145" i="2"/>
  <c r="AO44" i="2"/>
  <c r="AQ44" i="2" s="1"/>
  <c r="AI44" i="2"/>
  <c r="AE396" i="2"/>
  <c r="AM396" i="2"/>
  <c r="AE78" i="2"/>
  <c r="AM78" i="2"/>
  <c r="AM121" i="2"/>
  <c r="AE121" i="2"/>
  <c r="I41" i="13"/>
  <c r="I35" i="13"/>
  <c r="AM31" i="2"/>
  <c r="AQ154" i="2"/>
  <c r="AO87" i="2"/>
  <c r="AI87" i="2"/>
  <c r="F4" i="8"/>
  <c r="AO210" i="2"/>
  <c r="AQ210" i="2" s="1"/>
  <c r="AI210" i="2"/>
  <c r="F4" i="28"/>
  <c r="AO19" i="2"/>
  <c r="AQ19" i="2" s="1"/>
  <c r="AI19" i="2"/>
  <c r="AM500" i="2"/>
  <c r="AE500" i="2"/>
  <c r="AO46" i="2"/>
  <c r="AQ46" i="2" s="1"/>
  <c r="AI46" i="2"/>
  <c r="AN8" i="2"/>
  <c r="AQ8" i="2" s="1"/>
  <c r="AI8" i="2"/>
  <c r="AI2" i="2"/>
  <c r="AN33" i="2"/>
  <c r="AQ33" i="2" s="1"/>
  <c r="AI33" i="2"/>
  <c r="AN86" i="2"/>
  <c r="AI86" i="2"/>
  <c r="AN65" i="2"/>
  <c r="AI65" i="2"/>
  <c r="AO184" i="2"/>
  <c r="AQ184" i="2" s="1"/>
  <c r="AI184" i="2"/>
  <c r="AM548" i="2"/>
  <c r="AE548" i="2"/>
  <c r="AN60" i="2"/>
  <c r="AQ60" i="2" s="1"/>
  <c r="AI60" i="2"/>
  <c r="AO148" i="2"/>
  <c r="AQ148" i="2" s="1"/>
  <c r="AI148" i="2"/>
  <c r="AE29" i="2"/>
  <c r="D32" i="13" s="1"/>
  <c r="AM29" i="2"/>
  <c r="AO159" i="2"/>
  <c r="AQ159" i="2" s="1"/>
  <c r="AI159" i="2"/>
  <c r="AQ2" i="2"/>
  <c r="AO187" i="2"/>
  <c r="AQ187" i="2" s="1"/>
  <c r="AI187" i="2"/>
  <c r="AN7" i="2"/>
  <c r="AQ7" i="2" s="1"/>
  <c r="AI7" i="2"/>
  <c r="AO36" i="2"/>
  <c r="AQ36" i="2" s="1"/>
  <c r="AI36" i="2"/>
  <c r="AE82" i="2"/>
  <c r="H41" i="13" s="1"/>
  <c r="AM82" i="2"/>
  <c r="Q4" i="28"/>
  <c r="AN208" i="2"/>
  <c r="AQ208" i="2" s="1"/>
  <c r="AI208" i="2"/>
  <c r="AO126" i="2"/>
  <c r="AQ126" i="2" s="1"/>
  <c r="AI126" i="2"/>
  <c r="AO109" i="2"/>
  <c r="AQ109" i="2" s="1"/>
  <c r="AI109" i="2"/>
  <c r="AO43" i="2"/>
  <c r="AQ43" i="2" s="1"/>
  <c r="AI43" i="2"/>
  <c r="AE92" i="2"/>
  <c r="AM92" i="2"/>
  <c r="AM195" i="2"/>
  <c r="AE195" i="2"/>
  <c r="AO204" i="2"/>
  <c r="AQ204" i="2" s="1"/>
  <c r="AI204" i="2"/>
  <c r="AE135" i="2"/>
  <c r="AM135" i="2"/>
  <c r="AO53" i="2"/>
  <c r="AQ53" i="2" s="1"/>
  <c r="AI53" i="2"/>
  <c r="Z4" i="8"/>
  <c r="AO98" i="2"/>
  <c r="AQ98" i="2" s="1"/>
  <c r="AI98" i="2"/>
  <c r="AM276" i="2"/>
  <c r="AE276" i="2"/>
  <c r="AN85" i="2"/>
  <c r="AQ85" i="2" s="1"/>
  <c r="AI85" i="2"/>
  <c r="AN194" i="2"/>
  <c r="AQ194" i="2" s="1"/>
  <c r="AI194" i="2"/>
  <c r="AN24" i="2"/>
  <c r="AQ24" i="2" s="1"/>
  <c r="AI24" i="2"/>
  <c r="AO114" i="2"/>
  <c r="AQ114" i="2" s="1"/>
  <c r="AI114" i="2"/>
  <c r="AO156" i="2"/>
  <c r="AQ156" i="2" s="1"/>
  <c r="AI156" i="2"/>
  <c r="AN111" i="2"/>
  <c r="AQ111" i="2" s="1"/>
  <c r="AI111" i="2"/>
  <c r="AO35" i="2"/>
  <c r="AQ35" i="2" s="1"/>
  <c r="AI35" i="2"/>
  <c r="AN157" i="2"/>
  <c r="AQ157" i="2" s="1"/>
  <c r="AI157" i="2"/>
  <c r="AO146" i="2"/>
  <c r="AQ146" i="2" s="1"/>
  <c r="AI146" i="2"/>
  <c r="AQ203" i="2"/>
  <c r="AO18" i="2"/>
  <c r="AQ18" i="2" s="1"/>
  <c r="AI18" i="2"/>
  <c r="AN100" i="2"/>
  <c r="AQ100" i="2" s="1"/>
  <c r="AI100" i="2"/>
  <c r="AO21" i="2"/>
  <c r="AQ21" i="2" s="1"/>
  <c r="AI21" i="2"/>
  <c r="AO47" i="2"/>
  <c r="AQ47" i="2" s="1"/>
  <c r="AI47" i="2"/>
  <c r="AN142" i="2"/>
  <c r="AQ142" i="2" s="1"/>
  <c r="AI142" i="2"/>
  <c r="AN166" i="2"/>
  <c r="AQ166" i="2" s="1"/>
  <c r="AI166" i="2"/>
  <c r="AO179" i="2"/>
  <c r="AQ179" i="2" s="1"/>
  <c r="AI179" i="2"/>
  <c r="Z4" i="28"/>
  <c r="AQ94" i="2"/>
  <c r="AQ71" i="2"/>
  <c r="AQ48" i="2"/>
  <c r="AO20" i="2"/>
  <c r="AQ20" i="2" s="1"/>
  <c r="AI20" i="2"/>
  <c r="AN197" i="2"/>
  <c r="AQ197" i="2" s="1"/>
  <c r="AI197" i="2"/>
  <c r="AN83" i="2"/>
  <c r="AQ83" i="2" s="1"/>
  <c r="AI83" i="2"/>
  <c r="AO141" i="2"/>
  <c r="AQ141" i="2" s="1"/>
  <c r="AI141" i="2"/>
  <c r="AN5" i="2"/>
  <c r="AQ5" i="2" s="1"/>
  <c r="AI5" i="2"/>
  <c r="AI133" i="2"/>
  <c r="AO213" i="2"/>
  <c r="AQ213" i="2" s="1"/>
  <c r="AI213" i="2"/>
  <c r="AI124" i="2"/>
  <c r="AN153" i="2"/>
  <c r="AQ153" i="2" s="1"/>
  <c r="AI153" i="2"/>
  <c r="AN62" i="2"/>
  <c r="AQ62" i="2" s="1"/>
  <c r="AI62" i="2"/>
  <c r="AI71" i="2"/>
  <c r="AQ73" i="2"/>
  <c r="AO102" i="2"/>
  <c r="AQ102" i="2" s="1"/>
  <c r="AI102" i="2"/>
  <c r="AN134" i="2"/>
  <c r="AQ134" i="2" s="1"/>
  <c r="AI134" i="2"/>
  <c r="AI56" i="2"/>
  <c r="AQ133" i="2"/>
  <c r="AQ124" i="2"/>
  <c r="AO55" i="2"/>
  <c r="AQ55" i="2" s="1"/>
  <c r="AI55" i="2"/>
  <c r="AN171" i="2"/>
  <c r="AQ171" i="2" s="1"/>
  <c r="AI171" i="2"/>
  <c r="AN77" i="2"/>
  <c r="AQ77" i="2" s="1"/>
  <c r="AI77" i="2"/>
  <c r="AI70" i="2"/>
  <c r="AN165" i="2"/>
  <c r="AQ165" i="2" s="1"/>
  <c r="AI165" i="2"/>
  <c r="AQ56" i="2"/>
  <c r="AO207" i="2"/>
  <c r="AQ207" i="2" s="1"/>
  <c r="AI207" i="2"/>
  <c r="AN198" i="2"/>
  <c r="AQ198" i="2" s="1"/>
  <c r="AI198" i="2"/>
  <c r="AI93" i="2"/>
  <c r="AI90" i="2"/>
  <c r="AN193" i="2"/>
  <c r="AQ193" i="2" s="1"/>
  <c r="AI193" i="2"/>
  <c r="AN105" i="2"/>
  <c r="AQ105" i="2" s="1"/>
  <c r="AI105" i="2"/>
  <c r="AN40" i="2"/>
  <c r="AQ40" i="2" s="1"/>
  <c r="AI40" i="2"/>
  <c r="AN59" i="2"/>
  <c r="AQ59" i="2" s="1"/>
  <c r="AI59" i="2"/>
  <c r="AN205" i="2"/>
  <c r="AQ205" i="2" s="1"/>
  <c r="AI205" i="2"/>
  <c r="AI94" i="2"/>
  <c r="AI154" i="2"/>
  <c r="AI57" i="2"/>
  <c r="AQ125" i="2"/>
  <c r="AI50" i="2"/>
  <c r="AQ163" i="2"/>
  <c r="AI202" i="2"/>
  <c r="AO155" i="2"/>
  <c r="AQ155" i="2" s="1"/>
  <c r="AI155" i="2"/>
  <c r="AQ70" i="2"/>
  <c r="AI91" i="2"/>
  <c r="AQ93" i="2"/>
  <c r="AQ90" i="2"/>
  <c r="AO69" i="2"/>
  <c r="AQ69" i="2" s="1"/>
  <c r="AI69" i="2"/>
  <c r="AN104" i="2"/>
  <c r="AQ104" i="2" s="1"/>
  <c r="AI104" i="2"/>
  <c r="AQ50" i="2"/>
  <c r="AN107" i="2"/>
  <c r="AQ107" i="2" s="1"/>
  <c r="AI107" i="2"/>
  <c r="AQ202" i="2"/>
  <c r="AN31" i="2"/>
  <c r="AQ31" i="2" s="1"/>
  <c r="AI31" i="2"/>
  <c r="AN174" i="2"/>
  <c r="AQ174" i="2" s="1"/>
  <c r="AI174" i="2"/>
  <c r="AQ91" i="2"/>
  <c r="AO118" i="2"/>
  <c r="AQ118" i="2" s="1"/>
  <c r="AI118" i="2"/>
  <c r="AO79" i="2"/>
  <c r="AQ79" i="2" s="1"/>
  <c r="AI79" i="2"/>
  <c r="AI39" i="2"/>
  <c r="AN119" i="2"/>
  <c r="AQ119" i="2" s="1"/>
  <c r="AI119" i="2"/>
  <c r="AQ108" i="2"/>
  <c r="AI75" i="2"/>
  <c r="AN76" i="2"/>
  <c r="AQ76" i="2" s="1"/>
  <c r="AI76" i="2"/>
  <c r="AQ39" i="2"/>
  <c r="AO206" i="2"/>
  <c r="AQ206" i="2" s="1"/>
  <c r="AI206" i="2"/>
  <c r="AN170" i="2"/>
  <c r="AQ170" i="2" s="1"/>
  <c r="AI170" i="2"/>
  <c r="AN88" i="2"/>
  <c r="AQ88" i="2" s="1"/>
  <c r="AI88" i="2"/>
  <c r="AQ75" i="2"/>
  <c r="AN3" i="2"/>
  <c r="AQ3" i="2" s="1"/>
  <c r="AI3" i="2"/>
  <c r="AI161" i="2"/>
  <c r="AO188" i="2"/>
  <c r="AQ188" i="2" s="1"/>
  <c r="AI188" i="2"/>
  <c r="AI72" i="2"/>
  <c r="AI49" i="2"/>
  <c r="AI130" i="2"/>
  <c r="AN4" i="2"/>
  <c r="AQ4" i="2" s="1"/>
  <c r="AI4" i="2"/>
  <c r="AO136" i="2"/>
  <c r="AQ136" i="2" s="1"/>
  <c r="AI136" i="2"/>
  <c r="AI95" i="2"/>
  <c r="AI132" i="2"/>
  <c r="AN106" i="2"/>
  <c r="AQ106" i="2" s="1"/>
  <c r="AI106" i="2"/>
  <c r="AI30" i="2"/>
  <c r="AN30" i="2"/>
  <c r="AQ30" i="2" s="1"/>
  <c r="AI203" i="2"/>
  <c r="AI48" i="2"/>
  <c r="AI15" i="2"/>
  <c r="AQ161" i="2"/>
  <c r="AQ131" i="2"/>
  <c r="AQ72" i="2"/>
  <c r="AQ49" i="2"/>
  <c r="AQ130" i="2"/>
  <c r="AQ95" i="2"/>
  <c r="AQ132" i="2"/>
  <c r="AE171" i="2"/>
  <c r="AM171" i="2"/>
  <c r="AE2406" i="2"/>
  <c r="AM2406" i="2"/>
  <c r="AM2382" i="2"/>
  <c r="AE2382" i="2"/>
  <c r="AE2422" i="2"/>
  <c r="AM2422" i="2"/>
  <c r="AE2414" i="2"/>
  <c r="AM2414" i="2"/>
  <c r="AE2398" i="2"/>
  <c r="AM2398" i="2"/>
  <c r="AM2374" i="2"/>
  <c r="AE2374" i="2"/>
  <c r="AM2366" i="2"/>
  <c r="AE2366" i="2"/>
  <c r="AE2390" i="2"/>
  <c r="AM2390" i="2"/>
  <c r="AE164" i="2"/>
  <c r="AM164" i="2"/>
  <c r="AM388" i="2"/>
  <c r="AE388" i="2"/>
  <c r="AE404" i="2"/>
  <c r="AM404" i="2"/>
  <c r="AM756" i="2"/>
  <c r="AE756" i="2"/>
  <c r="AE748" i="2"/>
  <c r="AM748" i="2"/>
  <c r="AE644" i="2"/>
  <c r="AM644" i="2"/>
  <c r="AE676" i="2"/>
  <c r="AM676" i="2"/>
  <c r="AE436" i="2"/>
  <c r="AM436" i="2"/>
  <c r="AE348" i="2"/>
  <c r="AM348" i="2"/>
  <c r="AE372" i="2"/>
  <c r="AM372" i="2"/>
  <c r="AE324" i="2"/>
  <c r="AM324" i="2"/>
  <c r="AE412" i="2"/>
  <c r="AM412" i="2"/>
  <c r="AE340" i="2"/>
  <c r="AM340" i="2"/>
  <c r="AM540" i="2"/>
  <c r="AE540" i="2"/>
  <c r="AM740" i="2"/>
  <c r="AE740" i="2"/>
  <c r="AM716" i="2"/>
  <c r="AE716" i="2"/>
  <c r="AE94" i="2"/>
  <c r="AM94" i="2"/>
  <c r="AM108" i="2"/>
  <c r="AE108" i="2"/>
  <c r="AM39" i="2"/>
  <c r="AE39" i="2"/>
  <c r="AE131" i="2"/>
  <c r="AM131" i="2"/>
  <c r="AE203" i="2"/>
  <c r="AM203" i="2"/>
  <c r="AM122" i="2"/>
  <c r="AE122" i="2"/>
  <c r="AE57" i="2"/>
  <c r="AM57" i="2"/>
  <c r="AE72" i="2"/>
  <c r="AM72" i="2"/>
  <c r="AE161" i="2"/>
  <c r="AM161" i="2"/>
  <c r="AM73" i="2"/>
  <c r="AE73" i="2"/>
  <c r="AM125" i="2"/>
  <c r="AE125" i="2"/>
  <c r="AE70" i="2"/>
  <c r="AM70" i="2"/>
  <c r="AE162" i="2"/>
  <c r="AM162" i="2"/>
  <c r="AE49" i="2"/>
  <c r="AM49" i="2"/>
  <c r="AE91" i="2"/>
  <c r="AM91" i="2"/>
  <c r="AE48" i="2"/>
  <c r="AM48" i="2"/>
  <c r="AE50" i="2"/>
  <c r="AM50" i="2"/>
  <c r="AE75" i="2"/>
  <c r="AM75" i="2"/>
  <c r="AE95" i="2"/>
  <c r="AM95" i="2"/>
  <c r="AM123" i="2"/>
  <c r="AE123" i="2"/>
  <c r="AE71" i="2"/>
  <c r="D37" i="13" s="1"/>
  <c r="AM71" i="2"/>
  <c r="AE129" i="2"/>
  <c r="AM129" i="2"/>
  <c r="AE154" i="2"/>
  <c r="AM154" i="2"/>
  <c r="AE202" i="2"/>
  <c r="AM202" i="2"/>
  <c r="AE15" i="2"/>
  <c r="K78" i="35" s="1"/>
  <c r="AM15" i="2"/>
  <c r="AE132" i="2"/>
  <c r="AM132" i="2"/>
  <c r="AE124" i="2"/>
  <c r="AM124" i="2"/>
  <c r="AE90" i="2"/>
  <c r="AM90" i="2"/>
  <c r="AE105" i="2"/>
  <c r="AM105" i="2"/>
  <c r="AE3" i="2"/>
  <c r="AM3" i="2"/>
  <c r="AE4" i="2"/>
  <c r="AM4" i="2"/>
  <c r="AE106" i="2"/>
  <c r="AM106" i="2"/>
  <c r="AE2" i="2"/>
  <c r="AM2" i="2"/>
  <c r="AE5" i="2"/>
  <c r="AM5" i="2"/>
  <c r="AE163" i="2"/>
  <c r="AM163" i="2"/>
  <c r="AE130" i="2"/>
  <c r="AM130" i="2"/>
  <c r="AE76" i="2"/>
  <c r="C33" i="13" s="1"/>
  <c r="AM76" i="2"/>
  <c r="AE93" i="2"/>
  <c r="AM93" i="2"/>
  <c r="AE133" i="2"/>
  <c r="AM133" i="2"/>
  <c r="AE77" i="2"/>
  <c r="AM77" i="2"/>
  <c r="AE107" i="2"/>
  <c r="G35" i="13" s="1"/>
  <c r="AM107" i="2"/>
  <c r="AE40" i="2"/>
  <c r="AM40" i="2"/>
  <c r="AE56" i="2"/>
  <c r="AM56" i="2"/>
  <c r="H40" i="35" l="1"/>
  <c r="V40" i="35" s="1"/>
  <c r="V68" i="35" s="1"/>
  <c r="H78" i="35"/>
  <c r="N40" i="35"/>
  <c r="AB40" i="35" s="1"/>
  <c r="K40" i="35"/>
  <c r="Y40" i="35" s="1"/>
  <c r="Y68" i="35" s="1"/>
  <c r="N78" i="35"/>
  <c r="P78" i="35"/>
  <c r="AD78" i="35" s="1"/>
  <c r="AD106" i="35" s="1"/>
  <c r="P40" i="35"/>
  <c r="AD40" i="35" s="1"/>
  <c r="AD68" i="35" s="1"/>
  <c r="P4" i="8"/>
  <c r="P4" i="28"/>
  <c r="U4" i="8"/>
  <c r="D38" i="13"/>
  <c r="K38" i="13" s="1"/>
  <c r="O4" i="8"/>
  <c r="O4" i="28"/>
  <c r="H35" i="13"/>
  <c r="H39" i="13" s="1"/>
  <c r="K40" i="13"/>
  <c r="D35" i="13"/>
  <c r="G4" i="28"/>
  <c r="C30" i="13"/>
  <c r="C31" i="13"/>
  <c r="K31" i="13" s="1"/>
  <c r="G4" i="8"/>
  <c r="AQ87" i="2"/>
  <c r="D6" i="28"/>
  <c r="C7" i="28"/>
  <c r="AQ65" i="2"/>
  <c r="N4" i="28"/>
  <c r="F35" i="13"/>
  <c r="F37" i="13"/>
  <c r="F30" i="13"/>
  <c r="E35" i="13"/>
  <c r="R4" i="28"/>
  <c r="AQ86" i="2"/>
  <c r="R4" i="8"/>
  <c r="N4" i="8"/>
  <c r="I39" i="13"/>
  <c r="U4" i="28"/>
  <c r="D33" i="13"/>
  <c r="D6" i="8"/>
  <c r="C7" i="8"/>
  <c r="Z5" i="8"/>
  <c r="Q5" i="8"/>
  <c r="U5" i="8" s="1"/>
  <c r="Q5" i="28"/>
  <c r="U5" i="28" s="1"/>
  <c r="N5" i="8"/>
  <c r="O5" i="8"/>
  <c r="F5" i="28"/>
  <c r="G5" i="28" s="1"/>
  <c r="F5" i="8"/>
  <c r="R5" i="8"/>
  <c r="V5" i="8" s="1"/>
  <c r="Z5" i="28"/>
  <c r="N5" i="28"/>
  <c r="P5" i="8"/>
  <c r="T5" i="8" s="1"/>
  <c r="R5" i="28"/>
  <c r="V5" i="28" s="1"/>
  <c r="O5" i="28"/>
  <c r="S5" i="28" s="1"/>
  <c r="P5" i="28"/>
  <c r="C41" i="13"/>
  <c r="C37" i="13"/>
  <c r="E33" i="13"/>
  <c r="E41" i="13"/>
  <c r="E30" i="13"/>
  <c r="G41" i="13"/>
  <c r="G30" i="13"/>
  <c r="F32" i="13"/>
  <c r="F41" i="13"/>
  <c r="C35" i="13"/>
  <c r="C32" i="13"/>
  <c r="D57" i="13"/>
  <c r="AC4" i="28"/>
  <c r="AB4" i="28"/>
  <c r="AC4" i="8"/>
  <c r="AB4" i="8"/>
  <c r="K4" i="28"/>
  <c r="I4" i="28"/>
  <c r="J4" i="28"/>
  <c r="K4" i="8"/>
  <c r="I4" i="8"/>
  <c r="J4" i="8"/>
  <c r="T4" i="28" l="1"/>
  <c r="T4" i="8"/>
  <c r="S4" i="28"/>
  <c r="AA4" i="28"/>
  <c r="V4" i="8"/>
  <c r="H4" i="28"/>
  <c r="V4" i="28"/>
  <c r="S4" i="8"/>
  <c r="AA4" i="8"/>
  <c r="K35" i="13"/>
  <c r="L4" i="28"/>
  <c r="K37" i="13"/>
  <c r="K32" i="13"/>
  <c r="C19" i="28"/>
  <c r="C8" i="28"/>
  <c r="D7" i="28"/>
  <c r="F39" i="13"/>
  <c r="G39" i="13"/>
  <c r="C39" i="13"/>
  <c r="I5" i="8"/>
  <c r="H5" i="8" s="1"/>
  <c r="J5" i="8"/>
  <c r="K5" i="8"/>
  <c r="Z6" i="28"/>
  <c r="Z6" i="8"/>
  <c r="O6" i="28"/>
  <c r="S6" i="28" s="1"/>
  <c r="P6" i="8"/>
  <c r="T6" i="8" s="1"/>
  <c r="R6" i="28"/>
  <c r="V6" i="28" s="1"/>
  <c r="R6" i="8"/>
  <c r="V6" i="8" s="1"/>
  <c r="F6" i="8"/>
  <c r="N6" i="8"/>
  <c r="Q6" i="28"/>
  <c r="U6" i="28" s="1"/>
  <c r="Q6" i="8"/>
  <c r="U6" i="8" s="1"/>
  <c r="O6" i="8"/>
  <c r="S6" i="8" s="1"/>
  <c r="F6" i="28"/>
  <c r="G6" i="28" s="1"/>
  <c r="P6" i="28"/>
  <c r="T6" i="28" s="1"/>
  <c r="N6" i="28"/>
  <c r="H4" i="8"/>
  <c r="I5" i="28"/>
  <c r="H5" i="28" s="1"/>
  <c r="J5" i="28"/>
  <c r="K5" i="28"/>
  <c r="AB5" i="8"/>
  <c r="AA5" i="8" s="1"/>
  <c r="AC5" i="8"/>
  <c r="E39" i="13"/>
  <c r="S5" i="8"/>
  <c r="T5" i="28"/>
  <c r="G5" i="8"/>
  <c r="K33" i="13"/>
  <c r="AC5" i="28"/>
  <c r="AB5" i="28"/>
  <c r="AA5" i="28" s="1"/>
  <c r="D7" i="8"/>
  <c r="C8" i="8"/>
  <c r="D8" i="28" l="1"/>
  <c r="C9" i="28"/>
  <c r="C19" i="8"/>
  <c r="D19" i="28"/>
  <c r="C20" i="28"/>
  <c r="L4" i="8"/>
  <c r="L5" i="28"/>
  <c r="AC6" i="28"/>
  <c r="AB6" i="28"/>
  <c r="AA6" i="28" s="1"/>
  <c r="J6" i="8"/>
  <c r="K6" i="8"/>
  <c r="I6" i="8"/>
  <c r="G6" i="8"/>
  <c r="D8" i="8"/>
  <c r="C9" i="8"/>
  <c r="Z7" i="8"/>
  <c r="Q7" i="8"/>
  <c r="U7" i="8" s="1"/>
  <c r="O7" i="8"/>
  <c r="S7" i="8" s="1"/>
  <c r="R7" i="8"/>
  <c r="P7" i="8"/>
  <c r="T7" i="8" s="1"/>
  <c r="F7" i="8"/>
  <c r="N7" i="8"/>
  <c r="F7" i="28"/>
  <c r="G7" i="28" s="1"/>
  <c r="N7" i="28"/>
  <c r="Q7" i="28"/>
  <c r="O7" i="28"/>
  <c r="S7" i="28" s="1"/>
  <c r="R7" i="28"/>
  <c r="Z7" i="28"/>
  <c r="P7" i="28"/>
  <c r="T7" i="28" s="1"/>
  <c r="K6" i="28"/>
  <c r="J6" i="28"/>
  <c r="I6" i="28"/>
  <c r="AC6" i="8"/>
  <c r="AB6" i="8"/>
  <c r="AA6" i="8" s="1"/>
  <c r="L5" i="8"/>
  <c r="C21" i="28" l="1"/>
  <c r="D20" i="28"/>
  <c r="D19" i="8"/>
  <c r="C20" i="8"/>
  <c r="C10" i="28"/>
  <c r="D9" i="28"/>
  <c r="U7" i="28"/>
  <c r="V7" i="8"/>
  <c r="J7" i="28"/>
  <c r="K7" i="28"/>
  <c r="I7" i="28"/>
  <c r="H7" i="28" s="1"/>
  <c r="G7" i="8"/>
  <c r="H6" i="28"/>
  <c r="AB7" i="28"/>
  <c r="AC7" i="28"/>
  <c r="C10" i="8"/>
  <c r="D9" i="8"/>
  <c r="AB7" i="8"/>
  <c r="AA7" i="8" s="1"/>
  <c r="AC7" i="8"/>
  <c r="K7" i="8"/>
  <c r="J7" i="8"/>
  <c r="I7" i="8"/>
  <c r="F8" i="8"/>
  <c r="G8" i="8" s="1"/>
  <c r="N8" i="28"/>
  <c r="O8" i="8"/>
  <c r="S8" i="8" s="1"/>
  <c r="Q8" i="8"/>
  <c r="U8" i="8" s="1"/>
  <c r="N8" i="8"/>
  <c r="Z8" i="8"/>
  <c r="P8" i="8"/>
  <c r="T8" i="8" s="1"/>
  <c r="R8" i="8"/>
  <c r="V8" i="8" s="1"/>
  <c r="Z8" i="28"/>
  <c r="R8" i="28"/>
  <c r="V8" i="28" s="1"/>
  <c r="O8" i="28"/>
  <c r="S8" i="28" s="1"/>
  <c r="F8" i="28"/>
  <c r="G8" i="28" s="1"/>
  <c r="Q8" i="28"/>
  <c r="U8" i="28" s="1"/>
  <c r="P8" i="28"/>
  <c r="T8" i="28" s="1"/>
  <c r="V7" i="28"/>
  <c r="H6" i="8"/>
  <c r="AA7" i="28" l="1"/>
  <c r="D10" i="28"/>
  <c r="C11" i="28"/>
  <c r="D20" i="8"/>
  <c r="C21" i="8"/>
  <c r="Z19" i="28"/>
  <c r="Z19" i="8"/>
  <c r="D21" i="28"/>
  <c r="C22" i="28"/>
  <c r="AC8" i="8"/>
  <c r="AB8" i="8"/>
  <c r="AA8" i="8" s="1"/>
  <c r="I8" i="8"/>
  <c r="H8" i="8" s="1"/>
  <c r="J8" i="8"/>
  <c r="K8" i="8"/>
  <c r="AB8" i="28"/>
  <c r="AA8" i="28" s="1"/>
  <c r="AC8" i="28"/>
  <c r="I8" i="28"/>
  <c r="J8" i="28"/>
  <c r="K8" i="28"/>
  <c r="Z9" i="28"/>
  <c r="N9" i="28"/>
  <c r="Q9" i="28"/>
  <c r="U9" i="28" s="1"/>
  <c r="R9" i="28"/>
  <c r="V9" i="28" s="1"/>
  <c r="O9" i="28"/>
  <c r="S9" i="28" s="1"/>
  <c r="P9" i="28"/>
  <c r="T9" i="28" s="1"/>
  <c r="F9" i="28"/>
  <c r="G9" i="28" s="1"/>
  <c r="N9" i="8"/>
  <c r="Q9" i="8"/>
  <c r="U9" i="8" s="1"/>
  <c r="P9" i="8"/>
  <c r="T9" i="8" s="1"/>
  <c r="O9" i="8"/>
  <c r="S9" i="8" s="1"/>
  <c r="Z9" i="8"/>
  <c r="F9" i="8"/>
  <c r="R9" i="8"/>
  <c r="V9" i="8" s="1"/>
  <c r="D10" i="8"/>
  <c r="C11" i="8"/>
  <c r="L7" i="28"/>
  <c r="L6" i="28"/>
  <c r="L6" i="8"/>
  <c r="H7" i="8"/>
  <c r="C12" i="28" l="1"/>
  <c r="D11" i="28"/>
  <c r="D21" i="8"/>
  <c r="C22" i="8"/>
  <c r="AC19" i="28"/>
  <c r="AB19" i="28"/>
  <c r="AA19" i="28" s="1"/>
  <c r="D22" i="28"/>
  <c r="C23" i="28"/>
  <c r="Q20" i="8"/>
  <c r="U20" i="8" s="1"/>
  <c r="P20" i="8"/>
  <c r="T20" i="8" s="1"/>
  <c r="Z20" i="8"/>
  <c r="O20" i="8"/>
  <c r="S20" i="8" s="1"/>
  <c r="O20" i="28"/>
  <c r="S20" i="28" s="1"/>
  <c r="N20" i="28"/>
  <c r="F20" i="8"/>
  <c r="G20" i="8" s="1"/>
  <c r="R20" i="8"/>
  <c r="V20" i="8" s="1"/>
  <c r="N20" i="8"/>
  <c r="Z20" i="28"/>
  <c r="R20" i="28"/>
  <c r="V20" i="28" s="1"/>
  <c r="P20" i="28"/>
  <c r="T20" i="28" s="1"/>
  <c r="F20" i="28"/>
  <c r="Q20" i="28"/>
  <c r="U20" i="28" s="1"/>
  <c r="AB19" i="8"/>
  <c r="AA19" i="8" s="1"/>
  <c r="AC19" i="8"/>
  <c r="G9" i="8"/>
  <c r="K9" i="8"/>
  <c r="J9" i="8"/>
  <c r="I9" i="8"/>
  <c r="AD9" i="8"/>
  <c r="AA9" i="8"/>
  <c r="AC9" i="8"/>
  <c r="AB9" i="8"/>
  <c r="L8" i="8"/>
  <c r="K9" i="28"/>
  <c r="I9" i="28"/>
  <c r="H9" i="28" s="1"/>
  <c r="L9" i="28" s="1"/>
  <c r="J9" i="28"/>
  <c r="L7" i="8"/>
  <c r="H8" i="28"/>
  <c r="D11" i="8"/>
  <c r="C12" i="8"/>
  <c r="F10" i="28"/>
  <c r="G10" i="28" s="1"/>
  <c r="R10" i="8"/>
  <c r="V10" i="8" s="1"/>
  <c r="F10" i="8"/>
  <c r="G10" i="8" s="1"/>
  <c r="Z10" i="8"/>
  <c r="Q10" i="8"/>
  <c r="U10" i="8" s="1"/>
  <c r="P10" i="8"/>
  <c r="T10" i="8" s="1"/>
  <c r="O10" i="8"/>
  <c r="S10" i="8" s="1"/>
  <c r="N10" i="8"/>
  <c r="P10" i="28"/>
  <c r="T10" i="28" s="1"/>
  <c r="Z10" i="28"/>
  <c r="Q10" i="28"/>
  <c r="U10" i="28" s="1"/>
  <c r="O10" i="28"/>
  <c r="S10" i="28" s="1"/>
  <c r="R10" i="28"/>
  <c r="V10" i="28" s="1"/>
  <c r="N10" i="28"/>
  <c r="AA9" i="28"/>
  <c r="AD9" i="28"/>
  <c r="AC9" i="28"/>
  <c r="AB9" i="28"/>
  <c r="D12" i="8" l="1"/>
  <c r="C13" i="8"/>
  <c r="D12" i="28"/>
  <c r="C13" i="28"/>
  <c r="AB20" i="28"/>
  <c r="AA20" i="28" s="1"/>
  <c r="AC20" i="28"/>
  <c r="J20" i="8"/>
  <c r="K20" i="8"/>
  <c r="I20" i="8"/>
  <c r="H20" i="8" s="1"/>
  <c r="C24" i="28"/>
  <c r="D23" i="28"/>
  <c r="J20" i="28"/>
  <c r="I20" i="28"/>
  <c r="K20" i="28"/>
  <c r="D22" i="8"/>
  <c r="C23" i="8"/>
  <c r="AC20" i="8"/>
  <c r="AB20" i="8"/>
  <c r="AA20" i="8" s="1"/>
  <c r="Q21" i="8"/>
  <c r="U21" i="8" s="1"/>
  <c r="P21" i="8"/>
  <c r="T21" i="8" s="1"/>
  <c r="R21" i="8"/>
  <c r="V21" i="8" s="1"/>
  <c r="F21" i="8"/>
  <c r="G21" i="8" s="1"/>
  <c r="N21" i="8"/>
  <c r="Z21" i="8"/>
  <c r="O21" i="8"/>
  <c r="S21" i="8" s="1"/>
  <c r="Q21" i="28"/>
  <c r="U21" i="28" s="1"/>
  <c r="O21" i="28"/>
  <c r="S21" i="28" s="1"/>
  <c r="Z21" i="28"/>
  <c r="N21" i="28"/>
  <c r="P21" i="28"/>
  <c r="T21" i="28" s="1"/>
  <c r="R21" i="28"/>
  <c r="V21" i="28" s="1"/>
  <c r="F21" i="28"/>
  <c r="G20" i="28"/>
  <c r="K10" i="8"/>
  <c r="I10" i="8"/>
  <c r="J10" i="8"/>
  <c r="P12" i="8"/>
  <c r="N12" i="28"/>
  <c r="F12" i="8"/>
  <c r="G12" i="8" s="1"/>
  <c r="N12" i="8"/>
  <c r="R12" i="8"/>
  <c r="O12" i="8"/>
  <c r="O12" i="28"/>
  <c r="S12" i="28" s="1"/>
  <c r="Q12" i="8"/>
  <c r="U12" i="8" s="1"/>
  <c r="P12" i="28"/>
  <c r="T12" i="28" s="1"/>
  <c r="Z12" i="28"/>
  <c r="Q12" i="28"/>
  <c r="U12" i="28" s="1"/>
  <c r="R12" i="28"/>
  <c r="V12" i="28" s="1"/>
  <c r="F12" i="28"/>
  <c r="Z12" i="8"/>
  <c r="F11" i="8"/>
  <c r="O11" i="28"/>
  <c r="S11" i="28" s="1"/>
  <c r="N11" i="28"/>
  <c r="P11" i="8"/>
  <c r="T11" i="8" s="1"/>
  <c r="Q11" i="8"/>
  <c r="U11" i="8" s="1"/>
  <c r="R11" i="8"/>
  <c r="V11" i="8" s="1"/>
  <c r="R11" i="28"/>
  <c r="V11" i="28" s="1"/>
  <c r="N11" i="8"/>
  <c r="Z11" i="8"/>
  <c r="O11" i="8"/>
  <c r="S11" i="8" s="1"/>
  <c r="Q11" i="28"/>
  <c r="U11" i="28" s="1"/>
  <c r="Z11" i="28"/>
  <c r="F11" i="28"/>
  <c r="G11" i="28" s="1"/>
  <c r="P11" i="28"/>
  <c r="T11" i="28" s="1"/>
  <c r="AD10" i="28"/>
  <c r="AA10" i="28"/>
  <c r="AB10" i="28"/>
  <c r="AC10" i="28"/>
  <c r="H9" i="8"/>
  <c r="L8" i="28"/>
  <c r="AA10" i="8"/>
  <c r="AB10" i="8"/>
  <c r="AD10" i="8"/>
  <c r="AC10" i="8"/>
  <c r="J10" i="28"/>
  <c r="I10" i="28"/>
  <c r="H10" i="28" s="1"/>
  <c r="K10" i="28"/>
  <c r="D13" i="28" l="1"/>
  <c r="C14" i="28"/>
  <c r="D13" i="8"/>
  <c r="C14" i="8"/>
  <c r="AC21" i="8"/>
  <c r="AB21" i="8"/>
  <c r="AA21" i="8" s="1"/>
  <c r="H20" i="28"/>
  <c r="L20" i="28" s="1"/>
  <c r="C24" i="8"/>
  <c r="D23" i="8"/>
  <c r="J21" i="28"/>
  <c r="K21" i="28"/>
  <c r="I21" i="28"/>
  <c r="G21" i="28"/>
  <c r="AB21" i="28"/>
  <c r="AC21" i="28"/>
  <c r="AD21" i="28"/>
  <c r="AA21" i="28"/>
  <c r="P22" i="8"/>
  <c r="T22" i="8" s="1"/>
  <c r="N22" i="8"/>
  <c r="Z22" i="8"/>
  <c r="Q22" i="8"/>
  <c r="U22" i="8" s="1"/>
  <c r="N22" i="28"/>
  <c r="R22" i="28"/>
  <c r="V22" i="28" s="1"/>
  <c r="R22" i="8"/>
  <c r="O22" i="8"/>
  <c r="S22" i="8" s="1"/>
  <c r="F22" i="8"/>
  <c r="G22" i="8" s="1"/>
  <c r="P22" i="28"/>
  <c r="T22" i="28" s="1"/>
  <c r="Z22" i="28"/>
  <c r="O22" i="28"/>
  <c r="S22" i="28" s="1"/>
  <c r="Q22" i="28"/>
  <c r="U22" i="28" s="1"/>
  <c r="F22" i="28"/>
  <c r="G22" i="28" s="1"/>
  <c r="D24" i="28"/>
  <c r="C25" i="28"/>
  <c r="L20" i="8"/>
  <c r="I21" i="8"/>
  <c r="H21" i="8" s="1"/>
  <c r="J21" i="8"/>
  <c r="K21" i="8"/>
  <c r="T12" i="8"/>
  <c r="V12" i="8"/>
  <c r="L10" i="28"/>
  <c r="AC11" i="8"/>
  <c r="AB11" i="8"/>
  <c r="AA11" i="8" s="1"/>
  <c r="K11" i="8"/>
  <c r="J11" i="8"/>
  <c r="I11" i="8"/>
  <c r="H11" i="8" s="1"/>
  <c r="S12" i="8"/>
  <c r="H10" i="8"/>
  <c r="L10" i="8" s="1"/>
  <c r="AB12" i="8"/>
  <c r="AC12" i="8"/>
  <c r="L9" i="8"/>
  <c r="I12" i="28"/>
  <c r="J12" i="28"/>
  <c r="K12" i="28"/>
  <c r="I11" i="28"/>
  <c r="H11" i="28" s="1"/>
  <c r="J11" i="28"/>
  <c r="K11" i="28"/>
  <c r="G11" i="8"/>
  <c r="AB12" i="28"/>
  <c r="AA12" i="28" s="1"/>
  <c r="AC12" i="28"/>
  <c r="J12" i="8"/>
  <c r="I12" i="8"/>
  <c r="K12" i="8"/>
  <c r="AB11" i="28"/>
  <c r="AA11" i="28" s="1"/>
  <c r="AC11" i="28"/>
  <c r="G12" i="28"/>
  <c r="Z13" i="28" l="1"/>
  <c r="F13" i="8"/>
  <c r="F13" i="28"/>
  <c r="Z13" i="8"/>
  <c r="P13" i="28"/>
  <c r="T13" i="28" s="1"/>
  <c r="P13" i="8"/>
  <c r="Q13" i="8"/>
  <c r="Q13" i="28"/>
  <c r="U13" i="28" s="1"/>
  <c r="G13" i="8"/>
  <c r="N13" i="28"/>
  <c r="N13" i="8"/>
  <c r="O13" i="8"/>
  <c r="O13" i="28"/>
  <c r="S13" i="28" s="1"/>
  <c r="R13" i="28"/>
  <c r="V13" i="28" s="1"/>
  <c r="S13" i="8"/>
  <c r="R13" i="8"/>
  <c r="V13" i="8" s="1"/>
  <c r="D14" i="28"/>
  <c r="C15" i="28"/>
  <c r="G13" i="28"/>
  <c r="D14" i="8"/>
  <c r="C15" i="8"/>
  <c r="AA12" i="8"/>
  <c r="L21" i="8"/>
  <c r="H21" i="28"/>
  <c r="L21" i="28" s="1"/>
  <c r="D24" i="8"/>
  <c r="C25" i="8"/>
  <c r="V22" i="8"/>
  <c r="C26" i="28"/>
  <c r="D25" i="28"/>
  <c r="J22" i="8"/>
  <c r="K22" i="8"/>
  <c r="I22" i="8"/>
  <c r="AB22" i="8"/>
  <c r="AA22" i="8" s="1"/>
  <c r="AC22" i="8"/>
  <c r="AB22" i="28"/>
  <c r="AA22" i="28" s="1"/>
  <c r="AC22" i="28"/>
  <c r="P23" i="8"/>
  <c r="T23" i="8" s="1"/>
  <c r="W23" i="8"/>
  <c r="R23" i="8"/>
  <c r="V23" i="8" s="1"/>
  <c r="F23" i="28"/>
  <c r="Z23" i="8"/>
  <c r="N23" i="8"/>
  <c r="O23" i="8"/>
  <c r="S23" i="8" s="1"/>
  <c r="F23" i="8"/>
  <c r="G23" i="8" s="1"/>
  <c r="Q23" i="8"/>
  <c r="U23" i="8" s="1"/>
  <c r="Z23" i="28"/>
  <c r="O23" i="28"/>
  <c r="S23" i="28" s="1"/>
  <c r="R23" i="28"/>
  <c r="V23" i="28" s="1"/>
  <c r="Q23" i="28"/>
  <c r="U23" i="28" s="1"/>
  <c r="N23" i="28"/>
  <c r="P23" i="28"/>
  <c r="T23" i="28" s="1"/>
  <c r="W23" i="28"/>
  <c r="I22" i="28"/>
  <c r="K22" i="28"/>
  <c r="J22" i="28"/>
  <c r="H12" i="8"/>
  <c r="L11" i="8"/>
  <c r="L11" i="28"/>
  <c r="H12" i="28"/>
  <c r="C16" i="28" l="1"/>
  <c r="D15" i="28"/>
  <c r="Z14" i="28"/>
  <c r="F14" i="28"/>
  <c r="F14" i="8"/>
  <c r="Z14" i="8"/>
  <c r="Q14" i="8"/>
  <c r="U14" i="8" s="1"/>
  <c r="Q14" i="28"/>
  <c r="U14" i="28" s="1"/>
  <c r="N14" i="8"/>
  <c r="N14" i="28"/>
  <c r="P14" i="28"/>
  <c r="T14" i="28" s="1"/>
  <c r="P14" i="8"/>
  <c r="O14" i="28"/>
  <c r="S14" i="28" s="1"/>
  <c r="O14" i="8"/>
  <c r="S14" i="8" s="1"/>
  <c r="T14" i="8"/>
  <c r="R14" i="8"/>
  <c r="V14" i="8" s="1"/>
  <c r="R14" i="28"/>
  <c r="V14" i="28" s="1"/>
  <c r="T13" i="8"/>
  <c r="AB13" i="8"/>
  <c r="AC13" i="8"/>
  <c r="J13" i="28"/>
  <c r="K13" i="28"/>
  <c r="I13" i="28"/>
  <c r="L13" i="28" s="1"/>
  <c r="H13" i="28"/>
  <c r="J13" i="8"/>
  <c r="K13" i="8"/>
  <c r="I13" i="8"/>
  <c r="AB13" i="28"/>
  <c r="AC13" i="28"/>
  <c r="G14" i="28"/>
  <c r="C16" i="8"/>
  <c r="D15" i="8"/>
  <c r="U13" i="8"/>
  <c r="L12" i="8"/>
  <c r="D25" i="8"/>
  <c r="C26" i="8"/>
  <c r="H22" i="8"/>
  <c r="Z24" i="8"/>
  <c r="O24" i="8"/>
  <c r="S24" i="8" s="1"/>
  <c r="N24" i="8"/>
  <c r="R24" i="8"/>
  <c r="V24" i="8" s="1"/>
  <c r="P24" i="8"/>
  <c r="T24" i="8" s="1"/>
  <c r="P24" i="28"/>
  <c r="T24" i="28" s="1"/>
  <c r="N24" i="28"/>
  <c r="Q24" i="8"/>
  <c r="U24" i="8" s="1"/>
  <c r="F24" i="8"/>
  <c r="G24" i="8" s="1"/>
  <c r="Q24" i="28"/>
  <c r="U24" i="28" s="1"/>
  <c r="F24" i="28"/>
  <c r="R24" i="28"/>
  <c r="V24" i="28" s="1"/>
  <c r="Z24" i="28"/>
  <c r="O24" i="28"/>
  <c r="S24" i="28" s="1"/>
  <c r="AD23" i="8"/>
  <c r="AC23" i="8"/>
  <c r="AB23" i="8"/>
  <c r="AA23" i="8"/>
  <c r="J23" i="28"/>
  <c r="I23" i="28"/>
  <c r="K23" i="28"/>
  <c r="G23" i="28"/>
  <c r="AC23" i="28"/>
  <c r="AB23" i="28"/>
  <c r="AD23" i="28"/>
  <c r="AA23" i="28"/>
  <c r="H22" i="28"/>
  <c r="L22" i="28" s="1"/>
  <c r="C27" i="28"/>
  <c r="D26" i="28"/>
  <c r="I23" i="8"/>
  <c r="H23" i="8" s="1"/>
  <c r="L23" i="8" s="1"/>
  <c r="K23" i="8"/>
  <c r="J23" i="8"/>
  <c r="L12" i="28"/>
  <c r="AA13" i="8" l="1"/>
  <c r="R15" i="8"/>
  <c r="V15" i="8" s="1"/>
  <c r="F15" i="28"/>
  <c r="P15" i="8"/>
  <c r="O15" i="28"/>
  <c r="S15" i="28" s="1"/>
  <c r="O15" i="8"/>
  <c r="P15" i="28"/>
  <c r="N15" i="28"/>
  <c r="Q15" i="8"/>
  <c r="Z15" i="8"/>
  <c r="Q15" i="28"/>
  <c r="U15" i="28" s="1"/>
  <c r="N15" i="8"/>
  <c r="R15" i="28"/>
  <c r="F15" i="8"/>
  <c r="Z15" i="28"/>
  <c r="C17" i="8"/>
  <c r="D16" i="8"/>
  <c r="AB14" i="8"/>
  <c r="AC14" i="8"/>
  <c r="AA14" i="8"/>
  <c r="G14" i="8"/>
  <c r="J14" i="8"/>
  <c r="K14" i="8"/>
  <c r="I14" i="8"/>
  <c r="H14" i="8" s="1"/>
  <c r="L14" i="8" s="1"/>
  <c r="H13" i="8"/>
  <c r="L13" i="8" s="1"/>
  <c r="I14" i="28"/>
  <c r="H14" i="28" s="1"/>
  <c r="L14" i="28" s="1"/>
  <c r="J14" i="28"/>
  <c r="K14" i="28"/>
  <c r="AC14" i="28"/>
  <c r="AB14" i="28"/>
  <c r="AA14" i="28" s="1"/>
  <c r="AA13" i="28"/>
  <c r="G15" i="28"/>
  <c r="D16" i="28"/>
  <c r="C17" i="28"/>
  <c r="H23" i="28"/>
  <c r="L23" i="28" s="1"/>
  <c r="AC24" i="8"/>
  <c r="AB24" i="8"/>
  <c r="AA24" i="8" s="1"/>
  <c r="D27" i="28"/>
  <c r="C28" i="28"/>
  <c r="AB24" i="28"/>
  <c r="AA24" i="28" s="1"/>
  <c r="AC24" i="28"/>
  <c r="C27" i="8"/>
  <c r="D26" i="8"/>
  <c r="I24" i="8"/>
  <c r="H24" i="8" s="1"/>
  <c r="J24" i="8"/>
  <c r="K24" i="8"/>
  <c r="N25" i="8"/>
  <c r="F25" i="8"/>
  <c r="Q25" i="8"/>
  <c r="U25" i="8" s="1"/>
  <c r="N25" i="28"/>
  <c r="O25" i="8"/>
  <c r="S25" i="8" s="1"/>
  <c r="R25" i="8"/>
  <c r="V25" i="8" s="1"/>
  <c r="P25" i="8"/>
  <c r="T25" i="8" s="1"/>
  <c r="O25" i="28"/>
  <c r="S25" i="28" s="1"/>
  <c r="Q25" i="28"/>
  <c r="U25" i="28" s="1"/>
  <c r="P25" i="28"/>
  <c r="T25" i="28" s="1"/>
  <c r="R25" i="28"/>
  <c r="V25" i="28" s="1"/>
  <c r="F25" i="28"/>
  <c r="Z25" i="28"/>
  <c r="Z25" i="8"/>
  <c r="K24" i="28"/>
  <c r="I24" i="28"/>
  <c r="H24" i="28" s="1"/>
  <c r="J24" i="28"/>
  <c r="G24" i="28"/>
  <c r="L22" i="8"/>
  <c r="AA15" i="28" l="1"/>
  <c r="AC15" i="28"/>
  <c r="AD15" i="28"/>
  <c r="AB15" i="28"/>
  <c r="T15" i="28"/>
  <c r="J15" i="8"/>
  <c r="I15" i="8"/>
  <c r="K15" i="8"/>
  <c r="S15" i="8"/>
  <c r="V15" i="28"/>
  <c r="AA15" i="8"/>
  <c r="AC15" i="8"/>
  <c r="AB15" i="8"/>
  <c r="AD15" i="8"/>
  <c r="T15" i="8"/>
  <c r="C18" i="8"/>
  <c r="D18" i="8" s="1"/>
  <c r="D17" i="8"/>
  <c r="D17" i="28"/>
  <c r="C18" i="28"/>
  <c r="D18" i="28" s="1"/>
  <c r="P16" i="8"/>
  <c r="N16" i="8"/>
  <c r="Z16" i="28"/>
  <c r="Q16" i="8"/>
  <c r="F16" i="28"/>
  <c r="O16" i="8"/>
  <c r="R16" i="8"/>
  <c r="V16" i="8" s="1"/>
  <c r="Q16" i="28"/>
  <c r="U16" i="28" s="1"/>
  <c r="P16" i="28"/>
  <c r="T16" i="28" s="1"/>
  <c r="O16" i="28"/>
  <c r="F16" i="8"/>
  <c r="N16" i="28"/>
  <c r="Z16" i="8"/>
  <c r="R16" i="28"/>
  <c r="V16" i="28" s="1"/>
  <c r="U16" i="8"/>
  <c r="G16" i="8"/>
  <c r="T16" i="8"/>
  <c r="S16" i="8"/>
  <c r="K15" i="28"/>
  <c r="J15" i="28"/>
  <c r="I15" i="28"/>
  <c r="U15" i="8"/>
  <c r="G15" i="8"/>
  <c r="L24" i="8"/>
  <c r="L24" i="28"/>
  <c r="J25" i="28"/>
  <c r="K25" i="28"/>
  <c r="I25" i="28"/>
  <c r="H25" i="28" s="1"/>
  <c r="G25" i="28"/>
  <c r="J25" i="8"/>
  <c r="K25" i="8"/>
  <c r="I25" i="8"/>
  <c r="C28" i="8"/>
  <c r="D27" i="8"/>
  <c r="AC25" i="8"/>
  <c r="AB25" i="8"/>
  <c r="AA25" i="8"/>
  <c r="AD25" i="8"/>
  <c r="G25" i="8"/>
  <c r="C29" i="28"/>
  <c r="D28" i="28"/>
  <c r="N26" i="8"/>
  <c r="Z26" i="8"/>
  <c r="Q26" i="8"/>
  <c r="U26" i="8" s="1"/>
  <c r="R26" i="8"/>
  <c r="V26" i="8" s="1"/>
  <c r="P26" i="8"/>
  <c r="T26" i="8" s="1"/>
  <c r="F26" i="8"/>
  <c r="G26" i="8" s="1"/>
  <c r="O26" i="8"/>
  <c r="S26" i="8" s="1"/>
  <c r="Z26" i="28"/>
  <c r="F26" i="28"/>
  <c r="R26" i="28"/>
  <c r="V26" i="28" s="1"/>
  <c r="N26" i="28"/>
  <c r="P26" i="28"/>
  <c r="T26" i="28" s="1"/>
  <c r="O26" i="28"/>
  <c r="S26" i="28" s="1"/>
  <c r="Q26" i="28"/>
  <c r="U26" i="28" s="1"/>
  <c r="AB25" i="28"/>
  <c r="AD25" i="28"/>
  <c r="AC25" i="28"/>
  <c r="AA25" i="28"/>
  <c r="AD16" i="8" l="1"/>
  <c r="AC16" i="8"/>
  <c r="AB16" i="8"/>
  <c r="AA16" i="8"/>
  <c r="J16" i="28"/>
  <c r="K16" i="28"/>
  <c r="I16" i="28"/>
  <c r="H16" i="28" s="1"/>
  <c r="L16" i="28" s="1"/>
  <c r="Z18" i="8"/>
  <c r="Z18" i="28"/>
  <c r="K16" i="8"/>
  <c r="J16" i="8"/>
  <c r="I16" i="8"/>
  <c r="AB16" i="28"/>
  <c r="AD16" i="28"/>
  <c r="AA16" i="28"/>
  <c r="AC16" i="28"/>
  <c r="H15" i="8"/>
  <c r="L15" i="8" s="1"/>
  <c r="S16" i="28"/>
  <c r="H15" i="28"/>
  <c r="Z17" i="28"/>
  <c r="P17" i="28"/>
  <c r="T17" i="28" s="1"/>
  <c r="Z17" i="8"/>
  <c r="O17" i="28"/>
  <c r="S17" i="28" s="1"/>
  <c r="O17" i="8"/>
  <c r="S17" i="8" s="1"/>
  <c r="R17" i="28"/>
  <c r="V17" i="28" s="1"/>
  <c r="F17" i="8"/>
  <c r="N17" i="28"/>
  <c r="Q17" i="28"/>
  <c r="U17" i="28" s="1"/>
  <c r="F17" i="28"/>
  <c r="Q17" i="8"/>
  <c r="U17" i="8" s="1"/>
  <c r="N17" i="8"/>
  <c r="P17" i="8"/>
  <c r="T17" i="8" s="1"/>
  <c r="R17" i="8"/>
  <c r="V17" i="8" s="1"/>
  <c r="G17" i="8"/>
  <c r="G16" i="28"/>
  <c r="L25" i="28"/>
  <c r="I26" i="8"/>
  <c r="H26" i="8" s="1"/>
  <c r="L26" i="8" s="1"/>
  <c r="J26" i="8"/>
  <c r="K26" i="8"/>
  <c r="H25" i="8"/>
  <c r="J26" i="28"/>
  <c r="I26" i="28"/>
  <c r="H26" i="28" s="1"/>
  <c r="K26" i="28"/>
  <c r="AD26" i="8"/>
  <c r="AC26" i="8"/>
  <c r="AA26" i="8"/>
  <c r="AB26" i="8"/>
  <c r="AC26" i="28"/>
  <c r="AB26" i="28"/>
  <c r="AD26" i="28"/>
  <c r="AA26" i="28"/>
  <c r="R27" i="8"/>
  <c r="V27" i="8" s="1"/>
  <c r="Z27" i="8"/>
  <c r="Q27" i="8"/>
  <c r="U27" i="8" s="1"/>
  <c r="R27" i="28"/>
  <c r="V27" i="28" s="1"/>
  <c r="O27" i="8"/>
  <c r="S27" i="8" s="1"/>
  <c r="F27" i="8"/>
  <c r="G27" i="8" s="1"/>
  <c r="P27" i="8"/>
  <c r="T27" i="8" s="1"/>
  <c r="N27" i="8"/>
  <c r="F27" i="28"/>
  <c r="N27" i="28"/>
  <c r="Z27" i="28"/>
  <c r="Q27" i="28"/>
  <c r="U27" i="28" s="1"/>
  <c r="O27" i="28"/>
  <c r="S27" i="28" s="1"/>
  <c r="P27" i="28"/>
  <c r="T27" i="28" s="1"/>
  <c r="D29" i="28"/>
  <c r="C30" i="28"/>
  <c r="C29" i="8"/>
  <c r="D28" i="8"/>
  <c r="G26" i="28"/>
  <c r="AC17" i="28" l="1"/>
  <c r="AB17" i="28"/>
  <c r="AA17" i="28" s="1"/>
  <c r="K17" i="28"/>
  <c r="I17" i="28"/>
  <c r="H17" i="28" s="1"/>
  <c r="J17" i="28"/>
  <c r="K17" i="8"/>
  <c r="J17" i="8"/>
  <c r="I17" i="8"/>
  <c r="H17" i="8" s="1"/>
  <c r="L17" i="8" s="1"/>
  <c r="G17" i="28"/>
  <c r="H16" i="8"/>
  <c r="L16" i="8" s="1"/>
  <c r="L15" i="28"/>
  <c r="AB17" i="8"/>
  <c r="AA17" i="8" s="1"/>
  <c r="AC17" i="8"/>
  <c r="AA18" i="28"/>
  <c r="AC18" i="28"/>
  <c r="AB18" i="28"/>
  <c r="AD18" i="28"/>
  <c r="AC18" i="8"/>
  <c r="AA18" i="8"/>
  <c r="AD18" i="8"/>
  <c r="AB18" i="8"/>
  <c r="L26" i="28"/>
  <c r="D30" i="28"/>
  <c r="C31" i="28"/>
  <c r="D29" i="8"/>
  <c r="C30" i="8"/>
  <c r="I27" i="8"/>
  <c r="H27" i="8" s="1"/>
  <c r="L27" i="8" s="1"/>
  <c r="J27" i="8"/>
  <c r="K27" i="8"/>
  <c r="AC27" i="8"/>
  <c r="AB27" i="8"/>
  <c r="AA27" i="8" s="1"/>
  <c r="O28" i="28"/>
  <c r="S28" i="28" s="1"/>
  <c r="Z28" i="8"/>
  <c r="N28" i="28"/>
  <c r="Q28" i="28"/>
  <c r="U28" i="28" s="1"/>
  <c r="R28" i="28"/>
  <c r="V28" i="28" s="1"/>
  <c r="F28" i="28"/>
  <c r="G28" i="28" s="1"/>
  <c r="P28" i="28"/>
  <c r="T28" i="28" s="1"/>
  <c r="Z28" i="28"/>
  <c r="AC27" i="28"/>
  <c r="AD27" i="28"/>
  <c r="AB27" i="28"/>
  <c r="AA27" i="28"/>
  <c r="I27" i="28"/>
  <c r="H27" i="28" s="1"/>
  <c r="J27" i="28"/>
  <c r="K27" i="28"/>
  <c r="G27" i="28"/>
  <c r="L25" i="8"/>
  <c r="L17" i="28" l="1"/>
  <c r="I28" i="28"/>
  <c r="H28" i="28" s="1"/>
  <c r="K28" i="28"/>
  <c r="J28" i="28"/>
  <c r="D30" i="8"/>
  <c r="C31" i="8"/>
  <c r="AB28" i="8"/>
  <c r="AA28" i="8" s="1"/>
  <c r="AC28" i="8"/>
  <c r="Z29" i="8"/>
  <c r="O29" i="8"/>
  <c r="S29" i="8" s="1"/>
  <c r="F29" i="8"/>
  <c r="G29" i="8" s="1"/>
  <c r="F29" i="28"/>
  <c r="N29" i="8"/>
  <c r="P29" i="8"/>
  <c r="T29" i="8" s="1"/>
  <c r="Q29" i="8"/>
  <c r="U29" i="8" s="1"/>
  <c r="R29" i="8"/>
  <c r="V29" i="8" s="1"/>
  <c r="R29" i="28"/>
  <c r="V29" i="28" s="1"/>
  <c r="N29" i="28"/>
  <c r="Z29" i="28"/>
  <c r="P29" i="28"/>
  <c r="T29" i="28" s="1"/>
  <c r="O29" i="28"/>
  <c r="S29" i="28" s="1"/>
  <c r="Q29" i="28"/>
  <c r="U29" i="28" s="1"/>
  <c r="C32" i="28"/>
  <c r="D31" i="28"/>
  <c r="L27" i="28"/>
  <c r="AC28" i="28"/>
  <c r="AD28" i="28"/>
  <c r="AA28" i="28"/>
  <c r="AB28" i="28"/>
  <c r="L28" i="28" l="1"/>
  <c r="D31" i="8"/>
  <c r="C32" i="8"/>
  <c r="N30" i="8"/>
  <c r="Q30" i="8"/>
  <c r="U30" i="8" s="1"/>
  <c r="Z30" i="8"/>
  <c r="R30" i="8"/>
  <c r="V30" i="8" s="1"/>
  <c r="N30" i="28"/>
  <c r="F30" i="8"/>
  <c r="G30" i="8" s="1"/>
  <c r="O30" i="8"/>
  <c r="S30" i="8" s="1"/>
  <c r="P30" i="8"/>
  <c r="T30" i="8" s="1"/>
  <c r="Q30" i="28"/>
  <c r="U30" i="28" s="1"/>
  <c r="P30" i="28"/>
  <c r="T30" i="28" s="1"/>
  <c r="O30" i="28"/>
  <c r="S30" i="28" s="1"/>
  <c r="F30" i="28"/>
  <c r="R30" i="28"/>
  <c r="V30" i="28" s="1"/>
  <c r="Z30" i="28"/>
  <c r="I29" i="28"/>
  <c r="K29" i="28"/>
  <c r="J29" i="28"/>
  <c r="G29" i="28"/>
  <c r="AB29" i="8"/>
  <c r="AA29" i="8" s="1"/>
  <c r="AC29" i="8"/>
  <c r="I29" i="8"/>
  <c r="H29" i="8" s="1"/>
  <c r="K29" i="8"/>
  <c r="J29" i="8"/>
  <c r="AD29" i="28"/>
  <c r="AA29" i="28"/>
  <c r="AB29" i="28"/>
  <c r="AC29" i="28"/>
  <c r="D32" i="28"/>
  <c r="C33" i="28"/>
  <c r="D33" i="28" s="1"/>
  <c r="L29" i="8" l="1"/>
  <c r="AD30" i="28"/>
  <c r="AC30" i="28"/>
  <c r="AA30" i="28"/>
  <c r="AB30" i="28"/>
  <c r="H29" i="28"/>
  <c r="K30" i="28"/>
  <c r="I30" i="28"/>
  <c r="H30" i="28" s="1"/>
  <c r="L30" i="28" s="1"/>
  <c r="J30" i="28"/>
  <c r="G30" i="28"/>
  <c r="D32" i="8"/>
  <c r="C33" i="8"/>
  <c r="D33" i="8" s="1"/>
  <c r="K30" i="8"/>
  <c r="J30" i="8"/>
  <c r="I30" i="8"/>
  <c r="AA30" i="8"/>
  <c r="AB30" i="8"/>
  <c r="AC30" i="8"/>
  <c r="AD30" i="8"/>
  <c r="O31" i="8"/>
  <c r="S31" i="8" s="1"/>
  <c r="N31" i="8"/>
  <c r="Q31" i="8"/>
  <c r="U31" i="8" s="1"/>
  <c r="Z31" i="8"/>
  <c r="P31" i="8"/>
  <c r="T31" i="8" s="1"/>
  <c r="R31" i="8"/>
  <c r="V31" i="8" s="1"/>
  <c r="F31" i="8"/>
  <c r="R31" i="28"/>
  <c r="V31" i="28" s="1"/>
  <c r="Z31" i="28"/>
  <c r="Q31" i="28"/>
  <c r="U31" i="28" s="1"/>
  <c r="F31" i="28"/>
  <c r="N31" i="28"/>
  <c r="O31" i="28"/>
  <c r="S31" i="28" s="1"/>
  <c r="P31" i="28"/>
  <c r="T31" i="28" s="1"/>
  <c r="J31" i="8" l="1"/>
  <c r="I31" i="8"/>
  <c r="H31" i="8" s="1"/>
  <c r="K31" i="8"/>
  <c r="I31" i="28"/>
  <c r="J31" i="28"/>
  <c r="K31" i="28"/>
  <c r="G31" i="28"/>
  <c r="AD31" i="8"/>
  <c r="AC31" i="8"/>
  <c r="AA31" i="8"/>
  <c r="AB31" i="8"/>
  <c r="AD31" i="28"/>
  <c r="AB31" i="28"/>
  <c r="AA31" i="28"/>
  <c r="AC31" i="28"/>
  <c r="G31" i="8"/>
  <c r="H30" i="8"/>
  <c r="Q33" i="8"/>
  <c r="O33" i="8"/>
  <c r="Z33" i="28"/>
  <c r="F33" i="28"/>
  <c r="Q33" i="28"/>
  <c r="R33" i="28"/>
  <c r="O33" i="28"/>
  <c r="N33" i="28"/>
  <c r="P33" i="28"/>
  <c r="Z33" i="8"/>
  <c r="F33" i="8"/>
  <c r="N33" i="8"/>
  <c r="R33" i="8"/>
  <c r="P33" i="8"/>
  <c r="R32" i="8"/>
  <c r="V32" i="8" s="1"/>
  <c r="F32" i="8"/>
  <c r="G32" i="8" s="1"/>
  <c r="O32" i="8"/>
  <c r="S32" i="8" s="1"/>
  <c r="P32" i="8"/>
  <c r="T32" i="8" s="1"/>
  <c r="Z32" i="8"/>
  <c r="N32" i="8"/>
  <c r="Q32" i="8"/>
  <c r="U32" i="8" s="1"/>
  <c r="O32" i="28"/>
  <c r="S32" i="28" s="1"/>
  <c r="R32" i="28"/>
  <c r="V32" i="28" s="1"/>
  <c r="N32" i="28"/>
  <c r="Q32" i="28"/>
  <c r="U32" i="28" s="1"/>
  <c r="P32" i="28"/>
  <c r="T32" i="28" s="1"/>
  <c r="Z32" i="28"/>
  <c r="F32" i="28"/>
  <c r="L29" i="28"/>
  <c r="S33" i="28" l="1"/>
  <c r="AB4" i="31"/>
  <c r="T33" i="8"/>
  <c r="V33" i="28"/>
  <c r="V33" i="8"/>
  <c r="U33" i="28"/>
  <c r="AB37" i="31"/>
  <c r="G33" i="8"/>
  <c r="AA32" i="8"/>
  <c r="AC32" i="8"/>
  <c r="AB32" i="8"/>
  <c r="I32" i="8"/>
  <c r="H32" i="8" s="1"/>
  <c r="K32" i="8"/>
  <c r="J32" i="8"/>
  <c r="T33" i="28"/>
  <c r="J32" i="28"/>
  <c r="K32" i="28"/>
  <c r="I32" i="28"/>
  <c r="I33" i="8"/>
  <c r="K33" i="8"/>
  <c r="J33" i="8"/>
  <c r="L31" i="8"/>
  <c r="AB32" i="28"/>
  <c r="AA32" i="28" s="1"/>
  <c r="AC32" i="28"/>
  <c r="AB33" i="8"/>
  <c r="AC33" i="8"/>
  <c r="AE4" i="31" s="1"/>
  <c r="AD33" i="8"/>
  <c r="AA33" i="8"/>
  <c r="U33" i="8"/>
  <c r="I33" i="28"/>
  <c r="J33" i="28"/>
  <c r="K33" i="28"/>
  <c r="G33" i="28"/>
  <c r="S33" i="8"/>
  <c r="H31" i="28"/>
  <c r="L31" i="28" s="1"/>
  <c r="G32" i="28"/>
  <c r="AA33" i="28"/>
  <c r="AD33" i="28"/>
  <c r="AB33" i="28"/>
  <c r="AC33" i="28"/>
  <c r="L30" i="8"/>
  <c r="AC37" i="31" l="1"/>
  <c r="AC4" i="31"/>
  <c r="AF4" i="31"/>
  <c r="AH4" i="31" s="1"/>
  <c r="AG4" i="31"/>
  <c r="AE37" i="31"/>
  <c r="AF37" i="31" s="1"/>
  <c r="AH37" i="31" s="1"/>
  <c r="AD4" i="31"/>
  <c r="AD37" i="31"/>
  <c r="H33" i="28"/>
  <c r="H32" i="28"/>
  <c r="L32" i="28" s="1"/>
  <c r="L32" i="8"/>
  <c r="L33" i="28"/>
  <c r="H33" i="8"/>
  <c r="AG37" i="31" l="1"/>
  <c r="AM37" i="31" s="1"/>
  <c r="AM38" i="31" s="1"/>
  <c r="L33" i="8"/>
  <c r="F28" i="8" l="1"/>
  <c r="O127" i="2"/>
  <c r="F18" i="8" l="1"/>
  <c r="F18" i="28"/>
  <c r="D10" i="13"/>
  <c r="K10" i="13" s="1"/>
  <c r="D21" i="13"/>
  <c r="E4" i="34"/>
  <c r="F19" i="8"/>
  <c r="F19" i="28"/>
  <c r="R127" i="2"/>
  <c r="W127" i="2"/>
  <c r="V127" i="2" s="1"/>
  <c r="S127" i="2"/>
  <c r="U127" i="2"/>
  <c r="P127" i="2"/>
  <c r="Q127" i="2"/>
  <c r="T127" i="2"/>
  <c r="J28" i="8"/>
  <c r="K28" i="8"/>
  <c r="I28" i="8"/>
  <c r="H28" i="8" s="1"/>
  <c r="Z127" i="2"/>
  <c r="K18" i="28" l="1"/>
  <c r="J18" i="28"/>
  <c r="I18" i="28"/>
  <c r="H18" i="28" s="1"/>
  <c r="P4" i="34"/>
  <c r="N4" i="34" s="1"/>
  <c r="F37" i="31"/>
  <c r="G18" i="28"/>
  <c r="G18" i="8"/>
  <c r="K18" i="8"/>
  <c r="I18" i="8"/>
  <c r="J18" i="8"/>
  <c r="F4" i="31"/>
  <c r="R4" i="34"/>
  <c r="D19" i="13"/>
  <c r="K19" i="13" s="1"/>
  <c r="J19" i="28"/>
  <c r="K19" i="28"/>
  <c r="I19" i="28"/>
  <c r="J19" i="8"/>
  <c r="K19" i="8"/>
  <c r="I19" i="8"/>
  <c r="H19" i="8" s="1"/>
  <c r="L19" i="8" s="1"/>
  <c r="G28" i="8"/>
  <c r="G19" i="8"/>
  <c r="G19" i="28"/>
  <c r="AB127" i="2"/>
  <c r="AC127" i="2"/>
  <c r="AA127" i="2"/>
  <c r="X127" i="2"/>
  <c r="L28" i="8"/>
  <c r="L18" i="28" l="1"/>
  <c r="H37" i="31"/>
  <c r="G37" i="31"/>
  <c r="G4" i="31"/>
  <c r="J4" i="31"/>
  <c r="H18" i="8"/>
  <c r="I4" i="31"/>
  <c r="K4" i="31"/>
  <c r="AC4" i="34"/>
  <c r="AA4" i="34" s="1"/>
  <c r="I37" i="31"/>
  <c r="J37" i="31"/>
  <c r="K37" i="31"/>
  <c r="H19" i="28"/>
  <c r="Y234" i="2" a="1"/>
  <c r="Y234" i="2" s="1"/>
  <c r="AR234" i="2" s="1"/>
  <c r="AS234" i="2" s="1"/>
  <c r="Y238" i="2" a="1"/>
  <c r="Y238" i="2" s="1"/>
  <c r="AR238" i="2" s="1"/>
  <c r="AS238" i="2" s="1"/>
  <c r="Y225" i="2" a="1"/>
  <c r="Y225" i="2" s="1"/>
  <c r="AR225" i="2" s="1"/>
  <c r="AS225" i="2" s="1"/>
  <c r="Y222" i="2" a="1"/>
  <c r="Y222" i="2" s="1"/>
  <c r="AR222" i="2" s="1"/>
  <c r="AS222" i="2" s="1"/>
  <c r="Y232" i="2" a="1"/>
  <c r="Y232" i="2" s="1"/>
  <c r="AR232" i="2" s="1"/>
  <c r="AS232" i="2" s="1"/>
  <c r="Y220" i="2" a="1"/>
  <c r="Y220" i="2" s="1"/>
  <c r="AR220" i="2" s="1"/>
  <c r="AS220" i="2" s="1"/>
  <c r="Y227" i="2" a="1"/>
  <c r="Y227" i="2" s="1"/>
  <c r="AR227" i="2" s="1"/>
  <c r="AS227" i="2" s="1"/>
  <c r="Y218" i="2" a="1"/>
  <c r="Y218" i="2" s="1"/>
  <c r="AR218" i="2" s="1"/>
  <c r="AS218" i="2" s="1"/>
  <c r="Y224" i="2" a="1"/>
  <c r="Y224" i="2" s="1"/>
  <c r="AR224" i="2" s="1"/>
  <c r="AS224" i="2" s="1"/>
  <c r="Y226" i="2" a="1"/>
  <c r="Y226" i="2" s="1"/>
  <c r="AR226" i="2" s="1"/>
  <c r="AS226" i="2" s="1"/>
  <c r="Y235" i="2" a="1"/>
  <c r="Y235" i="2" s="1"/>
  <c r="AR235" i="2" s="1"/>
  <c r="AS235" i="2" s="1"/>
  <c r="Y229" i="2" a="1"/>
  <c r="Y229" i="2" s="1"/>
  <c r="AR229" i="2" s="1"/>
  <c r="AS229" i="2" s="1"/>
  <c r="Y219" i="2" a="1"/>
  <c r="Y219" i="2" s="1"/>
  <c r="AR219" i="2" s="1"/>
  <c r="AS219" i="2" s="1"/>
  <c r="Y231" i="2" a="1"/>
  <c r="Y231" i="2" s="1"/>
  <c r="AR231" i="2" s="1"/>
  <c r="AS231" i="2" s="1"/>
  <c r="Y228" i="2" a="1"/>
  <c r="Y228" i="2" s="1"/>
  <c r="AR228" i="2" s="1"/>
  <c r="AS228" i="2" s="1"/>
  <c r="Y223" i="2" a="1"/>
  <c r="Y223" i="2" s="1"/>
  <c r="AR223" i="2" s="1"/>
  <c r="AS223" i="2" s="1"/>
  <c r="Y215" i="2" a="1"/>
  <c r="Y215" i="2" s="1"/>
  <c r="AR215" i="2" s="1"/>
  <c r="AS215" i="2" s="1"/>
  <c r="Y239" i="2" a="1"/>
  <c r="Y239" i="2" s="1"/>
  <c r="AR239" i="2" s="1"/>
  <c r="AS239" i="2" s="1"/>
  <c r="Y221" i="2" a="1"/>
  <c r="Y221" i="2" s="1"/>
  <c r="AR221" i="2" s="1"/>
  <c r="AS221" i="2" s="1"/>
  <c r="Y217" i="2" a="1"/>
  <c r="Y217" i="2" s="1"/>
  <c r="AR217" i="2" s="1"/>
  <c r="AS217" i="2" s="1"/>
  <c r="Y216" i="2" a="1"/>
  <c r="Y216" i="2" s="1"/>
  <c r="AR216" i="2" s="1"/>
  <c r="AS216" i="2" s="1"/>
  <c r="Y237" i="2" a="1"/>
  <c r="Y237" i="2" s="1"/>
  <c r="AR237" i="2" s="1"/>
  <c r="AS237" i="2" s="1"/>
  <c r="Y236" i="2" a="1"/>
  <c r="Y236" i="2" s="1"/>
  <c r="AR236" i="2" s="1"/>
  <c r="AS236" i="2" s="1"/>
  <c r="Y27" i="2" a="1"/>
  <c r="Y27" i="2" s="1"/>
  <c r="AR27" i="2" s="1"/>
  <c r="AS27" i="2" s="1"/>
  <c r="Y150" i="2" a="1"/>
  <c r="Y150" i="2" s="1"/>
  <c r="AR150" i="2" s="1"/>
  <c r="AS150" i="2" s="1"/>
  <c r="Y152" i="2" a="1"/>
  <c r="Y152" i="2" s="1"/>
  <c r="AR152" i="2" s="1"/>
  <c r="AS152" i="2" s="1"/>
  <c r="Y9" i="2" a="1"/>
  <c r="Y9" i="2" s="1"/>
  <c r="AR9" i="2" s="1"/>
  <c r="AS9" i="2" s="1"/>
  <c r="Y114" i="2" a="1"/>
  <c r="Y114" i="2" s="1"/>
  <c r="AR114" i="2" s="1"/>
  <c r="AS114" i="2" s="1"/>
  <c r="Y151" i="2" a="1"/>
  <c r="Y151" i="2" s="1"/>
  <c r="AR151" i="2" s="1"/>
  <c r="AS151" i="2" s="1"/>
  <c r="Y164" i="2" a="1"/>
  <c r="Y164" i="2" s="1"/>
  <c r="AR164" i="2" s="1"/>
  <c r="AS164" i="2" s="1"/>
  <c r="Y92" i="2" a="1"/>
  <c r="Y92" i="2" s="1"/>
  <c r="AR92" i="2" s="1"/>
  <c r="AS92" i="2" s="1"/>
  <c r="Y97" i="2" a="1"/>
  <c r="Y97" i="2" s="1"/>
  <c r="AR97" i="2" s="1"/>
  <c r="AS97" i="2" s="1"/>
  <c r="Y144" i="2" a="1"/>
  <c r="Y144" i="2" s="1"/>
  <c r="AR144" i="2" s="1"/>
  <c r="AS144" i="2" s="1"/>
  <c r="Y81" i="2" a="1"/>
  <c r="Y81" i="2" s="1"/>
  <c r="AR81" i="2" s="1"/>
  <c r="AS81" i="2" s="1"/>
  <c r="Y82" i="2" a="1"/>
  <c r="Y82" i="2" s="1"/>
  <c r="AR82" i="2" s="1"/>
  <c r="AS82" i="2" s="1"/>
  <c r="Y185" i="2" a="1"/>
  <c r="Y185" i="2" s="1"/>
  <c r="AR185" i="2" s="1"/>
  <c r="AS185" i="2" s="1"/>
  <c r="Y128" i="2" a="1"/>
  <c r="Y128" i="2" s="1"/>
  <c r="AR128" i="2" s="1"/>
  <c r="AS128" i="2" s="1"/>
  <c r="Y28" i="2" a="1"/>
  <c r="Y28" i="2" s="1"/>
  <c r="AR28" i="2" s="1"/>
  <c r="AS28" i="2" s="1"/>
  <c r="Y135" i="2" a="1"/>
  <c r="Y135" i="2" s="1"/>
  <c r="AR135" i="2" s="1"/>
  <c r="AS135" i="2" s="1"/>
  <c r="Y84" i="2" a="1"/>
  <c r="Y84" i="2" s="1"/>
  <c r="AR84" i="2" s="1"/>
  <c r="AS84" i="2" s="1"/>
  <c r="Y208" i="2" a="1"/>
  <c r="Y208" i="2" s="1"/>
  <c r="AR208" i="2" s="1"/>
  <c r="AS208" i="2" s="1"/>
  <c r="Y200" i="2" a="1"/>
  <c r="Y200" i="2" s="1"/>
  <c r="AR200" i="2" s="1"/>
  <c r="AS200" i="2" s="1"/>
  <c r="Y160" i="2" a="1"/>
  <c r="Y160" i="2" s="1"/>
  <c r="AR160" i="2" s="1"/>
  <c r="AS160" i="2" s="1"/>
  <c r="Y68" i="2" a="1"/>
  <c r="Y68" i="2" s="1"/>
  <c r="AR68" i="2" s="1"/>
  <c r="AS68" i="2" s="1"/>
  <c r="Y149" i="2" a="1"/>
  <c r="Y149" i="2" s="1"/>
  <c r="AR149" i="2" s="1"/>
  <c r="AS149" i="2" s="1"/>
  <c r="Y66" i="2" a="1"/>
  <c r="Y66" i="2" s="1"/>
  <c r="AR66" i="2" s="1"/>
  <c r="AS66" i="2" s="1"/>
  <c r="Y89" i="2" a="1"/>
  <c r="Y89" i="2" s="1"/>
  <c r="AR89" i="2" s="1"/>
  <c r="AS89" i="2" s="1"/>
  <c r="Y23" i="2" a="1"/>
  <c r="Y23" i="2" s="1"/>
  <c r="AR23" i="2" s="1"/>
  <c r="AS23" i="2" s="1"/>
  <c r="Y168" i="2" a="1"/>
  <c r="Y168" i="2" s="1"/>
  <c r="AR168" i="2" s="1"/>
  <c r="AS168" i="2" s="1"/>
  <c r="Y87" i="2" a="1"/>
  <c r="Y87" i="2" s="1"/>
  <c r="AR87" i="2" s="1"/>
  <c r="AS87" i="2" s="1"/>
  <c r="Y42" i="2" a="1"/>
  <c r="Y42" i="2" s="1"/>
  <c r="AR42" i="2" s="1"/>
  <c r="AS42" i="2" s="1"/>
  <c r="Y182" i="2" a="1"/>
  <c r="Y182" i="2" s="1"/>
  <c r="AR182" i="2" s="1"/>
  <c r="AS182" i="2" s="1"/>
  <c r="Y166" i="2" a="1"/>
  <c r="Y166" i="2" s="1"/>
  <c r="AR166" i="2" s="1"/>
  <c r="AS166" i="2" s="1"/>
  <c r="Y53" i="2" a="1"/>
  <c r="Y53" i="2" s="1"/>
  <c r="AR53" i="2" s="1"/>
  <c r="AS53" i="2" s="1"/>
  <c r="Y176" i="2" a="1"/>
  <c r="Y176" i="2" s="1"/>
  <c r="AR176" i="2" s="1"/>
  <c r="AS176" i="2" s="1"/>
  <c r="Y116" i="2" a="1"/>
  <c r="Y116" i="2" s="1"/>
  <c r="AR116" i="2" s="1"/>
  <c r="AS116" i="2" s="1"/>
  <c r="Y75" i="2" a="1"/>
  <c r="Y75" i="2" s="1"/>
  <c r="AR75" i="2" s="1"/>
  <c r="AS75" i="2" s="1"/>
  <c r="Y154" i="2" a="1"/>
  <c r="Y154" i="2" s="1"/>
  <c r="AR154" i="2" s="1"/>
  <c r="AS154" i="2" s="1"/>
  <c r="Y80" i="2" a="1"/>
  <c r="Y80" i="2" s="1"/>
  <c r="AR80" i="2" s="1"/>
  <c r="AS80" i="2" s="1"/>
  <c r="Y172" i="2" a="1"/>
  <c r="Y172" i="2" s="1"/>
  <c r="AR172" i="2" s="1"/>
  <c r="AS172" i="2" s="1"/>
  <c r="Y6" i="2" a="1"/>
  <c r="Y6" i="2" s="1"/>
  <c r="AR6" i="2" s="1"/>
  <c r="AS6" i="2" s="1"/>
  <c r="Y197" i="2" a="1"/>
  <c r="Y197" i="2" s="1"/>
  <c r="AR197" i="2" s="1"/>
  <c r="AS197" i="2" s="1"/>
  <c r="Y26" i="2" a="1"/>
  <c r="Y26" i="2" s="1"/>
  <c r="AR26" i="2" s="1"/>
  <c r="AS26" i="2" s="1"/>
  <c r="Y204" i="2" a="1"/>
  <c r="Y204" i="2" s="1"/>
  <c r="AR204" i="2" s="1"/>
  <c r="AS204" i="2" s="1"/>
  <c r="Y78" i="2" a="1"/>
  <c r="Y78" i="2" s="1"/>
  <c r="AR78" i="2" s="1"/>
  <c r="AS78" i="2" s="1"/>
  <c r="Y136" i="2" a="1"/>
  <c r="Y136" i="2" s="1"/>
  <c r="AR136" i="2" s="1"/>
  <c r="AS136" i="2" s="1"/>
  <c r="Y175" i="2" a="1"/>
  <c r="Y175" i="2" s="1"/>
  <c r="AR175" i="2" s="1"/>
  <c r="AS175" i="2" s="1"/>
  <c r="Y45" i="2" a="1"/>
  <c r="Y45" i="2" s="1"/>
  <c r="AR45" i="2" s="1"/>
  <c r="AS45" i="2" s="1"/>
  <c r="Y25" i="2" a="1"/>
  <c r="Y25" i="2" s="1"/>
  <c r="AR25" i="2" s="1"/>
  <c r="AS25" i="2" s="1"/>
  <c r="Y165" i="2" a="1"/>
  <c r="Y165" i="2" s="1"/>
  <c r="AR165" i="2" s="1"/>
  <c r="AS165" i="2" s="1"/>
  <c r="Y179" i="2" a="1"/>
  <c r="Y179" i="2" s="1"/>
  <c r="AR179" i="2" s="1"/>
  <c r="AS179" i="2" s="1"/>
  <c r="Y4" i="2" a="1"/>
  <c r="Y4" i="2" s="1"/>
  <c r="AR4" i="2" s="1"/>
  <c r="AS4" i="2" s="1"/>
  <c r="Y192" i="2" a="1"/>
  <c r="Y192" i="2" s="1"/>
  <c r="AR192" i="2" s="1"/>
  <c r="AS192" i="2" s="1"/>
  <c r="Y18" i="2" a="1"/>
  <c r="Y18" i="2" s="1"/>
  <c r="AR18" i="2" s="1"/>
  <c r="AS18" i="2" s="1"/>
  <c r="Y178" i="2" a="1"/>
  <c r="Y178" i="2" s="1"/>
  <c r="AR178" i="2" s="1"/>
  <c r="AS178" i="2" s="1"/>
  <c r="Y133" i="2" a="1"/>
  <c r="Y133" i="2" s="1"/>
  <c r="AR133" i="2" s="1"/>
  <c r="AS133" i="2" s="1"/>
  <c r="Y156" i="2" a="1"/>
  <c r="Y156" i="2" s="1"/>
  <c r="AR156" i="2" s="1"/>
  <c r="AS156" i="2" s="1"/>
  <c r="Y139" i="2" a="1"/>
  <c r="Y139" i="2" s="1"/>
  <c r="AR139" i="2" s="1"/>
  <c r="AS139" i="2" s="1"/>
  <c r="Y212" i="2" a="1"/>
  <c r="Y212" i="2" s="1"/>
  <c r="AR212" i="2" s="1"/>
  <c r="AS212" i="2" s="1"/>
  <c r="Y65" i="2" a="1"/>
  <c r="Y65" i="2" s="1"/>
  <c r="AR65" i="2" s="1"/>
  <c r="AS65" i="2" s="1"/>
  <c r="Y142" i="2" a="1"/>
  <c r="Y142" i="2" s="1"/>
  <c r="AR142" i="2" s="1"/>
  <c r="AS142" i="2" s="1"/>
  <c r="Y122" i="2" a="1"/>
  <c r="Y122" i="2" s="1"/>
  <c r="AR122" i="2" s="1"/>
  <c r="AS122" i="2" s="1"/>
  <c r="Y171" i="2" a="1"/>
  <c r="Y171" i="2" s="1"/>
  <c r="AR171" i="2" s="1"/>
  <c r="AS171" i="2" s="1"/>
  <c r="Y196" i="2" a="1"/>
  <c r="Y196" i="2" s="1"/>
  <c r="AR196" i="2" s="1"/>
  <c r="AS196" i="2" s="1"/>
  <c r="Y121" i="2" a="1"/>
  <c r="Y121" i="2" s="1"/>
  <c r="AR121" i="2" s="1"/>
  <c r="AS121" i="2" s="1"/>
  <c r="Y11" i="2" a="1"/>
  <c r="Y11" i="2" s="1"/>
  <c r="AR11" i="2" s="1"/>
  <c r="AS11" i="2" s="1"/>
  <c r="Y140" i="2" a="1"/>
  <c r="Y140" i="2" s="1"/>
  <c r="AR140" i="2" s="1"/>
  <c r="AS140" i="2" s="1"/>
  <c r="Y64" i="2" a="1"/>
  <c r="Y64" i="2" s="1"/>
  <c r="AR64" i="2" s="1"/>
  <c r="AS64" i="2" s="1"/>
  <c r="Y104" i="2" a="1"/>
  <c r="Y104" i="2" s="1"/>
  <c r="AR104" i="2" s="1"/>
  <c r="AS104" i="2" s="1"/>
  <c r="Y209" i="2" a="1"/>
  <c r="Y209" i="2" s="1"/>
  <c r="AR209" i="2" s="1"/>
  <c r="AS209" i="2" s="1"/>
  <c r="Y148" i="2" a="1"/>
  <c r="Y148" i="2" s="1"/>
  <c r="AR148" i="2" s="1"/>
  <c r="AS148" i="2" s="1"/>
  <c r="Y41" i="2" a="1"/>
  <c r="Y41" i="2" s="1"/>
  <c r="AR41" i="2" s="1"/>
  <c r="AS41" i="2" s="1"/>
  <c r="Y181" i="2" a="1"/>
  <c r="Y181" i="2" s="1"/>
  <c r="AR181" i="2" s="1"/>
  <c r="AS181" i="2" s="1"/>
  <c r="Y63" i="2" a="1"/>
  <c r="Y63" i="2" s="1"/>
  <c r="AR63" i="2" s="1"/>
  <c r="AS63" i="2" s="1"/>
  <c r="Y46" i="2" a="1"/>
  <c r="Y46" i="2" s="1"/>
  <c r="AR46" i="2" s="1"/>
  <c r="AS46" i="2" s="1"/>
  <c r="Y24" i="2" a="1"/>
  <c r="Y24" i="2" s="1"/>
  <c r="AR24" i="2" s="1"/>
  <c r="AS24" i="2" s="1"/>
  <c r="Y117" i="2" a="1"/>
  <c r="Y117" i="2" s="1"/>
  <c r="AR117" i="2" s="1"/>
  <c r="AS117" i="2" s="1"/>
  <c r="Y187" i="2" a="1"/>
  <c r="Y187" i="2" s="1"/>
  <c r="AR187" i="2" s="1"/>
  <c r="AS187" i="2" s="1"/>
  <c r="Y146" i="2" a="1"/>
  <c r="Y146" i="2" s="1"/>
  <c r="AR146" i="2" s="1"/>
  <c r="AS146" i="2" s="1"/>
  <c r="Y103" i="2" a="1"/>
  <c r="Y103" i="2" s="1"/>
  <c r="AR103" i="2" s="1"/>
  <c r="AS103" i="2" s="1"/>
  <c r="Y7" i="2" a="1"/>
  <c r="Y7" i="2" s="1"/>
  <c r="AR7" i="2" s="1"/>
  <c r="AS7" i="2" s="1"/>
  <c r="Y153" i="2" a="1"/>
  <c r="Y153" i="2" s="1"/>
  <c r="AR153" i="2" s="1"/>
  <c r="AS153" i="2" s="1"/>
  <c r="Y180" i="2" a="1"/>
  <c r="Y180" i="2" s="1"/>
  <c r="AR180" i="2" s="1"/>
  <c r="AS180" i="2" s="1"/>
  <c r="Y120" i="2" a="1"/>
  <c r="Y120" i="2" s="1"/>
  <c r="AR120" i="2" s="1"/>
  <c r="AS120" i="2" s="1"/>
  <c r="Y52" i="2" a="1"/>
  <c r="Y52" i="2" s="1"/>
  <c r="AR52" i="2" s="1"/>
  <c r="AS52" i="2" s="1"/>
  <c r="Y105" i="2" a="1"/>
  <c r="Y105" i="2" s="1"/>
  <c r="AR105" i="2" s="1"/>
  <c r="AS105" i="2" s="1"/>
  <c r="Y62" i="2" a="1"/>
  <c r="Y62" i="2" s="1"/>
  <c r="AR62" i="2" s="1"/>
  <c r="AS62" i="2" s="1"/>
  <c r="Y38" i="2" a="1"/>
  <c r="Y38" i="2" s="1"/>
  <c r="AR38" i="2" s="1"/>
  <c r="AS38" i="2" s="1"/>
  <c r="Y71" i="2" a="1"/>
  <c r="Y71" i="2" s="1"/>
  <c r="AR71" i="2" s="1"/>
  <c r="AS71" i="2" s="1"/>
  <c r="Y108" i="2" a="1"/>
  <c r="Y108" i="2" s="1"/>
  <c r="AR108" i="2" s="1"/>
  <c r="AS108" i="2" s="1"/>
  <c r="Y19" i="2" a="1"/>
  <c r="Y19" i="2" s="1"/>
  <c r="AR19" i="2" s="1"/>
  <c r="AS19" i="2" s="1"/>
  <c r="Y107" i="2" a="1"/>
  <c r="Y107" i="2" s="1"/>
  <c r="AR107" i="2" s="1"/>
  <c r="AS107" i="2" s="1"/>
  <c r="Y170" i="2" a="1"/>
  <c r="Y170" i="2" s="1"/>
  <c r="AR170" i="2" s="1"/>
  <c r="AS170" i="2" s="1"/>
  <c r="Y36" i="2" a="1"/>
  <c r="Y36" i="2" s="1"/>
  <c r="AR36" i="2" s="1"/>
  <c r="AS36" i="2" s="1"/>
  <c r="Y72" i="2" a="1"/>
  <c r="Y72" i="2" s="1"/>
  <c r="AR72" i="2" s="1"/>
  <c r="AS72" i="2" s="1"/>
  <c r="Y39" i="2" a="1"/>
  <c r="Y39" i="2" s="1"/>
  <c r="AR39" i="2" s="1"/>
  <c r="AS39" i="2" s="1"/>
  <c r="Y199" i="2" a="1"/>
  <c r="Y199" i="2" s="1"/>
  <c r="AR199" i="2" s="1"/>
  <c r="AS199" i="2" s="1"/>
  <c r="Y173" i="2" a="1"/>
  <c r="Y173" i="2" s="1"/>
  <c r="AR173" i="2" s="1"/>
  <c r="AS173" i="2" s="1"/>
  <c r="Y163" i="2" a="1"/>
  <c r="Y163" i="2" s="1"/>
  <c r="AR163" i="2" s="1"/>
  <c r="AS163" i="2" s="1"/>
  <c r="Y191" i="2" a="1"/>
  <c r="Y191" i="2" s="1"/>
  <c r="AR191" i="2" s="1"/>
  <c r="AS191" i="2" s="1"/>
  <c r="Y158" i="2" a="1"/>
  <c r="Y158" i="2" s="1"/>
  <c r="AR158" i="2" s="1"/>
  <c r="AS158" i="2" s="1"/>
  <c r="Y8" i="2" a="1"/>
  <c r="Y8" i="2" s="1"/>
  <c r="AR8" i="2" s="1"/>
  <c r="AS8" i="2" s="1"/>
  <c r="Y110" i="2" a="1"/>
  <c r="Y110" i="2" s="1"/>
  <c r="AR110" i="2" s="1"/>
  <c r="AS110" i="2" s="1"/>
  <c r="Y55" i="2" a="1"/>
  <c r="Y55" i="2" s="1"/>
  <c r="AR55" i="2" s="1"/>
  <c r="AS55" i="2" s="1"/>
  <c r="Y143" i="2" a="1"/>
  <c r="Y143" i="2" s="1"/>
  <c r="AR143" i="2" s="1"/>
  <c r="AS143" i="2" s="1"/>
  <c r="Y69" i="2" a="1"/>
  <c r="Y69" i="2" s="1"/>
  <c r="AR69" i="2" s="1"/>
  <c r="AS69" i="2" s="1"/>
  <c r="Y190" i="2" a="1"/>
  <c r="Y190" i="2" s="1"/>
  <c r="AR190" i="2" s="1"/>
  <c r="AS190" i="2" s="1"/>
  <c r="Y20" i="2" a="1"/>
  <c r="Y20" i="2" s="1"/>
  <c r="AR20" i="2" s="1"/>
  <c r="AS20" i="2" s="1"/>
  <c r="Y58" i="2" a="1"/>
  <c r="Y58" i="2" s="1"/>
  <c r="AR58" i="2" s="1"/>
  <c r="AS58" i="2" s="1"/>
  <c r="Y137" i="2" a="1"/>
  <c r="Y137" i="2" s="1"/>
  <c r="AR137" i="2" s="1"/>
  <c r="AS137" i="2" s="1"/>
  <c r="Y124" i="2" a="1"/>
  <c r="Y124" i="2" s="1"/>
  <c r="AR124" i="2" s="1"/>
  <c r="AS124" i="2" s="1"/>
  <c r="Y184" i="2" a="1"/>
  <c r="Y184" i="2" s="1"/>
  <c r="AR184" i="2" s="1"/>
  <c r="AS184" i="2" s="1"/>
  <c r="Y30" i="2" a="1"/>
  <c r="Y30" i="2" s="1"/>
  <c r="AR30" i="2" s="1"/>
  <c r="AS30" i="2" s="1"/>
  <c r="Y162" i="2" a="1"/>
  <c r="Y162" i="2" s="1"/>
  <c r="AR162" i="2" s="1"/>
  <c r="AS162" i="2" s="1"/>
  <c r="Y17" i="2" a="1"/>
  <c r="Y17" i="2" s="1"/>
  <c r="AR17" i="2" s="1"/>
  <c r="AS17" i="2" s="1"/>
  <c r="Y213" i="2" a="1"/>
  <c r="Y213" i="2" s="1"/>
  <c r="AR213" i="2" s="1"/>
  <c r="AS213" i="2" s="1"/>
  <c r="Y183" i="2" a="1"/>
  <c r="Y183" i="2" s="1"/>
  <c r="AR183" i="2" s="1"/>
  <c r="AS183" i="2" s="1"/>
  <c r="Y203" i="2" a="1"/>
  <c r="Y203" i="2" s="1"/>
  <c r="AR203" i="2" s="1"/>
  <c r="AS203" i="2" s="1"/>
  <c r="Y34" i="2" a="1"/>
  <c r="Y34" i="2" s="1"/>
  <c r="AR34" i="2" s="1"/>
  <c r="AS34" i="2" s="1"/>
  <c r="Y210" i="2" a="1"/>
  <c r="Y210" i="2" s="1"/>
  <c r="AR210" i="2" s="1"/>
  <c r="AS210" i="2" s="1"/>
  <c r="Y60" i="2" a="1"/>
  <c r="Y60" i="2" s="1"/>
  <c r="AR60" i="2" s="1"/>
  <c r="AS60" i="2" s="1"/>
  <c r="Y3" i="2" a="1"/>
  <c r="Y3" i="2" s="1"/>
  <c r="AR3" i="2" s="1"/>
  <c r="AS3" i="2" s="1"/>
  <c r="Y159" i="2" a="1"/>
  <c r="Y159" i="2" s="1"/>
  <c r="AR159" i="2" s="1"/>
  <c r="AS159" i="2" s="1"/>
  <c r="Y47" i="2" a="1"/>
  <c r="Y47" i="2" s="1"/>
  <c r="AR47" i="2" s="1"/>
  <c r="AS47" i="2" s="1"/>
  <c r="Y85" i="2" a="1"/>
  <c r="Y85" i="2" s="1"/>
  <c r="AR85" i="2" s="1"/>
  <c r="AS85" i="2" s="1"/>
  <c r="Y214" i="2" a="1"/>
  <c r="Y214" i="2" s="1"/>
  <c r="AR214" i="2" s="1"/>
  <c r="AS214" i="2" s="1"/>
  <c r="Y70" i="2" a="1"/>
  <c r="Y70" i="2" s="1"/>
  <c r="AR70" i="2" s="1"/>
  <c r="AS70" i="2" s="1"/>
  <c r="Y37" i="2" a="1"/>
  <c r="Y37" i="2" s="1"/>
  <c r="AR37" i="2" s="1"/>
  <c r="AS37" i="2" s="1"/>
  <c r="Y48" i="2" a="1"/>
  <c r="Y48" i="2" s="1"/>
  <c r="AR48" i="2" s="1"/>
  <c r="AS48" i="2" s="1"/>
  <c r="Y33" i="2" a="1"/>
  <c r="Y33" i="2" s="1"/>
  <c r="AR33" i="2" s="1"/>
  <c r="AS33" i="2" s="1"/>
  <c r="Y167" i="2" a="1"/>
  <c r="Y167" i="2" s="1"/>
  <c r="AR167" i="2" s="1"/>
  <c r="AS167" i="2" s="1"/>
  <c r="Y115" i="2" a="1"/>
  <c r="Y115" i="2" s="1"/>
  <c r="AR115" i="2" s="1"/>
  <c r="AS115" i="2" s="1"/>
  <c r="Y2" i="2" a="1"/>
  <c r="Y2" i="2" s="1"/>
  <c r="AR2" i="2" s="1"/>
  <c r="AS2" i="2" s="1"/>
  <c r="Y95" i="2" a="1"/>
  <c r="Y95" i="2" s="1"/>
  <c r="AR95" i="2" s="1"/>
  <c r="AS95" i="2" s="1"/>
  <c r="Y113" i="2" a="1"/>
  <c r="Y113" i="2" s="1"/>
  <c r="AR113" i="2" s="1"/>
  <c r="AS113" i="2" s="1"/>
  <c r="Y90" i="2" a="1"/>
  <c r="Y90" i="2" s="1"/>
  <c r="AR90" i="2" s="1"/>
  <c r="AS90" i="2" s="1"/>
  <c r="Y76" i="2" a="1"/>
  <c r="Y76" i="2" s="1"/>
  <c r="AR76" i="2" s="1"/>
  <c r="AS76" i="2" s="1"/>
  <c r="Y211" i="2" a="1"/>
  <c r="Y211" i="2" s="1"/>
  <c r="AR211" i="2" s="1"/>
  <c r="AS211" i="2" s="1"/>
  <c r="Y111" i="2" a="1"/>
  <c r="Y111" i="2" s="1"/>
  <c r="AR111" i="2" s="1"/>
  <c r="AS111" i="2" s="1"/>
  <c r="Y43" i="2" a="1"/>
  <c r="Y43" i="2" s="1"/>
  <c r="AR43" i="2" s="1"/>
  <c r="AS43" i="2" s="1"/>
  <c r="Y15" i="2" a="1"/>
  <c r="Y15" i="2" s="1"/>
  <c r="AR15" i="2" s="1"/>
  <c r="AS15" i="2" s="1"/>
  <c r="Y132" i="2" a="1"/>
  <c r="Y132" i="2" s="1"/>
  <c r="AR132" i="2" s="1"/>
  <c r="AS132" i="2" s="1"/>
  <c r="Y206" i="2" a="1"/>
  <c r="Y206" i="2" s="1"/>
  <c r="AR206" i="2" s="1"/>
  <c r="AS206" i="2" s="1"/>
  <c r="Y157" i="2" a="1"/>
  <c r="Y157" i="2" s="1"/>
  <c r="AR157" i="2" s="1"/>
  <c r="AS157" i="2" s="1"/>
  <c r="Y177" i="2" a="1"/>
  <c r="Y177" i="2" s="1"/>
  <c r="AR177" i="2" s="1"/>
  <c r="AS177" i="2" s="1"/>
  <c r="Y102" i="2" a="1"/>
  <c r="Y102" i="2" s="1"/>
  <c r="AR102" i="2" s="1"/>
  <c r="AS102" i="2" s="1"/>
  <c r="Y88" i="2" a="1"/>
  <c r="Y88" i="2" s="1"/>
  <c r="AR88" i="2" s="1"/>
  <c r="AS88" i="2" s="1"/>
  <c r="Y56" i="2" a="1"/>
  <c r="Y56" i="2" s="1"/>
  <c r="AR56" i="2" s="1"/>
  <c r="AS56" i="2" s="1"/>
  <c r="Y98" i="2" a="1"/>
  <c r="Y98" i="2" s="1"/>
  <c r="AR98" i="2" s="1"/>
  <c r="AS98" i="2" s="1"/>
  <c r="Y195" i="2" a="1"/>
  <c r="Y195" i="2" s="1"/>
  <c r="AR195" i="2" s="1"/>
  <c r="AS195" i="2" s="1"/>
  <c r="Y49" i="2" a="1"/>
  <c r="Y49" i="2" s="1"/>
  <c r="AR49" i="2" s="1"/>
  <c r="AS49" i="2" s="1"/>
  <c r="Y50" i="2" a="1"/>
  <c r="Y50" i="2" s="1"/>
  <c r="AR50" i="2" s="1"/>
  <c r="AS50" i="2" s="1"/>
  <c r="Y16" i="2" a="1"/>
  <c r="Y16" i="2" s="1"/>
  <c r="AR16" i="2" s="1"/>
  <c r="AS16" i="2" s="1"/>
  <c r="Y161" i="2" a="1"/>
  <c r="Y161" i="2" s="1"/>
  <c r="AR161" i="2" s="1"/>
  <c r="AS161" i="2" s="1"/>
  <c r="Y130" i="2" a="1"/>
  <c r="Y130" i="2" s="1"/>
  <c r="AR130" i="2" s="1"/>
  <c r="AS130" i="2" s="1"/>
  <c r="Y93" i="2" a="1"/>
  <c r="Y93" i="2" s="1"/>
  <c r="AR93" i="2" s="1"/>
  <c r="AS93" i="2" s="1"/>
  <c r="Y193" i="2" a="1"/>
  <c r="Y193" i="2" s="1"/>
  <c r="AR193" i="2" s="1"/>
  <c r="AS193" i="2" s="1"/>
  <c r="Y12" i="2" a="1"/>
  <c r="Y12" i="2" s="1"/>
  <c r="AR12" i="2" s="1"/>
  <c r="AS12" i="2" s="1"/>
  <c r="Y131" i="2" a="1"/>
  <c r="Y131" i="2" s="1"/>
  <c r="AR131" i="2" s="1"/>
  <c r="AS131" i="2" s="1"/>
  <c r="Y13" i="2" a="1"/>
  <c r="Y13" i="2" s="1"/>
  <c r="AR13" i="2" s="1"/>
  <c r="AS13" i="2" s="1"/>
  <c r="Y112" i="2" a="1"/>
  <c r="Y112" i="2" s="1"/>
  <c r="AR112" i="2" s="1"/>
  <c r="AS112" i="2" s="1"/>
  <c r="Y99" i="2" a="1"/>
  <c r="Y99" i="2" s="1"/>
  <c r="AR99" i="2" s="1"/>
  <c r="AS99" i="2" s="1"/>
  <c r="Y77" i="2" a="1"/>
  <c r="Y77" i="2" s="1"/>
  <c r="AR77" i="2" s="1"/>
  <c r="AS77" i="2" s="1"/>
  <c r="Y101" i="2" a="1"/>
  <c r="Y101" i="2" s="1"/>
  <c r="AR101" i="2" s="1"/>
  <c r="AS101" i="2" s="1"/>
  <c r="Y174" i="2" a="1"/>
  <c r="Y174" i="2" s="1"/>
  <c r="AR174" i="2" s="1"/>
  <c r="AS174" i="2" s="1"/>
  <c r="Y106" i="2" a="1"/>
  <c r="Y106" i="2" s="1"/>
  <c r="AR106" i="2" s="1"/>
  <c r="AS106" i="2" s="1"/>
  <c r="Y79" i="2" a="1"/>
  <c r="Y79" i="2" s="1"/>
  <c r="AR79" i="2" s="1"/>
  <c r="AS79" i="2" s="1"/>
  <c r="Y125" i="2" a="1"/>
  <c r="Y125" i="2" s="1"/>
  <c r="AR125" i="2" s="1"/>
  <c r="AS125" i="2" s="1"/>
  <c r="Y145" i="2" a="1"/>
  <c r="Y145" i="2" s="1"/>
  <c r="AR145" i="2" s="1"/>
  <c r="AS145" i="2" s="1"/>
  <c r="Y57" i="2" a="1"/>
  <c r="Y57" i="2" s="1"/>
  <c r="AR57" i="2" s="1"/>
  <c r="AS57" i="2" s="1"/>
  <c r="Y59" i="2" a="1"/>
  <c r="Y59" i="2" s="1"/>
  <c r="AR59" i="2" s="1"/>
  <c r="AS59" i="2" s="1"/>
  <c r="Y61" i="2" a="1"/>
  <c r="Y61" i="2" s="1"/>
  <c r="AR61" i="2" s="1"/>
  <c r="AS61" i="2" s="1"/>
  <c r="Y123" i="2" a="1"/>
  <c r="Y123" i="2" s="1"/>
  <c r="AR123" i="2" s="1"/>
  <c r="AS123" i="2" s="1"/>
  <c r="Y22" i="2" a="1"/>
  <c r="Y22" i="2" s="1"/>
  <c r="AR22" i="2" s="1"/>
  <c r="AS22" i="2" s="1"/>
  <c r="Y51" i="2" a="1"/>
  <c r="Y51" i="2" s="1"/>
  <c r="AR51" i="2" s="1"/>
  <c r="AS51" i="2" s="1"/>
  <c r="Y5" i="2" a="1"/>
  <c r="Y5" i="2" s="1"/>
  <c r="AR5" i="2" s="1"/>
  <c r="AS5" i="2" s="1"/>
  <c r="Y73" i="2" a="1"/>
  <c r="Y73" i="2" s="1"/>
  <c r="AR73" i="2" s="1"/>
  <c r="AS73" i="2" s="1"/>
  <c r="Y109" i="2" a="1"/>
  <c r="Y109" i="2" s="1"/>
  <c r="AR109" i="2" s="1"/>
  <c r="AS109" i="2" s="1"/>
  <c r="Y194" i="2" a="1"/>
  <c r="Y194" i="2" s="1"/>
  <c r="AR194" i="2" s="1"/>
  <c r="AS194" i="2" s="1"/>
  <c r="Y94" i="2" a="1"/>
  <c r="Y94" i="2" s="1"/>
  <c r="AR94" i="2" s="1"/>
  <c r="AS94" i="2" s="1"/>
  <c r="Y118" i="2" a="1"/>
  <c r="Y118" i="2" s="1"/>
  <c r="AR118" i="2" s="1"/>
  <c r="AS118" i="2" s="1"/>
  <c r="Y205" i="2" a="1"/>
  <c r="Y205" i="2" s="1"/>
  <c r="AR205" i="2" s="1"/>
  <c r="AS205" i="2" s="1"/>
  <c r="Y40" i="2" a="1"/>
  <c r="Y40" i="2" s="1"/>
  <c r="AR40" i="2" s="1"/>
  <c r="AS40" i="2" s="1"/>
  <c r="Y126" i="2" a="1"/>
  <c r="Y126" i="2" s="1"/>
  <c r="AR126" i="2" s="1"/>
  <c r="AS126" i="2" s="1"/>
  <c r="Y138" i="2" a="1"/>
  <c r="Y138" i="2" s="1"/>
  <c r="AR138" i="2" s="1"/>
  <c r="AS138" i="2" s="1"/>
  <c r="Y32" i="2" a="1"/>
  <c r="Y32" i="2" s="1"/>
  <c r="AR32" i="2" s="1"/>
  <c r="AS32" i="2" s="1"/>
  <c r="Y188" i="2" a="1"/>
  <c r="Y188" i="2" s="1"/>
  <c r="AR188" i="2" s="1"/>
  <c r="AS188" i="2" s="1"/>
  <c r="Y35" i="2" a="1"/>
  <c r="Y35" i="2" s="1"/>
  <c r="AR35" i="2" s="1"/>
  <c r="AS35" i="2" s="1"/>
  <c r="Y119" i="2" a="1"/>
  <c r="Y119" i="2" s="1"/>
  <c r="AR119" i="2" s="1"/>
  <c r="AS119" i="2" s="1"/>
  <c r="Y155" i="2" a="1"/>
  <c r="Y155" i="2" s="1"/>
  <c r="AR155" i="2" s="1"/>
  <c r="AS155" i="2" s="1"/>
  <c r="Y100" i="2" a="1"/>
  <c r="Y100" i="2" s="1"/>
  <c r="AR100" i="2" s="1"/>
  <c r="AS100" i="2" s="1"/>
  <c r="Y74" i="2" a="1"/>
  <c r="Y74" i="2" s="1"/>
  <c r="AR74" i="2" s="1"/>
  <c r="AS74" i="2" s="1"/>
  <c r="Y10" i="2" a="1"/>
  <c r="Y10" i="2" s="1"/>
  <c r="AR10" i="2" s="1"/>
  <c r="AS10" i="2" s="1"/>
  <c r="Y207" i="2" a="1"/>
  <c r="Y207" i="2" s="1"/>
  <c r="AR207" i="2" s="1"/>
  <c r="AS207" i="2" s="1"/>
  <c r="Y14" i="2" a="1"/>
  <c r="Y14" i="2" s="1"/>
  <c r="AR14" i="2" s="1"/>
  <c r="AS14" i="2" s="1"/>
  <c r="Y189" i="2" a="1"/>
  <c r="Y189" i="2" s="1"/>
  <c r="AR189" i="2" s="1"/>
  <c r="AS189" i="2" s="1"/>
  <c r="Y186" i="2" a="1"/>
  <c r="Y186" i="2" s="1"/>
  <c r="AR186" i="2" s="1"/>
  <c r="AS186" i="2" s="1"/>
  <c r="Y31" i="2" a="1"/>
  <c r="Y31" i="2" s="1"/>
  <c r="AR31" i="2" s="1"/>
  <c r="AS31" i="2" s="1"/>
  <c r="Y129" i="2" a="1"/>
  <c r="Y129" i="2" s="1"/>
  <c r="AR129" i="2" s="1"/>
  <c r="AS129" i="2" s="1"/>
  <c r="Y29" i="2" a="1"/>
  <c r="Y29" i="2" s="1"/>
  <c r="AR29" i="2" s="1"/>
  <c r="AS29" i="2" s="1"/>
  <c r="Y91" i="2" a="1"/>
  <c r="Y91" i="2" s="1"/>
  <c r="AR91" i="2" s="1"/>
  <c r="AS91" i="2" s="1"/>
  <c r="Y83" i="2" a="1"/>
  <c r="Y83" i="2" s="1"/>
  <c r="AR83" i="2" s="1"/>
  <c r="AS83" i="2" s="1"/>
  <c r="Y54" i="2" a="1"/>
  <c r="Y54" i="2" s="1"/>
  <c r="AR54" i="2" s="1"/>
  <c r="AS54" i="2" s="1"/>
  <c r="Y141" i="2" a="1"/>
  <c r="Y141" i="2" s="1"/>
  <c r="AR141" i="2" s="1"/>
  <c r="AS141" i="2" s="1"/>
  <c r="Y169" i="2" a="1"/>
  <c r="Y169" i="2" s="1"/>
  <c r="AR169" i="2" s="1"/>
  <c r="AS169" i="2" s="1"/>
  <c r="Y86" i="2" a="1"/>
  <c r="Y86" i="2" s="1"/>
  <c r="AR86" i="2" s="1"/>
  <c r="AS86" i="2" s="1"/>
  <c r="Y96" i="2" a="1"/>
  <c r="Y96" i="2" s="1"/>
  <c r="AR96" i="2" s="1"/>
  <c r="AS96" i="2" s="1"/>
  <c r="Y67" i="2" a="1"/>
  <c r="Y67" i="2" s="1"/>
  <c r="AR67" i="2" s="1"/>
  <c r="AS67" i="2" s="1"/>
  <c r="Y202" i="2" a="1"/>
  <c r="Y202" i="2" s="1"/>
  <c r="AR202" i="2" s="1"/>
  <c r="AS202" i="2" s="1"/>
  <c r="Y44" i="2" a="1"/>
  <c r="Y44" i="2" s="1"/>
  <c r="AR44" i="2" s="1"/>
  <c r="AS44" i="2" s="1"/>
  <c r="Y21" i="2" a="1"/>
  <c r="Y21" i="2" s="1"/>
  <c r="AR21" i="2" s="1"/>
  <c r="AS21" i="2" s="1"/>
  <c r="Y201" i="2" a="1"/>
  <c r="Y201" i="2" s="1"/>
  <c r="AR201" i="2" s="1"/>
  <c r="AS201" i="2" s="1"/>
  <c r="Y147" i="2" a="1"/>
  <c r="Y147" i="2" s="1"/>
  <c r="AR147" i="2" s="1"/>
  <c r="AS147" i="2" s="1"/>
  <c r="Y134" i="2" a="1"/>
  <c r="Y134" i="2" s="1"/>
  <c r="AR134" i="2" s="1"/>
  <c r="AS134" i="2" s="1"/>
  <c r="Y198" i="2" a="1"/>
  <c r="Y198" i="2" s="1"/>
  <c r="AR198" i="2" s="1"/>
  <c r="AS198" i="2" s="1"/>
  <c r="Y127" i="2" a="1"/>
  <c r="Y127" i="2" s="1"/>
  <c r="AR127" i="2" s="1"/>
  <c r="AS127" i="2" s="1"/>
  <c r="AJ127" i="2"/>
  <c r="AD127" i="2"/>
  <c r="AF127" i="2"/>
  <c r="AL127" i="2"/>
  <c r="AH127" i="2"/>
  <c r="AP127" i="2" s="1"/>
  <c r="AK127" i="2"/>
  <c r="AG127" i="2"/>
  <c r="AO127" i="2" s="1"/>
  <c r="H4" i="31" l="1"/>
  <c r="L4" i="31" s="1"/>
  <c r="K4" i="32"/>
  <c r="K37" i="32"/>
  <c r="P18" i="28"/>
  <c r="O37" i="32" s="1"/>
  <c r="P18" i="8"/>
  <c r="O4" i="32" s="1"/>
  <c r="L37" i="31"/>
  <c r="Q18" i="28"/>
  <c r="P37" i="32" s="1"/>
  <c r="Q18" i="8"/>
  <c r="P4" i="32" s="1"/>
  <c r="L18" i="8"/>
  <c r="P28" i="8"/>
  <c r="P19" i="8"/>
  <c r="T19" i="8" s="1"/>
  <c r="P19" i="28"/>
  <c r="Q28" i="8"/>
  <c r="Q19" i="28"/>
  <c r="Q19" i="8"/>
  <c r="U19" i="8" s="1"/>
  <c r="L19" i="28"/>
  <c r="AU223" i="2"/>
  <c r="AV223" i="2" s="1"/>
  <c r="AT223" i="2"/>
  <c r="AT218" i="2"/>
  <c r="AU218" i="2"/>
  <c r="AV218" i="2" s="1"/>
  <c r="AW218" i="2" s="1"/>
  <c r="AX218" i="2" s="1"/>
  <c r="AU236" i="2"/>
  <c r="AV236" i="2" s="1"/>
  <c r="AT236" i="2"/>
  <c r="AT228" i="2"/>
  <c r="AU228" i="2"/>
  <c r="AV228" i="2" s="1"/>
  <c r="AU227" i="2"/>
  <c r="AV227" i="2" s="1"/>
  <c r="AT227" i="2"/>
  <c r="AU237" i="2"/>
  <c r="AV237" i="2" s="1"/>
  <c r="AT237" i="2"/>
  <c r="AU231" i="2"/>
  <c r="AV231" i="2" s="1"/>
  <c r="AT231" i="2"/>
  <c r="AT220" i="2"/>
  <c r="AU220" i="2"/>
  <c r="AV220" i="2" s="1"/>
  <c r="AT216" i="2"/>
  <c r="AU216" i="2"/>
  <c r="AV216" i="2" s="1"/>
  <c r="AW216" i="2" s="1"/>
  <c r="AX216" i="2" s="1"/>
  <c r="AU219" i="2"/>
  <c r="AV219" i="2" s="1"/>
  <c r="AT219" i="2"/>
  <c r="AU232" i="2"/>
  <c r="AV232" i="2" s="1"/>
  <c r="AT232" i="2"/>
  <c r="AT217" i="2"/>
  <c r="AU217" i="2"/>
  <c r="AV217" i="2" s="1"/>
  <c r="AU229" i="2"/>
  <c r="AV229" i="2" s="1"/>
  <c r="AT229" i="2"/>
  <c r="AU222" i="2"/>
  <c r="AV222" i="2" s="1"/>
  <c r="AT222" i="2"/>
  <c r="AU221" i="2"/>
  <c r="AV221" i="2" s="1"/>
  <c r="AW221" i="2" s="1"/>
  <c r="AX221" i="2" s="1"/>
  <c r="AT221" i="2"/>
  <c r="AT235" i="2"/>
  <c r="AU235" i="2"/>
  <c r="AV235" i="2" s="1"/>
  <c r="AU225" i="2"/>
  <c r="AV225" i="2" s="1"/>
  <c r="AT225" i="2"/>
  <c r="AT239" i="2"/>
  <c r="AU239" i="2"/>
  <c r="AV239" i="2" s="1"/>
  <c r="AU226" i="2"/>
  <c r="AV226" i="2" s="1"/>
  <c r="AW226" i="2" s="1"/>
  <c r="AX226" i="2" s="1"/>
  <c r="AT226" i="2"/>
  <c r="AT238" i="2"/>
  <c r="AU238" i="2"/>
  <c r="AV238" i="2" s="1"/>
  <c r="AU215" i="2"/>
  <c r="AV215" i="2" s="1"/>
  <c r="AT215" i="2"/>
  <c r="AU224" i="2"/>
  <c r="AV224" i="2" s="1"/>
  <c r="AT224" i="2"/>
  <c r="AU234" i="2"/>
  <c r="AV234" i="2" s="1"/>
  <c r="AW234" i="2" s="1"/>
  <c r="AX234" i="2" s="1"/>
  <c r="AT234" i="2"/>
  <c r="AT198" i="2"/>
  <c r="AU198" i="2" s="1"/>
  <c r="AV198" i="2" s="1"/>
  <c r="T28" i="8"/>
  <c r="AT21" i="2"/>
  <c r="AU21" i="2" s="1"/>
  <c r="AV21" i="2" s="1"/>
  <c r="AT54" i="2"/>
  <c r="AU54" i="2" s="1"/>
  <c r="AV54" i="2" s="1"/>
  <c r="AT14" i="2"/>
  <c r="AU14" i="2" s="1"/>
  <c r="AV14" i="2" s="1"/>
  <c r="AT188" i="2"/>
  <c r="AU188" i="2"/>
  <c r="AV188" i="2" s="1"/>
  <c r="AT194" i="2"/>
  <c r="AU194" i="2" s="1"/>
  <c r="AV194" i="2" s="1"/>
  <c r="AT59" i="2"/>
  <c r="AU59" i="2" s="1"/>
  <c r="AV59" i="2" s="1"/>
  <c r="AT77" i="2"/>
  <c r="AU77" i="2" s="1"/>
  <c r="AV77" i="2" s="1"/>
  <c r="AT130" i="2"/>
  <c r="AU130" i="2" s="1"/>
  <c r="AV130" i="2" s="1"/>
  <c r="AT88" i="2"/>
  <c r="AU88" i="2" s="1"/>
  <c r="AV88" i="2" s="1"/>
  <c r="AT111" i="2"/>
  <c r="AU111" i="2" s="1"/>
  <c r="AV111" i="2" s="1"/>
  <c r="AT167" i="2"/>
  <c r="AU167" i="2" s="1"/>
  <c r="AV167" i="2" s="1"/>
  <c r="AT159" i="2"/>
  <c r="AU159" i="2" s="1"/>
  <c r="AV159" i="2" s="1"/>
  <c r="AT17" i="2"/>
  <c r="AU17" i="2" s="1"/>
  <c r="AV17" i="2" s="1"/>
  <c r="AT190" i="2"/>
  <c r="AU190" i="2" s="1"/>
  <c r="AV190" i="2" s="1"/>
  <c r="AT163" i="2"/>
  <c r="AU163" i="2" s="1"/>
  <c r="AV163" i="2" s="1"/>
  <c r="AT19" i="2"/>
  <c r="AU19" i="2" s="1"/>
  <c r="AV19" i="2" s="1"/>
  <c r="AT180" i="2"/>
  <c r="AU180" i="2" s="1"/>
  <c r="AV180" i="2" s="1"/>
  <c r="AT46" i="2"/>
  <c r="AU46" i="2" s="1"/>
  <c r="AV46" i="2" s="1"/>
  <c r="AT140" i="2"/>
  <c r="AU140" i="2" s="1"/>
  <c r="AV140" i="2" s="1"/>
  <c r="AT212" i="2"/>
  <c r="AU212" i="2" s="1"/>
  <c r="AV212" i="2" s="1"/>
  <c r="AT179" i="2"/>
  <c r="AU179" i="2" s="1"/>
  <c r="AV179" i="2" s="1"/>
  <c r="AT26" i="2"/>
  <c r="AU26" i="2" s="1"/>
  <c r="AV26" i="2" s="1"/>
  <c r="AT176" i="2"/>
  <c r="AU176" i="2" s="1"/>
  <c r="AV176" i="2" s="1"/>
  <c r="AT89" i="2"/>
  <c r="AU89" i="2" s="1"/>
  <c r="AV89" i="2" s="1"/>
  <c r="AT135" i="2"/>
  <c r="AU135" i="2" s="1"/>
  <c r="AV135" i="2" s="1"/>
  <c r="AT92" i="2"/>
  <c r="AU92" i="2" s="1"/>
  <c r="AV92" i="2" s="1"/>
  <c r="AT147" i="2"/>
  <c r="AU147" i="2" s="1"/>
  <c r="AV147" i="2" s="1"/>
  <c r="U28" i="8"/>
  <c r="AM4" i="31" s="1"/>
  <c r="AM5" i="31" s="1"/>
  <c r="AN127" i="2"/>
  <c r="AI127" i="2"/>
  <c r="AE127" i="2"/>
  <c r="AM127" i="2"/>
  <c r="AT44" i="2"/>
  <c r="AU44" i="2" s="1"/>
  <c r="AV44" i="2" s="1"/>
  <c r="AT83" i="2"/>
  <c r="AU83" i="2" s="1"/>
  <c r="AV83" i="2" s="1"/>
  <c r="AT207" i="2"/>
  <c r="AU207" i="2" s="1"/>
  <c r="AV207" i="2" s="1"/>
  <c r="AT32" i="2"/>
  <c r="AU32" i="2" s="1"/>
  <c r="AV32" i="2" s="1"/>
  <c r="AT109" i="2"/>
  <c r="AU109" i="2" s="1"/>
  <c r="AV109" i="2" s="1"/>
  <c r="AT57" i="2"/>
  <c r="AU57" i="2" s="1"/>
  <c r="AV57" i="2" s="1"/>
  <c r="AT99" i="2"/>
  <c r="AU99" i="2" s="1"/>
  <c r="AV99" i="2" s="1"/>
  <c r="AT161" i="2"/>
  <c r="AU161" i="2" s="1"/>
  <c r="AV161" i="2" s="1"/>
  <c r="AT102" i="2"/>
  <c r="AU102" i="2" s="1"/>
  <c r="AV102" i="2" s="1"/>
  <c r="AT211" i="2"/>
  <c r="AU211" i="2" s="1"/>
  <c r="AV211" i="2" s="1"/>
  <c r="AT33" i="2"/>
  <c r="AU33" i="2" s="1"/>
  <c r="AV33" i="2" s="1"/>
  <c r="AT3" i="2"/>
  <c r="AU3" i="2" s="1"/>
  <c r="AV3" i="2" s="1"/>
  <c r="AT162" i="2"/>
  <c r="AU162" i="2" s="1"/>
  <c r="AV162" i="2" s="1"/>
  <c r="AT69" i="2"/>
  <c r="AU69" i="2" s="1"/>
  <c r="AV69" i="2" s="1"/>
  <c r="AT173" i="2"/>
  <c r="AU173" i="2" s="1"/>
  <c r="AV173" i="2" s="1"/>
  <c r="AT108" i="2"/>
  <c r="AU108" i="2" s="1"/>
  <c r="AV108" i="2" s="1"/>
  <c r="AT153" i="2"/>
  <c r="AU153" i="2" s="1"/>
  <c r="AV153" i="2" s="1"/>
  <c r="AT63" i="2"/>
  <c r="AU63" i="2" s="1"/>
  <c r="AV63" i="2" s="1"/>
  <c r="AT11" i="2"/>
  <c r="AU11" i="2" s="1"/>
  <c r="AV11" i="2" s="1"/>
  <c r="AT139" i="2"/>
  <c r="AU139" i="2" s="1"/>
  <c r="AV139" i="2" s="1"/>
  <c r="AT165" i="2"/>
  <c r="AU165" i="2" s="1"/>
  <c r="AV165" i="2" s="1"/>
  <c r="AT197" i="2"/>
  <c r="AU197" i="2" s="1"/>
  <c r="AV197" i="2" s="1"/>
  <c r="AT53" i="2"/>
  <c r="AU53" i="2" s="1"/>
  <c r="AV53" i="2" s="1"/>
  <c r="AT66" i="2"/>
  <c r="AU66" i="2" s="1"/>
  <c r="AV66" i="2" s="1"/>
  <c r="AT28" i="2"/>
  <c r="AU28" i="2" s="1"/>
  <c r="AV28" i="2" s="1"/>
  <c r="AT164" i="2"/>
  <c r="AU164" i="2" s="1"/>
  <c r="AV164" i="2" s="1"/>
  <c r="AT169" i="2"/>
  <c r="AU169" i="2" s="1"/>
  <c r="AV169" i="2" s="1"/>
  <c r="AT202" i="2"/>
  <c r="AU202" i="2" s="1"/>
  <c r="AV202" i="2" s="1"/>
  <c r="AT91" i="2"/>
  <c r="AU91" i="2" s="1"/>
  <c r="AV91" i="2" s="1"/>
  <c r="AT10" i="2"/>
  <c r="AU10" i="2" s="1"/>
  <c r="AV10" i="2" s="1"/>
  <c r="AT138" i="2"/>
  <c r="AU138" i="2" s="1"/>
  <c r="AV138" i="2" s="1"/>
  <c r="AT73" i="2"/>
  <c r="AU73" i="2" s="1"/>
  <c r="AV73" i="2" s="1"/>
  <c r="AT145" i="2"/>
  <c r="AU145" i="2" s="1"/>
  <c r="AV145" i="2" s="1"/>
  <c r="AT112" i="2"/>
  <c r="AU112" i="2" s="1"/>
  <c r="AV112" i="2" s="1"/>
  <c r="AT16" i="2"/>
  <c r="AU16" i="2" s="1"/>
  <c r="AV16" i="2" s="1"/>
  <c r="AT177" i="2"/>
  <c r="AU177" i="2" s="1"/>
  <c r="AV177" i="2" s="1"/>
  <c r="AT76" i="2"/>
  <c r="AU76" i="2" s="1"/>
  <c r="AV76" i="2" s="1"/>
  <c r="AT48" i="2"/>
  <c r="AU48" i="2" s="1"/>
  <c r="AV48" i="2" s="1"/>
  <c r="AT60" i="2"/>
  <c r="AU60" i="2" s="1"/>
  <c r="AV60" i="2" s="1"/>
  <c r="AT30" i="2"/>
  <c r="AU30" i="2" s="1"/>
  <c r="AV30" i="2" s="1"/>
  <c r="AT143" i="2"/>
  <c r="AU143" i="2" s="1"/>
  <c r="AV143" i="2" s="1"/>
  <c r="AT199" i="2"/>
  <c r="AU199" i="2" s="1"/>
  <c r="AV199" i="2" s="1"/>
  <c r="AT71" i="2"/>
  <c r="AU71" i="2" s="1"/>
  <c r="AV71" i="2" s="1"/>
  <c r="AT7" i="2"/>
  <c r="AU7" i="2" s="1"/>
  <c r="AV7" i="2" s="1"/>
  <c r="AT181" i="2"/>
  <c r="AU181" i="2" s="1"/>
  <c r="AV181" i="2" s="1"/>
  <c r="AT121" i="2"/>
  <c r="AU121" i="2" s="1"/>
  <c r="AV121" i="2" s="1"/>
  <c r="AT156" i="2"/>
  <c r="AU156" i="2" s="1"/>
  <c r="AV156" i="2" s="1"/>
  <c r="AT25" i="2"/>
  <c r="AU25" i="2" s="1"/>
  <c r="AV25" i="2" s="1"/>
  <c r="AT6" i="2"/>
  <c r="AU6" i="2" s="1"/>
  <c r="AV6" i="2" s="1"/>
  <c r="AT166" i="2"/>
  <c r="AU166" i="2" s="1"/>
  <c r="AV166" i="2" s="1"/>
  <c r="AT149" i="2"/>
  <c r="AU149" i="2" s="1"/>
  <c r="AV149" i="2" s="1"/>
  <c r="AT128" i="2"/>
  <c r="AU128" i="2" s="1"/>
  <c r="AV128" i="2" s="1"/>
  <c r="AT151" i="2"/>
  <c r="AU151" i="2" s="1"/>
  <c r="AV151" i="2" s="1"/>
  <c r="AT29" i="2"/>
  <c r="AU29" i="2" s="1"/>
  <c r="AV29" i="2" s="1"/>
  <c r="AT74" i="2"/>
  <c r="AU74" i="2" s="1"/>
  <c r="AV74" i="2" s="1"/>
  <c r="AT126" i="2"/>
  <c r="AU126" i="2" s="1"/>
  <c r="AV126" i="2" s="1"/>
  <c r="AT5" i="2"/>
  <c r="AU5" i="2" s="1"/>
  <c r="AV5" i="2" s="1"/>
  <c r="AT125" i="2"/>
  <c r="AU125" i="2" s="1"/>
  <c r="AV125" i="2" s="1"/>
  <c r="AT13" i="2"/>
  <c r="AU13" i="2" s="1"/>
  <c r="AV13" i="2" s="1"/>
  <c r="AT50" i="2"/>
  <c r="AU50" i="2" s="1"/>
  <c r="AV50" i="2" s="1"/>
  <c r="AT157" i="2"/>
  <c r="AU157" i="2" s="1"/>
  <c r="AV157" i="2" s="1"/>
  <c r="AT90" i="2"/>
  <c r="AU90" i="2" s="1"/>
  <c r="AV90" i="2" s="1"/>
  <c r="AT37" i="2"/>
  <c r="AU37" i="2" s="1"/>
  <c r="AV37" i="2" s="1"/>
  <c r="AT210" i="2"/>
  <c r="AU210" i="2" s="1"/>
  <c r="AV210" i="2" s="1"/>
  <c r="AT184" i="2"/>
  <c r="AU184" i="2" s="1"/>
  <c r="AV184" i="2" s="1"/>
  <c r="AT55" i="2"/>
  <c r="AU55" i="2" s="1"/>
  <c r="AV55" i="2" s="1"/>
  <c r="AT39" i="2"/>
  <c r="AU39" i="2" s="1"/>
  <c r="AV39" i="2" s="1"/>
  <c r="AT38" i="2"/>
  <c r="AU38" i="2" s="1"/>
  <c r="AV38" i="2" s="1"/>
  <c r="AT103" i="2"/>
  <c r="AU103" i="2" s="1"/>
  <c r="AV103" i="2" s="1"/>
  <c r="AT41" i="2"/>
  <c r="AU41" i="2" s="1"/>
  <c r="AV41" i="2" s="1"/>
  <c r="AT196" i="2"/>
  <c r="AU196" i="2"/>
  <c r="AV196" i="2" s="1"/>
  <c r="AT133" i="2"/>
  <c r="AU133" i="2" s="1"/>
  <c r="AV133" i="2" s="1"/>
  <c r="AT45" i="2"/>
  <c r="AU45" i="2" s="1"/>
  <c r="AV45" i="2" s="1"/>
  <c r="AT172" i="2"/>
  <c r="AU172" i="2" s="1"/>
  <c r="AV172" i="2" s="1"/>
  <c r="AT182" i="2"/>
  <c r="AU182" i="2" s="1"/>
  <c r="AV182" i="2" s="1"/>
  <c r="AT68" i="2"/>
  <c r="AU68" i="2" s="1"/>
  <c r="AV68" i="2" s="1"/>
  <c r="AT185" i="2"/>
  <c r="AU185" i="2" s="1"/>
  <c r="AV185" i="2" s="1"/>
  <c r="AT114" i="2"/>
  <c r="AU114" i="2" s="1"/>
  <c r="AV114" i="2" s="1"/>
  <c r="AT96" i="2"/>
  <c r="AU96" i="2" s="1"/>
  <c r="AV96" i="2" s="1"/>
  <c r="AT129" i="2"/>
  <c r="AU129" i="2" s="1"/>
  <c r="AV129" i="2" s="1"/>
  <c r="AT100" i="2"/>
  <c r="AU100" i="2" s="1"/>
  <c r="AV100" i="2" s="1"/>
  <c r="AT40" i="2"/>
  <c r="AU40" i="2" s="1"/>
  <c r="AV40" i="2" s="1"/>
  <c r="AT51" i="2"/>
  <c r="AU51" i="2" s="1"/>
  <c r="AV51" i="2" s="1"/>
  <c r="AT79" i="2"/>
  <c r="AU79" i="2" s="1"/>
  <c r="AV79" i="2" s="1"/>
  <c r="AT131" i="2"/>
  <c r="AU131" i="2" s="1"/>
  <c r="AV131" i="2" s="1"/>
  <c r="AT49" i="2"/>
  <c r="AU49" i="2" s="1"/>
  <c r="AV49" i="2" s="1"/>
  <c r="AT206" i="2"/>
  <c r="AU206" i="2" s="1"/>
  <c r="AV206" i="2" s="1"/>
  <c r="AT113" i="2"/>
  <c r="AU113" i="2" s="1"/>
  <c r="AV113" i="2" s="1"/>
  <c r="AT70" i="2"/>
  <c r="AU70" i="2" s="1"/>
  <c r="AV70" i="2" s="1"/>
  <c r="AT34" i="2"/>
  <c r="AU34" i="2" s="1"/>
  <c r="AV34" i="2" s="1"/>
  <c r="AT124" i="2"/>
  <c r="AU124" i="2" s="1"/>
  <c r="AV124" i="2" s="1"/>
  <c r="AT110" i="2"/>
  <c r="AU110" i="2" s="1"/>
  <c r="AV110" i="2" s="1"/>
  <c r="AT72" i="2"/>
  <c r="AU72" i="2" s="1"/>
  <c r="AV72" i="2" s="1"/>
  <c r="AT62" i="2"/>
  <c r="AU62" i="2" s="1"/>
  <c r="AV62" i="2" s="1"/>
  <c r="AT146" i="2"/>
  <c r="AU146" i="2" s="1"/>
  <c r="AV146" i="2" s="1"/>
  <c r="AT148" i="2"/>
  <c r="AU148" i="2"/>
  <c r="AV148" i="2" s="1"/>
  <c r="AT171" i="2"/>
  <c r="AU171" i="2" s="1"/>
  <c r="AV171" i="2" s="1"/>
  <c r="AT178" i="2"/>
  <c r="AU178" i="2"/>
  <c r="AV178" i="2" s="1"/>
  <c r="AT175" i="2"/>
  <c r="AU175" i="2" s="1"/>
  <c r="AV175" i="2" s="1"/>
  <c r="AT80" i="2"/>
  <c r="AU80" i="2" s="1"/>
  <c r="AV80" i="2" s="1"/>
  <c r="AT42" i="2"/>
  <c r="AU42" i="2" s="1"/>
  <c r="AV42" i="2" s="1"/>
  <c r="AT160" i="2"/>
  <c r="AU160" i="2" s="1"/>
  <c r="AV160" i="2" s="1"/>
  <c r="AW160" i="2" s="1"/>
  <c r="AT82" i="2"/>
  <c r="AU82" i="2" s="1"/>
  <c r="AV82" i="2" s="1"/>
  <c r="AT9" i="2"/>
  <c r="AU9" i="2" s="1"/>
  <c r="AV9" i="2" s="1"/>
  <c r="AT134" i="2"/>
  <c r="AU134" i="2" s="1"/>
  <c r="AV134" i="2" s="1"/>
  <c r="AT86" i="2"/>
  <c r="AU86" i="2" s="1"/>
  <c r="AV86" i="2" s="1"/>
  <c r="AT31" i="2"/>
  <c r="AU31" i="2" s="1"/>
  <c r="AV31" i="2" s="1"/>
  <c r="AT155" i="2"/>
  <c r="AU155" i="2" s="1"/>
  <c r="AV155" i="2" s="1"/>
  <c r="AT205" i="2"/>
  <c r="AU205" i="2" s="1"/>
  <c r="AV205" i="2" s="1"/>
  <c r="AT22" i="2"/>
  <c r="AU22" i="2" s="1"/>
  <c r="AV22" i="2" s="1"/>
  <c r="AT106" i="2"/>
  <c r="AU106" i="2" s="1"/>
  <c r="AV106" i="2" s="1"/>
  <c r="AT12" i="2"/>
  <c r="AU12" i="2" s="1"/>
  <c r="AV12" i="2" s="1"/>
  <c r="AT195" i="2"/>
  <c r="AU195" i="2" s="1"/>
  <c r="AV195" i="2" s="1"/>
  <c r="AT132" i="2"/>
  <c r="AU132" i="2"/>
  <c r="AV132" i="2" s="1"/>
  <c r="AT95" i="2"/>
  <c r="AU95" i="2" s="1"/>
  <c r="AV95" i="2" s="1"/>
  <c r="AT214" i="2"/>
  <c r="AU214" i="2"/>
  <c r="AV214" i="2" s="1"/>
  <c r="AT203" i="2"/>
  <c r="AU203" i="2" s="1"/>
  <c r="AV203" i="2" s="1"/>
  <c r="AT137" i="2"/>
  <c r="AU137" i="2" s="1"/>
  <c r="AV137" i="2" s="1"/>
  <c r="AT8" i="2"/>
  <c r="AU8" i="2" s="1"/>
  <c r="AV8" i="2" s="1"/>
  <c r="AT36" i="2"/>
  <c r="AU36" i="2" s="1"/>
  <c r="AV36" i="2" s="1"/>
  <c r="AT105" i="2"/>
  <c r="AU105" i="2" s="1"/>
  <c r="AV105" i="2" s="1"/>
  <c r="AT187" i="2"/>
  <c r="AU187" i="2" s="1"/>
  <c r="AV187" i="2" s="1"/>
  <c r="AT209" i="2"/>
  <c r="AU209" i="2"/>
  <c r="AV209" i="2" s="1"/>
  <c r="AT122" i="2"/>
  <c r="AU122" i="2" s="1"/>
  <c r="AV122" i="2" s="1"/>
  <c r="AT18" i="2"/>
  <c r="AU18" i="2" s="1"/>
  <c r="AV18" i="2" s="1"/>
  <c r="AT136" i="2"/>
  <c r="AU136" i="2" s="1"/>
  <c r="AV136" i="2" s="1"/>
  <c r="AT154" i="2"/>
  <c r="AU154" i="2"/>
  <c r="AV154" i="2" s="1"/>
  <c r="AT87" i="2"/>
  <c r="AU87" i="2" s="1"/>
  <c r="AV87" i="2" s="1"/>
  <c r="AT200" i="2"/>
  <c r="AU200" i="2" s="1"/>
  <c r="AV200" i="2" s="1"/>
  <c r="AT81" i="2"/>
  <c r="AU81" i="2" s="1"/>
  <c r="AV81" i="2" s="1"/>
  <c r="AT152" i="2"/>
  <c r="AU152" i="2" s="1"/>
  <c r="AV152" i="2" s="1"/>
  <c r="AT67" i="2"/>
  <c r="AU67" i="2" s="1"/>
  <c r="AV67" i="2" s="1"/>
  <c r="AT186" i="2"/>
  <c r="AU186" i="2" s="1"/>
  <c r="AV186" i="2" s="1"/>
  <c r="AT119" i="2"/>
  <c r="AU119" i="2" s="1"/>
  <c r="AV119" i="2" s="1"/>
  <c r="AT118" i="2"/>
  <c r="AU118" i="2" s="1"/>
  <c r="AV118" i="2" s="1"/>
  <c r="AT123" i="2"/>
  <c r="AU123" i="2" s="1"/>
  <c r="AV123" i="2" s="1"/>
  <c r="AT174" i="2"/>
  <c r="AU174" i="2" s="1"/>
  <c r="AV174" i="2" s="1"/>
  <c r="AT193" i="2"/>
  <c r="AU193" i="2" s="1"/>
  <c r="AV193" i="2" s="1"/>
  <c r="AT98" i="2"/>
  <c r="AU98" i="2" s="1"/>
  <c r="AV98" i="2" s="1"/>
  <c r="AT15" i="2"/>
  <c r="AU15" i="2" s="1"/>
  <c r="AV15" i="2" s="1"/>
  <c r="AT2" i="2"/>
  <c r="AU2" i="2" s="1"/>
  <c r="AV2" i="2" s="1"/>
  <c r="AT85" i="2"/>
  <c r="AU85" i="2" s="1"/>
  <c r="AV85" i="2" s="1"/>
  <c r="AT183" i="2"/>
  <c r="AU183" i="2"/>
  <c r="AV183" i="2" s="1"/>
  <c r="AT58" i="2"/>
  <c r="AU58" i="2" s="1"/>
  <c r="AV58" i="2" s="1"/>
  <c r="AT158" i="2"/>
  <c r="AU158" i="2" s="1"/>
  <c r="AV158" i="2" s="1"/>
  <c r="AT170" i="2"/>
  <c r="AU170" i="2" s="1"/>
  <c r="AV170" i="2" s="1"/>
  <c r="AT52" i="2"/>
  <c r="AU52" i="2" s="1"/>
  <c r="AV52" i="2" s="1"/>
  <c r="AT117" i="2"/>
  <c r="AU117" i="2" s="1"/>
  <c r="AV117" i="2" s="1"/>
  <c r="AT104" i="2"/>
  <c r="AU104" i="2" s="1"/>
  <c r="AV104" i="2" s="1"/>
  <c r="AT142" i="2"/>
  <c r="AU142" i="2" s="1"/>
  <c r="AV142" i="2" s="1"/>
  <c r="AT192" i="2"/>
  <c r="AU192" i="2" s="1"/>
  <c r="AV192" i="2" s="1"/>
  <c r="AT78" i="2"/>
  <c r="AU78" i="2" s="1"/>
  <c r="AV78" i="2" s="1"/>
  <c r="AT75" i="2"/>
  <c r="AU75" i="2" s="1"/>
  <c r="AV75" i="2" s="1"/>
  <c r="AT168" i="2"/>
  <c r="AU168" i="2" s="1"/>
  <c r="AV168" i="2" s="1"/>
  <c r="AT208" i="2"/>
  <c r="AU208" i="2" s="1"/>
  <c r="AV208" i="2" s="1"/>
  <c r="AT144" i="2"/>
  <c r="AU144" i="2" s="1"/>
  <c r="AV144" i="2" s="1"/>
  <c r="AT150" i="2"/>
  <c r="AU150" i="2" s="1"/>
  <c r="AV150" i="2" s="1"/>
  <c r="AT127" i="2"/>
  <c r="AU127" i="2" s="1"/>
  <c r="AV127" i="2" s="1"/>
  <c r="AT201" i="2"/>
  <c r="AU201" i="2" s="1"/>
  <c r="AV201" i="2" s="1"/>
  <c r="AT141" i="2"/>
  <c r="AU141" i="2" s="1"/>
  <c r="AV141" i="2" s="1"/>
  <c r="AT189" i="2"/>
  <c r="AU189" i="2" s="1"/>
  <c r="AV189" i="2" s="1"/>
  <c r="AT35" i="2"/>
  <c r="AU35" i="2" s="1"/>
  <c r="AV35" i="2" s="1"/>
  <c r="AT94" i="2"/>
  <c r="AU94" i="2" s="1"/>
  <c r="AV94" i="2" s="1"/>
  <c r="AT61" i="2"/>
  <c r="AU61" i="2" s="1"/>
  <c r="AV61" i="2" s="1"/>
  <c r="AT101" i="2"/>
  <c r="AU101" i="2" s="1"/>
  <c r="AV101" i="2" s="1"/>
  <c r="AT93" i="2"/>
  <c r="AU93" i="2" s="1"/>
  <c r="AV93" i="2" s="1"/>
  <c r="AT56" i="2"/>
  <c r="AU56" i="2" s="1"/>
  <c r="AV56" i="2" s="1"/>
  <c r="AT43" i="2"/>
  <c r="AU43" i="2" s="1"/>
  <c r="AV43" i="2" s="1"/>
  <c r="AT115" i="2"/>
  <c r="AU115" i="2" s="1"/>
  <c r="AV115" i="2" s="1"/>
  <c r="AT47" i="2"/>
  <c r="AU47" i="2" s="1"/>
  <c r="AV47" i="2" s="1"/>
  <c r="AT213" i="2"/>
  <c r="AU213" i="2" s="1"/>
  <c r="AV213" i="2" s="1"/>
  <c r="AT20" i="2"/>
  <c r="AU20" i="2" s="1"/>
  <c r="AV20" i="2" s="1"/>
  <c r="AT191" i="2"/>
  <c r="AU191" i="2" s="1"/>
  <c r="AV191" i="2" s="1"/>
  <c r="AT107" i="2"/>
  <c r="AU107" i="2" s="1"/>
  <c r="AV107" i="2" s="1"/>
  <c r="AT120" i="2"/>
  <c r="AU120" i="2" s="1"/>
  <c r="AV120" i="2" s="1"/>
  <c r="AT24" i="2"/>
  <c r="AU24" i="2" s="1"/>
  <c r="AV24" i="2" s="1"/>
  <c r="AT64" i="2"/>
  <c r="AU64" i="2" s="1"/>
  <c r="AV64" i="2" s="1"/>
  <c r="AT65" i="2"/>
  <c r="AU65" i="2" s="1"/>
  <c r="AV65" i="2" s="1"/>
  <c r="AT4" i="2"/>
  <c r="AU4" i="2" s="1"/>
  <c r="AV4" i="2" s="1"/>
  <c r="AT204" i="2"/>
  <c r="AU204" i="2" s="1"/>
  <c r="AV204" i="2" s="1"/>
  <c r="AT116" i="2"/>
  <c r="AU116" i="2" s="1"/>
  <c r="AV116" i="2" s="1"/>
  <c r="AT23" i="2"/>
  <c r="AU23" i="2" s="1"/>
  <c r="AV23" i="2" s="1"/>
  <c r="AT84" i="2"/>
  <c r="AU84" i="2" s="1"/>
  <c r="AV84" i="2" s="1"/>
  <c r="AT97" i="2"/>
  <c r="AU97" i="2" s="1"/>
  <c r="AV97" i="2" s="1"/>
  <c r="AT27" i="2"/>
  <c r="AU27" i="2" s="1"/>
  <c r="AV27" i="2" s="1"/>
  <c r="F78" i="35" l="1"/>
  <c r="O78" i="35" s="1"/>
  <c r="F40" i="35"/>
  <c r="O40" i="35" s="1"/>
  <c r="AC40" i="35" s="1"/>
  <c r="AC68" i="35" s="1"/>
  <c r="O18" i="28"/>
  <c r="N37" i="32" s="1"/>
  <c r="P37" i="31" s="1"/>
  <c r="O18" i="8"/>
  <c r="N4" i="32" s="1"/>
  <c r="T18" i="8"/>
  <c r="S4" i="32" s="1"/>
  <c r="Q4" i="31"/>
  <c r="T18" i="28"/>
  <c r="S37" i="32" s="1"/>
  <c r="Q37" i="31"/>
  <c r="N18" i="8"/>
  <c r="N18" i="28"/>
  <c r="U18" i="8"/>
  <c r="T4" i="32" s="1"/>
  <c r="R4" i="31"/>
  <c r="U18" i="28"/>
  <c r="T37" i="32" s="1"/>
  <c r="R37" i="31"/>
  <c r="D30" i="13"/>
  <c r="K30" i="13" s="1"/>
  <c r="D41" i="13"/>
  <c r="AW122" i="2"/>
  <c r="AX122" i="2" s="1"/>
  <c r="AY122" i="2"/>
  <c r="AW82" i="2"/>
  <c r="AX82" i="2" s="1"/>
  <c r="AY82" i="2"/>
  <c r="AW116" i="2"/>
  <c r="AX116" i="2" s="1"/>
  <c r="AY116" i="2"/>
  <c r="AW175" i="2"/>
  <c r="AX175" i="2" s="1"/>
  <c r="AY175" i="2"/>
  <c r="U19" i="28"/>
  <c r="AW135" i="2"/>
  <c r="AX135" i="2" s="1"/>
  <c r="AY135" i="2"/>
  <c r="AW139" i="2"/>
  <c r="AX139" i="2" s="1"/>
  <c r="AY139" i="2"/>
  <c r="N28" i="8"/>
  <c r="N19" i="28"/>
  <c r="N19" i="8"/>
  <c r="T19" i="28"/>
  <c r="AW97" i="2"/>
  <c r="AX97" i="2" s="1"/>
  <c r="AY97" i="2"/>
  <c r="O19" i="28"/>
  <c r="O19" i="8"/>
  <c r="S19" i="8" s="1"/>
  <c r="AW17" i="2"/>
  <c r="AX17" i="2" s="1"/>
  <c r="AY17" i="2"/>
  <c r="AW78" i="2"/>
  <c r="AY78" i="2"/>
  <c r="AW28" i="2"/>
  <c r="AX28" i="2" s="1"/>
  <c r="AY28" i="2"/>
  <c r="AW81" i="2"/>
  <c r="AX81" i="2" s="1"/>
  <c r="AY81" i="2"/>
  <c r="AW6" i="2"/>
  <c r="AX6" i="2" s="1"/>
  <c r="AY6" i="2"/>
  <c r="AX78" i="2"/>
  <c r="AX160" i="2"/>
  <c r="X23" i="28"/>
  <c r="AW238" i="2"/>
  <c r="AX238" i="2" s="1"/>
  <c r="AY238" i="2"/>
  <c r="AY235" i="2"/>
  <c r="AW235" i="2"/>
  <c r="AX235" i="2" s="1"/>
  <c r="AW217" i="2"/>
  <c r="AX217" i="2" s="1"/>
  <c r="AY217" i="2"/>
  <c r="AW220" i="2"/>
  <c r="AX220" i="2" s="1"/>
  <c r="AY220" i="2"/>
  <c r="AW228" i="2"/>
  <c r="AX228" i="2" s="1"/>
  <c r="AY228" i="2"/>
  <c r="AW9" i="2"/>
  <c r="AY9" i="2"/>
  <c r="AW41" i="2"/>
  <c r="AY41" i="2"/>
  <c r="AW212" i="2"/>
  <c r="AX212" i="2" s="1"/>
  <c r="AY212" i="2"/>
  <c r="AW68" i="2"/>
  <c r="AX68" i="2" s="1"/>
  <c r="AY68" i="2"/>
  <c r="AW147" i="2"/>
  <c r="AY147" i="2"/>
  <c r="AW232" i="2"/>
  <c r="AX232" i="2" s="1"/>
  <c r="AY232" i="2"/>
  <c r="AY231" i="2"/>
  <c r="AW231" i="2"/>
  <c r="AX231" i="2" s="1"/>
  <c r="AW236" i="2"/>
  <c r="AX236" i="2" s="1"/>
  <c r="AY236" i="2"/>
  <c r="AW84" i="2"/>
  <c r="AY84" i="2"/>
  <c r="AW80" i="2"/>
  <c r="AY80" i="2"/>
  <c r="AW164" i="2"/>
  <c r="AX164" i="2" s="1"/>
  <c r="AY164" i="2"/>
  <c r="AW89" i="2"/>
  <c r="AY89" i="2"/>
  <c r="AY239" i="2"/>
  <c r="AW239" i="2"/>
  <c r="AX239" i="2" s="1"/>
  <c r="AW185" i="2"/>
  <c r="AX185" i="2" s="1"/>
  <c r="AY185" i="2"/>
  <c r="AW23" i="2"/>
  <c r="AX23" i="2" s="1"/>
  <c r="AY23" i="2"/>
  <c r="AW150" i="2"/>
  <c r="AX150" i="2" s="1"/>
  <c r="AY150" i="2"/>
  <c r="AW13" i="2"/>
  <c r="AX13" i="2" s="1"/>
  <c r="AY13" i="2"/>
  <c r="AW151" i="2"/>
  <c r="AX151" i="2" s="1"/>
  <c r="AY151" i="2"/>
  <c r="AW224" i="2"/>
  <c r="AX224" i="2" s="1"/>
  <c r="AY224" i="2"/>
  <c r="AY222" i="2"/>
  <c r="AW222" i="2"/>
  <c r="AX222" i="2" s="1"/>
  <c r="AW219" i="2"/>
  <c r="AX219" i="2" s="1"/>
  <c r="AY219" i="2"/>
  <c r="AY237" i="2"/>
  <c r="AW237" i="2"/>
  <c r="AX237" i="2" s="1"/>
  <c r="AW64" i="2"/>
  <c r="AX64" i="2" s="1"/>
  <c r="AY64" i="2"/>
  <c r="AW144" i="2"/>
  <c r="AX144" i="2" s="1"/>
  <c r="AY144" i="2"/>
  <c r="AW66" i="2"/>
  <c r="AY66" i="2"/>
  <c r="AW26" i="2"/>
  <c r="AY26" i="2"/>
  <c r="AW190" i="2"/>
  <c r="AX190" i="2" s="1"/>
  <c r="AY190" i="2"/>
  <c r="AY215" i="2"/>
  <c r="AW215" i="2"/>
  <c r="AX215" i="2" s="1"/>
  <c r="AW225" i="2"/>
  <c r="AX225" i="2" s="1"/>
  <c r="AY225" i="2"/>
  <c r="AY229" i="2"/>
  <c r="AW229" i="2"/>
  <c r="AX229" i="2" s="1"/>
  <c r="AW227" i="2"/>
  <c r="AX227" i="2" s="1"/>
  <c r="AY227" i="2"/>
  <c r="AW223" i="2"/>
  <c r="AX223" i="2" s="1"/>
  <c r="AY223" i="2"/>
  <c r="AY85" i="2"/>
  <c r="AW85" i="2"/>
  <c r="AX85" i="2" s="1"/>
  <c r="AW174" i="2"/>
  <c r="AY174" i="2"/>
  <c r="AW195" i="2"/>
  <c r="AX195" i="2" s="1"/>
  <c r="AY195" i="2"/>
  <c r="AY171" i="2"/>
  <c r="AW171" i="2"/>
  <c r="AX171" i="2" s="1"/>
  <c r="AY157" i="2"/>
  <c r="AW157" i="2"/>
  <c r="AW143" i="2"/>
  <c r="AX143" i="2" s="1"/>
  <c r="AY143" i="2"/>
  <c r="AW176" i="2"/>
  <c r="AX176" i="2" s="1"/>
  <c r="AY176" i="2"/>
  <c r="AW194" i="2"/>
  <c r="AY194" i="2"/>
  <c r="AW12" i="2"/>
  <c r="AY12" i="2"/>
  <c r="AW204" i="2"/>
  <c r="AX204" i="2" s="1"/>
  <c r="AY204" i="2"/>
  <c r="AW101" i="2"/>
  <c r="E58" i="13" s="1"/>
  <c r="AY101" i="2"/>
  <c r="AY170" i="2"/>
  <c r="AW170" i="2"/>
  <c r="AX170" i="2" s="1"/>
  <c r="AY105" i="2"/>
  <c r="AW105" i="2"/>
  <c r="AW42" i="2"/>
  <c r="AY42" i="2"/>
  <c r="AW124" i="2"/>
  <c r="AY124" i="2"/>
  <c r="AY100" i="2"/>
  <c r="AW100" i="2"/>
  <c r="AY55" i="2"/>
  <c r="AW55" i="2"/>
  <c r="AW162" i="2"/>
  <c r="AX162" i="2" s="1"/>
  <c r="AY162" i="2"/>
  <c r="AW207" i="2"/>
  <c r="AY207" i="2"/>
  <c r="AY179" i="2"/>
  <c r="AW179" i="2"/>
  <c r="AX179" i="2" s="1"/>
  <c r="AY163" i="2"/>
  <c r="AW163" i="2"/>
  <c r="AX163" i="2" s="1"/>
  <c r="AW88" i="2"/>
  <c r="AX88" i="2" s="1"/>
  <c r="AY88" i="2"/>
  <c r="AW203" i="2"/>
  <c r="AX203" i="2" s="1"/>
  <c r="AY203" i="2"/>
  <c r="AY115" i="2"/>
  <c r="AW115" i="2"/>
  <c r="AY136" i="2"/>
  <c r="AW136" i="2"/>
  <c r="AX136" i="2" s="1"/>
  <c r="AW129" i="2"/>
  <c r="AY129" i="2"/>
  <c r="AY184" i="2"/>
  <c r="AW184" i="2"/>
  <c r="AX184" i="2" s="1"/>
  <c r="AW29" i="2"/>
  <c r="AY29" i="2"/>
  <c r="AW7" i="2"/>
  <c r="AX7" i="2" s="1"/>
  <c r="AY7" i="2"/>
  <c r="AY91" i="2"/>
  <c r="AW91" i="2"/>
  <c r="AX91" i="2" s="1"/>
  <c r="AY63" i="2"/>
  <c r="AW63" i="2"/>
  <c r="AX63" i="2" s="1"/>
  <c r="X23" i="8"/>
  <c r="AX147" i="2"/>
  <c r="AW14" i="2"/>
  <c r="AY14" i="2"/>
  <c r="AY39" i="2"/>
  <c r="AW39" i="2"/>
  <c r="AY208" i="2"/>
  <c r="AW208" i="2"/>
  <c r="AX208" i="2" s="1"/>
  <c r="AW191" i="2"/>
  <c r="AX191" i="2" s="1"/>
  <c r="AY191" i="2"/>
  <c r="AW134" i="2"/>
  <c r="AX134" i="2" s="1"/>
  <c r="AY134" i="2"/>
  <c r="AW131" i="2"/>
  <c r="AX131" i="2" s="1"/>
  <c r="AY131" i="2"/>
  <c r="AW25" i="2"/>
  <c r="AX25" i="2" s="1"/>
  <c r="AY25" i="2"/>
  <c r="AW53" i="2"/>
  <c r="AX53" i="2" s="1"/>
  <c r="AY53" i="2"/>
  <c r="AW153" i="2"/>
  <c r="AX153" i="2" s="1"/>
  <c r="AY153" i="2"/>
  <c r="AY99" i="2"/>
  <c r="AW99" i="2"/>
  <c r="AY92" i="2"/>
  <c r="AW92" i="2"/>
  <c r="AY54" i="2"/>
  <c r="AW54" i="2"/>
  <c r="AW4" i="2"/>
  <c r="AX4" i="2" s="1"/>
  <c r="AY4" i="2"/>
  <c r="AW158" i="2"/>
  <c r="AX158" i="2" s="1"/>
  <c r="AY158" i="2"/>
  <c r="AW65" i="2"/>
  <c r="AX65" i="2" s="1"/>
  <c r="AY65" i="2"/>
  <c r="AW18" i="2"/>
  <c r="AX18" i="2" s="1"/>
  <c r="AY18" i="2"/>
  <c r="AY70" i="2"/>
  <c r="AW70" i="2"/>
  <c r="AY125" i="2"/>
  <c r="AW125" i="2"/>
  <c r="AX125" i="2" s="1"/>
  <c r="AW145" i="2"/>
  <c r="AX145" i="2" s="1"/>
  <c r="AY145" i="2"/>
  <c r="AY108" i="2"/>
  <c r="AW108" i="2"/>
  <c r="AX108" i="2" s="1"/>
  <c r="AW33" i="2"/>
  <c r="AY33" i="2"/>
  <c r="AW44" i="2"/>
  <c r="AX44" i="2" s="1"/>
  <c r="AY44" i="2"/>
  <c r="AW140" i="2"/>
  <c r="AX140" i="2" s="1"/>
  <c r="AY140" i="2"/>
  <c r="AW77" i="2"/>
  <c r="AX77" i="2" s="1"/>
  <c r="AY77" i="2"/>
  <c r="AW21" i="2"/>
  <c r="AY21" i="2"/>
  <c r="AY189" i="2"/>
  <c r="AW189" i="2"/>
  <c r="AX189" i="2" s="1"/>
  <c r="AY15" i="2"/>
  <c r="AW15" i="2"/>
  <c r="AW142" i="2"/>
  <c r="AY142" i="2"/>
  <c r="AW104" i="2"/>
  <c r="AX104" i="2" s="1"/>
  <c r="AY104" i="2"/>
  <c r="AY200" i="2"/>
  <c r="AW200" i="2"/>
  <c r="AX200" i="2" s="1"/>
  <c r="AY205" i="2"/>
  <c r="AW205" i="2"/>
  <c r="AX205" i="2" s="1"/>
  <c r="AY37" i="2"/>
  <c r="AW37" i="2"/>
  <c r="AX37" i="2" s="1"/>
  <c r="AW5" i="2"/>
  <c r="AY5" i="2"/>
  <c r="AW128" i="2"/>
  <c r="AX128" i="2" s="1"/>
  <c r="AY128" i="2"/>
  <c r="AW76" i="2"/>
  <c r="AY76" i="2"/>
  <c r="AY73" i="2"/>
  <c r="AW73" i="2"/>
  <c r="AY46" i="2"/>
  <c r="AW46" i="2"/>
  <c r="AX46" i="2" s="1"/>
  <c r="AW159" i="2"/>
  <c r="AX159" i="2" s="1"/>
  <c r="AY159" i="2"/>
  <c r="AY30" i="2"/>
  <c r="AW30" i="2"/>
  <c r="AX30" i="2" s="1"/>
  <c r="AY24" i="2"/>
  <c r="AW24" i="2"/>
  <c r="AX24" i="2" s="1"/>
  <c r="AW186" i="2"/>
  <c r="AX186" i="2" s="1"/>
  <c r="AY186" i="2"/>
  <c r="AW155" i="2"/>
  <c r="AX155" i="2" s="1"/>
  <c r="AY155" i="2"/>
  <c r="AY72" i="2"/>
  <c r="AW72" i="2"/>
  <c r="AX72" i="2" s="1"/>
  <c r="AY51" i="2"/>
  <c r="AW51" i="2"/>
  <c r="AW90" i="2"/>
  <c r="AY90" i="2"/>
  <c r="AY149" i="2"/>
  <c r="AW149" i="2"/>
  <c r="AX149" i="2" s="1"/>
  <c r="AW165" i="2"/>
  <c r="AX165" i="2" s="1"/>
  <c r="AY165" i="2"/>
  <c r="AY109" i="2"/>
  <c r="AW109" i="2"/>
  <c r="AX109" i="2" s="1"/>
  <c r="AY180" i="2"/>
  <c r="AW180" i="2"/>
  <c r="AX180" i="2" s="1"/>
  <c r="AW167" i="2"/>
  <c r="AY167" i="2"/>
  <c r="AW198" i="2"/>
  <c r="AY198" i="2"/>
  <c r="AW61" i="2"/>
  <c r="AX61" i="2" s="1"/>
  <c r="AY61" i="2"/>
  <c r="AW67" i="2"/>
  <c r="AY67" i="2"/>
  <c r="AW110" i="2"/>
  <c r="AY110" i="2"/>
  <c r="AW126" i="2"/>
  <c r="AY126" i="2"/>
  <c r="AW102" i="2"/>
  <c r="AX102" i="2" s="1"/>
  <c r="AY102" i="2"/>
  <c r="AW111" i="2"/>
  <c r="AX111" i="2" s="1"/>
  <c r="AY111" i="2"/>
  <c r="AW161" i="2"/>
  <c r="AD24" i="28" s="1"/>
  <c r="AY161" i="2"/>
  <c r="AY56" i="2"/>
  <c r="AW56" i="2"/>
  <c r="AX56" i="2" s="1"/>
  <c r="AY52" i="2"/>
  <c r="AW52" i="2"/>
  <c r="AX52" i="2" s="1"/>
  <c r="AY118" i="2"/>
  <c r="AW118" i="2"/>
  <c r="AX118" i="2" s="1"/>
  <c r="AW95" i="2"/>
  <c r="AX95" i="2" s="1"/>
  <c r="AY95" i="2"/>
  <c r="AY206" i="2"/>
  <c r="AW206" i="2"/>
  <c r="AX206" i="2" s="1"/>
  <c r="AY196" i="2"/>
  <c r="AW196" i="2"/>
  <c r="AX196" i="2" s="1"/>
  <c r="AY60" i="2"/>
  <c r="AW60" i="2"/>
  <c r="AX60" i="2" s="1"/>
  <c r="AY138" i="2"/>
  <c r="AW138" i="2"/>
  <c r="AW93" i="2"/>
  <c r="AY93" i="2"/>
  <c r="AY168" i="2"/>
  <c r="AW168" i="2"/>
  <c r="AX168" i="2" s="1"/>
  <c r="AY119" i="2"/>
  <c r="AW119" i="2"/>
  <c r="AY132" i="2"/>
  <c r="AW132" i="2"/>
  <c r="AX132" i="2" s="1"/>
  <c r="AY86" i="2"/>
  <c r="AW86" i="2"/>
  <c r="AY178" i="2"/>
  <c r="W26" i="28" s="1"/>
  <c r="X26" i="28" s="1"/>
  <c r="AW178" i="2"/>
  <c r="AX178" i="2" s="1"/>
  <c r="AW49" i="2"/>
  <c r="AX49" i="2" s="1"/>
  <c r="AY49" i="2"/>
  <c r="AW172" i="2"/>
  <c r="AX172" i="2" s="1"/>
  <c r="AY172" i="2"/>
  <c r="AW199" i="2"/>
  <c r="AX199" i="2" s="1"/>
  <c r="AY199" i="2"/>
  <c r="AY10" i="2"/>
  <c r="AW10" i="2"/>
  <c r="AW11" i="2"/>
  <c r="AY11" i="2"/>
  <c r="AY27" i="2"/>
  <c r="AW27" i="2"/>
  <c r="AW75" i="2"/>
  <c r="AX75" i="2" s="1"/>
  <c r="AY75" i="2"/>
  <c r="AW2" i="2"/>
  <c r="AY2" i="2"/>
  <c r="AW45" i="2"/>
  <c r="AX45" i="2" s="1"/>
  <c r="AY45" i="2"/>
  <c r="AY103" i="2"/>
  <c r="AW103" i="2"/>
  <c r="AX103" i="2" s="1"/>
  <c r="AW181" i="2"/>
  <c r="AX181" i="2" s="1"/>
  <c r="AY181" i="2"/>
  <c r="AW36" i="2"/>
  <c r="AX36" i="2" s="1"/>
  <c r="AY36" i="2"/>
  <c r="AY38" i="2"/>
  <c r="AW38" i="2"/>
  <c r="AX38" i="2" s="1"/>
  <c r="AW87" i="2"/>
  <c r="AY87" i="2"/>
  <c r="AY148" i="2"/>
  <c r="AW148" i="2"/>
  <c r="AX148" i="2" s="1"/>
  <c r="AY133" i="2"/>
  <c r="AW133" i="2"/>
  <c r="AX133" i="2" s="1"/>
  <c r="AW50" i="2"/>
  <c r="AX50" i="2" s="1"/>
  <c r="AY50" i="2"/>
  <c r="AY177" i="2"/>
  <c r="W25" i="28" s="1"/>
  <c r="X25" i="28" s="1"/>
  <c r="AW177" i="2"/>
  <c r="AY3" i="2"/>
  <c r="AW3" i="2"/>
  <c r="AW213" i="2"/>
  <c r="AY213" i="2"/>
  <c r="AW201" i="2"/>
  <c r="AY201" i="2"/>
  <c r="AY183" i="2"/>
  <c r="AW183" i="2"/>
  <c r="AY152" i="2"/>
  <c r="AW152" i="2"/>
  <c r="AX152" i="2" s="1"/>
  <c r="AW8" i="2"/>
  <c r="AD4" i="28" s="1"/>
  <c r="AY8" i="2"/>
  <c r="AW31" i="2"/>
  <c r="AY31" i="2"/>
  <c r="AW146" i="2"/>
  <c r="AX146" i="2" s="1"/>
  <c r="AY146" i="2"/>
  <c r="AY182" i="2"/>
  <c r="AW182" i="2"/>
  <c r="AX182" i="2" s="1"/>
  <c r="AW74" i="2"/>
  <c r="AY74" i="2"/>
  <c r="AW20" i="2"/>
  <c r="AX20" i="2" s="1"/>
  <c r="AY20" i="2"/>
  <c r="AW58" i="2"/>
  <c r="AX58" i="2" s="1"/>
  <c r="AY58" i="2"/>
  <c r="AY79" i="2"/>
  <c r="AW79" i="2"/>
  <c r="AX79" i="2" s="1"/>
  <c r="AY43" i="2"/>
  <c r="AW43" i="2"/>
  <c r="AX43" i="2" s="1"/>
  <c r="AW117" i="2"/>
  <c r="AX117" i="2" s="1"/>
  <c r="AY117" i="2"/>
  <c r="AW113" i="2"/>
  <c r="AX113" i="2" s="1"/>
  <c r="AY113" i="2"/>
  <c r="AY141" i="2"/>
  <c r="AW141" i="2"/>
  <c r="AW123" i="2"/>
  <c r="AX123" i="2" s="1"/>
  <c r="AY123" i="2"/>
  <c r="AW214" i="2"/>
  <c r="AX214" i="2" s="1"/>
  <c r="AY214" i="2"/>
  <c r="AX80" i="2"/>
  <c r="AW210" i="2"/>
  <c r="AX210" i="2" s="1"/>
  <c r="AY210" i="2"/>
  <c r="AW202" i="2"/>
  <c r="AY202" i="2"/>
  <c r="AY59" i="2"/>
  <c r="AW59" i="2"/>
  <c r="AY32" i="2"/>
  <c r="AW32" i="2"/>
  <c r="AW120" i="2"/>
  <c r="AY120" i="2"/>
  <c r="AY94" i="2"/>
  <c r="AW94" i="2"/>
  <c r="AX94" i="2" s="1"/>
  <c r="AW192" i="2"/>
  <c r="AX192" i="2" s="1"/>
  <c r="AY192" i="2"/>
  <c r="AY98" i="2"/>
  <c r="AW98" i="2"/>
  <c r="AX98" i="2" s="1"/>
  <c r="AY154" i="2"/>
  <c r="AW154" i="2"/>
  <c r="AY209" i="2"/>
  <c r="AW209" i="2"/>
  <c r="AX209" i="2" s="1"/>
  <c r="AW106" i="2"/>
  <c r="AX106" i="2" s="1"/>
  <c r="AY106" i="2"/>
  <c r="AY96" i="2"/>
  <c r="AW96" i="2"/>
  <c r="AY156" i="2"/>
  <c r="AW156" i="2"/>
  <c r="AX156" i="2" s="1"/>
  <c r="AY71" i="2"/>
  <c r="AW71" i="2"/>
  <c r="AX71" i="2" s="1"/>
  <c r="AW16" i="2"/>
  <c r="AY16" i="2"/>
  <c r="I4" i="35" s="1"/>
  <c r="W4" i="35" s="1"/>
  <c r="W32" i="35" s="1"/>
  <c r="AY107" i="2"/>
  <c r="AW107" i="2"/>
  <c r="AX107" i="2" s="1"/>
  <c r="AW47" i="2"/>
  <c r="AY47" i="2"/>
  <c r="AW35" i="2"/>
  <c r="AY35" i="2"/>
  <c r="AW127" i="2"/>
  <c r="AX127" i="2" s="1"/>
  <c r="AY127" i="2"/>
  <c r="AW193" i="2"/>
  <c r="AX193" i="2" s="1"/>
  <c r="AY193" i="2"/>
  <c r="AY187" i="2"/>
  <c r="AW187" i="2"/>
  <c r="AX187" i="2" s="1"/>
  <c r="AW137" i="2"/>
  <c r="AY137" i="2"/>
  <c r="AY22" i="2"/>
  <c r="AW22" i="2"/>
  <c r="AY62" i="2"/>
  <c r="AW62" i="2"/>
  <c r="AX62" i="2" s="1"/>
  <c r="AY34" i="2"/>
  <c r="AW34" i="2"/>
  <c r="AX34" i="2" s="1"/>
  <c r="AY40" i="2"/>
  <c r="AW40" i="2"/>
  <c r="AX40" i="2" s="1"/>
  <c r="AW114" i="2"/>
  <c r="AY114" i="2"/>
  <c r="AW166" i="2"/>
  <c r="AX166" i="2" s="1"/>
  <c r="AY166" i="2"/>
  <c r="AY121" i="2"/>
  <c r="AW121" i="2"/>
  <c r="AX121" i="2" s="1"/>
  <c r="AW48" i="2"/>
  <c r="AX48" i="2" s="1"/>
  <c r="AY48" i="2"/>
  <c r="AY112" i="2"/>
  <c r="AW112" i="2"/>
  <c r="AW169" i="2"/>
  <c r="AY169" i="2"/>
  <c r="AW173" i="2"/>
  <c r="AY173" i="2"/>
  <c r="O28" i="8"/>
  <c r="AQ127" i="2"/>
  <c r="AY19" i="2"/>
  <c r="AW19" i="2"/>
  <c r="AX19" i="2" s="1"/>
  <c r="AW130" i="2"/>
  <c r="AX130" i="2" s="1"/>
  <c r="AY130" i="2"/>
  <c r="AW188" i="2"/>
  <c r="AX188" i="2" s="1"/>
  <c r="AY188" i="2"/>
  <c r="AW197" i="2"/>
  <c r="AX197" i="2" s="1"/>
  <c r="AY197" i="2"/>
  <c r="AY69" i="2"/>
  <c r="AW69" i="2"/>
  <c r="AX69" i="2" s="1"/>
  <c r="AY211" i="2"/>
  <c r="AW211" i="2"/>
  <c r="AX211" i="2" s="1"/>
  <c r="AW57" i="2"/>
  <c r="AY57" i="2"/>
  <c r="AY83" i="2"/>
  <c r="AW83" i="2"/>
  <c r="AX83" i="2" s="1"/>
  <c r="K4" i="35" l="1"/>
  <c r="Y4" i="35" s="1"/>
  <c r="Y32" i="35" s="1"/>
  <c r="H4" i="35"/>
  <c r="V4" i="35" s="1"/>
  <c r="V32" i="35" s="1"/>
  <c r="P4" i="35"/>
  <c r="AD4" i="35" s="1"/>
  <c r="AD32" i="35" s="1"/>
  <c r="F4" i="35"/>
  <c r="T4" i="35" s="1"/>
  <c r="T32" i="35" s="1"/>
  <c r="N4" i="35"/>
  <c r="AB4" i="35" s="1"/>
  <c r="AD11" i="28"/>
  <c r="AD11" i="8"/>
  <c r="V37" i="31"/>
  <c r="R18" i="28"/>
  <c r="Q37" i="32" s="1"/>
  <c r="R18" i="8"/>
  <c r="Q4" i="32" s="1"/>
  <c r="U37" i="31"/>
  <c r="D39" i="13"/>
  <c r="K39" i="13" s="1"/>
  <c r="V4" i="31"/>
  <c r="U4" i="31"/>
  <c r="AX110" i="2"/>
  <c r="AD17" i="28"/>
  <c r="AD17" i="8"/>
  <c r="S18" i="8"/>
  <c r="R4" i="32" s="1"/>
  <c r="P4" i="31"/>
  <c r="S18" i="28"/>
  <c r="R37" i="32" s="1"/>
  <c r="AX22" i="2"/>
  <c r="E52" i="13"/>
  <c r="AX114" i="2"/>
  <c r="B60" i="13"/>
  <c r="AX29" i="2"/>
  <c r="D52" i="13"/>
  <c r="AX42" i="2"/>
  <c r="D58" i="13"/>
  <c r="C58" i="13"/>
  <c r="W33" i="28"/>
  <c r="X33" i="28" s="1"/>
  <c r="AX90" i="2"/>
  <c r="AD13" i="28"/>
  <c r="AX154" i="2"/>
  <c r="AD22" i="28"/>
  <c r="AD22" i="8"/>
  <c r="W25" i="8"/>
  <c r="AD32" i="28"/>
  <c r="AD32" i="8"/>
  <c r="AX100" i="2"/>
  <c r="AD14" i="28"/>
  <c r="S19" i="28"/>
  <c r="AD19" i="28"/>
  <c r="AD20" i="28"/>
  <c r="R28" i="8"/>
  <c r="R19" i="8"/>
  <c r="V19" i="8" s="1"/>
  <c r="R19" i="28"/>
  <c r="AX31" i="2"/>
  <c r="AD6" i="28"/>
  <c r="AX41" i="2"/>
  <c r="AD7" i="28"/>
  <c r="W27" i="28"/>
  <c r="X27" i="28" s="1"/>
  <c r="AD5" i="28"/>
  <c r="W26" i="8"/>
  <c r="AX84" i="2"/>
  <c r="AD12" i="28"/>
  <c r="AD12" i="8"/>
  <c r="AX51" i="2"/>
  <c r="AD8" i="28"/>
  <c r="W22" i="28"/>
  <c r="X22" i="28" s="1"/>
  <c r="D61" i="13"/>
  <c r="AX8" i="2"/>
  <c r="C60" i="13"/>
  <c r="AX39" i="2"/>
  <c r="C55" i="13"/>
  <c r="W32" i="28"/>
  <c r="X32" i="28" s="1"/>
  <c r="W21" i="28"/>
  <c r="X21" i="28" s="1"/>
  <c r="W28" i="28"/>
  <c r="X28" i="28" s="1"/>
  <c r="D50" i="13"/>
  <c r="W9" i="28"/>
  <c r="X9" i="28" s="1"/>
  <c r="AX76" i="2"/>
  <c r="C53" i="13"/>
  <c r="W5" i="28"/>
  <c r="X5" i="28" s="1"/>
  <c r="W13" i="28"/>
  <c r="X13" i="28" s="1"/>
  <c r="AX27" i="2"/>
  <c r="F57" i="13"/>
  <c r="W31" i="28"/>
  <c r="X31" i="28" s="1"/>
  <c r="W8" i="28"/>
  <c r="X8" i="28" s="1"/>
  <c r="W7" i="28"/>
  <c r="X7" i="28" s="1"/>
  <c r="AX26" i="2"/>
  <c r="E53" i="13"/>
  <c r="W29" i="28"/>
  <c r="X29" i="28" s="1"/>
  <c r="AX32" i="2"/>
  <c r="E60" i="13"/>
  <c r="W17" i="28"/>
  <c r="X17" i="28" s="1"/>
  <c r="W12" i="28"/>
  <c r="X12" i="28" s="1"/>
  <c r="AX35" i="2"/>
  <c r="E50" i="13"/>
  <c r="W15" i="8"/>
  <c r="X15" i="8" s="1"/>
  <c r="W15" i="28"/>
  <c r="X15" i="28" s="1"/>
  <c r="AX70" i="2"/>
  <c r="C51" i="13"/>
  <c r="K51" i="13" s="1"/>
  <c r="C61" i="13"/>
  <c r="W20" i="28"/>
  <c r="X20" i="28" s="1"/>
  <c r="AX55" i="2"/>
  <c r="H61" i="13"/>
  <c r="H55" i="13"/>
  <c r="AX105" i="2"/>
  <c r="AX5" i="2"/>
  <c r="C57" i="13"/>
  <c r="AX21" i="2"/>
  <c r="D60" i="13"/>
  <c r="W10" i="28"/>
  <c r="X10" i="28" s="1"/>
  <c r="W16" i="28"/>
  <c r="X16" i="28" s="1"/>
  <c r="AX12" i="2"/>
  <c r="F52" i="13"/>
  <c r="W18" i="28"/>
  <c r="X18" i="28" s="1"/>
  <c r="AX67" i="2"/>
  <c r="F55" i="13"/>
  <c r="AX66" i="2"/>
  <c r="F61" i="13"/>
  <c r="F50" i="13"/>
  <c r="AX9" i="2"/>
  <c r="E61" i="13"/>
  <c r="E55" i="13"/>
  <c r="AX57" i="2"/>
  <c r="C50" i="13"/>
  <c r="W6" i="28"/>
  <c r="X6" i="28" s="1"/>
  <c r="I61" i="13"/>
  <c r="I55" i="13"/>
  <c r="AX3" i="2"/>
  <c r="C52" i="13"/>
  <c r="K52" i="13" s="1"/>
  <c r="W4" i="28"/>
  <c r="W30" i="8"/>
  <c r="W30" i="28"/>
  <c r="X30" i="28" s="1"/>
  <c r="AX2" i="2"/>
  <c r="G50" i="13"/>
  <c r="G61" i="13"/>
  <c r="AX194" i="2"/>
  <c r="AX89" i="2"/>
  <c r="G55" i="13"/>
  <c r="D55" i="13"/>
  <c r="W16" i="8"/>
  <c r="X16" i="8" s="1"/>
  <c r="W11" i="28"/>
  <c r="X11" i="28" s="1"/>
  <c r="W14" i="28"/>
  <c r="X14" i="28" s="1"/>
  <c r="W19" i="28"/>
  <c r="X19" i="28" s="1"/>
  <c r="AX92" i="2"/>
  <c r="W24" i="28"/>
  <c r="X24" i="28" s="1"/>
  <c r="D53" i="13"/>
  <c r="W17" i="8"/>
  <c r="X17" i="8" s="1"/>
  <c r="W19" i="8"/>
  <c r="X19" i="8" s="1"/>
  <c r="W12" i="8"/>
  <c r="X12" i="8" s="1"/>
  <c r="W8" i="8"/>
  <c r="X8" i="8" s="1"/>
  <c r="W13" i="8"/>
  <c r="X13" i="8" s="1"/>
  <c r="W22" i="8"/>
  <c r="X22" i="8" s="1"/>
  <c r="AX169" i="2"/>
  <c r="AX120" i="2"/>
  <c r="AX10" i="2"/>
  <c r="AD6" i="8"/>
  <c r="AX73" i="2"/>
  <c r="AX54" i="2"/>
  <c r="AX115" i="2"/>
  <c r="W28" i="8"/>
  <c r="X28" i="8" s="1"/>
  <c r="AX16" i="2"/>
  <c r="AD28" i="8"/>
  <c r="AX183" i="2"/>
  <c r="AX177" i="2"/>
  <c r="W14" i="8"/>
  <c r="X14" i="8" s="1"/>
  <c r="AX86" i="2"/>
  <c r="W6" i="8"/>
  <c r="X6" i="8" s="1"/>
  <c r="W27" i="8"/>
  <c r="X27" i="8" s="1"/>
  <c r="AX15" i="2"/>
  <c r="W5" i="8"/>
  <c r="X5" i="8" s="1"/>
  <c r="W11" i="8"/>
  <c r="X11" i="8" s="1"/>
  <c r="AD8" i="8"/>
  <c r="AX59" i="2"/>
  <c r="W32" i="8"/>
  <c r="X32" i="8" s="1"/>
  <c r="AX87" i="2"/>
  <c r="AX93" i="2"/>
  <c r="AD24" i="8"/>
  <c r="AX126" i="2"/>
  <c r="AX198" i="2"/>
  <c r="W7" i="8"/>
  <c r="X7" i="8" s="1"/>
  <c r="AX207" i="2"/>
  <c r="AD27" i="8"/>
  <c r="AX124" i="2"/>
  <c r="AX101" i="2"/>
  <c r="S28" i="8"/>
  <c r="AX137" i="2"/>
  <c r="W33" i="8"/>
  <c r="X33" i="8" s="1"/>
  <c r="AX138" i="2"/>
  <c r="AX99" i="2"/>
  <c r="W4" i="8"/>
  <c r="W4" i="32" s="1"/>
  <c r="W29" i="8"/>
  <c r="X29" i="8" s="1"/>
  <c r="X30" i="8"/>
  <c r="AX142" i="2"/>
  <c r="V28" i="8"/>
  <c r="AX201" i="2"/>
  <c r="W24" i="8"/>
  <c r="X24" i="8" s="1"/>
  <c r="AD4" i="8"/>
  <c r="AX161" i="2"/>
  <c r="AD21" i="8"/>
  <c r="AX167" i="2"/>
  <c r="W9" i="8"/>
  <c r="X9" i="8" s="1"/>
  <c r="AX129" i="2"/>
  <c r="AX174" i="2"/>
  <c r="AX112" i="2"/>
  <c r="AD20" i="8"/>
  <c r="AX96" i="2"/>
  <c r="AD7" i="8"/>
  <c r="W20" i="8"/>
  <c r="X20" i="8" s="1"/>
  <c r="X25" i="8"/>
  <c r="AX173" i="2"/>
  <c r="AX47" i="2"/>
  <c r="AD5" i="8"/>
  <c r="AX202" i="2"/>
  <c r="W31" i="8"/>
  <c r="X31" i="8" s="1"/>
  <c r="AD13" i="8"/>
  <c r="AX119" i="2"/>
  <c r="W10" i="8"/>
  <c r="X10" i="8" s="1"/>
  <c r="W18" i="8"/>
  <c r="X18" i="8" s="1"/>
  <c r="AX157" i="2"/>
  <c r="X26" i="8"/>
  <c r="W21" i="8"/>
  <c r="X21" i="8" s="1"/>
  <c r="AX141" i="2"/>
  <c r="AD29" i="8"/>
  <c r="AD19" i="8"/>
  <c r="AX74" i="2"/>
  <c r="AX213" i="2"/>
  <c r="AX11" i="2"/>
  <c r="AD14" i="8"/>
  <c r="AX33" i="2"/>
  <c r="AX14" i="2"/>
  <c r="W37" i="32" l="1"/>
  <c r="Q4" i="35" s="1"/>
  <c r="K58" i="13"/>
  <c r="O4" i="31"/>
  <c r="Z4" i="31" s="1"/>
  <c r="X4" i="8"/>
  <c r="Y4" i="32" s="1"/>
  <c r="S4" i="31"/>
  <c r="V18" i="8"/>
  <c r="U4" i="32" s="1"/>
  <c r="V18" i="28"/>
  <c r="U37" i="32" s="1"/>
  <c r="S37" i="31"/>
  <c r="T4" i="31"/>
  <c r="T37" i="31"/>
  <c r="V19" i="28"/>
  <c r="K57" i="13"/>
  <c r="K50" i="13"/>
  <c r="D59" i="13"/>
  <c r="C59" i="13"/>
  <c r="I59" i="13"/>
  <c r="F59" i="13"/>
  <c r="K55" i="13"/>
  <c r="K53" i="13"/>
  <c r="H59" i="13"/>
  <c r="K60" i="13"/>
  <c r="X4" i="28"/>
  <c r="Y37" i="32" s="1"/>
  <c r="G59" i="13"/>
  <c r="E59" i="13"/>
  <c r="AE4" i="35" l="1"/>
  <c r="AE32" i="35" s="1"/>
  <c r="O4" i="35"/>
  <c r="AC4" i="35" s="1"/>
  <c r="AC32" i="35" s="1"/>
  <c r="V4" i="32" a="1"/>
  <c r="V4" i="32" s="1"/>
  <c r="X4" i="31" s="1"/>
  <c r="X4" i="32" a="1"/>
  <c r="X4" i="32" s="1"/>
  <c r="O37" i="31"/>
  <c r="Z37" i="31" s="1"/>
  <c r="Y37" i="31"/>
  <c r="AK37" i="31" s="1"/>
  <c r="W37" i="31"/>
  <c r="X37" i="32" a="1"/>
  <c r="X37" i="32" s="1"/>
  <c r="R4" i="35" s="1"/>
  <c r="AF4" i="35" s="1"/>
  <c r="W4" i="31"/>
  <c r="V37" i="32" a="1"/>
  <c r="V37" i="32" s="1"/>
  <c r="Y4" i="31"/>
  <c r="AK4" i="31" s="1"/>
  <c r="AL4" i="31" s="1"/>
  <c r="K59" i="13"/>
  <c r="X37" i="31" l="1"/>
  <c r="R78" i="35"/>
  <c r="AF78" i="35" s="1"/>
  <c r="R40" i="35"/>
  <c r="AF40" i="35" s="1"/>
  <c r="AK5" i="31"/>
  <c r="AK38" i="31"/>
  <c r="AL37" i="31"/>
  <c r="AL38" i="31" s="1"/>
  <c r="AP4" i="31"/>
  <c r="AL5" i="31"/>
  <c r="AP37" i="31" l="1"/>
  <c r="AQ4" i="31"/>
  <c r="AP5" i="31"/>
  <c r="AN4" i="31"/>
  <c r="AN5" i="31" s="1"/>
  <c r="AP38" i="31" l="1"/>
  <c r="AN37" i="31"/>
  <c r="AN38" i="31" s="1"/>
  <c r="AQ37" i="31"/>
  <c r="AO4" i="31"/>
  <c r="AO5" i="31" s="1"/>
  <c r="AQ5" i="31"/>
  <c r="AO37" i="31" l="1"/>
  <c r="AO38" i="31" s="1"/>
  <c r="AQ38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Lucero</author>
  </authors>
  <commentList>
    <comment ref="AA1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Diego Lucero:</t>
        </r>
        <r>
          <rPr>
            <sz val="9"/>
            <color indexed="81"/>
            <rFont val="Tahoma"/>
            <family val="2"/>
          </rPr>
          <t xml:space="preserve">
la formula estaba mal encabezada, en lugar del IFERROR tenia letras puestas de más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<sst xmlns="http://schemas.openxmlformats.org/spreadsheetml/2006/main" count="747" uniqueCount="312">
  <si>
    <t>Cuml plot</t>
  </si>
  <si>
    <t>Stand ID</t>
  </si>
  <si>
    <t>Date</t>
  </si>
  <si>
    <t>Name</t>
  </si>
  <si>
    <t>Stand Type</t>
  </si>
  <si>
    <t>Acres</t>
  </si>
  <si>
    <t># of Plots</t>
  </si>
  <si>
    <t>Age</t>
  </si>
  <si>
    <t>Code</t>
  </si>
  <si>
    <t>Stand #</t>
  </si>
  <si>
    <t>Plot #</t>
  </si>
  <si>
    <t>Tree ID</t>
  </si>
  <si>
    <t>Spc</t>
  </si>
  <si>
    <t>Dbh (0.1")</t>
  </si>
  <si>
    <t>Count</t>
  </si>
  <si>
    <t>% Defect</t>
  </si>
  <si>
    <t>Ht (ft)</t>
  </si>
  <si>
    <t>Live Crown Ratio</t>
  </si>
  <si>
    <t>Notes</t>
  </si>
  <si>
    <t>Rad</t>
  </si>
  <si>
    <t>Tpa</t>
  </si>
  <si>
    <t>dbh*tpa</t>
  </si>
  <si>
    <t>ht*tpa</t>
  </si>
  <si>
    <t>BA /ac</t>
  </si>
  <si>
    <t>SDI/ac</t>
  </si>
  <si>
    <t>LCR</t>
  </si>
  <si>
    <t>lcr*tpa</t>
  </si>
  <si>
    <t>Hdr*tpa</t>
  </si>
  <si>
    <t>HDR</t>
  </si>
  <si>
    <t>RA</t>
  </si>
  <si>
    <t>DF</t>
  </si>
  <si>
    <t>WH</t>
  </si>
  <si>
    <t>BM</t>
  </si>
  <si>
    <t>RC</t>
  </si>
  <si>
    <t>ES</t>
  </si>
  <si>
    <t>SF</t>
  </si>
  <si>
    <t>Orig Combo</t>
  </si>
  <si>
    <t>Orig Ordered</t>
  </si>
  <si>
    <t>Tree Species</t>
  </si>
  <si>
    <t>BA</t>
  </si>
  <si>
    <t>Alaska Yellow Cedar</t>
  </si>
  <si>
    <t>YC</t>
  </si>
  <si>
    <t>Douglas-fir</t>
  </si>
  <si>
    <t>Engelman Spruce (LP)</t>
  </si>
  <si>
    <t>Grand fir (DF)</t>
  </si>
  <si>
    <t>GF</t>
  </si>
  <si>
    <t>Lodgepole pine</t>
  </si>
  <si>
    <t>LP</t>
  </si>
  <si>
    <t>Western Larch</t>
  </si>
  <si>
    <t>WL</t>
  </si>
  <si>
    <t>Noble fir (WH)</t>
  </si>
  <si>
    <t>NF</t>
  </si>
  <si>
    <t>Pacific Silver fir (WH)</t>
  </si>
  <si>
    <t>Pacific Yew</t>
  </si>
  <si>
    <t>PY</t>
  </si>
  <si>
    <t>Sitka Spruce</t>
  </si>
  <si>
    <t>SS</t>
  </si>
  <si>
    <t>Western Hemlock</t>
  </si>
  <si>
    <t>Western Red Cedar</t>
  </si>
  <si>
    <t>Western White Pine</t>
  </si>
  <si>
    <t>WP</t>
  </si>
  <si>
    <t>White fir</t>
  </si>
  <si>
    <t>WF</t>
  </si>
  <si>
    <t>Aspen</t>
  </si>
  <si>
    <t>AS</t>
  </si>
  <si>
    <t>Bigleaf Maple</t>
  </si>
  <si>
    <t>Black Cottonwood</t>
  </si>
  <si>
    <t>CW</t>
  </si>
  <si>
    <t>Bitter Cherry (PB)</t>
  </si>
  <si>
    <t>CH</t>
  </si>
  <si>
    <t>Pacific Crabapple</t>
  </si>
  <si>
    <t>PC</t>
  </si>
  <si>
    <t>Oregon Ash</t>
  </si>
  <si>
    <t>OA</t>
  </si>
  <si>
    <t>Pacific Madrone (BM)</t>
  </si>
  <si>
    <t>MD</t>
  </si>
  <si>
    <t>Paper Birch</t>
  </si>
  <si>
    <t>Red Alder</t>
  </si>
  <si>
    <t>GA</t>
  </si>
  <si>
    <t>Snag</t>
  </si>
  <si>
    <t xml:space="preserve">Other </t>
  </si>
  <si>
    <t>OT</t>
  </si>
  <si>
    <t>Stand</t>
  </si>
  <si>
    <t>Ord</t>
  </si>
  <si>
    <t>Plot</t>
  </si>
  <si>
    <t>TPA</t>
  </si>
  <si>
    <t>Avg Dbh</t>
  </si>
  <si>
    <t>Qmd</t>
  </si>
  <si>
    <t>SDI</t>
  </si>
  <si>
    <t>Curtis RD</t>
  </si>
  <si>
    <t>Trees Per Acre</t>
  </si>
  <si>
    <t>Basal Area</t>
  </si>
  <si>
    <t># Plots</t>
  </si>
  <si>
    <t>Volume Summary</t>
  </si>
  <si>
    <t>Net Volume per Acre (Scribner MBF)</t>
  </si>
  <si>
    <t>Total</t>
  </si>
  <si>
    <t>Grand Total</t>
  </si>
  <si>
    <t>Input All for stand</t>
  </si>
  <si>
    <t>Wood Density</t>
  </si>
  <si>
    <t>CVTS Coefficent A</t>
  </si>
  <si>
    <t>CVTS Coefficent B</t>
  </si>
  <si>
    <t>CVTS Coefficent C</t>
  </si>
  <si>
    <t>Bark Biomass Tons</t>
  </si>
  <si>
    <t>PB</t>
  </si>
  <si>
    <t>Unknown</t>
  </si>
  <si>
    <t>UN</t>
  </si>
  <si>
    <t>Branch A</t>
  </si>
  <si>
    <t>Branch B</t>
  </si>
  <si>
    <t>Branch C</t>
  </si>
  <si>
    <t>Branch D</t>
  </si>
  <si>
    <t>Branch E</t>
  </si>
  <si>
    <t>Branch Biomass Tons</t>
  </si>
  <si>
    <t>Bark A</t>
  </si>
  <si>
    <t>Bark B</t>
  </si>
  <si>
    <t>Bark C</t>
  </si>
  <si>
    <t>Bark D</t>
  </si>
  <si>
    <t>Bark E</t>
  </si>
  <si>
    <t>Average Tarrif</t>
  </si>
  <si>
    <t>Total Cubic Volume (CVST)</t>
  </si>
  <si>
    <t>Tarrif</t>
  </si>
  <si>
    <t>Stem Biomass Tons</t>
  </si>
  <si>
    <t>Yes</t>
  </si>
  <si>
    <t>Merchantable (Yes/No)</t>
  </si>
  <si>
    <t>Min DBH (Inches)</t>
  </si>
  <si>
    <t>Max DBH (Inches)</t>
  </si>
  <si>
    <t>Status (L/D)</t>
  </si>
  <si>
    <t>Primary Species</t>
  </si>
  <si>
    <t>Secondary Species</t>
  </si>
  <si>
    <t>Grand fir</t>
  </si>
  <si>
    <t>Pacific Madrone</t>
  </si>
  <si>
    <t>Engelman Spruce</t>
  </si>
  <si>
    <t>Pacific Silver fir</t>
  </si>
  <si>
    <t>Bitter Cherry</t>
  </si>
  <si>
    <t>Total Gross Biomass Tons</t>
  </si>
  <si>
    <t>Merch Stem Biomass (Tons)</t>
  </si>
  <si>
    <t>Merch Branch Biomass (Tons)</t>
  </si>
  <si>
    <t>Merch Bark Biomass (Tons)</t>
  </si>
  <si>
    <t>Total Merch Biomass Tons</t>
  </si>
  <si>
    <t>Stem Biomass Tons / acre</t>
  </si>
  <si>
    <t>Bark Biomass Tons / acre</t>
  </si>
  <si>
    <t>Branch Biomass Tons / acre</t>
  </si>
  <si>
    <t>Total Gross Biomass Tons / acre</t>
  </si>
  <si>
    <t>Merch Stem Biomass (Tons) / acre</t>
  </si>
  <si>
    <t>Merch Bark Biomass (Tons) / acre</t>
  </si>
  <si>
    <t>Merch Branch Biomass (Tons) / acre</t>
  </si>
  <si>
    <t>Total Merch Biomass Tons /acre</t>
  </si>
  <si>
    <t>CV 4"</t>
  </si>
  <si>
    <t>CV 6 "</t>
  </si>
  <si>
    <t>Net SV 6"</t>
  </si>
  <si>
    <t>Gross Bf/ac</t>
  </si>
  <si>
    <t>Net BF/ac</t>
  </si>
  <si>
    <t>Net Merch BF/ac</t>
  </si>
  <si>
    <t>Snags per Acre</t>
  </si>
  <si>
    <t>Snag QMD</t>
  </si>
  <si>
    <t>Snag BA</t>
  </si>
  <si>
    <t>Merch Stem Biomass Tons / Acre</t>
  </si>
  <si>
    <t>Snag Biomass Tons / Acre</t>
  </si>
  <si>
    <t>Log Length (Long/Short)</t>
  </si>
  <si>
    <t>Gross Biomass Tons / Acre</t>
  </si>
  <si>
    <t>Net Merch Volume / Acre (MBF)</t>
  </si>
  <si>
    <t>Upper DBH:</t>
  </si>
  <si>
    <t>Lower DBH:</t>
  </si>
  <si>
    <t xml:space="preserve">Total Live </t>
  </si>
  <si>
    <t>SV 6", Short</t>
  </si>
  <si>
    <t>SV 6", Long</t>
  </si>
  <si>
    <t>Snags / Acre</t>
  </si>
  <si>
    <t>Non-Merch Volume / Acre (MBF)</t>
  </si>
  <si>
    <t>Total Gross Biomass Tons/acre</t>
  </si>
  <si>
    <t>All OT</t>
  </si>
  <si>
    <t>Total Live</t>
  </si>
  <si>
    <t>Total Net Volume (MBF)</t>
  </si>
  <si>
    <t>Total Merch Biomass Tons / Acre</t>
  </si>
  <si>
    <t>+/- Error</t>
  </si>
  <si>
    <t>All Other</t>
  </si>
  <si>
    <t>Net Biomass per Acre (Tons)</t>
  </si>
  <si>
    <t>Total Net Biomass (Tons)</t>
  </si>
  <si>
    <t>End of Data Entry</t>
  </si>
  <si>
    <t>End of Data</t>
  </si>
  <si>
    <t>Stand Tab</t>
  </si>
  <si>
    <t>Tree Tab</t>
  </si>
  <si>
    <t>Plot Tab</t>
  </si>
  <si>
    <t>Column C</t>
  </si>
  <si>
    <t>Column G</t>
  </si>
  <si>
    <t>Column J</t>
  </si>
  <si>
    <t>Column K</t>
  </si>
  <si>
    <t>Column H</t>
  </si>
  <si>
    <t>Number of plots will automatically update when Plot Tab information is entered</t>
  </si>
  <si>
    <t>Columns D,E, F, I</t>
  </si>
  <si>
    <t>Optional information</t>
  </si>
  <si>
    <t>Column A</t>
  </si>
  <si>
    <t>Column B</t>
  </si>
  <si>
    <t>Column D</t>
  </si>
  <si>
    <t>Input Plot number associated with tree record</t>
  </si>
  <si>
    <t>Column E</t>
  </si>
  <si>
    <t>Column F</t>
  </si>
  <si>
    <t>Column I</t>
  </si>
  <si>
    <t>Input Defect on 0-100%. Can leave blank for zero. Just put in integer value. Eample: 65 for 65% defect.</t>
  </si>
  <si>
    <t>Input Plot number. Can be letters or numbers</t>
  </si>
  <si>
    <t>Plot Number</t>
  </si>
  <si>
    <t>Tree DBH</t>
  </si>
  <si>
    <t>Tree Height</t>
  </si>
  <si>
    <t>Live or Dead</t>
  </si>
  <si>
    <t>Required User input</t>
  </si>
  <si>
    <t>Optional User Input</t>
  </si>
  <si>
    <t>Autocalculated</t>
  </si>
  <si>
    <t>Contains User Input</t>
  </si>
  <si>
    <t>Reports</t>
  </si>
  <si>
    <t>Merchantability</t>
  </si>
  <si>
    <t>Inputer lowest merchantable DBH for each species</t>
  </si>
  <si>
    <t>Input whether or not each species is merchantable: Yes / No</t>
  </si>
  <si>
    <t>Inputer highest merchantable DBH for each species</t>
  </si>
  <si>
    <t>Species Codes</t>
  </si>
  <si>
    <t>Plot Radius</t>
  </si>
  <si>
    <t>Stand Information and Plot Size Settings</t>
  </si>
  <si>
    <t>Number of Plots</t>
  </si>
  <si>
    <t>Live Tree Metrics</t>
  </si>
  <si>
    <t>Gross Total Biomass Tons / Acre</t>
  </si>
  <si>
    <t>Live Biomass and Volume</t>
  </si>
  <si>
    <t>Snag Biomass and Volume</t>
  </si>
  <si>
    <t>Snag Volume (MBF)</t>
  </si>
  <si>
    <t>Biomass Summary</t>
  </si>
  <si>
    <t>Biomass by 5" DBH Range Bin</t>
  </si>
  <si>
    <t>MBF by 5" DBH Range Bin</t>
  </si>
  <si>
    <t>Merch Bark Biomass Tons / Acre</t>
  </si>
  <si>
    <t>Merch Branch Biomass Tons / Acre</t>
  </si>
  <si>
    <t>Non-Merch Branch Biomass Tons / Acre</t>
  </si>
  <si>
    <t>Non-Merch Bark Biomass Tons / Acre</t>
  </si>
  <si>
    <t>Total Non-Merch Biomass / Acre</t>
  </si>
  <si>
    <t>Non-Merch Stem Biomass Tons / Acre</t>
  </si>
  <si>
    <t>Stand Tables 5" DBH Range Bin</t>
  </si>
  <si>
    <t>Columns C, G, J</t>
  </si>
  <si>
    <t>Input Cull (Y/N). Indicates if this is a drop and leave with Y, will not be included in reports</t>
  </si>
  <si>
    <t>Height to Diameter Ratio</t>
  </si>
  <si>
    <t>Pre-Harvest Plots</t>
  </si>
  <si>
    <t xml:space="preserve">Post-Harvest Plots </t>
  </si>
  <si>
    <t>Pre-Harvest Stand</t>
  </si>
  <si>
    <t>Post-Harvest Stand</t>
  </si>
  <si>
    <t>Input list of stands</t>
  </si>
  <si>
    <t>Input log length. Short for 16'-30' logs, Long for 32'+ foot logs. Default is Long</t>
  </si>
  <si>
    <t>Input tree species: two letter alpha code</t>
  </si>
  <si>
    <t>Input Tree Status: L for live tree or D for snag (Dead tree)</t>
  </si>
  <si>
    <t>Input Tree Height: must be in feet to the tenth of a foot</t>
  </si>
  <si>
    <t>Each plot gets its own row. Do not go past row 199</t>
  </si>
  <si>
    <t>Input Stand ID associated with plot</t>
  </si>
  <si>
    <t>Input Stand ID associated with tree record</t>
  </si>
  <si>
    <t>Input inventory plot radius in feet to the tenth of a foot</t>
  </si>
  <si>
    <t>Input acres of each stand to the nearest tenth of an acre</t>
  </si>
  <si>
    <t>Harvest (Y/N)</t>
  </si>
  <si>
    <t>Avg DBH</t>
  </si>
  <si>
    <t>QMD</t>
  </si>
  <si>
    <t>Post-Harvest Standing Species Summary</t>
  </si>
  <si>
    <t>Harvested Tree Summary</t>
  </si>
  <si>
    <t>Snag Volume / acre (MBF)</t>
  </si>
  <si>
    <t>All</t>
  </si>
  <si>
    <t>Each stand gets its own row. Do not input data past row 30</t>
  </si>
  <si>
    <t>Each tree gets its own row. Do not input data past row 2428</t>
  </si>
  <si>
    <r>
      <t xml:space="preserve">Please read all instructions if you're not familiar with this analysis workbook: </t>
    </r>
    <r>
      <rPr>
        <u/>
        <sz val="11"/>
        <color theme="8" tint="-0.249977111117893"/>
        <rFont val="Arial"/>
        <family val="2"/>
      </rPr>
      <t>http://bit.ly/biomasscalculator</t>
    </r>
  </si>
  <si>
    <t>Cell Color Coding</t>
  </si>
  <si>
    <t>Required Tree Data</t>
  </si>
  <si>
    <t>Input Tree DBH: must be in inches to the tenth of an inch</t>
  </si>
  <si>
    <t>Garry Oak</t>
  </si>
  <si>
    <t>Garry Oak: (BM)</t>
  </si>
  <si>
    <r>
      <t xml:space="preserve">User has the ability to set the upper and lower DBH limits for volume merchantability. This tab maintains a list of species expected to be present. If additional species are required, please contact </t>
    </r>
    <r>
      <rPr>
        <u/>
        <sz val="11"/>
        <color theme="8" tint="-0.249977111117893"/>
        <rFont val="Arial"/>
        <family val="2"/>
      </rPr>
      <t>kirk@nnrg.org.</t>
    </r>
    <r>
      <rPr>
        <sz val="11"/>
        <color rgb="FF000000"/>
        <rFont val="Arial"/>
        <family val="2"/>
      </rPr>
      <t xml:space="preserve"> </t>
    </r>
  </si>
  <si>
    <t>Required Stand Information</t>
  </si>
  <si>
    <t>Tab Color Coding</t>
  </si>
  <si>
    <t>Gross Total Carbon Tons / Acre</t>
  </si>
  <si>
    <t>Merch Stem Carbon Tons / Acre</t>
  </si>
  <si>
    <t>Merch Branch Carbon Tons / Acre</t>
  </si>
  <si>
    <t>Merch Bark Carbon Tons / Acre</t>
  </si>
  <si>
    <t>Total Merch Carbon Tons / Acre</t>
  </si>
  <si>
    <t>Non-Merch Stem Carbon Tons / Acre</t>
  </si>
  <si>
    <t>Non-Merch Branch Carbon Tons / Acre</t>
  </si>
  <si>
    <t>Non-Merch Bark Carbon Tons / Acre</t>
  </si>
  <si>
    <t>Total Non-Merch Carbon / Acre</t>
  </si>
  <si>
    <t>Gross Total Carbon Tons / Stand</t>
  </si>
  <si>
    <t>Live Carbon and CO2 Offsets</t>
  </si>
  <si>
    <t>Snag Carbon and CO2 Offsets</t>
  </si>
  <si>
    <t>Snag CO2eq Offset Tons / Stand</t>
  </si>
  <si>
    <t>Snag Carbon Tons / Acre</t>
  </si>
  <si>
    <t>Snag Carbon Tons / Stand</t>
  </si>
  <si>
    <t>Gross Total CO2eq Offset Tons / Stand</t>
  </si>
  <si>
    <t>Gross Total CO2eq Offset Tons / Acre</t>
  </si>
  <si>
    <t>Property Summary</t>
  </si>
  <si>
    <t>Gross Carbon (Tons)</t>
  </si>
  <si>
    <t>Live Above Ground Carbon (Tons)</t>
  </si>
  <si>
    <t>Live Below Ground Carbon (Tons)</t>
  </si>
  <si>
    <t>Snag Carbon (Tons)</t>
  </si>
  <si>
    <t>Gross CO2 eq Offset (Tons)</t>
  </si>
  <si>
    <t>Gross Carbon Tons/ Acre</t>
  </si>
  <si>
    <t>Total Property Carbon (Tons)</t>
  </si>
  <si>
    <t>Total Property CO2 eq Offset (Tons)</t>
  </si>
  <si>
    <t>CO2eq Offset Tons / Acre</t>
  </si>
  <si>
    <t>Mg (metric)</t>
  </si>
  <si>
    <t>Units</t>
  </si>
  <si>
    <t>Carbon Summary</t>
  </si>
  <si>
    <t>Net Carbon per Acre (Tons)</t>
  </si>
  <si>
    <t>Total Net Carbon (Tons)</t>
  </si>
  <si>
    <t>Plot Radius (ft):</t>
  </si>
  <si>
    <t>Woody Biomass and Carbon Field Sheet</t>
  </si>
  <si>
    <t>Sp.</t>
  </si>
  <si>
    <t xml:space="preserve">Project Name: </t>
  </si>
  <si>
    <t xml:space="preserve">Stand ID: </t>
  </si>
  <si>
    <t xml:space="preserve">Date: </t>
  </si>
  <si>
    <t xml:space="preserve">Crew:  </t>
  </si>
  <si>
    <t xml:space="preserve">Total Acres: </t>
  </si>
  <si>
    <t xml:space="preserve">Stand Type: </t>
  </si>
  <si>
    <t xml:space="preserve">Avg. Age: </t>
  </si>
  <si>
    <t>Live Crown Ratio (%)</t>
  </si>
  <si>
    <t>Tons (US)</t>
  </si>
  <si>
    <t>Total Merch Carbon +/- Error</t>
  </si>
  <si>
    <t>Total Merch Biomass +/- Error</t>
  </si>
  <si>
    <t>Merch MBF +/-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</si>
</sst>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00000"/>
    <numFmt numFmtId="166" formatCode="0.000000"/>
    <numFmt numFmtId="167" formatCode="0.000"/>
    <numFmt numFmtId="168" formatCode="0.0000"/>
    <numFmt numFmtId="169" formatCode="0.00000"/>
  </numFmts>
  <fonts count="34" x14ac:knownFonts="1">
    <font>
      <sz val="10"/>
      <color rgb="FF00000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8" tint="-0.249977111117893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0000"/>
        <b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rgb="FF00FF00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5" tint="0.59999389629810485"/>
        <b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theme="5" tint="0.79998168889431442"/>
        <bgColor rgb="FFFFCC99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CC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2" borderId="0" xfId="0" applyFont="1" applyFill="1" applyBorder="1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1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3" fontId="1" fillId="0" borderId="0" xfId="0" applyNumberFormat="1" applyFont="1" applyAlignment="1">
      <alignment horizontal="left"/>
    </xf>
    <xf numFmtId="9" fontId="1" fillId="0" borderId="0" xfId="0" applyNumberFormat="1" applyFont="1"/>
    <xf numFmtId="164" fontId="7" fillId="0" borderId="0" xfId="0" applyNumberFormat="1" applyFont="1" applyAlignment="1">
      <alignment horizontal="center" vertical="top"/>
    </xf>
    <xf numFmtId="1" fontId="1" fillId="0" borderId="0" xfId="0" applyNumberFormat="1" applyFont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Alignment="1"/>
    <xf numFmtId="0" fontId="11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/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0" fillId="0" borderId="0" xfId="0" applyFont="1" applyAlignment="1"/>
    <xf numFmtId="0" fontId="0" fillId="0" borderId="0" xfId="0" applyFill="1"/>
    <xf numFmtId="0" fontId="9" fillId="0" borderId="0" xfId="0" applyFont="1" applyFill="1" applyAlignment="1"/>
    <xf numFmtId="0" fontId="9" fillId="0" borderId="0" xfId="0" applyFont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" fontId="1" fillId="0" borderId="0" xfId="0" applyNumberFormat="1" applyFont="1" applyBorder="1" applyAlignment="1">
      <alignment horizontal="center"/>
    </xf>
    <xf numFmtId="0" fontId="2" fillId="0" borderId="0" xfId="0" applyFont="1" applyFill="1"/>
    <xf numFmtId="0" fontId="0" fillId="0" borderId="0" xfId="0" applyFont="1" applyAlignment="1"/>
    <xf numFmtId="0" fontId="0" fillId="0" borderId="0" xfId="0" applyFont="1" applyAlignment="1"/>
    <xf numFmtId="164" fontId="0" fillId="0" borderId="0" xfId="0" applyNumberFormat="1" applyFont="1" applyFill="1" applyAlignment="1"/>
    <xf numFmtId="168" fontId="0" fillId="0" borderId="0" xfId="0" applyNumberFormat="1" applyFont="1" applyFill="1" applyAlignment="1"/>
    <xf numFmtId="0" fontId="4" fillId="3" borderId="3" xfId="0" applyFont="1" applyFill="1" applyBorder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24" xfId="0" applyFont="1" applyBorder="1" applyAlignment="1"/>
    <xf numFmtId="0" fontId="17" fillId="0" borderId="41" xfId="0" applyFont="1" applyBorder="1" applyAlignment="1"/>
    <xf numFmtId="0" fontId="17" fillId="0" borderId="25" xfId="0" applyFont="1" applyBorder="1" applyAlignment="1"/>
    <xf numFmtId="0" fontId="17" fillId="0" borderId="42" xfId="0" applyFont="1" applyBorder="1" applyAlignment="1"/>
    <xf numFmtId="0" fontId="3" fillId="0" borderId="7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center"/>
    </xf>
    <xf numFmtId="0" fontId="3" fillId="0" borderId="57" xfId="0" applyFont="1" applyBorder="1"/>
    <xf numFmtId="1" fontId="3" fillId="0" borderId="58" xfId="0" applyNumberFormat="1" applyFont="1" applyBorder="1" applyAlignment="1">
      <alignment horizontal="center" vertical="center"/>
    </xf>
    <xf numFmtId="1" fontId="3" fillId="0" borderId="59" xfId="0" applyNumberFormat="1" applyFont="1" applyBorder="1" applyAlignment="1">
      <alignment horizontal="center" vertical="center"/>
    </xf>
    <xf numFmtId="1" fontId="3" fillId="0" borderId="60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/>
    </xf>
    <xf numFmtId="1" fontId="3" fillId="0" borderId="61" xfId="0" applyNumberFormat="1" applyFont="1" applyBorder="1" applyAlignment="1">
      <alignment horizontal="center"/>
    </xf>
    <xf numFmtId="1" fontId="3" fillId="0" borderId="62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6" fillId="12" borderId="1" xfId="0" applyFont="1" applyFill="1" applyBorder="1" applyAlignment="1">
      <alignment horizontal="center" wrapText="1"/>
    </xf>
    <xf numFmtId="164" fontId="16" fillId="12" borderId="1" xfId="0" applyNumberFormat="1" applyFont="1" applyFill="1" applyBorder="1" applyAlignment="1">
      <alignment wrapText="1"/>
    </xf>
    <xf numFmtId="1" fontId="16" fillId="12" borderId="1" xfId="0" applyNumberFormat="1" applyFont="1" applyFill="1" applyBorder="1" applyAlignment="1">
      <alignment wrapText="1"/>
    </xf>
    <xf numFmtId="0" fontId="16" fillId="12" borderId="1" xfId="0" applyFont="1" applyFill="1" applyBorder="1" applyAlignment="1">
      <alignment wrapText="1"/>
    </xf>
    <xf numFmtId="2" fontId="16" fillId="12" borderId="1" xfId="0" applyNumberFormat="1" applyFont="1" applyFill="1" applyBorder="1" applyAlignment="1">
      <alignment wrapText="1"/>
    </xf>
    <xf numFmtId="1" fontId="16" fillId="12" borderId="8" xfId="0" applyNumberFormat="1" applyFont="1" applyFill="1" applyBorder="1" applyAlignment="1">
      <alignment wrapText="1"/>
    </xf>
    <xf numFmtId="0" fontId="4" fillId="12" borderId="1" xfId="0" applyFont="1" applyFill="1" applyBorder="1" applyAlignment="1">
      <alignment horizontal="center"/>
    </xf>
    <xf numFmtId="164" fontId="4" fillId="12" borderId="1" xfId="0" applyNumberFormat="1" applyFont="1" applyFill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  <xf numFmtId="2" fontId="4" fillId="12" borderId="1" xfId="0" applyNumberFormat="1" applyFont="1" applyFill="1" applyBorder="1" applyAlignment="1">
      <alignment horizontal="center"/>
    </xf>
    <xf numFmtId="169" fontId="4" fillId="12" borderId="1" xfId="0" applyNumberFormat="1" applyFont="1" applyFill="1" applyBorder="1" applyAlignment="1">
      <alignment horizontal="center"/>
    </xf>
    <xf numFmtId="167" fontId="4" fillId="12" borderId="1" xfId="0" applyNumberFormat="1" applyFont="1" applyFill="1" applyBorder="1" applyAlignment="1">
      <alignment horizontal="center"/>
    </xf>
    <xf numFmtId="168" fontId="4" fillId="12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16" fillId="12" borderId="10" xfId="0" applyFont="1" applyFill="1" applyBorder="1" applyAlignment="1">
      <alignment wrapText="1"/>
    </xf>
    <xf numFmtId="168" fontId="4" fillId="12" borderId="10" xfId="0" applyNumberFormat="1" applyFont="1" applyFill="1" applyBorder="1" applyAlignment="1">
      <alignment horizontal="center" wrapText="1"/>
    </xf>
    <xf numFmtId="0" fontId="4" fillId="3" borderId="63" xfId="0" applyFont="1" applyFill="1" applyBorder="1" applyAlignment="1">
      <alignment horizontal="left"/>
    </xf>
    <xf numFmtId="0" fontId="16" fillId="0" borderId="0" xfId="0" applyFont="1" applyFill="1" applyBorder="1" applyAlignment="1">
      <alignment wrapText="1"/>
    </xf>
    <xf numFmtId="1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164" fontId="1" fillId="0" borderId="0" xfId="0" applyNumberFormat="1" applyFont="1" applyFill="1" applyAlignment="1"/>
    <xf numFmtId="168" fontId="1" fillId="0" borderId="0" xfId="0" applyNumberFormat="1" applyFont="1" applyFill="1" applyAlignment="1"/>
    <xf numFmtId="1" fontId="1" fillId="13" borderId="1" xfId="0" applyNumberFormat="1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/>
    </xf>
    <xf numFmtId="164" fontId="3" fillId="13" borderId="1" xfId="0" applyNumberFormat="1" applyFont="1" applyFill="1" applyBorder="1" applyAlignment="1">
      <alignment horizontal="center"/>
    </xf>
    <xf numFmtId="164" fontId="3" fillId="13" borderId="1" xfId="0" applyNumberFormat="1" applyFont="1" applyFill="1" applyBorder="1" applyAlignment="1">
      <alignment horizontal="center" wrapText="1"/>
    </xf>
    <xf numFmtId="1" fontId="1" fillId="13" borderId="1" xfId="0" applyNumberFormat="1" applyFont="1" applyFill="1" applyBorder="1" applyAlignment="1">
      <alignment horizontal="center" wrapText="1"/>
    </xf>
    <xf numFmtId="164" fontId="1" fillId="13" borderId="1" xfId="0" applyNumberFormat="1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/>
    </xf>
    <xf numFmtId="1" fontId="1" fillId="5" borderId="0" xfId="0" applyNumberFormat="1" applyFont="1" applyFill="1" applyBorder="1" applyAlignment="1">
      <alignment horizontal="left"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left" wrapText="1"/>
    </xf>
    <xf numFmtId="1" fontId="1" fillId="5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" fontId="1" fillId="15" borderId="0" xfId="0" applyNumberFormat="1" applyFont="1" applyFill="1" applyBorder="1" applyAlignment="1">
      <alignment horizontal="center"/>
    </xf>
    <xf numFmtId="1" fontId="1" fillId="13" borderId="23" xfId="0" applyNumberFormat="1" applyFont="1" applyFill="1" applyBorder="1" applyAlignment="1">
      <alignment horizontal="center" vertical="center" wrapText="1"/>
    </xf>
    <xf numFmtId="164" fontId="1" fillId="13" borderId="68" xfId="0" applyNumberFormat="1" applyFont="1" applyFill="1" applyBorder="1" applyAlignment="1">
      <alignment horizontal="center" vertical="center" wrapText="1"/>
    </xf>
    <xf numFmtId="164" fontId="1" fillId="13" borderId="21" xfId="0" applyNumberFormat="1" applyFont="1" applyFill="1" applyBorder="1" applyAlignment="1">
      <alignment horizontal="center" vertical="center" wrapText="1"/>
    </xf>
    <xf numFmtId="1" fontId="1" fillId="13" borderId="21" xfId="0" applyNumberFormat="1" applyFont="1" applyFill="1" applyBorder="1" applyAlignment="1">
      <alignment horizontal="center" vertical="center" wrapText="1"/>
    </xf>
    <xf numFmtId="1" fontId="1" fillId="13" borderId="15" xfId="0" applyNumberFormat="1" applyFont="1" applyFill="1" applyBorder="1" applyAlignment="1">
      <alignment horizontal="center" vertical="center" wrapText="1"/>
    </xf>
    <xf numFmtId="1" fontId="1" fillId="13" borderId="24" xfId="0" applyNumberFormat="1" applyFont="1" applyFill="1" applyBorder="1" applyAlignment="1">
      <alignment horizontal="center"/>
    </xf>
    <xf numFmtId="164" fontId="1" fillId="13" borderId="2" xfId="0" applyNumberFormat="1" applyFont="1" applyFill="1" applyBorder="1" applyAlignment="1">
      <alignment horizontal="center"/>
    </xf>
    <xf numFmtId="1" fontId="1" fillId="13" borderId="17" xfId="0" applyNumberFormat="1" applyFont="1" applyFill="1" applyBorder="1" applyAlignment="1">
      <alignment horizontal="center"/>
    </xf>
    <xf numFmtId="164" fontId="3" fillId="13" borderId="21" xfId="0" applyNumberFormat="1" applyFont="1" applyFill="1" applyBorder="1" applyAlignment="1">
      <alignment horizontal="center" vertical="center" wrapText="1"/>
    </xf>
    <xf numFmtId="164" fontId="3" fillId="13" borderId="15" xfId="0" applyNumberFormat="1" applyFont="1" applyFill="1" applyBorder="1" applyAlignment="1">
      <alignment horizontal="center" vertical="center" wrapText="1"/>
    </xf>
    <xf numFmtId="164" fontId="1" fillId="13" borderId="16" xfId="0" applyNumberFormat="1" applyFont="1" applyFill="1" applyBorder="1" applyAlignment="1">
      <alignment horizontal="center"/>
    </xf>
    <xf numFmtId="164" fontId="3" fillId="13" borderId="17" xfId="0" applyNumberFormat="1" applyFont="1" applyFill="1" applyBorder="1" applyAlignment="1">
      <alignment horizontal="center" wrapText="1"/>
    </xf>
    <xf numFmtId="1" fontId="1" fillId="13" borderId="14" xfId="0" applyNumberFormat="1" applyFont="1" applyFill="1" applyBorder="1" applyAlignment="1">
      <alignment horizontal="center" vertical="center" wrapText="1"/>
    </xf>
    <xf numFmtId="164" fontId="1" fillId="13" borderId="15" xfId="0" applyNumberFormat="1" applyFont="1" applyFill="1" applyBorder="1" applyAlignment="1">
      <alignment horizontal="center" vertical="center" wrapText="1"/>
    </xf>
    <xf numFmtId="1" fontId="1" fillId="13" borderId="16" xfId="0" applyNumberFormat="1" applyFont="1" applyFill="1" applyBorder="1" applyAlignment="1">
      <alignment horizontal="center" wrapText="1"/>
    </xf>
    <xf numFmtId="164" fontId="1" fillId="13" borderId="17" xfId="0" applyNumberFormat="1" applyFont="1" applyFill="1" applyBorder="1" applyAlignment="1">
      <alignment horizontal="center" wrapText="1"/>
    </xf>
    <xf numFmtId="164" fontId="1" fillId="13" borderId="31" xfId="0" applyNumberFormat="1" applyFont="1" applyFill="1" applyBorder="1" applyAlignment="1">
      <alignment horizontal="center"/>
    </xf>
    <xf numFmtId="1" fontId="1" fillId="13" borderId="31" xfId="0" applyNumberFormat="1" applyFont="1" applyFill="1" applyBorder="1" applyAlignment="1">
      <alignment horizontal="center"/>
    </xf>
    <xf numFmtId="1" fontId="1" fillId="13" borderId="30" xfId="0" applyNumberFormat="1" applyFont="1" applyFill="1" applyBorder="1" applyAlignment="1">
      <alignment horizontal="center"/>
    </xf>
    <xf numFmtId="164" fontId="1" fillId="13" borderId="29" xfId="0" applyNumberFormat="1" applyFont="1" applyFill="1" applyBorder="1" applyAlignment="1">
      <alignment horizontal="center"/>
    </xf>
    <xf numFmtId="164" fontId="3" fillId="13" borderId="31" xfId="0" applyNumberFormat="1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 vertical="center" wrapText="1"/>
    </xf>
    <xf numFmtId="0" fontId="1" fillId="13" borderId="66" xfId="0" applyFont="1" applyFill="1" applyBorder="1" applyAlignment="1">
      <alignment horizontal="center" vertical="center" wrapText="1"/>
    </xf>
    <xf numFmtId="0" fontId="1" fillId="13" borderId="69" xfId="0" applyFont="1" applyFill="1" applyBorder="1" applyAlignment="1">
      <alignment horizontal="center" vertical="center" wrapText="1"/>
    </xf>
    <xf numFmtId="1" fontId="1" fillId="13" borderId="16" xfId="0" applyNumberFormat="1" applyFont="1" applyFill="1" applyBorder="1" applyAlignment="1">
      <alignment horizontal="left" wrapText="1"/>
    </xf>
    <xf numFmtId="0" fontId="1" fillId="13" borderId="0" xfId="0" applyFont="1" applyFill="1" applyBorder="1"/>
    <xf numFmtId="0" fontId="1" fillId="13" borderId="41" xfId="0" applyFont="1" applyFill="1" applyBorder="1" applyAlignment="1">
      <alignment horizontal="center" wrapText="1"/>
    </xf>
    <xf numFmtId="1" fontId="1" fillId="13" borderId="29" xfId="0" applyNumberFormat="1" applyFont="1" applyFill="1" applyBorder="1" applyAlignment="1">
      <alignment horizontal="left" wrapText="1"/>
    </xf>
    <xf numFmtId="0" fontId="1" fillId="13" borderId="70" xfId="0" applyFont="1" applyFill="1" applyBorder="1"/>
    <xf numFmtId="0" fontId="1" fillId="13" borderId="42" xfId="0" applyFont="1" applyFill="1" applyBorder="1" applyAlignment="1">
      <alignment horizontal="center" wrapText="1"/>
    </xf>
    <xf numFmtId="2" fontId="1" fillId="13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1" fillId="13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wrapText="1"/>
    </xf>
    <xf numFmtId="0" fontId="1" fillId="13" borderId="30" xfId="0" applyFont="1" applyFill="1" applyBorder="1" applyAlignment="1">
      <alignment horizontal="center" wrapText="1"/>
    </xf>
    <xf numFmtId="1" fontId="1" fillId="13" borderId="16" xfId="0" applyNumberFormat="1" applyFont="1" applyFill="1" applyBorder="1" applyAlignment="1">
      <alignment horizontal="center"/>
    </xf>
    <xf numFmtId="1" fontId="1" fillId="13" borderId="29" xfId="0" applyNumberFormat="1" applyFont="1" applyFill="1" applyBorder="1" applyAlignment="1">
      <alignment horizontal="center"/>
    </xf>
    <xf numFmtId="164" fontId="3" fillId="13" borderId="14" xfId="0" applyNumberFormat="1" applyFont="1" applyFill="1" applyBorder="1" applyAlignment="1">
      <alignment horizontal="center" vertical="center" wrapText="1"/>
    </xf>
    <xf numFmtId="164" fontId="3" fillId="13" borderId="16" xfId="0" applyNumberFormat="1" applyFont="1" applyFill="1" applyBorder="1" applyAlignment="1">
      <alignment horizontal="center"/>
    </xf>
    <xf numFmtId="164" fontId="1" fillId="13" borderId="17" xfId="0" applyNumberFormat="1" applyFont="1" applyFill="1" applyBorder="1" applyAlignment="1">
      <alignment horizontal="center"/>
    </xf>
    <xf numFmtId="164" fontId="3" fillId="13" borderId="29" xfId="0" applyNumberFormat="1" applyFont="1" applyFill="1" applyBorder="1" applyAlignment="1">
      <alignment horizontal="center"/>
    </xf>
    <xf numFmtId="164" fontId="1" fillId="13" borderId="30" xfId="0" applyNumberFormat="1" applyFont="1" applyFill="1" applyBorder="1" applyAlignment="1">
      <alignment horizontal="center"/>
    </xf>
    <xf numFmtId="2" fontId="1" fillId="13" borderId="17" xfId="0" applyNumberFormat="1" applyFont="1" applyFill="1" applyBorder="1" applyAlignment="1">
      <alignment horizontal="center"/>
    </xf>
    <xf numFmtId="2" fontId="1" fillId="13" borderId="31" xfId="0" applyNumberFormat="1" applyFont="1" applyFill="1" applyBorder="1" applyAlignment="1">
      <alignment horizontal="center"/>
    </xf>
    <xf numFmtId="2" fontId="1" fillId="13" borderId="30" xfId="0" applyNumberFormat="1" applyFont="1" applyFill="1" applyBorder="1" applyAlignment="1">
      <alignment horizontal="center"/>
    </xf>
    <xf numFmtId="1" fontId="3" fillId="13" borderId="14" xfId="0" applyNumberFormat="1" applyFont="1" applyFill="1" applyBorder="1" applyAlignment="1">
      <alignment horizontal="center" vertical="center"/>
    </xf>
    <xf numFmtId="1" fontId="3" fillId="13" borderId="15" xfId="0" applyNumberFormat="1" applyFont="1" applyFill="1" applyBorder="1" applyAlignment="1">
      <alignment horizontal="center" vertical="center"/>
    </xf>
    <xf numFmtId="1" fontId="1" fillId="13" borderId="16" xfId="0" applyNumberFormat="1" applyFont="1" applyFill="1" applyBorder="1"/>
    <xf numFmtId="1" fontId="1" fillId="13" borderId="29" xfId="0" applyNumberFormat="1" applyFont="1" applyFill="1" applyBorder="1"/>
    <xf numFmtId="1" fontId="3" fillId="13" borderId="22" xfId="0" applyNumberFormat="1" applyFont="1" applyFill="1" applyBorder="1" applyAlignment="1">
      <alignment horizontal="center" vertical="center"/>
    </xf>
    <xf numFmtId="1" fontId="3" fillId="13" borderId="18" xfId="0" applyNumberFormat="1" applyFont="1" applyFill="1" applyBorder="1" applyAlignment="1">
      <alignment horizontal="center" vertical="center"/>
    </xf>
    <xf numFmtId="1" fontId="3" fillId="13" borderId="11" xfId="0" applyNumberFormat="1" applyFont="1" applyFill="1" applyBorder="1" applyAlignment="1">
      <alignment horizontal="center" vertical="center"/>
    </xf>
    <xf numFmtId="1" fontId="1" fillId="13" borderId="12" xfId="0" applyNumberFormat="1" applyFont="1" applyFill="1" applyBorder="1" applyAlignment="1">
      <alignment horizontal="center"/>
    </xf>
    <xf numFmtId="1" fontId="1" fillId="13" borderId="13" xfId="0" applyNumberFormat="1" applyFont="1" applyFill="1" applyBorder="1" applyAlignment="1">
      <alignment horizontal="center"/>
    </xf>
    <xf numFmtId="1" fontId="1" fillId="13" borderId="1" xfId="0" applyNumberFormat="1" applyFont="1" applyFill="1" applyBorder="1"/>
    <xf numFmtId="1" fontId="1" fillId="13" borderId="17" xfId="0" applyNumberFormat="1" applyFont="1" applyFill="1" applyBorder="1"/>
    <xf numFmtId="1" fontId="1" fillId="13" borderId="31" xfId="0" applyNumberFormat="1" applyFont="1" applyFill="1" applyBorder="1"/>
    <xf numFmtId="1" fontId="1" fillId="13" borderId="30" xfId="0" applyNumberFormat="1" applyFont="1" applyFill="1" applyBorder="1"/>
    <xf numFmtId="164" fontId="1" fillId="13" borderId="27" xfId="0" applyNumberFormat="1" applyFont="1" applyFill="1" applyBorder="1" applyAlignment="1">
      <alignment horizontal="center"/>
    </xf>
    <xf numFmtId="164" fontId="1" fillId="13" borderId="24" xfId="0" applyNumberFormat="1" applyFont="1" applyFill="1" applyBorder="1" applyAlignment="1">
      <alignment horizontal="center"/>
    </xf>
    <xf numFmtId="164" fontId="1" fillId="13" borderId="32" xfId="0" applyNumberFormat="1" applyFont="1" applyFill="1" applyBorder="1" applyAlignment="1">
      <alignment horizontal="center"/>
    </xf>
    <xf numFmtId="164" fontId="1" fillId="13" borderId="28" xfId="0" applyNumberFormat="1" applyFont="1" applyFill="1" applyBorder="1" applyAlignment="1">
      <alignment horizontal="center"/>
    </xf>
    <xf numFmtId="164" fontId="1" fillId="13" borderId="25" xfId="0" applyNumberFormat="1" applyFont="1" applyFill="1" applyBorder="1" applyAlignment="1">
      <alignment horizontal="center"/>
    </xf>
    <xf numFmtId="164" fontId="1" fillId="13" borderId="71" xfId="0" applyNumberFormat="1" applyFont="1" applyFill="1" applyBorder="1" applyAlignment="1">
      <alignment horizontal="center"/>
    </xf>
    <xf numFmtId="164" fontId="1" fillId="13" borderId="3" xfId="0" applyNumberFormat="1" applyFont="1" applyFill="1" applyBorder="1" applyAlignment="1">
      <alignment horizontal="center"/>
    </xf>
    <xf numFmtId="164" fontId="1" fillId="13" borderId="73" xfId="0" applyNumberFormat="1" applyFont="1" applyFill="1" applyBorder="1" applyAlignment="1">
      <alignment horizontal="center"/>
    </xf>
    <xf numFmtId="164" fontId="1" fillId="13" borderId="19" xfId="0" applyNumberFormat="1" applyFont="1" applyFill="1" applyBorder="1" applyAlignment="1">
      <alignment horizontal="center"/>
    </xf>
    <xf numFmtId="164" fontId="1" fillId="13" borderId="20" xfId="0" applyNumberFormat="1" applyFont="1" applyFill="1" applyBorder="1" applyAlignment="1">
      <alignment horizontal="center"/>
    </xf>
    <xf numFmtId="0" fontId="12" fillId="16" borderId="7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1" fontId="1" fillId="13" borderId="5" xfId="0" applyNumberFormat="1" applyFont="1" applyFill="1" applyBorder="1" applyAlignment="1">
      <alignment wrapText="1"/>
    </xf>
    <xf numFmtId="1" fontId="1" fillId="13" borderId="6" xfId="0" applyNumberFormat="1" applyFont="1" applyFill="1" applyBorder="1" applyAlignment="1">
      <alignment horizontal="center" vertical="center"/>
    </xf>
    <xf numFmtId="3" fontId="1" fillId="13" borderId="58" xfId="0" applyNumberFormat="1" applyFont="1" applyFill="1" applyBorder="1" applyAlignment="1">
      <alignment horizontal="center" vertical="center"/>
    </xf>
    <xf numFmtId="3" fontId="1" fillId="13" borderId="59" xfId="0" applyNumberFormat="1" applyFont="1" applyFill="1" applyBorder="1" applyAlignment="1">
      <alignment horizontal="center" vertical="center"/>
    </xf>
    <xf numFmtId="3" fontId="1" fillId="13" borderId="74" xfId="0" applyNumberFormat="1" applyFont="1" applyFill="1" applyBorder="1" applyAlignment="1">
      <alignment horizontal="center" vertical="center"/>
    </xf>
    <xf numFmtId="3" fontId="1" fillId="13" borderId="64" xfId="0" applyNumberFormat="1" applyFont="1" applyFill="1" applyBorder="1" applyAlignment="1">
      <alignment horizontal="center" vertical="center"/>
    </xf>
    <xf numFmtId="1" fontId="1" fillId="13" borderId="58" xfId="0" applyNumberFormat="1" applyFont="1" applyFill="1" applyBorder="1" applyAlignment="1">
      <alignment wrapText="1"/>
    </xf>
    <xf numFmtId="1" fontId="1" fillId="13" borderId="59" xfId="0" applyNumberFormat="1" applyFont="1" applyFill="1" applyBorder="1" applyAlignment="1">
      <alignment horizontal="center" vertical="center"/>
    </xf>
    <xf numFmtId="1" fontId="1" fillId="13" borderId="60" xfId="0" applyNumberFormat="1" applyFont="1" applyFill="1" applyBorder="1" applyAlignment="1">
      <alignment horizontal="center" vertical="center"/>
    </xf>
    <xf numFmtId="1" fontId="1" fillId="14" borderId="52" xfId="0" applyNumberFormat="1" applyFont="1" applyFill="1" applyBorder="1" applyAlignment="1">
      <alignment horizontal="center" vertical="center"/>
    </xf>
    <xf numFmtId="1" fontId="1" fillId="14" borderId="54" xfId="0" applyNumberFormat="1" applyFont="1" applyFill="1" applyBorder="1" applyAlignment="1">
      <alignment horizontal="center" vertical="center"/>
    </xf>
    <xf numFmtId="1" fontId="1" fillId="14" borderId="7" xfId="0" applyNumberFormat="1" applyFont="1" applyFill="1" applyBorder="1" applyAlignment="1">
      <alignment horizontal="center" vertical="center"/>
    </xf>
    <xf numFmtId="1" fontId="1" fillId="14" borderId="55" xfId="0" applyNumberFormat="1" applyFont="1" applyFill="1" applyBorder="1" applyAlignment="1">
      <alignment horizontal="center" vertical="center"/>
    </xf>
    <xf numFmtId="1" fontId="1" fillId="14" borderId="53" xfId="0" applyNumberFormat="1" applyFont="1" applyFill="1" applyBorder="1" applyAlignment="1">
      <alignment horizontal="center" vertical="center"/>
    </xf>
    <xf numFmtId="1" fontId="1" fillId="14" borderId="56" xfId="0" applyNumberFormat="1" applyFont="1" applyFill="1" applyBorder="1" applyAlignment="1">
      <alignment horizontal="center" vertical="center"/>
    </xf>
    <xf numFmtId="1" fontId="1" fillId="14" borderId="72" xfId="0" applyNumberFormat="1" applyFont="1" applyFill="1" applyBorder="1" applyAlignment="1">
      <alignment horizontal="center" vertical="center"/>
    </xf>
    <xf numFmtId="1" fontId="1" fillId="14" borderId="75" xfId="0" applyNumberFormat="1" applyFont="1" applyFill="1" applyBorder="1" applyAlignment="1">
      <alignment horizontal="center" vertical="center"/>
    </xf>
    <xf numFmtId="1" fontId="1" fillId="14" borderId="76" xfId="0" applyNumberFormat="1" applyFont="1" applyFill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1" fillId="13" borderId="71" xfId="0" applyNumberFormat="1" applyFont="1" applyFill="1" applyBorder="1" applyAlignment="1">
      <alignment horizontal="center"/>
    </xf>
    <xf numFmtId="1" fontId="3" fillId="13" borderId="77" xfId="0" applyNumberFormat="1" applyFont="1" applyFill="1" applyBorder="1" applyAlignment="1">
      <alignment horizontal="center" vertical="center"/>
    </xf>
    <xf numFmtId="164" fontId="1" fillId="13" borderId="78" xfId="0" applyNumberFormat="1" applyFont="1" applyFill="1" applyBorder="1" applyAlignment="1">
      <alignment horizontal="center"/>
    </xf>
    <xf numFmtId="1" fontId="3" fillId="13" borderId="15" xfId="0" quotePrefix="1" applyNumberFormat="1" applyFont="1" applyFill="1" applyBorder="1" applyAlignment="1">
      <alignment horizontal="center" vertical="center"/>
    </xf>
    <xf numFmtId="1" fontId="3" fillId="13" borderId="23" xfId="0" applyNumberFormat="1" applyFont="1" applyFill="1" applyBorder="1" applyAlignment="1">
      <alignment horizontal="center" vertical="center"/>
    </xf>
    <xf numFmtId="1" fontId="3" fillId="13" borderId="52" xfId="0" applyNumberFormat="1" applyFont="1" applyFill="1" applyBorder="1" applyAlignment="1">
      <alignment horizontal="center" vertical="center"/>
    </xf>
    <xf numFmtId="1" fontId="3" fillId="13" borderId="69" xfId="0" applyNumberFormat="1" applyFont="1" applyFill="1" applyBorder="1" applyAlignment="1">
      <alignment horizontal="center" vertical="center"/>
    </xf>
    <xf numFmtId="1" fontId="3" fillId="13" borderId="26" xfId="0" applyNumberFormat="1" applyFont="1" applyFill="1" applyBorder="1" applyAlignment="1">
      <alignment horizontal="center" vertical="center"/>
    </xf>
    <xf numFmtId="3" fontId="3" fillId="13" borderId="23" xfId="0" applyNumberFormat="1" applyFont="1" applyFill="1" applyBorder="1" applyAlignment="1">
      <alignment horizontal="center" vertical="center" wrapText="1"/>
    </xf>
    <xf numFmtId="0" fontId="10" fillId="14" borderId="38" xfId="0" applyFont="1" applyFill="1" applyBorder="1" applyAlignment="1">
      <alignment horizontal="center"/>
    </xf>
    <xf numFmtId="0" fontId="10" fillId="14" borderId="61" xfId="0" applyFont="1" applyFill="1" applyBorder="1" applyAlignment="1">
      <alignment horizontal="center"/>
    </xf>
    <xf numFmtId="164" fontId="1" fillId="14" borderId="52" xfId="0" applyNumberFormat="1" applyFont="1" applyFill="1" applyBorder="1" applyAlignment="1">
      <alignment horizontal="center" vertical="center"/>
    </xf>
    <xf numFmtId="164" fontId="1" fillId="14" borderId="72" xfId="0" applyNumberFormat="1" applyFont="1" applyFill="1" applyBorder="1" applyAlignment="1">
      <alignment horizontal="center" vertical="center"/>
    </xf>
    <xf numFmtId="164" fontId="1" fillId="14" borderId="54" xfId="0" applyNumberFormat="1" applyFont="1" applyFill="1" applyBorder="1" applyAlignment="1">
      <alignment horizontal="center" vertical="center"/>
    </xf>
    <xf numFmtId="164" fontId="1" fillId="14" borderId="75" xfId="0" applyNumberFormat="1" applyFont="1" applyFill="1" applyBorder="1" applyAlignment="1">
      <alignment horizontal="center" vertical="center"/>
    </xf>
    <xf numFmtId="164" fontId="1" fillId="14" borderId="7" xfId="0" applyNumberFormat="1" applyFont="1" applyFill="1" applyBorder="1" applyAlignment="1">
      <alignment horizontal="center" vertical="center"/>
    </xf>
    <xf numFmtId="164" fontId="1" fillId="14" borderId="55" xfId="0" applyNumberFormat="1" applyFont="1" applyFill="1" applyBorder="1" applyAlignment="1">
      <alignment horizontal="center" vertical="center"/>
    </xf>
    <xf numFmtId="164" fontId="1" fillId="14" borderId="76" xfId="0" applyNumberFormat="1" applyFont="1" applyFill="1" applyBorder="1" applyAlignment="1">
      <alignment horizontal="center" vertical="center"/>
    </xf>
    <xf numFmtId="164" fontId="1" fillId="14" borderId="53" xfId="0" applyNumberFormat="1" applyFont="1" applyFill="1" applyBorder="1" applyAlignment="1">
      <alignment horizontal="center" vertical="center"/>
    </xf>
    <xf numFmtId="164" fontId="1" fillId="14" borderId="56" xfId="0" applyNumberFormat="1" applyFont="1" applyFill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/>
    </xf>
    <xf numFmtId="164" fontId="3" fillId="0" borderId="61" xfId="0" applyNumberFormat="1" applyFont="1" applyBorder="1" applyAlignment="1">
      <alignment horizontal="center"/>
    </xf>
    <xf numFmtId="164" fontId="3" fillId="0" borderId="62" xfId="0" applyNumberFormat="1" applyFont="1" applyBorder="1" applyAlignment="1">
      <alignment horizontal="center"/>
    </xf>
    <xf numFmtId="164" fontId="3" fillId="0" borderId="58" xfId="0" applyNumberFormat="1" applyFont="1" applyBorder="1" applyAlignment="1">
      <alignment horizontal="center" vertical="center"/>
    </xf>
    <xf numFmtId="164" fontId="3" fillId="0" borderId="59" xfId="0" applyNumberFormat="1" applyFont="1" applyBorder="1" applyAlignment="1">
      <alignment horizontal="center" vertical="center"/>
    </xf>
    <xf numFmtId="164" fontId="3" fillId="0" borderId="60" xfId="0" applyNumberFormat="1" applyFont="1" applyBorder="1" applyAlignment="1">
      <alignment horizontal="center" vertical="center"/>
    </xf>
    <xf numFmtId="164" fontId="0" fillId="0" borderId="0" xfId="0" applyNumberFormat="1" applyFont="1" applyAlignment="1"/>
    <xf numFmtId="1" fontId="1" fillId="17" borderId="0" xfId="0" applyNumberFormat="1" applyFont="1" applyFill="1"/>
    <xf numFmtId="164" fontId="1" fillId="17" borderId="0" xfId="0" applyNumberFormat="1" applyFont="1" applyFill="1"/>
    <xf numFmtId="164" fontId="1" fillId="17" borderId="0" xfId="0" applyNumberFormat="1" applyFont="1" applyFill="1" applyAlignment="1">
      <alignment horizontal="left"/>
    </xf>
    <xf numFmtId="3" fontId="1" fillId="17" borderId="0" xfId="0" applyNumberFormat="1" applyFont="1" applyFill="1" applyAlignment="1">
      <alignment horizontal="left"/>
    </xf>
    <xf numFmtId="0" fontId="0" fillId="17" borderId="0" xfId="0" applyFont="1" applyFill="1" applyAlignment="1"/>
    <xf numFmtId="0" fontId="1" fillId="17" borderId="0" xfId="0" applyFont="1" applyFill="1"/>
    <xf numFmtId="0" fontId="3" fillId="17" borderId="0" xfId="0" applyFont="1" applyFill="1"/>
    <xf numFmtId="1" fontId="3" fillId="13" borderId="79" xfId="0" applyNumberFormat="1" applyFont="1" applyFill="1" applyBorder="1" applyAlignment="1">
      <alignment horizontal="center" vertical="center"/>
    </xf>
    <xf numFmtId="1" fontId="3" fillId="13" borderId="80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1" fontId="1" fillId="13" borderId="81" xfId="0" applyNumberFormat="1" applyFont="1" applyFill="1" applyBorder="1" applyAlignment="1">
      <alignment horizontal="center"/>
    </xf>
    <xf numFmtId="0" fontId="1" fillId="17" borderId="0" xfId="0" applyFont="1" applyFill="1" applyAlignment="1">
      <alignment horizontal="left" wrapText="1"/>
    </xf>
    <xf numFmtId="1" fontId="1" fillId="17" borderId="0" xfId="0" applyNumberFormat="1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1" fillId="17" borderId="0" xfId="0" applyFont="1" applyFill="1" applyBorder="1" applyAlignment="1">
      <alignment horizontal="center"/>
    </xf>
    <xf numFmtId="164" fontId="1" fillId="17" borderId="0" xfId="0" applyNumberFormat="1" applyFont="1" applyFill="1" applyAlignment="1">
      <alignment horizontal="center"/>
    </xf>
    <xf numFmtId="164" fontId="1" fillId="17" borderId="0" xfId="0" applyNumberFormat="1" applyFont="1" applyFill="1" applyBorder="1" applyAlignment="1">
      <alignment horizontal="center"/>
    </xf>
    <xf numFmtId="0" fontId="1" fillId="17" borderId="0" xfId="0" applyFont="1" applyFill="1" applyAlignment="1">
      <alignment horizontal="left"/>
    </xf>
    <xf numFmtId="0" fontId="1" fillId="17" borderId="0" xfId="0" applyFont="1" applyFill="1" applyBorder="1" applyAlignment="1">
      <alignment horizontal="left"/>
    </xf>
    <xf numFmtId="164" fontId="1" fillId="13" borderId="61" xfId="0" applyNumberFormat="1" applyFont="1" applyFill="1" applyBorder="1" applyAlignment="1">
      <alignment horizontal="center"/>
    </xf>
    <xf numFmtId="164" fontId="1" fillId="13" borderId="62" xfId="0" applyNumberFormat="1" applyFont="1" applyFill="1" applyBorder="1" applyAlignment="1">
      <alignment horizontal="center"/>
    </xf>
    <xf numFmtId="164" fontId="1" fillId="13" borderId="82" xfId="0" applyNumberFormat="1" applyFont="1" applyFill="1" applyBorder="1" applyAlignment="1">
      <alignment horizontal="center"/>
    </xf>
    <xf numFmtId="164" fontId="12" fillId="7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left"/>
    </xf>
    <xf numFmtId="1" fontId="1" fillId="13" borderId="7" xfId="0" applyNumberFormat="1" applyFont="1" applyFill="1" applyBorder="1" applyAlignment="1">
      <alignment horizontal="center"/>
    </xf>
    <xf numFmtId="1" fontId="1" fillId="13" borderId="41" xfId="0" applyNumberFormat="1" applyFont="1" applyFill="1" applyBorder="1" applyAlignment="1">
      <alignment horizontal="center"/>
    </xf>
    <xf numFmtId="1" fontId="1" fillId="13" borderId="25" xfId="0" applyNumberFormat="1" applyFont="1" applyFill="1" applyBorder="1" applyAlignment="1">
      <alignment horizontal="center"/>
    </xf>
    <xf numFmtId="1" fontId="1" fillId="13" borderId="47" xfId="0" applyNumberFormat="1" applyFont="1" applyFill="1" applyBorder="1" applyAlignment="1">
      <alignment horizontal="center"/>
    </xf>
    <xf numFmtId="0" fontId="1" fillId="18" borderId="3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164" fontId="4" fillId="19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" fontId="1" fillId="13" borderId="42" xfId="0" applyNumberFormat="1" applyFont="1" applyFill="1" applyBorder="1" applyAlignment="1">
      <alignment horizontal="center"/>
    </xf>
    <xf numFmtId="164" fontId="1" fillId="13" borderId="1" xfId="0" applyNumberFormat="1" applyFont="1" applyFill="1" applyBorder="1" applyAlignment="1" applyProtection="1">
      <alignment horizontal="center"/>
    </xf>
    <xf numFmtId="1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7" borderId="21" xfId="0" applyNumberFormat="1" applyFont="1" applyFill="1" applyBorder="1" applyAlignment="1" applyProtection="1">
      <alignment horizontal="center" vertical="center"/>
      <protection locked="0"/>
    </xf>
    <xf numFmtId="1" fontId="3" fillId="7" borderId="22" xfId="0" applyNumberFormat="1" applyFont="1" applyFill="1" applyBorder="1" applyAlignment="1" applyProtection="1">
      <alignment horizontal="center" vertical="center"/>
      <protection locked="0"/>
    </xf>
    <xf numFmtId="0" fontId="12" fillId="10" borderId="7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protection locked="0"/>
    </xf>
    <xf numFmtId="164" fontId="0" fillId="7" borderId="49" xfId="0" applyNumberFormat="1" applyFont="1" applyFill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horizontal="center"/>
      <protection locked="0"/>
    </xf>
    <xf numFmtId="17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protection locked="0"/>
    </xf>
    <xf numFmtId="164" fontId="0" fillId="7" borderId="7" xfId="0" applyNumberFormat="1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1" fontId="12" fillId="6" borderId="7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3" xfId="0" applyNumberFormat="1" applyFont="1" applyFill="1" applyBorder="1" applyAlignment="1" applyProtection="1">
      <alignment horizontal="center" vertical="center"/>
      <protection locked="0"/>
    </xf>
    <xf numFmtId="0" fontId="1" fillId="11" borderId="3" xfId="0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164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7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Protection="1">
      <protection locked="0"/>
    </xf>
    <xf numFmtId="0" fontId="1" fillId="7" borderId="3" xfId="0" applyFont="1" applyFill="1" applyBorder="1" applyAlignment="1" applyProtection="1">
      <protection locked="0"/>
    </xf>
    <xf numFmtId="0" fontId="1" fillId="7" borderId="1" xfId="0" applyFont="1" applyFill="1" applyBorder="1" applyProtection="1">
      <protection locked="0"/>
    </xf>
    <xf numFmtId="164" fontId="1" fillId="7" borderId="1" xfId="0" applyNumberFormat="1" applyFont="1" applyFill="1" applyBorder="1" applyProtection="1">
      <protection locked="0"/>
    </xf>
    <xf numFmtId="2" fontId="1" fillId="6" borderId="1" xfId="0" applyNumberFormat="1" applyFont="1" applyFill="1" applyBorder="1" applyProtection="1">
      <protection locked="0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52" xfId="0" applyFont="1" applyFill="1" applyBorder="1" applyAlignment="1" applyProtection="1">
      <alignment horizontal="center" vertical="center"/>
      <protection locked="0"/>
    </xf>
    <xf numFmtId="0" fontId="10" fillId="7" borderId="38" xfId="0" applyFont="1" applyFill="1" applyBorder="1" applyAlignment="1" applyProtection="1">
      <alignment horizontal="center"/>
      <protection locked="0"/>
    </xf>
    <xf numFmtId="0" fontId="10" fillId="7" borderId="61" xfId="0" applyFont="1" applyFill="1" applyBorder="1" applyAlignment="1" applyProtection="1">
      <alignment horizontal="center"/>
      <protection locked="0"/>
    </xf>
    <xf numFmtId="0" fontId="0" fillId="7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9" fillId="7" borderId="23" xfId="0" applyFont="1" applyFill="1" applyBorder="1" applyAlignment="1" applyProtection="1">
      <alignment horizontal="center"/>
      <protection locked="0"/>
    </xf>
    <xf numFmtId="0" fontId="0" fillId="7" borderId="52" xfId="0" applyFont="1" applyFill="1" applyBorder="1" applyAlignment="1" applyProtection="1">
      <alignment horizontal="center"/>
      <protection locked="0"/>
    </xf>
    <xf numFmtId="0" fontId="0" fillId="7" borderId="69" xfId="0" applyFont="1" applyFill="1" applyBorder="1" applyAlignment="1" applyProtection="1">
      <alignment horizontal="center"/>
      <protection locked="0"/>
    </xf>
    <xf numFmtId="0" fontId="9" fillId="7" borderId="24" xfId="0" applyFont="1" applyFill="1" applyBorder="1" applyAlignment="1" applyProtection="1">
      <alignment horizontal="center"/>
      <protection locked="0"/>
    </xf>
    <xf numFmtId="0" fontId="0" fillId="7" borderId="41" xfId="0" applyFont="1" applyFill="1" applyBorder="1" applyAlignment="1" applyProtection="1">
      <alignment horizontal="center"/>
      <protection locked="0"/>
    </xf>
    <xf numFmtId="0" fontId="9" fillId="7" borderId="25" xfId="0" applyFont="1" applyFill="1" applyBorder="1" applyAlignment="1" applyProtection="1">
      <alignment horizontal="center"/>
      <protection locked="0"/>
    </xf>
    <xf numFmtId="0" fontId="0" fillId="7" borderId="47" xfId="0" applyFont="1" applyFill="1" applyBorder="1" applyAlignment="1" applyProtection="1">
      <alignment horizontal="center"/>
      <protection locked="0"/>
    </xf>
    <xf numFmtId="0" fontId="0" fillId="7" borderId="42" xfId="0" applyFont="1" applyFill="1" applyBorder="1" applyAlignment="1" applyProtection="1">
      <alignment horizontal="center"/>
      <protection locked="0"/>
    </xf>
    <xf numFmtId="164" fontId="1" fillId="6" borderId="3" xfId="0" applyNumberFormat="1" applyFont="1" applyFill="1" applyBorder="1" applyAlignment="1" applyProtection="1">
      <alignment horizontal="center" vertical="center"/>
      <protection locked="0"/>
    </xf>
    <xf numFmtId="14" fontId="1" fillId="6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left"/>
    </xf>
    <xf numFmtId="164" fontId="3" fillId="13" borderId="7" xfId="0" applyNumberFormat="1" applyFont="1" applyFill="1" applyBorder="1" applyAlignment="1">
      <alignment horizontal="center"/>
    </xf>
    <xf numFmtId="164" fontId="3" fillId="13" borderId="47" xfId="0" applyNumberFormat="1" applyFont="1" applyFill="1" applyBorder="1" applyAlignment="1">
      <alignment horizontal="center"/>
    </xf>
    <xf numFmtId="164" fontId="3" fillId="13" borderId="23" xfId="0" applyNumberFormat="1" applyFont="1" applyFill="1" applyBorder="1" applyAlignment="1">
      <alignment horizontal="center" vertical="center" wrapText="1"/>
    </xf>
    <xf numFmtId="164" fontId="3" fillId="13" borderId="52" xfId="0" applyNumberFormat="1" applyFont="1" applyFill="1" applyBorder="1" applyAlignment="1">
      <alignment horizontal="center" vertical="center" wrapText="1"/>
    </xf>
    <xf numFmtId="164" fontId="1" fillId="13" borderId="52" xfId="0" applyNumberFormat="1" applyFont="1" applyFill="1" applyBorder="1" applyAlignment="1">
      <alignment horizontal="center" vertical="center" wrapText="1"/>
    </xf>
    <xf numFmtId="164" fontId="1" fillId="13" borderId="7" xfId="0" applyNumberFormat="1" applyFont="1" applyFill="1" applyBorder="1" applyAlignment="1">
      <alignment horizontal="center"/>
    </xf>
    <xf numFmtId="1" fontId="1" fillId="13" borderId="48" xfId="0" applyNumberFormat="1" applyFont="1" applyFill="1" applyBorder="1" applyAlignment="1">
      <alignment horizontal="center" vertical="center" wrapText="1"/>
    </xf>
    <xf numFmtId="1" fontId="1" fillId="13" borderId="49" xfId="0" applyNumberFormat="1" applyFont="1" applyFill="1" applyBorder="1" applyAlignment="1">
      <alignment horizontal="center" vertical="center" wrapText="1"/>
    </xf>
    <xf numFmtId="164" fontId="1" fillId="13" borderId="47" xfId="0" applyNumberFormat="1" applyFont="1" applyFill="1" applyBorder="1" applyAlignment="1">
      <alignment horizontal="center"/>
    </xf>
    <xf numFmtId="0" fontId="1" fillId="13" borderId="83" xfId="0" applyFont="1" applyFill="1" applyBorder="1" applyAlignment="1">
      <alignment horizontal="center" vertical="center" wrapText="1"/>
    </xf>
    <xf numFmtId="1" fontId="1" fillId="13" borderId="84" xfId="0" applyNumberFormat="1" applyFont="1" applyFill="1" applyBorder="1" applyAlignment="1">
      <alignment horizontal="left" wrapText="1"/>
    </xf>
    <xf numFmtId="1" fontId="1" fillId="13" borderId="85" xfId="0" applyNumberFormat="1" applyFont="1" applyFill="1" applyBorder="1" applyAlignment="1">
      <alignment horizontal="left" wrapText="1"/>
    </xf>
    <xf numFmtId="164" fontId="0" fillId="13" borderId="25" xfId="0" applyNumberFormat="1" applyFont="1" applyFill="1" applyBorder="1" applyAlignment="1"/>
    <xf numFmtId="164" fontId="0" fillId="13" borderId="47" xfId="0" applyNumberFormat="1" applyFont="1" applyFill="1" applyBorder="1" applyAlignment="1"/>
    <xf numFmtId="164" fontId="10" fillId="20" borderId="47" xfId="0" applyNumberFormat="1" applyFont="1" applyFill="1" applyBorder="1" applyAlignment="1"/>
    <xf numFmtId="164" fontId="3" fillId="20" borderId="69" xfId="0" applyNumberFormat="1" applyFont="1" applyFill="1" applyBorder="1" applyAlignment="1">
      <alignment horizontal="center" vertical="center" wrapText="1"/>
    </xf>
    <xf numFmtId="164" fontId="3" fillId="14" borderId="52" xfId="0" applyNumberFormat="1" applyFont="1" applyFill="1" applyBorder="1" applyAlignment="1">
      <alignment horizontal="center" vertical="center" wrapText="1"/>
    </xf>
    <xf numFmtId="164" fontId="3" fillId="14" borderId="69" xfId="0" applyNumberFormat="1" applyFont="1" applyFill="1" applyBorder="1" applyAlignment="1">
      <alignment horizontal="center" vertical="center" wrapText="1"/>
    </xf>
    <xf numFmtId="164" fontId="3" fillId="14" borderId="7" xfId="0" applyNumberFormat="1" applyFont="1" applyFill="1" applyBorder="1" applyAlignment="1">
      <alignment horizontal="center"/>
    </xf>
    <xf numFmtId="164" fontId="3" fillId="14" borderId="41" xfId="0" applyNumberFormat="1" applyFont="1" applyFill="1" applyBorder="1" applyAlignment="1">
      <alignment horizontal="center"/>
    </xf>
    <xf numFmtId="164" fontId="3" fillId="14" borderId="47" xfId="0" applyNumberFormat="1" applyFont="1" applyFill="1" applyBorder="1" applyAlignment="1">
      <alignment horizontal="center"/>
    </xf>
    <xf numFmtId="164" fontId="3" fillId="14" borderId="42" xfId="0" applyNumberFormat="1" applyFont="1" applyFill="1" applyBorder="1" applyAlignment="1">
      <alignment horizontal="center"/>
    </xf>
    <xf numFmtId="164" fontId="3" fillId="14" borderId="49" xfId="0" applyNumberFormat="1" applyFont="1" applyFill="1" applyBorder="1" applyAlignment="1">
      <alignment horizontal="center" vertical="center" wrapText="1"/>
    </xf>
    <xf numFmtId="164" fontId="1" fillId="14" borderId="7" xfId="0" applyNumberFormat="1" applyFont="1" applyFill="1" applyBorder="1" applyAlignment="1">
      <alignment horizontal="center"/>
    </xf>
    <xf numFmtId="164" fontId="1" fillId="14" borderId="47" xfId="0" applyNumberFormat="1" applyFont="1" applyFill="1" applyBorder="1" applyAlignment="1">
      <alignment horizontal="center"/>
    </xf>
    <xf numFmtId="164" fontId="3" fillId="20" borderId="52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164" fontId="1" fillId="7" borderId="4" xfId="0" applyNumberFormat="1" applyFont="1" applyFill="1" applyBorder="1" applyAlignment="1" applyProtection="1">
      <alignment horizontal="center"/>
      <protection locked="0"/>
    </xf>
    <xf numFmtId="2" fontId="1" fillId="6" borderId="1" xfId="0" applyNumberFormat="1" applyFont="1" applyFill="1" applyBorder="1" applyAlignment="1" applyProtection="1">
      <alignment horizontal="center"/>
      <protection locked="0"/>
    </xf>
    <xf numFmtId="0" fontId="1" fillId="7" borderId="3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4" fontId="0" fillId="13" borderId="7" xfId="0" applyNumberFormat="1" applyFont="1" applyFill="1" applyBorder="1" applyAlignment="1"/>
    <xf numFmtId="0" fontId="0" fillId="13" borderId="7" xfId="0" applyFont="1" applyFill="1" applyBorder="1" applyAlignment="1"/>
    <xf numFmtId="164" fontId="0" fillId="13" borderId="24" xfId="0" applyNumberFormat="1" applyFont="1" applyFill="1" applyBorder="1" applyAlignment="1"/>
    <xf numFmtId="164" fontId="0" fillId="14" borderId="7" xfId="0" applyNumberFormat="1" applyFont="1" applyFill="1" applyBorder="1" applyAlignment="1"/>
    <xf numFmtId="164" fontId="0" fillId="14" borderId="47" xfId="0" applyNumberFormat="1" applyFont="1" applyFill="1" applyBorder="1" applyAlignment="1"/>
    <xf numFmtId="164" fontId="10" fillId="20" borderId="7" xfId="0" applyNumberFormat="1" applyFont="1" applyFill="1" applyBorder="1" applyAlignment="1"/>
    <xf numFmtId="0" fontId="10" fillId="20" borderId="41" xfId="0" applyFont="1" applyFill="1" applyBorder="1" applyAlignment="1"/>
    <xf numFmtId="0" fontId="0" fillId="21" borderId="26" xfId="0" applyFont="1" applyFill="1" applyBorder="1" applyAlignment="1"/>
    <xf numFmtId="0" fontId="0" fillId="21" borderId="27" xfId="0" applyFont="1" applyFill="1" applyBorder="1" applyAlignment="1"/>
    <xf numFmtId="0" fontId="0" fillId="21" borderId="28" xfId="0" applyFont="1" applyFill="1" applyBorder="1" applyAlignment="1"/>
    <xf numFmtId="0" fontId="1" fillId="17" borderId="0" xfId="0" applyFont="1" applyFill="1" applyBorder="1" applyAlignment="1">
      <alignment horizontal="left" wrapText="1"/>
    </xf>
    <xf numFmtId="1" fontId="1" fillId="17" borderId="0" xfId="0" applyNumberFormat="1" applyFont="1" applyFill="1" applyBorder="1" applyAlignment="1">
      <alignment horizontal="center"/>
    </xf>
    <xf numFmtId="0" fontId="0" fillId="17" borderId="0" xfId="0" applyFont="1" applyFill="1" applyBorder="1" applyAlignment="1"/>
    <xf numFmtId="1" fontId="3" fillId="13" borderId="88" xfId="0" applyNumberFormat="1" applyFont="1" applyFill="1" applyBorder="1" applyAlignment="1">
      <alignment horizontal="center" vertical="center"/>
    </xf>
    <xf numFmtId="1" fontId="3" fillId="13" borderId="89" xfId="0" applyNumberFormat="1" applyFont="1" applyFill="1" applyBorder="1" applyAlignment="1">
      <alignment horizontal="center" vertical="center"/>
    </xf>
    <xf numFmtId="1" fontId="3" fillId="13" borderId="57" xfId="0" applyNumberFormat="1" applyFont="1" applyFill="1" applyBorder="1" applyAlignment="1">
      <alignment horizontal="center" vertical="center"/>
    </xf>
    <xf numFmtId="1" fontId="1" fillId="13" borderId="14" xfId="0" applyNumberFormat="1" applyFont="1" applyFill="1" applyBorder="1" applyAlignment="1">
      <alignment horizontal="center"/>
    </xf>
    <xf numFmtId="1" fontId="1" fillId="13" borderId="21" xfId="0" applyNumberFormat="1" applyFont="1" applyFill="1" applyBorder="1" applyAlignment="1">
      <alignment horizontal="center"/>
    </xf>
    <xf numFmtId="1" fontId="1" fillId="13" borderId="15" xfId="0" applyNumberFormat="1" applyFont="1" applyFill="1" applyBorder="1" applyAlignment="1">
      <alignment horizontal="center"/>
    </xf>
    <xf numFmtId="1" fontId="1" fillId="13" borderId="11" xfId="0" applyNumberFormat="1" applyFont="1" applyFill="1" applyBorder="1" applyAlignment="1">
      <alignment horizontal="center"/>
    </xf>
    <xf numFmtId="1" fontId="3" fillId="13" borderId="90" xfId="0" applyNumberFormat="1" applyFont="1" applyFill="1" applyBorder="1" applyAlignment="1">
      <alignment horizontal="center" vertical="center"/>
    </xf>
    <xf numFmtId="1" fontId="3" fillId="13" borderId="86" xfId="0" applyNumberFormat="1" applyFont="1" applyFill="1" applyBorder="1" applyAlignment="1">
      <alignment horizontal="center" vertical="center"/>
    </xf>
    <xf numFmtId="1" fontId="3" fillId="13" borderId="87" xfId="0" applyNumberFormat="1" applyFont="1" applyFill="1" applyBorder="1" applyAlignment="1">
      <alignment horizontal="center" vertical="center"/>
    </xf>
    <xf numFmtId="1" fontId="1" fillId="13" borderId="23" xfId="0" applyNumberFormat="1" applyFont="1" applyFill="1" applyBorder="1" applyAlignment="1">
      <alignment horizontal="center"/>
    </xf>
    <xf numFmtId="1" fontId="1" fillId="13" borderId="52" xfId="0" applyNumberFormat="1" applyFont="1" applyFill="1" applyBorder="1" applyAlignment="1">
      <alignment horizontal="center"/>
    </xf>
    <xf numFmtId="1" fontId="1" fillId="13" borderId="69" xfId="0" applyNumberFormat="1" applyFont="1" applyFill="1" applyBorder="1" applyAlignment="1">
      <alignment horizontal="center"/>
    </xf>
    <xf numFmtId="0" fontId="1" fillId="6" borderId="3" xfId="0" applyFont="1" applyFill="1" applyBorder="1" applyProtection="1">
      <protection locked="0"/>
    </xf>
    <xf numFmtId="164" fontId="0" fillId="7" borderId="49" xfId="0" applyNumberFormat="1" applyFill="1" applyBorder="1" applyAlignment="1" applyProtection="1">
      <alignment horizontal="center"/>
      <protection locked="0"/>
    </xf>
    <xf numFmtId="1" fontId="3" fillId="13" borderId="14" xfId="0" applyNumberFormat="1" applyFont="1" applyFill="1" applyBorder="1" applyAlignment="1">
      <alignment horizontal="center" vertical="center" wrapText="1"/>
    </xf>
    <xf numFmtId="1" fontId="3" fillId="13" borderId="21" xfId="0" applyNumberFormat="1" applyFont="1" applyFill="1" applyBorder="1" applyAlignment="1">
      <alignment horizontal="center" vertical="center" wrapText="1"/>
    </xf>
    <xf numFmtId="1" fontId="3" fillId="13" borderId="16" xfId="0" applyNumberFormat="1" applyFont="1" applyFill="1" applyBorder="1" applyAlignment="1">
      <alignment horizontal="center"/>
    </xf>
    <xf numFmtId="1" fontId="3" fillId="13" borderId="1" xfId="0" applyNumberFormat="1" applyFont="1" applyFill="1" applyBorder="1" applyAlignment="1">
      <alignment horizontal="center"/>
    </xf>
    <xf numFmtId="1" fontId="3" fillId="13" borderId="17" xfId="0" applyNumberFormat="1" applyFont="1" applyFill="1" applyBorder="1" applyAlignment="1">
      <alignment horizontal="center"/>
    </xf>
    <xf numFmtId="1" fontId="1" fillId="13" borderId="79" xfId="0" applyNumberFormat="1" applyFont="1" applyFill="1" applyBorder="1" applyAlignment="1">
      <alignment horizontal="center" vertical="center" wrapText="1"/>
    </xf>
    <xf numFmtId="164" fontId="1" fillId="13" borderId="88" xfId="0" applyNumberFormat="1" applyFont="1" applyFill="1" applyBorder="1" applyAlignment="1">
      <alignment horizontal="center" vertical="center" wrapText="1"/>
    </xf>
    <xf numFmtId="1" fontId="1" fillId="13" borderId="88" xfId="0" applyNumberFormat="1" applyFont="1" applyFill="1" applyBorder="1" applyAlignment="1">
      <alignment horizontal="center" vertical="center" wrapText="1"/>
    </xf>
    <xf numFmtId="164" fontId="1" fillId="13" borderId="80" xfId="0" applyNumberFormat="1" applyFont="1" applyFill="1" applyBorder="1" applyAlignment="1">
      <alignment horizontal="center" vertical="center" wrapText="1"/>
    </xf>
    <xf numFmtId="164" fontId="10" fillId="20" borderId="42" xfId="0" applyNumberFormat="1" applyFont="1" applyFill="1" applyBorder="1" applyAlignment="1"/>
    <xf numFmtId="1" fontId="1" fillId="13" borderId="14" xfId="0" applyNumberFormat="1" applyFont="1" applyFill="1" applyBorder="1" applyAlignment="1">
      <alignment vertical="center" wrapText="1"/>
    </xf>
    <xf numFmtId="1" fontId="3" fillId="7" borderId="52" xfId="0" applyNumberFormat="1" applyFont="1" applyFill="1" applyBorder="1" applyAlignment="1">
      <alignment horizontal="center" vertical="center"/>
    </xf>
    <xf numFmtId="1" fontId="3" fillId="7" borderId="69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/>
    <xf numFmtId="1" fontId="3" fillId="7" borderId="26" xfId="0" applyNumberFormat="1" applyFont="1" applyFill="1" applyBorder="1" applyAlignment="1">
      <alignment horizontal="center" vertical="center"/>
    </xf>
    <xf numFmtId="1" fontId="3" fillId="7" borderId="73" xfId="0" applyNumberFormat="1" applyFont="1" applyFill="1" applyBorder="1" applyAlignment="1">
      <alignment horizontal="center" vertical="center"/>
    </xf>
    <xf numFmtId="1" fontId="3" fillId="7" borderId="49" xfId="0" applyNumberFormat="1" applyFont="1" applyFill="1" applyBorder="1" applyAlignment="1">
      <alignment horizontal="center" vertical="center"/>
    </xf>
    <xf numFmtId="1" fontId="3" fillId="7" borderId="50" xfId="0" applyNumberFormat="1" applyFont="1" applyFill="1" applyBorder="1" applyAlignment="1">
      <alignment horizontal="center" vertical="center"/>
    </xf>
    <xf numFmtId="1" fontId="3" fillId="13" borderId="9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/>
    <xf numFmtId="164" fontId="1" fillId="13" borderId="93" xfId="0" applyNumberFormat="1" applyFont="1" applyFill="1" applyBorder="1" applyAlignment="1">
      <alignment horizontal="center"/>
    </xf>
    <xf numFmtId="1" fontId="3" fillId="13" borderId="92" xfId="0" applyNumberFormat="1" applyFont="1" applyFill="1" applyBorder="1" applyAlignment="1">
      <alignment horizontal="center" vertical="center"/>
    </xf>
    <xf numFmtId="164" fontId="1" fillId="13" borderId="44" xfId="0" applyNumberFormat="1" applyFont="1" applyFill="1" applyBorder="1" applyAlignment="1">
      <alignment horizontal="center"/>
    </xf>
    <xf numFmtId="164" fontId="1" fillId="13" borderId="46" xfId="0" applyNumberFormat="1" applyFont="1" applyFill="1" applyBorder="1" applyAlignment="1">
      <alignment horizontal="center"/>
    </xf>
    <xf numFmtId="164" fontId="1" fillId="13" borderId="41" xfId="0" applyNumberFormat="1" applyFont="1" applyFill="1" applyBorder="1" applyAlignment="1">
      <alignment horizontal="center"/>
    </xf>
    <xf numFmtId="1" fontId="3" fillId="13" borderId="94" xfId="0" quotePrefix="1" applyNumberFormat="1" applyFont="1" applyFill="1" applyBorder="1" applyAlignment="1">
      <alignment horizontal="center" vertical="center"/>
    </xf>
    <xf numFmtId="164" fontId="1" fillId="13" borderId="84" xfId="0" applyNumberFormat="1" applyFont="1" applyFill="1" applyBorder="1" applyAlignment="1">
      <alignment horizontal="center"/>
    </xf>
    <xf numFmtId="164" fontId="1" fillId="13" borderId="85" xfId="0" applyNumberFormat="1" applyFont="1" applyFill="1" applyBorder="1" applyAlignment="1">
      <alignment horizontal="center"/>
    </xf>
    <xf numFmtId="1" fontId="3" fillId="13" borderId="95" xfId="0" quotePrefix="1" applyNumberFormat="1" applyFont="1" applyFill="1" applyBorder="1" applyAlignment="1">
      <alignment horizontal="center" vertical="center"/>
    </xf>
    <xf numFmtId="164" fontId="1" fillId="13" borderId="96" xfId="0" applyNumberFormat="1" applyFont="1" applyFill="1" applyBorder="1" applyAlignment="1">
      <alignment horizontal="center"/>
    </xf>
    <xf numFmtId="164" fontId="1" fillId="13" borderId="97" xfId="0" applyNumberFormat="1" applyFont="1" applyFill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86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5" fillId="18" borderId="0" xfId="0" applyFont="1" applyFill="1" applyAlignment="1"/>
    <xf numFmtId="0" fontId="25" fillId="18" borderId="0" xfId="0" applyFont="1" applyFill="1" applyBorder="1" applyAlignment="1"/>
    <xf numFmtId="0" fontId="23" fillId="18" borderId="1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/>
    </xf>
    <xf numFmtId="0" fontId="27" fillId="18" borderId="0" xfId="0" applyFont="1" applyFill="1" applyAlignment="1"/>
    <xf numFmtId="0" fontId="27" fillId="18" borderId="0" xfId="0" applyFont="1" applyFill="1" applyBorder="1" applyAlignment="1"/>
    <xf numFmtId="0" fontId="27" fillId="18" borderId="0" xfId="0" applyFont="1" applyFill="1" applyBorder="1" applyAlignment="1">
      <alignment horizontal="right"/>
    </xf>
    <xf numFmtId="0" fontId="25" fillId="18" borderId="9" xfId="0" applyFont="1" applyFill="1" applyBorder="1" applyAlignment="1"/>
    <xf numFmtId="0" fontId="0" fillId="0" borderId="9" xfId="0" applyFont="1" applyBorder="1" applyAlignment="1"/>
    <xf numFmtId="0" fontId="27" fillId="18" borderId="9" xfId="0" applyFont="1" applyFill="1" applyBorder="1" applyAlignment="1"/>
    <xf numFmtId="0" fontId="23" fillId="18" borderId="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28" fillId="18" borderId="0" xfId="0" applyFont="1" applyFill="1" applyAlignment="1"/>
    <xf numFmtId="0" fontId="28" fillId="18" borderId="0" xfId="0" applyFont="1" applyFill="1" applyAlignment="1">
      <alignment horizontal="right"/>
    </xf>
    <xf numFmtId="0" fontId="28" fillId="18" borderId="0" xfId="0" applyFont="1" applyFill="1" applyBorder="1" applyAlignment="1"/>
    <xf numFmtId="0" fontId="23" fillId="18" borderId="16" xfId="0" applyFont="1" applyFill="1" applyBorder="1" applyAlignment="1">
      <alignment horizontal="center" vertical="center" wrapText="1"/>
    </xf>
    <xf numFmtId="0" fontId="23" fillId="18" borderId="29" xfId="0" applyFont="1" applyFill="1" applyBorder="1" applyAlignment="1">
      <alignment horizontal="center" vertical="center" wrapText="1"/>
    </xf>
    <xf numFmtId="0" fontId="23" fillId="18" borderId="31" xfId="0" applyFont="1" applyFill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/>
    </xf>
    <xf numFmtId="0" fontId="23" fillId="18" borderId="71" xfId="0" applyFont="1" applyFill="1" applyBorder="1" applyAlignment="1">
      <alignment horizontal="center" vertical="center" wrapText="1"/>
    </xf>
    <xf numFmtId="0" fontId="24" fillId="18" borderId="3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30" fillId="6" borderId="35" xfId="0" applyFont="1" applyFill="1" applyBorder="1" applyAlignment="1"/>
    <xf numFmtId="0" fontId="31" fillId="6" borderId="36" xfId="0" applyFont="1" applyFill="1" applyBorder="1" applyAlignment="1"/>
    <xf numFmtId="0" fontId="27" fillId="6" borderId="35" xfId="0" applyFont="1" applyFill="1" applyBorder="1" applyAlignment="1"/>
    <xf numFmtId="0" fontId="27" fillId="6" borderId="36" xfId="0" applyFont="1" applyFill="1" applyBorder="1" applyAlignment="1"/>
    <xf numFmtId="164" fontId="23" fillId="6" borderId="3" xfId="0" applyNumberFormat="1" applyFont="1" applyFill="1" applyBorder="1" applyAlignment="1">
      <alignment horizontal="center" vertical="center" wrapText="1"/>
    </xf>
    <xf numFmtId="164" fontId="23" fillId="6" borderId="1" xfId="0" applyNumberFormat="1" applyFont="1" applyFill="1" applyBorder="1" applyAlignment="1">
      <alignment horizontal="center" vertical="center" wrapText="1"/>
    </xf>
    <xf numFmtId="164" fontId="23" fillId="6" borderId="31" xfId="0" applyNumberFormat="1" applyFont="1" applyFill="1" applyBorder="1" applyAlignment="1">
      <alignment horizontal="center" vertical="center" wrapText="1"/>
    </xf>
    <xf numFmtId="0" fontId="23" fillId="6" borderId="63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 wrapText="1"/>
    </xf>
    <xf numFmtId="0" fontId="33" fillId="18" borderId="99" xfId="0" applyFont="1" applyFill="1" applyBorder="1" applyAlignment="1">
      <alignment horizontal="center" vertical="center" wrapText="1"/>
    </xf>
    <xf numFmtId="0" fontId="33" fillId="6" borderId="100" xfId="0" applyFont="1" applyFill="1" applyBorder="1" applyAlignment="1">
      <alignment horizontal="center" vertical="center" wrapText="1"/>
    </xf>
    <xf numFmtId="0" fontId="33" fillId="18" borderId="100" xfId="0" applyFont="1" applyFill="1" applyBorder="1" applyAlignment="1">
      <alignment horizontal="center" vertical="center" wrapText="1"/>
    </xf>
    <xf numFmtId="164" fontId="33" fillId="6" borderId="100" xfId="0" applyNumberFormat="1" applyFont="1" applyFill="1" applyBorder="1" applyAlignment="1">
      <alignment horizontal="center" vertical="center" wrapText="1"/>
    </xf>
    <xf numFmtId="0" fontId="26" fillId="18" borderId="100" xfId="0" applyFont="1" applyFill="1" applyBorder="1" applyAlignment="1">
      <alignment horizontal="center" vertical="center" wrapText="1"/>
    </xf>
    <xf numFmtId="0" fontId="26" fillId="6" borderId="100" xfId="0" applyFont="1" applyFill="1" applyBorder="1" applyAlignment="1">
      <alignment horizontal="center" vertical="center" wrapText="1"/>
    </xf>
    <xf numFmtId="0" fontId="33" fillId="6" borderId="10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left"/>
    </xf>
    <xf numFmtId="164" fontId="3" fillId="14" borderId="23" xfId="0" applyNumberFormat="1" applyFont="1" applyFill="1" applyBorder="1" applyAlignment="1">
      <alignment horizontal="center" vertical="center" wrapText="1"/>
    </xf>
    <xf numFmtId="164" fontId="3" fillId="14" borderId="24" xfId="0" applyNumberFormat="1" applyFont="1" applyFill="1" applyBorder="1" applyAlignment="1">
      <alignment horizontal="center"/>
    </xf>
    <xf numFmtId="164" fontId="3" fillId="14" borderId="25" xfId="0" applyNumberFormat="1" applyFont="1" applyFill="1" applyBorder="1" applyAlignment="1">
      <alignment horizontal="center"/>
    </xf>
    <xf numFmtId="164" fontId="3" fillId="20" borderId="7" xfId="0" applyNumberFormat="1" applyFont="1" applyFill="1" applyBorder="1" applyAlignment="1">
      <alignment horizontal="center"/>
    </xf>
    <xf numFmtId="164" fontId="3" fillId="20" borderId="41" xfId="0" applyNumberFormat="1" applyFont="1" applyFill="1" applyBorder="1" applyAlignment="1">
      <alignment horizontal="center"/>
    </xf>
    <xf numFmtId="164" fontId="3" fillId="20" borderId="47" xfId="0" applyNumberFormat="1" applyFont="1" applyFill="1" applyBorder="1" applyAlignment="1">
      <alignment horizontal="center"/>
    </xf>
    <xf numFmtId="164" fontId="3" fillId="20" borderId="42" xfId="0" applyNumberFormat="1" applyFont="1" applyFill="1" applyBorder="1" applyAlignment="1">
      <alignment horizontal="center"/>
    </xf>
    <xf numFmtId="164" fontId="3" fillId="20" borderId="49" xfId="0" applyNumberFormat="1" applyFont="1" applyFill="1" applyBorder="1" applyAlignment="1">
      <alignment horizontal="center" vertical="center" wrapText="1"/>
    </xf>
    <xf numFmtId="164" fontId="3" fillId="20" borderId="50" xfId="0" applyNumberFormat="1" applyFont="1" applyFill="1" applyBorder="1" applyAlignment="1">
      <alignment horizontal="center" vertical="center" wrapText="1"/>
    </xf>
    <xf numFmtId="164" fontId="1" fillId="20" borderId="7" xfId="0" applyNumberFormat="1" applyFont="1" applyFill="1" applyBorder="1" applyAlignment="1">
      <alignment horizontal="center"/>
    </xf>
    <xf numFmtId="164" fontId="1" fillId="20" borderId="41" xfId="0" applyNumberFormat="1" applyFont="1" applyFill="1" applyBorder="1" applyAlignment="1">
      <alignment horizontal="center"/>
    </xf>
    <xf numFmtId="164" fontId="1" fillId="20" borderId="47" xfId="0" applyNumberFormat="1" applyFont="1" applyFill="1" applyBorder="1" applyAlignment="1">
      <alignment horizontal="center"/>
    </xf>
    <xf numFmtId="164" fontId="1" fillId="20" borderId="42" xfId="0" applyNumberFormat="1" applyFont="1" applyFill="1" applyBorder="1" applyAlignment="1">
      <alignment horizontal="center"/>
    </xf>
    <xf numFmtId="0" fontId="0" fillId="20" borderId="0" xfId="0" applyFont="1" applyFill="1" applyAlignment="1"/>
    <xf numFmtId="0" fontId="17" fillId="0" borderId="27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8" borderId="28" xfId="0" applyFont="1" applyFill="1" applyBorder="1" applyAlignment="1">
      <alignment horizontal="center"/>
    </xf>
    <xf numFmtId="0" fontId="17" fillId="8" borderId="46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/>
    </xf>
    <xf numFmtId="0" fontId="15" fillId="9" borderId="40" xfId="0" applyFont="1" applyFill="1" applyBorder="1" applyAlignment="1">
      <alignment horizontal="center"/>
    </xf>
    <xf numFmtId="0" fontId="15" fillId="9" borderId="35" xfId="0" applyFont="1" applyFill="1" applyBorder="1" applyAlignment="1">
      <alignment horizontal="center"/>
    </xf>
    <xf numFmtId="0" fontId="15" fillId="9" borderId="36" xfId="0" applyFont="1" applyFill="1" applyBorder="1" applyAlignment="1">
      <alignment horizontal="center"/>
    </xf>
    <xf numFmtId="0" fontId="15" fillId="9" borderId="37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center"/>
    </xf>
    <xf numFmtId="0" fontId="17" fillId="4" borderId="40" xfId="0" applyFont="1" applyFill="1" applyBorder="1" applyAlignment="1">
      <alignment horizontal="center"/>
    </xf>
    <xf numFmtId="0" fontId="4" fillId="16" borderId="28" xfId="0" applyFont="1" applyFill="1" applyBorder="1" applyAlignment="1">
      <alignment horizontal="center" vertical="center"/>
    </xf>
    <xf numFmtId="0" fontId="4" fillId="16" borderId="46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/>
    </xf>
    <xf numFmtId="0" fontId="17" fillId="6" borderId="44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23" fillId="18" borderId="7" xfId="0" applyFont="1" applyFill="1" applyBorder="1" applyAlignment="1">
      <alignment horizontal="center" vertical="center" wrapText="1"/>
    </xf>
    <xf numFmtId="0" fontId="23" fillId="18" borderId="41" xfId="0" applyFont="1" applyFill="1" applyBorder="1" applyAlignment="1">
      <alignment horizontal="center" vertical="center" wrapText="1"/>
    </xf>
    <xf numFmtId="0" fontId="23" fillId="18" borderId="47" xfId="0" applyFont="1" applyFill="1" applyBorder="1" applyAlignment="1">
      <alignment horizontal="center" vertical="center" wrapText="1"/>
    </xf>
    <xf numFmtId="0" fontId="23" fillId="18" borderId="42" xfId="0" applyFont="1" applyFill="1" applyBorder="1" applyAlignment="1">
      <alignment horizontal="center" vertical="center" wrapText="1"/>
    </xf>
    <xf numFmtId="0" fontId="23" fillId="18" borderId="55" xfId="0" applyFont="1" applyFill="1" applyBorder="1" applyAlignment="1">
      <alignment horizontal="center" vertical="center" wrapText="1"/>
    </xf>
    <xf numFmtId="0" fontId="23" fillId="18" borderId="43" xfId="0" applyFont="1" applyFill="1" applyBorder="1" applyAlignment="1">
      <alignment horizontal="center" vertical="center" wrapText="1"/>
    </xf>
    <xf numFmtId="0" fontId="23" fillId="18" borderId="44" xfId="0" applyFont="1" applyFill="1" applyBorder="1" applyAlignment="1">
      <alignment horizontal="center" vertical="center" wrapText="1"/>
    </xf>
    <xf numFmtId="0" fontId="29" fillId="18" borderId="35" xfId="0" applyFont="1" applyFill="1" applyBorder="1" applyAlignment="1">
      <alignment horizontal="center"/>
    </xf>
    <xf numFmtId="0" fontId="29" fillId="18" borderId="37" xfId="0" applyFont="1" applyFill="1" applyBorder="1" applyAlignment="1">
      <alignment horizontal="center"/>
    </xf>
    <xf numFmtId="0" fontId="29" fillId="18" borderId="36" xfId="0" applyFont="1" applyFill="1" applyBorder="1" applyAlignment="1">
      <alignment horizontal="center"/>
    </xf>
    <xf numFmtId="0" fontId="33" fillId="18" borderId="59" xfId="0" applyFont="1" applyFill="1" applyBorder="1" applyAlignment="1">
      <alignment horizontal="center" vertical="center" wrapText="1"/>
    </xf>
    <xf numFmtId="0" fontId="33" fillId="18" borderId="60" xfId="0" applyFont="1" applyFill="1" applyBorder="1" applyAlignment="1">
      <alignment horizontal="center" vertical="center" wrapText="1"/>
    </xf>
    <xf numFmtId="0" fontId="23" fillId="18" borderId="54" xfId="0" applyFont="1" applyFill="1" applyBorder="1" applyAlignment="1">
      <alignment horizontal="center" vertical="center" wrapText="1"/>
    </xf>
    <xf numFmtId="0" fontId="23" fillId="18" borderId="39" xfId="0" applyFont="1" applyFill="1" applyBorder="1" applyAlignment="1">
      <alignment horizontal="center" vertical="center" wrapText="1"/>
    </xf>
    <xf numFmtId="0" fontId="23" fillId="18" borderId="40" xfId="0" applyFont="1" applyFill="1" applyBorder="1" applyAlignment="1">
      <alignment horizontal="center" vertical="center" wrapText="1"/>
    </xf>
    <xf numFmtId="0" fontId="23" fillId="18" borderId="7" xfId="0" applyFont="1" applyFill="1" applyBorder="1" applyAlignment="1">
      <alignment horizontal="center" vertical="center" textRotation="135" wrapText="1"/>
    </xf>
    <xf numFmtId="0" fontId="23" fillId="18" borderId="41" xfId="0" applyFont="1" applyFill="1" applyBorder="1" applyAlignment="1">
      <alignment horizontal="center" vertical="center" textRotation="135" wrapText="1"/>
    </xf>
    <xf numFmtId="0" fontId="28" fillId="18" borderId="0" xfId="0" applyFont="1" applyFill="1" applyBorder="1" applyAlignment="1">
      <alignment horizontal="right"/>
    </xf>
    <xf numFmtId="0" fontId="28" fillId="18" borderId="98" xfId="0" applyFont="1" applyFill="1" applyBorder="1" applyAlignment="1">
      <alignment horizontal="right"/>
    </xf>
    <xf numFmtId="0" fontId="10" fillId="5" borderId="5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164" fontId="12" fillId="0" borderId="35" xfId="0" applyNumberFormat="1" applyFont="1" applyFill="1" applyBorder="1" applyAlignment="1">
      <alignment horizontal="center"/>
    </xf>
    <xf numFmtId="164" fontId="12" fillId="0" borderId="37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164" fontId="12" fillId="0" borderId="58" xfId="0" applyNumberFormat="1" applyFont="1" applyBorder="1" applyAlignment="1">
      <alignment horizontal="center"/>
    </xf>
    <xf numFmtId="164" fontId="12" fillId="0" borderId="59" xfId="0" applyNumberFormat="1" applyFont="1" applyBorder="1" applyAlignment="1">
      <alignment horizontal="center"/>
    </xf>
    <xf numFmtId="164" fontId="12" fillId="0" borderId="60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12" fillId="0" borderId="65" xfId="0" applyNumberFormat="1" applyFont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7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64" fontId="12" fillId="0" borderId="35" xfId="0" applyNumberFormat="1" applyFont="1" applyBorder="1" applyAlignment="1">
      <alignment horizontal="center"/>
    </xf>
    <xf numFmtId="0" fontId="14" fillId="0" borderId="37" xfId="0" applyFont="1" applyBorder="1" applyAlignment="1"/>
    <xf numFmtId="0" fontId="14" fillId="0" borderId="36" xfId="0" applyFont="1" applyBorder="1" applyAlignment="1"/>
    <xf numFmtId="1" fontId="12" fillId="0" borderId="67" xfId="0" applyNumberFormat="1" applyFont="1" applyBorder="1" applyAlignment="1">
      <alignment horizontal="center"/>
    </xf>
    <xf numFmtId="164" fontId="12" fillId="0" borderId="65" xfId="0" applyNumberFormat="1" applyFont="1" applyBorder="1" applyAlignment="1">
      <alignment horizontal="center"/>
    </xf>
    <xf numFmtId="0" fontId="14" fillId="0" borderId="66" xfId="0" applyFont="1" applyBorder="1" applyAlignment="1"/>
    <xf numFmtId="0" fontId="14" fillId="0" borderId="67" xfId="0" applyFont="1" applyBorder="1" applyAlignment="1"/>
    <xf numFmtId="164" fontId="2" fillId="0" borderId="0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3" fontId="12" fillId="0" borderId="35" xfId="0" applyNumberFormat="1" applyFont="1" applyBorder="1" applyAlignment="1">
      <alignment horizontal="center"/>
    </xf>
    <xf numFmtId="3" fontId="12" fillId="0" borderId="37" xfId="0" applyNumberFormat="1" applyFont="1" applyBorder="1" applyAlignment="1">
      <alignment horizontal="center"/>
    </xf>
    <xf numFmtId="3" fontId="12" fillId="0" borderId="3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3" fillId="0" borderId="37" xfId="0" applyFont="1" applyBorder="1"/>
    <xf numFmtId="0" fontId="13" fillId="0" borderId="36" xfId="0" applyFont="1" applyBorder="1"/>
    <xf numFmtId="3" fontId="12" fillId="0" borderId="65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" fillId="10" borderId="26" xfId="0" applyFont="1" applyFill="1" applyBorder="1" applyAlignment="1" applyProtection="1">
      <alignment horizontal="center"/>
      <protection locked="0"/>
    </xf>
    <xf numFmtId="0" fontId="1" fillId="10" borderId="40" xfId="0" applyFont="1" applyFill="1" applyBorder="1" applyAlignment="1" applyProtection="1">
      <alignment horizontal="center"/>
      <protection locked="0"/>
    </xf>
    <xf numFmtId="0" fontId="1" fillId="10" borderId="33" xfId="0" applyFont="1" applyFill="1" applyBorder="1" applyAlignment="1" applyProtection="1">
      <alignment horizontal="center"/>
      <protection locked="0"/>
    </xf>
    <xf numFmtId="0" fontId="1" fillId="10" borderId="34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  <color rgb="FFCCFFFF"/>
      <color rgb="FF9E480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MBF</a:t>
            </a:r>
            <a:r>
              <a:rPr lang="en-US" baseline="0"/>
              <a:t> by species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Volume_rpt!$T$3</c:f>
              <c:strCache>
                <c:ptCount val="1"/>
                <c:pt idx="0">
                  <c:v>DF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Volume_rpt!$T$4:$T$30</c15:sqref>
                  </c15:fullRef>
                </c:ext>
              </c:extLst>
              <c:f>Volume_rpt!$T$4:$T$6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6-4660-90FE-057567778696}"/>
            </c:ext>
          </c:extLst>
        </c:ser>
        <c:ser>
          <c:idx val="1"/>
          <c:order val="1"/>
          <c:tx>
            <c:strRef>
              <c:f>Volume_rpt!$U$3</c:f>
              <c:strCache>
                <c:ptCount val="1"/>
                <c:pt idx="0">
                  <c:v>BM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Volume_rpt!$U$4:$U$30</c15:sqref>
                  </c15:fullRef>
                </c:ext>
              </c:extLst>
              <c:f>Volume_rpt!$U$4:$U$6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6-4660-90FE-057567778696}"/>
            </c:ext>
          </c:extLst>
        </c:ser>
        <c:ser>
          <c:idx val="2"/>
          <c:order val="2"/>
          <c:tx>
            <c:strRef>
              <c:f>Volume_rpt!$V$3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Volume_rpt!$V$4:$V$30</c15:sqref>
                  </c15:fullRef>
                </c:ext>
              </c:extLst>
              <c:f>Volume_rpt!$V$4:$V$6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6-4660-90FE-057567778696}"/>
            </c:ext>
          </c:extLst>
        </c:ser>
        <c:ser>
          <c:idx val="3"/>
          <c:order val="3"/>
          <c:tx>
            <c:strRef>
              <c:f>Volume_rpt!$W$3</c:f>
              <c:strCache>
                <c:ptCount val="1"/>
                <c:pt idx="0">
                  <c:v>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Volume_rpt!$W$4:$W$30</c15:sqref>
                  </c15:fullRef>
                </c:ext>
              </c:extLst>
              <c:f>Volume_rpt!$W$4:$W$6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6-4660-90FE-057567778696}"/>
            </c:ext>
          </c:extLst>
        </c:ser>
        <c:ser>
          <c:idx val="4"/>
          <c:order val="4"/>
          <c:tx>
            <c:strRef>
              <c:f>Volume_rpt!$X$3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Volume_rpt!$X$4:$X$30</c15:sqref>
                  </c15:fullRef>
                </c:ext>
              </c:extLst>
              <c:f>Volume_rpt!$X$4:$X$6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A6-4660-90FE-057567778696}"/>
            </c:ext>
          </c:extLst>
        </c:ser>
        <c:ser>
          <c:idx val="5"/>
          <c:order val="5"/>
          <c:tx>
            <c:strRef>
              <c:f>Volume_rpt!$Y$3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Volume_rpt!$Y$4:$Y$30</c15:sqref>
                  </c15:fullRef>
                </c:ext>
              </c:extLst>
              <c:f>Volume_rpt!$Y$4:$Y$6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A6-4660-90FE-057567778696}"/>
            </c:ext>
          </c:extLst>
        </c:ser>
        <c:ser>
          <c:idx val="6"/>
          <c:order val="6"/>
          <c:tx>
            <c:strRef>
              <c:f>Volume_rpt!$Z$3</c:f>
              <c:strCache>
                <c:ptCount val="1"/>
                <c:pt idx="0">
                  <c:v>LP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Volume_rpt!$Z$4:$Z$30</c15:sqref>
                  </c15:fullRef>
                </c:ext>
              </c:extLst>
              <c:f>Volume_rpt!$Z$4:$Z$6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A6-4660-90FE-057567778696}"/>
            </c:ext>
          </c:extLst>
        </c:ser>
        <c:ser>
          <c:idx val="7"/>
          <c:order val="7"/>
          <c:tx>
            <c:strRef>
              <c:f>Volume_rpt!$AA$3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Volume_rpt!$AA$4:$AA$30</c15:sqref>
                  </c15:fullRef>
                </c:ext>
              </c:extLst>
              <c:f>Volume_rpt!$AA$4:$AA$6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A6-4660-90FE-057567778696}"/>
            </c:ext>
          </c:extLst>
        </c:ser>
        <c:ser>
          <c:idx val="8"/>
          <c:order val="8"/>
          <c:tx>
            <c:strRef>
              <c:f>Volume_rpt!$AB$3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Volume_rpt!$AB$4:$AB$30</c15:sqref>
                  </c15:fullRef>
                </c:ext>
              </c:extLst>
              <c:f>Volume_rpt!$AB$4:$AB$6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A6-4660-90FE-057567778696}"/>
            </c:ext>
          </c:extLst>
        </c:ser>
        <c:ser>
          <c:idx val="9"/>
          <c:order val="9"/>
          <c:tx>
            <c:strRef>
              <c:f>Volume_rpt!$AC$3</c:f>
              <c:strCache>
                <c:ptCount val="1"/>
                <c:pt idx="0">
                  <c:v>All OT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Volume_rpt!$AC$4:$AC$30</c15:sqref>
                  </c15:fullRef>
                </c:ext>
              </c:extLst>
              <c:f>Volume_rpt!$AC$4:$AC$6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A6-4660-90FE-057567778696}"/>
            </c:ext>
          </c:extLst>
        </c:ser>
        <c:ser>
          <c:idx val="10"/>
          <c:order val="10"/>
          <c:tx>
            <c:strRef>
              <c:f>Volume_rpt!$AD$3</c:f>
              <c:strCache>
                <c:ptCount val="1"/>
                <c:pt idx="0">
                  <c:v>Snag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Volume_rpt!$AD$4:$AD$30</c15:sqref>
                  </c15:fullRef>
                </c:ext>
              </c:extLst>
              <c:f>Volume_rpt!$AD$4:$AD$6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A6-4660-90FE-05756777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5629999"/>
        <c:axId val="1278714975"/>
      </c:barChart>
      <c:catAx>
        <c:axId val="1505629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8714975"/>
        <c:crosses val="autoZero"/>
        <c:auto val="1"/>
        <c:lblAlgn val="ctr"/>
        <c:lblOffset val="100"/>
        <c:noMultiLvlLbl val="0"/>
      </c:catAx>
      <c:valAx>
        <c:axId val="1278714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MBF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562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MBF</a:t>
            </a:r>
            <a:r>
              <a:rPr lang="en-US" baseline="0"/>
              <a:t> / Acre by species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Volume_rpt!$F$3</c:f>
              <c:strCache>
                <c:ptCount val="1"/>
                <c:pt idx="0">
                  <c:v>DF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Volume_rpt!$F$4:$F$30</c15:sqref>
                  </c15:fullRef>
                </c:ext>
              </c:extLst>
              <c:f>Volume_rpt!$F$4:$F$6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0-4B14-9CCF-1F842833B4FD}"/>
            </c:ext>
          </c:extLst>
        </c:ser>
        <c:ser>
          <c:idx val="1"/>
          <c:order val="1"/>
          <c:tx>
            <c:strRef>
              <c:f>Volume_rpt!$G$3</c:f>
              <c:strCache>
                <c:ptCount val="1"/>
                <c:pt idx="0">
                  <c:v>BM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Volume_rpt!$G$4:$G$30</c15:sqref>
                  </c15:fullRef>
                </c:ext>
              </c:extLst>
              <c:f>Volume_rpt!$G$4:$G$6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0-4B14-9CCF-1F842833B4FD}"/>
            </c:ext>
          </c:extLst>
        </c:ser>
        <c:ser>
          <c:idx val="2"/>
          <c:order val="2"/>
          <c:tx>
            <c:strRef>
              <c:f>Volume_rpt!$H$3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Volume_rpt!$H$4:$H$30</c15:sqref>
                  </c15:fullRef>
                </c:ext>
              </c:extLst>
              <c:f>Volume_rpt!$H$4:$H$6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0-4B14-9CCF-1F842833B4FD}"/>
            </c:ext>
          </c:extLst>
        </c:ser>
        <c:ser>
          <c:idx val="3"/>
          <c:order val="3"/>
          <c:tx>
            <c:strRef>
              <c:f>Volume_rpt!$I$3</c:f>
              <c:strCache>
                <c:ptCount val="1"/>
                <c:pt idx="0">
                  <c:v>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Volume_rpt!$I$4:$I$30</c15:sqref>
                  </c15:fullRef>
                </c:ext>
              </c:extLst>
              <c:f>Volume_rpt!$I$4:$I$6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0-4B14-9CCF-1F842833B4FD}"/>
            </c:ext>
          </c:extLst>
        </c:ser>
        <c:ser>
          <c:idx val="4"/>
          <c:order val="4"/>
          <c:tx>
            <c:strRef>
              <c:f>Volume_rpt!$J$3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Volume_rpt!$J$4:$J$30</c15:sqref>
                  </c15:fullRef>
                </c:ext>
              </c:extLst>
              <c:f>Volume_rpt!$J$4:$J$6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0-4B14-9CCF-1F842833B4FD}"/>
            </c:ext>
          </c:extLst>
        </c:ser>
        <c:ser>
          <c:idx val="5"/>
          <c:order val="5"/>
          <c:tx>
            <c:strRef>
              <c:f>Volume_rpt!$K$3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Volume_rpt!$K$4:$K$30</c15:sqref>
                  </c15:fullRef>
                </c:ext>
              </c:extLst>
              <c:f>Volume_rpt!$K$4:$K$6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00-4B14-9CCF-1F842833B4FD}"/>
            </c:ext>
          </c:extLst>
        </c:ser>
        <c:ser>
          <c:idx val="6"/>
          <c:order val="6"/>
          <c:tx>
            <c:strRef>
              <c:f>Volume_rpt!$L$3</c:f>
              <c:strCache>
                <c:ptCount val="1"/>
                <c:pt idx="0">
                  <c:v>LP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Volume_rpt!$L$4:$L$30</c15:sqref>
                  </c15:fullRef>
                </c:ext>
              </c:extLst>
              <c:f>Volume_rpt!$L$4:$L$6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0-4B14-9CCF-1F842833B4FD}"/>
            </c:ext>
          </c:extLst>
        </c:ser>
        <c:ser>
          <c:idx val="7"/>
          <c:order val="7"/>
          <c:tx>
            <c:strRef>
              <c:f>Volume_rpt!$M$3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Volume_rpt!$M$4:$M$30</c15:sqref>
                  </c15:fullRef>
                </c:ext>
              </c:extLst>
              <c:f>Volume_rpt!$M$4:$M$6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00-4B14-9CCF-1F842833B4FD}"/>
            </c:ext>
          </c:extLst>
        </c:ser>
        <c:ser>
          <c:idx val="8"/>
          <c:order val="8"/>
          <c:tx>
            <c:strRef>
              <c:f>Volume_rpt!$N$3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Volume_rpt!$N$4:$N$30</c15:sqref>
                  </c15:fullRef>
                </c:ext>
              </c:extLst>
              <c:f>Volume_rpt!$N$4:$N$6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00-4B14-9CCF-1F842833B4FD}"/>
            </c:ext>
          </c:extLst>
        </c:ser>
        <c:ser>
          <c:idx val="9"/>
          <c:order val="9"/>
          <c:tx>
            <c:strRef>
              <c:f>Volume_rpt!$O$3</c:f>
              <c:strCache>
                <c:ptCount val="1"/>
                <c:pt idx="0">
                  <c:v>All OT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Volume_rpt!$O$4:$O$30</c15:sqref>
                  </c15:fullRef>
                </c:ext>
              </c:extLst>
              <c:f>Volume_rpt!$O$4:$O$6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00-4B14-9CCF-1F842833B4FD}"/>
            </c:ext>
          </c:extLst>
        </c:ser>
        <c:ser>
          <c:idx val="10"/>
          <c:order val="10"/>
          <c:tx>
            <c:strRef>
              <c:f>Volume_rpt!$P$3</c:f>
              <c:strCache>
                <c:ptCount val="1"/>
                <c:pt idx="0">
                  <c:v>Snag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Volume_rpt!$P$4:$P$30</c15:sqref>
                  </c15:fullRef>
                </c:ext>
              </c:extLst>
              <c:f>Volume_rpt!$P$4:$P$6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00-4B14-9CCF-1F842833B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9598255"/>
        <c:axId val="1416539199"/>
      </c:barChart>
      <c:catAx>
        <c:axId val="1579598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539199"/>
        <c:crosses val="autoZero"/>
        <c:auto val="1"/>
        <c:lblAlgn val="ctr"/>
        <c:lblOffset val="100"/>
        <c:noMultiLvlLbl val="0"/>
      </c:catAx>
      <c:valAx>
        <c:axId val="141653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MBF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59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Biomass / Acre by species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Volume_rpt!$F$39</c:f>
              <c:strCache>
                <c:ptCount val="1"/>
                <c:pt idx="0">
                  <c:v>DF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Volume_rpt!$F$40:$F$66</c15:sqref>
                  </c15:fullRef>
                </c:ext>
              </c:extLst>
              <c:f>Volume_rpt!$F$40:$F$42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3-478A-85A3-6B2456E5958C}"/>
            </c:ext>
          </c:extLst>
        </c:ser>
        <c:ser>
          <c:idx val="1"/>
          <c:order val="1"/>
          <c:tx>
            <c:strRef>
              <c:f>Volume_rpt!$G$39</c:f>
              <c:strCache>
                <c:ptCount val="1"/>
                <c:pt idx="0">
                  <c:v>BM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Volume_rpt!$G$40:$G$66</c15:sqref>
                  </c15:fullRef>
                </c:ext>
              </c:extLst>
              <c:f>Volume_rpt!$G$40:$G$42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3-478A-85A3-6B2456E5958C}"/>
            </c:ext>
          </c:extLst>
        </c:ser>
        <c:ser>
          <c:idx val="2"/>
          <c:order val="2"/>
          <c:tx>
            <c:strRef>
              <c:f>Volume_rpt!$H$39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Volume_rpt!$H$40:$H$66</c15:sqref>
                  </c15:fullRef>
                </c:ext>
              </c:extLst>
              <c:f>Volume_rpt!$H$40:$H$42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83-478A-85A3-6B2456E5958C}"/>
            </c:ext>
          </c:extLst>
        </c:ser>
        <c:ser>
          <c:idx val="3"/>
          <c:order val="3"/>
          <c:tx>
            <c:strRef>
              <c:f>Volume_rpt!$I$39</c:f>
              <c:strCache>
                <c:ptCount val="1"/>
                <c:pt idx="0">
                  <c:v>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Volume_rpt!$I$40:$I$66</c15:sqref>
                  </c15:fullRef>
                </c:ext>
              </c:extLst>
              <c:f>Volume_rpt!$I$40:$I$42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83-478A-85A3-6B2456E5958C}"/>
            </c:ext>
          </c:extLst>
        </c:ser>
        <c:ser>
          <c:idx val="4"/>
          <c:order val="4"/>
          <c:tx>
            <c:strRef>
              <c:f>Volume_rpt!$J$39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Volume_rpt!$J$40:$J$66</c15:sqref>
                  </c15:fullRef>
                </c:ext>
              </c:extLst>
              <c:f>Volume_rpt!$J$40:$J$42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83-478A-85A3-6B2456E5958C}"/>
            </c:ext>
          </c:extLst>
        </c:ser>
        <c:ser>
          <c:idx val="5"/>
          <c:order val="5"/>
          <c:tx>
            <c:strRef>
              <c:f>Volume_rpt!$K$39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Volume_rpt!$K$40:$K$66</c15:sqref>
                  </c15:fullRef>
                </c:ext>
              </c:extLst>
              <c:f>Volume_rpt!$K$40:$K$42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83-478A-85A3-6B2456E5958C}"/>
            </c:ext>
          </c:extLst>
        </c:ser>
        <c:ser>
          <c:idx val="6"/>
          <c:order val="6"/>
          <c:tx>
            <c:strRef>
              <c:f>Volume_rpt!$L$39</c:f>
              <c:strCache>
                <c:ptCount val="1"/>
                <c:pt idx="0">
                  <c:v>LP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Volume_rpt!$L$40:$L$66</c15:sqref>
                  </c15:fullRef>
                </c:ext>
              </c:extLst>
              <c:f>Volume_rpt!$L$40:$L$42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83-478A-85A3-6B2456E5958C}"/>
            </c:ext>
          </c:extLst>
        </c:ser>
        <c:ser>
          <c:idx val="7"/>
          <c:order val="7"/>
          <c:tx>
            <c:strRef>
              <c:f>Volume_rpt!$M$39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Volume_rpt!$M$40:$M$66</c15:sqref>
                  </c15:fullRef>
                </c:ext>
              </c:extLst>
              <c:f>Volume_rpt!$M$40:$M$42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83-478A-85A3-6B2456E5958C}"/>
            </c:ext>
          </c:extLst>
        </c:ser>
        <c:ser>
          <c:idx val="8"/>
          <c:order val="8"/>
          <c:tx>
            <c:strRef>
              <c:f>Volume_rpt!$N$39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Volume_rpt!$N$40:$N$66</c15:sqref>
                  </c15:fullRef>
                </c:ext>
              </c:extLst>
              <c:f>Volume_rpt!$N$40:$N$42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83-478A-85A3-6B2456E5958C}"/>
            </c:ext>
          </c:extLst>
        </c:ser>
        <c:ser>
          <c:idx val="9"/>
          <c:order val="9"/>
          <c:tx>
            <c:strRef>
              <c:f>Volume_rpt!$O$39</c:f>
              <c:strCache>
                <c:ptCount val="1"/>
                <c:pt idx="0">
                  <c:v>All OT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Volume_rpt!$O$40:$O$66</c15:sqref>
                  </c15:fullRef>
                </c:ext>
              </c:extLst>
              <c:f>Volume_rpt!$O$40:$O$42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83-478A-85A3-6B2456E5958C}"/>
            </c:ext>
          </c:extLst>
        </c:ser>
        <c:ser>
          <c:idx val="10"/>
          <c:order val="10"/>
          <c:tx>
            <c:strRef>
              <c:f>Volume_rpt!$P$39</c:f>
              <c:strCache>
                <c:ptCount val="1"/>
                <c:pt idx="0">
                  <c:v>Snag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Volume_rpt!$P$40:$P$66</c15:sqref>
                  </c15:fullRef>
                </c:ext>
              </c:extLst>
              <c:f>Volume_rpt!$P$40:$P$42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83-478A-85A3-6B2456E59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1373679"/>
        <c:axId val="1490085695"/>
      </c:barChart>
      <c:catAx>
        <c:axId val="1881373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85695"/>
        <c:crosses val="autoZero"/>
        <c:auto val="1"/>
        <c:lblAlgn val="ctr"/>
        <c:lblOffset val="100"/>
        <c:noMultiLvlLbl val="0"/>
      </c:catAx>
      <c:valAx>
        <c:axId val="149008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Biomass</a:t>
                </a:r>
                <a:r>
                  <a:rPr lang="en-US" baseline="0"/>
                  <a:t> (Tons)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37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Biomass by species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Volume_rpt!$T$39</c:f>
              <c:strCache>
                <c:ptCount val="1"/>
                <c:pt idx="0">
                  <c:v>DF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Volume_rpt!$T$40:$T$66</c15:sqref>
                  </c15:fullRef>
                </c:ext>
              </c:extLst>
              <c:f>Volume_rpt!$T$40:$T$42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D-4FC8-8CF0-19B1FBA4E99A}"/>
            </c:ext>
          </c:extLst>
        </c:ser>
        <c:ser>
          <c:idx val="1"/>
          <c:order val="1"/>
          <c:tx>
            <c:strRef>
              <c:f>Volume_rpt!$U$39</c:f>
              <c:strCache>
                <c:ptCount val="1"/>
                <c:pt idx="0">
                  <c:v>BM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Volume_rpt!$U$40:$U$66</c15:sqref>
                  </c15:fullRef>
                </c:ext>
              </c:extLst>
              <c:f>Volume_rpt!$U$40:$U$42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D-4FC8-8CF0-19B1FBA4E99A}"/>
            </c:ext>
          </c:extLst>
        </c:ser>
        <c:ser>
          <c:idx val="2"/>
          <c:order val="2"/>
          <c:tx>
            <c:strRef>
              <c:f>Volume_rpt!$V$39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Volume_rpt!$V$40:$V$66</c15:sqref>
                  </c15:fullRef>
                </c:ext>
              </c:extLst>
              <c:f>Volume_rpt!$V$40:$V$42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D-4FC8-8CF0-19B1FBA4E99A}"/>
            </c:ext>
          </c:extLst>
        </c:ser>
        <c:ser>
          <c:idx val="3"/>
          <c:order val="3"/>
          <c:tx>
            <c:strRef>
              <c:f>Volume_rpt!$W$39</c:f>
              <c:strCache>
                <c:ptCount val="1"/>
                <c:pt idx="0">
                  <c:v>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Volume_rpt!$W$40:$W$66</c15:sqref>
                  </c15:fullRef>
                </c:ext>
              </c:extLst>
              <c:f>Volume_rpt!$W$40:$W$42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3D-4FC8-8CF0-19B1FBA4E99A}"/>
            </c:ext>
          </c:extLst>
        </c:ser>
        <c:ser>
          <c:idx val="4"/>
          <c:order val="4"/>
          <c:tx>
            <c:strRef>
              <c:f>Volume_rpt!$X$39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Volume_rpt!$X$40:$X$66</c15:sqref>
                  </c15:fullRef>
                </c:ext>
              </c:extLst>
              <c:f>Volume_rpt!$X$40:$X$42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3D-4FC8-8CF0-19B1FBA4E99A}"/>
            </c:ext>
          </c:extLst>
        </c:ser>
        <c:ser>
          <c:idx val="5"/>
          <c:order val="5"/>
          <c:tx>
            <c:strRef>
              <c:f>Volume_rpt!$Y$39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Volume_rpt!$Y$40:$Y$66</c15:sqref>
                  </c15:fullRef>
                </c:ext>
              </c:extLst>
              <c:f>Volume_rpt!$Y$40:$Y$42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3D-4FC8-8CF0-19B1FBA4E99A}"/>
            </c:ext>
          </c:extLst>
        </c:ser>
        <c:ser>
          <c:idx val="6"/>
          <c:order val="6"/>
          <c:tx>
            <c:strRef>
              <c:f>Volume_rpt!$Z$39</c:f>
              <c:strCache>
                <c:ptCount val="1"/>
                <c:pt idx="0">
                  <c:v>LP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Volume_rpt!$Z$40:$Z$66</c15:sqref>
                  </c15:fullRef>
                </c:ext>
              </c:extLst>
              <c:f>Volume_rpt!$Z$40:$Z$42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3D-4FC8-8CF0-19B1FBA4E99A}"/>
            </c:ext>
          </c:extLst>
        </c:ser>
        <c:ser>
          <c:idx val="7"/>
          <c:order val="7"/>
          <c:tx>
            <c:strRef>
              <c:f>Volume_rpt!$AA$39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Volume_rpt!$AA$40:$AA$66</c15:sqref>
                  </c15:fullRef>
                </c:ext>
              </c:extLst>
              <c:f>Volume_rpt!$AA$40:$AA$42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3D-4FC8-8CF0-19B1FBA4E99A}"/>
            </c:ext>
          </c:extLst>
        </c:ser>
        <c:ser>
          <c:idx val="8"/>
          <c:order val="8"/>
          <c:tx>
            <c:strRef>
              <c:f>Volume_rpt!$AB$39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Volume_rpt!$AB$40:$AB$66</c15:sqref>
                  </c15:fullRef>
                </c:ext>
              </c:extLst>
              <c:f>Volume_rpt!$AB$40:$AB$42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3D-4FC8-8CF0-19B1FBA4E99A}"/>
            </c:ext>
          </c:extLst>
        </c:ser>
        <c:ser>
          <c:idx val="9"/>
          <c:order val="9"/>
          <c:tx>
            <c:strRef>
              <c:f>Volume_rpt!$AC$39</c:f>
              <c:strCache>
                <c:ptCount val="1"/>
                <c:pt idx="0">
                  <c:v>All OT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Volume_rpt!$AC$40:$AC$66</c15:sqref>
                  </c15:fullRef>
                </c:ext>
              </c:extLst>
              <c:f>Volume_rpt!$AC$40:$AC$42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3D-4FC8-8CF0-19B1FBA4E99A}"/>
            </c:ext>
          </c:extLst>
        </c:ser>
        <c:ser>
          <c:idx val="10"/>
          <c:order val="10"/>
          <c:tx>
            <c:strRef>
              <c:f>Volume_rpt!$AD$39</c:f>
              <c:strCache>
                <c:ptCount val="1"/>
                <c:pt idx="0">
                  <c:v>Snag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Volume_rpt!$AD$40:$AD$66</c15:sqref>
                  </c15:fullRef>
                </c:ext>
              </c:extLst>
              <c:f>Volume_rpt!$AD$40:$AD$42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3D-4FC8-8CF0-19B1FBA4E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1073647"/>
        <c:axId val="1577402431"/>
      </c:barChart>
      <c:catAx>
        <c:axId val="1841073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402431"/>
        <c:crosses val="autoZero"/>
        <c:auto val="1"/>
        <c:lblAlgn val="ctr"/>
        <c:lblOffset val="100"/>
        <c:noMultiLvlLbl val="0"/>
      </c:catAx>
      <c:valAx>
        <c:axId val="157740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Biomass (Tons)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073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Carbon / Acre by species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Volume_rpt!$F$77</c:f>
              <c:strCache>
                <c:ptCount val="1"/>
                <c:pt idx="0">
                  <c:v>DF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Volume_rpt!$F$78:$F$104</c15:sqref>
                  </c15:fullRef>
                </c:ext>
              </c:extLst>
              <c:f>Volume_rpt!$F$78:$F$80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9-4600-B0A4-273B573693DE}"/>
            </c:ext>
          </c:extLst>
        </c:ser>
        <c:ser>
          <c:idx val="1"/>
          <c:order val="1"/>
          <c:tx>
            <c:strRef>
              <c:f>Volume_rpt!$G$77</c:f>
              <c:strCache>
                <c:ptCount val="1"/>
                <c:pt idx="0">
                  <c:v>BM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Volume_rpt!$G$78:$G$104</c15:sqref>
                  </c15:fullRef>
                </c:ext>
              </c:extLst>
              <c:f>Volume_rpt!$G$78:$G$80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9-4600-B0A4-273B573693DE}"/>
            </c:ext>
          </c:extLst>
        </c:ser>
        <c:ser>
          <c:idx val="2"/>
          <c:order val="2"/>
          <c:tx>
            <c:strRef>
              <c:f>Volume_rpt!$H$77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Volume_rpt!$H$78:$H$104</c15:sqref>
                  </c15:fullRef>
                </c:ext>
              </c:extLst>
              <c:f>Volume_rpt!$H$78:$H$80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9-4600-B0A4-273B573693DE}"/>
            </c:ext>
          </c:extLst>
        </c:ser>
        <c:ser>
          <c:idx val="3"/>
          <c:order val="3"/>
          <c:tx>
            <c:strRef>
              <c:f>Volume_rpt!$I$77</c:f>
              <c:strCache>
                <c:ptCount val="1"/>
                <c:pt idx="0">
                  <c:v>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Volume_rpt!$I$78:$I$104</c15:sqref>
                  </c15:fullRef>
                </c:ext>
              </c:extLst>
              <c:f>Volume_rpt!$I$78:$I$80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9-4600-B0A4-273B573693DE}"/>
            </c:ext>
          </c:extLst>
        </c:ser>
        <c:ser>
          <c:idx val="4"/>
          <c:order val="4"/>
          <c:tx>
            <c:strRef>
              <c:f>Volume_rpt!$J$77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Volume_rpt!$J$78:$J$104</c15:sqref>
                  </c15:fullRef>
                </c:ext>
              </c:extLst>
              <c:f>Volume_rpt!$J$78:$J$80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9-4600-B0A4-273B573693DE}"/>
            </c:ext>
          </c:extLst>
        </c:ser>
        <c:ser>
          <c:idx val="5"/>
          <c:order val="5"/>
          <c:tx>
            <c:strRef>
              <c:f>Volume_rpt!$K$77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Volume_rpt!$K$78:$K$104</c15:sqref>
                  </c15:fullRef>
                </c:ext>
              </c:extLst>
              <c:f>Volume_rpt!$K$78:$K$80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69-4600-B0A4-273B573693DE}"/>
            </c:ext>
          </c:extLst>
        </c:ser>
        <c:ser>
          <c:idx val="6"/>
          <c:order val="6"/>
          <c:tx>
            <c:strRef>
              <c:f>Volume_rpt!$L$77</c:f>
              <c:strCache>
                <c:ptCount val="1"/>
                <c:pt idx="0">
                  <c:v>LP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Volume_rpt!$L$78:$L$104</c15:sqref>
                  </c15:fullRef>
                </c:ext>
              </c:extLst>
              <c:f>Volume_rpt!$L$78:$L$80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69-4600-B0A4-273B573693DE}"/>
            </c:ext>
          </c:extLst>
        </c:ser>
        <c:ser>
          <c:idx val="7"/>
          <c:order val="7"/>
          <c:tx>
            <c:strRef>
              <c:f>Volume_rpt!$M$77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Volume_rpt!$M$78:$M$104</c15:sqref>
                  </c15:fullRef>
                </c:ext>
              </c:extLst>
              <c:f>Volume_rpt!$M$78:$M$80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69-4600-B0A4-273B573693DE}"/>
            </c:ext>
          </c:extLst>
        </c:ser>
        <c:ser>
          <c:idx val="8"/>
          <c:order val="8"/>
          <c:tx>
            <c:strRef>
              <c:f>Volume_rpt!$N$77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Volume_rpt!$N$78:$N$104</c15:sqref>
                  </c15:fullRef>
                </c:ext>
              </c:extLst>
              <c:f>Volume_rpt!$N$78:$N$80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69-4600-B0A4-273B573693DE}"/>
            </c:ext>
          </c:extLst>
        </c:ser>
        <c:ser>
          <c:idx val="9"/>
          <c:order val="9"/>
          <c:tx>
            <c:strRef>
              <c:f>Volume_rpt!$O$77</c:f>
              <c:strCache>
                <c:ptCount val="1"/>
                <c:pt idx="0">
                  <c:v>All OT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Volume_rpt!$O$78:$O$104</c15:sqref>
                  </c15:fullRef>
                </c:ext>
              </c:extLst>
              <c:f>Volume_rpt!$O$78:$O$80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69-4600-B0A4-273B573693DE}"/>
            </c:ext>
          </c:extLst>
        </c:ser>
        <c:ser>
          <c:idx val="10"/>
          <c:order val="10"/>
          <c:tx>
            <c:strRef>
              <c:f>Volume_rpt!$P$77</c:f>
              <c:strCache>
                <c:ptCount val="1"/>
                <c:pt idx="0">
                  <c:v>Snag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Volume_rpt!$P$78:$P$104</c15:sqref>
                  </c15:fullRef>
                </c:ext>
              </c:extLst>
              <c:f>Volume_rpt!$P$78:$P$80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69-4600-B0A4-273B5736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6485631"/>
        <c:axId val="702845199"/>
      </c:barChart>
      <c:catAx>
        <c:axId val="1876485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45199"/>
        <c:crosses val="autoZero"/>
        <c:auto val="1"/>
        <c:lblAlgn val="ctr"/>
        <c:lblOffset val="100"/>
        <c:noMultiLvlLbl val="0"/>
      </c:catAx>
      <c:valAx>
        <c:axId val="70284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Cabon (Tons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48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Carbon by species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Volume_rpt!$T$77</c:f>
              <c:strCache>
                <c:ptCount val="1"/>
                <c:pt idx="0">
                  <c:v>DF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Volume_rpt!$T$78:$T$104</c15:sqref>
                  </c15:fullRef>
                </c:ext>
              </c:extLst>
              <c:f>Volume_rpt!$T$78:$T$80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F-402F-8989-B45C042EB020}"/>
            </c:ext>
          </c:extLst>
        </c:ser>
        <c:ser>
          <c:idx val="1"/>
          <c:order val="1"/>
          <c:tx>
            <c:strRef>
              <c:f>Volume_rpt!$U$77</c:f>
              <c:strCache>
                <c:ptCount val="1"/>
                <c:pt idx="0">
                  <c:v>BM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Volume_rpt!$U$78:$U$104</c15:sqref>
                  </c15:fullRef>
                </c:ext>
              </c:extLst>
              <c:f>Volume_rpt!$U$78:$U$80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F-402F-8989-B45C042EB020}"/>
            </c:ext>
          </c:extLst>
        </c:ser>
        <c:ser>
          <c:idx val="2"/>
          <c:order val="2"/>
          <c:tx>
            <c:strRef>
              <c:f>Volume_rpt!$V$77</c:f>
              <c:strCache>
                <c:ptCount val="1"/>
                <c:pt idx="0">
                  <c:v>WH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Volume_rpt!$V$78:$V$104</c15:sqref>
                  </c15:fullRef>
                </c:ext>
              </c:extLst>
              <c:f>Volume_rpt!$V$78:$V$80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F-402F-8989-B45C042EB020}"/>
            </c:ext>
          </c:extLst>
        </c:ser>
        <c:ser>
          <c:idx val="3"/>
          <c:order val="3"/>
          <c:tx>
            <c:strRef>
              <c:f>Volume_rpt!$W$77</c:f>
              <c:strCache>
                <c:ptCount val="1"/>
                <c:pt idx="0">
                  <c:v>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Volume_rpt!$W$78:$W$104</c15:sqref>
                  </c15:fullRef>
                </c:ext>
              </c:extLst>
              <c:f>Volume_rpt!$W$78:$W$80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1F-402F-8989-B45C042EB020}"/>
            </c:ext>
          </c:extLst>
        </c:ser>
        <c:ser>
          <c:idx val="4"/>
          <c:order val="4"/>
          <c:tx>
            <c:strRef>
              <c:f>Volume_rpt!$X$77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Volume_rpt!$X$78:$X$104</c15:sqref>
                  </c15:fullRef>
                </c:ext>
              </c:extLst>
              <c:f>Volume_rpt!$X$78:$X$80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1F-402F-8989-B45C042EB020}"/>
            </c:ext>
          </c:extLst>
        </c:ser>
        <c:ser>
          <c:idx val="5"/>
          <c:order val="5"/>
          <c:tx>
            <c:strRef>
              <c:f>Volume_rpt!$Y$77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Volume_rpt!$Y$78:$Y$104</c15:sqref>
                  </c15:fullRef>
                </c:ext>
              </c:extLst>
              <c:f>Volume_rpt!$Y$78:$Y$80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1F-402F-8989-B45C042EB020}"/>
            </c:ext>
          </c:extLst>
        </c:ser>
        <c:ser>
          <c:idx val="6"/>
          <c:order val="6"/>
          <c:tx>
            <c:strRef>
              <c:f>Volume_rpt!$Z$77</c:f>
              <c:strCache>
                <c:ptCount val="1"/>
                <c:pt idx="0">
                  <c:v>LP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Volume_rpt!$Z$78:$Z$104</c15:sqref>
                  </c15:fullRef>
                </c:ext>
              </c:extLst>
              <c:f>Volume_rpt!$Z$78:$Z$80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1F-402F-8989-B45C042EB020}"/>
            </c:ext>
          </c:extLst>
        </c:ser>
        <c:ser>
          <c:idx val="7"/>
          <c:order val="7"/>
          <c:tx>
            <c:strRef>
              <c:f>Volume_rpt!$AA$77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Volume_rpt!$AA$78:$AA$104</c15:sqref>
                  </c15:fullRef>
                </c:ext>
              </c:extLst>
              <c:f>Volume_rpt!$AA$78:$AA$80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1F-402F-8989-B45C042EB020}"/>
            </c:ext>
          </c:extLst>
        </c:ser>
        <c:ser>
          <c:idx val="8"/>
          <c:order val="8"/>
          <c:tx>
            <c:strRef>
              <c:f>Volume_rpt!$AB$77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Volume_rpt!$AB$78:$AB$104</c15:sqref>
                  </c15:fullRef>
                </c:ext>
              </c:extLst>
              <c:f>Volume_rpt!$AB$78:$AB$80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1F-402F-8989-B45C042EB020}"/>
            </c:ext>
          </c:extLst>
        </c:ser>
        <c:ser>
          <c:idx val="9"/>
          <c:order val="9"/>
          <c:tx>
            <c:strRef>
              <c:f>Volume_rpt!$AC$77</c:f>
              <c:strCache>
                <c:ptCount val="1"/>
                <c:pt idx="0">
                  <c:v>All OT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Volume_rpt!$AC$78:$AC$104</c15:sqref>
                  </c15:fullRef>
                </c:ext>
              </c:extLst>
              <c:f>Volume_rpt!$AC$78:$AC$80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1F-402F-8989-B45C042EB020}"/>
            </c:ext>
          </c:extLst>
        </c:ser>
        <c:ser>
          <c:idx val="10"/>
          <c:order val="10"/>
          <c:tx>
            <c:strRef>
              <c:f>Volume_rpt!$AD$77</c:f>
              <c:strCache>
                <c:ptCount val="1"/>
                <c:pt idx="0">
                  <c:v>Snag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Volume_rpt!$AD$78:$AD$104</c15:sqref>
                  </c15:fullRef>
                </c:ext>
              </c:extLst>
              <c:f>Volume_rpt!$AD$78:$AD$80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1F-402F-8989-B45C042E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7039919"/>
        <c:axId val="1577419487"/>
      </c:barChart>
      <c:catAx>
        <c:axId val="15670399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419487"/>
        <c:crosses val="autoZero"/>
        <c:auto val="1"/>
        <c:lblAlgn val="ctr"/>
        <c:lblOffset val="100"/>
        <c:noMultiLvlLbl val="0"/>
      </c:catAx>
      <c:valAx>
        <c:axId val="157741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Cabon</a:t>
                </a:r>
                <a:r>
                  <a:rPr lang="en-US" baseline="0"/>
                  <a:t> (Tons)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7039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TPA by 5" DBH</a:t>
            </a:r>
            <a:r>
              <a:rPr lang="en-US" sz="1800" baseline="0"/>
              <a:t> by Species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Stand_Table!$A$10</c:f>
              <c:strCache>
                <c:ptCount val="1"/>
                <c:pt idx="0">
                  <c:v>DF</c:v>
                </c:pt>
              </c:strCache>
            </c:strRef>
          </c:tx>
          <c:spPr>
            <a:solidFill>
              <a:srgbClr val="385723"/>
            </a:solidFill>
          </c:spPr>
          <c:invertIfNegative val="1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Stand_Table!$B$10:$J$10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E17-414E-99A1-01E1573AEF76}"/>
            </c:ext>
          </c:extLst>
        </c:ser>
        <c:ser>
          <c:idx val="1"/>
          <c:order val="1"/>
          <c:tx>
            <c:strRef>
              <c:f>Stand_Table!$A$11</c:f>
              <c:strCache>
                <c:ptCount val="1"/>
                <c:pt idx="0">
                  <c:v>BM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Stand_Table!$B$11:$J$11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F-42E0-82B3-67781B0BB278}"/>
            </c:ext>
          </c:extLst>
        </c:ser>
        <c:ser>
          <c:idx val="2"/>
          <c:order val="2"/>
          <c:tx>
            <c:strRef>
              <c:f>Stand_Table!$A$12</c:f>
              <c:strCache>
                <c:ptCount val="1"/>
                <c:pt idx="0">
                  <c:v>WH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Stand_Table!$B$12:$J$12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F-42E0-82B3-67781B0BB278}"/>
            </c:ext>
          </c:extLst>
        </c:ser>
        <c:ser>
          <c:idx val="3"/>
          <c:order val="3"/>
          <c:tx>
            <c:strRef>
              <c:f>Stand_Table!$A$13</c:f>
              <c:strCache>
                <c:ptCount val="1"/>
                <c:pt idx="0">
                  <c:v>RA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Stand_Table!$B$13:$J$13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F-42E0-82B3-67781B0BB278}"/>
            </c:ext>
          </c:extLst>
        </c:ser>
        <c:ser>
          <c:idx val="4"/>
          <c:order val="4"/>
          <c:tx>
            <c:strRef>
              <c:f>Stand_Table!$A$14</c:f>
              <c:strCache>
                <c:ptCount val="1"/>
                <c:pt idx="0">
                  <c:v>SS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Stand_Table!$B$14:$J$14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F-42E0-82B3-67781B0BB278}"/>
            </c:ext>
          </c:extLst>
        </c:ser>
        <c:ser>
          <c:idx val="5"/>
          <c:order val="5"/>
          <c:tx>
            <c:strRef>
              <c:f>Stand_Table!$A$15</c:f>
              <c:strCache>
                <c:ptCount val="1"/>
                <c:pt idx="0">
                  <c:v>RC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Stand_Table!$B$15:$J$15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F-42E0-82B3-67781B0BB278}"/>
            </c:ext>
          </c:extLst>
        </c:ser>
        <c:ser>
          <c:idx val="6"/>
          <c:order val="6"/>
          <c:tx>
            <c:strRef>
              <c:f>Stand_Table!$A$16</c:f>
              <c:strCache>
                <c:ptCount val="1"/>
                <c:pt idx="0">
                  <c:v>LP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Stand_Table!$B$16:$J$16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8F-42E0-82B3-67781B0BB278}"/>
            </c:ext>
          </c:extLst>
        </c:ser>
        <c:ser>
          <c:idx val="7"/>
          <c:order val="7"/>
          <c:tx>
            <c:strRef>
              <c:f>Stand_Table!$A$17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rgbClr val="9E480E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Stand_Table!$B$17:$J$17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8F-42E0-82B3-67781B0BB278}"/>
            </c:ext>
          </c:extLst>
        </c:ser>
        <c:ser>
          <c:idx val="8"/>
          <c:order val="8"/>
          <c:tx>
            <c:strRef>
              <c:f>Stand_Table!$A$18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Stand_Table!$B$18:$J$18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8F-42E0-82B3-67781B0BB278}"/>
            </c:ext>
          </c:extLst>
        </c:ser>
        <c:ser>
          <c:idx val="9"/>
          <c:order val="9"/>
          <c:tx>
            <c:strRef>
              <c:f>Stand_Table!$A$19</c:f>
              <c:strCache>
                <c:ptCount val="1"/>
                <c:pt idx="0">
                  <c:v>All Other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Stand_Table!$B$19:$J$19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8F-42E0-82B3-67781B0BB278}"/>
            </c:ext>
          </c:extLst>
        </c:ser>
        <c:ser>
          <c:idx val="10"/>
          <c:order val="10"/>
          <c:tx>
            <c:strRef>
              <c:f>Stand_Table!$A$20</c:f>
              <c:strCache>
                <c:ptCount val="1"/>
                <c:pt idx="0">
                  <c:v>Snag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Stand_Table!$B$20:$J$20</c:f>
              <c:numCache>
                <c:formatCode>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8F-42E0-82B3-67781B0BB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929872"/>
        <c:axId val="2040939664"/>
      </c:barChart>
      <c:catAx>
        <c:axId val="204092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595959"/>
                    </a:solidFill>
                  </a:defRPr>
                </a:pPr>
                <a:r>
                  <a:rPr lang="en-US" sz="1600"/>
                  <a:t>DBH Bin 5" (upper end)</a:t>
                </a:r>
              </a:p>
            </c:rich>
          </c:tx>
          <c:layout>
            <c:manualLayout>
              <c:xMode val="edge"/>
              <c:yMode val="edge"/>
              <c:x val="0.40391212525744202"/>
              <c:y val="0.92964376590330799"/>
            </c:manualLayout>
          </c:layout>
          <c:overlay val="0"/>
        </c:title>
        <c:numFmt formatCode="0" sourceLinked="1"/>
        <c:majorTickMark val="cross"/>
        <c:minorTickMark val="cross"/>
        <c:tickLblPos val="nextTo"/>
        <c:txPr>
          <a:bodyPr/>
          <a:lstStyle/>
          <a:p>
            <a:pPr lvl="0">
              <a:defRPr sz="1100" b="0" i="0">
                <a:solidFill>
                  <a:srgbClr val="595959"/>
                </a:solidFill>
              </a:defRPr>
            </a:pPr>
            <a:endParaRPr lang="en-US"/>
          </a:p>
        </c:txPr>
        <c:crossAx val="2040939664"/>
        <c:crosses val="autoZero"/>
        <c:auto val="1"/>
        <c:lblAlgn val="ctr"/>
        <c:lblOffset val="100"/>
        <c:noMultiLvlLbl val="1"/>
      </c:catAx>
      <c:valAx>
        <c:axId val="204093966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595959"/>
                    </a:solidFill>
                  </a:defRPr>
                </a:pPr>
                <a:r>
                  <a:rPr lang="en-US" sz="1800"/>
                  <a:t>TPA</a:t>
                </a:r>
              </a:p>
            </c:rich>
          </c:tx>
          <c:layout>
            <c:manualLayout>
              <c:xMode val="edge"/>
              <c:yMode val="edge"/>
              <c:x val="1.5612800578681699E-2"/>
              <c:y val="0.44712668550019002"/>
            </c:manualLayout>
          </c:layout>
          <c:overlay val="0"/>
        </c:title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100" b="0" i="0">
                <a:solidFill>
                  <a:srgbClr val="595959"/>
                </a:solidFill>
              </a:defRPr>
            </a:pPr>
            <a:endParaRPr lang="en-US"/>
          </a:p>
        </c:txPr>
        <c:crossAx val="204092987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 rtl="0">
            <a:defRPr sz="1200">
              <a:solidFill>
                <a:srgbClr val="595959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Total Biomass by 5" DBH</a:t>
            </a:r>
            <a:r>
              <a:rPr lang="en-US" sz="1800" baseline="0"/>
              <a:t> by Species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Stand_Table!$A$30</c:f>
              <c:strCache>
                <c:ptCount val="1"/>
                <c:pt idx="0">
                  <c:v>DF</c:v>
                </c:pt>
              </c:strCache>
            </c:strRef>
          </c:tx>
          <c:spPr>
            <a:solidFill>
              <a:srgbClr val="385723"/>
            </a:solidFill>
          </c:spPr>
          <c:invertIfNegative val="1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Stand_Table!$B$30:$J$30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E17-414E-99A1-01E1573AEF76}"/>
            </c:ext>
          </c:extLst>
        </c:ser>
        <c:ser>
          <c:idx val="1"/>
          <c:order val="1"/>
          <c:tx>
            <c:strRef>
              <c:f>Stand_Table!$A$31</c:f>
              <c:strCache>
                <c:ptCount val="1"/>
                <c:pt idx="0">
                  <c:v>BM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Stand_Table!$B$31:$J$31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0-4196-84EF-097D45C1E780}"/>
            </c:ext>
          </c:extLst>
        </c:ser>
        <c:ser>
          <c:idx val="2"/>
          <c:order val="2"/>
          <c:tx>
            <c:strRef>
              <c:f>Stand_Table!$A$32</c:f>
              <c:strCache>
                <c:ptCount val="1"/>
                <c:pt idx="0">
                  <c:v>WH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Stand_Table!$B$32:$J$32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0-4196-84EF-097D45C1E780}"/>
            </c:ext>
          </c:extLst>
        </c:ser>
        <c:ser>
          <c:idx val="3"/>
          <c:order val="3"/>
          <c:tx>
            <c:strRef>
              <c:f>Stand_Table!$A$33</c:f>
              <c:strCache>
                <c:ptCount val="1"/>
                <c:pt idx="0">
                  <c:v>RA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Stand_Table!$B$33:$J$33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0-4196-84EF-097D45C1E780}"/>
            </c:ext>
          </c:extLst>
        </c:ser>
        <c:ser>
          <c:idx val="4"/>
          <c:order val="4"/>
          <c:tx>
            <c:strRef>
              <c:f>Stand_Table!$A$34</c:f>
              <c:strCache>
                <c:ptCount val="1"/>
                <c:pt idx="0">
                  <c:v>SS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Stand_Table!$B$34:$J$34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10-4196-84EF-097D45C1E780}"/>
            </c:ext>
          </c:extLst>
        </c:ser>
        <c:ser>
          <c:idx val="5"/>
          <c:order val="5"/>
          <c:tx>
            <c:strRef>
              <c:f>Stand_Table!$A$35</c:f>
              <c:strCache>
                <c:ptCount val="1"/>
                <c:pt idx="0">
                  <c:v>RC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Stand_Table!$B$35:$J$35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10-4196-84EF-097D45C1E780}"/>
            </c:ext>
          </c:extLst>
        </c:ser>
        <c:ser>
          <c:idx val="6"/>
          <c:order val="6"/>
          <c:tx>
            <c:strRef>
              <c:f>Stand_Table!$A$36</c:f>
              <c:strCache>
                <c:ptCount val="1"/>
                <c:pt idx="0">
                  <c:v>LP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Stand_Table!$B$36:$J$36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10-4196-84EF-097D45C1E780}"/>
            </c:ext>
          </c:extLst>
        </c:ser>
        <c:ser>
          <c:idx val="7"/>
          <c:order val="7"/>
          <c:tx>
            <c:strRef>
              <c:f>Stand_Table!$A$37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rgbClr val="9E480E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Stand_Table!$B$37:$J$37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10-4196-84EF-097D45C1E780}"/>
            </c:ext>
          </c:extLst>
        </c:ser>
        <c:ser>
          <c:idx val="8"/>
          <c:order val="8"/>
          <c:tx>
            <c:strRef>
              <c:f>Stand_Table!$A$38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Stand_Table!$B$38:$J$38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10-4196-84EF-097D45C1E780}"/>
            </c:ext>
          </c:extLst>
        </c:ser>
        <c:ser>
          <c:idx val="9"/>
          <c:order val="9"/>
          <c:tx>
            <c:strRef>
              <c:f>Stand_Table!$A$39</c:f>
              <c:strCache>
                <c:ptCount val="1"/>
                <c:pt idx="0">
                  <c:v>All Other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Stand_Table!$B$39:$J$39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10-4196-84EF-097D45C1E780}"/>
            </c:ext>
          </c:extLst>
        </c:ser>
        <c:ser>
          <c:idx val="10"/>
          <c:order val="10"/>
          <c:tx>
            <c:strRef>
              <c:f>Stand_Table!$A$40</c:f>
              <c:strCache>
                <c:ptCount val="1"/>
                <c:pt idx="0">
                  <c:v>Snag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Stand_Table!$B$40:$J$40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10-4196-84EF-097D45C1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936400"/>
        <c:axId val="2040928784"/>
      </c:barChart>
      <c:catAx>
        <c:axId val="204093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595959"/>
                    </a:solidFill>
                  </a:defRPr>
                </a:pPr>
                <a:r>
                  <a:rPr lang="en-US" sz="1600"/>
                  <a:t>DBH Bin 5" (upper end)</a:t>
                </a:r>
              </a:p>
            </c:rich>
          </c:tx>
          <c:layout>
            <c:manualLayout>
              <c:xMode val="edge"/>
              <c:yMode val="edge"/>
              <c:x val="0.40391212525744202"/>
              <c:y val="0.92964376590330799"/>
            </c:manualLayout>
          </c:layout>
          <c:overlay val="0"/>
        </c:title>
        <c:numFmt formatCode="0" sourceLinked="1"/>
        <c:majorTickMark val="cross"/>
        <c:minorTickMark val="cross"/>
        <c:tickLblPos val="nextTo"/>
        <c:txPr>
          <a:bodyPr/>
          <a:lstStyle/>
          <a:p>
            <a:pPr lvl="0">
              <a:defRPr sz="1100" b="0" i="0">
                <a:solidFill>
                  <a:srgbClr val="595959"/>
                </a:solidFill>
              </a:defRPr>
            </a:pPr>
            <a:endParaRPr lang="en-US"/>
          </a:p>
        </c:txPr>
        <c:crossAx val="2040928784"/>
        <c:crosses val="autoZero"/>
        <c:auto val="1"/>
        <c:lblAlgn val="ctr"/>
        <c:lblOffset val="100"/>
        <c:noMultiLvlLbl val="1"/>
      </c:catAx>
      <c:valAx>
        <c:axId val="204092878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595959"/>
                    </a:solidFill>
                  </a:defRPr>
                </a:pPr>
                <a:r>
                  <a:rPr lang="en-US" sz="1800"/>
                  <a:t>Biomass Tons/Acre</a:t>
                </a:r>
              </a:p>
            </c:rich>
          </c:tx>
          <c:layout>
            <c:manualLayout>
              <c:xMode val="edge"/>
              <c:yMode val="edge"/>
              <c:x val="9.1297744994193394E-3"/>
              <c:y val="0.226284737780963"/>
            </c:manualLayout>
          </c:layout>
          <c:overlay val="0"/>
        </c:title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100" b="0" i="0">
                <a:solidFill>
                  <a:srgbClr val="595959"/>
                </a:solidFill>
              </a:defRPr>
            </a:pPr>
            <a:endParaRPr lang="en-US"/>
          </a:p>
        </c:txPr>
        <c:crossAx val="204093640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 rtl="0">
            <a:defRPr sz="1200">
              <a:solidFill>
                <a:srgbClr val="595959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Total Volume (MBF) by 5" DBH</a:t>
            </a:r>
            <a:r>
              <a:rPr lang="en-US" sz="1800" baseline="0"/>
              <a:t> by Species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Stand_Table!$A$50</c:f>
              <c:strCache>
                <c:ptCount val="1"/>
                <c:pt idx="0">
                  <c:v>DF</c:v>
                </c:pt>
              </c:strCache>
            </c:strRef>
          </c:tx>
          <c:spPr>
            <a:solidFill>
              <a:srgbClr val="385723"/>
            </a:solidFill>
          </c:spPr>
          <c:invertIfNegative val="1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Stand_Table!$B$50:$J$50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E17-414E-99A1-01E1573AEF76}"/>
            </c:ext>
          </c:extLst>
        </c:ser>
        <c:ser>
          <c:idx val="1"/>
          <c:order val="1"/>
          <c:tx>
            <c:strRef>
              <c:f>Stand_Table!$A$51</c:f>
              <c:strCache>
                <c:ptCount val="1"/>
                <c:pt idx="0">
                  <c:v>BM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Stand_Table!$B$51:$J$51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7-4333-9244-AF3836F61D01}"/>
            </c:ext>
          </c:extLst>
        </c:ser>
        <c:ser>
          <c:idx val="2"/>
          <c:order val="2"/>
          <c:tx>
            <c:strRef>
              <c:f>Stand_Table!$A$52</c:f>
              <c:strCache>
                <c:ptCount val="1"/>
                <c:pt idx="0">
                  <c:v>WH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Stand_Table!$B$52:$J$52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7-4333-9244-AF3836F61D01}"/>
            </c:ext>
          </c:extLst>
        </c:ser>
        <c:ser>
          <c:idx val="3"/>
          <c:order val="3"/>
          <c:tx>
            <c:strRef>
              <c:f>Stand_Table!$A$53</c:f>
              <c:strCache>
                <c:ptCount val="1"/>
                <c:pt idx="0">
                  <c:v>RA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Stand_Table!$B$53:$J$53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7-4333-9244-AF3836F61D01}"/>
            </c:ext>
          </c:extLst>
        </c:ser>
        <c:ser>
          <c:idx val="4"/>
          <c:order val="4"/>
          <c:tx>
            <c:strRef>
              <c:f>Stand_Table!$A$54</c:f>
              <c:strCache>
                <c:ptCount val="1"/>
                <c:pt idx="0">
                  <c:v>SS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Stand_Table!$B$54:$J$54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7-4333-9244-AF3836F61D01}"/>
            </c:ext>
          </c:extLst>
        </c:ser>
        <c:ser>
          <c:idx val="5"/>
          <c:order val="5"/>
          <c:tx>
            <c:strRef>
              <c:f>Stand_Table!$A$55</c:f>
              <c:strCache>
                <c:ptCount val="1"/>
                <c:pt idx="0">
                  <c:v>RC</c:v>
                </c:pt>
              </c:strCache>
            </c:strRef>
          </c:tx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Stand_Table!$B$55:$J$55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87-4333-9244-AF3836F61D01}"/>
            </c:ext>
          </c:extLst>
        </c:ser>
        <c:ser>
          <c:idx val="6"/>
          <c:order val="6"/>
          <c:tx>
            <c:strRef>
              <c:f>Stand_Table!$A$56</c:f>
              <c:strCache>
                <c:ptCount val="1"/>
                <c:pt idx="0">
                  <c:v>LP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Stand_Table!$B$56:$J$56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87-4333-9244-AF3836F61D01}"/>
            </c:ext>
          </c:extLst>
        </c:ser>
        <c:ser>
          <c:idx val="7"/>
          <c:order val="7"/>
          <c:tx>
            <c:strRef>
              <c:f>Stand_Table!$A$57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rgbClr val="9E480E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Stand_Table!$B$57:$J$57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87-4333-9244-AF3836F61D01}"/>
            </c:ext>
          </c:extLst>
        </c:ser>
        <c:ser>
          <c:idx val="8"/>
          <c:order val="8"/>
          <c:tx>
            <c:strRef>
              <c:f>Stand_Table!$A$58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Stand_Table!$B$58:$J$58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87-4333-9244-AF3836F61D01}"/>
            </c:ext>
          </c:extLst>
        </c:ser>
        <c:ser>
          <c:idx val="9"/>
          <c:order val="9"/>
          <c:tx>
            <c:strRef>
              <c:f>Stand_Table!$A$59</c:f>
              <c:strCache>
                <c:ptCount val="1"/>
                <c:pt idx="0">
                  <c:v>All Other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Stand_Table!$B$59:$J$59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87-4333-9244-AF3836F61D01}"/>
            </c:ext>
          </c:extLst>
        </c:ser>
        <c:ser>
          <c:idx val="10"/>
          <c:order val="10"/>
          <c:tx>
            <c:strRef>
              <c:f>Stand_Table!$A$60</c:f>
              <c:strCache>
                <c:ptCount val="1"/>
                <c:pt idx="0">
                  <c:v>Snag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Stand_Table!$B$8:$J$8</c:f>
              <c:numCache>
                <c:formatCode>0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cat>
          <c:val>
            <c:numRef>
              <c:f>Stand_Table!$B$60:$J$60</c:f>
              <c:numCache>
                <c:formatCode>0.0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87-4333-9244-AF3836F61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936944"/>
        <c:axId val="2040938032"/>
      </c:barChart>
      <c:catAx>
        <c:axId val="204093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595959"/>
                    </a:solidFill>
                  </a:defRPr>
                </a:pPr>
                <a:r>
                  <a:rPr lang="en-US" sz="1600"/>
                  <a:t>DBH Bin 5" (upper end)</a:t>
                </a:r>
              </a:p>
            </c:rich>
          </c:tx>
          <c:layout>
            <c:manualLayout>
              <c:xMode val="edge"/>
              <c:yMode val="edge"/>
              <c:x val="0.40391212525744202"/>
              <c:y val="0.92964376590330799"/>
            </c:manualLayout>
          </c:layout>
          <c:overlay val="0"/>
        </c:title>
        <c:numFmt formatCode="0" sourceLinked="1"/>
        <c:majorTickMark val="cross"/>
        <c:minorTickMark val="cross"/>
        <c:tickLblPos val="nextTo"/>
        <c:txPr>
          <a:bodyPr/>
          <a:lstStyle/>
          <a:p>
            <a:pPr lvl="0">
              <a:defRPr sz="1100" b="0" i="0">
                <a:solidFill>
                  <a:srgbClr val="595959"/>
                </a:solidFill>
              </a:defRPr>
            </a:pPr>
            <a:endParaRPr lang="en-US"/>
          </a:p>
        </c:txPr>
        <c:crossAx val="2040938032"/>
        <c:crosses val="autoZero"/>
        <c:auto val="1"/>
        <c:lblAlgn val="ctr"/>
        <c:lblOffset val="100"/>
        <c:noMultiLvlLbl val="1"/>
      </c:catAx>
      <c:valAx>
        <c:axId val="204093803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595959"/>
                    </a:solidFill>
                  </a:defRPr>
                </a:pPr>
                <a:r>
                  <a:rPr lang="en-US" sz="1800"/>
                  <a:t>MBF/Acre</a:t>
                </a:r>
              </a:p>
            </c:rich>
          </c:tx>
          <c:layout>
            <c:manualLayout>
              <c:xMode val="edge"/>
              <c:yMode val="edge"/>
              <c:x val="1.5612800578681699E-2"/>
              <c:y val="0.44712668550019002"/>
            </c:manualLayout>
          </c:layout>
          <c:overlay val="0"/>
        </c:title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100" b="0" i="0">
                <a:solidFill>
                  <a:srgbClr val="595959"/>
                </a:solidFill>
              </a:defRPr>
            </a:pPr>
            <a:endParaRPr lang="en-US"/>
          </a:p>
        </c:txPr>
        <c:crossAx val="20409369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 rtl="0">
            <a:defRPr sz="1200">
              <a:solidFill>
                <a:srgbClr val="595959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38100</xdr:colOff>
      <xdr:row>29</xdr:row>
      <xdr:rowOff>0</xdr:rowOff>
    </xdr:to>
    <xdr:sp macro="" textlink="">
      <xdr:nvSpPr>
        <xdr:cNvPr id="1027" name="Rectangle 3" hidden="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</xdr:colOff>
      <xdr:row>29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</xdr:colOff>
      <xdr:row>29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30480</xdr:colOff>
      <xdr:row>29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99320" cy="9395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</xdr:colOff>
      <xdr:row>29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25400</xdr:colOff>
      <xdr:row>29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63150" cy="9309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56</xdr:row>
      <xdr:rowOff>66675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457200</xdr:colOff>
      <xdr:row>56</xdr:row>
      <xdr:rowOff>66675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457200</xdr:colOff>
      <xdr:row>56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205740</xdr:colOff>
      <xdr:row>57</xdr:row>
      <xdr:rowOff>15240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457200</xdr:colOff>
      <xdr:row>56</xdr:row>
      <xdr:rowOff>66675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25400</xdr:colOff>
      <xdr:row>57</xdr:row>
      <xdr:rowOff>82550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52</xdr:row>
      <xdr:rowOff>114300</xdr:rowOff>
    </xdr:to>
    <xdr:sp macro="" textlink="">
      <xdr:nvSpPr>
        <xdr:cNvPr id="3075" name="Rectangle 3" hidden="1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52</xdr:row>
      <xdr:rowOff>114300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52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52</xdr:row>
      <xdr:rowOff>91440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7400" cy="92430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52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154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52</xdr:row>
      <xdr:rowOff>76200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04350" cy="9378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17</xdr:row>
      <xdr:rowOff>0</xdr:rowOff>
    </xdr:from>
    <xdr:to>
      <xdr:col>40</xdr:col>
      <xdr:colOff>304800</xdr:colOff>
      <xdr:row>33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2F3BB9A-1C3E-456E-BD67-5EC94A6A6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1</xdr:row>
      <xdr:rowOff>0</xdr:rowOff>
    </xdr:from>
    <xdr:to>
      <xdr:col>40</xdr:col>
      <xdr:colOff>304800</xdr:colOff>
      <xdr:row>16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5F429D2-28A2-4998-86B7-395C9ACB0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37</xdr:row>
      <xdr:rowOff>0</xdr:rowOff>
    </xdr:from>
    <xdr:to>
      <xdr:col>40</xdr:col>
      <xdr:colOff>304800</xdr:colOff>
      <xdr:row>52</xdr:row>
      <xdr:rowOff>25400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60CC7F3-EAF7-4BA5-AE45-1604E1323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596900</xdr:colOff>
      <xdr:row>53</xdr:row>
      <xdr:rowOff>0</xdr:rowOff>
    </xdr:from>
    <xdr:to>
      <xdr:col>40</xdr:col>
      <xdr:colOff>292100</xdr:colOff>
      <xdr:row>71</xdr:row>
      <xdr:rowOff>101600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979E7D1-03C7-436C-91A1-E535A4715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75</xdr:row>
      <xdr:rowOff>0</xdr:rowOff>
    </xdr:from>
    <xdr:to>
      <xdr:col>40</xdr:col>
      <xdr:colOff>304800</xdr:colOff>
      <xdr:row>90</xdr:row>
      <xdr:rowOff>25400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02A6767-BA62-4684-923E-ED4D87E15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91</xdr:row>
      <xdr:rowOff>0</xdr:rowOff>
    </xdr:from>
    <xdr:to>
      <xdr:col>40</xdr:col>
      <xdr:colOff>304800</xdr:colOff>
      <xdr:row>107</xdr:row>
      <xdr:rowOff>101600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6601C08-6CDE-4D44-9451-D31665724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2</xdr:row>
      <xdr:rowOff>0</xdr:rowOff>
    </xdr:from>
    <xdr:to>
      <xdr:col>24</xdr:col>
      <xdr:colOff>361950</xdr:colOff>
      <xdr:row>21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12</xdr:col>
      <xdr:colOff>238125</xdr:colOff>
      <xdr:row>23</xdr:row>
      <xdr:rowOff>9524</xdr:rowOff>
    </xdr:from>
    <xdr:to>
      <xdr:col>24</xdr:col>
      <xdr:colOff>409575</xdr:colOff>
      <xdr:row>42</xdr:row>
      <xdr:rowOff>28573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12</xdr:col>
      <xdr:colOff>247650</xdr:colOff>
      <xdr:row>44</xdr:row>
      <xdr:rowOff>123825</xdr:rowOff>
    </xdr:from>
    <xdr:to>
      <xdr:col>24</xdr:col>
      <xdr:colOff>419100</xdr:colOff>
      <xdr:row>63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63465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BE7ECFD-3794-43E7-AF68-815956BBA6E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33"/>
  <sheetViews>
    <sheetView zoomScale="75" zoomScaleNormal="75" workbookViewId="0"/>
  </sheetViews>
  <sheetFormatPr defaultColWidth="9.21875" defaultRowHeight="13.8" x14ac:dyDescent="0.25"/>
  <cols>
    <col min="1" max="1" width="18.44140625" style="68" customWidth="1"/>
    <col min="2" max="9" width="9.21875" style="67"/>
    <col min="10" max="11" width="10.44140625" style="67" customWidth="1"/>
    <col min="12" max="12" width="9.21875" style="67" customWidth="1"/>
    <col min="13" max="15" width="10.44140625" style="67" customWidth="1"/>
    <col min="16" max="16" width="9.21875" style="67"/>
    <col min="17" max="17" width="20.21875" style="67" bestFit="1" customWidth="1"/>
    <col min="18" max="16384" width="9.21875" style="67"/>
  </cols>
  <sheetData>
    <row r="1" spans="1:18" ht="14.4" thickBot="1" x14ac:dyDescent="0.3">
      <c r="A1" s="66" t="s">
        <v>256</v>
      </c>
    </row>
    <row r="2" spans="1:18" ht="14.4" thickBot="1" x14ac:dyDescent="0.3">
      <c r="J2" s="531" t="s">
        <v>257</v>
      </c>
      <c r="K2" s="532"/>
      <c r="M2" s="531" t="s">
        <v>258</v>
      </c>
      <c r="N2" s="533"/>
      <c r="O2" s="532"/>
      <c r="Q2" s="529" t="s">
        <v>211</v>
      </c>
      <c r="R2" s="530"/>
    </row>
    <row r="3" spans="1:18" x14ac:dyDescent="0.25">
      <c r="A3" s="69" t="s">
        <v>178</v>
      </c>
      <c r="J3" s="540" t="s">
        <v>202</v>
      </c>
      <c r="K3" s="541"/>
      <c r="M3" s="542" t="s">
        <v>1</v>
      </c>
      <c r="N3" s="543"/>
      <c r="O3" s="544"/>
      <c r="Q3" s="70" t="s">
        <v>40</v>
      </c>
      <c r="R3" s="71" t="s">
        <v>41</v>
      </c>
    </row>
    <row r="4" spans="1:18" x14ac:dyDescent="0.25">
      <c r="A4" s="66" t="s">
        <v>254</v>
      </c>
      <c r="J4" s="538" t="s">
        <v>203</v>
      </c>
      <c r="K4" s="539"/>
      <c r="M4" s="515" t="s">
        <v>198</v>
      </c>
      <c r="N4" s="516"/>
      <c r="O4" s="517"/>
      <c r="Q4" s="70" t="s">
        <v>63</v>
      </c>
      <c r="R4" s="71" t="s">
        <v>64</v>
      </c>
    </row>
    <row r="5" spans="1:18" ht="14.4" thickBot="1" x14ac:dyDescent="0.3">
      <c r="A5" s="68" t="s">
        <v>181</v>
      </c>
      <c r="B5" s="67" t="s">
        <v>237</v>
      </c>
      <c r="J5" s="536" t="s">
        <v>204</v>
      </c>
      <c r="K5" s="537"/>
      <c r="M5" s="515" t="s">
        <v>38</v>
      </c>
      <c r="N5" s="516"/>
      <c r="O5" s="517"/>
      <c r="Q5" s="70" t="s">
        <v>65</v>
      </c>
      <c r="R5" s="71" t="s">
        <v>32</v>
      </c>
    </row>
    <row r="6" spans="1:18" ht="14.4" thickBot="1" x14ac:dyDescent="0.3">
      <c r="A6" s="68" t="s">
        <v>182</v>
      </c>
      <c r="B6" s="67" t="s">
        <v>246</v>
      </c>
      <c r="M6" s="515" t="s">
        <v>199</v>
      </c>
      <c r="N6" s="516"/>
      <c r="O6" s="517"/>
      <c r="Q6" s="70" t="s">
        <v>132</v>
      </c>
      <c r="R6" s="71" t="s">
        <v>69</v>
      </c>
    </row>
    <row r="7" spans="1:18" ht="14.4" thickBot="1" x14ac:dyDescent="0.3">
      <c r="A7" s="68" t="s">
        <v>183</v>
      </c>
      <c r="B7" s="67" t="s">
        <v>238</v>
      </c>
      <c r="J7" s="531" t="s">
        <v>264</v>
      </c>
      <c r="K7" s="532"/>
      <c r="M7" s="515" t="s">
        <v>200</v>
      </c>
      <c r="N7" s="516"/>
      <c r="O7" s="517"/>
      <c r="Q7" s="70" t="s">
        <v>66</v>
      </c>
      <c r="R7" s="71" t="s">
        <v>67</v>
      </c>
    </row>
    <row r="8" spans="1:18" ht="14.4" thickBot="1" x14ac:dyDescent="0.3">
      <c r="A8" s="68" t="s">
        <v>184</v>
      </c>
      <c r="B8" s="67" t="s">
        <v>245</v>
      </c>
      <c r="J8" s="534" t="s">
        <v>205</v>
      </c>
      <c r="K8" s="535"/>
      <c r="M8" s="545" t="s">
        <v>201</v>
      </c>
      <c r="N8" s="546"/>
      <c r="O8" s="547"/>
      <c r="Q8" s="70" t="s">
        <v>42</v>
      </c>
      <c r="R8" s="71" t="s">
        <v>30</v>
      </c>
    </row>
    <row r="9" spans="1:18" ht="14.4" thickBot="1" x14ac:dyDescent="0.3">
      <c r="A9" s="68" t="s">
        <v>185</v>
      </c>
      <c r="B9" s="67" t="s">
        <v>186</v>
      </c>
      <c r="J9" s="527" t="s">
        <v>206</v>
      </c>
      <c r="K9" s="528"/>
      <c r="Q9" s="70" t="s">
        <v>130</v>
      </c>
      <c r="R9" s="71" t="s">
        <v>34</v>
      </c>
    </row>
    <row r="10" spans="1:18" ht="14.4" thickBot="1" x14ac:dyDescent="0.3">
      <c r="A10" s="68" t="s">
        <v>187</v>
      </c>
      <c r="B10" s="67" t="s">
        <v>188</v>
      </c>
      <c r="M10" s="531" t="s">
        <v>263</v>
      </c>
      <c r="N10" s="533"/>
      <c r="O10" s="532"/>
      <c r="Q10" s="70" t="s">
        <v>260</v>
      </c>
      <c r="R10" s="71" t="s">
        <v>78</v>
      </c>
    </row>
    <row r="11" spans="1:18" x14ac:dyDescent="0.25">
      <c r="M11" s="518" t="s">
        <v>1</v>
      </c>
      <c r="N11" s="519"/>
      <c r="O11" s="520"/>
      <c r="Q11" s="70" t="s">
        <v>128</v>
      </c>
      <c r="R11" s="71" t="s">
        <v>45</v>
      </c>
    </row>
    <row r="12" spans="1:18" x14ac:dyDescent="0.25">
      <c r="A12" s="69" t="s">
        <v>179</v>
      </c>
      <c r="M12" s="521" t="s">
        <v>5</v>
      </c>
      <c r="N12" s="522"/>
      <c r="O12" s="523"/>
      <c r="Q12" s="70" t="s">
        <v>46</v>
      </c>
      <c r="R12" s="71" t="s">
        <v>47</v>
      </c>
    </row>
    <row r="13" spans="1:18" ht="14.4" thickBot="1" x14ac:dyDescent="0.3">
      <c r="A13" s="66" t="s">
        <v>255</v>
      </c>
      <c r="M13" s="524" t="s">
        <v>212</v>
      </c>
      <c r="N13" s="525"/>
      <c r="O13" s="526"/>
      <c r="Q13" s="70" t="s">
        <v>50</v>
      </c>
      <c r="R13" s="71" t="s">
        <v>51</v>
      </c>
    </row>
    <row r="14" spans="1:18" x14ac:dyDescent="0.25">
      <c r="A14" s="68" t="s">
        <v>189</v>
      </c>
      <c r="B14" s="67" t="s">
        <v>244</v>
      </c>
      <c r="Q14" s="70" t="s">
        <v>72</v>
      </c>
      <c r="R14" s="71" t="s">
        <v>73</v>
      </c>
    </row>
    <row r="15" spans="1:18" x14ac:dyDescent="0.25">
      <c r="A15" s="68" t="s">
        <v>190</v>
      </c>
      <c r="B15" s="67" t="s">
        <v>192</v>
      </c>
      <c r="Q15" s="70" t="s">
        <v>70</v>
      </c>
      <c r="R15" s="71" t="s">
        <v>71</v>
      </c>
    </row>
    <row r="16" spans="1:18" x14ac:dyDescent="0.25">
      <c r="A16" s="68" t="s">
        <v>191</v>
      </c>
      <c r="B16" s="67" t="s">
        <v>239</v>
      </c>
      <c r="Q16" s="70" t="s">
        <v>129</v>
      </c>
      <c r="R16" s="71" t="s">
        <v>75</v>
      </c>
    </row>
    <row r="17" spans="1:18" x14ac:dyDescent="0.25">
      <c r="A17" s="68" t="s">
        <v>193</v>
      </c>
      <c r="B17" s="67" t="s">
        <v>259</v>
      </c>
      <c r="Q17" s="70" t="s">
        <v>131</v>
      </c>
      <c r="R17" s="71" t="s">
        <v>35</v>
      </c>
    </row>
    <row r="18" spans="1:18" x14ac:dyDescent="0.25">
      <c r="A18" s="68" t="s">
        <v>194</v>
      </c>
      <c r="B18" s="67" t="s">
        <v>240</v>
      </c>
      <c r="Q18" s="70" t="s">
        <v>53</v>
      </c>
      <c r="R18" s="71" t="s">
        <v>54</v>
      </c>
    </row>
    <row r="19" spans="1:18" x14ac:dyDescent="0.25">
      <c r="A19" s="68" t="s">
        <v>185</v>
      </c>
      <c r="B19" s="67" t="s">
        <v>196</v>
      </c>
      <c r="Q19" s="70" t="s">
        <v>76</v>
      </c>
      <c r="R19" s="71" t="s">
        <v>103</v>
      </c>
    </row>
    <row r="20" spans="1:18" x14ac:dyDescent="0.25">
      <c r="A20" s="68" t="s">
        <v>195</v>
      </c>
      <c r="B20" s="67" t="s">
        <v>241</v>
      </c>
      <c r="Q20" s="70" t="s">
        <v>77</v>
      </c>
      <c r="R20" s="71" t="s">
        <v>29</v>
      </c>
    </row>
    <row r="21" spans="1:18" x14ac:dyDescent="0.25">
      <c r="A21" s="68" t="s">
        <v>184</v>
      </c>
      <c r="B21" s="67" t="s">
        <v>231</v>
      </c>
      <c r="Q21" s="70" t="s">
        <v>55</v>
      </c>
      <c r="R21" s="71" t="s">
        <v>56</v>
      </c>
    </row>
    <row r="22" spans="1:18" x14ac:dyDescent="0.25">
      <c r="A22" s="68" t="s">
        <v>230</v>
      </c>
      <c r="B22" s="67" t="s">
        <v>188</v>
      </c>
      <c r="Q22" s="70" t="s">
        <v>57</v>
      </c>
      <c r="R22" s="71" t="s">
        <v>31</v>
      </c>
    </row>
    <row r="23" spans="1:18" x14ac:dyDescent="0.25">
      <c r="Q23" s="70" t="s">
        <v>48</v>
      </c>
      <c r="R23" s="71" t="s">
        <v>49</v>
      </c>
    </row>
    <row r="24" spans="1:18" x14ac:dyDescent="0.25">
      <c r="A24" s="69" t="s">
        <v>180</v>
      </c>
      <c r="Q24" s="70" t="s">
        <v>58</v>
      </c>
      <c r="R24" s="71" t="s">
        <v>33</v>
      </c>
    </row>
    <row r="25" spans="1:18" x14ac:dyDescent="0.25">
      <c r="A25" s="66" t="s">
        <v>242</v>
      </c>
      <c r="Q25" s="70" t="s">
        <v>59</v>
      </c>
      <c r="R25" s="71" t="s">
        <v>60</v>
      </c>
    </row>
    <row r="26" spans="1:18" x14ac:dyDescent="0.25">
      <c r="A26" s="68" t="s">
        <v>181</v>
      </c>
      <c r="B26" s="67" t="s">
        <v>243</v>
      </c>
      <c r="Q26" s="70" t="s">
        <v>61</v>
      </c>
      <c r="R26" s="71" t="s">
        <v>62</v>
      </c>
    </row>
    <row r="27" spans="1:18" x14ac:dyDescent="0.25">
      <c r="A27" s="68" t="s">
        <v>191</v>
      </c>
      <c r="B27" s="67" t="s">
        <v>197</v>
      </c>
      <c r="Q27" s="70" t="s">
        <v>80</v>
      </c>
      <c r="R27" s="71" t="s">
        <v>81</v>
      </c>
    </row>
    <row r="28" spans="1:18" ht="14.4" thickBot="1" x14ac:dyDescent="0.3">
      <c r="Q28" s="72" t="s">
        <v>104</v>
      </c>
      <c r="R28" s="73" t="s">
        <v>105</v>
      </c>
    </row>
    <row r="29" spans="1:18" x14ac:dyDescent="0.25">
      <c r="A29" s="69" t="s">
        <v>207</v>
      </c>
    </row>
    <row r="30" spans="1:18" x14ac:dyDescent="0.25">
      <c r="A30" s="353" t="s">
        <v>262</v>
      </c>
    </row>
    <row r="31" spans="1:18" x14ac:dyDescent="0.25">
      <c r="A31" s="68" t="s">
        <v>181</v>
      </c>
      <c r="B31" s="67" t="s">
        <v>209</v>
      </c>
    </row>
    <row r="32" spans="1:18" x14ac:dyDescent="0.25">
      <c r="A32" s="68" t="s">
        <v>191</v>
      </c>
      <c r="B32" s="67" t="s">
        <v>208</v>
      </c>
    </row>
    <row r="33" spans="1:2" x14ac:dyDescent="0.25">
      <c r="A33" s="68" t="s">
        <v>193</v>
      </c>
      <c r="B33" s="67" t="s">
        <v>210</v>
      </c>
    </row>
  </sheetData>
  <sortState xmlns:xlrd2="http://schemas.microsoft.com/office/spreadsheetml/2017/richdata2" ref="Q3:R26">
    <sortCondition ref="Q3:Q26"/>
  </sortState>
  <mergeCells count="19">
    <mergeCell ref="M13:O13"/>
    <mergeCell ref="J9:K9"/>
    <mergeCell ref="Q2:R2"/>
    <mergeCell ref="J2:K2"/>
    <mergeCell ref="M2:O2"/>
    <mergeCell ref="M10:O10"/>
    <mergeCell ref="M4:O4"/>
    <mergeCell ref="J7:K7"/>
    <mergeCell ref="J8:K8"/>
    <mergeCell ref="J5:K5"/>
    <mergeCell ref="J4:K4"/>
    <mergeCell ref="J3:K3"/>
    <mergeCell ref="M3:O3"/>
    <mergeCell ref="M8:O8"/>
    <mergeCell ref="M7:O7"/>
    <mergeCell ref="M6:O6"/>
    <mergeCell ref="M5:O5"/>
    <mergeCell ref="M11:O11"/>
    <mergeCell ref="M12:O1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4D59-5BBE-4870-8437-D123257346E0}">
  <sheetPr>
    <tabColor rgb="FF7030A0"/>
  </sheetPr>
  <dimension ref="A1:P51"/>
  <sheetViews>
    <sheetView view="pageBreakPreview" zoomScaleNormal="100" zoomScaleSheetLayoutView="100" workbookViewId="0">
      <selection activeCell="B9" sqref="B9"/>
    </sheetView>
  </sheetViews>
  <sheetFormatPr defaultRowHeight="13.2" x14ac:dyDescent="0.25"/>
  <cols>
    <col min="1" max="1" width="4.77734375" customWidth="1"/>
    <col min="2" max="3" width="4.21875" customWidth="1"/>
    <col min="4" max="4" width="6.33203125" customWidth="1"/>
    <col min="5" max="5" width="6.44140625" customWidth="1"/>
    <col min="6" max="6" width="6" customWidth="1"/>
    <col min="7" max="7" width="6.21875" customWidth="1"/>
    <col min="8" max="8" width="5" customWidth="1"/>
    <col min="9" max="9" width="6.88671875" customWidth="1"/>
    <col min="10" max="10" width="6.44140625" customWidth="1"/>
    <col min="11" max="11" width="6.33203125" customWidth="1"/>
    <col min="12" max="12" width="4.5546875" style="61" customWidth="1"/>
    <col min="13" max="13" width="8" style="61" customWidth="1"/>
    <col min="14" max="14" width="3" style="61" customWidth="1"/>
    <col min="15" max="16" width="5.21875" style="61" customWidth="1"/>
    <col min="17" max="17" width="29.5546875" customWidth="1"/>
  </cols>
  <sheetData>
    <row r="1" spans="1:16" s="61" customFormat="1" ht="14.4" thickBot="1" x14ac:dyDescent="0.3">
      <c r="A1" s="555" t="s">
        <v>298</v>
      </c>
      <c r="B1" s="556"/>
      <c r="C1" s="556"/>
      <c r="D1" s="556"/>
      <c r="E1" s="556"/>
      <c r="F1" s="556"/>
      <c r="G1" s="557"/>
      <c r="H1" s="457"/>
      <c r="I1" s="457"/>
      <c r="J1" s="457"/>
      <c r="K1" s="453"/>
      <c r="L1" s="453"/>
      <c r="M1" s="453"/>
      <c r="N1" s="453"/>
      <c r="O1" s="453"/>
      <c r="P1" s="453"/>
    </row>
    <row r="2" spans="1:16" s="61" customFormat="1" ht="12" customHeight="1" x14ac:dyDescent="0.25">
      <c r="A2" s="457"/>
      <c r="B2" s="457"/>
      <c r="C2" s="457"/>
      <c r="D2" s="457"/>
      <c r="E2" s="457"/>
      <c r="G2" s="457"/>
      <c r="H2" s="457"/>
      <c r="I2" s="457"/>
      <c r="J2" s="457"/>
      <c r="K2" s="453"/>
      <c r="L2" s="453"/>
      <c r="M2" s="453"/>
      <c r="N2" s="453"/>
      <c r="O2" s="453"/>
      <c r="P2" s="453"/>
    </row>
    <row r="3" spans="1:16" ht="13.05" customHeight="1" x14ac:dyDescent="0.25">
      <c r="A3" s="464"/>
      <c r="B3" s="465"/>
      <c r="C3" s="466" t="s">
        <v>302</v>
      </c>
      <c r="D3" s="462"/>
      <c r="E3" s="461"/>
      <c r="G3" s="466" t="s">
        <v>303</v>
      </c>
      <c r="H3" s="462"/>
      <c r="I3" s="462"/>
      <c r="J3" s="462"/>
      <c r="K3" s="460"/>
      <c r="L3" s="460"/>
      <c r="M3" s="460"/>
      <c r="N3" s="454"/>
      <c r="O3" s="454"/>
      <c r="P3" s="454"/>
    </row>
    <row r="4" spans="1:16" ht="8.5500000000000007" customHeight="1" thickBot="1" x14ac:dyDescent="0.3">
      <c r="A4" s="465"/>
      <c r="B4" s="465"/>
      <c r="C4" s="465"/>
      <c r="D4" s="457"/>
      <c r="E4" s="457"/>
      <c r="F4" s="457"/>
      <c r="G4" s="457"/>
      <c r="H4" s="457"/>
      <c r="I4" s="457"/>
      <c r="J4" s="458"/>
      <c r="K4" s="454"/>
      <c r="L4" s="454"/>
      <c r="M4" s="454"/>
      <c r="N4" s="454"/>
      <c r="O4" s="454"/>
      <c r="P4" s="454"/>
    </row>
    <row r="5" spans="1:16" ht="13.8" thickBot="1" x14ac:dyDescent="0.3">
      <c r="A5" s="565" t="s">
        <v>300</v>
      </c>
      <c r="B5" s="565"/>
      <c r="C5" s="566"/>
      <c r="D5" s="481"/>
      <c r="E5" s="482"/>
      <c r="F5" s="464"/>
      <c r="G5" s="459" t="s">
        <v>305</v>
      </c>
      <c r="H5" s="461"/>
      <c r="I5" s="461"/>
      <c r="L5" s="459" t="s">
        <v>304</v>
      </c>
      <c r="M5" s="461"/>
      <c r="N5" s="453"/>
      <c r="O5" s="453"/>
      <c r="P5" s="453"/>
    </row>
    <row r="6" spans="1:16" s="61" customFormat="1" ht="6.45" customHeight="1" thickBot="1" x14ac:dyDescent="0.3">
      <c r="A6" s="467"/>
      <c r="B6" s="465"/>
      <c r="C6" s="465"/>
      <c r="D6" s="457"/>
      <c r="E6" s="457"/>
      <c r="F6" s="457"/>
      <c r="G6" s="457"/>
      <c r="H6" s="457"/>
      <c r="I6" s="457"/>
      <c r="J6" s="457"/>
      <c r="K6" s="453"/>
      <c r="L6" s="453"/>
      <c r="M6" s="453"/>
      <c r="N6" s="453"/>
      <c r="O6" s="453"/>
      <c r="P6" s="453"/>
    </row>
    <row r="7" spans="1:16" ht="13.8" thickBot="1" x14ac:dyDescent="0.3">
      <c r="A7" s="565" t="s">
        <v>301</v>
      </c>
      <c r="B7" s="565"/>
      <c r="C7" s="565"/>
      <c r="D7" s="479"/>
      <c r="E7" s="480"/>
      <c r="G7" s="459" t="s">
        <v>306</v>
      </c>
      <c r="H7" s="461"/>
      <c r="I7" s="458"/>
      <c r="L7" s="459" t="s">
        <v>297</v>
      </c>
      <c r="M7" s="461"/>
      <c r="O7" s="454"/>
      <c r="P7" s="454"/>
    </row>
    <row r="8" spans="1:16" s="61" customFormat="1" ht="16.95" customHeight="1" thickBot="1" x14ac:dyDescent="0.3">
      <c r="A8" s="467"/>
      <c r="B8" s="465"/>
      <c r="C8" s="465"/>
      <c r="D8" s="457"/>
      <c r="E8" s="458"/>
      <c r="F8" s="457"/>
      <c r="G8" s="457"/>
      <c r="H8" s="458"/>
      <c r="I8" s="457"/>
      <c r="J8" s="457"/>
      <c r="K8" s="453"/>
      <c r="L8" s="453"/>
      <c r="M8" s="454"/>
      <c r="N8" s="454"/>
      <c r="O8" s="454"/>
      <c r="P8" s="454"/>
    </row>
    <row r="9" spans="1:16" ht="36" customHeight="1" thickBot="1" x14ac:dyDescent="0.3">
      <c r="A9" s="490" t="s">
        <v>10</v>
      </c>
      <c r="B9" s="491" t="s">
        <v>11</v>
      </c>
      <c r="C9" s="492" t="s">
        <v>299</v>
      </c>
      <c r="D9" s="493" t="s">
        <v>13</v>
      </c>
      <c r="E9" s="494" t="s">
        <v>125</v>
      </c>
      <c r="F9" s="491" t="s">
        <v>14</v>
      </c>
      <c r="G9" s="492" t="s">
        <v>15</v>
      </c>
      <c r="H9" s="495" t="s">
        <v>16</v>
      </c>
      <c r="I9" s="492" t="s">
        <v>307</v>
      </c>
      <c r="J9" s="496" t="s">
        <v>247</v>
      </c>
      <c r="K9" s="558" t="s">
        <v>18</v>
      </c>
      <c r="L9" s="558"/>
      <c r="M9" s="558"/>
      <c r="N9" s="558"/>
      <c r="O9" s="558"/>
      <c r="P9" s="559"/>
    </row>
    <row r="10" spans="1:16" x14ac:dyDescent="0.25">
      <c r="A10" s="472"/>
      <c r="B10" s="474"/>
      <c r="C10" s="463"/>
      <c r="D10" s="483"/>
      <c r="E10" s="473"/>
      <c r="F10" s="474"/>
      <c r="G10" s="463"/>
      <c r="H10" s="476"/>
      <c r="I10" s="463"/>
      <c r="J10" s="486"/>
      <c r="K10" s="560"/>
      <c r="L10" s="561"/>
      <c r="M10" s="561"/>
      <c r="N10" s="561"/>
      <c r="O10" s="561"/>
      <c r="P10" s="562"/>
    </row>
    <row r="11" spans="1:16" x14ac:dyDescent="0.25">
      <c r="A11" s="468"/>
      <c r="B11" s="452"/>
      <c r="C11" s="455"/>
      <c r="D11" s="484"/>
      <c r="E11" s="456"/>
      <c r="F11" s="452"/>
      <c r="G11" s="455"/>
      <c r="H11" s="477"/>
      <c r="I11" s="455"/>
      <c r="J11" s="487"/>
      <c r="K11" s="548"/>
      <c r="L11" s="548"/>
      <c r="M11" s="548"/>
      <c r="N11" s="548"/>
      <c r="O11" s="548"/>
      <c r="P11" s="549"/>
    </row>
    <row r="12" spans="1:16" x14ac:dyDescent="0.25">
      <c r="A12" s="468"/>
      <c r="B12" s="452"/>
      <c r="C12" s="455"/>
      <c r="D12" s="484"/>
      <c r="E12" s="456"/>
      <c r="F12" s="452"/>
      <c r="G12" s="455"/>
      <c r="H12" s="477"/>
      <c r="I12" s="455"/>
      <c r="J12" s="487"/>
      <c r="K12" s="548"/>
      <c r="L12" s="548"/>
      <c r="M12" s="548"/>
      <c r="N12" s="548"/>
      <c r="O12" s="548"/>
      <c r="P12" s="549"/>
    </row>
    <row r="13" spans="1:16" x14ac:dyDescent="0.25">
      <c r="A13" s="468"/>
      <c r="B13" s="452"/>
      <c r="C13" s="455"/>
      <c r="D13" s="484"/>
      <c r="E13" s="456"/>
      <c r="F13" s="452"/>
      <c r="G13" s="455"/>
      <c r="H13" s="477"/>
      <c r="I13" s="455"/>
      <c r="J13" s="487"/>
      <c r="K13" s="548"/>
      <c r="L13" s="548"/>
      <c r="M13" s="548"/>
      <c r="N13" s="548"/>
      <c r="O13" s="548"/>
      <c r="P13" s="549"/>
    </row>
    <row r="14" spans="1:16" x14ac:dyDescent="0.25">
      <c r="A14" s="468"/>
      <c r="B14" s="452"/>
      <c r="C14" s="455"/>
      <c r="D14" s="484"/>
      <c r="E14" s="456"/>
      <c r="F14" s="452"/>
      <c r="G14" s="455"/>
      <c r="H14" s="477"/>
      <c r="I14" s="455"/>
      <c r="J14" s="487"/>
      <c r="K14" s="563"/>
      <c r="L14" s="563"/>
      <c r="M14" s="563"/>
      <c r="N14" s="563"/>
      <c r="O14" s="563"/>
      <c r="P14" s="564"/>
    </row>
    <row r="15" spans="1:16" x14ac:dyDescent="0.25">
      <c r="A15" s="468"/>
      <c r="B15" s="452"/>
      <c r="C15" s="455"/>
      <c r="D15" s="484"/>
      <c r="E15" s="456"/>
      <c r="F15" s="452"/>
      <c r="G15" s="455"/>
      <c r="H15" s="477"/>
      <c r="I15" s="455"/>
      <c r="J15" s="487"/>
      <c r="K15" s="548"/>
      <c r="L15" s="548"/>
      <c r="M15" s="548"/>
      <c r="N15" s="548"/>
      <c r="O15" s="548"/>
      <c r="P15" s="549"/>
    </row>
    <row r="16" spans="1:16" x14ac:dyDescent="0.25">
      <c r="A16" s="468"/>
      <c r="B16" s="452"/>
      <c r="C16" s="455"/>
      <c r="D16" s="484"/>
      <c r="E16" s="456"/>
      <c r="F16" s="452"/>
      <c r="G16" s="455"/>
      <c r="H16" s="477"/>
      <c r="I16" s="455"/>
      <c r="J16" s="487"/>
      <c r="K16" s="548"/>
      <c r="L16" s="548"/>
      <c r="M16" s="548"/>
      <c r="N16" s="548"/>
      <c r="O16" s="548"/>
      <c r="P16" s="549"/>
    </row>
    <row r="17" spans="1:16" x14ac:dyDescent="0.25">
      <c r="A17" s="468"/>
      <c r="B17" s="452"/>
      <c r="C17" s="455"/>
      <c r="D17" s="484"/>
      <c r="E17" s="456"/>
      <c r="F17" s="452"/>
      <c r="G17" s="489"/>
      <c r="H17" s="477"/>
      <c r="I17" s="455"/>
      <c r="J17" s="487"/>
      <c r="K17" s="548"/>
      <c r="L17" s="548"/>
      <c r="M17" s="548"/>
      <c r="N17" s="548"/>
      <c r="O17" s="548"/>
      <c r="P17" s="549"/>
    </row>
    <row r="18" spans="1:16" x14ac:dyDescent="0.25">
      <c r="A18" s="468"/>
      <c r="B18" s="452"/>
      <c r="C18" s="455"/>
      <c r="D18" s="484"/>
      <c r="E18" s="456"/>
      <c r="F18" s="452"/>
      <c r="G18" s="455"/>
      <c r="H18" s="477"/>
      <c r="I18" s="455"/>
      <c r="J18" s="487"/>
      <c r="K18" s="548"/>
      <c r="L18" s="548"/>
      <c r="M18" s="548"/>
      <c r="N18" s="548"/>
      <c r="O18" s="548"/>
      <c r="P18" s="549"/>
    </row>
    <row r="19" spans="1:16" x14ac:dyDescent="0.25">
      <c r="A19" s="468"/>
      <c r="B19" s="452"/>
      <c r="C19" s="455"/>
      <c r="D19" s="484"/>
      <c r="E19" s="456"/>
      <c r="F19" s="452"/>
      <c r="G19" s="455"/>
      <c r="H19" s="477"/>
      <c r="I19" s="455"/>
      <c r="J19" s="487"/>
      <c r="K19" s="548"/>
      <c r="L19" s="548"/>
      <c r="M19" s="548"/>
      <c r="N19" s="548"/>
      <c r="O19" s="548"/>
      <c r="P19" s="549"/>
    </row>
    <row r="20" spans="1:16" x14ac:dyDescent="0.25">
      <c r="A20" s="468"/>
      <c r="B20" s="452"/>
      <c r="C20" s="455"/>
      <c r="D20" s="484"/>
      <c r="E20" s="456"/>
      <c r="F20" s="452"/>
      <c r="G20" s="455"/>
      <c r="H20" s="477"/>
      <c r="I20" s="455"/>
      <c r="J20" s="487"/>
      <c r="K20" s="548"/>
      <c r="L20" s="548"/>
      <c r="M20" s="548"/>
      <c r="N20" s="548"/>
      <c r="O20" s="548"/>
      <c r="P20" s="549"/>
    </row>
    <row r="21" spans="1:16" x14ac:dyDescent="0.25">
      <c r="A21" s="468"/>
      <c r="B21" s="452"/>
      <c r="C21" s="455"/>
      <c r="D21" s="484"/>
      <c r="E21" s="456"/>
      <c r="F21" s="452"/>
      <c r="G21" s="455"/>
      <c r="H21" s="477"/>
      <c r="I21" s="455"/>
      <c r="J21" s="487"/>
      <c r="K21" s="548"/>
      <c r="L21" s="548"/>
      <c r="M21" s="548"/>
      <c r="N21" s="548"/>
      <c r="O21" s="548"/>
      <c r="P21" s="549"/>
    </row>
    <row r="22" spans="1:16" x14ac:dyDescent="0.25">
      <c r="A22" s="468"/>
      <c r="B22" s="452"/>
      <c r="C22" s="455"/>
      <c r="D22" s="484"/>
      <c r="E22" s="456"/>
      <c r="F22" s="452"/>
      <c r="G22" s="455"/>
      <c r="H22" s="477"/>
      <c r="I22" s="455"/>
      <c r="J22" s="487"/>
      <c r="K22" s="548"/>
      <c r="L22" s="548"/>
      <c r="M22" s="548"/>
      <c r="N22" s="548"/>
      <c r="O22" s="548"/>
      <c r="P22" s="549"/>
    </row>
    <row r="23" spans="1:16" x14ac:dyDescent="0.25">
      <c r="A23" s="468"/>
      <c r="B23" s="452"/>
      <c r="C23" s="455"/>
      <c r="D23" s="484"/>
      <c r="E23" s="456"/>
      <c r="F23" s="452"/>
      <c r="G23" s="455"/>
      <c r="H23" s="477"/>
      <c r="I23" s="455"/>
      <c r="J23" s="487"/>
      <c r="K23" s="548"/>
      <c r="L23" s="548"/>
      <c r="M23" s="548"/>
      <c r="N23" s="548"/>
      <c r="O23" s="548"/>
      <c r="P23" s="549"/>
    </row>
    <row r="24" spans="1:16" x14ac:dyDescent="0.25">
      <c r="A24" s="468"/>
      <c r="B24" s="452"/>
      <c r="C24" s="455"/>
      <c r="D24" s="484"/>
      <c r="E24" s="456"/>
      <c r="F24" s="452"/>
      <c r="G24" s="455"/>
      <c r="H24" s="477"/>
      <c r="I24" s="455"/>
      <c r="J24" s="487"/>
      <c r="K24" s="548"/>
      <c r="L24" s="548"/>
      <c r="M24" s="548"/>
      <c r="N24" s="548"/>
      <c r="O24" s="548"/>
      <c r="P24" s="549"/>
    </row>
    <row r="25" spans="1:16" x14ac:dyDescent="0.25">
      <c r="A25" s="468"/>
      <c r="B25" s="452"/>
      <c r="C25" s="455"/>
      <c r="D25" s="484"/>
      <c r="E25" s="456"/>
      <c r="F25" s="452"/>
      <c r="G25" s="455"/>
      <c r="H25" s="477"/>
      <c r="I25" s="455"/>
      <c r="J25" s="487"/>
      <c r="K25" s="548"/>
      <c r="L25" s="548"/>
      <c r="M25" s="548"/>
      <c r="N25" s="548"/>
      <c r="O25" s="548"/>
      <c r="P25" s="549"/>
    </row>
    <row r="26" spans="1:16" x14ac:dyDescent="0.25">
      <c r="A26" s="468"/>
      <c r="B26" s="452"/>
      <c r="C26" s="455"/>
      <c r="D26" s="484"/>
      <c r="E26" s="456"/>
      <c r="F26" s="452"/>
      <c r="G26" s="455"/>
      <c r="H26" s="477"/>
      <c r="I26" s="455"/>
      <c r="J26" s="487"/>
      <c r="K26" s="548"/>
      <c r="L26" s="548"/>
      <c r="M26" s="548"/>
      <c r="N26" s="548"/>
      <c r="O26" s="548"/>
      <c r="P26" s="549"/>
    </row>
    <row r="27" spans="1:16" x14ac:dyDescent="0.25">
      <c r="A27" s="468"/>
      <c r="B27" s="452"/>
      <c r="C27" s="455"/>
      <c r="D27" s="484"/>
      <c r="E27" s="456"/>
      <c r="F27" s="452"/>
      <c r="G27" s="455"/>
      <c r="H27" s="477"/>
      <c r="I27" s="455"/>
      <c r="J27" s="487"/>
      <c r="K27" s="548"/>
      <c r="L27" s="548"/>
      <c r="M27" s="548"/>
      <c r="N27" s="548"/>
      <c r="O27" s="548"/>
      <c r="P27" s="549"/>
    </row>
    <row r="28" spans="1:16" x14ac:dyDescent="0.25">
      <c r="A28" s="468"/>
      <c r="B28" s="452"/>
      <c r="C28" s="455"/>
      <c r="D28" s="484"/>
      <c r="E28" s="456"/>
      <c r="F28" s="452"/>
      <c r="G28" s="455"/>
      <c r="H28" s="477"/>
      <c r="I28" s="455"/>
      <c r="J28" s="487"/>
      <c r="K28" s="548"/>
      <c r="L28" s="548"/>
      <c r="M28" s="548"/>
      <c r="N28" s="548"/>
      <c r="O28" s="548"/>
      <c r="P28" s="549"/>
    </row>
    <row r="29" spans="1:16" x14ac:dyDescent="0.25">
      <c r="A29" s="468"/>
      <c r="B29" s="452"/>
      <c r="C29" s="455"/>
      <c r="D29" s="484"/>
      <c r="E29" s="456"/>
      <c r="F29" s="452"/>
      <c r="G29" s="455"/>
      <c r="H29" s="477"/>
      <c r="I29" s="455"/>
      <c r="J29" s="487"/>
      <c r="K29" s="548"/>
      <c r="L29" s="548"/>
      <c r="M29" s="548"/>
      <c r="N29" s="548"/>
      <c r="O29" s="548"/>
      <c r="P29" s="549"/>
    </row>
    <row r="30" spans="1:16" x14ac:dyDescent="0.25">
      <c r="A30" s="468"/>
      <c r="B30" s="452"/>
      <c r="C30" s="455"/>
      <c r="D30" s="484"/>
      <c r="E30" s="456"/>
      <c r="F30" s="452"/>
      <c r="G30" s="455"/>
      <c r="H30" s="477"/>
      <c r="I30" s="455"/>
      <c r="J30" s="487"/>
      <c r="K30" s="548"/>
      <c r="L30" s="548"/>
      <c r="M30" s="548"/>
      <c r="N30" s="548"/>
      <c r="O30" s="548"/>
      <c r="P30" s="549"/>
    </row>
    <row r="31" spans="1:16" x14ac:dyDescent="0.25">
      <c r="A31" s="468"/>
      <c r="B31" s="452"/>
      <c r="C31" s="455"/>
      <c r="D31" s="484"/>
      <c r="E31" s="456"/>
      <c r="F31" s="452"/>
      <c r="G31" s="455"/>
      <c r="H31" s="477"/>
      <c r="I31" s="455"/>
      <c r="J31" s="487"/>
      <c r="K31" s="548"/>
      <c r="L31" s="548"/>
      <c r="M31" s="548"/>
      <c r="N31" s="548"/>
      <c r="O31" s="548"/>
      <c r="P31" s="549"/>
    </row>
    <row r="32" spans="1:16" x14ac:dyDescent="0.25">
      <c r="A32" s="468"/>
      <c r="B32" s="452"/>
      <c r="C32" s="455"/>
      <c r="D32" s="484"/>
      <c r="E32" s="456"/>
      <c r="F32" s="452"/>
      <c r="G32" s="455"/>
      <c r="H32" s="477"/>
      <c r="I32" s="455"/>
      <c r="J32" s="487"/>
      <c r="K32" s="548"/>
      <c r="L32" s="548"/>
      <c r="M32" s="548"/>
      <c r="N32" s="548"/>
      <c r="O32" s="548"/>
      <c r="P32" s="549"/>
    </row>
    <row r="33" spans="1:16" x14ac:dyDescent="0.25">
      <c r="A33" s="468"/>
      <c r="B33" s="452"/>
      <c r="C33" s="455"/>
      <c r="D33" s="484"/>
      <c r="E33" s="456"/>
      <c r="F33" s="452"/>
      <c r="G33" s="455"/>
      <c r="H33" s="477"/>
      <c r="I33" s="455"/>
      <c r="J33" s="487"/>
      <c r="K33" s="548"/>
      <c r="L33" s="548"/>
      <c r="M33" s="548"/>
      <c r="N33" s="548"/>
      <c r="O33" s="548"/>
      <c r="P33" s="549"/>
    </row>
    <row r="34" spans="1:16" x14ac:dyDescent="0.25">
      <c r="A34" s="468"/>
      <c r="B34" s="452"/>
      <c r="C34" s="455"/>
      <c r="D34" s="484"/>
      <c r="E34" s="456"/>
      <c r="F34" s="452"/>
      <c r="G34" s="455"/>
      <c r="H34" s="477"/>
      <c r="I34" s="455"/>
      <c r="J34" s="487"/>
      <c r="K34" s="548"/>
      <c r="L34" s="548"/>
      <c r="M34" s="548"/>
      <c r="N34" s="548"/>
      <c r="O34" s="548"/>
      <c r="P34" s="549"/>
    </row>
    <row r="35" spans="1:16" x14ac:dyDescent="0.25">
      <c r="A35" s="468"/>
      <c r="B35" s="452"/>
      <c r="C35" s="455"/>
      <c r="D35" s="484"/>
      <c r="E35" s="456"/>
      <c r="F35" s="452"/>
      <c r="G35" s="455"/>
      <c r="H35" s="477"/>
      <c r="I35" s="455"/>
      <c r="J35" s="487"/>
      <c r="K35" s="548"/>
      <c r="L35" s="548"/>
      <c r="M35" s="548"/>
      <c r="N35" s="548"/>
      <c r="O35" s="548"/>
      <c r="P35" s="549"/>
    </row>
    <row r="36" spans="1:16" x14ac:dyDescent="0.25">
      <c r="A36" s="468"/>
      <c r="B36" s="452"/>
      <c r="C36" s="455"/>
      <c r="D36" s="484"/>
      <c r="E36" s="456"/>
      <c r="F36" s="452"/>
      <c r="G36" s="455"/>
      <c r="H36" s="477"/>
      <c r="I36" s="455"/>
      <c r="J36" s="487"/>
      <c r="K36" s="548"/>
      <c r="L36" s="548"/>
      <c r="M36" s="548"/>
      <c r="N36" s="548"/>
      <c r="O36" s="548"/>
      <c r="P36" s="549"/>
    </row>
    <row r="37" spans="1:16" x14ac:dyDescent="0.25">
      <c r="A37" s="468"/>
      <c r="B37" s="452"/>
      <c r="C37" s="455"/>
      <c r="D37" s="484"/>
      <c r="E37" s="456"/>
      <c r="F37" s="452"/>
      <c r="G37" s="455"/>
      <c r="H37" s="477"/>
      <c r="I37" s="455"/>
      <c r="J37" s="487"/>
      <c r="K37" s="548"/>
      <c r="L37" s="548"/>
      <c r="M37" s="548"/>
      <c r="N37" s="548"/>
      <c r="O37" s="548"/>
      <c r="P37" s="549"/>
    </row>
    <row r="38" spans="1:16" x14ac:dyDescent="0.25">
      <c r="A38" s="468"/>
      <c r="B38" s="452"/>
      <c r="C38" s="455"/>
      <c r="D38" s="484"/>
      <c r="E38" s="456"/>
      <c r="F38" s="452"/>
      <c r="G38" s="455"/>
      <c r="H38" s="477"/>
      <c r="I38" s="455"/>
      <c r="J38" s="487"/>
      <c r="K38" s="548"/>
      <c r="L38" s="548"/>
      <c r="M38" s="548"/>
      <c r="N38" s="548"/>
      <c r="O38" s="548"/>
      <c r="P38" s="549"/>
    </row>
    <row r="39" spans="1:16" x14ac:dyDescent="0.25">
      <c r="A39" s="468"/>
      <c r="B39" s="452"/>
      <c r="C39" s="455"/>
      <c r="D39" s="484"/>
      <c r="E39" s="456"/>
      <c r="F39" s="452"/>
      <c r="G39" s="455"/>
      <c r="H39" s="477"/>
      <c r="I39" s="455"/>
      <c r="J39" s="487"/>
      <c r="K39" s="548"/>
      <c r="L39" s="548"/>
      <c r="M39" s="548"/>
      <c r="N39" s="548"/>
      <c r="O39" s="548"/>
      <c r="P39" s="549"/>
    </row>
    <row r="40" spans="1:16" x14ac:dyDescent="0.25">
      <c r="A40" s="468"/>
      <c r="B40" s="452"/>
      <c r="C40" s="455"/>
      <c r="D40" s="484"/>
      <c r="E40" s="456"/>
      <c r="F40" s="452"/>
      <c r="G40" s="455"/>
      <c r="H40" s="477"/>
      <c r="I40" s="455"/>
      <c r="J40" s="487"/>
      <c r="K40" s="548"/>
      <c r="L40" s="548"/>
      <c r="M40" s="548"/>
      <c r="N40" s="548"/>
      <c r="O40" s="548"/>
      <c r="P40" s="549"/>
    </row>
    <row r="41" spans="1:16" x14ac:dyDescent="0.25">
      <c r="A41" s="468"/>
      <c r="B41" s="452"/>
      <c r="C41" s="455"/>
      <c r="D41" s="484"/>
      <c r="E41" s="456"/>
      <c r="F41" s="452"/>
      <c r="G41" s="455"/>
      <c r="H41" s="477"/>
      <c r="I41" s="455"/>
      <c r="J41" s="487"/>
      <c r="K41" s="548"/>
      <c r="L41" s="548"/>
      <c r="M41" s="548"/>
      <c r="N41" s="548"/>
      <c r="O41" s="548"/>
      <c r="P41" s="549"/>
    </row>
    <row r="42" spans="1:16" x14ac:dyDescent="0.25">
      <c r="A42" s="468"/>
      <c r="B42" s="452"/>
      <c r="C42" s="455"/>
      <c r="D42" s="484"/>
      <c r="E42" s="456"/>
      <c r="F42" s="452"/>
      <c r="G42" s="455"/>
      <c r="H42" s="477"/>
      <c r="I42" s="455"/>
      <c r="J42" s="487"/>
      <c r="K42" s="548"/>
      <c r="L42" s="548"/>
      <c r="M42" s="548"/>
      <c r="N42" s="548"/>
      <c r="O42" s="548"/>
      <c r="P42" s="549"/>
    </row>
    <row r="43" spans="1:16" x14ac:dyDescent="0.25">
      <c r="A43" s="468"/>
      <c r="B43" s="452"/>
      <c r="C43" s="455"/>
      <c r="D43" s="484"/>
      <c r="E43" s="456"/>
      <c r="F43" s="452"/>
      <c r="G43" s="455"/>
      <c r="H43" s="477"/>
      <c r="I43" s="455"/>
      <c r="J43" s="487"/>
      <c r="K43" s="548"/>
      <c r="L43" s="548"/>
      <c r="M43" s="548"/>
      <c r="N43" s="548"/>
      <c r="O43" s="548"/>
      <c r="P43" s="549"/>
    </row>
    <row r="44" spans="1:16" x14ac:dyDescent="0.25">
      <c r="A44" s="468"/>
      <c r="B44" s="452"/>
      <c r="C44" s="455"/>
      <c r="D44" s="484"/>
      <c r="E44" s="456"/>
      <c r="F44" s="452"/>
      <c r="G44" s="455"/>
      <c r="H44" s="477"/>
      <c r="I44" s="455"/>
      <c r="J44" s="487"/>
      <c r="K44" s="548"/>
      <c r="L44" s="548"/>
      <c r="M44" s="548"/>
      <c r="N44" s="548"/>
      <c r="O44" s="548"/>
      <c r="P44" s="549"/>
    </row>
    <row r="45" spans="1:16" s="61" customFormat="1" x14ac:dyDescent="0.25">
      <c r="A45" s="468"/>
      <c r="B45" s="452"/>
      <c r="C45" s="455"/>
      <c r="D45" s="484"/>
      <c r="E45" s="456"/>
      <c r="F45" s="452"/>
      <c r="G45" s="455"/>
      <c r="H45" s="477"/>
      <c r="I45" s="455"/>
      <c r="J45" s="487"/>
      <c r="K45" s="552"/>
      <c r="L45" s="553"/>
      <c r="M45" s="553"/>
      <c r="N45" s="553"/>
      <c r="O45" s="553"/>
      <c r="P45" s="554"/>
    </row>
    <row r="46" spans="1:16" x14ac:dyDescent="0.25">
      <c r="A46" s="468"/>
      <c r="B46" s="452"/>
      <c r="C46" s="455"/>
      <c r="D46" s="484"/>
      <c r="E46" s="456"/>
      <c r="F46" s="452"/>
      <c r="G46" s="455"/>
      <c r="H46" s="477"/>
      <c r="I46" s="455"/>
      <c r="J46" s="487"/>
      <c r="K46" s="548"/>
      <c r="L46" s="548"/>
      <c r="M46" s="548"/>
      <c r="N46" s="548"/>
      <c r="O46" s="548"/>
      <c r="P46" s="549"/>
    </row>
    <row r="47" spans="1:16" s="61" customFormat="1" x14ac:dyDescent="0.25">
      <c r="A47" s="468"/>
      <c r="B47" s="452"/>
      <c r="C47" s="455"/>
      <c r="D47" s="484"/>
      <c r="E47" s="456"/>
      <c r="F47" s="452"/>
      <c r="G47" s="455"/>
      <c r="H47" s="477"/>
      <c r="I47" s="455"/>
      <c r="J47" s="487"/>
      <c r="K47" s="552"/>
      <c r="L47" s="553"/>
      <c r="M47" s="553"/>
      <c r="N47" s="553"/>
      <c r="O47" s="553"/>
      <c r="P47" s="554"/>
    </row>
    <row r="48" spans="1:16" x14ac:dyDescent="0.25">
      <c r="A48" s="468"/>
      <c r="B48" s="452"/>
      <c r="C48" s="455"/>
      <c r="D48" s="484"/>
      <c r="E48" s="456"/>
      <c r="F48" s="452"/>
      <c r="G48" s="455"/>
      <c r="H48" s="477"/>
      <c r="I48" s="455"/>
      <c r="J48" s="487"/>
      <c r="K48" s="548"/>
      <c r="L48" s="548"/>
      <c r="M48" s="548"/>
      <c r="N48" s="548"/>
      <c r="O48" s="548"/>
      <c r="P48" s="549"/>
    </row>
    <row r="49" spans="1:16" x14ac:dyDescent="0.25">
      <c r="A49" s="468"/>
      <c r="B49" s="452"/>
      <c r="C49" s="455"/>
      <c r="D49" s="484"/>
      <c r="E49" s="456"/>
      <c r="F49" s="452"/>
      <c r="G49" s="455"/>
      <c r="H49" s="477"/>
      <c r="I49" s="455"/>
      <c r="J49" s="487"/>
      <c r="K49" s="548"/>
      <c r="L49" s="548"/>
      <c r="M49" s="548"/>
      <c r="N49" s="548"/>
      <c r="O49" s="548"/>
      <c r="P49" s="549"/>
    </row>
    <row r="50" spans="1:16" x14ac:dyDescent="0.25">
      <c r="A50" s="468"/>
      <c r="B50" s="452"/>
      <c r="C50" s="455"/>
      <c r="D50" s="484"/>
      <c r="E50" s="456"/>
      <c r="F50" s="452"/>
      <c r="G50" s="455"/>
      <c r="H50" s="477"/>
      <c r="I50" s="455"/>
      <c r="J50" s="487"/>
      <c r="K50" s="548"/>
      <c r="L50" s="548"/>
      <c r="M50" s="548"/>
      <c r="N50" s="548"/>
      <c r="O50" s="548"/>
      <c r="P50" s="549"/>
    </row>
    <row r="51" spans="1:16" s="61" customFormat="1" ht="13.8" thickBot="1" x14ac:dyDescent="0.3">
      <c r="A51" s="469"/>
      <c r="B51" s="475"/>
      <c r="C51" s="470"/>
      <c r="D51" s="485"/>
      <c r="E51" s="471"/>
      <c r="F51" s="475"/>
      <c r="G51" s="470"/>
      <c r="H51" s="478"/>
      <c r="I51" s="470"/>
      <c r="J51" s="488"/>
      <c r="K51" s="550"/>
      <c r="L51" s="550"/>
      <c r="M51" s="550"/>
      <c r="N51" s="550"/>
      <c r="O51" s="550"/>
      <c r="P51" s="551"/>
    </row>
  </sheetData>
  <mergeCells count="46">
    <mergeCell ref="K17:P17"/>
    <mergeCell ref="K40:P40"/>
    <mergeCell ref="K23:P23"/>
    <mergeCell ref="K24:P24"/>
    <mergeCell ref="K25:P25"/>
    <mergeCell ref="K26:P26"/>
    <mergeCell ref="K27:P27"/>
    <mergeCell ref="K28:P28"/>
    <mergeCell ref="K35:P35"/>
    <mergeCell ref="K13:P13"/>
    <mergeCell ref="K14:P14"/>
    <mergeCell ref="K15:P15"/>
    <mergeCell ref="K16:P16"/>
    <mergeCell ref="K43:P43"/>
    <mergeCell ref="K31:P31"/>
    <mergeCell ref="K32:P32"/>
    <mergeCell ref="K33:P33"/>
    <mergeCell ref="K34:P34"/>
    <mergeCell ref="K29:P29"/>
    <mergeCell ref="K30:P30"/>
    <mergeCell ref="K19:P19"/>
    <mergeCell ref="K20:P20"/>
    <mergeCell ref="K18:P18"/>
    <mergeCell ref="K21:P21"/>
    <mergeCell ref="K22:P22"/>
    <mergeCell ref="A1:G1"/>
    <mergeCell ref="K9:P9"/>
    <mergeCell ref="K10:P10"/>
    <mergeCell ref="K11:P11"/>
    <mergeCell ref="K12:P12"/>
    <mergeCell ref="A5:C5"/>
    <mergeCell ref="A7:C7"/>
    <mergeCell ref="K50:P50"/>
    <mergeCell ref="K51:P51"/>
    <mergeCell ref="K47:P47"/>
    <mergeCell ref="K45:P45"/>
    <mergeCell ref="K36:P36"/>
    <mergeCell ref="K37:P37"/>
    <mergeCell ref="K38:P38"/>
    <mergeCell ref="K39:P39"/>
    <mergeCell ref="K49:P49"/>
    <mergeCell ref="K48:P48"/>
    <mergeCell ref="K41:P41"/>
    <mergeCell ref="K42:P42"/>
    <mergeCell ref="K44:P44"/>
    <mergeCell ref="K46:P46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Q30"/>
  <sheetViews>
    <sheetView showGridLines="0" topLeftCell="C1" zoomScale="75" zoomScaleNormal="75" zoomScalePageLayoutView="115" workbookViewId="0">
      <pane ySplit="2" topLeftCell="A3" activePane="bottomLeft" state="frozen"/>
      <selection activeCell="O27" sqref="O27"/>
      <selection pane="bottomLeft" activeCell="I32" sqref="I32"/>
    </sheetView>
  </sheetViews>
  <sheetFormatPr defaultColWidth="17.21875" defaultRowHeight="15" customHeight="1" x14ac:dyDescent="0.25"/>
  <cols>
    <col min="1" max="1" width="7.21875" hidden="1" customWidth="1"/>
    <col min="2" max="2" width="1.21875" hidden="1" customWidth="1"/>
    <col min="3" max="3" width="18.77734375" customWidth="1"/>
    <col min="4" max="5" width="9.44140625" customWidth="1"/>
    <col min="6" max="6" width="18.44140625" customWidth="1"/>
    <col min="7" max="7" width="10" customWidth="1"/>
    <col min="8" max="8" width="12.44140625" customWidth="1"/>
    <col min="9" max="9" width="8.77734375" customWidth="1"/>
    <col min="10" max="10" width="28" style="29" customWidth="1"/>
    <col min="11" max="11" width="10.44140625" bestFit="1" customWidth="1"/>
    <col min="12" max="12" width="8.21875" style="9" customWidth="1"/>
    <col min="13" max="13" width="1.77734375" customWidth="1"/>
    <col min="14" max="14" width="2.77734375" customWidth="1"/>
    <col min="15" max="15" width="18" customWidth="1"/>
    <col min="16" max="16" width="4.44140625" customWidth="1"/>
    <col min="17" max="17" width="3.77734375" customWidth="1"/>
  </cols>
  <sheetData>
    <row r="1" spans="1:17" ht="21" customHeight="1" x14ac:dyDescent="0.3">
      <c r="A1" s="1"/>
      <c r="B1" s="1"/>
      <c r="C1" s="2" t="s">
        <v>213</v>
      </c>
      <c r="D1" s="2"/>
      <c r="E1" s="2"/>
      <c r="F1" s="2"/>
      <c r="G1" s="2"/>
      <c r="H1" s="2"/>
      <c r="I1" s="2"/>
      <c r="J1" s="59"/>
      <c r="K1" s="5"/>
      <c r="M1" s="4"/>
      <c r="N1" s="4"/>
      <c r="O1" s="1"/>
      <c r="P1" s="1"/>
      <c r="Q1" s="1"/>
    </row>
    <row r="2" spans="1:17" ht="39.75" customHeight="1" x14ac:dyDescent="0.25">
      <c r="A2" s="74" t="s">
        <v>0</v>
      </c>
      <c r="B2" s="74"/>
      <c r="C2" s="311" t="s">
        <v>1</v>
      </c>
      <c r="D2" s="312" t="s">
        <v>2</v>
      </c>
      <c r="E2" s="312" t="s">
        <v>3</v>
      </c>
      <c r="F2" s="312" t="s">
        <v>4</v>
      </c>
      <c r="G2" s="311" t="s">
        <v>5</v>
      </c>
      <c r="H2" s="222" t="s">
        <v>214</v>
      </c>
      <c r="I2" s="312" t="s">
        <v>7</v>
      </c>
      <c r="J2" s="322" t="s">
        <v>157</v>
      </c>
      <c r="K2" s="311" t="s">
        <v>212</v>
      </c>
      <c r="M2" s="6"/>
      <c r="N2" s="6"/>
      <c r="O2" s="6"/>
      <c r="P2" s="6"/>
      <c r="Q2" s="6"/>
    </row>
    <row r="3" spans="1:17" ht="12.75" customHeight="1" x14ac:dyDescent="0.25">
      <c r="A3" s="301">
        <v>1</v>
      </c>
      <c r="B3" s="1">
        <v>1</v>
      </c>
      <c r="C3" s="313"/>
      <c r="D3" s="352"/>
      <c r="E3" s="413"/>
      <c r="F3" s="413"/>
      <c r="G3" s="414"/>
      <c r="H3" s="223" t="str">
        <f>IF(LEN(C3)&gt;0,COUNTIF(Plot!C$2:C$199,C3),"")</f>
        <v/>
      </c>
      <c r="I3" s="351"/>
      <c r="J3" s="323"/>
      <c r="K3" s="324"/>
      <c r="M3" s="4"/>
      <c r="N3" s="4"/>
      <c r="O3" s="8"/>
      <c r="P3" s="9"/>
      <c r="Q3" s="1"/>
    </row>
    <row r="4" spans="1:17" ht="12.75" customHeight="1" x14ac:dyDescent="0.25">
      <c r="A4" s="305" t="str">
        <f t="shared" ref="A4:A29" si="0">IF(AND(LEN(C3)&gt;0,C4&gt;0),A3+H3,"")</f>
        <v/>
      </c>
      <c r="B4" s="1">
        <v>2</v>
      </c>
      <c r="C4" s="313"/>
      <c r="D4" s="352"/>
      <c r="E4" s="314"/>
      <c r="F4" s="314"/>
      <c r="G4" s="315"/>
      <c r="H4" s="223" t="str">
        <f>IF(LEN(C4)&gt;0,COUNTIF(Plot!C$2:C$199,C4),"")</f>
        <v/>
      </c>
      <c r="I4" s="325"/>
      <c r="J4" s="323"/>
      <c r="K4" s="326"/>
      <c r="M4" s="4"/>
      <c r="N4" s="4"/>
      <c r="O4" s="8"/>
      <c r="P4" s="9"/>
      <c r="Q4" s="1"/>
    </row>
    <row r="5" spans="1:17" ht="12.75" customHeight="1" x14ac:dyDescent="0.25">
      <c r="A5" s="305" t="str">
        <f t="shared" si="0"/>
        <v/>
      </c>
      <c r="B5" s="1">
        <v>3</v>
      </c>
      <c r="C5" s="313"/>
      <c r="D5" s="352"/>
      <c r="E5" s="314"/>
      <c r="F5" s="314"/>
      <c r="G5" s="315"/>
      <c r="H5" s="223" t="str">
        <f>IF(LEN(C5)&gt;0,COUNTIF(Plot!C$2:C$199,C5),"")</f>
        <v/>
      </c>
      <c r="I5" s="325"/>
      <c r="J5" s="323"/>
      <c r="K5" s="326"/>
      <c r="M5" s="4"/>
      <c r="N5" s="4"/>
      <c r="O5" s="8"/>
      <c r="P5" s="9"/>
      <c r="Q5" s="1"/>
    </row>
    <row r="6" spans="1:17" ht="12.75" customHeight="1" x14ac:dyDescent="0.25">
      <c r="A6" s="302" t="str">
        <f t="shared" si="0"/>
        <v/>
      </c>
      <c r="B6" s="1">
        <v>4</v>
      </c>
      <c r="C6" s="316"/>
      <c r="D6" s="317"/>
      <c r="E6" s="318"/>
      <c r="F6" s="314"/>
      <c r="G6" s="319"/>
      <c r="H6" s="224" t="str">
        <f>IF(LEN(C6)&gt;0,COUNTIF(Plot!C$2:C$199,C6),"")</f>
        <v/>
      </c>
      <c r="I6" s="325"/>
      <c r="J6" s="325"/>
      <c r="K6" s="327"/>
      <c r="M6" s="4"/>
      <c r="N6" s="4"/>
      <c r="O6" s="8"/>
      <c r="P6" s="9"/>
      <c r="Q6" s="1"/>
    </row>
    <row r="7" spans="1:17" ht="12.75" customHeight="1" x14ac:dyDescent="0.25">
      <c r="A7" s="10" t="str">
        <f t="shared" si="0"/>
        <v/>
      </c>
      <c r="B7" s="1">
        <v>5</v>
      </c>
      <c r="C7" s="313"/>
      <c r="D7" s="317"/>
      <c r="E7" s="318"/>
      <c r="F7" s="314"/>
      <c r="G7" s="319"/>
      <c r="H7" s="224" t="str">
        <f>IF(LEN(C7)&gt;0,COUNTIF(Plot!C$2:C$199,C7),"")</f>
        <v/>
      </c>
      <c r="I7" s="325"/>
      <c r="J7" s="325"/>
      <c r="K7" s="327"/>
      <c r="M7" s="4"/>
      <c r="N7" s="4"/>
      <c r="O7" s="8"/>
      <c r="P7" s="9"/>
      <c r="Q7" s="1"/>
    </row>
    <row r="8" spans="1:17" ht="12.75" customHeight="1" x14ac:dyDescent="0.25">
      <c r="A8" s="10" t="str">
        <f t="shared" si="0"/>
        <v/>
      </c>
      <c r="B8" s="1">
        <v>6</v>
      </c>
      <c r="C8" s="316"/>
      <c r="D8" s="317"/>
      <c r="E8" s="318"/>
      <c r="F8" s="314"/>
      <c r="G8" s="319"/>
      <c r="H8" s="224" t="str">
        <f>IF(LEN(C8)&gt;0,COUNTIF(Plot!C$2:C$199,C8),"")</f>
        <v/>
      </c>
      <c r="I8" s="325"/>
      <c r="J8" s="325"/>
      <c r="K8" s="327"/>
      <c r="M8" s="4"/>
      <c r="N8" s="4"/>
      <c r="O8" s="8"/>
      <c r="P8" s="9"/>
      <c r="Q8" s="1"/>
    </row>
    <row r="9" spans="1:17" ht="12.75" customHeight="1" x14ac:dyDescent="0.25">
      <c r="A9" s="10" t="str">
        <f t="shared" si="0"/>
        <v/>
      </c>
      <c r="B9" s="1">
        <v>7</v>
      </c>
      <c r="C9" s="316"/>
      <c r="D9" s="317"/>
      <c r="E9" s="318"/>
      <c r="F9" s="314"/>
      <c r="G9" s="319"/>
      <c r="H9" s="224" t="str">
        <f>IF(LEN(C9)&gt;0,COUNTIF(Plot!C$2:C$199,C9),"")</f>
        <v/>
      </c>
      <c r="I9" s="325"/>
      <c r="J9" s="325"/>
      <c r="K9" s="327"/>
      <c r="M9" s="4"/>
      <c r="N9" s="4"/>
      <c r="O9" s="9"/>
      <c r="P9" s="9"/>
      <c r="Q9" s="1"/>
    </row>
    <row r="10" spans="1:17" ht="12.75" customHeight="1" x14ac:dyDescent="0.25">
      <c r="A10" s="10" t="str">
        <f t="shared" si="0"/>
        <v/>
      </c>
      <c r="B10" s="1">
        <v>8</v>
      </c>
      <c r="C10" s="316"/>
      <c r="D10" s="317"/>
      <c r="E10" s="318"/>
      <c r="F10" s="314"/>
      <c r="G10" s="319"/>
      <c r="H10" s="224" t="str">
        <f>IF(LEN(C10)&gt;0,COUNTIF(Plot!C$2:C$199,C10),"")</f>
        <v/>
      </c>
      <c r="I10" s="325"/>
      <c r="J10" s="325"/>
      <c r="K10" s="327"/>
      <c r="M10" s="4"/>
      <c r="N10" s="4"/>
      <c r="O10" s="9"/>
      <c r="P10" s="9"/>
      <c r="Q10" s="1"/>
    </row>
    <row r="11" spans="1:17" ht="12.75" customHeight="1" x14ac:dyDescent="0.25">
      <c r="A11" s="10" t="str">
        <f t="shared" si="0"/>
        <v/>
      </c>
      <c r="B11" s="1">
        <v>9</v>
      </c>
      <c r="C11" s="320"/>
      <c r="D11" s="317"/>
      <c r="E11" s="318"/>
      <c r="F11" s="314"/>
      <c r="G11" s="319"/>
      <c r="H11" s="224" t="str">
        <f>IF(LEN(C11)&gt;0,COUNTIF(Plot!C$2:C$199,C11),"")</f>
        <v/>
      </c>
      <c r="I11" s="325"/>
      <c r="J11" s="325"/>
      <c r="K11" s="327"/>
      <c r="M11" s="4"/>
      <c r="N11" s="4"/>
      <c r="O11" s="9"/>
      <c r="P11" s="9"/>
      <c r="Q11" s="1"/>
    </row>
    <row r="12" spans="1:17" ht="12.75" customHeight="1" x14ac:dyDescent="0.25">
      <c r="A12" s="10" t="str">
        <f t="shared" si="0"/>
        <v/>
      </c>
      <c r="B12" s="1">
        <v>10</v>
      </c>
      <c r="C12" s="320"/>
      <c r="D12" s="317"/>
      <c r="E12" s="318"/>
      <c r="F12" s="314"/>
      <c r="G12" s="319"/>
      <c r="H12" s="224" t="str">
        <f>IF(LEN(C12)&gt;0,COUNTIF(Plot!C$2:C$199,C12),"")</f>
        <v/>
      </c>
      <c r="I12" s="325"/>
      <c r="J12" s="325"/>
      <c r="K12" s="327"/>
      <c r="M12" s="4"/>
      <c r="N12" s="4"/>
      <c r="O12" s="9"/>
      <c r="P12" s="9"/>
      <c r="Q12" s="1"/>
    </row>
    <row r="13" spans="1:17" ht="12.75" customHeight="1" x14ac:dyDescent="0.25">
      <c r="A13" s="10" t="str">
        <f t="shared" si="0"/>
        <v/>
      </c>
      <c r="B13" s="1">
        <v>11</v>
      </c>
      <c r="C13" s="320"/>
      <c r="D13" s="317"/>
      <c r="E13" s="318"/>
      <c r="F13" s="314"/>
      <c r="G13" s="319"/>
      <c r="H13" s="224" t="str">
        <f>IF(LEN(C13)&gt;0,COUNTIF(Plot!C$2:C$199,C13),"")</f>
        <v/>
      </c>
      <c r="I13" s="325"/>
      <c r="J13" s="325"/>
      <c r="K13" s="327"/>
      <c r="M13" s="4"/>
      <c r="N13" s="4"/>
      <c r="O13" s="9"/>
      <c r="P13" s="9"/>
      <c r="Q13" s="1"/>
    </row>
    <row r="14" spans="1:17" ht="12.75" customHeight="1" x14ac:dyDescent="0.25">
      <c r="A14" s="10" t="str">
        <f t="shared" si="0"/>
        <v/>
      </c>
      <c r="B14" s="1">
        <v>12</v>
      </c>
      <c r="C14" s="320"/>
      <c r="D14" s="317"/>
      <c r="E14" s="318"/>
      <c r="F14" s="314"/>
      <c r="G14" s="319"/>
      <c r="H14" s="224" t="str">
        <f>IF(LEN(C14)&gt;0,COUNTIF(Plot!C$2:C$199,C14),"")</f>
        <v/>
      </c>
      <c r="I14" s="325"/>
      <c r="J14" s="325"/>
      <c r="K14" s="327"/>
      <c r="M14" s="4"/>
      <c r="N14" s="4"/>
      <c r="O14" s="9"/>
      <c r="P14" s="9"/>
      <c r="Q14" s="1"/>
    </row>
    <row r="15" spans="1:17" ht="12.75" customHeight="1" x14ac:dyDescent="0.25">
      <c r="A15" s="10" t="str">
        <f t="shared" si="0"/>
        <v/>
      </c>
      <c r="B15" s="1">
        <v>13</v>
      </c>
      <c r="C15" s="320"/>
      <c r="D15" s="317"/>
      <c r="E15" s="318"/>
      <c r="F15" s="314"/>
      <c r="G15" s="319"/>
      <c r="H15" s="224" t="str">
        <f>IF(LEN(C15)&gt;0,COUNTIF(Plot!C$2:C$199,C15),"")</f>
        <v/>
      </c>
      <c r="I15" s="325"/>
      <c r="J15" s="325"/>
      <c r="K15" s="327"/>
      <c r="M15" s="4"/>
      <c r="N15" s="4"/>
      <c r="O15" s="9"/>
      <c r="P15" s="9"/>
      <c r="Q15" s="1"/>
    </row>
    <row r="16" spans="1:17" ht="12.75" customHeight="1" x14ac:dyDescent="0.3">
      <c r="A16" s="10" t="str">
        <f t="shared" si="0"/>
        <v/>
      </c>
      <c r="B16" s="1">
        <v>14</v>
      </c>
      <c r="C16" s="321"/>
      <c r="D16" s="317"/>
      <c r="E16" s="318"/>
      <c r="F16" s="314"/>
      <c r="G16" s="319"/>
      <c r="H16" s="224" t="str">
        <f>IF(LEN(C16)&gt;0,COUNTIF(Plot!C$2:C$199,C16),"")</f>
        <v/>
      </c>
      <c r="I16" s="325"/>
      <c r="J16" s="325"/>
      <c r="K16" s="327"/>
      <c r="M16" s="4"/>
      <c r="N16" s="4"/>
      <c r="O16" s="9"/>
      <c r="P16" s="9"/>
      <c r="Q16" s="1"/>
    </row>
    <row r="17" spans="1:17" ht="12.75" customHeight="1" x14ac:dyDescent="0.3">
      <c r="A17" s="10" t="str">
        <f t="shared" si="0"/>
        <v/>
      </c>
      <c r="B17" s="1">
        <v>15</v>
      </c>
      <c r="C17" s="321"/>
      <c r="D17" s="317"/>
      <c r="E17" s="318"/>
      <c r="F17" s="314"/>
      <c r="G17" s="319"/>
      <c r="H17" s="224" t="str">
        <f>IF(LEN(C17)&gt;0,COUNTIF(Plot!C$2:C$199,C17),"")</f>
        <v/>
      </c>
      <c r="I17" s="325"/>
      <c r="J17" s="325"/>
      <c r="K17" s="327"/>
      <c r="M17" s="4"/>
      <c r="N17" s="4"/>
      <c r="O17" s="9"/>
      <c r="P17" s="9"/>
      <c r="Q17" s="1"/>
    </row>
    <row r="18" spans="1:17" ht="12.75" customHeight="1" x14ac:dyDescent="0.3">
      <c r="A18" s="10" t="str">
        <f t="shared" si="0"/>
        <v/>
      </c>
      <c r="B18" s="1">
        <v>16</v>
      </c>
      <c r="C18" s="321"/>
      <c r="D18" s="317"/>
      <c r="E18" s="318"/>
      <c r="F18" s="314"/>
      <c r="G18" s="319"/>
      <c r="H18" s="224" t="str">
        <f>IF(LEN(C18)&gt;0,COUNTIF(Plot!C$2:C$199,C18),"")</f>
        <v/>
      </c>
      <c r="I18" s="325"/>
      <c r="J18" s="325"/>
      <c r="K18" s="327"/>
      <c r="M18" s="4"/>
      <c r="N18" s="4"/>
      <c r="O18" s="9"/>
      <c r="P18" s="9"/>
      <c r="Q18" s="1"/>
    </row>
    <row r="19" spans="1:17" ht="12.75" customHeight="1" x14ac:dyDescent="0.3">
      <c r="A19" s="10" t="str">
        <f t="shared" si="0"/>
        <v/>
      </c>
      <c r="B19" s="1">
        <v>17</v>
      </c>
      <c r="C19" s="321"/>
      <c r="D19" s="317"/>
      <c r="E19" s="318"/>
      <c r="F19" s="314"/>
      <c r="G19" s="319"/>
      <c r="H19" s="224" t="str">
        <f>IF(LEN(C19)&gt;0,COUNTIF(Plot!C$2:C$199,C19),"")</f>
        <v/>
      </c>
      <c r="I19" s="325"/>
      <c r="J19" s="325"/>
      <c r="K19" s="327"/>
      <c r="M19" s="4"/>
      <c r="N19" s="4"/>
      <c r="O19" s="9"/>
      <c r="P19" s="9"/>
      <c r="Q19" s="1"/>
    </row>
    <row r="20" spans="1:17" ht="12.75" customHeight="1" x14ac:dyDescent="0.3">
      <c r="A20" s="10" t="str">
        <f t="shared" si="0"/>
        <v/>
      </c>
      <c r="B20" s="1">
        <v>18</v>
      </c>
      <c r="C20" s="321"/>
      <c r="D20" s="317"/>
      <c r="E20" s="318"/>
      <c r="F20" s="314"/>
      <c r="G20" s="319"/>
      <c r="H20" s="224" t="str">
        <f>IF(LEN(C20)&gt;0,COUNTIF(Plot!C$2:C$199,C20),"")</f>
        <v/>
      </c>
      <c r="I20" s="325"/>
      <c r="J20" s="325"/>
      <c r="K20" s="327"/>
      <c r="M20" s="4"/>
      <c r="N20" s="4"/>
      <c r="O20" s="9"/>
      <c r="P20" s="9"/>
      <c r="Q20" s="1"/>
    </row>
    <row r="21" spans="1:17" ht="12.75" customHeight="1" x14ac:dyDescent="0.3">
      <c r="A21" s="10" t="str">
        <f t="shared" si="0"/>
        <v/>
      </c>
      <c r="B21" s="1">
        <v>19</v>
      </c>
      <c r="C21" s="321"/>
      <c r="D21" s="317"/>
      <c r="E21" s="318"/>
      <c r="F21" s="314"/>
      <c r="G21" s="319"/>
      <c r="H21" s="224" t="str">
        <f>IF(LEN(C21)&gt;0,COUNTIF(Plot!C$2:C$199,C21),"")</f>
        <v/>
      </c>
      <c r="I21" s="325"/>
      <c r="J21" s="325"/>
      <c r="K21" s="327"/>
      <c r="M21" s="4"/>
      <c r="N21" s="4"/>
      <c r="O21" s="9"/>
      <c r="P21" s="9"/>
      <c r="Q21" s="1"/>
    </row>
    <row r="22" spans="1:17" ht="12.75" customHeight="1" x14ac:dyDescent="0.3">
      <c r="A22" s="10" t="str">
        <f t="shared" si="0"/>
        <v/>
      </c>
      <c r="B22" s="1">
        <v>20</v>
      </c>
      <c r="C22" s="321"/>
      <c r="D22" s="317"/>
      <c r="E22" s="318"/>
      <c r="F22" s="314"/>
      <c r="G22" s="319"/>
      <c r="H22" s="224" t="str">
        <f>IF(LEN(C22)&gt;0,COUNTIF(Plot!C$2:C$199,C22),"")</f>
        <v/>
      </c>
      <c r="I22" s="325"/>
      <c r="J22" s="325"/>
      <c r="K22" s="327"/>
      <c r="M22" s="4"/>
      <c r="N22" s="4"/>
      <c r="O22" s="9"/>
      <c r="P22" s="9"/>
      <c r="Q22" s="1"/>
    </row>
    <row r="23" spans="1:17" ht="12.75" customHeight="1" x14ac:dyDescent="0.3">
      <c r="A23" s="10" t="str">
        <f t="shared" si="0"/>
        <v/>
      </c>
      <c r="B23" s="1">
        <v>21</v>
      </c>
      <c r="C23" s="321"/>
      <c r="D23" s="317"/>
      <c r="E23" s="318"/>
      <c r="F23" s="314"/>
      <c r="G23" s="319"/>
      <c r="H23" s="224" t="str">
        <f>IF(LEN(C23)&gt;0,COUNTIF(Plot!C$2:C$199,C23),"")</f>
        <v/>
      </c>
      <c r="I23" s="325"/>
      <c r="J23" s="325"/>
      <c r="K23" s="327"/>
      <c r="M23" s="4"/>
      <c r="N23" s="4"/>
      <c r="O23" s="9"/>
      <c r="P23" s="9"/>
      <c r="Q23" s="1"/>
    </row>
    <row r="24" spans="1:17" ht="12.75" customHeight="1" x14ac:dyDescent="0.3">
      <c r="A24" s="10" t="str">
        <f t="shared" si="0"/>
        <v/>
      </c>
      <c r="B24" s="1">
        <v>22</v>
      </c>
      <c r="C24" s="321"/>
      <c r="D24" s="317"/>
      <c r="E24" s="318"/>
      <c r="F24" s="314"/>
      <c r="G24" s="319"/>
      <c r="H24" s="224" t="str">
        <f>IF(LEN(C24)&gt;0,COUNTIF(Plot!C$2:C$199,C24),"")</f>
        <v/>
      </c>
      <c r="I24" s="325"/>
      <c r="J24" s="325"/>
      <c r="K24" s="327"/>
      <c r="M24" s="4"/>
      <c r="N24" s="4"/>
      <c r="O24" s="9"/>
      <c r="P24" s="9"/>
      <c r="Q24" s="1"/>
    </row>
    <row r="25" spans="1:17" ht="12.75" customHeight="1" x14ac:dyDescent="0.3">
      <c r="A25" s="10" t="str">
        <f t="shared" si="0"/>
        <v/>
      </c>
      <c r="B25" s="1">
        <v>23</v>
      </c>
      <c r="C25" s="321"/>
      <c r="D25" s="317"/>
      <c r="E25" s="318"/>
      <c r="F25" s="314"/>
      <c r="G25" s="319"/>
      <c r="H25" s="224" t="str">
        <f>IF(LEN(C25)&gt;0,COUNTIF(Plot!C$2:C$199,C25),"")</f>
        <v/>
      </c>
      <c r="I25" s="325"/>
      <c r="J25" s="325"/>
      <c r="K25" s="327"/>
      <c r="M25" s="4"/>
      <c r="N25" s="4"/>
      <c r="O25" s="9"/>
      <c r="P25" s="9"/>
      <c r="Q25" s="1"/>
    </row>
    <row r="26" spans="1:17" ht="12.75" customHeight="1" x14ac:dyDescent="0.3">
      <c r="A26" s="10" t="str">
        <f t="shared" si="0"/>
        <v/>
      </c>
      <c r="B26" s="1">
        <v>24</v>
      </c>
      <c r="C26" s="321"/>
      <c r="D26" s="317"/>
      <c r="E26" s="318"/>
      <c r="F26" s="314"/>
      <c r="G26" s="319"/>
      <c r="H26" s="224" t="str">
        <f>IF(LEN(C26)&gt;0,COUNTIF(Plot!C$2:C$199,C26),"")</f>
        <v/>
      </c>
      <c r="I26" s="325"/>
      <c r="J26" s="325"/>
      <c r="K26" s="327"/>
      <c r="M26" s="4"/>
      <c r="N26" s="4"/>
      <c r="O26" s="9"/>
      <c r="P26" s="9"/>
      <c r="Q26" s="1"/>
    </row>
    <row r="27" spans="1:17" ht="12.75" customHeight="1" x14ac:dyDescent="0.3">
      <c r="A27" s="10" t="str">
        <f t="shared" si="0"/>
        <v/>
      </c>
      <c r="B27" s="1">
        <v>25</v>
      </c>
      <c r="C27" s="321"/>
      <c r="D27" s="317"/>
      <c r="E27" s="318"/>
      <c r="F27" s="314"/>
      <c r="G27" s="319"/>
      <c r="H27" s="224" t="str">
        <f>IF(LEN(C27)&gt;0,COUNTIF(Plot!C$2:C$199,C27),"")</f>
        <v/>
      </c>
      <c r="I27" s="325"/>
      <c r="J27" s="325"/>
      <c r="K27" s="327"/>
      <c r="M27" s="4"/>
      <c r="N27" s="4"/>
      <c r="O27" s="9"/>
      <c r="P27" s="9"/>
      <c r="Q27" s="1"/>
    </row>
    <row r="28" spans="1:17" ht="12.75" customHeight="1" x14ac:dyDescent="0.3">
      <c r="A28" s="10" t="str">
        <f t="shared" si="0"/>
        <v/>
      </c>
      <c r="B28" s="1">
        <v>26</v>
      </c>
      <c r="C28" s="321"/>
      <c r="D28" s="317"/>
      <c r="E28" s="318"/>
      <c r="F28" s="314"/>
      <c r="G28" s="319"/>
      <c r="H28" s="224" t="str">
        <f>IF(LEN(C28)&gt;0,COUNTIF(Plot!C$2:C$199,C28),"")</f>
        <v/>
      </c>
      <c r="I28" s="325"/>
      <c r="J28" s="325"/>
      <c r="K28" s="327"/>
      <c r="M28" s="4"/>
      <c r="N28" s="4"/>
      <c r="O28" s="9"/>
      <c r="P28" s="9"/>
      <c r="Q28" s="1"/>
    </row>
    <row r="29" spans="1:17" ht="12.75" customHeight="1" x14ac:dyDescent="0.3">
      <c r="A29" s="10" t="str">
        <f t="shared" si="0"/>
        <v/>
      </c>
      <c r="B29" s="1">
        <v>27</v>
      </c>
      <c r="C29" s="321"/>
      <c r="D29" s="317"/>
      <c r="E29" s="318"/>
      <c r="F29" s="314"/>
      <c r="G29" s="319"/>
      <c r="H29" s="224" t="str">
        <f>IF(LEN(C29)&gt;0,COUNTIF(Plot!C$2:C$199,C29),"")</f>
        <v/>
      </c>
      <c r="I29" s="325"/>
      <c r="J29" s="325"/>
      <c r="K29" s="327"/>
      <c r="M29" s="4"/>
      <c r="N29" s="4"/>
      <c r="O29" s="9"/>
      <c r="P29" s="9"/>
      <c r="Q29" s="1"/>
    </row>
    <row r="30" spans="1:17" ht="15" customHeight="1" x14ac:dyDescent="0.25">
      <c r="C30" s="567" t="s">
        <v>177</v>
      </c>
      <c r="D30" s="567"/>
      <c r="E30" s="567"/>
      <c r="F30" s="567"/>
      <c r="G30" s="567"/>
      <c r="H30" s="567"/>
      <c r="I30" s="567"/>
      <c r="J30" s="567"/>
      <c r="K30" s="567"/>
    </row>
  </sheetData>
  <sheetProtection algorithmName="SHA-512" hashValue="pvZdL25UyK8lvkKflcQrbQRIv606kiYD32H9JsD/y7lqZXsVnb+WdINeYC9hbVBeSUR9J7yMvhOXAiSMwFAWSw==" saltValue="vex5oGaRGYpK2roYvLrZXQ==" spinCount="100000" sheet="1" objects="1" scenarios="1"/>
  <mergeCells count="1">
    <mergeCell ref="C30:K30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</sheetPr>
  <dimension ref="A1:XEY2428"/>
  <sheetViews>
    <sheetView zoomScale="75" zoomScaleNormal="75" zoomScalePageLayoutView="80" workbookViewId="0">
      <pane xSplit="2" ySplit="1" topLeftCell="V2" activePane="bottomRight" state="frozen"/>
      <selection activeCell="O27" sqref="O27"/>
      <selection pane="topRight" activeCell="O27" sqref="O27"/>
      <selection pane="bottomLeft" activeCell="O27" sqref="O27"/>
      <selection pane="bottomRight" activeCell="Z2" sqref="Z2"/>
    </sheetView>
  </sheetViews>
  <sheetFormatPr defaultColWidth="10.44140625" defaultRowHeight="15" customHeight="1" x14ac:dyDescent="0.25"/>
  <cols>
    <col min="1" max="1" width="19.21875" bestFit="1" customWidth="1"/>
    <col min="2" max="4" width="17.77734375" bestFit="1" customWidth="1"/>
    <col min="5" max="5" width="17.77734375" style="271" bestFit="1" customWidth="1"/>
    <col min="6" max="9" width="17.77734375" bestFit="1" customWidth="1"/>
    <col min="10" max="10" width="14.21875" customWidth="1"/>
    <col min="11" max="11" width="17.77734375" style="61" bestFit="1" customWidth="1"/>
    <col min="12" max="12" width="17.77734375" bestFit="1" customWidth="1"/>
    <col min="13" max="13" width="10.44140625" style="29" customWidth="1"/>
    <col min="14" max="14" width="17.77734375" customWidth="1"/>
    <col min="15" max="25" width="17.77734375" bestFit="1" customWidth="1"/>
    <col min="26" max="29" width="17.77734375" style="33" bestFit="1" customWidth="1"/>
    <col min="30" max="30" width="17.77734375" style="34" bestFit="1" customWidth="1"/>
    <col min="31" max="31" width="20.44140625" style="61" bestFit="1" customWidth="1"/>
    <col min="32" max="35" width="17.77734375" style="43" bestFit="1" customWidth="1"/>
    <col min="36" max="38" width="17.77734375" style="55" bestFit="1" customWidth="1"/>
    <col min="39" max="39" width="21.77734375" style="55" bestFit="1" customWidth="1"/>
    <col min="40" max="40" width="22.77734375" style="55" bestFit="1" customWidth="1"/>
    <col min="41" max="41" width="22.21875" style="55" bestFit="1" customWidth="1"/>
    <col min="42" max="42" width="23.21875" style="55" bestFit="1" customWidth="1"/>
    <col min="43" max="43" width="21.21875" style="55" bestFit="1" customWidth="1"/>
    <col min="44" max="44" width="17.77734375" style="55" bestFit="1" customWidth="1"/>
    <col min="45" max="48" width="17.77734375" style="56" bestFit="1" customWidth="1"/>
    <col min="49" max="50" width="17.77734375" style="55" bestFit="1" customWidth="1"/>
    <col min="51" max="51" width="20.5546875" style="56" customWidth="1"/>
    <col min="52" max="52" width="13.44140625" style="110" customWidth="1"/>
    <col min="53" max="53" width="14.44140625" style="110" bestFit="1" customWidth="1"/>
    <col min="54" max="54" width="15.77734375" style="110" bestFit="1" customWidth="1"/>
    <col min="55" max="55" width="10.44140625" style="29"/>
  </cols>
  <sheetData>
    <row r="1" spans="1:61" s="65" customFormat="1" ht="52.2" x14ac:dyDescent="0.25">
      <c r="A1" s="80" t="s">
        <v>1</v>
      </c>
      <c r="B1" s="80" t="s">
        <v>10</v>
      </c>
      <c r="C1" s="81" t="s">
        <v>11</v>
      </c>
      <c r="D1" s="80" t="s">
        <v>12</v>
      </c>
      <c r="E1" s="295" t="s">
        <v>13</v>
      </c>
      <c r="F1" s="282" t="s">
        <v>125</v>
      </c>
      <c r="G1" s="81" t="s">
        <v>14</v>
      </c>
      <c r="H1" s="81" t="s">
        <v>15</v>
      </c>
      <c r="I1" s="282" t="s">
        <v>16</v>
      </c>
      <c r="J1" s="81" t="s">
        <v>17</v>
      </c>
      <c r="K1" s="81" t="s">
        <v>247</v>
      </c>
      <c r="L1" s="81" t="s">
        <v>18</v>
      </c>
      <c r="M1" s="75"/>
      <c r="N1" s="97" t="s">
        <v>19</v>
      </c>
      <c r="O1" s="98" t="s">
        <v>20</v>
      </c>
      <c r="P1" s="99" t="s">
        <v>21</v>
      </c>
      <c r="Q1" s="99" t="s">
        <v>22</v>
      </c>
      <c r="R1" s="100" t="s">
        <v>23</v>
      </c>
      <c r="S1" s="100" t="s">
        <v>24</v>
      </c>
      <c r="T1" s="101" t="s">
        <v>25</v>
      </c>
      <c r="U1" s="101" t="s">
        <v>26</v>
      </c>
      <c r="V1" s="101" t="s">
        <v>27</v>
      </c>
      <c r="W1" s="99" t="s">
        <v>28</v>
      </c>
      <c r="X1" s="100" t="s">
        <v>119</v>
      </c>
      <c r="Y1" s="102" t="s">
        <v>117</v>
      </c>
      <c r="Z1" s="99" t="s">
        <v>118</v>
      </c>
      <c r="AA1" s="99" t="s">
        <v>120</v>
      </c>
      <c r="AB1" s="99" t="s">
        <v>102</v>
      </c>
      <c r="AC1" s="99" t="s">
        <v>111</v>
      </c>
      <c r="AD1" s="99" t="s">
        <v>133</v>
      </c>
      <c r="AE1" s="99" t="s">
        <v>167</v>
      </c>
      <c r="AF1" s="99" t="s">
        <v>134</v>
      </c>
      <c r="AG1" s="99" t="s">
        <v>136</v>
      </c>
      <c r="AH1" s="99" t="s">
        <v>135</v>
      </c>
      <c r="AI1" s="99" t="s">
        <v>137</v>
      </c>
      <c r="AJ1" s="99" t="s">
        <v>138</v>
      </c>
      <c r="AK1" s="99" t="s">
        <v>139</v>
      </c>
      <c r="AL1" s="99" t="s">
        <v>140</v>
      </c>
      <c r="AM1" s="99" t="s">
        <v>141</v>
      </c>
      <c r="AN1" s="99" t="s">
        <v>142</v>
      </c>
      <c r="AO1" s="99" t="s">
        <v>143</v>
      </c>
      <c r="AP1" s="99" t="s">
        <v>144</v>
      </c>
      <c r="AQ1" s="99" t="s">
        <v>145</v>
      </c>
      <c r="AR1" s="99" t="s">
        <v>146</v>
      </c>
      <c r="AS1" s="99" t="s">
        <v>147</v>
      </c>
      <c r="AT1" s="99" t="s">
        <v>163</v>
      </c>
      <c r="AU1" s="99" t="s">
        <v>164</v>
      </c>
      <c r="AV1" s="99" t="s">
        <v>148</v>
      </c>
      <c r="AW1" s="100" t="s">
        <v>149</v>
      </c>
      <c r="AX1" s="100" t="s">
        <v>150</v>
      </c>
      <c r="AY1" s="111" t="s">
        <v>151</v>
      </c>
      <c r="AZ1" s="114"/>
      <c r="BA1" s="61"/>
      <c r="BB1" s="61"/>
      <c r="BC1" s="61"/>
      <c r="BD1" s="61"/>
      <c r="BE1" s="61"/>
    </row>
    <row r="2" spans="1:61" ht="13.8" x14ac:dyDescent="0.25">
      <c r="A2" s="313"/>
      <c r="B2" s="328"/>
      <c r="C2" s="329"/>
      <c r="D2" s="328"/>
      <c r="E2" s="328"/>
      <c r="F2" s="331"/>
      <c r="G2" s="329"/>
      <c r="H2" s="329"/>
      <c r="I2" s="328"/>
      <c r="J2" s="329"/>
      <c r="K2" s="329"/>
      <c r="L2" s="329"/>
      <c r="M2" s="76"/>
      <c r="N2" s="103" t="str">
        <f>IF(A2="","",VLOOKUP(A2,Stand!C:K,9,0))</f>
        <v/>
      </c>
      <c r="O2" s="104" t="str">
        <f t="shared" ref="O2:O65" si="0">IF(E2&gt;0,IF(G2&gt;1,G2*(43560/(N2^2*3.14)),43560/(N2^2*3.14)),"")</f>
        <v/>
      </c>
      <c r="P2" s="105" t="str">
        <f t="shared" ref="P2:P65" si="1">IF(ISNUMBER(O2),E2*O2,"")</f>
        <v/>
      </c>
      <c r="Q2" s="105" t="str">
        <f t="shared" ref="Q2:Q65" si="2">IF(AND(ISNUMBER(O2),I2&gt;0),I2*O2,"")</f>
        <v/>
      </c>
      <c r="R2" s="103" t="str">
        <f t="shared" ref="R2:R65" si="3">IF(ISNUMBER(O2),E2^2*0.005454*O2,"")</f>
        <v/>
      </c>
      <c r="S2" s="103" t="str">
        <f t="shared" ref="S2:S65" si="4">IF(ISNUMBER(O2),(E2/10)^1.7*O2,"")</f>
        <v/>
      </c>
      <c r="T2" s="106" t="str">
        <f t="shared" ref="T2:T65" si="5">IF(AND(ISNUMBER(O2),J2&gt;0),J2/100,"")</f>
        <v/>
      </c>
      <c r="U2" s="106" t="str">
        <f t="shared" ref="U2:U65" si="6">IF(AND(ISNUMBER(O2),J2&gt;0),T2*O2,"")</f>
        <v/>
      </c>
      <c r="V2" s="106" t="str">
        <f t="shared" ref="V2:V65" si="7">IF(AND(ISNUMBER(O2),I2&gt;0),W2*O2,"")</f>
        <v/>
      </c>
      <c r="W2" s="105" t="str">
        <f t="shared" ref="W2:W65" si="8">IF(AND(ISNUMBER(O2),I2&gt;0),I2/(E2/12),"")</f>
        <v/>
      </c>
      <c r="X2" s="104" t="str">
        <f t="shared" ref="X2:X65" si="9">IF(ISNUMBER(O2),IF(I2&gt;0,IF(E2&gt;0,(0.912733*Z2)/(1.033*(1+1.382937*EXP(-4.015292*E2/10))*((E2^2)*0.005454+0.087266)-0.174533),""),""),"")</f>
        <v/>
      </c>
      <c r="Y2" s="104" t="str">
        <f t="array" ref="Y2">IFERROR(IF(ISNUMBER(O2),IF(COUNT(IF(A2=$A$2:$A$2427,IF(D2=$D$2:$D$2427,IF($X$2:$X$2427&gt;0,1))))&gt;0,SUM(IF(A2=$A$2:$A$2427,IF(D2=$D$2:$D$2427,$X$2:$X$2427)))/COUNT(IF(A2=$A$2:$A$2427,IF(D2=$D$2:$D$2427,IF(ISNUMBER($X$2:$X$2427),1)))),0),""),0)</f>
        <v/>
      </c>
      <c r="Z2" s="104" t="str">
        <f>IF(ISNUMBER(O2),IF(I2&gt;0,(10^(VLOOKUP(D2,'Species Codes'!B:C,2,0)+VLOOKUP(D2,'Species Codes'!B:D,3,0)*LOG(E2)+VLOOKUP(D2,'Species Codes'!B:E,4,0)*LOG(I2))),0),"")</f>
        <v/>
      </c>
      <c r="AA2" s="104" t="str">
        <f>IFERROR((VLOOKUP(D2,'Species Codes'!B:G,6,0)*Z2)/2000,"")</f>
        <v/>
      </c>
      <c r="AB2" s="104" t="e">
        <f>IF(Z2&gt;0,((IF(OR(D2="DF",D2="RA")=TRUE,EXP(VLOOKUP(D2,'Species Codes'!B:I,8,0)+VLOOKUP(D2,'Species Codes'!B:J,9,0)*(LN((E2*2.54)))),IF(OR(D2="PY",D2="RC",D2="WH",D2="NF")=TRUE,VLOOKUP(D2,'Species Codes'!B:I,8,0)+VLOOKUP(D2,'Species Codes'!B:J,9,0)*((E2*2.54)^2)*(I2*0.3048),IF(OR(D2="MD",D2="BM",D2="GA")=TRUE,((VLOOKUP(D2,'Species Codes'!B:I,8,0)*(((((E2*2.54)+VLOOKUP(D2,'Species Codes'!B:J,9,0))/VLOOKUP(D2,'Species Codes'!B:K,10,0))^VLOOKUP(D2,'Species Codes'!B:L,11,0))*((I2*0.3048)^VLOOKUP(D2,'Species Codes'!B:M,12,0))))-(VLOOKUP(D2,'Species Codes'!B:I,8,0)*((((E2*2.54)^VLOOKUP(D2,'Species Codes'!B:L,11,0))*((I2*0.3048)^VLOOKUP(D2,'Species Codes'!B:M,12,0))))))*35.3*VLOOKUP(D2,'Species Codes'!B:G,6,0)/2.2046,VLOOKUP(D2,'Species Codes'!B:I,8,0)+VLOOKUP(D2,'Species Codes'!B:J,9,0)*(((E2*2.54)/100)^2)*(I2*0.3048)))))*0.0011023),0)</f>
        <v>#N/A</v>
      </c>
      <c r="AC2" s="104" t="e">
        <f>IF(Z2&gt;0,((IF(OR(D2="RA",D2="OA",D2="OT",D2="UN",D2="PC"),EXP(VLOOKUP(D2,'Species Codes'!B:O,14,0)+VLOOKUP(D2,'Species Codes'!B:P,15,0)*LN((E2*2.54)))-EXP(VLOOKUP(D2,'Species Codes'!B:O,14,0)+VLOOKUP(D2,'Species Codes'!B:P,15,0)*LN((E2*2.54)))*(1/(VLOOKUP(D2,'Species Codes'!B:Q,16,0)+VLOOKUP(D2,'Species Codes'!B:R,17,0)*((E2*2.54)^VLOOKUP(D2,'Species Codes'!B:S,18,0)))),IF(OR(D2="BM",D2="MD",D2="OA"),EXP(VLOOKUP(D2,'Species Codes'!B:O,14,0)+VLOOKUP(D2,'Species Codes'!B:P,15,0)*LN((E2*2.54)))*(1-(1/(VLOOKUP(D2,'Species Codes'!B:Q,16,0)+VLOOKUP(D2,'Species Codes'!B:R,17,0)*((E2*2.54)^VLOOKUP(D2,'Species Codes'!B:S,18,0)))))/1000,IF(D2="DF",EXP(VLOOKUP(D2,'Species Codes'!B:O,14,0)+VLOOKUP(D2,'Species Codes'!B:P,15,0)*LN((E2*2.54))),VLOOKUP(D2,'Species Codes'!B:O,14,0)+VLOOKUP(D2,'Species Codes'!B:P,15,0)*(((E2*2.54)/100)^2)*(I2*0.3048)))))*0.0011023),0)</f>
        <v>#N/A</v>
      </c>
      <c r="AD2" s="104" t="e">
        <f t="shared" ref="AD2:AD65" si="10">SUM(AA2:AC2)</f>
        <v>#N/A</v>
      </c>
      <c r="AE2" s="104" t="e">
        <f t="shared" ref="AE2:AE65" si="11">AD2*O2</f>
        <v>#N/A</v>
      </c>
      <c r="AF2" s="104" t="e">
        <f>IF(AND(VLOOKUP($D2,Merchantability!$B:$C,2,0)="Yes",$E2&gt;=VLOOKUP($D2,Merchantability!$B:$D,3,0),$E2&lt;=VLOOKUP($D2,Merchantability!$B:$E,4,0)),AA2,0)</f>
        <v>#N/A</v>
      </c>
      <c r="AG2" s="104" t="e">
        <f>IF(AND(VLOOKUP($D2,Merchantability!$B:$C,2,0)="Yes",$E2&gt;=VLOOKUP($D2,Merchantability!$B:$D,3,0),$E2&lt;=VLOOKUP($D2,Merchantability!$B:$E,4,0)),AB2,0)</f>
        <v>#N/A</v>
      </c>
      <c r="AH2" s="104" t="e">
        <f>IF(AND(VLOOKUP($D2,Merchantability!$B:$C,2,0)="Yes",$E2&gt;=VLOOKUP($D2,Merchantability!$B:$D,3,0),$E2&lt;=VLOOKUP($D2,Merchantability!$B:$E,4,0)),AC2,0)</f>
        <v>#N/A</v>
      </c>
      <c r="AI2" s="104" t="e">
        <f t="shared" ref="AI2:AI65" si="12">SUM(AF2:AH2)</f>
        <v>#N/A</v>
      </c>
      <c r="AJ2" s="104" t="e">
        <f t="shared" ref="AJ2:AJ65" si="13">AA2*$O2</f>
        <v>#VALUE!</v>
      </c>
      <c r="AK2" s="104" t="e">
        <f t="shared" ref="AK2:AK65" si="14">AB2*$O2</f>
        <v>#N/A</v>
      </c>
      <c r="AL2" s="104" t="e">
        <f t="shared" ref="AL2:AL65" si="15">AC2*$O2</f>
        <v>#N/A</v>
      </c>
      <c r="AM2" s="104" t="e">
        <f t="shared" ref="AM2:AM65" si="16">AD2*$O2</f>
        <v>#N/A</v>
      </c>
      <c r="AN2" s="104" t="e">
        <f t="shared" ref="AN2:AN65" si="17">AF2*$O2</f>
        <v>#N/A</v>
      </c>
      <c r="AO2" s="104" t="e">
        <f t="shared" ref="AO2:AO65" si="18">AG2*$O2</f>
        <v>#N/A</v>
      </c>
      <c r="AP2" s="104" t="e">
        <f t="shared" ref="AP2:AP65" si="19">AH2*$O2</f>
        <v>#N/A</v>
      </c>
      <c r="AQ2" s="104" t="e">
        <f t="shared" ref="AQ2:AQ65" si="20">SUM(AN2:AP2)</f>
        <v>#N/A</v>
      </c>
      <c r="AR2" s="105" t="str">
        <f t="shared" ref="AR2:AR65" si="21">IF(ISNUMBER(O2),IF(Y2&gt;0,((Y2*(E2^2*0.005454-0.087266))/0.912733),0),"")</f>
        <v/>
      </c>
      <c r="AS2" s="105" t="str">
        <f t="shared" ref="AS2:AS65" si="22">IF(ISNUMBER(O2),AR2*(0.993-0.993*(0.62^(E2-6))),"")</f>
        <v/>
      </c>
      <c r="AT2" s="108" t="str">
        <f t="shared" ref="AT2:AT65" si="23">IF(ISNUMBER(O2),IF(AS2&gt;0,IF(Y2&gt;0,(AS2*10^(0.174439+0.117594*(LOG(E2,10))*(LOG(Y2/0.912733,10))-8.210585/E2^2+0.236693*(LOG(Y2/0.912733,10))-0.00001345*(Y2/0.912733)^2-0.00001937*E2^2)),0),0),"")</f>
        <v/>
      </c>
      <c r="AU2" s="108" t="str">
        <f t="shared" ref="AU2:AU65" si="24">IF(ISNUMBER(O2),IF(AS2&gt;0,IF(Y2&gt;0,AT2*(1.001491-(6.92497/Y2)+(0.00001351*(E2^2))),0),0),"")</f>
        <v/>
      </c>
      <c r="AV2" s="107" t="str">
        <f>IF(ISNUMBER(O2),IF(VLOOKUP($A2,Stand!C:J,8,FALSE)="Short",AT2,AU2),"")</f>
        <v/>
      </c>
      <c r="AW2" s="109" t="str">
        <f t="shared" ref="AW2:AW65" si="25">IF(ISNUMBER(O2),AV2*O2,"")</f>
        <v/>
      </c>
      <c r="AX2" s="109" t="str">
        <f t="shared" ref="AX2:AX65" si="26">IF(ISNUMBER(O2),AW2*(1-$H2/100),"")</f>
        <v/>
      </c>
      <c r="AY2" s="112" t="str">
        <f>IF(ISNUMBER(O2),IF(AND(VLOOKUP($D2,Merchantability!$B:$C,2,0)="Yes",$E2&gt;=VLOOKUP($D2,Merchantability!$B:$D,3,0),$E2&lt;=VLOOKUP($D2,Merchantability!$B:$E,4,0)),(AV2*O2)*(1-$H2/100),""),"")</f>
        <v/>
      </c>
      <c r="AZ2" s="115"/>
      <c r="BA2" s="61"/>
      <c r="BB2" s="61"/>
      <c r="BC2" s="61"/>
      <c r="BD2" s="61"/>
      <c r="BE2" s="61"/>
      <c r="BF2" s="63"/>
      <c r="BG2" s="61"/>
    </row>
    <row r="3" spans="1:61" ht="12.75" customHeight="1" x14ac:dyDescent="0.25">
      <c r="A3" s="313"/>
      <c r="B3" s="328"/>
      <c r="C3" s="329"/>
      <c r="D3" s="328"/>
      <c r="E3" s="330"/>
      <c r="F3" s="331"/>
      <c r="G3" s="329"/>
      <c r="H3" s="329"/>
      <c r="I3" s="328"/>
      <c r="J3" s="329"/>
      <c r="K3" s="329"/>
      <c r="L3" s="329"/>
      <c r="M3" s="76"/>
      <c r="N3" s="103" t="str">
        <f>IF(A3="","",VLOOKUP(A3,Stand!C:K,9,0))</f>
        <v/>
      </c>
      <c r="O3" s="104" t="str">
        <f t="shared" si="0"/>
        <v/>
      </c>
      <c r="P3" s="105" t="str">
        <f t="shared" si="1"/>
        <v/>
      </c>
      <c r="Q3" s="105" t="str">
        <f t="shared" si="2"/>
        <v/>
      </c>
      <c r="R3" s="103" t="str">
        <f t="shared" si="3"/>
        <v/>
      </c>
      <c r="S3" s="103" t="str">
        <f t="shared" si="4"/>
        <v/>
      </c>
      <c r="T3" s="106" t="str">
        <f t="shared" si="5"/>
        <v/>
      </c>
      <c r="U3" s="106" t="str">
        <f t="shared" si="6"/>
        <v/>
      </c>
      <c r="V3" s="106" t="str">
        <f t="shared" si="7"/>
        <v/>
      </c>
      <c r="W3" s="105" t="str">
        <f t="shared" si="8"/>
        <v/>
      </c>
      <c r="X3" s="104" t="str">
        <f t="shared" si="9"/>
        <v/>
      </c>
      <c r="Y3" s="104" t="str">
        <f t="array" ref="Y3">IFERROR(IF(ISNUMBER(O3),IF(COUNT(IF(A3=$A$2:$A$2427,IF(D3=$D$2:$D$2427,IF($X$2:$X$2427&gt;0,1))))&gt;0,SUM(IF(A3=$A$2:$A$2427,IF(D3=$D$2:$D$2427,$X$2:$X$2427)))/COUNT(IF(A3=$A$2:$A$2427,IF(D3=$D$2:$D$2427,IF(ISNUMBER($X$2:$X$2427),1)))),0),""),0)</f>
        <v/>
      </c>
      <c r="Z3" s="104" t="str">
        <f>IF(ISNUMBER(O3),IF(I3&gt;0,(10^(VLOOKUP(D3,'Species Codes'!B:C,2,0)+VLOOKUP(D3,'Species Codes'!B:D,3,0)*LOG(E3)+VLOOKUP(D3,'Species Codes'!B:E,4,0)*LOG(I3))),0),"")</f>
        <v/>
      </c>
      <c r="AA3" s="104" t="str">
        <f>IFERROR((VLOOKUP(D3,'Species Codes'!B:G,6,0)*Z3)/2000,"")</f>
        <v/>
      </c>
      <c r="AB3" s="104" t="e">
        <f>IF(Z3&gt;0,((IF(OR(D3="DF",D3="RA")=TRUE,EXP(VLOOKUP(D3,'Species Codes'!B:I,8,0)+VLOOKUP(D3,'Species Codes'!B:J,9,0)*(LN((E3*2.54)))),IF(OR(D3="PY",D3="RC",D3="WH",D3="NF")=TRUE,VLOOKUP(D3,'Species Codes'!B:I,8,0)+VLOOKUP(D3,'Species Codes'!B:J,9,0)*((E3*2.54)^2)*(I3*0.3048),IF(OR(D3="MD",D3="BM",D3="GA")=TRUE,((VLOOKUP(D3,'Species Codes'!B:I,8,0)*(((((E3*2.54)+VLOOKUP(D3,'Species Codes'!B:J,9,0))/VLOOKUP(D3,'Species Codes'!B:K,10,0))^VLOOKUP(D3,'Species Codes'!B:L,11,0))*((I3*0.3048)^VLOOKUP(D3,'Species Codes'!B:M,12,0))))-(VLOOKUP(D3,'Species Codes'!B:I,8,0)*((((E3*2.54)^VLOOKUP(D3,'Species Codes'!B:L,11,0))*((I3*0.3048)^VLOOKUP(D3,'Species Codes'!B:M,12,0))))))*35.3*VLOOKUP(D3,'Species Codes'!B:G,6,0)/2.2046,VLOOKUP(D3,'Species Codes'!B:I,8,0)+VLOOKUP(D3,'Species Codes'!B:J,9,0)*(((E3*2.54)/100)^2)*(I3*0.3048)))))*0.0011023),0)</f>
        <v>#N/A</v>
      </c>
      <c r="AC3" s="104" t="e">
        <f>IF(Z3&gt;0,((IF(OR(D3="RA",D3="OA",D3="OT",D3="UN",D3="PC"),EXP(VLOOKUP(D3,'Species Codes'!B:O,14,0)+VLOOKUP(D3,'Species Codes'!B:P,15,0)*LN((E3*2.54)))-EXP(VLOOKUP(D3,'Species Codes'!B:O,14,0)+VLOOKUP(D3,'Species Codes'!B:P,15,0)*LN((E3*2.54)))*(1/(VLOOKUP(D3,'Species Codes'!B:Q,16,0)+VLOOKUP(D3,'Species Codes'!B:R,17,0)*((E3*2.54)^VLOOKUP(D3,'Species Codes'!B:S,18,0)))),IF(OR(D3="BM",D3="MD",D3="OA"),EXP(VLOOKUP(D3,'Species Codes'!B:O,14,0)+VLOOKUP(D3,'Species Codes'!B:P,15,0)*LN((E3*2.54)))*(1-(1/(VLOOKUP(D3,'Species Codes'!B:Q,16,0)+VLOOKUP(D3,'Species Codes'!B:R,17,0)*((E3*2.54)^VLOOKUP(D3,'Species Codes'!B:S,18,0)))))/1000,IF(D3="DF",EXP(VLOOKUP(D3,'Species Codes'!B:O,14,0)+VLOOKUP(D3,'Species Codes'!B:P,15,0)*LN((E3*2.54))),VLOOKUP(D3,'Species Codes'!B:O,14,0)+VLOOKUP(D3,'Species Codes'!B:P,15,0)*(((E3*2.54)/100)^2)*(I3*0.3048)))))*0.0011023),0)</f>
        <v>#N/A</v>
      </c>
      <c r="AD3" s="104" t="e">
        <f t="shared" si="10"/>
        <v>#N/A</v>
      </c>
      <c r="AE3" s="104" t="e">
        <f t="shared" si="11"/>
        <v>#N/A</v>
      </c>
      <c r="AF3" s="104" t="e">
        <f>IF(AND(VLOOKUP($D3,Merchantability!$B:$C,2,0)="Yes",$E3&gt;=VLOOKUP($D3,Merchantability!$B:$D,3,0),$E3&lt;=VLOOKUP($D3,Merchantability!$B:$E,4,0)),AA3,0)</f>
        <v>#N/A</v>
      </c>
      <c r="AG3" s="104" t="e">
        <f>IF(AND(VLOOKUP($D3,Merchantability!$B:$C,2,0)="Yes",$E3&gt;=VLOOKUP($D3,Merchantability!$B:$D,3,0),$E3&lt;=VLOOKUP($D3,Merchantability!$B:$E,4,0)),AB3,0)</f>
        <v>#N/A</v>
      </c>
      <c r="AH3" s="104" t="e">
        <f>IF(AND(VLOOKUP($D3,Merchantability!$B:$C,2,0)="Yes",$E3&gt;=VLOOKUP($D3,Merchantability!$B:$D,3,0),$E3&lt;=VLOOKUP($D3,Merchantability!$B:$E,4,0)),AC3,0)</f>
        <v>#N/A</v>
      </c>
      <c r="AI3" s="104" t="e">
        <f t="shared" si="12"/>
        <v>#N/A</v>
      </c>
      <c r="AJ3" s="104" t="e">
        <f t="shared" si="13"/>
        <v>#VALUE!</v>
      </c>
      <c r="AK3" s="104" t="e">
        <f t="shared" si="14"/>
        <v>#N/A</v>
      </c>
      <c r="AL3" s="104" t="e">
        <f t="shared" si="15"/>
        <v>#N/A</v>
      </c>
      <c r="AM3" s="104" t="e">
        <f t="shared" si="16"/>
        <v>#N/A</v>
      </c>
      <c r="AN3" s="104" t="e">
        <f t="shared" si="17"/>
        <v>#N/A</v>
      </c>
      <c r="AO3" s="104" t="e">
        <f t="shared" si="18"/>
        <v>#N/A</v>
      </c>
      <c r="AP3" s="104" t="e">
        <f t="shared" si="19"/>
        <v>#N/A</v>
      </c>
      <c r="AQ3" s="104" t="e">
        <f t="shared" si="20"/>
        <v>#N/A</v>
      </c>
      <c r="AR3" s="105" t="str">
        <f t="shared" si="21"/>
        <v/>
      </c>
      <c r="AS3" s="105" t="str">
        <f t="shared" si="22"/>
        <v/>
      </c>
      <c r="AT3" s="108" t="str">
        <f t="shared" si="23"/>
        <v/>
      </c>
      <c r="AU3" s="108" t="str">
        <f t="shared" si="24"/>
        <v/>
      </c>
      <c r="AV3" s="107" t="str">
        <f>IF(ISNUMBER(O3),IF(VLOOKUP($A3,Stand!C:J,8,FALSE)="Short",AT3,AU3),"")</f>
        <v/>
      </c>
      <c r="AW3" s="109" t="str">
        <f t="shared" si="25"/>
        <v/>
      </c>
      <c r="AX3" s="109" t="str">
        <f t="shared" si="26"/>
        <v/>
      </c>
      <c r="AY3" s="112" t="str">
        <f>IF(ISNUMBER(O3),IF(AND(VLOOKUP($D3,Merchantability!$B:$C,2,0)="Yes",$E3&gt;=VLOOKUP($D3,Merchantability!$B:$D,3,0),$E3&lt;=VLOOKUP($D3,Merchantability!$B:$E,4,0)),(AV3*O3)*(1-$H3/100),""),"")</f>
        <v/>
      </c>
      <c r="AZ3" s="115"/>
      <c r="BA3" s="61"/>
      <c r="BB3" s="61"/>
      <c r="BC3" s="61"/>
      <c r="BD3" s="61"/>
      <c r="BE3" s="61"/>
      <c r="BF3" s="63"/>
      <c r="BI3" s="61"/>
    </row>
    <row r="4" spans="1:61" ht="12.75" customHeight="1" x14ac:dyDescent="0.25">
      <c r="A4" s="313"/>
      <c r="B4" s="328"/>
      <c r="C4" s="329"/>
      <c r="D4" s="328"/>
      <c r="E4" s="330"/>
      <c r="F4" s="331"/>
      <c r="G4" s="329"/>
      <c r="H4" s="329"/>
      <c r="I4" s="328"/>
      <c r="J4" s="329"/>
      <c r="K4" s="329"/>
      <c r="L4" s="329"/>
      <c r="M4" s="76"/>
      <c r="N4" s="103" t="str">
        <f>IF(A4="","",VLOOKUP(A4,Stand!C:K,9,0))</f>
        <v/>
      </c>
      <c r="O4" s="104" t="str">
        <f t="shared" si="0"/>
        <v/>
      </c>
      <c r="P4" s="105" t="str">
        <f t="shared" si="1"/>
        <v/>
      </c>
      <c r="Q4" s="105" t="str">
        <f t="shared" si="2"/>
        <v/>
      </c>
      <c r="R4" s="103" t="str">
        <f t="shared" si="3"/>
        <v/>
      </c>
      <c r="S4" s="103" t="str">
        <f t="shared" si="4"/>
        <v/>
      </c>
      <c r="T4" s="106" t="str">
        <f t="shared" si="5"/>
        <v/>
      </c>
      <c r="U4" s="106" t="str">
        <f t="shared" si="6"/>
        <v/>
      </c>
      <c r="V4" s="106" t="str">
        <f t="shared" si="7"/>
        <v/>
      </c>
      <c r="W4" s="105" t="str">
        <f t="shared" si="8"/>
        <v/>
      </c>
      <c r="X4" s="104" t="str">
        <f t="shared" si="9"/>
        <v/>
      </c>
      <c r="Y4" s="104" t="str">
        <f t="array" ref="Y4">IFERROR(IF(ISNUMBER(O4),IF(COUNT(IF(A4=$A$2:$A$2427,IF(D4=$D$2:$D$2427,IF($X$2:$X$2427&gt;0,1))))&gt;0,SUM(IF(A4=$A$2:$A$2427,IF(D4=$D$2:$D$2427,$X$2:$X$2427)))/COUNT(IF(A4=$A$2:$A$2427,IF(D4=$D$2:$D$2427,IF(ISNUMBER($X$2:$X$2427),1)))),0),""),0)</f>
        <v/>
      </c>
      <c r="Z4" s="104" t="str">
        <f>IF(ISNUMBER(O4),IF(I4&gt;0,(10^(VLOOKUP(D4,'Species Codes'!B:C,2,0)+VLOOKUP(D4,'Species Codes'!B:D,3,0)*LOG(E4)+VLOOKUP(D4,'Species Codes'!B:E,4,0)*LOG(I4))),0),"")</f>
        <v/>
      </c>
      <c r="AA4" s="104" t="str">
        <f>IFERROR((VLOOKUP(D4,'Species Codes'!B:G,6,0)*Z4)/2000,"")</f>
        <v/>
      </c>
      <c r="AB4" s="104" t="e">
        <f>IF(Z4&gt;0,((IF(OR(D4="DF",D4="RA")=TRUE,EXP(VLOOKUP(D4,'Species Codes'!B:I,8,0)+VLOOKUP(D4,'Species Codes'!B:J,9,0)*(LN((E4*2.54)))),IF(OR(D4="PY",D4="RC",D4="WH",D4="NF")=TRUE,VLOOKUP(D4,'Species Codes'!B:I,8,0)+VLOOKUP(D4,'Species Codes'!B:J,9,0)*((E4*2.54)^2)*(I4*0.3048),IF(OR(D4="MD",D4="BM",D4="GA")=TRUE,((VLOOKUP(D4,'Species Codes'!B:I,8,0)*(((((E4*2.54)+VLOOKUP(D4,'Species Codes'!B:J,9,0))/VLOOKUP(D4,'Species Codes'!B:K,10,0))^VLOOKUP(D4,'Species Codes'!B:L,11,0))*((I4*0.3048)^VLOOKUP(D4,'Species Codes'!B:M,12,0))))-(VLOOKUP(D4,'Species Codes'!B:I,8,0)*((((E4*2.54)^VLOOKUP(D4,'Species Codes'!B:L,11,0))*((I4*0.3048)^VLOOKUP(D4,'Species Codes'!B:M,12,0))))))*35.3*VLOOKUP(D4,'Species Codes'!B:G,6,0)/2.2046,VLOOKUP(D4,'Species Codes'!B:I,8,0)+VLOOKUP(D4,'Species Codes'!B:J,9,0)*(((E4*2.54)/100)^2)*(I4*0.3048)))))*0.0011023),0)</f>
        <v>#N/A</v>
      </c>
      <c r="AC4" s="104" t="e">
        <f>IF(Z4&gt;0,((IF(OR(D4="RA",D4="OA",D4="OT",D4="UN",D4="PC"),EXP(VLOOKUP(D4,'Species Codes'!B:O,14,0)+VLOOKUP(D4,'Species Codes'!B:P,15,0)*LN((E4*2.54)))-EXP(VLOOKUP(D4,'Species Codes'!B:O,14,0)+VLOOKUP(D4,'Species Codes'!B:P,15,0)*LN((E4*2.54)))*(1/(VLOOKUP(D4,'Species Codes'!B:Q,16,0)+VLOOKUP(D4,'Species Codes'!B:R,17,0)*((E4*2.54)^VLOOKUP(D4,'Species Codes'!B:S,18,0)))),IF(OR(D4="BM",D4="MD",D4="OA"),EXP(VLOOKUP(D4,'Species Codes'!B:O,14,0)+VLOOKUP(D4,'Species Codes'!B:P,15,0)*LN((E4*2.54)))*(1-(1/(VLOOKUP(D4,'Species Codes'!B:Q,16,0)+VLOOKUP(D4,'Species Codes'!B:R,17,0)*((E4*2.54)^VLOOKUP(D4,'Species Codes'!B:S,18,0)))))/1000,IF(D4="DF",EXP(VLOOKUP(D4,'Species Codes'!B:O,14,0)+VLOOKUP(D4,'Species Codes'!B:P,15,0)*LN((E4*2.54))),VLOOKUP(D4,'Species Codes'!B:O,14,0)+VLOOKUP(D4,'Species Codes'!B:P,15,0)*(((E4*2.54)/100)^2)*(I4*0.3048)))))*0.0011023),0)</f>
        <v>#N/A</v>
      </c>
      <c r="AD4" s="104" t="e">
        <f t="shared" si="10"/>
        <v>#N/A</v>
      </c>
      <c r="AE4" s="104" t="e">
        <f t="shared" si="11"/>
        <v>#N/A</v>
      </c>
      <c r="AF4" s="104" t="e">
        <f>IF(AND(VLOOKUP($D4,Merchantability!$B:$C,2,0)="Yes",$E4&gt;=VLOOKUP($D4,Merchantability!$B:$D,3,0),$E4&lt;=VLOOKUP($D4,Merchantability!$B:$E,4,0)),AA4,0)</f>
        <v>#N/A</v>
      </c>
      <c r="AG4" s="104" t="e">
        <f>IF(AND(VLOOKUP($D4,Merchantability!$B:$C,2,0)="Yes",$E4&gt;=VLOOKUP($D4,Merchantability!$B:$D,3,0),$E4&lt;=VLOOKUP($D4,Merchantability!$B:$E,4,0)),AB4,0)</f>
        <v>#N/A</v>
      </c>
      <c r="AH4" s="104" t="e">
        <f>IF(AND(VLOOKUP($D4,Merchantability!$B:$C,2,0)="Yes",$E4&gt;=VLOOKUP($D4,Merchantability!$B:$D,3,0),$E4&lt;=VLOOKUP($D4,Merchantability!$B:$E,4,0)),AC4,0)</f>
        <v>#N/A</v>
      </c>
      <c r="AI4" s="104" t="e">
        <f t="shared" si="12"/>
        <v>#N/A</v>
      </c>
      <c r="AJ4" s="104" t="e">
        <f t="shared" si="13"/>
        <v>#VALUE!</v>
      </c>
      <c r="AK4" s="104" t="e">
        <f t="shared" si="14"/>
        <v>#N/A</v>
      </c>
      <c r="AL4" s="104" t="e">
        <f t="shared" si="15"/>
        <v>#N/A</v>
      </c>
      <c r="AM4" s="104" t="e">
        <f t="shared" si="16"/>
        <v>#N/A</v>
      </c>
      <c r="AN4" s="104" t="e">
        <f t="shared" si="17"/>
        <v>#N/A</v>
      </c>
      <c r="AO4" s="104" t="e">
        <f t="shared" si="18"/>
        <v>#N/A</v>
      </c>
      <c r="AP4" s="104" t="e">
        <f t="shared" si="19"/>
        <v>#N/A</v>
      </c>
      <c r="AQ4" s="104" t="e">
        <f t="shared" si="20"/>
        <v>#N/A</v>
      </c>
      <c r="AR4" s="105" t="str">
        <f t="shared" si="21"/>
        <v/>
      </c>
      <c r="AS4" s="105" t="str">
        <f t="shared" si="22"/>
        <v/>
      </c>
      <c r="AT4" s="108" t="str">
        <f t="shared" si="23"/>
        <v/>
      </c>
      <c r="AU4" s="108" t="str">
        <f t="shared" si="24"/>
        <v/>
      </c>
      <c r="AV4" s="107" t="str">
        <f>IF(ISNUMBER(O4),IF(VLOOKUP($A4,Stand!C:J,8,FALSE)="Short",AT4,AU4),"")</f>
        <v/>
      </c>
      <c r="AW4" s="109" t="str">
        <f t="shared" si="25"/>
        <v/>
      </c>
      <c r="AX4" s="109" t="str">
        <f t="shared" si="26"/>
        <v/>
      </c>
      <c r="AY4" s="112" t="str">
        <f>IF(ISNUMBER(O4),IF(AND(VLOOKUP($D4,Merchantability!$B:$C,2,0)="Yes",$E4&gt;=VLOOKUP($D4,Merchantability!$B:$D,3,0),$E4&lt;=VLOOKUP($D4,Merchantability!$B:$E,4,0)),(AV4*O4)*(1-$H4/100),""),"")</f>
        <v/>
      </c>
      <c r="AZ4" s="115"/>
      <c r="BA4" s="116"/>
      <c r="BB4" s="116"/>
      <c r="BD4" s="61"/>
      <c r="BE4" s="62"/>
      <c r="BF4" s="63"/>
    </row>
    <row r="5" spans="1:61" ht="12.75" customHeight="1" x14ac:dyDescent="0.25">
      <c r="A5" s="313"/>
      <c r="B5" s="328"/>
      <c r="C5" s="329"/>
      <c r="D5" s="328"/>
      <c r="E5" s="330"/>
      <c r="F5" s="331"/>
      <c r="G5" s="329"/>
      <c r="H5" s="329"/>
      <c r="I5" s="328"/>
      <c r="J5" s="329"/>
      <c r="K5" s="329"/>
      <c r="L5" s="329"/>
      <c r="M5" s="76"/>
      <c r="N5" s="103" t="str">
        <f>IF(A5="","",VLOOKUP(A5,Stand!C:K,9,0))</f>
        <v/>
      </c>
      <c r="O5" s="104" t="str">
        <f t="shared" si="0"/>
        <v/>
      </c>
      <c r="P5" s="105" t="str">
        <f t="shared" si="1"/>
        <v/>
      </c>
      <c r="Q5" s="105" t="str">
        <f t="shared" si="2"/>
        <v/>
      </c>
      <c r="R5" s="103" t="str">
        <f t="shared" si="3"/>
        <v/>
      </c>
      <c r="S5" s="103" t="str">
        <f t="shared" si="4"/>
        <v/>
      </c>
      <c r="T5" s="106" t="str">
        <f t="shared" si="5"/>
        <v/>
      </c>
      <c r="U5" s="106" t="str">
        <f t="shared" si="6"/>
        <v/>
      </c>
      <c r="V5" s="106" t="str">
        <f t="shared" si="7"/>
        <v/>
      </c>
      <c r="W5" s="105" t="str">
        <f t="shared" si="8"/>
        <v/>
      </c>
      <c r="X5" s="104" t="str">
        <f t="shared" si="9"/>
        <v/>
      </c>
      <c r="Y5" s="104" t="str">
        <f t="array" ref="Y5">IFERROR(IF(ISNUMBER(O5),IF(COUNT(IF(A5=$A$2:$A$2427,IF(D5=$D$2:$D$2427,IF($X$2:$X$2427&gt;0,1))))&gt;0,SUM(IF(A5=$A$2:$A$2427,IF(D5=$D$2:$D$2427,$X$2:$X$2427)))/COUNT(IF(A5=$A$2:$A$2427,IF(D5=$D$2:$D$2427,IF(ISNUMBER($X$2:$X$2427),1)))),0),""),0)</f>
        <v/>
      </c>
      <c r="Z5" s="104" t="str">
        <f>IF(ISNUMBER(O5),IF(I5&gt;0,(10^(VLOOKUP(D5,'Species Codes'!B:C,2,0)+VLOOKUP(D5,'Species Codes'!B:D,3,0)*LOG(E5)+VLOOKUP(D5,'Species Codes'!B:E,4,0)*LOG(I5))),0),"")</f>
        <v/>
      </c>
      <c r="AA5" s="104" t="str">
        <f>IFERROR((VLOOKUP(D5,'Species Codes'!B:G,6,0)*Z5)/2000,"")</f>
        <v/>
      </c>
      <c r="AB5" s="104" t="e">
        <f>IF(Z5&gt;0,((IF(OR(D5="DF",D5="RA")=TRUE,EXP(VLOOKUP(D5,'Species Codes'!B:I,8,0)+VLOOKUP(D5,'Species Codes'!B:J,9,0)*(LN((E5*2.54)))),IF(OR(D5="PY",D5="RC",D5="WH",D5="NF")=TRUE,VLOOKUP(D5,'Species Codes'!B:I,8,0)+VLOOKUP(D5,'Species Codes'!B:J,9,0)*((E5*2.54)^2)*(I5*0.3048),IF(OR(D5="MD",D5="BM",D5="GA")=TRUE,((VLOOKUP(D5,'Species Codes'!B:I,8,0)*(((((E5*2.54)+VLOOKUP(D5,'Species Codes'!B:J,9,0))/VLOOKUP(D5,'Species Codes'!B:K,10,0))^VLOOKUP(D5,'Species Codes'!B:L,11,0))*((I5*0.3048)^VLOOKUP(D5,'Species Codes'!B:M,12,0))))-(VLOOKUP(D5,'Species Codes'!B:I,8,0)*((((E5*2.54)^VLOOKUP(D5,'Species Codes'!B:L,11,0))*((I5*0.3048)^VLOOKUP(D5,'Species Codes'!B:M,12,0))))))*35.3*VLOOKUP(D5,'Species Codes'!B:G,6,0)/2.2046,VLOOKUP(D5,'Species Codes'!B:I,8,0)+VLOOKUP(D5,'Species Codes'!B:J,9,0)*(((E5*2.54)/100)^2)*(I5*0.3048)))))*0.0011023),0)</f>
        <v>#N/A</v>
      </c>
      <c r="AC5" s="104" t="e">
        <f>IF(Z5&gt;0,((IF(OR(D5="RA",D5="OA",D5="OT",D5="UN",D5="PC"),EXP(VLOOKUP(D5,'Species Codes'!B:O,14,0)+VLOOKUP(D5,'Species Codes'!B:P,15,0)*LN((E5*2.54)))-EXP(VLOOKUP(D5,'Species Codes'!B:O,14,0)+VLOOKUP(D5,'Species Codes'!B:P,15,0)*LN((E5*2.54)))*(1/(VLOOKUP(D5,'Species Codes'!B:Q,16,0)+VLOOKUP(D5,'Species Codes'!B:R,17,0)*((E5*2.54)^VLOOKUP(D5,'Species Codes'!B:S,18,0)))),IF(OR(D5="BM",D5="MD",D5="OA"),EXP(VLOOKUP(D5,'Species Codes'!B:O,14,0)+VLOOKUP(D5,'Species Codes'!B:P,15,0)*LN((E5*2.54)))*(1-(1/(VLOOKUP(D5,'Species Codes'!B:Q,16,0)+VLOOKUP(D5,'Species Codes'!B:R,17,0)*((E5*2.54)^VLOOKUP(D5,'Species Codes'!B:S,18,0)))))/1000,IF(D5="DF",EXP(VLOOKUP(D5,'Species Codes'!B:O,14,0)+VLOOKUP(D5,'Species Codes'!B:P,15,0)*LN((E5*2.54))),VLOOKUP(D5,'Species Codes'!B:O,14,0)+VLOOKUP(D5,'Species Codes'!B:P,15,0)*(((E5*2.54)/100)^2)*(I5*0.3048)))))*0.0011023),0)</f>
        <v>#N/A</v>
      </c>
      <c r="AD5" s="104" t="e">
        <f t="shared" si="10"/>
        <v>#N/A</v>
      </c>
      <c r="AE5" s="104" t="e">
        <f t="shared" si="11"/>
        <v>#N/A</v>
      </c>
      <c r="AF5" s="104" t="e">
        <f>IF(AND(VLOOKUP($D5,Merchantability!$B:$C,2,0)="Yes",$E5&gt;=VLOOKUP($D5,Merchantability!$B:$D,3,0),$E5&lt;=VLOOKUP($D5,Merchantability!$B:$E,4,0)),AA5,0)</f>
        <v>#N/A</v>
      </c>
      <c r="AG5" s="104" t="e">
        <f>IF(AND(VLOOKUP($D5,Merchantability!$B:$C,2,0)="Yes",$E5&gt;=VLOOKUP($D5,Merchantability!$B:$D,3,0),$E5&lt;=VLOOKUP($D5,Merchantability!$B:$E,4,0)),AB5,0)</f>
        <v>#N/A</v>
      </c>
      <c r="AH5" s="104" t="e">
        <f>IF(AND(VLOOKUP($D5,Merchantability!$B:$C,2,0)="Yes",$E5&gt;=VLOOKUP($D5,Merchantability!$B:$D,3,0),$E5&lt;=VLOOKUP($D5,Merchantability!$B:$E,4,0)),AC5,0)</f>
        <v>#N/A</v>
      </c>
      <c r="AI5" s="104" t="e">
        <f t="shared" si="12"/>
        <v>#N/A</v>
      </c>
      <c r="AJ5" s="104" t="e">
        <f t="shared" si="13"/>
        <v>#VALUE!</v>
      </c>
      <c r="AK5" s="104" t="e">
        <f t="shared" si="14"/>
        <v>#N/A</v>
      </c>
      <c r="AL5" s="104" t="e">
        <f t="shared" si="15"/>
        <v>#N/A</v>
      </c>
      <c r="AM5" s="104" t="e">
        <f t="shared" si="16"/>
        <v>#N/A</v>
      </c>
      <c r="AN5" s="104" t="e">
        <f t="shared" si="17"/>
        <v>#N/A</v>
      </c>
      <c r="AO5" s="104" t="e">
        <f t="shared" si="18"/>
        <v>#N/A</v>
      </c>
      <c r="AP5" s="104" t="e">
        <f t="shared" si="19"/>
        <v>#N/A</v>
      </c>
      <c r="AQ5" s="104" t="e">
        <f t="shared" si="20"/>
        <v>#N/A</v>
      </c>
      <c r="AR5" s="105" t="str">
        <f t="shared" si="21"/>
        <v/>
      </c>
      <c r="AS5" s="105" t="str">
        <f t="shared" si="22"/>
        <v/>
      </c>
      <c r="AT5" s="108" t="str">
        <f t="shared" si="23"/>
        <v/>
      </c>
      <c r="AU5" s="108" t="str">
        <f t="shared" si="24"/>
        <v/>
      </c>
      <c r="AV5" s="107" t="str">
        <f>IF(ISNUMBER(O5),IF(VLOOKUP($A5,Stand!C:J,8,FALSE)="Short",AT5,AU5),"")</f>
        <v/>
      </c>
      <c r="AW5" s="109" t="str">
        <f t="shared" si="25"/>
        <v/>
      </c>
      <c r="AX5" s="109" t="str">
        <f t="shared" si="26"/>
        <v/>
      </c>
      <c r="AY5" s="112" t="str">
        <f>IF(ISNUMBER(O5),IF(AND(VLOOKUP($D5,Merchantability!$B:$C,2,0)="Yes",$E5&gt;=VLOOKUP($D5,Merchantability!$B:$D,3,0),$E5&lt;=VLOOKUP($D5,Merchantability!$B:$E,4,0)),(AV5*O5)*(1-$H5/100),""),"")</f>
        <v/>
      </c>
      <c r="AZ5" s="115"/>
      <c r="BA5" s="116"/>
      <c r="BB5" s="116"/>
      <c r="BD5" s="61"/>
      <c r="BE5" s="62"/>
      <c r="BF5" s="63"/>
    </row>
    <row r="6" spans="1:61" ht="12.75" customHeight="1" x14ac:dyDescent="0.25">
      <c r="A6" s="313"/>
      <c r="B6" s="328"/>
      <c r="C6" s="329"/>
      <c r="D6" s="328"/>
      <c r="E6" s="330"/>
      <c r="F6" s="331"/>
      <c r="G6" s="329"/>
      <c r="H6" s="329"/>
      <c r="I6" s="328"/>
      <c r="J6" s="329"/>
      <c r="K6" s="329"/>
      <c r="L6" s="329"/>
      <c r="M6" s="76"/>
      <c r="N6" s="103" t="str">
        <f>IF(A6="","",VLOOKUP(A6,Stand!C:K,9,0))</f>
        <v/>
      </c>
      <c r="O6" s="104" t="str">
        <f t="shared" si="0"/>
        <v/>
      </c>
      <c r="P6" s="105" t="str">
        <f t="shared" si="1"/>
        <v/>
      </c>
      <c r="Q6" s="105" t="str">
        <f t="shared" si="2"/>
        <v/>
      </c>
      <c r="R6" s="103" t="str">
        <f t="shared" si="3"/>
        <v/>
      </c>
      <c r="S6" s="103" t="str">
        <f t="shared" si="4"/>
        <v/>
      </c>
      <c r="T6" s="106" t="str">
        <f t="shared" si="5"/>
        <v/>
      </c>
      <c r="U6" s="106" t="str">
        <f t="shared" si="6"/>
        <v/>
      </c>
      <c r="V6" s="106" t="str">
        <f t="shared" si="7"/>
        <v/>
      </c>
      <c r="W6" s="105" t="str">
        <f t="shared" si="8"/>
        <v/>
      </c>
      <c r="X6" s="104" t="str">
        <f t="shared" si="9"/>
        <v/>
      </c>
      <c r="Y6" s="104" t="str">
        <f t="array" ref="Y6">IFERROR(IF(ISNUMBER(O6),IF(COUNT(IF(A6=$A$2:$A$2427,IF(D6=$D$2:$D$2427,IF($X$2:$X$2427&gt;0,1))))&gt;0,SUM(IF(A6=$A$2:$A$2427,IF(D6=$D$2:$D$2427,$X$2:$X$2427)))/COUNT(IF(A6=$A$2:$A$2427,IF(D6=$D$2:$D$2427,IF(ISNUMBER($X$2:$X$2427),1)))),0),""),0)</f>
        <v/>
      </c>
      <c r="Z6" s="104" t="str">
        <f>IF(ISNUMBER(O6),IF(I6&gt;0,(10^(VLOOKUP(D6,'Species Codes'!B:C,2,0)+VLOOKUP(D6,'Species Codes'!B:D,3,0)*LOG(E6)+VLOOKUP(D6,'Species Codes'!B:E,4,0)*LOG(I6))),0),"")</f>
        <v/>
      </c>
      <c r="AA6" s="104" t="str">
        <f>IFERROR((VLOOKUP(D6,'Species Codes'!B:G,6,0)*Z6)/2000,"")</f>
        <v/>
      </c>
      <c r="AB6" s="104" t="e">
        <f>IF(Z6&gt;0,((IF(OR(D6="DF",D6="RA")=TRUE,EXP(VLOOKUP(D6,'Species Codes'!B:I,8,0)+VLOOKUP(D6,'Species Codes'!B:J,9,0)*(LN((E6*2.54)))),IF(OR(D6="PY",D6="RC",D6="WH",D6="NF")=TRUE,VLOOKUP(D6,'Species Codes'!B:I,8,0)+VLOOKUP(D6,'Species Codes'!B:J,9,0)*((E6*2.54)^2)*(I6*0.3048),IF(OR(D6="MD",D6="BM",D6="GA")=TRUE,((VLOOKUP(D6,'Species Codes'!B:I,8,0)*(((((E6*2.54)+VLOOKUP(D6,'Species Codes'!B:J,9,0))/VLOOKUP(D6,'Species Codes'!B:K,10,0))^VLOOKUP(D6,'Species Codes'!B:L,11,0))*((I6*0.3048)^VLOOKUP(D6,'Species Codes'!B:M,12,0))))-(VLOOKUP(D6,'Species Codes'!B:I,8,0)*((((E6*2.54)^VLOOKUP(D6,'Species Codes'!B:L,11,0))*((I6*0.3048)^VLOOKUP(D6,'Species Codes'!B:M,12,0))))))*35.3*VLOOKUP(D6,'Species Codes'!B:G,6,0)/2.2046,VLOOKUP(D6,'Species Codes'!B:I,8,0)+VLOOKUP(D6,'Species Codes'!B:J,9,0)*(((E6*2.54)/100)^2)*(I6*0.3048)))))*0.0011023),0)</f>
        <v>#N/A</v>
      </c>
      <c r="AC6" s="104" t="e">
        <f>IF(Z6&gt;0,((IF(OR(D6="RA",D6="OA",D6="OT",D6="UN",D6="PC"),EXP(VLOOKUP(D6,'Species Codes'!B:O,14,0)+VLOOKUP(D6,'Species Codes'!B:P,15,0)*LN((E6*2.54)))-EXP(VLOOKUP(D6,'Species Codes'!B:O,14,0)+VLOOKUP(D6,'Species Codes'!B:P,15,0)*LN((E6*2.54)))*(1/(VLOOKUP(D6,'Species Codes'!B:Q,16,0)+VLOOKUP(D6,'Species Codes'!B:R,17,0)*((E6*2.54)^VLOOKUP(D6,'Species Codes'!B:S,18,0)))),IF(OR(D6="BM",D6="MD",D6="OA"),EXP(VLOOKUP(D6,'Species Codes'!B:O,14,0)+VLOOKUP(D6,'Species Codes'!B:P,15,0)*LN((E6*2.54)))*(1-(1/(VLOOKUP(D6,'Species Codes'!B:Q,16,0)+VLOOKUP(D6,'Species Codes'!B:R,17,0)*((E6*2.54)^VLOOKUP(D6,'Species Codes'!B:S,18,0)))))/1000,IF(D6="DF",EXP(VLOOKUP(D6,'Species Codes'!B:O,14,0)+VLOOKUP(D6,'Species Codes'!B:P,15,0)*LN((E6*2.54))),VLOOKUP(D6,'Species Codes'!B:O,14,0)+VLOOKUP(D6,'Species Codes'!B:P,15,0)*(((E6*2.54)/100)^2)*(I6*0.3048)))))*0.0011023),0)</f>
        <v>#N/A</v>
      </c>
      <c r="AD6" s="104" t="e">
        <f t="shared" si="10"/>
        <v>#N/A</v>
      </c>
      <c r="AE6" s="104" t="e">
        <f t="shared" si="11"/>
        <v>#N/A</v>
      </c>
      <c r="AF6" s="104" t="e">
        <f>IF(AND(VLOOKUP($D6,Merchantability!$B:$C,2,0)="Yes",$E6&gt;=VLOOKUP($D6,Merchantability!$B:$D,3,0),$E6&lt;=VLOOKUP($D6,Merchantability!$B:$E,4,0)),AA6,0)</f>
        <v>#N/A</v>
      </c>
      <c r="AG6" s="104" t="e">
        <f>IF(AND(VLOOKUP($D6,Merchantability!$B:$C,2,0)="Yes",$E6&gt;=VLOOKUP($D6,Merchantability!$B:$D,3,0),$E6&lt;=VLOOKUP($D6,Merchantability!$B:$E,4,0)),AB6,0)</f>
        <v>#N/A</v>
      </c>
      <c r="AH6" s="104" t="e">
        <f>IF(AND(VLOOKUP($D6,Merchantability!$B:$C,2,0)="Yes",$E6&gt;=VLOOKUP($D6,Merchantability!$B:$D,3,0),$E6&lt;=VLOOKUP($D6,Merchantability!$B:$E,4,0)),AC6,0)</f>
        <v>#N/A</v>
      </c>
      <c r="AI6" s="104" t="e">
        <f t="shared" si="12"/>
        <v>#N/A</v>
      </c>
      <c r="AJ6" s="104" t="e">
        <f t="shared" si="13"/>
        <v>#VALUE!</v>
      </c>
      <c r="AK6" s="104" t="e">
        <f t="shared" si="14"/>
        <v>#N/A</v>
      </c>
      <c r="AL6" s="104" t="e">
        <f t="shared" si="15"/>
        <v>#N/A</v>
      </c>
      <c r="AM6" s="104" t="e">
        <f t="shared" si="16"/>
        <v>#N/A</v>
      </c>
      <c r="AN6" s="104" t="e">
        <f t="shared" si="17"/>
        <v>#N/A</v>
      </c>
      <c r="AO6" s="104" t="e">
        <f t="shared" si="18"/>
        <v>#N/A</v>
      </c>
      <c r="AP6" s="104" t="e">
        <f t="shared" si="19"/>
        <v>#N/A</v>
      </c>
      <c r="AQ6" s="104" t="e">
        <f t="shared" si="20"/>
        <v>#N/A</v>
      </c>
      <c r="AR6" s="105" t="str">
        <f t="shared" si="21"/>
        <v/>
      </c>
      <c r="AS6" s="105" t="str">
        <f t="shared" si="22"/>
        <v/>
      </c>
      <c r="AT6" s="108" t="str">
        <f t="shared" si="23"/>
        <v/>
      </c>
      <c r="AU6" s="108" t="str">
        <f t="shared" si="24"/>
        <v/>
      </c>
      <c r="AV6" s="107" t="str">
        <f>IF(ISNUMBER(O6),IF(VLOOKUP($A6,Stand!C:J,8,FALSE)="Short",AT6,AU6),"")</f>
        <v/>
      </c>
      <c r="AW6" s="109" t="str">
        <f t="shared" si="25"/>
        <v/>
      </c>
      <c r="AX6" s="109" t="str">
        <f t="shared" si="26"/>
        <v/>
      </c>
      <c r="AY6" s="112" t="str">
        <f>IF(ISNUMBER(O6),IF(AND(VLOOKUP($D6,Merchantability!$B:$C,2,0)="Yes",$E6&gt;=VLOOKUP($D6,Merchantability!$B:$D,3,0),$E6&lt;=VLOOKUP($D6,Merchantability!$B:$E,4,0)),(AV6*O6)*(1-$H6/100),""),"")</f>
        <v/>
      </c>
      <c r="AZ6" s="115"/>
      <c r="BA6" s="116"/>
      <c r="BB6" s="116"/>
      <c r="BD6" s="61"/>
      <c r="BE6" s="62"/>
      <c r="BF6" s="63"/>
    </row>
    <row r="7" spans="1:61" ht="12.75" customHeight="1" x14ac:dyDescent="0.25">
      <c r="A7" s="313"/>
      <c r="B7" s="328"/>
      <c r="C7" s="329"/>
      <c r="D7" s="328"/>
      <c r="E7" s="330"/>
      <c r="F7" s="331"/>
      <c r="G7" s="329"/>
      <c r="H7" s="329"/>
      <c r="I7" s="328"/>
      <c r="J7" s="329"/>
      <c r="K7" s="329"/>
      <c r="L7" s="329"/>
      <c r="M7" s="76"/>
      <c r="N7" s="103" t="str">
        <f>IF(A7="","",VLOOKUP(A7,Stand!C:K,9,0))</f>
        <v/>
      </c>
      <c r="O7" s="104" t="str">
        <f t="shared" si="0"/>
        <v/>
      </c>
      <c r="P7" s="105" t="str">
        <f t="shared" si="1"/>
        <v/>
      </c>
      <c r="Q7" s="105" t="str">
        <f t="shared" si="2"/>
        <v/>
      </c>
      <c r="R7" s="103" t="str">
        <f t="shared" si="3"/>
        <v/>
      </c>
      <c r="S7" s="103" t="str">
        <f t="shared" si="4"/>
        <v/>
      </c>
      <c r="T7" s="106" t="str">
        <f t="shared" si="5"/>
        <v/>
      </c>
      <c r="U7" s="106" t="str">
        <f t="shared" si="6"/>
        <v/>
      </c>
      <c r="V7" s="106" t="str">
        <f t="shared" si="7"/>
        <v/>
      </c>
      <c r="W7" s="105" t="str">
        <f t="shared" si="8"/>
        <v/>
      </c>
      <c r="X7" s="104" t="str">
        <f t="shared" si="9"/>
        <v/>
      </c>
      <c r="Y7" s="104" t="str">
        <f t="array" ref="Y7">IFERROR(IF(ISNUMBER(O7),IF(COUNT(IF(A7=$A$2:$A$2427,IF(D7=$D$2:$D$2427,IF($X$2:$X$2427&gt;0,1))))&gt;0,SUM(IF(A7=$A$2:$A$2427,IF(D7=$D$2:$D$2427,$X$2:$X$2427)))/COUNT(IF(A7=$A$2:$A$2427,IF(D7=$D$2:$D$2427,IF(ISNUMBER($X$2:$X$2427),1)))),0),""),0)</f>
        <v/>
      </c>
      <c r="Z7" s="104" t="str">
        <f>IF(ISNUMBER(O7),IF(I7&gt;0,(10^(VLOOKUP(D7,'Species Codes'!B:C,2,0)+VLOOKUP(D7,'Species Codes'!B:D,3,0)*LOG(E7)+VLOOKUP(D7,'Species Codes'!B:E,4,0)*LOG(I7))),0),"")</f>
        <v/>
      </c>
      <c r="AA7" s="104" t="str">
        <f>IFERROR((VLOOKUP(D7,'Species Codes'!B:G,6,0)*Z7)/2000,"")</f>
        <v/>
      </c>
      <c r="AB7" s="104" t="e">
        <f>IF(Z7&gt;0,((IF(OR(D7="DF",D7="RA")=TRUE,EXP(VLOOKUP(D7,'Species Codes'!B:I,8,0)+VLOOKUP(D7,'Species Codes'!B:J,9,0)*(LN((E7*2.54)))),IF(OR(D7="PY",D7="RC",D7="WH",D7="NF")=TRUE,VLOOKUP(D7,'Species Codes'!B:I,8,0)+VLOOKUP(D7,'Species Codes'!B:J,9,0)*((E7*2.54)^2)*(I7*0.3048),IF(OR(D7="MD",D7="BM",D7="GA")=TRUE,((VLOOKUP(D7,'Species Codes'!B:I,8,0)*(((((E7*2.54)+VLOOKUP(D7,'Species Codes'!B:J,9,0))/VLOOKUP(D7,'Species Codes'!B:K,10,0))^VLOOKUP(D7,'Species Codes'!B:L,11,0))*((I7*0.3048)^VLOOKUP(D7,'Species Codes'!B:M,12,0))))-(VLOOKUP(D7,'Species Codes'!B:I,8,0)*((((E7*2.54)^VLOOKUP(D7,'Species Codes'!B:L,11,0))*((I7*0.3048)^VLOOKUP(D7,'Species Codes'!B:M,12,0))))))*35.3*VLOOKUP(D7,'Species Codes'!B:G,6,0)/2.2046,VLOOKUP(D7,'Species Codes'!B:I,8,0)+VLOOKUP(D7,'Species Codes'!B:J,9,0)*(((E7*2.54)/100)^2)*(I7*0.3048)))))*0.0011023),0)</f>
        <v>#N/A</v>
      </c>
      <c r="AC7" s="104" t="e">
        <f>IF(Z7&gt;0,((IF(OR(D7="RA",D7="OA",D7="OT",D7="UN",D7="PC"),EXP(VLOOKUP(D7,'Species Codes'!B:O,14,0)+VLOOKUP(D7,'Species Codes'!B:P,15,0)*LN((E7*2.54)))-EXP(VLOOKUP(D7,'Species Codes'!B:O,14,0)+VLOOKUP(D7,'Species Codes'!B:P,15,0)*LN((E7*2.54)))*(1/(VLOOKUP(D7,'Species Codes'!B:Q,16,0)+VLOOKUP(D7,'Species Codes'!B:R,17,0)*((E7*2.54)^VLOOKUP(D7,'Species Codes'!B:S,18,0)))),IF(OR(D7="BM",D7="MD",D7="OA"),EXP(VLOOKUP(D7,'Species Codes'!B:O,14,0)+VLOOKUP(D7,'Species Codes'!B:P,15,0)*LN((E7*2.54)))*(1-(1/(VLOOKUP(D7,'Species Codes'!B:Q,16,0)+VLOOKUP(D7,'Species Codes'!B:R,17,0)*((E7*2.54)^VLOOKUP(D7,'Species Codes'!B:S,18,0)))))/1000,IF(D7="DF",EXP(VLOOKUP(D7,'Species Codes'!B:O,14,0)+VLOOKUP(D7,'Species Codes'!B:P,15,0)*LN((E7*2.54))),VLOOKUP(D7,'Species Codes'!B:O,14,0)+VLOOKUP(D7,'Species Codes'!B:P,15,0)*(((E7*2.54)/100)^2)*(I7*0.3048)))))*0.0011023),0)</f>
        <v>#N/A</v>
      </c>
      <c r="AD7" s="104" t="e">
        <f t="shared" si="10"/>
        <v>#N/A</v>
      </c>
      <c r="AE7" s="104" t="e">
        <f t="shared" si="11"/>
        <v>#N/A</v>
      </c>
      <c r="AF7" s="104" t="e">
        <f>IF(AND(VLOOKUP($D7,Merchantability!$B:$C,2,0)="Yes",$E7&gt;=VLOOKUP($D7,Merchantability!$B:$D,3,0),$E7&lt;=VLOOKUP($D7,Merchantability!$B:$E,4,0)),AA7,0)</f>
        <v>#N/A</v>
      </c>
      <c r="AG7" s="104" t="e">
        <f>IF(AND(VLOOKUP($D7,Merchantability!$B:$C,2,0)="Yes",$E7&gt;=VLOOKUP($D7,Merchantability!$B:$D,3,0),$E7&lt;=VLOOKUP($D7,Merchantability!$B:$E,4,0)),AB7,0)</f>
        <v>#N/A</v>
      </c>
      <c r="AH7" s="104" t="e">
        <f>IF(AND(VLOOKUP($D7,Merchantability!$B:$C,2,0)="Yes",$E7&gt;=VLOOKUP($D7,Merchantability!$B:$D,3,0),$E7&lt;=VLOOKUP($D7,Merchantability!$B:$E,4,0)),AC7,0)</f>
        <v>#N/A</v>
      </c>
      <c r="AI7" s="104" t="e">
        <f t="shared" si="12"/>
        <v>#N/A</v>
      </c>
      <c r="AJ7" s="104" t="e">
        <f t="shared" si="13"/>
        <v>#VALUE!</v>
      </c>
      <c r="AK7" s="104" t="e">
        <f t="shared" si="14"/>
        <v>#N/A</v>
      </c>
      <c r="AL7" s="104" t="e">
        <f t="shared" si="15"/>
        <v>#N/A</v>
      </c>
      <c r="AM7" s="104" t="e">
        <f t="shared" si="16"/>
        <v>#N/A</v>
      </c>
      <c r="AN7" s="104" t="e">
        <f t="shared" si="17"/>
        <v>#N/A</v>
      </c>
      <c r="AO7" s="104" t="e">
        <f t="shared" si="18"/>
        <v>#N/A</v>
      </c>
      <c r="AP7" s="104" t="e">
        <f t="shared" si="19"/>
        <v>#N/A</v>
      </c>
      <c r="AQ7" s="104" t="e">
        <f t="shared" si="20"/>
        <v>#N/A</v>
      </c>
      <c r="AR7" s="105" t="str">
        <f t="shared" si="21"/>
        <v/>
      </c>
      <c r="AS7" s="105" t="str">
        <f t="shared" si="22"/>
        <v/>
      </c>
      <c r="AT7" s="108" t="str">
        <f t="shared" si="23"/>
        <v/>
      </c>
      <c r="AU7" s="108" t="str">
        <f t="shared" si="24"/>
        <v/>
      </c>
      <c r="AV7" s="107" t="str">
        <f>IF(ISNUMBER(O7),IF(VLOOKUP($A7,Stand!C:J,8,FALSE)="Short",AT7,AU7),"")</f>
        <v/>
      </c>
      <c r="AW7" s="109" t="str">
        <f t="shared" si="25"/>
        <v/>
      </c>
      <c r="AX7" s="109" t="str">
        <f t="shared" si="26"/>
        <v/>
      </c>
      <c r="AY7" s="112" t="str">
        <f>IF(ISNUMBER(O7),IF(AND(VLOOKUP($D7,Merchantability!$B:$C,2,0)="Yes",$E7&gt;=VLOOKUP($D7,Merchantability!$B:$D,3,0),$E7&lt;=VLOOKUP($D7,Merchantability!$B:$E,4,0)),(AV7*O7)*(1-$H7/100),""),"")</f>
        <v/>
      </c>
      <c r="AZ7" s="115"/>
      <c r="BA7" s="116"/>
      <c r="BB7" s="116"/>
      <c r="BD7" s="61"/>
      <c r="BE7" s="62"/>
      <c r="BF7" s="63"/>
    </row>
    <row r="8" spans="1:61" ht="12.75" customHeight="1" x14ac:dyDescent="0.25">
      <c r="A8" s="313"/>
      <c r="B8" s="328"/>
      <c r="C8" s="329"/>
      <c r="D8" s="328"/>
      <c r="E8" s="330"/>
      <c r="F8" s="331"/>
      <c r="G8" s="329"/>
      <c r="H8" s="329"/>
      <c r="I8" s="328"/>
      <c r="J8" s="329"/>
      <c r="K8" s="329"/>
      <c r="L8" s="329"/>
      <c r="M8" s="76"/>
      <c r="N8" s="103" t="str">
        <f>IF(A8="","",VLOOKUP(A8,Stand!C:K,9,0))</f>
        <v/>
      </c>
      <c r="O8" s="104" t="str">
        <f t="shared" si="0"/>
        <v/>
      </c>
      <c r="P8" s="105" t="str">
        <f t="shared" si="1"/>
        <v/>
      </c>
      <c r="Q8" s="105" t="str">
        <f t="shared" si="2"/>
        <v/>
      </c>
      <c r="R8" s="103" t="str">
        <f t="shared" si="3"/>
        <v/>
      </c>
      <c r="S8" s="103" t="str">
        <f t="shared" si="4"/>
        <v/>
      </c>
      <c r="T8" s="106" t="str">
        <f t="shared" si="5"/>
        <v/>
      </c>
      <c r="U8" s="106" t="str">
        <f t="shared" si="6"/>
        <v/>
      </c>
      <c r="V8" s="106" t="str">
        <f t="shared" si="7"/>
        <v/>
      </c>
      <c r="W8" s="105" t="str">
        <f t="shared" si="8"/>
        <v/>
      </c>
      <c r="X8" s="104" t="str">
        <f t="shared" si="9"/>
        <v/>
      </c>
      <c r="Y8" s="104" t="str">
        <f t="array" ref="Y8">IFERROR(IF(ISNUMBER(O8),IF(COUNT(IF(A8=$A$2:$A$2427,IF(D8=$D$2:$D$2427,IF($X$2:$X$2427&gt;0,1))))&gt;0,SUM(IF(A8=$A$2:$A$2427,IF(D8=$D$2:$D$2427,$X$2:$X$2427)))/COUNT(IF(A8=$A$2:$A$2427,IF(D8=$D$2:$D$2427,IF(ISNUMBER($X$2:$X$2427),1)))),0),""),0)</f>
        <v/>
      </c>
      <c r="Z8" s="104" t="str">
        <f>IF(ISNUMBER(O8),IF(I8&gt;0,(10^(VLOOKUP(D8,'Species Codes'!B:C,2,0)+VLOOKUP(D8,'Species Codes'!B:D,3,0)*LOG(E8)+VLOOKUP(D8,'Species Codes'!B:E,4,0)*LOG(I8))),0),"")</f>
        <v/>
      </c>
      <c r="AA8" s="104" t="str">
        <f>IFERROR((VLOOKUP(D8,'Species Codes'!B:G,6,0)*Z8)/2000,"")</f>
        <v/>
      </c>
      <c r="AB8" s="104" t="e">
        <f>IF(Z8&gt;0,((IF(OR(D8="DF",D8="RA")=TRUE,EXP(VLOOKUP(D8,'Species Codes'!B:I,8,0)+VLOOKUP(D8,'Species Codes'!B:J,9,0)*(LN((E8*2.54)))),IF(OR(D8="PY",D8="RC",D8="WH",D8="NF")=TRUE,VLOOKUP(D8,'Species Codes'!B:I,8,0)+VLOOKUP(D8,'Species Codes'!B:J,9,0)*((E8*2.54)^2)*(I8*0.3048),IF(OR(D8="MD",D8="BM",D8="GA")=TRUE,((VLOOKUP(D8,'Species Codes'!B:I,8,0)*(((((E8*2.54)+VLOOKUP(D8,'Species Codes'!B:J,9,0))/VLOOKUP(D8,'Species Codes'!B:K,10,0))^VLOOKUP(D8,'Species Codes'!B:L,11,0))*((I8*0.3048)^VLOOKUP(D8,'Species Codes'!B:M,12,0))))-(VLOOKUP(D8,'Species Codes'!B:I,8,0)*((((E8*2.54)^VLOOKUP(D8,'Species Codes'!B:L,11,0))*((I8*0.3048)^VLOOKUP(D8,'Species Codes'!B:M,12,0))))))*35.3*VLOOKUP(D8,'Species Codes'!B:G,6,0)/2.2046,VLOOKUP(D8,'Species Codes'!B:I,8,0)+VLOOKUP(D8,'Species Codes'!B:J,9,0)*(((E8*2.54)/100)^2)*(I8*0.3048)))))*0.0011023),0)</f>
        <v>#N/A</v>
      </c>
      <c r="AC8" s="104" t="e">
        <f>IF(Z8&gt;0,((IF(OR(D8="RA",D8="OA",D8="OT",D8="UN",D8="PC"),EXP(VLOOKUP(D8,'Species Codes'!B:O,14,0)+VLOOKUP(D8,'Species Codes'!B:P,15,0)*LN((E8*2.54)))-EXP(VLOOKUP(D8,'Species Codes'!B:O,14,0)+VLOOKUP(D8,'Species Codes'!B:P,15,0)*LN((E8*2.54)))*(1/(VLOOKUP(D8,'Species Codes'!B:Q,16,0)+VLOOKUP(D8,'Species Codes'!B:R,17,0)*((E8*2.54)^VLOOKUP(D8,'Species Codes'!B:S,18,0)))),IF(OR(D8="BM",D8="MD",D8="OA"),EXP(VLOOKUP(D8,'Species Codes'!B:O,14,0)+VLOOKUP(D8,'Species Codes'!B:P,15,0)*LN((E8*2.54)))*(1-(1/(VLOOKUP(D8,'Species Codes'!B:Q,16,0)+VLOOKUP(D8,'Species Codes'!B:R,17,0)*((E8*2.54)^VLOOKUP(D8,'Species Codes'!B:S,18,0)))))/1000,IF(D8="DF",EXP(VLOOKUP(D8,'Species Codes'!B:O,14,0)+VLOOKUP(D8,'Species Codes'!B:P,15,0)*LN((E8*2.54))),VLOOKUP(D8,'Species Codes'!B:O,14,0)+VLOOKUP(D8,'Species Codes'!B:P,15,0)*(((E8*2.54)/100)^2)*(I8*0.3048)))))*0.0011023),0)</f>
        <v>#N/A</v>
      </c>
      <c r="AD8" s="104" t="e">
        <f t="shared" si="10"/>
        <v>#N/A</v>
      </c>
      <c r="AE8" s="104" t="e">
        <f t="shared" si="11"/>
        <v>#N/A</v>
      </c>
      <c r="AF8" s="104" t="e">
        <f>IF(AND(VLOOKUP($D8,Merchantability!$B:$C,2,0)="Yes",$E8&gt;=VLOOKUP($D8,Merchantability!$B:$D,3,0),$E8&lt;=VLOOKUP($D8,Merchantability!$B:$E,4,0)),AA8,0)</f>
        <v>#N/A</v>
      </c>
      <c r="AG8" s="104" t="e">
        <f>IF(AND(VLOOKUP($D8,Merchantability!$B:$C,2,0)="Yes",$E8&gt;=VLOOKUP($D8,Merchantability!$B:$D,3,0),$E8&lt;=VLOOKUP($D8,Merchantability!$B:$E,4,0)),AB8,0)</f>
        <v>#N/A</v>
      </c>
      <c r="AH8" s="104" t="e">
        <f>IF(AND(VLOOKUP($D8,Merchantability!$B:$C,2,0)="Yes",$E8&gt;=VLOOKUP($D8,Merchantability!$B:$D,3,0),$E8&lt;=VLOOKUP($D8,Merchantability!$B:$E,4,0)),AC8,0)</f>
        <v>#N/A</v>
      </c>
      <c r="AI8" s="104" t="e">
        <f t="shared" si="12"/>
        <v>#N/A</v>
      </c>
      <c r="AJ8" s="104" t="e">
        <f t="shared" si="13"/>
        <v>#VALUE!</v>
      </c>
      <c r="AK8" s="104" t="e">
        <f t="shared" si="14"/>
        <v>#N/A</v>
      </c>
      <c r="AL8" s="104" t="e">
        <f t="shared" si="15"/>
        <v>#N/A</v>
      </c>
      <c r="AM8" s="104" t="e">
        <f t="shared" si="16"/>
        <v>#N/A</v>
      </c>
      <c r="AN8" s="104" t="e">
        <f t="shared" si="17"/>
        <v>#N/A</v>
      </c>
      <c r="AO8" s="104" t="e">
        <f t="shared" si="18"/>
        <v>#N/A</v>
      </c>
      <c r="AP8" s="104" t="e">
        <f t="shared" si="19"/>
        <v>#N/A</v>
      </c>
      <c r="AQ8" s="104" t="e">
        <f t="shared" si="20"/>
        <v>#N/A</v>
      </c>
      <c r="AR8" s="105" t="str">
        <f t="shared" si="21"/>
        <v/>
      </c>
      <c r="AS8" s="105" t="str">
        <f t="shared" si="22"/>
        <v/>
      </c>
      <c r="AT8" s="108" t="str">
        <f t="shared" si="23"/>
        <v/>
      </c>
      <c r="AU8" s="108" t="str">
        <f t="shared" si="24"/>
        <v/>
      </c>
      <c r="AV8" s="107" t="str">
        <f>IF(ISNUMBER(O8),IF(VLOOKUP($A8,Stand!C:J,8,FALSE)="Short",AT8,AU8),"")</f>
        <v/>
      </c>
      <c r="AW8" s="109" t="str">
        <f t="shared" si="25"/>
        <v/>
      </c>
      <c r="AX8" s="109" t="str">
        <f t="shared" si="26"/>
        <v/>
      </c>
      <c r="AY8" s="112" t="str">
        <f>IF(ISNUMBER(O8),IF(AND(VLOOKUP($D8,Merchantability!$B:$C,2,0)="Yes",$E8&gt;=VLOOKUP($D8,Merchantability!$B:$D,3,0),$E8&lt;=VLOOKUP($D8,Merchantability!$B:$E,4,0)),(AV8*O8)*(1-$H8/100),""),"")</f>
        <v/>
      </c>
      <c r="AZ8" s="115"/>
      <c r="BA8" s="116"/>
      <c r="BB8" s="116"/>
      <c r="BD8" s="61"/>
      <c r="BE8" s="62"/>
      <c r="BF8" s="63"/>
    </row>
    <row r="9" spans="1:61" ht="12.75" customHeight="1" x14ac:dyDescent="0.25">
      <c r="A9" s="313"/>
      <c r="B9" s="328"/>
      <c r="C9" s="329"/>
      <c r="D9" s="328"/>
      <c r="E9" s="330"/>
      <c r="F9" s="331"/>
      <c r="G9" s="329"/>
      <c r="H9" s="329"/>
      <c r="I9" s="328"/>
      <c r="J9" s="329"/>
      <c r="K9" s="329"/>
      <c r="L9" s="329"/>
      <c r="M9" s="76"/>
      <c r="N9" s="103" t="str">
        <f>IF(A9="","",VLOOKUP(A9,Stand!C:K,9,0))</f>
        <v/>
      </c>
      <c r="O9" s="104" t="str">
        <f t="shared" si="0"/>
        <v/>
      </c>
      <c r="P9" s="105" t="str">
        <f t="shared" si="1"/>
        <v/>
      </c>
      <c r="Q9" s="105" t="str">
        <f t="shared" si="2"/>
        <v/>
      </c>
      <c r="R9" s="103" t="str">
        <f t="shared" si="3"/>
        <v/>
      </c>
      <c r="S9" s="103" t="str">
        <f t="shared" si="4"/>
        <v/>
      </c>
      <c r="T9" s="106" t="str">
        <f t="shared" si="5"/>
        <v/>
      </c>
      <c r="U9" s="106" t="str">
        <f t="shared" si="6"/>
        <v/>
      </c>
      <c r="V9" s="106" t="str">
        <f t="shared" si="7"/>
        <v/>
      </c>
      <c r="W9" s="105" t="str">
        <f t="shared" si="8"/>
        <v/>
      </c>
      <c r="X9" s="104" t="str">
        <f t="shared" si="9"/>
        <v/>
      </c>
      <c r="Y9" s="104" t="str">
        <f t="array" ref="Y9">IFERROR(IF(ISNUMBER(O9),IF(COUNT(IF(A9=$A$2:$A$2427,IF(D9=$D$2:$D$2427,IF($X$2:$X$2427&gt;0,1))))&gt;0,SUM(IF(A9=$A$2:$A$2427,IF(D9=$D$2:$D$2427,$X$2:$X$2427)))/COUNT(IF(A9=$A$2:$A$2427,IF(D9=$D$2:$D$2427,IF(ISNUMBER($X$2:$X$2427),1)))),0),""),0)</f>
        <v/>
      </c>
      <c r="Z9" s="104" t="str">
        <f>IF(ISNUMBER(O9),IF(I9&gt;0,(10^(VLOOKUP(D9,'Species Codes'!B:C,2,0)+VLOOKUP(D9,'Species Codes'!B:D,3,0)*LOG(E9)+VLOOKUP(D9,'Species Codes'!B:E,4,0)*LOG(I9))),0),"")</f>
        <v/>
      </c>
      <c r="AA9" s="104" t="str">
        <f>IFERROR((VLOOKUP(D9,'Species Codes'!B:G,6,0)*Z9)/2000,"")</f>
        <v/>
      </c>
      <c r="AB9" s="104" t="e">
        <f>IF(Z9&gt;0,((IF(OR(D9="DF",D9="RA")=TRUE,EXP(VLOOKUP(D9,'Species Codes'!B:I,8,0)+VLOOKUP(D9,'Species Codes'!B:J,9,0)*(LN((E9*2.54)))),IF(OR(D9="PY",D9="RC",D9="WH",D9="NF")=TRUE,VLOOKUP(D9,'Species Codes'!B:I,8,0)+VLOOKUP(D9,'Species Codes'!B:J,9,0)*((E9*2.54)^2)*(I9*0.3048),IF(OR(D9="MD",D9="BM",D9="GA")=TRUE,((VLOOKUP(D9,'Species Codes'!B:I,8,0)*(((((E9*2.54)+VLOOKUP(D9,'Species Codes'!B:J,9,0))/VLOOKUP(D9,'Species Codes'!B:K,10,0))^VLOOKUP(D9,'Species Codes'!B:L,11,0))*((I9*0.3048)^VLOOKUP(D9,'Species Codes'!B:M,12,0))))-(VLOOKUP(D9,'Species Codes'!B:I,8,0)*((((E9*2.54)^VLOOKUP(D9,'Species Codes'!B:L,11,0))*((I9*0.3048)^VLOOKUP(D9,'Species Codes'!B:M,12,0))))))*35.3*VLOOKUP(D9,'Species Codes'!B:G,6,0)/2.2046,VLOOKUP(D9,'Species Codes'!B:I,8,0)+VLOOKUP(D9,'Species Codes'!B:J,9,0)*(((E9*2.54)/100)^2)*(I9*0.3048)))))*0.0011023),0)</f>
        <v>#N/A</v>
      </c>
      <c r="AC9" s="104" t="e">
        <f>IF(Z9&gt;0,((IF(OR(D9="RA",D9="OA",D9="OT",D9="UN",D9="PC"),EXP(VLOOKUP(D9,'Species Codes'!B:O,14,0)+VLOOKUP(D9,'Species Codes'!B:P,15,0)*LN((E9*2.54)))-EXP(VLOOKUP(D9,'Species Codes'!B:O,14,0)+VLOOKUP(D9,'Species Codes'!B:P,15,0)*LN((E9*2.54)))*(1/(VLOOKUP(D9,'Species Codes'!B:Q,16,0)+VLOOKUP(D9,'Species Codes'!B:R,17,0)*((E9*2.54)^VLOOKUP(D9,'Species Codes'!B:S,18,0)))),IF(OR(D9="BM",D9="MD",D9="OA"),EXP(VLOOKUP(D9,'Species Codes'!B:O,14,0)+VLOOKUP(D9,'Species Codes'!B:P,15,0)*LN((E9*2.54)))*(1-(1/(VLOOKUP(D9,'Species Codes'!B:Q,16,0)+VLOOKUP(D9,'Species Codes'!B:R,17,0)*((E9*2.54)^VLOOKUP(D9,'Species Codes'!B:S,18,0)))))/1000,IF(D9="DF",EXP(VLOOKUP(D9,'Species Codes'!B:O,14,0)+VLOOKUP(D9,'Species Codes'!B:P,15,0)*LN((E9*2.54))),VLOOKUP(D9,'Species Codes'!B:O,14,0)+VLOOKUP(D9,'Species Codes'!B:P,15,0)*(((E9*2.54)/100)^2)*(I9*0.3048)))))*0.0011023),0)</f>
        <v>#N/A</v>
      </c>
      <c r="AD9" s="104" t="e">
        <f t="shared" si="10"/>
        <v>#N/A</v>
      </c>
      <c r="AE9" s="104" t="e">
        <f t="shared" si="11"/>
        <v>#N/A</v>
      </c>
      <c r="AF9" s="104" t="e">
        <f>IF(AND(VLOOKUP($D9,Merchantability!$B:$C,2,0)="Yes",$E9&gt;=VLOOKUP($D9,Merchantability!$B:$D,3,0),$E9&lt;=VLOOKUP($D9,Merchantability!$B:$E,4,0)),AA9,0)</f>
        <v>#N/A</v>
      </c>
      <c r="AG9" s="104" t="e">
        <f>IF(AND(VLOOKUP($D9,Merchantability!$B:$C,2,0)="Yes",$E9&gt;=VLOOKUP($D9,Merchantability!$B:$D,3,0),$E9&lt;=VLOOKUP($D9,Merchantability!$B:$E,4,0)),AB9,0)</f>
        <v>#N/A</v>
      </c>
      <c r="AH9" s="104" t="e">
        <f>IF(AND(VLOOKUP($D9,Merchantability!$B:$C,2,0)="Yes",$E9&gt;=VLOOKUP($D9,Merchantability!$B:$D,3,0),$E9&lt;=VLOOKUP($D9,Merchantability!$B:$E,4,0)),AC9,0)</f>
        <v>#N/A</v>
      </c>
      <c r="AI9" s="104" t="e">
        <f t="shared" si="12"/>
        <v>#N/A</v>
      </c>
      <c r="AJ9" s="104" t="e">
        <f t="shared" si="13"/>
        <v>#VALUE!</v>
      </c>
      <c r="AK9" s="104" t="e">
        <f t="shared" si="14"/>
        <v>#N/A</v>
      </c>
      <c r="AL9" s="104" t="e">
        <f t="shared" si="15"/>
        <v>#N/A</v>
      </c>
      <c r="AM9" s="104" t="e">
        <f t="shared" si="16"/>
        <v>#N/A</v>
      </c>
      <c r="AN9" s="104" t="e">
        <f t="shared" si="17"/>
        <v>#N/A</v>
      </c>
      <c r="AO9" s="104" t="e">
        <f t="shared" si="18"/>
        <v>#N/A</v>
      </c>
      <c r="AP9" s="104" t="e">
        <f t="shared" si="19"/>
        <v>#N/A</v>
      </c>
      <c r="AQ9" s="104" t="e">
        <f t="shared" si="20"/>
        <v>#N/A</v>
      </c>
      <c r="AR9" s="105" t="str">
        <f t="shared" si="21"/>
        <v/>
      </c>
      <c r="AS9" s="105" t="str">
        <f t="shared" si="22"/>
        <v/>
      </c>
      <c r="AT9" s="108" t="str">
        <f t="shared" si="23"/>
        <v/>
      </c>
      <c r="AU9" s="108" t="str">
        <f t="shared" si="24"/>
        <v/>
      </c>
      <c r="AV9" s="107" t="str">
        <f>IF(ISNUMBER(O9),IF(VLOOKUP($A9,Stand!C:J,8,FALSE)="Short",AT9,AU9),"")</f>
        <v/>
      </c>
      <c r="AW9" s="109" t="str">
        <f t="shared" si="25"/>
        <v/>
      </c>
      <c r="AX9" s="109" t="str">
        <f t="shared" si="26"/>
        <v/>
      </c>
      <c r="AY9" s="112" t="str">
        <f>IF(ISNUMBER(O9),IF(AND(VLOOKUP($D9,Merchantability!$B:$C,2,0)="Yes",$E9&gt;=VLOOKUP($D9,Merchantability!$B:$D,3,0),$E9&lt;=VLOOKUP($D9,Merchantability!$B:$E,4,0)),(AV9*O9)*(1-$H9/100),""),"")</f>
        <v/>
      </c>
      <c r="AZ9" s="115"/>
      <c r="BA9" s="116"/>
      <c r="BB9" s="116"/>
      <c r="BD9" s="61"/>
      <c r="BE9" s="62"/>
      <c r="BF9" s="63"/>
    </row>
    <row r="10" spans="1:61" ht="12.75" customHeight="1" x14ac:dyDescent="0.25">
      <c r="A10" s="313"/>
      <c r="B10" s="328"/>
      <c r="C10" s="329"/>
      <c r="D10" s="328"/>
      <c r="E10" s="330"/>
      <c r="F10" s="331"/>
      <c r="G10" s="329"/>
      <c r="H10" s="329"/>
      <c r="I10" s="328"/>
      <c r="J10" s="329"/>
      <c r="K10" s="329"/>
      <c r="L10" s="329"/>
      <c r="M10" s="76"/>
      <c r="N10" s="103" t="str">
        <f>IF(A10="","",VLOOKUP(A10,Stand!C:K,9,0))</f>
        <v/>
      </c>
      <c r="O10" s="104" t="str">
        <f t="shared" si="0"/>
        <v/>
      </c>
      <c r="P10" s="105" t="str">
        <f t="shared" si="1"/>
        <v/>
      </c>
      <c r="Q10" s="105" t="str">
        <f t="shared" si="2"/>
        <v/>
      </c>
      <c r="R10" s="103" t="str">
        <f t="shared" si="3"/>
        <v/>
      </c>
      <c r="S10" s="103" t="str">
        <f t="shared" si="4"/>
        <v/>
      </c>
      <c r="T10" s="106" t="str">
        <f t="shared" si="5"/>
        <v/>
      </c>
      <c r="U10" s="106" t="str">
        <f t="shared" si="6"/>
        <v/>
      </c>
      <c r="V10" s="106" t="str">
        <f t="shared" si="7"/>
        <v/>
      </c>
      <c r="W10" s="105" t="str">
        <f t="shared" si="8"/>
        <v/>
      </c>
      <c r="X10" s="104" t="str">
        <f t="shared" si="9"/>
        <v/>
      </c>
      <c r="Y10" s="104" t="str">
        <f t="array" ref="Y10">IFERROR(IF(ISNUMBER(O10),IF(COUNT(IF(A10=$A$2:$A$2427,IF(D10=$D$2:$D$2427,IF($X$2:$X$2427&gt;0,1))))&gt;0,SUM(IF(A10=$A$2:$A$2427,IF(D10=$D$2:$D$2427,$X$2:$X$2427)))/COUNT(IF(A10=$A$2:$A$2427,IF(D10=$D$2:$D$2427,IF(ISNUMBER($X$2:$X$2427),1)))),0),""),0)</f>
        <v/>
      </c>
      <c r="Z10" s="104" t="str">
        <f>IF(ISNUMBER(O10),IF(I10&gt;0,(10^(VLOOKUP(D10,'Species Codes'!B:C,2,0)+VLOOKUP(D10,'Species Codes'!B:D,3,0)*LOG(E10)+VLOOKUP(D10,'Species Codes'!B:E,4,0)*LOG(I10))),0),"")</f>
        <v/>
      </c>
      <c r="AA10" s="104" t="str">
        <f>IFERROR((VLOOKUP(D10,'Species Codes'!B:G,6,0)*Z10)/2000,"")</f>
        <v/>
      </c>
      <c r="AB10" s="104" t="e">
        <f>IF(Z10&gt;0,((IF(OR(D10="DF",D10="RA")=TRUE,EXP(VLOOKUP(D10,'Species Codes'!B:I,8,0)+VLOOKUP(D10,'Species Codes'!B:J,9,0)*(LN((E10*2.54)))),IF(OR(D10="PY",D10="RC",D10="WH",D10="NF")=TRUE,VLOOKUP(D10,'Species Codes'!B:I,8,0)+VLOOKUP(D10,'Species Codes'!B:J,9,0)*((E10*2.54)^2)*(I10*0.3048),IF(OR(D10="MD",D10="BM",D10="GA")=TRUE,((VLOOKUP(D10,'Species Codes'!B:I,8,0)*(((((E10*2.54)+VLOOKUP(D10,'Species Codes'!B:J,9,0))/VLOOKUP(D10,'Species Codes'!B:K,10,0))^VLOOKUP(D10,'Species Codes'!B:L,11,0))*((I10*0.3048)^VLOOKUP(D10,'Species Codes'!B:M,12,0))))-(VLOOKUP(D10,'Species Codes'!B:I,8,0)*((((E10*2.54)^VLOOKUP(D10,'Species Codes'!B:L,11,0))*((I10*0.3048)^VLOOKUP(D10,'Species Codes'!B:M,12,0))))))*35.3*VLOOKUP(D10,'Species Codes'!B:G,6,0)/2.2046,VLOOKUP(D10,'Species Codes'!B:I,8,0)+VLOOKUP(D10,'Species Codes'!B:J,9,0)*(((E10*2.54)/100)^2)*(I10*0.3048)))))*0.0011023),0)</f>
        <v>#N/A</v>
      </c>
      <c r="AC10" s="104" t="e">
        <f>IF(Z10&gt;0,((IF(OR(D10="RA",D10="OA",D10="OT",D10="UN",D10="PC"),EXP(VLOOKUP(D10,'Species Codes'!B:O,14,0)+VLOOKUP(D10,'Species Codes'!B:P,15,0)*LN((E10*2.54)))-EXP(VLOOKUP(D10,'Species Codes'!B:O,14,0)+VLOOKUP(D10,'Species Codes'!B:P,15,0)*LN((E10*2.54)))*(1/(VLOOKUP(D10,'Species Codes'!B:Q,16,0)+VLOOKUP(D10,'Species Codes'!B:R,17,0)*((E10*2.54)^VLOOKUP(D10,'Species Codes'!B:S,18,0)))),IF(OR(D10="BM",D10="MD",D10="OA"),EXP(VLOOKUP(D10,'Species Codes'!B:O,14,0)+VLOOKUP(D10,'Species Codes'!B:P,15,0)*LN((E10*2.54)))*(1-(1/(VLOOKUP(D10,'Species Codes'!B:Q,16,0)+VLOOKUP(D10,'Species Codes'!B:R,17,0)*((E10*2.54)^VLOOKUP(D10,'Species Codes'!B:S,18,0)))))/1000,IF(D10="DF",EXP(VLOOKUP(D10,'Species Codes'!B:O,14,0)+VLOOKUP(D10,'Species Codes'!B:P,15,0)*LN((E10*2.54))),VLOOKUP(D10,'Species Codes'!B:O,14,0)+VLOOKUP(D10,'Species Codes'!B:P,15,0)*(((E10*2.54)/100)^2)*(I10*0.3048)))))*0.0011023),0)</f>
        <v>#N/A</v>
      </c>
      <c r="AD10" s="104" t="e">
        <f t="shared" si="10"/>
        <v>#N/A</v>
      </c>
      <c r="AE10" s="104" t="e">
        <f t="shared" si="11"/>
        <v>#N/A</v>
      </c>
      <c r="AF10" s="104" t="e">
        <f>IF(AND(VLOOKUP($D10,Merchantability!$B:$C,2,0)="Yes",$E10&gt;=VLOOKUP($D10,Merchantability!$B:$D,3,0),$E10&lt;=VLOOKUP($D10,Merchantability!$B:$E,4,0)),AA10,0)</f>
        <v>#N/A</v>
      </c>
      <c r="AG10" s="104" t="e">
        <f>IF(AND(VLOOKUP($D10,Merchantability!$B:$C,2,0)="Yes",$E10&gt;=VLOOKUP($D10,Merchantability!$B:$D,3,0),$E10&lt;=VLOOKUP($D10,Merchantability!$B:$E,4,0)),AB10,0)</f>
        <v>#N/A</v>
      </c>
      <c r="AH10" s="104" t="e">
        <f>IF(AND(VLOOKUP($D10,Merchantability!$B:$C,2,0)="Yes",$E10&gt;=VLOOKUP($D10,Merchantability!$B:$D,3,0),$E10&lt;=VLOOKUP($D10,Merchantability!$B:$E,4,0)),AC10,0)</f>
        <v>#N/A</v>
      </c>
      <c r="AI10" s="104" t="e">
        <f t="shared" si="12"/>
        <v>#N/A</v>
      </c>
      <c r="AJ10" s="104" t="e">
        <f t="shared" si="13"/>
        <v>#VALUE!</v>
      </c>
      <c r="AK10" s="104" t="e">
        <f t="shared" si="14"/>
        <v>#N/A</v>
      </c>
      <c r="AL10" s="104" t="e">
        <f t="shared" si="15"/>
        <v>#N/A</v>
      </c>
      <c r="AM10" s="104" t="e">
        <f t="shared" si="16"/>
        <v>#N/A</v>
      </c>
      <c r="AN10" s="104" t="e">
        <f t="shared" si="17"/>
        <v>#N/A</v>
      </c>
      <c r="AO10" s="104" t="e">
        <f t="shared" si="18"/>
        <v>#N/A</v>
      </c>
      <c r="AP10" s="104" t="e">
        <f t="shared" si="19"/>
        <v>#N/A</v>
      </c>
      <c r="AQ10" s="104" t="e">
        <f t="shared" si="20"/>
        <v>#N/A</v>
      </c>
      <c r="AR10" s="105" t="str">
        <f t="shared" si="21"/>
        <v/>
      </c>
      <c r="AS10" s="105" t="str">
        <f t="shared" si="22"/>
        <v/>
      </c>
      <c r="AT10" s="108" t="str">
        <f t="shared" si="23"/>
        <v/>
      </c>
      <c r="AU10" s="108" t="str">
        <f t="shared" si="24"/>
        <v/>
      </c>
      <c r="AV10" s="107" t="str">
        <f>IF(ISNUMBER(O10),IF(VLOOKUP($A10,Stand!C:J,8,FALSE)="Short",AT10,AU10),"")</f>
        <v/>
      </c>
      <c r="AW10" s="109" t="str">
        <f t="shared" si="25"/>
        <v/>
      </c>
      <c r="AX10" s="109" t="str">
        <f t="shared" si="26"/>
        <v/>
      </c>
      <c r="AY10" s="112" t="str">
        <f>IF(ISNUMBER(O10),IF(AND(VLOOKUP($D10,Merchantability!$B:$C,2,0)="Yes",$E10&gt;=VLOOKUP($D10,Merchantability!$B:$D,3,0),$E10&lt;=VLOOKUP($D10,Merchantability!$B:$E,4,0)),(AV10*O10)*(1-$H10/100),""),"")</f>
        <v/>
      </c>
      <c r="AZ10" s="115"/>
      <c r="BA10" s="116"/>
      <c r="BB10" s="116"/>
      <c r="BD10" s="61"/>
      <c r="BE10" s="62"/>
      <c r="BF10" s="63"/>
    </row>
    <row r="11" spans="1:61" ht="12.75" customHeight="1" x14ac:dyDescent="0.25">
      <c r="A11" s="313"/>
      <c r="B11" s="328"/>
      <c r="C11" s="329"/>
      <c r="D11" s="328"/>
      <c r="E11" s="330"/>
      <c r="F11" s="331"/>
      <c r="G11" s="329"/>
      <c r="H11" s="329"/>
      <c r="I11" s="328"/>
      <c r="J11" s="329"/>
      <c r="K11" s="329"/>
      <c r="L11" s="329"/>
      <c r="M11" s="76"/>
      <c r="N11" s="103" t="str">
        <f>IF(A11="","",VLOOKUP(A11,Stand!C:K,9,0))</f>
        <v/>
      </c>
      <c r="O11" s="104" t="str">
        <f t="shared" si="0"/>
        <v/>
      </c>
      <c r="P11" s="105" t="str">
        <f t="shared" si="1"/>
        <v/>
      </c>
      <c r="Q11" s="105" t="str">
        <f t="shared" si="2"/>
        <v/>
      </c>
      <c r="R11" s="103" t="str">
        <f t="shared" si="3"/>
        <v/>
      </c>
      <c r="S11" s="103" t="str">
        <f t="shared" si="4"/>
        <v/>
      </c>
      <c r="T11" s="106" t="str">
        <f t="shared" si="5"/>
        <v/>
      </c>
      <c r="U11" s="106" t="str">
        <f t="shared" si="6"/>
        <v/>
      </c>
      <c r="V11" s="106" t="str">
        <f t="shared" si="7"/>
        <v/>
      </c>
      <c r="W11" s="105" t="str">
        <f t="shared" si="8"/>
        <v/>
      </c>
      <c r="X11" s="104" t="str">
        <f t="shared" si="9"/>
        <v/>
      </c>
      <c r="Y11" s="104" t="str">
        <f t="array" ref="Y11">IFERROR(IF(ISNUMBER(O11),IF(COUNT(IF(A11=$A$2:$A$2427,IF(D11=$D$2:$D$2427,IF($X$2:$X$2427&gt;0,1))))&gt;0,SUM(IF(A11=$A$2:$A$2427,IF(D11=$D$2:$D$2427,$X$2:$X$2427)))/COUNT(IF(A11=$A$2:$A$2427,IF(D11=$D$2:$D$2427,IF(ISNUMBER($X$2:$X$2427),1)))),0),""),0)</f>
        <v/>
      </c>
      <c r="Z11" s="104" t="str">
        <f>IF(ISNUMBER(O11),IF(I11&gt;0,(10^(VLOOKUP(D11,'Species Codes'!B:C,2,0)+VLOOKUP(D11,'Species Codes'!B:D,3,0)*LOG(E11)+VLOOKUP(D11,'Species Codes'!B:E,4,0)*LOG(I11))),0),"")</f>
        <v/>
      </c>
      <c r="AA11" s="104" t="str">
        <f>IFERROR((VLOOKUP(D11,'Species Codes'!B:G,6,0)*Z11)/2000,"")</f>
        <v/>
      </c>
      <c r="AB11" s="104" t="e">
        <f>IF(Z11&gt;0,((IF(OR(D11="DF",D11="RA")=TRUE,EXP(VLOOKUP(D11,'Species Codes'!B:I,8,0)+VLOOKUP(D11,'Species Codes'!B:J,9,0)*(LN((E11*2.54)))),IF(OR(D11="PY",D11="RC",D11="WH",D11="NF")=TRUE,VLOOKUP(D11,'Species Codes'!B:I,8,0)+VLOOKUP(D11,'Species Codes'!B:J,9,0)*((E11*2.54)^2)*(I11*0.3048),IF(OR(D11="MD",D11="BM",D11="GA")=TRUE,((VLOOKUP(D11,'Species Codes'!B:I,8,0)*(((((E11*2.54)+VLOOKUP(D11,'Species Codes'!B:J,9,0))/VLOOKUP(D11,'Species Codes'!B:K,10,0))^VLOOKUP(D11,'Species Codes'!B:L,11,0))*((I11*0.3048)^VLOOKUP(D11,'Species Codes'!B:M,12,0))))-(VLOOKUP(D11,'Species Codes'!B:I,8,0)*((((E11*2.54)^VLOOKUP(D11,'Species Codes'!B:L,11,0))*((I11*0.3048)^VLOOKUP(D11,'Species Codes'!B:M,12,0))))))*35.3*VLOOKUP(D11,'Species Codes'!B:G,6,0)/2.2046,VLOOKUP(D11,'Species Codes'!B:I,8,0)+VLOOKUP(D11,'Species Codes'!B:J,9,0)*(((E11*2.54)/100)^2)*(I11*0.3048)))))*0.0011023),0)</f>
        <v>#N/A</v>
      </c>
      <c r="AC11" s="104" t="e">
        <f>IF(Z11&gt;0,((IF(OR(D11="RA",D11="OA",D11="OT",D11="UN",D11="PC"),EXP(VLOOKUP(D11,'Species Codes'!B:O,14,0)+VLOOKUP(D11,'Species Codes'!B:P,15,0)*LN((E11*2.54)))-EXP(VLOOKUP(D11,'Species Codes'!B:O,14,0)+VLOOKUP(D11,'Species Codes'!B:P,15,0)*LN((E11*2.54)))*(1/(VLOOKUP(D11,'Species Codes'!B:Q,16,0)+VLOOKUP(D11,'Species Codes'!B:R,17,0)*((E11*2.54)^VLOOKUP(D11,'Species Codes'!B:S,18,0)))),IF(OR(D11="BM",D11="MD",D11="OA"),EXP(VLOOKUP(D11,'Species Codes'!B:O,14,0)+VLOOKUP(D11,'Species Codes'!B:P,15,0)*LN((E11*2.54)))*(1-(1/(VLOOKUP(D11,'Species Codes'!B:Q,16,0)+VLOOKUP(D11,'Species Codes'!B:R,17,0)*((E11*2.54)^VLOOKUP(D11,'Species Codes'!B:S,18,0)))))/1000,IF(D11="DF",EXP(VLOOKUP(D11,'Species Codes'!B:O,14,0)+VLOOKUP(D11,'Species Codes'!B:P,15,0)*LN((E11*2.54))),VLOOKUP(D11,'Species Codes'!B:O,14,0)+VLOOKUP(D11,'Species Codes'!B:P,15,0)*(((E11*2.54)/100)^2)*(I11*0.3048)))))*0.0011023),0)</f>
        <v>#N/A</v>
      </c>
      <c r="AD11" s="104" t="e">
        <f t="shared" si="10"/>
        <v>#N/A</v>
      </c>
      <c r="AE11" s="104" t="e">
        <f t="shared" si="11"/>
        <v>#N/A</v>
      </c>
      <c r="AF11" s="104" t="e">
        <f>IF(AND(VLOOKUP($D11,Merchantability!$B:$C,2,0)="Yes",$E11&gt;=VLOOKUP($D11,Merchantability!$B:$D,3,0),$E11&lt;=VLOOKUP($D11,Merchantability!$B:$E,4,0)),AA11,0)</f>
        <v>#N/A</v>
      </c>
      <c r="AG11" s="104" t="e">
        <f>IF(AND(VLOOKUP($D11,Merchantability!$B:$C,2,0)="Yes",$E11&gt;=VLOOKUP($D11,Merchantability!$B:$D,3,0),$E11&lt;=VLOOKUP($D11,Merchantability!$B:$E,4,0)),AB11,0)</f>
        <v>#N/A</v>
      </c>
      <c r="AH11" s="104" t="e">
        <f>IF(AND(VLOOKUP($D11,Merchantability!$B:$C,2,0)="Yes",$E11&gt;=VLOOKUP($D11,Merchantability!$B:$D,3,0),$E11&lt;=VLOOKUP($D11,Merchantability!$B:$E,4,0)),AC11,0)</f>
        <v>#N/A</v>
      </c>
      <c r="AI11" s="104" t="e">
        <f t="shared" si="12"/>
        <v>#N/A</v>
      </c>
      <c r="AJ11" s="104" t="e">
        <f t="shared" si="13"/>
        <v>#VALUE!</v>
      </c>
      <c r="AK11" s="104" t="e">
        <f t="shared" si="14"/>
        <v>#N/A</v>
      </c>
      <c r="AL11" s="104" t="e">
        <f t="shared" si="15"/>
        <v>#N/A</v>
      </c>
      <c r="AM11" s="104" t="e">
        <f t="shared" si="16"/>
        <v>#N/A</v>
      </c>
      <c r="AN11" s="104" t="e">
        <f t="shared" si="17"/>
        <v>#N/A</v>
      </c>
      <c r="AO11" s="104" t="e">
        <f t="shared" si="18"/>
        <v>#N/A</v>
      </c>
      <c r="AP11" s="104" t="e">
        <f t="shared" si="19"/>
        <v>#N/A</v>
      </c>
      <c r="AQ11" s="104" t="e">
        <f t="shared" si="20"/>
        <v>#N/A</v>
      </c>
      <c r="AR11" s="105" t="str">
        <f t="shared" si="21"/>
        <v/>
      </c>
      <c r="AS11" s="105" t="str">
        <f t="shared" si="22"/>
        <v/>
      </c>
      <c r="AT11" s="108" t="str">
        <f t="shared" si="23"/>
        <v/>
      </c>
      <c r="AU11" s="108" t="str">
        <f t="shared" si="24"/>
        <v/>
      </c>
      <c r="AV11" s="107" t="str">
        <f>IF(ISNUMBER(O11),IF(VLOOKUP($A11,Stand!C:J,8,FALSE)="Short",AT11,AU11),"")</f>
        <v/>
      </c>
      <c r="AW11" s="109" t="str">
        <f t="shared" si="25"/>
        <v/>
      </c>
      <c r="AX11" s="109" t="str">
        <f t="shared" si="26"/>
        <v/>
      </c>
      <c r="AY11" s="112" t="str">
        <f>IF(ISNUMBER(O11),IF(AND(VLOOKUP($D11,Merchantability!$B:$C,2,0)="Yes",$E11&gt;=VLOOKUP($D11,Merchantability!$B:$D,3,0),$E11&lt;=VLOOKUP($D11,Merchantability!$B:$E,4,0)),(AV11*O11)*(1-$H11/100),""),"")</f>
        <v/>
      </c>
      <c r="AZ11" s="115"/>
      <c r="BA11" s="116"/>
      <c r="BB11" s="116"/>
      <c r="BD11" s="61"/>
      <c r="BE11" s="62"/>
      <c r="BF11" s="63"/>
    </row>
    <row r="12" spans="1:61" ht="12.75" customHeight="1" x14ac:dyDescent="0.25">
      <c r="A12" s="313"/>
      <c r="B12" s="328"/>
      <c r="C12" s="329"/>
      <c r="D12" s="328"/>
      <c r="E12" s="330"/>
      <c r="F12" s="331"/>
      <c r="G12" s="329"/>
      <c r="H12" s="329"/>
      <c r="I12" s="328"/>
      <c r="J12" s="329"/>
      <c r="K12" s="329"/>
      <c r="L12" s="329"/>
      <c r="M12" s="76"/>
      <c r="N12" s="103" t="str">
        <f>IF(A12="","",VLOOKUP(A12,Stand!C:K,9,0))</f>
        <v/>
      </c>
      <c r="O12" s="104" t="str">
        <f t="shared" si="0"/>
        <v/>
      </c>
      <c r="P12" s="105" t="str">
        <f t="shared" si="1"/>
        <v/>
      </c>
      <c r="Q12" s="105" t="str">
        <f t="shared" si="2"/>
        <v/>
      </c>
      <c r="R12" s="103" t="str">
        <f t="shared" si="3"/>
        <v/>
      </c>
      <c r="S12" s="103" t="str">
        <f t="shared" si="4"/>
        <v/>
      </c>
      <c r="T12" s="106" t="str">
        <f t="shared" si="5"/>
        <v/>
      </c>
      <c r="U12" s="106" t="str">
        <f t="shared" si="6"/>
        <v/>
      </c>
      <c r="V12" s="106" t="str">
        <f t="shared" si="7"/>
        <v/>
      </c>
      <c r="W12" s="105" t="str">
        <f t="shared" si="8"/>
        <v/>
      </c>
      <c r="X12" s="104" t="str">
        <f t="shared" si="9"/>
        <v/>
      </c>
      <c r="Y12" s="104" t="str">
        <f t="array" ref="Y12">IFERROR(IF(ISNUMBER(O12),IF(COUNT(IF(A12=$A$2:$A$2427,IF(D12=$D$2:$D$2427,IF($X$2:$X$2427&gt;0,1))))&gt;0,SUM(IF(A12=$A$2:$A$2427,IF(D12=$D$2:$D$2427,$X$2:$X$2427)))/COUNT(IF(A12=$A$2:$A$2427,IF(D12=$D$2:$D$2427,IF(ISNUMBER($X$2:$X$2427),1)))),0),""),0)</f>
        <v/>
      </c>
      <c r="Z12" s="104" t="str">
        <f>IF(ISNUMBER(O12),IF(I12&gt;0,(10^(VLOOKUP(D12,'Species Codes'!B:C,2,0)+VLOOKUP(D12,'Species Codes'!B:D,3,0)*LOG(E12)+VLOOKUP(D12,'Species Codes'!B:E,4,0)*LOG(I12))),0),"")</f>
        <v/>
      </c>
      <c r="AA12" s="104" t="str">
        <f>IFERROR((VLOOKUP(D12,'Species Codes'!B:G,6,0)*Z12)/2000,"")</f>
        <v/>
      </c>
      <c r="AB12" s="104" t="e">
        <f>IF(Z12&gt;0,((IF(OR(D12="DF",D12="RA")=TRUE,EXP(VLOOKUP(D12,'Species Codes'!B:I,8,0)+VLOOKUP(D12,'Species Codes'!B:J,9,0)*(LN((E12*2.54)))),IF(OR(D12="PY",D12="RC",D12="WH",D12="NF")=TRUE,VLOOKUP(D12,'Species Codes'!B:I,8,0)+VLOOKUP(D12,'Species Codes'!B:J,9,0)*((E12*2.54)^2)*(I12*0.3048),IF(OR(D12="MD",D12="BM",D12="GA")=TRUE,((VLOOKUP(D12,'Species Codes'!B:I,8,0)*(((((E12*2.54)+VLOOKUP(D12,'Species Codes'!B:J,9,0))/VLOOKUP(D12,'Species Codes'!B:K,10,0))^VLOOKUP(D12,'Species Codes'!B:L,11,0))*((I12*0.3048)^VLOOKUP(D12,'Species Codes'!B:M,12,0))))-(VLOOKUP(D12,'Species Codes'!B:I,8,0)*((((E12*2.54)^VLOOKUP(D12,'Species Codes'!B:L,11,0))*((I12*0.3048)^VLOOKUP(D12,'Species Codes'!B:M,12,0))))))*35.3*VLOOKUP(D12,'Species Codes'!B:G,6,0)/2.2046,VLOOKUP(D12,'Species Codes'!B:I,8,0)+VLOOKUP(D12,'Species Codes'!B:J,9,0)*(((E12*2.54)/100)^2)*(I12*0.3048)))))*0.0011023),0)</f>
        <v>#N/A</v>
      </c>
      <c r="AC12" s="104" t="e">
        <f>IF(Z12&gt;0,((IF(OR(D12="RA",D12="OA",D12="OT",D12="UN",D12="PC"),EXP(VLOOKUP(D12,'Species Codes'!B:O,14,0)+VLOOKUP(D12,'Species Codes'!B:P,15,0)*LN((E12*2.54)))-EXP(VLOOKUP(D12,'Species Codes'!B:O,14,0)+VLOOKUP(D12,'Species Codes'!B:P,15,0)*LN((E12*2.54)))*(1/(VLOOKUP(D12,'Species Codes'!B:Q,16,0)+VLOOKUP(D12,'Species Codes'!B:R,17,0)*((E12*2.54)^VLOOKUP(D12,'Species Codes'!B:S,18,0)))),IF(OR(D12="BM",D12="MD",D12="OA"),EXP(VLOOKUP(D12,'Species Codes'!B:O,14,0)+VLOOKUP(D12,'Species Codes'!B:P,15,0)*LN((E12*2.54)))*(1-(1/(VLOOKUP(D12,'Species Codes'!B:Q,16,0)+VLOOKUP(D12,'Species Codes'!B:R,17,0)*((E12*2.54)^VLOOKUP(D12,'Species Codes'!B:S,18,0)))))/1000,IF(D12="DF",EXP(VLOOKUP(D12,'Species Codes'!B:O,14,0)+VLOOKUP(D12,'Species Codes'!B:P,15,0)*LN((E12*2.54))),VLOOKUP(D12,'Species Codes'!B:O,14,0)+VLOOKUP(D12,'Species Codes'!B:P,15,0)*(((E12*2.54)/100)^2)*(I12*0.3048)))))*0.0011023),0)</f>
        <v>#N/A</v>
      </c>
      <c r="AD12" s="104" t="e">
        <f t="shared" si="10"/>
        <v>#N/A</v>
      </c>
      <c r="AE12" s="104" t="e">
        <f t="shared" si="11"/>
        <v>#N/A</v>
      </c>
      <c r="AF12" s="104" t="e">
        <f>IF(AND(VLOOKUP($D12,Merchantability!$B:$C,2,0)="Yes",$E12&gt;=VLOOKUP($D12,Merchantability!$B:$D,3,0),$E12&lt;=VLOOKUP($D12,Merchantability!$B:$E,4,0)),AA12,0)</f>
        <v>#N/A</v>
      </c>
      <c r="AG12" s="104" t="e">
        <f>IF(AND(VLOOKUP($D12,Merchantability!$B:$C,2,0)="Yes",$E12&gt;=VLOOKUP($D12,Merchantability!$B:$D,3,0),$E12&lt;=VLOOKUP($D12,Merchantability!$B:$E,4,0)),AB12,0)</f>
        <v>#N/A</v>
      </c>
      <c r="AH12" s="104" t="e">
        <f>IF(AND(VLOOKUP($D12,Merchantability!$B:$C,2,0)="Yes",$E12&gt;=VLOOKUP($D12,Merchantability!$B:$D,3,0),$E12&lt;=VLOOKUP($D12,Merchantability!$B:$E,4,0)),AC12,0)</f>
        <v>#N/A</v>
      </c>
      <c r="AI12" s="104" t="e">
        <f t="shared" si="12"/>
        <v>#N/A</v>
      </c>
      <c r="AJ12" s="104" t="e">
        <f t="shared" si="13"/>
        <v>#VALUE!</v>
      </c>
      <c r="AK12" s="104" t="e">
        <f t="shared" si="14"/>
        <v>#N/A</v>
      </c>
      <c r="AL12" s="104" t="e">
        <f t="shared" si="15"/>
        <v>#N/A</v>
      </c>
      <c r="AM12" s="104" t="e">
        <f t="shared" si="16"/>
        <v>#N/A</v>
      </c>
      <c r="AN12" s="104" t="e">
        <f t="shared" si="17"/>
        <v>#N/A</v>
      </c>
      <c r="AO12" s="104" t="e">
        <f t="shared" si="18"/>
        <v>#N/A</v>
      </c>
      <c r="AP12" s="104" t="e">
        <f t="shared" si="19"/>
        <v>#N/A</v>
      </c>
      <c r="AQ12" s="104" t="e">
        <f t="shared" si="20"/>
        <v>#N/A</v>
      </c>
      <c r="AR12" s="105" t="str">
        <f t="shared" si="21"/>
        <v/>
      </c>
      <c r="AS12" s="105" t="str">
        <f t="shared" si="22"/>
        <v/>
      </c>
      <c r="AT12" s="108" t="str">
        <f t="shared" si="23"/>
        <v/>
      </c>
      <c r="AU12" s="108" t="str">
        <f t="shared" si="24"/>
        <v/>
      </c>
      <c r="AV12" s="107" t="str">
        <f>IF(ISNUMBER(O12),IF(VLOOKUP($A12,Stand!C:J,8,FALSE)="Short",AT12,AU12),"")</f>
        <v/>
      </c>
      <c r="AW12" s="109" t="str">
        <f t="shared" si="25"/>
        <v/>
      </c>
      <c r="AX12" s="109" t="str">
        <f t="shared" si="26"/>
        <v/>
      </c>
      <c r="AY12" s="112" t="str">
        <f>IF(ISNUMBER(O12),IF(AND(VLOOKUP($D12,Merchantability!$B:$C,2,0)="Yes",$E12&gt;=VLOOKUP($D12,Merchantability!$B:$D,3,0),$E12&lt;=VLOOKUP($D12,Merchantability!$B:$E,4,0)),(AV12*O12)*(1-$H12/100),""),"")</f>
        <v/>
      </c>
      <c r="AZ12" s="115"/>
      <c r="BA12" s="116"/>
      <c r="BB12" s="116"/>
      <c r="BD12" s="61"/>
      <c r="BE12" s="62"/>
      <c r="BF12" s="63"/>
    </row>
    <row r="13" spans="1:61" ht="12.75" customHeight="1" x14ac:dyDescent="0.25">
      <c r="A13" s="313"/>
      <c r="B13" s="328"/>
      <c r="C13" s="329"/>
      <c r="D13" s="328"/>
      <c r="E13" s="330"/>
      <c r="F13" s="331"/>
      <c r="G13" s="329"/>
      <c r="H13" s="329"/>
      <c r="I13" s="328"/>
      <c r="J13" s="329"/>
      <c r="K13" s="329"/>
      <c r="L13" s="329"/>
      <c r="M13" s="76"/>
      <c r="N13" s="103" t="str">
        <f>IF(A13="","",VLOOKUP(A13,Stand!C:K,9,0))</f>
        <v/>
      </c>
      <c r="O13" s="104" t="str">
        <f t="shared" si="0"/>
        <v/>
      </c>
      <c r="P13" s="105" t="str">
        <f t="shared" si="1"/>
        <v/>
      </c>
      <c r="Q13" s="105" t="str">
        <f t="shared" si="2"/>
        <v/>
      </c>
      <c r="R13" s="103" t="str">
        <f t="shared" si="3"/>
        <v/>
      </c>
      <c r="S13" s="103" t="str">
        <f t="shared" si="4"/>
        <v/>
      </c>
      <c r="T13" s="106" t="str">
        <f t="shared" si="5"/>
        <v/>
      </c>
      <c r="U13" s="106" t="str">
        <f t="shared" si="6"/>
        <v/>
      </c>
      <c r="V13" s="106" t="str">
        <f t="shared" si="7"/>
        <v/>
      </c>
      <c r="W13" s="105" t="str">
        <f t="shared" si="8"/>
        <v/>
      </c>
      <c r="X13" s="104" t="str">
        <f t="shared" si="9"/>
        <v/>
      </c>
      <c r="Y13" s="104" t="str">
        <f t="array" ref="Y13">IFERROR(IF(ISNUMBER(O13),IF(COUNT(IF(A13=$A$2:$A$2427,IF(D13=$D$2:$D$2427,IF($X$2:$X$2427&gt;0,1))))&gt;0,SUM(IF(A13=$A$2:$A$2427,IF(D13=$D$2:$D$2427,$X$2:$X$2427)))/COUNT(IF(A13=$A$2:$A$2427,IF(D13=$D$2:$D$2427,IF(ISNUMBER($X$2:$X$2427),1)))),0),""),0)</f>
        <v/>
      </c>
      <c r="Z13" s="104" t="str">
        <f>IF(ISNUMBER(O13),IF(I13&gt;0,(10^(VLOOKUP(D13,'Species Codes'!B:C,2,0)+VLOOKUP(D13,'Species Codes'!B:D,3,0)*LOG(E13)+VLOOKUP(D13,'Species Codes'!B:E,4,0)*LOG(I13))),0),"")</f>
        <v/>
      </c>
      <c r="AA13" s="104" t="str">
        <f>IFERROR((VLOOKUP(D13,'Species Codes'!B:G,6,0)*Z13)/2000,"")</f>
        <v/>
      </c>
      <c r="AB13" s="104" t="e">
        <f>IF(Z13&gt;0,((IF(OR(D13="DF",D13="RA")=TRUE,EXP(VLOOKUP(D13,'Species Codes'!B:I,8,0)+VLOOKUP(D13,'Species Codes'!B:J,9,0)*(LN((E13*2.54)))),IF(OR(D13="PY",D13="RC",D13="WH",D13="NF")=TRUE,VLOOKUP(D13,'Species Codes'!B:I,8,0)+VLOOKUP(D13,'Species Codes'!B:J,9,0)*((E13*2.54)^2)*(I13*0.3048),IF(OR(D13="MD",D13="BM",D13="GA")=TRUE,((VLOOKUP(D13,'Species Codes'!B:I,8,0)*(((((E13*2.54)+VLOOKUP(D13,'Species Codes'!B:J,9,0))/VLOOKUP(D13,'Species Codes'!B:K,10,0))^VLOOKUP(D13,'Species Codes'!B:L,11,0))*((I13*0.3048)^VLOOKUP(D13,'Species Codes'!B:M,12,0))))-(VLOOKUP(D13,'Species Codes'!B:I,8,0)*((((E13*2.54)^VLOOKUP(D13,'Species Codes'!B:L,11,0))*((I13*0.3048)^VLOOKUP(D13,'Species Codes'!B:M,12,0))))))*35.3*VLOOKUP(D13,'Species Codes'!B:G,6,0)/2.2046,VLOOKUP(D13,'Species Codes'!B:I,8,0)+VLOOKUP(D13,'Species Codes'!B:J,9,0)*(((E13*2.54)/100)^2)*(I13*0.3048)))))*0.0011023),0)</f>
        <v>#N/A</v>
      </c>
      <c r="AC13" s="104" t="e">
        <f>IF(Z13&gt;0,((IF(OR(D13="RA",D13="OA",D13="OT",D13="UN",D13="PC"),EXP(VLOOKUP(D13,'Species Codes'!B:O,14,0)+VLOOKUP(D13,'Species Codes'!B:P,15,0)*LN((E13*2.54)))-EXP(VLOOKUP(D13,'Species Codes'!B:O,14,0)+VLOOKUP(D13,'Species Codes'!B:P,15,0)*LN((E13*2.54)))*(1/(VLOOKUP(D13,'Species Codes'!B:Q,16,0)+VLOOKUP(D13,'Species Codes'!B:R,17,0)*((E13*2.54)^VLOOKUP(D13,'Species Codes'!B:S,18,0)))),IF(OR(D13="BM",D13="MD",D13="OA"),EXP(VLOOKUP(D13,'Species Codes'!B:O,14,0)+VLOOKUP(D13,'Species Codes'!B:P,15,0)*LN((E13*2.54)))*(1-(1/(VLOOKUP(D13,'Species Codes'!B:Q,16,0)+VLOOKUP(D13,'Species Codes'!B:R,17,0)*((E13*2.54)^VLOOKUP(D13,'Species Codes'!B:S,18,0)))))/1000,IF(D13="DF",EXP(VLOOKUP(D13,'Species Codes'!B:O,14,0)+VLOOKUP(D13,'Species Codes'!B:P,15,0)*LN((E13*2.54))),VLOOKUP(D13,'Species Codes'!B:O,14,0)+VLOOKUP(D13,'Species Codes'!B:P,15,0)*(((E13*2.54)/100)^2)*(I13*0.3048)))))*0.0011023),0)</f>
        <v>#N/A</v>
      </c>
      <c r="AD13" s="104" t="e">
        <f t="shared" si="10"/>
        <v>#N/A</v>
      </c>
      <c r="AE13" s="104" t="e">
        <f t="shared" si="11"/>
        <v>#N/A</v>
      </c>
      <c r="AF13" s="104" t="e">
        <f>IF(AND(VLOOKUP($D13,Merchantability!$B:$C,2,0)="Yes",$E13&gt;=VLOOKUP($D13,Merchantability!$B:$D,3,0),$E13&lt;=VLOOKUP($D13,Merchantability!$B:$E,4,0)),AA13,0)</f>
        <v>#N/A</v>
      </c>
      <c r="AG13" s="104" t="e">
        <f>IF(AND(VLOOKUP($D13,Merchantability!$B:$C,2,0)="Yes",$E13&gt;=VLOOKUP($D13,Merchantability!$B:$D,3,0),$E13&lt;=VLOOKUP($D13,Merchantability!$B:$E,4,0)),AB13,0)</f>
        <v>#N/A</v>
      </c>
      <c r="AH13" s="104" t="e">
        <f>IF(AND(VLOOKUP($D13,Merchantability!$B:$C,2,0)="Yes",$E13&gt;=VLOOKUP($D13,Merchantability!$B:$D,3,0),$E13&lt;=VLOOKUP($D13,Merchantability!$B:$E,4,0)),AC13,0)</f>
        <v>#N/A</v>
      </c>
      <c r="AI13" s="104" t="e">
        <f t="shared" si="12"/>
        <v>#N/A</v>
      </c>
      <c r="AJ13" s="104" t="e">
        <f t="shared" si="13"/>
        <v>#VALUE!</v>
      </c>
      <c r="AK13" s="104" t="e">
        <f t="shared" si="14"/>
        <v>#N/A</v>
      </c>
      <c r="AL13" s="104" t="e">
        <f t="shared" si="15"/>
        <v>#N/A</v>
      </c>
      <c r="AM13" s="104" t="e">
        <f t="shared" si="16"/>
        <v>#N/A</v>
      </c>
      <c r="AN13" s="104" t="e">
        <f t="shared" si="17"/>
        <v>#N/A</v>
      </c>
      <c r="AO13" s="104" t="e">
        <f t="shared" si="18"/>
        <v>#N/A</v>
      </c>
      <c r="AP13" s="104" t="e">
        <f t="shared" si="19"/>
        <v>#N/A</v>
      </c>
      <c r="AQ13" s="104" t="e">
        <f t="shared" si="20"/>
        <v>#N/A</v>
      </c>
      <c r="AR13" s="105" t="str">
        <f t="shared" si="21"/>
        <v/>
      </c>
      <c r="AS13" s="105" t="str">
        <f t="shared" si="22"/>
        <v/>
      </c>
      <c r="AT13" s="108" t="str">
        <f t="shared" si="23"/>
        <v/>
      </c>
      <c r="AU13" s="108" t="str">
        <f t="shared" si="24"/>
        <v/>
      </c>
      <c r="AV13" s="107" t="str">
        <f>IF(ISNUMBER(O13),IF(VLOOKUP($A13,Stand!C:J,8,FALSE)="Short",AT13,AU13),"")</f>
        <v/>
      </c>
      <c r="AW13" s="109" t="str">
        <f t="shared" si="25"/>
        <v/>
      </c>
      <c r="AX13" s="109" t="str">
        <f t="shared" si="26"/>
        <v/>
      </c>
      <c r="AY13" s="112" t="str">
        <f>IF(ISNUMBER(O13),IF(AND(VLOOKUP($D13,Merchantability!$B:$C,2,0)="Yes",$E13&gt;=VLOOKUP($D13,Merchantability!$B:$D,3,0),$E13&lt;=VLOOKUP($D13,Merchantability!$B:$E,4,0)),(AV13*O13)*(1-$H13/100),""),"")</f>
        <v/>
      </c>
      <c r="AZ13" s="116"/>
      <c r="BA13" s="116"/>
      <c r="BB13" s="116"/>
      <c r="BD13" s="61"/>
      <c r="BE13" s="62"/>
      <c r="BF13" s="63"/>
    </row>
    <row r="14" spans="1:61" ht="12.75" customHeight="1" x14ac:dyDescent="0.25">
      <c r="A14" s="313"/>
      <c r="B14" s="328"/>
      <c r="C14" s="329"/>
      <c r="D14" s="328"/>
      <c r="E14" s="330"/>
      <c r="F14" s="331"/>
      <c r="G14" s="329"/>
      <c r="H14" s="329"/>
      <c r="I14" s="328"/>
      <c r="J14" s="329"/>
      <c r="K14" s="329"/>
      <c r="L14" s="329"/>
      <c r="M14" s="76"/>
      <c r="N14" s="103" t="str">
        <f>IF(A14="","",VLOOKUP(A14,Stand!C:K,9,0))</f>
        <v/>
      </c>
      <c r="O14" s="104" t="str">
        <f t="shared" si="0"/>
        <v/>
      </c>
      <c r="P14" s="105" t="str">
        <f t="shared" si="1"/>
        <v/>
      </c>
      <c r="Q14" s="105" t="str">
        <f t="shared" si="2"/>
        <v/>
      </c>
      <c r="R14" s="103" t="str">
        <f t="shared" si="3"/>
        <v/>
      </c>
      <c r="S14" s="103" t="str">
        <f t="shared" si="4"/>
        <v/>
      </c>
      <c r="T14" s="106" t="str">
        <f t="shared" si="5"/>
        <v/>
      </c>
      <c r="U14" s="106" t="str">
        <f t="shared" si="6"/>
        <v/>
      </c>
      <c r="V14" s="106" t="str">
        <f t="shared" si="7"/>
        <v/>
      </c>
      <c r="W14" s="105" t="str">
        <f t="shared" si="8"/>
        <v/>
      </c>
      <c r="X14" s="104" t="str">
        <f t="shared" si="9"/>
        <v/>
      </c>
      <c r="Y14" s="104" t="str">
        <f t="array" ref="Y14">IFERROR(IF(ISNUMBER(O14),IF(COUNT(IF(A14=$A$2:$A$2427,IF(D14=$D$2:$D$2427,IF($X$2:$X$2427&gt;0,1))))&gt;0,SUM(IF(A14=$A$2:$A$2427,IF(D14=$D$2:$D$2427,$X$2:$X$2427)))/COUNT(IF(A14=$A$2:$A$2427,IF(D14=$D$2:$D$2427,IF(ISNUMBER($X$2:$X$2427),1)))),0),""),0)</f>
        <v/>
      </c>
      <c r="Z14" s="104" t="str">
        <f>IF(ISNUMBER(O14),IF(I14&gt;0,(10^(VLOOKUP(D14,'Species Codes'!B:C,2,0)+VLOOKUP(D14,'Species Codes'!B:D,3,0)*LOG(E14)+VLOOKUP(D14,'Species Codes'!B:E,4,0)*LOG(I14))),0),"")</f>
        <v/>
      </c>
      <c r="AA14" s="104" t="str">
        <f>IFERROR((VLOOKUP(D14,'Species Codes'!B:G,6,0)*Z14)/2000,"")</f>
        <v/>
      </c>
      <c r="AB14" s="104" t="e">
        <f>IF(Z14&gt;0,((IF(OR(D14="DF",D14="RA")=TRUE,EXP(VLOOKUP(D14,'Species Codes'!B:I,8,0)+VLOOKUP(D14,'Species Codes'!B:J,9,0)*(LN((E14*2.54)))),IF(OR(D14="PY",D14="RC",D14="WH",D14="NF")=TRUE,VLOOKUP(D14,'Species Codes'!B:I,8,0)+VLOOKUP(D14,'Species Codes'!B:J,9,0)*((E14*2.54)^2)*(I14*0.3048),IF(OR(D14="MD",D14="BM",D14="GA")=TRUE,((VLOOKUP(D14,'Species Codes'!B:I,8,0)*(((((E14*2.54)+VLOOKUP(D14,'Species Codes'!B:J,9,0))/VLOOKUP(D14,'Species Codes'!B:K,10,0))^VLOOKUP(D14,'Species Codes'!B:L,11,0))*((I14*0.3048)^VLOOKUP(D14,'Species Codes'!B:M,12,0))))-(VLOOKUP(D14,'Species Codes'!B:I,8,0)*((((E14*2.54)^VLOOKUP(D14,'Species Codes'!B:L,11,0))*((I14*0.3048)^VLOOKUP(D14,'Species Codes'!B:M,12,0))))))*35.3*VLOOKUP(D14,'Species Codes'!B:G,6,0)/2.2046,VLOOKUP(D14,'Species Codes'!B:I,8,0)+VLOOKUP(D14,'Species Codes'!B:J,9,0)*(((E14*2.54)/100)^2)*(I14*0.3048)))))*0.0011023),0)</f>
        <v>#N/A</v>
      </c>
      <c r="AC14" s="104" t="e">
        <f>IF(Z14&gt;0,((IF(OR(D14="RA",D14="OA",D14="OT",D14="UN",D14="PC"),EXP(VLOOKUP(D14,'Species Codes'!B:O,14,0)+VLOOKUP(D14,'Species Codes'!B:P,15,0)*LN((E14*2.54)))-EXP(VLOOKUP(D14,'Species Codes'!B:O,14,0)+VLOOKUP(D14,'Species Codes'!B:P,15,0)*LN((E14*2.54)))*(1/(VLOOKUP(D14,'Species Codes'!B:Q,16,0)+VLOOKUP(D14,'Species Codes'!B:R,17,0)*((E14*2.54)^VLOOKUP(D14,'Species Codes'!B:S,18,0)))),IF(OR(D14="BM",D14="MD",D14="OA"),EXP(VLOOKUP(D14,'Species Codes'!B:O,14,0)+VLOOKUP(D14,'Species Codes'!B:P,15,0)*LN((E14*2.54)))*(1-(1/(VLOOKUP(D14,'Species Codes'!B:Q,16,0)+VLOOKUP(D14,'Species Codes'!B:R,17,0)*((E14*2.54)^VLOOKUP(D14,'Species Codes'!B:S,18,0)))))/1000,IF(D14="DF",EXP(VLOOKUP(D14,'Species Codes'!B:O,14,0)+VLOOKUP(D14,'Species Codes'!B:P,15,0)*LN((E14*2.54))),VLOOKUP(D14,'Species Codes'!B:O,14,0)+VLOOKUP(D14,'Species Codes'!B:P,15,0)*(((E14*2.54)/100)^2)*(I14*0.3048)))))*0.0011023),0)</f>
        <v>#N/A</v>
      </c>
      <c r="AD14" s="104" t="e">
        <f t="shared" si="10"/>
        <v>#N/A</v>
      </c>
      <c r="AE14" s="104" t="e">
        <f t="shared" si="11"/>
        <v>#N/A</v>
      </c>
      <c r="AF14" s="104" t="e">
        <f>IF(AND(VLOOKUP($D14,Merchantability!$B:$C,2,0)="Yes",$E14&gt;=VLOOKUP($D14,Merchantability!$B:$D,3,0),$E14&lt;=VLOOKUP($D14,Merchantability!$B:$E,4,0)),AA14,0)</f>
        <v>#N/A</v>
      </c>
      <c r="AG14" s="104" t="e">
        <f>IF(AND(VLOOKUP($D14,Merchantability!$B:$C,2,0)="Yes",$E14&gt;=VLOOKUP($D14,Merchantability!$B:$D,3,0),$E14&lt;=VLOOKUP($D14,Merchantability!$B:$E,4,0)),AB14,0)</f>
        <v>#N/A</v>
      </c>
      <c r="AH14" s="104" t="e">
        <f>IF(AND(VLOOKUP($D14,Merchantability!$B:$C,2,0)="Yes",$E14&gt;=VLOOKUP($D14,Merchantability!$B:$D,3,0),$E14&lt;=VLOOKUP($D14,Merchantability!$B:$E,4,0)),AC14,0)</f>
        <v>#N/A</v>
      </c>
      <c r="AI14" s="104" t="e">
        <f t="shared" si="12"/>
        <v>#N/A</v>
      </c>
      <c r="AJ14" s="104" t="e">
        <f t="shared" si="13"/>
        <v>#VALUE!</v>
      </c>
      <c r="AK14" s="104" t="e">
        <f t="shared" si="14"/>
        <v>#N/A</v>
      </c>
      <c r="AL14" s="104" t="e">
        <f t="shared" si="15"/>
        <v>#N/A</v>
      </c>
      <c r="AM14" s="104" t="e">
        <f t="shared" si="16"/>
        <v>#N/A</v>
      </c>
      <c r="AN14" s="104" t="e">
        <f t="shared" si="17"/>
        <v>#N/A</v>
      </c>
      <c r="AO14" s="104" t="e">
        <f t="shared" si="18"/>
        <v>#N/A</v>
      </c>
      <c r="AP14" s="104" t="e">
        <f t="shared" si="19"/>
        <v>#N/A</v>
      </c>
      <c r="AQ14" s="104" t="e">
        <f t="shared" si="20"/>
        <v>#N/A</v>
      </c>
      <c r="AR14" s="105" t="str">
        <f t="shared" si="21"/>
        <v/>
      </c>
      <c r="AS14" s="105" t="str">
        <f t="shared" si="22"/>
        <v/>
      </c>
      <c r="AT14" s="108" t="str">
        <f t="shared" si="23"/>
        <v/>
      </c>
      <c r="AU14" s="108" t="str">
        <f t="shared" si="24"/>
        <v/>
      </c>
      <c r="AV14" s="107" t="str">
        <f>IF(ISNUMBER(O14),IF(VLOOKUP($A14,Stand!C:J,8,FALSE)="Short",AT14,AU14),"")</f>
        <v/>
      </c>
      <c r="AW14" s="109" t="str">
        <f t="shared" si="25"/>
        <v/>
      </c>
      <c r="AX14" s="109" t="str">
        <f t="shared" si="26"/>
        <v/>
      </c>
      <c r="AY14" s="112" t="str">
        <f>IF(ISNUMBER(O14),IF(AND(VLOOKUP($D14,Merchantability!$B:$C,2,0)="Yes",$E14&gt;=VLOOKUP($D14,Merchantability!$B:$D,3,0),$E14&lt;=VLOOKUP($D14,Merchantability!$B:$E,4,0)),(AV14*O14)*(1-$H14/100),""),"")</f>
        <v/>
      </c>
      <c r="AZ14" s="116"/>
      <c r="BA14" s="116"/>
      <c r="BB14" s="116"/>
      <c r="BD14" s="61"/>
      <c r="BE14" s="62"/>
      <c r="BF14" s="63"/>
    </row>
    <row r="15" spans="1:61" ht="12.75" customHeight="1" x14ac:dyDescent="0.25">
      <c r="A15" s="313"/>
      <c r="B15" s="328"/>
      <c r="C15" s="329"/>
      <c r="D15" s="328"/>
      <c r="E15" s="330"/>
      <c r="F15" s="331"/>
      <c r="G15" s="329"/>
      <c r="H15" s="329"/>
      <c r="I15" s="328"/>
      <c r="J15" s="329"/>
      <c r="K15" s="329"/>
      <c r="L15" s="329"/>
      <c r="M15" s="76"/>
      <c r="N15" s="103" t="str">
        <f>IF(A15="","",VLOOKUP(A15,Stand!C:K,9,0))</f>
        <v/>
      </c>
      <c r="O15" s="104" t="str">
        <f t="shared" si="0"/>
        <v/>
      </c>
      <c r="P15" s="105" t="str">
        <f t="shared" si="1"/>
        <v/>
      </c>
      <c r="Q15" s="105" t="str">
        <f t="shared" si="2"/>
        <v/>
      </c>
      <c r="R15" s="103" t="str">
        <f t="shared" si="3"/>
        <v/>
      </c>
      <c r="S15" s="103" t="str">
        <f t="shared" si="4"/>
        <v/>
      </c>
      <c r="T15" s="106" t="str">
        <f t="shared" si="5"/>
        <v/>
      </c>
      <c r="U15" s="106" t="str">
        <f t="shared" si="6"/>
        <v/>
      </c>
      <c r="V15" s="106" t="str">
        <f t="shared" si="7"/>
        <v/>
      </c>
      <c r="W15" s="105" t="str">
        <f t="shared" si="8"/>
        <v/>
      </c>
      <c r="X15" s="104" t="str">
        <f t="shared" si="9"/>
        <v/>
      </c>
      <c r="Y15" s="104" t="str">
        <f t="array" ref="Y15">IFERROR(IF(ISNUMBER(O15),IF(COUNT(IF(A15=$A$2:$A$2427,IF(D15=$D$2:$D$2427,IF($X$2:$X$2427&gt;0,1))))&gt;0,SUM(IF(A15=$A$2:$A$2427,IF(D15=$D$2:$D$2427,$X$2:$X$2427)))/COUNT(IF(A15=$A$2:$A$2427,IF(D15=$D$2:$D$2427,IF(ISNUMBER($X$2:$X$2427),1)))),0),""),0)</f>
        <v/>
      </c>
      <c r="Z15" s="104" t="str">
        <f>IF(ISNUMBER(O15),IF(I15&gt;0,(10^(VLOOKUP(D15,'Species Codes'!B:C,2,0)+VLOOKUP(D15,'Species Codes'!B:D,3,0)*LOG(E15)+VLOOKUP(D15,'Species Codes'!B:E,4,0)*LOG(I15))),0),"")</f>
        <v/>
      </c>
      <c r="AA15" s="104" t="str">
        <f>IFERROR((VLOOKUP(D15,'Species Codes'!B:G,6,0)*Z15)/2000,"")</f>
        <v/>
      </c>
      <c r="AB15" s="104" t="e">
        <f>IF(Z15&gt;0,((IF(OR(D15="DF",D15="RA")=TRUE,EXP(VLOOKUP(D15,'Species Codes'!B:I,8,0)+VLOOKUP(D15,'Species Codes'!B:J,9,0)*(LN((E15*2.54)))),IF(OR(D15="PY",D15="RC",D15="WH",D15="NF")=TRUE,VLOOKUP(D15,'Species Codes'!B:I,8,0)+VLOOKUP(D15,'Species Codes'!B:J,9,0)*((E15*2.54)^2)*(I15*0.3048),IF(OR(D15="MD",D15="BM",D15="GA")=TRUE,((VLOOKUP(D15,'Species Codes'!B:I,8,0)*(((((E15*2.54)+VLOOKUP(D15,'Species Codes'!B:J,9,0))/VLOOKUP(D15,'Species Codes'!B:K,10,0))^VLOOKUP(D15,'Species Codes'!B:L,11,0))*((I15*0.3048)^VLOOKUP(D15,'Species Codes'!B:M,12,0))))-(VLOOKUP(D15,'Species Codes'!B:I,8,0)*((((E15*2.54)^VLOOKUP(D15,'Species Codes'!B:L,11,0))*((I15*0.3048)^VLOOKUP(D15,'Species Codes'!B:M,12,0))))))*35.3*VLOOKUP(D15,'Species Codes'!B:G,6,0)/2.2046,VLOOKUP(D15,'Species Codes'!B:I,8,0)+VLOOKUP(D15,'Species Codes'!B:J,9,0)*(((E15*2.54)/100)^2)*(I15*0.3048)))))*0.0011023),0)</f>
        <v>#N/A</v>
      </c>
      <c r="AC15" s="104" t="e">
        <f>IF(Z15&gt;0,((IF(OR(D15="RA",D15="OA",D15="OT",D15="UN",D15="PC"),EXP(VLOOKUP(D15,'Species Codes'!B:O,14,0)+VLOOKUP(D15,'Species Codes'!B:P,15,0)*LN((E15*2.54)))-EXP(VLOOKUP(D15,'Species Codes'!B:O,14,0)+VLOOKUP(D15,'Species Codes'!B:P,15,0)*LN((E15*2.54)))*(1/(VLOOKUP(D15,'Species Codes'!B:Q,16,0)+VLOOKUP(D15,'Species Codes'!B:R,17,0)*((E15*2.54)^VLOOKUP(D15,'Species Codes'!B:S,18,0)))),IF(OR(D15="BM",D15="MD",D15="OA"),EXP(VLOOKUP(D15,'Species Codes'!B:O,14,0)+VLOOKUP(D15,'Species Codes'!B:P,15,0)*LN((E15*2.54)))*(1-(1/(VLOOKUP(D15,'Species Codes'!B:Q,16,0)+VLOOKUP(D15,'Species Codes'!B:R,17,0)*((E15*2.54)^VLOOKUP(D15,'Species Codes'!B:S,18,0)))))/1000,IF(D15="DF",EXP(VLOOKUP(D15,'Species Codes'!B:O,14,0)+VLOOKUP(D15,'Species Codes'!B:P,15,0)*LN((E15*2.54))),VLOOKUP(D15,'Species Codes'!B:O,14,0)+VLOOKUP(D15,'Species Codes'!B:P,15,0)*(((E15*2.54)/100)^2)*(I15*0.3048)))))*0.0011023),0)</f>
        <v>#N/A</v>
      </c>
      <c r="AD15" s="104" t="e">
        <f t="shared" si="10"/>
        <v>#N/A</v>
      </c>
      <c r="AE15" s="104" t="e">
        <f t="shared" si="11"/>
        <v>#N/A</v>
      </c>
      <c r="AF15" s="104" t="e">
        <f>IF(AND(VLOOKUP($D15,Merchantability!$B:$C,2,0)="Yes",$E15&gt;=VLOOKUP($D15,Merchantability!$B:$D,3,0),$E15&lt;=VLOOKUP($D15,Merchantability!$B:$E,4,0)),AA15,0)</f>
        <v>#N/A</v>
      </c>
      <c r="AG15" s="104" t="e">
        <f>IF(AND(VLOOKUP($D15,Merchantability!$B:$C,2,0)="Yes",$E15&gt;=VLOOKUP($D15,Merchantability!$B:$D,3,0),$E15&lt;=VLOOKUP($D15,Merchantability!$B:$E,4,0)),AB15,0)</f>
        <v>#N/A</v>
      </c>
      <c r="AH15" s="104" t="e">
        <f>IF(AND(VLOOKUP($D15,Merchantability!$B:$C,2,0)="Yes",$E15&gt;=VLOOKUP($D15,Merchantability!$B:$D,3,0),$E15&lt;=VLOOKUP($D15,Merchantability!$B:$E,4,0)),AC15,0)</f>
        <v>#N/A</v>
      </c>
      <c r="AI15" s="104" t="e">
        <f t="shared" si="12"/>
        <v>#N/A</v>
      </c>
      <c r="AJ15" s="104" t="e">
        <f t="shared" si="13"/>
        <v>#VALUE!</v>
      </c>
      <c r="AK15" s="104" t="e">
        <f t="shared" si="14"/>
        <v>#N/A</v>
      </c>
      <c r="AL15" s="104" t="e">
        <f t="shared" si="15"/>
        <v>#N/A</v>
      </c>
      <c r="AM15" s="104" t="e">
        <f t="shared" si="16"/>
        <v>#N/A</v>
      </c>
      <c r="AN15" s="104" t="e">
        <f t="shared" si="17"/>
        <v>#N/A</v>
      </c>
      <c r="AO15" s="104" t="e">
        <f t="shared" si="18"/>
        <v>#N/A</v>
      </c>
      <c r="AP15" s="104" t="e">
        <f t="shared" si="19"/>
        <v>#N/A</v>
      </c>
      <c r="AQ15" s="104" t="e">
        <f t="shared" si="20"/>
        <v>#N/A</v>
      </c>
      <c r="AR15" s="105" t="str">
        <f t="shared" si="21"/>
        <v/>
      </c>
      <c r="AS15" s="105" t="str">
        <f t="shared" si="22"/>
        <v/>
      </c>
      <c r="AT15" s="108" t="str">
        <f t="shared" si="23"/>
        <v/>
      </c>
      <c r="AU15" s="108" t="str">
        <f t="shared" si="24"/>
        <v/>
      </c>
      <c r="AV15" s="107" t="str">
        <f>IF(ISNUMBER(O15),IF(VLOOKUP($A15,Stand!C:J,8,FALSE)="Short",AT15,AU15),"")</f>
        <v/>
      </c>
      <c r="AW15" s="109" t="str">
        <f t="shared" si="25"/>
        <v/>
      </c>
      <c r="AX15" s="109" t="str">
        <f t="shared" si="26"/>
        <v/>
      </c>
      <c r="AY15" s="112" t="str">
        <f>IF(ISNUMBER(O15),IF(AND(VLOOKUP($D15,Merchantability!$B:$C,2,0)="Yes",$E15&gt;=VLOOKUP($D15,Merchantability!$B:$D,3,0),$E15&lt;=VLOOKUP($D15,Merchantability!$B:$E,4,0)),(AV15*O15)*(1-$H15/100),""),"")</f>
        <v/>
      </c>
      <c r="AZ15" s="115"/>
      <c r="BA15" s="116"/>
      <c r="BB15" s="116"/>
      <c r="BD15" s="61"/>
      <c r="BE15" s="62"/>
      <c r="BF15" s="63"/>
    </row>
    <row r="16" spans="1:61" ht="12.75" customHeight="1" x14ac:dyDescent="0.25">
      <c r="A16" s="313"/>
      <c r="B16" s="328"/>
      <c r="C16" s="329"/>
      <c r="D16" s="328"/>
      <c r="E16" s="330"/>
      <c r="F16" s="331"/>
      <c r="G16" s="329"/>
      <c r="H16" s="329"/>
      <c r="I16" s="328"/>
      <c r="J16" s="329"/>
      <c r="K16" s="329"/>
      <c r="L16" s="329"/>
      <c r="M16" s="76"/>
      <c r="N16" s="103" t="str">
        <f>IF(A16="","",VLOOKUP(A16,Stand!C:K,9,0))</f>
        <v/>
      </c>
      <c r="O16" s="104" t="str">
        <f t="shared" si="0"/>
        <v/>
      </c>
      <c r="P16" s="105" t="str">
        <f t="shared" si="1"/>
        <v/>
      </c>
      <c r="Q16" s="105" t="str">
        <f t="shared" si="2"/>
        <v/>
      </c>
      <c r="R16" s="103" t="str">
        <f t="shared" si="3"/>
        <v/>
      </c>
      <c r="S16" s="103" t="str">
        <f t="shared" si="4"/>
        <v/>
      </c>
      <c r="T16" s="106" t="str">
        <f t="shared" si="5"/>
        <v/>
      </c>
      <c r="U16" s="106" t="str">
        <f t="shared" si="6"/>
        <v/>
      </c>
      <c r="V16" s="106" t="str">
        <f t="shared" si="7"/>
        <v/>
      </c>
      <c r="W16" s="105" t="str">
        <f t="shared" si="8"/>
        <v/>
      </c>
      <c r="X16" s="104" t="str">
        <f t="shared" si="9"/>
        <v/>
      </c>
      <c r="Y16" s="104" t="str">
        <f t="array" ref="Y16">IFERROR(IF(ISNUMBER(O16),IF(COUNT(IF(A16=$A$2:$A$2427,IF(D16=$D$2:$D$2427,IF($X$2:$X$2427&gt;0,1))))&gt;0,SUM(IF(A16=$A$2:$A$2427,IF(D16=$D$2:$D$2427,$X$2:$X$2427)))/COUNT(IF(A16=$A$2:$A$2427,IF(D16=$D$2:$D$2427,IF(ISNUMBER($X$2:$X$2427),1)))),0),""),0)</f>
        <v/>
      </c>
      <c r="Z16" s="104" t="str">
        <f>IF(ISNUMBER(O16),IF(I16&gt;0,(10^(VLOOKUP(D16,'Species Codes'!B:C,2,0)+VLOOKUP(D16,'Species Codes'!B:D,3,0)*LOG(E16)+VLOOKUP(D16,'Species Codes'!B:E,4,0)*LOG(I16))),0),"")</f>
        <v/>
      </c>
      <c r="AA16" s="104" t="str">
        <f>IFERROR((VLOOKUP(D16,'Species Codes'!B:G,6,0)*Z16)/2000,"")</f>
        <v/>
      </c>
      <c r="AB16" s="104" t="e">
        <f>IF(Z16&gt;0,((IF(OR(D16="DF",D16="RA")=TRUE,EXP(VLOOKUP(D16,'Species Codes'!B:I,8,0)+VLOOKUP(D16,'Species Codes'!B:J,9,0)*(LN((E16*2.54)))),IF(OR(D16="PY",D16="RC",D16="WH",D16="NF")=TRUE,VLOOKUP(D16,'Species Codes'!B:I,8,0)+VLOOKUP(D16,'Species Codes'!B:J,9,0)*((E16*2.54)^2)*(I16*0.3048),IF(OR(D16="MD",D16="BM",D16="GA")=TRUE,((VLOOKUP(D16,'Species Codes'!B:I,8,0)*(((((E16*2.54)+VLOOKUP(D16,'Species Codes'!B:J,9,0))/VLOOKUP(D16,'Species Codes'!B:K,10,0))^VLOOKUP(D16,'Species Codes'!B:L,11,0))*((I16*0.3048)^VLOOKUP(D16,'Species Codes'!B:M,12,0))))-(VLOOKUP(D16,'Species Codes'!B:I,8,0)*((((E16*2.54)^VLOOKUP(D16,'Species Codes'!B:L,11,0))*((I16*0.3048)^VLOOKUP(D16,'Species Codes'!B:M,12,0))))))*35.3*VLOOKUP(D16,'Species Codes'!B:G,6,0)/2.2046,VLOOKUP(D16,'Species Codes'!B:I,8,0)+VLOOKUP(D16,'Species Codes'!B:J,9,0)*(((E16*2.54)/100)^2)*(I16*0.3048)))))*0.0011023),0)</f>
        <v>#N/A</v>
      </c>
      <c r="AC16" s="104" t="e">
        <f>IF(Z16&gt;0,((IF(OR(D16="RA",D16="OA",D16="OT",D16="UN",D16="PC"),EXP(VLOOKUP(D16,'Species Codes'!B:O,14,0)+VLOOKUP(D16,'Species Codes'!B:P,15,0)*LN((E16*2.54)))-EXP(VLOOKUP(D16,'Species Codes'!B:O,14,0)+VLOOKUP(D16,'Species Codes'!B:P,15,0)*LN((E16*2.54)))*(1/(VLOOKUP(D16,'Species Codes'!B:Q,16,0)+VLOOKUP(D16,'Species Codes'!B:R,17,0)*((E16*2.54)^VLOOKUP(D16,'Species Codes'!B:S,18,0)))),IF(OR(D16="BM",D16="MD",D16="OA"),EXP(VLOOKUP(D16,'Species Codes'!B:O,14,0)+VLOOKUP(D16,'Species Codes'!B:P,15,0)*LN((E16*2.54)))*(1-(1/(VLOOKUP(D16,'Species Codes'!B:Q,16,0)+VLOOKUP(D16,'Species Codes'!B:R,17,0)*((E16*2.54)^VLOOKUP(D16,'Species Codes'!B:S,18,0)))))/1000,IF(D16="DF",EXP(VLOOKUP(D16,'Species Codes'!B:O,14,0)+VLOOKUP(D16,'Species Codes'!B:P,15,0)*LN((E16*2.54))),VLOOKUP(D16,'Species Codes'!B:O,14,0)+VLOOKUP(D16,'Species Codes'!B:P,15,0)*(((E16*2.54)/100)^2)*(I16*0.3048)))))*0.0011023),0)</f>
        <v>#N/A</v>
      </c>
      <c r="AD16" s="104" t="e">
        <f t="shared" si="10"/>
        <v>#N/A</v>
      </c>
      <c r="AE16" s="104" t="e">
        <f t="shared" si="11"/>
        <v>#N/A</v>
      </c>
      <c r="AF16" s="104" t="e">
        <f>IF(AND(VLOOKUP($D16,Merchantability!$B:$C,2,0)="Yes",$E16&gt;=VLOOKUP($D16,Merchantability!$B:$D,3,0),$E16&lt;=VLOOKUP($D16,Merchantability!$B:$E,4,0)),AA16,0)</f>
        <v>#N/A</v>
      </c>
      <c r="AG16" s="104" t="e">
        <f>IF(AND(VLOOKUP($D16,Merchantability!$B:$C,2,0)="Yes",$E16&gt;=VLOOKUP($D16,Merchantability!$B:$D,3,0),$E16&lt;=VLOOKUP($D16,Merchantability!$B:$E,4,0)),AB16,0)</f>
        <v>#N/A</v>
      </c>
      <c r="AH16" s="104" t="e">
        <f>IF(AND(VLOOKUP($D16,Merchantability!$B:$C,2,0)="Yes",$E16&gt;=VLOOKUP($D16,Merchantability!$B:$D,3,0),$E16&lt;=VLOOKUP($D16,Merchantability!$B:$E,4,0)),AC16,0)</f>
        <v>#N/A</v>
      </c>
      <c r="AI16" s="104" t="e">
        <f t="shared" si="12"/>
        <v>#N/A</v>
      </c>
      <c r="AJ16" s="104" t="e">
        <f t="shared" si="13"/>
        <v>#VALUE!</v>
      </c>
      <c r="AK16" s="104" t="e">
        <f t="shared" si="14"/>
        <v>#N/A</v>
      </c>
      <c r="AL16" s="104" t="e">
        <f t="shared" si="15"/>
        <v>#N/A</v>
      </c>
      <c r="AM16" s="104" t="e">
        <f t="shared" si="16"/>
        <v>#N/A</v>
      </c>
      <c r="AN16" s="104" t="e">
        <f t="shared" si="17"/>
        <v>#N/A</v>
      </c>
      <c r="AO16" s="104" t="e">
        <f t="shared" si="18"/>
        <v>#N/A</v>
      </c>
      <c r="AP16" s="104" t="e">
        <f t="shared" si="19"/>
        <v>#N/A</v>
      </c>
      <c r="AQ16" s="104" t="e">
        <f t="shared" si="20"/>
        <v>#N/A</v>
      </c>
      <c r="AR16" s="105" t="str">
        <f t="shared" si="21"/>
        <v/>
      </c>
      <c r="AS16" s="105" t="str">
        <f t="shared" si="22"/>
        <v/>
      </c>
      <c r="AT16" s="108" t="str">
        <f t="shared" si="23"/>
        <v/>
      </c>
      <c r="AU16" s="108" t="str">
        <f t="shared" si="24"/>
        <v/>
      </c>
      <c r="AV16" s="107" t="str">
        <f>IF(ISNUMBER(O16),IF(VLOOKUP($A16,Stand!C:J,8,FALSE)="Short",AT16,AU16),"")</f>
        <v/>
      </c>
      <c r="AW16" s="109" t="str">
        <f t="shared" si="25"/>
        <v/>
      </c>
      <c r="AX16" s="109" t="str">
        <f t="shared" si="26"/>
        <v/>
      </c>
      <c r="AY16" s="112" t="str">
        <f>IF(ISNUMBER(O16),IF(AND(VLOOKUP($D16,Merchantability!$B:$C,2,0)="Yes",$E16&gt;=VLOOKUP($D16,Merchantability!$B:$D,3,0),$E16&lt;=VLOOKUP($D16,Merchantability!$B:$E,4,0)),(AV16*O16)*(1-$H16/100),""),"")</f>
        <v/>
      </c>
      <c r="AZ16" s="115"/>
      <c r="BA16" s="116"/>
      <c r="BB16" s="116"/>
      <c r="BD16" s="61"/>
      <c r="BE16" s="62"/>
      <c r="BF16" s="63"/>
    </row>
    <row r="17" spans="1:58" ht="12.75" customHeight="1" x14ac:dyDescent="0.25">
      <c r="A17" s="313"/>
      <c r="B17" s="328"/>
      <c r="C17" s="329"/>
      <c r="D17" s="328"/>
      <c r="E17" s="330"/>
      <c r="F17" s="331"/>
      <c r="G17" s="329"/>
      <c r="H17" s="329"/>
      <c r="I17" s="328"/>
      <c r="J17" s="329"/>
      <c r="K17" s="329"/>
      <c r="L17" s="329"/>
      <c r="M17" s="76"/>
      <c r="N17" s="103" t="str">
        <f>IF(A17="","",VLOOKUP(A17,Stand!C:K,9,0))</f>
        <v/>
      </c>
      <c r="O17" s="104" t="str">
        <f t="shared" si="0"/>
        <v/>
      </c>
      <c r="P17" s="105" t="str">
        <f t="shared" si="1"/>
        <v/>
      </c>
      <c r="Q17" s="105" t="str">
        <f t="shared" si="2"/>
        <v/>
      </c>
      <c r="R17" s="103" t="str">
        <f t="shared" si="3"/>
        <v/>
      </c>
      <c r="S17" s="103" t="str">
        <f t="shared" si="4"/>
        <v/>
      </c>
      <c r="T17" s="106" t="str">
        <f t="shared" si="5"/>
        <v/>
      </c>
      <c r="U17" s="106" t="str">
        <f t="shared" si="6"/>
        <v/>
      </c>
      <c r="V17" s="106" t="str">
        <f t="shared" si="7"/>
        <v/>
      </c>
      <c r="W17" s="105" t="str">
        <f t="shared" si="8"/>
        <v/>
      </c>
      <c r="X17" s="104" t="str">
        <f t="shared" si="9"/>
        <v/>
      </c>
      <c r="Y17" s="104" t="str">
        <f t="array" ref="Y17">IFERROR(IF(ISNUMBER(O17),IF(COUNT(IF(A17=$A$2:$A$2427,IF(D17=$D$2:$D$2427,IF($X$2:$X$2427&gt;0,1))))&gt;0,SUM(IF(A17=$A$2:$A$2427,IF(D17=$D$2:$D$2427,$X$2:$X$2427)))/COUNT(IF(A17=$A$2:$A$2427,IF(D17=$D$2:$D$2427,IF(ISNUMBER($X$2:$X$2427),1)))),0),""),0)</f>
        <v/>
      </c>
      <c r="Z17" s="104" t="str">
        <f>IF(ISNUMBER(O17),IF(I17&gt;0,(10^(VLOOKUP(D17,'Species Codes'!B:C,2,0)+VLOOKUP(D17,'Species Codes'!B:D,3,0)*LOG(E17)+VLOOKUP(D17,'Species Codes'!B:E,4,0)*LOG(I17))),0),"")</f>
        <v/>
      </c>
      <c r="AA17" s="104" t="str">
        <f>IFERROR((VLOOKUP(D17,'Species Codes'!B:G,6,0)*Z17)/2000,"")</f>
        <v/>
      </c>
      <c r="AB17" s="104" t="e">
        <f>IF(Z17&gt;0,((IF(OR(D17="DF",D17="RA")=TRUE,EXP(VLOOKUP(D17,'Species Codes'!B:I,8,0)+VLOOKUP(D17,'Species Codes'!B:J,9,0)*(LN((E17*2.54)))),IF(OR(D17="PY",D17="RC",D17="WH",D17="NF")=TRUE,VLOOKUP(D17,'Species Codes'!B:I,8,0)+VLOOKUP(D17,'Species Codes'!B:J,9,0)*((E17*2.54)^2)*(I17*0.3048),IF(OR(D17="MD",D17="BM",D17="GA")=TRUE,((VLOOKUP(D17,'Species Codes'!B:I,8,0)*(((((E17*2.54)+VLOOKUP(D17,'Species Codes'!B:J,9,0))/VLOOKUP(D17,'Species Codes'!B:K,10,0))^VLOOKUP(D17,'Species Codes'!B:L,11,0))*((I17*0.3048)^VLOOKUP(D17,'Species Codes'!B:M,12,0))))-(VLOOKUP(D17,'Species Codes'!B:I,8,0)*((((E17*2.54)^VLOOKUP(D17,'Species Codes'!B:L,11,0))*((I17*0.3048)^VLOOKUP(D17,'Species Codes'!B:M,12,0))))))*35.3*VLOOKUP(D17,'Species Codes'!B:G,6,0)/2.2046,VLOOKUP(D17,'Species Codes'!B:I,8,0)+VLOOKUP(D17,'Species Codes'!B:J,9,0)*(((E17*2.54)/100)^2)*(I17*0.3048)))))*0.0011023),0)</f>
        <v>#N/A</v>
      </c>
      <c r="AC17" s="104" t="e">
        <f>IF(Z17&gt;0,((IF(OR(D17="RA",D17="OA",D17="OT",D17="UN",D17="PC"),EXP(VLOOKUP(D17,'Species Codes'!B:O,14,0)+VLOOKUP(D17,'Species Codes'!B:P,15,0)*LN((E17*2.54)))-EXP(VLOOKUP(D17,'Species Codes'!B:O,14,0)+VLOOKUP(D17,'Species Codes'!B:P,15,0)*LN((E17*2.54)))*(1/(VLOOKUP(D17,'Species Codes'!B:Q,16,0)+VLOOKUP(D17,'Species Codes'!B:R,17,0)*((E17*2.54)^VLOOKUP(D17,'Species Codes'!B:S,18,0)))),IF(OR(D17="BM",D17="MD",D17="OA"),EXP(VLOOKUP(D17,'Species Codes'!B:O,14,0)+VLOOKUP(D17,'Species Codes'!B:P,15,0)*LN((E17*2.54)))*(1-(1/(VLOOKUP(D17,'Species Codes'!B:Q,16,0)+VLOOKUP(D17,'Species Codes'!B:R,17,0)*((E17*2.54)^VLOOKUP(D17,'Species Codes'!B:S,18,0)))))/1000,IF(D17="DF",EXP(VLOOKUP(D17,'Species Codes'!B:O,14,0)+VLOOKUP(D17,'Species Codes'!B:P,15,0)*LN((E17*2.54))),VLOOKUP(D17,'Species Codes'!B:O,14,0)+VLOOKUP(D17,'Species Codes'!B:P,15,0)*(((E17*2.54)/100)^2)*(I17*0.3048)))))*0.0011023),0)</f>
        <v>#N/A</v>
      </c>
      <c r="AD17" s="104" t="e">
        <f t="shared" si="10"/>
        <v>#N/A</v>
      </c>
      <c r="AE17" s="104" t="e">
        <f t="shared" si="11"/>
        <v>#N/A</v>
      </c>
      <c r="AF17" s="104" t="e">
        <f>IF(AND(VLOOKUP($D17,Merchantability!$B:$C,2,0)="Yes",$E17&gt;=VLOOKUP($D17,Merchantability!$B:$D,3,0),$E17&lt;=VLOOKUP($D17,Merchantability!$B:$E,4,0)),AA17,0)</f>
        <v>#N/A</v>
      </c>
      <c r="AG17" s="104" t="e">
        <f>IF(AND(VLOOKUP($D17,Merchantability!$B:$C,2,0)="Yes",$E17&gt;=VLOOKUP($D17,Merchantability!$B:$D,3,0),$E17&lt;=VLOOKUP($D17,Merchantability!$B:$E,4,0)),AB17,0)</f>
        <v>#N/A</v>
      </c>
      <c r="AH17" s="104" t="e">
        <f>IF(AND(VLOOKUP($D17,Merchantability!$B:$C,2,0)="Yes",$E17&gt;=VLOOKUP($D17,Merchantability!$B:$D,3,0),$E17&lt;=VLOOKUP($D17,Merchantability!$B:$E,4,0)),AC17,0)</f>
        <v>#N/A</v>
      </c>
      <c r="AI17" s="104" t="e">
        <f t="shared" si="12"/>
        <v>#N/A</v>
      </c>
      <c r="AJ17" s="104" t="e">
        <f t="shared" si="13"/>
        <v>#VALUE!</v>
      </c>
      <c r="AK17" s="104" t="e">
        <f t="shared" si="14"/>
        <v>#N/A</v>
      </c>
      <c r="AL17" s="104" t="e">
        <f t="shared" si="15"/>
        <v>#N/A</v>
      </c>
      <c r="AM17" s="104" t="e">
        <f t="shared" si="16"/>
        <v>#N/A</v>
      </c>
      <c r="AN17" s="104" t="e">
        <f t="shared" si="17"/>
        <v>#N/A</v>
      </c>
      <c r="AO17" s="104" t="e">
        <f t="shared" si="18"/>
        <v>#N/A</v>
      </c>
      <c r="AP17" s="104" t="e">
        <f t="shared" si="19"/>
        <v>#N/A</v>
      </c>
      <c r="AQ17" s="104" t="e">
        <f t="shared" si="20"/>
        <v>#N/A</v>
      </c>
      <c r="AR17" s="105" t="str">
        <f t="shared" si="21"/>
        <v/>
      </c>
      <c r="AS17" s="105" t="str">
        <f t="shared" si="22"/>
        <v/>
      </c>
      <c r="AT17" s="108" t="str">
        <f t="shared" si="23"/>
        <v/>
      </c>
      <c r="AU17" s="108" t="str">
        <f t="shared" si="24"/>
        <v/>
      </c>
      <c r="AV17" s="107" t="str">
        <f>IF(ISNUMBER(O17),IF(VLOOKUP($A17,Stand!C:J,8,FALSE)="Short",AT17,AU17),"")</f>
        <v/>
      </c>
      <c r="AW17" s="109" t="str">
        <f t="shared" si="25"/>
        <v/>
      </c>
      <c r="AX17" s="109" t="str">
        <f t="shared" si="26"/>
        <v/>
      </c>
      <c r="AY17" s="112" t="str">
        <f>IF(ISNUMBER(O17),IF(AND(VLOOKUP($D17,Merchantability!$B:$C,2,0)="Yes",$E17&gt;=VLOOKUP($D17,Merchantability!$B:$D,3,0),$E17&lt;=VLOOKUP($D17,Merchantability!$B:$E,4,0)),(AV17*O17)*(1-$H17/100),""),"")</f>
        <v/>
      </c>
      <c r="AZ17" s="115"/>
      <c r="BA17" s="116"/>
      <c r="BB17" s="116"/>
      <c r="BD17" s="61"/>
      <c r="BE17" s="62"/>
      <c r="BF17" s="63"/>
    </row>
    <row r="18" spans="1:58" ht="12.75" customHeight="1" x14ac:dyDescent="0.25">
      <c r="A18" s="313"/>
      <c r="B18" s="328"/>
      <c r="C18" s="329"/>
      <c r="D18" s="328"/>
      <c r="E18" s="330"/>
      <c r="F18" s="331"/>
      <c r="G18" s="329"/>
      <c r="H18" s="329"/>
      <c r="I18" s="328"/>
      <c r="J18" s="329"/>
      <c r="K18" s="329"/>
      <c r="L18" s="329"/>
      <c r="M18" s="76"/>
      <c r="N18" s="103" t="str">
        <f>IF(A18="","",VLOOKUP(A18,Stand!C:K,9,0))</f>
        <v/>
      </c>
      <c r="O18" s="104" t="str">
        <f t="shared" si="0"/>
        <v/>
      </c>
      <c r="P18" s="105" t="str">
        <f t="shared" si="1"/>
        <v/>
      </c>
      <c r="Q18" s="105" t="str">
        <f t="shared" si="2"/>
        <v/>
      </c>
      <c r="R18" s="103" t="str">
        <f t="shared" si="3"/>
        <v/>
      </c>
      <c r="S18" s="103" t="str">
        <f t="shared" si="4"/>
        <v/>
      </c>
      <c r="T18" s="106" t="str">
        <f t="shared" si="5"/>
        <v/>
      </c>
      <c r="U18" s="106" t="str">
        <f t="shared" si="6"/>
        <v/>
      </c>
      <c r="V18" s="106" t="str">
        <f t="shared" si="7"/>
        <v/>
      </c>
      <c r="W18" s="105" t="str">
        <f t="shared" si="8"/>
        <v/>
      </c>
      <c r="X18" s="104" t="str">
        <f t="shared" si="9"/>
        <v/>
      </c>
      <c r="Y18" s="104" t="str">
        <f t="array" ref="Y18">IFERROR(IF(ISNUMBER(O18),IF(COUNT(IF(A18=$A$2:$A$2427,IF(D18=$D$2:$D$2427,IF($X$2:$X$2427&gt;0,1))))&gt;0,SUM(IF(A18=$A$2:$A$2427,IF(D18=$D$2:$D$2427,$X$2:$X$2427)))/COUNT(IF(A18=$A$2:$A$2427,IF(D18=$D$2:$D$2427,IF(ISNUMBER($X$2:$X$2427),1)))),0),""),0)</f>
        <v/>
      </c>
      <c r="Z18" s="104" t="str">
        <f>IF(ISNUMBER(O18),IF(I18&gt;0,(10^(VLOOKUP(D18,'Species Codes'!B:C,2,0)+VLOOKUP(D18,'Species Codes'!B:D,3,0)*LOG(E18)+VLOOKUP(D18,'Species Codes'!B:E,4,0)*LOG(I18))),0),"")</f>
        <v/>
      </c>
      <c r="AA18" s="104" t="str">
        <f>IFERROR((VLOOKUP(D18,'Species Codes'!B:G,6,0)*Z18)/2000,"")</f>
        <v/>
      </c>
      <c r="AB18" s="104" t="e">
        <f>IF(Z18&gt;0,((IF(OR(D18="DF",D18="RA")=TRUE,EXP(VLOOKUP(D18,'Species Codes'!B:I,8,0)+VLOOKUP(D18,'Species Codes'!B:J,9,0)*(LN((E18*2.54)))),IF(OR(D18="PY",D18="RC",D18="WH",D18="NF")=TRUE,VLOOKUP(D18,'Species Codes'!B:I,8,0)+VLOOKUP(D18,'Species Codes'!B:J,9,0)*((E18*2.54)^2)*(I18*0.3048),IF(OR(D18="MD",D18="BM",D18="GA")=TRUE,((VLOOKUP(D18,'Species Codes'!B:I,8,0)*(((((E18*2.54)+VLOOKUP(D18,'Species Codes'!B:J,9,0))/VLOOKUP(D18,'Species Codes'!B:K,10,0))^VLOOKUP(D18,'Species Codes'!B:L,11,0))*((I18*0.3048)^VLOOKUP(D18,'Species Codes'!B:M,12,0))))-(VLOOKUP(D18,'Species Codes'!B:I,8,0)*((((E18*2.54)^VLOOKUP(D18,'Species Codes'!B:L,11,0))*((I18*0.3048)^VLOOKUP(D18,'Species Codes'!B:M,12,0))))))*35.3*VLOOKUP(D18,'Species Codes'!B:G,6,0)/2.2046,VLOOKUP(D18,'Species Codes'!B:I,8,0)+VLOOKUP(D18,'Species Codes'!B:J,9,0)*(((E18*2.54)/100)^2)*(I18*0.3048)))))*0.0011023),0)</f>
        <v>#N/A</v>
      </c>
      <c r="AC18" s="104" t="e">
        <f>IF(Z18&gt;0,((IF(OR(D18="RA",D18="OA",D18="OT",D18="UN",D18="PC"),EXP(VLOOKUP(D18,'Species Codes'!B:O,14,0)+VLOOKUP(D18,'Species Codes'!B:P,15,0)*LN((E18*2.54)))-EXP(VLOOKUP(D18,'Species Codes'!B:O,14,0)+VLOOKUP(D18,'Species Codes'!B:P,15,0)*LN((E18*2.54)))*(1/(VLOOKUP(D18,'Species Codes'!B:Q,16,0)+VLOOKUP(D18,'Species Codes'!B:R,17,0)*((E18*2.54)^VLOOKUP(D18,'Species Codes'!B:S,18,0)))),IF(OR(D18="BM",D18="MD",D18="OA"),EXP(VLOOKUP(D18,'Species Codes'!B:O,14,0)+VLOOKUP(D18,'Species Codes'!B:P,15,0)*LN((E18*2.54)))*(1-(1/(VLOOKUP(D18,'Species Codes'!B:Q,16,0)+VLOOKUP(D18,'Species Codes'!B:R,17,0)*((E18*2.54)^VLOOKUP(D18,'Species Codes'!B:S,18,0)))))/1000,IF(D18="DF",EXP(VLOOKUP(D18,'Species Codes'!B:O,14,0)+VLOOKUP(D18,'Species Codes'!B:P,15,0)*LN((E18*2.54))),VLOOKUP(D18,'Species Codes'!B:O,14,0)+VLOOKUP(D18,'Species Codes'!B:P,15,0)*(((E18*2.54)/100)^2)*(I18*0.3048)))))*0.0011023),0)</f>
        <v>#N/A</v>
      </c>
      <c r="AD18" s="104" t="e">
        <f t="shared" si="10"/>
        <v>#N/A</v>
      </c>
      <c r="AE18" s="104" t="e">
        <f t="shared" si="11"/>
        <v>#N/A</v>
      </c>
      <c r="AF18" s="104" t="e">
        <f>IF(AND(VLOOKUP($D18,Merchantability!$B:$C,2,0)="Yes",$E18&gt;=VLOOKUP($D18,Merchantability!$B:$D,3,0),$E18&lt;=VLOOKUP($D18,Merchantability!$B:$E,4,0)),AA18,0)</f>
        <v>#N/A</v>
      </c>
      <c r="AG18" s="104" t="e">
        <f>IF(AND(VLOOKUP($D18,Merchantability!$B:$C,2,0)="Yes",$E18&gt;=VLOOKUP($D18,Merchantability!$B:$D,3,0),$E18&lt;=VLOOKUP($D18,Merchantability!$B:$E,4,0)),AB18,0)</f>
        <v>#N/A</v>
      </c>
      <c r="AH18" s="104" t="e">
        <f>IF(AND(VLOOKUP($D18,Merchantability!$B:$C,2,0)="Yes",$E18&gt;=VLOOKUP($D18,Merchantability!$B:$D,3,0),$E18&lt;=VLOOKUP($D18,Merchantability!$B:$E,4,0)),AC18,0)</f>
        <v>#N/A</v>
      </c>
      <c r="AI18" s="104" t="e">
        <f t="shared" si="12"/>
        <v>#N/A</v>
      </c>
      <c r="AJ18" s="104" t="e">
        <f t="shared" si="13"/>
        <v>#VALUE!</v>
      </c>
      <c r="AK18" s="104" t="e">
        <f t="shared" si="14"/>
        <v>#N/A</v>
      </c>
      <c r="AL18" s="104" t="e">
        <f t="shared" si="15"/>
        <v>#N/A</v>
      </c>
      <c r="AM18" s="104" t="e">
        <f t="shared" si="16"/>
        <v>#N/A</v>
      </c>
      <c r="AN18" s="104" t="e">
        <f t="shared" si="17"/>
        <v>#N/A</v>
      </c>
      <c r="AO18" s="104" t="e">
        <f t="shared" si="18"/>
        <v>#N/A</v>
      </c>
      <c r="AP18" s="104" t="e">
        <f t="shared" si="19"/>
        <v>#N/A</v>
      </c>
      <c r="AQ18" s="104" t="e">
        <f t="shared" si="20"/>
        <v>#N/A</v>
      </c>
      <c r="AR18" s="105" t="str">
        <f t="shared" si="21"/>
        <v/>
      </c>
      <c r="AS18" s="105" t="str">
        <f t="shared" si="22"/>
        <v/>
      </c>
      <c r="AT18" s="108" t="str">
        <f t="shared" si="23"/>
        <v/>
      </c>
      <c r="AU18" s="108" t="str">
        <f t="shared" si="24"/>
        <v/>
      </c>
      <c r="AV18" s="107" t="str">
        <f>IF(ISNUMBER(O18),IF(VLOOKUP($A18,Stand!C:J,8,FALSE)="Short",AT18,AU18),"")</f>
        <v/>
      </c>
      <c r="AW18" s="109" t="str">
        <f t="shared" si="25"/>
        <v/>
      </c>
      <c r="AX18" s="109" t="str">
        <f t="shared" si="26"/>
        <v/>
      </c>
      <c r="AY18" s="112" t="str">
        <f>IF(ISNUMBER(O18),IF(AND(VLOOKUP($D18,Merchantability!$B:$C,2,0)="Yes",$E18&gt;=VLOOKUP($D18,Merchantability!$B:$D,3,0),$E18&lt;=VLOOKUP($D18,Merchantability!$B:$E,4,0)),(AV18*O18)*(1-$H18/100),""),"")</f>
        <v/>
      </c>
      <c r="AZ18" s="115"/>
      <c r="BA18" s="116"/>
      <c r="BB18" s="116"/>
      <c r="BD18" s="61"/>
      <c r="BE18" s="62"/>
      <c r="BF18" s="63"/>
    </row>
    <row r="19" spans="1:58" ht="12.75" customHeight="1" x14ac:dyDescent="0.25">
      <c r="A19" s="313"/>
      <c r="B19" s="328"/>
      <c r="C19" s="329"/>
      <c r="D19" s="328"/>
      <c r="E19" s="330"/>
      <c r="F19" s="331"/>
      <c r="G19" s="329"/>
      <c r="H19" s="329"/>
      <c r="I19" s="328"/>
      <c r="J19" s="329"/>
      <c r="K19" s="329"/>
      <c r="L19" s="329"/>
      <c r="M19" s="76"/>
      <c r="N19" s="103" t="str">
        <f>IF(A19="","",VLOOKUP(A19,Stand!C:K,9,0))</f>
        <v/>
      </c>
      <c r="O19" s="104" t="str">
        <f t="shared" si="0"/>
        <v/>
      </c>
      <c r="P19" s="105" t="str">
        <f t="shared" si="1"/>
        <v/>
      </c>
      <c r="Q19" s="105" t="str">
        <f t="shared" si="2"/>
        <v/>
      </c>
      <c r="R19" s="103" t="str">
        <f t="shared" si="3"/>
        <v/>
      </c>
      <c r="S19" s="103" t="str">
        <f t="shared" si="4"/>
        <v/>
      </c>
      <c r="T19" s="106" t="str">
        <f t="shared" si="5"/>
        <v/>
      </c>
      <c r="U19" s="106" t="str">
        <f t="shared" si="6"/>
        <v/>
      </c>
      <c r="V19" s="106" t="str">
        <f t="shared" si="7"/>
        <v/>
      </c>
      <c r="W19" s="105" t="str">
        <f t="shared" si="8"/>
        <v/>
      </c>
      <c r="X19" s="104" t="str">
        <f t="shared" si="9"/>
        <v/>
      </c>
      <c r="Y19" s="104" t="str">
        <f t="array" ref="Y19">IFERROR(IF(ISNUMBER(O19),IF(COUNT(IF(A19=$A$2:$A$2427,IF(D19=$D$2:$D$2427,IF($X$2:$X$2427&gt;0,1))))&gt;0,SUM(IF(A19=$A$2:$A$2427,IF(D19=$D$2:$D$2427,$X$2:$X$2427)))/COUNT(IF(A19=$A$2:$A$2427,IF(D19=$D$2:$D$2427,IF(ISNUMBER($X$2:$X$2427),1)))),0),""),0)</f>
        <v/>
      </c>
      <c r="Z19" s="104" t="str">
        <f>IF(ISNUMBER(O19),IF(I19&gt;0,(10^(VLOOKUP(D19,'Species Codes'!B:C,2,0)+VLOOKUP(D19,'Species Codes'!B:D,3,0)*LOG(E19)+VLOOKUP(D19,'Species Codes'!B:E,4,0)*LOG(I19))),0),"")</f>
        <v/>
      </c>
      <c r="AA19" s="104" t="str">
        <f>IFERROR((VLOOKUP(D19,'Species Codes'!B:G,6,0)*Z19)/2000,"")</f>
        <v/>
      </c>
      <c r="AB19" s="104" t="e">
        <f>IF(Z19&gt;0,((IF(OR(D19="DF",D19="RA")=TRUE,EXP(VLOOKUP(D19,'Species Codes'!B:I,8,0)+VLOOKUP(D19,'Species Codes'!B:J,9,0)*(LN((E19*2.54)))),IF(OR(D19="PY",D19="RC",D19="WH",D19="NF")=TRUE,VLOOKUP(D19,'Species Codes'!B:I,8,0)+VLOOKUP(D19,'Species Codes'!B:J,9,0)*((E19*2.54)^2)*(I19*0.3048),IF(OR(D19="MD",D19="BM",D19="GA")=TRUE,((VLOOKUP(D19,'Species Codes'!B:I,8,0)*(((((E19*2.54)+VLOOKUP(D19,'Species Codes'!B:J,9,0))/VLOOKUP(D19,'Species Codes'!B:K,10,0))^VLOOKUP(D19,'Species Codes'!B:L,11,0))*((I19*0.3048)^VLOOKUP(D19,'Species Codes'!B:M,12,0))))-(VLOOKUP(D19,'Species Codes'!B:I,8,0)*((((E19*2.54)^VLOOKUP(D19,'Species Codes'!B:L,11,0))*((I19*0.3048)^VLOOKUP(D19,'Species Codes'!B:M,12,0))))))*35.3*VLOOKUP(D19,'Species Codes'!B:G,6,0)/2.2046,VLOOKUP(D19,'Species Codes'!B:I,8,0)+VLOOKUP(D19,'Species Codes'!B:J,9,0)*(((E19*2.54)/100)^2)*(I19*0.3048)))))*0.0011023),0)</f>
        <v>#N/A</v>
      </c>
      <c r="AC19" s="104" t="e">
        <f>IF(Z19&gt;0,((IF(OR(D19="RA",D19="OA",D19="OT",D19="UN",D19="PC"),EXP(VLOOKUP(D19,'Species Codes'!B:O,14,0)+VLOOKUP(D19,'Species Codes'!B:P,15,0)*LN((E19*2.54)))-EXP(VLOOKUP(D19,'Species Codes'!B:O,14,0)+VLOOKUP(D19,'Species Codes'!B:P,15,0)*LN((E19*2.54)))*(1/(VLOOKUP(D19,'Species Codes'!B:Q,16,0)+VLOOKUP(D19,'Species Codes'!B:R,17,0)*((E19*2.54)^VLOOKUP(D19,'Species Codes'!B:S,18,0)))),IF(OR(D19="BM",D19="MD",D19="OA"),EXP(VLOOKUP(D19,'Species Codes'!B:O,14,0)+VLOOKUP(D19,'Species Codes'!B:P,15,0)*LN((E19*2.54)))*(1-(1/(VLOOKUP(D19,'Species Codes'!B:Q,16,0)+VLOOKUP(D19,'Species Codes'!B:R,17,0)*((E19*2.54)^VLOOKUP(D19,'Species Codes'!B:S,18,0)))))/1000,IF(D19="DF",EXP(VLOOKUP(D19,'Species Codes'!B:O,14,0)+VLOOKUP(D19,'Species Codes'!B:P,15,0)*LN((E19*2.54))),VLOOKUP(D19,'Species Codes'!B:O,14,0)+VLOOKUP(D19,'Species Codes'!B:P,15,0)*(((E19*2.54)/100)^2)*(I19*0.3048)))))*0.0011023),0)</f>
        <v>#N/A</v>
      </c>
      <c r="AD19" s="104" t="e">
        <f t="shared" si="10"/>
        <v>#N/A</v>
      </c>
      <c r="AE19" s="104" t="e">
        <f t="shared" si="11"/>
        <v>#N/A</v>
      </c>
      <c r="AF19" s="104" t="e">
        <f>IF(AND(VLOOKUP($D19,Merchantability!$B:$C,2,0)="Yes",$E19&gt;=VLOOKUP($D19,Merchantability!$B:$D,3,0),$E19&lt;=VLOOKUP($D19,Merchantability!$B:$E,4,0)),AA19,0)</f>
        <v>#N/A</v>
      </c>
      <c r="AG19" s="104" t="e">
        <f>IF(AND(VLOOKUP($D19,Merchantability!$B:$C,2,0)="Yes",$E19&gt;=VLOOKUP($D19,Merchantability!$B:$D,3,0),$E19&lt;=VLOOKUP($D19,Merchantability!$B:$E,4,0)),AB19,0)</f>
        <v>#N/A</v>
      </c>
      <c r="AH19" s="104" t="e">
        <f>IF(AND(VLOOKUP($D19,Merchantability!$B:$C,2,0)="Yes",$E19&gt;=VLOOKUP($D19,Merchantability!$B:$D,3,0),$E19&lt;=VLOOKUP($D19,Merchantability!$B:$E,4,0)),AC19,0)</f>
        <v>#N/A</v>
      </c>
      <c r="AI19" s="104" t="e">
        <f t="shared" si="12"/>
        <v>#N/A</v>
      </c>
      <c r="AJ19" s="104" t="e">
        <f t="shared" si="13"/>
        <v>#VALUE!</v>
      </c>
      <c r="AK19" s="104" t="e">
        <f t="shared" si="14"/>
        <v>#N/A</v>
      </c>
      <c r="AL19" s="104" t="e">
        <f t="shared" si="15"/>
        <v>#N/A</v>
      </c>
      <c r="AM19" s="104" t="e">
        <f t="shared" si="16"/>
        <v>#N/A</v>
      </c>
      <c r="AN19" s="104" t="e">
        <f t="shared" si="17"/>
        <v>#N/A</v>
      </c>
      <c r="AO19" s="104" t="e">
        <f t="shared" si="18"/>
        <v>#N/A</v>
      </c>
      <c r="AP19" s="104" t="e">
        <f t="shared" si="19"/>
        <v>#N/A</v>
      </c>
      <c r="AQ19" s="104" t="e">
        <f t="shared" si="20"/>
        <v>#N/A</v>
      </c>
      <c r="AR19" s="105" t="str">
        <f t="shared" si="21"/>
        <v/>
      </c>
      <c r="AS19" s="105" t="str">
        <f t="shared" si="22"/>
        <v/>
      </c>
      <c r="AT19" s="108" t="str">
        <f t="shared" si="23"/>
        <v/>
      </c>
      <c r="AU19" s="108" t="str">
        <f t="shared" si="24"/>
        <v/>
      </c>
      <c r="AV19" s="107" t="str">
        <f>IF(ISNUMBER(O19),IF(VLOOKUP($A19,Stand!C:J,8,FALSE)="Short",AT19,AU19),"")</f>
        <v/>
      </c>
      <c r="AW19" s="109" t="str">
        <f t="shared" si="25"/>
        <v/>
      </c>
      <c r="AX19" s="109" t="str">
        <f t="shared" si="26"/>
        <v/>
      </c>
      <c r="AY19" s="112" t="str">
        <f>IF(ISNUMBER(O19),IF(AND(VLOOKUP($D19,Merchantability!$B:$C,2,0)="Yes",$E19&gt;=VLOOKUP($D19,Merchantability!$B:$D,3,0),$E19&lt;=VLOOKUP($D19,Merchantability!$B:$E,4,0)),(AV19*O19)*(1-$H19/100),""),"")</f>
        <v/>
      </c>
      <c r="AZ19" s="115"/>
      <c r="BA19" s="116"/>
      <c r="BB19" s="116"/>
      <c r="BD19" s="61"/>
      <c r="BE19" s="62"/>
      <c r="BF19" s="63"/>
    </row>
    <row r="20" spans="1:58" ht="12.75" customHeight="1" x14ac:dyDescent="0.25">
      <c r="A20" s="313"/>
      <c r="B20" s="328"/>
      <c r="C20" s="329"/>
      <c r="D20" s="328"/>
      <c r="E20" s="330"/>
      <c r="F20" s="331"/>
      <c r="G20" s="329"/>
      <c r="H20" s="329"/>
      <c r="I20" s="328"/>
      <c r="J20" s="329"/>
      <c r="K20" s="329"/>
      <c r="L20" s="329"/>
      <c r="M20" s="76"/>
      <c r="N20" s="103" t="str">
        <f>IF(A20="","",VLOOKUP(A20,Stand!C:K,9,0))</f>
        <v/>
      </c>
      <c r="O20" s="104" t="str">
        <f t="shared" si="0"/>
        <v/>
      </c>
      <c r="P20" s="105" t="str">
        <f t="shared" si="1"/>
        <v/>
      </c>
      <c r="Q20" s="105" t="str">
        <f t="shared" si="2"/>
        <v/>
      </c>
      <c r="R20" s="103" t="str">
        <f t="shared" si="3"/>
        <v/>
      </c>
      <c r="S20" s="103" t="str">
        <f t="shared" si="4"/>
        <v/>
      </c>
      <c r="T20" s="106" t="str">
        <f t="shared" si="5"/>
        <v/>
      </c>
      <c r="U20" s="106" t="str">
        <f t="shared" si="6"/>
        <v/>
      </c>
      <c r="V20" s="106" t="str">
        <f t="shared" si="7"/>
        <v/>
      </c>
      <c r="W20" s="105" t="str">
        <f t="shared" si="8"/>
        <v/>
      </c>
      <c r="X20" s="104" t="str">
        <f t="shared" si="9"/>
        <v/>
      </c>
      <c r="Y20" s="104" t="str">
        <f t="array" ref="Y20">IFERROR(IF(ISNUMBER(O20),IF(COUNT(IF(A20=$A$2:$A$2427,IF(D20=$D$2:$D$2427,IF($X$2:$X$2427&gt;0,1))))&gt;0,SUM(IF(A20=$A$2:$A$2427,IF(D20=$D$2:$D$2427,$X$2:$X$2427)))/COUNT(IF(A20=$A$2:$A$2427,IF(D20=$D$2:$D$2427,IF(ISNUMBER($X$2:$X$2427),1)))),0),""),0)</f>
        <v/>
      </c>
      <c r="Z20" s="104" t="str">
        <f>IF(ISNUMBER(O20),IF(I20&gt;0,(10^(VLOOKUP(D20,'Species Codes'!B:C,2,0)+VLOOKUP(D20,'Species Codes'!B:D,3,0)*LOG(E20)+VLOOKUP(D20,'Species Codes'!B:E,4,0)*LOG(I20))),0),"")</f>
        <v/>
      </c>
      <c r="AA20" s="104" t="str">
        <f>IFERROR((VLOOKUP(D20,'Species Codes'!B:G,6,0)*Z20)/2000,"")</f>
        <v/>
      </c>
      <c r="AB20" s="104" t="e">
        <f>IF(Z20&gt;0,((IF(OR(D20="DF",D20="RA")=TRUE,EXP(VLOOKUP(D20,'Species Codes'!B:I,8,0)+VLOOKUP(D20,'Species Codes'!B:J,9,0)*(LN((E20*2.54)))),IF(OR(D20="PY",D20="RC",D20="WH",D20="NF")=TRUE,VLOOKUP(D20,'Species Codes'!B:I,8,0)+VLOOKUP(D20,'Species Codes'!B:J,9,0)*((E20*2.54)^2)*(I20*0.3048),IF(OR(D20="MD",D20="BM",D20="GA")=TRUE,((VLOOKUP(D20,'Species Codes'!B:I,8,0)*(((((E20*2.54)+VLOOKUP(D20,'Species Codes'!B:J,9,0))/VLOOKUP(D20,'Species Codes'!B:K,10,0))^VLOOKUP(D20,'Species Codes'!B:L,11,0))*((I20*0.3048)^VLOOKUP(D20,'Species Codes'!B:M,12,0))))-(VLOOKUP(D20,'Species Codes'!B:I,8,0)*((((E20*2.54)^VLOOKUP(D20,'Species Codes'!B:L,11,0))*((I20*0.3048)^VLOOKUP(D20,'Species Codes'!B:M,12,0))))))*35.3*VLOOKUP(D20,'Species Codes'!B:G,6,0)/2.2046,VLOOKUP(D20,'Species Codes'!B:I,8,0)+VLOOKUP(D20,'Species Codes'!B:J,9,0)*(((E20*2.54)/100)^2)*(I20*0.3048)))))*0.0011023),0)</f>
        <v>#N/A</v>
      </c>
      <c r="AC20" s="104" t="e">
        <f>IF(Z20&gt;0,((IF(OR(D20="RA",D20="OA",D20="OT",D20="UN",D20="PC"),EXP(VLOOKUP(D20,'Species Codes'!B:O,14,0)+VLOOKUP(D20,'Species Codes'!B:P,15,0)*LN((E20*2.54)))-EXP(VLOOKUP(D20,'Species Codes'!B:O,14,0)+VLOOKUP(D20,'Species Codes'!B:P,15,0)*LN((E20*2.54)))*(1/(VLOOKUP(D20,'Species Codes'!B:Q,16,0)+VLOOKUP(D20,'Species Codes'!B:R,17,0)*((E20*2.54)^VLOOKUP(D20,'Species Codes'!B:S,18,0)))),IF(OR(D20="BM",D20="MD",D20="OA"),EXP(VLOOKUP(D20,'Species Codes'!B:O,14,0)+VLOOKUP(D20,'Species Codes'!B:P,15,0)*LN((E20*2.54)))*(1-(1/(VLOOKUP(D20,'Species Codes'!B:Q,16,0)+VLOOKUP(D20,'Species Codes'!B:R,17,0)*((E20*2.54)^VLOOKUP(D20,'Species Codes'!B:S,18,0)))))/1000,IF(D20="DF",EXP(VLOOKUP(D20,'Species Codes'!B:O,14,0)+VLOOKUP(D20,'Species Codes'!B:P,15,0)*LN((E20*2.54))),VLOOKUP(D20,'Species Codes'!B:O,14,0)+VLOOKUP(D20,'Species Codes'!B:P,15,0)*(((E20*2.54)/100)^2)*(I20*0.3048)))))*0.0011023),0)</f>
        <v>#N/A</v>
      </c>
      <c r="AD20" s="104" t="e">
        <f t="shared" si="10"/>
        <v>#N/A</v>
      </c>
      <c r="AE20" s="104" t="e">
        <f t="shared" si="11"/>
        <v>#N/A</v>
      </c>
      <c r="AF20" s="104" t="e">
        <f>IF(AND(VLOOKUP($D20,Merchantability!$B:$C,2,0)="Yes",$E20&gt;=VLOOKUP($D20,Merchantability!$B:$D,3,0),$E20&lt;=VLOOKUP($D20,Merchantability!$B:$E,4,0)),AA20,0)</f>
        <v>#N/A</v>
      </c>
      <c r="AG20" s="104" t="e">
        <f>IF(AND(VLOOKUP($D20,Merchantability!$B:$C,2,0)="Yes",$E20&gt;=VLOOKUP($D20,Merchantability!$B:$D,3,0),$E20&lt;=VLOOKUP($D20,Merchantability!$B:$E,4,0)),AB20,0)</f>
        <v>#N/A</v>
      </c>
      <c r="AH20" s="104" t="e">
        <f>IF(AND(VLOOKUP($D20,Merchantability!$B:$C,2,0)="Yes",$E20&gt;=VLOOKUP($D20,Merchantability!$B:$D,3,0),$E20&lt;=VLOOKUP($D20,Merchantability!$B:$E,4,0)),AC20,0)</f>
        <v>#N/A</v>
      </c>
      <c r="AI20" s="104" t="e">
        <f t="shared" si="12"/>
        <v>#N/A</v>
      </c>
      <c r="AJ20" s="104" t="e">
        <f t="shared" si="13"/>
        <v>#VALUE!</v>
      </c>
      <c r="AK20" s="104" t="e">
        <f t="shared" si="14"/>
        <v>#N/A</v>
      </c>
      <c r="AL20" s="104" t="e">
        <f t="shared" si="15"/>
        <v>#N/A</v>
      </c>
      <c r="AM20" s="104" t="e">
        <f t="shared" si="16"/>
        <v>#N/A</v>
      </c>
      <c r="AN20" s="104" t="e">
        <f t="shared" si="17"/>
        <v>#N/A</v>
      </c>
      <c r="AO20" s="104" t="e">
        <f t="shared" si="18"/>
        <v>#N/A</v>
      </c>
      <c r="AP20" s="104" t="e">
        <f t="shared" si="19"/>
        <v>#N/A</v>
      </c>
      <c r="AQ20" s="104" t="e">
        <f t="shared" si="20"/>
        <v>#N/A</v>
      </c>
      <c r="AR20" s="105" t="str">
        <f t="shared" si="21"/>
        <v/>
      </c>
      <c r="AS20" s="105" t="str">
        <f t="shared" si="22"/>
        <v/>
      </c>
      <c r="AT20" s="108" t="str">
        <f t="shared" si="23"/>
        <v/>
      </c>
      <c r="AU20" s="108" t="str">
        <f t="shared" si="24"/>
        <v/>
      </c>
      <c r="AV20" s="107" t="str">
        <f>IF(ISNUMBER(O20),IF(VLOOKUP($A20,Stand!C:J,8,FALSE)="Short",AT20,AU20),"")</f>
        <v/>
      </c>
      <c r="AW20" s="109" t="str">
        <f t="shared" si="25"/>
        <v/>
      </c>
      <c r="AX20" s="109" t="str">
        <f t="shared" si="26"/>
        <v/>
      </c>
      <c r="AY20" s="112" t="str">
        <f>IF(ISNUMBER(O20),IF(AND(VLOOKUP($D20,Merchantability!$B:$C,2,0)="Yes",$E20&gt;=VLOOKUP($D20,Merchantability!$B:$D,3,0),$E20&lt;=VLOOKUP($D20,Merchantability!$B:$E,4,0)),(AV20*O20)*(1-$H20/100),""),"")</f>
        <v/>
      </c>
      <c r="AZ20" s="115"/>
      <c r="BA20" s="116"/>
      <c r="BB20" s="116"/>
      <c r="BD20" s="61"/>
      <c r="BE20" s="62"/>
      <c r="BF20" s="63"/>
    </row>
    <row r="21" spans="1:58" ht="12.75" customHeight="1" x14ac:dyDescent="0.25">
      <c r="A21" s="313"/>
      <c r="B21" s="328"/>
      <c r="C21" s="329"/>
      <c r="D21" s="328"/>
      <c r="E21" s="330"/>
      <c r="F21" s="331"/>
      <c r="G21" s="329"/>
      <c r="H21" s="329"/>
      <c r="I21" s="328"/>
      <c r="J21" s="329"/>
      <c r="K21" s="329"/>
      <c r="L21" s="329"/>
      <c r="M21" s="76"/>
      <c r="N21" s="103" t="str">
        <f>IF(A21="","",VLOOKUP(A21,Stand!C:K,9,0))</f>
        <v/>
      </c>
      <c r="O21" s="104" t="str">
        <f t="shared" si="0"/>
        <v/>
      </c>
      <c r="P21" s="105" t="str">
        <f t="shared" si="1"/>
        <v/>
      </c>
      <c r="Q21" s="105" t="str">
        <f t="shared" si="2"/>
        <v/>
      </c>
      <c r="R21" s="103" t="str">
        <f t="shared" si="3"/>
        <v/>
      </c>
      <c r="S21" s="103" t="str">
        <f t="shared" si="4"/>
        <v/>
      </c>
      <c r="T21" s="106" t="str">
        <f t="shared" si="5"/>
        <v/>
      </c>
      <c r="U21" s="106" t="str">
        <f t="shared" si="6"/>
        <v/>
      </c>
      <c r="V21" s="106" t="str">
        <f t="shared" si="7"/>
        <v/>
      </c>
      <c r="W21" s="105" t="str">
        <f t="shared" si="8"/>
        <v/>
      </c>
      <c r="X21" s="104" t="str">
        <f t="shared" si="9"/>
        <v/>
      </c>
      <c r="Y21" s="104" t="str">
        <f t="array" ref="Y21">IFERROR(IF(ISNUMBER(O21),IF(COUNT(IF(A21=$A$2:$A$2427,IF(D21=$D$2:$D$2427,IF($X$2:$X$2427&gt;0,1))))&gt;0,SUM(IF(A21=$A$2:$A$2427,IF(D21=$D$2:$D$2427,$X$2:$X$2427)))/COUNT(IF(A21=$A$2:$A$2427,IF(D21=$D$2:$D$2427,IF(ISNUMBER($X$2:$X$2427),1)))),0),""),0)</f>
        <v/>
      </c>
      <c r="Z21" s="104" t="str">
        <f>IF(ISNUMBER(O21),IF(I21&gt;0,(10^(VLOOKUP(D21,'Species Codes'!B:C,2,0)+VLOOKUP(D21,'Species Codes'!B:D,3,0)*LOG(E21)+VLOOKUP(D21,'Species Codes'!B:E,4,0)*LOG(I21))),0),"")</f>
        <v/>
      </c>
      <c r="AA21" s="104" t="str">
        <f>IFERROR((VLOOKUP(D21,'Species Codes'!B:G,6,0)*Z21)/2000,"")</f>
        <v/>
      </c>
      <c r="AB21" s="104" t="e">
        <f>IF(Z21&gt;0,((IF(OR(D21="DF",D21="RA")=TRUE,EXP(VLOOKUP(D21,'Species Codes'!B:I,8,0)+VLOOKUP(D21,'Species Codes'!B:J,9,0)*(LN((E21*2.54)))),IF(OR(D21="PY",D21="RC",D21="WH",D21="NF")=TRUE,VLOOKUP(D21,'Species Codes'!B:I,8,0)+VLOOKUP(D21,'Species Codes'!B:J,9,0)*((E21*2.54)^2)*(I21*0.3048),IF(OR(D21="MD",D21="BM",D21="GA")=TRUE,((VLOOKUP(D21,'Species Codes'!B:I,8,0)*(((((E21*2.54)+VLOOKUP(D21,'Species Codes'!B:J,9,0))/VLOOKUP(D21,'Species Codes'!B:K,10,0))^VLOOKUP(D21,'Species Codes'!B:L,11,0))*((I21*0.3048)^VLOOKUP(D21,'Species Codes'!B:M,12,0))))-(VLOOKUP(D21,'Species Codes'!B:I,8,0)*((((E21*2.54)^VLOOKUP(D21,'Species Codes'!B:L,11,0))*((I21*0.3048)^VLOOKUP(D21,'Species Codes'!B:M,12,0))))))*35.3*VLOOKUP(D21,'Species Codes'!B:G,6,0)/2.2046,VLOOKUP(D21,'Species Codes'!B:I,8,0)+VLOOKUP(D21,'Species Codes'!B:J,9,0)*(((E21*2.54)/100)^2)*(I21*0.3048)))))*0.0011023),0)</f>
        <v>#N/A</v>
      </c>
      <c r="AC21" s="104" t="e">
        <f>IF(Z21&gt;0,((IF(OR(D21="RA",D21="OA",D21="OT",D21="UN",D21="PC"),EXP(VLOOKUP(D21,'Species Codes'!B:O,14,0)+VLOOKUP(D21,'Species Codes'!B:P,15,0)*LN((E21*2.54)))-EXP(VLOOKUP(D21,'Species Codes'!B:O,14,0)+VLOOKUP(D21,'Species Codes'!B:P,15,0)*LN((E21*2.54)))*(1/(VLOOKUP(D21,'Species Codes'!B:Q,16,0)+VLOOKUP(D21,'Species Codes'!B:R,17,0)*((E21*2.54)^VLOOKUP(D21,'Species Codes'!B:S,18,0)))),IF(OR(D21="BM",D21="MD",D21="OA"),EXP(VLOOKUP(D21,'Species Codes'!B:O,14,0)+VLOOKUP(D21,'Species Codes'!B:P,15,0)*LN((E21*2.54)))*(1-(1/(VLOOKUP(D21,'Species Codes'!B:Q,16,0)+VLOOKUP(D21,'Species Codes'!B:R,17,0)*((E21*2.54)^VLOOKUP(D21,'Species Codes'!B:S,18,0)))))/1000,IF(D21="DF",EXP(VLOOKUP(D21,'Species Codes'!B:O,14,0)+VLOOKUP(D21,'Species Codes'!B:P,15,0)*LN((E21*2.54))),VLOOKUP(D21,'Species Codes'!B:O,14,0)+VLOOKUP(D21,'Species Codes'!B:P,15,0)*(((E21*2.54)/100)^2)*(I21*0.3048)))))*0.0011023),0)</f>
        <v>#N/A</v>
      </c>
      <c r="AD21" s="104" t="e">
        <f t="shared" si="10"/>
        <v>#N/A</v>
      </c>
      <c r="AE21" s="104" t="e">
        <f t="shared" si="11"/>
        <v>#N/A</v>
      </c>
      <c r="AF21" s="104" t="e">
        <f>IF(AND(VLOOKUP($D21,Merchantability!$B:$C,2,0)="Yes",$E21&gt;=VLOOKUP($D21,Merchantability!$B:$D,3,0),$E21&lt;=VLOOKUP($D21,Merchantability!$B:$E,4,0)),AA21,0)</f>
        <v>#N/A</v>
      </c>
      <c r="AG21" s="104" t="e">
        <f>IF(AND(VLOOKUP($D21,Merchantability!$B:$C,2,0)="Yes",$E21&gt;=VLOOKUP($D21,Merchantability!$B:$D,3,0),$E21&lt;=VLOOKUP($D21,Merchantability!$B:$E,4,0)),AB21,0)</f>
        <v>#N/A</v>
      </c>
      <c r="AH21" s="104" t="e">
        <f>IF(AND(VLOOKUP($D21,Merchantability!$B:$C,2,0)="Yes",$E21&gt;=VLOOKUP($D21,Merchantability!$B:$D,3,0),$E21&lt;=VLOOKUP($D21,Merchantability!$B:$E,4,0)),AC21,0)</f>
        <v>#N/A</v>
      </c>
      <c r="AI21" s="104" t="e">
        <f t="shared" si="12"/>
        <v>#N/A</v>
      </c>
      <c r="AJ21" s="104" t="e">
        <f t="shared" si="13"/>
        <v>#VALUE!</v>
      </c>
      <c r="AK21" s="104" t="e">
        <f t="shared" si="14"/>
        <v>#N/A</v>
      </c>
      <c r="AL21" s="104" t="e">
        <f t="shared" si="15"/>
        <v>#N/A</v>
      </c>
      <c r="AM21" s="104" t="e">
        <f t="shared" si="16"/>
        <v>#N/A</v>
      </c>
      <c r="AN21" s="104" t="e">
        <f t="shared" si="17"/>
        <v>#N/A</v>
      </c>
      <c r="AO21" s="104" t="e">
        <f t="shared" si="18"/>
        <v>#N/A</v>
      </c>
      <c r="AP21" s="104" t="e">
        <f t="shared" si="19"/>
        <v>#N/A</v>
      </c>
      <c r="AQ21" s="104" t="e">
        <f t="shared" si="20"/>
        <v>#N/A</v>
      </c>
      <c r="AR21" s="105" t="str">
        <f t="shared" si="21"/>
        <v/>
      </c>
      <c r="AS21" s="105" t="str">
        <f t="shared" si="22"/>
        <v/>
      </c>
      <c r="AT21" s="108" t="str">
        <f t="shared" si="23"/>
        <v/>
      </c>
      <c r="AU21" s="108" t="str">
        <f t="shared" si="24"/>
        <v/>
      </c>
      <c r="AV21" s="107" t="str">
        <f>IF(ISNUMBER(O21),IF(VLOOKUP($A21,Stand!C:J,8,FALSE)="Short",AT21,AU21),"")</f>
        <v/>
      </c>
      <c r="AW21" s="109" t="str">
        <f t="shared" si="25"/>
        <v/>
      </c>
      <c r="AX21" s="109" t="str">
        <f t="shared" si="26"/>
        <v/>
      </c>
      <c r="AY21" s="112" t="str">
        <f>IF(ISNUMBER(O21),IF(AND(VLOOKUP($D21,Merchantability!$B:$C,2,0)="Yes",$E21&gt;=VLOOKUP($D21,Merchantability!$B:$D,3,0),$E21&lt;=VLOOKUP($D21,Merchantability!$B:$E,4,0)),(AV21*O21)*(1-$H21/100),""),"")</f>
        <v/>
      </c>
      <c r="AZ21" s="115"/>
      <c r="BA21" s="116"/>
      <c r="BB21" s="116"/>
      <c r="BD21" s="61"/>
      <c r="BE21" s="62"/>
      <c r="BF21" s="63"/>
    </row>
    <row r="22" spans="1:58" ht="12.75" customHeight="1" x14ac:dyDescent="0.25">
      <c r="A22" s="313"/>
      <c r="B22" s="328"/>
      <c r="C22" s="329"/>
      <c r="D22" s="328"/>
      <c r="E22" s="330"/>
      <c r="F22" s="331"/>
      <c r="G22" s="329"/>
      <c r="H22" s="329"/>
      <c r="I22" s="328"/>
      <c r="J22" s="329"/>
      <c r="K22" s="329"/>
      <c r="L22" s="329"/>
      <c r="M22" s="76"/>
      <c r="N22" s="103" t="str">
        <f>IF(A22="","",VLOOKUP(A22,Stand!C:K,9,0))</f>
        <v/>
      </c>
      <c r="O22" s="104" t="str">
        <f t="shared" si="0"/>
        <v/>
      </c>
      <c r="P22" s="105" t="str">
        <f t="shared" si="1"/>
        <v/>
      </c>
      <c r="Q22" s="105" t="str">
        <f t="shared" si="2"/>
        <v/>
      </c>
      <c r="R22" s="103" t="str">
        <f t="shared" si="3"/>
        <v/>
      </c>
      <c r="S22" s="103" t="str">
        <f t="shared" si="4"/>
        <v/>
      </c>
      <c r="T22" s="106" t="str">
        <f t="shared" si="5"/>
        <v/>
      </c>
      <c r="U22" s="106" t="str">
        <f t="shared" si="6"/>
        <v/>
      </c>
      <c r="V22" s="106" t="str">
        <f t="shared" si="7"/>
        <v/>
      </c>
      <c r="W22" s="105" t="str">
        <f t="shared" si="8"/>
        <v/>
      </c>
      <c r="X22" s="104" t="str">
        <f t="shared" si="9"/>
        <v/>
      </c>
      <c r="Y22" s="104" t="str">
        <f t="array" ref="Y22">IFERROR(IF(ISNUMBER(O22),IF(COUNT(IF(A22=$A$2:$A$2427,IF(D22=$D$2:$D$2427,IF($X$2:$X$2427&gt;0,1))))&gt;0,SUM(IF(A22=$A$2:$A$2427,IF(D22=$D$2:$D$2427,$X$2:$X$2427)))/COUNT(IF(A22=$A$2:$A$2427,IF(D22=$D$2:$D$2427,IF(ISNUMBER($X$2:$X$2427),1)))),0),""),0)</f>
        <v/>
      </c>
      <c r="Z22" s="104" t="str">
        <f>IF(ISNUMBER(O22),IF(I22&gt;0,(10^(VLOOKUP(D22,'Species Codes'!B:C,2,0)+VLOOKUP(D22,'Species Codes'!B:D,3,0)*LOG(E22)+VLOOKUP(D22,'Species Codes'!B:E,4,0)*LOG(I22))),0),"")</f>
        <v/>
      </c>
      <c r="AA22" s="104" t="str">
        <f>IFERROR((VLOOKUP(D22,'Species Codes'!B:G,6,0)*Z22)/2000,"")</f>
        <v/>
      </c>
      <c r="AB22" s="104" t="e">
        <f>IF(Z22&gt;0,((IF(OR(D22="DF",D22="RA")=TRUE,EXP(VLOOKUP(D22,'Species Codes'!B:I,8,0)+VLOOKUP(D22,'Species Codes'!B:J,9,0)*(LN((E22*2.54)))),IF(OR(D22="PY",D22="RC",D22="WH",D22="NF")=TRUE,VLOOKUP(D22,'Species Codes'!B:I,8,0)+VLOOKUP(D22,'Species Codes'!B:J,9,0)*((E22*2.54)^2)*(I22*0.3048),IF(OR(D22="MD",D22="BM",D22="GA")=TRUE,((VLOOKUP(D22,'Species Codes'!B:I,8,0)*(((((E22*2.54)+VLOOKUP(D22,'Species Codes'!B:J,9,0))/VLOOKUP(D22,'Species Codes'!B:K,10,0))^VLOOKUP(D22,'Species Codes'!B:L,11,0))*((I22*0.3048)^VLOOKUP(D22,'Species Codes'!B:M,12,0))))-(VLOOKUP(D22,'Species Codes'!B:I,8,0)*((((E22*2.54)^VLOOKUP(D22,'Species Codes'!B:L,11,0))*((I22*0.3048)^VLOOKUP(D22,'Species Codes'!B:M,12,0))))))*35.3*VLOOKUP(D22,'Species Codes'!B:G,6,0)/2.2046,VLOOKUP(D22,'Species Codes'!B:I,8,0)+VLOOKUP(D22,'Species Codes'!B:J,9,0)*(((E22*2.54)/100)^2)*(I22*0.3048)))))*0.0011023),0)</f>
        <v>#N/A</v>
      </c>
      <c r="AC22" s="104" t="e">
        <f>IF(Z22&gt;0,((IF(OR(D22="RA",D22="OA",D22="OT",D22="UN",D22="PC"),EXP(VLOOKUP(D22,'Species Codes'!B:O,14,0)+VLOOKUP(D22,'Species Codes'!B:P,15,0)*LN((E22*2.54)))-EXP(VLOOKUP(D22,'Species Codes'!B:O,14,0)+VLOOKUP(D22,'Species Codes'!B:P,15,0)*LN((E22*2.54)))*(1/(VLOOKUP(D22,'Species Codes'!B:Q,16,0)+VLOOKUP(D22,'Species Codes'!B:R,17,0)*((E22*2.54)^VLOOKUP(D22,'Species Codes'!B:S,18,0)))),IF(OR(D22="BM",D22="MD",D22="OA"),EXP(VLOOKUP(D22,'Species Codes'!B:O,14,0)+VLOOKUP(D22,'Species Codes'!B:P,15,0)*LN((E22*2.54)))*(1-(1/(VLOOKUP(D22,'Species Codes'!B:Q,16,0)+VLOOKUP(D22,'Species Codes'!B:R,17,0)*((E22*2.54)^VLOOKUP(D22,'Species Codes'!B:S,18,0)))))/1000,IF(D22="DF",EXP(VLOOKUP(D22,'Species Codes'!B:O,14,0)+VLOOKUP(D22,'Species Codes'!B:P,15,0)*LN((E22*2.54))),VLOOKUP(D22,'Species Codes'!B:O,14,0)+VLOOKUP(D22,'Species Codes'!B:P,15,0)*(((E22*2.54)/100)^2)*(I22*0.3048)))))*0.0011023),0)</f>
        <v>#N/A</v>
      </c>
      <c r="AD22" s="104" t="e">
        <f t="shared" si="10"/>
        <v>#N/A</v>
      </c>
      <c r="AE22" s="104" t="e">
        <f t="shared" si="11"/>
        <v>#N/A</v>
      </c>
      <c r="AF22" s="104" t="e">
        <f>IF(AND(VLOOKUP($D22,Merchantability!$B:$C,2,0)="Yes",$E22&gt;=VLOOKUP($D22,Merchantability!$B:$D,3,0),$E22&lt;=VLOOKUP($D22,Merchantability!$B:$E,4,0)),AA22,0)</f>
        <v>#N/A</v>
      </c>
      <c r="AG22" s="104" t="e">
        <f>IF(AND(VLOOKUP($D22,Merchantability!$B:$C,2,0)="Yes",$E22&gt;=VLOOKUP($D22,Merchantability!$B:$D,3,0),$E22&lt;=VLOOKUP($D22,Merchantability!$B:$E,4,0)),AB22,0)</f>
        <v>#N/A</v>
      </c>
      <c r="AH22" s="104" t="e">
        <f>IF(AND(VLOOKUP($D22,Merchantability!$B:$C,2,0)="Yes",$E22&gt;=VLOOKUP($D22,Merchantability!$B:$D,3,0),$E22&lt;=VLOOKUP($D22,Merchantability!$B:$E,4,0)),AC22,0)</f>
        <v>#N/A</v>
      </c>
      <c r="AI22" s="104" t="e">
        <f t="shared" si="12"/>
        <v>#N/A</v>
      </c>
      <c r="AJ22" s="104" t="e">
        <f t="shared" si="13"/>
        <v>#VALUE!</v>
      </c>
      <c r="AK22" s="104" t="e">
        <f t="shared" si="14"/>
        <v>#N/A</v>
      </c>
      <c r="AL22" s="104" t="e">
        <f t="shared" si="15"/>
        <v>#N/A</v>
      </c>
      <c r="AM22" s="104" t="e">
        <f t="shared" si="16"/>
        <v>#N/A</v>
      </c>
      <c r="AN22" s="104" t="e">
        <f t="shared" si="17"/>
        <v>#N/A</v>
      </c>
      <c r="AO22" s="104" t="e">
        <f t="shared" si="18"/>
        <v>#N/A</v>
      </c>
      <c r="AP22" s="104" t="e">
        <f t="shared" si="19"/>
        <v>#N/A</v>
      </c>
      <c r="AQ22" s="104" t="e">
        <f t="shared" si="20"/>
        <v>#N/A</v>
      </c>
      <c r="AR22" s="105" t="str">
        <f t="shared" si="21"/>
        <v/>
      </c>
      <c r="AS22" s="105" t="str">
        <f t="shared" si="22"/>
        <v/>
      </c>
      <c r="AT22" s="108" t="str">
        <f t="shared" si="23"/>
        <v/>
      </c>
      <c r="AU22" s="108" t="str">
        <f t="shared" si="24"/>
        <v/>
      </c>
      <c r="AV22" s="107" t="str">
        <f>IF(ISNUMBER(O22),IF(VLOOKUP($A22,Stand!C:J,8,FALSE)="Short",AT22,AU22),"")</f>
        <v/>
      </c>
      <c r="AW22" s="109" t="str">
        <f t="shared" si="25"/>
        <v/>
      </c>
      <c r="AX22" s="109" t="str">
        <f t="shared" si="26"/>
        <v/>
      </c>
      <c r="AY22" s="112" t="str">
        <f>IF(ISNUMBER(O22),IF(AND(VLOOKUP($D22,Merchantability!$B:$C,2,0)="Yes",$E22&gt;=VLOOKUP($D22,Merchantability!$B:$D,3,0),$E22&lt;=VLOOKUP($D22,Merchantability!$B:$E,4,0)),(AV22*O22)*(1-$H22/100),""),"")</f>
        <v/>
      </c>
      <c r="AZ22" s="115"/>
      <c r="BA22" s="116"/>
      <c r="BB22" s="116"/>
      <c r="BD22" s="61"/>
      <c r="BE22" s="62"/>
      <c r="BF22" s="63"/>
    </row>
    <row r="23" spans="1:58" ht="12.75" customHeight="1" x14ac:dyDescent="0.25">
      <c r="A23" s="313"/>
      <c r="B23" s="328"/>
      <c r="C23" s="329"/>
      <c r="D23" s="328"/>
      <c r="E23" s="330"/>
      <c r="F23" s="331"/>
      <c r="G23" s="329"/>
      <c r="H23" s="329"/>
      <c r="I23" s="328"/>
      <c r="J23" s="329"/>
      <c r="K23" s="329"/>
      <c r="L23" s="329"/>
      <c r="M23" s="76"/>
      <c r="N23" s="103" t="str">
        <f>IF(A23="","",VLOOKUP(A23,Stand!C:K,9,0))</f>
        <v/>
      </c>
      <c r="O23" s="104" t="str">
        <f t="shared" si="0"/>
        <v/>
      </c>
      <c r="P23" s="105" t="str">
        <f t="shared" si="1"/>
        <v/>
      </c>
      <c r="Q23" s="105" t="str">
        <f t="shared" si="2"/>
        <v/>
      </c>
      <c r="R23" s="103" t="str">
        <f t="shared" si="3"/>
        <v/>
      </c>
      <c r="S23" s="103" t="str">
        <f t="shared" si="4"/>
        <v/>
      </c>
      <c r="T23" s="106" t="str">
        <f t="shared" si="5"/>
        <v/>
      </c>
      <c r="U23" s="106" t="str">
        <f t="shared" si="6"/>
        <v/>
      </c>
      <c r="V23" s="106" t="str">
        <f t="shared" si="7"/>
        <v/>
      </c>
      <c r="W23" s="105" t="str">
        <f t="shared" si="8"/>
        <v/>
      </c>
      <c r="X23" s="104" t="str">
        <f t="shared" si="9"/>
        <v/>
      </c>
      <c r="Y23" s="104" t="str">
        <f t="array" ref="Y23">IFERROR(IF(ISNUMBER(O23),IF(COUNT(IF(A23=$A$2:$A$2427,IF(D23=$D$2:$D$2427,IF($X$2:$X$2427&gt;0,1))))&gt;0,SUM(IF(A23=$A$2:$A$2427,IF(D23=$D$2:$D$2427,$X$2:$X$2427)))/COUNT(IF(A23=$A$2:$A$2427,IF(D23=$D$2:$D$2427,IF(ISNUMBER($X$2:$X$2427),1)))),0),""),0)</f>
        <v/>
      </c>
      <c r="Z23" s="104" t="str">
        <f>IF(ISNUMBER(O23),IF(I23&gt;0,(10^(VLOOKUP(D23,'Species Codes'!B:C,2,0)+VLOOKUP(D23,'Species Codes'!B:D,3,0)*LOG(E23)+VLOOKUP(D23,'Species Codes'!B:E,4,0)*LOG(I23))),0),"")</f>
        <v/>
      </c>
      <c r="AA23" s="104" t="str">
        <f>IFERROR((VLOOKUP(D23,'Species Codes'!B:G,6,0)*Z23)/2000,"")</f>
        <v/>
      </c>
      <c r="AB23" s="104" t="e">
        <f>IF(Z23&gt;0,((IF(OR(D23="DF",D23="RA")=TRUE,EXP(VLOOKUP(D23,'Species Codes'!B:I,8,0)+VLOOKUP(D23,'Species Codes'!B:J,9,0)*(LN((E23*2.54)))),IF(OR(D23="PY",D23="RC",D23="WH",D23="NF")=TRUE,VLOOKUP(D23,'Species Codes'!B:I,8,0)+VLOOKUP(D23,'Species Codes'!B:J,9,0)*((E23*2.54)^2)*(I23*0.3048),IF(OR(D23="MD",D23="BM",D23="GA")=TRUE,((VLOOKUP(D23,'Species Codes'!B:I,8,0)*(((((E23*2.54)+VLOOKUP(D23,'Species Codes'!B:J,9,0))/VLOOKUP(D23,'Species Codes'!B:K,10,0))^VLOOKUP(D23,'Species Codes'!B:L,11,0))*((I23*0.3048)^VLOOKUP(D23,'Species Codes'!B:M,12,0))))-(VLOOKUP(D23,'Species Codes'!B:I,8,0)*((((E23*2.54)^VLOOKUP(D23,'Species Codes'!B:L,11,0))*((I23*0.3048)^VLOOKUP(D23,'Species Codes'!B:M,12,0))))))*35.3*VLOOKUP(D23,'Species Codes'!B:G,6,0)/2.2046,VLOOKUP(D23,'Species Codes'!B:I,8,0)+VLOOKUP(D23,'Species Codes'!B:J,9,0)*(((E23*2.54)/100)^2)*(I23*0.3048)))))*0.0011023),0)</f>
        <v>#N/A</v>
      </c>
      <c r="AC23" s="104" t="e">
        <f>IF(Z23&gt;0,((IF(OR(D23="RA",D23="OA",D23="OT",D23="UN",D23="PC"),EXP(VLOOKUP(D23,'Species Codes'!B:O,14,0)+VLOOKUP(D23,'Species Codes'!B:P,15,0)*LN((E23*2.54)))-EXP(VLOOKUP(D23,'Species Codes'!B:O,14,0)+VLOOKUP(D23,'Species Codes'!B:P,15,0)*LN((E23*2.54)))*(1/(VLOOKUP(D23,'Species Codes'!B:Q,16,0)+VLOOKUP(D23,'Species Codes'!B:R,17,0)*((E23*2.54)^VLOOKUP(D23,'Species Codes'!B:S,18,0)))),IF(OR(D23="BM",D23="MD",D23="OA"),EXP(VLOOKUP(D23,'Species Codes'!B:O,14,0)+VLOOKUP(D23,'Species Codes'!B:P,15,0)*LN((E23*2.54)))*(1-(1/(VLOOKUP(D23,'Species Codes'!B:Q,16,0)+VLOOKUP(D23,'Species Codes'!B:R,17,0)*((E23*2.54)^VLOOKUP(D23,'Species Codes'!B:S,18,0)))))/1000,IF(D23="DF",EXP(VLOOKUP(D23,'Species Codes'!B:O,14,0)+VLOOKUP(D23,'Species Codes'!B:P,15,0)*LN((E23*2.54))),VLOOKUP(D23,'Species Codes'!B:O,14,0)+VLOOKUP(D23,'Species Codes'!B:P,15,0)*(((E23*2.54)/100)^2)*(I23*0.3048)))))*0.0011023),0)</f>
        <v>#N/A</v>
      </c>
      <c r="AD23" s="104" t="e">
        <f t="shared" si="10"/>
        <v>#N/A</v>
      </c>
      <c r="AE23" s="104" t="e">
        <f t="shared" si="11"/>
        <v>#N/A</v>
      </c>
      <c r="AF23" s="104" t="e">
        <f>IF(AND(VLOOKUP($D23,Merchantability!$B:$C,2,0)="Yes",$E23&gt;=VLOOKUP($D23,Merchantability!$B:$D,3,0),$E23&lt;=VLOOKUP($D23,Merchantability!$B:$E,4,0)),AA23,0)</f>
        <v>#N/A</v>
      </c>
      <c r="AG23" s="104" t="e">
        <f>IF(AND(VLOOKUP($D23,Merchantability!$B:$C,2,0)="Yes",$E23&gt;=VLOOKUP($D23,Merchantability!$B:$D,3,0),$E23&lt;=VLOOKUP($D23,Merchantability!$B:$E,4,0)),AB23,0)</f>
        <v>#N/A</v>
      </c>
      <c r="AH23" s="104" t="e">
        <f>IF(AND(VLOOKUP($D23,Merchantability!$B:$C,2,0)="Yes",$E23&gt;=VLOOKUP($D23,Merchantability!$B:$D,3,0),$E23&lt;=VLOOKUP($D23,Merchantability!$B:$E,4,0)),AC23,0)</f>
        <v>#N/A</v>
      </c>
      <c r="AI23" s="104" t="e">
        <f t="shared" si="12"/>
        <v>#N/A</v>
      </c>
      <c r="AJ23" s="104" t="e">
        <f t="shared" si="13"/>
        <v>#VALUE!</v>
      </c>
      <c r="AK23" s="104" t="e">
        <f t="shared" si="14"/>
        <v>#N/A</v>
      </c>
      <c r="AL23" s="104" t="e">
        <f t="shared" si="15"/>
        <v>#N/A</v>
      </c>
      <c r="AM23" s="104" t="e">
        <f t="shared" si="16"/>
        <v>#N/A</v>
      </c>
      <c r="AN23" s="104" t="e">
        <f t="shared" si="17"/>
        <v>#N/A</v>
      </c>
      <c r="AO23" s="104" t="e">
        <f t="shared" si="18"/>
        <v>#N/A</v>
      </c>
      <c r="AP23" s="104" t="e">
        <f t="shared" si="19"/>
        <v>#N/A</v>
      </c>
      <c r="AQ23" s="104" t="e">
        <f t="shared" si="20"/>
        <v>#N/A</v>
      </c>
      <c r="AR23" s="105" t="str">
        <f t="shared" si="21"/>
        <v/>
      </c>
      <c r="AS23" s="105" t="str">
        <f t="shared" si="22"/>
        <v/>
      </c>
      <c r="AT23" s="108" t="str">
        <f t="shared" si="23"/>
        <v/>
      </c>
      <c r="AU23" s="108" t="str">
        <f t="shared" si="24"/>
        <v/>
      </c>
      <c r="AV23" s="107" t="str">
        <f>IF(ISNUMBER(O23),IF(VLOOKUP($A23,Stand!C:J,8,FALSE)="Short",AT23,AU23),"")</f>
        <v/>
      </c>
      <c r="AW23" s="109" t="str">
        <f t="shared" si="25"/>
        <v/>
      </c>
      <c r="AX23" s="109" t="str">
        <f t="shared" si="26"/>
        <v/>
      </c>
      <c r="AY23" s="112" t="str">
        <f>IF(ISNUMBER(O23),IF(AND(VLOOKUP($D23,Merchantability!$B:$C,2,0)="Yes",$E23&gt;=VLOOKUP($D23,Merchantability!$B:$D,3,0),$E23&lt;=VLOOKUP($D23,Merchantability!$B:$E,4,0)),(AV23*O23)*(1-$H23/100),""),"")</f>
        <v/>
      </c>
      <c r="AZ23" s="115"/>
      <c r="BA23" s="116"/>
      <c r="BB23" s="116"/>
      <c r="BD23" s="61"/>
      <c r="BE23" s="62"/>
      <c r="BF23" s="63"/>
    </row>
    <row r="24" spans="1:58" ht="12.75" customHeight="1" x14ac:dyDescent="0.25">
      <c r="A24" s="313"/>
      <c r="B24" s="328"/>
      <c r="C24" s="329"/>
      <c r="D24" s="328"/>
      <c r="E24" s="330"/>
      <c r="F24" s="331"/>
      <c r="G24" s="329"/>
      <c r="H24" s="329"/>
      <c r="I24" s="328"/>
      <c r="J24" s="329"/>
      <c r="K24" s="329"/>
      <c r="L24" s="329"/>
      <c r="M24" s="76"/>
      <c r="N24" s="103" t="str">
        <f>IF(A24="","",VLOOKUP(A24,Stand!C:K,9,0))</f>
        <v/>
      </c>
      <c r="O24" s="104" t="str">
        <f t="shared" si="0"/>
        <v/>
      </c>
      <c r="P24" s="105" t="str">
        <f t="shared" si="1"/>
        <v/>
      </c>
      <c r="Q24" s="105" t="str">
        <f t="shared" si="2"/>
        <v/>
      </c>
      <c r="R24" s="103" t="str">
        <f t="shared" si="3"/>
        <v/>
      </c>
      <c r="S24" s="103" t="str">
        <f t="shared" si="4"/>
        <v/>
      </c>
      <c r="T24" s="106" t="str">
        <f t="shared" si="5"/>
        <v/>
      </c>
      <c r="U24" s="106" t="str">
        <f t="shared" si="6"/>
        <v/>
      </c>
      <c r="V24" s="106" t="str">
        <f t="shared" si="7"/>
        <v/>
      </c>
      <c r="W24" s="105" t="str">
        <f t="shared" si="8"/>
        <v/>
      </c>
      <c r="X24" s="104" t="str">
        <f t="shared" si="9"/>
        <v/>
      </c>
      <c r="Y24" s="104" t="str">
        <f t="array" ref="Y24">IFERROR(IF(ISNUMBER(O24),IF(COUNT(IF(A24=$A$2:$A$2427,IF(D24=$D$2:$D$2427,IF($X$2:$X$2427&gt;0,1))))&gt;0,SUM(IF(A24=$A$2:$A$2427,IF(D24=$D$2:$D$2427,$X$2:$X$2427)))/COUNT(IF(A24=$A$2:$A$2427,IF(D24=$D$2:$D$2427,IF(ISNUMBER($X$2:$X$2427),1)))),0),""),0)</f>
        <v/>
      </c>
      <c r="Z24" s="104" t="str">
        <f>IF(ISNUMBER(O24),IF(I24&gt;0,(10^(VLOOKUP(D24,'Species Codes'!B:C,2,0)+VLOOKUP(D24,'Species Codes'!B:D,3,0)*LOG(E24)+VLOOKUP(D24,'Species Codes'!B:E,4,0)*LOG(I24))),0),"")</f>
        <v/>
      </c>
      <c r="AA24" s="104" t="str">
        <f>IFERROR((VLOOKUP(D24,'Species Codes'!B:G,6,0)*Z24)/2000,"")</f>
        <v/>
      </c>
      <c r="AB24" s="104" t="e">
        <f>IF(Z24&gt;0,((IF(OR(D24="DF",D24="RA")=TRUE,EXP(VLOOKUP(D24,'Species Codes'!B:I,8,0)+VLOOKUP(D24,'Species Codes'!B:J,9,0)*(LN((E24*2.54)))),IF(OR(D24="PY",D24="RC",D24="WH",D24="NF")=TRUE,VLOOKUP(D24,'Species Codes'!B:I,8,0)+VLOOKUP(D24,'Species Codes'!B:J,9,0)*((E24*2.54)^2)*(I24*0.3048),IF(OR(D24="MD",D24="BM",D24="GA")=TRUE,((VLOOKUP(D24,'Species Codes'!B:I,8,0)*(((((E24*2.54)+VLOOKUP(D24,'Species Codes'!B:J,9,0))/VLOOKUP(D24,'Species Codes'!B:K,10,0))^VLOOKUP(D24,'Species Codes'!B:L,11,0))*((I24*0.3048)^VLOOKUP(D24,'Species Codes'!B:M,12,0))))-(VLOOKUP(D24,'Species Codes'!B:I,8,0)*((((E24*2.54)^VLOOKUP(D24,'Species Codes'!B:L,11,0))*((I24*0.3048)^VLOOKUP(D24,'Species Codes'!B:M,12,0))))))*35.3*VLOOKUP(D24,'Species Codes'!B:G,6,0)/2.2046,VLOOKUP(D24,'Species Codes'!B:I,8,0)+VLOOKUP(D24,'Species Codes'!B:J,9,0)*(((E24*2.54)/100)^2)*(I24*0.3048)))))*0.0011023),0)</f>
        <v>#N/A</v>
      </c>
      <c r="AC24" s="104" t="e">
        <f>IF(Z24&gt;0,((IF(OR(D24="RA",D24="OA",D24="OT",D24="UN",D24="PC"),EXP(VLOOKUP(D24,'Species Codes'!B:O,14,0)+VLOOKUP(D24,'Species Codes'!B:P,15,0)*LN((E24*2.54)))-EXP(VLOOKUP(D24,'Species Codes'!B:O,14,0)+VLOOKUP(D24,'Species Codes'!B:P,15,0)*LN((E24*2.54)))*(1/(VLOOKUP(D24,'Species Codes'!B:Q,16,0)+VLOOKUP(D24,'Species Codes'!B:R,17,0)*((E24*2.54)^VLOOKUP(D24,'Species Codes'!B:S,18,0)))),IF(OR(D24="BM",D24="MD",D24="OA"),EXP(VLOOKUP(D24,'Species Codes'!B:O,14,0)+VLOOKUP(D24,'Species Codes'!B:P,15,0)*LN((E24*2.54)))*(1-(1/(VLOOKUP(D24,'Species Codes'!B:Q,16,0)+VLOOKUP(D24,'Species Codes'!B:R,17,0)*((E24*2.54)^VLOOKUP(D24,'Species Codes'!B:S,18,0)))))/1000,IF(D24="DF",EXP(VLOOKUP(D24,'Species Codes'!B:O,14,0)+VLOOKUP(D24,'Species Codes'!B:P,15,0)*LN((E24*2.54))),VLOOKUP(D24,'Species Codes'!B:O,14,0)+VLOOKUP(D24,'Species Codes'!B:P,15,0)*(((E24*2.54)/100)^2)*(I24*0.3048)))))*0.0011023),0)</f>
        <v>#N/A</v>
      </c>
      <c r="AD24" s="104" t="e">
        <f t="shared" si="10"/>
        <v>#N/A</v>
      </c>
      <c r="AE24" s="104" t="e">
        <f t="shared" si="11"/>
        <v>#N/A</v>
      </c>
      <c r="AF24" s="104" t="e">
        <f>IF(AND(VLOOKUP($D24,Merchantability!$B:$C,2,0)="Yes",$E24&gt;=VLOOKUP($D24,Merchantability!$B:$D,3,0),$E24&lt;=VLOOKUP($D24,Merchantability!$B:$E,4,0)),AA24,0)</f>
        <v>#N/A</v>
      </c>
      <c r="AG24" s="104" t="e">
        <f>IF(AND(VLOOKUP($D24,Merchantability!$B:$C,2,0)="Yes",$E24&gt;=VLOOKUP($D24,Merchantability!$B:$D,3,0),$E24&lt;=VLOOKUP($D24,Merchantability!$B:$E,4,0)),AB24,0)</f>
        <v>#N/A</v>
      </c>
      <c r="AH24" s="104" t="e">
        <f>IF(AND(VLOOKUP($D24,Merchantability!$B:$C,2,0)="Yes",$E24&gt;=VLOOKUP($D24,Merchantability!$B:$D,3,0),$E24&lt;=VLOOKUP($D24,Merchantability!$B:$E,4,0)),AC24,0)</f>
        <v>#N/A</v>
      </c>
      <c r="AI24" s="104" t="e">
        <f t="shared" si="12"/>
        <v>#N/A</v>
      </c>
      <c r="AJ24" s="104" t="e">
        <f t="shared" si="13"/>
        <v>#VALUE!</v>
      </c>
      <c r="AK24" s="104" t="e">
        <f t="shared" si="14"/>
        <v>#N/A</v>
      </c>
      <c r="AL24" s="104" t="e">
        <f t="shared" si="15"/>
        <v>#N/A</v>
      </c>
      <c r="AM24" s="104" t="e">
        <f t="shared" si="16"/>
        <v>#N/A</v>
      </c>
      <c r="AN24" s="104" t="e">
        <f t="shared" si="17"/>
        <v>#N/A</v>
      </c>
      <c r="AO24" s="104" t="e">
        <f t="shared" si="18"/>
        <v>#N/A</v>
      </c>
      <c r="AP24" s="104" t="e">
        <f t="shared" si="19"/>
        <v>#N/A</v>
      </c>
      <c r="AQ24" s="104" t="e">
        <f t="shared" si="20"/>
        <v>#N/A</v>
      </c>
      <c r="AR24" s="105" t="str">
        <f t="shared" si="21"/>
        <v/>
      </c>
      <c r="AS24" s="105" t="str">
        <f t="shared" si="22"/>
        <v/>
      </c>
      <c r="AT24" s="108" t="str">
        <f t="shared" si="23"/>
        <v/>
      </c>
      <c r="AU24" s="108" t="str">
        <f t="shared" si="24"/>
        <v/>
      </c>
      <c r="AV24" s="107" t="str">
        <f>IF(ISNUMBER(O24),IF(VLOOKUP($A24,Stand!C:J,8,FALSE)="Short",AT24,AU24),"")</f>
        <v/>
      </c>
      <c r="AW24" s="109" t="str">
        <f t="shared" si="25"/>
        <v/>
      </c>
      <c r="AX24" s="109" t="str">
        <f t="shared" si="26"/>
        <v/>
      </c>
      <c r="AY24" s="112" t="str">
        <f>IF(ISNUMBER(O24),IF(AND(VLOOKUP($D24,Merchantability!$B:$C,2,0)="Yes",$E24&gt;=VLOOKUP($D24,Merchantability!$B:$D,3,0),$E24&lt;=VLOOKUP($D24,Merchantability!$B:$E,4,0)),(AV24*O24)*(1-$H24/100),""),"")</f>
        <v/>
      </c>
      <c r="AZ24" s="115"/>
      <c r="BA24" s="116"/>
      <c r="BB24" s="116"/>
      <c r="BD24" s="61"/>
      <c r="BE24" s="62"/>
      <c r="BF24" s="63"/>
    </row>
    <row r="25" spans="1:58" ht="12.75" customHeight="1" x14ac:dyDescent="0.25">
      <c r="A25" s="313"/>
      <c r="B25" s="328"/>
      <c r="C25" s="329"/>
      <c r="D25" s="328"/>
      <c r="E25" s="330"/>
      <c r="F25" s="331"/>
      <c r="G25" s="329"/>
      <c r="H25" s="329"/>
      <c r="I25" s="328"/>
      <c r="J25" s="329"/>
      <c r="K25" s="329"/>
      <c r="L25" s="329"/>
      <c r="M25" s="76"/>
      <c r="N25" s="103" t="str">
        <f>IF(A25="","",VLOOKUP(A25,Stand!C:K,9,0))</f>
        <v/>
      </c>
      <c r="O25" s="104" t="str">
        <f t="shared" si="0"/>
        <v/>
      </c>
      <c r="P25" s="105" t="str">
        <f t="shared" si="1"/>
        <v/>
      </c>
      <c r="Q25" s="105" t="str">
        <f t="shared" si="2"/>
        <v/>
      </c>
      <c r="R25" s="103" t="str">
        <f t="shared" si="3"/>
        <v/>
      </c>
      <c r="S25" s="103" t="str">
        <f t="shared" si="4"/>
        <v/>
      </c>
      <c r="T25" s="106" t="str">
        <f t="shared" si="5"/>
        <v/>
      </c>
      <c r="U25" s="106" t="str">
        <f t="shared" si="6"/>
        <v/>
      </c>
      <c r="V25" s="106" t="str">
        <f t="shared" si="7"/>
        <v/>
      </c>
      <c r="W25" s="105" t="str">
        <f t="shared" si="8"/>
        <v/>
      </c>
      <c r="X25" s="104" t="str">
        <f t="shared" si="9"/>
        <v/>
      </c>
      <c r="Y25" s="104" t="str">
        <f t="array" ref="Y25">IFERROR(IF(ISNUMBER(O25),IF(COUNT(IF(A25=$A$2:$A$2427,IF(D25=$D$2:$D$2427,IF($X$2:$X$2427&gt;0,1))))&gt;0,SUM(IF(A25=$A$2:$A$2427,IF(D25=$D$2:$D$2427,$X$2:$X$2427)))/COUNT(IF(A25=$A$2:$A$2427,IF(D25=$D$2:$D$2427,IF(ISNUMBER($X$2:$X$2427),1)))),0),""),0)</f>
        <v/>
      </c>
      <c r="Z25" s="104" t="str">
        <f>IF(ISNUMBER(O25),IF(I25&gt;0,(10^(VLOOKUP(D25,'Species Codes'!B:C,2,0)+VLOOKUP(D25,'Species Codes'!B:D,3,0)*LOG(E25)+VLOOKUP(D25,'Species Codes'!B:E,4,0)*LOG(I25))),0),"")</f>
        <v/>
      </c>
      <c r="AA25" s="104" t="str">
        <f>IFERROR((VLOOKUP(D25,'Species Codes'!B:G,6,0)*Z25)/2000,"")</f>
        <v/>
      </c>
      <c r="AB25" s="104" t="e">
        <f>IF(Z25&gt;0,((IF(OR(D25="DF",D25="RA")=TRUE,EXP(VLOOKUP(D25,'Species Codes'!B:I,8,0)+VLOOKUP(D25,'Species Codes'!B:J,9,0)*(LN((E25*2.54)))),IF(OR(D25="PY",D25="RC",D25="WH",D25="NF")=TRUE,VLOOKUP(D25,'Species Codes'!B:I,8,0)+VLOOKUP(D25,'Species Codes'!B:J,9,0)*((E25*2.54)^2)*(I25*0.3048),IF(OR(D25="MD",D25="BM",D25="GA")=TRUE,((VLOOKUP(D25,'Species Codes'!B:I,8,0)*(((((E25*2.54)+VLOOKUP(D25,'Species Codes'!B:J,9,0))/VLOOKUP(D25,'Species Codes'!B:K,10,0))^VLOOKUP(D25,'Species Codes'!B:L,11,0))*((I25*0.3048)^VLOOKUP(D25,'Species Codes'!B:M,12,0))))-(VLOOKUP(D25,'Species Codes'!B:I,8,0)*((((E25*2.54)^VLOOKUP(D25,'Species Codes'!B:L,11,0))*((I25*0.3048)^VLOOKUP(D25,'Species Codes'!B:M,12,0))))))*35.3*VLOOKUP(D25,'Species Codes'!B:G,6,0)/2.2046,VLOOKUP(D25,'Species Codes'!B:I,8,0)+VLOOKUP(D25,'Species Codes'!B:J,9,0)*(((E25*2.54)/100)^2)*(I25*0.3048)))))*0.0011023),0)</f>
        <v>#N/A</v>
      </c>
      <c r="AC25" s="104" t="e">
        <f>IF(Z25&gt;0,((IF(OR(D25="RA",D25="OA",D25="OT",D25="UN",D25="PC"),EXP(VLOOKUP(D25,'Species Codes'!B:O,14,0)+VLOOKUP(D25,'Species Codes'!B:P,15,0)*LN((E25*2.54)))-EXP(VLOOKUP(D25,'Species Codes'!B:O,14,0)+VLOOKUP(D25,'Species Codes'!B:P,15,0)*LN((E25*2.54)))*(1/(VLOOKUP(D25,'Species Codes'!B:Q,16,0)+VLOOKUP(D25,'Species Codes'!B:R,17,0)*((E25*2.54)^VLOOKUP(D25,'Species Codes'!B:S,18,0)))),IF(OR(D25="BM",D25="MD",D25="OA"),EXP(VLOOKUP(D25,'Species Codes'!B:O,14,0)+VLOOKUP(D25,'Species Codes'!B:P,15,0)*LN((E25*2.54)))*(1-(1/(VLOOKUP(D25,'Species Codes'!B:Q,16,0)+VLOOKUP(D25,'Species Codes'!B:R,17,0)*((E25*2.54)^VLOOKUP(D25,'Species Codes'!B:S,18,0)))))/1000,IF(D25="DF",EXP(VLOOKUP(D25,'Species Codes'!B:O,14,0)+VLOOKUP(D25,'Species Codes'!B:P,15,0)*LN((E25*2.54))),VLOOKUP(D25,'Species Codes'!B:O,14,0)+VLOOKUP(D25,'Species Codes'!B:P,15,0)*(((E25*2.54)/100)^2)*(I25*0.3048)))))*0.0011023),0)</f>
        <v>#N/A</v>
      </c>
      <c r="AD25" s="104" t="e">
        <f t="shared" si="10"/>
        <v>#N/A</v>
      </c>
      <c r="AE25" s="104" t="e">
        <f t="shared" si="11"/>
        <v>#N/A</v>
      </c>
      <c r="AF25" s="104" t="e">
        <f>IF(AND(VLOOKUP($D25,Merchantability!$B:$C,2,0)="Yes",$E25&gt;=VLOOKUP($D25,Merchantability!$B:$D,3,0),$E25&lt;=VLOOKUP($D25,Merchantability!$B:$E,4,0)),AA25,0)</f>
        <v>#N/A</v>
      </c>
      <c r="AG25" s="104" t="e">
        <f>IF(AND(VLOOKUP($D25,Merchantability!$B:$C,2,0)="Yes",$E25&gt;=VLOOKUP($D25,Merchantability!$B:$D,3,0),$E25&lt;=VLOOKUP($D25,Merchantability!$B:$E,4,0)),AB25,0)</f>
        <v>#N/A</v>
      </c>
      <c r="AH25" s="104" t="e">
        <f>IF(AND(VLOOKUP($D25,Merchantability!$B:$C,2,0)="Yes",$E25&gt;=VLOOKUP($D25,Merchantability!$B:$D,3,0),$E25&lt;=VLOOKUP($D25,Merchantability!$B:$E,4,0)),AC25,0)</f>
        <v>#N/A</v>
      </c>
      <c r="AI25" s="104" t="e">
        <f t="shared" si="12"/>
        <v>#N/A</v>
      </c>
      <c r="AJ25" s="104" t="e">
        <f t="shared" si="13"/>
        <v>#VALUE!</v>
      </c>
      <c r="AK25" s="104" t="e">
        <f t="shared" si="14"/>
        <v>#N/A</v>
      </c>
      <c r="AL25" s="104" t="e">
        <f t="shared" si="15"/>
        <v>#N/A</v>
      </c>
      <c r="AM25" s="104" t="e">
        <f t="shared" si="16"/>
        <v>#N/A</v>
      </c>
      <c r="AN25" s="104" t="e">
        <f t="shared" si="17"/>
        <v>#N/A</v>
      </c>
      <c r="AO25" s="104" t="e">
        <f t="shared" si="18"/>
        <v>#N/A</v>
      </c>
      <c r="AP25" s="104" t="e">
        <f t="shared" si="19"/>
        <v>#N/A</v>
      </c>
      <c r="AQ25" s="104" t="e">
        <f t="shared" si="20"/>
        <v>#N/A</v>
      </c>
      <c r="AR25" s="105" t="str">
        <f t="shared" si="21"/>
        <v/>
      </c>
      <c r="AS25" s="105" t="str">
        <f t="shared" si="22"/>
        <v/>
      </c>
      <c r="AT25" s="108" t="str">
        <f t="shared" si="23"/>
        <v/>
      </c>
      <c r="AU25" s="108" t="str">
        <f t="shared" si="24"/>
        <v/>
      </c>
      <c r="AV25" s="107" t="str">
        <f>IF(ISNUMBER(O25),IF(VLOOKUP($A25,Stand!C:J,8,FALSE)="Short",AT25,AU25),"")</f>
        <v/>
      </c>
      <c r="AW25" s="109" t="str">
        <f t="shared" si="25"/>
        <v/>
      </c>
      <c r="AX25" s="109" t="str">
        <f t="shared" si="26"/>
        <v/>
      </c>
      <c r="AY25" s="112" t="str">
        <f>IF(ISNUMBER(O25),IF(AND(VLOOKUP($D25,Merchantability!$B:$C,2,0)="Yes",$E25&gt;=VLOOKUP($D25,Merchantability!$B:$D,3,0),$E25&lt;=VLOOKUP($D25,Merchantability!$B:$E,4,0)),(AV25*O25)*(1-$H25/100),""),"")</f>
        <v/>
      </c>
      <c r="AZ25" s="115"/>
      <c r="BA25" s="116"/>
      <c r="BB25" s="116"/>
      <c r="BE25" s="62"/>
      <c r="BF25" s="63"/>
    </row>
    <row r="26" spans="1:58" ht="12.75" customHeight="1" x14ac:dyDescent="0.25">
      <c r="A26" s="313"/>
      <c r="B26" s="328"/>
      <c r="C26" s="329"/>
      <c r="D26" s="328"/>
      <c r="E26" s="330"/>
      <c r="F26" s="331"/>
      <c r="G26" s="329"/>
      <c r="H26" s="329"/>
      <c r="I26" s="328"/>
      <c r="J26" s="329"/>
      <c r="K26" s="329"/>
      <c r="L26" s="329"/>
      <c r="M26" s="76"/>
      <c r="N26" s="103" t="str">
        <f>IF(A26="","",VLOOKUP(A26,Stand!C:K,9,0))</f>
        <v/>
      </c>
      <c r="O26" s="104" t="str">
        <f t="shared" si="0"/>
        <v/>
      </c>
      <c r="P26" s="105" t="str">
        <f t="shared" si="1"/>
        <v/>
      </c>
      <c r="Q26" s="105" t="str">
        <f t="shared" si="2"/>
        <v/>
      </c>
      <c r="R26" s="103" t="str">
        <f t="shared" si="3"/>
        <v/>
      </c>
      <c r="S26" s="103" t="str">
        <f t="shared" si="4"/>
        <v/>
      </c>
      <c r="T26" s="106" t="str">
        <f t="shared" si="5"/>
        <v/>
      </c>
      <c r="U26" s="106" t="str">
        <f t="shared" si="6"/>
        <v/>
      </c>
      <c r="V26" s="106" t="str">
        <f t="shared" si="7"/>
        <v/>
      </c>
      <c r="W26" s="105" t="str">
        <f t="shared" si="8"/>
        <v/>
      </c>
      <c r="X26" s="104" t="str">
        <f t="shared" si="9"/>
        <v/>
      </c>
      <c r="Y26" s="104" t="str">
        <f t="array" ref="Y26">IFERROR(IF(ISNUMBER(O26),IF(COUNT(IF(A26=$A$2:$A$2427,IF(D26=$D$2:$D$2427,IF($X$2:$X$2427&gt;0,1))))&gt;0,SUM(IF(A26=$A$2:$A$2427,IF(D26=$D$2:$D$2427,$X$2:$X$2427)))/COUNT(IF(A26=$A$2:$A$2427,IF(D26=$D$2:$D$2427,IF(ISNUMBER($X$2:$X$2427),1)))),0),""),0)</f>
        <v/>
      </c>
      <c r="Z26" s="104" t="str">
        <f>IF(ISNUMBER(O26),IF(I26&gt;0,(10^(VLOOKUP(D26,'Species Codes'!B:C,2,0)+VLOOKUP(D26,'Species Codes'!B:D,3,0)*LOG(E26)+VLOOKUP(D26,'Species Codes'!B:E,4,0)*LOG(I26))),0),"")</f>
        <v/>
      </c>
      <c r="AA26" s="104" t="str">
        <f>IFERROR((VLOOKUP(D26,'Species Codes'!B:G,6,0)*Z26)/2000,"")</f>
        <v/>
      </c>
      <c r="AB26" s="104" t="e">
        <f>IF(Z26&gt;0,((IF(OR(D26="DF",D26="RA")=TRUE,EXP(VLOOKUP(D26,'Species Codes'!B:I,8,0)+VLOOKUP(D26,'Species Codes'!B:J,9,0)*(LN((E26*2.54)))),IF(OR(D26="PY",D26="RC",D26="WH",D26="NF")=TRUE,VLOOKUP(D26,'Species Codes'!B:I,8,0)+VLOOKUP(D26,'Species Codes'!B:J,9,0)*((E26*2.54)^2)*(I26*0.3048),IF(OR(D26="MD",D26="BM",D26="GA")=TRUE,((VLOOKUP(D26,'Species Codes'!B:I,8,0)*(((((E26*2.54)+VLOOKUP(D26,'Species Codes'!B:J,9,0))/VLOOKUP(D26,'Species Codes'!B:K,10,0))^VLOOKUP(D26,'Species Codes'!B:L,11,0))*((I26*0.3048)^VLOOKUP(D26,'Species Codes'!B:M,12,0))))-(VLOOKUP(D26,'Species Codes'!B:I,8,0)*((((E26*2.54)^VLOOKUP(D26,'Species Codes'!B:L,11,0))*((I26*0.3048)^VLOOKUP(D26,'Species Codes'!B:M,12,0))))))*35.3*VLOOKUP(D26,'Species Codes'!B:G,6,0)/2.2046,VLOOKUP(D26,'Species Codes'!B:I,8,0)+VLOOKUP(D26,'Species Codes'!B:J,9,0)*(((E26*2.54)/100)^2)*(I26*0.3048)))))*0.0011023),0)</f>
        <v>#N/A</v>
      </c>
      <c r="AC26" s="104" t="e">
        <f>IF(Z26&gt;0,((IF(OR(D26="RA",D26="OA",D26="OT",D26="UN",D26="PC"),EXP(VLOOKUP(D26,'Species Codes'!B:O,14,0)+VLOOKUP(D26,'Species Codes'!B:P,15,0)*LN((E26*2.54)))-EXP(VLOOKUP(D26,'Species Codes'!B:O,14,0)+VLOOKUP(D26,'Species Codes'!B:P,15,0)*LN((E26*2.54)))*(1/(VLOOKUP(D26,'Species Codes'!B:Q,16,0)+VLOOKUP(D26,'Species Codes'!B:R,17,0)*((E26*2.54)^VLOOKUP(D26,'Species Codes'!B:S,18,0)))),IF(OR(D26="BM",D26="MD",D26="OA"),EXP(VLOOKUP(D26,'Species Codes'!B:O,14,0)+VLOOKUP(D26,'Species Codes'!B:P,15,0)*LN((E26*2.54)))*(1-(1/(VLOOKUP(D26,'Species Codes'!B:Q,16,0)+VLOOKUP(D26,'Species Codes'!B:R,17,0)*((E26*2.54)^VLOOKUP(D26,'Species Codes'!B:S,18,0)))))/1000,IF(D26="DF",EXP(VLOOKUP(D26,'Species Codes'!B:O,14,0)+VLOOKUP(D26,'Species Codes'!B:P,15,0)*LN((E26*2.54))),VLOOKUP(D26,'Species Codes'!B:O,14,0)+VLOOKUP(D26,'Species Codes'!B:P,15,0)*(((E26*2.54)/100)^2)*(I26*0.3048)))))*0.0011023),0)</f>
        <v>#N/A</v>
      </c>
      <c r="AD26" s="104" t="e">
        <f t="shared" si="10"/>
        <v>#N/A</v>
      </c>
      <c r="AE26" s="104" t="e">
        <f t="shared" si="11"/>
        <v>#N/A</v>
      </c>
      <c r="AF26" s="104" t="e">
        <f>IF(AND(VLOOKUP($D26,Merchantability!$B:$C,2,0)="Yes",$E26&gt;=VLOOKUP($D26,Merchantability!$B:$D,3,0),$E26&lt;=VLOOKUP($D26,Merchantability!$B:$E,4,0)),AA26,0)</f>
        <v>#N/A</v>
      </c>
      <c r="AG26" s="104" t="e">
        <f>IF(AND(VLOOKUP($D26,Merchantability!$B:$C,2,0)="Yes",$E26&gt;=VLOOKUP($D26,Merchantability!$B:$D,3,0),$E26&lt;=VLOOKUP($D26,Merchantability!$B:$E,4,0)),AB26,0)</f>
        <v>#N/A</v>
      </c>
      <c r="AH26" s="104" t="e">
        <f>IF(AND(VLOOKUP($D26,Merchantability!$B:$C,2,0)="Yes",$E26&gt;=VLOOKUP($D26,Merchantability!$B:$D,3,0),$E26&lt;=VLOOKUP($D26,Merchantability!$B:$E,4,0)),AC26,0)</f>
        <v>#N/A</v>
      </c>
      <c r="AI26" s="104" t="e">
        <f t="shared" si="12"/>
        <v>#N/A</v>
      </c>
      <c r="AJ26" s="104" t="e">
        <f t="shared" si="13"/>
        <v>#VALUE!</v>
      </c>
      <c r="AK26" s="104" t="e">
        <f t="shared" si="14"/>
        <v>#N/A</v>
      </c>
      <c r="AL26" s="104" t="e">
        <f t="shared" si="15"/>
        <v>#N/A</v>
      </c>
      <c r="AM26" s="104" t="e">
        <f t="shared" si="16"/>
        <v>#N/A</v>
      </c>
      <c r="AN26" s="104" t="e">
        <f t="shared" si="17"/>
        <v>#N/A</v>
      </c>
      <c r="AO26" s="104" t="e">
        <f t="shared" si="18"/>
        <v>#N/A</v>
      </c>
      <c r="AP26" s="104" t="e">
        <f t="shared" si="19"/>
        <v>#N/A</v>
      </c>
      <c r="AQ26" s="104" t="e">
        <f t="shared" si="20"/>
        <v>#N/A</v>
      </c>
      <c r="AR26" s="105" t="str">
        <f t="shared" si="21"/>
        <v/>
      </c>
      <c r="AS26" s="105" t="str">
        <f t="shared" si="22"/>
        <v/>
      </c>
      <c r="AT26" s="108" t="str">
        <f t="shared" si="23"/>
        <v/>
      </c>
      <c r="AU26" s="108" t="str">
        <f t="shared" si="24"/>
        <v/>
      </c>
      <c r="AV26" s="107" t="str">
        <f>IF(ISNUMBER(O26),IF(VLOOKUP($A26,Stand!C:J,8,FALSE)="Short",AT26,AU26),"")</f>
        <v/>
      </c>
      <c r="AW26" s="109" t="str">
        <f t="shared" si="25"/>
        <v/>
      </c>
      <c r="AX26" s="109" t="str">
        <f t="shared" si="26"/>
        <v/>
      </c>
      <c r="AY26" s="112" t="str">
        <f>IF(ISNUMBER(O26),IF(AND(VLOOKUP($D26,Merchantability!$B:$C,2,0)="Yes",$E26&gt;=VLOOKUP($D26,Merchantability!$B:$D,3,0),$E26&lt;=VLOOKUP($D26,Merchantability!$B:$E,4,0)),(AV26*O26)*(1-$H26/100),""),"")</f>
        <v/>
      </c>
      <c r="AZ26" s="115"/>
      <c r="BA26" s="116"/>
      <c r="BB26" s="116"/>
      <c r="BE26" s="62"/>
      <c r="BF26" s="63"/>
    </row>
    <row r="27" spans="1:58" ht="12.75" customHeight="1" x14ac:dyDescent="0.25">
      <c r="A27" s="313"/>
      <c r="B27" s="328"/>
      <c r="C27" s="329"/>
      <c r="D27" s="328"/>
      <c r="E27" s="330"/>
      <c r="F27" s="331"/>
      <c r="G27" s="329"/>
      <c r="H27" s="329"/>
      <c r="I27" s="328"/>
      <c r="J27" s="329"/>
      <c r="K27" s="329"/>
      <c r="L27" s="329"/>
      <c r="M27" s="76"/>
      <c r="N27" s="103" t="str">
        <f>IF(A27="","",VLOOKUP(A27,Stand!C:K,9,0))</f>
        <v/>
      </c>
      <c r="O27" s="104" t="str">
        <f t="shared" si="0"/>
        <v/>
      </c>
      <c r="P27" s="105" t="str">
        <f t="shared" si="1"/>
        <v/>
      </c>
      <c r="Q27" s="105" t="str">
        <f t="shared" si="2"/>
        <v/>
      </c>
      <c r="R27" s="103" t="str">
        <f t="shared" si="3"/>
        <v/>
      </c>
      <c r="S27" s="103" t="str">
        <f t="shared" si="4"/>
        <v/>
      </c>
      <c r="T27" s="106" t="str">
        <f t="shared" si="5"/>
        <v/>
      </c>
      <c r="U27" s="106" t="str">
        <f t="shared" si="6"/>
        <v/>
      </c>
      <c r="V27" s="106" t="str">
        <f t="shared" si="7"/>
        <v/>
      </c>
      <c r="W27" s="105" t="str">
        <f t="shared" si="8"/>
        <v/>
      </c>
      <c r="X27" s="104" t="str">
        <f t="shared" si="9"/>
        <v/>
      </c>
      <c r="Y27" s="104" t="str">
        <f t="array" ref="Y27">IFERROR(IF(ISNUMBER(O27),IF(COUNT(IF(A27=$A$2:$A$2427,IF(D27=$D$2:$D$2427,IF($X$2:$X$2427&gt;0,1))))&gt;0,SUM(IF(A27=$A$2:$A$2427,IF(D27=$D$2:$D$2427,$X$2:$X$2427)))/COUNT(IF(A27=$A$2:$A$2427,IF(D27=$D$2:$D$2427,IF(ISNUMBER($X$2:$X$2427),1)))),0),""),0)</f>
        <v/>
      </c>
      <c r="Z27" s="104" t="str">
        <f>IF(ISNUMBER(O27),IF(I27&gt;0,(10^(VLOOKUP(D27,'Species Codes'!B:C,2,0)+VLOOKUP(D27,'Species Codes'!B:D,3,0)*LOG(E27)+VLOOKUP(D27,'Species Codes'!B:E,4,0)*LOG(I27))),0),"")</f>
        <v/>
      </c>
      <c r="AA27" s="104" t="str">
        <f>IFERROR((VLOOKUP(D27,'Species Codes'!B:G,6,0)*Z27)/2000,"")</f>
        <v/>
      </c>
      <c r="AB27" s="104" t="e">
        <f>IF(Z27&gt;0,((IF(OR(D27="DF",D27="RA")=TRUE,EXP(VLOOKUP(D27,'Species Codes'!B:I,8,0)+VLOOKUP(D27,'Species Codes'!B:J,9,0)*(LN((E27*2.54)))),IF(OR(D27="PY",D27="RC",D27="WH",D27="NF")=TRUE,VLOOKUP(D27,'Species Codes'!B:I,8,0)+VLOOKUP(D27,'Species Codes'!B:J,9,0)*((E27*2.54)^2)*(I27*0.3048),IF(OR(D27="MD",D27="BM",D27="GA")=TRUE,((VLOOKUP(D27,'Species Codes'!B:I,8,0)*(((((E27*2.54)+VLOOKUP(D27,'Species Codes'!B:J,9,0))/VLOOKUP(D27,'Species Codes'!B:K,10,0))^VLOOKUP(D27,'Species Codes'!B:L,11,0))*((I27*0.3048)^VLOOKUP(D27,'Species Codes'!B:M,12,0))))-(VLOOKUP(D27,'Species Codes'!B:I,8,0)*((((E27*2.54)^VLOOKUP(D27,'Species Codes'!B:L,11,0))*((I27*0.3048)^VLOOKUP(D27,'Species Codes'!B:M,12,0))))))*35.3*VLOOKUP(D27,'Species Codes'!B:G,6,0)/2.2046,VLOOKUP(D27,'Species Codes'!B:I,8,0)+VLOOKUP(D27,'Species Codes'!B:J,9,0)*(((E27*2.54)/100)^2)*(I27*0.3048)))))*0.0011023),0)</f>
        <v>#N/A</v>
      </c>
      <c r="AC27" s="104" t="e">
        <f>IF(Z27&gt;0,((IF(OR(D27="RA",D27="OA",D27="OT",D27="UN",D27="PC"),EXP(VLOOKUP(D27,'Species Codes'!B:O,14,0)+VLOOKUP(D27,'Species Codes'!B:P,15,0)*LN((E27*2.54)))-EXP(VLOOKUP(D27,'Species Codes'!B:O,14,0)+VLOOKUP(D27,'Species Codes'!B:P,15,0)*LN((E27*2.54)))*(1/(VLOOKUP(D27,'Species Codes'!B:Q,16,0)+VLOOKUP(D27,'Species Codes'!B:R,17,0)*((E27*2.54)^VLOOKUP(D27,'Species Codes'!B:S,18,0)))),IF(OR(D27="BM",D27="MD",D27="OA"),EXP(VLOOKUP(D27,'Species Codes'!B:O,14,0)+VLOOKUP(D27,'Species Codes'!B:P,15,0)*LN((E27*2.54)))*(1-(1/(VLOOKUP(D27,'Species Codes'!B:Q,16,0)+VLOOKUP(D27,'Species Codes'!B:R,17,0)*((E27*2.54)^VLOOKUP(D27,'Species Codes'!B:S,18,0)))))/1000,IF(D27="DF",EXP(VLOOKUP(D27,'Species Codes'!B:O,14,0)+VLOOKUP(D27,'Species Codes'!B:P,15,0)*LN((E27*2.54))),VLOOKUP(D27,'Species Codes'!B:O,14,0)+VLOOKUP(D27,'Species Codes'!B:P,15,0)*(((E27*2.54)/100)^2)*(I27*0.3048)))))*0.0011023),0)</f>
        <v>#N/A</v>
      </c>
      <c r="AD27" s="104" t="e">
        <f t="shared" si="10"/>
        <v>#N/A</v>
      </c>
      <c r="AE27" s="104" t="e">
        <f t="shared" si="11"/>
        <v>#N/A</v>
      </c>
      <c r="AF27" s="104" t="e">
        <f>IF(AND(VLOOKUP($D27,Merchantability!$B:$C,2,0)="Yes",$E27&gt;=VLOOKUP($D27,Merchantability!$B:$D,3,0),$E27&lt;=VLOOKUP($D27,Merchantability!$B:$E,4,0)),AA27,0)</f>
        <v>#N/A</v>
      </c>
      <c r="AG27" s="104" t="e">
        <f>IF(AND(VLOOKUP($D27,Merchantability!$B:$C,2,0)="Yes",$E27&gt;=VLOOKUP($D27,Merchantability!$B:$D,3,0),$E27&lt;=VLOOKUP($D27,Merchantability!$B:$E,4,0)),AB27,0)</f>
        <v>#N/A</v>
      </c>
      <c r="AH27" s="104" t="e">
        <f>IF(AND(VLOOKUP($D27,Merchantability!$B:$C,2,0)="Yes",$E27&gt;=VLOOKUP($D27,Merchantability!$B:$D,3,0),$E27&lt;=VLOOKUP($D27,Merchantability!$B:$E,4,0)),AC27,0)</f>
        <v>#N/A</v>
      </c>
      <c r="AI27" s="104" t="e">
        <f t="shared" si="12"/>
        <v>#N/A</v>
      </c>
      <c r="AJ27" s="104" t="e">
        <f t="shared" si="13"/>
        <v>#VALUE!</v>
      </c>
      <c r="AK27" s="104" t="e">
        <f t="shared" si="14"/>
        <v>#N/A</v>
      </c>
      <c r="AL27" s="104" t="e">
        <f t="shared" si="15"/>
        <v>#N/A</v>
      </c>
      <c r="AM27" s="104" t="e">
        <f t="shared" si="16"/>
        <v>#N/A</v>
      </c>
      <c r="AN27" s="104" t="e">
        <f t="shared" si="17"/>
        <v>#N/A</v>
      </c>
      <c r="AO27" s="104" t="e">
        <f t="shared" si="18"/>
        <v>#N/A</v>
      </c>
      <c r="AP27" s="104" t="e">
        <f t="shared" si="19"/>
        <v>#N/A</v>
      </c>
      <c r="AQ27" s="104" t="e">
        <f t="shared" si="20"/>
        <v>#N/A</v>
      </c>
      <c r="AR27" s="105" t="str">
        <f t="shared" si="21"/>
        <v/>
      </c>
      <c r="AS27" s="105" t="str">
        <f t="shared" si="22"/>
        <v/>
      </c>
      <c r="AT27" s="108" t="str">
        <f t="shared" si="23"/>
        <v/>
      </c>
      <c r="AU27" s="108" t="str">
        <f t="shared" si="24"/>
        <v/>
      </c>
      <c r="AV27" s="107" t="str">
        <f>IF(ISNUMBER(O27),IF(VLOOKUP($A27,Stand!C:J,8,FALSE)="Short",AT27,AU27),"")</f>
        <v/>
      </c>
      <c r="AW27" s="109" t="str">
        <f t="shared" si="25"/>
        <v/>
      </c>
      <c r="AX27" s="109" t="str">
        <f t="shared" si="26"/>
        <v/>
      </c>
      <c r="AY27" s="112" t="str">
        <f>IF(ISNUMBER(O27),IF(AND(VLOOKUP($D27,Merchantability!$B:$C,2,0)="Yes",$E27&gt;=VLOOKUP($D27,Merchantability!$B:$D,3,0),$E27&lt;=VLOOKUP($D27,Merchantability!$B:$E,4,0)),(AV27*O27)*(1-$H27/100),""),"")</f>
        <v/>
      </c>
      <c r="AZ27" s="115"/>
      <c r="BA27" s="116"/>
      <c r="BB27" s="116"/>
      <c r="BE27" s="62"/>
      <c r="BF27" s="63"/>
    </row>
    <row r="28" spans="1:58" ht="12.75" customHeight="1" x14ac:dyDescent="0.25">
      <c r="A28" s="313"/>
      <c r="B28" s="328"/>
      <c r="C28" s="329"/>
      <c r="D28" s="328"/>
      <c r="E28" s="330"/>
      <c r="F28" s="331"/>
      <c r="G28" s="329"/>
      <c r="H28" s="329"/>
      <c r="I28" s="328"/>
      <c r="J28" s="329"/>
      <c r="K28" s="329"/>
      <c r="L28" s="329"/>
      <c r="M28" s="76"/>
      <c r="N28" s="103" t="str">
        <f>IF(A28="","",VLOOKUP(A28,Stand!C:K,9,0))</f>
        <v/>
      </c>
      <c r="O28" s="104" t="str">
        <f t="shared" si="0"/>
        <v/>
      </c>
      <c r="P28" s="105" t="str">
        <f t="shared" si="1"/>
        <v/>
      </c>
      <c r="Q28" s="105" t="str">
        <f t="shared" si="2"/>
        <v/>
      </c>
      <c r="R28" s="103" t="str">
        <f t="shared" si="3"/>
        <v/>
      </c>
      <c r="S28" s="103" t="str">
        <f t="shared" si="4"/>
        <v/>
      </c>
      <c r="T28" s="106" t="str">
        <f t="shared" si="5"/>
        <v/>
      </c>
      <c r="U28" s="106" t="str">
        <f t="shared" si="6"/>
        <v/>
      </c>
      <c r="V28" s="106" t="str">
        <f t="shared" si="7"/>
        <v/>
      </c>
      <c r="W28" s="105" t="str">
        <f t="shared" si="8"/>
        <v/>
      </c>
      <c r="X28" s="104" t="str">
        <f t="shared" si="9"/>
        <v/>
      </c>
      <c r="Y28" s="104" t="str">
        <f t="array" ref="Y28">IFERROR(IF(ISNUMBER(O28),IF(COUNT(IF(A28=$A$2:$A$2427,IF(D28=$D$2:$D$2427,IF($X$2:$X$2427&gt;0,1))))&gt;0,SUM(IF(A28=$A$2:$A$2427,IF(D28=$D$2:$D$2427,$X$2:$X$2427)))/COUNT(IF(A28=$A$2:$A$2427,IF(D28=$D$2:$D$2427,IF(ISNUMBER($X$2:$X$2427),1)))),0),""),0)</f>
        <v/>
      </c>
      <c r="Z28" s="104" t="str">
        <f>IF(ISNUMBER(O28),IF(I28&gt;0,(10^(VLOOKUP(D28,'Species Codes'!B:C,2,0)+VLOOKUP(D28,'Species Codes'!B:D,3,0)*LOG(E28)+VLOOKUP(D28,'Species Codes'!B:E,4,0)*LOG(I28))),0),"")</f>
        <v/>
      </c>
      <c r="AA28" s="104" t="str">
        <f>IFERROR((VLOOKUP(D28,'Species Codes'!B:G,6,0)*Z28)/2000,"")</f>
        <v/>
      </c>
      <c r="AB28" s="104" t="e">
        <f>IF(Z28&gt;0,((IF(OR(D28="DF",D28="RA")=TRUE,EXP(VLOOKUP(D28,'Species Codes'!B:I,8,0)+VLOOKUP(D28,'Species Codes'!B:J,9,0)*(LN((E28*2.54)))),IF(OR(D28="PY",D28="RC",D28="WH",D28="NF")=TRUE,VLOOKUP(D28,'Species Codes'!B:I,8,0)+VLOOKUP(D28,'Species Codes'!B:J,9,0)*((E28*2.54)^2)*(I28*0.3048),IF(OR(D28="MD",D28="BM",D28="GA")=TRUE,((VLOOKUP(D28,'Species Codes'!B:I,8,0)*(((((E28*2.54)+VLOOKUP(D28,'Species Codes'!B:J,9,0))/VLOOKUP(D28,'Species Codes'!B:K,10,0))^VLOOKUP(D28,'Species Codes'!B:L,11,0))*((I28*0.3048)^VLOOKUP(D28,'Species Codes'!B:M,12,0))))-(VLOOKUP(D28,'Species Codes'!B:I,8,0)*((((E28*2.54)^VLOOKUP(D28,'Species Codes'!B:L,11,0))*((I28*0.3048)^VLOOKUP(D28,'Species Codes'!B:M,12,0))))))*35.3*VLOOKUP(D28,'Species Codes'!B:G,6,0)/2.2046,VLOOKUP(D28,'Species Codes'!B:I,8,0)+VLOOKUP(D28,'Species Codes'!B:J,9,0)*(((E28*2.54)/100)^2)*(I28*0.3048)))))*0.0011023),0)</f>
        <v>#N/A</v>
      </c>
      <c r="AC28" s="104" t="e">
        <f>IF(Z28&gt;0,((IF(OR(D28="RA",D28="OA",D28="OT",D28="UN",D28="PC"),EXP(VLOOKUP(D28,'Species Codes'!B:O,14,0)+VLOOKUP(D28,'Species Codes'!B:P,15,0)*LN((E28*2.54)))-EXP(VLOOKUP(D28,'Species Codes'!B:O,14,0)+VLOOKUP(D28,'Species Codes'!B:P,15,0)*LN((E28*2.54)))*(1/(VLOOKUP(D28,'Species Codes'!B:Q,16,0)+VLOOKUP(D28,'Species Codes'!B:R,17,0)*((E28*2.54)^VLOOKUP(D28,'Species Codes'!B:S,18,0)))),IF(OR(D28="BM",D28="MD",D28="OA"),EXP(VLOOKUP(D28,'Species Codes'!B:O,14,0)+VLOOKUP(D28,'Species Codes'!B:P,15,0)*LN((E28*2.54)))*(1-(1/(VLOOKUP(D28,'Species Codes'!B:Q,16,0)+VLOOKUP(D28,'Species Codes'!B:R,17,0)*((E28*2.54)^VLOOKUP(D28,'Species Codes'!B:S,18,0)))))/1000,IF(D28="DF",EXP(VLOOKUP(D28,'Species Codes'!B:O,14,0)+VLOOKUP(D28,'Species Codes'!B:P,15,0)*LN((E28*2.54))),VLOOKUP(D28,'Species Codes'!B:O,14,0)+VLOOKUP(D28,'Species Codes'!B:P,15,0)*(((E28*2.54)/100)^2)*(I28*0.3048)))))*0.0011023),0)</f>
        <v>#N/A</v>
      </c>
      <c r="AD28" s="104" t="e">
        <f t="shared" si="10"/>
        <v>#N/A</v>
      </c>
      <c r="AE28" s="104" t="e">
        <f t="shared" si="11"/>
        <v>#N/A</v>
      </c>
      <c r="AF28" s="104" t="e">
        <f>IF(AND(VLOOKUP($D28,Merchantability!$B:$C,2,0)="Yes",$E28&gt;=VLOOKUP($D28,Merchantability!$B:$D,3,0),$E28&lt;=VLOOKUP($D28,Merchantability!$B:$E,4,0)),AA28,0)</f>
        <v>#N/A</v>
      </c>
      <c r="AG28" s="104" t="e">
        <f>IF(AND(VLOOKUP($D28,Merchantability!$B:$C,2,0)="Yes",$E28&gt;=VLOOKUP($D28,Merchantability!$B:$D,3,0),$E28&lt;=VLOOKUP($D28,Merchantability!$B:$E,4,0)),AB28,0)</f>
        <v>#N/A</v>
      </c>
      <c r="AH28" s="104" t="e">
        <f>IF(AND(VLOOKUP($D28,Merchantability!$B:$C,2,0)="Yes",$E28&gt;=VLOOKUP($D28,Merchantability!$B:$D,3,0),$E28&lt;=VLOOKUP($D28,Merchantability!$B:$E,4,0)),AC28,0)</f>
        <v>#N/A</v>
      </c>
      <c r="AI28" s="104" t="e">
        <f t="shared" si="12"/>
        <v>#N/A</v>
      </c>
      <c r="AJ28" s="104" t="e">
        <f t="shared" si="13"/>
        <v>#VALUE!</v>
      </c>
      <c r="AK28" s="104" t="e">
        <f t="shared" si="14"/>
        <v>#N/A</v>
      </c>
      <c r="AL28" s="104" t="e">
        <f t="shared" si="15"/>
        <v>#N/A</v>
      </c>
      <c r="AM28" s="104" t="e">
        <f t="shared" si="16"/>
        <v>#N/A</v>
      </c>
      <c r="AN28" s="104" t="e">
        <f t="shared" si="17"/>
        <v>#N/A</v>
      </c>
      <c r="AO28" s="104" t="e">
        <f t="shared" si="18"/>
        <v>#N/A</v>
      </c>
      <c r="AP28" s="104" t="e">
        <f t="shared" si="19"/>
        <v>#N/A</v>
      </c>
      <c r="AQ28" s="104" t="e">
        <f t="shared" si="20"/>
        <v>#N/A</v>
      </c>
      <c r="AR28" s="105" t="str">
        <f t="shared" si="21"/>
        <v/>
      </c>
      <c r="AS28" s="105" t="str">
        <f t="shared" si="22"/>
        <v/>
      </c>
      <c r="AT28" s="108" t="str">
        <f t="shared" si="23"/>
        <v/>
      </c>
      <c r="AU28" s="108" t="str">
        <f t="shared" si="24"/>
        <v/>
      </c>
      <c r="AV28" s="107" t="str">
        <f>IF(ISNUMBER(O28),IF(VLOOKUP($A28,Stand!C:J,8,FALSE)="Short",AT28,AU28),"")</f>
        <v/>
      </c>
      <c r="AW28" s="109" t="str">
        <f t="shared" si="25"/>
        <v/>
      </c>
      <c r="AX28" s="109" t="str">
        <f t="shared" si="26"/>
        <v/>
      </c>
      <c r="AY28" s="112" t="str">
        <f>IF(ISNUMBER(O28),IF(AND(VLOOKUP($D28,Merchantability!$B:$C,2,0)="Yes",$E28&gt;=VLOOKUP($D28,Merchantability!$B:$D,3,0),$E28&lt;=VLOOKUP($D28,Merchantability!$B:$E,4,0)),(AV28*O28)*(1-$H28/100),""),"")</f>
        <v/>
      </c>
      <c r="AZ28" s="116"/>
      <c r="BA28" s="116"/>
      <c r="BB28" s="116"/>
      <c r="BE28" s="62"/>
      <c r="BF28" s="63"/>
    </row>
    <row r="29" spans="1:58" ht="12.75" customHeight="1" x14ac:dyDescent="0.25">
      <c r="A29" s="313"/>
      <c r="B29" s="328"/>
      <c r="C29" s="329"/>
      <c r="D29" s="328"/>
      <c r="E29" s="330"/>
      <c r="F29" s="331"/>
      <c r="G29" s="329"/>
      <c r="H29" s="329"/>
      <c r="I29" s="328"/>
      <c r="J29" s="329"/>
      <c r="K29" s="329"/>
      <c r="L29" s="329"/>
      <c r="M29" s="76"/>
      <c r="N29" s="103" t="str">
        <f>IF(A29="","",VLOOKUP(A29,Stand!C:K,9,0))</f>
        <v/>
      </c>
      <c r="O29" s="104" t="str">
        <f t="shared" si="0"/>
        <v/>
      </c>
      <c r="P29" s="105" t="str">
        <f t="shared" si="1"/>
        <v/>
      </c>
      <c r="Q29" s="105" t="str">
        <f t="shared" si="2"/>
        <v/>
      </c>
      <c r="R29" s="103" t="str">
        <f t="shared" si="3"/>
        <v/>
      </c>
      <c r="S29" s="103" t="str">
        <f t="shared" si="4"/>
        <v/>
      </c>
      <c r="T29" s="106" t="str">
        <f t="shared" si="5"/>
        <v/>
      </c>
      <c r="U29" s="106" t="str">
        <f t="shared" si="6"/>
        <v/>
      </c>
      <c r="V29" s="106" t="str">
        <f t="shared" si="7"/>
        <v/>
      </c>
      <c r="W29" s="105" t="str">
        <f t="shared" si="8"/>
        <v/>
      </c>
      <c r="X29" s="104" t="str">
        <f t="shared" si="9"/>
        <v/>
      </c>
      <c r="Y29" s="104" t="str">
        <f t="array" ref="Y29">IFERROR(IF(ISNUMBER(O29),IF(COUNT(IF(A29=$A$2:$A$2427,IF(D29=$D$2:$D$2427,IF($X$2:$X$2427&gt;0,1))))&gt;0,SUM(IF(A29=$A$2:$A$2427,IF(D29=$D$2:$D$2427,$X$2:$X$2427)))/COUNT(IF(A29=$A$2:$A$2427,IF(D29=$D$2:$D$2427,IF(ISNUMBER($X$2:$X$2427),1)))),0),""),0)</f>
        <v/>
      </c>
      <c r="Z29" s="104" t="str">
        <f>IF(ISNUMBER(O29),IF(I29&gt;0,(10^(VLOOKUP(D29,'Species Codes'!B:C,2,0)+VLOOKUP(D29,'Species Codes'!B:D,3,0)*LOG(E29)+VLOOKUP(D29,'Species Codes'!B:E,4,0)*LOG(I29))),0),"")</f>
        <v/>
      </c>
      <c r="AA29" s="104" t="str">
        <f>IFERROR((VLOOKUP(D29,'Species Codes'!B:G,6,0)*Z29)/2000,"")</f>
        <v/>
      </c>
      <c r="AB29" s="104" t="e">
        <f>IF(Z29&gt;0,((IF(OR(D29="DF",D29="RA")=TRUE,EXP(VLOOKUP(D29,'Species Codes'!B:I,8,0)+VLOOKUP(D29,'Species Codes'!B:J,9,0)*(LN((E29*2.54)))),IF(OR(D29="PY",D29="RC",D29="WH",D29="NF")=TRUE,VLOOKUP(D29,'Species Codes'!B:I,8,0)+VLOOKUP(D29,'Species Codes'!B:J,9,0)*((E29*2.54)^2)*(I29*0.3048),IF(OR(D29="MD",D29="BM",D29="GA")=TRUE,((VLOOKUP(D29,'Species Codes'!B:I,8,0)*(((((E29*2.54)+VLOOKUP(D29,'Species Codes'!B:J,9,0))/VLOOKUP(D29,'Species Codes'!B:K,10,0))^VLOOKUP(D29,'Species Codes'!B:L,11,0))*((I29*0.3048)^VLOOKUP(D29,'Species Codes'!B:M,12,0))))-(VLOOKUP(D29,'Species Codes'!B:I,8,0)*((((E29*2.54)^VLOOKUP(D29,'Species Codes'!B:L,11,0))*((I29*0.3048)^VLOOKUP(D29,'Species Codes'!B:M,12,0))))))*35.3*VLOOKUP(D29,'Species Codes'!B:G,6,0)/2.2046,VLOOKUP(D29,'Species Codes'!B:I,8,0)+VLOOKUP(D29,'Species Codes'!B:J,9,0)*(((E29*2.54)/100)^2)*(I29*0.3048)))))*0.0011023),0)</f>
        <v>#N/A</v>
      </c>
      <c r="AC29" s="104" t="e">
        <f>IF(Z29&gt;0,((IF(OR(D29="RA",D29="OA",D29="OT",D29="UN",D29="PC"),EXP(VLOOKUP(D29,'Species Codes'!B:O,14,0)+VLOOKUP(D29,'Species Codes'!B:P,15,0)*LN((E29*2.54)))-EXP(VLOOKUP(D29,'Species Codes'!B:O,14,0)+VLOOKUP(D29,'Species Codes'!B:P,15,0)*LN((E29*2.54)))*(1/(VLOOKUP(D29,'Species Codes'!B:Q,16,0)+VLOOKUP(D29,'Species Codes'!B:R,17,0)*((E29*2.54)^VLOOKUP(D29,'Species Codes'!B:S,18,0)))),IF(OR(D29="BM",D29="MD",D29="OA"),EXP(VLOOKUP(D29,'Species Codes'!B:O,14,0)+VLOOKUP(D29,'Species Codes'!B:P,15,0)*LN((E29*2.54)))*(1-(1/(VLOOKUP(D29,'Species Codes'!B:Q,16,0)+VLOOKUP(D29,'Species Codes'!B:R,17,0)*((E29*2.54)^VLOOKUP(D29,'Species Codes'!B:S,18,0)))))/1000,IF(D29="DF",EXP(VLOOKUP(D29,'Species Codes'!B:O,14,0)+VLOOKUP(D29,'Species Codes'!B:P,15,0)*LN((E29*2.54))),VLOOKUP(D29,'Species Codes'!B:O,14,0)+VLOOKUP(D29,'Species Codes'!B:P,15,0)*(((E29*2.54)/100)^2)*(I29*0.3048)))))*0.0011023),0)</f>
        <v>#N/A</v>
      </c>
      <c r="AD29" s="104" t="e">
        <f t="shared" si="10"/>
        <v>#N/A</v>
      </c>
      <c r="AE29" s="104" t="e">
        <f t="shared" si="11"/>
        <v>#N/A</v>
      </c>
      <c r="AF29" s="104" t="e">
        <f>IF(AND(VLOOKUP($D29,Merchantability!$B:$C,2,0)="Yes",$E29&gt;=VLOOKUP($D29,Merchantability!$B:$D,3,0),$E29&lt;=VLOOKUP($D29,Merchantability!$B:$E,4,0)),AA29,0)</f>
        <v>#N/A</v>
      </c>
      <c r="AG29" s="104" t="e">
        <f>IF(AND(VLOOKUP($D29,Merchantability!$B:$C,2,0)="Yes",$E29&gt;=VLOOKUP($D29,Merchantability!$B:$D,3,0),$E29&lt;=VLOOKUP($D29,Merchantability!$B:$E,4,0)),AB29,0)</f>
        <v>#N/A</v>
      </c>
      <c r="AH29" s="104" t="e">
        <f>IF(AND(VLOOKUP($D29,Merchantability!$B:$C,2,0)="Yes",$E29&gt;=VLOOKUP($D29,Merchantability!$B:$D,3,0),$E29&lt;=VLOOKUP($D29,Merchantability!$B:$E,4,0)),AC29,0)</f>
        <v>#N/A</v>
      </c>
      <c r="AI29" s="104" t="e">
        <f t="shared" si="12"/>
        <v>#N/A</v>
      </c>
      <c r="AJ29" s="104" t="e">
        <f t="shared" si="13"/>
        <v>#VALUE!</v>
      </c>
      <c r="AK29" s="104" t="e">
        <f t="shared" si="14"/>
        <v>#N/A</v>
      </c>
      <c r="AL29" s="104" t="e">
        <f t="shared" si="15"/>
        <v>#N/A</v>
      </c>
      <c r="AM29" s="104" t="e">
        <f t="shared" si="16"/>
        <v>#N/A</v>
      </c>
      <c r="AN29" s="104" t="e">
        <f t="shared" si="17"/>
        <v>#N/A</v>
      </c>
      <c r="AO29" s="104" t="e">
        <f t="shared" si="18"/>
        <v>#N/A</v>
      </c>
      <c r="AP29" s="104" t="e">
        <f t="shared" si="19"/>
        <v>#N/A</v>
      </c>
      <c r="AQ29" s="104" t="e">
        <f t="shared" si="20"/>
        <v>#N/A</v>
      </c>
      <c r="AR29" s="105" t="str">
        <f t="shared" si="21"/>
        <v/>
      </c>
      <c r="AS29" s="105" t="str">
        <f t="shared" si="22"/>
        <v/>
      </c>
      <c r="AT29" s="108" t="str">
        <f t="shared" si="23"/>
        <v/>
      </c>
      <c r="AU29" s="108" t="str">
        <f t="shared" si="24"/>
        <v/>
      </c>
      <c r="AV29" s="107" t="str">
        <f>IF(ISNUMBER(O29),IF(VLOOKUP($A29,Stand!C:J,8,FALSE)="Short",AT29,AU29),"")</f>
        <v/>
      </c>
      <c r="AW29" s="109" t="str">
        <f t="shared" si="25"/>
        <v/>
      </c>
      <c r="AX29" s="109" t="str">
        <f t="shared" si="26"/>
        <v/>
      </c>
      <c r="AY29" s="112" t="str">
        <f>IF(ISNUMBER(O29),IF(AND(VLOOKUP($D29,Merchantability!$B:$C,2,0)="Yes",$E29&gt;=VLOOKUP($D29,Merchantability!$B:$D,3,0),$E29&lt;=VLOOKUP($D29,Merchantability!$B:$E,4,0)),(AV29*O29)*(1-$H29/100),""),"")</f>
        <v/>
      </c>
      <c r="AZ29" s="116"/>
      <c r="BA29" s="116"/>
      <c r="BB29" s="116"/>
      <c r="BE29" s="62"/>
      <c r="BF29" s="63"/>
    </row>
    <row r="30" spans="1:58" ht="12.75" customHeight="1" x14ac:dyDescent="0.25">
      <c r="A30" s="313"/>
      <c r="B30" s="328"/>
      <c r="C30" s="329"/>
      <c r="D30" s="328"/>
      <c r="E30" s="330"/>
      <c r="F30" s="331"/>
      <c r="G30" s="329"/>
      <c r="H30" s="329"/>
      <c r="I30" s="328"/>
      <c r="J30" s="329"/>
      <c r="K30" s="329"/>
      <c r="L30" s="329"/>
      <c r="M30" s="76"/>
      <c r="N30" s="103" t="str">
        <f>IF(A30="","",VLOOKUP(A30,Stand!C:K,9,0))</f>
        <v/>
      </c>
      <c r="O30" s="104" t="str">
        <f t="shared" si="0"/>
        <v/>
      </c>
      <c r="P30" s="105" t="str">
        <f t="shared" si="1"/>
        <v/>
      </c>
      <c r="Q30" s="105" t="str">
        <f t="shared" si="2"/>
        <v/>
      </c>
      <c r="R30" s="103" t="str">
        <f t="shared" si="3"/>
        <v/>
      </c>
      <c r="S30" s="103" t="str">
        <f t="shared" si="4"/>
        <v/>
      </c>
      <c r="T30" s="106" t="str">
        <f t="shared" si="5"/>
        <v/>
      </c>
      <c r="U30" s="106" t="str">
        <f t="shared" si="6"/>
        <v/>
      </c>
      <c r="V30" s="106" t="str">
        <f t="shared" si="7"/>
        <v/>
      </c>
      <c r="W30" s="105" t="str">
        <f t="shared" si="8"/>
        <v/>
      </c>
      <c r="X30" s="104" t="str">
        <f t="shared" si="9"/>
        <v/>
      </c>
      <c r="Y30" s="104" t="str">
        <f t="array" ref="Y30">IFERROR(IF(ISNUMBER(O30),IF(COUNT(IF(A30=$A$2:$A$2427,IF(D30=$D$2:$D$2427,IF($X$2:$X$2427&gt;0,1))))&gt;0,SUM(IF(A30=$A$2:$A$2427,IF(D30=$D$2:$D$2427,$X$2:$X$2427)))/COUNT(IF(A30=$A$2:$A$2427,IF(D30=$D$2:$D$2427,IF(ISNUMBER($X$2:$X$2427),1)))),0),""),0)</f>
        <v/>
      </c>
      <c r="Z30" s="104" t="str">
        <f>IF(ISNUMBER(O30),IF(I30&gt;0,(10^(VLOOKUP(D30,'Species Codes'!B:C,2,0)+VLOOKUP(D30,'Species Codes'!B:D,3,0)*LOG(E30)+VLOOKUP(D30,'Species Codes'!B:E,4,0)*LOG(I30))),0),"")</f>
        <v/>
      </c>
      <c r="AA30" s="104" t="str">
        <f>IFERROR((VLOOKUP(D30,'Species Codes'!B:G,6,0)*Z30)/2000,"")</f>
        <v/>
      </c>
      <c r="AB30" s="104" t="e">
        <f>IF(Z30&gt;0,((IF(OR(D30="DF",D30="RA")=TRUE,EXP(VLOOKUP(D30,'Species Codes'!B:I,8,0)+VLOOKUP(D30,'Species Codes'!B:J,9,0)*(LN((E30*2.54)))),IF(OR(D30="PY",D30="RC",D30="WH",D30="NF")=TRUE,VLOOKUP(D30,'Species Codes'!B:I,8,0)+VLOOKUP(D30,'Species Codes'!B:J,9,0)*((E30*2.54)^2)*(I30*0.3048),IF(OR(D30="MD",D30="BM",D30="GA")=TRUE,((VLOOKUP(D30,'Species Codes'!B:I,8,0)*(((((E30*2.54)+VLOOKUP(D30,'Species Codes'!B:J,9,0))/VLOOKUP(D30,'Species Codes'!B:K,10,0))^VLOOKUP(D30,'Species Codes'!B:L,11,0))*((I30*0.3048)^VLOOKUP(D30,'Species Codes'!B:M,12,0))))-(VLOOKUP(D30,'Species Codes'!B:I,8,0)*((((E30*2.54)^VLOOKUP(D30,'Species Codes'!B:L,11,0))*((I30*0.3048)^VLOOKUP(D30,'Species Codes'!B:M,12,0))))))*35.3*VLOOKUP(D30,'Species Codes'!B:G,6,0)/2.2046,VLOOKUP(D30,'Species Codes'!B:I,8,0)+VLOOKUP(D30,'Species Codes'!B:J,9,0)*(((E30*2.54)/100)^2)*(I30*0.3048)))))*0.0011023),0)</f>
        <v>#N/A</v>
      </c>
      <c r="AC30" s="104" t="e">
        <f>IF(Z30&gt;0,((IF(OR(D30="RA",D30="OA",D30="OT",D30="UN",D30="PC"),EXP(VLOOKUP(D30,'Species Codes'!B:O,14,0)+VLOOKUP(D30,'Species Codes'!B:P,15,0)*LN((E30*2.54)))-EXP(VLOOKUP(D30,'Species Codes'!B:O,14,0)+VLOOKUP(D30,'Species Codes'!B:P,15,0)*LN((E30*2.54)))*(1/(VLOOKUP(D30,'Species Codes'!B:Q,16,0)+VLOOKUP(D30,'Species Codes'!B:R,17,0)*((E30*2.54)^VLOOKUP(D30,'Species Codes'!B:S,18,0)))),IF(OR(D30="BM",D30="MD",D30="OA"),EXP(VLOOKUP(D30,'Species Codes'!B:O,14,0)+VLOOKUP(D30,'Species Codes'!B:P,15,0)*LN((E30*2.54)))*(1-(1/(VLOOKUP(D30,'Species Codes'!B:Q,16,0)+VLOOKUP(D30,'Species Codes'!B:R,17,0)*((E30*2.54)^VLOOKUP(D30,'Species Codes'!B:S,18,0)))))/1000,IF(D30="DF",EXP(VLOOKUP(D30,'Species Codes'!B:O,14,0)+VLOOKUP(D30,'Species Codes'!B:P,15,0)*LN((E30*2.54))),VLOOKUP(D30,'Species Codes'!B:O,14,0)+VLOOKUP(D30,'Species Codes'!B:P,15,0)*(((E30*2.54)/100)^2)*(I30*0.3048)))))*0.0011023),0)</f>
        <v>#N/A</v>
      </c>
      <c r="AD30" s="104" t="e">
        <f t="shared" si="10"/>
        <v>#N/A</v>
      </c>
      <c r="AE30" s="104" t="e">
        <f t="shared" si="11"/>
        <v>#N/A</v>
      </c>
      <c r="AF30" s="104" t="e">
        <f>IF(AND(VLOOKUP($D30,Merchantability!$B:$C,2,0)="Yes",$E30&gt;=VLOOKUP($D30,Merchantability!$B:$D,3,0),$E30&lt;=VLOOKUP($D30,Merchantability!$B:$E,4,0)),AA30,0)</f>
        <v>#N/A</v>
      </c>
      <c r="AG30" s="104" t="e">
        <f>IF(AND(VLOOKUP($D30,Merchantability!$B:$C,2,0)="Yes",$E30&gt;=VLOOKUP($D30,Merchantability!$B:$D,3,0),$E30&lt;=VLOOKUP($D30,Merchantability!$B:$E,4,0)),AB30,0)</f>
        <v>#N/A</v>
      </c>
      <c r="AH30" s="104" t="e">
        <f>IF(AND(VLOOKUP($D30,Merchantability!$B:$C,2,0)="Yes",$E30&gt;=VLOOKUP($D30,Merchantability!$B:$D,3,0),$E30&lt;=VLOOKUP($D30,Merchantability!$B:$E,4,0)),AC30,0)</f>
        <v>#N/A</v>
      </c>
      <c r="AI30" s="104" t="e">
        <f t="shared" si="12"/>
        <v>#N/A</v>
      </c>
      <c r="AJ30" s="104" t="e">
        <f t="shared" si="13"/>
        <v>#VALUE!</v>
      </c>
      <c r="AK30" s="104" t="e">
        <f t="shared" si="14"/>
        <v>#N/A</v>
      </c>
      <c r="AL30" s="104" t="e">
        <f t="shared" si="15"/>
        <v>#N/A</v>
      </c>
      <c r="AM30" s="104" t="e">
        <f t="shared" si="16"/>
        <v>#N/A</v>
      </c>
      <c r="AN30" s="104" t="e">
        <f t="shared" si="17"/>
        <v>#N/A</v>
      </c>
      <c r="AO30" s="104" t="e">
        <f t="shared" si="18"/>
        <v>#N/A</v>
      </c>
      <c r="AP30" s="104" t="e">
        <f t="shared" si="19"/>
        <v>#N/A</v>
      </c>
      <c r="AQ30" s="104" t="e">
        <f t="shared" si="20"/>
        <v>#N/A</v>
      </c>
      <c r="AR30" s="105" t="str">
        <f t="shared" si="21"/>
        <v/>
      </c>
      <c r="AS30" s="105" t="str">
        <f t="shared" si="22"/>
        <v/>
      </c>
      <c r="AT30" s="108" t="str">
        <f t="shared" si="23"/>
        <v/>
      </c>
      <c r="AU30" s="108" t="str">
        <f t="shared" si="24"/>
        <v/>
      </c>
      <c r="AV30" s="107" t="str">
        <f>IF(ISNUMBER(O30),IF(VLOOKUP($A30,Stand!C:J,8,FALSE)="Short",AT30,AU30),"")</f>
        <v/>
      </c>
      <c r="AW30" s="109" t="str">
        <f t="shared" si="25"/>
        <v/>
      </c>
      <c r="AX30" s="109" t="str">
        <f t="shared" si="26"/>
        <v/>
      </c>
      <c r="AY30" s="112" t="str">
        <f>IF(ISNUMBER(O30),IF(AND(VLOOKUP($D30,Merchantability!$B:$C,2,0)="Yes",$E30&gt;=VLOOKUP($D30,Merchantability!$B:$D,3,0),$E30&lt;=VLOOKUP($D30,Merchantability!$B:$E,4,0)),(AV30*O30)*(1-$H30/100),""),"")</f>
        <v/>
      </c>
      <c r="AZ30" s="116"/>
      <c r="BA30" s="116"/>
      <c r="BB30" s="116"/>
      <c r="BE30" s="62"/>
      <c r="BF30" s="63"/>
    </row>
    <row r="31" spans="1:58" ht="12.75" customHeight="1" x14ac:dyDescent="0.25">
      <c r="A31" s="313"/>
      <c r="B31" s="328"/>
      <c r="C31" s="329"/>
      <c r="D31" s="328"/>
      <c r="E31" s="330"/>
      <c r="F31" s="331"/>
      <c r="G31" s="329"/>
      <c r="H31" s="329"/>
      <c r="I31" s="328"/>
      <c r="J31" s="329"/>
      <c r="K31" s="329"/>
      <c r="L31" s="329"/>
      <c r="M31" s="76"/>
      <c r="N31" s="103" t="str">
        <f>IF(A31="","",VLOOKUP(A31,Stand!C:K,9,0))</f>
        <v/>
      </c>
      <c r="O31" s="104" t="str">
        <f t="shared" si="0"/>
        <v/>
      </c>
      <c r="P31" s="105" t="str">
        <f t="shared" si="1"/>
        <v/>
      </c>
      <c r="Q31" s="105" t="str">
        <f t="shared" si="2"/>
        <v/>
      </c>
      <c r="R31" s="103" t="str">
        <f t="shared" si="3"/>
        <v/>
      </c>
      <c r="S31" s="103" t="str">
        <f t="shared" si="4"/>
        <v/>
      </c>
      <c r="T31" s="106" t="str">
        <f t="shared" si="5"/>
        <v/>
      </c>
      <c r="U31" s="106" t="str">
        <f t="shared" si="6"/>
        <v/>
      </c>
      <c r="V31" s="106" t="str">
        <f t="shared" si="7"/>
        <v/>
      </c>
      <c r="W31" s="105" t="str">
        <f t="shared" si="8"/>
        <v/>
      </c>
      <c r="X31" s="104" t="str">
        <f t="shared" si="9"/>
        <v/>
      </c>
      <c r="Y31" s="104" t="str">
        <f t="array" ref="Y31">IFERROR(IF(ISNUMBER(O31),IF(COUNT(IF(A31=$A$2:$A$2427,IF(D31=$D$2:$D$2427,IF($X$2:$X$2427&gt;0,1))))&gt;0,SUM(IF(A31=$A$2:$A$2427,IF(D31=$D$2:$D$2427,$X$2:$X$2427)))/COUNT(IF(A31=$A$2:$A$2427,IF(D31=$D$2:$D$2427,IF(ISNUMBER($X$2:$X$2427),1)))),0),""),0)</f>
        <v/>
      </c>
      <c r="Z31" s="104" t="str">
        <f>IF(ISNUMBER(O31),IF(I31&gt;0,(10^(VLOOKUP(D31,'Species Codes'!B:C,2,0)+VLOOKUP(D31,'Species Codes'!B:D,3,0)*LOG(E31)+VLOOKUP(D31,'Species Codes'!B:E,4,0)*LOG(I31))),0),"")</f>
        <v/>
      </c>
      <c r="AA31" s="104" t="str">
        <f>IFERROR((VLOOKUP(D31,'Species Codes'!B:G,6,0)*Z31)/2000,"")</f>
        <v/>
      </c>
      <c r="AB31" s="104" t="e">
        <f>IF(Z31&gt;0,((IF(OR(D31="DF",D31="RA")=TRUE,EXP(VLOOKUP(D31,'Species Codes'!B:I,8,0)+VLOOKUP(D31,'Species Codes'!B:J,9,0)*(LN((E31*2.54)))),IF(OR(D31="PY",D31="RC",D31="WH",D31="NF")=TRUE,VLOOKUP(D31,'Species Codes'!B:I,8,0)+VLOOKUP(D31,'Species Codes'!B:J,9,0)*((E31*2.54)^2)*(I31*0.3048),IF(OR(D31="MD",D31="BM",D31="GA")=TRUE,((VLOOKUP(D31,'Species Codes'!B:I,8,0)*(((((E31*2.54)+VLOOKUP(D31,'Species Codes'!B:J,9,0))/VLOOKUP(D31,'Species Codes'!B:K,10,0))^VLOOKUP(D31,'Species Codes'!B:L,11,0))*((I31*0.3048)^VLOOKUP(D31,'Species Codes'!B:M,12,0))))-(VLOOKUP(D31,'Species Codes'!B:I,8,0)*((((E31*2.54)^VLOOKUP(D31,'Species Codes'!B:L,11,0))*((I31*0.3048)^VLOOKUP(D31,'Species Codes'!B:M,12,0))))))*35.3*VLOOKUP(D31,'Species Codes'!B:G,6,0)/2.2046,VLOOKUP(D31,'Species Codes'!B:I,8,0)+VLOOKUP(D31,'Species Codes'!B:J,9,0)*(((E31*2.54)/100)^2)*(I31*0.3048)))))*0.0011023),0)</f>
        <v>#N/A</v>
      </c>
      <c r="AC31" s="104" t="e">
        <f>IF(Z31&gt;0,((IF(OR(D31="RA",D31="OA",D31="OT",D31="UN",D31="PC"),EXP(VLOOKUP(D31,'Species Codes'!B:O,14,0)+VLOOKUP(D31,'Species Codes'!B:P,15,0)*LN((E31*2.54)))-EXP(VLOOKUP(D31,'Species Codes'!B:O,14,0)+VLOOKUP(D31,'Species Codes'!B:P,15,0)*LN((E31*2.54)))*(1/(VLOOKUP(D31,'Species Codes'!B:Q,16,0)+VLOOKUP(D31,'Species Codes'!B:R,17,0)*((E31*2.54)^VLOOKUP(D31,'Species Codes'!B:S,18,0)))),IF(OR(D31="BM",D31="MD",D31="OA"),EXP(VLOOKUP(D31,'Species Codes'!B:O,14,0)+VLOOKUP(D31,'Species Codes'!B:P,15,0)*LN((E31*2.54)))*(1-(1/(VLOOKUP(D31,'Species Codes'!B:Q,16,0)+VLOOKUP(D31,'Species Codes'!B:R,17,0)*((E31*2.54)^VLOOKUP(D31,'Species Codes'!B:S,18,0)))))/1000,IF(D31="DF",EXP(VLOOKUP(D31,'Species Codes'!B:O,14,0)+VLOOKUP(D31,'Species Codes'!B:P,15,0)*LN((E31*2.54))),VLOOKUP(D31,'Species Codes'!B:O,14,0)+VLOOKUP(D31,'Species Codes'!B:P,15,0)*(((E31*2.54)/100)^2)*(I31*0.3048)))))*0.0011023),0)</f>
        <v>#N/A</v>
      </c>
      <c r="AD31" s="104" t="e">
        <f t="shared" si="10"/>
        <v>#N/A</v>
      </c>
      <c r="AE31" s="104" t="e">
        <f t="shared" si="11"/>
        <v>#N/A</v>
      </c>
      <c r="AF31" s="104" t="e">
        <f>IF(AND(VLOOKUP($D31,Merchantability!$B:$C,2,0)="Yes",$E31&gt;=VLOOKUP($D31,Merchantability!$B:$D,3,0),$E31&lt;=VLOOKUP($D31,Merchantability!$B:$E,4,0)),AA31,0)</f>
        <v>#N/A</v>
      </c>
      <c r="AG31" s="104" t="e">
        <f>IF(AND(VLOOKUP($D31,Merchantability!$B:$C,2,0)="Yes",$E31&gt;=VLOOKUP($D31,Merchantability!$B:$D,3,0),$E31&lt;=VLOOKUP($D31,Merchantability!$B:$E,4,0)),AB31,0)</f>
        <v>#N/A</v>
      </c>
      <c r="AH31" s="104" t="e">
        <f>IF(AND(VLOOKUP($D31,Merchantability!$B:$C,2,0)="Yes",$E31&gt;=VLOOKUP($D31,Merchantability!$B:$D,3,0),$E31&lt;=VLOOKUP($D31,Merchantability!$B:$E,4,0)),AC31,0)</f>
        <v>#N/A</v>
      </c>
      <c r="AI31" s="104" t="e">
        <f t="shared" si="12"/>
        <v>#N/A</v>
      </c>
      <c r="AJ31" s="104" t="e">
        <f t="shared" si="13"/>
        <v>#VALUE!</v>
      </c>
      <c r="AK31" s="104" t="e">
        <f t="shared" si="14"/>
        <v>#N/A</v>
      </c>
      <c r="AL31" s="104" t="e">
        <f t="shared" si="15"/>
        <v>#N/A</v>
      </c>
      <c r="AM31" s="104" t="e">
        <f t="shared" si="16"/>
        <v>#N/A</v>
      </c>
      <c r="AN31" s="104" t="e">
        <f t="shared" si="17"/>
        <v>#N/A</v>
      </c>
      <c r="AO31" s="104" t="e">
        <f t="shared" si="18"/>
        <v>#N/A</v>
      </c>
      <c r="AP31" s="104" t="e">
        <f t="shared" si="19"/>
        <v>#N/A</v>
      </c>
      <c r="AQ31" s="104" t="e">
        <f t="shared" si="20"/>
        <v>#N/A</v>
      </c>
      <c r="AR31" s="105" t="str">
        <f t="shared" si="21"/>
        <v/>
      </c>
      <c r="AS31" s="105" t="str">
        <f t="shared" si="22"/>
        <v/>
      </c>
      <c r="AT31" s="108" t="str">
        <f t="shared" si="23"/>
        <v/>
      </c>
      <c r="AU31" s="108" t="str">
        <f t="shared" si="24"/>
        <v/>
      </c>
      <c r="AV31" s="107" t="str">
        <f>IF(ISNUMBER(O31),IF(VLOOKUP($A31,Stand!C:J,8,FALSE)="Short",AT31,AU31),"")</f>
        <v/>
      </c>
      <c r="AW31" s="109" t="str">
        <f t="shared" si="25"/>
        <v/>
      </c>
      <c r="AX31" s="109" t="str">
        <f t="shared" si="26"/>
        <v/>
      </c>
      <c r="AY31" s="112" t="str">
        <f>IF(ISNUMBER(O31),IF(AND(VLOOKUP($D31,Merchantability!$B:$C,2,0)="Yes",$E31&gt;=VLOOKUP($D31,Merchantability!$B:$D,3,0),$E31&lt;=VLOOKUP($D31,Merchantability!$B:$E,4,0)),(AV31*O31)*(1-$H31/100),""),"")</f>
        <v/>
      </c>
      <c r="AZ31" s="115"/>
      <c r="BA31" s="116"/>
      <c r="BB31" s="116"/>
      <c r="BE31" s="62"/>
      <c r="BF31" s="63"/>
    </row>
    <row r="32" spans="1:58" ht="12.75" customHeight="1" x14ac:dyDescent="0.25">
      <c r="A32" s="313"/>
      <c r="B32" s="328"/>
      <c r="C32" s="329"/>
      <c r="D32" s="328"/>
      <c r="E32" s="330"/>
      <c r="F32" s="331"/>
      <c r="G32" s="329"/>
      <c r="H32" s="329"/>
      <c r="I32" s="328"/>
      <c r="J32" s="329"/>
      <c r="K32" s="329"/>
      <c r="L32" s="329"/>
      <c r="M32" s="76"/>
      <c r="N32" s="103" t="str">
        <f>IF(A32="","",VLOOKUP(A32,Stand!C:K,9,0))</f>
        <v/>
      </c>
      <c r="O32" s="104" t="str">
        <f t="shared" si="0"/>
        <v/>
      </c>
      <c r="P32" s="105" t="str">
        <f t="shared" si="1"/>
        <v/>
      </c>
      <c r="Q32" s="105" t="str">
        <f t="shared" si="2"/>
        <v/>
      </c>
      <c r="R32" s="103" t="str">
        <f t="shared" si="3"/>
        <v/>
      </c>
      <c r="S32" s="103" t="str">
        <f t="shared" si="4"/>
        <v/>
      </c>
      <c r="T32" s="106" t="str">
        <f t="shared" si="5"/>
        <v/>
      </c>
      <c r="U32" s="106" t="str">
        <f t="shared" si="6"/>
        <v/>
      </c>
      <c r="V32" s="106" t="str">
        <f t="shared" si="7"/>
        <v/>
      </c>
      <c r="W32" s="105" t="str">
        <f t="shared" si="8"/>
        <v/>
      </c>
      <c r="X32" s="104" t="str">
        <f t="shared" si="9"/>
        <v/>
      </c>
      <c r="Y32" s="104" t="str">
        <f t="array" ref="Y32">IFERROR(IF(ISNUMBER(O32),IF(COUNT(IF(A32=$A$2:$A$2427,IF(D32=$D$2:$D$2427,IF($X$2:$X$2427&gt;0,1))))&gt;0,SUM(IF(A32=$A$2:$A$2427,IF(D32=$D$2:$D$2427,$X$2:$X$2427)))/COUNT(IF(A32=$A$2:$A$2427,IF(D32=$D$2:$D$2427,IF(ISNUMBER($X$2:$X$2427),1)))),0),""),0)</f>
        <v/>
      </c>
      <c r="Z32" s="104" t="str">
        <f>IF(ISNUMBER(O32),IF(I32&gt;0,(10^(VLOOKUP(D32,'Species Codes'!B:C,2,0)+VLOOKUP(D32,'Species Codes'!B:D,3,0)*LOG(E32)+VLOOKUP(D32,'Species Codes'!B:E,4,0)*LOG(I32))),0),"")</f>
        <v/>
      </c>
      <c r="AA32" s="104" t="str">
        <f>IFERROR((VLOOKUP(D32,'Species Codes'!B:G,6,0)*Z32)/2000,"")</f>
        <v/>
      </c>
      <c r="AB32" s="104" t="e">
        <f>IF(Z32&gt;0,((IF(OR(D32="DF",D32="RA")=TRUE,EXP(VLOOKUP(D32,'Species Codes'!B:I,8,0)+VLOOKUP(D32,'Species Codes'!B:J,9,0)*(LN((E32*2.54)))),IF(OR(D32="PY",D32="RC",D32="WH",D32="NF")=TRUE,VLOOKUP(D32,'Species Codes'!B:I,8,0)+VLOOKUP(D32,'Species Codes'!B:J,9,0)*((E32*2.54)^2)*(I32*0.3048),IF(OR(D32="MD",D32="BM",D32="GA")=TRUE,((VLOOKUP(D32,'Species Codes'!B:I,8,0)*(((((E32*2.54)+VLOOKUP(D32,'Species Codes'!B:J,9,0))/VLOOKUP(D32,'Species Codes'!B:K,10,0))^VLOOKUP(D32,'Species Codes'!B:L,11,0))*((I32*0.3048)^VLOOKUP(D32,'Species Codes'!B:M,12,0))))-(VLOOKUP(D32,'Species Codes'!B:I,8,0)*((((E32*2.54)^VLOOKUP(D32,'Species Codes'!B:L,11,0))*((I32*0.3048)^VLOOKUP(D32,'Species Codes'!B:M,12,0))))))*35.3*VLOOKUP(D32,'Species Codes'!B:G,6,0)/2.2046,VLOOKUP(D32,'Species Codes'!B:I,8,0)+VLOOKUP(D32,'Species Codes'!B:J,9,0)*(((E32*2.54)/100)^2)*(I32*0.3048)))))*0.0011023),0)</f>
        <v>#N/A</v>
      </c>
      <c r="AC32" s="104" t="e">
        <f>IF(Z32&gt;0,((IF(OR(D32="RA",D32="OA",D32="OT",D32="UN",D32="PC"),EXP(VLOOKUP(D32,'Species Codes'!B:O,14,0)+VLOOKUP(D32,'Species Codes'!B:P,15,0)*LN((E32*2.54)))-EXP(VLOOKUP(D32,'Species Codes'!B:O,14,0)+VLOOKUP(D32,'Species Codes'!B:P,15,0)*LN((E32*2.54)))*(1/(VLOOKUP(D32,'Species Codes'!B:Q,16,0)+VLOOKUP(D32,'Species Codes'!B:R,17,0)*((E32*2.54)^VLOOKUP(D32,'Species Codes'!B:S,18,0)))),IF(OR(D32="BM",D32="MD",D32="OA"),EXP(VLOOKUP(D32,'Species Codes'!B:O,14,0)+VLOOKUP(D32,'Species Codes'!B:P,15,0)*LN((E32*2.54)))*(1-(1/(VLOOKUP(D32,'Species Codes'!B:Q,16,0)+VLOOKUP(D32,'Species Codes'!B:R,17,0)*((E32*2.54)^VLOOKUP(D32,'Species Codes'!B:S,18,0)))))/1000,IF(D32="DF",EXP(VLOOKUP(D32,'Species Codes'!B:O,14,0)+VLOOKUP(D32,'Species Codes'!B:P,15,0)*LN((E32*2.54))),VLOOKUP(D32,'Species Codes'!B:O,14,0)+VLOOKUP(D32,'Species Codes'!B:P,15,0)*(((E32*2.54)/100)^2)*(I32*0.3048)))))*0.0011023),0)</f>
        <v>#N/A</v>
      </c>
      <c r="AD32" s="104" t="e">
        <f t="shared" si="10"/>
        <v>#N/A</v>
      </c>
      <c r="AE32" s="104" t="e">
        <f t="shared" si="11"/>
        <v>#N/A</v>
      </c>
      <c r="AF32" s="104" t="e">
        <f>IF(AND(VLOOKUP($D32,Merchantability!$B:$C,2,0)="Yes",$E32&gt;=VLOOKUP($D32,Merchantability!$B:$D,3,0),$E32&lt;=VLOOKUP($D32,Merchantability!$B:$E,4,0)),AA32,0)</f>
        <v>#N/A</v>
      </c>
      <c r="AG32" s="104" t="e">
        <f>IF(AND(VLOOKUP($D32,Merchantability!$B:$C,2,0)="Yes",$E32&gt;=VLOOKUP($D32,Merchantability!$B:$D,3,0),$E32&lt;=VLOOKUP($D32,Merchantability!$B:$E,4,0)),AB32,0)</f>
        <v>#N/A</v>
      </c>
      <c r="AH32" s="104" t="e">
        <f>IF(AND(VLOOKUP($D32,Merchantability!$B:$C,2,0)="Yes",$E32&gt;=VLOOKUP($D32,Merchantability!$B:$D,3,0),$E32&lt;=VLOOKUP($D32,Merchantability!$B:$E,4,0)),AC32,0)</f>
        <v>#N/A</v>
      </c>
      <c r="AI32" s="104" t="e">
        <f t="shared" si="12"/>
        <v>#N/A</v>
      </c>
      <c r="AJ32" s="104" t="e">
        <f t="shared" si="13"/>
        <v>#VALUE!</v>
      </c>
      <c r="AK32" s="104" t="e">
        <f t="shared" si="14"/>
        <v>#N/A</v>
      </c>
      <c r="AL32" s="104" t="e">
        <f t="shared" si="15"/>
        <v>#N/A</v>
      </c>
      <c r="AM32" s="104" t="e">
        <f t="shared" si="16"/>
        <v>#N/A</v>
      </c>
      <c r="AN32" s="104" t="e">
        <f t="shared" si="17"/>
        <v>#N/A</v>
      </c>
      <c r="AO32" s="104" t="e">
        <f t="shared" si="18"/>
        <v>#N/A</v>
      </c>
      <c r="AP32" s="104" t="e">
        <f t="shared" si="19"/>
        <v>#N/A</v>
      </c>
      <c r="AQ32" s="104" t="e">
        <f t="shared" si="20"/>
        <v>#N/A</v>
      </c>
      <c r="AR32" s="105" t="str">
        <f t="shared" si="21"/>
        <v/>
      </c>
      <c r="AS32" s="105" t="str">
        <f t="shared" si="22"/>
        <v/>
      </c>
      <c r="AT32" s="108" t="str">
        <f t="shared" si="23"/>
        <v/>
      </c>
      <c r="AU32" s="108" t="str">
        <f t="shared" si="24"/>
        <v/>
      </c>
      <c r="AV32" s="107" t="str">
        <f>IF(ISNUMBER(O32),IF(VLOOKUP($A32,Stand!C:J,8,FALSE)="Short",AT32,AU32),"")</f>
        <v/>
      </c>
      <c r="AW32" s="109" t="str">
        <f t="shared" si="25"/>
        <v/>
      </c>
      <c r="AX32" s="109" t="str">
        <f t="shared" si="26"/>
        <v/>
      </c>
      <c r="AY32" s="112" t="str">
        <f>IF(ISNUMBER(O32),IF(AND(VLOOKUP($D32,Merchantability!$B:$C,2,0)="Yes",$E32&gt;=VLOOKUP($D32,Merchantability!$B:$D,3,0),$E32&lt;=VLOOKUP($D32,Merchantability!$B:$E,4,0)),(AV32*O32)*(1-$H32/100),""),"")</f>
        <v/>
      </c>
      <c r="AZ32" s="115"/>
      <c r="BA32" s="116"/>
      <c r="BB32" s="116"/>
      <c r="BE32" s="62"/>
      <c r="BF32" s="63"/>
    </row>
    <row r="33" spans="1:58" ht="12.75" customHeight="1" x14ac:dyDescent="0.25">
      <c r="A33" s="313"/>
      <c r="B33" s="328"/>
      <c r="C33" s="329"/>
      <c r="D33" s="328"/>
      <c r="E33" s="330"/>
      <c r="F33" s="331"/>
      <c r="G33" s="329"/>
      <c r="H33" s="329"/>
      <c r="I33" s="328"/>
      <c r="J33" s="329"/>
      <c r="K33" s="329"/>
      <c r="L33" s="329"/>
      <c r="M33" s="76"/>
      <c r="N33" s="103" t="str">
        <f>IF(A33="","",VLOOKUP(A33,Stand!C:K,9,0))</f>
        <v/>
      </c>
      <c r="O33" s="104" t="str">
        <f t="shared" si="0"/>
        <v/>
      </c>
      <c r="P33" s="105" t="str">
        <f t="shared" si="1"/>
        <v/>
      </c>
      <c r="Q33" s="105" t="str">
        <f t="shared" si="2"/>
        <v/>
      </c>
      <c r="R33" s="103" t="str">
        <f t="shared" si="3"/>
        <v/>
      </c>
      <c r="S33" s="103" t="str">
        <f t="shared" si="4"/>
        <v/>
      </c>
      <c r="T33" s="106" t="str">
        <f t="shared" si="5"/>
        <v/>
      </c>
      <c r="U33" s="106" t="str">
        <f t="shared" si="6"/>
        <v/>
      </c>
      <c r="V33" s="106" t="str">
        <f t="shared" si="7"/>
        <v/>
      </c>
      <c r="W33" s="105" t="str">
        <f t="shared" si="8"/>
        <v/>
      </c>
      <c r="X33" s="104" t="str">
        <f t="shared" si="9"/>
        <v/>
      </c>
      <c r="Y33" s="104" t="str">
        <f t="array" ref="Y33">IFERROR(IF(ISNUMBER(O33),IF(COUNT(IF(A33=$A$2:$A$2427,IF(D33=$D$2:$D$2427,IF($X$2:$X$2427&gt;0,1))))&gt;0,SUM(IF(A33=$A$2:$A$2427,IF(D33=$D$2:$D$2427,$X$2:$X$2427)))/COUNT(IF(A33=$A$2:$A$2427,IF(D33=$D$2:$D$2427,IF(ISNUMBER($X$2:$X$2427),1)))),0),""),0)</f>
        <v/>
      </c>
      <c r="Z33" s="104" t="str">
        <f>IF(ISNUMBER(O33),IF(I33&gt;0,(10^(VLOOKUP(D33,'Species Codes'!B:C,2,0)+VLOOKUP(D33,'Species Codes'!B:D,3,0)*LOG(E33)+VLOOKUP(D33,'Species Codes'!B:E,4,0)*LOG(I33))),0),"")</f>
        <v/>
      </c>
      <c r="AA33" s="104" t="str">
        <f>IFERROR((VLOOKUP(D33,'Species Codes'!B:G,6,0)*Z33)/2000,"")</f>
        <v/>
      </c>
      <c r="AB33" s="104" t="e">
        <f>IF(Z33&gt;0,((IF(OR(D33="DF",D33="RA")=TRUE,EXP(VLOOKUP(D33,'Species Codes'!B:I,8,0)+VLOOKUP(D33,'Species Codes'!B:J,9,0)*(LN((E33*2.54)))),IF(OR(D33="PY",D33="RC",D33="WH",D33="NF")=TRUE,VLOOKUP(D33,'Species Codes'!B:I,8,0)+VLOOKUP(D33,'Species Codes'!B:J,9,0)*((E33*2.54)^2)*(I33*0.3048),IF(OR(D33="MD",D33="BM",D33="GA")=TRUE,((VLOOKUP(D33,'Species Codes'!B:I,8,0)*(((((E33*2.54)+VLOOKUP(D33,'Species Codes'!B:J,9,0))/VLOOKUP(D33,'Species Codes'!B:K,10,0))^VLOOKUP(D33,'Species Codes'!B:L,11,0))*((I33*0.3048)^VLOOKUP(D33,'Species Codes'!B:M,12,0))))-(VLOOKUP(D33,'Species Codes'!B:I,8,0)*((((E33*2.54)^VLOOKUP(D33,'Species Codes'!B:L,11,0))*((I33*0.3048)^VLOOKUP(D33,'Species Codes'!B:M,12,0))))))*35.3*VLOOKUP(D33,'Species Codes'!B:G,6,0)/2.2046,VLOOKUP(D33,'Species Codes'!B:I,8,0)+VLOOKUP(D33,'Species Codes'!B:J,9,0)*(((E33*2.54)/100)^2)*(I33*0.3048)))))*0.0011023),0)</f>
        <v>#N/A</v>
      </c>
      <c r="AC33" s="104" t="e">
        <f>IF(Z33&gt;0,((IF(OR(D33="RA",D33="OA",D33="OT",D33="UN",D33="PC"),EXP(VLOOKUP(D33,'Species Codes'!B:O,14,0)+VLOOKUP(D33,'Species Codes'!B:P,15,0)*LN((E33*2.54)))-EXP(VLOOKUP(D33,'Species Codes'!B:O,14,0)+VLOOKUP(D33,'Species Codes'!B:P,15,0)*LN((E33*2.54)))*(1/(VLOOKUP(D33,'Species Codes'!B:Q,16,0)+VLOOKUP(D33,'Species Codes'!B:R,17,0)*((E33*2.54)^VLOOKUP(D33,'Species Codes'!B:S,18,0)))),IF(OR(D33="BM",D33="MD",D33="OA"),EXP(VLOOKUP(D33,'Species Codes'!B:O,14,0)+VLOOKUP(D33,'Species Codes'!B:P,15,0)*LN((E33*2.54)))*(1-(1/(VLOOKUP(D33,'Species Codes'!B:Q,16,0)+VLOOKUP(D33,'Species Codes'!B:R,17,0)*((E33*2.54)^VLOOKUP(D33,'Species Codes'!B:S,18,0)))))/1000,IF(D33="DF",EXP(VLOOKUP(D33,'Species Codes'!B:O,14,0)+VLOOKUP(D33,'Species Codes'!B:P,15,0)*LN((E33*2.54))),VLOOKUP(D33,'Species Codes'!B:O,14,0)+VLOOKUP(D33,'Species Codes'!B:P,15,0)*(((E33*2.54)/100)^2)*(I33*0.3048)))))*0.0011023),0)</f>
        <v>#N/A</v>
      </c>
      <c r="AD33" s="104" t="e">
        <f t="shared" si="10"/>
        <v>#N/A</v>
      </c>
      <c r="AE33" s="104" t="e">
        <f t="shared" si="11"/>
        <v>#N/A</v>
      </c>
      <c r="AF33" s="104" t="e">
        <f>IF(AND(VLOOKUP($D33,Merchantability!$B:$C,2,0)="Yes",$E33&gt;=VLOOKUP($D33,Merchantability!$B:$D,3,0),$E33&lt;=VLOOKUP($D33,Merchantability!$B:$E,4,0)),AA33,0)</f>
        <v>#N/A</v>
      </c>
      <c r="AG33" s="104" t="e">
        <f>IF(AND(VLOOKUP($D33,Merchantability!$B:$C,2,0)="Yes",$E33&gt;=VLOOKUP($D33,Merchantability!$B:$D,3,0),$E33&lt;=VLOOKUP($D33,Merchantability!$B:$E,4,0)),AB33,0)</f>
        <v>#N/A</v>
      </c>
      <c r="AH33" s="104" t="e">
        <f>IF(AND(VLOOKUP($D33,Merchantability!$B:$C,2,0)="Yes",$E33&gt;=VLOOKUP($D33,Merchantability!$B:$D,3,0),$E33&lt;=VLOOKUP($D33,Merchantability!$B:$E,4,0)),AC33,0)</f>
        <v>#N/A</v>
      </c>
      <c r="AI33" s="104" t="e">
        <f t="shared" si="12"/>
        <v>#N/A</v>
      </c>
      <c r="AJ33" s="104" t="e">
        <f t="shared" si="13"/>
        <v>#VALUE!</v>
      </c>
      <c r="AK33" s="104" t="e">
        <f t="shared" si="14"/>
        <v>#N/A</v>
      </c>
      <c r="AL33" s="104" t="e">
        <f t="shared" si="15"/>
        <v>#N/A</v>
      </c>
      <c r="AM33" s="104" t="e">
        <f t="shared" si="16"/>
        <v>#N/A</v>
      </c>
      <c r="AN33" s="104" t="e">
        <f t="shared" si="17"/>
        <v>#N/A</v>
      </c>
      <c r="AO33" s="104" t="e">
        <f t="shared" si="18"/>
        <v>#N/A</v>
      </c>
      <c r="AP33" s="104" t="e">
        <f t="shared" si="19"/>
        <v>#N/A</v>
      </c>
      <c r="AQ33" s="104" t="e">
        <f t="shared" si="20"/>
        <v>#N/A</v>
      </c>
      <c r="AR33" s="105" t="str">
        <f t="shared" si="21"/>
        <v/>
      </c>
      <c r="AS33" s="105" t="str">
        <f t="shared" si="22"/>
        <v/>
      </c>
      <c r="AT33" s="108" t="str">
        <f t="shared" si="23"/>
        <v/>
      </c>
      <c r="AU33" s="108" t="str">
        <f t="shared" si="24"/>
        <v/>
      </c>
      <c r="AV33" s="107" t="str">
        <f>IF(ISNUMBER(O33),IF(VLOOKUP($A33,Stand!C:J,8,FALSE)="Short",AT33,AU33),"")</f>
        <v/>
      </c>
      <c r="AW33" s="109" t="str">
        <f t="shared" si="25"/>
        <v/>
      </c>
      <c r="AX33" s="109" t="str">
        <f t="shared" si="26"/>
        <v/>
      </c>
      <c r="AY33" s="112" t="str">
        <f>IF(ISNUMBER(O33),IF(AND(VLOOKUP($D33,Merchantability!$B:$C,2,0)="Yes",$E33&gt;=VLOOKUP($D33,Merchantability!$B:$D,3,0),$E33&lt;=VLOOKUP($D33,Merchantability!$B:$E,4,0)),(AV33*O33)*(1-$H33/100),""),"")</f>
        <v/>
      </c>
      <c r="AZ33" s="115"/>
      <c r="BA33" s="116"/>
      <c r="BB33" s="116"/>
      <c r="BE33" s="62"/>
      <c r="BF33" s="63"/>
    </row>
    <row r="34" spans="1:58" ht="12.75" customHeight="1" x14ac:dyDescent="0.25">
      <c r="A34" s="313"/>
      <c r="B34" s="328"/>
      <c r="C34" s="329"/>
      <c r="D34" s="328"/>
      <c r="E34" s="330"/>
      <c r="F34" s="331"/>
      <c r="G34" s="329"/>
      <c r="H34" s="329"/>
      <c r="I34" s="328"/>
      <c r="J34" s="329"/>
      <c r="K34" s="329"/>
      <c r="L34" s="329"/>
      <c r="M34" s="76"/>
      <c r="N34" s="103" t="str">
        <f>IF(A34="","",VLOOKUP(A34,Stand!C:K,9,0))</f>
        <v/>
      </c>
      <c r="O34" s="104" t="str">
        <f t="shared" si="0"/>
        <v/>
      </c>
      <c r="P34" s="105" t="str">
        <f t="shared" si="1"/>
        <v/>
      </c>
      <c r="Q34" s="105" t="str">
        <f t="shared" si="2"/>
        <v/>
      </c>
      <c r="R34" s="103" t="str">
        <f t="shared" si="3"/>
        <v/>
      </c>
      <c r="S34" s="103" t="str">
        <f t="shared" si="4"/>
        <v/>
      </c>
      <c r="T34" s="106" t="str">
        <f t="shared" si="5"/>
        <v/>
      </c>
      <c r="U34" s="106" t="str">
        <f t="shared" si="6"/>
        <v/>
      </c>
      <c r="V34" s="106" t="str">
        <f t="shared" si="7"/>
        <v/>
      </c>
      <c r="W34" s="105" t="str">
        <f t="shared" si="8"/>
        <v/>
      </c>
      <c r="X34" s="104" t="str">
        <f t="shared" si="9"/>
        <v/>
      </c>
      <c r="Y34" s="104" t="str">
        <f t="array" ref="Y34">IFERROR(IF(ISNUMBER(O34),IF(COUNT(IF(A34=$A$2:$A$2427,IF(D34=$D$2:$D$2427,IF($X$2:$X$2427&gt;0,1))))&gt;0,SUM(IF(A34=$A$2:$A$2427,IF(D34=$D$2:$D$2427,$X$2:$X$2427)))/COUNT(IF(A34=$A$2:$A$2427,IF(D34=$D$2:$D$2427,IF(ISNUMBER($X$2:$X$2427),1)))),0),""),0)</f>
        <v/>
      </c>
      <c r="Z34" s="104" t="str">
        <f>IF(ISNUMBER(O34),IF(I34&gt;0,(10^(VLOOKUP(D34,'Species Codes'!B:C,2,0)+VLOOKUP(D34,'Species Codes'!B:D,3,0)*LOG(E34)+VLOOKUP(D34,'Species Codes'!B:E,4,0)*LOG(I34))),0),"")</f>
        <v/>
      </c>
      <c r="AA34" s="104" t="str">
        <f>IFERROR((VLOOKUP(D34,'Species Codes'!B:G,6,0)*Z34)/2000,"")</f>
        <v/>
      </c>
      <c r="AB34" s="104" t="e">
        <f>IF(Z34&gt;0,((IF(OR(D34="DF",D34="RA")=TRUE,EXP(VLOOKUP(D34,'Species Codes'!B:I,8,0)+VLOOKUP(D34,'Species Codes'!B:J,9,0)*(LN((E34*2.54)))),IF(OR(D34="PY",D34="RC",D34="WH",D34="NF")=TRUE,VLOOKUP(D34,'Species Codes'!B:I,8,0)+VLOOKUP(D34,'Species Codes'!B:J,9,0)*((E34*2.54)^2)*(I34*0.3048),IF(OR(D34="MD",D34="BM",D34="GA")=TRUE,((VLOOKUP(D34,'Species Codes'!B:I,8,0)*(((((E34*2.54)+VLOOKUP(D34,'Species Codes'!B:J,9,0))/VLOOKUP(D34,'Species Codes'!B:K,10,0))^VLOOKUP(D34,'Species Codes'!B:L,11,0))*((I34*0.3048)^VLOOKUP(D34,'Species Codes'!B:M,12,0))))-(VLOOKUP(D34,'Species Codes'!B:I,8,0)*((((E34*2.54)^VLOOKUP(D34,'Species Codes'!B:L,11,0))*((I34*0.3048)^VLOOKUP(D34,'Species Codes'!B:M,12,0))))))*35.3*VLOOKUP(D34,'Species Codes'!B:G,6,0)/2.2046,VLOOKUP(D34,'Species Codes'!B:I,8,0)+VLOOKUP(D34,'Species Codes'!B:J,9,0)*(((E34*2.54)/100)^2)*(I34*0.3048)))))*0.0011023),0)</f>
        <v>#N/A</v>
      </c>
      <c r="AC34" s="104" t="e">
        <f>IF(Z34&gt;0,((IF(OR(D34="RA",D34="OA",D34="OT",D34="UN",D34="PC"),EXP(VLOOKUP(D34,'Species Codes'!B:O,14,0)+VLOOKUP(D34,'Species Codes'!B:P,15,0)*LN((E34*2.54)))-EXP(VLOOKUP(D34,'Species Codes'!B:O,14,0)+VLOOKUP(D34,'Species Codes'!B:P,15,0)*LN((E34*2.54)))*(1/(VLOOKUP(D34,'Species Codes'!B:Q,16,0)+VLOOKUP(D34,'Species Codes'!B:R,17,0)*((E34*2.54)^VLOOKUP(D34,'Species Codes'!B:S,18,0)))),IF(OR(D34="BM",D34="MD",D34="OA"),EXP(VLOOKUP(D34,'Species Codes'!B:O,14,0)+VLOOKUP(D34,'Species Codes'!B:P,15,0)*LN((E34*2.54)))*(1-(1/(VLOOKUP(D34,'Species Codes'!B:Q,16,0)+VLOOKUP(D34,'Species Codes'!B:R,17,0)*((E34*2.54)^VLOOKUP(D34,'Species Codes'!B:S,18,0)))))/1000,IF(D34="DF",EXP(VLOOKUP(D34,'Species Codes'!B:O,14,0)+VLOOKUP(D34,'Species Codes'!B:P,15,0)*LN((E34*2.54))),VLOOKUP(D34,'Species Codes'!B:O,14,0)+VLOOKUP(D34,'Species Codes'!B:P,15,0)*(((E34*2.54)/100)^2)*(I34*0.3048)))))*0.0011023),0)</f>
        <v>#N/A</v>
      </c>
      <c r="AD34" s="104" t="e">
        <f t="shared" si="10"/>
        <v>#N/A</v>
      </c>
      <c r="AE34" s="104" t="e">
        <f t="shared" si="11"/>
        <v>#N/A</v>
      </c>
      <c r="AF34" s="104" t="e">
        <f>IF(AND(VLOOKUP($D34,Merchantability!$B:$C,2,0)="Yes",$E34&gt;=VLOOKUP($D34,Merchantability!$B:$D,3,0),$E34&lt;=VLOOKUP($D34,Merchantability!$B:$E,4,0)),AA34,0)</f>
        <v>#N/A</v>
      </c>
      <c r="AG34" s="104" t="e">
        <f>IF(AND(VLOOKUP($D34,Merchantability!$B:$C,2,0)="Yes",$E34&gt;=VLOOKUP($D34,Merchantability!$B:$D,3,0),$E34&lt;=VLOOKUP($D34,Merchantability!$B:$E,4,0)),AB34,0)</f>
        <v>#N/A</v>
      </c>
      <c r="AH34" s="104" t="e">
        <f>IF(AND(VLOOKUP($D34,Merchantability!$B:$C,2,0)="Yes",$E34&gt;=VLOOKUP($D34,Merchantability!$B:$D,3,0),$E34&lt;=VLOOKUP($D34,Merchantability!$B:$E,4,0)),AC34,0)</f>
        <v>#N/A</v>
      </c>
      <c r="AI34" s="104" t="e">
        <f t="shared" si="12"/>
        <v>#N/A</v>
      </c>
      <c r="AJ34" s="104" t="e">
        <f t="shared" si="13"/>
        <v>#VALUE!</v>
      </c>
      <c r="AK34" s="104" t="e">
        <f t="shared" si="14"/>
        <v>#N/A</v>
      </c>
      <c r="AL34" s="104" t="e">
        <f t="shared" si="15"/>
        <v>#N/A</v>
      </c>
      <c r="AM34" s="104" t="e">
        <f t="shared" si="16"/>
        <v>#N/A</v>
      </c>
      <c r="AN34" s="104" t="e">
        <f t="shared" si="17"/>
        <v>#N/A</v>
      </c>
      <c r="AO34" s="104" t="e">
        <f t="shared" si="18"/>
        <v>#N/A</v>
      </c>
      <c r="AP34" s="104" t="e">
        <f t="shared" si="19"/>
        <v>#N/A</v>
      </c>
      <c r="AQ34" s="104" t="e">
        <f t="shared" si="20"/>
        <v>#N/A</v>
      </c>
      <c r="AR34" s="105" t="str">
        <f t="shared" si="21"/>
        <v/>
      </c>
      <c r="AS34" s="105" t="str">
        <f t="shared" si="22"/>
        <v/>
      </c>
      <c r="AT34" s="108" t="str">
        <f t="shared" si="23"/>
        <v/>
      </c>
      <c r="AU34" s="108" t="str">
        <f t="shared" si="24"/>
        <v/>
      </c>
      <c r="AV34" s="107" t="str">
        <f>IF(ISNUMBER(O34),IF(VLOOKUP($A34,Stand!C:J,8,FALSE)="Short",AT34,AU34),"")</f>
        <v/>
      </c>
      <c r="AW34" s="109" t="str">
        <f t="shared" si="25"/>
        <v/>
      </c>
      <c r="AX34" s="109" t="str">
        <f t="shared" si="26"/>
        <v/>
      </c>
      <c r="AY34" s="112" t="str">
        <f>IF(ISNUMBER(O34),IF(AND(VLOOKUP($D34,Merchantability!$B:$C,2,0)="Yes",$E34&gt;=VLOOKUP($D34,Merchantability!$B:$D,3,0),$E34&lt;=VLOOKUP($D34,Merchantability!$B:$E,4,0)),(AV34*O34)*(1-$H34/100),""),"")</f>
        <v/>
      </c>
      <c r="AZ34" s="115"/>
      <c r="BA34" s="116"/>
      <c r="BB34" s="116"/>
      <c r="BE34" s="62"/>
      <c r="BF34" s="63"/>
    </row>
    <row r="35" spans="1:58" ht="12.75" customHeight="1" x14ac:dyDescent="0.25">
      <c r="A35" s="313"/>
      <c r="B35" s="328"/>
      <c r="C35" s="329"/>
      <c r="D35" s="328"/>
      <c r="E35" s="330"/>
      <c r="F35" s="331"/>
      <c r="G35" s="329"/>
      <c r="H35" s="329"/>
      <c r="I35" s="328"/>
      <c r="J35" s="329"/>
      <c r="K35" s="329"/>
      <c r="L35" s="329"/>
      <c r="M35" s="76"/>
      <c r="N35" s="103" t="str">
        <f>IF(A35="","",VLOOKUP(A35,Stand!C:K,9,0))</f>
        <v/>
      </c>
      <c r="O35" s="104" t="str">
        <f t="shared" si="0"/>
        <v/>
      </c>
      <c r="P35" s="105" t="str">
        <f t="shared" si="1"/>
        <v/>
      </c>
      <c r="Q35" s="105" t="str">
        <f t="shared" si="2"/>
        <v/>
      </c>
      <c r="R35" s="103" t="str">
        <f t="shared" si="3"/>
        <v/>
      </c>
      <c r="S35" s="103" t="str">
        <f t="shared" si="4"/>
        <v/>
      </c>
      <c r="T35" s="106" t="str">
        <f t="shared" si="5"/>
        <v/>
      </c>
      <c r="U35" s="106" t="str">
        <f t="shared" si="6"/>
        <v/>
      </c>
      <c r="V35" s="106" t="str">
        <f t="shared" si="7"/>
        <v/>
      </c>
      <c r="W35" s="105" t="str">
        <f t="shared" si="8"/>
        <v/>
      </c>
      <c r="X35" s="104" t="str">
        <f t="shared" si="9"/>
        <v/>
      </c>
      <c r="Y35" s="104" t="str">
        <f t="array" ref="Y35">IFERROR(IF(ISNUMBER(O35),IF(COUNT(IF(A35=$A$2:$A$2427,IF(D35=$D$2:$D$2427,IF($X$2:$X$2427&gt;0,1))))&gt;0,SUM(IF(A35=$A$2:$A$2427,IF(D35=$D$2:$D$2427,$X$2:$X$2427)))/COUNT(IF(A35=$A$2:$A$2427,IF(D35=$D$2:$D$2427,IF(ISNUMBER($X$2:$X$2427),1)))),0),""),0)</f>
        <v/>
      </c>
      <c r="Z35" s="104" t="str">
        <f>IF(ISNUMBER(O35),IF(I35&gt;0,(10^(VLOOKUP(D35,'Species Codes'!B:C,2,0)+VLOOKUP(D35,'Species Codes'!B:D,3,0)*LOG(E35)+VLOOKUP(D35,'Species Codes'!B:E,4,0)*LOG(I35))),0),"")</f>
        <v/>
      </c>
      <c r="AA35" s="104" t="str">
        <f>IFERROR((VLOOKUP(D35,'Species Codes'!B:G,6,0)*Z35)/2000,"")</f>
        <v/>
      </c>
      <c r="AB35" s="104" t="e">
        <f>IF(Z35&gt;0,((IF(OR(D35="DF",D35="RA")=TRUE,EXP(VLOOKUP(D35,'Species Codes'!B:I,8,0)+VLOOKUP(D35,'Species Codes'!B:J,9,0)*(LN((E35*2.54)))),IF(OR(D35="PY",D35="RC",D35="WH",D35="NF")=TRUE,VLOOKUP(D35,'Species Codes'!B:I,8,0)+VLOOKUP(D35,'Species Codes'!B:J,9,0)*((E35*2.54)^2)*(I35*0.3048),IF(OR(D35="MD",D35="BM",D35="GA")=TRUE,((VLOOKUP(D35,'Species Codes'!B:I,8,0)*(((((E35*2.54)+VLOOKUP(D35,'Species Codes'!B:J,9,0))/VLOOKUP(D35,'Species Codes'!B:K,10,0))^VLOOKUP(D35,'Species Codes'!B:L,11,0))*((I35*0.3048)^VLOOKUP(D35,'Species Codes'!B:M,12,0))))-(VLOOKUP(D35,'Species Codes'!B:I,8,0)*((((E35*2.54)^VLOOKUP(D35,'Species Codes'!B:L,11,0))*((I35*0.3048)^VLOOKUP(D35,'Species Codes'!B:M,12,0))))))*35.3*VLOOKUP(D35,'Species Codes'!B:G,6,0)/2.2046,VLOOKUP(D35,'Species Codes'!B:I,8,0)+VLOOKUP(D35,'Species Codes'!B:J,9,0)*(((E35*2.54)/100)^2)*(I35*0.3048)))))*0.0011023),0)</f>
        <v>#N/A</v>
      </c>
      <c r="AC35" s="104" t="e">
        <f>IF(Z35&gt;0,((IF(OR(D35="RA",D35="OA",D35="OT",D35="UN",D35="PC"),EXP(VLOOKUP(D35,'Species Codes'!B:O,14,0)+VLOOKUP(D35,'Species Codes'!B:P,15,0)*LN((E35*2.54)))-EXP(VLOOKUP(D35,'Species Codes'!B:O,14,0)+VLOOKUP(D35,'Species Codes'!B:P,15,0)*LN((E35*2.54)))*(1/(VLOOKUP(D35,'Species Codes'!B:Q,16,0)+VLOOKUP(D35,'Species Codes'!B:R,17,0)*((E35*2.54)^VLOOKUP(D35,'Species Codes'!B:S,18,0)))),IF(OR(D35="BM",D35="MD",D35="OA"),EXP(VLOOKUP(D35,'Species Codes'!B:O,14,0)+VLOOKUP(D35,'Species Codes'!B:P,15,0)*LN((E35*2.54)))*(1-(1/(VLOOKUP(D35,'Species Codes'!B:Q,16,0)+VLOOKUP(D35,'Species Codes'!B:R,17,0)*((E35*2.54)^VLOOKUP(D35,'Species Codes'!B:S,18,0)))))/1000,IF(D35="DF",EXP(VLOOKUP(D35,'Species Codes'!B:O,14,0)+VLOOKUP(D35,'Species Codes'!B:P,15,0)*LN((E35*2.54))),VLOOKUP(D35,'Species Codes'!B:O,14,0)+VLOOKUP(D35,'Species Codes'!B:P,15,0)*(((E35*2.54)/100)^2)*(I35*0.3048)))))*0.0011023),0)</f>
        <v>#N/A</v>
      </c>
      <c r="AD35" s="104" t="e">
        <f t="shared" si="10"/>
        <v>#N/A</v>
      </c>
      <c r="AE35" s="104" t="e">
        <f t="shared" si="11"/>
        <v>#N/A</v>
      </c>
      <c r="AF35" s="104" t="e">
        <f>IF(AND(VLOOKUP($D35,Merchantability!$B:$C,2,0)="Yes",$E35&gt;=VLOOKUP($D35,Merchantability!$B:$D,3,0),$E35&lt;=VLOOKUP($D35,Merchantability!$B:$E,4,0)),AA35,0)</f>
        <v>#N/A</v>
      </c>
      <c r="AG35" s="104" t="e">
        <f>IF(AND(VLOOKUP($D35,Merchantability!$B:$C,2,0)="Yes",$E35&gt;=VLOOKUP($D35,Merchantability!$B:$D,3,0),$E35&lt;=VLOOKUP($D35,Merchantability!$B:$E,4,0)),AB35,0)</f>
        <v>#N/A</v>
      </c>
      <c r="AH35" s="104" t="e">
        <f>IF(AND(VLOOKUP($D35,Merchantability!$B:$C,2,0)="Yes",$E35&gt;=VLOOKUP($D35,Merchantability!$B:$D,3,0),$E35&lt;=VLOOKUP($D35,Merchantability!$B:$E,4,0)),AC35,0)</f>
        <v>#N/A</v>
      </c>
      <c r="AI35" s="104" t="e">
        <f t="shared" si="12"/>
        <v>#N/A</v>
      </c>
      <c r="AJ35" s="104" t="e">
        <f t="shared" si="13"/>
        <v>#VALUE!</v>
      </c>
      <c r="AK35" s="104" t="e">
        <f t="shared" si="14"/>
        <v>#N/A</v>
      </c>
      <c r="AL35" s="104" t="e">
        <f t="shared" si="15"/>
        <v>#N/A</v>
      </c>
      <c r="AM35" s="104" t="e">
        <f t="shared" si="16"/>
        <v>#N/A</v>
      </c>
      <c r="AN35" s="104" t="e">
        <f t="shared" si="17"/>
        <v>#N/A</v>
      </c>
      <c r="AO35" s="104" t="e">
        <f t="shared" si="18"/>
        <v>#N/A</v>
      </c>
      <c r="AP35" s="104" t="e">
        <f t="shared" si="19"/>
        <v>#N/A</v>
      </c>
      <c r="AQ35" s="104" t="e">
        <f t="shared" si="20"/>
        <v>#N/A</v>
      </c>
      <c r="AR35" s="105" t="str">
        <f t="shared" si="21"/>
        <v/>
      </c>
      <c r="AS35" s="105" t="str">
        <f t="shared" si="22"/>
        <v/>
      </c>
      <c r="AT35" s="108" t="str">
        <f t="shared" si="23"/>
        <v/>
      </c>
      <c r="AU35" s="108" t="str">
        <f t="shared" si="24"/>
        <v/>
      </c>
      <c r="AV35" s="107" t="str">
        <f>IF(ISNUMBER(O35),IF(VLOOKUP($A35,Stand!C:J,8,FALSE)="Short",AT35,AU35),"")</f>
        <v/>
      </c>
      <c r="AW35" s="109" t="str">
        <f t="shared" si="25"/>
        <v/>
      </c>
      <c r="AX35" s="109" t="str">
        <f t="shared" si="26"/>
        <v/>
      </c>
      <c r="AY35" s="112" t="str">
        <f>IF(ISNUMBER(O35),IF(AND(VLOOKUP($D35,Merchantability!$B:$C,2,0)="Yes",$E35&gt;=VLOOKUP($D35,Merchantability!$B:$D,3,0),$E35&lt;=VLOOKUP($D35,Merchantability!$B:$E,4,0)),(AV35*O35)*(1-$H35/100),""),"")</f>
        <v/>
      </c>
      <c r="AZ35" s="115"/>
      <c r="BA35" s="116"/>
      <c r="BB35" s="116"/>
      <c r="BE35" s="62"/>
      <c r="BF35" s="63"/>
    </row>
    <row r="36" spans="1:58" ht="12.75" customHeight="1" x14ac:dyDescent="0.25">
      <c r="A36" s="313"/>
      <c r="B36" s="328"/>
      <c r="C36" s="329"/>
      <c r="D36" s="328"/>
      <c r="E36" s="330"/>
      <c r="F36" s="331"/>
      <c r="G36" s="329"/>
      <c r="H36" s="329"/>
      <c r="I36" s="328"/>
      <c r="J36" s="329"/>
      <c r="K36" s="329"/>
      <c r="L36" s="329"/>
      <c r="M36" s="76"/>
      <c r="N36" s="103" t="str">
        <f>IF(A36="","",VLOOKUP(A36,Stand!C:K,9,0))</f>
        <v/>
      </c>
      <c r="O36" s="104" t="str">
        <f t="shared" si="0"/>
        <v/>
      </c>
      <c r="P36" s="105" t="str">
        <f t="shared" si="1"/>
        <v/>
      </c>
      <c r="Q36" s="105" t="str">
        <f t="shared" si="2"/>
        <v/>
      </c>
      <c r="R36" s="103" t="str">
        <f t="shared" si="3"/>
        <v/>
      </c>
      <c r="S36" s="103" t="str">
        <f t="shared" si="4"/>
        <v/>
      </c>
      <c r="T36" s="106" t="str">
        <f t="shared" si="5"/>
        <v/>
      </c>
      <c r="U36" s="106" t="str">
        <f t="shared" si="6"/>
        <v/>
      </c>
      <c r="V36" s="106" t="str">
        <f t="shared" si="7"/>
        <v/>
      </c>
      <c r="W36" s="105" t="str">
        <f t="shared" si="8"/>
        <v/>
      </c>
      <c r="X36" s="104" t="str">
        <f t="shared" si="9"/>
        <v/>
      </c>
      <c r="Y36" s="104" t="str">
        <f t="array" ref="Y36">IFERROR(IF(ISNUMBER(O36),IF(COUNT(IF(A36=$A$2:$A$2427,IF(D36=$D$2:$D$2427,IF($X$2:$X$2427&gt;0,1))))&gt;0,SUM(IF(A36=$A$2:$A$2427,IF(D36=$D$2:$D$2427,$X$2:$X$2427)))/COUNT(IF(A36=$A$2:$A$2427,IF(D36=$D$2:$D$2427,IF(ISNUMBER($X$2:$X$2427),1)))),0),""),0)</f>
        <v/>
      </c>
      <c r="Z36" s="104" t="str">
        <f>IF(ISNUMBER(O36),IF(I36&gt;0,(10^(VLOOKUP(D36,'Species Codes'!B:C,2,0)+VLOOKUP(D36,'Species Codes'!B:D,3,0)*LOG(E36)+VLOOKUP(D36,'Species Codes'!B:E,4,0)*LOG(I36))),0),"")</f>
        <v/>
      </c>
      <c r="AA36" s="104" t="str">
        <f>IFERROR((VLOOKUP(D36,'Species Codes'!B:G,6,0)*Z36)/2000,"")</f>
        <v/>
      </c>
      <c r="AB36" s="104" t="e">
        <f>IF(Z36&gt;0,((IF(OR(D36="DF",D36="RA")=TRUE,EXP(VLOOKUP(D36,'Species Codes'!B:I,8,0)+VLOOKUP(D36,'Species Codes'!B:J,9,0)*(LN((E36*2.54)))),IF(OR(D36="PY",D36="RC",D36="WH",D36="NF")=TRUE,VLOOKUP(D36,'Species Codes'!B:I,8,0)+VLOOKUP(D36,'Species Codes'!B:J,9,0)*((E36*2.54)^2)*(I36*0.3048),IF(OR(D36="MD",D36="BM",D36="GA")=TRUE,((VLOOKUP(D36,'Species Codes'!B:I,8,0)*(((((E36*2.54)+VLOOKUP(D36,'Species Codes'!B:J,9,0))/VLOOKUP(D36,'Species Codes'!B:K,10,0))^VLOOKUP(D36,'Species Codes'!B:L,11,0))*((I36*0.3048)^VLOOKUP(D36,'Species Codes'!B:M,12,0))))-(VLOOKUP(D36,'Species Codes'!B:I,8,0)*((((E36*2.54)^VLOOKUP(D36,'Species Codes'!B:L,11,0))*((I36*0.3048)^VLOOKUP(D36,'Species Codes'!B:M,12,0))))))*35.3*VLOOKUP(D36,'Species Codes'!B:G,6,0)/2.2046,VLOOKUP(D36,'Species Codes'!B:I,8,0)+VLOOKUP(D36,'Species Codes'!B:J,9,0)*(((E36*2.54)/100)^2)*(I36*0.3048)))))*0.0011023),0)</f>
        <v>#N/A</v>
      </c>
      <c r="AC36" s="104" t="e">
        <f>IF(Z36&gt;0,((IF(OR(D36="RA",D36="OA",D36="OT",D36="UN",D36="PC"),EXP(VLOOKUP(D36,'Species Codes'!B:O,14,0)+VLOOKUP(D36,'Species Codes'!B:P,15,0)*LN((E36*2.54)))-EXP(VLOOKUP(D36,'Species Codes'!B:O,14,0)+VLOOKUP(D36,'Species Codes'!B:P,15,0)*LN((E36*2.54)))*(1/(VLOOKUP(D36,'Species Codes'!B:Q,16,0)+VLOOKUP(D36,'Species Codes'!B:R,17,0)*((E36*2.54)^VLOOKUP(D36,'Species Codes'!B:S,18,0)))),IF(OR(D36="BM",D36="MD",D36="OA"),EXP(VLOOKUP(D36,'Species Codes'!B:O,14,0)+VLOOKUP(D36,'Species Codes'!B:P,15,0)*LN((E36*2.54)))*(1-(1/(VLOOKUP(D36,'Species Codes'!B:Q,16,0)+VLOOKUP(D36,'Species Codes'!B:R,17,0)*((E36*2.54)^VLOOKUP(D36,'Species Codes'!B:S,18,0)))))/1000,IF(D36="DF",EXP(VLOOKUP(D36,'Species Codes'!B:O,14,0)+VLOOKUP(D36,'Species Codes'!B:P,15,0)*LN((E36*2.54))),VLOOKUP(D36,'Species Codes'!B:O,14,0)+VLOOKUP(D36,'Species Codes'!B:P,15,0)*(((E36*2.54)/100)^2)*(I36*0.3048)))))*0.0011023),0)</f>
        <v>#N/A</v>
      </c>
      <c r="AD36" s="104" t="e">
        <f t="shared" si="10"/>
        <v>#N/A</v>
      </c>
      <c r="AE36" s="104" t="e">
        <f t="shared" si="11"/>
        <v>#N/A</v>
      </c>
      <c r="AF36" s="104" t="e">
        <f>IF(AND(VLOOKUP($D36,Merchantability!$B:$C,2,0)="Yes",$E36&gt;=VLOOKUP($D36,Merchantability!$B:$D,3,0),$E36&lt;=VLOOKUP($D36,Merchantability!$B:$E,4,0)),AA36,0)</f>
        <v>#N/A</v>
      </c>
      <c r="AG36" s="104" t="e">
        <f>IF(AND(VLOOKUP($D36,Merchantability!$B:$C,2,0)="Yes",$E36&gt;=VLOOKUP($D36,Merchantability!$B:$D,3,0),$E36&lt;=VLOOKUP($D36,Merchantability!$B:$E,4,0)),AB36,0)</f>
        <v>#N/A</v>
      </c>
      <c r="AH36" s="104" t="e">
        <f>IF(AND(VLOOKUP($D36,Merchantability!$B:$C,2,0)="Yes",$E36&gt;=VLOOKUP($D36,Merchantability!$B:$D,3,0),$E36&lt;=VLOOKUP($D36,Merchantability!$B:$E,4,0)),AC36,0)</f>
        <v>#N/A</v>
      </c>
      <c r="AI36" s="104" t="e">
        <f t="shared" si="12"/>
        <v>#N/A</v>
      </c>
      <c r="AJ36" s="104" t="e">
        <f t="shared" si="13"/>
        <v>#VALUE!</v>
      </c>
      <c r="AK36" s="104" t="e">
        <f t="shared" si="14"/>
        <v>#N/A</v>
      </c>
      <c r="AL36" s="104" t="e">
        <f t="shared" si="15"/>
        <v>#N/A</v>
      </c>
      <c r="AM36" s="104" t="e">
        <f t="shared" si="16"/>
        <v>#N/A</v>
      </c>
      <c r="AN36" s="104" t="e">
        <f t="shared" si="17"/>
        <v>#N/A</v>
      </c>
      <c r="AO36" s="104" t="e">
        <f t="shared" si="18"/>
        <v>#N/A</v>
      </c>
      <c r="AP36" s="104" t="e">
        <f t="shared" si="19"/>
        <v>#N/A</v>
      </c>
      <c r="AQ36" s="104" t="e">
        <f t="shared" si="20"/>
        <v>#N/A</v>
      </c>
      <c r="AR36" s="105" t="str">
        <f t="shared" si="21"/>
        <v/>
      </c>
      <c r="AS36" s="105" t="str">
        <f t="shared" si="22"/>
        <v/>
      </c>
      <c r="AT36" s="108" t="str">
        <f t="shared" si="23"/>
        <v/>
      </c>
      <c r="AU36" s="108" t="str">
        <f t="shared" si="24"/>
        <v/>
      </c>
      <c r="AV36" s="107" t="str">
        <f>IF(ISNUMBER(O36),IF(VLOOKUP($A36,Stand!C:J,8,FALSE)="Short",AT36,AU36),"")</f>
        <v/>
      </c>
      <c r="AW36" s="109" t="str">
        <f t="shared" si="25"/>
        <v/>
      </c>
      <c r="AX36" s="109" t="str">
        <f t="shared" si="26"/>
        <v/>
      </c>
      <c r="AY36" s="112" t="str">
        <f>IF(ISNUMBER(O36),IF(AND(VLOOKUP($D36,Merchantability!$B:$C,2,0)="Yes",$E36&gt;=VLOOKUP($D36,Merchantability!$B:$D,3,0),$E36&lt;=VLOOKUP($D36,Merchantability!$B:$E,4,0)),(AV36*O36)*(1-$H36/100),""),"")</f>
        <v/>
      </c>
      <c r="AZ36" s="116"/>
      <c r="BA36" s="116"/>
      <c r="BB36" s="116"/>
      <c r="BE36" s="62"/>
      <c r="BF36" s="63"/>
    </row>
    <row r="37" spans="1:58" ht="12.75" customHeight="1" x14ac:dyDescent="0.25">
      <c r="A37" s="313"/>
      <c r="B37" s="328"/>
      <c r="C37" s="329"/>
      <c r="D37" s="328"/>
      <c r="E37" s="330"/>
      <c r="F37" s="331"/>
      <c r="G37" s="329"/>
      <c r="H37" s="329"/>
      <c r="I37" s="328"/>
      <c r="J37" s="329"/>
      <c r="K37" s="329"/>
      <c r="L37" s="329"/>
      <c r="M37" s="76"/>
      <c r="N37" s="103" t="str">
        <f>IF(A37="","",VLOOKUP(A37,Stand!C:K,9,0))</f>
        <v/>
      </c>
      <c r="O37" s="104" t="str">
        <f t="shared" si="0"/>
        <v/>
      </c>
      <c r="P37" s="105" t="str">
        <f t="shared" si="1"/>
        <v/>
      </c>
      <c r="Q37" s="105" t="str">
        <f t="shared" si="2"/>
        <v/>
      </c>
      <c r="R37" s="103" t="str">
        <f t="shared" si="3"/>
        <v/>
      </c>
      <c r="S37" s="103" t="str">
        <f t="shared" si="4"/>
        <v/>
      </c>
      <c r="T37" s="106" t="str">
        <f t="shared" si="5"/>
        <v/>
      </c>
      <c r="U37" s="106" t="str">
        <f t="shared" si="6"/>
        <v/>
      </c>
      <c r="V37" s="106" t="str">
        <f t="shared" si="7"/>
        <v/>
      </c>
      <c r="W37" s="105" t="str">
        <f t="shared" si="8"/>
        <v/>
      </c>
      <c r="X37" s="104" t="str">
        <f t="shared" si="9"/>
        <v/>
      </c>
      <c r="Y37" s="104" t="str">
        <f t="array" ref="Y37">IFERROR(IF(ISNUMBER(O37),IF(COUNT(IF(A37=$A$2:$A$2427,IF(D37=$D$2:$D$2427,IF($X$2:$X$2427&gt;0,1))))&gt;0,SUM(IF(A37=$A$2:$A$2427,IF(D37=$D$2:$D$2427,$X$2:$X$2427)))/COUNT(IF(A37=$A$2:$A$2427,IF(D37=$D$2:$D$2427,IF(ISNUMBER($X$2:$X$2427),1)))),0),""),0)</f>
        <v/>
      </c>
      <c r="Z37" s="104" t="str">
        <f>IF(ISNUMBER(O37),IF(I37&gt;0,(10^(VLOOKUP(D37,'Species Codes'!B:C,2,0)+VLOOKUP(D37,'Species Codes'!B:D,3,0)*LOG(E37)+VLOOKUP(D37,'Species Codes'!B:E,4,0)*LOG(I37))),0),"")</f>
        <v/>
      </c>
      <c r="AA37" s="104" t="str">
        <f>IFERROR((VLOOKUP(D37,'Species Codes'!B:G,6,0)*Z37)/2000,"")</f>
        <v/>
      </c>
      <c r="AB37" s="104" t="e">
        <f>IF(Z37&gt;0,((IF(OR(D37="DF",D37="RA")=TRUE,EXP(VLOOKUP(D37,'Species Codes'!B:I,8,0)+VLOOKUP(D37,'Species Codes'!B:J,9,0)*(LN((E37*2.54)))),IF(OR(D37="PY",D37="RC",D37="WH",D37="NF")=TRUE,VLOOKUP(D37,'Species Codes'!B:I,8,0)+VLOOKUP(D37,'Species Codes'!B:J,9,0)*((E37*2.54)^2)*(I37*0.3048),IF(OR(D37="MD",D37="BM",D37="GA")=TRUE,((VLOOKUP(D37,'Species Codes'!B:I,8,0)*(((((E37*2.54)+VLOOKUP(D37,'Species Codes'!B:J,9,0))/VLOOKUP(D37,'Species Codes'!B:K,10,0))^VLOOKUP(D37,'Species Codes'!B:L,11,0))*((I37*0.3048)^VLOOKUP(D37,'Species Codes'!B:M,12,0))))-(VLOOKUP(D37,'Species Codes'!B:I,8,0)*((((E37*2.54)^VLOOKUP(D37,'Species Codes'!B:L,11,0))*((I37*0.3048)^VLOOKUP(D37,'Species Codes'!B:M,12,0))))))*35.3*VLOOKUP(D37,'Species Codes'!B:G,6,0)/2.2046,VLOOKUP(D37,'Species Codes'!B:I,8,0)+VLOOKUP(D37,'Species Codes'!B:J,9,0)*(((E37*2.54)/100)^2)*(I37*0.3048)))))*0.0011023),0)</f>
        <v>#N/A</v>
      </c>
      <c r="AC37" s="104" t="e">
        <f>IF(Z37&gt;0,((IF(OR(D37="RA",D37="OA",D37="OT",D37="UN",D37="PC"),EXP(VLOOKUP(D37,'Species Codes'!B:O,14,0)+VLOOKUP(D37,'Species Codes'!B:P,15,0)*LN((E37*2.54)))-EXP(VLOOKUP(D37,'Species Codes'!B:O,14,0)+VLOOKUP(D37,'Species Codes'!B:P,15,0)*LN((E37*2.54)))*(1/(VLOOKUP(D37,'Species Codes'!B:Q,16,0)+VLOOKUP(D37,'Species Codes'!B:R,17,0)*((E37*2.54)^VLOOKUP(D37,'Species Codes'!B:S,18,0)))),IF(OR(D37="BM",D37="MD",D37="OA"),EXP(VLOOKUP(D37,'Species Codes'!B:O,14,0)+VLOOKUP(D37,'Species Codes'!B:P,15,0)*LN((E37*2.54)))*(1-(1/(VLOOKUP(D37,'Species Codes'!B:Q,16,0)+VLOOKUP(D37,'Species Codes'!B:R,17,0)*((E37*2.54)^VLOOKUP(D37,'Species Codes'!B:S,18,0)))))/1000,IF(D37="DF",EXP(VLOOKUP(D37,'Species Codes'!B:O,14,0)+VLOOKUP(D37,'Species Codes'!B:P,15,0)*LN((E37*2.54))),VLOOKUP(D37,'Species Codes'!B:O,14,0)+VLOOKUP(D37,'Species Codes'!B:P,15,0)*(((E37*2.54)/100)^2)*(I37*0.3048)))))*0.0011023),0)</f>
        <v>#N/A</v>
      </c>
      <c r="AD37" s="104" t="e">
        <f t="shared" si="10"/>
        <v>#N/A</v>
      </c>
      <c r="AE37" s="104" t="e">
        <f t="shared" si="11"/>
        <v>#N/A</v>
      </c>
      <c r="AF37" s="104" t="e">
        <f>IF(AND(VLOOKUP($D37,Merchantability!$B:$C,2,0)="Yes",$E37&gt;=VLOOKUP($D37,Merchantability!$B:$D,3,0),$E37&lt;=VLOOKUP($D37,Merchantability!$B:$E,4,0)),AA37,0)</f>
        <v>#N/A</v>
      </c>
      <c r="AG37" s="104" t="e">
        <f>IF(AND(VLOOKUP($D37,Merchantability!$B:$C,2,0)="Yes",$E37&gt;=VLOOKUP($D37,Merchantability!$B:$D,3,0),$E37&lt;=VLOOKUP($D37,Merchantability!$B:$E,4,0)),AB37,0)</f>
        <v>#N/A</v>
      </c>
      <c r="AH37" s="104" t="e">
        <f>IF(AND(VLOOKUP($D37,Merchantability!$B:$C,2,0)="Yes",$E37&gt;=VLOOKUP($D37,Merchantability!$B:$D,3,0),$E37&lt;=VLOOKUP($D37,Merchantability!$B:$E,4,0)),AC37,0)</f>
        <v>#N/A</v>
      </c>
      <c r="AI37" s="104" t="e">
        <f t="shared" si="12"/>
        <v>#N/A</v>
      </c>
      <c r="AJ37" s="104" t="e">
        <f t="shared" si="13"/>
        <v>#VALUE!</v>
      </c>
      <c r="AK37" s="104" t="e">
        <f t="shared" si="14"/>
        <v>#N/A</v>
      </c>
      <c r="AL37" s="104" t="e">
        <f t="shared" si="15"/>
        <v>#N/A</v>
      </c>
      <c r="AM37" s="104" t="e">
        <f t="shared" si="16"/>
        <v>#N/A</v>
      </c>
      <c r="AN37" s="104" t="e">
        <f t="shared" si="17"/>
        <v>#N/A</v>
      </c>
      <c r="AO37" s="104" t="e">
        <f t="shared" si="18"/>
        <v>#N/A</v>
      </c>
      <c r="AP37" s="104" t="e">
        <f t="shared" si="19"/>
        <v>#N/A</v>
      </c>
      <c r="AQ37" s="104" t="e">
        <f t="shared" si="20"/>
        <v>#N/A</v>
      </c>
      <c r="AR37" s="105" t="str">
        <f t="shared" si="21"/>
        <v/>
      </c>
      <c r="AS37" s="105" t="str">
        <f t="shared" si="22"/>
        <v/>
      </c>
      <c r="AT37" s="108" t="str">
        <f t="shared" si="23"/>
        <v/>
      </c>
      <c r="AU37" s="108" t="str">
        <f t="shared" si="24"/>
        <v/>
      </c>
      <c r="AV37" s="107" t="str">
        <f>IF(ISNUMBER(O37),IF(VLOOKUP($A37,Stand!C:J,8,FALSE)="Short",AT37,AU37),"")</f>
        <v/>
      </c>
      <c r="AW37" s="109" t="str">
        <f t="shared" si="25"/>
        <v/>
      </c>
      <c r="AX37" s="109" t="str">
        <f t="shared" si="26"/>
        <v/>
      </c>
      <c r="AY37" s="112" t="str">
        <f>IF(ISNUMBER(O37),IF(AND(VLOOKUP($D37,Merchantability!$B:$C,2,0)="Yes",$E37&gt;=VLOOKUP($D37,Merchantability!$B:$D,3,0),$E37&lt;=VLOOKUP($D37,Merchantability!$B:$E,4,0)),(AV37*O37)*(1-$H37/100),""),"")</f>
        <v/>
      </c>
      <c r="AZ37" s="116"/>
      <c r="BA37" s="116"/>
      <c r="BB37" s="116"/>
      <c r="BE37" s="62"/>
      <c r="BF37" s="63"/>
    </row>
    <row r="38" spans="1:58" ht="12.75" customHeight="1" x14ac:dyDescent="0.25">
      <c r="A38" s="313"/>
      <c r="B38" s="328"/>
      <c r="C38" s="329"/>
      <c r="D38" s="328"/>
      <c r="E38" s="330"/>
      <c r="F38" s="331"/>
      <c r="G38" s="329"/>
      <c r="H38" s="329"/>
      <c r="I38" s="328"/>
      <c r="J38" s="329"/>
      <c r="K38" s="329"/>
      <c r="L38" s="329"/>
      <c r="M38" s="76"/>
      <c r="N38" s="103" t="str">
        <f>IF(A38="","",VLOOKUP(A38,Stand!C:K,9,0))</f>
        <v/>
      </c>
      <c r="O38" s="104" t="str">
        <f t="shared" si="0"/>
        <v/>
      </c>
      <c r="P38" s="105" t="str">
        <f t="shared" si="1"/>
        <v/>
      </c>
      <c r="Q38" s="105" t="str">
        <f t="shared" si="2"/>
        <v/>
      </c>
      <c r="R38" s="103" t="str">
        <f t="shared" si="3"/>
        <v/>
      </c>
      <c r="S38" s="103" t="str">
        <f t="shared" si="4"/>
        <v/>
      </c>
      <c r="T38" s="106" t="str">
        <f t="shared" si="5"/>
        <v/>
      </c>
      <c r="U38" s="106" t="str">
        <f t="shared" si="6"/>
        <v/>
      </c>
      <c r="V38" s="106" t="str">
        <f t="shared" si="7"/>
        <v/>
      </c>
      <c r="W38" s="105" t="str">
        <f t="shared" si="8"/>
        <v/>
      </c>
      <c r="X38" s="104" t="str">
        <f t="shared" si="9"/>
        <v/>
      </c>
      <c r="Y38" s="104" t="str">
        <f t="array" ref="Y38">IFERROR(IF(ISNUMBER(O38),IF(COUNT(IF(A38=$A$2:$A$2427,IF(D38=$D$2:$D$2427,IF($X$2:$X$2427&gt;0,1))))&gt;0,SUM(IF(A38=$A$2:$A$2427,IF(D38=$D$2:$D$2427,$X$2:$X$2427)))/COUNT(IF(A38=$A$2:$A$2427,IF(D38=$D$2:$D$2427,IF(ISNUMBER($X$2:$X$2427),1)))),0),""),0)</f>
        <v/>
      </c>
      <c r="Z38" s="104" t="str">
        <f>IF(ISNUMBER(O38),IF(I38&gt;0,(10^(VLOOKUP(D38,'Species Codes'!B:C,2,0)+VLOOKUP(D38,'Species Codes'!B:D,3,0)*LOG(E38)+VLOOKUP(D38,'Species Codes'!B:E,4,0)*LOG(I38))),0),"")</f>
        <v/>
      </c>
      <c r="AA38" s="104" t="str">
        <f>IFERROR((VLOOKUP(D38,'Species Codes'!B:G,6,0)*Z38)/2000,"")</f>
        <v/>
      </c>
      <c r="AB38" s="104" t="e">
        <f>IF(Z38&gt;0,((IF(OR(D38="DF",D38="RA")=TRUE,EXP(VLOOKUP(D38,'Species Codes'!B:I,8,0)+VLOOKUP(D38,'Species Codes'!B:J,9,0)*(LN((E38*2.54)))),IF(OR(D38="PY",D38="RC",D38="WH",D38="NF")=TRUE,VLOOKUP(D38,'Species Codes'!B:I,8,0)+VLOOKUP(D38,'Species Codes'!B:J,9,0)*((E38*2.54)^2)*(I38*0.3048),IF(OR(D38="MD",D38="BM",D38="GA")=TRUE,((VLOOKUP(D38,'Species Codes'!B:I,8,0)*(((((E38*2.54)+VLOOKUP(D38,'Species Codes'!B:J,9,0))/VLOOKUP(D38,'Species Codes'!B:K,10,0))^VLOOKUP(D38,'Species Codes'!B:L,11,0))*((I38*0.3048)^VLOOKUP(D38,'Species Codes'!B:M,12,0))))-(VLOOKUP(D38,'Species Codes'!B:I,8,0)*((((E38*2.54)^VLOOKUP(D38,'Species Codes'!B:L,11,0))*((I38*0.3048)^VLOOKUP(D38,'Species Codes'!B:M,12,0))))))*35.3*VLOOKUP(D38,'Species Codes'!B:G,6,0)/2.2046,VLOOKUP(D38,'Species Codes'!B:I,8,0)+VLOOKUP(D38,'Species Codes'!B:J,9,0)*(((E38*2.54)/100)^2)*(I38*0.3048)))))*0.0011023),0)</f>
        <v>#N/A</v>
      </c>
      <c r="AC38" s="104" t="e">
        <f>IF(Z38&gt;0,((IF(OR(D38="RA",D38="OA",D38="OT",D38="UN",D38="PC"),EXP(VLOOKUP(D38,'Species Codes'!B:O,14,0)+VLOOKUP(D38,'Species Codes'!B:P,15,0)*LN((E38*2.54)))-EXP(VLOOKUP(D38,'Species Codes'!B:O,14,0)+VLOOKUP(D38,'Species Codes'!B:P,15,0)*LN((E38*2.54)))*(1/(VLOOKUP(D38,'Species Codes'!B:Q,16,0)+VLOOKUP(D38,'Species Codes'!B:R,17,0)*((E38*2.54)^VLOOKUP(D38,'Species Codes'!B:S,18,0)))),IF(OR(D38="BM",D38="MD",D38="OA"),EXP(VLOOKUP(D38,'Species Codes'!B:O,14,0)+VLOOKUP(D38,'Species Codes'!B:P,15,0)*LN((E38*2.54)))*(1-(1/(VLOOKUP(D38,'Species Codes'!B:Q,16,0)+VLOOKUP(D38,'Species Codes'!B:R,17,0)*((E38*2.54)^VLOOKUP(D38,'Species Codes'!B:S,18,0)))))/1000,IF(D38="DF",EXP(VLOOKUP(D38,'Species Codes'!B:O,14,0)+VLOOKUP(D38,'Species Codes'!B:P,15,0)*LN((E38*2.54))),VLOOKUP(D38,'Species Codes'!B:O,14,0)+VLOOKUP(D38,'Species Codes'!B:P,15,0)*(((E38*2.54)/100)^2)*(I38*0.3048)))))*0.0011023),0)</f>
        <v>#N/A</v>
      </c>
      <c r="AD38" s="104" t="e">
        <f t="shared" si="10"/>
        <v>#N/A</v>
      </c>
      <c r="AE38" s="104" t="e">
        <f t="shared" si="11"/>
        <v>#N/A</v>
      </c>
      <c r="AF38" s="104" t="e">
        <f>IF(AND(VLOOKUP($D38,Merchantability!$B:$C,2,0)="Yes",$E38&gt;=VLOOKUP($D38,Merchantability!$B:$D,3,0),$E38&lt;=VLOOKUP($D38,Merchantability!$B:$E,4,0)),AA38,0)</f>
        <v>#N/A</v>
      </c>
      <c r="AG38" s="104" t="e">
        <f>IF(AND(VLOOKUP($D38,Merchantability!$B:$C,2,0)="Yes",$E38&gt;=VLOOKUP($D38,Merchantability!$B:$D,3,0),$E38&lt;=VLOOKUP($D38,Merchantability!$B:$E,4,0)),AB38,0)</f>
        <v>#N/A</v>
      </c>
      <c r="AH38" s="104" t="e">
        <f>IF(AND(VLOOKUP($D38,Merchantability!$B:$C,2,0)="Yes",$E38&gt;=VLOOKUP($D38,Merchantability!$B:$D,3,0),$E38&lt;=VLOOKUP($D38,Merchantability!$B:$E,4,0)),AC38,0)</f>
        <v>#N/A</v>
      </c>
      <c r="AI38" s="104" t="e">
        <f t="shared" si="12"/>
        <v>#N/A</v>
      </c>
      <c r="AJ38" s="104" t="e">
        <f t="shared" si="13"/>
        <v>#VALUE!</v>
      </c>
      <c r="AK38" s="104" t="e">
        <f t="shared" si="14"/>
        <v>#N/A</v>
      </c>
      <c r="AL38" s="104" t="e">
        <f t="shared" si="15"/>
        <v>#N/A</v>
      </c>
      <c r="AM38" s="104" t="e">
        <f t="shared" si="16"/>
        <v>#N/A</v>
      </c>
      <c r="AN38" s="104" t="e">
        <f t="shared" si="17"/>
        <v>#N/A</v>
      </c>
      <c r="AO38" s="104" t="e">
        <f t="shared" si="18"/>
        <v>#N/A</v>
      </c>
      <c r="AP38" s="104" t="e">
        <f t="shared" si="19"/>
        <v>#N/A</v>
      </c>
      <c r="AQ38" s="104" t="e">
        <f t="shared" si="20"/>
        <v>#N/A</v>
      </c>
      <c r="AR38" s="105" t="str">
        <f t="shared" si="21"/>
        <v/>
      </c>
      <c r="AS38" s="105" t="str">
        <f t="shared" si="22"/>
        <v/>
      </c>
      <c r="AT38" s="108" t="str">
        <f t="shared" si="23"/>
        <v/>
      </c>
      <c r="AU38" s="108" t="str">
        <f t="shared" si="24"/>
        <v/>
      </c>
      <c r="AV38" s="107" t="str">
        <f>IF(ISNUMBER(O38),IF(VLOOKUP($A38,Stand!C:J,8,FALSE)="Short",AT38,AU38),"")</f>
        <v/>
      </c>
      <c r="AW38" s="109" t="str">
        <f t="shared" si="25"/>
        <v/>
      </c>
      <c r="AX38" s="109" t="str">
        <f t="shared" si="26"/>
        <v/>
      </c>
      <c r="AY38" s="112" t="str">
        <f>IF(ISNUMBER(O38),IF(AND(VLOOKUP($D38,Merchantability!$B:$C,2,0)="Yes",$E38&gt;=VLOOKUP($D38,Merchantability!$B:$D,3,0),$E38&lt;=VLOOKUP($D38,Merchantability!$B:$E,4,0)),(AV38*O38)*(1-$H38/100),""),"")</f>
        <v/>
      </c>
      <c r="AZ38" s="116"/>
      <c r="BA38" s="116"/>
      <c r="BB38" s="116"/>
      <c r="BE38" s="62"/>
      <c r="BF38" s="63"/>
    </row>
    <row r="39" spans="1:58" ht="12.75" customHeight="1" x14ac:dyDescent="0.25">
      <c r="A39" s="313"/>
      <c r="B39" s="328"/>
      <c r="C39" s="329"/>
      <c r="D39" s="328"/>
      <c r="E39" s="330"/>
      <c r="F39" s="331"/>
      <c r="G39" s="329"/>
      <c r="H39" s="329"/>
      <c r="I39" s="328"/>
      <c r="J39" s="329"/>
      <c r="K39" s="329"/>
      <c r="L39" s="329"/>
      <c r="M39" s="76"/>
      <c r="N39" s="103" t="str">
        <f>IF(A39="","",VLOOKUP(A39,Stand!C:K,9,0))</f>
        <v/>
      </c>
      <c r="O39" s="104" t="str">
        <f t="shared" si="0"/>
        <v/>
      </c>
      <c r="P39" s="105" t="str">
        <f t="shared" si="1"/>
        <v/>
      </c>
      <c r="Q39" s="105" t="str">
        <f t="shared" si="2"/>
        <v/>
      </c>
      <c r="R39" s="103" t="str">
        <f t="shared" si="3"/>
        <v/>
      </c>
      <c r="S39" s="103" t="str">
        <f t="shared" si="4"/>
        <v/>
      </c>
      <c r="T39" s="106" t="str">
        <f t="shared" si="5"/>
        <v/>
      </c>
      <c r="U39" s="106" t="str">
        <f t="shared" si="6"/>
        <v/>
      </c>
      <c r="V39" s="106" t="str">
        <f t="shared" si="7"/>
        <v/>
      </c>
      <c r="W39" s="105" t="str">
        <f t="shared" si="8"/>
        <v/>
      </c>
      <c r="X39" s="104" t="str">
        <f t="shared" si="9"/>
        <v/>
      </c>
      <c r="Y39" s="104" t="str">
        <f t="array" ref="Y39">IFERROR(IF(ISNUMBER(O39),IF(COUNT(IF(A39=$A$2:$A$2427,IF(D39=$D$2:$D$2427,IF($X$2:$X$2427&gt;0,1))))&gt;0,SUM(IF(A39=$A$2:$A$2427,IF(D39=$D$2:$D$2427,$X$2:$X$2427)))/COUNT(IF(A39=$A$2:$A$2427,IF(D39=$D$2:$D$2427,IF(ISNUMBER($X$2:$X$2427),1)))),0),""),0)</f>
        <v/>
      </c>
      <c r="Z39" s="104" t="str">
        <f>IF(ISNUMBER(O39),IF(I39&gt;0,(10^(VLOOKUP(D39,'Species Codes'!B:C,2,0)+VLOOKUP(D39,'Species Codes'!B:D,3,0)*LOG(E39)+VLOOKUP(D39,'Species Codes'!B:E,4,0)*LOG(I39))),0),"")</f>
        <v/>
      </c>
      <c r="AA39" s="104" t="str">
        <f>IFERROR((VLOOKUP(D39,'Species Codes'!B:G,6,0)*Z39)/2000,"")</f>
        <v/>
      </c>
      <c r="AB39" s="104" t="e">
        <f>IF(Z39&gt;0,((IF(OR(D39="DF",D39="RA")=TRUE,EXP(VLOOKUP(D39,'Species Codes'!B:I,8,0)+VLOOKUP(D39,'Species Codes'!B:J,9,0)*(LN((E39*2.54)))),IF(OR(D39="PY",D39="RC",D39="WH",D39="NF")=TRUE,VLOOKUP(D39,'Species Codes'!B:I,8,0)+VLOOKUP(D39,'Species Codes'!B:J,9,0)*((E39*2.54)^2)*(I39*0.3048),IF(OR(D39="MD",D39="BM",D39="GA")=TRUE,((VLOOKUP(D39,'Species Codes'!B:I,8,0)*(((((E39*2.54)+VLOOKUP(D39,'Species Codes'!B:J,9,0))/VLOOKUP(D39,'Species Codes'!B:K,10,0))^VLOOKUP(D39,'Species Codes'!B:L,11,0))*((I39*0.3048)^VLOOKUP(D39,'Species Codes'!B:M,12,0))))-(VLOOKUP(D39,'Species Codes'!B:I,8,0)*((((E39*2.54)^VLOOKUP(D39,'Species Codes'!B:L,11,0))*((I39*0.3048)^VLOOKUP(D39,'Species Codes'!B:M,12,0))))))*35.3*VLOOKUP(D39,'Species Codes'!B:G,6,0)/2.2046,VLOOKUP(D39,'Species Codes'!B:I,8,0)+VLOOKUP(D39,'Species Codes'!B:J,9,0)*(((E39*2.54)/100)^2)*(I39*0.3048)))))*0.0011023),0)</f>
        <v>#N/A</v>
      </c>
      <c r="AC39" s="104" t="e">
        <f>IF(Z39&gt;0,((IF(OR(D39="RA",D39="OA",D39="OT",D39="UN",D39="PC"),EXP(VLOOKUP(D39,'Species Codes'!B:O,14,0)+VLOOKUP(D39,'Species Codes'!B:P,15,0)*LN((E39*2.54)))-EXP(VLOOKUP(D39,'Species Codes'!B:O,14,0)+VLOOKUP(D39,'Species Codes'!B:P,15,0)*LN((E39*2.54)))*(1/(VLOOKUP(D39,'Species Codes'!B:Q,16,0)+VLOOKUP(D39,'Species Codes'!B:R,17,0)*((E39*2.54)^VLOOKUP(D39,'Species Codes'!B:S,18,0)))),IF(OR(D39="BM",D39="MD",D39="OA"),EXP(VLOOKUP(D39,'Species Codes'!B:O,14,0)+VLOOKUP(D39,'Species Codes'!B:P,15,0)*LN((E39*2.54)))*(1-(1/(VLOOKUP(D39,'Species Codes'!B:Q,16,0)+VLOOKUP(D39,'Species Codes'!B:R,17,0)*((E39*2.54)^VLOOKUP(D39,'Species Codes'!B:S,18,0)))))/1000,IF(D39="DF",EXP(VLOOKUP(D39,'Species Codes'!B:O,14,0)+VLOOKUP(D39,'Species Codes'!B:P,15,0)*LN((E39*2.54))),VLOOKUP(D39,'Species Codes'!B:O,14,0)+VLOOKUP(D39,'Species Codes'!B:P,15,0)*(((E39*2.54)/100)^2)*(I39*0.3048)))))*0.0011023),0)</f>
        <v>#N/A</v>
      </c>
      <c r="AD39" s="104" t="e">
        <f t="shared" si="10"/>
        <v>#N/A</v>
      </c>
      <c r="AE39" s="104" t="e">
        <f t="shared" si="11"/>
        <v>#N/A</v>
      </c>
      <c r="AF39" s="104" t="e">
        <f>IF(AND(VLOOKUP($D39,Merchantability!$B:$C,2,0)="Yes",$E39&gt;=VLOOKUP($D39,Merchantability!$B:$D,3,0),$E39&lt;=VLOOKUP($D39,Merchantability!$B:$E,4,0)),AA39,0)</f>
        <v>#N/A</v>
      </c>
      <c r="AG39" s="104" t="e">
        <f>IF(AND(VLOOKUP($D39,Merchantability!$B:$C,2,0)="Yes",$E39&gt;=VLOOKUP($D39,Merchantability!$B:$D,3,0),$E39&lt;=VLOOKUP($D39,Merchantability!$B:$E,4,0)),AB39,0)</f>
        <v>#N/A</v>
      </c>
      <c r="AH39" s="104" t="e">
        <f>IF(AND(VLOOKUP($D39,Merchantability!$B:$C,2,0)="Yes",$E39&gt;=VLOOKUP($D39,Merchantability!$B:$D,3,0),$E39&lt;=VLOOKUP($D39,Merchantability!$B:$E,4,0)),AC39,0)</f>
        <v>#N/A</v>
      </c>
      <c r="AI39" s="104" t="e">
        <f t="shared" si="12"/>
        <v>#N/A</v>
      </c>
      <c r="AJ39" s="104" t="e">
        <f t="shared" si="13"/>
        <v>#VALUE!</v>
      </c>
      <c r="AK39" s="104" t="e">
        <f t="shared" si="14"/>
        <v>#N/A</v>
      </c>
      <c r="AL39" s="104" t="e">
        <f t="shared" si="15"/>
        <v>#N/A</v>
      </c>
      <c r="AM39" s="104" t="e">
        <f t="shared" si="16"/>
        <v>#N/A</v>
      </c>
      <c r="AN39" s="104" t="e">
        <f t="shared" si="17"/>
        <v>#N/A</v>
      </c>
      <c r="AO39" s="104" t="e">
        <f t="shared" si="18"/>
        <v>#N/A</v>
      </c>
      <c r="AP39" s="104" t="e">
        <f t="shared" si="19"/>
        <v>#N/A</v>
      </c>
      <c r="AQ39" s="104" t="e">
        <f t="shared" si="20"/>
        <v>#N/A</v>
      </c>
      <c r="AR39" s="105" t="str">
        <f t="shared" si="21"/>
        <v/>
      </c>
      <c r="AS39" s="105" t="str">
        <f t="shared" si="22"/>
        <v/>
      </c>
      <c r="AT39" s="108" t="str">
        <f t="shared" si="23"/>
        <v/>
      </c>
      <c r="AU39" s="108" t="str">
        <f t="shared" si="24"/>
        <v/>
      </c>
      <c r="AV39" s="107" t="str">
        <f>IF(ISNUMBER(O39),IF(VLOOKUP($A39,Stand!C:J,8,FALSE)="Short",AT39,AU39),"")</f>
        <v/>
      </c>
      <c r="AW39" s="109" t="str">
        <f t="shared" si="25"/>
        <v/>
      </c>
      <c r="AX39" s="109" t="str">
        <f t="shared" si="26"/>
        <v/>
      </c>
      <c r="AY39" s="112" t="str">
        <f>IF(ISNUMBER(O39),IF(AND(VLOOKUP($D39,Merchantability!$B:$C,2,0)="Yes",$E39&gt;=VLOOKUP($D39,Merchantability!$B:$D,3,0),$E39&lt;=VLOOKUP($D39,Merchantability!$B:$E,4,0)),(AV39*O39)*(1-$H39/100),""),"")</f>
        <v/>
      </c>
      <c r="AZ39" s="115"/>
      <c r="BA39" s="61"/>
      <c r="BB39" s="61"/>
      <c r="BC39" s="61"/>
      <c r="BE39" s="61"/>
      <c r="BF39" s="63"/>
    </row>
    <row r="40" spans="1:58" ht="12.75" customHeight="1" x14ac:dyDescent="0.25">
      <c r="A40" s="313"/>
      <c r="B40" s="328"/>
      <c r="C40" s="329"/>
      <c r="D40" s="328"/>
      <c r="E40" s="330"/>
      <c r="F40" s="331"/>
      <c r="G40" s="329"/>
      <c r="H40" s="329"/>
      <c r="I40" s="328"/>
      <c r="J40" s="329"/>
      <c r="K40" s="329"/>
      <c r="L40" s="329"/>
      <c r="M40" s="76"/>
      <c r="N40" s="103" t="str">
        <f>IF(A40="","",VLOOKUP(A40,Stand!C:K,9,0))</f>
        <v/>
      </c>
      <c r="O40" s="104" t="str">
        <f t="shared" si="0"/>
        <v/>
      </c>
      <c r="P40" s="105" t="str">
        <f t="shared" si="1"/>
        <v/>
      </c>
      <c r="Q40" s="105" t="str">
        <f t="shared" si="2"/>
        <v/>
      </c>
      <c r="R40" s="103" t="str">
        <f t="shared" si="3"/>
        <v/>
      </c>
      <c r="S40" s="103" t="str">
        <f t="shared" si="4"/>
        <v/>
      </c>
      <c r="T40" s="106" t="str">
        <f t="shared" si="5"/>
        <v/>
      </c>
      <c r="U40" s="106" t="str">
        <f t="shared" si="6"/>
        <v/>
      </c>
      <c r="V40" s="106" t="str">
        <f t="shared" si="7"/>
        <v/>
      </c>
      <c r="W40" s="105" t="str">
        <f t="shared" si="8"/>
        <v/>
      </c>
      <c r="X40" s="104" t="str">
        <f t="shared" si="9"/>
        <v/>
      </c>
      <c r="Y40" s="104" t="str">
        <f t="array" ref="Y40">IFERROR(IF(ISNUMBER(O40),IF(COUNT(IF(A40=$A$2:$A$2427,IF(D40=$D$2:$D$2427,IF($X$2:$X$2427&gt;0,1))))&gt;0,SUM(IF(A40=$A$2:$A$2427,IF(D40=$D$2:$D$2427,$X$2:$X$2427)))/COUNT(IF(A40=$A$2:$A$2427,IF(D40=$D$2:$D$2427,IF(ISNUMBER($X$2:$X$2427),1)))),0),""),0)</f>
        <v/>
      </c>
      <c r="Z40" s="104" t="str">
        <f>IF(ISNUMBER(O40),IF(I40&gt;0,(10^(VLOOKUP(D40,'Species Codes'!B:C,2,0)+VLOOKUP(D40,'Species Codes'!B:D,3,0)*LOG(E40)+VLOOKUP(D40,'Species Codes'!B:E,4,0)*LOG(I40))),0),"")</f>
        <v/>
      </c>
      <c r="AA40" s="104" t="str">
        <f>IFERROR((VLOOKUP(D40,'Species Codes'!B:G,6,0)*Z40)/2000,"")</f>
        <v/>
      </c>
      <c r="AB40" s="104" t="e">
        <f>IF(Z40&gt;0,((IF(OR(D40="DF",D40="RA")=TRUE,EXP(VLOOKUP(D40,'Species Codes'!B:I,8,0)+VLOOKUP(D40,'Species Codes'!B:J,9,0)*(LN((E40*2.54)))),IF(OR(D40="PY",D40="RC",D40="WH",D40="NF")=TRUE,VLOOKUP(D40,'Species Codes'!B:I,8,0)+VLOOKUP(D40,'Species Codes'!B:J,9,0)*((E40*2.54)^2)*(I40*0.3048),IF(OR(D40="MD",D40="BM",D40="GA")=TRUE,((VLOOKUP(D40,'Species Codes'!B:I,8,0)*(((((E40*2.54)+VLOOKUP(D40,'Species Codes'!B:J,9,0))/VLOOKUP(D40,'Species Codes'!B:K,10,0))^VLOOKUP(D40,'Species Codes'!B:L,11,0))*((I40*0.3048)^VLOOKUP(D40,'Species Codes'!B:M,12,0))))-(VLOOKUP(D40,'Species Codes'!B:I,8,0)*((((E40*2.54)^VLOOKUP(D40,'Species Codes'!B:L,11,0))*((I40*0.3048)^VLOOKUP(D40,'Species Codes'!B:M,12,0))))))*35.3*VLOOKUP(D40,'Species Codes'!B:G,6,0)/2.2046,VLOOKUP(D40,'Species Codes'!B:I,8,0)+VLOOKUP(D40,'Species Codes'!B:J,9,0)*(((E40*2.54)/100)^2)*(I40*0.3048)))))*0.0011023),0)</f>
        <v>#N/A</v>
      </c>
      <c r="AC40" s="104" t="e">
        <f>IF(Z40&gt;0,((IF(OR(D40="RA",D40="OA",D40="OT",D40="UN",D40="PC"),EXP(VLOOKUP(D40,'Species Codes'!B:O,14,0)+VLOOKUP(D40,'Species Codes'!B:P,15,0)*LN((E40*2.54)))-EXP(VLOOKUP(D40,'Species Codes'!B:O,14,0)+VLOOKUP(D40,'Species Codes'!B:P,15,0)*LN((E40*2.54)))*(1/(VLOOKUP(D40,'Species Codes'!B:Q,16,0)+VLOOKUP(D40,'Species Codes'!B:R,17,0)*((E40*2.54)^VLOOKUP(D40,'Species Codes'!B:S,18,0)))),IF(OR(D40="BM",D40="MD",D40="OA"),EXP(VLOOKUP(D40,'Species Codes'!B:O,14,0)+VLOOKUP(D40,'Species Codes'!B:P,15,0)*LN((E40*2.54)))*(1-(1/(VLOOKUP(D40,'Species Codes'!B:Q,16,0)+VLOOKUP(D40,'Species Codes'!B:R,17,0)*((E40*2.54)^VLOOKUP(D40,'Species Codes'!B:S,18,0)))))/1000,IF(D40="DF",EXP(VLOOKUP(D40,'Species Codes'!B:O,14,0)+VLOOKUP(D40,'Species Codes'!B:P,15,0)*LN((E40*2.54))),VLOOKUP(D40,'Species Codes'!B:O,14,0)+VLOOKUP(D40,'Species Codes'!B:P,15,0)*(((E40*2.54)/100)^2)*(I40*0.3048)))))*0.0011023),0)</f>
        <v>#N/A</v>
      </c>
      <c r="AD40" s="104" t="e">
        <f t="shared" si="10"/>
        <v>#N/A</v>
      </c>
      <c r="AE40" s="104" t="e">
        <f t="shared" si="11"/>
        <v>#N/A</v>
      </c>
      <c r="AF40" s="104" t="e">
        <f>IF(AND(VLOOKUP($D40,Merchantability!$B:$C,2,0)="Yes",$E40&gt;=VLOOKUP($D40,Merchantability!$B:$D,3,0),$E40&lt;=VLOOKUP($D40,Merchantability!$B:$E,4,0)),AA40,0)</f>
        <v>#N/A</v>
      </c>
      <c r="AG40" s="104" t="e">
        <f>IF(AND(VLOOKUP($D40,Merchantability!$B:$C,2,0)="Yes",$E40&gt;=VLOOKUP($D40,Merchantability!$B:$D,3,0),$E40&lt;=VLOOKUP($D40,Merchantability!$B:$E,4,0)),AB40,0)</f>
        <v>#N/A</v>
      </c>
      <c r="AH40" s="104" t="e">
        <f>IF(AND(VLOOKUP($D40,Merchantability!$B:$C,2,0)="Yes",$E40&gt;=VLOOKUP($D40,Merchantability!$B:$D,3,0),$E40&lt;=VLOOKUP($D40,Merchantability!$B:$E,4,0)),AC40,0)</f>
        <v>#N/A</v>
      </c>
      <c r="AI40" s="104" t="e">
        <f t="shared" si="12"/>
        <v>#N/A</v>
      </c>
      <c r="AJ40" s="104" t="e">
        <f t="shared" si="13"/>
        <v>#VALUE!</v>
      </c>
      <c r="AK40" s="104" t="e">
        <f t="shared" si="14"/>
        <v>#N/A</v>
      </c>
      <c r="AL40" s="104" t="e">
        <f t="shared" si="15"/>
        <v>#N/A</v>
      </c>
      <c r="AM40" s="104" t="e">
        <f t="shared" si="16"/>
        <v>#N/A</v>
      </c>
      <c r="AN40" s="104" t="e">
        <f t="shared" si="17"/>
        <v>#N/A</v>
      </c>
      <c r="AO40" s="104" t="e">
        <f t="shared" si="18"/>
        <v>#N/A</v>
      </c>
      <c r="AP40" s="104" t="e">
        <f t="shared" si="19"/>
        <v>#N/A</v>
      </c>
      <c r="AQ40" s="104" t="e">
        <f t="shared" si="20"/>
        <v>#N/A</v>
      </c>
      <c r="AR40" s="105" t="str">
        <f t="shared" si="21"/>
        <v/>
      </c>
      <c r="AS40" s="105" t="str">
        <f t="shared" si="22"/>
        <v/>
      </c>
      <c r="AT40" s="108" t="str">
        <f t="shared" si="23"/>
        <v/>
      </c>
      <c r="AU40" s="108" t="str">
        <f t="shared" si="24"/>
        <v/>
      </c>
      <c r="AV40" s="107" t="str">
        <f>IF(ISNUMBER(O40),IF(VLOOKUP($A40,Stand!C:J,8,FALSE)="Short",AT40,AU40),"")</f>
        <v/>
      </c>
      <c r="AW40" s="109" t="str">
        <f t="shared" si="25"/>
        <v/>
      </c>
      <c r="AX40" s="109" t="str">
        <f t="shared" si="26"/>
        <v/>
      </c>
      <c r="AY40" s="112" t="str">
        <f>IF(ISNUMBER(O40),IF(AND(VLOOKUP($D40,Merchantability!$B:$C,2,0)="Yes",$E40&gt;=VLOOKUP($D40,Merchantability!$B:$D,3,0),$E40&lt;=VLOOKUP($D40,Merchantability!$B:$E,4,0)),(AV40*O40)*(1-$H40/100),""),"")</f>
        <v/>
      </c>
      <c r="AZ40" s="115"/>
      <c r="BA40" s="116"/>
      <c r="BB40" s="116"/>
      <c r="BE40" s="62"/>
      <c r="BF40" s="63"/>
    </row>
    <row r="41" spans="1:58" ht="12.75" customHeight="1" x14ac:dyDescent="0.25">
      <c r="A41" s="313"/>
      <c r="B41" s="328"/>
      <c r="C41" s="329"/>
      <c r="D41" s="328"/>
      <c r="E41" s="330"/>
      <c r="F41" s="331"/>
      <c r="G41" s="329"/>
      <c r="H41" s="329"/>
      <c r="I41" s="328"/>
      <c r="J41" s="329"/>
      <c r="K41" s="329"/>
      <c r="L41" s="329"/>
      <c r="M41" s="76"/>
      <c r="N41" s="103" t="str">
        <f>IF(A41="","",VLOOKUP(A41,Stand!C:K,9,0))</f>
        <v/>
      </c>
      <c r="O41" s="104" t="str">
        <f t="shared" si="0"/>
        <v/>
      </c>
      <c r="P41" s="105" t="str">
        <f t="shared" si="1"/>
        <v/>
      </c>
      <c r="Q41" s="105" t="str">
        <f t="shared" si="2"/>
        <v/>
      </c>
      <c r="R41" s="103" t="str">
        <f t="shared" si="3"/>
        <v/>
      </c>
      <c r="S41" s="103" t="str">
        <f t="shared" si="4"/>
        <v/>
      </c>
      <c r="T41" s="106" t="str">
        <f t="shared" si="5"/>
        <v/>
      </c>
      <c r="U41" s="106" t="str">
        <f t="shared" si="6"/>
        <v/>
      </c>
      <c r="V41" s="106" t="str">
        <f t="shared" si="7"/>
        <v/>
      </c>
      <c r="W41" s="105" t="str">
        <f t="shared" si="8"/>
        <v/>
      </c>
      <c r="X41" s="104" t="str">
        <f t="shared" si="9"/>
        <v/>
      </c>
      <c r="Y41" s="104" t="str">
        <f t="array" ref="Y41">IFERROR(IF(ISNUMBER(O41),IF(COUNT(IF(A41=$A$2:$A$2427,IF(D41=$D$2:$D$2427,IF($X$2:$X$2427&gt;0,1))))&gt;0,SUM(IF(A41=$A$2:$A$2427,IF(D41=$D$2:$D$2427,$X$2:$X$2427)))/COUNT(IF(A41=$A$2:$A$2427,IF(D41=$D$2:$D$2427,IF(ISNUMBER($X$2:$X$2427),1)))),0),""),0)</f>
        <v/>
      </c>
      <c r="Z41" s="104" t="str">
        <f>IF(ISNUMBER(O41),IF(I41&gt;0,(10^(VLOOKUP(D41,'Species Codes'!B:C,2,0)+VLOOKUP(D41,'Species Codes'!B:D,3,0)*LOG(E41)+VLOOKUP(D41,'Species Codes'!B:E,4,0)*LOG(I41))),0),"")</f>
        <v/>
      </c>
      <c r="AA41" s="104" t="str">
        <f>IFERROR((VLOOKUP(D41,'Species Codes'!B:G,6,0)*Z41)/2000,"")</f>
        <v/>
      </c>
      <c r="AB41" s="104" t="e">
        <f>IF(Z41&gt;0,((IF(OR(D41="DF",D41="RA")=TRUE,EXP(VLOOKUP(D41,'Species Codes'!B:I,8,0)+VLOOKUP(D41,'Species Codes'!B:J,9,0)*(LN((E41*2.54)))),IF(OR(D41="PY",D41="RC",D41="WH",D41="NF")=TRUE,VLOOKUP(D41,'Species Codes'!B:I,8,0)+VLOOKUP(D41,'Species Codes'!B:J,9,0)*((E41*2.54)^2)*(I41*0.3048),IF(OR(D41="MD",D41="BM",D41="GA")=TRUE,((VLOOKUP(D41,'Species Codes'!B:I,8,0)*(((((E41*2.54)+VLOOKUP(D41,'Species Codes'!B:J,9,0))/VLOOKUP(D41,'Species Codes'!B:K,10,0))^VLOOKUP(D41,'Species Codes'!B:L,11,0))*((I41*0.3048)^VLOOKUP(D41,'Species Codes'!B:M,12,0))))-(VLOOKUP(D41,'Species Codes'!B:I,8,0)*((((E41*2.54)^VLOOKUP(D41,'Species Codes'!B:L,11,0))*((I41*0.3048)^VLOOKUP(D41,'Species Codes'!B:M,12,0))))))*35.3*VLOOKUP(D41,'Species Codes'!B:G,6,0)/2.2046,VLOOKUP(D41,'Species Codes'!B:I,8,0)+VLOOKUP(D41,'Species Codes'!B:J,9,0)*(((E41*2.54)/100)^2)*(I41*0.3048)))))*0.0011023),0)</f>
        <v>#N/A</v>
      </c>
      <c r="AC41" s="104" t="e">
        <f>IF(Z41&gt;0,((IF(OR(D41="RA",D41="OA",D41="OT",D41="UN",D41="PC"),EXP(VLOOKUP(D41,'Species Codes'!B:O,14,0)+VLOOKUP(D41,'Species Codes'!B:P,15,0)*LN((E41*2.54)))-EXP(VLOOKUP(D41,'Species Codes'!B:O,14,0)+VLOOKUP(D41,'Species Codes'!B:P,15,0)*LN((E41*2.54)))*(1/(VLOOKUP(D41,'Species Codes'!B:Q,16,0)+VLOOKUP(D41,'Species Codes'!B:R,17,0)*((E41*2.54)^VLOOKUP(D41,'Species Codes'!B:S,18,0)))),IF(OR(D41="BM",D41="MD",D41="OA"),EXP(VLOOKUP(D41,'Species Codes'!B:O,14,0)+VLOOKUP(D41,'Species Codes'!B:P,15,0)*LN((E41*2.54)))*(1-(1/(VLOOKUP(D41,'Species Codes'!B:Q,16,0)+VLOOKUP(D41,'Species Codes'!B:R,17,0)*((E41*2.54)^VLOOKUP(D41,'Species Codes'!B:S,18,0)))))/1000,IF(D41="DF",EXP(VLOOKUP(D41,'Species Codes'!B:O,14,0)+VLOOKUP(D41,'Species Codes'!B:P,15,0)*LN((E41*2.54))),VLOOKUP(D41,'Species Codes'!B:O,14,0)+VLOOKUP(D41,'Species Codes'!B:P,15,0)*(((E41*2.54)/100)^2)*(I41*0.3048)))))*0.0011023),0)</f>
        <v>#N/A</v>
      </c>
      <c r="AD41" s="104" t="e">
        <f t="shared" si="10"/>
        <v>#N/A</v>
      </c>
      <c r="AE41" s="104" t="e">
        <f t="shared" si="11"/>
        <v>#N/A</v>
      </c>
      <c r="AF41" s="104" t="e">
        <f>IF(AND(VLOOKUP($D41,Merchantability!$B:$C,2,0)="Yes",$E41&gt;=VLOOKUP($D41,Merchantability!$B:$D,3,0),$E41&lt;=VLOOKUP($D41,Merchantability!$B:$E,4,0)),AA41,0)</f>
        <v>#N/A</v>
      </c>
      <c r="AG41" s="104" t="e">
        <f>IF(AND(VLOOKUP($D41,Merchantability!$B:$C,2,0)="Yes",$E41&gt;=VLOOKUP($D41,Merchantability!$B:$D,3,0),$E41&lt;=VLOOKUP($D41,Merchantability!$B:$E,4,0)),AB41,0)</f>
        <v>#N/A</v>
      </c>
      <c r="AH41" s="104" t="e">
        <f>IF(AND(VLOOKUP($D41,Merchantability!$B:$C,2,0)="Yes",$E41&gt;=VLOOKUP($D41,Merchantability!$B:$D,3,0),$E41&lt;=VLOOKUP($D41,Merchantability!$B:$E,4,0)),AC41,0)</f>
        <v>#N/A</v>
      </c>
      <c r="AI41" s="104" t="e">
        <f t="shared" si="12"/>
        <v>#N/A</v>
      </c>
      <c r="AJ41" s="104" t="e">
        <f t="shared" si="13"/>
        <v>#VALUE!</v>
      </c>
      <c r="AK41" s="104" t="e">
        <f t="shared" si="14"/>
        <v>#N/A</v>
      </c>
      <c r="AL41" s="104" t="e">
        <f t="shared" si="15"/>
        <v>#N/A</v>
      </c>
      <c r="AM41" s="104" t="e">
        <f t="shared" si="16"/>
        <v>#N/A</v>
      </c>
      <c r="AN41" s="104" t="e">
        <f t="shared" si="17"/>
        <v>#N/A</v>
      </c>
      <c r="AO41" s="104" t="e">
        <f t="shared" si="18"/>
        <v>#N/A</v>
      </c>
      <c r="AP41" s="104" t="e">
        <f t="shared" si="19"/>
        <v>#N/A</v>
      </c>
      <c r="AQ41" s="104" t="e">
        <f t="shared" si="20"/>
        <v>#N/A</v>
      </c>
      <c r="AR41" s="105" t="str">
        <f t="shared" si="21"/>
        <v/>
      </c>
      <c r="AS41" s="105" t="str">
        <f t="shared" si="22"/>
        <v/>
      </c>
      <c r="AT41" s="108" t="str">
        <f t="shared" si="23"/>
        <v/>
      </c>
      <c r="AU41" s="108" t="str">
        <f t="shared" si="24"/>
        <v/>
      </c>
      <c r="AV41" s="107" t="str">
        <f>IF(ISNUMBER(O41),IF(VLOOKUP($A41,Stand!C:J,8,FALSE)="Short",AT41,AU41),"")</f>
        <v/>
      </c>
      <c r="AW41" s="109" t="str">
        <f t="shared" si="25"/>
        <v/>
      </c>
      <c r="AX41" s="109" t="str">
        <f t="shared" si="26"/>
        <v/>
      </c>
      <c r="AY41" s="112" t="str">
        <f>IF(ISNUMBER(O41),IF(AND(VLOOKUP($D41,Merchantability!$B:$C,2,0)="Yes",$E41&gt;=VLOOKUP($D41,Merchantability!$B:$D,3,0),$E41&lt;=VLOOKUP($D41,Merchantability!$B:$E,4,0)),(AV41*O41)*(1-$H41/100),""),"")</f>
        <v/>
      </c>
      <c r="AZ41" s="115"/>
      <c r="BA41" s="116"/>
      <c r="BB41" s="116"/>
      <c r="BE41" s="62"/>
      <c r="BF41" s="63"/>
    </row>
    <row r="42" spans="1:58" ht="12.75" customHeight="1" x14ac:dyDescent="0.25">
      <c r="A42" s="313"/>
      <c r="B42" s="328"/>
      <c r="C42" s="329"/>
      <c r="D42" s="328"/>
      <c r="E42" s="330"/>
      <c r="F42" s="331"/>
      <c r="G42" s="329"/>
      <c r="H42" s="329"/>
      <c r="I42" s="328"/>
      <c r="J42" s="329"/>
      <c r="K42" s="329"/>
      <c r="L42" s="329"/>
      <c r="M42" s="76"/>
      <c r="N42" s="103" t="str">
        <f>IF(A42="","",VLOOKUP(A42,Stand!C:K,9,0))</f>
        <v/>
      </c>
      <c r="O42" s="104" t="str">
        <f t="shared" si="0"/>
        <v/>
      </c>
      <c r="P42" s="105" t="str">
        <f t="shared" si="1"/>
        <v/>
      </c>
      <c r="Q42" s="105" t="str">
        <f t="shared" si="2"/>
        <v/>
      </c>
      <c r="R42" s="103" t="str">
        <f t="shared" si="3"/>
        <v/>
      </c>
      <c r="S42" s="103" t="str">
        <f t="shared" si="4"/>
        <v/>
      </c>
      <c r="T42" s="106" t="str">
        <f t="shared" si="5"/>
        <v/>
      </c>
      <c r="U42" s="106" t="str">
        <f t="shared" si="6"/>
        <v/>
      </c>
      <c r="V42" s="106" t="str">
        <f t="shared" si="7"/>
        <v/>
      </c>
      <c r="W42" s="105" t="str">
        <f t="shared" si="8"/>
        <v/>
      </c>
      <c r="X42" s="104" t="str">
        <f t="shared" si="9"/>
        <v/>
      </c>
      <c r="Y42" s="104" t="str">
        <f t="array" ref="Y42">IFERROR(IF(ISNUMBER(O42),IF(COUNT(IF(A42=$A$2:$A$2427,IF(D42=$D$2:$D$2427,IF($X$2:$X$2427&gt;0,1))))&gt;0,SUM(IF(A42=$A$2:$A$2427,IF(D42=$D$2:$D$2427,$X$2:$X$2427)))/COUNT(IF(A42=$A$2:$A$2427,IF(D42=$D$2:$D$2427,IF(ISNUMBER($X$2:$X$2427),1)))),0),""),0)</f>
        <v/>
      </c>
      <c r="Z42" s="104" t="str">
        <f>IF(ISNUMBER(O42),IF(I42&gt;0,(10^(VLOOKUP(D42,'Species Codes'!B:C,2,0)+VLOOKUP(D42,'Species Codes'!B:D,3,0)*LOG(E42)+VLOOKUP(D42,'Species Codes'!B:E,4,0)*LOG(I42))),0),"")</f>
        <v/>
      </c>
      <c r="AA42" s="104" t="str">
        <f>IFERROR((VLOOKUP(D42,'Species Codes'!B:G,6,0)*Z42)/2000,"")</f>
        <v/>
      </c>
      <c r="AB42" s="104" t="e">
        <f>IF(Z42&gt;0,((IF(OR(D42="DF",D42="RA")=TRUE,EXP(VLOOKUP(D42,'Species Codes'!B:I,8,0)+VLOOKUP(D42,'Species Codes'!B:J,9,0)*(LN((E42*2.54)))),IF(OR(D42="PY",D42="RC",D42="WH",D42="NF")=TRUE,VLOOKUP(D42,'Species Codes'!B:I,8,0)+VLOOKUP(D42,'Species Codes'!B:J,9,0)*((E42*2.54)^2)*(I42*0.3048),IF(OR(D42="MD",D42="BM",D42="GA")=TRUE,((VLOOKUP(D42,'Species Codes'!B:I,8,0)*(((((E42*2.54)+VLOOKUP(D42,'Species Codes'!B:J,9,0))/VLOOKUP(D42,'Species Codes'!B:K,10,0))^VLOOKUP(D42,'Species Codes'!B:L,11,0))*((I42*0.3048)^VLOOKUP(D42,'Species Codes'!B:M,12,0))))-(VLOOKUP(D42,'Species Codes'!B:I,8,0)*((((E42*2.54)^VLOOKUP(D42,'Species Codes'!B:L,11,0))*((I42*0.3048)^VLOOKUP(D42,'Species Codes'!B:M,12,0))))))*35.3*VLOOKUP(D42,'Species Codes'!B:G,6,0)/2.2046,VLOOKUP(D42,'Species Codes'!B:I,8,0)+VLOOKUP(D42,'Species Codes'!B:J,9,0)*(((E42*2.54)/100)^2)*(I42*0.3048)))))*0.0011023),0)</f>
        <v>#N/A</v>
      </c>
      <c r="AC42" s="104" t="e">
        <f>IF(Z42&gt;0,((IF(OR(D42="RA",D42="OA",D42="OT",D42="UN",D42="PC"),EXP(VLOOKUP(D42,'Species Codes'!B:O,14,0)+VLOOKUP(D42,'Species Codes'!B:P,15,0)*LN((E42*2.54)))-EXP(VLOOKUP(D42,'Species Codes'!B:O,14,0)+VLOOKUP(D42,'Species Codes'!B:P,15,0)*LN((E42*2.54)))*(1/(VLOOKUP(D42,'Species Codes'!B:Q,16,0)+VLOOKUP(D42,'Species Codes'!B:R,17,0)*((E42*2.54)^VLOOKUP(D42,'Species Codes'!B:S,18,0)))),IF(OR(D42="BM",D42="MD",D42="OA"),EXP(VLOOKUP(D42,'Species Codes'!B:O,14,0)+VLOOKUP(D42,'Species Codes'!B:P,15,0)*LN((E42*2.54)))*(1-(1/(VLOOKUP(D42,'Species Codes'!B:Q,16,0)+VLOOKUP(D42,'Species Codes'!B:R,17,0)*((E42*2.54)^VLOOKUP(D42,'Species Codes'!B:S,18,0)))))/1000,IF(D42="DF",EXP(VLOOKUP(D42,'Species Codes'!B:O,14,0)+VLOOKUP(D42,'Species Codes'!B:P,15,0)*LN((E42*2.54))),VLOOKUP(D42,'Species Codes'!B:O,14,0)+VLOOKUP(D42,'Species Codes'!B:P,15,0)*(((E42*2.54)/100)^2)*(I42*0.3048)))))*0.0011023),0)</f>
        <v>#N/A</v>
      </c>
      <c r="AD42" s="104" t="e">
        <f t="shared" si="10"/>
        <v>#N/A</v>
      </c>
      <c r="AE42" s="104" t="e">
        <f t="shared" si="11"/>
        <v>#N/A</v>
      </c>
      <c r="AF42" s="104" t="e">
        <f>IF(AND(VLOOKUP($D42,Merchantability!$B:$C,2,0)="Yes",$E42&gt;=VLOOKUP($D42,Merchantability!$B:$D,3,0),$E42&lt;=VLOOKUP($D42,Merchantability!$B:$E,4,0)),AA42,0)</f>
        <v>#N/A</v>
      </c>
      <c r="AG42" s="104" t="e">
        <f>IF(AND(VLOOKUP($D42,Merchantability!$B:$C,2,0)="Yes",$E42&gt;=VLOOKUP($D42,Merchantability!$B:$D,3,0),$E42&lt;=VLOOKUP($D42,Merchantability!$B:$E,4,0)),AB42,0)</f>
        <v>#N/A</v>
      </c>
      <c r="AH42" s="104" t="e">
        <f>IF(AND(VLOOKUP($D42,Merchantability!$B:$C,2,0)="Yes",$E42&gt;=VLOOKUP($D42,Merchantability!$B:$D,3,0),$E42&lt;=VLOOKUP($D42,Merchantability!$B:$E,4,0)),AC42,0)</f>
        <v>#N/A</v>
      </c>
      <c r="AI42" s="104" t="e">
        <f t="shared" si="12"/>
        <v>#N/A</v>
      </c>
      <c r="AJ42" s="104" t="e">
        <f t="shared" si="13"/>
        <v>#VALUE!</v>
      </c>
      <c r="AK42" s="104" t="e">
        <f t="shared" si="14"/>
        <v>#N/A</v>
      </c>
      <c r="AL42" s="104" t="e">
        <f t="shared" si="15"/>
        <v>#N/A</v>
      </c>
      <c r="AM42" s="104" t="e">
        <f t="shared" si="16"/>
        <v>#N/A</v>
      </c>
      <c r="AN42" s="104" t="e">
        <f t="shared" si="17"/>
        <v>#N/A</v>
      </c>
      <c r="AO42" s="104" t="e">
        <f t="shared" si="18"/>
        <v>#N/A</v>
      </c>
      <c r="AP42" s="104" t="e">
        <f t="shared" si="19"/>
        <v>#N/A</v>
      </c>
      <c r="AQ42" s="104" t="e">
        <f t="shared" si="20"/>
        <v>#N/A</v>
      </c>
      <c r="AR42" s="105" t="str">
        <f t="shared" si="21"/>
        <v/>
      </c>
      <c r="AS42" s="105" t="str">
        <f t="shared" si="22"/>
        <v/>
      </c>
      <c r="AT42" s="108" t="str">
        <f t="shared" si="23"/>
        <v/>
      </c>
      <c r="AU42" s="108" t="str">
        <f t="shared" si="24"/>
        <v/>
      </c>
      <c r="AV42" s="107" t="str">
        <f>IF(ISNUMBER(O42),IF(VLOOKUP($A42,Stand!C:J,8,FALSE)="Short",AT42,AU42),"")</f>
        <v/>
      </c>
      <c r="AW42" s="109" t="str">
        <f t="shared" si="25"/>
        <v/>
      </c>
      <c r="AX42" s="109" t="str">
        <f t="shared" si="26"/>
        <v/>
      </c>
      <c r="AY42" s="112" t="str">
        <f>IF(ISNUMBER(O42),IF(AND(VLOOKUP($D42,Merchantability!$B:$C,2,0)="Yes",$E42&gt;=VLOOKUP($D42,Merchantability!$B:$D,3,0),$E42&lt;=VLOOKUP($D42,Merchantability!$B:$E,4,0)),(AV42*O42)*(1-$H42/100),""),"")</f>
        <v/>
      </c>
      <c r="AZ42" s="115"/>
      <c r="BA42" s="116"/>
      <c r="BB42" s="116"/>
      <c r="BE42" s="62"/>
      <c r="BF42" s="63"/>
    </row>
    <row r="43" spans="1:58" ht="12.75" customHeight="1" x14ac:dyDescent="0.25">
      <c r="A43" s="313"/>
      <c r="B43" s="328"/>
      <c r="C43" s="329"/>
      <c r="D43" s="328"/>
      <c r="E43" s="330"/>
      <c r="F43" s="331"/>
      <c r="G43" s="329"/>
      <c r="H43" s="329"/>
      <c r="I43" s="328"/>
      <c r="J43" s="329"/>
      <c r="K43" s="329"/>
      <c r="L43" s="329"/>
      <c r="M43" s="76"/>
      <c r="N43" s="103" t="str">
        <f>IF(A43="","",VLOOKUP(A43,Stand!C:K,9,0))</f>
        <v/>
      </c>
      <c r="O43" s="104" t="str">
        <f t="shared" si="0"/>
        <v/>
      </c>
      <c r="P43" s="105" t="str">
        <f t="shared" si="1"/>
        <v/>
      </c>
      <c r="Q43" s="105" t="str">
        <f t="shared" si="2"/>
        <v/>
      </c>
      <c r="R43" s="103" t="str">
        <f t="shared" si="3"/>
        <v/>
      </c>
      <c r="S43" s="103" t="str">
        <f t="shared" si="4"/>
        <v/>
      </c>
      <c r="T43" s="106" t="str">
        <f t="shared" si="5"/>
        <v/>
      </c>
      <c r="U43" s="106" t="str">
        <f t="shared" si="6"/>
        <v/>
      </c>
      <c r="V43" s="106" t="str">
        <f t="shared" si="7"/>
        <v/>
      </c>
      <c r="W43" s="105" t="str">
        <f t="shared" si="8"/>
        <v/>
      </c>
      <c r="X43" s="104" t="str">
        <f t="shared" si="9"/>
        <v/>
      </c>
      <c r="Y43" s="104" t="str">
        <f t="array" ref="Y43">IFERROR(IF(ISNUMBER(O43),IF(COUNT(IF(A43=$A$2:$A$2427,IF(D43=$D$2:$D$2427,IF($X$2:$X$2427&gt;0,1))))&gt;0,SUM(IF(A43=$A$2:$A$2427,IF(D43=$D$2:$D$2427,$X$2:$X$2427)))/COUNT(IF(A43=$A$2:$A$2427,IF(D43=$D$2:$D$2427,IF(ISNUMBER($X$2:$X$2427),1)))),0),""),0)</f>
        <v/>
      </c>
      <c r="Z43" s="104" t="str">
        <f>IF(ISNUMBER(O43),IF(I43&gt;0,(10^(VLOOKUP(D43,'Species Codes'!B:C,2,0)+VLOOKUP(D43,'Species Codes'!B:D,3,0)*LOG(E43)+VLOOKUP(D43,'Species Codes'!B:E,4,0)*LOG(I43))),0),"")</f>
        <v/>
      </c>
      <c r="AA43" s="104" t="str">
        <f>IFERROR((VLOOKUP(D43,'Species Codes'!B:G,6,0)*Z43)/2000,"")</f>
        <v/>
      </c>
      <c r="AB43" s="104" t="e">
        <f>IF(Z43&gt;0,((IF(OR(D43="DF",D43="RA")=TRUE,EXP(VLOOKUP(D43,'Species Codes'!B:I,8,0)+VLOOKUP(D43,'Species Codes'!B:J,9,0)*(LN((E43*2.54)))),IF(OR(D43="PY",D43="RC",D43="WH",D43="NF")=TRUE,VLOOKUP(D43,'Species Codes'!B:I,8,0)+VLOOKUP(D43,'Species Codes'!B:J,9,0)*((E43*2.54)^2)*(I43*0.3048),IF(OR(D43="MD",D43="BM",D43="GA")=TRUE,((VLOOKUP(D43,'Species Codes'!B:I,8,0)*(((((E43*2.54)+VLOOKUP(D43,'Species Codes'!B:J,9,0))/VLOOKUP(D43,'Species Codes'!B:K,10,0))^VLOOKUP(D43,'Species Codes'!B:L,11,0))*((I43*0.3048)^VLOOKUP(D43,'Species Codes'!B:M,12,0))))-(VLOOKUP(D43,'Species Codes'!B:I,8,0)*((((E43*2.54)^VLOOKUP(D43,'Species Codes'!B:L,11,0))*((I43*0.3048)^VLOOKUP(D43,'Species Codes'!B:M,12,0))))))*35.3*VLOOKUP(D43,'Species Codes'!B:G,6,0)/2.2046,VLOOKUP(D43,'Species Codes'!B:I,8,0)+VLOOKUP(D43,'Species Codes'!B:J,9,0)*(((E43*2.54)/100)^2)*(I43*0.3048)))))*0.0011023),0)</f>
        <v>#N/A</v>
      </c>
      <c r="AC43" s="104" t="e">
        <f>IF(Z43&gt;0,((IF(OR(D43="RA",D43="OA",D43="OT",D43="UN",D43="PC"),EXP(VLOOKUP(D43,'Species Codes'!B:O,14,0)+VLOOKUP(D43,'Species Codes'!B:P,15,0)*LN((E43*2.54)))-EXP(VLOOKUP(D43,'Species Codes'!B:O,14,0)+VLOOKUP(D43,'Species Codes'!B:P,15,0)*LN((E43*2.54)))*(1/(VLOOKUP(D43,'Species Codes'!B:Q,16,0)+VLOOKUP(D43,'Species Codes'!B:R,17,0)*((E43*2.54)^VLOOKUP(D43,'Species Codes'!B:S,18,0)))),IF(OR(D43="BM",D43="MD",D43="OA"),EXP(VLOOKUP(D43,'Species Codes'!B:O,14,0)+VLOOKUP(D43,'Species Codes'!B:P,15,0)*LN((E43*2.54)))*(1-(1/(VLOOKUP(D43,'Species Codes'!B:Q,16,0)+VLOOKUP(D43,'Species Codes'!B:R,17,0)*((E43*2.54)^VLOOKUP(D43,'Species Codes'!B:S,18,0)))))/1000,IF(D43="DF",EXP(VLOOKUP(D43,'Species Codes'!B:O,14,0)+VLOOKUP(D43,'Species Codes'!B:P,15,0)*LN((E43*2.54))),VLOOKUP(D43,'Species Codes'!B:O,14,0)+VLOOKUP(D43,'Species Codes'!B:P,15,0)*(((E43*2.54)/100)^2)*(I43*0.3048)))))*0.0011023),0)</f>
        <v>#N/A</v>
      </c>
      <c r="AD43" s="104" t="e">
        <f t="shared" si="10"/>
        <v>#N/A</v>
      </c>
      <c r="AE43" s="104" t="e">
        <f t="shared" si="11"/>
        <v>#N/A</v>
      </c>
      <c r="AF43" s="104" t="e">
        <f>IF(AND(VLOOKUP($D43,Merchantability!$B:$C,2,0)="Yes",$E43&gt;=VLOOKUP($D43,Merchantability!$B:$D,3,0),$E43&lt;=VLOOKUP($D43,Merchantability!$B:$E,4,0)),AA43,0)</f>
        <v>#N/A</v>
      </c>
      <c r="AG43" s="104" t="e">
        <f>IF(AND(VLOOKUP($D43,Merchantability!$B:$C,2,0)="Yes",$E43&gt;=VLOOKUP($D43,Merchantability!$B:$D,3,0),$E43&lt;=VLOOKUP($D43,Merchantability!$B:$E,4,0)),AB43,0)</f>
        <v>#N/A</v>
      </c>
      <c r="AH43" s="104" t="e">
        <f>IF(AND(VLOOKUP($D43,Merchantability!$B:$C,2,0)="Yes",$E43&gt;=VLOOKUP($D43,Merchantability!$B:$D,3,0),$E43&lt;=VLOOKUP($D43,Merchantability!$B:$E,4,0)),AC43,0)</f>
        <v>#N/A</v>
      </c>
      <c r="AI43" s="104" t="e">
        <f t="shared" si="12"/>
        <v>#N/A</v>
      </c>
      <c r="AJ43" s="104" t="e">
        <f t="shared" si="13"/>
        <v>#VALUE!</v>
      </c>
      <c r="AK43" s="104" t="e">
        <f t="shared" si="14"/>
        <v>#N/A</v>
      </c>
      <c r="AL43" s="104" t="e">
        <f t="shared" si="15"/>
        <v>#N/A</v>
      </c>
      <c r="AM43" s="104" t="e">
        <f t="shared" si="16"/>
        <v>#N/A</v>
      </c>
      <c r="AN43" s="104" t="e">
        <f t="shared" si="17"/>
        <v>#N/A</v>
      </c>
      <c r="AO43" s="104" t="e">
        <f t="shared" si="18"/>
        <v>#N/A</v>
      </c>
      <c r="AP43" s="104" t="e">
        <f t="shared" si="19"/>
        <v>#N/A</v>
      </c>
      <c r="AQ43" s="104" t="e">
        <f t="shared" si="20"/>
        <v>#N/A</v>
      </c>
      <c r="AR43" s="105" t="str">
        <f t="shared" si="21"/>
        <v/>
      </c>
      <c r="AS43" s="105" t="str">
        <f t="shared" si="22"/>
        <v/>
      </c>
      <c r="AT43" s="108" t="str">
        <f t="shared" si="23"/>
        <v/>
      </c>
      <c r="AU43" s="108" t="str">
        <f t="shared" si="24"/>
        <v/>
      </c>
      <c r="AV43" s="107" t="str">
        <f>IF(ISNUMBER(O43),IF(VLOOKUP($A43,Stand!C:J,8,FALSE)="Short",AT43,AU43),"")</f>
        <v/>
      </c>
      <c r="AW43" s="109" t="str">
        <f t="shared" si="25"/>
        <v/>
      </c>
      <c r="AX43" s="109" t="str">
        <f t="shared" si="26"/>
        <v/>
      </c>
      <c r="AY43" s="112" t="str">
        <f>IF(ISNUMBER(O43),IF(AND(VLOOKUP($D43,Merchantability!$B:$C,2,0)="Yes",$E43&gt;=VLOOKUP($D43,Merchantability!$B:$D,3,0),$E43&lt;=VLOOKUP($D43,Merchantability!$B:$E,4,0)),(AV43*O43)*(1-$H43/100),""),"")</f>
        <v/>
      </c>
      <c r="AZ43" s="115"/>
      <c r="BA43" s="116"/>
      <c r="BB43" s="116"/>
      <c r="BE43" s="62"/>
      <c r="BF43" s="63"/>
    </row>
    <row r="44" spans="1:58" ht="12.75" customHeight="1" x14ac:dyDescent="0.25">
      <c r="A44" s="313"/>
      <c r="B44" s="328"/>
      <c r="C44" s="329"/>
      <c r="D44" s="328"/>
      <c r="E44" s="330"/>
      <c r="F44" s="331"/>
      <c r="G44" s="329"/>
      <c r="H44" s="329"/>
      <c r="I44" s="328"/>
      <c r="J44" s="329"/>
      <c r="K44" s="329"/>
      <c r="L44" s="329"/>
      <c r="M44" s="76"/>
      <c r="N44" s="103" t="str">
        <f>IF(A44="","",VLOOKUP(A44,Stand!C:K,9,0))</f>
        <v/>
      </c>
      <c r="O44" s="104" t="str">
        <f t="shared" si="0"/>
        <v/>
      </c>
      <c r="P44" s="105" t="str">
        <f t="shared" si="1"/>
        <v/>
      </c>
      <c r="Q44" s="105" t="str">
        <f t="shared" si="2"/>
        <v/>
      </c>
      <c r="R44" s="103" t="str">
        <f t="shared" si="3"/>
        <v/>
      </c>
      <c r="S44" s="103" t="str">
        <f t="shared" si="4"/>
        <v/>
      </c>
      <c r="T44" s="106" t="str">
        <f t="shared" si="5"/>
        <v/>
      </c>
      <c r="U44" s="106" t="str">
        <f t="shared" si="6"/>
        <v/>
      </c>
      <c r="V44" s="106" t="str">
        <f t="shared" si="7"/>
        <v/>
      </c>
      <c r="W44" s="105" t="str">
        <f t="shared" si="8"/>
        <v/>
      </c>
      <c r="X44" s="104" t="str">
        <f t="shared" si="9"/>
        <v/>
      </c>
      <c r="Y44" s="104" t="str">
        <f t="array" ref="Y44">IFERROR(IF(ISNUMBER(O44),IF(COUNT(IF(A44=$A$2:$A$2427,IF(D44=$D$2:$D$2427,IF($X$2:$X$2427&gt;0,1))))&gt;0,SUM(IF(A44=$A$2:$A$2427,IF(D44=$D$2:$D$2427,$X$2:$X$2427)))/COUNT(IF(A44=$A$2:$A$2427,IF(D44=$D$2:$D$2427,IF(ISNUMBER($X$2:$X$2427),1)))),0),""),0)</f>
        <v/>
      </c>
      <c r="Z44" s="104" t="str">
        <f>IF(ISNUMBER(O44),IF(I44&gt;0,(10^(VLOOKUP(D44,'Species Codes'!B:C,2,0)+VLOOKUP(D44,'Species Codes'!B:D,3,0)*LOG(E44)+VLOOKUP(D44,'Species Codes'!B:E,4,0)*LOG(I44))),0),"")</f>
        <v/>
      </c>
      <c r="AA44" s="104" t="str">
        <f>IFERROR((VLOOKUP(D44,'Species Codes'!B:G,6,0)*Z44)/2000,"")</f>
        <v/>
      </c>
      <c r="AB44" s="104" t="e">
        <f>IF(Z44&gt;0,((IF(OR(D44="DF",D44="RA")=TRUE,EXP(VLOOKUP(D44,'Species Codes'!B:I,8,0)+VLOOKUP(D44,'Species Codes'!B:J,9,0)*(LN((E44*2.54)))),IF(OR(D44="PY",D44="RC",D44="WH",D44="NF")=TRUE,VLOOKUP(D44,'Species Codes'!B:I,8,0)+VLOOKUP(D44,'Species Codes'!B:J,9,0)*((E44*2.54)^2)*(I44*0.3048),IF(OR(D44="MD",D44="BM",D44="GA")=TRUE,((VLOOKUP(D44,'Species Codes'!B:I,8,0)*(((((E44*2.54)+VLOOKUP(D44,'Species Codes'!B:J,9,0))/VLOOKUP(D44,'Species Codes'!B:K,10,0))^VLOOKUP(D44,'Species Codes'!B:L,11,0))*((I44*0.3048)^VLOOKUP(D44,'Species Codes'!B:M,12,0))))-(VLOOKUP(D44,'Species Codes'!B:I,8,0)*((((E44*2.54)^VLOOKUP(D44,'Species Codes'!B:L,11,0))*((I44*0.3048)^VLOOKUP(D44,'Species Codes'!B:M,12,0))))))*35.3*VLOOKUP(D44,'Species Codes'!B:G,6,0)/2.2046,VLOOKUP(D44,'Species Codes'!B:I,8,0)+VLOOKUP(D44,'Species Codes'!B:J,9,0)*(((E44*2.54)/100)^2)*(I44*0.3048)))))*0.0011023),0)</f>
        <v>#N/A</v>
      </c>
      <c r="AC44" s="104" t="e">
        <f>IF(Z44&gt;0,((IF(OR(D44="RA",D44="OA",D44="OT",D44="UN",D44="PC"),EXP(VLOOKUP(D44,'Species Codes'!B:O,14,0)+VLOOKUP(D44,'Species Codes'!B:P,15,0)*LN((E44*2.54)))-EXP(VLOOKUP(D44,'Species Codes'!B:O,14,0)+VLOOKUP(D44,'Species Codes'!B:P,15,0)*LN((E44*2.54)))*(1/(VLOOKUP(D44,'Species Codes'!B:Q,16,0)+VLOOKUP(D44,'Species Codes'!B:R,17,0)*((E44*2.54)^VLOOKUP(D44,'Species Codes'!B:S,18,0)))),IF(OR(D44="BM",D44="MD",D44="OA"),EXP(VLOOKUP(D44,'Species Codes'!B:O,14,0)+VLOOKUP(D44,'Species Codes'!B:P,15,0)*LN((E44*2.54)))*(1-(1/(VLOOKUP(D44,'Species Codes'!B:Q,16,0)+VLOOKUP(D44,'Species Codes'!B:R,17,0)*((E44*2.54)^VLOOKUP(D44,'Species Codes'!B:S,18,0)))))/1000,IF(D44="DF",EXP(VLOOKUP(D44,'Species Codes'!B:O,14,0)+VLOOKUP(D44,'Species Codes'!B:P,15,0)*LN((E44*2.54))),VLOOKUP(D44,'Species Codes'!B:O,14,0)+VLOOKUP(D44,'Species Codes'!B:P,15,0)*(((E44*2.54)/100)^2)*(I44*0.3048)))))*0.0011023),0)</f>
        <v>#N/A</v>
      </c>
      <c r="AD44" s="104" t="e">
        <f t="shared" si="10"/>
        <v>#N/A</v>
      </c>
      <c r="AE44" s="104" t="e">
        <f t="shared" si="11"/>
        <v>#N/A</v>
      </c>
      <c r="AF44" s="104" t="e">
        <f>IF(AND(VLOOKUP($D44,Merchantability!$B:$C,2,0)="Yes",$E44&gt;=VLOOKUP($D44,Merchantability!$B:$D,3,0),$E44&lt;=VLOOKUP($D44,Merchantability!$B:$E,4,0)),AA44,0)</f>
        <v>#N/A</v>
      </c>
      <c r="AG44" s="104" t="e">
        <f>IF(AND(VLOOKUP($D44,Merchantability!$B:$C,2,0)="Yes",$E44&gt;=VLOOKUP($D44,Merchantability!$B:$D,3,0),$E44&lt;=VLOOKUP($D44,Merchantability!$B:$E,4,0)),AB44,0)</f>
        <v>#N/A</v>
      </c>
      <c r="AH44" s="104" t="e">
        <f>IF(AND(VLOOKUP($D44,Merchantability!$B:$C,2,0)="Yes",$E44&gt;=VLOOKUP($D44,Merchantability!$B:$D,3,0),$E44&lt;=VLOOKUP($D44,Merchantability!$B:$E,4,0)),AC44,0)</f>
        <v>#N/A</v>
      </c>
      <c r="AI44" s="104" t="e">
        <f t="shared" si="12"/>
        <v>#N/A</v>
      </c>
      <c r="AJ44" s="104" t="e">
        <f t="shared" si="13"/>
        <v>#VALUE!</v>
      </c>
      <c r="AK44" s="104" t="e">
        <f t="shared" si="14"/>
        <v>#N/A</v>
      </c>
      <c r="AL44" s="104" t="e">
        <f t="shared" si="15"/>
        <v>#N/A</v>
      </c>
      <c r="AM44" s="104" t="e">
        <f t="shared" si="16"/>
        <v>#N/A</v>
      </c>
      <c r="AN44" s="104" t="e">
        <f t="shared" si="17"/>
        <v>#N/A</v>
      </c>
      <c r="AO44" s="104" t="e">
        <f t="shared" si="18"/>
        <v>#N/A</v>
      </c>
      <c r="AP44" s="104" t="e">
        <f t="shared" si="19"/>
        <v>#N/A</v>
      </c>
      <c r="AQ44" s="104" t="e">
        <f t="shared" si="20"/>
        <v>#N/A</v>
      </c>
      <c r="AR44" s="105" t="str">
        <f t="shared" si="21"/>
        <v/>
      </c>
      <c r="AS44" s="105" t="str">
        <f t="shared" si="22"/>
        <v/>
      </c>
      <c r="AT44" s="108" t="str">
        <f t="shared" si="23"/>
        <v/>
      </c>
      <c r="AU44" s="108" t="str">
        <f t="shared" si="24"/>
        <v/>
      </c>
      <c r="AV44" s="107" t="str">
        <f>IF(ISNUMBER(O44),IF(VLOOKUP($A44,Stand!C:J,8,FALSE)="Short",AT44,AU44),"")</f>
        <v/>
      </c>
      <c r="AW44" s="109" t="str">
        <f t="shared" si="25"/>
        <v/>
      </c>
      <c r="AX44" s="109" t="str">
        <f t="shared" si="26"/>
        <v/>
      </c>
      <c r="AY44" s="112" t="str">
        <f>IF(ISNUMBER(O44),IF(AND(VLOOKUP($D44,Merchantability!$B:$C,2,0)="Yes",$E44&gt;=VLOOKUP($D44,Merchantability!$B:$D,3,0),$E44&lt;=VLOOKUP($D44,Merchantability!$B:$E,4,0)),(AV44*O44)*(1-$H44/100),""),"")</f>
        <v/>
      </c>
      <c r="AZ44" s="115"/>
      <c r="BA44" s="116"/>
      <c r="BB44" s="116"/>
      <c r="BE44" s="62"/>
      <c r="BF44" s="63"/>
    </row>
    <row r="45" spans="1:58" ht="12.75" customHeight="1" x14ac:dyDescent="0.25">
      <c r="A45" s="313"/>
      <c r="B45" s="328"/>
      <c r="C45" s="329"/>
      <c r="D45" s="328"/>
      <c r="E45" s="330"/>
      <c r="F45" s="331"/>
      <c r="G45" s="329"/>
      <c r="H45" s="329"/>
      <c r="I45" s="328"/>
      <c r="J45" s="329"/>
      <c r="K45" s="329"/>
      <c r="L45" s="329"/>
      <c r="M45" s="76"/>
      <c r="N45" s="103" t="str">
        <f>IF(A45="","",VLOOKUP(A45,Stand!C:K,9,0))</f>
        <v/>
      </c>
      <c r="O45" s="104" t="str">
        <f t="shared" si="0"/>
        <v/>
      </c>
      <c r="P45" s="105" t="str">
        <f t="shared" si="1"/>
        <v/>
      </c>
      <c r="Q45" s="105" t="str">
        <f t="shared" si="2"/>
        <v/>
      </c>
      <c r="R45" s="103" t="str">
        <f t="shared" si="3"/>
        <v/>
      </c>
      <c r="S45" s="103" t="str">
        <f t="shared" si="4"/>
        <v/>
      </c>
      <c r="T45" s="106" t="str">
        <f t="shared" si="5"/>
        <v/>
      </c>
      <c r="U45" s="106" t="str">
        <f t="shared" si="6"/>
        <v/>
      </c>
      <c r="V45" s="106" t="str">
        <f t="shared" si="7"/>
        <v/>
      </c>
      <c r="W45" s="105" t="str">
        <f t="shared" si="8"/>
        <v/>
      </c>
      <c r="X45" s="104" t="str">
        <f t="shared" si="9"/>
        <v/>
      </c>
      <c r="Y45" s="104" t="str">
        <f t="array" ref="Y45">IFERROR(IF(ISNUMBER(O45),IF(COUNT(IF(A45=$A$2:$A$2427,IF(D45=$D$2:$D$2427,IF($X$2:$X$2427&gt;0,1))))&gt;0,SUM(IF(A45=$A$2:$A$2427,IF(D45=$D$2:$D$2427,$X$2:$X$2427)))/COUNT(IF(A45=$A$2:$A$2427,IF(D45=$D$2:$D$2427,IF(ISNUMBER($X$2:$X$2427),1)))),0),""),0)</f>
        <v/>
      </c>
      <c r="Z45" s="104" t="str">
        <f>IF(ISNUMBER(O45),IF(I45&gt;0,(10^(VLOOKUP(D45,'Species Codes'!B:C,2,0)+VLOOKUP(D45,'Species Codes'!B:D,3,0)*LOG(E45)+VLOOKUP(D45,'Species Codes'!B:E,4,0)*LOG(I45))),0),"")</f>
        <v/>
      </c>
      <c r="AA45" s="104" t="str">
        <f>IFERROR((VLOOKUP(D45,'Species Codes'!B:G,6,0)*Z45)/2000,"")</f>
        <v/>
      </c>
      <c r="AB45" s="104" t="e">
        <f>IF(Z45&gt;0,((IF(OR(D45="DF",D45="RA")=TRUE,EXP(VLOOKUP(D45,'Species Codes'!B:I,8,0)+VLOOKUP(D45,'Species Codes'!B:J,9,0)*(LN((E45*2.54)))),IF(OR(D45="PY",D45="RC",D45="WH",D45="NF")=TRUE,VLOOKUP(D45,'Species Codes'!B:I,8,0)+VLOOKUP(D45,'Species Codes'!B:J,9,0)*((E45*2.54)^2)*(I45*0.3048),IF(OR(D45="MD",D45="BM",D45="GA")=TRUE,((VLOOKUP(D45,'Species Codes'!B:I,8,0)*(((((E45*2.54)+VLOOKUP(D45,'Species Codes'!B:J,9,0))/VLOOKUP(D45,'Species Codes'!B:K,10,0))^VLOOKUP(D45,'Species Codes'!B:L,11,0))*((I45*0.3048)^VLOOKUP(D45,'Species Codes'!B:M,12,0))))-(VLOOKUP(D45,'Species Codes'!B:I,8,0)*((((E45*2.54)^VLOOKUP(D45,'Species Codes'!B:L,11,0))*((I45*0.3048)^VLOOKUP(D45,'Species Codes'!B:M,12,0))))))*35.3*VLOOKUP(D45,'Species Codes'!B:G,6,0)/2.2046,VLOOKUP(D45,'Species Codes'!B:I,8,0)+VLOOKUP(D45,'Species Codes'!B:J,9,0)*(((E45*2.54)/100)^2)*(I45*0.3048)))))*0.0011023),0)</f>
        <v>#N/A</v>
      </c>
      <c r="AC45" s="104" t="e">
        <f>IF(Z45&gt;0,((IF(OR(D45="RA",D45="OA",D45="OT",D45="UN",D45="PC"),EXP(VLOOKUP(D45,'Species Codes'!B:O,14,0)+VLOOKUP(D45,'Species Codes'!B:P,15,0)*LN((E45*2.54)))-EXP(VLOOKUP(D45,'Species Codes'!B:O,14,0)+VLOOKUP(D45,'Species Codes'!B:P,15,0)*LN((E45*2.54)))*(1/(VLOOKUP(D45,'Species Codes'!B:Q,16,0)+VLOOKUP(D45,'Species Codes'!B:R,17,0)*((E45*2.54)^VLOOKUP(D45,'Species Codes'!B:S,18,0)))),IF(OR(D45="BM",D45="MD",D45="OA"),EXP(VLOOKUP(D45,'Species Codes'!B:O,14,0)+VLOOKUP(D45,'Species Codes'!B:P,15,0)*LN((E45*2.54)))*(1-(1/(VLOOKUP(D45,'Species Codes'!B:Q,16,0)+VLOOKUP(D45,'Species Codes'!B:R,17,0)*((E45*2.54)^VLOOKUP(D45,'Species Codes'!B:S,18,0)))))/1000,IF(D45="DF",EXP(VLOOKUP(D45,'Species Codes'!B:O,14,0)+VLOOKUP(D45,'Species Codes'!B:P,15,0)*LN((E45*2.54))),VLOOKUP(D45,'Species Codes'!B:O,14,0)+VLOOKUP(D45,'Species Codes'!B:P,15,0)*(((E45*2.54)/100)^2)*(I45*0.3048)))))*0.0011023),0)</f>
        <v>#N/A</v>
      </c>
      <c r="AD45" s="104" t="e">
        <f t="shared" si="10"/>
        <v>#N/A</v>
      </c>
      <c r="AE45" s="104" t="e">
        <f t="shared" si="11"/>
        <v>#N/A</v>
      </c>
      <c r="AF45" s="104" t="e">
        <f>IF(AND(VLOOKUP($D45,Merchantability!$B:$C,2,0)="Yes",$E45&gt;=VLOOKUP($D45,Merchantability!$B:$D,3,0),$E45&lt;=VLOOKUP($D45,Merchantability!$B:$E,4,0)),AA45,0)</f>
        <v>#N/A</v>
      </c>
      <c r="AG45" s="104" t="e">
        <f>IF(AND(VLOOKUP($D45,Merchantability!$B:$C,2,0)="Yes",$E45&gt;=VLOOKUP($D45,Merchantability!$B:$D,3,0),$E45&lt;=VLOOKUP($D45,Merchantability!$B:$E,4,0)),AB45,0)</f>
        <v>#N/A</v>
      </c>
      <c r="AH45" s="104" t="e">
        <f>IF(AND(VLOOKUP($D45,Merchantability!$B:$C,2,0)="Yes",$E45&gt;=VLOOKUP($D45,Merchantability!$B:$D,3,0),$E45&lt;=VLOOKUP($D45,Merchantability!$B:$E,4,0)),AC45,0)</f>
        <v>#N/A</v>
      </c>
      <c r="AI45" s="104" t="e">
        <f t="shared" si="12"/>
        <v>#N/A</v>
      </c>
      <c r="AJ45" s="104" t="e">
        <f t="shared" si="13"/>
        <v>#VALUE!</v>
      </c>
      <c r="AK45" s="104" t="e">
        <f t="shared" si="14"/>
        <v>#N/A</v>
      </c>
      <c r="AL45" s="104" t="e">
        <f t="shared" si="15"/>
        <v>#N/A</v>
      </c>
      <c r="AM45" s="104" t="e">
        <f t="shared" si="16"/>
        <v>#N/A</v>
      </c>
      <c r="AN45" s="104" t="e">
        <f t="shared" si="17"/>
        <v>#N/A</v>
      </c>
      <c r="AO45" s="104" t="e">
        <f t="shared" si="18"/>
        <v>#N/A</v>
      </c>
      <c r="AP45" s="104" t="e">
        <f t="shared" si="19"/>
        <v>#N/A</v>
      </c>
      <c r="AQ45" s="104" t="e">
        <f t="shared" si="20"/>
        <v>#N/A</v>
      </c>
      <c r="AR45" s="105" t="str">
        <f t="shared" si="21"/>
        <v/>
      </c>
      <c r="AS45" s="105" t="str">
        <f t="shared" si="22"/>
        <v/>
      </c>
      <c r="AT45" s="108" t="str">
        <f t="shared" si="23"/>
        <v/>
      </c>
      <c r="AU45" s="108" t="str">
        <f t="shared" si="24"/>
        <v/>
      </c>
      <c r="AV45" s="107" t="str">
        <f>IF(ISNUMBER(O45),IF(VLOOKUP($A45,Stand!C:J,8,FALSE)="Short",AT45,AU45),"")</f>
        <v/>
      </c>
      <c r="AW45" s="109" t="str">
        <f t="shared" si="25"/>
        <v/>
      </c>
      <c r="AX45" s="109" t="str">
        <f t="shared" si="26"/>
        <v/>
      </c>
      <c r="AY45" s="112" t="str">
        <f>IF(ISNUMBER(O45),IF(AND(VLOOKUP($D45,Merchantability!$B:$C,2,0)="Yes",$E45&gt;=VLOOKUP($D45,Merchantability!$B:$D,3,0),$E45&lt;=VLOOKUP($D45,Merchantability!$B:$E,4,0)),(AV45*O45)*(1-$H45/100),""),"")</f>
        <v/>
      </c>
      <c r="AZ45" s="116"/>
      <c r="BA45" s="116"/>
      <c r="BB45" s="116"/>
      <c r="BE45" s="62"/>
      <c r="BF45" s="63"/>
    </row>
    <row r="46" spans="1:58" ht="12.75" customHeight="1" x14ac:dyDescent="0.25">
      <c r="A46" s="313"/>
      <c r="B46" s="328"/>
      <c r="C46" s="329"/>
      <c r="D46" s="328"/>
      <c r="E46" s="330"/>
      <c r="F46" s="331"/>
      <c r="G46" s="329"/>
      <c r="H46" s="329"/>
      <c r="I46" s="328"/>
      <c r="J46" s="329"/>
      <c r="K46" s="329"/>
      <c r="L46" s="329"/>
      <c r="M46" s="76"/>
      <c r="N46" s="103" t="str">
        <f>IF(A46="","",VLOOKUP(A46,Stand!C:K,9,0))</f>
        <v/>
      </c>
      <c r="O46" s="104" t="str">
        <f t="shared" si="0"/>
        <v/>
      </c>
      <c r="P46" s="105" t="str">
        <f t="shared" si="1"/>
        <v/>
      </c>
      <c r="Q46" s="105" t="str">
        <f t="shared" si="2"/>
        <v/>
      </c>
      <c r="R46" s="103" t="str">
        <f t="shared" si="3"/>
        <v/>
      </c>
      <c r="S46" s="103" t="str">
        <f t="shared" si="4"/>
        <v/>
      </c>
      <c r="T46" s="106" t="str">
        <f t="shared" si="5"/>
        <v/>
      </c>
      <c r="U46" s="106" t="str">
        <f t="shared" si="6"/>
        <v/>
      </c>
      <c r="V46" s="106" t="str">
        <f t="shared" si="7"/>
        <v/>
      </c>
      <c r="W46" s="105" t="str">
        <f t="shared" si="8"/>
        <v/>
      </c>
      <c r="X46" s="104" t="str">
        <f t="shared" si="9"/>
        <v/>
      </c>
      <c r="Y46" s="104" t="str">
        <f t="array" ref="Y46">IFERROR(IF(ISNUMBER(O46),IF(COUNT(IF(A46=$A$2:$A$2427,IF(D46=$D$2:$D$2427,IF($X$2:$X$2427&gt;0,1))))&gt;0,SUM(IF(A46=$A$2:$A$2427,IF(D46=$D$2:$D$2427,$X$2:$X$2427)))/COUNT(IF(A46=$A$2:$A$2427,IF(D46=$D$2:$D$2427,IF(ISNUMBER($X$2:$X$2427),1)))),0),""),0)</f>
        <v/>
      </c>
      <c r="Z46" s="104" t="str">
        <f>IF(ISNUMBER(O46),IF(I46&gt;0,(10^(VLOOKUP(D46,'Species Codes'!B:C,2,0)+VLOOKUP(D46,'Species Codes'!B:D,3,0)*LOG(E46)+VLOOKUP(D46,'Species Codes'!B:E,4,0)*LOG(I46))),0),"")</f>
        <v/>
      </c>
      <c r="AA46" s="104" t="str">
        <f>IFERROR((VLOOKUP(D46,'Species Codes'!B:G,6,0)*Z46)/2000,"")</f>
        <v/>
      </c>
      <c r="AB46" s="104" t="e">
        <f>IF(Z46&gt;0,((IF(OR(D46="DF",D46="RA")=TRUE,EXP(VLOOKUP(D46,'Species Codes'!B:I,8,0)+VLOOKUP(D46,'Species Codes'!B:J,9,0)*(LN((E46*2.54)))),IF(OR(D46="PY",D46="RC",D46="WH",D46="NF")=TRUE,VLOOKUP(D46,'Species Codes'!B:I,8,0)+VLOOKUP(D46,'Species Codes'!B:J,9,0)*((E46*2.54)^2)*(I46*0.3048),IF(OR(D46="MD",D46="BM",D46="GA")=TRUE,((VLOOKUP(D46,'Species Codes'!B:I,8,0)*(((((E46*2.54)+VLOOKUP(D46,'Species Codes'!B:J,9,0))/VLOOKUP(D46,'Species Codes'!B:K,10,0))^VLOOKUP(D46,'Species Codes'!B:L,11,0))*((I46*0.3048)^VLOOKUP(D46,'Species Codes'!B:M,12,0))))-(VLOOKUP(D46,'Species Codes'!B:I,8,0)*((((E46*2.54)^VLOOKUP(D46,'Species Codes'!B:L,11,0))*((I46*0.3048)^VLOOKUP(D46,'Species Codes'!B:M,12,0))))))*35.3*VLOOKUP(D46,'Species Codes'!B:G,6,0)/2.2046,VLOOKUP(D46,'Species Codes'!B:I,8,0)+VLOOKUP(D46,'Species Codes'!B:J,9,0)*(((E46*2.54)/100)^2)*(I46*0.3048)))))*0.0011023),0)</f>
        <v>#N/A</v>
      </c>
      <c r="AC46" s="104" t="e">
        <f>IF(Z46&gt;0,((IF(OR(D46="RA",D46="OA",D46="OT",D46="UN",D46="PC"),EXP(VLOOKUP(D46,'Species Codes'!B:O,14,0)+VLOOKUP(D46,'Species Codes'!B:P,15,0)*LN((E46*2.54)))-EXP(VLOOKUP(D46,'Species Codes'!B:O,14,0)+VLOOKUP(D46,'Species Codes'!B:P,15,0)*LN((E46*2.54)))*(1/(VLOOKUP(D46,'Species Codes'!B:Q,16,0)+VLOOKUP(D46,'Species Codes'!B:R,17,0)*((E46*2.54)^VLOOKUP(D46,'Species Codes'!B:S,18,0)))),IF(OR(D46="BM",D46="MD",D46="OA"),EXP(VLOOKUP(D46,'Species Codes'!B:O,14,0)+VLOOKUP(D46,'Species Codes'!B:P,15,0)*LN((E46*2.54)))*(1-(1/(VLOOKUP(D46,'Species Codes'!B:Q,16,0)+VLOOKUP(D46,'Species Codes'!B:R,17,0)*((E46*2.54)^VLOOKUP(D46,'Species Codes'!B:S,18,0)))))/1000,IF(D46="DF",EXP(VLOOKUP(D46,'Species Codes'!B:O,14,0)+VLOOKUP(D46,'Species Codes'!B:P,15,0)*LN((E46*2.54))),VLOOKUP(D46,'Species Codes'!B:O,14,0)+VLOOKUP(D46,'Species Codes'!B:P,15,0)*(((E46*2.54)/100)^2)*(I46*0.3048)))))*0.0011023),0)</f>
        <v>#N/A</v>
      </c>
      <c r="AD46" s="104" t="e">
        <f t="shared" si="10"/>
        <v>#N/A</v>
      </c>
      <c r="AE46" s="104" t="e">
        <f t="shared" si="11"/>
        <v>#N/A</v>
      </c>
      <c r="AF46" s="104" t="e">
        <f>IF(AND(VLOOKUP($D46,Merchantability!$B:$C,2,0)="Yes",$E46&gt;=VLOOKUP($D46,Merchantability!$B:$D,3,0),$E46&lt;=VLOOKUP($D46,Merchantability!$B:$E,4,0)),AA46,0)</f>
        <v>#N/A</v>
      </c>
      <c r="AG46" s="104" t="e">
        <f>IF(AND(VLOOKUP($D46,Merchantability!$B:$C,2,0)="Yes",$E46&gt;=VLOOKUP($D46,Merchantability!$B:$D,3,0),$E46&lt;=VLOOKUP($D46,Merchantability!$B:$E,4,0)),AB46,0)</f>
        <v>#N/A</v>
      </c>
      <c r="AH46" s="104" t="e">
        <f>IF(AND(VLOOKUP($D46,Merchantability!$B:$C,2,0)="Yes",$E46&gt;=VLOOKUP($D46,Merchantability!$B:$D,3,0),$E46&lt;=VLOOKUP($D46,Merchantability!$B:$E,4,0)),AC46,0)</f>
        <v>#N/A</v>
      </c>
      <c r="AI46" s="104" t="e">
        <f t="shared" si="12"/>
        <v>#N/A</v>
      </c>
      <c r="AJ46" s="104" t="e">
        <f t="shared" si="13"/>
        <v>#VALUE!</v>
      </c>
      <c r="AK46" s="104" t="e">
        <f t="shared" si="14"/>
        <v>#N/A</v>
      </c>
      <c r="AL46" s="104" t="e">
        <f t="shared" si="15"/>
        <v>#N/A</v>
      </c>
      <c r="AM46" s="104" t="e">
        <f t="shared" si="16"/>
        <v>#N/A</v>
      </c>
      <c r="AN46" s="104" t="e">
        <f t="shared" si="17"/>
        <v>#N/A</v>
      </c>
      <c r="AO46" s="104" t="e">
        <f t="shared" si="18"/>
        <v>#N/A</v>
      </c>
      <c r="AP46" s="104" t="e">
        <f t="shared" si="19"/>
        <v>#N/A</v>
      </c>
      <c r="AQ46" s="104" t="e">
        <f t="shared" si="20"/>
        <v>#N/A</v>
      </c>
      <c r="AR46" s="105" t="str">
        <f t="shared" si="21"/>
        <v/>
      </c>
      <c r="AS46" s="105" t="str">
        <f t="shared" si="22"/>
        <v/>
      </c>
      <c r="AT46" s="108" t="str">
        <f t="shared" si="23"/>
        <v/>
      </c>
      <c r="AU46" s="108" t="str">
        <f t="shared" si="24"/>
        <v/>
      </c>
      <c r="AV46" s="107" t="str">
        <f>IF(ISNUMBER(O46),IF(VLOOKUP($A46,Stand!C:J,8,FALSE)="Short",AT46,AU46),"")</f>
        <v/>
      </c>
      <c r="AW46" s="109" t="str">
        <f t="shared" si="25"/>
        <v/>
      </c>
      <c r="AX46" s="109" t="str">
        <f t="shared" si="26"/>
        <v/>
      </c>
      <c r="AY46" s="112" t="str">
        <f>IF(ISNUMBER(O46),IF(AND(VLOOKUP($D46,Merchantability!$B:$C,2,0)="Yes",$E46&gt;=VLOOKUP($D46,Merchantability!$B:$D,3,0),$E46&lt;=VLOOKUP($D46,Merchantability!$B:$E,4,0)),(AV46*O46)*(1-$H46/100),""),"")</f>
        <v/>
      </c>
      <c r="AZ46" s="116"/>
      <c r="BA46" s="116"/>
      <c r="BB46" s="116"/>
      <c r="BE46" s="62"/>
      <c r="BF46" s="63"/>
    </row>
    <row r="47" spans="1:58" ht="12.75" customHeight="1" x14ac:dyDescent="0.25">
      <c r="A47" s="313"/>
      <c r="B47" s="328"/>
      <c r="C47" s="329"/>
      <c r="D47" s="328"/>
      <c r="E47" s="330"/>
      <c r="F47" s="331"/>
      <c r="G47" s="329"/>
      <c r="H47" s="329"/>
      <c r="I47" s="328"/>
      <c r="J47" s="329"/>
      <c r="K47" s="329"/>
      <c r="L47" s="329"/>
      <c r="M47" s="76"/>
      <c r="N47" s="103" t="str">
        <f>IF(A47="","",VLOOKUP(A47,Stand!C:K,9,0))</f>
        <v/>
      </c>
      <c r="O47" s="104" t="str">
        <f t="shared" si="0"/>
        <v/>
      </c>
      <c r="P47" s="105" t="str">
        <f t="shared" si="1"/>
        <v/>
      </c>
      <c r="Q47" s="105" t="str">
        <f t="shared" si="2"/>
        <v/>
      </c>
      <c r="R47" s="103" t="str">
        <f t="shared" si="3"/>
        <v/>
      </c>
      <c r="S47" s="103" t="str">
        <f t="shared" si="4"/>
        <v/>
      </c>
      <c r="T47" s="106" t="str">
        <f t="shared" si="5"/>
        <v/>
      </c>
      <c r="U47" s="106" t="str">
        <f t="shared" si="6"/>
        <v/>
      </c>
      <c r="V47" s="106" t="str">
        <f t="shared" si="7"/>
        <v/>
      </c>
      <c r="W47" s="105" t="str">
        <f t="shared" si="8"/>
        <v/>
      </c>
      <c r="X47" s="104" t="str">
        <f t="shared" si="9"/>
        <v/>
      </c>
      <c r="Y47" s="104" t="str">
        <f t="array" ref="Y47">IFERROR(IF(ISNUMBER(O47),IF(COUNT(IF(A47=$A$2:$A$2427,IF(D47=$D$2:$D$2427,IF($X$2:$X$2427&gt;0,1))))&gt;0,SUM(IF(A47=$A$2:$A$2427,IF(D47=$D$2:$D$2427,$X$2:$X$2427)))/COUNT(IF(A47=$A$2:$A$2427,IF(D47=$D$2:$D$2427,IF(ISNUMBER($X$2:$X$2427),1)))),0),""),0)</f>
        <v/>
      </c>
      <c r="Z47" s="104" t="str">
        <f>IF(ISNUMBER(O47),IF(I47&gt;0,(10^(VLOOKUP(D47,'Species Codes'!B:C,2,0)+VLOOKUP(D47,'Species Codes'!B:D,3,0)*LOG(E47)+VLOOKUP(D47,'Species Codes'!B:E,4,0)*LOG(I47))),0),"")</f>
        <v/>
      </c>
      <c r="AA47" s="104" t="str">
        <f>IFERROR((VLOOKUP(D47,'Species Codes'!B:G,6,0)*Z47)/2000,"")</f>
        <v/>
      </c>
      <c r="AB47" s="104" t="e">
        <f>IF(Z47&gt;0,((IF(OR(D47="DF",D47="RA")=TRUE,EXP(VLOOKUP(D47,'Species Codes'!B:I,8,0)+VLOOKUP(D47,'Species Codes'!B:J,9,0)*(LN((E47*2.54)))),IF(OR(D47="PY",D47="RC",D47="WH",D47="NF")=TRUE,VLOOKUP(D47,'Species Codes'!B:I,8,0)+VLOOKUP(D47,'Species Codes'!B:J,9,0)*((E47*2.54)^2)*(I47*0.3048),IF(OR(D47="MD",D47="BM",D47="GA")=TRUE,((VLOOKUP(D47,'Species Codes'!B:I,8,0)*(((((E47*2.54)+VLOOKUP(D47,'Species Codes'!B:J,9,0))/VLOOKUP(D47,'Species Codes'!B:K,10,0))^VLOOKUP(D47,'Species Codes'!B:L,11,0))*((I47*0.3048)^VLOOKUP(D47,'Species Codes'!B:M,12,0))))-(VLOOKUP(D47,'Species Codes'!B:I,8,0)*((((E47*2.54)^VLOOKUP(D47,'Species Codes'!B:L,11,0))*((I47*0.3048)^VLOOKUP(D47,'Species Codes'!B:M,12,0))))))*35.3*VLOOKUP(D47,'Species Codes'!B:G,6,0)/2.2046,VLOOKUP(D47,'Species Codes'!B:I,8,0)+VLOOKUP(D47,'Species Codes'!B:J,9,0)*(((E47*2.54)/100)^2)*(I47*0.3048)))))*0.0011023),0)</f>
        <v>#N/A</v>
      </c>
      <c r="AC47" s="104" t="e">
        <f>IF(Z47&gt;0,((IF(OR(D47="RA",D47="OA",D47="OT",D47="UN",D47="PC"),EXP(VLOOKUP(D47,'Species Codes'!B:O,14,0)+VLOOKUP(D47,'Species Codes'!B:P,15,0)*LN((E47*2.54)))-EXP(VLOOKUP(D47,'Species Codes'!B:O,14,0)+VLOOKUP(D47,'Species Codes'!B:P,15,0)*LN((E47*2.54)))*(1/(VLOOKUP(D47,'Species Codes'!B:Q,16,0)+VLOOKUP(D47,'Species Codes'!B:R,17,0)*((E47*2.54)^VLOOKUP(D47,'Species Codes'!B:S,18,0)))),IF(OR(D47="BM",D47="MD",D47="OA"),EXP(VLOOKUP(D47,'Species Codes'!B:O,14,0)+VLOOKUP(D47,'Species Codes'!B:P,15,0)*LN((E47*2.54)))*(1-(1/(VLOOKUP(D47,'Species Codes'!B:Q,16,0)+VLOOKUP(D47,'Species Codes'!B:R,17,0)*((E47*2.54)^VLOOKUP(D47,'Species Codes'!B:S,18,0)))))/1000,IF(D47="DF",EXP(VLOOKUP(D47,'Species Codes'!B:O,14,0)+VLOOKUP(D47,'Species Codes'!B:P,15,0)*LN((E47*2.54))),VLOOKUP(D47,'Species Codes'!B:O,14,0)+VLOOKUP(D47,'Species Codes'!B:P,15,0)*(((E47*2.54)/100)^2)*(I47*0.3048)))))*0.0011023),0)</f>
        <v>#N/A</v>
      </c>
      <c r="AD47" s="104" t="e">
        <f t="shared" si="10"/>
        <v>#N/A</v>
      </c>
      <c r="AE47" s="104" t="e">
        <f t="shared" si="11"/>
        <v>#N/A</v>
      </c>
      <c r="AF47" s="104" t="e">
        <f>IF(AND(VLOOKUP($D47,Merchantability!$B:$C,2,0)="Yes",$E47&gt;=VLOOKUP($D47,Merchantability!$B:$D,3,0),$E47&lt;=VLOOKUP($D47,Merchantability!$B:$E,4,0)),AA47,0)</f>
        <v>#N/A</v>
      </c>
      <c r="AG47" s="104" t="e">
        <f>IF(AND(VLOOKUP($D47,Merchantability!$B:$C,2,0)="Yes",$E47&gt;=VLOOKUP($D47,Merchantability!$B:$D,3,0),$E47&lt;=VLOOKUP($D47,Merchantability!$B:$E,4,0)),AB47,0)</f>
        <v>#N/A</v>
      </c>
      <c r="AH47" s="104" t="e">
        <f>IF(AND(VLOOKUP($D47,Merchantability!$B:$C,2,0)="Yes",$E47&gt;=VLOOKUP($D47,Merchantability!$B:$D,3,0),$E47&lt;=VLOOKUP($D47,Merchantability!$B:$E,4,0)),AC47,0)</f>
        <v>#N/A</v>
      </c>
      <c r="AI47" s="104" t="e">
        <f t="shared" si="12"/>
        <v>#N/A</v>
      </c>
      <c r="AJ47" s="104" t="e">
        <f t="shared" si="13"/>
        <v>#VALUE!</v>
      </c>
      <c r="AK47" s="104" t="e">
        <f t="shared" si="14"/>
        <v>#N/A</v>
      </c>
      <c r="AL47" s="104" t="e">
        <f t="shared" si="15"/>
        <v>#N/A</v>
      </c>
      <c r="AM47" s="104" t="e">
        <f t="shared" si="16"/>
        <v>#N/A</v>
      </c>
      <c r="AN47" s="104" t="e">
        <f t="shared" si="17"/>
        <v>#N/A</v>
      </c>
      <c r="AO47" s="104" t="e">
        <f t="shared" si="18"/>
        <v>#N/A</v>
      </c>
      <c r="AP47" s="104" t="e">
        <f t="shared" si="19"/>
        <v>#N/A</v>
      </c>
      <c r="AQ47" s="104" t="e">
        <f t="shared" si="20"/>
        <v>#N/A</v>
      </c>
      <c r="AR47" s="105" t="str">
        <f t="shared" si="21"/>
        <v/>
      </c>
      <c r="AS47" s="105" t="str">
        <f t="shared" si="22"/>
        <v/>
      </c>
      <c r="AT47" s="108" t="str">
        <f t="shared" si="23"/>
        <v/>
      </c>
      <c r="AU47" s="108" t="str">
        <f t="shared" si="24"/>
        <v/>
      </c>
      <c r="AV47" s="107" t="str">
        <f>IF(ISNUMBER(O47),IF(VLOOKUP($A47,Stand!C:J,8,FALSE)="Short",AT47,AU47),"")</f>
        <v/>
      </c>
      <c r="AW47" s="109" t="str">
        <f t="shared" si="25"/>
        <v/>
      </c>
      <c r="AX47" s="109" t="str">
        <f t="shared" si="26"/>
        <v/>
      </c>
      <c r="AY47" s="112" t="str">
        <f>IF(ISNUMBER(O47),IF(AND(VLOOKUP($D47,Merchantability!$B:$C,2,0)="Yes",$E47&gt;=VLOOKUP($D47,Merchantability!$B:$D,3,0),$E47&lt;=VLOOKUP($D47,Merchantability!$B:$E,4,0)),(AV47*O47)*(1-$H47/100),""),"")</f>
        <v/>
      </c>
      <c r="AZ47" s="116"/>
      <c r="BA47" s="116"/>
      <c r="BB47" s="116"/>
      <c r="BE47" s="62"/>
      <c r="BF47" s="63"/>
    </row>
    <row r="48" spans="1:58" ht="12.75" customHeight="1" x14ac:dyDescent="0.25">
      <c r="A48" s="313"/>
      <c r="B48" s="328"/>
      <c r="C48" s="329"/>
      <c r="D48" s="328"/>
      <c r="E48" s="330"/>
      <c r="F48" s="331"/>
      <c r="G48" s="329"/>
      <c r="H48" s="329"/>
      <c r="I48" s="328"/>
      <c r="J48" s="329"/>
      <c r="K48" s="329"/>
      <c r="L48" s="329"/>
      <c r="M48" s="76"/>
      <c r="N48" s="103" t="str">
        <f>IF(A48="","",VLOOKUP(A48,Stand!C:K,9,0))</f>
        <v/>
      </c>
      <c r="O48" s="104" t="str">
        <f t="shared" si="0"/>
        <v/>
      </c>
      <c r="P48" s="105" t="str">
        <f t="shared" si="1"/>
        <v/>
      </c>
      <c r="Q48" s="105" t="str">
        <f t="shared" si="2"/>
        <v/>
      </c>
      <c r="R48" s="103" t="str">
        <f t="shared" si="3"/>
        <v/>
      </c>
      <c r="S48" s="103" t="str">
        <f t="shared" si="4"/>
        <v/>
      </c>
      <c r="T48" s="106" t="str">
        <f t="shared" si="5"/>
        <v/>
      </c>
      <c r="U48" s="106" t="str">
        <f t="shared" si="6"/>
        <v/>
      </c>
      <c r="V48" s="106" t="str">
        <f t="shared" si="7"/>
        <v/>
      </c>
      <c r="W48" s="105" t="str">
        <f t="shared" si="8"/>
        <v/>
      </c>
      <c r="X48" s="104" t="str">
        <f t="shared" si="9"/>
        <v/>
      </c>
      <c r="Y48" s="104" t="str">
        <f t="array" ref="Y48">IFERROR(IF(ISNUMBER(O48),IF(COUNT(IF(A48=$A$2:$A$2427,IF(D48=$D$2:$D$2427,IF($X$2:$X$2427&gt;0,1))))&gt;0,SUM(IF(A48=$A$2:$A$2427,IF(D48=$D$2:$D$2427,$X$2:$X$2427)))/COUNT(IF(A48=$A$2:$A$2427,IF(D48=$D$2:$D$2427,IF(ISNUMBER($X$2:$X$2427),1)))),0),""),0)</f>
        <v/>
      </c>
      <c r="Z48" s="104" t="str">
        <f>IF(ISNUMBER(O48),IF(I48&gt;0,(10^(VLOOKUP(D48,'Species Codes'!B:C,2,0)+VLOOKUP(D48,'Species Codes'!B:D,3,0)*LOG(E48)+VLOOKUP(D48,'Species Codes'!B:E,4,0)*LOG(I48))),0),"")</f>
        <v/>
      </c>
      <c r="AA48" s="104" t="str">
        <f>IFERROR((VLOOKUP(D48,'Species Codes'!B:G,6,0)*Z48)/2000,"")</f>
        <v/>
      </c>
      <c r="AB48" s="104" t="e">
        <f>IF(Z48&gt;0,((IF(OR(D48="DF",D48="RA")=TRUE,EXP(VLOOKUP(D48,'Species Codes'!B:I,8,0)+VLOOKUP(D48,'Species Codes'!B:J,9,0)*(LN((E48*2.54)))),IF(OR(D48="PY",D48="RC",D48="WH",D48="NF")=TRUE,VLOOKUP(D48,'Species Codes'!B:I,8,0)+VLOOKUP(D48,'Species Codes'!B:J,9,0)*((E48*2.54)^2)*(I48*0.3048),IF(OR(D48="MD",D48="BM",D48="GA")=TRUE,((VLOOKUP(D48,'Species Codes'!B:I,8,0)*(((((E48*2.54)+VLOOKUP(D48,'Species Codes'!B:J,9,0))/VLOOKUP(D48,'Species Codes'!B:K,10,0))^VLOOKUP(D48,'Species Codes'!B:L,11,0))*((I48*0.3048)^VLOOKUP(D48,'Species Codes'!B:M,12,0))))-(VLOOKUP(D48,'Species Codes'!B:I,8,0)*((((E48*2.54)^VLOOKUP(D48,'Species Codes'!B:L,11,0))*((I48*0.3048)^VLOOKUP(D48,'Species Codes'!B:M,12,0))))))*35.3*VLOOKUP(D48,'Species Codes'!B:G,6,0)/2.2046,VLOOKUP(D48,'Species Codes'!B:I,8,0)+VLOOKUP(D48,'Species Codes'!B:J,9,0)*(((E48*2.54)/100)^2)*(I48*0.3048)))))*0.0011023),0)</f>
        <v>#N/A</v>
      </c>
      <c r="AC48" s="104" t="e">
        <f>IF(Z48&gt;0,((IF(OR(D48="RA",D48="OA",D48="OT",D48="UN",D48="PC"),EXP(VLOOKUP(D48,'Species Codes'!B:O,14,0)+VLOOKUP(D48,'Species Codes'!B:P,15,0)*LN((E48*2.54)))-EXP(VLOOKUP(D48,'Species Codes'!B:O,14,0)+VLOOKUP(D48,'Species Codes'!B:P,15,0)*LN((E48*2.54)))*(1/(VLOOKUP(D48,'Species Codes'!B:Q,16,0)+VLOOKUP(D48,'Species Codes'!B:R,17,0)*((E48*2.54)^VLOOKUP(D48,'Species Codes'!B:S,18,0)))),IF(OR(D48="BM",D48="MD",D48="OA"),EXP(VLOOKUP(D48,'Species Codes'!B:O,14,0)+VLOOKUP(D48,'Species Codes'!B:P,15,0)*LN((E48*2.54)))*(1-(1/(VLOOKUP(D48,'Species Codes'!B:Q,16,0)+VLOOKUP(D48,'Species Codes'!B:R,17,0)*((E48*2.54)^VLOOKUP(D48,'Species Codes'!B:S,18,0)))))/1000,IF(D48="DF",EXP(VLOOKUP(D48,'Species Codes'!B:O,14,0)+VLOOKUP(D48,'Species Codes'!B:P,15,0)*LN((E48*2.54))),VLOOKUP(D48,'Species Codes'!B:O,14,0)+VLOOKUP(D48,'Species Codes'!B:P,15,0)*(((E48*2.54)/100)^2)*(I48*0.3048)))))*0.0011023),0)</f>
        <v>#N/A</v>
      </c>
      <c r="AD48" s="104" t="e">
        <f t="shared" si="10"/>
        <v>#N/A</v>
      </c>
      <c r="AE48" s="104" t="e">
        <f t="shared" si="11"/>
        <v>#N/A</v>
      </c>
      <c r="AF48" s="104" t="e">
        <f>IF(AND(VLOOKUP($D48,Merchantability!$B:$C,2,0)="Yes",$E48&gt;=VLOOKUP($D48,Merchantability!$B:$D,3,0),$E48&lt;=VLOOKUP($D48,Merchantability!$B:$E,4,0)),AA48,0)</f>
        <v>#N/A</v>
      </c>
      <c r="AG48" s="104" t="e">
        <f>IF(AND(VLOOKUP($D48,Merchantability!$B:$C,2,0)="Yes",$E48&gt;=VLOOKUP($D48,Merchantability!$B:$D,3,0),$E48&lt;=VLOOKUP($D48,Merchantability!$B:$E,4,0)),AB48,0)</f>
        <v>#N/A</v>
      </c>
      <c r="AH48" s="104" t="e">
        <f>IF(AND(VLOOKUP($D48,Merchantability!$B:$C,2,0)="Yes",$E48&gt;=VLOOKUP($D48,Merchantability!$B:$D,3,0),$E48&lt;=VLOOKUP($D48,Merchantability!$B:$E,4,0)),AC48,0)</f>
        <v>#N/A</v>
      </c>
      <c r="AI48" s="104" t="e">
        <f t="shared" si="12"/>
        <v>#N/A</v>
      </c>
      <c r="AJ48" s="104" t="e">
        <f t="shared" si="13"/>
        <v>#VALUE!</v>
      </c>
      <c r="AK48" s="104" t="e">
        <f t="shared" si="14"/>
        <v>#N/A</v>
      </c>
      <c r="AL48" s="104" t="e">
        <f t="shared" si="15"/>
        <v>#N/A</v>
      </c>
      <c r="AM48" s="104" t="e">
        <f t="shared" si="16"/>
        <v>#N/A</v>
      </c>
      <c r="AN48" s="104" t="e">
        <f t="shared" si="17"/>
        <v>#N/A</v>
      </c>
      <c r="AO48" s="104" t="e">
        <f t="shared" si="18"/>
        <v>#N/A</v>
      </c>
      <c r="AP48" s="104" t="e">
        <f t="shared" si="19"/>
        <v>#N/A</v>
      </c>
      <c r="AQ48" s="104" t="e">
        <f t="shared" si="20"/>
        <v>#N/A</v>
      </c>
      <c r="AR48" s="105" t="str">
        <f t="shared" si="21"/>
        <v/>
      </c>
      <c r="AS48" s="105" t="str">
        <f t="shared" si="22"/>
        <v/>
      </c>
      <c r="AT48" s="108" t="str">
        <f t="shared" si="23"/>
        <v/>
      </c>
      <c r="AU48" s="108" t="str">
        <f t="shared" si="24"/>
        <v/>
      </c>
      <c r="AV48" s="107" t="str">
        <f>IF(ISNUMBER(O48),IF(VLOOKUP($A48,Stand!C:J,8,FALSE)="Short",AT48,AU48),"")</f>
        <v/>
      </c>
      <c r="AW48" s="109" t="str">
        <f t="shared" si="25"/>
        <v/>
      </c>
      <c r="AX48" s="109" t="str">
        <f t="shared" si="26"/>
        <v/>
      </c>
      <c r="AY48" s="112" t="str">
        <f>IF(ISNUMBER(O48),IF(AND(VLOOKUP($D48,Merchantability!$B:$C,2,0)="Yes",$E48&gt;=VLOOKUP($D48,Merchantability!$B:$D,3,0),$E48&lt;=VLOOKUP($D48,Merchantability!$B:$E,4,0)),(AV48*O48)*(1-$H48/100),""),"")</f>
        <v/>
      </c>
      <c r="AZ48" s="115"/>
      <c r="BA48" s="61"/>
      <c r="BB48" s="61"/>
      <c r="BC48" s="61"/>
      <c r="BE48" s="61"/>
      <c r="BF48" s="63"/>
    </row>
    <row r="49" spans="1:58" ht="12.75" customHeight="1" x14ac:dyDescent="0.25">
      <c r="A49" s="313"/>
      <c r="B49" s="328"/>
      <c r="C49" s="329"/>
      <c r="D49" s="328"/>
      <c r="E49" s="330"/>
      <c r="F49" s="331"/>
      <c r="G49" s="329"/>
      <c r="H49" s="329"/>
      <c r="I49" s="328"/>
      <c r="J49" s="329"/>
      <c r="K49" s="329"/>
      <c r="L49" s="329"/>
      <c r="M49" s="76"/>
      <c r="N49" s="103" t="str">
        <f>IF(A49="","",VLOOKUP(A49,Stand!C:K,9,0))</f>
        <v/>
      </c>
      <c r="O49" s="104" t="str">
        <f t="shared" si="0"/>
        <v/>
      </c>
      <c r="P49" s="105" t="str">
        <f t="shared" si="1"/>
        <v/>
      </c>
      <c r="Q49" s="105" t="str">
        <f t="shared" si="2"/>
        <v/>
      </c>
      <c r="R49" s="103" t="str">
        <f t="shared" si="3"/>
        <v/>
      </c>
      <c r="S49" s="103" t="str">
        <f t="shared" si="4"/>
        <v/>
      </c>
      <c r="T49" s="106" t="str">
        <f t="shared" si="5"/>
        <v/>
      </c>
      <c r="U49" s="106" t="str">
        <f t="shared" si="6"/>
        <v/>
      </c>
      <c r="V49" s="106" t="str">
        <f t="shared" si="7"/>
        <v/>
      </c>
      <c r="W49" s="105" t="str">
        <f t="shared" si="8"/>
        <v/>
      </c>
      <c r="X49" s="104" t="str">
        <f t="shared" si="9"/>
        <v/>
      </c>
      <c r="Y49" s="104" t="str">
        <f t="array" ref="Y49">IFERROR(IF(ISNUMBER(O49),IF(COUNT(IF(A49=$A$2:$A$2427,IF(D49=$D$2:$D$2427,IF($X$2:$X$2427&gt;0,1))))&gt;0,SUM(IF(A49=$A$2:$A$2427,IF(D49=$D$2:$D$2427,$X$2:$X$2427)))/COUNT(IF(A49=$A$2:$A$2427,IF(D49=$D$2:$D$2427,IF(ISNUMBER($X$2:$X$2427),1)))),0),""),0)</f>
        <v/>
      </c>
      <c r="Z49" s="104" t="str">
        <f>IF(ISNUMBER(O49),IF(I49&gt;0,(10^(VLOOKUP(D49,'Species Codes'!B:C,2,0)+VLOOKUP(D49,'Species Codes'!B:D,3,0)*LOG(E49)+VLOOKUP(D49,'Species Codes'!B:E,4,0)*LOG(I49))),0),"")</f>
        <v/>
      </c>
      <c r="AA49" s="104" t="str">
        <f>IFERROR((VLOOKUP(D49,'Species Codes'!B:G,6,0)*Z49)/2000,"")</f>
        <v/>
      </c>
      <c r="AB49" s="104" t="e">
        <f>IF(Z49&gt;0,((IF(OR(D49="DF",D49="RA")=TRUE,EXP(VLOOKUP(D49,'Species Codes'!B:I,8,0)+VLOOKUP(D49,'Species Codes'!B:J,9,0)*(LN((E49*2.54)))),IF(OR(D49="PY",D49="RC",D49="WH",D49="NF")=TRUE,VLOOKUP(D49,'Species Codes'!B:I,8,0)+VLOOKUP(D49,'Species Codes'!B:J,9,0)*((E49*2.54)^2)*(I49*0.3048),IF(OR(D49="MD",D49="BM",D49="GA")=TRUE,((VLOOKUP(D49,'Species Codes'!B:I,8,0)*(((((E49*2.54)+VLOOKUP(D49,'Species Codes'!B:J,9,0))/VLOOKUP(D49,'Species Codes'!B:K,10,0))^VLOOKUP(D49,'Species Codes'!B:L,11,0))*((I49*0.3048)^VLOOKUP(D49,'Species Codes'!B:M,12,0))))-(VLOOKUP(D49,'Species Codes'!B:I,8,0)*((((E49*2.54)^VLOOKUP(D49,'Species Codes'!B:L,11,0))*((I49*0.3048)^VLOOKUP(D49,'Species Codes'!B:M,12,0))))))*35.3*VLOOKUP(D49,'Species Codes'!B:G,6,0)/2.2046,VLOOKUP(D49,'Species Codes'!B:I,8,0)+VLOOKUP(D49,'Species Codes'!B:J,9,0)*(((E49*2.54)/100)^2)*(I49*0.3048)))))*0.0011023),0)</f>
        <v>#N/A</v>
      </c>
      <c r="AC49" s="104" t="e">
        <f>IF(Z49&gt;0,((IF(OR(D49="RA",D49="OA",D49="OT",D49="UN",D49="PC"),EXP(VLOOKUP(D49,'Species Codes'!B:O,14,0)+VLOOKUP(D49,'Species Codes'!B:P,15,0)*LN((E49*2.54)))-EXP(VLOOKUP(D49,'Species Codes'!B:O,14,0)+VLOOKUP(D49,'Species Codes'!B:P,15,0)*LN((E49*2.54)))*(1/(VLOOKUP(D49,'Species Codes'!B:Q,16,0)+VLOOKUP(D49,'Species Codes'!B:R,17,0)*((E49*2.54)^VLOOKUP(D49,'Species Codes'!B:S,18,0)))),IF(OR(D49="BM",D49="MD",D49="OA"),EXP(VLOOKUP(D49,'Species Codes'!B:O,14,0)+VLOOKUP(D49,'Species Codes'!B:P,15,0)*LN((E49*2.54)))*(1-(1/(VLOOKUP(D49,'Species Codes'!B:Q,16,0)+VLOOKUP(D49,'Species Codes'!B:R,17,0)*((E49*2.54)^VLOOKUP(D49,'Species Codes'!B:S,18,0)))))/1000,IF(D49="DF",EXP(VLOOKUP(D49,'Species Codes'!B:O,14,0)+VLOOKUP(D49,'Species Codes'!B:P,15,0)*LN((E49*2.54))),VLOOKUP(D49,'Species Codes'!B:O,14,0)+VLOOKUP(D49,'Species Codes'!B:P,15,0)*(((E49*2.54)/100)^2)*(I49*0.3048)))))*0.0011023),0)</f>
        <v>#N/A</v>
      </c>
      <c r="AD49" s="104" t="e">
        <f t="shared" si="10"/>
        <v>#N/A</v>
      </c>
      <c r="AE49" s="104" t="e">
        <f t="shared" si="11"/>
        <v>#N/A</v>
      </c>
      <c r="AF49" s="104" t="e">
        <f>IF(AND(VLOOKUP($D49,Merchantability!$B:$C,2,0)="Yes",$E49&gt;=VLOOKUP($D49,Merchantability!$B:$D,3,0),$E49&lt;=VLOOKUP($D49,Merchantability!$B:$E,4,0)),AA49,0)</f>
        <v>#N/A</v>
      </c>
      <c r="AG49" s="104" t="e">
        <f>IF(AND(VLOOKUP($D49,Merchantability!$B:$C,2,0)="Yes",$E49&gt;=VLOOKUP($D49,Merchantability!$B:$D,3,0),$E49&lt;=VLOOKUP($D49,Merchantability!$B:$E,4,0)),AB49,0)</f>
        <v>#N/A</v>
      </c>
      <c r="AH49" s="104" t="e">
        <f>IF(AND(VLOOKUP($D49,Merchantability!$B:$C,2,0)="Yes",$E49&gt;=VLOOKUP($D49,Merchantability!$B:$D,3,0),$E49&lt;=VLOOKUP($D49,Merchantability!$B:$E,4,0)),AC49,0)</f>
        <v>#N/A</v>
      </c>
      <c r="AI49" s="104" t="e">
        <f t="shared" si="12"/>
        <v>#N/A</v>
      </c>
      <c r="AJ49" s="104" t="e">
        <f t="shared" si="13"/>
        <v>#VALUE!</v>
      </c>
      <c r="AK49" s="104" t="e">
        <f t="shared" si="14"/>
        <v>#N/A</v>
      </c>
      <c r="AL49" s="104" t="e">
        <f t="shared" si="15"/>
        <v>#N/A</v>
      </c>
      <c r="AM49" s="104" t="e">
        <f t="shared" si="16"/>
        <v>#N/A</v>
      </c>
      <c r="AN49" s="104" t="e">
        <f t="shared" si="17"/>
        <v>#N/A</v>
      </c>
      <c r="AO49" s="104" t="e">
        <f t="shared" si="18"/>
        <v>#N/A</v>
      </c>
      <c r="AP49" s="104" t="e">
        <f t="shared" si="19"/>
        <v>#N/A</v>
      </c>
      <c r="AQ49" s="104" t="e">
        <f t="shared" si="20"/>
        <v>#N/A</v>
      </c>
      <c r="AR49" s="105" t="str">
        <f t="shared" si="21"/>
        <v/>
      </c>
      <c r="AS49" s="105" t="str">
        <f t="shared" si="22"/>
        <v/>
      </c>
      <c r="AT49" s="108" t="str">
        <f t="shared" si="23"/>
        <v/>
      </c>
      <c r="AU49" s="108" t="str">
        <f t="shared" si="24"/>
        <v/>
      </c>
      <c r="AV49" s="107" t="str">
        <f>IF(ISNUMBER(O49),IF(VLOOKUP($A49,Stand!C:J,8,FALSE)="Short",AT49,AU49),"")</f>
        <v/>
      </c>
      <c r="AW49" s="109" t="str">
        <f t="shared" si="25"/>
        <v/>
      </c>
      <c r="AX49" s="109" t="str">
        <f t="shared" si="26"/>
        <v/>
      </c>
      <c r="AY49" s="112" t="str">
        <f>IF(ISNUMBER(O49),IF(AND(VLOOKUP($D49,Merchantability!$B:$C,2,0)="Yes",$E49&gt;=VLOOKUP($D49,Merchantability!$B:$D,3,0),$E49&lt;=VLOOKUP($D49,Merchantability!$B:$E,4,0)),(AV49*O49)*(1-$H49/100),""),"")</f>
        <v/>
      </c>
      <c r="AZ49" s="115"/>
      <c r="BA49" s="116"/>
      <c r="BB49" s="116"/>
      <c r="BE49" s="62"/>
      <c r="BF49" s="63"/>
    </row>
    <row r="50" spans="1:58" ht="12.75" customHeight="1" x14ac:dyDescent="0.25">
      <c r="A50" s="313"/>
      <c r="B50" s="328"/>
      <c r="C50" s="329"/>
      <c r="D50" s="328"/>
      <c r="E50" s="330"/>
      <c r="F50" s="331"/>
      <c r="G50" s="329"/>
      <c r="H50" s="329"/>
      <c r="I50" s="328"/>
      <c r="J50" s="329"/>
      <c r="K50" s="329"/>
      <c r="L50" s="329"/>
      <c r="M50" s="76"/>
      <c r="N50" s="103" t="str">
        <f>IF(A50="","",VLOOKUP(A50,Stand!C:K,9,0))</f>
        <v/>
      </c>
      <c r="O50" s="104" t="str">
        <f t="shared" si="0"/>
        <v/>
      </c>
      <c r="P50" s="105" t="str">
        <f t="shared" si="1"/>
        <v/>
      </c>
      <c r="Q50" s="105" t="str">
        <f t="shared" si="2"/>
        <v/>
      </c>
      <c r="R50" s="103" t="str">
        <f t="shared" si="3"/>
        <v/>
      </c>
      <c r="S50" s="103" t="str">
        <f t="shared" si="4"/>
        <v/>
      </c>
      <c r="T50" s="106" t="str">
        <f t="shared" si="5"/>
        <v/>
      </c>
      <c r="U50" s="106" t="str">
        <f t="shared" si="6"/>
        <v/>
      </c>
      <c r="V50" s="106" t="str">
        <f t="shared" si="7"/>
        <v/>
      </c>
      <c r="W50" s="105" t="str">
        <f t="shared" si="8"/>
        <v/>
      </c>
      <c r="X50" s="104" t="str">
        <f t="shared" si="9"/>
        <v/>
      </c>
      <c r="Y50" s="104" t="str">
        <f t="array" ref="Y50">IFERROR(IF(ISNUMBER(O50),IF(COUNT(IF(A50=$A$2:$A$2427,IF(D50=$D$2:$D$2427,IF($X$2:$X$2427&gt;0,1))))&gt;0,SUM(IF(A50=$A$2:$A$2427,IF(D50=$D$2:$D$2427,$X$2:$X$2427)))/COUNT(IF(A50=$A$2:$A$2427,IF(D50=$D$2:$D$2427,IF(ISNUMBER($X$2:$X$2427),1)))),0),""),0)</f>
        <v/>
      </c>
      <c r="Z50" s="104" t="str">
        <f>IF(ISNUMBER(O50),IF(I50&gt;0,(10^(VLOOKUP(D50,'Species Codes'!B:C,2,0)+VLOOKUP(D50,'Species Codes'!B:D,3,0)*LOG(E50)+VLOOKUP(D50,'Species Codes'!B:E,4,0)*LOG(I50))),0),"")</f>
        <v/>
      </c>
      <c r="AA50" s="104" t="str">
        <f>IFERROR((VLOOKUP(D50,'Species Codes'!B:G,6,0)*Z50)/2000,"")</f>
        <v/>
      </c>
      <c r="AB50" s="104" t="e">
        <f>IF(Z50&gt;0,((IF(OR(D50="DF",D50="RA")=TRUE,EXP(VLOOKUP(D50,'Species Codes'!B:I,8,0)+VLOOKUP(D50,'Species Codes'!B:J,9,0)*(LN((E50*2.54)))),IF(OR(D50="PY",D50="RC",D50="WH",D50="NF")=TRUE,VLOOKUP(D50,'Species Codes'!B:I,8,0)+VLOOKUP(D50,'Species Codes'!B:J,9,0)*((E50*2.54)^2)*(I50*0.3048),IF(OR(D50="MD",D50="BM",D50="GA")=TRUE,((VLOOKUP(D50,'Species Codes'!B:I,8,0)*(((((E50*2.54)+VLOOKUP(D50,'Species Codes'!B:J,9,0))/VLOOKUP(D50,'Species Codes'!B:K,10,0))^VLOOKUP(D50,'Species Codes'!B:L,11,0))*((I50*0.3048)^VLOOKUP(D50,'Species Codes'!B:M,12,0))))-(VLOOKUP(D50,'Species Codes'!B:I,8,0)*((((E50*2.54)^VLOOKUP(D50,'Species Codes'!B:L,11,0))*((I50*0.3048)^VLOOKUP(D50,'Species Codes'!B:M,12,0))))))*35.3*VLOOKUP(D50,'Species Codes'!B:G,6,0)/2.2046,VLOOKUP(D50,'Species Codes'!B:I,8,0)+VLOOKUP(D50,'Species Codes'!B:J,9,0)*(((E50*2.54)/100)^2)*(I50*0.3048)))))*0.0011023),0)</f>
        <v>#N/A</v>
      </c>
      <c r="AC50" s="104" t="e">
        <f>IF(Z50&gt;0,((IF(OR(D50="RA",D50="OA",D50="OT",D50="UN",D50="PC"),EXP(VLOOKUP(D50,'Species Codes'!B:O,14,0)+VLOOKUP(D50,'Species Codes'!B:P,15,0)*LN((E50*2.54)))-EXP(VLOOKUP(D50,'Species Codes'!B:O,14,0)+VLOOKUP(D50,'Species Codes'!B:P,15,0)*LN((E50*2.54)))*(1/(VLOOKUP(D50,'Species Codes'!B:Q,16,0)+VLOOKUP(D50,'Species Codes'!B:R,17,0)*((E50*2.54)^VLOOKUP(D50,'Species Codes'!B:S,18,0)))),IF(OR(D50="BM",D50="MD",D50="OA"),EXP(VLOOKUP(D50,'Species Codes'!B:O,14,0)+VLOOKUP(D50,'Species Codes'!B:P,15,0)*LN((E50*2.54)))*(1-(1/(VLOOKUP(D50,'Species Codes'!B:Q,16,0)+VLOOKUP(D50,'Species Codes'!B:R,17,0)*((E50*2.54)^VLOOKUP(D50,'Species Codes'!B:S,18,0)))))/1000,IF(D50="DF",EXP(VLOOKUP(D50,'Species Codes'!B:O,14,0)+VLOOKUP(D50,'Species Codes'!B:P,15,0)*LN((E50*2.54))),VLOOKUP(D50,'Species Codes'!B:O,14,0)+VLOOKUP(D50,'Species Codes'!B:P,15,0)*(((E50*2.54)/100)^2)*(I50*0.3048)))))*0.0011023),0)</f>
        <v>#N/A</v>
      </c>
      <c r="AD50" s="104" t="e">
        <f t="shared" si="10"/>
        <v>#N/A</v>
      </c>
      <c r="AE50" s="104" t="e">
        <f t="shared" si="11"/>
        <v>#N/A</v>
      </c>
      <c r="AF50" s="104" t="e">
        <f>IF(AND(VLOOKUP($D50,Merchantability!$B:$C,2,0)="Yes",$E50&gt;=VLOOKUP($D50,Merchantability!$B:$D,3,0),$E50&lt;=VLOOKUP($D50,Merchantability!$B:$E,4,0)),AA50,0)</f>
        <v>#N/A</v>
      </c>
      <c r="AG50" s="104" t="e">
        <f>IF(AND(VLOOKUP($D50,Merchantability!$B:$C,2,0)="Yes",$E50&gt;=VLOOKUP($D50,Merchantability!$B:$D,3,0),$E50&lt;=VLOOKUP($D50,Merchantability!$B:$E,4,0)),AB50,0)</f>
        <v>#N/A</v>
      </c>
      <c r="AH50" s="104" t="e">
        <f>IF(AND(VLOOKUP($D50,Merchantability!$B:$C,2,0)="Yes",$E50&gt;=VLOOKUP($D50,Merchantability!$B:$D,3,0),$E50&lt;=VLOOKUP($D50,Merchantability!$B:$E,4,0)),AC50,0)</f>
        <v>#N/A</v>
      </c>
      <c r="AI50" s="104" t="e">
        <f t="shared" si="12"/>
        <v>#N/A</v>
      </c>
      <c r="AJ50" s="104" t="e">
        <f t="shared" si="13"/>
        <v>#VALUE!</v>
      </c>
      <c r="AK50" s="104" t="e">
        <f t="shared" si="14"/>
        <v>#N/A</v>
      </c>
      <c r="AL50" s="104" t="e">
        <f t="shared" si="15"/>
        <v>#N/A</v>
      </c>
      <c r="AM50" s="104" t="e">
        <f t="shared" si="16"/>
        <v>#N/A</v>
      </c>
      <c r="AN50" s="104" t="e">
        <f t="shared" si="17"/>
        <v>#N/A</v>
      </c>
      <c r="AO50" s="104" t="e">
        <f t="shared" si="18"/>
        <v>#N/A</v>
      </c>
      <c r="AP50" s="104" t="e">
        <f t="shared" si="19"/>
        <v>#N/A</v>
      </c>
      <c r="AQ50" s="104" t="e">
        <f t="shared" si="20"/>
        <v>#N/A</v>
      </c>
      <c r="AR50" s="105" t="str">
        <f t="shared" si="21"/>
        <v/>
      </c>
      <c r="AS50" s="105" t="str">
        <f t="shared" si="22"/>
        <v/>
      </c>
      <c r="AT50" s="108" t="str">
        <f t="shared" si="23"/>
        <v/>
      </c>
      <c r="AU50" s="108" t="str">
        <f t="shared" si="24"/>
        <v/>
      </c>
      <c r="AV50" s="107" t="str">
        <f>IF(ISNUMBER(O50),IF(VLOOKUP($A50,Stand!C:J,8,FALSE)="Short",AT50,AU50),"")</f>
        <v/>
      </c>
      <c r="AW50" s="109" t="str">
        <f t="shared" si="25"/>
        <v/>
      </c>
      <c r="AX50" s="109" t="str">
        <f t="shared" si="26"/>
        <v/>
      </c>
      <c r="AY50" s="112" t="str">
        <f>IF(ISNUMBER(O50),IF(AND(VLOOKUP($D50,Merchantability!$B:$C,2,0)="Yes",$E50&gt;=VLOOKUP($D50,Merchantability!$B:$D,3,0),$E50&lt;=VLOOKUP($D50,Merchantability!$B:$E,4,0)),(AV50*O50)*(1-$H50/100),""),"")</f>
        <v/>
      </c>
      <c r="AZ50" s="115"/>
      <c r="BA50" s="116"/>
      <c r="BB50" s="116"/>
      <c r="BE50" s="62"/>
      <c r="BF50" s="63"/>
    </row>
    <row r="51" spans="1:58" ht="12.75" customHeight="1" x14ac:dyDescent="0.25">
      <c r="A51" s="313"/>
      <c r="B51" s="328"/>
      <c r="C51" s="329"/>
      <c r="D51" s="328"/>
      <c r="E51" s="330"/>
      <c r="F51" s="331"/>
      <c r="G51" s="329"/>
      <c r="H51" s="329"/>
      <c r="I51" s="328"/>
      <c r="J51" s="329"/>
      <c r="K51" s="329"/>
      <c r="L51" s="329"/>
      <c r="M51" s="76"/>
      <c r="N51" s="103" t="str">
        <f>IF(A51="","",VLOOKUP(A51,Stand!C:K,9,0))</f>
        <v/>
      </c>
      <c r="O51" s="104" t="str">
        <f t="shared" si="0"/>
        <v/>
      </c>
      <c r="P51" s="105" t="str">
        <f t="shared" si="1"/>
        <v/>
      </c>
      <c r="Q51" s="105" t="str">
        <f t="shared" si="2"/>
        <v/>
      </c>
      <c r="R51" s="103" t="str">
        <f t="shared" si="3"/>
        <v/>
      </c>
      <c r="S51" s="103" t="str">
        <f t="shared" si="4"/>
        <v/>
      </c>
      <c r="T51" s="106" t="str">
        <f t="shared" si="5"/>
        <v/>
      </c>
      <c r="U51" s="106" t="str">
        <f t="shared" si="6"/>
        <v/>
      </c>
      <c r="V51" s="106" t="str">
        <f t="shared" si="7"/>
        <v/>
      </c>
      <c r="W51" s="105" t="str">
        <f t="shared" si="8"/>
        <v/>
      </c>
      <c r="X51" s="104" t="str">
        <f t="shared" si="9"/>
        <v/>
      </c>
      <c r="Y51" s="104" t="str">
        <f t="array" ref="Y51">IFERROR(IF(ISNUMBER(O51),IF(COUNT(IF(A51=$A$2:$A$2427,IF(D51=$D$2:$D$2427,IF($X$2:$X$2427&gt;0,1))))&gt;0,SUM(IF(A51=$A$2:$A$2427,IF(D51=$D$2:$D$2427,$X$2:$X$2427)))/COUNT(IF(A51=$A$2:$A$2427,IF(D51=$D$2:$D$2427,IF(ISNUMBER($X$2:$X$2427),1)))),0),""),0)</f>
        <v/>
      </c>
      <c r="Z51" s="104" t="str">
        <f>IF(ISNUMBER(O51),IF(I51&gt;0,(10^(VLOOKUP(D51,'Species Codes'!B:C,2,0)+VLOOKUP(D51,'Species Codes'!B:D,3,0)*LOG(E51)+VLOOKUP(D51,'Species Codes'!B:E,4,0)*LOG(I51))),0),"")</f>
        <v/>
      </c>
      <c r="AA51" s="104" t="str">
        <f>IFERROR((VLOOKUP(D51,'Species Codes'!B:G,6,0)*Z51)/2000,"")</f>
        <v/>
      </c>
      <c r="AB51" s="104" t="e">
        <f>IF(Z51&gt;0,((IF(OR(D51="DF",D51="RA")=TRUE,EXP(VLOOKUP(D51,'Species Codes'!B:I,8,0)+VLOOKUP(D51,'Species Codes'!B:J,9,0)*(LN((E51*2.54)))),IF(OR(D51="PY",D51="RC",D51="WH",D51="NF")=TRUE,VLOOKUP(D51,'Species Codes'!B:I,8,0)+VLOOKUP(D51,'Species Codes'!B:J,9,0)*((E51*2.54)^2)*(I51*0.3048),IF(OR(D51="MD",D51="BM",D51="GA")=TRUE,((VLOOKUP(D51,'Species Codes'!B:I,8,0)*(((((E51*2.54)+VLOOKUP(D51,'Species Codes'!B:J,9,0))/VLOOKUP(D51,'Species Codes'!B:K,10,0))^VLOOKUP(D51,'Species Codes'!B:L,11,0))*((I51*0.3048)^VLOOKUP(D51,'Species Codes'!B:M,12,0))))-(VLOOKUP(D51,'Species Codes'!B:I,8,0)*((((E51*2.54)^VLOOKUP(D51,'Species Codes'!B:L,11,0))*((I51*0.3048)^VLOOKUP(D51,'Species Codes'!B:M,12,0))))))*35.3*VLOOKUP(D51,'Species Codes'!B:G,6,0)/2.2046,VLOOKUP(D51,'Species Codes'!B:I,8,0)+VLOOKUP(D51,'Species Codes'!B:J,9,0)*(((E51*2.54)/100)^2)*(I51*0.3048)))))*0.0011023),0)</f>
        <v>#N/A</v>
      </c>
      <c r="AC51" s="104" t="e">
        <f>IF(Z51&gt;0,((IF(OR(D51="RA",D51="OA",D51="OT",D51="UN",D51="PC"),EXP(VLOOKUP(D51,'Species Codes'!B:O,14,0)+VLOOKUP(D51,'Species Codes'!B:P,15,0)*LN((E51*2.54)))-EXP(VLOOKUP(D51,'Species Codes'!B:O,14,0)+VLOOKUP(D51,'Species Codes'!B:P,15,0)*LN((E51*2.54)))*(1/(VLOOKUP(D51,'Species Codes'!B:Q,16,0)+VLOOKUP(D51,'Species Codes'!B:R,17,0)*((E51*2.54)^VLOOKUP(D51,'Species Codes'!B:S,18,0)))),IF(OR(D51="BM",D51="MD",D51="OA"),EXP(VLOOKUP(D51,'Species Codes'!B:O,14,0)+VLOOKUP(D51,'Species Codes'!B:P,15,0)*LN((E51*2.54)))*(1-(1/(VLOOKUP(D51,'Species Codes'!B:Q,16,0)+VLOOKUP(D51,'Species Codes'!B:R,17,0)*((E51*2.54)^VLOOKUP(D51,'Species Codes'!B:S,18,0)))))/1000,IF(D51="DF",EXP(VLOOKUP(D51,'Species Codes'!B:O,14,0)+VLOOKUP(D51,'Species Codes'!B:P,15,0)*LN((E51*2.54))),VLOOKUP(D51,'Species Codes'!B:O,14,0)+VLOOKUP(D51,'Species Codes'!B:P,15,0)*(((E51*2.54)/100)^2)*(I51*0.3048)))))*0.0011023),0)</f>
        <v>#N/A</v>
      </c>
      <c r="AD51" s="104" t="e">
        <f t="shared" si="10"/>
        <v>#N/A</v>
      </c>
      <c r="AE51" s="104" t="e">
        <f t="shared" si="11"/>
        <v>#N/A</v>
      </c>
      <c r="AF51" s="104" t="e">
        <f>IF(AND(VLOOKUP($D51,Merchantability!$B:$C,2,0)="Yes",$E51&gt;=VLOOKUP($D51,Merchantability!$B:$D,3,0),$E51&lt;=VLOOKUP($D51,Merchantability!$B:$E,4,0)),AA51,0)</f>
        <v>#N/A</v>
      </c>
      <c r="AG51" s="104" t="e">
        <f>IF(AND(VLOOKUP($D51,Merchantability!$B:$C,2,0)="Yes",$E51&gt;=VLOOKUP($D51,Merchantability!$B:$D,3,0),$E51&lt;=VLOOKUP($D51,Merchantability!$B:$E,4,0)),AB51,0)</f>
        <v>#N/A</v>
      </c>
      <c r="AH51" s="104" t="e">
        <f>IF(AND(VLOOKUP($D51,Merchantability!$B:$C,2,0)="Yes",$E51&gt;=VLOOKUP($D51,Merchantability!$B:$D,3,0),$E51&lt;=VLOOKUP($D51,Merchantability!$B:$E,4,0)),AC51,0)</f>
        <v>#N/A</v>
      </c>
      <c r="AI51" s="104" t="e">
        <f t="shared" si="12"/>
        <v>#N/A</v>
      </c>
      <c r="AJ51" s="104" t="e">
        <f t="shared" si="13"/>
        <v>#VALUE!</v>
      </c>
      <c r="AK51" s="104" t="e">
        <f t="shared" si="14"/>
        <v>#N/A</v>
      </c>
      <c r="AL51" s="104" t="e">
        <f t="shared" si="15"/>
        <v>#N/A</v>
      </c>
      <c r="AM51" s="104" t="e">
        <f t="shared" si="16"/>
        <v>#N/A</v>
      </c>
      <c r="AN51" s="104" t="e">
        <f t="shared" si="17"/>
        <v>#N/A</v>
      </c>
      <c r="AO51" s="104" t="e">
        <f t="shared" si="18"/>
        <v>#N/A</v>
      </c>
      <c r="AP51" s="104" t="e">
        <f t="shared" si="19"/>
        <v>#N/A</v>
      </c>
      <c r="AQ51" s="104" t="e">
        <f t="shared" si="20"/>
        <v>#N/A</v>
      </c>
      <c r="AR51" s="105" t="str">
        <f t="shared" si="21"/>
        <v/>
      </c>
      <c r="AS51" s="105" t="str">
        <f t="shared" si="22"/>
        <v/>
      </c>
      <c r="AT51" s="108" t="str">
        <f t="shared" si="23"/>
        <v/>
      </c>
      <c r="AU51" s="108" t="str">
        <f t="shared" si="24"/>
        <v/>
      </c>
      <c r="AV51" s="107" t="str">
        <f>IF(ISNUMBER(O51),IF(VLOOKUP($A51,Stand!C:J,8,FALSE)="Short",AT51,AU51),"")</f>
        <v/>
      </c>
      <c r="AW51" s="109" t="str">
        <f t="shared" si="25"/>
        <v/>
      </c>
      <c r="AX51" s="109" t="str">
        <f t="shared" si="26"/>
        <v/>
      </c>
      <c r="AY51" s="112" t="str">
        <f>IF(ISNUMBER(O51),IF(AND(VLOOKUP($D51,Merchantability!$B:$C,2,0)="Yes",$E51&gt;=VLOOKUP($D51,Merchantability!$B:$D,3,0),$E51&lt;=VLOOKUP($D51,Merchantability!$B:$E,4,0)),(AV51*O51)*(1-$H51/100),""),"")</f>
        <v/>
      </c>
      <c r="AZ51" s="115"/>
      <c r="BA51" s="116"/>
      <c r="BB51" s="116"/>
      <c r="BE51" s="62"/>
      <c r="BF51" s="63"/>
    </row>
    <row r="52" spans="1:58" ht="12.75" customHeight="1" x14ac:dyDescent="0.25">
      <c r="A52" s="313"/>
      <c r="B52" s="328"/>
      <c r="C52" s="329"/>
      <c r="D52" s="328"/>
      <c r="E52" s="330"/>
      <c r="F52" s="331"/>
      <c r="G52" s="329"/>
      <c r="H52" s="329"/>
      <c r="I52" s="328"/>
      <c r="J52" s="329"/>
      <c r="K52" s="329"/>
      <c r="L52" s="329"/>
      <c r="M52" s="76"/>
      <c r="N52" s="103" t="str">
        <f>IF(A52="","",VLOOKUP(A52,Stand!C:K,9,0))</f>
        <v/>
      </c>
      <c r="O52" s="104" t="str">
        <f t="shared" si="0"/>
        <v/>
      </c>
      <c r="P52" s="105" t="str">
        <f t="shared" si="1"/>
        <v/>
      </c>
      <c r="Q52" s="105" t="str">
        <f t="shared" si="2"/>
        <v/>
      </c>
      <c r="R52" s="103" t="str">
        <f t="shared" si="3"/>
        <v/>
      </c>
      <c r="S52" s="103" t="str">
        <f t="shared" si="4"/>
        <v/>
      </c>
      <c r="T52" s="106" t="str">
        <f t="shared" si="5"/>
        <v/>
      </c>
      <c r="U52" s="106" t="str">
        <f t="shared" si="6"/>
        <v/>
      </c>
      <c r="V52" s="106" t="str">
        <f t="shared" si="7"/>
        <v/>
      </c>
      <c r="W52" s="105" t="str">
        <f t="shared" si="8"/>
        <v/>
      </c>
      <c r="X52" s="104" t="str">
        <f t="shared" si="9"/>
        <v/>
      </c>
      <c r="Y52" s="104" t="str">
        <f t="array" ref="Y52">IFERROR(IF(ISNUMBER(O52),IF(COUNT(IF(A52=$A$2:$A$2427,IF(D52=$D$2:$D$2427,IF($X$2:$X$2427&gt;0,1))))&gt;0,SUM(IF(A52=$A$2:$A$2427,IF(D52=$D$2:$D$2427,$X$2:$X$2427)))/COUNT(IF(A52=$A$2:$A$2427,IF(D52=$D$2:$D$2427,IF(ISNUMBER($X$2:$X$2427),1)))),0),""),0)</f>
        <v/>
      </c>
      <c r="Z52" s="104" t="str">
        <f>IF(ISNUMBER(O52),IF(I52&gt;0,(10^(VLOOKUP(D52,'Species Codes'!B:C,2,0)+VLOOKUP(D52,'Species Codes'!B:D,3,0)*LOG(E52)+VLOOKUP(D52,'Species Codes'!B:E,4,0)*LOG(I52))),0),"")</f>
        <v/>
      </c>
      <c r="AA52" s="104" t="str">
        <f>IFERROR((VLOOKUP(D52,'Species Codes'!B:G,6,0)*Z52)/2000,"")</f>
        <v/>
      </c>
      <c r="AB52" s="104" t="e">
        <f>IF(Z52&gt;0,((IF(OR(D52="DF",D52="RA")=TRUE,EXP(VLOOKUP(D52,'Species Codes'!B:I,8,0)+VLOOKUP(D52,'Species Codes'!B:J,9,0)*(LN((E52*2.54)))),IF(OR(D52="PY",D52="RC",D52="WH",D52="NF")=TRUE,VLOOKUP(D52,'Species Codes'!B:I,8,0)+VLOOKUP(D52,'Species Codes'!B:J,9,0)*((E52*2.54)^2)*(I52*0.3048),IF(OR(D52="MD",D52="BM",D52="GA")=TRUE,((VLOOKUP(D52,'Species Codes'!B:I,8,0)*(((((E52*2.54)+VLOOKUP(D52,'Species Codes'!B:J,9,0))/VLOOKUP(D52,'Species Codes'!B:K,10,0))^VLOOKUP(D52,'Species Codes'!B:L,11,0))*((I52*0.3048)^VLOOKUP(D52,'Species Codes'!B:M,12,0))))-(VLOOKUP(D52,'Species Codes'!B:I,8,0)*((((E52*2.54)^VLOOKUP(D52,'Species Codes'!B:L,11,0))*((I52*0.3048)^VLOOKUP(D52,'Species Codes'!B:M,12,0))))))*35.3*VLOOKUP(D52,'Species Codes'!B:G,6,0)/2.2046,VLOOKUP(D52,'Species Codes'!B:I,8,0)+VLOOKUP(D52,'Species Codes'!B:J,9,0)*(((E52*2.54)/100)^2)*(I52*0.3048)))))*0.0011023),0)</f>
        <v>#N/A</v>
      </c>
      <c r="AC52" s="104" t="e">
        <f>IF(Z52&gt;0,((IF(OR(D52="RA",D52="OA",D52="OT",D52="UN",D52="PC"),EXP(VLOOKUP(D52,'Species Codes'!B:O,14,0)+VLOOKUP(D52,'Species Codes'!B:P,15,0)*LN((E52*2.54)))-EXP(VLOOKUP(D52,'Species Codes'!B:O,14,0)+VLOOKUP(D52,'Species Codes'!B:P,15,0)*LN((E52*2.54)))*(1/(VLOOKUP(D52,'Species Codes'!B:Q,16,0)+VLOOKUP(D52,'Species Codes'!B:R,17,0)*((E52*2.54)^VLOOKUP(D52,'Species Codes'!B:S,18,0)))),IF(OR(D52="BM",D52="MD",D52="OA"),EXP(VLOOKUP(D52,'Species Codes'!B:O,14,0)+VLOOKUP(D52,'Species Codes'!B:P,15,0)*LN((E52*2.54)))*(1-(1/(VLOOKUP(D52,'Species Codes'!B:Q,16,0)+VLOOKUP(D52,'Species Codes'!B:R,17,0)*((E52*2.54)^VLOOKUP(D52,'Species Codes'!B:S,18,0)))))/1000,IF(D52="DF",EXP(VLOOKUP(D52,'Species Codes'!B:O,14,0)+VLOOKUP(D52,'Species Codes'!B:P,15,0)*LN((E52*2.54))),VLOOKUP(D52,'Species Codes'!B:O,14,0)+VLOOKUP(D52,'Species Codes'!B:P,15,0)*(((E52*2.54)/100)^2)*(I52*0.3048)))))*0.0011023),0)</f>
        <v>#N/A</v>
      </c>
      <c r="AD52" s="104" t="e">
        <f t="shared" si="10"/>
        <v>#N/A</v>
      </c>
      <c r="AE52" s="104" t="e">
        <f t="shared" si="11"/>
        <v>#N/A</v>
      </c>
      <c r="AF52" s="104" t="e">
        <f>IF(AND(VLOOKUP($D52,Merchantability!$B:$C,2,0)="Yes",$E52&gt;=VLOOKUP($D52,Merchantability!$B:$D,3,0),$E52&lt;=VLOOKUP($D52,Merchantability!$B:$E,4,0)),AA52,0)</f>
        <v>#N/A</v>
      </c>
      <c r="AG52" s="104" t="e">
        <f>IF(AND(VLOOKUP($D52,Merchantability!$B:$C,2,0)="Yes",$E52&gt;=VLOOKUP($D52,Merchantability!$B:$D,3,0),$E52&lt;=VLOOKUP($D52,Merchantability!$B:$E,4,0)),AB52,0)</f>
        <v>#N/A</v>
      </c>
      <c r="AH52" s="104" t="e">
        <f>IF(AND(VLOOKUP($D52,Merchantability!$B:$C,2,0)="Yes",$E52&gt;=VLOOKUP($D52,Merchantability!$B:$D,3,0),$E52&lt;=VLOOKUP($D52,Merchantability!$B:$E,4,0)),AC52,0)</f>
        <v>#N/A</v>
      </c>
      <c r="AI52" s="104" t="e">
        <f t="shared" si="12"/>
        <v>#N/A</v>
      </c>
      <c r="AJ52" s="104" t="e">
        <f t="shared" si="13"/>
        <v>#VALUE!</v>
      </c>
      <c r="AK52" s="104" t="e">
        <f t="shared" si="14"/>
        <v>#N/A</v>
      </c>
      <c r="AL52" s="104" t="e">
        <f t="shared" si="15"/>
        <v>#N/A</v>
      </c>
      <c r="AM52" s="104" t="e">
        <f t="shared" si="16"/>
        <v>#N/A</v>
      </c>
      <c r="AN52" s="104" t="e">
        <f t="shared" si="17"/>
        <v>#N/A</v>
      </c>
      <c r="AO52" s="104" t="e">
        <f t="shared" si="18"/>
        <v>#N/A</v>
      </c>
      <c r="AP52" s="104" t="e">
        <f t="shared" si="19"/>
        <v>#N/A</v>
      </c>
      <c r="AQ52" s="104" t="e">
        <f t="shared" si="20"/>
        <v>#N/A</v>
      </c>
      <c r="AR52" s="105" t="str">
        <f t="shared" si="21"/>
        <v/>
      </c>
      <c r="AS52" s="105" t="str">
        <f t="shared" si="22"/>
        <v/>
      </c>
      <c r="AT52" s="108" t="str">
        <f t="shared" si="23"/>
        <v/>
      </c>
      <c r="AU52" s="108" t="str">
        <f t="shared" si="24"/>
        <v/>
      </c>
      <c r="AV52" s="107" t="str">
        <f>IF(ISNUMBER(O52),IF(VLOOKUP($A52,Stand!C:J,8,FALSE)="Short",AT52,AU52),"")</f>
        <v/>
      </c>
      <c r="AW52" s="109" t="str">
        <f t="shared" si="25"/>
        <v/>
      </c>
      <c r="AX52" s="109" t="str">
        <f t="shared" si="26"/>
        <v/>
      </c>
      <c r="AY52" s="112" t="str">
        <f>IF(ISNUMBER(O52),IF(AND(VLOOKUP($D52,Merchantability!$B:$C,2,0)="Yes",$E52&gt;=VLOOKUP($D52,Merchantability!$B:$D,3,0),$E52&lt;=VLOOKUP($D52,Merchantability!$B:$E,4,0)),(AV52*O52)*(1-$H52/100),""),"")</f>
        <v/>
      </c>
      <c r="AZ52" s="116"/>
      <c r="BA52" s="116"/>
      <c r="BB52" s="116"/>
      <c r="BE52" s="62"/>
      <c r="BF52" s="63"/>
    </row>
    <row r="53" spans="1:58" ht="12.75" customHeight="1" x14ac:dyDescent="0.25">
      <c r="A53" s="313"/>
      <c r="B53" s="328"/>
      <c r="C53" s="329"/>
      <c r="D53" s="328"/>
      <c r="E53" s="330"/>
      <c r="F53" s="331"/>
      <c r="G53" s="329"/>
      <c r="H53" s="329"/>
      <c r="I53" s="328"/>
      <c r="J53" s="329"/>
      <c r="K53" s="329"/>
      <c r="L53" s="329"/>
      <c r="M53" s="76"/>
      <c r="N53" s="103" t="str">
        <f>IF(A53="","",VLOOKUP(A53,Stand!C:K,9,0))</f>
        <v/>
      </c>
      <c r="O53" s="104" t="str">
        <f t="shared" si="0"/>
        <v/>
      </c>
      <c r="P53" s="105" t="str">
        <f t="shared" si="1"/>
        <v/>
      </c>
      <c r="Q53" s="105" t="str">
        <f t="shared" si="2"/>
        <v/>
      </c>
      <c r="R53" s="103" t="str">
        <f t="shared" si="3"/>
        <v/>
      </c>
      <c r="S53" s="103" t="str">
        <f t="shared" si="4"/>
        <v/>
      </c>
      <c r="T53" s="106" t="str">
        <f t="shared" si="5"/>
        <v/>
      </c>
      <c r="U53" s="106" t="str">
        <f t="shared" si="6"/>
        <v/>
      </c>
      <c r="V53" s="106" t="str">
        <f t="shared" si="7"/>
        <v/>
      </c>
      <c r="W53" s="105" t="str">
        <f t="shared" si="8"/>
        <v/>
      </c>
      <c r="X53" s="104" t="str">
        <f t="shared" si="9"/>
        <v/>
      </c>
      <c r="Y53" s="104" t="str">
        <f t="array" ref="Y53">IFERROR(IF(ISNUMBER(O53),IF(COUNT(IF(A53=$A$2:$A$2427,IF(D53=$D$2:$D$2427,IF($X$2:$X$2427&gt;0,1))))&gt;0,SUM(IF(A53=$A$2:$A$2427,IF(D53=$D$2:$D$2427,$X$2:$X$2427)))/COUNT(IF(A53=$A$2:$A$2427,IF(D53=$D$2:$D$2427,IF(ISNUMBER($X$2:$X$2427),1)))),0),""),0)</f>
        <v/>
      </c>
      <c r="Z53" s="104" t="str">
        <f>IF(ISNUMBER(O53),IF(I53&gt;0,(10^(VLOOKUP(D53,'Species Codes'!B:C,2,0)+VLOOKUP(D53,'Species Codes'!B:D,3,0)*LOG(E53)+VLOOKUP(D53,'Species Codes'!B:E,4,0)*LOG(I53))),0),"")</f>
        <v/>
      </c>
      <c r="AA53" s="104" t="str">
        <f>IFERROR((VLOOKUP(D53,'Species Codes'!B:G,6,0)*Z53)/2000,"")</f>
        <v/>
      </c>
      <c r="AB53" s="104" t="e">
        <f>IF(Z53&gt;0,((IF(OR(D53="DF",D53="RA")=TRUE,EXP(VLOOKUP(D53,'Species Codes'!B:I,8,0)+VLOOKUP(D53,'Species Codes'!B:J,9,0)*(LN((E53*2.54)))),IF(OR(D53="PY",D53="RC",D53="WH",D53="NF")=TRUE,VLOOKUP(D53,'Species Codes'!B:I,8,0)+VLOOKUP(D53,'Species Codes'!B:J,9,0)*((E53*2.54)^2)*(I53*0.3048),IF(OR(D53="MD",D53="BM",D53="GA")=TRUE,((VLOOKUP(D53,'Species Codes'!B:I,8,0)*(((((E53*2.54)+VLOOKUP(D53,'Species Codes'!B:J,9,0))/VLOOKUP(D53,'Species Codes'!B:K,10,0))^VLOOKUP(D53,'Species Codes'!B:L,11,0))*((I53*0.3048)^VLOOKUP(D53,'Species Codes'!B:M,12,0))))-(VLOOKUP(D53,'Species Codes'!B:I,8,0)*((((E53*2.54)^VLOOKUP(D53,'Species Codes'!B:L,11,0))*((I53*0.3048)^VLOOKUP(D53,'Species Codes'!B:M,12,0))))))*35.3*VLOOKUP(D53,'Species Codes'!B:G,6,0)/2.2046,VLOOKUP(D53,'Species Codes'!B:I,8,0)+VLOOKUP(D53,'Species Codes'!B:J,9,0)*(((E53*2.54)/100)^2)*(I53*0.3048)))))*0.0011023),0)</f>
        <v>#N/A</v>
      </c>
      <c r="AC53" s="104" t="e">
        <f>IF(Z53&gt;0,((IF(OR(D53="RA",D53="OA",D53="OT",D53="UN",D53="PC"),EXP(VLOOKUP(D53,'Species Codes'!B:O,14,0)+VLOOKUP(D53,'Species Codes'!B:P,15,0)*LN((E53*2.54)))-EXP(VLOOKUP(D53,'Species Codes'!B:O,14,0)+VLOOKUP(D53,'Species Codes'!B:P,15,0)*LN((E53*2.54)))*(1/(VLOOKUP(D53,'Species Codes'!B:Q,16,0)+VLOOKUP(D53,'Species Codes'!B:R,17,0)*((E53*2.54)^VLOOKUP(D53,'Species Codes'!B:S,18,0)))),IF(OR(D53="BM",D53="MD",D53="OA"),EXP(VLOOKUP(D53,'Species Codes'!B:O,14,0)+VLOOKUP(D53,'Species Codes'!B:P,15,0)*LN((E53*2.54)))*(1-(1/(VLOOKUP(D53,'Species Codes'!B:Q,16,0)+VLOOKUP(D53,'Species Codes'!B:R,17,0)*((E53*2.54)^VLOOKUP(D53,'Species Codes'!B:S,18,0)))))/1000,IF(D53="DF",EXP(VLOOKUP(D53,'Species Codes'!B:O,14,0)+VLOOKUP(D53,'Species Codes'!B:P,15,0)*LN((E53*2.54))),VLOOKUP(D53,'Species Codes'!B:O,14,0)+VLOOKUP(D53,'Species Codes'!B:P,15,0)*(((E53*2.54)/100)^2)*(I53*0.3048)))))*0.0011023),0)</f>
        <v>#N/A</v>
      </c>
      <c r="AD53" s="104" t="e">
        <f t="shared" si="10"/>
        <v>#N/A</v>
      </c>
      <c r="AE53" s="104" t="e">
        <f t="shared" si="11"/>
        <v>#N/A</v>
      </c>
      <c r="AF53" s="104" t="e">
        <f>IF(AND(VLOOKUP($D53,Merchantability!$B:$C,2,0)="Yes",$E53&gt;=VLOOKUP($D53,Merchantability!$B:$D,3,0),$E53&lt;=VLOOKUP($D53,Merchantability!$B:$E,4,0)),AA53,0)</f>
        <v>#N/A</v>
      </c>
      <c r="AG53" s="104" t="e">
        <f>IF(AND(VLOOKUP($D53,Merchantability!$B:$C,2,0)="Yes",$E53&gt;=VLOOKUP($D53,Merchantability!$B:$D,3,0),$E53&lt;=VLOOKUP($D53,Merchantability!$B:$E,4,0)),AB53,0)</f>
        <v>#N/A</v>
      </c>
      <c r="AH53" s="104" t="e">
        <f>IF(AND(VLOOKUP($D53,Merchantability!$B:$C,2,0)="Yes",$E53&gt;=VLOOKUP($D53,Merchantability!$B:$D,3,0),$E53&lt;=VLOOKUP($D53,Merchantability!$B:$E,4,0)),AC53,0)</f>
        <v>#N/A</v>
      </c>
      <c r="AI53" s="104" t="e">
        <f t="shared" si="12"/>
        <v>#N/A</v>
      </c>
      <c r="AJ53" s="104" t="e">
        <f t="shared" si="13"/>
        <v>#VALUE!</v>
      </c>
      <c r="AK53" s="104" t="e">
        <f t="shared" si="14"/>
        <v>#N/A</v>
      </c>
      <c r="AL53" s="104" t="e">
        <f t="shared" si="15"/>
        <v>#N/A</v>
      </c>
      <c r="AM53" s="104" t="e">
        <f t="shared" si="16"/>
        <v>#N/A</v>
      </c>
      <c r="AN53" s="104" t="e">
        <f t="shared" si="17"/>
        <v>#N/A</v>
      </c>
      <c r="AO53" s="104" t="e">
        <f t="shared" si="18"/>
        <v>#N/A</v>
      </c>
      <c r="AP53" s="104" t="e">
        <f t="shared" si="19"/>
        <v>#N/A</v>
      </c>
      <c r="AQ53" s="104" t="e">
        <f t="shared" si="20"/>
        <v>#N/A</v>
      </c>
      <c r="AR53" s="105" t="str">
        <f t="shared" si="21"/>
        <v/>
      </c>
      <c r="AS53" s="105" t="str">
        <f t="shared" si="22"/>
        <v/>
      </c>
      <c r="AT53" s="108" t="str">
        <f t="shared" si="23"/>
        <v/>
      </c>
      <c r="AU53" s="108" t="str">
        <f t="shared" si="24"/>
        <v/>
      </c>
      <c r="AV53" s="107" t="str">
        <f>IF(ISNUMBER(O53),IF(VLOOKUP($A53,Stand!C:J,8,FALSE)="Short",AT53,AU53),"")</f>
        <v/>
      </c>
      <c r="AW53" s="109" t="str">
        <f t="shared" si="25"/>
        <v/>
      </c>
      <c r="AX53" s="109" t="str">
        <f t="shared" si="26"/>
        <v/>
      </c>
      <c r="AY53" s="112" t="str">
        <f>IF(ISNUMBER(O53),IF(AND(VLOOKUP($D53,Merchantability!$B:$C,2,0)="Yes",$E53&gt;=VLOOKUP($D53,Merchantability!$B:$D,3,0),$E53&lt;=VLOOKUP($D53,Merchantability!$B:$E,4,0)),(AV53*O53)*(1-$H53/100),""),"")</f>
        <v/>
      </c>
      <c r="AZ53" s="116"/>
      <c r="BA53" s="116"/>
      <c r="BB53" s="116"/>
      <c r="BE53" s="62"/>
      <c r="BF53" s="63"/>
    </row>
    <row r="54" spans="1:58" ht="12.75" customHeight="1" x14ac:dyDescent="0.25">
      <c r="A54" s="313"/>
      <c r="B54" s="328"/>
      <c r="C54" s="329"/>
      <c r="D54" s="328"/>
      <c r="E54" s="330"/>
      <c r="F54" s="331"/>
      <c r="G54" s="329"/>
      <c r="H54" s="329"/>
      <c r="I54" s="328"/>
      <c r="J54" s="329"/>
      <c r="K54" s="329"/>
      <c r="L54" s="329"/>
      <c r="M54" s="76"/>
      <c r="N54" s="103" t="str">
        <f>IF(A54="","",VLOOKUP(A54,Stand!C:K,9,0))</f>
        <v/>
      </c>
      <c r="O54" s="104" t="str">
        <f t="shared" si="0"/>
        <v/>
      </c>
      <c r="P54" s="105" t="str">
        <f t="shared" si="1"/>
        <v/>
      </c>
      <c r="Q54" s="105" t="str">
        <f t="shared" si="2"/>
        <v/>
      </c>
      <c r="R54" s="103" t="str">
        <f t="shared" si="3"/>
        <v/>
      </c>
      <c r="S54" s="103" t="str">
        <f t="shared" si="4"/>
        <v/>
      </c>
      <c r="T54" s="106" t="str">
        <f t="shared" si="5"/>
        <v/>
      </c>
      <c r="U54" s="106" t="str">
        <f t="shared" si="6"/>
        <v/>
      </c>
      <c r="V54" s="106" t="str">
        <f t="shared" si="7"/>
        <v/>
      </c>
      <c r="W54" s="105" t="str">
        <f t="shared" si="8"/>
        <v/>
      </c>
      <c r="X54" s="104" t="str">
        <f t="shared" si="9"/>
        <v/>
      </c>
      <c r="Y54" s="104" t="str">
        <f t="array" ref="Y54">IFERROR(IF(ISNUMBER(O54),IF(COUNT(IF(A54=$A$2:$A$2427,IF(D54=$D$2:$D$2427,IF($X$2:$X$2427&gt;0,1))))&gt;0,SUM(IF(A54=$A$2:$A$2427,IF(D54=$D$2:$D$2427,$X$2:$X$2427)))/COUNT(IF(A54=$A$2:$A$2427,IF(D54=$D$2:$D$2427,IF(ISNUMBER($X$2:$X$2427),1)))),0),""),0)</f>
        <v/>
      </c>
      <c r="Z54" s="104" t="str">
        <f>IF(ISNUMBER(O54),IF(I54&gt;0,(10^(VLOOKUP(D54,'Species Codes'!B:C,2,0)+VLOOKUP(D54,'Species Codes'!B:D,3,0)*LOG(E54)+VLOOKUP(D54,'Species Codes'!B:E,4,0)*LOG(I54))),0),"")</f>
        <v/>
      </c>
      <c r="AA54" s="104" t="str">
        <f>IFERROR((VLOOKUP(D54,'Species Codes'!B:G,6,0)*Z54)/2000,"")</f>
        <v/>
      </c>
      <c r="AB54" s="104" t="e">
        <f>IF(Z54&gt;0,((IF(OR(D54="DF",D54="RA")=TRUE,EXP(VLOOKUP(D54,'Species Codes'!B:I,8,0)+VLOOKUP(D54,'Species Codes'!B:J,9,0)*(LN((E54*2.54)))),IF(OR(D54="PY",D54="RC",D54="WH",D54="NF")=TRUE,VLOOKUP(D54,'Species Codes'!B:I,8,0)+VLOOKUP(D54,'Species Codes'!B:J,9,0)*((E54*2.54)^2)*(I54*0.3048),IF(OR(D54="MD",D54="BM",D54="GA")=TRUE,((VLOOKUP(D54,'Species Codes'!B:I,8,0)*(((((E54*2.54)+VLOOKUP(D54,'Species Codes'!B:J,9,0))/VLOOKUP(D54,'Species Codes'!B:K,10,0))^VLOOKUP(D54,'Species Codes'!B:L,11,0))*((I54*0.3048)^VLOOKUP(D54,'Species Codes'!B:M,12,0))))-(VLOOKUP(D54,'Species Codes'!B:I,8,0)*((((E54*2.54)^VLOOKUP(D54,'Species Codes'!B:L,11,0))*((I54*0.3048)^VLOOKUP(D54,'Species Codes'!B:M,12,0))))))*35.3*VLOOKUP(D54,'Species Codes'!B:G,6,0)/2.2046,VLOOKUP(D54,'Species Codes'!B:I,8,0)+VLOOKUP(D54,'Species Codes'!B:J,9,0)*(((E54*2.54)/100)^2)*(I54*0.3048)))))*0.0011023),0)</f>
        <v>#N/A</v>
      </c>
      <c r="AC54" s="104" t="e">
        <f>IF(Z54&gt;0,((IF(OR(D54="RA",D54="OA",D54="OT",D54="UN",D54="PC"),EXP(VLOOKUP(D54,'Species Codes'!B:O,14,0)+VLOOKUP(D54,'Species Codes'!B:P,15,0)*LN((E54*2.54)))-EXP(VLOOKUP(D54,'Species Codes'!B:O,14,0)+VLOOKUP(D54,'Species Codes'!B:P,15,0)*LN((E54*2.54)))*(1/(VLOOKUP(D54,'Species Codes'!B:Q,16,0)+VLOOKUP(D54,'Species Codes'!B:R,17,0)*((E54*2.54)^VLOOKUP(D54,'Species Codes'!B:S,18,0)))),IF(OR(D54="BM",D54="MD",D54="OA"),EXP(VLOOKUP(D54,'Species Codes'!B:O,14,0)+VLOOKUP(D54,'Species Codes'!B:P,15,0)*LN((E54*2.54)))*(1-(1/(VLOOKUP(D54,'Species Codes'!B:Q,16,0)+VLOOKUP(D54,'Species Codes'!B:R,17,0)*((E54*2.54)^VLOOKUP(D54,'Species Codes'!B:S,18,0)))))/1000,IF(D54="DF",EXP(VLOOKUP(D54,'Species Codes'!B:O,14,0)+VLOOKUP(D54,'Species Codes'!B:P,15,0)*LN((E54*2.54))),VLOOKUP(D54,'Species Codes'!B:O,14,0)+VLOOKUP(D54,'Species Codes'!B:P,15,0)*(((E54*2.54)/100)^2)*(I54*0.3048)))))*0.0011023),0)</f>
        <v>#N/A</v>
      </c>
      <c r="AD54" s="104" t="e">
        <f t="shared" si="10"/>
        <v>#N/A</v>
      </c>
      <c r="AE54" s="104" t="e">
        <f t="shared" si="11"/>
        <v>#N/A</v>
      </c>
      <c r="AF54" s="104" t="e">
        <f>IF(AND(VLOOKUP($D54,Merchantability!$B:$C,2,0)="Yes",$E54&gt;=VLOOKUP($D54,Merchantability!$B:$D,3,0),$E54&lt;=VLOOKUP($D54,Merchantability!$B:$E,4,0)),AA54,0)</f>
        <v>#N/A</v>
      </c>
      <c r="AG54" s="104" t="e">
        <f>IF(AND(VLOOKUP($D54,Merchantability!$B:$C,2,0)="Yes",$E54&gt;=VLOOKUP($D54,Merchantability!$B:$D,3,0),$E54&lt;=VLOOKUP($D54,Merchantability!$B:$E,4,0)),AB54,0)</f>
        <v>#N/A</v>
      </c>
      <c r="AH54" s="104" t="e">
        <f>IF(AND(VLOOKUP($D54,Merchantability!$B:$C,2,0)="Yes",$E54&gt;=VLOOKUP($D54,Merchantability!$B:$D,3,0),$E54&lt;=VLOOKUP($D54,Merchantability!$B:$E,4,0)),AC54,0)</f>
        <v>#N/A</v>
      </c>
      <c r="AI54" s="104" t="e">
        <f t="shared" si="12"/>
        <v>#N/A</v>
      </c>
      <c r="AJ54" s="104" t="e">
        <f t="shared" si="13"/>
        <v>#VALUE!</v>
      </c>
      <c r="AK54" s="104" t="e">
        <f t="shared" si="14"/>
        <v>#N/A</v>
      </c>
      <c r="AL54" s="104" t="e">
        <f t="shared" si="15"/>
        <v>#N/A</v>
      </c>
      <c r="AM54" s="104" t="e">
        <f t="shared" si="16"/>
        <v>#N/A</v>
      </c>
      <c r="AN54" s="104" t="e">
        <f t="shared" si="17"/>
        <v>#N/A</v>
      </c>
      <c r="AO54" s="104" t="e">
        <f t="shared" si="18"/>
        <v>#N/A</v>
      </c>
      <c r="AP54" s="104" t="e">
        <f t="shared" si="19"/>
        <v>#N/A</v>
      </c>
      <c r="AQ54" s="104" t="e">
        <f t="shared" si="20"/>
        <v>#N/A</v>
      </c>
      <c r="AR54" s="105" t="str">
        <f t="shared" si="21"/>
        <v/>
      </c>
      <c r="AS54" s="105" t="str">
        <f t="shared" si="22"/>
        <v/>
      </c>
      <c r="AT54" s="108" t="str">
        <f t="shared" si="23"/>
        <v/>
      </c>
      <c r="AU54" s="108" t="str">
        <f t="shared" si="24"/>
        <v/>
      </c>
      <c r="AV54" s="107" t="str">
        <f>IF(ISNUMBER(O54),IF(VLOOKUP($A54,Stand!C:J,8,FALSE)="Short",AT54,AU54),"")</f>
        <v/>
      </c>
      <c r="AW54" s="109" t="str">
        <f t="shared" si="25"/>
        <v/>
      </c>
      <c r="AX54" s="109" t="str">
        <f t="shared" si="26"/>
        <v/>
      </c>
      <c r="AY54" s="112" t="str">
        <f>IF(ISNUMBER(O54),IF(AND(VLOOKUP($D54,Merchantability!$B:$C,2,0)="Yes",$E54&gt;=VLOOKUP($D54,Merchantability!$B:$D,3,0),$E54&lt;=VLOOKUP($D54,Merchantability!$B:$E,4,0)),(AV54*O54)*(1-$H54/100),""),"")</f>
        <v/>
      </c>
      <c r="AZ54" s="116"/>
      <c r="BA54" s="116"/>
      <c r="BB54" s="116"/>
      <c r="BE54" s="62"/>
      <c r="BF54" s="63"/>
    </row>
    <row r="55" spans="1:58" ht="12.75" customHeight="1" x14ac:dyDescent="0.25">
      <c r="A55" s="313"/>
      <c r="B55" s="328"/>
      <c r="C55" s="329"/>
      <c r="D55" s="328"/>
      <c r="E55" s="330"/>
      <c r="F55" s="331"/>
      <c r="G55" s="329"/>
      <c r="H55" s="329"/>
      <c r="I55" s="328"/>
      <c r="J55" s="329"/>
      <c r="K55" s="329"/>
      <c r="L55" s="329"/>
      <c r="M55" s="76"/>
      <c r="N55" s="103" t="str">
        <f>IF(A55="","",VLOOKUP(A55,Stand!C:K,9,0))</f>
        <v/>
      </c>
      <c r="O55" s="104" t="str">
        <f t="shared" si="0"/>
        <v/>
      </c>
      <c r="P55" s="105" t="str">
        <f t="shared" si="1"/>
        <v/>
      </c>
      <c r="Q55" s="105" t="str">
        <f t="shared" si="2"/>
        <v/>
      </c>
      <c r="R55" s="103" t="str">
        <f t="shared" si="3"/>
        <v/>
      </c>
      <c r="S55" s="103" t="str">
        <f t="shared" si="4"/>
        <v/>
      </c>
      <c r="T55" s="106" t="str">
        <f t="shared" si="5"/>
        <v/>
      </c>
      <c r="U55" s="106" t="str">
        <f t="shared" si="6"/>
        <v/>
      </c>
      <c r="V55" s="106" t="str">
        <f t="shared" si="7"/>
        <v/>
      </c>
      <c r="W55" s="105" t="str">
        <f t="shared" si="8"/>
        <v/>
      </c>
      <c r="X55" s="104" t="str">
        <f t="shared" si="9"/>
        <v/>
      </c>
      <c r="Y55" s="104" t="str">
        <f t="array" ref="Y55">IFERROR(IF(ISNUMBER(O55),IF(COUNT(IF(A55=$A$2:$A$2427,IF(D55=$D$2:$D$2427,IF($X$2:$X$2427&gt;0,1))))&gt;0,SUM(IF(A55=$A$2:$A$2427,IF(D55=$D$2:$D$2427,$X$2:$X$2427)))/COUNT(IF(A55=$A$2:$A$2427,IF(D55=$D$2:$D$2427,IF(ISNUMBER($X$2:$X$2427),1)))),0),""),0)</f>
        <v/>
      </c>
      <c r="Z55" s="104" t="str">
        <f>IF(ISNUMBER(O55),IF(I55&gt;0,(10^(VLOOKUP(D55,'Species Codes'!B:C,2,0)+VLOOKUP(D55,'Species Codes'!B:D,3,0)*LOG(E55)+VLOOKUP(D55,'Species Codes'!B:E,4,0)*LOG(I55))),0),"")</f>
        <v/>
      </c>
      <c r="AA55" s="104" t="str">
        <f>IFERROR((VLOOKUP(D55,'Species Codes'!B:G,6,0)*Z55)/2000,"")</f>
        <v/>
      </c>
      <c r="AB55" s="104" t="e">
        <f>IF(Z55&gt;0,((IF(OR(D55="DF",D55="RA")=TRUE,EXP(VLOOKUP(D55,'Species Codes'!B:I,8,0)+VLOOKUP(D55,'Species Codes'!B:J,9,0)*(LN((E55*2.54)))),IF(OR(D55="PY",D55="RC",D55="WH",D55="NF")=TRUE,VLOOKUP(D55,'Species Codes'!B:I,8,0)+VLOOKUP(D55,'Species Codes'!B:J,9,0)*((E55*2.54)^2)*(I55*0.3048),IF(OR(D55="MD",D55="BM",D55="GA")=TRUE,((VLOOKUP(D55,'Species Codes'!B:I,8,0)*(((((E55*2.54)+VLOOKUP(D55,'Species Codes'!B:J,9,0))/VLOOKUP(D55,'Species Codes'!B:K,10,0))^VLOOKUP(D55,'Species Codes'!B:L,11,0))*((I55*0.3048)^VLOOKUP(D55,'Species Codes'!B:M,12,0))))-(VLOOKUP(D55,'Species Codes'!B:I,8,0)*((((E55*2.54)^VLOOKUP(D55,'Species Codes'!B:L,11,0))*((I55*0.3048)^VLOOKUP(D55,'Species Codes'!B:M,12,0))))))*35.3*VLOOKUP(D55,'Species Codes'!B:G,6,0)/2.2046,VLOOKUP(D55,'Species Codes'!B:I,8,0)+VLOOKUP(D55,'Species Codes'!B:J,9,0)*(((E55*2.54)/100)^2)*(I55*0.3048)))))*0.0011023),0)</f>
        <v>#N/A</v>
      </c>
      <c r="AC55" s="104" t="e">
        <f>IF(Z55&gt;0,((IF(OR(D55="RA",D55="OA",D55="OT",D55="UN",D55="PC"),EXP(VLOOKUP(D55,'Species Codes'!B:O,14,0)+VLOOKUP(D55,'Species Codes'!B:P,15,0)*LN((E55*2.54)))-EXP(VLOOKUP(D55,'Species Codes'!B:O,14,0)+VLOOKUP(D55,'Species Codes'!B:P,15,0)*LN((E55*2.54)))*(1/(VLOOKUP(D55,'Species Codes'!B:Q,16,0)+VLOOKUP(D55,'Species Codes'!B:R,17,0)*((E55*2.54)^VLOOKUP(D55,'Species Codes'!B:S,18,0)))),IF(OR(D55="BM",D55="MD",D55="OA"),EXP(VLOOKUP(D55,'Species Codes'!B:O,14,0)+VLOOKUP(D55,'Species Codes'!B:P,15,0)*LN((E55*2.54)))*(1-(1/(VLOOKUP(D55,'Species Codes'!B:Q,16,0)+VLOOKUP(D55,'Species Codes'!B:R,17,0)*((E55*2.54)^VLOOKUP(D55,'Species Codes'!B:S,18,0)))))/1000,IF(D55="DF",EXP(VLOOKUP(D55,'Species Codes'!B:O,14,0)+VLOOKUP(D55,'Species Codes'!B:P,15,0)*LN((E55*2.54))),VLOOKUP(D55,'Species Codes'!B:O,14,0)+VLOOKUP(D55,'Species Codes'!B:P,15,0)*(((E55*2.54)/100)^2)*(I55*0.3048)))))*0.0011023),0)</f>
        <v>#N/A</v>
      </c>
      <c r="AD55" s="104" t="e">
        <f t="shared" si="10"/>
        <v>#N/A</v>
      </c>
      <c r="AE55" s="104" t="e">
        <f t="shared" si="11"/>
        <v>#N/A</v>
      </c>
      <c r="AF55" s="104" t="e">
        <f>IF(AND(VLOOKUP($D55,Merchantability!$B:$C,2,0)="Yes",$E55&gt;=VLOOKUP($D55,Merchantability!$B:$D,3,0),$E55&lt;=VLOOKUP($D55,Merchantability!$B:$E,4,0)),AA55,0)</f>
        <v>#N/A</v>
      </c>
      <c r="AG55" s="104" t="e">
        <f>IF(AND(VLOOKUP($D55,Merchantability!$B:$C,2,0)="Yes",$E55&gt;=VLOOKUP($D55,Merchantability!$B:$D,3,0),$E55&lt;=VLOOKUP($D55,Merchantability!$B:$E,4,0)),AB55,0)</f>
        <v>#N/A</v>
      </c>
      <c r="AH55" s="104" t="e">
        <f>IF(AND(VLOOKUP($D55,Merchantability!$B:$C,2,0)="Yes",$E55&gt;=VLOOKUP($D55,Merchantability!$B:$D,3,0),$E55&lt;=VLOOKUP($D55,Merchantability!$B:$E,4,0)),AC55,0)</f>
        <v>#N/A</v>
      </c>
      <c r="AI55" s="104" t="e">
        <f t="shared" si="12"/>
        <v>#N/A</v>
      </c>
      <c r="AJ55" s="104" t="e">
        <f t="shared" si="13"/>
        <v>#VALUE!</v>
      </c>
      <c r="AK55" s="104" t="e">
        <f t="shared" si="14"/>
        <v>#N/A</v>
      </c>
      <c r="AL55" s="104" t="e">
        <f t="shared" si="15"/>
        <v>#N/A</v>
      </c>
      <c r="AM55" s="104" t="e">
        <f t="shared" si="16"/>
        <v>#N/A</v>
      </c>
      <c r="AN55" s="104" t="e">
        <f t="shared" si="17"/>
        <v>#N/A</v>
      </c>
      <c r="AO55" s="104" t="e">
        <f t="shared" si="18"/>
        <v>#N/A</v>
      </c>
      <c r="AP55" s="104" t="e">
        <f t="shared" si="19"/>
        <v>#N/A</v>
      </c>
      <c r="AQ55" s="104" t="e">
        <f t="shared" si="20"/>
        <v>#N/A</v>
      </c>
      <c r="AR55" s="105" t="str">
        <f t="shared" si="21"/>
        <v/>
      </c>
      <c r="AS55" s="105" t="str">
        <f t="shared" si="22"/>
        <v/>
      </c>
      <c r="AT55" s="108" t="str">
        <f t="shared" si="23"/>
        <v/>
      </c>
      <c r="AU55" s="108" t="str">
        <f t="shared" si="24"/>
        <v/>
      </c>
      <c r="AV55" s="107" t="str">
        <f>IF(ISNUMBER(O55),IF(VLOOKUP($A55,Stand!C:J,8,FALSE)="Short",AT55,AU55),"")</f>
        <v/>
      </c>
      <c r="AW55" s="109" t="str">
        <f t="shared" si="25"/>
        <v/>
      </c>
      <c r="AX55" s="109" t="str">
        <f t="shared" si="26"/>
        <v/>
      </c>
      <c r="AY55" s="112" t="str">
        <f>IF(ISNUMBER(O55),IF(AND(VLOOKUP($D55,Merchantability!$B:$C,2,0)="Yes",$E55&gt;=VLOOKUP($D55,Merchantability!$B:$D,3,0),$E55&lt;=VLOOKUP($D55,Merchantability!$B:$E,4,0)),(AV55*O55)*(1-$H55/100),""),"")</f>
        <v/>
      </c>
      <c r="AZ55" s="116"/>
      <c r="BA55" s="116"/>
      <c r="BB55" s="116"/>
      <c r="BE55" s="62"/>
      <c r="BF55" s="63"/>
    </row>
    <row r="56" spans="1:58" ht="12.75" customHeight="1" x14ac:dyDescent="0.25">
      <c r="A56" s="313"/>
      <c r="B56" s="328"/>
      <c r="C56" s="329"/>
      <c r="D56" s="328"/>
      <c r="E56" s="330"/>
      <c r="F56" s="331"/>
      <c r="G56" s="329"/>
      <c r="H56" s="329"/>
      <c r="I56" s="328"/>
      <c r="J56" s="329"/>
      <c r="K56" s="329"/>
      <c r="L56" s="329"/>
      <c r="M56" s="76"/>
      <c r="N56" s="103" t="str">
        <f>IF(A56="","",VLOOKUP(A56,Stand!C:K,9,0))</f>
        <v/>
      </c>
      <c r="O56" s="104" t="str">
        <f t="shared" si="0"/>
        <v/>
      </c>
      <c r="P56" s="105" t="str">
        <f t="shared" si="1"/>
        <v/>
      </c>
      <c r="Q56" s="105" t="str">
        <f t="shared" si="2"/>
        <v/>
      </c>
      <c r="R56" s="103" t="str">
        <f t="shared" si="3"/>
        <v/>
      </c>
      <c r="S56" s="103" t="str">
        <f t="shared" si="4"/>
        <v/>
      </c>
      <c r="T56" s="106" t="str">
        <f t="shared" si="5"/>
        <v/>
      </c>
      <c r="U56" s="106" t="str">
        <f t="shared" si="6"/>
        <v/>
      </c>
      <c r="V56" s="106" t="str">
        <f t="shared" si="7"/>
        <v/>
      </c>
      <c r="W56" s="105" t="str">
        <f t="shared" si="8"/>
        <v/>
      </c>
      <c r="X56" s="104" t="str">
        <f t="shared" si="9"/>
        <v/>
      </c>
      <c r="Y56" s="104" t="str">
        <f t="array" ref="Y56">IFERROR(IF(ISNUMBER(O56),IF(COUNT(IF(A56=$A$2:$A$2427,IF(D56=$D$2:$D$2427,IF($X$2:$X$2427&gt;0,1))))&gt;0,SUM(IF(A56=$A$2:$A$2427,IF(D56=$D$2:$D$2427,$X$2:$X$2427)))/COUNT(IF(A56=$A$2:$A$2427,IF(D56=$D$2:$D$2427,IF(ISNUMBER($X$2:$X$2427),1)))),0),""),0)</f>
        <v/>
      </c>
      <c r="Z56" s="104" t="str">
        <f>IF(ISNUMBER(O56),IF(I56&gt;0,(10^(VLOOKUP(D56,'Species Codes'!B:C,2,0)+VLOOKUP(D56,'Species Codes'!B:D,3,0)*LOG(E56)+VLOOKUP(D56,'Species Codes'!B:E,4,0)*LOG(I56))),0),"")</f>
        <v/>
      </c>
      <c r="AA56" s="104" t="str">
        <f>IFERROR((VLOOKUP(D56,'Species Codes'!B:G,6,0)*Z56)/2000,"")</f>
        <v/>
      </c>
      <c r="AB56" s="104" t="e">
        <f>IF(Z56&gt;0,((IF(OR(D56="DF",D56="RA")=TRUE,EXP(VLOOKUP(D56,'Species Codes'!B:I,8,0)+VLOOKUP(D56,'Species Codes'!B:J,9,0)*(LN((E56*2.54)))),IF(OR(D56="PY",D56="RC",D56="WH",D56="NF")=TRUE,VLOOKUP(D56,'Species Codes'!B:I,8,0)+VLOOKUP(D56,'Species Codes'!B:J,9,0)*((E56*2.54)^2)*(I56*0.3048),IF(OR(D56="MD",D56="BM",D56="GA")=TRUE,((VLOOKUP(D56,'Species Codes'!B:I,8,0)*(((((E56*2.54)+VLOOKUP(D56,'Species Codes'!B:J,9,0))/VLOOKUP(D56,'Species Codes'!B:K,10,0))^VLOOKUP(D56,'Species Codes'!B:L,11,0))*((I56*0.3048)^VLOOKUP(D56,'Species Codes'!B:M,12,0))))-(VLOOKUP(D56,'Species Codes'!B:I,8,0)*((((E56*2.54)^VLOOKUP(D56,'Species Codes'!B:L,11,0))*((I56*0.3048)^VLOOKUP(D56,'Species Codes'!B:M,12,0))))))*35.3*VLOOKUP(D56,'Species Codes'!B:G,6,0)/2.2046,VLOOKUP(D56,'Species Codes'!B:I,8,0)+VLOOKUP(D56,'Species Codes'!B:J,9,0)*(((E56*2.54)/100)^2)*(I56*0.3048)))))*0.0011023),0)</f>
        <v>#N/A</v>
      </c>
      <c r="AC56" s="104" t="e">
        <f>IF(Z56&gt;0,((IF(OR(D56="RA",D56="OA",D56="OT",D56="UN",D56="PC"),EXP(VLOOKUP(D56,'Species Codes'!B:O,14,0)+VLOOKUP(D56,'Species Codes'!B:P,15,0)*LN((E56*2.54)))-EXP(VLOOKUP(D56,'Species Codes'!B:O,14,0)+VLOOKUP(D56,'Species Codes'!B:P,15,0)*LN((E56*2.54)))*(1/(VLOOKUP(D56,'Species Codes'!B:Q,16,0)+VLOOKUP(D56,'Species Codes'!B:R,17,0)*((E56*2.54)^VLOOKUP(D56,'Species Codes'!B:S,18,0)))),IF(OR(D56="BM",D56="MD",D56="OA"),EXP(VLOOKUP(D56,'Species Codes'!B:O,14,0)+VLOOKUP(D56,'Species Codes'!B:P,15,0)*LN((E56*2.54)))*(1-(1/(VLOOKUP(D56,'Species Codes'!B:Q,16,0)+VLOOKUP(D56,'Species Codes'!B:R,17,0)*((E56*2.54)^VLOOKUP(D56,'Species Codes'!B:S,18,0)))))/1000,IF(D56="DF",EXP(VLOOKUP(D56,'Species Codes'!B:O,14,0)+VLOOKUP(D56,'Species Codes'!B:P,15,0)*LN((E56*2.54))),VLOOKUP(D56,'Species Codes'!B:O,14,0)+VLOOKUP(D56,'Species Codes'!B:P,15,0)*(((E56*2.54)/100)^2)*(I56*0.3048)))))*0.0011023),0)</f>
        <v>#N/A</v>
      </c>
      <c r="AD56" s="104" t="e">
        <f t="shared" si="10"/>
        <v>#N/A</v>
      </c>
      <c r="AE56" s="104" t="e">
        <f t="shared" si="11"/>
        <v>#N/A</v>
      </c>
      <c r="AF56" s="104" t="e">
        <f>IF(AND(VLOOKUP($D56,Merchantability!$B:$C,2,0)="Yes",$E56&gt;=VLOOKUP($D56,Merchantability!$B:$D,3,0),$E56&lt;=VLOOKUP($D56,Merchantability!$B:$E,4,0)),AA56,0)</f>
        <v>#N/A</v>
      </c>
      <c r="AG56" s="104" t="e">
        <f>IF(AND(VLOOKUP($D56,Merchantability!$B:$C,2,0)="Yes",$E56&gt;=VLOOKUP($D56,Merchantability!$B:$D,3,0),$E56&lt;=VLOOKUP($D56,Merchantability!$B:$E,4,0)),AB56,0)</f>
        <v>#N/A</v>
      </c>
      <c r="AH56" s="104" t="e">
        <f>IF(AND(VLOOKUP($D56,Merchantability!$B:$C,2,0)="Yes",$E56&gt;=VLOOKUP($D56,Merchantability!$B:$D,3,0),$E56&lt;=VLOOKUP($D56,Merchantability!$B:$E,4,0)),AC56,0)</f>
        <v>#N/A</v>
      </c>
      <c r="AI56" s="104" t="e">
        <f t="shared" si="12"/>
        <v>#N/A</v>
      </c>
      <c r="AJ56" s="104" t="e">
        <f t="shared" si="13"/>
        <v>#VALUE!</v>
      </c>
      <c r="AK56" s="104" t="e">
        <f t="shared" si="14"/>
        <v>#N/A</v>
      </c>
      <c r="AL56" s="104" t="e">
        <f t="shared" si="15"/>
        <v>#N/A</v>
      </c>
      <c r="AM56" s="104" t="e">
        <f t="shared" si="16"/>
        <v>#N/A</v>
      </c>
      <c r="AN56" s="104" t="e">
        <f t="shared" si="17"/>
        <v>#N/A</v>
      </c>
      <c r="AO56" s="104" t="e">
        <f t="shared" si="18"/>
        <v>#N/A</v>
      </c>
      <c r="AP56" s="104" t="e">
        <f t="shared" si="19"/>
        <v>#N/A</v>
      </c>
      <c r="AQ56" s="104" t="e">
        <f t="shared" si="20"/>
        <v>#N/A</v>
      </c>
      <c r="AR56" s="105" t="str">
        <f t="shared" si="21"/>
        <v/>
      </c>
      <c r="AS56" s="105" t="str">
        <f t="shared" si="22"/>
        <v/>
      </c>
      <c r="AT56" s="108" t="str">
        <f t="shared" si="23"/>
        <v/>
      </c>
      <c r="AU56" s="108" t="str">
        <f t="shared" si="24"/>
        <v/>
      </c>
      <c r="AV56" s="107" t="str">
        <f>IF(ISNUMBER(O56),IF(VLOOKUP($A56,Stand!C:J,8,FALSE)="Short",AT56,AU56),"")</f>
        <v/>
      </c>
      <c r="AW56" s="109" t="str">
        <f t="shared" si="25"/>
        <v/>
      </c>
      <c r="AX56" s="109" t="str">
        <f t="shared" si="26"/>
        <v/>
      </c>
      <c r="AY56" s="112" t="str">
        <f>IF(ISNUMBER(O56),IF(AND(VLOOKUP($D56,Merchantability!$B:$C,2,0)="Yes",$E56&gt;=VLOOKUP($D56,Merchantability!$B:$D,3,0),$E56&lt;=VLOOKUP($D56,Merchantability!$B:$E,4,0)),(AV56*O56)*(1-$H56/100),""),"")</f>
        <v/>
      </c>
      <c r="AZ56" s="115"/>
      <c r="BA56" s="61"/>
      <c r="BB56" s="61"/>
      <c r="BC56" s="61"/>
      <c r="BE56" s="61"/>
      <c r="BF56" s="63"/>
    </row>
    <row r="57" spans="1:58" ht="12.75" customHeight="1" x14ac:dyDescent="0.25">
      <c r="A57" s="313"/>
      <c r="B57" s="328"/>
      <c r="C57" s="329"/>
      <c r="D57" s="328"/>
      <c r="E57" s="330"/>
      <c r="F57" s="331"/>
      <c r="G57" s="329"/>
      <c r="H57" s="329"/>
      <c r="I57" s="328"/>
      <c r="J57" s="329"/>
      <c r="K57" s="329"/>
      <c r="L57" s="329"/>
      <c r="M57" s="76"/>
      <c r="N57" s="103" t="str">
        <f>IF(A57="","",VLOOKUP(A57,Stand!C:K,9,0))</f>
        <v/>
      </c>
      <c r="O57" s="104" t="str">
        <f t="shared" si="0"/>
        <v/>
      </c>
      <c r="P57" s="105" t="str">
        <f t="shared" si="1"/>
        <v/>
      </c>
      <c r="Q57" s="105" t="str">
        <f t="shared" si="2"/>
        <v/>
      </c>
      <c r="R57" s="103" t="str">
        <f t="shared" si="3"/>
        <v/>
      </c>
      <c r="S57" s="103" t="str">
        <f t="shared" si="4"/>
        <v/>
      </c>
      <c r="T57" s="106" t="str">
        <f t="shared" si="5"/>
        <v/>
      </c>
      <c r="U57" s="106" t="str">
        <f t="shared" si="6"/>
        <v/>
      </c>
      <c r="V57" s="106" t="str">
        <f t="shared" si="7"/>
        <v/>
      </c>
      <c r="W57" s="105" t="str">
        <f t="shared" si="8"/>
        <v/>
      </c>
      <c r="X57" s="104" t="str">
        <f t="shared" si="9"/>
        <v/>
      </c>
      <c r="Y57" s="104" t="str">
        <f t="array" ref="Y57">IFERROR(IF(ISNUMBER(O57),IF(COUNT(IF(A57=$A$2:$A$2427,IF(D57=$D$2:$D$2427,IF($X$2:$X$2427&gt;0,1))))&gt;0,SUM(IF(A57=$A$2:$A$2427,IF(D57=$D$2:$D$2427,$X$2:$X$2427)))/COUNT(IF(A57=$A$2:$A$2427,IF(D57=$D$2:$D$2427,IF(ISNUMBER($X$2:$X$2427),1)))),0),""),0)</f>
        <v/>
      </c>
      <c r="Z57" s="104" t="str">
        <f>IF(ISNUMBER(O57),IF(I57&gt;0,(10^(VLOOKUP(D57,'Species Codes'!B:C,2,0)+VLOOKUP(D57,'Species Codes'!B:D,3,0)*LOG(E57)+VLOOKUP(D57,'Species Codes'!B:E,4,0)*LOG(I57))),0),"")</f>
        <v/>
      </c>
      <c r="AA57" s="104" t="str">
        <f>IFERROR((VLOOKUP(D57,'Species Codes'!B:G,6,0)*Z57)/2000,"")</f>
        <v/>
      </c>
      <c r="AB57" s="104" t="e">
        <f>IF(Z57&gt;0,((IF(OR(D57="DF",D57="RA")=TRUE,EXP(VLOOKUP(D57,'Species Codes'!B:I,8,0)+VLOOKUP(D57,'Species Codes'!B:J,9,0)*(LN((E57*2.54)))),IF(OR(D57="PY",D57="RC",D57="WH",D57="NF")=TRUE,VLOOKUP(D57,'Species Codes'!B:I,8,0)+VLOOKUP(D57,'Species Codes'!B:J,9,0)*((E57*2.54)^2)*(I57*0.3048),IF(OR(D57="MD",D57="BM",D57="GA")=TRUE,((VLOOKUP(D57,'Species Codes'!B:I,8,0)*(((((E57*2.54)+VLOOKUP(D57,'Species Codes'!B:J,9,0))/VLOOKUP(D57,'Species Codes'!B:K,10,0))^VLOOKUP(D57,'Species Codes'!B:L,11,0))*((I57*0.3048)^VLOOKUP(D57,'Species Codes'!B:M,12,0))))-(VLOOKUP(D57,'Species Codes'!B:I,8,0)*((((E57*2.54)^VLOOKUP(D57,'Species Codes'!B:L,11,0))*((I57*0.3048)^VLOOKUP(D57,'Species Codes'!B:M,12,0))))))*35.3*VLOOKUP(D57,'Species Codes'!B:G,6,0)/2.2046,VLOOKUP(D57,'Species Codes'!B:I,8,0)+VLOOKUP(D57,'Species Codes'!B:J,9,0)*(((E57*2.54)/100)^2)*(I57*0.3048)))))*0.0011023),0)</f>
        <v>#N/A</v>
      </c>
      <c r="AC57" s="104" t="e">
        <f>IF(Z57&gt;0,((IF(OR(D57="RA",D57="OA",D57="OT",D57="UN",D57="PC"),EXP(VLOOKUP(D57,'Species Codes'!B:O,14,0)+VLOOKUP(D57,'Species Codes'!B:P,15,0)*LN((E57*2.54)))-EXP(VLOOKUP(D57,'Species Codes'!B:O,14,0)+VLOOKUP(D57,'Species Codes'!B:P,15,0)*LN((E57*2.54)))*(1/(VLOOKUP(D57,'Species Codes'!B:Q,16,0)+VLOOKUP(D57,'Species Codes'!B:R,17,0)*((E57*2.54)^VLOOKUP(D57,'Species Codes'!B:S,18,0)))),IF(OR(D57="BM",D57="MD",D57="OA"),EXP(VLOOKUP(D57,'Species Codes'!B:O,14,0)+VLOOKUP(D57,'Species Codes'!B:P,15,0)*LN((E57*2.54)))*(1-(1/(VLOOKUP(D57,'Species Codes'!B:Q,16,0)+VLOOKUP(D57,'Species Codes'!B:R,17,0)*((E57*2.54)^VLOOKUP(D57,'Species Codes'!B:S,18,0)))))/1000,IF(D57="DF",EXP(VLOOKUP(D57,'Species Codes'!B:O,14,0)+VLOOKUP(D57,'Species Codes'!B:P,15,0)*LN((E57*2.54))),VLOOKUP(D57,'Species Codes'!B:O,14,0)+VLOOKUP(D57,'Species Codes'!B:P,15,0)*(((E57*2.54)/100)^2)*(I57*0.3048)))))*0.0011023),0)</f>
        <v>#N/A</v>
      </c>
      <c r="AD57" s="104" t="e">
        <f t="shared" si="10"/>
        <v>#N/A</v>
      </c>
      <c r="AE57" s="104" t="e">
        <f t="shared" si="11"/>
        <v>#N/A</v>
      </c>
      <c r="AF57" s="104" t="e">
        <f>IF(AND(VLOOKUP($D57,Merchantability!$B:$C,2,0)="Yes",$E57&gt;=VLOOKUP($D57,Merchantability!$B:$D,3,0),$E57&lt;=VLOOKUP($D57,Merchantability!$B:$E,4,0)),AA57,0)</f>
        <v>#N/A</v>
      </c>
      <c r="AG57" s="104" t="e">
        <f>IF(AND(VLOOKUP($D57,Merchantability!$B:$C,2,0)="Yes",$E57&gt;=VLOOKUP($D57,Merchantability!$B:$D,3,0),$E57&lt;=VLOOKUP($D57,Merchantability!$B:$E,4,0)),AB57,0)</f>
        <v>#N/A</v>
      </c>
      <c r="AH57" s="104" t="e">
        <f>IF(AND(VLOOKUP($D57,Merchantability!$B:$C,2,0)="Yes",$E57&gt;=VLOOKUP($D57,Merchantability!$B:$D,3,0),$E57&lt;=VLOOKUP($D57,Merchantability!$B:$E,4,0)),AC57,0)</f>
        <v>#N/A</v>
      </c>
      <c r="AI57" s="104" t="e">
        <f t="shared" si="12"/>
        <v>#N/A</v>
      </c>
      <c r="AJ57" s="104" t="e">
        <f t="shared" si="13"/>
        <v>#VALUE!</v>
      </c>
      <c r="AK57" s="104" t="e">
        <f t="shared" si="14"/>
        <v>#N/A</v>
      </c>
      <c r="AL57" s="104" t="e">
        <f t="shared" si="15"/>
        <v>#N/A</v>
      </c>
      <c r="AM57" s="104" t="e">
        <f t="shared" si="16"/>
        <v>#N/A</v>
      </c>
      <c r="AN57" s="104" t="e">
        <f t="shared" si="17"/>
        <v>#N/A</v>
      </c>
      <c r="AO57" s="104" t="e">
        <f t="shared" si="18"/>
        <v>#N/A</v>
      </c>
      <c r="AP57" s="104" t="e">
        <f t="shared" si="19"/>
        <v>#N/A</v>
      </c>
      <c r="AQ57" s="104" t="e">
        <f t="shared" si="20"/>
        <v>#N/A</v>
      </c>
      <c r="AR57" s="105" t="str">
        <f t="shared" si="21"/>
        <v/>
      </c>
      <c r="AS57" s="105" t="str">
        <f t="shared" si="22"/>
        <v/>
      </c>
      <c r="AT57" s="108" t="str">
        <f t="shared" si="23"/>
        <v/>
      </c>
      <c r="AU57" s="108" t="str">
        <f t="shared" si="24"/>
        <v/>
      </c>
      <c r="AV57" s="107" t="str">
        <f>IF(ISNUMBER(O57),IF(VLOOKUP($A57,Stand!C:J,8,FALSE)="Short",AT57,AU57),"")</f>
        <v/>
      </c>
      <c r="AW57" s="109" t="str">
        <f t="shared" si="25"/>
        <v/>
      </c>
      <c r="AX57" s="109" t="str">
        <f t="shared" si="26"/>
        <v/>
      </c>
      <c r="AY57" s="112" t="str">
        <f>IF(ISNUMBER(O57),IF(AND(VLOOKUP($D57,Merchantability!$B:$C,2,0)="Yes",$E57&gt;=VLOOKUP($D57,Merchantability!$B:$D,3,0),$E57&lt;=VLOOKUP($D57,Merchantability!$B:$E,4,0)),(AV57*O57)*(1-$H57/100),""),"")</f>
        <v/>
      </c>
      <c r="AZ57" s="115"/>
      <c r="BA57" s="116"/>
      <c r="BB57" s="116"/>
      <c r="BE57" s="62"/>
      <c r="BF57" s="63"/>
    </row>
    <row r="58" spans="1:58" ht="12.75" customHeight="1" x14ac:dyDescent="0.25">
      <c r="A58" s="313"/>
      <c r="B58" s="328"/>
      <c r="C58" s="329"/>
      <c r="D58" s="328"/>
      <c r="E58" s="330"/>
      <c r="F58" s="331"/>
      <c r="G58" s="329"/>
      <c r="H58" s="329"/>
      <c r="I58" s="328"/>
      <c r="J58" s="329"/>
      <c r="K58" s="329"/>
      <c r="L58" s="329"/>
      <c r="M58" s="76"/>
      <c r="N58" s="103" t="str">
        <f>IF(A58="","",VLOOKUP(A58,Stand!C:K,9,0))</f>
        <v/>
      </c>
      <c r="O58" s="104" t="str">
        <f t="shared" si="0"/>
        <v/>
      </c>
      <c r="P58" s="105" t="str">
        <f t="shared" si="1"/>
        <v/>
      </c>
      <c r="Q58" s="105" t="str">
        <f t="shared" si="2"/>
        <v/>
      </c>
      <c r="R58" s="103" t="str">
        <f t="shared" si="3"/>
        <v/>
      </c>
      <c r="S58" s="103" t="str">
        <f t="shared" si="4"/>
        <v/>
      </c>
      <c r="T58" s="106" t="str">
        <f t="shared" si="5"/>
        <v/>
      </c>
      <c r="U58" s="106" t="str">
        <f t="shared" si="6"/>
        <v/>
      </c>
      <c r="V58" s="106" t="str">
        <f t="shared" si="7"/>
        <v/>
      </c>
      <c r="W58" s="105" t="str">
        <f t="shared" si="8"/>
        <v/>
      </c>
      <c r="X58" s="104" t="str">
        <f t="shared" si="9"/>
        <v/>
      </c>
      <c r="Y58" s="104" t="str">
        <f t="array" ref="Y58">IFERROR(IF(ISNUMBER(O58),IF(COUNT(IF(A58=$A$2:$A$2427,IF(D58=$D$2:$D$2427,IF($X$2:$X$2427&gt;0,1))))&gt;0,SUM(IF(A58=$A$2:$A$2427,IF(D58=$D$2:$D$2427,$X$2:$X$2427)))/COUNT(IF(A58=$A$2:$A$2427,IF(D58=$D$2:$D$2427,IF(ISNUMBER($X$2:$X$2427),1)))),0),""),0)</f>
        <v/>
      </c>
      <c r="Z58" s="104" t="str">
        <f>IF(ISNUMBER(O58),IF(I58&gt;0,(10^(VLOOKUP(D58,'Species Codes'!B:C,2,0)+VLOOKUP(D58,'Species Codes'!B:D,3,0)*LOG(E58)+VLOOKUP(D58,'Species Codes'!B:E,4,0)*LOG(I58))),0),"")</f>
        <v/>
      </c>
      <c r="AA58" s="104" t="str">
        <f>IFERROR((VLOOKUP(D58,'Species Codes'!B:G,6,0)*Z58)/2000,"")</f>
        <v/>
      </c>
      <c r="AB58" s="104" t="e">
        <f>IF(Z58&gt;0,((IF(OR(D58="DF",D58="RA")=TRUE,EXP(VLOOKUP(D58,'Species Codes'!B:I,8,0)+VLOOKUP(D58,'Species Codes'!B:J,9,0)*(LN((E58*2.54)))),IF(OR(D58="PY",D58="RC",D58="WH",D58="NF")=TRUE,VLOOKUP(D58,'Species Codes'!B:I,8,0)+VLOOKUP(D58,'Species Codes'!B:J,9,0)*((E58*2.54)^2)*(I58*0.3048),IF(OR(D58="MD",D58="BM",D58="GA")=TRUE,((VLOOKUP(D58,'Species Codes'!B:I,8,0)*(((((E58*2.54)+VLOOKUP(D58,'Species Codes'!B:J,9,0))/VLOOKUP(D58,'Species Codes'!B:K,10,0))^VLOOKUP(D58,'Species Codes'!B:L,11,0))*((I58*0.3048)^VLOOKUP(D58,'Species Codes'!B:M,12,0))))-(VLOOKUP(D58,'Species Codes'!B:I,8,0)*((((E58*2.54)^VLOOKUP(D58,'Species Codes'!B:L,11,0))*((I58*0.3048)^VLOOKUP(D58,'Species Codes'!B:M,12,0))))))*35.3*VLOOKUP(D58,'Species Codes'!B:G,6,0)/2.2046,VLOOKUP(D58,'Species Codes'!B:I,8,0)+VLOOKUP(D58,'Species Codes'!B:J,9,0)*(((E58*2.54)/100)^2)*(I58*0.3048)))))*0.0011023),0)</f>
        <v>#N/A</v>
      </c>
      <c r="AC58" s="104" t="e">
        <f>IF(Z58&gt;0,((IF(OR(D58="RA",D58="OA",D58="OT",D58="UN",D58="PC"),EXP(VLOOKUP(D58,'Species Codes'!B:O,14,0)+VLOOKUP(D58,'Species Codes'!B:P,15,0)*LN((E58*2.54)))-EXP(VLOOKUP(D58,'Species Codes'!B:O,14,0)+VLOOKUP(D58,'Species Codes'!B:P,15,0)*LN((E58*2.54)))*(1/(VLOOKUP(D58,'Species Codes'!B:Q,16,0)+VLOOKUP(D58,'Species Codes'!B:R,17,0)*((E58*2.54)^VLOOKUP(D58,'Species Codes'!B:S,18,0)))),IF(OR(D58="BM",D58="MD",D58="OA"),EXP(VLOOKUP(D58,'Species Codes'!B:O,14,0)+VLOOKUP(D58,'Species Codes'!B:P,15,0)*LN((E58*2.54)))*(1-(1/(VLOOKUP(D58,'Species Codes'!B:Q,16,0)+VLOOKUP(D58,'Species Codes'!B:R,17,0)*((E58*2.54)^VLOOKUP(D58,'Species Codes'!B:S,18,0)))))/1000,IF(D58="DF",EXP(VLOOKUP(D58,'Species Codes'!B:O,14,0)+VLOOKUP(D58,'Species Codes'!B:P,15,0)*LN((E58*2.54))),VLOOKUP(D58,'Species Codes'!B:O,14,0)+VLOOKUP(D58,'Species Codes'!B:P,15,0)*(((E58*2.54)/100)^2)*(I58*0.3048)))))*0.0011023),0)</f>
        <v>#N/A</v>
      </c>
      <c r="AD58" s="104" t="e">
        <f t="shared" si="10"/>
        <v>#N/A</v>
      </c>
      <c r="AE58" s="104" t="e">
        <f t="shared" si="11"/>
        <v>#N/A</v>
      </c>
      <c r="AF58" s="104" t="e">
        <f>IF(AND(VLOOKUP($D58,Merchantability!$B:$C,2,0)="Yes",$E58&gt;=VLOOKUP($D58,Merchantability!$B:$D,3,0),$E58&lt;=VLOOKUP($D58,Merchantability!$B:$E,4,0)),AA58,0)</f>
        <v>#N/A</v>
      </c>
      <c r="AG58" s="104" t="e">
        <f>IF(AND(VLOOKUP($D58,Merchantability!$B:$C,2,0)="Yes",$E58&gt;=VLOOKUP($D58,Merchantability!$B:$D,3,0),$E58&lt;=VLOOKUP($D58,Merchantability!$B:$E,4,0)),AB58,0)</f>
        <v>#N/A</v>
      </c>
      <c r="AH58" s="104" t="e">
        <f>IF(AND(VLOOKUP($D58,Merchantability!$B:$C,2,0)="Yes",$E58&gt;=VLOOKUP($D58,Merchantability!$B:$D,3,0),$E58&lt;=VLOOKUP($D58,Merchantability!$B:$E,4,0)),AC58,0)</f>
        <v>#N/A</v>
      </c>
      <c r="AI58" s="104" t="e">
        <f t="shared" si="12"/>
        <v>#N/A</v>
      </c>
      <c r="AJ58" s="104" t="e">
        <f t="shared" si="13"/>
        <v>#VALUE!</v>
      </c>
      <c r="AK58" s="104" t="e">
        <f t="shared" si="14"/>
        <v>#N/A</v>
      </c>
      <c r="AL58" s="104" t="e">
        <f t="shared" si="15"/>
        <v>#N/A</v>
      </c>
      <c r="AM58" s="104" t="e">
        <f t="shared" si="16"/>
        <v>#N/A</v>
      </c>
      <c r="AN58" s="104" t="e">
        <f t="shared" si="17"/>
        <v>#N/A</v>
      </c>
      <c r="AO58" s="104" t="e">
        <f t="shared" si="18"/>
        <v>#N/A</v>
      </c>
      <c r="AP58" s="104" t="e">
        <f t="shared" si="19"/>
        <v>#N/A</v>
      </c>
      <c r="AQ58" s="104" t="e">
        <f t="shared" si="20"/>
        <v>#N/A</v>
      </c>
      <c r="AR58" s="105" t="str">
        <f t="shared" si="21"/>
        <v/>
      </c>
      <c r="AS58" s="105" t="str">
        <f t="shared" si="22"/>
        <v/>
      </c>
      <c r="AT58" s="108" t="str">
        <f t="shared" si="23"/>
        <v/>
      </c>
      <c r="AU58" s="108" t="str">
        <f t="shared" si="24"/>
        <v/>
      </c>
      <c r="AV58" s="107" t="str">
        <f>IF(ISNUMBER(O58),IF(VLOOKUP($A58,Stand!C:J,8,FALSE)="Short",AT58,AU58),"")</f>
        <v/>
      </c>
      <c r="AW58" s="109" t="str">
        <f t="shared" si="25"/>
        <v/>
      </c>
      <c r="AX58" s="109" t="str">
        <f t="shared" si="26"/>
        <v/>
      </c>
      <c r="AY58" s="112" t="str">
        <f>IF(ISNUMBER(O58),IF(AND(VLOOKUP($D58,Merchantability!$B:$C,2,0)="Yes",$E58&gt;=VLOOKUP($D58,Merchantability!$B:$D,3,0),$E58&lt;=VLOOKUP($D58,Merchantability!$B:$E,4,0)),(AV58*O58)*(1-$H58/100),""),"")</f>
        <v/>
      </c>
      <c r="AZ58" s="115"/>
      <c r="BA58" s="116"/>
      <c r="BB58" s="116"/>
      <c r="BE58" s="62"/>
      <c r="BF58" s="63"/>
    </row>
    <row r="59" spans="1:58" ht="12.75" customHeight="1" x14ac:dyDescent="0.25">
      <c r="A59" s="313"/>
      <c r="B59" s="328"/>
      <c r="C59" s="329"/>
      <c r="D59" s="328"/>
      <c r="E59" s="330"/>
      <c r="F59" s="331"/>
      <c r="G59" s="329"/>
      <c r="H59" s="329"/>
      <c r="I59" s="328"/>
      <c r="J59" s="329"/>
      <c r="K59" s="329"/>
      <c r="L59" s="329"/>
      <c r="M59" s="76"/>
      <c r="N59" s="103" t="str">
        <f>IF(A59="","",VLOOKUP(A59,Stand!C:K,9,0))</f>
        <v/>
      </c>
      <c r="O59" s="104" t="str">
        <f t="shared" si="0"/>
        <v/>
      </c>
      <c r="P59" s="105" t="str">
        <f t="shared" si="1"/>
        <v/>
      </c>
      <c r="Q59" s="105" t="str">
        <f t="shared" si="2"/>
        <v/>
      </c>
      <c r="R59" s="103" t="str">
        <f t="shared" si="3"/>
        <v/>
      </c>
      <c r="S59" s="103" t="str">
        <f t="shared" si="4"/>
        <v/>
      </c>
      <c r="T59" s="106" t="str">
        <f t="shared" si="5"/>
        <v/>
      </c>
      <c r="U59" s="106" t="str">
        <f t="shared" si="6"/>
        <v/>
      </c>
      <c r="V59" s="106" t="str">
        <f t="shared" si="7"/>
        <v/>
      </c>
      <c r="W59" s="105" t="str">
        <f t="shared" si="8"/>
        <v/>
      </c>
      <c r="X59" s="104" t="str">
        <f t="shared" si="9"/>
        <v/>
      </c>
      <c r="Y59" s="104" t="str">
        <f t="array" ref="Y59">IFERROR(IF(ISNUMBER(O59),IF(COUNT(IF(A59=$A$2:$A$2427,IF(D59=$D$2:$D$2427,IF($X$2:$X$2427&gt;0,1))))&gt;0,SUM(IF(A59=$A$2:$A$2427,IF(D59=$D$2:$D$2427,$X$2:$X$2427)))/COUNT(IF(A59=$A$2:$A$2427,IF(D59=$D$2:$D$2427,IF(ISNUMBER($X$2:$X$2427),1)))),0),""),0)</f>
        <v/>
      </c>
      <c r="Z59" s="104" t="str">
        <f>IF(ISNUMBER(O59),IF(I59&gt;0,(10^(VLOOKUP(D59,'Species Codes'!B:C,2,0)+VLOOKUP(D59,'Species Codes'!B:D,3,0)*LOG(E59)+VLOOKUP(D59,'Species Codes'!B:E,4,0)*LOG(I59))),0),"")</f>
        <v/>
      </c>
      <c r="AA59" s="104" t="str">
        <f>IFERROR((VLOOKUP(D59,'Species Codes'!B:G,6,0)*Z59)/2000,"")</f>
        <v/>
      </c>
      <c r="AB59" s="104" t="e">
        <f>IF(Z59&gt;0,((IF(OR(D59="DF",D59="RA")=TRUE,EXP(VLOOKUP(D59,'Species Codes'!B:I,8,0)+VLOOKUP(D59,'Species Codes'!B:J,9,0)*(LN((E59*2.54)))),IF(OR(D59="PY",D59="RC",D59="WH",D59="NF")=TRUE,VLOOKUP(D59,'Species Codes'!B:I,8,0)+VLOOKUP(D59,'Species Codes'!B:J,9,0)*((E59*2.54)^2)*(I59*0.3048),IF(OR(D59="MD",D59="BM",D59="GA")=TRUE,((VLOOKUP(D59,'Species Codes'!B:I,8,0)*(((((E59*2.54)+VLOOKUP(D59,'Species Codes'!B:J,9,0))/VLOOKUP(D59,'Species Codes'!B:K,10,0))^VLOOKUP(D59,'Species Codes'!B:L,11,0))*((I59*0.3048)^VLOOKUP(D59,'Species Codes'!B:M,12,0))))-(VLOOKUP(D59,'Species Codes'!B:I,8,0)*((((E59*2.54)^VLOOKUP(D59,'Species Codes'!B:L,11,0))*((I59*0.3048)^VLOOKUP(D59,'Species Codes'!B:M,12,0))))))*35.3*VLOOKUP(D59,'Species Codes'!B:G,6,0)/2.2046,VLOOKUP(D59,'Species Codes'!B:I,8,0)+VLOOKUP(D59,'Species Codes'!B:J,9,0)*(((E59*2.54)/100)^2)*(I59*0.3048)))))*0.0011023),0)</f>
        <v>#N/A</v>
      </c>
      <c r="AC59" s="104" t="e">
        <f>IF(Z59&gt;0,((IF(OR(D59="RA",D59="OA",D59="OT",D59="UN",D59="PC"),EXP(VLOOKUP(D59,'Species Codes'!B:O,14,0)+VLOOKUP(D59,'Species Codes'!B:P,15,0)*LN((E59*2.54)))-EXP(VLOOKUP(D59,'Species Codes'!B:O,14,0)+VLOOKUP(D59,'Species Codes'!B:P,15,0)*LN((E59*2.54)))*(1/(VLOOKUP(D59,'Species Codes'!B:Q,16,0)+VLOOKUP(D59,'Species Codes'!B:R,17,0)*((E59*2.54)^VLOOKUP(D59,'Species Codes'!B:S,18,0)))),IF(OR(D59="BM",D59="MD",D59="OA"),EXP(VLOOKUP(D59,'Species Codes'!B:O,14,0)+VLOOKUP(D59,'Species Codes'!B:P,15,0)*LN((E59*2.54)))*(1-(1/(VLOOKUP(D59,'Species Codes'!B:Q,16,0)+VLOOKUP(D59,'Species Codes'!B:R,17,0)*((E59*2.54)^VLOOKUP(D59,'Species Codes'!B:S,18,0)))))/1000,IF(D59="DF",EXP(VLOOKUP(D59,'Species Codes'!B:O,14,0)+VLOOKUP(D59,'Species Codes'!B:P,15,0)*LN((E59*2.54))),VLOOKUP(D59,'Species Codes'!B:O,14,0)+VLOOKUP(D59,'Species Codes'!B:P,15,0)*(((E59*2.54)/100)^2)*(I59*0.3048)))))*0.0011023),0)</f>
        <v>#N/A</v>
      </c>
      <c r="AD59" s="104" t="e">
        <f t="shared" si="10"/>
        <v>#N/A</v>
      </c>
      <c r="AE59" s="104" t="e">
        <f t="shared" si="11"/>
        <v>#N/A</v>
      </c>
      <c r="AF59" s="104" t="e">
        <f>IF(AND(VLOOKUP($D59,Merchantability!$B:$C,2,0)="Yes",$E59&gt;=VLOOKUP($D59,Merchantability!$B:$D,3,0),$E59&lt;=VLOOKUP($D59,Merchantability!$B:$E,4,0)),AA59,0)</f>
        <v>#N/A</v>
      </c>
      <c r="AG59" s="104" t="e">
        <f>IF(AND(VLOOKUP($D59,Merchantability!$B:$C,2,0)="Yes",$E59&gt;=VLOOKUP($D59,Merchantability!$B:$D,3,0),$E59&lt;=VLOOKUP($D59,Merchantability!$B:$E,4,0)),AB59,0)</f>
        <v>#N/A</v>
      </c>
      <c r="AH59" s="104" t="e">
        <f>IF(AND(VLOOKUP($D59,Merchantability!$B:$C,2,0)="Yes",$E59&gt;=VLOOKUP($D59,Merchantability!$B:$D,3,0),$E59&lt;=VLOOKUP($D59,Merchantability!$B:$E,4,0)),AC59,0)</f>
        <v>#N/A</v>
      </c>
      <c r="AI59" s="104" t="e">
        <f t="shared" si="12"/>
        <v>#N/A</v>
      </c>
      <c r="AJ59" s="104" t="e">
        <f t="shared" si="13"/>
        <v>#VALUE!</v>
      </c>
      <c r="AK59" s="104" t="e">
        <f t="shared" si="14"/>
        <v>#N/A</v>
      </c>
      <c r="AL59" s="104" t="e">
        <f t="shared" si="15"/>
        <v>#N/A</v>
      </c>
      <c r="AM59" s="104" t="e">
        <f t="shared" si="16"/>
        <v>#N/A</v>
      </c>
      <c r="AN59" s="104" t="e">
        <f t="shared" si="17"/>
        <v>#N/A</v>
      </c>
      <c r="AO59" s="104" t="e">
        <f t="shared" si="18"/>
        <v>#N/A</v>
      </c>
      <c r="AP59" s="104" t="e">
        <f t="shared" si="19"/>
        <v>#N/A</v>
      </c>
      <c r="AQ59" s="104" t="e">
        <f t="shared" si="20"/>
        <v>#N/A</v>
      </c>
      <c r="AR59" s="105" t="str">
        <f t="shared" si="21"/>
        <v/>
      </c>
      <c r="AS59" s="105" t="str">
        <f t="shared" si="22"/>
        <v/>
      </c>
      <c r="AT59" s="108" t="str">
        <f t="shared" si="23"/>
        <v/>
      </c>
      <c r="AU59" s="108" t="str">
        <f t="shared" si="24"/>
        <v/>
      </c>
      <c r="AV59" s="107" t="str">
        <f>IF(ISNUMBER(O59),IF(VLOOKUP($A59,Stand!C:J,8,FALSE)="Short",AT59,AU59),"")</f>
        <v/>
      </c>
      <c r="AW59" s="109" t="str">
        <f t="shared" si="25"/>
        <v/>
      </c>
      <c r="AX59" s="109" t="str">
        <f t="shared" si="26"/>
        <v/>
      </c>
      <c r="AY59" s="112" t="str">
        <f>IF(ISNUMBER(O59),IF(AND(VLOOKUP($D59,Merchantability!$B:$C,2,0)="Yes",$E59&gt;=VLOOKUP($D59,Merchantability!$B:$D,3,0),$E59&lt;=VLOOKUP($D59,Merchantability!$B:$E,4,0)),(AV59*O59)*(1-$H59/100),""),"")</f>
        <v/>
      </c>
      <c r="AZ59" s="115"/>
      <c r="BA59" s="116"/>
      <c r="BB59" s="116"/>
      <c r="BE59" s="62"/>
      <c r="BF59" s="63"/>
    </row>
    <row r="60" spans="1:58" ht="12.75" customHeight="1" x14ac:dyDescent="0.25">
      <c r="A60" s="313"/>
      <c r="B60" s="328"/>
      <c r="C60" s="329"/>
      <c r="D60" s="328"/>
      <c r="E60" s="330"/>
      <c r="F60" s="331"/>
      <c r="G60" s="329"/>
      <c r="H60" s="329"/>
      <c r="I60" s="328"/>
      <c r="J60" s="329"/>
      <c r="K60" s="329"/>
      <c r="L60" s="329"/>
      <c r="M60" s="76"/>
      <c r="N60" s="103" t="str">
        <f>IF(A60="","",VLOOKUP(A60,Stand!C:K,9,0))</f>
        <v/>
      </c>
      <c r="O60" s="104" t="str">
        <f t="shared" si="0"/>
        <v/>
      </c>
      <c r="P60" s="105" t="str">
        <f t="shared" si="1"/>
        <v/>
      </c>
      <c r="Q60" s="105" t="str">
        <f t="shared" si="2"/>
        <v/>
      </c>
      <c r="R60" s="103" t="str">
        <f t="shared" si="3"/>
        <v/>
      </c>
      <c r="S60" s="103" t="str">
        <f t="shared" si="4"/>
        <v/>
      </c>
      <c r="T60" s="106" t="str">
        <f t="shared" si="5"/>
        <v/>
      </c>
      <c r="U60" s="106" t="str">
        <f t="shared" si="6"/>
        <v/>
      </c>
      <c r="V60" s="106" t="str">
        <f t="shared" si="7"/>
        <v/>
      </c>
      <c r="W60" s="105" t="str">
        <f t="shared" si="8"/>
        <v/>
      </c>
      <c r="X60" s="104" t="str">
        <f t="shared" si="9"/>
        <v/>
      </c>
      <c r="Y60" s="104" t="str">
        <f t="array" ref="Y60">IFERROR(IF(ISNUMBER(O60),IF(COUNT(IF(A60=$A$2:$A$2427,IF(D60=$D$2:$D$2427,IF($X$2:$X$2427&gt;0,1))))&gt;0,SUM(IF(A60=$A$2:$A$2427,IF(D60=$D$2:$D$2427,$X$2:$X$2427)))/COUNT(IF(A60=$A$2:$A$2427,IF(D60=$D$2:$D$2427,IF(ISNUMBER($X$2:$X$2427),1)))),0),""),0)</f>
        <v/>
      </c>
      <c r="Z60" s="104" t="str">
        <f>IF(ISNUMBER(O60),IF(I60&gt;0,(10^(VLOOKUP(D60,'Species Codes'!B:C,2,0)+VLOOKUP(D60,'Species Codes'!B:D,3,0)*LOG(E60)+VLOOKUP(D60,'Species Codes'!B:E,4,0)*LOG(I60))),0),"")</f>
        <v/>
      </c>
      <c r="AA60" s="104" t="str">
        <f>IFERROR((VLOOKUP(D60,'Species Codes'!B:G,6,0)*Z60)/2000,"")</f>
        <v/>
      </c>
      <c r="AB60" s="104" t="e">
        <f>IF(Z60&gt;0,((IF(OR(D60="DF",D60="RA")=TRUE,EXP(VLOOKUP(D60,'Species Codes'!B:I,8,0)+VLOOKUP(D60,'Species Codes'!B:J,9,0)*(LN((E60*2.54)))),IF(OR(D60="PY",D60="RC",D60="WH",D60="NF")=TRUE,VLOOKUP(D60,'Species Codes'!B:I,8,0)+VLOOKUP(D60,'Species Codes'!B:J,9,0)*((E60*2.54)^2)*(I60*0.3048),IF(OR(D60="MD",D60="BM",D60="GA")=TRUE,((VLOOKUP(D60,'Species Codes'!B:I,8,0)*(((((E60*2.54)+VLOOKUP(D60,'Species Codes'!B:J,9,0))/VLOOKUP(D60,'Species Codes'!B:K,10,0))^VLOOKUP(D60,'Species Codes'!B:L,11,0))*((I60*0.3048)^VLOOKUP(D60,'Species Codes'!B:M,12,0))))-(VLOOKUP(D60,'Species Codes'!B:I,8,0)*((((E60*2.54)^VLOOKUP(D60,'Species Codes'!B:L,11,0))*((I60*0.3048)^VLOOKUP(D60,'Species Codes'!B:M,12,0))))))*35.3*VLOOKUP(D60,'Species Codes'!B:G,6,0)/2.2046,VLOOKUP(D60,'Species Codes'!B:I,8,0)+VLOOKUP(D60,'Species Codes'!B:J,9,0)*(((E60*2.54)/100)^2)*(I60*0.3048)))))*0.0011023),0)</f>
        <v>#N/A</v>
      </c>
      <c r="AC60" s="104" t="e">
        <f>IF(Z60&gt;0,((IF(OR(D60="RA",D60="OA",D60="OT",D60="UN",D60="PC"),EXP(VLOOKUP(D60,'Species Codes'!B:O,14,0)+VLOOKUP(D60,'Species Codes'!B:P,15,0)*LN((E60*2.54)))-EXP(VLOOKUP(D60,'Species Codes'!B:O,14,0)+VLOOKUP(D60,'Species Codes'!B:P,15,0)*LN((E60*2.54)))*(1/(VLOOKUP(D60,'Species Codes'!B:Q,16,0)+VLOOKUP(D60,'Species Codes'!B:R,17,0)*((E60*2.54)^VLOOKUP(D60,'Species Codes'!B:S,18,0)))),IF(OR(D60="BM",D60="MD",D60="OA"),EXP(VLOOKUP(D60,'Species Codes'!B:O,14,0)+VLOOKUP(D60,'Species Codes'!B:P,15,0)*LN((E60*2.54)))*(1-(1/(VLOOKUP(D60,'Species Codes'!B:Q,16,0)+VLOOKUP(D60,'Species Codes'!B:R,17,0)*((E60*2.54)^VLOOKUP(D60,'Species Codes'!B:S,18,0)))))/1000,IF(D60="DF",EXP(VLOOKUP(D60,'Species Codes'!B:O,14,0)+VLOOKUP(D60,'Species Codes'!B:P,15,0)*LN((E60*2.54))),VLOOKUP(D60,'Species Codes'!B:O,14,0)+VLOOKUP(D60,'Species Codes'!B:P,15,0)*(((E60*2.54)/100)^2)*(I60*0.3048)))))*0.0011023),0)</f>
        <v>#N/A</v>
      </c>
      <c r="AD60" s="104" t="e">
        <f t="shared" si="10"/>
        <v>#N/A</v>
      </c>
      <c r="AE60" s="104" t="e">
        <f t="shared" si="11"/>
        <v>#N/A</v>
      </c>
      <c r="AF60" s="104" t="e">
        <f>IF(AND(VLOOKUP($D60,Merchantability!$B:$C,2,0)="Yes",$E60&gt;=VLOOKUP($D60,Merchantability!$B:$D,3,0),$E60&lt;=VLOOKUP($D60,Merchantability!$B:$E,4,0)),AA60,0)</f>
        <v>#N/A</v>
      </c>
      <c r="AG60" s="104" t="e">
        <f>IF(AND(VLOOKUP($D60,Merchantability!$B:$C,2,0)="Yes",$E60&gt;=VLOOKUP($D60,Merchantability!$B:$D,3,0),$E60&lt;=VLOOKUP($D60,Merchantability!$B:$E,4,0)),AB60,0)</f>
        <v>#N/A</v>
      </c>
      <c r="AH60" s="104" t="e">
        <f>IF(AND(VLOOKUP($D60,Merchantability!$B:$C,2,0)="Yes",$E60&gt;=VLOOKUP($D60,Merchantability!$B:$D,3,0),$E60&lt;=VLOOKUP($D60,Merchantability!$B:$E,4,0)),AC60,0)</f>
        <v>#N/A</v>
      </c>
      <c r="AI60" s="104" t="e">
        <f t="shared" si="12"/>
        <v>#N/A</v>
      </c>
      <c r="AJ60" s="104" t="e">
        <f t="shared" si="13"/>
        <v>#VALUE!</v>
      </c>
      <c r="AK60" s="104" t="e">
        <f t="shared" si="14"/>
        <v>#N/A</v>
      </c>
      <c r="AL60" s="104" t="e">
        <f t="shared" si="15"/>
        <v>#N/A</v>
      </c>
      <c r="AM60" s="104" t="e">
        <f t="shared" si="16"/>
        <v>#N/A</v>
      </c>
      <c r="AN60" s="104" t="e">
        <f t="shared" si="17"/>
        <v>#N/A</v>
      </c>
      <c r="AO60" s="104" t="e">
        <f t="shared" si="18"/>
        <v>#N/A</v>
      </c>
      <c r="AP60" s="104" t="e">
        <f t="shared" si="19"/>
        <v>#N/A</v>
      </c>
      <c r="AQ60" s="104" t="e">
        <f t="shared" si="20"/>
        <v>#N/A</v>
      </c>
      <c r="AR60" s="105" t="str">
        <f t="shared" si="21"/>
        <v/>
      </c>
      <c r="AS60" s="105" t="str">
        <f t="shared" si="22"/>
        <v/>
      </c>
      <c r="AT60" s="108" t="str">
        <f t="shared" si="23"/>
        <v/>
      </c>
      <c r="AU60" s="108" t="str">
        <f t="shared" si="24"/>
        <v/>
      </c>
      <c r="AV60" s="107" t="str">
        <f>IF(ISNUMBER(O60),IF(VLOOKUP($A60,Stand!C:J,8,FALSE)="Short",AT60,AU60),"")</f>
        <v/>
      </c>
      <c r="AW60" s="109" t="str">
        <f t="shared" si="25"/>
        <v/>
      </c>
      <c r="AX60" s="109" t="str">
        <f t="shared" si="26"/>
        <v/>
      </c>
      <c r="AY60" s="112" t="str">
        <f>IF(ISNUMBER(O60),IF(AND(VLOOKUP($D60,Merchantability!$B:$C,2,0)="Yes",$E60&gt;=VLOOKUP($D60,Merchantability!$B:$D,3,0),$E60&lt;=VLOOKUP($D60,Merchantability!$B:$E,4,0)),(AV60*O60)*(1-$H60/100),""),"")</f>
        <v/>
      </c>
      <c r="AZ60" s="115"/>
      <c r="BA60" s="116"/>
      <c r="BB60" s="116"/>
      <c r="BE60" s="62"/>
      <c r="BF60" s="63"/>
    </row>
    <row r="61" spans="1:58" ht="12.75" customHeight="1" x14ac:dyDescent="0.25">
      <c r="A61" s="313"/>
      <c r="B61" s="328"/>
      <c r="C61" s="329"/>
      <c r="D61" s="328"/>
      <c r="E61" s="330"/>
      <c r="F61" s="331"/>
      <c r="G61" s="329"/>
      <c r="H61" s="329"/>
      <c r="I61" s="328"/>
      <c r="J61" s="329"/>
      <c r="K61" s="329"/>
      <c r="L61" s="329"/>
      <c r="M61" s="76"/>
      <c r="N61" s="103" t="str">
        <f>IF(A61="","",VLOOKUP(A61,Stand!C:K,9,0))</f>
        <v/>
      </c>
      <c r="O61" s="104" t="str">
        <f t="shared" si="0"/>
        <v/>
      </c>
      <c r="P61" s="105" t="str">
        <f t="shared" si="1"/>
        <v/>
      </c>
      <c r="Q61" s="105" t="str">
        <f t="shared" si="2"/>
        <v/>
      </c>
      <c r="R61" s="103" t="str">
        <f t="shared" si="3"/>
        <v/>
      </c>
      <c r="S61" s="103" t="str">
        <f t="shared" si="4"/>
        <v/>
      </c>
      <c r="T61" s="106" t="str">
        <f t="shared" si="5"/>
        <v/>
      </c>
      <c r="U61" s="106" t="str">
        <f t="shared" si="6"/>
        <v/>
      </c>
      <c r="V61" s="106" t="str">
        <f t="shared" si="7"/>
        <v/>
      </c>
      <c r="W61" s="105" t="str">
        <f t="shared" si="8"/>
        <v/>
      </c>
      <c r="X61" s="104" t="str">
        <f t="shared" si="9"/>
        <v/>
      </c>
      <c r="Y61" s="104" t="str">
        <f t="array" ref="Y61">IFERROR(IF(ISNUMBER(O61),IF(COUNT(IF(A61=$A$2:$A$2427,IF(D61=$D$2:$D$2427,IF($X$2:$X$2427&gt;0,1))))&gt;0,SUM(IF(A61=$A$2:$A$2427,IF(D61=$D$2:$D$2427,$X$2:$X$2427)))/COUNT(IF(A61=$A$2:$A$2427,IF(D61=$D$2:$D$2427,IF(ISNUMBER($X$2:$X$2427),1)))),0),""),0)</f>
        <v/>
      </c>
      <c r="Z61" s="104" t="str">
        <f>IF(ISNUMBER(O61),IF(I61&gt;0,(10^(VLOOKUP(D61,'Species Codes'!B:C,2,0)+VLOOKUP(D61,'Species Codes'!B:D,3,0)*LOG(E61)+VLOOKUP(D61,'Species Codes'!B:E,4,0)*LOG(I61))),0),"")</f>
        <v/>
      </c>
      <c r="AA61" s="104" t="str">
        <f>IFERROR((VLOOKUP(D61,'Species Codes'!B:G,6,0)*Z61)/2000,"")</f>
        <v/>
      </c>
      <c r="AB61" s="104" t="e">
        <f>IF(Z61&gt;0,((IF(OR(D61="DF",D61="RA")=TRUE,EXP(VLOOKUP(D61,'Species Codes'!B:I,8,0)+VLOOKUP(D61,'Species Codes'!B:J,9,0)*(LN((E61*2.54)))),IF(OR(D61="PY",D61="RC",D61="WH",D61="NF")=TRUE,VLOOKUP(D61,'Species Codes'!B:I,8,0)+VLOOKUP(D61,'Species Codes'!B:J,9,0)*((E61*2.54)^2)*(I61*0.3048),IF(OR(D61="MD",D61="BM",D61="GA")=TRUE,((VLOOKUP(D61,'Species Codes'!B:I,8,0)*(((((E61*2.54)+VLOOKUP(D61,'Species Codes'!B:J,9,0))/VLOOKUP(D61,'Species Codes'!B:K,10,0))^VLOOKUP(D61,'Species Codes'!B:L,11,0))*((I61*0.3048)^VLOOKUP(D61,'Species Codes'!B:M,12,0))))-(VLOOKUP(D61,'Species Codes'!B:I,8,0)*((((E61*2.54)^VLOOKUP(D61,'Species Codes'!B:L,11,0))*((I61*0.3048)^VLOOKUP(D61,'Species Codes'!B:M,12,0))))))*35.3*VLOOKUP(D61,'Species Codes'!B:G,6,0)/2.2046,VLOOKUP(D61,'Species Codes'!B:I,8,0)+VLOOKUP(D61,'Species Codes'!B:J,9,0)*(((E61*2.54)/100)^2)*(I61*0.3048)))))*0.0011023),0)</f>
        <v>#N/A</v>
      </c>
      <c r="AC61" s="104" t="e">
        <f>IF(Z61&gt;0,((IF(OR(D61="RA",D61="OA",D61="OT",D61="UN",D61="PC"),EXP(VLOOKUP(D61,'Species Codes'!B:O,14,0)+VLOOKUP(D61,'Species Codes'!B:P,15,0)*LN((E61*2.54)))-EXP(VLOOKUP(D61,'Species Codes'!B:O,14,0)+VLOOKUP(D61,'Species Codes'!B:P,15,0)*LN((E61*2.54)))*(1/(VLOOKUP(D61,'Species Codes'!B:Q,16,0)+VLOOKUP(D61,'Species Codes'!B:R,17,0)*((E61*2.54)^VLOOKUP(D61,'Species Codes'!B:S,18,0)))),IF(OR(D61="BM",D61="MD",D61="OA"),EXP(VLOOKUP(D61,'Species Codes'!B:O,14,0)+VLOOKUP(D61,'Species Codes'!B:P,15,0)*LN((E61*2.54)))*(1-(1/(VLOOKUP(D61,'Species Codes'!B:Q,16,0)+VLOOKUP(D61,'Species Codes'!B:R,17,0)*((E61*2.54)^VLOOKUP(D61,'Species Codes'!B:S,18,0)))))/1000,IF(D61="DF",EXP(VLOOKUP(D61,'Species Codes'!B:O,14,0)+VLOOKUP(D61,'Species Codes'!B:P,15,0)*LN((E61*2.54))),VLOOKUP(D61,'Species Codes'!B:O,14,0)+VLOOKUP(D61,'Species Codes'!B:P,15,0)*(((E61*2.54)/100)^2)*(I61*0.3048)))))*0.0011023),0)</f>
        <v>#N/A</v>
      </c>
      <c r="AD61" s="104" t="e">
        <f t="shared" si="10"/>
        <v>#N/A</v>
      </c>
      <c r="AE61" s="104" t="e">
        <f t="shared" si="11"/>
        <v>#N/A</v>
      </c>
      <c r="AF61" s="104" t="e">
        <f>IF(AND(VLOOKUP($D61,Merchantability!$B:$C,2,0)="Yes",$E61&gt;=VLOOKUP($D61,Merchantability!$B:$D,3,0),$E61&lt;=VLOOKUP($D61,Merchantability!$B:$E,4,0)),AA61,0)</f>
        <v>#N/A</v>
      </c>
      <c r="AG61" s="104" t="e">
        <f>IF(AND(VLOOKUP($D61,Merchantability!$B:$C,2,0)="Yes",$E61&gt;=VLOOKUP($D61,Merchantability!$B:$D,3,0),$E61&lt;=VLOOKUP($D61,Merchantability!$B:$E,4,0)),AB61,0)</f>
        <v>#N/A</v>
      </c>
      <c r="AH61" s="104" t="e">
        <f>IF(AND(VLOOKUP($D61,Merchantability!$B:$C,2,0)="Yes",$E61&gt;=VLOOKUP($D61,Merchantability!$B:$D,3,0),$E61&lt;=VLOOKUP($D61,Merchantability!$B:$E,4,0)),AC61,0)</f>
        <v>#N/A</v>
      </c>
      <c r="AI61" s="104" t="e">
        <f t="shared" si="12"/>
        <v>#N/A</v>
      </c>
      <c r="AJ61" s="104" t="e">
        <f t="shared" si="13"/>
        <v>#VALUE!</v>
      </c>
      <c r="AK61" s="104" t="e">
        <f t="shared" si="14"/>
        <v>#N/A</v>
      </c>
      <c r="AL61" s="104" t="e">
        <f t="shared" si="15"/>
        <v>#N/A</v>
      </c>
      <c r="AM61" s="104" t="e">
        <f t="shared" si="16"/>
        <v>#N/A</v>
      </c>
      <c r="AN61" s="104" t="e">
        <f t="shared" si="17"/>
        <v>#N/A</v>
      </c>
      <c r="AO61" s="104" t="e">
        <f t="shared" si="18"/>
        <v>#N/A</v>
      </c>
      <c r="AP61" s="104" t="e">
        <f t="shared" si="19"/>
        <v>#N/A</v>
      </c>
      <c r="AQ61" s="104" t="e">
        <f t="shared" si="20"/>
        <v>#N/A</v>
      </c>
      <c r="AR61" s="105" t="str">
        <f t="shared" si="21"/>
        <v/>
      </c>
      <c r="AS61" s="105" t="str">
        <f t="shared" si="22"/>
        <v/>
      </c>
      <c r="AT61" s="108" t="str">
        <f t="shared" si="23"/>
        <v/>
      </c>
      <c r="AU61" s="108" t="str">
        <f t="shared" si="24"/>
        <v/>
      </c>
      <c r="AV61" s="107" t="str">
        <f>IF(ISNUMBER(O61),IF(VLOOKUP($A61,Stand!C:J,8,FALSE)="Short",AT61,AU61),"")</f>
        <v/>
      </c>
      <c r="AW61" s="109" t="str">
        <f t="shared" si="25"/>
        <v/>
      </c>
      <c r="AX61" s="109" t="str">
        <f t="shared" si="26"/>
        <v/>
      </c>
      <c r="AY61" s="112" t="str">
        <f>IF(ISNUMBER(O61),IF(AND(VLOOKUP($D61,Merchantability!$B:$C,2,0)="Yes",$E61&gt;=VLOOKUP($D61,Merchantability!$B:$D,3,0),$E61&lt;=VLOOKUP($D61,Merchantability!$B:$E,4,0)),(AV61*O61)*(1-$H61/100),""),"")</f>
        <v/>
      </c>
      <c r="AZ61" s="115"/>
      <c r="BA61" s="116"/>
      <c r="BB61" s="116"/>
      <c r="BE61" s="62"/>
      <c r="BF61" s="63"/>
    </row>
    <row r="62" spans="1:58" ht="12.75" customHeight="1" x14ac:dyDescent="0.25">
      <c r="A62" s="313"/>
      <c r="B62" s="328"/>
      <c r="C62" s="329"/>
      <c r="D62" s="328"/>
      <c r="E62" s="330"/>
      <c r="F62" s="331"/>
      <c r="G62" s="329"/>
      <c r="H62" s="329"/>
      <c r="I62" s="328"/>
      <c r="J62" s="329"/>
      <c r="K62" s="329"/>
      <c r="L62" s="329"/>
      <c r="M62" s="76"/>
      <c r="N62" s="103" t="str">
        <f>IF(A62="","",VLOOKUP(A62,Stand!C:K,9,0))</f>
        <v/>
      </c>
      <c r="O62" s="104" t="str">
        <f t="shared" si="0"/>
        <v/>
      </c>
      <c r="P62" s="105" t="str">
        <f t="shared" si="1"/>
        <v/>
      </c>
      <c r="Q62" s="105" t="str">
        <f t="shared" si="2"/>
        <v/>
      </c>
      <c r="R62" s="103" t="str">
        <f t="shared" si="3"/>
        <v/>
      </c>
      <c r="S62" s="103" t="str">
        <f t="shared" si="4"/>
        <v/>
      </c>
      <c r="T62" s="106" t="str">
        <f t="shared" si="5"/>
        <v/>
      </c>
      <c r="U62" s="106" t="str">
        <f t="shared" si="6"/>
        <v/>
      </c>
      <c r="V62" s="106" t="str">
        <f t="shared" si="7"/>
        <v/>
      </c>
      <c r="W62" s="105" t="str">
        <f t="shared" si="8"/>
        <v/>
      </c>
      <c r="X62" s="104" t="str">
        <f t="shared" si="9"/>
        <v/>
      </c>
      <c r="Y62" s="104" t="str">
        <f t="array" ref="Y62">IFERROR(IF(ISNUMBER(O62),IF(COUNT(IF(A62=$A$2:$A$2427,IF(D62=$D$2:$D$2427,IF($X$2:$X$2427&gt;0,1))))&gt;0,SUM(IF(A62=$A$2:$A$2427,IF(D62=$D$2:$D$2427,$X$2:$X$2427)))/COUNT(IF(A62=$A$2:$A$2427,IF(D62=$D$2:$D$2427,IF(ISNUMBER($X$2:$X$2427),1)))),0),""),0)</f>
        <v/>
      </c>
      <c r="Z62" s="104" t="str">
        <f>IF(ISNUMBER(O62),IF(I62&gt;0,(10^(VLOOKUP(D62,'Species Codes'!B:C,2,0)+VLOOKUP(D62,'Species Codes'!B:D,3,0)*LOG(E62)+VLOOKUP(D62,'Species Codes'!B:E,4,0)*LOG(I62))),0),"")</f>
        <v/>
      </c>
      <c r="AA62" s="104" t="str">
        <f>IFERROR((VLOOKUP(D62,'Species Codes'!B:G,6,0)*Z62)/2000,"")</f>
        <v/>
      </c>
      <c r="AB62" s="104" t="e">
        <f>IF(Z62&gt;0,((IF(OR(D62="DF",D62="RA")=TRUE,EXP(VLOOKUP(D62,'Species Codes'!B:I,8,0)+VLOOKUP(D62,'Species Codes'!B:J,9,0)*(LN((E62*2.54)))),IF(OR(D62="PY",D62="RC",D62="WH",D62="NF")=TRUE,VLOOKUP(D62,'Species Codes'!B:I,8,0)+VLOOKUP(D62,'Species Codes'!B:J,9,0)*((E62*2.54)^2)*(I62*0.3048),IF(OR(D62="MD",D62="BM",D62="GA")=TRUE,((VLOOKUP(D62,'Species Codes'!B:I,8,0)*(((((E62*2.54)+VLOOKUP(D62,'Species Codes'!B:J,9,0))/VLOOKUP(D62,'Species Codes'!B:K,10,0))^VLOOKUP(D62,'Species Codes'!B:L,11,0))*((I62*0.3048)^VLOOKUP(D62,'Species Codes'!B:M,12,0))))-(VLOOKUP(D62,'Species Codes'!B:I,8,0)*((((E62*2.54)^VLOOKUP(D62,'Species Codes'!B:L,11,0))*((I62*0.3048)^VLOOKUP(D62,'Species Codes'!B:M,12,0))))))*35.3*VLOOKUP(D62,'Species Codes'!B:G,6,0)/2.2046,VLOOKUP(D62,'Species Codes'!B:I,8,0)+VLOOKUP(D62,'Species Codes'!B:J,9,0)*(((E62*2.54)/100)^2)*(I62*0.3048)))))*0.0011023),0)</f>
        <v>#N/A</v>
      </c>
      <c r="AC62" s="104" t="e">
        <f>IF(Z62&gt;0,((IF(OR(D62="RA",D62="OA",D62="OT",D62="UN",D62="PC"),EXP(VLOOKUP(D62,'Species Codes'!B:O,14,0)+VLOOKUP(D62,'Species Codes'!B:P,15,0)*LN((E62*2.54)))-EXP(VLOOKUP(D62,'Species Codes'!B:O,14,0)+VLOOKUP(D62,'Species Codes'!B:P,15,0)*LN((E62*2.54)))*(1/(VLOOKUP(D62,'Species Codes'!B:Q,16,0)+VLOOKUP(D62,'Species Codes'!B:R,17,0)*((E62*2.54)^VLOOKUP(D62,'Species Codes'!B:S,18,0)))),IF(OR(D62="BM",D62="MD",D62="OA"),EXP(VLOOKUP(D62,'Species Codes'!B:O,14,0)+VLOOKUP(D62,'Species Codes'!B:P,15,0)*LN((E62*2.54)))*(1-(1/(VLOOKUP(D62,'Species Codes'!B:Q,16,0)+VLOOKUP(D62,'Species Codes'!B:R,17,0)*((E62*2.54)^VLOOKUP(D62,'Species Codes'!B:S,18,0)))))/1000,IF(D62="DF",EXP(VLOOKUP(D62,'Species Codes'!B:O,14,0)+VLOOKUP(D62,'Species Codes'!B:P,15,0)*LN((E62*2.54))),VLOOKUP(D62,'Species Codes'!B:O,14,0)+VLOOKUP(D62,'Species Codes'!B:P,15,0)*(((E62*2.54)/100)^2)*(I62*0.3048)))))*0.0011023),0)</f>
        <v>#N/A</v>
      </c>
      <c r="AD62" s="104" t="e">
        <f t="shared" si="10"/>
        <v>#N/A</v>
      </c>
      <c r="AE62" s="104" t="e">
        <f t="shared" si="11"/>
        <v>#N/A</v>
      </c>
      <c r="AF62" s="104" t="e">
        <f>IF(AND(VLOOKUP($D62,Merchantability!$B:$C,2,0)="Yes",$E62&gt;=VLOOKUP($D62,Merchantability!$B:$D,3,0),$E62&lt;=VLOOKUP($D62,Merchantability!$B:$E,4,0)),AA62,0)</f>
        <v>#N/A</v>
      </c>
      <c r="AG62" s="104" t="e">
        <f>IF(AND(VLOOKUP($D62,Merchantability!$B:$C,2,0)="Yes",$E62&gt;=VLOOKUP($D62,Merchantability!$B:$D,3,0),$E62&lt;=VLOOKUP($D62,Merchantability!$B:$E,4,0)),AB62,0)</f>
        <v>#N/A</v>
      </c>
      <c r="AH62" s="104" t="e">
        <f>IF(AND(VLOOKUP($D62,Merchantability!$B:$C,2,0)="Yes",$E62&gt;=VLOOKUP($D62,Merchantability!$B:$D,3,0),$E62&lt;=VLOOKUP($D62,Merchantability!$B:$E,4,0)),AC62,0)</f>
        <v>#N/A</v>
      </c>
      <c r="AI62" s="104" t="e">
        <f t="shared" si="12"/>
        <v>#N/A</v>
      </c>
      <c r="AJ62" s="104" t="e">
        <f t="shared" si="13"/>
        <v>#VALUE!</v>
      </c>
      <c r="AK62" s="104" t="e">
        <f t="shared" si="14"/>
        <v>#N/A</v>
      </c>
      <c r="AL62" s="104" t="e">
        <f t="shared" si="15"/>
        <v>#N/A</v>
      </c>
      <c r="AM62" s="104" t="e">
        <f t="shared" si="16"/>
        <v>#N/A</v>
      </c>
      <c r="AN62" s="104" t="e">
        <f t="shared" si="17"/>
        <v>#N/A</v>
      </c>
      <c r="AO62" s="104" t="e">
        <f t="shared" si="18"/>
        <v>#N/A</v>
      </c>
      <c r="AP62" s="104" t="e">
        <f t="shared" si="19"/>
        <v>#N/A</v>
      </c>
      <c r="AQ62" s="104" t="e">
        <f t="shared" si="20"/>
        <v>#N/A</v>
      </c>
      <c r="AR62" s="105" t="str">
        <f t="shared" si="21"/>
        <v/>
      </c>
      <c r="AS62" s="105" t="str">
        <f t="shared" si="22"/>
        <v/>
      </c>
      <c r="AT62" s="108" t="str">
        <f t="shared" si="23"/>
        <v/>
      </c>
      <c r="AU62" s="108" t="str">
        <f t="shared" si="24"/>
        <v/>
      </c>
      <c r="AV62" s="107" t="str">
        <f>IF(ISNUMBER(O62),IF(VLOOKUP($A62,Stand!C:J,8,FALSE)="Short",AT62,AU62),"")</f>
        <v/>
      </c>
      <c r="AW62" s="109" t="str">
        <f t="shared" si="25"/>
        <v/>
      </c>
      <c r="AX62" s="109" t="str">
        <f t="shared" si="26"/>
        <v/>
      </c>
      <c r="AY62" s="112" t="str">
        <f>IF(ISNUMBER(O62),IF(AND(VLOOKUP($D62,Merchantability!$B:$C,2,0)="Yes",$E62&gt;=VLOOKUP($D62,Merchantability!$B:$D,3,0),$E62&lt;=VLOOKUP($D62,Merchantability!$B:$E,4,0)),(AV62*O62)*(1-$H62/100),""),"")</f>
        <v/>
      </c>
      <c r="AZ62" s="115"/>
      <c r="BA62" s="116"/>
      <c r="BB62" s="116"/>
      <c r="BE62" s="62"/>
      <c r="BF62" s="63"/>
    </row>
    <row r="63" spans="1:58" ht="12.75" customHeight="1" x14ac:dyDescent="0.25">
      <c r="A63" s="313"/>
      <c r="B63" s="328"/>
      <c r="C63" s="329"/>
      <c r="D63" s="328"/>
      <c r="E63" s="330"/>
      <c r="F63" s="331"/>
      <c r="G63" s="329"/>
      <c r="H63" s="329"/>
      <c r="I63" s="328"/>
      <c r="J63" s="329"/>
      <c r="K63" s="329"/>
      <c r="L63" s="329"/>
      <c r="M63" s="76"/>
      <c r="N63" s="103" t="str">
        <f>IF(A63="","",VLOOKUP(A63,Stand!C:K,9,0))</f>
        <v/>
      </c>
      <c r="O63" s="104" t="str">
        <f t="shared" si="0"/>
        <v/>
      </c>
      <c r="P63" s="105" t="str">
        <f t="shared" si="1"/>
        <v/>
      </c>
      <c r="Q63" s="105" t="str">
        <f t="shared" si="2"/>
        <v/>
      </c>
      <c r="R63" s="103" t="str">
        <f t="shared" si="3"/>
        <v/>
      </c>
      <c r="S63" s="103" t="str">
        <f t="shared" si="4"/>
        <v/>
      </c>
      <c r="T63" s="106" t="str">
        <f t="shared" si="5"/>
        <v/>
      </c>
      <c r="U63" s="106" t="str">
        <f t="shared" si="6"/>
        <v/>
      </c>
      <c r="V63" s="106" t="str">
        <f t="shared" si="7"/>
        <v/>
      </c>
      <c r="W63" s="105" t="str">
        <f t="shared" si="8"/>
        <v/>
      </c>
      <c r="X63" s="104" t="str">
        <f t="shared" si="9"/>
        <v/>
      </c>
      <c r="Y63" s="104" t="str">
        <f t="array" ref="Y63">IFERROR(IF(ISNUMBER(O63),IF(COUNT(IF(A63=$A$2:$A$2427,IF(D63=$D$2:$D$2427,IF($X$2:$X$2427&gt;0,1))))&gt;0,SUM(IF(A63=$A$2:$A$2427,IF(D63=$D$2:$D$2427,$X$2:$X$2427)))/COUNT(IF(A63=$A$2:$A$2427,IF(D63=$D$2:$D$2427,IF(ISNUMBER($X$2:$X$2427),1)))),0),""),0)</f>
        <v/>
      </c>
      <c r="Z63" s="104" t="str">
        <f>IF(ISNUMBER(O63),IF(I63&gt;0,(10^(VLOOKUP(D63,'Species Codes'!B:C,2,0)+VLOOKUP(D63,'Species Codes'!B:D,3,0)*LOG(E63)+VLOOKUP(D63,'Species Codes'!B:E,4,0)*LOG(I63))),0),"")</f>
        <v/>
      </c>
      <c r="AA63" s="104" t="str">
        <f>IFERROR((VLOOKUP(D63,'Species Codes'!B:G,6,0)*Z63)/2000,"")</f>
        <v/>
      </c>
      <c r="AB63" s="104" t="e">
        <f>IF(Z63&gt;0,((IF(OR(D63="DF",D63="RA")=TRUE,EXP(VLOOKUP(D63,'Species Codes'!B:I,8,0)+VLOOKUP(D63,'Species Codes'!B:J,9,0)*(LN((E63*2.54)))),IF(OR(D63="PY",D63="RC",D63="WH",D63="NF")=TRUE,VLOOKUP(D63,'Species Codes'!B:I,8,0)+VLOOKUP(D63,'Species Codes'!B:J,9,0)*((E63*2.54)^2)*(I63*0.3048),IF(OR(D63="MD",D63="BM",D63="GA")=TRUE,((VLOOKUP(D63,'Species Codes'!B:I,8,0)*(((((E63*2.54)+VLOOKUP(D63,'Species Codes'!B:J,9,0))/VLOOKUP(D63,'Species Codes'!B:K,10,0))^VLOOKUP(D63,'Species Codes'!B:L,11,0))*((I63*0.3048)^VLOOKUP(D63,'Species Codes'!B:M,12,0))))-(VLOOKUP(D63,'Species Codes'!B:I,8,0)*((((E63*2.54)^VLOOKUP(D63,'Species Codes'!B:L,11,0))*((I63*0.3048)^VLOOKUP(D63,'Species Codes'!B:M,12,0))))))*35.3*VLOOKUP(D63,'Species Codes'!B:G,6,0)/2.2046,VLOOKUP(D63,'Species Codes'!B:I,8,0)+VLOOKUP(D63,'Species Codes'!B:J,9,0)*(((E63*2.54)/100)^2)*(I63*0.3048)))))*0.0011023),0)</f>
        <v>#N/A</v>
      </c>
      <c r="AC63" s="104" t="e">
        <f>IF(Z63&gt;0,((IF(OR(D63="RA",D63="OA",D63="OT",D63="UN",D63="PC"),EXP(VLOOKUP(D63,'Species Codes'!B:O,14,0)+VLOOKUP(D63,'Species Codes'!B:P,15,0)*LN((E63*2.54)))-EXP(VLOOKUP(D63,'Species Codes'!B:O,14,0)+VLOOKUP(D63,'Species Codes'!B:P,15,0)*LN((E63*2.54)))*(1/(VLOOKUP(D63,'Species Codes'!B:Q,16,0)+VLOOKUP(D63,'Species Codes'!B:R,17,0)*((E63*2.54)^VLOOKUP(D63,'Species Codes'!B:S,18,0)))),IF(OR(D63="BM",D63="MD",D63="OA"),EXP(VLOOKUP(D63,'Species Codes'!B:O,14,0)+VLOOKUP(D63,'Species Codes'!B:P,15,0)*LN((E63*2.54)))*(1-(1/(VLOOKUP(D63,'Species Codes'!B:Q,16,0)+VLOOKUP(D63,'Species Codes'!B:R,17,0)*((E63*2.54)^VLOOKUP(D63,'Species Codes'!B:S,18,0)))))/1000,IF(D63="DF",EXP(VLOOKUP(D63,'Species Codes'!B:O,14,0)+VLOOKUP(D63,'Species Codes'!B:P,15,0)*LN((E63*2.54))),VLOOKUP(D63,'Species Codes'!B:O,14,0)+VLOOKUP(D63,'Species Codes'!B:P,15,0)*(((E63*2.54)/100)^2)*(I63*0.3048)))))*0.0011023),0)</f>
        <v>#N/A</v>
      </c>
      <c r="AD63" s="104" t="e">
        <f t="shared" si="10"/>
        <v>#N/A</v>
      </c>
      <c r="AE63" s="104" t="e">
        <f t="shared" si="11"/>
        <v>#N/A</v>
      </c>
      <c r="AF63" s="104" t="e">
        <f>IF(AND(VLOOKUP($D63,Merchantability!$B:$C,2,0)="Yes",$E63&gt;=VLOOKUP($D63,Merchantability!$B:$D,3,0),$E63&lt;=VLOOKUP($D63,Merchantability!$B:$E,4,0)),AA63,0)</f>
        <v>#N/A</v>
      </c>
      <c r="AG63" s="104" t="e">
        <f>IF(AND(VLOOKUP($D63,Merchantability!$B:$C,2,0)="Yes",$E63&gt;=VLOOKUP($D63,Merchantability!$B:$D,3,0),$E63&lt;=VLOOKUP($D63,Merchantability!$B:$E,4,0)),AB63,0)</f>
        <v>#N/A</v>
      </c>
      <c r="AH63" s="104" t="e">
        <f>IF(AND(VLOOKUP($D63,Merchantability!$B:$C,2,0)="Yes",$E63&gt;=VLOOKUP($D63,Merchantability!$B:$D,3,0),$E63&lt;=VLOOKUP($D63,Merchantability!$B:$E,4,0)),AC63,0)</f>
        <v>#N/A</v>
      </c>
      <c r="AI63" s="104" t="e">
        <f t="shared" si="12"/>
        <v>#N/A</v>
      </c>
      <c r="AJ63" s="104" t="e">
        <f t="shared" si="13"/>
        <v>#VALUE!</v>
      </c>
      <c r="AK63" s="104" t="e">
        <f t="shared" si="14"/>
        <v>#N/A</v>
      </c>
      <c r="AL63" s="104" t="e">
        <f t="shared" si="15"/>
        <v>#N/A</v>
      </c>
      <c r="AM63" s="104" t="e">
        <f t="shared" si="16"/>
        <v>#N/A</v>
      </c>
      <c r="AN63" s="104" t="e">
        <f t="shared" si="17"/>
        <v>#N/A</v>
      </c>
      <c r="AO63" s="104" t="e">
        <f t="shared" si="18"/>
        <v>#N/A</v>
      </c>
      <c r="AP63" s="104" t="e">
        <f t="shared" si="19"/>
        <v>#N/A</v>
      </c>
      <c r="AQ63" s="104" t="e">
        <f t="shared" si="20"/>
        <v>#N/A</v>
      </c>
      <c r="AR63" s="105" t="str">
        <f t="shared" si="21"/>
        <v/>
      </c>
      <c r="AS63" s="105" t="str">
        <f t="shared" si="22"/>
        <v/>
      </c>
      <c r="AT63" s="108" t="str">
        <f t="shared" si="23"/>
        <v/>
      </c>
      <c r="AU63" s="108" t="str">
        <f t="shared" si="24"/>
        <v/>
      </c>
      <c r="AV63" s="107" t="str">
        <f>IF(ISNUMBER(O63),IF(VLOOKUP($A63,Stand!C:J,8,FALSE)="Short",AT63,AU63),"")</f>
        <v/>
      </c>
      <c r="AW63" s="109" t="str">
        <f t="shared" si="25"/>
        <v/>
      </c>
      <c r="AX63" s="109" t="str">
        <f t="shared" si="26"/>
        <v/>
      </c>
      <c r="AY63" s="112" t="str">
        <f>IF(ISNUMBER(O63),IF(AND(VLOOKUP($D63,Merchantability!$B:$C,2,0)="Yes",$E63&gt;=VLOOKUP($D63,Merchantability!$B:$D,3,0),$E63&lt;=VLOOKUP($D63,Merchantability!$B:$E,4,0)),(AV63*O63)*(1-$H63/100),""),"")</f>
        <v/>
      </c>
      <c r="AZ63" s="115"/>
      <c r="BA63" s="116"/>
      <c r="BB63" s="116"/>
      <c r="BE63" s="62"/>
      <c r="BF63" s="63"/>
    </row>
    <row r="64" spans="1:58" ht="12.75" customHeight="1" x14ac:dyDescent="0.25">
      <c r="A64" s="313"/>
      <c r="B64" s="328"/>
      <c r="C64" s="329"/>
      <c r="D64" s="328"/>
      <c r="E64" s="330"/>
      <c r="F64" s="331"/>
      <c r="G64" s="329"/>
      <c r="H64" s="329"/>
      <c r="I64" s="328"/>
      <c r="J64" s="329"/>
      <c r="K64" s="329"/>
      <c r="L64" s="329"/>
      <c r="M64" s="76"/>
      <c r="N64" s="103" t="str">
        <f>IF(A64="","",VLOOKUP(A64,Stand!C:K,9,0))</f>
        <v/>
      </c>
      <c r="O64" s="104" t="str">
        <f t="shared" si="0"/>
        <v/>
      </c>
      <c r="P64" s="105" t="str">
        <f t="shared" si="1"/>
        <v/>
      </c>
      <c r="Q64" s="105" t="str">
        <f t="shared" si="2"/>
        <v/>
      </c>
      <c r="R64" s="103" t="str">
        <f t="shared" si="3"/>
        <v/>
      </c>
      <c r="S64" s="103" t="str">
        <f t="shared" si="4"/>
        <v/>
      </c>
      <c r="T64" s="106" t="str">
        <f t="shared" si="5"/>
        <v/>
      </c>
      <c r="U64" s="106" t="str">
        <f t="shared" si="6"/>
        <v/>
      </c>
      <c r="V64" s="106" t="str">
        <f t="shared" si="7"/>
        <v/>
      </c>
      <c r="W64" s="105" t="str">
        <f t="shared" si="8"/>
        <v/>
      </c>
      <c r="X64" s="104" t="str">
        <f t="shared" si="9"/>
        <v/>
      </c>
      <c r="Y64" s="104" t="str">
        <f t="array" ref="Y64">IFERROR(IF(ISNUMBER(O64),IF(COUNT(IF(A64=$A$2:$A$2427,IF(D64=$D$2:$D$2427,IF($X$2:$X$2427&gt;0,1))))&gt;0,SUM(IF(A64=$A$2:$A$2427,IF(D64=$D$2:$D$2427,$X$2:$X$2427)))/COUNT(IF(A64=$A$2:$A$2427,IF(D64=$D$2:$D$2427,IF(ISNUMBER($X$2:$X$2427),1)))),0),""),0)</f>
        <v/>
      </c>
      <c r="Z64" s="104" t="str">
        <f>IF(ISNUMBER(O64),IF(I64&gt;0,(10^(VLOOKUP(D64,'Species Codes'!B:C,2,0)+VLOOKUP(D64,'Species Codes'!B:D,3,0)*LOG(E64)+VLOOKUP(D64,'Species Codes'!B:E,4,0)*LOG(I64))),0),"")</f>
        <v/>
      </c>
      <c r="AA64" s="104" t="str">
        <f>IFERROR((VLOOKUP(D64,'Species Codes'!B:G,6,0)*Z64)/2000,"")</f>
        <v/>
      </c>
      <c r="AB64" s="104" t="e">
        <f>IF(Z64&gt;0,((IF(OR(D64="DF",D64="RA")=TRUE,EXP(VLOOKUP(D64,'Species Codes'!B:I,8,0)+VLOOKUP(D64,'Species Codes'!B:J,9,0)*(LN((E64*2.54)))),IF(OR(D64="PY",D64="RC",D64="WH",D64="NF")=TRUE,VLOOKUP(D64,'Species Codes'!B:I,8,0)+VLOOKUP(D64,'Species Codes'!B:J,9,0)*((E64*2.54)^2)*(I64*0.3048),IF(OR(D64="MD",D64="BM",D64="GA")=TRUE,((VLOOKUP(D64,'Species Codes'!B:I,8,0)*(((((E64*2.54)+VLOOKUP(D64,'Species Codes'!B:J,9,0))/VLOOKUP(D64,'Species Codes'!B:K,10,0))^VLOOKUP(D64,'Species Codes'!B:L,11,0))*((I64*0.3048)^VLOOKUP(D64,'Species Codes'!B:M,12,0))))-(VLOOKUP(D64,'Species Codes'!B:I,8,0)*((((E64*2.54)^VLOOKUP(D64,'Species Codes'!B:L,11,0))*((I64*0.3048)^VLOOKUP(D64,'Species Codes'!B:M,12,0))))))*35.3*VLOOKUP(D64,'Species Codes'!B:G,6,0)/2.2046,VLOOKUP(D64,'Species Codes'!B:I,8,0)+VLOOKUP(D64,'Species Codes'!B:J,9,0)*(((E64*2.54)/100)^2)*(I64*0.3048)))))*0.0011023),0)</f>
        <v>#N/A</v>
      </c>
      <c r="AC64" s="104" t="e">
        <f>IF(Z64&gt;0,((IF(OR(D64="RA",D64="OA",D64="OT",D64="UN",D64="PC"),EXP(VLOOKUP(D64,'Species Codes'!B:O,14,0)+VLOOKUP(D64,'Species Codes'!B:P,15,0)*LN((E64*2.54)))-EXP(VLOOKUP(D64,'Species Codes'!B:O,14,0)+VLOOKUP(D64,'Species Codes'!B:P,15,0)*LN((E64*2.54)))*(1/(VLOOKUP(D64,'Species Codes'!B:Q,16,0)+VLOOKUP(D64,'Species Codes'!B:R,17,0)*((E64*2.54)^VLOOKUP(D64,'Species Codes'!B:S,18,0)))),IF(OR(D64="BM",D64="MD",D64="OA"),EXP(VLOOKUP(D64,'Species Codes'!B:O,14,0)+VLOOKUP(D64,'Species Codes'!B:P,15,0)*LN((E64*2.54)))*(1-(1/(VLOOKUP(D64,'Species Codes'!B:Q,16,0)+VLOOKUP(D64,'Species Codes'!B:R,17,0)*((E64*2.54)^VLOOKUP(D64,'Species Codes'!B:S,18,0)))))/1000,IF(D64="DF",EXP(VLOOKUP(D64,'Species Codes'!B:O,14,0)+VLOOKUP(D64,'Species Codes'!B:P,15,0)*LN((E64*2.54))),VLOOKUP(D64,'Species Codes'!B:O,14,0)+VLOOKUP(D64,'Species Codes'!B:P,15,0)*(((E64*2.54)/100)^2)*(I64*0.3048)))))*0.0011023),0)</f>
        <v>#N/A</v>
      </c>
      <c r="AD64" s="104" t="e">
        <f t="shared" si="10"/>
        <v>#N/A</v>
      </c>
      <c r="AE64" s="104" t="e">
        <f t="shared" si="11"/>
        <v>#N/A</v>
      </c>
      <c r="AF64" s="104" t="e">
        <f>IF(AND(VLOOKUP($D64,Merchantability!$B:$C,2,0)="Yes",$E64&gt;=VLOOKUP($D64,Merchantability!$B:$D,3,0),$E64&lt;=VLOOKUP($D64,Merchantability!$B:$E,4,0)),AA64,0)</f>
        <v>#N/A</v>
      </c>
      <c r="AG64" s="104" t="e">
        <f>IF(AND(VLOOKUP($D64,Merchantability!$B:$C,2,0)="Yes",$E64&gt;=VLOOKUP($D64,Merchantability!$B:$D,3,0),$E64&lt;=VLOOKUP($D64,Merchantability!$B:$E,4,0)),AB64,0)</f>
        <v>#N/A</v>
      </c>
      <c r="AH64" s="104" t="e">
        <f>IF(AND(VLOOKUP($D64,Merchantability!$B:$C,2,0)="Yes",$E64&gt;=VLOOKUP($D64,Merchantability!$B:$D,3,0),$E64&lt;=VLOOKUP($D64,Merchantability!$B:$E,4,0)),AC64,0)</f>
        <v>#N/A</v>
      </c>
      <c r="AI64" s="104" t="e">
        <f t="shared" si="12"/>
        <v>#N/A</v>
      </c>
      <c r="AJ64" s="104" t="e">
        <f t="shared" si="13"/>
        <v>#VALUE!</v>
      </c>
      <c r="AK64" s="104" t="e">
        <f t="shared" si="14"/>
        <v>#N/A</v>
      </c>
      <c r="AL64" s="104" t="e">
        <f t="shared" si="15"/>
        <v>#N/A</v>
      </c>
      <c r="AM64" s="104" t="e">
        <f t="shared" si="16"/>
        <v>#N/A</v>
      </c>
      <c r="AN64" s="104" t="e">
        <f t="shared" si="17"/>
        <v>#N/A</v>
      </c>
      <c r="AO64" s="104" t="e">
        <f t="shared" si="18"/>
        <v>#N/A</v>
      </c>
      <c r="AP64" s="104" t="e">
        <f t="shared" si="19"/>
        <v>#N/A</v>
      </c>
      <c r="AQ64" s="104" t="e">
        <f t="shared" si="20"/>
        <v>#N/A</v>
      </c>
      <c r="AR64" s="105" t="str">
        <f t="shared" si="21"/>
        <v/>
      </c>
      <c r="AS64" s="105" t="str">
        <f t="shared" si="22"/>
        <v/>
      </c>
      <c r="AT64" s="108" t="str">
        <f t="shared" si="23"/>
        <v/>
      </c>
      <c r="AU64" s="108" t="str">
        <f t="shared" si="24"/>
        <v/>
      </c>
      <c r="AV64" s="107" t="str">
        <f>IF(ISNUMBER(O64),IF(VLOOKUP($A64,Stand!C:J,8,FALSE)="Short",AT64,AU64),"")</f>
        <v/>
      </c>
      <c r="AW64" s="109" t="str">
        <f t="shared" si="25"/>
        <v/>
      </c>
      <c r="AX64" s="109" t="str">
        <f t="shared" si="26"/>
        <v/>
      </c>
      <c r="AY64" s="112" t="str">
        <f>IF(ISNUMBER(O64),IF(AND(VLOOKUP($D64,Merchantability!$B:$C,2,0)="Yes",$E64&gt;=VLOOKUP($D64,Merchantability!$B:$D,3,0),$E64&lt;=VLOOKUP($D64,Merchantability!$B:$E,4,0)),(AV64*O64)*(1-$H64/100),""),"")</f>
        <v/>
      </c>
      <c r="AZ64" s="115"/>
      <c r="BA64" s="116"/>
      <c r="BB64" s="116"/>
      <c r="BE64" s="62"/>
      <c r="BF64" s="63"/>
    </row>
    <row r="65" spans="1:58" ht="12.75" customHeight="1" x14ac:dyDescent="0.25">
      <c r="A65" s="313"/>
      <c r="B65" s="328"/>
      <c r="C65" s="329"/>
      <c r="D65" s="328"/>
      <c r="E65" s="330"/>
      <c r="F65" s="331"/>
      <c r="G65" s="329"/>
      <c r="H65" s="329"/>
      <c r="I65" s="328"/>
      <c r="J65" s="329"/>
      <c r="K65" s="329"/>
      <c r="L65" s="329"/>
      <c r="M65" s="76"/>
      <c r="N65" s="103" t="str">
        <f>IF(A65="","",VLOOKUP(A65,Stand!C:K,9,0))</f>
        <v/>
      </c>
      <c r="O65" s="104" t="str">
        <f t="shared" si="0"/>
        <v/>
      </c>
      <c r="P65" s="105" t="str">
        <f t="shared" si="1"/>
        <v/>
      </c>
      <c r="Q65" s="105" t="str">
        <f t="shared" si="2"/>
        <v/>
      </c>
      <c r="R65" s="103" t="str">
        <f t="shared" si="3"/>
        <v/>
      </c>
      <c r="S65" s="103" t="str">
        <f t="shared" si="4"/>
        <v/>
      </c>
      <c r="T65" s="106" t="str">
        <f t="shared" si="5"/>
        <v/>
      </c>
      <c r="U65" s="106" t="str">
        <f t="shared" si="6"/>
        <v/>
      </c>
      <c r="V65" s="106" t="str">
        <f t="shared" si="7"/>
        <v/>
      </c>
      <c r="W65" s="105" t="str">
        <f t="shared" si="8"/>
        <v/>
      </c>
      <c r="X65" s="104" t="str">
        <f t="shared" si="9"/>
        <v/>
      </c>
      <c r="Y65" s="104" t="str">
        <f t="array" ref="Y65">IFERROR(IF(ISNUMBER(O65),IF(COUNT(IF(A65=$A$2:$A$2427,IF(D65=$D$2:$D$2427,IF($X$2:$X$2427&gt;0,1))))&gt;0,SUM(IF(A65=$A$2:$A$2427,IF(D65=$D$2:$D$2427,$X$2:$X$2427)))/COUNT(IF(A65=$A$2:$A$2427,IF(D65=$D$2:$D$2427,IF(ISNUMBER($X$2:$X$2427),1)))),0),""),0)</f>
        <v/>
      </c>
      <c r="Z65" s="104" t="str">
        <f>IF(ISNUMBER(O65),IF(I65&gt;0,(10^(VLOOKUP(D65,'Species Codes'!B:C,2,0)+VLOOKUP(D65,'Species Codes'!B:D,3,0)*LOG(E65)+VLOOKUP(D65,'Species Codes'!B:E,4,0)*LOG(I65))),0),"")</f>
        <v/>
      </c>
      <c r="AA65" s="104" t="str">
        <f>IFERROR((VLOOKUP(D65,'Species Codes'!B:G,6,0)*Z65)/2000,"")</f>
        <v/>
      </c>
      <c r="AB65" s="104" t="e">
        <f>IF(Z65&gt;0,((IF(OR(D65="DF",D65="RA")=TRUE,EXP(VLOOKUP(D65,'Species Codes'!B:I,8,0)+VLOOKUP(D65,'Species Codes'!B:J,9,0)*(LN((E65*2.54)))),IF(OR(D65="PY",D65="RC",D65="WH",D65="NF")=TRUE,VLOOKUP(D65,'Species Codes'!B:I,8,0)+VLOOKUP(D65,'Species Codes'!B:J,9,0)*((E65*2.54)^2)*(I65*0.3048),IF(OR(D65="MD",D65="BM",D65="GA")=TRUE,((VLOOKUP(D65,'Species Codes'!B:I,8,0)*(((((E65*2.54)+VLOOKUP(D65,'Species Codes'!B:J,9,0))/VLOOKUP(D65,'Species Codes'!B:K,10,0))^VLOOKUP(D65,'Species Codes'!B:L,11,0))*((I65*0.3048)^VLOOKUP(D65,'Species Codes'!B:M,12,0))))-(VLOOKUP(D65,'Species Codes'!B:I,8,0)*((((E65*2.54)^VLOOKUP(D65,'Species Codes'!B:L,11,0))*((I65*0.3048)^VLOOKUP(D65,'Species Codes'!B:M,12,0))))))*35.3*VLOOKUP(D65,'Species Codes'!B:G,6,0)/2.2046,VLOOKUP(D65,'Species Codes'!B:I,8,0)+VLOOKUP(D65,'Species Codes'!B:J,9,0)*(((E65*2.54)/100)^2)*(I65*0.3048)))))*0.0011023),0)</f>
        <v>#N/A</v>
      </c>
      <c r="AC65" s="104" t="e">
        <f>IF(Z65&gt;0,((IF(OR(D65="RA",D65="OA",D65="OT",D65="UN",D65="PC"),EXP(VLOOKUP(D65,'Species Codes'!B:O,14,0)+VLOOKUP(D65,'Species Codes'!B:P,15,0)*LN((E65*2.54)))-EXP(VLOOKUP(D65,'Species Codes'!B:O,14,0)+VLOOKUP(D65,'Species Codes'!B:P,15,0)*LN((E65*2.54)))*(1/(VLOOKUP(D65,'Species Codes'!B:Q,16,0)+VLOOKUP(D65,'Species Codes'!B:R,17,0)*((E65*2.54)^VLOOKUP(D65,'Species Codes'!B:S,18,0)))),IF(OR(D65="BM",D65="MD",D65="OA"),EXP(VLOOKUP(D65,'Species Codes'!B:O,14,0)+VLOOKUP(D65,'Species Codes'!B:P,15,0)*LN((E65*2.54)))*(1-(1/(VLOOKUP(D65,'Species Codes'!B:Q,16,0)+VLOOKUP(D65,'Species Codes'!B:R,17,0)*((E65*2.54)^VLOOKUP(D65,'Species Codes'!B:S,18,0)))))/1000,IF(D65="DF",EXP(VLOOKUP(D65,'Species Codes'!B:O,14,0)+VLOOKUP(D65,'Species Codes'!B:P,15,0)*LN((E65*2.54))),VLOOKUP(D65,'Species Codes'!B:O,14,0)+VLOOKUP(D65,'Species Codes'!B:P,15,0)*(((E65*2.54)/100)^2)*(I65*0.3048)))))*0.0011023),0)</f>
        <v>#N/A</v>
      </c>
      <c r="AD65" s="104" t="e">
        <f t="shared" si="10"/>
        <v>#N/A</v>
      </c>
      <c r="AE65" s="104" t="e">
        <f t="shared" si="11"/>
        <v>#N/A</v>
      </c>
      <c r="AF65" s="104" t="e">
        <f>IF(AND(VLOOKUP($D65,Merchantability!$B:$C,2,0)="Yes",$E65&gt;=VLOOKUP($D65,Merchantability!$B:$D,3,0),$E65&lt;=VLOOKUP($D65,Merchantability!$B:$E,4,0)),AA65,0)</f>
        <v>#N/A</v>
      </c>
      <c r="AG65" s="104" t="e">
        <f>IF(AND(VLOOKUP($D65,Merchantability!$B:$C,2,0)="Yes",$E65&gt;=VLOOKUP($D65,Merchantability!$B:$D,3,0),$E65&lt;=VLOOKUP($D65,Merchantability!$B:$E,4,0)),AB65,0)</f>
        <v>#N/A</v>
      </c>
      <c r="AH65" s="104" t="e">
        <f>IF(AND(VLOOKUP($D65,Merchantability!$B:$C,2,0)="Yes",$E65&gt;=VLOOKUP($D65,Merchantability!$B:$D,3,0),$E65&lt;=VLOOKUP($D65,Merchantability!$B:$E,4,0)),AC65,0)</f>
        <v>#N/A</v>
      </c>
      <c r="AI65" s="104" t="e">
        <f t="shared" si="12"/>
        <v>#N/A</v>
      </c>
      <c r="AJ65" s="104" t="e">
        <f t="shared" si="13"/>
        <v>#VALUE!</v>
      </c>
      <c r="AK65" s="104" t="e">
        <f t="shared" si="14"/>
        <v>#N/A</v>
      </c>
      <c r="AL65" s="104" t="e">
        <f t="shared" si="15"/>
        <v>#N/A</v>
      </c>
      <c r="AM65" s="104" t="e">
        <f t="shared" si="16"/>
        <v>#N/A</v>
      </c>
      <c r="AN65" s="104" t="e">
        <f t="shared" si="17"/>
        <v>#N/A</v>
      </c>
      <c r="AO65" s="104" t="e">
        <f t="shared" si="18"/>
        <v>#N/A</v>
      </c>
      <c r="AP65" s="104" t="e">
        <f t="shared" si="19"/>
        <v>#N/A</v>
      </c>
      <c r="AQ65" s="104" t="e">
        <f t="shared" si="20"/>
        <v>#N/A</v>
      </c>
      <c r="AR65" s="105" t="str">
        <f t="shared" si="21"/>
        <v/>
      </c>
      <c r="AS65" s="105" t="str">
        <f t="shared" si="22"/>
        <v/>
      </c>
      <c r="AT65" s="108" t="str">
        <f t="shared" si="23"/>
        <v/>
      </c>
      <c r="AU65" s="108" t="str">
        <f t="shared" si="24"/>
        <v/>
      </c>
      <c r="AV65" s="107" t="str">
        <f>IF(ISNUMBER(O65),IF(VLOOKUP($A65,Stand!C:J,8,FALSE)="Short",AT65,AU65),"")</f>
        <v/>
      </c>
      <c r="AW65" s="109" t="str">
        <f t="shared" si="25"/>
        <v/>
      </c>
      <c r="AX65" s="109" t="str">
        <f t="shared" si="26"/>
        <v/>
      </c>
      <c r="AY65" s="112" t="str">
        <f>IF(ISNUMBER(O65),IF(AND(VLOOKUP($D65,Merchantability!$B:$C,2,0)="Yes",$E65&gt;=VLOOKUP($D65,Merchantability!$B:$D,3,0),$E65&lt;=VLOOKUP($D65,Merchantability!$B:$E,4,0)),(AV65*O65)*(1-$H65/100),""),"")</f>
        <v/>
      </c>
      <c r="AZ65" s="115"/>
      <c r="BA65" s="116"/>
      <c r="BB65" s="116"/>
      <c r="BE65" s="62"/>
      <c r="BF65" s="63"/>
    </row>
    <row r="66" spans="1:58" ht="12.75" customHeight="1" x14ac:dyDescent="0.25">
      <c r="A66" s="313"/>
      <c r="B66" s="328"/>
      <c r="C66" s="329"/>
      <c r="D66" s="328"/>
      <c r="E66" s="330"/>
      <c r="F66" s="331"/>
      <c r="G66" s="329"/>
      <c r="H66" s="329"/>
      <c r="I66" s="328"/>
      <c r="J66" s="329"/>
      <c r="K66" s="329"/>
      <c r="L66" s="329"/>
      <c r="M66" s="76"/>
      <c r="N66" s="103" t="str">
        <f>IF(A66="","",VLOOKUP(A66,Stand!C:K,9,0))</f>
        <v/>
      </c>
      <c r="O66" s="104" t="str">
        <f t="shared" ref="O66:O129" si="27">IF(E66&gt;0,IF(G66&gt;1,G66*(43560/(N66^2*3.14)),43560/(N66^2*3.14)),"")</f>
        <v/>
      </c>
      <c r="P66" s="105" t="str">
        <f t="shared" ref="P66:P129" si="28">IF(ISNUMBER(O66),E66*O66,"")</f>
        <v/>
      </c>
      <c r="Q66" s="105" t="str">
        <f t="shared" ref="Q66:Q129" si="29">IF(AND(ISNUMBER(O66),I66&gt;0),I66*O66,"")</f>
        <v/>
      </c>
      <c r="R66" s="103" t="str">
        <f t="shared" ref="R66:R129" si="30">IF(ISNUMBER(O66),E66^2*0.005454*O66,"")</f>
        <v/>
      </c>
      <c r="S66" s="103" t="str">
        <f t="shared" ref="S66:S129" si="31">IF(ISNUMBER(O66),(E66/10)^1.7*O66,"")</f>
        <v/>
      </c>
      <c r="T66" s="106" t="str">
        <f t="shared" ref="T66:T129" si="32">IF(AND(ISNUMBER(O66),J66&gt;0),J66/100,"")</f>
        <v/>
      </c>
      <c r="U66" s="106" t="str">
        <f t="shared" ref="U66:U129" si="33">IF(AND(ISNUMBER(O66),J66&gt;0),T66*O66,"")</f>
        <v/>
      </c>
      <c r="V66" s="106" t="str">
        <f t="shared" ref="V66:V129" si="34">IF(AND(ISNUMBER(O66),I66&gt;0),W66*O66,"")</f>
        <v/>
      </c>
      <c r="W66" s="105" t="str">
        <f t="shared" ref="W66:W129" si="35">IF(AND(ISNUMBER(O66),I66&gt;0),I66/(E66/12),"")</f>
        <v/>
      </c>
      <c r="X66" s="104" t="str">
        <f t="shared" ref="X66:X129" si="36">IF(ISNUMBER(O66),IF(I66&gt;0,IF(E66&gt;0,(0.912733*Z66)/(1.033*(1+1.382937*EXP(-4.015292*E66/10))*((E66^2)*0.005454+0.087266)-0.174533),""),""),"")</f>
        <v/>
      </c>
      <c r="Y66" s="104" t="str">
        <f t="array" ref="Y66">IFERROR(IF(ISNUMBER(O66),IF(COUNT(IF(A66=$A$2:$A$2427,IF(D66=$D$2:$D$2427,IF($X$2:$X$2427&gt;0,1))))&gt;0,SUM(IF(A66=$A$2:$A$2427,IF(D66=$D$2:$D$2427,$X$2:$X$2427)))/COUNT(IF(A66=$A$2:$A$2427,IF(D66=$D$2:$D$2427,IF(ISNUMBER($X$2:$X$2427),1)))),0),""),0)</f>
        <v/>
      </c>
      <c r="Z66" s="104" t="str">
        <f>IF(ISNUMBER(O66),IF(I66&gt;0,(10^(VLOOKUP(D66,'Species Codes'!B:C,2,0)+VLOOKUP(D66,'Species Codes'!B:D,3,0)*LOG(E66)+VLOOKUP(D66,'Species Codes'!B:E,4,0)*LOG(I66))),0),"")</f>
        <v/>
      </c>
      <c r="AA66" s="104" t="str">
        <f>IFERROR((VLOOKUP(D66,'Species Codes'!B:G,6,0)*Z66)/2000,"")</f>
        <v/>
      </c>
      <c r="AB66" s="104" t="e">
        <f>IF(Z66&gt;0,((IF(OR(D66="DF",D66="RA")=TRUE,EXP(VLOOKUP(D66,'Species Codes'!B:I,8,0)+VLOOKUP(D66,'Species Codes'!B:J,9,0)*(LN((E66*2.54)))),IF(OR(D66="PY",D66="RC",D66="WH",D66="NF")=TRUE,VLOOKUP(D66,'Species Codes'!B:I,8,0)+VLOOKUP(D66,'Species Codes'!B:J,9,0)*((E66*2.54)^2)*(I66*0.3048),IF(OR(D66="MD",D66="BM",D66="GA")=TRUE,((VLOOKUP(D66,'Species Codes'!B:I,8,0)*(((((E66*2.54)+VLOOKUP(D66,'Species Codes'!B:J,9,0))/VLOOKUP(D66,'Species Codes'!B:K,10,0))^VLOOKUP(D66,'Species Codes'!B:L,11,0))*((I66*0.3048)^VLOOKUP(D66,'Species Codes'!B:M,12,0))))-(VLOOKUP(D66,'Species Codes'!B:I,8,0)*((((E66*2.54)^VLOOKUP(D66,'Species Codes'!B:L,11,0))*((I66*0.3048)^VLOOKUP(D66,'Species Codes'!B:M,12,0))))))*35.3*VLOOKUP(D66,'Species Codes'!B:G,6,0)/2.2046,VLOOKUP(D66,'Species Codes'!B:I,8,0)+VLOOKUP(D66,'Species Codes'!B:J,9,0)*(((E66*2.54)/100)^2)*(I66*0.3048)))))*0.0011023),0)</f>
        <v>#N/A</v>
      </c>
      <c r="AC66" s="104" t="e">
        <f>IF(Z66&gt;0,((IF(OR(D66="RA",D66="OA",D66="OT",D66="UN",D66="PC"),EXP(VLOOKUP(D66,'Species Codes'!B:O,14,0)+VLOOKUP(D66,'Species Codes'!B:P,15,0)*LN((E66*2.54)))-EXP(VLOOKUP(D66,'Species Codes'!B:O,14,0)+VLOOKUP(D66,'Species Codes'!B:P,15,0)*LN((E66*2.54)))*(1/(VLOOKUP(D66,'Species Codes'!B:Q,16,0)+VLOOKUP(D66,'Species Codes'!B:R,17,0)*((E66*2.54)^VLOOKUP(D66,'Species Codes'!B:S,18,0)))),IF(OR(D66="BM",D66="MD",D66="OA"),EXP(VLOOKUP(D66,'Species Codes'!B:O,14,0)+VLOOKUP(D66,'Species Codes'!B:P,15,0)*LN((E66*2.54)))*(1-(1/(VLOOKUP(D66,'Species Codes'!B:Q,16,0)+VLOOKUP(D66,'Species Codes'!B:R,17,0)*((E66*2.54)^VLOOKUP(D66,'Species Codes'!B:S,18,0)))))/1000,IF(D66="DF",EXP(VLOOKUP(D66,'Species Codes'!B:O,14,0)+VLOOKUP(D66,'Species Codes'!B:P,15,0)*LN((E66*2.54))),VLOOKUP(D66,'Species Codes'!B:O,14,0)+VLOOKUP(D66,'Species Codes'!B:P,15,0)*(((E66*2.54)/100)^2)*(I66*0.3048)))))*0.0011023),0)</f>
        <v>#N/A</v>
      </c>
      <c r="AD66" s="104" t="e">
        <f t="shared" ref="AD66:AD129" si="37">SUM(AA66:AC66)</f>
        <v>#N/A</v>
      </c>
      <c r="AE66" s="104" t="e">
        <f t="shared" ref="AE66:AE129" si="38">AD66*O66</f>
        <v>#N/A</v>
      </c>
      <c r="AF66" s="104" t="e">
        <f>IF(AND(VLOOKUP($D66,Merchantability!$B:$C,2,0)="Yes",$E66&gt;=VLOOKUP($D66,Merchantability!$B:$D,3,0),$E66&lt;=VLOOKUP($D66,Merchantability!$B:$E,4,0)),AA66,0)</f>
        <v>#N/A</v>
      </c>
      <c r="AG66" s="104" t="e">
        <f>IF(AND(VLOOKUP($D66,Merchantability!$B:$C,2,0)="Yes",$E66&gt;=VLOOKUP($D66,Merchantability!$B:$D,3,0),$E66&lt;=VLOOKUP($D66,Merchantability!$B:$E,4,0)),AB66,0)</f>
        <v>#N/A</v>
      </c>
      <c r="AH66" s="104" t="e">
        <f>IF(AND(VLOOKUP($D66,Merchantability!$B:$C,2,0)="Yes",$E66&gt;=VLOOKUP($D66,Merchantability!$B:$D,3,0),$E66&lt;=VLOOKUP($D66,Merchantability!$B:$E,4,0)),AC66,0)</f>
        <v>#N/A</v>
      </c>
      <c r="AI66" s="104" t="e">
        <f t="shared" ref="AI66:AI129" si="39">SUM(AF66:AH66)</f>
        <v>#N/A</v>
      </c>
      <c r="AJ66" s="104" t="e">
        <f t="shared" ref="AJ66:AJ129" si="40">AA66*$O66</f>
        <v>#VALUE!</v>
      </c>
      <c r="AK66" s="104" t="e">
        <f t="shared" ref="AK66:AK129" si="41">AB66*$O66</f>
        <v>#N/A</v>
      </c>
      <c r="AL66" s="104" t="e">
        <f t="shared" ref="AL66:AL129" si="42">AC66*$O66</f>
        <v>#N/A</v>
      </c>
      <c r="AM66" s="104" t="e">
        <f t="shared" ref="AM66:AM129" si="43">AD66*$O66</f>
        <v>#N/A</v>
      </c>
      <c r="AN66" s="104" t="e">
        <f t="shared" ref="AN66:AN129" si="44">AF66*$O66</f>
        <v>#N/A</v>
      </c>
      <c r="AO66" s="104" t="e">
        <f t="shared" ref="AO66:AO129" si="45">AG66*$O66</f>
        <v>#N/A</v>
      </c>
      <c r="AP66" s="104" t="e">
        <f t="shared" ref="AP66:AP129" si="46">AH66*$O66</f>
        <v>#N/A</v>
      </c>
      <c r="AQ66" s="104" t="e">
        <f t="shared" ref="AQ66:AQ129" si="47">SUM(AN66:AP66)</f>
        <v>#N/A</v>
      </c>
      <c r="AR66" s="105" t="str">
        <f t="shared" ref="AR66:AR129" si="48">IF(ISNUMBER(O66),IF(Y66&gt;0,((Y66*(E66^2*0.005454-0.087266))/0.912733),0),"")</f>
        <v/>
      </c>
      <c r="AS66" s="105" t="str">
        <f t="shared" ref="AS66:AS129" si="49">IF(ISNUMBER(O66),AR66*(0.993-0.993*(0.62^(E66-6))),"")</f>
        <v/>
      </c>
      <c r="AT66" s="108" t="str">
        <f t="shared" ref="AT66:AT129" si="50">IF(ISNUMBER(O66),IF(AS66&gt;0,IF(Y66&gt;0,(AS66*10^(0.174439+0.117594*(LOG(E66,10))*(LOG(Y66/0.912733,10))-8.210585/E66^2+0.236693*(LOG(Y66/0.912733,10))-0.00001345*(Y66/0.912733)^2-0.00001937*E66^2)),0),0),"")</f>
        <v/>
      </c>
      <c r="AU66" s="108" t="str">
        <f t="shared" ref="AU66:AU129" si="51">IF(ISNUMBER(O66),IF(AS66&gt;0,IF(Y66&gt;0,AT66*(1.001491-(6.92497/Y66)+(0.00001351*(E66^2))),0),0),"")</f>
        <v/>
      </c>
      <c r="AV66" s="107" t="str">
        <f>IF(ISNUMBER(O66),IF(VLOOKUP($A66,Stand!C:J,8,FALSE)="Short",AT66,AU66),"")</f>
        <v/>
      </c>
      <c r="AW66" s="109" t="str">
        <f t="shared" ref="AW66:AW129" si="52">IF(ISNUMBER(O66),AV66*O66,"")</f>
        <v/>
      </c>
      <c r="AX66" s="109" t="str">
        <f t="shared" ref="AX66:AX129" si="53">IF(ISNUMBER(O66),AW66*(1-$H66/100),"")</f>
        <v/>
      </c>
      <c r="AY66" s="112" t="str">
        <f>IF(ISNUMBER(O66),IF(AND(VLOOKUP($D66,Merchantability!$B:$C,2,0)="Yes",$E66&gt;=VLOOKUP($D66,Merchantability!$B:$D,3,0),$E66&lt;=VLOOKUP($D66,Merchantability!$B:$E,4,0)),(AV66*O66)*(1-$H66/100),""),"")</f>
        <v/>
      </c>
      <c r="AZ66" s="115"/>
      <c r="BA66" s="116"/>
      <c r="BB66" s="116"/>
      <c r="BE66" s="62"/>
      <c r="BF66" s="63"/>
    </row>
    <row r="67" spans="1:58" ht="12.75" customHeight="1" x14ac:dyDescent="0.25">
      <c r="A67" s="313"/>
      <c r="B67" s="328"/>
      <c r="C67" s="329"/>
      <c r="D67" s="328"/>
      <c r="E67" s="330"/>
      <c r="F67" s="331"/>
      <c r="G67" s="329"/>
      <c r="H67" s="329"/>
      <c r="I67" s="328"/>
      <c r="J67" s="329"/>
      <c r="K67" s="329"/>
      <c r="L67" s="329"/>
      <c r="M67" s="76"/>
      <c r="N67" s="103" t="str">
        <f>IF(A67="","",VLOOKUP(A67,Stand!C:K,9,0))</f>
        <v/>
      </c>
      <c r="O67" s="104" t="str">
        <f t="shared" si="27"/>
        <v/>
      </c>
      <c r="P67" s="105" t="str">
        <f t="shared" si="28"/>
        <v/>
      </c>
      <c r="Q67" s="105" t="str">
        <f t="shared" si="29"/>
        <v/>
      </c>
      <c r="R67" s="103" t="str">
        <f t="shared" si="30"/>
        <v/>
      </c>
      <c r="S67" s="103" t="str">
        <f t="shared" si="31"/>
        <v/>
      </c>
      <c r="T67" s="106" t="str">
        <f t="shared" si="32"/>
        <v/>
      </c>
      <c r="U67" s="106" t="str">
        <f t="shared" si="33"/>
        <v/>
      </c>
      <c r="V67" s="106" t="str">
        <f t="shared" si="34"/>
        <v/>
      </c>
      <c r="W67" s="105" t="str">
        <f t="shared" si="35"/>
        <v/>
      </c>
      <c r="X67" s="104" t="str">
        <f t="shared" si="36"/>
        <v/>
      </c>
      <c r="Y67" s="104" t="str">
        <f t="array" ref="Y67">IFERROR(IF(ISNUMBER(O67),IF(COUNT(IF(A67=$A$2:$A$2427,IF(D67=$D$2:$D$2427,IF($X$2:$X$2427&gt;0,1))))&gt;0,SUM(IF(A67=$A$2:$A$2427,IF(D67=$D$2:$D$2427,$X$2:$X$2427)))/COUNT(IF(A67=$A$2:$A$2427,IF(D67=$D$2:$D$2427,IF(ISNUMBER($X$2:$X$2427),1)))),0),""),0)</f>
        <v/>
      </c>
      <c r="Z67" s="104" t="str">
        <f>IF(ISNUMBER(O67),IF(I67&gt;0,(10^(VLOOKUP(D67,'Species Codes'!B:C,2,0)+VLOOKUP(D67,'Species Codes'!B:D,3,0)*LOG(E67)+VLOOKUP(D67,'Species Codes'!B:E,4,0)*LOG(I67))),0),"")</f>
        <v/>
      </c>
      <c r="AA67" s="104" t="str">
        <f>IFERROR((VLOOKUP(D67,'Species Codes'!B:G,6,0)*Z67)/2000,"")</f>
        <v/>
      </c>
      <c r="AB67" s="104" t="e">
        <f>IF(Z67&gt;0,((IF(OR(D67="DF",D67="RA")=TRUE,EXP(VLOOKUP(D67,'Species Codes'!B:I,8,0)+VLOOKUP(D67,'Species Codes'!B:J,9,0)*(LN((E67*2.54)))),IF(OR(D67="PY",D67="RC",D67="WH",D67="NF")=TRUE,VLOOKUP(D67,'Species Codes'!B:I,8,0)+VLOOKUP(D67,'Species Codes'!B:J,9,0)*((E67*2.54)^2)*(I67*0.3048),IF(OR(D67="MD",D67="BM",D67="GA")=TRUE,((VLOOKUP(D67,'Species Codes'!B:I,8,0)*(((((E67*2.54)+VLOOKUP(D67,'Species Codes'!B:J,9,0))/VLOOKUP(D67,'Species Codes'!B:K,10,0))^VLOOKUP(D67,'Species Codes'!B:L,11,0))*((I67*0.3048)^VLOOKUP(D67,'Species Codes'!B:M,12,0))))-(VLOOKUP(D67,'Species Codes'!B:I,8,0)*((((E67*2.54)^VLOOKUP(D67,'Species Codes'!B:L,11,0))*((I67*0.3048)^VLOOKUP(D67,'Species Codes'!B:M,12,0))))))*35.3*VLOOKUP(D67,'Species Codes'!B:G,6,0)/2.2046,VLOOKUP(D67,'Species Codes'!B:I,8,0)+VLOOKUP(D67,'Species Codes'!B:J,9,0)*(((E67*2.54)/100)^2)*(I67*0.3048)))))*0.0011023),0)</f>
        <v>#N/A</v>
      </c>
      <c r="AC67" s="104" t="e">
        <f>IF(Z67&gt;0,((IF(OR(D67="RA",D67="OA",D67="OT",D67="UN",D67="PC"),EXP(VLOOKUP(D67,'Species Codes'!B:O,14,0)+VLOOKUP(D67,'Species Codes'!B:P,15,0)*LN((E67*2.54)))-EXP(VLOOKUP(D67,'Species Codes'!B:O,14,0)+VLOOKUP(D67,'Species Codes'!B:P,15,0)*LN((E67*2.54)))*(1/(VLOOKUP(D67,'Species Codes'!B:Q,16,0)+VLOOKUP(D67,'Species Codes'!B:R,17,0)*((E67*2.54)^VLOOKUP(D67,'Species Codes'!B:S,18,0)))),IF(OR(D67="BM",D67="MD",D67="OA"),EXP(VLOOKUP(D67,'Species Codes'!B:O,14,0)+VLOOKUP(D67,'Species Codes'!B:P,15,0)*LN((E67*2.54)))*(1-(1/(VLOOKUP(D67,'Species Codes'!B:Q,16,0)+VLOOKUP(D67,'Species Codes'!B:R,17,0)*((E67*2.54)^VLOOKUP(D67,'Species Codes'!B:S,18,0)))))/1000,IF(D67="DF",EXP(VLOOKUP(D67,'Species Codes'!B:O,14,0)+VLOOKUP(D67,'Species Codes'!B:P,15,0)*LN((E67*2.54))),VLOOKUP(D67,'Species Codes'!B:O,14,0)+VLOOKUP(D67,'Species Codes'!B:P,15,0)*(((E67*2.54)/100)^2)*(I67*0.3048)))))*0.0011023),0)</f>
        <v>#N/A</v>
      </c>
      <c r="AD67" s="104" t="e">
        <f t="shared" si="37"/>
        <v>#N/A</v>
      </c>
      <c r="AE67" s="104" t="e">
        <f t="shared" si="38"/>
        <v>#N/A</v>
      </c>
      <c r="AF67" s="104" t="e">
        <f>IF(AND(VLOOKUP($D67,Merchantability!$B:$C,2,0)="Yes",$E67&gt;=VLOOKUP($D67,Merchantability!$B:$D,3,0),$E67&lt;=VLOOKUP($D67,Merchantability!$B:$E,4,0)),AA67,0)</f>
        <v>#N/A</v>
      </c>
      <c r="AG67" s="104" t="e">
        <f>IF(AND(VLOOKUP($D67,Merchantability!$B:$C,2,0)="Yes",$E67&gt;=VLOOKUP($D67,Merchantability!$B:$D,3,0),$E67&lt;=VLOOKUP($D67,Merchantability!$B:$E,4,0)),AB67,0)</f>
        <v>#N/A</v>
      </c>
      <c r="AH67" s="104" t="e">
        <f>IF(AND(VLOOKUP($D67,Merchantability!$B:$C,2,0)="Yes",$E67&gt;=VLOOKUP($D67,Merchantability!$B:$D,3,0),$E67&lt;=VLOOKUP($D67,Merchantability!$B:$E,4,0)),AC67,0)</f>
        <v>#N/A</v>
      </c>
      <c r="AI67" s="104" t="e">
        <f t="shared" si="39"/>
        <v>#N/A</v>
      </c>
      <c r="AJ67" s="104" t="e">
        <f t="shared" si="40"/>
        <v>#VALUE!</v>
      </c>
      <c r="AK67" s="104" t="e">
        <f t="shared" si="41"/>
        <v>#N/A</v>
      </c>
      <c r="AL67" s="104" t="e">
        <f t="shared" si="42"/>
        <v>#N/A</v>
      </c>
      <c r="AM67" s="104" t="e">
        <f t="shared" si="43"/>
        <v>#N/A</v>
      </c>
      <c r="AN67" s="104" t="e">
        <f t="shared" si="44"/>
        <v>#N/A</v>
      </c>
      <c r="AO67" s="104" t="e">
        <f t="shared" si="45"/>
        <v>#N/A</v>
      </c>
      <c r="AP67" s="104" t="e">
        <f t="shared" si="46"/>
        <v>#N/A</v>
      </c>
      <c r="AQ67" s="104" t="e">
        <f t="shared" si="47"/>
        <v>#N/A</v>
      </c>
      <c r="AR67" s="105" t="str">
        <f t="shared" si="48"/>
        <v/>
      </c>
      <c r="AS67" s="105" t="str">
        <f t="shared" si="49"/>
        <v/>
      </c>
      <c r="AT67" s="108" t="str">
        <f t="shared" si="50"/>
        <v/>
      </c>
      <c r="AU67" s="108" t="str">
        <f t="shared" si="51"/>
        <v/>
      </c>
      <c r="AV67" s="107" t="str">
        <f>IF(ISNUMBER(O67),IF(VLOOKUP($A67,Stand!C:J,8,FALSE)="Short",AT67,AU67),"")</f>
        <v/>
      </c>
      <c r="AW67" s="109" t="str">
        <f t="shared" si="52"/>
        <v/>
      </c>
      <c r="AX67" s="109" t="str">
        <f t="shared" si="53"/>
        <v/>
      </c>
      <c r="AY67" s="112" t="str">
        <f>IF(ISNUMBER(O67),IF(AND(VLOOKUP($D67,Merchantability!$B:$C,2,0)="Yes",$E67&gt;=VLOOKUP($D67,Merchantability!$B:$D,3,0),$E67&lt;=VLOOKUP($D67,Merchantability!$B:$E,4,0)),(AV67*O67)*(1-$H67/100),""),"")</f>
        <v/>
      </c>
      <c r="AZ67" s="115"/>
      <c r="BA67" s="116"/>
      <c r="BB67" s="116"/>
      <c r="BE67" s="62"/>
      <c r="BF67" s="63"/>
    </row>
    <row r="68" spans="1:58" ht="12.75" customHeight="1" x14ac:dyDescent="0.25">
      <c r="A68" s="313"/>
      <c r="B68" s="328"/>
      <c r="C68" s="329"/>
      <c r="D68" s="328"/>
      <c r="E68" s="330"/>
      <c r="F68" s="331"/>
      <c r="G68" s="329"/>
      <c r="H68" s="329"/>
      <c r="I68" s="328"/>
      <c r="J68" s="329"/>
      <c r="K68" s="329"/>
      <c r="L68" s="329"/>
      <c r="M68" s="76"/>
      <c r="N68" s="103" t="str">
        <f>IF(A68="","",VLOOKUP(A68,Stand!C:K,9,0))</f>
        <v/>
      </c>
      <c r="O68" s="104" t="str">
        <f t="shared" si="27"/>
        <v/>
      </c>
      <c r="P68" s="105" t="str">
        <f t="shared" si="28"/>
        <v/>
      </c>
      <c r="Q68" s="105" t="str">
        <f t="shared" si="29"/>
        <v/>
      </c>
      <c r="R68" s="103" t="str">
        <f t="shared" si="30"/>
        <v/>
      </c>
      <c r="S68" s="103" t="str">
        <f t="shared" si="31"/>
        <v/>
      </c>
      <c r="T68" s="106" t="str">
        <f t="shared" si="32"/>
        <v/>
      </c>
      <c r="U68" s="106" t="str">
        <f t="shared" si="33"/>
        <v/>
      </c>
      <c r="V68" s="106" t="str">
        <f t="shared" si="34"/>
        <v/>
      </c>
      <c r="W68" s="105" t="str">
        <f t="shared" si="35"/>
        <v/>
      </c>
      <c r="X68" s="104" t="str">
        <f t="shared" si="36"/>
        <v/>
      </c>
      <c r="Y68" s="104" t="str">
        <f t="array" ref="Y68">IFERROR(IF(ISNUMBER(O68),IF(COUNT(IF(A68=$A$2:$A$2427,IF(D68=$D$2:$D$2427,IF($X$2:$X$2427&gt;0,1))))&gt;0,SUM(IF(A68=$A$2:$A$2427,IF(D68=$D$2:$D$2427,$X$2:$X$2427)))/COUNT(IF(A68=$A$2:$A$2427,IF(D68=$D$2:$D$2427,IF(ISNUMBER($X$2:$X$2427),1)))),0),""),0)</f>
        <v/>
      </c>
      <c r="Z68" s="104" t="str">
        <f>IF(ISNUMBER(O68),IF(I68&gt;0,(10^(VLOOKUP(D68,'Species Codes'!B:C,2,0)+VLOOKUP(D68,'Species Codes'!B:D,3,0)*LOG(E68)+VLOOKUP(D68,'Species Codes'!B:E,4,0)*LOG(I68))),0),"")</f>
        <v/>
      </c>
      <c r="AA68" s="104" t="str">
        <f>IFERROR((VLOOKUP(D68,'Species Codes'!B:G,6,0)*Z68)/2000,"")</f>
        <v/>
      </c>
      <c r="AB68" s="104" t="e">
        <f>IF(Z68&gt;0,((IF(OR(D68="DF",D68="RA")=TRUE,EXP(VLOOKUP(D68,'Species Codes'!B:I,8,0)+VLOOKUP(D68,'Species Codes'!B:J,9,0)*(LN((E68*2.54)))),IF(OR(D68="PY",D68="RC",D68="WH",D68="NF")=TRUE,VLOOKUP(D68,'Species Codes'!B:I,8,0)+VLOOKUP(D68,'Species Codes'!B:J,9,0)*((E68*2.54)^2)*(I68*0.3048),IF(OR(D68="MD",D68="BM",D68="GA")=TRUE,((VLOOKUP(D68,'Species Codes'!B:I,8,0)*(((((E68*2.54)+VLOOKUP(D68,'Species Codes'!B:J,9,0))/VLOOKUP(D68,'Species Codes'!B:K,10,0))^VLOOKUP(D68,'Species Codes'!B:L,11,0))*((I68*0.3048)^VLOOKUP(D68,'Species Codes'!B:M,12,0))))-(VLOOKUP(D68,'Species Codes'!B:I,8,0)*((((E68*2.54)^VLOOKUP(D68,'Species Codes'!B:L,11,0))*((I68*0.3048)^VLOOKUP(D68,'Species Codes'!B:M,12,0))))))*35.3*VLOOKUP(D68,'Species Codes'!B:G,6,0)/2.2046,VLOOKUP(D68,'Species Codes'!B:I,8,0)+VLOOKUP(D68,'Species Codes'!B:J,9,0)*(((E68*2.54)/100)^2)*(I68*0.3048)))))*0.0011023),0)</f>
        <v>#N/A</v>
      </c>
      <c r="AC68" s="104" t="e">
        <f>IF(Z68&gt;0,((IF(OR(D68="RA",D68="OA",D68="OT",D68="UN",D68="PC"),EXP(VLOOKUP(D68,'Species Codes'!B:O,14,0)+VLOOKUP(D68,'Species Codes'!B:P,15,0)*LN((E68*2.54)))-EXP(VLOOKUP(D68,'Species Codes'!B:O,14,0)+VLOOKUP(D68,'Species Codes'!B:P,15,0)*LN((E68*2.54)))*(1/(VLOOKUP(D68,'Species Codes'!B:Q,16,0)+VLOOKUP(D68,'Species Codes'!B:R,17,0)*((E68*2.54)^VLOOKUP(D68,'Species Codes'!B:S,18,0)))),IF(OR(D68="BM",D68="MD",D68="OA"),EXP(VLOOKUP(D68,'Species Codes'!B:O,14,0)+VLOOKUP(D68,'Species Codes'!B:P,15,0)*LN((E68*2.54)))*(1-(1/(VLOOKUP(D68,'Species Codes'!B:Q,16,0)+VLOOKUP(D68,'Species Codes'!B:R,17,0)*((E68*2.54)^VLOOKUP(D68,'Species Codes'!B:S,18,0)))))/1000,IF(D68="DF",EXP(VLOOKUP(D68,'Species Codes'!B:O,14,0)+VLOOKUP(D68,'Species Codes'!B:P,15,0)*LN((E68*2.54))),VLOOKUP(D68,'Species Codes'!B:O,14,0)+VLOOKUP(D68,'Species Codes'!B:P,15,0)*(((E68*2.54)/100)^2)*(I68*0.3048)))))*0.0011023),0)</f>
        <v>#N/A</v>
      </c>
      <c r="AD68" s="104" t="e">
        <f t="shared" si="37"/>
        <v>#N/A</v>
      </c>
      <c r="AE68" s="104" t="e">
        <f t="shared" si="38"/>
        <v>#N/A</v>
      </c>
      <c r="AF68" s="104" t="e">
        <f>IF(AND(VLOOKUP($D68,Merchantability!$B:$C,2,0)="Yes",$E68&gt;=VLOOKUP($D68,Merchantability!$B:$D,3,0),$E68&lt;=VLOOKUP($D68,Merchantability!$B:$E,4,0)),AA68,0)</f>
        <v>#N/A</v>
      </c>
      <c r="AG68" s="104" t="e">
        <f>IF(AND(VLOOKUP($D68,Merchantability!$B:$C,2,0)="Yes",$E68&gt;=VLOOKUP($D68,Merchantability!$B:$D,3,0),$E68&lt;=VLOOKUP($D68,Merchantability!$B:$E,4,0)),AB68,0)</f>
        <v>#N/A</v>
      </c>
      <c r="AH68" s="104" t="e">
        <f>IF(AND(VLOOKUP($D68,Merchantability!$B:$C,2,0)="Yes",$E68&gt;=VLOOKUP($D68,Merchantability!$B:$D,3,0),$E68&lt;=VLOOKUP($D68,Merchantability!$B:$E,4,0)),AC68,0)</f>
        <v>#N/A</v>
      </c>
      <c r="AI68" s="104" t="e">
        <f t="shared" si="39"/>
        <v>#N/A</v>
      </c>
      <c r="AJ68" s="104" t="e">
        <f t="shared" si="40"/>
        <v>#VALUE!</v>
      </c>
      <c r="AK68" s="104" t="e">
        <f t="shared" si="41"/>
        <v>#N/A</v>
      </c>
      <c r="AL68" s="104" t="e">
        <f t="shared" si="42"/>
        <v>#N/A</v>
      </c>
      <c r="AM68" s="104" t="e">
        <f t="shared" si="43"/>
        <v>#N/A</v>
      </c>
      <c r="AN68" s="104" t="e">
        <f t="shared" si="44"/>
        <v>#N/A</v>
      </c>
      <c r="AO68" s="104" t="e">
        <f t="shared" si="45"/>
        <v>#N/A</v>
      </c>
      <c r="AP68" s="104" t="e">
        <f t="shared" si="46"/>
        <v>#N/A</v>
      </c>
      <c r="AQ68" s="104" t="e">
        <f t="shared" si="47"/>
        <v>#N/A</v>
      </c>
      <c r="AR68" s="105" t="str">
        <f t="shared" si="48"/>
        <v/>
      </c>
      <c r="AS68" s="105" t="str">
        <f t="shared" si="49"/>
        <v/>
      </c>
      <c r="AT68" s="108" t="str">
        <f t="shared" si="50"/>
        <v/>
      </c>
      <c r="AU68" s="108" t="str">
        <f t="shared" si="51"/>
        <v/>
      </c>
      <c r="AV68" s="107" t="str">
        <f>IF(ISNUMBER(O68),IF(VLOOKUP($A68,Stand!C:J,8,FALSE)="Short",AT68,AU68),"")</f>
        <v/>
      </c>
      <c r="AW68" s="109" t="str">
        <f t="shared" si="52"/>
        <v/>
      </c>
      <c r="AX68" s="109" t="str">
        <f t="shared" si="53"/>
        <v/>
      </c>
      <c r="AY68" s="112" t="str">
        <f>IF(ISNUMBER(O68),IF(AND(VLOOKUP($D68,Merchantability!$B:$C,2,0)="Yes",$E68&gt;=VLOOKUP($D68,Merchantability!$B:$D,3,0),$E68&lt;=VLOOKUP($D68,Merchantability!$B:$E,4,0)),(AV68*O68)*(1-$H68/100),""),"")</f>
        <v/>
      </c>
      <c r="AZ68" s="116"/>
      <c r="BA68" s="116"/>
      <c r="BB68" s="116"/>
      <c r="BE68" s="62"/>
      <c r="BF68" s="63"/>
    </row>
    <row r="69" spans="1:58" ht="12.75" customHeight="1" x14ac:dyDescent="0.25">
      <c r="A69" s="313"/>
      <c r="B69" s="328"/>
      <c r="C69" s="329"/>
      <c r="D69" s="328"/>
      <c r="E69" s="330"/>
      <c r="F69" s="331"/>
      <c r="G69" s="329"/>
      <c r="H69" s="329"/>
      <c r="I69" s="328"/>
      <c r="J69" s="329"/>
      <c r="K69" s="329"/>
      <c r="L69" s="329"/>
      <c r="M69" s="76"/>
      <c r="N69" s="103" t="str">
        <f>IF(A69="","",VLOOKUP(A69,Stand!C:K,9,0))</f>
        <v/>
      </c>
      <c r="O69" s="104" t="str">
        <f t="shared" si="27"/>
        <v/>
      </c>
      <c r="P69" s="105" t="str">
        <f t="shared" si="28"/>
        <v/>
      </c>
      <c r="Q69" s="105" t="str">
        <f t="shared" si="29"/>
        <v/>
      </c>
      <c r="R69" s="103" t="str">
        <f t="shared" si="30"/>
        <v/>
      </c>
      <c r="S69" s="103" t="str">
        <f t="shared" si="31"/>
        <v/>
      </c>
      <c r="T69" s="106" t="str">
        <f t="shared" si="32"/>
        <v/>
      </c>
      <c r="U69" s="106" t="str">
        <f t="shared" si="33"/>
        <v/>
      </c>
      <c r="V69" s="106" t="str">
        <f t="shared" si="34"/>
        <v/>
      </c>
      <c r="W69" s="105" t="str">
        <f t="shared" si="35"/>
        <v/>
      </c>
      <c r="X69" s="104" t="str">
        <f t="shared" si="36"/>
        <v/>
      </c>
      <c r="Y69" s="104" t="str">
        <f t="array" ref="Y69">IFERROR(IF(ISNUMBER(O69),IF(COUNT(IF(A69=$A$2:$A$2427,IF(D69=$D$2:$D$2427,IF($X$2:$X$2427&gt;0,1))))&gt;0,SUM(IF(A69=$A$2:$A$2427,IF(D69=$D$2:$D$2427,$X$2:$X$2427)))/COUNT(IF(A69=$A$2:$A$2427,IF(D69=$D$2:$D$2427,IF(ISNUMBER($X$2:$X$2427),1)))),0),""),0)</f>
        <v/>
      </c>
      <c r="Z69" s="104" t="str">
        <f>IF(ISNUMBER(O69),IF(I69&gt;0,(10^(VLOOKUP(D69,'Species Codes'!B:C,2,0)+VLOOKUP(D69,'Species Codes'!B:D,3,0)*LOG(E69)+VLOOKUP(D69,'Species Codes'!B:E,4,0)*LOG(I69))),0),"")</f>
        <v/>
      </c>
      <c r="AA69" s="104" t="str">
        <f>IFERROR((VLOOKUP(D69,'Species Codes'!B:G,6,0)*Z69)/2000,"")</f>
        <v/>
      </c>
      <c r="AB69" s="104" t="e">
        <f>IF(Z69&gt;0,((IF(OR(D69="DF",D69="RA")=TRUE,EXP(VLOOKUP(D69,'Species Codes'!B:I,8,0)+VLOOKUP(D69,'Species Codes'!B:J,9,0)*(LN((E69*2.54)))),IF(OR(D69="PY",D69="RC",D69="WH",D69="NF")=TRUE,VLOOKUP(D69,'Species Codes'!B:I,8,0)+VLOOKUP(D69,'Species Codes'!B:J,9,0)*((E69*2.54)^2)*(I69*0.3048),IF(OR(D69="MD",D69="BM",D69="GA")=TRUE,((VLOOKUP(D69,'Species Codes'!B:I,8,0)*(((((E69*2.54)+VLOOKUP(D69,'Species Codes'!B:J,9,0))/VLOOKUP(D69,'Species Codes'!B:K,10,0))^VLOOKUP(D69,'Species Codes'!B:L,11,0))*((I69*0.3048)^VLOOKUP(D69,'Species Codes'!B:M,12,0))))-(VLOOKUP(D69,'Species Codes'!B:I,8,0)*((((E69*2.54)^VLOOKUP(D69,'Species Codes'!B:L,11,0))*((I69*0.3048)^VLOOKUP(D69,'Species Codes'!B:M,12,0))))))*35.3*VLOOKUP(D69,'Species Codes'!B:G,6,0)/2.2046,VLOOKUP(D69,'Species Codes'!B:I,8,0)+VLOOKUP(D69,'Species Codes'!B:J,9,0)*(((E69*2.54)/100)^2)*(I69*0.3048)))))*0.0011023),0)</f>
        <v>#N/A</v>
      </c>
      <c r="AC69" s="104" t="e">
        <f>IF(Z69&gt;0,((IF(OR(D69="RA",D69="OA",D69="OT",D69="UN",D69="PC"),EXP(VLOOKUP(D69,'Species Codes'!B:O,14,0)+VLOOKUP(D69,'Species Codes'!B:P,15,0)*LN((E69*2.54)))-EXP(VLOOKUP(D69,'Species Codes'!B:O,14,0)+VLOOKUP(D69,'Species Codes'!B:P,15,0)*LN((E69*2.54)))*(1/(VLOOKUP(D69,'Species Codes'!B:Q,16,0)+VLOOKUP(D69,'Species Codes'!B:R,17,0)*((E69*2.54)^VLOOKUP(D69,'Species Codes'!B:S,18,0)))),IF(OR(D69="BM",D69="MD",D69="OA"),EXP(VLOOKUP(D69,'Species Codes'!B:O,14,0)+VLOOKUP(D69,'Species Codes'!B:P,15,0)*LN((E69*2.54)))*(1-(1/(VLOOKUP(D69,'Species Codes'!B:Q,16,0)+VLOOKUP(D69,'Species Codes'!B:R,17,0)*((E69*2.54)^VLOOKUP(D69,'Species Codes'!B:S,18,0)))))/1000,IF(D69="DF",EXP(VLOOKUP(D69,'Species Codes'!B:O,14,0)+VLOOKUP(D69,'Species Codes'!B:P,15,0)*LN((E69*2.54))),VLOOKUP(D69,'Species Codes'!B:O,14,0)+VLOOKUP(D69,'Species Codes'!B:P,15,0)*(((E69*2.54)/100)^2)*(I69*0.3048)))))*0.0011023),0)</f>
        <v>#N/A</v>
      </c>
      <c r="AD69" s="104" t="e">
        <f t="shared" si="37"/>
        <v>#N/A</v>
      </c>
      <c r="AE69" s="104" t="e">
        <f t="shared" si="38"/>
        <v>#N/A</v>
      </c>
      <c r="AF69" s="104" t="e">
        <f>IF(AND(VLOOKUP($D69,Merchantability!$B:$C,2,0)="Yes",$E69&gt;=VLOOKUP($D69,Merchantability!$B:$D,3,0),$E69&lt;=VLOOKUP($D69,Merchantability!$B:$E,4,0)),AA69,0)</f>
        <v>#N/A</v>
      </c>
      <c r="AG69" s="104" t="e">
        <f>IF(AND(VLOOKUP($D69,Merchantability!$B:$C,2,0)="Yes",$E69&gt;=VLOOKUP($D69,Merchantability!$B:$D,3,0),$E69&lt;=VLOOKUP($D69,Merchantability!$B:$E,4,0)),AB69,0)</f>
        <v>#N/A</v>
      </c>
      <c r="AH69" s="104" t="e">
        <f>IF(AND(VLOOKUP($D69,Merchantability!$B:$C,2,0)="Yes",$E69&gt;=VLOOKUP($D69,Merchantability!$B:$D,3,0),$E69&lt;=VLOOKUP($D69,Merchantability!$B:$E,4,0)),AC69,0)</f>
        <v>#N/A</v>
      </c>
      <c r="AI69" s="104" t="e">
        <f t="shared" si="39"/>
        <v>#N/A</v>
      </c>
      <c r="AJ69" s="104" t="e">
        <f t="shared" si="40"/>
        <v>#VALUE!</v>
      </c>
      <c r="AK69" s="104" t="e">
        <f t="shared" si="41"/>
        <v>#N/A</v>
      </c>
      <c r="AL69" s="104" t="e">
        <f t="shared" si="42"/>
        <v>#N/A</v>
      </c>
      <c r="AM69" s="104" t="e">
        <f t="shared" si="43"/>
        <v>#N/A</v>
      </c>
      <c r="AN69" s="104" t="e">
        <f t="shared" si="44"/>
        <v>#N/A</v>
      </c>
      <c r="AO69" s="104" t="e">
        <f t="shared" si="45"/>
        <v>#N/A</v>
      </c>
      <c r="AP69" s="104" t="e">
        <f t="shared" si="46"/>
        <v>#N/A</v>
      </c>
      <c r="AQ69" s="104" t="e">
        <f t="shared" si="47"/>
        <v>#N/A</v>
      </c>
      <c r="AR69" s="105" t="str">
        <f t="shared" si="48"/>
        <v/>
      </c>
      <c r="AS69" s="105" t="str">
        <f t="shared" si="49"/>
        <v/>
      </c>
      <c r="AT69" s="108" t="str">
        <f t="shared" si="50"/>
        <v/>
      </c>
      <c r="AU69" s="108" t="str">
        <f t="shared" si="51"/>
        <v/>
      </c>
      <c r="AV69" s="107" t="str">
        <f>IF(ISNUMBER(O69),IF(VLOOKUP($A69,Stand!C:J,8,FALSE)="Short",AT69,AU69),"")</f>
        <v/>
      </c>
      <c r="AW69" s="109" t="str">
        <f t="shared" si="52"/>
        <v/>
      </c>
      <c r="AX69" s="109" t="str">
        <f t="shared" si="53"/>
        <v/>
      </c>
      <c r="AY69" s="112" t="str">
        <f>IF(ISNUMBER(O69),IF(AND(VLOOKUP($D69,Merchantability!$B:$C,2,0)="Yes",$E69&gt;=VLOOKUP($D69,Merchantability!$B:$D,3,0),$E69&lt;=VLOOKUP($D69,Merchantability!$B:$E,4,0)),(AV69*O69)*(1-$H69/100),""),"")</f>
        <v/>
      </c>
      <c r="AZ69" s="116"/>
      <c r="BA69" s="116"/>
      <c r="BB69" s="116"/>
      <c r="BE69" s="62"/>
      <c r="BF69" s="63"/>
    </row>
    <row r="70" spans="1:58" ht="12.75" customHeight="1" x14ac:dyDescent="0.25">
      <c r="A70" s="313"/>
      <c r="B70" s="328"/>
      <c r="C70" s="329"/>
      <c r="D70" s="328"/>
      <c r="E70" s="330"/>
      <c r="F70" s="331"/>
      <c r="G70" s="329"/>
      <c r="H70" s="329"/>
      <c r="I70" s="328"/>
      <c r="J70" s="329"/>
      <c r="K70" s="329"/>
      <c r="L70" s="329"/>
      <c r="M70" s="76"/>
      <c r="N70" s="103" t="str">
        <f>IF(A70="","",VLOOKUP(A70,Stand!C:K,9,0))</f>
        <v/>
      </c>
      <c r="O70" s="104" t="str">
        <f t="shared" si="27"/>
        <v/>
      </c>
      <c r="P70" s="105" t="str">
        <f t="shared" si="28"/>
        <v/>
      </c>
      <c r="Q70" s="105" t="str">
        <f t="shared" si="29"/>
        <v/>
      </c>
      <c r="R70" s="103" t="str">
        <f t="shared" si="30"/>
        <v/>
      </c>
      <c r="S70" s="103" t="str">
        <f t="shared" si="31"/>
        <v/>
      </c>
      <c r="T70" s="106" t="str">
        <f t="shared" si="32"/>
        <v/>
      </c>
      <c r="U70" s="106" t="str">
        <f t="shared" si="33"/>
        <v/>
      </c>
      <c r="V70" s="106" t="str">
        <f t="shared" si="34"/>
        <v/>
      </c>
      <c r="W70" s="105" t="str">
        <f t="shared" si="35"/>
        <v/>
      </c>
      <c r="X70" s="104" t="str">
        <f t="shared" si="36"/>
        <v/>
      </c>
      <c r="Y70" s="104" t="str">
        <f t="array" ref="Y70">IFERROR(IF(ISNUMBER(O70),IF(COUNT(IF(A70=$A$2:$A$2427,IF(D70=$D$2:$D$2427,IF($X$2:$X$2427&gt;0,1))))&gt;0,SUM(IF(A70=$A$2:$A$2427,IF(D70=$D$2:$D$2427,$X$2:$X$2427)))/COUNT(IF(A70=$A$2:$A$2427,IF(D70=$D$2:$D$2427,IF(ISNUMBER($X$2:$X$2427),1)))),0),""),0)</f>
        <v/>
      </c>
      <c r="Z70" s="104" t="str">
        <f>IF(ISNUMBER(O70),IF(I70&gt;0,(10^(VLOOKUP(D70,'Species Codes'!B:C,2,0)+VLOOKUP(D70,'Species Codes'!B:D,3,0)*LOG(E70)+VLOOKUP(D70,'Species Codes'!B:E,4,0)*LOG(I70))),0),"")</f>
        <v/>
      </c>
      <c r="AA70" s="104" t="str">
        <f>IFERROR((VLOOKUP(D70,'Species Codes'!B:G,6,0)*Z70)/2000,"")</f>
        <v/>
      </c>
      <c r="AB70" s="104" t="e">
        <f>IF(Z70&gt;0,((IF(OR(D70="DF",D70="RA")=TRUE,EXP(VLOOKUP(D70,'Species Codes'!B:I,8,0)+VLOOKUP(D70,'Species Codes'!B:J,9,0)*(LN((E70*2.54)))),IF(OR(D70="PY",D70="RC",D70="WH",D70="NF")=TRUE,VLOOKUP(D70,'Species Codes'!B:I,8,0)+VLOOKUP(D70,'Species Codes'!B:J,9,0)*((E70*2.54)^2)*(I70*0.3048),IF(OR(D70="MD",D70="BM",D70="GA")=TRUE,((VLOOKUP(D70,'Species Codes'!B:I,8,0)*(((((E70*2.54)+VLOOKUP(D70,'Species Codes'!B:J,9,0))/VLOOKUP(D70,'Species Codes'!B:K,10,0))^VLOOKUP(D70,'Species Codes'!B:L,11,0))*((I70*0.3048)^VLOOKUP(D70,'Species Codes'!B:M,12,0))))-(VLOOKUP(D70,'Species Codes'!B:I,8,0)*((((E70*2.54)^VLOOKUP(D70,'Species Codes'!B:L,11,0))*((I70*0.3048)^VLOOKUP(D70,'Species Codes'!B:M,12,0))))))*35.3*VLOOKUP(D70,'Species Codes'!B:G,6,0)/2.2046,VLOOKUP(D70,'Species Codes'!B:I,8,0)+VLOOKUP(D70,'Species Codes'!B:J,9,0)*(((E70*2.54)/100)^2)*(I70*0.3048)))))*0.0011023),0)</f>
        <v>#N/A</v>
      </c>
      <c r="AC70" s="104" t="e">
        <f>IF(Z70&gt;0,((IF(OR(D70="RA",D70="OA",D70="OT",D70="UN",D70="PC"),EXP(VLOOKUP(D70,'Species Codes'!B:O,14,0)+VLOOKUP(D70,'Species Codes'!B:P,15,0)*LN((E70*2.54)))-EXP(VLOOKUP(D70,'Species Codes'!B:O,14,0)+VLOOKUP(D70,'Species Codes'!B:P,15,0)*LN((E70*2.54)))*(1/(VLOOKUP(D70,'Species Codes'!B:Q,16,0)+VLOOKUP(D70,'Species Codes'!B:R,17,0)*((E70*2.54)^VLOOKUP(D70,'Species Codes'!B:S,18,0)))),IF(OR(D70="BM",D70="MD",D70="OA"),EXP(VLOOKUP(D70,'Species Codes'!B:O,14,0)+VLOOKUP(D70,'Species Codes'!B:P,15,0)*LN((E70*2.54)))*(1-(1/(VLOOKUP(D70,'Species Codes'!B:Q,16,0)+VLOOKUP(D70,'Species Codes'!B:R,17,0)*((E70*2.54)^VLOOKUP(D70,'Species Codes'!B:S,18,0)))))/1000,IF(D70="DF",EXP(VLOOKUP(D70,'Species Codes'!B:O,14,0)+VLOOKUP(D70,'Species Codes'!B:P,15,0)*LN((E70*2.54))),VLOOKUP(D70,'Species Codes'!B:O,14,0)+VLOOKUP(D70,'Species Codes'!B:P,15,0)*(((E70*2.54)/100)^2)*(I70*0.3048)))))*0.0011023),0)</f>
        <v>#N/A</v>
      </c>
      <c r="AD70" s="104" t="e">
        <f t="shared" si="37"/>
        <v>#N/A</v>
      </c>
      <c r="AE70" s="104" t="e">
        <f t="shared" si="38"/>
        <v>#N/A</v>
      </c>
      <c r="AF70" s="104" t="e">
        <f>IF(AND(VLOOKUP($D70,Merchantability!$B:$C,2,0)="Yes",$E70&gt;=VLOOKUP($D70,Merchantability!$B:$D,3,0),$E70&lt;=VLOOKUP($D70,Merchantability!$B:$E,4,0)),AA70,0)</f>
        <v>#N/A</v>
      </c>
      <c r="AG70" s="104" t="e">
        <f>IF(AND(VLOOKUP($D70,Merchantability!$B:$C,2,0)="Yes",$E70&gt;=VLOOKUP($D70,Merchantability!$B:$D,3,0),$E70&lt;=VLOOKUP($D70,Merchantability!$B:$E,4,0)),AB70,0)</f>
        <v>#N/A</v>
      </c>
      <c r="AH70" s="104" t="e">
        <f>IF(AND(VLOOKUP($D70,Merchantability!$B:$C,2,0)="Yes",$E70&gt;=VLOOKUP($D70,Merchantability!$B:$D,3,0),$E70&lt;=VLOOKUP($D70,Merchantability!$B:$E,4,0)),AC70,0)</f>
        <v>#N/A</v>
      </c>
      <c r="AI70" s="104" t="e">
        <f t="shared" si="39"/>
        <v>#N/A</v>
      </c>
      <c r="AJ70" s="104" t="e">
        <f t="shared" si="40"/>
        <v>#VALUE!</v>
      </c>
      <c r="AK70" s="104" t="e">
        <f t="shared" si="41"/>
        <v>#N/A</v>
      </c>
      <c r="AL70" s="104" t="e">
        <f t="shared" si="42"/>
        <v>#N/A</v>
      </c>
      <c r="AM70" s="104" t="e">
        <f t="shared" si="43"/>
        <v>#N/A</v>
      </c>
      <c r="AN70" s="104" t="e">
        <f t="shared" si="44"/>
        <v>#N/A</v>
      </c>
      <c r="AO70" s="104" t="e">
        <f t="shared" si="45"/>
        <v>#N/A</v>
      </c>
      <c r="AP70" s="104" t="e">
        <f t="shared" si="46"/>
        <v>#N/A</v>
      </c>
      <c r="AQ70" s="104" t="e">
        <f t="shared" si="47"/>
        <v>#N/A</v>
      </c>
      <c r="AR70" s="105" t="str">
        <f t="shared" si="48"/>
        <v/>
      </c>
      <c r="AS70" s="105" t="str">
        <f t="shared" si="49"/>
        <v/>
      </c>
      <c r="AT70" s="108" t="str">
        <f t="shared" si="50"/>
        <v/>
      </c>
      <c r="AU70" s="108" t="str">
        <f t="shared" si="51"/>
        <v/>
      </c>
      <c r="AV70" s="107" t="str">
        <f>IF(ISNUMBER(O70),IF(VLOOKUP($A70,Stand!C:J,8,FALSE)="Short",AT70,AU70),"")</f>
        <v/>
      </c>
      <c r="AW70" s="109" t="str">
        <f t="shared" si="52"/>
        <v/>
      </c>
      <c r="AX70" s="109" t="str">
        <f t="shared" si="53"/>
        <v/>
      </c>
      <c r="AY70" s="112" t="str">
        <f>IF(ISNUMBER(O70),IF(AND(VLOOKUP($D70,Merchantability!$B:$C,2,0)="Yes",$E70&gt;=VLOOKUP($D70,Merchantability!$B:$D,3,0),$E70&lt;=VLOOKUP($D70,Merchantability!$B:$E,4,0)),(AV70*O70)*(1-$H70/100),""),"")</f>
        <v/>
      </c>
      <c r="AZ70" s="115"/>
      <c r="BA70" s="61"/>
      <c r="BB70" s="61"/>
      <c r="BC70" s="61"/>
      <c r="BE70" s="61"/>
      <c r="BF70" s="63"/>
    </row>
    <row r="71" spans="1:58" ht="12.75" customHeight="1" x14ac:dyDescent="0.25">
      <c r="A71" s="313"/>
      <c r="B71" s="328"/>
      <c r="C71" s="329"/>
      <c r="D71" s="328"/>
      <c r="E71" s="330"/>
      <c r="F71" s="331"/>
      <c r="G71" s="329"/>
      <c r="H71" s="329"/>
      <c r="I71" s="328"/>
      <c r="J71" s="329"/>
      <c r="K71" s="329"/>
      <c r="L71" s="329"/>
      <c r="M71" s="76"/>
      <c r="N71" s="103" t="str">
        <f>IF(A71="","",VLOOKUP(A71,Stand!C:K,9,0))</f>
        <v/>
      </c>
      <c r="O71" s="104" t="str">
        <f t="shared" si="27"/>
        <v/>
      </c>
      <c r="P71" s="105" t="str">
        <f t="shared" si="28"/>
        <v/>
      </c>
      <c r="Q71" s="105" t="str">
        <f t="shared" si="29"/>
        <v/>
      </c>
      <c r="R71" s="103" t="str">
        <f t="shared" si="30"/>
        <v/>
      </c>
      <c r="S71" s="103" t="str">
        <f t="shared" si="31"/>
        <v/>
      </c>
      <c r="T71" s="106" t="str">
        <f t="shared" si="32"/>
        <v/>
      </c>
      <c r="U71" s="106" t="str">
        <f t="shared" si="33"/>
        <v/>
      </c>
      <c r="V71" s="106" t="str">
        <f t="shared" si="34"/>
        <v/>
      </c>
      <c r="W71" s="105" t="str">
        <f t="shared" si="35"/>
        <v/>
      </c>
      <c r="X71" s="104" t="str">
        <f t="shared" si="36"/>
        <v/>
      </c>
      <c r="Y71" s="104" t="str">
        <f t="array" ref="Y71">IFERROR(IF(ISNUMBER(O71),IF(COUNT(IF(A71=$A$2:$A$2427,IF(D71=$D$2:$D$2427,IF($X$2:$X$2427&gt;0,1))))&gt;0,SUM(IF(A71=$A$2:$A$2427,IF(D71=$D$2:$D$2427,$X$2:$X$2427)))/COUNT(IF(A71=$A$2:$A$2427,IF(D71=$D$2:$D$2427,IF(ISNUMBER($X$2:$X$2427),1)))),0),""),0)</f>
        <v/>
      </c>
      <c r="Z71" s="104" t="str">
        <f>IF(ISNUMBER(O71),IF(I71&gt;0,(10^(VLOOKUP(D71,'Species Codes'!B:C,2,0)+VLOOKUP(D71,'Species Codes'!B:D,3,0)*LOG(E71)+VLOOKUP(D71,'Species Codes'!B:E,4,0)*LOG(I71))),0),"")</f>
        <v/>
      </c>
      <c r="AA71" s="104" t="str">
        <f>IFERROR((VLOOKUP(D71,'Species Codes'!B:G,6,0)*Z71)/2000,"")</f>
        <v/>
      </c>
      <c r="AB71" s="104" t="e">
        <f>IF(Z71&gt;0,((IF(OR(D71="DF",D71="RA")=TRUE,EXP(VLOOKUP(D71,'Species Codes'!B:I,8,0)+VLOOKUP(D71,'Species Codes'!B:J,9,0)*(LN((E71*2.54)))),IF(OR(D71="PY",D71="RC",D71="WH",D71="NF")=TRUE,VLOOKUP(D71,'Species Codes'!B:I,8,0)+VLOOKUP(D71,'Species Codes'!B:J,9,0)*((E71*2.54)^2)*(I71*0.3048),IF(OR(D71="MD",D71="BM",D71="GA")=TRUE,((VLOOKUP(D71,'Species Codes'!B:I,8,0)*(((((E71*2.54)+VLOOKUP(D71,'Species Codes'!B:J,9,0))/VLOOKUP(D71,'Species Codes'!B:K,10,0))^VLOOKUP(D71,'Species Codes'!B:L,11,0))*((I71*0.3048)^VLOOKUP(D71,'Species Codes'!B:M,12,0))))-(VLOOKUP(D71,'Species Codes'!B:I,8,0)*((((E71*2.54)^VLOOKUP(D71,'Species Codes'!B:L,11,0))*((I71*0.3048)^VLOOKUP(D71,'Species Codes'!B:M,12,0))))))*35.3*VLOOKUP(D71,'Species Codes'!B:G,6,0)/2.2046,VLOOKUP(D71,'Species Codes'!B:I,8,0)+VLOOKUP(D71,'Species Codes'!B:J,9,0)*(((E71*2.54)/100)^2)*(I71*0.3048)))))*0.0011023),0)</f>
        <v>#N/A</v>
      </c>
      <c r="AC71" s="104" t="e">
        <f>IF(Z71&gt;0,((IF(OR(D71="RA",D71="OA",D71="OT",D71="UN",D71="PC"),EXP(VLOOKUP(D71,'Species Codes'!B:O,14,0)+VLOOKUP(D71,'Species Codes'!B:P,15,0)*LN((E71*2.54)))-EXP(VLOOKUP(D71,'Species Codes'!B:O,14,0)+VLOOKUP(D71,'Species Codes'!B:P,15,0)*LN((E71*2.54)))*(1/(VLOOKUP(D71,'Species Codes'!B:Q,16,0)+VLOOKUP(D71,'Species Codes'!B:R,17,0)*((E71*2.54)^VLOOKUP(D71,'Species Codes'!B:S,18,0)))),IF(OR(D71="BM",D71="MD",D71="OA"),EXP(VLOOKUP(D71,'Species Codes'!B:O,14,0)+VLOOKUP(D71,'Species Codes'!B:P,15,0)*LN((E71*2.54)))*(1-(1/(VLOOKUP(D71,'Species Codes'!B:Q,16,0)+VLOOKUP(D71,'Species Codes'!B:R,17,0)*((E71*2.54)^VLOOKUP(D71,'Species Codes'!B:S,18,0)))))/1000,IF(D71="DF",EXP(VLOOKUP(D71,'Species Codes'!B:O,14,0)+VLOOKUP(D71,'Species Codes'!B:P,15,0)*LN((E71*2.54))),VLOOKUP(D71,'Species Codes'!B:O,14,0)+VLOOKUP(D71,'Species Codes'!B:P,15,0)*(((E71*2.54)/100)^2)*(I71*0.3048)))))*0.0011023),0)</f>
        <v>#N/A</v>
      </c>
      <c r="AD71" s="104" t="e">
        <f t="shared" si="37"/>
        <v>#N/A</v>
      </c>
      <c r="AE71" s="104" t="e">
        <f t="shared" si="38"/>
        <v>#N/A</v>
      </c>
      <c r="AF71" s="104" t="e">
        <f>IF(AND(VLOOKUP($D71,Merchantability!$B:$C,2,0)="Yes",$E71&gt;=VLOOKUP($D71,Merchantability!$B:$D,3,0),$E71&lt;=VLOOKUP($D71,Merchantability!$B:$E,4,0)),AA71,0)</f>
        <v>#N/A</v>
      </c>
      <c r="AG71" s="104" t="e">
        <f>IF(AND(VLOOKUP($D71,Merchantability!$B:$C,2,0)="Yes",$E71&gt;=VLOOKUP($D71,Merchantability!$B:$D,3,0),$E71&lt;=VLOOKUP($D71,Merchantability!$B:$E,4,0)),AB71,0)</f>
        <v>#N/A</v>
      </c>
      <c r="AH71" s="104" t="e">
        <f>IF(AND(VLOOKUP($D71,Merchantability!$B:$C,2,0)="Yes",$E71&gt;=VLOOKUP($D71,Merchantability!$B:$D,3,0),$E71&lt;=VLOOKUP($D71,Merchantability!$B:$E,4,0)),AC71,0)</f>
        <v>#N/A</v>
      </c>
      <c r="AI71" s="104" t="e">
        <f t="shared" si="39"/>
        <v>#N/A</v>
      </c>
      <c r="AJ71" s="104" t="e">
        <f t="shared" si="40"/>
        <v>#VALUE!</v>
      </c>
      <c r="AK71" s="104" t="e">
        <f t="shared" si="41"/>
        <v>#N/A</v>
      </c>
      <c r="AL71" s="104" t="e">
        <f t="shared" si="42"/>
        <v>#N/A</v>
      </c>
      <c r="AM71" s="104" t="e">
        <f t="shared" si="43"/>
        <v>#N/A</v>
      </c>
      <c r="AN71" s="104" t="e">
        <f t="shared" si="44"/>
        <v>#N/A</v>
      </c>
      <c r="AO71" s="104" t="e">
        <f t="shared" si="45"/>
        <v>#N/A</v>
      </c>
      <c r="AP71" s="104" t="e">
        <f t="shared" si="46"/>
        <v>#N/A</v>
      </c>
      <c r="AQ71" s="104" t="e">
        <f t="shared" si="47"/>
        <v>#N/A</v>
      </c>
      <c r="AR71" s="105" t="str">
        <f t="shared" si="48"/>
        <v/>
      </c>
      <c r="AS71" s="105" t="str">
        <f t="shared" si="49"/>
        <v/>
      </c>
      <c r="AT71" s="108" t="str">
        <f t="shared" si="50"/>
        <v/>
      </c>
      <c r="AU71" s="108" t="str">
        <f t="shared" si="51"/>
        <v/>
      </c>
      <c r="AV71" s="107" t="str">
        <f>IF(ISNUMBER(O71),IF(VLOOKUP($A71,Stand!C:J,8,FALSE)="Short",AT71,AU71),"")</f>
        <v/>
      </c>
      <c r="AW71" s="109" t="str">
        <f t="shared" si="52"/>
        <v/>
      </c>
      <c r="AX71" s="109" t="str">
        <f t="shared" si="53"/>
        <v/>
      </c>
      <c r="AY71" s="112" t="str">
        <f>IF(ISNUMBER(O71),IF(AND(VLOOKUP($D71,Merchantability!$B:$C,2,0)="Yes",$E71&gt;=VLOOKUP($D71,Merchantability!$B:$D,3,0),$E71&lt;=VLOOKUP($D71,Merchantability!$B:$E,4,0)),(AV71*O71)*(1-$H71/100),""),"")</f>
        <v/>
      </c>
      <c r="AZ71" s="115"/>
      <c r="BA71" s="116"/>
      <c r="BB71" s="116"/>
      <c r="BE71" s="62"/>
      <c r="BF71" s="63"/>
    </row>
    <row r="72" spans="1:58" ht="12.75" customHeight="1" x14ac:dyDescent="0.25">
      <c r="A72" s="313"/>
      <c r="B72" s="328"/>
      <c r="C72" s="329"/>
      <c r="D72" s="328"/>
      <c r="E72" s="330"/>
      <c r="F72" s="331"/>
      <c r="G72" s="329"/>
      <c r="H72" s="329"/>
      <c r="I72" s="328"/>
      <c r="J72" s="329"/>
      <c r="K72" s="329"/>
      <c r="L72" s="329"/>
      <c r="M72" s="76"/>
      <c r="N72" s="103" t="str">
        <f>IF(A72="","",VLOOKUP(A72,Stand!C:K,9,0))</f>
        <v/>
      </c>
      <c r="O72" s="104" t="str">
        <f t="shared" si="27"/>
        <v/>
      </c>
      <c r="P72" s="105" t="str">
        <f t="shared" si="28"/>
        <v/>
      </c>
      <c r="Q72" s="105" t="str">
        <f t="shared" si="29"/>
        <v/>
      </c>
      <c r="R72" s="103" t="str">
        <f t="shared" si="30"/>
        <v/>
      </c>
      <c r="S72" s="103" t="str">
        <f t="shared" si="31"/>
        <v/>
      </c>
      <c r="T72" s="106" t="str">
        <f t="shared" si="32"/>
        <v/>
      </c>
      <c r="U72" s="106" t="str">
        <f t="shared" si="33"/>
        <v/>
      </c>
      <c r="V72" s="106" t="str">
        <f t="shared" si="34"/>
        <v/>
      </c>
      <c r="W72" s="105" t="str">
        <f t="shared" si="35"/>
        <v/>
      </c>
      <c r="X72" s="104" t="str">
        <f t="shared" si="36"/>
        <v/>
      </c>
      <c r="Y72" s="104" t="str">
        <f t="array" ref="Y72">IFERROR(IF(ISNUMBER(O72),IF(COUNT(IF(A72=$A$2:$A$2427,IF(D72=$D$2:$D$2427,IF($X$2:$X$2427&gt;0,1))))&gt;0,SUM(IF(A72=$A$2:$A$2427,IF(D72=$D$2:$D$2427,$X$2:$X$2427)))/COUNT(IF(A72=$A$2:$A$2427,IF(D72=$D$2:$D$2427,IF(ISNUMBER($X$2:$X$2427),1)))),0),""),0)</f>
        <v/>
      </c>
      <c r="Z72" s="104" t="str">
        <f>IF(ISNUMBER(O72),IF(I72&gt;0,(10^(VLOOKUP(D72,'Species Codes'!B:C,2,0)+VLOOKUP(D72,'Species Codes'!B:D,3,0)*LOG(E72)+VLOOKUP(D72,'Species Codes'!B:E,4,0)*LOG(I72))),0),"")</f>
        <v/>
      </c>
      <c r="AA72" s="104" t="str">
        <f>IFERROR((VLOOKUP(D72,'Species Codes'!B:G,6,0)*Z72)/2000,"")</f>
        <v/>
      </c>
      <c r="AB72" s="104" t="e">
        <f>IF(Z72&gt;0,((IF(OR(D72="DF",D72="RA")=TRUE,EXP(VLOOKUP(D72,'Species Codes'!B:I,8,0)+VLOOKUP(D72,'Species Codes'!B:J,9,0)*(LN((E72*2.54)))),IF(OR(D72="PY",D72="RC",D72="WH",D72="NF")=TRUE,VLOOKUP(D72,'Species Codes'!B:I,8,0)+VLOOKUP(D72,'Species Codes'!B:J,9,0)*((E72*2.54)^2)*(I72*0.3048),IF(OR(D72="MD",D72="BM",D72="GA")=TRUE,((VLOOKUP(D72,'Species Codes'!B:I,8,0)*(((((E72*2.54)+VLOOKUP(D72,'Species Codes'!B:J,9,0))/VLOOKUP(D72,'Species Codes'!B:K,10,0))^VLOOKUP(D72,'Species Codes'!B:L,11,0))*((I72*0.3048)^VLOOKUP(D72,'Species Codes'!B:M,12,0))))-(VLOOKUP(D72,'Species Codes'!B:I,8,0)*((((E72*2.54)^VLOOKUP(D72,'Species Codes'!B:L,11,0))*((I72*0.3048)^VLOOKUP(D72,'Species Codes'!B:M,12,0))))))*35.3*VLOOKUP(D72,'Species Codes'!B:G,6,0)/2.2046,VLOOKUP(D72,'Species Codes'!B:I,8,0)+VLOOKUP(D72,'Species Codes'!B:J,9,0)*(((E72*2.54)/100)^2)*(I72*0.3048)))))*0.0011023),0)</f>
        <v>#N/A</v>
      </c>
      <c r="AC72" s="104" t="e">
        <f>IF(Z72&gt;0,((IF(OR(D72="RA",D72="OA",D72="OT",D72="UN",D72="PC"),EXP(VLOOKUP(D72,'Species Codes'!B:O,14,0)+VLOOKUP(D72,'Species Codes'!B:P,15,0)*LN((E72*2.54)))-EXP(VLOOKUP(D72,'Species Codes'!B:O,14,0)+VLOOKUP(D72,'Species Codes'!B:P,15,0)*LN((E72*2.54)))*(1/(VLOOKUP(D72,'Species Codes'!B:Q,16,0)+VLOOKUP(D72,'Species Codes'!B:R,17,0)*((E72*2.54)^VLOOKUP(D72,'Species Codes'!B:S,18,0)))),IF(OR(D72="BM",D72="MD",D72="OA"),EXP(VLOOKUP(D72,'Species Codes'!B:O,14,0)+VLOOKUP(D72,'Species Codes'!B:P,15,0)*LN((E72*2.54)))*(1-(1/(VLOOKUP(D72,'Species Codes'!B:Q,16,0)+VLOOKUP(D72,'Species Codes'!B:R,17,0)*((E72*2.54)^VLOOKUP(D72,'Species Codes'!B:S,18,0)))))/1000,IF(D72="DF",EXP(VLOOKUP(D72,'Species Codes'!B:O,14,0)+VLOOKUP(D72,'Species Codes'!B:P,15,0)*LN((E72*2.54))),VLOOKUP(D72,'Species Codes'!B:O,14,0)+VLOOKUP(D72,'Species Codes'!B:P,15,0)*(((E72*2.54)/100)^2)*(I72*0.3048)))))*0.0011023),0)</f>
        <v>#N/A</v>
      </c>
      <c r="AD72" s="104" t="e">
        <f t="shared" si="37"/>
        <v>#N/A</v>
      </c>
      <c r="AE72" s="104" t="e">
        <f t="shared" si="38"/>
        <v>#N/A</v>
      </c>
      <c r="AF72" s="104" t="e">
        <f>IF(AND(VLOOKUP($D72,Merchantability!$B:$C,2,0)="Yes",$E72&gt;=VLOOKUP($D72,Merchantability!$B:$D,3,0),$E72&lt;=VLOOKUP($D72,Merchantability!$B:$E,4,0)),AA72,0)</f>
        <v>#N/A</v>
      </c>
      <c r="AG72" s="104" t="e">
        <f>IF(AND(VLOOKUP($D72,Merchantability!$B:$C,2,0)="Yes",$E72&gt;=VLOOKUP($D72,Merchantability!$B:$D,3,0),$E72&lt;=VLOOKUP($D72,Merchantability!$B:$E,4,0)),AB72,0)</f>
        <v>#N/A</v>
      </c>
      <c r="AH72" s="104" t="e">
        <f>IF(AND(VLOOKUP($D72,Merchantability!$B:$C,2,0)="Yes",$E72&gt;=VLOOKUP($D72,Merchantability!$B:$D,3,0),$E72&lt;=VLOOKUP($D72,Merchantability!$B:$E,4,0)),AC72,0)</f>
        <v>#N/A</v>
      </c>
      <c r="AI72" s="104" t="e">
        <f t="shared" si="39"/>
        <v>#N/A</v>
      </c>
      <c r="AJ72" s="104" t="e">
        <f t="shared" si="40"/>
        <v>#VALUE!</v>
      </c>
      <c r="AK72" s="104" t="e">
        <f t="shared" si="41"/>
        <v>#N/A</v>
      </c>
      <c r="AL72" s="104" t="e">
        <f t="shared" si="42"/>
        <v>#N/A</v>
      </c>
      <c r="AM72" s="104" t="e">
        <f t="shared" si="43"/>
        <v>#N/A</v>
      </c>
      <c r="AN72" s="104" t="e">
        <f t="shared" si="44"/>
        <v>#N/A</v>
      </c>
      <c r="AO72" s="104" t="e">
        <f t="shared" si="45"/>
        <v>#N/A</v>
      </c>
      <c r="AP72" s="104" t="e">
        <f t="shared" si="46"/>
        <v>#N/A</v>
      </c>
      <c r="AQ72" s="104" t="e">
        <f t="shared" si="47"/>
        <v>#N/A</v>
      </c>
      <c r="AR72" s="105" t="str">
        <f t="shared" si="48"/>
        <v/>
      </c>
      <c r="AS72" s="105" t="str">
        <f t="shared" si="49"/>
        <v/>
      </c>
      <c r="AT72" s="108" t="str">
        <f t="shared" si="50"/>
        <v/>
      </c>
      <c r="AU72" s="108" t="str">
        <f t="shared" si="51"/>
        <v/>
      </c>
      <c r="AV72" s="107" t="str">
        <f>IF(ISNUMBER(O72),IF(VLOOKUP($A72,Stand!C:J,8,FALSE)="Short",AT72,AU72),"")</f>
        <v/>
      </c>
      <c r="AW72" s="109" t="str">
        <f t="shared" si="52"/>
        <v/>
      </c>
      <c r="AX72" s="109" t="str">
        <f t="shared" si="53"/>
        <v/>
      </c>
      <c r="AY72" s="112" t="str">
        <f>IF(ISNUMBER(O72),IF(AND(VLOOKUP($D72,Merchantability!$B:$C,2,0)="Yes",$E72&gt;=VLOOKUP($D72,Merchantability!$B:$D,3,0),$E72&lt;=VLOOKUP($D72,Merchantability!$B:$E,4,0)),(AV72*O72)*(1-$H72/100),""),"")</f>
        <v/>
      </c>
      <c r="AZ72" s="115"/>
      <c r="BA72" s="116"/>
      <c r="BB72" s="116"/>
      <c r="BE72" s="62"/>
      <c r="BF72" s="63"/>
    </row>
    <row r="73" spans="1:58" ht="12.75" customHeight="1" x14ac:dyDescent="0.25">
      <c r="A73" s="313"/>
      <c r="B73" s="328"/>
      <c r="C73" s="329"/>
      <c r="D73" s="328"/>
      <c r="E73" s="330"/>
      <c r="F73" s="331"/>
      <c r="G73" s="329"/>
      <c r="H73" s="329"/>
      <c r="I73" s="328"/>
      <c r="J73" s="329"/>
      <c r="K73" s="329"/>
      <c r="L73" s="329"/>
      <c r="M73" s="76"/>
      <c r="N73" s="103" t="str">
        <f>IF(A73="","",VLOOKUP(A73,Stand!C:K,9,0))</f>
        <v/>
      </c>
      <c r="O73" s="104" t="str">
        <f t="shared" si="27"/>
        <v/>
      </c>
      <c r="P73" s="105" t="str">
        <f t="shared" si="28"/>
        <v/>
      </c>
      <c r="Q73" s="105" t="str">
        <f t="shared" si="29"/>
        <v/>
      </c>
      <c r="R73" s="103" t="str">
        <f t="shared" si="30"/>
        <v/>
      </c>
      <c r="S73" s="103" t="str">
        <f t="shared" si="31"/>
        <v/>
      </c>
      <c r="T73" s="106" t="str">
        <f t="shared" si="32"/>
        <v/>
      </c>
      <c r="U73" s="106" t="str">
        <f t="shared" si="33"/>
        <v/>
      </c>
      <c r="V73" s="106" t="str">
        <f t="shared" si="34"/>
        <v/>
      </c>
      <c r="W73" s="105" t="str">
        <f t="shared" si="35"/>
        <v/>
      </c>
      <c r="X73" s="104" t="str">
        <f t="shared" si="36"/>
        <v/>
      </c>
      <c r="Y73" s="104" t="str">
        <f t="array" ref="Y73">IFERROR(IF(ISNUMBER(O73),IF(COUNT(IF(A73=$A$2:$A$2427,IF(D73=$D$2:$D$2427,IF($X$2:$X$2427&gt;0,1))))&gt;0,SUM(IF(A73=$A$2:$A$2427,IF(D73=$D$2:$D$2427,$X$2:$X$2427)))/COUNT(IF(A73=$A$2:$A$2427,IF(D73=$D$2:$D$2427,IF(ISNUMBER($X$2:$X$2427),1)))),0),""),0)</f>
        <v/>
      </c>
      <c r="Z73" s="104" t="str">
        <f>IF(ISNUMBER(O73),IF(I73&gt;0,(10^(VLOOKUP(D73,'Species Codes'!B:C,2,0)+VLOOKUP(D73,'Species Codes'!B:D,3,0)*LOG(E73)+VLOOKUP(D73,'Species Codes'!B:E,4,0)*LOG(I73))),0),"")</f>
        <v/>
      </c>
      <c r="AA73" s="104" t="str">
        <f>IFERROR((VLOOKUP(D73,'Species Codes'!B:G,6,0)*Z73)/2000,"")</f>
        <v/>
      </c>
      <c r="AB73" s="104" t="e">
        <f>IF(Z73&gt;0,((IF(OR(D73="DF",D73="RA")=TRUE,EXP(VLOOKUP(D73,'Species Codes'!B:I,8,0)+VLOOKUP(D73,'Species Codes'!B:J,9,0)*(LN((E73*2.54)))),IF(OR(D73="PY",D73="RC",D73="WH",D73="NF")=TRUE,VLOOKUP(D73,'Species Codes'!B:I,8,0)+VLOOKUP(D73,'Species Codes'!B:J,9,0)*((E73*2.54)^2)*(I73*0.3048),IF(OR(D73="MD",D73="BM",D73="GA")=TRUE,((VLOOKUP(D73,'Species Codes'!B:I,8,0)*(((((E73*2.54)+VLOOKUP(D73,'Species Codes'!B:J,9,0))/VLOOKUP(D73,'Species Codes'!B:K,10,0))^VLOOKUP(D73,'Species Codes'!B:L,11,0))*((I73*0.3048)^VLOOKUP(D73,'Species Codes'!B:M,12,0))))-(VLOOKUP(D73,'Species Codes'!B:I,8,0)*((((E73*2.54)^VLOOKUP(D73,'Species Codes'!B:L,11,0))*((I73*0.3048)^VLOOKUP(D73,'Species Codes'!B:M,12,0))))))*35.3*VLOOKUP(D73,'Species Codes'!B:G,6,0)/2.2046,VLOOKUP(D73,'Species Codes'!B:I,8,0)+VLOOKUP(D73,'Species Codes'!B:J,9,0)*(((E73*2.54)/100)^2)*(I73*0.3048)))))*0.0011023),0)</f>
        <v>#N/A</v>
      </c>
      <c r="AC73" s="104" t="e">
        <f>IF(Z73&gt;0,((IF(OR(D73="RA",D73="OA",D73="OT",D73="UN",D73="PC"),EXP(VLOOKUP(D73,'Species Codes'!B:O,14,0)+VLOOKUP(D73,'Species Codes'!B:P,15,0)*LN((E73*2.54)))-EXP(VLOOKUP(D73,'Species Codes'!B:O,14,0)+VLOOKUP(D73,'Species Codes'!B:P,15,0)*LN((E73*2.54)))*(1/(VLOOKUP(D73,'Species Codes'!B:Q,16,0)+VLOOKUP(D73,'Species Codes'!B:R,17,0)*((E73*2.54)^VLOOKUP(D73,'Species Codes'!B:S,18,0)))),IF(OR(D73="BM",D73="MD",D73="OA"),EXP(VLOOKUP(D73,'Species Codes'!B:O,14,0)+VLOOKUP(D73,'Species Codes'!B:P,15,0)*LN((E73*2.54)))*(1-(1/(VLOOKUP(D73,'Species Codes'!B:Q,16,0)+VLOOKUP(D73,'Species Codes'!B:R,17,0)*((E73*2.54)^VLOOKUP(D73,'Species Codes'!B:S,18,0)))))/1000,IF(D73="DF",EXP(VLOOKUP(D73,'Species Codes'!B:O,14,0)+VLOOKUP(D73,'Species Codes'!B:P,15,0)*LN((E73*2.54))),VLOOKUP(D73,'Species Codes'!B:O,14,0)+VLOOKUP(D73,'Species Codes'!B:P,15,0)*(((E73*2.54)/100)^2)*(I73*0.3048)))))*0.0011023),0)</f>
        <v>#N/A</v>
      </c>
      <c r="AD73" s="104" t="e">
        <f t="shared" si="37"/>
        <v>#N/A</v>
      </c>
      <c r="AE73" s="104" t="e">
        <f t="shared" si="38"/>
        <v>#N/A</v>
      </c>
      <c r="AF73" s="104" t="e">
        <f>IF(AND(VLOOKUP($D73,Merchantability!$B:$C,2,0)="Yes",$E73&gt;=VLOOKUP($D73,Merchantability!$B:$D,3,0),$E73&lt;=VLOOKUP($D73,Merchantability!$B:$E,4,0)),AA73,0)</f>
        <v>#N/A</v>
      </c>
      <c r="AG73" s="104" t="e">
        <f>IF(AND(VLOOKUP($D73,Merchantability!$B:$C,2,0)="Yes",$E73&gt;=VLOOKUP($D73,Merchantability!$B:$D,3,0),$E73&lt;=VLOOKUP($D73,Merchantability!$B:$E,4,0)),AB73,0)</f>
        <v>#N/A</v>
      </c>
      <c r="AH73" s="104" t="e">
        <f>IF(AND(VLOOKUP($D73,Merchantability!$B:$C,2,0)="Yes",$E73&gt;=VLOOKUP($D73,Merchantability!$B:$D,3,0),$E73&lt;=VLOOKUP($D73,Merchantability!$B:$E,4,0)),AC73,0)</f>
        <v>#N/A</v>
      </c>
      <c r="AI73" s="104" t="e">
        <f t="shared" si="39"/>
        <v>#N/A</v>
      </c>
      <c r="AJ73" s="104" t="e">
        <f t="shared" si="40"/>
        <v>#VALUE!</v>
      </c>
      <c r="AK73" s="104" t="e">
        <f t="shared" si="41"/>
        <v>#N/A</v>
      </c>
      <c r="AL73" s="104" t="e">
        <f t="shared" si="42"/>
        <v>#N/A</v>
      </c>
      <c r="AM73" s="104" t="e">
        <f t="shared" si="43"/>
        <v>#N/A</v>
      </c>
      <c r="AN73" s="104" t="e">
        <f t="shared" si="44"/>
        <v>#N/A</v>
      </c>
      <c r="AO73" s="104" t="e">
        <f t="shared" si="45"/>
        <v>#N/A</v>
      </c>
      <c r="AP73" s="104" t="e">
        <f t="shared" si="46"/>
        <v>#N/A</v>
      </c>
      <c r="AQ73" s="104" t="e">
        <f t="shared" si="47"/>
        <v>#N/A</v>
      </c>
      <c r="AR73" s="105" t="str">
        <f t="shared" si="48"/>
        <v/>
      </c>
      <c r="AS73" s="105" t="str">
        <f t="shared" si="49"/>
        <v/>
      </c>
      <c r="AT73" s="108" t="str">
        <f t="shared" si="50"/>
        <v/>
      </c>
      <c r="AU73" s="108" t="str">
        <f t="shared" si="51"/>
        <v/>
      </c>
      <c r="AV73" s="107" t="str">
        <f>IF(ISNUMBER(O73),IF(VLOOKUP($A73,Stand!C:J,8,FALSE)="Short",AT73,AU73),"")</f>
        <v/>
      </c>
      <c r="AW73" s="109" t="str">
        <f t="shared" si="52"/>
        <v/>
      </c>
      <c r="AX73" s="109" t="str">
        <f t="shared" si="53"/>
        <v/>
      </c>
      <c r="AY73" s="112" t="str">
        <f>IF(ISNUMBER(O73),IF(AND(VLOOKUP($D73,Merchantability!$B:$C,2,0)="Yes",$E73&gt;=VLOOKUP($D73,Merchantability!$B:$D,3,0),$E73&lt;=VLOOKUP($D73,Merchantability!$B:$E,4,0)),(AV73*O73)*(1-$H73/100),""),"")</f>
        <v/>
      </c>
      <c r="AZ73" s="115"/>
      <c r="BA73" s="116"/>
      <c r="BB73" s="116"/>
      <c r="BE73" s="62"/>
      <c r="BF73" s="63"/>
    </row>
    <row r="74" spans="1:58" ht="12.75" customHeight="1" x14ac:dyDescent="0.25">
      <c r="A74" s="313"/>
      <c r="B74" s="328"/>
      <c r="C74" s="329"/>
      <c r="D74" s="328"/>
      <c r="E74" s="330"/>
      <c r="F74" s="331"/>
      <c r="G74" s="329"/>
      <c r="H74" s="329"/>
      <c r="I74" s="328"/>
      <c r="J74" s="329"/>
      <c r="K74" s="329"/>
      <c r="L74" s="329"/>
      <c r="M74" s="76"/>
      <c r="N74" s="103" t="str">
        <f>IF(A74="","",VLOOKUP(A74,Stand!C:K,9,0))</f>
        <v/>
      </c>
      <c r="O74" s="104" t="str">
        <f t="shared" si="27"/>
        <v/>
      </c>
      <c r="P74" s="105" t="str">
        <f t="shared" si="28"/>
        <v/>
      </c>
      <c r="Q74" s="105" t="str">
        <f t="shared" si="29"/>
        <v/>
      </c>
      <c r="R74" s="103" t="str">
        <f t="shared" si="30"/>
        <v/>
      </c>
      <c r="S74" s="103" t="str">
        <f t="shared" si="31"/>
        <v/>
      </c>
      <c r="T74" s="106" t="str">
        <f t="shared" si="32"/>
        <v/>
      </c>
      <c r="U74" s="106" t="str">
        <f t="shared" si="33"/>
        <v/>
      </c>
      <c r="V74" s="106" t="str">
        <f t="shared" si="34"/>
        <v/>
      </c>
      <c r="W74" s="105" t="str">
        <f t="shared" si="35"/>
        <v/>
      </c>
      <c r="X74" s="104" t="str">
        <f t="shared" si="36"/>
        <v/>
      </c>
      <c r="Y74" s="104" t="str">
        <f t="array" ref="Y74">IFERROR(IF(ISNUMBER(O74),IF(COUNT(IF(A74=$A$2:$A$2427,IF(D74=$D$2:$D$2427,IF($X$2:$X$2427&gt;0,1))))&gt;0,SUM(IF(A74=$A$2:$A$2427,IF(D74=$D$2:$D$2427,$X$2:$X$2427)))/COUNT(IF(A74=$A$2:$A$2427,IF(D74=$D$2:$D$2427,IF(ISNUMBER($X$2:$X$2427),1)))),0),""),0)</f>
        <v/>
      </c>
      <c r="Z74" s="104" t="str">
        <f>IF(ISNUMBER(O74),IF(I74&gt;0,(10^(VLOOKUP(D74,'Species Codes'!B:C,2,0)+VLOOKUP(D74,'Species Codes'!B:D,3,0)*LOG(E74)+VLOOKUP(D74,'Species Codes'!B:E,4,0)*LOG(I74))),0),"")</f>
        <v/>
      </c>
      <c r="AA74" s="104" t="str">
        <f>IFERROR((VLOOKUP(D74,'Species Codes'!B:G,6,0)*Z74)/2000,"")</f>
        <v/>
      </c>
      <c r="AB74" s="104" t="e">
        <f>IF(Z74&gt;0,((IF(OR(D74="DF",D74="RA")=TRUE,EXP(VLOOKUP(D74,'Species Codes'!B:I,8,0)+VLOOKUP(D74,'Species Codes'!B:J,9,0)*(LN((E74*2.54)))),IF(OR(D74="PY",D74="RC",D74="WH",D74="NF")=TRUE,VLOOKUP(D74,'Species Codes'!B:I,8,0)+VLOOKUP(D74,'Species Codes'!B:J,9,0)*((E74*2.54)^2)*(I74*0.3048),IF(OR(D74="MD",D74="BM",D74="GA")=TRUE,((VLOOKUP(D74,'Species Codes'!B:I,8,0)*(((((E74*2.54)+VLOOKUP(D74,'Species Codes'!B:J,9,0))/VLOOKUP(D74,'Species Codes'!B:K,10,0))^VLOOKUP(D74,'Species Codes'!B:L,11,0))*((I74*0.3048)^VLOOKUP(D74,'Species Codes'!B:M,12,0))))-(VLOOKUP(D74,'Species Codes'!B:I,8,0)*((((E74*2.54)^VLOOKUP(D74,'Species Codes'!B:L,11,0))*((I74*0.3048)^VLOOKUP(D74,'Species Codes'!B:M,12,0))))))*35.3*VLOOKUP(D74,'Species Codes'!B:G,6,0)/2.2046,VLOOKUP(D74,'Species Codes'!B:I,8,0)+VLOOKUP(D74,'Species Codes'!B:J,9,0)*(((E74*2.54)/100)^2)*(I74*0.3048)))))*0.0011023),0)</f>
        <v>#N/A</v>
      </c>
      <c r="AC74" s="104" t="e">
        <f>IF(Z74&gt;0,((IF(OR(D74="RA",D74="OA",D74="OT",D74="UN",D74="PC"),EXP(VLOOKUP(D74,'Species Codes'!B:O,14,0)+VLOOKUP(D74,'Species Codes'!B:P,15,0)*LN((E74*2.54)))-EXP(VLOOKUP(D74,'Species Codes'!B:O,14,0)+VLOOKUP(D74,'Species Codes'!B:P,15,0)*LN((E74*2.54)))*(1/(VLOOKUP(D74,'Species Codes'!B:Q,16,0)+VLOOKUP(D74,'Species Codes'!B:R,17,0)*((E74*2.54)^VLOOKUP(D74,'Species Codes'!B:S,18,0)))),IF(OR(D74="BM",D74="MD",D74="OA"),EXP(VLOOKUP(D74,'Species Codes'!B:O,14,0)+VLOOKUP(D74,'Species Codes'!B:P,15,0)*LN((E74*2.54)))*(1-(1/(VLOOKUP(D74,'Species Codes'!B:Q,16,0)+VLOOKUP(D74,'Species Codes'!B:R,17,0)*((E74*2.54)^VLOOKUP(D74,'Species Codes'!B:S,18,0)))))/1000,IF(D74="DF",EXP(VLOOKUP(D74,'Species Codes'!B:O,14,0)+VLOOKUP(D74,'Species Codes'!B:P,15,0)*LN((E74*2.54))),VLOOKUP(D74,'Species Codes'!B:O,14,0)+VLOOKUP(D74,'Species Codes'!B:P,15,0)*(((E74*2.54)/100)^2)*(I74*0.3048)))))*0.0011023),0)</f>
        <v>#N/A</v>
      </c>
      <c r="AD74" s="104" t="e">
        <f t="shared" si="37"/>
        <v>#N/A</v>
      </c>
      <c r="AE74" s="104" t="e">
        <f t="shared" si="38"/>
        <v>#N/A</v>
      </c>
      <c r="AF74" s="104" t="e">
        <f>IF(AND(VLOOKUP($D74,Merchantability!$B:$C,2,0)="Yes",$E74&gt;=VLOOKUP($D74,Merchantability!$B:$D,3,0),$E74&lt;=VLOOKUP($D74,Merchantability!$B:$E,4,0)),AA74,0)</f>
        <v>#N/A</v>
      </c>
      <c r="AG74" s="104" t="e">
        <f>IF(AND(VLOOKUP($D74,Merchantability!$B:$C,2,0)="Yes",$E74&gt;=VLOOKUP($D74,Merchantability!$B:$D,3,0),$E74&lt;=VLOOKUP($D74,Merchantability!$B:$E,4,0)),AB74,0)</f>
        <v>#N/A</v>
      </c>
      <c r="AH74" s="104" t="e">
        <f>IF(AND(VLOOKUP($D74,Merchantability!$B:$C,2,0)="Yes",$E74&gt;=VLOOKUP($D74,Merchantability!$B:$D,3,0),$E74&lt;=VLOOKUP($D74,Merchantability!$B:$E,4,0)),AC74,0)</f>
        <v>#N/A</v>
      </c>
      <c r="AI74" s="104" t="e">
        <f t="shared" si="39"/>
        <v>#N/A</v>
      </c>
      <c r="AJ74" s="104" t="e">
        <f t="shared" si="40"/>
        <v>#VALUE!</v>
      </c>
      <c r="AK74" s="104" t="e">
        <f t="shared" si="41"/>
        <v>#N/A</v>
      </c>
      <c r="AL74" s="104" t="e">
        <f t="shared" si="42"/>
        <v>#N/A</v>
      </c>
      <c r="AM74" s="104" t="e">
        <f t="shared" si="43"/>
        <v>#N/A</v>
      </c>
      <c r="AN74" s="104" t="e">
        <f t="shared" si="44"/>
        <v>#N/A</v>
      </c>
      <c r="AO74" s="104" t="e">
        <f t="shared" si="45"/>
        <v>#N/A</v>
      </c>
      <c r="AP74" s="104" t="e">
        <f t="shared" si="46"/>
        <v>#N/A</v>
      </c>
      <c r="AQ74" s="104" t="e">
        <f t="shared" si="47"/>
        <v>#N/A</v>
      </c>
      <c r="AR74" s="105" t="str">
        <f t="shared" si="48"/>
        <v/>
      </c>
      <c r="AS74" s="105" t="str">
        <f t="shared" si="49"/>
        <v/>
      </c>
      <c r="AT74" s="108" t="str">
        <f t="shared" si="50"/>
        <v/>
      </c>
      <c r="AU74" s="108" t="str">
        <f t="shared" si="51"/>
        <v/>
      </c>
      <c r="AV74" s="107" t="str">
        <f>IF(ISNUMBER(O74),IF(VLOOKUP($A74,Stand!C:J,8,FALSE)="Short",AT74,AU74),"")</f>
        <v/>
      </c>
      <c r="AW74" s="109" t="str">
        <f t="shared" si="52"/>
        <v/>
      </c>
      <c r="AX74" s="109" t="str">
        <f t="shared" si="53"/>
        <v/>
      </c>
      <c r="AY74" s="112" t="str">
        <f>IF(ISNUMBER(O74),IF(AND(VLOOKUP($D74,Merchantability!$B:$C,2,0)="Yes",$E74&gt;=VLOOKUP($D74,Merchantability!$B:$D,3,0),$E74&lt;=VLOOKUP($D74,Merchantability!$B:$E,4,0)),(AV74*O74)*(1-$H74/100),""),"")</f>
        <v/>
      </c>
      <c r="AZ74" s="116"/>
      <c r="BA74" s="116"/>
      <c r="BB74" s="116"/>
      <c r="BE74" s="62"/>
      <c r="BF74" s="63"/>
    </row>
    <row r="75" spans="1:58" ht="12.75" customHeight="1" x14ac:dyDescent="0.25">
      <c r="A75" s="313"/>
      <c r="B75" s="328"/>
      <c r="C75" s="329"/>
      <c r="D75" s="328"/>
      <c r="E75" s="330"/>
      <c r="F75" s="331"/>
      <c r="G75" s="329"/>
      <c r="H75" s="329"/>
      <c r="I75" s="328"/>
      <c r="J75" s="329"/>
      <c r="K75" s="329"/>
      <c r="L75" s="329"/>
      <c r="M75" s="76"/>
      <c r="N75" s="103" t="str">
        <f>IF(A75="","",VLOOKUP(A75,Stand!C:K,9,0))</f>
        <v/>
      </c>
      <c r="O75" s="104" t="str">
        <f t="shared" si="27"/>
        <v/>
      </c>
      <c r="P75" s="105" t="str">
        <f t="shared" si="28"/>
        <v/>
      </c>
      <c r="Q75" s="105" t="str">
        <f t="shared" si="29"/>
        <v/>
      </c>
      <c r="R75" s="103" t="str">
        <f t="shared" si="30"/>
        <v/>
      </c>
      <c r="S75" s="103" t="str">
        <f t="shared" si="31"/>
        <v/>
      </c>
      <c r="T75" s="106" t="str">
        <f t="shared" si="32"/>
        <v/>
      </c>
      <c r="U75" s="106" t="str">
        <f t="shared" si="33"/>
        <v/>
      </c>
      <c r="V75" s="106" t="str">
        <f t="shared" si="34"/>
        <v/>
      </c>
      <c r="W75" s="105" t="str">
        <f t="shared" si="35"/>
        <v/>
      </c>
      <c r="X75" s="104" t="str">
        <f t="shared" si="36"/>
        <v/>
      </c>
      <c r="Y75" s="104" t="str">
        <f t="array" ref="Y75">IFERROR(IF(ISNUMBER(O75),IF(COUNT(IF(A75=$A$2:$A$2427,IF(D75=$D$2:$D$2427,IF($X$2:$X$2427&gt;0,1))))&gt;0,SUM(IF(A75=$A$2:$A$2427,IF(D75=$D$2:$D$2427,$X$2:$X$2427)))/COUNT(IF(A75=$A$2:$A$2427,IF(D75=$D$2:$D$2427,IF(ISNUMBER($X$2:$X$2427),1)))),0),""),0)</f>
        <v/>
      </c>
      <c r="Z75" s="104" t="str">
        <f>IF(ISNUMBER(O75),IF(I75&gt;0,(10^(VLOOKUP(D75,'Species Codes'!B:C,2,0)+VLOOKUP(D75,'Species Codes'!B:D,3,0)*LOG(E75)+VLOOKUP(D75,'Species Codes'!B:E,4,0)*LOG(I75))),0),"")</f>
        <v/>
      </c>
      <c r="AA75" s="104" t="str">
        <f>IFERROR((VLOOKUP(D75,'Species Codes'!B:G,6,0)*Z75)/2000,"")</f>
        <v/>
      </c>
      <c r="AB75" s="104" t="e">
        <f>IF(Z75&gt;0,((IF(OR(D75="DF",D75="RA")=TRUE,EXP(VLOOKUP(D75,'Species Codes'!B:I,8,0)+VLOOKUP(D75,'Species Codes'!B:J,9,0)*(LN((E75*2.54)))),IF(OR(D75="PY",D75="RC",D75="WH",D75="NF")=TRUE,VLOOKUP(D75,'Species Codes'!B:I,8,0)+VLOOKUP(D75,'Species Codes'!B:J,9,0)*((E75*2.54)^2)*(I75*0.3048),IF(OR(D75="MD",D75="BM",D75="GA")=TRUE,((VLOOKUP(D75,'Species Codes'!B:I,8,0)*(((((E75*2.54)+VLOOKUP(D75,'Species Codes'!B:J,9,0))/VLOOKUP(D75,'Species Codes'!B:K,10,0))^VLOOKUP(D75,'Species Codes'!B:L,11,0))*((I75*0.3048)^VLOOKUP(D75,'Species Codes'!B:M,12,0))))-(VLOOKUP(D75,'Species Codes'!B:I,8,0)*((((E75*2.54)^VLOOKUP(D75,'Species Codes'!B:L,11,0))*((I75*0.3048)^VLOOKUP(D75,'Species Codes'!B:M,12,0))))))*35.3*VLOOKUP(D75,'Species Codes'!B:G,6,0)/2.2046,VLOOKUP(D75,'Species Codes'!B:I,8,0)+VLOOKUP(D75,'Species Codes'!B:J,9,0)*(((E75*2.54)/100)^2)*(I75*0.3048)))))*0.0011023),0)</f>
        <v>#N/A</v>
      </c>
      <c r="AC75" s="104" t="e">
        <f>IF(Z75&gt;0,((IF(OR(D75="RA",D75="OA",D75="OT",D75="UN",D75="PC"),EXP(VLOOKUP(D75,'Species Codes'!B:O,14,0)+VLOOKUP(D75,'Species Codes'!B:P,15,0)*LN((E75*2.54)))-EXP(VLOOKUP(D75,'Species Codes'!B:O,14,0)+VLOOKUP(D75,'Species Codes'!B:P,15,0)*LN((E75*2.54)))*(1/(VLOOKUP(D75,'Species Codes'!B:Q,16,0)+VLOOKUP(D75,'Species Codes'!B:R,17,0)*((E75*2.54)^VLOOKUP(D75,'Species Codes'!B:S,18,0)))),IF(OR(D75="BM",D75="MD",D75="OA"),EXP(VLOOKUP(D75,'Species Codes'!B:O,14,0)+VLOOKUP(D75,'Species Codes'!B:P,15,0)*LN((E75*2.54)))*(1-(1/(VLOOKUP(D75,'Species Codes'!B:Q,16,0)+VLOOKUP(D75,'Species Codes'!B:R,17,0)*((E75*2.54)^VLOOKUP(D75,'Species Codes'!B:S,18,0)))))/1000,IF(D75="DF",EXP(VLOOKUP(D75,'Species Codes'!B:O,14,0)+VLOOKUP(D75,'Species Codes'!B:P,15,0)*LN((E75*2.54))),VLOOKUP(D75,'Species Codes'!B:O,14,0)+VLOOKUP(D75,'Species Codes'!B:P,15,0)*(((E75*2.54)/100)^2)*(I75*0.3048)))))*0.0011023),0)</f>
        <v>#N/A</v>
      </c>
      <c r="AD75" s="104" t="e">
        <f t="shared" si="37"/>
        <v>#N/A</v>
      </c>
      <c r="AE75" s="104" t="e">
        <f t="shared" si="38"/>
        <v>#N/A</v>
      </c>
      <c r="AF75" s="104" t="e">
        <f>IF(AND(VLOOKUP($D75,Merchantability!$B:$C,2,0)="Yes",$E75&gt;=VLOOKUP($D75,Merchantability!$B:$D,3,0),$E75&lt;=VLOOKUP($D75,Merchantability!$B:$E,4,0)),AA75,0)</f>
        <v>#N/A</v>
      </c>
      <c r="AG75" s="104" t="e">
        <f>IF(AND(VLOOKUP($D75,Merchantability!$B:$C,2,0)="Yes",$E75&gt;=VLOOKUP($D75,Merchantability!$B:$D,3,0),$E75&lt;=VLOOKUP($D75,Merchantability!$B:$E,4,0)),AB75,0)</f>
        <v>#N/A</v>
      </c>
      <c r="AH75" s="104" t="e">
        <f>IF(AND(VLOOKUP($D75,Merchantability!$B:$C,2,0)="Yes",$E75&gt;=VLOOKUP($D75,Merchantability!$B:$D,3,0),$E75&lt;=VLOOKUP($D75,Merchantability!$B:$E,4,0)),AC75,0)</f>
        <v>#N/A</v>
      </c>
      <c r="AI75" s="104" t="e">
        <f t="shared" si="39"/>
        <v>#N/A</v>
      </c>
      <c r="AJ75" s="104" t="e">
        <f t="shared" si="40"/>
        <v>#VALUE!</v>
      </c>
      <c r="AK75" s="104" t="e">
        <f t="shared" si="41"/>
        <v>#N/A</v>
      </c>
      <c r="AL75" s="104" t="e">
        <f t="shared" si="42"/>
        <v>#N/A</v>
      </c>
      <c r="AM75" s="104" t="e">
        <f t="shared" si="43"/>
        <v>#N/A</v>
      </c>
      <c r="AN75" s="104" t="e">
        <f t="shared" si="44"/>
        <v>#N/A</v>
      </c>
      <c r="AO75" s="104" t="e">
        <f t="shared" si="45"/>
        <v>#N/A</v>
      </c>
      <c r="AP75" s="104" t="e">
        <f t="shared" si="46"/>
        <v>#N/A</v>
      </c>
      <c r="AQ75" s="104" t="e">
        <f t="shared" si="47"/>
        <v>#N/A</v>
      </c>
      <c r="AR75" s="105" t="str">
        <f t="shared" si="48"/>
        <v/>
      </c>
      <c r="AS75" s="105" t="str">
        <f t="shared" si="49"/>
        <v/>
      </c>
      <c r="AT75" s="108" t="str">
        <f t="shared" si="50"/>
        <v/>
      </c>
      <c r="AU75" s="108" t="str">
        <f t="shared" si="51"/>
        <v/>
      </c>
      <c r="AV75" s="107" t="str">
        <f>IF(ISNUMBER(O75),IF(VLOOKUP($A75,Stand!C:J,8,FALSE)="Short",AT75,AU75),"")</f>
        <v/>
      </c>
      <c r="AW75" s="109" t="str">
        <f t="shared" si="52"/>
        <v/>
      </c>
      <c r="AX75" s="109" t="str">
        <f t="shared" si="53"/>
        <v/>
      </c>
      <c r="AY75" s="112" t="str">
        <f>IF(ISNUMBER(O75),IF(AND(VLOOKUP($D75,Merchantability!$B:$C,2,0)="Yes",$E75&gt;=VLOOKUP($D75,Merchantability!$B:$D,3,0),$E75&lt;=VLOOKUP($D75,Merchantability!$B:$E,4,0)),(AV75*O75)*(1-$H75/100),""),"")</f>
        <v/>
      </c>
      <c r="AZ75" s="115"/>
      <c r="BA75" s="116"/>
      <c r="BB75" s="116"/>
      <c r="BE75" s="62"/>
      <c r="BF75" s="63"/>
    </row>
    <row r="76" spans="1:58" ht="12.75" customHeight="1" x14ac:dyDescent="0.25">
      <c r="A76" s="313"/>
      <c r="B76" s="328"/>
      <c r="C76" s="329"/>
      <c r="D76" s="328"/>
      <c r="E76" s="330"/>
      <c r="F76" s="331"/>
      <c r="G76" s="329"/>
      <c r="H76" s="329"/>
      <c r="I76" s="328"/>
      <c r="J76" s="329"/>
      <c r="K76" s="329"/>
      <c r="L76" s="329"/>
      <c r="M76" s="76"/>
      <c r="N76" s="103" t="str">
        <f>IF(A76="","",VLOOKUP(A76,Stand!C:K,9,0))</f>
        <v/>
      </c>
      <c r="O76" s="104" t="str">
        <f t="shared" si="27"/>
        <v/>
      </c>
      <c r="P76" s="105" t="str">
        <f t="shared" si="28"/>
        <v/>
      </c>
      <c r="Q76" s="105" t="str">
        <f t="shared" si="29"/>
        <v/>
      </c>
      <c r="R76" s="103" t="str">
        <f t="shared" si="30"/>
        <v/>
      </c>
      <c r="S76" s="103" t="str">
        <f t="shared" si="31"/>
        <v/>
      </c>
      <c r="T76" s="106" t="str">
        <f t="shared" si="32"/>
        <v/>
      </c>
      <c r="U76" s="106" t="str">
        <f t="shared" si="33"/>
        <v/>
      </c>
      <c r="V76" s="106" t="str">
        <f t="shared" si="34"/>
        <v/>
      </c>
      <c r="W76" s="105" t="str">
        <f t="shared" si="35"/>
        <v/>
      </c>
      <c r="X76" s="104" t="str">
        <f t="shared" si="36"/>
        <v/>
      </c>
      <c r="Y76" s="104" t="str">
        <f t="array" ref="Y76">IFERROR(IF(ISNUMBER(O76),IF(COUNT(IF(A76=$A$2:$A$2427,IF(D76=$D$2:$D$2427,IF($X$2:$X$2427&gt;0,1))))&gt;0,SUM(IF(A76=$A$2:$A$2427,IF(D76=$D$2:$D$2427,$X$2:$X$2427)))/COUNT(IF(A76=$A$2:$A$2427,IF(D76=$D$2:$D$2427,IF(ISNUMBER($X$2:$X$2427),1)))),0),""),0)</f>
        <v/>
      </c>
      <c r="Z76" s="104" t="str">
        <f>IF(ISNUMBER(O76),IF(I76&gt;0,(10^(VLOOKUP(D76,'Species Codes'!B:C,2,0)+VLOOKUP(D76,'Species Codes'!B:D,3,0)*LOG(E76)+VLOOKUP(D76,'Species Codes'!B:E,4,0)*LOG(I76))),0),"")</f>
        <v/>
      </c>
      <c r="AA76" s="104" t="str">
        <f>IFERROR((VLOOKUP(D76,'Species Codes'!B:G,6,0)*Z76)/2000,"")</f>
        <v/>
      </c>
      <c r="AB76" s="104" t="e">
        <f>IF(Z76&gt;0,((IF(OR(D76="DF",D76="RA")=TRUE,EXP(VLOOKUP(D76,'Species Codes'!B:I,8,0)+VLOOKUP(D76,'Species Codes'!B:J,9,0)*(LN((E76*2.54)))),IF(OR(D76="PY",D76="RC",D76="WH",D76="NF")=TRUE,VLOOKUP(D76,'Species Codes'!B:I,8,0)+VLOOKUP(D76,'Species Codes'!B:J,9,0)*((E76*2.54)^2)*(I76*0.3048),IF(OR(D76="MD",D76="BM",D76="GA")=TRUE,((VLOOKUP(D76,'Species Codes'!B:I,8,0)*(((((E76*2.54)+VLOOKUP(D76,'Species Codes'!B:J,9,0))/VLOOKUP(D76,'Species Codes'!B:K,10,0))^VLOOKUP(D76,'Species Codes'!B:L,11,0))*((I76*0.3048)^VLOOKUP(D76,'Species Codes'!B:M,12,0))))-(VLOOKUP(D76,'Species Codes'!B:I,8,0)*((((E76*2.54)^VLOOKUP(D76,'Species Codes'!B:L,11,0))*((I76*0.3048)^VLOOKUP(D76,'Species Codes'!B:M,12,0))))))*35.3*VLOOKUP(D76,'Species Codes'!B:G,6,0)/2.2046,VLOOKUP(D76,'Species Codes'!B:I,8,0)+VLOOKUP(D76,'Species Codes'!B:J,9,0)*(((E76*2.54)/100)^2)*(I76*0.3048)))))*0.0011023),0)</f>
        <v>#N/A</v>
      </c>
      <c r="AC76" s="104" t="e">
        <f>IF(Z76&gt;0,((IF(OR(D76="RA",D76="OA",D76="OT",D76="UN",D76="PC"),EXP(VLOOKUP(D76,'Species Codes'!B:O,14,0)+VLOOKUP(D76,'Species Codes'!B:P,15,0)*LN((E76*2.54)))-EXP(VLOOKUP(D76,'Species Codes'!B:O,14,0)+VLOOKUP(D76,'Species Codes'!B:P,15,0)*LN((E76*2.54)))*(1/(VLOOKUP(D76,'Species Codes'!B:Q,16,0)+VLOOKUP(D76,'Species Codes'!B:R,17,0)*((E76*2.54)^VLOOKUP(D76,'Species Codes'!B:S,18,0)))),IF(OR(D76="BM",D76="MD",D76="OA"),EXP(VLOOKUP(D76,'Species Codes'!B:O,14,0)+VLOOKUP(D76,'Species Codes'!B:P,15,0)*LN((E76*2.54)))*(1-(1/(VLOOKUP(D76,'Species Codes'!B:Q,16,0)+VLOOKUP(D76,'Species Codes'!B:R,17,0)*((E76*2.54)^VLOOKUP(D76,'Species Codes'!B:S,18,0)))))/1000,IF(D76="DF",EXP(VLOOKUP(D76,'Species Codes'!B:O,14,0)+VLOOKUP(D76,'Species Codes'!B:P,15,0)*LN((E76*2.54))),VLOOKUP(D76,'Species Codes'!B:O,14,0)+VLOOKUP(D76,'Species Codes'!B:P,15,0)*(((E76*2.54)/100)^2)*(I76*0.3048)))))*0.0011023),0)</f>
        <v>#N/A</v>
      </c>
      <c r="AD76" s="104" t="e">
        <f t="shared" si="37"/>
        <v>#N/A</v>
      </c>
      <c r="AE76" s="104" t="e">
        <f t="shared" si="38"/>
        <v>#N/A</v>
      </c>
      <c r="AF76" s="104" t="e">
        <f>IF(AND(VLOOKUP($D76,Merchantability!$B:$C,2,0)="Yes",$E76&gt;=VLOOKUP($D76,Merchantability!$B:$D,3,0),$E76&lt;=VLOOKUP($D76,Merchantability!$B:$E,4,0)),AA76,0)</f>
        <v>#N/A</v>
      </c>
      <c r="AG76" s="104" t="e">
        <f>IF(AND(VLOOKUP($D76,Merchantability!$B:$C,2,0)="Yes",$E76&gt;=VLOOKUP($D76,Merchantability!$B:$D,3,0),$E76&lt;=VLOOKUP($D76,Merchantability!$B:$E,4,0)),AB76,0)</f>
        <v>#N/A</v>
      </c>
      <c r="AH76" s="104" t="e">
        <f>IF(AND(VLOOKUP($D76,Merchantability!$B:$C,2,0)="Yes",$E76&gt;=VLOOKUP($D76,Merchantability!$B:$D,3,0),$E76&lt;=VLOOKUP($D76,Merchantability!$B:$E,4,0)),AC76,0)</f>
        <v>#N/A</v>
      </c>
      <c r="AI76" s="104" t="e">
        <f t="shared" si="39"/>
        <v>#N/A</v>
      </c>
      <c r="AJ76" s="104" t="e">
        <f t="shared" si="40"/>
        <v>#VALUE!</v>
      </c>
      <c r="AK76" s="104" t="e">
        <f t="shared" si="41"/>
        <v>#N/A</v>
      </c>
      <c r="AL76" s="104" t="e">
        <f t="shared" si="42"/>
        <v>#N/A</v>
      </c>
      <c r="AM76" s="104" t="e">
        <f t="shared" si="43"/>
        <v>#N/A</v>
      </c>
      <c r="AN76" s="104" t="e">
        <f t="shared" si="44"/>
        <v>#N/A</v>
      </c>
      <c r="AO76" s="104" t="e">
        <f t="shared" si="45"/>
        <v>#N/A</v>
      </c>
      <c r="AP76" s="104" t="e">
        <f t="shared" si="46"/>
        <v>#N/A</v>
      </c>
      <c r="AQ76" s="104" t="e">
        <f t="shared" si="47"/>
        <v>#N/A</v>
      </c>
      <c r="AR76" s="105" t="str">
        <f t="shared" si="48"/>
        <v/>
      </c>
      <c r="AS76" s="105" t="str">
        <f t="shared" si="49"/>
        <v/>
      </c>
      <c r="AT76" s="108" t="str">
        <f t="shared" si="50"/>
        <v/>
      </c>
      <c r="AU76" s="108" t="str">
        <f t="shared" si="51"/>
        <v/>
      </c>
      <c r="AV76" s="107" t="str">
        <f>IF(ISNUMBER(O76),IF(VLOOKUP($A76,Stand!C:J,8,FALSE)="Short",AT76,AU76),"")</f>
        <v/>
      </c>
      <c r="AW76" s="109" t="str">
        <f t="shared" si="52"/>
        <v/>
      </c>
      <c r="AX76" s="109" t="str">
        <f t="shared" si="53"/>
        <v/>
      </c>
      <c r="AY76" s="112" t="str">
        <f>IF(ISNUMBER(O76),IF(AND(VLOOKUP($D76,Merchantability!$B:$C,2,0)="Yes",$E76&gt;=VLOOKUP($D76,Merchantability!$B:$D,3,0),$E76&lt;=VLOOKUP($D76,Merchantability!$B:$E,4,0)),(AV76*O76)*(1-$H76/100),""),"")</f>
        <v/>
      </c>
      <c r="AZ76" s="115"/>
      <c r="BA76" s="116"/>
      <c r="BB76" s="116"/>
      <c r="BE76" s="62"/>
      <c r="BF76" s="63"/>
    </row>
    <row r="77" spans="1:58" ht="12.75" customHeight="1" x14ac:dyDescent="0.25">
      <c r="A77" s="313"/>
      <c r="B77" s="328"/>
      <c r="C77" s="329"/>
      <c r="D77" s="328"/>
      <c r="E77" s="330"/>
      <c r="F77" s="331"/>
      <c r="G77" s="329"/>
      <c r="H77" s="329"/>
      <c r="I77" s="328"/>
      <c r="J77" s="329"/>
      <c r="K77" s="329"/>
      <c r="L77" s="329"/>
      <c r="M77" s="76"/>
      <c r="N77" s="103" t="str">
        <f>IF(A77="","",VLOOKUP(A77,Stand!C:K,9,0))</f>
        <v/>
      </c>
      <c r="O77" s="104" t="str">
        <f t="shared" si="27"/>
        <v/>
      </c>
      <c r="P77" s="105" t="str">
        <f t="shared" si="28"/>
        <v/>
      </c>
      <c r="Q77" s="105" t="str">
        <f t="shared" si="29"/>
        <v/>
      </c>
      <c r="R77" s="103" t="str">
        <f t="shared" si="30"/>
        <v/>
      </c>
      <c r="S77" s="103" t="str">
        <f t="shared" si="31"/>
        <v/>
      </c>
      <c r="T77" s="106" t="str">
        <f t="shared" si="32"/>
        <v/>
      </c>
      <c r="U77" s="106" t="str">
        <f t="shared" si="33"/>
        <v/>
      </c>
      <c r="V77" s="106" t="str">
        <f t="shared" si="34"/>
        <v/>
      </c>
      <c r="W77" s="105" t="str">
        <f t="shared" si="35"/>
        <v/>
      </c>
      <c r="X77" s="104" t="str">
        <f t="shared" si="36"/>
        <v/>
      </c>
      <c r="Y77" s="104" t="str">
        <f t="array" ref="Y77">IFERROR(IF(ISNUMBER(O77),IF(COUNT(IF(A77=$A$2:$A$2427,IF(D77=$D$2:$D$2427,IF($X$2:$X$2427&gt;0,1))))&gt;0,SUM(IF(A77=$A$2:$A$2427,IF(D77=$D$2:$D$2427,$X$2:$X$2427)))/COUNT(IF(A77=$A$2:$A$2427,IF(D77=$D$2:$D$2427,IF(ISNUMBER($X$2:$X$2427),1)))),0),""),0)</f>
        <v/>
      </c>
      <c r="Z77" s="104" t="str">
        <f>IF(ISNUMBER(O77),IF(I77&gt;0,(10^(VLOOKUP(D77,'Species Codes'!B:C,2,0)+VLOOKUP(D77,'Species Codes'!B:D,3,0)*LOG(E77)+VLOOKUP(D77,'Species Codes'!B:E,4,0)*LOG(I77))),0),"")</f>
        <v/>
      </c>
      <c r="AA77" s="104" t="str">
        <f>IFERROR((VLOOKUP(D77,'Species Codes'!B:G,6,0)*Z77)/2000,"")</f>
        <v/>
      </c>
      <c r="AB77" s="104" t="e">
        <f>IF(Z77&gt;0,((IF(OR(D77="DF",D77="RA")=TRUE,EXP(VLOOKUP(D77,'Species Codes'!B:I,8,0)+VLOOKUP(D77,'Species Codes'!B:J,9,0)*(LN((E77*2.54)))),IF(OR(D77="PY",D77="RC",D77="WH",D77="NF")=TRUE,VLOOKUP(D77,'Species Codes'!B:I,8,0)+VLOOKUP(D77,'Species Codes'!B:J,9,0)*((E77*2.54)^2)*(I77*0.3048),IF(OR(D77="MD",D77="BM",D77="GA")=TRUE,((VLOOKUP(D77,'Species Codes'!B:I,8,0)*(((((E77*2.54)+VLOOKUP(D77,'Species Codes'!B:J,9,0))/VLOOKUP(D77,'Species Codes'!B:K,10,0))^VLOOKUP(D77,'Species Codes'!B:L,11,0))*((I77*0.3048)^VLOOKUP(D77,'Species Codes'!B:M,12,0))))-(VLOOKUP(D77,'Species Codes'!B:I,8,0)*((((E77*2.54)^VLOOKUP(D77,'Species Codes'!B:L,11,0))*((I77*0.3048)^VLOOKUP(D77,'Species Codes'!B:M,12,0))))))*35.3*VLOOKUP(D77,'Species Codes'!B:G,6,0)/2.2046,VLOOKUP(D77,'Species Codes'!B:I,8,0)+VLOOKUP(D77,'Species Codes'!B:J,9,0)*(((E77*2.54)/100)^2)*(I77*0.3048)))))*0.0011023),0)</f>
        <v>#N/A</v>
      </c>
      <c r="AC77" s="104" t="e">
        <f>IF(Z77&gt;0,((IF(OR(D77="RA",D77="OA",D77="OT",D77="UN",D77="PC"),EXP(VLOOKUP(D77,'Species Codes'!B:O,14,0)+VLOOKUP(D77,'Species Codes'!B:P,15,0)*LN((E77*2.54)))-EXP(VLOOKUP(D77,'Species Codes'!B:O,14,0)+VLOOKUP(D77,'Species Codes'!B:P,15,0)*LN((E77*2.54)))*(1/(VLOOKUP(D77,'Species Codes'!B:Q,16,0)+VLOOKUP(D77,'Species Codes'!B:R,17,0)*((E77*2.54)^VLOOKUP(D77,'Species Codes'!B:S,18,0)))),IF(OR(D77="BM",D77="MD",D77="OA"),EXP(VLOOKUP(D77,'Species Codes'!B:O,14,0)+VLOOKUP(D77,'Species Codes'!B:P,15,0)*LN((E77*2.54)))*(1-(1/(VLOOKUP(D77,'Species Codes'!B:Q,16,0)+VLOOKUP(D77,'Species Codes'!B:R,17,0)*((E77*2.54)^VLOOKUP(D77,'Species Codes'!B:S,18,0)))))/1000,IF(D77="DF",EXP(VLOOKUP(D77,'Species Codes'!B:O,14,0)+VLOOKUP(D77,'Species Codes'!B:P,15,0)*LN((E77*2.54))),VLOOKUP(D77,'Species Codes'!B:O,14,0)+VLOOKUP(D77,'Species Codes'!B:P,15,0)*(((E77*2.54)/100)^2)*(I77*0.3048)))))*0.0011023),0)</f>
        <v>#N/A</v>
      </c>
      <c r="AD77" s="104" t="e">
        <f t="shared" si="37"/>
        <v>#N/A</v>
      </c>
      <c r="AE77" s="104" t="e">
        <f t="shared" si="38"/>
        <v>#N/A</v>
      </c>
      <c r="AF77" s="104" t="e">
        <f>IF(AND(VLOOKUP($D77,Merchantability!$B:$C,2,0)="Yes",$E77&gt;=VLOOKUP($D77,Merchantability!$B:$D,3,0),$E77&lt;=VLOOKUP($D77,Merchantability!$B:$E,4,0)),AA77,0)</f>
        <v>#N/A</v>
      </c>
      <c r="AG77" s="104" t="e">
        <f>IF(AND(VLOOKUP($D77,Merchantability!$B:$C,2,0)="Yes",$E77&gt;=VLOOKUP($D77,Merchantability!$B:$D,3,0),$E77&lt;=VLOOKUP($D77,Merchantability!$B:$E,4,0)),AB77,0)</f>
        <v>#N/A</v>
      </c>
      <c r="AH77" s="104" t="e">
        <f>IF(AND(VLOOKUP($D77,Merchantability!$B:$C,2,0)="Yes",$E77&gt;=VLOOKUP($D77,Merchantability!$B:$D,3,0),$E77&lt;=VLOOKUP($D77,Merchantability!$B:$E,4,0)),AC77,0)</f>
        <v>#N/A</v>
      </c>
      <c r="AI77" s="104" t="e">
        <f t="shared" si="39"/>
        <v>#N/A</v>
      </c>
      <c r="AJ77" s="104" t="e">
        <f t="shared" si="40"/>
        <v>#VALUE!</v>
      </c>
      <c r="AK77" s="104" t="e">
        <f t="shared" si="41"/>
        <v>#N/A</v>
      </c>
      <c r="AL77" s="104" t="e">
        <f t="shared" si="42"/>
        <v>#N/A</v>
      </c>
      <c r="AM77" s="104" t="e">
        <f t="shared" si="43"/>
        <v>#N/A</v>
      </c>
      <c r="AN77" s="104" t="e">
        <f t="shared" si="44"/>
        <v>#N/A</v>
      </c>
      <c r="AO77" s="104" t="e">
        <f t="shared" si="45"/>
        <v>#N/A</v>
      </c>
      <c r="AP77" s="104" t="e">
        <f t="shared" si="46"/>
        <v>#N/A</v>
      </c>
      <c r="AQ77" s="104" t="e">
        <f t="shared" si="47"/>
        <v>#N/A</v>
      </c>
      <c r="AR77" s="105" t="str">
        <f t="shared" si="48"/>
        <v/>
      </c>
      <c r="AS77" s="105" t="str">
        <f t="shared" si="49"/>
        <v/>
      </c>
      <c r="AT77" s="108" t="str">
        <f t="shared" si="50"/>
        <v/>
      </c>
      <c r="AU77" s="108" t="str">
        <f t="shared" si="51"/>
        <v/>
      </c>
      <c r="AV77" s="107" t="str">
        <f>IF(ISNUMBER(O77),IF(VLOOKUP($A77,Stand!C:J,8,FALSE)="Short",AT77,AU77),"")</f>
        <v/>
      </c>
      <c r="AW77" s="109" t="str">
        <f t="shared" si="52"/>
        <v/>
      </c>
      <c r="AX77" s="109" t="str">
        <f t="shared" si="53"/>
        <v/>
      </c>
      <c r="AY77" s="112" t="str">
        <f>IF(ISNUMBER(O77),IF(AND(VLOOKUP($D77,Merchantability!$B:$C,2,0)="Yes",$E77&gt;=VLOOKUP($D77,Merchantability!$B:$D,3,0),$E77&lt;=VLOOKUP($D77,Merchantability!$B:$E,4,0)),(AV77*O77)*(1-$H77/100),""),"")</f>
        <v/>
      </c>
      <c r="AZ77" s="115"/>
      <c r="BA77" s="116"/>
      <c r="BB77" s="116"/>
      <c r="BE77" s="62"/>
      <c r="BF77" s="63"/>
    </row>
    <row r="78" spans="1:58" ht="12.75" customHeight="1" x14ac:dyDescent="0.25">
      <c r="A78" s="313"/>
      <c r="B78" s="328"/>
      <c r="C78" s="329"/>
      <c r="D78" s="328"/>
      <c r="E78" s="330"/>
      <c r="F78" s="331"/>
      <c r="G78" s="329"/>
      <c r="H78" s="329"/>
      <c r="I78" s="328"/>
      <c r="J78" s="329"/>
      <c r="K78" s="329"/>
      <c r="L78" s="329"/>
      <c r="M78" s="76"/>
      <c r="N78" s="103" t="str">
        <f>IF(A78="","",VLOOKUP(A78,Stand!C:K,9,0))</f>
        <v/>
      </c>
      <c r="O78" s="104" t="str">
        <f t="shared" si="27"/>
        <v/>
      </c>
      <c r="P78" s="105" t="str">
        <f t="shared" si="28"/>
        <v/>
      </c>
      <c r="Q78" s="105" t="str">
        <f t="shared" si="29"/>
        <v/>
      </c>
      <c r="R78" s="103" t="str">
        <f t="shared" si="30"/>
        <v/>
      </c>
      <c r="S78" s="103" t="str">
        <f t="shared" si="31"/>
        <v/>
      </c>
      <c r="T78" s="106" t="str">
        <f t="shared" si="32"/>
        <v/>
      </c>
      <c r="U78" s="106" t="str">
        <f t="shared" si="33"/>
        <v/>
      </c>
      <c r="V78" s="106" t="str">
        <f t="shared" si="34"/>
        <v/>
      </c>
      <c r="W78" s="105" t="str">
        <f t="shared" si="35"/>
        <v/>
      </c>
      <c r="X78" s="104" t="str">
        <f t="shared" si="36"/>
        <v/>
      </c>
      <c r="Y78" s="104" t="str">
        <f t="array" ref="Y78">IFERROR(IF(ISNUMBER(O78),IF(COUNT(IF(A78=$A$2:$A$2427,IF(D78=$D$2:$D$2427,IF($X$2:$X$2427&gt;0,1))))&gt;0,SUM(IF(A78=$A$2:$A$2427,IF(D78=$D$2:$D$2427,$X$2:$X$2427)))/COUNT(IF(A78=$A$2:$A$2427,IF(D78=$D$2:$D$2427,IF(ISNUMBER($X$2:$X$2427),1)))),0),""),0)</f>
        <v/>
      </c>
      <c r="Z78" s="104" t="str">
        <f>IF(ISNUMBER(O78),IF(I78&gt;0,(10^(VLOOKUP(D78,'Species Codes'!B:C,2,0)+VLOOKUP(D78,'Species Codes'!B:D,3,0)*LOG(E78)+VLOOKUP(D78,'Species Codes'!B:E,4,0)*LOG(I78))),0),"")</f>
        <v/>
      </c>
      <c r="AA78" s="104" t="str">
        <f>IFERROR((VLOOKUP(D78,'Species Codes'!B:G,6,0)*Z78)/2000,"")</f>
        <v/>
      </c>
      <c r="AB78" s="104" t="e">
        <f>IF(Z78&gt;0,((IF(OR(D78="DF",D78="RA")=TRUE,EXP(VLOOKUP(D78,'Species Codes'!B:I,8,0)+VLOOKUP(D78,'Species Codes'!B:J,9,0)*(LN((E78*2.54)))),IF(OR(D78="PY",D78="RC",D78="WH",D78="NF")=TRUE,VLOOKUP(D78,'Species Codes'!B:I,8,0)+VLOOKUP(D78,'Species Codes'!B:J,9,0)*((E78*2.54)^2)*(I78*0.3048),IF(OR(D78="MD",D78="BM",D78="GA")=TRUE,((VLOOKUP(D78,'Species Codes'!B:I,8,0)*(((((E78*2.54)+VLOOKUP(D78,'Species Codes'!B:J,9,0))/VLOOKUP(D78,'Species Codes'!B:K,10,0))^VLOOKUP(D78,'Species Codes'!B:L,11,0))*((I78*0.3048)^VLOOKUP(D78,'Species Codes'!B:M,12,0))))-(VLOOKUP(D78,'Species Codes'!B:I,8,0)*((((E78*2.54)^VLOOKUP(D78,'Species Codes'!B:L,11,0))*((I78*0.3048)^VLOOKUP(D78,'Species Codes'!B:M,12,0))))))*35.3*VLOOKUP(D78,'Species Codes'!B:G,6,0)/2.2046,VLOOKUP(D78,'Species Codes'!B:I,8,0)+VLOOKUP(D78,'Species Codes'!B:J,9,0)*(((E78*2.54)/100)^2)*(I78*0.3048)))))*0.0011023),0)</f>
        <v>#N/A</v>
      </c>
      <c r="AC78" s="104" t="e">
        <f>IF(Z78&gt;0,((IF(OR(D78="RA",D78="OA",D78="OT",D78="UN",D78="PC"),EXP(VLOOKUP(D78,'Species Codes'!B:O,14,0)+VLOOKUP(D78,'Species Codes'!B:P,15,0)*LN((E78*2.54)))-EXP(VLOOKUP(D78,'Species Codes'!B:O,14,0)+VLOOKUP(D78,'Species Codes'!B:P,15,0)*LN((E78*2.54)))*(1/(VLOOKUP(D78,'Species Codes'!B:Q,16,0)+VLOOKUP(D78,'Species Codes'!B:R,17,0)*((E78*2.54)^VLOOKUP(D78,'Species Codes'!B:S,18,0)))),IF(OR(D78="BM",D78="MD",D78="OA"),EXP(VLOOKUP(D78,'Species Codes'!B:O,14,0)+VLOOKUP(D78,'Species Codes'!B:P,15,0)*LN((E78*2.54)))*(1-(1/(VLOOKUP(D78,'Species Codes'!B:Q,16,0)+VLOOKUP(D78,'Species Codes'!B:R,17,0)*((E78*2.54)^VLOOKUP(D78,'Species Codes'!B:S,18,0)))))/1000,IF(D78="DF",EXP(VLOOKUP(D78,'Species Codes'!B:O,14,0)+VLOOKUP(D78,'Species Codes'!B:P,15,0)*LN((E78*2.54))),VLOOKUP(D78,'Species Codes'!B:O,14,0)+VLOOKUP(D78,'Species Codes'!B:P,15,0)*(((E78*2.54)/100)^2)*(I78*0.3048)))))*0.0011023),0)</f>
        <v>#N/A</v>
      </c>
      <c r="AD78" s="104" t="e">
        <f t="shared" si="37"/>
        <v>#N/A</v>
      </c>
      <c r="AE78" s="104" t="e">
        <f t="shared" si="38"/>
        <v>#N/A</v>
      </c>
      <c r="AF78" s="104" t="e">
        <f>IF(AND(VLOOKUP($D78,Merchantability!$B:$C,2,0)="Yes",$E78&gt;=VLOOKUP($D78,Merchantability!$B:$D,3,0),$E78&lt;=VLOOKUP($D78,Merchantability!$B:$E,4,0)),AA78,0)</f>
        <v>#N/A</v>
      </c>
      <c r="AG78" s="104" t="e">
        <f>IF(AND(VLOOKUP($D78,Merchantability!$B:$C,2,0)="Yes",$E78&gt;=VLOOKUP($D78,Merchantability!$B:$D,3,0),$E78&lt;=VLOOKUP($D78,Merchantability!$B:$E,4,0)),AB78,0)</f>
        <v>#N/A</v>
      </c>
      <c r="AH78" s="104" t="e">
        <f>IF(AND(VLOOKUP($D78,Merchantability!$B:$C,2,0)="Yes",$E78&gt;=VLOOKUP($D78,Merchantability!$B:$D,3,0),$E78&lt;=VLOOKUP($D78,Merchantability!$B:$E,4,0)),AC78,0)</f>
        <v>#N/A</v>
      </c>
      <c r="AI78" s="104" t="e">
        <f t="shared" si="39"/>
        <v>#N/A</v>
      </c>
      <c r="AJ78" s="104" t="e">
        <f t="shared" si="40"/>
        <v>#VALUE!</v>
      </c>
      <c r="AK78" s="104" t="e">
        <f t="shared" si="41"/>
        <v>#N/A</v>
      </c>
      <c r="AL78" s="104" t="e">
        <f t="shared" si="42"/>
        <v>#N/A</v>
      </c>
      <c r="AM78" s="104" t="e">
        <f t="shared" si="43"/>
        <v>#N/A</v>
      </c>
      <c r="AN78" s="104" t="e">
        <f t="shared" si="44"/>
        <v>#N/A</v>
      </c>
      <c r="AO78" s="104" t="e">
        <f t="shared" si="45"/>
        <v>#N/A</v>
      </c>
      <c r="AP78" s="104" t="e">
        <f t="shared" si="46"/>
        <v>#N/A</v>
      </c>
      <c r="AQ78" s="104" t="e">
        <f t="shared" si="47"/>
        <v>#N/A</v>
      </c>
      <c r="AR78" s="105" t="str">
        <f t="shared" si="48"/>
        <v/>
      </c>
      <c r="AS78" s="105" t="str">
        <f t="shared" si="49"/>
        <v/>
      </c>
      <c r="AT78" s="108" t="str">
        <f t="shared" si="50"/>
        <v/>
      </c>
      <c r="AU78" s="108" t="str">
        <f t="shared" si="51"/>
        <v/>
      </c>
      <c r="AV78" s="107" t="str">
        <f>IF(ISNUMBER(O78),IF(VLOOKUP($A78,Stand!C:J,8,FALSE)="Short",AT78,AU78),"")</f>
        <v/>
      </c>
      <c r="AW78" s="109" t="str">
        <f t="shared" si="52"/>
        <v/>
      </c>
      <c r="AX78" s="109" t="str">
        <f t="shared" si="53"/>
        <v/>
      </c>
      <c r="AY78" s="112" t="str">
        <f>IF(ISNUMBER(O78),IF(AND(VLOOKUP($D78,Merchantability!$B:$C,2,0)="Yes",$E78&gt;=VLOOKUP($D78,Merchantability!$B:$D,3,0),$E78&lt;=VLOOKUP($D78,Merchantability!$B:$E,4,0)),(AV78*O78)*(1-$H78/100),""),"")</f>
        <v/>
      </c>
      <c r="AZ78" s="115"/>
      <c r="BA78" s="116"/>
      <c r="BB78" s="116"/>
      <c r="BE78" s="62"/>
      <c r="BF78" s="63"/>
    </row>
    <row r="79" spans="1:58" ht="12.75" customHeight="1" x14ac:dyDescent="0.25">
      <c r="A79" s="313"/>
      <c r="B79" s="328"/>
      <c r="C79" s="329"/>
      <c r="D79" s="328"/>
      <c r="E79" s="330"/>
      <c r="F79" s="331"/>
      <c r="G79" s="329"/>
      <c r="H79" s="329"/>
      <c r="I79" s="328"/>
      <c r="J79" s="329"/>
      <c r="K79" s="329"/>
      <c r="L79" s="329"/>
      <c r="M79" s="76"/>
      <c r="N79" s="103" t="str">
        <f>IF(A79="","",VLOOKUP(A79,Stand!C:K,9,0))</f>
        <v/>
      </c>
      <c r="O79" s="104" t="str">
        <f t="shared" si="27"/>
        <v/>
      </c>
      <c r="P79" s="105" t="str">
        <f t="shared" si="28"/>
        <v/>
      </c>
      <c r="Q79" s="105" t="str">
        <f t="shared" si="29"/>
        <v/>
      </c>
      <c r="R79" s="103" t="str">
        <f t="shared" si="30"/>
        <v/>
      </c>
      <c r="S79" s="103" t="str">
        <f t="shared" si="31"/>
        <v/>
      </c>
      <c r="T79" s="106" t="str">
        <f t="shared" si="32"/>
        <v/>
      </c>
      <c r="U79" s="106" t="str">
        <f t="shared" si="33"/>
        <v/>
      </c>
      <c r="V79" s="106" t="str">
        <f t="shared" si="34"/>
        <v/>
      </c>
      <c r="W79" s="105" t="str">
        <f t="shared" si="35"/>
        <v/>
      </c>
      <c r="X79" s="104" t="str">
        <f t="shared" si="36"/>
        <v/>
      </c>
      <c r="Y79" s="104" t="str">
        <f t="array" ref="Y79">IFERROR(IF(ISNUMBER(O79),IF(COUNT(IF(A79=$A$2:$A$2427,IF(D79=$D$2:$D$2427,IF($X$2:$X$2427&gt;0,1))))&gt;0,SUM(IF(A79=$A$2:$A$2427,IF(D79=$D$2:$D$2427,$X$2:$X$2427)))/COUNT(IF(A79=$A$2:$A$2427,IF(D79=$D$2:$D$2427,IF(ISNUMBER($X$2:$X$2427),1)))),0),""),0)</f>
        <v/>
      </c>
      <c r="Z79" s="104" t="str">
        <f>IF(ISNUMBER(O79),IF(I79&gt;0,(10^(VLOOKUP(D79,'Species Codes'!B:C,2,0)+VLOOKUP(D79,'Species Codes'!B:D,3,0)*LOG(E79)+VLOOKUP(D79,'Species Codes'!B:E,4,0)*LOG(I79))),0),"")</f>
        <v/>
      </c>
      <c r="AA79" s="104" t="str">
        <f>IFERROR((VLOOKUP(D79,'Species Codes'!B:G,6,0)*Z79)/2000,"")</f>
        <v/>
      </c>
      <c r="AB79" s="104" t="e">
        <f>IF(Z79&gt;0,((IF(OR(D79="DF",D79="RA")=TRUE,EXP(VLOOKUP(D79,'Species Codes'!B:I,8,0)+VLOOKUP(D79,'Species Codes'!B:J,9,0)*(LN((E79*2.54)))),IF(OR(D79="PY",D79="RC",D79="WH",D79="NF")=TRUE,VLOOKUP(D79,'Species Codes'!B:I,8,0)+VLOOKUP(D79,'Species Codes'!B:J,9,0)*((E79*2.54)^2)*(I79*0.3048),IF(OR(D79="MD",D79="BM",D79="GA")=TRUE,((VLOOKUP(D79,'Species Codes'!B:I,8,0)*(((((E79*2.54)+VLOOKUP(D79,'Species Codes'!B:J,9,0))/VLOOKUP(D79,'Species Codes'!B:K,10,0))^VLOOKUP(D79,'Species Codes'!B:L,11,0))*((I79*0.3048)^VLOOKUP(D79,'Species Codes'!B:M,12,0))))-(VLOOKUP(D79,'Species Codes'!B:I,8,0)*((((E79*2.54)^VLOOKUP(D79,'Species Codes'!B:L,11,0))*((I79*0.3048)^VLOOKUP(D79,'Species Codes'!B:M,12,0))))))*35.3*VLOOKUP(D79,'Species Codes'!B:G,6,0)/2.2046,VLOOKUP(D79,'Species Codes'!B:I,8,0)+VLOOKUP(D79,'Species Codes'!B:J,9,0)*(((E79*2.54)/100)^2)*(I79*0.3048)))))*0.0011023),0)</f>
        <v>#N/A</v>
      </c>
      <c r="AC79" s="104" t="e">
        <f>IF(Z79&gt;0,((IF(OR(D79="RA",D79="OA",D79="OT",D79="UN",D79="PC"),EXP(VLOOKUP(D79,'Species Codes'!B:O,14,0)+VLOOKUP(D79,'Species Codes'!B:P,15,0)*LN((E79*2.54)))-EXP(VLOOKUP(D79,'Species Codes'!B:O,14,0)+VLOOKUP(D79,'Species Codes'!B:P,15,0)*LN((E79*2.54)))*(1/(VLOOKUP(D79,'Species Codes'!B:Q,16,0)+VLOOKUP(D79,'Species Codes'!B:R,17,0)*((E79*2.54)^VLOOKUP(D79,'Species Codes'!B:S,18,0)))),IF(OR(D79="BM",D79="MD",D79="OA"),EXP(VLOOKUP(D79,'Species Codes'!B:O,14,0)+VLOOKUP(D79,'Species Codes'!B:P,15,0)*LN((E79*2.54)))*(1-(1/(VLOOKUP(D79,'Species Codes'!B:Q,16,0)+VLOOKUP(D79,'Species Codes'!B:R,17,0)*((E79*2.54)^VLOOKUP(D79,'Species Codes'!B:S,18,0)))))/1000,IF(D79="DF",EXP(VLOOKUP(D79,'Species Codes'!B:O,14,0)+VLOOKUP(D79,'Species Codes'!B:P,15,0)*LN((E79*2.54))),VLOOKUP(D79,'Species Codes'!B:O,14,0)+VLOOKUP(D79,'Species Codes'!B:P,15,0)*(((E79*2.54)/100)^2)*(I79*0.3048)))))*0.0011023),0)</f>
        <v>#N/A</v>
      </c>
      <c r="AD79" s="104" t="e">
        <f t="shared" si="37"/>
        <v>#N/A</v>
      </c>
      <c r="AE79" s="104" t="e">
        <f t="shared" si="38"/>
        <v>#N/A</v>
      </c>
      <c r="AF79" s="104" t="e">
        <f>IF(AND(VLOOKUP($D79,Merchantability!$B:$C,2,0)="Yes",$E79&gt;=VLOOKUP($D79,Merchantability!$B:$D,3,0),$E79&lt;=VLOOKUP($D79,Merchantability!$B:$E,4,0)),AA79,0)</f>
        <v>#N/A</v>
      </c>
      <c r="AG79" s="104" t="e">
        <f>IF(AND(VLOOKUP($D79,Merchantability!$B:$C,2,0)="Yes",$E79&gt;=VLOOKUP($D79,Merchantability!$B:$D,3,0),$E79&lt;=VLOOKUP($D79,Merchantability!$B:$E,4,0)),AB79,0)</f>
        <v>#N/A</v>
      </c>
      <c r="AH79" s="104" t="e">
        <f>IF(AND(VLOOKUP($D79,Merchantability!$B:$C,2,0)="Yes",$E79&gt;=VLOOKUP($D79,Merchantability!$B:$D,3,0),$E79&lt;=VLOOKUP($D79,Merchantability!$B:$E,4,0)),AC79,0)</f>
        <v>#N/A</v>
      </c>
      <c r="AI79" s="104" t="e">
        <f t="shared" si="39"/>
        <v>#N/A</v>
      </c>
      <c r="AJ79" s="104" t="e">
        <f t="shared" si="40"/>
        <v>#VALUE!</v>
      </c>
      <c r="AK79" s="104" t="e">
        <f t="shared" si="41"/>
        <v>#N/A</v>
      </c>
      <c r="AL79" s="104" t="e">
        <f t="shared" si="42"/>
        <v>#N/A</v>
      </c>
      <c r="AM79" s="104" t="e">
        <f t="shared" si="43"/>
        <v>#N/A</v>
      </c>
      <c r="AN79" s="104" t="e">
        <f t="shared" si="44"/>
        <v>#N/A</v>
      </c>
      <c r="AO79" s="104" t="e">
        <f t="shared" si="45"/>
        <v>#N/A</v>
      </c>
      <c r="AP79" s="104" t="e">
        <f t="shared" si="46"/>
        <v>#N/A</v>
      </c>
      <c r="AQ79" s="104" t="e">
        <f t="shared" si="47"/>
        <v>#N/A</v>
      </c>
      <c r="AR79" s="105" t="str">
        <f t="shared" si="48"/>
        <v/>
      </c>
      <c r="AS79" s="105" t="str">
        <f t="shared" si="49"/>
        <v/>
      </c>
      <c r="AT79" s="108" t="str">
        <f t="shared" si="50"/>
        <v/>
      </c>
      <c r="AU79" s="108" t="str">
        <f t="shared" si="51"/>
        <v/>
      </c>
      <c r="AV79" s="107" t="str">
        <f>IF(ISNUMBER(O79),IF(VLOOKUP($A79,Stand!C:J,8,FALSE)="Short",AT79,AU79),"")</f>
        <v/>
      </c>
      <c r="AW79" s="109" t="str">
        <f t="shared" si="52"/>
        <v/>
      </c>
      <c r="AX79" s="109" t="str">
        <f t="shared" si="53"/>
        <v/>
      </c>
      <c r="AY79" s="112" t="str">
        <f>IF(ISNUMBER(O79),IF(AND(VLOOKUP($D79,Merchantability!$B:$C,2,0)="Yes",$E79&gt;=VLOOKUP($D79,Merchantability!$B:$D,3,0),$E79&lt;=VLOOKUP($D79,Merchantability!$B:$E,4,0)),(AV79*O79)*(1-$H79/100),""),"")</f>
        <v/>
      </c>
      <c r="AZ79" s="115"/>
      <c r="BA79" s="116"/>
      <c r="BB79" s="116"/>
      <c r="BE79" s="62"/>
      <c r="BF79" s="63"/>
    </row>
    <row r="80" spans="1:58" ht="12.75" customHeight="1" x14ac:dyDescent="0.25">
      <c r="A80" s="313"/>
      <c r="B80" s="328"/>
      <c r="C80" s="329"/>
      <c r="D80" s="328"/>
      <c r="E80" s="330"/>
      <c r="F80" s="331"/>
      <c r="G80" s="329"/>
      <c r="H80" s="329"/>
      <c r="I80" s="328"/>
      <c r="J80" s="329"/>
      <c r="K80" s="329"/>
      <c r="L80" s="329"/>
      <c r="M80" s="76"/>
      <c r="N80" s="103" t="str">
        <f>IF(A80="","",VLOOKUP(A80,Stand!C:K,9,0))</f>
        <v/>
      </c>
      <c r="O80" s="104" t="str">
        <f t="shared" si="27"/>
        <v/>
      </c>
      <c r="P80" s="105" t="str">
        <f t="shared" si="28"/>
        <v/>
      </c>
      <c r="Q80" s="105" t="str">
        <f t="shared" si="29"/>
        <v/>
      </c>
      <c r="R80" s="103" t="str">
        <f t="shared" si="30"/>
        <v/>
      </c>
      <c r="S80" s="103" t="str">
        <f t="shared" si="31"/>
        <v/>
      </c>
      <c r="T80" s="106" t="str">
        <f t="shared" si="32"/>
        <v/>
      </c>
      <c r="U80" s="106" t="str">
        <f t="shared" si="33"/>
        <v/>
      </c>
      <c r="V80" s="106" t="str">
        <f t="shared" si="34"/>
        <v/>
      </c>
      <c r="W80" s="105" t="str">
        <f t="shared" si="35"/>
        <v/>
      </c>
      <c r="X80" s="104" t="str">
        <f t="shared" si="36"/>
        <v/>
      </c>
      <c r="Y80" s="104" t="str">
        <f t="array" ref="Y80">IFERROR(IF(ISNUMBER(O80),IF(COUNT(IF(A80=$A$2:$A$2427,IF(D80=$D$2:$D$2427,IF($X$2:$X$2427&gt;0,1))))&gt;0,SUM(IF(A80=$A$2:$A$2427,IF(D80=$D$2:$D$2427,$X$2:$X$2427)))/COUNT(IF(A80=$A$2:$A$2427,IF(D80=$D$2:$D$2427,IF(ISNUMBER($X$2:$X$2427),1)))),0),""),0)</f>
        <v/>
      </c>
      <c r="Z80" s="104" t="str">
        <f>IF(ISNUMBER(O80),IF(I80&gt;0,(10^(VLOOKUP(D80,'Species Codes'!B:C,2,0)+VLOOKUP(D80,'Species Codes'!B:D,3,0)*LOG(E80)+VLOOKUP(D80,'Species Codes'!B:E,4,0)*LOG(I80))),0),"")</f>
        <v/>
      </c>
      <c r="AA80" s="104" t="str">
        <f>IFERROR((VLOOKUP(D80,'Species Codes'!B:G,6,0)*Z80)/2000,"")</f>
        <v/>
      </c>
      <c r="AB80" s="104" t="e">
        <f>IF(Z80&gt;0,((IF(OR(D80="DF",D80="RA")=TRUE,EXP(VLOOKUP(D80,'Species Codes'!B:I,8,0)+VLOOKUP(D80,'Species Codes'!B:J,9,0)*(LN((E80*2.54)))),IF(OR(D80="PY",D80="RC",D80="WH",D80="NF")=TRUE,VLOOKUP(D80,'Species Codes'!B:I,8,0)+VLOOKUP(D80,'Species Codes'!B:J,9,0)*((E80*2.54)^2)*(I80*0.3048),IF(OR(D80="MD",D80="BM",D80="GA")=TRUE,((VLOOKUP(D80,'Species Codes'!B:I,8,0)*(((((E80*2.54)+VLOOKUP(D80,'Species Codes'!B:J,9,0))/VLOOKUP(D80,'Species Codes'!B:K,10,0))^VLOOKUP(D80,'Species Codes'!B:L,11,0))*((I80*0.3048)^VLOOKUP(D80,'Species Codes'!B:M,12,0))))-(VLOOKUP(D80,'Species Codes'!B:I,8,0)*((((E80*2.54)^VLOOKUP(D80,'Species Codes'!B:L,11,0))*((I80*0.3048)^VLOOKUP(D80,'Species Codes'!B:M,12,0))))))*35.3*VLOOKUP(D80,'Species Codes'!B:G,6,0)/2.2046,VLOOKUP(D80,'Species Codes'!B:I,8,0)+VLOOKUP(D80,'Species Codes'!B:J,9,0)*(((E80*2.54)/100)^2)*(I80*0.3048)))))*0.0011023),0)</f>
        <v>#N/A</v>
      </c>
      <c r="AC80" s="104" t="e">
        <f>IF(Z80&gt;0,((IF(OR(D80="RA",D80="OA",D80="OT",D80="UN",D80="PC"),EXP(VLOOKUP(D80,'Species Codes'!B:O,14,0)+VLOOKUP(D80,'Species Codes'!B:P,15,0)*LN((E80*2.54)))-EXP(VLOOKUP(D80,'Species Codes'!B:O,14,0)+VLOOKUP(D80,'Species Codes'!B:P,15,0)*LN((E80*2.54)))*(1/(VLOOKUP(D80,'Species Codes'!B:Q,16,0)+VLOOKUP(D80,'Species Codes'!B:R,17,0)*((E80*2.54)^VLOOKUP(D80,'Species Codes'!B:S,18,0)))),IF(OR(D80="BM",D80="MD",D80="OA"),EXP(VLOOKUP(D80,'Species Codes'!B:O,14,0)+VLOOKUP(D80,'Species Codes'!B:P,15,0)*LN((E80*2.54)))*(1-(1/(VLOOKUP(D80,'Species Codes'!B:Q,16,0)+VLOOKUP(D80,'Species Codes'!B:R,17,0)*((E80*2.54)^VLOOKUP(D80,'Species Codes'!B:S,18,0)))))/1000,IF(D80="DF",EXP(VLOOKUP(D80,'Species Codes'!B:O,14,0)+VLOOKUP(D80,'Species Codes'!B:P,15,0)*LN((E80*2.54))),VLOOKUP(D80,'Species Codes'!B:O,14,0)+VLOOKUP(D80,'Species Codes'!B:P,15,0)*(((E80*2.54)/100)^2)*(I80*0.3048)))))*0.0011023),0)</f>
        <v>#N/A</v>
      </c>
      <c r="AD80" s="104" t="e">
        <f t="shared" si="37"/>
        <v>#N/A</v>
      </c>
      <c r="AE80" s="104" t="e">
        <f t="shared" si="38"/>
        <v>#N/A</v>
      </c>
      <c r="AF80" s="104" t="e">
        <f>IF(AND(VLOOKUP($D80,Merchantability!$B:$C,2,0)="Yes",$E80&gt;=VLOOKUP($D80,Merchantability!$B:$D,3,0),$E80&lt;=VLOOKUP($D80,Merchantability!$B:$E,4,0)),AA80,0)</f>
        <v>#N/A</v>
      </c>
      <c r="AG80" s="104" t="e">
        <f>IF(AND(VLOOKUP($D80,Merchantability!$B:$C,2,0)="Yes",$E80&gt;=VLOOKUP($D80,Merchantability!$B:$D,3,0),$E80&lt;=VLOOKUP($D80,Merchantability!$B:$E,4,0)),AB80,0)</f>
        <v>#N/A</v>
      </c>
      <c r="AH80" s="104" t="e">
        <f>IF(AND(VLOOKUP($D80,Merchantability!$B:$C,2,0)="Yes",$E80&gt;=VLOOKUP($D80,Merchantability!$B:$D,3,0),$E80&lt;=VLOOKUP($D80,Merchantability!$B:$E,4,0)),AC80,0)</f>
        <v>#N/A</v>
      </c>
      <c r="AI80" s="104" t="e">
        <f t="shared" si="39"/>
        <v>#N/A</v>
      </c>
      <c r="AJ80" s="104" t="e">
        <f t="shared" si="40"/>
        <v>#VALUE!</v>
      </c>
      <c r="AK80" s="104" t="e">
        <f t="shared" si="41"/>
        <v>#N/A</v>
      </c>
      <c r="AL80" s="104" t="e">
        <f t="shared" si="42"/>
        <v>#N/A</v>
      </c>
      <c r="AM80" s="104" t="e">
        <f t="shared" si="43"/>
        <v>#N/A</v>
      </c>
      <c r="AN80" s="104" t="e">
        <f t="shared" si="44"/>
        <v>#N/A</v>
      </c>
      <c r="AO80" s="104" t="e">
        <f t="shared" si="45"/>
        <v>#N/A</v>
      </c>
      <c r="AP80" s="104" t="e">
        <f t="shared" si="46"/>
        <v>#N/A</v>
      </c>
      <c r="AQ80" s="104" t="e">
        <f t="shared" si="47"/>
        <v>#N/A</v>
      </c>
      <c r="AR80" s="105" t="str">
        <f t="shared" si="48"/>
        <v/>
      </c>
      <c r="AS80" s="105" t="str">
        <f t="shared" si="49"/>
        <v/>
      </c>
      <c r="AT80" s="108" t="str">
        <f t="shared" si="50"/>
        <v/>
      </c>
      <c r="AU80" s="108" t="str">
        <f t="shared" si="51"/>
        <v/>
      </c>
      <c r="AV80" s="107" t="str">
        <f>IF(ISNUMBER(O80),IF(VLOOKUP($A80,Stand!C:J,8,FALSE)="Short",AT80,AU80),"")</f>
        <v/>
      </c>
      <c r="AW80" s="109" t="str">
        <f t="shared" si="52"/>
        <v/>
      </c>
      <c r="AX80" s="109" t="str">
        <f t="shared" si="53"/>
        <v/>
      </c>
      <c r="AY80" s="112" t="str">
        <f>IF(ISNUMBER(O80),IF(AND(VLOOKUP($D80,Merchantability!$B:$C,2,0)="Yes",$E80&gt;=VLOOKUP($D80,Merchantability!$B:$D,3,0),$E80&lt;=VLOOKUP($D80,Merchantability!$B:$E,4,0)),(AV80*O80)*(1-$H80/100),""),"")</f>
        <v/>
      </c>
      <c r="AZ80" s="116"/>
      <c r="BA80" s="116"/>
      <c r="BB80" s="116"/>
      <c r="BE80" s="62"/>
      <c r="BF80" s="63"/>
    </row>
    <row r="81" spans="1:61" ht="12.75" customHeight="1" x14ac:dyDescent="0.25">
      <c r="A81" s="313"/>
      <c r="B81" s="328"/>
      <c r="C81" s="329"/>
      <c r="D81" s="328"/>
      <c r="E81" s="328"/>
      <c r="F81" s="331"/>
      <c r="G81" s="329"/>
      <c r="H81" s="329"/>
      <c r="I81" s="328"/>
      <c r="J81" s="329"/>
      <c r="K81" s="329"/>
      <c r="L81" s="329"/>
      <c r="M81" s="76"/>
      <c r="N81" s="103" t="str">
        <f>IF(A81="","",VLOOKUP(A81,Stand!C:K,9,0))</f>
        <v/>
      </c>
      <c r="O81" s="104" t="str">
        <f t="shared" si="27"/>
        <v/>
      </c>
      <c r="P81" s="105" t="str">
        <f t="shared" si="28"/>
        <v/>
      </c>
      <c r="Q81" s="105" t="str">
        <f t="shared" si="29"/>
        <v/>
      </c>
      <c r="R81" s="103" t="str">
        <f t="shared" si="30"/>
        <v/>
      </c>
      <c r="S81" s="103" t="str">
        <f t="shared" si="31"/>
        <v/>
      </c>
      <c r="T81" s="106" t="str">
        <f t="shared" si="32"/>
        <v/>
      </c>
      <c r="U81" s="106" t="str">
        <f t="shared" si="33"/>
        <v/>
      </c>
      <c r="V81" s="106" t="str">
        <f t="shared" si="34"/>
        <v/>
      </c>
      <c r="W81" s="105" t="str">
        <f t="shared" si="35"/>
        <v/>
      </c>
      <c r="X81" s="104" t="str">
        <f t="shared" si="36"/>
        <v/>
      </c>
      <c r="Y81" s="104" t="str">
        <f t="array" ref="Y81">IFERROR(IF(ISNUMBER(O81),IF(COUNT(IF(A81=$A$2:$A$2427,IF(D81=$D$2:$D$2427,IF($X$2:$X$2427&gt;0,1))))&gt;0,SUM(IF(A81=$A$2:$A$2427,IF(D81=$D$2:$D$2427,$X$2:$X$2427)))/COUNT(IF(A81=$A$2:$A$2427,IF(D81=$D$2:$D$2427,IF(ISNUMBER($X$2:$X$2427),1)))),0),""),0)</f>
        <v/>
      </c>
      <c r="Z81" s="104" t="str">
        <f>IF(ISNUMBER(O81),IF(I81&gt;0,(10^(VLOOKUP(D81,'Species Codes'!B:C,2,0)+VLOOKUP(D81,'Species Codes'!B:D,3,0)*LOG(E81)+VLOOKUP(D81,'Species Codes'!B:E,4,0)*LOG(I81))),0),"")</f>
        <v/>
      </c>
      <c r="AA81" s="104" t="str">
        <f>IFERROR((VLOOKUP(D81,'Species Codes'!B:G,6,0)*Z81)/2000,"")</f>
        <v/>
      </c>
      <c r="AB81" s="104" t="e">
        <f>IF(Z81&gt;0,((IF(OR(D81="DF",D81="RA")=TRUE,EXP(VLOOKUP(D81,'Species Codes'!B:I,8,0)+VLOOKUP(D81,'Species Codes'!B:J,9,0)*(LN((E81*2.54)))),IF(OR(D81="PY",D81="RC",D81="WH",D81="NF")=TRUE,VLOOKUP(D81,'Species Codes'!B:I,8,0)+VLOOKUP(D81,'Species Codes'!B:J,9,0)*((E81*2.54)^2)*(I81*0.3048),IF(OR(D81="MD",D81="BM",D81="GA")=TRUE,((VLOOKUP(D81,'Species Codes'!B:I,8,0)*(((((E81*2.54)+VLOOKUP(D81,'Species Codes'!B:J,9,0))/VLOOKUP(D81,'Species Codes'!B:K,10,0))^VLOOKUP(D81,'Species Codes'!B:L,11,0))*((I81*0.3048)^VLOOKUP(D81,'Species Codes'!B:M,12,0))))-(VLOOKUP(D81,'Species Codes'!B:I,8,0)*((((E81*2.54)^VLOOKUP(D81,'Species Codes'!B:L,11,0))*((I81*0.3048)^VLOOKUP(D81,'Species Codes'!B:M,12,0))))))*35.3*VLOOKUP(D81,'Species Codes'!B:G,6,0)/2.2046,VLOOKUP(D81,'Species Codes'!B:I,8,0)+VLOOKUP(D81,'Species Codes'!B:J,9,0)*(((E81*2.54)/100)^2)*(I81*0.3048)))))*0.0011023),0)</f>
        <v>#N/A</v>
      </c>
      <c r="AC81" s="104" t="e">
        <f>IF(Z81&gt;0,((IF(OR(D81="RA",D81="OA",D81="OT",D81="UN",D81="PC"),EXP(VLOOKUP(D81,'Species Codes'!B:O,14,0)+VLOOKUP(D81,'Species Codes'!B:P,15,0)*LN((E81*2.54)))-EXP(VLOOKUP(D81,'Species Codes'!B:O,14,0)+VLOOKUP(D81,'Species Codes'!B:P,15,0)*LN((E81*2.54)))*(1/(VLOOKUP(D81,'Species Codes'!B:Q,16,0)+VLOOKUP(D81,'Species Codes'!B:R,17,0)*((E81*2.54)^VLOOKUP(D81,'Species Codes'!B:S,18,0)))),IF(OR(D81="BM",D81="MD",D81="OA"),EXP(VLOOKUP(D81,'Species Codes'!B:O,14,0)+VLOOKUP(D81,'Species Codes'!B:P,15,0)*LN((E81*2.54)))*(1-(1/(VLOOKUP(D81,'Species Codes'!B:Q,16,0)+VLOOKUP(D81,'Species Codes'!B:R,17,0)*((E81*2.54)^VLOOKUP(D81,'Species Codes'!B:S,18,0)))))/1000,IF(D81="DF",EXP(VLOOKUP(D81,'Species Codes'!B:O,14,0)+VLOOKUP(D81,'Species Codes'!B:P,15,0)*LN((E81*2.54))),VLOOKUP(D81,'Species Codes'!B:O,14,0)+VLOOKUP(D81,'Species Codes'!B:P,15,0)*(((E81*2.54)/100)^2)*(I81*0.3048)))))*0.0011023),0)</f>
        <v>#N/A</v>
      </c>
      <c r="AD81" s="104" t="e">
        <f t="shared" si="37"/>
        <v>#N/A</v>
      </c>
      <c r="AE81" s="104" t="e">
        <f t="shared" si="38"/>
        <v>#N/A</v>
      </c>
      <c r="AF81" s="104" t="e">
        <f>IF(AND(VLOOKUP($D81,Merchantability!$B:$C,2,0)="Yes",$E81&gt;=VLOOKUP($D81,Merchantability!$B:$D,3,0),$E81&lt;=VLOOKUP($D81,Merchantability!$B:$E,4,0)),AA81,0)</f>
        <v>#N/A</v>
      </c>
      <c r="AG81" s="104" t="e">
        <f>IF(AND(VLOOKUP($D81,Merchantability!$B:$C,2,0)="Yes",$E81&gt;=VLOOKUP($D81,Merchantability!$B:$D,3,0),$E81&lt;=VLOOKUP($D81,Merchantability!$B:$E,4,0)),AB81,0)</f>
        <v>#N/A</v>
      </c>
      <c r="AH81" s="104" t="e">
        <f>IF(AND(VLOOKUP($D81,Merchantability!$B:$C,2,0)="Yes",$E81&gt;=VLOOKUP($D81,Merchantability!$B:$D,3,0),$E81&lt;=VLOOKUP($D81,Merchantability!$B:$E,4,0)),AC81,0)</f>
        <v>#N/A</v>
      </c>
      <c r="AI81" s="104" t="e">
        <f t="shared" si="39"/>
        <v>#N/A</v>
      </c>
      <c r="AJ81" s="104" t="e">
        <f t="shared" si="40"/>
        <v>#VALUE!</v>
      </c>
      <c r="AK81" s="104" t="e">
        <f t="shared" si="41"/>
        <v>#N/A</v>
      </c>
      <c r="AL81" s="104" t="e">
        <f t="shared" si="42"/>
        <v>#N/A</v>
      </c>
      <c r="AM81" s="104" t="e">
        <f t="shared" si="43"/>
        <v>#N/A</v>
      </c>
      <c r="AN81" s="104" t="e">
        <f t="shared" si="44"/>
        <v>#N/A</v>
      </c>
      <c r="AO81" s="104" t="e">
        <f t="shared" si="45"/>
        <v>#N/A</v>
      </c>
      <c r="AP81" s="104" t="e">
        <f t="shared" si="46"/>
        <v>#N/A</v>
      </c>
      <c r="AQ81" s="104" t="e">
        <f t="shared" si="47"/>
        <v>#N/A</v>
      </c>
      <c r="AR81" s="105" t="str">
        <f t="shared" si="48"/>
        <v/>
      </c>
      <c r="AS81" s="105" t="str">
        <f t="shared" si="49"/>
        <v/>
      </c>
      <c r="AT81" s="108" t="str">
        <f t="shared" si="50"/>
        <v/>
      </c>
      <c r="AU81" s="108" t="str">
        <f t="shared" si="51"/>
        <v/>
      </c>
      <c r="AV81" s="107" t="str">
        <f>IF(ISNUMBER(O81),IF(VLOOKUP($A81,Stand!C:J,8,FALSE)="Short",AT81,AU81),"")</f>
        <v/>
      </c>
      <c r="AW81" s="109" t="str">
        <f t="shared" si="52"/>
        <v/>
      </c>
      <c r="AX81" s="109" t="str">
        <f t="shared" si="53"/>
        <v/>
      </c>
      <c r="AY81" s="112" t="str">
        <f>IF(ISNUMBER(O81),IF(AND(VLOOKUP($D81,Merchantability!$B:$C,2,0)="Yes",$E81&gt;=VLOOKUP($D81,Merchantability!$B:$D,3,0),$E81&lt;=VLOOKUP($D81,Merchantability!$B:$E,4,0)),(AV81*O81)*(1-$H81/100),""),"")</f>
        <v/>
      </c>
      <c r="AZ81" s="116"/>
      <c r="BA81" s="116"/>
      <c r="BB81" s="116"/>
      <c r="BE81" s="62"/>
      <c r="BF81" s="63"/>
    </row>
    <row r="82" spans="1:61" ht="12.75" customHeight="1" x14ac:dyDescent="0.25">
      <c r="A82" s="313"/>
      <c r="B82" s="328"/>
      <c r="C82" s="329"/>
      <c r="D82" s="328"/>
      <c r="E82" s="328"/>
      <c r="F82" s="331"/>
      <c r="G82" s="329"/>
      <c r="H82" s="329"/>
      <c r="I82" s="328"/>
      <c r="J82" s="329"/>
      <c r="K82" s="329"/>
      <c r="L82" s="329"/>
      <c r="M82" s="76"/>
      <c r="N82" s="103" t="str">
        <f>IF(A82="","",VLOOKUP(A82,Stand!C:K,9,0))</f>
        <v/>
      </c>
      <c r="O82" s="104" t="str">
        <f t="shared" si="27"/>
        <v/>
      </c>
      <c r="P82" s="105" t="str">
        <f t="shared" si="28"/>
        <v/>
      </c>
      <c r="Q82" s="105" t="str">
        <f t="shared" si="29"/>
        <v/>
      </c>
      <c r="R82" s="103" t="str">
        <f t="shared" si="30"/>
        <v/>
      </c>
      <c r="S82" s="103" t="str">
        <f t="shared" si="31"/>
        <v/>
      </c>
      <c r="T82" s="106" t="str">
        <f t="shared" si="32"/>
        <v/>
      </c>
      <c r="U82" s="106" t="str">
        <f t="shared" si="33"/>
        <v/>
      </c>
      <c r="V82" s="106" t="str">
        <f t="shared" si="34"/>
        <v/>
      </c>
      <c r="W82" s="105" t="str">
        <f t="shared" si="35"/>
        <v/>
      </c>
      <c r="X82" s="104" t="str">
        <f t="shared" si="36"/>
        <v/>
      </c>
      <c r="Y82" s="104" t="str">
        <f t="array" ref="Y82">IFERROR(IF(ISNUMBER(O82),IF(COUNT(IF(A82=$A$2:$A$2427,IF(D82=$D$2:$D$2427,IF($X$2:$X$2427&gt;0,1))))&gt;0,SUM(IF(A82=$A$2:$A$2427,IF(D82=$D$2:$D$2427,$X$2:$X$2427)))/COUNT(IF(A82=$A$2:$A$2427,IF(D82=$D$2:$D$2427,IF(ISNUMBER($X$2:$X$2427),1)))),0),""),0)</f>
        <v/>
      </c>
      <c r="Z82" s="104" t="str">
        <f>IF(ISNUMBER(O82),IF(I82&gt;0,(10^(VLOOKUP(D82,'Species Codes'!B:C,2,0)+VLOOKUP(D82,'Species Codes'!B:D,3,0)*LOG(E82)+VLOOKUP(D82,'Species Codes'!B:E,4,0)*LOG(I82))),0),"")</f>
        <v/>
      </c>
      <c r="AA82" s="104" t="str">
        <f>IFERROR((VLOOKUP(D82,'Species Codes'!B:G,6,0)*Z82)/2000,"")</f>
        <v/>
      </c>
      <c r="AB82" s="104" t="e">
        <f>IF(Z82&gt;0,((IF(OR(D82="DF",D82="RA")=TRUE,EXP(VLOOKUP(D82,'Species Codes'!B:I,8,0)+VLOOKUP(D82,'Species Codes'!B:J,9,0)*(LN((E82*2.54)))),IF(OR(D82="PY",D82="RC",D82="WH",D82="NF")=TRUE,VLOOKUP(D82,'Species Codes'!B:I,8,0)+VLOOKUP(D82,'Species Codes'!B:J,9,0)*((E82*2.54)^2)*(I82*0.3048),IF(OR(D82="MD",D82="BM",D82="GA")=TRUE,((VLOOKUP(D82,'Species Codes'!B:I,8,0)*(((((E82*2.54)+VLOOKUP(D82,'Species Codes'!B:J,9,0))/VLOOKUP(D82,'Species Codes'!B:K,10,0))^VLOOKUP(D82,'Species Codes'!B:L,11,0))*((I82*0.3048)^VLOOKUP(D82,'Species Codes'!B:M,12,0))))-(VLOOKUP(D82,'Species Codes'!B:I,8,0)*((((E82*2.54)^VLOOKUP(D82,'Species Codes'!B:L,11,0))*((I82*0.3048)^VLOOKUP(D82,'Species Codes'!B:M,12,0))))))*35.3*VLOOKUP(D82,'Species Codes'!B:G,6,0)/2.2046,VLOOKUP(D82,'Species Codes'!B:I,8,0)+VLOOKUP(D82,'Species Codes'!B:J,9,0)*(((E82*2.54)/100)^2)*(I82*0.3048)))))*0.0011023),0)</f>
        <v>#N/A</v>
      </c>
      <c r="AC82" s="104" t="e">
        <f>IF(Z82&gt;0,((IF(OR(D82="RA",D82="OA",D82="OT",D82="UN",D82="PC"),EXP(VLOOKUP(D82,'Species Codes'!B:O,14,0)+VLOOKUP(D82,'Species Codes'!B:P,15,0)*LN((E82*2.54)))-EXP(VLOOKUP(D82,'Species Codes'!B:O,14,0)+VLOOKUP(D82,'Species Codes'!B:P,15,0)*LN((E82*2.54)))*(1/(VLOOKUP(D82,'Species Codes'!B:Q,16,0)+VLOOKUP(D82,'Species Codes'!B:R,17,0)*((E82*2.54)^VLOOKUP(D82,'Species Codes'!B:S,18,0)))),IF(OR(D82="BM",D82="MD",D82="OA"),EXP(VLOOKUP(D82,'Species Codes'!B:O,14,0)+VLOOKUP(D82,'Species Codes'!B:P,15,0)*LN((E82*2.54)))*(1-(1/(VLOOKUP(D82,'Species Codes'!B:Q,16,0)+VLOOKUP(D82,'Species Codes'!B:R,17,0)*((E82*2.54)^VLOOKUP(D82,'Species Codes'!B:S,18,0)))))/1000,IF(D82="DF",EXP(VLOOKUP(D82,'Species Codes'!B:O,14,0)+VLOOKUP(D82,'Species Codes'!B:P,15,0)*LN((E82*2.54))),VLOOKUP(D82,'Species Codes'!B:O,14,0)+VLOOKUP(D82,'Species Codes'!B:P,15,0)*(((E82*2.54)/100)^2)*(I82*0.3048)))))*0.0011023),0)</f>
        <v>#N/A</v>
      </c>
      <c r="AD82" s="104" t="e">
        <f t="shared" si="37"/>
        <v>#N/A</v>
      </c>
      <c r="AE82" s="104" t="e">
        <f t="shared" si="38"/>
        <v>#N/A</v>
      </c>
      <c r="AF82" s="104" t="e">
        <f>IF(AND(VLOOKUP($D82,Merchantability!$B:$C,2,0)="Yes",$E82&gt;=VLOOKUP($D82,Merchantability!$B:$D,3,0),$E82&lt;=VLOOKUP($D82,Merchantability!$B:$E,4,0)),AA82,0)</f>
        <v>#N/A</v>
      </c>
      <c r="AG82" s="104" t="e">
        <f>IF(AND(VLOOKUP($D82,Merchantability!$B:$C,2,0)="Yes",$E82&gt;=VLOOKUP($D82,Merchantability!$B:$D,3,0),$E82&lt;=VLOOKUP($D82,Merchantability!$B:$E,4,0)),AB82,0)</f>
        <v>#N/A</v>
      </c>
      <c r="AH82" s="104" t="e">
        <f>IF(AND(VLOOKUP($D82,Merchantability!$B:$C,2,0)="Yes",$E82&gt;=VLOOKUP($D82,Merchantability!$B:$D,3,0),$E82&lt;=VLOOKUP($D82,Merchantability!$B:$E,4,0)),AC82,0)</f>
        <v>#N/A</v>
      </c>
      <c r="AI82" s="104" t="e">
        <f t="shared" si="39"/>
        <v>#N/A</v>
      </c>
      <c r="AJ82" s="104" t="e">
        <f t="shared" si="40"/>
        <v>#VALUE!</v>
      </c>
      <c r="AK82" s="104" t="e">
        <f t="shared" si="41"/>
        <v>#N/A</v>
      </c>
      <c r="AL82" s="104" t="e">
        <f t="shared" si="42"/>
        <v>#N/A</v>
      </c>
      <c r="AM82" s="104" t="e">
        <f t="shared" si="43"/>
        <v>#N/A</v>
      </c>
      <c r="AN82" s="104" t="e">
        <f t="shared" si="44"/>
        <v>#N/A</v>
      </c>
      <c r="AO82" s="104" t="e">
        <f t="shared" si="45"/>
        <v>#N/A</v>
      </c>
      <c r="AP82" s="104" t="e">
        <f t="shared" si="46"/>
        <v>#N/A</v>
      </c>
      <c r="AQ82" s="104" t="e">
        <f t="shared" si="47"/>
        <v>#N/A</v>
      </c>
      <c r="AR82" s="105" t="str">
        <f t="shared" si="48"/>
        <v/>
      </c>
      <c r="AS82" s="105" t="str">
        <f t="shared" si="49"/>
        <v/>
      </c>
      <c r="AT82" s="108" t="str">
        <f t="shared" si="50"/>
        <v/>
      </c>
      <c r="AU82" s="108" t="str">
        <f t="shared" si="51"/>
        <v/>
      </c>
      <c r="AV82" s="107" t="str">
        <f>IF(ISNUMBER(O82),IF(VLOOKUP($A82,Stand!C:J,8,FALSE)="Short",AT82,AU82),"")</f>
        <v/>
      </c>
      <c r="AW82" s="109" t="str">
        <f t="shared" si="52"/>
        <v/>
      </c>
      <c r="AX82" s="109" t="str">
        <f t="shared" si="53"/>
        <v/>
      </c>
      <c r="AY82" s="112" t="str">
        <f>IF(ISNUMBER(O82),IF(AND(VLOOKUP($D82,Merchantability!$B:$C,2,0)="Yes",$E82&gt;=VLOOKUP($D82,Merchantability!$B:$D,3,0),$E82&lt;=VLOOKUP($D82,Merchantability!$B:$E,4,0)),(AV82*O82)*(1-$H82/100),""),"")</f>
        <v/>
      </c>
      <c r="AZ82" s="116"/>
      <c r="BA82" s="116"/>
      <c r="BB82" s="116"/>
      <c r="BE82" s="62"/>
      <c r="BF82" s="63"/>
    </row>
    <row r="83" spans="1:61" ht="12.75" customHeight="1" x14ac:dyDescent="0.25">
      <c r="A83" s="313"/>
      <c r="B83" s="328"/>
      <c r="C83" s="329"/>
      <c r="D83" s="328"/>
      <c r="E83" s="328"/>
      <c r="F83" s="331"/>
      <c r="G83" s="329"/>
      <c r="H83" s="329"/>
      <c r="I83" s="328"/>
      <c r="J83" s="329"/>
      <c r="K83" s="329"/>
      <c r="L83" s="329"/>
      <c r="M83" s="76"/>
      <c r="N83" s="103" t="str">
        <f>IF(A83="","",VLOOKUP(A83,Stand!C:K,9,0))</f>
        <v/>
      </c>
      <c r="O83" s="104" t="str">
        <f t="shared" si="27"/>
        <v/>
      </c>
      <c r="P83" s="105" t="str">
        <f t="shared" si="28"/>
        <v/>
      </c>
      <c r="Q83" s="105" t="str">
        <f t="shared" si="29"/>
        <v/>
      </c>
      <c r="R83" s="103" t="str">
        <f t="shared" si="30"/>
        <v/>
      </c>
      <c r="S83" s="103" t="str">
        <f t="shared" si="31"/>
        <v/>
      </c>
      <c r="T83" s="106" t="str">
        <f t="shared" si="32"/>
        <v/>
      </c>
      <c r="U83" s="106" t="str">
        <f t="shared" si="33"/>
        <v/>
      </c>
      <c r="V83" s="106" t="str">
        <f t="shared" si="34"/>
        <v/>
      </c>
      <c r="W83" s="105" t="str">
        <f t="shared" si="35"/>
        <v/>
      </c>
      <c r="X83" s="104" t="str">
        <f t="shared" si="36"/>
        <v/>
      </c>
      <c r="Y83" s="104" t="str">
        <f t="array" ref="Y83">IFERROR(IF(ISNUMBER(O83),IF(COUNT(IF(A83=$A$2:$A$2427,IF(D83=$D$2:$D$2427,IF($X$2:$X$2427&gt;0,1))))&gt;0,SUM(IF(A83=$A$2:$A$2427,IF(D83=$D$2:$D$2427,$X$2:$X$2427)))/COUNT(IF(A83=$A$2:$A$2427,IF(D83=$D$2:$D$2427,IF(ISNUMBER($X$2:$X$2427),1)))),0),""),0)</f>
        <v/>
      </c>
      <c r="Z83" s="104" t="str">
        <f>IF(ISNUMBER(O83),IF(I83&gt;0,(10^(VLOOKUP(D83,'Species Codes'!B:C,2,0)+VLOOKUP(D83,'Species Codes'!B:D,3,0)*LOG(E83)+VLOOKUP(D83,'Species Codes'!B:E,4,0)*LOG(I83))),0),"")</f>
        <v/>
      </c>
      <c r="AA83" s="104" t="str">
        <f>IFERROR((VLOOKUP(D83,'Species Codes'!B:G,6,0)*Z83)/2000,"")</f>
        <v/>
      </c>
      <c r="AB83" s="104" t="e">
        <f>IF(Z83&gt;0,((IF(OR(D83="DF",D83="RA")=TRUE,EXP(VLOOKUP(D83,'Species Codes'!B:I,8,0)+VLOOKUP(D83,'Species Codes'!B:J,9,0)*(LN((E83*2.54)))),IF(OR(D83="PY",D83="RC",D83="WH",D83="NF")=TRUE,VLOOKUP(D83,'Species Codes'!B:I,8,0)+VLOOKUP(D83,'Species Codes'!B:J,9,0)*((E83*2.54)^2)*(I83*0.3048),IF(OR(D83="MD",D83="BM",D83="GA")=TRUE,((VLOOKUP(D83,'Species Codes'!B:I,8,0)*(((((E83*2.54)+VLOOKUP(D83,'Species Codes'!B:J,9,0))/VLOOKUP(D83,'Species Codes'!B:K,10,0))^VLOOKUP(D83,'Species Codes'!B:L,11,0))*((I83*0.3048)^VLOOKUP(D83,'Species Codes'!B:M,12,0))))-(VLOOKUP(D83,'Species Codes'!B:I,8,0)*((((E83*2.54)^VLOOKUP(D83,'Species Codes'!B:L,11,0))*((I83*0.3048)^VLOOKUP(D83,'Species Codes'!B:M,12,0))))))*35.3*VLOOKUP(D83,'Species Codes'!B:G,6,0)/2.2046,VLOOKUP(D83,'Species Codes'!B:I,8,0)+VLOOKUP(D83,'Species Codes'!B:J,9,0)*(((E83*2.54)/100)^2)*(I83*0.3048)))))*0.0011023),0)</f>
        <v>#N/A</v>
      </c>
      <c r="AC83" s="104" t="e">
        <f>IF(Z83&gt;0,((IF(OR(D83="RA",D83="OA",D83="OT",D83="UN",D83="PC"),EXP(VLOOKUP(D83,'Species Codes'!B:O,14,0)+VLOOKUP(D83,'Species Codes'!B:P,15,0)*LN((E83*2.54)))-EXP(VLOOKUP(D83,'Species Codes'!B:O,14,0)+VLOOKUP(D83,'Species Codes'!B:P,15,0)*LN((E83*2.54)))*(1/(VLOOKUP(D83,'Species Codes'!B:Q,16,0)+VLOOKUP(D83,'Species Codes'!B:R,17,0)*((E83*2.54)^VLOOKUP(D83,'Species Codes'!B:S,18,0)))),IF(OR(D83="BM",D83="MD",D83="OA"),EXP(VLOOKUP(D83,'Species Codes'!B:O,14,0)+VLOOKUP(D83,'Species Codes'!B:P,15,0)*LN((E83*2.54)))*(1-(1/(VLOOKUP(D83,'Species Codes'!B:Q,16,0)+VLOOKUP(D83,'Species Codes'!B:R,17,0)*((E83*2.54)^VLOOKUP(D83,'Species Codes'!B:S,18,0)))))/1000,IF(D83="DF",EXP(VLOOKUP(D83,'Species Codes'!B:O,14,0)+VLOOKUP(D83,'Species Codes'!B:P,15,0)*LN((E83*2.54))),VLOOKUP(D83,'Species Codes'!B:O,14,0)+VLOOKUP(D83,'Species Codes'!B:P,15,0)*(((E83*2.54)/100)^2)*(I83*0.3048)))))*0.0011023),0)</f>
        <v>#N/A</v>
      </c>
      <c r="AD83" s="104" t="e">
        <f t="shared" si="37"/>
        <v>#N/A</v>
      </c>
      <c r="AE83" s="104" t="e">
        <f t="shared" si="38"/>
        <v>#N/A</v>
      </c>
      <c r="AF83" s="104" t="e">
        <f>IF(AND(VLOOKUP($D83,Merchantability!$B:$C,2,0)="Yes",$E83&gt;=VLOOKUP($D83,Merchantability!$B:$D,3,0),$E83&lt;=VLOOKUP($D83,Merchantability!$B:$E,4,0)),AA83,0)</f>
        <v>#N/A</v>
      </c>
      <c r="AG83" s="104" t="e">
        <f>IF(AND(VLOOKUP($D83,Merchantability!$B:$C,2,0)="Yes",$E83&gt;=VLOOKUP($D83,Merchantability!$B:$D,3,0),$E83&lt;=VLOOKUP($D83,Merchantability!$B:$E,4,0)),AB83,0)</f>
        <v>#N/A</v>
      </c>
      <c r="AH83" s="104" t="e">
        <f>IF(AND(VLOOKUP($D83,Merchantability!$B:$C,2,0)="Yes",$E83&gt;=VLOOKUP($D83,Merchantability!$B:$D,3,0),$E83&lt;=VLOOKUP($D83,Merchantability!$B:$E,4,0)),AC83,0)</f>
        <v>#N/A</v>
      </c>
      <c r="AI83" s="104" t="e">
        <f t="shared" si="39"/>
        <v>#N/A</v>
      </c>
      <c r="AJ83" s="104" t="e">
        <f t="shared" si="40"/>
        <v>#VALUE!</v>
      </c>
      <c r="AK83" s="104" t="e">
        <f t="shared" si="41"/>
        <v>#N/A</v>
      </c>
      <c r="AL83" s="104" t="e">
        <f t="shared" si="42"/>
        <v>#N/A</v>
      </c>
      <c r="AM83" s="104" t="e">
        <f t="shared" si="43"/>
        <v>#N/A</v>
      </c>
      <c r="AN83" s="104" t="e">
        <f t="shared" si="44"/>
        <v>#N/A</v>
      </c>
      <c r="AO83" s="104" t="e">
        <f t="shared" si="45"/>
        <v>#N/A</v>
      </c>
      <c r="AP83" s="104" t="e">
        <f t="shared" si="46"/>
        <v>#N/A</v>
      </c>
      <c r="AQ83" s="104" t="e">
        <f t="shared" si="47"/>
        <v>#N/A</v>
      </c>
      <c r="AR83" s="105" t="str">
        <f t="shared" si="48"/>
        <v/>
      </c>
      <c r="AS83" s="105" t="str">
        <f t="shared" si="49"/>
        <v/>
      </c>
      <c r="AT83" s="108" t="str">
        <f t="shared" si="50"/>
        <v/>
      </c>
      <c r="AU83" s="108" t="str">
        <f t="shared" si="51"/>
        <v/>
      </c>
      <c r="AV83" s="107" t="str">
        <f>IF(ISNUMBER(O83),IF(VLOOKUP($A83,Stand!C:J,8,FALSE)="Short",AT83,AU83),"")</f>
        <v/>
      </c>
      <c r="AW83" s="109" t="str">
        <f t="shared" si="52"/>
        <v/>
      </c>
      <c r="AX83" s="109" t="str">
        <f t="shared" si="53"/>
        <v/>
      </c>
      <c r="AY83" s="112" t="str">
        <f>IF(ISNUMBER(O83),IF(AND(VLOOKUP($D83,Merchantability!$B:$C,2,0)="Yes",$E83&gt;=VLOOKUP($D83,Merchantability!$B:$D,3,0),$E83&lt;=VLOOKUP($D83,Merchantability!$B:$E,4,0)),(AV83*O83)*(1-$H83/100),""),"")</f>
        <v/>
      </c>
      <c r="AZ83" s="115"/>
      <c r="BA83" s="116"/>
      <c r="BB83" s="116"/>
      <c r="BE83" s="62"/>
      <c r="BF83" s="63"/>
    </row>
    <row r="84" spans="1:61" ht="12.75" customHeight="1" x14ac:dyDescent="0.25">
      <c r="A84" s="313"/>
      <c r="B84" s="328"/>
      <c r="C84" s="329"/>
      <c r="D84" s="328"/>
      <c r="E84" s="328"/>
      <c r="F84" s="331"/>
      <c r="G84" s="329"/>
      <c r="H84" s="329"/>
      <c r="I84" s="328"/>
      <c r="J84" s="329"/>
      <c r="K84" s="329"/>
      <c r="L84" s="329"/>
      <c r="M84" s="76"/>
      <c r="N84" s="103" t="str">
        <f>IF(A84="","",VLOOKUP(A84,Stand!C:K,9,0))</f>
        <v/>
      </c>
      <c r="O84" s="104" t="str">
        <f t="shared" si="27"/>
        <v/>
      </c>
      <c r="P84" s="105" t="str">
        <f t="shared" si="28"/>
        <v/>
      </c>
      <c r="Q84" s="105" t="str">
        <f t="shared" si="29"/>
        <v/>
      </c>
      <c r="R84" s="103" t="str">
        <f t="shared" si="30"/>
        <v/>
      </c>
      <c r="S84" s="103" t="str">
        <f t="shared" si="31"/>
        <v/>
      </c>
      <c r="T84" s="106" t="str">
        <f t="shared" si="32"/>
        <v/>
      </c>
      <c r="U84" s="106" t="str">
        <f t="shared" si="33"/>
        <v/>
      </c>
      <c r="V84" s="106" t="str">
        <f t="shared" si="34"/>
        <v/>
      </c>
      <c r="W84" s="105" t="str">
        <f t="shared" si="35"/>
        <v/>
      </c>
      <c r="X84" s="104" t="str">
        <f t="shared" si="36"/>
        <v/>
      </c>
      <c r="Y84" s="104" t="str">
        <f t="array" ref="Y84">IFERROR(IF(ISNUMBER(O84),IF(COUNT(IF(A84=$A$2:$A$2427,IF(D84=$D$2:$D$2427,IF($X$2:$X$2427&gt;0,1))))&gt;0,SUM(IF(A84=$A$2:$A$2427,IF(D84=$D$2:$D$2427,$X$2:$X$2427)))/COUNT(IF(A84=$A$2:$A$2427,IF(D84=$D$2:$D$2427,IF(ISNUMBER($X$2:$X$2427),1)))),0),""),0)</f>
        <v/>
      </c>
      <c r="Z84" s="104" t="str">
        <f>IF(ISNUMBER(O84),IF(I84&gt;0,(10^(VLOOKUP(D84,'Species Codes'!B:C,2,0)+VLOOKUP(D84,'Species Codes'!B:D,3,0)*LOG(E84)+VLOOKUP(D84,'Species Codes'!B:E,4,0)*LOG(I84))),0),"")</f>
        <v/>
      </c>
      <c r="AA84" s="104" t="str">
        <f>IFERROR((VLOOKUP(D84,'Species Codes'!B:G,6,0)*Z84)/2000,"")</f>
        <v/>
      </c>
      <c r="AB84" s="104" t="e">
        <f>IF(Z84&gt;0,((IF(OR(D84="DF",D84="RA")=TRUE,EXP(VLOOKUP(D84,'Species Codes'!B:I,8,0)+VLOOKUP(D84,'Species Codes'!B:J,9,0)*(LN((E84*2.54)))),IF(OR(D84="PY",D84="RC",D84="WH",D84="NF")=TRUE,VLOOKUP(D84,'Species Codes'!B:I,8,0)+VLOOKUP(D84,'Species Codes'!B:J,9,0)*((E84*2.54)^2)*(I84*0.3048),IF(OR(D84="MD",D84="BM",D84="GA")=TRUE,((VLOOKUP(D84,'Species Codes'!B:I,8,0)*(((((E84*2.54)+VLOOKUP(D84,'Species Codes'!B:J,9,0))/VLOOKUP(D84,'Species Codes'!B:K,10,0))^VLOOKUP(D84,'Species Codes'!B:L,11,0))*((I84*0.3048)^VLOOKUP(D84,'Species Codes'!B:M,12,0))))-(VLOOKUP(D84,'Species Codes'!B:I,8,0)*((((E84*2.54)^VLOOKUP(D84,'Species Codes'!B:L,11,0))*((I84*0.3048)^VLOOKUP(D84,'Species Codes'!B:M,12,0))))))*35.3*VLOOKUP(D84,'Species Codes'!B:G,6,0)/2.2046,VLOOKUP(D84,'Species Codes'!B:I,8,0)+VLOOKUP(D84,'Species Codes'!B:J,9,0)*(((E84*2.54)/100)^2)*(I84*0.3048)))))*0.0011023),0)</f>
        <v>#N/A</v>
      </c>
      <c r="AC84" s="104" t="e">
        <f>IF(Z84&gt;0,((IF(OR(D84="RA",D84="OA",D84="OT",D84="UN",D84="PC"),EXP(VLOOKUP(D84,'Species Codes'!B:O,14,0)+VLOOKUP(D84,'Species Codes'!B:P,15,0)*LN((E84*2.54)))-EXP(VLOOKUP(D84,'Species Codes'!B:O,14,0)+VLOOKUP(D84,'Species Codes'!B:P,15,0)*LN((E84*2.54)))*(1/(VLOOKUP(D84,'Species Codes'!B:Q,16,0)+VLOOKUP(D84,'Species Codes'!B:R,17,0)*((E84*2.54)^VLOOKUP(D84,'Species Codes'!B:S,18,0)))),IF(OR(D84="BM",D84="MD",D84="OA"),EXP(VLOOKUP(D84,'Species Codes'!B:O,14,0)+VLOOKUP(D84,'Species Codes'!B:P,15,0)*LN((E84*2.54)))*(1-(1/(VLOOKUP(D84,'Species Codes'!B:Q,16,0)+VLOOKUP(D84,'Species Codes'!B:R,17,0)*((E84*2.54)^VLOOKUP(D84,'Species Codes'!B:S,18,0)))))/1000,IF(D84="DF",EXP(VLOOKUP(D84,'Species Codes'!B:O,14,0)+VLOOKUP(D84,'Species Codes'!B:P,15,0)*LN((E84*2.54))),VLOOKUP(D84,'Species Codes'!B:O,14,0)+VLOOKUP(D84,'Species Codes'!B:P,15,0)*(((E84*2.54)/100)^2)*(I84*0.3048)))))*0.0011023),0)</f>
        <v>#N/A</v>
      </c>
      <c r="AD84" s="104" t="e">
        <f t="shared" si="37"/>
        <v>#N/A</v>
      </c>
      <c r="AE84" s="104" t="e">
        <f t="shared" si="38"/>
        <v>#N/A</v>
      </c>
      <c r="AF84" s="104" t="e">
        <f>IF(AND(VLOOKUP($D84,Merchantability!$B:$C,2,0)="Yes",$E84&gt;=VLOOKUP($D84,Merchantability!$B:$D,3,0),$E84&lt;=VLOOKUP($D84,Merchantability!$B:$E,4,0)),AA84,0)</f>
        <v>#N/A</v>
      </c>
      <c r="AG84" s="104" t="e">
        <f>IF(AND(VLOOKUP($D84,Merchantability!$B:$C,2,0)="Yes",$E84&gt;=VLOOKUP($D84,Merchantability!$B:$D,3,0),$E84&lt;=VLOOKUP($D84,Merchantability!$B:$E,4,0)),AB84,0)</f>
        <v>#N/A</v>
      </c>
      <c r="AH84" s="104" t="e">
        <f>IF(AND(VLOOKUP($D84,Merchantability!$B:$C,2,0)="Yes",$E84&gt;=VLOOKUP($D84,Merchantability!$B:$D,3,0),$E84&lt;=VLOOKUP($D84,Merchantability!$B:$E,4,0)),AC84,0)</f>
        <v>#N/A</v>
      </c>
      <c r="AI84" s="104" t="e">
        <f t="shared" si="39"/>
        <v>#N/A</v>
      </c>
      <c r="AJ84" s="104" t="e">
        <f t="shared" si="40"/>
        <v>#VALUE!</v>
      </c>
      <c r="AK84" s="104" t="e">
        <f t="shared" si="41"/>
        <v>#N/A</v>
      </c>
      <c r="AL84" s="104" t="e">
        <f t="shared" si="42"/>
        <v>#N/A</v>
      </c>
      <c r="AM84" s="104" t="e">
        <f t="shared" si="43"/>
        <v>#N/A</v>
      </c>
      <c r="AN84" s="104" t="e">
        <f t="shared" si="44"/>
        <v>#N/A</v>
      </c>
      <c r="AO84" s="104" t="e">
        <f t="shared" si="45"/>
        <v>#N/A</v>
      </c>
      <c r="AP84" s="104" t="e">
        <f t="shared" si="46"/>
        <v>#N/A</v>
      </c>
      <c r="AQ84" s="104" t="e">
        <f t="shared" si="47"/>
        <v>#N/A</v>
      </c>
      <c r="AR84" s="105" t="str">
        <f t="shared" si="48"/>
        <v/>
      </c>
      <c r="AS84" s="105" t="str">
        <f t="shared" si="49"/>
        <v/>
      </c>
      <c r="AT84" s="108" t="str">
        <f t="shared" si="50"/>
        <v/>
      </c>
      <c r="AU84" s="108" t="str">
        <f t="shared" si="51"/>
        <v/>
      </c>
      <c r="AV84" s="107" t="str">
        <f>IF(ISNUMBER(O84),IF(VLOOKUP($A84,Stand!C:J,8,FALSE)="Short",AT84,AU84),"")</f>
        <v/>
      </c>
      <c r="AW84" s="109" t="str">
        <f t="shared" si="52"/>
        <v/>
      </c>
      <c r="AX84" s="109" t="str">
        <f t="shared" si="53"/>
        <v/>
      </c>
      <c r="AY84" s="112" t="str">
        <f>IF(ISNUMBER(O84),IF(AND(VLOOKUP($D84,Merchantability!$B:$C,2,0)="Yes",$E84&gt;=VLOOKUP($D84,Merchantability!$B:$D,3,0),$E84&lt;=VLOOKUP($D84,Merchantability!$B:$E,4,0)),(AV84*O84)*(1-$H84/100),""),"")</f>
        <v/>
      </c>
      <c r="AZ84" s="115"/>
      <c r="BA84" s="116"/>
      <c r="BB84" s="116"/>
      <c r="BE84" s="62"/>
      <c r="BF84" s="63"/>
    </row>
    <row r="85" spans="1:61" ht="12.75" customHeight="1" x14ac:dyDescent="0.25">
      <c r="A85" s="313"/>
      <c r="B85" s="328"/>
      <c r="C85" s="329"/>
      <c r="D85" s="328"/>
      <c r="E85" s="330"/>
      <c r="F85" s="331"/>
      <c r="G85" s="329"/>
      <c r="H85" s="329"/>
      <c r="I85" s="328"/>
      <c r="J85" s="329"/>
      <c r="K85" s="329"/>
      <c r="L85" s="329"/>
      <c r="M85" s="76"/>
      <c r="N85" s="103" t="str">
        <f>IF(A85="","",VLOOKUP(A85,Stand!C:K,9,0))</f>
        <v/>
      </c>
      <c r="O85" s="104" t="str">
        <f t="shared" si="27"/>
        <v/>
      </c>
      <c r="P85" s="105" t="str">
        <f t="shared" si="28"/>
        <v/>
      </c>
      <c r="Q85" s="105" t="str">
        <f t="shared" si="29"/>
        <v/>
      </c>
      <c r="R85" s="103" t="str">
        <f t="shared" si="30"/>
        <v/>
      </c>
      <c r="S85" s="103" t="str">
        <f t="shared" si="31"/>
        <v/>
      </c>
      <c r="T85" s="106" t="str">
        <f t="shared" si="32"/>
        <v/>
      </c>
      <c r="U85" s="106" t="str">
        <f t="shared" si="33"/>
        <v/>
      </c>
      <c r="V85" s="106" t="str">
        <f t="shared" si="34"/>
        <v/>
      </c>
      <c r="W85" s="105" t="str">
        <f t="shared" si="35"/>
        <v/>
      </c>
      <c r="X85" s="104" t="str">
        <f t="shared" si="36"/>
        <v/>
      </c>
      <c r="Y85" s="104" t="str">
        <f t="array" ref="Y85">IFERROR(IF(ISNUMBER(O85),IF(COUNT(IF(A85=$A$2:$A$2427,IF(D85=$D$2:$D$2427,IF($X$2:$X$2427&gt;0,1))))&gt;0,SUM(IF(A85=$A$2:$A$2427,IF(D85=$D$2:$D$2427,$X$2:$X$2427)))/COUNT(IF(A85=$A$2:$A$2427,IF(D85=$D$2:$D$2427,IF(ISNUMBER($X$2:$X$2427),1)))),0),""),0)</f>
        <v/>
      </c>
      <c r="Z85" s="104" t="str">
        <f>IF(ISNUMBER(O85),IF(I85&gt;0,(10^(VLOOKUP(D85,'Species Codes'!B:C,2,0)+VLOOKUP(D85,'Species Codes'!B:D,3,0)*LOG(E85)+VLOOKUP(D85,'Species Codes'!B:E,4,0)*LOG(I85))),0),"")</f>
        <v/>
      </c>
      <c r="AA85" s="104" t="str">
        <f>IFERROR((VLOOKUP(D85,'Species Codes'!B:G,6,0)*Z85)/2000,"")</f>
        <v/>
      </c>
      <c r="AB85" s="104" t="e">
        <f>IF(Z85&gt;0,((IF(OR(D85="DF",D85="RA")=TRUE,EXP(VLOOKUP(D85,'Species Codes'!B:I,8,0)+VLOOKUP(D85,'Species Codes'!B:J,9,0)*(LN((E85*2.54)))),IF(OR(D85="PY",D85="RC",D85="WH",D85="NF")=TRUE,VLOOKUP(D85,'Species Codes'!B:I,8,0)+VLOOKUP(D85,'Species Codes'!B:J,9,0)*((E85*2.54)^2)*(I85*0.3048),IF(OR(D85="MD",D85="BM",D85="GA")=TRUE,((VLOOKUP(D85,'Species Codes'!B:I,8,0)*(((((E85*2.54)+VLOOKUP(D85,'Species Codes'!B:J,9,0))/VLOOKUP(D85,'Species Codes'!B:K,10,0))^VLOOKUP(D85,'Species Codes'!B:L,11,0))*((I85*0.3048)^VLOOKUP(D85,'Species Codes'!B:M,12,0))))-(VLOOKUP(D85,'Species Codes'!B:I,8,0)*((((E85*2.54)^VLOOKUP(D85,'Species Codes'!B:L,11,0))*((I85*0.3048)^VLOOKUP(D85,'Species Codes'!B:M,12,0))))))*35.3*VLOOKUP(D85,'Species Codes'!B:G,6,0)/2.2046,VLOOKUP(D85,'Species Codes'!B:I,8,0)+VLOOKUP(D85,'Species Codes'!B:J,9,0)*(((E85*2.54)/100)^2)*(I85*0.3048)))))*0.0011023),0)</f>
        <v>#N/A</v>
      </c>
      <c r="AC85" s="104" t="e">
        <f>IF(Z85&gt;0,((IF(OR(D85="RA",D85="OA",D85="OT",D85="UN",D85="PC"),EXP(VLOOKUP(D85,'Species Codes'!B:O,14,0)+VLOOKUP(D85,'Species Codes'!B:P,15,0)*LN((E85*2.54)))-EXP(VLOOKUP(D85,'Species Codes'!B:O,14,0)+VLOOKUP(D85,'Species Codes'!B:P,15,0)*LN((E85*2.54)))*(1/(VLOOKUP(D85,'Species Codes'!B:Q,16,0)+VLOOKUP(D85,'Species Codes'!B:R,17,0)*((E85*2.54)^VLOOKUP(D85,'Species Codes'!B:S,18,0)))),IF(OR(D85="BM",D85="MD",D85="OA"),EXP(VLOOKUP(D85,'Species Codes'!B:O,14,0)+VLOOKUP(D85,'Species Codes'!B:P,15,0)*LN((E85*2.54)))*(1-(1/(VLOOKUP(D85,'Species Codes'!B:Q,16,0)+VLOOKUP(D85,'Species Codes'!B:R,17,0)*((E85*2.54)^VLOOKUP(D85,'Species Codes'!B:S,18,0)))))/1000,IF(D85="DF",EXP(VLOOKUP(D85,'Species Codes'!B:O,14,0)+VLOOKUP(D85,'Species Codes'!B:P,15,0)*LN((E85*2.54))),VLOOKUP(D85,'Species Codes'!B:O,14,0)+VLOOKUP(D85,'Species Codes'!B:P,15,0)*(((E85*2.54)/100)^2)*(I85*0.3048)))))*0.0011023),0)</f>
        <v>#N/A</v>
      </c>
      <c r="AD85" s="104" t="e">
        <f t="shared" si="37"/>
        <v>#N/A</v>
      </c>
      <c r="AE85" s="104" t="e">
        <f t="shared" si="38"/>
        <v>#N/A</v>
      </c>
      <c r="AF85" s="104" t="e">
        <f>IF(AND(VLOOKUP($D85,Merchantability!$B:$C,2,0)="Yes",$E85&gt;=VLOOKUP($D85,Merchantability!$B:$D,3,0),$E85&lt;=VLOOKUP($D85,Merchantability!$B:$E,4,0)),AA85,0)</f>
        <v>#N/A</v>
      </c>
      <c r="AG85" s="104" t="e">
        <f>IF(AND(VLOOKUP($D85,Merchantability!$B:$C,2,0)="Yes",$E85&gt;=VLOOKUP($D85,Merchantability!$B:$D,3,0),$E85&lt;=VLOOKUP($D85,Merchantability!$B:$E,4,0)),AB85,0)</f>
        <v>#N/A</v>
      </c>
      <c r="AH85" s="104" t="e">
        <f>IF(AND(VLOOKUP($D85,Merchantability!$B:$C,2,0)="Yes",$E85&gt;=VLOOKUP($D85,Merchantability!$B:$D,3,0),$E85&lt;=VLOOKUP($D85,Merchantability!$B:$E,4,0)),AC85,0)</f>
        <v>#N/A</v>
      </c>
      <c r="AI85" s="104" t="e">
        <f t="shared" si="39"/>
        <v>#N/A</v>
      </c>
      <c r="AJ85" s="104" t="e">
        <f t="shared" si="40"/>
        <v>#VALUE!</v>
      </c>
      <c r="AK85" s="104" t="e">
        <f t="shared" si="41"/>
        <v>#N/A</v>
      </c>
      <c r="AL85" s="104" t="e">
        <f t="shared" si="42"/>
        <v>#N/A</v>
      </c>
      <c r="AM85" s="104" t="e">
        <f t="shared" si="43"/>
        <v>#N/A</v>
      </c>
      <c r="AN85" s="104" t="e">
        <f t="shared" si="44"/>
        <v>#N/A</v>
      </c>
      <c r="AO85" s="104" t="e">
        <f t="shared" si="45"/>
        <v>#N/A</v>
      </c>
      <c r="AP85" s="104" t="e">
        <f t="shared" si="46"/>
        <v>#N/A</v>
      </c>
      <c r="AQ85" s="104" t="e">
        <f t="shared" si="47"/>
        <v>#N/A</v>
      </c>
      <c r="AR85" s="105" t="str">
        <f t="shared" si="48"/>
        <v/>
      </c>
      <c r="AS85" s="105" t="str">
        <f t="shared" si="49"/>
        <v/>
      </c>
      <c r="AT85" s="108" t="str">
        <f t="shared" si="50"/>
        <v/>
      </c>
      <c r="AU85" s="108" t="str">
        <f t="shared" si="51"/>
        <v/>
      </c>
      <c r="AV85" s="107" t="str">
        <f>IF(ISNUMBER(O85),IF(VLOOKUP($A85,Stand!C:J,8,FALSE)="Short",AT85,AU85),"")</f>
        <v/>
      </c>
      <c r="AW85" s="109" t="str">
        <f t="shared" si="52"/>
        <v/>
      </c>
      <c r="AX85" s="109" t="str">
        <f t="shared" si="53"/>
        <v/>
      </c>
      <c r="AY85" s="112" t="str">
        <f>IF(ISNUMBER(O85),IF(AND(VLOOKUP($D85,Merchantability!$B:$C,2,0)="Yes",$E85&gt;=VLOOKUP($D85,Merchantability!$B:$D,3,0),$E85&lt;=VLOOKUP($D85,Merchantability!$B:$E,4,0)),(AV85*O85)*(1-$H85/100),""),"")</f>
        <v/>
      </c>
      <c r="AZ85" s="115"/>
      <c r="BA85" s="116"/>
      <c r="BB85" s="116"/>
      <c r="BE85" s="62"/>
      <c r="BF85" s="63"/>
    </row>
    <row r="86" spans="1:61" ht="12.75" customHeight="1" x14ac:dyDescent="0.25">
      <c r="A86" s="313"/>
      <c r="B86" s="328"/>
      <c r="C86" s="329"/>
      <c r="D86" s="328"/>
      <c r="E86" s="330"/>
      <c r="F86" s="331"/>
      <c r="G86" s="329"/>
      <c r="H86" s="329"/>
      <c r="I86" s="328"/>
      <c r="J86" s="329"/>
      <c r="K86" s="329"/>
      <c r="L86" s="329"/>
      <c r="M86" s="76"/>
      <c r="N86" s="103" t="str">
        <f>IF(A86="","",VLOOKUP(A86,Stand!C:K,9,0))</f>
        <v/>
      </c>
      <c r="O86" s="104" t="str">
        <f t="shared" si="27"/>
        <v/>
      </c>
      <c r="P86" s="105" t="str">
        <f t="shared" si="28"/>
        <v/>
      </c>
      <c r="Q86" s="105" t="str">
        <f t="shared" si="29"/>
        <v/>
      </c>
      <c r="R86" s="103" t="str">
        <f t="shared" si="30"/>
        <v/>
      </c>
      <c r="S86" s="103" t="str">
        <f t="shared" si="31"/>
        <v/>
      </c>
      <c r="T86" s="106" t="str">
        <f t="shared" si="32"/>
        <v/>
      </c>
      <c r="U86" s="106" t="str">
        <f t="shared" si="33"/>
        <v/>
      </c>
      <c r="V86" s="106" t="str">
        <f t="shared" si="34"/>
        <v/>
      </c>
      <c r="W86" s="105" t="str">
        <f t="shared" si="35"/>
        <v/>
      </c>
      <c r="X86" s="104" t="str">
        <f t="shared" si="36"/>
        <v/>
      </c>
      <c r="Y86" s="104" t="str">
        <f t="array" ref="Y86">IFERROR(IF(ISNUMBER(O86),IF(COUNT(IF(A86=$A$2:$A$2427,IF(D86=$D$2:$D$2427,IF($X$2:$X$2427&gt;0,1))))&gt;0,SUM(IF(A86=$A$2:$A$2427,IF(D86=$D$2:$D$2427,$X$2:$X$2427)))/COUNT(IF(A86=$A$2:$A$2427,IF(D86=$D$2:$D$2427,IF(ISNUMBER($X$2:$X$2427),1)))),0),""),0)</f>
        <v/>
      </c>
      <c r="Z86" s="104" t="str">
        <f>IF(ISNUMBER(O86),IF(I86&gt;0,(10^(VLOOKUP(D86,'Species Codes'!B:C,2,0)+VLOOKUP(D86,'Species Codes'!B:D,3,0)*LOG(E86)+VLOOKUP(D86,'Species Codes'!B:E,4,0)*LOG(I86))),0),"")</f>
        <v/>
      </c>
      <c r="AA86" s="104" t="str">
        <f>IFERROR((VLOOKUP(D86,'Species Codes'!B:G,6,0)*Z86)/2000,"")</f>
        <v/>
      </c>
      <c r="AB86" s="104" t="e">
        <f>IF(Z86&gt;0,((IF(OR(D86="DF",D86="RA")=TRUE,EXP(VLOOKUP(D86,'Species Codes'!B:I,8,0)+VLOOKUP(D86,'Species Codes'!B:J,9,0)*(LN((E86*2.54)))),IF(OR(D86="PY",D86="RC",D86="WH",D86="NF")=TRUE,VLOOKUP(D86,'Species Codes'!B:I,8,0)+VLOOKUP(D86,'Species Codes'!B:J,9,0)*((E86*2.54)^2)*(I86*0.3048),IF(OR(D86="MD",D86="BM",D86="GA")=TRUE,((VLOOKUP(D86,'Species Codes'!B:I,8,0)*(((((E86*2.54)+VLOOKUP(D86,'Species Codes'!B:J,9,0))/VLOOKUP(D86,'Species Codes'!B:K,10,0))^VLOOKUP(D86,'Species Codes'!B:L,11,0))*((I86*0.3048)^VLOOKUP(D86,'Species Codes'!B:M,12,0))))-(VLOOKUP(D86,'Species Codes'!B:I,8,0)*((((E86*2.54)^VLOOKUP(D86,'Species Codes'!B:L,11,0))*((I86*0.3048)^VLOOKUP(D86,'Species Codes'!B:M,12,0))))))*35.3*VLOOKUP(D86,'Species Codes'!B:G,6,0)/2.2046,VLOOKUP(D86,'Species Codes'!B:I,8,0)+VLOOKUP(D86,'Species Codes'!B:J,9,0)*(((E86*2.54)/100)^2)*(I86*0.3048)))))*0.0011023),0)</f>
        <v>#N/A</v>
      </c>
      <c r="AC86" s="104" t="e">
        <f>IF(Z86&gt;0,((IF(OR(D86="RA",D86="OA",D86="OT",D86="UN",D86="PC"),EXP(VLOOKUP(D86,'Species Codes'!B:O,14,0)+VLOOKUP(D86,'Species Codes'!B:P,15,0)*LN((E86*2.54)))-EXP(VLOOKUP(D86,'Species Codes'!B:O,14,0)+VLOOKUP(D86,'Species Codes'!B:P,15,0)*LN((E86*2.54)))*(1/(VLOOKUP(D86,'Species Codes'!B:Q,16,0)+VLOOKUP(D86,'Species Codes'!B:R,17,0)*((E86*2.54)^VLOOKUP(D86,'Species Codes'!B:S,18,0)))),IF(OR(D86="BM",D86="MD",D86="OA"),EXP(VLOOKUP(D86,'Species Codes'!B:O,14,0)+VLOOKUP(D86,'Species Codes'!B:P,15,0)*LN((E86*2.54)))*(1-(1/(VLOOKUP(D86,'Species Codes'!B:Q,16,0)+VLOOKUP(D86,'Species Codes'!B:R,17,0)*((E86*2.54)^VLOOKUP(D86,'Species Codes'!B:S,18,0)))))/1000,IF(D86="DF",EXP(VLOOKUP(D86,'Species Codes'!B:O,14,0)+VLOOKUP(D86,'Species Codes'!B:P,15,0)*LN((E86*2.54))),VLOOKUP(D86,'Species Codes'!B:O,14,0)+VLOOKUP(D86,'Species Codes'!B:P,15,0)*(((E86*2.54)/100)^2)*(I86*0.3048)))))*0.0011023),0)</f>
        <v>#N/A</v>
      </c>
      <c r="AD86" s="104" t="e">
        <f t="shared" si="37"/>
        <v>#N/A</v>
      </c>
      <c r="AE86" s="104" t="e">
        <f t="shared" si="38"/>
        <v>#N/A</v>
      </c>
      <c r="AF86" s="104" t="e">
        <f>IF(AND(VLOOKUP($D86,Merchantability!$B:$C,2,0)="Yes",$E86&gt;=VLOOKUP($D86,Merchantability!$B:$D,3,0),$E86&lt;=VLOOKUP($D86,Merchantability!$B:$E,4,0)),AA86,0)</f>
        <v>#N/A</v>
      </c>
      <c r="AG86" s="104" t="e">
        <f>IF(AND(VLOOKUP($D86,Merchantability!$B:$C,2,0)="Yes",$E86&gt;=VLOOKUP($D86,Merchantability!$B:$D,3,0),$E86&lt;=VLOOKUP($D86,Merchantability!$B:$E,4,0)),AB86,0)</f>
        <v>#N/A</v>
      </c>
      <c r="AH86" s="104" t="e">
        <f>IF(AND(VLOOKUP($D86,Merchantability!$B:$C,2,0)="Yes",$E86&gt;=VLOOKUP($D86,Merchantability!$B:$D,3,0),$E86&lt;=VLOOKUP($D86,Merchantability!$B:$E,4,0)),AC86,0)</f>
        <v>#N/A</v>
      </c>
      <c r="AI86" s="104" t="e">
        <f t="shared" si="39"/>
        <v>#N/A</v>
      </c>
      <c r="AJ86" s="104" t="e">
        <f t="shared" si="40"/>
        <v>#VALUE!</v>
      </c>
      <c r="AK86" s="104" t="e">
        <f t="shared" si="41"/>
        <v>#N/A</v>
      </c>
      <c r="AL86" s="104" t="e">
        <f t="shared" si="42"/>
        <v>#N/A</v>
      </c>
      <c r="AM86" s="104" t="e">
        <f t="shared" si="43"/>
        <v>#N/A</v>
      </c>
      <c r="AN86" s="104" t="e">
        <f t="shared" si="44"/>
        <v>#N/A</v>
      </c>
      <c r="AO86" s="104" t="e">
        <f t="shared" si="45"/>
        <v>#N/A</v>
      </c>
      <c r="AP86" s="104" t="e">
        <f t="shared" si="46"/>
        <v>#N/A</v>
      </c>
      <c r="AQ86" s="104" t="e">
        <f t="shared" si="47"/>
        <v>#N/A</v>
      </c>
      <c r="AR86" s="105" t="str">
        <f t="shared" si="48"/>
        <v/>
      </c>
      <c r="AS86" s="105" t="str">
        <f t="shared" si="49"/>
        <v/>
      </c>
      <c r="AT86" s="108" t="str">
        <f t="shared" si="50"/>
        <v/>
      </c>
      <c r="AU86" s="108" t="str">
        <f t="shared" si="51"/>
        <v/>
      </c>
      <c r="AV86" s="107" t="str">
        <f>IF(ISNUMBER(O86),IF(VLOOKUP($A86,Stand!C:J,8,FALSE)="Short",AT86,AU86),"")</f>
        <v/>
      </c>
      <c r="AW86" s="109" t="str">
        <f t="shared" si="52"/>
        <v/>
      </c>
      <c r="AX86" s="109" t="str">
        <f t="shared" si="53"/>
        <v/>
      </c>
      <c r="AY86" s="112" t="str">
        <f>IF(ISNUMBER(O86),IF(AND(VLOOKUP($D86,Merchantability!$B:$C,2,0)="Yes",$E86&gt;=VLOOKUP($D86,Merchantability!$B:$D,3,0),$E86&lt;=VLOOKUP($D86,Merchantability!$B:$E,4,0)),(AV86*O86)*(1-$H86/100),""),"")</f>
        <v/>
      </c>
      <c r="AZ86" s="115"/>
      <c r="BA86" s="116"/>
      <c r="BB86" s="116"/>
      <c r="BE86" s="62"/>
      <c r="BF86" s="63"/>
    </row>
    <row r="87" spans="1:61" ht="12.75" customHeight="1" x14ac:dyDescent="0.25">
      <c r="A87" s="313"/>
      <c r="B87" s="328"/>
      <c r="C87" s="329"/>
      <c r="D87" s="328"/>
      <c r="E87" s="330"/>
      <c r="F87" s="331"/>
      <c r="G87" s="329"/>
      <c r="H87" s="329"/>
      <c r="I87" s="328"/>
      <c r="J87" s="329"/>
      <c r="K87" s="329"/>
      <c r="L87" s="329"/>
      <c r="M87" s="76"/>
      <c r="N87" s="103" t="str">
        <f>IF(A87="","",VLOOKUP(A87,Stand!C:K,9,0))</f>
        <v/>
      </c>
      <c r="O87" s="104" t="str">
        <f t="shared" si="27"/>
        <v/>
      </c>
      <c r="P87" s="105" t="str">
        <f t="shared" si="28"/>
        <v/>
      </c>
      <c r="Q87" s="105" t="str">
        <f t="shared" si="29"/>
        <v/>
      </c>
      <c r="R87" s="103" t="str">
        <f t="shared" si="30"/>
        <v/>
      </c>
      <c r="S87" s="103" t="str">
        <f t="shared" si="31"/>
        <v/>
      </c>
      <c r="T87" s="106" t="str">
        <f t="shared" si="32"/>
        <v/>
      </c>
      <c r="U87" s="106" t="str">
        <f t="shared" si="33"/>
        <v/>
      </c>
      <c r="V87" s="106" t="str">
        <f t="shared" si="34"/>
        <v/>
      </c>
      <c r="W87" s="105" t="str">
        <f t="shared" si="35"/>
        <v/>
      </c>
      <c r="X87" s="104" t="str">
        <f t="shared" si="36"/>
        <v/>
      </c>
      <c r="Y87" s="104" t="str">
        <f t="array" ref="Y87">IFERROR(IF(ISNUMBER(O87),IF(COUNT(IF(A87=$A$2:$A$2427,IF(D87=$D$2:$D$2427,IF($X$2:$X$2427&gt;0,1))))&gt;0,SUM(IF(A87=$A$2:$A$2427,IF(D87=$D$2:$D$2427,$X$2:$X$2427)))/COUNT(IF(A87=$A$2:$A$2427,IF(D87=$D$2:$D$2427,IF(ISNUMBER($X$2:$X$2427),1)))),0),""),0)</f>
        <v/>
      </c>
      <c r="Z87" s="104" t="str">
        <f>IF(ISNUMBER(O87),IF(I87&gt;0,(10^(VLOOKUP(D87,'Species Codes'!B:C,2,0)+VLOOKUP(D87,'Species Codes'!B:D,3,0)*LOG(E87)+VLOOKUP(D87,'Species Codes'!B:E,4,0)*LOG(I87))),0),"")</f>
        <v/>
      </c>
      <c r="AA87" s="104" t="str">
        <f>IFERROR((VLOOKUP(D87,'Species Codes'!B:G,6,0)*Z87)/2000,"")</f>
        <v/>
      </c>
      <c r="AB87" s="104" t="e">
        <f>IF(Z87&gt;0,((IF(OR(D87="DF",D87="RA")=TRUE,EXP(VLOOKUP(D87,'Species Codes'!B:I,8,0)+VLOOKUP(D87,'Species Codes'!B:J,9,0)*(LN((E87*2.54)))),IF(OR(D87="PY",D87="RC",D87="WH",D87="NF")=TRUE,VLOOKUP(D87,'Species Codes'!B:I,8,0)+VLOOKUP(D87,'Species Codes'!B:J,9,0)*((E87*2.54)^2)*(I87*0.3048),IF(OR(D87="MD",D87="BM",D87="GA")=TRUE,((VLOOKUP(D87,'Species Codes'!B:I,8,0)*(((((E87*2.54)+VLOOKUP(D87,'Species Codes'!B:J,9,0))/VLOOKUP(D87,'Species Codes'!B:K,10,0))^VLOOKUP(D87,'Species Codes'!B:L,11,0))*((I87*0.3048)^VLOOKUP(D87,'Species Codes'!B:M,12,0))))-(VLOOKUP(D87,'Species Codes'!B:I,8,0)*((((E87*2.54)^VLOOKUP(D87,'Species Codes'!B:L,11,0))*((I87*0.3048)^VLOOKUP(D87,'Species Codes'!B:M,12,0))))))*35.3*VLOOKUP(D87,'Species Codes'!B:G,6,0)/2.2046,VLOOKUP(D87,'Species Codes'!B:I,8,0)+VLOOKUP(D87,'Species Codes'!B:J,9,0)*(((E87*2.54)/100)^2)*(I87*0.3048)))))*0.0011023),0)</f>
        <v>#N/A</v>
      </c>
      <c r="AC87" s="104" t="e">
        <f>IF(Z87&gt;0,((IF(OR(D87="RA",D87="OA",D87="OT",D87="UN",D87="PC"),EXP(VLOOKUP(D87,'Species Codes'!B:O,14,0)+VLOOKUP(D87,'Species Codes'!B:P,15,0)*LN((E87*2.54)))-EXP(VLOOKUP(D87,'Species Codes'!B:O,14,0)+VLOOKUP(D87,'Species Codes'!B:P,15,0)*LN((E87*2.54)))*(1/(VLOOKUP(D87,'Species Codes'!B:Q,16,0)+VLOOKUP(D87,'Species Codes'!B:R,17,0)*((E87*2.54)^VLOOKUP(D87,'Species Codes'!B:S,18,0)))),IF(OR(D87="BM",D87="MD",D87="OA"),EXP(VLOOKUP(D87,'Species Codes'!B:O,14,0)+VLOOKUP(D87,'Species Codes'!B:P,15,0)*LN((E87*2.54)))*(1-(1/(VLOOKUP(D87,'Species Codes'!B:Q,16,0)+VLOOKUP(D87,'Species Codes'!B:R,17,0)*((E87*2.54)^VLOOKUP(D87,'Species Codes'!B:S,18,0)))))/1000,IF(D87="DF",EXP(VLOOKUP(D87,'Species Codes'!B:O,14,0)+VLOOKUP(D87,'Species Codes'!B:P,15,0)*LN((E87*2.54))),VLOOKUP(D87,'Species Codes'!B:O,14,0)+VLOOKUP(D87,'Species Codes'!B:P,15,0)*(((E87*2.54)/100)^2)*(I87*0.3048)))))*0.0011023),0)</f>
        <v>#N/A</v>
      </c>
      <c r="AD87" s="104" t="e">
        <f t="shared" si="37"/>
        <v>#N/A</v>
      </c>
      <c r="AE87" s="104" t="e">
        <f t="shared" si="38"/>
        <v>#N/A</v>
      </c>
      <c r="AF87" s="104" t="e">
        <f>IF(AND(VLOOKUP($D87,Merchantability!$B:$C,2,0)="Yes",$E87&gt;=VLOOKUP($D87,Merchantability!$B:$D,3,0),$E87&lt;=VLOOKUP($D87,Merchantability!$B:$E,4,0)),AA87,0)</f>
        <v>#N/A</v>
      </c>
      <c r="AG87" s="104" t="e">
        <f>IF(AND(VLOOKUP($D87,Merchantability!$B:$C,2,0)="Yes",$E87&gt;=VLOOKUP($D87,Merchantability!$B:$D,3,0),$E87&lt;=VLOOKUP($D87,Merchantability!$B:$E,4,0)),AB87,0)</f>
        <v>#N/A</v>
      </c>
      <c r="AH87" s="104" t="e">
        <f>IF(AND(VLOOKUP($D87,Merchantability!$B:$C,2,0)="Yes",$E87&gt;=VLOOKUP($D87,Merchantability!$B:$D,3,0),$E87&lt;=VLOOKUP($D87,Merchantability!$B:$E,4,0)),AC87,0)</f>
        <v>#N/A</v>
      </c>
      <c r="AI87" s="104" t="e">
        <f t="shared" si="39"/>
        <v>#N/A</v>
      </c>
      <c r="AJ87" s="104" t="e">
        <f t="shared" si="40"/>
        <v>#VALUE!</v>
      </c>
      <c r="AK87" s="104" t="e">
        <f t="shared" si="41"/>
        <v>#N/A</v>
      </c>
      <c r="AL87" s="104" t="e">
        <f t="shared" si="42"/>
        <v>#N/A</v>
      </c>
      <c r="AM87" s="104" t="e">
        <f t="shared" si="43"/>
        <v>#N/A</v>
      </c>
      <c r="AN87" s="104" t="e">
        <f t="shared" si="44"/>
        <v>#N/A</v>
      </c>
      <c r="AO87" s="104" t="e">
        <f t="shared" si="45"/>
        <v>#N/A</v>
      </c>
      <c r="AP87" s="104" t="e">
        <f t="shared" si="46"/>
        <v>#N/A</v>
      </c>
      <c r="AQ87" s="104" t="e">
        <f t="shared" si="47"/>
        <v>#N/A</v>
      </c>
      <c r="AR87" s="105" t="str">
        <f t="shared" si="48"/>
        <v/>
      </c>
      <c r="AS87" s="105" t="str">
        <f t="shared" si="49"/>
        <v/>
      </c>
      <c r="AT87" s="108" t="str">
        <f t="shared" si="50"/>
        <v/>
      </c>
      <c r="AU87" s="108" t="str">
        <f t="shared" si="51"/>
        <v/>
      </c>
      <c r="AV87" s="107" t="str">
        <f>IF(ISNUMBER(O87),IF(VLOOKUP($A87,Stand!C:J,8,FALSE)="Short",AT87,AU87),"")</f>
        <v/>
      </c>
      <c r="AW87" s="109" t="str">
        <f t="shared" si="52"/>
        <v/>
      </c>
      <c r="AX87" s="109" t="str">
        <f t="shared" si="53"/>
        <v/>
      </c>
      <c r="AY87" s="112" t="str">
        <f>IF(ISNUMBER(O87),IF(AND(VLOOKUP($D87,Merchantability!$B:$C,2,0)="Yes",$E87&gt;=VLOOKUP($D87,Merchantability!$B:$D,3,0),$E87&lt;=VLOOKUP($D87,Merchantability!$B:$E,4,0)),(AV87*O87)*(1-$H87/100),""),"")</f>
        <v/>
      </c>
      <c r="AZ87" s="115"/>
      <c r="BA87" s="116"/>
      <c r="BB87" s="116"/>
      <c r="BE87" s="62"/>
      <c r="BF87" s="63"/>
    </row>
    <row r="88" spans="1:61" ht="12.75" customHeight="1" x14ac:dyDescent="0.25">
      <c r="A88" s="313"/>
      <c r="B88" s="328"/>
      <c r="C88" s="329"/>
      <c r="D88" s="328"/>
      <c r="E88" s="328"/>
      <c r="F88" s="331"/>
      <c r="G88" s="329"/>
      <c r="H88" s="329"/>
      <c r="I88" s="328"/>
      <c r="J88" s="329"/>
      <c r="K88" s="329"/>
      <c r="L88" s="329"/>
      <c r="M88" s="76"/>
      <c r="N88" s="103" t="str">
        <f>IF(A88="","",VLOOKUP(A88,Stand!C:K,9,0))</f>
        <v/>
      </c>
      <c r="O88" s="104" t="str">
        <f t="shared" si="27"/>
        <v/>
      </c>
      <c r="P88" s="105" t="str">
        <f t="shared" si="28"/>
        <v/>
      </c>
      <c r="Q88" s="105" t="str">
        <f t="shared" si="29"/>
        <v/>
      </c>
      <c r="R88" s="103" t="str">
        <f t="shared" si="30"/>
        <v/>
      </c>
      <c r="S88" s="103" t="str">
        <f t="shared" si="31"/>
        <v/>
      </c>
      <c r="T88" s="106" t="str">
        <f t="shared" si="32"/>
        <v/>
      </c>
      <c r="U88" s="106" t="str">
        <f t="shared" si="33"/>
        <v/>
      </c>
      <c r="V88" s="106" t="str">
        <f t="shared" si="34"/>
        <v/>
      </c>
      <c r="W88" s="105" t="str">
        <f t="shared" si="35"/>
        <v/>
      </c>
      <c r="X88" s="104" t="str">
        <f t="shared" si="36"/>
        <v/>
      </c>
      <c r="Y88" s="104" t="str">
        <f t="array" ref="Y88">IFERROR(IF(ISNUMBER(O88),IF(COUNT(IF(A88=$A$2:$A$2427,IF(D88=$D$2:$D$2427,IF($X$2:$X$2427&gt;0,1))))&gt;0,SUM(IF(A88=$A$2:$A$2427,IF(D88=$D$2:$D$2427,$X$2:$X$2427)))/COUNT(IF(A88=$A$2:$A$2427,IF(D88=$D$2:$D$2427,IF(ISNUMBER($X$2:$X$2427),1)))),0),""),0)</f>
        <v/>
      </c>
      <c r="Z88" s="104" t="str">
        <f>IF(ISNUMBER(O88),IF(I88&gt;0,(10^(VLOOKUP(D88,'Species Codes'!B:C,2,0)+VLOOKUP(D88,'Species Codes'!B:D,3,0)*LOG(E88)+VLOOKUP(D88,'Species Codes'!B:E,4,0)*LOG(I88))),0),"")</f>
        <v/>
      </c>
      <c r="AA88" s="104" t="str">
        <f>IFERROR((VLOOKUP(D88,'Species Codes'!B:G,6,0)*Z88)/2000,"")</f>
        <v/>
      </c>
      <c r="AB88" s="104" t="e">
        <f>IF(Z88&gt;0,((IF(OR(D88="DF",D88="RA")=TRUE,EXP(VLOOKUP(D88,'Species Codes'!B:I,8,0)+VLOOKUP(D88,'Species Codes'!B:J,9,0)*(LN((E88*2.54)))),IF(OR(D88="PY",D88="RC",D88="WH",D88="NF")=TRUE,VLOOKUP(D88,'Species Codes'!B:I,8,0)+VLOOKUP(D88,'Species Codes'!B:J,9,0)*((E88*2.54)^2)*(I88*0.3048),IF(OR(D88="MD",D88="BM",D88="GA")=TRUE,((VLOOKUP(D88,'Species Codes'!B:I,8,0)*(((((E88*2.54)+VLOOKUP(D88,'Species Codes'!B:J,9,0))/VLOOKUP(D88,'Species Codes'!B:K,10,0))^VLOOKUP(D88,'Species Codes'!B:L,11,0))*((I88*0.3048)^VLOOKUP(D88,'Species Codes'!B:M,12,0))))-(VLOOKUP(D88,'Species Codes'!B:I,8,0)*((((E88*2.54)^VLOOKUP(D88,'Species Codes'!B:L,11,0))*((I88*0.3048)^VLOOKUP(D88,'Species Codes'!B:M,12,0))))))*35.3*VLOOKUP(D88,'Species Codes'!B:G,6,0)/2.2046,VLOOKUP(D88,'Species Codes'!B:I,8,0)+VLOOKUP(D88,'Species Codes'!B:J,9,0)*(((E88*2.54)/100)^2)*(I88*0.3048)))))*0.0011023),0)</f>
        <v>#N/A</v>
      </c>
      <c r="AC88" s="104" t="e">
        <f>IF(Z88&gt;0,((IF(OR(D88="RA",D88="OA",D88="OT",D88="UN",D88="PC"),EXP(VLOOKUP(D88,'Species Codes'!B:O,14,0)+VLOOKUP(D88,'Species Codes'!B:P,15,0)*LN((E88*2.54)))-EXP(VLOOKUP(D88,'Species Codes'!B:O,14,0)+VLOOKUP(D88,'Species Codes'!B:P,15,0)*LN((E88*2.54)))*(1/(VLOOKUP(D88,'Species Codes'!B:Q,16,0)+VLOOKUP(D88,'Species Codes'!B:R,17,0)*((E88*2.54)^VLOOKUP(D88,'Species Codes'!B:S,18,0)))),IF(OR(D88="BM",D88="MD",D88="OA"),EXP(VLOOKUP(D88,'Species Codes'!B:O,14,0)+VLOOKUP(D88,'Species Codes'!B:P,15,0)*LN((E88*2.54)))*(1-(1/(VLOOKUP(D88,'Species Codes'!B:Q,16,0)+VLOOKUP(D88,'Species Codes'!B:R,17,0)*((E88*2.54)^VLOOKUP(D88,'Species Codes'!B:S,18,0)))))/1000,IF(D88="DF",EXP(VLOOKUP(D88,'Species Codes'!B:O,14,0)+VLOOKUP(D88,'Species Codes'!B:P,15,0)*LN((E88*2.54))),VLOOKUP(D88,'Species Codes'!B:O,14,0)+VLOOKUP(D88,'Species Codes'!B:P,15,0)*(((E88*2.54)/100)^2)*(I88*0.3048)))))*0.0011023),0)</f>
        <v>#N/A</v>
      </c>
      <c r="AD88" s="104" t="e">
        <f t="shared" si="37"/>
        <v>#N/A</v>
      </c>
      <c r="AE88" s="104" t="e">
        <f t="shared" si="38"/>
        <v>#N/A</v>
      </c>
      <c r="AF88" s="104" t="e">
        <f>IF(AND(VLOOKUP($D88,Merchantability!$B:$C,2,0)="Yes",$E88&gt;=VLOOKUP($D88,Merchantability!$B:$D,3,0),$E88&lt;=VLOOKUP($D88,Merchantability!$B:$E,4,0)),AA88,0)</f>
        <v>#N/A</v>
      </c>
      <c r="AG88" s="104" t="e">
        <f>IF(AND(VLOOKUP($D88,Merchantability!$B:$C,2,0)="Yes",$E88&gt;=VLOOKUP($D88,Merchantability!$B:$D,3,0),$E88&lt;=VLOOKUP($D88,Merchantability!$B:$E,4,0)),AB88,0)</f>
        <v>#N/A</v>
      </c>
      <c r="AH88" s="104" t="e">
        <f>IF(AND(VLOOKUP($D88,Merchantability!$B:$C,2,0)="Yes",$E88&gt;=VLOOKUP($D88,Merchantability!$B:$D,3,0),$E88&lt;=VLOOKUP($D88,Merchantability!$B:$E,4,0)),AC88,0)</f>
        <v>#N/A</v>
      </c>
      <c r="AI88" s="104" t="e">
        <f t="shared" si="39"/>
        <v>#N/A</v>
      </c>
      <c r="AJ88" s="104" t="e">
        <f t="shared" si="40"/>
        <v>#VALUE!</v>
      </c>
      <c r="AK88" s="104" t="e">
        <f t="shared" si="41"/>
        <v>#N/A</v>
      </c>
      <c r="AL88" s="104" t="e">
        <f t="shared" si="42"/>
        <v>#N/A</v>
      </c>
      <c r="AM88" s="104" t="e">
        <f t="shared" si="43"/>
        <v>#N/A</v>
      </c>
      <c r="AN88" s="104" t="e">
        <f t="shared" si="44"/>
        <v>#N/A</v>
      </c>
      <c r="AO88" s="104" t="e">
        <f t="shared" si="45"/>
        <v>#N/A</v>
      </c>
      <c r="AP88" s="104" t="e">
        <f t="shared" si="46"/>
        <v>#N/A</v>
      </c>
      <c r="AQ88" s="104" t="e">
        <f t="shared" si="47"/>
        <v>#N/A</v>
      </c>
      <c r="AR88" s="105" t="str">
        <f t="shared" si="48"/>
        <v/>
      </c>
      <c r="AS88" s="105" t="str">
        <f t="shared" si="49"/>
        <v/>
      </c>
      <c r="AT88" s="108" t="str">
        <f t="shared" si="50"/>
        <v/>
      </c>
      <c r="AU88" s="108" t="str">
        <f t="shared" si="51"/>
        <v/>
      </c>
      <c r="AV88" s="107" t="str">
        <f>IF(ISNUMBER(O88),IF(VLOOKUP($A88,Stand!C:J,8,FALSE)="Short",AT88,AU88),"")</f>
        <v/>
      </c>
      <c r="AW88" s="109" t="str">
        <f t="shared" si="52"/>
        <v/>
      </c>
      <c r="AX88" s="109" t="str">
        <f t="shared" si="53"/>
        <v/>
      </c>
      <c r="AY88" s="112" t="str">
        <f>IF(ISNUMBER(O88),IF(AND(VLOOKUP($D88,Merchantability!$B:$C,2,0)="Yes",$E88&gt;=VLOOKUP($D88,Merchantability!$B:$D,3,0),$E88&lt;=VLOOKUP($D88,Merchantability!$B:$E,4,0)),(AV88*O88)*(1-$H88/100),""),"")</f>
        <v/>
      </c>
      <c r="AZ88" s="115"/>
      <c r="BA88" s="116"/>
      <c r="BB88" s="116"/>
      <c r="BE88" s="62"/>
      <c r="BF88" s="63"/>
    </row>
    <row r="89" spans="1:61" ht="12.75" customHeight="1" x14ac:dyDescent="0.25">
      <c r="A89" s="313"/>
      <c r="B89" s="328"/>
      <c r="C89" s="329"/>
      <c r="D89" s="328"/>
      <c r="E89" s="328"/>
      <c r="F89" s="331"/>
      <c r="G89" s="329"/>
      <c r="H89" s="329"/>
      <c r="I89" s="328"/>
      <c r="J89" s="329"/>
      <c r="K89" s="329"/>
      <c r="L89" s="329"/>
      <c r="M89" s="76"/>
      <c r="N89" s="103" t="str">
        <f>IF(A89="","",VLOOKUP(A89,Stand!C:K,9,0))</f>
        <v/>
      </c>
      <c r="O89" s="104" t="str">
        <f t="shared" si="27"/>
        <v/>
      </c>
      <c r="P89" s="105" t="str">
        <f t="shared" si="28"/>
        <v/>
      </c>
      <c r="Q89" s="105" t="str">
        <f t="shared" si="29"/>
        <v/>
      </c>
      <c r="R89" s="103" t="str">
        <f t="shared" si="30"/>
        <v/>
      </c>
      <c r="S89" s="103" t="str">
        <f t="shared" si="31"/>
        <v/>
      </c>
      <c r="T89" s="106" t="str">
        <f t="shared" si="32"/>
        <v/>
      </c>
      <c r="U89" s="106" t="str">
        <f t="shared" si="33"/>
        <v/>
      </c>
      <c r="V89" s="106" t="str">
        <f t="shared" si="34"/>
        <v/>
      </c>
      <c r="W89" s="105" t="str">
        <f t="shared" si="35"/>
        <v/>
      </c>
      <c r="X89" s="104" t="str">
        <f t="shared" si="36"/>
        <v/>
      </c>
      <c r="Y89" s="104" t="str">
        <f t="array" ref="Y89">IFERROR(IF(ISNUMBER(O89),IF(COUNT(IF(A89=$A$2:$A$2427,IF(D89=$D$2:$D$2427,IF($X$2:$X$2427&gt;0,1))))&gt;0,SUM(IF(A89=$A$2:$A$2427,IF(D89=$D$2:$D$2427,$X$2:$X$2427)))/COUNT(IF(A89=$A$2:$A$2427,IF(D89=$D$2:$D$2427,IF(ISNUMBER($X$2:$X$2427),1)))),0),""),0)</f>
        <v/>
      </c>
      <c r="Z89" s="104" t="str">
        <f>IF(ISNUMBER(O89),IF(I89&gt;0,(10^(VLOOKUP(D89,'Species Codes'!B:C,2,0)+VLOOKUP(D89,'Species Codes'!B:D,3,0)*LOG(E89)+VLOOKUP(D89,'Species Codes'!B:E,4,0)*LOG(I89))),0),"")</f>
        <v/>
      </c>
      <c r="AA89" s="104" t="str">
        <f>IFERROR((VLOOKUP(D89,'Species Codes'!B:G,6,0)*Z89)/2000,"")</f>
        <v/>
      </c>
      <c r="AB89" s="104" t="e">
        <f>IF(Z89&gt;0,((IF(OR(D89="DF",D89="RA")=TRUE,EXP(VLOOKUP(D89,'Species Codes'!B:I,8,0)+VLOOKUP(D89,'Species Codes'!B:J,9,0)*(LN((E89*2.54)))),IF(OR(D89="PY",D89="RC",D89="WH",D89="NF")=TRUE,VLOOKUP(D89,'Species Codes'!B:I,8,0)+VLOOKUP(D89,'Species Codes'!B:J,9,0)*((E89*2.54)^2)*(I89*0.3048),IF(OR(D89="MD",D89="BM",D89="GA")=TRUE,((VLOOKUP(D89,'Species Codes'!B:I,8,0)*(((((E89*2.54)+VLOOKUP(D89,'Species Codes'!B:J,9,0))/VLOOKUP(D89,'Species Codes'!B:K,10,0))^VLOOKUP(D89,'Species Codes'!B:L,11,0))*((I89*0.3048)^VLOOKUP(D89,'Species Codes'!B:M,12,0))))-(VLOOKUP(D89,'Species Codes'!B:I,8,0)*((((E89*2.54)^VLOOKUP(D89,'Species Codes'!B:L,11,0))*((I89*0.3048)^VLOOKUP(D89,'Species Codes'!B:M,12,0))))))*35.3*VLOOKUP(D89,'Species Codes'!B:G,6,0)/2.2046,VLOOKUP(D89,'Species Codes'!B:I,8,0)+VLOOKUP(D89,'Species Codes'!B:J,9,0)*(((E89*2.54)/100)^2)*(I89*0.3048)))))*0.0011023),0)</f>
        <v>#N/A</v>
      </c>
      <c r="AC89" s="104" t="e">
        <f>IF(Z89&gt;0,((IF(OR(D89="RA",D89="OA",D89="OT",D89="UN",D89="PC"),EXP(VLOOKUP(D89,'Species Codes'!B:O,14,0)+VLOOKUP(D89,'Species Codes'!B:P,15,0)*LN((E89*2.54)))-EXP(VLOOKUP(D89,'Species Codes'!B:O,14,0)+VLOOKUP(D89,'Species Codes'!B:P,15,0)*LN((E89*2.54)))*(1/(VLOOKUP(D89,'Species Codes'!B:Q,16,0)+VLOOKUP(D89,'Species Codes'!B:R,17,0)*((E89*2.54)^VLOOKUP(D89,'Species Codes'!B:S,18,0)))),IF(OR(D89="BM",D89="MD",D89="OA"),EXP(VLOOKUP(D89,'Species Codes'!B:O,14,0)+VLOOKUP(D89,'Species Codes'!B:P,15,0)*LN((E89*2.54)))*(1-(1/(VLOOKUP(D89,'Species Codes'!B:Q,16,0)+VLOOKUP(D89,'Species Codes'!B:R,17,0)*((E89*2.54)^VLOOKUP(D89,'Species Codes'!B:S,18,0)))))/1000,IF(D89="DF",EXP(VLOOKUP(D89,'Species Codes'!B:O,14,0)+VLOOKUP(D89,'Species Codes'!B:P,15,0)*LN((E89*2.54))),VLOOKUP(D89,'Species Codes'!B:O,14,0)+VLOOKUP(D89,'Species Codes'!B:P,15,0)*(((E89*2.54)/100)^2)*(I89*0.3048)))))*0.0011023),0)</f>
        <v>#N/A</v>
      </c>
      <c r="AD89" s="104" t="e">
        <f t="shared" si="37"/>
        <v>#N/A</v>
      </c>
      <c r="AE89" s="104" t="e">
        <f t="shared" si="38"/>
        <v>#N/A</v>
      </c>
      <c r="AF89" s="104" t="e">
        <f>IF(AND(VLOOKUP($D89,Merchantability!$B:$C,2,0)="Yes",$E89&gt;=VLOOKUP($D89,Merchantability!$B:$D,3,0),$E89&lt;=VLOOKUP($D89,Merchantability!$B:$E,4,0)),AA89,0)</f>
        <v>#N/A</v>
      </c>
      <c r="AG89" s="104" t="e">
        <f>IF(AND(VLOOKUP($D89,Merchantability!$B:$C,2,0)="Yes",$E89&gt;=VLOOKUP($D89,Merchantability!$B:$D,3,0),$E89&lt;=VLOOKUP($D89,Merchantability!$B:$E,4,0)),AB89,0)</f>
        <v>#N/A</v>
      </c>
      <c r="AH89" s="104" t="e">
        <f>IF(AND(VLOOKUP($D89,Merchantability!$B:$C,2,0)="Yes",$E89&gt;=VLOOKUP($D89,Merchantability!$B:$D,3,0),$E89&lt;=VLOOKUP($D89,Merchantability!$B:$E,4,0)),AC89,0)</f>
        <v>#N/A</v>
      </c>
      <c r="AI89" s="104" t="e">
        <f t="shared" si="39"/>
        <v>#N/A</v>
      </c>
      <c r="AJ89" s="104" t="e">
        <f t="shared" si="40"/>
        <v>#VALUE!</v>
      </c>
      <c r="AK89" s="104" t="e">
        <f t="shared" si="41"/>
        <v>#N/A</v>
      </c>
      <c r="AL89" s="104" t="e">
        <f t="shared" si="42"/>
        <v>#N/A</v>
      </c>
      <c r="AM89" s="104" t="e">
        <f t="shared" si="43"/>
        <v>#N/A</v>
      </c>
      <c r="AN89" s="104" t="e">
        <f t="shared" si="44"/>
        <v>#N/A</v>
      </c>
      <c r="AO89" s="104" t="e">
        <f t="shared" si="45"/>
        <v>#N/A</v>
      </c>
      <c r="AP89" s="104" t="e">
        <f t="shared" si="46"/>
        <v>#N/A</v>
      </c>
      <c r="AQ89" s="104" t="e">
        <f t="shared" si="47"/>
        <v>#N/A</v>
      </c>
      <c r="AR89" s="105" t="str">
        <f t="shared" si="48"/>
        <v/>
      </c>
      <c r="AS89" s="105" t="str">
        <f t="shared" si="49"/>
        <v/>
      </c>
      <c r="AT89" s="108" t="str">
        <f t="shared" si="50"/>
        <v/>
      </c>
      <c r="AU89" s="108" t="str">
        <f t="shared" si="51"/>
        <v/>
      </c>
      <c r="AV89" s="107" t="str">
        <f>IF(ISNUMBER(O89),IF(VLOOKUP($A89,Stand!C:J,8,FALSE)="Short",AT89,AU89),"")</f>
        <v/>
      </c>
      <c r="AW89" s="109" t="str">
        <f t="shared" si="52"/>
        <v/>
      </c>
      <c r="AX89" s="109" t="str">
        <f t="shared" si="53"/>
        <v/>
      </c>
      <c r="AY89" s="112" t="str">
        <f>IF(ISNUMBER(O89),IF(AND(VLOOKUP($D89,Merchantability!$B:$C,2,0)="Yes",$E89&gt;=VLOOKUP($D89,Merchantability!$B:$D,3,0),$E89&lt;=VLOOKUP($D89,Merchantability!$B:$E,4,0)),(AV89*O89)*(1-$H89/100),""),"")</f>
        <v/>
      </c>
      <c r="AZ89" s="116"/>
      <c r="BA89" s="116"/>
      <c r="BB89" s="116"/>
      <c r="BE89" s="62"/>
      <c r="BF89" s="63"/>
    </row>
    <row r="90" spans="1:61" ht="12.75" customHeight="1" x14ac:dyDescent="0.25">
      <c r="A90" s="313"/>
      <c r="B90" s="328"/>
      <c r="C90" s="329"/>
      <c r="D90" s="328"/>
      <c r="E90" s="328"/>
      <c r="F90" s="331"/>
      <c r="G90" s="329"/>
      <c r="H90" s="329"/>
      <c r="I90" s="328"/>
      <c r="J90" s="329"/>
      <c r="K90" s="329"/>
      <c r="L90" s="329"/>
      <c r="M90" s="76"/>
      <c r="N90" s="103" t="str">
        <f>IF(A90="","",VLOOKUP(A90,Stand!C:K,9,0))</f>
        <v/>
      </c>
      <c r="O90" s="104" t="str">
        <f t="shared" si="27"/>
        <v/>
      </c>
      <c r="P90" s="105" t="str">
        <f t="shared" si="28"/>
        <v/>
      </c>
      <c r="Q90" s="105" t="str">
        <f t="shared" si="29"/>
        <v/>
      </c>
      <c r="R90" s="103" t="str">
        <f t="shared" si="30"/>
        <v/>
      </c>
      <c r="S90" s="103" t="str">
        <f t="shared" si="31"/>
        <v/>
      </c>
      <c r="T90" s="106" t="str">
        <f t="shared" si="32"/>
        <v/>
      </c>
      <c r="U90" s="106" t="str">
        <f t="shared" si="33"/>
        <v/>
      </c>
      <c r="V90" s="106" t="str">
        <f t="shared" si="34"/>
        <v/>
      </c>
      <c r="W90" s="105" t="str">
        <f t="shared" si="35"/>
        <v/>
      </c>
      <c r="X90" s="104" t="str">
        <f t="shared" si="36"/>
        <v/>
      </c>
      <c r="Y90" s="104" t="str">
        <f t="array" ref="Y90">IFERROR(IF(ISNUMBER(O90),IF(COUNT(IF(A90=$A$2:$A$2427,IF(D90=$D$2:$D$2427,IF($X$2:$X$2427&gt;0,1))))&gt;0,SUM(IF(A90=$A$2:$A$2427,IF(D90=$D$2:$D$2427,$X$2:$X$2427)))/COUNT(IF(A90=$A$2:$A$2427,IF(D90=$D$2:$D$2427,IF(ISNUMBER($X$2:$X$2427),1)))),0),""),0)</f>
        <v/>
      </c>
      <c r="Z90" s="104" t="str">
        <f>IF(ISNUMBER(O90),IF(I90&gt;0,(10^(VLOOKUP(D90,'Species Codes'!B:C,2,0)+VLOOKUP(D90,'Species Codes'!B:D,3,0)*LOG(E90)+VLOOKUP(D90,'Species Codes'!B:E,4,0)*LOG(I90))),0),"")</f>
        <v/>
      </c>
      <c r="AA90" s="104" t="str">
        <f>IFERROR((VLOOKUP(D90,'Species Codes'!B:G,6,0)*Z90)/2000,"")</f>
        <v/>
      </c>
      <c r="AB90" s="104" t="e">
        <f>IF(Z90&gt;0,((IF(OR(D90="DF",D90="RA")=TRUE,EXP(VLOOKUP(D90,'Species Codes'!B:I,8,0)+VLOOKUP(D90,'Species Codes'!B:J,9,0)*(LN((E90*2.54)))),IF(OR(D90="PY",D90="RC",D90="WH",D90="NF")=TRUE,VLOOKUP(D90,'Species Codes'!B:I,8,0)+VLOOKUP(D90,'Species Codes'!B:J,9,0)*((E90*2.54)^2)*(I90*0.3048),IF(OR(D90="MD",D90="BM",D90="GA")=TRUE,((VLOOKUP(D90,'Species Codes'!B:I,8,0)*(((((E90*2.54)+VLOOKUP(D90,'Species Codes'!B:J,9,0))/VLOOKUP(D90,'Species Codes'!B:K,10,0))^VLOOKUP(D90,'Species Codes'!B:L,11,0))*((I90*0.3048)^VLOOKUP(D90,'Species Codes'!B:M,12,0))))-(VLOOKUP(D90,'Species Codes'!B:I,8,0)*((((E90*2.54)^VLOOKUP(D90,'Species Codes'!B:L,11,0))*((I90*0.3048)^VLOOKUP(D90,'Species Codes'!B:M,12,0))))))*35.3*VLOOKUP(D90,'Species Codes'!B:G,6,0)/2.2046,VLOOKUP(D90,'Species Codes'!B:I,8,0)+VLOOKUP(D90,'Species Codes'!B:J,9,0)*(((E90*2.54)/100)^2)*(I90*0.3048)))))*0.0011023),0)</f>
        <v>#N/A</v>
      </c>
      <c r="AC90" s="104" t="e">
        <f>IF(Z90&gt;0,((IF(OR(D90="RA",D90="OA",D90="OT",D90="UN",D90="PC"),EXP(VLOOKUP(D90,'Species Codes'!B:O,14,0)+VLOOKUP(D90,'Species Codes'!B:P,15,0)*LN((E90*2.54)))-EXP(VLOOKUP(D90,'Species Codes'!B:O,14,0)+VLOOKUP(D90,'Species Codes'!B:P,15,0)*LN((E90*2.54)))*(1/(VLOOKUP(D90,'Species Codes'!B:Q,16,0)+VLOOKUP(D90,'Species Codes'!B:R,17,0)*((E90*2.54)^VLOOKUP(D90,'Species Codes'!B:S,18,0)))),IF(OR(D90="BM",D90="MD",D90="OA"),EXP(VLOOKUP(D90,'Species Codes'!B:O,14,0)+VLOOKUP(D90,'Species Codes'!B:P,15,0)*LN((E90*2.54)))*(1-(1/(VLOOKUP(D90,'Species Codes'!B:Q,16,0)+VLOOKUP(D90,'Species Codes'!B:R,17,0)*((E90*2.54)^VLOOKUP(D90,'Species Codes'!B:S,18,0)))))/1000,IF(D90="DF",EXP(VLOOKUP(D90,'Species Codes'!B:O,14,0)+VLOOKUP(D90,'Species Codes'!B:P,15,0)*LN((E90*2.54))),VLOOKUP(D90,'Species Codes'!B:O,14,0)+VLOOKUP(D90,'Species Codes'!B:P,15,0)*(((E90*2.54)/100)^2)*(I90*0.3048)))))*0.0011023),0)</f>
        <v>#N/A</v>
      </c>
      <c r="AD90" s="104" t="e">
        <f t="shared" si="37"/>
        <v>#N/A</v>
      </c>
      <c r="AE90" s="104" t="e">
        <f t="shared" si="38"/>
        <v>#N/A</v>
      </c>
      <c r="AF90" s="104" t="e">
        <f>IF(AND(VLOOKUP($D90,Merchantability!$B:$C,2,0)="Yes",$E90&gt;=VLOOKUP($D90,Merchantability!$B:$D,3,0),$E90&lt;=VLOOKUP($D90,Merchantability!$B:$E,4,0)),AA90,0)</f>
        <v>#N/A</v>
      </c>
      <c r="AG90" s="104" t="e">
        <f>IF(AND(VLOOKUP($D90,Merchantability!$B:$C,2,0)="Yes",$E90&gt;=VLOOKUP($D90,Merchantability!$B:$D,3,0),$E90&lt;=VLOOKUP($D90,Merchantability!$B:$E,4,0)),AB90,0)</f>
        <v>#N/A</v>
      </c>
      <c r="AH90" s="104" t="e">
        <f>IF(AND(VLOOKUP($D90,Merchantability!$B:$C,2,0)="Yes",$E90&gt;=VLOOKUP($D90,Merchantability!$B:$D,3,0),$E90&lt;=VLOOKUP($D90,Merchantability!$B:$E,4,0)),AC90,0)</f>
        <v>#N/A</v>
      </c>
      <c r="AI90" s="104" t="e">
        <f t="shared" si="39"/>
        <v>#N/A</v>
      </c>
      <c r="AJ90" s="104" t="e">
        <f t="shared" si="40"/>
        <v>#VALUE!</v>
      </c>
      <c r="AK90" s="104" t="e">
        <f t="shared" si="41"/>
        <v>#N/A</v>
      </c>
      <c r="AL90" s="104" t="e">
        <f t="shared" si="42"/>
        <v>#N/A</v>
      </c>
      <c r="AM90" s="104" t="e">
        <f t="shared" si="43"/>
        <v>#N/A</v>
      </c>
      <c r="AN90" s="104" t="e">
        <f t="shared" si="44"/>
        <v>#N/A</v>
      </c>
      <c r="AO90" s="104" t="e">
        <f t="shared" si="45"/>
        <v>#N/A</v>
      </c>
      <c r="AP90" s="104" t="e">
        <f t="shared" si="46"/>
        <v>#N/A</v>
      </c>
      <c r="AQ90" s="104" t="e">
        <f t="shared" si="47"/>
        <v>#N/A</v>
      </c>
      <c r="AR90" s="105" t="str">
        <f t="shared" si="48"/>
        <v/>
      </c>
      <c r="AS90" s="105" t="str">
        <f t="shared" si="49"/>
        <v/>
      </c>
      <c r="AT90" s="108" t="str">
        <f t="shared" si="50"/>
        <v/>
      </c>
      <c r="AU90" s="108" t="str">
        <f t="shared" si="51"/>
        <v/>
      </c>
      <c r="AV90" s="107" t="str">
        <f>IF(ISNUMBER(O90),IF(VLOOKUP($A90,Stand!C:J,8,FALSE)="Short",AT90,AU90),"")</f>
        <v/>
      </c>
      <c r="AW90" s="109" t="str">
        <f t="shared" si="52"/>
        <v/>
      </c>
      <c r="AX90" s="109" t="str">
        <f t="shared" si="53"/>
        <v/>
      </c>
      <c r="AY90" s="112" t="str">
        <f>IF(ISNUMBER(O90),IF(AND(VLOOKUP($D90,Merchantability!$B:$C,2,0)="Yes",$E90&gt;=VLOOKUP($D90,Merchantability!$B:$D,3,0),$E90&lt;=VLOOKUP($D90,Merchantability!$B:$E,4,0)),(AV90*O90)*(1-$H90/100),""),"")</f>
        <v/>
      </c>
      <c r="AZ90" s="115"/>
      <c r="BA90" s="61"/>
      <c r="BB90" s="61"/>
      <c r="BC90" s="61"/>
      <c r="BE90" s="61"/>
      <c r="BF90" s="63"/>
      <c r="BG90" s="61"/>
    </row>
    <row r="91" spans="1:61" ht="12.75" customHeight="1" x14ac:dyDescent="0.25">
      <c r="A91" s="313"/>
      <c r="B91" s="328"/>
      <c r="C91" s="329"/>
      <c r="D91" s="328"/>
      <c r="E91" s="328"/>
      <c r="F91" s="331"/>
      <c r="G91" s="329"/>
      <c r="H91" s="329"/>
      <c r="I91" s="328"/>
      <c r="J91" s="329"/>
      <c r="K91" s="329"/>
      <c r="L91" s="329"/>
      <c r="M91" s="76"/>
      <c r="N91" s="103" t="str">
        <f>IF(A91="","",VLOOKUP(A91,Stand!C:K,9,0))</f>
        <v/>
      </c>
      <c r="O91" s="104" t="str">
        <f t="shared" si="27"/>
        <v/>
      </c>
      <c r="P91" s="105" t="str">
        <f t="shared" si="28"/>
        <v/>
      </c>
      <c r="Q91" s="105" t="str">
        <f t="shared" si="29"/>
        <v/>
      </c>
      <c r="R91" s="103" t="str">
        <f t="shared" si="30"/>
        <v/>
      </c>
      <c r="S91" s="103" t="str">
        <f t="shared" si="31"/>
        <v/>
      </c>
      <c r="T91" s="106" t="str">
        <f t="shared" si="32"/>
        <v/>
      </c>
      <c r="U91" s="106" t="str">
        <f t="shared" si="33"/>
        <v/>
      </c>
      <c r="V91" s="106" t="str">
        <f t="shared" si="34"/>
        <v/>
      </c>
      <c r="W91" s="105" t="str">
        <f t="shared" si="35"/>
        <v/>
      </c>
      <c r="X91" s="104" t="str">
        <f t="shared" si="36"/>
        <v/>
      </c>
      <c r="Y91" s="104" t="str">
        <f t="array" ref="Y91">IFERROR(IF(ISNUMBER(O91),IF(COUNT(IF(A91=$A$2:$A$2427,IF(D91=$D$2:$D$2427,IF($X$2:$X$2427&gt;0,1))))&gt;0,SUM(IF(A91=$A$2:$A$2427,IF(D91=$D$2:$D$2427,$X$2:$X$2427)))/COUNT(IF(A91=$A$2:$A$2427,IF(D91=$D$2:$D$2427,IF(ISNUMBER($X$2:$X$2427),1)))),0),""),0)</f>
        <v/>
      </c>
      <c r="Z91" s="104" t="str">
        <f>IF(ISNUMBER(O91),IF(I91&gt;0,(10^(VLOOKUP(D91,'Species Codes'!B:C,2,0)+VLOOKUP(D91,'Species Codes'!B:D,3,0)*LOG(E91)+VLOOKUP(D91,'Species Codes'!B:E,4,0)*LOG(I91))),0),"")</f>
        <v/>
      </c>
      <c r="AA91" s="104" t="str">
        <f>IFERROR((VLOOKUP(D91,'Species Codes'!B:G,6,0)*Z91)/2000,"")</f>
        <v/>
      </c>
      <c r="AB91" s="104" t="e">
        <f>IF(Z91&gt;0,((IF(OR(D91="DF",D91="RA")=TRUE,EXP(VLOOKUP(D91,'Species Codes'!B:I,8,0)+VLOOKUP(D91,'Species Codes'!B:J,9,0)*(LN((E91*2.54)))),IF(OR(D91="PY",D91="RC",D91="WH",D91="NF")=TRUE,VLOOKUP(D91,'Species Codes'!B:I,8,0)+VLOOKUP(D91,'Species Codes'!B:J,9,0)*((E91*2.54)^2)*(I91*0.3048),IF(OR(D91="MD",D91="BM",D91="GA")=TRUE,((VLOOKUP(D91,'Species Codes'!B:I,8,0)*(((((E91*2.54)+VLOOKUP(D91,'Species Codes'!B:J,9,0))/VLOOKUP(D91,'Species Codes'!B:K,10,0))^VLOOKUP(D91,'Species Codes'!B:L,11,0))*((I91*0.3048)^VLOOKUP(D91,'Species Codes'!B:M,12,0))))-(VLOOKUP(D91,'Species Codes'!B:I,8,0)*((((E91*2.54)^VLOOKUP(D91,'Species Codes'!B:L,11,0))*((I91*0.3048)^VLOOKUP(D91,'Species Codes'!B:M,12,0))))))*35.3*VLOOKUP(D91,'Species Codes'!B:G,6,0)/2.2046,VLOOKUP(D91,'Species Codes'!B:I,8,0)+VLOOKUP(D91,'Species Codes'!B:J,9,0)*(((E91*2.54)/100)^2)*(I91*0.3048)))))*0.0011023),0)</f>
        <v>#N/A</v>
      </c>
      <c r="AC91" s="104" t="e">
        <f>IF(Z91&gt;0,((IF(OR(D91="RA",D91="OA",D91="OT",D91="UN",D91="PC"),EXP(VLOOKUP(D91,'Species Codes'!B:O,14,0)+VLOOKUP(D91,'Species Codes'!B:P,15,0)*LN((E91*2.54)))-EXP(VLOOKUP(D91,'Species Codes'!B:O,14,0)+VLOOKUP(D91,'Species Codes'!B:P,15,0)*LN((E91*2.54)))*(1/(VLOOKUP(D91,'Species Codes'!B:Q,16,0)+VLOOKUP(D91,'Species Codes'!B:R,17,0)*((E91*2.54)^VLOOKUP(D91,'Species Codes'!B:S,18,0)))),IF(OR(D91="BM",D91="MD",D91="OA"),EXP(VLOOKUP(D91,'Species Codes'!B:O,14,0)+VLOOKUP(D91,'Species Codes'!B:P,15,0)*LN((E91*2.54)))*(1-(1/(VLOOKUP(D91,'Species Codes'!B:Q,16,0)+VLOOKUP(D91,'Species Codes'!B:R,17,0)*((E91*2.54)^VLOOKUP(D91,'Species Codes'!B:S,18,0)))))/1000,IF(D91="DF",EXP(VLOOKUP(D91,'Species Codes'!B:O,14,0)+VLOOKUP(D91,'Species Codes'!B:P,15,0)*LN((E91*2.54))),VLOOKUP(D91,'Species Codes'!B:O,14,0)+VLOOKUP(D91,'Species Codes'!B:P,15,0)*(((E91*2.54)/100)^2)*(I91*0.3048)))))*0.0011023),0)</f>
        <v>#N/A</v>
      </c>
      <c r="AD91" s="104" t="e">
        <f t="shared" si="37"/>
        <v>#N/A</v>
      </c>
      <c r="AE91" s="104" t="e">
        <f t="shared" si="38"/>
        <v>#N/A</v>
      </c>
      <c r="AF91" s="104" t="e">
        <f>IF(AND(VLOOKUP($D91,Merchantability!$B:$C,2,0)="Yes",$E91&gt;=VLOOKUP($D91,Merchantability!$B:$D,3,0),$E91&lt;=VLOOKUP($D91,Merchantability!$B:$E,4,0)),AA91,0)</f>
        <v>#N/A</v>
      </c>
      <c r="AG91" s="104" t="e">
        <f>IF(AND(VLOOKUP($D91,Merchantability!$B:$C,2,0)="Yes",$E91&gt;=VLOOKUP($D91,Merchantability!$B:$D,3,0),$E91&lt;=VLOOKUP($D91,Merchantability!$B:$E,4,0)),AB91,0)</f>
        <v>#N/A</v>
      </c>
      <c r="AH91" s="104" t="e">
        <f>IF(AND(VLOOKUP($D91,Merchantability!$B:$C,2,0)="Yes",$E91&gt;=VLOOKUP($D91,Merchantability!$B:$D,3,0),$E91&lt;=VLOOKUP($D91,Merchantability!$B:$E,4,0)),AC91,0)</f>
        <v>#N/A</v>
      </c>
      <c r="AI91" s="104" t="e">
        <f t="shared" si="39"/>
        <v>#N/A</v>
      </c>
      <c r="AJ91" s="104" t="e">
        <f t="shared" si="40"/>
        <v>#VALUE!</v>
      </c>
      <c r="AK91" s="104" t="e">
        <f t="shared" si="41"/>
        <v>#N/A</v>
      </c>
      <c r="AL91" s="104" t="e">
        <f t="shared" si="42"/>
        <v>#N/A</v>
      </c>
      <c r="AM91" s="104" t="e">
        <f t="shared" si="43"/>
        <v>#N/A</v>
      </c>
      <c r="AN91" s="104" t="e">
        <f t="shared" si="44"/>
        <v>#N/A</v>
      </c>
      <c r="AO91" s="104" t="e">
        <f t="shared" si="45"/>
        <v>#N/A</v>
      </c>
      <c r="AP91" s="104" t="e">
        <f t="shared" si="46"/>
        <v>#N/A</v>
      </c>
      <c r="AQ91" s="104" t="e">
        <f t="shared" si="47"/>
        <v>#N/A</v>
      </c>
      <c r="AR91" s="105" t="str">
        <f t="shared" si="48"/>
        <v/>
      </c>
      <c r="AS91" s="105" t="str">
        <f t="shared" si="49"/>
        <v/>
      </c>
      <c r="AT91" s="108" t="str">
        <f t="shared" si="50"/>
        <v/>
      </c>
      <c r="AU91" s="108" t="str">
        <f t="shared" si="51"/>
        <v/>
      </c>
      <c r="AV91" s="107" t="str">
        <f>IF(ISNUMBER(O91),IF(VLOOKUP($A91,Stand!C:J,8,FALSE)="Short",AT91,AU91),"")</f>
        <v/>
      </c>
      <c r="AW91" s="109" t="str">
        <f t="shared" si="52"/>
        <v/>
      </c>
      <c r="AX91" s="109" t="str">
        <f t="shared" si="53"/>
        <v/>
      </c>
      <c r="AY91" s="112" t="str">
        <f>IF(ISNUMBER(O91),IF(AND(VLOOKUP($D91,Merchantability!$B:$C,2,0)="Yes",$E91&gt;=VLOOKUP($D91,Merchantability!$B:$D,3,0),$E91&lt;=VLOOKUP($D91,Merchantability!$B:$E,4,0)),(AV91*O91)*(1-$H91/100),""),"")</f>
        <v/>
      </c>
      <c r="AZ91" s="115"/>
      <c r="BA91" s="61"/>
      <c r="BB91" s="61"/>
      <c r="BC91" s="61"/>
      <c r="BE91" s="61"/>
      <c r="BF91" s="63"/>
      <c r="BI91" s="61"/>
    </row>
    <row r="92" spans="1:61" ht="12.75" customHeight="1" x14ac:dyDescent="0.25">
      <c r="A92" s="313"/>
      <c r="B92" s="328"/>
      <c r="C92" s="329"/>
      <c r="D92" s="328"/>
      <c r="E92" s="328"/>
      <c r="F92" s="331"/>
      <c r="G92" s="329"/>
      <c r="H92" s="329"/>
      <c r="I92" s="328"/>
      <c r="J92" s="329"/>
      <c r="K92" s="329"/>
      <c r="L92" s="329"/>
      <c r="M92" s="76"/>
      <c r="N92" s="103" t="str">
        <f>IF(A92="","",VLOOKUP(A92,Stand!C:K,9,0))</f>
        <v/>
      </c>
      <c r="O92" s="104" t="str">
        <f t="shared" si="27"/>
        <v/>
      </c>
      <c r="P92" s="105" t="str">
        <f t="shared" si="28"/>
        <v/>
      </c>
      <c r="Q92" s="105" t="str">
        <f t="shared" si="29"/>
        <v/>
      </c>
      <c r="R92" s="103" t="str">
        <f t="shared" si="30"/>
        <v/>
      </c>
      <c r="S92" s="103" t="str">
        <f t="shared" si="31"/>
        <v/>
      </c>
      <c r="T92" s="106" t="str">
        <f t="shared" si="32"/>
        <v/>
      </c>
      <c r="U92" s="106" t="str">
        <f t="shared" si="33"/>
        <v/>
      </c>
      <c r="V92" s="106" t="str">
        <f t="shared" si="34"/>
        <v/>
      </c>
      <c r="W92" s="105" t="str">
        <f t="shared" si="35"/>
        <v/>
      </c>
      <c r="X92" s="104" t="str">
        <f t="shared" si="36"/>
        <v/>
      </c>
      <c r="Y92" s="104" t="str">
        <f t="array" ref="Y92">IFERROR(IF(ISNUMBER(O92),IF(COUNT(IF(A92=$A$2:$A$2427,IF(D92=$D$2:$D$2427,IF($X$2:$X$2427&gt;0,1))))&gt;0,SUM(IF(A92=$A$2:$A$2427,IF(D92=$D$2:$D$2427,$X$2:$X$2427)))/COUNT(IF(A92=$A$2:$A$2427,IF(D92=$D$2:$D$2427,IF(ISNUMBER($X$2:$X$2427),1)))),0),""),0)</f>
        <v/>
      </c>
      <c r="Z92" s="104" t="str">
        <f>IF(ISNUMBER(O92),IF(I92&gt;0,(10^(VLOOKUP(D92,'Species Codes'!B:C,2,0)+VLOOKUP(D92,'Species Codes'!B:D,3,0)*LOG(E92)+VLOOKUP(D92,'Species Codes'!B:E,4,0)*LOG(I92))),0),"")</f>
        <v/>
      </c>
      <c r="AA92" s="104" t="str">
        <f>IFERROR((VLOOKUP(D92,'Species Codes'!B:G,6,0)*Z92)/2000,"")</f>
        <v/>
      </c>
      <c r="AB92" s="104" t="e">
        <f>IF(Z92&gt;0,((IF(OR(D92="DF",D92="RA")=TRUE,EXP(VLOOKUP(D92,'Species Codes'!B:I,8,0)+VLOOKUP(D92,'Species Codes'!B:J,9,0)*(LN((E92*2.54)))),IF(OR(D92="PY",D92="RC",D92="WH",D92="NF")=TRUE,VLOOKUP(D92,'Species Codes'!B:I,8,0)+VLOOKUP(D92,'Species Codes'!B:J,9,0)*((E92*2.54)^2)*(I92*0.3048),IF(OR(D92="MD",D92="BM",D92="GA")=TRUE,((VLOOKUP(D92,'Species Codes'!B:I,8,0)*(((((E92*2.54)+VLOOKUP(D92,'Species Codes'!B:J,9,0))/VLOOKUP(D92,'Species Codes'!B:K,10,0))^VLOOKUP(D92,'Species Codes'!B:L,11,0))*((I92*0.3048)^VLOOKUP(D92,'Species Codes'!B:M,12,0))))-(VLOOKUP(D92,'Species Codes'!B:I,8,0)*((((E92*2.54)^VLOOKUP(D92,'Species Codes'!B:L,11,0))*((I92*0.3048)^VLOOKUP(D92,'Species Codes'!B:M,12,0))))))*35.3*VLOOKUP(D92,'Species Codes'!B:G,6,0)/2.2046,VLOOKUP(D92,'Species Codes'!B:I,8,0)+VLOOKUP(D92,'Species Codes'!B:J,9,0)*(((E92*2.54)/100)^2)*(I92*0.3048)))))*0.0011023),0)</f>
        <v>#N/A</v>
      </c>
      <c r="AC92" s="104" t="e">
        <f>IF(Z92&gt;0,((IF(OR(D92="RA",D92="OA",D92="OT",D92="UN",D92="PC"),EXP(VLOOKUP(D92,'Species Codes'!B:O,14,0)+VLOOKUP(D92,'Species Codes'!B:P,15,0)*LN((E92*2.54)))-EXP(VLOOKUP(D92,'Species Codes'!B:O,14,0)+VLOOKUP(D92,'Species Codes'!B:P,15,0)*LN((E92*2.54)))*(1/(VLOOKUP(D92,'Species Codes'!B:Q,16,0)+VLOOKUP(D92,'Species Codes'!B:R,17,0)*((E92*2.54)^VLOOKUP(D92,'Species Codes'!B:S,18,0)))),IF(OR(D92="BM",D92="MD",D92="OA"),EXP(VLOOKUP(D92,'Species Codes'!B:O,14,0)+VLOOKUP(D92,'Species Codes'!B:P,15,0)*LN((E92*2.54)))*(1-(1/(VLOOKUP(D92,'Species Codes'!B:Q,16,0)+VLOOKUP(D92,'Species Codes'!B:R,17,0)*((E92*2.54)^VLOOKUP(D92,'Species Codes'!B:S,18,0)))))/1000,IF(D92="DF",EXP(VLOOKUP(D92,'Species Codes'!B:O,14,0)+VLOOKUP(D92,'Species Codes'!B:P,15,0)*LN((E92*2.54))),VLOOKUP(D92,'Species Codes'!B:O,14,0)+VLOOKUP(D92,'Species Codes'!B:P,15,0)*(((E92*2.54)/100)^2)*(I92*0.3048)))))*0.0011023),0)</f>
        <v>#N/A</v>
      </c>
      <c r="AD92" s="104" t="e">
        <f t="shared" si="37"/>
        <v>#N/A</v>
      </c>
      <c r="AE92" s="104" t="e">
        <f t="shared" si="38"/>
        <v>#N/A</v>
      </c>
      <c r="AF92" s="104" t="e">
        <f>IF(AND(VLOOKUP($D92,Merchantability!$B:$C,2,0)="Yes",$E92&gt;=VLOOKUP($D92,Merchantability!$B:$D,3,0),$E92&lt;=VLOOKUP($D92,Merchantability!$B:$E,4,0)),AA92,0)</f>
        <v>#N/A</v>
      </c>
      <c r="AG92" s="104" t="e">
        <f>IF(AND(VLOOKUP($D92,Merchantability!$B:$C,2,0)="Yes",$E92&gt;=VLOOKUP($D92,Merchantability!$B:$D,3,0),$E92&lt;=VLOOKUP($D92,Merchantability!$B:$E,4,0)),AB92,0)</f>
        <v>#N/A</v>
      </c>
      <c r="AH92" s="104" t="e">
        <f>IF(AND(VLOOKUP($D92,Merchantability!$B:$C,2,0)="Yes",$E92&gt;=VLOOKUP($D92,Merchantability!$B:$D,3,0),$E92&lt;=VLOOKUP($D92,Merchantability!$B:$E,4,0)),AC92,0)</f>
        <v>#N/A</v>
      </c>
      <c r="AI92" s="104" t="e">
        <f t="shared" si="39"/>
        <v>#N/A</v>
      </c>
      <c r="AJ92" s="104" t="e">
        <f t="shared" si="40"/>
        <v>#VALUE!</v>
      </c>
      <c r="AK92" s="104" t="e">
        <f t="shared" si="41"/>
        <v>#N/A</v>
      </c>
      <c r="AL92" s="104" t="e">
        <f t="shared" si="42"/>
        <v>#N/A</v>
      </c>
      <c r="AM92" s="104" t="e">
        <f t="shared" si="43"/>
        <v>#N/A</v>
      </c>
      <c r="AN92" s="104" t="e">
        <f t="shared" si="44"/>
        <v>#N/A</v>
      </c>
      <c r="AO92" s="104" t="e">
        <f t="shared" si="45"/>
        <v>#N/A</v>
      </c>
      <c r="AP92" s="104" t="e">
        <f t="shared" si="46"/>
        <v>#N/A</v>
      </c>
      <c r="AQ92" s="104" t="e">
        <f t="shared" si="47"/>
        <v>#N/A</v>
      </c>
      <c r="AR92" s="105" t="str">
        <f t="shared" si="48"/>
        <v/>
      </c>
      <c r="AS92" s="105" t="str">
        <f t="shared" si="49"/>
        <v/>
      </c>
      <c r="AT92" s="108" t="str">
        <f t="shared" si="50"/>
        <v/>
      </c>
      <c r="AU92" s="108" t="str">
        <f t="shared" si="51"/>
        <v/>
      </c>
      <c r="AV92" s="107" t="str">
        <f>IF(ISNUMBER(O92),IF(VLOOKUP($A92,Stand!C:J,8,FALSE)="Short",AT92,AU92),"")</f>
        <v/>
      </c>
      <c r="AW92" s="109" t="str">
        <f t="shared" si="52"/>
        <v/>
      </c>
      <c r="AX92" s="109" t="str">
        <f t="shared" si="53"/>
        <v/>
      </c>
      <c r="AY92" s="112" t="str">
        <f>IF(ISNUMBER(O92),IF(AND(VLOOKUP($D92,Merchantability!$B:$C,2,0)="Yes",$E92&gt;=VLOOKUP($D92,Merchantability!$B:$D,3,0),$E92&lt;=VLOOKUP($D92,Merchantability!$B:$E,4,0)),(AV92*O92)*(1-$H92/100),""),"")</f>
        <v/>
      </c>
      <c r="AZ92" s="116"/>
      <c r="BA92" s="116"/>
      <c r="BB92" s="116"/>
      <c r="BE92" s="62"/>
      <c r="BF92" s="63"/>
    </row>
    <row r="93" spans="1:61" ht="12.75" customHeight="1" x14ac:dyDescent="0.25">
      <c r="A93" s="313"/>
      <c r="B93" s="328"/>
      <c r="C93" s="329"/>
      <c r="D93" s="328"/>
      <c r="E93" s="330"/>
      <c r="F93" s="331"/>
      <c r="G93" s="329"/>
      <c r="H93" s="329"/>
      <c r="I93" s="328"/>
      <c r="J93" s="329"/>
      <c r="K93" s="329"/>
      <c r="L93" s="329"/>
      <c r="M93" s="76"/>
      <c r="N93" s="103" t="str">
        <f>IF(A93="","",VLOOKUP(A93,Stand!C:K,9,0))</f>
        <v/>
      </c>
      <c r="O93" s="104" t="str">
        <f t="shared" si="27"/>
        <v/>
      </c>
      <c r="P93" s="105" t="str">
        <f t="shared" si="28"/>
        <v/>
      </c>
      <c r="Q93" s="105" t="str">
        <f t="shared" si="29"/>
        <v/>
      </c>
      <c r="R93" s="103" t="str">
        <f t="shared" si="30"/>
        <v/>
      </c>
      <c r="S93" s="103" t="str">
        <f t="shared" si="31"/>
        <v/>
      </c>
      <c r="T93" s="106" t="str">
        <f t="shared" si="32"/>
        <v/>
      </c>
      <c r="U93" s="106" t="str">
        <f t="shared" si="33"/>
        <v/>
      </c>
      <c r="V93" s="106" t="str">
        <f t="shared" si="34"/>
        <v/>
      </c>
      <c r="W93" s="105" t="str">
        <f t="shared" si="35"/>
        <v/>
      </c>
      <c r="X93" s="104" t="str">
        <f t="shared" si="36"/>
        <v/>
      </c>
      <c r="Y93" s="104" t="str">
        <f t="array" ref="Y93">IFERROR(IF(ISNUMBER(O93),IF(COUNT(IF(A93=$A$2:$A$2427,IF(D93=$D$2:$D$2427,IF($X$2:$X$2427&gt;0,1))))&gt;0,SUM(IF(A93=$A$2:$A$2427,IF(D93=$D$2:$D$2427,$X$2:$X$2427)))/COUNT(IF(A93=$A$2:$A$2427,IF(D93=$D$2:$D$2427,IF(ISNUMBER($X$2:$X$2427),1)))),0),""),0)</f>
        <v/>
      </c>
      <c r="Z93" s="104" t="str">
        <f>IF(ISNUMBER(O93),IF(I93&gt;0,(10^(VLOOKUP(D93,'Species Codes'!B:C,2,0)+VLOOKUP(D93,'Species Codes'!B:D,3,0)*LOG(E93)+VLOOKUP(D93,'Species Codes'!B:E,4,0)*LOG(I93))),0),"")</f>
        <v/>
      </c>
      <c r="AA93" s="104" t="str">
        <f>IFERROR((VLOOKUP(D93,'Species Codes'!B:G,6,0)*Z93)/2000,"")</f>
        <v/>
      </c>
      <c r="AB93" s="104" t="e">
        <f>IF(Z93&gt;0,((IF(OR(D93="DF",D93="RA")=TRUE,EXP(VLOOKUP(D93,'Species Codes'!B:I,8,0)+VLOOKUP(D93,'Species Codes'!B:J,9,0)*(LN((E93*2.54)))),IF(OR(D93="PY",D93="RC",D93="WH",D93="NF")=TRUE,VLOOKUP(D93,'Species Codes'!B:I,8,0)+VLOOKUP(D93,'Species Codes'!B:J,9,0)*((E93*2.54)^2)*(I93*0.3048),IF(OR(D93="MD",D93="BM",D93="GA")=TRUE,((VLOOKUP(D93,'Species Codes'!B:I,8,0)*(((((E93*2.54)+VLOOKUP(D93,'Species Codes'!B:J,9,0))/VLOOKUP(D93,'Species Codes'!B:K,10,0))^VLOOKUP(D93,'Species Codes'!B:L,11,0))*((I93*0.3048)^VLOOKUP(D93,'Species Codes'!B:M,12,0))))-(VLOOKUP(D93,'Species Codes'!B:I,8,0)*((((E93*2.54)^VLOOKUP(D93,'Species Codes'!B:L,11,0))*((I93*0.3048)^VLOOKUP(D93,'Species Codes'!B:M,12,0))))))*35.3*VLOOKUP(D93,'Species Codes'!B:G,6,0)/2.2046,VLOOKUP(D93,'Species Codes'!B:I,8,0)+VLOOKUP(D93,'Species Codes'!B:J,9,0)*(((E93*2.54)/100)^2)*(I93*0.3048)))))*0.0011023),0)</f>
        <v>#N/A</v>
      </c>
      <c r="AC93" s="104" t="e">
        <f>IF(Z93&gt;0,((IF(OR(D93="RA",D93="OA",D93="OT",D93="UN",D93="PC"),EXP(VLOOKUP(D93,'Species Codes'!B:O,14,0)+VLOOKUP(D93,'Species Codes'!B:P,15,0)*LN((E93*2.54)))-EXP(VLOOKUP(D93,'Species Codes'!B:O,14,0)+VLOOKUP(D93,'Species Codes'!B:P,15,0)*LN((E93*2.54)))*(1/(VLOOKUP(D93,'Species Codes'!B:Q,16,0)+VLOOKUP(D93,'Species Codes'!B:R,17,0)*((E93*2.54)^VLOOKUP(D93,'Species Codes'!B:S,18,0)))),IF(OR(D93="BM",D93="MD",D93="OA"),EXP(VLOOKUP(D93,'Species Codes'!B:O,14,0)+VLOOKUP(D93,'Species Codes'!B:P,15,0)*LN((E93*2.54)))*(1-(1/(VLOOKUP(D93,'Species Codes'!B:Q,16,0)+VLOOKUP(D93,'Species Codes'!B:R,17,0)*((E93*2.54)^VLOOKUP(D93,'Species Codes'!B:S,18,0)))))/1000,IF(D93="DF",EXP(VLOOKUP(D93,'Species Codes'!B:O,14,0)+VLOOKUP(D93,'Species Codes'!B:P,15,0)*LN((E93*2.54))),VLOOKUP(D93,'Species Codes'!B:O,14,0)+VLOOKUP(D93,'Species Codes'!B:P,15,0)*(((E93*2.54)/100)^2)*(I93*0.3048)))))*0.0011023),0)</f>
        <v>#N/A</v>
      </c>
      <c r="AD93" s="104" t="e">
        <f t="shared" si="37"/>
        <v>#N/A</v>
      </c>
      <c r="AE93" s="104" t="e">
        <f t="shared" si="38"/>
        <v>#N/A</v>
      </c>
      <c r="AF93" s="104" t="e">
        <f>IF(AND(VLOOKUP($D93,Merchantability!$B:$C,2,0)="Yes",$E93&gt;=VLOOKUP($D93,Merchantability!$B:$D,3,0),$E93&lt;=VLOOKUP($D93,Merchantability!$B:$E,4,0)),AA93,0)</f>
        <v>#N/A</v>
      </c>
      <c r="AG93" s="104" t="e">
        <f>IF(AND(VLOOKUP($D93,Merchantability!$B:$C,2,0)="Yes",$E93&gt;=VLOOKUP($D93,Merchantability!$B:$D,3,0),$E93&lt;=VLOOKUP($D93,Merchantability!$B:$E,4,0)),AB93,0)</f>
        <v>#N/A</v>
      </c>
      <c r="AH93" s="104" t="e">
        <f>IF(AND(VLOOKUP($D93,Merchantability!$B:$C,2,0)="Yes",$E93&gt;=VLOOKUP($D93,Merchantability!$B:$D,3,0),$E93&lt;=VLOOKUP($D93,Merchantability!$B:$E,4,0)),AC93,0)</f>
        <v>#N/A</v>
      </c>
      <c r="AI93" s="104" t="e">
        <f t="shared" si="39"/>
        <v>#N/A</v>
      </c>
      <c r="AJ93" s="104" t="e">
        <f t="shared" si="40"/>
        <v>#VALUE!</v>
      </c>
      <c r="AK93" s="104" t="e">
        <f t="shared" si="41"/>
        <v>#N/A</v>
      </c>
      <c r="AL93" s="104" t="e">
        <f t="shared" si="42"/>
        <v>#N/A</v>
      </c>
      <c r="AM93" s="104" t="e">
        <f t="shared" si="43"/>
        <v>#N/A</v>
      </c>
      <c r="AN93" s="104" t="e">
        <f t="shared" si="44"/>
        <v>#N/A</v>
      </c>
      <c r="AO93" s="104" t="e">
        <f t="shared" si="45"/>
        <v>#N/A</v>
      </c>
      <c r="AP93" s="104" t="e">
        <f t="shared" si="46"/>
        <v>#N/A</v>
      </c>
      <c r="AQ93" s="104" t="e">
        <f t="shared" si="47"/>
        <v>#N/A</v>
      </c>
      <c r="AR93" s="105" t="str">
        <f t="shared" si="48"/>
        <v/>
      </c>
      <c r="AS93" s="105" t="str">
        <f t="shared" si="49"/>
        <v/>
      </c>
      <c r="AT93" s="108" t="str">
        <f t="shared" si="50"/>
        <v/>
      </c>
      <c r="AU93" s="108" t="str">
        <f t="shared" si="51"/>
        <v/>
      </c>
      <c r="AV93" s="107" t="str">
        <f>IF(ISNUMBER(O93),IF(VLOOKUP($A93,Stand!C:J,8,FALSE)="Short",AT93,AU93),"")</f>
        <v/>
      </c>
      <c r="AW93" s="109" t="str">
        <f t="shared" si="52"/>
        <v/>
      </c>
      <c r="AX93" s="109" t="str">
        <f t="shared" si="53"/>
        <v/>
      </c>
      <c r="AY93" s="112" t="str">
        <f>IF(ISNUMBER(O93),IF(AND(VLOOKUP($D93,Merchantability!$B:$C,2,0)="Yes",$E93&gt;=VLOOKUP($D93,Merchantability!$B:$D,3,0),$E93&lt;=VLOOKUP($D93,Merchantability!$B:$E,4,0)),(AV93*O93)*(1-$H93/100),""),"")</f>
        <v/>
      </c>
      <c r="AZ93" s="115"/>
      <c r="BA93" s="116"/>
      <c r="BB93" s="116"/>
      <c r="BE93" s="62"/>
      <c r="BF93" s="63"/>
    </row>
    <row r="94" spans="1:61" ht="12.75" customHeight="1" x14ac:dyDescent="0.25">
      <c r="A94" s="313"/>
      <c r="B94" s="328"/>
      <c r="C94" s="329"/>
      <c r="D94" s="328"/>
      <c r="E94" s="330"/>
      <c r="F94" s="331"/>
      <c r="G94" s="329"/>
      <c r="H94" s="329"/>
      <c r="I94" s="328"/>
      <c r="J94" s="329"/>
      <c r="K94" s="329"/>
      <c r="L94" s="329"/>
      <c r="M94" s="76"/>
      <c r="N94" s="103" t="str">
        <f>IF(A94="","",VLOOKUP(A94,Stand!C:K,9,0))</f>
        <v/>
      </c>
      <c r="O94" s="104" t="str">
        <f t="shared" si="27"/>
        <v/>
      </c>
      <c r="P94" s="105" t="str">
        <f t="shared" si="28"/>
        <v/>
      </c>
      <c r="Q94" s="105" t="str">
        <f t="shared" si="29"/>
        <v/>
      </c>
      <c r="R94" s="103" t="str">
        <f t="shared" si="30"/>
        <v/>
      </c>
      <c r="S94" s="103" t="str">
        <f t="shared" si="31"/>
        <v/>
      </c>
      <c r="T94" s="106" t="str">
        <f t="shared" si="32"/>
        <v/>
      </c>
      <c r="U94" s="106" t="str">
        <f t="shared" si="33"/>
        <v/>
      </c>
      <c r="V94" s="106" t="str">
        <f t="shared" si="34"/>
        <v/>
      </c>
      <c r="W94" s="105" t="str">
        <f t="shared" si="35"/>
        <v/>
      </c>
      <c r="X94" s="104" t="str">
        <f t="shared" si="36"/>
        <v/>
      </c>
      <c r="Y94" s="104" t="str">
        <f t="array" ref="Y94">IFERROR(IF(ISNUMBER(O94),IF(COUNT(IF(A94=$A$2:$A$2427,IF(D94=$D$2:$D$2427,IF($X$2:$X$2427&gt;0,1))))&gt;0,SUM(IF(A94=$A$2:$A$2427,IF(D94=$D$2:$D$2427,$X$2:$X$2427)))/COUNT(IF(A94=$A$2:$A$2427,IF(D94=$D$2:$D$2427,IF(ISNUMBER($X$2:$X$2427),1)))),0),""),0)</f>
        <v/>
      </c>
      <c r="Z94" s="104" t="str">
        <f>IF(ISNUMBER(O94),IF(I94&gt;0,(10^(VLOOKUP(D94,'Species Codes'!B:C,2,0)+VLOOKUP(D94,'Species Codes'!B:D,3,0)*LOG(E94)+VLOOKUP(D94,'Species Codes'!B:E,4,0)*LOG(I94))),0),"")</f>
        <v/>
      </c>
      <c r="AA94" s="104" t="str">
        <f>IFERROR((VLOOKUP(D94,'Species Codes'!B:G,6,0)*Z94)/2000,"")</f>
        <v/>
      </c>
      <c r="AB94" s="104" t="e">
        <f>IF(Z94&gt;0,((IF(OR(D94="DF",D94="RA")=TRUE,EXP(VLOOKUP(D94,'Species Codes'!B:I,8,0)+VLOOKUP(D94,'Species Codes'!B:J,9,0)*(LN((E94*2.54)))),IF(OR(D94="PY",D94="RC",D94="WH",D94="NF")=TRUE,VLOOKUP(D94,'Species Codes'!B:I,8,0)+VLOOKUP(D94,'Species Codes'!B:J,9,0)*((E94*2.54)^2)*(I94*0.3048),IF(OR(D94="MD",D94="BM",D94="GA")=TRUE,((VLOOKUP(D94,'Species Codes'!B:I,8,0)*(((((E94*2.54)+VLOOKUP(D94,'Species Codes'!B:J,9,0))/VLOOKUP(D94,'Species Codes'!B:K,10,0))^VLOOKUP(D94,'Species Codes'!B:L,11,0))*((I94*0.3048)^VLOOKUP(D94,'Species Codes'!B:M,12,0))))-(VLOOKUP(D94,'Species Codes'!B:I,8,0)*((((E94*2.54)^VLOOKUP(D94,'Species Codes'!B:L,11,0))*((I94*0.3048)^VLOOKUP(D94,'Species Codes'!B:M,12,0))))))*35.3*VLOOKUP(D94,'Species Codes'!B:G,6,0)/2.2046,VLOOKUP(D94,'Species Codes'!B:I,8,0)+VLOOKUP(D94,'Species Codes'!B:J,9,0)*(((E94*2.54)/100)^2)*(I94*0.3048)))))*0.0011023),0)</f>
        <v>#N/A</v>
      </c>
      <c r="AC94" s="104" t="e">
        <f>IF(Z94&gt;0,((IF(OR(D94="RA",D94="OA",D94="OT",D94="UN",D94="PC"),EXP(VLOOKUP(D94,'Species Codes'!B:O,14,0)+VLOOKUP(D94,'Species Codes'!B:P,15,0)*LN((E94*2.54)))-EXP(VLOOKUP(D94,'Species Codes'!B:O,14,0)+VLOOKUP(D94,'Species Codes'!B:P,15,0)*LN((E94*2.54)))*(1/(VLOOKUP(D94,'Species Codes'!B:Q,16,0)+VLOOKUP(D94,'Species Codes'!B:R,17,0)*((E94*2.54)^VLOOKUP(D94,'Species Codes'!B:S,18,0)))),IF(OR(D94="BM",D94="MD",D94="OA"),EXP(VLOOKUP(D94,'Species Codes'!B:O,14,0)+VLOOKUP(D94,'Species Codes'!B:P,15,0)*LN((E94*2.54)))*(1-(1/(VLOOKUP(D94,'Species Codes'!B:Q,16,0)+VLOOKUP(D94,'Species Codes'!B:R,17,0)*((E94*2.54)^VLOOKUP(D94,'Species Codes'!B:S,18,0)))))/1000,IF(D94="DF",EXP(VLOOKUP(D94,'Species Codes'!B:O,14,0)+VLOOKUP(D94,'Species Codes'!B:P,15,0)*LN((E94*2.54))),VLOOKUP(D94,'Species Codes'!B:O,14,0)+VLOOKUP(D94,'Species Codes'!B:P,15,0)*(((E94*2.54)/100)^2)*(I94*0.3048)))))*0.0011023),0)</f>
        <v>#N/A</v>
      </c>
      <c r="AD94" s="104" t="e">
        <f t="shared" si="37"/>
        <v>#N/A</v>
      </c>
      <c r="AE94" s="104" t="e">
        <f t="shared" si="38"/>
        <v>#N/A</v>
      </c>
      <c r="AF94" s="104" t="e">
        <f>IF(AND(VLOOKUP($D94,Merchantability!$B:$C,2,0)="Yes",$E94&gt;=VLOOKUP($D94,Merchantability!$B:$D,3,0),$E94&lt;=VLOOKUP($D94,Merchantability!$B:$E,4,0)),AA94,0)</f>
        <v>#N/A</v>
      </c>
      <c r="AG94" s="104" t="e">
        <f>IF(AND(VLOOKUP($D94,Merchantability!$B:$C,2,0)="Yes",$E94&gt;=VLOOKUP($D94,Merchantability!$B:$D,3,0),$E94&lt;=VLOOKUP($D94,Merchantability!$B:$E,4,0)),AB94,0)</f>
        <v>#N/A</v>
      </c>
      <c r="AH94" s="104" t="e">
        <f>IF(AND(VLOOKUP($D94,Merchantability!$B:$C,2,0)="Yes",$E94&gt;=VLOOKUP($D94,Merchantability!$B:$D,3,0),$E94&lt;=VLOOKUP($D94,Merchantability!$B:$E,4,0)),AC94,0)</f>
        <v>#N/A</v>
      </c>
      <c r="AI94" s="104" t="e">
        <f t="shared" si="39"/>
        <v>#N/A</v>
      </c>
      <c r="AJ94" s="104" t="e">
        <f t="shared" si="40"/>
        <v>#VALUE!</v>
      </c>
      <c r="AK94" s="104" t="e">
        <f t="shared" si="41"/>
        <v>#N/A</v>
      </c>
      <c r="AL94" s="104" t="e">
        <f t="shared" si="42"/>
        <v>#N/A</v>
      </c>
      <c r="AM94" s="104" t="e">
        <f t="shared" si="43"/>
        <v>#N/A</v>
      </c>
      <c r="AN94" s="104" t="e">
        <f t="shared" si="44"/>
        <v>#N/A</v>
      </c>
      <c r="AO94" s="104" t="e">
        <f t="shared" si="45"/>
        <v>#N/A</v>
      </c>
      <c r="AP94" s="104" t="e">
        <f t="shared" si="46"/>
        <v>#N/A</v>
      </c>
      <c r="AQ94" s="104" t="e">
        <f t="shared" si="47"/>
        <v>#N/A</v>
      </c>
      <c r="AR94" s="105" t="str">
        <f t="shared" si="48"/>
        <v/>
      </c>
      <c r="AS94" s="105" t="str">
        <f t="shared" si="49"/>
        <v/>
      </c>
      <c r="AT94" s="108" t="str">
        <f t="shared" si="50"/>
        <v/>
      </c>
      <c r="AU94" s="108" t="str">
        <f t="shared" si="51"/>
        <v/>
      </c>
      <c r="AV94" s="107" t="str">
        <f>IF(ISNUMBER(O94),IF(VLOOKUP($A94,Stand!C:J,8,FALSE)="Short",AT94,AU94),"")</f>
        <v/>
      </c>
      <c r="AW94" s="109" t="str">
        <f t="shared" si="52"/>
        <v/>
      </c>
      <c r="AX94" s="109" t="str">
        <f t="shared" si="53"/>
        <v/>
      </c>
      <c r="AY94" s="112" t="str">
        <f>IF(ISNUMBER(O94),IF(AND(VLOOKUP($D94,Merchantability!$B:$C,2,0)="Yes",$E94&gt;=VLOOKUP($D94,Merchantability!$B:$D,3,0),$E94&lt;=VLOOKUP($D94,Merchantability!$B:$E,4,0)),(AV94*O94)*(1-$H94/100),""),"")</f>
        <v/>
      </c>
      <c r="AZ94" s="115"/>
      <c r="BA94" s="116"/>
      <c r="BB94" s="116"/>
      <c r="BE94" s="62"/>
      <c r="BF94" s="63"/>
    </row>
    <row r="95" spans="1:61" ht="12.75" customHeight="1" x14ac:dyDescent="0.25">
      <c r="A95" s="313"/>
      <c r="B95" s="328"/>
      <c r="C95" s="329"/>
      <c r="D95" s="328"/>
      <c r="E95" s="330"/>
      <c r="F95" s="331"/>
      <c r="G95" s="329"/>
      <c r="H95" s="329"/>
      <c r="I95" s="328"/>
      <c r="J95" s="329"/>
      <c r="K95" s="329"/>
      <c r="L95" s="329"/>
      <c r="M95" s="76"/>
      <c r="N95" s="103" t="str">
        <f>IF(A95="","",VLOOKUP(A95,Stand!C:K,9,0))</f>
        <v/>
      </c>
      <c r="O95" s="104" t="str">
        <f t="shared" si="27"/>
        <v/>
      </c>
      <c r="P95" s="105" t="str">
        <f t="shared" si="28"/>
        <v/>
      </c>
      <c r="Q95" s="105" t="str">
        <f t="shared" si="29"/>
        <v/>
      </c>
      <c r="R95" s="103" t="str">
        <f t="shared" si="30"/>
        <v/>
      </c>
      <c r="S95" s="103" t="str">
        <f t="shared" si="31"/>
        <v/>
      </c>
      <c r="T95" s="106" t="str">
        <f t="shared" si="32"/>
        <v/>
      </c>
      <c r="U95" s="106" t="str">
        <f t="shared" si="33"/>
        <v/>
      </c>
      <c r="V95" s="106" t="str">
        <f t="shared" si="34"/>
        <v/>
      </c>
      <c r="W95" s="105" t="str">
        <f t="shared" si="35"/>
        <v/>
      </c>
      <c r="X95" s="104" t="str">
        <f t="shared" si="36"/>
        <v/>
      </c>
      <c r="Y95" s="104" t="str">
        <f t="array" ref="Y95">IFERROR(IF(ISNUMBER(O95),IF(COUNT(IF(A95=$A$2:$A$2427,IF(D95=$D$2:$D$2427,IF($X$2:$X$2427&gt;0,1))))&gt;0,SUM(IF(A95=$A$2:$A$2427,IF(D95=$D$2:$D$2427,$X$2:$X$2427)))/COUNT(IF(A95=$A$2:$A$2427,IF(D95=$D$2:$D$2427,IF(ISNUMBER($X$2:$X$2427),1)))),0),""),0)</f>
        <v/>
      </c>
      <c r="Z95" s="104" t="str">
        <f>IF(ISNUMBER(O95),IF(I95&gt;0,(10^(VLOOKUP(D95,'Species Codes'!B:C,2,0)+VLOOKUP(D95,'Species Codes'!B:D,3,0)*LOG(E95)+VLOOKUP(D95,'Species Codes'!B:E,4,0)*LOG(I95))),0),"")</f>
        <v/>
      </c>
      <c r="AA95" s="104" t="str">
        <f>IFERROR((VLOOKUP(D95,'Species Codes'!B:G,6,0)*Z95)/2000,"")</f>
        <v/>
      </c>
      <c r="AB95" s="104" t="e">
        <f>IF(Z95&gt;0,((IF(OR(D95="DF",D95="RA")=TRUE,EXP(VLOOKUP(D95,'Species Codes'!B:I,8,0)+VLOOKUP(D95,'Species Codes'!B:J,9,0)*(LN((E95*2.54)))),IF(OR(D95="PY",D95="RC",D95="WH",D95="NF")=TRUE,VLOOKUP(D95,'Species Codes'!B:I,8,0)+VLOOKUP(D95,'Species Codes'!B:J,9,0)*((E95*2.54)^2)*(I95*0.3048),IF(OR(D95="MD",D95="BM",D95="GA")=TRUE,((VLOOKUP(D95,'Species Codes'!B:I,8,0)*(((((E95*2.54)+VLOOKUP(D95,'Species Codes'!B:J,9,0))/VLOOKUP(D95,'Species Codes'!B:K,10,0))^VLOOKUP(D95,'Species Codes'!B:L,11,0))*((I95*0.3048)^VLOOKUP(D95,'Species Codes'!B:M,12,0))))-(VLOOKUP(D95,'Species Codes'!B:I,8,0)*((((E95*2.54)^VLOOKUP(D95,'Species Codes'!B:L,11,0))*((I95*0.3048)^VLOOKUP(D95,'Species Codes'!B:M,12,0))))))*35.3*VLOOKUP(D95,'Species Codes'!B:G,6,0)/2.2046,VLOOKUP(D95,'Species Codes'!B:I,8,0)+VLOOKUP(D95,'Species Codes'!B:J,9,0)*(((E95*2.54)/100)^2)*(I95*0.3048)))))*0.0011023),0)</f>
        <v>#N/A</v>
      </c>
      <c r="AC95" s="104" t="e">
        <f>IF(Z95&gt;0,((IF(OR(D95="RA",D95="OA",D95="OT",D95="UN",D95="PC"),EXP(VLOOKUP(D95,'Species Codes'!B:O,14,0)+VLOOKUP(D95,'Species Codes'!B:P,15,0)*LN((E95*2.54)))-EXP(VLOOKUP(D95,'Species Codes'!B:O,14,0)+VLOOKUP(D95,'Species Codes'!B:P,15,0)*LN((E95*2.54)))*(1/(VLOOKUP(D95,'Species Codes'!B:Q,16,0)+VLOOKUP(D95,'Species Codes'!B:R,17,0)*((E95*2.54)^VLOOKUP(D95,'Species Codes'!B:S,18,0)))),IF(OR(D95="BM",D95="MD",D95="OA"),EXP(VLOOKUP(D95,'Species Codes'!B:O,14,0)+VLOOKUP(D95,'Species Codes'!B:P,15,0)*LN((E95*2.54)))*(1-(1/(VLOOKUP(D95,'Species Codes'!B:Q,16,0)+VLOOKUP(D95,'Species Codes'!B:R,17,0)*((E95*2.54)^VLOOKUP(D95,'Species Codes'!B:S,18,0)))))/1000,IF(D95="DF",EXP(VLOOKUP(D95,'Species Codes'!B:O,14,0)+VLOOKUP(D95,'Species Codes'!B:P,15,0)*LN((E95*2.54))),VLOOKUP(D95,'Species Codes'!B:O,14,0)+VLOOKUP(D95,'Species Codes'!B:P,15,0)*(((E95*2.54)/100)^2)*(I95*0.3048)))))*0.0011023),0)</f>
        <v>#N/A</v>
      </c>
      <c r="AD95" s="104" t="e">
        <f t="shared" si="37"/>
        <v>#N/A</v>
      </c>
      <c r="AE95" s="104" t="e">
        <f t="shared" si="38"/>
        <v>#N/A</v>
      </c>
      <c r="AF95" s="104" t="e">
        <f>IF(AND(VLOOKUP($D95,Merchantability!$B:$C,2,0)="Yes",$E95&gt;=VLOOKUP($D95,Merchantability!$B:$D,3,0),$E95&lt;=VLOOKUP($D95,Merchantability!$B:$E,4,0)),AA95,0)</f>
        <v>#N/A</v>
      </c>
      <c r="AG95" s="104" t="e">
        <f>IF(AND(VLOOKUP($D95,Merchantability!$B:$C,2,0)="Yes",$E95&gt;=VLOOKUP($D95,Merchantability!$B:$D,3,0),$E95&lt;=VLOOKUP($D95,Merchantability!$B:$E,4,0)),AB95,0)</f>
        <v>#N/A</v>
      </c>
      <c r="AH95" s="104" t="e">
        <f>IF(AND(VLOOKUP($D95,Merchantability!$B:$C,2,0)="Yes",$E95&gt;=VLOOKUP($D95,Merchantability!$B:$D,3,0),$E95&lt;=VLOOKUP($D95,Merchantability!$B:$E,4,0)),AC95,0)</f>
        <v>#N/A</v>
      </c>
      <c r="AI95" s="104" t="e">
        <f t="shared" si="39"/>
        <v>#N/A</v>
      </c>
      <c r="AJ95" s="104" t="e">
        <f t="shared" si="40"/>
        <v>#VALUE!</v>
      </c>
      <c r="AK95" s="104" t="e">
        <f t="shared" si="41"/>
        <v>#N/A</v>
      </c>
      <c r="AL95" s="104" t="e">
        <f t="shared" si="42"/>
        <v>#N/A</v>
      </c>
      <c r="AM95" s="104" t="e">
        <f t="shared" si="43"/>
        <v>#N/A</v>
      </c>
      <c r="AN95" s="104" t="e">
        <f t="shared" si="44"/>
        <v>#N/A</v>
      </c>
      <c r="AO95" s="104" t="e">
        <f t="shared" si="45"/>
        <v>#N/A</v>
      </c>
      <c r="AP95" s="104" t="e">
        <f t="shared" si="46"/>
        <v>#N/A</v>
      </c>
      <c r="AQ95" s="104" t="e">
        <f t="shared" si="47"/>
        <v>#N/A</v>
      </c>
      <c r="AR95" s="105" t="str">
        <f t="shared" si="48"/>
        <v/>
      </c>
      <c r="AS95" s="105" t="str">
        <f t="shared" si="49"/>
        <v/>
      </c>
      <c r="AT95" s="108" t="str">
        <f t="shared" si="50"/>
        <v/>
      </c>
      <c r="AU95" s="108" t="str">
        <f t="shared" si="51"/>
        <v/>
      </c>
      <c r="AV95" s="107" t="str">
        <f>IF(ISNUMBER(O95),IF(VLOOKUP($A95,Stand!C:J,8,FALSE)="Short",AT95,AU95),"")</f>
        <v/>
      </c>
      <c r="AW95" s="109" t="str">
        <f t="shared" si="52"/>
        <v/>
      </c>
      <c r="AX95" s="109" t="str">
        <f t="shared" si="53"/>
        <v/>
      </c>
      <c r="AY95" s="112" t="str">
        <f>IF(ISNUMBER(O95),IF(AND(VLOOKUP($D95,Merchantability!$B:$C,2,0)="Yes",$E95&gt;=VLOOKUP($D95,Merchantability!$B:$D,3,0),$E95&lt;=VLOOKUP($D95,Merchantability!$B:$E,4,0)),(AV95*O95)*(1-$H95/100),""),"")</f>
        <v/>
      </c>
      <c r="AZ95" s="115"/>
      <c r="BA95" s="116"/>
      <c r="BB95" s="116"/>
      <c r="BE95" s="62"/>
      <c r="BF95" s="63"/>
    </row>
    <row r="96" spans="1:61" ht="12.75" customHeight="1" x14ac:dyDescent="0.25">
      <c r="A96" s="313"/>
      <c r="B96" s="328"/>
      <c r="C96" s="329"/>
      <c r="D96" s="328"/>
      <c r="E96" s="330"/>
      <c r="F96" s="331"/>
      <c r="G96" s="329"/>
      <c r="H96" s="329"/>
      <c r="I96" s="328"/>
      <c r="J96" s="329"/>
      <c r="K96" s="329"/>
      <c r="L96" s="329"/>
      <c r="M96" s="76"/>
      <c r="N96" s="103" t="str">
        <f>IF(A96="","",VLOOKUP(A96,Stand!C:K,9,0))</f>
        <v/>
      </c>
      <c r="O96" s="104" t="str">
        <f t="shared" si="27"/>
        <v/>
      </c>
      <c r="P96" s="105" t="str">
        <f t="shared" si="28"/>
        <v/>
      </c>
      <c r="Q96" s="105" t="str">
        <f t="shared" si="29"/>
        <v/>
      </c>
      <c r="R96" s="103" t="str">
        <f t="shared" si="30"/>
        <v/>
      </c>
      <c r="S96" s="103" t="str">
        <f t="shared" si="31"/>
        <v/>
      </c>
      <c r="T96" s="106" t="str">
        <f t="shared" si="32"/>
        <v/>
      </c>
      <c r="U96" s="106" t="str">
        <f t="shared" si="33"/>
        <v/>
      </c>
      <c r="V96" s="106" t="str">
        <f t="shared" si="34"/>
        <v/>
      </c>
      <c r="W96" s="105" t="str">
        <f t="shared" si="35"/>
        <v/>
      </c>
      <c r="X96" s="104" t="str">
        <f t="shared" si="36"/>
        <v/>
      </c>
      <c r="Y96" s="104" t="str">
        <f t="array" ref="Y96">IFERROR(IF(ISNUMBER(O96),IF(COUNT(IF(A96=$A$2:$A$2427,IF(D96=$D$2:$D$2427,IF($X$2:$X$2427&gt;0,1))))&gt;0,SUM(IF(A96=$A$2:$A$2427,IF(D96=$D$2:$D$2427,$X$2:$X$2427)))/COUNT(IF(A96=$A$2:$A$2427,IF(D96=$D$2:$D$2427,IF(ISNUMBER($X$2:$X$2427),1)))),0),""),0)</f>
        <v/>
      </c>
      <c r="Z96" s="104" t="str">
        <f>IF(ISNUMBER(O96),IF(I96&gt;0,(10^(VLOOKUP(D96,'Species Codes'!B:C,2,0)+VLOOKUP(D96,'Species Codes'!B:D,3,0)*LOG(E96)+VLOOKUP(D96,'Species Codes'!B:E,4,0)*LOG(I96))),0),"")</f>
        <v/>
      </c>
      <c r="AA96" s="104" t="str">
        <f>IFERROR((VLOOKUP(D96,'Species Codes'!B:G,6,0)*Z96)/2000,"")</f>
        <v/>
      </c>
      <c r="AB96" s="104" t="e">
        <f>IF(Z96&gt;0,((IF(OR(D96="DF",D96="RA")=TRUE,EXP(VLOOKUP(D96,'Species Codes'!B:I,8,0)+VLOOKUP(D96,'Species Codes'!B:J,9,0)*(LN((E96*2.54)))),IF(OR(D96="PY",D96="RC",D96="WH",D96="NF")=TRUE,VLOOKUP(D96,'Species Codes'!B:I,8,0)+VLOOKUP(D96,'Species Codes'!B:J,9,0)*((E96*2.54)^2)*(I96*0.3048),IF(OR(D96="MD",D96="BM",D96="GA")=TRUE,((VLOOKUP(D96,'Species Codes'!B:I,8,0)*(((((E96*2.54)+VLOOKUP(D96,'Species Codes'!B:J,9,0))/VLOOKUP(D96,'Species Codes'!B:K,10,0))^VLOOKUP(D96,'Species Codes'!B:L,11,0))*((I96*0.3048)^VLOOKUP(D96,'Species Codes'!B:M,12,0))))-(VLOOKUP(D96,'Species Codes'!B:I,8,0)*((((E96*2.54)^VLOOKUP(D96,'Species Codes'!B:L,11,0))*((I96*0.3048)^VLOOKUP(D96,'Species Codes'!B:M,12,0))))))*35.3*VLOOKUP(D96,'Species Codes'!B:G,6,0)/2.2046,VLOOKUP(D96,'Species Codes'!B:I,8,0)+VLOOKUP(D96,'Species Codes'!B:J,9,0)*(((E96*2.54)/100)^2)*(I96*0.3048)))))*0.0011023),0)</f>
        <v>#N/A</v>
      </c>
      <c r="AC96" s="104" t="e">
        <f>IF(Z96&gt;0,((IF(OR(D96="RA",D96="OA",D96="OT",D96="UN",D96="PC"),EXP(VLOOKUP(D96,'Species Codes'!B:O,14,0)+VLOOKUP(D96,'Species Codes'!B:P,15,0)*LN((E96*2.54)))-EXP(VLOOKUP(D96,'Species Codes'!B:O,14,0)+VLOOKUP(D96,'Species Codes'!B:P,15,0)*LN((E96*2.54)))*(1/(VLOOKUP(D96,'Species Codes'!B:Q,16,0)+VLOOKUP(D96,'Species Codes'!B:R,17,0)*((E96*2.54)^VLOOKUP(D96,'Species Codes'!B:S,18,0)))),IF(OR(D96="BM",D96="MD",D96="OA"),EXP(VLOOKUP(D96,'Species Codes'!B:O,14,0)+VLOOKUP(D96,'Species Codes'!B:P,15,0)*LN((E96*2.54)))*(1-(1/(VLOOKUP(D96,'Species Codes'!B:Q,16,0)+VLOOKUP(D96,'Species Codes'!B:R,17,0)*((E96*2.54)^VLOOKUP(D96,'Species Codes'!B:S,18,0)))))/1000,IF(D96="DF",EXP(VLOOKUP(D96,'Species Codes'!B:O,14,0)+VLOOKUP(D96,'Species Codes'!B:P,15,0)*LN((E96*2.54))),VLOOKUP(D96,'Species Codes'!B:O,14,0)+VLOOKUP(D96,'Species Codes'!B:P,15,0)*(((E96*2.54)/100)^2)*(I96*0.3048)))))*0.0011023),0)</f>
        <v>#N/A</v>
      </c>
      <c r="AD96" s="104" t="e">
        <f t="shared" si="37"/>
        <v>#N/A</v>
      </c>
      <c r="AE96" s="104" t="e">
        <f t="shared" si="38"/>
        <v>#N/A</v>
      </c>
      <c r="AF96" s="104" t="e">
        <f>IF(AND(VLOOKUP($D96,Merchantability!$B:$C,2,0)="Yes",$E96&gt;=VLOOKUP($D96,Merchantability!$B:$D,3,0),$E96&lt;=VLOOKUP($D96,Merchantability!$B:$E,4,0)),AA96,0)</f>
        <v>#N/A</v>
      </c>
      <c r="AG96" s="104" t="e">
        <f>IF(AND(VLOOKUP($D96,Merchantability!$B:$C,2,0)="Yes",$E96&gt;=VLOOKUP($D96,Merchantability!$B:$D,3,0),$E96&lt;=VLOOKUP($D96,Merchantability!$B:$E,4,0)),AB96,0)</f>
        <v>#N/A</v>
      </c>
      <c r="AH96" s="104" t="e">
        <f>IF(AND(VLOOKUP($D96,Merchantability!$B:$C,2,0)="Yes",$E96&gt;=VLOOKUP($D96,Merchantability!$B:$D,3,0),$E96&lt;=VLOOKUP($D96,Merchantability!$B:$E,4,0)),AC96,0)</f>
        <v>#N/A</v>
      </c>
      <c r="AI96" s="104" t="e">
        <f t="shared" si="39"/>
        <v>#N/A</v>
      </c>
      <c r="AJ96" s="104" t="e">
        <f t="shared" si="40"/>
        <v>#VALUE!</v>
      </c>
      <c r="AK96" s="104" t="e">
        <f t="shared" si="41"/>
        <v>#N/A</v>
      </c>
      <c r="AL96" s="104" t="e">
        <f t="shared" si="42"/>
        <v>#N/A</v>
      </c>
      <c r="AM96" s="104" t="e">
        <f t="shared" si="43"/>
        <v>#N/A</v>
      </c>
      <c r="AN96" s="104" t="e">
        <f t="shared" si="44"/>
        <v>#N/A</v>
      </c>
      <c r="AO96" s="104" t="e">
        <f t="shared" si="45"/>
        <v>#N/A</v>
      </c>
      <c r="AP96" s="104" t="e">
        <f t="shared" si="46"/>
        <v>#N/A</v>
      </c>
      <c r="AQ96" s="104" t="e">
        <f t="shared" si="47"/>
        <v>#N/A</v>
      </c>
      <c r="AR96" s="105" t="str">
        <f t="shared" si="48"/>
        <v/>
      </c>
      <c r="AS96" s="105" t="str">
        <f t="shared" si="49"/>
        <v/>
      </c>
      <c r="AT96" s="108" t="str">
        <f t="shared" si="50"/>
        <v/>
      </c>
      <c r="AU96" s="108" t="str">
        <f t="shared" si="51"/>
        <v/>
      </c>
      <c r="AV96" s="107" t="str">
        <f>IF(ISNUMBER(O96),IF(VLOOKUP($A96,Stand!C:J,8,FALSE)="Short",AT96,AU96),"")</f>
        <v/>
      </c>
      <c r="AW96" s="109" t="str">
        <f t="shared" si="52"/>
        <v/>
      </c>
      <c r="AX96" s="109" t="str">
        <f t="shared" si="53"/>
        <v/>
      </c>
      <c r="AY96" s="112" t="str">
        <f>IF(ISNUMBER(O96),IF(AND(VLOOKUP($D96,Merchantability!$B:$C,2,0)="Yes",$E96&gt;=VLOOKUP($D96,Merchantability!$B:$D,3,0),$E96&lt;=VLOOKUP($D96,Merchantability!$B:$E,4,0)),(AV96*O96)*(1-$H96/100),""),"")</f>
        <v/>
      </c>
      <c r="AZ96" s="115"/>
      <c r="BA96" s="116"/>
      <c r="BB96" s="116"/>
      <c r="BE96" s="62"/>
      <c r="BF96" s="63"/>
    </row>
    <row r="97" spans="1:58" ht="12.75" customHeight="1" x14ac:dyDescent="0.25">
      <c r="A97" s="313"/>
      <c r="B97" s="328"/>
      <c r="C97" s="329"/>
      <c r="D97" s="328"/>
      <c r="E97" s="330"/>
      <c r="F97" s="331"/>
      <c r="G97" s="329"/>
      <c r="H97" s="329"/>
      <c r="I97" s="328"/>
      <c r="J97" s="329"/>
      <c r="K97" s="329"/>
      <c r="L97" s="329"/>
      <c r="M97" s="76"/>
      <c r="N97" s="103" t="str">
        <f>IF(A97="","",VLOOKUP(A97,Stand!C:K,9,0))</f>
        <v/>
      </c>
      <c r="O97" s="104" t="str">
        <f t="shared" si="27"/>
        <v/>
      </c>
      <c r="P97" s="105" t="str">
        <f t="shared" si="28"/>
        <v/>
      </c>
      <c r="Q97" s="105" t="str">
        <f t="shared" si="29"/>
        <v/>
      </c>
      <c r="R97" s="103" t="str">
        <f t="shared" si="30"/>
        <v/>
      </c>
      <c r="S97" s="103" t="str">
        <f t="shared" si="31"/>
        <v/>
      </c>
      <c r="T97" s="106" t="str">
        <f t="shared" si="32"/>
        <v/>
      </c>
      <c r="U97" s="106" t="str">
        <f t="shared" si="33"/>
        <v/>
      </c>
      <c r="V97" s="106" t="str">
        <f t="shared" si="34"/>
        <v/>
      </c>
      <c r="W97" s="105" t="str">
        <f t="shared" si="35"/>
        <v/>
      </c>
      <c r="X97" s="104" t="str">
        <f t="shared" si="36"/>
        <v/>
      </c>
      <c r="Y97" s="104" t="str">
        <f t="array" ref="Y97">IFERROR(IF(ISNUMBER(O97),IF(COUNT(IF(A97=$A$2:$A$2427,IF(D97=$D$2:$D$2427,IF($X$2:$X$2427&gt;0,1))))&gt;0,SUM(IF(A97=$A$2:$A$2427,IF(D97=$D$2:$D$2427,$X$2:$X$2427)))/COUNT(IF(A97=$A$2:$A$2427,IF(D97=$D$2:$D$2427,IF(ISNUMBER($X$2:$X$2427),1)))),0),""),0)</f>
        <v/>
      </c>
      <c r="Z97" s="104" t="str">
        <f>IF(ISNUMBER(O97),IF(I97&gt;0,(10^(VLOOKUP(D97,'Species Codes'!B:C,2,0)+VLOOKUP(D97,'Species Codes'!B:D,3,0)*LOG(E97)+VLOOKUP(D97,'Species Codes'!B:E,4,0)*LOG(I97))),0),"")</f>
        <v/>
      </c>
      <c r="AA97" s="104" t="str">
        <f>IFERROR((VLOOKUP(D97,'Species Codes'!B:G,6,0)*Z97)/2000,"")</f>
        <v/>
      </c>
      <c r="AB97" s="104" t="e">
        <f>IF(Z97&gt;0,((IF(OR(D97="DF",D97="RA")=TRUE,EXP(VLOOKUP(D97,'Species Codes'!B:I,8,0)+VLOOKUP(D97,'Species Codes'!B:J,9,0)*(LN((E97*2.54)))),IF(OR(D97="PY",D97="RC",D97="WH",D97="NF")=TRUE,VLOOKUP(D97,'Species Codes'!B:I,8,0)+VLOOKUP(D97,'Species Codes'!B:J,9,0)*((E97*2.54)^2)*(I97*0.3048),IF(OR(D97="MD",D97="BM",D97="GA")=TRUE,((VLOOKUP(D97,'Species Codes'!B:I,8,0)*(((((E97*2.54)+VLOOKUP(D97,'Species Codes'!B:J,9,0))/VLOOKUP(D97,'Species Codes'!B:K,10,0))^VLOOKUP(D97,'Species Codes'!B:L,11,0))*((I97*0.3048)^VLOOKUP(D97,'Species Codes'!B:M,12,0))))-(VLOOKUP(D97,'Species Codes'!B:I,8,0)*((((E97*2.54)^VLOOKUP(D97,'Species Codes'!B:L,11,0))*((I97*0.3048)^VLOOKUP(D97,'Species Codes'!B:M,12,0))))))*35.3*VLOOKUP(D97,'Species Codes'!B:G,6,0)/2.2046,VLOOKUP(D97,'Species Codes'!B:I,8,0)+VLOOKUP(D97,'Species Codes'!B:J,9,0)*(((E97*2.54)/100)^2)*(I97*0.3048)))))*0.0011023),0)</f>
        <v>#N/A</v>
      </c>
      <c r="AC97" s="104" t="e">
        <f>IF(Z97&gt;0,((IF(OR(D97="RA",D97="OA",D97="OT",D97="UN",D97="PC"),EXP(VLOOKUP(D97,'Species Codes'!B:O,14,0)+VLOOKUP(D97,'Species Codes'!B:P,15,0)*LN((E97*2.54)))-EXP(VLOOKUP(D97,'Species Codes'!B:O,14,0)+VLOOKUP(D97,'Species Codes'!B:P,15,0)*LN((E97*2.54)))*(1/(VLOOKUP(D97,'Species Codes'!B:Q,16,0)+VLOOKUP(D97,'Species Codes'!B:R,17,0)*((E97*2.54)^VLOOKUP(D97,'Species Codes'!B:S,18,0)))),IF(OR(D97="BM",D97="MD",D97="OA"),EXP(VLOOKUP(D97,'Species Codes'!B:O,14,0)+VLOOKUP(D97,'Species Codes'!B:P,15,0)*LN((E97*2.54)))*(1-(1/(VLOOKUP(D97,'Species Codes'!B:Q,16,0)+VLOOKUP(D97,'Species Codes'!B:R,17,0)*((E97*2.54)^VLOOKUP(D97,'Species Codes'!B:S,18,0)))))/1000,IF(D97="DF",EXP(VLOOKUP(D97,'Species Codes'!B:O,14,0)+VLOOKUP(D97,'Species Codes'!B:P,15,0)*LN((E97*2.54))),VLOOKUP(D97,'Species Codes'!B:O,14,0)+VLOOKUP(D97,'Species Codes'!B:P,15,0)*(((E97*2.54)/100)^2)*(I97*0.3048)))))*0.0011023),0)</f>
        <v>#N/A</v>
      </c>
      <c r="AD97" s="104" t="e">
        <f t="shared" si="37"/>
        <v>#N/A</v>
      </c>
      <c r="AE97" s="104" t="e">
        <f t="shared" si="38"/>
        <v>#N/A</v>
      </c>
      <c r="AF97" s="104" t="e">
        <f>IF(AND(VLOOKUP($D97,Merchantability!$B:$C,2,0)="Yes",$E97&gt;=VLOOKUP($D97,Merchantability!$B:$D,3,0),$E97&lt;=VLOOKUP($D97,Merchantability!$B:$E,4,0)),AA97,0)</f>
        <v>#N/A</v>
      </c>
      <c r="AG97" s="104" t="e">
        <f>IF(AND(VLOOKUP($D97,Merchantability!$B:$C,2,0)="Yes",$E97&gt;=VLOOKUP($D97,Merchantability!$B:$D,3,0),$E97&lt;=VLOOKUP($D97,Merchantability!$B:$E,4,0)),AB97,0)</f>
        <v>#N/A</v>
      </c>
      <c r="AH97" s="104" t="e">
        <f>IF(AND(VLOOKUP($D97,Merchantability!$B:$C,2,0)="Yes",$E97&gt;=VLOOKUP($D97,Merchantability!$B:$D,3,0),$E97&lt;=VLOOKUP($D97,Merchantability!$B:$E,4,0)),AC97,0)</f>
        <v>#N/A</v>
      </c>
      <c r="AI97" s="104" t="e">
        <f t="shared" si="39"/>
        <v>#N/A</v>
      </c>
      <c r="AJ97" s="104" t="e">
        <f t="shared" si="40"/>
        <v>#VALUE!</v>
      </c>
      <c r="AK97" s="104" t="e">
        <f t="shared" si="41"/>
        <v>#N/A</v>
      </c>
      <c r="AL97" s="104" t="e">
        <f t="shared" si="42"/>
        <v>#N/A</v>
      </c>
      <c r="AM97" s="104" t="e">
        <f t="shared" si="43"/>
        <v>#N/A</v>
      </c>
      <c r="AN97" s="104" t="e">
        <f t="shared" si="44"/>
        <v>#N/A</v>
      </c>
      <c r="AO97" s="104" t="e">
        <f t="shared" si="45"/>
        <v>#N/A</v>
      </c>
      <c r="AP97" s="104" t="e">
        <f t="shared" si="46"/>
        <v>#N/A</v>
      </c>
      <c r="AQ97" s="104" t="e">
        <f t="shared" si="47"/>
        <v>#N/A</v>
      </c>
      <c r="AR97" s="105" t="str">
        <f t="shared" si="48"/>
        <v/>
      </c>
      <c r="AS97" s="105" t="str">
        <f t="shared" si="49"/>
        <v/>
      </c>
      <c r="AT97" s="108" t="str">
        <f t="shared" si="50"/>
        <v/>
      </c>
      <c r="AU97" s="108" t="str">
        <f t="shared" si="51"/>
        <v/>
      </c>
      <c r="AV97" s="107" t="str">
        <f>IF(ISNUMBER(O97),IF(VLOOKUP($A97,Stand!C:J,8,FALSE)="Short",AT97,AU97),"")</f>
        <v/>
      </c>
      <c r="AW97" s="109" t="str">
        <f t="shared" si="52"/>
        <v/>
      </c>
      <c r="AX97" s="109" t="str">
        <f t="shared" si="53"/>
        <v/>
      </c>
      <c r="AY97" s="112" t="str">
        <f>IF(ISNUMBER(O97),IF(AND(VLOOKUP($D97,Merchantability!$B:$C,2,0)="Yes",$E97&gt;=VLOOKUP($D97,Merchantability!$B:$D,3,0),$E97&lt;=VLOOKUP($D97,Merchantability!$B:$E,4,0)),(AV97*O97)*(1-$H97/100),""),"")</f>
        <v/>
      </c>
      <c r="AZ97" s="115"/>
      <c r="BA97" s="116"/>
      <c r="BB97" s="116"/>
      <c r="BE97" s="62"/>
      <c r="BF97" s="63"/>
    </row>
    <row r="98" spans="1:58" ht="12.75" customHeight="1" x14ac:dyDescent="0.25">
      <c r="A98" s="313"/>
      <c r="B98" s="328"/>
      <c r="C98" s="329"/>
      <c r="D98" s="328"/>
      <c r="E98" s="330"/>
      <c r="F98" s="331"/>
      <c r="G98" s="329"/>
      <c r="H98" s="329"/>
      <c r="I98" s="328"/>
      <c r="J98" s="329"/>
      <c r="K98" s="329"/>
      <c r="L98" s="329"/>
      <c r="M98" s="76"/>
      <c r="N98" s="103" t="str">
        <f>IF(A98="","",VLOOKUP(A98,Stand!C:K,9,0))</f>
        <v/>
      </c>
      <c r="O98" s="104" t="str">
        <f t="shared" si="27"/>
        <v/>
      </c>
      <c r="P98" s="105" t="str">
        <f t="shared" si="28"/>
        <v/>
      </c>
      <c r="Q98" s="105" t="str">
        <f t="shared" si="29"/>
        <v/>
      </c>
      <c r="R98" s="103" t="str">
        <f t="shared" si="30"/>
        <v/>
      </c>
      <c r="S98" s="103" t="str">
        <f t="shared" si="31"/>
        <v/>
      </c>
      <c r="T98" s="106" t="str">
        <f t="shared" si="32"/>
        <v/>
      </c>
      <c r="U98" s="106" t="str">
        <f t="shared" si="33"/>
        <v/>
      </c>
      <c r="V98" s="106" t="str">
        <f t="shared" si="34"/>
        <v/>
      </c>
      <c r="W98" s="105" t="str">
        <f t="shared" si="35"/>
        <v/>
      </c>
      <c r="X98" s="104" t="str">
        <f t="shared" si="36"/>
        <v/>
      </c>
      <c r="Y98" s="104" t="str">
        <f t="array" ref="Y98">IFERROR(IF(ISNUMBER(O98),IF(COUNT(IF(A98=$A$2:$A$2427,IF(D98=$D$2:$D$2427,IF($X$2:$X$2427&gt;0,1))))&gt;0,SUM(IF(A98=$A$2:$A$2427,IF(D98=$D$2:$D$2427,$X$2:$X$2427)))/COUNT(IF(A98=$A$2:$A$2427,IF(D98=$D$2:$D$2427,IF(ISNUMBER($X$2:$X$2427),1)))),0),""),0)</f>
        <v/>
      </c>
      <c r="Z98" s="104" t="str">
        <f>IF(ISNUMBER(O98),IF(I98&gt;0,(10^(VLOOKUP(D98,'Species Codes'!B:C,2,0)+VLOOKUP(D98,'Species Codes'!B:D,3,0)*LOG(E98)+VLOOKUP(D98,'Species Codes'!B:E,4,0)*LOG(I98))),0),"")</f>
        <v/>
      </c>
      <c r="AA98" s="104" t="str">
        <f>IFERROR((VLOOKUP(D98,'Species Codes'!B:G,6,0)*Z98)/2000,"")</f>
        <v/>
      </c>
      <c r="AB98" s="104" t="e">
        <f>IF(Z98&gt;0,((IF(OR(D98="DF",D98="RA")=TRUE,EXP(VLOOKUP(D98,'Species Codes'!B:I,8,0)+VLOOKUP(D98,'Species Codes'!B:J,9,0)*(LN((E98*2.54)))),IF(OR(D98="PY",D98="RC",D98="WH",D98="NF")=TRUE,VLOOKUP(D98,'Species Codes'!B:I,8,0)+VLOOKUP(D98,'Species Codes'!B:J,9,0)*((E98*2.54)^2)*(I98*0.3048),IF(OR(D98="MD",D98="BM",D98="GA")=TRUE,((VLOOKUP(D98,'Species Codes'!B:I,8,0)*(((((E98*2.54)+VLOOKUP(D98,'Species Codes'!B:J,9,0))/VLOOKUP(D98,'Species Codes'!B:K,10,0))^VLOOKUP(D98,'Species Codes'!B:L,11,0))*((I98*0.3048)^VLOOKUP(D98,'Species Codes'!B:M,12,0))))-(VLOOKUP(D98,'Species Codes'!B:I,8,0)*((((E98*2.54)^VLOOKUP(D98,'Species Codes'!B:L,11,0))*((I98*0.3048)^VLOOKUP(D98,'Species Codes'!B:M,12,0))))))*35.3*VLOOKUP(D98,'Species Codes'!B:G,6,0)/2.2046,VLOOKUP(D98,'Species Codes'!B:I,8,0)+VLOOKUP(D98,'Species Codes'!B:J,9,0)*(((E98*2.54)/100)^2)*(I98*0.3048)))))*0.0011023),0)</f>
        <v>#N/A</v>
      </c>
      <c r="AC98" s="104" t="e">
        <f>IF(Z98&gt;0,((IF(OR(D98="RA",D98="OA",D98="OT",D98="UN",D98="PC"),EXP(VLOOKUP(D98,'Species Codes'!B:O,14,0)+VLOOKUP(D98,'Species Codes'!B:P,15,0)*LN((E98*2.54)))-EXP(VLOOKUP(D98,'Species Codes'!B:O,14,0)+VLOOKUP(D98,'Species Codes'!B:P,15,0)*LN((E98*2.54)))*(1/(VLOOKUP(D98,'Species Codes'!B:Q,16,0)+VLOOKUP(D98,'Species Codes'!B:R,17,0)*((E98*2.54)^VLOOKUP(D98,'Species Codes'!B:S,18,0)))),IF(OR(D98="BM",D98="MD",D98="OA"),EXP(VLOOKUP(D98,'Species Codes'!B:O,14,0)+VLOOKUP(D98,'Species Codes'!B:P,15,0)*LN((E98*2.54)))*(1-(1/(VLOOKUP(D98,'Species Codes'!B:Q,16,0)+VLOOKUP(D98,'Species Codes'!B:R,17,0)*((E98*2.54)^VLOOKUP(D98,'Species Codes'!B:S,18,0)))))/1000,IF(D98="DF",EXP(VLOOKUP(D98,'Species Codes'!B:O,14,0)+VLOOKUP(D98,'Species Codes'!B:P,15,0)*LN((E98*2.54))),VLOOKUP(D98,'Species Codes'!B:O,14,0)+VLOOKUP(D98,'Species Codes'!B:P,15,0)*(((E98*2.54)/100)^2)*(I98*0.3048)))))*0.0011023),0)</f>
        <v>#N/A</v>
      </c>
      <c r="AD98" s="104" t="e">
        <f t="shared" si="37"/>
        <v>#N/A</v>
      </c>
      <c r="AE98" s="104" t="e">
        <f t="shared" si="38"/>
        <v>#N/A</v>
      </c>
      <c r="AF98" s="104" t="e">
        <f>IF(AND(VLOOKUP($D98,Merchantability!$B:$C,2,0)="Yes",$E98&gt;=VLOOKUP($D98,Merchantability!$B:$D,3,0),$E98&lt;=VLOOKUP($D98,Merchantability!$B:$E,4,0)),AA98,0)</f>
        <v>#N/A</v>
      </c>
      <c r="AG98" s="104" t="e">
        <f>IF(AND(VLOOKUP($D98,Merchantability!$B:$C,2,0)="Yes",$E98&gt;=VLOOKUP($D98,Merchantability!$B:$D,3,0),$E98&lt;=VLOOKUP($D98,Merchantability!$B:$E,4,0)),AB98,0)</f>
        <v>#N/A</v>
      </c>
      <c r="AH98" s="104" t="e">
        <f>IF(AND(VLOOKUP($D98,Merchantability!$B:$C,2,0)="Yes",$E98&gt;=VLOOKUP($D98,Merchantability!$B:$D,3,0),$E98&lt;=VLOOKUP($D98,Merchantability!$B:$E,4,0)),AC98,0)</f>
        <v>#N/A</v>
      </c>
      <c r="AI98" s="104" t="e">
        <f t="shared" si="39"/>
        <v>#N/A</v>
      </c>
      <c r="AJ98" s="104" t="e">
        <f t="shared" si="40"/>
        <v>#VALUE!</v>
      </c>
      <c r="AK98" s="104" t="e">
        <f t="shared" si="41"/>
        <v>#N/A</v>
      </c>
      <c r="AL98" s="104" t="e">
        <f t="shared" si="42"/>
        <v>#N/A</v>
      </c>
      <c r="AM98" s="104" t="e">
        <f t="shared" si="43"/>
        <v>#N/A</v>
      </c>
      <c r="AN98" s="104" t="e">
        <f t="shared" si="44"/>
        <v>#N/A</v>
      </c>
      <c r="AO98" s="104" t="e">
        <f t="shared" si="45"/>
        <v>#N/A</v>
      </c>
      <c r="AP98" s="104" t="e">
        <f t="shared" si="46"/>
        <v>#N/A</v>
      </c>
      <c r="AQ98" s="104" t="e">
        <f t="shared" si="47"/>
        <v>#N/A</v>
      </c>
      <c r="AR98" s="105" t="str">
        <f t="shared" si="48"/>
        <v/>
      </c>
      <c r="AS98" s="105" t="str">
        <f t="shared" si="49"/>
        <v/>
      </c>
      <c r="AT98" s="108" t="str">
        <f t="shared" si="50"/>
        <v/>
      </c>
      <c r="AU98" s="108" t="str">
        <f t="shared" si="51"/>
        <v/>
      </c>
      <c r="AV98" s="107" t="str">
        <f>IF(ISNUMBER(O98),IF(VLOOKUP($A98,Stand!C:J,8,FALSE)="Short",AT98,AU98),"")</f>
        <v/>
      </c>
      <c r="AW98" s="109" t="str">
        <f t="shared" si="52"/>
        <v/>
      </c>
      <c r="AX98" s="109" t="str">
        <f t="shared" si="53"/>
        <v/>
      </c>
      <c r="AY98" s="112" t="str">
        <f>IF(ISNUMBER(O98),IF(AND(VLOOKUP($D98,Merchantability!$B:$C,2,0)="Yes",$E98&gt;=VLOOKUP($D98,Merchantability!$B:$D,3,0),$E98&lt;=VLOOKUP($D98,Merchantability!$B:$E,4,0)),(AV98*O98)*(1-$H98/100),""),"")</f>
        <v/>
      </c>
      <c r="AZ98" s="115"/>
      <c r="BA98" s="116"/>
      <c r="BB98" s="116"/>
      <c r="BE98" s="62"/>
      <c r="BF98" s="63"/>
    </row>
    <row r="99" spans="1:58" ht="12.75" customHeight="1" x14ac:dyDescent="0.25">
      <c r="A99" s="313"/>
      <c r="B99" s="328"/>
      <c r="C99" s="329"/>
      <c r="D99" s="328"/>
      <c r="E99" s="330"/>
      <c r="F99" s="331"/>
      <c r="G99" s="329"/>
      <c r="H99" s="329"/>
      <c r="I99" s="328"/>
      <c r="J99" s="329"/>
      <c r="K99" s="329"/>
      <c r="L99" s="329"/>
      <c r="M99" s="76"/>
      <c r="N99" s="103" t="str">
        <f>IF(A99="","",VLOOKUP(A99,Stand!C:K,9,0))</f>
        <v/>
      </c>
      <c r="O99" s="104" t="str">
        <f t="shared" si="27"/>
        <v/>
      </c>
      <c r="P99" s="105" t="str">
        <f t="shared" si="28"/>
        <v/>
      </c>
      <c r="Q99" s="105" t="str">
        <f t="shared" si="29"/>
        <v/>
      </c>
      <c r="R99" s="103" t="str">
        <f t="shared" si="30"/>
        <v/>
      </c>
      <c r="S99" s="103" t="str">
        <f t="shared" si="31"/>
        <v/>
      </c>
      <c r="T99" s="106" t="str">
        <f t="shared" si="32"/>
        <v/>
      </c>
      <c r="U99" s="106" t="str">
        <f t="shared" si="33"/>
        <v/>
      </c>
      <c r="V99" s="106" t="str">
        <f t="shared" si="34"/>
        <v/>
      </c>
      <c r="W99" s="105" t="str">
        <f t="shared" si="35"/>
        <v/>
      </c>
      <c r="X99" s="104" t="str">
        <f t="shared" si="36"/>
        <v/>
      </c>
      <c r="Y99" s="104" t="str">
        <f t="array" ref="Y99">IFERROR(IF(ISNUMBER(O99),IF(COUNT(IF(A99=$A$2:$A$2427,IF(D99=$D$2:$D$2427,IF($X$2:$X$2427&gt;0,1))))&gt;0,SUM(IF(A99=$A$2:$A$2427,IF(D99=$D$2:$D$2427,$X$2:$X$2427)))/COUNT(IF(A99=$A$2:$A$2427,IF(D99=$D$2:$D$2427,IF(ISNUMBER($X$2:$X$2427),1)))),0),""),0)</f>
        <v/>
      </c>
      <c r="Z99" s="104" t="str">
        <f>IF(ISNUMBER(O99),IF(I99&gt;0,(10^(VLOOKUP(D99,'Species Codes'!B:C,2,0)+VLOOKUP(D99,'Species Codes'!B:D,3,0)*LOG(E99)+VLOOKUP(D99,'Species Codes'!B:E,4,0)*LOG(I99))),0),"")</f>
        <v/>
      </c>
      <c r="AA99" s="104" t="str">
        <f>IFERROR((VLOOKUP(D99,'Species Codes'!B:G,6,0)*Z99)/2000,"")</f>
        <v/>
      </c>
      <c r="AB99" s="104" t="e">
        <f>IF(Z99&gt;0,((IF(OR(D99="DF",D99="RA")=TRUE,EXP(VLOOKUP(D99,'Species Codes'!B:I,8,0)+VLOOKUP(D99,'Species Codes'!B:J,9,0)*(LN((E99*2.54)))),IF(OR(D99="PY",D99="RC",D99="WH",D99="NF")=TRUE,VLOOKUP(D99,'Species Codes'!B:I,8,0)+VLOOKUP(D99,'Species Codes'!B:J,9,0)*((E99*2.54)^2)*(I99*0.3048),IF(OR(D99="MD",D99="BM",D99="GA")=TRUE,((VLOOKUP(D99,'Species Codes'!B:I,8,0)*(((((E99*2.54)+VLOOKUP(D99,'Species Codes'!B:J,9,0))/VLOOKUP(D99,'Species Codes'!B:K,10,0))^VLOOKUP(D99,'Species Codes'!B:L,11,0))*((I99*0.3048)^VLOOKUP(D99,'Species Codes'!B:M,12,0))))-(VLOOKUP(D99,'Species Codes'!B:I,8,0)*((((E99*2.54)^VLOOKUP(D99,'Species Codes'!B:L,11,0))*((I99*0.3048)^VLOOKUP(D99,'Species Codes'!B:M,12,0))))))*35.3*VLOOKUP(D99,'Species Codes'!B:G,6,0)/2.2046,VLOOKUP(D99,'Species Codes'!B:I,8,0)+VLOOKUP(D99,'Species Codes'!B:J,9,0)*(((E99*2.54)/100)^2)*(I99*0.3048)))))*0.0011023),0)</f>
        <v>#N/A</v>
      </c>
      <c r="AC99" s="104" t="e">
        <f>IF(Z99&gt;0,((IF(OR(D99="RA",D99="OA",D99="OT",D99="UN",D99="PC"),EXP(VLOOKUP(D99,'Species Codes'!B:O,14,0)+VLOOKUP(D99,'Species Codes'!B:P,15,0)*LN((E99*2.54)))-EXP(VLOOKUP(D99,'Species Codes'!B:O,14,0)+VLOOKUP(D99,'Species Codes'!B:P,15,0)*LN((E99*2.54)))*(1/(VLOOKUP(D99,'Species Codes'!B:Q,16,0)+VLOOKUP(D99,'Species Codes'!B:R,17,0)*((E99*2.54)^VLOOKUP(D99,'Species Codes'!B:S,18,0)))),IF(OR(D99="BM",D99="MD",D99="OA"),EXP(VLOOKUP(D99,'Species Codes'!B:O,14,0)+VLOOKUP(D99,'Species Codes'!B:P,15,0)*LN((E99*2.54)))*(1-(1/(VLOOKUP(D99,'Species Codes'!B:Q,16,0)+VLOOKUP(D99,'Species Codes'!B:R,17,0)*((E99*2.54)^VLOOKUP(D99,'Species Codes'!B:S,18,0)))))/1000,IF(D99="DF",EXP(VLOOKUP(D99,'Species Codes'!B:O,14,0)+VLOOKUP(D99,'Species Codes'!B:P,15,0)*LN((E99*2.54))),VLOOKUP(D99,'Species Codes'!B:O,14,0)+VLOOKUP(D99,'Species Codes'!B:P,15,0)*(((E99*2.54)/100)^2)*(I99*0.3048)))))*0.0011023),0)</f>
        <v>#N/A</v>
      </c>
      <c r="AD99" s="104" t="e">
        <f t="shared" si="37"/>
        <v>#N/A</v>
      </c>
      <c r="AE99" s="104" t="e">
        <f t="shared" si="38"/>
        <v>#N/A</v>
      </c>
      <c r="AF99" s="104" t="e">
        <f>IF(AND(VLOOKUP($D99,Merchantability!$B:$C,2,0)="Yes",$E99&gt;=VLOOKUP($D99,Merchantability!$B:$D,3,0),$E99&lt;=VLOOKUP($D99,Merchantability!$B:$E,4,0)),AA99,0)</f>
        <v>#N/A</v>
      </c>
      <c r="AG99" s="104" t="e">
        <f>IF(AND(VLOOKUP($D99,Merchantability!$B:$C,2,0)="Yes",$E99&gt;=VLOOKUP($D99,Merchantability!$B:$D,3,0),$E99&lt;=VLOOKUP($D99,Merchantability!$B:$E,4,0)),AB99,0)</f>
        <v>#N/A</v>
      </c>
      <c r="AH99" s="104" t="e">
        <f>IF(AND(VLOOKUP($D99,Merchantability!$B:$C,2,0)="Yes",$E99&gt;=VLOOKUP($D99,Merchantability!$B:$D,3,0),$E99&lt;=VLOOKUP($D99,Merchantability!$B:$E,4,0)),AC99,0)</f>
        <v>#N/A</v>
      </c>
      <c r="AI99" s="104" t="e">
        <f t="shared" si="39"/>
        <v>#N/A</v>
      </c>
      <c r="AJ99" s="104" t="e">
        <f t="shared" si="40"/>
        <v>#VALUE!</v>
      </c>
      <c r="AK99" s="104" t="e">
        <f t="shared" si="41"/>
        <v>#N/A</v>
      </c>
      <c r="AL99" s="104" t="e">
        <f t="shared" si="42"/>
        <v>#N/A</v>
      </c>
      <c r="AM99" s="104" t="e">
        <f t="shared" si="43"/>
        <v>#N/A</v>
      </c>
      <c r="AN99" s="104" t="e">
        <f t="shared" si="44"/>
        <v>#N/A</v>
      </c>
      <c r="AO99" s="104" t="e">
        <f t="shared" si="45"/>
        <v>#N/A</v>
      </c>
      <c r="AP99" s="104" t="e">
        <f t="shared" si="46"/>
        <v>#N/A</v>
      </c>
      <c r="AQ99" s="104" t="e">
        <f t="shared" si="47"/>
        <v>#N/A</v>
      </c>
      <c r="AR99" s="105" t="str">
        <f t="shared" si="48"/>
        <v/>
      </c>
      <c r="AS99" s="105" t="str">
        <f t="shared" si="49"/>
        <v/>
      </c>
      <c r="AT99" s="108" t="str">
        <f t="shared" si="50"/>
        <v/>
      </c>
      <c r="AU99" s="108" t="str">
        <f t="shared" si="51"/>
        <v/>
      </c>
      <c r="AV99" s="107" t="str">
        <f>IF(ISNUMBER(O99),IF(VLOOKUP($A99,Stand!C:J,8,FALSE)="Short",AT99,AU99),"")</f>
        <v/>
      </c>
      <c r="AW99" s="109" t="str">
        <f t="shared" si="52"/>
        <v/>
      </c>
      <c r="AX99" s="109" t="str">
        <f t="shared" si="53"/>
        <v/>
      </c>
      <c r="AY99" s="112" t="str">
        <f>IF(ISNUMBER(O99),IF(AND(VLOOKUP($D99,Merchantability!$B:$C,2,0)="Yes",$E99&gt;=VLOOKUP($D99,Merchantability!$B:$D,3,0),$E99&lt;=VLOOKUP($D99,Merchantability!$B:$E,4,0)),(AV99*O99)*(1-$H99/100),""),"")</f>
        <v/>
      </c>
      <c r="AZ99" s="115"/>
      <c r="BA99" s="116"/>
      <c r="BB99" s="116"/>
      <c r="BE99" s="62"/>
      <c r="BF99" s="63"/>
    </row>
    <row r="100" spans="1:58" ht="12.75" customHeight="1" x14ac:dyDescent="0.25">
      <c r="A100" s="313"/>
      <c r="B100" s="328"/>
      <c r="C100" s="329"/>
      <c r="D100" s="328"/>
      <c r="E100" s="330"/>
      <c r="F100" s="331"/>
      <c r="G100" s="329"/>
      <c r="H100" s="329"/>
      <c r="I100" s="328"/>
      <c r="J100" s="329"/>
      <c r="K100" s="329"/>
      <c r="L100" s="329"/>
      <c r="M100" s="76"/>
      <c r="N100" s="103" t="str">
        <f>IF(A100="","",VLOOKUP(A100,Stand!C:K,9,0))</f>
        <v/>
      </c>
      <c r="O100" s="104" t="str">
        <f t="shared" si="27"/>
        <v/>
      </c>
      <c r="P100" s="105" t="str">
        <f t="shared" si="28"/>
        <v/>
      </c>
      <c r="Q100" s="105" t="str">
        <f t="shared" si="29"/>
        <v/>
      </c>
      <c r="R100" s="103" t="str">
        <f t="shared" si="30"/>
        <v/>
      </c>
      <c r="S100" s="103" t="str">
        <f t="shared" si="31"/>
        <v/>
      </c>
      <c r="T100" s="106" t="str">
        <f t="shared" si="32"/>
        <v/>
      </c>
      <c r="U100" s="106" t="str">
        <f t="shared" si="33"/>
        <v/>
      </c>
      <c r="V100" s="106" t="str">
        <f t="shared" si="34"/>
        <v/>
      </c>
      <c r="W100" s="105" t="str">
        <f t="shared" si="35"/>
        <v/>
      </c>
      <c r="X100" s="104" t="str">
        <f t="shared" si="36"/>
        <v/>
      </c>
      <c r="Y100" s="104" t="str">
        <f t="array" ref="Y100">IFERROR(IF(ISNUMBER(O100),IF(COUNT(IF(A100=$A$2:$A$2427,IF(D100=$D$2:$D$2427,IF($X$2:$X$2427&gt;0,1))))&gt;0,SUM(IF(A100=$A$2:$A$2427,IF(D100=$D$2:$D$2427,$X$2:$X$2427)))/COUNT(IF(A100=$A$2:$A$2427,IF(D100=$D$2:$D$2427,IF(ISNUMBER($X$2:$X$2427),1)))),0),""),0)</f>
        <v/>
      </c>
      <c r="Z100" s="104" t="str">
        <f>IF(ISNUMBER(O100),IF(I100&gt;0,(10^(VLOOKUP(D100,'Species Codes'!B:C,2,0)+VLOOKUP(D100,'Species Codes'!B:D,3,0)*LOG(E100)+VLOOKUP(D100,'Species Codes'!B:E,4,0)*LOG(I100))),0),"")</f>
        <v/>
      </c>
      <c r="AA100" s="104" t="str">
        <f>IFERROR((VLOOKUP(D100,'Species Codes'!B:G,6,0)*Z100)/2000,"")</f>
        <v/>
      </c>
      <c r="AB100" s="104" t="e">
        <f>IF(Z100&gt;0,((IF(OR(D100="DF",D100="RA")=TRUE,EXP(VLOOKUP(D100,'Species Codes'!B:I,8,0)+VLOOKUP(D100,'Species Codes'!B:J,9,0)*(LN((E100*2.54)))),IF(OR(D100="PY",D100="RC",D100="WH",D100="NF")=TRUE,VLOOKUP(D100,'Species Codes'!B:I,8,0)+VLOOKUP(D100,'Species Codes'!B:J,9,0)*((E100*2.54)^2)*(I100*0.3048),IF(OR(D100="MD",D100="BM",D100="GA")=TRUE,((VLOOKUP(D100,'Species Codes'!B:I,8,0)*(((((E100*2.54)+VLOOKUP(D100,'Species Codes'!B:J,9,0))/VLOOKUP(D100,'Species Codes'!B:K,10,0))^VLOOKUP(D100,'Species Codes'!B:L,11,0))*((I100*0.3048)^VLOOKUP(D100,'Species Codes'!B:M,12,0))))-(VLOOKUP(D100,'Species Codes'!B:I,8,0)*((((E100*2.54)^VLOOKUP(D100,'Species Codes'!B:L,11,0))*((I100*0.3048)^VLOOKUP(D100,'Species Codes'!B:M,12,0))))))*35.3*VLOOKUP(D100,'Species Codes'!B:G,6,0)/2.2046,VLOOKUP(D100,'Species Codes'!B:I,8,0)+VLOOKUP(D100,'Species Codes'!B:J,9,0)*(((E100*2.54)/100)^2)*(I100*0.3048)))))*0.0011023),0)</f>
        <v>#N/A</v>
      </c>
      <c r="AC100" s="104" t="e">
        <f>IF(Z100&gt;0,((IF(OR(D100="RA",D100="OA",D100="OT",D100="UN",D100="PC"),EXP(VLOOKUP(D100,'Species Codes'!B:O,14,0)+VLOOKUP(D100,'Species Codes'!B:P,15,0)*LN((E100*2.54)))-EXP(VLOOKUP(D100,'Species Codes'!B:O,14,0)+VLOOKUP(D100,'Species Codes'!B:P,15,0)*LN((E100*2.54)))*(1/(VLOOKUP(D100,'Species Codes'!B:Q,16,0)+VLOOKUP(D100,'Species Codes'!B:R,17,0)*((E100*2.54)^VLOOKUP(D100,'Species Codes'!B:S,18,0)))),IF(OR(D100="BM",D100="MD",D100="OA"),EXP(VLOOKUP(D100,'Species Codes'!B:O,14,0)+VLOOKUP(D100,'Species Codes'!B:P,15,0)*LN((E100*2.54)))*(1-(1/(VLOOKUP(D100,'Species Codes'!B:Q,16,0)+VLOOKUP(D100,'Species Codes'!B:R,17,0)*((E100*2.54)^VLOOKUP(D100,'Species Codes'!B:S,18,0)))))/1000,IF(D100="DF",EXP(VLOOKUP(D100,'Species Codes'!B:O,14,0)+VLOOKUP(D100,'Species Codes'!B:P,15,0)*LN((E100*2.54))),VLOOKUP(D100,'Species Codes'!B:O,14,0)+VLOOKUP(D100,'Species Codes'!B:P,15,0)*(((E100*2.54)/100)^2)*(I100*0.3048)))))*0.0011023),0)</f>
        <v>#N/A</v>
      </c>
      <c r="AD100" s="104" t="e">
        <f t="shared" si="37"/>
        <v>#N/A</v>
      </c>
      <c r="AE100" s="104" t="e">
        <f t="shared" si="38"/>
        <v>#N/A</v>
      </c>
      <c r="AF100" s="104" t="e">
        <f>IF(AND(VLOOKUP($D100,Merchantability!$B:$C,2,0)="Yes",$E100&gt;=VLOOKUP($D100,Merchantability!$B:$D,3,0),$E100&lt;=VLOOKUP($D100,Merchantability!$B:$E,4,0)),AA100,0)</f>
        <v>#N/A</v>
      </c>
      <c r="AG100" s="104" t="e">
        <f>IF(AND(VLOOKUP($D100,Merchantability!$B:$C,2,0)="Yes",$E100&gt;=VLOOKUP($D100,Merchantability!$B:$D,3,0),$E100&lt;=VLOOKUP($D100,Merchantability!$B:$E,4,0)),AB100,0)</f>
        <v>#N/A</v>
      </c>
      <c r="AH100" s="104" t="e">
        <f>IF(AND(VLOOKUP($D100,Merchantability!$B:$C,2,0)="Yes",$E100&gt;=VLOOKUP($D100,Merchantability!$B:$D,3,0),$E100&lt;=VLOOKUP($D100,Merchantability!$B:$E,4,0)),AC100,0)</f>
        <v>#N/A</v>
      </c>
      <c r="AI100" s="104" t="e">
        <f t="shared" si="39"/>
        <v>#N/A</v>
      </c>
      <c r="AJ100" s="104" t="e">
        <f t="shared" si="40"/>
        <v>#VALUE!</v>
      </c>
      <c r="AK100" s="104" t="e">
        <f t="shared" si="41"/>
        <v>#N/A</v>
      </c>
      <c r="AL100" s="104" t="e">
        <f t="shared" si="42"/>
        <v>#N/A</v>
      </c>
      <c r="AM100" s="104" t="e">
        <f t="shared" si="43"/>
        <v>#N/A</v>
      </c>
      <c r="AN100" s="104" t="e">
        <f t="shared" si="44"/>
        <v>#N/A</v>
      </c>
      <c r="AO100" s="104" t="e">
        <f t="shared" si="45"/>
        <v>#N/A</v>
      </c>
      <c r="AP100" s="104" t="e">
        <f t="shared" si="46"/>
        <v>#N/A</v>
      </c>
      <c r="AQ100" s="104" t="e">
        <f t="shared" si="47"/>
        <v>#N/A</v>
      </c>
      <c r="AR100" s="105" t="str">
        <f t="shared" si="48"/>
        <v/>
      </c>
      <c r="AS100" s="105" t="str">
        <f t="shared" si="49"/>
        <v/>
      </c>
      <c r="AT100" s="108" t="str">
        <f t="shared" si="50"/>
        <v/>
      </c>
      <c r="AU100" s="108" t="str">
        <f t="shared" si="51"/>
        <v/>
      </c>
      <c r="AV100" s="107" t="str">
        <f>IF(ISNUMBER(O100),IF(VLOOKUP($A100,Stand!C:J,8,FALSE)="Short",AT100,AU100),"")</f>
        <v/>
      </c>
      <c r="AW100" s="109" t="str">
        <f t="shared" si="52"/>
        <v/>
      </c>
      <c r="AX100" s="109" t="str">
        <f t="shared" si="53"/>
        <v/>
      </c>
      <c r="AY100" s="112" t="str">
        <f>IF(ISNUMBER(O100),IF(AND(VLOOKUP($D100,Merchantability!$B:$C,2,0)="Yes",$E100&gt;=VLOOKUP($D100,Merchantability!$B:$D,3,0),$E100&lt;=VLOOKUP($D100,Merchantability!$B:$E,4,0)),(AV100*O100)*(1-$H100/100),""),"")</f>
        <v/>
      </c>
      <c r="AZ100" s="115"/>
      <c r="BA100" s="116"/>
      <c r="BB100" s="116"/>
      <c r="BE100" s="62"/>
      <c r="BF100" s="63"/>
    </row>
    <row r="101" spans="1:58" ht="12.75" customHeight="1" x14ac:dyDescent="0.25">
      <c r="A101" s="313"/>
      <c r="B101" s="328"/>
      <c r="C101" s="329"/>
      <c r="D101" s="328"/>
      <c r="E101" s="330"/>
      <c r="F101" s="331"/>
      <c r="G101" s="329"/>
      <c r="H101" s="329"/>
      <c r="I101" s="328"/>
      <c r="J101" s="329"/>
      <c r="K101" s="329"/>
      <c r="L101" s="329"/>
      <c r="M101" s="76"/>
      <c r="N101" s="103" t="str">
        <f>IF(A101="","",VLOOKUP(A101,Stand!C:K,9,0))</f>
        <v/>
      </c>
      <c r="O101" s="104" t="str">
        <f t="shared" si="27"/>
        <v/>
      </c>
      <c r="P101" s="105" t="str">
        <f t="shared" si="28"/>
        <v/>
      </c>
      <c r="Q101" s="105" t="str">
        <f t="shared" si="29"/>
        <v/>
      </c>
      <c r="R101" s="103" t="str">
        <f t="shared" si="30"/>
        <v/>
      </c>
      <c r="S101" s="103" t="str">
        <f t="shared" si="31"/>
        <v/>
      </c>
      <c r="T101" s="106" t="str">
        <f t="shared" si="32"/>
        <v/>
      </c>
      <c r="U101" s="106" t="str">
        <f t="shared" si="33"/>
        <v/>
      </c>
      <c r="V101" s="106" t="str">
        <f t="shared" si="34"/>
        <v/>
      </c>
      <c r="W101" s="105" t="str">
        <f t="shared" si="35"/>
        <v/>
      </c>
      <c r="X101" s="104" t="str">
        <f t="shared" si="36"/>
        <v/>
      </c>
      <c r="Y101" s="104" t="str">
        <f t="array" ref="Y101">IFERROR(IF(ISNUMBER(O101),IF(COUNT(IF(A101=$A$2:$A$2427,IF(D101=$D$2:$D$2427,IF($X$2:$X$2427&gt;0,1))))&gt;0,SUM(IF(A101=$A$2:$A$2427,IF(D101=$D$2:$D$2427,$X$2:$X$2427)))/COUNT(IF(A101=$A$2:$A$2427,IF(D101=$D$2:$D$2427,IF(ISNUMBER($X$2:$X$2427),1)))),0),""),0)</f>
        <v/>
      </c>
      <c r="Z101" s="104" t="str">
        <f>IF(ISNUMBER(O101),IF(I101&gt;0,(10^(VLOOKUP(D101,'Species Codes'!B:C,2,0)+VLOOKUP(D101,'Species Codes'!B:D,3,0)*LOG(E101)+VLOOKUP(D101,'Species Codes'!B:E,4,0)*LOG(I101))),0),"")</f>
        <v/>
      </c>
      <c r="AA101" s="104" t="str">
        <f>IFERROR((VLOOKUP(D101,'Species Codes'!B:G,6,0)*Z101)/2000,"")</f>
        <v/>
      </c>
      <c r="AB101" s="104" t="e">
        <f>IF(Z101&gt;0,((IF(OR(D101="DF",D101="RA")=TRUE,EXP(VLOOKUP(D101,'Species Codes'!B:I,8,0)+VLOOKUP(D101,'Species Codes'!B:J,9,0)*(LN((E101*2.54)))),IF(OR(D101="PY",D101="RC",D101="WH",D101="NF")=TRUE,VLOOKUP(D101,'Species Codes'!B:I,8,0)+VLOOKUP(D101,'Species Codes'!B:J,9,0)*((E101*2.54)^2)*(I101*0.3048),IF(OR(D101="MD",D101="BM",D101="GA")=TRUE,((VLOOKUP(D101,'Species Codes'!B:I,8,0)*(((((E101*2.54)+VLOOKUP(D101,'Species Codes'!B:J,9,0))/VLOOKUP(D101,'Species Codes'!B:K,10,0))^VLOOKUP(D101,'Species Codes'!B:L,11,0))*((I101*0.3048)^VLOOKUP(D101,'Species Codes'!B:M,12,0))))-(VLOOKUP(D101,'Species Codes'!B:I,8,0)*((((E101*2.54)^VLOOKUP(D101,'Species Codes'!B:L,11,0))*((I101*0.3048)^VLOOKUP(D101,'Species Codes'!B:M,12,0))))))*35.3*VLOOKUP(D101,'Species Codes'!B:G,6,0)/2.2046,VLOOKUP(D101,'Species Codes'!B:I,8,0)+VLOOKUP(D101,'Species Codes'!B:J,9,0)*(((E101*2.54)/100)^2)*(I101*0.3048)))))*0.0011023),0)</f>
        <v>#N/A</v>
      </c>
      <c r="AC101" s="104" t="e">
        <f>IF(Z101&gt;0,((IF(OR(D101="RA",D101="OA",D101="OT",D101="UN",D101="PC"),EXP(VLOOKUP(D101,'Species Codes'!B:O,14,0)+VLOOKUP(D101,'Species Codes'!B:P,15,0)*LN((E101*2.54)))-EXP(VLOOKUP(D101,'Species Codes'!B:O,14,0)+VLOOKUP(D101,'Species Codes'!B:P,15,0)*LN((E101*2.54)))*(1/(VLOOKUP(D101,'Species Codes'!B:Q,16,0)+VLOOKUP(D101,'Species Codes'!B:R,17,0)*((E101*2.54)^VLOOKUP(D101,'Species Codes'!B:S,18,0)))),IF(OR(D101="BM",D101="MD",D101="OA"),EXP(VLOOKUP(D101,'Species Codes'!B:O,14,0)+VLOOKUP(D101,'Species Codes'!B:P,15,0)*LN((E101*2.54)))*(1-(1/(VLOOKUP(D101,'Species Codes'!B:Q,16,0)+VLOOKUP(D101,'Species Codes'!B:R,17,0)*((E101*2.54)^VLOOKUP(D101,'Species Codes'!B:S,18,0)))))/1000,IF(D101="DF",EXP(VLOOKUP(D101,'Species Codes'!B:O,14,0)+VLOOKUP(D101,'Species Codes'!B:P,15,0)*LN((E101*2.54))),VLOOKUP(D101,'Species Codes'!B:O,14,0)+VLOOKUP(D101,'Species Codes'!B:P,15,0)*(((E101*2.54)/100)^2)*(I101*0.3048)))))*0.0011023),0)</f>
        <v>#N/A</v>
      </c>
      <c r="AD101" s="104" t="e">
        <f t="shared" si="37"/>
        <v>#N/A</v>
      </c>
      <c r="AE101" s="104" t="e">
        <f t="shared" si="38"/>
        <v>#N/A</v>
      </c>
      <c r="AF101" s="104" t="e">
        <f>IF(AND(VLOOKUP($D101,Merchantability!$B:$C,2,0)="Yes",$E101&gt;=VLOOKUP($D101,Merchantability!$B:$D,3,0),$E101&lt;=VLOOKUP($D101,Merchantability!$B:$E,4,0)),AA101,0)</f>
        <v>#N/A</v>
      </c>
      <c r="AG101" s="104" t="e">
        <f>IF(AND(VLOOKUP($D101,Merchantability!$B:$C,2,0)="Yes",$E101&gt;=VLOOKUP($D101,Merchantability!$B:$D,3,0),$E101&lt;=VLOOKUP($D101,Merchantability!$B:$E,4,0)),AB101,0)</f>
        <v>#N/A</v>
      </c>
      <c r="AH101" s="104" t="e">
        <f>IF(AND(VLOOKUP($D101,Merchantability!$B:$C,2,0)="Yes",$E101&gt;=VLOOKUP($D101,Merchantability!$B:$D,3,0),$E101&lt;=VLOOKUP($D101,Merchantability!$B:$E,4,0)),AC101,0)</f>
        <v>#N/A</v>
      </c>
      <c r="AI101" s="104" t="e">
        <f t="shared" si="39"/>
        <v>#N/A</v>
      </c>
      <c r="AJ101" s="104" t="e">
        <f t="shared" si="40"/>
        <v>#VALUE!</v>
      </c>
      <c r="AK101" s="104" t="e">
        <f t="shared" si="41"/>
        <v>#N/A</v>
      </c>
      <c r="AL101" s="104" t="e">
        <f t="shared" si="42"/>
        <v>#N/A</v>
      </c>
      <c r="AM101" s="104" t="e">
        <f t="shared" si="43"/>
        <v>#N/A</v>
      </c>
      <c r="AN101" s="104" t="e">
        <f t="shared" si="44"/>
        <v>#N/A</v>
      </c>
      <c r="AO101" s="104" t="e">
        <f t="shared" si="45"/>
        <v>#N/A</v>
      </c>
      <c r="AP101" s="104" t="e">
        <f t="shared" si="46"/>
        <v>#N/A</v>
      </c>
      <c r="AQ101" s="104" t="e">
        <f t="shared" si="47"/>
        <v>#N/A</v>
      </c>
      <c r="AR101" s="105" t="str">
        <f t="shared" si="48"/>
        <v/>
      </c>
      <c r="AS101" s="105" t="str">
        <f t="shared" si="49"/>
        <v/>
      </c>
      <c r="AT101" s="108" t="str">
        <f t="shared" si="50"/>
        <v/>
      </c>
      <c r="AU101" s="108" t="str">
        <f t="shared" si="51"/>
        <v/>
      </c>
      <c r="AV101" s="107" t="str">
        <f>IF(ISNUMBER(O101),IF(VLOOKUP($A101,Stand!C:J,8,FALSE)="Short",AT101,AU101),"")</f>
        <v/>
      </c>
      <c r="AW101" s="109" t="str">
        <f t="shared" si="52"/>
        <v/>
      </c>
      <c r="AX101" s="109" t="str">
        <f t="shared" si="53"/>
        <v/>
      </c>
      <c r="AY101" s="112" t="str">
        <f>IF(ISNUMBER(O101),IF(AND(VLOOKUP($D101,Merchantability!$B:$C,2,0)="Yes",$E101&gt;=VLOOKUP($D101,Merchantability!$B:$D,3,0),$E101&lt;=VLOOKUP($D101,Merchantability!$B:$E,4,0)),(AV101*O101)*(1-$H101/100),""),"")</f>
        <v/>
      </c>
      <c r="AZ101" s="115"/>
      <c r="BA101" s="116"/>
      <c r="BB101" s="116"/>
      <c r="BE101" s="62"/>
      <c r="BF101" s="63"/>
    </row>
    <row r="102" spans="1:58" ht="12.75" customHeight="1" x14ac:dyDescent="0.25">
      <c r="A102" s="313"/>
      <c r="B102" s="328"/>
      <c r="C102" s="329"/>
      <c r="D102" s="328"/>
      <c r="E102" s="330"/>
      <c r="F102" s="331"/>
      <c r="G102" s="329"/>
      <c r="H102" s="329"/>
      <c r="I102" s="328"/>
      <c r="J102" s="329"/>
      <c r="K102" s="329"/>
      <c r="L102" s="329"/>
      <c r="M102" s="76"/>
      <c r="N102" s="103" t="str">
        <f>IF(A102="","",VLOOKUP(A102,Stand!C:K,9,0))</f>
        <v/>
      </c>
      <c r="O102" s="104" t="str">
        <f t="shared" si="27"/>
        <v/>
      </c>
      <c r="P102" s="105" t="str">
        <f t="shared" si="28"/>
        <v/>
      </c>
      <c r="Q102" s="105" t="str">
        <f t="shared" si="29"/>
        <v/>
      </c>
      <c r="R102" s="103" t="str">
        <f t="shared" si="30"/>
        <v/>
      </c>
      <c r="S102" s="103" t="str">
        <f t="shared" si="31"/>
        <v/>
      </c>
      <c r="T102" s="106" t="str">
        <f t="shared" si="32"/>
        <v/>
      </c>
      <c r="U102" s="106" t="str">
        <f t="shared" si="33"/>
        <v/>
      </c>
      <c r="V102" s="106" t="str">
        <f t="shared" si="34"/>
        <v/>
      </c>
      <c r="W102" s="105" t="str">
        <f t="shared" si="35"/>
        <v/>
      </c>
      <c r="X102" s="104" t="str">
        <f t="shared" si="36"/>
        <v/>
      </c>
      <c r="Y102" s="104" t="str">
        <f t="array" ref="Y102">IFERROR(IF(ISNUMBER(O102),IF(COUNT(IF(A102=$A$2:$A$2427,IF(D102=$D$2:$D$2427,IF($X$2:$X$2427&gt;0,1))))&gt;0,SUM(IF(A102=$A$2:$A$2427,IF(D102=$D$2:$D$2427,$X$2:$X$2427)))/COUNT(IF(A102=$A$2:$A$2427,IF(D102=$D$2:$D$2427,IF(ISNUMBER($X$2:$X$2427),1)))),0),""),0)</f>
        <v/>
      </c>
      <c r="Z102" s="104" t="str">
        <f>IF(ISNUMBER(O102),IF(I102&gt;0,(10^(VLOOKUP(D102,'Species Codes'!B:C,2,0)+VLOOKUP(D102,'Species Codes'!B:D,3,0)*LOG(E102)+VLOOKUP(D102,'Species Codes'!B:E,4,0)*LOG(I102))),0),"")</f>
        <v/>
      </c>
      <c r="AA102" s="104" t="str">
        <f>IFERROR((VLOOKUP(D102,'Species Codes'!B:G,6,0)*Z102)/2000,"")</f>
        <v/>
      </c>
      <c r="AB102" s="104" t="e">
        <f>IF(Z102&gt;0,((IF(OR(D102="DF",D102="RA")=TRUE,EXP(VLOOKUP(D102,'Species Codes'!B:I,8,0)+VLOOKUP(D102,'Species Codes'!B:J,9,0)*(LN((E102*2.54)))),IF(OR(D102="PY",D102="RC",D102="WH",D102="NF")=TRUE,VLOOKUP(D102,'Species Codes'!B:I,8,0)+VLOOKUP(D102,'Species Codes'!B:J,9,0)*((E102*2.54)^2)*(I102*0.3048),IF(OR(D102="MD",D102="BM",D102="GA")=TRUE,((VLOOKUP(D102,'Species Codes'!B:I,8,0)*(((((E102*2.54)+VLOOKUP(D102,'Species Codes'!B:J,9,0))/VLOOKUP(D102,'Species Codes'!B:K,10,0))^VLOOKUP(D102,'Species Codes'!B:L,11,0))*((I102*0.3048)^VLOOKUP(D102,'Species Codes'!B:M,12,0))))-(VLOOKUP(D102,'Species Codes'!B:I,8,0)*((((E102*2.54)^VLOOKUP(D102,'Species Codes'!B:L,11,0))*((I102*0.3048)^VLOOKUP(D102,'Species Codes'!B:M,12,0))))))*35.3*VLOOKUP(D102,'Species Codes'!B:G,6,0)/2.2046,VLOOKUP(D102,'Species Codes'!B:I,8,0)+VLOOKUP(D102,'Species Codes'!B:J,9,0)*(((E102*2.54)/100)^2)*(I102*0.3048)))))*0.0011023),0)</f>
        <v>#N/A</v>
      </c>
      <c r="AC102" s="104" t="e">
        <f>IF(Z102&gt;0,((IF(OR(D102="RA",D102="OA",D102="OT",D102="UN",D102="PC"),EXP(VLOOKUP(D102,'Species Codes'!B:O,14,0)+VLOOKUP(D102,'Species Codes'!B:P,15,0)*LN((E102*2.54)))-EXP(VLOOKUP(D102,'Species Codes'!B:O,14,0)+VLOOKUP(D102,'Species Codes'!B:P,15,0)*LN((E102*2.54)))*(1/(VLOOKUP(D102,'Species Codes'!B:Q,16,0)+VLOOKUP(D102,'Species Codes'!B:R,17,0)*((E102*2.54)^VLOOKUP(D102,'Species Codes'!B:S,18,0)))),IF(OR(D102="BM",D102="MD",D102="OA"),EXP(VLOOKUP(D102,'Species Codes'!B:O,14,0)+VLOOKUP(D102,'Species Codes'!B:P,15,0)*LN((E102*2.54)))*(1-(1/(VLOOKUP(D102,'Species Codes'!B:Q,16,0)+VLOOKUP(D102,'Species Codes'!B:R,17,0)*((E102*2.54)^VLOOKUP(D102,'Species Codes'!B:S,18,0)))))/1000,IF(D102="DF",EXP(VLOOKUP(D102,'Species Codes'!B:O,14,0)+VLOOKUP(D102,'Species Codes'!B:P,15,0)*LN((E102*2.54))),VLOOKUP(D102,'Species Codes'!B:O,14,0)+VLOOKUP(D102,'Species Codes'!B:P,15,0)*(((E102*2.54)/100)^2)*(I102*0.3048)))))*0.0011023),0)</f>
        <v>#N/A</v>
      </c>
      <c r="AD102" s="104" t="e">
        <f t="shared" si="37"/>
        <v>#N/A</v>
      </c>
      <c r="AE102" s="104" t="e">
        <f t="shared" si="38"/>
        <v>#N/A</v>
      </c>
      <c r="AF102" s="104" t="e">
        <f>IF(AND(VLOOKUP($D102,Merchantability!$B:$C,2,0)="Yes",$E102&gt;=VLOOKUP($D102,Merchantability!$B:$D,3,0),$E102&lt;=VLOOKUP($D102,Merchantability!$B:$E,4,0)),AA102,0)</f>
        <v>#N/A</v>
      </c>
      <c r="AG102" s="104" t="e">
        <f>IF(AND(VLOOKUP($D102,Merchantability!$B:$C,2,0)="Yes",$E102&gt;=VLOOKUP($D102,Merchantability!$B:$D,3,0),$E102&lt;=VLOOKUP($D102,Merchantability!$B:$E,4,0)),AB102,0)</f>
        <v>#N/A</v>
      </c>
      <c r="AH102" s="104" t="e">
        <f>IF(AND(VLOOKUP($D102,Merchantability!$B:$C,2,0)="Yes",$E102&gt;=VLOOKUP($D102,Merchantability!$B:$D,3,0),$E102&lt;=VLOOKUP($D102,Merchantability!$B:$E,4,0)),AC102,0)</f>
        <v>#N/A</v>
      </c>
      <c r="AI102" s="104" t="e">
        <f t="shared" si="39"/>
        <v>#N/A</v>
      </c>
      <c r="AJ102" s="104" t="e">
        <f t="shared" si="40"/>
        <v>#VALUE!</v>
      </c>
      <c r="AK102" s="104" t="e">
        <f t="shared" si="41"/>
        <v>#N/A</v>
      </c>
      <c r="AL102" s="104" t="e">
        <f t="shared" si="42"/>
        <v>#N/A</v>
      </c>
      <c r="AM102" s="104" t="e">
        <f t="shared" si="43"/>
        <v>#N/A</v>
      </c>
      <c r="AN102" s="104" t="e">
        <f t="shared" si="44"/>
        <v>#N/A</v>
      </c>
      <c r="AO102" s="104" t="e">
        <f t="shared" si="45"/>
        <v>#N/A</v>
      </c>
      <c r="AP102" s="104" t="e">
        <f t="shared" si="46"/>
        <v>#N/A</v>
      </c>
      <c r="AQ102" s="104" t="e">
        <f t="shared" si="47"/>
        <v>#N/A</v>
      </c>
      <c r="AR102" s="105" t="str">
        <f t="shared" si="48"/>
        <v/>
      </c>
      <c r="AS102" s="105" t="str">
        <f t="shared" si="49"/>
        <v/>
      </c>
      <c r="AT102" s="108" t="str">
        <f t="shared" si="50"/>
        <v/>
      </c>
      <c r="AU102" s="108" t="str">
        <f t="shared" si="51"/>
        <v/>
      </c>
      <c r="AV102" s="107" t="str">
        <f>IF(ISNUMBER(O102),IF(VLOOKUP($A102,Stand!C:J,8,FALSE)="Short",AT102,AU102),"")</f>
        <v/>
      </c>
      <c r="AW102" s="109" t="str">
        <f t="shared" si="52"/>
        <v/>
      </c>
      <c r="AX102" s="109" t="str">
        <f t="shared" si="53"/>
        <v/>
      </c>
      <c r="AY102" s="112" t="str">
        <f>IF(ISNUMBER(O102),IF(AND(VLOOKUP($D102,Merchantability!$B:$C,2,0)="Yes",$E102&gt;=VLOOKUP($D102,Merchantability!$B:$D,3,0),$E102&lt;=VLOOKUP($D102,Merchantability!$B:$E,4,0)),(AV102*O102)*(1-$H102/100),""),"")</f>
        <v/>
      </c>
      <c r="AZ102" s="115"/>
      <c r="BA102" s="116"/>
      <c r="BB102" s="116"/>
      <c r="BE102" s="62"/>
      <c r="BF102" s="63"/>
    </row>
    <row r="103" spans="1:58" ht="12.75" customHeight="1" x14ac:dyDescent="0.25">
      <c r="A103" s="313"/>
      <c r="B103" s="328"/>
      <c r="C103" s="329"/>
      <c r="D103" s="328"/>
      <c r="E103" s="330"/>
      <c r="F103" s="331"/>
      <c r="G103" s="329"/>
      <c r="H103" s="329"/>
      <c r="I103" s="328"/>
      <c r="J103" s="329"/>
      <c r="K103" s="329"/>
      <c r="L103" s="329"/>
      <c r="M103" s="76"/>
      <c r="N103" s="103" t="str">
        <f>IF(A103="","",VLOOKUP(A103,Stand!C:K,9,0))</f>
        <v/>
      </c>
      <c r="O103" s="104" t="str">
        <f t="shared" si="27"/>
        <v/>
      </c>
      <c r="P103" s="105" t="str">
        <f t="shared" si="28"/>
        <v/>
      </c>
      <c r="Q103" s="105" t="str">
        <f t="shared" si="29"/>
        <v/>
      </c>
      <c r="R103" s="103" t="str">
        <f t="shared" si="30"/>
        <v/>
      </c>
      <c r="S103" s="103" t="str">
        <f t="shared" si="31"/>
        <v/>
      </c>
      <c r="T103" s="106" t="str">
        <f t="shared" si="32"/>
        <v/>
      </c>
      <c r="U103" s="106" t="str">
        <f t="shared" si="33"/>
        <v/>
      </c>
      <c r="V103" s="106" t="str">
        <f t="shared" si="34"/>
        <v/>
      </c>
      <c r="W103" s="105" t="str">
        <f t="shared" si="35"/>
        <v/>
      </c>
      <c r="X103" s="104" t="str">
        <f t="shared" si="36"/>
        <v/>
      </c>
      <c r="Y103" s="104" t="str">
        <f t="array" ref="Y103">IFERROR(IF(ISNUMBER(O103),IF(COUNT(IF(A103=$A$2:$A$2427,IF(D103=$D$2:$D$2427,IF($X$2:$X$2427&gt;0,1))))&gt;0,SUM(IF(A103=$A$2:$A$2427,IF(D103=$D$2:$D$2427,$X$2:$X$2427)))/COUNT(IF(A103=$A$2:$A$2427,IF(D103=$D$2:$D$2427,IF(ISNUMBER($X$2:$X$2427),1)))),0),""),0)</f>
        <v/>
      </c>
      <c r="Z103" s="104" t="str">
        <f>IF(ISNUMBER(O103),IF(I103&gt;0,(10^(VLOOKUP(D103,'Species Codes'!B:C,2,0)+VLOOKUP(D103,'Species Codes'!B:D,3,0)*LOG(E103)+VLOOKUP(D103,'Species Codes'!B:E,4,0)*LOG(I103))),0),"")</f>
        <v/>
      </c>
      <c r="AA103" s="104" t="str">
        <f>IFERROR((VLOOKUP(D103,'Species Codes'!B:G,6,0)*Z103)/2000,"")</f>
        <v/>
      </c>
      <c r="AB103" s="104" t="e">
        <f>IF(Z103&gt;0,((IF(OR(D103="DF",D103="RA")=TRUE,EXP(VLOOKUP(D103,'Species Codes'!B:I,8,0)+VLOOKUP(D103,'Species Codes'!B:J,9,0)*(LN((E103*2.54)))),IF(OR(D103="PY",D103="RC",D103="WH",D103="NF")=TRUE,VLOOKUP(D103,'Species Codes'!B:I,8,0)+VLOOKUP(D103,'Species Codes'!B:J,9,0)*((E103*2.54)^2)*(I103*0.3048),IF(OR(D103="MD",D103="BM",D103="GA")=TRUE,((VLOOKUP(D103,'Species Codes'!B:I,8,0)*(((((E103*2.54)+VLOOKUP(D103,'Species Codes'!B:J,9,0))/VLOOKUP(D103,'Species Codes'!B:K,10,0))^VLOOKUP(D103,'Species Codes'!B:L,11,0))*((I103*0.3048)^VLOOKUP(D103,'Species Codes'!B:M,12,0))))-(VLOOKUP(D103,'Species Codes'!B:I,8,0)*((((E103*2.54)^VLOOKUP(D103,'Species Codes'!B:L,11,0))*((I103*0.3048)^VLOOKUP(D103,'Species Codes'!B:M,12,0))))))*35.3*VLOOKUP(D103,'Species Codes'!B:G,6,0)/2.2046,VLOOKUP(D103,'Species Codes'!B:I,8,0)+VLOOKUP(D103,'Species Codes'!B:J,9,0)*(((E103*2.54)/100)^2)*(I103*0.3048)))))*0.0011023),0)</f>
        <v>#N/A</v>
      </c>
      <c r="AC103" s="104" t="e">
        <f>IF(Z103&gt;0,((IF(OR(D103="RA",D103="OA",D103="OT",D103="UN",D103="PC"),EXP(VLOOKUP(D103,'Species Codes'!B:O,14,0)+VLOOKUP(D103,'Species Codes'!B:P,15,0)*LN((E103*2.54)))-EXP(VLOOKUP(D103,'Species Codes'!B:O,14,0)+VLOOKUP(D103,'Species Codes'!B:P,15,0)*LN((E103*2.54)))*(1/(VLOOKUP(D103,'Species Codes'!B:Q,16,0)+VLOOKUP(D103,'Species Codes'!B:R,17,0)*((E103*2.54)^VLOOKUP(D103,'Species Codes'!B:S,18,0)))),IF(OR(D103="BM",D103="MD",D103="OA"),EXP(VLOOKUP(D103,'Species Codes'!B:O,14,0)+VLOOKUP(D103,'Species Codes'!B:P,15,0)*LN((E103*2.54)))*(1-(1/(VLOOKUP(D103,'Species Codes'!B:Q,16,0)+VLOOKUP(D103,'Species Codes'!B:R,17,0)*((E103*2.54)^VLOOKUP(D103,'Species Codes'!B:S,18,0)))))/1000,IF(D103="DF",EXP(VLOOKUP(D103,'Species Codes'!B:O,14,0)+VLOOKUP(D103,'Species Codes'!B:P,15,0)*LN((E103*2.54))),VLOOKUP(D103,'Species Codes'!B:O,14,0)+VLOOKUP(D103,'Species Codes'!B:P,15,0)*(((E103*2.54)/100)^2)*(I103*0.3048)))))*0.0011023),0)</f>
        <v>#N/A</v>
      </c>
      <c r="AD103" s="104" t="e">
        <f t="shared" si="37"/>
        <v>#N/A</v>
      </c>
      <c r="AE103" s="104" t="e">
        <f t="shared" si="38"/>
        <v>#N/A</v>
      </c>
      <c r="AF103" s="104" t="e">
        <f>IF(AND(VLOOKUP($D103,Merchantability!$B:$C,2,0)="Yes",$E103&gt;=VLOOKUP($D103,Merchantability!$B:$D,3,0),$E103&lt;=VLOOKUP($D103,Merchantability!$B:$E,4,0)),AA103,0)</f>
        <v>#N/A</v>
      </c>
      <c r="AG103" s="104" t="e">
        <f>IF(AND(VLOOKUP($D103,Merchantability!$B:$C,2,0)="Yes",$E103&gt;=VLOOKUP($D103,Merchantability!$B:$D,3,0),$E103&lt;=VLOOKUP($D103,Merchantability!$B:$E,4,0)),AB103,0)</f>
        <v>#N/A</v>
      </c>
      <c r="AH103" s="104" t="e">
        <f>IF(AND(VLOOKUP($D103,Merchantability!$B:$C,2,0)="Yes",$E103&gt;=VLOOKUP($D103,Merchantability!$B:$D,3,0),$E103&lt;=VLOOKUP($D103,Merchantability!$B:$E,4,0)),AC103,0)</f>
        <v>#N/A</v>
      </c>
      <c r="AI103" s="104" t="e">
        <f t="shared" si="39"/>
        <v>#N/A</v>
      </c>
      <c r="AJ103" s="104" t="e">
        <f t="shared" si="40"/>
        <v>#VALUE!</v>
      </c>
      <c r="AK103" s="104" t="e">
        <f t="shared" si="41"/>
        <v>#N/A</v>
      </c>
      <c r="AL103" s="104" t="e">
        <f t="shared" si="42"/>
        <v>#N/A</v>
      </c>
      <c r="AM103" s="104" t="e">
        <f t="shared" si="43"/>
        <v>#N/A</v>
      </c>
      <c r="AN103" s="104" t="e">
        <f t="shared" si="44"/>
        <v>#N/A</v>
      </c>
      <c r="AO103" s="104" t="e">
        <f t="shared" si="45"/>
        <v>#N/A</v>
      </c>
      <c r="AP103" s="104" t="e">
        <f t="shared" si="46"/>
        <v>#N/A</v>
      </c>
      <c r="AQ103" s="104" t="e">
        <f t="shared" si="47"/>
        <v>#N/A</v>
      </c>
      <c r="AR103" s="105" t="str">
        <f t="shared" si="48"/>
        <v/>
      </c>
      <c r="AS103" s="105" t="str">
        <f t="shared" si="49"/>
        <v/>
      </c>
      <c r="AT103" s="108" t="str">
        <f t="shared" si="50"/>
        <v/>
      </c>
      <c r="AU103" s="108" t="str">
        <f t="shared" si="51"/>
        <v/>
      </c>
      <c r="AV103" s="107" t="str">
        <f>IF(ISNUMBER(O103),IF(VLOOKUP($A103,Stand!C:J,8,FALSE)="Short",AT103,AU103),"")</f>
        <v/>
      </c>
      <c r="AW103" s="109" t="str">
        <f t="shared" si="52"/>
        <v/>
      </c>
      <c r="AX103" s="109" t="str">
        <f t="shared" si="53"/>
        <v/>
      </c>
      <c r="AY103" s="112" t="str">
        <f>IF(ISNUMBER(O103),IF(AND(VLOOKUP($D103,Merchantability!$B:$C,2,0)="Yes",$E103&gt;=VLOOKUP($D103,Merchantability!$B:$D,3,0),$E103&lt;=VLOOKUP($D103,Merchantability!$B:$E,4,0)),(AV103*O103)*(1-$H103/100),""),"")</f>
        <v/>
      </c>
      <c r="AZ103" s="115"/>
      <c r="BA103" s="116"/>
      <c r="BB103" s="116"/>
      <c r="BE103" s="62"/>
      <c r="BF103" s="63"/>
    </row>
    <row r="104" spans="1:58" ht="12.75" customHeight="1" x14ac:dyDescent="0.25">
      <c r="A104" s="313"/>
      <c r="B104" s="328"/>
      <c r="C104" s="329"/>
      <c r="D104" s="328"/>
      <c r="E104" s="330"/>
      <c r="F104" s="331"/>
      <c r="G104" s="329"/>
      <c r="H104" s="329"/>
      <c r="I104" s="328"/>
      <c r="J104" s="329"/>
      <c r="K104" s="329"/>
      <c r="L104" s="329"/>
      <c r="M104" s="76"/>
      <c r="N104" s="103" t="str">
        <f>IF(A104="","",VLOOKUP(A104,Stand!C:K,9,0))</f>
        <v/>
      </c>
      <c r="O104" s="104" t="str">
        <f t="shared" si="27"/>
        <v/>
      </c>
      <c r="P104" s="105" t="str">
        <f t="shared" si="28"/>
        <v/>
      </c>
      <c r="Q104" s="105" t="str">
        <f t="shared" si="29"/>
        <v/>
      </c>
      <c r="R104" s="103" t="str">
        <f t="shared" si="30"/>
        <v/>
      </c>
      <c r="S104" s="103" t="str">
        <f t="shared" si="31"/>
        <v/>
      </c>
      <c r="T104" s="106" t="str">
        <f t="shared" si="32"/>
        <v/>
      </c>
      <c r="U104" s="106" t="str">
        <f t="shared" si="33"/>
        <v/>
      </c>
      <c r="V104" s="106" t="str">
        <f t="shared" si="34"/>
        <v/>
      </c>
      <c r="W104" s="105" t="str">
        <f t="shared" si="35"/>
        <v/>
      </c>
      <c r="X104" s="104" t="str">
        <f t="shared" si="36"/>
        <v/>
      </c>
      <c r="Y104" s="104" t="str">
        <f t="array" ref="Y104">IFERROR(IF(ISNUMBER(O104),IF(COUNT(IF(A104=$A$2:$A$2427,IF(D104=$D$2:$D$2427,IF($X$2:$X$2427&gt;0,1))))&gt;0,SUM(IF(A104=$A$2:$A$2427,IF(D104=$D$2:$D$2427,$X$2:$X$2427)))/COUNT(IF(A104=$A$2:$A$2427,IF(D104=$D$2:$D$2427,IF(ISNUMBER($X$2:$X$2427),1)))),0),""),0)</f>
        <v/>
      </c>
      <c r="Z104" s="104" t="str">
        <f>IF(ISNUMBER(O104),IF(I104&gt;0,(10^(VLOOKUP(D104,'Species Codes'!B:C,2,0)+VLOOKUP(D104,'Species Codes'!B:D,3,0)*LOG(E104)+VLOOKUP(D104,'Species Codes'!B:E,4,0)*LOG(I104))),0),"")</f>
        <v/>
      </c>
      <c r="AA104" s="104" t="str">
        <f>IFERROR((VLOOKUP(D104,'Species Codes'!B:G,6,0)*Z104)/2000,"")</f>
        <v/>
      </c>
      <c r="AB104" s="104" t="e">
        <f>IF(Z104&gt;0,((IF(OR(D104="DF",D104="RA")=TRUE,EXP(VLOOKUP(D104,'Species Codes'!B:I,8,0)+VLOOKUP(D104,'Species Codes'!B:J,9,0)*(LN((E104*2.54)))),IF(OR(D104="PY",D104="RC",D104="WH",D104="NF")=TRUE,VLOOKUP(D104,'Species Codes'!B:I,8,0)+VLOOKUP(D104,'Species Codes'!B:J,9,0)*((E104*2.54)^2)*(I104*0.3048),IF(OR(D104="MD",D104="BM",D104="GA")=TRUE,((VLOOKUP(D104,'Species Codes'!B:I,8,0)*(((((E104*2.54)+VLOOKUP(D104,'Species Codes'!B:J,9,0))/VLOOKUP(D104,'Species Codes'!B:K,10,0))^VLOOKUP(D104,'Species Codes'!B:L,11,0))*((I104*0.3048)^VLOOKUP(D104,'Species Codes'!B:M,12,0))))-(VLOOKUP(D104,'Species Codes'!B:I,8,0)*((((E104*2.54)^VLOOKUP(D104,'Species Codes'!B:L,11,0))*((I104*0.3048)^VLOOKUP(D104,'Species Codes'!B:M,12,0))))))*35.3*VLOOKUP(D104,'Species Codes'!B:G,6,0)/2.2046,VLOOKUP(D104,'Species Codes'!B:I,8,0)+VLOOKUP(D104,'Species Codes'!B:J,9,0)*(((E104*2.54)/100)^2)*(I104*0.3048)))))*0.0011023),0)</f>
        <v>#N/A</v>
      </c>
      <c r="AC104" s="104" t="e">
        <f>IF(Z104&gt;0,((IF(OR(D104="RA",D104="OA",D104="OT",D104="UN",D104="PC"),EXP(VLOOKUP(D104,'Species Codes'!B:O,14,0)+VLOOKUP(D104,'Species Codes'!B:P,15,0)*LN((E104*2.54)))-EXP(VLOOKUP(D104,'Species Codes'!B:O,14,0)+VLOOKUP(D104,'Species Codes'!B:P,15,0)*LN((E104*2.54)))*(1/(VLOOKUP(D104,'Species Codes'!B:Q,16,0)+VLOOKUP(D104,'Species Codes'!B:R,17,0)*((E104*2.54)^VLOOKUP(D104,'Species Codes'!B:S,18,0)))),IF(OR(D104="BM",D104="MD",D104="OA"),EXP(VLOOKUP(D104,'Species Codes'!B:O,14,0)+VLOOKUP(D104,'Species Codes'!B:P,15,0)*LN((E104*2.54)))*(1-(1/(VLOOKUP(D104,'Species Codes'!B:Q,16,0)+VLOOKUP(D104,'Species Codes'!B:R,17,0)*((E104*2.54)^VLOOKUP(D104,'Species Codes'!B:S,18,0)))))/1000,IF(D104="DF",EXP(VLOOKUP(D104,'Species Codes'!B:O,14,0)+VLOOKUP(D104,'Species Codes'!B:P,15,0)*LN((E104*2.54))),VLOOKUP(D104,'Species Codes'!B:O,14,0)+VLOOKUP(D104,'Species Codes'!B:P,15,0)*(((E104*2.54)/100)^2)*(I104*0.3048)))))*0.0011023),0)</f>
        <v>#N/A</v>
      </c>
      <c r="AD104" s="104" t="e">
        <f t="shared" si="37"/>
        <v>#N/A</v>
      </c>
      <c r="AE104" s="104" t="e">
        <f t="shared" si="38"/>
        <v>#N/A</v>
      </c>
      <c r="AF104" s="104" t="e">
        <f>IF(AND(VLOOKUP($D104,Merchantability!$B:$C,2,0)="Yes",$E104&gt;=VLOOKUP($D104,Merchantability!$B:$D,3,0),$E104&lt;=VLOOKUP($D104,Merchantability!$B:$E,4,0)),AA104,0)</f>
        <v>#N/A</v>
      </c>
      <c r="AG104" s="104" t="e">
        <f>IF(AND(VLOOKUP($D104,Merchantability!$B:$C,2,0)="Yes",$E104&gt;=VLOOKUP($D104,Merchantability!$B:$D,3,0),$E104&lt;=VLOOKUP($D104,Merchantability!$B:$E,4,0)),AB104,0)</f>
        <v>#N/A</v>
      </c>
      <c r="AH104" s="104" t="e">
        <f>IF(AND(VLOOKUP($D104,Merchantability!$B:$C,2,0)="Yes",$E104&gt;=VLOOKUP($D104,Merchantability!$B:$D,3,0),$E104&lt;=VLOOKUP($D104,Merchantability!$B:$E,4,0)),AC104,0)</f>
        <v>#N/A</v>
      </c>
      <c r="AI104" s="104" t="e">
        <f t="shared" si="39"/>
        <v>#N/A</v>
      </c>
      <c r="AJ104" s="104" t="e">
        <f t="shared" si="40"/>
        <v>#VALUE!</v>
      </c>
      <c r="AK104" s="104" t="e">
        <f t="shared" si="41"/>
        <v>#N/A</v>
      </c>
      <c r="AL104" s="104" t="e">
        <f t="shared" si="42"/>
        <v>#N/A</v>
      </c>
      <c r="AM104" s="104" t="e">
        <f t="shared" si="43"/>
        <v>#N/A</v>
      </c>
      <c r="AN104" s="104" t="e">
        <f t="shared" si="44"/>
        <v>#N/A</v>
      </c>
      <c r="AO104" s="104" t="e">
        <f t="shared" si="45"/>
        <v>#N/A</v>
      </c>
      <c r="AP104" s="104" t="e">
        <f t="shared" si="46"/>
        <v>#N/A</v>
      </c>
      <c r="AQ104" s="104" t="e">
        <f t="shared" si="47"/>
        <v>#N/A</v>
      </c>
      <c r="AR104" s="105" t="str">
        <f t="shared" si="48"/>
        <v/>
      </c>
      <c r="AS104" s="105" t="str">
        <f t="shared" si="49"/>
        <v/>
      </c>
      <c r="AT104" s="108" t="str">
        <f t="shared" si="50"/>
        <v/>
      </c>
      <c r="AU104" s="108" t="str">
        <f t="shared" si="51"/>
        <v/>
      </c>
      <c r="AV104" s="107" t="str">
        <f>IF(ISNUMBER(O104),IF(VLOOKUP($A104,Stand!C:J,8,FALSE)="Short",AT104,AU104),"")</f>
        <v/>
      </c>
      <c r="AW104" s="109" t="str">
        <f t="shared" si="52"/>
        <v/>
      </c>
      <c r="AX104" s="109" t="str">
        <f t="shared" si="53"/>
        <v/>
      </c>
      <c r="AY104" s="112" t="str">
        <f>IF(ISNUMBER(O104),IF(AND(VLOOKUP($D104,Merchantability!$B:$C,2,0)="Yes",$E104&gt;=VLOOKUP($D104,Merchantability!$B:$D,3,0),$E104&lt;=VLOOKUP($D104,Merchantability!$B:$E,4,0)),(AV104*O104)*(1-$H104/100),""),"")</f>
        <v/>
      </c>
      <c r="AZ104" s="116"/>
      <c r="BA104" s="116"/>
      <c r="BB104" s="116"/>
      <c r="BE104" s="62"/>
      <c r="BF104" s="63"/>
    </row>
    <row r="105" spans="1:58" ht="12.75" customHeight="1" x14ac:dyDescent="0.25">
      <c r="A105" s="313"/>
      <c r="B105" s="328"/>
      <c r="C105" s="329"/>
      <c r="D105" s="328"/>
      <c r="E105" s="330"/>
      <c r="F105" s="331"/>
      <c r="G105" s="329"/>
      <c r="H105" s="329"/>
      <c r="I105" s="328"/>
      <c r="J105" s="329"/>
      <c r="K105" s="329"/>
      <c r="L105" s="329"/>
      <c r="M105" s="76"/>
      <c r="N105" s="103" t="str">
        <f>IF(A105="","",VLOOKUP(A105,Stand!C:K,9,0))</f>
        <v/>
      </c>
      <c r="O105" s="104" t="str">
        <f t="shared" si="27"/>
        <v/>
      </c>
      <c r="P105" s="105" t="str">
        <f t="shared" si="28"/>
        <v/>
      </c>
      <c r="Q105" s="105" t="str">
        <f t="shared" si="29"/>
        <v/>
      </c>
      <c r="R105" s="103" t="str">
        <f t="shared" si="30"/>
        <v/>
      </c>
      <c r="S105" s="103" t="str">
        <f t="shared" si="31"/>
        <v/>
      </c>
      <c r="T105" s="106" t="str">
        <f t="shared" si="32"/>
        <v/>
      </c>
      <c r="U105" s="106" t="str">
        <f t="shared" si="33"/>
        <v/>
      </c>
      <c r="V105" s="106" t="str">
        <f t="shared" si="34"/>
        <v/>
      </c>
      <c r="W105" s="105" t="str">
        <f t="shared" si="35"/>
        <v/>
      </c>
      <c r="X105" s="104" t="str">
        <f t="shared" si="36"/>
        <v/>
      </c>
      <c r="Y105" s="104" t="str">
        <f t="array" ref="Y105">IFERROR(IF(ISNUMBER(O105),IF(COUNT(IF(A105=$A$2:$A$2427,IF(D105=$D$2:$D$2427,IF($X$2:$X$2427&gt;0,1))))&gt;0,SUM(IF(A105=$A$2:$A$2427,IF(D105=$D$2:$D$2427,$X$2:$X$2427)))/COUNT(IF(A105=$A$2:$A$2427,IF(D105=$D$2:$D$2427,IF(ISNUMBER($X$2:$X$2427),1)))),0),""),0)</f>
        <v/>
      </c>
      <c r="Z105" s="104" t="str">
        <f>IF(ISNUMBER(O105),IF(I105&gt;0,(10^(VLOOKUP(D105,'Species Codes'!B:C,2,0)+VLOOKUP(D105,'Species Codes'!B:D,3,0)*LOG(E105)+VLOOKUP(D105,'Species Codes'!B:E,4,0)*LOG(I105))),0),"")</f>
        <v/>
      </c>
      <c r="AA105" s="104" t="str">
        <f>IFERROR((VLOOKUP(D105,'Species Codes'!B:G,6,0)*Z105)/2000,"")</f>
        <v/>
      </c>
      <c r="AB105" s="104" t="e">
        <f>IF(Z105&gt;0,((IF(OR(D105="DF",D105="RA")=TRUE,EXP(VLOOKUP(D105,'Species Codes'!B:I,8,0)+VLOOKUP(D105,'Species Codes'!B:J,9,0)*(LN((E105*2.54)))),IF(OR(D105="PY",D105="RC",D105="WH",D105="NF")=TRUE,VLOOKUP(D105,'Species Codes'!B:I,8,0)+VLOOKUP(D105,'Species Codes'!B:J,9,0)*((E105*2.54)^2)*(I105*0.3048),IF(OR(D105="MD",D105="BM",D105="GA")=TRUE,((VLOOKUP(D105,'Species Codes'!B:I,8,0)*(((((E105*2.54)+VLOOKUP(D105,'Species Codes'!B:J,9,0))/VLOOKUP(D105,'Species Codes'!B:K,10,0))^VLOOKUP(D105,'Species Codes'!B:L,11,0))*((I105*0.3048)^VLOOKUP(D105,'Species Codes'!B:M,12,0))))-(VLOOKUP(D105,'Species Codes'!B:I,8,0)*((((E105*2.54)^VLOOKUP(D105,'Species Codes'!B:L,11,0))*((I105*0.3048)^VLOOKUP(D105,'Species Codes'!B:M,12,0))))))*35.3*VLOOKUP(D105,'Species Codes'!B:G,6,0)/2.2046,VLOOKUP(D105,'Species Codes'!B:I,8,0)+VLOOKUP(D105,'Species Codes'!B:J,9,0)*(((E105*2.54)/100)^2)*(I105*0.3048)))))*0.0011023),0)</f>
        <v>#N/A</v>
      </c>
      <c r="AC105" s="104" t="e">
        <f>IF(Z105&gt;0,((IF(OR(D105="RA",D105="OA",D105="OT",D105="UN",D105="PC"),EXP(VLOOKUP(D105,'Species Codes'!B:O,14,0)+VLOOKUP(D105,'Species Codes'!B:P,15,0)*LN((E105*2.54)))-EXP(VLOOKUP(D105,'Species Codes'!B:O,14,0)+VLOOKUP(D105,'Species Codes'!B:P,15,0)*LN((E105*2.54)))*(1/(VLOOKUP(D105,'Species Codes'!B:Q,16,0)+VLOOKUP(D105,'Species Codes'!B:R,17,0)*((E105*2.54)^VLOOKUP(D105,'Species Codes'!B:S,18,0)))),IF(OR(D105="BM",D105="MD",D105="OA"),EXP(VLOOKUP(D105,'Species Codes'!B:O,14,0)+VLOOKUP(D105,'Species Codes'!B:P,15,0)*LN((E105*2.54)))*(1-(1/(VLOOKUP(D105,'Species Codes'!B:Q,16,0)+VLOOKUP(D105,'Species Codes'!B:R,17,0)*((E105*2.54)^VLOOKUP(D105,'Species Codes'!B:S,18,0)))))/1000,IF(D105="DF",EXP(VLOOKUP(D105,'Species Codes'!B:O,14,0)+VLOOKUP(D105,'Species Codes'!B:P,15,0)*LN((E105*2.54))),VLOOKUP(D105,'Species Codes'!B:O,14,0)+VLOOKUP(D105,'Species Codes'!B:P,15,0)*(((E105*2.54)/100)^2)*(I105*0.3048)))))*0.0011023),0)</f>
        <v>#N/A</v>
      </c>
      <c r="AD105" s="104" t="e">
        <f t="shared" si="37"/>
        <v>#N/A</v>
      </c>
      <c r="AE105" s="104" t="e">
        <f t="shared" si="38"/>
        <v>#N/A</v>
      </c>
      <c r="AF105" s="104" t="e">
        <f>IF(AND(VLOOKUP($D105,Merchantability!$B:$C,2,0)="Yes",$E105&gt;=VLOOKUP($D105,Merchantability!$B:$D,3,0),$E105&lt;=VLOOKUP($D105,Merchantability!$B:$E,4,0)),AA105,0)</f>
        <v>#N/A</v>
      </c>
      <c r="AG105" s="104" t="e">
        <f>IF(AND(VLOOKUP($D105,Merchantability!$B:$C,2,0)="Yes",$E105&gt;=VLOOKUP($D105,Merchantability!$B:$D,3,0),$E105&lt;=VLOOKUP($D105,Merchantability!$B:$E,4,0)),AB105,0)</f>
        <v>#N/A</v>
      </c>
      <c r="AH105" s="104" t="e">
        <f>IF(AND(VLOOKUP($D105,Merchantability!$B:$C,2,0)="Yes",$E105&gt;=VLOOKUP($D105,Merchantability!$B:$D,3,0),$E105&lt;=VLOOKUP($D105,Merchantability!$B:$E,4,0)),AC105,0)</f>
        <v>#N/A</v>
      </c>
      <c r="AI105" s="104" t="e">
        <f t="shared" si="39"/>
        <v>#N/A</v>
      </c>
      <c r="AJ105" s="104" t="e">
        <f t="shared" si="40"/>
        <v>#VALUE!</v>
      </c>
      <c r="AK105" s="104" t="e">
        <f t="shared" si="41"/>
        <v>#N/A</v>
      </c>
      <c r="AL105" s="104" t="e">
        <f t="shared" si="42"/>
        <v>#N/A</v>
      </c>
      <c r="AM105" s="104" t="e">
        <f t="shared" si="43"/>
        <v>#N/A</v>
      </c>
      <c r="AN105" s="104" t="e">
        <f t="shared" si="44"/>
        <v>#N/A</v>
      </c>
      <c r="AO105" s="104" t="e">
        <f t="shared" si="45"/>
        <v>#N/A</v>
      </c>
      <c r="AP105" s="104" t="e">
        <f t="shared" si="46"/>
        <v>#N/A</v>
      </c>
      <c r="AQ105" s="104" t="e">
        <f t="shared" si="47"/>
        <v>#N/A</v>
      </c>
      <c r="AR105" s="105" t="str">
        <f t="shared" si="48"/>
        <v/>
      </c>
      <c r="AS105" s="105" t="str">
        <f t="shared" si="49"/>
        <v/>
      </c>
      <c r="AT105" s="108" t="str">
        <f t="shared" si="50"/>
        <v/>
      </c>
      <c r="AU105" s="108" t="str">
        <f t="shared" si="51"/>
        <v/>
      </c>
      <c r="AV105" s="107" t="str">
        <f>IF(ISNUMBER(O105),IF(VLOOKUP($A105,Stand!C:J,8,FALSE)="Short",AT105,AU105),"")</f>
        <v/>
      </c>
      <c r="AW105" s="109" t="str">
        <f t="shared" si="52"/>
        <v/>
      </c>
      <c r="AX105" s="109" t="str">
        <f t="shared" si="53"/>
        <v/>
      </c>
      <c r="AY105" s="112" t="str">
        <f>IF(ISNUMBER(O105),IF(AND(VLOOKUP($D105,Merchantability!$B:$C,2,0)="Yes",$E105&gt;=VLOOKUP($D105,Merchantability!$B:$D,3,0),$E105&lt;=VLOOKUP($D105,Merchantability!$B:$E,4,0)),(AV105*O105)*(1-$H105/100),""),"")</f>
        <v/>
      </c>
      <c r="AZ105" s="115"/>
      <c r="BA105" s="116"/>
      <c r="BB105" s="116"/>
      <c r="BE105" s="62"/>
      <c r="BF105" s="63"/>
    </row>
    <row r="106" spans="1:58" ht="12.75" customHeight="1" x14ac:dyDescent="0.25">
      <c r="A106" s="313"/>
      <c r="B106" s="328"/>
      <c r="C106" s="329"/>
      <c r="D106" s="328"/>
      <c r="E106" s="330"/>
      <c r="F106" s="331"/>
      <c r="G106" s="329"/>
      <c r="H106" s="329"/>
      <c r="I106" s="328"/>
      <c r="J106" s="329"/>
      <c r="K106" s="329"/>
      <c r="L106" s="329"/>
      <c r="M106" s="76"/>
      <c r="N106" s="103" t="str">
        <f>IF(A106="","",VLOOKUP(A106,Stand!C:K,9,0))</f>
        <v/>
      </c>
      <c r="O106" s="104" t="str">
        <f t="shared" si="27"/>
        <v/>
      </c>
      <c r="P106" s="105" t="str">
        <f t="shared" si="28"/>
        <v/>
      </c>
      <c r="Q106" s="105" t="str">
        <f t="shared" si="29"/>
        <v/>
      </c>
      <c r="R106" s="103" t="str">
        <f t="shared" si="30"/>
        <v/>
      </c>
      <c r="S106" s="103" t="str">
        <f t="shared" si="31"/>
        <v/>
      </c>
      <c r="T106" s="106" t="str">
        <f t="shared" si="32"/>
        <v/>
      </c>
      <c r="U106" s="106" t="str">
        <f t="shared" si="33"/>
        <v/>
      </c>
      <c r="V106" s="106" t="str">
        <f t="shared" si="34"/>
        <v/>
      </c>
      <c r="W106" s="105" t="str">
        <f t="shared" si="35"/>
        <v/>
      </c>
      <c r="X106" s="104" t="str">
        <f t="shared" si="36"/>
        <v/>
      </c>
      <c r="Y106" s="104" t="str">
        <f t="array" ref="Y106">IFERROR(IF(ISNUMBER(O106),IF(COUNT(IF(A106=$A$2:$A$2427,IF(D106=$D$2:$D$2427,IF($X$2:$X$2427&gt;0,1))))&gt;0,SUM(IF(A106=$A$2:$A$2427,IF(D106=$D$2:$D$2427,$X$2:$X$2427)))/COUNT(IF(A106=$A$2:$A$2427,IF(D106=$D$2:$D$2427,IF(ISNUMBER($X$2:$X$2427),1)))),0),""),0)</f>
        <v/>
      </c>
      <c r="Z106" s="104" t="str">
        <f>IF(ISNUMBER(O106),IF(I106&gt;0,(10^(VLOOKUP(D106,'Species Codes'!B:C,2,0)+VLOOKUP(D106,'Species Codes'!B:D,3,0)*LOG(E106)+VLOOKUP(D106,'Species Codes'!B:E,4,0)*LOG(I106))),0),"")</f>
        <v/>
      </c>
      <c r="AA106" s="104" t="str">
        <f>IFERROR((VLOOKUP(D106,'Species Codes'!B:G,6,0)*Z106)/2000,"")</f>
        <v/>
      </c>
      <c r="AB106" s="104" t="e">
        <f>IF(Z106&gt;0,((IF(OR(D106="DF",D106="RA")=TRUE,EXP(VLOOKUP(D106,'Species Codes'!B:I,8,0)+VLOOKUP(D106,'Species Codes'!B:J,9,0)*(LN((E106*2.54)))),IF(OR(D106="PY",D106="RC",D106="WH",D106="NF")=TRUE,VLOOKUP(D106,'Species Codes'!B:I,8,0)+VLOOKUP(D106,'Species Codes'!B:J,9,0)*((E106*2.54)^2)*(I106*0.3048),IF(OR(D106="MD",D106="BM",D106="GA")=TRUE,((VLOOKUP(D106,'Species Codes'!B:I,8,0)*(((((E106*2.54)+VLOOKUP(D106,'Species Codes'!B:J,9,0))/VLOOKUP(D106,'Species Codes'!B:K,10,0))^VLOOKUP(D106,'Species Codes'!B:L,11,0))*((I106*0.3048)^VLOOKUP(D106,'Species Codes'!B:M,12,0))))-(VLOOKUP(D106,'Species Codes'!B:I,8,0)*((((E106*2.54)^VLOOKUP(D106,'Species Codes'!B:L,11,0))*((I106*0.3048)^VLOOKUP(D106,'Species Codes'!B:M,12,0))))))*35.3*VLOOKUP(D106,'Species Codes'!B:G,6,0)/2.2046,VLOOKUP(D106,'Species Codes'!B:I,8,0)+VLOOKUP(D106,'Species Codes'!B:J,9,0)*(((E106*2.54)/100)^2)*(I106*0.3048)))))*0.0011023),0)</f>
        <v>#N/A</v>
      </c>
      <c r="AC106" s="104" t="e">
        <f>IF(Z106&gt;0,((IF(OR(D106="RA",D106="OA",D106="OT",D106="UN",D106="PC"),EXP(VLOOKUP(D106,'Species Codes'!B:O,14,0)+VLOOKUP(D106,'Species Codes'!B:P,15,0)*LN((E106*2.54)))-EXP(VLOOKUP(D106,'Species Codes'!B:O,14,0)+VLOOKUP(D106,'Species Codes'!B:P,15,0)*LN((E106*2.54)))*(1/(VLOOKUP(D106,'Species Codes'!B:Q,16,0)+VLOOKUP(D106,'Species Codes'!B:R,17,0)*((E106*2.54)^VLOOKUP(D106,'Species Codes'!B:S,18,0)))),IF(OR(D106="BM",D106="MD",D106="OA"),EXP(VLOOKUP(D106,'Species Codes'!B:O,14,0)+VLOOKUP(D106,'Species Codes'!B:P,15,0)*LN((E106*2.54)))*(1-(1/(VLOOKUP(D106,'Species Codes'!B:Q,16,0)+VLOOKUP(D106,'Species Codes'!B:R,17,0)*((E106*2.54)^VLOOKUP(D106,'Species Codes'!B:S,18,0)))))/1000,IF(D106="DF",EXP(VLOOKUP(D106,'Species Codes'!B:O,14,0)+VLOOKUP(D106,'Species Codes'!B:P,15,0)*LN((E106*2.54))),VLOOKUP(D106,'Species Codes'!B:O,14,0)+VLOOKUP(D106,'Species Codes'!B:P,15,0)*(((E106*2.54)/100)^2)*(I106*0.3048)))))*0.0011023),0)</f>
        <v>#N/A</v>
      </c>
      <c r="AD106" s="104" t="e">
        <f t="shared" si="37"/>
        <v>#N/A</v>
      </c>
      <c r="AE106" s="104" t="e">
        <f t="shared" si="38"/>
        <v>#N/A</v>
      </c>
      <c r="AF106" s="104" t="e">
        <f>IF(AND(VLOOKUP($D106,Merchantability!$B:$C,2,0)="Yes",$E106&gt;=VLOOKUP($D106,Merchantability!$B:$D,3,0),$E106&lt;=VLOOKUP($D106,Merchantability!$B:$E,4,0)),AA106,0)</f>
        <v>#N/A</v>
      </c>
      <c r="AG106" s="104" t="e">
        <f>IF(AND(VLOOKUP($D106,Merchantability!$B:$C,2,0)="Yes",$E106&gt;=VLOOKUP($D106,Merchantability!$B:$D,3,0),$E106&lt;=VLOOKUP($D106,Merchantability!$B:$E,4,0)),AB106,0)</f>
        <v>#N/A</v>
      </c>
      <c r="AH106" s="104" t="e">
        <f>IF(AND(VLOOKUP($D106,Merchantability!$B:$C,2,0)="Yes",$E106&gt;=VLOOKUP($D106,Merchantability!$B:$D,3,0),$E106&lt;=VLOOKUP($D106,Merchantability!$B:$E,4,0)),AC106,0)</f>
        <v>#N/A</v>
      </c>
      <c r="AI106" s="104" t="e">
        <f t="shared" si="39"/>
        <v>#N/A</v>
      </c>
      <c r="AJ106" s="104" t="e">
        <f t="shared" si="40"/>
        <v>#VALUE!</v>
      </c>
      <c r="AK106" s="104" t="e">
        <f t="shared" si="41"/>
        <v>#N/A</v>
      </c>
      <c r="AL106" s="104" t="e">
        <f t="shared" si="42"/>
        <v>#N/A</v>
      </c>
      <c r="AM106" s="104" t="e">
        <f t="shared" si="43"/>
        <v>#N/A</v>
      </c>
      <c r="AN106" s="104" t="e">
        <f t="shared" si="44"/>
        <v>#N/A</v>
      </c>
      <c r="AO106" s="104" t="e">
        <f t="shared" si="45"/>
        <v>#N/A</v>
      </c>
      <c r="AP106" s="104" t="e">
        <f t="shared" si="46"/>
        <v>#N/A</v>
      </c>
      <c r="AQ106" s="104" t="e">
        <f t="shared" si="47"/>
        <v>#N/A</v>
      </c>
      <c r="AR106" s="105" t="str">
        <f t="shared" si="48"/>
        <v/>
      </c>
      <c r="AS106" s="105" t="str">
        <f t="shared" si="49"/>
        <v/>
      </c>
      <c r="AT106" s="108" t="str">
        <f t="shared" si="50"/>
        <v/>
      </c>
      <c r="AU106" s="108" t="str">
        <f t="shared" si="51"/>
        <v/>
      </c>
      <c r="AV106" s="107" t="str">
        <f>IF(ISNUMBER(O106),IF(VLOOKUP($A106,Stand!C:J,8,FALSE)="Short",AT106,AU106),"")</f>
        <v/>
      </c>
      <c r="AW106" s="109" t="str">
        <f t="shared" si="52"/>
        <v/>
      </c>
      <c r="AX106" s="109" t="str">
        <f t="shared" si="53"/>
        <v/>
      </c>
      <c r="AY106" s="112" t="str">
        <f>IF(ISNUMBER(O106),IF(AND(VLOOKUP($D106,Merchantability!$B:$C,2,0)="Yes",$E106&gt;=VLOOKUP($D106,Merchantability!$B:$D,3,0),$E106&lt;=VLOOKUP($D106,Merchantability!$B:$E,4,0)),(AV106*O106)*(1-$H106/100),""),"")</f>
        <v/>
      </c>
      <c r="AZ106" s="115"/>
      <c r="BA106" s="116"/>
      <c r="BB106" s="116"/>
      <c r="BE106" s="62"/>
      <c r="BF106" s="63"/>
    </row>
    <row r="107" spans="1:58" ht="12.75" customHeight="1" x14ac:dyDescent="0.25">
      <c r="A107" s="313"/>
      <c r="B107" s="328"/>
      <c r="C107" s="329"/>
      <c r="D107" s="328"/>
      <c r="E107" s="330"/>
      <c r="F107" s="331"/>
      <c r="G107" s="329"/>
      <c r="H107" s="329"/>
      <c r="I107" s="328"/>
      <c r="J107" s="329"/>
      <c r="K107" s="329"/>
      <c r="L107" s="329"/>
      <c r="M107" s="76"/>
      <c r="N107" s="103" t="str">
        <f>IF(A107="","",VLOOKUP(A107,Stand!C:K,9,0))</f>
        <v/>
      </c>
      <c r="O107" s="104" t="str">
        <f t="shared" si="27"/>
        <v/>
      </c>
      <c r="P107" s="105" t="str">
        <f t="shared" si="28"/>
        <v/>
      </c>
      <c r="Q107" s="105" t="str">
        <f t="shared" si="29"/>
        <v/>
      </c>
      <c r="R107" s="103" t="str">
        <f t="shared" si="30"/>
        <v/>
      </c>
      <c r="S107" s="103" t="str">
        <f t="shared" si="31"/>
        <v/>
      </c>
      <c r="T107" s="106" t="str">
        <f t="shared" si="32"/>
        <v/>
      </c>
      <c r="U107" s="106" t="str">
        <f t="shared" si="33"/>
        <v/>
      </c>
      <c r="V107" s="106" t="str">
        <f t="shared" si="34"/>
        <v/>
      </c>
      <c r="W107" s="105" t="str">
        <f t="shared" si="35"/>
        <v/>
      </c>
      <c r="X107" s="104" t="str">
        <f t="shared" si="36"/>
        <v/>
      </c>
      <c r="Y107" s="104" t="str">
        <f t="array" ref="Y107">IFERROR(IF(ISNUMBER(O107),IF(COUNT(IF(A107=$A$2:$A$2427,IF(D107=$D$2:$D$2427,IF($X$2:$X$2427&gt;0,1))))&gt;0,SUM(IF(A107=$A$2:$A$2427,IF(D107=$D$2:$D$2427,$X$2:$X$2427)))/COUNT(IF(A107=$A$2:$A$2427,IF(D107=$D$2:$D$2427,IF(ISNUMBER($X$2:$X$2427),1)))),0),""),0)</f>
        <v/>
      </c>
      <c r="Z107" s="104" t="str">
        <f>IF(ISNUMBER(O107),IF(I107&gt;0,(10^(VLOOKUP(D107,'Species Codes'!B:C,2,0)+VLOOKUP(D107,'Species Codes'!B:D,3,0)*LOG(E107)+VLOOKUP(D107,'Species Codes'!B:E,4,0)*LOG(I107))),0),"")</f>
        <v/>
      </c>
      <c r="AA107" s="104" t="str">
        <f>IFERROR((VLOOKUP(D107,'Species Codes'!B:G,6,0)*Z107)/2000,"")</f>
        <v/>
      </c>
      <c r="AB107" s="104" t="e">
        <f>IF(Z107&gt;0,((IF(OR(D107="DF",D107="RA")=TRUE,EXP(VLOOKUP(D107,'Species Codes'!B:I,8,0)+VLOOKUP(D107,'Species Codes'!B:J,9,0)*(LN((E107*2.54)))),IF(OR(D107="PY",D107="RC",D107="WH",D107="NF")=TRUE,VLOOKUP(D107,'Species Codes'!B:I,8,0)+VLOOKUP(D107,'Species Codes'!B:J,9,0)*((E107*2.54)^2)*(I107*0.3048),IF(OR(D107="MD",D107="BM",D107="GA")=TRUE,((VLOOKUP(D107,'Species Codes'!B:I,8,0)*(((((E107*2.54)+VLOOKUP(D107,'Species Codes'!B:J,9,0))/VLOOKUP(D107,'Species Codes'!B:K,10,0))^VLOOKUP(D107,'Species Codes'!B:L,11,0))*((I107*0.3048)^VLOOKUP(D107,'Species Codes'!B:M,12,0))))-(VLOOKUP(D107,'Species Codes'!B:I,8,0)*((((E107*2.54)^VLOOKUP(D107,'Species Codes'!B:L,11,0))*((I107*0.3048)^VLOOKUP(D107,'Species Codes'!B:M,12,0))))))*35.3*VLOOKUP(D107,'Species Codes'!B:G,6,0)/2.2046,VLOOKUP(D107,'Species Codes'!B:I,8,0)+VLOOKUP(D107,'Species Codes'!B:J,9,0)*(((E107*2.54)/100)^2)*(I107*0.3048)))))*0.0011023),0)</f>
        <v>#N/A</v>
      </c>
      <c r="AC107" s="104" t="e">
        <f>IF(Z107&gt;0,((IF(OR(D107="RA",D107="OA",D107="OT",D107="UN",D107="PC"),EXP(VLOOKUP(D107,'Species Codes'!B:O,14,0)+VLOOKUP(D107,'Species Codes'!B:P,15,0)*LN((E107*2.54)))-EXP(VLOOKUP(D107,'Species Codes'!B:O,14,0)+VLOOKUP(D107,'Species Codes'!B:P,15,0)*LN((E107*2.54)))*(1/(VLOOKUP(D107,'Species Codes'!B:Q,16,0)+VLOOKUP(D107,'Species Codes'!B:R,17,0)*((E107*2.54)^VLOOKUP(D107,'Species Codes'!B:S,18,0)))),IF(OR(D107="BM",D107="MD",D107="OA"),EXP(VLOOKUP(D107,'Species Codes'!B:O,14,0)+VLOOKUP(D107,'Species Codes'!B:P,15,0)*LN((E107*2.54)))*(1-(1/(VLOOKUP(D107,'Species Codes'!B:Q,16,0)+VLOOKUP(D107,'Species Codes'!B:R,17,0)*((E107*2.54)^VLOOKUP(D107,'Species Codes'!B:S,18,0)))))/1000,IF(D107="DF",EXP(VLOOKUP(D107,'Species Codes'!B:O,14,0)+VLOOKUP(D107,'Species Codes'!B:P,15,0)*LN((E107*2.54))),VLOOKUP(D107,'Species Codes'!B:O,14,0)+VLOOKUP(D107,'Species Codes'!B:P,15,0)*(((E107*2.54)/100)^2)*(I107*0.3048)))))*0.0011023),0)</f>
        <v>#N/A</v>
      </c>
      <c r="AD107" s="104" t="e">
        <f t="shared" si="37"/>
        <v>#N/A</v>
      </c>
      <c r="AE107" s="104" t="e">
        <f t="shared" si="38"/>
        <v>#N/A</v>
      </c>
      <c r="AF107" s="104" t="e">
        <f>IF(AND(VLOOKUP($D107,Merchantability!$B:$C,2,0)="Yes",$E107&gt;=VLOOKUP($D107,Merchantability!$B:$D,3,0),$E107&lt;=VLOOKUP($D107,Merchantability!$B:$E,4,0)),AA107,0)</f>
        <v>#N/A</v>
      </c>
      <c r="AG107" s="104" t="e">
        <f>IF(AND(VLOOKUP($D107,Merchantability!$B:$C,2,0)="Yes",$E107&gt;=VLOOKUP($D107,Merchantability!$B:$D,3,0),$E107&lt;=VLOOKUP($D107,Merchantability!$B:$E,4,0)),AB107,0)</f>
        <v>#N/A</v>
      </c>
      <c r="AH107" s="104" t="e">
        <f>IF(AND(VLOOKUP($D107,Merchantability!$B:$C,2,0)="Yes",$E107&gt;=VLOOKUP($D107,Merchantability!$B:$D,3,0),$E107&lt;=VLOOKUP($D107,Merchantability!$B:$E,4,0)),AC107,0)</f>
        <v>#N/A</v>
      </c>
      <c r="AI107" s="104" t="e">
        <f t="shared" si="39"/>
        <v>#N/A</v>
      </c>
      <c r="AJ107" s="104" t="e">
        <f t="shared" si="40"/>
        <v>#VALUE!</v>
      </c>
      <c r="AK107" s="104" t="e">
        <f t="shared" si="41"/>
        <v>#N/A</v>
      </c>
      <c r="AL107" s="104" t="e">
        <f t="shared" si="42"/>
        <v>#N/A</v>
      </c>
      <c r="AM107" s="104" t="e">
        <f t="shared" si="43"/>
        <v>#N/A</v>
      </c>
      <c r="AN107" s="104" t="e">
        <f t="shared" si="44"/>
        <v>#N/A</v>
      </c>
      <c r="AO107" s="104" t="e">
        <f t="shared" si="45"/>
        <v>#N/A</v>
      </c>
      <c r="AP107" s="104" t="e">
        <f t="shared" si="46"/>
        <v>#N/A</v>
      </c>
      <c r="AQ107" s="104" t="e">
        <f t="shared" si="47"/>
        <v>#N/A</v>
      </c>
      <c r="AR107" s="105" t="str">
        <f t="shared" si="48"/>
        <v/>
      </c>
      <c r="AS107" s="105" t="str">
        <f t="shared" si="49"/>
        <v/>
      </c>
      <c r="AT107" s="108" t="str">
        <f t="shared" si="50"/>
        <v/>
      </c>
      <c r="AU107" s="108" t="str">
        <f t="shared" si="51"/>
        <v/>
      </c>
      <c r="AV107" s="107" t="str">
        <f>IF(ISNUMBER(O107),IF(VLOOKUP($A107,Stand!C:J,8,FALSE)="Short",AT107,AU107),"")</f>
        <v/>
      </c>
      <c r="AW107" s="109" t="str">
        <f t="shared" si="52"/>
        <v/>
      </c>
      <c r="AX107" s="109" t="str">
        <f t="shared" si="53"/>
        <v/>
      </c>
      <c r="AY107" s="112" t="str">
        <f>IF(ISNUMBER(O107),IF(AND(VLOOKUP($D107,Merchantability!$B:$C,2,0)="Yes",$E107&gt;=VLOOKUP($D107,Merchantability!$B:$D,3,0),$E107&lt;=VLOOKUP($D107,Merchantability!$B:$E,4,0)),(AV107*O107)*(1-$H107/100),""),"")</f>
        <v/>
      </c>
      <c r="AZ107" s="115"/>
      <c r="BA107" s="116"/>
      <c r="BB107" s="116"/>
      <c r="BE107" s="62"/>
      <c r="BF107" s="63"/>
    </row>
    <row r="108" spans="1:58" ht="12.75" customHeight="1" x14ac:dyDescent="0.25">
      <c r="A108" s="313"/>
      <c r="B108" s="328"/>
      <c r="C108" s="329"/>
      <c r="D108" s="328"/>
      <c r="E108" s="330"/>
      <c r="F108" s="331"/>
      <c r="G108" s="329"/>
      <c r="H108" s="329"/>
      <c r="I108" s="328"/>
      <c r="J108" s="329"/>
      <c r="K108" s="329"/>
      <c r="L108" s="329"/>
      <c r="M108" s="76"/>
      <c r="N108" s="103" t="str">
        <f>IF(A108="","",VLOOKUP(A108,Stand!C:K,9,0))</f>
        <v/>
      </c>
      <c r="O108" s="104" t="str">
        <f t="shared" si="27"/>
        <v/>
      </c>
      <c r="P108" s="105" t="str">
        <f t="shared" si="28"/>
        <v/>
      </c>
      <c r="Q108" s="105" t="str">
        <f t="shared" si="29"/>
        <v/>
      </c>
      <c r="R108" s="103" t="str">
        <f t="shared" si="30"/>
        <v/>
      </c>
      <c r="S108" s="103" t="str">
        <f t="shared" si="31"/>
        <v/>
      </c>
      <c r="T108" s="106" t="str">
        <f t="shared" si="32"/>
        <v/>
      </c>
      <c r="U108" s="106" t="str">
        <f t="shared" si="33"/>
        <v/>
      </c>
      <c r="V108" s="106" t="str">
        <f t="shared" si="34"/>
        <v/>
      </c>
      <c r="W108" s="105" t="str">
        <f t="shared" si="35"/>
        <v/>
      </c>
      <c r="X108" s="104" t="str">
        <f t="shared" si="36"/>
        <v/>
      </c>
      <c r="Y108" s="104" t="str">
        <f t="array" ref="Y108">IFERROR(IF(ISNUMBER(O108),IF(COUNT(IF(A108=$A$2:$A$2427,IF(D108=$D$2:$D$2427,IF($X$2:$X$2427&gt;0,1))))&gt;0,SUM(IF(A108=$A$2:$A$2427,IF(D108=$D$2:$D$2427,$X$2:$X$2427)))/COUNT(IF(A108=$A$2:$A$2427,IF(D108=$D$2:$D$2427,IF(ISNUMBER($X$2:$X$2427),1)))),0),""),0)</f>
        <v/>
      </c>
      <c r="Z108" s="104" t="str">
        <f>IF(ISNUMBER(O108),IF(I108&gt;0,(10^(VLOOKUP(D108,'Species Codes'!B:C,2,0)+VLOOKUP(D108,'Species Codes'!B:D,3,0)*LOG(E108)+VLOOKUP(D108,'Species Codes'!B:E,4,0)*LOG(I108))),0),"")</f>
        <v/>
      </c>
      <c r="AA108" s="104" t="str">
        <f>IFERROR((VLOOKUP(D108,'Species Codes'!B:G,6,0)*Z108)/2000,"")</f>
        <v/>
      </c>
      <c r="AB108" s="104" t="e">
        <f>IF(Z108&gt;0,((IF(OR(D108="DF",D108="RA")=TRUE,EXP(VLOOKUP(D108,'Species Codes'!B:I,8,0)+VLOOKUP(D108,'Species Codes'!B:J,9,0)*(LN((E108*2.54)))),IF(OR(D108="PY",D108="RC",D108="WH",D108="NF")=TRUE,VLOOKUP(D108,'Species Codes'!B:I,8,0)+VLOOKUP(D108,'Species Codes'!B:J,9,0)*((E108*2.54)^2)*(I108*0.3048),IF(OR(D108="MD",D108="BM",D108="GA")=TRUE,((VLOOKUP(D108,'Species Codes'!B:I,8,0)*(((((E108*2.54)+VLOOKUP(D108,'Species Codes'!B:J,9,0))/VLOOKUP(D108,'Species Codes'!B:K,10,0))^VLOOKUP(D108,'Species Codes'!B:L,11,0))*((I108*0.3048)^VLOOKUP(D108,'Species Codes'!B:M,12,0))))-(VLOOKUP(D108,'Species Codes'!B:I,8,0)*((((E108*2.54)^VLOOKUP(D108,'Species Codes'!B:L,11,0))*((I108*0.3048)^VLOOKUP(D108,'Species Codes'!B:M,12,0))))))*35.3*VLOOKUP(D108,'Species Codes'!B:G,6,0)/2.2046,VLOOKUP(D108,'Species Codes'!B:I,8,0)+VLOOKUP(D108,'Species Codes'!B:J,9,0)*(((E108*2.54)/100)^2)*(I108*0.3048)))))*0.0011023),0)</f>
        <v>#N/A</v>
      </c>
      <c r="AC108" s="104" t="e">
        <f>IF(Z108&gt;0,((IF(OR(D108="RA",D108="OA",D108="OT",D108="UN",D108="PC"),EXP(VLOOKUP(D108,'Species Codes'!B:O,14,0)+VLOOKUP(D108,'Species Codes'!B:P,15,0)*LN((E108*2.54)))-EXP(VLOOKUP(D108,'Species Codes'!B:O,14,0)+VLOOKUP(D108,'Species Codes'!B:P,15,0)*LN((E108*2.54)))*(1/(VLOOKUP(D108,'Species Codes'!B:Q,16,0)+VLOOKUP(D108,'Species Codes'!B:R,17,0)*((E108*2.54)^VLOOKUP(D108,'Species Codes'!B:S,18,0)))),IF(OR(D108="BM",D108="MD",D108="OA"),EXP(VLOOKUP(D108,'Species Codes'!B:O,14,0)+VLOOKUP(D108,'Species Codes'!B:P,15,0)*LN((E108*2.54)))*(1-(1/(VLOOKUP(D108,'Species Codes'!B:Q,16,0)+VLOOKUP(D108,'Species Codes'!B:R,17,0)*((E108*2.54)^VLOOKUP(D108,'Species Codes'!B:S,18,0)))))/1000,IF(D108="DF",EXP(VLOOKUP(D108,'Species Codes'!B:O,14,0)+VLOOKUP(D108,'Species Codes'!B:P,15,0)*LN((E108*2.54))),VLOOKUP(D108,'Species Codes'!B:O,14,0)+VLOOKUP(D108,'Species Codes'!B:P,15,0)*(((E108*2.54)/100)^2)*(I108*0.3048)))))*0.0011023),0)</f>
        <v>#N/A</v>
      </c>
      <c r="AD108" s="104" t="e">
        <f t="shared" si="37"/>
        <v>#N/A</v>
      </c>
      <c r="AE108" s="104" t="e">
        <f t="shared" si="38"/>
        <v>#N/A</v>
      </c>
      <c r="AF108" s="104" t="e">
        <f>IF(AND(VLOOKUP($D108,Merchantability!$B:$C,2,0)="Yes",$E108&gt;=VLOOKUP($D108,Merchantability!$B:$D,3,0),$E108&lt;=VLOOKUP($D108,Merchantability!$B:$E,4,0)),AA108,0)</f>
        <v>#N/A</v>
      </c>
      <c r="AG108" s="104" t="e">
        <f>IF(AND(VLOOKUP($D108,Merchantability!$B:$C,2,0)="Yes",$E108&gt;=VLOOKUP($D108,Merchantability!$B:$D,3,0),$E108&lt;=VLOOKUP($D108,Merchantability!$B:$E,4,0)),AB108,0)</f>
        <v>#N/A</v>
      </c>
      <c r="AH108" s="104" t="e">
        <f>IF(AND(VLOOKUP($D108,Merchantability!$B:$C,2,0)="Yes",$E108&gt;=VLOOKUP($D108,Merchantability!$B:$D,3,0),$E108&lt;=VLOOKUP($D108,Merchantability!$B:$E,4,0)),AC108,0)</f>
        <v>#N/A</v>
      </c>
      <c r="AI108" s="104" t="e">
        <f t="shared" si="39"/>
        <v>#N/A</v>
      </c>
      <c r="AJ108" s="104" t="e">
        <f t="shared" si="40"/>
        <v>#VALUE!</v>
      </c>
      <c r="AK108" s="104" t="e">
        <f t="shared" si="41"/>
        <v>#N/A</v>
      </c>
      <c r="AL108" s="104" t="e">
        <f t="shared" si="42"/>
        <v>#N/A</v>
      </c>
      <c r="AM108" s="104" t="e">
        <f t="shared" si="43"/>
        <v>#N/A</v>
      </c>
      <c r="AN108" s="104" t="e">
        <f t="shared" si="44"/>
        <v>#N/A</v>
      </c>
      <c r="AO108" s="104" t="e">
        <f t="shared" si="45"/>
        <v>#N/A</v>
      </c>
      <c r="AP108" s="104" t="e">
        <f t="shared" si="46"/>
        <v>#N/A</v>
      </c>
      <c r="AQ108" s="104" t="e">
        <f t="shared" si="47"/>
        <v>#N/A</v>
      </c>
      <c r="AR108" s="105" t="str">
        <f t="shared" si="48"/>
        <v/>
      </c>
      <c r="AS108" s="105" t="str">
        <f t="shared" si="49"/>
        <v/>
      </c>
      <c r="AT108" s="108" t="str">
        <f t="shared" si="50"/>
        <v/>
      </c>
      <c r="AU108" s="108" t="str">
        <f t="shared" si="51"/>
        <v/>
      </c>
      <c r="AV108" s="107" t="str">
        <f>IF(ISNUMBER(O108),IF(VLOOKUP($A108,Stand!C:J,8,FALSE)="Short",AT108,AU108),"")</f>
        <v/>
      </c>
      <c r="AW108" s="109" t="str">
        <f t="shared" si="52"/>
        <v/>
      </c>
      <c r="AX108" s="109" t="str">
        <f t="shared" si="53"/>
        <v/>
      </c>
      <c r="AY108" s="112" t="str">
        <f>IF(ISNUMBER(O108),IF(AND(VLOOKUP($D108,Merchantability!$B:$C,2,0)="Yes",$E108&gt;=VLOOKUP($D108,Merchantability!$B:$D,3,0),$E108&lt;=VLOOKUP($D108,Merchantability!$B:$E,4,0)),(AV108*O108)*(1-$H108/100),""),"")</f>
        <v/>
      </c>
      <c r="AZ108" s="115"/>
      <c r="BA108" s="116"/>
      <c r="BB108" s="116"/>
      <c r="BE108" s="62"/>
      <c r="BF108" s="63"/>
    </row>
    <row r="109" spans="1:58" ht="12.75" customHeight="1" x14ac:dyDescent="0.25">
      <c r="A109" s="313"/>
      <c r="B109" s="328"/>
      <c r="C109" s="329"/>
      <c r="D109" s="328"/>
      <c r="E109" s="330"/>
      <c r="F109" s="331"/>
      <c r="G109" s="329"/>
      <c r="H109" s="329"/>
      <c r="I109" s="328"/>
      <c r="J109" s="329"/>
      <c r="K109" s="329"/>
      <c r="L109" s="329"/>
      <c r="M109" s="76"/>
      <c r="N109" s="103" t="str">
        <f>IF(A109="","",VLOOKUP(A109,Stand!C:K,9,0))</f>
        <v/>
      </c>
      <c r="O109" s="104" t="str">
        <f t="shared" si="27"/>
        <v/>
      </c>
      <c r="P109" s="105" t="str">
        <f t="shared" si="28"/>
        <v/>
      </c>
      <c r="Q109" s="105" t="str">
        <f t="shared" si="29"/>
        <v/>
      </c>
      <c r="R109" s="103" t="str">
        <f t="shared" si="30"/>
        <v/>
      </c>
      <c r="S109" s="103" t="str">
        <f t="shared" si="31"/>
        <v/>
      </c>
      <c r="T109" s="106" t="str">
        <f t="shared" si="32"/>
        <v/>
      </c>
      <c r="U109" s="106" t="str">
        <f t="shared" si="33"/>
        <v/>
      </c>
      <c r="V109" s="106" t="str">
        <f t="shared" si="34"/>
        <v/>
      </c>
      <c r="W109" s="105" t="str">
        <f t="shared" si="35"/>
        <v/>
      </c>
      <c r="X109" s="104" t="str">
        <f t="shared" si="36"/>
        <v/>
      </c>
      <c r="Y109" s="104" t="str">
        <f t="array" ref="Y109">IFERROR(IF(ISNUMBER(O109),IF(COUNT(IF(A109=$A$2:$A$2427,IF(D109=$D$2:$D$2427,IF($X$2:$X$2427&gt;0,1))))&gt;0,SUM(IF(A109=$A$2:$A$2427,IF(D109=$D$2:$D$2427,$X$2:$X$2427)))/COUNT(IF(A109=$A$2:$A$2427,IF(D109=$D$2:$D$2427,IF(ISNUMBER($X$2:$X$2427),1)))),0),""),0)</f>
        <v/>
      </c>
      <c r="Z109" s="104" t="str">
        <f>IF(ISNUMBER(O109),IF(I109&gt;0,(10^(VLOOKUP(D109,'Species Codes'!B:C,2,0)+VLOOKUP(D109,'Species Codes'!B:D,3,0)*LOG(E109)+VLOOKUP(D109,'Species Codes'!B:E,4,0)*LOG(I109))),0),"")</f>
        <v/>
      </c>
      <c r="AA109" s="104" t="str">
        <f>IFERROR((VLOOKUP(D109,'Species Codes'!B:G,6,0)*Z109)/2000,"")</f>
        <v/>
      </c>
      <c r="AB109" s="104" t="e">
        <f>IF(Z109&gt;0,((IF(OR(D109="DF",D109="RA")=TRUE,EXP(VLOOKUP(D109,'Species Codes'!B:I,8,0)+VLOOKUP(D109,'Species Codes'!B:J,9,0)*(LN((E109*2.54)))),IF(OR(D109="PY",D109="RC",D109="WH",D109="NF")=TRUE,VLOOKUP(D109,'Species Codes'!B:I,8,0)+VLOOKUP(D109,'Species Codes'!B:J,9,0)*((E109*2.54)^2)*(I109*0.3048),IF(OR(D109="MD",D109="BM",D109="GA")=TRUE,((VLOOKUP(D109,'Species Codes'!B:I,8,0)*(((((E109*2.54)+VLOOKUP(D109,'Species Codes'!B:J,9,0))/VLOOKUP(D109,'Species Codes'!B:K,10,0))^VLOOKUP(D109,'Species Codes'!B:L,11,0))*((I109*0.3048)^VLOOKUP(D109,'Species Codes'!B:M,12,0))))-(VLOOKUP(D109,'Species Codes'!B:I,8,0)*((((E109*2.54)^VLOOKUP(D109,'Species Codes'!B:L,11,0))*((I109*0.3048)^VLOOKUP(D109,'Species Codes'!B:M,12,0))))))*35.3*VLOOKUP(D109,'Species Codes'!B:G,6,0)/2.2046,VLOOKUP(D109,'Species Codes'!B:I,8,0)+VLOOKUP(D109,'Species Codes'!B:J,9,0)*(((E109*2.54)/100)^2)*(I109*0.3048)))))*0.0011023),0)</f>
        <v>#N/A</v>
      </c>
      <c r="AC109" s="104" t="e">
        <f>IF(Z109&gt;0,((IF(OR(D109="RA",D109="OA",D109="OT",D109="UN",D109="PC"),EXP(VLOOKUP(D109,'Species Codes'!B:O,14,0)+VLOOKUP(D109,'Species Codes'!B:P,15,0)*LN((E109*2.54)))-EXP(VLOOKUP(D109,'Species Codes'!B:O,14,0)+VLOOKUP(D109,'Species Codes'!B:P,15,0)*LN((E109*2.54)))*(1/(VLOOKUP(D109,'Species Codes'!B:Q,16,0)+VLOOKUP(D109,'Species Codes'!B:R,17,0)*((E109*2.54)^VLOOKUP(D109,'Species Codes'!B:S,18,0)))),IF(OR(D109="BM",D109="MD",D109="OA"),EXP(VLOOKUP(D109,'Species Codes'!B:O,14,0)+VLOOKUP(D109,'Species Codes'!B:P,15,0)*LN((E109*2.54)))*(1-(1/(VLOOKUP(D109,'Species Codes'!B:Q,16,0)+VLOOKUP(D109,'Species Codes'!B:R,17,0)*((E109*2.54)^VLOOKUP(D109,'Species Codes'!B:S,18,0)))))/1000,IF(D109="DF",EXP(VLOOKUP(D109,'Species Codes'!B:O,14,0)+VLOOKUP(D109,'Species Codes'!B:P,15,0)*LN((E109*2.54))),VLOOKUP(D109,'Species Codes'!B:O,14,0)+VLOOKUP(D109,'Species Codes'!B:P,15,0)*(((E109*2.54)/100)^2)*(I109*0.3048)))))*0.0011023),0)</f>
        <v>#N/A</v>
      </c>
      <c r="AD109" s="104" t="e">
        <f t="shared" si="37"/>
        <v>#N/A</v>
      </c>
      <c r="AE109" s="104" t="e">
        <f t="shared" si="38"/>
        <v>#N/A</v>
      </c>
      <c r="AF109" s="104" t="e">
        <f>IF(AND(VLOOKUP($D109,Merchantability!$B:$C,2,0)="Yes",$E109&gt;=VLOOKUP($D109,Merchantability!$B:$D,3,0),$E109&lt;=VLOOKUP($D109,Merchantability!$B:$E,4,0)),AA109,0)</f>
        <v>#N/A</v>
      </c>
      <c r="AG109" s="104" t="e">
        <f>IF(AND(VLOOKUP($D109,Merchantability!$B:$C,2,0)="Yes",$E109&gt;=VLOOKUP($D109,Merchantability!$B:$D,3,0),$E109&lt;=VLOOKUP($D109,Merchantability!$B:$E,4,0)),AB109,0)</f>
        <v>#N/A</v>
      </c>
      <c r="AH109" s="104" t="e">
        <f>IF(AND(VLOOKUP($D109,Merchantability!$B:$C,2,0)="Yes",$E109&gt;=VLOOKUP($D109,Merchantability!$B:$D,3,0),$E109&lt;=VLOOKUP($D109,Merchantability!$B:$E,4,0)),AC109,0)</f>
        <v>#N/A</v>
      </c>
      <c r="AI109" s="104" t="e">
        <f t="shared" si="39"/>
        <v>#N/A</v>
      </c>
      <c r="AJ109" s="104" t="e">
        <f t="shared" si="40"/>
        <v>#VALUE!</v>
      </c>
      <c r="AK109" s="104" t="e">
        <f t="shared" si="41"/>
        <v>#N/A</v>
      </c>
      <c r="AL109" s="104" t="e">
        <f t="shared" si="42"/>
        <v>#N/A</v>
      </c>
      <c r="AM109" s="104" t="e">
        <f t="shared" si="43"/>
        <v>#N/A</v>
      </c>
      <c r="AN109" s="104" t="e">
        <f t="shared" si="44"/>
        <v>#N/A</v>
      </c>
      <c r="AO109" s="104" t="e">
        <f t="shared" si="45"/>
        <v>#N/A</v>
      </c>
      <c r="AP109" s="104" t="e">
        <f t="shared" si="46"/>
        <v>#N/A</v>
      </c>
      <c r="AQ109" s="104" t="e">
        <f t="shared" si="47"/>
        <v>#N/A</v>
      </c>
      <c r="AR109" s="105" t="str">
        <f t="shared" si="48"/>
        <v/>
      </c>
      <c r="AS109" s="105" t="str">
        <f t="shared" si="49"/>
        <v/>
      </c>
      <c r="AT109" s="108" t="str">
        <f t="shared" si="50"/>
        <v/>
      </c>
      <c r="AU109" s="108" t="str">
        <f t="shared" si="51"/>
        <v/>
      </c>
      <c r="AV109" s="107" t="str">
        <f>IF(ISNUMBER(O109),IF(VLOOKUP($A109,Stand!C:J,8,FALSE)="Short",AT109,AU109),"")</f>
        <v/>
      </c>
      <c r="AW109" s="109" t="str">
        <f t="shared" si="52"/>
        <v/>
      </c>
      <c r="AX109" s="109" t="str">
        <f t="shared" si="53"/>
        <v/>
      </c>
      <c r="AY109" s="112" t="str">
        <f>IF(ISNUMBER(O109),IF(AND(VLOOKUP($D109,Merchantability!$B:$C,2,0)="Yes",$E109&gt;=VLOOKUP($D109,Merchantability!$B:$D,3,0),$E109&lt;=VLOOKUP($D109,Merchantability!$B:$E,4,0)),(AV109*O109)*(1-$H109/100),""),"")</f>
        <v/>
      </c>
      <c r="AZ109" s="116"/>
      <c r="BA109" s="116"/>
      <c r="BB109" s="116"/>
      <c r="BE109" s="62"/>
      <c r="BF109" s="63"/>
    </row>
    <row r="110" spans="1:58" ht="12.75" customHeight="1" x14ac:dyDescent="0.25">
      <c r="A110" s="313"/>
      <c r="B110" s="328"/>
      <c r="C110" s="329"/>
      <c r="D110" s="328"/>
      <c r="E110" s="330"/>
      <c r="F110" s="331"/>
      <c r="G110" s="329"/>
      <c r="H110" s="329"/>
      <c r="I110" s="328"/>
      <c r="J110" s="329"/>
      <c r="K110" s="329"/>
      <c r="L110" s="329"/>
      <c r="M110" s="76"/>
      <c r="N110" s="103" t="str">
        <f>IF(A110="","",VLOOKUP(A110,Stand!C:K,9,0))</f>
        <v/>
      </c>
      <c r="O110" s="104" t="str">
        <f t="shared" si="27"/>
        <v/>
      </c>
      <c r="P110" s="105" t="str">
        <f t="shared" si="28"/>
        <v/>
      </c>
      <c r="Q110" s="105" t="str">
        <f t="shared" si="29"/>
        <v/>
      </c>
      <c r="R110" s="103" t="str">
        <f t="shared" si="30"/>
        <v/>
      </c>
      <c r="S110" s="103" t="str">
        <f t="shared" si="31"/>
        <v/>
      </c>
      <c r="T110" s="106" t="str">
        <f t="shared" si="32"/>
        <v/>
      </c>
      <c r="U110" s="106" t="str">
        <f t="shared" si="33"/>
        <v/>
      </c>
      <c r="V110" s="106" t="str">
        <f t="shared" si="34"/>
        <v/>
      </c>
      <c r="W110" s="105" t="str">
        <f t="shared" si="35"/>
        <v/>
      </c>
      <c r="X110" s="104" t="str">
        <f t="shared" si="36"/>
        <v/>
      </c>
      <c r="Y110" s="104" t="str">
        <f t="array" ref="Y110">IFERROR(IF(ISNUMBER(O110),IF(COUNT(IF(A110=$A$2:$A$2427,IF(D110=$D$2:$D$2427,IF($X$2:$X$2427&gt;0,1))))&gt;0,SUM(IF(A110=$A$2:$A$2427,IF(D110=$D$2:$D$2427,$X$2:$X$2427)))/COUNT(IF(A110=$A$2:$A$2427,IF(D110=$D$2:$D$2427,IF(ISNUMBER($X$2:$X$2427),1)))),0),""),0)</f>
        <v/>
      </c>
      <c r="Z110" s="104" t="str">
        <f>IF(ISNUMBER(O110),IF(I110&gt;0,(10^(VLOOKUP(D110,'Species Codes'!B:C,2,0)+VLOOKUP(D110,'Species Codes'!B:D,3,0)*LOG(E110)+VLOOKUP(D110,'Species Codes'!B:E,4,0)*LOG(I110))),0),"")</f>
        <v/>
      </c>
      <c r="AA110" s="104" t="str">
        <f>IFERROR((VLOOKUP(D110,'Species Codes'!B:G,6,0)*Z110)/2000,"")</f>
        <v/>
      </c>
      <c r="AB110" s="104" t="e">
        <f>IF(Z110&gt;0,((IF(OR(D110="DF",D110="RA")=TRUE,EXP(VLOOKUP(D110,'Species Codes'!B:I,8,0)+VLOOKUP(D110,'Species Codes'!B:J,9,0)*(LN((E110*2.54)))),IF(OR(D110="PY",D110="RC",D110="WH",D110="NF")=TRUE,VLOOKUP(D110,'Species Codes'!B:I,8,0)+VLOOKUP(D110,'Species Codes'!B:J,9,0)*((E110*2.54)^2)*(I110*0.3048),IF(OR(D110="MD",D110="BM",D110="GA")=TRUE,((VLOOKUP(D110,'Species Codes'!B:I,8,0)*(((((E110*2.54)+VLOOKUP(D110,'Species Codes'!B:J,9,0))/VLOOKUP(D110,'Species Codes'!B:K,10,0))^VLOOKUP(D110,'Species Codes'!B:L,11,0))*((I110*0.3048)^VLOOKUP(D110,'Species Codes'!B:M,12,0))))-(VLOOKUP(D110,'Species Codes'!B:I,8,0)*((((E110*2.54)^VLOOKUP(D110,'Species Codes'!B:L,11,0))*((I110*0.3048)^VLOOKUP(D110,'Species Codes'!B:M,12,0))))))*35.3*VLOOKUP(D110,'Species Codes'!B:G,6,0)/2.2046,VLOOKUP(D110,'Species Codes'!B:I,8,0)+VLOOKUP(D110,'Species Codes'!B:J,9,0)*(((E110*2.54)/100)^2)*(I110*0.3048)))))*0.0011023),0)</f>
        <v>#N/A</v>
      </c>
      <c r="AC110" s="104" t="e">
        <f>IF(Z110&gt;0,((IF(OR(D110="RA",D110="OA",D110="OT",D110="UN",D110="PC"),EXP(VLOOKUP(D110,'Species Codes'!B:O,14,0)+VLOOKUP(D110,'Species Codes'!B:P,15,0)*LN((E110*2.54)))-EXP(VLOOKUP(D110,'Species Codes'!B:O,14,0)+VLOOKUP(D110,'Species Codes'!B:P,15,0)*LN((E110*2.54)))*(1/(VLOOKUP(D110,'Species Codes'!B:Q,16,0)+VLOOKUP(D110,'Species Codes'!B:R,17,0)*((E110*2.54)^VLOOKUP(D110,'Species Codes'!B:S,18,0)))),IF(OR(D110="BM",D110="MD",D110="OA"),EXP(VLOOKUP(D110,'Species Codes'!B:O,14,0)+VLOOKUP(D110,'Species Codes'!B:P,15,0)*LN((E110*2.54)))*(1-(1/(VLOOKUP(D110,'Species Codes'!B:Q,16,0)+VLOOKUP(D110,'Species Codes'!B:R,17,0)*((E110*2.54)^VLOOKUP(D110,'Species Codes'!B:S,18,0)))))/1000,IF(D110="DF",EXP(VLOOKUP(D110,'Species Codes'!B:O,14,0)+VLOOKUP(D110,'Species Codes'!B:P,15,0)*LN((E110*2.54))),VLOOKUP(D110,'Species Codes'!B:O,14,0)+VLOOKUP(D110,'Species Codes'!B:P,15,0)*(((E110*2.54)/100)^2)*(I110*0.3048)))))*0.0011023),0)</f>
        <v>#N/A</v>
      </c>
      <c r="AD110" s="104" t="e">
        <f t="shared" si="37"/>
        <v>#N/A</v>
      </c>
      <c r="AE110" s="104" t="e">
        <f t="shared" si="38"/>
        <v>#N/A</v>
      </c>
      <c r="AF110" s="104" t="e">
        <f>IF(AND(VLOOKUP($D110,Merchantability!$B:$C,2,0)="Yes",$E110&gt;=VLOOKUP($D110,Merchantability!$B:$D,3,0),$E110&lt;=VLOOKUP($D110,Merchantability!$B:$E,4,0)),AA110,0)</f>
        <v>#N/A</v>
      </c>
      <c r="AG110" s="104" t="e">
        <f>IF(AND(VLOOKUP($D110,Merchantability!$B:$C,2,0)="Yes",$E110&gt;=VLOOKUP($D110,Merchantability!$B:$D,3,0),$E110&lt;=VLOOKUP($D110,Merchantability!$B:$E,4,0)),AB110,0)</f>
        <v>#N/A</v>
      </c>
      <c r="AH110" s="104" t="e">
        <f>IF(AND(VLOOKUP($D110,Merchantability!$B:$C,2,0)="Yes",$E110&gt;=VLOOKUP($D110,Merchantability!$B:$D,3,0),$E110&lt;=VLOOKUP($D110,Merchantability!$B:$E,4,0)),AC110,0)</f>
        <v>#N/A</v>
      </c>
      <c r="AI110" s="104" t="e">
        <f t="shared" si="39"/>
        <v>#N/A</v>
      </c>
      <c r="AJ110" s="104" t="e">
        <f t="shared" si="40"/>
        <v>#VALUE!</v>
      </c>
      <c r="AK110" s="104" t="e">
        <f t="shared" si="41"/>
        <v>#N/A</v>
      </c>
      <c r="AL110" s="104" t="e">
        <f t="shared" si="42"/>
        <v>#N/A</v>
      </c>
      <c r="AM110" s="104" t="e">
        <f t="shared" si="43"/>
        <v>#N/A</v>
      </c>
      <c r="AN110" s="104" t="e">
        <f t="shared" si="44"/>
        <v>#N/A</v>
      </c>
      <c r="AO110" s="104" t="e">
        <f t="shared" si="45"/>
        <v>#N/A</v>
      </c>
      <c r="AP110" s="104" t="e">
        <f t="shared" si="46"/>
        <v>#N/A</v>
      </c>
      <c r="AQ110" s="104" t="e">
        <f t="shared" si="47"/>
        <v>#N/A</v>
      </c>
      <c r="AR110" s="105" t="str">
        <f t="shared" si="48"/>
        <v/>
      </c>
      <c r="AS110" s="105" t="str">
        <f t="shared" si="49"/>
        <v/>
      </c>
      <c r="AT110" s="108" t="str">
        <f t="shared" si="50"/>
        <v/>
      </c>
      <c r="AU110" s="108" t="str">
        <f t="shared" si="51"/>
        <v/>
      </c>
      <c r="AV110" s="107" t="str">
        <f>IF(ISNUMBER(O110),IF(VLOOKUP($A110,Stand!C:J,8,FALSE)="Short",AT110,AU110),"")</f>
        <v/>
      </c>
      <c r="AW110" s="109" t="str">
        <f t="shared" si="52"/>
        <v/>
      </c>
      <c r="AX110" s="109" t="str">
        <f t="shared" si="53"/>
        <v/>
      </c>
      <c r="AY110" s="112" t="str">
        <f>IF(ISNUMBER(O110),IF(AND(VLOOKUP($D110,Merchantability!$B:$C,2,0)="Yes",$E110&gt;=VLOOKUP($D110,Merchantability!$B:$D,3,0),$E110&lt;=VLOOKUP($D110,Merchantability!$B:$E,4,0)),(AV110*O110)*(1-$H110/100),""),"")</f>
        <v/>
      </c>
      <c r="AZ110" s="116"/>
      <c r="BA110" s="116"/>
      <c r="BB110" s="116"/>
      <c r="BE110" s="62"/>
      <c r="BF110" s="63"/>
    </row>
    <row r="111" spans="1:58" ht="12.75" customHeight="1" x14ac:dyDescent="0.25">
      <c r="A111" s="313"/>
      <c r="B111" s="328"/>
      <c r="C111" s="329"/>
      <c r="D111" s="328"/>
      <c r="E111" s="330"/>
      <c r="F111" s="331"/>
      <c r="G111" s="329"/>
      <c r="H111" s="329"/>
      <c r="I111" s="328"/>
      <c r="J111" s="329"/>
      <c r="K111" s="329"/>
      <c r="L111" s="329"/>
      <c r="M111" s="76"/>
      <c r="N111" s="103" t="str">
        <f>IF(A111="","",VLOOKUP(A111,Stand!C:K,9,0))</f>
        <v/>
      </c>
      <c r="O111" s="104" t="str">
        <f t="shared" si="27"/>
        <v/>
      </c>
      <c r="P111" s="105" t="str">
        <f t="shared" si="28"/>
        <v/>
      </c>
      <c r="Q111" s="105" t="str">
        <f t="shared" si="29"/>
        <v/>
      </c>
      <c r="R111" s="103" t="str">
        <f t="shared" si="30"/>
        <v/>
      </c>
      <c r="S111" s="103" t="str">
        <f t="shared" si="31"/>
        <v/>
      </c>
      <c r="T111" s="106" t="str">
        <f t="shared" si="32"/>
        <v/>
      </c>
      <c r="U111" s="106" t="str">
        <f t="shared" si="33"/>
        <v/>
      </c>
      <c r="V111" s="106" t="str">
        <f t="shared" si="34"/>
        <v/>
      </c>
      <c r="W111" s="105" t="str">
        <f t="shared" si="35"/>
        <v/>
      </c>
      <c r="X111" s="104" t="str">
        <f t="shared" si="36"/>
        <v/>
      </c>
      <c r="Y111" s="104" t="str">
        <f t="array" ref="Y111">IFERROR(IF(ISNUMBER(O111),IF(COUNT(IF(A111=$A$2:$A$2427,IF(D111=$D$2:$D$2427,IF($X$2:$X$2427&gt;0,1))))&gt;0,SUM(IF(A111=$A$2:$A$2427,IF(D111=$D$2:$D$2427,$X$2:$X$2427)))/COUNT(IF(A111=$A$2:$A$2427,IF(D111=$D$2:$D$2427,IF(ISNUMBER($X$2:$X$2427),1)))),0),""),0)</f>
        <v/>
      </c>
      <c r="Z111" s="104" t="str">
        <f>IF(ISNUMBER(O111),IF(I111&gt;0,(10^(VLOOKUP(D111,'Species Codes'!B:C,2,0)+VLOOKUP(D111,'Species Codes'!B:D,3,0)*LOG(E111)+VLOOKUP(D111,'Species Codes'!B:E,4,0)*LOG(I111))),0),"")</f>
        <v/>
      </c>
      <c r="AA111" s="104" t="str">
        <f>IFERROR((VLOOKUP(D111,'Species Codes'!B:G,6,0)*Z111)/2000,"")</f>
        <v/>
      </c>
      <c r="AB111" s="104" t="e">
        <f>IF(Z111&gt;0,((IF(OR(D111="DF",D111="RA")=TRUE,EXP(VLOOKUP(D111,'Species Codes'!B:I,8,0)+VLOOKUP(D111,'Species Codes'!B:J,9,0)*(LN((E111*2.54)))),IF(OR(D111="PY",D111="RC",D111="WH",D111="NF")=TRUE,VLOOKUP(D111,'Species Codes'!B:I,8,0)+VLOOKUP(D111,'Species Codes'!B:J,9,0)*((E111*2.54)^2)*(I111*0.3048),IF(OR(D111="MD",D111="BM",D111="GA")=TRUE,((VLOOKUP(D111,'Species Codes'!B:I,8,0)*(((((E111*2.54)+VLOOKUP(D111,'Species Codes'!B:J,9,0))/VLOOKUP(D111,'Species Codes'!B:K,10,0))^VLOOKUP(D111,'Species Codes'!B:L,11,0))*((I111*0.3048)^VLOOKUP(D111,'Species Codes'!B:M,12,0))))-(VLOOKUP(D111,'Species Codes'!B:I,8,0)*((((E111*2.54)^VLOOKUP(D111,'Species Codes'!B:L,11,0))*((I111*0.3048)^VLOOKUP(D111,'Species Codes'!B:M,12,0))))))*35.3*VLOOKUP(D111,'Species Codes'!B:G,6,0)/2.2046,VLOOKUP(D111,'Species Codes'!B:I,8,0)+VLOOKUP(D111,'Species Codes'!B:J,9,0)*(((E111*2.54)/100)^2)*(I111*0.3048)))))*0.0011023),0)</f>
        <v>#N/A</v>
      </c>
      <c r="AC111" s="104" t="e">
        <f>IF(Z111&gt;0,((IF(OR(D111="RA",D111="OA",D111="OT",D111="UN",D111="PC"),EXP(VLOOKUP(D111,'Species Codes'!B:O,14,0)+VLOOKUP(D111,'Species Codes'!B:P,15,0)*LN((E111*2.54)))-EXP(VLOOKUP(D111,'Species Codes'!B:O,14,0)+VLOOKUP(D111,'Species Codes'!B:P,15,0)*LN((E111*2.54)))*(1/(VLOOKUP(D111,'Species Codes'!B:Q,16,0)+VLOOKUP(D111,'Species Codes'!B:R,17,0)*((E111*2.54)^VLOOKUP(D111,'Species Codes'!B:S,18,0)))),IF(OR(D111="BM",D111="MD",D111="OA"),EXP(VLOOKUP(D111,'Species Codes'!B:O,14,0)+VLOOKUP(D111,'Species Codes'!B:P,15,0)*LN((E111*2.54)))*(1-(1/(VLOOKUP(D111,'Species Codes'!B:Q,16,0)+VLOOKUP(D111,'Species Codes'!B:R,17,0)*((E111*2.54)^VLOOKUP(D111,'Species Codes'!B:S,18,0)))))/1000,IF(D111="DF",EXP(VLOOKUP(D111,'Species Codes'!B:O,14,0)+VLOOKUP(D111,'Species Codes'!B:P,15,0)*LN((E111*2.54))),VLOOKUP(D111,'Species Codes'!B:O,14,0)+VLOOKUP(D111,'Species Codes'!B:P,15,0)*(((E111*2.54)/100)^2)*(I111*0.3048)))))*0.0011023),0)</f>
        <v>#N/A</v>
      </c>
      <c r="AD111" s="104" t="e">
        <f t="shared" si="37"/>
        <v>#N/A</v>
      </c>
      <c r="AE111" s="104" t="e">
        <f t="shared" si="38"/>
        <v>#N/A</v>
      </c>
      <c r="AF111" s="104" t="e">
        <f>IF(AND(VLOOKUP($D111,Merchantability!$B:$C,2,0)="Yes",$E111&gt;=VLOOKUP($D111,Merchantability!$B:$D,3,0),$E111&lt;=VLOOKUP($D111,Merchantability!$B:$E,4,0)),AA111,0)</f>
        <v>#N/A</v>
      </c>
      <c r="AG111" s="104" t="e">
        <f>IF(AND(VLOOKUP($D111,Merchantability!$B:$C,2,0)="Yes",$E111&gt;=VLOOKUP($D111,Merchantability!$B:$D,3,0),$E111&lt;=VLOOKUP($D111,Merchantability!$B:$E,4,0)),AB111,0)</f>
        <v>#N/A</v>
      </c>
      <c r="AH111" s="104" t="e">
        <f>IF(AND(VLOOKUP($D111,Merchantability!$B:$C,2,0)="Yes",$E111&gt;=VLOOKUP($D111,Merchantability!$B:$D,3,0),$E111&lt;=VLOOKUP($D111,Merchantability!$B:$E,4,0)),AC111,0)</f>
        <v>#N/A</v>
      </c>
      <c r="AI111" s="104" t="e">
        <f t="shared" si="39"/>
        <v>#N/A</v>
      </c>
      <c r="AJ111" s="104" t="e">
        <f t="shared" si="40"/>
        <v>#VALUE!</v>
      </c>
      <c r="AK111" s="104" t="e">
        <f t="shared" si="41"/>
        <v>#N/A</v>
      </c>
      <c r="AL111" s="104" t="e">
        <f t="shared" si="42"/>
        <v>#N/A</v>
      </c>
      <c r="AM111" s="104" t="e">
        <f t="shared" si="43"/>
        <v>#N/A</v>
      </c>
      <c r="AN111" s="104" t="e">
        <f t="shared" si="44"/>
        <v>#N/A</v>
      </c>
      <c r="AO111" s="104" t="e">
        <f t="shared" si="45"/>
        <v>#N/A</v>
      </c>
      <c r="AP111" s="104" t="e">
        <f t="shared" si="46"/>
        <v>#N/A</v>
      </c>
      <c r="AQ111" s="104" t="e">
        <f t="shared" si="47"/>
        <v>#N/A</v>
      </c>
      <c r="AR111" s="105" t="str">
        <f t="shared" si="48"/>
        <v/>
      </c>
      <c r="AS111" s="105" t="str">
        <f t="shared" si="49"/>
        <v/>
      </c>
      <c r="AT111" s="108" t="str">
        <f t="shared" si="50"/>
        <v/>
      </c>
      <c r="AU111" s="108" t="str">
        <f t="shared" si="51"/>
        <v/>
      </c>
      <c r="AV111" s="107" t="str">
        <f>IF(ISNUMBER(O111),IF(VLOOKUP($A111,Stand!C:J,8,FALSE)="Short",AT111,AU111),"")</f>
        <v/>
      </c>
      <c r="AW111" s="109" t="str">
        <f t="shared" si="52"/>
        <v/>
      </c>
      <c r="AX111" s="109" t="str">
        <f t="shared" si="53"/>
        <v/>
      </c>
      <c r="AY111" s="112" t="str">
        <f>IF(ISNUMBER(O111),IF(AND(VLOOKUP($D111,Merchantability!$B:$C,2,0)="Yes",$E111&gt;=VLOOKUP($D111,Merchantability!$B:$D,3,0),$E111&lt;=VLOOKUP($D111,Merchantability!$B:$E,4,0)),(AV111*O111)*(1-$H111/100),""),"")</f>
        <v/>
      </c>
      <c r="AZ111" s="116"/>
      <c r="BA111" s="116"/>
      <c r="BB111" s="116"/>
      <c r="BE111" s="62"/>
      <c r="BF111" s="63"/>
    </row>
    <row r="112" spans="1:58" ht="12.75" customHeight="1" x14ac:dyDescent="0.25">
      <c r="A112" s="313"/>
      <c r="B112" s="328"/>
      <c r="C112" s="329"/>
      <c r="D112" s="328"/>
      <c r="E112" s="330"/>
      <c r="F112" s="331"/>
      <c r="G112" s="329"/>
      <c r="H112" s="329"/>
      <c r="I112" s="328"/>
      <c r="J112" s="329"/>
      <c r="K112" s="329"/>
      <c r="L112" s="329"/>
      <c r="M112" s="76"/>
      <c r="N112" s="103" t="str">
        <f>IF(A112="","",VLOOKUP(A112,Stand!C:K,9,0))</f>
        <v/>
      </c>
      <c r="O112" s="104" t="str">
        <f t="shared" si="27"/>
        <v/>
      </c>
      <c r="P112" s="105" t="str">
        <f t="shared" si="28"/>
        <v/>
      </c>
      <c r="Q112" s="105" t="str">
        <f t="shared" si="29"/>
        <v/>
      </c>
      <c r="R112" s="103" t="str">
        <f t="shared" si="30"/>
        <v/>
      </c>
      <c r="S112" s="103" t="str">
        <f t="shared" si="31"/>
        <v/>
      </c>
      <c r="T112" s="106" t="str">
        <f t="shared" si="32"/>
        <v/>
      </c>
      <c r="U112" s="106" t="str">
        <f t="shared" si="33"/>
        <v/>
      </c>
      <c r="V112" s="106" t="str">
        <f t="shared" si="34"/>
        <v/>
      </c>
      <c r="W112" s="105" t="str">
        <f t="shared" si="35"/>
        <v/>
      </c>
      <c r="X112" s="104" t="str">
        <f t="shared" si="36"/>
        <v/>
      </c>
      <c r="Y112" s="104" t="str">
        <f t="array" ref="Y112">IFERROR(IF(ISNUMBER(O112),IF(COUNT(IF(A112=$A$2:$A$2427,IF(D112=$D$2:$D$2427,IF($X$2:$X$2427&gt;0,1))))&gt;0,SUM(IF(A112=$A$2:$A$2427,IF(D112=$D$2:$D$2427,$X$2:$X$2427)))/COUNT(IF(A112=$A$2:$A$2427,IF(D112=$D$2:$D$2427,IF(ISNUMBER($X$2:$X$2427),1)))),0),""),0)</f>
        <v/>
      </c>
      <c r="Z112" s="104" t="str">
        <f>IF(ISNUMBER(O112),IF(I112&gt;0,(10^(VLOOKUP(D112,'Species Codes'!B:C,2,0)+VLOOKUP(D112,'Species Codes'!B:D,3,0)*LOG(E112)+VLOOKUP(D112,'Species Codes'!B:E,4,0)*LOG(I112))),0),"")</f>
        <v/>
      </c>
      <c r="AA112" s="104" t="str">
        <f>IFERROR((VLOOKUP(D112,'Species Codes'!B:G,6,0)*Z112)/2000,"")</f>
        <v/>
      </c>
      <c r="AB112" s="104" t="e">
        <f>IF(Z112&gt;0,((IF(OR(D112="DF",D112="RA")=TRUE,EXP(VLOOKUP(D112,'Species Codes'!B:I,8,0)+VLOOKUP(D112,'Species Codes'!B:J,9,0)*(LN((E112*2.54)))),IF(OR(D112="PY",D112="RC",D112="WH",D112="NF")=TRUE,VLOOKUP(D112,'Species Codes'!B:I,8,0)+VLOOKUP(D112,'Species Codes'!B:J,9,0)*((E112*2.54)^2)*(I112*0.3048),IF(OR(D112="MD",D112="BM",D112="GA")=TRUE,((VLOOKUP(D112,'Species Codes'!B:I,8,0)*(((((E112*2.54)+VLOOKUP(D112,'Species Codes'!B:J,9,0))/VLOOKUP(D112,'Species Codes'!B:K,10,0))^VLOOKUP(D112,'Species Codes'!B:L,11,0))*((I112*0.3048)^VLOOKUP(D112,'Species Codes'!B:M,12,0))))-(VLOOKUP(D112,'Species Codes'!B:I,8,0)*((((E112*2.54)^VLOOKUP(D112,'Species Codes'!B:L,11,0))*((I112*0.3048)^VLOOKUP(D112,'Species Codes'!B:M,12,0))))))*35.3*VLOOKUP(D112,'Species Codes'!B:G,6,0)/2.2046,VLOOKUP(D112,'Species Codes'!B:I,8,0)+VLOOKUP(D112,'Species Codes'!B:J,9,0)*(((E112*2.54)/100)^2)*(I112*0.3048)))))*0.0011023),0)</f>
        <v>#N/A</v>
      </c>
      <c r="AC112" s="104" t="e">
        <f>IF(Z112&gt;0,((IF(OR(D112="RA",D112="OA",D112="OT",D112="UN",D112="PC"),EXP(VLOOKUP(D112,'Species Codes'!B:O,14,0)+VLOOKUP(D112,'Species Codes'!B:P,15,0)*LN((E112*2.54)))-EXP(VLOOKUP(D112,'Species Codes'!B:O,14,0)+VLOOKUP(D112,'Species Codes'!B:P,15,0)*LN((E112*2.54)))*(1/(VLOOKUP(D112,'Species Codes'!B:Q,16,0)+VLOOKUP(D112,'Species Codes'!B:R,17,0)*((E112*2.54)^VLOOKUP(D112,'Species Codes'!B:S,18,0)))),IF(OR(D112="BM",D112="MD",D112="OA"),EXP(VLOOKUP(D112,'Species Codes'!B:O,14,0)+VLOOKUP(D112,'Species Codes'!B:P,15,0)*LN((E112*2.54)))*(1-(1/(VLOOKUP(D112,'Species Codes'!B:Q,16,0)+VLOOKUP(D112,'Species Codes'!B:R,17,0)*((E112*2.54)^VLOOKUP(D112,'Species Codes'!B:S,18,0)))))/1000,IF(D112="DF",EXP(VLOOKUP(D112,'Species Codes'!B:O,14,0)+VLOOKUP(D112,'Species Codes'!B:P,15,0)*LN((E112*2.54))),VLOOKUP(D112,'Species Codes'!B:O,14,0)+VLOOKUP(D112,'Species Codes'!B:P,15,0)*(((E112*2.54)/100)^2)*(I112*0.3048)))))*0.0011023),0)</f>
        <v>#N/A</v>
      </c>
      <c r="AD112" s="104" t="e">
        <f t="shared" si="37"/>
        <v>#N/A</v>
      </c>
      <c r="AE112" s="104" t="e">
        <f t="shared" si="38"/>
        <v>#N/A</v>
      </c>
      <c r="AF112" s="104" t="e">
        <f>IF(AND(VLOOKUP($D112,Merchantability!$B:$C,2,0)="Yes",$E112&gt;=VLOOKUP($D112,Merchantability!$B:$D,3,0),$E112&lt;=VLOOKUP($D112,Merchantability!$B:$E,4,0)),AA112,0)</f>
        <v>#N/A</v>
      </c>
      <c r="AG112" s="104" t="e">
        <f>IF(AND(VLOOKUP($D112,Merchantability!$B:$C,2,0)="Yes",$E112&gt;=VLOOKUP($D112,Merchantability!$B:$D,3,0),$E112&lt;=VLOOKUP($D112,Merchantability!$B:$E,4,0)),AB112,0)</f>
        <v>#N/A</v>
      </c>
      <c r="AH112" s="104" t="e">
        <f>IF(AND(VLOOKUP($D112,Merchantability!$B:$C,2,0)="Yes",$E112&gt;=VLOOKUP($D112,Merchantability!$B:$D,3,0),$E112&lt;=VLOOKUP($D112,Merchantability!$B:$E,4,0)),AC112,0)</f>
        <v>#N/A</v>
      </c>
      <c r="AI112" s="104" t="e">
        <f t="shared" si="39"/>
        <v>#N/A</v>
      </c>
      <c r="AJ112" s="104" t="e">
        <f t="shared" si="40"/>
        <v>#VALUE!</v>
      </c>
      <c r="AK112" s="104" t="e">
        <f t="shared" si="41"/>
        <v>#N/A</v>
      </c>
      <c r="AL112" s="104" t="e">
        <f t="shared" si="42"/>
        <v>#N/A</v>
      </c>
      <c r="AM112" s="104" t="e">
        <f t="shared" si="43"/>
        <v>#N/A</v>
      </c>
      <c r="AN112" s="104" t="e">
        <f t="shared" si="44"/>
        <v>#N/A</v>
      </c>
      <c r="AO112" s="104" t="e">
        <f t="shared" si="45"/>
        <v>#N/A</v>
      </c>
      <c r="AP112" s="104" t="e">
        <f t="shared" si="46"/>
        <v>#N/A</v>
      </c>
      <c r="AQ112" s="104" t="e">
        <f t="shared" si="47"/>
        <v>#N/A</v>
      </c>
      <c r="AR112" s="105" t="str">
        <f t="shared" si="48"/>
        <v/>
      </c>
      <c r="AS112" s="105" t="str">
        <f t="shared" si="49"/>
        <v/>
      </c>
      <c r="AT112" s="108" t="str">
        <f t="shared" si="50"/>
        <v/>
      </c>
      <c r="AU112" s="108" t="str">
        <f t="shared" si="51"/>
        <v/>
      </c>
      <c r="AV112" s="107" t="str">
        <f>IF(ISNUMBER(O112),IF(VLOOKUP($A112,Stand!C:J,8,FALSE)="Short",AT112,AU112),"")</f>
        <v/>
      </c>
      <c r="AW112" s="109" t="str">
        <f t="shared" si="52"/>
        <v/>
      </c>
      <c r="AX112" s="109" t="str">
        <f t="shared" si="53"/>
        <v/>
      </c>
      <c r="AY112" s="112" t="str">
        <f>IF(ISNUMBER(O112),IF(AND(VLOOKUP($D112,Merchantability!$B:$C,2,0)="Yes",$E112&gt;=VLOOKUP($D112,Merchantability!$B:$D,3,0),$E112&lt;=VLOOKUP($D112,Merchantability!$B:$E,4,0)),(AV112*O112)*(1-$H112/100),""),"")</f>
        <v/>
      </c>
      <c r="AZ112" s="116"/>
      <c r="BA112" s="116"/>
      <c r="BB112" s="116"/>
      <c r="BE112" s="62"/>
      <c r="BF112" s="63"/>
    </row>
    <row r="113" spans="1:58" ht="12.75" customHeight="1" x14ac:dyDescent="0.25">
      <c r="A113" s="313"/>
      <c r="B113" s="328"/>
      <c r="C113" s="329"/>
      <c r="D113" s="328"/>
      <c r="E113" s="330"/>
      <c r="F113" s="331"/>
      <c r="G113" s="329"/>
      <c r="H113" s="329"/>
      <c r="I113" s="328"/>
      <c r="J113" s="329"/>
      <c r="K113" s="329"/>
      <c r="L113" s="329"/>
      <c r="M113" s="76"/>
      <c r="N113" s="103" t="str">
        <f>IF(A113="","",VLOOKUP(A113,Stand!C:K,9,0))</f>
        <v/>
      </c>
      <c r="O113" s="104" t="str">
        <f t="shared" si="27"/>
        <v/>
      </c>
      <c r="P113" s="105" t="str">
        <f t="shared" si="28"/>
        <v/>
      </c>
      <c r="Q113" s="105" t="str">
        <f t="shared" si="29"/>
        <v/>
      </c>
      <c r="R113" s="103" t="str">
        <f t="shared" si="30"/>
        <v/>
      </c>
      <c r="S113" s="103" t="str">
        <f t="shared" si="31"/>
        <v/>
      </c>
      <c r="T113" s="106" t="str">
        <f t="shared" si="32"/>
        <v/>
      </c>
      <c r="U113" s="106" t="str">
        <f t="shared" si="33"/>
        <v/>
      </c>
      <c r="V113" s="106" t="str">
        <f t="shared" si="34"/>
        <v/>
      </c>
      <c r="W113" s="105" t="str">
        <f t="shared" si="35"/>
        <v/>
      </c>
      <c r="X113" s="104" t="str">
        <f t="shared" si="36"/>
        <v/>
      </c>
      <c r="Y113" s="104" t="str">
        <f t="array" ref="Y113">IFERROR(IF(ISNUMBER(O113),IF(COUNT(IF(A113=$A$2:$A$2427,IF(D113=$D$2:$D$2427,IF($X$2:$X$2427&gt;0,1))))&gt;0,SUM(IF(A113=$A$2:$A$2427,IF(D113=$D$2:$D$2427,$X$2:$X$2427)))/COUNT(IF(A113=$A$2:$A$2427,IF(D113=$D$2:$D$2427,IF(ISNUMBER($X$2:$X$2427),1)))),0),""),0)</f>
        <v/>
      </c>
      <c r="Z113" s="104" t="str">
        <f>IF(ISNUMBER(O113),IF(I113&gt;0,(10^(VLOOKUP(D113,'Species Codes'!B:C,2,0)+VLOOKUP(D113,'Species Codes'!B:D,3,0)*LOG(E113)+VLOOKUP(D113,'Species Codes'!B:E,4,0)*LOG(I113))),0),"")</f>
        <v/>
      </c>
      <c r="AA113" s="104" t="str">
        <f>IFERROR((VLOOKUP(D113,'Species Codes'!B:G,6,0)*Z113)/2000,"")</f>
        <v/>
      </c>
      <c r="AB113" s="104" t="e">
        <f>IF(Z113&gt;0,((IF(OR(D113="DF",D113="RA")=TRUE,EXP(VLOOKUP(D113,'Species Codes'!B:I,8,0)+VLOOKUP(D113,'Species Codes'!B:J,9,0)*(LN((E113*2.54)))),IF(OR(D113="PY",D113="RC",D113="WH",D113="NF")=TRUE,VLOOKUP(D113,'Species Codes'!B:I,8,0)+VLOOKUP(D113,'Species Codes'!B:J,9,0)*((E113*2.54)^2)*(I113*0.3048),IF(OR(D113="MD",D113="BM",D113="GA")=TRUE,((VLOOKUP(D113,'Species Codes'!B:I,8,0)*(((((E113*2.54)+VLOOKUP(D113,'Species Codes'!B:J,9,0))/VLOOKUP(D113,'Species Codes'!B:K,10,0))^VLOOKUP(D113,'Species Codes'!B:L,11,0))*((I113*0.3048)^VLOOKUP(D113,'Species Codes'!B:M,12,0))))-(VLOOKUP(D113,'Species Codes'!B:I,8,0)*((((E113*2.54)^VLOOKUP(D113,'Species Codes'!B:L,11,0))*((I113*0.3048)^VLOOKUP(D113,'Species Codes'!B:M,12,0))))))*35.3*VLOOKUP(D113,'Species Codes'!B:G,6,0)/2.2046,VLOOKUP(D113,'Species Codes'!B:I,8,0)+VLOOKUP(D113,'Species Codes'!B:J,9,0)*(((E113*2.54)/100)^2)*(I113*0.3048)))))*0.0011023),0)</f>
        <v>#N/A</v>
      </c>
      <c r="AC113" s="104" t="e">
        <f>IF(Z113&gt;0,((IF(OR(D113="RA",D113="OA",D113="OT",D113="UN",D113="PC"),EXP(VLOOKUP(D113,'Species Codes'!B:O,14,0)+VLOOKUP(D113,'Species Codes'!B:P,15,0)*LN((E113*2.54)))-EXP(VLOOKUP(D113,'Species Codes'!B:O,14,0)+VLOOKUP(D113,'Species Codes'!B:P,15,0)*LN((E113*2.54)))*(1/(VLOOKUP(D113,'Species Codes'!B:Q,16,0)+VLOOKUP(D113,'Species Codes'!B:R,17,0)*((E113*2.54)^VLOOKUP(D113,'Species Codes'!B:S,18,0)))),IF(OR(D113="BM",D113="MD",D113="OA"),EXP(VLOOKUP(D113,'Species Codes'!B:O,14,0)+VLOOKUP(D113,'Species Codes'!B:P,15,0)*LN((E113*2.54)))*(1-(1/(VLOOKUP(D113,'Species Codes'!B:Q,16,0)+VLOOKUP(D113,'Species Codes'!B:R,17,0)*((E113*2.54)^VLOOKUP(D113,'Species Codes'!B:S,18,0)))))/1000,IF(D113="DF",EXP(VLOOKUP(D113,'Species Codes'!B:O,14,0)+VLOOKUP(D113,'Species Codes'!B:P,15,0)*LN((E113*2.54))),VLOOKUP(D113,'Species Codes'!B:O,14,0)+VLOOKUP(D113,'Species Codes'!B:P,15,0)*(((E113*2.54)/100)^2)*(I113*0.3048)))))*0.0011023),0)</f>
        <v>#N/A</v>
      </c>
      <c r="AD113" s="104" t="e">
        <f t="shared" si="37"/>
        <v>#N/A</v>
      </c>
      <c r="AE113" s="104" t="e">
        <f t="shared" si="38"/>
        <v>#N/A</v>
      </c>
      <c r="AF113" s="104" t="e">
        <f>IF(AND(VLOOKUP($D113,Merchantability!$B:$C,2,0)="Yes",$E113&gt;=VLOOKUP($D113,Merchantability!$B:$D,3,0),$E113&lt;=VLOOKUP($D113,Merchantability!$B:$E,4,0)),AA113,0)</f>
        <v>#N/A</v>
      </c>
      <c r="AG113" s="104" t="e">
        <f>IF(AND(VLOOKUP($D113,Merchantability!$B:$C,2,0)="Yes",$E113&gt;=VLOOKUP($D113,Merchantability!$B:$D,3,0),$E113&lt;=VLOOKUP($D113,Merchantability!$B:$E,4,0)),AB113,0)</f>
        <v>#N/A</v>
      </c>
      <c r="AH113" s="104" t="e">
        <f>IF(AND(VLOOKUP($D113,Merchantability!$B:$C,2,0)="Yes",$E113&gt;=VLOOKUP($D113,Merchantability!$B:$D,3,0),$E113&lt;=VLOOKUP($D113,Merchantability!$B:$E,4,0)),AC113,0)</f>
        <v>#N/A</v>
      </c>
      <c r="AI113" s="104" t="e">
        <f t="shared" si="39"/>
        <v>#N/A</v>
      </c>
      <c r="AJ113" s="104" t="e">
        <f t="shared" si="40"/>
        <v>#VALUE!</v>
      </c>
      <c r="AK113" s="104" t="e">
        <f t="shared" si="41"/>
        <v>#N/A</v>
      </c>
      <c r="AL113" s="104" t="e">
        <f t="shared" si="42"/>
        <v>#N/A</v>
      </c>
      <c r="AM113" s="104" t="e">
        <f t="shared" si="43"/>
        <v>#N/A</v>
      </c>
      <c r="AN113" s="104" t="e">
        <f t="shared" si="44"/>
        <v>#N/A</v>
      </c>
      <c r="AO113" s="104" t="e">
        <f t="shared" si="45"/>
        <v>#N/A</v>
      </c>
      <c r="AP113" s="104" t="e">
        <f t="shared" si="46"/>
        <v>#N/A</v>
      </c>
      <c r="AQ113" s="104" t="e">
        <f t="shared" si="47"/>
        <v>#N/A</v>
      </c>
      <c r="AR113" s="105" t="str">
        <f t="shared" si="48"/>
        <v/>
      </c>
      <c r="AS113" s="105" t="str">
        <f t="shared" si="49"/>
        <v/>
      </c>
      <c r="AT113" s="108" t="str">
        <f t="shared" si="50"/>
        <v/>
      </c>
      <c r="AU113" s="108" t="str">
        <f t="shared" si="51"/>
        <v/>
      </c>
      <c r="AV113" s="107" t="str">
        <f>IF(ISNUMBER(O113),IF(VLOOKUP($A113,Stand!C:J,8,FALSE)="Short",AT113,AU113),"")</f>
        <v/>
      </c>
      <c r="AW113" s="109" t="str">
        <f t="shared" si="52"/>
        <v/>
      </c>
      <c r="AX113" s="109" t="str">
        <f t="shared" si="53"/>
        <v/>
      </c>
      <c r="AY113" s="112" t="str">
        <f>IF(ISNUMBER(O113),IF(AND(VLOOKUP($D113,Merchantability!$B:$C,2,0)="Yes",$E113&gt;=VLOOKUP($D113,Merchantability!$B:$D,3,0),$E113&lt;=VLOOKUP($D113,Merchantability!$B:$E,4,0)),(AV113*O113)*(1-$H113/100),""),"")</f>
        <v/>
      </c>
      <c r="AZ113" s="116"/>
      <c r="BA113" s="116"/>
      <c r="BB113" s="116"/>
      <c r="BE113" s="62"/>
      <c r="BF113" s="63"/>
    </row>
    <row r="114" spans="1:58" ht="12.75" customHeight="1" x14ac:dyDescent="0.25">
      <c r="A114" s="313"/>
      <c r="B114" s="328"/>
      <c r="C114" s="329"/>
      <c r="D114" s="328"/>
      <c r="E114" s="330"/>
      <c r="F114" s="331"/>
      <c r="G114" s="329"/>
      <c r="H114" s="329"/>
      <c r="I114" s="328"/>
      <c r="J114" s="329"/>
      <c r="K114" s="329"/>
      <c r="L114" s="329"/>
      <c r="M114" s="76"/>
      <c r="N114" s="103" t="str">
        <f>IF(A114="","",VLOOKUP(A114,Stand!C:K,9,0))</f>
        <v/>
      </c>
      <c r="O114" s="104" t="str">
        <f t="shared" si="27"/>
        <v/>
      </c>
      <c r="P114" s="105" t="str">
        <f t="shared" si="28"/>
        <v/>
      </c>
      <c r="Q114" s="105" t="str">
        <f t="shared" si="29"/>
        <v/>
      </c>
      <c r="R114" s="103" t="str">
        <f t="shared" si="30"/>
        <v/>
      </c>
      <c r="S114" s="103" t="str">
        <f t="shared" si="31"/>
        <v/>
      </c>
      <c r="T114" s="106" t="str">
        <f t="shared" si="32"/>
        <v/>
      </c>
      <c r="U114" s="106" t="str">
        <f t="shared" si="33"/>
        <v/>
      </c>
      <c r="V114" s="106" t="str">
        <f t="shared" si="34"/>
        <v/>
      </c>
      <c r="W114" s="105" t="str">
        <f t="shared" si="35"/>
        <v/>
      </c>
      <c r="X114" s="104" t="str">
        <f t="shared" si="36"/>
        <v/>
      </c>
      <c r="Y114" s="104" t="str">
        <f t="array" ref="Y114">IFERROR(IF(ISNUMBER(O114),IF(COUNT(IF(A114=$A$2:$A$2427,IF(D114=$D$2:$D$2427,IF($X$2:$X$2427&gt;0,1))))&gt;0,SUM(IF(A114=$A$2:$A$2427,IF(D114=$D$2:$D$2427,$X$2:$X$2427)))/COUNT(IF(A114=$A$2:$A$2427,IF(D114=$D$2:$D$2427,IF(ISNUMBER($X$2:$X$2427),1)))),0),""),0)</f>
        <v/>
      </c>
      <c r="Z114" s="104" t="str">
        <f>IF(ISNUMBER(O114),IF(I114&gt;0,(10^(VLOOKUP(D114,'Species Codes'!B:C,2,0)+VLOOKUP(D114,'Species Codes'!B:D,3,0)*LOG(E114)+VLOOKUP(D114,'Species Codes'!B:E,4,0)*LOG(I114))),0),"")</f>
        <v/>
      </c>
      <c r="AA114" s="104" t="str">
        <f>IFERROR((VLOOKUP(D114,'Species Codes'!B:G,6,0)*Z114)/2000,"")</f>
        <v/>
      </c>
      <c r="AB114" s="104" t="e">
        <f>IF(Z114&gt;0,((IF(OR(D114="DF",D114="RA")=TRUE,EXP(VLOOKUP(D114,'Species Codes'!B:I,8,0)+VLOOKUP(D114,'Species Codes'!B:J,9,0)*(LN((E114*2.54)))),IF(OR(D114="PY",D114="RC",D114="WH",D114="NF")=TRUE,VLOOKUP(D114,'Species Codes'!B:I,8,0)+VLOOKUP(D114,'Species Codes'!B:J,9,0)*((E114*2.54)^2)*(I114*0.3048),IF(OR(D114="MD",D114="BM",D114="GA")=TRUE,((VLOOKUP(D114,'Species Codes'!B:I,8,0)*(((((E114*2.54)+VLOOKUP(D114,'Species Codes'!B:J,9,0))/VLOOKUP(D114,'Species Codes'!B:K,10,0))^VLOOKUP(D114,'Species Codes'!B:L,11,0))*((I114*0.3048)^VLOOKUP(D114,'Species Codes'!B:M,12,0))))-(VLOOKUP(D114,'Species Codes'!B:I,8,0)*((((E114*2.54)^VLOOKUP(D114,'Species Codes'!B:L,11,0))*((I114*0.3048)^VLOOKUP(D114,'Species Codes'!B:M,12,0))))))*35.3*VLOOKUP(D114,'Species Codes'!B:G,6,0)/2.2046,VLOOKUP(D114,'Species Codes'!B:I,8,0)+VLOOKUP(D114,'Species Codes'!B:J,9,0)*(((E114*2.54)/100)^2)*(I114*0.3048)))))*0.0011023),0)</f>
        <v>#N/A</v>
      </c>
      <c r="AC114" s="104" t="e">
        <f>IF(Z114&gt;0,((IF(OR(D114="RA",D114="OA",D114="OT",D114="UN",D114="PC"),EXP(VLOOKUP(D114,'Species Codes'!B:O,14,0)+VLOOKUP(D114,'Species Codes'!B:P,15,0)*LN((E114*2.54)))-EXP(VLOOKUP(D114,'Species Codes'!B:O,14,0)+VLOOKUP(D114,'Species Codes'!B:P,15,0)*LN((E114*2.54)))*(1/(VLOOKUP(D114,'Species Codes'!B:Q,16,0)+VLOOKUP(D114,'Species Codes'!B:R,17,0)*((E114*2.54)^VLOOKUP(D114,'Species Codes'!B:S,18,0)))),IF(OR(D114="BM",D114="MD",D114="OA"),EXP(VLOOKUP(D114,'Species Codes'!B:O,14,0)+VLOOKUP(D114,'Species Codes'!B:P,15,0)*LN((E114*2.54)))*(1-(1/(VLOOKUP(D114,'Species Codes'!B:Q,16,0)+VLOOKUP(D114,'Species Codes'!B:R,17,0)*((E114*2.54)^VLOOKUP(D114,'Species Codes'!B:S,18,0)))))/1000,IF(D114="DF",EXP(VLOOKUP(D114,'Species Codes'!B:O,14,0)+VLOOKUP(D114,'Species Codes'!B:P,15,0)*LN((E114*2.54))),VLOOKUP(D114,'Species Codes'!B:O,14,0)+VLOOKUP(D114,'Species Codes'!B:P,15,0)*(((E114*2.54)/100)^2)*(I114*0.3048)))))*0.0011023),0)</f>
        <v>#N/A</v>
      </c>
      <c r="AD114" s="104" t="e">
        <f t="shared" si="37"/>
        <v>#N/A</v>
      </c>
      <c r="AE114" s="104" t="e">
        <f t="shared" si="38"/>
        <v>#N/A</v>
      </c>
      <c r="AF114" s="104" t="e">
        <f>IF(AND(VLOOKUP($D114,Merchantability!$B:$C,2,0)="Yes",$E114&gt;=VLOOKUP($D114,Merchantability!$B:$D,3,0),$E114&lt;=VLOOKUP($D114,Merchantability!$B:$E,4,0)),AA114,0)</f>
        <v>#N/A</v>
      </c>
      <c r="AG114" s="104" t="e">
        <f>IF(AND(VLOOKUP($D114,Merchantability!$B:$C,2,0)="Yes",$E114&gt;=VLOOKUP($D114,Merchantability!$B:$D,3,0),$E114&lt;=VLOOKUP($D114,Merchantability!$B:$E,4,0)),AB114,0)</f>
        <v>#N/A</v>
      </c>
      <c r="AH114" s="104" t="e">
        <f>IF(AND(VLOOKUP($D114,Merchantability!$B:$C,2,0)="Yes",$E114&gt;=VLOOKUP($D114,Merchantability!$B:$D,3,0),$E114&lt;=VLOOKUP($D114,Merchantability!$B:$E,4,0)),AC114,0)</f>
        <v>#N/A</v>
      </c>
      <c r="AI114" s="104" t="e">
        <f t="shared" si="39"/>
        <v>#N/A</v>
      </c>
      <c r="AJ114" s="104" t="e">
        <f t="shared" si="40"/>
        <v>#VALUE!</v>
      </c>
      <c r="AK114" s="104" t="e">
        <f t="shared" si="41"/>
        <v>#N/A</v>
      </c>
      <c r="AL114" s="104" t="e">
        <f t="shared" si="42"/>
        <v>#N/A</v>
      </c>
      <c r="AM114" s="104" t="e">
        <f t="shared" si="43"/>
        <v>#N/A</v>
      </c>
      <c r="AN114" s="104" t="e">
        <f t="shared" si="44"/>
        <v>#N/A</v>
      </c>
      <c r="AO114" s="104" t="e">
        <f t="shared" si="45"/>
        <v>#N/A</v>
      </c>
      <c r="AP114" s="104" t="e">
        <f t="shared" si="46"/>
        <v>#N/A</v>
      </c>
      <c r="AQ114" s="104" t="e">
        <f t="shared" si="47"/>
        <v>#N/A</v>
      </c>
      <c r="AR114" s="105" t="str">
        <f t="shared" si="48"/>
        <v/>
      </c>
      <c r="AS114" s="105" t="str">
        <f t="shared" si="49"/>
        <v/>
      </c>
      <c r="AT114" s="108" t="str">
        <f t="shared" si="50"/>
        <v/>
      </c>
      <c r="AU114" s="108" t="str">
        <f t="shared" si="51"/>
        <v/>
      </c>
      <c r="AV114" s="107" t="str">
        <f>IF(ISNUMBER(O114),IF(VLOOKUP($A114,Stand!C:J,8,FALSE)="Short",AT114,AU114),"")</f>
        <v/>
      </c>
      <c r="AW114" s="109" t="str">
        <f t="shared" si="52"/>
        <v/>
      </c>
      <c r="AX114" s="109" t="str">
        <f t="shared" si="53"/>
        <v/>
      </c>
      <c r="AY114" s="112" t="str">
        <f>IF(ISNUMBER(O114),IF(AND(VLOOKUP($D114,Merchantability!$B:$C,2,0)="Yes",$E114&gt;=VLOOKUP($D114,Merchantability!$B:$D,3,0),$E114&lt;=VLOOKUP($D114,Merchantability!$B:$E,4,0)),(AV114*O114)*(1-$H114/100),""),"")</f>
        <v/>
      </c>
      <c r="AZ114" s="116"/>
      <c r="BA114" s="116"/>
      <c r="BB114" s="116"/>
      <c r="BE114" s="62"/>
      <c r="BF114" s="63"/>
    </row>
    <row r="115" spans="1:58" ht="12.75" customHeight="1" x14ac:dyDescent="0.25">
      <c r="A115" s="313"/>
      <c r="B115" s="328"/>
      <c r="C115" s="329"/>
      <c r="D115" s="328"/>
      <c r="E115" s="330"/>
      <c r="F115" s="331"/>
      <c r="G115" s="329"/>
      <c r="H115" s="329"/>
      <c r="I115" s="328"/>
      <c r="J115" s="329"/>
      <c r="K115" s="329"/>
      <c r="L115" s="329"/>
      <c r="M115" s="76"/>
      <c r="N115" s="103" t="str">
        <f>IF(A115="","",VLOOKUP(A115,Stand!C:K,9,0))</f>
        <v/>
      </c>
      <c r="O115" s="104" t="str">
        <f t="shared" si="27"/>
        <v/>
      </c>
      <c r="P115" s="105" t="str">
        <f t="shared" si="28"/>
        <v/>
      </c>
      <c r="Q115" s="105" t="str">
        <f t="shared" si="29"/>
        <v/>
      </c>
      <c r="R115" s="103" t="str">
        <f t="shared" si="30"/>
        <v/>
      </c>
      <c r="S115" s="103" t="str">
        <f t="shared" si="31"/>
        <v/>
      </c>
      <c r="T115" s="106" t="str">
        <f t="shared" si="32"/>
        <v/>
      </c>
      <c r="U115" s="106" t="str">
        <f t="shared" si="33"/>
        <v/>
      </c>
      <c r="V115" s="106" t="str">
        <f t="shared" si="34"/>
        <v/>
      </c>
      <c r="W115" s="105" t="str">
        <f t="shared" si="35"/>
        <v/>
      </c>
      <c r="X115" s="104" t="str">
        <f t="shared" si="36"/>
        <v/>
      </c>
      <c r="Y115" s="104" t="str">
        <f t="array" ref="Y115">IFERROR(IF(ISNUMBER(O115),IF(COUNT(IF(A115=$A$2:$A$2427,IF(D115=$D$2:$D$2427,IF($X$2:$X$2427&gt;0,1))))&gt;0,SUM(IF(A115=$A$2:$A$2427,IF(D115=$D$2:$D$2427,$X$2:$X$2427)))/COUNT(IF(A115=$A$2:$A$2427,IF(D115=$D$2:$D$2427,IF(ISNUMBER($X$2:$X$2427),1)))),0),""),0)</f>
        <v/>
      </c>
      <c r="Z115" s="104" t="str">
        <f>IF(ISNUMBER(O115),IF(I115&gt;0,(10^(VLOOKUP(D115,'Species Codes'!B:C,2,0)+VLOOKUP(D115,'Species Codes'!B:D,3,0)*LOG(E115)+VLOOKUP(D115,'Species Codes'!B:E,4,0)*LOG(I115))),0),"")</f>
        <v/>
      </c>
      <c r="AA115" s="104" t="str">
        <f>IFERROR((VLOOKUP(D115,'Species Codes'!B:G,6,0)*Z115)/2000,"")</f>
        <v/>
      </c>
      <c r="AB115" s="104" t="e">
        <f>IF(Z115&gt;0,((IF(OR(D115="DF",D115="RA")=TRUE,EXP(VLOOKUP(D115,'Species Codes'!B:I,8,0)+VLOOKUP(D115,'Species Codes'!B:J,9,0)*(LN((E115*2.54)))),IF(OR(D115="PY",D115="RC",D115="WH",D115="NF")=TRUE,VLOOKUP(D115,'Species Codes'!B:I,8,0)+VLOOKUP(D115,'Species Codes'!B:J,9,0)*((E115*2.54)^2)*(I115*0.3048),IF(OR(D115="MD",D115="BM",D115="GA")=TRUE,((VLOOKUP(D115,'Species Codes'!B:I,8,0)*(((((E115*2.54)+VLOOKUP(D115,'Species Codes'!B:J,9,0))/VLOOKUP(D115,'Species Codes'!B:K,10,0))^VLOOKUP(D115,'Species Codes'!B:L,11,0))*((I115*0.3048)^VLOOKUP(D115,'Species Codes'!B:M,12,0))))-(VLOOKUP(D115,'Species Codes'!B:I,8,0)*((((E115*2.54)^VLOOKUP(D115,'Species Codes'!B:L,11,0))*((I115*0.3048)^VLOOKUP(D115,'Species Codes'!B:M,12,0))))))*35.3*VLOOKUP(D115,'Species Codes'!B:G,6,0)/2.2046,VLOOKUP(D115,'Species Codes'!B:I,8,0)+VLOOKUP(D115,'Species Codes'!B:J,9,0)*(((E115*2.54)/100)^2)*(I115*0.3048)))))*0.0011023),0)</f>
        <v>#N/A</v>
      </c>
      <c r="AC115" s="104" t="e">
        <f>IF(Z115&gt;0,((IF(OR(D115="RA",D115="OA",D115="OT",D115="UN",D115="PC"),EXP(VLOOKUP(D115,'Species Codes'!B:O,14,0)+VLOOKUP(D115,'Species Codes'!B:P,15,0)*LN((E115*2.54)))-EXP(VLOOKUP(D115,'Species Codes'!B:O,14,0)+VLOOKUP(D115,'Species Codes'!B:P,15,0)*LN((E115*2.54)))*(1/(VLOOKUP(D115,'Species Codes'!B:Q,16,0)+VLOOKUP(D115,'Species Codes'!B:R,17,0)*((E115*2.54)^VLOOKUP(D115,'Species Codes'!B:S,18,0)))),IF(OR(D115="BM",D115="MD",D115="OA"),EXP(VLOOKUP(D115,'Species Codes'!B:O,14,0)+VLOOKUP(D115,'Species Codes'!B:P,15,0)*LN((E115*2.54)))*(1-(1/(VLOOKUP(D115,'Species Codes'!B:Q,16,0)+VLOOKUP(D115,'Species Codes'!B:R,17,0)*((E115*2.54)^VLOOKUP(D115,'Species Codes'!B:S,18,0)))))/1000,IF(D115="DF",EXP(VLOOKUP(D115,'Species Codes'!B:O,14,0)+VLOOKUP(D115,'Species Codes'!B:P,15,0)*LN((E115*2.54))),VLOOKUP(D115,'Species Codes'!B:O,14,0)+VLOOKUP(D115,'Species Codes'!B:P,15,0)*(((E115*2.54)/100)^2)*(I115*0.3048)))))*0.0011023),0)</f>
        <v>#N/A</v>
      </c>
      <c r="AD115" s="104" t="e">
        <f t="shared" si="37"/>
        <v>#N/A</v>
      </c>
      <c r="AE115" s="104" t="e">
        <f t="shared" si="38"/>
        <v>#N/A</v>
      </c>
      <c r="AF115" s="104" t="e">
        <f>IF(AND(VLOOKUP($D115,Merchantability!$B:$C,2,0)="Yes",$E115&gt;=VLOOKUP($D115,Merchantability!$B:$D,3,0),$E115&lt;=VLOOKUP($D115,Merchantability!$B:$E,4,0)),AA115,0)</f>
        <v>#N/A</v>
      </c>
      <c r="AG115" s="104" t="e">
        <f>IF(AND(VLOOKUP($D115,Merchantability!$B:$C,2,0)="Yes",$E115&gt;=VLOOKUP($D115,Merchantability!$B:$D,3,0),$E115&lt;=VLOOKUP($D115,Merchantability!$B:$E,4,0)),AB115,0)</f>
        <v>#N/A</v>
      </c>
      <c r="AH115" s="104" t="e">
        <f>IF(AND(VLOOKUP($D115,Merchantability!$B:$C,2,0)="Yes",$E115&gt;=VLOOKUP($D115,Merchantability!$B:$D,3,0),$E115&lt;=VLOOKUP($D115,Merchantability!$B:$E,4,0)),AC115,0)</f>
        <v>#N/A</v>
      </c>
      <c r="AI115" s="104" t="e">
        <f t="shared" si="39"/>
        <v>#N/A</v>
      </c>
      <c r="AJ115" s="104" t="e">
        <f t="shared" si="40"/>
        <v>#VALUE!</v>
      </c>
      <c r="AK115" s="104" t="e">
        <f t="shared" si="41"/>
        <v>#N/A</v>
      </c>
      <c r="AL115" s="104" t="e">
        <f t="shared" si="42"/>
        <v>#N/A</v>
      </c>
      <c r="AM115" s="104" t="e">
        <f t="shared" si="43"/>
        <v>#N/A</v>
      </c>
      <c r="AN115" s="104" t="e">
        <f t="shared" si="44"/>
        <v>#N/A</v>
      </c>
      <c r="AO115" s="104" t="e">
        <f t="shared" si="45"/>
        <v>#N/A</v>
      </c>
      <c r="AP115" s="104" t="e">
        <f t="shared" si="46"/>
        <v>#N/A</v>
      </c>
      <c r="AQ115" s="104" t="e">
        <f t="shared" si="47"/>
        <v>#N/A</v>
      </c>
      <c r="AR115" s="105" t="str">
        <f t="shared" si="48"/>
        <v/>
      </c>
      <c r="AS115" s="105" t="str">
        <f t="shared" si="49"/>
        <v/>
      </c>
      <c r="AT115" s="108" t="str">
        <f t="shared" si="50"/>
        <v/>
      </c>
      <c r="AU115" s="108" t="str">
        <f t="shared" si="51"/>
        <v/>
      </c>
      <c r="AV115" s="107" t="str">
        <f>IF(ISNUMBER(O115),IF(VLOOKUP($A115,Stand!C:J,8,FALSE)="Short",AT115,AU115),"")</f>
        <v/>
      </c>
      <c r="AW115" s="109" t="str">
        <f t="shared" si="52"/>
        <v/>
      </c>
      <c r="AX115" s="109" t="str">
        <f t="shared" si="53"/>
        <v/>
      </c>
      <c r="AY115" s="112" t="str">
        <f>IF(ISNUMBER(O115),IF(AND(VLOOKUP($D115,Merchantability!$B:$C,2,0)="Yes",$E115&gt;=VLOOKUP($D115,Merchantability!$B:$D,3,0),$E115&lt;=VLOOKUP($D115,Merchantability!$B:$E,4,0)),(AV115*O115)*(1-$H115/100),""),"")</f>
        <v/>
      </c>
      <c r="AZ115" s="116"/>
      <c r="BA115" s="116"/>
      <c r="BB115" s="116"/>
      <c r="BE115" s="62"/>
      <c r="BF115" s="63"/>
    </row>
    <row r="116" spans="1:58" ht="12.75" customHeight="1" x14ac:dyDescent="0.25">
      <c r="A116" s="313"/>
      <c r="B116" s="328"/>
      <c r="C116" s="329"/>
      <c r="D116" s="328"/>
      <c r="E116" s="330"/>
      <c r="F116" s="331"/>
      <c r="G116" s="329"/>
      <c r="H116" s="329"/>
      <c r="I116" s="328"/>
      <c r="J116" s="329"/>
      <c r="K116" s="329"/>
      <c r="L116" s="329"/>
      <c r="M116" s="76"/>
      <c r="N116" s="103" t="str">
        <f>IF(A116="","",VLOOKUP(A116,Stand!C:K,9,0))</f>
        <v/>
      </c>
      <c r="O116" s="104" t="str">
        <f t="shared" si="27"/>
        <v/>
      </c>
      <c r="P116" s="105" t="str">
        <f t="shared" si="28"/>
        <v/>
      </c>
      <c r="Q116" s="105" t="str">
        <f t="shared" si="29"/>
        <v/>
      </c>
      <c r="R116" s="103" t="str">
        <f t="shared" si="30"/>
        <v/>
      </c>
      <c r="S116" s="103" t="str">
        <f t="shared" si="31"/>
        <v/>
      </c>
      <c r="T116" s="106" t="str">
        <f t="shared" si="32"/>
        <v/>
      </c>
      <c r="U116" s="106" t="str">
        <f t="shared" si="33"/>
        <v/>
      </c>
      <c r="V116" s="106" t="str">
        <f t="shared" si="34"/>
        <v/>
      </c>
      <c r="W116" s="105" t="str">
        <f t="shared" si="35"/>
        <v/>
      </c>
      <c r="X116" s="104" t="str">
        <f t="shared" si="36"/>
        <v/>
      </c>
      <c r="Y116" s="104" t="str">
        <f t="array" ref="Y116">IFERROR(IF(ISNUMBER(O116),IF(COUNT(IF(A116=$A$2:$A$2427,IF(D116=$D$2:$D$2427,IF($X$2:$X$2427&gt;0,1))))&gt;0,SUM(IF(A116=$A$2:$A$2427,IF(D116=$D$2:$D$2427,$X$2:$X$2427)))/COUNT(IF(A116=$A$2:$A$2427,IF(D116=$D$2:$D$2427,IF(ISNUMBER($X$2:$X$2427),1)))),0),""),0)</f>
        <v/>
      </c>
      <c r="Z116" s="104" t="str">
        <f>IF(ISNUMBER(O116),IF(I116&gt;0,(10^(VLOOKUP(D116,'Species Codes'!B:C,2,0)+VLOOKUP(D116,'Species Codes'!B:D,3,0)*LOG(E116)+VLOOKUP(D116,'Species Codes'!B:E,4,0)*LOG(I116))),0),"")</f>
        <v/>
      </c>
      <c r="AA116" s="104" t="str">
        <f>IFERROR((VLOOKUP(D116,'Species Codes'!B:G,6,0)*Z116)/2000,"")</f>
        <v/>
      </c>
      <c r="AB116" s="104" t="e">
        <f>IF(Z116&gt;0,((IF(OR(D116="DF",D116="RA")=TRUE,EXP(VLOOKUP(D116,'Species Codes'!B:I,8,0)+VLOOKUP(D116,'Species Codes'!B:J,9,0)*(LN((E116*2.54)))),IF(OR(D116="PY",D116="RC",D116="WH",D116="NF")=TRUE,VLOOKUP(D116,'Species Codes'!B:I,8,0)+VLOOKUP(D116,'Species Codes'!B:J,9,0)*((E116*2.54)^2)*(I116*0.3048),IF(OR(D116="MD",D116="BM",D116="GA")=TRUE,((VLOOKUP(D116,'Species Codes'!B:I,8,0)*(((((E116*2.54)+VLOOKUP(D116,'Species Codes'!B:J,9,0))/VLOOKUP(D116,'Species Codes'!B:K,10,0))^VLOOKUP(D116,'Species Codes'!B:L,11,0))*((I116*0.3048)^VLOOKUP(D116,'Species Codes'!B:M,12,0))))-(VLOOKUP(D116,'Species Codes'!B:I,8,0)*((((E116*2.54)^VLOOKUP(D116,'Species Codes'!B:L,11,0))*((I116*0.3048)^VLOOKUP(D116,'Species Codes'!B:M,12,0))))))*35.3*VLOOKUP(D116,'Species Codes'!B:G,6,0)/2.2046,VLOOKUP(D116,'Species Codes'!B:I,8,0)+VLOOKUP(D116,'Species Codes'!B:J,9,0)*(((E116*2.54)/100)^2)*(I116*0.3048)))))*0.0011023),0)</f>
        <v>#N/A</v>
      </c>
      <c r="AC116" s="104" t="e">
        <f>IF(Z116&gt;0,((IF(OR(D116="RA",D116="OA",D116="OT",D116="UN",D116="PC"),EXP(VLOOKUP(D116,'Species Codes'!B:O,14,0)+VLOOKUP(D116,'Species Codes'!B:P,15,0)*LN((E116*2.54)))-EXP(VLOOKUP(D116,'Species Codes'!B:O,14,0)+VLOOKUP(D116,'Species Codes'!B:P,15,0)*LN((E116*2.54)))*(1/(VLOOKUP(D116,'Species Codes'!B:Q,16,0)+VLOOKUP(D116,'Species Codes'!B:R,17,0)*((E116*2.54)^VLOOKUP(D116,'Species Codes'!B:S,18,0)))),IF(OR(D116="BM",D116="MD",D116="OA"),EXP(VLOOKUP(D116,'Species Codes'!B:O,14,0)+VLOOKUP(D116,'Species Codes'!B:P,15,0)*LN((E116*2.54)))*(1-(1/(VLOOKUP(D116,'Species Codes'!B:Q,16,0)+VLOOKUP(D116,'Species Codes'!B:R,17,0)*((E116*2.54)^VLOOKUP(D116,'Species Codes'!B:S,18,0)))))/1000,IF(D116="DF",EXP(VLOOKUP(D116,'Species Codes'!B:O,14,0)+VLOOKUP(D116,'Species Codes'!B:P,15,0)*LN((E116*2.54))),VLOOKUP(D116,'Species Codes'!B:O,14,0)+VLOOKUP(D116,'Species Codes'!B:P,15,0)*(((E116*2.54)/100)^2)*(I116*0.3048)))))*0.0011023),0)</f>
        <v>#N/A</v>
      </c>
      <c r="AD116" s="104" t="e">
        <f t="shared" si="37"/>
        <v>#N/A</v>
      </c>
      <c r="AE116" s="104" t="e">
        <f t="shared" si="38"/>
        <v>#N/A</v>
      </c>
      <c r="AF116" s="104" t="e">
        <f>IF(AND(VLOOKUP($D116,Merchantability!$B:$C,2,0)="Yes",$E116&gt;=VLOOKUP($D116,Merchantability!$B:$D,3,0),$E116&lt;=VLOOKUP($D116,Merchantability!$B:$E,4,0)),AA116,0)</f>
        <v>#N/A</v>
      </c>
      <c r="AG116" s="104" t="e">
        <f>IF(AND(VLOOKUP($D116,Merchantability!$B:$C,2,0)="Yes",$E116&gt;=VLOOKUP($D116,Merchantability!$B:$D,3,0),$E116&lt;=VLOOKUP($D116,Merchantability!$B:$E,4,0)),AB116,0)</f>
        <v>#N/A</v>
      </c>
      <c r="AH116" s="104" t="e">
        <f>IF(AND(VLOOKUP($D116,Merchantability!$B:$C,2,0)="Yes",$E116&gt;=VLOOKUP($D116,Merchantability!$B:$D,3,0),$E116&lt;=VLOOKUP($D116,Merchantability!$B:$E,4,0)),AC116,0)</f>
        <v>#N/A</v>
      </c>
      <c r="AI116" s="104" t="e">
        <f t="shared" si="39"/>
        <v>#N/A</v>
      </c>
      <c r="AJ116" s="104" t="e">
        <f t="shared" si="40"/>
        <v>#VALUE!</v>
      </c>
      <c r="AK116" s="104" t="e">
        <f t="shared" si="41"/>
        <v>#N/A</v>
      </c>
      <c r="AL116" s="104" t="e">
        <f t="shared" si="42"/>
        <v>#N/A</v>
      </c>
      <c r="AM116" s="104" t="e">
        <f t="shared" si="43"/>
        <v>#N/A</v>
      </c>
      <c r="AN116" s="104" t="e">
        <f t="shared" si="44"/>
        <v>#N/A</v>
      </c>
      <c r="AO116" s="104" t="e">
        <f t="shared" si="45"/>
        <v>#N/A</v>
      </c>
      <c r="AP116" s="104" t="e">
        <f t="shared" si="46"/>
        <v>#N/A</v>
      </c>
      <c r="AQ116" s="104" t="e">
        <f t="shared" si="47"/>
        <v>#N/A</v>
      </c>
      <c r="AR116" s="105" t="str">
        <f t="shared" si="48"/>
        <v/>
      </c>
      <c r="AS116" s="105" t="str">
        <f t="shared" si="49"/>
        <v/>
      </c>
      <c r="AT116" s="108" t="str">
        <f t="shared" si="50"/>
        <v/>
      </c>
      <c r="AU116" s="108" t="str">
        <f t="shared" si="51"/>
        <v/>
      </c>
      <c r="AV116" s="107" t="str">
        <f>IF(ISNUMBER(O116),IF(VLOOKUP($A116,Stand!C:J,8,FALSE)="Short",AT116,AU116),"")</f>
        <v/>
      </c>
      <c r="AW116" s="109" t="str">
        <f t="shared" si="52"/>
        <v/>
      </c>
      <c r="AX116" s="109" t="str">
        <f t="shared" si="53"/>
        <v/>
      </c>
      <c r="AY116" s="112" t="str">
        <f>IF(ISNUMBER(O116),IF(AND(VLOOKUP($D116,Merchantability!$B:$C,2,0)="Yes",$E116&gt;=VLOOKUP($D116,Merchantability!$B:$D,3,0),$E116&lt;=VLOOKUP($D116,Merchantability!$B:$E,4,0)),(AV116*O116)*(1-$H116/100),""),"")</f>
        <v/>
      </c>
      <c r="AZ116" s="116"/>
      <c r="BA116" s="116"/>
      <c r="BB116" s="116"/>
      <c r="BE116" s="62"/>
      <c r="BF116" s="63"/>
    </row>
    <row r="117" spans="1:58" ht="12.75" customHeight="1" x14ac:dyDescent="0.25">
      <c r="A117" s="313"/>
      <c r="B117" s="328"/>
      <c r="C117" s="329"/>
      <c r="D117" s="328"/>
      <c r="E117" s="330"/>
      <c r="F117" s="331"/>
      <c r="G117" s="329"/>
      <c r="H117" s="329"/>
      <c r="I117" s="328"/>
      <c r="J117" s="329"/>
      <c r="K117" s="329"/>
      <c r="L117" s="329"/>
      <c r="M117" s="76"/>
      <c r="N117" s="103" t="str">
        <f>IF(A117="","",VLOOKUP(A117,Stand!C:K,9,0))</f>
        <v/>
      </c>
      <c r="O117" s="104" t="str">
        <f t="shared" si="27"/>
        <v/>
      </c>
      <c r="P117" s="105" t="str">
        <f t="shared" si="28"/>
        <v/>
      </c>
      <c r="Q117" s="105" t="str">
        <f t="shared" si="29"/>
        <v/>
      </c>
      <c r="R117" s="103" t="str">
        <f t="shared" si="30"/>
        <v/>
      </c>
      <c r="S117" s="103" t="str">
        <f t="shared" si="31"/>
        <v/>
      </c>
      <c r="T117" s="106" t="str">
        <f t="shared" si="32"/>
        <v/>
      </c>
      <c r="U117" s="106" t="str">
        <f t="shared" si="33"/>
        <v/>
      </c>
      <c r="V117" s="106" t="str">
        <f t="shared" si="34"/>
        <v/>
      </c>
      <c r="W117" s="105" t="str">
        <f t="shared" si="35"/>
        <v/>
      </c>
      <c r="X117" s="104" t="str">
        <f t="shared" si="36"/>
        <v/>
      </c>
      <c r="Y117" s="104" t="str">
        <f t="array" ref="Y117">IFERROR(IF(ISNUMBER(O117),IF(COUNT(IF(A117=$A$2:$A$2427,IF(D117=$D$2:$D$2427,IF($X$2:$X$2427&gt;0,1))))&gt;0,SUM(IF(A117=$A$2:$A$2427,IF(D117=$D$2:$D$2427,$X$2:$X$2427)))/COUNT(IF(A117=$A$2:$A$2427,IF(D117=$D$2:$D$2427,IF(ISNUMBER($X$2:$X$2427),1)))),0),""),0)</f>
        <v/>
      </c>
      <c r="Z117" s="104" t="str">
        <f>IF(ISNUMBER(O117),IF(I117&gt;0,(10^(VLOOKUP(D117,'Species Codes'!B:C,2,0)+VLOOKUP(D117,'Species Codes'!B:D,3,0)*LOG(E117)+VLOOKUP(D117,'Species Codes'!B:E,4,0)*LOG(I117))),0),"")</f>
        <v/>
      </c>
      <c r="AA117" s="104" t="str">
        <f>IFERROR((VLOOKUP(D117,'Species Codes'!B:G,6,0)*Z117)/2000,"")</f>
        <v/>
      </c>
      <c r="AB117" s="104" t="e">
        <f>IF(Z117&gt;0,((IF(OR(D117="DF",D117="RA")=TRUE,EXP(VLOOKUP(D117,'Species Codes'!B:I,8,0)+VLOOKUP(D117,'Species Codes'!B:J,9,0)*(LN((E117*2.54)))),IF(OR(D117="PY",D117="RC",D117="WH",D117="NF")=TRUE,VLOOKUP(D117,'Species Codes'!B:I,8,0)+VLOOKUP(D117,'Species Codes'!B:J,9,0)*((E117*2.54)^2)*(I117*0.3048),IF(OR(D117="MD",D117="BM",D117="GA")=TRUE,((VLOOKUP(D117,'Species Codes'!B:I,8,0)*(((((E117*2.54)+VLOOKUP(D117,'Species Codes'!B:J,9,0))/VLOOKUP(D117,'Species Codes'!B:K,10,0))^VLOOKUP(D117,'Species Codes'!B:L,11,0))*((I117*0.3048)^VLOOKUP(D117,'Species Codes'!B:M,12,0))))-(VLOOKUP(D117,'Species Codes'!B:I,8,0)*((((E117*2.54)^VLOOKUP(D117,'Species Codes'!B:L,11,0))*((I117*0.3048)^VLOOKUP(D117,'Species Codes'!B:M,12,0))))))*35.3*VLOOKUP(D117,'Species Codes'!B:G,6,0)/2.2046,VLOOKUP(D117,'Species Codes'!B:I,8,0)+VLOOKUP(D117,'Species Codes'!B:J,9,0)*(((E117*2.54)/100)^2)*(I117*0.3048)))))*0.0011023),0)</f>
        <v>#N/A</v>
      </c>
      <c r="AC117" s="104" t="e">
        <f>IF(Z117&gt;0,((IF(OR(D117="RA",D117="OA",D117="OT",D117="UN",D117="PC"),EXP(VLOOKUP(D117,'Species Codes'!B:O,14,0)+VLOOKUP(D117,'Species Codes'!B:P,15,0)*LN((E117*2.54)))-EXP(VLOOKUP(D117,'Species Codes'!B:O,14,0)+VLOOKUP(D117,'Species Codes'!B:P,15,0)*LN((E117*2.54)))*(1/(VLOOKUP(D117,'Species Codes'!B:Q,16,0)+VLOOKUP(D117,'Species Codes'!B:R,17,0)*((E117*2.54)^VLOOKUP(D117,'Species Codes'!B:S,18,0)))),IF(OR(D117="BM",D117="MD",D117="OA"),EXP(VLOOKUP(D117,'Species Codes'!B:O,14,0)+VLOOKUP(D117,'Species Codes'!B:P,15,0)*LN((E117*2.54)))*(1-(1/(VLOOKUP(D117,'Species Codes'!B:Q,16,0)+VLOOKUP(D117,'Species Codes'!B:R,17,0)*((E117*2.54)^VLOOKUP(D117,'Species Codes'!B:S,18,0)))))/1000,IF(D117="DF",EXP(VLOOKUP(D117,'Species Codes'!B:O,14,0)+VLOOKUP(D117,'Species Codes'!B:P,15,0)*LN((E117*2.54))),VLOOKUP(D117,'Species Codes'!B:O,14,0)+VLOOKUP(D117,'Species Codes'!B:P,15,0)*(((E117*2.54)/100)^2)*(I117*0.3048)))))*0.0011023),0)</f>
        <v>#N/A</v>
      </c>
      <c r="AD117" s="104" t="e">
        <f t="shared" si="37"/>
        <v>#N/A</v>
      </c>
      <c r="AE117" s="104" t="e">
        <f t="shared" si="38"/>
        <v>#N/A</v>
      </c>
      <c r="AF117" s="104" t="e">
        <f>IF(AND(VLOOKUP($D117,Merchantability!$B:$C,2,0)="Yes",$E117&gt;=VLOOKUP($D117,Merchantability!$B:$D,3,0),$E117&lt;=VLOOKUP($D117,Merchantability!$B:$E,4,0)),AA117,0)</f>
        <v>#N/A</v>
      </c>
      <c r="AG117" s="104" t="e">
        <f>IF(AND(VLOOKUP($D117,Merchantability!$B:$C,2,0)="Yes",$E117&gt;=VLOOKUP($D117,Merchantability!$B:$D,3,0),$E117&lt;=VLOOKUP($D117,Merchantability!$B:$E,4,0)),AB117,0)</f>
        <v>#N/A</v>
      </c>
      <c r="AH117" s="104" t="e">
        <f>IF(AND(VLOOKUP($D117,Merchantability!$B:$C,2,0)="Yes",$E117&gt;=VLOOKUP($D117,Merchantability!$B:$D,3,0),$E117&lt;=VLOOKUP($D117,Merchantability!$B:$E,4,0)),AC117,0)</f>
        <v>#N/A</v>
      </c>
      <c r="AI117" s="104" t="e">
        <f t="shared" si="39"/>
        <v>#N/A</v>
      </c>
      <c r="AJ117" s="104" t="e">
        <f t="shared" si="40"/>
        <v>#VALUE!</v>
      </c>
      <c r="AK117" s="104" t="e">
        <f t="shared" si="41"/>
        <v>#N/A</v>
      </c>
      <c r="AL117" s="104" t="e">
        <f t="shared" si="42"/>
        <v>#N/A</v>
      </c>
      <c r="AM117" s="104" t="e">
        <f t="shared" si="43"/>
        <v>#N/A</v>
      </c>
      <c r="AN117" s="104" t="e">
        <f t="shared" si="44"/>
        <v>#N/A</v>
      </c>
      <c r="AO117" s="104" t="e">
        <f t="shared" si="45"/>
        <v>#N/A</v>
      </c>
      <c r="AP117" s="104" t="e">
        <f t="shared" si="46"/>
        <v>#N/A</v>
      </c>
      <c r="AQ117" s="104" t="e">
        <f t="shared" si="47"/>
        <v>#N/A</v>
      </c>
      <c r="AR117" s="105" t="str">
        <f t="shared" si="48"/>
        <v/>
      </c>
      <c r="AS117" s="105" t="str">
        <f t="shared" si="49"/>
        <v/>
      </c>
      <c r="AT117" s="108" t="str">
        <f t="shared" si="50"/>
        <v/>
      </c>
      <c r="AU117" s="108" t="str">
        <f t="shared" si="51"/>
        <v/>
      </c>
      <c r="AV117" s="107" t="str">
        <f>IF(ISNUMBER(O117),IF(VLOOKUP($A117,Stand!C:J,8,FALSE)="Short",AT117,AU117),"")</f>
        <v/>
      </c>
      <c r="AW117" s="109" t="str">
        <f t="shared" si="52"/>
        <v/>
      </c>
      <c r="AX117" s="109" t="str">
        <f t="shared" si="53"/>
        <v/>
      </c>
      <c r="AY117" s="112" t="str">
        <f>IF(ISNUMBER(O117),IF(AND(VLOOKUP($D117,Merchantability!$B:$C,2,0)="Yes",$E117&gt;=VLOOKUP($D117,Merchantability!$B:$D,3,0),$E117&lt;=VLOOKUP($D117,Merchantability!$B:$E,4,0)),(AV117*O117)*(1-$H117/100),""),"")</f>
        <v/>
      </c>
      <c r="AZ117" s="116"/>
      <c r="BA117" s="116"/>
      <c r="BB117" s="116"/>
      <c r="BE117" s="62"/>
      <c r="BF117" s="63"/>
    </row>
    <row r="118" spans="1:58" ht="12.75" customHeight="1" x14ac:dyDescent="0.25">
      <c r="A118" s="313"/>
      <c r="B118" s="328"/>
      <c r="C118" s="329"/>
      <c r="D118" s="328"/>
      <c r="E118" s="330"/>
      <c r="F118" s="331"/>
      <c r="G118" s="329"/>
      <c r="H118" s="329"/>
      <c r="I118" s="328"/>
      <c r="J118" s="329"/>
      <c r="K118" s="329"/>
      <c r="L118" s="329"/>
      <c r="M118" s="76"/>
      <c r="N118" s="103" t="str">
        <f>IF(A118="","",VLOOKUP(A118,Stand!C:K,9,0))</f>
        <v/>
      </c>
      <c r="O118" s="104" t="str">
        <f t="shared" si="27"/>
        <v/>
      </c>
      <c r="P118" s="105" t="str">
        <f t="shared" si="28"/>
        <v/>
      </c>
      <c r="Q118" s="105" t="str">
        <f t="shared" si="29"/>
        <v/>
      </c>
      <c r="R118" s="103" t="str">
        <f t="shared" si="30"/>
        <v/>
      </c>
      <c r="S118" s="103" t="str">
        <f t="shared" si="31"/>
        <v/>
      </c>
      <c r="T118" s="106" t="str">
        <f t="shared" si="32"/>
        <v/>
      </c>
      <c r="U118" s="106" t="str">
        <f t="shared" si="33"/>
        <v/>
      </c>
      <c r="V118" s="106" t="str">
        <f t="shared" si="34"/>
        <v/>
      </c>
      <c r="W118" s="105" t="str">
        <f t="shared" si="35"/>
        <v/>
      </c>
      <c r="X118" s="104" t="str">
        <f t="shared" si="36"/>
        <v/>
      </c>
      <c r="Y118" s="104" t="str">
        <f t="array" ref="Y118">IFERROR(IF(ISNUMBER(O118),IF(COUNT(IF(A118=$A$2:$A$2427,IF(D118=$D$2:$D$2427,IF($X$2:$X$2427&gt;0,1))))&gt;0,SUM(IF(A118=$A$2:$A$2427,IF(D118=$D$2:$D$2427,$X$2:$X$2427)))/COUNT(IF(A118=$A$2:$A$2427,IF(D118=$D$2:$D$2427,IF(ISNUMBER($X$2:$X$2427),1)))),0),""),0)</f>
        <v/>
      </c>
      <c r="Z118" s="104" t="str">
        <f>IF(ISNUMBER(O118),IF(I118&gt;0,(10^(VLOOKUP(D118,'Species Codes'!B:C,2,0)+VLOOKUP(D118,'Species Codes'!B:D,3,0)*LOG(E118)+VLOOKUP(D118,'Species Codes'!B:E,4,0)*LOG(I118))),0),"")</f>
        <v/>
      </c>
      <c r="AA118" s="104" t="str">
        <f>IFERROR((VLOOKUP(D118,'Species Codes'!B:G,6,0)*Z118)/2000,"")</f>
        <v/>
      </c>
      <c r="AB118" s="104" t="e">
        <f>IF(Z118&gt;0,((IF(OR(D118="DF",D118="RA")=TRUE,EXP(VLOOKUP(D118,'Species Codes'!B:I,8,0)+VLOOKUP(D118,'Species Codes'!B:J,9,0)*(LN((E118*2.54)))),IF(OR(D118="PY",D118="RC",D118="WH",D118="NF")=TRUE,VLOOKUP(D118,'Species Codes'!B:I,8,0)+VLOOKUP(D118,'Species Codes'!B:J,9,0)*((E118*2.54)^2)*(I118*0.3048),IF(OR(D118="MD",D118="BM",D118="GA")=TRUE,((VLOOKUP(D118,'Species Codes'!B:I,8,0)*(((((E118*2.54)+VLOOKUP(D118,'Species Codes'!B:J,9,0))/VLOOKUP(D118,'Species Codes'!B:K,10,0))^VLOOKUP(D118,'Species Codes'!B:L,11,0))*((I118*0.3048)^VLOOKUP(D118,'Species Codes'!B:M,12,0))))-(VLOOKUP(D118,'Species Codes'!B:I,8,0)*((((E118*2.54)^VLOOKUP(D118,'Species Codes'!B:L,11,0))*((I118*0.3048)^VLOOKUP(D118,'Species Codes'!B:M,12,0))))))*35.3*VLOOKUP(D118,'Species Codes'!B:G,6,0)/2.2046,VLOOKUP(D118,'Species Codes'!B:I,8,0)+VLOOKUP(D118,'Species Codes'!B:J,9,0)*(((E118*2.54)/100)^2)*(I118*0.3048)))))*0.0011023),0)</f>
        <v>#N/A</v>
      </c>
      <c r="AC118" s="104" t="e">
        <f>IF(Z118&gt;0,((IF(OR(D118="RA",D118="OA",D118="OT",D118="UN",D118="PC"),EXP(VLOOKUP(D118,'Species Codes'!B:O,14,0)+VLOOKUP(D118,'Species Codes'!B:P,15,0)*LN((E118*2.54)))-EXP(VLOOKUP(D118,'Species Codes'!B:O,14,0)+VLOOKUP(D118,'Species Codes'!B:P,15,0)*LN((E118*2.54)))*(1/(VLOOKUP(D118,'Species Codes'!B:Q,16,0)+VLOOKUP(D118,'Species Codes'!B:R,17,0)*((E118*2.54)^VLOOKUP(D118,'Species Codes'!B:S,18,0)))),IF(OR(D118="BM",D118="MD",D118="OA"),EXP(VLOOKUP(D118,'Species Codes'!B:O,14,0)+VLOOKUP(D118,'Species Codes'!B:P,15,0)*LN((E118*2.54)))*(1-(1/(VLOOKUP(D118,'Species Codes'!B:Q,16,0)+VLOOKUP(D118,'Species Codes'!B:R,17,0)*((E118*2.54)^VLOOKUP(D118,'Species Codes'!B:S,18,0)))))/1000,IF(D118="DF",EXP(VLOOKUP(D118,'Species Codes'!B:O,14,0)+VLOOKUP(D118,'Species Codes'!B:P,15,0)*LN((E118*2.54))),VLOOKUP(D118,'Species Codes'!B:O,14,0)+VLOOKUP(D118,'Species Codes'!B:P,15,0)*(((E118*2.54)/100)^2)*(I118*0.3048)))))*0.0011023),0)</f>
        <v>#N/A</v>
      </c>
      <c r="AD118" s="104" t="e">
        <f t="shared" si="37"/>
        <v>#N/A</v>
      </c>
      <c r="AE118" s="104" t="e">
        <f t="shared" si="38"/>
        <v>#N/A</v>
      </c>
      <c r="AF118" s="104" t="e">
        <f>IF(AND(VLOOKUP($D118,Merchantability!$B:$C,2,0)="Yes",$E118&gt;=VLOOKUP($D118,Merchantability!$B:$D,3,0),$E118&lt;=VLOOKUP($D118,Merchantability!$B:$E,4,0)),AA118,0)</f>
        <v>#N/A</v>
      </c>
      <c r="AG118" s="104" t="e">
        <f>IF(AND(VLOOKUP($D118,Merchantability!$B:$C,2,0)="Yes",$E118&gt;=VLOOKUP($D118,Merchantability!$B:$D,3,0),$E118&lt;=VLOOKUP($D118,Merchantability!$B:$E,4,0)),AB118,0)</f>
        <v>#N/A</v>
      </c>
      <c r="AH118" s="104" t="e">
        <f>IF(AND(VLOOKUP($D118,Merchantability!$B:$C,2,0)="Yes",$E118&gt;=VLOOKUP($D118,Merchantability!$B:$D,3,0),$E118&lt;=VLOOKUP($D118,Merchantability!$B:$E,4,0)),AC118,0)</f>
        <v>#N/A</v>
      </c>
      <c r="AI118" s="104" t="e">
        <f t="shared" si="39"/>
        <v>#N/A</v>
      </c>
      <c r="AJ118" s="104" t="e">
        <f t="shared" si="40"/>
        <v>#VALUE!</v>
      </c>
      <c r="AK118" s="104" t="e">
        <f t="shared" si="41"/>
        <v>#N/A</v>
      </c>
      <c r="AL118" s="104" t="e">
        <f t="shared" si="42"/>
        <v>#N/A</v>
      </c>
      <c r="AM118" s="104" t="e">
        <f t="shared" si="43"/>
        <v>#N/A</v>
      </c>
      <c r="AN118" s="104" t="e">
        <f t="shared" si="44"/>
        <v>#N/A</v>
      </c>
      <c r="AO118" s="104" t="e">
        <f t="shared" si="45"/>
        <v>#N/A</v>
      </c>
      <c r="AP118" s="104" t="e">
        <f t="shared" si="46"/>
        <v>#N/A</v>
      </c>
      <c r="AQ118" s="104" t="e">
        <f t="shared" si="47"/>
        <v>#N/A</v>
      </c>
      <c r="AR118" s="105" t="str">
        <f t="shared" si="48"/>
        <v/>
      </c>
      <c r="AS118" s="105" t="str">
        <f t="shared" si="49"/>
        <v/>
      </c>
      <c r="AT118" s="108" t="str">
        <f t="shared" si="50"/>
        <v/>
      </c>
      <c r="AU118" s="108" t="str">
        <f t="shared" si="51"/>
        <v/>
      </c>
      <c r="AV118" s="107" t="str">
        <f>IF(ISNUMBER(O118),IF(VLOOKUP($A118,Stand!C:J,8,FALSE)="Short",AT118,AU118),"")</f>
        <v/>
      </c>
      <c r="AW118" s="109" t="str">
        <f t="shared" si="52"/>
        <v/>
      </c>
      <c r="AX118" s="109" t="str">
        <f t="shared" si="53"/>
        <v/>
      </c>
      <c r="AY118" s="112" t="str">
        <f>IF(ISNUMBER(O118),IF(AND(VLOOKUP($D118,Merchantability!$B:$C,2,0)="Yes",$E118&gt;=VLOOKUP($D118,Merchantability!$B:$D,3,0),$E118&lt;=VLOOKUP($D118,Merchantability!$B:$E,4,0)),(AV118*O118)*(1-$H118/100),""),"")</f>
        <v/>
      </c>
      <c r="AZ118" s="115"/>
      <c r="BA118" s="116"/>
      <c r="BB118" s="116"/>
      <c r="BE118" s="62"/>
      <c r="BF118" s="63"/>
    </row>
    <row r="119" spans="1:58" ht="12.75" customHeight="1" x14ac:dyDescent="0.25">
      <c r="A119" s="313"/>
      <c r="B119" s="328"/>
      <c r="C119" s="329"/>
      <c r="D119" s="328"/>
      <c r="E119" s="330"/>
      <c r="F119" s="331"/>
      <c r="G119" s="329"/>
      <c r="H119" s="329"/>
      <c r="I119" s="328"/>
      <c r="J119" s="329"/>
      <c r="K119" s="329"/>
      <c r="L119" s="329"/>
      <c r="M119" s="76"/>
      <c r="N119" s="103" t="str">
        <f>IF(A119="","",VLOOKUP(A119,Stand!C:K,9,0))</f>
        <v/>
      </c>
      <c r="O119" s="104" t="str">
        <f t="shared" si="27"/>
        <v/>
      </c>
      <c r="P119" s="105" t="str">
        <f t="shared" si="28"/>
        <v/>
      </c>
      <c r="Q119" s="105" t="str">
        <f t="shared" si="29"/>
        <v/>
      </c>
      <c r="R119" s="103" t="str">
        <f t="shared" si="30"/>
        <v/>
      </c>
      <c r="S119" s="103" t="str">
        <f t="shared" si="31"/>
        <v/>
      </c>
      <c r="T119" s="106" t="str">
        <f t="shared" si="32"/>
        <v/>
      </c>
      <c r="U119" s="106" t="str">
        <f t="shared" si="33"/>
        <v/>
      </c>
      <c r="V119" s="106" t="str">
        <f t="shared" si="34"/>
        <v/>
      </c>
      <c r="W119" s="105" t="str">
        <f t="shared" si="35"/>
        <v/>
      </c>
      <c r="X119" s="104" t="str">
        <f t="shared" si="36"/>
        <v/>
      </c>
      <c r="Y119" s="104" t="str">
        <f t="array" ref="Y119">IFERROR(IF(ISNUMBER(O119),IF(COUNT(IF(A119=$A$2:$A$2427,IF(D119=$D$2:$D$2427,IF($X$2:$X$2427&gt;0,1))))&gt;0,SUM(IF(A119=$A$2:$A$2427,IF(D119=$D$2:$D$2427,$X$2:$X$2427)))/COUNT(IF(A119=$A$2:$A$2427,IF(D119=$D$2:$D$2427,IF(ISNUMBER($X$2:$X$2427),1)))),0),""),0)</f>
        <v/>
      </c>
      <c r="Z119" s="104" t="str">
        <f>IF(ISNUMBER(O119),IF(I119&gt;0,(10^(VLOOKUP(D119,'Species Codes'!B:C,2,0)+VLOOKUP(D119,'Species Codes'!B:D,3,0)*LOG(E119)+VLOOKUP(D119,'Species Codes'!B:E,4,0)*LOG(I119))),0),"")</f>
        <v/>
      </c>
      <c r="AA119" s="104" t="str">
        <f>IFERROR((VLOOKUP(D119,'Species Codes'!B:G,6,0)*Z119)/2000,"")</f>
        <v/>
      </c>
      <c r="AB119" s="104" t="e">
        <f>IF(Z119&gt;0,((IF(OR(D119="DF",D119="RA")=TRUE,EXP(VLOOKUP(D119,'Species Codes'!B:I,8,0)+VLOOKUP(D119,'Species Codes'!B:J,9,0)*(LN((E119*2.54)))),IF(OR(D119="PY",D119="RC",D119="WH",D119="NF")=TRUE,VLOOKUP(D119,'Species Codes'!B:I,8,0)+VLOOKUP(D119,'Species Codes'!B:J,9,0)*((E119*2.54)^2)*(I119*0.3048),IF(OR(D119="MD",D119="BM",D119="GA")=TRUE,((VLOOKUP(D119,'Species Codes'!B:I,8,0)*(((((E119*2.54)+VLOOKUP(D119,'Species Codes'!B:J,9,0))/VLOOKUP(D119,'Species Codes'!B:K,10,0))^VLOOKUP(D119,'Species Codes'!B:L,11,0))*((I119*0.3048)^VLOOKUP(D119,'Species Codes'!B:M,12,0))))-(VLOOKUP(D119,'Species Codes'!B:I,8,0)*((((E119*2.54)^VLOOKUP(D119,'Species Codes'!B:L,11,0))*((I119*0.3048)^VLOOKUP(D119,'Species Codes'!B:M,12,0))))))*35.3*VLOOKUP(D119,'Species Codes'!B:G,6,0)/2.2046,VLOOKUP(D119,'Species Codes'!B:I,8,0)+VLOOKUP(D119,'Species Codes'!B:J,9,0)*(((E119*2.54)/100)^2)*(I119*0.3048)))))*0.0011023),0)</f>
        <v>#N/A</v>
      </c>
      <c r="AC119" s="104" t="e">
        <f>IF(Z119&gt;0,((IF(OR(D119="RA",D119="OA",D119="OT",D119="UN",D119="PC"),EXP(VLOOKUP(D119,'Species Codes'!B:O,14,0)+VLOOKUP(D119,'Species Codes'!B:P,15,0)*LN((E119*2.54)))-EXP(VLOOKUP(D119,'Species Codes'!B:O,14,0)+VLOOKUP(D119,'Species Codes'!B:P,15,0)*LN((E119*2.54)))*(1/(VLOOKUP(D119,'Species Codes'!B:Q,16,0)+VLOOKUP(D119,'Species Codes'!B:R,17,0)*((E119*2.54)^VLOOKUP(D119,'Species Codes'!B:S,18,0)))),IF(OR(D119="BM",D119="MD",D119="OA"),EXP(VLOOKUP(D119,'Species Codes'!B:O,14,0)+VLOOKUP(D119,'Species Codes'!B:P,15,0)*LN((E119*2.54)))*(1-(1/(VLOOKUP(D119,'Species Codes'!B:Q,16,0)+VLOOKUP(D119,'Species Codes'!B:R,17,0)*((E119*2.54)^VLOOKUP(D119,'Species Codes'!B:S,18,0)))))/1000,IF(D119="DF",EXP(VLOOKUP(D119,'Species Codes'!B:O,14,0)+VLOOKUP(D119,'Species Codes'!B:P,15,0)*LN((E119*2.54))),VLOOKUP(D119,'Species Codes'!B:O,14,0)+VLOOKUP(D119,'Species Codes'!B:P,15,0)*(((E119*2.54)/100)^2)*(I119*0.3048)))))*0.0011023),0)</f>
        <v>#N/A</v>
      </c>
      <c r="AD119" s="104" t="e">
        <f t="shared" si="37"/>
        <v>#N/A</v>
      </c>
      <c r="AE119" s="104" t="e">
        <f t="shared" si="38"/>
        <v>#N/A</v>
      </c>
      <c r="AF119" s="104" t="e">
        <f>IF(AND(VLOOKUP($D119,Merchantability!$B:$C,2,0)="Yes",$E119&gt;=VLOOKUP($D119,Merchantability!$B:$D,3,0),$E119&lt;=VLOOKUP($D119,Merchantability!$B:$E,4,0)),AA119,0)</f>
        <v>#N/A</v>
      </c>
      <c r="AG119" s="104" t="e">
        <f>IF(AND(VLOOKUP($D119,Merchantability!$B:$C,2,0)="Yes",$E119&gt;=VLOOKUP($D119,Merchantability!$B:$D,3,0),$E119&lt;=VLOOKUP($D119,Merchantability!$B:$E,4,0)),AB119,0)</f>
        <v>#N/A</v>
      </c>
      <c r="AH119" s="104" t="e">
        <f>IF(AND(VLOOKUP($D119,Merchantability!$B:$C,2,0)="Yes",$E119&gt;=VLOOKUP($D119,Merchantability!$B:$D,3,0),$E119&lt;=VLOOKUP($D119,Merchantability!$B:$E,4,0)),AC119,0)</f>
        <v>#N/A</v>
      </c>
      <c r="AI119" s="104" t="e">
        <f t="shared" si="39"/>
        <v>#N/A</v>
      </c>
      <c r="AJ119" s="104" t="e">
        <f t="shared" si="40"/>
        <v>#VALUE!</v>
      </c>
      <c r="AK119" s="104" t="e">
        <f t="shared" si="41"/>
        <v>#N/A</v>
      </c>
      <c r="AL119" s="104" t="e">
        <f t="shared" si="42"/>
        <v>#N/A</v>
      </c>
      <c r="AM119" s="104" t="e">
        <f t="shared" si="43"/>
        <v>#N/A</v>
      </c>
      <c r="AN119" s="104" t="e">
        <f t="shared" si="44"/>
        <v>#N/A</v>
      </c>
      <c r="AO119" s="104" t="e">
        <f t="shared" si="45"/>
        <v>#N/A</v>
      </c>
      <c r="AP119" s="104" t="e">
        <f t="shared" si="46"/>
        <v>#N/A</v>
      </c>
      <c r="AQ119" s="104" t="e">
        <f t="shared" si="47"/>
        <v>#N/A</v>
      </c>
      <c r="AR119" s="105" t="str">
        <f t="shared" si="48"/>
        <v/>
      </c>
      <c r="AS119" s="105" t="str">
        <f t="shared" si="49"/>
        <v/>
      </c>
      <c r="AT119" s="108" t="str">
        <f t="shared" si="50"/>
        <v/>
      </c>
      <c r="AU119" s="108" t="str">
        <f t="shared" si="51"/>
        <v/>
      </c>
      <c r="AV119" s="107" t="str">
        <f>IF(ISNUMBER(O119),IF(VLOOKUP($A119,Stand!C:J,8,FALSE)="Short",AT119,AU119),"")</f>
        <v/>
      </c>
      <c r="AW119" s="109" t="str">
        <f t="shared" si="52"/>
        <v/>
      </c>
      <c r="AX119" s="109" t="str">
        <f t="shared" si="53"/>
        <v/>
      </c>
      <c r="AY119" s="112" t="str">
        <f>IF(ISNUMBER(O119),IF(AND(VLOOKUP($D119,Merchantability!$B:$C,2,0)="Yes",$E119&gt;=VLOOKUP($D119,Merchantability!$B:$D,3,0),$E119&lt;=VLOOKUP($D119,Merchantability!$B:$E,4,0)),(AV119*O119)*(1-$H119/100),""),"")</f>
        <v/>
      </c>
      <c r="AZ119" s="115"/>
      <c r="BA119" s="116"/>
      <c r="BB119" s="116"/>
      <c r="BE119" s="62"/>
      <c r="BF119" s="63"/>
    </row>
    <row r="120" spans="1:58" ht="12.75" customHeight="1" x14ac:dyDescent="0.25">
      <c r="A120" s="313"/>
      <c r="B120" s="328"/>
      <c r="C120" s="329"/>
      <c r="D120" s="328"/>
      <c r="E120" s="328"/>
      <c r="F120" s="331"/>
      <c r="G120" s="329"/>
      <c r="H120" s="329"/>
      <c r="I120" s="328"/>
      <c r="J120" s="329"/>
      <c r="K120" s="329"/>
      <c r="L120" s="329"/>
      <c r="M120" s="76"/>
      <c r="N120" s="103" t="str">
        <f>IF(A120="","",VLOOKUP(A120,Stand!C:K,9,0))</f>
        <v/>
      </c>
      <c r="O120" s="104" t="str">
        <f t="shared" si="27"/>
        <v/>
      </c>
      <c r="P120" s="105" t="str">
        <f t="shared" si="28"/>
        <v/>
      </c>
      <c r="Q120" s="105" t="str">
        <f t="shared" si="29"/>
        <v/>
      </c>
      <c r="R120" s="103" t="str">
        <f t="shared" si="30"/>
        <v/>
      </c>
      <c r="S120" s="103" t="str">
        <f t="shared" si="31"/>
        <v/>
      </c>
      <c r="T120" s="106" t="str">
        <f t="shared" si="32"/>
        <v/>
      </c>
      <c r="U120" s="106" t="str">
        <f t="shared" si="33"/>
        <v/>
      </c>
      <c r="V120" s="106" t="str">
        <f t="shared" si="34"/>
        <v/>
      </c>
      <c r="W120" s="105" t="str">
        <f t="shared" si="35"/>
        <v/>
      </c>
      <c r="X120" s="104" t="str">
        <f t="shared" si="36"/>
        <v/>
      </c>
      <c r="Y120" s="104" t="str">
        <f t="array" ref="Y120">IFERROR(IF(ISNUMBER(O120),IF(COUNT(IF(A120=$A$2:$A$2427,IF(D120=$D$2:$D$2427,IF($X$2:$X$2427&gt;0,1))))&gt;0,SUM(IF(A120=$A$2:$A$2427,IF(D120=$D$2:$D$2427,$X$2:$X$2427)))/COUNT(IF(A120=$A$2:$A$2427,IF(D120=$D$2:$D$2427,IF(ISNUMBER($X$2:$X$2427),1)))),0),""),0)</f>
        <v/>
      </c>
      <c r="Z120" s="104" t="str">
        <f>IF(ISNUMBER(O120),IF(I120&gt;0,(10^(VLOOKUP(D120,'Species Codes'!B:C,2,0)+VLOOKUP(D120,'Species Codes'!B:D,3,0)*LOG(E120)+VLOOKUP(D120,'Species Codes'!B:E,4,0)*LOG(I120))),0),"")</f>
        <v/>
      </c>
      <c r="AA120" s="104" t="str">
        <f>IFERROR((VLOOKUP(D120,'Species Codes'!B:G,6,0)*Z120)/2000,"")</f>
        <v/>
      </c>
      <c r="AB120" s="104" t="e">
        <f>IF(Z120&gt;0,((IF(OR(D120="DF",D120="RA")=TRUE,EXP(VLOOKUP(D120,'Species Codes'!B:I,8,0)+VLOOKUP(D120,'Species Codes'!B:J,9,0)*(LN((E120*2.54)))),IF(OR(D120="PY",D120="RC",D120="WH",D120="NF")=TRUE,VLOOKUP(D120,'Species Codes'!B:I,8,0)+VLOOKUP(D120,'Species Codes'!B:J,9,0)*((E120*2.54)^2)*(I120*0.3048),IF(OR(D120="MD",D120="BM",D120="GA")=TRUE,((VLOOKUP(D120,'Species Codes'!B:I,8,0)*(((((E120*2.54)+VLOOKUP(D120,'Species Codes'!B:J,9,0))/VLOOKUP(D120,'Species Codes'!B:K,10,0))^VLOOKUP(D120,'Species Codes'!B:L,11,0))*((I120*0.3048)^VLOOKUP(D120,'Species Codes'!B:M,12,0))))-(VLOOKUP(D120,'Species Codes'!B:I,8,0)*((((E120*2.54)^VLOOKUP(D120,'Species Codes'!B:L,11,0))*((I120*0.3048)^VLOOKUP(D120,'Species Codes'!B:M,12,0))))))*35.3*VLOOKUP(D120,'Species Codes'!B:G,6,0)/2.2046,VLOOKUP(D120,'Species Codes'!B:I,8,0)+VLOOKUP(D120,'Species Codes'!B:J,9,0)*(((E120*2.54)/100)^2)*(I120*0.3048)))))*0.0011023),0)</f>
        <v>#N/A</v>
      </c>
      <c r="AC120" s="104" t="e">
        <f>IF(Z120&gt;0,((IF(OR(D120="RA",D120="OA",D120="OT",D120="UN",D120="PC"),EXP(VLOOKUP(D120,'Species Codes'!B:O,14,0)+VLOOKUP(D120,'Species Codes'!B:P,15,0)*LN((E120*2.54)))-EXP(VLOOKUP(D120,'Species Codes'!B:O,14,0)+VLOOKUP(D120,'Species Codes'!B:P,15,0)*LN((E120*2.54)))*(1/(VLOOKUP(D120,'Species Codes'!B:Q,16,0)+VLOOKUP(D120,'Species Codes'!B:R,17,0)*((E120*2.54)^VLOOKUP(D120,'Species Codes'!B:S,18,0)))),IF(OR(D120="BM",D120="MD",D120="OA"),EXP(VLOOKUP(D120,'Species Codes'!B:O,14,0)+VLOOKUP(D120,'Species Codes'!B:P,15,0)*LN((E120*2.54)))*(1-(1/(VLOOKUP(D120,'Species Codes'!B:Q,16,0)+VLOOKUP(D120,'Species Codes'!B:R,17,0)*((E120*2.54)^VLOOKUP(D120,'Species Codes'!B:S,18,0)))))/1000,IF(D120="DF",EXP(VLOOKUP(D120,'Species Codes'!B:O,14,0)+VLOOKUP(D120,'Species Codes'!B:P,15,0)*LN((E120*2.54))),VLOOKUP(D120,'Species Codes'!B:O,14,0)+VLOOKUP(D120,'Species Codes'!B:P,15,0)*(((E120*2.54)/100)^2)*(I120*0.3048)))))*0.0011023),0)</f>
        <v>#N/A</v>
      </c>
      <c r="AD120" s="104" t="e">
        <f t="shared" si="37"/>
        <v>#N/A</v>
      </c>
      <c r="AE120" s="104" t="e">
        <f t="shared" si="38"/>
        <v>#N/A</v>
      </c>
      <c r="AF120" s="104" t="e">
        <f>IF(AND(VLOOKUP($D120,Merchantability!$B:$C,2,0)="Yes",$E120&gt;=VLOOKUP($D120,Merchantability!$B:$D,3,0),$E120&lt;=VLOOKUP($D120,Merchantability!$B:$E,4,0)),AA120,0)</f>
        <v>#N/A</v>
      </c>
      <c r="AG120" s="104" t="e">
        <f>IF(AND(VLOOKUP($D120,Merchantability!$B:$C,2,0)="Yes",$E120&gt;=VLOOKUP($D120,Merchantability!$B:$D,3,0),$E120&lt;=VLOOKUP($D120,Merchantability!$B:$E,4,0)),AB120,0)</f>
        <v>#N/A</v>
      </c>
      <c r="AH120" s="104" t="e">
        <f>IF(AND(VLOOKUP($D120,Merchantability!$B:$C,2,0)="Yes",$E120&gt;=VLOOKUP($D120,Merchantability!$B:$D,3,0),$E120&lt;=VLOOKUP($D120,Merchantability!$B:$E,4,0)),AC120,0)</f>
        <v>#N/A</v>
      </c>
      <c r="AI120" s="104" t="e">
        <f t="shared" si="39"/>
        <v>#N/A</v>
      </c>
      <c r="AJ120" s="104" t="e">
        <f t="shared" si="40"/>
        <v>#VALUE!</v>
      </c>
      <c r="AK120" s="104" t="e">
        <f t="shared" si="41"/>
        <v>#N/A</v>
      </c>
      <c r="AL120" s="104" t="e">
        <f t="shared" si="42"/>
        <v>#N/A</v>
      </c>
      <c r="AM120" s="104" t="e">
        <f t="shared" si="43"/>
        <v>#N/A</v>
      </c>
      <c r="AN120" s="104" t="e">
        <f t="shared" si="44"/>
        <v>#N/A</v>
      </c>
      <c r="AO120" s="104" t="e">
        <f t="shared" si="45"/>
        <v>#N/A</v>
      </c>
      <c r="AP120" s="104" t="e">
        <f t="shared" si="46"/>
        <v>#N/A</v>
      </c>
      <c r="AQ120" s="104" t="e">
        <f t="shared" si="47"/>
        <v>#N/A</v>
      </c>
      <c r="AR120" s="105" t="str">
        <f t="shared" si="48"/>
        <v/>
      </c>
      <c r="AS120" s="105" t="str">
        <f t="shared" si="49"/>
        <v/>
      </c>
      <c r="AT120" s="108" t="str">
        <f t="shared" si="50"/>
        <v/>
      </c>
      <c r="AU120" s="108" t="str">
        <f t="shared" si="51"/>
        <v/>
      </c>
      <c r="AV120" s="107" t="str">
        <f>IF(ISNUMBER(O120),IF(VLOOKUP($A120,Stand!C:J,8,FALSE)="Short",AT120,AU120),"")</f>
        <v/>
      </c>
      <c r="AW120" s="109" t="str">
        <f t="shared" si="52"/>
        <v/>
      </c>
      <c r="AX120" s="109" t="str">
        <f t="shared" si="53"/>
        <v/>
      </c>
      <c r="AY120" s="112" t="str">
        <f>IF(ISNUMBER(O120),IF(AND(VLOOKUP($D120,Merchantability!$B:$C,2,0)="Yes",$E120&gt;=VLOOKUP($D120,Merchantability!$B:$D,3,0),$E120&lt;=VLOOKUP($D120,Merchantability!$B:$E,4,0)),(AV120*O120)*(1-$H120/100),""),"")</f>
        <v/>
      </c>
      <c r="AZ120" s="116"/>
      <c r="BA120" s="116"/>
      <c r="BB120" s="116"/>
      <c r="BE120" s="62"/>
      <c r="BF120" s="63"/>
    </row>
    <row r="121" spans="1:58" ht="12.75" customHeight="1" x14ac:dyDescent="0.25">
      <c r="A121" s="313"/>
      <c r="B121" s="328"/>
      <c r="C121" s="329"/>
      <c r="D121" s="328"/>
      <c r="E121" s="328"/>
      <c r="F121" s="331"/>
      <c r="G121" s="329"/>
      <c r="H121" s="329"/>
      <c r="I121" s="328"/>
      <c r="J121" s="329"/>
      <c r="K121" s="329"/>
      <c r="L121" s="329"/>
      <c r="M121" s="76"/>
      <c r="N121" s="103" t="str">
        <f>IF(A121="","",VLOOKUP(A121,Stand!C:K,9,0))</f>
        <v/>
      </c>
      <c r="O121" s="104" t="str">
        <f t="shared" si="27"/>
        <v/>
      </c>
      <c r="P121" s="105" t="str">
        <f t="shared" si="28"/>
        <v/>
      </c>
      <c r="Q121" s="105" t="str">
        <f t="shared" si="29"/>
        <v/>
      </c>
      <c r="R121" s="103" t="str">
        <f t="shared" si="30"/>
        <v/>
      </c>
      <c r="S121" s="103" t="str">
        <f t="shared" si="31"/>
        <v/>
      </c>
      <c r="T121" s="106" t="str">
        <f t="shared" si="32"/>
        <v/>
      </c>
      <c r="U121" s="106" t="str">
        <f t="shared" si="33"/>
        <v/>
      </c>
      <c r="V121" s="106" t="str">
        <f t="shared" si="34"/>
        <v/>
      </c>
      <c r="W121" s="105" t="str">
        <f t="shared" si="35"/>
        <v/>
      </c>
      <c r="X121" s="104" t="str">
        <f t="shared" si="36"/>
        <v/>
      </c>
      <c r="Y121" s="104" t="str">
        <f t="array" ref="Y121">IFERROR(IF(ISNUMBER(O121),IF(COUNT(IF(A121=$A$2:$A$2427,IF(D121=$D$2:$D$2427,IF($X$2:$X$2427&gt;0,1))))&gt;0,SUM(IF(A121=$A$2:$A$2427,IF(D121=$D$2:$D$2427,$X$2:$X$2427)))/COUNT(IF(A121=$A$2:$A$2427,IF(D121=$D$2:$D$2427,IF(ISNUMBER($X$2:$X$2427),1)))),0),""),0)</f>
        <v/>
      </c>
      <c r="Z121" s="104" t="str">
        <f>IF(ISNUMBER(O121),IF(I121&gt;0,(10^(VLOOKUP(D121,'Species Codes'!B:C,2,0)+VLOOKUP(D121,'Species Codes'!B:D,3,0)*LOG(E121)+VLOOKUP(D121,'Species Codes'!B:E,4,0)*LOG(I121))),0),"")</f>
        <v/>
      </c>
      <c r="AA121" s="104" t="str">
        <f>IFERROR((VLOOKUP(D121,'Species Codes'!B:G,6,0)*Z121)/2000,"")</f>
        <v/>
      </c>
      <c r="AB121" s="104" t="e">
        <f>IF(Z121&gt;0,((IF(OR(D121="DF",D121="RA")=TRUE,EXP(VLOOKUP(D121,'Species Codes'!B:I,8,0)+VLOOKUP(D121,'Species Codes'!B:J,9,0)*(LN((E121*2.54)))),IF(OR(D121="PY",D121="RC",D121="WH",D121="NF")=TRUE,VLOOKUP(D121,'Species Codes'!B:I,8,0)+VLOOKUP(D121,'Species Codes'!B:J,9,0)*((E121*2.54)^2)*(I121*0.3048),IF(OR(D121="MD",D121="BM",D121="GA")=TRUE,((VLOOKUP(D121,'Species Codes'!B:I,8,0)*(((((E121*2.54)+VLOOKUP(D121,'Species Codes'!B:J,9,0))/VLOOKUP(D121,'Species Codes'!B:K,10,0))^VLOOKUP(D121,'Species Codes'!B:L,11,0))*((I121*0.3048)^VLOOKUP(D121,'Species Codes'!B:M,12,0))))-(VLOOKUP(D121,'Species Codes'!B:I,8,0)*((((E121*2.54)^VLOOKUP(D121,'Species Codes'!B:L,11,0))*((I121*0.3048)^VLOOKUP(D121,'Species Codes'!B:M,12,0))))))*35.3*VLOOKUP(D121,'Species Codes'!B:G,6,0)/2.2046,VLOOKUP(D121,'Species Codes'!B:I,8,0)+VLOOKUP(D121,'Species Codes'!B:J,9,0)*(((E121*2.54)/100)^2)*(I121*0.3048)))))*0.0011023),0)</f>
        <v>#N/A</v>
      </c>
      <c r="AC121" s="104" t="e">
        <f>IF(Z121&gt;0,((IF(OR(D121="RA",D121="OA",D121="OT",D121="UN",D121="PC"),EXP(VLOOKUP(D121,'Species Codes'!B:O,14,0)+VLOOKUP(D121,'Species Codes'!B:P,15,0)*LN((E121*2.54)))-EXP(VLOOKUP(D121,'Species Codes'!B:O,14,0)+VLOOKUP(D121,'Species Codes'!B:P,15,0)*LN((E121*2.54)))*(1/(VLOOKUP(D121,'Species Codes'!B:Q,16,0)+VLOOKUP(D121,'Species Codes'!B:R,17,0)*((E121*2.54)^VLOOKUP(D121,'Species Codes'!B:S,18,0)))),IF(OR(D121="BM",D121="MD",D121="OA"),EXP(VLOOKUP(D121,'Species Codes'!B:O,14,0)+VLOOKUP(D121,'Species Codes'!B:P,15,0)*LN((E121*2.54)))*(1-(1/(VLOOKUP(D121,'Species Codes'!B:Q,16,0)+VLOOKUP(D121,'Species Codes'!B:R,17,0)*((E121*2.54)^VLOOKUP(D121,'Species Codes'!B:S,18,0)))))/1000,IF(D121="DF",EXP(VLOOKUP(D121,'Species Codes'!B:O,14,0)+VLOOKUP(D121,'Species Codes'!B:P,15,0)*LN((E121*2.54))),VLOOKUP(D121,'Species Codes'!B:O,14,0)+VLOOKUP(D121,'Species Codes'!B:P,15,0)*(((E121*2.54)/100)^2)*(I121*0.3048)))))*0.0011023),0)</f>
        <v>#N/A</v>
      </c>
      <c r="AD121" s="104" t="e">
        <f t="shared" si="37"/>
        <v>#N/A</v>
      </c>
      <c r="AE121" s="104" t="e">
        <f t="shared" si="38"/>
        <v>#N/A</v>
      </c>
      <c r="AF121" s="104" t="e">
        <f>IF(AND(VLOOKUP($D121,Merchantability!$B:$C,2,0)="Yes",$E121&gt;=VLOOKUP($D121,Merchantability!$B:$D,3,0),$E121&lt;=VLOOKUP($D121,Merchantability!$B:$E,4,0)),AA121,0)</f>
        <v>#N/A</v>
      </c>
      <c r="AG121" s="104" t="e">
        <f>IF(AND(VLOOKUP($D121,Merchantability!$B:$C,2,0)="Yes",$E121&gt;=VLOOKUP($D121,Merchantability!$B:$D,3,0),$E121&lt;=VLOOKUP($D121,Merchantability!$B:$E,4,0)),AB121,0)</f>
        <v>#N/A</v>
      </c>
      <c r="AH121" s="104" t="e">
        <f>IF(AND(VLOOKUP($D121,Merchantability!$B:$C,2,0)="Yes",$E121&gt;=VLOOKUP($D121,Merchantability!$B:$D,3,0),$E121&lt;=VLOOKUP($D121,Merchantability!$B:$E,4,0)),AC121,0)</f>
        <v>#N/A</v>
      </c>
      <c r="AI121" s="104" t="e">
        <f t="shared" si="39"/>
        <v>#N/A</v>
      </c>
      <c r="AJ121" s="104" t="e">
        <f t="shared" si="40"/>
        <v>#VALUE!</v>
      </c>
      <c r="AK121" s="104" t="e">
        <f t="shared" si="41"/>
        <v>#N/A</v>
      </c>
      <c r="AL121" s="104" t="e">
        <f t="shared" si="42"/>
        <v>#N/A</v>
      </c>
      <c r="AM121" s="104" t="e">
        <f t="shared" si="43"/>
        <v>#N/A</v>
      </c>
      <c r="AN121" s="104" t="e">
        <f t="shared" si="44"/>
        <v>#N/A</v>
      </c>
      <c r="AO121" s="104" t="e">
        <f t="shared" si="45"/>
        <v>#N/A</v>
      </c>
      <c r="AP121" s="104" t="e">
        <f t="shared" si="46"/>
        <v>#N/A</v>
      </c>
      <c r="AQ121" s="104" t="e">
        <f t="shared" si="47"/>
        <v>#N/A</v>
      </c>
      <c r="AR121" s="105" t="str">
        <f t="shared" si="48"/>
        <v/>
      </c>
      <c r="AS121" s="105" t="str">
        <f t="shared" si="49"/>
        <v/>
      </c>
      <c r="AT121" s="108" t="str">
        <f t="shared" si="50"/>
        <v/>
      </c>
      <c r="AU121" s="108" t="str">
        <f t="shared" si="51"/>
        <v/>
      </c>
      <c r="AV121" s="107" t="str">
        <f>IF(ISNUMBER(O121),IF(VLOOKUP($A121,Stand!C:J,8,FALSE)="Short",AT121,AU121),"")</f>
        <v/>
      </c>
      <c r="AW121" s="109" t="str">
        <f t="shared" si="52"/>
        <v/>
      </c>
      <c r="AX121" s="109" t="str">
        <f t="shared" si="53"/>
        <v/>
      </c>
      <c r="AY121" s="112" t="str">
        <f>IF(ISNUMBER(O121),IF(AND(VLOOKUP($D121,Merchantability!$B:$C,2,0)="Yes",$E121&gt;=VLOOKUP($D121,Merchantability!$B:$D,3,0),$E121&lt;=VLOOKUP($D121,Merchantability!$B:$E,4,0)),(AV121*O121)*(1-$H121/100),""),"")</f>
        <v/>
      </c>
      <c r="AZ121" s="116"/>
      <c r="BA121" s="116"/>
      <c r="BB121" s="116"/>
      <c r="BE121" s="62"/>
      <c r="BF121" s="63"/>
    </row>
    <row r="122" spans="1:58" ht="12.75" customHeight="1" x14ac:dyDescent="0.25">
      <c r="A122" s="313"/>
      <c r="B122" s="380"/>
      <c r="C122" s="381"/>
      <c r="D122" s="380"/>
      <c r="E122" s="382"/>
      <c r="F122" s="331"/>
      <c r="G122" s="329"/>
      <c r="H122" s="329"/>
      <c r="I122" s="380"/>
      <c r="J122" s="381"/>
      <c r="K122" s="329"/>
      <c r="L122" s="329"/>
      <c r="M122" s="76"/>
      <c r="N122" s="103" t="str">
        <f>IF(A122="","",VLOOKUP(A122,Stand!C:K,9,0))</f>
        <v/>
      </c>
      <c r="O122" s="104" t="str">
        <f t="shared" si="27"/>
        <v/>
      </c>
      <c r="P122" s="105" t="str">
        <f t="shared" si="28"/>
        <v/>
      </c>
      <c r="Q122" s="105" t="str">
        <f t="shared" si="29"/>
        <v/>
      </c>
      <c r="R122" s="103" t="str">
        <f t="shared" si="30"/>
        <v/>
      </c>
      <c r="S122" s="103" t="str">
        <f t="shared" si="31"/>
        <v/>
      </c>
      <c r="T122" s="106" t="str">
        <f t="shared" si="32"/>
        <v/>
      </c>
      <c r="U122" s="106" t="str">
        <f t="shared" si="33"/>
        <v/>
      </c>
      <c r="V122" s="106" t="str">
        <f t="shared" si="34"/>
        <v/>
      </c>
      <c r="W122" s="105" t="str">
        <f t="shared" si="35"/>
        <v/>
      </c>
      <c r="X122" s="104" t="str">
        <f t="shared" si="36"/>
        <v/>
      </c>
      <c r="Y122" s="104" t="str">
        <f t="array" ref="Y122">IFERROR(IF(ISNUMBER(O122),IF(COUNT(IF(A122=$A$2:$A$2427,IF(D122=$D$2:$D$2427,IF($X$2:$X$2427&gt;0,1))))&gt;0,SUM(IF(A122=$A$2:$A$2427,IF(D122=$D$2:$D$2427,$X$2:$X$2427)))/COUNT(IF(A122=$A$2:$A$2427,IF(D122=$D$2:$D$2427,IF(ISNUMBER($X$2:$X$2427),1)))),0),""),0)</f>
        <v/>
      </c>
      <c r="Z122" s="104" t="str">
        <f>IF(ISNUMBER(O122),IF(I122&gt;0,(10^(VLOOKUP(D122,'Species Codes'!B:C,2,0)+VLOOKUP(D122,'Species Codes'!B:D,3,0)*LOG(E122)+VLOOKUP(D122,'Species Codes'!B:E,4,0)*LOG(I122))),0),"")</f>
        <v/>
      </c>
      <c r="AA122" s="104" t="str">
        <f>IFERROR((VLOOKUP(D122,'Species Codes'!B:G,6,0)*Z122)/2000,"")</f>
        <v/>
      </c>
      <c r="AB122" s="104" t="e">
        <f>IF(Z122&gt;0,((IF(OR(D122="DF",D122="RA")=TRUE,EXP(VLOOKUP(D122,'Species Codes'!B:I,8,0)+VLOOKUP(D122,'Species Codes'!B:J,9,0)*(LN((E122*2.54)))),IF(OR(D122="PY",D122="RC",D122="WH",D122="NF")=TRUE,VLOOKUP(D122,'Species Codes'!B:I,8,0)+VLOOKUP(D122,'Species Codes'!B:J,9,0)*((E122*2.54)^2)*(I122*0.3048),IF(OR(D122="MD",D122="BM",D122="GA")=TRUE,((VLOOKUP(D122,'Species Codes'!B:I,8,0)*(((((E122*2.54)+VLOOKUP(D122,'Species Codes'!B:J,9,0))/VLOOKUP(D122,'Species Codes'!B:K,10,0))^VLOOKUP(D122,'Species Codes'!B:L,11,0))*((I122*0.3048)^VLOOKUP(D122,'Species Codes'!B:M,12,0))))-(VLOOKUP(D122,'Species Codes'!B:I,8,0)*((((E122*2.54)^VLOOKUP(D122,'Species Codes'!B:L,11,0))*((I122*0.3048)^VLOOKUP(D122,'Species Codes'!B:M,12,0))))))*35.3*VLOOKUP(D122,'Species Codes'!B:G,6,0)/2.2046,VLOOKUP(D122,'Species Codes'!B:I,8,0)+VLOOKUP(D122,'Species Codes'!B:J,9,0)*(((E122*2.54)/100)^2)*(I122*0.3048)))))*0.0011023),0)</f>
        <v>#N/A</v>
      </c>
      <c r="AC122" s="104" t="e">
        <f>IF(Z122&gt;0,((IF(OR(D122="RA",D122="OA",D122="OT",D122="UN",D122="PC"),EXP(VLOOKUP(D122,'Species Codes'!B:O,14,0)+VLOOKUP(D122,'Species Codes'!B:P,15,0)*LN((E122*2.54)))-EXP(VLOOKUP(D122,'Species Codes'!B:O,14,0)+VLOOKUP(D122,'Species Codes'!B:P,15,0)*LN((E122*2.54)))*(1/(VLOOKUP(D122,'Species Codes'!B:Q,16,0)+VLOOKUP(D122,'Species Codes'!B:R,17,0)*((E122*2.54)^VLOOKUP(D122,'Species Codes'!B:S,18,0)))),IF(OR(D122="BM",D122="MD",D122="OA"),EXP(VLOOKUP(D122,'Species Codes'!B:O,14,0)+VLOOKUP(D122,'Species Codes'!B:P,15,0)*LN((E122*2.54)))*(1-(1/(VLOOKUP(D122,'Species Codes'!B:Q,16,0)+VLOOKUP(D122,'Species Codes'!B:R,17,0)*((E122*2.54)^VLOOKUP(D122,'Species Codes'!B:S,18,0)))))/1000,IF(D122="DF",EXP(VLOOKUP(D122,'Species Codes'!B:O,14,0)+VLOOKUP(D122,'Species Codes'!B:P,15,0)*LN((E122*2.54))),VLOOKUP(D122,'Species Codes'!B:O,14,0)+VLOOKUP(D122,'Species Codes'!B:P,15,0)*(((E122*2.54)/100)^2)*(I122*0.3048)))))*0.0011023),0)</f>
        <v>#N/A</v>
      </c>
      <c r="AD122" s="104" t="e">
        <f t="shared" si="37"/>
        <v>#N/A</v>
      </c>
      <c r="AE122" s="104" t="e">
        <f t="shared" si="38"/>
        <v>#N/A</v>
      </c>
      <c r="AF122" s="104" t="e">
        <f>IF(AND(VLOOKUP($D122,Merchantability!$B:$C,2,0)="Yes",$E122&gt;=VLOOKUP($D122,Merchantability!$B:$D,3,0),$E122&lt;=VLOOKUP($D122,Merchantability!$B:$E,4,0)),AA122,0)</f>
        <v>#N/A</v>
      </c>
      <c r="AG122" s="104" t="e">
        <f>IF(AND(VLOOKUP($D122,Merchantability!$B:$C,2,0)="Yes",$E122&gt;=VLOOKUP($D122,Merchantability!$B:$D,3,0),$E122&lt;=VLOOKUP($D122,Merchantability!$B:$E,4,0)),AB122,0)</f>
        <v>#N/A</v>
      </c>
      <c r="AH122" s="104" t="e">
        <f>IF(AND(VLOOKUP($D122,Merchantability!$B:$C,2,0)="Yes",$E122&gt;=VLOOKUP($D122,Merchantability!$B:$D,3,0),$E122&lt;=VLOOKUP($D122,Merchantability!$B:$E,4,0)),AC122,0)</f>
        <v>#N/A</v>
      </c>
      <c r="AI122" s="104" t="e">
        <f t="shared" si="39"/>
        <v>#N/A</v>
      </c>
      <c r="AJ122" s="104" t="e">
        <f t="shared" si="40"/>
        <v>#VALUE!</v>
      </c>
      <c r="AK122" s="104" t="e">
        <f t="shared" si="41"/>
        <v>#N/A</v>
      </c>
      <c r="AL122" s="104" t="e">
        <f t="shared" si="42"/>
        <v>#N/A</v>
      </c>
      <c r="AM122" s="104" t="e">
        <f t="shared" si="43"/>
        <v>#N/A</v>
      </c>
      <c r="AN122" s="104" t="e">
        <f t="shared" si="44"/>
        <v>#N/A</v>
      </c>
      <c r="AO122" s="104" t="e">
        <f t="shared" si="45"/>
        <v>#N/A</v>
      </c>
      <c r="AP122" s="104" t="e">
        <f t="shared" si="46"/>
        <v>#N/A</v>
      </c>
      <c r="AQ122" s="104" t="e">
        <f t="shared" si="47"/>
        <v>#N/A</v>
      </c>
      <c r="AR122" s="105" t="str">
        <f t="shared" si="48"/>
        <v/>
      </c>
      <c r="AS122" s="105" t="str">
        <f t="shared" si="49"/>
        <v/>
      </c>
      <c r="AT122" s="108" t="str">
        <f t="shared" si="50"/>
        <v/>
      </c>
      <c r="AU122" s="108" t="str">
        <f t="shared" si="51"/>
        <v/>
      </c>
      <c r="AV122" s="107" t="str">
        <f>IF(ISNUMBER(O122),IF(VLOOKUP($A122,Stand!C:J,8,FALSE)="Short",AT122,AU122),"")</f>
        <v/>
      </c>
      <c r="AW122" s="109" t="str">
        <f t="shared" si="52"/>
        <v/>
      </c>
      <c r="AX122" s="109" t="str">
        <f t="shared" si="53"/>
        <v/>
      </c>
      <c r="AY122" s="112" t="str">
        <f>IF(ISNUMBER(O122),IF(AND(VLOOKUP($D122,Merchantability!$B:$C,2,0)="Yes",$E122&gt;=VLOOKUP($D122,Merchantability!$B:$D,3,0),$E122&lt;=VLOOKUP($D122,Merchantability!$B:$E,4,0)),(AV122*O122)*(1-$H122/100),""),"")</f>
        <v/>
      </c>
      <c r="AZ122" s="115"/>
      <c r="BA122" s="61"/>
      <c r="BB122" s="61"/>
      <c r="BC122" s="61"/>
      <c r="BE122" s="61"/>
      <c r="BF122" s="63"/>
    </row>
    <row r="123" spans="1:58" ht="12.75" customHeight="1" x14ac:dyDescent="0.25">
      <c r="A123" s="313"/>
      <c r="B123" s="380"/>
      <c r="C123" s="381"/>
      <c r="D123" s="380"/>
      <c r="E123" s="382"/>
      <c r="F123" s="331"/>
      <c r="G123" s="329"/>
      <c r="H123" s="329"/>
      <c r="I123" s="380"/>
      <c r="J123" s="381"/>
      <c r="K123" s="329"/>
      <c r="L123" s="329"/>
      <c r="M123" s="76"/>
      <c r="N123" s="103" t="str">
        <f>IF(A123="","",VLOOKUP(A123,Stand!C:K,9,0))</f>
        <v/>
      </c>
      <c r="O123" s="104" t="str">
        <f t="shared" si="27"/>
        <v/>
      </c>
      <c r="P123" s="105" t="str">
        <f t="shared" si="28"/>
        <v/>
      </c>
      <c r="Q123" s="105" t="str">
        <f t="shared" si="29"/>
        <v/>
      </c>
      <c r="R123" s="103" t="str">
        <f t="shared" si="30"/>
        <v/>
      </c>
      <c r="S123" s="103" t="str">
        <f t="shared" si="31"/>
        <v/>
      </c>
      <c r="T123" s="106" t="str">
        <f t="shared" si="32"/>
        <v/>
      </c>
      <c r="U123" s="106" t="str">
        <f t="shared" si="33"/>
        <v/>
      </c>
      <c r="V123" s="106" t="str">
        <f t="shared" si="34"/>
        <v/>
      </c>
      <c r="W123" s="105" t="str">
        <f t="shared" si="35"/>
        <v/>
      </c>
      <c r="X123" s="104" t="str">
        <f t="shared" si="36"/>
        <v/>
      </c>
      <c r="Y123" s="104" t="str">
        <f t="array" ref="Y123">IFERROR(IF(ISNUMBER(O123),IF(COUNT(IF(A123=$A$2:$A$2427,IF(D123=$D$2:$D$2427,IF($X$2:$X$2427&gt;0,1))))&gt;0,SUM(IF(A123=$A$2:$A$2427,IF(D123=$D$2:$D$2427,$X$2:$X$2427)))/COUNT(IF(A123=$A$2:$A$2427,IF(D123=$D$2:$D$2427,IF(ISNUMBER($X$2:$X$2427),1)))),0),""),0)</f>
        <v/>
      </c>
      <c r="Z123" s="104" t="str">
        <f>IF(ISNUMBER(O123),IF(I123&gt;0,(10^(VLOOKUP(D123,'Species Codes'!B:C,2,0)+VLOOKUP(D123,'Species Codes'!B:D,3,0)*LOG(E123)+VLOOKUP(D123,'Species Codes'!B:E,4,0)*LOG(I123))),0),"")</f>
        <v/>
      </c>
      <c r="AA123" s="104" t="str">
        <f>IFERROR((VLOOKUP(D123,'Species Codes'!B:G,6,0)*Z123)/2000,"")</f>
        <v/>
      </c>
      <c r="AB123" s="104" t="e">
        <f>IF(Z123&gt;0,((IF(OR(D123="DF",D123="RA")=TRUE,EXP(VLOOKUP(D123,'Species Codes'!B:I,8,0)+VLOOKUP(D123,'Species Codes'!B:J,9,0)*(LN((E123*2.54)))),IF(OR(D123="PY",D123="RC",D123="WH",D123="NF")=TRUE,VLOOKUP(D123,'Species Codes'!B:I,8,0)+VLOOKUP(D123,'Species Codes'!B:J,9,0)*((E123*2.54)^2)*(I123*0.3048),IF(OR(D123="MD",D123="BM",D123="GA")=TRUE,((VLOOKUP(D123,'Species Codes'!B:I,8,0)*(((((E123*2.54)+VLOOKUP(D123,'Species Codes'!B:J,9,0))/VLOOKUP(D123,'Species Codes'!B:K,10,0))^VLOOKUP(D123,'Species Codes'!B:L,11,0))*((I123*0.3048)^VLOOKUP(D123,'Species Codes'!B:M,12,0))))-(VLOOKUP(D123,'Species Codes'!B:I,8,0)*((((E123*2.54)^VLOOKUP(D123,'Species Codes'!B:L,11,0))*((I123*0.3048)^VLOOKUP(D123,'Species Codes'!B:M,12,0))))))*35.3*VLOOKUP(D123,'Species Codes'!B:G,6,0)/2.2046,VLOOKUP(D123,'Species Codes'!B:I,8,0)+VLOOKUP(D123,'Species Codes'!B:J,9,0)*(((E123*2.54)/100)^2)*(I123*0.3048)))))*0.0011023),0)</f>
        <v>#N/A</v>
      </c>
      <c r="AC123" s="104" t="e">
        <f>IF(Z123&gt;0,((IF(OR(D123="RA",D123="OA",D123="OT",D123="UN",D123="PC"),EXP(VLOOKUP(D123,'Species Codes'!B:O,14,0)+VLOOKUP(D123,'Species Codes'!B:P,15,0)*LN((E123*2.54)))-EXP(VLOOKUP(D123,'Species Codes'!B:O,14,0)+VLOOKUP(D123,'Species Codes'!B:P,15,0)*LN((E123*2.54)))*(1/(VLOOKUP(D123,'Species Codes'!B:Q,16,0)+VLOOKUP(D123,'Species Codes'!B:R,17,0)*((E123*2.54)^VLOOKUP(D123,'Species Codes'!B:S,18,0)))),IF(OR(D123="BM",D123="MD",D123="OA"),EXP(VLOOKUP(D123,'Species Codes'!B:O,14,0)+VLOOKUP(D123,'Species Codes'!B:P,15,0)*LN((E123*2.54)))*(1-(1/(VLOOKUP(D123,'Species Codes'!B:Q,16,0)+VLOOKUP(D123,'Species Codes'!B:R,17,0)*((E123*2.54)^VLOOKUP(D123,'Species Codes'!B:S,18,0)))))/1000,IF(D123="DF",EXP(VLOOKUP(D123,'Species Codes'!B:O,14,0)+VLOOKUP(D123,'Species Codes'!B:P,15,0)*LN((E123*2.54))),VLOOKUP(D123,'Species Codes'!B:O,14,0)+VLOOKUP(D123,'Species Codes'!B:P,15,0)*(((E123*2.54)/100)^2)*(I123*0.3048)))))*0.0011023),0)</f>
        <v>#N/A</v>
      </c>
      <c r="AD123" s="104" t="e">
        <f t="shared" si="37"/>
        <v>#N/A</v>
      </c>
      <c r="AE123" s="104" t="e">
        <f t="shared" si="38"/>
        <v>#N/A</v>
      </c>
      <c r="AF123" s="104" t="e">
        <f>IF(AND(VLOOKUP($D123,Merchantability!$B:$C,2,0)="Yes",$E123&gt;=VLOOKUP($D123,Merchantability!$B:$D,3,0),$E123&lt;=VLOOKUP($D123,Merchantability!$B:$E,4,0)),AA123,0)</f>
        <v>#N/A</v>
      </c>
      <c r="AG123" s="104" t="e">
        <f>IF(AND(VLOOKUP($D123,Merchantability!$B:$C,2,0)="Yes",$E123&gt;=VLOOKUP($D123,Merchantability!$B:$D,3,0),$E123&lt;=VLOOKUP($D123,Merchantability!$B:$E,4,0)),AB123,0)</f>
        <v>#N/A</v>
      </c>
      <c r="AH123" s="104" t="e">
        <f>IF(AND(VLOOKUP($D123,Merchantability!$B:$C,2,0)="Yes",$E123&gt;=VLOOKUP($D123,Merchantability!$B:$D,3,0),$E123&lt;=VLOOKUP($D123,Merchantability!$B:$E,4,0)),AC123,0)</f>
        <v>#N/A</v>
      </c>
      <c r="AI123" s="104" t="e">
        <f t="shared" si="39"/>
        <v>#N/A</v>
      </c>
      <c r="AJ123" s="104" t="e">
        <f t="shared" si="40"/>
        <v>#VALUE!</v>
      </c>
      <c r="AK123" s="104" t="e">
        <f t="shared" si="41"/>
        <v>#N/A</v>
      </c>
      <c r="AL123" s="104" t="e">
        <f t="shared" si="42"/>
        <v>#N/A</v>
      </c>
      <c r="AM123" s="104" t="e">
        <f t="shared" si="43"/>
        <v>#N/A</v>
      </c>
      <c r="AN123" s="104" t="e">
        <f t="shared" si="44"/>
        <v>#N/A</v>
      </c>
      <c r="AO123" s="104" t="e">
        <f t="shared" si="45"/>
        <v>#N/A</v>
      </c>
      <c r="AP123" s="104" t="e">
        <f t="shared" si="46"/>
        <v>#N/A</v>
      </c>
      <c r="AQ123" s="104" t="e">
        <f t="shared" si="47"/>
        <v>#N/A</v>
      </c>
      <c r="AR123" s="105" t="str">
        <f t="shared" si="48"/>
        <v/>
      </c>
      <c r="AS123" s="105" t="str">
        <f t="shared" si="49"/>
        <v/>
      </c>
      <c r="AT123" s="108" t="str">
        <f t="shared" si="50"/>
        <v/>
      </c>
      <c r="AU123" s="108" t="str">
        <f t="shared" si="51"/>
        <v/>
      </c>
      <c r="AV123" s="107" t="str">
        <f>IF(ISNUMBER(O123),IF(VLOOKUP($A123,Stand!C:J,8,FALSE)="Short",AT123,AU123),"")</f>
        <v/>
      </c>
      <c r="AW123" s="109" t="str">
        <f t="shared" si="52"/>
        <v/>
      </c>
      <c r="AX123" s="109" t="str">
        <f t="shared" si="53"/>
        <v/>
      </c>
      <c r="AY123" s="112" t="str">
        <f>IF(ISNUMBER(O123),IF(AND(VLOOKUP($D123,Merchantability!$B:$C,2,0)="Yes",$E123&gt;=VLOOKUP($D123,Merchantability!$B:$D,3,0),$E123&lt;=VLOOKUP($D123,Merchantability!$B:$E,4,0)),(AV123*O123)*(1-$H123/100),""),"")</f>
        <v/>
      </c>
      <c r="AZ123" s="115"/>
      <c r="BA123" s="61"/>
      <c r="BB123" s="61"/>
      <c r="BC123" s="61"/>
      <c r="BE123" s="61"/>
      <c r="BF123" s="63"/>
    </row>
    <row r="124" spans="1:58" ht="12.75" customHeight="1" x14ac:dyDescent="0.25">
      <c r="A124" s="313"/>
      <c r="B124" s="380"/>
      <c r="C124" s="381"/>
      <c r="D124" s="380"/>
      <c r="E124" s="382"/>
      <c r="F124" s="331"/>
      <c r="G124" s="329"/>
      <c r="H124" s="329"/>
      <c r="I124" s="380"/>
      <c r="J124" s="381"/>
      <c r="K124" s="329"/>
      <c r="L124" s="329"/>
      <c r="M124" s="76"/>
      <c r="N124" s="103" t="str">
        <f>IF(A124="","",VLOOKUP(A124,Stand!C:K,9,0))</f>
        <v/>
      </c>
      <c r="O124" s="104" t="str">
        <f t="shared" si="27"/>
        <v/>
      </c>
      <c r="P124" s="105" t="str">
        <f t="shared" si="28"/>
        <v/>
      </c>
      <c r="Q124" s="105" t="str">
        <f t="shared" si="29"/>
        <v/>
      </c>
      <c r="R124" s="103" t="str">
        <f t="shared" si="30"/>
        <v/>
      </c>
      <c r="S124" s="103" t="str">
        <f t="shared" si="31"/>
        <v/>
      </c>
      <c r="T124" s="106" t="str">
        <f t="shared" si="32"/>
        <v/>
      </c>
      <c r="U124" s="106" t="str">
        <f t="shared" si="33"/>
        <v/>
      </c>
      <c r="V124" s="106" t="str">
        <f t="shared" si="34"/>
        <v/>
      </c>
      <c r="W124" s="105" t="str">
        <f t="shared" si="35"/>
        <v/>
      </c>
      <c r="X124" s="104" t="str">
        <f t="shared" si="36"/>
        <v/>
      </c>
      <c r="Y124" s="104" t="str">
        <f t="array" ref="Y124">IFERROR(IF(ISNUMBER(O124),IF(COUNT(IF(A124=$A$2:$A$2427,IF(D124=$D$2:$D$2427,IF($X$2:$X$2427&gt;0,1))))&gt;0,SUM(IF(A124=$A$2:$A$2427,IF(D124=$D$2:$D$2427,$X$2:$X$2427)))/COUNT(IF(A124=$A$2:$A$2427,IF(D124=$D$2:$D$2427,IF(ISNUMBER($X$2:$X$2427),1)))),0),""),0)</f>
        <v/>
      </c>
      <c r="Z124" s="104" t="str">
        <f>IF(ISNUMBER(O124),IF(I124&gt;0,(10^(VLOOKUP(D124,'Species Codes'!B:C,2,0)+VLOOKUP(D124,'Species Codes'!B:D,3,0)*LOG(E124)+VLOOKUP(D124,'Species Codes'!B:E,4,0)*LOG(I124))),0),"")</f>
        <v/>
      </c>
      <c r="AA124" s="104" t="str">
        <f>IFERROR((VLOOKUP(D124,'Species Codes'!B:G,6,0)*Z124)/2000,"")</f>
        <v/>
      </c>
      <c r="AB124" s="104" t="e">
        <f>IF(Z124&gt;0,((IF(OR(D124="DF",D124="RA")=TRUE,EXP(VLOOKUP(D124,'Species Codes'!B:I,8,0)+VLOOKUP(D124,'Species Codes'!B:J,9,0)*(LN((E124*2.54)))),IF(OR(D124="PY",D124="RC",D124="WH",D124="NF")=TRUE,VLOOKUP(D124,'Species Codes'!B:I,8,0)+VLOOKUP(D124,'Species Codes'!B:J,9,0)*((E124*2.54)^2)*(I124*0.3048),IF(OR(D124="MD",D124="BM",D124="GA")=TRUE,((VLOOKUP(D124,'Species Codes'!B:I,8,0)*(((((E124*2.54)+VLOOKUP(D124,'Species Codes'!B:J,9,0))/VLOOKUP(D124,'Species Codes'!B:K,10,0))^VLOOKUP(D124,'Species Codes'!B:L,11,0))*((I124*0.3048)^VLOOKUP(D124,'Species Codes'!B:M,12,0))))-(VLOOKUP(D124,'Species Codes'!B:I,8,0)*((((E124*2.54)^VLOOKUP(D124,'Species Codes'!B:L,11,0))*((I124*0.3048)^VLOOKUP(D124,'Species Codes'!B:M,12,0))))))*35.3*VLOOKUP(D124,'Species Codes'!B:G,6,0)/2.2046,VLOOKUP(D124,'Species Codes'!B:I,8,0)+VLOOKUP(D124,'Species Codes'!B:J,9,0)*(((E124*2.54)/100)^2)*(I124*0.3048)))))*0.0011023),0)</f>
        <v>#N/A</v>
      </c>
      <c r="AC124" s="104" t="e">
        <f>IF(Z124&gt;0,((IF(OR(D124="RA",D124="OA",D124="OT",D124="UN",D124="PC"),EXP(VLOOKUP(D124,'Species Codes'!B:O,14,0)+VLOOKUP(D124,'Species Codes'!B:P,15,0)*LN((E124*2.54)))-EXP(VLOOKUP(D124,'Species Codes'!B:O,14,0)+VLOOKUP(D124,'Species Codes'!B:P,15,0)*LN((E124*2.54)))*(1/(VLOOKUP(D124,'Species Codes'!B:Q,16,0)+VLOOKUP(D124,'Species Codes'!B:R,17,0)*((E124*2.54)^VLOOKUP(D124,'Species Codes'!B:S,18,0)))),IF(OR(D124="BM",D124="MD",D124="OA"),EXP(VLOOKUP(D124,'Species Codes'!B:O,14,0)+VLOOKUP(D124,'Species Codes'!B:P,15,0)*LN((E124*2.54)))*(1-(1/(VLOOKUP(D124,'Species Codes'!B:Q,16,0)+VLOOKUP(D124,'Species Codes'!B:R,17,0)*((E124*2.54)^VLOOKUP(D124,'Species Codes'!B:S,18,0)))))/1000,IF(D124="DF",EXP(VLOOKUP(D124,'Species Codes'!B:O,14,0)+VLOOKUP(D124,'Species Codes'!B:P,15,0)*LN((E124*2.54))),VLOOKUP(D124,'Species Codes'!B:O,14,0)+VLOOKUP(D124,'Species Codes'!B:P,15,0)*(((E124*2.54)/100)^2)*(I124*0.3048)))))*0.0011023),0)</f>
        <v>#N/A</v>
      </c>
      <c r="AD124" s="104" t="e">
        <f t="shared" si="37"/>
        <v>#N/A</v>
      </c>
      <c r="AE124" s="104" t="e">
        <f t="shared" si="38"/>
        <v>#N/A</v>
      </c>
      <c r="AF124" s="104" t="e">
        <f>IF(AND(VLOOKUP($D124,Merchantability!$B:$C,2,0)="Yes",$E124&gt;=VLOOKUP($D124,Merchantability!$B:$D,3,0),$E124&lt;=VLOOKUP($D124,Merchantability!$B:$E,4,0)),AA124,0)</f>
        <v>#N/A</v>
      </c>
      <c r="AG124" s="104" t="e">
        <f>IF(AND(VLOOKUP($D124,Merchantability!$B:$C,2,0)="Yes",$E124&gt;=VLOOKUP($D124,Merchantability!$B:$D,3,0),$E124&lt;=VLOOKUP($D124,Merchantability!$B:$E,4,0)),AB124,0)</f>
        <v>#N/A</v>
      </c>
      <c r="AH124" s="104" t="e">
        <f>IF(AND(VLOOKUP($D124,Merchantability!$B:$C,2,0)="Yes",$E124&gt;=VLOOKUP($D124,Merchantability!$B:$D,3,0),$E124&lt;=VLOOKUP($D124,Merchantability!$B:$E,4,0)),AC124,0)</f>
        <v>#N/A</v>
      </c>
      <c r="AI124" s="104" t="e">
        <f t="shared" si="39"/>
        <v>#N/A</v>
      </c>
      <c r="AJ124" s="104" t="e">
        <f t="shared" si="40"/>
        <v>#VALUE!</v>
      </c>
      <c r="AK124" s="104" t="e">
        <f t="shared" si="41"/>
        <v>#N/A</v>
      </c>
      <c r="AL124" s="104" t="e">
        <f t="shared" si="42"/>
        <v>#N/A</v>
      </c>
      <c r="AM124" s="104" t="e">
        <f t="shared" si="43"/>
        <v>#N/A</v>
      </c>
      <c r="AN124" s="104" t="e">
        <f t="shared" si="44"/>
        <v>#N/A</v>
      </c>
      <c r="AO124" s="104" t="e">
        <f t="shared" si="45"/>
        <v>#N/A</v>
      </c>
      <c r="AP124" s="104" t="e">
        <f t="shared" si="46"/>
        <v>#N/A</v>
      </c>
      <c r="AQ124" s="104" t="e">
        <f t="shared" si="47"/>
        <v>#N/A</v>
      </c>
      <c r="AR124" s="105" t="str">
        <f t="shared" si="48"/>
        <v/>
      </c>
      <c r="AS124" s="105" t="str">
        <f t="shared" si="49"/>
        <v/>
      </c>
      <c r="AT124" s="108" t="str">
        <f t="shared" si="50"/>
        <v/>
      </c>
      <c r="AU124" s="108" t="str">
        <f t="shared" si="51"/>
        <v/>
      </c>
      <c r="AV124" s="107" t="str">
        <f>IF(ISNUMBER(O124),IF(VLOOKUP($A124,Stand!C:J,8,FALSE)="Short",AT124,AU124),"")</f>
        <v/>
      </c>
      <c r="AW124" s="109" t="str">
        <f t="shared" si="52"/>
        <v/>
      </c>
      <c r="AX124" s="109" t="str">
        <f t="shared" si="53"/>
        <v/>
      </c>
      <c r="AY124" s="112" t="str">
        <f>IF(ISNUMBER(O124),IF(AND(VLOOKUP($D124,Merchantability!$B:$C,2,0)="Yes",$E124&gt;=VLOOKUP($D124,Merchantability!$B:$D,3,0),$E124&lt;=VLOOKUP($D124,Merchantability!$B:$E,4,0)),(AV124*O124)*(1-$H124/100),""),"")</f>
        <v/>
      </c>
      <c r="AZ124" s="115"/>
      <c r="BA124" s="61"/>
      <c r="BB124" s="61"/>
      <c r="BC124" s="61"/>
      <c r="BE124" s="61"/>
      <c r="BF124" s="63"/>
    </row>
    <row r="125" spans="1:58" ht="12.75" customHeight="1" x14ac:dyDescent="0.25">
      <c r="A125" s="313"/>
      <c r="B125" s="380"/>
      <c r="C125" s="381"/>
      <c r="D125" s="380"/>
      <c r="E125" s="382"/>
      <c r="F125" s="331"/>
      <c r="G125" s="329"/>
      <c r="H125" s="329"/>
      <c r="I125" s="380"/>
      <c r="J125" s="381"/>
      <c r="K125" s="329"/>
      <c r="L125" s="329"/>
      <c r="M125" s="76"/>
      <c r="N125" s="103" t="str">
        <f>IF(A125="","",VLOOKUP(A125,Stand!C:K,9,0))</f>
        <v/>
      </c>
      <c r="O125" s="104" t="str">
        <f t="shared" si="27"/>
        <v/>
      </c>
      <c r="P125" s="105" t="str">
        <f t="shared" si="28"/>
        <v/>
      </c>
      <c r="Q125" s="105" t="str">
        <f t="shared" si="29"/>
        <v/>
      </c>
      <c r="R125" s="103" t="str">
        <f t="shared" si="30"/>
        <v/>
      </c>
      <c r="S125" s="103" t="str">
        <f t="shared" si="31"/>
        <v/>
      </c>
      <c r="T125" s="106" t="str">
        <f t="shared" si="32"/>
        <v/>
      </c>
      <c r="U125" s="106" t="str">
        <f t="shared" si="33"/>
        <v/>
      </c>
      <c r="V125" s="106" t="str">
        <f t="shared" si="34"/>
        <v/>
      </c>
      <c r="W125" s="105" t="str">
        <f t="shared" si="35"/>
        <v/>
      </c>
      <c r="X125" s="104" t="str">
        <f t="shared" si="36"/>
        <v/>
      </c>
      <c r="Y125" s="104" t="str">
        <f t="array" ref="Y125">IFERROR(IF(ISNUMBER(O125),IF(COUNT(IF(A125=$A$2:$A$2427,IF(D125=$D$2:$D$2427,IF($X$2:$X$2427&gt;0,1))))&gt;0,SUM(IF(A125=$A$2:$A$2427,IF(D125=$D$2:$D$2427,$X$2:$X$2427)))/COUNT(IF(A125=$A$2:$A$2427,IF(D125=$D$2:$D$2427,IF(ISNUMBER($X$2:$X$2427),1)))),0),""),0)</f>
        <v/>
      </c>
      <c r="Z125" s="104" t="str">
        <f>IF(ISNUMBER(O125),IF(I125&gt;0,(10^(VLOOKUP(D125,'Species Codes'!B:C,2,0)+VLOOKUP(D125,'Species Codes'!B:D,3,0)*LOG(E125)+VLOOKUP(D125,'Species Codes'!B:E,4,0)*LOG(I125))),0),"")</f>
        <v/>
      </c>
      <c r="AA125" s="104" t="str">
        <f>IFERROR((VLOOKUP(D125,'Species Codes'!B:G,6,0)*Z125)/2000,"")</f>
        <v/>
      </c>
      <c r="AB125" s="104" t="e">
        <f>IF(Z125&gt;0,((IF(OR(D125="DF",D125="RA")=TRUE,EXP(VLOOKUP(D125,'Species Codes'!B:I,8,0)+VLOOKUP(D125,'Species Codes'!B:J,9,0)*(LN((E125*2.54)))),IF(OR(D125="PY",D125="RC",D125="WH",D125="NF")=TRUE,VLOOKUP(D125,'Species Codes'!B:I,8,0)+VLOOKUP(D125,'Species Codes'!B:J,9,0)*((E125*2.54)^2)*(I125*0.3048),IF(OR(D125="MD",D125="BM",D125="GA")=TRUE,((VLOOKUP(D125,'Species Codes'!B:I,8,0)*(((((E125*2.54)+VLOOKUP(D125,'Species Codes'!B:J,9,0))/VLOOKUP(D125,'Species Codes'!B:K,10,0))^VLOOKUP(D125,'Species Codes'!B:L,11,0))*((I125*0.3048)^VLOOKUP(D125,'Species Codes'!B:M,12,0))))-(VLOOKUP(D125,'Species Codes'!B:I,8,0)*((((E125*2.54)^VLOOKUP(D125,'Species Codes'!B:L,11,0))*((I125*0.3048)^VLOOKUP(D125,'Species Codes'!B:M,12,0))))))*35.3*VLOOKUP(D125,'Species Codes'!B:G,6,0)/2.2046,VLOOKUP(D125,'Species Codes'!B:I,8,0)+VLOOKUP(D125,'Species Codes'!B:J,9,0)*(((E125*2.54)/100)^2)*(I125*0.3048)))))*0.0011023),0)</f>
        <v>#N/A</v>
      </c>
      <c r="AC125" s="104" t="e">
        <f>IF(Z125&gt;0,((IF(OR(D125="RA",D125="OA",D125="OT",D125="UN",D125="PC"),EXP(VLOOKUP(D125,'Species Codes'!B:O,14,0)+VLOOKUP(D125,'Species Codes'!B:P,15,0)*LN((E125*2.54)))-EXP(VLOOKUP(D125,'Species Codes'!B:O,14,0)+VLOOKUP(D125,'Species Codes'!B:P,15,0)*LN((E125*2.54)))*(1/(VLOOKUP(D125,'Species Codes'!B:Q,16,0)+VLOOKUP(D125,'Species Codes'!B:R,17,0)*((E125*2.54)^VLOOKUP(D125,'Species Codes'!B:S,18,0)))),IF(OR(D125="BM",D125="MD",D125="OA"),EXP(VLOOKUP(D125,'Species Codes'!B:O,14,0)+VLOOKUP(D125,'Species Codes'!B:P,15,0)*LN((E125*2.54)))*(1-(1/(VLOOKUP(D125,'Species Codes'!B:Q,16,0)+VLOOKUP(D125,'Species Codes'!B:R,17,0)*((E125*2.54)^VLOOKUP(D125,'Species Codes'!B:S,18,0)))))/1000,IF(D125="DF",EXP(VLOOKUP(D125,'Species Codes'!B:O,14,0)+VLOOKUP(D125,'Species Codes'!B:P,15,0)*LN((E125*2.54))),VLOOKUP(D125,'Species Codes'!B:O,14,0)+VLOOKUP(D125,'Species Codes'!B:P,15,0)*(((E125*2.54)/100)^2)*(I125*0.3048)))))*0.0011023),0)</f>
        <v>#N/A</v>
      </c>
      <c r="AD125" s="104" t="e">
        <f t="shared" si="37"/>
        <v>#N/A</v>
      </c>
      <c r="AE125" s="104" t="e">
        <f t="shared" si="38"/>
        <v>#N/A</v>
      </c>
      <c r="AF125" s="104" t="e">
        <f>IF(AND(VLOOKUP($D125,Merchantability!$B:$C,2,0)="Yes",$E125&gt;=VLOOKUP($D125,Merchantability!$B:$D,3,0),$E125&lt;=VLOOKUP($D125,Merchantability!$B:$E,4,0)),AA125,0)</f>
        <v>#N/A</v>
      </c>
      <c r="AG125" s="104" t="e">
        <f>IF(AND(VLOOKUP($D125,Merchantability!$B:$C,2,0)="Yes",$E125&gt;=VLOOKUP($D125,Merchantability!$B:$D,3,0),$E125&lt;=VLOOKUP($D125,Merchantability!$B:$E,4,0)),AB125,0)</f>
        <v>#N/A</v>
      </c>
      <c r="AH125" s="104" t="e">
        <f>IF(AND(VLOOKUP($D125,Merchantability!$B:$C,2,0)="Yes",$E125&gt;=VLOOKUP($D125,Merchantability!$B:$D,3,0),$E125&lt;=VLOOKUP($D125,Merchantability!$B:$E,4,0)),AC125,0)</f>
        <v>#N/A</v>
      </c>
      <c r="AI125" s="104" t="e">
        <f t="shared" si="39"/>
        <v>#N/A</v>
      </c>
      <c r="AJ125" s="104" t="e">
        <f t="shared" si="40"/>
        <v>#VALUE!</v>
      </c>
      <c r="AK125" s="104" t="e">
        <f t="shared" si="41"/>
        <v>#N/A</v>
      </c>
      <c r="AL125" s="104" t="e">
        <f t="shared" si="42"/>
        <v>#N/A</v>
      </c>
      <c r="AM125" s="104" t="e">
        <f t="shared" si="43"/>
        <v>#N/A</v>
      </c>
      <c r="AN125" s="104" t="e">
        <f t="shared" si="44"/>
        <v>#N/A</v>
      </c>
      <c r="AO125" s="104" t="e">
        <f t="shared" si="45"/>
        <v>#N/A</v>
      </c>
      <c r="AP125" s="104" t="e">
        <f t="shared" si="46"/>
        <v>#N/A</v>
      </c>
      <c r="AQ125" s="104" t="e">
        <f t="shared" si="47"/>
        <v>#N/A</v>
      </c>
      <c r="AR125" s="105" t="str">
        <f t="shared" si="48"/>
        <v/>
      </c>
      <c r="AS125" s="105" t="str">
        <f t="shared" si="49"/>
        <v/>
      </c>
      <c r="AT125" s="108" t="str">
        <f t="shared" si="50"/>
        <v/>
      </c>
      <c r="AU125" s="108" t="str">
        <f t="shared" si="51"/>
        <v/>
      </c>
      <c r="AV125" s="107" t="str">
        <f>IF(ISNUMBER(O125),IF(VLOOKUP($A125,Stand!C:J,8,FALSE)="Short",AT125,AU125),"")</f>
        <v/>
      </c>
      <c r="AW125" s="109" t="str">
        <f t="shared" si="52"/>
        <v/>
      </c>
      <c r="AX125" s="109" t="str">
        <f t="shared" si="53"/>
        <v/>
      </c>
      <c r="AY125" s="112" t="str">
        <f>IF(ISNUMBER(O125),IF(AND(VLOOKUP($D125,Merchantability!$B:$C,2,0)="Yes",$E125&gt;=VLOOKUP($D125,Merchantability!$B:$D,3,0),$E125&lt;=VLOOKUP($D125,Merchantability!$B:$E,4,0)),(AV125*O125)*(1-$H125/100),""),"")</f>
        <v/>
      </c>
      <c r="AZ125" s="115"/>
      <c r="BA125" s="61"/>
      <c r="BB125" s="61"/>
      <c r="BC125" s="61"/>
      <c r="BE125" s="61"/>
      <c r="BF125" s="63"/>
    </row>
    <row r="126" spans="1:58" ht="12.75" customHeight="1" x14ac:dyDescent="0.25">
      <c r="A126" s="313"/>
      <c r="B126" s="380"/>
      <c r="C126" s="381"/>
      <c r="D126" s="380"/>
      <c r="E126" s="382"/>
      <c r="F126" s="331"/>
      <c r="G126" s="329"/>
      <c r="H126" s="329"/>
      <c r="I126" s="380"/>
      <c r="J126" s="381"/>
      <c r="K126" s="329"/>
      <c r="L126" s="329"/>
      <c r="M126" s="76"/>
      <c r="N126" s="103" t="str">
        <f>IF(A126="","",VLOOKUP(A126,Stand!C:K,9,0))</f>
        <v/>
      </c>
      <c r="O126" s="104" t="str">
        <f t="shared" si="27"/>
        <v/>
      </c>
      <c r="P126" s="105" t="str">
        <f t="shared" si="28"/>
        <v/>
      </c>
      <c r="Q126" s="105" t="str">
        <f t="shared" si="29"/>
        <v/>
      </c>
      <c r="R126" s="103" t="str">
        <f t="shared" si="30"/>
        <v/>
      </c>
      <c r="S126" s="103" t="str">
        <f t="shared" si="31"/>
        <v/>
      </c>
      <c r="T126" s="106" t="str">
        <f t="shared" si="32"/>
        <v/>
      </c>
      <c r="U126" s="106" t="str">
        <f t="shared" si="33"/>
        <v/>
      </c>
      <c r="V126" s="106" t="str">
        <f t="shared" si="34"/>
        <v/>
      </c>
      <c r="W126" s="105" t="str">
        <f t="shared" si="35"/>
        <v/>
      </c>
      <c r="X126" s="104" t="str">
        <f t="shared" si="36"/>
        <v/>
      </c>
      <c r="Y126" s="104" t="str">
        <f t="array" ref="Y126">IFERROR(IF(ISNUMBER(O126),IF(COUNT(IF(A126=$A$2:$A$2427,IF(D126=$D$2:$D$2427,IF($X$2:$X$2427&gt;0,1))))&gt;0,SUM(IF(A126=$A$2:$A$2427,IF(D126=$D$2:$D$2427,$X$2:$X$2427)))/COUNT(IF(A126=$A$2:$A$2427,IF(D126=$D$2:$D$2427,IF(ISNUMBER($X$2:$X$2427),1)))),0),""),0)</f>
        <v/>
      </c>
      <c r="Z126" s="104" t="str">
        <f>IF(ISNUMBER(O126),IF(I126&gt;0,(10^(VLOOKUP(D126,'Species Codes'!B:C,2,0)+VLOOKUP(D126,'Species Codes'!B:D,3,0)*LOG(E126)+VLOOKUP(D126,'Species Codes'!B:E,4,0)*LOG(I126))),0),"")</f>
        <v/>
      </c>
      <c r="AA126" s="104" t="str">
        <f>IFERROR((VLOOKUP(D126,'Species Codes'!B:G,6,0)*Z126)/2000,"")</f>
        <v/>
      </c>
      <c r="AB126" s="104" t="e">
        <f>IF(Z126&gt;0,((IF(OR(D126="DF",D126="RA")=TRUE,EXP(VLOOKUP(D126,'Species Codes'!B:I,8,0)+VLOOKUP(D126,'Species Codes'!B:J,9,0)*(LN((E126*2.54)))),IF(OR(D126="PY",D126="RC",D126="WH",D126="NF")=TRUE,VLOOKUP(D126,'Species Codes'!B:I,8,0)+VLOOKUP(D126,'Species Codes'!B:J,9,0)*((E126*2.54)^2)*(I126*0.3048),IF(OR(D126="MD",D126="BM",D126="GA")=TRUE,((VLOOKUP(D126,'Species Codes'!B:I,8,0)*(((((E126*2.54)+VLOOKUP(D126,'Species Codes'!B:J,9,0))/VLOOKUP(D126,'Species Codes'!B:K,10,0))^VLOOKUP(D126,'Species Codes'!B:L,11,0))*((I126*0.3048)^VLOOKUP(D126,'Species Codes'!B:M,12,0))))-(VLOOKUP(D126,'Species Codes'!B:I,8,0)*((((E126*2.54)^VLOOKUP(D126,'Species Codes'!B:L,11,0))*((I126*0.3048)^VLOOKUP(D126,'Species Codes'!B:M,12,0))))))*35.3*VLOOKUP(D126,'Species Codes'!B:G,6,0)/2.2046,VLOOKUP(D126,'Species Codes'!B:I,8,0)+VLOOKUP(D126,'Species Codes'!B:J,9,0)*(((E126*2.54)/100)^2)*(I126*0.3048)))))*0.0011023),0)</f>
        <v>#N/A</v>
      </c>
      <c r="AC126" s="104" t="e">
        <f>IF(Z126&gt;0,((IF(OR(D126="RA",D126="OA",D126="OT",D126="UN",D126="PC"),EXP(VLOOKUP(D126,'Species Codes'!B:O,14,0)+VLOOKUP(D126,'Species Codes'!B:P,15,0)*LN((E126*2.54)))-EXP(VLOOKUP(D126,'Species Codes'!B:O,14,0)+VLOOKUP(D126,'Species Codes'!B:P,15,0)*LN((E126*2.54)))*(1/(VLOOKUP(D126,'Species Codes'!B:Q,16,0)+VLOOKUP(D126,'Species Codes'!B:R,17,0)*((E126*2.54)^VLOOKUP(D126,'Species Codes'!B:S,18,0)))),IF(OR(D126="BM",D126="MD",D126="OA"),EXP(VLOOKUP(D126,'Species Codes'!B:O,14,0)+VLOOKUP(D126,'Species Codes'!B:P,15,0)*LN((E126*2.54)))*(1-(1/(VLOOKUP(D126,'Species Codes'!B:Q,16,0)+VLOOKUP(D126,'Species Codes'!B:R,17,0)*((E126*2.54)^VLOOKUP(D126,'Species Codes'!B:S,18,0)))))/1000,IF(D126="DF",EXP(VLOOKUP(D126,'Species Codes'!B:O,14,0)+VLOOKUP(D126,'Species Codes'!B:P,15,0)*LN((E126*2.54))),VLOOKUP(D126,'Species Codes'!B:O,14,0)+VLOOKUP(D126,'Species Codes'!B:P,15,0)*(((E126*2.54)/100)^2)*(I126*0.3048)))))*0.0011023),0)</f>
        <v>#N/A</v>
      </c>
      <c r="AD126" s="104" t="e">
        <f t="shared" si="37"/>
        <v>#N/A</v>
      </c>
      <c r="AE126" s="104" t="e">
        <f t="shared" si="38"/>
        <v>#N/A</v>
      </c>
      <c r="AF126" s="104" t="e">
        <f>IF(AND(VLOOKUP($D126,Merchantability!$B:$C,2,0)="Yes",$E126&gt;=VLOOKUP($D126,Merchantability!$B:$D,3,0),$E126&lt;=VLOOKUP($D126,Merchantability!$B:$E,4,0)),AA126,0)</f>
        <v>#N/A</v>
      </c>
      <c r="AG126" s="104" t="e">
        <f>IF(AND(VLOOKUP($D126,Merchantability!$B:$C,2,0)="Yes",$E126&gt;=VLOOKUP($D126,Merchantability!$B:$D,3,0),$E126&lt;=VLOOKUP($D126,Merchantability!$B:$E,4,0)),AB126,0)</f>
        <v>#N/A</v>
      </c>
      <c r="AH126" s="104" t="e">
        <f>IF(AND(VLOOKUP($D126,Merchantability!$B:$C,2,0)="Yes",$E126&gt;=VLOOKUP($D126,Merchantability!$B:$D,3,0),$E126&lt;=VLOOKUP($D126,Merchantability!$B:$E,4,0)),AC126,0)</f>
        <v>#N/A</v>
      </c>
      <c r="AI126" s="104" t="e">
        <f t="shared" si="39"/>
        <v>#N/A</v>
      </c>
      <c r="AJ126" s="104" t="e">
        <f t="shared" si="40"/>
        <v>#VALUE!</v>
      </c>
      <c r="AK126" s="104" t="e">
        <f t="shared" si="41"/>
        <v>#N/A</v>
      </c>
      <c r="AL126" s="104" t="e">
        <f t="shared" si="42"/>
        <v>#N/A</v>
      </c>
      <c r="AM126" s="104" t="e">
        <f t="shared" si="43"/>
        <v>#N/A</v>
      </c>
      <c r="AN126" s="104" t="e">
        <f t="shared" si="44"/>
        <v>#N/A</v>
      </c>
      <c r="AO126" s="104" t="e">
        <f t="shared" si="45"/>
        <v>#N/A</v>
      </c>
      <c r="AP126" s="104" t="e">
        <f t="shared" si="46"/>
        <v>#N/A</v>
      </c>
      <c r="AQ126" s="104" t="e">
        <f t="shared" si="47"/>
        <v>#N/A</v>
      </c>
      <c r="AR126" s="105" t="str">
        <f t="shared" si="48"/>
        <v/>
      </c>
      <c r="AS126" s="105" t="str">
        <f t="shared" si="49"/>
        <v/>
      </c>
      <c r="AT126" s="108" t="str">
        <f t="shared" si="50"/>
        <v/>
      </c>
      <c r="AU126" s="108" t="str">
        <f t="shared" si="51"/>
        <v/>
      </c>
      <c r="AV126" s="107" t="str">
        <f>IF(ISNUMBER(O126),IF(VLOOKUP($A126,Stand!C:J,8,FALSE)="Short",AT126,AU126),"")</f>
        <v/>
      </c>
      <c r="AW126" s="109" t="str">
        <f t="shared" si="52"/>
        <v/>
      </c>
      <c r="AX126" s="109" t="str">
        <f t="shared" si="53"/>
        <v/>
      </c>
      <c r="AY126" s="112" t="str">
        <f>IF(ISNUMBER(O126),IF(AND(VLOOKUP($D126,Merchantability!$B:$C,2,0)="Yes",$E126&gt;=VLOOKUP($D126,Merchantability!$B:$D,3,0),$E126&lt;=VLOOKUP($D126,Merchantability!$B:$E,4,0)),(AV126*O126)*(1-$H126/100),""),"")</f>
        <v/>
      </c>
      <c r="AZ126" s="116"/>
      <c r="BA126" s="116"/>
      <c r="BB126" s="116"/>
      <c r="BE126" s="62"/>
      <c r="BF126" s="63"/>
    </row>
    <row r="127" spans="1:58" ht="12.75" customHeight="1" x14ac:dyDescent="0.25">
      <c r="A127" s="313"/>
      <c r="B127" s="380"/>
      <c r="C127" s="381"/>
      <c r="D127" s="380"/>
      <c r="E127" s="382"/>
      <c r="F127" s="331"/>
      <c r="G127" s="329"/>
      <c r="H127" s="329"/>
      <c r="I127" s="380"/>
      <c r="J127" s="381"/>
      <c r="K127" s="329"/>
      <c r="L127" s="329"/>
      <c r="M127" s="76"/>
      <c r="N127" s="103" t="str">
        <f>IF(A127="","",VLOOKUP(A127,Stand!C:K,9,0))</f>
        <v/>
      </c>
      <c r="O127" s="104" t="str">
        <f t="shared" si="27"/>
        <v/>
      </c>
      <c r="P127" s="105" t="str">
        <f t="shared" si="28"/>
        <v/>
      </c>
      <c r="Q127" s="105" t="str">
        <f t="shared" si="29"/>
        <v/>
      </c>
      <c r="R127" s="103" t="str">
        <f t="shared" si="30"/>
        <v/>
      </c>
      <c r="S127" s="103" t="str">
        <f t="shared" si="31"/>
        <v/>
      </c>
      <c r="T127" s="106" t="str">
        <f t="shared" si="32"/>
        <v/>
      </c>
      <c r="U127" s="106" t="str">
        <f t="shared" si="33"/>
        <v/>
      </c>
      <c r="V127" s="106" t="str">
        <f t="shared" si="34"/>
        <v/>
      </c>
      <c r="W127" s="105" t="str">
        <f t="shared" si="35"/>
        <v/>
      </c>
      <c r="X127" s="104" t="str">
        <f t="shared" si="36"/>
        <v/>
      </c>
      <c r="Y127" s="104" t="str">
        <f t="array" ref="Y127">IFERROR(IF(ISNUMBER(O127),IF(COUNT(IF(A127=$A$2:$A$2427,IF(D127=$D$2:$D$2427,IF($X$2:$X$2427&gt;0,1))))&gt;0,SUM(IF(A127=$A$2:$A$2427,IF(D127=$D$2:$D$2427,$X$2:$X$2427)))/COUNT(IF(A127=$A$2:$A$2427,IF(D127=$D$2:$D$2427,IF(ISNUMBER($X$2:$X$2427),1)))),0),""),0)</f>
        <v/>
      </c>
      <c r="Z127" s="104" t="str">
        <f>IF(ISNUMBER(O127),IF(I127&gt;0,(10^(VLOOKUP(D127,'Species Codes'!B:C,2,0)+VLOOKUP(D127,'Species Codes'!B:D,3,0)*LOG(E127)+VLOOKUP(D127,'Species Codes'!B:E,4,0)*LOG(I127))),0),"")</f>
        <v/>
      </c>
      <c r="AA127" s="104" t="str">
        <f>IFERROR((VLOOKUP(D127,'Species Codes'!B:G,6,0)*Z127)/2000,"")</f>
        <v/>
      </c>
      <c r="AB127" s="104" t="e">
        <f>IF(Z127&gt;0,((IF(OR(D127="DF",D127="RA")=TRUE,EXP(VLOOKUP(D127,'Species Codes'!B:I,8,0)+VLOOKUP(D127,'Species Codes'!B:J,9,0)*(LN((E127*2.54)))),IF(OR(D127="PY",D127="RC",D127="WH",D127="NF")=TRUE,VLOOKUP(D127,'Species Codes'!B:I,8,0)+VLOOKUP(D127,'Species Codes'!B:J,9,0)*((E127*2.54)^2)*(I127*0.3048),IF(OR(D127="MD",D127="BM",D127="GA")=TRUE,((VLOOKUP(D127,'Species Codes'!B:I,8,0)*(((((E127*2.54)+VLOOKUP(D127,'Species Codes'!B:J,9,0))/VLOOKUP(D127,'Species Codes'!B:K,10,0))^VLOOKUP(D127,'Species Codes'!B:L,11,0))*((I127*0.3048)^VLOOKUP(D127,'Species Codes'!B:M,12,0))))-(VLOOKUP(D127,'Species Codes'!B:I,8,0)*((((E127*2.54)^VLOOKUP(D127,'Species Codes'!B:L,11,0))*((I127*0.3048)^VLOOKUP(D127,'Species Codes'!B:M,12,0))))))*35.3*VLOOKUP(D127,'Species Codes'!B:G,6,0)/2.2046,VLOOKUP(D127,'Species Codes'!B:I,8,0)+VLOOKUP(D127,'Species Codes'!B:J,9,0)*(((E127*2.54)/100)^2)*(I127*0.3048)))))*0.0011023),0)</f>
        <v>#N/A</v>
      </c>
      <c r="AC127" s="104" t="e">
        <f>IF(Z127&gt;0,((IF(OR(D127="RA",D127="OA",D127="OT",D127="UN",D127="PC"),EXP(VLOOKUP(D127,'Species Codes'!B:O,14,0)+VLOOKUP(D127,'Species Codes'!B:P,15,0)*LN((E127*2.54)))-EXP(VLOOKUP(D127,'Species Codes'!B:O,14,0)+VLOOKUP(D127,'Species Codes'!B:P,15,0)*LN((E127*2.54)))*(1/(VLOOKUP(D127,'Species Codes'!B:Q,16,0)+VLOOKUP(D127,'Species Codes'!B:R,17,0)*((E127*2.54)^VLOOKUP(D127,'Species Codes'!B:S,18,0)))),IF(OR(D127="BM",D127="MD",D127="OA"),EXP(VLOOKUP(D127,'Species Codes'!B:O,14,0)+VLOOKUP(D127,'Species Codes'!B:P,15,0)*LN((E127*2.54)))*(1-(1/(VLOOKUP(D127,'Species Codes'!B:Q,16,0)+VLOOKUP(D127,'Species Codes'!B:R,17,0)*((E127*2.54)^VLOOKUP(D127,'Species Codes'!B:S,18,0)))))/1000,IF(D127="DF",EXP(VLOOKUP(D127,'Species Codes'!B:O,14,0)+VLOOKUP(D127,'Species Codes'!B:P,15,0)*LN((E127*2.54))),VLOOKUP(D127,'Species Codes'!B:O,14,0)+VLOOKUP(D127,'Species Codes'!B:P,15,0)*(((E127*2.54)/100)^2)*(I127*0.3048)))))*0.0011023),0)</f>
        <v>#N/A</v>
      </c>
      <c r="AD127" s="104" t="e">
        <f t="shared" si="37"/>
        <v>#N/A</v>
      </c>
      <c r="AE127" s="104" t="e">
        <f t="shared" si="38"/>
        <v>#N/A</v>
      </c>
      <c r="AF127" s="104" t="e">
        <f>IF(AND(VLOOKUP($D127,Merchantability!$B:$C,2,0)="Yes",$E127&gt;=VLOOKUP($D127,Merchantability!$B:$D,3,0),$E127&lt;=VLOOKUP($D127,Merchantability!$B:$E,4,0)),AA127,0)</f>
        <v>#N/A</v>
      </c>
      <c r="AG127" s="104" t="e">
        <f>IF(AND(VLOOKUP($D127,Merchantability!$B:$C,2,0)="Yes",$E127&gt;=VLOOKUP($D127,Merchantability!$B:$D,3,0),$E127&lt;=VLOOKUP($D127,Merchantability!$B:$E,4,0)),AB127,0)</f>
        <v>#N/A</v>
      </c>
      <c r="AH127" s="104" t="e">
        <f>IF(AND(VLOOKUP($D127,Merchantability!$B:$C,2,0)="Yes",$E127&gt;=VLOOKUP($D127,Merchantability!$B:$D,3,0),$E127&lt;=VLOOKUP($D127,Merchantability!$B:$E,4,0)),AC127,0)</f>
        <v>#N/A</v>
      </c>
      <c r="AI127" s="104" t="e">
        <f t="shared" si="39"/>
        <v>#N/A</v>
      </c>
      <c r="AJ127" s="104" t="e">
        <f t="shared" si="40"/>
        <v>#VALUE!</v>
      </c>
      <c r="AK127" s="104" t="e">
        <f t="shared" si="41"/>
        <v>#N/A</v>
      </c>
      <c r="AL127" s="104" t="e">
        <f t="shared" si="42"/>
        <v>#N/A</v>
      </c>
      <c r="AM127" s="104" t="e">
        <f t="shared" si="43"/>
        <v>#N/A</v>
      </c>
      <c r="AN127" s="104" t="e">
        <f t="shared" si="44"/>
        <v>#N/A</v>
      </c>
      <c r="AO127" s="104" t="e">
        <f t="shared" si="45"/>
        <v>#N/A</v>
      </c>
      <c r="AP127" s="104" t="e">
        <f t="shared" si="46"/>
        <v>#N/A</v>
      </c>
      <c r="AQ127" s="104" t="e">
        <f t="shared" si="47"/>
        <v>#N/A</v>
      </c>
      <c r="AR127" s="105" t="str">
        <f t="shared" si="48"/>
        <v/>
      </c>
      <c r="AS127" s="105" t="str">
        <f t="shared" si="49"/>
        <v/>
      </c>
      <c r="AT127" s="108" t="str">
        <f t="shared" si="50"/>
        <v/>
      </c>
      <c r="AU127" s="108" t="str">
        <f t="shared" si="51"/>
        <v/>
      </c>
      <c r="AV127" s="107" t="str">
        <f>IF(ISNUMBER(O127),IF(VLOOKUP($A127,Stand!C:J,8,FALSE)="Short",AT127,AU127),"")</f>
        <v/>
      </c>
      <c r="AW127" s="109" t="str">
        <f t="shared" si="52"/>
        <v/>
      </c>
      <c r="AX127" s="109" t="str">
        <f t="shared" si="53"/>
        <v/>
      </c>
      <c r="AY127" s="112" t="str">
        <f>IF(ISNUMBER(O127),IF(AND(VLOOKUP($D127,Merchantability!$B:$C,2,0)="Yes",$E127&gt;=VLOOKUP($D127,Merchantability!$B:$D,3,0),$E127&lt;=VLOOKUP($D127,Merchantability!$B:$E,4,0)),(AV127*O127)*(1-$H127/100),""),"")</f>
        <v/>
      </c>
      <c r="AZ127" s="116"/>
      <c r="BA127" s="116"/>
      <c r="BB127" s="116"/>
      <c r="BE127" s="62"/>
      <c r="BF127" s="63"/>
    </row>
    <row r="128" spans="1:58" ht="12.75" customHeight="1" x14ac:dyDescent="0.25">
      <c r="A128" s="384"/>
      <c r="B128" s="380"/>
      <c r="C128" s="381"/>
      <c r="D128" s="380"/>
      <c r="E128" s="382"/>
      <c r="F128" s="331"/>
      <c r="G128" s="329"/>
      <c r="H128" s="329"/>
      <c r="I128" s="380"/>
      <c r="J128" s="381"/>
      <c r="K128" s="329"/>
      <c r="L128" s="329"/>
      <c r="M128" s="76"/>
      <c r="N128" s="103" t="str">
        <f>IF(A128="","",VLOOKUP(A128,Stand!C:K,9,0))</f>
        <v/>
      </c>
      <c r="O128" s="104" t="str">
        <f t="shared" si="27"/>
        <v/>
      </c>
      <c r="P128" s="105" t="str">
        <f t="shared" si="28"/>
        <v/>
      </c>
      <c r="Q128" s="105" t="str">
        <f t="shared" si="29"/>
        <v/>
      </c>
      <c r="R128" s="103" t="str">
        <f t="shared" si="30"/>
        <v/>
      </c>
      <c r="S128" s="103" t="str">
        <f t="shared" si="31"/>
        <v/>
      </c>
      <c r="T128" s="106" t="str">
        <f t="shared" si="32"/>
        <v/>
      </c>
      <c r="U128" s="106" t="str">
        <f t="shared" si="33"/>
        <v/>
      </c>
      <c r="V128" s="106" t="str">
        <f t="shared" si="34"/>
        <v/>
      </c>
      <c r="W128" s="105" t="str">
        <f t="shared" si="35"/>
        <v/>
      </c>
      <c r="X128" s="104" t="str">
        <f t="shared" si="36"/>
        <v/>
      </c>
      <c r="Y128" s="104" t="str">
        <f t="array" ref="Y128">IFERROR(IF(ISNUMBER(O128),IF(COUNT(IF(A128=$A$2:$A$2427,IF(D128=$D$2:$D$2427,IF($X$2:$X$2427&gt;0,1))))&gt;0,SUM(IF(A128=$A$2:$A$2427,IF(D128=$D$2:$D$2427,$X$2:$X$2427)))/COUNT(IF(A128=$A$2:$A$2427,IF(D128=$D$2:$D$2427,IF(ISNUMBER($X$2:$X$2427),1)))),0),""),0)</f>
        <v/>
      </c>
      <c r="Z128" s="104" t="str">
        <f>IF(ISNUMBER(O128),IF(I128&gt;0,(10^(VLOOKUP(D128,'Species Codes'!B:C,2,0)+VLOOKUP(D128,'Species Codes'!B:D,3,0)*LOG(E128)+VLOOKUP(D128,'Species Codes'!B:E,4,0)*LOG(I128))),0),"")</f>
        <v/>
      </c>
      <c r="AA128" s="104" t="str">
        <f>IFERROR((VLOOKUP(D128,'Species Codes'!B:G,6,0)*Z128)/2000,"")</f>
        <v/>
      </c>
      <c r="AB128" s="104" t="e">
        <f>IF(Z128&gt;0,((IF(OR(D128="DF",D128="RA")=TRUE,EXP(VLOOKUP(D128,'Species Codes'!B:I,8,0)+VLOOKUP(D128,'Species Codes'!B:J,9,0)*(LN((E128*2.54)))),IF(OR(D128="PY",D128="RC",D128="WH",D128="NF")=TRUE,VLOOKUP(D128,'Species Codes'!B:I,8,0)+VLOOKUP(D128,'Species Codes'!B:J,9,0)*((E128*2.54)^2)*(I128*0.3048),IF(OR(D128="MD",D128="BM",D128="GA")=TRUE,((VLOOKUP(D128,'Species Codes'!B:I,8,0)*(((((E128*2.54)+VLOOKUP(D128,'Species Codes'!B:J,9,0))/VLOOKUP(D128,'Species Codes'!B:K,10,0))^VLOOKUP(D128,'Species Codes'!B:L,11,0))*((I128*0.3048)^VLOOKUP(D128,'Species Codes'!B:M,12,0))))-(VLOOKUP(D128,'Species Codes'!B:I,8,0)*((((E128*2.54)^VLOOKUP(D128,'Species Codes'!B:L,11,0))*((I128*0.3048)^VLOOKUP(D128,'Species Codes'!B:M,12,0))))))*35.3*VLOOKUP(D128,'Species Codes'!B:G,6,0)/2.2046,VLOOKUP(D128,'Species Codes'!B:I,8,0)+VLOOKUP(D128,'Species Codes'!B:J,9,0)*(((E128*2.54)/100)^2)*(I128*0.3048)))))*0.0011023),0)</f>
        <v>#N/A</v>
      </c>
      <c r="AC128" s="104" t="e">
        <f>IF(Z128&gt;0,((IF(OR(D128="RA",D128="OA",D128="OT",D128="UN",D128="PC"),EXP(VLOOKUP(D128,'Species Codes'!B:O,14,0)+VLOOKUP(D128,'Species Codes'!B:P,15,0)*LN((E128*2.54)))-EXP(VLOOKUP(D128,'Species Codes'!B:O,14,0)+VLOOKUP(D128,'Species Codes'!B:P,15,0)*LN((E128*2.54)))*(1/(VLOOKUP(D128,'Species Codes'!B:Q,16,0)+VLOOKUP(D128,'Species Codes'!B:R,17,0)*((E128*2.54)^VLOOKUP(D128,'Species Codes'!B:S,18,0)))),IF(OR(D128="BM",D128="MD",D128="OA"),EXP(VLOOKUP(D128,'Species Codes'!B:O,14,0)+VLOOKUP(D128,'Species Codes'!B:P,15,0)*LN((E128*2.54)))*(1-(1/(VLOOKUP(D128,'Species Codes'!B:Q,16,0)+VLOOKUP(D128,'Species Codes'!B:R,17,0)*((E128*2.54)^VLOOKUP(D128,'Species Codes'!B:S,18,0)))))/1000,IF(D128="DF",EXP(VLOOKUP(D128,'Species Codes'!B:O,14,0)+VLOOKUP(D128,'Species Codes'!B:P,15,0)*LN((E128*2.54))),VLOOKUP(D128,'Species Codes'!B:O,14,0)+VLOOKUP(D128,'Species Codes'!B:P,15,0)*(((E128*2.54)/100)^2)*(I128*0.3048)))))*0.0011023),0)</f>
        <v>#N/A</v>
      </c>
      <c r="AD128" s="104" t="e">
        <f t="shared" si="37"/>
        <v>#N/A</v>
      </c>
      <c r="AE128" s="104" t="e">
        <f t="shared" si="38"/>
        <v>#N/A</v>
      </c>
      <c r="AF128" s="104" t="e">
        <f>IF(AND(VLOOKUP($D128,Merchantability!$B:$C,2,0)="Yes",$E128&gt;=VLOOKUP($D128,Merchantability!$B:$D,3,0),$E128&lt;=VLOOKUP($D128,Merchantability!$B:$E,4,0)),AA128,0)</f>
        <v>#N/A</v>
      </c>
      <c r="AG128" s="104" t="e">
        <f>IF(AND(VLOOKUP($D128,Merchantability!$B:$C,2,0)="Yes",$E128&gt;=VLOOKUP($D128,Merchantability!$B:$D,3,0),$E128&lt;=VLOOKUP($D128,Merchantability!$B:$E,4,0)),AB128,0)</f>
        <v>#N/A</v>
      </c>
      <c r="AH128" s="104" t="e">
        <f>IF(AND(VLOOKUP($D128,Merchantability!$B:$C,2,0)="Yes",$E128&gt;=VLOOKUP($D128,Merchantability!$B:$D,3,0),$E128&lt;=VLOOKUP($D128,Merchantability!$B:$E,4,0)),AC128,0)</f>
        <v>#N/A</v>
      </c>
      <c r="AI128" s="104" t="e">
        <f t="shared" si="39"/>
        <v>#N/A</v>
      </c>
      <c r="AJ128" s="104" t="e">
        <f t="shared" si="40"/>
        <v>#VALUE!</v>
      </c>
      <c r="AK128" s="104" t="e">
        <f t="shared" si="41"/>
        <v>#N/A</v>
      </c>
      <c r="AL128" s="104" t="e">
        <f t="shared" si="42"/>
        <v>#N/A</v>
      </c>
      <c r="AM128" s="104" t="e">
        <f t="shared" si="43"/>
        <v>#N/A</v>
      </c>
      <c r="AN128" s="104" t="e">
        <f t="shared" si="44"/>
        <v>#N/A</v>
      </c>
      <c r="AO128" s="104" t="e">
        <f t="shared" si="45"/>
        <v>#N/A</v>
      </c>
      <c r="AP128" s="104" t="e">
        <f t="shared" si="46"/>
        <v>#N/A</v>
      </c>
      <c r="AQ128" s="104" t="e">
        <f t="shared" si="47"/>
        <v>#N/A</v>
      </c>
      <c r="AR128" s="105" t="str">
        <f t="shared" si="48"/>
        <v/>
      </c>
      <c r="AS128" s="105" t="str">
        <f t="shared" si="49"/>
        <v/>
      </c>
      <c r="AT128" s="108" t="str">
        <f t="shared" si="50"/>
        <v/>
      </c>
      <c r="AU128" s="108" t="str">
        <f t="shared" si="51"/>
        <v/>
      </c>
      <c r="AV128" s="107" t="str">
        <f>IF(ISNUMBER(O128),IF(VLOOKUP($A128,Stand!C:J,8,FALSE)="Short",AT128,AU128),"")</f>
        <v/>
      </c>
      <c r="AW128" s="109" t="str">
        <f t="shared" si="52"/>
        <v/>
      </c>
      <c r="AX128" s="109" t="str">
        <f t="shared" si="53"/>
        <v/>
      </c>
      <c r="AY128" s="112" t="str">
        <f>IF(ISNUMBER(O128),IF(AND(VLOOKUP($D128,Merchantability!$B:$C,2,0)="Yes",$E128&gt;=VLOOKUP($D128,Merchantability!$B:$D,3,0),$E128&lt;=VLOOKUP($D128,Merchantability!$B:$E,4,0)),(AV128*O128)*(1-$H128/100),""),"")</f>
        <v/>
      </c>
      <c r="AZ128" s="116"/>
      <c r="BA128" s="116"/>
      <c r="BB128" s="116"/>
      <c r="BE128" s="62"/>
      <c r="BF128" s="63"/>
    </row>
    <row r="129" spans="1:61" ht="12.75" customHeight="1" x14ac:dyDescent="0.25">
      <c r="A129" s="384"/>
      <c r="B129" s="380"/>
      <c r="C129" s="381"/>
      <c r="D129" s="380"/>
      <c r="E129" s="380"/>
      <c r="F129" s="331"/>
      <c r="G129" s="329"/>
      <c r="H129" s="329"/>
      <c r="I129" s="380"/>
      <c r="J129" s="381"/>
      <c r="K129" s="329"/>
      <c r="L129" s="329"/>
      <c r="M129" s="76"/>
      <c r="N129" s="103" t="str">
        <f>IF(A129="","",VLOOKUP(A129,Stand!C:K,9,0))</f>
        <v/>
      </c>
      <c r="O129" s="104" t="str">
        <f t="shared" si="27"/>
        <v/>
      </c>
      <c r="P129" s="105" t="str">
        <f t="shared" si="28"/>
        <v/>
      </c>
      <c r="Q129" s="105" t="str">
        <f t="shared" si="29"/>
        <v/>
      </c>
      <c r="R129" s="103" t="str">
        <f t="shared" si="30"/>
        <v/>
      </c>
      <c r="S129" s="103" t="str">
        <f t="shared" si="31"/>
        <v/>
      </c>
      <c r="T129" s="106" t="str">
        <f t="shared" si="32"/>
        <v/>
      </c>
      <c r="U129" s="106" t="str">
        <f t="shared" si="33"/>
        <v/>
      </c>
      <c r="V129" s="106" t="str">
        <f t="shared" si="34"/>
        <v/>
      </c>
      <c r="W129" s="105" t="str">
        <f t="shared" si="35"/>
        <v/>
      </c>
      <c r="X129" s="104" t="str">
        <f t="shared" si="36"/>
        <v/>
      </c>
      <c r="Y129" s="104" t="str">
        <f t="array" ref="Y129">IFERROR(IF(ISNUMBER(O129),IF(COUNT(IF(A129=$A$2:$A$2427,IF(D129=$D$2:$D$2427,IF($X$2:$X$2427&gt;0,1))))&gt;0,SUM(IF(A129=$A$2:$A$2427,IF(D129=$D$2:$D$2427,$X$2:$X$2427)))/COUNT(IF(A129=$A$2:$A$2427,IF(D129=$D$2:$D$2427,IF(ISNUMBER($X$2:$X$2427),1)))),0),""),0)</f>
        <v/>
      </c>
      <c r="Z129" s="104" t="str">
        <f>IF(ISNUMBER(O129),IF(I129&gt;0,(10^(VLOOKUP(D129,'Species Codes'!B:C,2,0)+VLOOKUP(D129,'Species Codes'!B:D,3,0)*LOG(E129)+VLOOKUP(D129,'Species Codes'!B:E,4,0)*LOG(I129))),0),"")</f>
        <v/>
      </c>
      <c r="AA129" s="303" t="str">
        <f>IFERROR((VLOOKUP(D129,'Species Codes'!B:G,6,0)*Z129)/2000,"")</f>
        <v/>
      </c>
      <c r="AB129" s="104" t="e">
        <f>IF(Z129&gt;0,((IF(OR(D129="DF",D129="RA")=TRUE,EXP(VLOOKUP(D129,'Species Codes'!B:I,8,0)+VLOOKUP(D129,'Species Codes'!B:J,9,0)*(LN((E129*2.54)))),IF(OR(D129="PY",D129="RC",D129="WH",D129="NF")=TRUE,VLOOKUP(D129,'Species Codes'!B:I,8,0)+VLOOKUP(D129,'Species Codes'!B:J,9,0)*((E129*2.54)^2)*(I129*0.3048),IF(OR(D129="MD",D129="BM",D129="GA")=TRUE,((VLOOKUP(D129,'Species Codes'!B:I,8,0)*(((((E129*2.54)+VLOOKUP(D129,'Species Codes'!B:J,9,0))/VLOOKUP(D129,'Species Codes'!B:K,10,0))^VLOOKUP(D129,'Species Codes'!B:L,11,0))*((I129*0.3048)^VLOOKUP(D129,'Species Codes'!B:M,12,0))))-(VLOOKUP(D129,'Species Codes'!B:I,8,0)*((((E129*2.54)^VLOOKUP(D129,'Species Codes'!B:L,11,0))*((I129*0.3048)^VLOOKUP(D129,'Species Codes'!B:M,12,0))))))*35.3*VLOOKUP(D129,'Species Codes'!B:G,6,0)/2.2046,VLOOKUP(D129,'Species Codes'!B:I,8,0)+VLOOKUP(D129,'Species Codes'!B:J,9,0)*(((E129*2.54)/100)^2)*(I129*0.3048)))))*0.0011023),0)</f>
        <v>#N/A</v>
      </c>
      <c r="AC129" s="104" t="e">
        <f>IF(Z129&gt;0,((IF(OR(D129="RA",D129="OA",D129="OT",D129="UN",D129="PC"),EXP(VLOOKUP(D129,'Species Codes'!B:O,14,0)+VLOOKUP(D129,'Species Codes'!B:P,15,0)*LN((E129*2.54)))-EXP(VLOOKUP(D129,'Species Codes'!B:O,14,0)+VLOOKUP(D129,'Species Codes'!B:P,15,0)*LN((E129*2.54)))*(1/(VLOOKUP(D129,'Species Codes'!B:Q,16,0)+VLOOKUP(D129,'Species Codes'!B:R,17,0)*((E129*2.54)^VLOOKUP(D129,'Species Codes'!B:S,18,0)))),IF(OR(D129="BM",D129="MD",D129="OA"),EXP(VLOOKUP(D129,'Species Codes'!B:O,14,0)+VLOOKUP(D129,'Species Codes'!B:P,15,0)*LN((E129*2.54)))*(1-(1/(VLOOKUP(D129,'Species Codes'!B:Q,16,0)+VLOOKUP(D129,'Species Codes'!B:R,17,0)*((E129*2.54)^VLOOKUP(D129,'Species Codes'!B:S,18,0)))))/1000,IF(D129="DF",EXP(VLOOKUP(D129,'Species Codes'!B:O,14,0)+VLOOKUP(D129,'Species Codes'!B:P,15,0)*LN((E129*2.54))),VLOOKUP(D129,'Species Codes'!B:O,14,0)+VLOOKUP(D129,'Species Codes'!B:P,15,0)*(((E129*2.54)/100)^2)*(I129*0.3048)))))*0.0011023),0)</f>
        <v>#N/A</v>
      </c>
      <c r="AD129" s="104" t="e">
        <f t="shared" si="37"/>
        <v>#N/A</v>
      </c>
      <c r="AE129" s="104" t="e">
        <f t="shared" si="38"/>
        <v>#N/A</v>
      </c>
      <c r="AF129" s="104" t="e">
        <f>IF(AND(VLOOKUP($D129,Merchantability!$B:$C,2,0)="Yes",$E129&gt;=VLOOKUP($D129,Merchantability!$B:$D,3,0),$E129&lt;=VLOOKUP($D129,Merchantability!$B:$E,4,0)),AA129,0)</f>
        <v>#N/A</v>
      </c>
      <c r="AG129" s="104" t="e">
        <f>IF(AND(VLOOKUP($D129,Merchantability!$B:$C,2,0)="Yes",$E129&gt;=VLOOKUP($D129,Merchantability!$B:$D,3,0),$E129&lt;=VLOOKUP($D129,Merchantability!$B:$E,4,0)),AB129,0)</f>
        <v>#N/A</v>
      </c>
      <c r="AH129" s="104" t="e">
        <f>IF(AND(VLOOKUP($D129,Merchantability!$B:$C,2,0)="Yes",$E129&gt;=VLOOKUP($D129,Merchantability!$B:$D,3,0),$E129&lt;=VLOOKUP($D129,Merchantability!$B:$E,4,0)),AC129,0)</f>
        <v>#N/A</v>
      </c>
      <c r="AI129" s="104" t="e">
        <f t="shared" si="39"/>
        <v>#N/A</v>
      </c>
      <c r="AJ129" s="104" t="e">
        <f t="shared" si="40"/>
        <v>#VALUE!</v>
      </c>
      <c r="AK129" s="104" t="e">
        <f t="shared" si="41"/>
        <v>#N/A</v>
      </c>
      <c r="AL129" s="104" t="e">
        <f t="shared" si="42"/>
        <v>#N/A</v>
      </c>
      <c r="AM129" s="104" t="e">
        <f t="shared" si="43"/>
        <v>#N/A</v>
      </c>
      <c r="AN129" s="104" t="e">
        <f t="shared" si="44"/>
        <v>#N/A</v>
      </c>
      <c r="AO129" s="104" t="e">
        <f t="shared" si="45"/>
        <v>#N/A</v>
      </c>
      <c r="AP129" s="104" t="e">
        <f t="shared" si="46"/>
        <v>#N/A</v>
      </c>
      <c r="AQ129" s="104" t="e">
        <f t="shared" si="47"/>
        <v>#N/A</v>
      </c>
      <c r="AR129" s="105" t="str">
        <f t="shared" si="48"/>
        <v/>
      </c>
      <c r="AS129" s="105" t="str">
        <f t="shared" si="49"/>
        <v/>
      </c>
      <c r="AT129" s="107" t="str">
        <f t="shared" si="50"/>
        <v/>
      </c>
      <c r="AU129" s="108" t="str">
        <f t="shared" si="51"/>
        <v/>
      </c>
      <c r="AV129" s="107" t="str">
        <f>IF(ISNUMBER(O129),IF(VLOOKUP($A129,Stand!C:J,8,FALSE)="Short",AT129,AU129),"")</f>
        <v/>
      </c>
      <c r="AW129" s="109" t="str">
        <f t="shared" si="52"/>
        <v/>
      </c>
      <c r="AX129" s="109" t="str">
        <f t="shared" si="53"/>
        <v/>
      </c>
      <c r="AY129" s="112" t="str">
        <f>IF(ISNUMBER(O129),IF(AND(VLOOKUP($D129,Merchantability!$B:$C,2,0)="Yes",$E129&gt;=VLOOKUP($D129,Merchantability!$B:$D,3,0),$E129&lt;=VLOOKUP($D129,Merchantability!$B:$E,4,0)),(AV129*O129)*(1-$H129/100),""),"")</f>
        <v/>
      </c>
      <c r="AZ129" s="115"/>
      <c r="BA129" s="61"/>
      <c r="BB129" s="61"/>
      <c r="BC129" s="61"/>
      <c r="BE129" s="61"/>
      <c r="BF129" s="63"/>
      <c r="BG129" s="29"/>
    </row>
    <row r="130" spans="1:61" ht="12.75" customHeight="1" x14ac:dyDescent="0.25">
      <c r="A130" s="384"/>
      <c r="B130" s="380"/>
      <c r="C130" s="381"/>
      <c r="D130" s="380"/>
      <c r="E130" s="380"/>
      <c r="F130" s="331"/>
      <c r="G130" s="329"/>
      <c r="H130" s="329"/>
      <c r="I130" s="380"/>
      <c r="J130" s="381"/>
      <c r="K130" s="329"/>
      <c r="L130" s="329"/>
      <c r="M130" s="76"/>
      <c r="N130" s="103" t="str">
        <f>IF(A130="","",VLOOKUP(A130,Stand!C:K,9,0))</f>
        <v/>
      </c>
      <c r="O130" s="104" t="str">
        <f t="shared" ref="O130:O193" si="54">IF(E130&gt;0,IF(G130&gt;1,G130*(43560/(N130^2*3.14)),43560/(N130^2*3.14)),"")</f>
        <v/>
      </c>
      <c r="P130" s="105" t="str">
        <f t="shared" ref="P130:P193" si="55">IF(ISNUMBER(O130),E130*O130,"")</f>
        <v/>
      </c>
      <c r="Q130" s="105" t="str">
        <f t="shared" ref="Q130:Q193" si="56">IF(AND(ISNUMBER(O130),I130&gt;0),I130*O130,"")</f>
        <v/>
      </c>
      <c r="R130" s="103" t="str">
        <f t="shared" ref="R130:R193" si="57">IF(ISNUMBER(O130),E130^2*0.005454*O130,"")</f>
        <v/>
      </c>
      <c r="S130" s="103" t="str">
        <f t="shared" ref="S130:S193" si="58">IF(ISNUMBER(O130),(E130/10)^1.7*O130,"")</f>
        <v/>
      </c>
      <c r="T130" s="106" t="str">
        <f t="shared" ref="T130:T193" si="59">IF(AND(ISNUMBER(O130),J130&gt;0),J130/100,"")</f>
        <v/>
      </c>
      <c r="U130" s="106" t="str">
        <f t="shared" ref="U130:U193" si="60">IF(AND(ISNUMBER(O130),J130&gt;0),T130*O130,"")</f>
        <v/>
      </c>
      <c r="V130" s="106" t="str">
        <f t="shared" ref="V130:V193" si="61">IF(AND(ISNUMBER(O130),I130&gt;0),W130*O130,"")</f>
        <v/>
      </c>
      <c r="W130" s="105" t="str">
        <f t="shared" ref="W130:W193" si="62">IF(AND(ISNUMBER(O130),I130&gt;0),I130/(E130/12),"")</f>
        <v/>
      </c>
      <c r="X130" s="104" t="str">
        <f t="shared" ref="X130:X193" si="63">IF(ISNUMBER(O130),IF(I130&gt;0,IF(E130&gt;0,(0.912733*Z130)/(1.033*(1+1.382937*EXP(-4.015292*E130/10))*((E130^2)*0.005454+0.087266)-0.174533),""),""),"")</f>
        <v/>
      </c>
      <c r="Y130" s="104" t="str">
        <f t="array" ref="Y130">IFERROR(IF(ISNUMBER(O130),IF(COUNT(IF(A130=$A$2:$A$2427,IF(D130=$D$2:$D$2427,IF($X$2:$X$2427&gt;0,1))))&gt;0,SUM(IF(A130=$A$2:$A$2427,IF(D130=$D$2:$D$2427,$X$2:$X$2427)))/COUNT(IF(A130=$A$2:$A$2427,IF(D130=$D$2:$D$2427,IF(ISNUMBER($X$2:$X$2427),1)))),0),""),0)</f>
        <v/>
      </c>
      <c r="Z130" s="104" t="str">
        <f>IF(ISNUMBER(O130),IF(I130&gt;0,(10^(VLOOKUP(D130,'Species Codes'!B:C,2,0)+VLOOKUP(D130,'Species Codes'!B:D,3,0)*LOG(E130)+VLOOKUP(D130,'Species Codes'!B:E,4,0)*LOG(I130))),0),"")</f>
        <v/>
      </c>
      <c r="AA130" s="104" t="str">
        <f>IFERROR((VLOOKUP(D130,'Species Codes'!B:G,6,0)*Z130)/2000,"")</f>
        <v/>
      </c>
      <c r="AB130" s="104" t="e">
        <f>IF(Z130&gt;0,((IF(OR(D130="DF",D130="RA")=TRUE,EXP(VLOOKUP(D130,'Species Codes'!B:I,8,0)+VLOOKUP(D130,'Species Codes'!B:J,9,0)*(LN((E130*2.54)))),IF(OR(D130="PY",D130="RC",D130="WH",D130="NF")=TRUE,VLOOKUP(D130,'Species Codes'!B:I,8,0)+VLOOKUP(D130,'Species Codes'!B:J,9,0)*((E130*2.54)^2)*(I130*0.3048),IF(OR(D130="MD",D130="BM",D130="GA")=TRUE,((VLOOKUP(D130,'Species Codes'!B:I,8,0)*(((((E130*2.54)+VLOOKUP(D130,'Species Codes'!B:J,9,0))/VLOOKUP(D130,'Species Codes'!B:K,10,0))^VLOOKUP(D130,'Species Codes'!B:L,11,0))*((I130*0.3048)^VLOOKUP(D130,'Species Codes'!B:M,12,0))))-(VLOOKUP(D130,'Species Codes'!B:I,8,0)*((((E130*2.54)^VLOOKUP(D130,'Species Codes'!B:L,11,0))*((I130*0.3048)^VLOOKUP(D130,'Species Codes'!B:M,12,0))))))*35.3*VLOOKUP(D130,'Species Codes'!B:G,6,0)/2.2046,VLOOKUP(D130,'Species Codes'!B:I,8,0)+VLOOKUP(D130,'Species Codes'!B:J,9,0)*(((E130*2.54)/100)^2)*(I130*0.3048)))))*0.0011023),0)</f>
        <v>#N/A</v>
      </c>
      <c r="AC130" s="104" t="e">
        <f>IF(Z130&gt;0,((IF(OR(D130="RA",D130="OA",D130="OT",D130="UN",D130="PC"),EXP(VLOOKUP(D130,'Species Codes'!B:O,14,0)+VLOOKUP(D130,'Species Codes'!B:P,15,0)*LN((E130*2.54)))-EXP(VLOOKUP(D130,'Species Codes'!B:O,14,0)+VLOOKUP(D130,'Species Codes'!B:P,15,0)*LN((E130*2.54)))*(1/(VLOOKUP(D130,'Species Codes'!B:Q,16,0)+VLOOKUP(D130,'Species Codes'!B:R,17,0)*((E130*2.54)^VLOOKUP(D130,'Species Codes'!B:S,18,0)))),IF(OR(D130="BM",D130="MD",D130="OA"),EXP(VLOOKUP(D130,'Species Codes'!B:O,14,0)+VLOOKUP(D130,'Species Codes'!B:P,15,0)*LN((E130*2.54)))*(1-(1/(VLOOKUP(D130,'Species Codes'!B:Q,16,0)+VLOOKUP(D130,'Species Codes'!B:R,17,0)*((E130*2.54)^VLOOKUP(D130,'Species Codes'!B:S,18,0)))))/1000,IF(D130="DF",EXP(VLOOKUP(D130,'Species Codes'!B:O,14,0)+VLOOKUP(D130,'Species Codes'!B:P,15,0)*LN((E130*2.54))),VLOOKUP(D130,'Species Codes'!B:O,14,0)+VLOOKUP(D130,'Species Codes'!B:P,15,0)*(((E130*2.54)/100)^2)*(I130*0.3048)))))*0.0011023),0)</f>
        <v>#N/A</v>
      </c>
      <c r="AD130" s="104" t="e">
        <f t="shared" ref="AD130:AD193" si="64">SUM(AA130:AC130)</f>
        <v>#N/A</v>
      </c>
      <c r="AE130" s="104" t="e">
        <f t="shared" ref="AE130:AE193" si="65">AD130*O130</f>
        <v>#N/A</v>
      </c>
      <c r="AF130" s="104" t="e">
        <f>IF(AND(VLOOKUP($D130,Merchantability!$B:$C,2,0)="Yes",$E130&gt;=VLOOKUP($D130,Merchantability!$B:$D,3,0),$E130&lt;=VLOOKUP($D130,Merchantability!$B:$E,4,0)),AA130,0)</f>
        <v>#N/A</v>
      </c>
      <c r="AG130" s="104" t="e">
        <f>IF(AND(VLOOKUP($D130,Merchantability!$B:$C,2,0)="Yes",$E130&gt;=VLOOKUP($D130,Merchantability!$B:$D,3,0),$E130&lt;=VLOOKUP($D130,Merchantability!$B:$E,4,0)),AB130,0)</f>
        <v>#N/A</v>
      </c>
      <c r="AH130" s="104" t="e">
        <f>IF(AND(VLOOKUP($D130,Merchantability!$B:$C,2,0)="Yes",$E130&gt;=VLOOKUP($D130,Merchantability!$B:$D,3,0),$E130&lt;=VLOOKUP($D130,Merchantability!$B:$E,4,0)),AC130,0)</f>
        <v>#N/A</v>
      </c>
      <c r="AI130" s="104" t="e">
        <f t="shared" ref="AI130:AI193" si="66">SUM(AF130:AH130)</f>
        <v>#N/A</v>
      </c>
      <c r="AJ130" s="104" t="e">
        <f t="shared" ref="AJ130:AJ193" si="67">AA130*$O130</f>
        <v>#VALUE!</v>
      </c>
      <c r="AK130" s="104" t="e">
        <f t="shared" ref="AK130:AK193" si="68">AB130*$O130</f>
        <v>#N/A</v>
      </c>
      <c r="AL130" s="104" t="e">
        <f t="shared" ref="AL130:AL193" si="69">AC130*$O130</f>
        <v>#N/A</v>
      </c>
      <c r="AM130" s="104" t="e">
        <f t="shared" ref="AM130:AM193" si="70">AD130*$O130</f>
        <v>#N/A</v>
      </c>
      <c r="AN130" s="104" t="e">
        <f t="shared" ref="AN130:AN193" si="71">AF130*$O130</f>
        <v>#N/A</v>
      </c>
      <c r="AO130" s="104" t="e">
        <f t="shared" ref="AO130:AO193" si="72">AG130*$O130</f>
        <v>#N/A</v>
      </c>
      <c r="AP130" s="104" t="e">
        <f t="shared" ref="AP130:AP193" si="73">AH130*$O130</f>
        <v>#N/A</v>
      </c>
      <c r="AQ130" s="104" t="e">
        <f t="shared" ref="AQ130:AQ193" si="74">SUM(AN130:AP130)</f>
        <v>#N/A</v>
      </c>
      <c r="AR130" s="105" t="str">
        <f t="shared" ref="AR130:AR193" si="75">IF(ISNUMBER(O130),IF(Y130&gt;0,((Y130*(E130^2*0.005454-0.087266))/0.912733),0),"")</f>
        <v/>
      </c>
      <c r="AS130" s="105" t="str">
        <f t="shared" ref="AS130:AS193" si="76">IF(ISNUMBER(O130),AR130*(0.993-0.993*(0.62^(E130-6))),"")</f>
        <v/>
      </c>
      <c r="AT130" s="108" t="str">
        <f t="shared" ref="AT130:AT193" si="77">IF(ISNUMBER(O130),IF(AS130&gt;0,IF(Y130&gt;0,(AS130*10^(0.174439+0.117594*(LOG(E130,10))*(LOG(Y130/0.912733,10))-8.210585/E130^2+0.236693*(LOG(Y130/0.912733,10))-0.00001345*(Y130/0.912733)^2-0.00001937*E130^2)),0),0),"")</f>
        <v/>
      </c>
      <c r="AU130" s="108" t="str">
        <f t="shared" ref="AU130:AU193" si="78">IF(ISNUMBER(O130),IF(AS130&gt;0,IF(Y130&gt;0,AT130*(1.001491-(6.92497/Y130)+(0.00001351*(E130^2))),0),0),"")</f>
        <v/>
      </c>
      <c r="AV130" s="107" t="str">
        <f>IF(ISNUMBER(O130),IF(VLOOKUP($A130,Stand!C:J,8,FALSE)="Short",AT130,AU130),"")</f>
        <v/>
      </c>
      <c r="AW130" s="109" t="str">
        <f t="shared" ref="AW130:AW193" si="79">IF(ISNUMBER(O130),AV130*O130,"")</f>
        <v/>
      </c>
      <c r="AX130" s="109" t="str">
        <f t="shared" ref="AX130:AX193" si="80">IF(ISNUMBER(O130),AW130*(1-$H130/100),"")</f>
        <v/>
      </c>
      <c r="AY130" s="112" t="str">
        <f>IF(ISNUMBER(O130),IF(AND(VLOOKUP($D130,Merchantability!$B:$C,2,0)="Yes",$E130&gt;=VLOOKUP($D130,Merchantability!$B:$D,3,0),$E130&lt;=VLOOKUP($D130,Merchantability!$B:$E,4,0)),(AV130*O130)*(1-$H130/100),""),"")</f>
        <v/>
      </c>
      <c r="AZ130" s="115"/>
      <c r="BA130" s="61"/>
      <c r="BB130" s="61"/>
      <c r="BC130" s="61"/>
      <c r="BE130" s="61"/>
      <c r="BF130" s="63"/>
      <c r="BI130" s="37"/>
    </row>
    <row r="131" spans="1:61" ht="12.75" customHeight="1" x14ac:dyDescent="0.25">
      <c r="A131" s="384"/>
      <c r="B131" s="380"/>
      <c r="C131" s="381"/>
      <c r="D131" s="380"/>
      <c r="E131" s="380"/>
      <c r="F131" s="331"/>
      <c r="G131" s="329"/>
      <c r="H131" s="329"/>
      <c r="I131" s="380"/>
      <c r="J131" s="381"/>
      <c r="K131" s="329"/>
      <c r="L131" s="329"/>
      <c r="M131" s="76"/>
      <c r="N131" s="103" t="str">
        <f>IF(A131="","",VLOOKUP(A131,Stand!C:K,9,0))</f>
        <v/>
      </c>
      <c r="O131" s="104" t="str">
        <f t="shared" si="54"/>
        <v/>
      </c>
      <c r="P131" s="105" t="str">
        <f t="shared" si="55"/>
        <v/>
      </c>
      <c r="Q131" s="105" t="str">
        <f t="shared" si="56"/>
        <v/>
      </c>
      <c r="R131" s="103" t="str">
        <f t="shared" si="57"/>
        <v/>
      </c>
      <c r="S131" s="103" t="str">
        <f t="shared" si="58"/>
        <v/>
      </c>
      <c r="T131" s="106" t="str">
        <f t="shared" si="59"/>
        <v/>
      </c>
      <c r="U131" s="106" t="str">
        <f t="shared" si="60"/>
        <v/>
      </c>
      <c r="V131" s="106" t="str">
        <f t="shared" si="61"/>
        <v/>
      </c>
      <c r="W131" s="105" t="str">
        <f t="shared" si="62"/>
        <v/>
      </c>
      <c r="X131" s="104" t="str">
        <f t="shared" si="63"/>
        <v/>
      </c>
      <c r="Y131" s="104" t="str">
        <f t="array" ref="Y131">IFERROR(IF(ISNUMBER(O131),IF(COUNT(IF(A131=$A$2:$A$2427,IF(D131=$D$2:$D$2427,IF($X$2:$X$2427&gt;0,1))))&gt;0,SUM(IF(A131=$A$2:$A$2427,IF(D131=$D$2:$D$2427,$X$2:$X$2427)))/COUNT(IF(A131=$A$2:$A$2427,IF(D131=$D$2:$D$2427,IF(ISNUMBER($X$2:$X$2427),1)))),0),""),0)</f>
        <v/>
      </c>
      <c r="Z131" s="104" t="str">
        <f>IF(ISNUMBER(O131),IF(I131&gt;0,(10^(VLOOKUP(D131,'Species Codes'!B:C,2,0)+VLOOKUP(D131,'Species Codes'!B:D,3,0)*LOG(E131)+VLOOKUP(D131,'Species Codes'!B:E,4,0)*LOG(I131))),0),"")</f>
        <v/>
      </c>
      <c r="AA131" s="104" t="str">
        <f>IFERROR((VLOOKUP(D131,'Species Codes'!B:G,6,0)*Z131)/2000,"")</f>
        <v/>
      </c>
      <c r="AB131" s="104" t="e">
        <f>IF(Z131&gt;0,((IF(OR(D131="DF",D131="RA")=TRUE,EXP(VLOOKUP(D131,'Species Codes'!B:I,8,0)+VLOOKUP(D131,'Species Codes'!B:J,9,0)*(LN((E131*2.54)))),IF(OR(D131="PY",D131="RC",D131="WH",D131="NF")=TRUE,VLOOKUP(D131,'Species Codes'!B:I,8,0)+VLOOKUP(D131,'Species Codes'!B:J,9,0)*((E131*2.54)^2)*(I131*0.3048),IF(OR(D131="MD",D131="BM",D131="GA")=TRUE,((VLOOKUP(D131,'Species Codes'!B:I,8,0)*(((((E131*2.54)+VLOOKUP(D131,'Species Codes'!B:J,9,0))/VLOOKUP(D131,'Species Codes'!B:K,10,0))^VLOOKUP(D131,'Species Codes'!B:L,11,0))*((I131*0.3048)^VLOOKUP(D131,'Species Codes'!B:M,12,0))))-(VLOOKUP(D131,'Species Codes'!B:I,8,0)*((((E131*2.54)^VLOOKUP(D131,'Species Codes'!B:L,11,0))*((I131*0.3048)^VLOOKUP(D131,'Species Codes'!B:M,12,0))))))*35.3*VLOOKUP(D131,'Species Codes'!B:G,6,0)/2.2046,VLOOKUP(D131,'Species Codes'!B:I,8,0)+VLOOKUP(D131,'Species Codes'!B:J,9,0)*(((E131*2.54)/100)^2)*(I131*0.3048)))))*0.0011023),0)</f>
        <v>#N/A</v>
      </c>
      <c r="AC131" s="104" t="e">
        <f>IF(Z131&gt;0,((IF(OR(D131="RA",D131="OA",D131="OT",D131="UN",D131="PC"),EXP(VLOOKUP(D131,'Species Codes'!B:O,14,0)+VLOOKUP(D131,'Species Codes'!B:P,15,0)*LN((E131*2.54)))-EXP(VLOOKUP(D131,'Species Codes'!B:O,14,0)+VLOOKUP(D131,'Species Codes'!B:P,15,0)*LN((E131*2.54)))*(1/(VLOOKUP(D131,'Species Codes'!B:Q,16,0)+VLOOKUP(D131,'Species Codes'!B:R,17,0)*((E131*2.54)^VLOOKUP(D131,'Species Codes'!B:S,18,0)))),IF(OR(D131="BM",D131="MD",D131="OA"),EXP(VLOOKUP(D131,'Species Codes'!B:O,14,0)+VLOOKUP(D131,'Species Codes'!B:P,15,0)*LN((E131*2.54)))*(1-(1/(VLOOKUP(D131,'Species Codes'!B:Q,16,0)+VLOOKUP(D131,'Species Codes'!B:R,17,0)*((E131*2.54)^VLOOKUP(D131,'Species Codes'!B:S,18,0)))))/1000,IF(D131="DF",EXP(VLOOKUP(D131,'Species Codes'!B:O,14,0)+VLOOKUP(D131,'Species Codes'!B:P,15,0)*LN((E131*2.54))),VLOOKUP(D131,'Species Codes'!B:O,14,0)+VLOOKUP(D131,'Species Codes'!B:P,15,0)*(((E131*2.54)/100)^2)*(I131*0.3048)))))*0.0011023),0)</f>
        <v>#N/A</v>
      </c>
      <c r="AD131" s="104" t="e">
        <f t="shared" si="64"/>
        <v>#N/A</v>
      </c>
      <c r="AE131" s="104" t="e">
        <f t="shared" si="65"/>
        <v>#N/A</v>
      </c>
      <c r="AF131" s="104" t="e">
        <f>IF(AND(VLOOKUP($D131,Merchantability!$B:$C,2,0)="Yes",$E131&gt;=VLOOKUP($D131,Merchantability!$B:$D,3,0),$E131&lt;=VLOOKUP($D131,Merchantability!$B:$E,4,0)),AA131,0)</f>
        <v>#N/A</v>
      </c>
      <c r="AG131" s="104" t="e">
        <f>IF(AND(VLOOKUP($D131,Merchantability!$B:$C,2,0)="Yes",$E131&gt;=VLOOKUP($D131,Merchantability!$B:$D,3,0),$E131&lt;=VLOOKUP($D131,Merchantability!$B:$E,4,0)),AB131,0)</f>
        <v>#N/A</v>
      </c>
      <c r="AH131" s="104" t="e">
        <f>IF(AND(VLOOKUP($D131,Merchantability!$B:$C,2,0)="Yes",$E131&gt;=VLOOKUP($D131,Merchantability!$B:$D,3,0),$E131&lt;=VLOOKUP($D131,Merchantability!$B:$E,4,0)),AC131,0)</f>
        <v>#N/A</v>
      </c>
      <c r="AI131" s="104" t="e">
        <f t="shared" si="66"/>
        <v>#N/A</v>
      </c>
      <c r="AJ131" s="104" t="e">
        <f t="shared" si="67"/>
        <v>#VALUE!</v>
      </c>
      <c r="AK131" s="104" t="e">
        <f t="shared" si="68"/>
        <v>#N/A</v>
      </c>
      <c r="AL131" s="104" t="e">
        <f t="shared" si="69"/>
        <v>#N/A</v>
      </c>
      <c r="AM131" s="104" t="e">
        <f t="shared" si="70"/>
        <v>#N/A</v>
      </c>
      <c r="AN131" s="104" t="e">
        <f t="shared" si="71"/>
        <v>#N/A</v>
      </c>
      <c r="AO131" s="104" t="e">
        <f t="shared" si="72"/>
        <v>#N/A</v>
      </c>
      <c r="AP131" s="104" t="e">
        <f t="shared" si="73"/>
        <v>#N/A</v>
      </c>
      <c r="AQ131" s="104" t="e">
        <f t="shared" si="74"/>
        <v>#N/A</v>
      </c>
      <c r="AR131" s="105" t="str">
        <f t="shared" si="75"/>
        <v/>
      </c>
      <c r="AS131" s="105" t="str">
        <f t="shared" si="76"/>
        <v/>
      </c>
      <c r="AT131" s="108" t="str">
        <f t="shared" si="77"/>
        <v/>
      </c>
      <c r="AU131" s="108" t="str">
        <f t="shared" si="78"/>
        <v/>
      </c>
      <c r="AV131" s="107" t="str">
        <f>IF(ISNUMBER(O131),IF(VLOOKUP($A131,Stand!C:J,8,FALSE)="Short",AT131,AU131),"")</f>
        <v/>
      </c>
      <c r="AW131" s="109" t="str">
        <f t="shared" si="79"/>
        <v/>
      </c>
      <c r="AX131" s="109" t="str">
        <f t="shared" si="80"/>
        <v/>
      </c>
      <c r="AY131" s="112" t="str">
        <f>IF(ISNUMBER(O131),IF(AND(VLOOKUP($D131,Merchantability!$B:$C,2,0)="Yes",$E131&gt;=VLOOKUP($D131,Merchantability!$B:$D,3,0),$E131&lt;=VLOOKUP($D131,Merchantability!$B:$E,4,0)),(AV131*O131)*(1-$H131/100),""),"")</f>
        <v/>
      </c>
      <c r="AZ131" s="115"/>
      <c r="BA131" s="61"/>
      <c r="BB131" s="61"/>
      <c r="BC131" s="61"/>
      <c r="BE131" s="61"/>
      <c r="BF131" s="63"/>
    </row>
    <row r="132" spans="1:61" ht="12.75" customHeight="1" x14ac:dyDescent="0.25">
      <c r="A132" s="384"/>
      <c r="B132" s="380"/>
      <c r="C132" s="381"/>
      <c r="D132" s="380"/>
      <c r="E132" s="380"/>
      <c r="F132" s="331"/>
      <c r="G132" s="329"/>
      <c r="H132" s="329"/>
      <c r="I132" s="380"/>
      <c r="J132" s="381"/>
      <c r="K132" s="329"/>
      <c r="L132" s="329"/>
      <c r="M132" s="76"/>
      <c r="N132" s="103" t="str">
        <f>IF(A132="","",VLOOKUP(A132,Stand!C:K,9,0))</f>
        <v/>
      </c>
      <c r="O132" s="104" t="str">
        <f t="shared" si="54"/>
        <v/>
      </c>
      <c r="P132" s="105" t="str">
        <f t="shared" si="55"/>
        <v/>
      </c>
      <c r="Q132" s="105" t="str">
        <f t="shared" si="56"/>
        <v/>
      </c>
      <c r="R132" s="103" t="str">
        <f t="shared" si="57"/>
        <v/>
      </c>
      <c r="S132" s="103" t="str">
        <f t="shared" si="58"/>
        <v/>
      </c>
      <c r="T132" s="106" t="str">
        <f t="shared" si="59"/>
        <v/>
      </c>
      <c r="U132" s="106" t="str">
        <f t="shared" si="60"/>
        <v/>
      </c>
      <c r="V132" s="106" t="str">
        <f t="shared" si="61"/>
        <v/>
      </c>
      <c r="W132" s="105" t="str">
        <f t="shared" si="62"/>
        <v/>
      </c>
      <c r="X132" s="104" t="str">
        <f t="shared" si="63"/>
        <v/>
      </c>
      <c r="Y132" s="104" t="str">
        <f t="array" ref="Y132">IFERROR(IF(ISNUMBER(O132),IF(COUNT(IF(A132=$A$2:$A$2427,IF(D132=$D$2:$D$2427,IF($X$2:$X$2427&gt;0,1))))&gt;0,SUM(IF(A132=$A$2:$A$2427,IF(D132=$D$2:$D$2427,$X$2:$X$2427)))/COUNT(IF(A132=$A$2:$A$2427,IF(D132=$D$2:$D$2427,IF(ISNUMBER($X$2:$X$2427),1)))),0),""),0)</f>
        <v/>
      </c>
      <c r="Z132" s="104" t="str">
        <f>IF(ISNUMBER(O132),IF(I132&gt;0,(10^(VLOOKUP(D132,'Species Codes'!B:C,2,0)+VLOOKUP(D132,'Species Codes'!B:D,3,0)*LOG(E132)+VLOOKUP(D132,'Species Codes'!B:E,4,0)*LOG(I132))),0),"")</f>
        <v/>
      </c>
      <c r="AA132" s="104" t="str">
        <f>IFERROR((VLOOKUP(D132,'Species Codes'!B:G,6,0)*Z132)/2000,"")</f>
        <v/>
      </c>
      <c r="AB132" s="104" t="e">
        <f>IF(Z132&gt;0,((IF(OR(D132="DF",D132="RA")=TRUE,EXP(VLOOKUP(D132,'Species Codes'!B:I,8,0)+VLOOKUP(D132,'Species Codes'!B:J,9,0)*(LN((E132*2.54)))),IF(OR(D132="PY",D132="RC",D132="WH",D132="NF")=TRUE,VLOOKUP(D132,'Species Codes'!B:I,8,0)+VLOOKUP(D132,'Species Codes'!B:J,9,0)*((E132*2.54)^2)*(I132*0.3048),IF(OR(D132="MD",D132="BM",D132="GA")=TRUE,((VLOOKUP(D132,'Species Codes'!B:I,8,0)*(((((E132*2.54)+VLOOKUP(D132,'Species Codes'!B:J,9,0))/VLOOKUP(D132,'Species Codes'!B:K,10,0))^VLOOKUP(D132,'Species Codes'!B:L,11,0))*((I132*0.3048)^VLOOKUP(D132,'Species Codes'!B:M,12,0))))-(VLOOKUP(D132,'Species Codes'!B:I,8,0)*((((E132*2.54)^VLOOKUP(D132,'Species Codes'!B:L,11,0))*((I132*0.3048)^VLOOKUP(D132,'Species Codes'!B:M,12,0))))))*35.3*VLOOKUP(D132,'Species Codes'!B:G,6,0)/2.2046,VLOOKUP(D132,'Species Codes'!B:I,8,0)+VLOOKUP(D132,'Species Codes'!B:J,9,0)*(((E132*2.54)/100)^2)*(I132*0.3048)))))*0.0011023),0)</f>
        <v>#N/A</v>
      </c>
      <c r="AC132" s="104" t="e">
        <f>IF(Z132&gt;0,((IF(OR(D132="RA",D132="OA",D132="OT",D132="UN",D132="PC"),EXP(VLOOKUP(D132,'Species Codes'!B:O,14,0)+VLOOKUP(D132,'Species Codes'!B:P,15,0)*LN((E132*2.54)))-EXP(VLOOKUP(D132,'Species Codes'!B:O,14,0)+VLOOKUP(D132,'Species Codes'!B:P,15,0)*LN((E132*2.54)))*(1/(VLOOKUP(D132,'Species Codes'!B:Q,16,0)+VLOOKUP(D132,'Species Codes'!B:R,17,0)*((E132*2.54)^VLOOKUP(D132,'Species Codes'!B:S,18,0)))),IF(OR(D132="BM",D132="MD",D132="OA"),EXP(VLOOKUP(D132,'Species Codes'!B:O,14,0)+VLOOKUP(D132,'Species Codes'!B:P,15,0)*LN((E132*2.54)))*(1-(1/(VLOOKUP(D132,'Species Codes'!B:Q,16,0)+VLOOKUP(D132,'Species Codes'!B:R,17,0)*((E132*2.54)^VLOOKUP(D132,'Species Codes'!B:S,18,0)))))/1000,IF(D132="DF",EXP(VLOOKUP(D132,'Species Codes'!B:O,14,0)+VLOOKUP(D132,'Species Codes'!B:P,15,0)*LN((E132*2.54))),VLOOKUP(D132,'Species Codes'!B:O,14,0)+VLOOKUP(D132,'Species Codes'!B:P,15,0)*(((E132*2.54)/100)^2)*(I132*0.3048)))))*0.0011023),0)</f>
        <v>#N/A</v>
      </c>
      <c r="AD132" s="104" t="e">
        <f t="shared" si="64"/>
        <v>#N/A</v>
      </c>
      <c r="AE132" s="104" t="e">
        <f t="shared" si="65"/>
        <v>#N/A</v>
      </c>
      <c r="AF132" s="104" t="e">
        <f>IF(AND(VLOOKUP($D132,Merchantability!$B:$C,2,0)="Yes",$E132&gt;=VLOOKUP($D132,Merchantability!$B:$D,3,0),$E132&lt;=VLOOKUP($D132,Merchantability!$B:$E,4,0)),AA132,0)</f>
        <v>#N/A</v>
      </c>
      <c r="AG132" s="104" t="e">
        <f>IF(AND(VLOOKUP($D132,Merchantability!$B:$C,2,0)="Yes",$E132&gt;=VLOOKUP($D132,Merchantability!$B:$D,3,0),$E132&lt;=VLOOKUP($D132,Merchantability!$B:$E,4,0)),AB132,0)</f>
        <v>#N/A</v>
      </c>
      <c r="AH132" s="104" t="e">
        <f>IF(AND(VLOOKUP($D132,Merchantability!$B:$C,2,0)="Yes",$E132&gt;=VLOOKUP($D132,Merchantability!$B:$D,3,0),$E132&lt;=VLOOKUP($D132,Merchantability!$B:$E,4,0)),AC132,0)</f>
        <v>#N/A</v>
      </c>
      <c r="AI132" s="104" t="e">
        <f t="shared" si="66"/>
        <v>#N/A</v>
      </c>
      <c r="AJ132" s="104" t="e">
        <f t="shared" si="67"/>
        <v>#VALUE!</v>
      </c>
      <c r="AK132" s="104" t="e">
        <f t="shared" si="68"/>
        <v>#N/A</v>
      </c>
      <c r="AL132" s="104" t="e">
        <f t="shared" si="69"/>
        <v>#N/A</v>
      </c>
      <c r="AM132" s="104" t="e">
        <f t="shared" si="70"/>
        <v>#N/A</v>
      </c>
      <c r="AN132" s="104" t="e">
        <f t="shared" si="71"/>
        <v>#N/A</v>
      </c>
      <c r="AO132" s="104" t="e">
        <f t="shared" si="72"/>
        <v>#N/A</v>
      </c>
      <c r="AP132" s="104" t="e">
        <f t="shared" si="73"/>
        <v>#N/A</v>
      </c>
      <c r="AQ132" s="104" t="e">
        <f t="shared" si="74"/>
        <v>#N/A</v>
      </c>
      <c r="AR132" s="105" t="str">
        <f t="shared" si="75"/>
        <v/>
      </c>
      <c r="AS132" s="105" t="str">
        <f t="shared" si="76"/>
        <v/>
      </c>
      <c r="AT132" s="108" t="str">
        <f t="shared" si="77"/>
        <v/>
      </c>
      <c r="AU132" s="108" t="str">
        <f t="shared" si="78"/>
        <v/>
      </c>
      <c r="AV132" s="107" t="str">
        <f>IF(ISNUMBER(O132),IF(VLOOKUP($A132,Stand!C:J,8,FALSE)="Short",AT132,AU132),"")</f>
        <v/>
      </c>
      <c r="AW132" s="109" t="str">
        <f t="shared" si="79"/>
        <v/>
      </c>
      <c r="AX132" s="109" t="str">
        <f t="shared" si="80"/>
        <v/>
      </c>
      <c r="AY132" s="112" t="str">
        <f>IF(ISNUMBER(O132),IF(AND(VLOOKUP($D132,Merchantability!$B:$C,2,0)="Yes",$E132&gt;=VLOOKUP($D132,Merchantability!$B:$D,3,0),$E132&lt;=VLOOKUP($D132,Merchantability!$B:$E,4,0)),(AV132*O132)*(1-$H132/100),""),"")</f>
        <v/>
      </c>
      <c r="AZ132" s="115"/>
      <c r="BA132" s="61"/>
      <c r="BB132" s="61"/>
      <c r="BC132" s="61"/>
      <c r="BE132" s="61"/>
      <c r="BF132" s="63"/>
    </row>
    <row r="133" spans="1:61" ht="12.75" customHeight="1" x14ac:dyDescent="0.25">
      <c r="A133" s="384"/>
      <c r="B133" s="380"/>
      <c r="C133" s="381"/>
      <c r="D133" s="380"/>
      <c r="E133" s="380"/>
      <c r="F133" s="331"/>
      <c r="G133" s="329"/>
      <c r="H133" s="329"/>
      <c r="I133" s="380"/>
      <c r="J133" s="381"/>
      <c r="K133" s="329"/>
      <c r="L133" s="329"/>
      <c r="M133" s="76"/>
      <c r="N133" s="103" t="str">
        <f>IF(A133="","",VLOOKUP(A133,Stand!C:K,9,0))</f>
        <v/>
      </c>
      <c r="O133" s="104" t="str">
        <f t="shared" si="54"/>
        <v/>
      </c>
      <c r="P133" s="105" t="str">
        <f t="shared" si="55"/>
        <v/>
      </c>
      <c r="Q133" s="105" t="str">
        <f t="shared" si="56"/>
        <v/>
      </c>
      <c r="R133" s="103" t="str">
        <f t="shared" si="57"/>
        <v/>
      </c>
      <c r="S133" s="103" t="str">
        <f t="shared" si="58"/>
        <v/>
      </c>
      <c r="T133" s="106" t="str">
        <f t="shared" si="59"/>
        <v/>
      </c>
      <c r="U133" s="106" t="str">
        <f t="shared" si="60"/>
        <v/>
      </c>
      <c r="V133" s="106" t="str">
        <f t="shared" si="61"/>
        <v/>
      </c>
      <c r="W133" s="105" t="str">
        <f t="shared" si="62"/>
        <v/>
      </c>
      <c r="X133" s="104" t="str">
        <f t="shared" si="63"/>
        <v/>
      </c>
      <c r="Y133" s="104" t="str">
        <f t="array" ref="Y133">IFERROR(IF(ISNUMBER(O133),IF(COUNT(IF(A133=$A$2:$A$2427,IF(D133=$D$2:$D$2427,IF($X$2:$X$2427&gt;0,1))))&gt;0,SUM(IF(A133=$A$2:$A$2427,IF(D133=$D$2:$D$2427,$X$2:$X$2427)))/COUNT(IF(A133=$A$2:$A$2427,IF(D133=$D$2:$D$2427,IF(ISNUMBER($X$2:$X$2427),1)))),0),""),0)</f>
        <v/>
      </c>
      <c r="Z133" s="104" t="str">
        <f>IF(ISNUMBER(O133),IF(I133&gt;0,(10^(VLOOKUP(D133,'Species Codes'!B:C,2,0)+VLOOKUP(D133,'Species Codes'!B:D,3,0)*LOG(E133)+VLOOKUP(D133,'Species Codes'!B:E,4,0)*LOG(I133))),0),"")</f>
        <v/>
      </c>
      <c r="AA133" s="104" t="str">
        <f>IFERROR((VLOOKUP(D133,'Species Codes'!B:G,6,0)*Z133)/2000,"")</f>
        <v/>
      </c>
      <c r="AB133" s="104" t="e">
        <f>IF(Z133&gt;0,((IF(OR(D133="DF",D133="RA")=TRUE,EXP(VLOOKUP(D133,'Species Codes'!B:I,8,0)+VLOOKUP(D133,'Species Codes'!B:J,9,0)*(LN((E133*2.54)))),IF(OR(D133="PY",D133="RC",D133="WH",D133="NF")=TRUE,VLOOKUP(D133,'Species Codes'!B:I,8,0)+VLOOKUP(D133,'Species Codes'!B:J,9,0)*((E133*2.54)^2)*(I133*0.3048),IF(OR(D133="MD",D133="BM",D133="GA")=TRUE,((VLOOKUP(D133,'Species Codes'!B:I,8,0)*(((((E133*2.54)+VLOOKUP(D133,'Species Codes'!B:J,9,0))/VLOOKUP(D133,'Species Codes'!B:K,10,0))^VLOOKUP(D133,'Species Codes'!B:L,11,0))*((I133*0.3048)^VLOOKUP(D133,'Species Codes'!B:M,12,0))))-(VLOOKUP(D133,'Species Codes'!B:I,8,0)*((((E133*2.54)^VLOOKUP(D133,'Species Codes'!B:L,11,0))*((I133*0.3048)^VLOOKUP(D133,'Species Codes'!B:M,12,0))))))*35.3*VLOOKUP(D133,'Species Codes'!B:G,6,0)/2.2046,VLOOKUP(D133,'Species Codes'!B:I,8,0)+VLOOKUP(D133,'Species Codes'!B:J,9,0)*(((E133*2.54)/100)^2)*(I133*0.3048)))))*0.0011023),0)</f>
        <v>#N/A</v>
      </c>
      <c r="AC133" s="104" t="e">
        <f>IF(Z133&gt;0,((IF(OR(D133="RA",D133="OA",D133="OT",D133="UN",D133="PC"),EXP(VLOOKUP(D133,'Species Codes'!B:O,14,0)+VLOOKUP(D133,'Species Codes'!B:P,15,0)*LN((E133*2.54)))-EXP(VLOOKUP(D133,'Species Codes'!B:O,14,0)+VLOOKUP(D133,'Species Codes'!B:P,15,0)*LN((E133*2.54)))*(1/(VLOOKUP(D133,'Species Codes'!B:Q,16,0)+VLOOKUP(D133,'Species Codes'!B:R,17,0)*((E133*2.54)^VLOOKUP(D133,'Species Codes'!B:S,18,0)))),IF(OR(D133="BM",D133="MD",D133="OA"),EXP(VLOOKUP(D133,'Species Codes'!B:O,14,0)+VLOOKUP(D133,'Species Codes'!B:P,15,0)*LN((E133*2.54)))*(1-(1/(VLOOKUP(D133,'Species Codes'!B:Q,16,0)+VLOOKUP(D133,'Species Codes'!B:R,17,0)*((E133*2.54)^VLOOKUP(D133,'Species Codes'!B:S,18,0)))))/1000,IF(D133="DF",EXP(VLOOKUP(D133,'Species Codes'!B:O,14,0)+VLOOKUP(D133,'Species Codes'!B:P,15,0)*LN((E133*2.54))),VLOOKUP(D133,'Species Codes'!B:O,14,0)+VLOOKUP(D133,'Species Codes'!B:P,15,0)*(((E133*2.54)/100)^2)*(I133*0.3048)))))*0.0011023),0)</f>
        <v>#N/A</v>
      </c>
      <c r="AD133" s="104" t="e">
        <f t="shared" si="64"/>
        <v>#N/A</v>
      </c>
      <c r="AE133" s="104" t="e">
        <f t="shared" si="65"/>
        <v>#N/A</v>
      </c>
      <c r="AF133" s="104" t="e">
        <f>IF(AND(VLOOKUP($D133,Merchantability!$B:$C,2,0)="Yes",$E133&gt;=VLOOKUP($D133,Merchantability!$B:$D,3,0),$E133&lt;=VLOOKUP($D133,Merchantability!$B:$E,4,0)),AA133,0)</f>
        <v>#N/A</v>
      </c>
      <c r="AG133" s="104" t="e">
        <f>IF(AND(VLOOKUP($D133,Merchantability!$B:$C,2,0)="Yes",$E133&gt;=VLOOKUP($D133,Merchantability!$B:$D,3,0),$E133&lt;=VLOOKUP($D133,Merchantability!$B:$E,4,0)),AB133,0)</f>
        <v>#N/A</v>
      </c>
      <c r="AH133" s="104" t="e">
        <f>IF(AND(VLOOKUP($D133,Merchantability!$B:$C,2,0)="Yes",$E133&gt;=VLOOKUP($D133,Merchantability!$B:$D,3,0),$E133&lt;=VLOOKUP($D133,Merchantability!$B:$E,4,0)),AC133,0)</f>
        <v>#N/A</v>
      </c>
      <c r="AI133" s="104" t="e">
        <f t="shared" si="66"/>
        <v>#N/A</v>
      </c>
      <c r="AJ133" s="104" t="e">
        <f t="shared" si="67"/>
        <v>#VALUE!</v>
      </c>
      <c r="AK133" s="104" t="e">
        <f t="shared" si="68"/>
        <v>#N/A</v>
      </c>
      <c r="AL133" s="104" t="e">
        <f t="shared" si="69"/>
        <v>#N/A</v>
      </c>
      <c r="AM133" s="104" t="e">
        <f t="shared" si="70"/>
        <v>#N/A</v>
      </c>
      <c r="AN133" s="104" t="e">
        <f t="shared" si="71"/>
        <v>#N/A</v>
      </c>
      <c r="AO133" s="104" t="e">
        <f t="shared" si="72"/>
        <v>#N/A</v>
      </c>
      <c r="AP133" s="104" t="e">
        <f t="shared" si="73"/>
        <v>#N/A</v>
      </c>
      <c r="AQ133" s="104" t="e">
        <f t="shared" si="74"/>
        <v>#N/A</v>
      </c>
      <c r="AR133" s="105" t="str">
        <f t="shared" si="75"/>
        <v/>
      </c>
      <c r="AS133" s="105" t="str">
        <f t="shared" si="76"/>
        <v/>
      </c>
      <c r="AT133" s="108" t="str">
        <f t="shared" si="77"/>
        <v/>
      </c>
      <c r="AU133" s="108" t="str">
        <f t="shared" si="78"/>
        <v/>
      </c>
      <c r="AV133" s="107" t="str">
        <f>IF(ISNUMBER(O133),IF(VLOOKUP($A133,Stand!C:J,8,FALSE)="Short",AT133,AU133),"")</f>
        <v/>
      </c>
      <c r="AW133" s="109" t="str">
        <f t="shared" si="79"/>
        <v/>
      </c>
      <c r="AX133" s="109" t="str">
        <f t="shared" si="80"/>
        <v/>
      </c>
      <c r="AY133" s="112" t="str">
        <f>IF(ISNUMBER(O133),IF(AND(VLOOKUP($D133,Merchantability!$B:$C,2,0)="Yes",$E133&gt;=VLOOKUP($D133,Merchantability!$B:$D,3,0),$E133&lt;=VLOOKUP($D133,Merchantability!$B:$E,4,0)),(AV133*O133)*(1-$H133/100),""),"")</f>
        <v/>
      </c>
      <c r="AZ133" s="115"/>
      <c r="BA133" s="61"/>
      <c r="BB133" s="61"/>
      <c r="BC133" s="61"/>
      <c r="BE133" s="61"/>
      <c r="BF133" s="63"/>
    </row>
    <row r="134" spans="1:61" ht="12.75" customHeight="1" x14ac:dyDescent="0.25">
      <c r="A134" s="384"/>
      <c r="B134" s="380"/>
      <c r="C134" s="381"/>
      <c r="D134" s="380"/>
      <c r="E134" s="382"/>
      <c r="F134" s="331"/>
      <c r="G134" s="329"/>
      <c r="H134" s="329"/>
      <c r="I134" s="380"/>
      <c r="J134" s="381"/>
      <c r="K134" s="329"/>
      <c r="L134" s="329"/>
      <c r="M134" s="76"/>
      <c r="N134" s="103" t="str">
        <f>IF(A134="","",VLOOKUP(A134,Stand!C:K,9,0))</f>
        <v/>
      </c>
      <c r="O134" s="104" t="str">
        <f t="shared" si="54"/>
        <v/>
      </c>
      <c r="P134" s="105" t="str">
        <f t="shared" si="55"/>
        <v/>
      </c>
      <c r="Q134" s="105" t="str">
        <f t="shared" si="56"/>
        <v/>
      </c>
      <c r="R134" s="103" t="str">
        <f t="shared" si="57"/>
        <v/>
      </c>
      <c r="S134" s="103" t="str">
        <f t="shared" si="58"/>
        <v/>
      </c>
      <c r="T134" s="106" t="str">
        <f t="shared" si="59"/>
        <v/>
      </c>
      <c r="U134" s="106" t="str">
        <f t="shared" si="60"/>
        <v/>
      </c>
      <c r="V134" s="106" t="str">
        <f t="shared" si="61"/>
        <v/>
      </c>
      <c r="W134" s="105" t="str">
        <f t="shared" si="62"/>
        <v/>
      </c>
      <c r="X134" s="104" t="str">
        <f t="shared" si="63"/>
        <v/>
      </c>
      <c r="Y134" s="104" t="str">
        <f t="array" ref="Y134">IFERROR(IF(ISNUMBER(O134),IF(COUNT(IF(A134=$A$2:$A$2427,IF(D134=$D$2:$D$2427,IF($X$2:$X$2427&gt;0,1))))&gt;0,SUM(IF(A134=$A$2:$A$2427,IF(D134=$D$2:$D$2427,$X$2:$X$2427)))/COUNT(IF(A134=$A$2:$A$2427,IF(D134=$D$2:$D$2427,IF(ISNUMBER($X$2:$X$2427),1)))),0),""),0)</f>
        <v/>
      </c>
      <c r="Z134" s="104" t="str">
        <f>IF(ISNUMBER(O134),IF(I134&gt;0,(10^(VLOOKUP(D134,'Species Codes'!B:C,2,0)+VLOOKUP(D134,'Species Codes'!B:D,3,0)*LOG(E134)+VLOOKUP(D134,'Species Codes'!B:E,4,0)*LOG(I134))),0),"")</f>
        <v/>
      </c>
      <c r="AA134" s="104" t="str">
        <f>IFERROR((VLOOKUP(D134,'Species Codes'!B:G,6,0)*Z134)/2000,"")</f>
        <v/>
      </c>
      <c r="AB134" s="104" t="e">
        <f>IF(Z134&gt;0,((IF(OR(D134="DF",D134="RA")=TRUE,EXP(VLOOKUP(D134,'Species Codes'!B:I,8,0)+VLOOKUP(D134,'Species Codes'!B:J,9,0)*(LN((E134*2.54)))),IF(OR(D134="PY",D134="RC",D134="WH",D134="NF")=TRUE,VLOOKUP(D134,'Species Codes'!B:I,8,0)+VLOOKUP(D134,'Species Codes'!B:J,9,0)*((E134*2.54)^2)*(I134*0.3048),IF(OR(D134="MD",D134="BM",D134="GA")=TRUE,((VLOOKUP(D134,'Species Codes'!B:I,8,0)*(((((E134*2.54)+VLOOKUP(D134,'Species Codes'!B:J,9,0))/VLOOKUP(D134,'Species Codes'!B:K,10,0))^VLOOKUP(D134,'Species Codes'!B:L,11,0))*((I134*0.3048)^VLOOKUP(D134,'Species Codes'!B:M,12,0))))-(VLOOKUP(D134,'Species Codes'!B:I,8,0)*((((E134*2.54)^VLOOKUP(D134,'Species Codes'!B:L,11,0))*((I134*0.3048)^VLOOKUP(D134,'Species Codes'!B:M,12,0))))))*35.3*VLOOKUP(D134,'Species Codes'!B:G,6,0)/2.2046,VLOOKUP(D134,'Species Codes'!B:I,8,0)+VLOOKUP(D134,'Species Codes'!B:J,9,0)*(((E134*2.54)/100)^2)*(I134*0.3048)))))*0.0011023),0)</f>
        <v>#N/A</v>
      </c>
      <c r="AC134" s="104" t="e">
        <f>IF(Z134&gt;0,((IF(OR(D134="RA",D134="OA",D134="OT",D134="UN",D134="PC"),EXP(VLOOKUP(D134,'Species Codes'!B:O,14,0)+VLOOKUP(D134,'Species Codes'!B:P,15,0)*LN((E134*2.54)))-EXP(VLOOKUP(D134,'Species Codes'!B:O,14,0)+VLOOKUP(D134,'Species Codes'!B:P,15,0)*LN((E134*2.54)))*(1/(VLOOKUP(D134,'Species Codes'!B:Q,16,0)+VLOOKUP(D134,'Species Codes'!B:R,17,0)*((E134*2.54)^VLOOKUP(D134,'Species Codes'!B:S,18,0)))),IF(OR(D134="BM",D134="MD",D134="OA"),EXP(VLOOKUP(D134,'Species Codes'!B:O,14,0)+VLOOKUP(D134,'Species Codes'!B:P,15,0)*LN((E134*2.54)))*(1-(1/(VLOOKUP(D134,'Species Codes'!B:Q,16,0)+VLOOKUP(D134,'Species Codes'!B:R,17,0)*((E134*2.54)^VLOOKUP(D134,'Species Codes'!B:S,18,0)))))/1000,IF(D134="DF",EXP(VLOOKUP(D134,'Species Codes'!B:O,14,0)+VLOOKUP(D134,'Species Codes'!B:P,15,0)*LN((E134*2.54))),VLOOKUP(D134,'Species Codes'!B:O,14,0)+VLOOKUP(D134,'Species Codes'!B:P,15,0)*(((E134*2.54)/100)^2)*(I134*0.3048)))))*0.0011023),0)</f>
        <v>#N/A</v>
      </c>
      <c r="AD134" s="104" t="e">
        <f t="shared" si="64"/>
        <v>#N/A</v>
      </c>
      <c r="AE134" s="104" t="e">
        <f t="shared" si="65"/>
        <v>#N/A</v>
      </c>
      <c r="AF134" s="104" t="e">
        <f>IF(AND(VLOOKUP($D134,Merchantability!$B:$C,2,0)="Yes",$E134&gt;=VLOOKUP($D134,Merchantability!$B:$D,3,0),$E134&lt;=VLOOKUP($D134,Merchantability!$B:$E,4,0)),AA134,0)</f>
        <v>#N/A</v>
      </c>
      <c r="AG134" s="104" t="e">
        <f>IF(AND(VLOOKUP($D134,Merchantability!$B:$C,2,0)="Yes",$E134&gt;=VLOOKUP($D134,Merchantability!$B:$D,3,0),$E134&lt;=VLOOKUP($D134,Merchantability!$B:$E,4,0)),AB134,0)</f>
        <v>#N/A</v>
      </c>
      <c r="AH134" s="104" t="e">
        <f>IF(AND(VLOOKUP($D134,Merchantability!$B:$C,2,0)="Yes",$E134&gt;=VLOOKUP($D134,Merchantability!$B:$D,3,0),$E134&lt;=VLOOKUP($D134,Merchantability!$B:$E,4,0)),AC134,0)</f>
        <v>#N/A</v>
      </c>
      <c r="AI134" s="104" t="e">
        <f t="shared" si="66"/>
        <v>#N/A</v>
      </c>
      <c r="AJ134" s="104" t="e">
        <f t="shared" si="67"/>
        <v>#VALUE!</v>
      </c>
      <c r="AK134" s="104" t="e">
        <f t="shared" si="68"/>
        <v>#N/A</v>
      </c>
      <c r="AL134" s="104" t="e">
        <f t="shared" si="69"/>
        <v>#N/A</v>
      </c>
      <c r="AM134" s="104" t="e">
        <f t="shared" si="70"/>
        <v>#N/A</v>
      </c>
      <c r="AN134" s="104" t="e">
        <f t="shared" si="71"/>
        <v>#N/A</v>
      </c>
      <c r="AO134" s="104" t="e">
        <f t="shared" si="72"/>
        <v>#N/A</v>
      </c>
      <c r="AP134" s="104" t="e">
        <f t="shared" si="73"/>
        <v>#N/A</v>
      </c>
      <c r="AQ134" s="104" t="e">
        <f t="shared" si="74"/>
        <v>#N/A</v>
      </c>
      <c r="AR134" s="105" t="str">
        <f t="shared" si="75"/>
        <v/>
      </c>
      <c r="AS134" s="105" t="str">
        <f t="shared" si="76"/>
        <v/>
      </c>
      <c r="AT134" s="108" t="str">
        <f t="shared" si="77"/>
        <v/>
      </c>
      <c r="AU134" s="108" t="str">
        <f t="shared" si="78"/>
        <v/>
      </c>
      <c r="AV134" s="107" t="str">
        <f>IF(ISNUMBER(O134),IF(VLOOKUP($A134,Stand!C:J,8,FALSE)="Short",AT134,AU134),"")</f>
        <v/>
      </c>
      <c r="AW134" s="109" t="str">
        <f t="shared" si="79"/>
        <v/>
      </c>
      <c r="AX134" s="109" t="str">
        <f t="shared" si="80"/>
        <v/>
      </c>
      <c r="AY134" s="112" t="str">
        <f>IF(ISNUMBER(O134),IF(AND(VLOOKUP($D134,Merchantability!$B:$C,2,0)="Yes",$E134&gt;=VLOOKUP($D134,Merchantability!$B:$D,3,0),$E134&lt;=VLOOKUP($D134,Merchantability!$B:$E,4,0)),(AV134*O134)*(1-$H134/100),""),"")</f>
        <v/>
      </c>
      <c r="AZ134" s="115"/>
      <c r="BA134" s="116"/>
      <c r="BB134" s="116"/>
      <c r="BE134" s="62"/>
      <c r="BF134" s="63"/>
    </row>
    <row r="135" spans="1:61" ht="12.75" customHeight="1" x14ac:dyDescent="0.25">
      <c r="A135" s="384"/>
      <c r="B135" s="380"/>
      <c r="C135" s="381"/>
      <c r="D135" s="380"/>
      <c r="E135" s="382"/>
      <c r="F135" s="331"/>
      <c r="G135" s="329"/>
      <c r="H135" s="329"/>
      <c r="I135" s="380"/>
      <c r="J135" s="381"/>
      <c r="K135" s="329"/>
      <c r="L135" s="329"/>
      <c r="M135" s="76"/>
      <c r="N135" s="103" t="str">
        <f>IF(A135="","",VLOOKUP(A135,Stand!C:K,9,0))</f>
        <v/>
      </c>
      <c r="O135" s="104" t="str">
        <f t="shared" si="54"/>
        <v/>
      </c>
      <c r="P135" s="105" t="str">
        <f t="shared" si="55"/>
        <v/>
      </c>
      <c r="Q135" s="105" t="str">
        <f t="shared" si="56"/>
        <v/>
      </c>
      <c r="R135" s="103" t="str">
        <f t="shared" si="57"/>
        <v/>
      </c>
      <c r="S135" s="103" t="str">
        <f t="shared" si="58"/>
        <v/>
      </c>
      <c r="T135" s="106" t="str">
        <f t="shared" si="59"/>
        <v/>
      </c>
      <c r="U135" s="106" t="str">
        <f t="shared" si="60"/>
        <v/>
      </c>
      <c r="V135" s="106" t="str">
        <f t="shared" si="61"/>
        <v/>
      </c>
      <c r="W135" s="105" t="str">
        <f t="shared" si="62"/>
        <v/>
      </c>
      <c r="X135" s="104" t="str">
        <f t="shared" si="63"/>
        <v/>
      </c>
      <c r="Y135" s="104" t="str">
        <f t="array" ref="Y135">IFERROR(IF(ISNUMBER(O135),IF(COUNT(IF(A135=$A$2:$A$2427,IF(D135=$D$2:$D$2427,IF($X$2:$X$2427&gt;0,1))))&gt;0,SUM(IF(A135=$A$2:$A$2427,IF(D135=$D$2:$D$2427,$X$2:$X$2427)))/COUNT(IF(A135=$A$2:$A$2427,IF(D135=$D$2:$D$2427,IF(ISNUMBER($X$2:$X$2427),1)))),0),""),0)</f>
        <v/>
      </c>
      <c r="Z135" s="104" t="str">
        <f>IF(ISNUMBER(O135),IF(I135&gt;0,(10^(VLOOKUP(D135,'Species Codes'!B:C,2,0)+VLOOKUP(D135,'Species Codes'!B:D,3,0)*LOG(E135)+VLOOKUP(D135,'Species Codes'!B:E,4,0)*LOG(I135))),0),"")</f>
        <v/>
      </c>
      <c r="AA135" s="104" t="str">
        <f>IFERROR((VLOOKUP(D135,'Species Codes'!B:G,6,0)*Z135)/2000,"")</f>
        <v/>
      </c>
      <c r="AB135" s="104" t="e">
        <f>IF(Z135&gt;0,((IF(OR(D135="DF",D135="RA")=TRUE,EXP(VLOOKUP(D135,'Species Codes'!B:I,8,0)+VLOOKUP(D135,'Species Codes'!B:J,9,0)*(LN((E135*2.54)))),IF(OR(D135="PY",D135="RC",D135="WH",D135="NF")=TRUE,VLOOKUP(D135,'Species Codes'!B:I,8,0)+VLOOKUP(D135,'Species Codes'!B:J,9,0)*((E135*2.54)^2)*(I135*0.3048),IF(OR(D135="MD",D135="BM",D135="GA")=TRUE,((VLOOKUP(D135,'Species Codes'!B:I,8,0)*(((((E135*2.54)+VLOOKUP(D135,'Species Codes'!B:J,9,0))/VLOOKUP(D135,'Species Codes'!B:K,10,0))^VLOOKUP(D135,'Species Codes'!B:L,11,0))*((I135*0.3048)^VLOOKUP(D135,'Species Codes'!B:M,12,0))))-(VLOOKUP(D135,'Species Codes'!B:I,8,0)*((((E135*2.54)^VLOOKUP(D135,'Species Codes'!B:L,11,0))*((I135*0.3048)^VLOOKUP(D135,'Species Codes'!B:M,12,0))))))*35.3*VLOOKUP(D135,'Species Codes'!B:G,6,0)/2.2046,VLOOKUP(D135,'Species Codes'!B:I,8,0)+VLOOKUP(D135,'Species Codes'!B:J,9,0)*(((E135*2.54)/100)^2)*(I135*0.3048)))))*0.0011023),0)</f>
        <v>#N/A</v>
      </c>
      <c r="AC135" s="104" t="e">
        <f>IF(Z135&gt;0,((IF(OR(D135="RA",D135="OA",D135="OT",D135="UN",D135="PC"),EXP(VLOOKUP(D135,'Species Codes'!B:O,14,0)+VLOOKUP(D135,'Species Codes'!B:P,15,0)*LN((E135*2.54)))-EXP(VLOOKUP(D135,'Species Codes'!B:O,14,0)+VLOOKUP(D135,'Species Codes'!B:P,15,0)*LN((E135*2.54)))*(1/(VLOOKUP(D135,'Species Codes'!B:Q,16,0)+VLOOKUP(D135,'Species Codes'!B:R,17,0)*((E135*2.54)^VLOOKUP(D135,'Species Codes'!B:S,18,0)))),IF(OR(D135="BM",D135="MD",D135="OA"),EXP(VLOOKUP(D135,'Species Codes'!B:O,14,0)+VLOOKUP(D135,'Species Codes'!B:P,15,0)*LN((E135*2.54)))*(1-(1/(VLOOKUP(D135,'Species Codes'!B:Q,16,0)+VLOOKUP(D135,'Species Codes'!B:R,17,0)*((E135*2.54)^VLOOKUP(D135,'Species Codes'!B:S,18,0)))))/1000,IF(D135="DF",EXP(VLOOKUP(D135,'Species Codes'!B:O,14,0)+VLOOKUP(D135,'Species Codes'!B:P,15,0)*LN((E135*2.54))),VLOOKUP(D135,'Species Codes'!B:O,14,0)+VLOOKUP(D135,'Species Codes'!B:P,15,0)*(((E135*2.54)/100)^2)*(I135*0.3048)))))*0.0011023),0)</f>
        <v>#N/A</v>
      </c>
      <c r="AD135" s="104" t="e">
        <f t="shared" si="64"/>
        <v>#N/A</v>
      </c>
      <c r="AE135" s="104" t="e">
        <f t="shared" si="65"/>
        <v>#N/A</v>
      </c>
      <c r="AF135" s="104" t="e">
        <f>IF(AND(VLOOKUP($D135,Merchantability!$B:$C,2,0)="Yes",$E135&gt;=VLOOKUP($D135,Merchantability!$B:$D,3,0),$E135&lt;=VLOOKUP($D135,Merchantability!$B:$E,4,0)),AA135,0)</f>
        <v>#N/A</v>
      </c>
      <c r="AG135" s="104" t="e">
        <f>IF(AND(VLOOKUP($D135,Merchantability!$B:$C,2,0)="Yes",$E135&gt;=VLOOKUP($D135,Merchantability!$B:$D,3,0),$E135&lt;=VLOOKUP($D135,Merchantability!$B:$E,4,0)),AB135,0)</f>
        <v>#N/A</v>
      </c>
      <c r="AH135" s="104" t="e">
        <f>IF(AND(VLOOKUP($D135,Merchantability!$B:$C,2,0)="Yes",$E135&gt;=VLOOKUP($D135,Merchantability!$B:$D,3,0),$E135&lt;=VLOOKUP($D135,Merchantability!$B:$E,4,0)),AC135,0)</f>
        <v>#N/A</v>
      </c>
      <c r="AI135" s="104" t="e">
        <f t="shared" si="66"/>
        <v>#N/A</v>
      </c>
      <c r="AJ135" s="104" t="e">
        <f t="shared" si="67"/>
        <v>#VALUE!</v>
      </c>
      <c r="AK135" s="104" t="e">
        <f t="shared" si="68"/>
        <v>#N/A</v>
      </c>
      <c r="AL135" s="104" t="e">
        <f t="shared" si="69"/>
        <v>#N/A</v>
      </c>
      <c r="AM135" s="104" t="e">
        <f t="shared" si="70"/>
        <v>#N/A</v>
      </c>
      <c r="AN135" s="104" t="e">
        <f t="shared" si="71"/>
        <v>#N/A</v>
      </c>
      <c r="AO135" s="104" t="e">
        <f t="shared" si="72"/>
        <v>#N/A</v>
      </c>
      <c r="AP135" s="104" t="e">
        <f t="shared" si="73"/>
        <v>#N/A</v>
      </c>
      <c r="AQ135" s="104" t="e">
        <f t="shared" si="74"/>
        <v>#N/A</v>
      </c>
      <c r="AR135" s="105" t="str">
        <f t="shared" si="75"/>
        <v/>
      </c>
      <c r="AS135" s="105" t="str">
        <f t="shared" si="76"/>
        <v/>
      </c>
      <c r="AT135" s="108" t="str">
        <f t="shared" si="77"/>
        <v/>
      </c>
      <c r="AU135" s="108" t="str">
        <f t="shared" si="78"/>
        <v/>
      </c>
      <c r="AV135" s="107" t="str">
        <f>IF(ISNUMBER(O135),IF(VLOOKUP($A135,Stand!C:J,8,FALSE)="Short",AT135,AU135),"")</f>
        <v/>
      </c>
      <c r="AW135" s="109" t="str">
        <f t="shared" si="79"/>
        <v/>
      </c>
      <c r="AX135" s="109" t="str">
        <f t="shared" si="80"/>
        <v/>
      </c>
      <c r="AY135" s="112" t="str">
        <f>IF(ISNUMBER(O135),IF(AND(VLOOKUP($D135,Merchantability!$B:$C,2,0)="Yes",$E135&gt;=VLOOKUP($D135,Merchantability!$B:$D,3,0),$E135&lt;=VLOOKUP($D135,Merchantability!$B:$E,4,0)),(AV135*O135)*(1-$H135/100),""),"")</f>
        <v/>
      </c>
      <c r="AZ135" s="116"/>
      <c r="BA135" s="116"/>
      <c r="BB135" s="116"/>
      <c r="BE135" s="62"/>
      <c r="BF135" s="63"/>
    </row>
    <row r="136" spans="1:61" ht="12.75" customHeight="1" x14ac:dyDescent="0.25">
      <c r="A136" s="384"/>
      <c r="B136" s="380"/>
      <c r="C136" s="381"/>
      <c r="D136" s="380"/>
      <c r="E136" s="382"/>
      <c r="F136" s="331"/>
      <c r="G136" s="329"/>
      <c r="H136" s="329"/>
      <c r="I136" s="380"/>
      <c r="J136" s="381"/>
      <c r="K136" s="329"/>
      <c r="L136" s="329"/>
      <c r="M136" s="76"/>
      <c r="N136" s="103" t="str">
        <f>IF(A136="","",VLOOKUP(A136,Stand!C:K,9,0))</f>
        <v/>
      </c>
      <c r="O136" s="104" t="str">
        <f t="shared" si="54"/>
        <v/>
      </c>
      <c r="P136" s="105" t="str">
        <f t="shared" si="55"/>
        <v/>
      </c>
      <c r="Q136" s="105" t="str">
        <f t="shared" si="56"/>
        <v/>
      </c>
      <c r="R136" s="103" t="str">
        <f t="shared" si="57"/>
        <v/>
      </c>
      <c r="S136" s="103" t="str">
        <f t="shared" si="58"/>
        <v/>
      </c>
      <c r="T136" s="106" t="str">
        <f t="shared" si="59"/>
        <v/>
      </c>
      <c r="U136" s="106" t="str">
        <f t="shared" si="60"/>
        <v/>
      </c>
      <c r="V136" s="106" t="str">
        <f t="shared" si="61"/>
        <v/>
      </c>
      <c r="W136" s="105" t="str">
        <f t="shared" si="62"/>
        <v/>
      </c>
      <c r="X136" s="104" t="str">
        <f t="shared" si="63"/>
        <v/>
      </c>
      <c r="Y136" s="104" t="str">
        <f t="array" ref="Y136">IFERROR(IF(ISNUMBER(O136),IF(COUNT(IF(A136=$A$2:$A$2427,IF(D136=$D$2:$D$2427,IF($X$2:$X$2427&gt;0,1))))&gt;0,SUM(IF(A136=$A$2:$A$2427,IF(D136=$D$2:$D$2427,$X$2:$X$2427)))/COUNT(IF(A136=$A$2:$A$2427,IF(D136=$D$2:$D$2427,IF(ISNUMBER($X$2:$X$2427),1)))),0),""),0)</f>
        <v/>
      </c>
      <c r="Z136" s="104" t="str">
        <f>IF(ISNUMBER(O136),IF(I136&gt;0,(10^(VLOOKUP(D136,'Species Codes'!B:C,2,0)+VLOOKUP(D136,'Species Codes'!B:D,3,0)*LOG(E136)+VLOOKUP(D136,'Species Codes'!B:E,4,0)*LOG(I136))),0),"")</f>
        <v/>
      </c>
      <c r="AA136" s="104" t="str">
        <f>IFERROR((VLOOKUP(D136,'Species Codes'!B:G,6,0)*Z136)/2000,"")</f>
        <v/>
      </c>
      <c r="AB136" s="104" t="e">
        <f>IF(Z136&gt;0,((IF(OR(D136="DF",D136="RA")=TRUE,EXP(VLOOKUP(D136,'Species Codes'!B:I,8,0)+VLOOKUP(D136,'Species Codes'!B:J,9,0)*(LN((E136*2.54)))),IF(OR(D136="PY",D136="RC",D136="WH",D136="NF")=TRUE,VLOOKUP(D136,'Species Codes'!B:I,8,0)+VLOOKUP(D136,'Species Codes'!B:J,9,0)*((E136*2.54)^2)*(I136*0.3048),IF(OR(D136="MD",D136="BM",D136="GA")=TRUE,((VLOOKUP(D136,'Species Codes'!B:I,8,0)*(((((E136*2.54)+VLOOKUP(D136,'Species Codes'!B:J,9,0))/VLOOKUP(D136,'Species Codes'!B:K,10,0))^VLOOKUP(D136,'Species Codes'!B:L,11,0))*((I136*0.3048)^VLOOKUP(D136,'Species Codes'!B:M,12,0))))-(VLOOKUP(D136,'Species Codes'!B:I,8,0)*((((E136*2.54)^VLOOKUP(D136,'Species Codes'!B:L,11,0))*((I136*0.3048)^VLOOKUP(D136,'Species Codes'!B:M,12,0))))))*35.3*VLOOKUP(D136,'Species Codes'!B:G,6,0)/2.2046,VLOOKUP(D136,'Species Codes'!B:I,8,0)+VLOOKUP(D136,'Species Codes'!B:J,9,0)*(((E136*2.54)/100)^2)*(I136*0.3048)))))*0.0011023),0)</f>
        <v>#N/A</v>
      </c>
      <c r="AC136" s="104" t="e">
        <f>IF(Z136&gt;0,((IF(OR(D136="RA",D136="OA",D136="OT",D136="UN",D136="PC"),EXP(VLOOKUP(D136,'Species Codes'!B:O,14,0)+VLOOKUP(D136,'Species Codes'!B:P,15,0)*LN((E136*2.54)))-EXP(VLOOKUP(D136,'Species Codes'!B:O,14,0)+VLOOKUP(D136,'Species Codes'!B:P,15,0)*LN((E136*2.54)))*(1/(VLOOKUP(D136,'Species Codes'!B:Q,16,0)+VLOOKUP(D136,'Species Codes'!B:R,17,0)*((E136*2.54)^VLOOKUP(D136,'Species Codes'!B:S,18,0)))),IF(OR(D136="BM",D136="MD",D136="OA"),EXP(VLOOKUP(D136,'Species Codes'!B:O,14,0)+VLOOKUP(D136,'Species Codes'!B:P,15,0)*LN((E136*2.54)))*(1-(1/(VLOOKUP(D136,'Species Codes'!B:Q,16,0)+VLOOKUP(D136,'Species Codes'!B:R,17,0)*((E136*2.54)^VLOOKUP(D136,'Species Codes'!B:S,18,0)))))/1000,IF(D136="DF",EXP(VLOOKUP(D136,'Species Codes'!B:O,14,0)+VLOOKUP(D136,'Species Codes'!B:P,15,0)*LN((E136*2.54))),VLOOKUP(D136,'Species Codes'!B:O,14,0)+VLOOKUP(D136,'Species Codes'!B:P,15,0)*(((E136*2.54)/100)^2)*(I136*0.3048)))))*0.0011023),0)</f>
        <v>#N/A</v>
      </c>
      <c r="AD136" s="104" t="e">
        <f t="shared" si="64"/>
        <v>#N/A</v>
      </c>
      <c r="AE136" s="104" t="e">
        <f t="shared" si="65"/>
        <v>#N/A</v>
      </c>
      <c r="AF136" s="104" t="e">
        <f>IF(AND(VLOOKUP($D136,Merchantability!$B:$C,2,0)="Yes",$E136&gt;=VLOOKUP($D136,Merchantability!$B:$D,3,0),$E136&lt;=VLOOKUP($D136,Merchantability!$B:$E,4,0)),AA136,0)</f>
        <v>#N/A</v>
      </c>
      <c r="AG136" s="104" t="e">
        <f>IF(AND(VLOOKUP($D136,Merchantability!$B:$C,2,0)="Yes",$E136&gt;=VLOOKUP($D136,Merchantability!$B:$D,3,0),$E136&lt;=VLOOKUP($D136,Merchantability!$B:$E,4,0)),AB136,0)</f>
        <v>#N/A</v>
      </c>
      <c r="AH136" s="104" t="e">
        <f>IF(AND(VLOOKUP($D136,Merchantability!$B:$C,2,0)="Yes",$E136&gt;=VLOOKUP($D136,Merchantability!$B:$D,3,0),$E136&lt;=VLOOKUP($D136,Merchantability!$B:$E,4,0)),AC136,0)</f>
        <v>#N/A</v>
      </c>
      <c r="AI136" s="104" t="e">
        <f t="shared" si="66"/>
        <v>#N/A</v>
      </c>
      <c r="AJ136" s="104" t="e">
        <f t="shared" si="67"/>
        <v>#VALUE!</v>
      </c>
      <c r="AK136" s="104" t="e">
        <f t="shared" si="68"/>
        <v>#N/A</v>
      </c>
      <c r="AL136" s="104" t="e">
        <f t="shared" si="69"/>
        <v>#N/A</v>
      </c>
      <c r="AM136" s="104" t="e">
        <f t="shared" si="70"/>
        <v>#N/A</v>
      </c>
      <c r="AN136" s="104" t="e">
        <f t="shared" si="71"/>
        <v>#N/A</v>
      </c>
      <c r="AO136" s="104" t="e">
        <f t="shared" si="72"/>
        <v>#N/A</v>
      </c>
      <c r="AP136" s="104" t="e">
        <f t="shared" si="73"/>
        <v>#N/A</v>
      </c>
      <c r="AQ136" s="104" t="e">
        <f t="shared" si="74"/>
        <v>#N/A</v>
      </c>
      <c r="AR136" s="105" t="str">
        <f t="shared" si="75"/>
        <v/>
      </c>
      <c r="AS136" s="105" t="str">
        <f t="shared" si="76"/>
        <v/>
      </c>
      <c r="AT136" s="108" t="str">
        <f t="shared" si="77"/>
        <v/>
      </c>
      <c r="AU136" s="108" t="str">
        <f t="shared" si="78"/>
        <v/>
      </c>
      <c r="AV136" s="107" t="str">
        <f>IF(ISNUMBER(O136),IF(VLOOKUP($A136,Stand!C:J,8,FALSE)="Short",AT136,AU136),"")</f>
        <v/>
      </c>
      <c r="AW136" s="109" t="str">
        <f t="shared" si="79"/>
        <v/>
      </c>
      <c r="AX136" s="109" t="str">
        <f t="shared" si="80"/>
        <v/>
      </c>
      <c r="AY136" s="112" t="str">
        <f>IF(ISNUMBER(O136),IF(AND(VLOOKUP($D136,Merchantability!$B:$C,2,0)="Yes",$E136&gt;=VLOOKUP($D136,Merchantability!$B:$D,3,0),$E136&lt;=VLOOKUP($D136,Merchantability!$B:$E,4,0)),(AV136*O136)*(1-$H136/100),""),"")</f>
        <v/>
      </c>
      <c r="AZ136" s="116"/>
      <c r="BA136" s="116"/>
      <c r="BB136" s="116"/>
      <c r="BE136" s="62"/>
      <c r="BF136" s="63"/>
    </row>
    <row r="137" spans="1:61" ht="12.75" customHeight="1" x14ac:dyDescent="0.25">
      <c r="A137" s="384"/>
      <c r="B137" s="380"/>
      <c r="C137" s="381"/>
      <c r="D137" s="380"/>
      <c r="E137" s="382"/>
      <c r="F137" s="331"/>
      <c r="G137" s="329"/>
      <c r="H137" s="329"/>
      <c r="I137" s="380"/>
      <c r="J137" s="381"/>
      <c r="K137" s="329"/>
      <c r="L137" s="329"/>
      <c r="M137" s="76"/>
      <c r="N137" s="103" t="str">
        <f>IF(A137="","",VLOOKUP(A137,Stand!C:K,9,0))</f>
        <v/>
      </c>
      <c r="O137" s="104" t="str">
        <f t="shared" si="54"/>
        <v/>
      </c>
      <c r="P137" s="105" t="str">
        <f t="shared" si="55"/>
        <v/>
      </c>
      <c r="Q137" s="105" t="str">
        <f t="shared" si="56"/>
        <v/>
      </c>
      <c r="R137" s="103" t="str">
        <f t="shared" si="57"/>
        <v/>
      </c>
      <c r="S137" s="103" t="str">
        <f t="shared" si="58"/>
        <v/>
      </c>
      <c r="T137" s="106" t="str">
        <f t="shared" si="59"/>
        <v/>
      </c>
      <c r="U137" s="106" t="str">
        <f t="shared" si="60"/>
        <v/>
      </c>
      <c r="V137" s="106" t="str">
        <f t="shared" si="61"/>
        <v/>
      </c>
      <c r="W137" s="105" t="str">
        <f t="shared" si="62"/>
        <v/>
      </c>
      <c r="X137" s="104" t="str">
        <f t="shared" si="63"/>
        <v/>
      </c>
      <c r="Y137" s="104" t="str">
        <f t="array" ref="Y137">IFERROR(IF(ISNUMBER(O137),IF(COUNT(IF(A137=$A$2:$A$2427,IF(D137=$D$2:$D$2427,IF($X$2:$X$2427&gt;0,1))))&gt;0,SUM(IF(A137=$A$2:$A$2427,IF(D137=$D$2:$D$2427,$X$2:$X$2427)))/COUNT(IF(A137=$A$2:$A$2427,IF(D137=$D$2:$D$2427,IF(ISNUMBER($X$2:$X$2427),1)))),0),""),0)</f>
        <v/>
      </c>
      <c r="Z137" s="104" t="str">
        <f>IF(ISNUMBER(O137),IF(I137&gt;0,(10^(VLOOKUP(D137,'Species Codes'!B:C,2,0)+VLOOKUP(D137,'Species Codes'!B:D,3,0)*LOG(E137)+VLOOKUP(D137,'Species Codes'!B:E,4,0)*LOG(I137))),0),"")</f>
        <v/>
      </c>
      <c r="AA137" s="104" t="str">
        <f>IFERROR((VLOOKUP(D137,'Species Codes'!B:G,6,0)*Z137)/2000,"")</f>
        <v/>
      </c>
      <c r="AB137" s="104" t="e">
        <f>IF(Z137&gt;0,((IF(OR(D137="DF",D137="RA")=TRUE,EXP(VLOOKUP(D137,'Species Codes'!B:I,8,0)+VLOOKUP(D137,'Species Codes'!B:J,9,0)*(LN((E137*2.54)))),IF(OR(D137="PY",D137="RC",D137="WH",D137="NF")=TRUE,VLOOKUP(D137,'Species Codes'!B:I,8,0)+VLOOKUP(D137,'Species Codes'!B:J,9,0)*((E137*2.54)^2)*(I137*0.3048),IF(OR(D137="MD",D137="BM",D137="GA")=TRUE,((VLOOKUP(D137,'Species Codes'!B:I,8,0)*(((((E137*2.54)+VLOOKUP(D137,'Species Codes'!B:J,9,0))/VLOOKUP(D137,'Species Codes'!B:K,10,0))^VLOOKUP(D137,'Species Codes'!B:L,11,0))*((I137*0.3048)^VLOOKUP(D137,'Species Codes'!B:M,12,0))))-(VLOOKUP(D137,'Species Codes'!B:I,8,0)*((((E137*2.54)^VLOOKUP(D137,'Species Codes'!B:L,11,0))*((I137*0.3048)^VLOOKUP(D137,'Species Codes'!B:M,12,0))))))*35.3*VLOOKUP(D137,'Species Codes'!B:G,6,0)/2.2046,VLOOKUP(D137,'Species Codes'!B:I,8,0)+VLOOKUP(D137,'Species Codes'!B:J,9,0)*(((E137*2.54)/100)^2)*(I137*0.3048)))))*0.0011023),0)</f>
        <v>#N/A</v>
      </c>
      <c r="AC137" s="104" t="e">
        <f>IF(Z137&gt;0,((IF(OR(D137="RA",D137="OA",D137="OT",D137="UN",D137="PC"),EXP(VLOOKUP(D137,'Species Codes'!B:O,14,0)+VLOOKUP(D137,'Species Codes'!B:P,15,0)*LN((E137*2.54)))-EXP(VLOOKUP(D137,'Species Codes'!B:O,14,0)+VLOOKUP(D137,'Species Codes'!B:P,15,0)*LN((E137*2.54)))*(1/(VLOOKUP(D137,'Species Codes'!B:Q,16,0)+VLOOKUP(D137,'Species Codes'!B:R,17,0)*((E137*2.54)^VLOOKUP(D137,'Species Codes'!B:S,18,0)))),IF(OR(D137="BM",D137="MD",D137="OA"),EXP(VLOOKUP(D137,'Species Codes'!B:O,14,0)+VLOOKUP(D137,'Species Codes'!B:P,15,0)*LN((E137*2.54)))*(1-(1/(VLOOKUP(D137,'Species Codes'!B:Q,16,0)+VLOOKUP(D137,'Species Codes'!B:R,17,0)*((E137*2.54)^VLOOKUP(D137,'Species Codes'!B:S,18,0)))))/1000,IF(D137="DF",EXP(VLOOKUP(D137,'Species Codes'!B:O,14,0)+VLOOKUP(D137,'Species Codes'!B:P,15,0)*LN((E137*2.54))),VLOOKUP(D137,'Species Codes'!B:O,14,0)+VLOOKUP(D137,'Species Codes'!B:P,15,0)*(((E137*2.54)/100)^2)*(I137*0.3048)))))*0.0011023),0)</f>
        <v>#N/A</v>
      </c>
      <c r="AD137" s="104" t="e">
        <f t="shared" si="64"/>
        <v>#N/A</v>
      </c>
      <c r="AE137" s="104" t="e">
        <f t="shared" si="65"/>
        <v>#N/A</v>
      </c>
      <c r="AF137" s="104" t="e">
        <f>IF(AND(VLOOKUP($D137,Merchantability!$B:$C,2,0)="Yes",$E137&gt;=VLOOKUP($D137,Merchantability!$B:$D,3,0),$E137&lt;=VLOOKUP($D137,Merchantability!$B:$E,4,0)),AA137,0)</f>
        <v>#N/A</v>
      </c>
      <c r="AG137" s="104" t="e">
        <f>IF(AND(VLOOKUP($D137,Merchantability!$B:$C,2,0)="Yes",$E137&gt;=VLOOKUP($D137,Merchantability!$B:$D,3,0),$E137&lt;=VLOOKUP($D137,Merchantability!$B:$E,4,0)),AB137,0)</f>
        <v>#N/A</v>
      </c>
      <c r="AH137" s="104" t="e">
        <f>IF(AND(VLOOKUP($D137,Merchantability!$B:$C,2,0)="Yes",$E137&gt;=VLOOKUP($D137,Merchantability!$B:$D,3,0),$E137&lt;=VLOOKUP($D137,Merchantability!$B:$E,4,0)),AC137,0)</f>
        <v>#N/A</v>
      </c>
      <c r="AI137" s="104" t="e">
        <f t="shared" si="66"/>
        <v>#N/A</v>
      </c>
      <c r="AJ137" s="104" t="e">
        <f t="shared" si="67"/>
        <v>#VALUE!</v>
      </c>
      <c r="AK137" s="104" t="e">
        <f t="shared" si="68"/>
        <v>#N/A</v>
      </c>
      <c r="AL137" s="104" t="e">
        <f t="shared" si="69"/>
        <v>#N/A</v>
      </c>
      <c r="AM137" s="104" t="e">
        <f t="shared" si="70"/>
        <v>#N/A</v>
      </c>
      <c r="AN137" s="104" t="e">
        <f t="shared" si="71"/>
        <v>#N/A</v>
      </c>
      <c r="AO137" s="104" t="e">
        <f t="shared" si="72"/>
        <v>#N/A</v>
      </c>
      <c r="AP137" s="104" t="e">
        <f t="shared" si="73"/>
        <v>#N/A</v>
      </c>
      <c r="AQ137" s="104" t="e">
        <f t="shared" si="74"/>
        <v>#N/A</v>
      </c>
      <c r="AR137" s="105" t="str">
        <f t="shared" si="75"/>
        <v/>
      </c>
      <c r="AS137" s="105" t="str">
        <f t="shared" si="76"/>
        <v/>
      </c>
      <c r="AT137" s="108" t="str">
        <f t="shared" si="77"/>
        <v/>
      </c>
      <c r="AU137" s="108" t="str">
        <f t="shared" si="78"/>
        <v/>
      </c>
      <c r="AV137" s="107" t="str">
        <f>IF(ISNUMBER(O137),IF(VLOOKUP($A137,Stand!C:J,8,FALSE)="Short",AT137,AU137),"")</f>
        <v/>
      </c>
      <c r="AW137" s="109" t="str">
        <f t="shared" si="79"/>
        <v/>
      </c>
      <c r="AX137" s="109" t="str">
        <f t="shared" si="80"/>
        <v/>
      </c>
      <c r="AY137" s="112" t="str">
        <f>IF(ISNUMBER(O137),IF(AND(VLOOKUP($D137,Merchantability!$B:$C,2,0)="Yes",$E137&gt;=VLOOKUP($D137,Merchantability!$B:$D,3,0),$E137&lt;=VLOOKUP($D137,Merchantability!$B:$E,4,0)),(AV137*O137)*(1-$H137/100),""),"")</f>
        <v/>
      </c>
      <c r="AZ137" s="116"/>
      <c r="BA137" s="116"/>
      <c r="BB137" s="116"/>
      <c r="BE137" s="62"/>
      <c r="BF137" s="63"/>
    </row>
    <row r="138" spans="1:61" ht="12.75" customHeight="1" x14ac:dyDescent="0.25">
      <c r="A138" s="384"/>
      <c r="B138" s="380"/>
      <c r="C138" s="381"/>
      <c r="D138" s="380"/>
      <c r="E138" s="382"/>
      <c r="F138" s="331"/>
      <c r="G138" s="329"/>
      <c r="H138" s="329"/>
      <c r="I138" s="380"/>
      <c r="J138" s="381"/>
      <c r="K138" s="329"/>
      <c r="L138" s="329"/>
      <c r="M138" s="76"/>
      <c r="N138" s="103" t="str">
        <f>IF(A138="","",VLOOKUP(A138,Stand!C:K,9,0))</f>
        <v/>
      </c>
      <c r="O138" s="104" t="str">
        <f t="shared" si="54"/>
        <v/>
      </c>
      <c r="P138" s="105" t="str">
        <f t="shared" si="55"/>
        <v/>
      </c>
      <c r="Q138" s="105" t="str">
        <f t="shared" si="56"/>
        <v/>
      </c>
      <c r="R138" s="103" t="str">
        <f t="shared" si="57"/>
        <v/>
      </c>
      <c r="S138" s="103" t="str">
        <f t="shared" si="58"/>
        <v/>
      </c>
      <c r="T138" s="106" t="str">
        <f t="shared" si="59"/>
        <v/>
      </c>
      <c r="U138" s="106" t="str">
        <f t="shared" si="60"/>
        <v/>
      </c>
      <c r="V138" s="106" t="str">
        <f t="shared" si="61"/>
        <v/>
      </c>
      <c r="W138" s="105" t="str">
        <f t="shared" si="62"/>
        <v/>
      </c>
      <c r="X138" s="104" t="str">
        <f t="shared" si="63"/>
        <v/>
      </c>
      <c r="Y138" s="104" t="str">
        <f t="array" ref="Y138">IFERROR(IF(ISNUMBER(O138),IF(COUNT(IF(A138=$A$2:$A$2427,IF(D138=$D$2:$D$2427,IF($X$2:$X$2427&gt;0,1))))&gt;0,SUM(IF(A138=$A$2:$A$2427,IF(D138=$D$2:$D$2427,$X$2:$X$2427)))/COUNT(IF(A138=$A$2:$A$2427,IF(D138=$D$2:$D$2427,IF(ISNUMBER($X$2:$X$2427),1)))),0),""),0)</f>
        <v/>
      </c>
      <c r="Z138" s="104" t="str">
        <f>IF(ISNUMBER(O138),IF(I138&gt;0,(10^(VLOOKUP(D138,'Species Codes'!B:C,2,0)+VLOOKUP(D138,'Species Codes'!B:D,3,0)*LOG(E138)+VLOOKUP(D138,'Species Codes'!B:E,4,0)*LOG(I138))),0),"")</f>
        <v/>
      </c>
      <c r="AA138" s="104" t="str">
        <f>IFERROR((VLOOKUP(D138,'Species Codes'!B:G,6,0)*Z138)/2000,"")</f>
        <v/>
      </c>
      <c r="AB138" s="104" t="e">
        <f>IF(Z138&gt;0,((IF(OR(D138="DF",D138="RA")=TRUE,EXP(VLOOKUP(D138,'Species Codes'!B:I,8,0)+VLOOKUP(D138,'Species Codes'!B:J,9,0)*(LN((E138*2.54)))),IF(OR(D138="PY",D138="RC",D138="WH",D138="NF")=TRUE,VLOOKUP(D138,'Species Codes'!B:I,8,0)+VLOOKUP(D138,'Species Codes'!B:J,9,0)*((E138*2.54)^2)*(I138*0.3048),IF(OR(D138="MD",D138="BM",D138="GA")=TRUE,((VLOOKUP(D138,'Species Codes'!B:I,8,0)*(((((E138*2.54)+VLOOKUP(D138,'Species Codes'!B:J,9,0))/VLOOKUP(D138,'Species Codes'!B:K,10,0))^VLOOKUP(D138,'Species Codes'!B:L,11,0))*((I138*0.3048)^VLOOKUP(D138,'Species Codes'!B:M,12,0))))-(VLOOKUP(D138,'Species Codes'!B:I,8,0)*((((E138*2.54)^VLOOKUP(D138,'Species Codes'!B:L,11,0))*((I138*0.3048)^VLOOKUP(D138,'Species Codes'!B:M,12,0))))))*35.3*VLOOKUP(D138,'Species Codes'!B:G,6,0)/2.2046,VLOOKUP(D138,'Species Codes'!B:I,8,0)+VLOOKUP(D138,'Species Codes'!B:J,9,0)*(((E138*2.54)/100)^2)*(I138*0.3048)))))*0.0011023),0)</f>
        <v>#N/A</v>
      </c>
      <c r="AC138" s="104" t="e">
        <f>IF(Z138&gt;0,((IF(OR(D138="RA",D138="OA",D138="OT",D138="UN",D138="PC"),EXP(VLOOKUP(D138,'Species Codes'!B:O,14,0)+VLOOKUP(D138,'Species Codes'!B:P,15,0)*LN((E138*2.54)))-EXP(VLOOKUP(D138,'Species Codes'!B:O,14,0)+VLOOKUP(D138,'Species Codes'!B:P,15,0)*LN((E138*2.54)))*(1/(VLOOKUP(D138,'Species Codes'!B:Q,16,0)+VLOOKUP(D138,'Species Codes'!B:R,17,0)*((E138*2.54)^VLOOKUP(D138,'Species Codes'!B:S,18,0)))),IF(OR(D138="BM",D138="MD",D138="OA"),EXP(VLOOKUP(D138,'Species Codes'!B:O,14,0)+VLOOKUP(D138,'Species Codes'!B:P,15,0)*LN((E138*2.54)))*(1-(1/(VLOOKUP(D138,'Species Codes'!B:Q,16,0)+VLOOKUP(D138,'Species Codes'!B:R,17,0)*((E138*2.54)^VLOOKUP(D138,'Species Codes'!B:S,18,0)))))/1000,IF(D138="DF",EXP(VLOOKUP(D138,'Species Codes'!B:O,14,0)+VLOOKUP(D138,'Species Codes'!B:P,15,0)*LN((E138*2.54))),VLOOKUP(D138,'Species Codes'!B:O,14,0)+VLOOKUP(D138,'Species Codes'!B:P,15,0)*(((E138*2.54)/100)^2)*(I138*0.3048)))))*0.0011023),0)</f>
        <v>#N/A</v>
      </c>
      <c r="AD138" s="104" t="e">
        <f t="shared" si="64"/>
        <v>#N/A</v>
      </c>
      <c r="AE138" s="104" t="e">
        <f t="shared" si="65"/>
        <v>#N/A</v>
      </c>
      <c r="AF138" s="104" t="e">
        <f>IF(AND(VLOOKUP($D138,Merchantability!$B:$C,2,0)="Yes",$E138&gt;=VLOOKUP($D138,Merchantability!$B:$D,3,0),$E138&lt;=VLOOKUP($D138,Merchantability!$B:$E,4,0)),AA138,0)</f>
        <v>#N/A</v>
      </c>
      <c r="AG138" s="104" t="e">
        <f>IF(AND(VLOOKUP($D138,Merchantability!$B:$C,2,0)="Yes",$E138&gt;=VLOOKUP($D138,Merchantability!$B:$D,3,0),$E138&lt;=VLOOKUP($D138,Merchantability!$B:$E,4,0)),AB138,0)</f>
        <v>#N/A</v>
      </c>
      <c r="AH138" s="104" t="e">
        <f>IF(AND(VLOOKUP($D138,Merchantability!$B:$C,2,0)="Yes",$E138&gt;=VLOOKUP($D138,Merchantability!$B:$D,3,0),$E138&lt;=VLOOKUP($D138,Merchantability!$B:$E,4,0)),AC138,0)</f>
        <v>#N/A</v>
      </c>
      <c r="AI138" s="104" t="e">
        <f t="shared" si="66"/>
        <v>#N/A</v>
      </c>
      <c r="AJ138" s="104" t="e">
        <f t="shared" si="67"/>
        <v>#VALUE!</v>
      </c>
      <c r="AK138" s="104" t="e">
        <f t="shared" si="68"/>
        <v>#N/A</v>
      </c>
      <c r="AL138" s="104" t="e">
        <f t="shared" si="69"/>
        <v>#N/A</v>
      </c>
      <c r="AM138" s="104" t="e">
        <f t="shared" si="70"/>
        <v>#N/A</v>
      </c>
      <c r="AN138" s="104" t="e">
        <f t="shared" si="71"/>
        <v>#N/A</v>
      </c>
      <c r="AO138" s="104" t="e">
        <f t="shared" si="72"/>
        <v>#N/A</v>
      </c>
      <c r="AP138" s="104" t="e">
        <f t="shared" si="73"/>
        <v>#N/A</v>
      </c>
      <c r="AQ138" s="104" t="e">
        <f t="shared" si="74"/>
        <v>#N/A</v>
      </c>
      <c r="AR138" s="105" t="str">
        <f t="shared" si="75"/>
        <v/>
      </c>
      <c r="AS138" s="105" t="str">
        <f t="shared" si="76"/>
        <v/>
      </c>
      <c r="AT138" s="108" t="str">
        <f t="shared" si="77"/>
        <v/>
      </c>
      <c r="AU138" s="108" t="str">
        <f t="shared" si="78"/>
        <v/>
      </c>
      <c r="AV138" s="107" t="str">
        <f>IF(ISNUMBER(O138),IF(VLOOKUP($A138,Stand!C:J,8,FALSE)="Short",AT138,AU138),"")</f>
        <v/>
      </c>
      <c r="AW138" s="109" t="str">
        <f t="shared" si="79"/>
        <v/>
      </c>
      <c r="AX138" s="109" t="str">
        <f t="shared" si="80"/>
        <v/>
      </c>
      <c r="AY138" s="112" t="str">
        <f>IF(ISNUMBER(O138),IF(AND(VLOOKUP($D138,Merchantability!$B:$C,2,0)="Yes",$E138&gt;=VLOOKUP($D138,Merchantability!$B:$D,3,0),$E138&lt;=VLOOKUP($D138,Merchantability!$B:$E,4,0)),(AV138*O138)*(1-$H138/100),""),"")</f>
        <v/>
      </c>
      <c r="AZ138" s="116"/>
      <c r="BA138" s="116"/>
      <c r="BB138" s="116"/>
      <c r="BE138" s="62"/>
      <c r="BF138" s="63"/>
    </row>
    <row r="139" spans="1:61" ht="12.75" customHeight="1" x14ac:dyDescent="0.25">
      <c r="A139" s="384"/>
      <c r="B139" s="380"/>
      <c r="C139" s="381"/>
      <c r="D139" s="380"/>
      <c r="E139" s="382"/>
      <c r="F139" s="331"/>
      <c r="G139" s="329"/>
      <c r="H139" s="329"/>
      <c r="I139" s="380"/>
      <c r="J139" s="381"/>
      <c r="K139" s="329"/>
      <c r="L139" s="329"/>
      <c r="M139" s="76"/>
      <c r="N139" s="103" t="str">
        <f>IF(A139="","",VLOOKUP(A139,Stand!C:K,9,0))</f>
        <v/>
      </c>
      <c r="O139" s="104" t="str">
        <f t="shared" si="54"/>
        <v/>
      </c>
      <c r="P139" s="105" t="str">
        <f t="shared" si="55"/>
        <v/>
      </c>
      <c r="Q139" s="105" t="str">
        <f t="shared" si="56"/>
        <v/>
      </c>
      <c r="R139" s="103" t="str">
        <f t="shared" si="57"/>
        <v/>
      </c>
      <c r="S139" s="103" t="str">
        <f t="shared" si="58"/>
        <v/>
      </c>
      <c r="T139" s="106" t="str">
        <f t="shared" si="59"/>
        <v/>
      </c>
      <c r="U139" s="106" t="str">
        <f t="shared" si="60"/>
        <v/>
      </c>
      <c r="V139" s="106" t="str">
        <f t="shared" si="61"/>
        <v/>
      </c>
      <c r="W139" s="105" t="str">
        <f t="shared" si="62"/>
        <v/>
      </c>
      <c r="X139" s="104" t="str">
        <f t="shared" si="63"/>
        <v/>
      </c>
      <c r="Y139" s="104" t="str">
        <f t="array" ref="Y139">IFERROR(IF(ISNUMBER(O139),IF(COUNT(IF(A139=$A$2:$A$2427,IF(D139=$D$2:$D$2427,IF($X$2:$X$2427&gt;0,1))))&gt;0,SUM(IF(A139=$A$2:$A$2427,IF(D139=$D$2:$D$2427,$X$2:$X$2427)))/COUNT(IF(A139=$A$2:$A$2427,IF(D139=$D$2:$D$2427,IF(ISNUMBER($X$2:$X$2427),1)))),0),""),0)</f>
        <v/>
      </c>
      <c r="Z139" s="104" t="str">
        <f>IF(ISNUMBER(O139),IF(I139&gt;0,(10^(VLOOKUP(D139,'Species Codes'!B:C,2,0)+VLOOKUP(D139,'Species Codes'!B:D,3,0)*LOG(E139)+VLOOKUP(D139,'Species Codes'!B:E,4,0)*LOG(I139))),0),"")</f>
        <v/>
      </c>
      <c r="AA139" s="104" t="str">
        <f>IFERROR((VLOOKUP(D139,'Species Codes'!B:G,6,0)*Z139)/2000,"")</f>
        <v/>
      </c>
      <c r="AB139" s="104" t="e">
        <f>IF(Z139&gt;0,((IF(OR(D139="DF",D139="RA")=TRUE,EXP(VLOOKUP(D139,'Species Codes'!B:I,8,0)+VLOOKUP(D139,'Species Codes'!B:J,9,0)*(LN((E139*2.54)))),IF(OR(D139="PY",D139="RC",D139="WH",D139="NF")=TRUE,VLOOKUP(D139,'Species Codes'!B:I,8,0)+VLOOKUP(D139,'Species Codes'!B:J,9,0)*((E139*2.54)^2)*(I139*0.3048),IF(OR(D139="MD",D139="BM",D139="GA")=TRUE,((VLOOKUP(D139,'Species Codes'!B:I,8,0)*(((((E139*2.54)+VLOOKUP(D139,'Species Codes'!B:J,9,0))/VLOOKUP(D139,'Species Codes'!B:K,10,0))^VLOOKUP(D139,'Species Codes'!B:L,11,0))*((I139*0.3048)^VLOOKUP(D139,'Species Codes'!B:M,12,0))))-(VLOOKUP(D139,'Species Codes'!B:I,8,0)*((((E139*2.54)^VLOOKUP(D139,'Species Codes'!B:L,11,0))*((I139*0.3048)^VLOOKUP(D139,'Species Codes'!B:M,12,0))))))*35.3*VLOOKUP(D139,'Species Codes'!B:G,6,0)/2.2046,VLOOKUP(D139,'Species Codes'!B:I,8,0)+VLOOKUP(D139,'Species Codes'!B:J,9,0)*(((E139*2.54)/100)^2)*(I139*0.3048)))))*0.0011023),0)</f>
        <v>#N/A</v>
      </c>
      <c r="AC139" s="104" t="e">
        <f>IF(Z139&gt;0,((IF(OR(D139="RA",D139="OA",D139="OT",D139="UN",D139="PC"),EXP(VLOOKUP(D139,'Species Codes'!B:O,14,0)+VLOOKUP(D139,'Species Codes'!B:P,15,0)*LN((E139*2.54)))-EXP(VLOOKUP(D139,'Species Codes'!B:O,14,0)+VLOOKUP(D139,'Species Codes'!B:P,15,0)*LN((E139*2.54)))*(1/(VLOOKUP(D139,'Species Codes'!B:Q,16,0)+VLOOKUP(D139,'Species Codes'!B:R,17,0)*((E139*2.54)^VLOOKUP(D139,'Species Codes'!B:S,18,0)))),IF(OR(D139="BM",D139="MD",D139="OA"),EXP(VLOOKUP(D139,'Species Codes'!B:O,14,0)+VLOOKUP(D139,'Species Codes'!B:P,15,0)*LN((E139*2.54)))*(1-(1/(VLOOKUP(D139,'Species Codes'!B:Q,16,0)+VLOOKUP(D139,'Species Codes'!B:R,17,0)*((E139*2.54)^VLOOKUP(D139,'Species Codes'!B:S,18,0)))))/1000,IF(D139="DF",EXP(VLOOKUP(D139,'Species Codes'!B:O,14,0)+VLOOKUP(D139,'Species Codes'!B:P,15,0)*LN((E139*2.54))),VLOOKUP(D139,'Species Codes'!B:O,14,0)+VLOOKUP(D139,'Species Codes'!B:P,15,0)*(((E139*2.54)/100)^2)*(I139*0.3048)))))*0.0011023),0)</f>
        <v>#N/A</v>
      </c>
      <c r="AD139" s="104" t="e">
        <f t="shared" si="64"/>
        <v>#N/A</v>
      </c>
      <c r="AE139" s="104" t="e">
        <f t="shared" si="65"/>
        <v>#N/A</v>
      </c>
      <c r="AF139" s="104" t="e">
        <f>IF(AND(VLOOKUP($D139,Merchantability!$B:$C,2,0)="Yes",$E139&gt;=VLOOKUP($D139,Merchantability!$B:$D,3,0),$E139&lt;=VLOOKUP($D139,Merchantability!$B:$E,4,0)),AA139,0)</f>
        <v>#N/A</v>
      </c>
      <c r="AG139" s="104" t="e">
        <f>IF(AND(VLOOKUP($D139,Merchantability!$B:$C,2,0)="Yes",$E139&gt;=VLOOKUP($D139,Merchantability!$B:$D,3,0),$E139&lt;=VLOOKUP($D139,Merchantability!$B:$E,4,0)),AB139,0)</f>
        <v>#N/A</v>
      </c>
      <c r="AH139" s="104" t="e">
        <f>IF(AND(VLOOKUP($D139,Merchantability!$B:$C,2,0)="Yes",$E139&gt;=VLOOKUP($D139,Merchantability!$B:$D,3,0),$E139&lt;=VLOOKUP($D139,Merchantability!$B:$E,4,0)),AC139,0)</f>
        <v>#N/A</v>
      </c>
      <c r="AI139" s="104" t="e">
        <f t="shared" si="66"/>
        <v>#N/A</v>
      </c>
      <c r="AJ139" s="104" t="e">
        <f t="shared" si="67"/>
        <v>#VALUE!</v>
      </c>
      <c r="AK139" s="104" t="e">
        <f t="shared" si="68"/>
        <v>#N/A</v>
      </c>
      <c r="AL139" s="104" t="e">
        <f t="shared" si="69"/>
        <v>#N/A</v>
      </c>
      <c r="AM139" s="104" t="e">
        <f t="shared" si="70"/>
        <v>#N/A</v>
      </c>
      <c r="AN139" s="104" t="e">
        <f t="shared" si="71"/>
        <v>#N/A</v>
      </c>
      <c r="AO139" s="104" t="e">
        <f t="shared" si="72"/>
        <v>#N/A</v>
      </c>
      <c r="AP139" s="104" t="e">
        <f t="shared" si="73"/>
        <v>#N/A</v>
      </c>
      <c r="AQ139" s="104" t="e">
        <f t="shared" si="74"/>
        <v>#N/A</v>
      </c>
      <c r="AR139" s="105" t="str">
        <f t="shared" si="75"/>
        <v/>
      </c>
      <c r="AS139" s="105" t="str">
        <f t="shared" si="76"/>
        <v/>
      </c>
      <c r="AT139" s="108" t="str">
        <f t="shared" si="77"/>
        <v/>
      </c>
      <c r="AU139" s="108" t="str">
        <f t="shared" si="78"/>
        <v/>
      </c>
      <c r="AV139" s="107" t="str">
        <f>IF(ISNUMBER(O139),IF(VLOOKUP($A139,Stand!C:J,8,FALSE)="Short",AT139,AU139),"")</f>
        <v/>
      </c>
      <c r="AW139" s="109" t="str">
        <f t="shared" si="79"/>
        <v/>
      </c>
      <c r="AX139" s="109" t="str">
        <f t="shared" si="80"/>
        <v/>
      </c>
      <c r="AY139" s="112" t="str">
        <f>IF(ISNUMBER(O139),IF(AND(VLOOKUP($D139,Merchantability!$B:$C,2,0)="Yes",$E139&gt;=VLOOKUP($D139,Merchantability!$B:$D,3,0),$E139&lt;=VLOOKUP($D139,Merchantability!$B:$E,4,0)),(AV139*O139)*(1-$H139/100),""),"")</f>
        <v/>
      </c>
      <c r="AZ139" s="116"/>
      <c r="BA139" s="116"/>
      <c r="BB139" s="116"/>
      <c r="BE139" s="62"/>
      <c r="BF139" s="63"/>
    </row>
    <row r="140" spans="1:61" ht="12.75" customHeight="1" x14ac:dyDescent="0.25">
      <c r="A140" s="384"/>
      <c r="B140" s="380"/>
      <c r="C140" s="381"/>
      <c r="D140" s="380"/>
      <c r="E140" s="382"/>
      <c r="F140" s="331"/>
      <c r="G140" s="329"/>
      <c r="H140" s="329"/>
      <c r="I140" s="380"/>
      <c r="J140" s="381"/>
      <c r="K140" s="329"/>
      <c r="L140" s="329"/>
      <c r="M140" s="76"/>
      <c r="N140" s="103" t="str">
        <f>IF(A140="","",VLOOKUP(A140,Stand!C:K,9,0))</f>
        <v/>
      </c>
      <c r="O140" s="104" t="str">
        <f t="shared" si="54"/>
        <v/>
      </c>
      <c r="P140" s="105" t="str">
        <f t="shared" si="55"/>
        <v/>
      </c>
      <c r="Q140" s="105" t="str">
        <f t="shared" si="56"/>
        <v/>
      </c>
      <c r="R140" s="103" t="str">
        <f t="shared" si="57"/>
        <v/>
      </c>
      <c r="S140" s="103" t="str">
        <f t="shared" si="58"/>
        <v/>
      </c>
      <c r="T140" s="106" t="str">
        <f t="shared" si="59"/>
        <v/>
      </c>
      <c r="U140" s="106" t="str">
        <f t="shared" si="60"/>
        <v/>
      </c>
      <c r="V140" s="106" t="str">
        <f t="shared" si="61"/>
        <v/>
      </c>
      <c r="W140" s="105" t="str">
        <f t="shared" si="62"/>
        <v/>
      </c>
      <c r="X140" s="104" t="str">
        <f t="shared" si="63"/>
        <v/>
      </c>
      <c r="Y140" s="104" t="str">
        <f t="array" ref="Y140">IFERROR(IF(ISNUMBER(O140),IF(COUNT(IF(A140=$A$2:$A$2427,IF(D140=$D$2:$D$2427,IF($X$2:$X$2427&gt;0,1))))&gt;0,SUM(IF(A140=$A$2:$A$2427,IF(D140=$D$2:$D$2427,$X$2:$X$2427)))/COUNT(IF(A140=$A$2:$A$2427,IF(D140=$D$2:$D$2427,IF(ISNUMBER($X$2:$X$2427),1)))),0),""),0)</f>
        <v/>
      </c>
      <c r="Z140" s="104" t="str">
        <f>IF(ISNUMBER(O140),IF(I140&gt;0,(10^(VLOOKUP(D140,'Species Codes'!B:C,2,0)+VLOOKUP(D140,'Species Codes'!B:D,3,0)*LOG(E140)+VLOOKUP(D140,'Species Codes'!B:E,4,0)*LOG(I140))),0),"")</f>
        <v/>
      </c>
      <c r="AA140" s="104" t="str">
        <f>IFERROR((VLOOKUP(D140,'Species Codes'!B:G,6,0)*Z140)/2000,"")</f>
        <v/>
      </c>
      <c r="AB140" s="104" t="e">
        <f>IF(Z140&gt;0,((IF(OR(D140="DF",D140="RA")=TRUE,EXP(VLOOKUP(D140,'Species Codes'!B:I,8,0)+VLOOKUP(D140,'Species Codes'!B:J,9,0)*(LN((E140*2.54)))),IF(OR(D140="PY",D140="RC",D140="WH",D140="NF")=TRUE,VLOOKUP(D140,'Species Codes'!B:I,8,0)+VLOOKUP(D140,'Species Codes'!B:J,9,0)*((E140*2.54)^2)*(I140*0.3048),IF(OR(D140="MD",D140="BM",D140="GA")=TRUE,((VLOOKUP(D140,'Species Codes'!B:I,8,0)*(((((E140*2.54)+VLOOKUP(D140,'Species Codes'!B:J,9,0))/VLOOKUP(D140,'Species Codes'!B:K,10,0))^VLOOKUP(D140,'Species Codes'!B:L,11,0))*((I140*0.3048)^VLOOKUP(D140,'Species Codes'!B:M,12,0))))-(VLOOKUP(D140,'Species Codes'!B:I,8,0)*((((E140*2.54)^VLOOKUP(D140,'Species Codes'!B:L,11,0))*((I140*0.3048)^VLOOKUP(D140,'Species Codes'!B:M,12,0))))))*35.3*VLOOKUP(D140,'Species Codes'!B:G,6,0)/2.2046,VLOOKUP(D140,'Species Codes'!B:I,8,0)+VLOOKUP(D140,'Species Codes'!B:J,9,0)*(((E140*2.54)/100)^2)*(I140*0.3048)))))*0.0011023),0)</f>
        <v>#N/A</v>
      </c>
      <c r="AC140" s="104" t="e">
        <f>IF(Z140&gt;0,((IF(OR(D140="RA",D140="OA",D140="OT",D140="UN",D140="PC"),EXP(VLOOKUP(D140,'Species Codes'!B:O,14,0)+VLOOKUP(D140,'Species Codes'!B:P,15,0)*LN((E140*2.54)))-EXP(VLOOKUP(D140,'Species Codes'!B:O,14,0)+VLOOKUP(D140,'Species Codes'!B:P,15,0)*LN((E140*2.54)))*(1/(VLOOKUP(D140,'Species Codes'!B:Q,16,0)+VLOOKUP(D140,'Species Codes'!B:R,17,0)*((E140*2.54)^VLOOKUP(D140,'Species Codes'!B:S,18,0)))),IF(OR(D140="BM",D140="MD",D140="OA"),EXP(VLOOKUP(D140,'Species Codes'!B:O,14,0)+VLOOKUP(D140,'Species Codes'!B:P,15,0)*LN((E140*2.54)))*(1-(1/(VLOOKUP(D140,'Species Codes'!B:Q,16,0)+VLOOKUP(D140,'Species Codes'!B:R,17,0)*((E140*2.54)^VLOOKUP(D140,'Species Codes'!B:S,18,0)))))/1000,IF(D140="DF",EXP(VLOOKUP(D140,'Species Codes'!B:O,14,0)+VLOOKUP(D140,'Species Codes'!B:P,15,0)*LN((E140*2.54))),VLOOKUP(D140,'Species Codes'!B:O,14,0)+VLOOKUP(D140,'Species Codes'!B:P,15,0)*(((E140*2.54)/100)^2)*(I140*0.3048)))))*0.0011023),0)</f>
        <v>#N/A</v>
      </c>
      <c r="AD140" s="104" t="e">
        <f t="shared" si="64"/>
        <v>#N/A</v>
      </c>
      <c r="AE140" s="104" t="e">
        <f t="shared" si="65"/>
        <v>#N/A</v>
      </c>
      <c r="AF140" s="104" t="e">
        <f>IF(AND(VLOOKUP($D140,Merchantability!$B:$C,2,0)="Yes",$E140&gt;=VLOOKUP($D140,Merchantability!$B:$D,3,0),$E140&lt;=VLOOKUP($D140,Merchantability!$B:$E,4,0)),AA140,0)</f>
        <v>#N/A</v>
      </c>
      <c r="AG140" s="104" t="e">
        <f>IF(AND(VLOOKUP($D140,Merchantability!$B:$C,2,0)="Yes",$E140&gt;=VLOOKUP($D140,Merchantability!$B:$D,3,0),$E140&lt;=VLOOKUP($D140,Merchantability!$B:$E,4,0)),AB140,0)</f>
        <v>#N/A</v>
      </c>
      <c r="AH140" s="104" t="e">
        <f>IF(AND(VLOOKUP($D140,Merchantability!$B:$C,2,0)="Yes",$E140&gt;=VLOOKUP($D140,Merchantability!$B:$D,3,0),$E140&lt;=VLOOKUP($D140,Merchantability!$B:$E,4,0)),AC140,0)</f>
        <v>#N/A</v>
      </c>
      <c r="AI140" s="104" t="e">
        <f t="shared" si="66"/>
        <v>#N/A</v>
      </c>
      <c r="AJ140" s="104" t="e">
        <f t="shared" si="67"/>
        <v>#VALUE!</v>
      </c>
      <c r="AK140" s="104" t="e">
        <f t="shared" si="68"/>
        <v>#N/A</v>
      </c>
      <c r="AL140" s="104" t="e">
        <f t="shared" si="69"/>
        <v>#N/A</v>
      </c>
      <c r="AM140" s="104" t="e">
        <f t="shared" si="70"/>
        <v>#N/A</v>
      </c>
      <c r="AN140" s="104" t="e">
        <f t="shared" si="71"/>
        <v>#N/A</v>
      </c>
      <c r="AO140" s="104" t="e">
        <f t="shared" si="72"/>
        <v>#N/A</v>
      </c>
      <c r="AP140" s="104" t="e">
        <f t="shared" si="73"/>
        <v>#N/A</v>
      </c>
      <c r="AQ140" s="104" t="e">
        <f t="shared" si="74"/>
        <v>#N/A</v>
      </c>
      <c r="AR140" s="105" t="str">
        <f t="shared" si="75"/>
        <v/>
      </c>
      <c r="AS140" s="105" t="str">
        <f t="shared" si="76"/>
        <v/>
      </c>
      <c r="AT140" s="108" t="str">
        <f t="shared" si="77"/>
        <v/>
      </c>
      <c r="AU140" s="108" t="str">
        <f t="shared" si="78"/>
        <v/>
      </c>
      <c r="AV140" s="107" t="str">
        <f>IF(ISNUMBER(O140),IF(VLOOKUP($A140,Stand!C:J,8,FALSE)="Short",AT140,AU140),"")</f>
        <v/>
      </c>
      <c r="AW140" s="109" t="str">
        <f t="shared" si="79"/>
        <v/>
      </c>
      <c r="AX140" s="109" t="str">
        <f t="shared" si="80"/>
        <v/>
      </c>
      <c r="AY140" s="112" t="str">
        <f>IF(ISNUMBER(O140),IF(AND(VLOOKUP($D140,Merchantability!$B:$C,2,0)="Yes",$E140&gt;=VLOOKUP($D140,Merchantability!$B:$D,3,0),$E140&lt;=VLOOKUP($D140,Merchantability!$B:$E,4,0)),(AV140*O140)*(1-$H140/100),""),"")</f>
        <v/>
      </c>
      <c r="AZ140" s="116"/>
      <c r="BA140" s="116"/>
      <c r="BB140" s="116"/>
      <c r="BE140" s="62"/>
      <c r="BF140" s="63"/>
    </row>
    <row r="141" spans="1:61" ht="12.75" customHeight="1" x14ac:dyDescent="0.25">
      <c r="A141" s="384"/>
      <c r="B141" s="380"/>
      <c r="C141" s="381"/>
      <c r="D141" s="380"/>
      <c r="E141" s="382"/>
      <c r="F141" s="331"/>
      <c r="G141" s="329"/>
      <c r="H141" s="329"/>
      <c r="I141" s="380"/>
      <c r="J141" s="381"/>
      <c r="K141" s="329"/>
      <c r="L141" s="329"/>
      <c r="M141" s="76"/>
      <c r="N141" s="103" t="str">
        <f>IF(A141="","",VLOOKUP(A141,Stand!C:K,9,0))</f>
        <v/>
      </c>
      <c r="O141" s="104" t="str">
        <f t="shared" si="54"/>
        <v/>
      </c>
      <c r="P141" s="105" t="str">
        <f t="shared" si="55"/>
        <v/>
      </c>
      <c r="Q141" s="105" t="str">
        <f t="shared" si="56"/>
        <v/>
      </c>
      <c r="R141" s="103" t="str">
        <f t="shared" si="57"/>
        <v/>
      </c>
      <c r="S141" s="103" t="str">
        <f t="shared" si="58"/>
        <v/>
      </c>
      <c r="T141" s="106" t="str">
        <f t="shared" si="59"/>
        <v/>
      </c>
      <c r="U141" s="106" t="str">
        <f t="shared" si="60"/>
        <v/>
      </c>
      <c r="V141" s="106" t="str">
        <f t="shared" si="61"/>
        <v/>
      </c>
      <c r="W141" s="105" t="str">
        <f t="shared" si="62"/>
        <v/>
      </c>
      <c r="X141" s="104" t="str">
        <f t="shared" si="63"/>
        <v/>
      </c>
      <c r="Y141" s="104" t="str">
        <f t="array" ref="Y141">IFERROR(IF(ISNUMBER(O141),IF(COUNT(IF(A141=$A$2:$A$2427,IF(D141=$D$2:$D$2427,IF($X$2:$X$2427&gt;0,1))))&gt;0,SUM(IF(A141=$A$2:$A$2427,IF(D141=$D$2:$D$2427,$X$2:$X$2427)))/COUNT(IF(A141=$A$2:$A$2427,IF(D141=$D$2:$D$2427,IF(ISNUMBER($X$2:$X$2427),1)))),0),""),0)</f>
        <v/>
      </c>
      <c r="Z141" s="104" t="str">
        <f>IF(ISNUMBER(O141),IF(I141&gt;0,(10^(VLOOKUP(D141,'Species Codes'!B:C,2,0)+VLOOKUP(D141,'Species Codes'!B:D,3,0)*LOG(E141)+VLOOKUP(D141,'Species Codes'!B:E,4,0)*LOG(I141))),0),"")</f>
        <v/>
      </c>
      <c r="AA141" s="104" t="str">
        <f>IFERROR((VLOOKUP(D141,'Species Codes'!B:G,6,0)*Z141)/2000,"")</f>
        <v/>
      </c>
      <c r="AB141" s="104" t="e">
        <f>IF(Z141&gt;0,((IF(OR(D141="DF",D141="RA")=TRUE,EXP(VLOOKUP(D141,'Species Codes'!B:I,8,0)+VLOOKUP(D141,'Species Codes'!B:J,9,0)*(LN((E141*2.54)))),IF(OR(D141="PY",D141="RC",D141="WH",D141="NF")=TRUE,VLOOKUP(D141,'Species Codes'!B:I,8,0)+VLOOKUP(D141,'Species Codes'!B:J,9,0)*((E141*2.54)^2)*(I141*0.3048),IF(OR(D141="MD",D141="BM",D141="GA")=TRUE,((VLOOKUP(D141,'Species Codes'!B:I,8,0)*(((((E141*2.54)+VLOOKUP(D141,'Species Codes'!B:J,9,0))/VLOOKUP(D141,'Species Codes'!B:K,10,0))^VLOOKUP(D141,'Species Codes'!B:L,11,0))*((I141*0.3048)^VLOOKUP(D141,'Species Codes'!B:M,12,0))))-(VLOOKUP(D141,'Species Codes'!B:I,8,0)*((((E141*2.54)^VLOOKUP(D141,'Species Codes'!B:L,11,0))*((I141*0.3048)^VLOOKUP(D141,'Species Codes'!B:M,12,0))))))*35.3*VLOOKUP(D141,'Species Codes'!B:G,6,0)/2.2046,VLOOKUP(D141,'Species Codes'!B:I,8,0)+VLOOKUP(D141,'Species Codes'!B:J,9,0)*(((E141*2.54)/100)^2)*(I141*0.3048)))))*0.0011023),0)</f>
        <v>#N/A</v>
      </c>
      <c r="AC141" s="104" t="e">
        <f>IF(Z141&gt;0,((IF(OR(D141="RA",D141="OA",D141="OT",D141="UN",D141="PC"),EXP(VLOOKUP(D141,'Species Codes'!B:O,14,0)+VLOOKUP(D141,'Species Codes'!B:P,15,0)*LN((E141*2.54)))-EXP(VLOOKUP(D141,'Species Codes'!B:O,14,0)+VLOOKUP(D141,'Species Codes'!B:P,15,0)*LN((E141*2.54)))*(1/(VLOOKUP(D141,'Species Codes'!B:Q,16,0)+VLOOKUP(D141,'Species Codes'!B:R,17,0)*((E141*2.54)^VLOOKUP(D141,'Species Codes'!B:S,18,0)))),IF(OR(D141="BM",D141="MD",D141="OA"),EXP(VLOOKUP(D141,'Species Codes'!B:O,14,0)+VLOOKUP(D141,'Species Codes'!B:P,15,0)*LN((E141*2.54)))*(1-(1/(VLOOKUP(D141,'Species Codes'!B:Q,16,0)+VLOOKUP(D141,'Species Codes'!B:R,17,0)*((E141*2.54)^VLOOKUP(D141,'Species Codes'!B:S,18,0)))))/1000,IF(D141="DF",EXP(VLOOKUP(D141,'Species Codes'!B:O,14,0)+VLOOKUP(D141,'Species Codes'!B:P,15,0)*LN((E141*2.54))),VLOOKUP(D141,'Species Codes'!B:O,14,0)+VLOOKUP(D141,'Species Codes'!B:P,15,0)*(((E141*2.54)/100)^2)*(I141*0.3048)))))*0.0011023),0)</f>
        <v>#N/A</v>
      </c>
      <c r="AD141" s="104" t="e">
        <f t="shared" si="64"/>
        <v>#N/A</v>
      </c>
      <c r="AE141" s="104" t="e">
        <f t="shared" si="65"/>
        <v>#N/A</v>
      </c>
      <c r="AF141" s="104" t="e">
        <f>IF(AND(VLOOKUP($D141,Merchantability!$B:$C,2,0)="Yes",$E141&gt;=VLOOKUP($D141,Merchantability!$B:$D,3,0),$E141&lt;=VLOOKUP($D141,Merchantability!$B:$E,4,0)),AA141,0)</f>
        <v>#N/A</v>
      </c>
      <c r="AG141" s="104" t="e">
        <f>IF(AND(VLOOKUP($D141,Merchantability!$B:$C,2,0)="Yes",$E141&gt;=VLOOKUP($D141,Merchantability!$B:$D,3,0),$E141&lt;=VLOOKUP($D141,Merchantability!$B:$E,4,0)),AB141,0)</f>
        <v>#N/A</v>
      </c>
      <c r="AH141" s="104" t="e">
        <f>IF(AND(VLOOKUP($D141,Merchantability!$B:$C,2,0)="Yes",$E141&gt;=VLOOKUP($D141,Merchantability!$B:$D,3,0),$E141&lt;=VLOOKUP($D141,Merchantability!$B:$E,4,0)),AC141,0)</f>
        <v>#N/A</v>
      </c>
      <c r="AI141" s="104" t="e">
        <f t="shared" si="66"/>
        <v>#N/A</v>
      </c>
      <c r="AJ141" s="104" t="e">
        <f t="shared" si="67"/>
        <v>#VALUE!</v>
      </c>
      <c r="AK141" s="104" t="e">
        <f t="shared" si="68"/>
        <v>#N/A</v>
      </c>
      <c r="AL141" s="104" t="e">
        <f t="shared" si="69"/>
        <v>#N/A</v>
      </c>
      <c r="AM141" s="104" t="e">
        <f t="shared" si="70"/>
        <v>#N/A</v>
      </c>
      <c r="AN141" s="104" t="e">
        <f t="shared" si="71"/>
        <v>#N/A</v>
      </c>
      <c r="AO141" s="104" t="e">
        <f t="shared" si="72"/>
        <v>#N/A</v>
      </c>
      <c r="AP141" s="104" t="e">
        <f t="shared" si="73"/>
        <v>#N/A</v>
      </c>
      <c r="AQ141" s="104" t="e">
        <f t="shared" si="74"/>
        <v>#N/A</v>
      </c>
      <c r="AR141" s="105" t="str">
        <f t="shared" si="75"/>
        <v/>
      </c>
      <c r="AS141" s="105" t="str">
        <f t="shared" si="76"/>
        <v/>
      </c>
      <c r="AT141" s="108" t="str">
        <f t="shared" si="77"/>
        <v/>
      </c>
      <c r="AU141" s="108" t="str">
        <f t="shared" si="78"/>
        <v/>
      </c>
      <c r="AV141" s="107" t="str">
        <f>IF(ISNUMBER(O141),IF(VLOOKUP($A141,Stand!C:J,8,FALSE)="Short",AT141,AU141),"")</f>
        <v/>
      </c>
      <c r="AW141" s="109" t="str">
        <f t="shared" si="79"/>
        <v/>
      </c>
      <c r="AX141" s="109" t="str">
        <f t="shared" si="80"/>
        <v/>
      </c>
      <c r="AY141" s="112" t="str">
        <f>IF(ISNUMBER(O141),IF(AND(VLOOKUP($D141,Merchantability!$B:$C,2,0)="Yes",$E141&gt;=VLOOKUP($D141,Merchantability!$B:$D,3,0),$E141&lt;=VLOOKUP($D141,Merchantability!$B:$E,4,0)),(AV141*O141)*(1-$H141/100),""),"")</f>
        <v/>
      </c>
      <c r="AZ141" s="116"/>
      <c r="BA141" s="116"/>
      <c r="BB141" s="116"/>
      <c r="BE141" s="62"/>
      <c r="BF141" s="63"/>
    </row>
    <row r="142" spans="1:61" ht="12.75" customHeight="1" x14ac:dyDescent="0.25">
      <c r="A142" s="384"/>
      <c r="B142" s="380"/>
      <c r="C142" s="381"/>
      <c r="D142" s="380"/>
      <c r="E142" s="382"/>
      <c r="F142" s="331"/>
      <c r="G142" s="329"/>
      <c r="H142" s="329"/>
      <c r="I142" s="380"/>
      <c r="J142" s="381"/>
      <c r="K142" s="329"/>
      <c r="L142" s="329"/>
      <c r="M142" s="76"/>
      <c r="N142" s="103" t="str">
        <f>IF(A142="","",VLOOKUP(A142,Stand!C:K,9,0))</f>
        <v/>
      </c>
      <c r="O142" s="104" t="str">
        <f t="shared" si="54"/>
        <v/>
      </c>
      <c r="P142" s="105" t="str">
        <f t="shared" si="55"/>
        <v/>
      </c>
      <c r="Q142" s="105" t="str">
        <f t="shared" si="56"/>
        <v/>
      </c>
      <c r="R142" s="103" t="str">
        <f t="shared" si="57"/>
        <v/>
      </c>
      <c r="S142" s="103" t="str">
        <f t="shared" si="58"/>
        <v/>
      </c>
      <c r="T142" s="106" t="str">
        <f t="shared" si="59"/>
        <v/>
      </c>
      <c r="U142" s="106" t="str">
        <f t="shared" si="60"/>
        <v/>
      </c>
      <c r="V142" s="106" t="str">
        <f t="shared" si="61"/>
        <v/>
      </c>
      <c r="W142" s="105" t="str">
        <f t="shared" si="62"/>
        <v/>
      </c>
      <c r="X142" s="104" t="str">
        <f t="shared" si="63"/>
        <v/>
      </c>
      <c r="Y142" s="104" t="str">
        <f t="array" ref="Y142">IFERROR(IF(ISNUMBER(O142),IF(COUNT(IF(A142=$A$2:$A$2427,IF(D142=$D$2:$D$2427,IF($X$2:$X$2427&gt;0,1))))&gt;0,SUM(IF(A142=$A$2:$A$2427,IF(D142=$D$2:$D$2427,$X$2:$X$2427)))/COUNT(IF(A142=$A$2:$A$2427,IF(D142=$D$2:$D$2427,IF(ISNUMBER($X$2:$X$2427),1)))),0),""),0)</f>
        <v/>
      </c>
      <c r="Z142" s="104" t="str">
        <f>IF(ISNUMBER(O142),IF(I142&gt;0,(10^(VLOOKUP(D142,'Species Codes'!B:C,2,0)+VLOOKUP(D142,'Species Codes'!B:D,3,0)*LOG(E142)+VLOOKUP(D142,'Species Codes'!B:E,4,0)*LOG(I142))),0),"")</f>
        <v/>
      </c>
      <c r="AA142" s="104" t="str">
        <f>IFERROR((VLOOKUP(D142,'Species Codes'!B:G,6,0)*Z142)/2000,"")</f>
        <v/>
      </c>
      <c r="AB142" s="104" t="e">
        <f>IF(Z142&gt;0,((IF(OR(D142="DF",D142="RA")=TRUE,EXP(VLOOKUP(D142,'Species Codes'!B:I,8,0)+VLOOKUP(D142,'Species Codes'!B:J,9,0)*(LN((E142*2.54)))),IF(OR(D142="PY",D142="RC",D142="WH",D142="NF")=TRUE,VLOOKUP(D142,'Species Codes'!B:I,8,0)+VLOOKUP(D142,'Species Codes'!B:J,9,0)*((E142*2.54)^2)*(I142*0.3048),IF(OR(D142="MD",D142="BM",D142="GA")=TRUE,((VLOOKUP(D142,'Species Codes'!B:I,8,0)*(((((E142*2.54)+VLOOKUP(D142,'Species Codes'!B:J,9,0))/VLOOKUP(D142,'Species Codes'!B:K,10,0))^VLOOKUP(D142,'Species Codes'!B:L,11,0))*((I142*0.3048)^VLOOKUP(D142,'Species Codes'!B:M,12,0))))-(VLOOKUP(D142,'Species Codes'!B:I,8,0)*((((E142*2.54)^VLOOKUP(D142,'Species Codes'!B:L,11,0))*((I142*0.3048)^VLOOKUP(D142,'Species Codes'!B:M,12,0))))))*35.3*VLOOKUP(D142,'Species Codes'!B:G,6,0)/2.2046,VLOOKUP(D142,'Species Codes'!B:I,8,0)+VLOOKUP(D142,'Species Codes'!B:J,9,0)*(((E142*2.54)/100)^2)*(I142*0.3048)))))*0.0011023),0)</f>
        <v>#N/A</v>
      </c>
      <c r="AC142" s="104" t="e">
        <f>IF(Z142&gt;0,((IF(OR(D142="RA",D142="OA",D142="OT",D142="UN",D142="PC"),EXP(VLOOKUP(D142,'Species Codes'!B:O,14,0)+VLOOKUP(D142,'Species Codes'!B:P,15,0)*LN((E142*2.54)))-EXP(VLOOKUP(D142,'Species Codes'!B:O,14,0)+VLOOKUP(D142,'Species Codes'!B:P,15,0)*LN((E142*2.54)))*(1/(VLOOKUP(D142,'Species Codes'!B:Q,16,0)+VLOOKUP(D142,'Species Codes'!B:R,17,0)*((E142*2.54)^VLOOKUP(D142,'Species Codes'!B:S,18,0)))),IF(OR(D142="BM",D142="MD",D142="OA"),EXP(VLOOKUP(D142,'Species Codes'!B:O,14,0)+VLOOKUP(D142,'Species Codes'!B:P,15,0)*LN((E142*2.54)))*(1-(1/(VLOOKUP(D142,'Species Codes'!B:Q,16,0)+VLOOKUP(D142,'Species Codes'!B:R,17,0)*((E142*2.54)^VLOOKUP(D142,'Species Codes'!B:S,18,0)))))/1000,IF(D142="DF",EXP(VLOOKUP(D142,'Species Codes'!B:O,14,0)+VLOOKUP(D142,'Species Codes'!B:P,15,0)*LN((E142*2.54))),VLOOKUP(D142,'Species Codes'!B:O,14,0)+VLOOKUP(D142,'Species Codes'!B:P,15,0)*(((E142*2.54)/100)^2)*(I142*0.3048)))))*0.0011023),0)</f>
        <v>#N/A</v>
      </c>
      <c r="AD142" s="104" t="e">
        <f t="shared" si="64"/>
        <v>#N/A</v>
      </c>
      <c r="AE142" s="104" t="e">
        <f t="shared" si="65"/>
        <v>#N/A</v>
      </c>
      <c r="AF142" s="104" t="e">
        <f>IF(AND(VLOOKUP($D142,Merchantability!$B:$C,2,0)="Yes",$E142&gt;=VLOOKUP($D142,Merchantability!$B:$D,3,0),$E142&lt;=VLOOKUP($D142,Merchantability!$B:$E,4,0)),AA142,0)</f>
        <v>#N/A</v>
      </c>
      <c r="AG142" s="104" t="e">
        <f>IF(AND(VLOOKUP($D142,Merchantability!$B:$C,2,0)="Yes",$E142&gt;=VLOOKUP($D142,Merchantability!$B:$D,3,0),$E142&lt;=VLOOKUP($D142,Merchantability!$B:$E,4,0)),AB142,0)</f>
        <v>#N/A</v>
      </c>
      <c r="AH142" s="104" t="e">
        <f>IF(AND(VLOOKUP($D142,Merchantability!$B:$C,2,0)="Yes",$E142&gt;=VLOOKUP($D142,Merchantability!$B:$D,3,0),$E142&lt;=VLOOKUP($D142,Merchantability!$B:$E,4,0)),AC142,0)</f>
        <v>#N/A</v>
      </c>
      <c r="AI142" s="104" t="e">
        <f t="shared" si="66"/>
        <v>#N/A</v>
      </c>
      <c r="AJ142" s="104" t="e">
        <f t="shared" si="67"/>
        <v>#VALUE!</v>
      </c>
      <c r="AK142" s="104" t="e">
        <f t="shared" si="68"/>
        <v>#N/A</v>
      </c>
      <c r="AL142" s="104" t="e">
        <f t="shared" si="69"/>
        <v>#N/A</v>
      </c>
      <c r="AM142" s="104" t="e">
        <f t="shared" si="70"/>
        <v>#N/A</v>
      </c>
      <c r="AN142" s="104" t="e">
        <f t="shared" si="71"/>
        <v>#N/A</v>
      </c>
      <c r="AO142" s="104" t="e">
        <f t="shared" si="72"/>
        <v>#N/A</v>
      </c>
      <c r="AP142" s="104" t="e">
        <f t="shared" si="73"/>
        <v>#N/A</v>
      </c>
      <c r="AQ142" s="104" t="e">
        <f t="shared" si="74"/>
        <v>#N/A</v>
      </c>
      <c r="AR142" s="105" t="str">
        <f t="shared" si="75"/>
        <v/>
      </c>
      <c r="AS142" s="105" t="str">
        <f t="shared" si="76"/>
        <v/>
      </c>
      <c r="AT142" s="108" t="str">
        <f t="shared" si="77"/>
        <v/>
      </c>
      <c r="AU142" s="108" t="str">
        <f t="shared" si="78"/>
        <v/>
      </c>
      <c r="AV142" s="107" t="str">
        <f>IF(ISNUMBER(O142),IF(VLOOKUP($A142,Stand!C:J,8,FALSE)="Short",AT142,AU142),"")</f>
        <v/>
      </c>
      <c r="AW142" s="109" t="str">
        <f t="shared" si="79"/>
        <v/>
      </c>
      <c r="AX142" s="109" t="str">
        <f t="shared" si="80"/>
        <v/>
      </c>
      <c r="AY142" s="112" t="str">
        <f>IF(ISNUMBER(O142),IF(AND(VLOOKUP($D142,Merchantability!$B:$C,2,0)="Yes",$E142&gt;=VLOOKUP($D142,Merchantability!$B:$D,3,0),$E142&lt;=VLOOKUP($D142,Merchantability!$B:$E,4,0)),(AV142*O142)*(1-$H142/100),""),"")</f>
        <v/>
      </c>
      <c r="AZ142" s="116"/>
      <c r="BA142" s="116"/>
      <c r="BB142" s="116"/>
      <c r="BE142" s="62"/>
      <c r="BF142" s="63"/>
    </row>
    <row r="143" spans="1:61" ht="12.75" customHeight="1" x14ac:dyDescent="0.25">
      <c r="A143" s="384"/>
      <c r="B143" s="380"/>
      <c r="C143" s="381"/>
      <c r="D143" s="380"/>
      <c r="E143" s="382"/>
      <c r="F143" s="331"/>
      <c r="G143" s="329"/>
      <c r="H143" s="329"/>
      <c r="I143" s="380"/>
      <c r="J143" s="381"/>
      <c r="K143" s="329"/>
      <c r="L143" s="329"/>
      <c r="M143" s="76"/>
      <c r="N143" s="103" t="str">
        <f>IF(A143="","",VLOOKUP(A143,Stand!C:K,9,0))</f>
        <v/>
      </c>
      <c r="O143" s="104" t="str">
        <f t="shared" si="54"/>
        <v/>
      </c>
      <c r="P143" s="105" t="str">
        <f t="shared" si="55"/>
        <v/>
      </c>
      <c r="Q143" s="105" t="str">
        <f t="shared" si="56"/>
        <v/>
      </c>
      <c r="R143" s="103" t="str">
        <f t="shared" si="57"/>
        <v/>
      </c>
      <c r="S143" s="103" t="str">
        <f t="shared" si="58"/>
        <v/>
      </c>
      <c r="T143" s="106" t="str">
        <f t="shared" si="59"/>
        <v/>
      </c>
      <c r="U143" s="106" t="str">
        <f t="shared" si="60"/>
        <v/>
      </c>
      <c r="V143" s="106" t="str">
        <f t="shared" si="61"/>
        <v/>
      </c>
      <c r="W143" s="105" t="str">
        <f t="shared" si="62"/>
        <v/>
      </c>
      <c r="X143" s="104" t="str">
        <f t="shared" si="63"/>
        <v/>
      </c>
      <c r="Y143" s="104" t="str">
        <f t="array" ref="Y143">IFERROR(IF(ISNUMBER(O143),IF(COUNT(IF(A143=$A$2:$A$2427,IF(D143=$D$2:$D$2427,IF($X$2:$X$2427&gt;0,1))))&gt;0,SUM(IF(A143=$A$2:$A$2427,IF(D143=$D$2:$D$2427,$X$2:$X$2427)))/COUNT(IF(A143=$A$2:$A$2427,IF(D143=$D$2:$D$2427,IF(ISNUMBER($X$2:$X$2427),1)))),0),""),0)</f>
        <v/>
      </c>
      <c r="Z143" s="104" t="str">
        <f>IF(ISNUMBER(O143),IF(I143&gt;0,(10^(VLOOKUP(D143,'Species Codes'!B:C,2,0)+VLOOKUP(D143,'Species Codes'!B:D,3,0)*LOG(E143)+VLOOKUP(D143,'Species Codes'!B:E,4,0)*LOG(I143))),0),"")</f>
        <v/>
      </c>
      <c r="AA143" s="104" t="str">
        <f>IFERROR((VLOOKUP(D143,'Species Codes'!B:G,6,0)*Z143)/2000,"")</f>
        <v/>
      </c>
      <c r="AB143" s="104" t="e">
        <f>IF(Z143&gt;0,((IF(OR(D143="DF",D143="RA")=TRUE,EXP(VLOOKUP(D143,'Species Codes'!B:I,8,0)+VLOOKUP(D143,'Species Codes'!B:J,9,0)*(LN((E143*2.54)))),IF(OR(D143="PY",D143="RC",D143="WH",D143="NF")=TRUE,VLOOKUP(D143,'Species Codes'!B:I,8,0)+VLOOKUP(D143,'Species Codes'!B:J,9,0)*((E143*2.54)^2)*(I143*0.3048),IF(OR(D143="MD",D143="BM",D143="GA")=TRUE,((VLOOKUP(D143,'Species Codes'!B:I,8,0)*(((((E143*2.54)+VLOOKUP(D143,'Species Codes'!B:J,9,0))/VLOOKUP(D143,'Species Codes'!B:K,10,0))^VLOOKUP(D143,'Species Codes'!B:L,11,0))*((I143*0.3048)^VLOOKUP(D143,'Species Codes'!B:M,12,0))))-(VLOOKUP(D143,'Species Codes'!B:I,8,0)*((((E143*2.54)^VLOOKUP(D143,'Species Codes'!B:L,11,0))*((I143*0.3048)^VLOOKUP(D143,'Species Codes'!B:M,12,0))))))*35.3*VLOOKUP(D143,'Species Codes'!B:G,6,0)/2.2046,VLOOKUP(D143,'Species Codes'!B:I,8,0)+VLOOKUP(D143,'Species Codes'!B:J,9,0)*(((E143*2.54)/100)^2)*(I143*0.3048)))))*0.0011023),0)</f>
        <v>#N/A</v>
      </c>
      <c r="AC143" s="104" t="e">
        <f>IF(Z143&gt;0,((IF(OR(D143="RA",D143="OA",D143="OT",D143="UN",D143="PC"),EXP(VLOOKUP(D143,'Species Codes'!B:O,14,0)+VLOOKUP(D143,'Species Codes'!B:P,15,0)*LN((E143*2.54)))-EXP(VLOOKUP(D143,'Species Codes'!B:O,14,0)+VLOOKUP(D143,'Species Codes'!B:P,15,0)*LN((E143*2.54)))*(1/(VLOOKUP(D143,'Species Codes'!B:Q,16,0)+VLOOKUP(D143,'Species Codes'!B:R,17,0)*((E143*2.54)^VLOOKUP(D143,'Species Codes'!B:S,18,0)))),IF(OR(D143="BM",D143="MD",D143="OA"),EXP(VLOOKUP(D143,'Species Codes'!B:O,14,0)+VLOOKUP(D143,'Species Codes'!B:P,15,0)*LN((E143*2.54)))*(1-(1/(VLOOKUP(D143,'Species Codes'!B:Q,16,0)+VLOOKUP(D143,'Species Codes'!B:R,17,0)*((E143*2.54)^VLOOKUP(D143,'Species Codes'!B:S,18,0)))))/1000,IF(D143="DF",EXP(VLOOKUP(D143,'Species Codes'!B:O,14,0)+VLOOKUP(D143,'Species Codes'!B:P,15,0)*LN((E143*2.54))),VLOOKUP(D143,'Species Codes'!B:O,14,0)+VLOOKUP(D143,'Species Codes'!B:P,15,0)*(((E143*2.54)/100)^2)*(I143*0.3048)))))*0.0011023),0)</f>
        <v>#N/A</v>
      </c>
      <c r="AD143" s="104" t="e">
        <f t="shared" si="64"/>
        <v>#N/A</v>
      </c>
      <c r="AE143" s="104" t="e">
        <f t="shared" si="65"/>
        <v>#N/A</v>
      </c>
      <c r="AF143" s="104" t="e">
        <f>IF(AND(VLOOKUP($D143,Merchantability!$B:$C,2,0)="Yes",$E143&gt;=VLOOKUP($D143,Merchantability!$B:$D,3,0),$E143&lt;=VLOOKUP($D143,Merchantability!$B:$E,4,0)),AA143,0)</f>
        <v>#N/A</v>
      </c>
      <c r="AG143" s="104" t="e">
        <f>IF(AND(VLOOKUP($D143,Merchantability!$B:$C,2,0)="Yes",$E143&gt;=VLOOKUP($D143,Merchantability!$B:$D,3,0),$E143&lt;=VLOOKUP($D143,Merchantability!$B:$E,4,0)),AB143,0)</f>
        <v>#N/A</v>
      </c>
      <c r="AH143" s="104" t="e">
        <f>IF(AND(VLOOKUP($D143,Merchantability!$B:$C,2,0)="Yes",$E143&gt;=VLOOKUP($D143,Merchantability!$B:$D,3,0),$E143&lt;=VLOOKUP($D143,Merchantability!$B:$E,4,0)),AC143,0)</f>
        <v>#N/A</v>
      </c>
      <c r="AI143" s="104" t="e">
        <f t="shared" si="66"/>
        <v>#N/A</v>
      </c>
      <c r="AJ143" s="104" t="e">
        <f t="shared" si="67"/>
        <v>#VALUE!</v>
      </c>
      <c r="AK143" s="104" t="e">
        <f t="shared" si="68"/>
        <v>#N/A</v>
      </c>
      <c r="AL143" s="104" t="e">
        <f t="shared" si="69"/>
        <v>#N/A</v>
      </c>
      <c r="AM143" s="104" t="e">
        <f t="shared" si="70"/>
        <v>#N/A</v>
      </c>
      <c r="AN143" s="104" t="e">
        <f t="shared" si="71"/>
        <v>#N/A</v>
      </c>
      <c r="AO143" s="104" t="e">
        <f t="shared" si="72"/>
        <v>#N/A</v>
      </c>
      <c r="AP143" s="104" t="e">
        <f t="shared" si="73"/>
        <v>#N/A</v>
      </c>
      <c r="AQ143" s="104" t="e">
        <f t="shared" si="74"/>
        <v>#N/A</v>
      </c>
      <c r="AR143" s="105" t="str">
        <f t="shared" si="75"/>
        <v/>
      </c>
      <c r="AS143" s="105" t="str">
        <f t="shared" si="76"/>
        <v/>
      </c>
      <c r="AT143" s="108" t="str">
        <f t="shared" si="77"/>
        <v/>
      </c>
      <c r="AU143" s="108" t="str">
        <f t="shared" si="78"/>
        <v/>
      </c>
      <c r="AV143" s="107" t="str">
        <f>IF(ISNUMBER(O143),IF(VLOOKUP($A143,Stand!C:J,8,FALSE)="Short",AT143,AU143),"")</f>
        <v/>
      </c>
      <c r="AW143" s="109" t="str">
        <f t="shared" si="79"/>
        <v/>
      </c>
      <c r="AX143" s="109" t="str">
        <f t="shared" si="80"/>
        <v/>
      </c>
      <c r="AY143" s="112" t="str">
        <f>IF(ISNUMBER(O143),IF(AND(VLOOKUP($D143,Merchantability!$B:$C,2,0)="Yes",$E143&gt;=VLOOKUP($D143,Merchantability!$B:$D,3,0),$E143&lt;=VLOOKUP($D143,Merchantability!$B:$E,4,0)),(AV143*O143)*(1-$H143/100),""),"")</f>
        <v/>
      </c>
      <c r="AZ143" s="116"/>
      <c r="BA143" s="116"/>
      <c r="BB143" s="116"/>
      <c r="BE143" s="62"/>
      <c r="BF143" s="63"/>
    </row>
    <row r="144" spans="1:61" ht="12.75" customHeight="1" x14ac:dyDescent="0.25">
      <c r="A144" s="384"/>
      <c r="B144" s="380"/>
      <c r="C144" s="381"/>
      <c r="D144" s="380"/>
      <c r="E144" s="382"/>
      <c r="F144" s="331"/>
      <c r="G144" s="329"/>
      <c r="H144" s="329"/>
      <c r="I144" s="380"/>
      <c r="J144" s="381"/>
      <c r="K144" s="329"/>
      <c r="L144" s="329"/>
      <c r="M144" s="76"/>
      <c r="N144" s="103" t="str">
        <f>IF(A144="","",VLOOKUP(A144,Stand!C:K,9,0))</f>
        <v/>
      </c>
      <c r="O144" s="104" t="str">
        <f t="shared" si="54"/>
        <v/>
      </c>
      <c r="P144" s="105" t="str">
        <f t="shared" si="55"/>
        <v/>
      </c>
      <c r="Q144" s="105" t="str">
        <f t="shared" si="56"/>
        <v/>
      </c>
      <c r="R144" s="103" t="str">
        <f t="shared" si="57"/>
        <v/>
      </c>
      <c r="S144" s="103" t="str">
        <f t="shared" si="58"/>
        <v/>
      </c>
      <c r="T144" s="106" t="str">
        <f t="shared" si="59"/>
        <v/>
      </c>
      <c r="U144" s="106" t="str">
        <f t="shared" si="60"/>
        <v/>
      </c>
      <c r="V144" s="106" t="str">
        <f t="shared" si="61"/>
        <v/>
      </c>
      <c r="W144" s="105" t="str">
        <f t="shared" si="62"/>
        <v/>
      </c>
      <c r="X144" s="104" t="str">
        <f t="shared" si="63"/>
        <v/>
      </c>
      <c r="Y144" s="104" t="str">
        <f t="array" ref="Y144">IFERROR(IF(ISNUMBER(O144),IF(COUNT(IF(A144=$A$2:$A$2427,IF(D144=$D$2:$D$2427,IF($X$2:$X$2427&gt;0,1))))&gt;0,SUM(IF(A144=$A$2:$A$2427,IF(D144=$D$2:$D$2427,$X$2:$X$2427)))/COUNT(IF(A144=$A$2:$A$2427,IF(D144=$D$2:$D$2427,IF(ISNUMBER($X$2:$X$2427),1)))),0),""),0)</f>
        <v/>
      </c>
      <c r="Z144" s="104" t="str">
        <f>IF(ISNUMBER(O144),IF(I144&gt;0,(10^(VLOOKUP(D144,'Species Codes'!B:C,2,0)+VLOOKUP(D144,'Species Codes'!B:D,3,0)*LOG(E144)+VLOOKUP(D144,'Species Codes'!B:E,4,0)*LOG(I144))),0),"")</f>
        <v/>
      </c>
      <c r="AA144" s="104" t="str">
        <f>IFERROR((VLOOKUP(D144,'Species Codes'!B:G,6,0)*Z144)/2000,"")</f>
        <v/>
      </c>
      <c r="AB144" s="104" t="e">
        <f>IF(Z144&gt;0,((IF(OR(D144="DF",D144="RA")=TRUE,EXP(VLOOKUP(D144,'Species Codes'!B:I,8,0)+VLOOKUP(D144,'Species Codes'!B:J,9,0)*(LN((E144*2.54)))),IF(OR(D144="PY",D144="RC",D144="WH",D144="NF")=TRUE,VLOOKUP(D144,'Species Codes'!B:I,8,0)+VLOOKUP(D144,'Species Codes'!B:J,9,0)*((E144*2.54)^2)*(I144*0.3048),IF(OR(D144="MD",D144="BM",D144="GA")=TRUE,((VLOOKUP(D144,'Species Codes'!B:I,8,0)*(((((E144*2.54)+VLOOKUP(D144,'Species Codes'!B:J,9,0))/VLOOKUP(D144,'Species Codes'!B:K,10,0))^VLOOKUP(D144,'Species Codes'!B:L,11,0))*((I144*0.3048)^VLOOKUP(D144,'Species Codes'!B:M,12,0))))-(VLOOKUP(D144,'Species Codes'!B:I,8,0)*((((E144*2.54)^VLOOKUP(D144,'Species Codes'!B:L,11,0))*((I144*0.3048)^VLOOKUP(D144,'Species Codes'!B:M,12,0))))))*35.3*VLOOKUP(D144,'Species Codes'!B:G,6,0)/2.2046,VLOOKUP(D144,'Species Codes'!B:I,8,0)+VLOOKUP(D144,'Species Codes'!B:J,9,0)*(((E144*2.54)/100)^2)*(I144*0.3048)))))*0.0011023),0)</f>
        <v>#N/A</v>
      </c>
      <c r="AC144" s="104" t="e">
        <f>IF(Z144&gt;0,((IF(OR(D144="RA",D144="OA",D144="OT",D144="UN",D144="PC"),EXP(VLOOKUP(D144,'Species Codes'!B:O,14,0)+VLOOKUP(D144,'Species Codes'!B:P,15,0)*LN((E144*2.54)))-EXP(VLOOKUP(D144,'Species Codes'!B:O,14,0)+VLOOKUP(D144,'Species Codes'!B:P,15,0)*LN((E144*2.54)))*(1/(VLOOKUP(D144,'Species Codes'!B:Q,16,0)+VLOOKUP(D144,'Species Codes'!B:R,17,0)*((E144*2.54)^VLOOKUP(D144,'Species Codes'!B:S,18,0)))),IF(OR(D144="BM",D144="MD",D144="OA"),EXP(VLOOKUP(D144,'Species Codes'!B:O,14,0)+VLOOKUP(D144,'Species Codes'!B:P,15,0)*LN((E144*2.54)))*(1-(1/(VLOOKUP(D144,'Species Codes'!B:Q,16,0)+VLOOKUP(D144,'Species Codes'!B:R,17,0)*((E144*2.54)^VLOOKUP(D144,'Species Codes'!B:S,18,0)))))/1000,IF(D144="DF",EXP(VLOOKUP(D144,'Species Codes'!B:O,14,0)+VLOOKUP(D144,'Species Codes'!B:P,15,0)*LN((E144*2.54))),VLOOKUP(D144,'Species Codes'!B:O,14,0)+VLOOKUP(D144,'Species Codes'!B:P,15,0)*(((E144*2.54)/100)^2)*(I144*0.3048)))))*0.0011023),0)</f>
        <v>#N/A</v>
      </c>
      <c r="AD144" s="104" t="e">
        <f t="shared" si="64"/>
        <v>#N/A</v>
      </c>
      <c r="AE144" s="104" t="e">
        <f t="shared" si="65"/>
        <v>#N/A</v>
      </c>
      <c r="AF144" s="104" t="e">
        <f>IF(AND(VLOOKUP($D144,Merchantability!$B:$C,2,0)="Yes",$E144&gt;=VLOOKUP($D144,Merchantability!$B:$D,3,0),$E144&lt;=VLOOKUP($D144,Merchantability!$B:$E,4,0)),AA144,0)</f>
        <v>#N/A</v>
      </c>
      <c r="AG144" s="104" t="e">
        <f>IF(AND(VLOOKUP($D144,Merchantability!$B:$C,2,0)="Yes",$E144&gt;=VLOOKUP($D144,Merchantability!$B:$D,3,0),$E144&lt;=VLOOKUP($D144,Merchantability!$B:$E,4,0)),AB144,0)</f>
        <v>#N/A</v>
      </c>
      <c r="AH144" s="104" t="e">
        <f>IF(AND(VLOOKUP($D144,Merchantability!$B:$C,2,0)="Yes",$E144&gt;=VLOOKUP($D144,Merchantability!$B:$D,3,0),$E144&lt;=VLOOKUP($D144,Merchantability!$B:$E,4,0)),AC144,0)</f>
        <v>#N/A</v>
      </c>
      <c r="AI144" s="104" t="e">
        <f t="shared" si="66"/>
        <v>#N/A</v>
      </c>
      <c r="AJ144" s="104" t="e">
        <f t="shared" si="67"/>
        <v>#VALUE!</v>
      </c>
      <c r="AK144" s="104" t="e">
        <f t="shared" si="68"/>
        <v>#N/A</v>
      </c>
      <c r="AL144" s="104" t="e">
        <f t="shared" si="69"/>
        <v>#N/A</v>
      </c>
      <c r="AM144" s="104" t="e">
        <f t="shared" si="70"/>
        <v>#N/A</v>
      </c>
      <c r="AN144" s="104" t="e">
        <f t="shared" si="71"/>
        <v>#N/A</v>
      </c>
      <c r="AO144" s="104" t="e">
        <f t="shared" si="72"/>
        <v>#N/A</v>
      </c>
      <c r="AP144" s="104" t="e">
        <f t="shared" si="73"/>
        <v>#N/A</v>
      </c>
      <c r="AQ144" s="104" t="e">
        <f t="shared" si="74"/>
        <v>#N/A</v>
      </c>
      <c r="AR144" s="105" t="str">
        <f t="shared" si="75"/>
        <v/>
      </c>
      <c r="AS144" s="105" t="str">
        <f t="shared" si="76"/>
        <v/>
      </c>
      <c r="AT144" s="108" t="str">
        <f t="shared" si="77"/>
        <v/>
      </c>
      <c r="AU144" s="108" t="str">
        <f t="shared" si="78"/>
        <v/>
      </c>
      <c r="AV144" s="107" t="str">
        <f>IF(ISNUMBER(O144),IF(VLOOKUP($A144,Stand!C:J,8,FALSE)="Short",AT144,AU144),"")</f>
        <v/>
      </c>
      <c r="AW144" s="109" t="str">
        <f t="shared" si="79"/>
        <v/>
      </c>
      <c r="AX144" s="109" t="str">
        <f t="shared" si="80"/>
        <v/>
      </c>
      <c r="AY144" s="112" t="str">
        <f>IF(ISNUMBER(O144),IF(AND(VLOOKUP($D144,Merchantability!$B:$C,2,0)="Yes",$E144&gt;=VLOOKUP($D144,Merchantability!$B:$D,3,0),$E144&lt;=VLOOKUP($D144,Merchantability!$B:$E,4,0)),(AV144*O144)*(1-$H144/100),""),"")</f>
        <v/>
      </c>
      <c r="AZ144" s="116"/>
      <c r="BA144" s="116"/>
      <c r="BB144" s="116"/>
      <c r="BE144" s="62"/>
      <c r="BF144" s="63"/>
    </row>
    <row r="145" spans="1:58" ht="12.75" customHeight="1" x14ac:dyDescent="0.25">
      <c r="A145" s="384"/>
      <c r="B145" s="380"/>
      <c r="C145" s="381"/>
      <c r="D145" s="380"/>
      <c r="E145" s="382"/>
      <c r="F145" s="331"/>
      <c r="G145" s="329"/>
      <c r="H145" s="329"/>
      <c r="I145" s="380"/>
      <c r="J145" s="381"/>
      <c r="K145" s="329"/>
      <c r="L145" s="329"/>
      <c r="M145" s="76"/>
      <c r="N145" s="103" t="str">
        <f>IF(A145="","",VLOOKUP(A145,Stand!C:K,9,0))</f>
        <v/>
      </c>
      <c r="O145" s="104" t="str">
        <f t="shared" si="54"/>
        <v/>
      </c>
      <c r="P145" s="105" t="str">
        <f t="shared" si="55"/>
        <v/>
      </c>
      <c r="Q145" s="105" t="str">
        <f t="shared" si="56"/>
        <v/>
      </c>
      <c r="R145" s="103" t="str">
        <f t="shared" si="57"/>
        <v/>
      </c>
      <c r="S145" s="103" t="str">
        <f t="shared" si="58"/>
        <v/>
      </c>
      <c r="T145" s="106" t="str">
        <f t="shared" si="59"/>
        <v/>
      </c>
      <c r="U145" s="106" t="str">
        <f t="shared" si="60"/>
        <v/>
      </c>
      <c r="V145" s="106" t="str">
        <f t="shared" si="61"/>
        <v/>
      </c>
      <c r="W145" s="105" t="str">
        <f t="shared" si="62"/>
        <v/>
      </c>
      <c r="X145" s="104" t="str">
        <f t="shared" si="63"/>
        <v/>
      </c>
      <c r="Y145" s="104" t="str">
        <f t="array" ref="Y145">IFERROR(IF(ISNUMBER(O145),IF(COUNT(IF(A145=$A$2:$A$2427,IF(D145=$D$2:$D$2427,IF($X$2:$X$2427&gt;0,1))))&gt;0,SUM(IF(A145=$A$2:$A$2427,IF(D145=$D$2:$D$2427,$X$2:$X$2427)))/COUNT(IF(A145=$A$2:$A$2427,IF(D145=$D$2:$D$2427,IF(ISNUMBER($X$2:$X$2427),1)))),0),""),0)</f>
        <v/>
      </c>
      <c r="Z145" s="104" t="str">
        <f>IF(ISNUMBER(O145),IF(I145&gt;0,(10^(VLOOKUP(D145,'Species Codes'!B:C,2,0)+VLOOKUP(D145,'Species Codes'!B:D,3,0)*LOG(E145)+VLOOKUP(D145,'Species Codes'!B:E,4,0)*LOG(I145))),0),"")</f>
        <v/>
      </c>
      <c r="AA145" s="104" t="str">
        <f>IFERROR((VLOOKUP(D145,'Species Codes'!B:G,6,0)*Z145)/2000,"")</f>
        <v/>
      </c>
      <c r="AB145" s="104" t="e">
        <f>IF(Z145&gt;0,((IF(OR(D145="DF",D145="RA")=TRUE,EXP(VLOOKUP(D145,'Species Codes'!B:I,8,0)+VLOOKUP(D145,'Species Codes'!B:J,9,0)*(LN((E145*2.54)))),IF(OR(D145="PY",D145="RC",D145="WH",D145="NF")=TRUE,VLOOKUP(D145,'Species Codes'!B:I,8,0)+VLOOKUP(D145,'Species Codes'!B:J,9,0)*((E145*2.54)^2)*(I145*0.3048),IF(OR(D145="MD",D145="BM",D145="GA")=TRUE,((VLOOKUP(D145,'Species Codes'!B:I,8,0)*(((((E145*2.54)+VLOOKUP(D145,'Species Codes'!B:J,9,0))/VLOOKUP(D145,'Species Codes'!B:K,10,0))^VLOOKUP(D145,'Species Codes'!B:L,11,0))*((I145*0.3048)^VLOOKUP(D145,'Species Codes'!B:M,12,0))))-(VLOOKUP(D145,'Species Codes'!B:I,8,0)*((((E145*2.54)^VLOOKUP(D145,'Species Codes'!B:L,11,0))*((I145*0.3048)^VLOOKUP(D145,'Species Codes'!B:M,12,0))))))*35.3*VLOOKUP(D145,'Species Codes'!B:G,6,0)/2.2046,VLOOKUP(D145,'Species Codes'!B:I,8,0)+VLOOKUP(D145,'Species Codes'!B:J,9,0)*(((E145*2.54)/100)^2)*(I145*0.3048)))))*0.0011023),0)</f>
        <v>#N/A</v>
      </c>
      <c r="AC145" s="104" t="e">
        <f>IF(Z145&gt;0,((IF(OR(D145="RA",D145="OA",D145="OT",D145="UN",D145="PC"),EXP(VLOOKUP(D145,'Species Codes'!B:O,14,0)+VLOOKUP(D145,'Species Codes'!B:P,15,0)*LN((E145*2.54)))-EXP(VLOOKUP(D145,'Species Codes'!B:O,14,0)+VLOOKUP(D145,'Species Codes'!B:P,15,0)*LN((E145*2.54)))*(1/(VLOOKUP(D145,'Species Codes'!B:Q,16,0)+VLOOKUP(D145,'Species Codes'!B:R,17,0)*((E145*2.54)^VLOOKUP(D145,'Species Codes'!B:S,18,0)))),IF(OR(D145="BM",D145="MD",D145="OA"),EXP(VLOOKUP(D145,'Species Codes'!B:O,14,0)+VLOOKUP(D145,'Species Codes'!B:P,15,0)*LN((E145*2.54)))*(1-(1/(VLOOKUP(D145,'Species Codes'!B:Q,16,0)+VLOOKUP(D145,'Species Codes'!B:R,17,0)*((E145*2.54)^VLOOKUP(D145,'Species Codes'!B:S,18,0)))))/1000,IF(D145="DF",EXP(VLOOKUP(D145,'Species Codes'!B:O,14,0)+VLOOKUP(D145,'Species Codes'!B:P,15,0)*LN((E145*2.54))),VLOOKUP(D145,'Species Codes'!B:O,14,0)+VLOOKUP(D145,'Species Codes'!B:P,15,0)*(((E145*2.54)/100)^2)*(I145*0.3048)))))*0.0011023),0)</f>
        <v>#N/A</v>
      </c>
      <c r="AD145" s="104" t="e">
        <f t="shared" si="64"/>
        <v>#N/A</v>
      </c>
      <c r="AE145" s="104" t="e">
        <f t="shared" si="65"/>
        <v>#N/A</v>
      </c>
      <c r="AF145" s="104" t="e">
        <f>IF(AND(VLOOKUP($D145,Merchantability!$B:$C,2,0)="Yes",$E145&gt;=VLOOKUP($D145,Merchantability!$B:$D,3,0),$E145&lt;=VLOOKUP($D145,Merchantability!$B:$E,4,0)),AA145,0)</f>
        <v>#N/A</v>
      </c>
      <c r="AG145" s="104" t="e">
        <f>IF(AND(VLOOKUP($D145,Merchantability!$B:$C,2,0)="Yes",$E145&gt;=VLOOKUP($D145,Merchantability!$B:$D,3,0),$E145&lt;=VLOOKUP($D145,Merchantability!$B:$E,4,0)),AB145,0)</f>
        <v>#N/A</v>
      </c>
      <c r="AH145" s="104" t="e">
        <f>IF(AND(VLOOKUP($D145,Merchantability!$B:$C,2,0)="Yes",$E145&gt;=VLOOKUP($D145,Merchantability!$B:$D,3,0),$E145&lt;=VLOOKUP($D145,Merchantability!$B:$E,4,0)),AC145,0)</f>
        <v>#N/A</v>
      </c>
      <c r="AI145" s="104" t="e">
        <f t="shared" si="66"/>
        <v>#N/A</v>
      </c>
      <c r="AJ145" s="104" t="e">
        <f t="shared" si="67"/>
        <v>#VALUE!</v>
      </c>
      <c r="AK145" s="104" t="e">
        <f t="shared" si="68"/>
        <v>#N/A</v>
      </c>
      <c r="AL145" s="104" t="e">
        <f t="shared" si="69"/>
        <v>#N/A</v>
      </c>
      <c r="AM145" s="104" t="e">
        <f t="shared" si="70"/>
        <v>#N/A</v>
      </c>
      <c r="AN145" s="104" t="e">
        <f t="shared" si="71"/>
        <v>#N/A</v>
      </c>
      <c r="AO145" s="104" t="e">
        <f t="shared" si="72"/>
        <v>#N/A</v>
      </c>
      <c r="AP145" s="104" t="e">
        <f t="shared" si="73"/>
        <v>#N/A</v>
      </c>
      <c r="AQ145" s="104" t="e">
        <f t="shared" si="74"/>
        <v>#N/A</v>
      </c>
      <c r="AR145" s="105" t="str">
        <f t="shared" si="75"/>
        <v/>
      </c>
      <c r="AS145" s="105" t="str">
        <f t="shared" si="76"/>
        <v/>
      </c>
      <c r="AT145" s="108" t="str">
        <f t="shared" si="77"/>
        <v/>
      </c>
      <c r="AU145" s="108" t="str">
        <f t="shared" si="78"/>
        <v/>
      </c>
      <c r="AV145" s="107" t="str">
        <f>IF(ISNUMBER(O145),IF(VLOOKUP($A145,Stand!C:J,8,FALSE)="Short",AT145,AU145),"")</f>
        <v/>
      </c>
      <c r="AW145" s="109" t="str">
        <f t="shared" si="79"/>
        <v/>
      </c>
      <c r="AX145" s="109" t="str">
        <f t="shared" si="80"/>
        <v/>
      </c>
      <c r="AY145" s="112" t="str">
        <f>IF(ISNUMBER(O145),IF(AND(VLOOKUP($D145,Merchantability!$B:$C,2,0)="Yes",$E145&gt;=VLOOKUP($D145,Merchantability!$B:$D,3,0),$E145&lt;=VLOOKUP($D145,Merchantability!$B:$E,4,0)),(AV145*O145)*(1-$H145/100),""),"")</f>
        <v/>
      </c>
      <c r="AZ145" s="116"/>
      <c r="BA145" s="116"/>
      <c r="BB145" s="116"/>
      <c r="BE145" s="62"/>
      <c r="BF145" s="63"/>
    </row>
    <row r="146" spans="1:58" ht="12.75" customHeight="1" x14ac:dyDescent="0.25">
      <c r="A146" s="384"/>
      <c r="B146" s="380"/>
      <c r="C146" s="381"/>
      <c r="D146" s="380"/>
      <c r="E146" s="382"/>
      <c r="F146" s="331"/>
      <c r="G146" s="329"/>
      <c r="H146" s="329"/>
      <c r="I146" s="380"/>
      <c r="J146" s="381"/>
      <c r="K146" s="329"/>
      <c r="L146" s="329"/>
      <c r="M146" s="76"/>
      <c r="N146" s="103" t="str">
        <f>IF(A146="","",VLOOKUP(A146,Stand!C:K,9,0))</f>
        <v/>
      </c>
      <c r="O146" s="104" t="str">
        <f t="shared" si="54"/>
        <v/>
      </c>
      <c r="P146" s="105" t="str">
        <f t="shared" si="55"/>
        <v/>
      </c>
      <c r="Q146" s="105" t="str">
        <f t="shared" si="56"/>
        <v/>
      </c>
      <c r="R146" s="103" t="str">
        <f t="shared" si="57"/>
        <v/>
      </c>
      <c r="S146" s="103" t="str">
        <f t="shared" si="58"/>
        <v/>
      </c>
      <c r="T146" s="106" t="str">
        <f t="shared" si="59"/>
        <v/>
      </c>
      <c r="U146" s="106" t="str">
        <f t="shared" si="60"/>
        <v/>
      </c>
      <c r="V146" s="106" t="str">
        <f t="shared" si="61"/>
        <v/>
      </c>
      <c r="W146" s="105" t="str">
        <f t="shared" si="62"/>
        <v/>
      </c>
      <c r="X146" s="104" t="str">
        <f t="shared" si="63"/>
        <v/>
      </c>
      <c r="Y146" s="104" t="str">
        <f t="array" ref="Y146">IFERROR(IF(ISNUMBER(O146),IF(COUNT(IF(A146=$A$2:$A$2427,IF(D146=$D$2:$D$2427,IF($X$2:$X$2427&gt;0,1))))&gt;0,SUM(IF(A146=$A$2:$A$2427,IF(D146=$D$2:$D$2427,$X$2:$X$2427)))/COUNT(IF(A146=$A$2:$A$2427,IF(D146=$D$2:$D$2427,IF(ISNUMBER($X$2:$X$2427),1)))),0),""),0)</f>
        <v/>
      </c>
      <c r="Z146" s="104" t="str">
        <f>IF(ISNUMBER(O146),IF(I146&gt;0,(10^(VLOOKUP(D146,'Species Codes'!B:C,2,0)+VLOOKUP(D146,'Species Codes'!B:D,3,0)*LOG(E146)+VLOOKUP(D146,'Species Codes'!B:E,4,0)*LOG(I146))),0),"")</f>
        <v/>
      </c>
      <c r="AA146" s="104" t="str">
        <f>IFERROR((VLOOKUP(D146,'Species Codes'!B:G,6,0)*Z146)/2000,"")</f>
        <v/>
      </c>
      <c r="AB146" s="104" t="e">
        <f>IF(Z146&gt;0,((IF(OR(D146="DF",D146="RA")=TRUE,EXP(VLOOKUP(D146,'Species Codes'!B:I,8,0)+VLOOKUP(D146,'Species Codes'!B:J,9,0)*(LN((E146*2.54)))),IF(OR(D146="PY",D146="RC",D146="WH",D146="NF")=TRUE,VLOOKUP(D146,'Species Codes'!B:I,8,0)+VLOOKUP(D146,'Species Codes'!B:J,9,0)*((E146*2.54)^2)*(I146*0.3048),IF(OR(D146="MD",D146="BM",D146="GA")=TRUE,((VLOOKUP(D146,'Species Codes'!B:I,8,0)*(((((E146*2.54)+VLOOKUP(D146,'Species Codes'!B:J,9,0))/VLOOKUP(D146,'Species Codes'!B:K,10,0))^VLOOKUP(D146,'Species Codes'!B:L,11,0))*((I146*0.3048)^VLOOKUP(D146,'Species Codes'!B:M,12,0))))-(VLOOKUP(D146,'Species Codes'!B:I,8,0)*((((E146*2.54)^VLOOKUP(D146,'Species Codes'!B:L,11,0))*((I146*0.3048)^VLOOKUP(D146,'Species Codes'!B:M,12,0))))))*35.3*VLOOKUP(D146,'Species Codes'!B:G,6,0)/2.2046,VLOOKUP(D146,'Species Codes'!B:I,8,0)+VLOOKUP(D146,'Species Codes'!B:J,9,0)*(((E146*2.54)/100)^2)*(I146*0.3048)))))*0.0011023),0)</f>
        <v>#N/A</v>
      </c>
      <c r="AC146" s="104" t="e">
        <f>IF(Z146&gt;0,((IF(OR(D146="RA",D146="OA",D146="OT",D146="UN",D146="PC"),EXP(VLOOKUP(D146,'Species Codes'!B:O,14,0)+VLOOKUP(D146,'Species Codes'!B:P,15,0)*LN((E146*2.54)))-EXP(VLOOKUP(D146,'Species Codes'!B:O,14,0)+VLOOKUP(D146,'Species Codes'!B:P,15,0)*LN((E146*2.54)))*(1/(VLOOKUP(D146,'Species Codes'!B:Q,16,0)+VLOOKUP(D146,'Species Codes'!B:R,17,0)*((E146*2.54)^VLOOKUP(D146,'Species Codes'!B:S,18,0)))),IF(OR(D146="BM",D146="MD",D146="OA"),EXP(VLOOKUP(D146,'Species Codes'!B:O,14,0)+VLOOKUP(D146,'Species Codes'!B:P,15,0)*LN((E146*2.54)))*(1-(1/(VLOOKUP(D146,'Species Codes'!B:Q,16,0)+VLOOKUP(D146,'Species Codes'!B:R,17,0)*((E146*2.54)^VLOOKUP(D146,'Species Codes'!B:S,18,0)))))/1000,IF(D146="DF",EXP(VLOOKUP(D146,'Species Codes'!B:O,14,0)+VLOOKUP(D146,'Species Codes'!B:P,15,0)*LN((E146*2.54))),VLOOKUP(D146,'Species Codes'!B:O,14,0)+VLOOKUP(D146,'Species Codes'!B:P,15,0)*(((E146*2.54)/100)^2)*(I146*0.3048)))))*0.0011023),0)</f>
        <v>#N/A</v>
      </c>
      <c r="AD146" s="104" t="e">
        <f t="shared" si="64"/>
        <v>#N/A</v>
      </c>
      <c r="AE146" s="104" t="e">
        <f t="shared" si="65"/>
        <v>#N/A</v>
      </c>
      <c r="AF146" s="104" t="e">
        <f>IF(AND(VLOOKUP($D146,Merchantability!$B:$C,2,0)="Yes",$E146&gt;=VLOOKUP($D146,Merchantability!$B:$D,3,0),$E146&lt;=VLOOKUP($D146,Merchantability!$B:$E,4,0)),AA146,0)</f>
        <v>#N/A</v>
      </c>
      <c r="AG146" s="104" t="e">
        <f>IF(AND(VLOOKUP($D146,Merchantability!$B:$C,2,0)="Yes",$E146&gt;=VLOOKUP($D146,Merchantability!$B:$D,3,0),$E146&lt;=VLOOKUP($D146,Merchantability!$B:$E,4,0)),AB146,0)</f>
        <v>#N/A</v>
      </c>
      <c r="AH146" s="104" t="e">
        <f>IF(AND(VLOOKUP($D146,Merchantability!$B:$C,2,0)="Yes",$E146&gt;=VLOOKUP($D146,Merchantability!$B:$D,3,0),$E146&lt;=VLOOKUP($D146,Merchantability!$B:$E,4,0)),AC146,0)</f>
        <v>#N/A</v>
      </c>
      <c r="AI146" s="104" t="e">
        <f t="shared" si="66"/>
        <v>#N/A</v>
      </c>
      <c r="AJ146" s="104" t="e">
        <f t="shared" si="67"/>
        <v>#VALUE!</v>
      </c>
      <c r="AK146" s="104" t="e">
        <f t="shared" si="68"/>
        <v>#N/A</v>
      </c>
      <c r="AL146" s="104" t="e">
        <f t="shared" si="69"/>
        <v>#N/A</v>
      </c>
      <c r="AM146" s="104" t="e">
        <f t="shared" si="70"/>
        <v>#N/A</v>
      </c>
      <c r="AN146" s="104" t="e">
        <f t="shared" si="71"/>
        <v>#N/A</v>
      </c>
      <c r="AO146" s="104" t="e">
        <f t="shared" si="72"/>
        <v>#N/A</v>
      </c>
      <c r="AP146" s="104" t="e">
        <f t="shared" si="73"/>
        <v>#N/A</v>
      </c>
      <c r="AQ146" s="104" t="e">
        <f t="shared" si="74"/>
        <v>#N/A</v>
      </c>
      <c r="AR146" s="105" t="str">
        <f t="shared" si="75"/>
        <v/>
      </c>
      <c r="AS146" s="105" t="str">
        <f t="shared" si="76"/>
        <v/>
      </c>
      <c r="AT146" s="108" t="str">
        <f t="shared" si="77"/>
        <v/>
      </c>
      <c r="AU146" s="108" t="str">
        <f t="shared" si="78"/>
        <v/>
      </c>
      <c r="AV146" s="107" t="str">
        <f>IF(ISNUMBER(O146),IF(VLOOKUP($A146,Stand!C:J,8,FALSE)="Short",AT146,AU146),"")</f>
        <v/>
      </c>
      <c r="AW146" s="109" t="str">
        <f t="shared" si="79"/>
        <v/>
      </c>
      <c r="AX146" s="109" t="str">
        <f t="shared" si="80"/>
        <v/>
      </c>
      <c r="AY146" s="112" t="str">
        <f>IF(ISNUMBER(O146),IF(AND(VLOOKUP($D146,Merchantability!$B:$C,2,0)="Yes",$E146&gt;=VLOOKUP($D146,Merchantability!$B:$D,3,0),$E146&lt;=VLOOKUP($D146,Merchantability!$B:$E,4,0)),(AV146*O146)*(1-$H146/100),""),"")</f>
        <v/>
      </c>
      <c r="AZ146" s="116"/>
      <c r="BA146" s="116"/>
      <c r="BB146" s="116"/>
      <c r="BE146" s="62"/>
      <c r="BF146" s="63"/>
    </row>
    <row r="147" spans="1:58" ht="12.75" customHeight="1" x14ac:dyDescent="0.25">
      <c r="A147" s="384"/>
      <c r="B147" s="380"/>
      <c r="C147" s="381"/>
      <c r="D147" s="380"/>
      <c r="E147" s="382"/>
      <c r="F147" s="331"/>
      <c r="G147" s="329"/>
      <c r="H147" s="329"/>
      <c r="I147" s="380"/>
      <c r="J147" s="381"/>
      <c r="K147" s="329"/>
      <c r="L147" s="329"/>
      <c r="M147" s="76"/>
      <c r="N147" s="103" t="str">
        <f>IF(A147="","",VLOOKUP(A147,Stand!C:K,9,0))</f>
        <v/>
      </c>
      <c r="O147" s="104" t="str">
        <f t="shared" si="54"/>
        <v/>
      </c>
      <c r="P147" s="105" t="str">
        <f t="shared" si="55"/>
        <v/>
      </c>
      <c r="Q147" s="105" t="str">
        <f t="shared" si="56"/>
        <v/>
      </c>
      <c r="R147" s="103" t="str">
        <f t="shared" si="57"/>
        <v/>
      </c>
      <c r="S147" s="103" t="str">
        <f t="shared" si="58"/>
        <v/>
      </c>
      <c r="T147" s="106" t="str">
        <f t="shared" si="59"/>
        <v/>
      </c>
      <c r="U147" s="106" t="str">
        <f t="shared" si="60"/>
        <v/>
      </c>
      <c r="V147" s="106" t="str">
        <f t="shared" si="61"/>
        <v/>
      </c>
      <c r="W147" s="105" t="str">
        <f t="shared" si="62"/>
        <v/>
      </c>
      <c r="X147" s="104" t="str">
        <f t="shared" si="63"/>
        <v/>
      </c>
      <c r="Y147" s="104" t="str">
        <f t="array" ref="Y147">IFERROR(IF(ISNUMBER(O147),IF(COUNT(IF(A147=$A$2:$A$2427,IF(D147=$D$2:$D$2427,IF($X$2:$X$2427&gt;0,1))))&gt;0,SUM(IF(A147=$A$2:$A$2427,IF(D147=$D$2:$D$2427,$X$2:$X$2427)))/COUNT(IF(A147=$A$2:$A$2427,IF(D147=$D$2:$D$2427,IF(ISNUMBER($X$2:$X$2427),1)))),0),""),0)</f>
        <v/>
      </c>
      <c r="Z147" s="104" t="str">
        <f>IF(ISNUMBER(O147),IF(I147&gt;0,(10^(VLOOKUP(D147,'Species Codes'!B:C,2,0)+VLOOKUP(D147,'Species Codes'!B:D,3,0)*LOG(E147)+VLOOKUP(D147,'Species Codes'!B:E,4,0)*LOG(I147))),0),"")</f>
        <v/>
      </c>
      <c r="AA147" s="104" t="str">
        <f>IFERROR((VLOOKUP(D147,'Species Codes'!B:G,6,0)*Z147)/2000,"")</f>
        <v/>
      </c>
      <c r="AB147" s="104" t="e">
        <f>IF(Z147&gt;0,((IF(OR(D147="DF",D147="RA")=TRUE,EXP(VLOOKUP(D147,'Species Codes'!B:I,8,0)+VLOOKUP(D147,'Species Codes'!B:J,9,0)*(LN((E147*2.54)))),IF(OR(D147="PY",D147="RC",D147="WH",D147="NF")=TRUE,VLOOKUP(D147,'Species Codes'!B:I,8,0)+VLOOKUP(D147,'Species Codes'!B:J,9,0)*((E147*2.54)^2)*(I147*0.3048),IF(OR(D147="MD",D147="BM",D147="GA")=TRUE,((VLOOKUP(D147,'Species Codes'!B:I,8,0)*(((((E147*2.54)+VLOOKUP(D147,'Species Codes'!B:J,9,0))/VLOOKUP(D147,'Species Codes'!B:K,10,0))^VLOOKUP(D147,'Species Codes'!B:L,11,0))*((I147*0.3048)^VLOOKUP(D147,'Species Codes'!B:M,12,0))))-(VLOOKUP(D147,'Species Codes'!B:I,8,0)*((((E147*2.54)^VLOOKUP(D147,'Species Codes'!B:L,11,0))*((I147*0.3048)^VLOOKUP(D147,'Species Codes'!B:M,12,0))))))*35.3*VLOOKUP(D147,'Species Codes'!B:G,6,0)/2.2046,VLOOKUP(D147,'Species Codes'!B:I,8,0)+VLOOKUP(D147,'Species Codes'!B:J,9,0)*(((E147*2.54)/100)^2)*(I147*0.3048)))))*0.0011023),0)</f>
        <v>#N/A</v>
      </c>
      <c r="AC147" s="104" t="e">
        <f>IF(Z147&gt;0,((IF(OR(D147="RA",D147="OA",D147="OT",D147="UN",D147="PC"),EXP(VLOOKUP(D147,'Species Codes'!B:O,14,0)+VLOOKUP(D147,'Species Codes'!B:P,15,0)*LN((E147*2.54)))-EXP(VLOOKUP(D147,'Species Codes'!B:O,14,0)+VLOOKUP(D147,'Species Codes'!B:P,15,0)*LN((E147*2.54)))*(1/(VLOOKUP(D147,'Species Codes'!B:Q,16,0)+VLOOKUP(D147,'Species Codes'!B:R,17,0)*((E147*2.54)^VLOOKUP(D147,'Species Codes'!B:S,18,0)))),IF(OR(D147="BM",D147="MD",D147="OA"),EXP(VLOOKUP(D147,'Species Codes'!B:O,14,0)+VLOOKUP(D147,'Species Codes'!B:P,15,0)*LN((E147*2.54)))*(1-(1/(VLOOKUP(D147,'Species Codes'!B:Q,16,0)+VLOOKUP(D147,'Species Codes'!B:R,17,0)*((E147*2.54)^VLOOKUP(D147,'Species Codes'!B:S,18,0)))))/1000,IF(D147="DF",EXP(VLOOKUP(D147,'Species Codes'!B:O,14,0)+VLOOKUP(D147,'Species Codes'!B:P,15,0)*LN((E147*2.54))),VLOOKUP(D147,'Species Codes'!B:O,14,0)+VLOOKUP(D147,'Species Codes'!B:P,15,0)*(((E147*2.54)/100)^2)*(I147*0.3048)))))*0.0011023),0)</f>
        <v>#N/A</v>
      </c>
      <c r="AD147" s="104" t="e">
        <f t="shared" si="64"/>
        <v>#N/A</v>
      </c>
      <c r="AE147" s="104" t="e">
        <f t="shared" si="65"/>
        <v>#N/A</v>
      </c>
      <c r="AF147" s="104" t="e">
        <f>IF(AND(VLOOKUP($D147,Merchantability!$B:$C,2,0)="Yes",$E147&gt;=VLOOKUP($D147,Merchantability!$B:$D,3,0),$E147&lt;=VLOOKUP($D147,Merchantability!$B:$E,4,0)),AA147,0)</f>
        <v>#N/A</v>
      </c>
      <c r="AG147" s="104" t="e">
        <f>IF(AND(VLOOKUP($D147,Merchantability!$B:$C,2,0)="Yes",$E147&gt;=VLOOKUP($D147,Merchantability!$B:$D,3,0),$E147&lt;=VLOOKUP($D147,Merchantability!$B:$E,4,0)),AB147,0)</f>
        <v>#N/A</v>
      </c>
      <c r="AH147" s="104" t="e">
        <f>IF(AND(VLOOKUP($D147,Merchantability!$B:$C,2,0)="Yes",$E147&gt;=VLOOKUP($D147,Merchantability!$B:$D,3,0),$E147&lt;=VLOOKUP($D147,Merchantability!$B:$E,4,0)),AC147,0)</f>
        <v>#N/A</v>
      </c>
      <c r="AI147" s="104" t="e">
        <f t="shared" si="66"/>
        <v>#N/A</v>
      </c>
      <c r="AJ147" s="104" t="e">
        <f t="shared" si="67"/>
        <v>#VALUE!</v>
      </c>
      <c r="AK147" s="104" t="e">
        <f t="shared" si="68"/>
        <v>#N/A</v>
      </c>
      <c r="AL147" s="104" t="e">
        <f t="shared" si="69"/>
        <v>#N/A</v>
      </c>
      <c r="AM147" s="104" t="e">
        <f t="shared" si="70"/>
        <v>#N/A</v>
      </c>
      <c r="AN147" s="104" t="e">
        <f t="shared" si="71"/>
        <v>#N/A</v>
      </c>
      <c r="AO147" s="104" t="e">
        <f t="shared" si="72"/>
        <v>#N/A</v>
      </c>
      <c r="AP147" s="104" t="e">
        <f t="shared" si="73"/>
        <v>#N/A</v>
      </c>
      <c r="AQ147" s="104" t="e">
        <f t="shared" si="74"/>
        <v>#N/A</v>
      </c>
      <c r="AR147" s="105" t="str">
        <f t="shared" si="75"/>
        <v/>
      </c>
      <c r="AS147" s="105" t="str">
        <f t="shared" si="76"/>
        <v/>
      </c>
      <c r="AT147" s="108" t="str">
        <f t="shared" si="77"/>
        <v/>
      </c>
      <c r="AU147" s="108" t="str">
        <f t="shared" si="78"/>
        <v/>
      </c>
      <c r="AV147" s="107" t="str">
        <f>IF(ISNUMBER(O147),IF(VLOOKUP($A147,Stand!C:J,8,FALSE)="Short",AT147,AU147),"")</f>
        <v/>
      </c>
      <c r="AW147" s="109" t="str">
        <f t="shared" si="79"/>
        <v/>
      </c>
      <c r="AX147" s="109" t="str">
        <f t="shared" si="80"/>
        <v/>
      </c>
      <c r="AY147" s="112" t="str">
        <f>IF(ISNUMBER(O147),IF(AND(VLOOKUP($D147,Merchantability!$B:$C,2,0)="Yes",$E147&gt;=VLOOKUP($D147,Merchantability!$B:$D,3,0),$E147&lt;=VLOOKUP($D147,Merchantability!$B:$E,4,0)),(AV147*O147)*(1-$H147/100),""),"")</f>
        <v/>
      </c>
      <c r="AZ147" s="116"/>
      <c r="BA147" s="116"/>
      <c r="BB147" s="116"/>
      <c r="BE147" s="62"/>
      <c r="BF147" s="63"/>
    </row>
    <row r="148" spans="1:58" ht="12.75" customHeight="1" x14ac:dyDescent="0.25">
      <c r="A148" s="384"/>
      <c r="B148" s="380"/>
      <c r="C148" s="381"/>
      <c r="D148" s="380"/>
      <c r="E148" s="382"/>
      <c r="F148" s="331"/>
      <c r="G148" s="329"/>
      <c r="H148" s="329"/>
      <c r="I148" s="380"/>
      <c r="J148" s="381"/>
      <c r="K148" s="329"/>
      <c r="L148" s="329"/>
      <c r="M148" s="76"/>
      <c r="N148" s="103" t="str">
        <f>IF(A148="","",VLOOKUP(A148,Stand!C:K,9,0))</f>
        <v/>
      </c>
      <c r="O148" s="104" t="str">
        <f t="shared" si="54"/>
        <v/>
      </c>
      <c r="P148" s="105" t="str">
        <f t="shared" si="55"/>
        <v/>
      </c>
      <c r="Q148" s="105" t="str">
        <f t="shared" si="56"/>
        <v/>
      </c>
      <c r="R148" s="103" t="str">
        <f t="shared" si="57"/>
        <v/>
      </c>
      <c r="S148" s="103" t="str">
        <f t="shared" si="58"/>
        <v/>
      </c>
      <c r="T148" s="106" t="str">
        <f t="shared" si="59"/>
        <v/>
      </c>
      <c r="U148" s="106" t="str">
        <f t="shared" si="60"/>
        <v/>
      </c>
      <c r="V148" s="106" t="str">
        <f t="shared" si="61"/>
        <v/>
      </c>
      <c r="W148" s="105" t="str">
        <f t="shared" si="62"/>
        <v/>
      </c>
      <c r="X148" s="104" t="str">
        <f t="shared" si="63"/>
        <v/>
      </c>
      <c r="Y148" s="104" t="str">
        <f t="array" ref="Y148">IFERROR(IF(ISNUMBER(O148),IF(COUNT(IF(A148=$A$2:$A$2427,IF(D148=$D$2:$D$2427,IF($X$2:$X$2427&gt;0,1))))&gt;0,SUM(IF(A148=$A$2:$A$2427,IF(D148=$D$2:$D$2427,$X$2:$X$2427)))/COUNT(IF(A148=$A$2:$A$2427,IF(D148=$D$2:$D$2427,IF(ISNUMBER($X$2:$X$2427),1)))),0),""),0)</f>
        <v/>
      </c>
      <c r="Z148" s="104" t="str">
        <f>IF(ISNUMBER(O148),IF(I148&gt;0,(10^(VLOOKUP(D148,'Species Codes'!B:C,2,0)+VLOOKUP(D148,'Species Codes'!B:D,3,0)*LOG(E148)+VLOOKUP(D148,'Species Codes'!B:E,4,0)*LOG(I148))),0),"")</f>
        <v/>
      </c>
      <c r="AA148" s="104" t="str">
        <f>IFERROR((VLOOKUP(D148,'Species Codes'!B:G,6,0)*Z148)/2000,"")</f>
        <v/>
      </c>
      <c r="AB148" s="104" t="e">
        <f>IF(Z148&gt;0,((IF(OR(D148="DF",D148="RA")=TRUE,EXP(VLOOKUP(D148,'Species Codes'!B:I,8,0)+VLOOKUP(D148,'Species Codes'!B:J,9,0)*(LN((E148*2.54)))),IF(OR(D148="PY",D148="RC",D148="WH",D148="NF")=TRUE,VLOOKUP(D148,'Species Codes'!B:I,8,0)+VLOOKUP(D148,'Species Codes'!B:J,9,0)*((E148*2.54)^2)*(I148*0.3048),IF(OR(D148="MD",D148="BM",D148="GA")=TRUE,((VLOOKUP(D148,'Species Codes'!B:I,8,0)*(((((E148*2.54)+VLOOKUP(D148,'Species Codes'!B:J,9,0))/VLOOKUP(D148,'Species Codes'!B:K,10,0))^VLOOKUP(D148,'Species Codes'!B:L,11,0))*((I148*0.3048)^VLOOKUP(D148,'Species Codes'!B:M,12,0))))-(VLOOKUP(D148,'Species Codes'!B:I,8,0)*((((E148*2.54)^VLOOKUP(D148,'Species Codes'!B:L,11,0))*((I148*0.3048)^VLOOKUP(D148,'Species Codes'!B:M,12,0))))))*35.3*VLOOKUP(D148,'Species Codes'!B:G,6,0)/2.2046,VLOOKUP(D148,'Species Codes'!B:I,8,0)+VLOOKUP(D148,'Species Codes'!B:J,9,0)*(((E148*2.54)/100)^2)*(I148*0.3048)))))*0.0011023),0)</f>
        <v>#N/A</v>
      </c>
      <c r="AC148" s="104" t="e">
        <f>IF(Z148&gt;0,((IF(OR(D148="RA",D148="OA",D148="OT",D148="UN",D148="PC"),EXP(VLOOKUP(D148,'Species Codes'!B:O,14,0)+VLOOKUP(D148,'Species Codes'!B:P,15,0)*LN((E148*2.54)))-EXP(VLOOKUP(D148,'Species Codes'!B:O,14,0)+VLOOKUP(D148,'Species Codes'!B:P,15,0)*LN((E148*2.54)))*(1/(VLOOKUP(D148,'Species Codes'!B:Q,16,0)+VLOOKUP(D148,'Species Codes'!B:R,17,0)*((E148*2.54)^VLOOKUP(D148,'Species Codes'!B:S,18,0)))),IF(OR(D148="BM",D148="MD",D148="OA"),EXP(VLOOKUP(D148,'Species Codes'!B:O,14,0)+VLOOKUP(D148,'Species Codes'!B:P,15,0)*LN((E148*2.54)))*(1-(1/(VLOOKUP(D148,'Species Codes'!B:Q,16,0)+VLOOKUP(D148,'Species Codes'!B:R,17,0)*((E148*2.54)^VLOOKUP(D148,'Species Codes'!B:S,18,0)))))/1000,IF(D148="DF",EXP(VLOOKUP(D148,'Species Codes'!B:O,14,0)+VLOOKUP(D148,'Species Codes'!B:P,15,0)*LN((E148*2.54))),VLOOKUP(D148,'Species Codes'!B:O,14,0)+VLOOKUP(D148,'Species Codes'!B:P,15,0)*(((E148*2.54)/100)^2)*(I148*0.3048)))))*0.0011023),0)</f>
        <v>#N/A</v>
      </c>
      <c r="AD148" s="104" t="e">
        <f t="shared" si="64"/>
        <v>#N/A</v>
      </c>
      <c r="AE148" s="104" t="e">
        <f t="shared" si="65"/>
        <v>#N/A</v>
      </c>
      <c r="AF148" s="104" t="e">
        <f>IF(AND(VLOOKUP($D148,Merchantability!$B:$C,2,0)="Yes",$E148&gt;=VLOOKUP($D148,Merchantability!$B:$D,3,0),$E148&lt;=VLOOKUP($D148,Merchantability!$B:$E,4,0)),AA148,0)</f>
        <v>#N/A</v>
      </c>
      <c r="AG148" s="104" t="e">
        <f>IF(AND(VLOOKUP($D148,Merchantability!$B:$C,2,0)="Yes",$E148&gt;=VLOOKUP($D148,Merchantability!$B:$D,3,0),$E148&lt;=VLOOKUP($D148,Merchantability!$B:$E,4,0)),AB148,0)</f>
        <v>#N/A</v>
      </c>
      <c r="AH148" s="104" t="e">
        <f>IF(AND(VLOOKUP($D148,Merchantability!$B:$C,2,0)="Yes",$E148&gt;=VLOOKUP($D148,Merchantability!$B:$D,3,0),$E148&lt;=VLOOKUP($D148,Merchantability!$B:$E,4,0)),AC148,0)</f>
        <v>#N/A</v>
      </c>
      <c r="AI148" s="104" t="e">
        <f t="shared" si="66"/>
        <v>#N/A</v>
      </c>
      <c r="AJ148" s="104" t="e">
        <f t="shared" si="67"/>
        <v>#VALUE!</v>
      </c>
      <c r="AK148" s="104" t="e">
        <f t="shared" si="68"/>
        <v>#N/A</v>
      </c>
      <c r="AL148" s="104" t="e">
        <f t="shared" si="69"/>
        <v>#N/A</v>
      </c>
      <c r="AM148" s="104" t="e">
        <f t="shared" si="70"/>
        <v>#N/A</v>
      </c>
      <c r="AN148" s="104" t="e">
        <f t="shared" si="71"/>
        <v>#N/A</v>
      </c>
      <c r="AO148" s="104" t="e">
        <f t="shared" si="72"/>
        <v>#N/A</v>
      </c>
      <c r="AP148" s="104" t="e">
        <f t="shared" si="73"/>
        <v>#N/A</v>
      </c>
      <c r="AQ148" s="104" t="e">
        <f t="shared" si="74"/>
        <v>#N/A</v>
      </c>
      <c r="AR148" s="105" t="str">
        <f t="shared" si="75"/>
        <v/>
      </c>
      <c r="AS148" s="105" t="str">
        <f t="shared" si="76"/>
        <v/>
      </c>
      <c r="AT148" s="108" t="str">
        <f t="shared" si="77"/>
        <v/>
      </c>
      <c r="AU148" s="108" t="str">
        <f t="shared" si="78"/>
        <v/>
      </c>
      <c r="AV148" s="107" t="str">
        <f>IF(ISNUMBER(O148),IF(VLOOKUP($A148,Stand!C:J,8,FALSE)="Short",AT148,AU148),"")</f>
        <v/>
      </c>
      <c r="AW148" s="109" t="str">
        <f t="shared" si="79"/>
        <v/>
      </c>
      <c r="AX148" s="109" t="str">
        <f t="shared" si="80"/>
        <v/>
      </c>
      <c r="AY148" s="112" t="str">
        <f>IF(ISNUMBER(O148),IF(AND(VLOOKUP($D148,Merchantability!$B:$C,2,0)="Yes",$E148&gt;=VLOOKUP($D148,Merchantability!$B:$D,3,0),$E148&lt;=VLOOKUP($D148,Merchantability!$B:$E,4,0)),(AV148*O148)*(1-$H148/100),""),"")</f>
        <v/>
      </c>
      <c r="AZ148" s="116"/>
      <c r="BA148" s="116"/>
      <c r="BB148" s="116"/>
      <c r="BE148" s="62"/>
      <c r="BF148" s="63"/>
    </row>
    <row r="149" spans="1:58" ht="12.75" customHeight="1" x14ac:dyDescent="0.25">
      <c r="A149" s="384"/>
      <c r="B149" s="380"/>
      <c r="C149" s="381"/>
      <c r="D149" s="380"/>
      <c r="E149" s="382"/>
      <c r="F149" s="331"/>
      <c r="G149" s="329"/>
      <c r="H149" s="329"/>
      <c r="I149" s="380"/>
      <c r="J149" s="381"/>
      <c r="K149" s="329"/>
      <c r="L149" s="329"/>
      <c r="M149" s="76"/>
      <c r="N149" s="103" t="str">
        <f>IF(A149="","",VLOOKUP(A149,Stand!C:K,9,0))</f>
        <v/>
      </c>
      <c r="O149" s="104" t="str">
        <f t="shared" si="54"/>
        <v/>
      </c>
      <c r="P149" s="105" t="str">
        <f t="shared" si="55"/>
        <v/>
      </c>
      <c r="Q149" s="105" t="str">
        <f t="shared" si="56"/>
        <v/>
      </c>
      <c r="R149" s="103" t="str">
        <f t="shared" si="57"/>
        <v/>
      </c>
      <c r="S149" s="103" t="str">
        <f t="shared" si="58"/>
        <v/>
      </c>
      <c r="T149" s="106" t="str">
        <f t="shared" si="59"/>
        <v/>
      </c>
      <c r="U149" s="106" t="str">
        <f t="shared" si="60"/>
        <v/>
      </c>
      <c r="V149" s="106" t="str">
        <f t="shared" si="61"/>
        <v/>
      </c>
      <c r="W149" s="105" t="str">
        <f t="shared" si="62"/>
        <v/>
      </c>
      <c r="X149" s="104" t="str">
        <f t="shared" si="63"/>
        <v/>
      </c>
      <c r="Y149" s="104" t="str">
        <f t="array" ref="Y149">IFERROR(IF(ISNUMBER(O149),IF(COUNT(IF(A149=$A$2:$A$2427,IF(D149=$D$2:$D$2427,IF($X$2:$X$2427&gt;0,1))))&gt;0,SUM(IF(A149=$A$2:$A$2427,IF(D149=$D$2:$D$2427,$X$2:$X$2427)))/COUNT(IF(A149=$A$2:$A$2427,IF(D149=$D$2:$D$2427,IF(ISNUMBER($X$2:$X$2427),1)))),0),""),0)</f>
        <v/>
      </c>
      <c r="Z149" s="104" t="str">
        <f>IF(ISNUMBER(O149),IF(I149&gt;0,(10^(VLOOKUP(D149,'Species Codes'!B:C,2,0)+VLOOKUP(D149,'Species Codes'!B:D,3,0)*LOG(E149)+VLOOKUP(D149,'Species Codes'!B:E,4,0)*LOG(I149))),0),"")</f>
        <v/>
      </c>
      <c r="AA149" s="104" t="str">
        <f>IFERROR((VLOOKUP(D149,'Species Codes'!B:G,6,0)*Z149)/2000,"")</f>
        <v/>
      </c>
      <c r="AB149" s="104" t="e">
        <f>IF(Z149&gt;0,((IF(OR(D149="DF",D149="RA")=TRUE,EXP(VLOOKUP(D149,'Species Codes'!B:I,8,0)+VLOOKUP(D149,'Species Codes'!B:J,9,0)*(LN((E149*2.54)))),IF(OR(D149="PY",D149="RC",D149="WH",D149="NF")=TRUE,VLOOKUP(D149,'Species Codes'!B:I,8,0)+VLOOKUP(D149,'Species Codes'!B:J,9,0)*((E149*2.54)^2)*(I149*0.3048),IF(OR(D149="MD",D149="BM",D149="GA")=TRUE,((VLOOKUP(D149,'Species Codes'!B:I,8,0)*(((((E149*2.54)+VLOOKUP(D149,'Species Codes'!B:J,9,0))/VLOOKUP(D149,'Species Codes'!B:K,10,0))^VLOOKUP(D149,'Species Codes'!B:L,11,0))*((I149*0.3048)^VLOOKUP(D149,'Species Codes'!B:M,12,0))))-(VLOOKUP(D149,'Species Codes'!B:I,8,0)*((((E149*2.54)^VLOOKUP(D149,'Species Codes'!B:L,11,0))*((I149*0.3048)^VLOOKUP(D149,'Species Codes'!B:M,12,0))))))*35.3*VLOOKUP(D149,'Species Codes'!B:G,6,0)/2.2046,VLOOKUP(D149,'Species Codes'!B:I,8,0)+VLOOKUP(D149,'Species Codes'!B:J,9,0)*(((E149*2.54)/100)^2)*(I149*0.3048)))))*0.0011023),0)</f>
        <v>#N/A</v>
      </c>
      <c r="AC149" s="104" t="e">
        <f>IF(Z149&gt;0,((IF(OR(D149="RA",D149="OA",D149="OT",D149="UN",D149="PC"),EXP(VLOOKUP(D149,'Species Codes'!B:O,14,0)+VLOOKUP(D149,'Species Codes'!B:P,15,0)*LN((E149*2.54)))-EXP(VLOOKUP(D149,'Species Codes'!B:O,14,0)+VLOOKUP(D149,'Species Codes'!B:P,15,0)*LN((E149*2.54)))*(1/(VLOOKUP(D149,'Species Codes'!B:Q,16,0)+VLOOKUP(D149,'Species Codes'!B:R,17,0)*((E149*2.54)^VLOOKUP(D149,'Species Codes'!B:S,18,0)))),IF(OR(D149="BM",D149="MD",D149="OA"),EXP(VLOOKUP(D149,'Species Codes'!B:O,14,0)+VLOOKUP(D149,'Species Codes'!B:P,15,0)*LN((E149*2.54)))*(1-(1/(VLOOKUP(D149,'Species Codes'!B:Q,16,0)+VLOOKUP(D149,'Species Codes'!B:R,17,0)*((E149*2.54)^VLOOKUP(D149,'Species Codes'!B:S,18,0)))))/1000,IF(D149="DF",EXP(VLOOKUP(D149,'Species Codes'!B:O,14,0)+VLOOKUP(D149,'Species Codes'!B:P,15,0)*LN((E149*2.54))),VLOOKUP(D149,'Species Codes'!B:O,14,0)+VLOOKUP(D149,'Species Codes'!B:P,15,0)*(((E149*2.54)/100)^2)*(I149*0.3048)))))*0.0011023),0)</f>
        <v>#N/A</v>
      </c>
      <c r="AD149" s="104" t="e">
        <f t="shared" si="64"/>
        <v>#N/A</v>
      </c>
      <c r="AE149" s="104" t="e">
        <f t="shared" si="65"/>
        <v>#N/A</v>
      </c>
      <c r="AF149" s="104" t="e">
        <f>IF(AND(VLOOKUP($D149,Merchantability!$B:$C,2,0)="Yes",$E149&gt;=VLOOKUP($D149,Merchantability!$B:$D,3,0),$E149&lt;=VLOOKUP($D149,Merchantability!$B:$E,4,0)),AA149,0)</f>
        <v>#N/A</v>
      </c>
      <c r="AG149" s="104" t="e">
        <f>IF(AND(VLOOKUP($D149,Merchantability!$B:$C,2,0)="Yes",$E149&gt;=VLOOKUP($D149,Merchantability!$B:$D,3,0),$E149&lt;=VLOOKUP($D149,Merchantability!$B:$E,4,0)),AB149,0)</f>
        <v>#N/A</v>
      </c>
      <c r="AH149" s="104" t="e">
        <f>IF(AND(VLOOKUP($D149,Merchantability!$B:$C,2,0)="Yes",$E149&gt;=VLOOKUP($D149,Merchantability!$B:$D,3,0),$E149&lt;=VLOOKUP($D149,Merchantability!$B:$E,4,0)),AC149,0)</f>
        <v>#N/A</v>
      </c>
      <c r="AI149" s="104" t="e">
        <f t="shared" si="66"/>
        <v>#N/A</v>
      </c>
      <c r="AJ149" s="104" t="e">
        <f t="shared" si="67"/>
        <v>#VALUE!</v>
      </c>
      <c r="AK149" s="104" t="e">
        <f t="shared" si="68"/>
        <v>#N/A</v>
      </c>
      <c r="AL149" s="104" t="e">
        <f t="shared" si="69"/>
        <v>#N/A</v>
      </c>
      <c r="AM149" s="104" t="e">
        <f t="shared" si="70"/>
        <v>#N/A</v>
      </c>
      <c r="AN149" s="104" t="e">
        <f t="shared" si="71"/>
        <v>#N/A</v>
      </c>
      <c r="AO149" s="104" t="e">
        <f t="shared" si="72"/>
        <v>#N/A</v>
      </c>
      <c r="AP149" s="104" t="e">
        <f t="shared" si="73"/>
        <v>#N/A</v>
      </c>
      <c r="AQ149" s="104" t="e">
        <f t="shared" si="74"/>
        <v>#N/A</v>
      </c>
      <c r="AR149" s="105" t="str">
        <f t="shared" si="75"/>
        <v/>
      </c>
      <c r="AS149" s="105" t="str">
        <f t="shared" si="76"/>
        <v/>
      </c>
      <c r="AT149" s="108" t="str">
        <f t="shared" si="77"/>
        <v/>
      </c>
      <c r="AU149" s="108" t="str">
        <f t="shared" si="78"/>
        <v/>
      </c>
      <c r="AV149" s="107" t="str">
        <f>IF(ISNUMBER(O149),IF(VLOOKUP($A149,Stand!C:J,8,FALSE)="Short",AT149,AU149),"")</f>
        <v/>
      </c>
      <c r="AW149" s="109" t="str">
        <f t="shared" si="79"/>
        <v/>
      </c>
      <c r="AX149" s="109" t="str">
        <f t="shared" si="80"/>
        <v/>
      </c>
      <c r="AY149" s="112" t="str">
        <f>IF(ISNUMBER(O149),IF(AND(VLOOKUP($D149,Merchantability!$B:$C,2,0)="Yes",$E149&gt;=VLOOKUP($D149,Merchantability!$B:$D,3,0),$E149&lt;=VLOOKUP($D149,Merchantability!$B:$E,4,0)),(AV149*O149)*(1-$H149/100),""),"")</f>
        <v/>
      </c>
      <c r="AZ149" s="116"/>
      <c r="BA149" s="116"/>
      <c r="BB149" s="116"/>
      <c r="BE149" s="62"/>
      <c r="BF149" s="63"/>
    </row>
    <row r="150" spans="1:58" ht="12.75" customHeight="1" x14ac:dyDescent="0.25">
      <c r="A150" s="384"/>
      <c r="B150" s="380"/>
      <c r="C150" s="381"/>
      <c r="D150" s="380"/>
      <c r="E150" s="382"/>
      <c r="F150" s="331"/>
      <c r="G150" s="329"/>
      <c r="H150" s="329"/>
      <c r="I150" s="380"/>
      <c r="J150" s="381"/>
      <c r="K150" s="329"/>
      <c r="L150" s="329"/>
      <c r="M150" s="76"/>
      <c r="N150" s="103" t="str">
        <f>IF(A150="","",VLOOKUP(A150,Stand!C:K,9,0))</f>
        <v/>
      </c>
      <c r="O150" s="104" t="str">
        <f t="shared" si="54"/>
        <v/>
      </c>
      <c r="P150" s="105" t="str">
        <f t="shared" si="55"/>
        <v/>
      </c>
      <c r="Q150" s="105" t="str">
        <f t="shared" si="56"/>
        <v/>
      </c>
      <c r="R150" s="103" t="str">
        <f t="shared" si="57"/>
        <v/>
      </c>
      <c r="S150" s="103" t="str">
        <f t="shared" si="58"/>
        <v/>
      </c>
      <c r="T150" s="106" t="str">
        <f t="shared" si="59"/>
        <v/>
      </c>
      <c r="U150" s="106" t="str">
        <f t="shared" si="60"/>
        <v/>
      </c>
      <c r="V150" s="106" t="str">
        <f t="shared" si="61"/>
        <v/>
      </c>
      <c r="W150" s="105" t="str">
        <f t="shared" si="62"/>
        <v/>
      </c>
      <c r="X150" s="104" t="str">
        <f t="shared" si="63"/>
        <v/>
      </c>
      <c r="Y150" s="104" t="str">
        <f t="array" ref="Y150">IFERROR(IF(ISNUMBER(O150),IF(COUNT(IF(A150=$A$2:$A$2427,IF(D150=$D$2:$D$2427,IF($X$2:$X$2427&gt;0,1))))&gt;0,SUM(IF(A150=$A$2:$A$2427,IF(D150=$D$2:$D$2427,$X$2:$X$2427)))/COUNT(IF(A150=$A$2:$A$2427,IF(D150=$D$2:$D$2427,IF(ISNUMBER($X$2:$X$2427),1)))),0),""),0)</f>
        <v/>
      </c>
      <c r="Z150" s="104" t="str">
        <f>IF(ISNUMBER(O150),IF(I150&gt;0,(10^(VLOOKUP(D150,'Species Codes'!B:C,2,0)+VLOOKUP(D150,'Species Codes'!B:D,3,0)*LOG(E150)+VLOOKUP(D150,'Species Codes'!B:E,4,0)*LOG(I150))),0),"")</f>
        <v/>
      </c>
      <c r="AA150" s="104" t="str">
        <f>IFERROR((VLOOKUP(D150,'Species Codes'!B:G,6,0)*Z150)/2000,"")</f>
        <v/>
      </c>
      <c r="AB150" s="104" t="e">
        <f>IF(Z150&gt;0,((IF(OR(D150="DF",D150="RA")=TRUE,EXP(VLOOKUP(D150,'Species Codes'!B:I,8,0)+VLOOKUP(D150,'Species Codes'!B:J,9,0)*(LN((E150*2.54)))),IF(OR(D150="PY",D150="RC",D150="WH",D150="NF")=TRUE,VLOOKUP(D150,'Species Codes'!B:I,8,0)+VLOOKUP(D150,'Species Codes'!B:J,9,0)*((E150*2.54)^2)*(I150*0.3048),IF(OR(D150="MD",D150="BM",D150="GA")=TRUE,((VLOOKUP(D150,'Species Codes'!B:I,8,0)*(((((E150*2.54)+VLOOKUP(D150,'Species Codes'!B:J,9,0))/VLOOKUP(D150,'Species Codes'!B:K,10,0))^VLOOKUP(D150,'Species Codes'!B:L,11,0))*((I150*0.3048)^VLOOKUP(D150,'Species Codes'!B:M,12,0))))-(VLOOKUP(D150,'Species Codes'!B:I,8,0)*((((E150*2.54)^VLOOKUP(D150,'Species Codes'!B:L,11,0))*((I150*0.3048)^VLOOKUP(D150,'Species Codes'!B:M,12,0))))))*35.3*VLOOKUP(D150,'Species Codes'!B:G,6,0)/2.2046,VLOOKUP(D150,'Species Codes'!B:I,8,0)+VLOOKUP(D150,'Species Codes'!B:J,9,0)*(((E150*2.54)/100)^2)*(I150*0.3048)))))*0.0011023),0)</f>
        <v>#N/A</v>
      </c>
      <c r="AC150" s="104" t="e">
        <f>IF(Z150&gt;0,((IF(OR(D150="RA",D150="OA",D150="OT",D150="UN",D150="PC"),EXP(VLOOKUP(D150,'Species Codes'!B:O,14,0)+VLOOKUP(D150,'Species Codes'!B:P,15,0)*LN((E150*2.54)))-EXP(VLOOKUP(D150,'Species Codes'!B:O,14,0)+VLOOKUP(D150,'Species Codes'!B:P,15,0)*LN((E150*2.54)))*(1/(VLOOKUP(D150,'Species Codes'!B:Q,16,0)+VLOOKUP(D150,'Species Codes'!B:R,17,0)*((E150*2.54)^VLOOKUP(D150,'Species Codes'!B:S,18,0)))),IF(OR(D150="BM",D150="MD",D150="OA"),EXP(VLOOKUP(D150,'Species Codes'!B:O,14,0)+VLOOKUP(D150,'Species Codes'!B:P,15,0)*LN((E150*2.54)))*(1-(1/(VLOOKUP(D150,'Species Codes'!B:Q,16,0)+VLOOKUP(D150,'Species Codes'!B:R,17,0)*((E150*2.54)^VLOOKUP(D150,'Species Codes'!B:S,18,0)))))/1000,IF(D150="DF",EXP(VLOOKUP(D150,'Species Codes'!B:O,14,0)+VLOOKUP(D150,'Species Codes'!B:P,15,0)*LN((E150*2.54))),VLOOKUP(D150,'Species Codes'!B:O,14,0)+VLOOKUP(D150,'Species Codes'!B:P,15,0)*(((E150*2.54)/100)^2)*(I150*0.3048)))))*0.0011023),0)</f>
        <v>#N/A</v>
      </c>
      <c r="AD150" s="104" t="e">
        <f t="shared" si="64"/>
        <v>#N/A</v>
      </c>
      <c r="AE150" s="104" t="e">
        <f t="shared" si="65"/>
        <v>#N/A</v>
      </c>
      <c r="AF150" s="104" t="e">
        <f>IF(AND(VLOOKUP($D150,Merchantability!$B:$C,2,0)="Yes",$E150&gt;=VLOOKUP($D150,Merchantability!$B:$D,3,0),$E150&lt;=VLOOKUP($D150,Merchantability!$B:$E,4,0)),AA150,0)</f>
        <v>#N/A</v>
      </c>
      <c r="AG150" s="104" t="e">
        <f>IF(AND(VLOOKUP($D150,Merchantability!$B:$C,2,0)="Yes",$E150&gt;=VLOOKUP($D150,Merchantability!$B:$D,3,0),$E150&lt;=VLOOKUP($D150,Merchantability!$B:$E,4,0)),AB150,0)</f>
        <v>#N/A</v>
      </c>
      <c r="AH150" s="104" t="e">
        <f>IF(AND(VLOOKUP($D150,Merchantability!$B:$C,2,0)="Yes",$E150&gt;=VLOOKUP($D150,Merchantability!$B:$D,3,0),$E150&lt;=VLOOKUP($D150,Merchantability!$B:$E,4,0)),AC150,0)</f>
        <v>#N/A</v>
      </c>
      <c r="AI150" s="104" t="e">
        <f t="shared" si="66"/>
        <v>#N/A</v>
      </c>
      <c r="AJ150" s="104" t="e">
        <f t="shared" si="67"/>
        <v>#VALUE!</v>
      </c>
      <c r="AK150" s="104" t="e">
        <f t="shared" si="68"/>
        <v>#N/A</v>
      </c>
      <c r="AL150" s="104" t="e">
        <f t="shared" si="69"/>
        <v>#N/A</v>
      </c>
      <c r="AM150" s="104" t="e">
        <f t="shared" si="70"/>
        <v>#N/A</v>
      </c>
      <c r="AN150" s="104" t="e">
        <f t="shared" si="71"/>
        <v>#N/A</v>
      </c>
      <c r="AO150" s="104" t="e">
        <f t="shared" si="72"/>
        <v>#N/A</v>
      </c>
      <c r="AP150" s="104" t="e">
        <f t="shared" si="73"/>
        <v>#N/A</v>
      </c>
      <c r="AQ150" s="104" t="e">
        <f t="shared" si="74"/>
        <v>#N/A</v>
      </c>
      <c r="AR150" s="105" t="str">
        <f t="shared" si="75"/>
        <v/>
      </c>
      <c r="AS150" s="105" t="str">
        <f t="shared" si="76"/>
        <v/>
      </c>
      <c r="AT150" s="108" t="str">
        <f t="shared" si="77"/>
        <v/>
      </c>
      <c r="AU150" s="108" t="str">
        <f t="shared" si="78"/>
        <v/>
      </c>
      <c r="AV150" s="107" t="str">
        <f>IF(ISNUMBER(O150),IF(VLOOKUP($A150,Stand!C:J,8,FALSE)="Short",AT150,AU150),"")</f>
        <v/>
      </c>
      <c r="AW150" s="109" t="str">
        <f t="shared" si="79"/>
        <v/>
      </c>
      <c r="AX150" s="109" t="str">
        <f t="shared" si="80"/>
        <v/>
      </c>
      <c r="AY150" s="112" t="str">
        <f>IF(ISNUMBER(O150),IF(AND(VLOOKUP($D150,Merchantability!$B:$C,2,0)="Yes",$E150&gt;=VLOOKUP($D150,Merchantability!$B:$D,3,0),$E150&lt;=VLOOKUP($D150,Merchantability!$B:$E,4,0)),(AV150*O150)*(1-$H150/100),""),"")</f>
        <v/>
      </c>
      <c r="AZ150" s="116"/>
      <c r="BA150" s="116"/>
      <c r="BB150" s="116"/>
      <c r="BE150" s="62"/>
      <c r="BF150" s="63"/>
    </row>
    <row r="151" spans="1:58" ht="12.75" customHeight="1" x14ac:dyDescent="0.25">
      <c r="A151" s="384"/>
      <c r="B151" s="380"/>
      <c r="C151" s="381"/>
      <c r="D151" s="380"/>
      <c r="E151" s="382"/>
      <c r="F151" s="331"/>
      <c r="G151" s="329"/>
      <c r="H151" s="329"/>
      <c r="I151" s="380"/>
      <c r="J151" s="381"/>
      <c r="K151" s="329"/>
      <c r="L151" s="329"/>
      <c r="M151" s="76"/>
      <c r="N151" s="103" t="str">
        <f>IF(A151="","",VLOOKUP(A151,Stand!C:K,9,0))</f>
        <v/>
      </c>
      <c r="O151" s="104" t="str">
        <f t="shared" si="54"/>
        <v/>
      </c>
      <c r="P151" s="105" t="str">
        <f t="shared" si="55"/>
        <v/>
      </c>
      <c r="Q151" s="105" t="str">
        <f t="shared" si="56"/>
        <v/>
      </c>
      <c r="R151" s="103" t="str">
        <f t="shared" si="57"/>
        <v/>
      </c>
      <c r="S151" s="103" t="str">
        <f t="shared" si="58"/>
        <v/>
      </c>
      <c r="T151" s="106" t="str">
        <f t="shared" si="59"/>
        <v/>
      </c>
      <c r="U151" s="106" t="str">
        <f t="shared" si="60"/>
        <v/>
      </c>
      <c r="V151" s="106" t="str">
        <f t="shared" si="61"/>
        <v/>
      </c>
      <c r="W151" s="105" t="str">
        <f t="shared" si="62"/>
        <v/>
      </c>
      <c r="X151" s="104" t="str">
        <f t="shared" si="63"/>
        <v/>
      </c>
      <c r="Y151" s="104" t="str">
        <f t="array" ref="Y151">IFERROR(IF(ISNUMBER(O151),IF(COUNT(IF(A151=$A$2:$A$2427,IF(D151=$D$2:$D$2427,IF($X$2:$X$2427&gt;0,1))))&gt;0,SUM(IF(A151=$A$2:$A$2427,IF(D151=$D$2:$D$2427,$X$2:$X$2427)))/COUNT(IF(A151=$A$2:$A$2427,IF(D151=$D$2:$D$2427,IF(ISNUMBER($X$2:$X$2427),1)))),0),""),0)</f>
        <v/>
      </c>
      <c r="Z151" s="104" t="str">
        <f>IF(ISNUMBER(O151),IF(I151&gt;0,(10^(VLOOKUP(D151,'Species Codes'!B:C,2,0)+VLOOKUP(D151,'Species Codes'!B:D,3,0)*LOG(E151)+VLOOKUP(D151,'Species Codes'!B:E,4,0)*LOG(I151))),0),"")</f>
        <v/>
      </c>
      <c r="AA151" s="104" t="str">
        <f>IFERROR((VLOOKUP(D151,'Species Codes'!B:G,6,0)*Z151)/2000,"")</f>
        <v/>
      </c>
      <c r="AB151" s="104" t="e">
        <f>IF(Z151&gt;0,((IF(OR(D151="DF",D151="RA")=TRUE,EXP(VLOOKUP(D151,'Species Codes'!B:I,8,0)+VLOOKUP(D151,'Species Codes'!B:J,9,0)*(LN((E151*2.54)))),IF(OR(D151="PY",D151="RC",D151="WH",D151="NF")=TRUE,VLOOKUP(D151,'Species Codes'!B:I,8,0)+VLOOKUP(D151,'Species Codes'!B:J,9,0)*((E151*2.54)^2)*(I151*0.3048),IF(OR(D151="MD",D151="BM",D151="GA")=TRUE,((VLOOKUP(D151,'Species Codes'!B:I,8,0)*(((((E151*2.54)+VLOOKUP(D151,'Species Codes'!B:J,9,0))/VLOOKUP(D151,'Species Codes'!B:K,10,0))^VLOOKUP(D151,'Species Codes'!B:L,11,0))*((I151*0.3048)^VLOOKUP(D151,'Species Codes'!B:M,12,0))))-(VLOOKUP(D151,'Species Codes'!B:I,8,0)*((((E151*2.54)^VLOOKUP(D151,'Species Codes'!B:L,11,0))*((I151*0.3048)^VLOOKUP(D151,'Species Codes'!B:M,12,0))))))*35.3*VLOOKUP(D151,'Species Codes'!B:G,6,0)/2.2046,VLOOKUP(D151,'Species Codes'!B:I,8,0)+VLOOKUP(D151,'Species Codes'!B:J,9,0)*(((E151*2.54)/100)^2)*(I151*0.3048)))))*0.0011023),0)</f>
        <v>#N/A</v>
      </c>
      <c r="AC151" s="104" t="e">
        <f>IF(Z151&gt;0,((IF(OR(D151="RA",D151="OA",D151="OT",D151="UN",D151="PC"),EXP(VLOOKUP(D151,'Species Codes'!B:O,14,0)+VLOOKUP(D151,'Species Codes'!B:P,15,0)*LN((E151*2.54)))-EXP(VLOOKUP(D151,'Species Codes'!B:O,14,0)+VLOOKUP(D151,'Species Codes'!B:P,15,0)*LN((E151*2.54)))*(1/(VLOOKUP(D151,'Species Codes'!B:Q,16,0)+VLOOKUP(D151,'Species Codes'!B:R,17,0)*((E151*2.54)^VLOOKUP(D151,'Species Codes'!B:S,18,0)))),IF(OR(D151="BM",D151="MD",D151="OA"),EXP(VLOOKUP(D151,'Species Codes'!B:O,14,0)+VLOOKUP(D151,'Species Codes'!B:P,15,0)*LN((E151*2.54)))*(1-(1/(VLOOKUP(D151,'Species Codes'!B:Q,16,0)+VLOOKUP(D151,'Species Codes'!B:R,17,0)*((E151*2.54)^VLOOKUP(D151,'Species Codes'!B:S,18,0)))))/1000,IF(D151="DF",EXP(VLOOKUP(D151,'Species Codes'!B:O,14,0)+VLOOKUP(D151,'Species Codes'!B:P,15,0)*LN((E151*2.54))),VLOOKUP(D151,'Species Codes'!B:O,14,0)+VLOOKUP(D151,'Species Codes'!B:P,15,0)*(((E151*2.54)/100)^2)*(I151*0.3048)))))*0.0011023),0)</f>
        <v>#N/A</v>
      </c>
      <c r="AD151" s="104" t="e">
        <f t="shared" si="64"/>
        <v>#N/A</v>
      </c>
      <c r="AE151" s="104" t="e">
        <f t="shared" si="65"/>
        <v>#N/A</v>
      </c>
      <c r="AF151" s="104" t="e">
        <f>IF(AND(VLOOKUP($D151,Merchantability!$B:$C,2,0)="Yes",$E151&gt;=VLOOKUP($D151,Merchantability!$B:$D,3,0),$E151&lt;=VLOOKUP($D151,Merchantability!$B:$E,4,0)),AA151,0)</f>
        <v>#N/A</v>
      </c>
      <c r="AG151" s="104" t="e">
        <f>IF(AND(VLOOKUP($D151,Merchantability!$B:$C,2,0)="Yes",$E151&gt;=VLOOKUP($D151,Merchantability!$B:$D,3,0),$E151&lt;=VLOOKUP($D151,Merchantability!$B:$E,4,0)),AB151,0)</f>
        <v>#N/A</v>
      </c>
      <c r="AH151" s="104" t="e">
        <f>IF(AND(VLOOKUP($D151,Merchantability!$B:$C,2,0)="Yes",$E151&gt;=VLOOKUP($D151,Merchantability!$B:$D,3,0),$E151&lt;=VLOOKUP($D151,Merchantability!$B:$E,4,0)),AC151,0)</f>
        <v>#N/A</v>
      </c>
      <c r="AI151" s="104" t="e">
        <f t="shared" si="66"/>
        <v>#N/A</v>
      </c>
      <c r="AJ151" s="104" t="e">
        <f t="shared" si="67"/>
        <v>#VALUE!</v>
      </c>
      <c r="AK151" s="104" t="e">
        <f t="shared" si="68"/>
        <v>#N/A</v>
      </c>
      <c r="AL151" s="104" t="e">
        <f t="shared" si="69"/>
        <v>#N/A</v>
      </c>
      <c r="AM151" s="104" t="e">
        <f t="shared" si="70"/>
        <v>#N/A</v>
      </c>
      <c r="AN151" s="104" t="e">
        <f t="shared" si="71"/>
        <v>#N/A</v>
      </c>
      <c r="AO151" s="104" t="e">
        <f t="shared" si="72"/>
        <v>#N/A</v>
      </c>
      <c r="AP151" s="104" t="e">
        <f t="shared" si="73"/>
        <v>#N/A</v>
      </c>
      <c r="AQ151" s="104" t="e">
        <f t="shared" si="74"/>
        <v>#N/A</v>
      </c>
      <c r="AR151" s="105" t="str">
        <f t="shared" si="75"/>
        <v/>
      </c>
      <c r="AS151" s="105" t="str">
        <f t="shared" si="76"/>
        <v/>
      </c>
      <c r="AT151" s="108" t="str">
        <f t="shared" si="77"/>
        <v/>
      </c>
      <c r="AU151" s="108" t="str">
        <f t="shared" si="78"/>
        <v/>
      </c>
      <c r="AV151" s="107" t="str">
        <f>IF(ISNUMBER(O151),IF(VLOOKUP($A151,Stand!C:J,8,FALSE)="Short",AT151,AU151),"")</f>
        <v/>
      </c>
      <c r="AW151" s="109" t="str">
        <f t="shared" si="79"/>
        <v/>
      </c>
      <c r="AX151" s="109" t="str">
        <f t="shared" si="80"/>
        <v/>
      </c>
      <c r="AY151" s="112" t="str">
        <f>IF(ISNUMBER(O151),IF(AND(VLOOKUP($D151,Merchantability!$B:$C,2,0)="Yes",$E151&gt;=VLOOKUP($D151,Merchantability!$B:$D,3,0),$E151&lt;=VLOOKUP($D151,Merchantability!$B:$E,4,0)),(AV151*O151)*(1-$H151/100),""),"")</f>
        <v/>
      </c>
      <c r="AZ151" s="116"/>
      <c r="BA151" s="116"/>
      <c r="BB151" s="116"/>
      <c r="BE151" s="62"/>
      <c r="BF151" s="63"/>
    </row>
    <row r="152" spans="1:58" ht="12.75" customHeight="1" x14ac:dyDescent="0.25">
      <c r="A152" s="384"/>
      <c r="B152" s="380"/>
      <c r="C152" s="381"/>
      <c r="D152" s="380"/>
      <c r="E152" s="382"/>
      <c r="F152" s="331"/>
      <c r="G152" s="329"/>
      <c r="H152" s="329"/>
      <c r="I152" s="380"/>
      <c r="J152" s="381"/>
      <c r="K152" s="329"/>
      <c r="L152" s="329"/>
      <c r="M152" s="76"/>
      <c r="N152" s="103" t="str">
        <f>IF(A152="","",VLOOKUP(A152,Stand!C:K,9,0))</f>
        <v/>
      </c>
      <c r="O152" s="104" t="str">
        <f t="shared" si="54"/>
        <v/>
      </c>
      <c r="P152" s="105" t="str">
        <f t="shared" si="55"/>
        <v/>
      </c>
      <c r="Q152" s="105" t="str">
        <f t="shared" si="56"/>
        <v/>
      </c>
      <c r="R152" s="103" t="str">
        <f t="shared" si="57"/>
        <v/>
      </c>
      <c r="S152" s="103" t="str">
        <f t="shared" si="58"/>
        <v/>
      </c>
      <c r="T152" s="106" t="str">
        <f t="shared" si="59"/>
        <v/>
      </c>
      <c r="U152" s="106" t="str">
        <f t="shared" si="60"/>
        <v/>
      </c>
      <c r="V152" s="106" t="str">
        <f t="shared" si="61"/>
        <v/>
      </c>
      <c r="W152" s="105" t="str">
        <f t="shared" si="62"/>
        <v/>
      </c>
      <c r="X152" s="104" t="str">
        <f t="shared" si="63"/>
        <v/>
      </c>
      <c r="Y152" s="104" t="str">
        <f t="array" ref="Y152">IFERROR(IF(ISNUMBER(O152),IF(COUNT(IF(A152=$A$2:$A$2427,IF(D152=$D$2:$D$2427,IF($X$2:$X$2427&gt;0,1))))&gt;0,SUM(IF(A152=$A$2:$A$2427,IF(D152=$D$2:$D$2427,$X$2:$X$2427)))/COUNT(IF(A152=$A$2:$A$2427,IF(D152=$D$2:$D$2427,IF(ISNUMBER($X$2:$X$2427),1)))),0),""),0)</f>
        <v/>
      </c>
      <c r="Z152" s="104" t="str">
        <f>IF(ISNUMBER(O152),IF(I152&gt;0,(10^(VLOOKUP(D152,'Species Codes'!B:C,2,0)+VLOOKUP(D152,'Species Codes'!B:D,3,0)*LOG(E152)+VLOOKUP(D152,'Species Codes'!B:E,4,0)*LOG(I152))),0),"")</f>
        <v/>
      </c>
      <c r="AA152" s="104" t="str">
        <f>IFERROR((VLOOKUP(D152,'Species Codes'!B:G,6,0)*Z152)/2000,"")</f>
        <v/>
      </c>
      <c r="AB152" s="104" t="e">
        <f>IF(Z152&gt;0,((IF(OR(D152="DF",D152="RA")=TRUE,EXP(VLOOKUP(D152,'Species Codes'!B:I,8,0)+VLOOKUP(D152,'Species Codes'!B:J,9,0)*(LN((E152*2.54)))),IF(OR(D152="PY",D152="RC",D152="WH",D152="NF")=TRUE,VLOOKUP(D152,'Species Codes'!B:I,8,0)+VLOOKUP(D152,'Species Codes'!B:J,9,0)*((E152*2.54)^2)*(I152*0.3048),IF(OR(D152="MD",D152="BM",D152="GA")=TRUE,((VLOOKUP(D152,'Species Codes'!B:I,8,0)*(((((E152*2.54)+VLOOKUP(D152,'Species Codes'!B:J,9,0))/VLOOKUP(D152,'Species Codes'!B:K,10,0))^VLOOKUP(D152,'Species Codes'!B:L,11,0))*((I152*0.3048)^VLOOKUP(D152,'Species Codes'!B:M,12,0))))-(VLOOKUP(D152,'Species Codes'!B:I,8,0)*((((E152*2.54)^VLOOKUP(D152,'Species Codes'!B:L,11,0))*((I152*0.3048)^VLOOKUP(D152,'Species Codes'!B:M,12,0))))))*35.3*VLOOKUP(D152,'Species Codes'!B:G,6,0)/2.2046,VLOOKUP(D152,'Species Codes'!B:I,8,0)+VLOOKUP(D152,'Species Codes'!B:J,9,0)*(((E152*2.54)/100)^2)*(I152*0.3048)))))*0.0011023),0)</f>
        <v>#N/A</v>
      </c>
      <c r="AC152" s="104" t="e">
        <f>IF(Z152&gt;0,((IF(OR(D152="RA",D152="OA",D152="OT",D152="UN",D152="PC"),EXP(VLOOKUP(D152,'Species Codes'!B:O,14,0)+VLOOKUP(D152,'Species Codes'!B:P,15,0)*LN((E152*2.54)))-EXP(VLOOKUP(D152,'Species Codes'!B:O,14,0)+VLOOKUP(D152,'Species Codes'!B:P,15,0)*LN((E152*2.54)))*(1/(VLOOKUP(D152,'Species Codes'!B:Q,16,0)+VLOOKUP(D152,'Species Codes'!B:R,17,0)*((E152*2.54)^VLOOKUP(D152,'Species Codes'!B:S,18,0)))),IF(OR(D152="BM",D152="MD",D152="OA"),EXP(VLOOKUP(D152,'Species Codes'!B:O,14,0)+VLOOKUP(D152,'Species Codes'!B:P,15,0)*LN((E152*2.54)))*(1-(1/(VLOOKUP(D152,'Species Codes'!B:Q,16,0)+VLOOKUP(D152,'Species Codes'!B:R,17,0)*((E152*2.54)^VLOOKUP(D152,'Species Codes'!B:S,18,0)))))/1000,IF(D152="DF",EXP(VLOOKUP(D152,'Species Codes'!B:O,14,0)+VLOOKUP(D152,'Species Codes'!B:P,15,0)*LN((E152*2.54))),VLOOKUP(D152,'Species Codes'!B:O,14,0)+VLOOKUP(D152,'Species Codes'!B:P,15,0)*(((E152*2.54)/100)^2)*(I152*0.3048)))))*0.0011023),0)</f>
        <v>#N/A</v>
      </c>
      <c r="AD152" s="104" t="e">
        <f t="shared" si="64"/>
        <v>#N/A</v>
      </c>
      <c r="AE152" s="104" t="e">
        <f t="shared" si="65"/>
        <v>#N/A</v>
      </c>
      <c r="AF152" s="104" t="e">
        <f>IF(AND(VLOOKUP($D152,Merchantability!$B:$C,2,0)="Yes",$E152&gt;=VLOOKUP($D152,Merchantability!$B:$D,3,0),$E152&lt;=VLOOKUP($D152,Merchantability!$B:$E,4,0)),AA152,0)</f>
        <v>#N/A</v>
      </c>
      <c r="AG152" s="104" t="e">
        <f>IF(AND(VLOOKUP($D152,Merchantability!$B:$C,2,0)="Yes",$E152&gt;=VLOOKUP($D152,Merchantability!$B:$D,3,0),$E152&lt;=VLOOKUP($D152,Merchantability!$B:$E,4,0)),AB152,0)</f>
        <v>#N/A</v>
      </c>
      <c r="AH152" s="104" t="e">
        <f>IF(AND(VLOOKUP($D152,Merchantability!$B:$C,2,0)="Yes",$E152&gt;=VLOOKUP($D152,Merchantability!$B:$D,3,0),$E152&lt;=VLOOKUP($D152,Merchantability!$B:$E,4,0)),AC152,0)</f>
        <v>#N/A</v>
      </c>
      <c r="AI152" s="104" t="e">
        <f t="shared" si="66"/>
        <v>#N/A</v>
      </c>
      <c r="AJ152" s="104" t="e">
        <f t="shared" si="67"/>
        <v>#VALUE!</v>
      </c>
      <c r="AK152" s="104" t="e">
        <f t="shared" si="68"/>
        <v>#N/A</v>
      </c>
      <c r="AL152" s="104" t="e">
        <f t="shared" si="69"/>
        <v>#N/A</v>
      </c>
      <c r="AM152" s="104" t="e">
        <f t="shared" si="70"/>
        <v>#N/A</v>
      </c>
      <c r="AN152" s="104" t="e">
        <f t="shared" si="71"/>
        <v>#N/A</v>
      </c>
      <c r="AO152" s="104" t="e">
        <f t="shared" si="72"/>
        <v>#N/A</v>
      </c>
      <c r="AP152" s="104" t="e">
        <f t="shared" si="73"/>
        <v>#N/A</v>
      </c>
      <c r="AQ152" s="104" t="e">
        <f t="shared" si="74"/>
        <v>#N/A</v>
      </c>
      <c r="AR152" s="105" t="str">
        <f t="shared" si="75"/>
        <v/>
      </c>
      <c r="AS152" s="105" t="str">
        <f t="shared" si="76"/>
        <v/>
      </c>
      <c r="AT152" s="108" t="str">
        <f t="shared" si="77"/>
        <v/>
      </c>
      <c r="AU152" s="108" t="str">
        <f t="shared" si="78"/>
        <v/>
      </c>
      <c r="AV152" s="107" t="str">
        <f>IF(ISNUMBER(O152),IF(VLOOKUP($A152,Stand!C:J,8,FALSE)="Short",AT152,AU152),"")</f>
        <v/>
      </c>
      <c r="AW152" s="109" t="str">
        <f t="shared" si="79"/>
        <v/>
      </c>
      <c r="AX152" s="109" t="str">
        <f t="shared" si="80"/>
        <v/>
      </c>
      <c r="AY152" s="112" t="str">
        <f>IF(ISNUMBER(O152),IF(AND(VLOOKUP($D152,Merchantability!$B:$C,2,0)="Yes",$E152&gt;=VLOOKUP($D152,Merchantability!$B:$D,3,0),$E152&lt;=VLOOKUP($D152,Merchantability!$B:$E,4,0)),(AV152*O152)*(1-$H152/100),""),"")</f>
        <v/>
      </c>
      <c r="AZ152" s="116"/>
      <c r="BA152" s="116"/>
      <c r="BB152" s="116"/>
      <c r="BE152" s="62"/>
      <c r="BF152" s="63"/>
    </row>
    <row r="153" spans="1:58" ht="12.75" customHeight="1" x14ac:dyDescent="0.25">
      <c r="A153" s="384"/>
      <c r="B153" s="380"/>
      <c r="C153" s="381"/>
      <c r="D153" s="380"/>
      <c r="E153" s="382"/>
      <c r="F153" s="331"/>
      <c r="G153" s="329"/>
      <c r="H153" s="329"/>
      <c r="I153" s="380"/>
      <c r="J153" s="381"/>
      <c r="K153" s="329"/>
      <c r="L153" s="329"/>
      <c r="M153" s="76"/>
      <c r="N153" s="103" t="str">
        <f>IF(A153="","",VLOOKUP(A153,Stand!C:K,9,0))</f>
        <v/>
      </c>
      <c r="O153" s="104" t="str">
        <f t="shared" si="54"/>
        <v/>
      </c>
      <c r="P153" s="105" t="str">
        <f t="shared" si="55"/>
        <v/>
      </c>
      <c r="Q153" s="105" t="str">
        <f t="shared" si="56"/>
        <v/>
      </c>
      <c r="R153" s="103" t="str">
        <f t="shared" si="57"/>
        <v/>
      </c>
      <c r="S153" s="103" t="str">
        <f t="shared" si="58"/>
        <v/>
      </c>
      <c r="T153" s="106" t="str">
        <f t="shared" si="59"/>
        <v/>
      </c>
      <c r="U153" s="106" t="str">
        <f t="shared" si="60"/>
        <v/>
      </c>
      <c r="V153" s="106" t="str">
        <f t="shared" si="61"/>
        <v/>
      </c>
      <c r="W153" s="105" t="str">
        <f t="shared" si="62"/>
        <v/>
      </c>
      <c r="X153" s="104" t="str">
        <f t="shared" si="63"/>
        <v/>
      </c>
      <c r="Y153" s="104" t="str">
        <f t="array" ref="Y153">IFERROR(IF(ISNUMBER(O153),IF(COUNT(IF(A153=$A$2:$A$2427,IF(D153=$D$2:$D$2427,IF($X$2:$X$2427&gt;0,1))))&gt;0,SUM(IF(A153=$A$2:$A$2427,IF(D153=$D$2:$D$2427,$X$2:$X$2427)))/COUNT(IF(A153=$A$2:$A$2427,IF(D153=$D$2:$D$2427,IF(ISNUMBER($X$2:$X$2427),1)))),0),""),0)</f>
        <v/>
      </c>
      <c r="Z153" s="104" t="str">
        <f>IF(ISNUMBER(O153),IF(I153&gt;0,(10^(VLOOKUP(D153,'Species Codes'!B:C,2,0)+VLOOKUP(D153,'Species Codes'!B:D,3,0)*LOG(E153)+VLOOKUP(D153,'Species Codes'!B:E,4,0)*LOG(I153))),0),"")</f>
        <v/>
      </c>
      <c r="AA153" s="104" t="str">
        <f>IFERROR((VLOOKUP(D153,'Species Codes'!B:G,6,0)*Z153)/2000,"")</f>
        <v/>
      </c>
      <c r="AB153" s="104" t="e">
        <f>IF(Z153&gt;0,((IF(OR(D153="DF",D153="RA")=TRUE,EXP(VLOOKUP(D153,'Species Codes'!B:I,8,0)+VLOOKUP(D153,'Species Codes'!B:J,9,0)*(LN((E153*2.54)))),IF(OR(D153="PY",D153="RC",D153="WH",D153="NF")=TRUE,VLOOKUP(D153,'Species Codes'!B:I,8,0)+VLOOKUP(D153,'Species Codes'!B:J,9,0)*((E153*2.54)^2)*(I153*0.3048),IF(OR(D153="MD",D153="BM",D153="GA")=TRUE,((VLOOKUP(D153,'Species Codes'!B:I,8,0)*(((((E153*2.54)+VLOOKUP(D153,'Species Codes'!B:J,9,0))/VLOOKUP(D153,'Species Codes'!B:K,10,0))^VLOOKUP(D153,'Species Codes'!B:L,11,0))*((I153*0.3048)^VLOOKUP(D153,'Species Codes'!B:M,12,0))))-(VLOOKUP(D153,'Species Codes'!B:I,8,0)*((((E153*2.54)^VLOOKUP(D153,'Species Codes'!B:L,11,0))*((I153*0.3048)^VLOOKUP(D153,'Species Codes'!B:M,12,0))))))*35.3*VLOOKUP(D153,'Species Codes'!B:G,6,0)/2.2046,VLOOKUP(D153,'Species Codes'!B:I,8,0)+VLOOKUP(D153,'Species Codes'!B:J,9,0)*(((E153*2.54)/100)^2)*(I153*0.3048)))))*0.0011023),0)</f>
        <v>#N/A</v>
      </c>
      <c r="AC153" s="104" t="e">
        <f>IF(Z153&gt;0,((IF(OR(D153="RA",D153="OA",D153="OT",D153="UN",D153="PC"),EXP(VLOOKUP(D153,'Species Codes'!B:O,14,0)+VLOOKUP(D153,'Species Codes'!B:P,15,0)*LN((E153*2.54)))-EXP(VLOOKUP(D153,'Species Codes'!B:O,14,0)+VLOOKUP(D153,'Species Codes'!B:P,15,0)*LN((E153*2.54)))*(1/(VLOOKUP(D153,'Species Codes'!B:Q,16,0)+VLOOKUP(D153,'Species Codes'!B:R,17,0)*((E153*2.54)^VLOOKUP(D153,'Species Codes'!B:S,18,0)))),IF(OR(D153="BM",D153="MD",D153="OA"),EXP(VLOOKUP(D153,'Species Codes'!B:O,14,0)+VLOOKUP(D153,'Species Codes'!B:P,15,0)*LN((E153*2.54)))*(1-(1/(VLOOKUP(D153,'Species Codes'!B:Q,16,0)+VLOOKUP(D153,'Species Codes'!B:R,17,0)*((E153*2.54)^VLOOKUP(D153,'Species Codes'!B:S,18,0)))))/1000,IF(D153="DF",EXP(VLOOKUP(D153,'Species Codes'!B:O,14,0)+VLOOKUP(D153,'Species Codes'!B:P,15,0)*LN((E153*2.54))),VLOOKUP(D153,'Species Codes'!B:O,14,0)+VLOOKUP(D153,'Species Codes'!B:P,15,0)*(((E153*2.54)/100)^2)*(I153*0.3048)))))*0.0011023),0)</f>
        <v>#N/A</v>
      </c>
      <c r="AD153" s="104" t="e">
        <f t="shared" si="64"/>
        <v>#N/A</v>
      </c>
      <c r="AE153" s="104" t="e">
        <f t="shared" si="65"/>
        <v>#N/A</v>
      </c>
      <c r="AF153" s="104" t="e">
        <f>IF(AND(VLOOKUP($D153,Merchantability!$B:$C,2,0)="Yes",$E153&gt;=VLOOKUP($D153,Merchantability!$B:$D,3,0),$E153&lt;=VLOOKUP($D153,Merchantability!$B:$E,4,0)),AA153,0)</f>
        <v>#N/A</v>
      </c>
      <c r="AG153" s="104" t="e">
        <f>IF(AND(VLOOKUP($D153,Merchantability!$B:$C,2,0)="Yes",$E153&gt;=VLOOKUP($D153,Merchantability!$B:$D,3,0),$E153&lt;=VLOOKUP($D153,Merchantability!$B:$E,4,0)),AB153,0)</f>
        <v>#N/A</v>
      </c>
      <c r="AH153" s="104" t="e">
        <f>IF(AND(VLOOKUP($D153,Merchantability!$B:$C,2,0)="Yes",$E153&gt;=VLOOKUP($D153,Merchantability!$B:$D,3,0),$E153&lt;=VLOOKUP($D153,Merchantability!$B:$E,4,0)),AC153,0)</f>
        <v>#N/A</v>
      </c>
      <c r="AI153" s="104" t="e">
        <f t="shared" si="66"/>
        <v>#N/A</v>
      </c>
      <c r="AJ153" s="104" t="e">
        <f t="shared" si="67"/>
        <v>#VALUE!</v>
      </c>
      <c r="AK153" s="104" t="e">
        <f t="shared" si="68"/>
        <v>#N/A</v>
      </c>
      <c r="AL153" s="104" t="e">
        <f t="shared" si="69"/>
        <v>#N/A</v>
      </c>
      <c r="AM153" s="104" t="e">
        <f t="shared" si="70"/>
        <v>#N/A</v>
      </c>
      <c r="AN153" s="104" t="e">
        <f t="shared" si="71"/>
        <v>#N/A</v>
      </c>
      <c r="AO153" s="104" t="e">
        <f t="shared" si="72"/>
        <v>#N/A</v>
      </c>
      <c r="AP153" s="104" t="e">
        <f t="shared" si="73"/>
        <v>#N/A</v>
      </c>
      <c r="AQ153" s="104" t="e">
        <f t="shared" si="74"/>
        <v>#N/A</v>
      </c>
      <c r="AR153" s="105" t="str">
        <f t="shared" si="75"/>
        <v/>
      </c>
      <c r="AS153" s="105" t="str">
        <f t="shared" si="76"/>
        <v/>
      </c>
      <c r="AT153" s="108" t="str">
        <f t="shared" si="77"/>
        <v/>
      </c>
      <c r="AU153" s="108" t="str">
        <f t="shared" si="78"/>
        <v/>
      </c>
      <c r="AV153" s="107" t="str">
        <f>IF(ISNUMBER(O153),IF(VLOOKUP($A153,Stand!C:J,8,FALSE)="Short",AT153,AU153),"")</f>
        <v/>
      </c>
      <c r="AW153" s="109" t="str">
        <f t="shared" si="79"/>
        <v/>
      </c>
      <c r="AX153" s="109" t="str">
        <f t="shared" si="80"/>
        <v/>
      </c>
      <c r="AY153" s="112" t="str">
        <f>IF(ISNUMBER(O153),IF(AND(VLOOKUP($D153,Merchantability!$B:$C,2,0)="Yes",$E153&gt;=VLOOKUP($D153,Merchantability!$B:$D,3,0),$E153&lt;=VLOOKUP($D153,Merchantability!$B:$E,4,0)),(AV153*O153)*(1-$H153/100),""),"")</f>
        <v/>
      </c>
      <c r="AZ153" s="116"/>
      <c r="BA153" s="116"/>
      <c r="BB153" s="116"/>
      <c r="BE153" s="62"/>
      <c r="BF153" s="63"/>
    </row>
    <row r="154" spans="1:58" ht="12.75" customHeight="1" x14ac:dyDescent="0.25">
      <c r="A154" s="384"/>
      <c r="B154" s="380"/>
      <c r="C154" s="381"/>
      <c r="D154" s="380"/>
      <c r="E154" s="380"/>
      <c r="F154" s="331"/>
      <c r="G154" s="329"/>
      <c r="H154" s="329"/>
      <c r="I154" s="380"/>
      <c r="J154" s="381"/>
      <c r="K154" s="329"/>
      <c r="L154" s="329"/>
      <c r="M154" s="76"/>
      <c r="N154" s="103" t="str">
        <f>IF(A154="","",VLOOKUP(A154,Stand!C:K,9,0))</f>
        <v/>
      </c>
      <c r="O154" s="104" t="str">
        <f t="shared" si="54"/>
        <v/>
      </c>
      <c r="P154" s="105" t="str">
        <f t="shared" si="55"/>
        <v/>
      </c>
      <c r="Q154" s="105" t="str">
        <f t="shared" si="56"/>
        <v/>
      </c>
      <c r="R154" s="103" t="str">
        <f t="shared" si="57"/>
        <v/>
      </c>
      <c r="S154" s="103" t="str">
        <f t="shared" si="58"/>
        <v/>
      </c>
      <c r="T154" s="106" t="str">
        <f t="shared" si="59"/>
        <v/>
      </c>
      <c r="U154" s="106" t="str">
        <f t="shared" si="60"/>
        <v/>
      </c>
      <c r="V154" s="106" t="str">
        <f t="shared" si="61"/>
        <v/>
      </c>
      <c r="W154" s="105" t="str">
        <f t="shared" si="62"/>
        <v/>
      </c>
      <c r="X154" s="104" t="str">
        <f t="shared" si="63"/>
        <v/>
      </c>
      <c r="Y154" s="104" t="str">
        <f t="array" ref="Y154">IFERROR(IF(ISNUMBER(O154),IF(COUNT(IF(A154=$A$2:$A$2427,IF(D154=$D$2:$D$2427,IF($X$2:$X$2427&gt;0,1))))&gt;0,SUM(IF(A154=$A$2:$A$2427,IF(D154=$D$2:$D$2427,$X$2:$X$2427)))/COUNT(IF(A154=$A$2:$A$2427,IF(D154=$D$2:$D$2427,IF(ISNUMBER($X$2:$X$2427),1)))),0),""),0)</f>
        <v/>
      </c>
      <c r="Z154" s="104" t="str">
        <f>IF(ISNUMBER(O154),IF(I154&gt;0,(10^(VLOOKUP(D154,'Species Codes'!B:C,2,0)+VLOOKUP(D154,'Species Codes'!B:D,3,0)*LOG(E154)+VLOOKUP(D154,'Species Codes'!B:E,4,0)*LOG(I154))),0),"")</f>
        <v/>
      </c>
      <c r="AA154" s="104" t="str">
        <f>IFERROR((VLOOKUP(D154,'Species Codes'!B:G,6,0)*Z154)/2000,"")</f>
        <v/>
      </c>
      <c r="AB154" s="104" t="e">
        <f>IF(Z154&gt;0,((IF(OR(D154="DF",D154="RA")=TRUE,EXP(VLOOKUP(D154,'Species Codes'!B:I,8,0)+VLOOKUP(D154,'Species Codes'!B:J,9,0)*(LN((E154*2.54)))),IF(OR(D154="PY",D154="RC",D154="WH",D154="NF")=TRUE,VLOOKUP(D154,'Species Codes'!B:I,8,0)+VLOOKUP(D154,'Species Codes'!B:J,9,0)*((E154*2.54)^2)*(I154*0.3048),IF(OR(D154="MD",D154="BM",D154="GA")=TRUE,((VLOOKUP(D154,'Species Codes'!B:I,8,0)*(((((E154*2.54)+VLOOKUP(D154,'Species Codes'!B:J,9,0))/VLOOKUP(D154,'Species Codes'!B:K,10,0))^VLOOKUP(D154,'Species Codes'!B:L,11,0))*((I154*0.3048)^VLOOKUP(D154,'Species Codes'!B:M,12,0))))-(VLOOKUP(D154,'Species Codes'!B:I,8,0)*((((E154*2.54)^VLOOKUP(D154,'Species Codes'!B:L,11,0))*((I154*0.3048)^VLOOKUP(D154,'Species Codes'!B:M,12,0))))))*35.3*VLOOKUP(D154,'Species Codes'!B:G,6,0)/2.2046,VLOOKUP(D154,'Species Codes'!B:I,8,0)+VLOOKUP(D154,'Species Codes'!B:J,9,0)*(((E154*2.54)/100)^2)*(I154*0.3048)))))*0.0011023),0)</f>
        <v>#N/A</v>
      </c>
      <c r="AC154" s="104" t="e">
        <f>IF(Z154&gt;0,((IF(OR(D154="RA",D154="OA",D154="OT",D154="UN",D154="PC"),EXP(VLOOKUP(D154,'Species Codes'!B:O,14,0)+VLOOKUP(D154,'Species Codes'!B:P,15,0)*LN((E154*2.54)))-EXP(VLOOKUP(D154,'Species Codes'!B:O,14,0)+VLOOKUP(D154,'Species Codes'!B:P,15,0)*LN((E154*2.54)))*(1/(VLOOKUP(D154,'Species Codes'!B:Q,16,0)+VLOOKUP(D154,'Species Codes'!B:R,17,0)*((E154*2.54)^VLOOKUP(D154,'Species Codes'!B:S,18,0)))),IF(OR(D154="BM",D154="MD",D154="OA"),EXP(VLOOKUP(D154,'Species Codes'!B:O,14,0)+VLOOKUP(D154,'Species Codes'!B:P,15,0)*LN((E154*2.54)))*(1-(1/(VLOOKUP(D154,'Species Codes'!B:Q,16,0)+VLOOKUP(D154,'Species Codes'!B:R,17,0)*((E154*2.54)^VLOOKUP(D154,'Species Codes'!B:S,18,0)))))/1000,IF(D154="DF",EXP(VLOOKUP(D154,'Species Codes'!B:O,14,0)+VLOOKUP(D154,'Species Codes'!B:P,15,0)*LN((E154*2.54))),VLOOKUP(D154,'Species Codes'!B:O,14,0)+VLOOKUP(D154,'Species Codes'!B:P,15,0)*(((E154*2.54)/100)^2)*(I154*0.3048)))))*0.0011023),0)</f>
        <v>#N/A</v>
      </c>
      <c r="AD154" s="104" t="e">
        <f t="shared" si="64"/>
        <v>#N/A</v>
      </c>
      <c r="AE154" s="104" t="e">
        <f t="shared" si="65"/>
        <v>#N/A</v>
      </c>
      <c r="AF154" s="104" t="e">
        <f>IF(AND(VLOOKUP($D154,Merchantability!$B:$C,2,0)="Yes",$E154&gt;=VLOOKUP($D154,Merchantability!$B:$D,3,0),$E154&lt;=VLOOKUP($D154,Merchantability!$B:$E,4,0)),AA154,0)</f>
        <v>#N/A</v>
      </c>
      <c r="AG154" s="104" t="e">
        <f>IF(AND(VLOOKUP($D154,Merchantability!$B:$C,2,0)="Yes",$E154&gt;=VLOOKUP($D154,Merchantability!$B:$D,3,0),$E154&lt;=VLOOKUP($D154,Merchantability!$B:$E,4,0)),AB154,0)</f>
        <v>#N/A</v>
      </c>
      <c r="AH154" s="104" t="e">
        <f>IF(AND(VLOOKUP($D154,Merchantability!$B:$C,2,0)="Yes",$E154&gt;=VLOOKUP($D154,Merchantability!$B:$D,3,0),$E154&lt;=VLOOKUP($D154,Merchantability!$B:$E,4,0)),AC154,0)</f>
        <v>#N/A</v>
      </c>
      <c r="AI154" s="104" t="e">
        <f t="shared" si="66"/>
        <v>#N/A</v>
      </c>
      <c r="AJ154" s="104" t="e">
        <f t="shared" si="67"/>
        <v>#VALUE!</v>
      </c>
      <c r="AK154" s="104" t="e">
        <f t="shared" si="68"/>
        <v>#N/A</v>
      </c>
      <c r="AL154" s="104" t="e">
        <f t="shared" si="69"/>
        <v>#N/A</v>
      </c>
      <c r="AM154" s="104" t="e">
        <f t="shared" si="70"/>
        <v>#N/A</v>
      </c>
      <c r="AN154" s="104" t="e">
        <f t="shared" si="71"/>
        <v>#N/A</v>
      </c>
      <c r="AO154" s="104" t="e">
        <f t="shared" si="72"/>
        <v>#N/A</v>
      </c>
      <c r="AP154" s="104" t="e">
        <f t="shared" si="73"/>
        <v>#N/A</v>
      </c>
      <c r="AQ154" s="104" t="e">
        <f t="shared" si="74"/>
        <v>#N/A</v>
      </c>
      <c r="AR154" s="105" t="str">
        <f t="shared" si="75"/>
        <v/>
      </c>
      <c r="AS154" s="105" t="str">
        <f t="shared" si="76"/>
        <v/>
      </c>
      <c r="AT154" s="108" t="str">
        <f t="shared" si="77"/>
        <v/>
      </c>
      <c r="AU154" s="108" t="str">
        <f t="shared" si="78"/>
        <v/>
      </c>
      <c r="AV154" s="107" t="str">
        <f>IF(ISNUMBER(O154),IF(VLOOKUP($A154,Stand!C:J,8,FALSE)="Short",AT154,AU154),"")</f>
        <v/>
      </c>
      <c r="AW154" s="109" t="str">
        <f t="shared" si="79"/>
        <v/>
      </c>
      <c r="AX154" s="109" t="str">
        <f t="shared" si="80"/>
        <v/>
      </c>
      <c r="AY154" s="112" t="str">
        <f>IF(ISNUMBER(O154),IF(AND(VLOOKUP($D154,Merchantability!$B:$C,2,0)="Yes",$E154&gt;=VLOOKUP($D154,Merchantability!$B:$D,3,0),$E154&lt;=VLOOKUP($D154,Merchantability!$B:$E,4,0)),(AV154*O154)*(1-$H154/100),""),"")</f>
        <v/>
      </c>
      <c r="AZ154" s="115"/>
      <c r="BA154" s="61"/>
      <c r="BB154" s="61"/>
      <c r="BC154" s="61"/>
      <c r="BE154" s="61"/>
      <c r="BF154" s="63"/>
    </row>
    <row r="155" spans="1:58" ht="12.75" customHeight="1" x14ac:dyDescent="0.25">
      <c r="A155" s="384"/>
      <c r="B155" s="380"/>
      <c r="C155" s="381"/>
      <c r="D155" s="380"/>
      <c r="E155" s="382"/>
      <c r="F155" s="331"/>
      <c r="G155" s="329"/>
      <c r="H155" s="329"/>
      <c r="I155" s="380"/>
      <c r="J155" s="381"/>
      <c r="K155" s="329"/>
      <c r="L155" s="329"/>
      <c r="M155" s="76"/>
      <c r="N155" s="103" t="str">
        <f>IF(A155="","",VLOOKUP(A155,Stand!C:K,9,0))</f>
        <v/>
      </c>
      <c r="O155" s="104" t="str">
        <f t="shared" si="54"/>
        <v/>
      </c>
      <c r="P155" s="105" t="str">
        <f t="shared" si="55"/>
        <v/>
      </c>
      <c r="Q155" s="105" t="str">
        <f t="shared" si="56"/>
        <v/>
      </c>
      <c r="R155" s="103" t="str">
        <f t="shared" si="57"/>
        <v/>
      </c>
      <c r="S155" s="103" t="str">
        <f t="shared" si="58"/>
        <v/>
      </c>
      <c r="T155" s="106" t="str">
        <f t="shared" si="59"/>
        <v/>
      </c>
      <c r="U155" s="106" t="str">
        <f t="shared" si="60"/>
        <v/>
      </c>
      <c r="V155" s="106" t="str">
        <f t="shared" si="61"/>
        <v/>
      </c>
      <c r="W155" s="105" t="str">
        <f t="shared" si="62"/>
        <v/>
      </c>
      <c r="X155" s="104" t="str">
        <f t="shared" si="63"/>
        <v/>
      </c>
      <c r="Y155" s="104" t="str">
        <f t="array" ref="Y155">IFERROR(IF(ISNUMBER(O155),IF(COUNT(IF(A155=$A$2:$A$2427,IF(D155=$D$2:$D$2427,IF($X$2:$X$2427&gt;0,1))))&gt;0,SUM(IF(A155=$A$2:$A$2427,IF(D155=$D$2:$D$2427,$X$2:$X$2427)))/COUNT(IF(A155=$A$2:$A$2427,IF(D155=$D$2:$D$2427,IF(ISNUMBER($X$2:$X$2427),1)))),0),""),0)</f>
        <v/>
      </c>
      <c r="Z155" s="104" t="str">
        <f>IF(ISNUMBER(O155),IF(I155&gt;0,(10^(VLOOKUP(D155,'Species Codes'!B:C,2,0)+VLOOKUP(D155,'Species Codes'!B:D,3,0)*LOG(E155)+VLOOKUP(D155,'Species Codes'!B:E,4,0)*LOG(I155))),0),"")</f>
        <v/>
      </c>
      <c r="AA155" s="104" t="str">
        <f>IFERROR((VLOOKUP(D155,'Species Codes'!B:G,6,0)*Z155)/2000,"")</f>
        <v/>
      </c>
      <c r="AB155" s="104" t="e">
        <f>IF(Z155&gt;0,((IF(OR(D155="DF",D155="RA")=TRUE,EXP(VLOOKUP(D155,'Species Codes'!B:I,8,0)+VLOOKUP(D155,'Species Codes'!B:J,9,0)*(LN((E155*2.54)))),IF(OR(D155="PY",D155="RC",D155="WH",D155="NF")=TRUE,VLOOKUP(D155,'Species Codes'!B:I,8,0)+VLOOKUP(D155,'Species Codes'!B:J,9,0)*((E155*2.54)^2)*(I155*0.3048),IF(OR(D155="MD",D155="BM",D155="GA")=TRUE,((VLOOKUP(D155,'Species Codes'!B:I,8,0)*(((((E155*2.54)+VLOOKUP(D155,'Species Codes'!B:J,9,0))/VLOOKUP(D155,'Species Codes'!B:K,10,0))^VLOOKUP(D155,'Species Codes'!B:L,11,0))*((I155*0.3048)^VLOOKUP(D155,'Species Codes'!B:M,12,0))))-(VLOOKUP(D155,'Species Codes'!B:I,8,0)*((((E155*2.54)^VLOOKUP(D155,'Species Codes'!B:L,11,0))*((I155*0.3048)^VLOOKUP(D155,'Species Codes'!B:M,12,0))))))*35.3*VLOOKUP(D155,'Species Codes'!B:G,6,0)/2.2046,VLOOKUP(D155,'Species Codes'!B:I,8,0)+VLOOKUP(D155,'Species Codes'!B:J,9,0)*(((E155*2.54)/100)^2)*(I155*0.3048)))))*0.0011023),0)</f>
        <v>#N/A</v>
      </c>
      <c r="AC155" s="104" t="e">
        <f>IF(Z155&gt;0,((IF(OR(D155="RA",D155="OA",D155="OT",D155="UN",D155="PC"),EXP(VLOOKUP(D155,'Species Codes'!B:O,14,0)+VLOOKUP(D155,'Species Codes'!B:P,15,0)*LN((E155*2.54)))-EXP(VLOOKUP(D155,'Species Codes'!B:O,14,0)+VLOOKUP(D155,'Species Codes'!B:P,15,0)*LN((E155*2.54)))*(1/(VLOOKUP(D155,'Species Codes'!B:Q,16,0)+VLOOKUP(D155,'Species Codes'!B:R,17,0)*((E155*2.54)^VLOOKUP(D155,'Species Codes'!B:S,18,0)))),IF(OR(D155="BM",D155="MD",D155="OA"),EXP(VLOOKUP(D155,'Species Codes'!B:O,14,0)+VLOOKUP(D155,'Species Codes'!B:P,15,0)*LN((E155*2.54)))*(1-(1/(VLOOKUP(D155,'Species Codes'!B:Q,16,0)+VLOOKUP(D155,'Species Codes'!B:R,17,0)*((E155*2.54)^VLOOKUP(D155,'Species Codes'!B:S,18,0)))))/1000,IF(D155="DF",EXP(VLOOKUP(D155,'Species Codes'!B:O,14,0)+VLOOKUP(D155,'Species Codes'!B:P,15,0)*LN((E155*2.54))),VLOOKUP(D155,'Species Codes'!B:O,14,0)+VLOOKUP(D155,'Species Codes'!B:P,15,0)*(((E155*2.54)/100)^2)*(I155*0.3048)))))*0.0011023),0)</f>
        <v>#N/A</v>
      </c>
      <c r="AD155" s="104" t="e">
        <f t="shared" si="64"/>
        <v>#N/A</v>
      </c>
      <c r="AE155" s="104" t="e">
        <f t="shared" si="65"/>
        <v>#N/A</v>
      </c>
      <c r="AF155" s="104" t="e">
        <f>IF(AND(VLOOKUP($D155,Merchantability!$B:$C,2,0)="Yes",$E155&gt;=VLOOKUP($D155,Merchantability!$B:$D,3,0),$E155&lt;=VLOOKUP($D155,Merchantability!$B:$E,4,0)),AA155,0)</f>
        <v>#N/A</v>
      </c>
      <c r="AG155" s="104" t="e">
        <f>IF(AND(VLOOKUP($D155,Merchantability!$B:$C,2,0)="Yes",$E155&gt;=VLOOKUP($D155,Merchantability!$B:$D,3,0),$E155&lt;=VLOOKUP($D155,Merchantability!$B:$E,4,0)),AB155,0)</f>
        <v>#N/A</v>
      </c>
      <c r="AH155" s="104" t="e">
        <f>IF(AND(VLOOKUP($D155,Merchantability!$B:$C,2,0)="Yes",$E155&gt;=VLOOKUP($D155,Merchantability!$B:$D,3,0),$E155&lt;=VLOOKUP($D155,Merchantability!$B:$E,4,0)),AC155,0)</f>
        <v>#N/A</v>
      </c>
      <c r="AI155" s="104" t="e">
        <f t="shared" si="66"/>
        <v>#N/A</v>
      </c>
      <c r="AJ155" s="104" t="e">
        <f t="shared" si="67"/>
        <v>#VALUE!</v>
      </c>
      <c r="AK155" s="104" t="e">
        <f t="shared" si="68"/>
        <v>#N/A</v>
      </c>
      <c r="AL155" s="104" t="e">
        <f t="shared" si="69"/>
        <v>#N/A</v>
      </c>
      <c r="AM155" s="104" t="e">
        <f t="shared" si="70"/>
        <v>#N/A</v>
      </c>
      <c r="AN155" s="104" t="e">
        <f t="shared" si="71"/>
        <v>#N/A</v>
      </c>
      <c r="AO155" s="104" t="e">
        <f t="shared" si="72"/>
        <v>#N/A</v>
      </c>
      <c r="AP155" s="104" t="e">
        <f t="shared" si="73"/>
        <v>#N/A</v>
      </c>
      <c r="AQ155" s="104" t="e">
        <f t="shared" si="74"/>
        <v>#N/A</v>
      </c>
      <c r="AR155" s="105" t="str">
        <f t="shared" si="75"/>
        <v/>
      </c>
      <c r="AS155" s="105" t="str">
        <f t="shared" si="76"/>
        <v/>
      </c>
      <c r="AT155" s="108" t="str">
        <f t="shared" si="77"/>
        <v/>
      </c>
      <c r="AU155" s="108" t="str">
        <f t="shared" si="78"/>
        <v/>
      </c>
      <c r="AV155" s="107" t="str">
        <f>IF(ISNUMBER(O155),IF(VLOOKUP($A155,Stand!C:J,8,FALSE)="Short",AT155,AU155),"")</f>
        <v/>
      </c>
      <c r="AW155" s="109" t="str">
        <f t="shared" si="79"/>
        <v/>
      </c>
      <c r="AX155" s="109" t="str">
        <f t="shared" si="80"/>
        <v/>
      </c>
      <c r="AY155" s="112" t="str">
        <f>IF(ISNUMBER(O155),IF(AND(VLOOKUP($D155,Merchantability!$B:$C,2,0)="Yes",$E155&gt;=VLOOKUP($D155,Merchantability!$B:$D,3,0),$E155&lt;=VLOOKUP($D155,Merchantability!$B:$E,4,0)),(AV155*O155)*(1-$H155/100),""),"")</f>
        <v/>
      </c>
      <c r="AZ155" s="116"/>
      <c r="BA155" s="116"/>
      <c r="BB155" s="116"/>
      <c r="BE155" s="62"/>
      <c r="BF155" s="63"/>
    </row>
    <row r="156" spans="1:58" ht="12.75" customHeight="1" x14ac:dyDescent="0.25">
      <c r="A156" s="384"/>
      <c r="B156" s="380"/>
      <c r="C156" s="381"/>
      <c r="D156" s="380"/>
      <c r="E156" s="382"/>
      <c r="F156" s="331"/>
      <c r="G156" s="329"/>
      <c r="H156" s="329"/>
      <c r="I156" s="380"/>
      <c r="J156" s="381"/>
      <c r="K156" s="329"/>
      <c r="L156" s="329"/>
      <c r="M156" s="76"/>
      <c r="N156" s="103" t="str">
        <f>IF(A156="","",VLOOKUP(A156,Stand!C:K,9,0))</f>
        <v/>
      </c>
      <c r="O156" s="104" t="str">
        <f t="shared" si="54"/>
        <v/>
      </c>
      <c r="P156" s="105" t="str">
        <f t="shared" si="55"/>
        <v/>
      </c>
      <c r="Q156" s="105" t="str">
        <f t="shared" si="56"/>
        <v/>
      </c>
      <c r="R156" s="103" t="str">
        <f t="shared" si="57"/>
        <v/>
      </c>
      <c r="S156" s="103" t="str">
        <f t="shared" si="58"/>
        <v/>
      </c>
      <c r="T156" s="106" t="str">
        <f t="shared" si="59"/>
        <v/>
      </c>
      <c r="U156" s="106" t="str">
        <f t="shared" si="60"/>
        <v/>
      </c>
      <c r="V156" s="106" t="str">
        <f t="shared" si="61"/>
        <v/>
      </c>
      <c r="W156" s="105" t="str">
        <f t="shared" si="62"/>
        <v/>
      </c>
      <c r="X156" s="104" t="str">
        <f t="shared" si="63"/>
        <v/>
      </c>
      <c r="Y156" s="104" t="str">
        <f t="array" ref="Y156">IFERROR(IF(ISNUMBER(O156),IF(COUNT(IF(A156=$A$2:$A$2427,IF(D156=$D$2:$D$2427,IF($X$2:$X$2427&gt;0,1))))&gt;0,SUM(IF(A156=$A$2:$A$2427,IF(D156=$D$2:$D$2427,$X$2:$X$2427)))/COUNT(IF(A156=$A$2:$A$2427,IF(D156=$D$2:$D$2427,IF(ISNUMBER($X$2:$X$2427),1)))),0),""),0)</f>
        <v/>
      </c>
      <c r="Z156" s="104" t="str">
        <f>IF(ISNUMBER(O156),IF(I156&gt;0,(10^(VLOOKUP(D156,'Species Codes'!B:C,2,0)+VLOOKUP(D156,'Species Codes'!B:D,3,0)*LOG(E156)+VLOOKUP(D156,'Species Codes'!B:E,4,0)*LOG(I156))),0),"")</f>
        <v/>
      </c>
      <c r="AA156" s="104" t="str">
        <f>IFERROR((VLOOKUP(D156,'Species Codes'!B:G,6,0)*Z156)/2000,"")</f>
        <v/>
      </c>
      <c r="AB156" s="104" t="e">
        <f>IF(Z156&gt;0,((IF(OR(D156="DF",D156="RA")=TRUE,EXP(VLOOKUP(D156,'Species Codes'!B:I,8,0)+VLOOKUP(D156,'Species Codes'!B:J,9,0)*(LN((E156*2.54)))),IF(OR(D156="PY",D156="RC",D156="WH",D156="NF")=TRUE,VLOOKUP(D156,'Species Codes'!B:I,8,0)+VLOOKUP(D156,'Species Codes'!B:J,9,0)*((E156*2.54)^2)*(I156*0.3048),IF(OR(D156="MD",D156="BM",D156="GA")=TRUE,((VLOOKUP(D156,'Species Codes'!B:I,8,0)*(((((E156*2.54)+VLOOKUP(D156,'Species Codes'!B:J,9,0))/VLOOKUP(D156,'Species Codes'!B:K,10,0))^VLOOKUP(D156,'Species Codes'!B:L,11,0))*((I156*0.3048)^VLOOKUP(D156,'Species Codes'!B:M,12,0))))-(VLOOKUP(D156,'Species Codes'!B:I,8,0)*((((E156*2.54)^VLOOKUP(D156,'Species Codes'!B:L,11,0))*((I156*0.3048)^VLOOKUP(D156,'Species Codes'!B:M,12,0))))))*35.3*VLOOKUP(D156,'Species Codes'!B:G,6,0)/2.2046,VLOOKUP(D156,'Species Codes'!B:I,8,0)+VLOOKUP(D156,'Species Codes'!B:J,9,0)*(((E156*2.54)/100)^2)*(I156*0.3048)))))*0.0011023),0)</f>
        <v>#N/A</v>
      </c>
      <c r="AC156" s="104" t="e">
        <f>IF(Z156&gt;0,((IF(OR(D156="RA",D156="OA",D156="OT",D156="UN",D156="PC"),EXP(VLOOKUP(D156,'Species Codes'!B:O,14,0)+VLOOKUP(D156,'Species Codes'!B:P,15,0)*LN((E156*2.54)))-EXP(VLOOKUP(D156,'Species Codes'!B:O,14,0)+VLOOKUP(D156,'Species Codes'!B:P,15,0)*LN((E156*2.54)))*(1/(VLOOKUP(D156,'Species Codes'!B:Q,16,0)+VLOOKUP(D156,'Species Codes'!B:R,17,0)*((E156*2.54)^VLOOKUP(D156,'Species Codes'!B:S,18,0)))),IF(OR(D156="BM",D156="MD",D156="OA"),EXP(VLOOKUP(D156,'Species Codes'!B:O,14,0)+VLOOKUP(D156,'Species Codes'!B:P,15,0)*LN((E156*2.54)))*(1-(1/(VLOOKUP(D156,'Species Codes'!B:Q,16,0)+VLOOKUP(D156,'Species Codes'!B:R,17,0)*((E156*2.54)^VLOOKUP(D156,'Species Codes'!B:S,18,0)))))/1000,IF(D156="DF",EXP(VLOOKUP(D156,'Species Codes'!B:O,14,0)+VLOOKUP(D156,'Species Codes'!B:P,15,0)*LN((E156*2.54))),VLOOKUP(D156,'Species Codes'!B:O,14,0)+VLOOKUP(D156,'Species Codes'!B:P,15,0)*(((E156*2.54)/100)^2)*(I156*0.3048)))))*0.0011023),0)</f>
        <v>#N/A</v>
      </c>
      <c r="AD156" s="104" t="e">
        <f t="shared" si="64"/>
        <v>#N/A</v>
      </c>
      <c r="AE156" s="104" t="e">
        <f t="shared" si="65"/>
        <v>#N/A</v>
      </c>
      <c r="AF156" s="104" t="e">
        <f>IF(AND(VLOOKUP($D156,Merchantability!$B:$C,2,0)="Yes",$E156&gt;=VLOOKUP($D156,Merchantability!$B:$D,3,0),$E156&lt;=VLOOKUP($D156,Merchantability!$B:$E,4,0)),AA156,0)</f>
        <v>#N/A</v>
      </c>
      <c r="AG156" s="104" t="e">
        <f>IF(AND(VLOOKUP($D156,Merchantability!$B:$C,2,0)="Yes",$E156&gt;=VLOOKUP($D156,Merchantability!$B:$D,3,0),$E156&lt;=VLOOKUP($D156,Merchantability!$B:$E,4,0)),AB156,0)</f>
        <v>#N/A</v>
      </c>
      <c r="AH156" s="104" t="e">
        <f>IF(AND(VLOOKUP($D156,Merchantability!$B:$C,2,0)="Yes",$E156&gt;=VLOOKUP($D156,Merchantability!$B:$D,3,0),$E156&lt;=VLOOKUP($D156,Merchantability!$B:$E,4,0)),AC156,0)</f>
        <v>#N/A</v>
      </c>
      <c r="AI156" s="104" t="e">
        <f t="shared" si="66"/>
        <v>#N/A</v>
      </c>
      <c r="AJ156" s="104" t="e">
        <f t="shared" si="67"/>
        <v>#VALUE!</v>
      </c>
      <c r="AK156" s="104" t="e">
        <f t="shared" si="68"/>
        <v>#N/A</v>
      </c>
      <c r="AL156" s="104" t="e">
        <f t="shared" si="69"/>
        <v>#N/A</v>
      </c>
      <c r="AM156" s="104" t="e">
        <f t="shared" si="70"/>
        <v>#N/A</v>
      </c>
      <c r="AN156" s="104" t="e">
        <f t="shared" si="71"/>
        <v>#N/A</v>
      </c>
      <c r="AO156" s="104" t="e">
        <f t="shared" si="72"/>
        <v>#N/A</v>
      </c>
      <c r="AP156" s="104" t="e">
        <f t="shared" si="73"/>
        <v>#N/A</v>
      </c>
      <c r="AQ156" s="104" t="e">
        <f t="shared" si="74"/>
        <v>#N/A</v>
      </c>
      <c r="AR156" s="105" t="str">
        <f t="shared" si="75"/>
        <v/>
      </c>
      <c r="AS156" s="105" t="str">
        <f t="shared" si="76"/>
        <v/>
      </c>
      <c r="AT156" s="108" t="str">
        <f t="shared" si="77"/>
        <v/>
      </c>
      <c r="AU156" s="108" t="str">
        <f t="shared" si="78"/>
        <v/>
      </c>
      <c r="AV156" s="107" t="str">
        <f>IF(ISNUMBER(O156),IF(VLOOKUP($A156,Stand!C:J,8,FALSE)="Short",AT156,AU156),"")</f>
        <v/>
      </c>
      <c r="AW156" s="109" t="str">
        <f t="shared" si="79"/>
        <v/>
      </c>
      <c r="AX156" s="109" t="str">
        <f t="shared" si="80"/>
        <v/>
      </c>
      <c r="AY156" s="112" t="str">
        <f>IF(ISNUMBER(O156),IF(AND(VLOOKUP($D156,Merchantability!$B:$C,2,0)="Yes",$E156&gt;=VLOOKUP($D156,Merchantability!$B:$D,3,0),$E156&lt;=VLOOKUP($D156,Merchantability!$B:$E,4,0)),(AV156*O156)*(1-$H156/100),""),"")</f>
        <v/>
      </c>
      <c r="AZ156" s="116"/>
      <c r="BA156" s="116"/>
      <c r="BB156" s="116"/>
      <c r="BE156" s="62"/>
      <c r="BF156" s="63"/>
    </row>
    <row r="157" spans="1:58" ht="12.75" customHeight="1" x14ac:dyDescent="0.25">
      <c r="A157" s="384"/>
      <c r="B157" s="380"/>
      <c r="C157" s="381"/>
      <c r="D157" s="380"/>
      <c r="E157" s="382"/>
      <c r="F157" s="331"/>
      <c r="G157" s="329"/>
      <c r="H157" s="329"/>
      <c r="I157" s="380"/>
      <c r="J157" s="381"/>
      <c r="K157" s="329"/>
      <c r="L157" s="329"/>
      <c r="M157" s="76"/>
      <c r="N157" s="103" t="str">
        <f>IF(A157="","",VLOOKUP(A157,Stand!C:K,9,0))</f>
        <v/>
      </c>
      <c r="O157" s="104" t="str">
        <f t="shared" si="54"/>
        <v/>
      </c>
      <c r="P157" s="105" t="str">
        <f t="shared" si="55"/>
        <v/>
      </c>
      <c r="Q157" s="105" t="str">
        <f t="shared" si="56"/>
        <v/>
      </c>
      <c r="R157" s="103" t="str">
        <f t="shared" si="57"/>
        <v/>
      </c>
      <c r="S157" s="103" t="str">
        <f t="shared" si="58"/>
        <v/>
      </c>
      <c r="T157" s="106" t="str">
        <f t="shared" si="59"/>
        <v/>
      </c>
      <c r="U157" s="106" t="str">
        <f t="shared" si="60"/>
        <v/>
      </c>
      <c r="V157" s="106" t="str">
        <f t="shared" si="61"/>
        <v/>
      </c>
      <c r="W157" s="105" t="str">
        <f t="shared" si="62"/>
        <v/>
      </c>
      <c r="X157" s="104" t="str">
        <f t="shared" si="63"/>
        <v/>
      </c>
      <c r="Y157" s="104" t="str">
        <f t="array" ref="Y157">IFERROR(IF(ISNUMBER(O157),IF(COUNT(IF(A157=$A$2:$A$2427,IF(D157=$D$2:$D$2427,IF($X$2:$X$2427&gt;0,1))))&gt;0,SUM(IF(A157=$A$2:$A$2427,IF(D157=$D$2:$D$2427,$X$2:$X$2427)))/COUNT(IF(A157=$A$2:$A$2427,IF(D157=$D$2:$D$2427,IF(ISNUMBER($X$2:$X$2427),1)))),0),""),0)</f>
        <v/>
      </c>
      <c r="Z157" s="104" t="str">
        <f>IF(ISNUMBER(O157),IF(I157&gt;0,(10^(VLOOKUP(D157,'Species Codes'!B:C,2,0)+VLOOKUP(D157,'Species Codes'!B:D,3,0)*LOG(E157)+VLOOKUP(D157,'Species Codes'!B:E,4,0)*LOG(I157))),0),"")</f>
        <v/>
      </c>
      <c r="AA157" s="104" t="str">
        <f>IFERROR((VLOOKUP(D157,'Species Codes'!B:G,6,0)*Z157)/2000,"")</f>
        <v/>
      </c>
      <c r="AB157" s="104" t="e">
        <f>IF(Z157&gt;0,((IF(OR(D157="DF",D157="RA")=TRUE,EXP(VLOOKUP(D157,'Species Codes'!B:I,8,0)+VLOOKUP(D157,'Species Codes'!B:J,9,0)*(LN((E157*2.54)))),IF(OR(D157="PY",D157="RC",D157="WH",D157="NF")=TRUE,VLOOKUP(D157,'Species Codes'!B:I,8,0)+VLOOKUP(D157,'Species Codes'!B:J,9,0)*((E157*2.54)^2)*(I157*0.3048),IF(OR(D157="MD",D157="BM",D157="GA")=TRUE,((VLOOKUP(D157,'Species Codes'!B:I,8,0)*(((((E157*2.54)+VLOOKUP(D157,'Species Codes'!B:J,9,0))/VLOOKUP(D157,'Species Codes'!B:K,10,0))^VLOOKUP(D157,'Species Codes'!B:L,11,0))*((I157*0.3048)^VLOOKUP(D157,'Species Codes'!B:M,12,0))))-(VLOOKUP(D157,'Species Codes'!B:I,8,0)*((((E157*2.54)^VLOOKUP(D157,'Species Codes'!B:L,11,0))*((I157*0.3048)^VLOOKUP(D157,'Species Codes'!B:M,12,0))))))*35.3*VLOOKUP(D157,'Species Codes'!B:G,6,0)/2.2046,VLOOKUP(D157,'Species Codes'!B:I,8,0)+VLOOKUP(D157,'Species Codes'!B:J,9,0)*(((E157*2.54)/100)^2)*(I157*0.3048)))))*0.0011023),0)</f>
        <v>#N/A</v>
      </c>
      <c r="AC157" s="104" t="e">
        <f>IF(Z157&gt;0,((IF(OR(D157="RA",D157="OA",D157="OT",D157="UN",D157="PC"),EXP(VLOOKUP(D157,'Species Codes'!B:O,14,0)+VLOOKUP(D157,'Species Codes'!B:P,15,0)*LN((E157*2.54)))-EXP(VLOOKUP(D157,'Species Codes'!B:O,14,0)+VLOOKUP(D157,'Species Codes'!B:P,15,0)*LN((E157*2.54)))*(1/(VLOOKUP(D157,'Species Codes'!B:Q,16,0)+VLOOKUP(D157,'Species Codes'!B:R,17,0)*((E157*2.54)^VLOOKUP(D157,'Species Codes'!B:S,18,0)))),IF(OR(D157="BM",D157="MD",D157="OA"),EXP(VLOOKUP(D157,'Species Codes'!B:O,14,0)+VLOOKUP(D157,'Species Codes'!B:P,15,0)*LN((E157*2.54)))*(1-(1/(VLOOKUP(D157,'Species Codes'!B:Q,16,0)+VLOOKUP(D157,'Species Codes'!B:R,17,0)*((E157*2.54)^VLOOKUP(D157,'Species Codes'!B:S,18,0)))))/1000,IF(D157="DF",EXP(VLOOKUP(D157,'Species Codes'!B:O,14,0)+VLOOKUP(D157,'Species Codes'!B:P,15,0)*LN((E157*2.54))),VLOOKUP(D157,'Species Codes'!B:O,14,0)+VLOOKUP(D157,'Species Codes'!B:P,15,0)*(((E157*2.54)/100)^2)*(I157*0.3048)))))*0.0011023),0)</f>
        <v>#N/A</v>
      </c>
      <c r="AD157" s="104" t="e">
        <f t="shared" si="64"/>
        <v>#N/A</v>
      </c>
      <c r="AE157" s="104" t="e">
        <f t="shared" si="65"/>
        <v>#N/A</v>
      </c>
      <c r="AF157" s="104" t="e">
        <f>IF(AND(VLOOKUP($D157,Merchantability!$B:$C,2,0)="Yes",$E157&gt;=VLOOKUP($D157,Merchantability!$B:$D,3,0),$E157&lt;=VLOOKUP($D157,Merchantability!$B:$E,4,0)),AA157,0)</f>
        <v>#N/A</v>
      </c>
      <c r="AG157" s="104" t="e">
        <f>IF(AND(VLOOKUP($D157,Merchantability!$B:$C,2,0)="Yes",$E157&gt;=VLOOKUP($D157,Merchantability!$B:$D,3,0),$E157&lt;=VLOOKUP($D157,Merchantability!$B:$E,4,0)),AB157,0)</f>
        <v>#N/A</v>
      </c>
      <c r="AH157" s="104" t="e">
        <f>IF(AND(VLOOKUP($D157,Merchantability!$B:$C,2,0)="Yes",$E157&gt;=VLOOKUP($D157,Merchantability!$B:$D,3,0),$E157&lt;=VLOOKUP($D157,Merchantability!$B:$E,4,0)),AC157,0)</f>
        <v>#N/A</v>
      </c>
      <c r="AI157" s="104" t="e">
        <f t="shared" si="66"/>
        <v>#N/A</v>
      </c>
      <c r="AJ157" s="104" t="e">
        <f t="shared" si="67"/>
        <v>#VALUE!</v>
      </c>
      <c r="AK157" s="104" t="e">
        <f t="shared" si="68"/>
        <v>#N/A</v>
      </c>
      <c r="AL157" s="104" t="e">
        <f t="shared" si="69"/>
        <v>#N/A</v>
      </c>
      <c r="AM157" s="104" t="e">
        <f t="shared" si="70"/>
        <v>#N/A</v>
      </c>
      <c r="AN157" s="104" t="e">
        <f t="shared" si="71"/>
        <v>#N/A</v>
      </c>
      <c r="AO157" s="104" t="e">
        <f t="shared" si="72"/>
        <v>#N/A</v>
      </c>
      <c r="AP157" s="104" t="e">
        <f t="shared" si="73"/>
        <v>#N/A</v>
      </c>
      <c r="AQ157" s="104" t="e">
        <f t="shared" si="74"/>
        <v>#N/A</v>
      </c>
      <c r="AR157" s="105" t="str">
        <f t="shared" si="75"/>
        <v/>
      </c>
      <c r="AS157" s="105" t="str">
        <f t="shared" si="76"/>
        <v/>
      </c>
      <c r="AT157" s="108" t="str">
        <f t="shared" si="77"/>
        <v/>
      </c>
      <c r="AU157" s="108" t="str">
        <f t="shared" si="78"/>
        <v/>
      </c>
      <c r="AV157" s="107" t="str">
        <f>IF(ISNUMBER(O157),IF(VLOOKUP($A157,Stand!C:J,8,FALSE)="Short",AT157,AU157),"")</f>
        <v/>
      </c>
      <c r="AW157" s="109" t="str">
        <f t="shared" si="79"/>
        <v/>
      </c>
      <c r="AX157" s="109" t="str">
        <f t="shared" si="80"/>
        <v/>
      </c>
      <c r="AY157" s="112" t="str">
        <f>IF(ISNUMBER(O157),IF(AND(VLOOKUP($D157,Merchantability!$B:$C,2,0)="Yes",$E157&gt;=VLOOKUP($D157,Merchantability!$B:$D,3,0),$E157&lt;=VLOOKUP($D157,Merchantability!$B:$E,4,0)),(AV157*O157)*(1-$H157/100),""),"")</f>
        <v/>
      </c>
      <c r="AZ157" s="116"/>
      <c r="BA157" s="116"/>
      <c r="BB157" s="116"/>
      <c r="BE157" s="62"/>
      <c r="BF157" s="63"/>
    </row>
    <row r="158" spans="1:58" ht="12.75" customHeight="1" x14ac:dyDescent="0.25">
      <c r="A158" s="384"/>
      <c r="B158" s="380"/>
      <c r="C158" s="381"/>
      <c r="D158" s="380"/>
      <c r="E158" s="382"/>
      <c r="F158" s="331"/>
      <c r="G158" s="329"/>
      <c r="H158" s="329"/>
      <c r="I158" s="380"/>
      <c r="J158" s="381"/>
      <c r="K158" s="329"/>
      <c r="L158" s="329"/>
      <c r="M158" s="76"/>
      <c r="N158" s="103" t="str">
        <f>IF(A158="","",VLOOKUP(A158,Stand!C:K,9,0))</f>
        <v/>
      </c>
      <c r="O158" s="104" t="str">
        <f t="shared" si="54"/>
        <v/>
      </c>
      <c r="P158" s="105" t="str">
        <f t="shared" si="55"/>
        <v/>
      </c>
      <c r="Q158" s="105" t="str">
        <f t="shared" si="56"/>
        <v/>
      </c>
      <c r="R158" s="103" t="str">
        <f t="shared" si="57"/>
        <v/>
      </c>
      <c r="S158" s="103" t="str">
        <f t="shared" si="58"/>
        <v/>
      </c>
      <c r="T158" s="106" t="str">
        <f t="shared" si="59"/>
        <v/>
      </c>
      <c r="U158" s="106" t="str">
        <f t="shared" si="60"/>
        <v/>
      </c>
      <c r="V158" s="106" t="str">
        <f t="shared" si="61"/>
        <v/>
      </c>
      <c r="W158" s="105" t="str">
        <f t="shared" si="62"/>
        <v/>
      </c>
      <c r="X158" s="104" t="str">
        <f t="shared" si="63"/>
        <v/>
      </c>
      <c r="Y158" s="104" t="str">
        <f t="array" ref="Y158">IFERROR(IF(ISNUMBER(O158),IF(COUNT(IF(A158=$A$2:$A$2427,IF(D158=$D$2:$D$2427,IF($X$2:$X$2427&gt;0,1))))&gt;0,SUM(IF(A158=$A$2:$A$2427,IF(D158=$D$2:$D$2427,$X$2:$X$2427)))/COUNT(IF(A158=$A$2:$A$2427,IF(D158=$D$2:$D$2427,IF(ISNUMBER($X$2:$X$2427),1)))),0),""),0)</f>
        <v/>
      </c>
      <c r="Z158" s="104" t="str">
        <f>IF(ISNUMBER(O158),IF(I158&gt;0,(10^(VLOOKUP(D158,'Species Codes'!B:C,2,0)+VLOOKUP(D158,'Species Codes'!B:D,3,0)*LOG(E158)+VLOOKUP(D158,'Species Codes'!B:E,4,0)*LOG(I158))),0),"")</f>
        <v/>
      </c>
      <c r="AA158" s="104" t="str">
        <f>IFERROR((VLOOKUP(D158,'Species Codes'!B:G,6,0)*Z158)/2000,"")</f>
        <v/>
      </c>
      <c r="AB158" s="104" t="e">
        <f>IF(Z158&gt;0,((IF(OR(D158="DF",D158="RA")=TRUE,EXP(VLOOKUP(D158,'Species Codes'!B:I,8,0)+VLOOKUP(D158,'Species Codes'!B:J,9,0)*(LN((E158*2.54)))),IF(OR(D158="PY",D158="RC",D158="WH",D158="NF")=TRUE,VLOOKUP(D158,'Species Codes'!B:I,8,0)+VLOOKUP(D158,'Species Codes'!B:J,9,0)*((E158*2.54)^2)*(I158*0.3048),IF(OR(D158="MD",D158="BM",D158="GA")=TRUE,((VLOOKUP(D158,'Species Codes'!B:I,8,0)*(((((E158*2.54)+VLOOKUP(D158,'Species Codes'!B:J,9,0))/VLOOKUP(D158,'Species Codes'!B:K,10,0))^VLOOKUP(D158,'Species Codes'!B:L,11,0))*((I158*0.3048)^VLOOKUP(D158,'Species Codes'!B:M,12,0))))-(VLOOKUP(D158,'Species Codes'!B:I,8,0)*((((E158*2.54)^VLOOKUP(D158,'Species Codes'!B:L,11,0))*((I158*0.3048)^VLOOKUP(D158,'Species Codes'!B:M,12,0))))))*35.3*VLOOKUP(D158,'Species Codes'!B:G,6,0)/2.2046,VLOOKUP(D158,'Species Codes'!B:I,8,0)+VLOOKUP(D158,'Species Codes'!B:J,9,0)*(((E158*2.54)/100)^2)*(I158*0.3048)))))*0.0011023),0)</f>
        <v>#N/A</v>
      </c>
      <c r="AC158" s="104" t="e">
        <f>IF(Z158&gt;0,((IF(OR(D158="RA",D158="OA",D158="OT",D158="UN",D158="PC"),EXP(VLOOKUP(D158,'Species Codes'!B:O,14,0)+VLOOKUP(D158,'Species Codes'!B:P,15,0)*LN((E158*2.54)))-EXP(VLOOKUP(D158,'Species Codes'!B:O,14,0)+VLOOKUP(D158,'Species Codes'!B:P,15,0)*LN((E158*2.54)))*(1/(VLOOKUP(D158,'Species Codes'!B:Q,16,0)+VLOOKUP(D158,'Species Codes'!B:R,17,0)*((E158*2.54)^VLOOKUP(D158,'Species Codes'!B:S,18,0)))),IF(OR(D158="BM",D158="MD",D158="OA"),EXP(VLOOKUP(D158,'Species Codes'!B:O,14,0)+VLOOKUP(D158,'Species Codes'!B:P,15,0)*LN((E158*2.54)))*(1-(1/(VLOOKUP(D158,'Species Codes'!B:Q,16,0)+VLOOKUP(D158,'Species Codes'!B:R,17,0)*((E158*2.54)^VLOOKUP(D158,'Species Codes'!B:S,18,0)))))/1000,IF(D158="DF",EXP(VLOOKUP(D158,'Species Codes'!B:O,14,0)+VLOOKUP(D158,'Species Codes'!B:P,15,0)*LN((E158*2.54))),VLOOKUP(D158,'Species Codes'!B:O,14,0)+VLOOKUP(D158,'Species Codes'!B:P,15,0)*(((E158*2.54)/100)^2)*(I158*0.3048)))))*0.0011023),0)</f>
        <v>#N/A</v>
      </c>
      <c r="AD158" s="104" t="e">
        <f t="shared" si="64"/>
        <v>#N/A</v>
      </c>
      <c r="AE158" s="104" t="e">
        <f t="shared" si="65"/>
        <v>#N/A</v>
      </c>
      <c r="AF158" s="104" t="e">
        <f>IF(AND(VLOOKUP($D158,Merchantability!$B:$C,2,0)="Yes",$E158&gt;=VLOOKUP($D158,Merchantability!$B:$D,3,0),$E158&lt;=VLOOKUP($D158,Merchantability!$B:$E,4,0)),AA158,0)</f>
        <v>#N/A</v>
      </c>
      <c r="AG158" s="104" t="e">
        <f>IF(AND(VLOOKUP($D158,Merchantability!$B:$C,2,0)="Yes",$E158&gt;=VLOOKUP($D158,Merchantability!$B:$D,3,0),$E158&lt;=VLOOKUP($D158,Merchantability!$B:$E,4,0)),AB158,0)</f>
        <v>#N/A</v>
      </c>
      <c r="AH158" s="104" t="e">
        <f>IF(AND(VLOOKUP($D158,Merchantability!$B:$C,2,0)="Yes",$E158&gt;=VLOOKUP($D158,Merchantability!$B:$D,3,0),$E158&lt;=VLOOKUP($D158,Merchantability!$B:$E,4,0)),AC158,0)</f>
        <v>#N/A</v>
      </c>
      <c r="AI158" s="104" t="e">
        <f t="shared" si="66"/>
        <v>#N/A</v>
      </c>
      <c r="AJ158" s="104" t="e">
        <f t="shared" si="67"/>
        <v>#VALUE!</v>
      </c>
      <c r="AK158" s="104" t="e">
        <f t="shared" si="68"/>
        <v>#N/A</v>
      </c>
      <c r="AL158" s="104" t="e">
        <f t="shared" si="69"/>
        <v>#N/A</v>
      </c>
      <c r="AM158" s="104" t="e">
        <f t="shared" si="70"/>
        <v>#N/A</v>
      </c>
      <c r="AN158" s="104" t="e">
        <f t="shared" si="71"/>
        <v>#N/A</v>
      </c>
      <c r="AO158" s="104" t="e">
        <f t="shared" si="72"/>
        <v>#N/A</v>
      </c>
      <c r="AP158" s="104" t="e">
        <f t="shared" si="73"/>
        <v>#N/A</v>
      </c>
      <c r="AQ158" s="104" t="e">
        <f t="shared" si="74"/>
        <v>#N/A</v>
      </c>
      <c r="AR158" s="105" t="str">
        <f t="shared" si="75"/>
        <v/>
      </c>
      <c r="AS158" s="105" t="str">
        <f t="shared" si="76"/>
        <v/>
      </c>
      <c r="AT158" s="108" t="str">
        <f t="shared" si="77"/>
        <v/>
      </c>
      <c r="AU158" s="108" t="str">
        <f t="shared" si="78"/>
        <v/>
      </c>
      <c r="AV158" s="107" t="str">
        <f>IF(ISNUMBER(O158),IF(VLOOKUP($A158,Stand!C:J,8,FALSE)="Short",AT158,AU158),"")</f>
        <v/>
      </c>
      <c r="AW158" s="109" t="str">
        <f t="shared" si="79"/>
        <v/>
      </c>
      <c r="AX158" s="109" t="str">
        <f t="shared" si="80"/>
        <v/>
      </c>
      <c r="AY158" s="112" t="str">
        <f>IF(ISNUMBER(O158),IF(AND(VLOOKUP($D158,Merchantability!$B:$C,2,0)="Yes",$E158&gt;=VLOOKUP($D158,Merchantability!$B:$D,3,0),$E158&lt;=VLOOKUP($D158,Merchantability!$B:$E,4,0)),(AV158*O158)*(1-$H158/100),""),"")</f>
        <v/>
      </c>
      <c r="AZ158" s="116"/>
      <c r="BA158" s="116"/>
      <c r="BB158" s="116"/>
      <c r="BE158" s="62"/>
      <c r="BF158" s="63"/>
    </row>
    <row r="159" spans="1:58" ht="12.75" customHeight="1" x14ac:dyDescent="0.25">
      <c r="A159" s="384"/>
      <c r="B159" s="380"/>
      <c r="C159" s="381"/>
      <c r="D159" s="380"/>
      <c r="E159" s="382"/>
      <c r="F159" s="331"/>
      <c r="G159" s="329"/>
      <c r="H159" s="329"/>
      <c r="I159" s="380"/>
      <c r="J159" s="381"/>
      <c r="K159" s="329"/>
      <c r="L159" s="329"/>
      <c r="M159" s="76"/>
      <c r="N159" s="103" t="str">
        <f>IF(A159="","",VLOOKUP(A159,Stand!C:K,9,0))</f>
        <v/>
      </c>
      <c r="O159" s="104" t="str">
        <f t="shared" si="54"/>
        <v/>
      </c>
      <c r="P159" s="105" t="str">
        <f t="shared" si="55"/>
        <v/>
      </c>
      <c r="Q159" s="105" t="str">
        <f t="shared" si="56"/>
        <v/>
      </c>
      <c r="R159" s="103" t="str">
        <f t="shared" si="57"/>
        <v/>
      </c>
      <c r="S159" s="103" t="str">
        <f t="shared" si="58"/>
        <v/>
      </c>
      <c r="T159" s="106" t="str">
        <f t="shared" si="59"/>
        <v/>
      </c>
      <c r="U159" s="106" t="str">
        <f t="shared" si="60"/>
        <v/>
      </c>
      <c r="V159" s="106" t="str">
        <f t="shared" si="61"/>
        <v/>
      </c>
      <c r="W159" s="105" t="str">
        <f t="shared" si="62"/>
        <v/>
      </c>
      <c r="X159" s="104" t="str">
        <f t="shared" si="63"/>
        <v/>
      </c>
      <c r="Y159" s="104" t="str">
        <f t="array" ref="Y159">IFERROR(IF(ISNUMBER(O159),IF(COUNT(IF(A159=$A$2:$A$2427,IF(D159=$D$2:$D$2427,IF($X$2:$X$2427&gt;0,1))))&gt;0,SUM(IF(A159=$A$2:$A$2427,IF(D159=$D$2:$D$2427,$X$2:$X$2427)))/COUNT(IF(A159=$A$2:$A$2427,IF(D159=$D$2:$D$2427,IF(ISNUMBER($X$2:$X$2427),1)))),0),""),0)</f>
        <v/>
      </c>
      <c r="Z159" s="104" t="str">
        <f>IF(ISNUMBER(O159),IF(I159&gt;0,(10^(VLOOKUP(D159,'Species Codes'!B:C,2,0)+VLOOKUP(D159,'Species Codes'!B:D,3,0)*LOG(E159)+VLOOKUP(D159,'Species Codes'!B:E,4,0)*LOG(I159))),0),"")</f>
        <v/>
      </c>
      <c r="AA159" s="104" t="str">
        <f>IFERROR((VLOOKUP(D159,'Species Codes'!B:G,6,0)*Z159)/2000,"")</f>
        <v/>
      </c>
      <c r="AB159" s="104" t="e">
        <f>IF(Z159&gt;0,((IF(OR(D159="DF",D159="RA")=TRUE,EXP(VLOOKUP(D159,'Species Codes'!B:I,8,0)+VLOOKUP(D159,'Species Codes'!B:J,9,0)*(LN((E159*2.54)))),IF(OR(D159="PY",D159="RC",D159="WH",D159="NF")=TRUE,VLOOKUP(D159,'Species Codes'!B:I,8,0)+VLOOKUP(D159,'Species Codes'!B:J,9,0)*((E159*2.54)^2)*(I159*0.3048),IF(OR(D159="MD",D159="BM",D159="GA")=TRUE,((VLOOKUP(D159,'Species Codes'!B:I,8,0)*(((((E159*2.54)+VLOOKUP(D159,'Species Codes'!B:J,9,0))/VLOOKUP(D159,'Species Codes'!B:K,10,0))^VLOOKUP(D159,'Species Codes'!B:L,11,0))*((I159*0.3048)^VLOOKUP(D159,'Species Codes'!B:M,12,0))))-(VLOOKUP(D159,'Species Codes'!B:I,8,0)*((((E159*2.54)^VLOOKUP(D159,'Species Codes'!B:L,11,0))*((I159*0.3048)^VLOOKUP(D159,'Species Codes'!B:M,12,0))))))*35.3*VLOOKUP(D159,'Species Codes'!B:G,6,0)/2.2046,VLOOKUP(D159,'Species Codes'!B:I,8,0)+VLOOKUP(D159,'Species Codes'!B:J,9,0)*(((E159*2.54)/100)^2)*(I159*0.3048)))))*0.0011023),0)</f>
        <v>#N/A</v>
      </c>
      <c r="AC159" s="104" t="e">
        <f>IF(Z159&gt;0,((IF(OR(D159="RA",D159="OA",D159="OT",D159="UN",D159="PC"),EXP(VLOOKUP(D159,'Species Codes'!B:O,14,0)+VLOOKUP(D159,'Species Codes'!B:P,15,0)*LN((E159*2.54)))-EXP(VLOOKUP(D159,'Species Codes'!B:O,14,0)+VLOOKUP(D159,'Species Codes'!B:P,15,0)*LN((E159*2.54)))*(1/(VLOOKUP(D159,'Species Codes'!B:Q,16,0)+VLOOKUP(D159,'Species Codes'!B:R,17,0)*((E159*2.54)^VLOOKUP(D159,'Species Codes'!B:S,18,0)))),IF(OR(D159="BM",D159="MD",D159="OA"),EXP(VLOOKUP(D159,'Species Codes'!B:O,14,0)+VLOOKUP(D159,'Species Codes'!B:P,15,0)*LN((E159*2.54)))*(1-(1/(VLOOKUP(D159,'Species Codes'!B:Q,16,0)+VLOOKUP(D159,'Species Codes'!B:R,17,0)*((E159*2.54)^VLOOKUP(D159,'Species Codes'!B:S,18,0)))))/1000,IF(D159="DF",EXP(VLOOKUP(D159,'Species Codes'!B:O,14,0)+VLOOKUP(D159,'Species Codes'!B:P,15,0)*LN((E159*2.54))),VLOOKUP(D159,'Species Codes'!B:O,14,0)+VLOOKUP(D159,'Species Codes'!B:P,15,0)*(((E159*2.54)/100)^2)*(I159*0.3048)))))*0.0011023),0)</f>
        <v>#N/A</v>
      </c>
      <c r="AD159" s="104" t="e">
        <f t="shared" si="64"/>
        <v>#N/A</v>
      </c>
      <c r="AE159" s="104" t="e">
        <f t="shared" si="65"/>
        <v>#N/A</v>
      </c>
      <c r="AF159" s="104" t="e">
        <f>IF(AND(VLOOKUP($D159,Merchantability!$B:$C,2,0)="Yes",$E159&gt;=VLOOKUP($D159,Merchantability!$B:$D,3,0),$E159&lt;=VLOOKUP($D159,Merchantability!$B:$E,4,0)),AA159,0)</f>
        <v>#N/A</v>
      </c>
      <c r="AG159" s="104" t="e">
        <f>IF(AND(VLOOKUP($D159,Merchantability!$B:$C,2,0)="Yes",$E159&gt;=VLOOKUP($D159,Merchantability!$B:$D,3,0),$E159&lt;=VLOOKUP($D159,Merchantability!$B:$E,4,0)),AB159,0)</f>
        <v>#N/A</v>
      </c>
      <c r="AH159" s="104" t="e">
        <f>IF(AND(VLOOKUP($D159,Merchantability!$B:$C,2,0)="Yes",$E159&gt;=VLOOKUP($D159,Merchantability!$B:$D,3,0),$E159&lt;=VLOOKUP($D159,Merchantability!$B:$E,4,0)),AC159,0)</f>
        <v>#N/A</v>
      </c>
      <c r="AI159" s="104" t="e">
        <f t="shared" si="66"/>
        <v>#N/A</v>
      </c>
      <c r="AJ159" s="104" t="e">
        <f t="shared" si="67"/>
        <v>#VALUE!</v>
      </c>
      <c r="AK159" s="104" t="e">
        <f t="shared" si="68"/>
        <v>#N/A</v>
      </c>
      <c r="AL159" s="104" t="e">
        <f t="shared" si="69"/>
        <v>#N/A</v>
      </c>
      <c r="AM159" s="104" t="e">
        <f t="shared" si="70"/>
        <v>#N/A</v>
      </c>
      <c r="AN159" s="104" t="e">
        <f t="shared" si="71"/>
        <v>#N/A</v>
      </c>
      <c r="AO159" s="104" t="e">
        <f t="shared" si="72"/>
        <v>#N/A</v>
      </c>
      <c r="AP159" s="104" t="e">
        <f t="shared" si="73"/>
        <v>#N/A</v>
      </c>
      <c r="AQ159" s="104" t="e">
        <f t="shared" si="74"/>
        <v>#N/A</v>
      </c>
      <c r="AR159" s="105" t="str">
        <f t="shared" si="75"/>
        <v/>
      </c>
      <c r="AS159" s="105" t="str">
        <f t="shared" si="76"/>
        <v/>
      </c>
      <c r="AT159" s="108" t="str">
        <f t="shared" si="77"/>
        <v/>
      </c>
      <c r="AU159" s="108" t="str">
        <f t="shared" si="78"/>
        <v/>
      </c>
      <c r="AV159" s="107" t="str">
        <f>IF(ISNUMBER(O159),IF(VLOOKUP($A159,Stand!C:J,8,FALSE)="Short",AT159,AU159),"")</f>
        <v/>
      </c>
      <c r="AW159" s="109" t="str">
        <f t="shared" si="79"/>
        <v/>
      </c>
      <c r="AX159" s="109" t="str">
        <f t="shared" si="80"/>
        <v/>
      </c>
      <c r="AY159" s="112" t="str">
        <f>IF(ISNUMBER(O159),IF(AND(VLOOKUP($D159,Merchantability!$B:$C,2,0)="Yes",$E159&gt;=VLOOKUP($D159,Merchantability!$B:$D,3,0),$E159&lt;=VLOOKUP($D159,Merchantability!$B:$E,4,0)),(AV159*O159)*(1-$H159/100),""),"")</f>
        <v/>
      </c>
      <c r="AZ159" s="116"/>
      <c r="BA159" s="116"/>
      <c r="BB159" s="116"/>
      <c r="BE159" s="62"/>
      <c r="BF159" s="63"/>
    </row>
    <row r="160" spans="1:58" ht="12.75" customHeight="1" x14ac:dyDescent="0.25">
      <c r="A160" s="384"/>
      <c r="B160" s="380"/>
      <c r="C160" s="381"/>
      <c r="D160" s="380"/>
      <c r="E160" s="382"/>
      <c r="F160" s="331"/>
      <c r="G160" s="329"/>
      <c r="H160" s="329"/>
      <c r="I160" s="380"/>
      <c r="J160" s="381"/>
      <c r="K160" s="329"/>
      <c r="L160" s="329"/>
      <c r="M160" s="76"/>
      <c r="N160" s="103" t="str">
        <f>IF(A160="","",VLOOKUP(A160,Stand!C:K,9,0))</f>
        <v/>
      </c>
      <c r="O160" s="104" t="str">
        <f t="shared" si="54"/>
        <v/>
      </c>
      <c r="P160" s="105" t="str">
        <f t="shared" si="55"/>
        <v/>
      </c>
      <c r="Q160" s="105" t="str">
        <f t="shared" si="56"/>
        <v/>
      </c>
      <c r="R160" s="103" t="str">
        <f t="shared" si="57"/>
        <v/>
      </c>
      <c r="S160" s="103" t="str">
        <f t="shared" si="58"/>
        <v/>
      </c>
      <c r="T160" s="106" t="str">
        <f t="shared" si="59"/>
        <v/>
      </c>
      <c r="U160" s="106" t="str">
        <f t="shared" si="60"/>
        <v/>
      </c>
      <c r="V160" s="106" t="str">
        <f t="shared" si="61"/>
        <v/>
      </c>
      <c r="W160" s="105" t="str">
        <f t="shared" si="62"/>
        <v/>
      </c>
      <c r="X160" s="104" t="str">
        <f t="shared" si="63"/>
        <v/>
      </c>
      <c r="Y160" s="104" t="str">
        <f t="array" ref="Y160">IFERROR(IF(ISNUMBER(O160),IF(COUNT(IF(A160=$A$2:$A$2427,IF(D160=$D$2:$D$2427,IF($X$2:$X$2427&gt;0,1))))&gt;0,SUM(IF(A160=$A$2:$A$2427,IF(D160=$D$2:$D$2427,$X$2:$X$2427)))/COUNT(IF(A160=$A$2:$A$2427,IF(D160=$D$2:$D$2427,IF(ISNUMBER($X$2:$X$2427),1)))),0),""),0)</f>
        <v/>
      </c>
      <c r="Z160" s="104" t="str">
        <f>IF(ISNUMBER(O160),IF(I160&gt;0,(10^(VLOOKUP(D160,'Species Codes'!B:C,2,0)+VLOOKUP(D160,'Species Codes'!B:D,3,0)*LOG(E160)+VLOOKUP(D160,'Species Codes'!B:E,4,0)*LOG(I160))),0),"")</f>
        <v/>
      </c>
      <c r="AA160" s="104" t="str">
        <f>IFERROR((VLOOKUP(D160,'Species Codes'!B:G,6,0)*Z160)/2000,"")</f>
        <v/>
      </c>
      <c r="AB160" s="104" t="e">
        <f>IF(Z160&gt;0,((IF(OR(D160="DF",D160="RA")=TRUE,EXP(VLOOKUP(D160,'Species Codes'!B:I,8,0)+VLOOKUP(D160,'Species Codes'!B:J,9,0)*(LN((E160*2.54)))),IF(OR(D160="PY",D160="RC",D160="WH",D160="NF")=TRUE,VLOOKUP(D160,'Species Codes'!B:I,8,0)+VLOOKUP(D160,'Species Codes'!B:J,9,0)*((E160*2.54)^2)*(I160*0.3048),IF(OR(D160="MD",D160="BM",D160="GA")=TRUE,((VLOOKUP(D160,'Species Codes'!B:I,8,0)*(((((E160*2.54)+VLOOKUP(D160,'Species Codes'!B:J,9,0))/VLOOKUP(D160,'Species Codes'!B:K,10,0))^VLOOKUP(D160,'Species Codes'!B:L,11,0))*((I160*0.3048)^VLOOKUP(D160,'Species Codes'!B:M,12,0))))-(VLOOKUP(D160,'Species Codes'!B:I,8,0)*((((E160*2.54)^VLOOKUP(D160,'Species Codes'!B:L,11,0))*((I160*0.3048)^VLOOKUP(D160,'Species Codes'!B:M,12,0))))))*35.3*VLOOKUP(D160,'Species Codes'!B:G,6,0)/2.2046,VLOOKUP(D160,'Species Codes'!B:I,8,0)+VLOOKUP(D160,'Species Codes'!B:J,9,0)*(((E160*2.54)/100)^2)*(I160*0.3048)))))*0.0011023),0)</f>
        <v>#N/A</v>
      </c>
      <c r="AC160" s="104" t="e">
        <f>IF(Z160&gt;0,((IF(OR(D160="RA",D160="OA",D160="OT",D160="UN",D160="PC"),EXP(VLOOKUP(D160,'Species Codes'!B:O,14,0)+VLOOKUP(D160,'Species Codes'!B:P,15,0)*LN((E160*2.54)))-EXP(VLOOKUP(D160,'Species Codes'!B:O,14,0)+VLOOKUP(D160,'Species Codes'!B:P,15,0)*LN((E160*2.54)))*(1/(VLOOKUP(D160,'Species Codes'!B:Q,16,0)+VLOOKUP(D160,'Species Codes'!B:R,17,0)*((E160*2.54)^VLOOKUP(D160,'Species Codes'!B:S,18,0)))),IF(OR(D160="BM",D160="MD",D160="OA"),EXP(VLOOKUP(D160,'Species Codes'!B:O,14,0)+VLOOKUP(D160,'Species Codes'!B:P,15,0)*LN((E160*2.54)))*(1-(1/(VLOOKUP(D160,'Species Codes'!B:Q,16,0)+VLOOKUP(D160,'Species Codes'!B:R,17,0)*((E160*2.54)^VLOOKUP(D160,'Species Codes'!B:S,18,0)))))/1000,IF(D160="DF",EXP(VLOOKUP(D160,'Species Codes'!B:O,14,0)+VLOOKUP(D160,'Species Codes'!B:P,15,0)*LN((E160*2.54))),VLOOKUP(D160,'Species Codes'!B:O,14,0)+VLOOKUP(D160,'Species Codes'!B:P,15,0)*(((E160*2.54)/100)^2)*(I160*0.3048)))))*0.0011023),0)</f>
        <v>#N/A</v>
      </c>
      <c r="AD160" s="104" t="e">
        <f t="shared" si="64"/>
        <v>#N/A</v>
      </c>
      <c r="AE160" s="104" t="e">
        <f t="shared" si="65"/>
        <v>#N/A</v>
      </c>
      <c r="AF160" s="104" t="e">
        <f>IF(AND(VLOOKUP($D160,Merchantability!$B:$C,2,0)="Yes",$E160&gt;=VLOOKUP($D160,Merchantability!$B:$D,3,0),$E160&lt;=VLOOKUP($D160,Merchantability!$B:$E,4,0)),AA160,0)</f>
        <v>#N/A</v>
      </c>
      <c r="AG160" s="104" t="e">
        <f>IF(AND(VLOOKUP($D160,Merchantability!$B:$C,2,0)="Yes",$E160&gt;=VLOOKUP($D160,Merchantability!$B:$D,3,0),$E160&lt;=VLOOKUP($D160,Merchantability!$B:$E,4,0)),AB160,0)</f>
        <v>#N/A</v>
      </c>
      <c r="AH160" s="104" t="e">
        <f>IF(AND(VLOOKUP($D160,Merchantability!$B:$C,2,0)="Yes",$E160&gt;=VLOOKUP($D160,Merchantability!$B:$D,3,0),$E160&lt;=VLOOKUP($D160,Merchantability!$B:$E,4,0)),AC160,0)</f>
        <v>#N/A</v>
      </c>
      <c r="AI160" s="104" t="e">
        <f t="shared" si="66"/>
        <v>#N/A</v>
      </c>
      <c r="AJ160" s="104" t="e">
        <f t="shared" si="67"/>
        <v>#VALUE!</v>
      </c>
      <c r="AK160" s="104" t="e">
        <f t="shared" si="68"/>
        <v>#N/A</v>
      </c>
      <c r="AL160" s="104" t="e">
        <f t="shared" si="69"/>
        <v>#N/A</v>
      </c>
      <c r="AM160" s="104" t="e">
        <f t="shared" si="70"/>
        <v>#N/A</v>
      </c>
      <c r="AN160" s="104" t="e">
        <f t="shared" si="71"/>
        <v>#N/A</v>
      </c>
      <c r="AO160" s="104" t="e">
        <f t="shared" si="72"/>
        <v>#N/A</v>
      </c>
      <c r="AP160" s="104" t="e">
        <f t="shared" si="73"/>
        <v>#N/A</v>
      </c>
      <c r="AQ160" s="104" t="e">
        <f t="shared" si="74"/>
        <v>#N/A</v>
      </c>
      <c r="AR160" s="105" t="str">
        <f t="shared" si="75"/>
        <v/>
      </c>
      <c r="AS160" s="105" t="str">
        <f t="shared" si="76"/>
        <v/>
      </c>
      <c r="AT160" s="108" t="str">
        <f t="shared" si="77"/>
        <v/>
      </c>
      <c r="AU160" s="108" t="str">
        <f t="shared" si="78"/>
        <v/>
      </c>
      <c r="AV160" s="107" t="str">
        <f>IF(ISNUMBER(O160),IF(VLOOKUP($A160,Stand!C:J,8,FALSE)="Short",AT160,AU160),"")</f>
        <v/>
      </c>
      <c r="AW160" s="109" t="str">
        <f t="shared" si="79"/>
        <v/>
      </c>
      <c r="AX160" s="109" t="str">
        <f t="shared" si="80"/>
        <v/>
      </c>
      <c r="AY160" s="112" t="str">
        <f>IF(ISNUMBER(O160),IF(AND(VLOOKUP($D160,Merchantability!$B:$C,2,0)="Yes",$E160&gt;=VLOOKUP($D160,Merchantability!$B:$D,3,0),$E160&lt;=VLOOKUP($D160,Merchantability!$B:$E,4,0)),(AV160*O160)*(1-$H160/100),""),"")</f>
        <v/>
      </c>
      <c r="AZ160" s="116"/>
      <c r="BA160" s="116"/>
      <c r="BB160" s="116"/>
      <c r="BE160" s="62"/>
      <c r="BF160" s="63"/>
    </row>
    <row r="161" spans="1:58" ht="12.75" customHeight="1" x14ac:dyDescent="0.25">
      <c r="A161" s="384"/>
      <c r="B161" s="380"/>
      <c r="C161" s="381"/>
      <c r="D161" s="380"/>
      <c r="E161" s="380"/>
      <c r="F161" s="331"/>
      <c r="G161" s="329"/>
      <c r="H161" s="329"/>
      <c r="I161" s="380"/>
      <c r="J161" s="381"/>
      <c r="K161" s="329"/>
      <c r="L161" s="329"/>
      <c r="M161" s="76"/>
      <c r="N161" s="103" t="str">
        <f>IF(A161="","",VLOOKUP(A161,Stand!C:K,9,0))</f>
        <v/>
      </c>
      <c r="O161" s="104" t="str">
        <f t="shared" si="54"/>
        <v/>
      </c>
      <c r="P161" s="105" t="str">
        <f t="shared" si="55"/>
        <v/>
      </c>
      <c r="Q161" s="105" t="str">
        <f t="shared" si="56"/>
        <v/>
      </c>
      <c r="R161" s="103" t="str">
        <f t="shared" si="57"/>
        <v/>
      </c>
      <c r="S161" s="103" t="str">
        <f t="shared" si="58"/>
        <v/>
      </c>
      <c r="T161" s="106" t="str">
        <f t="shared" si="59"/>
        <v/>
      </c>
      <c r="U161" s="106" t="str">
        <f t="shared" si="60"/>
        <v/>
      </c>
      <c r="V161" s="106" t="str">
        <f t="shared" si="61"/>
        <v/>
      </c>
      <c r="W161" s="105" t="str">
        <f t="shared" si="62"/>
        <v/>
      </c>
      <c r="X161" s="104" t="str">
        <f t="shared" si="63"/>
        <v/>
      </c>
      <c r="Y161" s="104" t="str">
        <f t="array" ref="Y161">IFERROR(IF(ISNUMBER(O161),IF(COUNT(IF(A161=$A$2:$A$2427,IF(D161=$D$2:$D$2427,IF($X$2:$X$2427&gt;0,1))))&gt;0,SUM(IF(A161=$A$2:$A$2427,IF(D161=$D$2:$D$2427,$X$2:$X$2427)))/COUNT(IF(A161=$A$2:$A$2427,IF(D161=$D$2:$D$2427,IF(ISNUMBER($X$2:$X$2427),1)))),0),""),0)</f>
        <v/>
      </c>
      <c r="Z161" s="104" t="str">
        <f>IF(ISNUMBER(O161),IF(I161&gt;0,(10^(VLOOKUP(D161,'Species Codes'!B:C,2,0)+VLOOKUP(D161,'Species Codes'!B:D,3,0)*LOG(E161)+VLOOKUP(D161,'Species Codes'!B:E,4,0)*LOG(I161))),0),"")</f>
        <v/>
      </c>
      <c r="AA161" s="104" t="str">
        <f>IFERROR((VLOOKUP(D161,'Species Codes'!B:G,6,0)*Z161)/2000,"")</f>
        <v/>
      </c>
      <c r="AB161" s="104" t="e">
        <f>IF(Z161&gt;0,((IF(OR(D161="DF",D161="RA")=TRUE,EXP(VLOOKUP(D161,'Species Codes'!B:I,8,0)+VLOOKUP(D161,'Species Codes'!B:J,9,0)*(LN((E161*2.54)))),IF(OR(D161="PY",D161="RC",D161="WH",D161="NF")=TRUE,VLOOKUP(D161,'Species Codes'!B:I,8,0)+VLOOKUP(D161,'Species Codes'!B:J,9,0)*((E161*2.54)^2)*(I161*0.3048),IF(OR(D161="MD",D161="BM",D161="GA")=TRUE,((VLOOKUP(D161,'Species Codes'!B:I,8,0)*(((((E161*2.54)+VLOOKUP(D161,'Species Codes'!B:J,9,0))/VLOOKUP(D161,'Species Codes'!B:K,10,0))^VLOOKUP(D161,'Species Codes'!B:L,11,0))*((I161*0.3048)^VLOOKUP(D161,'Species Codes'!B:M,12,0))))-(VLOOKUP(D161,'Species Codes'!B:I,8,0)*((((E161*2.54)^VLOOKUP(D161,'Species Codes'!B:L,11,0))*((I161*0.3048)^VLOOKUP(D161,'Species Codes'!B:M,12,0))))))*35.3*VLOOKUP(D161,'Species Codes'!B:G,6,0)/2.2046,VLOOKUP(D161,'Species Codes'!B:I,8,0)+VLOOKUP(D161,'Species Codes'!B:J,9,0)*(((E161*2.54)/100)^2)*(I161*0.3048)))))*0.0011023),0)</f>
        <v>#N/A</v>
      </c>
      <c r="AC161" s="104" t="e">
        <f>IF(Z161&gt;0,((IF(OR(D161="RA",D161="OA",D161="OT",D161="UN",D161="PC"),EXP(VLOOKUP(D161,'Species Codes'!B:O,14,0)+VLOOKUP(D161,'Species Codes'!B:P,15,0)*LN((E161*2.54)))-EXP(VLOOKUP(D161,'Species Codes'!B:O,14,0)+VLOOKUP(D161,'Species Codes'!B:P,15,0)*LN((E161*2.54)))*(1/(VLOOKUP(D161,'Species Codes'!B:Q,16,0)+VLOOKUP(D161,'Species Codes'!B:R,17,0)*((E161*2.54)^VLOOKUP(D161,'Species Codes'!B:S,18,0)))),IF(OR(D161="BM",D161="MD",D161="OA"),EXP(VLOOKUP(D161,'Species Codes'!B:O,14,0)+VLOOKUP(D161,'Species Codes'!B:P,15,0)*LN((E161*2.54)))*(1-(1/(VLOOKUP(D161,'Species Codes'!B:Q,16,0)+VLOOKUP(D161,'Species Codes'!B:R,17,0)*((E161*2.54)^VLOOKUP(D161,'Species Codes'!B:S,18,0)))))/1000,IF(D161="DF",EXP(VLOOKUP(D161,'Species Codes'!B:O,14,0)+VLOOKUP(D161,'Species Codes'!B:P,15,0)*LN((E161*2.54))),VLOOKUP(D161,'Species Codes'!B:O,14,0)+VLOOKUP(D161,'Species Codes'!B:P,15,0)*(((E161*2.54)/100)^2)*(I161*0.3048)))))*0.0011023),0)</f>
        <v>#N/A</v>
      </c>
      <c r="AD161" s="104" t="e">
        <f t="shared" si="64"/>
        <v>#N/A</v>
      </c>
      <c r="AE161" s="104" t="e">
        <f t="shared" si="65"/>
        <v>#N/A</v>
      </c>
      <c r="AF161" s="104" t="e">
        <f>IF(AND(VLOOKUP($D161,Merchantability!$B:$C,2,0)="Yes",$E161&gt;=VLOOKUP($D161,Merchantability!$B:$D,3,0),$E161&lt;=VLOOKUP($D161,Merchantability!$B:$E,4,0)),AA161,0)</f>
        <v>#N/A</v>
      </c>
      <c r="AG161" s="104" t="e">
        <f>IF(AND(VLOOKUP($D161,Merchantability!$B:$C,2,0)="Yes",$E161&gt;=VLOOKUP($D161,Merchantability!$B:$D,3,0),$E161&lt;=VLOOKUP($D161,Merchantability!$B:$E,4,0)),AB161,0)</f>
        <v>#N/A</v>
      </c>
      <c r="AH161" s="104" t="e">
        <f>IF(AND(VLOOKUP($D161,Merchantability!$B:$C,2,0)="Yes",$E161&gt;=VLOOKUP($D161,Merchantability!$B:$D,3,0),$E161&lt;=VLOOKUP($D161,Merchantability!$B:$E,4,0)),AC161,0)</f>
        <v>#N/A</v>
      </c>
      <c r="AI161" s="104" t="e">
        <f t="shared" si="66"/>
        <v>#N/A</v>
      </c>
      <c r="AJ161" s="104" t="e">
        <f t="shared" si="67"/>
        <v>#VALUE!</v>
      </c>
      <c r="AK161" s="104" t="e">
        <f t="shared" si="68"/>
        <v>#N/A</v>
      </c>
      <c r="AL161" s="104" t="e">
        <f t="shared" si="69"/>
        <v>#N/A</v>
      </c>
      <c r="AM161" s="104" t="e">
        <f t="shared" si="70"/>
        <v>#N/A</v>
      </c>
      <c r="AN161" s="104" t="e">
        <f t="shared" si="71"/>
        <v>#N/A</v>
      </c>
      <c r="AO161" s="104" t="e">
        <f t="shared" si="72"/>
        <v>#N/A</v>
      </c>
      <c r="AP161" s="104" t="e">
        <f t="shared" si="73"/>
        <v>#N/A</v>
      </c>
      <c r="AQ161" s="104" t="e">
        <f t="shared" si="74"/>
        <v>#N/A</v>
      </c>
      <c r="AR161" s="105" t="str">
        <f t="shared" si="75"/>
        <v/>
      </c>
      <c r="AS161" s="105" t="str">
        <f t="shared" si="76"/>
        <v/>
      </c>
      <c r="AT161" s="108" t="str">
        <f t="shared" si="77"/>
        <v/>
      </c>
      <c r="AU161" s="108" t="str">
        <f t="shared" si="78"/>
        <v/>
      </c>
      <c r="AV161" s="107" t="str">
        <f>IF(ISNUMBER(O161),IF(VLOOKUP($A161,Stand!C:J,8,FALSE)="Short",AT161,AU161),"")</f>
        <v/>
      </c>
      <c r="AW161" s="109" t="str">
        <f t="shared" si="79"/>
        <v/>
      </c>
      <c r="AX161" s="109" t="str">
        <f t="shared" si="80"/>
        <v/>
      </c>
      <c r="AY161" s="112" t="str">
        <f>IF(ISNUMBER(O161),IF(AND(VLOOKUP($D161,Merchantability!$B:$C,2,0)="Yes",$E161&gt;=VLOOKUP($D161,Merchantability!$B:$D,3,0),$E161&lt;=VLOOKUP($D161,Merchantability!$B:$E,4,0)),(AV161*O161)*(1-$H161/100),""),"")</f>
        <v/>
      </c>
      <c r="AZ161" s="115"/>
      <c r="BA161" s="61"/>
      <c r="BB161" s="61"/>
      <c r="BC161" s="61"/>
      <c r="BE161" s="61"/>
      <c r="BF161" s="63"/>
    </row>
    <row r="162" spans="1:58" ht="12.75" customHeight="1" x14ac:dyDescent="0.25">
      <c r="A162" s="384"/>
      <c r="B162" s="380"/>
      <c r="C162" s="381"/>
      <c r="D162" s="380"/>
      <c r="E162" s="380"/>
      <c r="F162" s="331"/>
      <c r="G162" s="329"/>
      <c r="H162" s="329"/>
      <c r="I162" s="380"/>
      <c r="J162" s="381"/>
      <c r="K162" s="329"/>
      <c r="L162" s="329"/>
      <c r="M162" s="76"/>
      <c r="N162" s="103" t="str">
        <f>IF(A162="","",VLOOKUP(A162,Stand!C:K,9,0))</f>
        <v/>
      </c>
      <c r="O162" s="104" t="str">
        <f t="shared" si="54"/>
        <v/>
      </c>
      <c r="P162" s="105" t="str">
        <f t="shared" si="55"/>
        <v/>
      </c>
      <c r="Q162" s="105" t="str">
        <f t="shared" si="56"/>
        <v/>
      </c>
      <c r="R162" s="103" t="str">
        <f t="shared" si="57"/>
        <v/>
      </c>
      <c r="S162" s="103" t="str">
        <f t="shared" si="58"/>
        <v/>
      </c>
      <c r="T162" s="106" t="str">
        <f t="shared" si="59"/>
        <v/>
      </c>
      <c r="U162" s="106" t="str">
        <f t="shared" si="60"/>
        <v/>
      </c>
      <c r="V162" s="106" t="str">
        <f t="shared" si="61"/>
        <v/>
      </c>
      <c r="W162" s="105" t="str">
        <f t="shared" si="62"/>
        <v/>
      </c>
      <c r="X162" s="104" t="str">
        <f t="shared" si="63"/>
        <v/>
      </c>
      <c r="Y162" s="104" t="str">
        <f t="array" ref="Y162">IFERROR(IF(ISNUMBER(O162),IF(COUNT(IF(A162=$A$2:$A$2427,IF(D162=$D$2:$D$2427,IF($X$2:$X$2427&gt;0,1))))&gt;0,SUM(IF(A162=$A$2:$A$2427,IF(D162=$D$2:$D$2427,$X$2:$X$2427)))/COUNT(IF(A162=$A$2:$A$2427,IF(D162=$D$2:$D$2427,IF(ISNUMBER($X$2:$X$2427),1)))),0),""),0)</f>
        <v/>
      </c>
      <c r="Z162" s="104" t="str">
        <f>IF(ISNUMBER(O162),IF(I162&gt;0,(10^(VLOOKUP(D162,'Species Codes'!B:C,2,0)+VLOOKUP(D162,'Species Codes'!B:D,3,0)*LOG(E162)+VLOOKUP(D162,'Species Codes'!B:E,4,0)*LOG(I162))),0),"")</f>
        <v/>
      </c>
      <c r="AA162" s="104" t="str">
        <f>IFERROR((VLOOKUP(D162,'Species Codes'!B:G,6,0)*Z162)/2000,"")</f>
        <v/>
      </c>
      <c r="AB162" s="104" t="e">
        <f>IF(Z162&gt;0,((IF(OR(D162="DF",D162="RA")=TRUE,EXP(VLOOKUP(D162,'Species Codes'!B:I,8,0)+VLOOKUP(D162,'Species Codes'!B:J,9,0)*(LN((E162*2.54)))),IF(OR(D162="PY",D162="RC",D162="WH",D162="NF")=TRUE,VLOOKUP(D162,'Species Codes'!B:I,8,0)+VLOOKUP(D162,'Species Codes'!B:J,9,0)*((E162*2.54)^2)*(I162*0.3048),IF(OR(D162="MD",D162="BM",D162="GA")=TRUE,((VLOOKUP(D162,'Species Codes'!B:I,8,0)*(((((E162*2.54)+VLOOKUP(D162,'Species Codes'!B:J,9,0))/VLOOKUP(D162,'Species Codes'!B:K,10,0))^VLOOKUP(D162,'Species Codes'!B:L,11,0))*((I162*0.3048)^VLOOKUP(D162,'Species Codes'!B:M,12,0))))-(VLOOKUP(D162,'Species Codes'!B:I,8,0)*((((E162*2.54)^VLOOKUP(D162,'Species Codes'!B:L,11,0))*((I162*0.3048)^VLOOKUP(D162,'Species Codes'!B:M,12,0))))))*35.3*VLOOKUP(D162,'Species Codes'!B:G,6,0)/2.2046,VLOOKUP(D162,'Species Codes'!B:I,8,0)+VLOOKUP(D162,'Species Codes'!B:J,9,0)*(((E162*2.54)/100)^2)*(I162*0.3048)))))*0.0011023),0)</f>
        <v>#N/A</v>
      </c>
      <c r="AC162" s="104" t="e">
        <f>IF(Z162&gt;0,((IF(OR(D162="RA",D162="OA",D162="OT",D162="UN",D162="PC"),EXP(VLOOKUP(D162,'Species Codes'!B:O,14,0)+VLOOKUP(D162,'Species Codes'!B:P,15,0)*LN((E162*2.54)))-EXP(VLOOKUP(D162,'Species Codes'!B:O,14,0)+VLOOKUP(D162,'Species Codes'!B:P,15,0)*LN((E162*2.54)))*(1/(VLOOKUP(D162,'Species Codes'!B:Q,16,0)+VLOOKUP(D162,'Species Codes'!B:R,17,0)*((E162*2.54)^VLOOKUP(D162,'Species Codes'!B:S,18,0)))),IF(OR(D162="BM",D162="MD",D162="OA"),EXP(VLOOKUP(D162,'Species Codes'!B:O,14,0)+VLOOKUP(D162,'Species Codes'!B:P,15,0)*LN((E162*2.54)))*(1-(1/(VLOOKUP(D162,'Species Codes'!B:Q,16,0)+VLOOKUP(D162,'Species Codes'!B:R,17,0)*((E162*2.54)^VLOOKUP(D162,'Species Codes'!B:S,18,0)))))/1000,IF(D162="DF",EXP(VLOOKUP(D162,'Species Codes'!B:O,14,0)+VLOOKUP(D162,'Species Codes'!B:P,15,0)*LN((E162*2.54))),VLOOKUP(D162,'Species Codes'!B:O,14,0)+VLOOKUP(D162,'Species Codes'!B:P,15,0)*(((E162*2.54)/100)^2)*(I162*0.3048)))))*0.0011023),0)</f>
        <v>#N/A</v>
      </c>
      <c r="AD162" s="104" t="e">
        <f t="shared" si="64"/>
        <v>#N/A</v>
      </c>
      <c r="AE162" s="104" t="e">
        <f t="shared" si="65"/>
        <v>#N/A</v>
      </c>
      <c r="AF162" s="104" t="e">
        <f>IF(AND(VLOOKUP($D162,Merchantability!$B:$C,2,0)="Yes",$E162&gt;=VLOOKUP($D162,Merchantability!$B:$D,3,0),$E162&lt;=VLOOKUP($D162,Merchantability!$B:$E,4,0)),AA162,0)</f>
        <v>#N/A</v>
      </c>
      <c r="AG162" s="104" t="e">
        <f>IF(AND(VLOOKUP($D162,Merchantability!$B:$C,2,0)="Yes",$E162&gt;=VLOOKUP($D162,Merchantability!$B:$D,3,0),$E162&lt;=VLOOKUP($D162,Merchantability!$B:$E,4,0)),AB162,0)</f>
        <v>#N/A</v>
      </c>
      <c r="AH162" s="104" t="e">
        <f>IF(AND(VLOOKUP($D162,Merchantability!$B:$C,2,0)="Yes",$E162&gt;=VLOOKUP($D162,Merchantability!$B:$D,3,0),$E162&lt;=VLOOKUP($D162,Merchantability!$B:$E,4,0)),AC162,0)</f>
        <v>#N/A</v>
      </c>
      <c r="AI162" s="104" t="e">
        <f t="shared" si="66"/>
        <v>#N/A</v>
      </c>
      <c r="AJ162" s="104" t="e">
        <f t="shared" si="67"/>
        <v>#VALUE!</v>
      </c>
      <c r="AK162" s="104" t="e">
        <f t="shared" si="68"/>
        <v>#N/A</v>
      </c>
      <c r="AL162" s="104" t="e">
        <f t="shared" si="69"/>
        <v>#N/A</v>
      </c>
      <c r="AM162" s="104" t="e">
        <f t="shared" si="70"/>
        <v>#N/A</v>
      </c>
      <c r="AN162" s="104" t="e">
        <f t="shared" si="71"/>
        <v>#N/A</v>
      </c>
      <c r="AO162" s="104" t="e">
        <f t="shared" si="72"/>
        <v>#N/A</v>
      </c>
      <c r="AP162" s="104" t="e">
        <f t="shared" si="73"/>
        <v>#N/A</v>
      </c>
      <c r="AQ162" s="104" t="e">
        <f t="shared" si="74"/>
        <v>#N/A</v>
      </c>
      <c r="AR162" s="105" t="str">
        <f t="shared" si="75"/>
        <v/>
      </c>
      <c r="AS162" s="105" t="str">
        <f t="shared" si="76"/>
        <v/>
      </c>
      <c r="AT162" s="108" t="str">
        <f t="shared" si="77"/>
        <v/>
      </c>
      <c r="AU162" s="108" t="str">
        <f t="shared" si="78"/>
        <v/>
      </c>
      <c r="AV162" s="107" t="str">
        <f>IF(ISNUMBER(O162),IF(VLOOKUP($A162,Stand!C:J,8,FALSE)="Short",AT162,AU162),"")</f>
        <v/>
      </c>
      <c r="AW162" s="109" t="str">
        <f t="shared" si="79"/>
        <v/>
      </c>
      <c r="AX162" s="109" t="str">
        <f t="shared" si="80"/>
        <v/>
      </c>
      <c r="AY162" s="112" t="str">
        <f>IF(ISNUMBER(O162),IF(AND(VLOOKUP($D162,Merchantability!$B:$C,2,0)="Yes",$E162&gt;=VLOOKUP($D162,Merchantability!$B:$D,3,0),$E162&lt;=VLOOKUP($D162,Merchantability!$B:$E,4,0)),(AV162*O162)*(1-$H162/100),""),"")</f>
        <v/>
      </c>
      <c r="AZ162" s="115"/>
      <c r="BA162" s="61"/>
      <c r="BB162" s="61"/>
      <c r="BC162" s="61"/>
      <c r="BE162" s="61"/>
      <c r="BF162" s="63"/>
    </row>
    <row r="163" spans="1:58" ht="12.75" customHeight="1" x14ac:dyDescent="0.25">
      <c r="A163" s="384"/>
      <c r="B163" s="380"/>
      <c r="C163" s="381"/>
      <c r="D163" s="380"/>
      <c r="E163" s="380"/>
      <c r="F163" s="331"/>
      <c r="G163" s="329"/>
      <c r="H163" s="329"/>
      <c r="I163" s="380"/>
      <c r="J163" s="381"/>
      <c r="K163" s="329"/>
      <c r="L163" s="329"/>
      <c r="M163" s="76"/>
      <c r="N163" s="103" t="str">
        <f>IF(A163="","",VLOOKUP(A163,Stand!C:K,9,0))</f>
        <v/>
      </c>
      <c r="O163" s="104" t="str">
        <f t="shared" si="54"/>
        <v/>
      </c>
      <c r="P163" s="105" t="str">
        <f t="shared" si="55"/>
        <v/>
      </c>
      <c r="Q163" s="105" t="str">
        <f t="shared" si="56"/>
        <v/>
      </c>
      <c r="R163" s="103" t="str">
        <f t="shared" si="57"/>
        <v/>
      </c>
      <c r="S163" s="103" t="str">
        <f t="shared" si="58"/>
        <v/>
      </c>
      <c r="T163" s="106" t="str">
        <f t="shared" si="59"/>
        <v/>
      </c>
      <c r="U163" s="106" t="str">
        <f t="shared" si="60"/>
        <v/>
      </c>
      <c r="V163" s="106" t="str">
        <f t="shared" si="61"/>
        <v/>
      </c>
      <c r="W163" s="105" t="str">
        <f t="shared" si="62"/>
        <v/>
      </c>
      <c r="X163" s="104" t="str">
        <f t="shared" si="63"/>
        <v/>
      </c>
      <c r="Y163" s="104" t="str">
        <f t="array" ref="Y163">IFERROR(IF(ISNUMBER(O163),IF(COUNT(IF(A163=$A$2:$A$2427,IF(D163=$D$2:$D$2427,IF($X$2:$X$2427&gt;0,1))))&gt;0,SUM(IF(A163=$A$2:$A$2427,IF(D163=$D$2:$D$2427,$X$2:$X$2427)))/COUNT(IF(A163=$A$2:$A$2427,IF(D163=$D$2:$D$2427,IF(ISNUMBER($X$2:$X$2427),1)))),0),""),0)</f>
        <v/>
      </c>
      <c r="Z163" s="104" t="str">
        <f>IF(ISNUMBER(O163),IF(I163&gt;0,(10^(VLOOKUP(D163,'Species Codes'!B:C,2,0)+VLOOKUP(D163,'Species Codes'!B:D,3,0)*LOG(E163)+VLOOKUP(D163,'Species Codes'!B:E,4,0)*LOG(I163))),0),"")</f>
        <v/>
      </c>
      <c r="AA163" s="104" t="str">
        <f>IFERROR((VLOOKUP(D163,'Species Codes'!B:G,6,0)*Z163)/2000,"")</f>
        <v/>
      </c>
      <c r="AB163" s="104" t="e">
        <f>IF(Z163&gt;0,((IF(OR(D163="DF",D163="RA")=TRUE,EXP(VLOOKUP(D163,'Species Codes'!B:I,8,0)+VLOOKUP(D163,'Species Codes'!B:J,9,0)*(LN((E163*2.54)))),IF(OR(D163="PY",D163="RC",D163="WH",D163="NF")=TRUE,VLOOKUP(D163,'Species Codes'!B:I,8,0)+VLOOKUP(D163,'Species Codes'!B:J,9,0)*((E163*2.54)^2)*(I163*0.3048),IF(OR(D163="MD",D163="BM",D163="GA")=TRUE,((VLOOKUP(D163,'Species Codes'!B:I,8,0)*(((((E163*2.54)+VLOOKUP(D163,'Species Codes'!B:J,9,0))/VLOOKUP(D163,'Species Codes'!B:K,10,0))^VLOOKUP(D163,'Species Codes'!B:L,11,0))*((I163*0.3048)^VLOOKUP(D163,'Species Codes'!B:M,12,0))))-(VLOOKUP(D163,'Species Codes'!B:I,8,0)*((((E163*2.54)^VLOOKUP(D163,'Species Codes'!B:L,11,0))*((I163*0.3048)^VLOOKUP(D163,'Species Codes'!B:M,12,0))))))*35.3*VLOOKUP(D163,'Species Codes'!B:G,6,0)/2.2046,VLOOKUP(D163,'Species Codes'!B:I,8,0)+VLOOKUP(D163,'Species Codes'!B:J,9,0)*(((E163*2.54)/100)^2)*(I163*0.3048)))))*0.0011023),0)</f>
        <v>#N/A</v>
      </c>
      <c r="AC163" s="104" t="e">
        <f>IF(Z163&gt;0,((IF(OR(D163="RA",D163="OA",D163="OT",D163="UN",D163="PC"),EXP(VLOOKUP(D163,'Species Codes'!B:O,14,0)+VLOOKUP(D163,'Species Codes'!B:P,15,0)*LN((E163*2.54)))-EXP(VLOOKUP(D163,'Species Codes'!B:O,14,0)+VLOOKUP(D163,'Species Codes'!B:P,15,0)*LN((E163*2.54)))*(1/(VLOOKUP(D163,'Species Codes'!B:Q,16,0)+VLOOKUP(D163,'Species Codes'!B:R,17,0)*((E163*2.54)^VLOOKUP(D163,'Species Codes'!B:S,18,0)))),IF(OR(D163="BM",D163="MD",D163="OA"),EXP(VLOOKUP(D163,'Species Codes'!B:O,14,0)+VLOOKUP(D163,'Species Codes'!B:P,15,0)*LN((E163*2.54)))*(1-(1/(VLOOKUP(D163,'Species Codes'!B:Q,16,0)+VLOOKUP(D163,'Species Codes'!B:R,17,0)*((E163*2.54)^VLOOKUP(D163,'Species Codes'!B:S,18,0)))))/1000,IF(D163="DF",EXP(VLOOKUP(D163,'Species Codes'!B:O,14,0)+VLOOKUP(D163,'Species Codes'!B:P,15,0)*LN((E163*2.54))),VLOOKUP(D163,'Species Codes'!B:O,14,0)+VLOOKUP(D163,'Species Codes'!B:P,15,0)*(((E163*2.54)/100)^2)*(I163*0.3048)))))*0.0011023),0)</f>
        <v>#N/A</v>
      </c>
      <c r="AD163" s="104" t="e">
        <f t="shared" si="64"/>
        <v>#N/A</v>
      </c>
      <c r="AE163" s="104" t="e">
        <f t="shared" si="65"/>
        <v>#N/A</v>
      </c>
      <c r="AF163" s="104" t="e">
        <f>IF(AND(VLOOKUP($D163,Merchantability!$B:$C,2,0)="Yes",$E163&gt;=VLOOKUP($D163,Merchantability!$B:$D,3,0),$E163&lt;=VLOOKUP($D163,Merchantability!$B:$E,4,0)),AA163,0)</f>
        <v>#N/A</v>
      </c>
      <c r="AG163" s="104" t="e">
        <f>IF(AND(VLOOKUP($D163,Merchantability!$B:$C,2,0)="Yes",$E163&gt;=VLOOKUP($D163,Merchantability!$B:$D,3,0),$E163&lt;=VLOOKUP($D163,Merchantability!$B:$E,4,0)),AB163,0)</f>
        <v>#N/A</v>
      </c>
      <c r="AH163" s="104" t="e">
        <f>IF(AND(VLOOKUP($D163,Merchantability!$B:$C,2,0)="Yes",$E163&gt;=VLOOKUP($D163,Merchantability!$B:$D,3,0),$E163&lt;=VLOOKUP($D163,Merchantability!$B:$E,4,0)),AC163,0)</f>
        <v>#N/A</v>
      </c>
      <c r="AI163" s="104" t="e">
        <f t="shared" si="66"/>
        <v>#N/A</v>
      </c>
      <c r="AJ163" s="104" t="e">
        <f t="shared" si="67"/>
        <v>#VALUE!</v>
      </c>
      <c r="AK163" s="104" t="e">
        <f t="shared" si="68"/>
        <v>#N/A</v>
      </c>
      <c r="AL163" s="104" t="e">
        <f t="shared" si="69"/>
        <v>#N/A</v>
      </c>
      <c r="AM163" s="104" t="e">
        <f t="shared" si="70"/>
        <v>#N/A</v>
      </c>
      <c r="AN163" s="104" t="e">
        <f t="shared" si="71"/>
        <v>#N/A</v>
      </c>
      <c r="AO163" s="104" t="e">
        <f t="shared" si="72"/>
        <v>#N/A</v>
      </c>
      <c r="AP163" s="104" t="e">
        <f t="shared" si="73"/>
        <v>#N/A</v>
      </c>
      <c r="AQ163" s="104" t="e">
        <f t="shared" si="74"/>
        <v>#N/A</v>
      </c>
      <c r="AR163" s="105" t="str">
        <f t="shared" si="75"/>
        <v/>
      </c>
      <c r="AS163" s="105" t="str">
        <f t="shared" si="76"/>
        <v/>
      </c>
      <c r="AT163" s="108" t="str">
        <f t="shared" si="77"/>
        <v/>
      </c>
      <c r="AU163" s="108" t="str">
        <f t="shared" si="78"/>
        <v/>
      </c>
      <c r="AV163" s="107" t="str">
        <f>IF(ISNUMBER(O163),IF(VLOOKUP($A163,Stand!C:J,8,FALSE)="Short",AT163,AU163),"")</f>
        <v/>
      </c>
      <c r="AW163" s="109" t="str">
        <f t="shared" si="79"/>
        <v/>
      </c>
      <c r="AX163" s="109" t="str">
        <f t="shared" si="80"/>
        <v/>
      </c>
      <c r="AY163" s="112" t="str">
        <f>IF(ISNUMBER(O163),IF(AND(VLOOKUP($D163,Merchantability!$B:$C,2,0)="Yes",$E163&gt;=VLOOKUP($D163,Merchantability!$B:$D,3,0),$E163&lt;=VLOOKUP($D163,Merchantability!$B:$E,4,0)),(AV163*O163)*(1-$H163/100),""),"")</f>
        <v/>
      </c>
      <c r="AZ163" s="115"/>
      <c r="BA163" s="61"/>
      <c r="BB163" s="61"/>
      <c r="BC163" s="61"/>
      <c r="BE163" s="61"/>
      <c r="BF163" s="63"/>
    </row>
    <row r="164" spans="1:58" ht="12.75" customHeight="1" x14ac:dyDescent="0.25">
      <c r="A164" s="384"/>
      <c r="B164" s="380"/>
      <c r="C164" s="381"/>
      <c r="D164" s="380"/>
      <c r="E164" s="382"/>
      <c r="F164" s="331"/>
      <c r="G164" s="329"/>
      <c r="H164" s="329"/>
      <c r="I164" s="380"/>
      <c r="J164" s="381"/>
      <c r="K164" s="329"/>
      <c r="L164" s="329"/>
      <c r="M164" s="76"/>
      <c r="N164" s="103" t="str">
        <f>IF(A164="","",VLOOKUP(A164,Stand!C:K,9,0))</f>
        <v/>
      </c>
      <c r="O164" s="104" t="str">
        <f t="shared" si="54"/>
        <v/>
      </c>
      <c r="P164" s="105" t="str">
        <f t="shared" si="55"/>
        <v/>
      </c>
      <c r="Q164" s="105" t="str">
        <f t="shared" si="56"/>
        <v/>
      </c>
      <c r="R164" s="103" t="str">
        <f t="shared" si="57"/>
        <v/>
      </c>
      <c r="S164" s="103" t="str">
        <f t="shared" si="58"/>
        <v/>
      </c>
      <c r="T164" s="106" t="str">
        <f t="shared" si="59"/>
        <v/>
      </c>
      <c r="U164" s="106" t="str">
        <f t="shared" si="60"/>
        <v/>
      </c>
      <c r="V164" s="106" t="str">
        <f t="shared" si="61"/>
        <v/>
      </c>
      <c r="W164" s="105" t="str">
        <f t="shared" si="62"/>
        <v/>
      </c>
      <c r="X164" s="104" t="str">
        <f t="shared" si="63"/>
        <v/>
      </c>
      <c r="Y164" s="104" t="str">
        <f t="array" ref="Y164">IFERROR(IF(ISNUMBER(O164),IF(COUNT(IF(A164=$A$2:$A$2427,IF(D164=$D$2:$D$2427,IF($X$2:$X$2427&gt;0,1))))&gt;0,SUM(IF(A164=$A$2:$A$2427,IF(D164=$D$2:$D$2427,$X$2:$X$2427)))/COUNT(IF(A164=$A$2:$A$2427,IF(D164=$D$2:$D$2427,IF(ISNUMBER($X$2:$X$2427),1)))),0),""),0)</f>
        <v/>
      </c>
      <c r="Z164" s="104" t="str">
        <f>IF(ISNUMBER(O164),IF(I164&gt;0,(10^(VLOOKUP(D164,'Species Codes'!B:C,2,0)+VLOOKUP(D164,'Species Codes'!B:D,3,0)*LOG(E164)+VLOOKUP(D164,'Species Codes'!B:E,4,0)*LOG(I164))),0),"")</f>
        <v/>
      </c>
      <c r="AA164" s="104" t="str">
        <f>IFERROR((VLOOKUP(D164,'Species Codes'!B:G,6,0)*Z164)/2000,"")</f>
        <v/>
      </c>
      <c r="AB164" s="104" t="e">
        <f>IF(Z164&gt;0,((IF(OR(D164="DF",D164="RA")=TRUE,EXP(VLOOKUP(D164,'Species Codes'!B:I,8,0)+VLOOKUP(D164,'Species Codes'!B:J,9,0)*(LN((E164*2.54)))),IF(OR(D164="PY",D164="RC",D164="WH",D164="NF")=TRUE,VLOOKUP(D164,'Species Codes'!B:I,8,0)+VLOOKUP(D164,'Species Codes'!B:J,9,0)*((E164*2.54)^2)*(I164*0.3048),IF(OR(D164="MD",D164="BM",D164="GA")=TRUE,((VLOOKUP(D164,'Species Codes'!B:I,8,0)*(((((E164*2.54)+VLOOKUP(D164,'Species Codes'!B:J,9,0))/VLOOKUP(D164,'Species Codes'!B:K,10,0))^VLOOKUP(D164,'Species Codes'!B:L,11,0))*((I164*0.3048)^VLOOKUP(D164,'Species Codes'!B:M,12,0))))-(VLOOKUP(D164,'Species Codes'!B:I,8,0)*((((E164*2.54)^VLOOKUP(D164,'Species Codes'!B:L,11,0))*((I164*0.3048)^VLOOKUP(D164,'Species Codes'!B:M,12,0))))))*35.3*VLOOKUP(D164,'Species Codes'!B:G,6,0)/2.2046,VLOOKUP(D164,'Species Codes'!B:I,8,0)+VLOOKUP(D164,'Species Codes'!B:J,9,0)*(((E164*2.54)/100)^2)*(I164*0.3048)))))*0.0011023),0)</f>
        <v>#N/A</v>
      </c>
      <c r="AC164" s="104" t="e">
        <f>IF(Z164&gt;0,((IF(OR(D164="RA",D164="OA",D164="OT",D164="UN",D164="PC"),EXP(VLOOKUP(D164,'Species Codes'!B:O,14,0)+VLOOKUP(D164,'Species Codes'!B:P,15,0)*LN((E164*2.54)))-EXP(VLOOKUP(D164,'Species Codes'!B:O,14,0)+VLOOKUP(D164,'Species Codes'!B:P,15,0)*LN((E164*2.54)))*(1/(VLOOKUP(D164,'Species Codes'!B:Q,16,0)+VLOOKUP(D164,'Species Codes'!B:R,17,0)*((E164*2.54)^VLOOKUP(D164,'Species Codes'!B:S,18,0)))),IF(OR(D164="BM",D164="MD",D164="OA"),EXP(VLOOKUP(D164,'Species Codes'!B:O,14,0)+VLOOKUP(D164,'Species Codes'!B:P,15,0)*LN((E164*2.54)))*(1-(1/(VLOOKUP(D164,'Species Codes'!B:Q,16,0)+VLOOKUP(D164,'Species Codes'!B:R,17,0)*((E164*2.54)^VLOOKUP(D164,'Species Codes'!B:S,18,0)))))/1000,IF(D164="DF",EXP(VLOOKUP(D164,'Species Codes'!B:O,14,0)+VLOOKUP(D164,'Species Codes'!B:P,15,0)*LN((E164*2.54))),VLOOKUP(D164,'Species Codes'!B:O,14,0)+VLOOKUP(D164,'Species Codes'!B:P,15,0)*(((E164*2.54)/100)^2)*(I164*0.3048)))))*0.0011023),0)</f>
        <v>#N/A</v>
      </c>
      <c r="AD164" s="104" t="e">
        <f t="shared" si="64"/>
        <v>#N/A</v>
      </c>
      <c r="AE164" s="104" t="e">
        <f t="shared" si="65"/>
        <v>#N/A</v>
      </c>
      <c r="AF164" s="104" t="e">
        <f>IF(AND(VLOOKUP($D164,Merchantability!$B:$C,2,0)="Yes",$E164&gt;=VLOOKUP($D164,Merchantability!$B:$D,3,0),$E164&lt;=VLOOKUP($D164,Merchantability!$B:$E,4,0)),AA164,0)</f>
        <v>#N/A</v>
      </c>
      <c r="AG164" s="104" t="e">
        <f>IF(AND(VLOOKUP($D164,Merchantability!$B:$C,2,0)="Yes",$E164&gt;=VLOOKUP($D164,Merchantability!$B:$D,3,0),$E164&lt;=VLOOKUP($D164,Merchantability!$B:$E,4,0)),AB164,0)</f>
        <v>#N/A</v>
      </c>
      <c r="AH164" s="104" t="e">
        <f>IF(AND(VLOOKUP($D164,Merchantability!$B:$C,2,0)="Yes",$E164&gt;=VLOOKUP($D164,Merchantability!$B:$D,3,0),$E164&lt;=VLOOKUP($D164,Merchantability!$B:$E,4,0)),AC164,0)</f>
        <v>#N/A</v>
      </c>
      <c r="AI164" s="104" t="e">
        <f t="shared" si="66"/>
        <v>#N/A</v>
      </c>
      <c r="AJ164" s="104" t="e">
        <f t="shared" si="67"/>
        <v>#VALUE!</v>
      </c>
      <c r="AK164" s="104" t="e">
        <f t="shared" si="68"/>
        <v>#N/A</v>
      </c>
      <c r="AL164" s="104" t="e">
        <f t="shared" si="69"/>
        <v>#N/A</v>
      </c>
      <c r="AM164" s="104" t="e">
        <f t="shared" si="70"/>
        <v>#N/A</v>
      </c>
      <c r="AN164" s="104" t="e">
        <f t="shared" si="71"/>
        <v>#N/A</v>
      </c>
      <c r="AO164" s="104" t="e">
        <f t="shared" si="72"/>
        <v>#N/A</v>
      </c>
      <c r="AP164" s="104" t="e">
        <f t="shared" si="73"/>
        <v>#N/A</v>
      </c>
      <c r="AQ164" s="104" t="e">
        <f t="shared" si="74"/>
        <v>#N/A</v>
      </c>
      <c r="AR164" s="105" t="str">
        <f t="shared" si="75"/>
        <v/>
      </c>
      <c r="AS164" s="105" t="str">
        <f t="shared" si="76"/>
        <v/>
      </c>
      <c r="AT164" s="108" t="str">
        <f t="shared" si="77"/>
        <v/>
      </c>
      <c r="AU164" s="108" t="str">
        <f t="shared" si="78"/>
        <v/>
      </c>
      <c r="AV164" s="107" t="str">
        <f>IF(ISNUMBER(O164),IF(VLOOKUP($A164,Stand!C:J,8,FALSE)="Short",AT164,AU164),"")</f>
        <v/>
      </c>
      <c r="AW164" s="109" t="str">
        <f t="shared" si="79"/>
        <v/>
      </c>
      <c r="AX164" s="109" t="str">
        <f t="shared" si="80"/>
        <v/>
      </c>
      <c r="AY164" s="112" t="str">
        <f>IF(ISNUMBER(O164),IF(AND(VLOOKUP($D164,Merchantability!$B:$C,2,0)="Yes",$E164&gt;=VLOOKUP($D164,Merchantability!$B:$D,3,0),$E164&lt;=VLOOKUP($D164,Merchantability!$B:$E,4,0)),(AV164*O164)*(1-$H164/100),""),"")</f>
        <v/>
      </c>
      <c r="AZ164" s="116"/>
      <c r="BA164" s="116"/>
      <c r="BB164" s="116"/>
      <c r="BE164" s="62"/>
      <c r="BF164" s="63"/>
    </row>
    <row r="165" spans="1:58" ht="12.75" customHeight="1" x14ac:dyDescent="0.25">
      <c r="A165" s="384"/>
      <c r="B165" s="380"/>
      <c r="C165" s="381"/>
      <c r="D165" s="380"/>
      <c r="E165" s="382"/>
      <c r="F165" s="331"/>
      <c r="G165" s="329"/>
      <c r="H165" s="329"/>
      <c r="I165" s="380"/>
      <c r="J165" s="381"/>
      <c r="K165" s="329"/>
      <c r="L165" s="329"/>
      <c r="M165" s="76"/>
      <c r="N165" s="103" t="str">
        <f>IF(A165="","",VLOOKUP(A165,Stand!C:K,9,0))</f>
        <v/>
      </c>
      <c r="O165" s="104" t="str">
        <f t="shared" si="54"/>
        <v/>
      </c>
      <c r="P165" s="105" t="str">
        <f t="shared" si="55"/>
        <v/>
      </c>
      <c r="Q165" s="105" t="str">
        <f t="shared" si="56"/>
        <v/>
      </c>
      <c r="R165" s="103" t="str">
        <f t="shared" si="57"/>
        <v/>
      </c>
      <c r="S165" s="103" t="str">
        <f t="shared" si="58"/>
        <v/>
      </c>
      <c r="T165" s="106" t="str">
        <f t="shared" si="59"/>
        <v/>
      </c>
      <c r="U165" s="106" t="str">
        <f t="shared" si="60"/>
        <v/>
      </c>
      <c r="V165" s="106" t="str">
        <f t="shared" si="61"/>
        <v/>
      </c>
      <c r="W165" s="105" t="str">
        <f t="shared" si="62"/>
        <v/>
      </c>
      <c r="X165" s="104" t="str">
        <f t="shared" si="63"/>
        <v/>
      </c>
      <c r="Y165" s="104" t="str">
        <f t="array" ref="Y165">IFERROR(IF(ISNUMBER(O165),IF(COUNT(IF(A165=$A$2:$A$2427,IF(D165=$D$2:$D$2427,IF($X$2:$X$2427&gt;0,1))))&gt;0,SUM(IF(A165=$A$2:$A$2427,IF(D165=$D$2:$D$2427,$X$2:$X$2427)))/COUNT(IF(A165=$A$2:$A$2427,IF(D165=$D$2:$D$2427,IF(ISNUMBER($X$2:$X$2427),1)))),0),""),0)</f>
        <v/>
      </c>
      <c r="Z165" s="104" t="str">
        <f>IF(ISNUMBER(O165),IF(I165&gt;0,(10^(VLOOKUP(D165,'Species Codes'!B:C,2,0)+VLOOKUP(D165,'Species Codes'!B:D,3,0)*LOG(E165)+VLOOKUP(D165,'Species Codes'!B:E,4,0)*LOG(I165))),0),"")</f>
        <v/>
      </c>
      <c r="AA165" s="104" t="str">
        <f>IFERROR((VLOOKUP(D165,'Species Codes'!B:G,6,0)*Z165)/2000,"")</f>
        <v/>
      </c>
      <c r="AB165" s="104" t="e">
        <f>IF(Z165&gt;0,((IF(OR(D165="DF",D165="RA")=TRUE,EXP(VLOOKUP(D165,'Species Codes'!B:I,8,0)+VLOOKUP(D165,'Species Codes'!B:J,9,0)*(LN((E165*2.54)))),IF(OR(D165="PY",D165="RC",D165="WH",D165="NF")=TRUE,VLOOKUP(D165,'Species Codes'!B:I,8,0)+VLOOKUP(D165,'Species Codes'!B:J,9,0)*((E165*2.54)^2)*(I165*0.3048),IF(OR(D165="MD",D165="BM",D165="GA")=TRUE,((VLOOKUP(D165,'Species Codes'!B:I,8,0)*(((((E165*2.54)+VLOOKUP(D165,'Species Codes'!B:J,9,0))/VLOOKUP(D165,'Species Codes'!B:K,10,0))^VLOOKUP(D165,'Species Codes'!B:L,11,0))*((I165*0.3048)^VLOOKUP(D165,'Species Codes'!B:M,12,0))))-(VLOOKUP(D165,'Species Codes'!B:I,8,0)*((((E165*2.54)^VLOOKUP(D165,'Species Codes'!B:L,11,0))*((I165*0.3048)^VLOOKUP(D165,'Species Codes'!B:M,12,0))))))*35.3*VLOOKUP(D165,'Species Codes'!B:G,6,0)/2.2046,VLOOKUP(D165,'Species Codes'!B:I,8,0)+VLOOKUP(D165,'Species Codes'!B:J,9,0)*(((E165*2.54)/100)^2)*(I165*0.3048)))))*0.0011023),0)</f>
        <v>#N/A</v>
      </c>
      <c r="AC165" s="104" t="e">
        <f>IF(Z165&gt;0,((IF(OR(D165="RA",D165="OA",D165="OT",D165="UN",D165="PC"),EXP(VLOOKUP(D165,'Species Codes'!B:O,14,0)+VLOOKUP(D165,'Species Codes'!B:P,15,0)*LN((E165*2.54)))-EXP(VLOOKUP(D165,'Species Codes'!B:O,14,0)+VLOOKUP(D165,'Species Codes'!B:P,15,0)*LN((E165*2.54)))*(1/(VLOOKUP(D165,'Species Codes'!B:Q,16,0)+VLOOKUP(D165,'Species Codes'!B:R,17,0)*((E165*2.54)^VLOOKUP(D165,'Species Codes'!B:S,18,0)))),IF(OR(D165="BM",D165="MD",D165="OA"),EXP(VLOOKUP(D165,'Species Codes'!B:O,14,0)+VLOOKUP(D165,'Species Codes'!B:P,15,0)*LN((E165*2.54)))*(1-(1/(VLOOKUP(D165,'Species Codes'!B:Q,16,0)+VLOOKUP(D165,'Species Codes'!B:R,17,0)*((E165*2.54)^VLOOKUP(D165,'Species Codes'!B:S,18,0)))))/1000,IF(D165="DF",EXP(VLOOKUP(D165,'Species Codes'!B:O,14,0)+VLOOKUP(D165,'Species Codes'!B:P,15,0)*LN((E165*2.54))),VLOOKUP(D165,'Species Codes'!B:O,14,0)+VLOOKUP(D165,'Species Codes'!B:P,15,0)*(((E165*2.54)/100)^2)*(I165*0.3048)))))*0.0011023),0)</f>
        <v>#N/A</v>
      </c>
      <c r="AD165" s="104" t="e">
        <f t="shared" si="64"/>
        <v>#N/A</v>
      </c>
      <c r="AE165" s="104" t="e">
        <f t="shared" si="65"/>
        <v>#N/A</v>
      </c>
      <c r="AF165" s="104" t="e">
        <f>IF(AND(VLOOKUP($D165,Merchantability!$B:$C,2,0)="Yes",$E165&gt;=VLOOKUP($D165,Merchantability!$B:$D,3,0),$E165&lt;=VLOOKUP($D165,Merchantability!$B:$E,4,0)),AA165,0)</f>
        <v>#N/A</v>
      </c>
      <c r="AG165" s="104" t="e">
        <f>IF(AND(VLOOKUP($D165,Merchantability!$B:$C,2,0)="Yes",$E165&gt;=VLOOKUP($D165,Merchantability!$B:$D,3,0),$E165&lt;=VLOOKUP($D165,Merchantability!$B:$E,4,0)),AB165,0)</f>
        <v>#N/A</v>
      </c>
      <c r="AH165" s="104" t="e">
        <f>IF(AND(VLOOKUP($D165,Merchantability!$B:$C,2,0)="Yes",$E165&gt;=VLOOKUP($D165,Merchantability!$B:$D,3,0),$E165&lt;=VLOOKUP($D165,Merchantability!$B:$E,4,0)),AC165,0)</f>
        <v>#N/A</v>
      </c>
      <c r="AI165" s="104" t="e">
        <f t="shared" si="66"/>
        <v>#N/A</v>
      </c>
      <c r="AJ165" s="104" t="e">
        <f t="shared" si="67"/>
        <v>#VALUE!</v>
      </c>
      <c r="AK165" s="104" t="e">
        <f t="shared" si="68"/>
        <v>#N/A</v>
      </c>
      <c r="AL165" s="104" t="e">
        <f t="shared" si="69"/>
        <v>#N/A</v>
      </c>
      <c r="AM165" s="104" t="e">
        <f t="shared" si="70"/>
        <v>#N/A</v>
      </c>
      <c r="AN165" s="104" t="e">
        <f t="shared" si="71"/>
        <v>#N/A</v>
      </c>
      <c r="AO165" s="104" t="e">
        <f t="shared" si="72"/>
        <v>#N/A</v>
      </c>
      <c r="AP165" s="104" t="e">
        <f t="shared" si="73"/>
        <v>#N/A</v>
      </c>
      <c r="AQ165" s="104" t="e">
        <f t="shared" si="74"/>
        <v>#N/A</v>
      </c>
      <c r="AR165" s="105" t="str">
        <f t="shared" si="75"/>
        <v/>
      </c>
      <c r="AS165" s="105" t="str">
        <f t="shared" si="76"/>
        <v/>
      </c>
      <c r="AT165" s="108" t="str">
        <f t="shared" si="77"/>
        <v/>
      </c>
      <c r="AU165" s="108" t="str">
        <f t="shared" si="78"/>
        <v/>
      </c>
      <c r="AV165" s="107" t="str">
        <f>IF(ISNUMBER(O165),IF(VLOOKUP($A165,Stand!C:J,8,FALSE)="Short",AT165,AU165),"")</f>
        <v/>
      </c>
      <c r="AW165" s="109" t="str">
        <f t="shared" si="79"/>
        <v/>
      </c>
      <c r="AX165" s="109" t="str">
        <f t="shared" si="80"/>
        <v/>
      </c>
      <c r="AY165" s="112" t="str">
        <f>IF(ISNUMBER(O165),IF(AND(VLOOKUP($D165,Merchantability!$B:$C,2,0)="Yes",$E165&gt;=VLOOKUP($D165,Merchantability!$B:$D,3,0),$E165&lt;=VLOOKUP($D165,Merchantability!$B:$E,4,0)),(AV165*O165)*(1-$H165/100),""),"")</f>
        <v/>
      </c>
      <c r="AZ165" s="116"/>
      <c r="BA165" s="116"/>
      <c r="BB165" s="116"/>
      <c r="BE165" s="62"/>
      <c r="BF165" s="63"/>
    </row>
    <row r="166" spans="1:58" ht="12.75" customHeight="1" x14ac:dyDescent="0.25">
      <c r="A166" s="384"/>
      <c r="B166" s="380"/>
      <c r="C166" s="381"/>
      <c r="D166" s="380"/>
      <c r="E166" s="382"/>
      <c r="F166" s="331"/>
      <c r="G166" s="329"/>
      <c r="H166" s="329"/>
      <c r="I166" s="380"/>
      <c r="J166" s="381"/>
      <c r="K166" s="329"/>
      <c r="L166" s="329"/>
      <c r="M166" s="76"/>
      <c r="N166" s="103" t="str">
        <f>IF(A166="","",VLOOKUP(A166,Stand!C:K,9,0))</f>
        <v/>
      </c>
      <c r="O166" s="104" t="str">
        <f t="shared" si="54"/>
        <v/>
      </c>
      <c r="P166" s="105" t="str">
        <f t="shared" si="55"/>
        <v/>
      </c>
      <c r="Q166" s="105" t="str">
        <f t="shared" si="56"/>
        <v/>
      </c>
      <c r="R166" s="103" t="str">
        <f t="shared" si="57"/>
        <v/>
      </c>
      <c r="S166" s="103" t="str">
        <f t="shared" si="58"/>
        <v/>
      </c>
      <c r="T166" s="106" t="str">
        <f t="shared" si="59"/>
        <v/>
      </c>
      <c r="U166" s="106" t="str">
        <f t="shared" si="60"/>
        <v/>
      </c>
      <c r="V166" s="106" t="str">
        <f t="shared" si="61"/>
        <v/>
      </c>
      <c r="W166" s="105" t="str">
        <f t="shared" si="62"/>
        <v/>
      </c>
      <c r="X166" s="104" t="str">
        <f t="shared" si="63"/>
        <v/>
      </c>
      <c r="Y166" s="104" t="str">
        <f t="array" ref="Y166">IFERROR(IF(ISNUMBER(O166),IF(COUNT(IF(A166=$A$2:$A$2427,IF(D166=$D$2:$D$2427,IF($X$2:$X$2427&gt;0,1))))&gt;0,SUM(IF(A166=$A$2:$A$2427,IF(D166=$D$2:$D$2427,$X$2:$X$2427)))/COUNT(IF(A166=$A$2:$A$2427,IF(D166=$D$2:$D$2427,IF(ISNUMBER($X$2:$X$2427),1)))),0),""),0)</f>
        <v/>
      </c>
      <c r="Z166" s="104" t="str">
        <f>IF(ISNUMBER(O166),IF(I166&gt;0,(10^(VLOOKUP(D166,'Species Codes'!B:C,2,0)+VLOOKUP(D166,'Species Codes'!B:D,3,0)*LOG(E166)+VLOOKUP(D166,'Species Codes'!B:E,4,0)*LOG(I166))),0),"")</f>
        <v/>
      </c>
      <c r="AA166" s="104" t="str">
        <f>IFERROR((VLOOKUP(D166,'Species Codes'!B:G,6,0)*Z166)/2000,"")</f>
        <v/>
      </c>
      <c r="AB166" s="104" t="e">
        <f>IF(Z166&gt;0,((IF(OR(D166="DF",D166="RA")=TRUE,EXP(VLOOKUP(D166,'Species Codes'!B:I,8,0)+VLOOKUP(D166,'Species Codes'!B:J,9,0)*(LN((E166*2.54)))),IF(OR(D166="PY",D166="RC",D166="WH",D166="NF")=TRUE,VLOOKUP(D166,'Species Codes'!B:I,8,0)+VLOOKUP(D166,'Species Codes'!B:J,9,0)*((E166*2.54)^2)*(I166*0.3048),IF(OR(D166="MD",D166="BM",D166="GA")=TRUE,((VLOOKUP(D166,'Species Codes'!B:I,8,0)*(((((E166*2.54)+VLOOKUP(D166,'Species Codes'!B:J,9,0))/VLOOKUP(D166,'Species Codes'!B:K,10,0))^VLOOKUP(D166,'Species Codes'!B:L,11,0))*((I166*0.3048)^VLOOKUP(D166,'Species Codes'!B:M,12,0))))-(VLOOKUP(D166,'Species Codes'!B:I,8,0)*((((E166*2.54)^VLOOKUP(D166,'Species Codes'!B:L,11,0))*((I166*0.3048)^VLOOKUP(D166,'Species Codes'!B:M,12,0))))))*35.3*VLOOKUP(D166,'Species Codes'!B:G,6,0)/2.2046,VLOOKUP(D166,'Species Codes'!B:I,8,0)+VLOOKUP(D166,'Species Codes'!B:J,9,0)*(((E166*2.54)/100)^2)*(I166*0.3048)))))*0.0011023),0)</f>
        <v>#N/A</v>
      </c>
      <c r="AC166" s="104" t="e">
        <f>IF(Z166&gt;0,((IF(OR(D166="RA",D166="OA",D166="OT",D166="UN",D166="PC"),EXP(VLOOKUP(D166,'Species Codes'!B:O,14,0)+VLOOKUP(D166,'Species Codes'!B:P,15,0)*LN((E166*2.54)))-EXP(VLOOKUP(D166,'Species Codes'!B:O,14,0)+VLOOKUP(D166,'Species Codes'!B:P,15,0)*LN((E166*2.54)))*(1/(VLOOKUP(D166,'Species Codes'!B:Q,16,0)+VLOOKUP(D166,'Species Codes'!B:R,17,0)*((E166*2.54)^VLOOKUP(D166,'Species Codes'!B:S,18,0)))),IF(OR(D166="BM",D166="MD",D166="OA"),EXP(VLOOKUP(D166,'Species Codes'!B:O,14,0)+VLOOKUP(D166,'Species Codes'!B:P,15,0)*LN((E166*2.54)))*(1-(1/(VLOOKUP(D166,'Species Codes'!B:Q,16,0)+VLOOKUP(D166,'Species Codes'!B:R,17,0)*((E166*2.54)^VLOOKUP(D166,'Species Codes'!B:S,18,0)))))/1000,IF(D166="DF",EXP(VLOOKUP(D166,'Species Codes'!B:O,14,0)+VLOOKUP(D166,'Species Codes'!B:P,15,0)*LN((E166*2.54))),VLOOKUP(D166,'Species Codes'!B:O,14,0)+VLOOKUP(D166,'Species Codes'!B:P,15,0)*(((E166*2.54)/100)^2)*(I166*0.3048)))))*0.0011023),0)</f>
        <v>#N/A</v>
      </c>
      <c r="AD166" s="104" t="e">
        <f t="shared" si="64"/>
        <v>#N/A</v>
      </c>
      <c r="AE166" s="104" t="e">
        <f t="shared" si="65"/>
        <v>#N/A</v>
      </c>
      <c r="AF166" s="104" t="e">
        <f>IF(AND(VLOOKUP($D166,Merchantability!$B:$C,2,0)="Yes",$E166&gt;=VLOOKUP($D166,Merchantability!$B:$D,3,0),$E166&lt;=VLOOKUP($D166,Merchantability!$B:$E,4,0)),AA166,0)</f>
        <v>#N/A</v>
      </c>
      <c r="AG166" s="104" t="e">
        <f>IF(AND(VLOOKUP($D166,Merchantability!$B:$C,2,0)="Yes",$E166&gt;=VLOOKUP($D166,Merchantability!$B:$D,3,0),$E166&lt;=VLOOKUP($D166,Merchantability!$B:$E,4,0)),AB166,0)</f>
        <v>#N/A</v>
      </c>
      <c r="AH166" s="104" t="e">
        <f>IF(AND(VLOOKUP($D166,Merchantability!$B:$C,2,0)="Yes",$E166&gt;=VLOOKUP($D166,Merchantability!$B:$D,3,0),$E166&lt;=VLOOKUP($D166,Merchantability!$B:$E,4,0)),AC166,0)</f>
        <v>#N/A</v>
      </c>
      <c r="AI166" s="104" t="e">
        <f t="shared" si="66"/>
        <v>#N/A</v>
      </c>
      <c r="AJ166" s="104" t="e">
        <f t="shared" si="67"/>
        <v>#VALUE!</v>
      </c>
      <c r="AK166" s="104" t="e">
        <f t="shared" si="68"/>
        <v>#N/A</v>
      </c>
      <c r="AL166" s="104" t="e">
        <f t="shared" si="69"/>
        <v>#N/A</v>
      </c>
      <c r="AM166" s="104" t="e">
        <f t="shared" si="70"/>
        <v>#N/A</v>
      </c>
      <c r="AN166" s="104" t="e">
        <f t="shared" si="71"/>
        <v>#N/A</v>
      </c>
      <c r="AO166" s="104" t="e">
        <f t="shared" si="72"/>
        <v>#N/A</v>
      </c>
      <c r="AP166" s="104" t="e">
        <f t="shared" si="73"/>
        <v>#N/A</v>
      </c>
      <c r="AQ166" s="104" t="e">
        <f t="shared" si="74"/>
        <v>#N/A</v>
      </c>
      <c r="AR166" s="105" t="str">
        <f t="shared" si="75"/>
        <v/>
      </c>
      <c r="AS166" s="105" t="str">
        <f t="shared" si="76"/>
        <v/>
      </c>
      <c r="AT166" s="108" t="str">
        <f t="shared" si="77"/>
        <v/>
      </c>
      <c r="AU166" s="108" t="str">
        <f t="shared" si="78"/>
        <v/>
      </c>
      <c r="AV166" s="107" t="str">
        <f>IF(ISNUMBER(O166),IF(VLOOKUP($A166,Stand!C:J,8,FALSE)="Short",AT166,AU166),"")</f>
        <v/>
      </c>
      <c r="AW166" s="109" t="str">
        <f t="shared" si="79"/>
        <v/>
      </c>
      <c r="AX166" s="109" t="str">
        <f t="shared" si="80"/>
        <v/>
      </c>
      <c r="AY166" s="112" t="str">
        <f>IF(ISNUMBER(O166),IF(AND(VLOOKUP($D166,Merchantability!$B:$C,2,0)="Yes",$E166&gt;=VLOOKUP($D166,Merchantability!$B:$D,3,0),$E166&lt;=VLOOKUP($D166,Merchantability!$B:$E,4,0)),(AV166*O166)*(1-$H166/100),""),"")</f>
        <v/>
      </c>
      <c r="AZ166" s="116"/>
      <c r="BA166" s="116"/>
      <c r="BB166" s="116"/>
      <c r="BE166" s="62"/>
      <c r="BF166" s="63"/>
    </row>
    <row r="167" spans="1:58" ht="12.75" customHeight="1" x14ac:dyDescent="0.25">
      <c r="A167" s="384"/>
      <c r="B167" s="380"/>
      <c r="C167" s="381"/>
      <c r="D167" s="380"/>
      <c r="E167" s="382"/>
      <c r="F167" s="331"/>
      <c r="G167" s="329"/>
      <c r="H167" s="329"/>
      <c r="I167" s="380"/>
      <c r="J167" s="381"/>
      <c r="K167" s="329"/>
      <c r="L167" s="329"/>
      <c r="M167" s="76"/>
      <c r="N167" s="103" t="str">
        <f>IF(A167="","",VLOOKUP(A167,Stand!C:K,9,0))</f>
        <v/>
      </c>
      <c r="O167" s="104" t="str">
        <f t="shared" si="54"/>
        <v/>
      </c>
      <c r="P167" s="105" t="str">
        <f t="shared" si="55"/>
        <v/>
      </c>
      <c r="Q167" s="105" t="str">
        <f t="shared" si="56"/>
        <v/>
      </c>
      <c r="R167" s="103" t="str">
        <f t="shared" si="57"/>
        <v/>
      </c>
      <c r="S167" s="103" t="str">
        <f t="shared" si="58"/>
        <v/>
      </c>
      <c r="T167" s="106" t="str">
        <f t="shared" si="59"/>
        <v/>
      </c>
      <c r="U167" s="106" t="str">
        <f t="shared" si="60"/>
        <v/>
      </c>
      <c r="V167" s="106" t="str">
        <f t="shared" si="61"/>
        <v/>
      </c>
      <c r="W167" s="105" t="str">
        <f t="shared" si="62"/>
        <v/>
      </c>
      <c r="X167" s="104" t="str">
        <f t="shared" si="63"/>
        <v/>
      </c>
      <c r="Y167" s="104" t="str">
        <f t="array" ref="Y167">IFERROR(IF(ISNUMBER(O167),IF(COUNT(IF(A167=$A$2:$A$2427,IF(D167=$D$2:$D$2427,IF($X$2:$X$2427&gt;0,1))))&gt;0,SUM(IF(A167=$A$2:$A$2427,IF(D167=$D$2:$D$2427,$X$2:$X$2427)))/COUNT(IF(A167=$A$2:$A$2427,IF(D167=$D$2:$D$2427,IF(ISNUMBER($X$2:$X$2427),1)))),0),""),0)</f>
        <v/>
      </c>
      <c r="Z167" s="104" t="str">
        <f>IF(ISNUMBER(O167),IF(I167&gt;0,(10^(VLOOKUP(D167,'Species Codes'!B:C,2,0)+VLOOKUP(D167,'Species Codes'!B:D,3,0)*LOG(E167)+VLOOKUP(D167,'Species Codes'!B:E,4,0)*LOG(I167))),0),"")</f>
        <v/>
      </c>
      <c r="AA167" s="104" t="str">
        <f>IFERROR((VLOOKUP(D167,'Species Codes'!B:G,6,0)*Z167)/2000,"")</f>
        <v/>
      </c>
      <c r="AB167" s="104" t="e">
        <f>IF(Z167&gt;0,((IF(OR(D167="DF",D167="RA")=TRUE,EXP(VLOOKUP(D167,'Species Codes'!B:I,8,0)+VLOOKUP(D167,'Species Codes'!B:J,9,0)*(LN((E167*2.54)))),IF(OR(D167="PY",D167="RC",D167="WH",D167="NF")=TRUE,VLOOKUP(D167,'Species Codes'!B:I,8,0)+VLOOKUP(D167,'Species Codes'!B:J,9,0)*((E167*2.54)^2)*(I167*0.3048),IF(OR(D167="MD",D167="BM",D167="GA")=TRUE,((VLOOKUP(D167,'Species Codes'!B:I,8,0)*(((((E167*2.54)+VLOOKUP(D167,'Species Codes'!B:J,9,0))/VLOOKUP(D167,'Species Codes'!B:K,10,0))^VLOOKUP(D167,'Species Codes'!B:L,11,0))*((I167*0.3048)^VLOOKUP(D167,'Species Codes'!B:M,12,0))))-(VLOOKUP(D167,'Species Codes'!B:I,8,0)*((((E167*2.54)^VLOOKUP(D167,'Species Codes'!B:L,11,0))*((I167*0.3048)^VLOOKUP(D167,'Species Codes'!B:M,12,0))))))*35.3*VLOOKUP(D167,'Species Codes'!B:G,6,0)/2.2046,VLOOKUP(D167,'Species Codes'!B:I,8,0)+VLOOKUP(D167,'Species Codes'!B:J,9,0)*(((E167*2.54)/100)^2)*(I167*0.3048)))))*0.0011023),0)</f>
        <v>#N/A</v>
      </c>
      <c r="AC167" s="104" t="e">
        <f>IF(Z167&gt;0,((IF(OR(D167="RA",D167="OA",D167="OT",D167="UN",D167="PC"),EXP(VLOOKUP(D167,'Species Codes'!B:O,14,0)+VLOOKUP(D167,'Species Codes'!B:P,15,0)*LN((E167*2.54)))-EXP(VLOOKUP(D167,'Species Codes'!B:O,14,0)+VLOOKUP(D167,'Species Codes'!B:P,15,0)*LN((E167*2.54)))*(1/(VLOOKUP(D167,'Species Codes'!B:Q,16,0)+VLOOKUP(D167,'Species Codes'!B:R,17,0)*((E167*2.54)^VLOOKUP(D167,'Species Codes'!B:S,18,0)))),IF(OR(D167="BM",D167="MD",D167="OA"),EXP(VLOOKUP(D167,'Species Codes'!B:O,14,0)+VLOOKUP(D167,'Species Codes'!B:P,15,0)*LN((E167*2.54)))*(1-(1/(VLOOKUP(D167,'Species Codes'!B:Q,16,0)+VLOOKUP(D167,'Species Codes'!B:R,17,0)*((E167*2.54)^VLOOKUP(D167,'Species Codes'!B:S,18,0)))))/1000,IF(D167="DF",EXP(VLOOKUP(D167,'Species Codes'!B:O,14,0)+VLOOKUP(D167,'Species Codes'!B:P,15,0)*LN((E167*2.54))),VLOOKUP(D167,'Species Codes'!B:O,14,0)+VLOOKUP(D167,'Species Codes'!B:P,15,0)*(((E167*2.54)/100)^2)*(I167*0.3048)))))*0.0011023),0)</f>
        <v>#N/A</v>
      </c>
      <c r="AD167" s="104" t="e">
        <f t="shared" si="64"/>
        <v>#N/A</v>
      </c>
      <c r="AE167" s="104" t="e">
        <f t="shared" si="65"/>
        <v>#N/A</v>
      </c>
      <c r="AF167" s="104" t="e">
        <f>IF(AND(VLOOKUP($D167,Merchantability!$B:$C,2,0)="Yes",$E167&gt;=VLOOKUP($D167,Merchantability!$B:$D,3,0),$E167&lt;=VLOOKUP($D167,Merchantability!$B:$E,4,0)),AA167,0)</f>
        <v>#N/A</v>
      </c>
      <c r="AG167" s="104" t="e">
        <f>IF(AND(VLOOKUP($D167,Merchantability!$B:$C,2,0)="Yes",$E167&gt;=VLOOKUP($D167,Merchantability!$B:$D,3,0),$E167&lt;=VLOOKUP($D167,Merchantability!$B:$E,4,0)),AB167,0)</f>
        <v>#N/A</v>
      </c>
      <c r="AH167" s="104" t="e">
        <f>IF(AND(VLOOKUP($D167,Merchantability!$B:$C,2,0)="Yes",$E167&gt;=VLOOKUP($D167,Merchantability!$B:$D,3,0),$E167&lt;=VLOOKUP($D167,Merchantability!$B:$E,4,0)),AC167,0)</f>
        <v>#N/A</v>
      </c>
      <c r="AI167" s="104" t="e">
        <f t="shared" si="66"/>
        <v>#N/A</v>
      </c>
      <c r="AJ167" s="104" t="e">
        <f t="shared" si="67"/>
        <v>#VALUE!</v>
      </c>
      <c r="AK167" s="104" t="e">
        <f t="shared" si="68"/>
        <v>#N/A</v>
      </c>
      <c r="AL167" s="104" t="e">
        <f t="shared" si="69"/>
        <v>#N/A</v>
      </c>
      <c r="AM167" s="104" t="e">
        <f t="shared" si="70"/>
        <v>#N/A</v>
      </c>
      <c r="AN167" s="104" t="e">
        <f t="shared" si="71"/>
        <v>#N/A</v>
      </c>
      <c r="AO167" s="104" t="e">
        <f t="shared" si="72"/>
        <v>#N/A</v>
      </c>
      <c r="AP167" s="104" t="e">
        <f t="shared" si="73"/>
        <v>#N/A</v>
      </c>
      <c r="AQ167" s="104" t="e">
        <f t="shared" si="74"/>
        <v>#N/A</v>
      </c>
      <c r="AR167" s="105" t="str">
        <f t="shared" si="75"/>
        <v/>
      </c>
      <c r="AS167" s="105" t="str">
        <f t="shared" si="76"/>
        <v/>
      </c>
      <c r="AT167" s="108" t="str">
        <f t="shared" si="77"/>
        <v/>
      </c>
      <c r="AU167" s="108" t="str">
        <f t="shared" si="78"/>
        <v/>
      </c>
      <c r="AV167" s="107" t="str">
        <f>IF(ISNUMBER(O167),IF(VLOOKUP($A167,Stand!C:J,8,FALSE)="Short",AT167,AU167),"")</f>
        <v/>
      </c>
      <c r="AW167" s="109" t="str">
        <f t="shared" si="79"/>
        <v/>
      </c>
      <c r="AX167" s="109" t="str">
        <f t="shared" si="80"/>
        <v/>
      </c>
      <c r="AY167" s="112" t="str">
        <f>IF(ISNUMBER(O167),IF(AND(VLOOKUP($D167,Merchantability!$B:$C,2,0)="Yes",$E167&gt;=VLOOKUP($D167,Merchantability!$B:$D,3,0),$E167&lt;=VLOOKUP($D167,Merchantability!$B:$E,4,0)),(AV167*O167)*(1-$H167/100),""),"")</f>
        <v/>
      </c>
      <c r="AZ167" s="116"/>
      <c r="BA167" s="116"/>
      <c r="BB167" s="116"/>
      <c r="BE167" s="62"/>
      <c r="BF167" s="63"/>
    </row>
    <row r="168" spans="1:58" ht="12.75" customHeight="1" x14ac:dyDescent="0.25">
      <c r="A168" s="384"/>
      <c r="B168" s="380"/>
      <c r="C168" s="381"/>
      <c r="D168" s="380"/>
      <c r="E168" s="382"/>
      <c r="F168" s="331"/>
      <c r="G168" s="329"/>
      <c r="H168" s="329"/>
      <c r="I168" s="380"/>
      <c r="J168" s="381"/>
      <c r="K168" s="329"/>
      <c r="L168" s="329"/>
      <c r="M168" s="76"/>
      <c r="N168" s="103" t="str">
        <f>IF(A168="","",VLOOKUP(A168,Stand!C:K,9,0))</f>
        <v/>
      </c>
      <c r="O168" s="104" t="str">
        <f t="shared" si="54"/>
        <v/>
      </c>
      <c r="P168" s="105" t="str">
        <f t="shared" si="55"/>
        <v/>
      </c>
      <c r="Q168" s="105" t="str">
        <f t="shared" si="56"/>
        <v/>
      </c>
      <c r="R168" s="103" t="str">
        <f t="shared" si="57"/>
        <v/>
      </c>
      <c r="S168" s="103" t="str">
        <f t="shared" si="58"/>
        <v/>
      </c>
      <c r="T168" s="106" t="str">
        <f t="shared" si="59"/>
        <v/>
      </c>
      <c r="U168" s="106" t="str">
        <f t="shared" si="60"/>
        <v/>
      </c>
      <c r="V168" s="106" t="str">
        <f t="shared" si="61"/>
        <v/>
      </c>
      <c r="W168" s="105" t="str">
        <f t="shared" si="62"/>
        <v/>
      </c>
      <c r="X168" s="104" t="str">
        <f t="shared" si="63"/>
        <v/>
      </c>
      <c r="Y168" s="104" t="str">
        <f t="array" ref="Y168">IFERROR(IF(ISNUMBER(O168),IF(COUNT(IF(A168=$A$2:$A$2427,IF(D168=$D$2:$D$2427,IF($X$2:$X$2427&gt;0,1))))&gt;0,SUM(IF(A168=$A$2:$A$2427,IF(D168=$D$2:$D$2427,$X$2:$X$2427)))/COUNT(IF(A168=$A$2:$A$2427,IF(D168=$D$2:$D$2427,IF(ISNUMBER($X$2:$X$2427),1)))),0),""),0)</f>
        <v/>
      </c>
      <c r="Z168" s="104" t="str">
        <f>IF(ISNUMBER(O168),IF(I168&gt;0,(10^(VLOOKUP(D168,'Species Codes'!B:C,2,0)+VLOOKUP(D168,'Species Codes'!B:D,3,0)*LOG(E168)+VLOOKUP(D168,'Species Codes'!B:E,4,0)*LOG(I168))),0),"")</f>
        <v/>
      </c>
      <c r="AA168" s="104" t="str">
        <f>IFERROR((VLOOKUP(D168,'Species Codes'!B:G,6,0)*Z168)/2000,"")</f>
        <v/>
      </c>
      <c r="AB168" s="104" t="e">
        <f>IF(Z168&gt;0,((IF(OR(D168="DF",D168="RA")=TRUE,EXP(VLOOKUP(D168,'Species Codes'!B:I,8,0)+VLOOKUP(D168,'Species Codes'!B:J,9,0)*(LN((E168*2.54)))),IF(OR(D168="PY",D168="RC",D168="WH",D168="NF")=TRUE,VLOOKUP(D168,'Species Codes'!B:I,8,0)+VLOOKUP(D168,'Species Codes'!B:J,9,0)*((E168*2.54)^2)*(I168*0.3048),IF(OR(D168="MD",D168="BM",D168="GA")=TRUE,((VLOOKUP(D168,'Species Codes'!B:I,8,0)*(((((E168*2.54)+VLOOKUP(D168,'Species Codes'!B:J,9,0))/VLOOKUP(D168,'Species Codes'!B:K,10,0))^VLOOKUP(D168,'Species Codes'!B:L,11,0))*((I168*0.3048)^VLOOKUP(D168,'Species Codes'!B:M,12,0))))-(VLOOKUP(D168,'Species Codes'!B:I,8,0)*((((E168*2.54)^VLOOKUP(D168,'Species Codes'!B:L,11,0))*((I168*0.3048)^VLOOKUP(D168,'Species Codes'!B:M,12,0))))))*35.3*VLOOKUP(D168,'Species Codes'!B:G,6,0)/2.2046,VLOOKUP(D168,'Species Codes'!B:I,8,0)+VLOOKUP(D168,'Species Codes'!B:J,9,0)*(((E168*2.54)/100)^2)*(I168*0.3048)))))*0.0011023),0)</f>
        <v>#N/A</v>
      </c>
      <c r="AC168" s="104" t="e">
        <f>IF(Z168&gt;0,((IF(OR(D168="RA",D168="OA",D168="OT",D168="UN",D168="PC"),EXP(VLOOKUP(D168,'Species Codes'!B:O,14,0)+VLOOKUP(D168,'Species Codes'!B:P,15,0)*LN((E168*2.54)))-EXP(VLOOKUP(D168,'Species Codes'!B:O,14,0)+VLOOKUP(D168,'Species Codes'!B:P,15,0)*LN((E168*2.54)))*(1/(VLOOKUP(D168,'Species Codes'!B:Q,16,0)+VLOOKUP(D168,'Species Codes'!B:R,17,0)*((E168*2.54)^VLOOKUP(D168,'Species Codes'!B:S,18,0)))),IF(OR(D168="BM",D168="MD",D168="OA"),EXP(VLOOKUP(D168,'Species Codes'!B:O,14,0)+VLOOKUP(D168,'Species Codes'!B:P,15,0)*LN((E168*2.54)))*(1-(1/(VLOOKUP(D168,'Species Codes'!B:Q,16,0)+VLOOKUP(D168,'Species Codes'!B:R,17,0)*((E168*2.54)^VLOOKUP(D168,'Species Codes'!B:S,18,0)))))/1000,IF(D168="DF",EXP(VLOOKUP(D168,'Species Codes'!B:O,14,0)+VLOOKUP(D168,'Species Codes'!B:P,15,0)*LN((E168*2.54))),VLOOKUP(D168,'Species Codes'!B:O,14,0)+VLOOKUP(D168,'Species Codes'!B:P,15,0)*(((E168*2.54)/100)^2)*(I168*0.3048)))))*0.0011023),0)</f>
        <v>#N/A</v>
      </c>
      <c r="AD168" s="104" t="e">
        <f t="shared" si="64"/>
        <v>#N/A</v>
      </c>
      <c r="AE168" s="104" t="e">
        <f t="shared" si="65"/>
        <v>#N/A</v>
      </c>
      <c r="AF168" s="104" t="e">
        <f>IF(AND(VLOOKUP($D168,Merchantability!$B:$C,2,0)="Yes",$E168&gt;=VLOOKUP($D168,Merchantability!$B:$D,3,0),$E168&lt;=VLOOKUP($D168,Merchantability!$B:$E,4,0)),AA168,0)</f>
        <v>#N/A</v>
      </c>
      <c r="AG168" s="104" t="e">
        <f>IF(AND(VLOOKUP($D168,Merchantability!$B:$C,2,0)="Yes",$E168&gt;=VLOOKUP($D168,Merchantability!$B:$D,3,0),$E168&lt;=VLOOKUP($D168,Merchantability!$B:$E,4,0)),AB168,0)</f>
        <v>#N/A</v>
      </c>
      <c r="AH168" s="104" t="e">
        <f>IF(AND(VLOOKUP($D168,Merchantability!$B:$C,2,0)="Yes",$E168&gt;=VLOOKUP($D168,Merchantability!$B:$D,3,0),$E168&lt;=VLOOKUP($D168,Merchantability!$B:$E,4,0)),AC168,0)</f>
        <v>#N/A</v>
      </c>
      <c r="AI168" s="104" t="e">
        <f t="shared" si="66"/>
        <v>#N/A</v>
      </c>
      <c r="AJ168" s="104" t="e">
        <f t="shared" si="67"/>
        <v>#VALUE!</v>
      </c>
      <c r="AK168" s="104" t="e">
        <f t="shared" si="68"/>
        <v>#N/A</v>
      </c>
      <c r="AL168" s="104" t="e">
        <f t="shared" si="69"/>
        <v>#N/A</v>
      </c>
      <c r="AM168" s="104" t="e">
        <f t="shared" si="70"/>
        <v>#N/A</v>
      </c>
      <c r="AN168" s="104" t="e">
        <f t="shared" si="71"/>
        <v>#N/A</v>
      </c>
      <c r="AO168" s="104" t="e">
        <f t="shared" si="72"/>
        <v>#N/A</v>
      </c>
      <c r="AP168" s="104" t="e">
        <f t="shared" si="73"/>
        <v>#N/A</v>
      </c>
      <c r="AQ168" s="104" t="e">
        <f t="shared" si="74"/>
        <v>#N/A</v>
      </c>
      <c r="AR168" s="105" t="str">
        <f t="shared" si="75"/>
        <v/>
      </c>
      <c r="AS168" s="105" t="str">
        <f t="shared" si="76"/>
        <v/>
      </c>
      <c r="AT168" s="108" t="str">
        <f t="shared" si="77"/>
        <v/>
      </c>
      <c r="AU168" s="108" t="str">
        <f t="shared" si="78"/>
        <v/>
      </c>
      <c r="AV168" s="107" t="str">
        <f>IF(ISNUMBER(O168),IF(VLOOKUP($A168,Stand!C:J,8,FALSE)="Short",AT168,AU168),"")</f>
        <v/>
      </c>
      <c r="AW168" s="109" t="str">
        <f t="shared" si="79"/>
        <v/>
      </c>
      <c r="AX168" s="109" t="str">
        <f t="shared" si="80"/>
        <v/>
      </c>
      <c r="AY168" s="112" t="str">
        <f>IF(ISNUMBER(O168),IF(AND(VLOOKUP($D168,Merchantability!$B:$C,2,0)="Yes",$E168&gt;=VLOOKUP($D168,Merchantability!$B:$D,3,0),$E168&lt;=VLOOKUP($D168,Merchantability!$B:$E,4,0)),(AV168*O168)*(1-$H168/100),""),"")</f>
        <v/>
      </c>
      <c r="AZ168" s="116"/>
      <c r="BA168" s="116"/>
      <c r="BB168" s="116"/>
      <c r="BE168" s="62"/>
      <c r="BF168" s="63"/>
    </row>
    <row r="169" spans="1:58" ht="12.75" customHeight="1" x14ac:dyDescent="0.25">
      <c r="A169" s="384"/>
      <c r="B169" s="380"/>
      <c r="C169" s="381"/>
      <c r="D169" s="380"/>
      <c r="E169" s="382"/>
      <c r="F169" s="331"/>
      <c r="G169" s="329"/>
      <c r="H169" s="329"/>
      <c r="I169" s="380"/>
      <c r="J169" s="381"/>
      <c r="K169" s="329"/>
      <c r="L169" s="329"/>
      <c r="M169" s="76"/>
      <c r="N169" s="103" t="str">
        <f>IF(A169="","",VLOOKUP(A169,Stand!C:K,9,0))</f>
        <v/>
      </c>
      <c r="O169" s="104" t="str">
        <f t="shared" si="54"/>
        <v/>
      </c>
      <c r="P169" s="105" t="str">
        <f t="shared" si="55"/>
        <v/>
      </c>
      <c r="Q169" s="105" t="str">
        <f t="shared" si="56"/>
        <v/>
      </c>
      <c r="R169" s="103" t="str">
        <f t="shared" si="57"/>
        <v/>
      </c>
      <c r="S169" s="103" t="str">
        <f t="shared" si="58"/>
        <v/>
      </c>
      <c r="T169" s="106" t="str">
        <f t="shared" si="59"/>
        <v/>
      </c>
      <c r="U169" s="106" t="str">
        <f t="shared" si="60"/>
        <v/>
      </c>
      <c r="V169" s="106" t="str">
        <f t="shared" si="61"/>
        <v/>
      </c>
      <c r="W169" s="105" t="str">
        <f t="shared" si="62"/>
        <v/>
      </c>
      <c r="X169" s="104" t="str">
        <f t="shared" si="63"/>
        <v/>
      </c>
      <c r="Y169" s="104" t="str">
        <f t="array" ref="Y169">IFERROR(IF(ISNUMBER(O169),IF(COUNT(IF(A169=$A$2:$A$2427,IF(D169=$D$2:$D$2427,IF($X$2:$X$2427&gt;0,1))))&gt;0,SUM(IF(A169=$A$2:$A$2427,IF(D169=$D$2:$D$2427,$X$2:$X$2427)))/COUNT(IF(A169=$A$2:$A$2427,IF(D169=$D$2:$D$2427,IF(ISNUMBER($X$2:$X$2427),1)))),0),""),0)</f>
        <v/>
      </c>
      <c r="Z169" s="104" t="str">
        <f>IF(ISNUMBER(O169),IF(I169&gt;0,(10^(VLOOKUP(D169,'Species Codes'!B:C,2,0)+VLOOKUP(D169,'Species Codes'!B:D,3,0)*LOG(E169)+VLOOKUP(D169,'Species Codes'!B:E,4,0)*LOG(I169))),0),"")</f>
        <v/>
      </c>
      <c r="AA169" s="104" t="str">
        <f>IFERROR((VLOOKUP(D169,'Species Codes'!B:G,6,0)*Z169)/2000,"")</f>
        <v/>
      </c>
      <c r="AB169" s="104" t="e">
        <f>IF(Z169&gt;0,((IF(OR(D169="DF",D169="RA")=TRUE,EXP(VLOOKUP(D169,'Species Codes'!B:I,8,0)+VLOOKUP(D169,'Species Codes'!B:J,9,0)*(LN((E169*2.54)))),IF(OR(D169="PY",D169="RC",D169="WH",D169="NF")=TRUE,VLOOKUP(D169,'Species Codes'!B:I,8,0)+VLOOKUP(D169,'Species Codes'!B:J,9,0)*((E169*2.54)^2)*(I169*0.3048),IF(OR(D169="MD",D169="BM",D169="GA")=TRUE,((VLOOKUP(D169,'Species Codes'!B:I,8,0)*(((((E169*2.54)+VLOOKUP(D169,'Species Codes'!B:J,9,0))/VLOOKUP(D169,'Species Codes'!B:K,10,0))^VLOOKUP(D169,'Species Codes'!B:L,11,0))*((I169*0.3048)^VLOOKUP(D169,'Species Codes'!B:M,12,0))))-(VLOOKUP(D169,'Species Codes'!B:I,8,0)*((((E169*2.54)^VLOOKUP(D169,'Species Codes'!B:L,11,0))*((I169*0.3048)^VLOOKUP(D169,'Species Codes'!B:M,12,0))))))*35.3*VLOOKUP(D169,'Species Codes'!B:G,6,0)/2.2046,VLOOKUP(D169,'Species Codes'!B:I,8,0)+VLOOKUP(D169,'Species Codes'!B:J,9,0)*(((E169*2.54)/100)^2)*(I169*0.3048)))))*0.0011023),0)</f>
        <v>#N/A</v>
      </c>
      <c r="AC169" s="104" t="e">
        <f>IF(Z169&gt;0,((IF(OR(D169="RA",D169="OA",D169="OT",D169="UN",D169="PC"),EXP(VLOOKUP(D169,'Species Codes'!B:O,14,0)+VLOOKUP(D169,'Species Codes'!B:P,15,0)*LN((E169*2.54)))-EXP(VLOOKUP(D169,'Species Codes'!B:O,14,0)+VLOOKUP(D169,'Species Codes'!B:P,15,0)*LN((E169*2.54)))*(1/(VLOOKUP(D169,'Species Codes'!B:Q,16,0)+VLOOKUP(D169,'Species Codes'!B:R,17,0)*((E169*2.54)^VLOOKUP(D169,'Species Codes'!B:S,18,0)))),IF(OR(D169="BM",D169="MD",D169="OA"),EXP(VLOOKUP(D169,'Species Codes'!B:O,14,0)+VLOOKUP(D169,'Species Codes'!B:P,15,0)*LN((E169*2.54)))*(1-(1/(VLOOKUP(D169,'Species Codes'!B:Q,16,0)+VLOOKUP(D169,'Species Codes'!B:R,17,0)*((E169*2.54)^VLOOKUP(D169,'Species Codes'!B:S,18,0)))))/1000,IF(D169="DF",EXP(VLOOKUP(D169,'Species Codes'!B:O,14,0)+VLOOKUP(D169,'Species Codes'!B:P,15,0)*LN((E169*2.54))),VLOOKUP(D169,'Species Codes'!B:O,14,0)+VLOOKUP(D169,'Species Codes'!B:P,15,0)*(((E169*2.54)/100)^2)*(I169*0.3048)))))*0.0011023),0)</f>
        <v>#N/A</v>
      </c>
      <c r="AD169" s="104" t="e">
        <f t="shared" si="64"/>
        <v>#N/A</v>
      </c>
      <c r="AE169" s="104" t="e">
        <f t="shared" si="65"/>
        <v>#N/A</v>
      </c>
      <c r="AF169" s="104" t="e">
        <f>IF(AND(VLOOKUP($D169,Merchantability!$B:$C,2,0)="Yes",$E169&gt;=VLOOKUP($D169,Merchantability!$B:$D,3,0),$E169&lt;=VLOOKUP($D169,Merchantability!$B:$E,4,0)),AA169,0)</f>
        <v>#N/A</v>
      </c>
      <c r="AG169" s="104" t="e">
        <f>IF(AND(VLOOKUP($D169,Merchantability!$B:$C,2,0)="Yes",$E169&gt;=VLOOKUP($D169,Merchantability!$B:$D,3,0),$E169&lt;=VLOOKUP($D169,Merchantability!$B:$E,4,0)),AB169,0)</f>
        <v>#N/A</v>
      </c>
      <c r="AH169" s="104" t="e">
        <f>IF(AND(VLOOKUP($D169,Merchantability!$B:$C,2,0)="Yes",$E169&gt;=VLOOKUP($D169,Merchantability!$B:$D,3,0),$E169&lt;=VLOOKUP($D169,Merchantability!$B:$E,4,0)),AC169,0)</f>
        <v>#N/A</v>
      </c>
      <c r="AI169" s="104" t="e">
        <f t="shared" si="66"/>
        <v>#N/A</v>
      </c>
      <c r="AJ169" s="104" t="e">
        <f t="shared" si="67"/>
        <v>#VALUE!</v>
      </c>
      <c r="AK169" s="104" t="e">
        <f t="shared" si="68"/>
        <v>#N/A</v>
      </c>
      <c r="AL169" s="104" t="e">
        <f t="shared" si="69"/>
        <v>#N/A</v>
      </c>
      <c r="AM169" s="104" t="e">
        <f t="shared" si="70"/>
        <v>#N/A</v>
      </c>
      <c r="AN169" s="104" t="e">
        <f t="shared" si="71"/>
        <v>#N/A</v>
      </c>
      <c r="AO169" s="104" t="e">
        <f t="shared" si="72"/>
        <v>#N/A</v>
      </c>
      <c r="AP169" s="104" t="e">
        <f t="shared" si="73"/>
        <v>#N/A</v>
      </c>
      <c r="AQ169" s="104" t="e">
        <f t="shared" si="74"/>
        <v>#N/A</v>
      </c>
      <c r="AR169" s="105" t="str">
        <f t="shared" si="75"/>
        <v/>
      </c>
      <c r="AS169" s="105" t="str">
        <f t="shared" si="76"/>
        <v/>
      </c>
      <c r="AT169" s="108" t="str">
        <f t="shared" si="77"/>
        <v/>
      </c>
      <c r="AU169" s="108" t="str">
        <f t="shared" si="78"/>
        <v/>
      </c>
      <c r="AV169" s="107" t="str">
        <f>IF(ISNUMBER(O169),IF(VLOOKUP($A169,Stand!C:J,8,FALSE)="Short",AT169,AU169),"")</f>
        <v/>
      </c>
      <c r="AW169" s="109" t="str">
        <f t="shared" si="79"/>
        <v/>
      </c>
      <c r="AX169" s="109" t="str">
        <f t="shared" si="80"/>
        <v/>
      </c>
      <c r="AY169" s="112" t="str">
        <f>IF(ISNUMBER(O169),IF(AND(VLOOKUP($D169,Merchantability!$B:$C,2,0)="Yes",$E169&gt;=VLOOKUP($D169,Merchantability!$B:$D,3,0),$E169&lt;=VLOOKUP($D169,Merchantability!$B:$E,4,0)),(AV169*O169)*(1-$H169/100),""),"")</f>
        <v/>
      </c>
      <c r="AZ169" s="116"/>
      <c r="BA169" s="116"/>
      <c r="BB169" s="116"/>
      <c r="BE169" s="62"/>
      <c r="BF169" s="63"/>
    </row>
    <row r="170" spans="1:58" ht="12.75" customHeight="1" x14ac:dyDescent="0.25">
      <c r="A170" s="384"/>
      <c r="B170" s="380"/>
      <c r="C170" s="381"/>
      <c r="D170" s="380"/>
      <c r="E170" s="382"/>
      <c r="F170" s="331"/>
      <c r="G170" s="329"/>
      <c r="H170" s="329"/>
      <c r="I170" s="380"/>
      <c r="J170" s="381"/>
      <c r="K170" s="329"/>
      <c r="L170" s="329"/>
      <c r="M170" s="76"/>
      <c r="N170" s="103" t="str">
        <f>IF(A170="","",VLOOKUP(A170,Stand!C:K,9,0))</f>
        <v/>
      </c>
      <c r="O170" s="104" t="str">
        <f t="shared" si="54"/>
        <v/>
      </c>
      <c r="P170" s="105" t="str">
        <f t="shared" si="55"/>
        <v/>
      </c>
      <c r="Q170" s="105" t="str">
        <f t="shared" si="56"/>
        <v/>
      </c>
      <c r="R170" s="103" t="str">
        <f t="shared" si="57"/>
        <v/>
      </c>
      <c r="S170" s="103" t="str">
        <f t="shared" si="58"/>
        <v/>
      </c>
      <c r="T170" s="106" t="str">
        <f t="shared" si="59"/>
        <v/>
      </c>
      <c r="U170" s="106" t="str">
        <f t="shared" si="60"/>
        <v/>
      </c>
      <c r="V170" s="106" t="str">
        <f t="shared" si="61"/>
        <v/>
      </c>
      <c r="W170" s="105" t="str">
        <f t="shared" si="62"/>
        <v/>
      </c>
      <c r="X170" s="104" t="str">
        <f t="shared" si="63"/>
        <v/>
      </c>
      <c r="Y170" s="104" t="str">
        <f t="array" ref="Y170">IFERROR(IF(ISNUMBER(O170),IF(COUNT(IF(A170=$A$2:$A$2427,IF(D170=$D$2:$D$2427,IF($X$2:$X$2427&gt;0,1))))&gt;0,SUM(IF(A170=$A$2:$A$2427,IF(D170=$D$2:$D$2427,$X$2:$X$2427)))/COUNT(IF(A170=$A$2:$A$2427,IF(D170=$D$2:$D$2427,IF(ISNUMBER($X$2:$X$2427),1)))),0),""),0)</f>
        <v/>
      </c>
      <c r="Z170" s="104" t="str">
        <f>IF(ISNUMBER(O170),IF(I170&gt;0,(10^(VLOOKUP(D170,'Species Codes'!B:C,2,0)+VLOOKUP(D170,'Species Codes'!B:D,3,0)*LOG(E170)+VLOOKUP(D170,'Species Codes'!B:E,4,0)*LOG(I170))),0),"")</f>
        <v/>
      </c>
      <c r="AA170" s="104" t="str">
        <f>IFERROR((VLOOKUP(D170,'Species Codes'!B:G,6,0)*Z170)/2000,"")</f>
        <v/>
      </c>
      <c r="AB170" s="104" t="e">
        <f>IF(Z170&gt;0,((IF(OR(D170="DF",D170="RA")=TRUE,EXP(VLOOKUP(D170,'Species Codes'!B:I,8,0)+VLOOKUP(D170,'Species Codes'!B:J,9,0)*(LN((E170*2.54)))),IF(OR(D170="PY",D170="RC",D170="WH",D170="NF")=TRUE,VLOOKUP(D170,'Species Codes'!B:I,8,0)+VLOOKUP(D170,'Species Codes'!B:J,9,0)*((E170*2.54)^2)*(I170*0.3048),IF(OR(D170="MD",D170="BM",D170="GA")=TRUE,((VLOOKUP(D170,'Species Codes'!B:I,8,0)*(((((E170*2.54)+VLOOKUP(D170,'Species Codes'!B:J,9,0))/VLOOKUP(D170,'Species Codes'!B:K,10,0))^VLOOKUP(D170,'Species Codes'!B:L,11,0))*((I170*0.3048)^VLOOKUP(D170,'Species Codes'!B:M,12,0))))-(VLOOKUP(D170,'Species Codes'!B:I,8,0)*((((E170*2.54)^VLOOKUP(D170,'Species Codes'!B:L,11,0))*((I170*0.3048)^VLOOKUP(D170,'Species Codes'!B:M,12,0))))))*35.3*VLOOKUP(D170,'Species Codes'!B:G,6,0)/2.2046,VLOOKUP(D170,'Species Codes'!B:I,8,0)+VLOOKUP(D170,'Species Codes'!B:J,9,0)*(((E170*2.54)/100)^2)*(I170*0.3048)))))*0.0011023),0)</f>
        <v>#N/A</v>
      </c>
      <c r="AC170" s="104" t="e">
        <f>IF(Z170&gt;0,((IF(OR(D170="RA",D170="OA",D170="OT",D170="UN",D170="PC"),EXP(VLOOKUP(D170,'Species Codes'!B:O,14,0)+VLOOKUP(D170,'Species Codes'!B:P,15,0)*LN((E170*2.54)))-EXP(VLOOKUP(D170,'Species Codes'!B:O,14,0)+VLOOKUP(D170,'Species Codes'!B:P,15,0)*LN((E170*2.54)))*(1/(VLOOKUP(D170,'Species Codes'!B:Q,16,0)+VLOOKUP(D170,'Species Codes'!B:R,17,0)*((E170*2.54)^VLOOKUP(D170,'Species Codes'!B:S,18,0)))),IF(OR(D170="BM",D170="MD",D170="OA"),EXP(VLOOKUP(D170,'Species Codes'!B:O,14,0)+VLOOKUP(D170,'Species Codes'!B:P,15,0)*LN((E170*2.54)))*(1-(1/(VLOOKUP(D170,'Species Codes'!B:Q,16,0)+VLOOKUP(D170,'Species Codes'!B:R,17,0)*((E170*2.54)^VLOOKUP(D170,'Species Codes'!B:S,18,0)))))/1000,IF(D170="DF",EXP(VLOOKUP(D170,'Species Codes'!B:O,14,0)+VLOOKUP(D170,'Species Codes'!B:P,15,0)*LN((E170*2.54))),VLOOKUP(D170,'Species Codes'!B:O,14,0)+VLOOKUP(D170,'Species Codes'!B:P,15,0)*(((E170*2.54)/100)^2)*(I170*0.3048)))))*0.0011023),0)</f>
        <v>#N/A</v>
      </c>
      <c r="AD170" s="104" t="e">
        <f t="shared" si="64"/>
        <v>#N/A</v>
      </c>
      <c r="AE170" s="104" t="e">
        <f t="shared" si="65"/>
        <v>#N/A</v>
      </c>
      <c r="AF170" s="104" t="e">
        <f>IF(AND(VLOOKUP($D170,Merchantability!$B:$C,2,0)="Yes",$E170&gt;=VLOOKUP($D170,Merchantability!$B:$D,3,0),$E170&lt;=VLOOKUP($D170,Merchantability!$B:$E,4,0)),AA170,0)</f>
        <v>#N/A</v>
      </c>
      <c r="AG170" s="104" t="e">
        <f>IF(AND(VLOOKUP($D170,Merchantability!$B:$C,2,0)="Yes",$E170&gt;=VLOOKUP($D170,Merchantability!$B:$D,3,0),$E170&lt;=VLOOKUP($D170,Merchantability!$B:$E,4,0)),AB170,0)</f>
        <v>#N/A</v>
      </c>
      <c r="AH170" s="104" t="e">
        <f>IF(AND(VLOOKUP($D170,Merchantability!$B:$C,2,0)="Yes",$E170&gt;=VLOOKUP($D170,Merchantability!$B:$D,3,0),$E170&lt;=VLOOKUP($D170,Merchantability!$B:$E,4,0)),AC170,0)</f>
        <v>#N/A</v>
      </c>
      <c r="AI170" s="104" t="e">
        <f t="shared" si="66"/>
        <v>#N/A</v>
      </c>
      <c r="AJ170" s="104" t="e">
        <f t="shared" si="67"/>
        <v>#VALUE!</v>
      </c>
      <c r="AK170" s="104" t="e">
        <f t="shared" si="68"/>
        <v>#N/A</v>
      </c>
      <c r="AL170" s="104" t="e">
        <f t="shared" si="69"/>
        <v>#N/A</v>
      </c>
      <c r="AM170" s="104" t="e">
        <f t="shared" si="70"/>
        <v>#N/A</v>
      </c>
      <c r="AN170" s="104" t="e">
        <f t="shared" si="71"/>
        <v>#N/A</v>
      </c>
      <c r="AO170" s="104" t="e">
        <f t="shared" si="72"/>
        <v>#N/A</v>
      </c>
      <c r="AP170" s="104" t="e">
        <f t="shared" si="73"/>
        <v>#N/A</v>
      </c>
      <c r="AQ170" s="104" t="e">
        <f t="shared" si="74"/>
        <v>#N/A</v>
      </c>
      <c r="AR170" s="105" t="str">
        <f t="shared" si="75"/>
        <v/>
      </c>
      <c r="AS170" s="105" t="str">
        <f t="shared" si="76"/>
        <v/>
      </c>
      <c r="AT170" s="108" t="str">
        <f t="shared" si="77"/>
        <v/>
      </c>
      <c r="AU170" s="108" t="str">
        <f t="shared" si="78"/>
        <v/>
      </c>
      <c r="AV170" s="107" t="str">
        <f>IF(ISNUMBER(O170),IF(VLOOKUP($A170,Stand!C:J,8,FALSE)="Short",AT170,AU170),"")</f>
        <v/>
      </c>
      <c r="AW170" s="109" t="str">
        <f t="shared" si="79"/>
        <v/>
      </c>
      <c r="AX170" s="109" t="str">
        <f t="shared" si="80"/>
        <v/>
      </c>
      <c r="AY170" s="112" t="str">
        <f>IF(ISNUMBER(O170),IF(AND(VLOOKUP($D170,Merchantability!$B:$C,2,0)="Yes",$E170&gt;=VLOOKUP($D170,Merchantability!$B:$D,3,0),$E170&lt;=VLOOKUP($D170,Merchantability!$B:$E,4,0)),(AV170*O170)*(1-$H170/100),""),"")</f>
        <v/>
      </c>
      <c r="AZ170" s="116"/>
      <c r="BA170" s="116"/>
      <c r="BB170" s="116"/>
      <c r="BE170" s="62"/>
      <c r="BF170" s="63"/>
    </row>
    <row r="171" spans="1:58" ht="12.75" customHeight="1" x14ac:dyDescent="0.25">
      <c r="A171" s="384"/>
      <c r="B171" s="380"/>
      <c r="C171" s="381"/>
      <c r="D171" s="380"/>
      <c r="E171" s="382"/>
      <c r="F171" s="331"/>
      <c r="G171" s="329"/>
      <c r="H171" s="329"/>
      <c r="I171" s="380"/>
      <c r="J171" s="381"/>
      <c r="K171" s="329"/>
      <c r="L171" s="329"/>
      <c r="M171" s="76"/>
      <c r="N171" s="103" t="str">
        <f>IF(A171="","",VLOOKUP(A171,Stand!C:K,9,0))</f>
        <v/>
      </c>
      <c r="O171" s="104" t="str">
        <f t="shared" si="54"/>
        <v/>
      </c>
      <c r="P171" s="105" t="str">
        <f t="shared" si="55"/>
        <v/>
      </c>
      <c r="Q171" s="105" t="str">
        <f t="shared" si="56"/>
        <v/>
      </c>
      <c r="R171" s="103" t="str">
        <f t="shared" si="57"/>
        <v/>
      </c>
      <c r="S171" s="103" t="str">
        <f t="shared" si="58"/>
        <v/>
      </c>
      <c r="T171" s="106" t="str">
        <f t="shared" si="59"/>
        <v/>
      </c>
      <c r="U171" s="106" t="str">
        <f t="shared" si="60"/>
        <v/>
      </c>
      <c r="V171" s="106" t="str">
        <f t="shared" si="61"/>
        <v/>
      </c>
      <c r="W171" s="105" t="str">
        <f t="shared" si="62"/>
        <v/>
      </c>
      <c r="X171" s="104" t="str">
        <f t="shared" si="63"/>
        <v/>
      </c>
      <c r="Y171" s="104" t="str">
        <f t="array" ref="Y171">IFERROR(IF(ISNUMBER(O171),IF(COUNT(IF(A171=$A$2:$A$2427,IF(D171=$D$2:$D$2427,IF($X$2:$X$2427&gt;0,1))))&gt;0,SUM(IF(A171=$A$2:$A$2427,IF(D171=$D$2:$D$2427,$X$2:$X$2427)))/COUNT(IF(A171=$A$2:$A$2427,IF(D171=$D$2:$D$2427,IF(ISNUMBER($X$2:$X$2427),1)))),0),""),0)</f>
        <v/>
      </c>
      <c r="Z171" s="104" t="str">
        <f>IF(ISNUMBER(O171),IF(I171&gt;0,(10^(VLOOKUP(D171,'Species Codes'!B:C,2,0)+VLOOKUP(D171,'Species Codes'!B:D,3,0)*LOG(E171)+VLOOKUP(D171,'Species Codes'!B:E,4,0)*LOG(I171))),0),"")</f>
        <v/>
      </c>
      <c r="AA171" s="104" t="str">
        <f>IFERROR((VLOOKUP(D171,'Species Codes'!B:G,6,0)*Z171)/2000,"")</f>
        <v/>
      </c>
      <c r="AB171" s="104" t="e">
        <f>IF(Z171&gt;0,((IF(OR(D171="DF",D171="RA")=TRUE,EXP(VLOOKUP(D171,'Species Codes'!B:I,8,0)+VLOOKUP(D171,'Species Codes'!B:J,9,0)*(LN((E171*2.54)))),IF(OR(D171="PY",D171="RC",D171="WH",D171="NF")=TRUE,VLOOKUP(D171,'Species Codes'!B:I,8,0)+VLOOKUP(D171,'Species Codes'!B:J,9,0)*((E171*2.54)^2)*(I171*0.3048),IF(OR(D171="MD",D171="BM",D171="GA")=TRUE,((VLOOKUP(D171,'Species Codes'!B:I,8,0)*(((((E171*2.54)+VLOOKUP(D171,'Species Codes'!B:J,9,0))/VLOOKUP(D171,'Species Codes'!B:K,10,0))^VLOOKUP(D171,'Species Codes'!B:L,11,0))*((I171*0.3048)^VLOOKUP(D171,'Species Codes'!B:M,12,0))))-(VLOOKUP(D171,'Species Codes'!B:I,8,0)*((((E171*2.54)^VLOOKUP(D171,'Species Codes'!B:L,11,0))*((I171*0.3048)^VLOOKUP(D171,'Species Codes'!B:M,12,0))))))*35.3*VLOOKUP(D171,'Species Codes'!B:G,6,0)/2.2046,VLOOKUP(D171,'Species Codes'!B:I,8,0)+VLOOKUP(D171,'Species Codes'!B:J,9,0)*(((E171*2.54)/100)^2)*(I171*0.3048)))))*0.0011023),0)</f>
        <v>#N/A</v>
      </c>
      <c r="AC171" s="104" t="e">
        <f>IF(Z171&gt;0,((IF(OR(D171="RA",D171="OA",D171="OT",D171="UN",D171="PC"),EXP(VLOOKUP(D171,'Species Codes'!B:O,14,0)+VLOOKUP(D171,'Species Codes'!B:P,15,0)*LN((E171*2.54)))-EXP(VLOOKUP(D171,'Species Codes'!B:O,14,0)+VLOOKUP(D171,'Species Codes'!B:P,15,0)*LN((E171*2.54)))*(1/(VLOOKUP(D171,'Species Codes'!B:Q,16,0)+VLOOKUP(D171,'Species Codes'!B:R,17,0)*((E171*2.54)^VLOOKUP(D171,'Species Codes'!B:S,18,0)))),IF(OR(D171="BM",D171="MD",D171="OA"),EXP(VLOOKUP(D171,'Species Codes'!B:O,14,0)+VLOOKUP(D171,'Species Codes'!B:P,15,0)*LN((E171*2.54)))*(1-(1/(VLOOKUP(D171,'Species Codes'!B:Q,16,0)+VLOOKUP(D171,'Species Codes'!B:R,17,0)*((E171*2.54)^VLOOKUP(D171,'Species Codes'!B:S,18,0)))))/1000,IF(D171="DF",EXP(VLOOKUP(D171,'Species Codes'!B:O,14,0)+VLOOKUP(D171,'Species Codes'!B:P,15,0)*LN((E171*2.54))),VLOOKUP(D171,'Species Codes'!B:O,14,0)+VLOOKUP(D171,'Species Codes'!B:P,15,0)*(((E171*2.54)/100)^2)*(I171*0.3048)))))*0.0011023),0)</f>
        <v>#N/A</v>
      </c>
      <c r="AD171" s="104" t="e">
        <f t="shared" si="64"/>
        <v>#N/A</v>
      </c>
      <c r="AE171" s="104" t="e">
        <f t="shared" si="65"/>
        <v>#N/A</v>
      </c>
      <c r="AF171" s="104" t="e">
        <f>IF(AND(VLOOKUP($D171,Merchantability!$B:$C,2,0)="Yes",$E171&gt;=VLOOKUP($D171,Merchantability!$B:$D,3,0),$E171&lt;=VLOOKUP($D171,Merchantability!$B:$E,4,0)),AA171,0)</f>
        <v>#N/A</v>
      </c>
      <c r="AG171" s="104" t="e">
        <f>IF(AND(VLOOKUP($D171,Merchantability!$B:$C,2,0)="Yes",$E171&gt;=VLOOKUP($D171,Merchantability!$B:$D,3,0),$E171&lt;=VLOOKUP($D171,Merchantability!$B:$E,4,0)),AB171,0)</f>
        <v>#N/A</v>
      </c>
      <c r="AH171" s="104" t="e">
        <f>IF(AND(VLOOKUP($D171,Merchantability!$B:$C,2,0)="Yes",$E171&gt;=VLOOKUP($D171,Merchantability!$B:$D,3,0),$E171&lt;=VLOOKUP($D171,Merchantability!$B:$E,4,0)),AC171,0)</f>
        <v>#N/A</v>
      </c>
      <c r="AI171" s="104" t="e">
        <f t="shared" si="66"/>
        <v>#N/A</v>
      </c>
      <c r="AJ171" s="104" t="e">
        <f t="shared" si="67"/>
        <v>#VALUE!</v>
      </c>
      <c r="AK171" s="104" t="e">
        <f t="shared" si="68"/>
        <v>#N/A</v>
      </c>
      <c r="AL171" s="104" t="e">
        <f t="shared" si="69"/>
        <v>#N/A</v>
      </c>
      <c r="AM171" s="104" t="e">
        <f t="shared" si="70"/>
        <v>#N/A</v>
      </c>
      <c r="AN171" s="104" t="e">
        <f t="shared" si="71"/>
        <v>#N/A</v>
      </c>
      <c r="AO171" s="104" t="e">
        <f t="shared" si="72"/>
        <v>#N/A</v>
      </c>
      <c r="AP171" s="104" t="e">
        <f t="shared" si="73"/>
        <v>#N/A</v>
      </c>
      <c r="AQ171" s="104" t="e">
        <f t="shared" si="74"/>
        <v>#N/A</v>
      </c>
      <c r="AR171" s="105" t="str">
        <f t="shared" si="75"/>
        <v/>
      </c>
      <c r="AS171" s="105" t="str">
        <f t="shared" si="76"/>
        <v/>
      </c>
      <c r="AT171" s="108" t="str">
        <f t="shared" si="77"/>
        <v/>
      </c>
      <c r="AU171" s="108" t="str">
        <f t="shared" si="78"/>
        <v/>
      </c>
      <c r="AV171" s="107" t="str">
        <f>IF(ISNUMBER(O171),IF(VLOOKUP($A171,Stand!C:J,8,FALSE)="Short",AT171,AU171),"")</f>
        <v/>
      </c>
      <c r="AW171" s="109" t="str">
        <f t="shared" si="79"/>
        <v/>
      </c>
      <c r="AX171" s="109" t="str">
        <f t="shared" si="80"/>
        <v/>
      </c>
      <c r="AY171" s="112" t="str">
        <f>IF(ISNUMBER(O171),IF(AND(VLOOKUP($D171,Merchantability!$B:$C,2,0)="Yes",$E171&gt;=VLOOKUP($D171,Merchantability!$B:$D,3,0),$E171&lt;=VLOOKUP($D171,Merchantability!$B:$E,4,0)),(AV171*O171)*(1-$H171/100),""),"")</f>
        <v/>
      </c>
      <c r="AZ171" s="116"/>
      <c r="BA171" s="116"/>
      <c r="BB171" s="116"/>
      <c r="BE171" s="62"/>
      <c r="BF171" s="63"/>
    </row>
    <row r="172" spans="1:58" ht="12.75" customHeight="1" x14ac:dyDescent="0.25">
      <c r="A172" s="384"/>
      <c r="B172" s="380"/>
      <c r="C172" s="381"/>
      <c r="D172" s="380"/>
      <c r="E172" s="382"/>
      <c r="F172" s="331"/>
      <c r="G172" s="329"/>
      <c r="H172" s="329"/>
      <c r="I172" s="380"/>
      <c r="J172" s="381"/>
      <c r="K172" s="329"/>
      <c r="L172" s="329"/>
      <c r="M172" s="76"/>
      <c r="N172" s="103" t="str">
        <f>IF(A172="","",VLOOKUP(A172,Stand!C:K,9,0))</f>
        <v/>
      </c>
      <c r="O172" s="104" t="str">
        <f t="shared" si="54"/>
        <v/>
      </c>
      <c r="P172" s="105" t="str">
        <f t="shared" si="55"/>
        <v/>
      </c>
      <c r="Q172" s="105" t="str">
        <f t="shared" si="56"/>
        <v/>
      </c>
      <c r="R172" s="103" t="str">
        <f t="shared" si="57"/>
        <v/>
      </c>
      <c r="S172" s="103" t="str">
        <f t="shared" si="58"/>
        <v/>
      </c>
      <c r="T172" s="106" t="str">
        <f t="shared" si="59"/>
        <v/>
      </c>
      <c r="U172" s="106" t="str">
        <f t="shared" si="60"/>
        <v/>
      </c>
      <c r="V172" s="106" t="str">
        <f t="shared" si="61"/>
        <v/>
      </c>
      <c r="W172" s="105" t="str">
        <f t="shared" si="62"/>
        <v/>
      </c>
      <c r="X172" s="104" t="str">
        <f t="shared" si="63"/>
        <v/>
      </c>
      <c r="Y172" s="104" t="str">
        <f t="array" ref="Y172">IFERROR(IF(ISNUMBER(O172),IF(COUNT(IF(A172=$A$2:$A$2427,IF(D172=$D$2:$D$2427,IF($X$2:$X$2427&gt;0,1))))&gt;0,SUM(IF(A172=$A$2:$A$2427,IF(D172=$D$2:$D$2427,$X$2:$X$2427)))/COUNT(IF(A172=$A$2:$A$2427,IF(D172=$D$2:$D$2427,IF(ISNUMBER($X$2:$X$2427),1)))),0),""),0)</f>
        <v/>
      </c>
      <c r="Z172" s="104" t="str">
        <f>IF(ISNUMBER(O172),IF(I172&gt;0,(10^(VLOOKUP(D172,'Species Codes'!B:C,2,0)+VLOOKUP(D172,'Species Codes'!B:D,3,0)*LOG(E172)+VLOOKUP(D172,'Species Codes'!B:E,4,0)*LOG(I172))),0),"")</f>
        <v/>
      </c>
      <c r="AA172" s="104" t="str">
        <f>IFERROR((VLOOKUP(D172,'Species Codes'!B:G,6,0)*Z172)/2000,"")</f>
        <v/>
      </c>
      <c r="AB172" s="104" t="e">
        <f>IF(Z172&gt;0,((IF(OR(D172="DF",D172="RA")=TRUE,EXP(VLOOKUP(D172,'Species Codes'!B:I,8,0)+VLOOKUP(D172,'Species Codes'!B:J,9,0)*(LN((E172*2.54)))),IF(OR(D172="PY",D172="RC",D172="WH",D172="NF")=TRUE,VLOOKUP(D172,'Species Codes'!B:I,8,0)+VLOOKUP(D172,'Species Codes'!B:J,9,0)*((E172*2.54)^2)*(I172*0.3048),IF(OR(D172="MD",D172="BM",D172="GA")=TRUE,((VLOOKUP(D172,'Species Codes'!B:I,8,0)*(((((E172*2.54)+VLOOKUP(D172,'Species Codes'!B:J,9,0))/VLOOKUP(D172,'Species Codes'!B:K,10,0))^VLOOKUP(D172,'Species Codes'!B:L,11,0))*((I172*0.3048)^VLOOKUP(D172,'Species Codes'!B:M,12,0))))-(VLOOKUP(D172,'Species Codes'!B:I,8,0)*((((E172*2.54)^VLOOKUP(D172,'Species Codes'!B:L,11,0))*((I172*0.3048)^VLOOKUP(D172,'Species Codes'!B:M,12,0))))))*35.3*VLOOKUP(D172,'Species Codes'!B:G,6,0)/2.2046,VLOOKUP(D172,'Species Codes'!B:I,8,0)+VLOOKUP(D172,'Species Codes'!B:J,9,0)*(((E172*2.54)/100)^2)*(I172*0.3048)))))*0.0011023),0)</f>
        <v>#N/A</v>
      </c>
      <c r="AC172" s="104" t="e">
        <f>IF(Z172&gt;0,((IF(OR(D172="RA",D172="OA",D172="OT",D172="UN",D172="PC"),EXP(VLOOKUP(D172,'Species Codes'!B:O,14,0)+VLOOKUP(D172,'Species Codes'!B:P,15,0)*LN((E172*2.54)))-EXP(VLOOKUP(D172,'Species Codes'!B:O,14,0)+VLOOKUP(D172,'Species Codes'!B:P,15,0)*LN((E172*2.54)))*(1/(VLOOKUP(D172,'Species Codes'!B:Q,16,0)+VLOOKUP(D172,'Species Codes'!B:R,17,0)*((E172*2.54)^VLOOKUP(D172,'Species Codes'!B:S,18,0)))),IF(OR(D172="BM",D172="MD",D172="OA"),EXP(VLOOKUP(D172,'Species Codes'!B:O,14,0)+VLOOKUP(D172,'Species Codes'!B:P,15,0)*LN((E172*2.54)))*(1-(1/(VLOOKUP(D172,'Species Codes'!B:Q,16,0)+VLOOKUP(D172,'Species Codes'!B:R,17,0)*((E172*2.54)^VLOOKUP(D172,'Species Codes'!B:S,18,0)))))/1000,IF(D172="DF",EXP(VLOOKUP(D172,'Species Codes'!B:O,14,0)+VLOOKUP(D172,'Species Codes'!B:P,15,0)*LN((E172*2.54))),VLOOKUP(D172,'Species Codes'!B:O,14,0)+VLOOKUP(D172,'Species Codes'!B:P,15,0)*(((E172*2.54)/100)^2)*(I172*0.3048)))))*0.0011023),0)</f>
        <v>#N/A</v>
      </c>
      <c r="AD172" s="104" t="e">
        <f t="shared" si="64"/>
        <v>#N/A</v>
      </c>
      <c r="AE172" s="104" t="e">
        <f t="shared" si="65"/>
        <v>#N/A</v>
      </c>
      <c r="AF172" s="104" t="e">
        <f>IF(AND(VLOOKUP($D172,Merchantability!$B:$C,2,0)="Yes",$E172&gt;=VLOOKUP($D172,Merchantability!$B:$D,3,0),$E172&lt;=VLOOKUP($D172,Merchantability!$B:$E,4,0)),AA172,0)</f>
        <v>#N/A</v>
      </c>
      <c r="AG172" s="104" t="e">
        <f>IF(AND(VLOOKUP($D172,Merchantability!$B:$C,2,0)="Yes",$E172&gt;=VLOOKUP($D172,Merchantability!$B:$D,3,0),$E172&lt;=VLOOKUP($D172,Merchantability!$B:$E,4,0)),AB172,0)</f>
        <v>#N/A</v>
      </c>
      <c r="AH172" s="104" t="e">
        <f>IF(AND(VLOOKUP($D172,Merchantability!$B:$C,2,0)="Yes",$E172&gt;=VLOOKUP($D172,Merchantability!$B:$D,3,0),$E172&lt;=VLOOKUP($D172,Merchantability!$B:$E,4,0)),AC172,0)</f>
        <v>#N/A</v>
      </c>
      <c r="AI172" s="104" t="e">
        <f t="shared" si="66"/>
        <v>#N/A</v>
      </c>
      <c r="AJ172" s="104" t="e">
        <f t="shared" si="67"/>
        <v>#VALUE!</v>
      </c>
      <c r="AK172" s="104" t="e">
        <f t="shared" si="68"/>
        <v>#N/A</v>
      </c>
      <c r="AL172" s="104" t="e">
        <f t="shared" si="69"/>
        <v>#N/A</v>
      </c>
      <c r="AM172" s="104" t="e">
        <f t="shared" si="70"/>
        <v>#N/A</v>
      </c>
      <c r="AN172" s="104" t="e">
        <f t="shared" si="71"/>
        <v>#N/A</v>
      </c>
      <c r="AO172" s="104" t="e">
        <f t="shared" si="72"/>
        <v>#N/A</v>
      </c>
      <c r="AP172" s="104" t="e">
        <f t="shared" si="73"/>
        <v>#N/A</v>
      </c>
      <c r="AQ172" s="104" t="e">
        <f t="shared" si="74"/>
        <v>#N/A</v>
      </c>
      <c r="AR172" s="105" t="str">
        <f t="shared" si="75"/>
        <v/>
      </c>
      <c r="AS172" s="105" t="str">
        <f t="shared" si="76"/>
        <v/>
      </c>
      <c r="AT172" s="108" t="str">
        <f t="shared" si="77"/>
        <v/>
      </c>
      <c r="AU172" s="108" t="str">
        <f t="shared" si="78"/>
        <v/>
      </c>
      <c r="AV172" s="107" t="str">
        <f>IF(ISNUMBER(O172),IF(VLOOKUP($A172,Stand!C:J,8,FALSE)="Short",AT172,AU172),"")</f>
        <v/>
      </c>
      <c r="AW172" s="109" t="str">
        <f t="shared" si="79"/>
        <v/>
      </c>
      <c r="AX172" s="109" t="str">
        <f t="shared" si="80"/>
        <v/>
      </c>
      <c r="AY172" s="112" t="str">
        <f>IF(ISNUMBER(O172),IF(AND(VLOOKUP($D172,Merchantability!$B:$C,2,0)="Yes",$E172&gt;=VLOOKUP($D172,Merchantability!$B:$D,3,0),$E172&lt;=VLOOKUP($D172,Merchantability!$B:$E,4,0)),(AV172*O172)*(1-$H172/100),""),"")</f>
        <v/>
      </c>
      <c r="AZ172" s="116"/>
      <c r="BA172" s="116"/>
      <c r="BB172" s="116"/>
      <c r="BE172" s="62"/>
      <c r="BF172" s="63"/>
    </row>
    <row r="173" spans="1:58" ht="12.75" customHeight="1" x14ac:dyDescent="0.25">
      <c r="A173" s="384"/>
      <c r="B173" s="380"/>
      <c r="C173" s="381"/>
      <c r="D173" s="380"/>
      <c r="E173" s="382"/>
      <c r="F173" s="331"/>
      <c r="G173" s="329"/>
      <c r="H173" s="329"/>
      <c r="I173" s="380"/>
      <c r="J173" s="381"/>
      <c r="K173" s="329"/>
      <c r="L173" s="329"/>
      <c r="M173" s="76"/>
      <c r="N173" s="103" t="str">
        <f>IF(A173="","",VLOOKUP(A173,Stand!C:K,9,0))</f>
        <v/>
      </c>
      <c r="O173" s="104" t="str">
        <f t="shared" si="54"/>
        <v/>
      </c>
      <c r="P173" s="105" t="str">
        <f t="shared" si="55"/>
        <v/>
      </c>
      <c r="Q173" s="105" t="str">
        <f t="shared" si="56"/>
        <v/>
      </c>
      <c r="R173" s="103" t="str">
        <f t="shared" si="57"/>
        <v/>
      </c>
      <c r="S173" s="103" t="str">
        <f t="shared" si="58"/>
        <v/>
      </c>
      <c r="T173" s="106" t="str">
        <f t="shared" si="59"/>
        <v/>
      </c>
      <c r="U173" s="106" t="str">
        <f t="shared" si="60"/>
        <v/>
      </c>
      <c r="V173" s="106" t="str">
        <f t="shared" si="61"/>
        <v/>
      </c>
      <c r="W173" s="105" t="str">
        <f t="shared" si="62"/>
        <v/>
      </c>
      <c r="X173" s="104" t="str">
        <f t="shared" si="63"/>
        <v/>
      </c>
      <c r="Y173" s="104" t="str">
        <f t="array" ref="Y173">IFERROR(IF(ISNUMBER(O173),IF(COUNT(IF(A173=$A$2:$A$2427,IF(D173=$D$2:$D$2427,IF($X$2:$X$2427&gt;0,1))))&gt;0,SUM(IF(A173=$A$2:$A$2427,IF(D173=$D$2:$D$2427,$X$2:$X$2427)))/COUNT(IF(A173=$A$2:$A$2427,IF(D173=$D$2:$D$2427,IF(ISNUMBER($X$2:$X$2427),1)))),0),""),0)</f>
        <v/>
      </c>
      <c r="Z173" s="104" t="str">
        <f>IF(ISNUMBER(O173),IF(I173&gt;0,(10^(VLOOKUP(D173,'Species Codes'!B:C,2,0)+VLOOKUP(D173,'Species Codes'!B:D,3,0)*LOG(E173)+VLOOKUP(D173,'Species Codes'!B:E,4,0)*LOG(I173))),0),"")</f>
        <v/>
      </c>
      <c r="AA173" s="104" t="str">
        <f>IFERROR((VLOOKUP(D173,'Species Codes'!B:G,6,0)*Z173)/2000,"")</f>
        <v/>
      </c>
      <c r="AB173" s="104" t="e">
        <f>IF(Z173&gt;0,((IF(OR(D173="DF",D173="RA")=TRUE,EXP(VLOOKUP(D173,'Species Codes'!B:I,8,0)+VLOOKUP(D173,'Species Codes'!B:J,9,0)*(LN((E173*2.54)))),IF(OR(D173="PY",D173="RC",D173="WH",D173="NF")=TRUE,VLOOKUP(D173,'Species Codes'!B:I,8,0)+VLOOKUP(D173,'Species Codes'!B:J,9,0)*((E173*2.54)^2)*(I173*0.3048),IF(OR(D173="MD",D173="BM",D173="GA")=TRUE,((VLOOKUP(D173,'Species Codes'!B:I,8,0)*(((((E173*2.54)+VLOOKUP(D173,'Species Codes'!B:J,9,0))/VLOOKUP(D173,'Species Codes'!B:K,10,0))^VLOOKUP(D173,'Species Codes'!B:L,11,0))*((I173*0.3048)^VLOOKUP(D173,'Species Codes'!B:M,12,0))))-(VLOOKUP(D173,'Species Codes'!B:I,8,0)*((((E173*2.54)^VLOOKUP(D173,'Species Codes'!B:L,11,0))*((I173*0.3048)^VLOOKUP(D173,'Species Codes'!B:M,12,0))))))*35.3*VLOOKUP(D173,'Species Codes'!B:G,6,0)/2.2046,VLOOKUP(D173,'Species Codes'!B:I,8,0)+VLOOKUP(D173,'Species Codes'!B:J,9,0)*(((E173*2.54)/100)^2)*(I173*0.3048)))))*0.0011023),0)</f>
        <v>#N/A</v>
      </c>
      <c r="AC173" s="104" t="e">
        <f>IF(Z173&gt;0,((IF(OR(D173="RA",D173="OA",D173="OT",D173="UN",D173="PC"),EXP(VLOOKUP(D173,'Species Codes'!B:O,14,0)+VLOOKUP(D173,'Species Codes'!B:P,15,0)*LN((E173*2.54)))-EXP(VLOOKUP(D173,'Species Codes'!B:O,14,0)+VLOOKUP(D173,'Species Codes'!B:P,15,0)*LN((E173*2.54)))*(1/(VLOOKUP(D173,'Species Codes'!B:Q,16,0)+VLOOKUP(D173,'Species Codes'!B:R,17,0)*((E173*2.54)^VLOOKUP(D173,'Species Codes'!B:S,18,0)))),IF(OR(D173="BM",D173="MD",D173="OA"),EXP(VLOOKUP(D173,'Species Codes'!B:O,14,0)+VLOOKUP(D173,'Species Codes'!B:P,15,0)*LN((E173*2.54)))*(1-(1/(VLOOKUP(D173,'Species Codes'!B:Q,16,0)+VLOOKUP(D173,'Species Codes'!B:R,17,0)*((E173*2.54)^VLOOKUP(D173,'Species Codes'!B:S,18,0)))))/1000,IF(D173="DF",EXP(VLOOKUP(D173,'Species Codes'!B:O,14,0)+VLOOKUP(D173,'Species Codes'!B:P,15,0)*LN((E173*2.54))),VLOOKUP(D173,'Species Codes'!B:O,14,0)+VLOOKUP(D173,'Species Codes'!B:P,15,0)*(((E173*2.54)/100)^2)*(I173*0.3048)))))*0.0011023),0)</f>
        <v>#N/A</v>
      </c>
      <c r="AD173" s="104" t="e">
        <f t="shared" si="64"/>
        <v>#N/A</v>
      </c>
      <c r="AE173" s="104" t="e">
        <f t="shared" si="65"/>
        <v>#N/A</v>
      </c>
      <c r="AF173" s="104" t="e">
        <f>IF(AND(VLOOKUP($D173,Merchantability!$B:$C,2,0)="Yes",$E173&gt;=VLOOKUP($D173,Merchantability!$B:$D,3,0),$E173&lt;=VLOOKUP($D173,Merchantability!$B:$E,4,0)),AA173,0)</f>
        <v>#N/A</v>
      </c>
      <c r="AG173" s="104" t="e">
        <f>IF(AND(VLOOKUP($D173,Merchantability!$B:$C,2,0)="Yes",$E173&gt;=VLOOKUP($D173,Merchantability!$B:$D,3,0),$E173&lt;=VLOOKUP($D173,Merchantability!$B:$E,4,0)),AB173,0)</f>
        <v>#N/A</v>
      </c>
      <c r="AH173" s="104" t="e">
        <f>IF(AND(VLOOKUP($D173,Merchantability!$B:$C,2,0)="Yes",$E173&gt;=VLOOKUP($D173,Merchantability!$B:$D,3,0),$E173&lt;=VLOOKUP($D173,Merchantability!$B:$E,4,0)),AC173,0)</f>
        <v>#N/A</v>
      </c>
      <c r="AI173" s="104" t="e">
        <f t="shared" si="66"/>
        <v>#N/A</v>
      </c>
      <c r="AJ173" s="104" t="e">
        <f t="shared" si="67"/>
        <v>#VALUE!</v>
      </c>
      <c r="AK173" s="104" t="e">
        <f t="shared" si="68"/>
        <v>#N/A</v>
      </c>
      <c r="AL173" s="104" t="e">
        <f t="shared" si="69"/>
        <v>#N/A</v>
      </c>
      <c r="AM173" s="104" t="e">
        <f t="shared" si="70"/>
        <v>#N/A</v>
      </c>
      <c r="AN173" s="104" t="e">
        <f t="shared" si="71"/>
        <v>#N/A</v>
      </c>
      <c r="AO173" s="104" t="e">
        <f t="shared" si="72"/>
        <v>#N/A</v>
      </c>
      <c r="AP173" s="104" t="e">
        <f t="shared" si="73"/>
        <v>#N/A</v>
      </c>
      <c r="AQ173" s="104" t="e">
        <f t="shared" si="74"/>
        <v>#N/A</v>
      </c>
      <c r="AR173" s="105" t="str">
        <f t="shared" si="75"/>
        <v/>
      </c>
      <c r="AS173" s="105" t="str">
        <f t="shared" si="76"/>
        <v/>
      </c>
      <c r="AT173" s="108" t="str">
        <f t="shared" si="77"/>
        <v/>
      </c>
      <c r="AU173" s="108" t="str">
        <f t="shared" si="78"/>
        <v/>
      </c>
      <c r="AV173" s="107" t="str">
        <f>IF(ISNUMBER(O173),IF(VLOOKUP($A173,Stand!C:J,8,FALSE)="Short",AT173,AU173),"")</f>
        <v/>
      </c>
      <c r="AW173" s="109" t="str">
        <f t="shared" si="79"/>
        <v/>
      </c>
      <c r="AX173" s="109" t="str">
        <f t="shared" si="80"/>
        <v/>
      </c>
      <c r="AY173" s="112" t="str">
        <f>IF(ISNUMBER(O173),IF(AND(VLOOKUP($D173,Merchantability!$B:$C,2,0)="Yes",$E173&gt;=VLOOKUP($D173,Merchantability!$B:$D,3,0),$E173&lt;=VLOOKUP($D173,Merchantability!$B:$E,4,0)),(AV173*O173)*(1-$H173/100),""),"")</f>
        <v/>
      </c>
      <c r="AZ173" s="116"/>
      <c r="BA173" s="116"/>
      <c r="BB173" s="116"/>
      <c r="BE173" s="62"/>
      <c r="BF173" s="63"/>
    </row>
    <row r="174" spans="1:58" ht="12.75" customHeight="1" x14ac:dyDescent="0.25">
      <c r="A174" s="384"/>
      <c r="B174" s="380"/>
      <c r="C174" s="381"/>
      <c r="D174" s="380"/>
      <c r="E174" s="382"/>
      <c r="F174" s="331"/>
      <c r="G174" s="329"/>
      <c r="H174" s="329"/>
      <c r="I174" s="380"/>
      <c r="J174" s="381"/>
      <c r="K174" s="329"/>
      <c r="L174" s="329"/>
      <c r="M174" s="76"/>
      <c r="N174" s="103" t="str">
        <f>IF(A174="","",VLOOKUP(A174,Stand!C:K,9,0))</f>
        <v/>
      </c>
      <c r="O174" s="104" t="str">
        <f t="shared" si="54"/>
        <v/>
      </c>
      <c r="P174" s="105" t="str">
        <f t="shared" si="55"/>
        <v/>
      </c>
      <c r="Q174" s="105" t="str">
        <f t="shared" si="56"/>
        <v/>
      </c>
      <c r="R174" s="103" t="str">
        <f t="shared" si="57"/>
        <v/>
      </c>
      <c r="S174" s="103" t="str">
        <f t="shared" si="58"/>
        <v/>
      </c>
      <c r="T174" s="106" t="str">
        <f t="shared" si="59"/>
        <v/>
      </c>
      <c r="U174" s="106" t="str">
        <f t="shared" si="60"/>
        <v/>
      </c>
      <c r="V174" s="106" t="str">
        <f t="shared" si="61"/>
        <v/>
      </c>
      <c r="W174" s="105" t="str">
        <f t="shared" si="62"/>
        <v/>
      </c>
      <c r="X174" s="104" t="str">
        <f t="shared" si="63"/>
        <v/>
      </c>
      <c r="Y174" s="104" t="str">
        <f t="array" ref="Y174">IFERROR(IF(ISNUMBER(O174),IF(COUNT(IF(A174=$A$2:$A$2427,IF(D174=$D$2:$D$2427,IF($X$2:$X$2427&gt;0,1))))&gt;0,SUM(IF(A174=$A$2:$A$2427,IF(D174=$D$2:$D$2427,$X$2:$X$2427)))/COUNT(IF(A174=$A$2:$A$2427,IF(D174=$D$2:$D$2427,IF(ISNUMBER($X$2:$X$2427),1)))),0),""),0)</f>
        <v/>
      </c>
      <c r="Z174" s="104" t="str">
        <f>IF(ISNUMBER(O174),IF(I174&gt;0,(10^(VLOOKUP(D174,'Species Codes'!B:C,2,0)+VLOOKUP(D174,'Species Codes'!B:D,3,0)*LOG(E174)+VLOOKUP(D174,'Species Codes'!B:E,4,0)*LOG(I174))),0),"")</f>
        <v/>
      </c>
      <c r="AA174" s="104" t="str">
        <f>IFERROR((VLOOKUP(D174,'Species Codes'!B:G,6,0)*Z174)/2000,"")</f>
        <v/>
      </c>
      <c r="AB174" s="104" t="e">
        <f>IF(Z174&gt;0,((IF(OR(D174="DF",D174="RA")=TRUE,EXP(VLOOKUP(D174,'Species Codes'!B:I,8,0)+VLOOKUP(D174,'Species Codes'!B:J,9,0)*(LN((E174*2.54)))),IF(OR(D174="PY",D174="RC",D174="WH",D174="NF")=TRUE,VLOOKUP(D174,'Species Codes'!B:I,8,0)+VLOOKUP(D174,'Species Codes'!B:J,9,0)*((E174*2.54)^2)*(I174*0.3048),IF(OR(D174="MD",D174="BM",D174="GA")=TRUE,((VLOOKUP(D174,'Species Codes'!B:I,8,0)*(((((E174*2.54)+VLOOKUP(D174,'Species Codes'!B:J,9,0))/VLOOKUP(D174,'Species Codes'!B:K,10,0))^VLOOKUP(D174,'Species Codes'!B:L,11,0))*((I174*0.3048)^VLOOKUP(D174,'Species Codes'!B:M,12,0))))-(VLOOKUP(D174,'Species Codes'!B:I,8,0)*((((E174*2.54)^VLOOKUP(D174,'Species Codes'!B:L,11,0))*((I174*0.3048)^VLOOKUP(D174,'Species Codes'!B:M,12,0))))))*35.3*VLOOKUP(D174,'Species Codes'!B:G,6,0)/2.2046,VLOOKUP(D174,'Species Codes'!B:I,8,0)+VLOOKUP(D174,'Species Codes'!B:J,9,0)*(((E174*2.54)/100)^2)*(I174*0.3048)))))*0.0011023),0)</f>
        <v>#N/A</v>
      </c>
      <c r="AC174" s="104" t="e">
        <f>IF(Z174&gt;0,((IF(OR(D174="RA",D174="OA",D174="OT",D174="UN",D174="PC"),EXP(VLOOKUP(D174,'Species Codes'!B:O,14,0)+VLOOKUP(D174,'Species Codes'!B:P,15,0)*LN((E174*2.54)))-EXP(VLOOKUP(D174,'Species Codes'!B:O,14,0)+VLOOKUP(D174,'Species Codes'!B:P,15,0)*LN((E174*2.54)))*(1/(VLOOKUP(D174,'Species Codes'!B:Q,16,0)+VLOOKUP(D174,'Species Codes'!B:R,17,0)*((E174*2.54)^VLOOKUP(D174,'Species Codes'!B:S,18,0)))),IF(OR(D174="BM",D174="MD",D174="OA"),EXP(VLOOKUP(D174,'Species Codes'!B:O,14,0)+VLOOKUP(D174,'Species Codes'!B:P,15,0)*LN((E174*2.54)))*(1-(1/(VLOOKUP(D174,'Species Codes'!B:Q,16,0)+VLOOKUP(D174,'Species Codes'!B:R,17,0)*((E174*2.54)^VLOOKUP(D174,'Species Codes'!B:S,18,0)))))/1000,IF(D174="DF",EXP(VLOOKUP(D174,'Species Codes'!B:O,14,0)+VLOOKUP(D174,'Species Codes'!B:P,15,0)*LN((E174*2.54))),VLOOKUP(D174,'Species Codes'!B:O,14,0)+VLOOKUP(D174,'Species Codes'!B:P,15,0)*(((E174*2.54)/100)^2)*(I174*0.3048)))))*0.0011023),0)</f>
        <v>#N/A</v>
      </c>
      <c r="AD174" s="104" t="e">
        <f t="shared" si="64"/>
        <v>#N/A</v>
      </c>
      <c r="AE174" s="104" t="e">
        <f t="shared" si="65"/>
        <v>#N/A</v>
      </c>
      <c r="AF174" s="104" t="e">
        <f>IF(AND(VLOOKUP($D174,Merchantability!$B:$C,2,0)="Yes",$E174&gt;=VLOOKUP($D174,Merchantability!$B:$D,3,0),$E174&lt;=VLOOKUP($D174,Merchantability!$B:$E,4,0)),AA174,0)</f>
        <v>#N/A</v>
      </c>
      <c r="AG174" s="104" t="e">
        <f>IF(AND(VLOOKUP($D174,Merchantability!$B:$C,2,0)="Yes",$E174&gt;=VLOOKUP($D174,Merchantability!$B:$D,3,0),$E174&lt;=VLOOKUP($D174,Merchantability!$B:$E,4,0)),AB174,0)</f>
        <v>#N/A</v>
      </c>
      <c r="AH174" s="104" t="e">
        <f>IF(AND(VLOOKUP($D174,Merchantability!$B:$C,2,0)="Yes",$E174&gt;=VLOOKUP($D174,Merchantability!$B:$D,3,0),$E174&lt;=VLOOKUP($D174,Merchantability!$B:$E,4,0)),AC174,0)</f>
        <v>#N/A</v>
      </c>
      <c r="AI174" s="104" t="e">
        <f t="shared" si="66"/>
        <v>#N/A</v>
      </c>
      <c r="AJ174" s="104" t="e">
        <f t="shared" si="67"/>
        <v>#VALUE!</v>
      </c>
      <c r="AK174" s="104" t="e">
        <f t="shared" si="68"/>
        <v>#N/A</v>
      </c>
      <c r="AL174" s="104" t="e">
        <f t="shared" si="69"/>
        <v>#N/A</v>
      </c>
      <c r="AM174" s="104" t="e">
        <f t="shared" si="70"/>
        <v>#N/A</v>
      </c>
      <c r="AN174" s="104" t="e">
        <f t="shared" si="71"/>
        <v>#N/A</v>
      </c>
      <c r="AO174" s="104" t="e">
        <f t="shared" si="72"/>
        <v>#N/A</v>
      </c>
      <c r="AP174" s="104" t="e">
        <f t="shared" si="73"/>
        <v>#N/A</v>
      </c>
      <c r="AQ174" s="104" t="e">
        <f t="shared" si="74"/>
        <v>#N/A</v>
      </c>
      <c r="AR174" s="105" t="str">
        <f t="shared" si="75"/>
        <v/>
      </c>
      <c r="AS174" s="105" t="str">
        <f t="shared" si="76"/>
        <v/>
      </c>
      <c r="AT174" s="108" t="str">
        <f t="shared" si="77"/>
        <v/>
      </c>
      <c r="AU174" s="108" t="str">
        <f t="shared" si="78"/>
        <v/>
      </c>
      <c r="AV174" s="107" t="str">
        <f>IF(ISNUMBER(O174),IF(VLOOKUP($A174,Stand!C:J,8,FALSE)="Short",AT174,AU174),"")</f>
        <v/>
      </c>
      <c r="AW174" s="109" t="str">
        <f t="shared" si="79"/>
        <v/>
      </c>
      <c r="AX174" s="109" t="str">
        <f t="shared" si="80"/>
        <v/>
      </c>
      <c r="AY174" s="112" t="str">
        <f>IF(ISNUMBER(O174),IF(AND(VLOOKUP($D174,Merchantability!$B:$C,2,0)="Yes",$E174&gt;=VLOOKUP($D174,Merchantability!$B:$D,3,0),$E174&lt;=VLOOKUP($D174,Merchantability!$B:$E,4,0)),(AV174*O174)*(1-$H174/100),""),"")</f>
        <v/>
      </c>
      <c r="AZ174" s="116"/>
      <c r="BA174" s="116"/>
      <c r="BB174" s="116"/>
      <c r="BE174" s="62"/>
      <c r="BF174" s="63"/>
    </row>
    <row r="175" spans="1:58" ht="12.75" customHeight="1" x14ac:dyDescent="0.25">
      <c r="A175" s="384"/>
      <c r="B175" s="380"/>
      <c r="C175" s="381"/>
      <c r="D175" s="380"/>
      <c r="E175" s="382"/>
      <c r="F175" s="331"/>
      <c r="G175" s="329"/>
      <c r="H175" s="329"/>
      <c r="I175" s="380"/>
      <c r="J175" s="381"/>
      <c r="K175" s="329"/>
      <c r="L175" s="329"/>
      <c r="M175" s="76"/>
      <c r="N175" s="103" t="str">
        <f>IF(A175="","",VLOOKUP(A175,Stand!C:K,9,0))</f>
        <v/>
      </c>
      <c r="O175" s="104" t="str">
        <f t="shared" si="54"/>
        <v/>
      </c>
      <c r="P175" s="105" t="str">
        <f t="shared" si="55"/>
        <v/>
      </c>
      <c r="Q175" s="105" t="str">
        <f t="shared" si="56"/>
        <v/>
      </c>
      <c r="R175" s="103" t="str">
        <f t="shared" si="57"/>
        <v/>
      </c>
      <c r="S175" s="103" t="str">
        <f t="shared" si="58"/>
        <v/>
      </c>
      <c r="T175" s="106" t="str">
        <f t="shared" si="59"/>
        <v/>
      </c>
      <c r="U175" s="106" t="str">
        <f t="shared" si="60"/>
        <v/>
      </c>
      <c r="V175" s="106" t="str">
        <f t="shared" si="61"/>
        <v/>
      </c>
      <c r="W175" s="105" t="str">
        <f t="shared" si="62"/>
        <v/>
      </c>
      <c r="X175" s="104" t="str">
        <f t="shared" si="63"/>
        <v/>
      </c>
      <c r="Y175" s="104" t="str">
        <f t="array" ref="Y175">IFERROR(IF(ISNUMBER(O175),IF(COUNT(IF(A175=$A$2:$A$2427,IF(D175=$D$2:$D$2427,IF($X$2:$X$2427&gt;0,1))))&gt;0,SUM(IF(A175=$A$2:$A$2427,IF(D175=$D$2:$D$2427,$X$2:$X$2427)))/COUNT(IF(A175=$A$2:$A$2427,IF(D175=$D$2:$D$2427,IF(ISNUMBER($X$2:$X$2427),1)))),0),""),0)</f>
        <v/>
      </c>
      <c r="Z175" s="104" t="str">
        <f>IF(ISNUMBER(O175),IF(I175&gt;0,(10^(VLOOKUP(D175,'Species Codes'!B:C,2,0)+VLOOKUP(D175,'Species Codes'!B:D,3,0)*LOG(E175)+VLOOKUP(D175,'Species Codes'!B:E,4,0)*LOG(I175))),0),"")</f>
        <v/>
      </c>
      <c r="AA175" s="104" t="str">
        <f>IFERROR((VLOOKUP(D175,'Species Codes'!B:G,6,0)*Z175)/2000,"")</f>
        <v/>
      </c>
      <c r="AB175" s="104" t="e">
        <f>IF(Z175&gt;0,((IF(OR(D175="DF",D175="RA")=TRUE,EXP(VLOOKUP(D175,'Species Codes'!B:I,8,0)+VLOOKUP(D175,'Species Codes'!B:J,9,0)*(LN((E175*2.54)))),IF(OR(D175="PY",D175="RC",D175="WH",D175="NF")=TRUE,VLOOKUP(D175,'Species Codes'!B:I,8,0)+VLOOKUP(D175,'Species Codes'!B:J,9,0)*((E175*2.54)^2)*(I175*0.3048),IF(OR(D175="MD",D175="BM",D175="GA")=TRUE,((VLOOKUP(D175,'Species Codes'!B:I,8,0)*(((((E175*2.54)+VLOOKUP(D175,'Species Codes'!B:J,9,0))/VLOOKUP(D175,'Species Codes'!B:K,10,0))^VLOOKUP(D175,'Species Codes'!B:L,11,0))*((I175*0.3048)^VLOOKUP(D175,'Species Codes'!B:M,12,0))))-(VLOOKUP(D175,'Species Codes'!B:I,8,0)*((((E175*2.54)^VLOOKUP(D175,'Species Codes'!B:L,11,0))*((I175*0.3048)^VLOOKUP(D175,'Species Codes'!B:M,12,0))))))*35.3*VLOOKUP(D175,'Species Codes'!B:G,6,0)/2.2046,VLOOKUP(D175,'Species Codes'!B:I,8,0)+VLOOKUP(D175,'Species Codes'!B:J,9,0)*(((E175*2.54)/100)^2)*(I175*0.3048)))))*0.0011023),0)</f>
        <v>#N/A</v>
      </c>
      <c r="AC175" s="104" t="e">
        <f>IF(Z175&gt;0,((IF(OR(D175="RA",D175="OA",D175="OT",D175="UN",D175="PC"),EXP(VLOOKUP(D175,'Species Codes'!B:O,14,0)+VLOOKUP(D175,'Species Codes'!B:P,15,0)*LN((E175*2.54)))-EXP(VLOOKUP(D175,'Species Codes'!B:O,14,0)+VLOOKUP(D175,'Species Codes'!B:P,15,0)*LN((E175*2.54)))*(1/(VLOOKUP(D175,'Species Codes'!B:Q,16,0)+VLOOKUP(D175,'Species Codes'!B:R,17,0)*((E175*2.54)^VLOOKUP(D175,'Species Codes'!B:S,18,0)))),IF(OR(D175="BM",D175="MD",D175="OA"),EXP(VLOOKUP(D175,'Species Codes'!B:O,14,0)+VLOOKUP(D175,'Species Codes'!B:P,15,0)*LN((E175*2.54)))*(1-(1/(VLOOKUP(D175,'Species Codes'!B:Q,16,0)+VLOOKUP(D175,'Species Codes'!B:R,17,0)*((E175*2.54)^VLOOKUP(D175,'Species Codes'!B:S,18,0)))))/1000,IF(D175="DF",EXP(VLOOKUP(D175,'Species Codes'!B:O,14,0)+VLOOKUP(D175,'Species Codes'!B:P,15,0)*LN((E175*2.54))),VLOOKUP(D175,'Species Codes'!B:O,14,0)+VLOOKUP(D175,'Species Codes'!B:P,15,0)*(((E175*2.54)/100)^2)*(I175*0.3048)))))*0.0011023),0)</f>
        <v>#N/A</v>
      </c>
      <c r="AD175" s="104" t="e">
        <f t="shared" si="64"/>
        <v>#N/A</v>
      </c>
      <c r="AE175" s="104" t="e">
        <f t="shared" si="65"/>
        <v>#N/A</v>
      </c>
      <c r="AF175" s="104" t="e">
        <f>IF(AND(VLOOKUP($D175,Merchantability!$B:$C,2,0)="Yes",$E175&gt;=VLOOKUP($D175,Merchantability!$B:$D,3,0),$E175&lt;=VLOOKUP($D175,Merchantability!$B:$E,4,0)),AA175,0)</f>
        <v>#N/A</v>
      </c>
      <c r="AG175" s="104" t="e">
        <f>IF(AND(VLOOKUP($D175,Merchantability!$B:$C,2,0)="Yes",$E175&gt;=VLOOKUP($D175,Merchantability!$B:$D,3,0),$E175&lt;=VLOOKUP($D175,Merchantability!$B:$E,4,0)),AB175,0)</f>
        <v>#N/A</v>
      </c>
      <c r="AH175" s="104" t="e">
        <f>IF(AND(VLOOKUP($D175,Merchantability!$B:$C,2,0)="Yes",$E175&gt;=VLOOKUP($D175,Merchantability!$B:$D,3,0),$E175&lt;=VLOOKUP($D175,Merchantability!$B:$E,4,0)),AC175,0)</f>
        <v>#N/A</v>
      </c>
      <c r="AI175" s="104" t="e">
        <f t="shared" si="66"/>
        <v>#N/A</v>
      </c>
      <c r="AJ175" s="104" t="e">
        <f t="shared" si="67"/>
        <v>#VALUE!</v>
      </c>
      <c r="AK175" s="104" t="e">
        <f t="shared" si="68"/>
        <v>#N/A</v>
      </c>
      <c r="AL175" s="104" t="e">
        <f t="shared" si="69"/>
        <v>#N/A</v>
      </c>
      <c r="AM175" s="104" t="e">
        <f t="shared" si="70"/>
        <v>#N/A</v>
      </c>
      <c r="AN175" s="104" t="e">
        <f t="shared" si="71"/>
        <v>#N/A</v>
      </c>
      <c r="AO175" s="104" t="e">
        <f t="shared" si="72"/>
        <v>#N/A</v>
      </c>
      <c r="AP175" s="104" t="e">
        <f t="shared" si="73"/>
        <v>#N/A</v>
      </c>
      <c r="AQ175" s="104" t="e">
        <f t="shared" si="74"/>
        <v>#N/A</v>
      </c>
      <c r="AR175" s="105" t="str">
        <f t="shared" si="75"/>
        <v/>
      </c>
      <c r="AS175" s="105" t="str">
        <f t="shared" si="76"/>
        <v/>
      </c>
      <c r="AT175" s="108" t="str">
        <f t="shared" si="77"/>
        <v/>
      </c>
      <c r="AU175" s="108" t="str">
        <f t="shared" si="78"/>
        <v/>
      </c>
      <c r="AV175" s="107" t="str">
        <f>IF(ISNUMBER(O175),IF(VLOOKUP($A175,Stand!C:J,8,FALSE)="Short",AT175,AU175),"")</f>
        <v/>
      </c>
      <c r="AW175" s="109" t="str">
        <f t="shared" si="79"/>
        <v/>
      </c>
      <c r="AX175" s="109" t="str">
        <f t="shared" si="80"/>
        <v/>
      </c>
      <c r="AY175" s="112" t="str">
        <f>IF(ISNUMBER(O175),IF(AND(VLOOKUP($D175,Merchantability!$B:$C,2,0)="Yes",$E175&gt;=VLOOKUP($D175,Merchantability!$B:$D,3,0),$E175&lt;=VLOOKUP($D175,Merchantability!$B:$E,4,0)),(AV175*O175)*(1-$H175/100),""),"")</f>
        <v/>
      </c>
      <c r="AZ175" s="116"/>
      <c r="BA175" s="116"/>
      <c r="BB175" s="116"/>
      <c r="BE175" s="62"/>
      <c r="BF175" s="63"/>
    </row>
    <row r="176" spans="1:58" ht="12.75" customHeight="1" x14ac:dyDescent="0.25">
      <c r="A176" s="384"/>
      <c r="B176" s="380"/>
      <c r="C176" s="381"/>
      <c r="D176" s="380"/>
      <c r="E176" s="382"/>
      <c r="F176" s="331"/>
      <c r="G176" s="329"/>
      <c r="H176" s="329"/>
      <c r="I176" s="380"/>
      <c r="J176" s="381"/>
      <c r="K176" s="329"/>
      <c r="L176" s="329"/>
      <c r="M176" s="76"/>
      <c r="N176" s="103" t="str">
        <f>IF(A176="","",VLOOKUP(A176,Stand!C:K,9,0))</f>
        <v/>
      </c>
      <c r="O176" s="104" t="str">
        <f t="shared" si="54"/>
        <v/>
      </c>
      <c r="P176" s="105" t="str">
        <f t="shared" si="55"/>
        <v/>
      </c>
      <c r="Q176" s="105" t="str">
        <f t="shared" si="56"/>
        <v/>
      </c>
      <c r="R176" s="103" t="str">
        <f t="shared" si="57"/>
        <v/>
      </c>
      <c r="S176" s="103" t="str">
        <f t="shared" si="58"/>
        <v/>
      </c>
      <c r="T176" s="106" t="str">
        <f t="shared" si="59"/>
        <v/>
      </c>
      <c r="U176" s="106" t="str">
        <f t="shared" si="60"/>
        <v/>
      </c>
      <c r="V176" s="106" t="str">
        <f t="shared" si="61"/>
        <v/>
      </c>
      <c r="W176" s="105" t="str">
        <f t="shared" si="62"/>
        <v/>
      </c>
      <c r="X176" s="104" t="str">
        <f t="shared" si="63"/>
        <v/>
      </c>
      <c r="Y176" s="104" t="str">
        <f t="array" ref="Y176">IFERROR(IF(ISNUMBER(O176),IF(COUNT(IF(A176=$A$2:$A$2427,IF(D176=$D$2:$D$2427,IF($X$2:$X$2427&gt;0,1))))&gt;0,SUM(IF(A176=$A$2:$A$2427,IF(D176=$D$2:$D$2427,$X$2:$X$2427)))/COUNT(IF(A176=$A$2:$A$2427,IF(D176=$D$2:$D$2427,IF(ISNUMBER($X$2:$X$2427),1)))),0),""),0)</f>
        <v/>
      </c>
      <c r="Z176" s="104" t="str">
        <f>IF(ISNUMBER(O176),IF(I176&gt;0,(10^(VLOOKUP(D176,'Species Codes'!B:C,2,0)+VLOOKUP(D176,'Species Codes'!B:D,3,0)*LOG(E176)+VLOOKUP(D176,'Species Codes'!B:E,4,0)*LOG(I176))),0),"")</f>
        <v/>
      </c>
      <c r="AA176" s="104" t="str">
        <f>IFERROR((VLOOKUP(D176,'Species Codes'!B:G,6,0)*Z176)/2000,"")</f>
        <v/>
      </c>
      <c r="AB176" s="104" t="e">
        <f>IF(Z176&gt;0,((IF(OR(D176="DF",D176="RA")=TRUE,EXP(VLOOKUP(D176,'Species Codes'!B:I,8,0)+VLOOKUP(D176,'Species Codes'!B:J,9,0)*(LN((E176*2.54)))),IF(OR(D176="PY",D176="RC",D176="WH",D176="NF")=TRUE,VLOOKUP(D176,'Species Codes'!B:I,8,0)+VLOOKUP(D176,'Species Codes'!B:J,9,0)*((E176*2.54)^2)*(I176*0.3048),IF(OR(D176="MD",D176="BM",D176="GA")=TRUE,((VLOOKUP(D176,'Species Codes'!B:I,8,0)*(((((E176*2.54)+VLOOKUP(D176,'Species Codes'!B:J,9,0))/VLOOKUP(D176,'Species Codes'!B:K,10,0))^VLOOKUP(D176,'Species Codes'!B:L,11,0))*((I176*0.3048)^VLOOKUP(D176,'Species Codes'!B:M,12,0))))-(VLOOKUP(D176,'Species Codes'!B:I,8,0)*((((E176*2.54)^VLOOKUP(D176,'Species Codes'!B:L,11,0))*((I176*0.3048)^VLOOKUP(D176,'Species Codes'!B:M,12,0))))))*35.3*VLOOKUP(D176,'Species Codes'!B:G,6,0)/2.2046,VLOOKUP(D176,'Species Codes'!B:I,8,0)+VLOOKUP(D176,'Species Codes'!B:J,9,0)*(((E176*2.54)/100)^2)*(I176*0.3048)))))*0.0011023),0)</f>
        <v>#N/A</v>
      </c>
      <c r="AC176" s="104" t="e">
        <f>IF(Z176&gt;0,((IF(OR(D176="RA",D176="OA",D176="OT",D176="UN",D176="PC"),EXP(VLOOKUP(D176,'Species Codes'!B:O,14,0)+VLOOKUP(D176,'Species Codes'!B:P,15,0)*LN((E176*2.54)))-EXP(VLOOKUP(D176,'Species Codes'!B:O,14,0)+VLOOKUP(D176,'Species Codes'!B:P,15,0)*LN((E176*2.54)))*(1/(VLOOKUP(D176,'Species Codes'!B:Q,16,0)+VLOOKUP(D176,'Species Codes'!B:R,17,0)*((E176*2.54)^VLOOKUP(D176,'Species Codes'!B:S,18,0)))),IF(OR(D176="BM",D176="MD",D176="OA"),EXP(VLOOKUP(D176,'Species Codes'!B:O,14,0)+VLOOKUP(D176,'Species Codes'!B:P,15,0)*LN((E176*2.54)))*(1-(1/(VLOOKUP(D176,'Species Codes'!B:Q,16,0)+VLOOKUP(D176,'Species Codes'!B:R,17,0)*((E176*2.54)^VLOOKUP(D176,'Species Codes'!B:S,18,0)))))/1000,IF(D176="DF",EXP(VLOOKUP(D176,'Species Codes'!B:O,14,0)+VLOOKUP(D176,'Species Codes'!B:P,15,0)*LN((E176*2.54))),VLOOKUP(D176,'Species Codes'!B:O,14,0)+VLOOKUP(D176,'Species Codes'!B:P,15,0)*(((E176*2.54)/100)^2)*(I176*0.3048)))))*0.0011023),0)</f>
        <v>#N/A</v>
      </c>
      <c r="AD176" s="104" t="e">
        <f t="shared" si="64"/>
        <v>#N/A</v>
      </c>
      <c r="AE176" s="104" t="e">
        <f t="shared" si="65"/>
        <v>#N/A</v>
      </c>
      <c r="AF176" s="104" t="e">
        <f>IF(AND(VLOOKUP($D176,Merchantability!$B:$C,2,0)="Yes",$E176&gt;=VLOOKUP($D176,Merchantability!$B:$D,3,0),$E176&lt;=VLOOKUP($D176,Merchantability!$B:$E,4,0)),AA176,0)</f>
        <v>#N/A</v>
      </c>
      <c r="AG176" s="104" t="e">
        <f>IF(AND(VLOOKUP($D176,Merchantability!$B:$C,2,0)="Yes",$E176&gt;=VLOOKUP($D176,Merchantability!$B:$D,3,0),$E176&lt;=VLOOKUP($D176,Merchantability!$B:$E,4,0)),AB176,0)</f>
        <v>#N/A</v>
      </c>
      <c r="AH176" s="104" t="e">
        <f>IF(AND(VLOOKUP($D176,Merchantability!$B:$C,2,0)="Yes",$E176&gt;=VLOOKUP($D176,Merchantability!$B:$D,3,0),$E176&lt;=VLOOKUP($D176,Merchantability!$B:$E,4,0)),AC176,0)</f>
        <v>#N/A</v>
      </c>
      <c r="AI176" s="104" t="e">
        <f t="shared" si="66"/>
        <v>#N/A</v>
      </c>
      <c r="AJ176" s="104" t="e">
        <f t="shared" si="67"/>
        <v>#VALUE!</v>
      </c>
      <c r="AK176" s="104" t="e">
        <f t="shared" si="68"/>
        <v>#N/A</v>
      </c>
      <c r="AL176" s="104" t="e">
        <f t="shared" si="69"/>
        <v>#N/A</v>
      </c>
      <c r="AM176" s="104" t="e">
        <f t="shared" si="70"/>
        <v>#N/A</v>
      </c>
      <c r="AN176" s="104" t="e">
        <f t="shared" si="71"/>
        <v>#N/A</v>
      </c>
      <c r="AO176" s="104" t="e">
        <f t="shared" si="72"/>
        <v>#N/A</v>
      </c>
      <c r="AP176" s="104" t="e">
        <f t="shared" si="73"/>
        <v>#N/A</v>
      </c>
      <c r="AQ176" s="104" t="e">
        <f t="shared" si="74"/>
        <v>#N/A</v>
      </c>
      <c r="AR176" s="105" t="str">
        <f t="shared" si="75"/>
        <v/>
      </c>
      <c r="AS176" s="105" t="str">
        <f t="shared" si="76"/>
        <v/>
      </c>
      <c r="AT176" s="108" t="str">
        <f t="shared" si="77"/>
        <v/>
      </c>
      <c r="AU176" s="108" t="str">
        <f t="shared" si="78"/>
        <v/>
      </c>
      <c r="AV176" s="107" t="str">
        <f>IF(ISNUMBER(O176),IF(VLOOKUP($A176,Stand!C:J,8,FALSE)="Short",AT176,AU176),"")</f>
        <v/>
      </c>
      <c r="AW176" s="109" t="str">
        <f t="shared" si="79"/>
        <v/>
      </c>
      <c r="AX176" s="109" t="str">
        <f t="shared" si="80"/>
        <v/>
      </c>
      <c r="AY176" s="112" t="str">
        <f>IF(ISNUMBER(O176),IF(AND(VLOOKUP($D176,Merchantability!$B:$C,2,0)="Yes",$E176&gt;=VLOOKUP($D176,Merchantability!$B:$D,3,0),$E176&lt;=VLOOKUP($D176,Merchantability!$B:$E,4,0)),(AV176*O176)*(1-$H176/100),""),"")</f>
        <v/>
      </c>
      <c r="AZ176" s="116"/>
      <c r="BA176" s="116"/>
      <c r="BB176" s="116"/>
      <c r="BE176" s="62"/>
      <c r="BF176" s="63"/>
    </row>
    <row r="177" spans="1:58" ht="12.75" customHeight="1" x14ac:dyDescent="0.25">
      <c r="A177" s="384"/>
      <c r="B177" s="380"/>
      <c r="C177" s="381"/>
      <c r="D177" s="380"/>
      <c r="E177" s="382"/>
      <c r="F177" s="331"/>
      <c r="G177" s="329"/>
      <c r="H177" s="329"/>
      <c r="I177" s="380"/>
      <c r="J177" s="381"/>
      <c r="K177" s="329"/>
      <c r="L177" s="329"/>
      <c r="M177" s="76"/>
      <c r="N177" s="103" t="str">
        <f>IF(A177="","",VLOOKUP(A177,Stand!C:K,9,0))</f>
        <v/>
      </c>
      <c r="O177" s="104" t="str">
        <f t="shared" si="54"/>
        <v/>
      </c>
      <c r="P177" s="105" t="str">
        <f t="shared" si="55"/>
        <v/>
      </c>
      <c r="Q177" s="105" t="str">
        <f t="shared" si="56"/>
        <v/>
      </c>
      <c r="R177" s="103" t="str">
        <f t="shared" si="57"/>
        <v/>
      </c>
      <c r="S177" s="103" t="str">
        <f t="shared" si="58"/>
        <v/>
      </c>
      <c r="T177" s="106" t="str">
        <f t="shared" si="59"/>
        <v/>
      </c>
      <c r="U177" s="106" t="str">
        <f t="shared" si="60"/>
        <v/>
      </c>
      <c r="V177" s="106" t="str">
        <f t="shared" si="61"/>
        <v/>
      </c>
      <c r="W177" s="105" t="str">
        <f t="shared" si="62"/>
        <v/>
      </c>
      <c r="X177" s="104" t="str">
        <f t="shared" si="63"/>
        <v/>
      </c>
      <c r="Y177" s="104" t="str">
        <f t="array" ref="Y177">IFERROR(IF(ISNUMBER(O177),IF(COUNT(IF(A177=$A$2:$A$2427,IF(D177=$D$2:$D$2427,IF($X$2:$X$2427&gt;0,1))))&gt;0,SUM(IF(A177=$A$2:$A$2427,IF(D177=$D$2:$D$2427,$X$2:$X$2427)))/COUNT(IF(A177=$A$2:$A$2427,IF(D177=$D$2:$D$2427,IF(ISNUMBER($X$2:$X$2427),1)))),0),""),0)</f>
        <v/>
      </c>
      <c r="Z177" s="104" t="str">
        <f>IF(ISNUMBER(O177),IF(I177&gt;0,(10^(VLOOKUP(D177,'Species Codes'!B:C,2,0)+VLOOKUP(D177,'Species Codes'!B:D,3,0)*LOG(E177)+VLOOKUP(D177,'Species Codes'!B:E,4,0)*LOG(I177))),0),"")</f>
        <v/>
      </c>
      <c r="AA177" s="104" t="str">
        <f>IFERROR((VLOOKUP(D177,'Species Codes'!B:G,6,0)*Z177)/2000,"")</f>
        <v/>
      </c>
      <c r="AB177" s="104" t="e">
        <f>IF(Z177&gt;0,((IF(OR(D177="DF",D177="RA")=TRUE,EXP(VLOOKUP(D177,'Species Codes'!B:I,8,0)+VLOOKUP(D177,'Species Codes'!B:J,9,0)*(LN((E177*2.54)))),IF(OR(D177="PY",D177="RC",D177="WH",D177="NF")=TRUE,VLOOKUP(D177,'Species Codes'!B:I,8,0)+VLOOKUP(D177,'Species Codes'!B:J,9,0)*((E177*2.54)^2)*(I177*0.3048),IF(OR(D177="MD",D177="BM",D177="GA")=TRUE,((VLOOKUP(D177,'Species Codes'!B:I,8,0)*(((((E177*2.54)+VLOOKUP(D177,'Species Codes'!B:J,9,0))/VLOOKUP(D177,'Species Codes'!B:K,10,0))^VLOOKUP(D177,'Species Codes'!B:L,11,0))*((I177*0.3048)^VLOOKUP(D177,'Species Codes'!B:M,12,0))))-(VLOOKUP(D177,'Species Codes'!B:I,8,0)*((((E177*2.54)^VLOOKUP(D177,'Species Codes'!B:L,11,0))*((I177*0.3048)^VLOOKUP(D177,'Species Codes'!B:M,12,0))))))*35.3*VLOOKUP(D177,'Species Codes'!B:G,6,0)/2.2046,VLOOKUP(D177,'Species Codes'!B:I,8,0)+VLOOKUP(D177,'Species Codes'!B:J,9,0)*(((E177*2.54)/100)^2)*(I177*0.3048)))))*0.0011023),0)</f>
        <v>#N/A</v>
      </c>
      <c r="AC177" s="104" t="e">
        <f>IF(Z177&gt;0,((IF(OR(D177="RA",D177="OA",D177="OT",D177="UN",D177="PC"),EXP(VLOOKUP(D177,'Species Codes'!B:O,14,0)+VLOOKUP(D177,'Species Codes'!B:P,15,0)*LN((E177*2.54)))-EXP(VLOOKUP(D177,'Species Codes'!B:O,14,0)+VLOOKUP(D177,'Species Codes'!B:P,15,0)*LN((E177*2.54)))*(1/(VLOOKUP(D177,'Species Codes'!B:Q,16,0)+VLOOKUP(D177,'Species Codes'!B:R,17,0)*((E177*2.54)^VLOOKUP(D177,'Species Codes'!B:S,18,0)))),IF(OR(D177="BM",D177="MD",D177="OA"),EXP(VLOOKUP(D177,'Species Codes'!B:O,14,0)+VLOOKUP(D177,'Species Codes'!B:P,15,0)*LN((E177*2.54)))*(1-(1/(VLOOKUP(D177,'Species Codes'!B:Q,16,0)+VLOOKUP(D177,'Species Codes'!B:R,17,0)*((E177*2.54)^VLOOKUP(D177,'Species Codes'!B:S,18,0)))))/1000,IF(D177="DF",EXP(VLOOKUP(D177,'Species Codes'!B:O,14,0)+VLOOKUP(D177,'Species Codes'!B:P,15,0)*LN((E177*2.54))),VLOOKUP(D177,'Species Codes'!B:O,14,0)+VLOOKUP(D177,'Species Codes'!B:P,15,0)*(((E177*2.54)/100)^2)*(I177*0.3048)))))*0.0011023),0)</f>
        <v>#N/A</v>
      </c>
      <c r="AD177" s="104" t="e">
        <f t="shared" si="64"/>
        <v>#N/A</v>
      </c>
      <c r="AE177" s="104" t="e">
        <f t="shared" si="65"/>
        <v>#N/A</v>
      </c>
      <c r="AF177" s="104" t="e">
        <f>IF(AND(VLOOKUP($D177,Merchantability!$B:$C,2,0)="Yes",$E177&gt;=VLOOKUP($D177,Merchantability!$B:$D,3,0),$E177&lt;=VLOOKUP($D177,Merchantability!$B:$E,4,0)),AA177,0)</f>
        <v>#N/A</v>
      </c>
      <c r="AG177" s="104" t="e">
        <f>IF(AND(VLOOKUP($D177,Merchantability!$B:$C,2,0)="Yes",$E177&gt;=VLOOKUP($D177,Merchantability!$B:$D,3,0),$E177&lt;=VLOOKUP($D177,Merchantability!$B:$E,4,0)),AB177,0)</f>
        <v>#N/A</v>
      </c>
      <c r="AH177" s="104" t="e">
        <f>IF(AND(VLOOKUP($D177,Merchantability!$B:$C,2,0)="Yes",$E177&gt;=VLOOKUP($D177,Merchantability!$B:$D,3,0),$E177&lt;=VLOOKUP($D177,Merchantability!$B:$E,4,0)),AC177,0)</f>
        <v>#N/A</v>
      </c>
      <c r="AI177" s="104" t="e">
        <f t="shared" si="66"/>
        <v>#N/A</v>
      </c>
      <c r="AJ177" s="104" t="e">
        <f t="shared" si="67"/>
        <v>#VALUE!</v>
      </c>
      <c r="AK177" s="104" t="e">
        <f t="shared" si="68"/>
        <v>#N/A</v>
      </c>
      <c r="AL177" s="104" t="e">
        <f t="shared" si="69"/>
        <v>#N/A</v>
      </c>
      <c r="AM177" s="104" t="e">
        <f t="shared" si="70"/>
        <v>#N/A</v>
      </c>
      <c r="AN177" s="104" t="e">
        <f t="shared" si="71"/>
        <v>#N/A</v>
      </c>
      <c r="AO177" s="104" t="e">
        <f t="shared" si="72"/>
        <v>#N/A</v>
      </c>
      <c r="AP177" s="104" t="e">
        <f t="shared" si="73"/>
        <v>#N/A</v>
      </c>
      <c r="AQ177" s="104" t="e">
        <f t="shared" si="74"/>
        <v>#N/A</v>
      </c>
      <c r="AR177" s="105" t="str">
        <f t="shared" si="75"/>
        <v/>
      </c>
      <c r="AS177" s="105" t="str">
        <f t="shared" si="76"/>
        <v/>
      </c>
      <c r="AT177" s="108" t="str">
        <f t="shared" si="77"/>
        <v/>
      </c>
      <c r="AU177" s="108" t="str">
        <f t="shared" si="78"/>
        <v/>
      </c>
      <c r="AV177" s="107" t="str">
        <f>IF(ISNUMBER(O177),IF(VLOOKUP($A177,Stand!C:J,8,FALSE)="Short",AT177,AU177),"")</f>
        <v/>
      </c>
      <c r="AW177" s="109" t="str">
        <f t="shared" si="79"/>
        <v/>
      </c>
      <c r="AX177" s="109" t="str">
        <f t="shared" si="80"/>
        <v/>
      </c>
      <c r="AY177" s="112" t="str">
        <f>IF(ISNUMBER(O177),IF(AND(VLOOKUP($D177,Merchantability!$B:$C,2,0)="Yes",$E177&gt;=VLOOKUP($D177,Merchantability!$B:$D,3,0),$E177&lt;=VLOOKUP($D177,Merchantability!$B:$E,4,0)),(AV177*O177)*(1-$H177/100),""),"")</f>
        <v/>
      </c>
      <c r="AZ177" s="116"/>
      <c r="BA177" s="116"/>
      <c r="BB177" s="116"/>
      <c r="BE177" s="62"/>
      <c r="BF177" s="63"/>
    </row>
    <row r="178" spans="1:58" ht="12.75" customHeight="1" x14ac:dyDescent="0.25">
      <c r="A178" s="384"/>
      <c r="B178" s="380"/>
      <c r="C178" s="381"/>
      <c r="D178" s="380"/>
      <c r="E178" s="382"/>
      <c r="F178" s="331"/>
      <c r="G178" s="329"/>
      <c r="H178" s="329"/>
      <c r="I178" s="380"/>
      <c r="J178" s="381"/>
      <c r="K178" s="329"/>
      <c r="L178" s="329"/>
      <c r="M178" s="76"/>
      <c r="N178" s="103" t="str">
        <f>IF(A178="","",VLOOKUP(A178,Stand!C:K,9,0))</f>
        <v/>
      </c>
      <c r="O178" s="104" t="str">
        <f t="shared" si="54"/>
        <v/>
      </c>
      <c r="P178" s="105" t="str">
        <f t="shared" si="55"/>
        <v/>
      </c>
      <c r="Q178" s="105" t="str">
        <f t="shared" si="56"/>
        <v/>
      </c>
      <c r="R178" s="103" t="str">
        <f t="shared" si="57"/>
        <v/>
      </c>
      <c r="S178" s="103" t="str">
        <f t="shared" si="58"/>
        <v/>
      </c>
      <c r="T178" s="106" t="str">
        <f t="shared" si="59"/>
        <v/>
      </c>
      <c r="U178" s="106" t="str">
        <f t="shared" si="60"/>
        <v/>
      </c>
      <c r="V178" s="106" t="str">
        <f t="shared" si="61"/>
        <v/>
      </c>
      <c r="W178" s="105" t="str">
        <f t="shared" si="62"/>
        <v/>
      </c>
      <c r="X178" s="104" t="str">
        <f t="shared" si="63"/>
        <v/>
      </c>
      <c r="Y178" s="104" t="str">
        <f t="array" ref="Y178">IFERROR(IF(ISNUMBER(O178),IF(COUNT(IF(A178=$A$2:$A$2427,IF(D178=$D$2:$D$2427,IF($X$2:$X$2427&gt;0,1))))&gt;0,SUM(IF(A178=$A$2:$A$2427,IF(D178=$D$2:$D$2427,$X$2:$X$2427)))/COUNT(IF(A178=$A$2:$A$2427,IF(D178=$D$2:$D$2427,IF(ISNUMBER($X$2:$X$2427),1)))),0),""),0)</f>
        <v/>
      </c>
      <c r="Z178" s="104" t="str">
        <f>IF(ISNUMBER(O178),IF(I178&gt;0,(10^(VLOOKUP(D178,'Species Codes'!B:C,2,0)+VLOOKUP(D178,'Species Codes'!B:D,3,0)*LOG(E178)+VLOOKUP(D178,'Species Codes'!B:E,4,0)*LOG(I178))),0),"")</f>
        <v/>
      </c>
      <c r="AA178" s="104" t="str">
        <f>IFERROR((VLOOKUP(D178,'Species Codes'!B:G,6,0)*Z178)/2000,"")</f>
        <v/>
      </c>
      <c r="AB178" s="104" t="e">
        <f>IF(Z178&gt;0,((IF(OR(D178="DF",D178="RA")=TRUE,EXP(VLOOKUP(D178,'Species Codes'!B:I,8,0)+VLOOKUP(D178,'Species Codes'!B:J,9,0)*(LN((E178*2.54)))),IF(OR(D178="PY",D178="RC",D178="WH",D178="NF")=TRUE,VLOOKUP(D178,'Species Codes'!B:I,8,0)+VLOOKUP(D178,'Species Codes'!B:J,9,0)*((E178*2.54)^2)*(I178*0.3048),IF(OR(D178="MD",D178="BM",D178="GA")=TRUE,((VLOOKUP(D178,'Species Codes'!B:I,8,0)*(((((E178*2.54)+VLOOKUP(D178,'Species Codes'!B:J,9,0))/VLOOKUP(D178,'Species Codes'!B:K,10,0))^VLOOKUP(D178,'Species Codes'!B:L,11,0))*((I178*0.3048)^VLOOKUP(D178,'Species Codes'!B:M,12,0))))-(VLOOKUP(D178,'Species Codes'!B:I,8,0)*((((E178*2.54)^VLOOKUP(D178,'Species Codes'!B:L,11,0))*((I178*0.3048)^VLOOKUP(D178,'Species Codes'!B:M,12,0))))))*35.3*VLOOKUP(D178,'Species Codes'!B:G,6,0)/2.2046,VLOOKUP(D178,'Species Codes'!B:I,8,0)+VLOOKUP(D178,'Species Codes'!B:J,9,0)*(((E178*2.54)/100)^2)*(I178*0.3048)))))*0.0011023),0)</f>
        <v>#N/A</v>
      </c>
      <c r="AC178" s="104" t="e">
        <f>IF(Z178&gt;0,((IF(OR(D178="RA",D178="OA",D178="OT",D178="UN",D178="PC"),EXP(VLOOKUP(D178,'Species Codes'!B:O,14,0)+VLOOKUP(D178,'Species Codes'!B:P,15,0)*LN((E178*2.54)))-EXP(VLOOKUP(D178,'Species Codes'!B:O,14,0)+VLOOKUP(D178,'Species Codes'!B:P,15,0)*LN((E178*2.54)))*(1/(VLOOKUP(D178,'Species Codes'!B:Q,16,0)+VLOOKUP(D178,'Species Codes'!B:R,17,0)*((E178*2.54)^VLOOKUP(D178,'Species Codes'!B:S,18,0)))),IF(OR(D178="BM",D178="MD",D178="OA"),EXP(VLOOKUP(D178,'Species Codes'!B:O,14,0)+VLOOKUP(D178,'Species Codes'!B:P,15,0)*LN((E178*2.54)))*(1-(1/(VLOOKUP(D178,'Species Codes'!B:Q,16,0)+VLOOKUP(D178,'Species Codes'!B:R,17,0)*((E178*2.54)^VLOOKUP(D178,'Species Codes'!B:S,18,0)))))/1000,IF(D178="DF",EXP(VLOOKUP(D178,'Species Codes'!B:O,14,0)+VLOOKUP(D178,'Species Codes'!B:P,15,0)*LN((E178*2.54))),VLOOKUP(D178,'Species Codes'!B:O,14,0)+VLOOKUP(D178,'Species Codes'!B:P,15,0)*(((E178*2.54)/100)^2)*(I178*0.3048)))))*0.0011023),0)</f>
        <v>#N/A</v>
      </c>
      <c r="AD178" s="104" t="e">
        <f t="shared" si="64"/>
        <v>#N/A</v>
      </c>
      <c r="AE178" s="104" t="e">
        <f t="shared" si="65"/>
        <v>#N/A</v>
      </c>
      <c r="AF178" s="104" t="e">
        <f>IF(AND(VLOOKUP($D178,Merchantability!$B:$C,2,0)="Yes",$E178&gt;=VLOOKUP($D178,Merchantability!$B:$D,3,0),$E178&lt;=VLOOKUP($D178,Merchantability!$B:$E,4,0)),AA178,0)</f>
        <v>#N/A</v>
      </c>
      <c r="AG178" s="104" t="e">
        <f>IF(AND(VLOOKUP($D178,Merchantability!$B:$C,2,0)="Yes",$E178&gt;=VLOOKUP($D178,Merchantability!$B:$D,3,0),$E178&lt;=VLOOKUP($D178,Merchantability!$B:$E,4,0)),AB178,0)</f>
        <v>#N/A</v>
      </c>
      <c r="AH178" s="104" t="e">
        <f>IF(AND(VLOOKUP($D178,Merchantability!$B:$C,2,0)="Yes",$E178&gt;=VLOOKUP($D178,Merchantability!$B:$D,3,0),$E178&lt;=VLOOKUP($D178,Merchantability!$B:$E,4,0)),AC178,0)</f>
        <v>#N/A</v>
      </c>
      <c r="AI178" s="104" t="e">
        <f t="shared" si="66"/>
        <v>#N/A</v>
      </c>
      <c r="AJ178" s="104" t="e">
        <f t="shared" si="67"/>
        <v>#VALUE!</v>
      </c>
      <c r="AK178" s="104" t="e">
        <f t="shared" si="68"/>
        <v>#N/A</v>
      </c>
      <c r="AL178" s="104" t="e">
        <f t="shared" si="69"/>
        <v>#N/A</v>
      </c>
      <c r="AM178" s="104" t="e">
        <f t="shared" si="70"/>
        <v>#N/A</v>
      </c>
      <c r="AN178" s="104" t="e">
        <f t="shared" si="71"/>
        <v>#N/A</v>
      </c>
      <c r="AO178" s="104" t="e">
        <f t="shared" si="72"/>
        <v>#N/A</v>
      </c>
      <c r="AP178" s="104" t="e">
        <f t="shared" si="73"/>
        <v>#N/A</v>
      </c>
      <c r="AQ178" s="104" t="e">
        <f t="shared" si="74"/>
        <v>#N/A</v>
      </c>
      <c r="AR178" s="105" t="str">
        <f t="shared" si="75"/>
        <v/>
      </c>
      <c r="AS178" s="105" t="str">
        <f t="shared" si="76"/>
        <v/>
      </c>
      <c r="AT178" s="108" t="str">
        <f t="shared" si="77"/>
        <v/>
      </c>
      <c r="AU178" s="108" t="str">
        <f t="shared" si="78"/>
        <v/>
      </c>
      <c r="AV178" s="107" t="str">
        <f>IF(ISNUMBER(O178),IF(VLOOKUP($A178,Stand!C:J,8,FALSE)="Short",AT178,AU178),"")</f>
        <v/>
      </c>
      <c r="AW178" s="109" t="str">
        <f t="shared" si="79"/>
        <v/>
      </c>
      <c r="AX178" s="109" t="str">
        <f t="shared" si="80"/>
        <v/>
      </c>
      <c r="AY178" s="112" t="str">
        <f>IF(ISNUMBER(O178),IF(AND(VLOOKUP($D178,Merchantability!$B:$C,2,0)="Yes",$E178&gt;=VLOOKUP($D178,Merchantability!$B:$D,3,0),$E178&lt;=VLOOKUP($D178,Merchantability!$B:$E,4,0)),(AV178*O178)*(1-$H178/100),""),"")</f>
        <v/>
      </c>
      <c r="AZ178" s="116"/>
      <c r="BA178" s="116"/>
      <c r="BB178" s="116"/>
      <c r="BE178" s="62"/>
      <c r="BF178" s="63"/>
    </row>
    <row r="179" spans="1:58" ht="12.75" customHeight="1" x14ac:dyDescent="0.25">
      <c r="A179" s="384"/>
      <c r="B179" s="380"/>
      <c r="C179" s="381"/>
      <c r="D179" s="380"/>
      <c r="E179" s="382"/>
      <c r="F179" s="331"/>
      <c r="G179" s="329"/>
      <c r="H179" s="329"/>
      <c r="I179" s="380"/>
      <c r="J179" s="381"/>
      <c r="K179" s="329"/>
      <c r="L179" s="329"/>
      <c r="M179" s="76"/>
      <c r="N179" s="103" t="str">
        <f>IF(A179="","",VLOOKUP(A179,Stand!C:K,9,0))</f>
        <v/>
      </c>
      <c r="O179" s="104" t="str">
        <f t="shared" si="54"/>
        <v/>
      </c>
      <c r="P179" s="105" t="str">
        <f t="shared" si="55"/>
        <v/>
      </c>
      <c r="Q179" s="105" t="str">
        <f t="shared" si="56"/>
        <v/>
      </c>
      <c r="R179" s="103" t="str">
        <f t="shared" si="57"/>
        <v/>
      </c>
      <c r="S179" s="103" t="str">
        <f t="shared" si="58"/>
        <v/>
      </c>
      <c r="T179" s="106" t="str">
        <f t="shared" si="59"/>
        <v/>
      </c>
      <c r="U179" s="106" t="str">
        <f t="shared" si="60"/>
        <v/>
      </c>
      <c r="V179" s="106" t="str">
        <f t="shared" si="61"/>
        <v/>
      </c>
      <c r="W179" s="105" t="str">
        <f t="shared" si="62"/>
        <v/>
      </c>
      <c r="X179" s="104" t="str">
        <f t="shared" si="63"/>
        <v/>
      </c>
      <c r="Y179" s="104" t="str">
        <f t="array" ref="Y179">IFERROR(IF(ISNUMBER(O179),IF(COUNT(IF(A179=$A$2:$A$2427,IF(D179=$D$2:$D$2427,IF($X$2:$X$2427&gt;0,1))))&gt;0,SUM(IF(A179=$A$2:$A$2427,IF(D179=$D$2:$D$2427,$X$2:$X$2427)))/COUNT(IF(A179=$A$2:$A$2427,IF(D179=$D$2:$D$2427,IF(ISNUMBER($X$2:$X$2427),1)))),0),""),0)</f>
        <v/>
      </c>
      <c r="Z179" s="104" t="str">
        <f>IF(ISNUMBER(O179),IF(I179&gt;0,(10^(VLOOKUP(D179,'Species Codes'!B:C,2,0)+VLOOKUP(D179,'Species Codes'!B:D,3,0)*LOG(E179)+VLOOKUP(D179,'Species Codes'!B:E,4,0)*LOG(I179))),0),"")</f>
        <v/>
      </c>
      <c r="AA179" s="104" t="str">
        <f>IFERROR((VLOOKUP(D179,'Species Codes'!B:G,6,0)*Z179)/2000,"")</f>
        <v/>
      </c>
      <c r="AB179" s="104" t="e">
        <f>IF(Z179&gt;0,((IF(OR(D179="DF",D179="RA")=TRUE,EXP(VLOOKUP(D179,'Species Codes'!B:I,8,0)+VLOOKUP(D179,'Species Codes'!B:J,9,0)*(LN((E179*2.54)))),IF(OR(D179="PY",D179="RC",D179="WH",D179="NF")=TRUE,VLOOKUP(D179,'Species Codes'!B:I,8,0)+VLOOKUP(D179,'Species Codes'!B:J,9,0)*((E179*2.54)^2)*(I179*0.3048),IF(OR(D179="MD",D179="BM",D179="GA")=TRUE,((VLOOKUP(D179,'Species Codes'!B:I,8,0)*(((((E179*2.54)+VLOOKUP(D179,'Species Codes'!B:J,9,0))/VLOOKUP(D179,'Species Codes'!B:K,10,0))^VLOOKUP(D179,'Species Codes'!B:L,11,0))*((I179*0.3048)^VLOOKUP(D179,'Species Codes'!B:M,12,0))))-(VLOOKUP(D179,'Species Codes'!B:I,8,0)*((((E179*2.54)^VLOOKUP(D179,'Species Codes'!B:L,11,0))*((I179*0.3048)^VLOOKUP(D179,'Species Codes'!B:M,12,0))))))*35.3*VLOOKUP(D179,'Species Codes'!B:G,6,0)/2.2046,VLOOKUP(D179,'Species Codes'!B:I,8,0)+VLOOKUP(D179,'Species Codes'!B:J,9,0)*(((E179*2.54)/100)^2)*(I179*0.3048)))))*0.0011023),0)</f>
        <v>#N/A</v>
      </c>
      <c r="AC179" s="104" t="e">
        <f>IF(Z179&gt;0,((IF(OR(D179="RA",D179="OA",D179="OT",D179="UN",D179="PC"),EXP(VLOOKUP(D179,'Species Codes'!B:O,14,0)+VLOOKUP(D179,'Species Codes'!B:P,15,0)*LN((E179*2.54)))-EXP(VLOOKUP(D179,'Species Codes'!B:O,14,0)+VLOOKUP(D179,'Species Codes'!B:P,15,0)*LN((E179*2.54)))*(1/(VLOOKUP(D179,'Species Codes'!B:Q,16,0)+VLOOKUP(D179,'Species Codes'!B:R,17,0)*((E179*2.54)^VLOOKUP(D179,'Species Codes'!B:S,18,0)))),IF(OR(D179="BM",D179="MD",D179="OA"),EXP(VLOOKUP(D179,'Species Codes'!B:O,14,0)+VLOOKUP(D179,'Species Codes'!B:P,15,0)*LN((E179*2.54)))*(1-(1/(VLOOKUP(D179,'Species Codes'!B:Q,16,0)+VLOOKUP(D179,'Species Codes'!B:R,17,0)*((E179*2.54)^VLOOKUP(D179,'Species Codes'!B:S,18,0)))))/1000,IF(D179="DF",EXP(VLOOKUP(D179,'Species Codes'!B:O,14,0)+VLOOKUP(D179,'Species Codes'!B:P,15,0)*LN((E179*2.54))),VLOOKUP(D179,'Species Codes'!B:O,14,0)+VLOOKUP(D179,'Species Codes'!B:P,15,0)*(((E179*2.54)/100)^2)*(I179*0.3048)))))*0.0011023),0)</f>
        <v>#N/A</v>
      </c>
      <c r="AD179" s="104" t="e">
        <f t="shared" si="64"/>
        <v>#N/A</v>
      </c>
      <c r="AE179" s="104" t="e">
        <f t="shared" si="65"/>
        <v>#N/A</v>
      </c>
      <c r="AF179" s="104" t="e">
        <f>IF(AND(VLOOKUP($D179,Merchantability!$B:$C,2,0)="Yes",$E179&gt;=VLOOKUP($D179,Merchantability!$B:$D,3,0),$E179&lt;=VLOOKUP($D179,Merchantability!$B:$E,4,0)),AA179,0)</f>
        <v>#N/A</v>
      </c>
      <c r="AG179" s="104" t="e">
        <f>IF(AND(VLOOKUP($D179,Merchantability!$B:$C,2,0)="Yes",$E179&gt;=VLOOKUP($D179,Merchantability!$B:$D,3,0),$E179&lt;=VLOOKUP($D179,Merchantability!$B:$E,4,0)),AB179,0)</f>
        <v>#N/A</v>
      </c>
      <c r="AH179" s="104" t="e">
        <f>IF(AND(VLOOKUP($D179,Merchantability!$B:$C,2,0)="Yes",$E179&gt;=VLOOKUP($D179,Merchantability!$B:$D,3,0),$E179&lt;=VLOOKUP($D179,Merchantability!$B:$E,4,0)),AC179,0)</f>
        <v>#N/A</v>
      </c>
      <c r="AI179" s="104" t="e">
        <f t="shared" si="66"/>
        <v>#N/A</v>
      </c>
      <c r="AJ179" s="104" t="e">
        <f t="shared" si="67"/>
        <v>#VALUE!</v>
      </c>
      <c r="AK179" s="104" t="e">
        <f t="shared" si="68"/>
        <v>#N/A</v>
      </c>
      <c r="AL179" s="104" t="e">
        <f t="shared" si="69"/>
        <v>#N/A</v>
      </c>
      <c r="AM179" s="104" t="e">
        <f t="shared" si="70"/>
        <v>#N/A</v>
      </c>
      <c r="AN179" s="104" t="e">
        <f t="shared" si="71"/>
        <v>#N/A</v>
      </c>
      <c r="AO179" s="104" t="e">
        <f t="shared" si="72"/>
        <v>#N/A</v>
      </c>
      <c r="AP179" s="104" t="e">
        <f t="shared" si="73"/>
        <v>#N/A</v>
      </c>
      <c r="AQ179" s="104" t="e">
        <f t="shared" si="74"/>
        <v>#N/A</v>
      </c>
      <c r="AR179" s="105" t="str">
        <f t="shared" si="75"/>
        <v/>
      </c>
      <c r="AS179" s="105" t="str">
        <f t="shared" si="76"/>
        <v/>
      </c>
      <c r="AT179" s="108" t="str">
        <f t="shared" si="77"/>
        <v/>
      </c>
      <c r="AU179" s="108" t="str">
        <f t="shared" si="78"/>
        <v/>
      </c>
      <c r="AV179" s="107" t="str">
        <f>IF(ISNUMBER(O179),IF(VLOOKUP($A179,Stand!C:J,8,FALSE)="Short",AT179,AU179),"")</f>
        <v/>
      </c>
      <c r="AW179" s="109" t="str">
        <f t="shared" si="79"/>
        <v/>
      </c>
      <c r="AX179" s="109" t="str">
        <f t="shared" si="80"/>
        <v/>
      </c>
      <c r="AY179" s="112" t="str">
        <f>IF(ISNUMBER(O179),IF(AND(VLOOKUP($D179,Merchantability!$B:$C,2,0)="Yes",$E179&gt;=VLOOKUP($D179,Merchantability!$B:$D,3,0),$E179&lt;=VLOOKUP($D179,Merchantability!$B:$E,4,0)),(AV179*O179)*(1-$H179/100),""),"")</f>
        <v/>
      </c>
      <c r="AZ179" s="116"/>
      <c r="BA179" s="116"/>
      <c r="BB179" s="116"/>
      <c r="BE179" s="62"/>
      <c r="BF179" s="63"/>
    </row>
    <row r="180" spans="1:58" ht="12.75" customHeight="1" x14ac:dyDescent="0.25">
      <c r="A180" s="384"/>
      <c r="B180" s="380"/>
      <c r="C180" s="381"/>
      <c r="D180" s="380"/>
      <c r="E180" s="382"/>
      <c r="F180" s="331"/>
      <c r="G180" s="329"/>
      <c r="H180" s="329"/>
      <c r="I180" s="380"/>
      <c r="J180" s="381"/>
      <c r="K180" s="329"/>
      <c r="L180" s="329"/>
      <c r="M180" s="76"/>
      <c r="N180" s="103" t="str">
        <f>IF(A180="","",VLOOKUP(A180,Stand!C:K,9,0))</f>
        <v/>
      </c>
      <c r="O180" s="104" t="str">
        <f t="shared" si="54"/>
        <v/>
      </c>
      <c r="P180" s="105" t="str">
        <f t="shared" si="55"/>
        <v/>
      </c>
      <c r="Q180" s="105" t="str">
        <f t="shared" si="56"/>
        <v/>
      </c>
      <c r="R180" s="103" t="str">
        <f t="shared" si="57"/>
        <v/>
      </c>
      <c r="S180" s="103" t="str">
        <f t="shared" si="58"/>
        <v/>
      </c>
      <c r="T180" s="106" t="str">
        <f t="shared" si="59"/>
        <v/>
      </c>
      <c r="U180" s="106" t="str">
        <f t="shared" si="60"/>
        <v/>
      </c>
      <c r="V180" s="106" t="str">
        <f t="shared" si="61"/>
        <v/>
      </c>
      <c r="W180" s="105" t="str">
        <f t="shared" si="62"/>
        <v/>
      </c>
      <c r="X180" s="104" t="str">
        <f t="shared" si="63"/>
        <v/>
      </c>
      <c r="Y180" s="104" t="str">
        <f t="array" ref="Y180">IFERROR(IF(ISNUMBER(O180),IF(COUNT(IF(A180=$A$2:$A$2427,IF(D180=$D$2:$D$2427,IF($X$2:$X$2427&gt;0,1))))&gt;0,SUM(IF(A180=$A$2:$A$2427,IF(D180=$D$2:$D$2427,$X$2:$X$2427)))/COUNT(IF(A180=$A$2:$A$2427,IF(D180=$D$2:$D$2427,IF(ISNUMBER($X$2:$X$2427),1)))),0),""),0)</f>
        <v/>
      </c>
      <c r="Z180" s="104" t="str">
        <f>IF(ISNUMBER(O180),IF(I180&gt;0,(10^(VLOOKUP(D180,'Species Codes'!B:C,2,0)+VLOOKUP(D180,'Species Codes'!B:D,3,0)*LOG(E180)+VLOOKUP(D180,'Species Codes'!B:E,4,0)*LOG(I180))),0),"")</f>
        <v/>
      </c>
      <c r="AA180" s="104" t="str">
        <f>IFERROR((VLOOKUP(D180,'Species Codes'!B:G,6,0)*Z180)/2000,"")</f>
        <v/>
      </c>
      <c r="AB180" s="104" t="e">
        <f>IF(Z180&gt;0,((IF(OR(D180="DF",D180="RA")=TRUE,EXP(VLOOKUP(D180,'Species Codes'!B:I,8,0)+VLOOKUP(D180,'Species Codes'!B:J,9,0)*(LN((E180*2.54)))),IF(OR(D180="PY",D180="RC",D180="WH",D180="NF")=TRUE,VLOOKUP(D180,'Species Codes'!B:I,8,0)+VLOOKUP(D180,'Species Codes'!B:J,9,0)*((E180*2.54)^2)*(I180*0.3048),IF(OR(D180="MD",D180="BM",D180="GA")=TRUE,((VLOOKUP(D180,'Species Codes'!B:I,8,0)*(((((E180*2.54)+VLOOKUP(D180,'Species Codes'!B:J,9,0))/VLOOKUP(D180,'Species Codes'!B:K,10,0))^VLOOKUP(D180,'Species Codes'!B:L,11,0))*((I180*0.3048)^VLOOKUP(D180,'Species Codes'!B:M,12,0))))-(VLOOKUP(D180,'Species Codes'!B:I,8,0)*((((E180*2.54)^VLOOKUP(D180,'Species Codes'!B:L,11,0))*((I180*0.3048)^VLOOKUP(D180,'Species Codes'!B:M,12,0))))))*35.3*VLOOKUP(D180,'Species Codes'!B:G,6,0)/2.2046,VLOOKUP(D180,'Species Codes'!B:I,8,0)+VLOOKUP(D180,'Species Codes'!B:J,9,0)*(((E180*2.54)/100)^2)*(I180*0.3048)))))*0.0011023),0)</f>
        <v>#N/A</v>
      </c>
      <c r="AC180" s="104" t="e">
        <f>IF(Z180&gt;0,((IF(OR(D180="RA",D180="OA",D180="OT",D180="UN",D180="PC"),EXP(VLOOKUP(D180,'Species Codes'!B:O,14,0)+VLOOKUP(D180,'Species Codes'!B:P,15,0)*LN((E180*2.54)))-EXP(VLOOKUP(D180,'Species Codes'!B:O,14,0)+VLOOKUP(D180,'Species Codes'!B:P,15,0)*LN((E180*2.54)))*(1/(VLOOKUP(D180,'Species Codes'!B:Q,16,0)+VLOOKUP(D180,'Species Codes'!B:R,17,0)*((E180*2.54)^VLOOKUP(D180,'Species Codes'!B:S,18,0)))),IF(OR(D180="BM",D180="MD",D180="OA"),EXP(VLOOKUP(D180,'Species Codes'!B:O,14,0)+VLOOKUP(D180,'Species Codes'!B:P,15,0)*LN((E180*2.54)))*(1-(1/(VLOOKUP(D180,'Species Codes'!B:Q,16,0)+VLOOKUP(D180,'Species Codes'!B:R,17,0)*((E180*2.54)^VLOOKUP(D180,'Species Codes'!B:S,18,0)))))/1000,IF(D180="DF",EXP(VLOOKUP(D180,'Species Codes'!B:O,14,0)+VLOOKUP(D180,'Species Codes'!B:P,15,0)*LN((E180*2.54))),VLOOKUP(D180,'Species Codes'!B:O,14,0)+VLOOKUP(D180,'Species Codes'!B:P,15,0)*(((E180*2.54)/100)^2)*(I180*0.3048)))))*0.0011023),0)</f>
        <v>#N/A</v>
      </c>
      <c r="AD180" s="104" t="e">
        <f t="shared" si="64"/>
        <v>#N/A</v>
      </c>
      <c r="AE180" s="104" t="e">
        <f t="shared" si="65"/>
        <v>#N/A</v>
      </c>
      <c r="AF180" s="104" t="e">
        <f>IF(AND(VLOOKUP($D180,Merchantability!$B:$C,2,0)="Yes",$E180&gt;=VLOOKUP($D180,Merchantability!$B:$D,3,0),$E180&lt;=VLOOKUP($D180,Merchantability!$B:$E,4,0)),AA180,0)</f>
        <v>#N/A</v>
      </c>
      <c r="AG180" s="104" t="e">
        <f>IF(AND(VLOOKUP($D180,Merchantability!$B:$C,2,0)="Yes",$E180&gt;=VLOOKUP($D180,Merchantability!$B:$D,3,0),$E180&lt;=VLOOKUP($D180,Merchantability!$B:$E,4,0)),AB180,0)</f>
        <v>#N/A</v>
      </c>
      <c r="AH180" s="104" t="e">
        <f>IF(AND(VLOOKUP($D180,Merchantability!$B:$C,2,0)="Yes",$E180&gt;=VLOOKUP($D180,Merchantability!$B:$D,3,0),$E180&lt;=VLOOKUP($D180,Merchantability!$B:$E,4,0)),AC180,0)</f>
        <v>#N/A</v>
      </c>
      <c r="AI180" s="104" t="e">
        <f t="shared" si="66"/>
        <v>#N/A</v>
      </c>
      <c r="AJ180" s="104" t="e">
        <f t="shared" si="67"/>
        <v>#VALUE!</v>
      </c>
      <c r="AK180" s="104" t="e">
        <f t="shared" si="68"/>
        <v>#N/A</v>
      </c>
      <c r="AL180" s="104" t="e">
        <f t="shared" si="69"/>
        <v>#N/A</v>
      </c>
      <c r="AM180" s="104" t="e">
        <f t="shared" si="70"/>
        <v>#N/A</v>
      </c>
      <c r="AN180" s="104" t="e">
        <f t="shared" si="71"/>
        <v>#N/A</v>
      </c>
      <c r="AO180" s="104" t="e">
        <f t="shared" si="72"/>
        <v>#N/A</v>
      </c>
      <c r="AP180" s="104" t="e">
        <f t="shared" si="73"/>
        <v>#N/A</v>
      </c>
      <c r="AQ180" s="104" t="e">
        <f t="shared" si="74"/>
        <v>#N/A</v>
      </c>
      <c r="AR180" s="105" t="str">
        <f t="shared" si="75"/>
        <v/>
      </c>
      <c r="AS180" s="105" t="str">
        <f t="shared" si="76"/>
        <v/>
      </c>
      <c r="AT180" s="108" t="str">
        <f t="shared" si="77"/>
        <v/>
      </c>
      <c r="AU180" s="108" t="str">
        <f t="shared" si="78"/>
        <v/>
      </c>
      <c r="AV180" s="107" t="str">
        <f>IF(ISNUMBER(O180),IF(VLOOKUP($A180,Stand!C:J,8,FALSE)="Short",AT180,AU180),"")</f>
        <v/>
      </c>
      <c r="AW180" s="109" t="str">
        <f t="shared" si="79"/>
        <v/>
      </c>
      <c r="AX180" s="109" t="str">
        <f t="shared" si="80"/>
        <v/>
      </c>
      <c r="AY180" s="112" t="str">
        <f>IF(ISNUMBER(O180),IF(AND(VLOOKUP($D180,Merchantability!$B:$C,2,0)="Yes",$E180&gt;=VLOOKUP($D180,Merchantability!$B:$D,3,0),$E180&lt;=VLOOKUP($D180,Merchantability!$B:$E,4,0)),(AV180*O180)*(1-$H180/100),""),"")</f>
        <v/>
      </c>
      <c r="AZ180" s="116"/>
      <c r="BA180" s="116"/>
      <c r="BB180" s="116"/>
      <c r="BE180" s="62"/>
      <c r="BF180" s="63"/>
    </row>
    <row r="181" spans="1:58" ht="12.75" customHeight="1" x14ac:dyDescent="0.25">
      <c r="A181" s="384"/>
      <c r="B181" s="380"/>
      <c r="C181" s="381"/>
      <c r="D181" s="380"/>
      <c r="E181" s="382"/>
      <c r="F181" s="331"/>
      <c r="G181" s="329"/>
      <c r="H181" s="329"/>
      <c r="I181" s="380"/>
      <c r="J181" s="381"/>
      <c r="K181" s="329"/>
      <c r="L181" s="329"/>
      <c r="M181" s="76"/>
      <c r="N181" s="103" t="str">
        <f>IF(A181="","",VLOOKUP(A181,Stand!C:K,9,0))</f>
        <v/>
      </c>
      <c r="O181" s="104" t="str">
        <f t="shared" si="54"/>
        <v/>
      </c>
      <c r="P181" s="105" t="str">
        <f t="shared" si="55"/>
        <v/>
      </c>
      <c r="Q181" s="105" t="str">
        <f t="shared" si="56"/>
        <v/>
      </c>
      <c r="R181" s="103" t="str">
        <f t="shared" si="57"/>
        <v/>
      </c>
      <c r="S181" s="103" t="str">
        <f t="shared" si="58"/>
        <v/>
      </c>
      <c r="T181" s="106" t="str">
        <f t="shared" si="59"/>
        <v/>
      </c>
      <c r="U181" s="106" t="str">
        <f t="shared" si="60"/>
        <v/>
      </c>
      <c r="V181" s="106" t="str">
        <f t="shared" si="61"/>
        <v/>
      </c>
      <c r="W181" s="105" t="str">
        <f t="shared" si="62"/>
        <v/>
      </c>
      <c r="X181" s="104" t="str">
        <f t="shared" si="63"/>
        <v/>
      </c>
      <c r="Y181" s="104" t="str">
        <f t="array" ref="Y181">IFERROR(IF(ISNUMBER(O181),IF(COUNT(IF(A181=$A$2:$A$2427,IF(D181=$D$2:$D$2427,IF($X$2:$X$2427&gt;0,1))))&gt;0,SUM(IF(A181=$A$2:$A$2427,IF(D181=$D$2:$D$2427,$X$2:$X$2427)))/COUNT(IF(A181=$A$2:$A$2427,IF(D181=$D$2:$D$2427,IF(ISNUMBER($X$2:$X$2427),1)))),0),""),0)</f>
        <v/>
      </c>
      <c r="Z181" s="104" t="str">
        <f>IF(ISNUMBER(O181),IF(I181&gt;0,(10^(VLOOKUP(D181,'Species Codes'!B:C,2,0)+VLOOKUP(D181,'Species Codes'!B:D,3,0)*LOG(E181)+VLOOKUP(D181,'Species Codes'!B:E,4,0)*LOG(I181))),0),"")</f>
        <v/>
      </c>
      <c r="AA181" s="104" t="str">
        <f>IFERROR((VLOOKUP(D181,'Species Codes'!B:G,6,0)*Z181)/2000,"")</f>
        <v/>
      </c>
      <c r="AB181" s="104" t="e">
        <f>IF(Z181&gt;0,((IF(OR(D181="DF",D181="RA")=TRUE,EXP(VLOOKUP(D181,'Species Codes'!B:I,8,0)+VLOOKUP(D181,'Species Codes'!B:J,9,0)*(LN((E181*2.54)))),IF(OR(D181="PY",D181="RC",D181="WH",D181="NF")=TRUE,VLOOKUP(D181,'Species Codes'!B:I,8,0)+VLOOKUP(D181,'Species Codes'!B:J,9,0)*((E181*2.54)^2)*(I181*0.3048),IF(OR(D181="MD",D181="BM",D181="GA")=TRUE,((VLOOKUP(D181,'Species Codes'!B:I,8,0)*(((((E181*2.54)+VLOOKUP(D181,'Species Codes'!B:J,9,0))/VLOOKUP(D181,'Species Codes'!B:K,10,0))^VLOOKUP(D181,'Species Codes'!B:L,11,0))*((I181*0.3048)^VLOOKUP(D181,'Species Codes'!B:M,12,0))))-(VLOOKUP(D181,'Species Codes'!B:I,8,0)*((((E181*2.54)^VLOOKUP(D181,'Species Codes'!B:L,11,0))*((I181*0.3048)^VLOOKUP(D181,'Species Codes'!B:M,12,0))))))*35.3*VLOOKUP(D181,'Species Codes'!B:G,6,0)/2.2046,VLOOKUP(D181,'Species Codes'!B:I,8,0)+VLOOKUP(D181,'Species Codes'!B:J,9,0)*(((E181*2.54)/100)^2)*(I181*0.3048)))))*0.0011023),0)</f>
        <v>#N/A</v>
      </c>
      <c r="AC181" s="104" t="e">
        <f>IF(Z181&gt;0,((IF(OR(D181="RA",D181="OA",D181="OT",D181="UN",D181="PC"),EXP(VLOOKUP(D181,'Species Codes'!B:O,14,0)+VLOOKUP(D181,'Species Codes'!B:P,15,0)*LN((E181*2.54)))-EXP(VLOOKUP(D181,'Species Codes'!B:O,14,0)+VLOOKUP(D181,'Species Codes'!B:P,15,0)*LN((E181*2.54)))*(1/(VLOOKUP(D181,'Species Codes'!B:Q,16,0)+VLOOKUP(D181,'Species Codes'!B:R,17,0)*((E181*2.54)^VLOOKUP(D181,'Species Codes'!B:S,18,0)))),IF(OR(D181="BM",D181="MD",D181="OA"),EXP(VLOOKUP(D181,'Species Codes'!B:O,14,0)+VLOOKUP(D181,'Species Codes'!B:P,15,0)*LN((E181*2.54)))*(1-(1/(VLOOKUP(D181,'Species Codes'!B:Q,16,0)+VLOOKUP(D181,'Species Codes'!B:R,17,0)*((E181*2.54)^VLOOKUP(D181,'Species Codes'!B:S,18,0)))))/1000,IF(D181="DF",EXP(VLOOKUP(D181,'Species Codes'!B:O,14,0)+VLOOKUP(D181,'Species Codes'!B:P,15,0)*LN((E181*2.54))),VLOOKUP(D181,'Species Codes'!B:O,14,0)+VLOOKUP(D181,'Species Codes'!B:P,15,0)*(((E181*2.54)/100)^2)*(I181*0.3048)))))*0.0011023),0)</f>
        <v>#N/A</v>
      </c>
      <c r="AD181" s="104" t="e">
        <f t="shared" si="64"/>
        <v>#N/A</v>
      </c>
      <c r="AE181" s="104" t="e">
        <f t="shared" si="65"/>
        <v>#N/A</v>
      </c>
      <c r="AF181" s="104" t="e">
        <f>IF(AND(VLOOKUP($D181,Merchantability!$B:$C,2,0)="Yes",$E181&gt;=VLOOKUP($D181,Merchantability!$B:$D,3,0),$E181&lt;=VLOOKUP($D181,Merchantability!$B:$E,4,0)),AA181,0)</f>
        <v>#N/A</v>
      </c>
      <c r="AG181" s="104" t="e">
        <f>IF(AND(VLOOKUP($D181,Merchantability!$B:$C,2,0)="Yes",$E181&gt;=VLOOKUP($D181,Merchantability!$B:$D,3,0),$E181&lt;=VLOOKUP($D181,Merchantability!$B:$E,4,0)),AB181,0)</f>
        <v>#N/A</v>
      </c>
      <c r="AH181" s="104" t="e">
        <f>IF(AND(VLOOKUP($D181,Merchantability!$B:$C,2,0)="Yes",$E181&gt;=VLOOKUP($D181,Merchantability!$B:$D,3,0),$E181&lt;=VLOOKUP($D181,Merchantability!$B:$E,4,0)),AC181,0)</f>
        <v>#N/A</v>
      </c>
      <c r="AI181" s="104" t="e">
        <f t="shared" si="66"/>
        <v>#N/A</v>
      </c>
      <c r="AJ181" s="104" t="e">
        <f t="shared" si="67"/>
        <v>#VALUE!</v>
      </c>
      <c r="AK181" s="104" t="e">
        <f t="shared" si="68"/>
        <v>#N/A</v>
      </c>
      <c r="AL181" s="104" t="e">
        <f t="shared" si="69"/>
        <v>#N/A</v>
      </c>
      <c r="AM181" s="104" t="e">
        <f t="shared" si="70"/>
        <v>#N/A</v>
      </c>
      <c r="AN181" s="104" t="e">
        <f t="shared" si="71"/>
        <v>#N/A</v>
      </c>
      <c r="AO181" s="104" t="e">
        <f t="shared" si="72"/>
        <v>#N/A</v>
      </c>
      <c r="AP181" s="104" t="e">
        <f t="shared" si="73"/>
        <v>#N/A</v>
      </c>
      <c r="AQ181" s="104" t="e">
        <f t="shared" si="74"/>
        <v>#N/A</v>
      </c>
      <c r="AR181" s="105" t="str">
        <f t="shared" si="75"/>
        <v/>
      </c>
      <c r="AS181" s="105" t="str">
        <f t="shared" si="76"/>
        <v/>
      </c>
      <c r="AT181" s="108" t="str">
        <f t="shared" si="77"/>
        <v/>
      </c>
      <c r="AU181" s="108" t="str">
        <f t="shared" si="78"/>
        <v/>
      </c>
      <c r="AV181" s="107" t="str">
        <f>IF(ISNUMBER(O181),IF(VLOOKUP($A181,Stand!C:J,8,FALSE)="Short",AT181,AU181),"")</f>
        <v/>
      </c>
      <c r="AW181" s="109" t="str">
        <f t="shared" si="79"/>
        <v/>
      </c>
      <c r="AX181" s="109" t="str">
        <f t="shared" si="80"/>
        <v/>
      </c>
      <c r="AY181" s="112" t="str">
        <f>IF(ISNUMBER(O181),IF(AND(VLOOKUP($D181,Merchantability!$B:$C,2,0)="Yes",$E181&gt;=VLOOKUP($D181,Merchantability!$B:$D,3,0),$E181&lt;=VLOOKUP($D181,Merchantability!$B:$E,4,0)),(AV181*O181)*(1-$H181/100),""),"")</f>
        <v/>
      </c>
      <c r="AZ181" s="116"/>
      <c r="BA181" s="116"/>
      <c r="BB181" s="116"/>
      <c r="BE181" s="62"/>
      <c r="BF181" s="63"/>
    </row>
    <row r="182" spans="1:58" ht="12.75" customHeight="1" x14ac:dyDescent="0.25">
      <c r="A182" s="384"/>
      <c r="B182" s="380"/>
      <c r="C182" s="381"/>
      <c r="D182" s="380"/>
      <c r="E182" s="382"/>
      <c r="F182" s="331"/>
      <c r="G182" s="329"/>
      <c r="H182" s="329"/>
      <c r="I182" s="380"/>
      <c r="J182" s="381"/>
      <c r="K182" s="329"/>
      <c r="L182" s="329"/>
      <c r="M182" s="76"/>
      <c r="N182" s="103" t="str">
        <f>IF(A182="","",VLOOKUP(A182,Stand!C:K,9,0))</f>
        <v/>
      </c>
      <c r="O182" s="104" t="str">
        <f t="shared" si="54"/>
        <v/>
      </c>
      <c r="P182" s="105" t="str">
        <f t="shared" si="55"/>
        <v/>
      </c>
      <c r="Q182" s="105" t="str">
        <f t="shared" si="56"/>
        <v/>
      </c>
      <c r="R182" s="103" t="str">
        <f t="shared" si="57"/>
        <v/>
      </c>
      <c r="S182" s="103" t="str">
        <f t="shared" si="58"/>
        <v/>
      </c>
      <c r="T182" s="106" t="str">
        <f t="shared" si="59"/>
        <v/>
      </c>
      <c r="U182" s="106" t="str">
        <f t="shared" si="60"/>
        <v/>
      </c>
      <c r="V182" s="106" t="str">
        <f t="shared" si="61"/>
        <v/>
      </c>
      <c r="W182" s="105" t="str">
        <f t="shared" si="62"/>
        <v/>
      </c>
      <c r="X182" s="104" t="str">
        <f t="shared" si="63"/>
        <v/>
      </c>
      <c r="Y182" s="104" t="str">
        <f t="array" ref="Y182">IFERROR(IF(ISNUMBER(O182),IF(COUNT(IF(A182=$A$2:$A$2427,IF(D182=$D$2:$D$2427,IF($X$2:$X$2427&gt;0,1))))&gt;0,SUM(IF(A182=$A$2:$A$2427,IF(D182=$D$2:$D$2427,$X$2:$X$2427)))/COUNT(IF(A182=$A$2:$A$2427,IF(D182=$D$2:$D$2427,IF(ISNUMBER($X$2:$X$2427),1)))),0),""),0)</f>
        <v/>
      </c>
      <c r="Z182" s="104" t="str">
        <f>IF(ISNUMBER(O182),IF(I182&gt;0,(10^(VLOOKUP(D182,'Species Codes'!B:C,2,0)+VLOOKUP(D182,'Species Codes'!B:D,3,0)*LOG(E182)+VLOOKUP(D182,'Species Codes'!B:E,4,0)*LOG(I182))),0),"")</f>
        <v/>
      </c>
      <c r="AA182" s="104" t="str">
        <f>IFERROR((VLOOKUP(D182,'Species Codes'!B:G,6,0)*Z182)/2000,"")</f>
        <v/>
      </c>
      <c r="AB182" s="104" t="e">
        <f>IF(Z182&gt;0,((IF(OR(D182="DF",D182="RA")=TRUE,EXP(VLOOKUP(D182,'Species Codes'!B:I,8,0)+VLOOKUP(D182,'Species Codes'!B:J,9,0)*(LN((E182*2.54)))),IF(OR(D182="PY",D182="RC",D182="WH",D182="NF")=TRUE,VLOOKUP(D182,'Species Codes'!B:I,8,0)+VLOOKUP(D182,'Species Codes'!B:J,9,0)*((E182*2.54)^2)*(I182*0.3048),IF(OR(D182="MD",D182="BM",D182="GA")=TRUE,((VLOOKUP(D182,'Species Codes'!B:I,8,0)*(((((E182*2.54)+VLOOKUP(D182,'Species Codes'!B:J,9,0))/VLOOKUP(D182,'Species Codes'!B:K,10,0))^VLOOKUP(D182,'Species Codes'!B:L,11,0))*((I182*0.3048)^VLOOKUP(D182,'Species Codes'!B:M,12,0))))-(VLOOKUP(D182,'Species Codes'!B:I,8,0)*((((E182*2.54)^VLOOKUP(D182,'Species Codes'!B:L,11,0))*((I182*0.3048)^VLOOKUP(D182,'Species Codes'!B:M,12,0))))))*35.3*VLOOKUP(D182,'Species Codes'!B:G,6,0)/2.2046,VLOOKUP(D182,'Species Codes'!B:I,8,0)+VLOOKUP(D182,'Species Codes'!B:J,9,0)*(((E182*2.54)/100)^2)*(I182*0.3048)))))*0.0011023),0)</f>
        <v>#N/A</v>
      </c>
      <c r="AC182" s="104" t="e">
        <f>IF(Z182&gt;0,((IF(OR(D182="RA",D182="OA",D182="OT",D182="UN",D182="PC"),EXP(VLOOKUP(D182,'Species Codes'!B:O,14,0)+VLOOKUP(D182,'Species Codes'!B:P,15,0)*LN((E182*2.54)))-EXP(VLOOKUP(D182,'Species Codes'!B:O,14,0)+VLOOKUP(D182,'Species Codes'!B:P,15,0)*LN((E182*2.54)))*(1/(VLOOKUP(D182,'Species Codes'!B:Q,16,0)+VLOOKUP(D182,'Species Codes'!B:R,17,0)*((E182*2.54)^VLOOKUP(D182,'Species Codes'!B:S,18,0)))),IF(OR(D182="BM",D182="MD",D182="OA"),EXP(VLOOKUP(D182,'Species Codes'!B:O,14,0)+VLOOKUP(D182,'Species Codes'!B:P,15,0)*LN((E182*2.54)))*(1-(1/(VLOOKUP(D182,'Species Codes'!B:Q,16,0)+VLOOKUP(D182,'Species Codes'!B:R,17,0)*((E182*2.54)^VLOOKUP(D182,'Species Codes'!B:S,18,0)))))/1000,IF(D182="DF",EXP(VLOOKUP(D182,'Species Codes'!B:O,14,0)+VLOOKUP(D182,'Species Codes'!B:P,15,0)*LN((E182*2.54))),VLOOKUP(D182,'Species Codes'!B:O,14,0)+VLOOKUP(D182,'Species Codes'!B:P,15,0)*(((E182*2.54)/100)^2)*(I182*0.3048)))))*0.0011023),0)</f>
        <v>#N/A</v>
      </c>
      <c r="AD182" s="104" t="e">
        <f t="shared" si="64"/>
        <v>#N/A</v>
      </c>
      <c r="AE182" s="104" t="e">
        <f t="shared" si="65"/>
        <v>#N/A</v>
      </c>
      <c r="AF182" s="104" t="e">
        <f>IF(AND(VLOOKUP($D182,Merchantability!$B:$C,2,0)="Yes",$E182&gt;=VLOOKUP($D182,Merchantability!$B:$D,3,0),$E182&lt;=VLOOKUP($D182,Merchantability!$B:$E,4,0)),AA182,0)</f>
        <v>#N/A</v>
      </c>
      <c r="AG182" s="104" t="e">
        <f>IF(AND(VLOOKUP($D182,Merchantability!$B:$C,2,0)="Yes",$E182&gt;=VLOOKUP($D182,Merchantability!$B:$D,3,0),$E182&lt;=VLOOKUP($D182,Merchantability!$B:$E,4,0)),AB182,0)</f>
        <v>#N/A</v>
      </c>
      <c r="AH182" s="104" t="e">
        <f>IF(AND(VLOOKUP($D182,Merchantability!$B:$C,2,0)="Yes",$E182&gt;=VLOOKUP($D182,Merchantability!$B:$D,3,0),$E182&lt;=VLOOKUP($D182,Merchantability!$B:$E,4,0)),AC182,0)</f>
        <v>#N/A</v>
      </c>
      <c r="AI182" s="104" t="e">
        <f t="shared" si="66"/>
        <v>#N/A</v>
      </c>
      <c r="AJ182" s="104" t="e">
        <f t="shared" si="67"/>
        <v>#VALUE!</v>
      </c>
      <c r="AK182" s="104" t="e">
        <f t="shared" si="68"/>
        <v>#N/A</v>
      </c>
      <c r="AL182" s="104" t="e">
        <f t="shared" si="69"/>
        <v>#N/A</v>
      </c>
      <c r="AM182" s="104" t="e">
        <f t="shared" si="70"/>
        <v>#N/A</v>
      </c>
      <c r="AN182" s="104" t="e">
        <f t="shared" si="71"/>
        <v>#N/A</v>
      </c>
      <c r="AO182" s="104" t="e">
        <f t="shared" si="72"/>
        <v>#N/A</v>
      </c>
      <c r="AP182" s="104" t="e">
        <f t="shared" si="73"/>
        <v>#N/A</v>
      </c>
      <c r="AQ182" s="104" t="e">
        <f t="shared" si="74"/>
        <v>#N/A</v>
      </c>
      <c r="AR182" s="105" t="str">
        <f t="shared" si="75"/>
        <v/>
      </c>
      <c r="AS182" s="105" t="str">
        <f t="shared" si="76"/>
        <v/>
      </c>
      <c r="AT182" s="108" t="str">
        <f t="shared" si="77"/>
        <v/>
      </c>
      <c r="AU182" s="108" t="str">
        <f t="shared" si="78"/>
        <v/>
      </c>
      <c r="AV182" s="107" t="str">
        <f>IF(ISNUMBER(O182),IF(VLOOKUP($A182,Stand!C:J,8,FALSE)="Short",AT182,AU182),"")</f>
        <v/>
      </c>
      <c r="AW182" s="109" t="str">
        <f t="shared" si="79"/>
        <v/>
      </c>
      <c r="AX182" s="109" t="str">
        <f t="shared" si="80"/>
        <v/>
      </c>
      <c r="AY182" s="112" t="str">
        <f>IF(ISNUMBER(O182),IF(AND(VLOOKUP($D182,Merchantability!$B:$C,2,0)="Yes",$E182&gt;=VLOOKUP($D182,Merchantability!$B:$D,3,0),$E182&lt;=VLOOKUP($D182,Merchantability!$B:$E,4,0)),(AV182*O182)*(1-$H182/100),""),"")</f>
        <v/>
      </c>
      <c r="AZ182" s="116"/>
      <c r="BA182" s="116"/>
      <c r="BB182" s="116"/>
      <c r="BE182" s="62"/>
      <c r="BF182" s="63"/>
    </row>
    <row r="183" spans="1:58" ht="12.75" customHeight="1" x14ac:dyDescent="0.25">
      <c r="A183" s="384"/>
      <c r="B183" s="380"/>
      <c r="C183" s="381"/>
      <c r="D183" s="380"/>
      <c r="E183" s="382"/>
      <c r="F183" s="331"/>
      <c r="G183" s="329"/>
      <c r="H183" s="329"/>
      <c r="I183" s="380"/>
      <c r="J183" s="381"/>
      <c r="K183" s="329"/>
      <c r="L183" s="329"/>
      <c r="M183" s="76"/>
      <c r="N183" s="103" t="str">
        <f>IF(A183="","",VLOOKUP(A183,Stand!C:K,9,0))</f>
        <v/>
      </c>
      <c r="O183" s="104" t="str">
        <f t="shared" si="54"/>
        <v/>
      </c>
      <c r="P183" s="105" t="str">
        <f t="shared" si="55"/>
        <v/>
      </c>
      <c r="Q183" s="105" t="str">
        <f t="shared" si="56"/>
        <v/>
      </c>
      <c r="R183" s="103" t="str">
        <f t="shared" si="57"/>
        <v/>
      </c>
      <c r="S183" s="103" t="str">
        <f t="shared" si="58"/>
        <v/>
      </c>
      <c r="T183" s="106" t="str">
        <f t="shared" si="59"/>
        <v/>
      </c>
      <c r="U183" s="106" t="str">
        <f t="shared" si="60"/>
        <v/>
      </c>
      <c r="V183" s="106" t="str">
        <f t="shared" si="61"/>
        <v/>
      </c>
      <c r="W183" s="105" t="str">
        <f t="shared" si="62"/>
        <v/>
      </c>
      <c r="X183" s="104" t="str">
        <f t="shared" si="63"/>
        <v/>
      </c>
      <c r="Y183" s="104" t="str">
        <f t="array" ref="Y183">IFERROR(IF(ISNUMBER(O183),IF(COUNT(IF(A183=$A$2:$A$2427,IF(D183=$D$2:$D$2427,IF($X$2:$X$2427&gt;0,1))))&gt;0,SUM(IF(A183=$A$2:$A$2427,IF(D183=$D$2:$D$2427,$X$2:$X$2427)))/COUNT(IF(A183=$A$2:$A$2427,IF(D183=$D$2:$D$2427,IF(ISNUMBER($X$2:$X$2427),1)))),0),""),0)</f>
        <v/>
      </c>
      <c r="Z183" s="104" t="str">
        <f>IF(ISNUMBER(O183),IF(I183&gt;0,(10^(VLOOKUP(D183,'Species Codes'!B:C,2,0)+VLOOKUP(D183,'Species Codes'!B:D,3,0)*LOG(E183)+VLOOKUP(D183,'Species Codes'!B:E,4,0)*LOG(I183))),0),"")</f>
        <v/>
      </c>
      <c r="AA183" s="104" t="str">
        <f>IFERROR((VLOOKUP(D183,'Species Codes'!B:G,6,0)*Z183)/2000,"")</f>
        <v/>
      </c>
      <c r="AB183" s="104" t="e">
        <f>IF(Z183&gt;0,((IF(OR(D183="DF",D183="RA")=TRUE,EXP(VLOOKUP(D183,'Species Codes'!B:I,8,0)+VLOOKUP(D183,'Species Codes'!B:J,9,0)*(LN((E183*2.54)))),IF(OR(D183="PY",D183="RC",D183="WH",D183="NF")=TRUE,VLOOKUP(D183,'Species Codes'!B:I,8,0)+VLOOKUP(D183,'Species Codes'!B:J,9,0)*((E183*2.54)^2)*(I183*0.3048),IF(OR(D183="MD",D183="BM",D183="GA")=TRUE,((VLOOKUP(D183,'Species Codes'!B:I,8,0)*(((((E183*2.54)+VLOOKUP(D183,'Species Codes'!B:J,9,0))/VLOOKUP(D183,'Species Codes'!B:K,10,0))^VLOOKUP(D183,'Species Codes'!B:L,11,0))*((I183*0.3048)^VLOOKUP(D183,'Species Codes'!B:M,12,0))))-(VLOOKUP(D183,'Species Codes'!B:I,8,0)*((((E183*2.54)^VLOOKUP(D183,'Species Codes'!B:L,11,0))*((I183*0.3048)^VLOOKUP(D183,'Species Codes'!B:M,12,0))))))*35.3*VLOOKUP(D183,'Species Codes'!B:G,6,0)/2.2046,VLOOKUP(D183,'Species Codes'!B:I,8,0)+VLOOKUP(D183,'Species Codes'!B:J,9,0)*(((E183*2.54)/100)^2)*(I183*0.3048)))))*0.0011023),0)</f>
        <v>#N/A</v>
      </c>
      <c r="AC183" s="104" t="e">
        <f>IF(Z183&gt;0,((IF(OR(D183="RA",D183="OA",D183="OT",D183="UN",D183="PC"),EXP(VLOOKUP(D183,'Species Codes'!B:O,14,0)+VLOOKUP(D183,'Species Codes'!B:P,15,0)*LN((E183*2.54)))-EXP(VLOOKUP(D183,'Species Codes'!B:O,14,0)+VLOOKUP(D183,'Species Codes'!B:P,15,0)*LN((E183*2.54)))*(1/(VLOOKUP(D183,'Species Codes'!B:Q,16,0)+VLOOKUP(D183,'Species Codes'!B:R,17,0)*((E183*2.54)^VLOOKUP(D183,'Species Codes'!B:S,18,0)))),IF(OR(D183="BM",D183="MD",D183="OA"),EXP(VLOOKUP(D183,'Species Codes'!B:O,14,0)+VLOOKUP(D183,'Species Codes'!B:P,15,0)*LN((E183*2.54)))*(1-(1/(VLOOKUP(D183,'Species Codes'!B:Q,16,0)+VLOOKUP(D183,'Species Codes'!B:R,17,0)*((E183*2.54)^VLOOKUP(D183,'Species Codes'!B:S,18,0)))))/1000,IF(D183="DF",EXP(VLOOKUP(D183,'Species Codes'!B:O,14,0)+VLOOKUP(D183,'Species Codes'!B:P,15,0)*LN((E183*2.54))),VLOOKUP(D183,'Species Codes'!B:O,14,0)+VLOOKUP(D183,'Species Codes'!B:P,15,0)*(((E183*2.54)/100)^2)*(I183*0.3048)))))*0.0011023),0)</f>
        <v>#N/A</v>
      </c>
      <c r="AD183" s="104" t="e">
        <f t="shared" si="64"/>
        <v>#N/A</v>
      </c>
      <c r="AE183" s="104" t="e">
        <f t="shared" si="65"/>
        <v>#N/A</v>
      </c>
      <c r="AF183" s="104" t="e">
        <f>IF(AND(VLOOKUP($D183,Merchantability!$B:$C,2,0)="Yes",$E183&gt;=VLOOKUP($D183,Merchantability!$B:$D,3,0),$E183&lt;=VLOOKUP($D183,Merchantability!$B:$E,4,0)),AA183,0)</f>
        <v>#N/A</v>
      </c>
      <c r="AG183" s="104" t="e">
        <f>IF(AND(VLOOKUP($D183,Merchantability!$B:$C,2,0)="Yes",$E183&gt;=VLOOKUP($D183,Merchantability!$B:$D,3,0),$E183&lt;=VLOOKUP($D183,Merchantability!$B:$E,4,0)),AB183,0)</f>
        <v>#N/A</v>
      </c>
      <c r="AH183" s="104" t="e">
        <f>IF(AND(VLOOKUP($D183,Merchantability!$B:$C,2,0)="Yes",$E183&gt;=VLOOKUP($D183,Merchantability!$B:$D,3,0),$E183&lt;=VLOOKUP($D183,Merchantability!$B:$E,4,0)),AC183,0)</f>
        <v>#N/A</v>
      </c>
      <c r="AI183" s="104" t="e">
        <f t="shared" si="66"/>
        <v>#N/A</v>
      </c>
      <c r="AJ183" s="104" t="e">
        <f t="shared" si="67"/>
        <v>#VALUE!</v>
      </c>
      <c r="AK183" s="104" t="e">
        <f t="shared" si="68"/>
        <v>#N/A</v>
      </c>
      <c r="AL183" s="104" t="e">
        <f t="shared" si="69"/>
        <v>#N/A</v>
      </c>
      <c r="AM183" s="104" t="e">
        <f t="shared" si="70"/>
        <v>#N/A</v>
      </c>
      <c r="AN183" s="104" t="e">
        <f t="shared" si="71"/>
        <v>#N/A</v>
      </c>
      <c r="AO183" s="104" t="e">
        <f t="shared" si="72"/>
        <v>#N/A</v>
      </c>
      <c r="AP183" s="104" t="e">
        <f t="shared" si="73"/>
        <v>#N/A</v>
      </c>
      <c r="AQ183" s="104" t="e">
        <f t="shared" si="74"/>
        <v>#N/A</v>
      </c>
      <c r="AR183" s="105" t="str">
        <f t="shared" si="75"/>
        <v/>
      </c>
      <c r="AS183" s="105" t="str">
        <f t="shared" si="76"/>
        <v/>
      </c>
      <c r="AT183" s="108" t="str">
        <f t="shared" si="77"/>
        <v/>
      </c>
      <c r="AU183" s="108" t="str">
        <f t="shared" si="78"/>
        <v/>
      </c>
      <c r="AV183" s="107" t="str">
        <f>IF(ISNUMBER(O183),IF(VLOOKUP($A183,Stand!C:J,8,FALSE)="Short",AT183,AU183),"")</f>
        <v/>
      </c>
      <c r="AW183" s="109" t="str">
        <f t="shared" si="79"/>
        <v/>
      </c>
      <c r="AX183" s="109" t="str">
        <f t="shared" si="80"/>
        <v/>
      </c>
      <c r="AY183" s="112" t="str">
        <f>IF(ISNUMBER(O183),IF(AND(VLOOKUP($D183,Merchantability!$B:$C,2,0)="Yes",$E183&gt;=VLOOKUP($D183,Merchantability!$B:$D,3,0),$E183&lt;=VLOOKUP($D183,Merchantability!$B:$E,4,0)),(AV183*O183)*(1-$H183/100),""),"")</f>
        <v/>
      </c>
      <c r="AZ183" s="116"/>
      <c r="BA183" s="116"/>
      <c r="BB183" s="116"/>
      <c r="BE183" s="62"/>
      <c r="BF183" s="63"/>
    </row>
    <row r="184" spans="1:58" ht="12.75" customHeight="1" x14ac:dyDescent="0.25">
      <c r="A184" s="384"/>
      <c r="B184" s="380"/>
      <c r="C184" s="381"/>
      <c r="D184" s="380"/>
      <c r="E184" s="382"/>
      <c r="F184" s="331"/>
      <c r="G184" s="329"/>
      <c r="H184" s="329"/>
      <c r="I184" s="380"/>
      <c r="J184" s="381"/>
      <c r="K184" s="329"/>
      <c r="L184" s="329"/>
      <c r="M184" s="76"/>
      <c r="N184" s="103" t="str">
        <f>IF(A184="","",VLOOKUP(A184,Stand!C:K,9,0))</f>
        <v/>
      </c>
      <c r="O184" s="104" t="str">
        <f t="shared" si="54"/>
        <v/>
      </c>
      <c r="P184" s="105" t="str">
        <f t="shared" si="55"/>
        <v/>
      </c>
      <c r="Q184" s="105" t="str">
        <f t="shared" si="56"/>
        <v/>
      </c>
      <c r="R184" s="103" t="str">
        <f t="shared" si="57"/>
        <v/>
      </c>
      <c r="S184" s="103" t="str">
        <f t="shared" si="58"/>
        <v/>
      </c>
      <c r="T184" s="106" t="str">
        <f t="shared" si="59"/>
        <v/>
      </c>
      <c r="U184" s="106" t="str">
        <f t="shared" si="60"/>
        <v/>
      </c>
      <c r="V184" s="106" t="str">
        <f t="shared" si="61"/>
        <v/>
      </c>
      <c r="W184" s="105" t="str">
        <f t="shared" si="62"/>
        <v/>
      </c>
      <c r="X184" s="104" t="str">
        <f t="shared" si="63"/>
        <v/>
      </c>
      <c r="Y184" s="104" t="str">
        <f t="array" ref="Y184">IFERROR(IF(ISNUMBER(O184),IF(COUNT(IF(A184=$A$2:$A$2427,IF(D184=$D$2:$D$2427,IF($X$2:$X$2427&gt;0,1))))&gt;0,SUM(IF(A184=$A$2:$A$2427,IF(D184=$D$2:$D$2427,$X$2:$X$2427)))/COUNT(IF(A184=$A$2:$A$2427,IF(D184=$D$2:$D$2427,IF(ISNUMBER($X$2:$X$2427),1)))),0),""),0)</f>
        <v/>
      </c>
      <c r="Z184" s="104" t="str">
        <f>IF(ISNUMBER(O184),IF(I184&gt;0,(10^(VLOOKUP(D184,'Species Codes'!B:C,2,0)+VLOOKUP(D184,'Species Codes'!B:D,3,0)*LOG(E184)+VLOOKUP(D184,'Species Codes'!B:E,4,0)*LOG(I184))),0),"")</f>
        <v/>
      </c>
      <c r="AA184" s="104" t="str">
        <f>IFERROR((VLOOKUP(D184,'Species Codes'!B:G,6,0)*Z184)/2000,"")</f>
        <v/>
      </c>
      <c r="AB184" s="104" t="e">
        <f>IF(Z184&gt;0,((IF(OR(D184="DF",D184="RA")=TRUE,EXP(VLOOKUP(D184,'Species Codes'!B:I,8,0)+VLOOKUP(D184,'Species Codes'!B:J,9,0)*(LN((E184*2.54)))),IF(OR(D184="PY",D184="RC",D184="WH",D184="NF")=TRUE,VLOOKUP(D184,'Species Codes'!B:I,8,0)+VLOOKUP(D184,'Species Codes'!B:J,9,0)*((E184*2.54)^2)*(I184*0.3048),IF(OR(D184="MD",D184="BM",D184="GA")=TRUE,((VLOOKUP(D184,'Species Codes'!B:I,8,0)*(((((E184*2.54)+VLOOKUP(D184,'Species Codes'!B:J,9,0))/VLOOKUP(D184,'Species Codes'!B:K,10,0))^VLOOKUP(D184,'Species Codes'!B:L,11,0))*((I184*0.3048)^VLOOKUP(D184,'Species Codes'!B:M,12,0))))-(VLOOKUP(D184,'Species Codes'!B:I,8,0)*((((E184*2.54)^VLOOKUP(D184,'Species Codes'!B:L,11,0))*((I184*0.3048)^VLOOKUP(D184,'Species Codes'!B:M,12,0))))))*35.3*VLOOKUP(D184,'Species Codes'!B:G,6,0)/2.2046,VLOOKUP(D184,'Species Codes'!B:I,8,0)+VLOOKUP(D184,'Species Codes'!B:J,9,0)*(((E184*2.54)/100)^2)*(I184*0.3048)))))*0.0011023),0)</f>
        <v>#N/A</v>
      </c>
      <c r="AC184" s="104" t="e">
        <f>IF(Z184&gt;0,((IF(OR(D184="RA",D184="OA",D184="OT",D184="UN",D184="PC"),EXP(VLOOKUP(D184,'Species Codes'!B:O,14,0)+VLOOKUP(D184,'Species Codes'!B:P,15,0)*LN((E184*2.54)))-EXP(VLOOKUP(D184,'Species Codes'!B:O,14,0)+VLOOKUP(D184,'Species Codes'!B:P,15,0)*LN((E184*2.54)))*(1/(VLOOKUP(D184,'Species Codes'!B:Q,16,0)+VLOOKUP(D184,'Species Codes'!B:R,17,0)*((E184*2.54)^VLOOKUP(D184,'Species Codes'!B:S,18,0)))),IF(OR(D184="BM",D184="MD",D184="OA"),EXP(VLOOKUP(D184,'Species Codes'!B:O,14,0)+VLOOKUP(D184,'Species Codes'!B:P,15,0)*LN((E184*2.54)))*(1-(1/(VLOOKUP(D184,'Species Codes'!B:Q,16,0)+VLOOKUP(D184,'Species Codes'!B:R,17,0)*((E184*2.54)^VLOOKUP(D184,'Species Codes'!B:S,18,0)))))/1000,IF(D184="DF",EXP(VLOOKUP(D184,'Species Codes'!B:O,14,0)+VLOOKUP(D184,'Species Codes'!B:P,15,0)*LN((E184*2.54))),VLOOKUP(D184,'Species Codes'!B:O,14,0)+VLOOKUP(D184,'Species Codes'!B:P,15,0)*(((E184*2.54)/100)^2)*(I184*0.3048)))))*0.0011023),0)</f>
        <v>#N/A</v>
      </c>
      <c r="AD184" s="104" t="e">
        <f t="shared" si="64"/>
        <v>#N/A</v>
      </c>
      <c r="AE184" s="104" t="e">
        <f t="shared" si="65"/>
        <v>#N/A</v>
      </c>
      <c r="AF184" s="104" t="e">
        <f>IF(AND(VLOOKUP($D184,Merchantability!$B:$C,2,0)="Yes",$E184&gt;=VLOOKUP($D184,Merchantability!$B:$D,3,0),$E184&lt;=VLOOKUP($D184,Merchantability!$B:$E,4,0)),AA184,0)</f>
        <v>#N/A</v>
      </c>
      <c r="AG184" s="104" t="e">
        <f>IF(AND(VLOOKUP($D184,Merchantability!$B:$C,2,0)="Yes",$E184&gt;=VLOOKUP($D184,Merchantability!$B:$D,3,0),$E184&lt;=VLOOKUP($D184,Merchantability!$B:$E,4,0)),AB184,0)</f>
        <v>#N/A</v>
      </c>
      <c r="AH184" s="104" t="e">
        <f>IF(AND(VLOOKUP($D184,Merchantability!$B:$C,2,0)="Yes",$E184&gt;=VLOOKUP($D184,Merchantability!$B:$D,3,0),$E184&lt;=VLOOKUP($D184,Merchantability!$B:$E,4,0)),AC184,0)</f>
        <v>#N/A</v>
      </c>
      <c r="AI184" s="104" t="e">
        <f t="shared" si="66"/>
        <v>#N/A</v>
      </c>
      <c r="AJ184" s="104" t="e">
        <f t="shared" si="67"/>
        <v>#VALUE!</v>
      </c>
      <c r="AK184" s="104" t="e">
        <f t="shared" si="68"/>
        <v>#N/A</v>
      </c>
      <c r="AL184" s="104" t="e">
        <f t="shared" si="69"/>
        <v>#N/A</v>
      </c>
      <c r="AM184" s="104" t="e">
        <f t="shared" si="70"/>
        <v>#N/A</v>
      </c>
      <c r="AN184" s="104" t="e">
        <f t="shared" si="71"/>
        <v>#N/A</v>
      </c>
      <c r="AO184" s="104" t="e">
        <f t="shared" si="72"/>
        <v>#N/A</v>
      </c>
      <c r="AP184" s="104" t="e">
        <f t="shared" si="73"/>
        <v>#N/A</v>
      </c>
      <c r="AQ184" s="104" t="e">
        <f t="shared" si="74"/>
        <v>#N/A</v>
      </c>
      <c r="AR184" s="105" t="str">
        <f t="shared" si="75"/>
        <v/>
      </c>
      <c r="AS184" s="105" t="str">
        <f t="shared" si="76"/>
        <v/>
      </c>
      <c r="AT184" s="108" t="str">
        <f t="shared" si="77"/>
        <v/>
      </c>
      <c r="AU184" s="108" t="str">
        <f t="shared" si="78"/>
        <v/>
      </c>
      <c r="AV184" s="107" t="str">
        <f>IF(ISNUMBER(O184),IF(VLOOKUP($A184,Stand!C:J,8,FALSE)="Short",AT184,AU184),"")</f>
        <v/>
      </c>
      <c r="AW184" s="109" t="str">
        <f t="shared" si="79"/>
        <v/>
      </c>
      <c r="AX184" s="109" t="str">
        <f t="shared" si="80"/>
        <v/>
      </c>
      <c r="AY184" s="112" t="str">
        <f>IF(ISNUMBER(O184),IF(AND(VLOOKUP($D184,Merchantability!$B:$C,2,0)="Yes",$E184&gt;=VLOOKUP($D184,Merchantability!$B:$D,3,0),$E184&lt;=VLOOKUP($D184,Merchantability!$B:$E,4,0)),(AV184*O184)*(1-$H184/100),""),"")</f>
        <v/>
      </c>
      <c r="AZ184" s="116"/>
      <c r="BA184" s="116"/>
      <c r="BB184" s="116"/>
      <c r="BE184" s="62"/>
      <c r="BF184" s="63"/>
    </row>
    <row r="185" spans="1:58" ht="12.75" customHeight="1" x14ac:dyDescent="0.25">
      <c r="A185" s="384"/>
      <c r="B185" s="380"/>
      <c r="C185" s="381"/>
      <c r="D185" s="380"/>
      <c r="E185" s="382"/>
      <c r="F185" s="331"/>
      <c r="G185" s="329"/>
      <c r="H185" s="329"/>
      <c r="I185" s="380"/>
      <c r="J185" s="381"/>
      <c r="K185" s="329"/>
      <c r="L185" s="329"/>
      <c r="M185" s="76"/>
      <c r="N185" s="103" t="str">
        <f>IF(A185="","",VLOOKUP(A185,Stand!C:K,9,0))</f>
        <v/>
      </c>
      <c r="O185" s="104" t="str">
        <f t="shared" si="54"/>
        <v/>
      </c>
      <c r="P185" s="105" t="str">
        <f t="shared" si="55"/>
        <v/>
      </c>
      <c r="Q185" s="105" t="str">
        <f t="shared" si="56"/>
        <v/>
      </c>
      <c r="R185" s="103" t="str">
        <f t="shared" si="57"/>
        <v/>
      </c>
      <c r="S185" s="103" t="str">
        <f t="shared" si="58"/>
        <v/>
      </c>
      <c r="T185" s="106" t="str">
        <f t="shared" si="59"/>
        <v/>
      </c>
      <c r="U185" s="106" t="str">
        <f t="shared" si="60"/>
        <v/>
      </c>
      <c r="V185" s="106" t="str">
        <f t="shared" si="61"/>
        <v/>
      </c>
      <c r="W185" s="105" t="str">
        <f t="shared" si="62"/>
        <v/>
      </c>
      <c r="X185" s="104" t="str">
        <f t="shared" si="63"/>
        <v/>
      </c>
      <c r="Y185" s="104" t="str">
        <f t="array" ref="Y185">IFERROR(IF(ISNUMBER(O185),IF(COUNT(IF(A185=$A$2:$A$2427,IF(D185=$D$2:$D$2427,IF($X$2:$X$2427&gt;0,1))))&gt;0,SUM(IF(A185=$A$2:$A$2427,IF(D185=$D$2:$D$2427,$X$2:$X$2427)))/COUNT(IF(A185=$A$2:$A$2427,IF(D185=$D$2:$D$2427,IF(ISNUMBER($X$2:$X$2427),1)))),0),""),0)</f>
        <v/>
      </c>
      <c r="Z185" s="104" t="str">
        <f>IF(ISNUMBER(O185),IF(I185&gt;0,(10^(VLOOKUP(D185,'Species Codes'!B:C,2,0)+VLOOKUP(D185,'Species Codes'!B:D,3,0)*LOG(E185)+VLOOKUP(D185,'Species Codes'!B:E,4,0)*LOG(I185))),0),"")</f>
        <v/>
      </c>
      <c r="AA185" s="104" t="str">
        <f>IFERROR((VLOOKUP(D185,'Species Codes'!B:G,6,0)*Z185)/2000,"")</f>
        <v/>
      </c>
      <c r="AB185" s="104" t="e">
        <f>IF(Z185&gt;0,((IF(OR(D185="DF",D185="RA")=TRUE,EXP(VLOOKUP(D185,'Species Codes'!B:I,8,0)+VLOOKUP(D185,'Species Codes'!B:J,9,0)*(LN((E185*2.54)))),IF(OR(D185="PY",D185="RC",D185="WH",D185="NF")=TRUE,VLOOKUP(D185,'Species Codes'!B:I,8,0)+VLOOKUP(D185,'Species Codes'!B:J,9,0)*((E185*2.54)^2)*(I185*0.3048),IF(OR(D185="MD",D185="BM",D185="GA")=TRUE,((VLOOKUP(D185,'Species Codes'!B:I,8,0)*(((((E185*2.54)+VLOOKUP(D185,'Species Codes'!B:J,9,0))/VLOOKUP(D185,'Species Codes'!B:K,10,0))^VLOOKUP(D185,'Species Codes'!B:L,11,0))*((I185*0.3048)^VLOOKUP(D185,'Species Codes'!B:M,12,0))))-(VLOOKUP(D185,'Species Codes'!B:I,8,0)*((((E185*2.54)^VLOOKUP(D185,'Species Codes'!B:L,11,0))*((I185*0.3048)^VLOOKUP(D185,'Species Codes'!B:M,12,0))))))*35.3*VLOOKUP(D185,'Species Codes'!B:G,6,0)/2.2046,VLOOKUP(D185,'Species Codes'!B:I,8,0)+VLOOKUP(D185,'Species Codes'!B:J,9,0)*(((E185*2.54)/100)^2)*(I185*0.3048)))))*0.0011023),0)</f>
        <v>#N/A</v>
      </c>
      <c r="AC185" s="104" t="e">
        <f>IF(Z185&gt;0,((IF(OR(D185="RA",D185="OA",D185="OT",D185="UN",D185="PC"),EXP(VLOOKUP(D185,'Species Codes'!B:O,14,0)+VLOOKUP(D185,'Species Codes'!B:P,15,0)*LN((E185*2.54)))-EXP(VLOOKUP(D185,'Species Codes'!B:O,14,0)+VLOOKUP(D185,'Species Codes'!B:P,15,0)*LN((E185*2.54)))*(1/(VLOOKUP(D185,'Species Codes'!B:Q,16,0)+VLOOKUP(D185,'Species Codes'!B:R,17,0)*((E185*2.54)^VLOOKUP(D185,'Species Codes'!B:S,18,0)))),IF(OR(D185="BM",D185="MD",D185="OA"),EXP(VLOOKUP(D185,'Species Codes'!B:O,14,0)+VLOOKUP(D185,'Species Codes'!B:P,15,0)*LN((E185*2.54)))*(1-(1/(VLOOKUP(D185,'Species Codes'!B:Q,16,0)+VLOOKUP(D185,'Species Codes'!B:R,17,0)*((E185*2.54)^VLOOKUP(D185,'Species Codes'!B:S,18,0)))))/1000,IF(D185="DF",EXP(VLOOKUP(D185,'Species Codes'!B:O,14,0)+VLOOKUP(D185,'Species Codes'!B:P,15,0)*LN((E185*2.54))),VLOOKUP(D185,'Species Codes'!B:O,14,0)+VLOOKUP(D185,'Species Codes'!B:P,15,0)*(((E185*2.54)/100)^2)*(I185*0.3048)))))*0.0011023),0)</f>
        <v>#N/A</v>
      </c>
      <c r="AD185" s="104" t="e">
        <f t="shared" si="64"/>
        <v>#N/A</v>
      </c>
      <c r="AE185" s="104" t="e">
        <f t="shared" si="65"/>
        <v>#N/A</v>
      </c>
      <c r="AF185" s="104" t="e">
        <f>IF(AND(VLOOKUP($D185,Merchantability!$B:$C,2,0)="Yes",$E185&gt;=VLOOKUP($D185,Merchantability!$B:$D,3,0),$E185&lt;=VLOOKUP($D185,Merchantability!$B:$E,4,0)),AA185,0)</f>
        <v>#N/A</v>
      </c>
      <c r="AG185" s="104" t="e">
        <f>IF(AND(VLOOKUP($D185,Merchantability!$B:$C,2,0)="Yes",$E185&gt;=VLOOKUP($D185,Merchantability!$B:$D,3,0),$E185&lt;=VLOOKUP($D185,Merchantability!$B:$E,4,0)),AB185,0)</f>
        <v>#N/A</v>
      </c>
      <c r="AH185" s="104" t="e">
        <f>IF(AND(VLOOKUP($D185,Merchantability!$B:$C,2,0)="Yes",$E185&gt;=VLOOKUP($D185,Merchantability!$B:$D,3,0),$E185&lt;=VLOOKUP($D185,Merchantability!$B:$E,4,0)),AC185,0)</f>
        <v>#N/A</v>
      </c>
      <c r="AI185" s="104" t="e">
        <f t="shared" si="66"/>
        <v>#N/A</v>
      </c>
      <c r="AJ185" s="104" t="e">
        <f t="shared" si="67"/>
        <v>#VALUE!</v>
      </c>
      <c r="AK185" s="104" t="e">
        <f t="shared" si="68"/>
        <v>#N/A</v>
      </c>
      <c r="AL185" s="104" t="e">
        <f t="shared" si="69"/>
        <v>#N/A</v>
      </c>
      <c r="AM185" s="104" t="e">
        <f t="shared" si="70"/>
        <v>#N/A</v>
      </c>
      <c r="AN185" s="104" t="e">
        <f t="shared" si="71"/>
        <v>#N/A</v>
      </c>
      <c r="AO185" s="104" t="e">
        <f t="shared" si="72"/>
        <v>#N/A</v>
      </c>
      <c r="AP185" s="104" t="e">
        <f t="shared" si="73"/>
        <v>#N/A</v>
      </c>
      <c r="AQ185" s="104" t="e">
        <f t="shared" si="74"/>
        <v>#N/A</v>
      </c>
      <c r="AR185" s="105" t="str">
        <f t="shared" si="75"/>
        <v/>
      </c>
      <c r="AS185" s="105" t="str">
        <f t="shared" si="76"/>
        <v/>
      </c>
      <c r="AT185" s="108" t="str">
        <f t="shared" si="77"/>
        <v/>
      </c>
      <c r="AU185" s="108" t="str">
        <f t="shared" si="78"/>
        <v/>
      </c>
      <c r="AV185" s="107" t="str">
        <f>IF(ISNUMBER(O185),IF(VLOOKUP($A185,Stand!C:J,8,FALSE)="Short",AT185,AU185),"")</f>
        <v/>
      </c>
      <c r="AW185" s="109" t="str">
        <f t="shared" si="79"/>
        <v/>
      </c>
      <c r="AX185" s="109" t="str">
        <f t="shared" si="80"/>
        <v/>
      </c>
      <c r="AY185" s="112" t="str">
        <f>IF(ISNUMBER(O185),IF(AND(VLOOKUP($D185,Merchantability!$B:$C,2,0)="Yes",$E185&gt;=VLOOKUP($D185,Merchantability!$B:$D,3,0),$E185&lt;=VLOOKUP($D185,Merchantability!$B:$E,4,0)),(AV185*O185)*(1-$H185/100),""),"")</f>
        <v/>
      </c>
      <c r="AZ185" s="116"/>
      <c r="BA185" s="116"/>
      <c r="BB185" s="116"/>
      <c r="BE185" s="62"/>
      <c r="BF185" s="63"/>
    </row>
    <row r="186" spans="1:58" ht="12.75" customHeight="1" x14ac:dyDescent="0.25">
      <c r="A186" s="384"/>
      <c r="B186" s="380"/>
      <c r="C186" s="381"/>
      <c r="D186" s="380"/>
      <c r="E186" s="382"/>
      <c r="F186" s="331"/>
      <c r="G186" s="329"/>
      <c r="H186" s="329"/>
      <c r="I186" s="380"/>
      <c r="J186" s="381"/>
      <c r="K186" s="329"/>
      <c r="L186" s="329"/>
      <c r="M186" s="76"/>
      <c r="N186" s="103" t="str">
        <f>IF(A186="","",VLOOKUP(A186,Stand!C:K,9,0))</f>
        <v/>
      </c>
      <c r="O186" s="104" t="str">
        <f t="shared" si="54"/>
        <v/>
      </c>
      <c r="P186" s="105" t="str">
        <f t="shared" si="55"/>
        <v/>
      </c>
      <c r="Q186" s="105" t="str">
        <f t="shared" si="56"/>
        <v/>
      </c>
      <c r="R186" s="103" t="str">
        <f t="shared" si="57"/>
        <v/>
      </c>
      <c r="S186" s="103" t="str">
        <f t="shared" si="58"/>
        <v/>
      </c>
      <c r="T186" s="106" t="str">
        <f t="shared" si="59"/>
        <v/>
      </c>
      <c r="U186" s="106" t="str">
        <f t="shared" si="60"/>
        <v/>
      </c>
      <c r="V186" s="106" t="str">
        <f t="shared" si="61"/>
        <v/>
      </c>
      <c r="W186" s="105" t="str">
        <f t="shared" si="62"/>
        <v/>
      </c>
      <c r="X186" s="104" t="str">
        <f t="shared" si="63"/>
        <v/>
      </c>
      <c r="Y186" s="104" t="str">
        <f t="array" ref="Y186">IFERROR(IF(ISNUMBER(O186),IF(COUNT(IF(A186=$A$2:$A$2427,IF(D186=$D$2:$D$2427,IF($X$2:$X$2427&gt;0,1))))&gt;0,SUM(IF(A186=$A$2:$A$2427,IF(D186=$D$2:$D$2427,$X$2:$X$2427)))/COUNT(IF(A186=$A$2:$A$2427,IF(D186=$D$2:$D$2427,IF(ISNUMBER($X$2:$X$2427),1)))),0),""),0)</f>
        <v/>
      </c>
      <c r="Z186" s="104" t="str">
        <f>IF(ISNUMBER(O186),IF(I186&gt;0,(10^(VLOOKUP(D186,'Species Codes'!B:C,2,0)+VLOOKUP(D186,'Species Codes'!B:D,3,0)*LOG(E186)+VLOOKUP(D186,'Species Codes'!B:E,4,0)*LOG(I186))),0),"")</f>
        <v/>
      </c>
      <c r="AA186" s="104" t="str">
        <f>IFERROR((VLOOKUP(D186,'Species Codes'!B:G,6,0)*Z186)/2000,"")</f>
        <v/>
      </c>
      <c r="AB186" s="104" t="e">
        <f>IF(Z186&gt;0,((IF(OR(D186="DF",D186="RA")=TRUE,EXP(VLOOKUP(D186,'Species Codes'!B:I,8,0)+VLOOKUP(D186,'Species Codes'!B:J,9,0)*(LN((E186*2.54)))),IF(OR(D186="PY",D186="RC",D186="WH",D186="NF")=TRUE,VLOOKUP(D186,'Species Codes'!B:I,8,0)+VLOOKUP(D186,'Species Codes'!B:J,9,0)*((E186*2.54)^2)*(I186*0.3048),IF(OR(D186="MD",D186="BM",D186="GA")=TRUE,((VLOOKUP(D186,'Species Codes'!B:I,8,0)*(((((E186*2.54)+VLOOKUP(D186,'Species Codes'!B:J,9,0))/VLOOKUP(D186,'Species Codes'!B:K,10,0))^VLOOKUP(D186,'Species Codes'!B:L,11,0))*((I186*0.3048)^VLOOKUP(D186,'Species Codes'!B:M,12,0))))-(VLOOKUP(D186,'Species Codes'!B:I,8,0)*((((E186*2.54)^VLOOKUP(D186,'Species Codes'!B:L,11,0))*((I186*0.3048)^VLOOKUP(D186,'Species Codes'!B:M,12,0))))))*35.3*VLOOKUP(D186,'Species Codes'!B:G,6,0)/2.2046,VLOOKUP(D186,'Species Codes'!B:I,8,0)+VLOOKUP(D186,'Species Codes'!B:J,9,0)*(((E186*2.54)/100)^2)*(I186*0.3048)))))*0.0011023),0)</f>
        <v>#N/A</v>
      </c>
      <c r="AC186" s="104" t="e">
        <f>IF(Z186&gt;0,((IF(OR(D186="RA",D186="OA",D186="OT",D186="UN",D186="PC"),EXP(VLOOKUP(D186,'Species Codes'!B:O,14,0)+VLOOKUP(D186,'Species Codes'!B:P,15,0)*LN((E186*2.54)))-EXP(VLOOKUP(D186,'Species Codes'!B:O,14,0)+VLOOKUP(D186,'Species Codes'!B:P,15,0)*LN((E186*2.54)))*(1/(VLOOKUP(D186,'Species Codes'!B:Q,16,0)+VLOOKUP(D186,'Species Codes'!B:R,17,0)*((E186*2.54)^VLOOKUP(D186,'Species Codes'!B:S,18,0)))),IF(OR(D186="BM",D186="MD",D186="OA"),EXP(VLOOKUP(D186,'Species Codes'!B:O,14,0)+VLOOKUP(D186,'Species Codes'!B:P,15,0)*LN((E186*2.54)))*(1-(1/(VLOOKUP(D186,'Species Codes'!B:Q,16,0)+VLOOKUP(D186,'Species Codes'!B:R,17,0)*((E186*2.54)^VLOOKUP(D186,'Species Codes'!B:S,18,0)))))/1000,IF(D186="DF",EXP(VLOOKUP(D186,'Species Codes'!B:O,14,0)+VLOOKUP(D186,'Species Codes'!B:P,15,0)*LN((E186*2.54))),VLOOKUP(D186,'Species Codes'!B:O,14,0)+VLOOKUP(D186,'Species Codes'!B:P,15,0)*(((E186*2.54)/100)^2)*(I186*0.3048)))))*0.0011023),0)</f>
        <v>#N/A</v>
      </c>
      <c r="AD186" s="104" t="e">
        <f t="shared" si="64"/>
        <v>#N/A</v>
      </c>
      <c r="AE186" s="104" t="e">
        <f t="shared" si="65"/>
        <v>#N/A</v>
      </c>
      <c r="AF186" s="104" t="e">
        <f>IF(AND(VLOOKUP($D186,Merchantability!$B:$C,2,0)="Yes",$E186&gt;=VLOOKUP($D186,Merchantability!$B:$D,3,0),$E186&lt;=VLOOKUP($D186,Merchantability!$B:$E,4,0)),AA186,0)</f>
        <v>#N/A</v>
      </c>
      <c r="AG186" s="104" t="e">
        <f>IF(AND(VLOOKUP($D186,Merchantability!$B:$C,2,0)="Yes",$E186&gt;=VLOOKUP($D186,Merchantability!$B:$D,3,0),$E186&lt;=VLOOKUP($D186,Merchantability!$B:$E,4,0)),AB186,0)</f>
        <v>#N/A</v>
      </c>
      <c r="AH186" s="104" t="e">
        <f>IF(AND(VLOOKUP($D186,Merchantability!$B:$C,2,0)="Yes",$E186&gt;=VLOOKUP($D186,Merchantability!$B:$D,3,0),$E186&lt;=VLOOKUP($D186,Merchantability!$B:$E,4,0)),AC186,0)</f>
        <v>#N/A</v>
      </c>
      <c r="AI186" s="104" t="e">
        <f t="shared" si="66"/>
        <v>#N/A</v>
      </c>
      <c r="AJ186" s="104" t="e">
        <f t="shared" si="67"/>
        <v>#VALUE!</v>
      </c>
      <c r="AK186" s="104" t="e">
        <f t="shared" si="68"/>
        <v>#N/A</v>
      </c>
      <c r="AL186" s="104" t="e">
        <f t="shared" si="69"/>
        <v>#N/A</v>
      </c>
      <c r="AM186" s="104" t="e">
        <f t="shared" si="70"/>
        <v>#N/A</v>
      </c>
      <c r="AN186" s="104" t="e">
        <f t="shared" si="71"/>
        <v>#N/A</v>
      </c>
      <c r="AO186" s="104" t="e">
        <f t="shared" si="72"/>
        <v>#N/A</v>
      </c>
      <c r="AP186" s="104" t="e">
        <f t="shared" si="73"/>
        <v>#N/A</v>
      </c>
      <c r="AQ186" s="104" t="e">
        <f t="shared" si="74"/>
        <v>#N/A</v>
      </c>
      <c r="AR186" s="105" t="str">
        <f t="shared" si="75"/>
        <v/>
      </c>
      <c r="AS186" s="105" t="str">
        <f t="shared" si="76"/>
        <v/>
      </c>
      <c r="AT186" s="108" t="str">
        <f t="shared" si="77"/>
        <v/>
      </c>
      <c r="AU186" s="108" t="str">
        <f t="shared" si="78"/>
        <v/>
      </c>
      <c r="AV186" s="107" t="str">
        <f>IF(ISNUMBER(O186),IF(VLOOKUP($A186,Stand!C:J,8,FALSE)="Short",AT186,AU186),"")</f>
        <v/>
      </c>
      <c r="AW186" s="109" t="str">
        <f t="shared" si="79"/>
        <v/>
      </c>
      <c r="AX186" s="109" t="str">
        <f t="shared" si="80"/>
        <v/>
      </c>
      <c r="AY186" s="112" t="str">
        <f>IF(ISNUMBER(O186),IF(AND(VLOOKUP($D186,Merchantability!$B:$C,2,0)="Yes",$E186&gt;=VLOOKUP($D186,Merchantability!$B:$D,3,0),$E186&lt;=VLOOKUP($D186,Merchantability!$B:$E,4,0)),(AV186*O186)*(1-$H186/100),""),"")</f>
        <v/>
      </c>
      <c r="AZ186" s="116"/>
      <c r="BA186" s="116"/>
      <c r="BB186" s="116"/>
      <c r="BE186" s="62"/>
      <c r="BF186" s="63"/>
    </row>
    <row r="187" spans="1:58" ht="12.75" customHeight="1" x14ac:dyDescent="0.25">
      <c r="A187" s="384"/>
      <c r="B187" s="380"/>
      <c r="C187" s="381"/>
      <c r="D187" s="380"/>
      <c r="E187" s="382"/>
      <c r="F187" s="331"/>
      <c r="G187" s="329"/>
      <c r="H187" s="329"/>
      <c r="I187" s="380"/>
      <c r="J187" s="381"/>
      <c r="K187" s="329"/>
      <c r="L187" s="329"/>
      <c r="M187" s="76"/>
      <c r="N187" s="103" t="str">
        <f>IF(A187="","",VLOOKUP(A187,Stand!C:K,9,0))</f>
        <v/>
      </c>
      <c r="O187" s="104" t="str">
        <f t="shared" si="54"/>
        <v/>
      </c>
      <c r="P187" s="105" t="str">
        <f t="shared" si="55"/>
        <v/>
      </c>
      <c r="Q187" s="105" t="str">
        <f t="shared" si="56"/>
        <v/>
      </c>
      <c r="R187" s="103" t="str">
        <f t="shared" si="57"/>
        <v/>
      </c>
      <c r="S187" s="103" t="str">
        <f t="shared" si="58"/>
        <v/>
      </c>
      <c r="T187" s="106" t="str">
        <f t="shared" si="59"/>
        <v/>
      </c>
      <c r="U187" s="106" t="str">
        <f t="shared" si="60"/>
        <v/>
      </c>
      <c r="V187" s="106" t="str">
        <f t="shared" si="61"/>
        <v/>
      </c>
      <c r="W187" s="105" t="str">
        <f t="shared" si="62"/>
        <v/>
      </c>
      <c r="X187" s="104" t="str">
        <f t="shared" si="63"/>
        <v/>
      </c>
      <c r="Y187" s="104" t="str">
        <f t="array" ref="Y187">IFERROR(IF(ISNUMBER(O187),IF(COUNT(IF(A187=$A$2:$A$2427,IF(D187=$D$2:$D$2427,IF($X$2:$X$2427&gt;0,1))))&gt;0,SUM(IF(A187=$A$2:$A$2427,IF(D187=$D$2:$D$2427,$X$2:$X$2427)))/COUNT(IF(A187=$A$2:$A$2427,IF(D187=$D$2:$D$2427,IF(ISNUMBER($X$2:$X$2427),1)))),0),""),0)</f>
        <v/>
      </c>
      <c r="Z187" s="104" t="str">
        <f>IF(ISNUMBER(O187),IF(I187&gt;0,(10^(VLOOKUP(D187,'Species Codes'!B:C,2,0)+VLOOKUP(D187,'Species Codes'!B:D,3,0)*LOG(E187)+VLOOKUP(D187,'Species Codes'!B:E,4,0)*LOG(I187))),0),"")</f>
        <v/>
      </c>
      <c r="AA187" s="104" t="str">
        <f>IFERROR((VLOOKUP(D187,'Species Codes'!B:G,6,0)*Z187)/2000,"")</f>
        <v/>
      </c>
      <c r="AB187" s="104" t="e">
        <f>IF(Z187&gt;0,((IF(OR(D187="DF",D187="RA")=TRUE,EXP(VLOOKUP(D187,'Species Codes'!B:I,8,0)+VLOOKUP(D187,'Species Codes'!B:J,9,0)*(LN((E187*2.54)))),IF(OR(D187="PY",D187="RC",D187="WH",D187="NF")=TRUE,VLOOKUP(D187,'Species Codes'!B:I,8,0)+VLOOKUP(D187,'Species Codes'!B:J,9,0)*((E187*2.54)^2)*(I187*0.3048),IF(OR(D187="MD",D187="BM",D187="GA")=TRUE,((VLOOKUP(D187,'Species Codes'!B:I,8,0)*(((((E187*2.54)+VLOOKUP(D187,'Species Codes'!B:J,9,0))/VLOOKUP(D187,'Species Codes'!B:K,10,0))^VLOOKUP(D187,'Species Codes'!B:L,11,0))*((I187*0.3048)^VLOOKUP(D187,'Species Codes'!B:M,12,0))))-(VLOOKUP(D187,'Species Codes'!B:I,8,0)*((((E187*2.54)^VLOOKUP(D187,'Species Codes'!B:L,11,0))*((I187*0.3048)^VLOOKUP(D187,'Species Codes'!B:M,12,0))))))*35.3*VLOOKUP(D187,'Species Codes'!B:G,6,0)/2.2046,VLOOKUP(D187,'Species Codes'!B:I,8,0)+VLOOKUP(D187,'Species Codes'!B:J,9,0)*(((E187*2.54)/100)^2)*(I187*0.3048)))))*0.0011023),0)</f>
        <v>#N/A</v>
      </c>
      <c r="AC187" s="104" t="e">
        <f>IF(Z187&gt;0,((IF(OR(D187="RA",D187="OA",D187="OT",D187="UN",D187="PC"),EXP(VLOOKUP(D187,'Species Codes'!B:O,14,0)+VLOOKUP(D187,'Species Codes'!B:P,15,0)*LN((E187*2.54)))-EXP(VLOOKUP(D187,'Species Codes'!B:O,14,0)+VLOOKUP(D187,'Species Codes'!B:P,15,0)*LN((E187*2.54)))*(1/(VLOOKUP(D187,'Species Codes'!B:Q,16,0)+VLOOKUP(D187,'Species Codes'!B:R,17,0)*((E187*2.54)^VLOOKUP(D187,'Species Codes'!B:S,18,0)))),IF(OR(D187="BM",D187="MD",D187="OA"),EXP(VLOOKUP(D187,'Species Codes'!B:O,14,0)+VLOOKUP(D187,'Species Codes'!B:P,15,0)*LN((E187*2.54)))*(1-(1/(VLOOKUP(D187,'Species Codes'!B:Q,16,0)+VLOOKUP(D187,'Species Codes'!B:R,17,0)*((E187*2.54)^VLOOKUP(D187,'Species Codes'!B:S,18,0)))))/1000,IF(D187="DF",EXP(VLOOKUP(D187,'Species Codes'!B:O,14,0)+VLOOKUP(D187,'Species Codes'!B:P,15,0)*LN((E187*2.54))),VLOOKUP(D187,'Species Codes'!B:O,14,0)+VLOOKUP(D187,'Species Codes'!B:P,15,0)*(((E187*2.54)/100)^2)*(I187*0.3048)))))*0.0011023),0)</f>
        <v>#N/A</v>
      </c>
      <c r="AD187" s="104" t="e">
        <f t="shared" si="64"/>
        <v>#N/A</v>
      </c>
      <c r="AE187" s="104" t="e">
        <f t="shared" si="65"/>
        <v>#N/A</v>
      </c>
      <c r="AF187" s="104" t="e">
        <f>IF(AND(VLOOKUP($D187,Merchantability!$B:$C,2,0)="Yes",$E187&gt;=VLOOKUP($D187,Merchantability!$B:$D,3,0),$E187&lt;=VLOOKUP($D187,Merchantability!$B:$E,4,0)),AA187,0)</f>
        <v>#N/A</v>
      </c>
      <c r="AG187" s="104" t="e">
        <f>IF(AND(VLOOKUP($D187,Merchantability!$B:$C,2,0)="Yes",$E187&gt;=VLOOKUP($D187,Merchantability!$B:$D,3,0),$E187&lt;=VLOOKUP($D187,Merchantability!$B:$E,4,0)),AB187,0)</f>
        <v>#N/A</v>
      </c>
      <c r="AH187" s="104" t="e">
        <f>IF(AND(VLOOKUP($D187,Merchantability!$B:$C,2,0)="Yes",$E187&gt;=VLOOKUP($D187,Merchantability!$B:$D,3,0),$E187&lt;=VLOOKUP($D187,Merchantability!$B:$E,4,0)),AC187,0)</f>
        <v>#N/A</v>
      </c>
      <c r="AI187" s="104" t="e">
        <f t="shared" si="66"/>
        <v>#N/A</v>
      </c>
      <c r="AJ187" s="104" t="e">
        <f t="shared" si="67"/>
        <v>#VALUE!</v>
      </c>
      <c r="AK187" s="104" t="e">
        <f t="shared" si="68"/>
        <v>#N/A</v>
      </c>
      <c r="AL187" s="104" t="e">
        <f t="shared" si="69"/>
        <v>#N/A</v>
      </c>
      <c r="AM187" s="104" t="e">
        <f t="shared" si="70"/>
        <v>#N/A</v>
      </c>
      <c r="AN187" s="104" t="e">
        <f t="shared" si="71"/>
        <v>#N/A</v>
      </c>
      <c r="AO187" s="104" t="e">
        <f t="shared" si="72"/>
        <v>#N/A</v>
      </c>
      <c r="AP187" s="104" t="e">
        <f t="shared" si="73"/>
        <v>#N/A</v>
      </c>
      <c r="AQ187" s="104" t="e">
        <f t="shared" si="74"/>
        <v>#N/A</v>
      </c>
      <c r="AR187" s="105" t="str">
        <f t="shared" si="75"/>
        <v/>
      </c>
      <c r="AS187" s="105" t="str">
        <f t="shared" si="76"/>
        <v/>
      </c>
      <c r="AT187" s="108" t="str">
        <f t="shared" si="77"/>
        <v/>
      </c>
      <c r="AU187" s="108" t="str">
        <f t="shared" si="78"/>
        <v/>
      </c>
      <c r="AV187" s="107" t="str">
        <f>IF(ISNUMBER(O187),IF(VLOOKUP($A187,Stand!C:J,8,FALSE)="Short",AT187,AU187),"")</f>
        <v/>
      </c>
      <c r="AW187" s="109" t="str">
        <f t="shared" si="79"/>
        <v/>
      </c>
      <c r="AX187" s="109" t="str">
        <f t="shared" si="80"/>
        <v/>
      </c>
      <c r="AY187" s="112" t="str">
        <f>IF(ISNUMBER(O187),IF(AND(VLOOKUP($D187,Merchantability!$B:$C,2,0)="Yes",$E187&gt;=VLOOKUP($D187,Merchantability!$B:$D,3,0),$E187&lt;=VLOOKUP($D187,Merchantability!$B:$E,4,0)),(AV187*O187)*(1-$H187/100),""),"")</f>
        <v/>
      </c>
      <c r="AZ187" s="116"/>
      <c r="BA187" s="116"/>
      <c r="BB187" s="116"/>
      <c r="BE187" s="62"/>
      <c r="BF187" s="63"/>
    </row>
    <row r="188" spans="1:58" ht="12.75" customHeight="1" x14ac:dyDescent="0.25">
      <c r="A188" s="384"/>
      <c r="B188" s="380"/>
      <c r="C188" s="381"/>
      <c r="D188" s="380"/>
      <c r="E188" s="382"/>
      <c r="F188" s="331"/>
      <c r="G188" s="329"/>
      <c r="H188" s="329"/>
      <c r="I188" s="380"/>
      <c r="J188" s="381"/>
      <c r="K188" s="329"/>
      <c r="L188" s="329"/>
      <c r="M188" s="76"/>
      <c r="N188" s="103" t="str">
        <f>IF(A188="","",VLOOKUP(A188,Stand!C:K,9,0))</f>
        <v/>
      </c>
      <c r="O188" s="104" t="str">
        <f t="shared" si="54"/>
        <v/>
      </c>
      <c r="P188" s="105" t="str">
        <f t="shared" si="55"/>
        <v/>
      </c>
      <c r="Q188" s="105" t="str">
        <f t="shared" si="56"/>
        <v/>
      </c>
      <c r="R188" s="103" t="str">
        <f t="shared" si="57"/>
        <v/>
      </c>
      <c r="S188" s="103" t="str">
        <f t="shared" si="58"/>
        <v/>
      </c>
      <c r="T188" s="106" t="str">
        <f t="shared" si="59"/>
        <v/>
      </c>
      <c r="U188" s="106" t="str">
        <f t="shared" si="60"/>
        <v/>
      </c>
      <c r="V188" s="106" t="str">
        <f t="shared" si="61"/>
        <v/>
      </c>
      <c r="W188" s="105" t="str">
        <f t="shared" si="62"/>
        <v/>
      </c>
      <c r="X188" s="104" t="str">
        <f t="shared" si="63"/>
        <v/>
      </c>
      <c r="Y188" s="104" t="str">
        <f t="array" ref="Y188">IFERROR(IF(ISNUMBER(O188),IF(COUNT(IF(A188=$A$2:$A$2427,IF(D188=$D$2:$D$2427,IF($X$2:$X$2427&gt;0,1))))&gt;0,SUM(IF(A188=$A$2:$A$2427,IF(D188=$D$2:$D$2427,$X$2:$X$2427)))/COUNT(IF(A188=$A$2:$A$2427,IF(D188=$D$2:$D$2427,IF(ISNUMBER($X$2:$X$2427),1)))),0),""),0)</f>
        <v/>
      </c>
      <c r="Z188" s="104" t="str">
        <f>IF(ISNUMBER(O188),IF(I188&gt;0,(10^(VLOOKUP(D188,'Species Codes'!B:C,2,0)+VLOOKUP(D188,'Species Codes'!B:D,3,0)*LOG(E188)+VLOOKUP(D188,'Species Codes'!B:E,4,0)*LOG(I188))),0),"")</f>
        <v/>
      </c>
      <c r="AA188" s="104" t="str">
        <f>IFERROR((VLOOKUP(D188,'Species Codes'!B:G,6,0)*Z188)/2000,"")</f>
        <v/>
      </c>
      <c r="AB188" s="104" t="e">
        <f>IF(Z188&gt;0,((IF(OR(D188="DF",D188="RA")=TRUE,EXP(VLOOKUP(D188,'Species Codes'!B:I,8,0)+VLOOKUP(D188,'Species Codes'!B:J,9,0)*(LN((E188*2.54)))),IF(OR(D188="PY",D188="RC",D188="WH",D188="NF")=TRUE,VLOOKUP(D188,'Species Codes'!B:I,8,0)+VLOOKUP(D188,'Species Codes'!B:J,9,0)*((E188*2.54)^2)*(I188*0.3048),IF(OR(D188="MD",D188="BM",D188="GA")=TRUE,((VLOOKUP(D188,'Species Codes'!B:I,8,0)*(((((E188*2.54)+VLOOKUP(D188,'Species Codes'!B:J,9,0))/VLOOKUP(D188,'Species Codes'!B:K,10,0))^VLOOKUP(D188,'Species Codes'!B:L,11,0))*((I188*0.3048)^VLOOKUP(D188,'Species Codes'!B:M,12,0))))-(VLOOKUP(D188,'Species Codes'!B:I,8,0)*((((E188*2.54)^VLOOKUP(D188,'Species Codes'!B:L,11,0))*((I188*0.3048)^VLOOKUP(D188,'Species Codes'!B:M,12,0))))))*35.3*VLOOKUP(D188,'Species Codes'!B:G,6,0)/2.2046,VLOOKUP(D188,'Species Codes'!B:I,8,0)+VLOOKUP(D188,'Species Codes'!B:J,9,0)*(((E188*2.54)/100)^2)*(I188*0.3048)))))*0.0011023),0)</f>
        <v>#N/A</v>
      </c>
      <c r="AC188" s="104" t="e">
        <f>IF(Z188&gt;0,((IF(OR(D188="RA",D188="OA",D188="OT",D188="UN",D188="PC"),EXP(VLOOKUP(D188,'Species Codes'!B:O,14,0)+VLOOKUP(D188,'Species Codes'!B:P,15,0)*LN((E188*2.54)))-EXP(VLOOKUP(D188,'Species Codes'!B:O,14,0)+VLOOKUP(D188,'Species Codes'!B:P,15,0)*LN((E188*2.54)))*(1/(VLOOKUP(D188,'Species Codes'!B:Q,16,0)+VLOOKUP(D188,'Species Codes'!B:R,17,0)*((E188*2.54)^VLOOKUP(D188,'Species Codes'!B:S,18,0)))),IF(OR(D188="BM",D188="MD",D188="OA"),EXP(VLOOKUP(D188,'Species Codes'!B:O,14,0)+VLOOKUP(D188,'Species Codes'!B:P,15,0)*LN((E188*2.54)))*(1-(1/(VLOOKUP(D188,'Species Codes'!B:Q,16,0)+VLOOKUP(D188,'Species Codes'!B:R,17,0)*((E188*2.54)^VLOOKUP(D188,'Species Codes'!B:S,18,0)))))/1000,IF(D188="DF",EXP(VLOOKUP(D188,'Species Codes'!B:O,14,0)+VLOOKUP(D188,'Species Codes'!B:P,15,0)*LN((E188*2.54))),VLOOKUP(D188,'Species Codes'!B:O,14,0)+VLOOKUP(D188,'Species Codes'!B:P,15,0)*(((E188*2.54)/100)^2)*(I188*0.3048)))))*0.0011023),0)</f>
        <v>#N/A</v>
      </c>
      <c r="AD188" s="104" t="e">
        <f t="shared" si="64"/>
        <v>#N/A</v>
      </c>
      <c r="AE188" s="104" t="e">
        <f t="shared" si="65"/>
        <v>#N/A</v>
      </c>
      <c r="AF188" s="104" t="e">
        <f>IF(AND(VLOOKUP($D188,Merchantability!$B:$C,2,0)="Yes",$E188&gt;=VLOOKUP($D188,Merchantability!$B:$D,3,0),$E188&lt;=VLOOKUP($D188,Merchantability!$B:$E,4,0)),AA188,0)</f>
        <v>#N/A</v>
      </c>
      <c r="AG188" s="104" t="e">
        <f>IF(AND(VLOOKUP($D188,Merchantability!$B:$C,2,0)="Yes",$E188&gt;=VLOOKUP($D188,Merchantability!$B:$D,3,0),$E188&lt;=VLOOKUP($D188,Merchantability!$B:$E,4,0)),AB188,0)</f>
        <v>#N/A</v>
      </c>
      <c r="AH188" s="104" t="e">
        <f>IF(AND(VLOOKUP($D188,Merchantability!$B:$C,2,0)="Yes",$E188&gt;=VLOOKUP($D188,Merchantability!$B:$D,3,0),$E188&lt;=VLOOKUP($D188,Merchantability!$B:$E,4,0)),AC188,0)</f>
        <v>#N/A</v>
      </c>
      <c r="AI188" s="104" t="e">
        <f t="shared" si="66"/>
        <v>#N/A</v>
      </c>
      <c r="AJ188" s="104" t="e">
        <f t="shared" si="67"/>
        <v>#VALUE!</v>
      </c>
      <c r="AK188" s="104" t="e">
        <f t="shared" si="68"/>
        <v>#N/A</v>
      </c>
      <c r="AL188" s="104" t="e">
        <f t="shared" si="69"/>
        <v>#N/A</v>
      </c>
      <c r="AM188" s="104" t="e">
        <f t="shared" si="70"/>
        <v>#N/A</v>
      </c>
      <c r="AN188" s="104" t="e">
        <f t="shared" si="71"/>
        <v>#N/A</v>
      </c>
      <c r="AO188" s="104" t="e">
        <f t="shared" si="72"/>
        <v>#N/A</v>
      </c>
      <c r="AP188" s="104" t="e">
        <f t="shared" si="73"/>
        <v>#N/A</v>
      </c>
      <c r="AQ188" s="104" t="e">
        <f t="shared" si="74"/>
        <v>#N/A</v>
      </c>
      <c r="AR188" s="105" t="str">
        <f t="shared" si="75"/>
        <v/>
      </c>
      <c r="AS188" s="105" t="str">
        <f t="shared" si="76"/>
        <v/>
      </c>
      <c r="AT188" s="108" t="str">
        <f t="shared" si="77"/>
        <v/>
      </c>
      <c r="AU188" s="108" t="str">
        <f t="shared" si="78"/>
        <v/>
      </c>
      <c r="AV188" s="107" t="str">
        <f>IF(ISNUMBER(O188),IF(VLOOKUP($A188,Stand!C:J,8,FALSE)="Short",AT188,AU188),"")</f>
        <v/>
      </c>
      <c r="AW188" s="109" t="str">
        <f t="shared" si="79"/>
        <v/>
      </c>
      <c r="AX188" s="109" t="str">
        <f t="shared" si="80"/>
        <v/>
      </c>
      <c r="AY188" s="112" t="str">
        <f>IF(ISNUMBER(O188),IF(AND(VLOOKUP($D188,Merchantability!$B:$C,2,0)="Yes",$E188&gt;=VLOOKUP($D188,Merchantability!$B:$D,3,0),$E188&lt;=VLOOKUP($D188,Merchantability!$B:$E,4,0)),(AV188*O188)*(1-$H188/100),""),"")</f>
        <v/>
      </c>
      <c r="AZ188" s="116"/>
      <c r="BA188" s="116"/>
      <c r="BB188" s="116"/>
      <c r="BE188" s="62"/>
      <c r="BF188" s="63"/>
    </row>
    <row r="189" spans="1:58" ht="12.75" customHeight="1" x14ac:dyDescent="0.25">
      <c r="A189" s="384"/>
      <c r="B189" s="380"/>
      <c r="C189" s="381"/>
      <c r="D189" s="380"/>
      <c r="E189" s="382"/>
      <c r="F189" s="331"/>
      <c r="G189" s="329"/>
      <c r="H189" s="329"/>
      <c r="I189" s="380"/>
      <c r="J189" s="381"/>
      <c r="K189" s="329"/>
      <c r="L189" s="329"/>
      <c r="M189" s="76"/>
      <c r="N189" s="103" t="str">
        <f>IF(A189="","",VLOOKUP(A189,Stand!C:K,9,0))</f>
        <v/>
      </c>
      <c r="O189" s="104" t="str">
        <f t="shared" si="54"/>
        <v/>
      </c>
      <c r="P189" s="105" t="str">
        <f t="shared" si="55"/>
        <v/>
      </c>
      <c r="Q189" s="105" t="str">
        <f t="shared" si="56"/>
        <v/>
      </c>
      <c r="R189" s="103" t="str">
        <f t="shared" si="57"/>
        <v/>
      </c>
      <c r="S189" s="103" t="str">
        <f t="shared" si="58"/>
        <v/>
      </c>
      <c r="T189" s="106" t="str">
        <f t="shared" si="59"/>
        <v/>
      </c>
      <c r="U189" s="106" t="str">
        <f t="shared" si="60"/>
        <v/>
      </c>
      <c r="V189" s="106" t="str">
        <f t="shared" si="61"/>
        <v/>
      </c>
      <c r="W189" s="105" t="str">
        <f t="shared" si="62"/>
        <v/>
      </c>
      <c r="X189" s="104" t="str">
        <f t="shared" si="63"/>
        <v/>
      </c>
      <c r="Y189" s="104" t="str">
        <f t="array" ref="Y189">IFERROR(IF(ISNUMBER(O189),IF(COUNT(IF(A189=$A$2:$A$2427,IF(D189=$D$2:$D$2427,IF($X$2:$X$2427&gt;0,1))))&gt;0,SUM(IF(A189=$A$2:$A$2427,IF(D189=$D$2:$D$2427,$X$2:$X$2427)))/COUNT(IF(A189=$A$2:$A$2427,IF(D189=$D$2:$D$2427,IF(ISNUMBER($X$2:$X$2427),1)))),0),""),0)</f>
        <v/>
      </c>
      <c r="Z189" s="104" t="str">
        <f>IF(ISNUMBER(O189),IF(I189&gt;0,(10^(VLOOKUP(D189,'Species Codes'!B:C,2,0)+VLOOKUP(D189,'Species Codes'!B:D,3,0)*LOG(E189)+VLOOKUP(D189,'Species Codes'!B:E,4,0)*LOG(I189))),0),"")</f>
        <v/>
      </c>
      <c r="AA189" s="104" t="str">
        <f>IFERROR((VLOOKUP(D189,'Species Codes'!B:G,6,0)*Z189)/2000,"")</f>
        <v/>
      </c>
      <c r="AB189" s="104" t="e">
        <f>IF(Z189&gt;0,((IF(OR(D189="DF",D189="RA")=TRUE,EXP(VLOOKUP(D189,'Species Codes'!B:I,8,0)+VLOOKUP(D189,'Species Codes'!B:J,9,0)*(LN((E189*2.54)))),IF(OR(D189="PY",D189="RC",D189="WH",D189="NF")=TRUE,VLOOKUP(D189,'Species Codes'!B:I,8,0)+VLOOKUP(D189,'Species Codes'!B:J,9,0)*((E189*2.54)^2)*(I189*0.3048),IF(OR(D189="MD",D189="BM",D189="GA")=TRUE,((VLOOKUP(D189,'Species Codes'!B:I,8,0)*(((((E189*2.54)+VLOOKUP(D189,'Species Codes'!B:J,9,0))/VLOOKUP(D189,'Species Codes'!B:K,10,0))^VLOOKUP(D189,'Species Codes'!B:L,11,0))*((I189*0.3048)^VLOOKUP(D189,'Species Codes'!B:M,12,0))))-(VLOOKUP(D189,'Species Codes'!B:I,8,0)*((((E189*2.54)^VLOOKUP(D189,'Species Codes'!B:L,11,0))*((I189*0.3048)^VLOOKUP(D189,'Species Codes'!B:M,12,0))))))*35.3*VLOOKUP(D189,'Species Codes'!B:G,6,0)/2.2046,VLOOKUP(D189,'Species Codes'!B:I,8,0)+VLOOKUP(D189,'Species Codes'!B:J,9,0)*(((E189*2.54)/100)^2)*(I189*0.3048)))))*0.0011023),0)</f>
        <v>#N/A</v>
      </c>
      <c r="AC189" s="104" t="e">
        <f>IF(Z189&gt;0,((IF(OR(D189="RA",D189="OA",D189="OT",D189="UN",D189="PC"),EXP(VLOOKUP(D189,'Species Codes'!B:O,14,0)+VLOOKUP(D189,'Species Codes'!B:P,15,0)*LN((E189*2.54)))-EXP(VLOOKUP(D189,'Species Codes'!B:O,14,0)+VLOOKUP(D189,'Species Codes'!B:P,15,0)*LN((E189*2.54)))*(1/(VLOOKUP(D189,'Species Codes'!B:Q,16,0)+VLOOKUP(D189,'Species Codes'!B:R,17,0)*((E189*2.54)^VLOOKUP(D189,'Species Codes'!B:S,18,0)))),IF(OR(D189="BM",D189="MD",D189="OA"),EXP(VLOOKUP(D189,'Species Codes'!B:O,14,0)+VLOOKUP(D189,'Species Codes'!B:P,15,0)*LN((E189*2.54)))*(1-(1/(VLOOKUP(D189,'Species Codes'!B:Q,16,0)+VLOOKUP(D189,'Species Codes'!B:R,17,0)*((E189*2.54)^VLOOKUP(D189,'Species Codes'!B:S,18,0)))))/1000,IF(D189="DF",EXP(VLOOKUP(D189,'Species Codes'!B:O,14,0)+VLOOKUP(D189,'Species Codes'!B:P,15,0)*LN((E189*2.54))),VLOOKUP(D189,'Species Codes'!B:O,14,0)+VLOOKUP(D189,'Species Codes'!B:P,15,0)*(((E189*2.54)/100)^2)*(I189*0.3048)))))*0.0011023),0)</f>
        <v>#N/A</v>
      </c>
      <c r="AD189" s="104" t="e">
        <f t="shared" si="64"/>
        <v>#N/A</v>
      </c>
      <c r="AE189" s="104" t="e">
        <f t="shared" si="65"/>
        <v>#N/A</v>
      </c>
      <c r="AF189" s="104" t="e">
        <f>IF(AND(VLOOKUP($D189,Merchantability!$B:$C,2,0)="Yes",$E189&gt;=VLOOKUP($D189,Merchantability!$B:$D,3,0),$E189&lt;=VLOOKUP($D189,Merchantability!$B:$E,4,0)),AA189,0)</f>
        <v>#N/A</v>
      </c>
      <c r="AG189" s="104" t="e">
        <f>IF(AND(VLOOKUP($D189,Merchantability!$B:$C,2,0)="Yes",$E189&gt;=VLOOKUP($D189,Merchantability!$B:$D,3,0),$E189&lt;=VLOOKUP($D189,Merchantability!$B:$E,4,0)),AB189,0)</f>
        <v>#N/A</v>
      </c>
      <c r="AH189" s="104" t="e">
        <f>IF(AND(VLOOKUP($D189,Merchantability!$B:$C,2,0)="Yes",$E189&gt;=VLOOKUP($D189,Merchantability!$B:$D,3,0),$E189&lt;=VLOOKUP($D189,Merchantability!$B:$E,4,0)),AC189,0)</f>
        <v>#N/A</v>
      </c>
      <c r="AI189" s="104" t="e">
        <f t="shared" si="66"/>
        <v>#N/A</v>
      </c>
      <c r="AJ189" s="104" t="e">
        <f t="shared" si="67"/>
        <v>#VALUE!</v>
      </c>
      <c r="AK189" s="104" t="e">
        <f t="shared" si="68"/>
        <v>#N/A</v>
      </c>
      <c r="AL189" s="104" t="e">
        <f t="shared" si="69"/>
        <v>#N/A</v>
      </c>
      <c r="AM189" s="104" t="e">
        <f t="shared" si="70"/>
        <v>#N/A</v>
      </c>
      <c r="AN189" s="104" t="e">
        <f t="shared" si="71"/>
        <v>#N/A</v>
      </c>
      <c r="AO189" s="104" t="e">
        <f t="shared" si="72"/>
        <v>#N/A</v>
      </c>
      <c r="AP189" s="104" t="e">
        <f t="shared" si="73"/>
        <v>#N/A</v>
      </c>
      <c r="AQ189" s="104" t="e">
        <f t="shared" si="74"/>
        <v>#N/A</v>
      </c>
      <c r="AR189" s="105" t="str">
        <f t="shared" si="75"/>
        <v/>
      </c>
      <c r="AS189" s="105" t="str">
        <f t="shared" si="76"/>
        <v/>
      </c>
      <c r="AT189" s="108" t="str">
        <f t="shared" si="77"/>
        <v/>
      </c>
      <c r="AU189" s="108" t="str">
        <f t="shared" si="78"/>
        <v/>
      </c>
      <c r="AV189" s="107" t="str">
        <f>IF(ISNUMBER(O189),IF(VLOOKUP($A189,Stand!C:J,8,FALSE)="Short",AT189,AU189),"")</f>
        <v/>
      </c>
      <c r="AW189" s="109" t="str">
        <f t="shared" si="79"/>
        <v/>
      </c>
      <c r="AX189" s="109" t="str">
        <f t="shared" si="80"/>
        <v/>
      </c>
      <c r="AY189" s="112" t="str">
        <f>IF(ISNUMBER(O189),IF(AND(VLOOKUP($D189,Merchantability!$B:$C,2,0)="Yes",$E189&gt;=VLOOKUP($D189,Merchantability!$B:$D,3,0),$E189&lt;=VLOOKUP($D189,Merchantability!$B:$E,4,0)),(AV189*O189)*(1-$H189/100),""),"")</f>
        <v/>
      </c>
      <c r="AZ189" s="116"/>
      <c r="BA189" s="116"/>
      <c r="BB189" s="116"/>
      <c r="BE189" s="62"/>
      <c r="BF189" s="63"/>
    </row>
    <row r="190" spans="1:58" ht="12.75" customHeight="1" x14ac:dyDescent="0.25">
      <c r="A190" s="384"/>
      <c r="B190" s="380"/>
      <c r="C190" s="381"/>
      <c r="D190" s="380"/>
      <c r="E190" s="382"/>
      <c r="F190" s="331"/>
      <c r="G190" s="329"/>
      <c r="H190" s="329"/>
      <c r="I190" s="380"/>
      <c r="J190" s="381"/>
      <c r="K190" s="329"/>
      <c r="L190" s="329"/>
      <c r="M190" s="76"/>
      <c r="N190" s="103" t="str">
        <f>IF(A190="","",VLOOKUP(A190,Stand!C:K,9,0))</f>
        <v/>
      </c>
      <c r="O190" s="104" t="str">
        <f t="shared" si="54"/>
        <v/>
      </c>
      <c r="P190" s="105" t="str">
        <f t="shared" si="55"/>
        <v/>
      </c>
      <c r="Q190" s="105" t="str">
        <f t="shared" si="56"/>
        <v/>
      </c>
      <c r="R190" s="103" t="str">
        <f t="shared" si="57"/>
        <v/>
      </c>
      <c r="S190" s="103" t="str">
        <f t="shared" si="58"/>
        <v/>
      </c>
      <c r="T190" s="106" t="str">
        <f t="shared" si="59"/>
        <v/>
      </c>
      <c r="U190" s="106" t="str">
        <f t="shared" si="60"/>
        <v/>
      </c>
      <c r="V190" s="106" t="str">
        <f t="shared" si="61"/>
        <v/>
      </c>
      <c r="W190" s="105" t="str">
        <f t="shared" si="62"/>
        <v/>
      </c>
      <c r="X190" s="104" t="str">
        <f t="shared" si="63"/>
        <v/>
      </c>
      <c r="Y190" s="104" t="str">
        <f t="array" ref="Y190">IFERROR(IF(ISNUMBER(O190),IF(COUNT(IF(A190=$A$2:$A$2427,IF(D190=$D$2:$D$2427,IF($X$2:$X$2427&gt;0,1))))&gt;0,SUM(IF(A190=$A$2:$A$2427,IF(D190=$D$2:$D$2427,$X$2:$X$2427)))/COUNT(IF(A190=$A$2:$A$2427,IF(D190=$D$2:$D$2427,IF(ISNUMBER($X$2:$X$2427),1)))),0),""),0)</f>
        <v/>
      </c>
      <c r="Z190" s="104" t="str">
        <f>IF(ISNUMBER(O190),IF(I190&gt;0,(10^(VLOOKUP(D190,'Species Codes'!B:C,2,0)+VLOOKUP(D190,'Species Codes'!B:D,3,0)*LOG(E190)+VLOOKUP(D190,'Species Codes'!B:E,4,0)*LOG(I190))),0),"")</f>
        <v/>
      </c>
      <c r="AA190" s="104" t="str">
        <f>IFERROR((VLOOKUP(D190,'Species Codes'!B:G,6,0)*Z190)/2000,"")</f>
        <v/>
      </c>
      <c r="AB190" s="104" t="e">
        <f>IF(Z190&gt;0,((IF(OR(D190="DF",D190="RA")=TRUE,EXP(VLOOKUP(D190,'Species Codes'!B:I,8,0)+VLOOKUP(D190,'Species Codes'!B:J,9,0)*(LN((E190*2.54)))),IF(OR(D190="PY",D190="RC",D190="WH",D190="NF")=TRUE,VLOOKUP(D190,'Species Codes'!B:I,8,0)+VLOOKUP(D190,'Species Codes'!B:J,9,0)*((E190*2.54)^2)*(I190*0.3048),IF(OR(D190="MD",D190="BM",D190="GA")=TRUE,((VLOOKUP(D190,'Species Codes'!B:I,8,0)*(((((E190*2.54)+VLOOKUP(D190,'Species Codes'!B:J,9,0))/VLOOKUP(D190,'Species Codes'!B:K,10,0))^VLOOKUP(D190,'Species Codes'!B:L,11,0))*((I190*0.3048)^VLOOKUP(D190,'Species Codes'!B:M,12,0))))-(VLOOKUP(D190,'Species Codes'!B:I,8,0)*((((E190*2.54)^VLOOKUP(D190,'Species Codes'!B:L,11,0))*((I190*0.3048)^VLOOKUP(D190,'Species Codes'!B:M,12,0))))))*35.3*VLOOKUP(D190,'Species Codes'!B:G,6,0)/2.2046,VLOOKUP(D190,'Species Codes'!B:I,8,0)+VLOOKUP(D190,'Species Codes'!B:J,9,0)*(((E190*2.54)/100)^2)*(I190*0.3048)))))*0.0011023),0)</f>
        <v>#N/A</v>
      </c>
      <c r="AC190" s="104" t="e">
        <f>IF(Z190&gt;0,((IF(OR(D190="RA",D190="OA",D190="OT",D190="UN",D190="PC"),EXP(VLOOKUP(D190,'Species Codes'!B:O,14,0)+VLOOKUP(D190,'Species Codes'!B:P,15,0)*LN((E190*2.54)))-EXP(VLOOKUP(D190,'Species Codes'!B:O,14,0)+VLOOKUP(D190,'Species Codes'!B:P,15,0)*LN((E190*2.54)))*(1/(VLOOKUP(D190,'Species Codes'!B:Q,16,0)+VLOOKUP(D190,'Species Codes'!B:R,17,0)*((E190*2.54)^VLOOKUP(D190,'Species Codes'!B:S,18,0)))),IF(OR(D190="BM",D190="MD",D190="OA"),EXP(VLOOKUP(D190,'Species Codes'!B:O,14,0)+VLOOKUP(D190,'Species Codes'!B:P,15,0)*LN((E190*2.54)))*(1-(1/(VLOOKUP(D190,'Species Codes'!B:Q,16,0)+VLOOKUP(D190,'Species Codes'!B:R,17,0)*((E190*2.54)^VLOOKUP(D190,'Species Codes'!B:S,18,0)))))/1000,IF(D190="DF",EXP(VLOOKUP(D190,'Species Codes'!B:O,14,0)+VLOOKUP(D190,'Species Codes'!B:P,15,0)*LN((E190*2.54))),VLOOKUP(D190,'Species Codes'!B:O,14,0)+VLOOKUP(D190,'Species Codes'!B:P,15,0)*(((E190*2.54)/100)^2)*(I190*0.3048)))))*0.0011023),0)</f>
        <v>#N/A</v>
      </c>
      <c r="AD190" s="104" t="e">
        <f t="shared" si="64"/>
        <v>#N/A</v>
      </c>
      <c r="AE190" s="104" t="e">
        <f t="shared" si="65"/>
        <v>#N/A</v>
      </c>
      <c r="AF190" s="104" t="e">
        <f>IF(AND(VLOOKUP($D190,Merchantability!$B:$C,2,0)="Yes",$E190&gt;=VLOOKUP($D190,Merchantability!$B:$D,3,0),$E190&lt;=VLOOKUP($D190,Merchantability!$B:$E,4,0)),AA190,0)</f>
        <v>#N/A</v>
      </c>
      <c r="AG190" s="104" t="e">
        <f>IF(AND(VLOOKUP($D190,Merchantability!$B:$C,2,0)="Yes",$E190&gt;=VLOOKUP($D190,Merchantability!$B:$D,3,0),$E190&lt;=VLOOKUP($D190,Merchantability!$B:$E,4,0)),AB190,0)</f>
        <v>#N/A</v>
      </c>
      <c r="AH190" s="104" t="e">
        <f>IF(AND(VLOOKUP($D190,Merchantability!$B:$C,2,0)="Yes",$E190&gt;=VLOOKUP($D190,Merchantability!$B:$D,3,0),$E190&lt;=VLOOKUP($D190,Merchantability!$B:$E,4,0)),AC190,0)</f>
        <v>#N/A</v>
      </c>
      <c r="AI190" s="104" t="e">
        <f t="shared" si="66"/>
        <v>#N/A</v>
      </c>
      <c r="AJ190" s="104" t="e">
        <f t="shared" si="67"/>
        <v>#VALUE!</v>
      </c>
      <c r="AK190" s="104" t="e">
        <f t="shared" si="68"/>
        <v>#N/A</v>
      </c>
      <c r="AL190" s="104" t="e">
        <f t="shared" si="69"/>
        <v>#N/A</v>
      </c>
      <c r="AM190" s="104" t="e">
        <f t="shared" si="70"/>
        <v>#N/A</v>
      </c>
      <c r="AN190" s="104" t="e">
        <f t="shared" si="71"/>
        <v>#N/A</v>
      </c>
      <c r="AO190" s="104" t="e">
        <f t="shared" si="72"/>
        <v>#N/A</v>
      </c>
      <c r="AP190" s="104" t="e">
        <f t="shared" si="73"/>
        <v>#N/A</v>
      </c>
      <c r="AQ190" s="104" t="e">
        <f t="shared" si="74"/>
        <v>#N/A</v>
      </c>
      <c r="AR190" s="105" t="str">
        <f t="shared" si="75"/>
        <v/>
      </c>
      <c r="AS190" s="105" t="str">
        <f t="shared" si="76"/>
        <v/>
      </c>
      <c r="AT190" s="108" t="str">
        <f t="shared" si="77"/>
        <v/>
      </c>
      <c r="AU190" s="108" t="str">
        <f t="shared" si="78"/>
        <v/>
      </c>
      <c r="AV190" s="107" t="str">
        <f>IF(ISNUMBER(O190),IF(VLOOKUP($A190,Stand!C:J,8,FALSE)="Short",AT190,AU190),"")</f>
        <v/>
      </c>
      <c r="AW190" s="109" t="str">
        <f t="shared" si="79"/>
        <v/>
      </c>
      <c r="AX190" s="109" t="str">
        <f t="shared" si="80"/>
        <v/>
      </c>
      <c r="AY190" s="112" t="str">
        <f>IF(ISNUMBER(O190),IF(AND(VLOOKUP($D190,Merchantability!$B:$C,2,0)="Yes",$E190&gt;=VLOOKUP($D190,Merchantability!$B:$D,3,0),$E190&lt;=VLOOKUP($D190,Merchantability!$B:$E,4,0)),(AV190*O190)*(1-$H190/100),""),"")</f>
        <v/>
      </c>
      <c r="AZ190" s="116"/>
      <c r="BA190" s="116"/>
      <c r="BB190" s="116"/>
      <c r="BE190" s="62"/>
      <c r="BF190" s="63"/>
    </row>
    <row r="191" spans="1:58" ht="12.75" customHeight="1" x14ac:dyDescent="0.25">
      <c r="A191" s="384"/>
      <c r="B191" s="380"/>
      <c r="C191" s="381"/>
      <c r="D191" s="380"/>
      <c r="E191" s="382"/>
      <c r="F191" s="331"/>
      <c r="G191" s="329"/>
      <c r="H191" s="329"/>
      <c r="I191" s="380"/>
      <c r="J191" s="381"/>
      <c r="K191" s="329"/>
      <c r="L191" s="329"/>
      <c r="M191" s="76"/>
      <c r="N191" s="103" t="str">
        <f>IF(A191="","",VLOOKUP(A191,Stand!C:K,9,0))</f>
        <v/>
      </c>
      <c r="O191" s="104" t="str">
        <f t="shared" si="54"/>
        <v/>
      </c>
      <c r="P191" s="105" t="str">
        <f t="shared" si="55"/>
        <v/>
      </c>
      <c r="Q191" s="105" t="str">
        <f t="shared" si="56"/>
        <v/>
      </c>
      <c r="R191" s="103" t="str">
        <f t="shared" si="57"/>
        <v/>
      </c>
      <c r="S191" s="103" t="str">
        <f t="shared" si="58"/>
        <v/>
      </c>
      <c r="T191" s="106" t="str">
        <f t="shared" si="59"/>
        <v/>
      </c>
      <c r="U191" s="106" t="str">
        <f t="shared" si="60"/>
        <v/>
      </c>
      <c r="V191" s="106" t="str">
        <f t="shared" si="61"/>
        <v/>
      </c>
      <c r="W191" s="105" t="str">
        <f t="shared" si="62"/>
        <v/>
      </c>
      <c r="X191" s="104" t="str">
        <f t="shared" si="63"/>
        <v/>
      </c>
      <c r="Y191" s="104" t="str">
        <f t="array" ref="Y191">IFERROR(IF(ISNUMBER(O191),IF(COUNT(IF(A191=$A$2:$A$2427,IF(D191=$D$2:$D$2427,IF($X$2:$X$2427&gt;0,1))))&gt;0,SUM(IF(A191=$A$2:$A$2427,IF(D191=$D$2:$D$2427,$X$2:$X$2427)))/COUNT(IF(A191=$A$2:$A$2427,IF(D191=$D$2:$D$2427,IF(ISNUMBER($X$2:$X$2427),1)))),0),""),0)</f>
        <v/>
      </c>
      <c r="Z191" s="104" t="str">
        <f>IF(ISNUMBER(O191),IF(I191&gt;0,(10^(VLOOKUP(D191,'Species Codes'!B:C,2,0)+VLOOKUP(D191,'Species Codes'!B:D,3,0)*LOG(E191)+VLOOKUP(D191,'Species Codes'!B:E,4,0)*LOG(I191))),0),"")</f>
        <v/>
      </c>
      <c r="AA191" s="104" t="str">
        <f>IFERROR((VLOOKUP(D191,'Species Codes'!B:G,6,0)*Z191)/2000,"")</f>
        <v/>
      </c>
      <c r="AB191" s="104" t="e">
        <f>IF(Z191&gt;0,((IF(OR(D191="DF",D191="RA")=TRUE,EXP(VLOOKUP(D191,'Species Codes'!B:I,8,0)+VLOOKUP(D191,'Species Codes'!B:J,9,0)*(LN((E191*2.54)))),IF(OR(D191="PY",D191="RC",D191="WH",D191="NF")=TRUE,VLOOKUP(D191,'Species Codes'!B:I,8,0)+VLOOKUP(D191,'Species Codes'!B:J,9,0)*((E191*2.54)^2)*(I191*0.3048),IF(OR(D191="MD",D191="BM",D191="GA")=TRUE,((VLOOKUP(D191,'Species Codes'!B:I,8,0)*(((((E191*2.54)+VLOOKUP(D191,'Species Codes'!B:J,9,0))/VLOOKUP(D191,'Species Codes'!B:K,10,0))^VLOOKUP(D191,'Species Codes'!B:L,11,0))*((I191*0.3048)^VLOOKUP(D191,'Species Codes'!B:M,12,0))))-(VLOOKUP(D191,'Species Codes'!B:I,8,0)*((((E191*2.54)^VLOOKUP(D191,'Species Codes'!B:L,11,0))*((I191*0.3048)^VLOOKUP(D191,'Species Codes'!B:M,12,0))))))*35.3*VLOOKUP(D191,'Species Codes'!B:G,6,0)/2.2046,VLOOKUP(D191,'Species Codes'!B:I,8,0)+VLOOKUP(D191,'Species Codes'!B:J,9,0)*(((E191*2.54)/100)^2)*(I191*0.3048)))))*0.0011023),0)</f>
        <v>#N/A</v>
      </c>
      <c r="AC191" s="104" t="e">
        <f>IF(Z191&gt;0,((IF(OR(D191="RA",D191="OA",D191="OT",D191="UN",D191="PC"),EXP(VLOOKUP(D191,'Species Codes'!B:O,14,0)+VLOOKUP(D191,'Species Codes'!B:P,15,0)*LN((E191*2.54)))-EXP(VLOOKUP(D191,'Species Codes'!B:O,14,0)+VLOOKUP(D191,'Species Codes'!B:P,15,0)*LN((E191*2.54)))*(1/(VLOOKUP(D191,'Species Codes'!B:Q,16,0)+VLOOKUP(D191,'Species Codes'!B:R,17,0)*((E191*2.54)^VLOOKUP(D191,'Species Codes'!B:S,18,0)))),IF(OR(D191="BM",D191="MD",D191="OA"),EXP(VLOOKUP(D191,'Species Codes'!B:O,14,0)+VLOOKUP(D191,'Species Codes'!B:P,15,0)*LN((E191*2.54)))*(1-(1/(VLOOKUP(D191,'Species Codes'!B:Q,16,0)+VLOOKUP(D191,'Species Codes'!B:R,17,0)*((E191*2.54)^VLOOKUP(D191,'Species Codes'!B:S,18,0)))))/1000,IF(D191="DF",EXP(VLOOKUP(D191,'Species Codes'!B:O,14,0)+VLOOKUP(D191,'Species Codes'!B:P,15,0)*LN((E191*2.54))),VLOOKUP(D191,'Species Codes'!B:O,14,0)+VLOOKUP(D191,'Species Codes'!B:P,15,0)*(((E191*2.54)/100)^2)*(I191*0.3048)))))*0.0011023),0)</f>
        <v>#N/A</v>
      </c>
      <c r="AD191" s="104" t="e">
        <f t="shared" si="64"/>
        <v>#N/A</v>
      </c>
      <c r="AE191" s="104" t="e">
        <f t="shared" si="65"/>
        <v>#N/A</v>
      </c>
      <c r="AF191" s="104" t="e">
        <f>IF(AND(VLOOKUP($D191,Merchantability!$B:$C,2,0)="Yes",$E191&gt;=VLOOKUP($D191,Merchantability!$B:$D,3,0),$E191&lt;=VLOOKUP($D191,Merchantability!$B:$E,4,0)),AA191,0)</f>
        <v>#N/A</v>
      </c>
      <c r="AG191" s="104" t="e">
        <f>IF(AND(VLOOKUP($D191,Merchantability!$B:$C,2,0)="Yes",$E191&gt;=VLOOKUP($D191,Merchantability!$B:$D,3,0),$E191&lt;=VLOOKUP($D191,Merchantability!$B:$E,4,0)),AB191,0)</f>
        <v>#N/A</v>
      </c>
      <c r="AH191" s="104" t="e">
        <f>IF(AND(VLOOKUP($D191,Merchantability!$B:$C,2,0)="Yes",$E191&gt;=VLOOKUP($D191,Merchantability!$B:$D,3,0),$E191&lt;=VLOOKUP($D191,Merchantability!$B:$E,4,0)),AC191,0)</f>
        <v>#N/A</v>
      </c>
      <c r="AI191" s="104" t="e">
        <f t="shared" si="66"/>
        <v>#N/A</v>
      </c>
      <c r="AJ191" s="104" t="e">
        <f t="shared" si="67"/>
        <v>#VALUE!</v>
      </c>
      <c r="AK191" s="104" t="e">
        <f t="shared" si="68"/>
        <v>#N/A</v>
      </c>
      <c r="AL191" s="104" t="e">
        <f t="shared" si="69"/>
        <v>#N/A</v>
      </c>
      <c r="AM191" s="104" t="e">
        <f t="shared" si="70"/>
        <v>#N/A</v>
      </c>
      <c r="AN191" s="104" t="e">
        <f t="shared" si="71"/>
        <v>#N/A</v>
      </c>
      <c r="AO191" s="104" t="e">
        <f t="shared" si="72"/>
        <v>#N/A</v>
      </c>
      <c r="AP191" s="104" t="e">
        <f t="shared" si="73"/>
        <v>#N/A</v>
      </c>
      <c r="AQ191" s="104" t="e">
        <f t="shared" si="74"/>
        <v>#N/A</v>
      </c>
      <c r="AR191" s="105" t="str">
        <f t="shared" si="75"/>
        <v/>
      </c>
      <c r="AS191" s="105" t="str">
        <f t="shared" si="76"/>
        <v/>
      </c>
      <c r="AT191" s="108" t="str">
        <f t="shared" si="77"/>
        <v/>
      </c>
      <c r="AU191" s="108" t="str">
        <f t="shared" si="78"/>
        <v/>
      </c>
      <c r="AV191" s="107" t="str">
        <f>IF(ISNUMBER(O191),IF(VLOOKUP($A191,Stand!C:J,8,FALSE)="Short",AT191,AU191),"")</f>
        <v/>
      </c>
      <c r="AW191" s="109" t="str">
        <f t="shared" si="79"/>
        <v/>
      </c>
      <c r="AX191" s="109" t="str">
        <f t="shared" si="80"/>
        <v/>
      </c>
      <c r="AY191" s="112" t="str">
        <f>IF(ISNUMBER(O191),IF(AND(VLOOKUP($D191,Merchantability!$B:$C,2,0)="Yes",$E191&gt;=VLOOKUP($D191,Merchantability!$B:$D,3,0),$E191&lt;=VLOOKUP($D191,Merchantability!$B:$E,4,0)),(AV191*O191)*(1-$H191/100),""),"")</f>
        <v/>
      </c>
      <c r="AZ191" s="116"/>
      <c r="BA191" s="116"/>
      <c r="BB191" s="116"/>
      <c r="BE191" s="62"/>
      <c r="BF191" s="63"/>
    </row>
    <row r="192" spans="1:58" ht="12.75" customHeight="1" x14ac:dyDescent="0.25">
      <c r="A192" s="384"/>
      <c r="B192" s="380"/>
      <c r="C192" s="381"/>
      <c r="D192" s="380"/>
      <c r="E192" s="382"/>
      <c r="F192" s="331"/>
      <c r="G192" s="329"/>
      <c r="H192" s="329"/>
      <c r="I192" s="380"/>
      <c r="J192" s="381"/>
      <c r="K192" s="329"/>
      <c r="L192" s="329"/>
      <c r="M192" s="76"/>
      <c r="N192" s="103" t="str">
        <f>IF(A192="","",VLOOKUP(A192,Stand!C:K,9,0))</f>
        <v/>
      </c>
      <c r="O192" s="104" t="str">
        <f t="shared" si="54"/>
        <v/>
      </c>
      <c r="P192" s="105" t="str">
        <f t="shared" si="55"/>
        <v/>
      </c>
      <c r="Q192" s="105" t="str">
        <f t="shared" si="56"/>
        <v/>
      </c>
      <c r="R192" s="103" t="str">
        <f t="shared" si="57"/>
        <v/>
      </c>
      <c r="S192" s="103" t="str">
        <f t="shared" si="58"/>
        <v/>
      </c>
      <c r="T192" s="106" t="str">
        <f t="shared" si="59"/>
        <v/>
      </c>
      <c r="U192" s="106" t="str">
        <f t="shared" si="60"/>
        <v/>
      </c>
      <c r="V192" s="106" t="str">
        <f t="shared" si="61"/>
        <v/>
      </c>
      <c r="W192" s="105" t="str">
        <f t="shared" si="62"/>
        <v/>
      </c>
      <c r="X192" s="104" t="str">
        <f t="shared" si="63"/>
        <v/>
      </c>
      <c r="Y192" s="104" t="str">
        <f t="array" ref="Y192">IFERROR(IF(ISNUMBER(O192),IF(COUNT(IF(A192=$A$2:$A$2427,IF(D192=$D$2:$D$2427,IF($X$2:$X$2427&gt;0,1))))&gt;0,SUM(IF(A192=$A$2:$A$2427,IF(D192=$D$2:$D$2427,$X$2:$X$2427)))/COUNT(IF(A192=$A$2:$A$2427,IF(D192=$D$2:$D$2427,IF(ISNUMBER($X$2:$X$2427),1)))),0),""),0)</f>
        <v/>
      </c>
      <c r="Z192" s="104" t="str">
        <f>IF(ISNUMBER(O192),IF(I192&gt;0,(10^(VLOOKUP(D192,'Species Codes'!B:C,2,0)+VLOOKUP(D192,'Species Codes'!B:D,3,0)*LOG(E192)+VLOOKUP(D192,'Species Codes'!B:E,4,0)*LOG(I192))),0),"")</f>
        <v/>
      </c>
      <c r="AA192" s="104" t="str">
        <f>IFERROR((VLOOKUP(D192,'Species Codes'!B:G,6,0)*Z192)/2000,"")</f>
        <v/>
      </c>
      <c r="AB192" s="104" t="e">
        <f>IF(Z192&gt;0,((IF(OR(D192="DF",D192="RA")=TRUE,EXP(VLOOKUP(D192,'Species Codes'!B:I,8,0)+VLOOKUP(D192,'Species Codes'!B:J,9,0)*(LN((E192*2.54)))),IF(OR(D192="PY",D192="RC",D192="WH",D192="NF")=TRUE,VLOOKUP(D192,'Species Codes'!B:I,8,0)+VLOOKUP(D192,'Species Codes'!B:J,9,0)*((E192*2.54)^2)*(I192*0.3048),IF(OR(D192="MD",D192="BM",D192="GA")=TRUE,((VLOOKUP(D192,'Species Codes'!B:I,8,0)*(((((E192*2.54)+VLOOKUP(D192,'Species Codes'!B:J,9,0))/VLOOKUP(D192,'Species Codes'!B:K,10,0))^VLOOKUP(D192,'Species Codes'!B:L,11,0))*((I192*0.3048)^VLOOKUP(D192,'Species Codes'!B:M,12,0))))-(VLOOKUP(D192,'Species Codes'!B:I,8,0)*((((E192*2.54)^VLOOKUP(D192,'Species Codes'!B:L,11,0))*((I192*0.3048)^VLOOKUP(D192,'Species Codes'!B:M,12,0))))))*35.3*VLOOKUP(D192,'Species Codes'!B:G,6,0)/2.2046,VLOOKUP(D192,'Species Codes'!B:I,8,0)+VLOOKUP(D192,'Species Codes'!B:J,9,0)*(((E192*2.54)/100)^2)*(I192*0.3048)))))*0.0011023),0)</f>
        <v>#N/A</v>
      </c>
      <c r="AC192" s="104" t="e">
        <f>IF(Z192&gt;0,((IF(OR(D192="RA",D192="OA",D192="OT",D192="UN",D192="PC"),EXP(VLOOKUP(D192,'Species Codes'!B:O,14,0)+VLOOKUP(D192,'Species Codes'!B:P,15,0)*LN((E192*2.54)))-EXP(VLOOKUP(D192,'Species Codes'!B:O,14,0)+VLOOKUP(D192,'Species Codes'!B:P,15,0)*LN((E192*2.54)))*(1/(VLOOKUP(D192,'Species Codes'!B:Q,16,0)+VLOOKUP(D192,'Species Codes'!B:R,17,0)*((E192*2.54)^VLOOKUP(D192,'Species Codes'!B:S,18,0)))),IF(OR(D192="BM",D192="MD",D192="OA"),EXP(VLOOKUP(D192,'Species Codes'!B:O,14,0)+VLOOKUP(D192,'Species Codes'!B:P,15,0)*LN((E192*2.54)))*(1-(1/(VLOOKUP(D192,'Species Codes'!B:Q,16,0)+VLOOKUP(D192,'Species Codes'!B:R,17,0)*((E192*2.54)^VLOOKUP(D192,'Species Codes'!B:S,18,0)))))/1000,IF(D192="DF",EXP(VLOOKUP(D192,'Species Codes'!B:O,14,0)+VLOOKUP(D192,'Species Codes'!B:P,15,0)*LN((E192*2.54))),VLOOKUP(D192,'Species Codes'!B:O,14,0)+VLOOKUP(D192,'Species Codes'!B:P,15,0)*(((E192*2.54)/100)^2)*(I192*0.3048)))))*0.0011023),0)</f>
        <v>#N/A</v>
      </c>
      <c r="AD192" s="104" t="e">
        <f t="shared" si="64"/>
        <v>#N/A</v>
      </c>
      <c r="AE192" s="104" t="e">
        <f t="shared" si="65"/>
        <v>#N/A</v>
      </c>
      <c r="AF192" s="104" t="e">
        <f>IF(AND(VLOOKUP($D192,Merchantability!$B:$C,2,0)="Yes",$E192&gt;=VLOOKUP($D192,Merchantability!$B:$D,3,0),$E192&lt;=VLOOKUP($D192,Merchantability!$B:$E,4,0)),AA192,0)</f>
        <v>#N/A</v>
      </c>
      <c r="AG192" s="104" t="e">
        <f>IF(AND(VLOOKUP($D192,Merchantability!$B:$C,2,0)="Yes",$E192&gt;=VLOOKUP($D192,Merchantability!$B:$D,3,0),$E192&lt;=VLOOKUP($D192,Merchantability!$B:$E,4,0)),AB192,0)</f>
        <v>#N/A</v>
      </c>
      <c r="AH192" s="104" t="e">
        <f>IF(AND(VLOOKUP($D192,Merchantability!$B:$C,2,0)="Yes",$E192&gt;=VLOOKUP($D192,Merchantability!$B:$D,3,0),$E192&lt;=VLOOKUP($D192,Merchantability!$B:$E,4,0)),AC192,0)</f>
        <v>#N/A</v>
      </c>
      <c r="AI192" s="104" t="e">
        <f t="shared" si="66"/>
        <v>#N/A</v>
      </c>
      <c r="AJ192" s="104" t="e">
        <f t="shared" si="67"/>
        <v>#VALUE!</v>
      </c>
      <c r="AK192" s="104" t="e">
        <f t="shared" si="68"/>
        <v>#N/A</v>
      </c>
      <c r="AL192" s="104" t="e">
        <f t="shared" si="69"/>
        <v>#N/A</v>
      </c>
      <c r="AM192" s="104" t="e">
        <f t="shared" si="70"/>
        <v>#N/A</v>
      </c>
      <c r="AN192" s="104" t="e">
        <f t="shared" si="71"/>
        <v>#N/A</v>
      </c>
      <c r="AO192" s="104" t="e">
        <f t="shared" si="72"/>
        <v>#N/A</v>
      </c>
      <c r="AP192" s="104" t="e">
        <f t="shared" si="73"/>
        <v>#N/A</v>
      </c>
      <c r="AQ192" s="104" t="e">
        <f t="shared" si="74"/>
        <v>#N/A</v>
      </c>
      <c r="AR192" s="105" t="str">
        <f t="shared" si="75"/>
        <v/>
      </c>
      <c r="AS192" s="105" t="str">
        <f t="shared" si="76"/>
        <v/>
      </c>
      <c r="AT192" s="108" t="str">
        <f t="shared" si="77"/>
        <v/>
      </c>
      <c r="AU192" s="108" t="str">
        <f t="shared" si="78"/>
        <v/>
      </c>
      <c r="AV192" s="107" t="str">
        <f>IF(ISNUMBER(O192),IF(VLOOKUP($A192,Stand!C:J,8,FALSE)="Short",AT192,AU192),"")</f>
        <v/>
      </c>
      <c r="AW192" s="109" t="str">
        <f t="shared" si="79"/>
        <v/>
      </c>
      <c r="AX192" s="109" t="str">
        <f t="shared" si="80"/>
        <v/>
      </c>
      <c r="AY192" s="112" t="str">
        <f>IF(ISNUMBER(O192),IF(AND(VLOOKUP($D192,Merchantability!$B:$C,2,0)="Yes",$E192&gt;=VLOOKUP($D192,Merchantability!$B:$D,3,0),$E192&lt;=VLOOKUP($D192,Merchantability!$B:$E,4,0)),(AV192*O192)*(1-$H192/100),""),"")</f>
        <v/>
      </c>
      <c r="AZ192" s="116"/>
      <c r="BA192" s="116"/>
      <c r="BB192" s="116"/>
      <c r="BE192" s="62"/>
      <c r="BF192" s="63"/>
    </row>
    <row r="193" spans="1:58" ht="12.75" customHeight="1" x14ac:dyDescent="0.25">
      <c r="A193" s="384"/>
      <c r="B193" s="380"/>
      <c r="C193" s="381"/>
      <c r="D193" s="380"/>
      <c r="E193" s="382"/>
      <c r="F193" s="331"/>
      <c r="G193" s="329"/>
      <c r="H193" s="329"/>
      <c r="I193" s="380"/>
      <c r="J193" s="381"/>
      <c r="K193" s="329"/>
      <c r="L193" s="329"/>
      <c r="M193" s="76"/>
      <c r="N193" s="103" t="str">
        <f>IF(A193="","",VLOOKUP(A193,Stand!C:K,9,0))</f>
        <v/>
      </c>
      <c r="O193" s="104" t="str">
        <f t="shared" si="54"/>
        <v/>
      </c>
      <c r="P193" s="105" t="str">
        <f t="shared" si="55"/>
        <v/>
      </c>
      <c r="Q193" s="105" t="str">
        <f t="shared" si="56"/>
        <v/>
      </c>
      <c r="R193" s="103" t="str">
        <f t="shared" si="57"/>
        <v/>
      </c>
      <c r="S193" s="103" t="str">
        <f t="shared" si="58"/>
        <v/>
      </c>
      <c r="T193" s="106" t="str">
        <f t="shared" si="59"/>
        <v/>
      </c>
      <c r="U193" s="106" t="str">
        <f t="shared" si="60"/>
        <v/>
      </c>
      <c r="V193" s="106" t="str">
        <f t="shared" si="61"/>
        <v/>
      </c>
      <c r="W193" s="105" t="str">
        <f t="shared" si="62"/>
        <v/>
      </c>
      <c r="X193" s="104" t="str">
        <f t="shared" si="63"/>
        <v/>
      </c>
      <c r="Y193" s="104" t="str">
        <f t="array" ref="Y193">IFERROR(IF(ISNUMBER(O193),IF(COUNT(IF(A193=$A$2:$A$2427,IF(D193=$D$2:$D$2427,IF($X$2:$X$2427&gt;0,1))))&gt;0,SUM(IF(A193=$A$2:$A$2427,IF(D193=$D$2:$D$2427,$X$2:$X$2427)))/COUNT(IF(A193=$A$2:$A$2427,IF(D193=$D$2:$D$2427,IF(ISNUMBER($X$2:$X$2427),1)))),0),""),0)</f>
        <v/>
      </c>
      <c r="Z193" s="104" t="str">
        <f>IF(ISNUMBER(O193),IF(I193&gt;0,(10^(VLOOKUP(D193,'Species Codes'!B:C,2,0)+VLOOKUP(D193,'Species Codes'!B:D,3,0)*LOG(E193)+VLOOKUP(D193,'Species Codes'!B:E,4,0)*LOG(I193))),0),"")</f>
        <v/>
      </c>
      <c r="AA193" s="104" t="str">
        <f>IFERROR((VLOOKUP(D193,'Species Codes'!B:G,6,0)*Z193)/2000,"")</f>
        <v/>
      </c>
      <c r="AB193" s="104" t="e">
        <f>IF(Z193&gt;0,((IF(OR(D193="DF",D193="RA")=TRUE,EXP(VLOOKUP(D193,'Species Codes'!B:I,8,0)+VLOOKUP(D193,'Species Codes'!B:J,9,0)*(LN((E193*2.54)))),IF(OR(D193="PY",D193="RC",D193="WH",D193="NF")=TRUE,VLOOKUP(D193,'Species Codes'!B:I,8,0)+VLOOKUP(D193,'Species Codes'!B:J,9,0)*((E193*2.54)^2)*(I193*0.3048),IF(OR(D193="MD",D193="BM",D193="GA")=TRUE,((VLOOKUP(D193,'Species Codes'!B:I,8,0)*(((((E193*2.54)+VLOOKUP(D193,'Species Codes'!B:J,9,0))/VLOOKUP(D193,'Species Codes'!B:K,10,0))^VLOOKUP(D193,'Species Codes'!B:L,11,0))*((I193*0.3048)^VLOOKUP(D193,'Species Codes'!B:M,12,0))))-(VLOOKUP(D193,'Species Codes'!B:I,8,0)*((((E193*2.54)^VLOOKUP(D193,'Species Codes'!B:L,11,0))*((I193*0.3048)^VLOOKUP(D193,'Species Codes'!B:M,12,0))))))*35.3*VLOOKUP(D193,'Species Codes'!B:G,6,0)/2.2046,VLOOKUP(D193,'Species Codes'!B:I,8,0)+VLOOKUP(D193,'Species Codes'!B:J,9,0)*(((E193*2.54)/100)^2)*(I193*0.3048)))))*0.0011023),0)</f>
        <v>#N/A</v>
      </c>
      <c r="AC193" s="104" t="e">
        <f>IF(Z193&gt;0,((IF(OR(D193="RA",D193="OA",D193="OT",D193="UN",D193="PC"),EXP(VLOOKUP(D193,'Species Codes'!B:O,14,0)+VLOOKUP(D193,'Species Codes'!B:P,15,0)*LN((E193*2.54)))-EXP(VLOOKUP(D193,'Species Codes'!B:O,14,0)+VLOOKUP(D193,'Species Codes'!B:P,15,0)*LN((E193*2.54)))*(1/(VLOOKUP(D193,'Species Codes'!B:Q,16,0)+VLOOKUP(D193,'Species Codes'!B:R,17,0)*((E193*2.54)^VLOOKUP(D193,'Species Codes'!B:S,18,0)))),IF(OR(D193="BM",D193="MD",D193="OA"),EXP(VLOOKUP(D193,'Species Codes'!B:O,14,0)+VLOOKUP(D193,'Species Codes'!B:P,15,0)*LN((E193*2.54)))*(1-(1/(VLOOKUP(D193,'Species Codes'!B:Q,16,0)+VLOOKUP(D193,'Species Codes'!B:R,17,0)*((E193*2.54)^VLOOKUP(D193,'Species Codes'!B:S,18,0)))))/1000,IF(D193="DF",EXP(VLOOKUP(D193,'Species Codes'!B:O,14,0)+VLOOKUP(D193,'Species Codes'!B:P,15,0)*LN((E193*2.54))),VLOOKUP(D193,'Species Codes'!B:O,14,0)+VLOOKUP(D193,'Species Codes'!B:P,15,0)*(((E193*2.54)/100)^2)*(I193*0.3048)))))*0.0011023),0)</f>
        <v>#N/A</v>
      </c>
      <c r="AD193" s="104" t="e">
        <f t="shared" si="64"/>
        <v>#N/A</v>
      </c>
      <c r="AE193" s="104" t="e">
        <f t="shared" si="65"/>
        <v>#N/A</v>
      </c>
      <c r="AF193" s="104" t="e">
        <f>IF(AND(VLOOKUP($D193,Merchantability!$B:$C,2,0)="Yes",$E193&gt;=VLOOKUP($D193,Merchantability!$B:$D,3,0),$E193&lt;=VLOOKUP($D193,Merchantability!$B:$E,4,0)),AA193,0)</f>
        <v>#N/A</v>
      </c>
      <c r="AG193" s="104" t="e">
        <f>IF(AND(VLOOKUP($D193,Merchantability!$B:$C,2,0)="Yes",$E193&gt;=VLOOKUP($D193,Merchantability!$B:$D,3,0),$E193&lt;=VLOOKUP($D193,Merchantability!$B:$E,4,0)),AB193,0)</f>
        <v>#N/A</v>
      </c>
      <c r="AH193" s="104" t="e">
        <f>IF(AND(VLOOKUP($D193,Merchantability!$B:$C,2,0)="Yes",$E193&gt;=VLOOKUP($D193,Merchantability!$B:$D,3,0),$E193&lt;=VLOOKUP($D193,Merchantability!$B:$E,4,0)),AC193,0)</f>
        <v>#N/A</v>
      </c>
      <c r="AI193" s="104" t="e">
        <f t="shared" si="66"/>
        <v>#N/A</v>
      </c>
      <c r="AJ193" s="104" t="e">
        <f t="shared" si="67"/>
        <v>#VALUE!</v>
      </c>
      <c r="AK193" s="104" t="e">
        <f t="shared" si="68"/>
        <v>#N/A</v>
      </c>
      <c r="AL193" s="104" t="e">
        <f t="shared" si="69"/>
        <v>#N/A</v>
      </c>
      <c r="AM193" s="104" t="e">
        <f t="shared" si="70"/>
        <v>#N/A</v>
      </c>
      <c r="AN193" s="104" t="e">
        <f t="shared" si="71"/>
        <v>#N/A</v>
      </c>
      <c r="AO193" s="104" t="e">
        <f t="shared" si="72"/>
        <v>#N/A</v>
      </c>
      <c r="AP193" s="104" t="e">
        <f t="shared" si="73"/>
        <v>#N/A</v>
      </c>
      <c r="AQ193" s="104" t="e">
        <f t="shared" si="74"/>
        <v>#N/A</v>
      </c>
      <c r="AR193" s="105" t="str">
        <f t="shared" si="75"/>
        <v/>
      </c>
      <c r="AS193" s="105" t="str">
        <f t="shared" si="76"/>
        <v/>
      </c>
      <c r="AT193" s="108" t="str">
        <f t="shared" si="77"/>
        <v/>
      </c>
      <c r="AU193" s="108" t="str">
        <f t="shared" si="78"/>
        <v/>
      </c>
      <c r="AV193" s="107" t="str">
        <f>IF(ISNUMBER(O193),IF(VLOOKUP($A193,Stand!C:J,8,FALSE)="Short",AT193,AU193),"")</f>
        <v/>
      </c>
      <c r="AW193" s="109" t="str">
        <f t="shared" si="79"/>
        <v/>
      </c>
      <c r="AX193" s="109" t="str">
        <f t="shared" si="80"/>
        <v/>
      </c>
      <c r="AY193" s="112" t="str">
        <f>IF(ISNUMBER(O193),IF(AND(VLOOKUP($D193,Merchantability!$B:$C,2,0)="Yes",$E193&gt;=VLOOKUP($D193,Merchantability!$B:$D,3,0),$E193&lt;=VLOOKUP($D193,Merchantability!$B:$E,4,0)),(AV193*O193)*(1-$H193/100),""),"")</f>
        <v/>
      </c>
      <c r="AZ193" s="116"/>
      <c r="BA193" s="116"/>
      <c r="BB193" s="116"/>
      <c r="BE193" s="62"/>
      <c r="BF193" s="63"/>
    </row>
    <row r="194" spans="1:58" ht="12.75" customHeight="1" x14ac:dyDescent="0.25">
      <c r="A194" s="384"/>
      <c r="B194" s="380"/>
      <c r="C194" s="381"/>
      <c r="D194" s="380"/>
      <c r="E194" s="382"/>
      <c r="F194" s="331"/>
      <c r="G194" s="329"/>
      <c r="H194" s="329"/>
      <c r="I194" s="380"/>
      <c r="J194" s="381"/>
      <c r="K194" s="329"/>
      <c r="L194" s="329"/>
      <c r="M194" s="76"/>
      <c r="N194" s="103" t="str">
        <f>IF(A194="","",VLOOKUP(A194,Stand!C:K,9,0))</f>
        <v/>
      </c>
      <c r="O194" s="104" t="str">
        <f t="shared" ref="O194:O214" si="81">IF(E194&gt;0,IF(G194&gt;1,G194*(43560/(N194^2*3.14)),43560/(N194^2*3.14)),"")</f>
        <v/>
      </c>
      <c r="P194" s="105" t="str">
        <f t="shared" ref="P194:P214" si="82">IF(ISNUMBER(O194),E194*O194,"")</f>
        <v/>
      </c>
      <c r="Q194" s="105" t="str">
        <f t="shared" ref="Q194:Q214" si="83">IF(AND(ISNUMBER(O194),I194&gt;0),I194*O194,"")</f>
        <v/>
      </c>
      <c r="R194" s="103" t="str">
        <f t="shared" ref="R194:R214" si="84">IF(ISNUMBER(O194),E194^2*0.005454*O194,"")</f>
        <v/>
      </c>
      <c r="S194" s="103" t="str">
        <f t="shared" ref="S194:S214" si="85">IF(ISNUMBER(O194),(E194/10)^1.7*O194,"")</f>
        <v/>
      </c>
      <c r="T194" s="106" t="str">
        <f t="shared" ref="T194:T214" si="86">IF(AND(ISNUMBER(O194),J194&gt;0),J194/100,"")</f>
        <v/>
      </c>
      <c r="U194" s="106" t="str">
        <f t="shared" ref="U194:U214" si="87">IF(AND(ISNUMBER(O194),J194&gt;0),T194*O194,"")</f>
        <v/>
      </c>
      <c r="V194" s="106" t="str">
        <f t="shared" ref="V194:V214" si="88">IF(AND(ISNUMBER(O194),I194&gt;0),W194*O194,"")</f>
        <v/>
      </c>
      <c r="W194" s="105" t="str">
        <f t="shared" ref="W194:W214" si="89">IF(AND(ISNUMBER(O194),I194&gt;0),I194/(E194/12),"")</f>
        <v/>
      </c>
      <c r="X194" s="104" t="str">
        <f t="shared" ref="X194:X214" si="90">IF(ISNUMBER(O194),IF(I194&gt;0,IF(E194&gt;0,(0.912733*Z194)/(1.033*(1+1.382937*EXP(-4.015292*E194/10))*((E194^2)*0.005454+0.087266)-0.174533),""),""),"")</f>
        <v/>
      </c>
      <c r="Y194" s="104" t="str">
        <f t="array" ref="Y194">IFERROR(IF(ISNUMBER(O194),IF(COUNT(IF(A194=$A$2:$A$2427,IF(D194=$D$2:$D$2427,IF($X$2:$X$2427&gt;0,1))))&gt;0,SUM(IF(A194=$A$2:$A$2427,IF(D194=$D$2:$D$2427,$X$2:$X$2427)))/COUNT(IF(A194=$A$2:$A$2427,IF(D194=$D$2:$D$2427,IF(ISNUMBER($X$2:$X$2427),1)))),0),""),0)</f>
        <v/>
      </c>
      <c r="Z194" s="104" t="str">
        <f>IF(ISNUMBER(O194),IF(I194&gt;0,(10^(VLOOKUP(D194,'Species Codes'!B:C,2,0)+VLOOKUP(D194,'Species Codes'!B:D,3,0)*LOG(E194)+VLOOKUP(D194,'Species Codes'!B:E,4,0)*LOG(I194))),0),"")</f>
        <v/>
      </c>
      <c r="AA194" s="104" t="str">
        <f>IFERROR((VLOOKUP(D194,'Species Codes'!B:G,6,0)*Z194)/2000,"")</f>
        <v/>
      </c>
      <c r="AB194" s="104" t="e">
        <f>IF(Z194&gt;0,((IF(OR(D194="DF",D194="RA")=TRUE,EXP(VLOOKUP(D194,'Species Codes'!B:I,8,0)+VLOOKUP(D194,'Species Codes'!B:J,9,0)*(LN((E194*2.54)))),IF(OR(D194="PY",D194="RC",D194="WH",D194="NF")=TRUE,VLOOKUP(D194,'Species Codes'!B:I,8,0)+VLOOKUP(D194,'Species Codes'!B:J,9,0)*((E194*2.54)^2)*(I194*0.3048),IF(OR(D194="MD",D194="BM",D194="GA")=TRUE,((VLOOKUP(D194,'Species Codes'!B:I,8,0)*(((((E194*2.54)+VLOOKUP(D194,'Species Codes'!B:J,9,0))/VLOOKUP(D194,'Species Codes'!B:K,10,0))^VLOOKUP(D194,'Species Codes'!B:L,11,0))*((I194*0.3048)^VLOOKUP(D194,'Species Codes'!B:M,12,0))))-(VLOOKUP(D194,'Species Codes'!B:I,8,0)*((((E194*2.54)^VLOOKUP(D194,'Species Codes'!B:L,11,0))*((I194*0.3048)^VLOOKUP(D194,'Species Codes'!B:M,12,0))))))*35.3*VLOOKUP(D194,'Species Codes'!B:G,6,0)/2.2046,VLOOKUP(D194,'Species Codes'!B:I,8,0)+VLOOKUP(D194,'Species Codes'!B:J,9,0)*(((E194*2.54)/100)^2)*(I194*0.3048)))))*0.0011023),0)</f>
        <v>#N/A</v>
      </c>
      <c r="AC194" s="104" t="e">
        <f>IF(Z194&gt;0,((IF(OR(D194="RA",D194="OA",D194="OT",D194="UN",D194="PC"),EXP(VLOOKUP(D194,'Species Codes'!B:O,14,0)+VLOOKUP(D194,'Species Codes'!B:P,15,0)*LN((E194*2.54)))-EXP(VLOOKUP(D194,'Species Codes'!B:O,14,0)+VLOOKUP(D194,'Species Codes'!B:P,15,0)*LN((E194*2.54)))*(1/(VLOOKUP(D194,'Species Codes'!B:Q,16,0)+VLOOKUP(D194,'Species Codes'!B:R,17,0)*((E194*2.54)^VLOOKUP(D194,'Species Codes'!B:S,18,0)))),IF(OR(D194="BM",D194="MD",D194="OA"),EXP(VLOOKUP(D194,'Species Codes'!B:O,14,0)+VLOOKUP(D194,'Species Codes'!B:P,15,0)*LN((E194*2.54)))*(1-(1/(VLOOKUP(D194,'Species Codes'!B:Q,16,0)+VLOOKUP(D194,'Species Codes'!B:R,17,0)*((E194*2.54)^VLOOKUP(D194,'Species Codes'!B:S,18,0)))))/1000,IF(D194="DF",EXP(VLOOKUP(D194,'Species Codes'!B:O,14,0)+VLOOKUP(D194,'Species Codes'!B:P,15,0)*LN((E194*2.54))),VLOOKUP(D194,'Species Codes'!B:O,14,0)+VLOOKUP(D194,'Species Codes'!B:P,15,0)*(((E194*2.54)/100)^2)*(I194*0.3048)))))*0.0011023),0)</f>
        <v>#N/A</v>
      </c>
      <c r="AD194" s="104" t="e">
        <f t="shared" ref="AD194:AD214" si="91">SUM(AA194:AC194)</f>
        <v>#N/A</v>
      </c>
      <c r="AE194" s="104" t="e">
        <f t="shared" ref="AE194:AE214" si="92">AD194*O194</f>
        <v>#N/A</v>
      </c>
      <c r="AF194" s="104" t="e">
        <f>IF(AND(VLOOKUP($D194,Merchantability!$B:$C,2,0)="Yes",$E194&gt;=VLOOKUP($D194,Merchantability!$B:$D,3,0),$E194&lt;=VLOOKUP($D194,Merchantability!$B:$E,4,0)),AA194,0)</f>
        <v>#N/A</v>
      </c>
      <c r="AG194" s="104" t="e">
        <f>IF(AND(VLOOKUP($D194,Merchantability!$B:$C,2,0)="Yes",$E194&gt;=VLOOKUP($D194,Merchantability!$B:$D,3,0),$E194&lt;=VLOOKUP($D194,Merchantability!$B:$E,4,0)),AB194,0)</f>
        <v>#N/A</v>
      </c>
      <c r="AH194" s="104" t="e">
        <f>IF(AND(VLOOKUP($D194,Merchantability!$B:$C,2,0)="Yes",$E194&gt;=VLOOKUP($D194,Merchantability!$B:$D,3,0),$E194&lt;=VLOOKUP($D194,Merchantability!$B:$E,4,0)),AC194,0)</f>
        <v>#N/A</v>
      </c>
      <c r="AI194" s="104" t="e">
        <f t="shared" ref="AI194:AI214" si="93">SUM(AF194:AH194)</f>
        <v>#N/A</v>
      </c>
      <c r="AJ194" s="104" t="e">
        <f t="shared" ref="AJ194:AJ214" si="94">AA194*$O194</f>
        <v>#VALUE!</v>
      </c>
      <c r="AK194" s="104" t="e">
        <f t="shared" ref="AK194:AK214" si="95">AB194*$O194</f>
        <v>#N/A</v>
      </c>
      <c r="AL194" s="104" t="e">
        <f t="shared" ref="AL194:AL214" si="96">AC194*$O194</f>
        <v>#N/A</v>
      </c>
      <c r="AM194" s="104" t="e">
        <f t="shared" ref="AM194:AM214" si="97">AD194*$O194</f>
        <v>#N/A</v>
      </c>
      <c r="AN194" s="104" t="e">
        <f t="shared" ref="AN194:AN214" si="98">AF194*$O194</f>
        <v>#N/A</v>
      </c>
      <c r="AO194" s="104" t="e">
        <f t="shared" ref="AO194:AO214" si="99">AG194*$O194</f>
        <v>#N/A</v>
      </c>
      <c r="AP194" s="104" t="e">
        <f t="shared" ref="AP194:AP214" si="100">AH194*$O194</f>
        <v>#N/A</v>
      </c>
      <c r="AQ194" s="104" t="e">
        <f t="shared" ref="AQ194:AQ214" si="101">SUM(AN194:AP194)</f>
        <v>#N/A</v>
      </c>
      <c r="AR194" s="105" t="str">
        <f t="shared" ref="AR194:AR214" si="102">IF(ISNUMBER(O194),IF(Y194&gt;0,((Y194*(E194^2*0.005454-0.087266))/0.912733),0),"")</f>
        <v/>
      </c>
      <c r="AS194" s="105" t="str">
        <f t="shared" ref="AS194:AS214" si="103">IF(ISNUMBER(O194),AR194*(0.993-0.993*(0.62^(E194-6))),"")</f>
        <v/>
      </c>
      <c r="AT194" s="108" t="str">
        <f t="shared" ref="AT194:AT214" si="104">IF(ISNUMBER(O194),IF(AS194&gt;0,IF(Y194&gt;0,(AS194*10^(0.174439+0.117594*(LOG(E194,10))*(LOG(Y194/0.912733,10))-8.210585/E194^2+0.236693*(LOG(Y194/0.912733,10))-0.00001345*(Y194/0.912733)^2-0.00001937*E194^2)),0),0),"")</f>
        <v/>
      </c>
      <c r="AU194" s="108" t="str">
        <f t="shared" ref="AU194:AU214" si="105">IF(ISNUMBER(O194),IF(AS194&gt;0,IF(Y194&gt;0,AT194*(1.001491-(6.92497/Y194)+(0.00001351*(E194^2))),0),0),"")</f>
        <v/>
      </c>
      <c r="AV194" s="107" t="str">
        <f>IF(ISNUMBER(O194),IF(VLOOKUP($A194,Stand!C:J,8,FALSE)="Short",AT194,AU194),"")</f>
        <v/>
      </c>
      <c r="AW194" s="109" t="str">
        <f t="shared" ref="AW194:AW214" si="106">IF(ISNUMBER(O194),AV194*O194,"")</f>
        <v/>
      </c>
      <c r="AX194" s="109" t="str">
        <f t="shared" ref="AX194:AX214" si="107">IF(ISNUMBER(O194),AW194*(1-$H194/100),"")</f>
        <v/>
      </c>
      <c r="AY194" s="112" t="str">
        <f>IF(ISNUMBER(O194),IF(AND(VLOOKUP($D194,Merchantability!$B:$C,2,0)="Yes",$E194&gt;=VLOOKUP($D194,Merchantability!$B:$D,3,0),$E194&lt;=VLOOKUP($D194,Merchantability!$B:$E,4,0)),(AV194*O194)*(1-$H194/100),""),"")</f>
        <v/>
      </c>
      <c r="AZ194" s="116"/>
      <c r="BA194" s="116"/>
      <c r="BB194" s="116"/>
      <c r="BE194" s="62"/>
      <c r="BF194" s="63"/>
    </row>
    <row r="195" spans="1:58" ht="12.75" customHeight="1" x14ac:dyDescent="0.25">
      <c r="A195" s="384"/>
      <c r="B195" s="380"/>
      <c r="C195" s="381"/>
      <c r="D195" s="380"/>
      <c r="E195" s="382"/>
      <c r="F195" s="331"/>
      <c r="G195" s="329"/>
      <c r="H195" s="329"/>
      <c r="I195" s="380"/>
      <c r="J195" s="381"/>
      <c r="K195" s="329"/>
      <c r="L195" s="329"/>
      <c r="M195" s="76"/>
      <c r="N195" s="103" t="str">
        <f>IF(A195="","",VLOOKUP(A195,Stand!C:K,9,0))</f>
        <v/>
      </c>
      <c r="O195" s="104" t="str">
        <f t="shared" si="81"/>
        <v/>
      </c>
      <c r="P195" s="105" t="str">
        <f t="shared" si="82"/>
        <v/>
      </c>
      <c r="Q195" s="105" t="str">
        <f t="shared" si="83"/>
        <v/>
      </c>
      <c r="R195" s="103" t="str">
        <f t="shared" si="84"/>
        <v/>
      </c>
      <c r="S195" s="103" t="str">
        <f t="shared" si="85"/>
        <v/>
      </c>
      <c r="T195" s="106" t="str">
        <f t="shared" si="86"/>
        <v/>
      </c>
      <c r="U195" s="106" t="str">
        <f t="shared" si="87"/>
        <v/>
      </c>
      <c r="V195" s="106" t="str">
        <f t="shared" si="88"/>
        <v/>
      </c>
      <c r="W195" s="105" t="str">
        <f t="shared" si="89"/>
        <v/>
      </c>
      <c r="X195" s="104" t="str">
        <f t="shared" si="90"/>
        <v/>
      </c>
      <c r="Y195" s="104" t="str">
        <f t="array" ref="Y195">IFERROR(IF(ISNUMBER(O195),IF(COUNT(IF(A195=$A$2:$A$2427,IF(D195=$D$2:$D$2427,IF($X$2:$X$2427&gt;0,1))))&gt;0,SUM(IF(A195=$A$2:$A$2427,IF(D195=$D$2:$D$2427,$X$2:$X$2427)))/COUNT(IF(A195=$A$2:$A$2427,IF(D195=$D$2:$D$2427,IF(ISNUMBER($X$2:$X$2427),1)))),0),""),0)</f>
        <v/>
      </c>
      <c r="Z195" s="104" t="str">
        <f>IF(ISNUMBER(O195),IF(I195&gt;0,(10^(VLOOKUP(D195,'Species Codes'!B:C,2,0)+VLOOKUP(D195,'Species Codes'!B:D,3,0)*LOG(E195)+VLOOKUP(D195,'Species Codes'!B:E,4,0)*LOG(I195))),0),"")</f>
        <v/>
      </c>
      <c r="AA195" s="104" t="str">
        <f>IFERROR((VLOOKUP(D195,'Species Codes'!B:G,6,0)*Z195)/2000,"")</f>
        <v/>
      </c>
      <c r="AB195" s="104" t="e">
        <f>IF(Z195&gt;0,((IF(OR(D195="DF",D195="RA")=TRUE,EXP(VLOOKUP(D195,'Species Codes'!B:I,8,0)+VLOOKUP(D195,'Species Codes'!B:J,9,0)*(LN((E195*2.54)))),IF(OR(D195="PY",D195="RC",D195="WH",D195="NF")=TRUE,VLOOKUP(D195,'Species Codes'!B:I,8,0)+VLOOKUP(D195,'Species Codes'!B:J,9,0)*((E195*2.54)^2)*(I195*0.3048),IF(OR(D195="MD",D195="BM",D195="GA")=TRUE,((VLOOKUP(D195,'Species Codes'!B:I,8,0)*(((((E195*2.54)+VLOOKUP(D195,'Species Codes'!B:J,9,0))/VLOOKUP(D195,'Species Codes'!B:K,10,0))^VLOOKUP(D195,'Species Codes'!B:L,11,0))*((I195*0.3048)^VLOOKUP(D195,'Species Codes'!B:M,12,0))))-(VLOOKUP(D195,'Species Codes'!B:I,8,0)*((((E195*2.54)^VLOOKUP(D195,'Species Codes'!B:L,11,0))*((I195*0.3048)^VLOOKUP(D195,'Species Codes'!B:M,12,0))))))*35.3*VLOOKUP(D195,'Species Codes'!B:G,6,0)/2.2046,VLOOKUP(D195,'Species Codes'!B:I,8,0)+VLOOKUP(D195,'Species Codes'!B:J,9,0)*(((E195*2.54)/100)^2)*(I195*0.3048)))))*0.0011023),0)</f>
        <v>#N/A</v>
      </c>
      <c r="AC195" s="104" t="e">
        <f>IF(Z195&gt;0,((IF(OR(D195="RA",D195="OA",D195="OT",D195="UN",D195="PC"),EXP(VLOOKUP(D195,'Species Codes'!B:O,14,0)+VLOOKUP(D195,'Species Codes'!B:P,15,0)*LN((E195*2.54)))-EXP(VLOOKUP(D195,'Species Codes'!B:O,14,0)+VLOOKUP(D195,'Species Codes'!B:P,15,0)*LN((E195*2.54)))*(1/(VLOOKUP(D195,'Species Codes'!B:Q,16,0)+VLOOKUP(D195,'Species Codes'!B:R,17,0)*((E195*2.54)^VLOOKUP(D195,'Species Codes'!B:S,18,0)))),IF(OR(D195="BM",D195="MD",D195="OA"),EXP(VLOOKUP(D195,'Species Codes'!B:O,14,0)+VLOOKUP(D195,'Species Codes'!B:P,15,0)*LN((E195*2.54)))*(1-(1/(VLOOKUP(D195,'Species Codes'!B:Q,16,0)+VLOOKUP(D195,'Species Codes'!B:R,17,0)*((E195*2.54)^VLOOKUP(D195,'Species Codes'!B:S,18,0)))))/1000,IF(D195="DF",EXP(VLOOKUP(D195,'Species Codes'!B:O,14,0)+VLOOKUP(D195,'Species Codes'!B:P,15,0)*LN((E195*2.54))),VLOOKUP(D195,'Species Codes'!B:O,14,0)+VLOOKUP(D195,'Species Codes'!B:P,15,0)*(((E195*2.54)/100)^2)*(I195*0.3048)))))*0.0011023),0)</f>
        <v>#N/A</v>
      </c>
      <c r="AD195" s="104" t="e">
        <f t="shared" si="91"/>
        <v>#N/A</v>
      </c>
      <c r="AE195" s="104" t="e">
        <f t="shared" si="92"/>
        <v>#N/A</v>
      </c>
      <c r="AF195" s="104" t="e">
        <f>IF(AND(VLOOKUP($D195,Merchantability!$B:$C,2,0)="Yes",$E195&gt;=VLOOKUP($D195,Merchantability!$B:$D,3,0),$E195&lt;=VLOOKUP($D195,Merchantability!$B:$E,4,0)),AA195,0)</f>
        <v>#N/A</v>
      </c>
      <c r="AG195" s="104" t="e">
        <f>IF(AND(VLOOKUP($D195,Merchantability!$B:$C,2,0)="Yes",$E195&gt;=VLOOKUP($D195,Merchantability!$B:$D,3,0),$E195&lt;=VLOOKUP($D195,Merchantability!$B:$E,4,0)),AB195,0)</f>
        <v>#N/A</v>
      </c>
      <c r="AH195" s="104" t="e">
        <f>IF(AND(VLOOKUP($D195,Merchantability!$B:$C,2,0)="Yes",$E195&gt;=VLOOKUP($D195,Merchantability!$B:$D,3,0),$E195&lt;=VLOOKUP($D195,Merchantability!$B:$E,4,0)),AC195,0)</f>
        <v>#N/A</v>
      </c>
      <c r="AI195" s="104" t="e">
        <f t="shared" si="93"/>
        <v>#N/A</v>
      </c>
      <c r="AJ195" s="104" t="e">
        <f t="shared" si="94"/>
        <v>#VALUE!</v>
      </c>
      <c r="AK195" s="104" t="e">
        <f t="shared" si="95"/>
        <v>#N/A</v>
      </c>
      <c r="AL195" s="104" t="e">
        <f t="shared" si="96"/>
        <v>#N/A</v>
      </c>
      <c r="AM195" s="104" t="e">
        <f t="shared" si="97"/>
        <v>#N/A</v>
      </c>
      <c r="AN195" s="104" t="e">
        <f t="shared" si="98"/>
        <v>#N/A</v>
      </c>
      <c r="AO195" s="104" t="e">
        <f t="shared" si="99"/>
        <v>#N/A</v>
      </c>
      <c r="AP195" s="104" t="e">
        <f t="shared" si="100"/>
        <v>#N/A</v>
      </c>
      <c r="AQ195" s="104" t="e">
        <f t="shared" si="101"/>
        <v>#N/A</v>
      </c>
      <c r="AR195" s="105" t="str">
        <f t="shared" si="102"/>
        <v/>
      </c>
      <c r="AS195" s="105" t="str">
        <f t="shared" si="103"/>
        <v/>
      </c>
      <c r="AT195" s="108" t="str">
        <f t="shared" si="104"/>
        <v/>
      </c>
      <c r="AU195" s="108" t="str">
        <f t="shared" si="105"/>
        <v/>
      </c>
      <c r="AV195" s="107" t="str">
        <f>IF(ISNUMBER(O195),IF(VLOOKUP($A195,Stand!C:J,8,FALSE)="Short",AT195,AU195),"")</f>
        <v/>
      </c>
      <c r="AW195" s="109" t="str">
        <f t="shared" si="106"/>
        <v/>
      </c>
      <c r="AX195" s="109" t="str">
        <f t="shared" si="107"/>
        <v/>
      </c>
      <c r="AY195" s="112" t="str">
        <f>IF(ISNUMBER(O195),IF(AND(VLOOKUP($D195,Merchantability!$B:$C,2,0)="Yes",$E195&gt;=VLOOKUP($D195,Merchantability!$B:$D,3,0),$E195&lt;=VLOOKUP($D195,Merchantability!$B:$E,4,0)),(AV195*O195)*(1-$H195/100),""),"")</f>
        <v/>
      </c>
      <c r="AZ195" s="116"/>
      <c r="BA195" s="116"/>
      <c r="BB195" s="116"/>
      <c r="BE195" s="62"/>
      <c r="BF195" s="63"/>
    </row>
    <row r="196" spans="1:58" ht="12.75" customHeight="1" x14ac:dyDescent="0.25">
      <c r="A196" s="384"/>
      <c r="B196" s="380"/>
      <c r="C196" s="381"/>
      <c r="D196" s="380"/>
      <c r="E196" s="382"/>
      <c r="F196" s="331"/>
      <c r="G196" s="329"/>
      <c r="H196" s="329"/>
      <c r="I196" s="380"/>
      <c r="J196" s="381"/>
      <c r="K196" s="329"/>
      <c r="L196" s="329"/>
      <c r="M196" s="76"/>
      <c r="N196" s="103" t="str">
        <f>IF(A196="","",VLOOKUP(A196,Stand!C:K,9,0))</f>
        <v/>
      </c>
      <c r="O196" s="104" t="str">
        <f t="shared" si="81"/>
        <v/>
      </c>
      <c r="P196" s="105" t="str">
        <f t="shared" si="82"/>
        <v/>
      </c>
      <c r="Q196" s="105" t="str">
        <f t="shared" si="83"/>
        <v/>
      </c>
      <c r="R196" s="103" t="str">
        <f t="shared" si="84"/>
        <v/>
      </c>
      <c r="S196" s="103" t="str">
        <f t="shared" si="85"/>
        <v/>
      </c>
      <c r="T196" s="106" t="str">
        <f t="shared" si="86"/>
        <v/>
      </c>
      <c r="U196" s="106" t="str">
        <f t="shared" si="87"/>
        <v/>
      </c>
      <c r="V196" s="106" t="str">
        <f t="shared" si="88"/>
        <v/>
      </c>
      <c r="W196" s="105" t="str">
        <f t="shared" si="89"/>
        <v/>
      </c>
      <c r="X196" s="104" t="str">
        <f t="shared" si="90"/>
        <v/>
      </c>
      <c r="Y196" s="104" t="str">
        <f t="array" ref="Y196">IFERROR(IF(ISNUMBER(O196),IF(COUNT(IF(A196=$A$2:$A$2427,IF(D196=$D$2:$D$2427,IF($X$2:$X$2427&gt;0,1))))&gt;0,SUM(IF(A196=$A$2:$A$2427,IF(D196=$D$2:$D$2427,$X$2:$X$2427)))/COUNT(IF(A196=$A$2:$A$2427,IF(D196=$D$2:$D$2427,IF(ISNUMBER($X$2:$X$2427),1)))),0),""),0)</f>
        <v/>
      </c>
      <c r="Z196" s="104" t="str">
        <f>IF(ISNUMBER(O196),IF(I196&gt;0,(10^(VLOOKUP(D196,'Species Codes'!B:C,2,0)+VLOOKUP(D196,'Species Codes'!B:D,3,0)*LOG(E196)+VLOOKUP(D196,'Species Codes'!B:E,4,0)*LOG(I196))),0),"")</f>
        <v/>
      </c>
      <c r="AA196" s="104" t="str">
        <f>IFERROR((VLOOKUP(D196,'Species Codes'!B:G,6,0)*Z196)/2000,"")</f>
        <v/>
      </c>
      <c r="AB196" s="104" t="e">
        <f>IF(Z196&gt;0,((IF(OR(D196="DF",D196="RA")=TRUE,EXP(VLOOKUP(D196,'Species Codes'!B:I,8,0)+VLOOKUP(D196,'Species Codes'!B:J,9,0)*(LN((E196*2.54)))),IF(OR(D196="PY",D196="RC",D196="WH",D196="NF")=TRUE,VLOOKUP(D196,'Species Codes'!B:I,8,0)+VLOOKUP(D196,'Species Codes'!B:J,9,0)*((E196*2.54)^2)*(I196*0.3048),IF(OR(D196="MD",D196="BM",D196="GA")=TRUE,((VLOOKUP(D196,'Species Codes'!B:I,8,0)*(((((E196*2.54)+VLOOKUP(D196,'Species Codes'!B:J,9,0))/VLOOKUP(D196,'Species Codes'!B:K,10,0))^VLOOKUP(D196,'Species Codes'!B:L,11,0))*((I196*0.3048)^VLOOKUP(D196,'Species Codes'!B:M,12,0))))-(VLOOKUP(D196,'Species Codes'!B:I,8,0)*((((E196*2.54)^VLOOKUP(D196,'Species Codes'!B:L,11,0))*((I196*0.3048)^VLOOKUP(D196,'Species Codes'!B:M,12,0))))))*35.3*VLOOKUP(D196,'Species Codes'!B:G,6,0)/2.2046,VLOOKUP(D196,'Species Codes'!B:I,8,0)+VLOOKUP(D196,'Species Codes'!B:J,9,0)*(((E196*2.54)/100)^2)*(I196*0.3048)))))*0.0011023),0)</f>
        <v>#N/A</v>
      </c>
      <c r="AC196" s="104" t="e">
        <f>IF(Z196&gt;0,((IF(OR(D196="RA",D196="OA",D196="OT",D196="UN",D196="PC"),EXP(VLOOKUP(D196,'Species Codes'!B:O,14,0)+VLOOKUP(D196,'Species Codes'!B:P,15,0)*LN((E196*2.54)))-EXP(VLOOKUP(D196,'Species Codes'!B:O,14,0)+VLOOKUP(D196,'Species Codes'!B:P,15,0)*LN((E196*2.54)))*(1/(VLOOKUP(D196,'Species Codes'!B:Q,16,0)+VLOOKUP(D196,'Species Codes'!B:R,17,0)*((E196*2.54)^VLOOKUP(D196,'Species Codes'!B:S,18,0)))),IF(OR(D196="BM",D196="MD",D196="OA"),EXP(VLOOKUP(D196,'Species Codes'!B:O,14,0)+VLOOKUP(D196,'Species Codes'!B:P,15,0)*LN((E196*2.54)))*(1-(1/(VLOOKUP(D196,'Species Codes'!B:Q,16,0)+VLOOKUP(D196,'Species Codes'!B:R,17,0)*((E196*2.54)^VLOOKUP(D196,'Species Codes'!B:S,18,0)))))/1000,IF(D196="DF",EXP(VLOOKUP(D196,'Species Codes'!B:O,14,0)+VLOOKUP(D196,'Species Codes'!B:P,15,0)*LN((E196*2.54))),VLOOKUP(D196,'Species Codes'!B:O,14,0)+VLOOKUP(D196,'Species Codes'!B:P,15,0)*(((E196*2.54)/100)^2)*(I196*0.3048)))))*0.0011023),0)</f>
        <v>#N/A</v>
      </c>
      <c r="AD196" s="104" t="e">
        <f t="shared" si="91"/>
        <v>#N/A</v>
      </c>
      <c r="AE196" s="104" t="e">
        <f t="shared" si="92"/>
        <v>#N/A</v>
      </c>
      <c r="AF196" s="104" t="e">
        <f>IF(AND(VLOOKUP($D196,Merchantability!$B:$C,2,0)="Yes",$E196&gt;=VLOOKUP($D196,Merchantability!$B:$D,3,0),$E196&lt;=VLOOKUP($D196,Merchantability!$B:$E,4,0)),AA196,0)</f>
        <v>#N/A</v>
      </c>
      <c r="AG196" s="104" t="e">
        <f>IF(AND(VLOOKUP($D196,Merchantability!$B:$C,2,0)="Yes",$E196&gt;=VLOOKUP($D196,Merchantability!$B:$D,3,0),$E196&lt;=VLOOKUP($D196,Merchantability!$B:$E,4,0)),AB196,0)</f>
        <v>#N/A</v>
      </c>
      <c r="AH196" s="104" t="e">
        <f>IF(AND(VLOOKUP($D196,Merchantability!$B:$C,2,0)="Yes",$E196&gt;=VLOOKUP($D196,Merchantability!$B:$D,3,0),$E196&lt;=VLOOKUP($D196,Merchantability!$B:$E,4,0)),AC196,0)</f>
        <v>#N/A</v>
      </c>
      <c r="AI196" s="104" t="e">
        <f t="shared" si="93"/>
        <v>#N/A</v>
      </c>
      <c r="AJ196" s="104" t="e">
        <f t="shared" si="94"/>
        <v>#VALUE!</v>
      </c>
      <c r="AK196" s="104" t="e">
        <f t="shared" si="95"/>
        <v>#N/A</v>
      </c>
      <c r="AL196" s="104" t="e">
        <f t="shared" si="96"/>
        <v>#N/A</v>
      </c>
      <c r="AM196" s="104" t="e">
        <f t="shared" si="97"/>
        <v>#N/A</v>
      </c>
      <c r="AN196" s="104" t="e">
        <f t="shared" si="98"/>
        <v>#N/A</v>
      </c>
      <c r="AO196" s="104" t="e">
        <f t="shared" si="99"/>
        <v>#N/A</v>
      </c>
      <c r="AP196" s="104" t="e">
        <f t="shared" si="100"/>
        <v>#N/A</v>
      </c>
      <c r="AQ196" s="104" t="e">
        <f t="shared" si="101"/>
        <v>#N/A</v>
      </c>
      <c r="AR196" s="105" t="str">
        <f t="shared" si="102"/>
        <v/>
      </c>
      <c r="AS196" s="105" t="str">
        <f t="shared" si="103"/>
        <v/>
      </c>
      <c r="AT196" s="108" t="str">
        <f t="shared" si="104"/>
        <v/>
      </c>
      <c r="AU196" s="108" t="str">
        <f t="shared" si="105"/>
        <v/>
      </c>
      <c r="AV196" s="107" t="str">
        <f>IF(ISNUMBER(O196),IF(VLOOKUP($A196,Stand!C:J,8,FALSE)="Short",AT196,AU196),"")</f>
        <v/>
      </c>
      <c r="AW196" s="109" t="str">
        <f t="shared" si="106"/>
        <v/>
      </c>
      <c r="AX196" s="109" t="str">
        <f t="shared" si="107"/>
        <v/>
      </c>
      <c r="AY196" s="112" t="str">
        <f>IF(ISNUMBER(O196),IF(AND(VLOOKUP($D196,Merchantability!$B:$C,2,0)="Yes",$E196&gt;=VLOOKUP($D196,Merchantability!$B:$D,3,0),$E196&lt;=VLOOKUP($D196,Merchantability!$B:$E,4,0)),(AV196*O196)*(1-$H196/100),""),"")</f>
        <v/>
      </c>
      <c r="AZ196" s="116"/>
      <c r="BA196" s="116"/>
      <c r="BB196" s="116"/>
      <c r="BE196" s="62"/>
      <c r="BF196" s="63"/>
    </row>
    <row r="197" spans="1:58" ht="12.75" customHeight="1" x14ac:dyDescent="0.25">
      <c r="A197" s="384"/>
      <c r="B197" s="380"/>
      <c r="C197" s="381"/>
      <c r="D197" s="380"/>
      <c r="E197" s="382"/>
      <c r="F197" s="331"/>
      <c r="G197" s="329"/>
      <c r="H197" s="329"/>
      <c r="I197" s="380"/>
      <c r="J197" s="381"/>
      <c r="K197" s="329"/>
      <c r="L197" s="329"/>
      <c r="M197" s="76"/>
      <c r="N197" s="103" t="str">
        <f>IF(A197="","",VLOOKUP(A197,Stand!C:K,9,0))</f>
        <v/>
      </c>
      <c r="O197" s="104" t="str">
        <f t="shared" si="81"/>
        <v/>
      </c>
      <c r="P197" s="105" t="str">
        <f t="shared" si="82"/>
        <v/>
      </c>
      <c r="Q197" s="105" t="str">
        <f t="shared" si="83"/>
        <v/>
      </c>
      <c r="R197" s="103" t="str">
        <f t="shared" si="84"/>
        <v/>
      </c>
      <c r="S197" s="103" t="str">
        <f t="shared" si="85"/>
        <v/>
      </c>
      <c r="T197" s="106" t="str">
        <f t="shared" si="86"/>
        <v/>
      </c>
      <c r="U197" s="106" t="str">
        <f t="shared" si="87"/>
        <v/>
      </c>
      <c r="V197" s="106" t="str">
        <f t="shared" si="88"/>
        <v/>
      </c>
      <c r="W197" s="105" t="str">
        <f t="shared" si="89"/>
        <v/>
      </c>
      <c r="X197" s="104" t="str">
        <f t="shared" si="90"/>
        <v/>
      </c>
      <c r="Y197" s="104" t="str">
        <f t="array" ref="Y197">IFERROR(IF(ISNUMBER(O197),IF(COUNT(IF(A197=$A$2:$A$2427,IF(D197=$D$2:$D$2427,IF($X$2:$X$2427&gt;0,1))))&gt;0,SUM(IF(A197=$A$2:$A$2427,IF(D197=$D$2:$D$2427,$X$2:$X$2427)))/COUNT(IF(A197=$A$2:$A$2427,IF(D197=$D$2:$D$2427,IF(ISNUMBER($X$2:$X$2427),1)))),0),""),0)</f>
        <v/>
      </c>
      <c r="Z197" s="104" t="str">
        <f>IF(ISNUMBER(O197),IF(I197&gt;0,(10^(VLOOKUP(D197,'Species Codes'!B:C,2,0)+VLOOKUP(D197,'Species Codes'!B:D,3,0)*LOG(E197)+VLOOKUP(D197,'Species Codes'!B:E,4,0)*LOG(I197))),0),"")</f>
        <v/>
      </c>
      <c r="AA197" s="104" t="str">
        <f>IFERROR((VLOOKUP(D197,'Species Codes'!B:G,6,0)*Z197)/2000,"")</f>
        <v/>
      </c>
      <c r="AB197" s="104" t="e">
        <f>IF(Z197&gt;0,((IF(OR(D197="DF",D197="RA")=TRUE,EXP(VLOOKUP(D197,'Species Codes'!B:I,8,0)+VLOOKUP(D197,'Species Codes'!B:J,9,0)*(LN((E197*2.54)))),IF(OR(D197="PY",D197="RC",D197="WH",D197="NF")=TRUE,VLOOKUP(D197,'Species Codes'!B:I,8,0)+VLOOKUP(D197,'Species Codes'!B:J,9,0)*((E197*2.54)^2)*(I197*0.3048),IF(OR(D197="MD",D197="BM",D197="GA")=TRUE,((VLOOKUP(D197,'Species Codes'!B:I,8,0)*(((((E197*2.54)+VLOOKUP(D197,'Species Codes'!B:J,9,0))/VLOOKUP(D197,'Species Codes'!B:K,10,0))^VLOOKUP(D197,'Species Codes'!B:L,11,0))*((I197*0.3048)^VLOOKUP(D197,'Species Codes'!B:M,12,0))))-(VLOOKUP(D197,'Species Codes'!B:I,8,0)*((((E197*2.54)^VLOOKUP(D197,'Species Codes'!B:L,11,0))*((I197*0.3048)^VLOOKUP(D197,'Species Codes'!B:M,12,0))))))*35.3*VLOOKUP(D197,'Species Codes'!B:G,6,0)/2.2046,VLOOKUP(D197,'Species Codes'!B:I,8,0)+VLOOKUP(D197,'Species Codes'!B:J,9,0)*(((E197*2.54)/100)^2)*(I197*0.3048)))))*0.0011023),0)</f>
        <v>#N/A</v>
      </c>
      <c r="AC197" s="104" t="e">
        <f>IF(Z197&gt;0,((IF(OR(D197="RA",D197="OA",D197="OT",D197="UN",D197="PC"),EXP(VLOOKUP(D197,'Species Codes'!B:O,14,0)+VLOOKUP(D197,'Species Codes'!B:P,15,0)*LN((E197*2.54)))-EXP(VLOOKUP(D197,'Species Codes'!B:O,14,0)+VLOOKUP(D197,'Species Codes'!B:P,15,0)*LN((E197*2.54)))*(1/(VLOOKUP(D197,'Species Codes'!B:Q,16,0)+VLOOKUP(D197,'Species Codes'!B:R,17,0)*((E197*2.54)^VLOOKUP(D197,'Species Codes'!B:S,18,0)))),IF(OR(D197="BM",D197="MD",D197="OA"),EXP(VLOOKUP(D197,'Species Codes'!B:O,14,0)+VLOOKUP(D197,'Species Codes'!B:P,15,0)*LN((E197*2.54)))*(1-(1/(VLOOKUP(D197,'Species Codes'!B:Q,16,0)+VLOOKUP(D197,'Species Codes'!B:R,17,0)*((E197*2.54)^VLOOKUP(D197,'Species Codes'!B:S,18,0)))))/1000,IF(D197="DF",EXP(VLOOKUP(D197,'Species Codes'!B:O,14,0)+VLOOKUP(D197,'Species Codes'!B:P,15,0)*LN((E197*2.54))),VLOOKUP(D197,'Species Codes'!B:O,14,0)+VLOOKUP(D197,'Species Codes'!B:P,15,0)*(((E197*2.54)/100)^2)*(I197*0.3048)))))*0.0011023),0)</f>
        <v>#N/A</v>
      </c>
      <c r="AD197" s="104" t="e">
        <f t="shared" si="91"/>
        <v>#N/A</v>
      </c>
      <c r="AE197" s="104" t="e">
        <f t="shared" si="92"/>
        <v>#N/A</v>
      </c>
      <c r="AF197" s="104" t="e">
        <f>IF(AND(VLOOKUP($D197,Merchantability!$B:$C,2,0)="Yes",$E197&gt;=VLOOKUP($D197,Merchantability!$B:$D,3,0),$E197&lt;=VLOOKUP($D197,Merchantability!$B:$E,4,0)),AA197,0)</f>
        <v>#N/A</v>
      </c>
      <c r="AG197" s="104" t="e">
        <f>IF(AND(VLOOKUP($D197,Merchantability!$B:$C,2,0)="Yes",$E197&gt;=VLOOKUP($D197,Merchantability!$B:$D,3,0),$E197&lt;=VLOOKUP($D197,Merchantability!$B:$E,4,0)),AB197,0)</f>
        <v>#N/A</v>
      </c>
      <c r="AH197" s="104" t="e">
        <f>IF(AND(VLOOKUP($D197,Merchantability!$B:$C,2,0)="Yes",$E197&gt;=VLOOKUP($D197,Merchantability!$B:$D,3,0),$E197&lt;=VLOOKUP($D197,Merchantability!$B:$E,4,0)),AC197,0)</f>
        <v>#N/A</v>
      </c>
      <c r="AI197" s="104" t="e">
        <f t="shared" si="93"/>
        <v>#N/A</v>
      </c>
      <c r="AJ197" s="104" t="e">
        <f t="shared" si="94"/>
        <v>#VALUE!</v>
      </c>
      <c r="AK197" s="104" t="e">
        <f t="shared" si="95"/>
        <v>#N/A</v>
      </c>
      <c r="AL197" s="104" t="e">
        <f t="shared" si="96"/>
        <v>#N/A</v>
      </c>
      <c r="AM197" s="104" t="e">
        <f t="shared" si="97"/>
        <v>#N/A</v>
      </c>
      <c r="AN197" s="104" t="e">
        <f t="shared" si="98"/>
        <v>#N/A</v>
      </c>
      <c r="AO197" s="104" t="e">
        <f t="shared" si="99"/>
        <v>#N/A</v>
      </c>
      <c r="AP197" s="104" t="e">
        <f t="shared" si="100"/>
        <v>#N/A</v>
      </c>
      <c r="AQ197" s="104" t="e">
        <f t="shared" si="101"/>
        <v>#N/A</v>
      </c>
      <c r="AR197" s="105" t="str">
        <f t="shared" si="102"/>
        <v/>
      </c>
      <c r="AS197" s="105" t="str">
        <f t="shared" si="103"/>
        <v/>
      </c>
      <c r="AT197" s="108" t="str">
        <f t="shared" si="104"/>
        <v/>
      </c>
      <c r="AU197" s="108" t="str">
        <f t="shared" si="105"/>
        <v/>
      </c>
      <c r="AV197" s="107" t="str">
        <f>IF(ISNUMBER(O197),IF(VLOOKUP($A197,Stand!C:J,8,FALSE)="Short",AT197,AU197),"")</f>
        <v/>
      </c>
      <c r="AW197" s="109" t="str">
        <f t="shared" si="106"/>
        <v/>
      </c>
      <c r="AX197" s="109" t="str">
        <f t="shared" si="107"/>
        <v/>
      </c>
      <c r="AY197" s="112" t="str">
        <f>IF(ISNUMBER(O197),IF(AND(VLOOKUP($D197,Merchantability!$B:$C,2,0)="Yes",$E197&gt;=VLOOKUP($D197,Merchantability!$B:$D,3,0),$E197&lt;=VLOOKUP($D197,Merchantability!$B:$E,4,0)),(AV197*O197)*(1-$H197/100),""),"")</f>
        <v/>
      </c>
      <c r="AZ197" s="116"/>
      <c r="BA197" s="116"/>
      <c r="BB197" s="116"/>
      <c r="BE197" s="62"/>
      <c r="BF197" s="63"/>
    </row>
    <row r="198" spans="1:58" ht="12.75" customHeight="1" x14ac:dyDescent="0.25">
      <c r="A198" s="384"/>
      <c r="B198" s="380"/>
      <c r="C198" s="381"/>
      <c r="D198" s="380"/>
      <c r="E198" s="382"/>
      <c r="F198" s="331"/>
      <c r="G198" s="329"/>
      <c r="H198" s="329"/>
      <c r="I198" s="380"/>
      <c r="J198" s="381"/>
      <c r="K198" s="329"/>
      <c r="L198" s="329"/>
      <c r="M198" s="76"/>
      <c r="N198" s="103" t="str">
        <f>IF(A198="","",VLOOKUP(A198,Stand!C:K,9,0))</f>
        <v/>
      </c>
      <c r="O198" s="104" t="str">
        <f t="shared" si="81"/>
        <v/>
      </c>
      <c r="P198" s="105" t="str">
        <f t="shared" si="82"/>
        <v/>
      </c>
      <c r="Q198" s="105" t="str">
        <f t="shared" si="83"/>
        <v/>
      </c>
      <c r="R198" s="103" t="str">
        <f t="shared" si="84"/>
        <v/>
      </c>
      <c r="S198" s="103" t="str">
        <f t="shared" si="85"/>
        <v/>
      </c>
      <c r="T198" s="106" t="str">
        <f t="shared" si="86"/>
        <v/>
      </c>
      <c r="U198" s="106" t="str">
        <f t="shared" si="87"/>
        <v/>
      </c>
      <c r="V198" s="106" t="str">
        <f t="shared" si="88"/>
        <v/>
      </c>
      <c r="W198" s="105" t="str">
        <f t="shared" si="89"/>
        <v/>
      </c>
      <c r="X198" s="104" t="str">
        <f t="shared" si="90"/>
        <v/>
      </c>
      <c r="Y198" s="104" t="str">
        <f t="array" ref="Y198">IFERROR(IF(ISNUMBER(O198),IF(COUNT(IF(A198=$A$2:$A$2427,IF(D198=$D$2:$D$2427,IF($X$2:$X$2427&gt;0,1))))&gt;0,SUM(IF(A198=$A$2:$A$2427,IF(D198=$D$2:$D$2427,$X$2:$X$2427)))/COUNT(IF(A198=$A$2:$A$2427,IF(D198=$D$2:$D$2427,IF(ISNUMBER($X$2:$X$2427),1)))),0),""),0)</f>
        <v/>
      </c>
      <c r="Z198" s="104" t="str">
        <f>IF(ISNUMBER(O198),IF(I198&gt;0,(10^(VLOOKUP(D198,'Species Codes'!B:C,2,0)+VLOOKUP(D198,'Species Codes'!B:D,3,0)*LOG(E198)+VLOOKUP(D198,'Species Codes'!B:E,4,0)*LOG(I198))),0),"")</f>
        <v/>
      </c>
      <c r="AA198" s="104" t="str">
        <f>IFERROR((VLOOKUP(D198,'Species Codes'!B:G,6,0)*Z198)/2000,"")</f>
        <v/>
      </c>
      <c r="AB198" s="104" t="e">
        <f>IF(Z198&gt;0,((IF(OR(D198="DF",D198="RA")=TRUE,EXP(VLOOKUP(D198,'Species Codes'!B:I,8,0)+VLOOKUP(D198,'Species Codes'!B:J,9,0)*(LN((E198*2.54)))),IF(OR(D198="PY",D198="RC",D198="WH",D198="NF")=TRUE,VLOOKUP(D198,'Species Codes'!B:I,8,0)+VLOOKUP(D198,'Species Codes'!B:J,9,0)*((E198*2.54)^2)*(I198*0.3048),IF(OR(D198="MD",D198="BM",D198="GA")=TRUE,((VLOOKUP(D198,'Species Codes'!B:I,8,0)*(((((E198*2.54)+VLOOKUP(D198,'Species Codes'!B:J,9,0))/VLOOKUP(D198,'Species Codes'!B:K,10,0))^VLOOKUP(D198,'Species Codes'!B:L,11,0))*((I198*0.3048)^VLOOKUP(D198,'Species Codes'!B:M,12,0))))-(VLOOKUP(D198,'Species Codes'!B:I,8,0)*((((E198*2.54)^VLOOKUP(D198,'Species Codes'!B:L,11,0))*((I198*0.3048)^VLOOKUP(D198,'Species Codes'!B:M,12,0))))))*35.3*VLOOKUP(D198,'Species Codes'!B:G,6,0)/2.2046,VLOOKUP(D198,'Species Codes'!B:I,8,0)+VLOOKUP(D198,'Species Codes'!B:J,9,0)*(((E198*2.54)/100)^2)*(I198*0.3048)))))*0.0011023),0)</f>
        <v>#N/A</v>
      </c>
      <c r="AC198" s="104" t="e">
        <f>IF(Z198&gt;0,((IF(OR(D198="RA",D198="OA",D198="OT",D198="UN",D198="PC"),EXP(VLOOKUP(D198,'Species Codes'!B:O,14,0)+VLOOKUP(D198,'Species Codes'!B:P,15,0)*LN((E198*2.54)))-EXP(VLOOKUP(D198,'Species Codes'!B:O,14,0)+VLOOKUP(D198,'Species Codes'!B:P,15,0)*LN((E198*2.54)))*(1/(VLOOKUP(D198,'Species Codes'!B:Q,16,0)+VLOOKUP(D198,'Species Codes'!B:R,17,0)*((E198*2.54)^VLOOKUP(D198,'Species Codes'!B:S,18,0)))),IF(OR(D198="BM",D198="MD",D198="OA"),EXP(VLOOKUP(D198,'Species Codes'!B:O,14,0)+VLOOKUP(D198,'Species Codes'!B:P,15,0)*LN((E198*2.54)))*(1-(1/(VLOOKUP(D198,'Species Codes'!B:Q,16,0)+VLOOKUP(D198,'Species Codes'!B:R,17,0)*((E198*2.54)^VLOOKUP(D198,'Species Codes'!B:S,18,0)))))/1000,IF(D198="DF",EXP(VLOOKUP(D198,'Species Codes'!B:O,14,0)+VLOOKUP(D198,'Species Codes'!B:P,15,0)*LN((E198*2.54))),VLOOKUP(D198,'Species Codes'!B:O,14,0)+VLOOKUP(D198,'Species Codes'!B:P,15,0)*(((E198*2.54)/100)^2)*(I198*0.3048)))))*0.0011023),0)</f>
        <v>#N/A</v>
      </c>
      <c r="AD198" s="104" t="e">
        <f t="shared" si="91"/>
        <v>#N/A</v>
      </c>
      <c r="AE198" s="104" t="e">
        <f t="shared" si="92"/>
        <v>#N/A</v>
      </c>
      <c r="AF198" s="104" t="e">
        <f>IF(AND(VLOOKUP($D198,Merchantability!$B:$C,2,0)="Yes",$E198&gt;=VLOOKUP($D198,Merchantability!$B:$D,3,0),$E198&lt;=VLOOKUP($D198,Merchantability!$B:$E,4,0)),AA198,0)</f>
        <v>#N/A</v>
      </c>
      <c r="AG198" s="104" t="e">
        <f>IF(AND(VLOOKUP($D198,Merchantability!$B:$C,2,0)="Yes",$E198&gt;=VLOOKUP($D198,Merchantability!$B:$D,3,0),$E198&lt;=VLOOKUP($D198,Merchantability!$B:$E,4,0)),AB198,0)</f>
        <v>#N/A</v>
      </c>
      <c r="AH198" s="104" t="e">
        <f>IF(AND(VLOOKUP($D198,Merchantability!$B:$C,2,0)="Yes",$E198&gt;=VLOOKUP($D198,Merchantability!$B:$D,3,0),$E198&lt;=VLOOKUP($D198,Merchantability!$B:$E,4,0)),AC198,0)</f>
        <v>#N/A</v>
      </c>
      <c r="AI198" s="104" t="e">
        <f t="shared" si="93"/>
        <v>#N/A</v>
      </c>
      <c r="AJ198" s="104" t="e">
        <f t="shared" si="94"/>
        <v>#VALUE!</v>
      </c>
      <c r="AK198" s="104" t="e">
        <f t="shared" si="95"/>
        <v>#N/A</v>
      </c>
      <c r="AL198" s="104" t="e">
        <f t="shared" si="96"/>
        <v>#N/A</v>
      </c>
      <c r="AM198" s="104" t="e">
        <f t="shared" si="97"/>
        <v>#N/A</v>
      </c>
      <c r="AN198" s="104" t="e">
        <f t="shared" si="98"/>
        <v>#N/A</v>
      </c>
      <c r="AO198" s="104" t="e">
        <f t="shared" si="99"/>
        <v>#N/A</v>
      </c>
      <c r="AP198" s="104" t="e">
        <f t="shared" si="100"/>
        <v>#N/A</v>
      </c>
      <c r="AQ198" s="104" t="e">
        <f t="shared" si="101"/>
        <v>#N/A</v>
      </c>
      <c r="AR198" s="105" t="str">
        <f t="shared" si="102"/>
        <v/>
      </c>
      <c r="AS198" s="105" t="str">
        <f t="shared" si="103"/>
        <v/>
      </c>
      <c r="AT198" s="108" t="str">
        <f t="shared" si="104"/>
        <v/>
      </c>
      <c r="AU198" s="108" t="str">
        <f t="shared" si="105"/>
        <v/>
      </c>
      <c r="AV198" s="107" t="str">
        <f>IF(ISNUMBER(O198),IF(VLOOKUP($A198,Stand!C:J,8,FALSE)="Short",AT198,AU198),"")</f>
        <v/>
      </c>
      <c r="AW198" s="109" t="str">
        <f t="shared" si="106"/>
        <v/>
      </c>
      <c r="AX198" s="109" t="str">
        <f t="shared" si="107"/>
        <v/>
      </c>
      <c r="AY198" s="112" t="str">
        <f>IF(ISNUMBER(O198),IF(AND(VLOOKUP($D198,Merchantability!$B:$C,2,0)="Yes",$E198&gt;=VLOOKUP($D198,Merchantability!$B:$D,3,0),$E198&lt;=VLOOKUP($D198,Merchantability!$B:$E,4,0)),(AV198*O198)*(1-$H198/100),""),"")</f>
        <v/>
      </c>
      <c r="AZ198" s="116"/>
      <c r="BA198" s="116"/>
      <c r="BB198" s="116"/>
      <c r="BE198" s="62"/>
      <c r="BF198" s="63"/>
    </row>
    <row r="199" spans="1:58" ht="12.75" customHeight="1" x14ac:dyDescent="0.25">
      <c r="A199" s="384"/>
      <c r="B199" s="380"/>
      <c r="C199" s="381"/>
      <c r="D199" s="380"/>
      <c r="E199" s="382"/>
      <c r="F199" s="331"/>
      <c r="G199" s="329"/>
      <c r="H199" s="329"/>
      <c r="I199" s="380"/>
      <c r="J199" s="381"/>
      <c r="K199" s="329"/>
      <c r="L199" s="329"/>
      <c r="M199" s="76"/>
      <c r="N199" s="103" t="str">
        <f>IF(A199="","",VLOOKUP(A199,Stand!C:K,9,0))</f>
        <v/>
      </c>
      <c r="O199" s="104" t="str">
        <f t="shared" si="81"/>
        <v/>
      </c>
      <c r="P199" s="105" t="str">
        <f t="shared" si="82"/>
        <v/>
      </c>
      <c r="Q199" s="105" t="str">
        <f t="shared" si="83"/>
        <v/>
      </c>
      <c r="R199" s="103" t="str">
        <f t="shared" si="84"/>
        <v/>
      </c>
      <c r="S199" s="103" t="str">
        <f t="shared" si="85"/>
        <v/>
      </c>
      <c r="T199" s="106" t="str">
        <f t="shared" si="86"/>
        <v/>
      </c>
      <c r="U199" s="106" t="str">
        <f t="shared" si="87"/>
        <v/>
      </c>
      <c r="V199" s="106" t="str">
        <f t="shared" si="88"/>
        <v/>
      </c>
      <c r="W199" s="105" t="str">
        <f t="shared" si="89"/>
        <v/>
      </c>
      <c r="X199" s="104" t="str">
        <f t="shared" si="90"/>
        <v/>
      </c>
      <c r="Y199" s="104" t="str">
        <f t="array" ref="Y199">IFERROR(IF(ISNUMBER(O199),IF(COUNT(IF(A199=$A$2:$A$2427,IF(D199=$D$2:$D$2427,IF($X$2:$X$2427&gt;0,1))))&gt;0,SUM(IF(A199=$A$2:$A$2427,IF(D199=$D$2:$D$2427,$X$2:$X$2427)))/COUNT(IF(A199=$A$2:$A$2427,IF(D199=$D$2:$D$2427,IF(ISNUMBER($X$2:$X$2427),1)))),0),""),0)</f>
        <v/>
      </c>
      <c r="Z199" s="104" t="str">
        <f>IF(ISNUMBER(O199),IF(I199&gt;0,(10^(VLOOKUP(D199,'Species Codes'!B:C,2,0)+VLOOKUP(D199,'Species Codes'!B:D,3,0)*LOG(E199)+VLOOKUP(D199,'Species Codes'!B:E,4,0)*LOG(I199))),0),"")</f>
        <v/>
      </c>
      <c r="AA199" s="104" t="str">
        <f>IFERROR((VLOOKUP(D199,'Species Codes'!B:G,6,0)*Z199)/2000,"")</f>
        <v/>
      </c>
      <c r="AB199" s="104" t="e">
        <f>IF(Z199&gt;0,((IF(OR(D199="DF",D199="RA")=TRUE,EXP(VLOOKUP(D199,'Species Codes'!B:I,8,0)+VLOOKUP(D199,'Species Codes'!B:J,9,0)*(LN((E199*2.54)))),IF(OR(D199="PY",D199="RC",D199="WH",D199="NF")=TRUE,VLOOKUP(D199,'Species Codes'!B:I,8,0)+VLOOKUP(D199,'Species Codes'!B:J,9,0)*((E199*2.54)^2)*(I199*0.3048),IF(OR(D199="MD",D199="BM",D199="GA")=TRUE,((VLOOKUP(D199,'Species Codes'!B:I,8,0)*(((((E199*2.54)+VLOOKUP(D199,'Species Codes'!B:J,9,0))/VLOOKUP(D199,'Species Codes'!B:K,10,0))^VLOOKUP(D199,'Species Codes'!B:L,11,0))*((I199*0.3048)^VLOOKUP(D199,'Species Codes'!B:M,12,0))))-(VLOOKUP(D199,'Species Codes'!B:I,8,0)*((((E199*2.54)^VLOOKUP(D199,'Species Codes'!B:L,11,0))*((I199*0.3048)^VLOOKUP(D199,'Species Codes'!B:M,12,0))))))*35.3*VLOOKUP(D199,'Species Codes'!B:G,6,0)/2.2046,VLOOKUP(D199,'Species Codes'!B:I,8,0)+VLOOKUP(D199,'Species Codes'!B:J,9,0)*(((E199*2.54)/100)^2)*(I199*0.3048)))))*0.0011023),0)</f>
        <v>#N/A</v>
      </c>
      <c r="AC199" s="104" t="e">
        <f>IF(Z199&gt;0,((IF(OR(D199="RA",D199="OA",D199="OT",D199="UN",D199="PC"),EXP(VLOOKUP(D199,'Species Codes'!B:O,14,0)+VLOOKUP(D199,'Species Codes'!B:P,15,0)*LN((E199*2.54)))-EXP(VLOOKUP(D199,'Species Codes'!B:O,14,0)+VLOOKUP(D199,'Species Codes'!B:P,15,0)*LN((E199*2.54)))*(1/(VLOOKUP(D199,'Species Codes'!B:Q,16,0)+VLOOKUP(D199,'Species Codes'!B:R,17,0)*((E199*2.54)^VLOOKUP(D199,'Species Codes'!B:S,18,0)))),IF(OR(D199="BM",D199="MD",D199="OA"),EXP(VLOOKUP(D199,'Species Codes'!B:O,14,0)+VLOOKUP(D199,'Species Codes'!B:P,15,0)*LN((E199*2.54)))*(1-(1/(VLOOKUP(D199,'Species Codes'!B:Q,16,0)+VLOOKUP(D199,'Species Codes'!B:R,17,0)*((E199*2.54)^VLOOKUP(D199,'Species Codes'!B:S,18,0)))))/1000,IF(D199="DF",EXP(VLOOKUP(D199,'Species Codes'!B:O,14,0)+VLOOKUP(D199,'Species Codes'!B:P,15,0)*LN((E199*2.54))),VLOOKUP(D199,'Species Codes'!B:O,14,0)+VLOOKUP(D199,'Species Codes'!B:P,15,0)*(((E199*2.54)/100)^2)*(I199*0.3048)))))*0.0011023),0)</f>
        <v>#N/A</v>
      </c>
      <c r="AD199" s="104" t="e">
        <f t="shared" si="91"/>
        <v>#N/A</v>
      </c>
      <c r="AE199" s="104" t="e">
        <f t="shared" si="92"/>
        <v>#N/A</v>
      </c>
      <c r="AF199" s="104" t="e">
        <f>IF(AND(VLOOKUP($D199,Merchantability!$B:$C,2,0)="Yes",$E199&gt;=VLOOKUP($D199,Merchantability!$B:$D,3,0),$E199&lt;=VLOOKUP($D199,Merchantability!$B:$E,4,0)),AA199,0)</f>
        <v>#N/A</v>
      </c>
      <c r="AG199" s="104" t="e">
        <f>IF(AND(VLOOKUP($D199,Merchantability!$B:$C,2,0)="Yes",$E199&gt;=VLOOKUP($D199,Merchantability!$B:$D,3,0),$E199&lt;=VLOOKUP($D199,Merchantability!$B:$E,4,0)),AB199,0)</f>
        <v>#N/A</v>
      </c>
      <c r="AH199" s="104" t="e">
        <f>IF(AND(VLOOKUP($D199,Merchantability!$B:$C,2,0)="Yes",$E199&gt;=VLOOKUP($D199,Merchantability!$B:$D,3,0),$E199&lt;=VLOOKUP($D199,Merchantability!$B:$E,4,0)),AC199,0)</f>
        <v>#N/A</v>
      </c>
      <c r="AI199" s="104" t="e">
        <f t="shared" si="93"/>
        <v>#N/A</v>
      </c>
      <c r="AJ199" s="104" t="e">
        <f t="shared" si="94"/>
        <v>#VALUE!</v>
      </c>
      <c r="AK199" s="104" t="e">
        <f t="shared" si="95"/>
        <v>#N/A</v>
      </c>
      <c r="AL199" s="104" t="e">
        <f t="shared" si="96"/>
        <v>#N/A</v>
      </c>
      <c r="AM199" s="104" t="e">
        <f t="shared" si="97"/>
        <v>#N/A</v>
      </c>
      <c r="AN199" s="104" t="e">
        <f t="shared" si="98"/>
        <v>#N/A</v>
      </c>
      <c r="AO199" s="104" t="e">
        <f t="shared" si="99"/>
        <v>#N/A</v>
      </c>
      <c r="AP199" s="104" t="e">
        <f t="shared" si="100"/>
        <v>#N/A</v>
      </c>
      <c r="AQ199" s="104" t="e">
        <f t="shared" si="101"/>
        <v>#N/A</v>
      </c>
      <c r="AR199" s="105" t="str">
        <f t="shared" si="102"/>
        <v/>
      </c>
      <c r="AS199" s="105" t="str">
        <f t="shared" si="103"/>
        <v/>
      </c>
      <c r="AT199" s="108" t="str">
        <f t="shared" si="104"/>
        <v/>
      </c>
      <c r="AU199" s="108" t="str">
        <f t="shared" si="105"/>
        <v/>
      </c>
      <c r="AV199" s="107" t="str">
        <f>IF(ISNUMBER(O199),IF(VLOOKUP($A199,Stand!C:J,8,FALSE)="Short",AT199,AU199),"")</f>
        <v/>
      </c>
      <c r="AW199" s="109" t="str">
        <f t="shared" si="106"/>
        <v/>
      </c>
      <c r="AX199" s="109" t="str">
        <f t="shared" si="107"/>
        <v/>
      </c>
      <c r="AY199" s="112" t="str">
        <f>IF(ISNUMBER(O199),IF(AND(VLOOKUP($D199,Merchantability!$B:$C,2,0)="Yes",$E199&gt;=VLOOKUP($D199,Merchantability!$B:$D,3,0),$E199&lt;=VLOOKUP($D199,Merchantability!$B:$E,4,0)),(AV199*O199)*(1-$H199/100),""),"")</f>
        <v/>
      </c>
      <c r="AZ199" s="116"/>
      <c r="BA199" s="116"/>
      <c r="BB199" s="116"/>
      <c r="BE199" s="62"/>
      <c r="BF199" s="63"/>
    </row>
    <row r="200" spans="1:58" ht="12.75" customHeight="1" x14ac:dyDescent="0.25">
      <c r="A200" s="384"/>
      <c r="B200" s="380"/>
      <c r="C200" s="381"/>
      <c r="D200" s="380"/>
      <c r="E200" s="382"/>
      <c r="F200" s="331"/>
      <c r="G200" s="329"/>
      <c r="H200" s="329"/>
      <c r="I200" s="380"/>
      <c r="J200" s="381"/>
      <c r="K200" s="329"/>
      <c r="L200" s="329"/>
      <c r="M200" s="76"/>
      <c r="N200" s="103" t="str">
        <f>IF(A200="","",VLOOKUP(A200,Stand!C:K,9,0))</f>
        <v/>
      </c>
      <c r="O200" s="104" t="str">
        <f t="shared" si="81"/>
        <v/>
      </c>
      <c r="P200" s="105" t="str">
        <f t="shared" si="82"/>
        <v/>
      </c>
      <c r="Q200" s="105" t="str">
        <f t="shared" si="83"/>
        <v/>
      </c>
      <c r="R200" s="103" t="str">
        <f t="shared" si="84"/>
        <v/>
      </c>
      <c r="S200" s="103" t="str">
        <f t="shared" si="85"/>
        <v/>
      </c>
      <c r="T200" s="106" t="str">
        <f t="shared" si="86"/>
        <v/>
      </c>
      <c r="U200" s="106" t="str">
        <f t="shared" si="87"/>
        <v/>
      </c>
      <c r="V200" s="106" t="str">
        <f t="shared" si="88"/>
        <v/>
      </c>
      <c r="W200" s="105" t="str">
        <f t="shared" si="89"/>
        <v/>
      </c>
      <c r="X200" s="104" t="str">
        <f t="shared" si="90"/>
        <v/>
      </c>
      <c r="Y200" s="104" t="str">
        <f t="array" ref="Y200">IFERROR(IF(ISNUMBER(O200),IF(COUNT(IF(A200=$A$2:$A$2427,IF(D200=$D$2:$D$2427,IF($X$2:$X$2427&gt;0,1))))&gt;0,SUM(IF(A200=$A$2:$A$2427,IF(D200=$D$2:$D$2427,$X$2:$X$2427)))/COUNT(IF(A200=$A$2:$A$2427,IF(D200=$D$2:$D$2427,IF(ISNUMBER($X$2:$X$2427),1)))),0),""),0)</f>
        <v/>
      </c>
      <c r="Z200" s="104" t="str">
        <f>IF(ISNUMBER(O200),IF(I200&gt;0,(10^(VLOOKUP(D200,'Species Codes'!B:C,2,0)+VLOOKUP(D200,'Species Codes'!B:D,3,0)*LOG(E200)+VLOOKUP(D200,'Species Codes'!B:E,4,0)*LOG(I200))),0),"")</f>
        <v/>
      </c>
      <c r="AA200" s="104" t="str">
        <f>IFERROR((VLOOKUP(D200,'Species Codes'!B:G,6,0)*Z200)/2000,"")</f>
        <v/>
      </c>
      <c r="AB200" s="104" t="e">
        <f>IF(Z200&gt;0,((IF(OR(D200="DF",D200="RA")=TRUE,EXP(VLOOKUP(D200,'Species Codes'!B:I,8,0)+VLOOKUP(D200,'Species Codes'!B:J,9,0)*(LN((E200*2.54)))),IF(OR(D200="PY",D200="RC",D200="WH",D200="NF")=TRUE,VLOOKUP(D200,'Species Codes'!B:I,8,0)+VLOOKUP(D200,'Species Codes'!B:J,9,0)*((E200*2.54)^2)*(I200*0.3048),IF(OR(D200="MD",D200="BM",D200="GA")=TRUE,((VLOOKUP(D200,'Species Codes'!B:I,8,0)*(((((E200*2.54)+VLOOKUP(D200,'Species Codes'!B:J,9,0))/VLOOKUP(D200,'Species Codes'!B:K,10,0))^VLOOKUP(D200,'Species Codes'!B:L,11,0))*((I200*0.3048)^VLOOKUP(D200,'Species Codes'!B:M,12,0))))-(VLOOKUP(D200,'Species Codes'!B:I,8,0)*((((E200*2.54)^VLOOKUP(D200,'Species Codes'!B:L,11,0))*((I200*0.3048)^VLOOKUP(D200,'Species Codes'!B:M,12,0))))))*35.3*VLOOKUP(D200,'Species Codes'!B:G,6,0)/2.2046,VLOOKUP(D200,'Species Codes'!B:I,8,0)+VLOOKUP(D200,'Species Codes'!B:J,9,0)*(((E200*2.54)/100)^2)*(I200*0.3048)))))*0.0011023),0)</f>
        <v>#N/A</v>
      </c>
      <c r="AC200" s="104" t="e">
        <f>IF(Z200&gt;0,((IF(OR(D200="RA",D200="OA",D200="OT",D200="UN",D200="PC"),EXP(VLOOKUP(D200,'Species Codes'!B:O,14,0)+VLOOKUP(D200,'Species Codes'!B:P,15,0)*LN((E200*2.54)))-EXP(VLOOKUP(D200,'Species Codes'!B:O,14,0)+VLOOKUP(D200,'Species Codes'!B:P,15,0)*LN((E200*2.54)))*(1/(VLOOKUP(D200,'Species Codes'!B:Q,16,0)+VLOOKUP(D200,'Species Codes'!B:R,17,0)*((E200*2.54)^VLOOKUP(D200,'Species Codes'!B:S,18,0)))),IF(OR(D200="BM",D200="MD",D200="OA"),EXP(VLOOKUP(D200,'Species Codes'!B:O,14,0)+VLOOKUP(D200,'Species Codes'!B:P,15,0)*LN((E200*2.54)))*(1-(1/(VLOOKUP(D200,'Species Codes'!B:Q,16,0)+VLOOKUP(D200,'Species Codes'!B:R,17,0)*((E200*2.54)^VLOOKUP(D200,'Species Codes'!B:S,18,0)))))/1000,IF(D200="DF",EXP(VLOOKUP(D200,'Species Codes'!B:O,14,0)+VLOOKUP(D200,'Species Codes'!B:P,15,0)*LN((E200*2.54))),VLOOKUP(D200,'Species Codes'!B:O,14,0)+VLOOKUP(D200,'Species Codes'!B:P,15,0)*(((E200*2.54)/100)^2)*(I200*0.3048)))))*0.0011023),0)</f>
        <v>#N/A</v>
      </c>
      <c r="AD200" s="104" t="e">
        <f t="shared" si="91"/>
        <v>#N/A</v>
      </c>
      <c r="AE200" s="104" t="e">
        <f t="shared" si="92"/>
        <v>#N/A</v>
      </c>
      <c r="AF200" s="104" t="e">
        <f>IF(AND(VLOOKUP($D200,Merchantability!$B:$C,2,0)="Yes",$E200&gt;=VLOOKUP($D200,Merchantability!$B:$D,3,0),$E200&lt;=VLOOKUP($D200,Merchantability!$B:$E,4,0)),AA200,0)</f>
        <v>#N/A</v>
      </c>
      <c r="AG200" s="104" t="e">
        <f>IF(AND(VLOOKUP($D200,Merchantability!$B:$C,2,0)="Yes",$E200&gt;=VLOOKUP($D200,Merchantability!$B:$D,3,0),$E200&lt;=VLOOKUP($D200,Merchantability!$B:$E,4,0)),AB200,0)</f>
        <v>#N/A</v>
      </c>
      <c r="AH200" s="104" t="e">
        <f>IF(AND(VLOOKUP($D200,Merchantability!$B:$C,2,0)="Yes",$E200&gt;=VLOOKUP($D200,Merchantability!$B:$D,3,0),$E200&lt;=VLOOKUP($D200,Merchantability!$B:$E,4,0)),AC200,0)</f>
        <v>#N/A</v>
      </c>
      <c r="AI200" s="104" t="e">
        <f t="shared" si="93"/>
        <v>#N/A</v>
      </c>
      <c r="AJ200" s="104" t="e">
        <f t="shared" si="94"/>
        <v>#VALUE!</v>
      </c>
      <c r="AK200" s="104" t="e">
        <f t="shared" si="95"/>
        <v>#N/A</v>
      </c>
      <c r="AL200" s="104" t="e">
        <f t="shared" si="96"/>
        <v>#N/A</v>
      </c>
      <c r="AM200" s="104" t="e">
        <f t="shared" si="97"/>
        <v>#N/A</v>
      </c>
      <c r="AN200" s="104" t="e">
        <f t="shared" si="98"/>
        <v>#N/A</v>
      </c>
      <c r="AO200" s="104" t="e">
        <f t="shared" si="99"/>
        <v>#N/A</v>
      </c>
      <c r="AP200" s="104" t="e">
        <f t="shared" si="100"/>
        <v>#N/A</v>
      </c>
      <c r="AQ200" s="104" t="e">
        <f t="shared" si="101"/>
        <v>#N/A</v>
      </c>
      <c r="AR200" s="105" t="str">
        <f t="shared" si="102"/>
        <v/>
      </c>
      <c r="AS200" s="105" t="str">
        <f t="shared" si="103"/>
        <v/>
      </c>
      <c r="AT200" s="108" t="str">
        <f t="shared" si="104"/>
        <v/>
      </c>
      <c r="AU200" s="108" t="str">
        <f t="shared" si="105"/>
        <v/>
      </c>
      <c r="AV200" s="107" t="str">
        <f>IF(ISNUMBER(O200),IF(VLOOKUP($A200,Stand!C:J,8,FALSE)="Short",AT200,AU200),"")</f>
        <v/>
      </c>
      <c r="AW200" s="109" t="str">
        <f t="shared" si="106"/>
        <v/>
      </c>
      <c r="AX200" s="109" t="str">
        <f t="shared" si="107"/>
        <v/>
      </c>
      <c r="AY200" s="112" t="str">
        <f>IF(ISNUMBER(O200),IF(AND(VLOOKUP($D200,Merchantability!$B:$C,2,0)="Yes",$E200&gt;=VLOOKUP($D200,Merchantability!$B:$D,3,0),$E200&lt;=VLOOKUP($D200,Merchantability!$B:$E,4,0)),(AV200*O200)*(1-$H200/100),""),"")</f>
        <v/>
      </c>
      <c r="AZ200" s="116"/>
      <c r="BA200" s="116"/>
      <c r="BB200" s="116"/>
      <c r="BE200" s="62"/>
      <c r="BF200" s="63"/>
    </row>
    <row r="201" spans="1:58" ht="12.75" customHeight="1" x14ac:dyDescent="0.25">
      <c r="A201" s="384"/>
      <c r="B201" s="380"/>
      <c r="C201" s="381"/>
      <c r="D201" s="380"/>
      <c r="E201" s="382"/>
      <c r="F201" s="331"/>
      <c r="G201" s="329"/>
      <c r="H201" s="329"/>
      <c r="I201" s="380"/>
      <c r="J201" s="381"/>
      <c r="K201" s="329"/>
      <c r="L201" s="329"/>
      <c r="M201" s="76"/>
      <c r="N201" s="103" t="str">
        <f>IF(A201="","",VLOOKUP(A201,Stand!C:K,9,0))</f>
        <v/>
      </c>
      <c r="O201" s="104" t="str">
        <f t="shared" si="81"/>
        <v/>
      </c>
      <c r="P201" s="105" t="str">
        <f t="shared" si="82"/>
        <v/>
      </c>
      <c r="Q201" s="105" t="str">
        <f t="shared" si="83"/>
        <v/>
      </c>
      <c r="R201" s="103" t="str">
        <f t="shared" si="84"/>
        <v/>
      </c>
      <c r="S201" s="103" t="str">
        <f t="shared" si="85"/>
        <v/>
      </c>
      <c r="T201" s="106" t="str">
        <f t="shared" si="86"/>
        <v/>
      </c>
      <c r="U201" s="106" t="str">
        <f t="shared" si="87"/>
        <v/>
      </c>
      <c r="V201" s="106" t="str">
        <f t="shared" si="88"/>
        <v/>
      </c>
      <c r="W201" s="105" t="str">
        <f t="shared" si="89"/>
        <v/>
      </c>
      <c r="X201" s="104" t="str">
        <f t="shared" si="90"/>
        <v/>
      </c>
      <c r="Y201" s="104" t="str">
        <f t="array" ref="Y201">IFERROR(IF(ISNUMBER(O201),IF(COUNT(IF(A201=$A$2:$A$2427,IF(D201=$D$2:$D$2427,IF($X$2:$X$2427&gt;0,1))))&gt;0,SUM(IF(A201=$A$2:$A$2427,IF(D201=$D$2:$D$2427,$X$2:$X$2427)))/COUNT(IF(A201=$A$2:$A$2427,IF(D201=$D$2:$D$2427,IF(ISNUMBER($X$2:$X$2427),1)))),0),""),0)</f>
        <v/>
      </c>
      <c r="Z201" s="104" t="str">
        <f>IF(ISNUMBER(O201),IF(I201&gt;0,(10^(VLOOKUP(D201,'Species Codes'!B:C,2,0)+VLOOKUP(D201,'Species Codes'!B:D,3,0)*LOG(E201)+VLOOKUP(D201,'Species Codes'!B:E,4,0)*LOG(I201))),0),"")</f>
        <v/>
      </c>
      <c r="AA201" s="104" t="str">
        <f>IFERROR((VLOOKUP(D201,'Species Codes'!B:G,6,0)*Z201)/2000,"")</f>
        <v/>
      </c>
      <c r="AB201" s="104" t="e">
        <f>IF(Z201&gt;0,((IF(OR(D201="DF",D201="RA")=TRUE,EXP(VLOOKUP(D201,'Species Codes'!B:I,8,0)+VLOOKUP(D201,'Species Codes'!B:J,9,0)*(LN((E201*2.54)))),IF(OR(D201="PY",D201="RC",D201="WH",D201="NF")=TRUE,VLOOKUP(D201,'Species Codes'!B:I,8,0)+VLOOKUP(D201,'Species Codes'!B:J,9,0)*((E201*2.54)^2)*(I201*0.3048),IF(OR(D201="MD",D201="BM",D201="GA")=TRUE,((VLOOKUP(D201,'Species Codes'!B:I,8,0)*(((((E201*2.54)+VLOOKUP(D201,'Species Codes'!B:J,9,0))/VLOOKUP(D201,'Species Codes'!B:K,10,0))^VLOOKUP(D201,'Species Codes'!B:L,11,0))*((I201*0.3048)^VLOOKUP(D201,'Species Codes'!B:M,12,0))))-(VLOOKUP(D201,'Species Codes'!B:I,8,0)*((((E201*2.54)^VLOOKUP(D201,'Species Codes'!B:L,11,0))*((I201*0.3048)^VLOOKUP(D201,'Species Codes'!B:M,12,0))))))*35.3*VLOOKUP(D201,'Species Codes'!B:G,6,0)/2.2046,VLOOKUP(D201,'Species Codes'!B:I,8,0)+VLOOKUP(D201,'Species Codes'!B:J,9,0)*(((E201*2.54)/100)^2)*(I201*0.3048)))))*0.0011023),0)</f>
        <v>#N/A</v>
      </c>
      <c r="AC201" s="104" t="e">
        <f>IF(Z201&gt;0,((IF(OR(D201="RA",D201="OA",D201="OT",D201="UN",D201="PC"),EXP(VLOOKUP(D201,'Species Codes'!B:O,14,0)+VLOOKUP(D201,'Species Codes'!B:P,15,0)*LN((E201*2.54)))-EXP(VLOOKUP(D201,'Species Codes'!B:O,14,0)+VLOOKUP(D201,'Species Codes'!B:P,15,0)*LN((E201*2.54)))*(1/(VLOOKUP(D201,'Species Codes'!B:Q,16,0)+VLOOKUP(D201,'Species Codes'!B:R,17,0)*((E201*2.54)^VLOOKUP(D201,'Species Codes'!B:S,18,0)))),IF(OR(D201="BM",D201="MD",D201="OA"),EXP(VLOOKUP(D201,'Species Codes'!B:O,14,0)+VLOOKUP(D201,'Species Codes'!B:P,15,0)*LN((E201*2.54)))*(1-(1/(VLOOKUP(D201,'Species Codes'!B:Q,16,0)+VLOOKUP(D201,'Species Codes'!B:R,17,0)*((E201*2.54)^VLOOKUP(D201,'Species Codes'!B:S,18,0)))))/1000,IF(D201="DF",EXP(VLOOKUP(D201,'Species Codes'!B:O,14,0)+VLOOKUP(D201,'Species Codes'!B:P,15,0)*LN((E201*2.54))),VLOOKUP(D201,'Species Codes'!B:O,14,0)+VLOOKUP(D201,'Species Codes'!B:P,15,0)*(((E201*2.54)/100)^2)*(I201*0.3048)))))*0.0011023),0)</f>
        <v>#N/A</v>
      </c>
      <c r="AD201" s="104" t="e">
        <f t="shared" si="91"/>
        <v>#N/A</v>
      </c>
      <c r="AE201" s="104" t="e">
        <f t="shared" si="92"/>
        <v>#N/A</v>
      </c>
      <c r="AF201" s="104" t="e">
        <f>IF(AND(VLOOKUP($D201,Merchantability!$B:$C,2,0)="Yes",$E201&gt;=VLOOKUP($D201,Merchantability!$B:$D,3,0),$E201&lt;=VLOOKUP($D201,Merchantability!$B:$E,4,0)),AA201,0)</f>
        <v>#N/A</v>
      </c>
      <c r="AG201" s="104" t="e">
        <f>IF(AND(VLOOKUP($D201,Merchantability!$B:$C,2,0)="Yes",$E201&gt;=VLOOKUP($D201,Merchantability!$B:$D,3,0),$E201&lt;=VLOOKUP($D201,Merchantability!$B:$E,4,0)),AB201,0)</f>
        <v>#N/A</v>
      </c>
      <c r="AH201" s="104" t="e">
        <f>IF(AND(VLOOKUP($D201,Merchantability!$B:$C,2,0)="Yes",$E201&gt;=VLOOKUP($D201,Merchantability!$B:$D,3,0),$E201&lt;=VLOOKUP($D201,Merchantability!$B:$E,4,0)),AC201,0)</f>
        <v>#N/A</v>
      </c>
      <c r="AI201" s="104" t="e">
        <f t="shared" si="93"/>
        <v>#N/A</v>
      </c>
      <c r="AJ201" s="104" t="e">
        <f t="shared" si="94"/>
        <v>#VALUE!</v>
      </c>
      <c r="AK201" s="104" t="e">
        <f t="shared" si="95"/>
        <v>#N/A</v>
      </c>
      <c r="AL201" s="104" t="e">
        <f t="shared" si="96"/>
        <v>#N/A</v>
      </c>
      <c r="AM201" s="104" t="e">
        <f t="shared" si="97"/>
        <v>#N/A</v>
      </c>
      <c r="AN201" s="104" t="e">
        <f t="shared" si="98"/>
        <v>#N/A</v>
      </c>
      <c r="AO201" s="104" t="e">
        <f t="shared" si="99"/>
        <v>#N/A</v>
      </c>
      <c r="AP201" s="104" t="e">
        <f t="shared" si="100"/>
        <v>#N/A</v>
      </c>
      <c r="AQ201" s="104" t="e">
        <f t="shared" si="101"/>
        <v>#N/A</v>
      </c>
      <c r="AR201" s="105" t="str">
        <f t="shared" si="102"/>
        <v/>
      </c>
      <c r="AS201" s="105" t="str">
        <f t="shared" si="103"/>
        <v/>
      </c>
      <c r="AT201" s="108" t="str">
        <f t="shared" si="104"/>
        <v/>
      </c>
      <c r="AU201" s="108" t="str">
        <f t="shared" si="105"/>
        <v/>
      </c>
      <c r="AV201" s="107" t="str">
        <f>IF(ISNUMBER(O201),IF(VLOOKUP($A201,Stand!C:J,8,FALSE)="Short",AT201,AU201),"")</f>
        <v/>
      </c>
      <c r="AW201" s="109" t="str">
        <f t="shared" si="106"/>
        <v/>
      </c>
      <c r="AX201" s="109" t="str">
        <f t="shared" si="107"/>
        <v/>
      </c>
      <c r="AY201" s="112" t="str">
        <f>IF(ISNUMBER(O201),IF(AND(VLOOKUP($D201,Merchantability!$B:$C,2,0)="Yes",$E201&gt;=VLOOKUP($D201,Merchantability!$B:$D,3,0),$E201&lt;=VLOOKUP($D201,Merchantability!$B:$E,4,0)),(AV201*O201)*(1-$H201/100),""),"")</f>
        <v/>
      </c>
      <c r="AZ201" s="116"/>
      <c r="BA201" s="116"/>
      <c r="BB201" s="116"/>
      <c r="BE201" s="62"/>
      <c r="BF201" s="63"/>
    </row>
    <row r="202" spans="1:58" ht="12.75" customHeight="1" x14ac:dyDescent="0.25">
      <c r="A202" s="384"/>
      <c r="B202" s="380"/>
      <c r="C202" s="381"/>
      <c r="D202" s="380"/>
      <c r="E202" s="380"/>
      <c r="F202" s="331"/>
      <c r="G202" s="329"/>
      <c r="H202" s="329"/>
      <c r="I202" s="380"/>
      <c r="J202" s="381"/>
      <c r="K202" s="329"/>
      <c r="L202" s="329"/>
      <c r="M202" s="76"/>
      <c r="N202" s="103" t="str">
        <f>IF(A202="","",VLOOKUP(A202,Stand!C:K,9,0))</f>
        <v/>
      </c>
      <c r="O202" s="104" t="str">
        <f t="shared" si="81"/>
        <v/>
      </c>
      <c r="P202" s="105" t="str">
        <f t="shared" si="82"/>
        <v/>
      </c>
      <c r="Q202" s="105" t="str">
        <f t="shared" si="83"/>
        <v/>
      </c>
      <c r="R202" s="103" t="str">
        <f t="shared" si="84"/>
        <v/>
      </c>
      <c r="S202" s="103" t="str">
        <f t="shared" si="85"/>
        <v/>
      </c>
      <c r="T202" s="106" t="str">
        <f t="shared" si="86"/>
        <v/>
      </c>
      <c r="U202" s="106" t="str">
        <f t="shared" si="87"/>
        <v/>
      </c>
      <c r="V202" s="106" t="str">
        <f t="shared" si="88"/>
        <v/>
      </c>
      <c r="W202" s="105" t="str">
        <f t="shared" si="89"/>
        <v/>
      </c>
      <c r="X202" s="104" t="str">
        <f t="shared" si="90"/>
        <v/>
      </c>
      <c r="Y202" s="104" t="str">
        <f t="array" ref="Y202">IFERROR(IF(ISNUMBER(O202),IF(COUNT(IF(A202=$A$2:$A$2427,IF(D202=$D$2:$D$2427,IF($X$2:$X$2427&gt;0,1))))&gt;0,SUM(IF(A202=$A$2:$A$2427,IF(D202=$D$2:$D$2427,$X$2:$X$2427)))/COUNT(IF(A202=$A$2:$A$2427,IF(D202=$D$2:$D$2427,IF(ISNUMBER($X$2:$X$2427),1)))),0),""),0)</f>
        <v/>
      </c>
      <c r="Z202" s="104" t="str">
        <f>IF(ISNUMBER(O202),IF(I202&gt;0,(10^(VLOOKUP(D202,'Species Codes'!B:C,2,0)+VLOOKUP(D202,'Species Codes'!B:D,3,0)*LOG(E202)+VLOOKUP(D202,'Species Codes'!B:E,4,0)*LOG(I202))),0),"")</f>
        <v/>
      </c>
      <c r="AA202" s="104" t="str">
        <f>IFERROR((VLOOKUP(D202,'Species Codes'!B:G,6,0)*Z202)/2000,"")</f>
        <v/>
      </c>
      <c r="AB202" s="104" t="e">
        <f>IF(Z202&gt;0,((IF(OR(D202="DF",D202="RA")=TRUE,EXP(VLOOKUP(D202,'Species Codes'!B:I,8,0)+VLOOKUP(D202,'Species Codes'!B:J,9,0)*(LN((E202*2.54)))),IF(OR(D202="PY",D202="RC",D202="WH",D202="NF")=TRUE,VLOOKUP(D202,'Species Codes'!B:I,8,0)+VLOOKUP(D202,'Species Codes'!B:J,9,0)*((E202*2.54)^2)*(I202*0.3048),IF(OR(D202="MD",D202="BM",D202="GA")=TRUE,((VLOOKUP(D202,'Species Codes'!B:I,8,0)*(((((E202*2.54)+VLOOKUP(D202,'Species Codes'!B:J,9,0))/VLOOKUP(D202,'Species Codes'!B:K,10,0))^VLOOKUP(D202,'Species Codes'!B:L,11,0))*((I202*0.3048)^VLOOKUP(D202,'Species Codes'!B:M,12,0))))-(VLOOKUP(D202,'Species Codes'!B:I,8,0)*((((E202*2.54)^VLOOKUP(D202,'Species Codes'!B:L,11,0))*((I202*0.3048)^VLOOKUP(D202,'Species Codes'!B:M,12,0))))))*35.3*VLOOKUP(D202,'Species Codes'!B:G,6,0)/2.2046,VLOOKUP(D202,'Species Codes'!B:I,8,0)+VLOOKUP(D202,'Species Codes'!B:J,9,0)*(((E202*2.54)/100)^2)*(I202*0.3048)))))*0.0011023),0)</f>
        <v>#N/A</v>
      </c>
      <c r="AC202" s="104" t="e">
        <f>IF(Z202&gt;0,((IF(OR(D202="RA",D202="OA",D202="OT",D202="UN",D202="PC"),EXP(VLOOKUP(D202,'Species Codes'!B:O,14,0)+VLOOKUP(D202,'Species Codes'!B:P,15,0)*LN((E202*2.54)))-EXP(VLOOKUP(D202,'Species Codes'!B:O,14,0)+VLOOKUP(D202,'Species Codes'!B:P,15,0)*LN((E202*2.54)))*(1/(VLOOKUP(D202,'Species Codes'!B:Q,16,0)+VLOOKUP(D202,'Species Codes'!B:R,17,0)*((E202*2.54)^VLOOKUP(D202,'Species Codes'!B:S,18,0)))),IF(OR(D202="BM",D202="MD",D202="OA"),EXP(VLOOKUP(D202,'Species Codes'!B:O,14,0)+VLOOKUP(D202,'Species Codes'!B:P,15,0)*LN((E202*2.54)))*(1-(1/(VLOOKUP(D202,'Species Codes'!B:Q,16,0)+VLOOKUP(D202,'Species Codes'!B:R,17,0)*((E202*2.54)^VLOOKUP(D202,'Species Codes'!B:S,18,0)))))/1000,IF(D202="DF",EXP(VLOOKUP(D202,'Species Codes'!B:O,14,0)+VLOOKUP(D202,'Species Codes'!B:P,15,0)*LN((E202*2.54))),VLOOKUP(D202,'Species Codes'!B:O,14,0)+VLOOKUP(D202,'Species Codes'!B:P,15,0)*(((E202*2.54)/100)^2)*(I202*0.3048)))))*0.0011023),0)</f>
        <v>#N/A</v>
      </c>
      <c r="AD202" s="104" t="e">
        <f t="shared" si="91"/>
        <v>#N/A</v>
      </c>
      <c r="AE202" s="104" t="e">
        <f t="shared" si="92"/>
        <v>#N/A</v>
      </c>
      <c r="AF202" s="104" t="e">
        <f>IF(AND(VLOOKUP($D202,Merchantability!$B:$C,2,0)="Yes",$E202&gt;=VLOOKUP($D202,Merchantability!$B:$D,3,0),$E202&lt;=VLOOKUP($D202,Merchantability!$B:$E,4,0)),AA202,0)</f>
        <v>#N/A</v>
      </c>
      <c r="AG202" s="104" t="e">
        <f>IF(AND(VLOOKUP($D202,Merchantability!$B:$C,2,0)="Yes",$E202&gt;=VLOOKUP($D202,Merchantability!$B:$D,3,0),$E202&lt;=VLOOKUP($D202,Merchantability!$B:$E,4,0)),AB202,0)</f>
        <v>#N/A</v>
      </c>
      <c r="AH202" s="104" t="e">
        <f>IF(AND(VLOOKUP($D202,Merchantability!$B:$C,2,0)="Yes",$E202&gt;=VLOOKUP($D202,Merchantability!$B:$D,3,0),$E202&lt;=VLOOKUP($D202,Merchantability!$B:$E,4,0)),AC202,0)</f>
        <v>#N/A</v>
      </c>
      <c r="AI202" s="104" t="e">
        <f t="shared" si="93"/>
        <v>#N/A</v>
      </c>
      <c r="AJ202" s="104" t="e">
        <f t="shared" si="94"/>
        <v>#VALUE!</v>
      </c>
      <c r="AK202" s="104" t="e">
        <f t="shared" si="95"/>
        <v>#N/A</v>
      </c>
      <c r="AL202" s="104" t="e">
        <f t="shared" si="96"/>
        <v>#N/A</v>
      </c>
      <c r="AM202" s="104" t="e">
        <f t="shared" si="97"/>
        <v>#N/A</v>
      </c>
      <c r="AN202" s="104" t="e">
        <f t="shared" si="98"/>
        <v>#N/A</v>
      </c>
      <c r="AO202" s="104" t="e">
        <f t="shared" si="99"/>
        <v>#N/A</v>
      </c>
      <c r="AP202" s="104" t="e">
        <f t="shared" si="100"/>
        <v>#N/A</v>
      </c>
      <c r="AQ202" s="104" t="e">
        <f t="shared" si="101"/>
        <v>#N/A</v>
      </c>
      <c r="AR202" s="105" t="str">
        <f t="shared" si="102"/>
        <v/>
      </c>
      <c r="AS202" s="105" t="str">
        <f t="shared" si="103"/>
        <v/>
      </c>
      <c r="AT202" s="108" t="str">
        <f t="shared" si="104"/>
        <v/>
      </c>
      <c r="AU202" s="108" t="str">
        <f t="shared" si="105"/>
        <v/>
      </c>
      <c r="AV202" s="107" t="str">
        <f>IF(ISNUMBER(O202),IF(VLOOKUP($A202,Stand!C:J,8,FALSE)="Short",AT202,AU202),"")</f>
        <v/>
      </c>
      <c r="AW202" s="109" t="str">
        <f t="shared" si="106"/>
        <v/>
      </c>
      <c r="AX202" s="109" t="str">
        <f t="shared" si="107"/>
        <v/>
      </c>
      <c r="AY202" s="112" t="str">
        <f>IF(ISNUMBER(O202),IF(AND(VLOOKUP($D202,Merchantability!$B:$C,2,0)="Yes",$E202&gt;=VLOOKUP($D202,Merchantability!$B:$D,3,0),$E202&lt;=VLOOKUP($D202,Merchantability!$B:$E,4,0)),(AV202*O202)*(1-$H202/100),""),"")</f>
        <v/>
      </c>
      <c r="AZ202" s="115"/>
      <c r="BA202" s="61"/>
      <c r="BB202" s="61"/>
      <c r="BC202" s="61"/>
      <c r="BE202" s="61"/>
      <c r="BF202" s="63"/>
    </row>
    <row r="203" spans="1:58" ht="12.75" customHeight="1" x14ac:dyDescent="0.25">
      <c r="A203" s="384"/>
      <c r="B203" s="380"/>
      <c r="C203" s="381"/>
      <c r="D203" s="380"/>
      <c r="E203" s="380"/>
      <c r="F203" s="331"/>
      <c r="G203" s="329"/>
      <c r="H203" s="329"/>
      <c r="I203" s="380"/>
      <c r="J203" s="381"/>
      <c r="K203" s="329"/>
      <c r="L203" s="329"/>
      <c r="M203" s="76"/>
      <c r="N203" s="103" t="str">
        <f>IF(A203="","",VLOOKUP(A203,Stand!C:K,9,0))</f>
        <v/>
      </c>
      <c r="O203" s="104" t="str">
        <f t="shared" si="81"/>
        <v/>
      </c>
      <c r="P203" s="105" t="str">
        <f t="shared" si="82"/>
        <v/>
      </c>
      <c r="Q203" s="105" t="str">
        <f t="shared" si="83"/>
        <v/>
      </c>
      <c r="R203" s="103" t="str">
        <f t="shared" si="84"/>
        <v/>
      </c>
      <c r="S203" s="103" t="str">
        <f t="shared" si="85"/>
        <v/>
      </c>
      <c r="T203" s="106" t="str">
        <f t="shared" si="86"/>
        <v/>
      </c>
      <c r="U203" s="106" t="str">
        <f t="shared" si="87"/>
        <v/>
      </c>
      <c r="V203" s="106" t="str">
        <f t="shared" si="88"/>
        <v/>
      </c>
      <c r="W203" s="105" t="str">
        <f t="shared" si="89"/>
        <v/>
      </c>
      <c r="X203" s="104" t="str">
        <f t="shared" si="90"/>
        <v/>
      </c>
      <c r="Y203" s="104" t="str">
        <f t="array" ref="Y203">IFERROR(IF(ISNUMBER(O203),IF(COUNT(IF(A203=$A$2:$A$2427,IF(D203=$D$2:$D$2427,IF($X$2:$X$2427&gt;0,1))))&gt;0,SUM(IF(A203=$A$2:$A$2427,IF(D203=$D$2:$D$2427,$X$2:$X$2427)))/COUNT(IF(A203=$A$2:$A$2427,IF(D203=$D$2:$D$2427,IF(ISNUMBER($X$2:$X$2427),1)))),0),""),0)</f>
        <v/>
      </c>
      <c r="Z203" s="104" t="str">
        <f>IF(ISNUMBER(O203),IF(I203&gt;0,(10^(VLOOKUP(D203,'Species Codes'!B:C,2,0)+VLOOKUP(D203,'Species Codes'!B:D,3,0)*LOG(E203)+VLOOKUP(D203,'Species Codes'!B:E,4,0)*LOG(I203))),0),"")</f>
        <v/>
      </c>
      <c r="AA203" s="104" t="str">
        <f>IFERROR((VLOOKUP(D203,'Species Codes'!B:G,6,0)*Z203)/2000,"")</f>
        <v/>
      </c>
      <c r="AB203" s="104" t="e">
        <f>IF(Z203&gt;0,((IF(OR(D203="DF",D203="RA")=TRUE,EXP(VLOOKUP(D203,'Species Codes'!B:I,8,0)+VLOOKUP(D203,'Species Codes'!B:J,9,0)*(LN((E203*2.54)))),IF(OR(D203="PY",D203="RC",D203="WH",D203="NF")=TRUE,VLOOKUP(D203,'Species Codes'!B:I,8,0)+VLOOKUP(D203,'Species Codes'!B:J,9,0)*((E203*2.54)^2)*(I203*0.3048),IF(OR(D203="MD",D203="BM",D203="GA")=TRUE,((VLOOKUP(D203,'Species Codes'!B:I,8,0)*(((((E203*2.54)+VLOOKUP(D203,'Species Codes'!B:J,9,0))/VLOOKUP(D203,'Species Codes'!B:K,10,0))^VLOOKUP(D203,'Species Codes'!B:L,11,0))*((I203*0.3048)^VLOOKUP(D203,'Species Codes'!B:M,12,0))))-(VLOOKUP(D203,'Species Codes'!B:I,8,0)*((((E203*2.54)^VLOOKUP(D203,'Species Codes'!B:L,11,0))*((I203*0.3048)^VLOOKUP(D203,'Species Codes'!B:M,12,0))))))*35.3*VLOOKUP(D203,'Species Codes'!B:G,6,0)/2.2046,VLOOKUP(D203,'Species Codes'!B:I,8,0)+VLOOKUP(D203,'Species Codes'!B:J,9,0)*(((E203*2.54)/100)^2)*(I203*0.3048)))))*0.0011023),0)</f>
        <v>#N/A</v>
      </c>
      <c r="AC203" s="104" t="e">
        <f>IF(Z203&gt;0,((IF(OR(D203="RA",D203="OA",D203="OT",D203="UN",D203="PC"),EXP(VLOOKUP(D203,'Species Codes'!B:O,14,0)+VLOOKUP(D203,'Species Codes'!B:P,15,0)*LN((E203*2.54)))-EXP(VLOOKUP(D203,'Species Codes'!B:O,14,0)+VLOOKUP(D203,'Species Codes'!B:P,15,0)*LN((E203*2.54)))*(1/(VLOOKUP(D203,'Species Codes'!B:Q,16,0)+VLOOKUP(D203,'Species Codes'!B:R,17,0)*((E203*2.54)^VLOOKUP(D203,'Species Codes'!B:S,18,0)))),IF(OR(D203="BM",D203="MD",D203="OA"),EXP(VLOOKUP(D203,'Species Codes'!B:O,14,0)+VLOOKUP(D203,'Species Codes'!B:P,15,0)*LN((E203*2.54)))*(1-(1/(VLOOKUP(D203,'Species Codes'!B:Q,16,0)+VLOOKUP(D203,'Species Codes'!B:R,17,0)*((E203*2.54)^VLOOKUP(D203,'Species Codes'!B:S,18,0)))))/1000,IF(D203="DF",EXP(VLOOKUP(D203,'Species Codes'!B:O,14,0)+VLOOKUP(D203,'Species Codes'!B:P,15,0)*LN((E203*2.54))),VLOOKUP(D203,'Species Codes'!B:O,14,0)+VLOOKUP(D203,'Species Codes'!B:P,15,0)*(((E203*2.54)/100)^2)*(I203*0.3048)))))*0.0011023),0)</f>
        <v>#N/A</v>
      </c>
      <c r="AD203" s="104" t="e">
        <f t="shared" si="91"/>
        <v>#N/A</v>
      </c>
      <c r="AE203" s="104" t="e">
        <f t="shared" si="92"/>
        <v>#N/A</v>
      </c>
      <c r="AF203" s="104" t="e">
        <f>IF(AND(VLOOKUP($D203,Merchantability!$B:$C,2,0)="Yes",$E203&gt;=VLOOKUP($D203,Merchantability!$B:$D,3,0),$E203&lt;=VLOOKUP($D203,Merchantability!$B:$E,4,0)),AA203,0)</f>
        <v>#N/A</v>
      </c>
      <c r="AG203" s="104" t="e">
        <f>IF(AND(VLOOKUP($D203,Merchantability!$B:$C,2,0)="Yes",$E203&gt;=VLOOKUP($D203,Merchantability!$B:$D,3,0),$E203&lt;=VLOOKUP($D203,Merchantability!$B:$E,4,0)),AB203,0)</f>
        <v>#N/A</v>
      </c>
      <c r="AH203" s="104" t="e">
        <f>IF(AND(VLOOKUP($D203,Merchantability!$B:$C,2,0)="Yes",$E203&gt;=VLOOKUP($D203,Merchantability!$B:$D,3,0),$E203&lt;=VLOOKUP($D203,Merchantability!$B:$E,4,0)),AC203,0)</f>
        <v>#N/A</v>
      </c>
      <c r="AI203" s="104" t="e">
        <f t="shared" si="93"/>
        <v>#N/A</v>
      </c>
      <c r="AJ203" s="104" t="e">
        <f t="shared" si="94"/>
        <v>#VALUE!</v>
      </c>
      <c r="AK203" s="104" t="e">
        <f t="shared" si="95"/>
        <v>#N/A</v>
      </c>
      <c r="AL203" s="104" t="e">
        <f t="shared" si="96"/>
        <v>#N/A</v>
      </c>
      <c r="AM203" s="104" t="e">
        <f t="shared" si="97"/>
        <v>#N/A</v>
      </c>
      <c r="AN203" s="104" t="e">
        <f t="shared" si="98"/>
        <v>#N/A</v>
      </c>
      <c r="AO203" s="104" t="e">
        <f t="shared" si="99"/>
        <v>#N/A</v>
      </c>
      <c r="AP203" s="104" t="e">
        <f t="shared" si="100"/>
        <v>#N/A</v>
      </c>
      <c r="AQ203" s="104" t="e">
        <f t="shared" si="101"/>
        <v>#N/A</v>
      </c>
      <c r="AR203" s="105" t="str">
        <f t="shared" si="102"/>
        <v/>
      </c>
      <c r="AS203" s="105" t="str">
        <f t="shared" si="103"/>
        <v/>
      </c>
      <c r="AT203" s="108" t="str">
        <f t="shared" si="104"/>
        <v/>
      </c>
      <c r="AU203" s="108" t="str">
        <f t="shared" si="105"/>
        <v/>
      </c>
      <c r="AV203" s="107" t="str">
        <f>IF(ISNUMBER(O203),IF(VLOOKUP($A203,Stand!C:J,8,FALSE)="Short",AT203,AU203),"")</f>
        <v/>
      </c>
      <c r="AW203" s="109" t="str">
        <f t="shared" si="106"/>
        <v/>
      </c>
      <c r="AX203" s="109" t="str">
        <f t="shared" si="107"/>
        <v/>
      </c>
      <c r="AY203" s="112" t="str">
        <f>IF(ISNUMBER(O203),IF(AND(VLOOKUP($D203,Merchantability!$B:$C,2,0)="Yes",$E203&gt;=VLOOKUP($D203,Merchantability!$B:$D,3,0),$E203&lt;=VLOOKUP($D203,Merchantability!$B:$E,4,0)),(AV203*O203)*(1-$H203/100),""),"")</f>
        <v/>
      </c>
      <c r="AZ203" s="115"/>
      <c r="BA203" s="61"/>
      <c r="BB203" s="61"/>
      <c r="BC203" s="61"/>
      <c r="BE203" s="61"/>
      <c r="BF203" s="63"/>
    </row>
    <row r="204" spans="1:58" ht="12.75" customHeight="1" x14ac:dyDescent="0.25">
      <c r="A204" s="384"/>
      <c r="B204" s="380"/>
      <c r="C204" s="381"/>
      <c r="D204" s="380"/>
      <c r="E204" s="382"/>
      <c r="F204" s="331"/>
      <c r="G204" s="329"/>
      <c r="H204" s="329"/>
      <c r="I204" s="380"/>
      <c r="J204" s="381"/>
      <c r="K204" s="329"/>
      <c r="L204" s="329"/>
      <c r="M204" s="76"/>
      <c r="N204" s="103" t="str">
        <f>IF(A204="","",VLOOKUP(A204,Stand!C:K,9,0))</f>
        <v/>
      </c>
      <c r="O204" s="104" t="str">
        <f t="shared" si="81"/>
        <v/>
      </c>
      <c r="P204" s="105" t="str">
        <f t="shared" si="82"/>
        <v/>
      </c>
      <c r="Q204" s="105" t="str">
        <f t="shared" si="83"/>
        <v/>
      </c>
      <c r="R204" s="103" t="str">
        <f t="shared" si="84"/>
        <v/>
      </c>
      <c r="S204" s="103" t="str">
        <f t="shared" si="85"/>
        <v/>
      </c>
      <c r="T204" s="106" t="str">
        <f t="shared" si="86"/>
        <v/>
      </c>
      <c r="U204" s="106" t="str">
        <f t="shared" si="87"/>
        <v/>
      </c>
      <c r="V204" s="106" t="str">
        <f t="shared" si="88"/>
        <v/>
      </c>
      <c r="W204" s="105" t="str">
        <f t="shared" si="89"/>
        <v/>
      </c>
      <c r="X204" s="104" t="str">
        <f t="shared" si="90"/>
        <v/>
      </c>
      <c r="Y204" s="104" t="str">
        <f t="array" ref="Y204">IFERROR(IF(ISNUMBER(O204),IF(COUNT(IF(A204=$A$2:$A$2427,IF(D204=$D$2:$D$2427,IF($X$2:$X$2427&gt;0,1))))&gt;0,SUM(IF(A204=$A$2:$A$2427,IF(D204=$D$2:$D$2427,$X$2:$X$2427)))/COUNT(IF(A204=$A$2:$A$2427,IF(D204=$D$2:$D$2427,IF(ISNUMBER($X$2:$X$2427),1)))),0),""),0)</f>
        <v/>
      </c>
      <c r="Z204" s="104" t="str">
        <f>IF(ISNUMBER(O204),IF(I204&gt;0,(10^(VLOOKUP(D204,'Species Codes'!B:C,2,0)+VLOOKUP(D204,'Species Codes'!B:D,3,0)*LOG(E204)+VLOOKUP(D204,'Species Codes'!B:E,4,0)*LOG(I204))),0),"")</f>
        <v/>
      </c>
      <c r="AA204" s="104" t="str">
        <f>IFERROR((VLOOKUP(D204,'Species Codes'!B:G,6,0)*Z204)/2000,"")</f>
        <v/>
      </c>
      <c r="AB204" s="104" t="e">
        <f>IF(Z204&gt;0,((IF(OR(D204="DF",D204="RA")=TRUE,EXP(VLOOKUP(D204,'Species Codes'!B:I,8,0)+VLOOKUP(D204,'Species Codes'!B:J,9,0)*(LN((E204*2.54)))),IF(OR(D204="PY",D204="RC",D204="WH",D204="NF")=TRUE,VLOOKUP(D204,'Species Codes'!B:I,8,0)+VLOOKUP(D204,'Species Codes'!B:J,9,0)*((E204*2.54)^2)*(I204*0.3048),IF(OR(D204="MD",D204="BM",D204="GA")=TRUE,((VLOOKUP(D204,'Species Codes'!B:I,8,0)*(((((E204*2.54)+VLOOKUP(D204,'Species Codes'!B:J,9,0))/VLOOKUP(D204,'Species Codes'!B:K,10,0))^VLOOKUP(D204,'Species Codes'!B:L,11,0))*((I204*0.3048)^VLOOKUP(D204,'Species Codes'!B:M,12,0))))-(VLOOKUP(D204,'Species Codes'!B:I,8,0)*((((E204*2.54)^VLOOKUP(D204,'Species Codes'!B:L,11,0))*((I204*0.3048)^VLOOKUP(D204,'Species Codes'!B:M,12,0))))))*35.3*VLOOKUP(D204,'Species Codes'!B:G,6,0)/2.2046,VLOOKUP(D204,'Species Codes'!B:I,8,0)+VLOOKUP(D204,'Species Codes'!B:J,9,0)*(((E204*2.54)/100)^2)*(I204*0.3048)))))*0.0011023),0)</f>
        <v>#N/A</v>
      </c>
      <c r="AC204" s="104" t="e">
        <f>IF(Z204&gt;0,((IF(OR(D204="RA",D204="OA",D204="OT",D204="UN",D204="PC"),EXP(VLOOKUP(D204,'Species Codes'!B:O,14,0)+VLOOKUP(D204,'Species Codes'!B:P,15,0)*LN((E204*2.54)))-EXP(VLOOKUP(D204,'Species Codes'!B:O,14,0)+VLOOKUP(D204,'Species Codes'!B:P,15,0)*LN((E204*2.54)))*(1/(VLOOKUP(D204,'Species Codes'!B:Q,16,0)+VLOOKUP(D204,'Species Codes'!B:R,17,0)*((E204*2.54)^VLOOKUP(D204,'Species Codes'!B:S,18,0)))),IF(OR(D204="BM",D204="MD",D204="OA"),EXP(VLOOKUP(D204,'Species Codes'!B:O,14,0)+VLOOKUP(D204,'Species Codes'!B:P,15,0)*LN((E204*2.54)))*(1-(1/(VLOOKUP(D204,'Species Codes'!B:Q,16,0)+VLOOKUP(D204,'Species Codes'!B:R,17,0)*((E204*2.54)^VLOOKUP(D204,'Species Codes'!B:S,18,0)))))/1000,IF(D204="DF",EXP(VLOOKUP(D204,'Species Codes'!B:O,14,0)+VLOOKUP(D204,'Species Codes'!B:P,15,0)*LN((E204*2.54))),VLOOKUP(D204,'Species Codes'!B:O,14,0)+VLOOKUP(D204,'Species Codes'!B:P,15,0)*(((E204*2.54)/100)^2)*(I204*0.3048)))))*0.0011023),0)</f>
        <v>#N/A</v>
      </c>
      <c r="AD204" s="104" t="e">
        <f t="shared" si="91"/>
        <v>#N/A</v>
      </c>
      <c r="AE204" s="104" t="e">
        <f t="shared" si="92"/>
        <v>#N/A</v>
      </c>
      <c r="AF204" s="104" t="e">
        <f>IF(AND(VLOOKUP($D204,Merchantability!$B:$C,2,0)="Yes",$E204&gt;=VLOOKUP($D204,Merchantability!$B:$D,3,0),$E204&lt;=VLOOKUP($D204,Merchantability!$B:$E,4,0)),AA204,0)</f>
        <v>#N/A</v>
      </c>
      <c r="AG204" s="104" t="e">
        <f>IF(AND(VLOOKUP($D204,Merchantability!$B:$C,2,0)="Yes",$E204&gt;=VLOOKUP($D204,Merchantability!$B:$D,3,0),$E204&lt;=VLOOKUP($D204,Merchantability!$B:$E,4,0)),AB204,0)</f>
        <v>#N/A</v>
      </c>
      <c r="AH204" s="104" t="e">
        <f>IF(AND(VLOOKUP($D204,Merchantability!$B:$C,2,0)="Yes",$E204&gt;=VLOOKUP($D204,Merchantability!$B:$D,3,0),$E204&lt;=VLOOKUP($D204,Merchantability!$B:$E,4,0)),AC204,0)</f>
        <v>#N/A</v>
      </c>
      <c r="AI204" s="104" t="e">
        <f t="shared" si="93"/>
        <v>#N/A</v>
      </c>
      <c r="AJ204" s="104" t="e">
        <f t="shared" si="94"/>
        <v>#VALUE!</v>
      </c>
      <c r="AK204" s="104" t="e">
        <f t="shared" si="95"/>
        <v>#N/A</v>
      </c>
      <c r="AL204" s="104" t="e">
        <f t="shared" si="96"/>
        <v>#N/A</v>
      </c>
      <c r="AM204" s="104" t="e">
        <f t="shared" si="97"/>
        <v>#N/A</v>
      </c>
      <c r="AN204" s="104" t="e">
        <f t="shared" si="98"/>
        <v>#N/A</v>
      </c>
      <c r="AO204" s="104" t="e">
        <f t="shared" si="99"/>
        <v>#N/A</v>
      </c>
      <c r="AP204" s="104" t="e">
        <f t="shared" si="100"/>
        <v>#N/A</v>
      </c>
      <c r="AQ204" s="104" t="e">
        <f t="shared" si="101"/>
        <v>#N/A</v>
      </c>
      <c r="AR204" s="105" t="str">
        <f t="shared" si="102"/>
        <v/>
      </c>
      <c r="AS204" s="105" t="str">
        <f t="shared" si="103"/>
        <v/>
      </c>
      <c r="AT204" s="108" t="str">
        <f t="shared" si="104"/>
        <v/>
      </c>
      <c r="AU204" s="108" t="str">
        <f t="shared" si="105"/>
        <v/>
      </c>
      <c r="AV204" s="107" t="str">
        <f>IF(ISNUMBER(O204),IF(VLOOKUP($A204,Stand!C:J,8,FALSE)="Short",AT204,AU204),"")</f>
        <v/>
      </c>
      <c r="AW204" s="109" t="str">
        <f t="shared" si="106"/>
        <v/>
      </c>
      <c r="AX204" s="109" t="str">
        <f t="shared" si="107"/>
        <v/>
      </c>
      <c r="AY204" s="112" t="str">
        <f>IF(ISNUMBER(O204),IF(AND(VLOOKUP($D204,Merchantability!$B:$C,2,0)="Yes",$E204&gt;=VLOOKUP($D204,Merchantability!$B:$D,3,0),$E204&lt;=VLOOKUP($D204,Merchantability!$B:$E,4,0)),(AV204*O204)*(1-$H204/100),""),"")</f>
        <v/>
      </c>
      <c r="AZ204" s="116"/>
      <c r="BA204" s="116"/>
      <c r="BB204" s="116"/>
      <c r="BE204" s="62"/>
      <c r="BF204" s="63"/>
    </row>
    <row r="205" spans="1:58" ht="12.75" customHeight="1" x14ac:dyDescent="0.25">
      <c r="A205" s="384"/>
      <c r="B205" s="380"/>
      <c r="C205" s="381"/>
      <c r="D205" s="380"/>
      <c r="E205" s="382"/>
      <c r="F205" s="331"/>
      <c r="G205" s="329"/>
      <c r="H205" s="329"/>
      <c r="I205" s="380"/>
      <c r="J205" s="381"/>
      <c r="K205" s="329"/>
      <c r="L205" s="329"/>
      <c r="M205" s="76"/>
      <c r="N205" s="103" t="str">
        <f>IF(A205="","",VLOOKUP(A205,Stand!C:K,9,0))</f>
        <v/>
      </c>
      <c r="O205" s="104" t="str">
        <f t="shared" si="81"/>
        <v/>
      </c>
      <c r="P205" s="105" t="str">
        <f t="shared" si="82"/>
        <v/>
      </c>
      <c r="Q205" s="105" t="str">
        <f t="shared" si="83"/>
        <v/>
      </c>
      <c r="R205" s="103" t="str">
        <f t="shared" si="84"/>
        <v/>
      </c>
      <c r="S205" s="103" t="str">
        <f t="shared" si="85"/>
        <v/>
      </c>
      <c r="T205" s="106" t="str">
        <f t="shared" si="86"/>
        <v/>
      </c>
      <c r="U205" s="106" t="str">
        <f t="shared" si="87"/>
        <v/>
      </c>
      <c r="V205" s="106" t="str">
        <f t="shared" si="88"/>
        <v/>
      </c>
      <c r="W205" s="105" t="str">
        <f t="shared" si="89"/>
        <v/>
      </c>
      <c r="X205" s="104" t="str">
        <f t="shared" si="90"/>
        <v/>
      </c>
      <c r="Y205" s="104" t="str">
        <f t="array" ref="Y205">IFERROR(IF(ISNUMBER(O205),IF(COUNT(IF(A205=$A$2:$A$2427,IF(D205=$D$2:$D$2427,IF($X$2:$X$2427&gt;0,1))))&gt;0,SUM(IF(A205=$A$2:$A$2427,IF(D205=$D$2:$D$2427,$X$2:$X$2427)))/COUNT(IF(A205=$A$2:$A$2427,IF(D205=$D$2:$D$2427,IF(ISNUMBER($X$2:$X$2427),1)))),0),""),0)</f>
        <v/>
      </c>
      <c r="Z205" s="104" t="str">
        <f>IF(ISNUMBER(O205),IF(I205&gt;0,(10^(VLOOKUP(D205,'Species Codes'!B:C,2,0)+VLOOKUP(D205,'Species Codes'!B:D,3,0)*LOG(E205)+VLOOKUP(D205,'Species Codes'!B:E,4,0)*LOG(I205))),0),"")</f>
        <v/>
      </c>
      <c r="AA205" s="104" t="str">
        <f>IFERROR((VLOOKUP(D205,'Species Codes'!B:G,6,0)*Z205)/2000,"")</f>
        <v/>
      </c>
      <c r="AB205" s="104" t="e">
        <f>IF(Z205&gt;0,((IF(OR(D205="DF",D205="RA")=TRUE,EXP(VLOOKUP(D205,'Species Codes'!B:I,8,0)+VLOOKUP(D205,'Species Codes'!B:J,9,0)*(LN((E205*2.54)))),IF(OR(D205="PY",D205="RC",D205="WH",D205="NF")=TRUE,VLOOKUP(D205,'Species Codes'!B:I,8,0)+VLOOKUP(D205,'Species Codes'!B:J,9,0)*((E205*2.54)^2)*(I205*0.3048),IF(OR(D205="MD",D205="BM",D205="GA")=TRUE,((VLOOKUP(D205,'Species Codes'!B:I,8,0)*(((((E205*2.54)+VLOOKUP(D205,'Species Codes'!B:J,9,0))/VLOOKUP(D205,'Species Codes'!B:K,10,0))^VLOOKUP(D205,'Species Codes'!B:L,11,0))*((I205*0.3048)^VLOOKUP(D205,'Species Codes'!B:M,12,0))))-(VLOOKUP(D205,'Species Codes'!B:I,8,0)*((((E205*2.54)^VLOOKUP(D205,'Species Codes'!B:L,11,0))*((I205*0.3048)^VLOOKUP(D205,'Species Codes'!B:M,12,0))))))*35.3*VLOOKUP(D205,'Species Codes'!B:G,6,0)/2.2046,VLOOKUP(D205,'Species Codes'!B:I,8,0)+VLOOKUP(D205,'Species Codes'!B:J,9,0)*(((E205*2.54)/100)^2)*(I205*0.3048)))))*0.0011023),0)</f>
        <v>#N/A</v>
      </c>
      <c r="AC205" s="104" t="e">
        <f>IF(Z205&gt;0,((IF(OR(D205="RA",D205="OA",D205="OT",D205="UN",D205="PC"),EXP(VLOOKUP(D205,'Species Codes'!B:O,14,0)+VLOOKUP(D205,'Species Codes'!B:P,15,0)*LN((E205*2.54)))-EXP(VLOOKUP(D205,'Species Codes'!B:O,14,0)+VLOOKUP(D205,'Species Codes'!B:P,15,0)*LN((E205*2.54)))*(1/(VLOOKUP(D205,'Species Codes'!B:Q,16,0)+VLOOKUP(D205,'Species Codes'!B:R,17,0)*((E205*2.54)^VLOOKUP(D205,'Species Codes'!B:S,18,0)))),IF(OR(D205="BM",D205="MD",D205="OA"),EXP(VLOOKUP(D205,'Species Codes'!B:O,14,0)+VLOOKUP(D205,'Species Codes'!B:P,15,0)*LN((E205*2.54)))*(1-(1/(VLOOKUP(D205,'Species Codes'!B:Q,16,0)+VLOOKUP(D205,'Species Codes'!B:R,17,0)*((E205*2.54)^VLOOKUP(D205,'Species Codes'!B:S,18,0)))))/1000,IF(D205="DF",EXP(VLOOKUP(D205,'Species Codes'!B:O,14,0)+VLOOKUP(D205,'Species Codes'!B:P,15,0)*LN((E205*2.54))),VLOOKUP(D205,'Species Codes'!B:O,14,0)+VLOOKUP(D205,'Species Codes'!B:P,15,0)*(((E205*2.54)/100)^2)*(I205*0.3048)))))*0.0011023),0)</f>
        <v>#N/A</v>
      </c>
      <c r="AD205" s="104" t="e">
        <f t="shared" si="91"/>
        <v>#N/A</v>
      </c>
      <c r="AE205" s="104" t="e">
        <f t="shared" si="92"/>
        <v>#N/A</v>
      </c>
      <c r="AF205" s="104" t="e">
        <f>IF(AND(VLOOKUP($D205,Merchantability!$B:$C,2,0)="Yes",$E205&gt;=VLOOKUP($D205,Merchantability!$B:$D,3,0),$E205&lt;=VLOOKUP($D205,Merchantability!$B:$E,4,0)),AA205,0)</f>
        <v>#N/A</v>
      </c>
      <c r="AG205" s="104" t="e">
        <f>IF(AND(VLOOKUP($D205,Merchantability!$B:$C,2,0)="Yes",$E205&gt;=VLOOKUP($D205,Merchantability!$B:$D,3,0),$E205&lt;=VLOOKUP($D205,Merchantability!$B:$E,4,0)),AB205,0)</f>
        <v>#N/A</v>
      </c>
      <c r="AH205" s="104" t="e">
        <f>IF(AND(VLOOKUP($D205,Merchantability!$B:$C,2,0)="Yes",$E205&gt;=VLOOKUP($D205,Merchantability!$B:$D,3,0),$E205&lt;=VLOOKUP($D205,Merchantability!$B:$E,4,0)),AC205,0)</f>
        <v>#N/A</v>
      </c>
      <c r="AI205" s="104" t="e">
        <f t="shared" si="93"/>
        <v>#N/A</v>
      </c>
      <c r="AJ205" s="104" t="e">
        <f t="shared" si="94"/>
        <v>#VALUE!</v>
      </c>
      <c r="AK205" s="104" t="e">
        <f t="shared" si="95"/>
        <v>#N/A</v>
      </c>
      <c r="AL205" s="104" t="e">
        <f t="shared" si="96"/>
        <v>#N/A</v>
      </c>
      <c r="AM205" s="104" t="e">
        <f t="shared" si="97"/>
        <v>#N/A</v>
      </c>
      <c r="AN205" s="104" t="e">
        <f t="shared" si="98"/>
        <v>#N/A</v>
      </c>
      <c r="AO205" s="104" t="e">
        <f t="shared" si="99"/>
        <v>#N/A</v>
      </c>
      <c r="AP205" s="104" t="e">
        <f t="shared" si="100"/>
        <v>#N/A</v>
      </c>
      <c r="AQ205" s="104" t="e">
        <f t="shared" si="101"/>
        <v>#N/A</v>
      </c>
      <c r="AR205" s="105" t="str">
        <f t="shared" si="102"/>
        <v/>
      </c>
      <c r="AS205" s="105" t="str">
        <f t="shared" si="103"/>
        <v/>
      </c>
      <c r="AT205" s="108" t="str">
        <f t="shared" si="104"/>
        <v/>
      </c>
      <c r="AU205" s="108" t="str">
        <f t="shared" si="105"/>
        <v/>
      </c>
      <c r="AV205" s="107" t="str">
        <f>IF(ISNUMBER(O205),IF(VLOOKUP($A205,Stand!C:J,8,FALSE)="Short",AT205,AU205),"")</f>
        <v/>
      </c>
      <c r="AW205" s="109" t="str">
        <f t="shared" si="106"/>
        <v/>
      </c>
      <c r="AX205" s="109" t="str">
        <f t="shared" si="107"/>
        <v/>
      </c>
      <c r="AY205" s="112" t="str">
        <f>IF(ISNUMBER(O205),IF(AND(VLOOKUP($D205,Merchantability!$B:$C,2,0)="Yes",$E205&gt;=VLOOKUP($D205,Merchantability!$B:$D,3,0),$E205&lt;=VLOOKUP($D205,Merchantability!$B:$E,4,0)),(AV205*O205)*(1-$H205/100),""),"")</f>
        <v/>
      </c>
      <c r="AZ205" s="116"/>
      <c r="BA205" s="116"/>
      <c r="BB205" s="116"/>
      <c r="BE205" s="62"/>
      <c r="BF205" s="63"/>
    </row>
    <row r="206" spans="1:58" ht="12.75" customHeight="1" x14ac:dyDescent="0.25">
      <c r="A206" s="384"/>
      <c r="B206" s="380"/>
      <c r="C206" s="381"/>
      <c r="D206" s="380"/>
      <c r="E206" s="382"/>
      <c r="F206" s="331"/>
      <c r="G206" s="329"/>
      <c r="H206" s="329"/>
      <c r="I206" s="380"/>
      <c r="J206" s="381"/>
      <c r="K206" s="329"/>
      <c r="L206" s="329"/>
      <c r="M206" s="76"/>
      <c r="N206" s="103" t="str">
        <f>IF(A206="","",VLOOKUP(A206,Stand!C:K,9,0))</f>
        <v/>
      </c>
      <c r="O206" s="104" t="str">
        <f t="shared" si="81"/>
        <v/>
      </c>
      <c r="P206" s="105" t="str">
        <f t="shared" si="82"/>
        <v/>
      </c>
      <c r="Q206" s="105" t="str">
        <f t="shared" si="83"/>
        <v/>
      </c>
      <c r="R206" s="103" t="str">
        <f t="shared" si="84"/>
        <v/>
      </c>
      <c r="S206" s="103" t="str">
        <f t="shared" si="85"/>
        <v/>
      </c>
      <c r="T206" s="106" t="str">
        <f t="shared" si="86"/>
        <v/>
      </c>
      <c r="U206" s="106" t="str">
        <f t="shared" si="87"/>
        <v/>
      </c>
      <c r="V206" s="106" t="str">
        <f t="shared" si="88"/>
        <v/>
      </c>
      <c r="W206" s="105" t="str">
        <f t="shared" si="89"/>
        <v/>
      </c>
      <c r="X206" s="104" t="str">
        <f t="shared" si="90"/>
        <v/>
      </c>
      <c r="Y206" s="104" t="str">
        <f t="array" ref="Y206">IFERROR(IF(ISNUMBER(O206),IF(COUNT(IF(A206=$A$2:$A$2427,IF(D206=$D$2:$D$2427,IF($X$2:$X$2427&gt;0,1))))&gt;0,SUM(IF(A206=$A$2:$A$2427,IF(D206=$D$2:$D$2427,$X$2:$X$2427)))/COUNT(IF(A206=$A$2:$A$2427,IF(D206=$D$2:$D$2427,IF(ISNUMBER($X$2:$X$2427),1)))),0),""),0)</f>
        <v/>
      </c>
      <c r="Z206" s="104" t="str">
        <f>IF(ISNUMBER(O206),IF(I206&gt;0,(10^(VLOOKUP(D206,'Species Codes'!B:C,2,0)+VLOOKUP(D206,'Species Codes'!B:D,3,0)*LOG(E206)+VLOOKUP(D206,'Species Codes'!B:E,4,0)*LOG(I206))),0),"")</f>
        <v/>
      </c>
      <c r="AA206" s="104" t="str">
        <f>IFERROR((VLOOKUP(D206,'Species Codes'!B:G,6,0)*Z206)/2000,"")</f>
        <v/>
      </c>
      <c r="AB206" s="104" t="e">
        <f>IF(Z206&gt;0,((IF(OR(D206="DF",D206="RA")=TRUE,EXP(VLOOKUP(D206,'Species Codes'!B:I,8,0)+VLOOKUP(D206,'Species Codes'!B:J,9,0)*(LN((E206*2.54)))),IF(OR(D206="PY",D206="RC",D206="WH",D206="NF")=TRUE,VLOOKUP(D206,'Species Codes'!B:I,8,0)+VLOOKUP(D206,'Species Codes'!B:J,9,0)*((E206*2.54)^2)*(I206*0.3048),IF(OR(D206="MD",D206="BM",D206="GA")=TRUE,((VLOOKUP(D206,'Species Codes'!B:I,8,0)*(((((E206*2.54)+VLOOKUP(D206,'Species Codes'!B:J,9,0))/VLOOKUP(D206,'Species Codes'!B:K,10,0))^VLOOKUP(D206,'Species Codes'!B:L,11,0))*((I206*0.3048)^VLOOKUP(D206,'Species Codes'!B:M,12,0))))-(VLOOKUP(D206,'Species Codes'!B:I,8,0)*((((E206*2.54)^VLOOKUP(D206,'Species Codes'!B:L,11,0))*((I206*0.3048)^VLOOKUP(D206,'Species Codes'!B:M,12,0))))))*35.3*VLOOKUP(D206,'Species Codes'!B:G,6,0)/2.2046,VLOOKUP(D206,'Species Codes'!B:I,8,0)+VLOOKUP(D206,'Species Codes'!B:J,9,0)*(((E206*2.54)/100)^2)*(I206*0.3048)))))*0.0011023),0)</f>
        <v>#N/A</v>
      </c>
      <c r="AC206" s="104" t="e">
        <f>IF(Z206&gt;0,((IF(OR(D206="RA",D206="OA",D206="OT",D206="UN",D206="PC"),EXP(VLOOKUP(D206,'Species Codes'!B:O,14,0)+VLOOKUP(D206,'Species Codes'!B:P,15,0)*LN((E206*2.54)))-EXP(VLOOKUP(D206,'Species Codes'!B:O,14,0)+VLOOKUP(D206,'Species Codes'!B:P,15,0)*LN((E206*2.54)))*(1/(VLOOKUP(D206,'Species Codes'!B:Q,16,0)+VLOOKUP(D206,'Species Codes'!B:R,17,0)*((E206*2.54)^VLOOKUP(D206,'Species Codes'!B:S,18,0)))),IF(OR(D206="BM",D206="MD",D206="OA"),EXP(VLOOKUP(D206,'Species Codes'!B:O,14,0)+VLOOKUP(D206,'Species Codes'!B:P,15,0)*LN((E206*2.54)))*(1-(1/(VLOOKUP(D206,'Species Codes'!B:Q,16,0)+VLOOKUP(D206,'Species Codes'!B:R,17,0)*((E206*2.54)^VLOOKUP(D206,'Species Codes'!B:S,18,0)))))/1000,IF(D206="DF",EXP(VLOOKUP(D206,'Species Codes'!B:O,14,0)+VLOOKUP(D206,'Species Codes'!B:P,15,0)*LN((E206*2.54))),VLOOKUP(D206,'Species Codes'!B:O,14,0)+VLOOKUP(D206,'Species Codes'!B:P,15,0)*(((E206*2.54)/100)^2)*(I206*0.3048)))))*0.0011023),0)</f>
        <v>#N/A</v>
      </c>
      <c r="AD206" s="104" t="e">
        <f t="shared" si="91"/>
        <v>#N/A</v>
      </c>
      <c r="AE206" s="104" t="e">
        <f t="shared" si="92"/>
        <v>#N/A</v>
      </c>
      <c r="AF206" s="104" t="e">
        <f>IF(AND(VLOOKUP($D206,Merchantability!$B:$C,2,0)="Yes",$E206&gt;=VLOOKUP($D206,Merchantability!$B:$D,3,0),$E206&lt;=VLOOKUP($D206,Merchantability!$B:$E,4,0)),AA206,0)</f>
        <v>#N/A</v>
      </c>
      <c r="AG206" s="104" t="e">
        <f>IF(AND(VLOOKUP($D206,Merchantability!$B:$C,2,0)="Yes",$E206&gt;=VLOOKUP($D206,Merchantability!$B:$D,3,0),$E206&lt;=VLOOKUP($D206,Merchantability!$B:$E,4,0)),AB206,0)</f>
        <v>#N/A</v>
      </c>
      <c r="AH206" s="104" t="e">
        <f>IF(AND(VLOOKUP($D206,Merchantability!$B:$C,2,0)="Yes",$E206&gt;=VLOOKUP($D206,Merchantability!$B:$D,3,0),$E206&lt;=VLOOKUP($D206,Merchantability!$B:$E,4,0)),AC206,0)</f>
        <v>#N/A</v>
      </c>
      <c r="AI206" s="104" t="e">
        <f t="shared" si="93"/>
        <v>#N/A</v>
      </c>
      <c r="AJ206" s="104" t="e">
        <f t="shared" si="94"/>
        <v>#VALUE!</v>
      </c>
      <c r="AK206" s="104" t="e">
        <f t="shared" si="95"/>
        <v>#N/A</v>
      </c>
      <c r="AL206" s="104" t="e">
        <f t="shared" si="96"/>
        <v>#N/A</v>
      </c>
      <c r="AM206" s="104" t="e">
        <f t="shared" si="97"/>
        <v>#N/A</v>
      </c>
      <c r="AN206" s="104" t="e">
        <f t="shared" si="98"/>
        <v>#N/A</v>
      </c>
      <c r="AO206" s="104" t="e">
        <f t="shared" si="99"/>
        <v>#N/A</v>
      </c>
      <c r="AP206" s="104" t="e">
        <f t="shared" si="100"/>
        <v>#N/A</v>
      </c>
      <c r="AQ206" s="104" t="e">
        <f t="shared" si="101"/>
        <v>#N/A</v>
      </c>
      <c r="AR206" s="105" t="str">
        <f t="shared" si="102"/>
        <v/>
      </c>
      <c r="AS206" s="105" t="str">
        <f t="shared" si="103"/>
        <v/>
      </c>
      <c r="AT206" s="108" t="str">
        <f t="shared" si="104"/>
        <v/>
      </c>
      <c r="AU206" s="108" t="str">
        <f t="shared" si="105"/>
        <v/>
      </c>
      <c r="AV206" s="107" t="str">
        <f>IF(ISNUMBER(O206),IF(VLOOKUP($A206,Stand!C:J,8,FALSE)="Short",AT206,AU206),"")</f>
        <v/>
      </c>
      <c r="AW206" s="109" t="str">
        <f t="shared" si="106"/>
        <v/>
      </c>
      <c r="AX206" s="109" t="str">
        <f t="shared" si="107"/>
        <v/>
      </c>
      <c r="AY206" s="112" t="str">
        <f>IF(ISNUMBER(O206),IF(AND(VLOOKUP($D206,Merchantability!$B:$C,2,0)="Yes",$E206&gt;=VLOOKUP($D206,Merchantability!$B:$D,3,0),$E206&lt;=VLOOKUP($D206,Merchantability!$B:$E,4,0)),(AV206*O206)*(1-$H206/100),""),"")</f>
        <v/>
      </c>
      <c r="AZ206" s="116"/>
      <c r="BA206" s="116"/>
      <c r="BB206" s="116"/>
      <c r="BE206" s="62"/>
      <c r="BF206" s="63"/>
    </row>
    <row r="207" spans="1:58" ht="12.75" customHeight="1" x14ac:dyDescent="0.25">
      <c r="A207" s="384"/>
      <c r="B207" s="380"/>
      <c r="C207" s="381"/>
      <c r="D207" s="380"/>
      <c r="E207" s="382"/>
      <c r="F207" s="331"/>
      <c r="G207" s="329"/>
      <c r="H207" s="329"/>
      <c r="I207" s="380"/>
      <c r="J207" s="381"/>
      <c r="K207" s="329"/>
      <c r="L207" s="329"/>
      <c r="M207" s="76"/>
      <c r="N207" s="103" t="str">
        <f>IF(A207="","",VLOOKUP(A207,Stand!C:K,9,0))</f>
        <v/>
      </c>
      <c r="O207" s="104" t="str">
        <f t="shared" si="81"/>
        <v/>
      </c>
      <c r="P207" s="105" t="str">
        <f t="shared" si="82"/>
        <v/>
      </c>
      <c r="Q207" s="105" t="str">
        <f t="shared" si="83"/>
        <v/>
      </c>
      <c r="R207" s="103" t="str">
        <f t="shared" si="84"/>
        <v/>
      </c>
      <c r="S207" s="103" t="str">
        <f t="shared" si="85"/>
        <v/>
      </c>
      <c r="T207" s="106" t="str">
        <f t="shared" si="86"/>
        <v/>
      </c>
      <c r="U207" s="106" t="str">
        <f t="shared" si="87"/>
        <v/>
      </c>
      <c r="V207" s="106" t="str">
        <f t="shared" si="88"/>
        <v/>
      </c>
      <c r="W207" s="105" t="str">
        <f t="shared" si="89"/>
        <v/>
      </c>
      <c r="X207" s="104" t="str">
        <f t="shared" si="90"/>
        <v/>
      </c>
      <c r="Y207" s="104" t="str">
        <f t="array" ref="Y207">IFERROR(IF(ISNUMBER(O207),IF(COUNT(IF(A207=$A$2:$A$2427,IF(D207=$D$2:$D$2427,IF($X$2:$X$2427&gt;0,1))))&gt;0,SUM(IF(A207=$A$2:$A$2427,IF(D207=$D$2:$D$2427,$X$2:$X$2427)))/COUNT(IF(A207=$A$2:$A$2427,IF(D207=$D$2:$D$2427,IF(ISNUMBER($X$2:$X$2427),1)))),0),""),0)</f>
        <v/>
      </c>
      <c r="Z207" s="104" t="str">
        <f>IF(ISNUMBER(O207),IF(I207&gt;0,(10^(VLOOKUP(D207,'Species Codes'!B:C,2,0)+VLOOKUP(D207,'Species Codes'!B:D,3,0)*LOG(E207)+VLOOKUP(D207,'Species Codes'!B:E,4,0)*LOG(I207))),0),"")</f>
        <v/>
      </c>
      <c r="AA207" s="104" t="str">
        <f>IFERROR((VLOOKUP(D207,'Species Codes'!B:G,6,0)*Z207)/2000,"")</f>
        <v/>
      </c>
      <c r="AB207" s="104" t="e">
        <f>IF(Z207&gt;0,((IF(OR(D207="DF",D207="RA")=TRUE,EXP(VLOOKUP(D207,'Species Codes'!B:I,8,0)+VLOOKUP(D207,'Species Codes'!B:J,9,0)*(LN((E207*2.54)))),IF(OR(D207="PY",D207="RC",D207="WH",D207="NF")=TRUE,VLOOKUP(D207,'Species Codes'!B:I,8,0)+VLOOKUP(D207,'Species Codes'!B:J,9,0)*((E207*2.54)^2)*(I207*0.3048),IF(OR(D207="MD",D207="BM",D207="GA")=TRUE,((VLOOKUP(D207,'Species Codes'!B:I,8,0)*(((((E207*2.54)+VLOOKUP(D207,'Species Codes'!B:J,9,0))/VLOOKUP(D207,'Species Codes'!B:K,10,0))^VLOOKUP(D207,'Species Codes'!B:L,11,0))*((I207*0.3048)^VLOOKUP(D207,'Species Codes'!B:M,12,0))))-(VLOOKUP(D207,'Species Codes'!B:I,8,0)*((((E207*2.54)^VLOOKUP(D207,'Species Codes'!B:L,11,0))*((I207*0.3048)^VLOOKUP(D207,'Species Codes'!B:M,12,0))))))*35.3*VLOOKUP(D207,'Species Codes'!B:G,6,0)/2.2046,VLOOKUP(D207,'Species Codes'!B:I,8,0)+VLOOKUP(D207,'Species Codes'!B:J,9,0)*(((E207*2.54)/100)^2)*(I207*0.3048)))))*0.0011023),0)</f>
        <v>#N/A</v>
      </c>
      <c r="AC207" s="104" t="e">
        <f>IF(Z207&gt;0,((IF(OR(D207="RA",D207="OA",D207="OT",D207="UN",D207="PC"),EXP(VLOOKUP(D207,'Species Codes'!B:O,14,0)+VLOOKUP(D207,'Species Codes'!B:P,15,0)*LN((E207*2.54)))-EXP(VLOOKUP(D207,'Species Codes'!B:O,14,0)+VLOOKUP(D207,'Species Codes'!B:P,15,0)*LN((E207*2.54)))*(1/(VLOOKUP(D207,'Species Codes'!B:Q,16,0)+VLOOKUP(D207,'Species Codes'!B:R,17,0)*((E207*2.54)^VLOOKUP(D207,'Species Codes'!B:S,18,0)))),IF(OR(D207="BM",D207="MD",D207="OA"),EXP(VLOOKUP(D207,'Species Codes'!B:O,14,0)+VLOOKUP(D207,'Species Codes'!B:P,15,0)*LN((E207*2.54)))*(1-(1/(VLOOKUP(D207,'Species Codes'!B:Q,16,0)+VLOOKUP(D207,'Species Codes'!B:R,17,0)*((E207*2.54)^VLOOKUP(D207,'Species Codes'!B:S,18,0)))))/1000,IF(D207="DF",EXP(VLOOKUP(D207,'Species Codes'!B:O,14,0)+VLOOKUP(D207,'Species Codes'!B:P,15,0)*LN((E207*2.54))),VLOOKUP(D207,'Species Codes'!B:O,14,0)+VLOOKUP(D207,'Species Codes'!B:P,15,0)*(((E207*2.54)/100)^2)*(I207*0.3048)))))*0.0011023),0)</f>
        <v>#N/A</v>
      </c>
      <c r="AD207" s="104" t="e">
        <f t="shared" si="91"/>
        <v>#N/A</v>
      </c>
      <c r="AE207" s="104" t="e">
        <f t="shared" si="92"/>
        <v>#N/A</v>
      </c>
      <c r="AF207" s="104" t="e">
        <f>IF(AND(VLOOKUP($D207,Merchantability!$B:$C,2,0)="Yes",$E207&gt;=VLOOKUP($D207,Merchantability!$B:$D,3,0),$E207&lt;=VLOOKUP($D207,Merchantability!$B:$E,4,0)),AA207,0)</f>
        <v>#N/A</v>
      </c>
      <c r="AG207" s="104" t="e">
        <f>IF(AND(VLOOKUP($D207,Merchantability!$B:$C,2,0)="Yes",$E207&gt;=VLOOKUP($D207,Merchantability!$B:$D,3,0),$E207&lt;=VLOOKUP($D207,Merchantability!$B:$E,4,0)),AB207,0)</f>
        <v>#N/A</v>
      </c>
      <c r="AH207" s="104" t="e">
        <f>IF(AND(VLOOKUP($D207,Merchantability!$B:$C,2,0)="Yes",$E207&gt;=VLOOKUP($D207,Merchantability!$B:$D,3,0),$E207&lt;=VLOOKUP($D207,Merchantability!$B:$E,4,0)),AC207,0)</f>
        <v>#N/A</v>
      </c>
      <c r="AI207" s="104" t="e">
        <f t="shared" si="93"/>
        <v>#N/A</v>
      </c>
      <c r="AJ207" s="104" t="e">
        <f t="shared" si="94"/>
        <v>#VALUE!</v>
      </c>
      <c r="AK207" s="104" t="e">
        <f t="shared" si="95"/>
        <v>#N/A</v>
      </c>
      <c r="AL207" s="104" t="e">
        <f t="shared" si="96"/>
        <v>#N/A</v>
      </c>
      <c r="AM207" s="104" t="e">
        <f t="shared" si="97"/>
        <v>#N/A</v>
      </c>
      <c r="AN207" s="104" t="e">
        <f t="shared" si="98"/>
        <v>#N/A</v>
      </c>
      <c r="AO207" s="104" t="e">
        <f t="shared" si="99"/>
        <v>#N/A</v>
      </c>
      <c r="AP207" s="104" t="e">
        <f t="shared" si="100"/>
        <v>#N/A</v>
      </c>
      <c r="AQ207" s="104" t="e">
        <f t="shared" si="101"/>
        <v>#N/A</v>
      </c>
      <c r="AR207" s="105" t="str">
        <f t="shared" si="102"/>
        <v/>
      </c>
      <c r="AS207" s="105" t="str">
        <f t="shared" si="103"/>
        <v/>
      </c>
      <c r="AT207" s="108" t="str">
        <f t="shared" si="104"/>
        <v/>
      </c>
      <c r="AU207" s="108" t="str">
        <f t="shared" si="105"/>
        <v/>
      </c>
      <c r="AV207" s="107" t="str">
        <f>IF(ISNUMBER(O207),IF(VLOOKUP($A207,Stand!C:J,8,FALSE)="Short",AT207,AU207),"")</f>
        <v/>
      </c>
      <c r="AW207" s="109" t="str">
        <f t="shared" si="106"/>
        <v/>
      </c>
      <c r="AX207" s="109" t="str">
        <f t="shared" si="107"/>
        <v/>
      </c>
      <c r="AY207" s="112" t="str">
        <f>IF(ISNUMBER(O207),IF(AND(VLOOKUP($D207,Merchantability!$B:$C,2,0)="Yes",$E207&gt;=VLOOKUP($D207,Merchantability!$B:$D,3,0),$E207&lt;=VLOOKUP($D207,Merchantability!$B:$E,4,0)),(AV207*O207)*(1-$H207/100),""),"")</f>
        <v/>
      </c>
      <c r="AZ207" s="116"/>
      <c r="BA207" s="116"/>
      <c r="BB207" s="116"/>
      <c r="BE207" s="62"/>
      <c r="BF207" s="63"/>
    </row>
    <row r="208" spans="1:58" ht="12.75" customHeight="1" x14ac:dyDescent="0.25">
      <c r="A208" s="384"/>
      <c r="B208" s="380"/>
      <c r="C208" s="381"/>
      <c r="D208" s="380"/>
      <c r="E208" s="382"/>
      <c r="F208" s="331"/>
      <c r="G208" s="329"/>
      <c r="H208" s="329"/>
      <c r="I208" s="380"/>
      <c r="J208" s="381"/>
      <c r="K208" s="329"/>
      <c r="L208" s="329"/>
      <c r="M208" s="76"/>
      <c r="N208" s="103" t="str">
        <f>IF(A208="","",VLOOKUP(A208,Stand!C:K,9,0))</f>
        <v/>
      </c>
      <c r="O208" s="104" t="str">
        <f t="shared" si="81"/>
        <v/>
      </c>
      <c r="P208" s="105" t="str">
        <f t="shared" si="82"/>
        <v/>
      </c>
      <c r="Q208" s="105" t="str">
        <f t="shared" si="83"/>
        <v/>
      </c>
      <c r="R208" s="103" t="str">
        <f t="shared" si="84"/>
        <v/>
      </c>
      <c r="S208" s="103" t="str">
        <f t="shared" si="85"/>
        <v/>
      </c>
      <c r="T208" s="106" t="str">
        <f t="shared" si="86"/>
        <v/>
      </c>
      <c r="U208" s="106" t="str">
        <f t="shared" si="87"/>
        <v/>
      </c>
      <c r="V208" s="106" t="str">
        <f t="shared" si="88"/>
        <v/>
      </c>
      <c r="W208" s="105" t="str">
        <f t="shared" si="89"/>
        <v/>
      </c>
      <c r="X208" s="104" t="str">
        <f t="shared" si="90"/>
        <v/>
      </c>
      <c r="Y208" s="104" t="str">
        <f t="array" ref="Y208">IFERROR(IF(ISNUMBER(O208),IF(COUNT(IF(A208=$A$2:$A$2427,IF(D208=$D$2:$D$2427,IF($X$2:$X$2427&gt;0,1))))&gt;0,SUM(IF(A208=$A$2:$A$2427,IF(D208=$D$2:$D$2427,$X$2:$X$2427)))/COUNT(IF(A208=$A$2:$A$2427,IF(D208=$D$2:$D$2427,IF(ISNUMBER($X$2:$X$2427),1)))),0),""),0)</f>
        <v/>
      </c>
      <c r="Z208" s="104" t="str">
        <f>IF(ISNUMBER(O208),IF(I208&gt;0,(10^(VLOOKUP(D208,'Species Codes'!B:C,2,0)+VLOOKUP(D208,'Species Codes'!B:D,3,0)*LOG(E208)+VLOOKUP(D208,'Species Codes'!B:E,4,0)*LOG(I208))),0),"")</f>
        <v/>
      </c>
      <c r="AA208" s="104" t="str">
        <f>IFERROR((VLOOKUP(D208,'Species Codes'!B:G,6,0)*Z208)/2000,"")</f>
        <v/>
      </c>
      <c r="AB208" s="104" t="e">
        <f>IF(Z208&gt;0,((IF(OR(D208="DF",D208="RA")=TRUE,EXP(VLOOKUP(D208,'Species Codes'!B:I,8,0)+VLOOKUP(D208,'Species Codes'!B:J,9,0)*(LN((E208*2.54)))),IF(OR(D208="PY",D208="RC",D208="WH",D208="NF")=TRUE,VLOOKUP(D208,'Species Codes'!B:I,8,0)+VLOOKUP(D208,'Species Codes'!B:J,9,0)*((E208*2.54)^2)*(I208*0.3048),IF(OR(D208="MD",D208="BM",D208="GA")=TRUE,((VLOOKUP(D208,'Species Codes'!B:I,8,0)*(((((E208*2.54)+VLOOKUP(D208,'Species Codes'!B:J,9,0))/VLOOKUP(D208,'Species Codes'!B:K,10,0))^VLOOKUP(D208,'Species Codes'!B:L,11,0))*((I208*0.3048)^VLOOKUP(D208,'Species Codes'!B:M,12,0))))-(VLOOKUP(D208,'Species Codes'!B:I,8,0)*((((E208*2.54)^VLOOKUP(D208,'Species Codes'!B:L,11,0))*((I208*0.3048)^VLOOKUP(D208,'Species Codes'!B:M,12,0))))))*35.3*VLOOKUP(D208,'Species Codes'!B:G,6,0)/2.2046,VLOOKUP(D208,'Species Codes'!B:I,8,0)+VLOOKUP(D208,'Species Codes'!B:J,9,0)*(((E208*2.54)/100)^2)*(I208*0.3048)))))*0.0011023),0)</f>
        <v>#N/A</v>
      </c>
      <c r="AC208" s="104" t="e">
        <f>IF(Z208&gt;0,((IF(OR(D208="RA",D208="OA",D208="OT",D208="UN",D208="PC"),EXP(VLOOKUP(D208,'Species Codes'!B:O,14,0)+VLOOKUP(D208,'Species Codes'!B:P,15,0)*LN((E208*2.54)))-EXP(VLOOKUP(D208,'Species Codes'!B:O,14,0)+VLOOKUP(D208,'Species Codes'!B:P,15,0)*LN((E208*2.54)))*(1/(VLOOKUP(D208,'Species Codes'!B:Q,16,0)+VLOOKUP(D208,'Species Codes'!B:R,17,0)*((E208*2.54)^VLOOKUP(D208,'Species Codes'!B:S,18,0)))),IF(OR(D208="BM",D208="MD",D208="OA"),EXP(VLOOKUP(D208,'Species Codes'!B:O,14,0)+VLOOKUP(D208,'Species Codes'!B:P,15,0)*LN((E208*2.54)))*(1-(1/(VLOOKUP(D208,'Species Codes'!B:Q,16,0)+VLOOKUP(D208,'Species Codes'!B:R,17,0)*((E208*2.54)^VLOOKUP(D208,'Species Codes'!B:S,18,0)))))/1000,IF(D208="DF",EXP(VLOOKUP(D208,'Species Codes'!B:O,14,0)+VLOOKUP(D208,'Species Codes'!B:P,15,0)*LN((E208*2.54))),VLOOKUP(D208,'Species Codes'!B:O,14,0)+VLOOKUP(D208,'Species Codes'!B:P,15,0)*(((E208*2.54)/100)^2)*(I208*0.3048)))))*0.0011023),0)</f>
        <v>#N/A</v>
      </c>
      <c r="AD208" s="104" t="e">
        <f t="shared" si="91"/>
        <v>#N/A</v>
      </c>
      <c r="AE208" s="104" t="e">
        <f t="shared" si="92"/>
        <v>#N/A</v>
      </c>
      <c r="AF208" s="104" t="e">
        <f>IF(AND(VLOOKUP($D208,Merchantability!$B:$C,2,0)="Yes",$E208&gt;=VLOOKUP($D208,Merchantability!$B:$D,3,0),$E208&lt;=VLOOKUP($D208,Merchantability!$B:$E,4,0)),AA208,0)</f>
        <v>#N/A</v>
      </c>
      <c r="AG208" s="104" t="e">
        <f>IF(AND(VLOOKUP($D208,Merchantability!$B:$C,2,0)="Yes",$E208&gt;=VLOOKUP($D208,Merchantability!$B:$D,3,0),$E208&lt;=VLOOKUP($D208,Merchantability!$B:$E,4,0)),AB208,0)</f>
        <v>#N/A</v>
      </c>
      <c r="AH208" s="104" t="e">
        <f>IF(AND(VLOOKUP($D208,Merchantability!$B:$C,2,0)="Yes",$E208&gt;=VLOOKUP($D208,Merchantability!$B:$D,3,0),$E208&lt;=VLOOKUP($D208,Merchantability!$B:$E,4,0)),AC208,0)</f>
        <v>#N/A</v>
      </c>
      <c r="AI208" s="104" t="e">
        <f t="shared" si="93"/>
        <v>#N/A</v>
      </c>
      <c r="AJ208" s="104" t="e">
        <f t="shared" si="94"/>
        <v>#VALUE!</v>
      </c>
      <c r="AK208" s="104" t="e">
        <f t="shared" si="95"/>
        <v>#N/A</v>
      </c>
      <c r="AL208" s="104" t="e">
        <f t="shared" si="96"/>
        <v>#N/A</v>
      </c>
      <c r="AM208" s="104" t="e">
        <f t="shared" si="97"/>
        <v>#N/A</v>
      </c>
      <c r="AN208" s="104" t="e">
        <f t="shared" si="98"/>
        <v>#N/A</v>
      </c>
      <c r="AO208" s="104" t="e">
        <f t="shared" si="99"/>
        <v>#N/A</v>
      </c>
      <c r="AP208" s="104" t="e">
        <f t="shared" si="100"/>
        <v>#N/A</v>
      </c>
      <c r="AQ208" s="104" t="e">
        <f t="shared" si="101"/>
        <v>#N/A</v>
      </c>
      <c r="AR208" s="105" t="str">
        <f t="shared" si="102"/>
        <v/>
      </c>
      <c r="AS208" s="105" t="str">
        <f t="shared" si="103"/>
        <v/>
      </c>
      <c r="AT208" s="108" t="str">
        <f t="shared" si="104"/>
        <v/>
      </c>
      <c r="AU208" s="108" t="str">
        <f t="shared" si="105"/>
        <v/>
      </c>
      <c r="AV208" s="107" t="str">
        <f>IF(ISNUMBER(O208),IF(VLOOKUP($A208,Stand!C:J,8,FALSE)="Short",AT208,AU208),"")</f>
        <v/>
      </c>
      <c r="AW208" s="109" t="str">
        <f t="shared" si="106"/>
        <v/>
      </c>
      <c r="AX208" s="109" t="str">
        <f t="shared" si="107"/>
        <v/>
      </c>
      <c r="AY208" s="112" t="str">
        <f>IF(ISNUMBER(O208),IF(AND(VLOOKUP($D208,Merchantability!$B:$C,2,0)="Yes",$E208&gt;=VLOOKUP($D208,Merchantability!$B:$D,3,0),$E208&lt;=VLOOKUP($D208,Merchantability!$B:$E,4,0)),(AV208*O208)*(1-$H208/100),""),"")</f>
        <v/>
      </c>
      <c r="AZ208" s="116"/>
      <c r="BA208" s="116"/>
      <c r="BB208" s="116"/>
      <c r="BE208" s="62"/>
      <c r="BF208" s="63"/>
    </row>
    <row r="209" spans="1:58" ht="12.75" customHeight="1" x14ac:dyDescent="0.25">
      <c r="A209" s="384"/>
      <c r="B209" s="380"/>
      <c r="C209" s="381"/>
      <c r="D209" s="380"/>
      <c r="E209" s="382"/>
      <c r="F209" s="331"/>
      <c r="G209" s="329"/>
      <c r="H209" s="329"/>
      <c r="I209" s="380"/>
      <c r="J209" s="381"/>
      <c r="K209" s="329"/>
      <c r="L209" s="329"/>
      <c r="M209" s="76"/>
      <c r="N209" s="103" t="str">
        <f>IF(A209="","",VLOOKUP(A209,Stand!C:K,9,0))</f>
        <v/>
      </c>
      <c r="O209" s="104" t="str">
        <f t="shared" si="81"/>
        <v/>
      </c>
      <c r="P209" s="105" t="str">
        <f t="shared" si="82"/>
        <v/>
      </c>
      <c r="Q209" s="105" t="str">
        <f t="shared" si="83"/>
        <v/>
      </c>
      <c r="R209" s="103" t="str">
        <f t="shared" si="84"/>
        <v/>
      </c>
      <c r="S209" s="103" t="str">
        <f t="shared" si="85"/>
        <v/>
      </c>
      <c r="T209" s="106" t="str">
        <f t="shared" si="86"/>
        <v/>
      </c>
      <c r="U209" s="106" t="str">
        <f t="shared" si="87"/>
        <v/>
      </c>
      <c r="V209" s="106" t="str">
        <f t="shared" si="88"/>
        <v/>
      </c>
      <c r="W209" s="105" t="str">
        <f t="shared" si="89"/>
        <v/>
      </c>
      <c r="X209" s="104" t="str">
        <f t="shared" si="90"/>
        <v/>
      </c>
      <c r="Y209" s="104" t="str">
        <f t="array" ref="Y209">IFERROR(IF(ISNUMBER(O209),IF(COUNT(IF(A209=$A$2:$A$2427,IF(D209=$D$2:$D$2427,IF($X$2:$X$2427&gt;0,1))))&gt;0,SUM(IF(A209=$A$2:$A$2427,IF(D209=$D$2:$D$2427,$X$2:$X$2427)))/COUNT(IF(A209=$A$2:$A$2427,IF(D209=$D$2:$D$2427,IF(ISNUMBER($X$2:$X$2427),1)))),0),""),0)</f>
        <v/>
      </c>
      <c r="Z209" s="104" t="str">
        <f>IF(ISNUMBER(O209),IF(I209&gt;0,(10^(VLOOKUP(D209,'Species Codes'!B:C,2,0)+VLOOKUP(D209,'Species Codes'!B:D,3,0)*LOG(E209)+VLOOKUP(D209,'Species Codes'!B:E,4,0)*LOG(I209))),0),"")</f>
        <v/>
      </c>
      <c r="AA209" s="104" t="str">
        <f>IFERROR((VLOOKUP(D209,'Species Codes'!B:G,6,0)*Z209)/2000,"")</f>
        <v/>
      </c>
      <c r="AB209" s="104" t="e">
        <f>IF(Z209&gt;0,((IF(OR(D209="DF",D209="RA")=TRUE,EXP(VLOOKUP(D209,'Species Codes'!B:I,8,0)+VLOOKUP(D209,'Species Codes'!B:J,9,0)*(LN((E209*2.54)))),IF(OR(D209="PY",D209="RC",D209="WH",D209="NF")=TRUE,VLOOKUP(D209,'Species Codes'!B:I,8,0)+VLOOKUP(D209,'Species Codes'!B:J,9,0)*((E209*2.54)^2)*(I209*0.3048),IF(OR(D209="MD",D209="BM",D209="GA")=TRUE,((VLOOKUP(D209,'Species Codes'!B:I,8,0)*(((((E209*2.54)+VLOOKUP(D209,'Species Codes'!B:J,9,0))/VLOOKUP(D209,'Species Codes'!B:K,10,0))^VLOOKUP(D209,'Species Codes'!B:L,11,0))*((I209*0.3048)^VLOOKUP(D209,'Species Codes'!B:M,12,0))))-(VLOOKUP(D209,'Species Codes'!B:I,8,0)*((((E209*2.54)^VLOOKUP(D209,'Species Codes'!B:L,11,0))*((I209*0.3048)^VLOOKUP(D209,'Species Codes'!B:M,12,0))))))*35.3*VLOOKUP(D209,'Species Codes'!B:G,6,0)/2.2046,VLOOKUP(D209,'Species Codes'!B:I,8,0)+VLOOKUP(D209,'Species Codes'!B:J,9,0)*(((E209*2.54)/100)^2)*(I209*0.3048)))))*0.0011023),0)</f>
        <v>#N/A</v>
      </c>
      <c r="AC209" s="104" t="e">
        <f>IF(Z209&gt;0,((IF(OR(D209="RA",D209="OA",D209="OT",D209="UN",D209="PC"),EXP(VLOOKUP(D209,'Species Codes'!B:O,14,0)+VLOOKUP(D209,'Species Codes'!B:P,15,0)*LN((E209*2.54)))-EXP(VLOOKUP(D209,'Species Codes'!B:O,14,0)+VLOOKUP(D209,'Species Codes'!B:P,15,0)*LN((E209*2.54)))*(1/(VLOOKUP(D209,'Species Codes'!B:Q,16,0)+VLOOKUP(D209,'Species Codes'!B:R,17,0)*((E209*2.54)^VLOOKUP(D209,'Species Codes'!B:S,18,0)))),IF(OR(D209="BM",D209="MD",D209="OA"),EXP(VLOOKUP(D209,'Species Codes'!B:O,14,0)+VLOOKUP(D209,'Species Codes'!B:P,15,0)*LN((E209*2.54)))*(1-(1/(VLOOKUP(D209,'Species Codes'!B:Q,16,0)+VLOOKUP(D209,'Species Codes'!B:R,17,0)*((E209*2.54)^VLOOKUP(D209,'Species Codes'!B:S,18,0)))))/1000,IF(D209="DF",EXP(VLOOKUP(D209,'Species Codes'!B:O,14,0)+VLOOKUP(D209,'Species Codes'!B:P,15,0)*LN((E209*2.54))),VLOOKUP(D209,'Species Codes'!B:O,14,0)+VLOOKUP(D209,'Species Codes'!B:P,15,0)*(((E209*2.54)/100)^2)*(I209*0.3048)))))*0.0011023),0)</f>
        <v>#N/A</v>
      </c>
      <c r="AD209" s="104" t="e">
        <f t="shared" si="91"/>
        <v>#N/A</v>
      </c>
      <c r="AE209" s="104" t="e">
        <f t="shared" si="92"/>
        <v>#N/A</v>
      </c>
      <c r="AF209" s="104" t="e">
        <f>IF(AND(VLOOKUP($D209,Merchantability!$B:$C,2,0)="Yes",$E209&gt;=VLOOKUP($D209,Merchantability!$B:$D,3,0),$E209&lt;=VLOOKUP($D209,Merchantability!$B:$E,4,0)),AA209,0)</f>
        <v>#N/A</v>
      </c>
      <c r="AG209" s="104" t="e">
        <f>IF(AND(VLOOKUP($D209,Merchantability!$B:$C,2,0)="Yes",$E209&gt;=VLOOKUP($D209,Merchantability!$B:$D,3,0),$E209&lt;=VLOOKUP($D209,Merchantability!$B:$E,4,0)),AB209,0)</f>
        <v>#N/A</v>
      </c>
      <c r="AH209" s="104" t="e">
        <f>IF(AND(VLOOKUP($D209,Merchantability!$B:$C,2,0)="Yes",$E209&gt;=VLOOKUP($D209,Merchantability!$B:$D,3,0),$E209&lt;=VLOOKUP($D209,Merchantability!$B:$E,4,0)),AC209,0)</f>
        <v>#N/A</v>
      </c>
      <c r="AI209" s="104" t="e">
        <f t="shared" si="93"/>
        <v>#N/A</v>
      </c>
      <c r="AJ209" s="104" t="e">
        <f t="shared" si="94"/>
        <v>#VALUE!</v>
      </c>
      <c r="AK209" s="104" t="e">
        <f t="shared" si="95"/>
        <v>#N/A</v>
      </c>
      <c r="AL209" s="104" t="e">
        <f t="shared" si="96"/>
        <v>#N/A</v>
      </c>
      <c r="AM209" s="104" t="e">
        <f t="shared" si="97"/>
        <v>#N/A</v>
      </c>
      <c r="AN209" s="104" t="e">
        <f t="shared" si="98"/>
        <v>#N/A</v>
      </c>
      <c r="AO209" s="104" t="e">
        <f t="shared" si="99"/>
        <v>#N/A</v>
      </c>
      <c r="AP209" s="104" t="e">
        <f t="shared" si="100"/>
        <v>#N/A</v>
      </c>
      <c r="AQ209" s="104" t="e">
        <f t="shared" si="101"/>
        <v>#N/A</v>
      </c>
      <c r="AR209" s="105" t="str">
        <f t="shared" si="102"/>
        <v/>
      </c>
      <c r="AS209" s="105" t="str">
        <f t="shared" si="103"/>
        <v/>
      </c>
      <c r="AT209" s="108" t="str">
        <f t="shared" si="104"/>
        <v/>
      </c>
      <c r="AU209" s="108" t="str">
        <f t="shared" si="105"/>
        <v/>
      </c>
      <c r="AV209" s="107" t="str">
        <f>IF(ISNUMBER(O209),IF(VLOOKUP($A209,Stand!C:J,8,FALSE)="Short",AT209,AU209),"")</f>
        <v/>
      </c>
      <c r="AW209" s="109" t="str">
        <f t="shared" si="106"/>
        <v/>
      </c>
      <c r="AX209" s="109" t="str">
        <f t="shared" si="107"/>
        <v/>
      </c>
      <c r="AY209" s="112" t="str">
        <f>IF(ISNUMBER(O209),IF(AND(VLOOKUP($D209,Merchantability!$B:$C,2,0)="Yes",$E209&gt;=VLOOKUP($D209,Merchantability!$B:$D,3,0),$E209&lt;=VLOOKUP($D209,Merchantability!$B:$E,4,0)),(AV209*O209)*(1-$H209/100),""),"")</f>
        <v/>
      </c>
      <c r="AZ209" s="116"/>
      <c r="BA209" s="116"/>
      <c r="BB209" s="116"/>
      <c r="BE209" s="62"/>
      <c r="BF209" s="63"/>
    </row>
    <row r="210" spans="1:58" ht="12.75" customHeight="1" x14ac:dyDescent="0.25">
      <c r="A210" s="384"/>
      <c r="B210" s="380"/>
      <c r="C210" s="381"/>
      <c r="D210" s="380"/>
      <c r="E210" s="382"/>
      <c r="F210" s="331"/>
      <c r="G210" s="329"/>
      <c r="H210" s="329"/>
      <c r="I210" s="380"/>
      <c r="J210" s="381"/>
      <c r="K210" s="329"/>
      <c r="L210" s="329"/>
      <c r="M210" s="76"/>
      <c r="N210" s="103" t="str">
        <f>IF(A210="","",VLOOKUP(A210,Stand!C:K,9,0))</f>
        <v/>
      </c>
      <c r="O210" s="104" t="str">
        <f t="shared" si="81"/>
        <v/>
      </c>
      <c r="P210" s="105" t="str">
        <f t="shared" si="82"/>
        <v/>
      </c>
      <c r="Q210" s="105" t="str">
        <f t="shared" si="83"/>
        <v/>
      </c>
      <c r="R210" s="103" t="str">
        <f t="shared" si="84"/>
        <v/>
      </c>
      <c r="S210" s="103" t="str">
        <f t="shared" si="85"/>
        <v/>
      </c>
      <c r="T210" s="106" t="str">
        <f t="shared" si="86"/>
        <v/>
      </c>
      <c r="U210" s="106" t="str">
        <f t="shared" si="87"/>
        <v/>
      </c>
      <c r="V210" s="106" t="str">
        <f t="shared" si="88"/>
        <v/>
      </c>
      <c r="W210" s="105" t="str">
        <f t="shared" si="89"/>
        <v/>
      </c>
      <c r="X210" s="104" t="str">
        <f t="shared" si="90"/>
        <v/>
      </c>
      <c r="Y210" s="104" t="str">
        <f t="array" ref="Y210">IFERROR(IF(ISNUMBER(O210),IF(COUNT(IF(A210=$A$2:$A$2427,IF(D210=$D$2:$D$2427,IF($X$2:$X$2427&gt;0,1))))&gt;0,SUM(IF(A210=$A$2:$A$2427,IF(D210=$D$2:$D$2427,$X$2:$X$2427)))/COUNT(IF(A210=$A$2:$A$2427,IF(D210=$D$2:$D$2427,IF(ISNUMBER($X$2:$X$2427),1)))),0),""),0)</f>
        <v/>
      </c>
      <c r="Z210" s="104" t="str">
        <f>IF(ISNUMBER(O210),IF(I210&gt;0,(10^(VLOOKUP(D210,'Species Codes'!B:C,2,0)+VLOOKUP(D210,'Species Codes'!B:D,3,0)*LOG(E210)+VLOOKUP(D210,'Species Codes'!B:E,4,0)*LOG(I210))),0),"")</f>
        <v/>
      </c>
      <c r="AA210" s="104" t="str">
        <f>IFERROR((VLOOKUP(D210,'Species Codes'!B:G,6,0)*Z210)/2000,"")</f>
        <v/>
      </c>
      <c r="AB210" s="104" t="e">
        <f>IF(Z210&gt;0,((IF(OR(D210="DF",D210="RA")=TRUE,EXP(VLOOKUP(D210,'Species Codes'!B:I,8,0)+VLOOKUP(D210,'Species Codes'!B:J,9,0)*(LN((E210*2.54)))),IF(OR(D210="PY",D210="RC",D210="WH",D210="NF")=TRUE,VLOOKUP(D210,'Species Codes'!B:I,8,0)+VLOOKUP(D210,'Species Codes'!B:J,9,0)*((E210*2.54)^2)*(I210*0.3048),IF(OR(D210="MD",D210="BM",D210="GA")=TRUE,((VLOOKUP(D210,'Species Codes'!B:I,8,0)*(((((E210*2.54)+VLOOKUP(D210,'Species Codes'!B:J,9,0))/VLOOKUP(D210,'Species Codes'!B:K,10,0))^VLOOKUP(D210,'Species Codes'!B:L,11,0))*((I210*0.3048)^VLOOKUP(D210,'Species Codes'!B:M,12,0))))-(VLOOKUP(D210,'Species Codes'!B:I,8,0)*((((E210*2.54)^VLOOKUP(D210,'Species Codes'!B:L,11,0))*((I210*0.3048)^VLOOKUP(D210,'Species Codes'!B:M,12,0))))))*35.3*VLOOKUP(D210,'Species Codes'!B:G,6,0)/2.2046,VLOOKUP(D210,'Species Codes'!B:I,8,0)+VLOOKUP(D210,'Species Codes'!B:J,9,0)*(((E210*2.54)/100)^2)*(I210*0.3048)))))*0.0011023),0)</f>
        <v>#N/A</v>
      </c>
      <c r="AC210" s="104" t="e">
        <f>IF(Z210&gt;0,((IF(OR(D210="RA",D210="OA",D210="OT",D210="UN",D210="PC"),EXP(VLOOKUP(D210,'Species Codes'!B:O,14,0)+VLOOKUP(D210,'Species Codes'!B:P,15,0)*LN((E210*2.54)))-EXP(VLOOKUP(D210,'Species Codes'!B:O,14,0)+VLOOKUP(D210,'Species Codes'!B:P,15,0)*LN((E210*2.54)))*(1/(VLOOKUP(D210,'Species Codes'!B:Q,16,0)+VLOOKUP(D210,'Species Codes'!B:R,17,0)*((E210*2.54)^VLOOKUP(D210,'Species Codes'!B:S,18,0)))),IF(OR(D210="BM",D210="MD",D210="OA"),EXP(VLOOKUP(D210,'Species Codes'!B:O,14,0)+VLOOKUP(D210,'Species Codes'!B:P,15,0)*LN((E210*2.54)))*(1-(1/(VLOOKUP(D210,'Species Codes'!B:Q,16,0)+VLOOKUP(D210,'Species Codes'!B:R,17,0)*((E210*2.54)^VLOOKUP(D210,'Species Codes'!B:S,18,0)))))/1000,IF(D210="DF",EXP(VLOOKUP(D210,'Species Codes'!B:O,14,0)+VLOOKUP(D210,'Species Codes'!B:P,15,0)*LN((E210*2.54))),VLOOKUP(D210,'Species Codes'!B:O,14,0)+VLOOKUP(D210,'Species Codes'!B:P,15,0)*(((E210*2.54)/100)^2)*(I210*0.3048)))))*0.0011023),0)</f>
        <v>#N/A</v>
      </c>
      <c r="AD210" s="104" t="e">
        <f t="shared" si="91"/>
        <v>#N/A</v>
      </c>
      <c r="AE210" s="104" t="e">
        <f t="shared" si="92"/>
        <v>#N/A</v>
      </c>
      <c r="AF210" s="104" t="e">
        <f>IF(AND(VLOOKUP($D210,Merchantability!$B:$C,2,0)="Yes",$E210&gt;=VLOOKUP($D210,Merchantability!$B:$D,3,0),$E210&lt;=VLOOKUP($D210,Merchantability!$B:$E,4,0)),AA210,0)</f>
        <v>#N/A</v>
      </c>
      <c r="AG210" s="104" t="e">
        <f>IF(AND(VLOOKUP($D210,Merchantability!$B:$C,2,0)="Yes",$E210&gt;=VLOOKUP($D210,Merchantability!$B:$D,3,0),$E210&lt;=VLOOKUP($D210,Merchantability!$B:$E,4,0)),AB210,0)</f>
        <v>#N/A</v>
      </c>
      <c r="AH210" s="104" t="e">
        <f>IF(AND(VLOOKUP($D210,Merchantability!$B:$C,2,0)="Yes",$E210&gt;=VLOOKUP($D210,Merchantability!$B:$D,3,0),$E210&lt;=VLOOKUP($D210,Merchantability!$B:$E,4,0)),AC210,0)</f>
        <v>#N/A</v>
      </c>
      <c r="AI210" s="104" t="e">
        <f t="shared" si="93"/>
        <v>#N/A</v>
      </c>
      <c r="AJ210" s="104" t="e">
        <f t="shared" si="94"/>
        <v>#VALUE!</v>
      </c>
      <c r="AK210" s="104" t="e">
        <f t="shared" si="95"/>
        <v>#N/A</v>
      </c>
      <c r="AL210" s="104" t="e">
        <f t="shared" si="96"/>
        <v>#N/A</v>
      </c>
      <c r="AM210" s="104" t="e">
        <f t="shared" si="97"/>
        <v>#N/A</v>
      </c>
      <c r="AN210" s="104" t="e">
        <f t="shared" si="98"/>
        <v>#N/A</v>
      </c>
      <c r="AO210" s="104" t="e">
        <f t="shared" si="99"/>
        <v>#N/A</v>
      </c>
      <c r="AP210" s="104" t="e">
        <f t="shared" si="100"/>
        <v>#N/A</v>
      </c>
      <c r="AQ210" s="104" t="e">
        <f t="shared" si="101"/>
        <v>#N/A</v>
      </c>
      <c r="AR210" s="105" t="str">
        <f t="shared" si="102"/>
        <v/>
      </c>
      <c r="AS210" s="105" t="str">
        <f t="shared" si="103"/>
        <v/>
      </c>
      <c r="AT210" s="108" t="str">
        <f t="shared" si="104"/>
        <v/>
      </c>
      <c r="AU210" s="108" t="str">
        <f t="shared" si="105"/>
        <v/>
      </c>
      <c r="AV210" s="107" t="str">
        <f>IF(ISNUMBER(O210),IF(VLOOKUP($A210,Stand!C:J,8,FALSE)="Short",AT210,AU210),"")</f>
        <v/>
      </c>
      <c r="AW210" s="109" t="str">
        <f t="shared" si="106"/>
        <v/>
      </c>
      <c r="AX210" s="109" t="str">
        <f t="shared" si="107"/>
        <v/>
      </c>
      <c r="AY210" s="112" t="str">
        <f>IF(ISNUMBER(O210),IF(AND(VLOOKUP($D210,Merchantability!$B:$C,2,0)="Yes",$E210&gt;=VLOOKUP($D210,Merchantability!$B:$D,3,0),$E210&lt;=VLOOKUP($D210,Merchantability!$B:$E,4,0)),(AV210*O210)*(1-$H210/100),""),"")</f>
        <v/>
      </c>
      <c r="AZ210" s="116"/>
      <c r="BA210" s="116"/>
      <c r="BB210" s="116"/>
      <c r="BE210" s="62"/>
      <c r="BF210" s="63"/>
    </row>
    <row r="211" spans="1:58" ht="12.75" customHeight="1" x14ac:dyDescent="0.25">
      <c r="A211" s="384"/>
      <c r="B211" s="380"/>
      <c r="C211" s="381"/>
      <c r="D211" s="380"/>
      <c r="E211" s="382"/>
      <c r="F211" s="331"/>
      <c r="G211" s="329"/>
      <c r="H211" s="329"/>
      <c r="I211" s="380"/>
      <c r="J211" s="381"/>
      <c r="K211" s="329"/>
      <c r="L211" s="329"/>
      <c r="M211" s="76"/>
      <c r="N211" s="103" t="str">
        <f>IF(A211="","",VLOOKUP(A211,Stand!C:K,9,0))</f>
        <v/>
      </c>
      <c r="O211" s="104" t="str">
        <f t="shared" si="81"/>
        <v/>
      </c>
      <c r="P211" s="105" t="str">
        <f t="shared" si="82"/>
        <v/>
      </c>
      <c r="Q211" s="105" t="str">
        <f t="shared" si="83"/>
        <v/>
      </c>
      <c r="R211" s="103" t="str">
        <f t="shared" si="84"/>
        <v/>
      </c>
      <c r="S211" s="103" t="str">
        <f t="shared" si="85"/>
        <v/>
      </c>
      <c r="T211" s="106" t="str">
        <f t="shared" si="86"/>
        <v/>
      </c>
      <c r="U211" s="106" t="str">
        <f t="shared" si="87"/>
        <v/>
      </c>
      <c r="V211" s="106" t="str">
        <f t="shared" si="88"/>
        <v/>
      </c>
      <c r="W211" s="105" t="str">
        <f t="shared" si="89"/>
        <v/>
      </c>
      <c r="X211" s="104" t="str">
        <f t="shared" si="90"/>
        <v/>
      </c>
      <c r="Y211" s="104" t="str">
        <f t="array" ref="Y211">IFERROR(IF(ISNUMBER(O211),IF(COUNT(IF(A211=$A$2:$A$2427,IF(D211=$D$2:$D$2427,IF($X$2:$X$2427&gt;0,1))))&gt;0,SUM(IF(A211=$A$2:$A$2427,IF(D211=$D$2:$D$2427,$X$2:$X$2427)))/COUNT(IF(A211=$A$2:$A$2427,IF(D211=$D$2:$D$2427,IF(ISNUMBER($X$2:$X$2427),1)))),0),""),0)</f>
        <v/>
      </c>
      <c r="Z211" s="104" t="str">
        <f>IF(ISNUMBER(O211),IF(I211&gt;0,(10^(VLOOKUP(D211,'Species Codes'!B:C,2,0)+VLOOKUP(D211,'Species Codes'!B:D,3,0)*LOG(E211)+VLOOKUP(D211,'Species Codes'!B:E,4,0)*LOG(I211))),0),"")</f>
        <v/>
      </c>
      <c r="AA211" s="104" t="str">
        <f>IFERROR((VLOOKUP(D211,'Species Codes'!B:G,6,0)*Z211)/2000,"")</f>
        <v/>
      </c>
      <c r="AB211" s="104" t="e">
        <f>IF(Z211&gt;0,((IF(OR(D211="DF",D211="RA")=TRUE,EXP(VLOOKUP(D211,'Species Codes'!B:I,8,0)+VLOOKUP(D211,'Species Codes'!B:J,9,0)*(LN((E211*2.54)))),IF(OR(D211="PY",D211="RC",D211="WH",D211="NF")=TRUE,VLOOKUP(D211,'Species Codes'!B:I,8,0)+VLOOKUP(D211,'Species Codes'!B:J,9,0)*((E211*2.54)^2)*(I211*0.3048),IF(OR(D211="MD",D211="BM",D211="GA")=TRUE,((VLOOKUP(D211,'Species Codes'!B:I,8,0)*(((((E211*2.54)+VLOOKUP(D211,'Species Codes'!B:J,9,0))/VLOOKUP(D211,'Species Codes'!B:K,10,0))^VLOOKUP(D211,'Species Codes'!B:L,11,0))*((I211*0.3048)^VLOOKUP(D211,'Species Codes'!B:M,12,0))))-(VLOOKUP(D211,'Species Codes'!B:I,8,0)*((((E211*2.54)^VLOOKUP(D211,'Species Codes'!B:L,11,0))*((I211*0.3048)^VLOOKUP(D211,'Species Codes'!B:M,12,0))))))*35.3*VLOOKUP(D211,'Species Codes'!B:G,6,0)/2.2046,VLOOKUP(D211,'Species Codes'!B:I,8,0)+VLOOKUP(D211,'Species Codes'!B:J,9,0)*(((E211*2.54)/100)^2)*(I211*0.3048)))))*0.0011023),0)</f>
        <v>#N/A</v>
      </c>
      <c r="AC211" s="104" t="e">
        <f>IF(Z211&gt;0,((IF(OR(D211="RA",D211="OA",D211="OT",D211="UN",D211="PC"),EXP(VLOOKUP(D211,'Species Codes'!B:O,14,0)+VLOOKUP(D211,'Species Codes'!B:P,15,0)*LN((E211*2.54)))-EXP(VLOOKUP(D211,'Species Codes'!B:O,14,0)+VLOOKUP(D211,'Species Codes'!B:P,15,0)*LN((E211*2.54)))*(1/(VLOOKUP(D211,'Species Codes'!B:Q,16,0)+VLOOKUP(D211,'Species Codes'!B:R,17,0)*((E211*2.54)^VLOOKUP(D211,'Species Codes'!B:S,18,0)))),IF(OR(D211="BM",D211="MD",D211="OA"),EXP(VLOOKUP(D211,'Species Codes'!B:O,14,0)+VLOOKUP(D211,'Species Codes'!B:P,15,0)*LN((E211*2.54)))*(1-(1/(VLOOKUP(D211,'Species Codes'!B:Q,16,0)+VLOOKUP(D211,'Species Codes'!B:R,17,0)*((E211*2.54)^VLOOKUP(D211,'Species Codes'!B:S,18,0)))))/1000,IF(D211="DF",EXP(VLOOKUP(D211,'Species Codes'!B:O,14,0)+VLOOKUP(D211,'Species Codes'!B:P,15,0)*LN((E211*2.54))),VLOOKUP(D211,'Species Codes'!B:O,14,0)+VLOOKUP(D211,'Species Codes'!B:P,15,0)*(((E211*2.54)/100)^2)*(I211*0.3048)))))*0.0011023),0)</f>
        <v>#N/A</v>
      </c>
      <c r="AD211" s="104" t="e">
        <f t="shared" si="91"/>
        <v>#N/A</v>
      </c>
      <c r="AE211" s="104" t="e">
        <f t="shared" si="92"/>
        <v>#N/A</v>
      </c>
      <c r="AF211" s="104" t="e">
        <f>IF(AND(VLOOKUP($D211,Merchantability!$B:$C,2,0)="Yes",$E211&gt;=VLOOKUP($D211,Merchantability!$B:$D,3,0),$E211&lt;=VLOOKUP($D211,Merchantability!$B:$E,4,0)),AA211,0)</f>
        <v>#N/A</v>
      </c>
      <c r="AG211" s="104" t="e">
        <f>IF(AND(VLOOKUP($D211,Merchantability!$B:$C,2,0)="Yes",$E211&gt;=VLOOKUP($D211,Merchantability!$B:$D,3,0),$E211&lt;=VLOOKUP($D211,Merchantability!$B:$E,4,0)),AB211,0)</f>
        <v>#N/A</v>
      </c>
      <c r="AH211" s="104" t="e">
        <f>IF(AND(VLOOKUP($D211,Merchantability!$B:$C,2,0)="Yes",$E211&gt;=VLOOKUP($D211,Merchantability!$B:$D,3,0),$E211&lt;=VLOOKUP($D211,Merchantability!$B:$E,4,0)),AC211,0)</f>
        <v>#N/A</v>
      </c>
      <c r="AI211" s="104" t="e">
        <f t="shared" si="93"/>
        <v>#N/A</v>
      </c>
      <c r="AJ211" s="104" t="e">
        <f t="shared" si="94"/>
        <v>#VALUE!</v>
      </c>
      <c r="AK211" s="104" t="e">
        <f t="shared" si="95"/>
        <v>#N/A</v>
      </c>
      <c r="AL211" s="104" t="e">
        <f t="shared" si="96"/>
        <v>#N/A</v>
      </c>
      <c r="AM211" s="104" t="e">
        <f t="shared" si="97"/>
        <v>#N/A</v>
      </c>
      <c r="AN211" s="104" t="e">
        <f t="shared" si="98"/>
        <v>#N/A</v>
      </c>
      <c r="AO211" s="104" t="e">
        <f t="shared" si="99"/>
        <v>#N/A</v>
      </c>
      <c r="AP211" s="104" t="e">
        <f t="shared" si="100"/>
        <v>#N/A</v>
      </c>
      <c r="AQ211" s="104" t="e">
        <f t="shared" si="101"/>
        <v>#N/A</v>
      </c>
      <c r="AR211" s="105" t="str">
        <f t="shared" si="102"/>
        <v/>
      </c>
      <c r="AS211" s="105" t="str">
        <f t="shared" si="103"/>
        <v/>
      </c>
      <c r="AT211" s="108" t="str">
        <f t="shared" si="104"/>
        <v/>
      </c>
      <c r="AU211" s="108" t="str">
        <f t="shared" si="105"/>
        <v/>
      </c>
      <c r="AV211" s="107" t="str">
        <f>IF(ISNUMBER(O211),IF(VLOOKUP($A211,Stand!C:J,8,FALSE)="Short",AT211,AU211),"")</f>
        <v/>
      </c>
      <c r="AW211" s="109" t="str">
        <f t="shared" si="106"/>
        <v/>
      </c>
      <c r="AX211" s="109" t="str">
        <f t="shared" si="107"/>
        <v/>
      </c>
      <c r="AY211" s="112" t="str">
        <f>IF(ISNUMBER(O211),IF(AND(VLOOKUP($D211,Merchantability!$B:$C,2,0)="Yes",$E211&gt;=VLOOKUP($D211,Merchantability!$B:$D,3,0),$E211&lt;=VLOOKUP($D211,Merchantability!$B:$E,4,0)),(AV211*O211)*(1-$H211/100),""),"")</f>
        <v/>
      </c>
      <c r="AZ211" s="116"/>
      <c r="BA211" s="116"/>
      <c r="BB211" s="116"/>
      <c r="BE211" s="62"/>
      <c r="BF211" s="63"/>
    </row>
    <row r="212" spans="1:58" ht="12.75" customHeight="1" x14ac:dyDescent="0.25">
      <c r="A212" s="384"/>
      <c r="B212" s="380"/>
      <c r="C212" s="381"/>
      <c r="D212" s="380"/>
      <c r="E212" s="382"/>
      <c r="F212" s="331"/>
      <c r="G212" s="329"/>
      <c r="H212" s="329"/>
      <c r="I212" s="380"/>
      <c r="J212" s="381"/>
      <c r="K212" s="329"/>
      <c r="L212" s="329"/>
      <c r="M212" s="76"/>
      <c r="N212" s="103" t="str">
        <f>IF(A212="","",VLOOKUP(A212,Stand!C:K,9,0))</f>
        <v/>
      </c>
      <c r="O212" s="104" t="str">
        <f t="shared" si="81"/>
        <v/>
      </c>
      <c r="P212" s="105" t="str">
        <f t="shared" si="82"/>
        <v/>
      </c>
      <c r="Q212" s="105" t="str">
        <f t="shared" si="83"/>
        <v/>
      </c>
      <c r="R212" s="103" t="str">
        <f t="shared" si="84"/>
        <v/>
      </c>
      <c r="S212" s="103" t="str">
        <f t="shared" si="85"/>
        <v/>
      </c>
      <c r="T212" s="106" t="str">
        <f t="shared" si="86"/>
        <v/>
      </c>
      <c r="U212" s="106" t="str">
        <f t="shared" si="87"/>
        <v/>
      </c>
      <c r="V212" s="106" t="str">
        <f t="shared" si="88"/>
        <v/>
      </c>
      <c r="W212" s="105" t="str">
        <f t="shared" si="89"/>
        <v/>
      </c>
      <c r="X212" s="104" t="str">
        <f t="shared" si="90"/>
        <v/>
      </c>
      <c r="Y212" s="104" t="str">
        <f t="array" ref="Y212">IFERROR(IF(ISNUMBER(O212),IF(COUNT(IF(A212=$A$2:$A$2427,IF(D212=$D$2:$D$2427,IF($X$2:$X$2427&gt;0,1))))&gt;0,SUM(IF(A212=$A$2:$A$2427,IF(D212=$D$2:$D$2427,$X$2:$X$2427)))/COUNT(IF(A212=$A$2:$A$2427,IF(D212=$D$2:$D$2427,IF(ISNUMBER($X$2:$X$2427),1)))),0),""),0)</f>
        <v/>
      </c>
      <c r="Z212" s="104" t="str">
        <f>IF(ISNUMBER(O212),IF(I212&gt;0,(10^(VLOOKUP(D212,'Species Codes'!B:C,2,0)+VLOOKUP(D212,'Species Codes'!B:D,3,0)*LOG(E212)+VLOOKUP(D212,'Species Codes'!B:E,4,0)*LOG(I212))),0),"")</f>
        <v/>
      </c>
      <c r="AA212" s="104" t="str">
        <f>IFERROR((VLOOKUP(D212,'Species Codes'!B:G,6,0)*Z212)/2000,"")</f>
        <v/>
      </c>
      <c r="AB212" s="104" t="e">
        <f>IF(Z212&gt;0,((IF(OR(D212="DF",D212="RA")=TRUE,EXP(VLOOKUP(D212,'Species Codes'!B:I,8,0)+VLOOKUP(D212,'Species Codes'!B:J,9,0)*(LN((E212*2.54)))),IF(OR(D212="PY",D212="RC",D212="WH",D212="NF")=TRUE,VLOOKUP(D212,'Species Codes'!B:I,8,0)+VLOOKUP(D212,'Species Codes'!B:J,9,0)*((E212*2.54)^2)*(I212*0.3048),IF(OR(D212="MD",D212="BM",D212="GA")=TRUE,((VLOOKUP(D212,'Species Codes'!B:I,8,0)*(((((E212*2.54)+VLOOKUP(D212,'Species Codes'!B:J,9,0))/VLOOKUP(D212,'Species Codes'!B:K,10,0))^VLOOKUP(D212,'Species Codes'!B:L,11,0))*((I212*0.3048)^VLOOKUP(D212,'Species Codes'!B:M,12,0))))-(VLOOKUP(D212,'Species Codes'!B:I,8,0)*((((E212*2.54)^VLOOKUP(D212,'Species Codes'!B:L,11,0))*((I212*0.3048)^VLOOKUP(D212,'Species Codes'!B:M,12,0))))))*35.3*VLOOKUP(D212,'Species Codes'!B:G,6,0)/2.2046,VLOOKUP(D212,'Species Codes'!B:I,8,0)+VLOOKUP(D212,'Species Codes'!B:J,9,0)*(((E212*2.54)/100)^2)*(I212*0.3048)))))*0.0011023),0)</f>
        <v>#N/A</v>
      </c>
      <c r="AC212" s="104" t="e">
        <f>IF(Z212&gt;0,((IF(OR(D212="RA",D212="OA",D212="OT",D212="UN",D212="PC"),EXP(VLOOKUP(D212,'Species Codes'!B:O,14,0)+VLOOKUP(D212,'Species Codes'!B:P,15,0)*LN((E212*2.54)))-EXP(VLOOKUP(D212,'Species Codes'!B:O,14,0)+VLOOKUP(D212,'Species Codes'!B:P,15,0)*LN((E212*2.54)))*(1/(VLOOKUP(D212,'Species Codes'!B:Q,16,0)+VLOOKUP(D212,'Species Codes'!B:R,17,0)*((E212*2.54)^VLOOKUP(D212,'Species Codes'!B:S,18,0)))),IF(OR(D212="BM",D212="MD",D212="OA"),EXP(VLOOKUP(D212,'Species Codes'!B:O,14,0)+VLOOKUP(D212,'Species Codes'!B:P,15,0)*LN((E212*2.54)))*(1-(1/(VLOOKUP(D212,'Species Codes'!B:Q,16,0)+VLOOKUP(D212,'Species Codes'!B:R,17,0)*((E212*2.54)^VLOOKUP(D212,'Species Codes'!B:S,18,0)))))/1000,IF(D212="DF",EXP(VLOOKUP(D212,'Species Codes'!B:O,14,0)+VLOOKUP(D212,'Species Codes'!B:P,15,0)*LN((E212*2.54))),VLOOKUP(D212,'Species Codes'!B:O,14,0)+VLOOKUP(D212,'Species Codes'!B:P,15,0)*(((E212*2.54)/100)^2)*(I212*0.3048)))))*0.0011023),0)</f>
        <v>#N/A</v>
      </c>
      <c r="AD212" s="104" t="e">
        <f t="shared" si="91"/>
        <v>#N/A</v>
      </c>
      <c r="AE212" s="104" t="e">
        <f t="shared" si="92"/>
        <v>#N/A</v>
      </c>
      <c r="AF212" s="104" t="e">
        <f>IF(AND(VLOOKUP($D212,Merchantability!$B:$C,2,0)="Yes",$E212&gt;=VLOOKUP($D212,Merchantability!$B:$D,3,0),$E212&lt;=VLOOKUP($D212,Merchantability!$B:$E,4,0)),AA212,0)</f>
        <v>#N/A</v>
      </c>
      <c r="AG212" s="104" t="e">
        <f>IF(AND(VLOOKUP($D212,Merchantability!$B:$C,2,0)="Yes",$E212&gt;=VLOOKUP($D212,Merchantability!$B:$D,3,0),$E212&lt;=VLOOKUP($D212,Merchantability!$B:$E,4,0)),AB212,0)</f>
        <v>#N/A</v>
      </c>
      <c r="AH212" s="104" t="e">
        <f>IF(AND(VLOOKUP($D212,Merchantability!$B:$C,2,0)="Yes",$E212&gt;=VLOOKUP($D212,Merchantability!$B:$D,3,0),$E212&lt;=VLOOKUP($D212,Merchantability!$B:$E,4,0)),AC212,0)</f>
        <v>#N/A</v>
      </c>
      <c r="AI212" s="104" t="e">
        <f t="shared" si="93"/>
        <v>#N/A</v>
      </c>
      <c r="AJ212" s="104" t="e">
        <f t="shared" si="94"/>
        <v>#VALUE!</v>
      </c>
      <c r="AK212" s="104" t="e">
        <f t="shared" si="95"/>
        <v>#N/A</v>
      </c>
      <c r="AL212" s="104" t="e">
        <f t="shared" si="96"/>
        <v>#N/A</v>
      </c>
      <c r="AM212" s="104" t="e">
        <f t="shared" si="97"/>
        <v>#N/A</v>
      </c>
      <c r="AN212" s="104" t="e">
        <f t="shared" si="98"/>
        <v>#N/A</v>
      </c>
      <c r="AO212" s="104" t="e">
        <f t="shared" si="99"/>
        <v>#N/A</v>
      </c>
      <c r="AP212" s="104" t="e">
        <f t="shared" si="100"/>
        <v>#N/A</v>
      </c>
      <c r="AQ212" s="104" t="e">
        <f t="shared" si="101"/>
        <v>#N/A</v>
      </c>
      <c r="AR212" s="105" t="str">
        <f t="shared" si="102"/>
        <v/>
      </c>
      <c r="AS212" s="105" t="str">
        <f t="shared" si="103"/>
        <v/>
      </c>
      <c r="AT212" s="108" t="str">
        <f t="shared" si="104"/>
        <v/>
      </c>
      <c r="AU212" s="108" t="str">
        <f t="shared" si="105"/>
        <v/>
      </c>
      <c r="AV212" s="107" t="str">
        <f>IF(ISNUMBER(O212),IF(VLOOKUP($A212,Stand!C:J,8,FALSE)="Short",AT212,AU212),"")</f>
        <v/>
      </c>
      <c r="AW212" s="109" t="str">
        <f t="shared" si="106"/>
        <v/>
      </c>
      <c r="AX212" s="109" t="str">
        <f t="shared" si="107"/>
        <v/>
      </c>
      <c r="AY212" s="112" t="str">
        <f>IF(ISNUMBER(O212),IF(AND(VLOOKUP($D212,Merchantability!$B:$C,2,0)="Yes",$E212&gt;=VLOOKUP($D212,Merchantability!$B:$D,3,0),$E212&lt;=VLOOKUP($D212,Merchantability!$B:$E,4,0)),(AV212*O212)*(1-$H212/100),""),"")</f>
        <v/>
      </c>
      <c r="AZ212" s="116"/>
      <c r="BA212" s="116"/>
      <c r="BB212" s="116"/>
      <c r="BE212" s="62"/>
      <c r="BF212" s="63"/>
    </row>
    <row r="213" spans="1:58" ht="12.75" customHeight="1" x14ac:dyDescent="0.25">
      <c r="A213" s="384"/>
      <c r="B213" s="380"/>
      <c r="C213" s="381"/>
      <c r="D213" s="380"/>
      <c r="E213" s="382"/>
      <c r="F213" s="331"/>
      <c r="G213" s="329"/>
      <c r="H213" s="329"/>
      <c r="I213" s="380"/>
      <c r="J213" s="381"/>
      <c r="K213" s="329"/>
      <c r="L213" s="329"/>
      <c r="M213" s="76"/>
      <c r="N213" s="103" t="str">
        <f>IF(A213="","",VLOOKUP(A213,Stand!C:K,9,0))</f>
        <v/>
      </c>
      <c r="O213" s="104" t="str">
        <f t="shared" si="81"/>
        <v/>
      </c>
      <c r="P213" s="105" t="str">
        <f t="shared" si="82"/>
        <v/>
      </c>
      <c r="Q213" s="105" t="str">
        <f t="shared" si="83"/>
        <v/>
      </c>
      <c r="R213" s="103" t="str">
        <f t="shared" si="84"/>
        <v/>
      </c>
      <c r="S213" s="103" t="str">
        <f t="shared" si="85"/>
        <v/>
      </c>
      <c r="T213" s="106" t="str">
        <f t="shared" si="86"/>
        <v/>
      </c>
      <c r="U213" s="106" t="str">
        <f t="shared" si="87"/>
        <v/>
      </c>
      <c r="V213" s="106" t="str">
        <f t="shared" si="88"/>
        <v/>
      </c>
      <c r="W213" s="105" t="str">
        <f t="shared" si="89"/>
        <v/>
      </c>
      <c r="X213" s="104" t="str">
        <f t="shared" si="90"/>
        <v/>
      </c>
      <c r="Y213" s="104" t="str">
        <f t="array" ref="Y213">IFERROR(IF(ISNUMBER(O213),IF(COUNT(IF(A213=$A$2:$A$2427,IF(D213=$D$2:$D$2427,IF($X$2:$X$2427&gt;0,1))))&gt;0,SUM(IF(A213=$A$2:$A$2427,IF(D213=$D$2:$D$2427,$X$2:$X$2427)))/COUNT(IF(A213=$A$2:$A$2427,IF(D213=$D$2:$D$2427,IF(ISNUMBER($X$2:$X$2427),1)))),0),""),0)</f>
        <v/>
      </c>
      <c r="Z213" s="104" t="str">
        <f>IF(ISNUMBER(O213),IF(I213&gt;0,(10^(VLOOKUP(D213,'Species Codes'!B:C,2,0)+VLOOKUP(D213,'Species Codes'!B:D,3,0)*LOG(E213)+VLOOKUP(D213,'Species Codes'!B:E,4,0)*LOG(I213))),0),"")</f>
        <v/>
      </c>
      <c r="AA213" s="104" t="str">
        <f>IFERROR((VLOOKUP(D213,'Species Codes'!B:G,6,0)*Z213)/2000,"")</f>
        <v/>
      </c>
      <c r="AB213" s="104" t="e">
        <f>IF(Z213&gt;0,((IF(OR(D213="DF",D213="RA")=TRUE,EXP(VLOOKUP(D213,'Species Codes'!B:I,8,0)+VLOOKUP(D213,'Species Codes'!B:J,9,0)*(LN((E213*2.54)))),IF(OR(D213="PY",D213="RC",D213="WH",D213="NF")=TRUE,VLOOKUP(D213,'Species Codes'!B:I,8,0)+VLOOKUP(D213,'Species Codes'!B:J,9,0)*((E213*2.54)^2)*(I213*0.3048),IF(OR(D213="MD",D213="BM",D213="GA")=TRUE,((VLOOKUP(D213,'Species Codes'!B:I,8,0)*(((((E213*2.54)+VLOOKUP(D213,'Species Codes'!B:J,9,0))/VLOOKUP(D213,'Species Codes'!B:K,10,0))^VLOOKUP(D213,'Species Codes'!B:L,11,0))*((I213*0.3048)^VLOOKUP(D213,'Species Codes'!B:M,12,0))))-(VLOOKUP(D213,'Species Codes'!B:I,8,0)*((((E213*2.54)^VLOOKUP(D213,'Species Codes'!B:L,11,0))*((I213*0.3048)^VLOOKUP(D213,'Species Codes'!B:M,12,0))))))*35.3*VLOOKUP(D213,'Species Codes'!B:G,6,0)/2.2046,VLOOKUP(D213,'Species Codes'!B:I,8,0)+VLOOKUP(D213,'Species Codes'!B:J,9,0)*(((E213*2.54)/100)^2)*(I213*0.3048)))))*0.0011023),0)</f>
        <v>#N/A</v>
      </c>
      <c r="AC213" s="104" t="e">
        <f>IF(Z213&gt;0,((IF(OR(D213="RA",D213="OA",D213="OT",D213="UN",D213="PC"),EXP(VLOOKUP(D213,'Species Codes'!B:O,14,0)+VLOOKUP(D213,'Species Codes'!B:P,15,0)*LN((E213*2.54)))-EXP(VLOOKUP(D213,'Species Codes'!B:O,14,0)+VLOOKUP(D213,'Species Codes'!B:P,15,0)*LN((E213*2.54)))*(1/(VLOOKUP(D213,'Species Codes'!B:Q,16,0)+VLOOKUP(D213,'Species Codes'!B:R,17,0)*((E213*2.54)^VLOOKUP(D213,'Species Codes'!B:S,18,0)))),IF(OR(D213="BM",D213="MD",D213="OA"),EXP(VLOOKUP(D213,'Species Codes'!B:O,14,0)+VLOOKUP(D213,'Species Codes'!B:P,15,0)*LN((E213*2.54)))*(1-(1/(VLOOKUP(D213,'Species Codes'!B:Q,16,0)+VLOOKUP(D213,'Species Codes'!B:R,17,0)*((E213*2.54)^VLOOKUP(D213,'Species Codes'!B:S,18,0)))))/1000,IF(D213="DF",EXP(VLOOKUP(D213,'Species Codes'!B:O,14,0)+VLOOKUP(D213,'Species Codes'!B:P,15,0)*LN((E213*2.54))),VLOOKUP(D213,'Species Codes'!B:O,14,0)+VLOOKUP(D213,'Species Codes'!B:P,15,0)*(((E213*2.54)/100)^2)*(I213*0.3048)))))*0.0011023),0)</f>
        <v>#N/A</v>
      </c>
      <c r="AD213" s="104" t="e">
        <f t="shared" si="91"/>
        <v>#N/A</v>
      </c>
      <c r="AE213" s="104" t="e">
        <f t="shared" si="92"/>
        <v>#N/A</v>
      </c>
      <c r="AF213" s="104" t="e">
        <f>IF(AND(VLOOKUP($D213,Merchantability!$B:$C,2,0)="Yes",$E213&gt;=VLOOKUP($D213,Merchantability!$B:$D,3,0),$E213&lt;=VLOOKUP($D213,Merchantability!$B:$E,4,0)),AA213,0)</f>
        <v>#N/A</v>
      </c>
      <c r="AG213" s="104" t="e">
        <f>IF(AND(VLOOKUP($D213,Merchantability!$B:$C,2,0)="Yes",$E213&gt;=VLOOKUP($D213,Merchantability!$B:$D,3,0),$E213&lt;=VLOOKUP($D213,Merchantability!$B:$E,4,0)),AB213,0)</f>
        <v>#N/A</v>
      </c>
      <c r="AH213" s="104" t="e">
        <f>IF(AND(VLOOKUP($D213,Merchantability!$B:$C,2,0)="Yes",$E213&gt;=VLOOKUP($D213,Merchantability!$B:$D,3,0),$E213&lt;=VLOOKUP($D213,Merchantability!$B:$E,4,0)),AC213,0)</f>
        <v>#N/A</v>
      </c>
      <c r="AI213" s="104" t="e">
        <f t="shared" si="93"/>
        <v>#N/A</v>
      </c>
      <c r="AJ213" s="104" t="e">
        <f t="shared" si="94"/>
        <v>#VALUE!</v>
      </c>
      <c r="AK213" s="104" t="e">
        <f t="shared" si="95"/>
        <v>#N/A</v>
      </c>
      <c r="AL213" s="104" t="e">
        <f t="shared" si="96"/>
        <v>#N/A</v>
      </c>
      <c r="AM213" s="104" t="e">
        <f t="shared" si="97"/>
        <v>#N/A</v>
      </c>
      <c r="AN213" s="104" t="e">
        <f t="shared" si="98"/>
        <v>#N/A</v>
      </c>
      <c r="AO213" s="104" t="e">
        <f t="shared" si="99"/>
        <v>#N/A</v>
      </c>
      <c r="AP213" s="104" t="e">
        <f t="shared" si="100"/>
        <v>#N/A</v>
      </c>
      <c r="AQ213" s="104" t="e">
        <f t="shared" si="101"/>
        <v>#N/A</v>
      </c>
      <c r="AR213" s="105" t="str">
        <f t="shared" si="102"/>
        <v/>
      </c>
      <c r="AS213" s="105" t="str">
        <f t="shared" si="103"/>
        <v/>
      </c>
      <c r="AT213" s="108" t="str">
        <f t="shared" si="104"/>
        <v/>
      </c>
      <c r="AU213" s="108" t="str">
        <f t="shared" si="105"/>
        <v/>
      </c>
      <c r="AV213" s="107" t="str">
        <f>IF(ISNUMBER(O213),IF(VLOOKUP($A213,Stand!C:J,8,FALSE)="Short",AT213,AU213),"")</f>
        <v/>
      </c>
      <c r="AW213" s="109" t="str">
        <f t="shared" si="106"/>
        <v/>
      </c>
      <c r="AX213" s="109" t="str">
        <f t="shared" si="107"/>
        <v/>
      </c>
      <c r="AY213" s="112" t="str">
        <f>IF(ISNUMBER(O213),IF(AND(VLOOKUP($D213,Merchantability!$B:$C,2,0)="Yes",$E213&gt;=VLOOKUP($D213,Merchantability!$B:$D,3,0),$E213&lt;=VLOOKUP($D213,Merchantability!$B:$E,4,0)),(AV213*O213)*(1-$H213/100),""),"")</f>
        <v/>
      </c>
      <c r="AZ213" s="116"/>
      <c r="BA213" s="116"/>
      <c r="BB213" s="116"/>
      <c r="BE213" s="62"/>
      <c r="BF213" s="63"/>
    </row>
    <row r="214" spans="1:58" ht="12.75" customHeight="1" x14ac:dyDescent="0.25">
      <c r="A214" s="384"/>
      <c r="B214" s="380"/>
      <c r="C214" s="381"/>
      <c r="D214" s="380"/>
      <c r="E214" s="382"/>
      <c r="F214" s="331"/>
      <c r="G214" s="329"/>
      <c r="H214" s="329"/>
      <c r="I214" s="380"/>
      <c r="J214" s="381"/>
      <c r="K214" s="329"/>
      <c r="L214" s="329"/>
      <c r="M214" s="76"/>
      <c r="N214" s="103" t="str">
        <f>IF(A214="","",VLOOKUP(A214,Stand!C:K,9,0))</f>
        <v/>
      </c>
      <c r="O214" s="104" t="str">
        <f t="shared" si="81"/>
        <v/>
      </c>
      <c r="P214" s="105" t="str">
        <f t="shared" si="82"/>
        <v/>
      </c>
      <c r="Q214" s="105" t="str">
        <f t="shared" si="83"/>
        <v/>
      </c>
      <c r="R214" s="103" t="str">
        <f t="shared" si="84"/>
        <v/>
      </c>
      <c r="S214" s="103" t="str">
        <f t="shared" si="85"/>
        <v/>
      </c>
      <c r="T214" s="106" t="str">
        <f t="shared" si="86"/>
        <v/>
      </c>
      <c r="U214" s="106" t="str">
        <f t="shared" si="87"/>
        <v/>
      </c>
      <c r="V214" s="106" t="str">
        <f t="shared" si="88"/>
        <v/>
      </c>
      <c r="W214" s="105" t="str">
        <f t="shared" si="89"/>
        <v/>
      </c>
      <c r="X214" s="104" t="str">
        <f t="shared" si="90"/>
        <v/>
      </c>
      <c r="Y214" s="104" t="str">
        <f t="array" ref="Y214">IFERROR(IF(ISNUMBER(O214),IF(COUNT(IF(A214=$A$2:$A$2427,IF(D214=$D$2:$D$2427,IF($X$2:$X$2427&gt;0,1))))&gt;0,SUM(IF(A214=$A$2:$A$2427,IF(D214=$D$2:$D$2427,$X$2:$X$2427)))/COUNT(IF(A214=$A$2:$A$2427,IF(D214=$D$2:$D$2427,IF(ISNUMBER($X$2:$X$2427),1)))),0),""),0)</f>
        <v/>
      </c>
      <c r="Z214" s="104" t="str">
        <f>IF(ISNUMBER(O214),IF(I214&gt;0,(10^(VLOOKUP(D214,'Species Codes'!B:C,2,0)+VLOOKUP(D214,'Species Codes'!B:D,3,0)*LOG(E214)+VLOOKUP(D214,'Species Codes'!B:E,4,0)*LOG(I214))),0),"")</f>
        <v/>
      </c>
      <c r="AA214" s="104" t="str">
        <f>IFERROR((VLOOKUP(D214,'Species Codes'!B:G,6,0)*Z214)/2000,"")</f>
        <v/>
      </c>
      <c r="AB214" s="104" t="e">
        <f>IF(Z214&gt;0,((IF(OR(D214="DF",D214="RA")=TRUE,EXP(VLOOKUP(D214,'Species Codes'!B:I,8,0)+VLOOKUP(D214,'Species Codes'!B:J,9,0)*(LN((E214*2.54)))),IF(OR(D214="PY",D214="RC",D214="WH",D214="NF")=TRUE,VLOOKUP(D214,'Species Codes'!B:I,8,0)+VLOOKUP(D214,'Species Codes'!B:J,9,0)*((E214*2.54)^2)*(I214*0.3048),IF(OR(D214="MD",D214="BM",D214="GA")=TRUE,((VLOOKUP(D214,'Species Codes'!B:I,8,0)*(((((E214*2.54)+VLOOKUP(D214,'Species Codes'!B:J,9,0))/VLOOKUP(D214,'Species Codes'!B:K,10,0))^VLOOKUP(D214,'Species Codes'!B:L,11,0))*((I214*0.3048)^VLOOKUP(D214,'Species Codes'!B:M,12,0))))-(VLOOKUP(D214,'Species Codes'!B:I,8,0)*((((E214*2.54)^VLOOKUP(D214,'Species Codes'!B:L,11,0))*((I214*0.3048)^VLOOKUP(D214,'Species Codes'!B:M,12,0))))))*35.3*VLOOKUP(D214,'Species Codes'!B:G,6,0)/2.2046,VLOOKUP(D214,'Species Codes'!B:I,8,0)+VLOOKUP(D214,'Species Codes'!B:J,9,0)*(((E214*2.54)/100)^2)*(I214*0.3048)))))*0.0011023),0)</f>
        <v>#N/A</v>
      </c>
      <c r="AC214" s="104" t="e">
        <f>IF(Z214&gt;0,((IF(OR(D214="RA",D214="OA",D214="OT",D214="UN",D214="PC"),EXP(VLOOKUP(D214,'Species Codes'!B:O,14,0)+VLOOKUP(D214,'Species Codes'!B:P,15,0)*LN((E214*2.54)))-EXP(VLOOKUP(D214,'Species Codes'!B:O,14,0)+VLOOKUP(D214,'Species Codes'!B:P,15,0)*LN((E214*2.54)))*(1/(VLOOKUP(D214,'Species Codes'!B:Q,16,0)+VLOOKUP(D214,'Species Codes'!B:R,17,0)*((E214*2.54)^VLOOKUP(D214,'Species Codes'!B:S,18,0)))),IF(OR(D214="BM",D214="MD",D214="OA"),EXP(VLOOKUP(D214,'Species Codes'!B:O,14,0)+VLOOKUP(D214,'Species Codes'!B:P,15,0)*LN((E214*2.54)))*(1-(1/(VLOOKUP(D214,'Species Codes'!B:Q,16,0)+VLOOKUP(D214,'Species Codes'!B:R,17,0)*((E214*2.54)^VLOOKUP(D214,'Species Codes'!B:S,18,0)))))/1000,IF(D214="DF",EXP(VLOOKUP(D214,'Species Codes'!B:O,14,0)+VLOOKUP(D214,'Species Codes'!B:P,15,0)*LN((E214*2.54))),VLOOKUP(D214,'Species Codes'!B:O,14,0)+VLOOKUP(D214,'Species Codes'!B:P,15,0)*(((E214*2.54)/100)^2)*(I214*0.3048)))))*0.0011023),0)</f>
        <v>#N/A</v>
      </c>
      <c r="AD214" s="104" t="e">
        <f t="shared" si="91"/>
        <v>#N/A</v>
      </c>
      <c r="AE214" s="104" t="e">
        <f t="shared" si="92"/>
        <v>#N/A</v>
      </c>
      <c r="AF214" s="104" t="e">
        <f>IF(AND(VLOOKUP($D214,Merchantability!$B:$C,2,0)="Yes",$E214&gt;=VLOOKUP($D214,Merchantability!$B:$D,3,0),$E214&lt;=VLOOKUP($D214,Merchantability!$B:$E,4,0)),AA214,0)</f>
        <v>#N/A</v>
      </c>
      <c r="AG214" s="104" t="e">
        <f>IF(AND(VLOOKUP($D214,Merchantability!$B:$C,2,0)="Yes",$E214&gt;=VLOOKUP($D214,Merchantability!$B:$D,3,0),$E214&lt;=VLOOKUP($D214,Merchantability!$B:$E,4,0)),AB214,0)</f>
        <v>#N/A</v>
      </c>
      <c r="AH214" s="104" t="e">
        <f>IF(AND(VLOOKUP($D214,Merchantability!$B:$C,2,0)="Yes",$E214&gt;=VLOOKUP($D214,Merchantability!$B:$D,3,0),$E214&lt;=VLOOKUP($D214,Merchantability!$B:$E,4,0)),AC214,0)</f>
        <v>#N/A</v>
      </c>
      <c r="AI214" s="104" t="e">
        <f t="shared" si="93"/>
        <v>#N/A</v>
      </c>
      <c r="AJ214" s="104" t="e">
        <f t="shared" si="94"/>
        <v>#VALUE!</v>
      </c>
      <c r="AK214" s="104" t="e">
        <f t="shared" si="95"/>
        <v>#N/A</v>
      </c>
      <c r="AL214" s="104" t="e">
        <f t="shared" si="96"/>
        <v>#N/A</v>
      </c>
      <c r="AM214" s="104" t="e">
        <f t="shared" si="97"/>
        <v>#N/A</v>
      </c>
      <c r="AN214" s="104" t="e">
        <f t="shared" si="98"/>
        <v>#N/A</v>
      </c>
      <c r="AO214" s="104" t="e">
        <f t="shared" si="99"/>
        <v>#N/A</v>
      </c>
      <c r="AP214" s="104" t="e">
        <f t="shared" si="100"/>
        <v>#N/A</v>
      </c>
      <c r="AQ214" s="104" t="e">
        <f t="shared" si="101"/>
        <v>#N/A</v>
      </c>
      <c r="AR214" s="105" t="str">
        <f t="shared" si="102"/>
        <v/>
      </c>
      <c r="AS214" s="105" t="str">
        <f t="shared" si="103"/>
        <v/>
      </c>
      <c r="AT214" s="108" t="str">
        <f t="shared" si="104"/>
        <v/>
      </c>
      <c r="AU214" s="108" t="str">
        <f t="shared" si="105"/>
        <v/>
      </c>
      <c r="AV214" s="107" t="str">
        <f>IF(ISNUMBER(O214),IF(VLOOKUP($A214,Stand!C:J,8,FALSE)="Short",AT214,AU214),"")</f>
        <v/>
      </c>
      <c r="AW214" s="109" t="str">
        <f t="shared" si="106"/>
        <v/>
      </c>
      <c r="AX214" s="109" t="str">
        <f t="shared" si="107"/>
        <v/>
      </c>
      <c r="AY214" s="112" t="str">
        <f>IF(ISNUMBER(O214),IF(AND(VLOOKUP($D214,Merchantability!$B:$C,2,0)="Yes",$E214&gt;=VLOOKUP($D214,Merchantability!$B:$D,3,0),$E214&lt;=VLOOKUP($D214,Merchantability!$B:$E,4,0)),(AV214*O214)*(1-$H214/100),""),"")</f>
        <v/>
      </c>
      <c r="AZ214" s="116"/>
      <c r="BA214" s="116"/>
      <c r="BB214" s="116"/>
      <c r="BE214" s="62"/>
      <c r="BF214" s="63"/>
    </row>
    <row r="215" spans="1:58" ht="12.75" customHeight="1" x14ac:dyDescent="0.25">
      <c r="A215" s="313"/>
      <c r="B215" s="380"/>
      <c r="C215" s="381"/>
      <c r="D215" s="380"/>
      <c r="E215" s="382"/>
      <c r="F215" s="331"/>
      <c r="G215" s="329"/>
      <c r="H215" s="329"/>
      <c r="I215" s="380"/>
      <c r="J215" s="381"/>
      <c r="K215" s="329"/>
      <c r="L215" s="329"/>
      <c r="M215" s="76"/>
      <c r="N215" s="103" t="str">
        <f>IF(A215="","",VLOOKUP(A215,Stand!C:K,9,0))</f>
        <v/>
      </c>
      <c r="O215" s="104" t="str">
        <f t="shared" ref="O215:O257" si="108">IF(E215&gt;0,IF(G215&gt;1,G215*(43560/(N215^2*3.14)),43560/(N215^2*3.14)),"")</f>
        <v/>
      </c>
      <c r="P215" s="105" t="str">
        <f t="shared" ref="P215:P257" si="109">IF(ISNUMBER(O215),E215*O215,"")</f>
        <v/>
      </c>
      <c r="Q215" s="105" t="str">
        <f t="shared" ref="Q215:Q220" si="110">IF(AND(ISNUMBER(O215),I215&gt;0),I215*O215,"")</f>
        <v/>
      </c>
      <c r="R215" s="103" t="str">
        <f t="shared" ref="R215:R257" si="111">IF(ISNUMBER(O215),E215^2*0.005454*O215,"")</f>
        <v/>
      </c>
      <c r="S215" s="103" t="str">
        <f t="shared" ref="S215:S257" si="112">IF(ISNUMBER(O215),(E215/10)^1.7*O215,"")</f>
        <v/>
      </c>
      <c r="T215" s="106" t="str">
        <f t="shared" ref="T215:T220" si="113">IF(AND(ISNUMBER(O215),J215&gt;0),J215/100,"")</f>
        <v/>
      </c>
      <c r="U215" s="106" t="str">
        <f t="shared" ref="U215:U220" si="114">IF(AND(ISNUMBER(O215),J215&gt;0),T215*O215,"")</f>
        <v/>
      </c>
      <c r="V215" s="106" t="str">
        <f t="shared" ref="V215:V220" si="115">IF(AND(ISNUMBER(O215),I215&gt;0),W215*O215,"")</f>
        <v/>
      </c>
      <c r="W215" s="105" t="str">
        <f t="shared" ref="W215:W257" si="116">IF(AND(ISNUMBER(O215),I215&gt;0),I215/(E215/12),"")</f>
        <v/>
      </c>
      <c r="X215" s="104" t="str">
        <f t="shared" ref="X215:X258" si="117">IF(ISNUMBER(O215),IF(I215&gt;0,IF(E215&gt;0,(0.912733*Z215)/(1.033*(1+1.382937*EXP(-4.015292*E215/10))*((E215^2)*0.005454+0.087266)-0.174533),""),""),"")</f>
        <v/>
      </c>
      <c r="Y215" s="104" t="str">
        <f t="array" ref="Y215">IFERROR(IF(ISNUMBER(O215),IF(COUNT(IF(A215=$A$2:$A$2427,IF(D215=$D$2:$D$2427,IF($X$2:$X$2427&gt;0,1))))&gt;0,SUM(IF(A215=$A$2:$A$2427,IF(D215=$D$2:$D$2427,$X$2:$X$2427)))/COUNT(IF(A215=$A$2:$A$2427,IF(D215=$D$2:$D$2427,IF(ISNUMBER($X$2:$X$2427),1)))),0),""),0)</f>
        <v/>
      </c>
      <c r="Z215" s="104" t="str">
        <f>IF(ISNUMBER(O215),IF(I215&gt;0,(10^(VLOOKUP(D215,'Species Codes'!B:C,2,0)+VLOOKUP(D215,'Species Codes'!B:D,3,0)*LOG(E215)+VLOOKUP(D215,'Species Codes'!B:E,4,0)*LOG(I215))),0),"")</f>
        <v/>
      </c>
      <c r="AA215" s="104" t="str">
        <f>IFERROR((VLOOKUP(D215,'Species Codes'!B:G,6,0)*Z215)/2000,"")</f>
        <v/>
      </c>
      <c r="AB215" s="104" t="e">
        <f>IF(Z215&gt;0,((IF(OR(D215="DF",D215="RA")=TRUE,EXP(VLOOKUP(D215,'Species Codes'!B:I,8,0)+VLOOKUP(D215,'Species Codes'!B:J,9,0)*(LN((E215*2.54)))),IF(OR(D215="PY",D215="RC",D215="WH",D215="NF")=TRUE,VLOOKUP(D215,'Species Codes'!B:I,8,0)+VLOOKUP(D215,'Species Codes'!B:J,9,0)*((E215*2.54)^2)*(I215*0.3048),IF(OR(D215="MD",D215="BM",D215="GA")=TRUE,((VLOOKUP(D215,'Species Codes'!B:I,8,0)*(((((E215*2.54)+VLOOKUP(D215,'Species Codes'!B:J,9,0))/VLOOKUP(D215,'Species Codes'!B:K,10,0))^VLOOKUP(D215,'Species Codes'!B:L,11,0))*((I215*0.3048)^VLOOKUP(D215,'Species Codes'!B:M,12,0))))-(VLOOKUP(D215,'Species Codes'!B:I,8,0)*((((E215*2.54)^VLOOKUP(D215,'Species Codes'!B:L,11,0))*((I215*0.3048)^VLOOKUP(D215,'Species Codes'!B:M,12,0))))))*35.3*VLOOKUP(D215,'Species Codes'!B:G,6,0)/2.2046,VLOOKUP(D215,'Species Codes'!B:I,8,0)+VLOOKUP(D215,'Species Codes'!B:J,9,0)*(((E215*2.54)/100)^2)*(I215*0.3048)))))*0.0011023),0)</f>
        <v>#N/A</v>
      </c>
      <c r="AC215" s="104" t="e">
        <f>IF(Z215&gt;0,((IF(OR(D215="RA",D215="OA",D215="OT",D215="UN",D215="PC"),EXP(VLOOKUP(D215,'Species Codes'!B:O,14,0)+VLOOKUP(D215,'Species Codes'!B:P,15,0)*LN((E215*2.54)))-EXP(VLOOKUP(D215,'Species Codes'!B:O,14,0)+VLOOKUP(D215,'Species Codes'!B:P,15,0)*LN((E215*2.54)))*(1/(VLOOKUP(D215,'Species Codes'!B:Q,16,0)+VLOOKUP(D215,'Species Codes'!B:R,17,0)*((E215*2.54)^VLOOKUP(D215,'Species Codes'!B:S,18,0)))),IF(OR(D215="BM",D215="MD",D215="OA"),EXP(VLOOKUP(D215,'Species Codes'!B:O,14,0)+VLOOKUP(D215,'Species Codes'!B:P,15,0)*LN((E215*2.54)))*(1-(1/(VLOOKUP(D215,'Species Codes'!B:Q,16,0)+VLOOKUP(D215,'Species Codes'!B:R,17,0)*((E215*2.54)^VLOOKUP(D215,'Species Codes'!B:S,18,0)))))/1000,IF(D215="DF",EXP(VLOOKUP(D215,'Species Codes'!B:O,14,0)+VLOOKUP(D215,'Species Codes'!B:P,15,0)*LN((E215*2.54))),VLOOKUP(D215,'Species Codes'!B:O,14,0)+VLOOKUP(D215,'Species Codes'!B:P,15,0)*(((E215*2.54)/100)^2)*(I215*0.3048)))))*0.0011023),0)</f>
        <v>#N/A</v>
      </c>
      <c r="AD215" s="104" t="e">
        <f t="shared" ref="AD215:AD220" si="118">SUM(AA215:AC215)</f>
        <v>#N/A</v>
      </c>
      <c r="AE215" s="104" t="e">
        <f t="shared" ref="AE215:AE220" si="119">AD215*O215</f>
        <v>#N/A</v>
      </c>
      <c r="AF215" s="104" t="e">
        <f>IF(AND(VLOOKUP($D215,Merchantability!$B:$C,2,0)="Yes",$E215&gt;=VLOOKUP($D215,Merchantability!$B:$D,3,0),$E215&lt;=VLOOKUP($D215,Merchantability!$B:$E,4,0)),AA215,0)</f>
        <v>#N/A</v>
      </c>
      <c r="AG215" s="104" t="e">
        <f>IF(AND(VLOOKUP($D215,Merchantability!$B:$C,2,0)="Yes",$E215&gt;=VLOOKUP($D215,Merchantability!$B:$D,3,0),$E215&lt;=VLOOKUP($D215,Merchantability!$B:$E,4,0)),AB215,0)</f>
        <v>#N/A</v>
      </c>
      <c r="AH215" s="104" t="e">
        <f>IF(AND(VLOOKUP($D215,Merchantability!$B:$C,2,0)="Yes",$E215&gt;=VLOOKUP($D215,Merchantability!$B:$D,3,0),$E215&lt;=VLOOKUP($D215,Merchantability!$B:$E,4,0)),AC215,0)</f>
        <v>#N/A</v>
      </c>
      <c r="AI215" s="104" t="e">
        <f t="shared" ref="AI215:AI220" si="120">SUM(AF215:AH215)</f>
        <v>#N/A</v>
      </c>
      <c r="AJ215" s="104" t="e">
        <f t="shared" ref="AJ215:AJ220" si="121">AA215*$O215</f>
        <v>#VALUE!</v>
      </c>
      <c r="AK215" s="104" t="e">
        <f t="shared" ref="AK215:AK220" si="122">AB215*$O215</f>
        <v>#N/A</v>
      </c>
      <c r="AL215" s="104" t="e">
        <f t="shared" ref="AL215:AL220" si="123">AC215*$O215</f>
        <v>#N/A</v>
      </c>
      <c r="AM215" s="104" t="e">
        <f t="shared" ref="AM215:AM220" si="124">AD215*$O215</f>
        <v>#N/A</v>
      </c>
      <c r="AN215" s="104" t="e">
        <f t="shared" ref="AN215:AN258" si="125">AF215*$O215</f>
        <v>#N/A</v>
      </c>
      <c r="AO215" s="104" t="e">
        <f t="shared" ref="AO215:AO258" si="126">AG215*$O215</f>
        <v>#N/A</v>
      </c>
      <c r="AP215" s="104" t="e">
        <f t="shared" ref="AP215:AP258" si="127">AH215*$O215</f>
        <v>#N/A</v>
      </c>
      <c r="AQ215" s="104" t="e">
        <f t="shared" ref="AQ215:AQ258" si="128">SUM(AN215:AP215)</f>
        <v>#N/A</v>
      </c>
      <c r="AR215" s="105" t="str">
        <f t="shared" ref="AR215:AR257" si="129">IF(ISNUMBER(O215),IF(Y215&gt;0,((Y215*(E215^2*0.005454-0.087266))/0.912733),0),"")</f>
        <v/>
      </c>
      <c r="AS215" s="105" t="str">
        <f t="shared" ref="AS215:AS257" si="130">IF(ISNUMBER(O215),AR215*(0.993-0.993*(0.62^(E215-6))),"")</f>
        <v/>
      </c>
      <c r="AT215" s="108" t="str">
        <f t="shared" ref="AT215:AT257" si="131">IF(ISNUMBER(O215),IF(AS215&gt;0,IF(Y215&gt;0,(AS215*10^(0.174439+0.117594*(LOG(E215,10))*(LOG(Y215/0.912733,10))-8.210585/E215^2+0.236693*(LOG(Y215/0.912733,10))-0.00001345*(Y215/0.912733)^2-0.00001937*E215^2)),0),0),"")</f>
        <v/>
      </c>
      <c r="AU215" s="108" t="str">
        <f t="shared" ref="AU215:AU257" si="132">IF(ISNUMBER(O215),IF(AS215&gt;0,IF(Y215&gt;0,AT215*(1.001491-(6.92497/Y215)+(0.00001351*(E215^2))),0),0),"")</f>
        <v/>
      </c>
      <c r="AV215" s="107" t="str">
        <f>IF(ISNUMBER(O215),IF(VLOOKUP($A215,Stand!C:J,8,FALSE)="Short",AT215,AU215),"")</f>
        <v/>
      </c>
      <c r="AW215" s="109" t="str">
        <f t="shared" ref="AW215:AW258" si="133">IF(ISNUMBER(O215),AV215*O215,"")</f>
        <v/>
      </c>
      <c r="AX215" s="109" t="str">
        <f t="shared" ref="AX215:AX258" si="134">IF(ISNUMBER(O215),AW215*(1-$H215/100),"")</f>
        <v/>
      </c>
      <c r="AY215" s="112" t="str">
        <f>IF(ISNUMBER(O215),IF(AND(VLOOKUP($D215,Merchantability!$B:$C,2,0)="Yes",$E215&gt;=VLOOKUP($D215,Merchantability!$B:$D,3,0),$E215&lt;=VLOOKUP($D215,Merchantability!$B:$E,4,0)),(AV215*O215)*(1-$H215/100),""),"")</f>
        <v/>
      </c>
      <c r="AZ215" s="116"/>
      <c r="BA215" s="116"/>
      <c r="BB215" s="116"/>
      <c r="BE215" s="62"/>
      <c r="BF215" s="63"/>
    </row>
    <row r="216" spans="1:58" ht="12.75" customHeight="1" x14ac:dyDescent="0.25">
      <c r="A216" s="313"/>
      <c r="B216" s="380"/>
      <c r="C216" s="381"/>
      <c r="D216" s="380"/>
      <c r="E216" s="382"/>
      <c r="F216" s="331"/>
      <c r="G216" s="329"/>
      <c r="H216" s="329"/>
      <c r="I216" s="380"/>
      <c r="J216" s="381"/>
      <c r="K216" s="329"/>
      <c r="L216" s="329"/>
      <c r="M216" s="76"/>
      <c r="N216" s="103" t="str">
        <f>IF(A216="","",VLOOKUP(A216,Stand!C:K,9,0))</f>
        <v/>
      </c>
      <c r="O216" s="104" t="str">
        <f t="shared" si="108"/>
        <v/>
      </c>
      <c r="P216" s="105" t="str">
        <f t="shared" si="109"/>
        <v/>
      </c>
      <c r="Q216" s="105" t="str">
        <f t="shared" si="110"/>
        <v/>
      </c>
      <c r="R216" s="103" t="str">
        <f t="shared" si="111"/>
        <v/>
      </c>
      <c r="S216" s="103" t="str">
        <f t="shared" si="112"/>
        <v/>
      </c>
      <c r="T216" s="106" t="str">
        <f t="shared" si="113"/>
        <v/>
      </c>
      <c r="U216" s="106" t="str">
        <f t="shared" si="114"/>
        <v/>
      </c>
      <c r="V216" s="106" t="str">
        <f t="shared" si="115"/>
        <v/>
      </c>
      <c r="W216" s="105" t="str">
        <f t="shared" si="116"/>
        <v/>
      </c>
      <c r="X216" s="104" t="str">
        <f t="shared" si="117"/>
        <v/>
      </c>
      <c r="Y216" s="104" t="str">
        <f t="array" ref="Y216">IFERROR(IF(ISNUMBER(O216),IF(COUNT(IF(A216=$A$2:$A$2427,IF(D216=$D$2:$D$2427,IF($X$2:$X$2427&gt;0,1))))&gt;0,SUM(IF(A216=$A$2:$A$2427,IF(D216=$D$2:$D$2427,$X$2:$X$2427)))/COUNT(IF(A216=$A$2:$A$2427,IF(D216=$D$2:$D$2427,IF(ISNUMBER($X$2:$X$2427),1)))),0),""),0)</f>
        <v/>
      </c>
      <c r="Z216" s="104" t="str">
        <f>IF(ISNUMBER(O216),IF(I216&gt;0,(10^(VLOOKUP(D216,'Species Codes'!B:C,2,0)+VLOOKUP(D216,'Species Codes'!B:D,3,0)*LOG(E216)+VLOOKUP(D216,'Species Codes'!B:E,4,0)*LOG(I216))),0),"")</f>
        <v/>
      </c>
      <c r="AA216" s="104" t="str">
        <f>IFERROR((VLOOKUP(D216,'Species Codes'!B:G,6,0)*Z216)/2000,"")</f>
        <v/>
      </c>
      <c r="AB216" s="104" t="e">
        <f>IF(Z216&gt;0,((IF(OR(D216="DF",D216="RA")=TRUE,EXP(VLOOKUP(D216,'Species Codes'!B:I,8,0)+VLOOKUP(D216,'Species Codes'!B:J,9,0)*(LN((E216*2.54)))),IF(OR(D216="PY",D216="RC",D216="WH",D216="NF")=TRUE,VLOOKUP(D216,'Species Codes'!B:I,8,0)+VLOOKUP(D216,'Species Codes'!B:J,9,0)*((E216*2.54)^2)*(I216*0.3048),IF(OR(D216="MD",D216="BM",D216="GA")=TRUE,((VLOOKUP(D216,'Species Codes'!B:I,8,0)*(((((E216*2.54)+VLOOKUP(D216,'Species Codes'!B:J,9,0))/VLOOKUP(D216,'Species Codes'!B:K,10,0))^VLOOKUP(D216,'Species Codes'!B:L,11,0))*((I216*0.3048)^VLOOKUP(D216,'Species Codes'!B:M,12,0))))-(VLOOKUP(D216,'Species Codes'!B:I,8,0)*((((E216*2.54)^VLOOKUP(D216,'Species Codes'!B:L,11,0))*((I216*0.3048)^VLOOKUP(D216,'Species Codes'!B:M,12,0))))))*35.3*VLOOKUP(D216,'Species Codes'!B:G,6,0)/2.2046,VLOOKUP(D216,'Species Codes'!B:I,8,0)+VLOOKUP(D216,'Species Codes'!B:J,9,0)*(((E216*2.54)/100)^2)*(I216*0.3048)))))*0.0011023),0)</f>
        <v>#N/A</v>
      </c>
      <c r="AC216" s="104" t="e">
        <f>IF(Z216&gt;0,((IF(OR(D216="RA",D216="OA",D216="OT",D216="UN",D216="PC"),EXP(VLOOKUP(D216,'Species Codes'!B:O,14,0)+VLOOKUP(D216,'Species Codes'!B:P,15,0)*LN((E216*2.54)))-EXP(VLOOKUP(D216,'Species Codes'!B:O,14,0)+VLOOKUP(D216,'Species Codes'!B:P,15,0)*LN((E216*2.54)))*(1/(VLOOKUP(D216,'Species Codes'!B:Q,16,0)+VLOOKUP(D216,'Species Codes'!B:R,17,0)*((E216*2.54)^VLOOKUP(D216,'Species Codes'!B:S,18,0)))),IF(OR(D216="BM",D216="MD",D216="OA"),EXP(VLOOKUP(D216,'Species Codes'!B:O,14,0)+VLOOKUP(D216,'Species Codes'!B:P,15,0)*LN((E216*2.54)))*(1-(1/(VLOOKUP(D216,'Species Codes'!B:Q,16,0)+VLOOKUP(D216,'Species Codes'!B:R,17,0)*((E216*2.54)^VLOOKUP(D216,'Species Codes'!B:S,18,0)))))/1000,IF(D216="DF",EXP(VLOOKUP(D216,'Species Codes'!B:O,14,0)+VLOOKUP(D216,'Species Codes'!B:P,15,0)*LN((E216*2.54))),VLOOKUP(D216,'Species Codes'!B:O,14,0)+VLOOKUP(D216,'Species Codes'!B:P,15,0)*(((E216*2.54)/100)^2)*(I216*0.3048)))))*0.0011023),0)</f>
        <v>#N/A</v>
      </c>
      <c r="AD216" s="104" t="e">
        <f t="shared" si="118"/>
        <v>#N/A</v>
      </c>
      <c r="AE216" s="104" t="e">
        <f t="shared" si="119"/>
        <v>#N/A</v>
      </c>
      <c r="AF216" s="104" t="e">
        <f>IF(AND(VLOOKUP($D216,Merchantability!$B:$C,2,0)="Yes",$E216&gt;=VLOOKUP($D216,Merchantability!$B:$D,3,0),$E216&lt;=VLOOKUP($D216,Merchantability!$B:$E,4,0)),AA216,0)</f>
        <v>#N/A</v>
      </c>
      <c r="AG216" s="104" t="e">
        <f>IF(AND(VLOOKUP($D216,Merchantability!$B:$C,2,0)="Yes",$E216&gt;=VLOOKUP($D216,Merchantability!$B:$D,3,0),$E216&lt;=VLOOKUP($D216,Merchantability!$B:$E,4,0)),AB216,0)</f>
        <v>#N/A</v>
      </c>
      <c r="AH216" s="104" t="e">
        <f>IF(AND(VLOOKUP($D216,Merchantability!$B:$C,2,0)="Yes",$E216&gt;=VLOOKUP($D216,Merchantability!$B:$D,3,0),$E216&lt;=VLOOKUP($D216,Merchantability!$B:$E,4,0)),AC216,0)</f>
        <v>#N/A</v>
      </c>
      <c r="AI216" s="104" t="e">
        <f t="shared" si="120"/>
        <v>#N/A</v>
      </c>
      <c r="AJ216" s="104" t="e">
        <f t="shared" si="121"/>
        <v>#VALUE!</v>
      </c>
      <c r="AK216" s="104" t="e">
        <f t="shared" si="122"/>
        <v>#N/A</v>
      </c>
      <c r="AL216" s="104" t="e">
        <f t="shared" si="123"/>
        <v>#N/A</v>
      </c>
      <c r="AM216" s="104" t="e">
        <f t="shared" si="124"/>
        <v>#N/A</v>
      </c>
      <c r="AN216" s="104" t="e">
        <f t="shared" si="125"/>
        <v>#N/A</v>
      </c>
      <c r="AO216" s="104" t="e">
        <f t="shared" si="126"/>
        <v>#N/A</v>
      </c>
      <c r="AP216" s="104" t="e">
        <f t="shared" si="127"/>
        <v>#N/A</v>
      </c>
      <c r="AQ216" s="104" t="e">
        <f t="shared" si="128"/>
        <v>#N/A</v>
      </c>
      <c r="AR216" s="105" t="str">
        <f t="shared" si="129"/>
        <v/>
      </c>
      <c r="AS216" s="105" t="str">
        <f t="shared" si="130"/>
        <v/>
      </c>
      <c r="AT216" s="108" t="str">
        <f t="shared" si="131"/>
        <v/>
      </c>
      <c r="AU216" s="108" t="str">
        <f t="shared" si="132"/>
        <v/>
      </c>
      <c r="AV216" s="107" t="str">
        <f>IF(ISNUMBER(O216),IF(VLOOKUP($A216,Stand!C:J,8,FALSE)="Short",AT216,AU216),"")</f>
        <v/>
      </c>
      <c r="AW216" s="109" t="str">
        <f t="shared" si="133"/>
        <v/>
      </c>
      <c r="AX216" s="109" t="str">
        <f t="shared" si="134"/>
        <v/>
      </c>
      <c r="AY216" s="112" t="str">
        <f>IF(ISNUMBER(O216),IF(AND(VLOOKUP($D216,Merchantability!$B:$C,2,0)="Yes",$E216&gt;=VLOOKUP($D216,Merchantability!$B:$D,3,0),$E216&lt;=VLOOKUP($D216,Merchantability!$B:$E,4,0)),(AV216*O216)*(1-$H216/100),""),"")</f>
        <v/>
      </c>
      <c r="AZ216" s="116"/>
      <c r="BA216" s="116"/>
      <c r="BB216" s="116"/>
      <c r="BE216" s="62"/>
      <c r="BF216" s="63"/>
    </row>
    <row r="217" spans="1:58" ht="12.75" customHeight="1" x14ac:dyDescent="0.25">
      <c r="A217" s="313"/>
      <c r="B217" s="380"/>
      <c r="C217" s="381"/>
      <c r="D217" s="380"/>
      <c r="E217" s="382"/>
      <c r="F217" s="331"/>
      <c r="G217" s="329"/>
      <c r="H217" s="329"/>
      <c r="I217" s="380"/>
      <c r="J217" s="381"/>
      <c r="K217" s="329"/>
      <c r="L217" s="329"/>
      <c r="M217" s="76"/>
      <c r="N217" s="103" t="str">
        <f>IF(A217="","",VLOOKUP(A217,Stand!C:K,9,0))</f>
        <v/>
      </c>
      <c r="O217" s="104" t="str">
        <f t="shared" si="108"/>
        <v/>
      </c>
      <c r="P217" s="105" t="str">
        <f t="shared" si="109"/>
        <v/>
      </c>
      <c r="Q217" s="105" t="str">
        <f t="shared" si="110"/>
        <v/>
      </c>
      <c r="R217" s="103" t="str">
        <f t="shared" si="111"/>
        <v/>
      </c>
      <c r="S217" s="103" t="str">
        <f t="shared" si="112"/>
        <v/>
      </c>
      <c r="T217" s="106" t="str">
        <f t="shared" si="113"/>
        <v/>
      </c>
      <c r="U217" s="106" t="str">
        <f t="shared" si="114"/>
        <v/>
      </c>
      <c r="V217" s="106" t="str">
        <f t="shared" si="115"/>
        <v/>
      </c>
      <c r="W217" s="105" t="str">
        <f t="shared" si="116"/>
        <v/>
      </c>
      <c r="X217" s="104" t="str">
        <f t="shared" si="117"/>
        <v/>
      </c>
      <c r="Y217" s="104" t="str">
        <f t="array" ref="Y217">IFERROR(IF(ISNUMBER(O217),IF(COUNT(IF(A217=$A$2:$A$2427,IF(D217=$D$2:$D$2427,IF($X$2:$X$2427&gt;0,1))))&gt;0,SUM(IF(A217=$A$2:$A$2427,IF(D217=$D$2:$D$2427,$X$2:$X$2427)))/COUNT(IF(A217=$A$2:$A$2427,IF(D217=$D$2:$D$2427,IF(ISNUMBER($X$2:$X$2427),1)))),0),""),0)</f>
        <v/>
      </c>
      <c r="Z217" s="104" t="str">
        <f>IF(ISNUMBER(O217),IF(I217&gt;0,(10^(VLOOKUP(D217,'Species Codes'!B:C,2,0)+VLOOKUP(D217,'Species Codes'!B:D,3,0)*LOG(E217)+VLOOKUP(D217,'Species Codes'!B:E,4,0)*LOG(I217))),0),"")</f>
        <v/>
      </c>
      <c r="AA217" s="104" t="str">
        <f>IFERROR((VLOOKUP(D217,'Species Codes'!B:G,6,0)*Z217)/2000,"")</f>
        <v/>
      </c>
      <c r="AB217" s="104" t="e">
        <f>IF(Z217&gt;0,((IF(OR(D217="DF",D217="RA")=TRUE,EXP(VLOOKUP(D217,'Species Codes'!B:I,8,0)+VLOOKUP(D217,'Species Codes'!B:J,9,0)*(LN((E217*2.54)))),IF(OR(D217="PY",D217="RC",D217="WH",D217="NF")=TRUE,VLOOKUP(D217,'Species Codes'!B:I,8,0)+VLOOKUP(D217,'Species Codes'!B:J,9,0)*((E217*2.54)^2)*(I217*0.3048),IF(OR(D217="MD",D217="BM",D217="GA")=TRUE,((VLOOKUP(D217,'Species Codes'!B:I,8,0)*(((((E217*2.54)+VLOOKUP(D217,'Species Codes'!B:J,9,0))/VLOOKUP(D217,'Species Codes'!B:K,10,0))^VLOOKUP(D217,'Species Codes'!B:L,11,0))*((I217*0.3048)^VLOOKUP(D217,'Species Codes'!B:M,12,0))))-(VLOOKUP(D217,'Species Codes'!B:I,8,0)*((((E217*2.54)^VLOOKUP(D217,'Species Codes'!B:L,11,0))*((I217*0.3048)^VLOOKUP(D217,'Species Codes'!B:M,12,0))))))*35.3*VLOOKUP(D217,'Species Codes'!B:G,6,0)/2.2046,VLOOKUP(D217,'Species Codes'!B:I,8,0)+VLOOKUP(D217,'Species Codes'!B:J,9,0)*(((E217*2.54)/100)^2)*(I217*0.3048)))))*0.0011023),0)</f>
        <v>#N/A</v>
      </c>
      <c r="AC217" s="104" t="e">
        <f>IF(Z217&gt;0,((IF(OR(D217="RA",D217="OA",D217="OT",D217="UN",D217="PC"),EXP(VLOOKUP(D217,'Species Codes'!B:O,14,0)+VLOOKUP(D217,'Species Codes'!B:P,15,0)*LN((E217*2.54)))-EXP(VLOOKUP(D217,'Species Codes'!B:O,14,0)+VLOOKUP(D217,'Species Codes'!B:P,15,0)*LN((E217*2.54)))*(1/(VLOOKUP(D217,'Species Codes'!B:Q,16,0)+VLOOKUP(D217,'Species Codes'!B:R,17,0)*((E217*2.54)^VLOOKUP(D217,'Species Codes'!B:S,18,0)))),IF(OR(D217="BM",D217="MD",D217="OA"),EXP(VLOOKUP(D217,'Species Codes'!B:O,14,0)+VLOOKUP(D217,'Species Codes'!B:P,15,0)*LN((E217*2.54)))*(1-(1/(VLOOKUP(D217,'Species Codes'!B:Q,16,0)+VLOOKUP(D217,'Species Codes'!B:R,17,0)*((E217*2.54)^VLOOKUP(D217,'Species Codes'!B:S,18,0)))))/1000,IF(D217="DF",EXP(VLOOKUP(D217,'Species Codes'!B:O,14,0)+VLOOKUP(D217,'Species Codes'!B:P,15,0)*LN((E217*2.54))),VLOOKUP(D217,'Species Codes'!B:O,14,0)+VLOOKUP(D217,'Species Codes'!B:P,15,0)*(((E217*2.54)/100)^2)*(I217*0.3048)))))*0.0011023),0)</f>
        <v>#N/A</v>
      </c>
      <c r="AD217" s="104" t="e">
        <f t="shared" si="118"/>
        <v>#N/A</v>
      </c>
      <c r="AE217" s="104" t="e">
        <f t="shared" si="119"/>
        <v>#N/A</v>
      </c>
      <c r="AF217" s="104" t="e">
        <f>IF(AND(VLOOKUP($D217,Merchantability!$B:$C,2,0)="Yes",$E217&gt;=VLOOKUP($D217,Merchantability!$B:$D,3,0),$E217&lt;=VLOOKUP($D217,Merchantability!$B:$E,4,0)),AA217,0)</f>
        <v>#N/A</v>
      </c>
      <c r="AG217" s="104" t="e">
        <f>IF(AND(VLOOKUP($D217,Merchantability!$B:$C,2,0)="Yes",$E217&gt;=VLOOKUP($D217,Merchantability!$B:$D,3,0),$E217&lt;=VLOOKUP($D217,Merchantability!$B:$E,4,0)),AB217,0)</f>
        <v>#N/A</v>
      </c>
      <c r="AH217" s="104" t="e">
        <f>IF(AND(VLOOKUP($D217,Merchantability!$B:$C,2,0)="Yes",$E217&gt;=VLOOKUP($D217,Merchantability!$B:$D,3,0),$E217&lt;=VLOOKUP($D217,Merchantability!$B:$E,4,0)),AC217,0)</f>
        <v>#N/A</v>
      </c>
      <c r="AI217" s="104" t="e">
        <f t="shared" si="120"/>
        <v>#N/A</v>
      </c>
      <c r="AJ217" s="104" t="e">
        <f t="shared" si="121"/>
        <v>#VALUE!</v>
      </c>
      <c r="AK217" s="104" t="e">
        <f t="shared" si="122"/>
        <v>#N/A</v>
      </c>
      <c r="AL217" s="104" t="e">
        <f t="shared" si="123"/>
        <v>#N/A</v>
      </c>
      <c r="AM217" s="104" t="e">
        <f t="shared" si="124"/>
        <v>#N/A</v>
      </c>
      <c r="AN217" s="104" t="e">
        <f t="shared" si="125"/>
        <v>#N/A</v>
      </c>
      <c r="AO217" s="104" t="e">
        <f t="shared" si="126"/>
        <v>#N/A</v>
      </c>
      <c r="AP217" s="104" t="e">
        <f t="shared" si="127"/>
        <v>#N/A</v>
      </c>
      <c r="AQ217" s="104" t="e">
        <f t="shared" si="128"/>
        <v>#N/A</v>
      </c>
      <c r="AR217" s="105" t="str">
        <f t="shared" si="129"/>
        <v/>
      </c>
      <c r="AS217" s="105" t="str">
        <f t="shared" si="130"/>
        <v/>
      </c>
      <c r="AT217" s="108" t="str">
        <f t="shared" si="131"/>
        <v/>
      </c>
      <c r="AU217" s="108" t="str">
        <f t="shared" si="132"/>
        <v/>
      </c>
      <c r="AV217" s="107" t="str">
        <f>IF(ISNUMBER(O217),IF(VLOOKUP($A217,Stand!C:J,8,FALSE)="Short",AT217,AU217),"")</f>
        <v/>
      </c>
      <c r="AW217" s="109" t="str">
        <f t="shared" si="133"/>
        <v/>
      </c>
      <c r="AX217" s="109" t="str">
        <f t="shared" si="134"/>
        <v/>
      </c>
      <c r="AY217" s="112" t="str">
        <f>IF(ISNUMBER(O217),IF(AND(VLOOKUP($D217,Merchantability!$B:$C,2,0)="Yes",$E217&gt;=VLOOKUP($D217,Merchantability!$B:$D,3,0),$E217&lt;=VLOOKUP($D217,Merchantability!$B:$E,4,0)),(AV217*O217)*(1-$H217/100),""),"")</f>
        <v/>
      </c>
      <c r="AZ217" s="116"/>
      <c r="BA217" s="116"/>
      <c r="BB217" s="116"/>
      <c r="BE217" s="62"/>
      <c r="BF217" s="63"/>
    </row>
    <row r="218" spans="1:58" ht="12.75" customHeight="1" x14ac:dyDescent="0.25">
      <c r="A218" s="313"/>
      <c r="B218" s="380"/>
      <c r="C218" s="381"/>
      <c r="D218" s="380"/>
      <c r="E218" s="382"/>
      <c r="F218" s="331"/>
      <c r="G218" s="329"/>
      <c r="H218" s="329"/>
      <c r="I218" s="380"/>
      <c r="J218" s="381"/>
      <c r="K218" s="329"/>
      <c r="L218" s="329"/>
      <c r="M218" s="76"/>
      <c r="N218" s="103" t="str">
        <f>IF(A218="","",VLOOKUP(A218,Stand!C:K,9,0))</f>
        <v/>
      </c>
      <c r="O218" s="104" t="str">
        <f t="shared" si="108"/>
        <v/>
      </c>
      <c r="P218" s="105" t="str">
        <f t="shared" si="109"/>
        <v/>
      </c>
      <c r="Q218" s="105" t="str">
        <f t="shared" si="110"/>
        <v/>
      </c>
      <c r="R218" s="103" t="str">
        <f t="shared" si="111"/>
        <v/>
      </c>
      <c r="S218" s="103" t="str">
        <f t="shared" si="112"/>
        <v/>
      </c>
      <c r="T218" s="106" t="str">
        <f t="shared" si="113"/>
        <v/>
      </c>
      <c r="U218" s="106" t="str">
        <f t="shared" si="114"/>
        <v/>
      </c>
      <c r="V218" s="106" t="str">
        <f t="shared" si="115"/>
        <v/>
      </c>
      <c r="W218" s="105" t="str">
        <f t="shared" si="116"/>
        <v/>
      </c>
      <c r="X218" s="104" t="str">
        <f t="shared" si="117"/>
        <v/>
      </c>
      <c r="Y218" s="104" t="str">
        <f t="array" ref="Y218">IFERROR(IF(ISNUMBER(O218),IF(COUNT(IF(A218=$A$2:$A$2427,IF(D218=$D$2:$D$2427,IF($X$2:$X$2427&gt;0,1))))&gt;0,SUM(IF(A218=$A$2:$A$2427,IF(D218=$D$2:$D$2427,$X$2:$X$2427)))/COUNT(IF(A218=$A$2:$A$2427,IF(D218=$D$2:$D$2427,IF(ISNUMBER($X$2:$X$2427),1)))),0),""),0)</f>
        <v/>
      </c>
      <c r="Z218" s="104" t="str">
        <f>IF(ISNUMBER(O218),IF(I218&gt;0,(10^(VLOOKUP(D218,'Species Codes'!B:C,2,0)+VLOOKUP(D218,'Species Codes'!B:D,3,0)*LOG(E218)+VLOOKUP(D218,'Species Codes'!B:E,4,0)*LOG(I218))),0),"")</f>
        <v/>
      </c>
      <c r="AA218" s="104" t="str">
        <f>IFERROR((VLOOKUP(D218,'Species Codes'!B:G,6,0)*Z218)/2000,"")</f>
        <v/>
      </c>
      <c r="AB218" s="104" t="e">
        <f>IF(Z218&gt;0,((IF(OR(D218="DF",D218="RA")=TRUE,EXP(VLOOKUP(D218,'Species Codes'!B:I,8,0)+VLOOKUP(D218,'Species Codes'!B:J,9,0)*(LN((E218*2.54)))),IF(OR(D218="PY",D218="RC",D218="WH",D218="NF")=TRUE,VLOOKUP(D218,'Species Codes'!B:I,8,0)+VLOOKUP(D218,'Species Codes'!B:J,9,0)*((E218*2.54)^2)*(I218*0.3048),IF(OR(D218="MD",D218="BM",D218="GA")=TRUE,((VLOOKUP(D218,'Species Codes'!B:I,8,0)*(((((E218*2.54)+VLOOKUP(D218,'Species Codes'!B:J,9,0))/VLOOKUP(D218,'Species Codes'!B:K,10,0))^VLOOKUP(D218,'Species Codes'!B:L,11,0))*((I218*0.3048)^VLOOKUP(D218,'Species Codes'!B:M,12,0))))-(VLOOKUP(D218,'Species Codes'!B:I,8,0)*((((E218*2.54)^VLOOKUP(D218,'Species Codes'!B:L,11,0))*((I218*0.3048)^VLOOKUP(D218,'Species Codes'!B:M,12,0))))))*35.3*VLOOKUP(D218,'Species Codes'!B:G,6,0)/2.2046,VLOOKUP(D218,'Species Codes'!B:I,8,0)+VLOOKUP(D218,'Species Codes'!B:J,9,0)*(((E218*2.54)/100)^2)*(I218*0.3048)))))*0.0011023),0)</f>
        <v>#N/A</v>
      </c>
      <c r="AC218" s="104" t="e">
        <f>IF(Z218&gt;0,((IF(OR(D218="RA",D218="OA",D218="OT",D218="UN",D218="PC"),EXP(VLOOKUP(D218,'Species Codes'!B:O,14,0)+VLOOKUP(D218,'Species Codes'!B:P,15,0)*LN((E218*2.54)))-EXP(VLOOKUP(D218,'Species Codes'!B:O,14,0)+VLOOKUP(D218,'Species Codes'!B:P,15,0)*LN((E218*2.54)))*(1/(VLOOKUP(D218,'Species Codes'!B:Q,16,0)+VLOOKUP(D218,'Species Codes'!B:R,17,0)*((E218*2.54)^VLOOKUP(D218,'Species Codes'!B:S,18,0)))),IF(OR(D218="BM",D218="MD",D218="OA"),EXP(VLOOKUP(D218,'Species Codes'!B:O,14,0)+VLOOKUP(D218,'Species Codes'!B:P,15,0)*LN((E218*2.54)))*(1-(1/(VLOOKUP(D218,'Species Codes'!B:Q,16,0)+VLOOKUP(D218,'Species Codes'!B:R,17,0)*((E218*2.54)^VLOOKUP(D218,'Species Codes'!B:S,18,0)))))/1000,IF(D218="DF",EXP(VLOOKUP(D218,'Species Codes'!B:O,14,0)+VLOOKUP(D218,'Species Codes'!B:P,15,0)*LN((E218*2.54))),VLOOKUP(D218,'Species Codes'!B:O,14,0)+VLOOKUP(D218,'Species Codes'!B:P,15,0)*(((E218*2.54)/100)^2)*(I218*0.3048)))))*0.0011023),0)</f>
        <v>#N/A</v>
      </c>
      <c r="AD218" s="104" t="e">
        <f t="shared" si="118"/>
        <v>#N/A</v>
      </c>
      <c r="AE218" s="104" t="e">
        <f t="shared" si="119"/>
        <v>#N/A</v>
      </c>
      <c r="AF218" s="104" t="e">
        <f>IF(AND(VLOOKUP($D218,Merchantability!$B:$C,2,0)="Yes",$E218&gt;=VLOOKUP($D218,Merchantability!$B:$D,3,0),$E218&lt;=VLOOKUP($D218,Merchantability!$B:$E,4,0)),AA218,0)</f>
        <v>#N/A</v>
      </c>
      <c r="AG218" s="104" t="e">
        <f>IF(AND(VLOOKUP($D218,Merchantability!$B:$C,2,0)="Yes",$E218&gt;=VLOOKUP($D218,Merchantability!$B:$D,3,0),$E218&lt;=VLOOKUP($D218,Merchantability!$B:$E,4,0)),AB218,0)</f>
        <v>#N/A</v>
      </c>
      <c r="AH218" s="104" t="e">
        <f>IF(AND(VLOOKUP($D218,Merchantability!$B:$C,2,0)="Yes",$E218&gt;=VLOOKUP($D218,Merchantability!$B:$D,3,0),$E218&lt;=VLOOKUP($D218,Merchantability!$B:$E,4,0)),AC218,0)</f>
        <v>#N/A</v>
      </c>
      <c r="AI218" s="104" t="e">
        <f t="shared" si="120"/>
        <v>#N/A</v>
      </c>
      <c r="AJ218" s="104" t="e">
        <f t="shared" si="121"/>
        <v>#VALUE!</v>
      </c>
      <c r="AK218" s="104" t="e">
        <f t="shared" si="122"/>
        <v>#N/A</v>
      </c>
      <c r="AL218" s="104" t="e">
        <f t="shared" si="123"/>
        <v>#N/A</v>
      </c>
      <c r="AM218" s="104" t="e">
        <f t="shared" si="124"/>
        <v>#N/A</v>
      </c>
      <c r="AN218" s="104" t="e">
        <f t="shared" si="125"/>
        <v>#N/A</v>
      </c>
      <c r="AO218" s="104" t="e">
        <f t="shared" si="126"/>
        <v>#N/A</v>
      </c>
      <c r="AP218" s="104" t="e">
        <f t="shared" si="127"/>
        <v>#N/A</v>
      </c>
      <c r="AQ218" s="104" t="e">
        <f t="shared" si="128"/>
        <v>#N/A</v>
      </c>
      <c r="AR218" s="105" t="str">
        <f t="shared" si="129"/>
        <v/>
      </c>
      <c r="AS218" s="105" t="str">
        <f t="shared" si="130"/>
        <v/>
      </c>
      <c r="AT218" s="108" t="str">
        <f t="shared" si="131"/>
        <v/>
      </c>
      <c r="AU218" s="108" t="str">
        <f t="shared" si="132"/>
        <v/>
      </c>
      <c r="AV218" s="107" t="str">
        <f>IF(ISNUMBER(O218),IF(VLOOKUP($A218,Stand!C:J,8,FALSE)="Short",AT218,AU218),"")</f>
        <v/>
      </c>
      <c r="AW218" s="109" t="str">
        <f t="shared" si="133"/>
        <v/>
      </c>
      <c r="AX218" s="109" t="str">
        <f t="shared" si="134"/>
        <v/>
      </c>
      <c r="AY218" s="112" t="str">
        <f>IF(ISNUMBER(O218),IF(AND(VLOOKUP($D218,Merchantability!$B:$C,2,0)="Yes",$E218&gt;=VLOOKUP($D218,Merchantability!$B:$D,3,0),$E218&lt;=VLOOKUP($D218,Merchantability!$B:$E,4,0)),(AV218*O218)*(1-$H218/100),""),"")</f>
        <v/>
      </c>
      <c r="AZ218" s="116"/>
      <c r="BA218" s="116"/>
      <c r="BB218" s="116"/>
      <c r="BE218" s="62"/>
      <c r="BF218" s="63"/>
    </row>
    <row r="219" spans="1:58" ht="12.75" customHeight="1" x14ac:dyDescent="0.25">
      <c r="A219" s="313"/>
      <c r="B219" s="380"/>
      <c r="C219" s="381"/>
      <c r="D219" s="380"/>
      <c r="E219" s="382"/>
      <c r="F219" s="331"/>
      <c r="G219" s="329"/>
      <c r="H219" s="329"/>
      <c r="I219" s="380"/>
      <c r="J219" s="381"/>
      <c r="K219" s="329"/>
      <c r="L219" s="329"/>
      <c r="M219" s="76"/>
      <c r="N219" s="103" t="str">
        <f>IF(A219="","",VLOOKUP(A219,Stand!C:K,9,0))</f>
        <v/>
      </c>
      <c r="O219" s="104" t="str">
        <f t="shared" si="108"/>
        <v/>
      </c>
      <c r="P219" s="105" t="str">
        <f t="shared" si="109"/>
        <v/>
      </c>
      <c r="Q219" s="105" t="str">
        <f t="shared" si="110"/>
        <v/>
      </c>
      <c r="R219" s="103" t="str">
        <f t="shared" si="111"/>
        <v/>
      </c>
      <c r="S219" s="103" t="str">
        <f t="shared" si="112"/>
        <v/>
      </c>
      <c r="T219" s="106" t="str">
        <f t="shared" si="113"/>
        <v/>
      </c>
      <c r="U219" s="106" t="str">
        <f t="shared" si="114"/>
        <v/>
      </c>
      <c r="V219" s="106" t="str">
        <f t="shared" si="115"/>
        <v/>
      </c>
      <c r="W219" s="105" t="str">
        <f t="shared" si="116"/>
        <v/>
      </c>
      <c r="X219" s="104" t="str">
        <f t="shared" si="117"/>
        <v/>
      </c>
      <c r="Y219" s="104" t="str">
        <f t="array" ref="Y219">IFERROR(IF(ISNUMBER(O219),IF(COUNT(IF(A219=$A$2:$A$2427,IF(D219=$D$2:$D$2427,IF($X$2:$X$2427&gt;0,1))))&gt;0,SUM(IF(A219=$A$2:$A$2427,IF(D219=$D$2:$D$2427,$X$2:$X$2427)))/COUNT(IF(A219=$A$2:$A$2427,IF(D219=$D$2:$D$2427,IF(ISNUMBER($X$2:$X$2427),1)))),0),""),0)</f>
        <v/>
      </c>
      <c r="Z219" s="104" t="str">
        <f>IF(ISNUMBER(O219),IF(I219&gt;0,(10^(VLOOKUP(D219,'Species Codes'!B:C,2,0)+VLOOKUP(D219,'Species Codes'!B:D,3,0)*LOG(E219)+VLOOKUP(D219,'Species Codes'!B:E,4,0)*LOG(I219))),0),"")</f>
        <v/>
      </c>
      <c r="AA219" s="104" t="str">
        <f>IFERROR((VLOOKUP(D219,'Species Codes'!B:G,6,0)*Z219)/2000,"")</f>
        <v/>
      </c>
      <c r="AB219" s="104" t="e">
        <f>IF(Z219&gt;0,((IF(OR(D219="DF",D219="RA")=TRUE,EXP(VLOOKUP(D219,'Species Codes'!B:I,8,0)+VLOOKUP(D219,'Species Codes'!B:J,9,0)*(LN((E219*2.54)))),IF(OR(D219="PY",D219="RC",D219="WH",D219="NF")=TRUE,VLOOKUP(D219,'Species Codes'!B:I,8,0)+VLOOKUP(D219,'Species Codes'!B:J,9,0)*((E219*2.54)^2)*(I219*0.3048),IF(OR(D219="MD",D219="BM",D219="GA")=TRUE,((VLOOKUP(D219,'Species Codes'!B:I,8,0)*(((((E219*2.54)+VLOOKUP(D219,'Species Codes'!B:J,9,0))/VLOOKUP(D219,'Species Codes'!B:K,10,0))^VLOOKUP(D219,'Species Codes'!B:L,11,0))*((I219*0.3048)^VLOOKUP(D219,'Species Codes'!B:M,12,0))))-(VLOOKUP(D219,'Species Codes'!B:I,8,0)*((((E219*2.54)^VLOOKUP(D219,'Species Codes'!B:L,11,0))*((I219*0.3048)^VLOOKUP(D219,'Species Codes'!B:M,12,0))))))*35.3*VLOOKUP(D219,'Species Codes'!B:G,6,0)/2.2046,VLOOKUP(D219,'Species Codes'!B:I,8,0)+VLOOKUP(D219,'Species Codes'!B:J,9,0)*(((E219*2.54)/100)^2)*(I219*0.3048)))))*0.0011023),0)</f>
        <v>#N/A</v>
      </c>
      <c r="AC219" s="104" t="e">
        <f>IF(Z219&gt;0,((IF(OR(D219="RA",D219="OA",D219="OT",D219="UN",D219="PC"),EXP(VLOOKUP(D219,'Species Codes'!B:O,14,0)+VLOOKUP(D219,'Species Codes'!B:P,15,0)*LN((E219*2.54)))-EXP(VLOOKUP(D219,'Species Codes'!B:O,14,0)+VLOOKUP(D219,'Species Codes'!B:P,15,0)*LN((E219*2.54)))*(1/(VLOOKUP(D219,'Species Codes'!B:Q,16,0)+VLOOKUP(D219,'Species Codes'!B:R,17,0)*((E219*2.54)^VLOOKUP(D219,'Species Codes'!B:S,18,0)))),IF(OR(D219="BM",D219="MD",D219="OA"),EXP(VLOOKUP(D219,'Species Codes'!B:O,14,0)+VLOOKUP(D219,'Species Codes'!B:P,15,0)*LN((E219*2.54)))*(1-(1/(VLOOKUP(D219,'Species Codes'!B:Q,16,0)+VLOOKUP(D219,'Species Codes'!B:R,17,0)*((E219*2.54)^VLOOKUP(D219,'Species Codes'!B:S,18,0)))))/1000,IF(D219="DF",EXP(VLOOKUP(D219,'Species Codes'!B:O,14,0)+VLOOKUP(D219,'Species Codes'!B:P,15,0)*LN((E219*2.54))),VLOOKUP(D219,'Species Codes'!B:O,14,0)+VLOOKUP(D219,'Species Codes'!B:P,15,0)*(((E219*2.54)/100)^2)*(I219*0.3048)))))*0.0011023),0)</f>
        <v>#N/A</v>
      </c>
      <c r="AD219" s="104" t="e">
        <f t="shared" si="118"/>
        <v>#N/A</v>
      </c>
      <c r="AE219" s="104" t="e">
        <f t="shared" si="119"/>
        <v>#N/A</v>
      </c>
      <c r="AF219" s="104" t="e">
        <f>IF(AND(VLOOKUP($D219,Merchantability!$B:$C,2,0)="Yes",$E219&gt;=VLOOKUP($D219,Merchantability!$B:$D,3,0),$E219&lt;=VLOOKUP($D219,Merchantability!$B:$E,4,0)),AA219,0)</f>
        <v>#N/A</v>
      </c>
      <c r="AG219" s="104" t="e">
        <f>IF(AND(VLOOKUP($D219,Merchantability!$B:$C,2,0)="Yes",$E219&gt;=VLOOKUP($D219,Merchantability!$B:$D,3,0),$E219&lt;=VLOOKUP($D219,Merchantability!$B:$E,4,0)),AB219,0)</f>
        <v>#N/A</v>
      </c>
      <c r="AH219" s="104" t="e">
        <f>IF(AND(VLOOKUP($D219,Merchantability!$B:$C,2,0)="Yes",$E219&gt;=VLOOKUP($D219,Merchantability!$B:$D,3,0),$E219&lt;=VLOOKUP($D219,Merchantability!$B:$E,4,0)),AC219,0)</f>
        <v>#N/A</v>
      </c>
      <c r="AI219" s="104" t="e">
        <f t="shared" si="120"/>
        <v>#N/A</v>
      </c>
      <c r="AJ219" s="104" t="e">
        <f t="shared" si="121"/>
        <v>#VALUE!</v>
      </c>
      <c r="AK219" s="104" t="e">
        <f t="shared" si="122"/>
        <v>#N/A</v>
      </c>
      <c r="AL219" s="104" t="e">
        <f t="shared" si="123"/>
        <v>#N/A</v>
      </c>
      <c r="AM219" s="104" t="e">
        <f t="shared" si="124"/>
        <v>#N/A</v>
      </c>
      <c r="AN219" s="104" t="e">
        <f t="shared" si="125"/>
        <v>#N/A</v>
      </c>
      <c r="AO219" s="104" t="e">
        <f t="shared" si="126"/>
        <v>#N/A</v>
      </c>
      <c r="AP219" s="104" t="e">
        <f t="shared" si="127"/>
        <v>#N/A</v>
      </c>
      <c r="AQ219" s="104" t="e">
        <f t="shared" si="128"/>
        <v>#N/A</v>
      </c>
      <c r="AR219" s="105" t="str">
        <f t="shared" si="129"/>
        <v/>
      </c>
      <c r="AS219" s="105" t="str">
        <f t="shared" si="130"/>
        <v/>
      </c>
      <c r="AT219" s="108" t="str">
        <f t="shared" si="131"/>
        <v/>
      </c>
      <c r="AU219" s="108" t="str">
        <f t="shared" si="132"/>
        <v/>
      </c>
      <c r="AV219" s="107" t="str">
        <f>IF(ISNUMBER(O219),IF(VLOOKUP($A219,Stand!C:J,8,FALSE)="Short",AT219,AU219),"")</f>
        <v/>
      </c>
      <c r="AW219" s="109" t="str">
        <f t="shared" si="133"/>
        <v/>
      </c>
      <c r="AX219" s="109" t="str">
        <f t="shared" si="134"/>
        <v/>
      </c>
      <c r="AY219" s="112" t="str">
        <f>IF(ISNUMBER(O219),IF(AND(VLOOKUP($D219,Merchantability!$B:$C,2,0)="Yes",$E219&gt;=VLOOKUP($D219,Merchantability!$B:$D,3,0),$E219&lt;=VLOOKUP($D219,Merchantability!$B:$E,4,0)),(AV219*O219)*(1-$H219/100),""),"")</f>
        <v/>
      </c>
      <c r="AZ219" s="116"/>
      <c r="BA219" s="116"/>
      <c r="BB219" s="116"/>
      <c r="BE219" s="62"/>
      <c r="BF219" s="63"/>
    </row>
    <row r="220" spans="1:58" ht="12.75" customHeight="1" x14ac:dyDescent="0.25">
      <c r="A220" s="313"/>
      <c r="B220" s="380"/>
      <c r="C220" s="381"/>
      <c r="D220" s="380"/>
      <c r="E220" s="382"/>
      <c r="F220" s="331"/>
      <c r="G220" s="329"/>
      <c r="H220" s="329"/>
      <c r="I220" s="380"/>
      <c r="J220" s="381"/>
      <c r="K220" s="329"/>
      <c r="L220" s="329"/>
      <c r="M220" s="76"/>
      <c r="N220" s="103" t="str">
        <f>IF(A220="","",VLOOKUP(A220,Stand!C:K,9,0))</f>
        <v/>
      </c>
      <c r="O220" s="104" t="str">
        <f t="shared" si="108"/>
        <v/>
      </c>
      <c r="P220" s="105" t="str">
        <f t="shared" si="109"/>
        <v/>
      </c>
      <c r="Q220" s="105" t="str">
        <f t="shared" si="110"/>
        <v/>
      </c>
      <c r="R220" s="103" t="str">
        <f t="shared" si="111"/>
        <v/>
      </c>
      <c r="S220" s="103" t="str">
        <f t="shared" si="112"/>
        <v/>
      </c>
      <c r="T220" s="106" t="str">
        <f t="shared" si="113"/>
        <v/>
      </c>
      <c r="U220" s="106" t="str">
        <f t="shared" si="114"/>
        <v/>
      </c>
      <c r="V220" s="106" t="str">
        <f t="shared" si="115"/>
        <v/>
      </c>
      <c r="W220" s="105" t="str">
        <f t="shared" si="116"/>
        <v/>
      </c>
      <c r="X220" s="104" t="str">
        <f t="shared" si="117"/>
        <v/>
      </c>
      <c r="Y220" s="104" t="str">
        <f t="array" ref="Y220">IFERROR(IF(ISNUMBER(O220),IF(COUNT(IF(A220=$A$2:$A$2427,IF(D220=$D$2:$D$2427,IF($X$2:$X$2427&gt;0,1))))&gt;0,SUM(IF(A220=$A$2:$A$2427,IF(D220=$D$2:$D$2427,$X$2:$X$2427)))/COUNT(IF(A220=$A$2:$A$2427,IF(D220=$D$2:$D$2427,IF(ISNUMBER($X$2:$X$2427),1)))),0),""),0)</f>
        <v/>
      </c>
      <c r="Z220" s="104" t="str">
        <f>IF(ISNUMBER(O220),IF(I220&gt;0,(10^(VLOOKUP(D220,'Species Codes'!B:C,2,0)+VLOOKUP(D220,'Species Codes'!B:D,3,0)*LOG(E220)+VLOOKUP(D220,'Species Codes'!B:E,4,0)*LOG(I220))),0),"")</f>
        <v/>
      </c>
      <c r="AA220" s="104" t="str">
        <f>IFERROR((VLOOKUP(D220,'Species Codes'!B:G,6,0)*Z220)/2000,"")</f>
        <v/>
      </c>
      <c r="AB220" s="104" t="e">
        <f>IF(Z220&gt;0,((IF(OR(D220="DF",D220="RA")=TRUE,EXP(VLOOKUP(D220,'Species Codes'!B:I,8,0)+VLOOKUP(D220,'Species Codes'!B:J,9,0)*(LN((E220*2.54)))),IF(OR(D220="PY",D220="RC",D220="WH",D220="NF")=TRUE,VLOOKUP(D220,'Species Codes'!B:I,8,0)+VLOOKUP(D220,'Species Codes'!B:J,9,0)*((E220*2.54)^2)*(I220*0.3048),IF(OR(D220="MD",D220="BM",D220="GA")=TRUE,((VLOOKUP(D220,'Species Codes'!B:I,8,0)*(((((E220*2.54)+VLOOKUP(D220,'Species Codes'!B:J,9,0))/VLOOKUP(D220,'Species Codes'!B:K,10,0))^VLOOKUP(D220,'Species Codes'!B:L,11,0))*((I220*0.3048)^VLOOKUP(D220,'Species Codes'!B:M,12,0))))-(VLOOKUP(D220,'Species Codes'!B:I,8,0)*((((E220*2.54)^VLOOKUP(D220,'Species Codes'!B:L,11,0))*((I220*0.3048)^VLOOKUP(D220,'Species Codes'!B:M,12,0))))))*35.3*VLOOKUP(D220,'Species Codes'!B:G,6,0)/2.2046,VLOOKUP(D220,'Species Codes'!B:I,8,0)+VLOOKUP(D220,'Species Codes'!B:J,9,0)*(((E220*2.54)/100)^2)*(I220*0.3048)))))*0.0011023),0)</f>
        <v>#N/A</v>
      </c>
      <c r="AC220" s="104" t="e">
        <f>IF(Z220&gt;0,((IF(OR(D220="RA",D220="OA",D220="OT",D220="UN",D220="PC"),EXP(VLOOKUP(D220,'Species Codes'!B:O,14,0)+VLOOKUP(D220,'Species Codes'!B:P,15,0)*LN((E220*2.54)))-EXP(VLOOKUP(D220,'Species Codes'!B:O,14,0)+VLOOKUP(D220,'Species Codes'!B:P,15,0)*LN((E220*2.54)))*(1/(VLOOKUP(D220,'Species Codes'!B:Q,16,0)+VLOOKUP(D220,'Species Codes'!B:R,17,0)*((E220*2.54)^VLOOKUP(D220,'Species Codes'!B:S,18,0)))),IF(OR(D220="BM",D220="MD",D220="OA"),EXP(VLOOKUP(D220,'Species Codes'!B:O,14,0)+VLOOKUP(D220,'Species Codes'!B:P,15,0)*LN((E220*2.54)))*(1-(1/(VLOOKUP(D220,'Species Codes'!B:Q,16,0)+VLOOKUP(D220,'Species Codes'!B:R,17,0)*((E220*2.54)^VLOOKUP(D220,'Species Codes'!B:S,18,0)))))/1000,IF(D220="DF",EXP(VLOOKUP(D220,'Species Codes'!B:O,14,0)+VLOOKUP(D220,'Species Codes'!B:P,15,0)*LN((E220*2.54))),VLOOKUP(D220,'Species Codes'!B:O,14,0)+VLOOKUP(D220,'Species Codes'!B:P,15,0)*(((E220*2.54)/100)^2)*(I220*0.3048)))))*0.0011023),0)</f>
        <v>#N/A</v>
      </c>
      <c r="AD220" s="104" t="e">
        <f t="shared" si="118"/>
        <v>#N/A</v>
      </c>
      <c r="AE220" s="104" t="e">
        <f t="shared" si="119"/>
        <v>#N/A</v>
      </c>
      <c r="AF220" s="104" t="e">
        <f>IF(AND(VLOOKUP($D220,Merchantability!$B:$C,2,0)="Yes",$E220&gt;=VLOOKUP($D220,Merchantability!$B:$D,3,0),$E220&lt;=VLOOKUP($D220,Merchantability!$B:$E,4,0)),AA220,0)</f>
        <v>#N/A</v>
      </c>
      <c r="AG220" s="104" t="e">
        <f>IF(AND(VLOOKUP($D220,Merchantability!$B:$C,2,0)="Yes",$E220&gt;=VLOOKUP($D220,Merchantability!$B:$D,3,0),$E220&lt;=VLOOKUP($D220,Merchantability!$B:$E,4,0)),AB220,0)</f>
        <v>#N/A</v>
      </c>
      <c r="AH220" s="104" t="e">
        <f>IF(AND(VLOOKUP($D220,Merchantability!$B:$C,2,0)="Yes",$E220&gt;=VLOOKUP($D220,Merchantability!$B:$D,3,0),$E220&lt;=VLOOKUP($D220,Merchantability!$B:$E,4,0)),AC220,0)</f>
        <v>#N/A</v>
      </c>
      <c r="AI220" s="104" t="e">
        <f t="shared" si="120"/>
        <v>#N/A</v>
      </c>
      <c r="AJ220" s="104" t="e">
        <f t="shared" si="121"/>
        <v>#VALUE!</v>
      </c>
      <c r="AK220" s="104" t="e">
        <f t="shared" si="122"/>
        <v>#N/A</v>
      </c>
      <c r="AL220" s="104" t="e">
        <f t="shared" si="123"/>
        <v>#N/A</v>
      </c>
      <c r="AM220" s="104" t="e">
        <f t="shared" si="124"/>
        <v>#N/A</v>
      </c>
      <c r="AN220" s="104" t="e">
        <f t="shared" si="125"/>
        <v>#N/A</v>
      </c>
      <c r="AO220" s="104" t="e">
        <f t="shared" si="126"/>
        <v>#N/A</v>
      </c>
      <c r="AP220" s="104" t="e">
        <f t="shared" si="127"/>
        <v>#N/A</v>
      </c>
      <c r="AQ220" s="104" t="e">
        <f t="shared" si="128"/>
        <v>#N/A</v>
      </c>
      <c r="AR220" s="105" t="str">
        <f t="shared" si="129"/>
        <v/>
      </c>
      <c r="AS220" s="105" t="str">
        <f t="shared" si="130"/>
        <v/>
      </c>
      <c r="AT220" s="108" t="str">
        <f t="shared" si="131"/>
        <v/>
      </c>
      <c r="AU220" s="108" t="str">
        <f t="shared" si="132"/>
        <v/>
      </c>
      <c r="AV220" s="107" t="str">
        <f>IF(ISNUMBER(O220),IF(VLOOKUP($A220,Stand!C:J,8,FALSE)="Short",AT220,AU220),"")</f>
        <v/>
      </c>
      <c r="AW220" s="109" t="str">
        <f t="shared" si="133"/>
        <v/>
      </c>
      <c r="AX220" s="109" t="str">
        <f t="shared" si="134"/>
        <v/>
      </c>
      <c r="AY220" s="112" t="str">
        <f>IF(ISNUMBER(O220),IF(AND(VLOOKUP($D220,Merchantability!$B:$C,2,0)="Yes",$E220&gt;=VLOOKUP($D220,Merchantability!$B:$D,3,0),$E220&lt;=VLOOKUP($D220,Merchantability!$B:$E,4,0)),(AV220*O220)*(1-$H220/100),""),"")</f>
        <v/>
      </c>
      <c r="AZ220" s="116"/>
      <c r="BA220" s="116"/>
      <c r="BB220" s="116"/>
      <c r="BE220" s="62"/>
      <c r="BF220" s="63"/>
    </row>
    <row r="221" spans="1:58" ht="12.75" customHeight="1" x14ac:dyDescent="0.25">
      <c r="A221" s="313"/>
      <c r="B221" s="380"/>
      <c r="C221" s="381"/>
      <c r="D221" s="380"/>
      <c r="E221" s="382"/>
      <c r="F221" s="331"/>
      <c r="G221" s="329"/>
      <c r="H221" s="329"/>
      <c r="I221" s="380"/>
      <c r="J221" s="381"/>
      <c r="K221" s="329"/>
      <c r="L221" s="329"/>
      <c r="M221" s="76"/>
      <c r="N221" s="103" t="str">
        <f>IF(A221="","",VLOOKUP(A221,Stand!C:K,9,0))</f>
        <v/>
      </c>
      <c r="O221" s="104" t="str">
        <f t="shared" si="108"/>
        <v/>
      </c>
      <c r="P221" s="105" t="str">
        <f t="shared" si="109"/>
        <v/>
      </c>
      <c r="Q221" s="105" t="str">
        <f t="shared" ref="Q221:Q284" si="135">IF(AND(ISNUMBER(O221),I221&gt;0),I221*O221,"")</f>
        <v/>
      </c>
      <c r="R221" s="103" t="str">
        <f t="shared" si="111"/>
        <v/>
      </c>
      <c r="S221" s="103" t="str">
        <f t="shared" si="112"/>
        <v/>
      </c>
      <c r="T221" s="106" t="str">
        <f t="shared" ref="T221:T284" si="136">IF(AND(ISNUMBER(O221),J221&gt;0),J221/100,"")</f>
        <v/>
      </c>
      <c r="U221" s="106" t="str">
        <f t="shared" ref="U221:U284" si="137">IF(AND(ISNUMBER(O221),J221&gt;0),T221*O221,"")</f>
        <v/>
      </c>
      <c r="V221" s="106" t="str">
        <f t="shared" ref="V221:V284" si="138">IF(AND(ISNUMBER(O221),I221&gt;0),W221*O221,"")</f>
        <v/>
      </c>
      <c r="W221" s="105" t="str">
        <f t="shared" si="116"/>
        <v/>
      </c>
      <c r="X221" s="104" t="str">
        <f t="shared" si="117"/>
        <v/>
      </c>
      <c r="Y221" s="104" t="str">
        <f t="array" ref="Y221">IFERROR(IF(ISNUMBER(O221),IF(COUNT(IF(A221=$A$2:$A$2427,IF(D221=$D$2:$D$2427,IF($X$2:$X$2427&gt;0,1))))&gt;0,SUM(IF(A221=$A$2:$A$2427,IF(D221=$D$2:$D$2427,$X$2:$X$2427)))/COUNT(IF(A221=$A$2:$A$2427,IF(D221=$D$2:$D$2427,IF(ISNUMBER($X$2:$X$2427),1)))),0),""),0)</f>
        <v/>
      </c>
      <c r="Z221" s="104" t="str">
        <f>IF(ISNUMBER(O221),IF(I221&gt;0,(10^(VLOOKUP(D221,'Species Codes'!B:C,2,0)+VLOOKUP(D221,'Species Codes'!B:D,3,0)*LOG(E221)+VLOOKUP(D221,'Species Codes'!B:E,4,0)*LOG(I221))),0),"")</f>
        <v/>
      </c>
      <c r="AA221" s="104" t="str">
        <f>IFERROR((VLOOKUP(D221,'Species Codes'!B:G,6,0)*Z221)/2000,"")</f>
        <v/>
      </c>
      <c r="AB221" s="104" t="e">
        <f>IF(Z221&gt;0,((IF(OR(D221="DF",D221="RA")=TRUE,EXP(VLOOKUP(D221,'Species Codes'!B:I,8,0)+VLOOKUP(D221,'Species Codes'!B:J,9,0)*(LN((E221*2.54)))),IF(OR(D221="PY",D221="RC",D221="WH",D221="NF")=TRUE,VLOOKUP(D221,'Species Codes'!B:I,8,0)+VLOOKUP(D221,'Species Codes'!B:J,9,0)*((E221*2.54)^2)*(I221*0.3048),IF(OR(D221="MD",D221="BM",D221="GA")=TRUE,((VLOOKUP(D221,'Species Codes'!B:I,8,0)*(((((E221*2.54)+VLOOKUP(D221,'Species Codes'!B:J,9,0))/VLOOKUP(D221,'Species Codes'!B:K,10,0))^VLOOKUP(D221,'Species Codes'!B:L,11,0))*((I221*0.3048)^VLOOKUP(D221,'Species Codes'!B:M,12,0))))-(VLOOKUP(D221,'Species Codes'!B:I,8,0)*((((E221*2.54)^VLOOKUP(D221,'Species Codes'!B:L,11,0))*((I221*0.3048)^VLOOKUP(D221,'Species Codes'!B:M,12,0))))))*35.3*VLOOKUP(D221,'Species Codes'!B:G,6,0)/2.2046,VLOOKUP(D221,'Species Codes'!B:I,8,0)+VLOOKUP(D221,'Species Codes'!B:J,9,0)*(((E221*2.54)/100)^2)*(I221*0.3048)))))*0.0011023),0)</f>
        <v>#N/A</v>
      </c>
      <c r="AC221" s="104" t="e">
        <f>IF(Z221&gt;0,((IF(OR(D221="RA",D221="OA",D221="OT",D221="UN",D221="PC"),EXP(VLOOKUP(D221,'Species Codes'!B:O,14,0)+VLOOKUP(D221,'Species Codes'!B:P,15,0)*LN((E221*2.54)))-EXP(VLOOKUP(D221,'Species Codes'!B:O,14,0)+VLOOKUP(D221,'Species Codes'!B:P,15,0)*LN((E221*2.54)))*(1/(VLOOKUP(D221,'Species Codes'!B:Q,16,0)+VLOOKUP(D221,'Species Codes'!B:R,17,0)*((E221*2.54)^VLOOKUP(D221,'Species Codes'!B:S,18,0)))),IF(OR(D221="BM",D221="MD",D221="OA"),EXP(VLOOKUP(D221,'Species Codes'!B:O,14,0)+VLOOKUP(D221,'Species Codes'!B:P,15,0)*LN((E221*2.54)))*(1-(1/(VLOOKUP(D221,'Species Codes'!B:Q,16,0)+VLOOKUP(D221,'Species Codes'!B:R,17,0)*((E221*2.54)^VLOOKUP(D221,'Species Codes'!B:S,18,0)))))/1000,IF(D221="DF",EXP(VLOOKUP(D221,'Species Codes'!B:O,14,0)+VLOOKUP(D221,'Species Codes'!B:P,15,0)*LN((E221*2.54))),VLOOKUP(D221,'Species Codes'!B:O,14,0)+VLOOKUP(D221,'Species Codes'!B:P,15,0)*(((E221*2.54)/100)^2)*(I221*0.3048)))))*0.0011023),0)</f>
        <v>#N/A</v>
      </c>
      <c r="AD221" s="104" t="e">
        <f t="shared" ref="AD221:AD284" si="139">SUM(AA221:AC221)</f>
        <v>#N/A</v>
      </c>
      <c r="AE221" s="104" t="e">
        <f t="shared" ref="AE221:AE284" si="140">AD221*O221</f>
        <v>#N/A</v>
      </c>
      <c r="AF221" s="104" t="e">
        <f>IF(AND(VLOOKUP($D221,Merchantability!$B:$C,2,0)="Yes",$E221&gt;=VLOOKUP($D221,Merchantability!$B:$D,3,0),$E221&lt;=VLOOKUP($D221,Merchantability!$B:$E,4,0)),AA221,0)</f>
        <v>#N/A</v>
      </c>
      <c r="AG221" s="104" t="e">
        <f>IF(AND(VLOOKUP($D221,Merchantability!$B:$C,2,0)="Yes",$E221&gt;=VLOOKUP($D221,Merchantability!$B:$D,3,0),$E221&lt;=VLOOKUP($D221,Merchantability!$B:$E,4,0)),AB221,0)</f>
        <v>#N/A</v>
      </c>
      <c r="AH221" s="104" t="e">
        <f>IF(AND(VLOOKUP($D221,Merchantability!$B:$C,2,0)="Yes",$E221&gt;=VLOOKUP($D221,Merchantability!$B:$D,3,0),$E221&lt;=VLOOKUP($D221,Merchantability!$B:$E,4,0)),AC221,0)</f>
        <v>#N/A</v>
      </c>
      <c r="AI221" s="104" t="e">
        <f t="shared" ref="AI221:AI284" si="141">SUM(AF221:AH221)</f>
        <v>#N/A</v>
      </c>
      <c r="AJ221" s="104" t="e">
        <f t="shared" ref="AJ221:AJ284" si="142">AA221*$O221</f>
        <v>#VALUE!</v>
      </c>
      <c r="AK221" s="104" t="e">
        <f t="shared" ref="AK221:AK284" si="143">AB221*$O221</f>
        <v>#N/A</v>
      </c>
      <c r="AL221" s="104" t="e">
        <f t="shared" ref="AL221:AL284" si="144">AC221*$O221</f>
        <v>#N/A</v>
      </c>
      <c r="AM221" s="104" t="e">
        <f t="shared" ref="AM221:AM284" si="145">AD221*$O221</f>
        <v>#N/A</v>
      </c>
      <c r="AN221" s="104" t="e">
        <f t="shared" si="125"/>
        <v>#N/A</v>
      </c>
      <c r="AO221" s="104" t="e">
        <f t="shared" si="126"/>
        <v>#N/A</v>
      </c>
      <c r="AP221" s="104" t="e">
        <f t="shared" si="127"/>
        <v>#N/A</v>
      </c>
      <c r="AQ221" s="104" t="e">
        <f t="shared" si="128"/>
        <v>#N/A</v>
      </c>
      <c r="AR221" s="105" t="str">
        <f t="shared" si="129"/>
        <v/>
      </c>
      <c r="AS221" s="105" t="str">
        <f t="shared" si="130"/>
        <v/>
      </c>
      <c r="AT221" s="108" t="str">
        <f t="shared" si="131"/>
        <v/>
      </c>
      <c r="AU221" s="108" t="str">
        <f t="shared" si="132"/>
        <v/>
      </c>
      <c r="AV221" s="107" t="str">
        <f>IF(ISNUMBER(O221),IF(VLOOKUP($A221,Stand!C:J,8,FALSE)="Short",AT221,AU221),"")</f>
        <v/>
      </c>
      <c r="AW221" s="109" t="str">
        <f t="shared" si="133"/>
        <v/>
      </c>
      <c r="AX221" s="109" t="str">
        <f t="shared" si="134"/>
        <v/>
      </c>
      <c r="AY221" s="112" t="str">
        <f>IF(ISNUMBER(O221),IF(AND(VLOOKUP($D221,Merchantability!$B:$C,2,0)="Yes",$E221&gt;=VLOOKUP($D221,Merchantability!$B:$D,3,0),$E221&lt;=VLOOKUP($D221,Merchantability!$B:$E,4,0)),(AV221*O221)*(1-$H221/100),""),"")</f>
        <v/>
      </c>
      <c r="AZ221" s="116"/>
      <c r="BA221" s="116"/>
      <c r="BB221" s="116"/>
      <c r="BE221" s="62"/>
      <c r="BF221" s="63"/>
    </row>
    <row r="222" spans="1:58" ht="12.75" customHeight="1" x14ac:dyDescent="0.25">
      <c r="A222" s="313"/>
      <c r="B222" s="380"/>
      <c r="C222" s="381"/>
      <c r="D222" s="380"/>
      <c r="E222" s="382"/>
      <c r="F222" s="331"/>
      <c r="G222" s="329"/>
      <c r="H222" s="329"/>
      <c r="I222" s="380"/>
      <c r="J222" s="381"/>
      <c r="K222" s="329"/>
      <c r="L222" s="329"/>
      <c r="M222" s="76"/>
      <c r="N222" s="103" t="str">
        <f>IF(A222="","",VLOOKUP(A222,Stand!C:K,9,0))</f>
        <v/>
      </c>
      <c r="O222" s="104" t="str">
        <f t="shared" si="108"/>
        <v/>
      </c>
      <c r="P222" s="105" t="str">
        <f t="shared" si="109"/>
        <v/>
      </c>
      <c r="Q222" s="105" t="str">
        <f t="shared" si="135"/>
        <v/>
      </c>
      <c r="R222" s="103" t="str">
        <f t="shared" si="111"/>
        <v/>
      </c>
      <c r="S222" s="103" t="str">
        <f t="shared" si="112"/>
        <v/>
      </c>
      <c r="T222" s="106" t="str">
        <f t="shared" si="136"/>
        <v/>
      </c>
      <c r="U222" s="106" t="str">
        <f t="shared" si="137"/>
        <v/>
      </c>
      <c r="V222" s="106" t="str">
        <f t="shared" si="138"/>
        <v/>
      </c>
      <c r="W222" s="105" t="str">
        <f t="shared" si="116"/>
        <v/>
      </c>
      <c r="X222" s="104" t="str">
        <f t="shared" si="117"/>
        <v/>
      </c>
      <c r="Y222" s="104" t="str">
        <f t="array" ref="Y222">IFERROR(IF(ISNUMBER(O222),IF(COUNT(IF(A222=$A$2:$A$2427,IF(D222=$D$2:$D$2427,IF($X$2:$X$2427&gt;0,1))))&gt;0,SUM(IF(A222=$A$2:$A$2427,IF(D222=$D$2:$D$2427,$X$2:$X$2427)))/COUNT(IF(A222=$A$2:$A$2427,IF(D222=$D$2:$D$2427,IF(ISNUMBER($X$2:$X$2427),1)))),0),""),0)</f>
        <v/>
      </c>
      <c r="Z222" s="104" t="str">
        <f>IF(ISNUMBER(O222),IF(I222&gt;0,(10^(VLOOKUP(D222,'Species Codes'!B:C,2,0)+VLOOKUP(D222,'Species Codes'!B:D,3,0)*LOG(E222)+VLOOKUP(D222,'Species Codes'!B:E,4,0)*LOG(I222))),0),"")</f>
        <v/>
      </c>
      <c r="AA222" s="104" t="str">
        <f>IFERROR((VLOOKUP(D222,'Species Codes'!B:G,6,0)*Z222)/2000,"")</f>
        <v/>
      </c>
      <c r="AB222" s="104" t="e">
        <f>IF(Z222&gt;0,((IF(OR(D222="DF",D222="RA")=TRUE,EXP(VLOOKUP(D222,'Species Codes'!B:I,8,0)+VLOOKUP(D222,'Species Codes'!B:J,9,0)*(LN((E222*2.54)))),IF(OR(D222="PY",D222="RC",D222="WH",D222="NF")=TRUE,VLOOKUP(D222,'Species Codes'!B:I,8,0)+VLOOKUP(D222,'Species Codes'!B:J,9,0)*((E222*2.54)^2)*(I222*0.3048),IF(OR(D222="MD",D222="BM",D222="GA")=TRUE,((VLOOKUP(D222,'Species Codes'!B:I,8,0)*(((((E222*2.54)+VLOOKUP(D222,'Species Codes'!B:J,9,0))/VLOOKUP(D222,'Species Codes'!B:K,10,0))^VLOOKUP(D222,'Species Codes'!B:L,11,0))*((I222*0.3048)^VLOOKUP(D222,'Species Codes'!B:M,12,0))))-(VLOOKUP(D222,'Species Codes'!B:I,8,0)*((((E222*2.54)^VLOOKUP(D222,'Species Codes'!B:L,11,0))*((I222*0.3048)^VLOOKUP(D222,'Species Codes'!B:M,12,0))))))*35.3*VLOOKUP(D222,'Species Codes'!B:G,6,0)/2.2046,VLOOKUP(D222,'Species Codes'!B:I,8,0)+VLOOKUP(D222,'Species Codes'!B:J,9,0)*(((E222*2.54)/100)^2)*(I222*0.3048)))))*0.0011023),0)</f>
        <v>#N/A</v>
      </c>
      <c r="AC222" s="104" t="e">
        <f>IF(Z222&gt;0,((IF(OR(D222="RA",D222="OA",D222="OT",D222="UN",D222="PC"),EXP(VLOOKUP(D222,'Species Codes'!B:O,14,0)+VLOOKUP(D222,'Species Codes'!B:P,15,0)*LN((E222*2.54)))-EXP(VLOOKUP(D222,'Species Codes'!B:O,14,0)+VLOOKUP(D222,'Species Codes'!B:P,15,0)*LN((E222*2.54)))*(1/(VLOOKUP(D222,'Species Codes'!B:Q,16,0)+VLOOKUP(D222,'Species Codes'!B:R,17,0)*((E222*2.54)^VLOOKUP(D222,'Species Codes'!B:S,18,0)))),IF(OR(D222="BM",D222="MD",D222="OA"),EXP(VLOOKUP(D222,'Species Codes'!B:O,14,0)+VLOOKUP(D222,'Species Codes'!B:P,15,0)*LN((E222*2.54)))*(1-(1/(VLOOKUP(D222,'Species Codes'!B:Q,16,0)+VLOOKUP(D222,'Species Codes'!B:R,17,0)*((E222*2.54)^VLOOKUP(D222,'Species Codes'!B:S,18,0)))))/1000,IF(D222="DF",EXP(VLOOKUP(D222,'Species Codes'!B:O,14,0)+VLOOKUP(D222,'Species Codes'!B:P,15,0)*LN((E222*2.54))),VLOOKUP(D222,'Species Codes'!B:O,14,0)+VLOOKUP(D222,'Species Codes'!B:P,15,0)*(((E222*2.54)/100)^2)*(I222*0.3048)))))*0.0011023),0)</f>
        <v>#N/A</v>
      </c>
      <c r="AD222" s="104" t="e">
        <f t="shared" si="139"/>
        <v>#N/A</v>
      </c>
      <c r="AE222" s="104" t="e">
        <f t="shared" si="140"/>
        <v>#N/A</v>
      </c>
      <c r="AF222" s="104" t="e">
        <f>IF(AND(VLOOKUP($D222,Merchantability!$B:$C,2,0)="Yes",$E222&gt;=VLOOKUP($D222,Merchantability!$B:$D,3,0),$E222&lt;=VLOOKUP($D222,Merchantability!$B:$E,4,0)),AA222,0)</f>
        <v>#N/A</v>
      </c>
      <c r="AG222" s="104" t="e">
        <f>IF(AND(VLOOKUP($D222,Merchantability!$B:$C,2,0)="Yes",$E222&gt;=VLOOKUP($D222,Merchantability!$B:$D,3,0),$E222&lt;=VLOOKUP($D222,Merchantability!$B:$E,4,0)),AB222,0)</f>
        <v>#N/A</v>
      </c>
      <c r="AH222" s="104" t="e">
        <f>IF(AND(VLOOKUP($D222,Merchantability!$B:$C,2,0)="Yes",$E222&gt;=VLOOKUP($D222,Merchantability!$B:$D,3,0),$E222&lt;=VLOOKUP($D222,Merchantability!$B:$E,4,0)),AC222,0)</f>
        <v>#N/A</v>
      </c>
      <c r="AI222" s="104" t="e">
        <f t="shared" si="141"/>
        <v>#N/A</v>
      </c>
      <c r="AJ222" s="104" t="e">
        <f t="shared" si="142"/>
        <v>#VALUE!</v>
      </c>
      <c r="AK222" s="104" t="e">
        <f t="shared" si="143"/>
        <v>#N/A</v>
      </c>
      <c r="AL222" s="104" t="e">
        <f t="shared" si="144"/>
        <v>#N/A</v>
      </c>
      <c r="AM222" s="104" t="e">
        <f t="shared" si="145"/>
        <v>#N/A</v>
      </c>
      <c r="AN222" s="104" t="e">
        <f t="shared" si="125"/>
        <v>#N/A</v>
      </c>
      <c r="AO222" s="104" t="e">
        <f t="shared" si="126"/>
        <v>#N/A</v>
      </c>
      <c r="AP222" s="104" t="e">
        <f t="shared" si="127"/>
        <v>#N/A</v>
      </c>
      <c r="AQ222" s="104" t="e">
        <f t="shared" si="128"/>
        <v>#N/A</v>
      </c>
      <c r="AR222" s="105" t="str">
        <f t="shared" si="129"/>
        <v/>
      </c>
      <c r="AS222" s="105" t="str">
        <f t="shared" si="130"/>
        <v/>
      </c>
      <c r="AT222" s="108" t="str">
        <f t="shared" si="131"/>
        <v/>
      </c>
      <c r="AU222" s="108" t="str">
        <f t="shared" si="132"/>
        <v/>
      </c>
      <c r="AV222" s="107" t="str">
        <f>IF(ISNUMBER(O222),IF(VLOOKUP($A222,Stand!C:J,8,FALSE)="Short",AT222,AU222),"")</f>
        <v/>
      </c>
      <c r="AW222" s="109" t="str">
        <f t="shared" si="133"/>
        <v/>
      </c>
      <c r="AX222" s="109" t="str">
        <f t="shared" si="134"/>
        <v/>
      </c>
      <c r="AY222" s="112" t="str">
        <f>IF(ISNUMBER(O222),IF(AND(VLOOKUP($D222,Merchantability!$B:$C,2,0)="Yes",$E222&gt;=VLOOKUP($D222,Merchantability!$B:$D,3,0),$E222&lt;=VLOOKUP($D222,Merchantability!$B:$E,4,0)),(AV222*O222)*(1-$H222/100),""),"")</f>
        <v/>
      </c>
      <c r="AZ222" s="116"/>
      <c r="BA222" s="116"/>
      <c r="BB222" s="116"/>
      <c r="BE222" s="62"/>
      <c r="BF222" s="63"/>
    </row>
    <row r="223" spans="1:58" ht="12.75" customHeight="1" x14ac:dyDescent="0.25">
      <c r="A223" s="313"/>
      <c r="B223" s="380"/>
      <c r="C223" s="381"/>
      <c r="D223" s="380"/>
      <c r="E223" s="382"/>
      <c r="F223" s="331"/>
      <c r="G223" s="329"/>
      <c r="H223" s="329"/>
      <c r="I223" s="380"/>
      <c r="J223" s="381"/>
      <c r="K223" s="329"/>
      <c r="L223" s="329"/>
      <c r="M223" s="76"/>
      <c r="N223" s="103" t="str">
        <f>IF(A223="","",VLOOKUP(A223,Stand!C:K,9,0))</f>
        <v/>
      </c>
      <c r="O223" s="104" t="str">
        <f t="shared" si="108"/>
        <v/>
      </c>
      <c r="P223" s="105" t="str">
        <f t="shared" si="109"/>
        <v/>
      </c>
      <c r="Q223" s="105" t="str">
        <f t="shared" si="135"/>
        <v/>
      </c>
      <c r="R223" s="103" t="str">
        <f t="shared" si="111"/>
        <v/>
      </c>
      <c r="S223" s="103" t="str">
        <f t="shared" si="112"/>
        <v/>
      </c>
      <c r="T223" s="106" t="str">
        <f t="shared" si="136"/>
        <v/>
      </c>
      <c r="U223" s="106" t="str">
        <f t="shared" si="137"/>
        <v/>
      </c>
      <c r="V223" s="106" t="str">
        <f t="shared" si="138"/>
        <v/>
      </c>
      <c r="W223" s="105" t="str">
        <f t="shared" si="116"/>
        <v/>
      </c>
      <c r="X223" s="104" t="str">
        <f t="shared" si="117"/>
        <v/>
      </c>
      <c r="Y223" s="104" t="str">
        <f t="array" ref="Y223">IFERROR(IF(ISNUMBER(O223),IF(COUNT(IF(A223=$A$2:$A$2427,IF(D223=$D$2:$D$2427,IF($X$2:$X$2427&gt;0,1))))&gt;0,SUM(IF(A223=$A$2:$A$2427,IF(D223=$D$2:$D$2427,$X$2:$X$2427)))/COUNT(IF(A223=$A$2:$A$2427,IF(D223=$D$2:$D$2427,IF(ISNUMBER($X$2:$X$2427),1)))),0),""),0)</f>
        <v/>
      </c>
      <c r="Z223" s="104" t="str">
        <f>IF(ISNUMBER(O223),IF(I223&gt;0,(10^(VLOOKUP(D223,'Species Codes'!B:C,2,0)+VLOOKUP(D223,'Species Codes'!B:D,3,0)*LOG(E223)+VLOOKUP(D223,'Species Codes'!B:E,4,0)*LOG(I223))),0),"")</f>
        <v/>
      </c>
      <c r="AA223" s="104" t="str">
        <f>IFERROR((VLOOKUP(D223,'Species Codes'!B:G,6,0)*Z223)/2000,"")</f>
        <v/>
      </c>
      <c r="AB223" s="104" t="e">
        <f>IF(Z223&gt;0,((IF(OR(D223="DF",D223="RA")=TRUE,EXP(VLOOKUP(D223,'Species Codes'!B:I,8,0)+VLOOKUP(D223,'Species Codes'!B:J,9,0)*(LN((E223*2.54)))),IF(OR(D223="PY",D223="RC",D223="WH",D223="NF")=TRUE,VLOOKUP(D223,'Species Codes'!B:I,8,0)+VLOOKUP(D223,'Species Codes'!B:J,9,0)*((E223*2.54)^2)*(I223*0.3048),IF(OR(D223="MD",D223="BM",D223="GA")=TRUE,((VLOOKUP(D223,'Species Codes'!B:I,8,0)*(((((E223*2.54)+VLOOKUP(D223,'Species Codes'!B:J,9,0))/VLOOKUP(D223,'Species Codes'!B:K,10,0))^VLOOKUP(D223,'Species Codes'!B:L,11,0))*((I223*0.3048)^VLOOKUP(D223,'Species Codes'!B:M,12,0))))-(VLOOKUP(D223,'Species Codes'!B:I,8,0)*((((E223*2.54)^VLOOKUP(D223,'Species Codes'!B:L,11,0))*((I223*0.3048)^VLOOKUP(D223,'Species Codes'!B:M,12,0))))))*35.3*VLOOKUP(D223,'Species Codes'!B:G,6,0)/2.2046,VLOOKUP(D223,'Species Codes'!B:I,8,0)+VLOOKUP(D223,'Species Codes'!B:J,9,0)*(((E223*2.54)/100)^2)*(I223*0.3048)))))*0.0011023),0)</f>
        <v>#N/A</v>
      </c>
      <c r="AC223" s="104" t="e">
        <f>IF(Z223&gt;0,((IF(OR(D223="RA",D223="OA",D223="OT",D223="UN",D223="PC"),EXP(VLOOKUP(D223,'Species Codes'!B:O,14,0)+VLOOKUP(D223,'Species Codes'!B:P,15,0)*LN((E223*2.54)))-EXP(VLOOKUP(D223,'Species Codes'!B:O,14,0)+VLOOKUP(D223,'Species Codes'!B:P,15,0)*LN((E223*2.54)))*(1/(VLOOKUP(D223,'Species Codes'!B:Q,16,0)+VLOOKUP(D223,'Species Codes'!B:R,17,0)*((E223*2.54)^VLOOKUP(D223,'Species Codes'!B:S,18,0)))),IF(OR(D223="BM",D223="MD",D223="OA"),EXP(VLOOKUP(D223,'Species Codes'!B:O,14,0)+VLOOKUP(D223,'Species Codes'!B:P,15,0)*LN((E223*2.54)))*(1-(1/(VLOOKUP(D223,'Species Codes'!B:Q,16,0)+VLOOKUP(D223,'Species Codes'!B:R,17,0)*((E223*2.54)^VLOOKUP(D223,'Species Codes'!B:S,18,0)))))/1000,IF(D223="DF",EXP(VLOOKUP(D223,'Species Codes'!B:O,14,0)+VLOOKUP(D223,'Species Codes'!B:P,15,0)*LN((E223*2.54))),VLOOKUP(D223,'Species Codes'!B:O,14,0)+VLOOKUP(D223,'Species Codes'!B:P,15,0)*(((E223*2.54)/100)^2)*(I223*0.3048)))))*0.0011023),0)</f>
        <v>#N/A</v>
      </c>
      <c r="AD223" s="104" t="e">
        <f t="shared" si="139"/>
        <v>#N/A</v>
      </c>
      <c r="AE223" s="104" t="e">
        <f t="shared" si="140"/>
        <v>#N/A</v>
      </c>
      <c r="AF223" s="104" t="e">
        <f>IF(AND(VLOOKUP($D223,Merchantability!$B:$C,2,0)="Yes",$E223&gt;=VLOOKUP($D223,Merchantability!$B:$D,3,0),$E223&lt;=VLOOKUP($D223,Merchantability!$B:$E,4,0)),AA223,0)</f>
        <v>#N/A</v>
      </c>
      <c r="AG223" s="104" t="e">
        <f>IF(AND(VLOOKUP($D223,Merchantability!$B:$C,2,0)="Yes",$E223&gt;=VLOOKUP($D223,Merchantability!$B:$D,3,0),$E223&lt;=VLOOKUP($D223,Merchantability!$B:$E,4,0)),AB223,0)</f>
        <v>#N/A</v>
      </c>
      <c r="AH223" s="104" t="e">
        <f>IF(AND(VLOOKUP($D223,Merchantability!$B:$C,2,0)="Yes",$E223&gt;=VLOOKUP($D223,Merchantability!$B:$D,3,0),$E223&lt;=VLOOKUP($D223,Merchantability!$B:$E,4,0)),AC223,0)</f>
        <v>#N/A</v>
      </c>
      <c r="AI223" s="104" t="e">
        <f t="shared" si="141"/>
        <v>#N/A</v>
      </c>
      <c r="AJ223" s="104" t="e">
        <f t="shared" si="142"/>
        <v>#VALUE!</v>
      </c>
      <c r="AK223" s="104" t="e">
        <f t="shared" si="143"/>
        <v>#N/A</v>
      </c>
      <c r="AL223" s="104" t="e">
        <f t="shared" si="144"/>
        <v>#N/A</v>
      </c>
      <c r="AM223" s="104" t="e">
        <f t="shared" si="145"/>
        <v>#N/A</v>
      </c>
      <c r="AN223" s="104" t="e">
        <f t="shared" si="125"/>
        <v>#N/A</v>
      </c>
      <c r="AO223" s="104" t="e">
        <f t="shared" si="126"/>
        <v>#N/A</v>
      </c>
      <c r="AP223" s="104" t="e">
        <f t="shared" si="127"/>
        <v>#N/A</v>
      </c>
      <c r="AQ223" s="104" t="e">
        <f t="shared" si="128"/>
        <v>#N/A</v>
      </c>
      <c r="AR223" s="105" t="str">
        <f t="shared" si="129"/>
        <v/>
      </c>
      <c r="AS223" s="105" t="str">
        <f t="shared" si="130"/>
        <v/>
      </c>
      <c r="AT223" s="108" t="str">
        <f t="shared" si="131"/>
        <v/>
      </c>
      <c r="AU223" s="108" t="str">
        <f t="shared" si="132"/>
        <v/>
      </c>
      <c r="AV223" s="107" t="str">
        <f>IF(ISNUMBER(O223),IF(VLOOKUP($A223,Stand!C:J,8,FALSE)="Short",AT223,AU223),"")</f>
        <v/>
      </c>
      <c r="AW223" s="109" t="str">
        <f t="shared" si="133"/>
        <v/>
      </c>
      <c r="AX223" s="109" t="str">
        <f t="shared" si="134"/>
        <v/>
      </c>
      <c r="AY223" s="112" t="str">
        <f>IF(ISNUMBER(O223),IF(AND(VLOOKUP($D223,Merchantability!$B:$C,2,0)="Yes",$E223&gt;=VLOOKUP($D223,Merchantability!$B:$D,3,0),$E223&lt;=VLOOKUP($D223,Merchantability!$B:$E,4,0)),(AV223*O223)*(1-$H223/100),""),"")</f>
        <v/>
      </c>
      <c r="AZ223" s="116"/>
      <c r="BA223" s="116"/>
      <c r="BB223" s="116"/>
      <c r="BE223" s="62"/>
      <c r="BF223" s="63"/>
    </row>
    <row r="224" spans="1:58" ht="12.75" customHeight="1" x14ac:dyDescent="0.25">
      <c r="A224" s="313"/>
      <c r="B224" s="380"/>
      <c r="C224" s="381"/>
      <c r="D224" s="380"/>
      <c r="E224" s="382"/>
      <c r="F224" s="331"/>
      <c r="G224" s="329"/>
      <c r="H224" s="329"/>
      <c r="I224" s="380"/>
      <c r="J224" s="381"/>
      <c r="K224" s="329"/>
      <c r="L224" s="329"/>
      <c r="M224" s="76"/>
      <c r="N224" s="103" t="str">
        <f>IF(A224="","",VLOOKUP(A224,Stand!C:K,9,0))</f>
        <v/>
      </c>
      <c r="O224" s="104" t="str">
        <f t="shared" si="108"/>
        <v/>
      </c>
      <c r="P224" s="105" t="str">
        <f t="shared" si="109"/>
        <v/>
      </c>
      <c r="Q224" s="105" t="str">
        <f t="shared" si="135"/>
        <v/>
      </c>
      <c r="R224" s="103" t="str">
        <f t="shared" si="111"/>
        <v/>
      </c>
      <c r="S224" s="103" t="str">
        <f t="shared" si="112"/>
        <v/>
      </c>
      <c r="T224" s="106" t="str">
        <f t="shared" si="136"/>
        <v/>
      </c>
      <c r="U224" s="106" t="str">
        <f t="shared" si="137"/>
        <v/>
      </c>
      <c r="V224" s="106" t="str">
        <f t="shared" si="138"/>
        <v/>
      </c>
      <c r="W224" s="105" t="str">
        <f t="shared" si="116"/>
        <v/>
      </c>
      <c r="X224" s="104" t="str">
        <f t="shared" si="117"/>
        <v/>
      </c>
      <c r="Y224" s="104" t="str">
        <f t="array" ref="Y224">IFERROR(IF(ISNUMBER(O224),IF(COUNT(IF(A224=$A$2:$A$2427,IF(D224=$D$2:$D$2427,IF($X$2:$X$2427&gt;0,1))))&gt;0,SUM(IF(A224=$A$2:$A$2427,IF(D224=$D$2:$D$2427,$X$2:$X$2427)))/COUNT(IF(A224=$A$2:$A$2427,IF(D224=$D$2:$D$2427,IF(ISNUMBER($X$2:$X$2427),1)))),0),""),0)</f>
        <v/>
      </c>
      <c r="Z224" s="104" t="str">
        <f>IF(ISNUMBER(O224),IF(I224&gt;0,(10^(VLOOKUP(D224,'Species Codes'!B:C,2,0)+VLOOKUP(D224,'Species Codes'!B:D,3,0)*LOG(E224)+VLOOKUP(D224,'Species Codes'!B:E,4,0)*LOG(I224))),0),"")</f>
        <v/>
      </c>
      <c r="AA224" s="104" t="str">
        <f>IFERROR((VLOOKUP(D224,'Species Codes'!B:G,6,0)*Z224)/2000,"")</f>
        <v/>
      </c>
      <c r="AB224" s="104" t="e">
        <f>IF(Z224&gt;0,((IF(OR(D224="DF",D224="RA")=TRUE,EXP(VLOOKUP(D224,'Species Codes'!B:I,8,0)+VLOOKUP(D224,'Species Codes'!B:J,9,0)*(LN((E224*2.54)))),IF(OR(D224="PY",D224="RC",D224="WH",D224="NF")=TRUE,VLOOKUP(D224,'Species Codes'!B:I,8,0)+VLOOKUP(D224,'Species Codes'!B:J,9,0)*((E224*2.54)^2)*(I224*0.3048),IF(OR(D224="MD",D224="BM",D224="GA")=TRUE,((VLOOKUP(D224,'Species Codes'!B:I,8,0)*(((((E224*2.54)+VLOOKUP(D224,'Species Codes'!B:J,9,0))/VLOOKUP(D224,'Species Codes'!B:K,10,0))^VLOOKUP(D224,'Species Codes'!B:L,11,0))*((I224*0.3048)^VLOOKUP(D224,'Species Codes'!B:M,12,0))))-(VLOOKUP(D224,'Species Codes'!B:I,8,0)*((((E224*2.54)^VLOOKUP(D224,'Species Codes'!B:L,11,0))*((I224*0.3048)^VLOOKUP(D224,'Species Codes'!B:M,12,0))))))*35.3*VLOOKUP(D224,'Species Codes'!B:G,6,0)/2.2046,VLOOKUP(D224,'Species Codes'!B:I,8,0)+VLOOKUP(D224,'Species Codes'!B:J,9,0)*(((E224*2.54)/100)^2)*(I224*0.3048)))))*0.0011023),0)</f>
        <v>#N/A</v>
      </c>
      <c r="AC224" s="104" t="e">
        <f>IF(Z224&gt;0,((IF(OR(D224="RA",D224="OA",D224="OT",D224="UN",D224="PC"),EXP(VLOOKUP(D224,'Species Codes'!B:O,14,0)+VLOOKUP(D224,'Species Codes'!B:P,15,0)*LN((E224*2.54)))-EXP(VLOOKUP(D224,'Species Codes'!B:O,14,0)+VLOOKUP(D224,'Species Codes'!B:P,15,0)*LN((E224*2.54)))*(1/(VLOOKUP(D224,'Species Codes'!B:Q,16,0)+VLOOKUP(D224,'Species Codes'!B:R,17,0)*((E224*2.54)^VLOOKUP(D224,'Species Codes'!B:S,18,0)))),IF(OR(D224="BM",D224="MD",D224="OA"),EXP(VLOOKUP(D224,'Species Codes'!B:O,14,0)+VLOOKUP(D224,'Species Codes'!B:P,15,0)*LN((E224*2.54)))*(1-(1/(VLOOKUP(D224,'Species Codes'!B:Q,16,0)+VLOOKUP(D224,'Species Codes'!B:R,17,0)*((E224*2.54)^VLOOKUP(D224,'Species Codes'!B:S,18,0)))))/1000,IF(D224="DF",EXP(VLOOKUP(D224,'Species Codes'!B:O,14,0)+VLOOKUP(D224,'Species Codes'!B:P,15,0)*LN((E224*2.54))),VLOOKUP(D224,'Species Codes'!B:O,14,0)+VLOOKUP(D224,'Species Codes'!B:P,15,0)*(((E224*2.54)/100)^2)*(I224*0.3048)))))*0.0011023),0)</f>
        <v>#N/A</v>
      </c>
      <c r="AD224" s="104" t="e">
        <f t="shared" si="139"/>
        <v>#N/A</v>
      </c>
      <c r="AE224" s="104" t="e">
        <f t="shared" si="140"/>
        <v>#N/A</v>
      </c>
      <c r="AF224" s="104" t="e">
        <f>IF(AND(VLOOKUP($D224,Merchantability!$B:$C,2,0)="Yes",$E224&gt;=VLOOKUP($D224,Merchantability!$B:$D,3,0),$E224&lt;=VLOOKUP($D224,Merchantability!$B:$E,4,0)),AA224,0)</f>
        <v>#N/A</v>
      </c>
      <c r="AG224" s="104" t="e">
        <f>IF(AND(VLOOKUP($D224,Merchantability!$B:$C,2,0)="Yes",$E224&gt;=VLOOKUP($D224,Merchantability!$B:$D,3,0),$E224&lt;=VLOOKUP($D224,Merchantability!$B:$E,4,0)),AB224,0)</f>
        <v>#N/A</v>
      </c>
      <c r="AH224" s="104" t="e">
        <f>IF(AND(VLOOKUP($D224,Merchantability!$B:$C,2,0)="Yes",$E224&gt;=VLOOKUP($D224,Merchantability!$B:$D,3,0),$E224&lt;=VLOOKUP($D224,Merchantability!$B:$E,4,0)),AC224,0)</f>
        <v>#N/A</v>
      </c>
      <c r="AI224" s="104" t="e">
        <f t="shared" si="141"/>
        <v>#N/A</v>
      </c>
      <c r="AJ224" s="104" t="e">
        <f t="shared" si="142"/>
        <v>#VALUE!</v>
      </c>
      <c r="AK224" s="104" t="e">
        <f t="shared" si="143"/>
        <v>#N/A</v>
      </c>
      <c r="AL224" s="104" t="e">
        <f t="shared" si="144"/>
        <v>#N/A</v>
      </c>
      <c r="AM224" s="104" t="e">
        <f t="shared" si="145"/>
        <v>#N/A</v>
      </c>
      <c r="AN224" s="104" t="e">
        <f t="shared" si="125"/>
        <v>#N/A</v>
      </c>
      <c r="AO224" s="104" t="e">
        <f t="shared" si="126"/>
        <v>#N/A</v>
      </c>
      <c r="AP224" s="104" t="e">
        <f t="shared" si="127"/>
        <v>#N/A</v>
      </c>
      <c r="AQ224" s="104" t="e">
        <f t="shared" si="128"/>
        <v>#N/A</v>
      </c>
      <c r="AR224" s="105" t="str">
        <f t="shared" si="129"/>
        <v/>
      </c>
      <c r="AS224" s="105" t="str">
        <f t="shared" si="130"/>
        <v/>
      </c>
      <c r="AT224" s="108" t="str">
        <f t="shared" si="131"/>
        <v/>
      </c>
      <c r="AU224" s="108" t="str">
        <f t="shared" si="132"/>
        <v/>
      </c>
      <c r="AV224" s="107" t="str">
        <f>IF(ISNUMBER(O224),IF(VLOOKUP($A224,Stand!C:J,8,FALSE)="Short",AT224,AU224),"")</f>
        <v/>
      </c>
      <c r="AW224" s="109" t="str">
        <f t="shared" si="133"/>
        <v/>
      </c>
      <c r="AX224" s="109" t="str">
        <f t="shared" si="134"/>
        <v/>
      </c>
      <c r="AY224" s="112" t="str">
        <f>IF(ISNUMBER(O224),IF(AND(VLOOKUP($D224,Merchantability!$B:$C,2,0)="Yes",$E224&gt;=VLOOKUP($D224,Merchantability!$B:$D,3,0),$E224&lt;=VLOOKUP($D224,Merchantability!$B:$E,4,0)),(AV224*O224)*(1-$H224/100),""),"")</f>
        <v/>
      </c>
      <c r="AZ224" s="116"/>
      <c r="BA224" s="116"/>
      <c r="BB224" s="116"/>
      <c r="BE224" s="62"/>
      <c r="BF224" s="63"/>
    </row>
    <row r="225" spans="1:58" ht="12.75" customHeight="1" x14ac:dyDescent="0.25">
      <c r="A225" s="313"/>
      <c r="B225" s="380"/>
      <c r="C225" s="381"/>
      <c r="D225" s="380"/>
      <c r="E225" s="382"/>
      <c r="F225" s="331"/>
      <c r="G225" s="329"/>
      <c r="H225" s="329"/>
      <c r="I225" s="380"/>
      <c r="J225" s="381"/>
      <c r="K225" s="329"/>
      <c r="L225" s="329"/>
      <c r="M225" s="76"/>
      <c r="N225" s="103" t="str">
        <f>IF(A225="","",VLOOKUP(A225,Stand!C:K,9,0))</f>
        <v/>
      </c>
      <c r="O225" s="104" t="str">
        <f t="shared" si="108"/>
        <v/>
      </c>
      <c r="P225" s="105" t="str">
        <f t="shared" si="109"/>
        <v/>
      </c>
      <c r="Q225" s="105" t="str">
        <f t="shared" si="135"/>
        <v/>
      </c>
      <c r="R225" s="103" t="str">
        <f t="shared" si="111"/>
        <v/>
      </c>
      <c r="S225" s="103" t="str">
        <f t="shared" si="112"/>
        <v/>
      </c>
      <c r="T225" s="106" t="str">
        <f t="shared" si="136"/>
        <v/>
      </c>
      <c r="U225" s="106" t="str">
        <f t="shared" si="137"/>
        <v/>
      </c>
      <c r="V225" s="106" t="str">
        <f t="shared" si="138"/>
        <v/>
      </c>
      <c r="W225" s="105" t="str">
        <f t="shared" si="116"/>
        <v/>
      </c>
      <c r="X225" s="104" t="str">
        <f t="shared" si="117"/>
        <v/>
      </c>
      <c r="Y225" s="104" t="str">
        <f t="array" ref="Y225">IFERROR(IF(ISNUMBER(O225),IF(COUNT(IF(A225=$A$2:$A$2427,IF(D225=$D$2:$D$2427,IF($X$2:$X$2427&gt;0,1))))&gt;0,SUM(IF(A225=$A$2:$A$2427,IF(D225=$D$2:$D$2427,$X$2:$X$2427)))/COUNT(IF(A225=$A$2:$A$2427,IF(D225=$D$2:$D$2427,IF(ISNUMBER($X$2:$X$2427),1)))),0),""),0)</f>
        <v/>
      </c>
      <c r="Z225" s="104" t="str">
        <f>IF(ISNUMBER(O225),IF(I225&gt;0,(10^(VLOOKUP(D225,'Species Codes'!B:C,2,0)+VLOOKUP(D225,'Species Codes'!B:D,3,0)*LOG(E225)+VLOOKUP(D225,'Species Codes'!B:E,4,0)*LOG(I225))),0),"")</f>
        <v/>
      </c>
      <c r="AA225" s="104" t="str">
        <f>IFERROR((VLOOKUP(D225,'Species Codes'!B:G,6,0)*Z225)/2000,"")</f>
        <v/>
      </c>
      <c r="AB225" s="104" t="e">
        <f>IF(Z225&gt;0,((IF(OR(D225="DF",D225="RA")=TRUE,EXP(VLOOKUP(D225,'Species Codes'!B:I,8,0)+VLOOKUP(D225,'Species Codes'!B:J,9,0)*(LN((E225*2.54)))),IF(OR(D225="PY",D225="RC",D225="WH",D225="NF")=TRUE,VLOOKUP(D225,'Species Codes'!B:I,8,0)+VLOOKUP(D225,'Species Codes'!B:J,9,0)*((E225*2.54)^2)*(I225*0.3048),IF(OR(D225="MD",D225="BM",D225="GA")=TRUE,((VLOOKUP(D225,'Species Codes'!B:I,8,0)*(((((E225*2.54)+VLOOKUP(D225,'Species Codes'!B:J,9,0))/VLOOKUP(D225,'Species Codes'!B:K,10,0))^VLOOKUP(D225,'Species Codes'!B:L,11,0))*((I225*0.3048)^VLOOKUP(D225,'Species Codes'!B:M,12,0))))-(VLOOKUP(D225,'Species Codes'!B:I,8,0)*((((E225*2.54)^VLOOKUP(D225,'Species Codes'!B:L,11,0))*((I225*0.3048)^VLOOKUP(D225,'Species Codes'!B:M,12,0))))))*35.3*VLOOKUP(D225,'Species Codes'!B:G,6,0)/2.2046,VLOOKUP(D225,'Species Codes'!B:I,8,0)+VLOOKUP(D225,'Species Codes'!B:J,9,0)*(((E225*2.54)/100)^2)*(I225*0.3048)))))*0.0011023),0)</f>
        <v>#N/A</v>
      </c>
      <c r="AC225" s="104" t="e">
        <f>IF(Z225&gt;0,((IF(OR(D225="RA",D225="OA",D225="OT",D225="UN",D225="PC"),EXP(VLOOKUP(D225,'Species Codes'!B:O,14,0)+VLOOKUP(D225,'Species Codes'!B:P,15,0)*LN((E225*2.54)))-EXP(VLOOKUP(D225,'Species Codes'!B:O,14,0)+VLOOKUP(D225,'Species Codes'!B:P,15,0)*LN((E225*2.54)))*(1/(VLOOKUP(D225,'Species Codes'!B:Q,16,0)+VLOOKUP(D225,'Species Codes'!B:R,17,0)*((E225*2.54)^VLOOKUP(D225,'Species Codes'!B:S,18,0)))),IF(OR(D225="BM",D225="MD",D225="OA"),EXP(VLOOKUP(D225,'Species Codes'!B:O,14,0)+VLOOKUP(D225,'Species Codes'!B:P,15,0)*LN((E225*2.54)))*(1-(1/(VLOOKUP(D225,'Species Codes'!B:Q,16,0)+VLOOKUP(D225,'Species Codes'!B:R,17,0)*((E225*2.54)^VLOOKUP(D225,'Species Codes'!B:S,18,0)))))/1000,IF(D225="DF",EXP(VLOOKUP(D225,'Species Codes'!B:O,14,0)+VLOOKUP(D225,'Species Codes'!B:P,15,0)*LN((E225*2.54))),VLOOKUP(D225,'Species Codes'!B:O,14,0)+VLOOKUP(D225,'Species Codes'!B:P,15,0)*(((E225*2.54)/100)^2)*(I225*0.3048)))))*0.0011023),0)</f>
        <v>#N/A</v>
      </c>
      <c r="AD225" s="104" t="e">
        <f t="shared" si="139"/>
        <v>#N/A</v>
      </c>
      <c r="AE225" s="104" t="e">
        <f t="shared" si="140"/>
        <v>#N/A</v>
      </c>
      <c r="AF225" s="104" t="e">
        <f>IF(AND(VLOOKUP($D225,Merchantability!$B:$C,2,0)="Yes",$E225&gt;=VLOOKUP($D225,Merchantability!$B:$D,3,0),$E225&lt;=VLOOKUP($D225,Merchantability!$B:$E,4,0)),AA225,0)</f>
        <v>#N/A</v>
      </c>
      <c r="AG225" s="104" t="e">
        <f>IF(AND(VLOOKUP($D225,Merchantability!$B:$C,2,0)="Yes",$E225&gt;=VLOOKUP($D225,Merchantability!$B:$D,3,0),$E225&lt;=VLOOKUP($D225,Merchantability!$B:$E,4,0)),AB225,0)</f>
        <v>#N/A</v>
      </c>
      <c r="AH225" s="104" t="e">
        <f>IF(AND(VLOOKUP($D225,Merchantability!$B:$C,2,0)="Yes",$E225&gt;=VLOOKUP($D225,Merchantability!$B:$D,3,0),$E225&lt;=VLOOKUP($D225,Merchantability!$B:$E,4,0)),AC225,0)</f>
        <v>#N/A</v>
      </c>
      <c r="AI225" s="104" t="e">
        <f t="shared" si="141"/>
        <v>#N/A</v>
      </c>
      <c r="AJ225" s="104" t="e">
        <f t="shared" si="142"/>
        <v>#VALUE!</v>
      </c>
      <c r="AK225" s="104" t="e">
        <f t="shared" si="143"/>
        <v>#N/A</v>
      </c>
      <c r="AL225" s="104" t="e">
        <f t="shared" si="144"/>
        <v>#N/A</v>
      </c>
      <c r="AM225" s="104" t="e">
        <f t="shared" si="145"/>
        <v>#N/A</v>
      </c>
      <c r="AN225" s="104" t="e">
        <f t="shared" si="125"/>
        <v>#N/A</v>
      </c>
      <c r="AO225" s="104" t="e">
        <f t="shared" si="126"/>
        <v>#N/A</v>
      </c>
      <c r="AP225" s="104" t="e">
        <f t="shared" si="127"/>
        <v>#N/A</v>
      </c>
      <c r="AQ225" s="104" t="e">
        <f t="shared" si="128"/>
        <v>#N/A</v>
      </c>
      <c r="AR225" s="105" t="str">
        <f t="shared" si="129"/>
        <v/>
      </c>
      <c r="AS225" s="105" t="str">
        <f t="shared" si="130"/>
        <v/>
      </c>
      <c r="AT225" s="108" t="str">
        <f t="shared" si="131"/>
        <v/>
      </c>
      <c r="AU225" s="108" t="str">
        <f t="shared" si="132"/>
        <v/>
      </c>
      <c r="AV225" s="107" t="str">
        <f>IF(ISNUMBER(O225),IF(VLOOKUP($A225,Stand!C:J,8,FALSE)="Short",AT225,AU225),"")</f>
        <v/>
      </c>
      <c r="AW225" s="109" t="str">
        <f t="shared" si="133"/>
        <v/>
      </c>
      <c r="AX225" s="109" t="str">
        <f t="shared" si="134"/>
        <v/>
      </c>
      <c r="AY225" s="112" t="str">
        <f>IF(ISNUMBER(O225),IF(AND(VLOOKUP($D225,Merchantability!$B:$C,2,0)="Yes",$E225&gt;=VLOOKUP($D225,Merchantability!$B:$D,3,0),$E225&lt;=VLOOKUP($D225,Merchantability!$B:$E,4,0)),(AV225*O225)*(1-$H225/100),""),"")</f>
        <v/>
      </c>
      <c r="AZ225" s="116"/>
      <c r="BA225" s="116"/>
      <c r="BB225" s="116"/>
      <c r="BE225" s="62"/>
      <c r="BF225" s="63"/>
    </row>
    <row r="226" spans="1:58" ht="12.75" customHeight="1" x14ac:dyDescent="0.25">
      <c r="A226" s="313"/>
      <c r="B226" s="380"/>
      <c r="C226" s="381"/>
      <c r="D226" s="380"/>
      <c r="E226" s="382"/>
      <c r="F226" s="331"/>
      <c r="G226" s="329"/>
      <c r="H226" s="329"/>
      <c r="I226" s="380"/>
      <c r="J226" s="381"/>
      <c r="K226" s="329"/>
      <c r="L226" s="329"/>
      <c r="M226" s="76"/>
      <c r="N226" s="103" t="str">
        <f>IF(A226="","",VLOOKUP(A226,Stand!C:K,9,0))</f>
        <v/>
      </c>
      <c r="O226" s="104" t="str">
        <f t="shared" si="108"/>
        <v/>
      </c>
      <c r="P226" s="105" t="str">
        <f t="shared" si="109"/>
        <v/>
      </c>
      <c r="Q226" s="105" t="str">
        <f t="shared" si="135"/>
        <v/>
      </c>
      <c r="R226" s="103" t="str">
        <f t="shared" si="111"/>
        <v/>
      </c>
      <c r="S226" s="103" t="str">
        <f t="shared" si="112"/>
        <v/>
      </c>
      <c r="T226" s="106" t="str">
        <f t="shared" si="136"/>
        <v/>
      </c>
      <c r="U226" s="106" t="str">
        <f t="shared" si="137"/>
        <v/>
      </c>
      <c r="V226" s="106" t="str">
        <f t="shared" si="138"/>
        <v/>
      </c>
      <c r="W226" s="105" t="str">
        <f t="shared" si="116"/>
        <v/>
      </c>
      <c r="X226" s="104" t="str">
        <f t="shared" si="117"/>
        <v/>
      </c>
      <c r="Y226" s="104" t="str">
        <f t="array" ref="Y226">IFERROR(IF(ISNUMBER(O226),IF(COUNT(IF(A226=$A$2:$A$2427,IF(D226=$D$2:$D$2427,IF($X$2:$X$2427&gt;0,1))))&gt;0,SUM(IF(A226=$A$2:$A$2427,IF(D226=$D$2:$D$2427,$X$2:$X$2427)))/COUNT(IF(A226=$A$2:$A$2427,IF(D226=$D$2:$D$2427,IF(ISNUMBER($X$2:$X$2427),1)))),0),""),0)</f>
        <v/>
      </c>
      <c r="Z226" s="104" t="str">
        <f>IF(ISNUMBER(O226),IF(I226&gt;0,(10^(VLOOKUP(D226,'Species Codes'!B:C,2,0)+VLOOKUP(D226,'Species Codes'!B:D,3,0)*LOG(E226)+VLOOKUP(D226,'Species Codes'!B:E,4,0)*LOG(I226))),0),"")</f>
        <v/>
      </c>
      <c r="AA226" s="104" t="str">
        <f>IFERROR((VLOOKUP(D226,'Species Codes'!B:G,6,0)*Z226)/2000,"")</f>
        <v/>
      </c>
      <c r="AB226" s="104" t="e">
        <f>IF(Z226&gt;0,((IF(OR(D226="DF",D226="RA")=TRUE,EXP(VLOOKUP(D226,'Species Codes'!B:I,8,0)+VLOOKUP(D226,'Species Codes'!B:J,9,0)*(LN((E226*2.54)))),IF(OR(D226="PY",D226="RC",D226="WH",D226="NF")=TRUE,VLOOKUP(D226,'Species Codes'!B:I,8,0)+VLOOKUP(D226,'Species Codes'!B:J,9,0)*((E226*2.54)^2)*(I226*0.3048),IF(OR(D226="MD",D226="BM",D226="GA")=TRUE,((VLOOKUP(D226,'Species Codes'!B:I,8,0)*(((((E226*2.54)+VLOOKUP(D226,'Species Codes'!B:J,9,0))/VLOOKUP(D226,'Species Codes'!B:K,10,0))^VLOOKUP(D226,'Species Codes'!B:L,11,0))*((I226*0.3048)^VLOOKUP(D226,'Species Codes'!B:M,12,0))))-(VLOOKUP(D226,'Species Codes'!B:I,8,0)*((((E226*2.54)^VLOOKUP(D226,'Species Codes'!B:L,11,0))*((I226*0.3048)^VLOOKUP(D226,'Species Codes'!B:M,12,0))))))*35.3*VLOOKUP(D226,'Species Codes'!B:G,6,0)/2.2046,VLOOKUP(D226,'Species Codes'!B:I,8,0)+VLOOKUP(D226,'Species Codes'!B:J,9,0)*(((E226*2.54)/100)^2)*(I226*0.3048)))))*0.0011023),0)</f>
        <v>#N/A</v>
      </c>
      <c r="AC226" s="104" t="e">
        <f>IF(Z226&gt;0,((IF(OR(D226="RA",D226="OA",D226="OT",D226="UN",D226="PC"),EXP(VLOOKUP(D226,'Species Codes'!B:O,14,0)+VLOOKUP(D226,'Species Codes'!B:P,15,0)*LN((E226*2.54)))-EXP(VLOOKUP(D226,'Species Codes'!B:O,14,0)+VLOOKUP(D226,'Species Codes'!B:P,15,0)*LN((E226*2.54)))*(1/(VLOOKUP(D226,'Species Codes'!B:Q,16,0)+VLOOKUP(D226,'Species Codes'!B:R,17,0)*((E226*2.54)^VLOOKUP(D226,'Species Codes'!B:S,18,0)))),IF(OR(D226="BM",D226="MD",D226="OA"),EXP(VLOOKUP(D226,'Species Codes'!B:O,14,0)+VLOOKUP(D226,'Species Codes'!B:P,15,0)*LN((E226*2.54)))*(1-(1/(VLOOKUP(D226,'Species Codes'!B:Q,16,0)+VLOOKUP(D226,'Species Codes'!B:R,17,0)*((E226*2.54)^VLOOKUP(D226,'Species Codes'!B:S,18,0)))))/1000,IF(D226="DF",EXP(VLOOKUP(D226,'Species Codes'!B:O,14,0)+VLOOKUP(D226,'Species Codes'!B:P,15,0)*LN((E226*2.54))),VLOOKUP(D226,'Species Codes'!B:O,14,0)+VLOOKUP(D226,'Species Codes'!B:P,15,0)*(((E226*2.54)/100)^2)*(I226*0.3048)))))*0.0011023),0)</f>
        <v>#N/A</v>
      </c>
      <c r="AD226" s="104" t="e">
        <f t="shared" si="139"/>
        <v>#N/A</v>
      </c>
      <c r="AE226" s="104" t="e">
        <f t="shared" si="140"/>
        <v>#N/A</v>
      </c>
      <c r="AF226" s="104" t="e">
        <f>IF(AND(VLOOKUP($D226,Merchantability!$B:$C,2,0)="Yes",$E226&gt;=VLOOKUP($D226,Merchantability!$B:$D,3,0),$E226&lt;=VLOOKUP($D226,Merchantability!$B:$E,4,0)),AA226,0)</f>
        <v>#N/A</v>
      </c>
      <c r="AG226" s="104" t="e">
        <f>IF(AND(VLOOKUP($D226,Merchantability!$B:$C,2,0)="Yes",$E226&gt;=VLOOKUP($D226,Merchantability!$B:$D,3,0),$E226&lt;=VLOOKUP($D226,Merchantability!$B:$E,4,0)),AB226,0)</f>
        <v>#N/A</v>
      </c>
      <c r="AH226" s="104" t="e">
        <f>IF(AND(VLOOKUP($D226,Merchantability!$B:$C,2,0)="Yes",$E226&gt;=VLOOKUP($D226,Merchantability!$B:$D,3,0),$E226&lt;=VLOOKUP($D226,Merchantability!$B:$E,4,0)),AC226,0)</f>
        <v>#N/A</v>
      </c>
      <c r="AI226" s="104" t="e">
        <f t="shared" si="141"/>
        <v>#N/A</v>
      </c>
      <c r="AJ226" s="104" t="e">
        <f t="shared" si="142"/>
        <v>#VALUE!</v>
      </c>
      <c r="AK226" s="104" t="e">
        <f t="shared" si="143"/>
        <v>#N/A</v>
      </c>
      <c r="AL226" s="104" t="e">
        <f t="shared" si="144"/>
        <v>#N/A</v>
      </c>
      <c r="AM226" s="104" t="e">
        <f t="shared" si="145"/>
        <v>#N/A</v>
      </c>
      <c r="AN226" s="104" t="e">
        <f t="shared" si="125"/>
        <v>#N/A</v>
      </c>
      <c r="AO226" s="104" t="e">
        <f t="shared" si="126"/>
        <v>#N/A</v>
      </c>
      <c r="AP226" s="104" t="e">
        <f t="shared" si="127"/>
        <v>#N/A</v>
      </c>
      <c r="AQ226" s="104" t="e">
        <f t="shared" si="128"/>
        <v>#N/A</v>
      </c>
      <c r="AR226" s="105" t="str">
        <f t="shared" si="129"/>
        <v/>
      </c>
      <c r="AS226" s="105" t="str">
        <f t="shared" si="130"/>
        <v/>
      </c>
      <c r="AT226" s="108" t="str">
        <f t="shared" si="131"/>
        <v/>
      </c>
      <c r="AU226" s="108" t="str">
        <f t="shared" si="132"/>
        <v/>
      </c>
      <c r="AV226" s="107" t="str">
        <f>IF(ISNUMBER(O226),IF(VLOOKUP($A226,Stand!C:J,8,FALSE)="Short",AT226,AU226),"")</f>
        <v/>
      </c>
      <c r="AW226" s="109" t="str">
        <f t="shared" si="133"/>
        <v/>
      </c>
      <c r="AX226" s="109" t="str">
        <f t="shared" si="134"/>
        <v/>
      </c>
      <c r="AY226" s="112" t="str">
        <f>IF(ISNUMBER(O226),IF(AND(VLOOKUP($D226,Merchantability!$B:$C,2,0)="Yes",$E226&gt;=VLOOKUP($D226,Merchantability!$B:$D,3,0),$E226&lt;=VLOOKUP($D226,Merchantability!$B:$E,4,0)),(AV226*O226)*(1-$H226/100),""),"")</f>
        <v/>
      </c>
      <c r="AZ226" s="116"/>
      <c r="BA226" s="116"/>
      <c r="BB226" s="116"/>
      <c r="BE226" s="62"/>
      <c r="BF226" s="63"/>
    </row>
    <row r="227" spans="1:58" ht="12.75" customHeight="1" x14ac:dyDescent="0.25">
      <c r="A227" s="313"/>
      <c r="B227" s="380"/>
      <c r="C227" s="381"/>
      <c r="D227" s="380"/>
      <c r="E227" s="382"/>
      <c r="F227" s="331"/>
      <c r="G227" s="329"/>
      <c r="H227" s="329"/>
      <c r="I227" s="380"/>
      <c r="J227" s="381"/>
      <c r="K227" s="329"/>
      <c r="L227" s="329"/>
      <c r="M227" s="76"/>
      <c r="N227" s="103" t="str">
        <f>IF(A227="","",VLOOKUP(A227,Stand!C:K,9,0))</f>
        <v/>
      </c>
      <c r="O227" s="104" t="str">
        <f t="shared" si="108"/>
        <v/>
      </c>
      <c r="P227" s="105" t="str">
        <f t="shared" si="109"/>
        <v/>
      </c>
      <c r="Q227" s="105" t="str">
        <f t="shared" si="135"/>
        <v/>
      </c>
      <c r="R227" s="103" t="str">
        <f t="shared" si="111"/>
        <v/>
      </c>
      <c r="S227" s="103" t="str">
        <f t="shared" si="112"/>
        <v/>
      </c>
      <c r="T227" s="106" t="str">
        <f t="shared" si="136"/>
        <v/>
      </c>
      <c r="U227" s="106" t="str">
        <f t="shared" si="137"/>
        <v/>
      </c>
      <c r="V227" s="106" t="str">
        <f t="shared" si="138"/>
        <v/>
      </c>
      <c r="W227" s="105" t="str">
        <f t="shared" si="116"/>
        <v/>
      </c>
      <c r="X227" s="104" t="str">
        <f t="shared" si="117"/>
        <v/>
      </c>
      <c r="Y227" s="104" t="str">
        <f t="array" ref="Y227">IFERROR(IF(ISNUMBER(O227),IF(COUNT(IF(A227=$A$2:$A$2427,IF(D227=$D$2:$D$2427,IF($X$2:$X$2427&gt;0,1))))&gt;0,SUM(IF(A227=$A$2:$A$2427,IF(D227=$D$2:$D$2427,$X$2:$X$2427)))/COUNT(IF(A227=$A$2:$A$2427,IF(D227=$D$2:$D$2427,IF(ISNUMBER($X$2:$X$2427),1)))),0),""),0)</f>
        <v/>
      </c>
      <c r="Z227" s="104" t="str">
        <f>IF(ISNUMBER(O227),IF(I227&gt;0,(10^(VLOOKUP(D227,'Species Codes'!B:C,2,0)+VLOOKUP(D227,'Species Codes'!B:D,3,0)*LOG(E227)+VLOOKUP(D227,'Species Codes'!B:E,4,0)*LOG(I227))),0),"")</f>
        <v/>
      </c>
      <c r="AA227" s="104" t="str">
        <f>IFERROR((VLOOKUP(D227,'Species Codes'!B:G,6,0)*Z227)/2000,"")</f>
        <v/>
      </c>
      <c r="AB227" s="104" t="e">
        <f>IF(Z227&gt;0,((IF(OR(D227="DF",D227="RA")=TRUE,EXP(VLOOKUP(D227,'Species Codes'!B:I,8,0)+VLOOKUP(D227,'Species Codes'!B:J,9,0)*(LN((E227*2.54)))),IF(OR(D227="PY",D227="RC",D227="WH",D227="NF")=TRUE,VLOOKUP(D227,'Species Codes'!B:I,8,0)+VLOOKUP(D227,'Species Codes'!B:J,9,0)*((E227*2.54)^2)*(I227*0.3048),IF(OR(D227="MD",D227="BM",D227="GA")=TRUE,((VLOOKUP(D227,'Species Codes'!B:I,8,0)*(((((E227*2.54)+VLOOKUP(D227,'Species Codes'!B:J,9,0))/VLOOKUP(D227,'Species Codes'!B:K,10,0))^VLOOKUP(D227,'Species Codes'!B:L,11,0))*((I227*0.3048)^VLOOKUP(D227,'Species Codes'!B:M,12,0))))-(VLOOKUP(D227,'Species Codes'!B:I,8,0)*((((E227*2.54)^VLOOKUP(D227,'Species Codes'!B:L,11,0))*((I227*0.3048)^VLOOKUP(D227,'Species Codes'!B:M,12,0))))))*35.3*VLOOKUP(D227,'Species Codes'!B:G,6,0)/2.2046,VLOOKUP(D227,'Species Codes'!B:I,8,0)+VLOOKUP(D227,'Species Codes'!B:J,9,0)*(((E227*2.54)/100)^2)*(I227*0.3048)))))*0.0011023),0)</f>
        <v>#N/A</v>
      </c>
      <c r="AC227" s="104" t="e">
        <f>IF(Z227&gt;0,((IF(OR(D227="RA",D227="OA",D227="OT",D227="UN",D227="PC"),EXP(VLOOKUP(D227,'Species Codes'!B:O,14,0)+VLOOKUP(D227,'Species Codes'!B:P,15,0)*LN((E227*2.54)))-EXP(VLOOKUP(D227,'Species Codes'!B:O,14,0)+VLOOKUP(D227,'Species Codes'!B:P,15,0)*LN((E227*2.54)))*(1/(VLOOKUP(D227,'Species Codes'!B:Q,16,0)+VLOOKUP(D227,'Species Codes'!B:R,17,0)*((E227*2.54)^VLOOKUP(D227,'Species Codes'!B:S,18,0)))),IF(OR(D227="BM",D227="MD",D227="OA"),EXP(VLOOKUP(D227,'Species Codes'!B:O,14,0)+VLOOKUP(D227,'Species Codes'!B:P,15,0)*LN((E227*2.54)))*(1-(1/(VLOOKUP(D227,'Species Codes'!B:Q,16,0)+VLOOKUP(D227,'Species Codes'!B:R,17,0)*((E227*2.54)^VLOOKUP(D227,'Species Codes'!B:S,18,0)))))/1000,IF(D227="DF",EXP(VLOOKUP(D227,'Species Codes'!B:O,14,0)+VLOOKUP(D227,'Species Codes'!B:P,15,0)*LN((E227*2.54))),VLOOKUP(D227,'Species Codes'!B:O,14,0)+VLOOKUP(D227,'Species Codes'!B:P,15,0)*(((E227*2.54)/100)^2)*(I227*0.3048)))))*0.0011023),0)</f>
        <v>#N/A</v>
      </c>
      <c r="AD227" s="104" t="e">
        <f t="shared" si="139"/>
        <v>#N/A</v>
      </c>
      <c r="AE227" s="104" t="e">
        <f t="shared" si="140"/>
        <v>#N/A</v>
      </c>
      <c r="AF227" s="104" t="e">
        <f>IF(AND(VLOOKUP($D227,Merchantability!$B:$C,2,0)="Yes",$E227&gt;=VLOOKUP($D227,Merchantability!$B:$D,3,0),$E227&lt;=VLOOKUP($D227,Merchantability!$B:$E,4,0)),AA227,0)</f>
        <v>#N/A</v>
      </c>
      <c r="AG227" s="104" t="e">
        <f>IF(AND(VLOOKUP($D227,Merchantability!$B:$C,2,0)="Yes",$E227&gt;=VLOOKUP($D227,Merchantability!$B:$D,3,0),$E227&lt;=VLOOKUP($D227,Merchantability!$B:$E,4,0)),AB227,0)</f>
        <v>#N/A</v>
      </c>
      <c r="AH227" s="104" t="e">
        <f>IF(AND(VLOOKUP($D227,Merchantability!$B:$C,2,0)="Yes",$E227&gt;=VLOOKUP($D227,Merchantability!$B:$D,3,0),$E227&lt;=VLOOKUP($D227,Merchantability!$B:$E,4,0)),AC227,0)</f>
        <v>#N/A</v>
      </c>
      <c r="AI227" s="104" t="e">
        <f t="shared" si="141"/>
        <v>#N/A</v>
      </c>
      <c r="AJ227" s="104" t="e">
        <f t="shared" si="142"/>
        <v>#VALUE!</v>
      </c>
      <c r="AK227" s="104" t="e">
        <f t="shared" si="143"/>
        <v>#N/A</v>
      </c>
      <c r="AL227" s="104" t="e">
        <f t="shared" si="144"/>
        <v>#N/A</v>
      </c>
      <c r="AM227" s="104" t="e">
        <f t="shared" si="145"/>
        <v>#N/A</v>
      </c>
      <c r="AN227" s="104" t="e">
        <f t="shared" si="125"/>
        <v>#N/A</v>
      </c>
      <c r="AO227" s="104" t="e">
        <f t="shared" si="126"/>
        <v>#N/A</v>
      </c>
      <c r="AP227" s="104" t="e">
        <f t="shared" si="127"/>
        <v>#N/A</v>
      </c>
      <c r="AQ227" s="104" t="e">
        <f t="shared" si="128"/>
        <v>#N/A</v>
      </c>
      <c r="AR227" s="105" t="str">
        <f t="shared" si="129"/>
        <v/>
      </c>
      <c r="AS227" s="105" t="str">
        <f t="shared" si="130"/>
        <v/>
      </c>
      <c r="AT227" s="108" t="str">
        <f t="shared" si="131"/>
        <v/>
      </c>
      <c r="AU227" s="108" t="str">
        <f t="shared" si="132"/>
        <v/>
      </c>
      <c r="AV227" s="107" t="str">
        <f>IF(ISNUMBER(O227),IF(VLOOKUP($A227,Stand!C:J,8,FALSE)="Short",AT227,AU227),"")</f>
        <v/>
      </c>
      <c r="AW227" s="109" t="str">
        <f t="shared" si="133"/>
        <v/>
      </c>
      <c r="AX227" s="109" t="str">
        <f t="shared" si="134"/>
        <v/>
      </c>
      <c r="AY227" s="112" t="str">
        <f>IF(ISNUMBER(O227),IF(AND(VLOOKUP($D227,Merchantability!$B:$C,2,0)="Yes",$E227&gt;=VLOOKUP($D227,Merchantability!$B:$D,3,0),$E227&lt;=VLOOKUP($D227,Merchantability!$B:$E,4,0)),(AV227*O227)*(1-$H227/100),""),"")</f>
        <v/>
      </c>
      <c r="AZ227" s="116"/>
      <c r="BA227" s="116"/>
      <c r="BB227" s="116"/>
      <c r="BE227" s="62"/>
      <c r="BF227" s="63"/>
    </row>
    <row r="228" spans="1:58" ht="12.75" customHeight="1" x14ac:dyDescent="0.25">
      <c r="A228" s="313"/>
      <c r="B228" s="380"/>
      <c r="C228" s="381"/>
      <c r="D228" s="380"/>
      <c r="E228" s="382"/>
      <c r="F228" s="331"/>
      <c r="G228" s="329"/>
      <c r="H228" s="329"/>
      <c r="I228" s="380"/>
      <c r="J228" s="381"/>
      <c r="K228" s="329"/>
      <c r="L228" s="329"/>
      <c r="M228" s="76"/>
      <c r="N228" s="103" t="str">
        <f>IF(A228="","",VLOOKUP(A228,Stand!C:K,9,0))</f>
        <v/>
      </c>
      <c r="O228" s="104" t="str">
        <f t="shared" si="108"/>
        <v/>
      </c>
      <c r="P228" s="105" t="str">
        <f t="shared" si="109"/>
        <v/>
      </c>
      <c r="Q228" s="105" t="str">
        <f t="shared" si="135"/>
        <v/>
      </c>
      <c r="R228" s="103" t="str">
        <f t="shared" si="111"/>
        <v/>
      </c>
      <c r="S228" s="103" t="str">
        <f t="shared" si="112"/>
        <v/>
      </c>
      <c r="T228" s="106" t="str">
        <f t="shared" si="136"/>
        <v/>
      </c>
      <c r="U228" s="106" t="str">
        <f t="shared" si="137"/>
        <v/>
      </c>
      <c r="V228" s="106" t="str">
        <f t="shared" si="138"/>
        <v/>
      </c>
      <c r="W228" s="105" t="str">
        <f t="shared" si="116"/>
        <v/>
      </c>
      <c r="X228" s="104" t="str">
        <f t="shared" si="117"/>
        <v/>
      </c>
      <c r="Y228" s="104" t="str">
        <f t="array" ref="Y228">IFERROR(IF(ISNUMBER(O228),IF(COUNT(IF(A228=$A$2:$A$2427,IF(D228=$D$2:$D$2427,IF($X$2:$X$2427&gt;0,1))))&gt;0,SUM(IF(A228=$A$2:$A$2427,IF(D228=$D$2:$D$2427,$X$2:$X$2427)))/COUNT(IF(A228=$A$2:$A$2427,IF(D228=$D$2:$D$2427,IF(ISNUMBER($X$2:$X$2427),1)))),0),""),0)</f>
        <v/>
      </c>
      <c r="Z228" s="104" t="str">
        <f>IF(ISNUMBER(O228),IF(I228&gt;0,(10^(VLOOKUP(D228,'Species Codes'!B:C,2,0)+VLOOKUP(D228,'Species Codes'!B:D,3,0)*LOG(E228)+VLOOKUP(D228,'Species Codes'!B:E,4,0)*LOG(I228))),0),"")</f>
        <v/>
      </c>
      <c r="AA228" s="104" t="str">
        <f>IFERROR((VLOOKUP(D228,'Species Codes'!B:G,6,0)*Z228)/2000,"")</f>
        <v/>
      </c>
      <c r="AB228" s="104" t="e">
        <f>IF(Z228&gt;0,((IF(OR(D228="DF",D228="RA")=TRUE,EXP(VLOOKUP(D228,'Species Codes'!B:I,8,0)+VLOOKUP(D228,'Species Codes'!B:J,9,0)*(LN((E228*2.54)))),IF(OR(D228="PY",D228="RC",D228="WH",D228="NF")=TRUE,VLOOKUP(D228,'Species Codes'!B:I,8,0)+VLOOKUP(D228,'Species Codes'!B:J,9,0)*((E228*2.54)^2)*(I228*0.3048),IF(OR(D228="MD",D228="BM",D228="GA")=TRUE,((VLOOKUP(D228,'Species Codes'!B:I,8,0)*(((((E228*2.54)+VLOOKUP(D228,'Species Codes'!B:J,9,0))/VLOOKUP(D228,'Species Codes'!B:K,10,0))^VLOOKUP(D228,'Species Codes'!B:L,11,0))*((I228*0.3048)^VLOOKUP(D228,'Species Codes'!B:M,12,0))))-(VLOOKUP(D228,'Species Codes'!B:I,8,0)*((((E228*2.54)^VLOOKUP(D228,'Species Codes'!B:L,11,0))*((I228*0.3048)^VLOOKUP(D228,'Species Codes'!B:M,12,0))))))*35.3*VLOOKUP(D228,'Species Codes'!B:G,6,0)/2.2046,VLOOKUP(D228,'Species Codes'!B:I,8,0)+VLOOKUP(D228,'Species Codes'!B:J,9,0)*(((E228*2.54)/100)^2)*(I228*0.3048)))))*0.0011023),0)</f>
        <v>#N/A</v>
      </c>
      <c r="AC228" s="104" t="e">
        <f>IF(Z228&gt;0,((IF(OR(D228="RA",D228="OA",D228="OT",D228="UN",D228="PC"),EXP(VLOOKUP(D228,'Species Codes'!B:O,14,0)+VLOOKUP(D228,'Species Codes'!B:P,15,0)*LN((E228*2.54)))-EXP(VLOOKUP(D228,'Species Codes'!B:O,14,0)+VLOOKUP(D228,'Species Codes'!B:P,15,0)*LN((E228*2.54)))*(1/(VLOOKUP(D228,'Species Codes'!B:Q,16,0)+VLOOKUP(D228,'Species Codes'!B:R,17,0)*((E228*2.54)^VLOOKUP(D228,'Species Codes'!B:S,18,0)))),IF(OR(D228="BM",D228="MD",D228="OA"),EXP(VLOOKUP(D228,'Species Codes'!B:O,14,0)+VLOOKUP(D228,'Species Codes'!B:P,15,0)*LN((E228*2.54)))*(1-(1/(VLOOKUP(D228,'Species Codes'!B:Q,16,0)+VLOOKUP(D228,'Species Codes'!B:R,17,0)*((E228*2.54)^VLOOKUP(D228,'Species Codes'!B:S,18,0)))))/1000,IF(D228="DF",EXP(VLOOKUP(D228,'Species Codes'!B:O,14,0)+VLOOKUP(D228,'Species Codes'!B:P,15,0)*LN((E228*2.54))),VLOOKUP(D228,'Species Codes'!B:O,14,0)+VLOOKUP(D228,'Species Codes'!B:P,15,0)*(((E228*2.54)/100)^2)*(I228*0.3048)))))*0.0011023),0)</f>
        <v>#N/A</v>
      </c>
      <c r="AD228" s="104" t="e">
        <f t="shared" si="139"/>
        <v>#N/A</v>
      </c>
      <c r="AE228" s="104" t="e">
        <f t="shared" si="140"/>
        <v>#N/A</v>
      </c>
      <c r="AF228" s="104" t="e">
        <f>IF(AND(VLOOKUP($D228,Merchantability!$B:$C,2,0)="Yes",$E228&gt;=VLOOKUP($D228,Merchantability!$B:$D,3,0),$E228&lt;=VLOOKUP($D228,Merchantability!$B:$E,4,0)),AA228,0)</f>
        <v>#N/A</v>
      </c>
      <c r="AG228" s="104" t="e">
        <f>IF(AND(VLOOKUP($D228,Merchantability!$B:$C,2,0)="Yes",$E228&gt;=VLOOKUP($D228,Merchantability!$B:$D,3,0),$E228&lt;=VLOOKUP($D228,Merchantability!$B:$E,4,0)),AB228,0)</f>
        <v>#N/A</v>
      </c>
      <c r="AH228" s="104" t="e">
        <f>IF(AND(VLOOKUP($D228,Merchantability!$B:$C,2,0)="Yes",$E228&gt;=VLOOKUP($D228,Merchantability!$B:$D,3,0),$E228&lt;=VLOOKUP($D228,Merchantability!$B:$E,4,0)),AC228,0)</f>
        <v>#N/A</v>
      </c>
      <c r="AI228" s="104" t="e">
        <f t="shared" si="141"/>
        <v>#N/A</v>
      </c>
      <c r="AJ228" s="104" t="e">
        <f t="shared" si="142"/>
        <v>#VALUE!</v>
      </c>
      <c r="AK228" s="104" t="e">
        <f t="shared" si="143"/>
        <v>#N/A</v>
      </c>
      <c r="AL228" s="104" t="e">
        <f t="shared" si="144"/>
        <v>#N/A</v>
      </c>
      <c r="AM228" s="104" t="e">
        <f t="shared" si="145"/>
        <v>#N/A</v>
      </c>
      <c r="AN228" s="104" t="e">
        <f t="shared" si="125"/>
        <v>#N/A</v>
      </c>
      <c r="AO228" s="104" t="e">
        <f t="shared" si="126"/>
        <v>#N/A</v>
      </c>
      <c r="AP228" s="104" t="e">
        <f t="shared" si="127"/>
        <v>#N/A</v>
      </c>
      <c r="AQ228" s="104" t="e">
        <f t="shared" si="128"/>
        <v>#N/A</v>
      </c>
      <c r="AR228" s="105" t="str">
        <f t="shared" si="129"/>
        <v/>
      </c>
      <c r="AS228" s="105" t="str">
        <f t="shared" si="130"/>
        <v/>
      </c>
      <c r="AT228" s="108" t="str">
        <f t="shared" si="131"/>
        <v/>
      </c>
      <c r="AU228" s="108" t="str">
        <f t="shared" si="132"/>
        <v/>
      </c>
      <c r="AV228" s="107" t="str">
        <f>IF(ISNUMBER(O228),IF(VLOOKUP($A228,Stand!C:J,8,FALSE)="Short",AT228,AU228),"")</f>
        <v/>
      </c>
      <c r="AW228" s="109" t="str">
        <f t="shared" si="133"/>
        <v/>
      </c>
      <c r="AX228" s="109" t="str">
        <f t="shared" si="134"/>
        <v/>
      </c>
      <c r="AY228" s="112" t="str">
        <f>IF(ISNUMBER(O228),IF(AND(VLOOKUP($D228,Merchantability!$B:$C,2,0)="Yes",$E228&gt;=VLOOKUP($D228,Merchantability!$B:$D,3,0),$E228&lt;=VLOOKUP($D228,Merchantability!$B:$E,4,0)),(AV228*O228)*(1-$H228/100),""),"")</f>
        <v/>
      </c>
      <c r="AZ228" s="116"/>
      <c r="BA228" s="116"/>
      <c r="BB228" s="116"/>
      <c r="BE228" s="62"/>
      <c r="BF228" s="63"/>
    </row>
    <row r="229" spans="1:58" ht="12.75" customHeight="1" x14ac:dyDescent="0.25">
      <c r="A229" s="313"/>
      <c r="B229" s="380"/>
      <c r="C229" s="381"/>
      <c r="D229" s="380"/>
      <c r="E229" s="382"/>
      <c r="F229" s="331"/>
      <c r="G229" s="329"/>
      <c r="H229" s="329"/>
      <c r="I229" s="380"/>
      <c r="J229" s="381"/>
      <c r="K229" s="329"/>
      <c r="L229" s="329"/>
      <c r="M229" s="76"/>
      <c r="N229" s="103" t="str">
        <f>IF(A229="","",VLOOKUP(A229,Stand!C:K,9,0))</f>
        <v/>
      </c>
      <c r="O229" s="104" t="str">
        <f t="shared" si="108"/>
        <v/>
      </c>
      <c r="P229" s="105" t="str">
        <f t="shared" si="109"/>
        <v/>
      </c>
      <c r="Q229" s="105" t="str">
        <f t="shared" si="135"/>
        <v/>
      </c>
      <c r="R229" s="103" t="str">
        <f t="shared" si="111"/>
        <v/>
      </c>
      <c r="S229" s="103" t="str">
        <f t="shared" si="112"/>
        <v/>
      </c>
      <c r="T229" s="106" t="str">
        <f t="shared" si="136"/>
        <v/>
      </c>
      <c r="U229" s="106" t="str">
        <f t="shared" si="137"/>
        <v/>
      </c>
      <c r="V229" s="106" t="str">
        <f t="shared" si="138"/>
        <v/>
      </c>
      <c r="W229" s="105" t="str">
        <f t="shared" si="116"/>
        <v/>
      </c>
      <c r="X229" s="104" t="str">
        <f t="shared" si="117"/>
        <v/>
      </c>
      <c r="Y229" s="104" t="str">
        <f t="array" ref="Y229">IFERROR(IF(ISNUMBER(O229),IF(COUNT(IF(A229=$A$2:$A$2427,IF(D229=$D$2:$D$2427,IF($X$2:$X$2427&gt;0,1))))&gt;0,SUM(IF(A229=$A$2:$A$2427,IF(D229=$D$2:$D$2427,$X$2:$X$2427)))/COUNT(IF(A229=$A$2:$A$2427,IF(D229=$D$2:$D$2427,IF(ISNUMBER($X$2:$X$2427),1)))),0),""),0)</f>
        <v/>
      </c>
      <c r="Z229" s="104" t="str">
        <f>IF(ISNUMBER(O229),IF(I229&gt;0,(10^(VLOOKUP(D229,'Species Codes'!B:C,2,0)+VLOOKUP(D229,'Species Codes'!B:D,3,0)*LOG(E229)+VLOOKUP(D229,'Species Codes'!B:E,4,0)*LOG(I229))),0),"")</f>
        <v/>
      </c>
      <c r="AA229" s="104" t="str">
        <f>IFERROR((VLOOKUP(D229,'Species Codes'!B:G,6,0)*Z229)/2000,"")</f>
        <v/>
      </c>
      <c r="AB229" s="104" t="e">
        <f>IF(Z229&gt;0,((IF(OR(D229="DF",D229="RA")=TRUE,EXP(VLOOKUP(D229,'Species Codes'!B:I,8,0)+VLOOKUP(D229,'Species Codes'!B:J,9,0)*(LN((E229*2.54)))),IF(OR(D229="PY",D229="RC",D229="WH",D229="NF")=TRUE,VLOOKUP(D229,'Species Codes'!B:I,8,0)+VLOOKUP(D229,'Species Codes'!B:J,9,0)*((E229*2.54)^2)*(I229*0.3048),IF(OR(D229="MD",D229="BM",D229="GA")=TRUE,((VLOOKUP(D229,'Species Codes'!B:I,8,0)*(((((E229*2.54)+VLOOKUP(D229,'Species Codes'!B:J,9,0))/VLOOKUP(D229,'Species Codes'!B:K,10,0))^VLOOKUP(D229,'Species Codes'!B:L,11,0))*((I229*0.3048)^VLOOKUP(D229,'Species Codes'!B:M,12,0))))-(VLOOKUP(D229,'Species Codes'!B:I,8,0)*((((E229*2.54)^VLOOKUP(D229,'Species Codes'!B:L,11,0))*((I229*0.3048)^VLOOKUP(D229,'Species Codes'!B:M,12,0))))))*35.3*VLOOKUP(D229,'Species Codes'!B:G,6,0)/2.2046,VLOOKUP(D229,'Species Codes'!B:I,8,0)+VLOOKUP(D229,'Species Codes'!B:J,9,0)*(((E229*2.54)/100)^2)*(I229*0.3048)))))*0.0011023),0)</f>
        <v>#N/A</v>
      </c>
      <c r="AC229" s="104" t="e">
        <f>IF(Z229&gt;0,((IF(OR(D229="RA",D229="OA",D229="OT",D229="UN",D229="PC"),EXP(VLOOKUP(D229,'Species Codes'!B:O,14,0)+VLOOKUP(D229,'Species Codes'!B:P,15,0)*LN((E229*2.54)))-EXP(VLOOKUP(D229,'Species Codes'!B:O,14,0)+VLOOKUP(D229,'Species Codes'!B:P,15,0)*LN((E229*2.54)))*(1/(VLOOKUP(D229,'Species Codes'!B:Q,16,0)+VLOOKUP(D229,'Species Codes'!B:R,17,0)*((E229*2.54)^VLOOKUP(D229,'Species Codes'!B:S,18,0)))),IF(OR(D229="BM",D229="MD",D229="OA"),EXP(VLOOKUP(D229,'Species Codes'!B:O,14,0)+VLOOKUP(D229,'Species Codes'!B:P,15,0)*LN((E229*2.54)))*(1-(1/(VLOOKUP(D229,'Species Codes'!B:Q,16,0)+VLOOKUP(D229,'Species Codes'!B:R,17,0)*((E229*2.54)^VLOOKUP(D229,'Species Codes'!B:S,18,0)))))/1000,IF(D229="DF",EXP(VLOOKUP(D229,'Species Codes'!B:O,14,0)+VLOOKUP(D229,'Species Codes'!B:P,15,0)*LN((E229*2.54))),VLOOKUP(D229,'Species Codes'!B:O,14,0)+VLOOKUP(D229,'Species Codes'!B:P,15,0)*(((E229*2.54)/100)^2)*(I229*0.3048)))))*0.0011023),0)</f>
        <v>#N/A</v>
      </c>
      <c r="AD229" s="104" t="e">
        <f t="shared" si="139"/>
        <v>#N/A</v>
      </c>
      <c r="AE229" s="104" t="e">
        <f t="shared" si="140"/>
        <v>#N/A</v>
      </c>
      <c r="AF229" s="104" t="e">
        <f>IF(AND(VLOOKUP($D229,Merchantability!$B:$C,2,0)="Yes",$E229&gt;=VLOOKUP($D229,Merchantability!$B:$D,3,0),$E229&lt;=VLOOKUP($D229,Merchantability!$B:$E,4,0)),AA229,0)</f>
        <v>#N/A</v>
      </c>
      <c r="AG229" s="104" t="e">
        <f>IF(AND(VLOOKUP($D229,Merchantability!$B:$C,2,0)="Yes",$E229&gt;=VLOOKUP($D229,Merchantability!$B:$D,3,0),$E229&lt;=VLOOKUP($D229,Merchantability!$B:$E,4,0)),AB229,0)</f>
        <v>#N/A</v>
      </c>
      <c r="AH229" s="104" t="e">
        <f>IF(AND(VLOOKUP($D229,Merchantability!$B:$C,2,0)="Yes",$E229&gt;=VLOOKUP($D229,Merchantability!$B:$D,3,0),$E229&lt;=VLOOKUP($D229,Merchantability!$B:$E,4,0)),AC229,0)</f>
        <v>#N/A</v>
      </c>
      <c r="AI229" s="104" t="e">
        <f t="shared" si="141"/>
        <v>#N/A</v>
      </c>
      <c r="AJ229" s="104" t="e">
        <f t="shared" si="142"/>
        <v>#VALUE!</v>
      </c>
      <c r="AK229" s="104" t="e">
        <f t="shared" si="143"/>
        <v>#N/A</v>
      </c>
      <c r="AL229" s="104" t="e">
        <f t="shared" si="144"/>
        <v>#N/A</v>
      </c>
      <c r="AM229" s="104" t="e">
        <f t="shared" si="145"/>
        <v>#N/A</v>
      </c>
      <c r="AN229" s="104" t="e">
        <f t="shared" si="125"/>
        <v>#N/A</v>
      </c>
      <c r="AO229" s="104" t="e">
        <f t="shared" si="126"/>
        <v>#N/A</v>
      </c>
      <c r="AP229" s="104" t="e">
        <f t="shared" si="127"/>
        <v>#N/A</v>
      </c>
      <c r="AQ229" s="104" t="e">
        <f t="shared" si="128"/>
        <v>#N/A</v>
      </c>
      <c r="AR229" s="105" t="str">
        <f t="shared" si="129"/>
        <v/>
      </c>
      <c r="AS229" s="105" t="str">
        <f t="shared" si="130"/>
        <v/>
      </c>
      <c r="AT229" s="108" t="str">
        <f t="shared" si="131"/>
        <v/>
      </c>
      <c r="AU229" s="108" t="str">
        <f t="shared" si="132"/>
        <v/>
      </c>
      <c r="AV229" s="107" t="str">
        <f>IF(ISNUMBER(O229),IF(VLOOKUP($A229,Stand!C:J,8,FALSE)="Short",AT229,AU229),"")</f>
        <v/>
      </c>
      <c r="AW229" s="109" t="str">
        <f t="shared" si="133"/>
        <v/>
      </c>
      <c r="AX229" s="109" t="str">
        <f t="shared" si="134"/>
        <v/>
      </c>
      <c r="AY229" s="112" t="str">
        <f>IF(ISNUMBER(O229),IF(AND(VLOOKUP($D229,Merchantability!$B:$C,2,0)="Yes",$E229&gt;=VLOOKUP($D229,Merchantability!$B:$D,3,0),$E229&lt;=VLOOKUP($D229,Merchantability!$B:$E,4,0)),(AV229*O229)*(1-$H229/100),""),"")</f>
        <v/>
      </c>
      <c r="AZ229" s="116"/>
      <c r="BA229" s="116"/>
      <c r="BB229" s="116"/>
      <c r="BE229" s="62"/>
      <c r="BF229" s="63"/>
    </row>
    <row r="230" spans="1:58" ht="12.75" customHeight="1" x14ac:dyDescent="0.25">
      <c r="A230" s="313"/>
      <c r="B230" s="380"/>
      <c r="C230" s="381"/>
      <c r="D230" s="380"/>
      <c r="E230" s="382"/>
      <c r="F230" s="331"/>
      <c r="G230" s="329"/>
      <c r="H230" s="329"/>
      <c r="I230" s="380"/>
      <c r="J230" s="381"/>
      <c r="K230" s="329"/>
      <c r="L230" s="329"/>
      <c r="M230" s="76"/>
      <c r="N230" s="103" t="str">
        <f>IF(A230="","",VLOOKUP(A230,Stand!C:K,9,0))</f>
        <v/>
      </c>
      <c r="O230" s="104" t="str">
        <f t="shared" si="108"/>
        <v/>
      </c>
      <c r="P230" s="105" t="str">
        <f t="shared" si="109"/>
        <v/>
      </c>
      <c r="Q230" s="105" t="str">
        <f t="shared" si="135"/>
        <v/>
      </c>
      <c r="R230" s="103" t="str">
        <f t="shared" si="111"/>
        <v/>
      </c>
      <c r="S230" s="103" t="str">
        <f t="shared" si="112"/>
        <v/>
      </c>
      <c r="T230" s="106" t="str">
        <f t="shared" si="136"/>
        <v/>
      </c>
      <c r="U230" s="106" t="str">
        <f t="shared" si="137"/>
        <v/>
      </c>
      <c r="V230" s="106" t="str">
        <f t="shared" si="138"/>
        <v/>
      </c>
      <c r="W230" s="105" t="str">
        <f t="shared" si="116"/>
        <v/>
      </c>
      <c r="X230" s="104" t="str">
        <f t="shared" si="117"/>
        <v/>
      </c>
      <c r="Y230" s="104" t="str">
        <f t="array" ref="Y230">IFERROR(IF(ISNUMBER(O230),IF(COUNT(IF(A230=$A$2:$A$2427,IF(D230=$D$2:$D$2427,IF($X$2:$X$2427&gt;0,1))))&gt;0,SUM(IF(A230=$A$2:$A$2427,IF(D230=$D$2:$D$2427,$X$2:$X$2427)))/COUNT(IF(A230=$A$2:$A$2427,IF(D230=$D$2:$D$2427,IF(ISNUMBER($X$2:$X$2427),1)))),0),""),0)</f>
        <v/>
      </c>
      <c r="Z230" s="104" t="str">
        <f>IF(ISNUMBER(O230),IF(I230&gt;0,(10^(VLOOKUP(D230,'Species Codes'!B:C,2,0)+VLOOKUP(D230,'Species Codes'!B:D,3,0)*LOG(E230)+VLOOKUP(D230,'Species Codes'!B:E,4,0)*LOG(I230))),0),"")</f>
        <v/>
      </c>
      <c r="AA230" s="104" t="str">
        <f>IFERROR((VLOOKUP(D230,'Species Codes'!B:G,6,0)*Z230)/2000,"")</f>
        <v/>
      </c>
      <c r="AB230" s="104" t="e">
        <f>IF(Z230&gt;0,((IF(OR(D230="DF",D230="RA")=TRUE,EXP(VLOOKUP(D230,'Species Codes'!B:I,8,0)+VLOOKUP(D230,'Species Codes'!B:J,9,0)*(LN((E230*2.54)))),IF(OR(D230="PY",D230="RC",D230="WH",D230="NF")=TRUE,VLOOKUP(D230,'Species Codes'!B:I,8,0)+VLOOKUP(D230,'Species Codes'!B:J,9,0)*((E230*2.54)^2)*(I230*0.3048),IF(OR(D230="MD",D230="BM",D230="GA")=TRUE,((VLOOKUP(D230,'Species Codes'!B:I,8,0)*(((((E230*2.54)+VLOOKUP(D230,'Species Codes'!B:J,9,0))/VLOOKUP(D230,'Species Codes'!B:K,10,0))^VLOOKUP(D230,'Species Codes'!B:L,11,0))*((I230*0.3048)^VLOOKUP(D230,'Species Codes'!B:M,12,0))))-(VLOOKUP(D230,'Species Codes'!B:I,8,0)*((((E230*2.54)^VLOOKUP(D230,'Species Codes'!B:L,11,0))*((I230*0.3048)^VLOOKUP(D230,'Species Codes'!B:M,12,0))))))*35.3*VLOOKUP(D230,'Species Codes'!B:G,6,0)/2.2046,VLOOKUP(D230,'Species Codes'!B:I,8,0)+VLOOKUP(D230,'Species Codes'!B:J,9,0)*(((E230*2.54)/100)^2)*(I230*0.3048)))))*0.0011023),0)</f>
        <v>#N/A</v>
      </c>
      <c r="AC230" s="104" t="e">
        <f>IF(Z230&gt;0,((IF(OR(D230="RA",D230="OA",D230="OT",D230="UN",D230="PC"),EXP(VLOOKUP(D230,'Species Codes'!B:O,14,0)+VLOOKUP(D230,'Species Codes'!B:P,15,0)*LN((E230*2.54)))-EXP(VLOOKUP(D230,'Species Codes'!B:O,14,0)+VLOOKUP(D230,'Species Codes'!B:P,15,0)*LN((E230*2.54)))*(1/(VLOOKUP(D230,'Species Codes'!B:Q,16,0)+VLOOKUP(D230,'Species Codes'!B:R,17,0)*((E230*2.54)^VLOOKUP(D230,'Species Codes'!B:S,18,0)))),IF(OR(D230="BM",D230="MD",D230="OA"),EXP(VLOOKUP(D230,'Species Codes'!B:O,14,0)+VLOOKUP(D230,'Species Codes'!B:P,15,0)*LN((E230*2.54)))*(1-(1/(VLOOKUP(D230,'Species Codes'!B:Q,16,0)+VLOOKUP(D230,'Species Codes'!B:R,17,0)*((E230*2.54)^VLOOKUP(D230,'Species Codes'!B:S,18,0)))))/1000,IF(D230="DF",EXP(VLOOKUP(D230,'Species Codes'!B:O,14,0)+VLOOKUP(D230,'Species Codes'!B:P,15,0)*LN((E230*2.54))),VLOOKUP(D230,'Species Codes'!B:O,14,0)+VLOOKUP(D230,'Species Codes'!B:P,15,0)*(((E230*2.54)/100)^2)*(I230*0.3048)))))*0.0011023),0)</f>
        <v>#N/A</v>
      </c>
      <c r="AD230" s="104" t="e">
        <f t="shared" si="139"/>
        <v>#N/A</v>
      </c>
      <c r="AE230" s="104" t="e">
        <f t="shared" si="140"/>
        <v>#N/A</v>
      </c>
      <c r="AF230" s="104" t="e">
        <f>IF(AND(VLOOKUP($D230,Merchantability!$B:$C,2,0)="Yes",$E230&gt;=VLOOKUP($D230,Merchantability!$B:$D,3,0),$E230&lt;=VLOOKUP($D230,Merchantability!$B:$E,4,0)),AA230,0)</f>
        <v>#N/A</v>
      </c>
      <c r="AG230" s="104" t="e">
        <f>IF(AND(VLOOKUP($D230,Merchantability!$B:$C,2,0)="Yes",$E230&gt;=VLOOKUP($D230,Merchantability!$B:$D,3,0),$E230&lt;=VLOOKUP($D230,Merchantability!$B:$E,4,0)),AB230,0)</f>
        <v>#N/A</v>
      </c>
      <c r="AH230" s="104" t="e">
        <f>IF(AND(VLOOKUP($D230,Merchantability!$B:$C,2,0)="Yes",$E230&gt;=VLOOKUP($D230,Merchantability!$B:$D,3,0),$E230&lt;=VLOOKUP($D230,Merchantability!$B:$E,4,0)),AC230,0)</f>
        <v>#N/A</v>
      </c>
      <c r="AI230" s="104" t="e">
        <f t="shared" si="141"/>
        <v>#N/A</v>
      </c>
      <c r="AJ230" s="104" t="e">
        <f t="shared" si="142"/>
        <v>#VALUE!</v>
      </c>
      <c r="AK230" s="104" t="e">
        <f t="shared" si="143"/>
        <v>#N/A</v>
      </c>
      <c r="AL230" s="104" t="e">
        <f t="shared" si="144"/>
        <v>#N/A</v>
      </c>
      <c r="AM230" s="104" t="e">
        <f t="shared" si="145"/>
        <v>#N/A</v>
      </c>
      <c r="AN230" s="104" t="e">
        <f t="shared" si="125"/>
        <v>#N/A</v>
      </c>
      <c r="AO230" s="104" t="e">
        <f t="shared" si="126"/>
        <v>#N/A</v>
      </c>
      <c r="AP230" s="104" t="e">
        <f t="shared" si="127"/>
        <v>#N/A</v>
      </c>
      <c r="AQ230" s="104" t="e">
        <f t="shared" si="128"/>
        <v>#N/A</v>
      </c>
      <c r="AR230" s="105" t="str">
        <f t="shared" si="129"/>
        <v/>
      </c>
      <c r="AS230" s="105" t="str">
        <f t="shared" si="130"/>
        <v/>
      </c>
      <c r="AT230" s="108" t="str">
        <f t="shared" si="131"/>
        <v/>
      </c>
      <c r="AU230" s="108" t="str">
        <f t="shared" si="132"/>
        <v/>
      </c>
      <c r="AV230" s="107" t="str">
        <f>IF(ISNUMBER(O230),IF(VLOOKUP($A230,Stand!C:J,8,FALSE)="Short",AT230,AU230),"")</f>
        <v/>
      </c>
      <c r="AW230" s="109" t="str">
        <f t="shared" si="133"/>
        <v/>
      </c>
      <c r="AX230" s="109" t="str">
        <f t="shared" si="134"/>
        <v/>
      </c>
      <c r="AY230" s="112" t="str">
        <f>IF(ISNUMBER(O230),IF(AND(VLOOKUP($D230,Merchantability!$B:$C,2,0)="Yes",$E230&gt;=VLOOKUP($D230,Merchantability!$B:$D,3,0),$E230&lt;=VLOOKUP($D230,Merchantability!$B:$E,4,0)),(AV230*O230)*(1-$H230/100),""),"")</f>
        <v/>
      </c>
      <c r="AZ230" s="116"/>
      <c r="BA230" s="116"/>
      <c r="BB230" s="116"/>
      <c r="BE230" s="62"/>
      <c r="BF230" s="63"/>
    </row>
    <row r="231" spans="1:58" ht="12.75" customHeight="1" x14ac:dyDescent="0.25">
      <c r="A231" s="313"/>
      <c r="B231" s="380"/>
      <c r="C231" s="381"/>
      <c r="D231" s="380"/>
      <c r="E231" s="382"/>
      <c r="F231" s="331"/>
      <c r="G231" s="329"/>
      <c r="H231" s="329"/>
      <c r="I231" s="380"/>
      <c r="J231" s="381"/>
      <c r="K231" s="329"/>
      <c r="L231" s="329"/>
      <c r="M231" s="76"/>
      <c r="N231" s="103" t="str">
        <f>IF(A231="","",VLOOKUP(A231,Stand!C:K,9,0))</f>
        <v/>
      </c>
      <c r="O231" s="104" t="str">
        <f t="shared" si="108"/>
        <v/>
      </c>
      <c r="P231" s="105" t="str">
        <f t="shared" si="109"/>
        <v/>
      </c>
      <c r="Q231" s="105" t="str">
        <f t="shared" si="135"/>
        <v/>
      </c>
      <c r="R231" s="103" t="str">
        <f t="shared" si="111"/>
        <v/>
      </c>
      <c r="S231" s="103" t="str">
        <f t="shared" si="112"/>
        <v/>
      </c>
      <c r="T231" s="106" t="str">
        <f t="shared" si="136"/>
        <v/>
      </c>
      <c r="U231" s="106" t="str">
        <f t="shared" si="137"/>
        <v/>
      </c>
      <c r="V231" s="106" t="str">
        <f t="shared" si="138"/>
        <v/>
      </c>
      <c r="W231" s="105" t="str">
        <f t="shared" si="116"/>
        <v/>
      </c>
      <c r="X231" s="104" t="str">
        <f t="shared" si="117"/>
        <v/>
      </c>
      <c r="Y231" s="104" t="str">
        <f t="array" ref="Y231">IFERROR(IF(ISNUMBER(O231),IF(COUNT(IF(A231=$A$2:$A$2427,IF(D231=$D$2:$D$2427,IF($X$2:$X$2427&gt;0,1))))&gt;0,SUM(IF(A231=$A$2:$A$2427,IF(D231=$D$2:$D$2427,$X$2:$X$2427)))/COUNT(IF(A231=$A$2:$A$2427,IF(D231=$D$2:$D$2427,IF(ISNUMBER($X$2:$X$2427),1)))),0),""),0)</f>
        <v/>
      </c>
      <c r="Z231" s="104" t="str">
        <f>IF(ISNUMBER(O231),IF(I231&gt;0,(10^(VLOOKUP(D231,'Species Codes'!B:C,2,0)+VLOOKUP(D231,'Species Codes'!B:D,3,0)*LOG(E231)+VLOOKUP(D231,'Species Codes'!B:E,4,0)*LOG(I231))),0),"")</f>
        <v/>
      </c>
      <c r="AA231" s="104" t="str">
        <f>IFERROR((VLOOKUP(D231,'Species Codes'!B:G,6,0)*Z231)/2000,"")</f>
        <v/>
      </c>
      <c r="AB231" s="104" t="e">
        <f>IF(Z231&gt;0,((IF(OR(D231="DF",D231="RA")=TRUE,EXP(VLOOKUP(D231,'Species Codes'!B:I,8,0)+VLOOKUP(D231,'Species Codes'!B:J,9,0)*(LN((E231*2.54)))),IF(OR(D231="PY",D231="RC",D231="WH",D231="NF")=TRUE,VLOOKUP(D231,'Species Codes'!B:I,8,0)+VLOOKUP(D231,'Species Codes'!B:J,9,0)*((E231*2.54)^2)*(I231*0.3048),IF(OR(D231="MD",D231="BM",D231="GA")=TRUE,((VLOOKUP(D231,'Species Codes'!B:I,8,0)*(((((E231*2.54)+VLOOKUP(D231,'Species Codes'!B:J,9,0))/VLOOKUP(D231,'Species Codes'!B:K,10,0))^VLOOKUP(D231,'Species Codes'!B:L,11,0))*((I231*0.3048)^VLOOKUP(D231,'Species Codes'!B:M,12,0))))-(VLOOKUP(D231,'Species Codes'!B:I,8,0)*((((E231*2.54)^VLOOKUP(D231,'Species Codes'!B:L,11,0))*((I231*0.3048)^VLOOKUP(D231,'Species Codes'!B:M,12,0))))))*35.3*VLOOKUP(D231,'Species Codes'!B:G,6,0)/2.2046,VLOOKUP(D231,'Species Codes'!B:I,8,0)+VLOOKUP(D231,'Species Codes'!B:J,9,0)*(((E231*2.54)/100)^2)*(I231*0.3048)))))*0.0011023),0)</f>
        <v>#N/A</v>
      </c>
      <c r="AC231" s="104" t="e">
        <f>IF(Z231&gt;0,((IF(OR(D231="RA",D231="OA",D231="OT",D231="UN",D231="PC"),EXP(VLOOKUP(D231,'Species Codes'!B:O,14,0)+VLOOKUP(D231,'Species Codes'!B:P,15,0)*LN((E231*2.54)))-EXP(VLOOKUP(D231,'Species Codes'!B:O,14,0)+VLOOKUP(D231,'Species Codes'!B:P,15,0)*LN((E231*2.54)))*(1/(VLOOKUP(D231,'Species Codes'!B:Q,16,0)+VLOOKUP(D231,'Species Codes'!B:R,17,0)*((E231*2.54)^VLOOKUP(D231,'Species Codes'!B:S,18,0)))),IF(OR(D231="BM",D231="MD",D231="OA"),EXP(VLOOKUP(D231,'Species Codes'!B:O,14,0)+VLOOKUP(D231,'Species Codes'!B:P,15,0)*LN((E231*2.54)))*(1-(1/(VLOOKUP(D231,'Species Codes'!B:Q,16,0)+VLOOKUP(D231,'Species Codes'!B:R,17,0)*((E231*2.54)^VLOOKUP(D231,'Species Codes'!B:S,18,0)))))/1000,IF(D231="DF",EXP(VLOOKUP(D231,'Species Codes'!B:O,14,0)+VLOOKUP(D231,'Species Codes'!B:P,15,0)*LN((E231*2.54))),VLOOKUP(D231,'Species Codes'!B:O,14,0)+VLOOKUP(D231,'Species Codes'!B:P,15,0)*(((E231*2.54)/100)^2)*(I231*0.3048)))))*0.0011023),0)</f>
        <v>#N/A</v>
      </c>
      <c r="AD231" s="104" t="e">
        <f t="shared" si="139"/>
        <v>#N/A</v>
      </c>
      <c r="AE231" s="104" t="e">
        <f t="shared" si="140"/>
        <v>#N/A</v>
      </c>
      <c r="AF231" s="104" t="e">
        <f>IF(AND(VLOOKUP($D231,Merchantability!$B:$C,2,0)="Yes",$E231&gt;=VLOOKUP($D231,Merchantability!$B:$D,3,0),$E231&lt;=VLOOKUP($D231,Merchantability!$B:$E,4,0)),AA231,0)</f>
        <v>#N/A</v>
      </c>
      <c r="AG231" s="104" t="e">
        <f>IF(AND(VLOOKUP($D231,Merchantability!$B:$C,2,0)="Yes",$E231&gt;=VLOOKUP($D231,Merchantability!$B:$D,3,0),$E231&lt;=VLOOKUP($D231,Merchantability!$B:$E,4,0)),AB231,0)</f>
        <v>#N/A</v>
      </c>
      <c r="AH231" s="104" t="e">
        <f>IF(AND(VLOOKUP($D231,Merchantability!$B:$C,2,0)="Yes",$E231&gt;=VLOOKUP($D231,Merchantability!$B:$D,3,0),$E231&lt;=VLOOKUP($D231,Merchantability!$B:$E,4,0)),AC231,0)</f>
        <v>#N/A</v>
      </c>
      <c r="AI231" s="104" t="e">
        <f t="shared" si="141"/>
        <v>#N/A</v>
      </c>
      <c r="AJ231" s="104" t="e">
        <f t="shared" si="142"/>
        <v>#VALUE!</v>
      </c>
      <c r="AK231" s="104" t="e">
        <f t="shared" si="143"/>
        <v>#N/A</v>
      </c>
      <c r="AL231" s="104" t="e">
        <f t="shared" si="144"/>
        <v>#N/A</v>
      </c>
      <c r="AM231" s="104" t="e">
        <f t="shared" si="145"/>
        <v>#N/A</v>
      </c>
      <c r="AN231" s="104" t="e">
        <f t="shared" si="125"/>
        <v>#N/A</v>
      </c>
      <c r="AO231" s="104" t="e">
        <f t="shared" si="126"/>
        <v>#N/A</v>
      </c>
      <c r="AP231" s="104" t="e">
        <f t="shared" si="127"/>
        <v>#N/A</v>
      </c>
      <c r="AQ231" s="104" t="e">
        <f t="shared" si="128"/>
        <v>#N/A</v>
      </c>
      <c r="AR231" s="105" t="str">
        <f t="shared" si="129"/>
        <v/>
      </c>
      <c r="AS231" s="105" t="str">
        <f t="shared" si="130"/>
        <v/>
      </c>
      <c r="AT231" s="108" t="str">
        <f t="shared" si="131"/>
        <v/>
      </c>
      <c r="AU231" s="108" t="str">
        <f t="shared" si="132"/>
        <v/>
      </c>
      <c r="AV231" s="107" t="str">
        <f>IF(ISNUMBER(O231),IF(VLOOKUP($A231,Stand!C:J,8,FALSE)="Short",AT231,AU231),"")</f>
        <v/>
      </c>
      <c r="AW231" s="109" t="str">
        <f t="shared" si="133"/>
        <v/>
      </c>
      <c r="AX231" s="109" t="str">
        <f t="shared" si="134"/>
        <v/>
      </c>
      <c r="AY231" s="112" t="str">
        <f>IF(ISNUMBER(O231),IF(AND(VLOOKUP($D231,Merchantability!$B:$C,2,0)="Yes",$E231&gt;=VLOOKUP($D231,Merchantability!$B:$D,3,0),$E231&lt;=VLOOKUP($D231,Merchantability!$B:$E,4,0)),(AV231*O231)*(1-$H231/100),""),"")</f>
        <v/>
      </c>
      <c r="AZ231" s="116"/>
      <c r="BA231" s="116"/>
      <c r="BB231" s="116"/>
      <c r="BE231" s="62"/>
      <c r="BF231" s="63"/>
    </row>
    <row r="232" spans="1:58" ht="12.75" customHeight="1" x14ac:dyDescent="0.25">
      <c r="A232" s="313"/>
      <c r="B232" s="380"/>
      <c r="C232" s="381"/>
      <c r="D232" s="380"/>
      <c r="E232" s="382"/>
      <c r="F232" s="331"/>
      <c r="G232" s="329"/>
      <c r="H232" s="329"/>
      <c r="I232" s="380"/>
      <c r="J232" s="381"/>
      <c r="K232" s="329"/>
      <c r="L232" s="329"/>
      <c r="M232" s="76"/>
      <c r="N232" s="103" t="str">
        <f>IF(A232="","",VLOOKUP(A232,Stand!C:K,9,0))</f>
        <v/>
      </c>
      <c r="O232" s="104" t="str">
        <f t="shared" si="108"/>
        <v/>
      </c>
      <c r="P232" s="105" t="str">
        <f t="shared" si="109"/>
        <v/>
      </c>
      <c r="Q232" s="105" t="str">
        <f t="shared" si="135"/>
        <v/>
      </c>
      <c r="R232" s="103" t="str">
        <f t="shared" si="111"/>
        <v/>
      </c>
      <c r="S232" s="103" t="str">
        <f t="shared" si="112"/>
        <v/>
      </c>
      <c r="T232" s="106" t="str">
        <f t="shared" si="136"/>
        <v/>
      </c>
      <c r="U232" s="106" t="str">
        <f t="shared" si="137"/>
        <v/>
      </c>
      <c r="V232" s="106" t="str">
        <f t="shared" si="138"/>
        <v/>
      </c>
      <c r="W232" s="105" t="str">
        <f t="shared" si="116"/>
        <v/>
      </c>
      <c r="X232" s="104" t="str">
        <f t="shared" si="117"/>
        <v/>
      </c>
      <c r="Y232" s="104" t="str">
        <f t="array" ref="Y232">IFERROR(IF(ISNUMBER(O232),IF(COUNT(IF(A232=$A$2:$A$2427,IF(D232=$D$2:$D$2427,IF($X$2:$X$2427&gt;0,1))))&gt;0,SUM(IF(A232=$A$2:$A$2427,IF(D232=$D$2:$D$2427,$X$2:$X$2427)))/COUNT(IF(A232=$A$2:$A$2427,IF(D232=$D$2:$D$2427,IF(ISNUMBER($X$2:$X$2427),1)))),0),""),0)</f>
        <v/>
      </c>
      <c r="Z232" s="104" t="str">
        <f>IF(ISNUMBER(O232),IF(I232&gt;0,(10^(VLOOKUP(D232,'Species Codes'!B:C,2,0)+VLOOKUP(D232,'Species Codes'!B:D,3,0)*LOG(E232)+VLOOKUP(D232,'Species Codes'!B:E,4,0)*LOG(I232))),0),"")</f>
        <v/>
      </c>
      <c r="AA232" s="104" t="str">
        <f>IFERROR((VLOOKUP(D232,'Species Codes'!B:G,6,0)*Z232)/2000,"")</f>
        <v/>
      </c>
      <c r="AB232" s="104" t="e">
        <f>IF(Z232&gt;0,((IF(OR(D232="DF",D232="RA")=TRUE,EXP(VLOOKUP(D232,'Species Codes'!B:I,8,0)+VLOOKUP(D232,'Species Codes'!B:J,9,0)*(LN((E232*2.54)))),IF(OR(D232="PY",D232="RC",D232="WH",D232="NF")=TRUE,VLOOKUP(D232,'Species Codes'!B:I,8,0)+VLOOKUP(D232,'Species Codes'!B:J,9,0)*((E232*2.54)^2)*(I232*0.3048),IF(OR(D232="MD",D232="BM",D232="GA")=TRUE,((VLOOKUP(D232,'Species Codes'!B:I,8,0)*(((((E232*2.54)+VLOOKUP(D232,'Species Codes'!B:J,9,0))/VLOOKUP(D232,'Species Codes'!B:K,10,0))^VLOOKUP(D232,'Species Codes'!B:L,11,0))*((I232*0.3048)^VLOOKUP(D232,'Species Codes'!B:M,12,0))))-(VLOOKUP(D232,'Species Codes'!B:I,8,0)*((((E232*2.54)^VLOOKUP(D232,'Species Codes'!B:L,11,0))*((I232*0.3048)^VLOOKUP(D232,'Species Codes'!B:M,12,0))))))*35.3*VLOOKUP(D232,'Species Codes'!B:G,6,0)/2.2046,VLOOKUP(D232,'Species Codes'!B:I,8,0)+VLOOKUP(D232,'Species Codes'!B:J,9,0)*(((E232*2.54)/100)^2)*(I232*0.3048)))))*0.0011023),0)</f>
        <v>#N/A</v>
      </c>
      <c r="AC232" s="104" t="e">
        <f>IF(Z232&gt;0,((IF(OR(D232="RA",D232="OA",D232="OT",D232="UN",D232="PC"),EXP(VLOOKUP(D232,'Species Codes'!B:O,14,0)+VLOOKUP(D232,'Species Codes'!B:P,15,0)*LN((E232*2.54)))-EXP(VLOOKUP(D232,'Species Codes'!B:O,14,0)+VLOOKUP(D232,'Species Codes'!B:P,15,0)*LN((E232*2.54)))*(1/(VLOOKUP(D232,'Species Codes'!B:Q,16,0)+VLOOKUP(D232,'Species Codes'!B:R,17,0)*((E232*2.54)^VLOOKUP(D232,'Species Codes'!B:S,18,0)))),IF(OR(D232="BM",D232="MD",D232="OA"),EXP(VLOOKUP(D232,'Species Codes'!B:O,14,0)+VLOOKUP(D232,'Species Codes'!B:P,15,0)*LN((E232*2.54)))*(1-(1/(VLOOKUP(D232,'Species Codes'!B:Q,16,0)+VLOOKUP(D232,'Species Codes'!B:R,17,0)*((E232*2.54)^VLOOKUP(D232,'Species Codes'!B:S,18,0)))))/1000,IF(D232="DF",EXP(VLOOKUP(D232,'Species Codes'!B:O,14,0)+VLOOKUP(D232,'Species Codes'!B:P,15,0)*LN((E232*2.54))),VLOOKUP(D232,'Species Codes'!B:O,14,0)+VLOOKUP(D232,'Species Codes'!B:P,15,0)*(((E232*2.54)/100)^2)*(I232*0.3048)))))*0.0011023),0)</f>
        <v>#N/A</v>
      </c>
      <c r="AD232" s="104" t="e">
        <f t="shared" si="139"/>
        <v>#N/A</v>
      </c>
      <c r="AE232" s="104" t="e">
        <f t="shared" si="140"/>
        <v>#N/A</v>
      </c>
      <c r="AF232" s="104" t="e">
        <f>IF(AND(VLOOKUP($D232,Merchantability!$B:$C,2,0)="Yes",$E232&gt;=VLOOKUP($D232,Merchantability!$B:$D,3,0),$E232&lt;=VLOOKUP($D232,Merchantability!$B:$E,4,0)),AA232,0)</f>
        <v>#N/A</v>
      </c>
      <c r="AG232" s="104" t="e">
        <f>IF(AND(VLOOKUP($D232,Merchantability!$B:$C,2,0)="Yes",$E232&gt;=VLOOKUP($D232,Merchantability!$B:$D,3,0),$E232&lt;=VLOOKUP($D232,Merchantability!$B:$E,4,0)),AB232,0)</f>
        <v>#N/A</v>
      </c>
      <c r="AH232" s="104" t="e">
        <f>IF(AND(VLOOKUP($D232,Merchantability!$B:$C,2,0)="Yes",$E232&gt;=VLOOKUP($D232,Merchantability!$B:$D,3,0),$E232&lt;=VLOOKUP($D232,Merchantability!$B:$E,4,0)),AC232,0)</f>
        <v>#N/A</v>
      </c>
      <c r="AI232" s="104" t="e">
        <f t="shared" si="141"/>
        <v>#N/A</v>
      </c>
      <c r="AJ232" s="104" t="e">
        <f t="shared" si="142"/>
        <v>#VALUE!</v>
      </c>
      <c r="AK232" s="104" t="e">
        <f t="shared" si="143"/>
        <v>#N/A</v>
      </c>
      <c r="AL232" s="104" t="e">
        <f t="shared" si="144"/>
        <v>#N/A</v>
      </c>
      <c r="AM232" s="104" t="e">
        <f t="shared" si="145"/>
        <v>#N/A</v>
      </c>
      <c r="AN232" s="104" t="e">
        <f t="shared" si="125"/>
        <v>#N/A</v>
      </c>
      <c r="AO232" s="104" t="e">
        <f t="shared" si="126"/>
        <v>#N/A</v>
      </c>
      <c r="AP232" s="104" t="e">
        <f t="shared" si="127"/>
        <v>#N/A</v>
      </c>
      <c r="AQ232" s="104" t="e">
        <f t="shared" si="128"/>
        <v>#N/A</v>
      </c>
      <c r="AR232" s="105" t="str">
        <f t="shared" si="129"/>
        <v/>
      </c>
      <c r="AS232" s="105" t="str">
        <f t="shared" si="130"/>
        <v/>
      </c>
      <c r="AT232" s="108" t="str">
        <f t="shared" si="131"/>
        <v/>
      </c>
      <c r="AU232" s="108" t="str">
        <f t="shared" si="132"/>
        <v/>
      </c>
      <c r="AV232" s="107" t="str">
        <f>IF(ISNUMBER(O232),IF(VLOOKUP($A232,Stand!C:J,8,FALSE)="Short",AT232,AU232),"")</f>
        <v/>
      </c>
      <c r="AW232" s="109" t="str">
        <f t="shared" si="133"/>
        <v/>
      </c>
      <c r="AX232" s="109" t="str">
        <f t="shared" si="134"/>
        <v/>
      </c>
      <c r="AY232" s="112" t="str">
        <f>IF(ISNUMBER(O232),IF(AND(VLOOKUP($D232,Merchantability!$B:$C,2,0)="Yes",$E232&gt;=VLOOKUP($D232,Merchantability!$B:$D,3,0),$E232&lt;=VLOOKUP($D232,Merchantability!$B:$E,4,0)),(AV232*O232)*(1-$H232/100),""),"")</f>
        <v/>
      </c>
      <c r="AZ232" s="116"/>
      <c r="BA232" s="116"/>
      <c r="BB232" s="116"/>
      <c r="BE232" s="62"/>
      <c r="BF232" s="63"/>
    </row>
    <row r="233" spans="1:58" ht="12.75" customHeight="1" x14ac:dyDescent="0.25">
      <c r="A233" s="313"/>
      <c r="B233" s="380"/>
      <c r="C233" s="381"/>
      <c r="D233" s="380"/>
      <c r="E233" s="382"/>
      <c r="F233" s="331"/>
      <c r="G233" s="329"/>
      <c r="H233" s="329"/>
      <c r="I233" s="380"/>
      <c r="J233" s="381"/>
      <c r="K233" s="329"/>
      <c r="L233" s="329"/>
      <c r="M233" s="76"/>
      <c r="N233" s="103" t="str">
        <f>IF(A233="","",VLOOKUP(A233,Stand!C:K,9,0))</f>
        <v/>
      </c>
      <c r="O233" s="104" t="str">
        <f t="shared" si="108"/>
        <v/>
      </c>
      <c r="P233" s="105" t="str">
        <f t="shared" si="109"/>
        <v/>
      </c>
      <c r="Q233" s="105" t="str">
        <f t="shared" si="135"/>
        <v/>
      </c>
      <c r="R233" s="103" t="str">
        <f t="shared" si="111"/>
        <v/>
      </c>
      <c r="S233" s="103" t="str">
        <f t="shared" si="112"/>
        <v/>
      </c>
      <c r="T233" s="106" t="str">
        <f t="shared" si="136"/>
        <v/>
      </c>
      <c r="U233" s="106" t="str">
        <f t="shared" si="137"/>
        <v/>
      </c>
      <c r="V233" s="106" t="str">
        <f t="shared" si="138"/>
        <v/>
      </c>
      <c r="W233" s="105" t="str">
        <f t="shared" si="116"/>
        <v/>
      </c>
      <c r="X233" s="104" t="str">
        <f t="shared" si="117"/>
        <v/>
      </c>
      <c r="Y233" s="104" t="str">
        <f t="array" ref="Y233">IFERROR(IF(ISNUMBER(O233),IF(COUNT(IF(A233=$A$2:$A$2427,IF(D233=$D$2:$D$2427,IF($X$2:$X$2427&gt;0,1))))&gt;0,SUM(IF(A233=$A$2:$A$2427,IF(D233=$D$2:$D$2427,$X$2:$X$2427)))/COUNT(IF(A233=$A$2:$A$2427,IF(D233=$D$2:$D$2427,IF(ISNUMBER($X$2:$X$2427),1)))),0),""),0)</f>
        <v/>
      </c>
      <c r="Z233" s="104" t="str">
        <f>IF(ISNUMBER(O233),IF(I233&gt;0,(10^(VLOOKUP(D233,'Species Codes'!B:C,2,0)+VLOOKUP(D233,'Species Codes'!B:D,3,0)*LOG(E233)+VLOOKUP(D233,'Species Codes'!B:E,4,0)*LOG(I233))),0),"")</f>
        <v/>
      </c>
      <c r="AA233" s="104" t="str">
        <f>IFERROR((VLOOKUP(D233,'Species Codes'!B:G,6,0)*Z233)/2000,"")</f>
        <v/>
      </c>
      <c r="AB233" s="104" t="e">
        <f>IF(Z233&gt;0,((IF(OR(D233="DF",D233="RA")=TRUE,EXP(VLOOKUP(D233,'Species Codes'!B:I,8,0)+VLOOKUP(D233,'Species Codes'!B:J,9,0)*(LN((E233*2.54)))),IF(OR(D233="PY",D233="RC",D233="WH",D233="NF")=TRUE,VLOOKUP(D233,'Species Codes'!B:I,8,0)+VLOOKUP(D233,'Species Codes'!B:J,9,0)*((E233*2.54)^2)*(I233*0.3048),IF(OR(D233="MD",D233="BM",D233="GA")=TRUE,((VLOOKUP(D233,'Species Codes'!B:I,8,0)*(((((E233*2.54)+VLOOKUP(D233,'Species Codes'!B:J,9,0))/VLOOKUP(D233,'Species Codes'!B:K,10,0))^VLOOKUP(D233,'Species Codes'!B:L,11,0))*((I233*0.3048)^VLOOKUP(D233,'Species Codes'!B:M,12,0))))-(VLOOKUP(D233,'Species Codes'!B:I,8,0)*((((E233*2.54)^VLOOKUP(D233,'Species Codes'!B:L,11,0))*((I233*0.3048)^VLOOKUP(D233,'Species Codes'!B:M,12,0))))))*35.3*VLOOKUP(D233,'Species Codes'!B:G,6,0)/2.2046,VLOOKUP(D233,'Species Codes'!B:I,8,0)+VLOOKUP(D233,'Species Codes'!B:J,9,0)*(((E233*2.54)/100)^2)*(I233*0.3048)))))*0.0011023),0)</f>
        <v>#N/A</v>
      </c>
      <c r="AC233" s="104" t="e">
        <f>IF(Z233&gt;0,((IF(OR(D233="RA",D233="OA",D233="OT",D233="UN",D233="PC"),EXP(VLOOKUP(D233,'Species Codes'!B:O,14,0)+VLOOKUP(D233,'Species Codes'!B:P,15,0)*LN((E233*2.54)))-EXP(VLOOKUP(D233,'Species Codes'!B:O,14,0)+VLOOKUP(D233,'Species Codes'!B:P,15,0)*LN((E233*2.54)))*(1/(VLOOKUP(D233,'Species Codes'!B:Q,16,0)+VLOOKUP(D233,'Species Codes'!B:R,17,0)*((E233*2.54)^VLOOKUP(D233,'Species Codes'!B:S,18,0)))),IF(OR(D233="BM",D233="MD",D233="OA"),EXP(VLOOKUP(D233,'Species Codes'!B:O,14,0)+VLOOKUP(D233,'Species Codes'!B:P,15,0)*LN((E233*2.54)))*(1-(1/(VLOOKUP(D233,'Species Codes'!B:Q,16,0)+VLOOKUP(D233,'Species Codes'!B:R,17,0)*((E233*2.54)^VLOOKUP(D233,'Species Codes'!B:S,18,0)))))/1000,IF(D233="DF",EXP(VLOOKUP(D233,'Species Codes'!B:O,14,0)+VLOOKUP(D233,'Species Codes'!B:P,15,0)*LN((E233*2.54))),VLOOKUP(D233,'Species Codes'!B:O,14,0)+VLOOKUP(D233,'Species Codes'!B:P,15,0)*(((E233*2.54)/100)^2)*(I233*0.3048)))))*0.0011023),0)</f>
        <v>#N/A</v>
      </c>
      <c r="AD233" s="104" t="e">
        <f t="shared" si="139"/>
        <v>#N/A</v>
      </c>
      <c r="AE233" s="104" t="e">
        <f t="shared" si="140"/>
        <v>#N/A</v>
      </c>
      <c r="AF233" s="104" t="e">
        <f>IF(AND(VLOOKUP($D233,Merchantability!$B:$C,2,0)="Yes",$E233&gt;=VLOOKUP($D233,Merchantability!$B:$D,3,0),$E233&lt;=VLOOKUP($D233,Merchantability!$B:$E,4,0)),AA233,0)</f>
        <v>#N/A</v>
      </c>
      <c r="AG233" s="104" t="e">
        <f>IF(AND(VLOOKUP($D233,Merchantability!$B:$C,2,0)="Yes",$E233&gt;=VLOOKUP($D233,Merchantability!$B:$D,3,0),$E233&lt;=VLOOKUP($D233,Merchantability!$B:$E,4,0)),AB233,0)</f>
        <v>#N/A</v>
      </c>
      <c r="AH233" s="104" t="e">
        <f>IF(AND(VLOOKUP($D233,Merchantability!$B:$C,2,0)="Yes",$E233&gt;=VLOOKUP($D233,Merchantability!$B:$D,3,0),$E233&lt;=VLOOKUP($D233,Merchantability!$B:$E,4,0)),AC233,0)</f>
        <v>#N/A</v>
      </c>
      <c r="AI233" s="104" t="e">
        <f t="shared" si="141"/>
        <v>#N/A</v>
      </c>
      <c r="AJ233" s="104" t="e">
        <f t="shared" si="142"/>
        <v>#VALUE!</v>
      </c>
      <c r="AK233" s="104" t="e">
        <f t="shared" si="143"/>
        <v>#N/A</v>
      </c>
      <c r="AL233" s="104" t="e">
        <f t="shared" si="144"/>
        <v>#N/A</v>
      </c>
      <c r="AM233" s="104" t="e">
        <f t="shared" si="145"/>
        <v>#N/A</v>
      </c>
      <c r="AN233" s="104" t="e">
        <f t="shared" si="125"/>
        <v>#N/A</v>
      </c>
      <c r="AO233" s="104" t="e">
        <f t="shared" si="126"/>
        <v>#N/A</v>
      </c>
      <c r="AP233" s="104" t="e">
        <f t="shared" si="127"/>
        <v>#N/A</v>
      </c>
      <c r="AQ233" s="104" t="e">
        <f t="shared" si="128"/>
        <v>#N/A</v>
      </c>
      <c r="AR233" s="105" t="str">
        <f t="shared" si="129"/>
        <v/>
      </c>
      <c r="AS233" s="105" t="str">
        <f t="shared" si="130"/>
        <v/>
      </c>
      <c r="AT233" s="108" t="str">
        <f t="shared" si="131"/>
        <v/>
      </c>
      <c r="AU233" s="108" t="str">
        <f t="shared" si="132"/>
        <v/>
      </c>
      <c r="AV233" s="107" t="str">
        <f>IF(ISNUMBER(O233),IF(VLOOKUP($A233,Stand!C:J,8,FALSE)="Short",AT233,AU233),"")</f>
        <v/>
      </c>
      <c r="AW233" s="109" t="str">
        <f t="shared" si="133"/>
        <v/>
      </c>
      <c r="AX233" s="109" t="str">
        <f t="shared" si="134"/>
        <v/>
      </c>
      <c r="AY233" s="112" t="str">
        <f>IF(ISNUMBER(O233),IF(AND(VLOOKUP($D233,Merchantability!$B:$C,2,0)="Yes",$E233&gt;=VLOOKUP($D233,Merchantability!$B:$D,3,0),$E233&lt;=VLOOKUP($D233,Merchantability!$B:$E,4,0)),(AV233*O233)*(1-$H233/100),""),"")</f>
        <v/>
      </c>
      <c r="AZ233" s="116"/>
      <c r="BA233" s="116"/>
      <c r="BB233" s="116"/>
      <c r="BE233" s="62"/>
      <c r="BF233" s="63"/>
    </row>
    <row r="234" spans="1:58" ht="12.75" customHeight="1" x14ac:dyDescent="0.25">
      <c r="A234" s="313"/>
      <c r="B234" s="380"/>
      <c r="C234" s="381"/>
      <c r="D234" s="380"/>
      <c r="E234" s="382"/>
      <c r="F234" s="331"/>
      <c r="G234" s="329"/>
      <c r="H234" s="329"/>
      <c r="I234" s="380"/>
      <c r="J234" s="381"/>
      <c r="K234" s="329"/>
      <c r="L234" s="329"/>
      <c r="M234" s="76"/>
      <c r="N234" s="103" t="str">
        <f>IF(A234="","",VLOOKUP(A234,Stand!C:K,9,0))</f>
        <v/>
      </c>
      <c r="O234" s="104" t="str">
        <f t="shared" si="108"/>
        <v/>
      </c>
      <c r="P234" s="105" t="str">
        <f t="shared" si="109"/>
        <v/>
      </c>
      <c r="Q234" s="105" t="str">
        <f t="shared" si="135"/>
        <v/>
      </c>
      <c r="R234" s="103" t="str">
        <f t="shared" si="111"/>
        <v/>
      </c>
      <c r="S234" s="103" t="str">
        <f t="shared" si="112"/>
        <v/>
      </c>
      <c r="T234" s="106" t="str">
        <f t="shared" si="136"/>
        <v/>
      </c>
      <c r="U234" s="106" t="str">
        <f t="shared" si="137"/>
        <v/>
      </c>
      <c r="V234" s="106" t="str">
        <f t="shared" si="138"/>
        <v/>
      </c>
      <c r="W234" s="105" t="str">
        <f t="shared" si="116"/>
        <v/>
      </c>
      <c r="X234" s="104" t="str">
        <f t="shared" si="117"/>
        <v/>
      </c>
      <c r="Y234" s="104" t="str">
        <f t="array" ref="Y234">IFERROR(IF(ISNUMBER(O234),IF(COUNT(IF(A234=$A$2:$A$2427,IF(D234=$D$2:$D$2427,IF($X$2:$X$2427&gt;0,1))))&gt;0,SUM(IF(A234=$A$2:$A$2427,IF(D234=$D$2:$D$2427,$X$2:$X$2427)))/COUNT(IF(A234=$A$2:$A$2427,IF(D234=$D$2:$D$2427,IF(ISNUMBER($X$2:$X$2427),1)))),0),""),0)</f>
        <v/>
      </c>
      <c r="Z234" s="104" t="str">
        <f>IF(ISNUMBER(O234),IF(I234&gt;0,(10^(VLOOKUP(D234,'Species Codes'!B:C,2,0)+VLOOKUP(D234,'Species Codes'!B:D,3,0)*LOG(E234)+VLOOKUP(D234,'Species Codes'!B:E,4,0)*LOG(I234))),0),"")</f>
        <v/>
      </c>
      <c r="AA234" s="104" t="str">
        <f>IFERROR((VLOOKUP(D234,'Species Codes'!B:G,6,0)*Z234)/2000,"")</f>
        <v/>
      </c>
      <c r="AB234" s="104" t="e">
        <f>IF(Z234&gt;0,((IF(OR(D234="DF",D234="RA")=TRUE,EXP(VLOOKUP(D234,'Species Codes'!B:I,8,0)+VLOOKUP(D234,'Species Codes'!B:J,9,0)*(LN((E234*2.54)))),IF(OR(D234="PY",D234="RC",D234="WH",D234="NF")=TRUE,VLOOKUP(D234,'Species Codes'!B:I,8,0)+VLOOKUP(D234,'Species Codes'!B:J,9,0)*((E234*2.54)^2)*(I234*0.3048),IF(OR(D234="MD",D234="BM",D234="GA")=TRUE,((VLOOKUP(D234,'Species Codes'!B:I,8,0)*(((((E234*2.54)+VLOOKUP(D234,'Species Codes'!B:J,9,0))/VLOOKUP(D234,'Species Codes'!B:K,10,0))^VLOOKUP(D234,'Species Codes'!B:L,11,0))*((I234*0.3048)^VLOOKUP(D234,'Species Codes'!B:M,12,0))))-(VLOOKUP(D234,'Species Codes'!B:I,8,0)*((((E234*2.54)^VLOOKUP(D234,'Species Codes'!B:L,11,0))*((I234*0.3048)^VLOOKUP(D234,'Species Codes'!B:M,12,0))))))*35.3*VLOOKUP(D234,'Species Codes'!B:G,6,0)/2.2046,VLOOKUP(D234,'Species Codes'!B:I,8,0)+VLOOKUP(D234,'Species Codes'!B:J,9,0)*(((E234*2.54)/100)^2)*(I234*0.3048)))))*0.0011023),0)</f>
        <v>#N/A</v>
      </c>
      <c r="AC234" s="104" t="e">
        <f>IF(Z234&gt;0,((IF(OR(D234="RA",D234="OA",D234="OT",D234="UN",D234="PC"),EXP(VLOOKUP(D234,'Species Codes'!B:O,14,0)+VLOOKUP(D234,'Species Codes'!B:P,15,0)*LN((E234*2.54)))-EXP(VLOOKUP(D234,'Species Codes'!B:O,14,0)+VLOOKUP(D234,'Species Codes'!B:P,15,0)*LN((E234*2.54)))*(1/(VLOOKUP(D234,'Species Codes'!B:Q,16,0)+VLOOKUP(D234,'Species Codes'!B:R,17,0)*((E234*2.54)^VLOOKUP(D234,'Species Codes'!B:S,18,0)))),IF(OR(D234="BM",D234="MD",D234="OA"),EXP(VLOOKUP(D234,'Species Codes'!B:O,14,0)+VLOOKUP(D234,'Species Codes'!B:P,15,0)*LN((E234*2.54)))*(1-(1/(VLOOKUP(D234,'Species Codes'!B:Q,16,0)+VLOOKUP(D234,'Species Codes'!B:R,17,0)*((E234*2.54)^VLOOKUP(D234,'Species Codes'!B:S,18,0)))))/1000,IF(D234="DF",EXP(VLOOKUP(D234,'Species Codes'!B:O,14,0)+VLOOKUP(D234,'Species Codes'!B:P,15,0)*LN((E234*2.54))),VLOOKUP(D234,'Species Codes'!B:O,14,0)+VLOOKUP(D234,'Species Codes'!B:P,15,0)*(((E234*2.54)/100)^2)*(I234*0.3048)))))*0.0011023),0)</f>
        <v>#N/A</v>
      </c>
      <c r="AD234" s="104" t="e">
        <f t="shared" si="139"/>
        <v>#N/A</v>
      </c>
      <c r="AE234" s="104" t="e">
        <f t="shared" si="140"/>
        <v>#N/A</v>
      </c>
      <c r="AF234" s="104" t="e">
        <f>IF(AND(VLOOKUP($D234,Merchantability!$B:$C,2,0)="Yes",$E234&gt;=VLOOKUP($D234,Merchantability!$B:$D,3,0),$E234&lt;=VLOOKUP($D234,Merchantability!$B:$E,4,0)),AA234,0)</f>
        <v>#N/A</v>
      </c>
      <c r="AG234" s="104" t="e">
        <f>IF(AND(VLOOKUP($D234,Merchantability!$B:$C,2,0)="Yes",$E234&gt;=VLOOKUP($D234,Merchantability!$B:$D,3,0),$E234&lt;=VLOOKUP($D234,Merchantability!$B:$E,4,0)),AB234,0)</f>
        <v>#N/A</v>
      </c>
      <c r="AH234" s="104" t="e">
        <f>IF(AND(VLOOKUP($D234,Merchantability!$B:$C,2,0)="Yes",$E234&gt;=VLOOKUP($D234,Merchantability!$B:$D,3,0),$E234&lt;=VLOOKUP($D234,Merchantability!$B:$E,4,0)),AC234,0)</f>
        <v>#N/A</v>
      </c>
      <c r="AI234" s="104" t="e">
        <f t="shared" si="141"/>
        <v>#N/A</v>
      </c>
      <c r="AJ234" s="104" t="e">
        <f t="shared" si="142"/>
        <v>#VALUE!</v>
      </c>
      <c r="AK234" s="104" t="e">
        <f t="shared" si="143"/>
        <v>#N/A</v>
      </c>
      <c r="AL234" s="104" t="e">
        <f t="shared" si="144"/>
        <v>#N/A</v>
      </c>
      <c r="AM234" s="104" t="e">
        <f t="shared" si="145"/>
        <v>#N/A</v>
      </c>
      <c r="AN234" s="104" t="e">
        <f t="shared" si="125"/>
        <v>#N/A</v>
      </c>
      <c r="AO234" s="104" t="e">
        <f t="shared" si="126"/>
        <v>#N/A</v>
      </c>
      <c r="AP234" s="104" t="e">
        <f t="shared" si="127"/>
        <v>#N/A</v>
      </c>
      <c r="AQ234" s="104" t="e">
        <f t="shared" si="128"/>
        <v>#N/A</v>
      </c>
      <c r="AR234" s="105" t="str">
        <f t="shared" si="129"/>
        <v/>
      </c>
      <c r="AS234" s="105" t="str">
        <f t="shared" si="130"/>
        <v/>
      </c>
      <c r="AT234" s="108" t="str">
        <f t="shared" si="131"/>
        <v/>
      </c>
      <c r="AU234" s="108" t="str">
        <f t="shared" si="132"/>
        <v/>
      </c>
      <c r="AV234" s="107" t="str">
        <f>IF(ISNUMBER(O234),IF(VLOOKUP($A234,Stand!C:J,8,FALSE)="Short",AT234,AU234),"")</f>
        <v/>
      </c>
      <c r="AW234" s="109" t="str">
        <f t="shared" si="133"/>
        <v/>
      </c>
      <c r="AX234" s="109" t="str">
        <f t="shared" si="134"/>
        <v/>
      </c>
      <c r="AY234" s="112" t="str">
        <f>IF(ISNUMBER(O234),IF(AND(VLOOKUP($D234,Merchantability!$B:$C,2,0)="Yes",$E234&gt;=VLOOKUP($D234,Merchantability!$B:$D,3,0),$E234&lt;=VLOOKUP($D234,Merchantability!$B:$E,4,0)),(AV234*O234)*(1-$H234/100),""),"")</f>
        <v/>
      </c>
      <c r="AZ234" s="116"/>
      <c r="BA234" s="116"/>
      <c r="BB234" s="116"/>
      <c r="BE234" s="62"/>
      <c r="BF234" s="63"/>
    </row>
    <row r="235" spans="1:58" ht="12.75" customHeight="1" x14ac:dyDescent="0.25">
      <c r="A235" s="313"/>
      <c r="B235" s="380"/>
      <c r="C235" s="381"/>
      <c r="D235" s="380"/>
      <c r="E235" s="382"/>
      <c r="F235" s="331"/>
      <c r="G235" s="329"/>
      <c r="H235" s="329"/>
      <c r="I235" s="380"/>
      <c r="J235" s="381"/>
      <c r="K235" s="329"/>
      <c r="L235" s="329"/>
      <c r="M235" s="76"/>
      <c r="N235" s="103" t="str">
        <f>IF(A235="","",VLOOKUP(A235,Stand!C:K,9,0))</f>
        <v/>
      </c>
      <c r="O235" s="104" t="str">
        <f t="shared" si="108"/>
        <v/>
      </c>
      <c r="P235" s="105" t="str">
        <f t="shared" si="109"/>
        <v/>
      </c>
      <c r="Q235" s="105" t="str">
        <f t="shared" si="135"/>
        <v/>
      </c>
      <c r="R235" s="103" t="str">
        <f t="shared" si="111"/>
        <v/>
      </c>
      <c r="S235" s="103" t="str">
        <f t="shared" si="112"/>
        <v/>
      </c>
      <c r="T235" s="106" t="str">
        <f t="shared" si="136"/>
        <v/>
      </c>
      <c r="U235" s="106" t="str">
        <f t="shared" si="137"/>
        <v/>
      </c>
      <c r="V235" s="106" t="str">
        <f t="shared" si="138"/>
        <v/>
      </c>
      <c r="W235" s="105" t="str">
        <f t="shared" si="116"/>
        <v/>
      </c>
      <c r="X235" s="104" t="str">
        <f t="shared" si="117"/>
        <v/>
      </c>
      <c r="Y235" s="104" t="str">
        <f t="array" ref="Y235">IFERROR(IF(ISNUMBER(O235),IF(COUNT(IF(A235=$A$2:$A$2427,IF(D235=$D$2:$D$2427,IF($X$2:$X$2427&gt;0,1))))&gt;0,SUM(IF(A235=$A$2:$A$2427,IF(D235=$D$2:$D$2427,$X$2:$X$2427)))/COUNT(IF(A235=$A$2:$A$2427,IF(D235=$D$2:$D$2427,IF(ISNUMBER($X$2:$X$2427),1)))),0),""),0)</f>
        <v/>
      </c>
      <c r="Z235" s="104" t="str">
        <f>IF(ISNUMBER(O235),IF(I235&gt;0,(10^(VLOOKUP(D235,'Species Codes'!B:C,2,0)+VLOOKUP(D235,'Species Codes'!B:D,3,0)*LOG(E235)+VLOOKUP(D235,'Species Codes'!B:E,4,0)*LOG(I235))),0),"")</f>
        <v/>
      </c>
      <c r="AA235" s="104" t="str">
        <f>IFERROR((VLOOKUP(D235,'Species Codes'!B:G,6,0)*Z235)/2000,"")</f>
        <v/>
      </c>
      <c r="AB235" s="104" t="e">
        <f>IF(Z235&gt;0,((IF(OR(D235="DF",D235="RA")=TRUE,EXP(VLOOKUP(D235,'Species Codes'!B:I,8,0)+VLOOKUP(D235,'Species Codes'!B:J,9,0)*(LN((E235*2.54)))),IF(OR(D235="PY",D235="RC",D235="WH",D235="NF")=TRUE,VLOOKUP(D235,'Species Codes'!B:I,8,0)+VLOOKUP(D235,'Species Codes'!B:J,9,0)*((E235*2.54)^2)*(I235*0.3048),IF(OR(D235="MD",D235="BM",D235="GA")=TRUE,((VLOOKUP(D235,'Species Codes'!B:I,8,0)*(((((E235*2.54)+VLOOKUP(D235,'Species Codes'!B:J,9,0))/VLOOKUP(D235,'Species Codes'!B:K,10,0))^VLOOKUP(D235,'Species Codes'!B:L,11,0))*((I235*0.3048)^VLOOKUP(D235,'Species Codes'!B:M,12,0))))-(VLOOKUP(D235,'Species Codes'!B:I,8,0)*((((E235*2.54)^VLOOKUP(D235,'Species Codes'!B:L,11,0))*((I235*0.3048)^VLOOKUP(D235,'Species Codes'!B:M,12,0))))))*35.3*VLOOKUP(D235,'Species Codes'!B:G,6,0)/2.2046,VLOOKUP(D235,'Species Codes'!B:I,8,0)+VLOOKUP(D235,'Species Codes'!B:J,9,0)*(((E235*2.54)/100)^2)*(I235*0.3048)))))*0.0011023),0)</f>
        <v>#N/A</v>
      </c>
      <c r="AC235" s="104" t="e">
        <f>IF(Z235&gt;0,((IF(OR(D235="RA",D235="OA",D235="OT",D235="UN",D235="PC"),EXP(VLOOKUP(D235,'Species Codes'!B:O,14,0)+VLOOKUP(D235,'Species Codes'!B:P,15,0)*LN((E235*2.54)))-EXP(VLOOKUP(D235,'Species Codes'!B:O,14,0)+VLOOKUP(D235,'Species Codes'!B:P,15,0)*LN((E235*2.54)))*(1/(VLOOKUP(D235,'Species Codes'!B:Q,16,0)+VLOOKUP(D235,'Species Codes'!B:R,17,0)*((E235*2.54)^VLOOKUP(D235,'Species Codes'!B:S,18,0)))),IF(OR(D235="BM",D235="MD",D235="OA"),EXP(VLOOKUP(D235,'Species Codes'!B:O,14,0)+VLOOKUP(D235,'Species Codes'!B:P,15,0)*LN((E235*2.54)))*(1-(1/(VLOOKUP(D235,'Species Codes'!B:Q,16,0)+VLOOKUP(D235,'Species Codes'!B:R,17,0)*((E235*2.54)^VLOOKUP(D235,'Species Codes'!B:S,18,0)))))/1000,IF(D235="DF",EXP(VLOOKUP(D235,'Species Codes'!B:O,14,0)+VLOOKUP(D235,'Species Codes'!B:P,15,0)*LN((E235*2.54))),VLOOKUP(D235,'Species Codes'!B:O,14,0)+VLOOKUP(D235,'Species Codes'!B:P,15,0)*(((E235*2.54)/100)^2)*(I235*0.3048)))))*0.0011023),0)</f>
        <v>#N/A</v>
      </c>
      <c r="AD235" s="104" t="e">
        <f t="shared" si="139"/>
        <v>#N/A</v>
      </c>
      <c r="AE235" s="104" t="e">
        <f t="shared" si="140"/>
        <v>#N/A</v>
      </c>
      <c r="AF235" s="104" t="e">
        <f>IF(AND(VLOOKUP($D235,Merchantability!$B:$C,2,0)="Yes",$E235&gt;=VLOOKUP($D235,Merchantability!$B:$D,3,0),$E235&lt;=VLOOKUP($D235,Merchantability!$B:$E,4,0)),AA235,0)</f>
        <v>#N/A</v>
      </c>
      <c r="AG235" s="104" t="e">
        <f>IF(AND(VLOOKUP($D235,Merchantability!$B:$C,2,0)="Yes",$E235&gt;=VLOOKUP($D235,Merchantability!$B:$D,3,0),$E235&lt;=VLOOKUP($D235,Merchantability!$B:$E,4,0)),AB235,0)</f>
        <v>#N/A</v>
      </c>
      <c r="AH235" s="104" t="e">
        <f>IF(AND(VLOOKUP($D235,Merchantability!$B:$C,2,0)="Yes",$E235&gt;=VLOOKUP($D235,Merchantability!$B:$D,3,0),$E235&lt;=VLOOKUP($D235,Merchantability!$B:$E,4,0)),AC235,0)</f>
        <v>#N/A</v>
      </c>
      <c r="AI235" s="104" t="e">
        <f t="shared" si="141"/>
        <v>#N/A</v>
      </c>
      <c r="AJ235" s="104" t="e">
        <f t="shared" si="142"/>
        <v>#VALUE!</v>
      </c>
      <c r="AK235" s="104" t="e">
        <f t="shared" si="143"/>
        <v>#N/A</v>
      </c>
      <c r="AL235" s="104" t="e">
        <f t="shared" si="144"/>
        <v>#N/A</v>
      </c>
      <c r="AM235" s="104" t="e">
        <f t="shared" si="145"/>
        <v>#N/A</v>
      </c>
      <c r="AN235" s="104" t="e">
        <f t="shared" si="125"/>
        <v>#N/A</v>
      </c>
      <c r="AO235" s="104" t="e">
        <f t="shared" si="126"/>
        <v>#N/A</v>
      </c>
      <c r="AP235" s="104" t="e">
        <f t="shared" si="127"/>
        <v>#N/A</v>
      </c>
      <c r="AQ235" s="104" t="e">
        <f t="shared" si="128"/>
        <v>#N/A</v>
      </c>
      <c r="AR235" s="105" t="str">
        <f t="shared" si="129"/>
        <v/>
      </c>
      <c r="AS235" s="105" t="str">
        <f t="shared" si="130"/>
        <v/>
      </c>
      <c r="AT235" s="108" t="str">
        <f t="shared" si="131"/>
        <v/>
      </c>
      <c r="AU235" s="108" t="str">
        <f t="shared" si="132"/>
        <v/>
      </c>
      <c r="AV235" s="107" t="str">
        <f>IF(ISNUMBER(O235),IF(VLOOKUP($A235,Stand!C:J,8,FALSE)="Short",AT235,AU235),"")</f>
        <v/>
      </c>
      <c r="AW235" s="109" t="str">
        <f t="shared" si="133"/>
        <v/>
      </c>
      <c r="AX235" s="109" t="str">
        <f t="shared" si="134"/>
        <v/>
      </c>
      <c r="AY235" s="112" t="str">
        <f>IF(ISNUMBER(O235),IF(AND(VLOOKUP($D235,Merchantability!$B:$C,2,0)="Yes",$E235&gt;=VLOOKUP($D235,Merchantability!$B:$D,3,0),$E235&lt;=VLOOKUP($D235,Merchantability!$B:$E,4,0)),(AV235*O235)*(1-$H235/100),""),"")</f>
        <v/>
      </c>
      <c r="AZ235" s="116"/>
      <c r="BA235" s="116"/>
      <c r="BB235" s="116"/>
      <c r="BE235" s="62"/>
      <c r="BF235" s="63"/>
    </row>
    <row r="236" spans="1:58" ht="12.75" customHeight="1" x14ac:dyDescent="0.25">
      <c r="A236" s="313"/>
      <c r="B236" s="380"/>
      <c r="C236" s="381"/>
      <c r="D236" s="380"/>
      <c r="E236" s="382"/>
      <c r="F236" s="331"/>
      <c r="G236" s="329"/>
      <c r="H236" s="329"/>
      <c r="I236" s="380"/>
      <c r="J236" s="381"/>
      <c r="K236" s="329"/>
      <c r="L236" s="329"/>
      <c r="M236" s="76"/>
      <c r="N236" s="103" t="str">
        <f>IF(A236="","",VLOOKUP(A236,Stand!C:K,9,0))</f>
        <v/>
      </c>
      <c r="O236" s="104" t="str">
        <f t="shared" si="108"/>
        <v/>
      </c>
      <c r="P236" s="105" t="str">
        <f t="shared" si="109"/>
        <v/>
      </c>
      <c r="Q236" s="105" t="str">
        <f t="shared" si="135"/>
        <v/>
      </c>
      <c r="R236" s="103" t="str">
        <f t="shared" si="111"/>
        <v/>
      </c>
      <c r="S236" s="103" t="str">
        <f t="shared" si="112"/>
        <v/>
      </c>
      <c r="T236" s="106" t="str">
        <f t="shared" si="136"/>
        <v/>
      </c>
      <c r="U236" s="106" t="str">
        <f t="shared" si="137"/>
        <v/>
      </c>
      <c r="V236" s="106" t="str">
        <f t="shared" si="138"/>
        <v/>
      </c>
      <c r="W236" s="105" t="str">
        <f t="shared" si="116"/>
        <v/>
      </c>
      <c r="X236" s="104" t="str">
        <f t="shared" si="117"/>
        <v/>
      </c>
      <c r="Y236" s="104" t="str">
        <f t="array" ref="Y236">IFERROR(IF(ISNUMBER(O236),IF(COUNT(IF(A236=$A$2:$A$2427,IF(D236=$D$2:$D$2427,IF($X$2:$X$2427&gt;0,1))))&gt;0,SUM(IF(A236=$A$2:$A$2427,IF(D236=$D$2:$D$2427,$X$2:$X$2427)))/COUNT(IF(A236=$A$2:$A$2427,IF(D236=$D$2:$D$2427,IF(ISNUMBER($X$2:$X$2427),1)))),0),""),0)</f>
        <v/>
      </c>
      <c r="Z236" s="104" t="str">
        <f>IF(ISNUMBER(O236),IF(I236&gt;0,(10^(VLOOKUP(D236,'Species Codes'!B:C,2,0)+VLOOKUP(D236,'Species Codes'!B:D,3,0)*LOG(E236)+VLOOKUP(D236,'Species Codes'!B:E,4,0)*LOG(I236))),0),"")</f>
        <v/>
      </c>
      <c r="AA236" s="104" t="str">
        <f>IFERROR((VLOOKUP(D236,'Species Codes'!B:G,6,0)*Z236)/2000,"")</f>
        <v/>
      </c>
      <c r="AB236" s="104" t="e">
        <f>IF(Z236&gt;0,((IF(OR(D236="DF",D236="RA")=TRUE,EXP(VLOOKUP(D236,'Species Codes'!B:I,8,0)+VLOOKUP(D236,'Species Codes'!B:J,9,0)*(LN((E236*2.54)))),IF(OR(D236="PY",D236="RC",D236="WH",D236="NF")=TRUE,VLOOKUP(D236,'Species Codes'!B:I,8,0)+VLOOKUP(D236,'Species Codes'!B:J,9,0)*((E236*2.54)^2)*(I236*0.3048),IF(OR(D236="MD",D236="BM",D236="GA")=TRUE,((VLOOKUP(D236,'Species Codes'!B:I,8,0)*(((((E236*2.54)+VLOOKUP(D236,'Species Codes'!B:J,9,0))/VLOOKUP(D236,'Species Codes'!B:K,10,0))^VLOOKUP(D236,'Species Codes'!B:L,11,0))*((I236*0.3048)^VLOOKUP(D236,'Species Codes'!B:M,12,0))))-(VLOOKUP(D236,'Species Codes'!B:I,8,0)*((((E236*2.54)^VLOOKUP(D236,'Species Codes'!B:L,11,0))*((I236*0.3048)^VLOOKUP(D236,'Species Codes'!B:M,12,0))))))*35.3*VLOOKUP(D236,'Species Codes'!B:G,6,0)/2.2046,VLOOKUP(D236,'Species Codes'!B:I,8,0)+VLOOKUP(D236,'Species Codes'!B:J,9,0)*(((E236*2.54)/100)^2)*(I236*0.3048)))))*0.0011023),0)</f>
        <v>#N/A</v>
      </c>
      <c r="AC236" s="104" t="e">
        <f>IF(Z236&gt;0,((IF(OR(D236="RA",D236="OA",D236="OT",D236="UN",D236="PC"),EXP(VLOOKUP(D236,'Species Codes'!B:O,14,0)+VLOOKUP(D236,'Species Codes'!B:P,15,0)*LN((E236*2.54)))-EXP(VLOOKUP(D236,'Species Codes'!B:O,14,0)+VLOOKUP(D236,'Species Codes'!B:P,15,0)*LN((E236*2.54)))*(1/(VLOOKUP(D236,'Species Codes'!B:Q,16,0)+VLOOKUP(D236,'Species Codes'!B:R,17,0)*((E236*2.54)^VLOOKUP(D236,'Species Codes'!B:S,18,0)))),IF(OR(D236="BM",D236="MD",D236="OA"),EXP(VLOOKUP(D236,'Species Codes'!B:O,14,0)+VLOOKUP(D236,'Species Codes'!B:P,15,0)*LN((E236*2.54)))*(1-(1/(VLOOKUP(D236,'Species Codes'!B:Q,16,0)+VLOOKUP(D236,'Species Codes'!B:R,17,0)*((E236*2.54)^VLOOKUP(D236,'Species Codes'!B:S,18,0)))))/1000,IF(D236="DF",EXP(VLOOKUP(D236,'Species Codes'!B:O,14,0)+VLOOKUP(D236,'Species Codes'!B:P,15,0)*LN((E236*2.54))),VLOOKUP(D236,'Species Codes'!B:O,14,0)+VLOOKUP(D236,'Species Codes'!B:P,15,0)*(((E236*2.54)/100)^2)*(I236*0.3048)))))*0.0011023),0)</f>
        <v>#N/A</v>
      </c>
      <c r="AD236" s="104" t="e">
        <f t="shared" si="139"/>
        <v>#N/A</v>
      </c>
      <c r="AE236" s="104" t="e">
        <f t="shared" si="140"/>
        <v>#N/A</v>
      </c>
      <c r="AF236" s="104" t="e">
        <f>IF(AND(VLOOKUP($D236,Merchantability!$B:$C,2,0)="Yes",$E236&gt;=VLOOKUP($D236,Merchantability!$B:$D,3,0),$E236&lt;=VLOOKUP($D236,Merchantability!$B:$E,4,0)),AA236,0)</f>
        <v>#N/A</v>
      </c>
      <c r="AG236" s="104" t="e">
        <f>IF(AND(VLOOKUP($D236,Merchantability!$B:$C,2,0)="Yes",$E236&gt;=VLOOKUP($D236,Merchantability!$B:$D,3,0),$E236&lt;=VLOOKUP($D236,Merchantability!$B:$E,4,0)),AB236,0)</f>
        <v>#N/A</v>
      </c>
      <c r="AH236" s="104" t="e">
        <f>IF(AND(VLOOKUP($D236,Merchantability!$B:$C,2,0)="Yes",$E236&gt;=VLOOKUP($D236,Merchantability!$B:$D,3,0),$E236&lt;=VLOOKUP($D236,Merchantability!$B:$E,4,0)),AC236,0)</f>
        <v>#N/A</v>
      </c>
      <c r="AI236" s="104" t="e">
        <f t="shared" si="141"/>
        <v>#N/A</v>
      </c>
      <c r="AJ236" s="104" t="e">
        <f t="shared" si="142"/>
        <v>#VALUE!</v>
      </c>
      <c r="AK236" s="104" t="e">
        <f t="shared" si="143"/>
        <v>#N/A</v>
      </c>
      <c r="AL236" s="104" t="e">
        <f t="shared" si="144"/>
        <v>#N/A</v>
      </c>
      <c r="AM236" s="104" t="e">
        <f t="shared" si="145"/>
        <v>#N/A</v>
      </c>
      <c r="AN236" s="104" t="e">
        <f t="shared" si="125"/>
        <v>#N/A</v>
      </c>
      <c r="AO236" s="104" t="e">
        <f t="shared" si="126"/>
        <v>#N/A</v>
      </c>
      <c r="AP236" s="104" t="e">
        <f t="shared" si="127"/>
        <v>#N/A</v>
      </c>
      <c r="AQ236" s="104" t="e">
        <f t="shared" si="128"/>
        <v>#N/A</v>
      </c>
      <c r="AR236" s="105" t="str">
        <f t="shared" si="129"/>
        <v/>
      </c>
      <c r="AS236" s="105" t="str">
        <f t="shared" si="130"/>
        <v/>
      </c>
      <c r="AT236" s="108" t="str">
        <f t="shared" si="131"/>
        <v/>
      </c>
      <c r="AU236" s="108" t="str">
        <f t="shared" si="132"/>
        <v/>
      </c>
      <c r="AV236" s="107" t="str">
        <f>IF(ISNUMBER(O236),IF(VLOOKUP($A236,Stand!C:J,8,FALSE)="Short",AT236,AU236),"")</f>
        <v/>
      </c>
      <c r="AW236" s="109" t="str">
        <f t="shared" si="133"/>
        <v/>
      </c>
      <c r="AX236" s="109" t="str">
        <f t="shared" si="134"/>
        <v/>
      </c>
      <c r="AY236" s="112" t="str">
        <f>IF(ISNUMBER(O236),IF(AND(VLOOKUP($D236,Merchantability!$B:$C,2,0)="Yes",$E236&gt;=VLOOKUP($D236,Merchantability!$B:$D,3,0),$E236&lt;=VLOOKUP($D236,Merchantability!$B:$E,4,0)),(AV236*O236)*(1-$H236/100),""),"")</f>
        <v/>
      </c>
      <c r="AZ236" s="116"/>
      <c r="BA236" s="116"/>
      <c r="BB236" s="116"/>
      <c r="BE236" s="62"/>
      <c r="BF236" s="63"/>
    </row>
    <row r="237" spans="1:58" ht="12.75" customHeight="1" x14ac:dyDescent="0.25">
      <c r="A237" s="313"/>
      <c r="B237" s="380"/>
      <c r="C237" s="381"/>
      <c r="D237" s="380"/>
      <c r="E237" s="382"/>
      <c r="F237" s="331"/>
      <c r="G237" s="329"/>
      <c r="H237" s="329"/>
      <c r="I237" s="380"/>
      <c r="J237" s="381"/>
      <c r="K237" s="329"/>
      <c r="L237" s="329"/>
      <c r="M237" s="76"/>
      <c r="N237" s="103" t="str">
        <f>IF(A237="","",VLOOKUP(A237,Stand!C:K,9,0))</f>
        <v/>
      </c>
      <c r="O237" s="104" t="str">
        <f t="shared" si="108"/>
        <v/>
      </c>
      <c r="P237" s="105" t="str">
        <f t="shared" si="109"/>
        <v/>
      </c>
      <c r="Q237" s="105" t="str">
        <f t="shared" si="135"/>
        <v/>
      </c>
      <c r="R237" s="103" t="str">
        <f t="shared" si="111"/>
        <v/>
      </c>
      <c r="S237" s="103" t="str">
        <f t="shared" si="112"/>
        <v/>
      </c>
      <c r="T237" s="106" t="str">
        <f t="shared" si="136"/>
        <v/>
      </c>
      <c r="U237" s="106" t="str">
        <f t="shared" si="137"/>
        <v/>
      </c>
      <c r="V237" s="106" t="str">
        <f t="shared" si="138"/>
        <v/>
      </c>
      <c r="W237" s="105" t="str">
        <f t="shared" si="116"/>
        <v/>
      </c>
      <c r="X237" s="104" t="str">
        <f t="shared" si="117"/>
        <v/>
      </c>
      <c r="Y237" s="104" t="str">
        <f t="array" ref="Y237">IFERROR(IF(ISNUMBER(O237),IF(COUNT(IF(A237=$A$2:$A$2427,IF(D237=$D$2:$D$2427,IF($X$2:$X$2427&gt;0,1))))&gt;0,SUM(IF(A237=$A$2:$A$2427,IF(D237=$D$2:$D$2427,$X$2:$X$2427)))/COUNT(IF(A237=$A$2:$A$2427,IF(D237=$D$2:$D$2427,IF(ISNUMBER($X$2:$X$2427),1)))),0),""),0)</f>
        <v/>
      </c>
      <c r="Z237" s="104" t="str">
        <f>IF(ISNUMBER(O237),IF(I237&gt;0,(10^(VLOOKUP(D237,'Species Codes'!B:C,2,0)+VLOOKUP(D237,'Species Codes'!B:D,3,0)*LOG(E237)+VLOOKUP(D237,'Species Codes'!B:E,4,0)*LOG(I237))),0),"")</f>
        <v/>
      </c>
      <c r="AA237" s="104" t="str">
        <f>IFERROR((VLOOKUP(D237,'Species Codes'!B:G,6,0)*Z237)/2000,"")</f>
        <v/>
      </c>
      <c r="AB237" s="104" t="e">
        <f>IF(Z237&gt;0,((IF(OR(D237="DF",D237="RA")=TRUE,EXP(VLOOKUP(D237,'Species Codes'!B:I,8,0)+VLOOKUP(D237,'Species Codes'!B:J,9,0)*(LN((E237*2.54)))),IF(OR(D237="PY",D237="RC",D237="WH",D237="NF")=TRUE,VLOOKUP(D237,'Species Codes'!B:I,8,0)+VLOOKUP(D237,'Species Codes'!B:J,9,0)*((E237*2.54)^2)*(I237*0.3048),IF(OR(D237="MD",D237="BM",D237="GA")=TRUE,((VLOOKUP(D237,'Species Codes'!B:I,8,0)*(((((E237*2.54)+VLOOKUP(D237,'Species Codes'!B:J,9,0))/VLOOKUP(D237,'Species Codes'!B:K,10,0))^VLOOKUP(D237,'Species Codes'!B:L,11,0))*((I237*0.3048)^VLOOKUP(D237,'Species Codes'!B:M,12,0))))-(VLOOKUP(D237,'Species Codes'!B:I,8,0)*((((E237*2.54)^VLOOKUP(D237,'Species Codes'!B:L,11,0))*((I237*0.3048)^VLOOKUP(D237,'Species Codes'!B:M,12,0))))))*35.3*VLOOKUP(D237,'Species Codes'!B:G,6,0)/2.2046,VLOOKUP(D237,'Species Codes'!B:I,8,0)+VLOOKUP(D237,'Species Codes'!B:J,9,0)*(((E237*2.54)/100)^2)*(I237*0.3048)))))*0.0011023),0)</f>
        <v>#N/A</v>
      </c>
      <c r="AC237" s="104" t="e">
        <f>IF(Z237&gt;0,((IF(OR(D237="RA",D237="OA",D237="OT",D237="UN",D237="PC"),EXP(VLOOKUP(D237,'Species Codes'!B:O,14,0)+VLOOKUP(D237,'Species Codes'!B:P,15,0)*LN((E237*2.54)))-EXP(VLOOKUP(D237,'Species Codes'!B:O,14,0)+VLOOKUP(D237,'Species Codes'!B:P,15,0)*LN((E237*2.54)))*(1/(VLOOKUP(D237,'Species Codes'!B:Q,16,0)+VLOOKUP(D237,'Species Codes'!B:R,17,0)*((E237*2.54)^VLOOKUP(D237,'Species Codes'!B:S,18,0)))),IF(OR(D237="BM",D237="MD",D237="OA"),EXP(VLOOKUP(D237,'Species Codes'!B:O,14,0)+VLOOKUP(D237,'Species Codes'!B:P,15,0)*LN((E237*2.54)))*(1-(1/(VLOOKUP(D237,'Species Codes'!B:Q,16,0)+VLOOKUP(D237,'Species Codes'!B:R,17,0)*((E237*2.54)^VLOOKUP(D237,'Species Codes'!B:S,18,0)))))/1000,IF(D237="DF",EXP(VLOOKUP(D237,'Species Codes'!B:O,14,0)+VLOOKUP(D237,'Species Codes'!B:P,15,0)*LN((E237*2.54))),VLOOKUP(D237,'Species Codes'!B:O,14,0)+VLOOKUP(D237,'Species Codes'!B:P,15,0)*(((E237*2.54)/100)^2)*(I237*0.3048)))))*0.0011023),0)</f>
        <v>#N/A</v>
      </c>
      <c r="AD237" s="104" t="e">
        <f t="shared" si="139"/>
        <v>#N/A</v>
      </c>
      <c r="AE237" s="104" t="e">
        <f t="shared" si="140"/>
        <v>#N/A</v>
      </c>
      <c r="AF237" s="104" t="e">
        <f>IF(AND(VLOOKUP($D237,Merchantability!$B:$C,2,0)="Yes",$E237&gt;=VLOOKUP($D237,Merchantability!$B:$D,3,0),$E237&lt;=VLOOKUP($D237,Merchantability!$B:$E,4,0)),AA237,0)</f>
        <v>#N/A</v>
      </c>
      <c r="AG237" s="104" t="e">
        <f>IF(AND(VLOOKUP($D237,Merchantability!$B:$C,2,0)="Yes",$E237&gt;=VLOOKUP($D237,Merchantability!$B:$D,3,0),$E237&lt;=VLOOKUP($D237,Merchantability!$B:$E,4,0)),AB237,0)</f>
        <v>#N/A</v>
      </c>
      <c r="AH237" s="104" t="e">
        <f>IF(AND(VLOOKUP($D237,Merchantability!$B:$C,2,0)="Yes",$E237&gt;=VLOOKUP($D237,Merchantability!$B:$D,3,0),$E237&lt;=VLOOKUP($D237,Merchantability!$B:$E,4,0)),AC237,0)</f>
        <v>#N/A</v>
      </c>
      <c r="AI237" s="104" t="e">
        <f t="shared" si="141"/>
        <v>#N/A</v>
      </c>
      <c r="AJ237" s="104" t="e">
        <f t="shared" si="142"/>
        <v>#VALUE!</v>
      </c>
      <c r="AK237" s="104" t="e">
        <f t="shared" si="143"/>
        <v>#N/A</v>
      </c>
      <c r="AL237" s="104" t="e">
        <f t="shared" si="144"/>
        <v>#N/A</v>
      </c>
      <c r="AM237" s="104" t="e">
        <f t="shared" si="145"/>
        <v>#N/A</v>
      </c>
      <c r="AN237" s="104" t="e">
        <f t="shared" si="125"/>
        <v>#N/A</v>
      </c>
      <c r="AO237" s="104" t="e">
        <f t="shared" si="126"/>
        <v>#N/A</v>
      </c>
      <c r="AP237" s="104" t="e">
        <f t="shared" si="127"/>
        <v>#N/A</v>
      </c>
      <c r="AQ237" s="104" t="e">
        <f t="shared" si="128"/>
        <v>#N/A</v>
      </c>
      <c r="AR237" s="105" t="str">
        <f t="shared" si="129"/>
        <v/>
      </c>
      <c r="AS237" s="105" t="str">
        <f t="shared" si="130"/>
        <v/>
      </c>
      <c r="AT237" s="108" t="str">
        <f t="shared" si="131"/>
        <v/>
      </c>
      <c r="AU237" s="108" t="str">
        <f t="shared" si="132"/>
        <v/>
      </c>
      <c r="AV237" s="107" t="str">
        <f>IF(ISNUMBER(O237),IF(VLOOKUP($A237,Stand!C:J,8,FALSE)="Short",AT237,AU237),"")</f>
        <v/>
      </c>
      <c r="AW237" s="109" t="str">
        <f t="shared" si="133"/>
        <v/>
      </c>
      <c r="AX237" s="109" t="str">
        <f t="shared" si="134"/>
        <v/>
      </c>
      <c r="AY237" s="112" t="str">
        <f>IF(ISNUMBER(O237),IF(AND(VLOOKUP($D237,Merchantability!$B:$C,2,0)="Yes",$E237&gt;=VLOOKUP($D237,Merchantability!$B:$D,3,0),$E237&lt;=VLOOKUP($D237,Merchantability!$B:$E,4,0)),(AV237*O237)*(1-$H237/100),""),"")</f>
        <v/>
      </c>
      <c r="AZ237" s="116"/>
      <c r="BA237" s="116"/>
      <c r="BB237" s="116"/>
      <c r="BE237" s="62"/>
      <c r="BF237" s="63"/>
    </row>
    <row r="238" spans="1:58" ht="12.75" customHeight="1" x14ac:dyDescent="0.25">
      <c r="A238" s="313"/>
      <c r="B238" s="380"/>
      <c r="C238" s="381"/>
      <c r="D238" s="380"/>
      <c r="E238" s="382"/>
      <c r="F238" s="331"/>
      <c r="G238" s="329"/>
      <c r="H238" s="329"/>
      <c r="I238" s="380"/>
      <c r="J238" s="381"/>
      <c r="K238" s="329"/>
      <c r="L238" s="329"/>
      <c r="M238" s="76"/>
      <c r="N238" s="103" t="str">
        <f>IF(A238="","",VLOOKUP(A238,Stand!C:K,9,0))</f>
        <v/>
      </c>
      <c r="O238" s="104" t="str">
        <f t="shared" si="108"/>
        <v/>
      </c>
      <c r="P238" s="105" t="str">
        <f t="shared" si="109"/>
        <v/>
      </c>
      <c r="Q238" s="105" t="str">
        <f t="shared" si="135"/>
        <v/>
      </c>
      <c r="R238" s="103" t="str">
        <f t="shared" si="111"/>
        <v/>
      </c>
      <c r="S238" s="103" t="str">
        <f t="shared" si="112"/>
        <v/>
      </c>
      <c r="T238" s="106" t="str">
        <f t="shared" si="136"/>
        <v/>
      </c>
      <c r="U238" s="106" t="str">
        <f t="shared" si="137"/>
        <v/>
      </c>
      <c r="V238" s="106" t="str">
        <f t="shared" si="138"/>
        <v/>
      </c>
      <c r="W238" s="105" t="str">
        <f t="shared" si="116"/>
        <v/>
      </c>
      <c r="X238" s="104" t="str">
        <f t="shared" si="117"/>
        <v/>
      </c>
      <c r="Y238" s="104" t="str">
        <f t="array" ref="Y238">IFERROR(IF(ISNUMBER(O238),IF(COUNT(IF(A238=$A$2:$A$2427,IF(D238=$D$2:$D$2427,IF($X$2:$X$2427&gt;0,1))))&gt;0,SUM(IF(A238=$A$2:$A$2427,IF(D238=$D$2:$D$2427,$X$2:$X$2427)))/COUNT(IF(A238=$A$2:$A$2427,IF(D238=$D$2:$D$2427,IF(ISNUMBER($X$2:$X$2427),1)))),0),""),0)</f>
        <v/>
      </c>
      <c r="Z238" s="104" t="str">
        <f>IF(ISNUMBER(O238),IF(I238&gt;0,(10^(VLOOKUP(D238,'Species Codes'!B:C,2,0)+VLOOKUP(D238,'Species Codes'!B:D,3,0)*LOG(E238)+VLOOKUP(D238,'Species Codes'!B:E,4,0)*LOG(I238))),0),"")</f>
        <v/>
      </c>
      <c r="AA238" s="104" t="str">
        <f>IFERROR((VLOOKUP(D238,'Species Codes'!B:G,6,0)*Z238)/2000,"")</f>
        <v/>
      </c>
      <c r="AB238" s="104" t="e">
        <f>IF(Z238&gt;0,((IF(OR(D238="DF",D238="RA")=TRUE,EXP(VLOOKUP(D238,'Species Codes'!B:I,8,0)+VLOOKUP(D238,'Species Codes'!B:J,9,0)*(LN((E238*2.54)))),IF(OR(D238="PY",D238="RC",D238="WH",D238="NF")=TRUE,VLOOKUP(D238,'Species Codes'!B:I,8,0)+VLOOKUP(D238,'Species Codes'!B:J,9,0)*((E238*2.54)^2)*(I238*0.3048),IF(OR(D238="MD",D238="BM",D238="GA")=TRUE,((VLOOKUP(D238,'Species Codes'!B:I,8,0)*(((((E238*2.54)+VLOOKUP(D238,'Species Codes'!B:J,9,0))/VLOOKUP(D238,'Species Codes'!B:K,10,0))^VLOOKUP(D238,'Species Codes'!B:L,11,0))*((I238*0.3048)^VLOOKUP(D238,'Species Codes'!B:M,12,0))))-(VLOOKUP(D238,'Species Codes'!B:I,8,0)*((((E238*2.54)^VLOOKUP(D238,'Species Codes'!B:L,11,0))*((I238*0.3048)^VLOOKUP(D238,'Species Codes'!B:M,12,0))))))*35.3*VLOOKUP(D238,'Species Codes'!B:G,6,0)/2.2046,VLOOKUP(D238,'Species Codes'!B:I,8,0)+VLOOKUP(D238,'Species Codes'!B:J,9,0)*(((E238*2.54)/100)^2)*(I238*0.3048)))))*0.0011023),0)</f>
        <v>#N/A</v>
      </c>
      <c r="AC238" s="104" t="e">
        <f>IF(Z238&gt;0,((IF(OR(D238="RA",D238="OA",D238="OT",D238="UN",D238="PC"),EXP(VLOOKUP(D238,'Species Codes'!B:O,14,0)+VLOOKUP(D238,'Species Codes'!B:P,15,0)*LN((E238*2.54)))-EXP(VLOOKUP(D238,'Species Codes'!B:O,14,0)+VLOOKUP(D238,'Species Codes'!B:P,15,0)*LN((E238*2.54)))*(1/(VLOOKUP(D238,'Species Codes'!B:Q,16,0)+VLOOKUP(D238,'Species Codes'!B:R,17,0)*((E238*2.54)^VLOOKUP(D238,'Species Codes'!B:S,18,0)))),IF(OR(D238="BM",D238="MD",D238="OA"),EXP(VLOOKUP(D238,'Species Codes'!B:O,14,0)+VLOOKUP(D238,'Species Codes'!B:P,15,0)*LN((E238*2.54)))*(1-(1/(VLOOKUP(D238,'Species Codes'!B:Q,16,0)+VLOOKUP(D238,'Species Codes'!B:R,17,0)*((E238*2.54)^VLOOKUP(D238,'Species Codes'!B:S,18,0)))))/1000,IF(D238="DF",EXP(VLOOKUP(D238,'Species Codes'!B:O,14,0)+VLOOKUP(D238,'Species Codes'!B:P,15,0)*LN((E238*2.54))),VLOOKUP(D238,'Species Codes'!B:O,14,0)+VLOOKUP(D238,'Species Codes'!B:P,15,0)*(((E238*2.54)/100)^2)*(I238*0.3048)))))*0.0011023),0)</f>
        <v>#N/A</v>
      </c>
      <c r="AD238" s="104" t="e">
        <f t="shared" si="139"/>
        <v>#N/A</v>
      </c>
      <c r="AE238" s="104" t="e">
        <f t="shared" si="140"/>
        <v>#N/A</v>
      </c>
      <c r="AF238" s="104" t="e">
        <f>IF(AND(VLOOKUP($D238,Merchantability!$B:$C,2,0)="Yes",$E238&gt;=VLOOKUP($D238,Merchantability!$B:$D,3,0),$E238&lt;=VLOOKUP($D238,Merchantability!$B:$E,4,0)),AA238,0)</f>
        <v>#N/A</v>
      </c>
      <c r="AG238" s="104" t="e">
        <f>IF(AND(VLOOKUP($D238,Merchantability!$B:$C,2,0)="Yes",$E238&gt;=VLOOKUP($D238,Merchantability!$B:$D,3,0),$E238&lt;=VLOOKUP($D238,Merchantability!$B:$E,4,0)),AB238,0)</f>
        <v>#N/A</v>
      </c>
      <c r="AH238" s="104" t="e">
        <f>IF(AND(VLOOKUP($D238,Merchantability!$B:$C,2,0)="Yes",$E238&gt;=VLOOKUP($D238,Merchantability!$B:$D,3,0),$E238&lt;=VLOOKUP($D238,Merchantability!$B:$E,4,0)),AC238,0)</f>
        <v>#N/A</v>
      </c>
      <c r="AI238" s="104" t="e">
        <f t="shared" si="141"/>
        <v>#N/A</v>
      </c>
      <c r="AJ238" s="104" t="e">
        <f t="shared" si="142"/>
        <v>#VALUE!</v>
      </c>
      <c r="AK238" s="104" t="e">
        <f t="shared" si="143"/>
        <v>#N/A</v>
      </c>
      <c r="AL238" s="104" t="e">
        <f t="shared" si="144"/>
        <v>#N/A</v>
      </c>
      <c r="AM238" s="104" t="e">
        <f t="shared" si="145"/>
        <v>#N/A</v>
      </c>
      <c r="AN238" s="104" t="e">
        <f t="shared" si="125"/>
        <v>#N/A</v>
      </c>
      <c r="AO238" s="104" t="e">
        <f t="shared" si="126"/>
        <v>#N/A</v>
      </c>
      <c r="AP238" s="104" t="e">
        <f t="shared" si="127"/>
        <v>#N/A</v>
      </c>
      <c r="AQ238" s="104" t="e">
        <f t="shared" si="128"/>
        <v>#N/A</v>
      </c>
      <c r="AR238" s="105" t="str">
        <f t="shared" si="129"/>
        <v/>
      </c>
      <c r="AS238" s="105" t="str">
        <f t="shared" si="130"/>
        <v/>
      </c>
      <c r="AT238" s="108" t="str">
        <f t="shared" si="131"/>
        <v/>
      </c>
      <c r="AU238" s="108" t="str">
        <f t="shared" si="132"/>
        <v/>
      </c>
      <c r="AV238" s="107" t="str">
        <f>IF(ISNUMBER(O238),IF(VLOOKUP($A238,Stand!C:J,8,FALSE)="Short",AT238,AU238),"")</f>
        <v/>
      </c>
      <c r="AW238" s="109" t="str">
        <f t="shared" si="133"/>
        <v/>
      </c>
      <c r="AX238" s="109" t="str">
        <f t="shared" si="134"/>
        <v/>
      </c>
      <c r="AY238" s="112" t="str">
        <f>IF(ISNUMBER(O238),IF(AND(VLOOKUP($D238,Merchantability!$B:$C,2,0)="Yes",$E238&gt;=VLOOKUP($D238,Merchantability!$B:$D,3,0),$E238&lt;=VLOOKUP($D238,Merchantability!$B:$E,4,0)),(AV238*O238)*(1-$H238/100),""),"")</f>
        <v/>
      </c>
      <c r="AZ238" s="116"/>
      <c r="BA238" s="116"/>
      <c r="BB238" s="116"/>
      <c r="BE238" s="62"/>
      <c r="BF238" s="63"/>
    </row>
    <row r="239" spans="1:58" ht="12.75" customHeight="1" x14ac:dyDescent="0.25">
      <c r="A239" s="313"/>
      <c r="B239" s="380"/>
      <c r="C239" s="381"/>
      <c r="D239" s="380"/>
      <c r="E239" s="382"/>
      <c r="F239" s="331"/>
      <c r="G239" s="329"/>
      <c r="H239" s="329"/>
      <c r="I239" s="380"/>
      <c r="J239" s="381"/>
      <c r="K239" s="329"/>
      <c r="L239" s="329"/>
      <c r="M239" s="76"/>
      <c r="N239" s="103" t="str">
        <f>IF(A239="","",VLOOKUP(A239,Stand!C:K,9,0))</f>
        <v/>
      </c>
      <c r="O239" s="104" t="str">
        <f t="shared" si="108"/>
        <v/>
      </c>
      <c r="P239" s="105" t="str">
        <f t="shared" si="109"/>
        <v/>
      </c>
      <c r="Q239" s="105" t="str">
        <f t="shared" si="135"/>
        <v/>
      </c>
      <c r="R239" s="103" t="str">
        <f t="shared" si="111"/>
        <v/>
      </c>
      <c r="S239" s="103" t="str">
        <f t="shared" si="112"/>
        <v/>
      </c>
      <c r="T239" s="106" t="str">
        <f t="shared" si="136"/>
        <v/>
      </c>
      <c r="U239" s="106" t="str">
        <f t="shared" si="137"/>
        <v/>
      </c>
      <c r="V239" s="106" t="str">
        <f t="shared" si="138"/>
        <v/>
      </c>
      <c r="W239" s="105" t="str">
        <f t="shared" si="116"/>
        <v/>
      </c>
      <c r="X239" s="104" t="str">
        <f t="shared" si="117"/>
        <v/>
      </c>
      <c r="Y239" s="104" t="str">
        <f t="array" ref="Y239">IFERROR(IF(ISNUMBER(O239),IF(COUNT(IF(A239=$A$2:$A$2427,IF(D239=$D$2:$D$2427,IF($X$2:$X$2427&gt;0,1))))&gt;0,SUM(IF(A239=$A$2:$A$2427,IF(D239=$D$2:$D$2427,$X$2:$X$2427)))/COUNT(IF(A239=$A$2:$A$2427,IF(D239=$D$2:$D$2427,IF(ISNUMBER($X$2:$X$2427),1)))),0),""),0)</f>
        <v/>
      </c>
      <c r="Z239" s="104" t="str">
        <f>IF(ISNUMBER(O239),IF(I239&gt;0,(10^(VLOOKUP(D239,'Species Codes'!B:C,2,0)+VLOOKUP(D239,'Species Codes'!B:D,3,0)*LOG(E239)+VLOOKUP(D239,'Species Codes'!B:E,4,0)*LOG(I239))),0),"")</f>
        <v/>
      </c>
      <c r="AA239" s="104" t="str">
        <f>IFERROR((VLOOKUP(D239,'Species Codes'!B:G,6,0)*Z239)/2000,"")</f>
        <v/>
      </c>
      <c r="AB239" s="104" t="e">
        <f>IF(Z239&gt;0,((IF(OR(D239="DF",D239="RA")=TRUE,EXP(VLOOKUP(D239,'Species Codes'!B:I,8,0)+VLOOKUP(D239,'Species Codes'!B:J,9,0)*(LN((E239*2.54)))),IF(OR(D239="PY",D239="RC",D239="WH",D239="NF")=TRUE,VLOOKUP(D239,'Species Codes'!B:I,8,0)+VLOOKUP(D239,'Species Codes'!B:J,9,0)*((E239*2.54)^2)*(I239*0.3048),IF(OR(D239="MD",D239="BM",D239="GA")=TRUE,((VLOOKUP(D239,'Species Codes'!B:I,8,0)*(((((E239*2.54)+VLOOKUP(D239,'Species Codes'!B:J,9,0))/VLOOKUP(D239,'Species Codes'!B:K,10,0))^VLOOKUP(D239,'Species Codes'!B:L,11,0))*((I239*0.3048)^VLOOKUP(D239,'Species Codes'!B:M,12,0))))-(VLOOKUP(D239,'Species Codes'!B:I,8,0)*((((E239*2.54)^VLOOKUP(D239,'Species Codes'!B:L,11,0))*((I239*0.3048)^VLOOKUP(D239,'Species Codes'!B:M,12,0))))))*35.3*VLOOKUP(D239,'Species Codes'!B:G,6,0)/2.2046,VLOOKUP(D239,'Species Codes'!B:I,8,0)+VLOOKUP(D239,'Species Codes'!B:J,9,0)*(((E239*2.54)/100)^2)*(I239*0.3048)))))*0.0011023),0)</f>
        <v>#N/A</v>
      </c>
      <c r="AC239" s="104" t="e">
        <f>IF(Z239&gt;0,((IF(OR(D239="RA",D239="OA",D239="OT",D239="UN",D239="PC"),EXP(VLOOKUP(D239,'Species Codes'!B:O,14,0)+VLOOKUP(D239,'Species Codes'!B:P,15,0)*LN((E239*2.54)))-EXP(VLOOKUP(D239,'Species Codes'!B:O,14,0)+VLOOKUP(D239,'Species Codes'!B:P,15,0)*LN((E239*2.54)))*(1/(VLOOKUP(D239,'Species Codes'!B:Q,16,0)+VLOOKUP(D239,'Species Codes'!B:R,17,0)*((E239*2.54)^VLOOKUP(D239,'Species Codes'!B:S,18,0)))),IF(OR(D239="BM",D239="MD",D239="OA"),EXP(VLOOKUP(D239,'Species Codes'!B:O,14,0)+VLOOKUP(D239,'Species Codes'!B:P,15,0)*LN((E239*2.54)))*(1-(1/(VLOOKUP(D239,'Species Codes'!B:Q,16,0)+VLOOKUP(D239,'Species Codes'!B:R,17,0)*((E239*2.54)^VLOOKUP(D239,'Species Codes'!B:S,18,0)))))/1000,IF(D239="DF",EXP(VLOOKUP(D239,'Species Codes'!B:O,14,0)+VLOOKUP(D239,'Species Codes'!B:P,15,0)*LN((E239*2.54))),VLOOKUP(D239,'Species Codes'!B:O,14,0)+VLOOKUP(D239,'Species Codes'!B:P,15,0)*(((E239*2.54)/100)^2)*(I239*0.3048)))))*0.0011023),0)</f>
        <v>#N/A</v>
      </c>
      <c r="AD239" s="104" t="e">
        <f t="shared" si="139"/>
        <v>#N/A</v>
      </c>
      <c r="AE239" s="104" t="e">
        <f t="shared" si="140"/>
        <v>#N/A</v>
      </c>
      <c r="AF239" s="104" t="e">
        <f>IF(AND(VLOOKUP($D239,Merchantability!$B:$C,2,0)="Yes",$E239&gt;=VLOOKUP($D239,Merchantability!$B:$D,3,0),$E239&lt;=VLOOKUP($D239,Merchantability!$B:$E,4,0)),AA239,0)</f>
        <v>#N/A</v>
      </c>
      <c r="AG239" s="104" t="e">
        <f>IF(AND(VLOOKUP($D239,Merchantability!$B:$C,2,0)="Yes",$E239&gt;=VLOOKUP($D239,Merchantability!$B:$D,3,0),$E239&lt;=VLOOKUP($D239,Merchantability!$B:$E,4,0)),AB239,0)</f>
        <v>#N/A</v>
      </c>
      <c r="AH239" s="104" t="e">
        <f>IF(AND(VLOOKUP($D239,Merchantability!$B:$C,2,0)="Yes",$E239&gt;=VLOOKUP($D239,Merchantability!$B:$D,3,0),$E239&lt;=VLOOKUP($D239,Merchantability!$B:$E,4,0)),AC239,0)</f>
        <v>#N/A</v>
      </c>
      <c r="AI239" s="104" t="e">
        <f t="shared" si="141"/>
        <v>#N/A</v>
      </c>
      <c r="AJ239" s="104" t="e">
        <f t="shared" si="142"/>
        <v>#VALUE!</v>
      </c>
      <c r="AK239" s="104" t="e">
        <f t="shared" si="143"/>
        <v>#N/A</v>
      </c>
      <c r="AL239" s="104" t="e">
        <f t="shared" si="144"/>
        <v>#N/A</v>
      </c>
      <c r="AM239" s="104" t="e">
        <f t="shared" si="145"/>
        <v>#N/A</v>
      </c>
      <c r="AN239" s="104" t="e">
        <f t="shared" si="125"/>
        <v>#N/A</v>
      </c>
      <c r="AO239" s="104" t="e">
        <f t="shared" si="126"/>
        <v>#N/A</v>
      </c>
      <c r="AP239" s="104" t="e">
        <f t="shared" si="127"/>
        <v>#N/A</v>
      </c>
      <c r="AQ239" s="104" t="e">
        <f t="shared" si="128"/>
        <v>#N/A</v>
      </c>
      <c r="AR239" s="105" t="str">
        <f t="shared" si="129"/>
        <v/>
      </c>
      <c r="AS239" s="105" t="str">
        <f t="shared" si="130"/>
        <v/>
      </c>
      <c r="AT239" s="108" t="str">
        <f t="shared" si="131"/>
        <v/>
      </c>
      <c r="AU239" s="108" t="str">
        <f t="shared" si="132"/>
        <v/>
      </c>
      <c r="AV239" s="107" t="str">
        <f>IF(ISNUMBER(O239),IF(VLOOKUP($A239,Stand!C:J,8,FALSE)="Short",AT239,AU239),"")</f>
        <v/>
      </c>
      <c r="AW239" s="109" t="str">
        <f t="shared" si="133"/>
        <v/>
      </c>
      <c r="AX239" s="109" t="str">
        <f t="shared" si="134"/>
        <v/>
      </c>
      <c r="AY239" s="112" t="str">
        <f>IF(ISNUMBER(O239),IF(AND(VLOOKUP($D239,Merchantability!$B:$C,2,0)="Yes",$E239&gt;=VLOOKUP($D239,Merchantability!$B:$D,3,0),$E239&lt;=VLOOKUP($D239,Merchantability!$B:$E,4,0)),(AV239*O239)*(1-$H239/100),""),"")</f>
        <v/>
      </c>
      <c r="AZ239" s="116"/>
      <c r="BA239" s="116"/>
      <c r="BB239" s="116"/>
      <c r="BE239" s="62"/>
      <c r="BF239" s="63"/>
    </row>
    <row r="240" spans="1:58" ht="12.75" customHeight="1" x14ac:dyDescent="0.25">
      <c r="A240" s="313"/>
      <c r="B240" s="380"/>
      <c r="C240" s="381"/>
      <c r="D240" s="380"/>
      <c r="E240" s="382"/>
      <c r="F240" s="331"/>
      <c r="G240" s="329"/>
      <c r="H240" s="329"/>
      <c r="I240" s="380"/>
      <c r="J240" s="381"/>
      <c r="K240" s="329"/>
      <c r="L240" s="329"/>
      <c r="M240" s="76"/>
      <c r="N240" s="103" t="str">
        <f>IF(A240="","",VLOOKUP(A240,Stand!C:K,9,0))</f>
        <v/>
      </c>
      <c r="O240" s="104" t="str">
        <f t="shared" si="108"/>
        <v/>
      </c>
      <c r="P240" s="105" t="str">
        <f t="shared" si="109"/>
        <v/>
      </c>
      <c r="Q240" s="105" t="str">
        <f t="shared" si="135"/>
        <v/>
      </c>
      <c r="R240" s="103" t="str">
        <f t="shared" si="111"/>
        <v/>
      </c>
      <c r="S240" s="103" t="str">
        <f t="shared" si="112"/>
        <v/>
      </c>
      <c r="T240" s="106" t="str">
        <f t="shared" si="136"/>
        <v/>
      </c>
      <c r="U240" s="106" t="str">
        <f t="shared" si="137"/>
        <v/>
      </c>
      <c r="V240" s="106" t="str">
        <f t="shared" si="138"/>
        <v/>
      </c>
      <c r="W240" s="105" t="str">
        <f t="shared" si="116"/>
        <v/>
      </c>
      <c r="X240" s="104" t="str">
        <f t="shared" si="117"/>
        <v/>
      </c>
      <c r="Y240" s="104" t="str">
        <f t="array" ref="Y240">IFERROR(IF(ISNUMBER(O240),IF(COUNT(IF(A240=$A$2:$A$2427,IF(D240=$D$2:$D$2427,IF($X$2:$X$2427&gt;0,1))))&gt;0,SUM(IF(A240=$A$2:$A$2427,IF(D240=$D$2:$D$2427,$X$2:$X$2427)))/COUNT(IF(A240=$A$2:$A$2427,IF(D240=$D$2:$D$2427,IF(ISNUMBER($X$2:$X$2427),1)))),0),""),0)</f>
        <v/>
      </c>
      <c r="Z240" s="104" t="str">
        <f>IF(ISNUMBER(O240),IF(I240&gt;0,(10^(VLOOKUP(D240,'Species Codes'!B:C,2,0)+VLOOKUP(D240,'Species Codes'!B:D,3,0)*LOG(E240)+VLOOKUP(D240,'Species Codes'!B:E,4,0)*LOG(I240))),0),"")</f>
        <v/>
      </c>
      <c r="AA240" s="104" t="str">
        <f>IFERROR((VLOOKUP(D240,'Species Codes'!B:G,6,0)*Z240)/2000,"")</f>
        <v/>
      </c>
      <c r="AB240" s="104" t="e">
        <f>IF(Z240&gt;0,((IF(OR(D240="DF",D240="RA")=TRUE,EXP(VLOOKUP(D240,'Species Codes'!B:I,8,0)+VLOOKUP(D240,'Species Codes'!B:J,9,0)*(LN((E240*2.54)))),IF(OR(D240="PY",D240="RC",D240="WH",D240="NF")=TRUE,VLOOKUP(D240,'Species Codes'!B:I,8,0)+VLOOKUP(D240,'Species Codes'!B:J,9,0)*((E240*2.54)^2)*(I240*0.3048),IF(OR(D240="MD",D240="BM",D240="GA")=TRUE,((VLOOKUP(D240,'Species Codes'!B:I,8,0)*(((((E240*2.54)+VLOOKUP(D240,'Species Codes'!B:J,9,0))/VLOOKUP(D240,'Species Codes'!B:K,10,0))^VLOOKUP(D240,'Species Codes'!B:L,11,0))*((I240*0.3048)^VLOOKUP(D240,'Species Codes'!B:M,12,0))))-(VLOOKUP(D240,'Species Codes'!B:I,8,0)*((((E240*2.54)^VLOOKUP(D240,'Species Codes'!B:L,11,0))*((I240*0.3048)^VLOOKUP(D240,'Species Codes'!B:M,12,0))))))*35.3*VLOOKUP(D240,'Species Codes'!B:G,6,0)/2.2046,VLOOKUP(D240,'Species Codes'!B:I,8,0)+VLOOKUP(D240,'Species Codes'!B:J,9,0)*(((E240*2.54)/100)^2)*(I240*0.3048)))))*0.0011023),0)</f>
        <v>#N/A</v>
      </c>
      <c r="AC240" s="104" t="e">
        <f>IF(Z240&gt;0,((IF(OR(D240="RA",D240="OA",D240="OT",D240="UN",D240="PC"),EXP(VLOOKUP(D240,'Species Codes'!B:O,14,0)+VLOOKUP(D240,'Species Codes'!B:P,15,0)*LN((E240*2.54)))-EXP(VLOOKUP(D240,'Species Codes'!B:O,14,0)+VLOOKUP(D240,'Species Codes'!B:P,15,0)*LN((E240*2.54)))*(1/(VLOOKUP(D240,'Species Codes'!B:Q,16,0)+VLOOKUP(D240,'Species Codes'!B:R,17,0)*((E240*2.54)^VLOOKUP(D240,'Species Codes'!B:S,18,0)))),IF(OR(D240="BM",D240="MD",D240="OA"),EXP(VLOOKUP(D240,'Species Codes'!B:O,14,0)+VLOOKUP(D240,'Species Codes'!B:P,15,0)*LN((E240*2.54)))*(1-(1/(VLOOKUP(D240,'Species Codes'!B:Q,16,0)+VLOOKUP(D240,'Species Codes'!B:R,17,0)*((E240*2.54)^VLOOKUP(D240,'Species Codes'!B:S,18,0)))))/1000,IF(D240="DF",EXP(VLOOKUP(D240,'Species Codes'!B:O,14,0)+VLOOKUP(D240,'Species Codes'!B:P,15,0)*LN((E240*2.54))),VLOOKUP(D240,'Species Codes'!B:O,14,0)+VLOOKUP(D240,'Species Codes'!B:P,15,0)*(((E240*2.54)/100)^2)*(I240*0.3048)))))*0.0011023),0)</f>
        <v>#N/A</v>
      </c>
      <c r="AD240" s="104" t="e">
        <f t="shared" si="139"/>
        <v>#N/A</v>
      </c>
      <c r="AE240" s="104" t="e">
        <f t="shared" si="140"/>
        <v>#N/A</v>
      </c>
      <c r="AF240" s="104" t="e">
        <f>IF(AND(VLOOKUP($D240,Merchantability!$B:$C,2,0)="Yes",$E240&gt;=VLOOKUP($D240,Merchantability!$B:$D,3,0),$E240&lt;=VLOOKUP($D240,Merchantability!$B:$E,4,0)),AA240,0)</f>
        <v>#N/A</v>
      </c>
      <c r="AG240" s="104" t="e">
        <f>IF(AND(VLOOKUP($D240,Merchantability!$B:$C,2,0)="Yes",$E240&gt;=VLOOKUP($D240,Merchantability!$B:$D,3,0),$E240&lt;=VLOOKUP($D240,Merchantability!$B:$E,4,0)),AB240,0)</f>
        <v>#N/A</v>
      </c>
      <c r="AH240" s="104" t="e">
        <f>IF(AND(VLOOKUP($D240,Merchantability!$B:$C,2,0)="Yes",$E240&gt;=VLOOKUP($D240,Merchantability!$B:$D,3,0),$E240&lt;=VLOOKUP($D240,Merchantability!$B:$E,4,0)),AC240,0)</f>
        <v>#N/A</v>
      </c>
      <c r="AI240" s="104" t="e">
        <f t="shared" si="141"/>
        <v>#N/A</v>
      </c>
      <c r="AJ240" s="104" t="e">
        <f t="shared" si="142"/>
        <v>#VALUE!</v>
      </c>
      <c r="AK240" s="104" t="e">
        <f t="shared" si="143"/>
        <v>#N/A</v>
      </c>
      <c r="AL240" s="104" t="e">
        <f t="shared" si="144"/>
        <v>#N/A</v>
      </c>
      <c r="AM240" s="104" t="e">
        <f t="shared" si="145"/>
        <v>#N/A</v>
      </c>
      <c r="AN240" s="104" t="e">
        <f t="shared" si="125"/>
        <v>#N/A</v>
      </c>
      <c r="AO240" s="104" t="e">
        <f t="shared" si="126"/>
        <v>#N/A</v>
      </c>
      <c r="AP240" s="104" t="e">
        <f t="shared" si="127"/>
        <v>#N/A</v>
      </c>
      <c r="AQ240" s="104" t="e">
        <f t="shared" si="128"/>
        <v>#N/A</v>
      </c>
      <c r="AR240" s="105" t="str">
        <f t="shared" si="129"/>
        <v/>
      </c>
      <c r="AS240" s="105" t="str">
        <f t="shared" si="130"/>
        <v/>
      </c>
      <c r="AT240" s="108" t="str">
        <f t="shared" si="131"/>
        <v/>
      </c>
      <c r="AU240" s="108" t="str">
        <f t="shared" si="132"/>
        <v/>
      </c>
      <c r="AV240" s="107" t="str">
        <f>IF(ISNUMBER(O240),IF(VLOOKUP($A240,Stand!C:J,8,FALSE)="Short",AT240,AU240),"")</f>
        <v/>
      </c>
      <c r="AW240" s="109" t="str">
        <f t="shared" si="133"/>
        <v/>
      </c>
      <c r="AX240" s="109" t="str">
        <f t="shared" si="134"/>
        <v/>
      </c>
      <c r="AY240" s="112" t="str">
        <f>IF(ISNUMBER(O240),IF(AND(VLOOKUP($D240,Merchantability!$B:$C,2,0)="Yes",$E240&gt;=VLOOKUP($D240,Merchantability!$B:$D,3,0),$E240&lt;=VLOOKUP($D240,Merchantability!$B:$E,4,0)),(AV240*O240)*(1-$H240/100),""),"")</f>
        <v/>
      </c>
      <c r="AZ240" s="116"/>
      <c r="BA240" s="116"/>
      <c r="BB240" s="116"/>
      <c r="BE240" s="62"/>
      <c r="BF240" s="63"/>
    </row>
    <row r="241" spans="1:58" ht="12.75" customHeight="1" x14ac:dyDescent="0.25">
      <c r="A241" s="313"/>
      <c r="B241" s="380"/>
      <c r="C241" s="381"/>
      <c r="D241" s="380"/>
      <c r="E241" s="382"/>
      <c r="F241" s="331"/>
      <c r="G241" s="329"/>
      <c r="H241" s="329"/>
      <c r="I241" s="380"/>
      <c r="J241" s="381"/>
      <c r="K241" s="329"/>
      <c r="L241" s="329"/>
      <c r="M241" s="76"/>
      <c r="N241" s="103" t="str">
        <f>IF(A241="","",VLOOKUP(A241,Stand!C:K,9,0))</f>
        <v/>
      </c>
      <c r="O241" s="104" t="str">
        <f t="shared" si="108"/>
        <v/>
      </c>
      <c r="P241" s="105" t="str">
        <f t="shared" si="109"/>
        <v/>
      </c>
      <c r="Q241" s="105" t="str">
        <f t="shared" si="135"/>
        <v/>
      </c>
      <c r="R241" s="103" t="str">
        <f t="shared" si="111"/>
        <v/>
      </c>
      <c r="S241" s="103" t="str">
        <f t="shared" si="112"/>
        <v/>
      </c>
      <c r="T241" s="106" t="str">
        <f t="shared" si="136"/>
        <v/>
      </c>
      <c r="U241" s="106" t="str">
        <f t="shared" si="137"/>
        <v/>
      </c>
      <c r="V241" s="106" t="str">
        <f t="shared" si="138"/>
        <v/>
      </c>
      <c r="W241" s="105" t="str">
        <f t="shared" si="116"/>
        <v/>
      </c>
      <c r="X241" s="104" t="str">
        <f t="shared" si="117"/>
        <v/>
      </c>
      <c r="Y241" s="104" t="str">
        <f t="array" ref="Y241">IFERROR(IF(ISNUMBER(O241),IF(COUNT(IF(A241=$A$2:$A$2427,IF(D241=$D$2:$D$2427,IF($X$2:$X$2427&gt;0,1))))&gt;0,SUM(IF(A241=$A$2:$A$2427,IF(D241=$D$2:$D$2427,$X$2:$X$2427)))/COUNT(IF(A241=$A$2:$A$2427,IF(D241=$D$2:$D$2427,IF(ISNUMBER($X$2:$X$2427),1)))),0),""),0)</f>
        <v/>
      </c>
      <c r="Z241" s="104" t="str">
        <f>IF(ISNUMBER(O241),IF(I241&gt;0,(10^(VLOOKUP(D241,'Species Codes'!B:C,2,0)+VLOOKUP(D241,'Species Codes'!B:D,3,0)*LOG(E241)+VLOOKUP(D241,'Species Codes'!B:E,4,0)*LOG(I241))),0),"")</f>
        <v/>
      </c>
      <c r="AA241" s="104" t="str">
        <f>IFERROR((VLOOKUP(D241,'Species Codes'!B:G,6,0)*Z241)/2000,"")</f>
        <v/>
      </c>
      <c r="AB241" s="104" t="e">
        <f>IF(Z241&gt;0,((IF(OR(D241="DF",D241="RA")=TRUE,EXP(VLOOKUP(D241,'Species Codes'!B:I,8,0)+VLOOKUP(D241,'Species Codes'!B:J,9,0)*(LN((E241*2.54)))),IF(OR(D241="PY",D241="RC",D241="WH",D241="NF")=TRUE,VLOOKUP(D241,'Species Codes'!B:I,8,0)+VLOOKUP(D241,'Species Codes'!B:J,9,0)*((E241*2.54)^2)*(I241*0.3048),IF(OR(D241="MD",D241="BM",D241="GA")=TRUE,((VLOOKUP(D241,'Species Codes'!B:I,8,0)*(((((E241*2.54)+VLOOKUP(D241,'Species Codes'!B:J,9,0))/VLOOKUP(D241,'Species Codes'!B:K,10,0))^VLOOKUP(D241,'Species Codes'!B:L,11,0))*((I241*0.3048)^VLOOKUP(D241,'Species Codes'!B:M,12,0))))-(VLOOKUP(D241,'Species Codes'!B:I,8,0)*((((E241*2.54)^VLOOKUP(D241,'Species Codes'!B:L,11,0))*((I241*0.3048)^VLOOKUP(D241,'Species Codes'!B:M,12,0))))))*35.3*VLOOKUP(D241,'Species Codes'!B:G,6,0)/2.2046,VLOOKUP(D241,'Species Codes'!B:I,8,0)+VLOOKUP(D241,'Species Codes'!B:J,9,0)*(((E241*2.54)/100)^2)*(I241*0.3048)))))*0.0011023),0)</f>
        <v>#N/A</v>
      </c>
      <c r="AC241" s="104" t="e">
        <f>IF(Z241&gt;0,((IF(OR(D241="RA",D241="OA",D241="OT",D241="UN",D241="PC"),EXP(VLOOKUP(D241,'Species Codes'!B:O,14,0)+VLOOKUP(D241,'Species Codes'!B:P,15,0)*LN((E241*2.54)))-EXP(VLOOKUP(D241,'Species Codes'!B:O,14,0)+VLOOKUP(D241,'Species Codes'!B:P,15,0)*LN((E241*2.54)))*(1/(VLOOKUP(D241,'Species Codes'!B:Q,16,0)+VLOOKUP(D241,'Species Codes'!B:R,17,0)*((E241*2.54)^VLOOKUP(D241,'Species Codes'!B:S,18,0)))),IF(OR(D241="BM",D241="MD",D241="OA"),EXP(VLOOKUP(D241,'Species Codes'!B:O,14,0)+VLOOKUP(D241,'Species Codes'!B:P,15,0)*LN((E241*2.54)))*(1-(1/(VLOOKUP(D241,'Species Codes'!B:Q,16,0)+VLOOKUP(D241,'Species Codes'!B:R,17,0)*((E241*2.54)^VLOOKUP(D241,'Species Codes'!B:S,18,0)))))/1000,IF(D241="DF",EXP(VLOOKUP(D241,'Species Codes'!B:O,14,0)+VLOOKUP(D241,'Species Codes'!B:P,15,0)*LN((E241*2.54))),VLOOKUP(D241,'Species Codes'!B:O,14,0)+VLOOKUP(D241,'Species Codes'!B:P,15,0)*(((E241*2.54)/100)^2)*(I241*0.3048)))))*0.0011023),0)</f>
        <v>#N/A</v>
      </c>
      <c r="AD241" s="104" t="e">
        <f t="shared" si="139"/>
        <v>#N/A</v>
      </c>
      <c r="AE241" s="104" t="e">
        <f t="shared" si="140"/>
        <v>#N/A</v>
      </c>
      <c r="AF241" s="104" t="e">
        <f>IF(AND(VLOOKUP($D241,Merchantability!$B:$C,2,0)="Yes",$E241&gt;=VLOOKUP($D241,Merchantability!$B:$D,3,0),$E241&lt;=VLOOKUP($D241,Merchantability!$B:$E,4,0)),AA241,0)</f>
        <v>#N/A</v>
      </c>
      <c r="AG241" s="104" t="e">
        <f>IF(AND(VLOOKUP($D241,Merchantability!$B:$C,2,0)="Yes",$E241&gt;=VLOOKUP($D241,Merchantability!$B:$D,3,0),$E241&lt;=VLOOKUP($D241,Merchantability!$B:$E,4,0)),AB241,0)</f>
        <v>#N/A</v>
      </c>
      <c r="AH241" s="104" t="e">
        <f>IF(AND(VLOOKUP($D241,Merchantability!$B:$C,2,0)="Yes",$E241&gt;=VLOOKUP($D241,Merchantability!$B:$D,3,0),$E241&lt;=VLOOKUP($D241,Merchantability!$B:$E,4,0)),AC241,0)</f>
        <v>#N/A</v>
      </c>
      <c r="AI241" s="104" t="e">
        <f t="shared" si="141"/>
        <v>#N/A</v>
      </c>
      <c r="AJ241" s="104" t="e">
        <f t="shared" si="142"/>
        <v>#VALUE!</v>
      </c>
      <c r="AK241" s="104" t="e">
        <f t="shared" si="143"/>
        <v>#N/A</v>
      </c>
      <c r="AL241" s="104" t="e">
        <f t="shared" si="144"/>
        <v>#N/A</v>
      </c>
      <c r="AM241" s="104" t="e">
        <f t="shared" si="145"/>
        <v>#N/A</v>
      </c>
      <c r="AN241" s="104" t="e">
        <f t="shared" si="125"/>
        <v>#N/A</v>
      </c>
      <c r="AO241" s="104" t="e">
        <f t="shared" si="126"/>
        <v>#N/A</v>
      </c>
      <c r="AP241" s="104" t="e">
        <f t="shared" si="127"/>
        <v>#N/A</v>
      </c>
      <c r="AQ241" s="104" t="e">
        <f t="shared" si="128"/>
        <v>#N/A</v>
      </c>
      <c r="AR241" s="105" t="str">
        <f t="shared" si="129"/>
        <v/>
      </c>
      <c r="AS241" s="105" t="str">
        <f t="shared" si="130"/>
        <v/>
      </c>
      <c r="AT241" s="108" t="str">
        <f t="shared" si="131"/>
        <v/>
      </c>
      <c r="AU241" s="108" t="str">
        <f t="shared" si="132"/>
        <v/>
      </c>
      <c r="AV241" s="107" t="str">
        <f>IF(ISNUMBER(O241),IF(VLOOKUP($A241,Stand!C:J,8,FALSE)="Short",AT241,AU241),"")</f>
        <v/>
      </c>
      <c r="AW241" s="109" t="str">
        <f t="shared" si="133"/>
        <v/>
      </c>
      <c r="AX241" s="109" t="str">
        <f t="shared" si="134"/>
        <v/>
      </c>
      <c r="AY241" s="112" t="str">
        <f>IF(ISNUMBER(O241),IF(AND(VLOOKUP($D241,Merchantability!$B:$C,2,0)="Yes",$E241&gt;=VLOOKUP($D241,Merchantability!$B:$D,3,0),$E241&lt;=VLOOKUP($D241,Merchantability!$B:$E,4,0)),(AV241*O241)*(1-$H241/100),""),"")</f>
        <v/>
      </c>
      <c r="AZ241" s="116"/>
      <c r="BA241" s="116"/>
      <c r="BB241" s="116"/>
      <c r="BE241" s="62"/>
      <c r="BF241" s="63"/>
    </row>
    <row r="242" spans="1:58" ht="12.75" customHeight="1" x14ac:dyDescent="0.25">
      <c r="A242" s="313"/>
      <c r="B242" s="380"/>
      <c r="C242" s="381"/>
      <c r="D242" s="380"/>
      <c r="E242" s="382"/>
      <c r="F242" s="331"/>
      <c r="G242" s="329"/>
      <c r="H242" s="329"/>
      <c r="I242" s="380"/>
      <c r="J242" s="381"/>
      <c r="K242" s="329"/>
      <c r="L242" s="329"/>
      <c r="M242" s="76"/>
      <c r="N242" s="103" t="str">
        <f>IF(A242="","",VLOOKUP(A242,Stand!C:K,9,0))</f>
        <v/>
      </c>
      <c r="O242" s="104" t="str">
        <f t="shared" si="108"/>
        <v/>
      </c>
      <c r="P242" s="105" t="str">
        <f t="shared" si="109"/>
        <v/>
      </c>
      <c r="Q242" s="105" t="str">
        <f t="shared" si="135"/>
        <v/>
      </c>
      <c r="R242" s="103" t="str">
        <f t="shared" si="111"/>
        <v/>
      </c>
      <c r="S242" s="103" t="str">
        <f t="shared" si="112"/>
        <v/>
      </c>
      <c r="T242" s="106" t="str">
        <f t="shared" si="136"/>
        <v/>
      </c>
      <c r="U242" s="106" t="str">
        <f t="shared" si="137"/>
        <v/>
      </c>
      <c r="V242" s="106" t="str">
        <f t="shared" si="138"/>
        <v/>
      </c>
      <c r="W242" s="105" t="str">
        <f t="shared" si="116"/>
        <v/>
      </c>
      <c r="X242" s="104" t="str">
        <f t="shared" si="117"/>
        <v/>
      </c>
      <c r="Y242" s="104" t="str">
        <f t="array" ref="Y242">IFERROR(IF(ISNUMBER(O242),IF(COUNT(IF(A242=$A$2:$A$2427,IF(D242=$D$2:$D$2427,IF($X$2:$X$2427&gt;0,1))))&gt;0,SUM(IF(A242=$A$2:$A$2427,IF(D242=$D$2:$D$2427,$X$2:$X$2427)))/COUNT(IF(A242=$A$2:$A$2427,IF(D242=$D$2:$D$2427,IF(ISNUMBER($X$2:$X$2427),1)))),0),""),0)</f>
        <v/>
      </c>
      <c r="Z242" s="104" t="str">
        <f>IF(ISNUMBER(O242),IF(I242&gt;0,(10^(VLOOKUP(D242,'Species Codes'!B:C,2,0)+VLOOKUP(D242,'Species Codes'!B:D,3,0)*LOG(E242)+VLOOKUP(D242,'Species Codes'!B:E,4,0)*LOG(I242))),0),"")</f>
        <v/>
      </c>
      <c r="AA242" s="104" t="str">
        <f>IFERROR((VLOOKUP(D242,'Species Codes'!B:G,6,0)*Z242)/2000,"")</f>
        <v/>
      </c>
      <c r="AB242" s="104" t="e">
        <f>IF(Z242&gt;0,((IF(OR(D242="DF",D242="RA")=TRUE,EXP(VLOOKUP(D242,'Species Codes'!B:I,8,0)+VLOOKUP(D242,'Species Codes'!B:J,9,0)*(LN((E242*2.54)))),IF(OR(D242="PY",D242="RC",D242="WH",D242="NF")=TRUE,VLOOKUP(D242,'Species Codes'!B:I,8,0)+VLOOKUP(D242,'Species Codes'!B:J,9,0)*((E242*2.54)^2)*(I242*0.3048),IF(OR(D242="MD",D242="BM",D242="GA")=TRUE,((VLOOKUP(D242,'Species Codes'!B:I,8,0)*(((((E242*2.54)+VLOOKUP(D242,'Species Codes'!B:J,9,0))/VLOOKUP(D242,'Species Codes'!B:K,10,0))^VLOOKUP(D242,'Species Codes'!B:L,11,0))*((I242*0.3048)^VLOOKUP(D242,'Species Codes'!B:M,12,0))))-(VLOOKUP(D242,'Species Codes'!B:I,8,0)*((((E242*2.54)^VLOOKUP(D242,'Species Codes'!B:L,11,0))*((I242*0.3048)^VLOOKUP(D242,'Species Codes'!B:M,12,0))))))*35.3*VLOOKUP(D242,'Species Codes'!B:G,6,0)/2.2046,VLOOKUP(D242,'Species Codes'!B:I,8,0)+VLOOKUP(D242,'Species Codes'!B:J,9,0)*(((E242*2.54)/100)^2)*(I242*0.3048)))))*0.0011023),0)</f>
        <v>#N/A</v>
      </c>
      <c r="AC242" s="104" t="e">
        <f>IF(Z242&gt;0,((IF(OR(D242="RA",D242="OA",D242="OT",D242="UN",D242="PC"),EXP(VLOOKUP(D242,'Species Codes'!B:O,14,0)+VLOOKUP(D242,'Species Codes'!B:P,15,0)*LN((E242*2.54)))-EXP(VLOOKUP(D242,'Species Codes'!B:O,14,0)+VLOOKUP(D242,'Species Codes'!B:P,15,0)*LN((E242*2.54)))*(1/(VLOOKUP(D242,'Species Codes'!B:Q,16,0)+VLOOKUP(D242,'Species Codes'!B:R,17,0)*((E242*2.54)^VLOOKUP(D242,'Species Codes'!B:S,18,0)))),IF(OR(D242="BM",D242="MD",D242="OA"),EXP(VLOOKUP(D242,'Species Codes'!B:O,14,0)+VLOOKUP(D242,'Species Codes'!B:P,15,0)*LN((E242*2.54)))*(1-(1/(VLOOKUP(D242,'Species Codes'!B:Q,16,0)+VLOOKUP(D242,'Species Codes'!B:R,17,0)*((E242*2.54)^VLOOKUP(D242,'Species Codes'!B:S,18,0)))))/1000,IF(D242="DF",EXP(VLOOKUP(D242,'Species Codes'!B:O,14,0)+VLOOKUP(D242,'Species Codes'!B:P,15,0)*LN((E242*2.54))),VLOOKUP(D242,'Species Codes'!B:O,14,0)+VLOOKUP(D242,'Species Codes'!B:P,15,0)*(((E242*2.54)/100)^2)*(I242*0.3048)))))*0.0011023),0)</f>
        <v>#N/A</v>
      </c>
      <c r="AD242" s="104" t="e">
        <f t="shared" si="139"/>
        <v>#N/A</v>
      </c>
      <c r="AE242" s="104" t="e">
        <f t="shared" si="140"/>
        <v>#N/A</v>
      </c>
      <c r="AF242" s="104" t="e">
        <f>IF(AND(VLOOKUP($D242,Merchantability!$B:$C,2,0)="Yes",$E242&gt;=VLOOKUP($D242,Merchantability!$B:$D,3,0),$E242&lt;=VLOOKUP($D242,Merchantability!$B:$E,4,0)),AA242,0)</f>
        <v>#N/A</v>
      </c>
      <c r="AG242" s="104" t="e">
        <f>IF(AND(VLOOKUP($D242,Merchantability!$B:$C,2,0)="Yes",$E242&gt;=VLOOKUP($D242,Merchantability!$B:$D,3,0),$E242&lt;=VLOOKUP($D242,Merchantability!$B:$E,4,0)),AB242,0)</f>
        <v>#N/A</v>
      </c>
      <c r="AH242" s="104" t="e">
        <f>IF(AND(VLOOKUP($D242,Merchantability!$B:$C,2,0)="Yes",$E242&gt;=VLOOKUP($D242,Merchantability!$B:$D,3,0),$E242&lt;=VLOOKUP($D242,Merchantability!$B:$E,4,0)),AC242,0)</f>
        <v>#N/A</v>
      </c>
      <c r="AI242" s="104" t="e">
        <f t="shared" si="141"/>
        <v>#N/A</v>
      </c>
      <c r="AJ242" s="104" t="e">
        <f t="shared" si="142"/>
        <v>#VALUE!</v>
      </c>
      <c r="AK242" s="104" t="e">
        <f t="shared" si="143"/>
        <v>#N/A</v>
      </c>
      <c r="AL242" s="104" t="e">
        <f t="shared" si="144"/>
        <v>#N/A</v>
      </c>
      <c r="AM242" s="104" t="e">
        <f t="shared" si="145"/>
        <v>#N/A</v>
      </c>
      <c r="AN242" s="104" t="e">
        <f t="shared" si="125"/>
        <v>#N/A</v>
      </c>
      <c r="AO242" s="104" t="e">
        <f t="shared" si="126"/>
        <v>#N/A</v>
      </c>
      <c r="AP242" s="104" t="e">
        <f t="shared" si="127"/>
        <v>#N/A</v>
      </c>
      <c r="AQ242" s="104" t="e">
        <f t="shared" si="128"/>
        <v>#N/A</v>
      </c>
      <c r="AR242" s="105" t="str">
        <f t="shared" si="129"/>
        <v/>
      </c>
      <c r="AS242" s="105" t="str">
        <f t="shared" si="130"/>
        <v/>
      </c>
      <c r="AT242" s="108" t="str">
        <f t="shared" si="131"/>
        <v/>
      </c>
      <c r="AU242" s="108" t="str">
        <f t="shared" si="132"/>
        <v/>
      </c>
      <c r="AV242" s="107" t="str">
        <f>IF(ISNUMBER(O242),IF(VLOOKUP($A242,Stand!C:J,8,FALSE)="Short",AT242,AU242),"")</f>
        <v/>
      </c>
      <c r="AW242" s="109" t="str">
        <f t="shared" si="133"/>
        <v/>
      </c>
      <c r="AX242" s="109" t="str">
        <f t="shared" si="134"/>
        <v/>
      </c>
      <c r="AY242" s="112" t="str">
        <f>IF(ISNUMBER(O242),IF(AND(VLOOKUP($D242,Merchantability!$B:$C,2,0)="Yes",$E242&gt;=VLOOKUP($D242,Merchantability!$B:$D,3,0),$E242&lt;=VLOOKUP($D242,Merchantability!$B:$E,4,0)),(AV242*O242)*(1-$H242/100),""),"")</f>
        <v/>
      </c>
      <c r="AZ242" s="116"/>
      <c r="BA242" s="116"/>
      <c r="BB242" s="116"/>
      <c r="BE242" s="62"/>
      <c r="BF242" s="63"/>
    </row>
    <row r="243" spans="1:58" ht="12.75" customHeight="1" x14ac:dyDescent="0.25">
      <c r="A243" s="313"/>
      <c r="B243" s="380"/>
      <c r="C243" s="381"/>
      <c r="D243" s="380"/>
      <c r="E243" s="382"/>
      <c r="F243" s="331"/>
      <c r="G243" s="329"/>
      <c r="H243" s="329"/>
      <c r="I243" s="380"/>
      <c r="J243" s="381"/>
      <c r="K243" s="329"/>
      <c r="L243" s="329"/>
      <c r="M243" s="76"/>
      <c r="N243" s="103" t="str">
        <f>IF(A243="","",VLOOKUP(A243,Stand!C:K,9,0))</f>
        <v/>
      </c>
      <c r="O243" s="104" t="str">
        <f t="shared" si="108"/>
        <v/>
      </c>
      <c r="P243" s="105" t="str">
        <f t="shared" si="109"/>
        <v/>
      </c>
      <c r="Q243" s="105" t="str">
        <f t="shared" si="135"/>
        <v/>
      </c>
      <c r="R243" s="103" t="str">
        <f t="shared" si="111"/>
        <v/>
      </c>
      <c r="S243" s="103" t="str">
        <f t="shared" si="112"/>
        <v/>
      </c>
      <c r="T243" s="106" t="str">
        <f t="shared" si="136"/>
        <v/>
      </c>
      <c r="U243" s="106" t="str">
        <f t="shared" si="137"/>
        <v/>
      </c>
      <c r="V243" s="106" t="str">
        <f t="shared" si="138"/>
        <v/>
      </c>
      <c r="W243" s="105" t="str">
        <f t="shared" si="116"/>
        <v/>
      </c>
      <c r="X243" s="104" t="str">
        <f t="shared" si="117"/>
        <v/>
      </c>
      <c r="Y243" s="104" t="str">
        <f t="array" ref="Y243">IFERROR(IF(ISNUMBER(O243),IF(COUNT(IF(A243=$A$2:$A$2427,IF(D243=$D$2:$D$2427,IF($X$2:$X$2427&gt;0,1))))&gt;0,SUM(IF(A243=$A$2:$A$2427,IF(D243=$D$2:$D$2427,$X$2:$X$2427)))/COUNT(IF(A243=$A$2:$A$2427,IF(D243=$D$2:$D$2427,IF(ISNUMBER($X$2:$X$2427),1)))),0),""),0)</f>
        <v/>
      </c>
      <c r="Z243" s="104" t="str">
        <f>IF(ISNUMBER(O243),IF(I243&gt;0,(10^(VLOOKUP(D243,'Species Codes'!B:C,2,0)+VLOOKUP(D243,'Species Codes'!B:D,3,0)*LOG(E243)+VLOOKUP(D243,'Species Codes'!B:E,4,0)*LOG(I243))),0),"")</f>
        <v/>
      </c>
      <c r="AA243" s="104" t="str">
        <f>IFERROR((VLOOKUP(D243,'Species Codes'!B:G,6,0)*Z243)/2000,"")</f>
        <v/>
      </c>
      <c r="AB243" s="104" t="e">
        <f>IF(Z243&gt;0,((IF(OR(D243="DF",D243="RA")=TRUE,EXP(VLOOKUP(D243,'Species Codes'!B:I,8,0)+VLOOKUP(D243,'Species Codes'!B:J,9,0)*(LN((E243*2.54)))),IF(OR(D243="PY",D243="RC",D243="WH",D243="NF")=TRUE,VLOOKUP(D243,'Species Codes'!B:I,8,0)+VLOOKUP(D243,'Species Codes'!B:J,9,0)*((E243*2.54)^2)*(I243*0.3048),IF(OR(D243="MD",D243="BM",D243="GA")=TRUE,((VLOOKUP(D243,'Species Codes'!B:I,8,0)*(((((E243*2.54)+VLOOKUP(D243,'Species Codes'!B:J,9,0))/VLOOKUP(D243,'Species Codes'!B:K,10,0))^VLOOKUP(D243,'Species Codes'!B:L,11,0))*((I243*0.3048)^VLOOKUP(D243,'Species Codes'!B:M,12,0))))-(VLOOKUP(D243,'Species Codes'!B:I,8,0)*((((E243*2.54)^VLOOKUP(D243,'Species Codes'!B:L,11,0))*((I243*0.3048)^VLOOKUP(D243,'Species Codes'!B:M,12,0))))))*35.3*VLOOKUP(D243,'Species Codes'!B:G,6,0)/2.2046,VLOOKUP(D243,'Species Codes'!B:I,8,0)+VLOOKUP(D243,'Species Codes'!B:J,9,0)*(((E243*2.54)/100)^2)*(I243*0.3048)))))*0.0011023),0)</f>
        <v>#N/A</v>
      </c>
      <c r="AC243" s="104" t="e">
        <f>IF(Z243&gt;0,((IF(OR(D243="RA",D243="OA",D243="OT",D243="UN",D243="PC"),EXP(VLOOKUP(D243,'Species Codes'!B:O,14,0)+VLOOKUP(D243,'Species Codes'!B:P,15,0)*LN((E243*2.54)))-EXP(VLOOKUP(D243,'Species Codes'!B:O,14,0)+VLOOKUP(D243,'Species Codes'!B:P,15,0)*LN((E243*2.54)))*(1/(VLOOKUP(D243,'Species Codes'!B:Q,16,0)+VLOOKUP(D243,'Species Codes'!B:R,17,0)*((E243*2.54)^VLOOKUP(D243,'Species Codes'!B:S,18,0)))),IF(OR(D243="BM",D243="MD",D243="OA"),EXP(VLOOKUP(D243,'Species Codes'!B:O,14,0)+VLOOKUP(D243,'Species Codes'!B:P,15,0)*LN((E243*2.54)))*(1-(1/(VLOOKUP(D243,'Species Codes'!B:Q,16,0)+VLOOKUP(D243,'Species Codes'!B:R,17,0)*((E243*2.54)^VLOOKUP(D243,'Species Codes'!B:S,18,0)))))/1000,IF(D243="DF",EXP(VLOOKUP(D243,'Species Codes'!B:O,14,0)+VLOOKUP(D243,'Species Codes'!B:P,15,0)*LN((E243*2.54))),VLOOKUP(D243,'Species Codes'!B:O,14,0)+VLOOKUP(D243,'Species Codes'!B:P,15,0)*(((E243*2.54)/100)^2)*(I243*0.3048)))))*0.0011023),0)</f>
        <v>#N/A</v>
      </c>
      <c r="AD243" s="104" t="e">
        <f t="shared" si="139"/>
        <v>#N/A</v>
      </c>
      <c r="AE243" s="104" t="e">
        <f t="shared" si="140"/>
        <v>#N/A</v>
      </c>
      <c r="AF243" s="104" t="e">
        <f>IF(AND(VLOOKUP($D243,Merchantability!$B:$C,2,0)="Yes",$E243&gt;=VLOOKUP($D243,Merchantability!$B:$D,3,0),$E243&lt;=VLOOKUP($D243,Merchantability!$B:$E,4,0)),AA243,0)</f>
        <v>#N/A</v>
      </c>
      <c r="AG243" s="104" t="e">
        <f>IF(AND(VLOOKUP($D243,Merchantability!$B:$C,2,0)="Yes",$E243&gt;=VLOOKUP($D243,Merchantability!$B:$D,3,0),$E243&lt;=VLOOKUP($D243,Merchantability!$B:$E,4,0)),AB243,0)</f>
        <v>#N/A</v>
      </c>
      <c r="AH243" s="104" t="e">
        <f>IF(AND(VLOOKUP($D243,Merchantability!$B:$C,2,0)="Yes",$E243&gt;=VLOOKUP($D243,Merchantability!$B:$D,3,0),$E243&lt;=VLOOKUP($D243,Merchantability!$B:$E,4,0)),AC243,0)</f>
        <v>#N/A</v>
      </c>
      <c r="AI243" s="104" t="e">
        <f t="shared" si="141"/>
        <v>#N/A</v>
      </c>
      <c r="AJ243" s="104" t="e">
        <f t="shared" si="142"/>
        <v>#VALUE!</v>
      </c>
      <c r="AK243" s="104" t="e">
        <f t="shared" si="143"/>
        <v>#N/A</v>
      </c>
      <c r="AL243" s="104" t="e">
        <f t="shared" si="144"/>
        <v>#N/A</v>
      </c>
      <c r="AM243" s="104" t="e">
        <f t="shared" si="145"/>
        <v>#N/A</v>
      </c>
      <c r="AN243" s="104" t="e">
        <f t="shared" si="125"/>
        <v>#N/A</v>
      </c>
      <c r="AO243" s="104" t="e">
        <f t="shared" si="126"/>
        <v>#N/A</v>
      </c>
      <c r="AP243" s="104" t="e">
        <f t="shared" si="127"/>
        <v>#N/A</v>
      </c>
      <c r="AQ243" s="104" t="e">
        <f t="shared" si="128"/>
        <v>#N/A</v>
      </c>
      <c r="AR243" s="105" t="str">
        <f t="shared" si="129"/>
        <v/>
      </c>
      <c r="AS243" s="105" t="str">
        <f t="shared" si="130"/>
        <v/>
      </c>
      <c r="AT243" s="108" t="str">
        <f t="shared" si="131"/>
        <v/>
      </c>
      <c r="AU243" s="108" t="str">
        <f t="shared" si="132"/>
        <v/>
      </c>
      <c r="AV243" s="107" t="str">
        <f>IF(ISNUMBER(O243),IF(VLOOKUP($A243,Stand!C:J,8,FALSE)="Short",AT243,AU243),"")</f>
        <v/>
      </c>
      <c r="AW243" s="109" t="str">
        <f t="shared" si="133"/>
        <v/>
      </c>
      <c r="AX243" s="109" t="str">
        <f t="shared" si="134"/>
        <v/>
      </c>
      <c r="AY243" s="112" t="str">
        <f>IF(ISNUMBER(O243),IF(AND(VLOOKUP($D243,Merchantability!$B:$C,2,0)="Yes",$E243&gt;=VLOOKUP($D243,Merchantability!$B:$D,3,0),$E243&lt;=VLOOKUP($D243,Merchantability!$B:$E,4,0)),(AV243*O243)*(1-$H243/100),""),"")</f>
        <v/>
      </c>
      <c r="AZ243" s="116"/>
      <c r="BA243" s="116"/>
      <c r="BB243" s="116"/>
      <c r="BE243" s="62"/>
      <c r="BF243" s="63"/>
    </row>
    <row r="244" spans="1:58" ht="12.75" customHeight="1" x14ac:dyDescent="0.25">
      <c r="A244" s="313"/>
      <c r="B244" s="380"/>
      <c r="C244" s="381"/>
      <c r="D244" s="380"/>
      <c r="E244" s="382"/>
      <c r="F244" s="331"/>
      <c r="G244" s="329"/>
      <c r="H244" s="329"/>
      <c r="I244" s="380"/>
      <c r="J244" s="381"/>
      <c r="K244" s="329"/>
      <c r="L244" s="329"/>
      <c r="M244" s="76"/>
      <c r="N244" s="103" t="str">
        <f>IF(A244="","",VLOOKUP(A244,Stand!C:K,9,0))</f>
        <v/>
      </c>
      <c r="O244" s="104" t="str">
        <f t="shared" si="108"/>
        <v/>
      </c>
      <c r="P244" s="105" t="str">
        <f t="shared" si="109"/>
        <v/>
      </c>
      <c r="Q244" s="105" t="str">
        <f t="shared" si="135"/>
        <v/>
      </c>
      <c r="R244" s="103" t="str">
        <f t="shared" si="111"/>
        <v/>
      </c>
      <c r="S244" s="103" t="str">
        <f t="shared" si="112"/>
        <v/>
      </c>
      <c r="T244" s="106" t="str">
        <f t="shared" si="136"/>
        <v/>
      </c>
      <c r="U244" s="106" t="str">
        <f t="shared" si="137"/>
        <v/>
      </c>
      <c r="V244" s="106" t="str">
        <f t="shared" si="138"/>
        <v/>
      </c>
      <c r="W244" s="105" t="str">
        <f t="shared" si="116"/>
        <v/>
      </c>
      <c r="X244" s="104" t="str">
        <f t="shared" si="117"/>
        <v/>
      </c>
      <c r="Y244" s="104" t="str">
        <f t="array" ref="Y244">IFERROR(IF(ISNUMBER(O244),IF(COUNT(IF(A244=$A$2:$A$2427,IF(D244=$D$2:$D$2427,IF($X$2:$X$2427&gt;0,1))))&gt;0,SUM(IF(A244=$A$2:$A$2427,IF(D244=$D$2:$D$2427,$X$2:$X$2427)))/COUNT(IF(A244=$A$2:$A$2427,IF(D244=$D$2:$D$2427,IF(ISNUMBER($X$2:$X$2427),1)))),0),""),0)</f>
        <v/>
      </c>
      <c r="Z244" s="104" t="str">
        <f>IF(ISNUMBER(O244),IF(I244&gt;0,(10^(VLOOKUP(D244,'Species Codes'!B:C,2,0)+VLOOKUP(D244,'Species Codes'!B:D,3,0)*LOG(E244)+VLOOKUP(D244,'Species Codes'!B:E,4,0)*LOG(I244))),0),"")</f>
        <v/>
      </c>
      <c r="AA244" s="104" t="str">
        <f>IFERROR((VLOOKUP(D244,'Species Codes'!B:G,6,0)*Z244)/2000,"")</f>
        <v/>
      </c>
      <c r="AB244" s="104" t="e">
        <f>IF(Z244&gt;0,((IF(OR(D244="DF",D244="RA")=TRUE,EXP(VLOOKUP(D244,'Species Codes'!B:I,8,0)+VLOOKUP(D244,'Species Codes'!B:J,9,0)*(LN((E244*2.54)))),IF(OR(D244="PY",D244="RC",D244="WH",D244="NF")=TRUE,VLOOKUP(D244,'Species Codes'!B:I,8,0)+VLOOKUP(D244,'Species Codes'!B:J,9,0)*((E244*2.54)^2)*(I244*0.3048),IF(OR(D244="MD",D244="BM",D244="GA")=TRUE,((VLOOKUP(D244,'Species Codes'!B:I,8,0)*(((((E244*2.54)+VLOOKUP(D244,'Species Codes'!B:J,9,0))/VLOOKUP(D244,'Species Codes'!B:K,10,0))^VLOOKUP(D244,'Species Codes'!B:L,11,0))*((I244*0.3048)^VLOOKUP(D244,'Species Codes'!B:M,12,0))))-(VLOOKUP(D244,'Species Codes'!B:I,8,0)*((((E244*2.54)^VLOOKUP(D244,'Species Codes'!B:L,11,0))*((I244*0.3048)^VLOOKUP(D244,'Species Codes'!B:M,12,0))))))*35.3*VLOOKUP(D244,'Species Codes'!B:G,6,0)/2.2046,VLOOKUP(D244,'Species Codes'!B:I,8,0)+VLOOKUP(D244,'Species Codes'!B:J,9,0)*(((E244*2.54)/100)^2)*(I244*0.3048)))))*0.0011023),0)</f>
        <v>#N/A</v>
      </c>
      <c r="AC244" s="104" t="e">
        <f>IF(Z244&gt;0,((IF(OR(D244="RA",D244="OA",D244="OT",D244="UN",D244="PC"),EXP(VLOOKUP(D244,'Species Codes'!B:O,14,0)+VLOOKUP(D244,'Species Codes'!B:P,15,0)*LN((E244*2.54)))-EXP(VLOOKUP(D244,'Species Codes'!B:O,14,0)+VLOOKUP(D244,'Species Codes'!B:P,15,0)*LN((E244*2.54)))*(1/(VLOOKUP(D244,'Species Codes'!B:Q,16,0)+VLOOKUP(D244,'Species Codes'!B:R,17,0)*((E244*2.54)^VLOOKUP(D244,'Species Codes'!B:S,18,0)))),IF(OR(D244="BM",D244="MD",D244="OA"),EXP(VLOOKUP(D244,'Species Codes'!B:O,14,0)+VLOOKUP(D244,'Species Codes'!B:P,15,0)*LN((E244*2.54)))*(1-(1/(VLOOKUP(D244,'Species Codes'!B:Q,16,0)+VLOOKUP(D244,'Species Codes'!B:R,17,0)*((E244*2.54)^VLOOKUP(D244,'Species Codes'!B:S,18,0)))))/1000,IF(D244="DF",EXP(VLOOKUP(D244,'Species Codes'!B:O,14,0)+VLOOKUP(D244,'Species Codes'!B:P,15,0)*LN((E244*2.54))),VLOOKUP(D244,'Species Codes'!B:O,14,0)+VLOOKUP(D244,'Species Codes'!B:P,15,0)*(((E244*2.54)/100)^2)*(I244*0.3048)))))*0.0011023),0)</f>
        <v>#N/A</v>
      </c>
      <c r="AD244" s="104" t="e">
        <f t="shared" si="139"/>
        <v>#N/A</v>
      </c>
      <c r="AE244" s="104" t="e">
        <f t="shared" si="140"/>
        <v>#N/A</v>
      </c>
      <c r="AF244" s="104" t="e">
        <f>IF(AND(VLOOKUP($D244,Merchantability!$B:$C,2,0)="Yes",$E244&gt;=VLOOKUP($D244,Merchantability!$B:$D,3,0),$E244&lt;=VLOOKUP($D244,Merchantability!$B:$E,4,0)),AA244,0)</f>
        <v>#N/A</v>
      </c>
      <c r="AG244" s="104" t="e">
        <f>IF(AND(VLOOKUP($D244,Merchantability!$B:$C,2,0)="Yes",$E244&gt;=VLOOKUP($D244,Merchantability!$B:$D,3,0),$E244&lt;=VLOOKUP($D244,Merchantability!$B:$E,4,0)),AB244,0)</f>
        <v>#N/A</v>
      </c>
      <c r="AH244" s="104" t="e">
        <f>IF(AND(VLOOKUP($D244,Merchantability!$B:$C,2,0)="Yes",$E244&gt;=VLOOKUP($D244,Merchantability!$B:$D,3,0),$E244&lt;=VLOOKUP($D244,Merchantability!$B:$E,4,0)),AC244,0)</f>
        <v>#N/A</v>
      </c>
      <c r="AI244" s="104" t="e">
        <f t="shared" si="141"/>
        <v>#N/A</v>
      </c>
      <c r="AJ244" s="104" t="e">
        <f t="shared" si="142"/>
        <v>#VALUE!</v>
      </c>
      <c r="AK244" s="104" t="e">
        <f t="shared" si="143"/>
        <v>#N/A</v>
      </c>
      <c r="AL244" s="104" t="e">
        <f t="shared" si="144"/>
        <v>#N/A</v>
      </c>
      <c r="AM244" s="104" t="e">
        <f t="shared" si="145"/>
        <v>#N/A</v>
      </c>
      <c r="AN244" s="104" t="e">
        <f t="shared" si="125"/>
        <v>#N/A</v>
      </c>
      <c r="AO244" s="104" t="e">
        <f t="shared" si="126"/>
        <v>#N/A</v>
      </c>
      <c r="AP244" s="104" t="e">
        <f t="shared" si="127"/>
        <v>#N/A</v>
      </c>
      <c r="AQ244" s="104" t="e">
        <f t="shared" si="128"/>
        <v>#N/A</v>
      </c>
      <c r="AR244" s="105" t="str">
        <f t="shared" si="129"/>
        <v/>
      </c>
      <c r="AS244" s="105" t="str">
        <f t="shared" si="130"/>
        <v/>
      </c>
      <c r="AT244" s="108" t="str">
        <f t="shared" si="131"/>
        <v/>
      </c>
      <c r="AU244" s="108" t="str">
        <f t="shared" si="132"/>
        <v/>
      </c>
      <c r="AV244" s="107" t="str">
        <f>IF(ISNUMBER(O244),IF(VLOOKUP($A244,Stand!C:J,8,FALSE)="Short",AT244,AU244),"")</f>
        <v/>
      </c>
      <c r="AW244" s="109" t="str">
        <f t="shared" si="133"/>
        <v/>
      </c>
      <c r="AX244" s="109" t="str">
        <f t="shared" si="134"/>
        <v/>
      </c>
      <c r="AY244" s="112" t="str">
        <f>IF(ISNUMBER(O244),IF(AND(VLOOKUP($D244,Merchantability!$B:$C,2,0)="Yes",$E244&gt;=VLOOKUP($D244,Merchantability!$B:$D,3,0),$E244&lt;=VLOOKUP($D244,Merchantability!$B:$E,4,0)),(AV244*O244)*(1-$H244/100),""),"")</f>
        <v/>
      </c>
      <c r="AZ244" s="116"/>
      <c r="BA244" s="116"/>
      <c r="BB244" s="116"/>
      <c r="BE244" s="62"/>
      <c r="BF244" s="63"/>
    </row>
    <row r="245" spans="1:58" ht="12.75" customHeight="1" x14ac:dyDescent="0.25">
      <c r="A245" s="313"/>
      <c r="B245" s="380"/>
      <c r="C245" s="381"/>
      <c r="D245" s="380"/>
      <c r="E245" s="382"/>
      <c r="F245" s="331"/>
      <c r="G245" s="329"/>
      <c r="H245" s="329"/>
      <c r="I245" s="380"/>
      <c r="J245" s="381"/>
      <c r="K245" s="329"/>
      <c r="L245" s="329"/>
      <c r="M245" s="76"/>
      <c r="N245" s="103" t="str">
        <f>IF(A245="","",VLOOKUP(A245,Stand!C:K,9,0))</f>
        <v/>
      </c>
      <c r="O245" s="104" t="str">
        <f t="shared" si="108"/>
        <v/>
      </c>
      <c r="P245" s="105" t="str">
        <f t="shared" si="109"/>
        <v/>
      </c>
      <c r="Q245" s="105" t="str">
        <f t="shared" si="135"/>
        <v/>
      </c>
      <c r="R245" s="103" t="str">
        <f t="shared" si="111"/>
        <v/>
      </c>
      <c r="S245" s="103" t="str">
        <f t="shared" si="112"/>
        <v/>
      </c>
      <c r="T245" s="106" t="str">
        <f t="shared" si="136"/>
        <v/>
      </c>
      <c r="U245" s="106" t="str">
        <f t="shared" si="137"/>
        <v/>
      </c>
      <c r="V245" s="106" t="str">
        <f t="shared" si="138"/>
        <v/>
      </c>
      <c r="W245" s="105" t="str">
        <f t="shared" si="116"/>
        <v/>
      </c>
      <c r="X245" s="104" t="str">
        <f t="shared" si="117"/>
        <v/>
      </c>
      <c r="Y245" s="104" t="str">
        <f t="array" ref="Y245">IFERROR(IF(ISNUMBER(O245),IF(COUNT(IF(A245=$A$2:$A$2427,IF(D245=$D$2:$D$2427,IF($X$2:$X$2427&gt;0,1))))&gt;0,SUM(IF(A245=$A$2:$A$2427,IF(D245=$D$2:$D$2427,$X$2:$X$2427)))/COUNT(IF(A245=$A$2:$A$2427,IF(D245=$D$2:$D$2427,IF(ISNUMBER($X$2:$X$2427),1)))),0),""),0)</f>
        <v/>
      </c>
      <c r="Z245" s="104" t="str">
        <f>IF(ISNUMBER(O245),IF(I245&gt;0,(10^(VLOOKUP(D245,'Species Codes'!B:C,2,0)+VLOOKUP(D245,'Species Codes'!B:D,3,0)*LOG(E245)+VLOOKUP(D245,'Species Codes'!B:E,4,0)*LOG(I245))),0),"")</f>
        <v/>
      </c>
      <c r="AA245" s="104" t="str">
        <f>IFERROR((VLOOKUP(D245,'Species Codes'!B:G,6,0)*Z245)/2000,"")</f>
        <v/>
      </c>
      <c r="AB245" s="104" t="e">
        <f>IF(Z245&gt;0,((IF(OR(D245="DF",D245="RA")=TRUE,EXP(VLOOKUP(D245,'Species Codes'!B:I,8,0)+VLOOKUP(D245,'Species Codes'!B:J,9,0)*(LN((E245*2.54)))),IF(OR(D245="PY",D245="RC",D245="WH",D245="NF")=TRUE,VLOOKUP(D245,'Species Codes'!B:I,8,0)+VLOOKUP(D245,'Species Codes'!B:J,9,0)*((E245*2.54)^2)*(I245*0.3048),IF(OR(D245="MD",D245="BM",D245="GA")=TRUE,((VLOOKUP(D245,'Species Codes'!B:I,8,0)*(((((E245*2.54)+VLOOKUP(D245,'Species Codes'!B:J,9,0))/VLOOKUP(D245,'Species Codes'!B:K,10,0))^VLOOKUP(D245,'Species Codes'!B:L,11,0))*((I245*0.3048)^VLOOKUP(D245,'Species Codes'!B:M,12,0))))-(VLOOKUP(D245,'Species Codes'!B:I,8,0)*((((E245*2.54)^VLOOKUP(D245,'Species Codes'!B:L,11,0))*((I245*0.3048)^VLOOKUP(D245,'Species Codes'!B:M,12,0))))))*35.3*VLOOKUP(D245,'Species Codes'!B:G,6,0)/2.2046,VLOOKUP(D245,'Species Codes'!B:I,8,0)+VLOOKUP(D245,'Species Codes'!B:J,9,0)*(((E245*2.54)/100)^2)*(I245*0.3048)))))*0.0011023),0)</f>
        <v>#N/A</v>
      </c>
      <c r="AC245" s="104" t="e">
        <f>IF(Z245&gt;0,((IF(OR(D245="RA",D245="OA",D245="OT",D245="UN",D245="PC"),EXP(VLOOKUP(D245,'Species Codes'!B:O,14,0)+VLOOKUP(D245,'Species Codes'!B:P,15,0)*LN((E245*2.54)))-EXP(VLOOKUP(D245,'Species Codes'!B:O,14,0)+VLOOKUP(D245,'Species Codes'!B:P,15,0)*LN((E245*2.54)))*(1/(VLOOKUP(D245,'Species Codes'!B:Q,16,0)+VLOOKUP(D245,'Species Codes'!B:R,17,0)*((E245*2.54)^VLOOKUP(D245,'Species Codes'!B:S,18,0)))),IF(OR(D245="BM",D245="MD",D245="OA"),EXP(VLOOKUP(D245,'Species Codes'!B:O,14,0)+VLOOKUP(D245,'Species Codes'!B:P,15,0)*LN((E245*2.54)))*(1-(1/(VLOOKUP(D245,'Species Codes'!B:Q,16,0)+VLOOKUP(D245,'Species Codes'!B:R,17,0)*((E245*2.54)^VLOOKUP(D245,'Species Codes'!B:S,18,0)))))/1000,IF(D245="DF",EXP(VLOOKUP(D245,'Species Codes'!B:O,14,0)+VLOOKUP(D245,'Species Codes'!B:P,15,0)*LN((E245*2.54))),VLOOKUP(D245,'Species Codes'!B:O,14,0)+VLOOKUP(D245,'Species Codes'!B:P,15,0)*(((E245*2.54)/100)^2)*(I245*0.3048)))))*0.0011023),0)</f>
        <v>#N/A</v>
      </c>
      <c r="AD245" s="104" t="e">
        <f t="shared" si="139"/>
        <v>#N/A</v>
      </c>
      <c r="AE245" s="104" t="e">
        <f t="shared" si="140"/>
        <v>#N/A</v>
      </c>
      <c r="AF245" s="104" t="e">
        <f>IF(AND(VLOOKUP($D245,Merchantability!$B:$C,2,0)="Yes",$E245&gt;=VLOOKUP($D245,Merchantability!$B:$D,3,0),$E245&lt;=VLOOKUP($D245,Merchantability!$B:$E,4,0)),AA245,0)</f>
        <v>#N/A</v>
      </c>
      <c r="AG245" s="104" t="e">
        <f>IF(AND(VLOOKUP($D245,Merchantability!$B:$C,2,0)="Yes",$E245&gt;=VLOOKUP($D245,Merchantability!$B:$D,3,0),$E245&lt;=VLOOKUP($D245,Merchantability!$B:$E,4,0)),AB245,0)</f>
        <v>#N/A</v>
      </c>
      <c r="AH245" s="104" t="e">
        <f>IF(AND(VLOOKUP($D245,Merchantability!$B:$C,2,0)="Yes",$E245&gt;=VLOOKUP($D245,Merchantability!$B:$D,3,0),$E245&lt;=VLOOKUP($D245,Merchantability!$B:$E,4,0)),AC245,0)</f>
        <v>#N/A</v>
      </c>
      <c r="AI245" s="104" t="e">
        <f t="shared" si="141"/>
        <v>#N/A</v>
      </c>
      <c r="AJ245" s="104" t="e">
        <f t="shared" si="142"/>
        <v>#VALUE!</v>
      </c>
      <c r="AK245" s="104" t="e">
        <f t="shared" si="143"/>
        <v>#N/A</v>
      </c>
      <c r="AL245" s="104" t="e">
        <f t="shared" si="144"/>
        <v>#N/A</v>
      </c>
      <c r="AM245" s="104" t="e">
        <f t="shared" si="145"/>
        <v>#N/A</v>
      </c>
      <c r="AN245" s="104" t="e">
        <f t="shared" si="125"/>
        <v>#N/A</v>
      </c>
      <c r="AO245" s="104" t="e">
        <f t="shared" si="126"/>
        <v>#N/A</v>
      </c>
      <c r="AP245" s="104" t="e">
        <f t="shared" si="127"/>
        <v>#N/A</v>
      </c>
      <c r="AQ245" s="104" t="e">
        <f t="shared" si="128"/>
        <v>#N/A</v>
      </c>
      <c r="AR245" s="105" t="str">
        <f t="shared" si="129"/>
        <v/>
      </c>
      <c r="AS245" s="105" t="str">
        <f t="shared" si="130"/>
        <v/>
      </c>
      <c r="AT245" s="108" t="str">
        <f t="shared" si="131"/>
        <v/>
      </c>
      <c r="AU245" s="108" t="str">
        <f t="shared" si="132"/>
        <v/>
      </c>
      <c r="AV245" s="107" t="str">
        <f>IF(ISNUMBER(O245),IF(VLOOKUP($A245,Stand!C:J,8,FALSE)="Short",AT245,AU245),"")</f>
        <v/>
      </c>
      <c r="AW245" s="109" t="str">
        <f t="shared" si="133"/>
        <v/>
      </c>
      <c r="AX245" s="109" t="str">
        <f t="shared" si="134"/>
        <v/>
      </c>
      <c r="AY245" s="112" t="str">
        <f>IF(ISNUMBER(O245),IF(AND(VLOOKUP($D245,Merchantability!$B:$C,2,0)="Yes",$E245&gt;=VLOOKUP($D245,Merchantability!$B:$D,3,0),$E245&lt;=VLOOKUP($D245,Merchantability!$B:$E,4,0)),(AV245*O245)*(1-$H245/100),""),"")</f>
        <v/>
      </c>
      <c r="AZ245" s="116"/>
      <c r="BA245" s="116"/>
      <c r="BB245" s="116"/>
      <c r="BE245" s="62"/>
      <c r="BF245" s="63"/>
    </row>
    <row r="246" spans="1:58" ht="12.75" customHeight="1" x14ac:dyDescent="0.25">
      <c r="A246" s="313"/>
      <c r="B246" s="380"/>
      <c r="C246" s="381"/>
      <c r="D246" s="380"/>
      <c r="E246" s="382"/>
      <c r="F246" s="331"/>
      <c r="G246" s="329"/>
      <c r="H246" s="329"/>
      <c r="I246" s="380"/>
      <c r="J246" s="381"/>
      <c r="K246" s="329"/>
      <c r="L246" s="329"/>
      <c r="M246" s="76"/>
      <c r="N246" s="103" t="str">
        <f>IF(A246="","",VLOOKUP(A246,Stand!C:K,9,0))</f>
        <v/>
      </c>
      <c r="O246" s="104" t="str">
        <f t="shared" si="108"/>
        <v/>
      </c>
      <c r="P246" s="105" t="str">
        <f t="shared" si="109"/>
        <v/>
      </c>
      <c r="Q246" s="105" t="str">
        <f t="shared" si="135"/>
        <v/>
      </c>
      <c r="R246" s="103" t="str">
        <f t="shared" si="111"/>
        <v/>
      </c>
      <c r="S246" s="103" t="str">
        <f t="shared" si="112"/>
        <v/>
      </c>
      <c r="T246" s="106" t="str">
        <f t="shared" si="136"/>
        <v/>
      </c>
      <c r="U246" s="106" t="str">
        <f t="shared" si="137"/>
        <v/>
      </c>
      <c r="V246" s="106" t="str">
        <f t="shared" si="138"/>
        <v/>
      </c>
      <c r="W246" s="105" t="str">
        <f t="shared" si="116"/>
        <v/>
      </c>
      <c r="X246" s="104" t="str">
        <f t="shared" si="117"/>
        <v/>
      </c>
      <c r="Y246" s="104" t="str">
        <f t="array" ref="Y246">IFERROR(IF(ISNUMBER(O246),IF(COUNT(IF(A246=$A$2:$A$2427,IF(D246=$D$2:$D$2427,IF($X$2:$X$2427&gt;0,1))))&gt;0,SUM(IF(A246=$A$2:$A$2427,IF(D246=$D$2:$D$2427,$X$2:$X$2427)))/COUNT(IF(A246=$A$2:$A$2427,IF(D246=$D$2:$D$2427,IF(ISNUMBER($X$2:$X$2427),1)))),0),""),0)</f>
        <v/>
      </c>
      <c r="Z246" s="104" t="str">
        <f>IF(ISNUMBER(O246),IF(I246&gt;0,(10^(VLOOKUP(D246,'Species Codes'!B:C,2,0)+VLOOKUP(D246,'Species Codes'!B:D,3,0)*LOG(E246)+VLOOKUP(D246,'Species Codes'!B:E,4,0)*LOG(I246))),0),"")</f>
        <v/>
      </c>
      <c r="AA246" s="104" t="str">
        <f>IFERROR((VLOOKUP(D246,'Species Codes'!B:G,6,0)*Z246)/2000,"")</f>
        <v/>
      </c>
      <c r="AB246" s="104" t="e">
        <f>IF(Z246&gt;0,((IF(OR(D246="DF",D246="RA")=TRUE,EXP(VLOOKUP(D246,'Species Codes'!B:I,8,0)+VLOOKUP(D246,'Species Codes'!B:J,9,0)*(LN((E246*2.54)))),IF(OR(D246="PY",D246="RC",D246="WH",D246="NF")=TRUE,VLOOKUP(D246,'Species Codes'!B:I,8,0)+VLOOKUP(D246,'Species Codes'!B:J,9,0)*((E246*2.54)^2)*(I246*0.3048),IF(OR(D246="MD",D246="BM",D246="GA")=TRUE,((VLOOKUP(D246,'Species Codes'!B:I,8,0)*(((((E246*2.54)+VLOOKUP(D246,'Species Codes'!B:J,9,0))/VLOOKUP(D246,'Species Codes'!B:K,10,0))^VLOOKUP(D246,'Species Codes'!B:L,11,0))*((I246*0.3048)^VLOOKUP(D246,'Species Codes'!B:M,12,0))))-(VLOOKUP(D246,'Species Codes'!B:I,8,0)*((((E246*2.54)^VLOOKUP(D246,'Species Codes'!B:L,11,0))*((I246*0.3048)^VLOOKUP(D246,'Species Codes'!B:M,12,0))))))*35.3*VLOOKUP(D246,'Species Codes'!B:G,6,0)/2.2046,VLOOKUP(D246,'Species Codes'!B:I,8,0)+VLOOKUP(D246,'Species Codes'!B:J,9,0)*(((E246*2.54)/100)^2)*(I246*0.3048)))))*0.0011023),0)</f>
        <v>#N/A</v>
      </c>
      <c r="AC246" s="104" t="e">
        <f>IF(Z246&gt;0,((IF(OR(D246="RA",D246="OA",D246="OT",D246="UN",D246="PC"),EXP(VLOOKUP(D246,'Species Codes'!B:O,14,0)+VLOOKUP(D246,'Species Codes'!B:P,15,0)*LN((E246*2.54)))-EXP(VLOOKUP(D246,'Species Codes'!B:O,14,0)+VLOOKUP(D246,'Species Codes'!B:P,15,0)*LN((E246*2.54)))*(1/(VLOOKUP(D246,'Species Codes'!B:Q,16,0)+VLOOKUP(D246,'Species Codes'!B:R,17,0)*((E246*2.54)^VLOOKUP(D246,'Species Codes'!B:S,18,0)))),IF(OR(D246="BM",D246="MD",D246="OA"),EXP(VLOOKUP(D246,'Species Codes'!B:O,14,0)+VLOOKUP(D246,'Species Codes'!B:P,15,0)*LN((E246*2.54)))*(1-(1/(VLOOKUP(D246,'Species Codes'!B:Q,16,0)+VLOOKUP(D246,'Species Codes'!B:R,17,0)*((E246*2.54)^VLOOKUP(D246,'Species Codes'!B:S,18,0)))))/1000,IF(D246="DF",EXP(VLOOKUP(D246,'Species Codes'!B:O,14,0)+VLOOKUP(D246,'Species Codes'!B:P,15,0)*LN((E246*2.54))),VLOOKUP(D246,'Species Codes'!B:O,14,0)+VLOOKUP(D246,'Species Codes'!B:P,15,0)*(((E246*2.54)/100)^2)*(I246*0.3048)))))*0.0011023),0)</f>
        <v>#N/A</v>
      </c>
      <c r="AD246" s="104" t="e">
        <f t="shared" si="139"/>
        <v>#N/A</v>
      </c>
      <c r="AE246" s="104" t="e">
        <f t="shared" si="140"/>
        <v>#N/A</v>
      </c>
      <c r="AF246" s="104" t="e">
        <f>IF(AND(VLOOKUP($D246,Merchantability!$B:$C,2,0)="Yes",$E246&gt;=VLOOKUP($D246,Merchantability!$B:$D,3,0),$E246&lt;=VLOOKUP($D246,Merchantability!$B:$E,4,0)),AA246,0)</f>
        <v>#N/A</v>
      </c>
      <c r="AG246" s="104" t="e">
        <f>IF(AND(VLOOKUP($D246,Merchantability!$B:$C,2,0)="Yes",$E246&gt;=VLOOKUP($D246,Merchantability!$B:$D,3,0),$E246&lt;=VLOOKUP($D246,Merchantability!$B:$E,4,0)),AB246,0)</f>
        <v>#N/A</v>
      </c>
      <c r="AH246" s="104" t="e">
        <f>IF(AND(VLOOKUP($D246,Merchantability!$B:$C,2,0)="Yes",$E246&gt;=VLOOKUP($D246,Merchantability!$B:$D,3,0),$E246&lt;=VLOOKUP($D246,Merchantability!$B:$E,4,0)),AC246,0)</f>
        <v>#N/A</v>
      </c>
      <c r="AI246" s="104" t="e">
        <f t="shared" si="141"/>
        <v>#N/A</v>
      </c>
      <c r="AJ246" s="104" t="e">
        <f t="shared" si="142"/>
        <v>#VALUE!</v>
      </c>
      <c r="AK246" s="104" t="e">
        <f t="shared" si="143"/>
        <v>#N/A</v>
      </c>
      <c r="AL246" s="104" t="e">
        <f t="shared" si="144"/>
        <v>#N/A</v>
      </c>
      <c r="AM246" s="104" t="e">
        <f t="shared" si="145"/>
        <v>#N/A</v>
      </c>
      <c r="AN246" s="104" t="e">
        <f t="shared" si="125"/>
        <v>#N/A</v>
      </c>
      <c r="AO246" s="104" t="e">
        <f t="shared" si="126"/>
        <v>#N/A</v>
      </c>
      <c r="AP246" s="104" t="e">
        <f t="shared" si="127"/>
        <v>#N/A</v>
      </c>
      <c r="AQ246" s="104" t="e">
        <f t="shared" si="128"/>
        <v>#N/A</v>
      </c>
      <c r="AR246" s="105" t="str">
        <f t="shared" si="129"/>
        <v/>
      </c>
      <c r="AS246" s="105" t="str">
        <f t="shared" si="130"/>
        <v/>
      </c>
      <c r="AT246" s="108" t="str">
        <f t="shared" si="131"/>
        <v/>
      </c>
      <c r="AU246" s="108" t="str">
        <f t="shared" si="132"/>
        <v/>
      </c>
      <c r="AV246" s="107" t="str">
        <f>IF(ISNUMBER(O246),IF(VLOOKUP($A246,Stand!C:J,8,FALSE)="Short",AT246,AU246),"")</f>
        <v/>
      </c>
      <c r="AW246" s="109" t="str">
        <f t="shared" si="133"/>
        <v/>
      </c>
      <c r="AX246" s="109" t="str">
        <f t="shared" si="134"/>
        <v/>
      </c>
      <c r="AY246" s="112" t="str">
        <f>IF(ISNUMBER(O246),IF(AND(VLOOKUP($D246,Merchantability!$B:$C,2,0)="Yes",$E246&gt;=VLOOKUP($D246,Merchantability!$B:$D,3,0),$E246&lt;=VLOOKUP($D246,Merchantability!$B:$E,4,0)),(AV246*O246)*(1-$H246/100),""),"")</f>
        <v/>
      </c>
      <c r="AZ246" s="116"/>
      <c r="BA246" s="116"/>
      <c r="BB246" s="116"/>
      <c r="BE246" s="62"/>
      <c r="BF246" s="63"/>
    </row>
    <row r="247" spans="1:58" ht="12.75" customHeight="1" x14ac:dyDescent="0.25">
      <c r="A247" s="313"/>
      <c r="B247" s="380"/>
      <c r="C247" s="381"/>
      <c r="D247" s="380"/>
      <c r="E247" s="382"/>
      <c r="F247" s="331"/>
      <c r="G247" s="329"/>
      <c r="H247" s="329"/>
      <c r="I247" s="380"/>
      <c r="J247" s="381"/>
      <c r="K247" s="329"/>
      <c r="L247" s="329"/>
      <c r="M247" s="76"/>
      <c r="N247" s="103" t="str">
        <f>IF(A247="","",VLOOKUP(A247,Stand!C:K,9,0))</f>
        <v/>
      </c>
      <c r="O247" s="104" t="str">
        <f t="shared" si="108"/>
        <v/>
      </c>
      <c r="P247" s="105" t="str">
        <f t="shared" si="109"/>
        <v/>
      </c>
      <c r="Q247" s="105" t="str">
        <f t="shared" si="135"/>
        <v/>
      </c>
      <c r="R247" s="103" t="str">
        <f t="shared" si="111"/>
        <v/>
      </c>
      <c r="S247" s="103" t="str">
        <f t="shared" si="112"/>
        <v/>
      </c>
      <c r="T247" s="106" t="str">
        <f t="shared" si="136"/>
        <v/>
      </c>
      <c r="U247" s="106" t="str">
        <f t="shared" si="137"/>
        <v/>
      </c>
      <c r="V247" s="106" t="str">
        <f t="shared" si="138"/>
        <v/>
      </c>
      <c r="W247" s="105" t="str">
        <f t="shared" si="116"/>
        <v/>
      </c>
      <c r="X247" s="104" t="str">
        <f t="shared" si="117"/>
        <v/>
      </c>
      <c r="Y247" s="104" t="str">
        <f t="array" ref="Y247">IFERROR(IF(ISNUMBER(O247),IF(COUNT(IF(A247=$A$2:$A$2427,IF(D247=$D$2:$D$2427,IF($X$2:$X$2427&gt;0,1))))&gt;0,SUM(IF(A247=$A$2:$A$2427,IF(D247=$D$2:$D$2427,$X$2:$X$2427)))/COUNT(IF(A247=$A$2:$A$2427,IF(D247=$D$2:$D$2427,IF(ISNUMBER($X$2:$X$2427),1)))),0),""),0)</f>
        <v/>
      </c>
      <c r="Z247" s="104" t="str">
        <f>IF(ISNUMBER(O247),IF(I247&gt;0,(10^(VLOOKUP(D247,'Species Codes'!B:C,2,0)+VLOOKUP(D247,'Species Codes'!B:D,3,0)*LOG(E247)+VLOOKUP(D247,'Species Codes'!B:E,4,0)*LOG(I247))),0),"")</f>
        <v/>
      </c>
      <c r="AA247" s="104" t="str">
        <f>IFERROR((VLOOKUP(D247,'Species Codes'!B:G,6,0)*Z247)/2000,"")</f>
        <v/>
      </c>
      <c r="AB247" s="104" t="e">
        <f>IF(Z247&gt;0,((IF(OR(D247="DF",D247="RA")=TRUE,EXP(VLOOKUP(D247,'Species Codes'!B:I,8,0)+VLOOKUP(D247,'Species Codes'!B:J,9,0)*(LN((E247*2.54)))),IF(OR(D247="PY",D247="RC",D247="WH",D247="NF")=TRUE,VLOOKUP(D247,'Species Codes'!B:I,8,0)+VLOOKUP(D247,'Species Codes'!B:J,9,0)*((E247*2.54)^2)*(I247*0.3048),IF(OR(D247="MD",D247="BM",D247="GA")=TRUE,((VLOOKUP(D247,'Species Codes'!B:I,8,0)*(((((E247*2.54)+VLOOKUP(D247,'Species Codes'!B:J,9,0))/VLOOKUP(D247,'Species Codes'!B:K,10,0))^VLOOKUP(D247,'Species Codes'!B:L,11,0))*((I247*0.3048)^VLOOKUP(D247,'Species Codes'!B:M,12,0))))-(VLOOKUP(D247,'Species Codes'!B:I,8,0)*((((E247*2.54)^VLOOKUP(D247,'Species Codes'!B:L,11,0))*((I247*0.3048)^VLOOKUP(D247,'Species Codes'!B:M,12,0))))))*35.3*VLOOKUP(D247,'Species Codes'!B:G,6,0)/2.2046,VLOOKUP(D247,'Species Codes'!B:I,8,0)+VLOOKUP(D247,'Species Codes'!B:J,9,0)*(((E247*2.54)/100)^2)*(I247*0.3048)))))*0.0011023),0)</f>
        <v>#N/A</v>
      </c>
      <c r="AC247" s="104" t="e">
        <f>IF(Z247&gt;0,((IF(OR(D247="RA",D247="OA",D247="OT",D247="UN",D247="PC"),EXP(VLOOKUP(D247,'Species Codes'!B:O,14,0)+VLOOKUP(D247,'Species Codes'!B:P,15,0)*LN((E247*2.54)))-EXP(VLOOKUP(D247,'Species Codes'!B:O,14,0)+VLOOKUP(D247,'Species Codes'!B:P,15,0)*LN((E247*2.54)))*(1/(VLOOKUP(D247,'Species Codes'!B:Q,16,0)+VLOOKUP(D247,'Species Codes'!B:R,17,0)*((E247*2.54)^VLOOKUP(D247,'Species Codes'!B:S,18,0)))),IF(OR(D247="BM",D247="MD",D247="OA"),EXP(VLOOKUP(D247,'Species Codes'!B:O,14,0)+VLOOKUP(D247,'Species Codes'!B:P,15,0)*LN((E247*2.54)))*(1-(1/(VLOOKUP(D247,'Species Codes'!B:Q,16,0)+VLOOKUP(D247,'Species Codes'!B:R,17,0)*((E247*2.54)^VLOOKUP(D247,'Species Codes'!B:S,18,0)))))/1000,IF(D247="DF",EXP(VLOOKUP(D247,'Species Codes'!B:O,14,0)+VLOOKUP(D247,'Species Codes'!B:P,15,0)*LN((E247*2.54))),VLOOKUP(D247,'Species Codes'!B:O,14,0)+VLOOKUP(D247,'Species Codes'!B:P,15,0)*(((E247*2.54)/100)^2)*(I247*0.3048)))))*0.0011023),0)</f>
        <v>#N/A</v>
      </c>
      <c r="AD247" s="104" t="e">
        <f t="shared" si="139"/>
        <v>#N/A</v>
      </c>
      <c r="AE247" s="104" t="e">
        <f t="shared" si="140"/>
        <v>#N/A</v>
      </c>
      <c r="AF247" s="104" t="e">
        <f>IF(AND(VLOOKUP($D247,Merchantability!$B:$C,2,0)="Yes",$E247&gt;=VLOOKUP($D247,Merchantability!$B:$D,3,0),$E247&lt;=VLOOKUP($D247,Merchantability!$B:$E,4,0)),AA247,0)</f>
        <v>#N/A</v>
      </c>
      <c r="AG247" s="104" t="e">
        <f>IF(AND(VLOOKUP($D247,Merchantability!$B:$C,2,0)="Yes",$E247&gt;=VLOOKUP($D247,Merchantability!$B:$D,3,0),$E247&lt;=VLOOKUP($D247,Merchantability!$B:$E,4,0)),AB247,0)</f>
        <v>#N/A</v>
      </c>
      <c r="AH247" s="104" t="e">
        <f>IF(AND(VLOOKUP($D247,Merchantability!$B:$C,2,0)="Yes",$E247&gt;=VLOOKUP($D247,Merchantability!$B:$D,3,0),$E247&lt;=VLOOKUP($D247,Merchantability!$B:$E,4,0)),AC247,0)</f>
        <v>#N/A</v>
      </c>
      <c r="AI247" s="104" t="e">
        <f t="shared" si="141"/>
        <v>#N/A</v>
      </c>
      <c r="AJ247" s="104" t="e">
        <f t="shared" si="142"/>
        <v>#VALUE!</v>
      </c>
      <c r="AK247" s="104" t="e">
        <f t="shared" si="143"/>
        <v>#N/A</v>
      </c>
      <c r="AL247" s="104" t="e">
        <f t="shared" si="144"/>
        <v>#N/A</v>
      </c>
      <c r="AM247" s="104" t="e">
        <f t="shared" si="145"/>
        <v>#N/A</v>
      </c>
      <c r="AN247" s="104" t="e">
        <f t="shared" si="125"/>
        <v>#N/A</v>
      </c>
      <c r="AO247" s="104" t="e">
        <f t="shared" si="126"/>
        <v>#N/A</v>
      </c>
      <c r="AP247" s="104" t="e">
        <f t="shared" si="127"/>
        <v>#N/A</v>
      </c>
      <c r="AQ247" s="104" t="e">
        <f t="shared" si="128"/>
        <v>#N/A</v>
      </c>
      <c r="AR247" s="105" t="str">
        <f t="shared" si="129"/>
        <v/>
      </c>
      <c r="AS247" s="105" t="str">
        <f t="shared" si="130"/>
        <v/>
      </c>
      <c r="AT247" s="108" t="str">
        <f t="shared" si="131"/>
        <v/>
      </c>
      <c r="AU247" s="108" t="str">
        <f t="shared" si="132"/>
        <v/>
      </c>
      <c r="AV247" s="107" t="str">
        <f>IF(ISNUMBER(O247),IF(VLOOKUP($A247,Stand!C:J,8,FALSE)="Short",AT247,AU247),"")</f>
        <v/>
      </c>
      <c r="AW247" s="109" t="str">
        <f t="shared" si="133"/>
        <v/>
      </c>
      <c r="AX247" s="109" t="str">
        <f t="shared" si="134"/>
        <v/>
      </c>
      <c r="AY247" s="112" t="str">
        <f>IF(ISNUMBER(O247),IF(AND(VLOOKUP($D247,Merchantability!$B:$C,2,0)="Yes",$E247&gt;=VLOOKUP($D247,Merchantability!$B:$D,3,0),$E247&lt;=VLOOKUP($D247,Merchantability!$B:$E,4,0)),(AV247*O247)*(1-$H247/100),""),"")</f>
        <v/>
      </c>
      <c r="AZ247" s="116"/>
      <c r="BA247" s="116"/>
      <c r="BB247" s="116"/>
      <c r="BE247" s="62"/>
      <c r="BF247" s="63"/>
    </row>
    <row r="248" spans="1:58" ht="12.75" customHeight="1" x14ac:dyDescent="0.25">
      <c r="A248" s="313"/>
      <c r="B248" s="380"/>
      <c r="C248" s="381"/>
      <c r="D248" s="380"/>
      <c r="E248" s="382"/>
      <c r="F248" s="331"/>
      <c r="G248" s="329"/>
      <c r="H248" s="329"/>
      <c r="I248" s="380"/>
      <c r="J248" s="381"/>
      <c r="K248" s="329"/>
      <c r="L248" s="329"/>
      <c r="M248" s="76"/>
      <c r="N248" s="103" t="str">
        <f>IF(A248="","",VLOOKUP(A248,Stand!C:K,9,0))</f>
        <v/>
      </c>
      <c r="O248" s="104" t="str">
        <f t="shared" si="108"/>
        <v/>
      </c>
      <c r="P248" s="105" t="str">
        <f t="shared" si="109"/>
        <v/>
      </c>
      <c r="Q248" s="105" t="str">
        <f t="shared" si="135"/>
        <v/>
      </c>
      <c r="R248" s="103" t="str">
        <f t="shared" si="111"/>
        <v/>
      </c>
      <c r="S248" s="103" t="str">
        <f t="shared" si="112"/>
        <v/>
      </c>
      <c r="T248" s="106" t="str">
        <f t="shared" si="136"/>
        <v/>
      </c>
      <c r="U248" s="106" t="str">
        <f t="shared" si="137"/>
        <v/>
      </c>
      <c r="V248" s="106" t="str">
        <f t="shared" si="138"/>
        <v/>
      </c>
      <c r="W248" s="105" t="str">
        <f t="shared" si="116"/>
        <v/>
      </c>
      <c r="X248" s="104" t="str">
        <f t="shared" si="117"/>
        <v/>
      </c>
      <c r="Y248" s="104" t="str">
        <f t="array" ref="Y248">IFERROR(IF(ISNUMBER(O248),IF(COUNT(IF(A248=$A$2:$A$2427,IF(D248=$D$2:$D$2427,IF($X$2:$X$2427&gt;0,1))))&gt;0,SUM(IF(A248=$A$2:$A$2427,IF(D248=$D$2:$D$2427,$X$2:$X$2427)))/COUNT(IF(A248=$A$2:$A$2427,IF(D248=$D$2:$D$2427,IF(ISNUMBER($X$2:$X$2427),1)))),0),""),0)</f>
        <v/>
      </c>
      <c r="Z248" s="104" t="str">
        <f>IF(ISNUMBER(O248),IF(I248&gt;0,(10^(VLOOKUP(D248,'Species Codes'!B:C,2,0)+VLOOKUP(D248,'Species Codes'!B:D,3,0)*LOG(E248)+VLOOKUP(D248,'Species Codes'!B:E,4,0)*LOG(I248))),0),"")</f>
        <v/>
      </c>
      <c r="AA248" s="104" t="str">
        <f>IFERROR((VLOOKUP(D248,'Species Codes'!B:G,6,0)*Z248)/2000,"")</f>
        <v/>
      </c>
      <c r="AB248" s="104" t="e">
        <f>IF(Z248&gt;0,((IF(OR(D248="DF",D248="RA")=TRUE,EXP(VLOOKUP(D248,'Species Codes'!B:I,8,0)+VLOOKUP(D248,'Species Codes'!B:J,9,0)*(LN((E248*2.54)))),IF(OR(D248="PY",D248="RC",D248="WH",D248="NF")=TRUE,VLOOKUP(D248,'Species Codes'!B:I,8,0)+VLOOKUP(D248,'Species Codes'!B:J,9,0)*((E248*2.54)^2)*(I248*0.3048),IF(OR(D248="MD",D248="BM",D248="GA")=TRUE,((VLOOKUP(D248,'Species Codes'!B:I,8,0)*(((((E248*2.54)+VLOOKUP(D248,'Species Codes'!B:J,9,0))/VLOOKUP(D248,'Species Codes'!B:K,10,0))^VLOOKUP(D248,'Species Codes'!B:L,11,0))*((I248*0.3048)^VLOOKUP(D248,'Species Codes'!B:M,12,0))))-(VLOOKUP(D248,'Species Codes'!B:I,8,0)*((((E248*2.54)^VLOOKUP(D248,'Species Codes'!B:L,11,0))*((I248*0.3048)^VLOOKUP(D248,'Species Codes'!B:M,12,0))))))*35.3*VLOOKUP(D248,'Species Codes'!B:G,6,0)/2.2046,VLOOKUP(D248,'Species Codes'!B:I,8,0)+VLOOKUP(D248,'Species Codes'!B:J,9,0)*(((E248*2.54)/100)^2)*(I248*0.3048)))))*0.0011023),0)</f>
        <v>#N/A</v>
      </c>
      <c r="AC248" s="104" t="e">
        <f>IF(Z248&gt;0,((IF(OR(D248="RA",D248="OA",D248="OT",D248="UN",D248="PC"),EXP(VLOOKUP(D248,'Species Codes'!B:O,14,0)+VLOOKUP(D248,'Species Codes'!B:P,15,0)*LN((E248*2.54)))-EXP(VLOOKUP(D248,'Species Codes'!B:O,14,0)+VLOOKUP(D248,'Species Codes'!B:P,15,0)*LN((E248*2.54)))*(1/(VLOOKUP(D248,'Species Codes'!B:Q,16,0)+VLOOKUP(D248,'Species Codes'!B:R,17,0)*((E248*2.54)^VLOOKUP(D248,'Species Codes'!B:S,18,0)))),IF(OR(D248="BM",D248="MD",D248="OA"),EXP(VLOOKUP(D248,'Species Codes'!B:O,14,0)+VLOOKUP(D248,'Species Codes'!B:P,15,0)*LN((E248*2.54)))*(1-(1/(VLOOKUP(D248,'Species Codes'!B:Q,16,0)+VLOOKUP(D248,'Species Codes'!B:R,17,0)*((E248*2.54)^VLOOKUP(D248,'Species Codes'!B:S,18,0)))))/1000,IF(D248="DF",EXP(VLOOKUP(D248,'Species Codes'!B:O,14,0)+VLOOKUP(D248,'Species Codes'!B:P,15,0)*LN((E248*2.54))),VLOOKUP(D248,'Species Codes'!B:O,14,0)+VLOOKUP(D248,'Species Codes'!B:P,15,0)*(((E248*2.54)/100)^2)*(I248*0.3048)))))*0.0011023),0)</f>
        <v>#N/A</v>
      </c>
      <c r="AD248" s="104" t="e">
        <f t="shared" si="139"/>
        <v>#N/A</v>
      </c>
      <c r="AE248" s="104" t="e">
        <f t="shared" si="140"/>
        <v>#N/A</v>
      </c>
      <c r="AF248" s="104" t="e">
        <f>IF(AND(VLOOKUP($D248,Merchantability!$B:$C,2,0)="Yes",$E248&gt;=VLOOKUP($D248,Merchantability!$B:$D,3,0),$E248&lt;=VLOOKUP($D248,Merchantability!$B:$E,4,0)),AA248,0)</f>
        <v>#N/A</v>
      </c>
      <c r="AG248" s="104" t="e">
        <f>IF(AND(VLOOKUP($D248,Merchantability!$B:$C,2,0)="Yes",$E248&gt;=VLOOKUP($D248,Merchantability!$B:$D,3,0),$E248&lt;=VLOOKUP($D248,Merchantability!$B:$E,4,0)),AB248,0)</f>
        <v>#N/A</v>
      </c>
      <c r="AH248" s="104" t="e">
        <f>IF(AND(VLOOKUP($D248,Merchantability!$B:$C,2,0)="Yes",$E248&gt;=VLOOKUP($D248,Merchantability!$B:$D,3,0),$E248&lt;=VLOOKUP($D248,Merchantability!$B:$E,4,0)),AC248,0)</f>
        <v>#N/A</v>
      </c>
      <c r="AI248" s="104" t="e">
        <f t="shared" si="141"/>
        <v>#N/A</v>
      </c>
      <c r="AJ248" s="104" t="e">
        <f t="shared" si="142"/>
        <v>#VALUE!</v>
      </c>
      <c r="AK248" s="104" t="e">
        <f t="shared" si="143"/>
        <v>#N/A</v>
      </c>
      <c r="AL248" s="104" t="e">
        <f t="shared" si="144"/>
        <v>#N/A</v>
      </c>
      <c r="AM248" s="104" t="e">
        <f t="shared" si="145"/>
        <v>#N/A</v>
      </c>
      <c r="AN248" s="104" t="e">
        <f t="shared" si="125"/>
        <v>#N/A</v>
      </c>
      <c r="AO248" s="104" t="e">
        <f t="shared" si="126"/>
        <v>#N/A</v>
      </c>
      <c r="AP248" s="104" t="e">
        <f t="shared" si="127"/>
        <v>#N/A</v>
      </c>
      <c r="AQ248" s="104" t="e">
        <f t="shared" si="128"/>
        <v>#N/A</v>
      </c>
      <c r="AR248" s="105" t="str">
        <f t="shared" si="129"/>
        <v/>
      </c>
      <c r="AS248" s="105" t="str">
        <f t="shared" si="130"/>
        <v/>
      </c>
      <c r="AT248" s="108" t="str">
        <f t="shared" si="131"/>
        <v/>
      </c>
      <c r="AU248" s="108" t="str">
        <f t="shared" si="132"/>
        <v/>
      </c>
      <c r="AV248" s="107" t="str">
        <f>IF(ISNUMBER(O248),IF(VLOOKUP($A248,Stand!C:J,8,FALSE)="Short",AT248,AU248),"")</f>
        <v/>
      </c>
      <c r="AW248" s="109" t="str">
        <f t="shared" si="133"/>
        <v/>
      </c>
      <c r="AX248" s="109" t="str">
        <f t="shared" si="134"/>
        <v/>
      </c>
      <c r="AY248" s="112" t="str">
        <f>IF(ISNUMBER(O248),IF(AND(VLOOKUP($D248,Merchantability!$B:$C,2,0)="Yes",$E248&gt;=VLOOKUP($D248,Merchantability!$B:$D,3,0),$E248&lt;=VLOOKUP($D248,Merchantability!$B:$E,4,0)),(AV248*O248)*(1-$H248/100),""),"")</f>
        <v/>
      </c>
      <c r="AZ248" s="116"/>
      <c r="BA248" s="116"/>
      <c r="BB248" s="116"/>
      <c r="BE248" s="62"/>
      <c r="BF248" s="63"/>
    </row>
    <row r="249" spans="1:58" ht="12.75" customHeight="1" x14ac:dyDescent="0.25">
      <c r="A249" s="313"/>
      <c r="B249" s="380"/>
      <c r="C249" s="381"/>
      <c r="D249" s="380"/>
      <c r="E249" s="382"/>
      <c r="F249" s="331"/>
      <c r="G249" s="329"/>
      <c r="H249" s="329"/>
      <c r="I249" s="380"/>
      <c r="J249" s="381"/>
      <c r="K249" s="329"/>
      <c r="L249" s="329"/>
      <c r="M249" s="76"/>
      <c r="N249" s="103" t="str">
        <f>IF(A249="","",VLOOKUP(A249,Stand!C:K,9,0))</f>
        <v/>
      </c>
      <c r="O249" s="104" t="str">
        <f t="shared" si="108"/>
        <v/>
      </c>
      <c r="P249" s="105" t="str">
        <f t="shared" si="109"/>
        <v/>
      </c>
      <c r="Q249" s="105" t="str">
        <f t="shared" si="135"/>
        <v/>
      </c>
      <c r="R249" s="103" t="str">
        <f t="shared" si="111"/>
        <v/>
      </c>
      <c r="S249" s="103" t="str">
        <f t="shared" si="112"/>
        <v/>
      </c>
      <c r="T249" s="106" t="str">
        <f t="shared" si="136"/>
        <v/>
      </c>
      <c r="U249" s="106" t="str">
        <f t="shared" si="137"/>
        <v/>
      </c>
      <c r="V249" s="106" t="str">
        <f t="shared" si="138"/>
        <v/>
      </c>
      <c r="W249" s="105" t="str">
        <f t="shared" si="116"/>
        <v/>
      </c>
      <c r="X249" s="104" t="str">
        <f t="shared" si="117"/>
        <v/>
      </c>
      <c r="Y249" s="104" t="str">
        <f t="array" ref="Y249">IFERROR(IF(ISNUMBER(O249),IF(COUNT(IF(A249=$A$2:$A$2427,IF(D249=$D$2:$D$2427,IF($X$2:$X$2427&gt;0,1))))&gt;0,SUM(IF(A249=$A$2:$A$2427,IF(D249=$D$2:$D$2427,$X$2:$X$2427)))/COUNT(IF(A249=$A$2:$A$2427,IF(D249=$D$2:$D$2427,IF(ISNUMBER($X$2:$X$2427),1)))),0),""),0)</f>
        <v/>
      </c>
      <c r="Z249" s="104" t="str">
        <f>IF(ISNUMBER(O249),IF(I249&gt;0,(10^(VLOOKUP(D249,'Species Codes'!B:C,2,0)+VLOOKUP(D249,'Species Codes'!B:D,3,0)*LOG(E249)+VLOOKUP(D249,'Species Codes'!B:E,4,0)*LOG(I249))),0),"")</f>
        <v/>
      </c>
      <c r="AA249" s="104" t="str">
        <f>IFERROR((VLOOKUP(D249,'Species Codes'!B:G,6,0)*Z249)/2000,"")</f>
        <v/>
      </c>
      <c r="AB249" s="104" t="e">
        <f>IF(Z249&gt;0,((IF(OR(D249="DF",D249="RA")=TRUE,EXP(VLOOKUP(D249,'Species Codes'!B:I,8,0)+VLOOKUP(D249,'Species Codes'!B:J,9,0)*(LN((E249*2.54)))),IF(OR(D249="PY",D249="RC",D249="WH",D249="NF")=TRUE,VLOOKUP(D249,'Species Codes'!B:I,8,0)+VLOOKUP(D249,'Species Codes'!B:J,9,0)*((E249*2.54)^2)*(I249*0.3048),IF(OR(D249="MD",D249="BM",D249="GA")=TRUE,((VLOOKUP(D249,'Species Codes'!B:I,8,0)*(((((E249*2.54)+VLOOKUP(D249,'Species Codes'!B:J,9,0))/VLOOKUP(D249,'Species Codes'!B:K,10,0))^VLOOKUP(D249,'Species Codes'!B:L,11,0))*((I249*0.3048)^VLOOKUP(D249,'Species Codes'!B:M,12,0))))-(VLOOKUP(D249,'Species Codes'!B:I,8,0)*((((E249*2.54)^VLOOKUP(D249,'Species Codes'!B:L,11,0))*((I249*0.3048)^VLOOKUP(D249,'Species Codes'!B:M,12,0))))))*35.3*VLOOKUP(D249,'Species Codes'!B:G,6,0)/2.2046,VLOOKUP(D249,'Species Codes'!B:I,8,0)+VLOOKUP(D249,'Species Codes'!B:J,9,0)*(((E249*2.54)/100)^2)*(I249*0.3048)))))*0.0011023),0)</f>
        <v>#N/A</v>
      </c>
      <c r="AC249" s="104" t="e">
        <f>IF(Z249&gt;0,((IF(OR(D249="RA",D249="OA",D249="OT",D249="UN",D249="PC"),EXP(VLOOKUP(D249,'Species Codes'!B:O,14,0)+VLOOKUP(D249,'Species Codes'!B:P,15,0)*LN((E249*2.54)))-EXP(VLOOKUP(D249,'Species Codes'!B:O,14,0)+VLOOKUP(D249,'Species Codes'!B:P,15,0)*LN((E249*2.54)))*(1/(VLOOKUP(D249,'Species Codes'!B:Q,16,0)+VLOOKUP(D249,'Species Codes'!B:R,17,0)*((E249*2.54)^VLOOKUP(D249,'Species Codes'!B:S,18,0)))),IF(OR(D249="BM",D249="MD",D249="OA"),EXP(VLOOKUP(D249,'Species Codes'!B:O,14,0)+VLOOKUP(D249,'Species Codes'!B:P,15,0)*LN((E249*2.54)))*(1-(1/(VLOOKUP(D249,'Species Codes'!B:Q,16,0)+VLOOKUP(D249,'Species Codes'!B:R,17,0)*((E249*2.54)^VLOOKUP(D249,'Species Codes'!B:S,18,0)))))/1000,IF(D249="DF",EXP(VLOOKUP(D249,'Species Codes'!B:O,14,0)+VLOOKUP(D249,'Species Codes'!B:P,15,0)*LN((E249*2.54))),VLOOKUP(D249,'Species Codes'!B:O,14,0)+VLOOKUP(D249,'Species Codes'!B:P,15,0)*(((E249*2.54)/100)^2)*(I249*0.3048)))))*0.0011023),0)</f>
        <v>#N/A</v>
      </c>
      <c r="AD249" s="104" t="e">
        <f t="shared" si="139"/>
        <v>#N/A</v>
      </c>
      <c r="AE249" s="104" t="e">
        <f t="shared" si="140"/>
        <v>#N/A</v>
      </c>
      <c r="AF249" s="104" t="e">
        <f>IF(AND(VLOOKUP($D249,Merchantability!$B:$C,2,0)="Yes",$E249&gt;=VLOOKUP($D249,Merchantability!$B:$D,3,0),$E249&lt;=VLOOKUP($D249,Merchantability!$B:$E,4,0)),AA249,0)</f>
        <v>#N/A</v>
      </c>
      <c r="AG249" s="104" t="e">
        <f>IF(AND(VLOOKUP($D249,Merchantability!$B:$C,2,0)="Yes",$E249&gt;=VLOOKUP($D249,Merchantability!$B:$D,3,0),$E249&lt;=VLOOKUP($D249,Merchantability!$B:$E,4,0)),AB249,0)</f>
        <v>#N/A</v>
      </c>
      <c r="AH249" s="104" t="e">
        <f>IF(AND(VLOOKUP($D249,Merchantability!$B:$C,2,0)="Yes",$E249&gt;=VLOOKUP($D249,Merchantability!$B:$D,3,0),$E249&lt;=VLOOKUP($D249,Merchantability!$B:$E,4,0)),AC249,0)</f>
        <v>#N/A</v>
      </c>
      <c r="AI249" s="104" t="e">
        <f t="shared" si="141"/>
        <v>#N/A</v>
      </c>
      <c r="AJ249" s="104" t="e">
        <f t="shared" si="142"/>
        <v>#VALUE!</v>
      </c>
      <c r="AK249" s="104" t="e">
        <f t="shared" si="143"/>
        <v>#N/A</v>
      </c>
      <c r="AL249" s="104" t="e">
        <f t="shared" si="144"/>
        <v>#N/A</v>
      </c>
      <c r="AM249" s="104" t="e">
        <f t="shared" si="145"/>
        <v>#N/A</v>
      </c>
      <c r="AN249" s="104" t="e">
        <f t="shared" si="125"/>
        <v>#N/A</v>
      </c>
      <c r="AO249" s="104" t="e">
        <f t="shared" si="126"/>
        <v>#N/A</v>
      </c>
      <c r="AP249" s="104" t="e">
        <f t="shared" si="127"/>
        <v>#N/A</v>
      </c>
      <c r="AQ249" s="104" t="e">
        <f t="shared" si="128"/>
        <v>#N/A</v>
      </c>
      <c r="AR249" s="105" t="str">
        <f t="shared" si="129"/>
        <v/>
      </c>
      <c r="AS249" s="105" t="str">
        <f t="shared" si="130"/>
        <v/>
      </c>
      <c r="AT249" s="108" t="str">
        <f t="shared" si="131"/>
        <v/>
      </c>
      <c r="AU249" s="108" t="str">
        <f t="shared" si="132"/>
        <v/>
      </c>
      <c r="AV249" s="107" t="str">
        <f>IF(ISNUMBER(O249),IF(VLOOKUP($A249,Stand!C:J,8,FALSE)="Short",AT249,AU249),"")</f>
        <v/>
      </c>
      <c r="AW249" s="109" t="str">
        <f t="shared" si="133"/>
        <v/>
      </c>
      <c r="AX249" s="109" t="str">
        <f t="shared" si="134"/>
        <v/>
      </c>
      <c r="AY249" s="112" t="str">
        <f>IF(ISNUMBER(O249),IF(AND(VLOOKUP($D249,Merchantability!$B:$C,2,0)="Yes",$E249&gt;=VLOOKUP($D249,Merchantability!$B:$D,3,0),$E249&lt;=VLOOKUP($D249,Merchantability!$B:$E,4,0)),(AV249*O249)*(1-$H249/100),""),"")</f>
        <v/>
      </c>
      <c r="AZ249" s="116"/>
      <c r="BA249" s="116"/>
      <c r="BB249" s="116"/>
      <c r="BE249" s="62"/>
      <c r="BF249" s="63"/>
    </row>
    <row r="250" spans="1:58" ht="12.75" customHeight="1" x14ac:dyDescent="0.25">
      <c r="A250" s="313"/>
      <c r="B250" s="380"/>
      <c r="C250" s="381"/>
      <c r="D250" s="380"/>
      <c r="E250" s="382"/>
      <c r="F250" s="331"/>
      <c r="G250" s="329"/>
      <c r="H250" s="329"/>
      <c r="I250" s="380"/>
      <c r="J250" s="381"/>
      <c r="K250" s="329"/>
      <c r="L250" s="329"/>
      <c r="M250" s="76"/>
      <c r="N250" s="103" t="str">
        <f>IF(A250="","",VLOOKUP(A250,Stand!C:K,9,0))</f>
        <v/>
      </c>
      <c r="O250" s="104" t="str">
        <f t="shared" si="108"/>
        <v/>
      </c>
      <c r="P250" s="105" t="str">
        <f t="shared" si="109"/>
        <v/>
      </c>
      <c r="Q250" s="105" t="str">
        <f t="shared" si="135"/>
        <v/>
      </c>
      <c r="R250" s="103" t="str">
        <f t="shared" si="111"/>
        <v/>
      </c>
      <c r="S250" s="103" t="str">
        <f t="shared" si="112"/>
        <v/>
      </c>
      <c r="T250" s="106" t="str">
        <f t="shared" si="136"/>
        <v/>
      </c>
      <c r="U250" s="106" t="str">
        <f t="shared" si="137"/>
        <v/>
      </c>
      <c r="V250" s="106" t="str">
        <f t="shared" si="138"/>
        <v/>
      </c>
      <c r="W250" s="105" t="str">
        <f t="shared" si="116"/>
        <v/>
      </c>
      <c r="X250" s="104" t="str">
        <f t="shared" si="117"/>
        <v/>
      </c>
      <c r="Y250" s="104" t="str">
        <f t="array" ref="Y250">IFERROR(IF(ISNUMBER(O250),IF(COUNT(IF(A250=$A$2:$A$2427,IF(D250=$D$2:$D$2427,IF($X$2:$X$2427&gt;0,1))))&gt;0,SUM(IF(A250=$A$2:$A$2427,IF(D250=$D$2:$D$2427,$X$2:$X$2427)))/COUNT(IF(A250=$A$2:$A$2427,IF(D250=$D$2:$D$2427,IF(ISNUMBER($X$2:$X$2427),1)))),0),""),0)</f>
        <v/>
      </c>
      <c r="Z250" s="104" t="str">
        <f>IF(ISNUMBER(O250),IF(I250&gt;0,(10^(VLOOKUP(D250,'Species Codes'!B:C,2,0)+VLOOKUP(D250,'Species Codes'!B:D,3,0)*LOG(E250)+VLOOKUP(D250,'Species Codes'!B:E,4,0)*LOG(I250))),0),"")</f>
        <v/>
      </c>
      <c r="AA250" s="104" t="str">
        <f>IFERROR((VLOOKUP(D250,'Species Codes'!B:G,6,0)*Z250)/2000,"")</f>
        <v/>
      </c>
      <c r="AB250" s="104" t="e">
        <f>IF(Z250&gt;0,((IF(OR(D250="DF",D250="RA")=TRUE,EXP(VLOOKUP(D250,'Species Codes'!B:I,8,0)+VLOOKUP(D250,'Species Codes'!B:J,9,0)*(LN((E250*2.54)))),IF(OR(D250="PY",D250="RC",D250="WH",D250="NF")=TRUE,VLOOKUP(D250,'Species Codes'!B:I,8,0)+VLOOKUP(D250,'Species Codes'!B:J,9,0)*((E250*2.54)^2)*(I250*0.3048),IF(OR(D250="MD",D250="BM",D250="GA")=TRUE,((VLOOKUP(D250,'Species Codes'!B:I,8,0)*(((((E250*2.54)+VLOOKUP(D250,'Species Codes'!B:J,9,0))/VLOOKUP(D250,'Species Codes'!B:K,10,0))^VLOOKUP(D250,'Species Codes'!B:L,11,0))*((I250*0.3048)^VLOOKUP(D250,'Species Codes'!B:M,12,0))))-(VLOOKUP(D250,'Species Codes'!B:I,8,0)*((((E250*2.54)^VLOOKUP(D250,'Species Codes'!B:L,11,0))*((I250*0.3048)^VLOOKUP(D250,'Species Codes'!B:M,12,0))))))*35.3*VLOOKUP(D250,'Species Codes'!B:G,6,0)/2.2046,VLOOKUP(D250,'Species Codes'!B:I,8,0)+VLOOKUP(D250,'Species Codes'!B:J,9,0)*(((E250*2.54)/100)^2)*(I250*0.3048)))))*0.0011023),0)</f>
        <v>#N/A</v>
      </c>
      <c r="AC250" s="104" t="e">
        <f>IF(Z250&gt;0,((IF(OR(D250="RA",D250="OA",D250="OT",D250="UN",D250="PC"),EXP(VLOOKUP(D250,'Species Codes'!B:O,14,0)+VLOOKUP(D250,'Species Codes'!B:P,15,0)*LN((E250*2.54)))-EXP(VLOOKUP(D250,'Species Codes'!B:O,14,0)+VLOOKUP(D250,'Species Codes'!B:P,15,0)*LN((E250*2.54)))*(1/(VLOOKUP(D250,'Species Codes'!B:Q,16,0)+VLOOKUP(D250,'Species Codes'!B:R,17,0)*((E250*2.54)^VLOOKUP(D250,'Species Codes'!B:S,18,0)))),IF(OR(D250="BM",D250="MD",D250="OA"),EXP(VLOOKUP(D250,'Species Codes'!B:O,14,0)+VLOOKUP(D250,'Species Codes'!B:P,15,0)*LN((E250*2.54)))*(1-(1/(VLOOKUP(D250,'Species Codes'!B:Q,16,0)+VLOOKUP(D250,'Species Codes'!B:R,17,0)*((E250*2.54)^VLOOKUP(D250,'Species Codes'!B:S,18,0)))))/1000,IF(D250="DF",EXP(VLOOKUP(D250,'Species Codes'!B:O,14,0)+VLOOKUP(D250,'Species Codes'!B:P,15,0)*LN((E250*2.54))),VLOOKUP(D250,'Species Codes'!B:O,14,0)+VLOOKUP(D250,'Species Codes'!B:P,15,0)*(((E250*2.54)/100)^2)*(I250*0.3048)))))*0.0011023),0)</f>
        <v>#N/A</v>
      </c>
      <c r="AD250" s="104" t="e">
        <f t="shared" si="139"/>
        <v>#N/A</v>
      </c>
      <c r="AE250" s="104" t="e">
        <f t="shared" si="140"/>
        <v>#N/A</v>
      </c>
      <c r="AF250" s="104" t="e">
        <f>IF(AND(VLOOKUP($D250,Merchantability!$B:$C,2,0)="Yes",$E250&gt;=VLOOKUP($D250,Merchantability!$B:$D,3,0),$E250&lt;=VLOOKUP($D250,Merchantability!$B:$E,4,0)),AA250,0)</f>
        <v>#N/A</v>
      </c>
      <c r="AG250" s="104" t="e">
        <f>IF(AND(VLOOKUP($D250,Merchantability!$B:$C,2,0)="Yes",$E250&gt;=VLOOKUP($D250,Merchantability!$B:$D,3,0),$E250&lt;=VLOOKUP($D250,Merchantability!$B:$E,4,0)),AB250,0)</f>
        <v>#N/A</v>
      </c>
      <c r="AH250" s="104" t="e">
        <f>IF(AND(VLOOKUP($D250,Merchantability!$B:$C,2,0)="Yes",$E250&gt;=VLOOKUP($D250,Merchantability!$B:$D,3,0),$E250&lt;=VLOOKUP($D250,Merchantability!$B:$E,4,0)),AC250,0)</f>
        <v>#N/A</v>
      </c>
      <c r="AI250" s="104" t="e">
        <f t="shared" si="141"/>
        <v>#N/A</v>
      </c>
      <c r="AJ250" s="104" t="e">
        <f t="shared" si="142"/>
        <v>#VALUE!</v>
      </c>
      <c r="AK250" s="104" t="e">
        <f t="shared" si="143"/>
        <v>#N/A</v>
      </c>
      <c r="AL250" s="104" t="e">
        <f t="shared" si="144"/>
        <v>#N/A</v>
      </c>
      <c r="AM250" s="104" t="e">
        <f t="shared" si="145"/>
        <v>#N/A</v>
      </c>
      <c r="AN250" s="104" t="e">
        <f t="shared" si="125"/>
        <v>#N/A</v>
      </c>
      <c r="AO250" s="104" t="e">
        <f t="shared" si="126"/>
        <v>#N/A</v>
      </c>
      <c r="AP250" s="104" t="e">
        <f t="shared" si="127"/>
        <v>#N/A</v>
      </c>
      <c r="AQ250" s="104" t="e">
        <f t="shared" si="128"/>
        <v>#N/A</v>
      </c>
      <c r="AR250" s="105" t="str">
        <f t="shared" si="129"/>
        <v/>
      </c>
      <c r="AS250" s="105" t="str">
        <f t="shared" si="130"/>
        <v/>
      </c>
      <c r="AT250" s="108" t="str">
        <f t="shared" si="131"/>
        <v/>
      </c>
      <c r="AU250" s="108" t="str">
        <f t="shared" si="132"/>
        <v/>
      </c>
      <c r="AV250" s="107" t="str">
        <f>IF(ISNUMBER(O250),IF(VLOOKUP($A250,Stand!C:J,8,FALSE)="Short",AT250,AU250),"")</f>
        <v/>
      </c>
      <c r="AW250" s="109" t="str">
        <f t="shared" si="133"/>
        <v/>
      </c>
      <c r="AX250" s="109" t="str">
        <f t="shared" si="134"/>
        <v/>
      </c>
      <c r="AY250" s="112" t="str">
        <f>IF(ISNUMBER(O250),IF(AND(VLOOKUP($D250,Merchantability!$B:$C,2,0)="Yes",$E250&gt;=VLOOKUP($D250,Merchantability!$B:$D,3,0),$E250&lt;=VLOOKUP($D250,Merchantability!$B:$E,4,0)),(AV250*O250)*(1-$H250/100),""),"")</f>
        <v/>
      </c>
      <c r="AZ250" s="116"/>
      <c r="BA250" s="116"/>
      <c r="BB250" s="116"/>
      <c r="BE250" s="62"/>
      <c r="BF250" s="63"/>
    </row>
    <row r="251" spans="1:58" ht="12.75" customHeight="1" x14ac:dyDescent="0.25">
      <c r="A251" s="313"/>
      <c r="B251" s="380"/>
      <c r="C251" s="381"/>
      <c r="D251" s="380"/>
      <c r="E251" s="382"/>
      <c r="F251" s="331"/>
      <c r="G251" s="329"/>
      <c r="H251" s="329"/>
      <c r="I251" s="380"/>
      <c r="J251" s="381"/>
      <c r="K251" s="329"/>
      <c r="L251" s="329"/>
      <c r="M251" s="76"/>
      <c r="N251" s="103" t="str">
        <f>IF(A251="","",VLOOKUP(A251,Stand!C:K,9,0))</f>
        <v/>
      </c>
      <c r="O251" s="104" t="str">
        <f t="shared" si="108"/>
        <v/>
      </c>
      <c r="P251" s="105" t="str">
        <f t="shared" si="109"/>
        <v/>
      </c>
      <c r="Q251" s="105" t="str">
        <f t="shared" si="135"/>
        <v/>
      </c>
      <c r="R251" s="103" t="str">
        <f t="shared" si="111"/>
        <v/>
      </c>
      <c r="S251" s="103" t="str">
        <f t="shared" si="112"/>
        <v/>
      </c>
      <c r="T251" s="106" t="str">
        <f t="shared" si="136"/>
        <v/>
      </c>
      <c r="U251" s="106" t="str">
        <f t="shared" si="137"/>
        <v/>
      </c>
      <c r="V251" s="106" t="str">
        <f t="shared" si="138"/>
        <v/>
      </c>
      <c r="W251" s="105" t="str">
        <f t="shared" si="116"/>
        <v/>
      </c>
      <c r="X251" s="104" t="str">
        <f t="shared" si="117"/>
        <v/>
      </c>
      <c r="Y251" s="104" t="str">
        <f t="array" ref="Y251">IFERROR(IF(ISNUMBER(O251),IF(COUNT(IF(A251=$A$2:$A$2427,IF(D251=$D$2:$D$2427,IF($X$2:$X$2427&gt;0,1))))&gt;0,SUM(IF(A251=$A$2:$A$2427,IF(D251=$D$2:$D$2427,$X$2:$X$2427)))/COUNT(IF(A251=$A$2:$A$2427,IF(D251=$D$2:$D$2427,IF(ISNUMBER($X$2:$X$2427),1)))),0),""),0)</f>
        <v/>
      </c>
      <c r="Z251" s="104" t="str">
        <f>IF(ISNUMBER(O251),IF(I251&gt;0,(10^(VLOOKUP(D251,'Species Codes'!B:C,2,0)+VLOOKUP(D251,'Species Codes'!B:D,3,0)*LOG(E251)+VLOOKUP(D251,'Species Codes'!B:E,4,0)*LOG(I251))),0),"")</f>
        <v/>
      </c>
      <c r="AA251" s="104" t="str">
        <f>IFERROR((VLOOKUP(D251,'Species Codes'!B:G,6,0)*Z251)/2000,"")</f>
        <v/>
      </c>
      <c r="AB251" s="104" t="e">
        <f>IF(Z251&gt;0,((IF(OR(D251="DF",D251="RA")=TRUE,EXP(VLOOKUP(D251,'Species Codes'!B:I,8,0)+VLOOKUP(D251,'Species Codes'!B:J,9,0)*(LN((E251*2.54)))),IF(OR(D251="PY",D251="RC",D251="WH",D251="NF")=TRUE,VLOOKUP(D251,'Species Codes'!B:I,8,0)+VLOOKUP(D251,'Species Codes'!B:J,9,0)*((E251*2.54)^2)*(I251*0.3048),IF(OR(D251="MD",D251="BM",D251="GA")=TRUE,((VLOOKUP(D251,'Species Codes'!B:I,8,0)*(((((E251*2.54)+VLOOKUP(D251,'Species Codes'!B:J,9,0))/VLOOKUP(D251,'Species Codes'!B:K,10,0))^VLOOKUP(D251,'Species Codes'!B:L,11,0))*((I251*0.3048)^VLOOKUP(D251,'Species Codes'!B:M,12,0))))-(VLOOKUP(D251,'Species Codes'!B:I,8,0)*((((E251*2.54)^VLOOKUP(D251,'Species Codes'!B:L,11,0))*((I251*0.3048)^VLOOKUP(D251,'Species Codes'!B:M,12,0))))))*35.3*VLOOKUP(D251,'Species Codes'!B:G,6,0)/2.2046,VLOOKUP(D251,'Species Codes'!B:I,8,0)+VLOOKUP(D251,'Species Codes'!B:J,9,0)*(((E251*2.54)/100)^2)*(I251*0.3048)))))*0.0011023),0)</f>
        <v>#N/A</v>
      </c>
      <c r="AC251" s="104" t="e">
        <f>IF(Z251&gt;0,((IF(OR(D251="RA",D251="OA",D251="OT",D251="UN",D251="PC"),EXP(VLOOKUP(D251,'Species Codes'!B:O,14,0)+VLOOKUP(D251,'Species Codes'!B:P,15,0)*LN((E251*2.54)))-EXP(VLOOKUP(D251,'Species Codes'!B:O,14,0)+VLOOKUP(D251,'Species Codes'!B:P,15,0)*LN((E251*2.54)))*(1/(VLOOKUP(D251,'Species Codes'!B:Q,16,0)+VLOOKUP(D251,'Species Codes'!B:R,17,0)*((E251*2.54)^VLOOKUP(D251,'Species Codes'!B:S,18,0)))),IF(OR(D251="BM",D251="MD",D251="OA"),EXP(VLOOKUP(D251,'Species Codes'!B:O,14,0)+VLOOKUP(D251,'Species Codes'!B:P,15,0)*LN((E251*2.54)))*(1-(1/(VLOOKUP(D251,'Species Codes'!B:Q,16,0)+VLOOKUP(D251,'Species Codes'!B:R,17,0)*((E251*2.54)^VLOOKUP(D251,'Species Codes'!B:S,18,0)))))/1000,IF(D251="DF",EXP(VLOOKUP(D251,'Species Codes'!B:O,14,0)+VLOOKUP(D251,'Species Codes'!B:P,15,0)*LN((E251*2.54))),VLOOKUP(D251,'Species Codes'!B:O,14,0)+VLOOKUP(D251,'Species Codes'!B:P,15,0)*(((E251*2.54)/100)^2)*(I251*0.3048)))))*0.0011023),0)</f>
        <v>#N/A</v>
      </c>
      <c r="AD251" s="104" t="e">
        <f t="shared" si="139"/>
        <v>#N/A</v>
      </c>
      <c r="AE251" s="104" t="e">
        <f t="shared" si="140"/>
        <v>#N/A</v>
      </c>
      <c r="AF251" s="104" t="e">
        <f>IF(AND(VLOOKUP($D251,Merchantability!$B:$C,2,0)="Yes",$E251&gt;=VLOOKUP($D251,Merchantability!$B:$D,3,0),$E251&lt;=VLOOKUP($D251,Merchantability!$B:$E,4,0)),AA251,0)</f>
        <v>#N/A</v>
      </c>
      <c r="AG251" s="104" t="e">
        <f>IF(AND(VLOOKUP($D251,Merchantability!$B:$C,2,0)="Yes",$E251&gt;=VLOOKUP($D251,Merchantability!$B:$D,3,0),$E251&lt;=VLOOKUP($D251,Merchantability!$B:$E,4,0)),AB251,0)</f>
        <v>#N/A</v>
      </c>
      <c r="AH251" s="104" t="e">
        <f>IF(AND(VLOOKUP($D251,Merchantability!$B:$C,2,0)="Yes",$E251&gt;=VLOOKUP($D251,Merchantability!$B:$D,3,0),$E251&lt;=VLOOKUP($D251,Merchantability!$B:$E,4,0)),AC251,0)</f>
        <v>#N/A</v>
      </c>
      <c r="AI251" s="104" t="e">
        <f t="shared" si="141"/>
        <v>#N/A</v>
      </c>
      <c r="AJ251" s="104" t="e">
        <f t="shared" si="142"/>
        <v>#VALUE!</v>
      </c>
      <c r="AK251" s="104" t="e">
        <f t="shared" si="143"/>
        <v>#N/A</v>
      </c>
      <c r="AL251" s="104" t="e">
        <f t="shared" si="144"/>
        <v>#N/A</v>
      </c>
      <c r="AM251" s="104" t="e">
        <f t="shared" si="145"/>
        <v>#N/A</v>
      </c>
      <c r="AN251" s="104" t="e">
        <f t="shared" si="125"/>
        <v>#N/A</v>
      </c>
      <c r="AO251" s="104" t="e">
        <f t="shared" si="126"/>
        <v>#N/A</v>
      </c>
      <c r="AP251" s="104" t="e">
        <f t="shared" si="127"/>
        <v>#N/A</v>
      </c>
      <c r="AQ251" s="104" t="e">
        <f t="shared" si="128"/>
        <v>#N/A</v>
      </c>
      <c r="AR251" s="105" t="str">
        <f t="shared" si="129"/>
        <v/>
      </c>
      <c r="AS251" s="105" t="str">
        <f t="shared" si="130"/>
        <v/>
      </c>
      <c r="AT251" s="108" t="str">
        <f t="shared" si="131"/>
        <v/>
      </c>
      <c r="AU251" s="108" t="str">
        <f t="shared" si="132"/>
        <v/>
      </c>
      <c r="AV251" s="107" t="str">
        <f>IF(ISNUMBER(O251),IF(VLOOKUP($A251,Stand!C:J,8,FALSE)="Short",AT251,AU251),"")</f>
        <v/>
      </c>
      <c r="AW251" s="109" t="str">
        <f t="shared" si="133"/>
        <v/>
      </c>
      <c r="AX251" s="109" t="str">
        <f t="shared" si="134"/>
        <v/>
      </c>
      <c r="AY251" s="112" t="str">
        <f>IF(ISNUMBER(O251),IF(AND(VLOOKUP($D251,Merchantability!$B:$C,2,0)="Yes",$E251&gt;=VLOOKUP($D251,Merchantability!$B:$D,3,0),$E251&lt;=VLOOKUP($D251,Merchantability!$B:$E,4,0)),(AV251*O251)*(1-$H251/100),""),"")</f>
        <v/>
      </c>
      <c r="AZ251" s="116"/>
      <c r="BA251" s="116"/>
      <c r="BB251" s="116"/>
      <c r="BE251" s="62"/>
      <c r="BF251" s="63"/>
    </row>
    <row r="252" spans="1:58" ht="12.75" customHeight="1" x14ac:dyDescent="0.25">
      <c r="A252" s="313"/>
      <c r="B252" s="380"/>
      <c r="C252" s="381"/>
      <c r="D252" s="380"/>
      <c r="E252" s="382"/>
      <c r="F252" s="331"/>
      <c r="G252" s="329"/>
      <c r="H252" s="329"/>
      <c r="I252" s="380"/>
      <c r="J252" s="381"/>
      <c r="K252" s="329"/>
      <c r="L252" s="329"/>
      <c r="M252" s="76"/>
      <c r="N252" s="103" t="str">
        <f>IF(A252="","",VLOOKUP(A252,Stand!C:K,9,0))</f>
        <v/>
      </c>
      <c r="O252" s="104" t="str">
        <f t="shared" si="108"/>
        <v/>
      </c>
      <c r="P252" s="105" t="str">
        <f t="shared" si="109"/>
        <v/>
      </c>
      <c r="Q252" s="105" t="str">
        <f t="shared" si="135"/>
        <v/>
      </c>
      <c r="R252" s="103" t="str">
        <f t="shared" si="111"/>
        <v/>
      </c>
      <c r="S252" s="103" t="str">
        <f t="shared" si="112"/>
        <v/>
      </c>
      <c r="T252" s="106" t="str">
        <f t="shared" si="136"/>
        <v/>
      </c>
      <c r="U252" s="106" t="str">
        <f t="shared" si="137"/>
        <v/>
      </c>
      <c r="V252" s="106" t="str">
        <f t="shared" si="138"/>
        <v/>
      </c>
      <c r="W252" s="105" t="str">
        <f t="shared" si="116"/>
        <v/>
      </c>
      <c r="X252" s="104" t="str">
        <f t="shared" si="117"/>
        <v/>
      </c>
      <c r="Y252" s="104" t="str">
        <f t="array" ref="Y252">IFERROR(IF(ISNUMBER(O252),IF(COUNT(IF(A252=$A$2:$A$2427,IF(D252=$D$2:$D$2427,IF($X$2:$X$2427&gt;0,1))))&gt;0,SUM(IF(A252=$A$2:$A$2427,IF(D252=$D$2:$D$2427,$X$2:$X$2427)))/COUNT(IF(A252=$A$2:$A$2427,IF(D252=$D$2:$D$2427,IF(ISNUMBER($X$2:$X$2427),1)))),0),""),0)</f>
        <v/>
      </c>
      <c r="Z252" s="104" t="str">
        <f>IF(ISNUMBER(O252),IF(I252&gt;0,(10^(VLOOKUP(D252,'Species Codes'!B:C,2,0)+VLOOKUP(D252,'Species Codes'!B:D,3,0)*LOG(E252)+VLOOKUP(D252,'Species Codes'!B:E,4,0)*LOG(I252))),0),"")</f>
        <v/>
      </c>
      <c r="AA252" s="104" t="str">
        <f>IFERROR((VLOOKUP(D252,'Species Codes'!B:G,6,0)*Z252)/2000,"")</f>
        <v/>
      </c>
      <c r="AB252" s="104" t="e">
        <f>IF(Z252&gt;0,((IF(OR(D252="DF",D252="RA")=TRUE,EXP(VLOOKUP(D252,'Species Codes'!B:I,8,0)+VLOOKUP(D252,'Species Codes'!B:J,9,0)*(LN((E252*2.54)))),IF(OR(D252="PY",D252="RC",D252="WH",D252="NF")=TRUE,VLOOKUP(D252,'Species Codes'!B:I,8,0)+VLOOKUP(D252,'Species Codes'!B:J,9,0)*((E252*2.54)^2)*(I252*0.3048),IF(OR(D252="MD",D252="BM",D252="GA")=TRUE,((VLOOKUP(D252,'Species Codes'!B:I,8,0)*(((((E252*2.54)+VLOOKUP(D252,'Species Codes'!B:J,9,0))/VLOOKUP(D252,'Species Codes'!B:K,10,0))^VLOOKUP(D252,'Species Codes'!B:L,11,0))*((I252*0.3048)^VLOOKUP(D252,'Species Codes'!B:M,12,0))))-(VLOOKUP(D252,'Species Codes'!B:I,8,0)*((((E252*2.54)^VLOOKUP(D252,'Species Codes'!B:L,11,0))*((I252*0.3048)^VLOOKUP(D252,'Species Codes'!B:M,12,0))))))*35.3*VLOOKUP(D252,'Species Codes'!B:G,6,0)/2.2046,VLOOKUP(D252,'Species Codes'!B:I,8,0)+VLOOKUP(D252,'Species Codes'!B:J,9,0)*(((E252*2.54)/100)^2)*(I252*0.3048)))))*0.0011023),0)</f>
        <v>#N/A</v>
      </c>
      <c r="AC252" s="104" t="e">
        <f>IF(Z252&gt;0,((IF(OR(D252="RA",D252="OA",D252="OT",D252="UN",D252="PC"),EXP(VLOOKUP(D252,'Species Codes'!B:O,14,0)+VLOOKUP(D252,'Species Codes'!B:P,15,0)*LN((E252*2.54)))-EXP(VLOOKUP(D252,'Species Codes'!B:O,14,0)+VLOOKUP(D252,'Species Codes'!B:P,15,0)*LN((E252*2.54)))*(1/(VLOOKUP(D252,'Species Codes'!B:Q,16,0)+VLOOKUP(D252,'Species Codes'!B:R,17,0)*((E252*2.54)^VLOOKUP(D252,'Species Codes'!B:S,18,0)))),IF(OR(D252="BM",D252="MD",D252="OA"),EXP(VLOOKUP(D252,'Species Codes'!B:O,14,0)+VLOOKUP(D252,'Species Codes'!B:P,15,0)*LN((E252*2.54)))*(1-(1/(VLOOKUP(D252,'Species Codes'!B:Q,16,0)+VLOOKUP(D252,'Species Codes'!B:R,17,0)*((E252*2.54)^VLOOKUP(D252,'Species Codes'!B:S,18,0)))))/1000,IF(D252="DF",EXP(VLOOKUP(D252,'Species Codes'!B:O,14,0)+VLOOKUP(D252,'Species Codes'!B:P,15,0)*LN((E252*2.54))),VLOOKUP(D252,'Species Codes'!B:O,14,0)+VLOOKUP(D252,'Species Codes'!B:P,15,0)*(((E252*2.54)/100)^2)*(I252*0.3048)))))*0.0011023),0)</f>
        <v>#N/A</v>
      </c>
      <c r="AD252" s="104" t="e">
        <f t="shared" si="139"/>
        <v>#N/A</v>
      </c>
      <c r="AE252" s="104" t="e">
        <f t="shared" si="140"/>
        <v>#N/A</v>
      </c>
      <c r="AF252" s="104" t="e">
        <f>IF(AND(VLOOKUP($D252,Merchantability!$B:$C,2,0)="Yes",$E252&gt;=VLOOKUP($D252,Merchantability!$B:$D,3,0),$E252&lt;=VLOOKUP($D252,Merchantability!$B:$E,4,0)),AA252,0)</f>
        <v>#N/A</v>
      </c>
      <c r="AG252" s="104" t="e">
        <f>IF(AND(VLOOKUP($D252,Merchantability!$B:$C,2,0)="Yes",$E252&gt;=VLOOKUP($D252,Merchantability!$B:$D,3,0),$E252&lt;=VLOOKUP($D252,Merchantability!$B:$E,4,0)),AB252,0)</f>
        <v>#N/A</v>
      </c>
      <c r="AH252" s="104" t="e">
        <f>IF(AND(VLOOKUP($D252,Merchantability!$B:$C,2,0)="Yes",$E252&gt;=VLOOKUP($D252,Merchantability!$B:$D,3,0),$E252&lt;=VLOOKUP($D252,Merchantability!$B:$E,4,0)),AC252,0)</f>
        <v>#N/A</v>
      </c>
      <c r="AI252" s="104" t="e">
        <f t="shared" si="141"/>
        <v>#N/A</v>
      </c>
      <c r="AJ252" s="104" t="e">
        <f t="shared" si="142"/>
        <v>#VALUE!</v>
      </c>
      <c r="AK252" s="104" t="e">
        <f t="shared" si="143"/>
        <v>#N/A</v>
      </c>
      <c r="AL252" s="104" t="e">
        <f t="shared" si="144"/>
        <v>#N/A</v>
      </c>
      <c r="AM252" s="104" t="e">
        <f t="shared" si="145"/>
        <v>#N/A</v>
      </c>
      <c r="AN252" s="104" t="e">
        <f t="shared" si="125"/>
        <v>#N/A</v>
      </c>
      <c r="AO252" s="104" t="e">
        <f t="shared" si="126"/>
        <v>#N/A</v>
      </c>
      <c r="AP252" s="104" t="e">
        <f t="shared" si="127"/>
        <v>#N/A</v>
      </c>
      <c r="AQ252" s="104" t="e">
        <f t="shared" si="128"/>
        <v>#N/A</v>
      </c>
      <c r="AR252" s="105" t="str">
        <f t="shared" si="129"/>
        <v/>
      </c>
      <c r="AS252" s="105" t="str">
        <f t="shared" si="130"/>
        <v/>
      </c>
      <c r="AT252" s="108" t="str">
        <f t="shared" si="131"/>
        <v/>
      </c>
      <c r="AU252" s="108" t="str">
        <f t="shared" si="132"/>
        <v/>
      </c>
      <c r="AV252" s="107" t="str">
        <f>IF(ISNUMBER(O252),IF(VLOOKUP($A252,Stand!C:J,8,FALSE)="Short",AT252,AU252),"")</f>
        <v/>
      </c>
      <c r="AW252" s="109" t="str">
        <f t="shared" si="133"/>
        <v/>
      </c>
      <c r="AX252" s="109" t="str">
        <f t="shared" si="134"/>
        <v/>
      </c>
      <c r="AY252" s="112" t="str">
        <f>IF(ISNUMBER(O252),IF(AND(VLOOKUP($D252,Merchantability!$B:$C,2,0)="Yes",$E252&gt;=VLOOKUP($D252,Merchantability!$B:$D,3,0),$E252&lt;=VLOOKUP($D252,Merchantability!$B:$E,4,0)),(AV252*O252)*(1-$H252/100),""),"")</f>
        <v/>
      </c>
      <c r="AZ252" s="116"/>
      <c r="BA252" s="116"/>
      <c r="BB252" s="116"/>
      <c r="BE252" s="62"/>
      <c r="BF252" s="63"/>
    </row>
    <row r="253" spans="1:58" ht="12.75" customHeight="1" x14ac:dyDescent="0.25">
      <c r="A253" s="313"/>
      <c r="B253" s="380"/>
      <c r="C253" s="381"/>
      <c r="D253" s="380"/>
      <c r="E253" s="382"/>
      <c r="F253" s="331"/>
      <c r="G253" s="329"/>
      <c r="H253" s="329"/>
      <c r="I253" s="380"/>
      <c r="J253" s="381"/>
      <c r="K253" s="329"/>
      <c r="L253" s="329"/>
      <c r="M253" s="76"/>
      <c r="N253" s="103" t="str">
        <f>IF(A253="","",VLOOKUP(A253,Stand!C:K,9,0))</f>
        <v/>
      </c>
      <c r="O253" s="104" t="str">
        <f t="shared" si="108"/>
        <v/>
      </c>
      <c r="P253" s="105" t="str">
        <f t="shared" si="109"/>
        <v/>
      </c>
      <c r="Q253" s="105" t="str">
        <f t="shared" si="135"/>
        <v/>
      </c>
      <c r="R253" s="103" t="str">
        <f t="shared" si="111"/>
        <v/>
      </c>
      <c r="S253" s="103" t="str">
        <f t="shared" si="112"/>
        <v/>
      </c>
      <c r="T253" s="106" t="str">
        <f t="shared" si="136"/>
        <v/>
      </c>
      <c r="U253" s="106" t="str">
        <f t="shared" si="137"/>
        <v/>
      </c>
      <c r="V253" s="106" t="str">
        <f t="shared" si="138"/>
        <v/>
      </c>
      <c r="W253" s="105" t="str">
        <f t="shared" si="116"/>
        <v/>
      </c>
      <c r="X253" s="104" t="str">
        <f t="shared" si="117"/>
        <v/>
      </c>
      <c r="Y253" s="104" t="str">
        <f t="array" ref="Y253">IFERROR(IF(ISNUMBER(O253),IF(COUNT(IF(A253=$A$2:$A$2427,IF(D253=$D$2:$D$2427,IF($X$2:$X$2427&gt;0,1))))&gt;0,SUM(IF(A253=$A$2:$A$2427,IF(D253=$D$2:$D$2427,$X$2:$X$2427)))/COUNT(IF(A253=$A$2:$A$2427,IF(D253=$D$2:$D$2427,IF(ISNUMBER($X$2:$X$2427),1)))),0),""),0)</f>
        <v/>
      </c>
      <c r="Z253" s="104" t="str">
        <f>IF(ISNUMBER(O253),IF(I253&gt;0,(10^(VLOOKUP(D253,'Species Codes'!B:C,2,0)+VLOOKUP(D253,'Species Codes'!B:D,3,0)*LOG(E253)+VLOOKUP(D253,'Species Codes'!B:E,4,0)*LOG(I253))),0),"")</f>
        <v/>
      </c>
      <c r="AA253" s="104" t="str">
        <f>IFERROR((VLOOKUP(D253,'Species Codes'!B:G,6,0)*Z253)/2000,"")</f>
        <v/>
      </c>
      <c r="AB253" s="104" t="e">
        <f>IF(Z253&gt;0,((IF(OR(D253="DF",D253="RA")=TRUE,EXP(VLOOKUP(D253,'Species Codes'!B:I,8,0)+VLOOKUP(D253,'Species Codes'!B:J,9,0)*(LN((E253*2.54)))),IF(OR(D253="PY",D253="RC",D253="WH",D253="NF")=TRUE,VLOOKUP(D253,'Species Codes'!B:I,8,0)+VLOOKUP(D253,'Species Codes'!B:J,9,0)*((E253*2.54)^2)*(I253*0.3048),IF(OR(D253="MD",D253="BM",D253="GA")=TRUE,((VLOOKUP(D253,'Species Codes'!B:I,8,0)*(((((E253*2.54)+VLOOKUP(D253,'Species Codes'!B:J,9,0))/VLOOKUP(D253,'Species Codes'!B:K,10,0))^VLOOKUP(D253,'Species Codes'!B:L,11,0))*((I253*0.3048)^VLOOKUP(D253,'Species Codes'!B:M,12,0))))-(VLOOKUP(D253,'Species Codes'!B:I,8,0)*((((E253*2.54)^VLOOKUP(D253,'Species Codes'!B:L,11,0))*((I253*0.3048)^VLOOKUP(D253,'Species Codes'!B:M,12,0))))))*35.3*VLOOKUP(D253,'Species Codes'!B:G,6,0)/2.2046,VLOOKUP(D253,'Species Codes'!B:I,8,0)+VLOOKUP(D253,'Species Codes'!B:J,9,0)*(((E253*2.54)/100)^2)*(I253*0.3048)))))*0.0011023),0)</f>
        <v>#N/A</v>
      </c>
      <c r="AC253" s="104" t="e">
        <f>IF(Z253&gt;0,((IF(OR(D253="RA",D253="OA",D253="OT",D253="UN",D253="PC"),EXP(VLOOKUP(D253,'Species Codes'!B:O,14,0)+VLOOKUP(D253,'Species Codes'!B:P,15,0)*LN((E253*2.54)))-EXP(VLOOKUP(D253,'Species Codes'!B:O,14,0)+VLOOKUP(D253,'Species Codes'!B:P,15,0)*LN((E253*2.54)))*(1/(VLOOKUP(D253,'Species Codes'!B:Q,16,0)+VLOOKUP(D253,'Species Codes'!B:R,17,0)*((E253*2.54)^VLOOKUP(D253,'Species Codes'!B:S,18,0)))),IF(OR(D253="BM",D253="MD",D253="OA"),EXP(VLOOKUP(D253,'Species Codes'!B:O,14,0)+VLOOKUP(D253,'Species Codes'!B:P,15,0)*LN((E253*2.54)))*(1-(1/(VLOOKUP(D253,'Species Codes'!B:Q,16,0)+VLOOKUP(D253,'Species Codes'!B:R,17,0)*((E253*2.54)^VLOOKUP(D253,'Species Codes'!B:S,18,0)))))/1000,IF(D253="DF",EXP(VLOOKUP(D253,'Species Codes'!B:O,14,0)+VLOOKUP(D253,'Species Codes'!B:P,15,0)*LN((E253*2.54))),VLOOKUP(D253,'Species Codes'!B:O,14,0)+VLOOKUP(D253,'Species Codes'!B:P,15,0)*(((E253*2.54)/100)^2)*(I253*0.3048)))))*0.0011023),0)</f>
        <v>#N/A</v>
      </c>
      <c r="AD253" s="104" t="e">
        <f t="shared" si="139"/>
        <v>#N/A</v>
      </c>
      <c r="AE253" s="104" t="e">
        <f t="shared" si="140"/>
        <v>#N/A</v>
      </c>
      <c r="AF253" s="104" t="e">
        <f>IF(AND(VLOOKUP($D253,Merchantability!$B:$C,2,0)="Yes",$E253&gt;=VLOOKUP($D253,Merchantability!$B:$D,3,0),$E253&lt;=VLOOKUP($D253,Merchantability!$B:$E,4,0)),AA253,0)</f>
        <v>#N/A</v>
      </c>
      <c r="AG253" s="104" t="e">
        <f>IF(AND(VLOOKUP($D253,Merchantability!$B:$C,2,0)="Yes",$E253&gt;=VLOOKUP($D253,Merchantability!$B:$D,3,0),$E253&lt;=VLOOKUP($D253,Merchantability!$B:$E,4,0)),AB253,0)</f>
        <v>#N/A</v>
      </c>
      <c r="AH253" s="104" t="e">
        <f>IF(AND(VLOOKUP($D253,Merchantability!$B:$C,2,0)="Yes",$E253&gt;=VLOOKUP($D253,Merchantability!$B:$D,3,0),$E253&lt;=VLOOKUP($D253,Merchantability!$B:$E,4,0)),AC253,0)</f>
        <v>#N/A</v>
      </c>
      <c r="AI253" s="104" t="e">
        <f t="shared" si="141"/>
        <v>#N/A</v>
      </c>
      <c r="AJ253" s="104" t="e">
        <f t="shared" si="142"/>
        <v>#VALUE!</v>
      </c>
      <c r="AK253" s="104" t="e">
        <f t="shared" si="143"/>
        <v>#N/A</v>
      </c>
      <c r="AL253" s="104" t="e">
        <f t="shared" si="144"/>
        <v>#N/A</v>
      </c>
      <c r="AM253" s="104" t="e">
        <f t="shared" si="145"/>
        <v>#N/A</v>
      </c>
      <c r="AN253" s="104" t="e">
        <f t="shared" si="125"/>
        <v>#N/A</v>
      </c>
      <c r="AO253" s="104" t="e">
        <f t="shared" si="126"/>
        <v>#N/A</v>
      </c>
      <c r="AP253" s="104" t="e">
        <f t="shared" si="127"/>
        <v>#N/A</v>
      </c>
      <c r="AQ253" s="104" t="e">
        <f t="shared" si="128"/>
        <v>#N/A</v>
      </c>
      <c r="AR253" s="105" t="str">
        <f t="shared" si="129"/>
        <v/>
      </c>
      <c r="AS253" s="105" t="str">
        <f t="shared" si="130"/>
        <v/>
      </c>
      <c r="AT253" s="108" t="str">
        <f t="shared" si="131"/>
        <v/>
      </c>
      <c r="AU253" s="108" t="str">
        <f t="shared" si="132"/>
        <v/>
      </c>
      <c r="AV253" s="107" t="str">
        <f>IF(ISNUMBER(O253),IF(VLOOKUP($A253,Stand!C:J,8,FALSE)="Short",AT253,AU253),"")</f>
        <v/>
      </c>
      <c r="AW253" s="109" t="str">
        <f t="shared" si="133"/>
        <v/>
      </c>
      <c r="AX253" s="109" t="str">
        <f t="shared" si="134"/>
        <v/>
      </c>
      <c r="AY253" s="112" t="str">
        <f>IF(ISNUMBER(O253),IF(AND(VLOOKUP($D253,Merchantability!$B:$C,2,0)="Yes",$E253&gt;=VLOOKUP($D253,Merchantability!$B:$D,3,0),$E253&lt;=VLOOKUP($D253,Merchantability!$B:$E,4,0)),(AV253*O253)*(1-$H253/100),""),"")</f>
        <v/>
      </c>
      <c r="AZ253" s="116"/>
      <c r="BA253" s="116"/>
      <c r="BB253" s="116"/>
      <c r="BE253" s="62"/>
      <c r="BF253" s="63"/>
    </row>
    <row r="254" spans="1:58" ht="12.75" customHeight="1" x14ac:dyDescent="0.25">
      <c r="A254" s="313"/>
      <c r="B254" s="380"/>
      <c r="C254" s="381"/>
      <c r="D254" s="380"/>
      <c r="E254" s="382"/>
      <c r="F254" s="331"/>
      <c r="G254" s="329"/>
      <c r="H254" s="329"/>
      <c r="I254" s="380"/>
      <c r="J254" s="381"/>
      <c r="K254" s="329"/>
      <c r="L254" s="329"/>
      <c r="M254" s="76"/>
      <c r="N254" s="103" t="str">
        <f>IF(A254="","",VLOOKUP(A254,Stand!C:K,9,0))</f>
        <v/>
      </c>
      <c r="O254" s="104" t="str">
        <f t="shared" si="108"/>
        <v/>
      </c>
      <c r="P254" s="105" t="str">
        <f t="shared" si="109"/>
        <v/>
      </c>
      <c r="Q254" s="105" t="str">
        <f t="shared" si="135"/>
        <v/>
      </c>
      <c r="R254" s="103" t="str">
        <f t="shared" si="111"/>
        <v/>
      </c>
      <c r="S254" s="103" t="str">
        <f t="shared" si="112"/>
        <v/>
      </c>
      <c r="T254" s="106" t="str">
        <f t="shared" si="136"/>
        <v/>
      </c>
      <c r="U254" s="106" t="str">
        <f t="shared" si="137"/>
        <v/>
      </c>
      <c r="V254" s="106" t="str">
        <f t="shared" si="138"/>
        <v/>
      </c>
      <c r="W254" s="105" t="str">
        <f t="shared" si="116"/>
        <v/>
      </c>
      <c r="X254" s="104" t="str">
        <f t="shared" si="117"/>
        <v/>
      </c>
      <c r="Y254" s="104" t="str">
        <f t="array" ref="Y254">IFERROR(IF(ISNUMBER(O254),IF(COUNT(IF(A254=$A$2:$A$2427,IF(D254=$D$2:$D$2427,IF($X$2:$X$2427&gt;0,1))))&gt;0,SUM(IF(A254=$A$2:$A$2427,IF(D254=$D$2:$D$2427,$X$2:$X$2427)))/COUNT(IF(A254=$A$2:$A$2427,IF(D254=$D$2:$D$2427,IF(ISNUMBER($X$2:$X$2427),1)))),0),""),0)</f>
        <v/>
      </c>
      <c r="Z254" s="104" t="str">
        <f>IF(ISNUMBER(O254),IF(I254&gt;0,(10^(VLOOKUP(D254,'Species Codes'!B:C,2,0)+VLOOKUP(D254,'Species Codes'!B:D,3,0)*LOG(E254)+VLOOKUP(D254,'Species Codes'!B:E,4,0)*LOG(I254))),0),"")</f>
        <v/>
      </c>
      <c r="AA254" s="104" t="str">
        <f>IFERROR((VLOOKUP(D254,'Species Codes'!B:G,6,0)*Z254)/2000,"")</f>
        <v/>
      </c>
      <c r="AB254" s="104" t="e">
        <f>IF(Z254&gt;0,((IF(OR(D254="DF",D254="RA")=TRUE,EXP(VLOOKUP(D254,'Species Codes'!B:I,8,0)+VLOOKUP(D254,'Species Codes'!B:J,9,0)*(LN((E254*2.54)))),IF(OR(D254="PY",D254="RC",D254="WH",D254="NF")=TRUE,VLOOKUP(D254,'Species Codes'!B:I,8,0)+VLOOKUP(D254,'Species Codes'!B:J,9,0)*((E254*2.54)^2)*(I254*0.3048),IF(OR(D254="MD",D254="BM",D254="GA")=TRUE,((VLOOKUP(D254,'Species Codes'!B:I,8,0)*(((((E254*2.54)+VLOOKUP(D254,'Species Codes'!B:J,9,0))/VLOOKUP(D254,'Species Codes'!B:K,10,0))^VLOOKUP(D254,'Species Codes'!B:L,11,0))*((I254*0.3048)^VLOOKUP(D254,'Species Codes'!B:M,12,0))))-(VLOOKUP(D254,'Species Codes'!B:I,8,0)*((((E254*2.54)^VLOOKUP(D254,'Species Codes'!B:L,11,0))*((I254*0.3048)^VLOOKUP(D254,'Species Codes'!B:M,12,0))))))*35.3*VLOOKUP(D254,'Species Codes'!B:G,6,0)/2.2046,VLOOKUP(D254,'Species Codes'!B:I,8,0)+VLOOKUP(D254,'Species Codes'!B:J,9,0)*(((E254*2.54)/100)^2)*(I254*0.3048)))))*0.0011023),0)</f>
        <v>#N/A</v>
      </c>
      <c r="AC254" s="104" t="e">
        <f>IF(Z254&gt;0,((IF(OR(D254="RA",D254="OA",D254="OT",D254="UN",D254="PC"),EXP(VLOOKUP(D254,'Species Codes'!B:O,14,0)+VLOOKUP(D254,'Species Codes'!B:P,15,0)*LN((E254*2.54)))-EXP(VLOOKUP(D254,'Species Codes'!B:O,14,0)+VLOOKUP(D254,'Species Codes'!B:P,15,0)*LN((E254*2.54)))*(1/(VLOOKUP(D254,'Species Codes'!B:Q,16,0)+VLOOKUP(D254,'Species Codes'!B:R,17,0)*((E254*2.54)^VLOOKUP(D254,'Species Codes'!B:S,18,0)))),IF(OR(D254="BM",D254="MD",D254="OA"),EXP(VLOOKUP(D254,'Species Codes'!B:O,14,0)+VLOOKUP(D254,'Species Codes'!B:P,15,0)*LN((E254*2.54)))*(1-(1/(VLOOKUP(D254,'Species Codes'!B:Q,16,0)+VLOOKUP(D254,'Species Codes'!B:R,17,0)*((E254*2.54)^VLOOKUP(D254,'Species Codes'!B:S,18,0)))))/1000,IF(D254="DF",EXP(VLOOKUP(D254,'Species Codes'!B:O,14,0)+VLOOKUP(D254,'Species Codes'!B:P,15,0)*LN((E254*2.54))),VLOOKUP(D254,'Species Codes'!B:O,14,0)+VLOOKUP(D254,'Species Codes'!B:P,15,0)*(((E254*2.54)/100)^2)*(I254*0.3048)))))*0.0011023),0)</f>
        <v>#N/A</v>
      </c>
      <c r="AD254" s="104" t="e">
        <f t="shared" si="139"/>
        <v>#N/A</v>
      </c>
      <c r="AE254" s="104" t="e">
        <f t="shared" si="140"/>
        <v>#N/A</v>
      </c>
      <c r="AF254" s="104" t="e">
        <f>IF(AND(VLOOKUP($D254,Merchantability!$B:$C,2,0)="Yes",$E254&gt;=VLOOKUP($D254,Merchantability!$B:$D,3,0),$E254&lt;=VLOOKUP($D254,Merchantability!$B:$E,4,0)),AA254,0)</f>
        <v>#N/A</v>
      </c>
      <c r="AG254" s="104" t="e">
        <f>IF(AND(VLOOKUP($D254,Merchantability!$B:$C,2,0)="Yes",$E254&gt;=VLOOKUP($D254,Merchantability!$B:$D,3,0),$E254&lt;=VLOOKUP($D254,Merchantability!$B:$E,4,0)),AB254,0)</f>
        <v>#N/A</v>
      </c>
      <c r="AH254" s="104" t="e">
        <f>IF(AND(VLOOKUP($D254,Merchantability!$B:$C,2,0)="Yes",$E254&gt;=VLOOKUP($D254,Merchantability!$B:$D,3,0),$E254&lt;=VLOOKUP($D254,Merchantability!$B:$E,4,0)),AC254,0)</f>
        <v>#N/A</v>
      </c>
      <c r="AI254" s="104" t="e">
        <f t="shared" si="141"/>
        <v>#N/A</v>
      </c>
      <c r="AJ254" s="104" t="e">
        <f t="shared" si="142"/>
        <v>#VALUE!</v>
      </c>
      <c r="AK254" s="104" t="e">
        <f t="shared" si="143"/>
        <v>#N/A</v>
      </c>
      <c r="AL254" s="104" t="e">
        <f t="shared" si="144"/>
        <v>#N/A</v>
      </c>
      <c r="AM254" s="104" t="e">
        <f t="shared" si="145"/>
        <v>#N/A</v>
      </c>
      <c r="AN254" s="104" t="e">
        <f t="shared" si="125"/>
        <v>#N/A</v>
      </c>
      <c r="AO254" s="104" t="e">
        <f t="shared" si="126"/>
        <v>#N/A</v>
      </c>
      <c r="AP254" s="104" t="e">
        <f t="shared" si="127"/>
        <v>#N/A</v>
      </c>
      <c r="AQ254" s="104" t="e">
        <f t="shared" si="128"/>
        <v>#N/A</v>
      </c>
      <c r="AR254" s="105" t="str">
        <f t="shared" si="129"/>
        <v/>
      </c>
      <c r="AS254" s="105" t="str">
        <f t="shared" si="130"/>
        <v/>
      </c>
      <c r="AT254" s="108" t="str">
        <f t="shared" si="131"/>
        <v/>
      </c>
      <c r="AU254" s="108" t="str">
        <f t="shared" si="132"/>
        <v/>
      </c>
      <c r="AV254" s="107" t="str">
        <f>IF(ISNUMBER(O254),IF(VLOOKUP($A254,Stand!C:J,8,FALSE)="Short",AT254,AU254),"")</f>
        <v/>
      </c>
      <c r="AW254" s="109" t="str">
        <f t="shared" si="133"/>
        <v/>
      </c>
      <c r="AX254" s="109" t="str">
        <f t="shared" si="134"/>
        <v/>
      </c>
      <c r="AY254" s="112" t="str">
        <f>IF(ISNUMBER(O254),IF(AND(VLOOKUP($D254,Merchantability!$B:$C,2,0)="Yes",$E254&gt;=VLOOKUP($D254,Merchantability!$B:$D,3,0),$E254&lt;=VLOOKUP($D254,Merchantability!$B:$E,4,0)),(AV254*O254)*(1-$H254/100),""),"")</f>
        <v/>
      </c>
      <c r="AZ254" s="116"/>
      <c r="BA254" s="116"/>
      <c r="BB254" s="116"/>
      <c r="BE254" s="62"/>
      <c r="BF254" s="63"/>
    </row>
    <row r="255" spans="1:58" ht="12.75" customHeight="1" x14ac:dyDescent="0.25">
      <c r="A255" s="313"/>
      <c r="B255" s="380"/>
      <c r="C255" s="381"/>
      <c r="D255" s="380"/>
      <c r="E255" s="382"/>
      <c r="F255" s="331"/>
      <c r="G255" s="329"/>
      <c r="H255" s="329"/>
      <c r="I255" s="380"/>
      <c r="J255" s="381"/>
      <c r="K255" s="329"/>
      <c r="L255" s="329"/>
      <c r="M255" s="76"/>
      <c r="N255" s="103" t="str">
        <f>IF(A255="","",VLOOKUP(A255,Stand!C:K,9,0))</f>
        <v/>
      </c>
      <c r="O255" s="104" t="str">
        <f t="shared" si="108"/>
        <v/>
      </c>
      <c r="P255" s="105" t="str">
        <f t="shared" si="109"/>
        <v/>
      </c>
      <c r="Q255" s="105" t="str">
        <f t="shared" si="135"/>
        <v/>
      </c>
      <c r="R255" s="103" t="str">
        <f t="shared" si="111"/>
        <v/>
      </c>
      <c r="S255" s="103" t="str">
        <f t="shared" si="112"/>
        <v/>
      </c>
      <c r="T255" s="106" t="str">
        <f t="shared" si="136"/>
        <v/>
      </c>
      <c r="U255" s="106" t="str">
        <f t="shared" si="137"/>
        <v/>
      </c>
      <c r="V255" s="106" t="str">
        <f t="shared" si="138"/>
        <v/>
      </c>
      <c r="W255" s="105" t="str">
        <f t="shared" si="116"/>
        <v/>
      </c>
      <c r="X255" s="104" t="str">
        <f t="shared" si="117"/>
        <v/>
      </c>
      <c r="Y255" s="104" t="str">
        <f t="array" ref="Y255">IFERROR(IF(ISNUMBER(O255),IF(COUNT(IF(A255=$A$2:$A$2427,IF(D255=$D$2:$D$2427,IF($X$2:$X$2427&gt;0,1))))&gt;0,SUM(IF(A255=$A$2:$A$2427,IF(D255=$D$2:$D$2427,$X$2:$X$2427)))/COUNT(IF(A255=$A$2:$A$2427,IF(D255=$D$2:$D$2427,IF(ISNUMBER($X$2:$X$2427),1)))),0),""),0)</f>
        <v/>
      </c>
      <c r="Z255" s="104" t="str">
        <f>IF(ISNUMBER(O255),IF(I255&gt;0,(10^(VLOOKUP(D255,'Species Codes'!B:C,2,0)+VLOOKUP(D255,'Species Codes'!B:D,3,0)*LOG(E255)+VLOOKUP(D255,'Species Codes'!B:E,4,0)*LOG(I255))),0),"")</f>
        <v/>
      </c>
      <c r="AA255" s="104" t="str">
        <f>IFERROR((VLOOKUP(D255,'Species Codes'!B:G,6,0)*Z255)/2000,"")</f>
        <v/>
      </c>
      <c r="AB255" s="104" t="e">
        <f>IF(Z255&gt;0,((IF(OR(D255="DF",D255="RA")=TRUE,EXP(VLOOKUP(D255,'Species Codes'!B:I,8,0)+VLOOKUP(D255,'Species Codes'!B:J,9,0)*(LN((E255*2.54)))),IF(OR(D255="PY",D255="RC",D255="WH",D255="NF")=TRUE,VLOOKUP(D255,'Species Codes'!B:I,8,0)+VLOOKUP(D255,'Species Codes'!B:J,9,0)*((E255*2.54)^2)*(I255*0.3048),IF(OR(D255="MD",D255="BM",D255="GA")=TRUE,((VLOOKUP(D255,'Species Codes'!B:I,8,0)*(((((E255*2.54)+VLOOKUP(D255,'Species Codes'!B:J,9,0))/VLOOKUP(D255,'Species Codes'!B:K,10,0))^VLOOKUP(D255,'Species Codes'!B:L,11,0))*((I255*0.3048)^VLOOKUP(D255,'Species Codes'!B:M,12,0))))-(VLOOKUP(D255,'Species Codes'!B:I,8,0)*((((E255*2.54)^VLOOKUP(D255,'Species Codes'!B:L,11,0))*((I255*0.3048)^VLOOKUP(D255,'Species Codes'!B:M,12,0))))))*35.3*VLOOKUP(D255,'Species Codes'!B:G,6,0)/2.2046,VLOOKUP(D255,'Species Codes'!B:I,8,0)+VLOOKUP(D255,'Species Codes'!B:J,9,0)*(((E255*2.54)/100)^2)*(I255*0.3048)))))*0.0011023),0)</f>
        <v>#N/A</v>
      </c>
      <c r="AC255" s="104" t="e">
        <f>IF(Z255&gt;0,((IF(OR(D255="RA",D255="OA",D255="OT",D255="UN",D255="PC"),EXP(VLOOKUP(D255,'Species Codes'!B:O,14,0)+VLOOKUP(D255,'Species Codes'!B:P,15,0)*LN((E255*2.54)))-EXP(VLOOKUP(D255,'Species Codes'!B:O,14,0)+VLOOKUP(D255,'Species Codes'!B:P,15,0)*LN((E255*2.54)))*(1/(VLOOKUP(D255,'Species Codes'!B:Q,16,0)+VLOOKUP(D255,'Species Codes'!B:R,17,0)*((E255*2.54)^VLOOKUP(D255,'Species Codes'!B:S,18,0)))),IF(OR(D255="BM",D255="MD",D255="OA"),EXP(VLOOKUP(D255,'Species Codes'!B:O,14,0)+VLOOKUP(D255,'Species Codes'!B:P,15,0)*LN((E255*2.54)))*(1-(1/(VLOOKUP(D255,'Species Codes'!B:Q,16,0)+VLOOKUP(D255,'Species Codes'!B:R,17,0)*((E255*2.54)^VLOOKUP(D255,'Species Codes'!B:S,18,0)))))/1000,IF(D255="DF",EXP(VLOOKUP(D255,'Species Codes'!B:O,14,0)+VLOOKUP(D255,'Species Codes'!B:P,15,0)*LN((E255*2.54))),VLOOKUP(D255,'Species Codes'!B:O,14,0)+VLOOKUP(D255,'Species Codes'!B:P,15,0)*(((E255*2.54)/100)^2)*(I255*0.3048)))))*0.0011023),0)</f>
        <v>#N/A</v>
      </c>
      <c r="AD255" s="104" t="e">
        <f t="shared" si="139"/>
        <v>#N/A</v>
      </c>
      <c r="AE255" s="104" t="e">
        <f t="shared" si="140"/>
        <v>#N/A</v>
      </c>
      <c r="AF255" s="104" t="e">
        <f>IF(AND(VLOOKUP($D255,Merchantability!$B:$C,2,0)="Yes",$E255&gt;=VLOOKUP($D255,Merchantability!$B:$D,3,0),$E255&lt;=VLOOKUP($D255,Merchantability!$B:$E,4,0)),AA255,0)</f>
        <v>#N/A</v>
      </c>
      <c r="AG255" s="104" t="e">
        <f>IF(AND(VLOOKUP($D255,Merchantability!$B:$C,2,0)="Yes",$E255&gt;=VLOOKUP($D255,Merchantability!$B:$D,3,0),$E255&lt;=VLOOKUP($D255,Merchantability!$B:$E,4,0)),AB255,0)</f>
        <v>#N/A</v>
      </c>
      <c r="AH255" s="104" t="e">
        <f>IF(AND(VLOOKUP($D255,Merchantability!$B:$C,2,0)="Yes",$E255&gt;=VLOOKUP($D255,Merchantability!$B:$D,3,0),$E255&lt;=VLOOKUP($D255,Merchantability!$B:$E,4,0)),AC255,0)</f>
        <v>#N/A</v>
      </c>
      <c r="AI255" s="104" t="e">
        <f t="shared" si="141"/>
        <v>#N/A</v>
      </c>
      <c r="AJ255" s="104" t="e">
        <f t="shared" si="142"/>
        <v>#VALUE!</v>
      </c>
      <c r="AK255" s="104" t="e">
        <f t="shared" si="143"/>
        <v>#N/A</v>
      </c>
      <c r="AL255" s="104" t="e">
        <f t="shared" si="144"/>
        <v>#N/A</v>
      </c>
      <c r="AM255" s="104" t="e">
        <f t="shared" si="145"/>
        <v>#N/A</v>
      </c>
      <c r="AN255" s="104" t="e">
        <f t="shared" si="125"/>
        <v>#N/A</v>
      </c>
      <c r="AO255" s="104" t="e">
        <f t="shared" si="126"/>
        <v>#N/A</v>
      </c>
      <c r="AP255" s="104" t="e">
        <f t="shared" si="127"/>
        <v>#N/A</v>
      </c>
      <c r="AQ255" s="104" t="e">
        <f t="shared" si="128"/>
        <v>#N/A</v>
      </c>
      <c r="AR255" s="105" t="str">
        <f t="shared" si="129"/>
        <v/>
      </c>
      <c r="AS255" s="105" t="str">
        <f t="shared" si="130"/>
        <v/>
      </c>
      <c r="AT255" s="108" t="str">
        <f t="shared" si="131"/>
        <v/>
      </c>
      <c r="AU255" s="108" t="str">
        <f t="shared" si="132"/>
        <v/>
      </c>
      <c r="AV255" s="107" t="str">
        <f>IF(ISNUMBER(O255),IF(VLOOKUP($A255,Stand!C:J,8,FALSE)="Short",AT255,AU255),"")</f>
        <v/>
      </c>
      <c r="AW255" s="109" t="str">
        <f t="shared" si="133"/>
        <v/>
      </c>
      <c r="AX255" s="109" t="str">
        <f t="shared" si="134"/>
        <v/>
      </c>
      <c r="AY255" s="112" t="str">
        <f>IF(ISNUMBER(O255),IF(AND(VLOOKUP($D255,Merchantability!$B:$C,2,0)="Yes",$E255&gt;=VLOOKUP($D255,Merchantability!$B:$D,3,0),$E255&lt;=VLOOKUP($D255,Merchantability!$B:$E,4,0)),(AV255*O255)*(1-$H255/100),""),"")</f>
        <v/>
      </c>
      <c r="AZ255" s="116"/>
      <c r="BA255" s="116"/>
      <c r="BB255" s="116"/>
      <c r="BE255" s="62"/>
      <c r="BF255" s="63"/>
    </row>
    <row r="256" spans="1:58" ht="12.75" customHeight="1" x14ac:dyDescent="0.25">
      <c r="A256" s="313"/>
      <c r="B256" s="380"/>
      <c r="C256" s="381"/>
      <c r="D256" s="380"/>
      <c r="E256" s="382"/>
      <c r="F256" s="331"/>
      <c r="G256" s="329"/>
      <c r="H256" s="329"/>
      <c r="I256" s="380"/>
      <c r="J256" s="381"/>
      <c r="K256" s="329"/>
      <c r="L256" s="329"/>
      <c r="M256" s="76"/>
      <c r="N256" s="103" t="str">
        <f>IF(A256="","",VLOOKUP(A256,Stand!C:K,9,0))</f>
        <v/>
      </c>
      <c r="O256" s="104" t="str">
        <f t="shared" si="108"/>
        <v/>
      </c>
      <c r="P256" s="105" t="str">
        <f t="shared" si="109"/>
        <v/>
      </c>
      <c r="Q256" s="105" t="str">
        <f t="shared" si="135"/>
        <v/>
      </c>
      <c r="R256" s="103" t="str">
        <f t="shared" si="111"/>
        <v/>
      </c>
      <c r="S256" s="103" t="str">
        <f t="shared" si="112"/>
        <v/>
      </c>
      <c r="T256" s="106" t="str">
        <f t="shared" si="136"/>
        <v/>
      </c>
      <c r="U256" s="106" t="str">
        <f t="shared" si="137"/>
        <v/>
      </c>
      <c r="V256" s="106" t="str">
        <f t="shared" si="138"/>
        <v/>
      </c>
      <c r="W256" s="105" t="str">
        <f t="shared" si="116"/>
        <v/>
      </c>
      <c r="X256" s="104" t="str">
        <f t="shared" si="117"/>
        <v/>
      </c>
      <c r="Y256" s="104" t="str">
        <f t="array" ref="Y256">IFERROR(IF(ISNUMBER(O256),IF(COUNT(IF(A256=$A$2:$A$2427,IF(D256=$D$2:$D$2427,IF($X$2:$X$2427&gt;0,1))))&gt;0,SUM(IF(A256=$A$2:$A$2427,IF(D256=$D$2:$D$2427,$X$2:$X$2427)))/COUNT(IF(A256=$A$2:$A$2427,IF(D256=$D$2:$D$2427,IF(ISNUMBER($X$2:$X$2427),1)))),0),""),0)</f>
        <v/>
      </c>
      <c r="Z256" s="104" t="str">
        <f>IF(ISNUMBER(O256),IF(I256&gt;0,(10^(VLOOKUP(D256,'Species Codes'!B:C,2,0)+VLOOKUP(D256,'Species Codes'!B:D,3,0)*LOG(E256)+VLOOKUP(D256,'Species Codes'!B:E,4,0)*LOG(I256))),0),"")</f>
        <v/>
      </c>
      <c r="AA256" s="104" t="str">
        <f>IFERROR((VLOOKUP(D256,'Species Codes'!B:G,6,0)*Z256)/2000,"")</f>
        <v/>
      </c>
      <c r="AB256" s="104" t="e">
        <f>IF(Z256&gt;0,((IF(OR(D256="DF",D256="RA")=TRUE,EXP(VLOOKUP(D256,'Species Codes'!B:I,8,0)+VLOOKUP(D256,'Species Codes'!B:J,9,0)*(LN((E256*2.54)))),IF(OR(D256="PY",D256="RC",D256="WH",D256="NF")=TRUE,VLOOKUP(D256,'Species Codes'!B:I,8,0)+VLOOKUP(D256,'Species Codes'!B:J,9,0)*((E256*2.54)^2)*(I256*0.3048),IF(OR(D256="MD",D256="BM",D256="GA")=TRUE,((VLOOKUP(D256,'Species Codes'!B:I,8,0)*(((((E256*2.54)+VLOOKUP(D256,'Species Codes'!B:J,9,0))/VLOOKUP(D256,'Species Codes'!B:K,10,0))^VLOOKUP(D256,'Species Codes'!B:L,11,0))*((I256*0.3048)^VLOOKUP(D256,'Species Codes'!B:M,12,0))))-(VLOOKUP(D256,'Species Codes'!B:I,8,0)*((((E256*2.54)^VLOOKUP(D256,'Species Codes'!B:L,11,0))*((I256*0.3048)^VLOOKUP(D256,'Species Codes'!B:M,12,0))))))*35.3*VLOOKUP(D256,'Species Codes'!B:G,6,0)/2.2046,VLOOKUP(D256,'Species Codes'!B:I,8,0)+VLOOKUP(D256,'Species Codes'!B:J,9,0)*(((E256*2.54)/100)^2)*(I256*0.3048)))))*0.0011023),0)</f>
        <v>#N/A</v>
      </c>
      <c r="AC256" s="104" t="e">
        <f>IF(Z256&gt;0,((IF(OR(D256="RA",D256="OA",D256="OT",D256="UN",D256="PC"),EXP(VLOOKUP(D256,'Species Codes'!B:O,14,0)+VLOOKUP(D256,'Species Codes'!B:P,15,0)*LN((E256*2.54)))-EXP(VLOOKUP(D256,'Species Codes'!B:O,14,0)+VLOOKUP(D256,'Species Codes'!B:P,15,0)*LN((E256*2.54)))*(1/(VLOOKUP(D256,'Species Codes'!B:Q,16,0)+VLOOKUP(D256,'Species Codes'!B:R,17,0)*((E256*2.54)^VLOOKUP(D256,'Species Codes'!B:S,18,0)))),IF(OR(D256="BM",D256="MD",D256="OA"),EXP(VLOOKUP(D256,'Species Codes'!B:O,14,0)+VLOOKUP(D256,'Species Codes'!B:P,15,0)*LN((E256*2.54)))*(1-(1/(VLOOKUP(D256,'Species Codes'!B:Q,16,0)+VLOOKUP(D256,'Species Codes'!B:R,17,0)*((E256*2.54)^VLOOKUP(D256,'Species Codes'!B:S,18,0)))))/1000,IF(D256="DF",EXP(VLOOKUP(D256,'Species Codes'!B:O,14,0)+VLOOKUP(D256,'Species Codes'!B:P,15,0)*LN((E256*2.54))),VLOOKUP(D256,'Species Codes'!B:O,14,0)+VLOOKUP(D256,'Species Codes'!B:P,15,0)*(((E256*2.54)/100)^2)*(I256*0.3048)))))*0.0011023),0)</f>
        <v>#N/A</v>
      </c>
      <c r="AD256" s="104" t="e">
        <f t="shared" si="139"/>
        <v>#N/A</v>
      </c>
      <c r="AE256" s="104" t="e">
        <f t="shared" si="140"/>
        <v>#N/A</v>
      </c>
      <c r="AF256" s="104" t="e">
        <f>IF(AND(VLOOKUP($D256,Merchantability!$B:$C,2,0)="Yes",$E256&gt;=VLOOKUP($D256,Merchantability!$B:$D,3,0),$E256&lt;=VLOOKUP($D256,Merchantability!$B:$E,4,0)),AA256,0)</f>
        <v>#N/A</v>
      </c>
      <c r="AG256" s="104" t="e">
        <f>IF(AND(VLOOKUP($D256,Merchantability!$B:$C,2,0)="Yes",$E256&gt;=VLOOKUP($D256,Merchantability!$B:$D,3,0),$E256&lt;=VLOOKUP($D256,Merchantability!$B:$E,4,0)),AB256,0)</f>
        <v>#N/A</v>
      </c>
      <c r="AH256" s="104" t="e">
        <f>IF(AND(VLOOKUP($D256,Merchantability!$B:$C,2,0)="Yes",$E256&gt;=VLOOKUP($D256,Merchantability!$B:$D,3,0),$E256&lt;=VLOOKUP($D256,Merchantability!$B:$E,4,0)),AC256,0)</f>
        <v>#N/A</v>
      </c>
      <c r="AI256" s="104" t="e">
        <f t="shared" si="141"/>
        <v>#N/A</v>
      </c>
      <c r="AJ256" s="104" t="e">
        <f t="shared" si="142"/>
        <v>#VALUE!</v>
      </c>
      <c r="AK256" s="104" t="e">
        <f t="shared" si="143"/>
        <v>#N/A</v>
      </c>
      <c r="AL256" s="104" t="e">
        <f t="shared" si="144"/>
        <v>#N/A</v>
      </c>
      <c r="AM256" s="104" t="e">
        <f t="shared" si="145"/>
        <v>#N/A</v>
      </c>
      <c r="AN256" s="104" t="e">
        <f t="shared" si="125"/>
        <v>#N/A</v>
      </c>
      <c r="AO256" s="104" t="e">
        <f t="shared" si="126"/>
        <v>#N/A</v>
      </c>
      <c r="AP256" s="104" t="e">
        <f t="shared" si="127"/>
        <v>#N/A</v>
      </c>
      <c r="AQ256" s="104" t="e">
        <f t="shared" si="128"/>
        <v>#N/A</v>
      </c>
      <c r="AR256" s="105" t="str">
        <f t="shared" si="129"/>
        <v/>
      </c>
      <c r="AS256" s="105" t="str">
        <f t="shared" si="130"/>
        <v/>
      </c>
      <c r="AT256" s="108" t="str">
        <f t="shared" si="131"/>
        <v/>
      </c>
      <c r="AU256" s="108" t="str">
        <f t="shared" si="132"/>
        <v/>
      </c>
      <c r="AV256" s="107" t="str">
        <f>IF(ISNUMBER(O256),IF(VLOOKUP($A256,Stand!C:J,8,FALSE)="Short",AT256,AU256),"")</f>
        <v/>
      </c>
      <c r="AW256" s="109" t="str">
        <f t="shared" si="133"/>
        <v/>
      </c>
      <c r="AX256" s="109" t="str">
        <f t="shared" si="134"/>
        <v/>
      </c>
      <c r="AY256" s="112" t="str">
        <f>IF(ISNUMBER(O256),IF(AND(VLOOKUP($D256,Merchantability!$B:$C,2,0)="Yes",$E256&gt;=VLOOKUP($D256,Merchantability!$B:$D,3,0),$E256&lt;=VLOOKUP($D256,Merchantability!$B:$E,4,0)),(AV256*O256)*(1-$H256/100),""),"")</f>
        <v/>
      </c>
      <c r="AZ256" s="116"/>
      <c r="BA256" s="116"/>
      <c r="BB256" s="116"/>
      <c r="BE256" s="62"/>
      <c r="BF256" s="63"/>
    </row>
    <row r="257" spans="1:58" ht="12.75" customHeight="1" x14ac:dyDescent="0.25">
      <c r="A257" s="313"/>
      <c r="B257" s="380"/>
      <c r="C257" s="381"/>
      <c r="D257" s="380"/>
      <c r="E257" s="382"/>
      <c r="F257" s="331"/>
      <c r="G257" s="329"/>
      <c r="H257" s="329"/>
      <c r="I257" s="380"/>
      <c r="J257" s="381"/>
      <c r="K257" s="329"/>
      <c r="L257" s="329"/>
      <c r="M257" s="76"/>
      <c r="N257" s="103" t="str">
        <f>IF(A257="","",VLOOKUP(A257,Stand!C:K,9,0))</f>
        <v/>
      </c>
      <c r="O257" s="104" t="str">
        <f t="shared" si="108"/>
        <v/>
      </c>
      <c r="P257" s="105" t="str">
        <f t="shared" si="109"/>
        <v/>
      </c>
      <c r="Q257" s="105" t="str">
        <f t="shared" si="135"/>
        <v/>
      </c>
      <c r="R257" s="103" t="str">
        <f t="shared" si="111"/>
        <v/>
      </c>
      <c r="S257" s="103" t="str">
        <f t="shared" si="112"/>
        <v/>
      </c>
      <c r="T257" s="106" t="str">
        <f t="shared" si="136"/>
        <v/>
      </c>
      <c r="U257" s="106" t="str">
        <f t="shared" si="137"/>
        <v/>
      </c>
      <c r="V257" s="106" t="str">
        <f t="shared" si="138"/>
        <v/>
      </c>
      <c r="W257" s="105" t="str">
        <f t="shared" si="116"/>
        <v/>
      </c>
      <c r="X257" s="104" t="str">
        <f t="shared" si="117"/>
        <v/>
      </c>
      <c r="Y257" s="104" t="str">
        <f t="array" ref="Y257">IFERROR(IF(ISNUMBER(O257),IF(COUNT(IF(A257=$A$2:$A$2427,IF(D257=$D$2:$D$2427,IF($X$2:$X$2427&gt;0,1))))&gt;0,SUM(IF(A257=$A$2:$A$2427,IF(D257=$D$2:$D$2427,$X$2:$X$2427)))/COUNT(IF(A257=$A$2:$A$2427,IF(D257=$D$2:$D$2427,IF(ISNUMBER($X$2:$X$2427),1)))),0),""),0)</f>
        <v/>
      </c>
      <c r="Z257" s="104" t="str">
        <f>IF(ISNUMBER(O257),IF(I257&gt;0,(10^(VLOOKUP(D257,'Species Codes'!B:C,2,0)+VLOOKUP(D257,'Species Codes'!B:D,3,0)*LOG(E257)+VLOOKUP(D257,'Species Codes'!B:E,4,0)*LOG(I257))),0),"")</f>
        <v/>
      </c>
      <c r="AA257" s="104" t="str">
        <f>IFERROR((VLOOKUP(D257,'Species Codes'!B:G,6,0)*Z257)/2000,"")</f>
        <v/>
      </c>
      <c r="AB257" s="104" t="e">
        <f>IF(Z257&gt;0,((IF(OR(D257="DF",D257="RA")=TRUE,EXP(VLOOKUP(D257,'Species Codes'!B:I,8,0)+VLOOKUP(D257,'Species Codes'!B:J,9,0)*(LN((E257*2.54)))),IF(OR(D257="PY",D257="RC",D257="WH",D257="NF")=TRUE,VLOOKUP(D257,'Species Codes'!B:I,8,0)+VLOOKUP(D257,'Species Codes'!B:J,9,0)*((E257*2.54)^2)*(I257*0.3048),IF(OR(D257="MD",D257="BM",D257="GA")=TRUE,((VLOOKUP(D257,'Species Codes'!B:I,8,0)*(((((E257*2.54)+VLOOKUP(D257,'Species Codes'!B:J,9,0))/VLOOKUP(D257,'Species Codes'!B:K,10,0))^VLOOKUP(D257,'Species Codes'!B:L,11,0))*((I257*0.3048)^VLOOKUP(D257,'Species Codes'!B:M,12,0))))-(VLOOKUP(D257,'Species Codes'!B:I,8,0)*((((E257*2.54)^VLOOKUP(D257,'Species Codes'!B:L,11,0))*((I257*0.3048)^VLOOKUP(D257,'Species Codes'!B:M,12,0))))))*35.3*VLOOKUP(D257,'Species Codes'!B:G,6,0)/2.2046,VLOOKUP(D257,'Species Codes'!B:I,8,0)+VLOOKUP(D257,'Species Codes'!B:J,9,0)*(((E257*2.54)/100)^2)*(I257*0.3048)))))*0.0011023),0)</f>
        <v>#N/A</v>
      </c>
      <c r="AC257" s="104" t="e">
        <f>IF(Z257&gt;0,((IF(OR(D257="RA",D257="OA",D257="OT",D257="UN",D257="PC"),EXP(VLOOKUP(D257,'Species Codes'!B:O,14,0)+VLOOKUP(D257,'Species Codes'!B:P,15,0)*LN((E257*2.54)))-EXP(VLOOKUP(D257,'Species Codes'!B:O,14,0)+VLOOKUP(D257,'Species Codes'!B:P,15,0)*LN((E257*2.54)))*(1/(VLOOKUP(D257,'Species Codes'!B:Q,16,0)+VLOOKUP(D257,'Species Codes'!B:R,17,0)*((E257*2.54)^VLOOKUP(D257,'Species Codes'!B:S,18,0)))),IF(OR(D257="BM",D257="MD",D257="OA"),EXP(VLOOKUP(D257,'Species Codes'!B:O,14,0)+VLOOKUP(D257,'Species Codes'!B:P,15,0)*LN((E257*2.54)))*(1-(1/(VLOOKUP(D257,'Species Codes'!B:Q,16,0)+VLOOKUP(D257,'Species Codes'!B:R,17,0)*((E257*2.54)^VLOOKUP(D257,'Species Codes'!B:S,18,0)))))/1000,IF(D257="DF",EXP(VLOOKUP(D257,'Species Codes'!B:O,14,0)+VLOOKUP(D257,'Species Codes'!B:P,15,0)*LN((E257*2.54))),VLOOKUP(D257,'Species Codes'!B:O,14,0)+VLOOKUP(D257,'Species Codes'!B:P,15,0)*(((E257*2.54)/100)^2)*(I257*0.3048)))))*0.0011023),0)</f>
        <v>#N/A</v>
      </c>
      <c r="AD257" s="104" t="e">
        <f t="shared" si="139"/>
        <v>#N/A</v>
      </c>
      <c r="AE257" s="104" t="e">
        <f t="shared" si="140"/>
        <v>#N/A</v>
      </c>
      <c r="AF257" s="104" t="e">
        <f>IF(AND(VLOOKUP($D257,Merchantability!$B:$C,2,0)="Yes",$E257&gt;=VLOOKUP($D257,Merchantability!$B:$D,3,0),$E257&lt;=VLOOKUP($D257,Merchantability!$B:$E,4,0)),AA257,0)</f>
        <v>#N/A</v>
      </c>
      <c r="AG257" s="104" t="e">
        <f>IF(AND(VLOOKUP($D257,Merchantability!$B:$C,2,0)="Yes",$E257&gt;=VLOOKUP($D257,Merchantability!$B:$D,3,0),$E257&lt;=VLOOKUP($D257,Merchantability!$B:$E,4,0)),AB257,0)</f>
        <v>#N/A</v>
      </c>
      <c r="AH257" s="104" t="e">
        <f>IF(AND(VLOOKUP($D257,Merchantability!$B:$C,2,0)="Yes",$E257&gt;=VLOOKUP($D257,Merchantability!$B:$D,3,0),$E257&lt;=VLOOKUP($D257,Merchantability!$B:$E,4,0)),AC257,0)</f>
        <v>#N/A</v>
      </c>
      <c r="AI257" s="104" t="e">
        <f t="shared" si="141"/>
        <v>#N/A</v>
      </c>
      <c r="AJ257" s="104" t="e">
        <f t="shared" si="142"/>
        <v>#VALUE!</v>
      </c>
      <c r="AK257" s="104" t="e">
        <f t="shared" si="143"/>
        <v>#N/A</v>
      </c>
      <c r="AL257" s="104" t="e">
        <f t="shared" si="144"/>
        <v>#N/A</v>
      </c>
      <c r="AM257" s="104" t="e">
        <f t="shared" si="145"/>
        <v>#N/A</v>
      </c>
      <c r="AN257" s="104" t="e">
        <f t="shared" si="125"/>
        <v>#N/A</v>
      </c>
      <c r="AO257" s="104" t="e">
        <f t="shared" si="126"/>
        <v>#N/A</v>
      </c>
      <c r="AP257" s="104" t="e">
        <f t="shared" si="127"/>
        <v>#N/A</v>
      </c>
      <c r="AQ257" s="104" t="e">
        <f t="shared" si="128"/>
        <v>#N/A</v>
      </c>
      <c r="AR257" s="105" t="str">
        <f t="shared" si="129"/>
        <v/>
      </c>
      <c r="AS257" s="105" t="str">
        <f t="shared" si="130"/>
        <v/>
      </c>
      <c r="AT257" s="108" t="str">
        <f t="shared" si="131"/>
        <v/>
      </c>
      <c r="AU257" s="108" t="str">
        <f t="shared" si="132"/>
        <v/>
      </c>
      <c r="AV257" s="107" t="str">
        <f>IF(ISNUMBER(O257),IF(VLOOKUP($A257,Stand!C:J,8,FALSE)="Short",AT257,AU257),"")</f>
        <v/>
      </c>
      <c r="AW257" s="109" t="str">
        <f t="shared" si="133"/>
        <v/>
      </c>
      <c r="AX257" s="109" t="str">
        <f t="shared" si="134"/>
        <v/>
      </c>
      <c r="AY257" s="112" t="str">
        <f>IF(ISNUMBER(O257),IF(AND(VLOOKUP($D257,Merchantability!$B:$C,2,0)="Yes",$E257&gt;=VLOOKUP($D257,Merchantability!$B:$D,3,0),$E257&lt;=VLOOKUP($D257,Merchantability!$B:$E,4,0)),(AV257*O257)*(1-$H257/100),""),"")</f>
        <v/>
      </c>
      <c r="AZ257" s="116"/>
      <c r="BA257" s="116"/>
      <c r="BB257" s="116"/>
      <c r="BE257" s="62"/>
      <c r="BF257" s="63"/>
    </row>
    <row r="258" spans="1:58" ht="12.75" customHeight="1" x14ac:dyDescent="0.25">
      <c r="A258" s="313"/>
      <c r="B258" s="380"/>
      <c r="C258" s="381"/>
      <c r="D258" s="380"/>
      <c r="E258" s="382"/>
      <c r="F258" s="331"/>
      <c r="G258" s="329"/>
      <c r="H258" s="329"/>
      <c r="I258" s="380"/>
      <c r="J258" s="381"/>
      <c r="K258" s="329"/>
      <c r="L258" s="329"/>
      <c r="M258" s="76"/>
      <c r="N258" s="103" t="str">
        <f>IF(A258="","",VLOOKUP(A258,Stand!C:K,9,0))</f>
        <v/>
      </c>
      <c r="O258" s="104" t="str">
        <f t="shared" ref="O258:O321" si="146">IF(E258&gt;0,IF(G258&gt;1,G258*(43560/(N258^2*3.14)),43560/(N258^2*3.14)),"")</f>
        <v/>
      </c>
      <c r="P258" s="105" t="str">
        <f t="shared" ref="P258:P321" si="147">IF(ISNUMBER(O258),E258*O258,"")</f>
        <v/>
      </c>
      <c r="Q258" s="105" t="str">
        <f t="shared" si="135"/>
        <v/>
      </c>
      <c r="R258" s="103" t="str">
        <f t="shared" ref="R258:R321" si="148">IF(ISNUMBER(O258),E258^2*0.005454*O258,"")</f>
        <v/>
      </c>
      <c r="S258" s="103" t="str">
        <f t="shared" ref="S258:S321" si="149">IF(ISNUMBER(O258),(E258/10)^1.7*O258,"")</f>
        <v/>
      </c>
      <c r="T258" s="106" t="str">
        <f t="shared" si="136"/>
        <v/>
      </c>
      <c r="U258" s="106" t="str">
        <f t="shared" si="137"/>
        <v/>
      </c>
      <c r="V258" s="106" t="str">
        <f t="shared" si="138"/>
        <v/>
      </c>
      <c r="W258" s="105" t="str">
        <f t="shared" ref="W258:W321" si="150">IF(AND(ISNUMBER(O258),I258&gt;0),I258/(E258/12),"")</f>
        <v/>
      </c>
      <c r="X258" s="104" t="str">
        <f t="shared" si="117"/>
        <v/>
      </c>
      <c r="Y258" s="104" t="str">
        <f t="array" ref="Y258">IFERROR(IF(ISNUMBER(O258),IF(COUNT(IF(A258=$A$2:$A$2427,IF(D258=$D$2:$D$2427,IF($X$2:$X$2427&gt;0,1))))&gt;0,SUM(IF(A258=$A$2:$A$2427,IF(D258=$D$2:$D$2427,$X$2:$X$2427)))/COUNT(IF(A258=$A$2:$A$2427,IF(D258=$D$2:$D$2427,IF(ISNUMBER($X$2:$X$2427),1)))),0),""),0)</f>
        <v/>
      </c>
      <c r="Z258" s="104" t="str">
        <f>IF(ISNUMBER(O258),IF(I258&gt;0,(10^(VLOOKUP(D258,'Species Codes'!B:C,2,0)+VLOOKUP(D258,'Species Codes'!B:D,3,0)*LOG(E258)+VLOOKUP(D258,'Species Codes'!B:E,4,0)*LOG(I258))),0),"")</f>
        <v/>
      </c>
      <c r="AA258" s="104" t="str">
        <f>IFERROR((VLOOKUP(D258,'Species Codes'!B:G,6,0)*Z258)/2000,"")</f>
        <v/>
      </c>
      <c r="AB258" s="104" t="e">
        <f>IF(Z258&gt;0,((IF(OR(D258="DF",D258="RA")=TRUE,EXP(VLOOKUP(D258,'Species Codes'!B:I,8,0)+VLOOKUP(D258,'Species Codes'!B:J,9,0)*(LN((E258*2.54)))),IF(OR(D258="PY",D258="RC",D258="WH",D258="NF")=TRUE,VLOOKUP(D258,'Species Codes'!B:I,8,0)+VLOOKUP(D258,'Species Codes'!B:J,9,0)*((E258*2.54)^2)*(I258*0.3048),IF(OR(D258="MD",D258="BM",D258="GA")=TRUE,((VLOOKUP(D258,'Species Codes'!B:I,8,0)*(((((E258*2.54)+VLOOKUP(D258,'Species Codes'!B:J,9,0))/VLOOKUP(D258,'Species Codes'!B:K,10,0))^VLOOKUP(D258,'Species Codes'!B:L,11,0))*((I258*0.3048)^VLOOKUP(D258,'Species Codes'!B:M,12,0))))-(VLOOKUP(D258,'Species Codes'!B:I,8,0)*((((E258*2.54)^VLOOKUP(D258,'Species Codes'!B:L,11,0))*((I258*0.3048)^VLOOKUP(D258,'Species Codes'!B:M,12,0))))))*35.3*VLOOKUP(D258,'Species Codes'!B:G,6,0)/2.2046,VLOOKUP(D258,'Species Codes'!B:I,8,0)+VLOOKUP(D258,'Species Codes'!B:J,9,0)*(((E258*2.54)/100)^2)*(I258*0.3048)))))*0.0011023),0)</f>
        <v>#N/A</v>
      </c>
      <c r="AC258" s="104" t="e">
        <f>IF(Z258&gt;0,((IF(OR(D258="RA",D258="OA",D258="OT",D258="UN",D258="PC"),EXP(VLOOKUP(D258,'Species Codes'!B:O,14,0)+VLOOKUP(D258,'Species Codes'!B:P,15,0)*LN((E258*2.54)))-EXP(VLOOKUP(D258,'Species Codes'!B:O,14,0)+VLOOKUP(D258,'Species Codes'!B:P,15,0)*LN((E258*2.54)))*(1/(VLOOKUP(D258,'Species Codes'!B:Q,16,0)+VLOOKUP(D258,'Species Codes'!B:R,17,0)*((E258*2.54)^VLOOKUP(D258,'Species Codes'!B:S,18,0)))),IF(OR(D258="BM",D258="MD",D258="OA"),EXP(VLOOKUP(D258,'Species Codes'!B:O,14,0)+VLOOKUP(D258,'Species Codes'!B:P,15,0)*LN((E258*2.54)))*(1-(1/(VLOOKUP(D258,'Species Codes'!B:Q,16,0)+VLOOKUP(D258,'Species Codes'!B:R,17,0)*((E258*2.54)^VLOOKUP(D258,'Species Codes'!B:S,18,0)))))/1000,IF(D258="DF",EXP(VLOOKUP(D258,'Species Codes'!B:O,14,0)+VLOOKUP(D258,'Species Codes'!B:P,15,0)*LN((E258*2.54))),VLOOKUP(D258,'Species Codes'!B:O,14,0)+VLOOKUP(D258,'Species Codes'!B:P,15,0)*(((E258*2.54)/100)^2)*(I258*0.3048)))))*0.0011023),0)</f>
        <v>#N/A</v>
      </c>
      <c r="AD258" s="104" t="e">
        <f t="shared" si="139"/>
        <v>#N/A</v>
      </c>
      <c r="AE258" s="104" t="e">
        <f t="shared" si="140"/>
        <v>#N/A</v>
      </c>
      <c r="AF258" s="104" t="e">
        <f>IF(AND(VLOOKUP($D258,Merchantability!$B:$C,2,0)="Yes",$E258&gt;=VLOOKUP($D258,Merchantability!$B:$D,3,0),$E258&lt;=VLOOKUP($D258,Merchantability!$B:$E,4,0)),AA258,0)</f>
        <v>#N/A</v>
      </c>
      <c r="AG258" s="104" t="e">
        <f>IF(AND(VLOOKUP($D258,Merchantability!$B:$C,2,0)="Yes",$E258&gt;=VLOOKUP($D258,Merchantability!$B:$D,3,0),$E258&lt;=VLOOKUP($D258,Merchantability!$B:$E,4,0)),AB258,0)</f>
        <v>#N/A</v>
      </c>
      <c r="AH258" s="104" t="e">
        <f>IF(AND(VLOOKUP($D258,Merchantability!$B:$C,2,0)="Yes",$E258&gt;=VLOOKUP($D258,Merchantability!$B:$D,3,0),$E258&lt;=VLOOKUP($D258,Merchantability!$B:$E,4,0)),AC258,0)</f>
        <v>#N/A</v>
      </c>
      <c r="AI258" s="104" t="e">
        <f t="shared" si="141"/>
        <v>#N/A</v>
      </c>
      <c r="AJ258" s="104" t="e">
        <f t="shared" si="142"/>
        <v>#VALUE!</v>
      </c>
      <c r="AK258" s="104" t="e">
        <f t="shared" si="143"/>
        <v>#N/A</v>
      </c>
      <c r="AL258" s="104" t="e">
        <f t="shared" si="144"/>
        <v>#N/A</v>
      </c>
      <c r="AM258" s="104" t="e">
        <f t="shared" si="145"/>
        <v>#N/A</v>
      </c>
      <c r="AN258" s="104" t="e">
        <f t="shared" si="125"/>
        <v>#N/A</v>
      </c>
      <c r="AO258" s="104" t="e">
        <f t="shared" si="126"/>
        <v>#N/A</v>
      </c>
      <c r="AP258" s="104" t="e">
        <f t="shared" si="127"/>
        <v>#N/A</v>
      </c>
      <c r="AQ258" s="104" t="e">
        <f t="shared" si="128"/>
        <v>#N/A</v>
      </c>
      <c r="AR258" s="105" t="str">
        <f t="shared" ref="AR258:AR321" si="151">IF(ISNUMBER(O258),IF(Y258&gt;0,((Y258*(E258^2*0.005454-0.087266))/0.912733),0),"")</f>
        <v/>
      </c>
      <c r="AS258" s="105" t="str">
        <f t="shared" ref="AS258:AS321" si="152">IF(ISNUMBER(O258),AR258*(0.993-0.993*(0.62^(E258-6))),"")</f>
        <v/>
      </c>
      <c r="AT258" s="108" t="str">
        <f t="shared" ref="AT258:AT321" si="153">IF(ISNUMBER(O258),IF(AS258&gt;0,IF(Y258&gt;0,(AS258*10^(0.174439+0.117594*(LOG(E258,10))*(LOG(Y258/0.912733,10))-8.210585/E258^2+0.236693*(LOG(Y258/0.912733,10))-0.00001345*(Y258/0.912733)^2-0.00001937*E258^2)),0),0),"")</f>
        <v/>
      </c>
      <c r="AU258" s="108" t="str">
        <f t="shared" ref="AU258:AU321" si="154">IF(ISNUMBER(O258),IF(AS258&gt;0,IF(Y258&gt;0,AT258*(1.001491-(6.92497/Y258)+(0.00001351*(E258^2))),0),0),"")</f>
        <v/>
      </c>
      <c r="AV258" s="107" t="str">
        <f>IF(ISNUMBER(O258),IF(VLOOKUP($A258,Stand!C:J,8,FALSE)="Short",AT258,AU258),"")</f>
        <v/>
      </c>
      <c r="AW258" s="109" t="str">
        <f t="shared" si="133"/>
        <v/>
      </c>
      <c r="AX258" s="109" t="str">
        <f t="shared" si="134"/>
        <v/>
      </c>
      <c r="AY258" s="112" t="str">
        <f>IF(ISNUMBER(O258),IF(AND(VLOOKUP($D258,Merchantability!$B:$C,2,0)="Yes",$E258&gt;=VLOOKUP($D258,Merchantability!$B:$D,3,0),$E258&lt;=VLOOKUP($D258,Merchantability!$B:$E,4,0)),(AV258*O258)*(1-$H258/100),""),"")</f>
        <v/>
      </c>
      <c r="AZ258" s="116"/>
      <c r="BA258" s="116"/>
      <c r="BB258" s="116"/>
      <c r="BE258" s="62"/>
      <c r="BF258" s="63"/>
    </row>
    <row r="259" spans="1:58" ht="12.75" customHeight="1" x14ac:dyDescent="0.25">
      <c r="A259" s="313"/>
      <c r="B259" s="380"/>
      <c r="C259" s="381"/>
      <c r="D259" s="380"/>
      <c r="E259" s="382"/>
      <c r="F259" s="331"/>
      <c r="G259" s="329"/>
      <c r="H259" s="329"/>
      <c r="I259" s="380"/>
      <c r="J259" s="381"/>
      <c r="K259" s="329"/>
      <c r="L259" s="329"/>
      <c r="M259" s="76"/>
      <c r="N259" s="103" t="str">
        <f>IF(A259="","",VLOOKUP(A259,Stand!C:K,9,0))</f>
        <v/>
      </c>
      <c r="O259" s="104" t="str">
        <f t="shared" si="146"/>
        <v/>
      </c>
      <c r="P259" s="105" t="str">
        <f t="shared" si="147"/>
        <v/>
      </c>
      <c r="Q259" s="105" t="str">
        <f t="shared" si="135"/>
        <v/>
      </c>
      <c r="R259" s="103" t="str">
        <f t="shared" si="148"/>
        <v/>
      </c>
      <c r="S259" s="103" t="str">
        <f t="shared" si="149"/>
        <v/>
      </c>
      <c r="T259" s="106" t="str">
        <f t="shared" si="136"/>
        <v/>
      </c>
      <c r="U259" s="106" t="str">
        <f t="shared" si="137"/>
        <v/>
      </c>
      <c r="V259" s="106" t="str">
        <f t="shared" si="138"/>
        <v/>
      </c>
      <c r="W259" s="105" t="str">
        <f t="shared" si="150"/>
        <v/>
      </c>
      <c r="X259" s="104" t="str">
        <f t="shared" ref="X259:X322" si="155">IF(ISNUMBER(O259),IF(I259&gt;0,IF(E259&gt;0,(0.912733*Z259)/(1.033*(1+1.382937*EXP(-4.015292*E259/10))*((E259^2)*0.005454+0.087266)-0.174533),""),""),"")</f>
        <v/>
      </c>
      <c r="Y259" s="104" t="str">
        <f t="array" ref="Y259">IFERROR(IF(ISNUMBER(O259),IF(COUNT(IF(A259=$A$2:$A$2427,IF(D259=$D$2:$D$2427,IF($X$2:$X$2427&gt;0,1))))&gt;0,SUM(IF(A259=$A$2:$A$2427,IF(D259=$D$2:$D$2427,$X$2:$X$2427)))/COUNT(IF(A259=$A$2:$A$2427,IF(D259=$D$2:$D$2427,IF(ISNUMBER($X$2:$X$2427),1)))),0),""),0)</f>
        <v/>
      </c>
      <c r="Z259" s="104" t="str">
        <f>IF(ISNUMBER(O259),IF(I259&gt;0,(10^(VLOOKUP(D259,'Species Codes'!B:C,2,0)+VLOOKUP(D259,'Species Codes'!B:D,3,0)*LOG(E259)+VLOOKUP(D259,'Species Codes'!B:E,4,0)*LOG(I259))),0),"")</f>
        <v/>
      </c>
      <c r="AA259" s="104" t="str">
        <f>IFERROR((VLOOKUP(D259,'Species Codes'!B:G,6,0)*Z259)/2000,"")</f>
        <v/>
      </c>
      <c r="AB259" s="104" t="e">
        <f>IF(Z259&gt;0,((IF(OR(D259="DF",D259="RA")=TRUE,EXP(VLOOKUP(D259,'Species Codes'!B:I,8,0)+VLOOKUP(D259,'Species Codes'!B:J,9,0)*(LN((E259*2.54)))),IF(OR(D259="PY",D259="RC",D259="WH",D259="NF")=TRUE,VLOOKUP(D259,'Species Codes'!B:I,8,0)+VLOOKUP(D259,'Species Codes'!B:J,9,0)*((E259*2.54)^2)*(I259*0.3048),IF(OR(D259="MD",D259="BM",D259="GA")=TRUE,((VLOOKUP(D259,'Species Codes'!B:I,8,0)*(((((E259*2.54)+VLOOKUP(D259,'Species Codes'!B:J,9,0))/VLOOKUP(D259,'Species Codes'!B:K,10,0))^VLOOKUP(D259,'Species Codes'!B:L,11,0))*((I259*0.3048)^VLOOKUP(D259,'Species Codes'!B:M,12,0))))-(VLOOKUP(D259,'Species Codes'!B:I,8,0)*((((E259*2.54)^VLOOKUP(D259,'Species Codes'!B:L,11,0))*((I259*0.3048)^VLOOKUP(D259,'Species Codes'!B:M,12,0))))))*35.3*VLOOKUP(D259,'Species Codes'!B:G,6,0)/2.2046,VLOOKUP(D259,'Species Codes'!B:I,8,0)+VLOOKUP(D259,'Species Codes'!B:J,9,0)*(((E259*2.54)/100)^2)*(I259*0.3048)))))*0.0011023),0)</f>
        <v>#N/A</v>
      </c>
      <c r="AC259" s="104" t="e">
        <f>IF(Z259&gt;0,((IF(OR(D259="RA",D259="OA",D259="OT",D259="UN",D259="PC"),EXP(VLOOKUP(D259,'Species Codes'!B:O,14,0)+VLOOKUP(D259,'Species Codes'!B:P,15,0)*LN((E259*2.54)))-EXP(VLOOKUP(D259,'Species Codes'!B:O,14,0)+VLOOKUP(D259,'Species Codes'!B:P,15,0)*LN((E259*2.54)))*(1/(VLOOKUP(D259,'Species Codes'!B:Q,16,0)+VLOOKUP(D259,'Species Codes'!B:R,17,0)*((E259*2.54)^VLOOKUP(D259,'Species Codes'!B:S,18,0)))),IF(OR(D259="BM",D259="MD",D259="OA"),EXP(VLOOKUP(D259,'Species Codes'!B:O,14,0)+VLOOKUP(D259,'Species Codes'!B:P,15,0)*LN((E259*2.54)))*(1-(1/(VLOOKUP(D259,'Species Codes'!B:Q,16,0)+VLOOKUP(D259,'Species Codes'!B:R,17,0)*((E259*2.54)^VLOOKUP(D259,'Species Codes'!B:S,18,0)))))/1000,IF(D259="DF",EXP(VLOOKUP(D259,'Species Codes'!B:O,14,0)+VLOOKUP(D259,'Species Codes'!B:P,15,0)*LN((E259*2.54))),VLOOKUP(D259,'Species Codes'!B:O,14,0)+VLOOKUP(D259,'Species Codes'!B:P,15,0)*(((E259*2.54)/100)^2)*(I259*0.3048)))))*0.0011023),0)</f>
        <v>#N/A</v>
      </c>
      <c r="AD259" s="104" t="e">
        <f t="shared" si="139"/>
        <v>#N/A</v>
      </c>
      <c r="AE259" s="104" t="e">
        <f t="shared" si="140"/>
        <v>#N/A</v>
      </c>
      <c r="AF259" s="104" t="e">
        <f>IF(AND(VLOOKUP($D259,Merchantability!$B:$C,2,0)="Yes",$E259&gt;=VLOOKUP($D259,Merchantability!$B:$D,3,0),$E259&lt;=VLOOKUP($D259,Merchantability!$B:$E,4,0)),AA259,0)</f>
        <v>#N/A</v>
      </c>
      <c r="AG259" s="104" t="e">
        <f>IF(AND(VLOOKUP($D259,Merchantability!$B:$C,2,0)="Yes",$E259&gt;=VLOOKUP($D259,Merchantability!$B:$D,3,0),$E259&lt;=VLOOKUP($D259,Merchantability!$B:$E,4,0)),AB259,0)</f>
        <v>#N/A</v>
      </c>
      <c r="AH259" s="104" t="e">
        <f>IF(AND(VLOOKUP($D259,Merchantability!$B:$C,2,0)="Yes",$E259&gt;=VLOOKUP($D259,Merchantability!$B:$D,3,0),$E259&lt;=VLOOKUP($D259,Merchantability!$B:$E,4,0)),AC259,0)</f>
        <v>#N/A</v>
      </c>
      <c r="AI259" s="104" t="e">
        <f t="shared" si="141"/>
        <v>#N/A</v>
      </c>
      <c r="AJ259" s="104" t="e">
        <f t="shared" si="142"/>
        <v>#VALUE!</v>
      </c>
      <c r="AK259" s="104" t="e">
        <f t="shared" si="143"/>
        <v>#N/A</v>
      </c>
      <c r="AL259" s="104" t="e">
        <f t="shared" si="144"/>
        <v>#N/A</v>
      </c>
      <c r="AM259" s="104" t="e">
        <f t="shared" si="145"/>
        <v>#N/A</v>
      </c>
      <c r="AN259" s="104" t="e">
        <f t="shared" ref="AN259:AN322" si="156">AF259*$O259</f>
        <v>#N/A</v>
      </c>
      <c r="AO259" s="104" t="e">
        <f t="shared" ref="AO259:AO322" si="157">AG259*$O259</f>
        <v>#N/A</v>
      </c>
      <c r="AP259" s="104" t="e">
        <f t="shared" ref="AP259:AP322" si="158">AH259*$O259</f>
        <v>#N/A</v>
      </c>
      <c r="AQ259" s="104" t="e">
        <f t="shared" ref="AQ259:AQ322" si="159">SUM(AN259:AP259)</f>
        <v>#N/A</v>
      </c>
      <c r="AR259" s="105" t="str">
        <f t="shared" si="151"/>
        <v/>
      </c>
      <c r="AS259" s="105" t="str">
        <f t="shared" si="152"/>
        <v/>
      </c>
      <c r="AT259" s="108" t="str">
        <f t="shared" si="153"/>
        <v/>
      </c>
      <c r="AU259" s="108" t="str">
        <f t="shared" si="154"/>
        <v/>
      </c>
      <c r="AV259" s="107" t="str">
        <f>IF(ISNUMBER(O259),IF(VLOOKUP($A259,Stand!C:J,8,FALSE)="Short",AT259,AU259),"")</f>
        <v/>
      </c>
      <c r="AW259" s="109" t="str">
        <f t="shared" ref="AW259:AW322" si="160">IF(ISNUMBER(O259),AV259*O259,"")</f>
        <v/>
      </c>
      <c r="AX259" s="109" t="str">
        <f t="shared" ref="AX259:AX322" si="161">IF(ISNUMBER(O259),AW259*(1-$H259/100),"")</f>
        <v/>
      </c>
      <c r="AY259" s="112" t="str">
        <f>IF(ISNUMBER(O259),IF(AND(VLOOKUP($D259,Merchantability!$B:$C,2,0)="Yes",$E259&gt;=VLOOKUP($D259,Merchantability!$B:$D,3,0),$E259&lt;=VLOOKUP($D259,Merchantability!$B:$E,4,0)),(AV259*O259)*(1-$H259/100),""),"")</f>
        <v/>
      </c>
      <c r="AZ259" s="116"/>
      <c r="BA259" s="116"/>
      <c r="BB259" s="116"/>
      <c r="BE259" s="62"/>
      <c r="BF259" s="63"/>
    </row>
    <row r="260" spans="1:58" ht="12.75" customHeight="1" x14ac:dyDescent="0.25">
      <c r="A260" s="313"/>
      <c r="B260" s="380"/>
      <c r="C260" s="381"/>
      <c r="D260" s="380"/>
      <c r="E260" s="382"/>
      <c r="F260" s="331"/>
      <c r="G260" s="329"/>
      <c r="H260" s="329"/>
      <c r="I260" s="380"/>
      <c r="J260" s="381"/>
      <c r="K260" s="329"/>
      <c r="L260" s="329"/>
      <c r="M260" s="76"/>
      <c r="N260" s="103" t="str">
        <f>IF(A260="","",VLOOKUP(A260,Stand!C:K,9,0))</f>
        <v/>
      </c>
      <c r="O260" s="104" t="str">
        <f t="shared" si="146"/>
        <v/>
      </c>
      <c r="P260" s="105" t="str">
        <f t="shared" si="147"/>
        <v/>
      </c>
      <c r="Q260" s="105" t="str">
        <f t="shared" si="135"/>
        <v/>
      </c>
      <c r="R260" s="103" t="str">
        <f t="shared" si="148"/>
        <v/>
      </c>
      <c r="S260" s="103" t="str">
        <f t="shared" si="149"/>
        <v/>
      </c>
      <c r="T260" s="106" t="str">
        <f t="shared" si="136"/>
        <v/>
      </c>
      <c r="U260" s="106" t="str">
        <f t="shared" si="137"/>
        <v/>
      </c>
      <c r="V260" s="106" t="str">
        <f t="shared" si="138"/>
        <v/>
      </c>
      <c r="W260" s="105" t="str">
        <f t="shared" si="150"/>
        <v/>
      </c>
      <c r="X260" s="104" t="str">
        <f t="shared" si="155"/>
        <v/>
      </c>
      <c r="Y260" s="104" t="str">
        <f t="array" ref="Y260">IFERROR(IF(ISNUMBER(O260),IF(COUNT(IF(A260=$A$2:$A$2427,IF(D260=$D$2:$D$2427,IF($X$2:$X$2427&gt;0,1))))&gt;0,SUM(IF(A260=$A$2:$A$2427,IF(D260=$D$2:$D$2427,$X$2:$X$2427)))/COUNT(IF(A260=$A$2:$A$2427,IF(D260=$D$2:$D$2427,IF(ISNUMBER($X$2:$X$2427),1)))),0),""),0)</f>
        <v/>
      </c>
      <c r="Z260" s="104" t="str">
        <f>IF(ISNUMBER(O260),IF(I260&gt;0,(10^(VLOOKUP(D260,'Species Codes'!B:C,2,0)+VLOOKUP(D260,'Species Codes'!B:D,3,0)*LOG(E260)+VLOOKUP(D260,'Species Codes'!B:E,4,0)*LOG(I260))),0),"")</f>
        <v/>
      </c>
      <c r="AA260" s="104" t="str">
        <f>IFERROR((VLOOKUP(D260,'Species Codes'!B:G,6,0)*Z260)/2000,"")</f>
        <v/>
      </c>
      <c r="AB260" s="104" t="e">
        <f>IF(Z260&gt;0,((IF(OR(D260="DF",D260="RA")=TRUE,EXP(VLOOKUP(D260,'Species Codes'!B:I,8,0)+VLOOKUP(D260,'Species Codes'!B:J,9,0)*(LN((E260*2.54)))),IF(OR(D260="PY",D260="RC",D260="WH",D260="NF")=TRUE,VLOOKUP(D260,'Species Codes'!B:I,8,0)+VLOOKUP(D260,'Species Codes'!B:J,9,0)*((E260*2.54)^2)*(I260*0.3048),IF(OR(D260="MD",D260="BM",D260="GA")=TRUE,((VLOOKUP(D260,'Species Codes'!B:I,8,0)*(((((E260*2.54)+VLOOKUP(D260,'Species Codes'!B:J,9,0))/VLOOKUP(D260,'Species Codes'!B:K,10,0))^VLOOKUP(D260,'Species Codes'!B:L,11,0))*((I260*0.3048)^VLOOKUP(D260,'Species Codes'!B:M,12,0))))-(VLOOKUP(D260,'Species Codes'!B:I,8,0)*((((E260*2.54)^VLOOKUP(D260,'Species Codes'!B:L,11,0))*((I260*0.3048)^VLOOKUP(D260,'Species Codes'!B:M,12,0))))))*35.3*VLOOKUP(D260,'Species Codes'!B:G,6,0)/2.2046,VLOOKUP(D260,'Species Codes'!B:I,8,0)+VLOOKUP(D260,'Species Codes'!B:J,9,0)*(((E260*2.54)/100)^2)*(I260*0.3048)))))*0.0011023),0)</f>
        <v>#N/A</v>
      </c>
      <c r="AC260" s="104" t="e">
        <f>IF(Z260&gt;0,((IF(OR(D260="RA",D260="OA",D260="OT",D260="UN",D260="PC"),EXP(VLOOKUP(D260,'Species Codes'!B:O,14,0)+VLOOKUP(D260,'Species Codes'!B:P,15,0)*LN((E260*2.54)))-EXP(VLOOKUP(D260,'Species Codes'!B:O,14,0)+VLOOKUP(D260,'Species Codes'!B:P,15,0)*LN((E260*2.54)))*(1/(VLOOKUP(D260,'Species Codes'!B:Q,16,0)+VLOOKUP(D260,'Species Codes'!B:R,17,0)*((E260*2.54)^VLOOKUP(D260,'Species Codes'!B:S,18,0)))),IF(OR(D260="BM",D260="MD",D260="OA"),EXP(VLOOKUP(D260,'Species Codes'!B:O,14,0)+VLOOKUP(D260,'Species Codes'!B:P,15,0)*LN((E260*2.54)))*(1-(1/(VLOOKUP(D260,'Species Codes'!B:Q,16,0)+VLOOKUP(D260,'Species Codes'!B:R,17,0)*((E260*2.54)^VLOOKUP(D260,'Species Codes'!B:S,18,0)))))/1000,IF(D260="DF",EXP(VLOOKUP(D260,'Species Codes'!B:O,14,0)+VLOOKUP(D260,'Species Codes'!B:P,15,0)*LN((E260*2.54))),VLOOKUP(D260,'Species Codes'!B:O,14,0)+VLOOKUP(D260,'Species Codes'!B:P,15,0)*(((E260*2.54)/100)^2)*(I260*0.3048)))))*0.0011023),0)</f>
        <v>#N/A</v>
      </c>
      <c r="AD260" s="104" t="e">
        <f t="shared" si="139"/>
        <v>#N/A</v>
      </c>
      <c r="AE260" s="104" t="e">
        <f t="shared" si="140"/>
        <v>#N/A</v>
      </c>
      <c r="AF260" s="104" t="e">
        <f>IF(AND(VLOOKUP($D260,Merchantability!$B:$C,2,0)="Yes",$E260&gt;=VLOOKUP($D260,Merchantability!$B:$D,3,0),$E260&lt;=VLOOKUP($D260,Merchantability!$B:$E,4,0)),AA260,0)</f>
        <v>#N/A</v>
      </c>
      <c r="AG260" s="104" t="e">
        <f>IF(AND(VLOOKUP($D260,Merchantability!$B:$C,2,0)="Yes",$E260&gt;=VLOOKUP($D260,Merchantability!$B:$D,3,0),$E260&lt;=VLOOKUP($D260,Merchantability!$B:$E,4,0)),AB260,0)</f>
        <v>#N/A</v>
      </c>
      <c r="AH260" s="104" t="e">
        <f>IF(AND(VLOOKUP($D260,Merchantability!$B:$C,2,0)="Yes",$E260&gt;=VLOOKUP($D260,Merchantability!$B:$D,3,0),$E260&lt;=VLOOKUP($D260,Merchantability!$B:$E,4,0)),AC260,0)</f>
        <v>#N/A</v>
      </c>
      <c r="AI260" s="104" t="e">
        <f t="shared" si="141"/>
        <v>#N/A</v>
      </c>
      <c r="AJ260" s="104" t="e">
        <f t="shared" si="142"/>
        <v>#VALUE!</v>
      </c>
      <c r="AK260" s="104" t="e">
        <f t="shared" si="143"/>
        <v>#N/A</v>
      </c>
      <c r="AL260" s="104" t="e">
        <f t="shared" si="144"/>
        <v>#N/A</v>
      </c>
      <c r="AM260" s="104" t="e">
        <f t="shared" si="145"/>
        <v>#N/A</v>
      </c>
      <c r="AN260" s="104" t="e">
        <f t="shared" si="156"/>
        <v>#N/A</v>
      </c>
      <c r="AO260" s="104" t="e">
        <f t="shared" si="157"/>
        <v>#N/A</v>
      </c>
      <c r="AP260" s="104" t="e">
        <f t="shared" si="158"/>
        <v>#N/A</v>
      </c>
      <c r="AQ260" s="104" t="e">
        <f t="shared" si="159"/>
        <v>#N/A</v>
      </c>
      <c r="AR260" s="105" t="str">
        <f t="shared" si="151"/>
        <v/>
      </c>
      <c r="AS260" s="105" t="str">
        <f t="shared" si="152"/>
        <v/>
      </c>
      <c r="AT260" s="108" t="str">
        <f t="shared" si="153"/>
        <v/>
      </c>
      <c r="AU260" s="108" t="str">
        <f t="shared" si="154"/>
        <v/>
      </c>
      <c r="AV260" s="107" t="str">
        <f>IF(ISNUMBER(O260),IF(VLOOKUP($A260,Stand!C:J,8,FALSE)="Short",AT260,AU260),"")</f>
        <v/>
      </c>
      <c r="AW260" s="109" t="str">
        <f t="shared" si="160"/>
        <v/>
      </c>
      <c r="AX260" s="109" t="str">
        <f t="shared" si="161"/>
        <v/>
      </c>
      <c r="AY260" s="112" t="str">
        <f>IF(ISNUMBER(O260),IF(AND(VLOOKUP($D260,Merchantability!$B:$C,2,0)="Yes",$E260&gt;=VLOOKUP($D260,Merchantability!$B:$D,3,0),$E260&lt;=VLOOKUP($D260,Merchantability!$B:$E,4,0)),(AV260*O260)*(1-$H260/100),""),"")</f>
        <v/>
      </c>
      <c r="AZ260" s="116"/>
      <c r="BA260" s="116"/>
      <c r="BB260" s="116"/>
      <c r="BE260" s="62"/>
      <c r="BF260" s="63"/>
    </row>
    <row r="261" spans="1:58" ht="12.75" customHeight="1" x14ac:dyDescent="0.25">
      <c r="A261" s="313"/>
      <c r="B261" s="380"/>
      <c r="C261" s="381"/>
      <c r="D261" s="380"/>
      <c r="E261" s="382"/>
      <c r="F261" s="331"/>
      <c r="G261" s="329"/>
      <c r="H261" s="329"/>
      <c r="I261" s="380"/>
      <c r="J261" s="381"/>
      <c r="K261" s="329"/>
      <c r="L261" s="329"/>
      <c r="M261" s="76"/>
      <c r="N261" s="103" t="str">
        <f>IF(A261="","",VLOOKUP(A261,Stand!C:K,9,0))</f>
        <v/>
      </c>
      <c r="O261" s="104" t="str">
        <f t="shared" si="146"/>
        <v/>
      </c>
      <c r="P261" s="105" t="str">
        <f t="shared" si="147"/>
        <v/>
      </c>
      <c r="Q261" s="105" t="str">
        <f t="shared" si="135"/>
        <v/>
      </c>
      <c r="R261" s="103" t="str">
        <f t="shared" si="148"/>
        <v/>
      </c>
      <c r="S261" s="103" t="str">
        <f t="shared" si="149"/>
        <v/>
      </c>
      <c r="T261" s="106" t="str">
        <f t="shared" si="136"/>
        <v/>
      </c>
      <c r="U261" s="106" t="str">
        <f t="shared" si="137"/>
        <v/>
      </c>
      <c r="V261" s="106" t="str">
        <f t="shared" si="138"/>
        <v/>
      </c>
      <c r="W261" s="105" t="str">
        <f t="shared" si="150"/>
        <v/>
      </c>
      <c r="X261" s="104" t="str">
        <f t="shared" si="155"/>
        <v/>
      </c>
      <c r="Y261" s="104" t="str">
        <f t="array" ref="Y261">IFERROR(IF(ISNUMBER(O261),IF(COUNT(IF(A261=$A$2:$A$2427,IF(D261=$D$2:$D$2427,IF($X$2:$X$2427&gt;0,1))))&gt;0,SUM(IF(A261=$A$2:$A$2427,IF(D261=$D$2:$D$2427,$X$2:$X$2427)))/COUNT(IF(A261=$A$2:$A$2427,IF(D261=$D$2:$D$2427,IF(ISNUMBER($X$2:$X$2427),1)))),0),""),0)</f>
        <v/>
      </c>
      <c r="Z261" s="104" t="str">
        <f>IF(ISNUMBER(O261),IF(I261&gt;0,(10^(VLOOKUP(D261,'Species Codes'!B:C,2,0)+VLOOKUP(D261,'Species Codes'!B:D,3,0)*LOG(E261)+VLOOKUP(D261,'Species Codes'!B:E,4,0)*LOG(I261))),0),"")</f>
        <v/>
      </c>
      <c r="AA261" s="104" t="str">
        <f>IFERROR((VLOOKUP(D261,'Species Codes'!B:G,6,0)*Z261)/2000,"")</f>
        <v/>
      </c>
      <c r="AB261" s="104" t="e">
        <f>IF(Z261&gt;0,((IF(OR(D261="DF",D261="RA")=TRUE,EXP(VLOOKUP(D261,'Species Codes'!B:I,8,0)+VLOOKUP(D261,'Species Codes'!B:J,9,0)*(LN((E261*2.54)))),IF(OR(D261="PY",D261="RC",D261="WH",D261="NF")=TRUE,VLOOKUP(D261,'Species Codes'!B:I,8,0)+VLOOKUP(D261,'Species Codes'!B:J,9,0)*((E261*2.54)^2)*(I261*0.3048),IF(OR(D261="MD",D261="BM",D261="GA")=TRUE,((VLOOKUP(D261,'Species Codes'!B:I,8,0)*(((((E261*2.54)+VLOOKUP(D261,'Species Codes'!B:J,9,0))/VLOOKUP(D261,'Species Codes'!B:K,10,0))^VLOOKUP(D261,'Species Codes'!B:L,11,0))*((I261*0.3048)^VLOOKUP(D261,'Species Codes'!B:M,12,0))))-(VLOOKUP(D261,'Species Codes'!B:I,8,0)*((((E261*2.54)^VLOOKUP(D261,'Species Codes'!B:L,11,0))*((I261*0.3048)^VLOOKUP(D261,'Species Codes'!B:M,12,0))))))*35.3*VLOOKUP(D261,'Species Codes'!B:G,6,0)/2.2046,VLOOKUP(D261,'Species Codes'!B:I,8,0)+VLOOKUP(D261,'Species Codes'!B:J,9,0)*(((E261*2.54)/100)^2)*(I261*0.3048)))))*0.0011023),0)</f>
        <v>#N/A</v>
      </c>
      <c r="AC261" s="104" t="e">
        <f>IF(Z261&gt;0,((IF(OR(D261="RA",D261="OA",D261="OT",D261="UN",D261="PC"),EXP(VLOOKUP(D261,'Species Codes'!B:O,14,0)+VLOOKUP(D261,'Species Codes'!B:P,15,0)*LN((E261*2.54)))-EXP(VLOOKUP(D261,'Species Codes'!B:O,14,0)+VLOOKUP(D261,'Species Codes'!B:P,15,0)*LN((E261*2.54)))*(1/(VLOOKUP(D261,'Species Codes'!B:Q,16,0)+VLOOKUP(D261,'Species Codes'!B:R,17,0)*((E261*2.54)^VLOOKUP(D261,'Species Codes'!B:S,18,0)))),IF(OR(D261="BM",D261="MD",D261="OA"),EXP(VLOOKUP(D261,'Species Codes'!B:O,14,0)+VLOOKUP(D261,'Species Codes'!B:P,15,0)*LN((E261*2.54)))*(1-(1/(VLOOKUP(D261,'Species Codes'!B:Q,16,0)+VLOOKUP(D261,'Species Codes'!B:R,17,0)*((E261*2.54)^VLOOKUP(D261,'Species Codes'!B:S,18,0)))))/1000,IF(D261="DF",EXP(VLOOKUP(D261,'Species Codes'!B:O,14,0)+VLOOKUP(D261,'Species Codes'!B:P,15,0)*LN((E261*2.54))),VLOOKUP(D261,'Species Codes'!B:O,14,0)+VLOOKUP(D261,'Species Codes'!B:P,15,0)*(((E261*2.54)/100)^2)*(I261*0.3048)))))*0.0011023),0)</f>
        <v>#N/A</v>
      </c>
      <c r="AD261" s="104" t="e">
        <f t="shared" si="139"/>
        <v>#N/A</v>
      </c>
      <c r="AE261" s="104" t="e">
        <f t="shared" si="140"/>
        <v>#N/A</v>
      </c>
      <c r="AF261" s="104" t="e">
        <f>IF(AND(VLOOKUP($D261,Merchantability!$B:$C,2,0)="Yes",$E261&gt;=VLOOKUP($D261,Merchantability!$B:$D,3,0),$E261&lt;=VLOOKUP($D261,Merchantability!$B:$E,4,0)),AA261,0)</f>
        <v>#N/A</v>
      </c>
      <c r="AG261" s="104" t="e">
        <f>IF(AND(VLOOKUP($D261,Merchantability!$B:$C,2,0)="Yes",$E261&gt;=VLOOKUP($D261,Merchantability!$B:$D,3,0),$E261&lt;=VLOOKUP($D261,Merchantability!$B:$E,4,0)),AB261,0)</f>
        <v>#N/A</v>
      </c>
      <c r="AH261" s="104" t="e">
        <f>IF(AND(VLOOKUP($D261,Merchantability!$B:$C,2,0)="Yes",$E261&gt;=VLOOKUP($D261,Merchantability!$B:$D,3,0),$E261&lt;=VLOOKUP($D261,Merchantability!$B:$E,4,0)),AC261,0)</f>
        <v>#N/A</v>
      </c>
      <c r="AI261" s="104" t="e">
        <f t="shared" si="141"/>
        <v>#N/A</v>
      </c>
      <c r="AJ261" s="104" t="e">
        <f t="shared" si="142"/>
        <v>#VALUE!</v>
      </c>
      <c r="AK261" s="104" t="e">
        <f t="shared" si="143"/>
        <v>#N/A</v>
      </c>
      <c r="AL261" s="104" t="e">
        <f t="shared" si="144"/>
        <v>#N/A</v>
      </c>
      <c r="AM261" s="104" t="e">
        <f t="shared" si="145"/>
        <v>#N/A</v>
      </c>
      <c r="AN261" s="104" t="e">
        <f t="shared" si="156"/>
        <v>#N/A</v>
      </c>
      <c r="AO261" s="104" t="e">
        <f t="shared" si="157"/>
        <v>#N/A</v>
      </c>
      <c r="AP261" s="104" t="e">
        <f t="shared" si="158"/>
        <v>#N/A</v>
      </c>
      <c r="AQ261" s="104" t="e">
        <f t="shared" si="159"/>
        <v>#N/A</v>
      </c>
      <c r="AR261" s="105" t="str">
        <f t="shared" si="151"/>
        <v/>
      </c>
      <c r="AS261" s="105" t="str">
        <f t="shared" si="152"/>
        <v/>
      </c>
      <c r="AT261" s="108" t="str">
        <f t="shared" si="153"/>
        <v/>
      </c>
      <c r="AU261" s="108" t="str">
        <f t="shared" si="154"/>
        <v/>
      </c>
      <c r="AV261" s="107" t="str">
        <f>IF(ISNUMBER(O261),IF(VLOOKUP($A261,Stand!C:J,8,FALSE)="Short",AT261,AU261),"")</f>
        <v/>
      </c>
      <c r="AW261" s="109" t="str">
        <f t="shared" si="160"/>
        <v/>
      </c>
      <c r="AX261" s="109" t="str">
        <f t="shared" si="161"/>
        <v/>
      </c>
      <c r="AY261" s="112" t="str">
        <f>IF(ISNUMBER(O261),IF(AND(VLOOKUP($D261,Merchantability!$B:$C,2,0)="Yes",$E261&gt;=VLOOKUP($D261,Merchantability!$B:$D,3,0),$E261&lt;=VLOOKUP($D261,Merchantability!$B:$E,4,0)),(AV261*O261)*(1-$H261/100),""),"")</f>
        <v/>
      </c>
      <c r="AZ261" s="116"/>
      <c r="BA261" s="116"/>
      <c r="BB261" s="116"/>
      <c r="BE261" s="62"/>
      <c r="BF261" s="63"/>
    </row>
    <row r="262" spans="1:58" ht="12.75" customHeight="1" x14ac:dyDescent="0.25">
      <c r="A262" s="313"/>
      <c r="B262" s="380"/>
      <c r="C262" s="381"/>
      <c r="D262" s="380"/>
      <c r="E262" s="382"/>
      <c r="F262" s="331"/>
      <c r="G262" s="329"/>
      <c r="H262" s="329"/>
      <c r="I262" s="380"/>
      <c r="J262" s="381"/>
      <c r="K262" s="329"/>
      <c r="L262" s="329"/>
      <c r="M262" s="76"/>
      <c r="N262" s="103" t="str">
        <f>IF(A262="","",VLOOKUP(A262,Stand!C:K,9,0))</f>
        <v/>
      </c>
      <c r="O262" s="104" t="str">
        <f t="shared" si="146"/>
        <v/>
      </c>
      <c r="P262" s="105" t="str">
        <f t="shared" si="147"/>
        <v/>
      </c>
      <c r="Q262" s="105" t="str">
        <f t="shared" si="135"/>
        <v/>
      </c>
      <c r="R262" s="103" t="str">
        <f t="shared" si="148"/>
        <v/>
      </c>
      <c r="S262" s="103" t="str">
        <f t="shared" si="149"/>
        <v/>
      </c>
      <c r="T262" s="106" t="str">
        <f t="shared" si="136"/>
        <v/>
      </c>
      <c r="U262" s="106" t="str">
        <f t="shared" si="137"/>
        <v/>
      </c>
      <c r="V262" s="106" t="str">
        <f t="shared" si="138"/>
        <v/>
      </c>
      <c r="W262" s="105" t="str">
        <f t="shared" si="150"/>
        <v/>
      </c>
      <c r="X262" s="104" t="str">
        <f t="shared" si="155"/>
        <v/>
      </c>
      <c r="Y262" s="104" t="str">
        <f t="array" ref="Y262">IFERROR(IF(ISNUMBER(O262),IF(COUNT(IF(A262=$A$2:$A$2427,IF(D262=$D$2:$D$2427,IF($X$2:$X$2427&gt;0,1))))&gt;0,SUM(IF(A262=$A$2:$A$2427,IF(D262=$D$2:$D$2427,$X$2:$X$2427)))/COUNT(IF(A262=$A$2:$A$2427,IF(D262=$D$2:$D$2427,IF(ISNUMBER($X$2:$X$2427),1)))),0),""),0)</f>
        <v/>
      </c>
      <c r="Z262" s="104" t="str">
        <f>IF(ISNUMBER(O262),IF(I262&gt;0,(10^(VLOOKUP(D262,'Species Codes'!B:C,2,0)+VLOOKUP(D262,'Species Codes'!B:D,3,0)*LOG(E262)+VLOOKUP(D262,'Species Codes'!B:E,4,0)*LOG(I262))),0),"")</f>
        <v/>
      </c>
      <c r="AA262" s="104" t="str">
        <f>IFERROR((VLOOKUP(D262,'Species Codes'!B:G,6,0)*Z262)/2000,"")</f>
        <v/>
      </c>
      <c r="AB262" s="104" t="e">
        <f>IF(Z262&gt;0,((IF(OR(D262="DF",D262="RA")=TRUE,EXP(VLOOKUP(D262,'Species Codes'!B:I,8,0)+VLOOKUP(D262,'Species Codes'!B:J,9,0)*(LN((E262*2.54)))),IF(OR(D262="PY",D262="RC",D262="WH",D262="NF")=TRUE,VLOOKUP(D262,'Species Codes'!B:I,8,0)+VLOOKUP(D262,'Species Codes'!B:J,9,0)*((E262*2.54)^2)*(I262*0.3048),IF(OR(D262="MD",D262="BM",D262="GA")=TRUE,((VLOOKUP(D262,'Species Codes'!B:I,8,0)*(((((E262*2.54)+VLOOKUP(D262,'Species Codes'!B:J,9,0))/VLOOKUP(D262,'Species Codes'!B:K,10,0))^VLOOKUP(D262,'Species Codes'!B:L,11,0))*((I262*0.3048)^VLOOKUP(D262,'Species Codes'!B:M,12,0))))-(VLOOKUP(D262,'Species Codes'!B:I,8,0)*((((E262*2.54)^VLOOKUP(D262,'Species Codes'!B:L,11,0))*((I262*0.3048)^VLOOKUP(D262,'Species Codes'!B:M,12,0))))))*35.3*VLOOKUP(D262,'Species Codes'!B:G,6,0)/2.2046,VLOOKUP(D262,'Species Codes'!B:I,8,0)+VLOOKUP(D262,'Species Codes'!B:J,9,0)*(((E262*2.54)/100)^2)*(I262*0.3048)))))*0.0011023),0)</f>
        <v>#N/A</v>
      </c>
      <c r="AC262" s="104" t="e">
        <f>IF(Z262&gt;0,((IF(OR(D262="RA",D262="OA",D262="OT",D262="UN",D262="PC"),EXP(VLOOKUP(D262,'Species Codes'!B:O,14,0)+VLOOKUP(D262,'Species Codes'!B:P,15,0)*LN((E262*2.54)))-EXP(VLOOKUP(D262,'Species Codes'!B:O,14,0)+VLOOKUP(D262,'Species Codes'!B:P,15,0)*LN((E262*2.54)))*(1/(VLOOKUP(D262,'Species Codes'!B:Q,16,0)+VLOOKUP(D262,'Species Codes'!B:R,17,0)*((E262*2.54)^VLOOKUP(D262,'Species Codes'!B:S,18,0)))),IF(OR(D262="BM",D262="MD",D262="OA"),EXP(VLOOKUP(D262,'Species Codes'!B:O,14,0)+VLOOKUP(D262,'Species Codes'!B:P,15,0)*LN((E262*2.54)))*(1-(1/(VLOOKUP(D262,'Species Codes'!B:Q,16,0)+VLOOKUP(D262,'Species Codes'!B:R,17,0)*((E262*2.54)^VLOOKUP(D262,'Species Codes'!B:S,18,0)))))/1000,IF(D262="DF",EXP(VLOOKUP(D262,'Species Codes'!B:O,14,0)+VLOOKUP(D262,'Species Codes'!B:P,15,0)*LN((E262*2.54))),VLOOKUP(D262,'Species Codes'!B:O,14,0)+VLOOKUP(D262,'Species Codes'!B:P,15,0)*(((E262*2.54)/100)^2)*(I262*0.3048)))))*0.0011023),0)</f>
        <v>#N/A</v>
      </c>
      <c r="AD262" s="104" t="e">
        <f t="shared" si="139"/>
        <v>#N/A</v>
      </c>
      <c r="AE262" s="104" t="e">
        <f t="shared" si="140"/>
        <v>#N/A</v>
      </c>
      <c r="AF262" s="104" t="e">
        <f>IF(AND(VLOOKUP($D262,Merchantability!$B:$C,2,0)="Yes",$E262&gt;=VLOOKUP($D262,Merchantability!$B:$D,3,0),$E262&lt;=VLOOKUP($D262,Merchantability!$B:$E,4,0)),AA262,0)</f>
        <v>#N/A</v>
      </c>
      <c r="AG262" s="104" t="e">
        <f>IF(AND(VLOOKUP($D262,Merchantability!$B:$C,2,0)="Yes",$E262&gt;=VLOOKUP($D262,Merchantability!$B:$D,3,0),$E262&lt;=VLOOKUP($D262,Merchantability!$B:$E,4,0)),AB262,0)</f>
        <v>#N/A</v>
      </c>
      <c r="AH262" s="104" t="e">
        <f>IF(AND(VLOOKUP($D262,Merchantability!$B:$C,2,0)="Yes",$E262&gt;=VLOOKUP($D262,Merchantability!$B:$D,3,0),$E262&lt;=VLOOKUP($D262,Merchantability!$B:$E,4,0)),AC262,0)</f>
        <v>#N/A</v>
      </c>
      <c r="AI262" s="104" t="e">
        <f t="shared" si="141"/>
        <v>#N/A</v>
      </c>
      <c r="AJ262" s="104" t="e">
        <f t="shared" si="142"/>
        <v>#VALUE!</v>
      </c>
      <c r="AK262" s="104" t="e">
        <f t="shared" si="143"/>
        <v>#N/A</v>
      </c>
      <c r="AL262" s="104" t="e">
        <f t="shared" si="144"/>
        <v>#N/A</v>
      </c>
      <c r="AM262" s="104" t="e">
        <f t="shared" si="145"/>
        <v>#N/A</v>
      </c>
      <c r="AN262" s="104" t="e">
        <f t="shared" si="156"/>
        <v>#N/A</v>
      </c>
      <c r="AO262" s="104" t="e">
        <f t="shared" si="157"/>
        <v>#N/A</v>
      </c>
      <c r="AP262" s="104" t="e">
        <f t="shared" si="158"/>
        <v>#N/A</v>
      </c>
      <c r="AQ262" s="104" t="e">
        <f t="shared" si="159"/>
        <v>#N/A</v>
      </c>
      <c r="AR262" s="105" t="str">
        <f t="shared" si="151"/>
        <v/>
      </c>
      <c r="AS262" s="105" t="str">
        <f t="shared" si="152"/>
        <v/>
      </c>
      <c r="AT262" s="108" t="str">
        <f t="shared" si="153"/>
        <v/>
      </c>
      <c r="AU262" s="108" t="str">
        <f t="shared" si="154"/>
        <v/>
      </c>
      <c r="AV262" s="107" t="str">
        <f>IF(ISNUMBER(O262),IF(VLOOKUP($A262,Stand!C:J,8,FALSE)="Short",AT262,AU262),"")</f>
        <v/>
      </c>
      <c r="AW262" s="109" t="str">
        <f t="shared" si="160"/>
        <v/>
      </c>
      <c r="AX262" s="109" t="str">
        <f t="shared" si="161"/>
        <v/>
      </c>
      <c r="AY262" s="112" t="str">
        <f>IF(ISNUMBER(O262),IF(AND(VLOOKUP($D262,Merchantability!$B:$C,2,0)="Yes",$E262&gt;=VLOOKUP($D262,Merchantability!$B:$D,3,0),$E262&lt;=VLOOKUP($D262,Merchantability!$B:$E,4,0)),(AV262*O262)*(1-$H262/100),""),"")</f>
        <v/>
      </c>
      <c r="AZ262" s="116"/>
      <c r="BA262" s="116"/>
      <c r="BB262" s="116"/>
      <c r="BE262" s="62"/>
      <c r="BF262" s="63"/>
    </row>
    <row r="263" spans="1:58" ht="12.75" customHeight="1" x14ac:dyDescent="0.25">
      <c r="A263" s="313"/>
      <c r="B263" s="380"/>
      <c r="C263" s="381"/>
      <c r="D263" s="380"/>
      <c r="E263" s="382"/>
      <c r="F263" s="331"/>
      <c r="G263" s="329"/>
      <c r="H263" s="329"/>
      <c r="I263" s="380"/>
      <c r="J263" s="381"/>
      <c r="K263" s="329"/>
      <c r="L263" s="329"/>
      <c r="M263" s="76"/>
      <c r="N263" s="103" t="str">
        <f>IF(A263="","",VLOOKUP(A263,Stand!C:K,9,0))</f>
        <v/>
      </c>
      <c r="O263" s="104" t="str">
        <f t="shared" si="146"/>
        <v/>
      </c>
      <c r="P263" s="105" t="str">
        <f t="shared" si="147"/>
        <v/>
      </c>
      <c r="Q263" s="105" t="str">
        <f t="shared" si="135"/>
        <v/>
      </c>
      <c r="R263" s="103" t="str">
        <f t="shared" si="148"/>
        <v/>
      </c>
      <c r="S263" s="103" t="str">
        <f t="shared" si="149"/>
        <v/>
      </c>
      <c r="T263" s="106" t="str">
        <f t="shared" si="136"/>
        <v/>
      </c>
      <c r="U263" s="106" t="str">
        <f t="shared" si="137"/>
        <v/>
      </c>
      <c r="V263" s="106" t="str">
        <f t="shared" si="138"/>
        <v/>
      </c>
      <c r="W263" s="105" t="str">
        <f t="shared" si="150"/>
        <v/>
      </c>
      <c r="X263" s="104" t="str">
        <f t="shared" si="155"/>
        <v/>
      </c>
      <c r="Y263" s="104" t="str">
        <f t="array" ref="Y263">IFERROR(IF(ISNUMBER(O263),IF(COUNT(IF(A263=$A$2:$A$2427,IF(D263=$D$2:$D$2427,IF($X$2:$X$2427&gt;0,1))))&gt;0,SUM(IF(A263=$A$2:$A$2427,IF(D263=$D$2:$D$2427,$X$2:$X$2427)))/COUNT(IF(A263=$A$2:$A$2427,IF(D263=$D$2:$D$2427,IF(ISNUMBER($X$2:$X$2427),1)))),0),""),0)</f>
        <v/>
      </c>
      <c r="Z263" s="104" t="str">
        <f>IF(ISNUMBER(O263),IF(I263&gt;0,(10^(VLOOKUP(D263,'Species Codes'!B:C,2,0)+VLOOKUP(D263,'Species Codes'!B:D,3,0)*LOG(E263)+VLOOKUP(D263,'Species Codes'!B:E,4,0)*LOG(I263))),0),"")</f>
        <v/>
      </c>
      <c r="AA263" s="104" t="str">
        <f>IFERROR((VLOOKUP(D263,'Species Codes'!B:G,6,0)*Z263)/2000,"")</f>
        <v/>
      </c>
      <c r="AB263" s="104" t="e">
        <f>IF(Z263&gt;0,((IF(OR(D263="DF",D263="RA")=TRUE,EXP(VLOOKUP(D263,'Species Codes'!B:I,8,0)+VLOOKUP(D263,'Species Codes'!B:J,9,0)*(LN((E263*2.54)))),IF(OR(D263="PY",D263="RC",D263="WH",D263="NF")=TRUE,VLOOKUP(D263,'Species Codes'!B:I,8,0)+VLOOKUP(D263,'Species Codes'!B:J,9,0)*((E263*2.54)^2)*(I263*0.3048),IF(OR(D263="MD",D263="BM",D263="GA")=TRUE,((VLOOKUP(D263,'Species Codes'!B:I,8,0)*(((((E263*2.54)+VLOOKUP(D263,'Species Codes'!B:J,9,0))/VLOOKUP(D263,'Species Codes'!B:K,10,0))^VLOOKUP(D263,'Species Codes'!B:L,11,0))*((I263*0.3048)^VLOOKUP(D263,'Species Codes'!B:M,12,0))))-(VLOOKUP(D263,'Species Codes'!B:I,8,0)*((((E263*2.54)^VLOOKUP(D263,'Species Codes'!B:L,11,0))*((I263*0.3048)^VLOOKUP(D263,'Species Codes'!B:M,12,0))))))*35.3*VLOOKUP(D263,'Species Codes'!B:G,6,0)/2.2046,VLOOKUP(D263,'Species Codes'!B:I,8,0)+VLOOKUP(D263,'Species Codes'!B:J,9,0)*(((E263*2.54)/100)^2)*(I263*0.3048)))))*0.0011023),0)</f>
        <v>#N/A</v>
      </c>
      <c r="AC263" s="104" t="e">
        <f>IF(Z263&gt;0,((IF(OR(D263="RA",D263="OA",D263="OT",D263="UN",D263="PC"),EXP(VLOOKUP(D263,'Species Codes'!B:O,14,0)+VLOOKUP(D263,'Species Codes'!B:P,15,0)*LN((E263*2.54)))-EXP(VLOOKUP(D263,'Species Codes'!B:O,14,0)+VLOOKUP(D263,'Species Codes'!B:P,15,0)*LN((E263*2.54)))*(1/(VLOOKUP(D263,'Species Codes'!B:Q,16,0)+VLOOKUP(D263,'Species Codes'!B:R,17,0)*((E263*2.54)^VLOOKUP(D263,'Species Codes'!B:S,18,0)))),IF(OR(D263="BM",D263="MD",D263="OA"),EXP(VLOOKUP(D263,'Species Codes'!B:O,14,0)+VLOOKUP(D263,'Species Codes'!B:P,15,0)*LN((E263*2.54)))*(1-(1/(VLOOKUP(D263,'Species Codes'!B:Q,16,0)+VLOOKUP(D263,'Species Codes'!B:R,17,0)*((E263*2.54)^VLOOKUP(D263,'Species Codes'!B:S,18,0)))))/1000,IF(D263="DF",EXP(VLOOKUP(D263,'Species Codes'!B:O,14,0)+VLOOKUP(D263,'Species Codes'!B:P,15,0)*LN((E263*2.54))),VLOOKUP(D263,'Species Codes'!B:O,14,0)+VLOOKUP(D263,'Species Codes'!B:P,15,0)*(((E263*2.54)/100)^2)*(I263*0.3048)))))*0.0011023),0)</f>
        <v>#N/A</v>
      </c>
      <c r="AD263" s="104" t="e">
        <f t="shared" si="139"/>
        <v>#N/A</v>
      </c>
      <c r="AE263" s="104" t="e">
        <f t="shared" si="140"/>
        <v>#N/A</v>
      </c>
      <c r="AF263" s="104" t="e">
        <f>IF(AND(VLOOKUP($D263,Merchantability!$B:$C,2,0)="Yes",$E263&gt;=VLOOKUP($D263,Merchantability!$B:$D,3,0),$E263&lt;=VLOOKUP($D263,Merchantability!$B:$E,4,0)),AA263,0)</f>
        <v>#N/A</v>
      </c>
      <c r="AG263" s="104" t="e">
        <f>IF(AND(VLOOKUP($D263,Merchantability!$B:$C,2,0)="Yes",$E263&gt;=VLOOKUP($D263,Merchantability!$B:$D,3,0),$E263&lt;=VLOOKUP($D263,Merchantability!$B:$E,4,0)),AB263,0)</f>
        <v>#N/A</v>
      </c>
      <c r="AH263" s="104" t="e">
        <f>IF(AND(VLOOKUP($D263,Merchantability!$B:$C,2,0)="Yes",$E263&gt;=VLOOKUP($D263,Merchantability!$B:$D,3,0),$E263&lt;=VLOOKUP($D263,Merchantability!$B:$E,4,0)),AC263,0)</f>
        <v>#N/A</v>
      </c>
      <c r="AI263" s="104" t="e">
        <f t="shared" si="141"/>
        <v>#N/A</v>
      </c>
      <c r="AJ263" s="104" t="e">
        <f t="shared" si="142"/>
        <v>#VALUE!</v>
      </c>
      <c r="AK263" s="104" t="e">
        <f t="shared" si="143"/>
        <v>#N/A</v>
      </c>
      <c r="AL263" s="104" t="e">
        <f t="shared" si="144"/>
        <v>#N/A</v>
      </c>
      <c r="AM263" s="104" t="e">
        <f t="shared" si="145"/>
        <v>#N/A</v>
      </c>
      <c r="AN263" s="104" t="e">
        <f t="shared" si="156"/>
        <v>#N/A</v>
      </c>
      <c r="AO263" s="104" t="e">
        <f t="shared" si="157"/>
        <v>#N/A</v>
      </c>
      <c r="AP263" s="104" t="e">
        <f t="shared" si="158"/>
        <v>#N/A</v>
      </c>
      <c r="AQ263" s="104" t="e">
        <f t="shared" si="159"/>
        <v>#N/A</v>
      </c>
      <c r="AR263" s="105" t="str">
        <f t="shared" si="151"/>
        <v/>
      </c>
      <c r="AS263" s="105" t="str">
        <f t="shared" si="152"/>
        <v/>
      </c>
      <c r="AT263" s="108" t="str">
        <f t="shared" si="153"/>
        <v/>
      </c>
      <c r="AU263" s="108" t="str">
        <f t="shared" si="154"/>
        <v/>
      </c>
      <c r="AV263" s="107" t="str">
        <f>IF(ISNUMBER(O263),IF(VLOOKUP($A263,Stand!C:J,8,FALSE)="Short",AT263,AU263),"")</f>
        <v/>
      </c>
      <c r="AW263" s="109" t="str">
        <f t="shared" si="160"/>
        <v/>
      </c>
      <c r="AX263" s="109" t="str">
        <f t="shared" si="161"/>
        <v/>
      </c>
      <c r="AY263" s="112" t="str">
        <f>IF(ISNUMBER(O263),IF(AND(VLOOKUP($D263,Merchantability!$B:$C,2,0)="Yes",$E263&gt;=VLOOKUP($D263,Merchantability!$B:$D,3,0),$E263&lt;=VLOOKUP($D263,Merchantability!$B:$E,4,0)),(AV263*O263)*(1-$H263/100),""),"")</f>
        <v/>
      </c>
      <c r="AZ263" s="116"/>
      <c r="BA263" s="116"/>
      <c r="BB263" s="116"/>
      <c r="BE263" s="62"/>
      <c r="BF263" s="63"/>
    </row>
    <row r="264" spans="1:58" ht="12.75" customHeight="1" x14ac:dyDescent="0.25">
      <c r="A264" s="313"/>
      <c r="B264" s="380"/>
      <c r="C264" s="381"/>
      <c r="D264" s="380"/>
      <c r="E264" s="382"/>
      <c r="F264" s="331"/>
      <c r="G264" s="329"/>
      <c r="H264" s="329"/>
      <c r="I264" s="380"/>
      <c r="J264" s="381"/>
      <c r="K264" s="329"/>
      <c r="L264" s="329"/>
      <c r="M264" s="76"/>
      <c r="N264" s="103" t="str">
        <f>IF(A264="","",VLOOKUP(A264,Stand!C:K,9,0))</f>
        <v/>
      </c>
      <c r="O264" s="104" t="str">
        <f t="shared" si="146"/>
        <v/>
      </c>
      <c r="P264" s="105" t="str">
        <f t="shared" si="147"/>
        <v/>
      </c>
      <c r="Q264" s="105" t="str">
        <f t="shared" si="135"/>
        <v/>
      </c>
      <c r="R264" s="103" t="str">
        <f t="shared" si="148"/>
        <v/>
      </c>
      <c r="S264" s="103" t="str">
        <f t="shared" si="149"/>
        <v/>
      </c>
      <c r="T264" s="106" t="str">
        <f t="shared" si="136"/>
        <v/>
      </c>
      <c r="U264" s="106" t="str">
        <f t="shared" si="137"/>
        <v/>
      </c>
      <c r="V264" s="106" t="str">
        <f t="shared" si="138"/>
        <v/>
      </c>
      <c r="W264" s="105" t="str">
        <f t="shared" si="150"/>
        <v/>
      </c>
      <c r="X264" s="104" t="str">
        <f t="shared" si="155"/>
        <v/>
      </c>
      <c r="Y264" s="104" t="str">
        <f t="array" ref="Y264">IFERROR(IF(ISNUMBER(O264),IF(COUNT(IF(A264=$A$2:$A$2427,IF(D264=$D$2:$D$2427,IF($X$2:$X$2427&gt;0,1))))&gt;0,SUM(IF(A264=$A$2:$A$2427,IF(D264=$D$2:$D$2427,$X$2:$X$2427)))/COUNT(IF(A264=$A$2:$A$2427,IF(D264=$D$2:$D$2427,IF(ISNUMBER($X$2:$X$2427),1)))),0),""),0)</f>
        <v/>
      </c>
      <c r="Z264" s="104" t="str">
        <f>IF(ISNUMBER(O264),IF(I264&gt;0,(10^(VLOOKUP(D264,'Species Codes'!B:C,2,0)+VLOOKUP(D264,'Species Codes'!B:D,3,0)*LOG(E264)+VLOOKUP(D264,'Species Codes'!B:E,4,0)*LOG(I264))),0),"")</f>
        <v/>
      </c>
      <c r="AA264" s="104" t="str">
        <f>IFERROR((VLOOKUP(D264,'Species Codes'!B:G,6,0)*Z264)/2000,"")</f>
        <v/>
      </c>
      <c r="AB264" s="104" t="e">
        <f>IF(Z264&gt;0,((IF(OR(D264="DF",D264="RA")=TRUE,EXP(VLOOKUP(D264,'Species Codes'!B:I,8,0)+VLOOKUP(D264,'Species Codes'!B:J,9,0)*(LN((E264*2.54)))),IF(OR(D264="PY",D264="RC",D264="WH",D264="NF")=TRUE,VLOOKUP(D264,'Species Codes'!B:I,8,0)+VLOOKUP(D264,'Species Codes'!B:J,9,0)*((E264*2.54)^2)*(I264*0.3048),IF(OR(D264="MD",D264="BM",D264="GA")=TRUE,((VLOOKUP(D264,'Species Codes'!B:I,8,0)*(((((E264*2.54)+VLOOKUP(D264,'Species Codes'!B:J,9,0))/VLOOKUP(D264,'Species Codes'!B:K,10,0))^VLOOKUP(D264,'Species Codes'!B:L,11,0))*((I264*0.3048)^VLOOKUP(D264,'Species Codes'!B:M,12,0))))-(VLOOKUP(D264,'Species Codes'!B:I,8,0)*((((E264*2.54)^VLOOKUP(D264,'Species Codes'!B:L,11,0))*((I264*0.3048)^VLOOKUP(D264,'Species Codes'!B:M,12,0))))))*35.3*VLOOKUP(D264,'Species Codes'!B:G,6,0)/2.2046,VLOOKUP(D264,'Species Codes'!B:I,8,0)+VLOOKUP(D264,'Species Codes'!B:J,9,0)*(((E264*2.54)/100)^2)*(I264*0.3048)))))*0.0011023),0)</f>
        <v>#N/A</v>
      </c>
      <c r="AC264" s="104" t="e">
        <f>IF(Z264&gt;0,((IF(OR(D264="RA",D264="OA",D264="OT",D264="UN",D264="PC"),EXP(VLOOKUP(D264,'Species Codes'!B:O,14,0)+VLOOKUP(D264,'Species Codes'!B:P,15,0)*LN((E264*2.54)))-EXP(VLOOKUP(D264,'Species Codes'!B:O,14,0)+VLOOKUP(D264,'Species Codes'!B:P,15,0)*LN((E264*2.54)))*(1/(VLOOKUP(D264,'Species Codes'!B:Q,16,0)+VLOOKUP(D264,'Species Codes'!B:R,17,0)*((E264*2.54)^VLOOKUP(D264,'Species Codes'!B:S,18,0)))),IF(OR(D264="BM",D264="MD",D264="OA"),EXP(VLOOKUP(D264,'Species Codes'!B:O,14,0)+VLOOKUP(D264,'Species Codes'!B:P,15,0)*LN((E264*2.54)))*(1-(1/(VLOOKUP(D264,'Species Codes'!B:Q,16,0)+VLOOKUP(D264,'Species Codes'!B:R,17,0)*((E264*2.54)^VLOOKUP(D264,'Species Codes'!B:S,18,0)))))/1000,IF(D264="DF",EXP(VLOOKUP(D264,'Species Codes'!B:O,14,0)+VLOOKUP(D264,'Species Codes'!B:P,15,0)*LN((E264*2.54))),VLOOKUP(D264,'Species Codes'!B:O,14,0)+VLOOKUP(D264,'Species Codes'!B:P,15,0)*(((E264*2.54)/100)^2)*(I264*0.3048)))))*0.0011023),0)</f>
        <v>#N/A</v>
      </c>
      <c r="AD264" s="104" t="e">
        <f t="shared" si="139"/>
        <v>#N/A</v>
      </c>
      <c r="AE264" s="104" t="e">
        <f t="shared" si="140"/>
        <v>#N/A</v>
      </c>
      <c r="AF264" s="104" t="e">
        <f>IF(AND(VLOOKUP($D264,Merchantability!$B:$C,2,0)="Yes",$E264&gt;=VLOOKUP($D264,Merchantability!$B:$D,3,0),$E264&lt;=VLOOKUP($D264,Merchantability!$B:$E,4,0)),AA264,0)</f>
        <v>#N/A</v>
      </c>
      <c r="AG264" s="104" t="e">
        <f>IF(AND(VLOOKUP($D264,Merchantability!$B:$C,2,0)="Yes",$E264&gt;=VLOOKUP($D264,Merchantability!$B:$D,3,0),$E264&lt;=VLOOKUP($D264,Merchantability!$B:$E,4,0)),AB264,0)</f>
        <v>#N/A</v>
      </c>
      <c r="AH264" s="104" t="e">
        <f>IF(AND(VLOOKUP($D264,Merchantability!$B:$C,2,0)="Yes",$E264&gt;=VLOOKUP($D264,Merchantability!$B:$D,3,0),$E264&lt;=VLOOKUP($D264,Merchantability!$B:$E,4,0)),AC264,0)</f>
        <v>#N/A</v>
      </c>
      <c r="AI264" s="104" t="e">
        <f t="shared" si="141"/>
        <v>#N/A</v>
      </c>
      <c r="AJ264" s="104" t="e">
        <f t="shared" si="142"/>
        <v>#VALUE!</v>
      </c>
      <c r="AK264" s="104" t="e">
        <f t="shared" si="143"/>
        <v>#N/A</v>
      </c>
      <c r="AL264" s="104" t="e">
        <f t="shared" si="144"/>
        <v>#N/A</v>
      </c>
      <c r="AM264" s="104" t="e">
        <f t="shared" si="145"/>
        <v>#N/A</v>
      </c>
      <c r="AN264" s="104" t="e">
        <f t="shared" si="156"/>
        <v>#N/A</v>
      </c>
      <c r="AO264" s="104" t="e">
        <f t="shared" si="157"/>
        <v>#N/A</v>
      </c>
      <c r="AP264" s="104" t="e">
        <f t="shared" si="158"/>
        <v>#N/A</v>
      </c>
      <c r="AQ264" s="104" t="e">
        <f t="shared" si="159"/>
        <v>#N/A</v>
      </c>
      <c r="AR264" s="105" t="str">
        <f t="shared" si="151"/>
        <v/>
      </c>
      <c r="AS264" s="105" t="str">
        <f t="shared" si="152"/>
        <v/>
      </c>
      <c r="AT264" s="108" t="str">
        <f t="shared" si="153"/>
        <v/>
      </c>
      <c r="AU264" s="108" t="str">
        <f t="shared" si="154"/>
        <v/>
      </c>
      <c r="AV264" s="107" t="str">
        <f>IF(ISNUMBER(O264),IF(VLOOKUP($A264,Stand!C:J,8,FALSE)="Short",AT264,AU264),"")</f>
        <v/>
      </c>
      <c r="AW264" s="109" t="str">
        <f t="shared" si="160"/>
        <v/>
      </c>
      <c r="AX264" s="109" t="str">
        <f t="shared" si="161"/>
        <v/>
      </c>
      <c r="AY264" s="112" t="str">
        <f>IF(ISNUMBER(O264),IF(AND(VLOOKUP($D264,Merchantability!$B:$C,2,0)="Yes",$E264&gt;=VLOOKUP($D264,Merchantability!$B:$D,3,0),$E264&lt;=VLOOKUP($D264,Merchantability!$B:$E,4,0)),(AV264*O264)*(1-$H264/100),""),"")</f>
        <v/>
      </c>
      <c r="AZ264" s="116"/>
      <c r="BA264" s="116"/>
      <c r="BB264" s="116"/>
      <c r="BE264" s="62"/>
      <c r="BF264" s="63"/>
    </row>
    <row r="265" spans="1:58" ht="12.75" customHeight="1" x14ac:dyDescent="0.25">
      <c r="A265" s="313"/>
      <c r="B265" s="380"/>
      <c r="C265" s="381"/>
      <c r="D265" s="380"/>
      <c r="E265" s="382"/>
      <c r="F265" s="331"/>
      <c r="G265" s="329"/>
      <c r="H265" s="329"/>
      <c r="I265" s="380"/>
      <c r="J265" s="381"/>
      <c r="K265" s="329"/>
      <c r="L265" s="329"/>
      <c r="M265" s="76"/>
      <c r="N265" s="103" t="str">
        <f>IF(A265="","",VLOOKUP(A265,Stand!C:K,9,0))</f>
        <v/>
      </c>
      <c r="O265" s="104" t="str">
        <f t="shared" si="146"/>
        <v/>
      </c>
      <c r="P265" s="105" t="str">
        <f t="shared" si="147"/>
        <v/>
      </c>
      <c r="Q265" s="105" t="str">
        <f t="shared" si="135"/>
        <v/>
      </c>
      <c r="R265" s="103" t="str">
        <f t="shared" si="148"/>
        <v/>
      </c>
      <c r="S265" s="103" t="str">
        <f t="shared" si="149"/>
        <v/>
      </c>
      <c r="T265" s="106" t="str">
        <f t="shared" si="136"/>
        <v/>
      </c>
      <c r="U265" s="106" t="str">
        <f t="shared" si="137"/>
        <v/>
      </c>
      <c r="V265" s="106" t="str">
        <f t="shared" si="138"/>
        <v/>
      </c>
      <c r="W265" s="105" t="str">
        <f t="shared" si="150"/>
        <v/>
      </c>
      <c r="X265" s="104" t="str">
        <f t="shared" si="155"/>
        <v/>
      </c>
      <c r="Y265" s="104" t="str">
        <f t="array" ref="Y265">IFERROR(IF(ISNUMBER(O265),IF(COUNT(IF(A265=$A$2:$A$2427,IF(D265=$D$2:$D$2427,IF($X$2:$X$2427&gt;0,1))))&gt;0,SUM(IF(A265=$A$2:$A$2427,IF(D265=$D$2:$D$2427,$X$2:$X$2427)))/COUNT(IF(A265=$A$2:$A$2427,IF(D265=$D$2:$D$2427,IF(ISNUMBER($X$2:$X$2427),1)))),0),""),0)</f>
        <v/>
      </c>
      <c r="Z265" s="104" t="str">
        <f>IF(ISNUMBER(O265),IF(I265&gt;0,(10^(VLOOKUP(D265,'Species Codes'!B:C,2,0)+VLOOKUP(D265,'Species Codes'!B:D,3,0)*LOG(E265)+VLOOKUP(D265,'Species Codes'!B:E,4,0)*LOG(I265))),0),"")</f>
        <v/>
      </c>
      <c r="AA265" s="104" t="str">
        <f>IFERROR((VLOOKUP(D265,'Species Codes'!B:G,6,0)*Z265)/2000,"")</f>
        <v/>
      </c>
      <c r="AB265" s="104" t="e">
        <f>IF(Z265&gt;0,((IF(OR(D265="DF",D265="RA")=TRUE,EXP(VLOOKUP(D265,'Species Codes'!B:I,8,0)+VLOOKUP(D265,'Species Codes'!B:J,9,0)*(LN((E265*2.54)))),IF(OR(D265="PY",D265="RC",D265="WH",D265="NF")=TRUE,VLOOKUP(D265,'Species Codes'!B:I,8,0)+VLOOKUP(D265,'Species Codes'!B:J,9,0)*((E265*2.54)^2)*(I265*0.3048),IF(OR(D265="MD",D265="BM",D265="GA")=TRUE,((VLOOKUP(D265,'Species Codes'!B:I,8,0)*(((((E265*2.54)+VLOOKUP(D265,'Species Codes'!B:J,9,0))/VLOOKUP(D265,'Species Codes'!B:K,10,0))^VLOOKUP(D265,'Species Codes'!B:L,11,0))*((I265*0.3048)^VLOOKUP(D265,'Species Codes'!B:M,12,0))))-(VLOOKUP(D265,'Species Codes'!B:I,8,0)*((((E265*2.54)^VLOOKUP(D265,'Species Codes'!B:L,11,0))*((I265*0.3048)^VLOOKUP(D265,'Species Codes'!B:M,12,0))))))*35.3*VLOOKUP(D265,'Species Codes'!B:G,6,0)/2.2046,VLOOKUP(D265,'Species Codes'!B:I,8,0)+VLOOKUP(D265,'Species Codes'!B:J,9,0)*(((E265*2.54)/100)^2)*(I265*0.3048)))))*0.0011023),0)</f>
        <v>#N/A</v>
      </c>
      <c r="AC265" s="104" t="e">
        <f>IF(Z265&gt;0,((IF(OR(D265="RA",D265="OA",D265="OT",D265="UN",D265="PC"),EXP(VLOOKUP(D265,'Species Codes'!B:O,14,0)+VLOOKUP(D265,'Species Codes'!B:P,15,0)*LN((E265*2.54)))-EXP(VLOOKUP(D265,'Species Codes'!B:O,14,0)+VLOOKUP(D265,'Species Codes'!B:P,15,0)*LN((E265*2.54)))*(1/(VLOOKUP(D265,'Species Codes'!B:Q,16,0)+VLOOKUP(D265,'Species Codes'!B:R,17,0)*((E265*2.54)^VLOOKUP(D265,'Species Codes'!B:S,18,0)))),IF(OR(D265="BM",D265="MD",D265="OA"),EXP(VLOOKUP(D265,'Species Codes'!B:O,14,0)+VLOOKUP(D265,'Species Codes'!B:P,15,0)*LN((E265*2.54)))*(1-(1/(VLOOKUP(D265,'Species Codes'!B:Q,16,0)+VLOOKUP(D265,'Species Codes'!B:R,17,0)*((E265*2.54)^VLOOKUP(D265,'Species Codes'!B:S,18,0)))))/1000,IF(D265="DF",EXP(VLOOKUP(D265,'Species Codes'!B:O,14,0)+VLOOKUP(D265,'Species Codes'!B:P,15,0)*LN((E265*2.54))),VLOOKUP(D265,'Species Codes'!B:O,14,0)+VLOOKUP(D265,'Species Codes'!B:P,15,0)*(((E265*2.54)/100)^2)*(I265*0.3048)))))*0.0011023),0)</f>
        <v>#N/A</v>
      </c>
      <c r="AD265" s="104" t="e">
        <f t="shared" si="139"/>
        <v>#N/A</v>
      </c>
      <c r="AE265" s="104" t="e">
        <f t="shared" si="140"/>
        <v>#N/A</v>
      </c>
      <c r="AF265" s="104" t="e">
        <f>IF(AND(VLOOKUP($D265,Merchantability!$B:$C,2,0)="Yes",$E265&gt;=VLOOKUP($D265,Merchantability!$B:$D,3,0),$E265&lt;=VLOOKUP($D265,Merchantability!$B:$E,4,0)),AA265,0)</f>
        <v>#N/A</v>
      </c>
      <c r="AG265" s="104" t="e">
        <f>IF(AND(VLOOKUP($D265,Merchantability!$B:$C,2,0)="Yes",$E265&gt;=VLOOKUP($D265,Merchantability!$B:$D,3,0),$E265&lt;=VLOOKUP($D265,Merchantability!$B:$E,4,0)),AB265,0)</f>
        <v>#N/A</v>
      </c>
      <c r="AH265" s="104" t="e">
        <f>IF(AND(VLOOKUP($D265,Merchantability!$B:$C,2,0)="Yes",$E265&gt;=VLOOKUP($D265,Merchantability!$B:$D,3,0),$E265&lt;=VLOOKUP($D265,Merchantability!$B:$E,4,0)),AC265,0)</f>
        <v>#N/A</v>
      </c>
      <c r="AI265" s="104" t="e">
        <f t="shared" si="141"/>
        <v>#N/A</v>
      </c>
      <c r="AJ265" s="104" t="e">
        <f t="shared" si="142"/>
        <v>#VALUE!</v>
      </c>
      <c r="AK265" s="104" t="e">
        <f t="shared" si="143"/>
        <v>#N/A</v>
      </c>
      <c r="AL265" s="104" t="e">
        <f t="shared" si="144"/>
        <v>#N/A</v>
      </c>
      <c r="AM265" s="104" t="e">
        <f t="shared" si="145"/>
        <v>#N/A</v>
      </c>
      <c r="AN265" s="104" t="e">
        <f t="shared" si="156"/>
        <v>#N/A</v>
      </c>
      <c r="AO265" s="104" t="e">
        <f t="shared" si="157"/>
        <v>#N/A</v>
      </c>
      <c r="AP265" s="104" t="e">
        <f t="shared" si="158"/>
        <v>#N/A</v>
      </c>
      <c r="AQ265" s="104" t="e">
        <f t="shared" si="159"/>
        <v>#N/A</v>
      </c>
      <c r="AR265" s="105" t="str">
        <f t="shared" si="151"/>
        <v/>
      </c>
      <c r="AS265" s="105" t="str">
        <f t="shared" si="152"/>
        <v/>
      </c>
      <c r="AT265" s="108" t="str">
        <f t="shared" si="153"/>
        <v/>
      </c>
      <c r="AU265" s="108" t="str">
        <f t="shared" si="154"/>
        <v/>
      </c>
      <c r="AV265" s="107" t="str">
        <f>IF(ISNUMBER(O265),IF(VLOOKUP($A265,Stand!C:J,8,FALSE)="Short",AT265,AU265),"")</f>
        <v/>
      </c>
      <c r="AW265" s="109" t="str">
        <f t="shared" si="160"/>
        <v/>
      </c>
      <c r="AX265" s="109" t="str">
        <f t="shared" si="161"/>
        <v/>
      </c>
      <c r="AY265" s="112" t="str">
        <f>IF(ISNUMBER(O265),IF(AND(VLOOKUP($D265,Merchantability!$B:$C,2,0)="Yes",$E265&gt;=VLOOKUP($D265,Merchantability!$B:$D,3,0),$E265&lt;=VLOOKUP($D265,Merchantability!$B:$E,4,0)),(AV265*O265)*(1-$H265/100),""),"")</f>
        <v/>
      </c>
      <c r="AZ265" s="116"/>
      <c r="BA265" s="116"/>
      <c r="BB265" s="116"/>
      <c r="BE265" s="62"/>
      <c r="BF265" s="63"/>
    </row>
    <row r="266" spans="1:58" ht="12.75" customHeight="1" x14ac:dyDescent="0.25">
      <c r="A266" s="313"/>
      <c r="B266" s="380"/>
      <c r="C266" s="381"/>
      <c r="D266" s="380"/>
      <c r="E266" s="382"/>
      <c r="F266" s="331"/>
      <c r="G266" s="329"/>
      <c r="H266" s="329"/>
      <c r="I266" s="380"/>
      <c r="J266" s="381"/>
      <c r="K266" s="329"/>
      <c r="L266" s="329"/>
      <c r="M266" s="76"/>
      <c r="N266" s="103" t="str">
        <f>IF(A266="","",VLOOKUP(A266,Stand!C:K,9,0))</f>
        <v/>
      </c>
      <c r="O266" s="104" t="str">
        <f t="shared" si="146"/>
        <v/>
      </c>
      <c r="P266" s="105" t="str">
        <f t="shared" si="147"/>
        <v/>
      </c>
      <c r="Q266" s="105" t="str">
        <f t="shared" si="135"/>
        <v/>
      </c>
      <c r="R266" s="103" t="str">
        <f t="shared" si="148"/>
        <v/>
      </c>
      <c r="S266" s="103" t="str">
        <f t="shared" si="149"/>
        <v/>
      </c>
      <c r="T266" s="106" t="str">
        <f t="shared" si="136"/>
        <v/>
      </c>
      <c r="U266" s="106" t="str">
        <f t="shared" si="137"/>
        <v/>
      </c>
      <c r="V266" s="106" t="str">
        <f t="shared" si="138"/>
        <v/>
      </c>
      <c r="W266" s="105" t="str">
        <f t="shared" si="150"/>
        <v/>
      </c>
      <c r="X266" s="104" t="str">
        <f t="shared" si="155"/>
        <v/>
      </c>
      <c r="Y266" s="104" t="str">
        <f t="array" ref="Y266">IFERROR(IF(ISNUMBER(O266),IF(COUNT(IF(A266=$A$2:$A$2427,IF(D266=$D$2:$D$2427,IF($X$2:$X$2427&gt;0,1))))&gt;0,SUM(IF(A266=$A$2:$A$2427,IF(D266=$D$2:$D$2427,$X$2:$X$2427)))/COUNT(IF(A266=$A$2:$A$2427,IF(D266=$D$2:$D$2427,IF(ISNUMBER($X$2:$X$2427),1)))),0),""),0)</f>
        <v/>
      </c>
      <c r="Z266" s="104" t="str">
        <f>IF(ISNUMBER(O266),IF(I266&gt;0,(10^(VLOOKUP(D266,'Species Codes'!B:C,2,0)+VLOOKUP(D266,'Species Codes'!B:D,3,0)*LOG(E266)+VLOOKUP(D266,'Species Codes'!B:E,4,0)*LOG(I266))),0),"")</f>
        <v/>
      </c>
      <c r="AA266" s="104" t="str">
        <f>IFERROR((VLOOKUP(D266,'Species Codes'!B:G,6,0)*Z266)/2000,"")</f>
        <v/>
      </c>
      <c r="AB266" s="104" t="e">
        <f>IF(Z266&gt;0,((IF(OR(D266="DF",D266="RA")=TRUE,EXP(VLOOKUP(D266,'Species Codes'!B:I,8,0)+VLOOKUP(D266,'Species Codes'!B:J,9,0)*(LN((E266*2.54)))),IF(OR(D266="PY",D266="RC",D266="WH",D266="NF")=TRUE,VLOOKUP(D266,'Species Codes'!B:I,8,0)+VLOOKUP(D266,'Species Codes'!B:J,9,0)*((E266*2.54)^2)*(I266*0.3048),IF(OR(D266="MD",D266="BM",D266="GA")=TRUE,((VLOOKUP(D266,'Species Codes'!B:I,8,0)*(((((E266*2.54)+VLOOKUP(D266,'Species Codes'!B:J,9,0))/VLOOKUP(D266,'Species Codes'!B:K,10,0))^VLOOKUP(D266,'Species Codes'!B:L,11,0))*((I266*0.3048)^VLOOKUP(D266,'Species Codes'!B:M,12,0))))-(VLOOKUP(D266,'Species Codes'!B:I,8,0)*((((E266*2.54)^VLOOKUP(D266,'Species Codes'!B:L,11,0))*((I266*0.3048)^VLOOKUP(D266,'Species Codes'!B:M,12,0))))))*35.3*VLOOKUP(D266,'Species Codes'!B:G,6,0)/2.2046,VLOOKUP(D266,'Species Codes'!B:I,8,0)+VLOOKUP(D266,'Species Codes'!B:J,9,0)*(((E266*2.54)/100)^2)*(I266*0.3048)))))*0.0011023),0)</f>
        <v>#N/A</v>
      </c>
      <c r="AC266" s="104" t="e">
        <f>IF(Z266&gt;0,((IF(OR(D266="RA",D266="OA",D266="OT",D266="UN",D266="PC"),EXP(VLOOKUP(D266,'Species Codes'!B:O,14,0)+VLOOKUP(D266,'Species Codes'!B:P,15,0)*LN((E266*2.54)))-EXP(VLOOKUP(D266,'Species Codes'!B:O,14,0)+VLOOKUP(D266,'Species Codes'!B:P,15,0)*LN((E266*2.54)))*(1/(VLOOKUP(D266,'Species Codes'!B:Q,16,0)+VLOOKUP(D266,'Species Codes'!B:R,17,0)*((E266*2.54)^VLOOKUP(D266,'Species Codes'!B:S,18,0)))),IF(OR(D266="BM",D266="MD",D266="OA"),EXP(VLOOKUP(D266,'Species Codes'!B:O,14,0)+VLOOKUP(D266,'Species Codes'!B:P,15,0)*LN((E266*2.54)))*(1-(1/(VLOOKUP(D266,'Species Codes'!B:Q,16,0)+VLOOKUP(D266,'Species Codes'!B:R,17,0)*((E266*2.54)^VLOOKUP(D266,'Species Codes'!B:S,18,0)))))/1000,IF(D266="DF",EXP(VLOOKUP(D266,'Species Codes'!B:O,14,0)+VLOOKUP(D266,'Species Codes'!B:P,15,0)*LN((E266*2.54))),VLOOKUP(D266,'Species Codes'!B:O,14,0)+VLOOKUP(D266,'Species Codes'!B:P,15,0)*(((E266*2.54)/100)^2)*(I266*0.3048)))))*0.0011023),0)</f>
        <v>#N/A</v>
      </c>
      <c r="AD266" s="104" t="e">
        <f t="shared" si="139"/>
        <v>#N/A</v>
      </c>
      <c r="AE266" s="104" t="e">
        <f t="shared" si="140"/>
        <v>#N/A</v>
      </c>
      <c r="AF266" s="104" t="e">
        <f>IF(AND(VLOOKUP($D266,Merchantability!$B:$C,2,0)="Yes",$E266&gt;=VLOOKUP($D266,Merchantability!$B:$D,3,0),$E266&lt;=VLOOKUP($D266,Merchantability!$B:$E,4,0)),AA266,0)</f>
        <v>#N/A</v>
      </c>
      <c r="AG266" s="104" t="e">
        <f>IF(AND(VLOOKUP($D266,Merchantability!$B:$C,2,0)="Yes",$E266&gt;=VLOOKUP($D266,Merchantability!$B:$D,3,0),$E266&lt;=VLOOKUP($D266,Merchantability!$B:$E,4,0)),AB266,0)</f>
        <v>#N/A</v>
      </c>
      <c r="AH266" s="104" t="e">
        <f>IF(AND(VLOOKUP($D266,Merchantability!$B:$C,2,0)="Yes",$E266&gt;=VLOOKUP($D266,Merchantability!$B:$D,3,0),$E266&lt;=VLOOKUP($D266,Merchantability!$B:$E,4,0)),AC266,0)</f>
        <v>#N/A</v>
      </c>
      <c r="AI266" s="104" t="e">
        <f t="shared" si="141"/>
        <v>#N/A</v>
      </c>
      <c r="AJ266" s="104" t="e">
        <f t="shared" si="142"/>
        <v>#VALUE!</v>
      </c>
      <c r="AK266" s="104" t="e">
        <f t="shared" si="143"/>
        <v>#N/A</v>
      </c>
      <c r="AL266" s="104" t="e">
        <f t="shared" si="144"/>
        <v>#N/A</v>
      </c>
      <c r="AM266" s="104" t="e">
        <f t="shared" si="145"/>
        <v>#N/A</v>
      </c>
      <c r="AN266" s="104" t="e">
        <f t="shared" si="156"/>
        <v>#N/A</v>
      </c>
      <c r="AO266" s="104" t="e">
        <f t="shared" si="157"/>
        <v>#N/A</v>
      </c>
      <c r="AP266" s="104" t="e">
        <f t="shared" si="158"/>
        <v>#N/A</v>
      </c>
      <c r="AQ266" s="104" t="e">
        <f t="shared" si="159"/>
        <v>#N/A</v>
      </c>
      <c r="AR266" s="105" t="str">
        <f t="shared" si="151"/>
        <v/>
      </c>
      <c r="AS266" s="105" t="str">
        <f t="shared" si="152"/>
        <v/>
      </c>
      <c r="AT266" s="108" t="str">
        <f t="shared" si="153"/>
        <v/>
      </c>
      <c r="AU266" s="108" t="str">
        <f t="shared" si="154"/>
        <v/>
      </c>
      <c r="AV266" s="107" t="str">
        <f>IF(ISNUMBER(O266),IF(VLOOKUP($A266,Stand!C:J,8,FALSE)="Short",AT266,AU266),"")</f>
        <v/>
      </c>
      <c r="AW266" s="109" t="str">
        <f t="shared" si="160"/>
        <v/>
      </c>
      <c r="AX266" s="109" t="str">
        <f t="shared" si="161"/>
        <v/>
      </c>
      <c r="AY266" s="112" t="str">
        <f>IF(ISNUMBER(O266),IF(AND(VLOOKUP($D266,Merchantability!$B:$C,2,0)="Yes",$E266&gt;=VLOOKUP($D266,Merchantability!$B:$D,3,0),$E266&lt;=VLOOKUP($D266,Merchantability!$B:$E,4,0)),(AV266*O266)*(1-$H266/100),""),"")</f>
        <v/>
      </c>
      <c r="AZ266" s="116"/>
      <c r="BA266" s="116"/>
      <c r="BB266" s="116"/>
      <c r="BE266" s="62"/>
      <c r="BF266" s="63"/>
    </row>
    <row r="267" spans="1:58" ht="12.75" customHeight="1" x14ac:dyDescent="0.25">
      <c r="A267" s="313"/>
      <c r="B267" s="380"/>
      <c r="C267" s="381"/>
      <c r="D267" s="380"/>
      <c r="E267" s="382"/>
      <c r="F267" s="331"/>
      <c r="G267" s="329"/>
      <c r="H267" s="329"/>
      <c r="I267" s="380"/>
      <c r="J267" s="381"/>
      <c r="K267" s="329"/>
      <c r="L267" s="329"/>
      <c r="M267" s="76"/>
      <c r="N267" s="103" t="str">
        <f>IF(A267="","",VLOOKUP(A267,Stand!C:K,9,0))</f>
        <v/>
      </c>
      <c r="O267" s="104" t="str">
        <f t="shared" si="146"/>
        <v/>
      </c>
      <c r="P267" s="105" t="str">
        <f t="shared" si="147"/>
        <v/>
      </c>
      <c r="Q267" s="105" t="str">
        <f t="shared" si="135"/>
        <v/>
      </c>
      <c r="R267" s="103" t="str">
        <f t="shared" si="148"/>
        <v/>
      </c>
      <c r="S267" s="103" t="str">
        <f t="shared" si="149"/>
        <v/>
      </c>
      <c r="T267" s="106" t="str">
        <f t="shared" si="136"/>
        <v/>
      </c>
      <c r="U267" s="106" t="str">
        <f t="shared" si="137"/>
        <v/>
      </c>
      <c r="V267" s="106" t="str">
        <f t="shared" si="138"/>
        <v/>
      </c>
      <c r="W267" s="105" t="str">
        <f t="shared" si="150"/>
        <v/>
      </c>
      <c r="X267" s="104" t="str">
        <f t="shared" si="155"/>
        <v/>
      </c>
      <c r="Y267" s="104" t="str">
        <f t="array" ref="Y267">IFERROR(IF(ISNUMBER(O267),IF(COUNT(IF(A267=$A$2:$A$2427,IF(D267=$D$2:$D$2427,IF($X$2:$X$2427&gt;0,1))))&gt;0,SUM(IF(A267=$A$2:$A$2427,IF(D267=$D$2:$D$2427,$X$2:$X$2427)))/COUNT(IF(A267=$A$2:$A$2427,IF(D267=$D$2:$D$2427,IF(ISNUMBER($X$2:$X$2427),1)))),0),""),0)</f>
        <v/>
      </c>
      <c r="Z267" s="104" t="str">
        <f>IF(ISNUMBER(O267),IF(I267&gt;0,(10^(VLOOKUP(D267,'Species Codes'!B:C,2,0)+VLOOKUP(D267,'Species Codes'!B:D,3,0)*LOG(E267)+VLOOKUP(D267,'Species Codes'!B:E,4,0)*LOG(I267))),0),"")</f>
        <v/>
      </c>
      <c r="AA267" s="104" t="str">
        <f>IFERROR((VLOOKUP(D267,'Species Codes'!B:G,6,0)*Z267)/2000,"")</f>
        <v/>
      </c>
      <c r="AB267" s="104" t="e">
        <f>IF(Z267&gt;0,((IF(OR(D267="DF",D267="RA")=TRUE,EXP(VLOOKUP(D267,'Species Codes'!B:I,8,0)+VLOOKUP(D267,'Species Codes'!B:J,9,0)*(LN((E267*2.54)))),IF(OR(D267="PY",D267="RC",D267="WH",D267="NF")=TRUE,VLOOKUP(D267,'Species Codes'!B:I,8,0)+VLOOKUP(D267,'Species Codes'!B:J,9,0)*((E267*2.54)^2)*(I267*0.3048),IF(OR(D267="MD",D267="BM",D267="GA")=TRUE,((VLOOKUP(D267,'Species Codes'!B:I,8,0)*(((((E267*2.54)+VLOOKUP(D267,'Species Codes'!B:J,9,0))/VLOOKUP(D267,'Species Codes'!B:K,10,0))^VLOOKUP(D267,'Species Codes'!B:L,11,0))*((I267*0.3048)^VLOOKUP(D267,'Species Codes'!B:M,12,0))))-(VLOOKUP(D267,'Species Codes'!B:I,8,0)*((((E267*2.54)^VLOOKUP(D267,'Species Codes'!B:L,11,0))*((I267*0.3048)^VLOOKUP(D267,'Species Codes'!B:M,12,0))))))*35.3*VLOOKUP(D267,'Species Codes'!B:G,6,0)/2.2046,VLOOKUP(D267,'Species Codes'!B:I,8,0)+VLOOKUP(D267,'Species Codes'!B:J,9,0)*(((E267*2.54)/100)^2)*(I267*0.3048)))))*0.0011023),0)</f>
        <v>#N/A</v>
      </c>
      <c r="AC267" s="104" t="e">
        <f>IF(Z267&gt;0,((IF(OR(D267="RA",D267="OA",D267="OT",D267="UN",D267="PC"),EXP(VLOOKUP(D267,'Species Codes'!B:O,14,0)+VLOOKUP(D267,'Species Codes'!B:P,15,0)*LN((E267*2.54)))-EXP(VLOOKUP(D267,'Species Codes'!B:O,14,0)+VLOOKUP(D267,'Species Codes'!B:P,15,0)*LN((E267*2.54)))*(1/(VLOOKUP(D267,'Species Codes'!B:Q,16,0)+VLOOKUP(D267,'Species Codes'!B:R,17,0)*((E267*2.54)^VLOOKUP(D267,'Species Codes'!B:S,18,0)))),IF(OR(D267="BM",D267="MD",D267="OA"),EXP(VLOOKUP(D267,'Species Codes'!B:O,14,0)+VLOOKUP(D267,'Species Codes'!B:P,15,0)*LN((E267*2.54)))*(1-(1/(VLOOKUP(D267,'Species Codes'!B:Q,16,0)+VLOOKUP(D267,'Species Codes'!B:R,17,0)*((E267*2.54)^VLOOKUP(D267,'Species Codes'!B:S,18,0)))))/1000,IF(D267="DF",EXP(VLOOKUP(D267,'Species Codes'!B:O,14,0)+VLOOKUP(D267,'Species Codes'!B:P,15,0)*LN((E267*2.54))),VLOOKUP(D267,'Species Codes'!B:O,14,0)+VLOOKUP(D267,'Species Codes'!B:P,15,0)*(((E267*2.54)/100)^2)*(I267*0.3048)))))*0.0011023),0)</f>
        <v>#N/A</v>
      </c>
      <c r="AD267" s="104" t="e">
        <f t="shared" si="139"/>
        <v>#N/A</v>
      </c>
      <c r="AE267" s="104" t="e">
        <f t="shared" si="140"/>
        <v>#N/A</v>
      </c>
      <c r="AF267" s="104" t="e">
        <f>IF(AND(VLOOKUP($D267,Merchantability!$B:$C,2,0)="Yes",$E267&gt;=VLOOKUP($D267,Merchantability!$B:$D,3,0),$E267&lt;=VLOOKUP($D267,Merchantability!$B:$E,4,0)),AA267,0)</f>
        <v>#N/A</v>
      </c>
      <c r="AG267" s="104" t="e">
        <f>IF(AND(VLOOKUP($D267,Merchantability!$B:$C,2,0)="Yes",$E267&gt;=VLOOKUP($D267,Merchantability!$B:$D,3,0),$E267&lt;=VLOOKUP($D267,Merchantability!$B:$E,4,0)),AB267,0)</f>
        <v>#N/A</v>
      </c>
      <c r="AH267" s="104" t="e">
        <f>IF(AND(VLOOKUP($D267,Merchantability!$B:$C,2,0)="Yes",$E267&gt;=VLOOKUP($D267,Merchantability!$B:$D,3,0),$E267&lt;=VLOOKUP($D267,Merchantability!$B:$E,4,0)),AC267,0)</f>
        <v>#N/A</v>
      </c>
      <c r="AI267" s="104" t="e">
        <f t="shared" si="141"/>
        <v>#N/A</v>
      </c>
      <c r="AJ267" s="104" t="e">
        <f t="shared" si="142"/>
        <v>#VALUE!</v>
      </c>
      <c r="AK267" s="104" t="e">
        <f t="shared" si="143"/>
        <v>#N/A</v>
      </c>
      <c r="AL267" s="104" t="e">
        <f t="shared" si="144"/>
        <v>#N/A</v>
      </c>
      <c r="AM267" s="104" t="e">
        <f t="shared" si="145"/>
        <v>#N/A</v>
      </c>
      <c r="AN267" s="104" t="e">
        <f t="shared" si="156"/>
        <v>#N/A</v>
      </c>
      <c r="AO267" s="104" t="e">
        <f t="shared" si="157"/>
        <v>#N/A</v>
      </c>
      <c r="AP267" s="104" t="e">
        <f t="shared" si="158"/>
        <v>#N/A</v>
      </c>
      <c r="AQ267" s="104" t="e">
        <f t="shared" si="159"/>
        <v>#N/A</v>
      </c>
      <c r="AR267" s="105" t="str">
        <f t="shared" si="151"/>
        <v/>
      </c>
      <c r="AS267" s="105" t="str">
        <f t="shared" si="152"/>
        <v/>
      </c>
      <c r="AT267" s="108" t="str">
        <f t="shared" si="153"/>
        <v/>
      </c>
      <c r="AU267" s="108" t="str">
        <f t="shared" si="154"/>
        <v/>
      </c>
      <c r="AV267" s="107" t="str">
        <f>IF(ISNUMBER(O267),IF(VLOOKUP($A267,Stand!C:J,8,FALSE)="Short",AT267,AU267),"")</f>
        <v/>
      </c>
      <c r="AW267" s="109" t="str">
        <f t="shared" si="160"/>
        <v/>
      </c>
      <c r="AX267" s="109" t="str">
        <f t="shared" si="161"/>
        <v/>
      </c>
      <c r="AY267" s="112" t="str">
        <f>IF(ISNUMBER(O267),IF(AND(VLOOKUP($D267,Merchantability!$B:$C,2,0)="Yes",$E267&gt;=VLOOKUP($D267,Merchantability!$B:$D,3,0),$E267&lt;=VLOOKUP($D267,Merchantability!$B:$E,4,0)),(AV267*O267)*(1-$H267/100),""),"")</f>
        <v/>
      </c>
      <c r="AZ267" s="116"/>
      <c r="BA267" s="116"/>
      <c r="BB267" s="116"/>
      <c r="BE267" s="62"/>
      <c r="BF267" s="63"/>
    </row>
    <row r="268" spans="1:58" ht="12.75" customHeight="1" x14ac:dyDescent="0.25">
      <c r="A268" s="313"/>
      <c r="B268" s="380"/>
      <c r="C268" s="381"/>
      <c r="D268" s="380"/>
      <c r="E268" s="382"/>
      <c r="F268" s="331"/>
      <c r="G268" s="329"/>
      <c r="H268" s="329"/>
      <c r="I268" s="380"/>
      <c r="J268" s="381"/>
      <c r="K268" s="329"/>
      <c r="L268" s="329"/>
      <c r="M268" s="76"/>
      <c r="N268" s="103" t="str">
        <f>IF(A268="","",VLOOKUP(A268,Stand!C:K,9,0))</f>
        <v/>
      </c>
      <c r="O268" s="104" t="str">
        <f t="shared" si="146"/>
        <v/>
      </c>
      <c r="P268" s="105" t="str">
        <f t="shared" si="147"/>
        <v/>
      </c>
      <c r="Q268" s="105" t="str">
        <f t="shared" si="135"/>
        <v/>
      </c>
      <c r="R268" s="103" t="str">
        <f t="shared" si="148"/>
        <v/>
      </c>
      <c r="S268" s="103" t="str">
        <f t="shared" si="149"/>
        <v/>
      </c>
      <c r="T268" s="106" t="str">
        <f t="shared" si="136"/>
        <v/>
      </c>
      <c r="U268" s="106" t="str">
        <f t="shared" si="137"/>
        <v/>
      </c>
      <c r="V268" s="106" t="str">
        <f t="shared" si="138"/>
        <v/>
      </c>
      <c r="W268" s="105" t="str">
        <f t="shared" si="150"/>
        <v/>
      </c>
      <c r="X268" s="104" t="str">
        <f t="shared" si="155"/>
        <v/>
      </c>
      <c r="Y268" s="104" t="str">
        <f t="array" ref="Y268">IFERROR(IF(ISNUMBER(O268),IF(COUNT(IF(A268=$A$2:$A$2427,IF(D268=$D$2:$D$2427,IF($X$2:$X$2427&gt;0,1))))&gt;0,SUM(IF(A268=$A$2:$A$2427,IF(D268=$D$2:$D$2427,$X$2:$X$2427)))/COUNT(IF(A268=$A$2:$A$2427,IF(D268=$D$2:$D$2427,IF(ISNUMBER($X$2:$X$2427),1)))),0),""),0)</f>
        <v/>
      </c>
      <c r="Z268" s="104" t="str">
        <f>IF(ISNUMBER(O268),IF(I268&gt;0,(10^(VLOOKUP(D268,'Species Codes'!B:C,2,0)+VLOOKUP(D268,'Species Codes'!B:D,3,0)*LOG(E268)+VLOOKUP(D268,'Species Codes'!B:E,4,0)*LOG(I268))),0),"")</f>
        <v/>
      </c>
      <c r="AA268" s="104" t="str">
        <f>IFERROR((VLOOKUP(D268,'Species Codes'!B:G,6,0)*Z268)/2000,"")</f>
        <v/>
      </c>
      <c r="AB268" s="104" t="e">
        <f>IF(Z268&gt;0,((IF(OR(D268="DF",D268="RA")=TRUE,EXP(VLOOKUP(D268,'Species Codes'!B:I,8,0)+VLOOKUP(D268,'Species Codes'!B:J,9,0)*(LN((E268*2.54)))),IF(OR(D268="PY",D268="RC",D268="WH",D268="NF")=TRUE,VLOOKUP(D268,'Species Codes'!B:I,8,0)+VLOOKUP(D268,'Species Codes'!B:J,9,0)*((E268*2.54)^2)*(I268*0.3048),IF(OR(D268="MD",D268="BM",D268="GA")=TRUE,((VLOOKUP(D268,'Species Codes'!B:I,8,0)*(((((E268*2.54)+VLOOKUP(D268,'Species Codes'!B:J,9,0))/VLOOKUP(D268,'Species Codes'!B:K,10,0))^VLOOKUP(D268,'Species Codes'!B:L,11,0))*((I268*0.3048)^VLOOKUP(D268,'Species Codes'!B:M,12,0))))-(VLOOKUP(D268,'Species Codes'!B:I,8,0)*((((E268*2.54)^VLOOKUP(D268,'Species Codes'!B:L,11,0))*((I268*0.3048)^VLOOKUP(D268,'Species Codes'!B:M,12,0))))))*35.3*VLOOKUP(D268,'Species Codes'!B:G,6,0)/2.2046,VLOOKUP(D268,'Species Codes'!B:I,8,0)+VLOOKUP(D268,'Species Codes'!B:J,9,0)*(((E268*2.54)/100)^2)*(I268*0.3048)))))*0.0011023),0)</f>
        <v>#N/A</v>
      </c>
      <c r="AC268" s="104" t="e">
        <f>IF(Z268&gt;0,((IF(OR(D268="RA",D268="OA",D268="OT",D268="UN",D268="PC"),EXP(VLOOKUP(D268,'Species Codes'!B:O,14,0)+VLOOKUP(D268,'Species Codes'!B:P,15,0)*LN((E268*2.54)))-EXP(VLOOKUP(D268,'Species Codes'!B:O,14,0)+VLOOKUP(D268,'Species Codes'!B:P,15,0)*LN((E268*2.54)))*(1/(VLOOKUP(D268,'Species Codes'!B:Q,16,0)+VLOOKUP(D268,'Species Codes'!B:R,17,0)*((E268*2.54)^VLOOKUP(D268,'Species Codes'!B:S,18,0)))),IF(OR(D268="BM",D268="MD",D268="OA"),EXP(VLOOKUP(D268,'Species Codes'!B:O,14,0)+VLOOKUP(D268,'Species Codes'!B:P,15,0)*LN((E268*2.54)))*(1-(1/(VLOOKUP(D268,'Species Codes'!B:Q,16,0)+VLOOKUP(D268,'Species Codes'!B:R,17,0)*((E268*2.54)^VLOOKUP(D268,'Species Codes'!B:S,18,0)))))/1000,IF(D268="DF",EXP(VLOOKUP(D268,'Species Codes'!B:O,14,0)+VLOOKUP(D268,'Species Codes'!B:P,15,0)*LN((E268*2.54))),VLOOKUP(D268,'Species Codes'!B:O,14,0)+VLOOKUP(D268,'Species Codes'!B:P,15,0)*(((E268*2.54)/100)^2)*(I268*0.3048)))))*0.0011023),0)</f>
        <v>#N/A</v>
      </c>
      <c r="AD268" s="104" t="e">
        <f t="shared" si="139"/>
        <v>#N/A</v>
      </c>
      <c r="AE268" s="104" t="e">
        <f t="shared" si="140"/>
        <v>#N/A</v>
      </c>
      <c r="AF268" s="104" t="e">
        <f>IF(AND(VLOOKUP($D268,Merchantability!$B:$C,2,0)="Yes",$E268&gt;=VLOOKUP($D268,Merchantability!$B:$D,3,0),$E268&lt;=VLOOKUP($D268,Merchantability!$B:$E,4,0)),AA268,0)</f>
        <v>#N/A</v>
      </c>
      <c r="AG268" s="104" t="e">
        <f>IF(AND(VLOOKUP($D268,Merchantability!$B:$C,2,0)="Yes",$E268&gt;=VLOOKUP($D268,Merchantability!$B:$D,3,0),$E268&lt;=VLOOKUP($D268,Merchantability!$B:$E,4,0)),AB268,0)</f>
        <v>#N/A</v>
      </c>
      <c r="AH268" s="104" t="e">
        <f>IF(AND(VLOOKUP($D268,Merchantability!$B:$C,2,0)="Yes",$E268&gt;=VLOOKUP($D268,Merchantability!$B:$D,3,0),$E268&lt;=VLOOKUP($D268,Merchantability!$B:$E,4,0)),AC268,0)</f>
        <v>#N/A</v>
      </c>
      <c r="AI268" s="104" t="e">
        <f t="shared" si="141"/>
        <v>#N/A</v>
      </c>
      <c r="AJ268" s="104" t="e">
        <f t="shared" si="142"/>
        <v>#VALUE!</v>
      </c>
      <c r="AK268" s="104" t="e">
        <f t="shared" si="143"/>
        <v>#N/A</v>
      </c>
      <c r="AL268" s="104" t="e">
        <f t="shared" si="144"/>
        <v>#N/A</v>
      </c>
      <c r="AM268" s="104" t="e">
        <f t="shared" si="145"/>
        <v>#N/A</v>
      </c>
      <c r="AN268" s="104" t="e">
        <f t="shared" si="156"/>
        <v>#N/A</v>
      </c>
      <c r="AO268" s="104" t="e">
        <f t="shared" si="157"/>
        <v>#N/A</v>
      </c>
      <c r="AP268" s="104" t="e">
        <f t="shared" si="158"/>
        <v>#N/A</v>
      </c>
      <c r="AQ268" s="104" t="e">
        <f t="shared" si="159"/>
        <v>#N/A</v>
      </c>
      <c r="AR268" s="105" t="str">
        <f t="shared" si="151"/>
        <v/>
      </c>
      <c r="AS268" s="105" t="str">
        <f t="shared" si="152"/>
        <v/>
      </c>
      <c r="AT268" s="108" t="str">
        <f t="shared" si="153"/>
        <v/>
      </c>
      <c r="AU268" s="108" t="str">
        <f t="shared" si="154"/>
        <v/>
      </c>
      <c r="AV268" s="107" t="str">
        <f>IF(ISNUMBER(O268),IF(VLOOKUP($A268,Stand!C:J,8,FALSE)="Short",AT268,AU268),"")</f>
        <v/>
      </c>
      <c r="AW268" s="109" t="str">
        <f t="shared" si="160"/>
        <v/>
      </c>
      <c r="AX268" s="109" t="str">
        <f t="shared" si="161"/>
        <v/>
      </c>
      <c r="AY268" s="112" t="str">
        <f>IF(ISNUMBER(O268),IF(AND(VLOOKUP($D268,Merchantability!$B:$C,2,0)="Yes",$E268&gt;=VLOOKUP($D268,Merchantability!$B:$D,3,0),$E268&lt;=VLOOKUP($D268,Merchantability!$B:$E,4,0)),(AV268*O268)*(1-$H268/100),""),"")</f>
        <v/>
      </c>
      <c r="AZ268" s="116"/>
      <c r="BA268" s="116"/>
      <c r="BB268" s="116"/>
      <c r="BE268" s="62"/>
      <c r="BF268" s="63"/>
    </row>
    <row r="269" spans="1:58" ht="12.75" customHeight="1" x14ac:dyDescent="0.25">
      <c r="A269" s="313"/>
      <c r="B269" s="380"/>
      <c r="C269" s="381"/>
      <c r="D269" s="380"/>
      <c r="E269" s="382"/>
      <c r="F269" s="331"/>
      <c r="G269" s="329"/>
      <c r="H269" s="329"/>
      <c r="I269" s="380"/>
      <c r="J269" s="381"/>
      <c r="K269" s="329"/>
      <c r="L269" s="329"/>
      <c r="M269" s="76"/>
      <c r="N269" s="103" t="str">
        <f>IF(A269="","",VLOOKUP(A269,Stand!C:K,9,0))</f>
        <v/>
      </c>
      <c r="O269" s="104" t="str">
        <f t="shared" si="146"/>
        <v/>
      </c>
      <c r="P269" s="105" t="str">
        <f t="shared" si="147"/>
        <v/>
      </c>
      <c r="Q269" s="105" t="str">
        <f t="shared" si="135"/>
        <v/>
      </c>
      <c r="R269" s="103" t="str">
        <f t="shared" si="148"/>
        <v/>
      </c>
      <c r="S269" s="103" t="str">
        <f t="shared" si="149"/>
        <v/>
      </c>
      <c r="T269" s="106" t="str">
        <f t="shared" si="136"/>
        <v/>
      </c>
      <c r="U269" s="106" t="str">
        <f t="shared" si="137"/>
        <v/>
      </c>
      <c r="V269" s="106" t="str">
        <f t="shared" si="138"/>
        <v/>
      </c>
      <c r="W269" s="105" t="str">
        <f t="shared" si="150"/>
        <v/>
      </c>
      <c r="X269" s="104" t="str">
        <f t="shared" si="155"/>
        <v/>
      </c>
      <c r="Y269" s="104" t="str">
        <f t="array" ref="Y269">IFERROR(IF(ISNUMBER(O269),IF(COUNT(IF(A269=$A$2:$A$2427,IF(D269=$D$2:$D$2427,IF($X$2:$X$2427&gt;0,1))))&gt;0,SUM(IF(A269=$A$2:$A$2427,IF(D269=$D$2:$D$2427,$X$2:$X$2427)))/COUNT(IF(A269=$A$2:$A$2427,IF(D269=$D$2:$D$2427,IF(ISNUMBER($X$2:$X$2427),1)))),0),""),0)</f>
        <v/>
      </c>
      <c r="Z269" s="104" t="str">
        <f>IF(ISNUMBER(O269),IF(I269&gt;0,(10^(VLOOKUP(D269,'Species Codes'!B:C,2,0)+VLOOKUP(D269,'Species Codes'!B:D,3,0)*LOG(E269)+VLOOKUP(D269,'Species Codes'!B:E,4,0)*LOG(I269))),0),"")</f>
        <v/>
      </c>
      <c r="AA269" s="104" t="str">
        <f>IFERROR((VLOOKUP(D269,'Species Codes'!B:G,6,0)*Z269)/2000,"")</f>
        <v/>
      </c>
      <c r="AB269" s="104" t="e">
        <f>IF(Z269&gt;0,((IF(OR(D269="DF",D269="RA")=TRUE,EXP(VLOOKUP(D269,'Species Codes'!B:I,8,0)+VLOOKUP(D269,'Species Codes'!B:J,9,0)*(LN((E269*2.54)))),IF(OR(D269="PY",D269="RC",D269="WH",D269="NF")=TRUE,VLOOKUP(D269,'Species Codes'!B:I,8,0)+VLOOKUP(D269,'Species Codes'!B:J,9,0)*((E269*2.54)^2)*(I269*0.3048),IF(OR(D269="MD",D269="BM",D269="GA")=TRUE,((VLOOKUP(D269,'Species Codes'!B:I,8,0)*(((((E269*2.54)+VLOOKUP(D269,'Species Codes'!B:J,9,0))/VLOOKUP(D269,'Species Codes'!B:K,10,0))^VLOOKUP(D269,'Species Codes'!B:L,11,0))*((I269*0.3048)^VLOOKUP(D269,'Species Codes'!B:M,12,0))))-(VLOOKUP(D269,'Species Codes'!B:I,8,0)*((((E269*2.54)^VLOOKUP(D269,'Species Codes'!B:L,11,0))*((I269*0.3048)^VLOOKUP(D269,'Species Codes'!B:M,12,0))))))*35.3*VLOOKUP(D269,'Species Codes'!B:G,6,0)/2.2046,VLOOKUP(D269,'Species Codes'!B:I,8,0)+VLOOKUP(D269,'Species Codes'!B:J,9,0)*(((E269*2.54)/100)^2)*(I269*0.3048)))))*0.0011023),0)</f>
        <v>#N/A</v>
      </c>
      <c r="AC269" s="104" t="e">
        <f>IF(Z269&gt;0,((IF(OR(D269="RA",D269="OA",D269="OT",D269="UN",D269="PC"),EXP(VLOOKUP(D269,'Species Codes'!B:O,14,0)+VLOOKUP(D269,'Species Codes'!B:P,15,0)*LN((E269*2.54)))-EXP(VLOOKUP(D269,'Species Codes'!B:O,14,0)+VLOOKUP(D269,'Species Codes'!B:P,15,0)*LN((E269*2.54)))*(1/(VLOOKUP(D269,'Species Codes'!B:Q,16,0)+VLOOKUP(D269,'Species Codes'!B:R,17,0)*((E269*2.54)^VLOOKUP(D269,'Species Codes'!B:S,18,0)))),IF(OR(D269="BM",D269="MD",D269="OA"),EXP(VLOOKUP(D269,'Species Codes'!B:O,14,0)+VLOOKUP(D269,'Species Codes'!B:P,15,0)*LN((E269*2.54)))*(1-(1/(VLOOKUP(D269,'Species Codes'!B:Q,16,0)+VLOOKUP(D269,'Species Codes'!B:R,17,0)*((E269*2.54)^VLOOKUP(D269,'Species Codes'!B:S,18,0)))))/1000,IF(D269="DF",EXP(VLOOKUP(D269,'Species Codes'!B:O,14,0)+VLOOKUP(D269,'Species Codes'!B:P,15,0)*LN((E269*2.54))),VLOOKUP(D269,'Species Codes'!B:O,14,0)+VLOOKUP(D269,'Species Codes'!B:P,15,0)*(((E269*2.54)/100)^2)*(I269*0.3048)))))*0.0011023),0)</f>
        <v>#N/A</v>
      </c>
      <c r="AD269" s="104" t="e">
        <f t="shared" si="139"/>
        <v>#N/A</v>
      </c>
      <c r="AE269" s="104" t="e">
        <f t="shared" si="140"/>
        <v>#N/A</v>
      </c>
      <c r="AF269" s="104" t="e">
        <f>IF(AND(VLOOKUP($D269,Merchantability!$B:$C,2,0)="Yes",$E269&gt;=VLOOKUP($D269,Merchantability!$B:$D,3,0),$E269&lt;=VLOOKUP($D269,Merchantability!$B:$E,4,0)),AA269,0)</f>
        <v>#N/A</v>
      </c>
      <c r="AG269" s="104" t="e">
        <f>IF(AND(VLOOKUP($D269,Merchantability!$B:$C,2,0)="Yes",$E269&gt;=VLOOKUP($D269,Merchantability!$B:$D,3,0),$E269&lt;=VLOOKUP($D269,Merchantability!$B:$E,4,0)),AB269,0)</f>
        <v>#N/A</v>
      </c>
      <c r="AH269" s="104" t="e">
        <f>IF(AND(VLOOKUP($D269,Merchantability!$B:$C,2,0)="Yes",$E269&gt;=VLOOKUP($D269,Merchantability!$B:$D,3,0),$E269&lt;=VLOOKUP($D269,Merchantability!$B:$E,4,0)),AC269,0)</f>
        <v>#N/A</v>
      </c>
      <c r="AI269" s="104" t="e">
        <f t="shared" si="141"/>
        <v>#N/A</v>
      </c>
      <c r="AJ269" s="104" t="e">
        <f t="shared" si="142"/>
        <v>#VALUE!</v>
      </c>
      <c r="AK269" s="104" t="e">
        <f t="shared" si="143"/>
        <v>#N/A</v>
      </c>
      <c r="AL269" s="104" t="e">
        <f t="shared" si="144"/>
        <v>#N/A</v>
      </c>
      <c r="AM269" s="104" t="e">
        <f t="shared" si="145"/>
        <v>#N/A</v>
      </c>
      <c r="AN269" s="104" t="e">
        <f t="shared" si="156"/>
        <v>#N/A</v>
      </c>
      <c r="AO269" s="104" t="e">
        <f t="shared" si="157"/>
        <v>#N/A</v>
      </c>
      <c r="AP269" s="104" t="e">
        <f t="shared" si="158"/>
        <v>#N/A</v>
      </c>
      <c r="AQ269" s="104" t="e">
        <f t="shared" si="159"/>
        <v>#N/A</v>
      </c>
      <c r="AR269" s="105" t="str">
        <f t="shared" si="151"/>
        <v/>
      </c>
      <c r="AS269" s="105" t="str">
        <f t="shared" si="152"/>
        <v/>
      </c>
      <c r="AT269" s="108" t="str">
        <f t="shared" si="153"/>
        <v/>
      </c>
      <c r="AU269" s="108" t="str">
        <f t="shared" si="154"/>
        <v/>
      </c>
      <c r="AV269" s="107" t="str">
        <f>IF(ISNUMBER(O269),IF(VLOOKUP($A269,Stand!C:J,8,FALSE)="Short",AT269,AU269),"")</f>
        <v/>
      </c>
      <c r="AW269" s="109" t="str">
        <f t="shared" si="160"/>
        <v/>
      </c>
      <c r="AX269" s="109" t="str">
        <f t="shared" si="161"/>
        <v/>
      </c>
      <c r="AY269" s="112" t="str">
        <f>IF(ISNUMBER(O269),IF(AND(VLOOKUP($D269,Merchantability!$B:$C,2,0)="Yes",$E269&gt;=VLOOKUP($D269,Merchantability!$B:$D,3,0),$E269&lt;=VLOOKUP($D269,Merchantability!$B:$E,4,0)),(AV269*O269)*(1-$H269/100),""),"")</f>
        <v/>
      </c>
      <c r="AZ269" s="116"/>
      <c r="BA269" s="116"/>
      <c r="BB269" s="116"/>
      <c r="BE269" s="62"/>
      <c r="BF269" s="63"/>
    </row>
    <row r="270" spans="1:58" ht="12.75" customHeight="1" x14ac:dyDescent="0.25">
      <c r="A270" s="313"/>
      <c r="B270" s="380"/>
      <c r="C270" s="381"/>
      <c r="D270" s="380"/>
      <c r="E270" s="382"/>
      <c r="F270" s="331"/>
      <c r="G270" s="329"/>
      <c r="H270" s="329"/>
      <c r="I270" s="380"/>
      <c r="J270" s="381"/>
      <c r="K270" s="329"/>
      <c r="L270" s="329"/>
      <c r="M270" s="76"/>
      <c r="N270" s="103" t="str">
        <f>IF(A270="","",VLOOKUP(A270,Stand!C:K,9,0))</f>
        <v/>
      </c>
      <c r="O270" s="104" t="str">
        <f t="shared" si="146"/>
        <v/>
      </c>
      <c r="P270" s="105" t="str">
        <f t="shared" si="147"/>
        <v/>
      </c>
      <c r="Q270" s="105" t="str">
        <f t="shared" si="135"/>
        <v/>
      </c>
      <c r="R270" s="103" t="str">
        <f t="shared" si="148"/>
        <v/>
      </c>
      <c r="S270" s="103" t="str">
        <f t="shared" si="149"/>
        <v/>
      </c>
      <c r="T270" s="106" t="str">
        <f t="shared" si="136"/>
        <v/>
      </c>
      <c r="U270" s="106" t="str">
        <f t="shared" si="137"/>
        <v/>
      </c>
      <c r="V270" s="106" t="str">
        <f t="shared" si="138"/>
        <v/>
      </c>
      <c r="W270" s="105" t="str">
        <f t="shared" si="150"/>
        <v/>
      </c>
      <c r="X270" s="104" t="str">
        <f t="shared" si="155"/>
        <v/>
      </c>
      <c r="Y270" s="104" t="str">
        <f t="array" ref="Y270">IFERROR(IF(ISNUMBER(O270),IF(COUNT(IF(A270=$A$2:$A$2427,IF(D270=$D$2:$D$2427,IF($X$2:$X$2427&gt;0,1))))&gt;0,SUM(IF(A270=$A$2:$A$2427,IF(D270=$D$2:$D$2427,$X$2:$X$2427)))/COUNT(IF(A270=$A$2:$A$2427,IF(D270=$D$2:$D$2427,IF(ISNUMBER($X$2:$X$2427),1)))),0),""),0)</f>
        <v/>
      </c>
      <c r="Z270" s="104" t="str">
        <f>IF(ISNUMBER(O270),IF(I270&gt;0,(10^(VLOOKUP(D270,'Species Codes'!B:C,2,0)+VLOOKUP(D270,'Species Codes'!B:D,3,0)*LOG(E270)+VLOOKUP(D270,'Species Codes'!B:E,4,0)*LOG(I270))),0),"")</f>
        <v/>
      </c>
      <c r="AA270" s="104" t="str">
        <f>IFERROR((VLOOKUP(D270,'Species Codes'!B:G,6,0)*Z270)/2000,"")</f>
        <v/>
      </c>
      <c r="AB270" s="104" t="e">
        <f>IF(Z270&gt;0,((IF(OR(D270="DF",D270="RA")=TRUE,EXP(VLOOKUP(D270,'Species Codes'!B:I,8,0)+VLOOKUP(D270,'Species Codes'!B:J,9,0)*(LN((E270*2.54)))),IF(OR(D270="PY",D270="RC",D270="WH",D270="NF")=TRUE,VLOOKUP(D270,'Species Codes'!B:I,8,0)+VLOOKUP(D270,'Species Codes'!B:J,9,0)*((E270*2.54)^2)*(I270*0.3048),IF(OR(D270="MD",D270="BM",D270="GA")=TRUE,((VLOOKUP(D270,'Species Codes'!B:I,8,0)*(((((E270*2.54)+VLOOKUP(D270,'Species Codes'!B:J,9,0))/VLOOKUP(D270,'Species Codes'!B:K,10,0))^VLOOKUP(D270,'Species Codes'!B:L,11,0))*((I270*0.3048)^VLOOKUP(D270,'Species Codes'!B:M,12,0))))-(VLOOKUP(D270,'Species Codes'!B:I,8,0)*((((E270*2.54)^VLOOKUP(D270,'Species Codes'!B:L,11,0))*((I270*0.3048)^VLOOKUP(D270,'Species Codes'!B:M,12,0))))))*35.3*VLOOKUP(D270,'Species Codes'!B:G,6,0)/2.2046,VLOOKUP(D270,'Species Codes'!B:I,8,0)+VLOOKUP(D270,'Species Codes'!B:J,9,0)*(((E270*2.54)/100)^2)*(I270*0.3048)))))*0.0011023),0)</f>
        <v>#N/A</v>
      </c>
      <c r="AC270" s="104" t="e">
        <f>IF(Z270&gt;0,((IF(OR(D270="RA",D270="OA",D270="OT",D270="UN",D270="PC"),EXP(VLOOKUP(D270,'Species Codes'!B:O,14,0)+VLOOKUP(D270,'Species Codes'!B:P,15,0)*LN((E270*2.54)))-EXP(VLOOKUP(D270,'Species Codes'!B:O,14,0)+VLOOKUP(D270,'Species Codes'!B:P,15,0)*LN((E270*2.54)))*(1/(VLOOKUP(D270,'Species Codes'!B:Q,16,0)+VLOOKUP(D270,'Species Codes'!B:R,17,0)*((E270*2.54)^VLOOKUP(D270,'Species Codes'!B:S,18,0)))),IF(OR(D270="BM",D270="MD",D270="OA"),EXP(VLOOKUP(D270,'Species Codes'!B:O,14,0)+VLOOKUP(D270,'Species Codes'!B:P,15,0)*LN((E270*2.54)))*(1-(1/(VLOOKUP(D270,'Species Codes'!B:Q,16,0)+VLOOKUP(D270,'Species Codes'!B:R,17,0)*((E270*2.54)^VLOOKUP(D270,'Species Codes'!B:S,18,0)))))/1000,IF(D270="DF",EXP(VLOOKUP(D270,'Species Codes'!B:O,14,0)+VLOOKUP(D270,'Species Codes'!B:P,15,0)*LN((E270*2.54))),VLOOKUP(D270,'Species Codes'!B:O,14,0)+VLOOKUP(D270,'Species Codes'!B:P,15,0)*(((E270*2.54)/100)^2)*(I270*0.3048)))))*0.0011023),0)</f>
        <v>#N/A</v>
      </c>
      <c r="AD270" s="104" t="e">
        <f t="shared" si="139"/>
        <v>#N/A</v>
      </c>
      <c r="AE270" s="104" t="e">
        <f t="shared" si="140"/>
        <v>#N/A</v>
      </c>
      <c r="AF270" s="104" t="e">
        <f>IF(AND(VLOOKUP($D270,Merchantability!$B:$C,2,0)="Yes",$E270&gt;=VLOOKUP($D270,Merchantability!$B:$D,3,0),$E270&lt;=VLOOKUP($D270,Merchantability!$B:$E,4,0)),AA270,0)</f>
        <v>#N/A</v>
      </c>
      <c r="AG270" s="104" t="e">
        <f>IF(AND(VLOOKUP($D270,Merchantability!$B:$C,2,0)="Yes",$E270&gt;=VLOOKUP($D270,Merchantability!$B:$D,3,0),$E270&lt;=VLOOKUP($D270,Merchantability!$B:$E,4,0)),AB270,0)</f>
        <v>#N/A</v>
      </c>
      <c r="AH270" s="104" t="e">
        <f>IF(AND(VLOOKUP($D270,Merchantability!$B:$C,2,0)="Yes",$E270&gt;=VLOOKUP($D270,Merchantability!$B:$D,3,0),$E270&lt;=VLOOKUP($D270,Merchantability!$B:$E,4,0)),AC270,0)</f>
        <v>#N/A</v>
      </c>
      <c r="AI270" s="104" t="e">
        <f t="shared" si="141"/>
        <v>#N/A</v>
      </c>
      <c r="AJ270" s="104" t="e">
        <f t="shared" si="142"/>
        <v>#VALUE!</v>
      </c>
      <c r="AK270" s="104" t="e">
        <f t="shared" si="143"/>
        <v>#N/A</v>
      </c>
      <c r="AL270" s="104" t="e">
        <f t="shared" si="144"/>
        <v>#N/A</v>
      </c>
      <c r="AM270" s="104" t="e">
        <f t="shared" si="145"/>
        <v>#N/A</v>
      </c>
      <c r="AN270" s="104" t="e">
        <f t="shared" si="156"/>
        <v>#N/A</v>
      </c>
      <c r="AO270" s="104" t="e">
        <f t="shared" si="157"/>
        <v>#N/A</v>
      </c>
      <c r="AP270" s="104" t="e">
        <f t="shared" si="158"/>
        <v>#N/A</v>
      </c>
      <c r="AQ270" s="104" t="e">
        <f t="shared" si="159"/>
        <v>#N/A</v>
      </c>
      <c r="AR270" s="105" t="str">
        <f t="shared" si="151"/>
        <v/>
      </c>
      <c r="AS270" s="105" t="str">
        <f t="shared" si="152"/>
        <v/>
      </c>
      <c r="AT270" s="108" t="str">
        <f t="shared" si="153"/>
        <v/>
      </c>
      <c r="AU270" s="108" t="str">
        <f t="shared" si="154"/>
        <v/>
      </c>
      <c r="AV270" s="107" t="str">
        <f>IF(ISNUMBER(O270),IF(VLOOKUP($A270,Stand!C:J,8,FALSE)="Short",AT270,AU270),"")</f>
        <v/>
      </c>
      <c r="AW270" s="109" t="str">
        <f t="shared" si="160"/>
        <v/>
      </c>
      <c r="AX270" s="109" t="str">
        <f t="shared" si="161"/>
        <v/>
      </c>
      <c r="AY270" s="112" t="str">
        <f>IF(ISNUMBER(O270),IF(AND(VLOOKUP($D270,Merchantability!$B:$C,2,0)="Yes",$E270&gt;=VLOOKUP($D270,Merchantability!$B:$D,3,0),$E270&lt;=VLOOKUP($D270,Merchantability!$B:$E,4,0)),(AV270*O270)*(1-$H270/100),""),"")</f>
        <v/>
      </c>
      <c r="AZ270" s="116"/>
      <c r="BA270" s="116"/>
      <c r="BB270" s="116"/>
      <c r="BE270" s="62"/>
      <c r="BF270" s="63"/>
    </row>
    <row r="271" spans="1:58" ht="12.75" customHeight="1" x14ac:dyDescent="0.25">
      <c r="A271" s="313"/>
      <c r="B271" s="380"/>
      <c r="C271" s="381"/>
      <c r="D271" s="380"/>
      <c r="E271" s="382"/>
      <c r="F271" s="331"/>
      <c r="G271" s="329"/>
      <c r="H271" s="329"/>
      <c r="I271" s="380"/>
      <c r="J271" s="381"/>
      <c r="K271" s="329"/>
      <c r="L271" s="329"/>
      <c r="M271" s="76"/>
      <c r="N271" s="103" t="str">
        <f>IF(A271="","",VLOOKUP(A271,Stand!C:K,9,0))</f>
        <v/>
      </c>
      <c r="O271" s="104" t="str">
        <f t="shared" si="146"/>
        <v/>
      </c>
      <c r="P271" s="105" t="str">
        <f t="shared" si="147"/>
        <v/>
      </c>
      <c r="Q271" s="105" t="str">
        <f t="shared" si="135"/>
        <v/>
      </c>
      <c r="R271" s="103" t="str">
        <f t="shared" si="148"/>
        <v/>
      </c>
      <c r="S271" s="103" t="str">
        <f t="shared" si="149"/>
        <v/>
      </c>
      <c r="T271" s="106" t="str">
        <f t="shared" si="136"/>
        <v/>
      </c>
      <c r="U271" s="106" t="str">
        <f t="shared" si="137"/>
        <v/>
      </c>
      <c r="V271" s="106" t="str">
        <f t="shared" si="138"/>
        <v/>
      </c>
      <c r="W271" s="105" t="str">
        <f t="shared" si="150"/>
        <v/>
      </c>
      <c r="X271" s="104" t="str">
        <f t="shared" si="155"/>
        <v/>
      </c>
      <c r="Y271" s="104" t="str">
        <f t="array" ref="Y271">IFERROR(IF(ISNUMBER(O271),IF(COUNT(IF(A271=$A$2:$A$2427,IF(D271=$D$2:$D$2427,IF($X$2:$X$2427&gt;0,1))))&gt;0,SUM(IF(A271=$A$2:$A$2427,IF(D271=$D$2:$D$2427,$X$2:$X$2427)))/COUNT(IF(A271=$A$2:$A$2427,IF(D271=$D$2:$D$2427,IF(ISNUMBER($X$2:$X$2427),1)))),0),""),0)</f>
        <v/>
      </c>
      <c r="Z271" s="104" t="str">
        <f>IF(ISNUMBER(O271),IF(I271&gt;0,(10^(VLOOKUP(D271,'Species Codes'!B:C,2,0)+VLOOKUP(D271,'Species Codes'!B:D,3,0)*LOG(E271)+VLOOKUP(D271,'Species Codes'!B:E,4,0)*LOG(I271))),0),"")</f>
        <v/>
      </c>
      <c r="AA271" s="104" t="str">
        <f>IFERROR((VLOOKUP(D271,'Species Codes'!B:G,6,0)*Z271)/2000,"")</f>
        <v/>
      </c>
      <c r="AB271" s="104" t="e">
        <f>IF(Z271&gt;0,((IF(OR(D271="DF",D271="RA")=TRUE,EXP(VLOOKUP(D271,'Species Codes'!B:I,8,0)+VLOOKUP(D271,'Species Codes'!B:J,9,0)*(LN((E271*2.54)))),IF(OR(D271="PY",D271="RC",D271="WH",D271="NF")=TRUE,VLOOKUP(D271,'Species Codes'!B:I,8,0)+VLOOKUP(D271,'Species Codes'!B:J,9,0)*((E271*2.54)^2)*(I271*0.3048),IF(OR(D271="MD",D271="BM",D271="GA")=TRUE,((VLOOKUP(D271,'Species Codes'!B:I,8,0)*(((((E271*2.54)+VLOOKUP(D271,'Species Codes'!B:J,9,0))/VLOOKUP(D271,'Species Codes'!B:K,10,0))^VLOOKUP(D271,'Species Codes'!B:L,11,0))*((I271*0.3048)^VLOOKUP(D271,'Species Codes'!B:M,12,0))))-(VLOOKUP(D271,'Species Codes'!B:I,8,0)*((((E271*2.54)^VLOOKUP(D271,'Species Codes'!B:L,11,0))*((I271*0.3048)^VLOOKUP(D271,'Species Codes'!B:M,12,0))))))*35.3*VLOOKUP(D271,'Species Codes'!B:G,6,0)/2.2046,VLOOKUP(D271,'Species Codes'!B:I,8,0)+VLOOKUP(D271,'Species Codes'!B:J,9,0)*(((E271*2.54)/100)^2)*(I271*0.3048)))))*0.0011023),0)</f>
        <v>#N/A</v>
      </c>
      <c r="AC271" s="104" t="e">
        <f>IF(Z271&gt;0,((IF(OR(D271="RA",D271="OA",D271="OT",D271="UN",D271="PC"),EXP(VLOOKUP(D271,'Species Codes'!B:O,14,0)+VLOOKUP(D271,'Species Codes'!B:P,15,0)*LN((E271*2.54)))-EXP(VLOOKUP(D271,'Species Codes'!B:O,14,0)+VLOOKUP(D271,'Species Codes'!B:P,15,0)*LN((E271*2.54)))*(1/(VLOOKUP(D271,'Species Codes'!B:Q,16,0)+VLOOKUP(D271,'Species Codes'!B:R,17,0)*((E271*2.54)^VLOOKUP(D271,'Species Codes'!B:S,18,0)))),IF(OR(D271="BM",D271="MD",D271="OA"),EXP(VLOOKUP(D271,'Species Codes'!B:O,14,0)+VLOOKUP(D271,'Species Codes'!B:P,15,0)*LN((E271*2.54)))*(1-(1/(VLOOKUP(D271,'Species Codes'!B:Q,16,0)+VLOOKUP(D271,'Species Codes'!B:R,17,0)*((E271*2.54)^VLOOKUP(D271,'Species Codes'!B:S,18,0)))))/1000,IF(D271="DF",EXP(VLOOKUP(D271,'Species Codes'!B:O,14,0)+VLOOKUP(D271,'Species Codes'!B:P,15,0)*LN((E271*2.54))),VLOOKUP(D271,'Species Codes'!B:O,14,0)+VLOOKUP(D271,'Species Codes'!B:P,15,0)*(((E271*2.54)/100)^2)*(I271*0.3048)))))*0.0011023),0)</f>
        <v>#N/A</v>
      </c>
      <c r="AD271" s="104" t="e">
        <f t="shared" si="139"/>
        <v>#N/A</v>
      </c>
      <c r="AE271" s="104" t="e">
        <f t="shared" si="140"/>
        <v>#N/A</v>
      </c>
      <c r="AF271" s="104" t="e">
        <f>IF(AND(VLOOKUP($D271,Merchantability!$B:$C,2,0)="Yes",$E271&gt;=VLOOKUP($D271,Merchantability!$B:$D,3,0),$E271&lt;=VLOOKUP($D271,Merchantability!$B:$E,4,0)),AA271,0)</f>
        <v>#N/A</v>
      </c>
      <c r="AG271" s="104" t="e">
        <f>IF(AND(VLOOKUP($D271,Merchantability!$B:$C,2,0)="Yes",$E271&gt;=VLOOKUP($D271,Merchantability!$B:$D,3,0),$E271&lt;=VLOOKUP($D271,Merchantability!$B:$E,4,0)),AB271,0)</f>
        <v>#N/A</v>
      </c>
      <c r="AH271" s="104" t="e">
        <f>IF(AND(VLOOKUP($D271,Merchantability!$B:$C,2,0)="Yes",$E271&gt;=VLOOKUP($D271,Merchantability!$B:$D,3,0),$E271&lt;=VLOOKUP($D271,Merchantability!$B:$E,4,0)),AC271,0)</f>
        <v>#N/A</v>
      </c>
      <c r="AI271" s="104" t="e">
        <f t="shared" si="141"/>
        <v>#N/A</v>
      </c>
      <c r="AJ271" s="104" t="e">
        <f t="shared" si="142"/>
        <v>#VALUE!</v>
      </c>
      <c r="AK271" s="104" t="e">
        <f t="shared" si="143"/>
        <v>#N/A</v>
      </c>
      <c r="AL271" s="104" t="e">
        <f t="shared" si="144"/>
        <v>#N/A</v>
      </c>
      <c r="AM271" s="104" t="e">
        <f t="shared" si="145"/>
        <v>#N/A</v>
      </c>
      <c r="AN271" s="104" t="e">
        <f t="shared" si="156"/>
        <v>#N/A</v>
      </c>
      <c r="AO271" s="104" t="e">
        <f t="shared" si="157"/>
        <v>#N/A</v>
      </c>
      <c r="AP271" s="104" t="e">
        <f t="shared" si="158"/>
        <v>#N/A</v>
      </c>
      <c r="AQ271" s="104" t="e">
        <f t="shared" si="159"/>
        <v>#N/A</v>
      </c>
      <c r="AR271" s="105" t="str">
        <f t="shared" si="151"/>
        <v/>
      </c>
      <c r="AS271" s="105" t="str">
        <f t="shared" si="152"/>
        <v/>
      </c>
      <c r="AT271" s="108" t="str">
        <f t="shared" si="153"/>
        <v/>
      </c>
      <c r="AU271" s="108" t="str">
        <f t="shared" si="154"/>
        <v/>
      </c>
      <c r="AV271" s="107" t="str">
        <f>IF(ISNUMBER(O271),IF(VLOOKUP($A271,Stand!C:J,8,FALSE)="Short",AT271,AU271),"")</f>
        <v/>
      </c>
      <c r="AW271" s="109" t="str">
        <f t="shared" si="160"/>
        <v/>
      </c>
      <c r="AX271" s="109" t="str">
        <f t="shared" si="161"/>
        <v/>
      </c>
      <c r="AY271" s="112" t="str">
        <f>IF(ISNUMBER(O271),IF(AND(VLOOKUP($D271,Merchantability!$B:$C,2,0)="Yes",$E271&gt;=VLOOKUP($D271,Merchantability!$B:$D,3,0),$E271&lt;=VLOOKUP($D271,Merchantability!$B:$E,4,0)),(AV271*O271)*(1-$H271/100),""),"")</f>
        <v/>
      </c>
      <c r="AZ271" s="116"/>
      <c r="BA271" s="116"/>
      <c r="BB271" s="116"/>
      <c r="BE271" s="62"/>
      <c r="BF271" s="63"/>
    </row>
    <row r="272" spans="1:58" ht="12.75" customHeight="1" x14ac:dyDescent="0.25">
      <c r="A272" s="313"/>
      <c r="B272" s="380"/>
      <c r="C272" s="381"/>
      <c r="D272" s="380"/>
      <c r="E272" s="382"/>
      <c r="F272" s="331"/>
      <c r="G272" s="329"/>
      <c r="H272" s="329"/>
      <c r="I272" s="380"/>
      <c r="J272" s="381"/>
      <c r="K272" s="329"/>
      <c r="L272" s="329"/>
      <c r="M272" s="76"/>
      <c r="N272" s="103" t="str">
        <f>IF(A272="","",VLOOKUP(A272,Stand!C:K,9,0))</f>
        <v/>
      </c>
      <c r="O272" s="104" t="str">
        <f t="shared" si="146"/>
        <v/>
      </c>
      <c r="P272" s="105" t="str">
        <f t="shared" si="147"/>
        <v/>
      </c>
      <c r="Q272" s="105" t="str">
        <f t="shared" si="135"/>
        <v/>
      </c>
      <c r="R272" s="103" t="str">
        <f t="shared" si="148"/>
        <v/>
      </c>
      <c r="S272" s="103" t="str">
        <f t="shared" si="149"/>
        <v/>
      </c>
      <c r="T272" s="106" t="str">
        <f t="shared" si="136"/>
        <v/>
      </c>
      <c r="U272" s="106" t="str">
        <f t="shared" si="137"/>
        <v/>
      </c>
      <c r="V272" s="106" t="str">
        <f t="shared" si="138"/>
        <v/>
      </c>
      <c r="W272" s="105" t="str">
        <f t="shared" si="150"/>
        <v/>
      </c>
      <c r="X272" s="104" t="str">
        <f t="shared" si="155"/>
        <v/>
      </c>
      <c r="Y272" s="104" t="str">
        <f t="array" ref="Y272">IFERROR(IF(ISNUMBER(O272),IF(COUNT(IF(A272=$A$2:$A$2427,IF(D272=$D$2:$D$2427,IF($X$2:$X$2427&gt;0,1))))&gt;0,SUM(IF(A272=$A$2:$A$2427,IF(D272=$D$2:$D$2427,$X$2:$X$2427)))/COUNT(IF(A272=$A$2:$A$2427,IF(D272=$D$2:$D$2427,IF(ISNUMBER($X$2:$X$2427),1)))),0),""),0)</f>
        <v/>
      </c>
      <c r="Z272" s="104" t="str">
        <f>IF(ISNUMBER(O272),IF(I272&gt;0,(10^(VLOOKUP(D272,'Species Codes'!B:C,2,0)+VLOOKUP(D272,'Species Codes'!B:D,3,0)*LOG(E272)+VLOOKUP(D272,'Species Codes'!B:E,4,0)*LOG(I272))),0),"")</f>
        <v/>
      </c>
      <c r="AA272" s="104" t="str">
        <f>IFERROR((VLOOKUP(D272,'Species Codes'!B:G,6,0)*Z272)/2000,"")</f>
        <v/>
      </c>
      <c r="AB272" s="104" t="e">
        <f>IF(Z272&gt;0,((IF(OR(D272="DF",D272="RA")=TRUE,EXP(VLOOKUP(D272,'Species Codes'!B:I,8,0)+VLOOKUP(D272,'Species Codes'!B:J,9,0)*(LN((E272*2.54)))),IF(OR(D272="PY",D272="RC",D272="WH",D272="NF")=TRUE,VLOOKUP(D272,'Species Codes'!B:I,8,0)+VLOOKUP(D272,'Species Codes'!B:J,9,0)*((E272*2.54)^2)*(I272*0.3048),IF(OR(D272="MD",D272="BM",D272="GA")=TRUE,((VLOOKUP(D272,'Species Codes'!B:I,8,0)*(((((E272*2.54)+VLOOKUP(D272,'Species Codes'!B:J,9,0))/VLOOKUP(D272,'Species Codes'!B:K,10,0))^VLOOKUP(D272,'Species Codes'!B:L,11,0))*((I272*0.3048)^VLOOKUP(D272,'Species Codes'!B:M,12,0))))-(VLOOKUP(D272,'Species Codes'!B:I,8,0)*((((E272*2.54)^VLOOKUP(D272,'Species Codes'!B:L,11,0))*((I272*0.3048)^VLOOKUP(D272,'Species Codes'!B:M,12,0))))))*35.3*VLOOKUP(D272,'Species Codes'!B:G,6,0)/2.2046,VLOOKUP(D272,'Species Codes'!B:I,8,0)+VLOOKUP(D272,'Species Codes'!B:J,9,0)*(((E272*2.54)/100)^2)*(I272*0.3048)))))*0.0011023),0)</f>
        <v>#N/A</v>
      </c>
      <c r="AC272" s="104" t="e">
        <f>IF(Z272&gt;0,((IF(OR(D272="RA",D272="OA",D272="OT",D272="UN",D272="PC"),EXP(VLOOKUP(D272,'Species Codes'!B:O,14,0)+VLOOKUP(D272,'Species Codes'!B:P,15,0)*LN((E272*2.54)))-EXP(VLOOKUP(D272,'Species Codes'!B:O,14,0)+VLOOKUP(D272,'Species Codes'!B:P,15,0)*LN((E272*2.54)))*(1/(VLOOKUP(D272,'Species Codes'!B:Q,16,0)+VLOOKUP(D272,'Species Codes'!B:R,17,0)*((E272*2.54)^VLOOKUP(D272,'Species Codes'!B:S,18,0)))),IF(OR(D272="BM",D272="MD",D272="OA"),EXP(VLOOKUP(D272,'Species Codes'!B:O,14,0)+VLOOKUP(D272,'Species Codes'!B:P,15,0)*LN((E272*2.54)))*(1-(1/(VLOOKUP(D272,'Species Codes'!B:Q,16,0)+VLOOKUP(D272,'Species Codes'!B:R,17,0)*((E272*2.54)^VLOOKUP(D272,'Species Codes'!B:S,18,0)))))/1000,IF(D272="DF",EXP(VLOOKUP(D272,'Species Codes'!B:O,14,0)+VLOOKUP(D272,'Species Codes'!B:P,15,0)*LN((E272*2.54))),VLOOKUP(D272,'Species Codes'!B:O,14,0)+VLOOKUP(D272,'Species Codes'!B:P,15,0)*(((E272*2.54)/100)^2)*(I272*0.3048)))))*0.0011023),0)</f>
        <v>#N/A</v>
      </c>
      <c r="AD272" s="104" t="e">
        <f t="shared" si="139"/>
        <v>#N/A</v>
      </c>
      <c r="AE272" s="104" t="e">
        <f t="shared" si="140"/>
        <v>#N/A</v>
      </c>
      <c r="AF272" s="104" t="e">
        <f>IF(AND(VLOOKUP($D272,Merchantability!$B:$C,2,0)="Yes",$E272&gt;=VLOOKUP($D272,Merchantability!$B:$D,3,0),$E272&lt;=VLOOKUP($D272,Merchantability!$B:$E,4,0)),AA272,0)</f>
        <v>#N/A</v>
      </c>
      <c r="AG272" s="104" t="e">
        <f>IF(AND(VLOOKUP($D272,Merchantability!$B:$C,2,0)="Yes",$E272&gt;=VLOOKUP($D272,Merchantability!$B:$D,3,0),$E272&lt;=VLOOKUP($D272,Merchantability!$B:$E,4,0)),AB272,0)</f>
        <v>#N/A</v>
      </c>
      <c r="AH272" s="104" t="e">
        <f>IF(AND(VLOOKUP($D272,Merchantability!$B:$C,2,0)="Yes",$E272&gt;=VLOOKUP($D272,Merchantability!$B:$D,3,0),$E272&lt;=VLOOKUP($D272,Merchantability!$B:$E,4,0)),AC272,0)</f>
        <v>#N/A</v>
      </c>
      <c r="AI272" s="104" t="e">
        <f t="shared" si="141"/>
        <v>#N/A</v>
      </c>
      <c r="AJ272" s="104" t="e">
        <f t="shared" si="142"/>
        <v>#VALUE!</v>
      </c>
      <c r="AK272" s="104" t="e">
        <f t="shared" si="143"/>
        <v>#N/A</v>
      </c>
      <c r="AL272" s="104" t="e">
        <f t="shared" si="144"/>
        <v>#N/A</v>
      </c>
      <c r="AM272" s="104" t="e">
        <f t="shared" si="145"/>
        <v>#N/A</v>
      </c>
      <c r="AN272" s="104" t="e">
        <f t="shared" si="156"/>
        <v>#N/A</v>
      </c>
      <c r="AO272" s="104" t="e">
        <f t="shared" si="157"/>
        <v>#N/A</v>
      </c>
      <c r="AP272" s="104" t="e">
        <f t="shared" si="158"/>
        <v>#N/A</v>
      </c>
      <c r="AQ272" s="104" t="e">
        <f t="shared" si="159"/>
        <v>#N/A</v>
      </c>
      <c r="AR272" s="105" t="str">
        <f t="shared" si="151"/>
        <v/>
      </c>
      <c r="AS272" s="105" t="str">
        <f t="shared" si="152"/>
        <v/>
      </c>
      <c r="AT272" s="108" t="str">
        <f t="shared" si="153"/>
        <v/>
      </c>
      <c r="AU272" s="108" t="str">
        <f t="shared" si="154"/>
        <v/>
      </c>
      <c r="AV272" s="107" t="str">
        <f>IF(ISNUMBER(O272),IF(VLOOKUP($A272,Stand!C:J,8,FALSE)="Short",AT272,AU272),"")</f>
        <v/>
      </c>
      <c r="AW272" s="109" t="str">
        <f t="shared" si="160"/>
        <v/>
      </c>
      <c r="AX272" s="109" t="str">
        <f t="shared" si="161"/>
        <v/>
      </c>
      <c r="AY272" s="112" t="str">
        <f>IF(ISNUMBER(O272),IF(AND(VLOOKUP($D272,Merchantability!$B:$C,2,0)="Yes",$E272&gt;=VLOOKUP($D272,Merchantability!$B:$D,3,0),$E272&lt;=VLOOKUP($D272,Merchantability!$B:$E,4,0)),(AV272*O272)*(1-$H272/100),""),"")</f>
        <v/>
      </c>
      <c r="AZ272" s="116"/>
      <c r="BA272" s="116"/>
      <c r="BB272" s="116"/>
      <c r="BE272" s="62"/>
      <c r="BF272" s="63"/>
    </row>
    <row r="273" spans="1:58" ht="12.75" customHeight="1" x14ac:dyDescent="0.25">
      <c r="A273" s="313"/>
      <c r="B273" s="380"/>
      <c r="C273" s="381"/>
      <c r="D273" s="380"/>
      <c r="E273" s="382"/>
      <c r="F273" s="331"/>
      <c r="G273" s="329"/>
      <c r="H273" s="329"/>
      <c r="I273" s="380"/>
      <c r="J273" s="381"/>
      <c r="K273" s="329"/>
      <c r="L273" s="329"/>
      <c r="M273" s="76"/>
      <c r="N273" s="103" t="str">
        <f>IF(A273="","",VLOOKUP(A273,Stand!C:K,9,0))</f>
        <v/>
      </c>
      <c r="O273" s="104" t="str">
        <f t="shared" si="146"/>
        <v/>
      </c>
      <c r="P273" s="105" t="str">
        <f t="shared" si="147"/>
        <v/>
      </c>
      <c r="Q273" s="105" t="str">
        <f t="shared" si="135"/>
        <v/>
      </c>
      <c r="R273" s="103" t="str">
        <f t="shared" si="148"/>
        <v/>
      </c>
      <c r="S273" s="103" t="str">
        <f t="shared" si="149"/>
        <v/>
      </c>
      <c r="T273" s="106" t="str">
        <f t="shared" si="136"/>
        <v/>
      </c>
      <c r="U273" s="106" t="str">
        <f t="shared" si="137"/>
        <v/>
      </c>
      <c r="V273" s="106" t="str">
        <f t="shared" si="138"/>
        <v/>
      </c>
      <c r="W273" s="105" t="str">
        <f t="shared" si="150"/>
        <v/>
      </c>
      <c r="X273" s="104" t="str">
        <f t="shared" si="155"/>
        <v/>
      </c>
      <c r="Y273" s="104" t="str">
        <f t="array" ref="Y273">IFERROR(IF(ISNUMBER(O273),IF(COUNT(IF(A273=$A$2:$A$2427,IF(D273=$D$2:$D$2427,IF($X$2:$X$2427&gt;0,1))))&gt;0,SUM(IF(A273=$A$2:$A$2427,IF(D273=$D$2:$D$2427,$X$2:$X$2427)))/COUNT(IF(A273=$A$2:$A$2427,IF(D273=$D$2:$D$2427,IF(ISNUMBER($X$2:$X$2427),1)))),0),""),0)</f>
        <v/>
      </c>
      <c r="Z273" s="104" t="str">
        <f>IF(ISNUMBER(O273),IF(I273&gt;0,(10^(VLOOKUP(D273,'Species Codes'!B:C,2,0)+VLOOKUP(D273,'Species Codes'!B:D,3,0)*LOG(E273)+VLOOKUP(D273,'Species Codes'!B:E,4,0)*LOG(I273))),0),"")</f>
        <v/>
      </c>
      <c r="AA273" s="104" t="str">
        <f>IFERROR((VLOOKUP(D273,'Species Codes'!B:G,6,0)*Z273)/2000,"")</f>
        <v/>
      </c>
      <c r="AB273" s="104" t="e">
        <f>IF(Z273&gt;0,((IF(OR(D273="DF",D273="RA")=TRUE,EXP(VLOOKUP(D273,'Species Codes'!B:I,8,0)+VLOOKUP(D273,'Species Codes'!B:J,9,0)*(LN((E273*2.54)))),IF(OR(D273="PY",D273="RC",D273="WH",D273="NF")=TRUE,VLOOKUP(D273,'Species Codes'!B:I,8,0)+VLOOKUP(D273,'Species Codes'!B:J,9,0)*((E273*2.54)^2)*(I273*0.3048),IF(OR(D273="MD",D273="BM",D273="GA")=TRUE,((VLOOKUP(D273,'Species Codes'!B:I,8,0)*(((((E273*2.54)+VLOOKUP(D273,'Species Codes'!B:J,9,0))/VLOOKUP(D273,'Species Codes'!B:K,10,0))^VLOOKUP(D273,'Species Codes'!B:L,11,0))*((I273*0.3048)^VLOOKUP(D273,'Species Codes'!B:M,12,0))))-(VLOOKUP(D273,'Species Codes'!B:I,8,0)*((((E273*2.54)^VLOOKUP(D273,'Species Codes'!B:L,11,0))*((I273*0.3048)^VLOOKUP(D273,'Species Codes'!B:M,12,0))))))*35.3*VLOOKUP(D273,'Species Codes'!B:G,6,0)/2.2046,VLOOKUP(D273,'Species Codes'!B:I,8,0)+VLOOKUP(D273,'Species Codes'!B:J,9,0)*(((E273*2.54)/100)^2)*(I273*0.3048)))))*0.0011023),0)</f>
        <v>#N/A</v>
      </c>
      <c r="AC273" s="104" t="e">
        <f>IF(Z273&gt;0,((IF(OR(D273="RA",D273="OA",D273="OT",D273="UN",D273="PC"),EXP(VLOOKUP(D273,'Species Codes'!B:O,14,0)+VLOOKUP(D273,'Species Codes'!B:P,15,0)*LN((E273*2.54)))-EXP(VLOOKUP(D273,'Species Codes'!B:O,14,0)+VLOOKUP(D273,'Species Codes'!B:P,15,0)*LN((E273*2.54)))*(1/(VLOOKUP(D273,'Species Codes'!B:Q,16,0)+VLOOKUP(D273,'Species Codes'!B:R,17,0)*((E273*2.54)^VLOOKUP(D273,'Species Codes'!B:S,18,0)))),IF(OR(D273="BM",D273="MD",D273="OA"),EXP(VLOOKUP(D273,'Species Codes'!B:O,14,0)+VLOOKUP(D273,'Species Codes'!B:P,15,0)*LN((E273*2.54)))*(1-(1/(VLOOKUP(D273,'Species Codes'!B:Q,16,0)+VLOOKUP(D273,'Species Codes'!B:R,17,0)*((E273*2.54)^VLOOKUP(D273,'Species Codes'!B:S,18,0)))))/1000,IF(D273="DF",EXP(VLOOKUP(D273,'Species Codes'!B:O,14,0)+VLOOKUP(D273,'Species Codes'!B:P,15,0)*LN((E273*2.54))),VLOOKUP(D273,'Species Codes'!B:O,14,0)+VLOOKUP(D273,'Species Codes'!B:P,15,0)*(((E273*2.54)/100)^2)*(I273*0.3048)))))*0.0011023),0)</f>
        <v>#N/A</v>
      </c>
      <c r="AD273" s="104" t="e">
        <f t="shared" si="139"/>
        <v>#N/A</v>
      </c>
      <c r="AE273" s="104" t="e">
        <f t="shared" si="140"/>
        <v>#N/A</v>
      </c>
      <c r="AF273" s="104" t="e">
        <f>IF(AND(VLOOKUP($D273,Merchantability!$B:$C,2,0)="Yes",$E273&gt;=VLOOKUP($D273,Merchantability!$B:$D,3,0),$E273&lt;=VLOOKUP($D273,Merchantability!$B:$E,4,0)),AA273,0)</f>
        <v>#N/A</v>
      </c>
      <c r="AG273" s="104" t="e">
        <f>IF(AND(VLOOKUP($D273,Merchantability!$B:$C,2,0)="Yes",$E273&gt;=VLOOKUP($D273,Merchantability!$B:$D,3,0),$E273&lt;=VLOOKUP($D273,Merchantability!$B:$E,4,0)),AB273,0)</f>
        <v>#N/A</v>
      </c>
      <c r="AH273" s="104" t="e">
        <f>IF(AND(VLOOKUP($D273,Merchantability!$B:$C,2,0)="Yes",$E273&gt;=VLOOKUP($D273,Merchantability!$B:$D,3,0),$E273&lt;=VLOOKUP($D273,Merchantability!$B:$E,4,0)),AC273,0)</f>
        <v>#N/A</v>
      </c>
      <c r="AI273" s="104" t="e">
        <f t="shared" si="141"/>
        <v>#N/A</v>
      </c>
      <c r="AJ273" s="104" t="e">
        <f t="shared" si="142"/>
        <v>#VALUE!</v>
      </c>
      <c r="AK273" s="104" t="e">
        <f t="shared" si="143"/>
        <v>#N/A</v>
      </c>
      <c r="AL273" s="104" t="e">
        <f t="shared" si="144"/>
        <v>#N/A</v>
      </c>
      <c r="AM273" s="104" t="e">
        <f t="shared" si="145"/>
        <v>#N/A</v>
      </c>
      <c r="AN273" s="104" t="e">
        <f t="shared" si="156"/>
        <v>#N/A</v>
      </c>
      <c r="AO273" s="104" t="e">
        <f t="shared" si="157"/>
        <v>#N/A</v>
      </c>
      <c r="AP273" s="104" t="e">
        <f t="shared" si="158"/>
        <v>#N/A</v>
      </c>
      <c r="AQ273" s="104" t="e">
        <f t="shared" si="159"/>
        <v>#N/A</v>
      </c>
      <c r="AR273" s="105" t="str">
        <f t="shared" si="151"/>
        <v/>
      </c>
      <c r="AS273" s="105" t="str">
        <f t="shared" si="152"/>
        <v/>
      </c>
      <c r="AT273" s="108" t="str">
        <f t="shared" si="153"/>
        <v/>
      </c>
      <c r="AU273" s="108" t="str">
        <f t="shared" si="154"/>
        <v/>
      </c>
      <c r="AV273" s="107" t="str">
        <f>IF(ISNUMBER(O273),IF(VLOOKUP($A273,Stand!C:J,8,FALSE)="Short",AT273,AU273),"")</f>
        <v/>
      </c>
      <c r="AW273" s="109" t="str">
        <f t="shared" si="160"/>
        <v/>
      </c>
      <c r="AX273" s="109" t="str">
        <f t="shared" si="161"/>
        <v/>
      </c>
      <c r="AY273" s="112" t="str">
        <f>IF(ISNUMBER(O273),IF(AND(VLOOKUP($D273,Merchantability!$B:$C,2,0)="Yes",$E273&gt;=VLOOKUP($D273,Merchantability!$B:$D,3,0),$E273&lt;=VLOOKUP($D273,Merchantability!$B:$E,4,0)),(AV273*O273)*(1-$H273/100),""),"")</f>
        <v/>
      </c>
      <c r="AZ273" s="116"/>
      <c r="BA273" s="116"/>
      <c r="BB273" s="116"/>
      <c r="BE273" s="62"/>
      <c r="BF273" s="63"/>
    </row>
    <row r="274" spans="1:58" ht="12.75" customHeight="1" x14ac:dyDescent="0.25">
      <c r="A274" s="313"/>
      <c r="B274" s="380"/>
      <c r="C274" s="381"/>
      <c r="D274" s="380"/>
      <c r="E274" s="382"/>
      <c r="F274" s="331"/>
      <c r="G274" s="329"/>
      <c r="H274" s="329"/>
      <c r="I274" s="380"/>
      <c r="J274" s="381"/>
      <c r="K274" s="329"/>
      <c r="L274" s="329"/>
      <c r="M274" s="76"/>
      <c r="N274" s="103" t="str">
        <f>IF(A274="","",VLOOKUP(A274,Stand!C:K,9,0))</f>
        <v/>
      </c>
      <c r="O274" s="104" t="str">
        <f t="shared" si="146"/>
        <v/>
      </c>
      <c r="P274" s="105" t="str">
        <f t="shared" si="147"/>
        <v/>
      </c>
      <c r="Q274" s="105" t="str">
        <f t="shared" si="135"/>
        <v/>
      </c>
      <c r="R274" s="103" t="str">
        <f t="shared" si="148"/>
        <v/>
      </c>
      <c r="S274" s="103" t="str">
        <f t="shared" si="149"/>
        <v/>
      </c>
      <c r="T274" s="106" t="str">
        <f t="shared" si="136"/>
        <v/>
      </c>
      <c r="U274" s="106" t="str">
        <f t="shared" si="137"/>
        <v/>
      </c>
      <c r="V274" s="106" t="str">
        <f t="shared" si="138"/>
        <v/>
      </c>
      <c r="W274" s="105" t="str">
        <f t="shared" si="150"/>
        <v/>
      </c>
      <c r="X274" s="104" t="str">
        <f t="shared" si="155"/>
        <v/>
      </c>
      <c r="Y274" s="104" t="str">
        <f t="array" ref="Y274">IFERROR(IF(ISNUMBER(O274),IF(COUNT(IF(A274=$A$2:$A$2427,IF(D274=$D$2:$D$2427,IF($X$2:$X$2427&gt;0,1))))&gt;0,SUM(IF(A274=$A$2:$A$2427,IF(D274=$D$2:$D$2427,$X$2:$X$2427)))/COUNT(IF(A274=$A$2:$A$2427,IF(D274=$D$2:$D$2427,IF(ISNUMBER($X$2:$X$2427),1)))),0),""),0)</f>
        <v/>
      </c>
      <c r="Z274" s="104" t="str">
        <f>IF(ISNUMBER(O274),IF(I274&gt;0,(10^(VLOOKUP(D274,'Species Codes'!B:C,2,0)+VLOOKUP(D274,'Species Codes'!B:D,3,0)*LOG(E274)+VLOOKUP(D274,'Species Codes'!B:E,4,0)*LOG(I274))),0),"")</f>
        <v/>
      </c>
      <c r="AA274" s="104" t="str">
        <f>IFERROR((VLOOKUP(D274,'Species Codes'!B:G,6,0)*Z274)/2000,"")</f>
        <v/>
      </c>
      <c r="AB274" s="104" t="e">
        <f>IF(Z274&gt;0,((IF(OR(D274="DF",D274="RA")=TRUE,EXP(VLOOKUP(D274,'Species Codes'!B:I,8,0)+VLOOKUP(D274,'Species Codes'!B:J,9,0)*(LN((E274*2.54)))),IF(OR(D274="PY",D274="RC",D274="WH",D274="NF")=TRUE,VLOOKUP(D274,'Species Codes'!B:I,8,0)+VLOOKUP(D274,'Species Codes'!B:J,9,0)*((E274*2.54)^2)*(I274*0.3048),IF(OR(D274="MD",D274="BM",D274="GA")=TRUE,((VLOOKUP(D274,'Species Codes'!B:I,8,0)*(((((E274*2.54)+VLOOKUP(D274,'Species Codes'!B:J,9,0))/VLOOKUP(D274,'Species Codes'!B:K,10,0))^VLOOKUP(D274,'Species Codes'!B:L,11,0))*((I274*0.3048)^VLOOKUP(D274,'Species Codes'!B:M,12,0))))-(VLOOKUP(D274,'Species Codes'!B:I,8,0)*((((E274*2.54)^VLOOKUP(D274,'Species Codes'!B:L,11,0))*((I274*0.3048)^VLOOKUP(D274,'Species Codes'!B:M,12,0))))))*35.3*VLOOKUP(D274,'Species Codes'!B:G,6,0)/2.2046,VLOOKUP(D274,'Species Codes'!B:I,8,0)+VLOOKUP(D274,'Species Codes'!B:J,9,0)*(((E274*2.54)/100)^2)*(I274*0.3048)))))*0.0011023),0)</f>
        <v>#N/A</v>
      </c>
      <c r="AC274" s="104" t="e">
        <f>IF(Z274&gt;0,((IF(OR(D274="RA",D274="OA",D274="OT",D274="UN",D274="PC"),EXP(VLOOKUP(D274,'Species Codes'!B:O,14,0)+VLOOKUP(D274,'Species Codes'!B:P,15,0)*LN((E274*2.54)))-EXP(VLOOKUP(D274,'Species Codes'!B:O,14,0)+VLOOKUP(D274,'Species Codes'!B:P,15,0)*LN((E274*2.54)))*(1/(VLOOKUP(D274,'Species Codes'!B:Q,16,0)+VLOOKUP(D274,'Species Codes'!B:R,17,0)*((E274*2.54)^VLOOKUP(D274,'Species Codes'!B:S,18,0)))),IF(OR(D274="BM",D274="MD",D274="OA"),EXP(VLOOKUP(D274,'Species Codes'!B:O,14,0)+VLOOKUP(D274,'Species Codes'!B:P,15,0)*LN((E274*2.54)))*(1-(1/(VLOOKUP(D274,'Species Codes'!B:Q,16,0)+VLOOKUP(D274,'Species Codes'!B:R,17,0)*((E274*2.54)^VLOOKUP(D274,'Species Codes'!B:S,18,0)))))/1000,IF(D274="DF",EXP(VLOOKUP(D274,'Species Codes'!B:O,14,0)+VLOOKUP(D274,'Species Codes'!B:P,15,0)*LN((E274*2.54))),VLOOKUP(D274,'Species Codes'!B:O,14,0)+VLOOKUP(D274,'Species Codes'!B:P,15,0)*(((E274*2.54)/100)^2)*(I274*0.3048)))))*0.0011023),0)</f>
        <v>#N/A</v>
      </c>
      <c r="AD274" s="104" t="e">
        <f t="shared" si="139"/>
        <v>#N/A</v>
      </c>
      <c r="AE274" s="104" t="e">
        <f t="shared" si="140"/>
        <v>#N/A</v>
      </c>
      <c r="AF274" s="104" t="e">
        <f>IF(AND(VLOOKUP($D274,Merchantability!$B:$C,2,0)="Yes",$E274&gt;=VLOOKUP($D274,Merchantability!$B:$D,3,0),$E274&lt;=VLOOKUP($D274,Merchantability!$B:$E,4,0)),AA274,0)</f>
        <v>#N/A</v>
      </c>
      <c r="AG274" s="104" t="e">
        <f>IF(AND(VLOOKUP($D274,Merchantability!$B:$C,2,0)="Yes",$E274&gt;=VLOOKUP($D274,Merchantability!$B:$D,3,0),$E274&lt;=VLOOKUP($D274,Merchantability!$B:$E,4,0)),AB274,0)</f>
        <v>#N/A</v>
      </c>
      <c r="AH274" s="104" t="e">
        <f>IF(AND(VLOOKUP($D274,Merchantability!$B:$C,2,0)="Yes",$E274&gt;=VLOOKUP($D274,Merchantability!$B:$D,3,0),$E274&lt;=VLOOKUP($D274,Merchantability!$B:$E,4,0)),AC274,0)</f>
        <v>#N/A</v>
      </c>
      <c r="AI274" s="104" t="e">
        <f t="shared" si="141"/>
        <v>#N/A</v>
      </c>
      <c r="AJ274" s="104" t="e">
        <f t="shared" si="142"/>
        <v>#VALUE!</v>
      </c>
      <c r="AK274" s="104" t="e">
        <f t="shared" si="143"/>
        <v>#N/A</v>
      </c>
      <c r="AL274" s="104" t="e">
        <f t="shared" si="144"/>
        <v>#N/A</v>
      </c>
      <c r="AM274" s="104" t="e">
        <f t="shared" si="145"/>
        <v>#N/A</v>
      </c>
      <c r="AN274" s="104" t="e">
        <f t="shared" si="156"/>
        <v>#N/A</v>
      </c>
      <c r="AO274" s="104" t="e">
        <f t="shared" si="157"/>
        <v>#N/A</v>
      </c>
      <c r="AP274" s="104" t="e">
        <f t="shared" si="158"/>
        <v>#N/A</v>
      </c>
      <c r="AQ274" s="104" t="e">
        <f t="shared" si="159"/>
        <v>#N/A</v>
      </c>
      <c r="AR274" s="105" t="str">
        <f t="shared" si="151"/>
        <v/>
      </c>
      <c r="AS274" s="105" t="str">
        <f t="shared" si="152"/>
        <v/>
      </c>
      <c r="AT274" s="108" t="str">
        <f t="shared" si="153"/>
        <v/>
      </c>
      <c r="AU274" s="108" t="str">
        <f t="shared" si="154"/>
        <v/>
      </c>
      <c r="AV274" s="107" t="str">
        <f>IF(ISNUMBER(O274),IF(VLOOKUP($A274,Stand!C:J,8,FALSE)="Short",AT274,AU274),"")</f>
        <v/>
      </c>
      <c r="AW274" s="109" t="str">
        <f t="shared" si="160"/>
        <v/>
      </c>
      <c r="AX274" s="109" t="str">
        <f t="shared" si="161"/>
        <v/>
      </c>
      <c r="AY274" s="112" t="str">
        <f>IF(ISNUMBER(O274),IF(AND(VLOOKUP($D274,Merchantability!$B:$C,2,0)="Yes",$E274&gt;=VLOOKUP($D274,Merchantability!$B:$D,3,0),$E274&lt;=VLOOKUP($D274,Merchantability!$B:$E,4,0)),(AV274*O274)*(1-$H274/100),""),"")</f>
        <v/>
      </c>
      <c r="AZ274" s="116"/>
      <c r="BA274" s="116"/>
      <c r="BB274" s="116"/>
      <c r="BE274" s="62"/>
      <c r="BF274" s="63"/>
    </row>
    <row r="275" spans="1:58" ht="12.75" customHeight="1" x14ac:dyDescent="0.25">
      <c r="A275" s="313"/>
      <c r="B275" s="380"/>
      <c r="C275" s="381"/>
      <c r="D275" s="380"/>
      <c r="E275" s="382"/>
      <c r="F275" s="331"/>
      <c r="G275" s="329"/>
      <c r="H275" s="329"/>
      <c r="I275" s="380"/>
      <c r="J275" s="381"/>
      <c r="K275" s="329"/>
      <c r="L275" s="329"/>
      <c r="M275" s="76"/>
      <c r="N275" s="103" t="str">
        <f>IF(A275="","",VLOOKUP(A275,Stand!C:K,9,0))</f>
        <v/>
      </c>
      <c r="O275" s="104" t="str">
        <f t="shared" si="146"/>
        <v/>
      </c>
      <c r="P275" s="105" t="str">
        <f t="shared" si="147"/>
        <v/>
      </c>
      <c r="Q275" s="105" t="str">
        <f t="shared" si="135"/>
        <v/>
      </c>
      <c r="R275" s="103" t="str">
        <f t="shared" si="148"/>
        <v/>
      </c>
      <c r="S275" s="103" t="str">
        <f t="shared" si="149"/>
        <v/>
      </c>
      <c r="T275" s="106" t="str">
        <f t="shared" si="136"/>
        <v/>
      </c>
      <c r="U275" s="106" t="str">
        <f t="shared" si="137"/>
        <v/>
      </c>
      <c r="V275" s="106" t="str">
        <f t="shared" si="138"/>
        <v/>
      </c>
      <c r="W275" s="105" t="str">
        <f t="shared" si="150"/>
        <v/>
      </c>
      <c r="X275" s="104" t="str">
        <f t="shared" si="155"/>
        <v/>
      </c>
      <c r="Y275" s="104" t="str">
        <f t="array" ref="Y275">IFERROR(IF(ISNUMBER(O275),IF(COUNT(IF(A275=$A$2:$A$2427,IF(D275=$D$2:$D$2427,IF($X$2:$X$2427&gt;0,1))))&gt;0,SUM(IF(A275=$A$2:$A$2427,IF(D275=$D$2:$D$2427,$X$2:$X$2427)))/COUNT(IF(A275=$A$2:$A$2427,IF(D275=$D$2:$D$2427,IF(ISNUMBER($X$2:$X$2427),1)))),0),""),0)</f>
        <v/>
      </c>
      <c r="Z275" s="104" t="str">
        <f>IF(ISNUMBER(O275),IF(I275&gt;0,(10^(VLOOKUP(D275,'Species Codes'!B:C,2,0)+VLOOKUP(D275,'Species Codes'!B:D,3,0)*LOG(E275)+VLOOKUP(D275,'Species Codes'!B:E,4,0)*LOG(I275))),0),"")</f>
        <v/>
      </c>
      <c r="AA275" s="104" t="str">
        <f>IFERROR((VLOOKUP(D275,'Species Codes'!B:G,6,0)*Z275)/2000,"")</f>
        <v/>
      </c>
      <c r="AB275" s="104" t="e">
        <f>IF(Z275&gt;0,((IF(OR(D275="DF",D275="RA")=TRUE,EXP(VLOOKUP(D275,'Species Codes'!B:I,8,0)+VLOOKUP(D275,'Species Codes'!B:J,9,0)*(LN((E275*2.54)))),IF(OR(D275="PY",D275="RC",D275="WH",D275="NF")=TRUE,VLOOKUP(D275,'Species Codes'!B:I,8,0)+VLOOKUP(D275,'Species Codes'!B:J,9,0)*((E275*2.54)^2)*(I275*0.3048),IF(OR(D275="MD",D275="BM",D275="GA")=TRUE,((VLOOKUP(D275,'Species Codes'!B:I,8,0)*(((((E275*2.54)+VLOOKUP(D275,'Species Codes'!B:J,9,0))/VLOOKUP(D275,'Species Codes'!B:K,10,0))^VLOOKUP(D275,'Species Codes'!B:L,11,0))*((I275*0.3048)^VLOOKUP(D275,'Species Codes'!B:M,12,0))))-(VLOOKUP(D275,'Species Codes'!B:I,8,0)*((((E275*2.54)^VLOOKUP(D275,'Species Codes'!B:L,11,0))*((I275*0.3048)^VLOOKUP(D275,'Species Codes'!B:M,12,0))))))*35.3*VLOOKUP(D275,'Species Codes'!B:G,6,0)/2.2046,VLOOKUP(D275,'Species Codes'!B:I,8,0)+VLOOKUP(D275,'Species Codes'!B:J,9,0)*(((E275*2.54)/100)^2)*(I275*0.3048)))))*0.0011023),0)</f>
        <v>#N/A</v>
      </c>
      <c r="AC275" s="104" t="e">
        <f>IF(Z275&gt;0,((IF(OR(D275="RA",D275="OA",D275="OT",D275="UN",D275="PC"),EXP(VLOOKUP(D275,'Species Codes'!B:O,14,0)+VLOOKUP(D275,'Species Codes'!B:P,15,0)*LN((E275*2.54)))-EXP(VLOOKUP(D275,'Species Codes'!B:O,14,0)+VLOOKUP(D275,'Species Codes'!B:P,15,0)*LN((E275*2.54)))*(1/(VLOOKUP(D275,'Species Codes'!B:Q,16,0)+VLOOKUP(D275,'Species Codes'!B:R,17,0)*((E275*2.54)^VLOOKUP(D275,'Species Codes'!B:S,18,0)))),IF(OR(D275="BM",D275="MD",D275="OA"),EXP(VLOOKUP(D275,'Species Codes'!B:O,14,0)+VLOOKUP(D275,'Species Codes'!B:P,15,0)*LN((E275*2.54)))*(1-(1/(VLOOKUP(D275,'Species Codes'!B:Q,16,0)+VLOOKUP(D275,'Species Codes'!B:R,17,0)*((E275*2.54)^VLOOKUP(D275,'Species Codes'!B:S,18,0)))))/1000,IF(D275="DF",EXP(VLOOKUP(D275,'Species Codes'!B:O,14,0)+VLOOKUP(D275,'Species Codes'!B:P,15,0)*LN((E275*2.54))),VLOOKUP(D275,'Species Codes'!B:O,14,0)+VLOOKUP(D275,'Species Codes'!B:P,15,0)*(((E275*2.54)/100)^2)*(I275*0.3048)))))*0.0011023),0)</f>
        <v>#N/A</v>
      </c>
      <c r="AD275" s="104" t="e">
        <f t="shared" si="139"/>
        <v>#N/A</v>
      </c>
      <c r="AE275" s="104" t="e">
        <f t="shared" si="140"/>
        <v>#N/A</v>
      </c>
      <c r="AF275" s="104" t="e">
        <f>IF(AND(VLOOKUP($D275,Merchantability!$B:$C,2,0)="Yes",$E275&gt;=VLOOKUP($D275,Merchantability!$B:$D,3,0),$E275&lt;=VLOOKUP($D275,Merchantability!$B:$E,4,0)),AA275,0)</f>
        <v>#N/A</v>
      </c>
      <c r="AG275" s="104" t="e">
        <f>IF(AND(VLOOKUP($D275,Merchantability!$B:$C,2,0)="Yes",$E275&gt;=VLOOKUP($D275,Merchantability!$B:$D,3,0),$E275&lt;=VLOOKUP($D275,Merchantability!$B:$E,4,0)),AB275,0)</f>
        <v>#N/A</v>
      </c>
      <c r="AH275" s="104" t="e">
        <f>IF(AND(VLOOKUP($D275,Merchantability!$B:$C,2,0)="Yes",$E275&gt;=VLOOKUP($D275,Merchantability!$B:$D,3,0),$E275&lt;=VLOOKUP($D275,Merchantability!$B:$E,4,0)),AC275,0)</f>
        <v>#N/A</v>
      </c>
      <c r="AI275" s="104" t="e">
        <f t="shared" si="141"/>
        <v>#N/A</v>
      </c>
      <c r="AJ275" s="104" t="e">
        <f t="shared" si="142"/>
        <v>#VALUE!</v>
      </c>
      <c r="AK275" s="104" t="e">
        <f t="shared" si="143"/>
        <v>#N/A</v>
      </c>
      <c r="AL275" s="104" t="e">
        <f t="shared" si="144"/>
        <v>#N/A</v>
      </c>
      <c r="AM275" s="104" t="e">
        <f t="shared" si="145"/>
        <v>#N/A</v>
      </c>
      <c r="AN275" s="104" t="e">
        <f t="shared" si="156"/>
        <v>#N/A</v>
      </c>
      <c r="AO275" s="104" t="e">
        <f t="shared" si="157"/>
        <v>#N/A</v>
      </c>
      <c r="AP275" s="104" t="e">
        <f t="shared" si="158"/>
        <v>#N/A</v>
      </c>
      <c r="AQ275" s="104" t="e">
        <f t="shared" si="159"/>
        <v>#N/A</v>
      </c>
      <c r="AR275" s="105" t="str">
        <f t="shared" si="151"/>
        <v/>
      </c>
      <c r="AS275" s="105" t="str">
        <f t="shared" si="152"/>
        <v/>
      </c>
      <c r="AT275" s="108" t="str">
        <f t="shared" si="153"/>
        <v/>
      </c>
      <c r="AU275" s="108" t="str">
        <f t="shared" si="154"/>
        <v/>
      </c>
      <c r="AV275" s="107" t="str">
        <f>IF(ISNUMBER(O275),IF(VLOOKUP($A275,Stand!C:J,8,FALSE)="Short",AT275,AU275),"")</f>
        <v/>
      </c>
      <c r="AW275" s="109" t="str">
        <f t="shared" si="160"/>
        <v/>
      </c>
      <c r="AX275" s="109" t="str">
        <f t="shared" si="161"/>
        <v/>
      </c>
      <c r="AY275" s="112" t="str">
        <f>IF(ISNUMBER(O275),IF(AND(VLOOKUP($D275,Merchantability!$B:$C,2,0)="Yes",$E275&gt;=VLOOKUP($D275,Merchantability!$B:$D,3,0),$E275&lt;=VLOOKUP($D275,Merchantability!$B:$E,4,0)),(AV275*O275)*(1-$H275/100),""),"")</f>
        <v/>
      </c>
      <c r="AZ275" s="116"/>
      <c r="BA275" s="116"/>
      <c r="BB275" s="116"/>
      <c r="BE275" s="62"/>
      <c r="BF275" s="63"/>
    </row>
    <row r="276" spans="1:58" ht="12.75" customHeight="1" x14ac:dyDescent="0.25">
      <c r="A276" s="313"/>
      <c r="B276" s="380"/>
      <c r="C276" s="381"/>
      <c r="D276" s="380"/>
      <c r="E276" s="382"/>
      <c r="F276" s="331"/>
      <c r="G276" s="329"/>
      <c r="H276" s="329"/>
      <c r="I276" s="380"/>
      <c r="J276" s="381"/>
      <c r="K276" s="329"/>
      <c r="L276" s="329"/>
      <c r="M276" s="76"/>
      <c r="N276" s="103" t="str">
        <f>IF(A276="","",VLOOKUP(A276,Stand!C:K,9,0))</f>
        <v/>
      </c>
      <c r="O276" s="104" t="str">
        <f t="shared" si="146"/>
        <v/>
      </c>
      <c r="P276" s="105" t="str">
        <f t="shared" si="147"/>
        <v/>
      </c>
      <c r="Q276" s="105" t="str">
        <f t="shared" si="135"/>
        <v/>
      </c>
      <c r="R276" s="103" t="str">
        <f t="shared" si="148"/>
        <v/>
      </c>
      <c r="S276" s="103" t="str">
        <f t="shared" si="149"/>
        <v/>
      </c>
      <c r="T276" s="106" t="str">
        <f t="shared" si="136"/>
        <v/>
      </c>
      <c r="U276" s="106" t="str">
        <f t="shared" si="137"/>
        <v/>
      </c>
      <c r="V276" s="106" t="str">
        <f t="shared" si="138"/>
        <v/>
      </c>
      <c r="W276" s="105" t="str">
        <f t="shared" si="150"/>
        <v/>
      </c>
      <c r="X276" s="104" t="str">
        <f t="shared" si="155"/>
        <v/>
      </c>
      <c r="Y276" s="104" t="str">
        <f t="array" ref="Y276">IFERROR(IF(ISNUMBER(O276),IF(COUNT(IF(A276=$A$2:$A$2427,IF(D276=$D$2:$D$2427,IF($X$2:$X$2427&gt;0,1))))&gt;0,SUM(IF(A276=$A$2:$A$2427,IF(D276=$D$2:$D$2427,$X$2:$X$2427)))/COUNT(IF(A276=$A$2:$A$2427,IF(D276=$D$2:$D$2427,IF(ISNUMBER($X$2:$X$2427),1)))),0),""),0)</f>
        <v/>
      </c>
      <c r="Z276" s="104" t="str">
        <f>IF(ISNUMBER(O276),IF(I276&gt;0,(10^(VLOOKUP(D276,'Species Codes'!B:C,2,0)+VLOOKUP(D276,'Species Codes'!B:D,3,0)*LOG(E276)+VLOOKUP(D276,'Species Codes'!B:E,4,0)*LOG(I276))),0),"")</f>
        <v/>
      </c>
      <c r="AA276" s="104" t="str">
        <f>IFERROR((VLOOKUP(D276,'Species Codes'!B:G,6,0)*Z276)/2000,"")</f>
        <v/>
      </c>
      <c r="AB276" s="104" t="e">
        <f>IF(Z276&gt;0,((IF(OR(D276="DF",D276="RA")=TRUE,EXP(VLOOKUP(D276,'Species Codes'!B:I,8,0)+VLOOKUP(D276,'Species Codes'!B:J,9,0)*(LN((E276*2.54)))),IF(OR(D276="PY",D276="RC",D276="WH",D276="NF")=TRUE,VLOOKUP(D276,'Species Codes'!B:I,8,0)+VLOOKUP(D276,'Species Codes'!B:J,9,0)*((E276*2.54)^2)*(I276*0.3048),IF(OR(D276="MD",D276="BM",D276="GA")=TRUE,((VLOOKUP(D276,'Species Codes'!B:I,8,0)*(((((E276*2.54)+VLOOKUP(D276,'Species Codes'!B:J,9,0))/VLOOKUP(D276,'Species Codes'!B:K,10,0))^VLOOKUP(D276,'Species Codes'!B:L,11,0))*((I276*0.3048)^VLOOKUP(D276,'Species Codes'!B:M,12,0))))-(VLOOKUP(D276,'Species Codes'!B:I,8,0)*((((E276*2.54)^VLOOKUP(D276,'Species Codes'!B:L,11,0))*((I276*0.3048)^VLOOKUP(D276,'Species Codes'!B:M,12,0))))))*35.3*VLOOKUP(D276,'Species Codes'!B:G,6,0)/2.2046,VLOOKUP(D276,'Species Codes'!B:I,8,0)+VLOOKUP(D276,'Species Codes'!B:J,9,0)*(((E276*2.54)/100)^2)*(I276*0.3048)))))*0.0011023),0)</f>
        <v>#N/A</v>
      </c>
      <c r="AC276" s="104" t="e">
        <f>IF(Z276&gt;0,((IF(OR(D276="RA",D276="OA",D276="OT",D276="UN",D276="PC"),EXP(VLOOKUP(D276,'Species Codes'!B:O,14,0)+VLOOKUP(D276,'Species Codes'!B:P,15,0)*LN((E276*2.54)))-EXP(VLOOKUP(D276,'Species Codes'!B:O,14,0)+VLOOKUP(D276,'Species Codes'!B:P,15,0)*LN((E276*2.54)))*(1/(VLOOKUP(D276,'Species Codes'!B:Q,16,0)+VLOOKUP(D276,'Species Codes'!B:R,17,0)*((E276*2.54)^VLOOKUP(D276,'Species Codes'!B:S,18,0)))),IF(OR(D276="BM",D276="MD",D276="OA"),EXP(VLOOKUP(D276,'Species Codes'!B:O,14,0)+VLOOKUP(D276,'Species Codes'!B:P,15,0)*LN((E276*2.54)))*(1-(1/(VLOOKUP(D276,'Species Codes'!B:Q,16,0)+VLOOKUP(D276,'Species Codes'!B:R,17,0)*((E276*2.54)^VLOOKUP(D276,'Species Codes'!B:S,18,0)))))/1000,IF(D276="DF",EXP(VLOOKUP(D276,'Species Codes'!B:O,14,0)+VLOOKUP(D276,'Species Codes'!B:P,15,0)*LN((E276*2.54))),VLOOKUP(D276,'Species Codes'!B:O,14,0)+VLOOKUP(D276,'Species Codes'!B:P,15,0)*(((E276*2.54)/100)^2)*(I276*0.3048)))))*0.0011023),0)</f>
        <v>#N/A</v>
      </c>
      <c r="AD276" s="104" t="e">
        <f t="shared" si="139"/>
        <v>#N/A</v>
      </c>
      <c r="AE276" s="104" t="e">
        <f t="shared" si="140"/>
        <v>#N/A</v>
      </c>
      <c r="AF276" s="104" t="e">
        <f>IF(AND(VLOOKUP($D276,Merchantability!$B:$C,2,0)="Yes",$E276&gt;=VLOOKUP($D276,Merchantability!$B:$D,3,0),$E276&lt;=VLOOKUP($D276,Merchantability!$B:$E,4,0)),AA276,0)</f>
        <v>#N/A</v>
      </c>
      <c r="AG276" s="104" t="e">
        <f>IF(AND(VLOOKUP($D276,Merchantability!$B:$C,2,0)="Yes",$E276&gt;=VLOOKUP($D276,Merchantability!$B:$D,3,0),$E276&lt;=VLOOKUP($D276,Merchantability!$B:$E,4,0)),AB276,0)</f>
        <v>#N/A</v>
      </c>
      <c r="AH276" s="104" t="e">
        <f>IF(AND(VLOOKUP($D276,Merchantability!$B:$C,2,0)="Yes",$E276&gt;=VLOOKUP($D276,Merchantability!$B:$D,3,0),$E276&lt;=VLOOKUP($D276,Merchantability!$B:$E,4,0)),AC276,0)</f>
        <v>#N/A</v>
      </c>
      <c r="AI276" s="104" t="e">
        <f t="shared" si="141"/>
        <v>#N/A</v>
      </c>
      <c r="AJ276" s="104" t="e">
        <f t="shared" si="142"/>
        <v>#VALUE!</v>
      </c>
      <c r="AK276" s="104" t="e">
        <f t="shared" si="143"/>
        <v>#N/A</v>
      </c>
      <c r="AL276" s="104" t="e">
        <f t="shared" si="144"/>
        <v>#N/A</v>
      </c>
      <c r="AM276" s="104" t="e">
        <f t="shared" si="145"/>
        <v>#N/A</v>
      </c>
      <c r="AN276" s="104" t="e">
        <f t="shared" si="156"/>
        <v>#N/A</v>
      </c>
      <c r="AO276" s="104" t="e">
        <f t="shared" si="157"/>
        <v>#N/A</v>
      </c>
      <c r="AP276" s="104" t="e">
        <f t="shared" si="158"/>
        <v>#N/A</v>
      </c>
      <c r="AQ276" s="104" t="e">
        <f t="shared" si="159"/>
        <v>#N/A</v>
      </c>
      <c r="AR276" s="105" t="str">
        <f t="shared" si="151"/>
        <v/>
      </c>
      <c r="AS276" s="105" t="str">
        <f t="shared" si="152"/>
        <v/>
      </c>
      <c r="AT276" s="108" t="str">
        <f t="shared" si="153"/>
        <v/>
      </c>
      <c r="AU276" s="108" t="str">
        <f t="shared" si="154"/>
        <v/>
      </c>
      <c r="AV276" s="107" t="str">
        <f>IF(ISNUMBER(O276),IF(VLOOKUP($A276,Stand!C:J,8,FALSE)="Short",AT276,AU276),"")</f>
        <v/>
      </c>
      <c r="AW276" s="109" t="str">
        <f t="shared" si="160"/>
        <v/>
      </c>
      <c r="AX276" s="109" t="str">
        <f t="shared" si="161"/>
        <v/>
      </c>
      <c r="AY276" s="112" t="str">
        <f>IF(ISNUMBER(O276),IF(AND(VLOOKUP($D276,Merchantability!$B:$C,2,0)="Yes",$E276&gt;=VLOOKUP($D276,Merchantability!$B:$D,3,0),$E276&lt;=VLOOKUP($D276,Merchantability!$B:$E,4,0)),(AV276*O276)*(1-$H276/100),""),"")</f>
        <v/>
      </c>
      <c r="AZ276" s="116"/>
      <c r="BA276" s="116"/>
      <c r="BB276" s="116"/>
      <c r="BE276" s="62"/>
      <c r="BF276" s="63"/>
    </row>
    <row r="277" spans="1:58" ht="12.75" customHeight="1" x14ac:dyDescent="0.25">
      <c r="A277" s="313"/>
      <c r="B277" s="380"/>
      <c r="C277" s="381"/>
      <c r="D277" s="380"/>
      <c r="E277" s="382"/>
      <c r="F277" s="331"/>
      <c r="G277" s="329"/>
      <c r="H277" s="329"/>
      <c r="I277" s="380"/>
      <c r="J277" s="381"/>
      <c r="K277" s="329"/>
      <c r="L277" s="329"/>
      <c r="M277" s="76"/>
      <c r="N277" s="103" t="str">
        <f>IF(A277="","",VLOOKUP(A277,Stand!C:K,9,0))</f>
        <v/>
      </c>
      <c r="O277" s="104" t="str">
        <f t="shared" si="146"/>
        <v/>
      </c>
      <c r="P277" s="105" t="str">
        <f t="shared" si="147"/>
        <v/>
      </c>
      <c r="Q277" s="105" t="str">
        <f t="shared" si="135"/>
        <v/>
      </c>
      <c r="R277" s="103" t="str">
        <f t="shared" si="148"/>
        <v/>
      </c>
      <c r="S277" s="103" t="str">
        <f t="shared" si="149"/>
        <v/>
      </c>
      <c r="T277" s="106" t="str">
        <f t="shared" si="136"/>
        <v/>
      </c>
      <c r="U277" s="106" t="str">
        <f t="shared" si="137"/>
        <v/>
      </c>
      <c r="V277" s="106" t="str">
        <f t="shared" si="138"/>
        <v/>
      </c>
      <c r="W277" s="105" t="str">
        <f t="shared" si="150"/>
        <v/>
      </c>
      <c r="X277" s="104" t="str">
        <f t="shared" si="155"/>
        <v/>
      </c>
      <c r="Y277" s="104" t="str">
        <f t="array" ref="Y277">IFERROR(IF(ISNUMBER(O277),IF(COUNT(IF(A277=$A$2:$A$2427,IF(D277=$D$2:$D$2427,IF($X$2:$X$2427&gt;0,1))))&gt;0,SUM(IF(A277=$A$2:$A$2427,IF(D277=$D$2:$D$2427,$X$2:$X$2427)))/COUNT(IF(A277=$A$2:$A$2427,IF(D277=$D$2:$D$2427,IF(ISNUMBER($X$2:$X$2427),1)))),0),""),0)</f>
        <v/>
      </c>
      <c r="Z277" s="104" t="str">
        <f>IF(ISNUMBER(O277),IF(I277&gt;0,(10^(VLOOKUP(D277,'Species Codes'!B:C,2,0)+VLOOKUP(D277,'Species Codes'!B:D,3,0)*LOG(E277)+VLOOKUP(D277,'Species Codes'!B:E,4,0)*LOG(I277))),0),"")</f>
        <v/>
      </c>
      <c r="AA277" s="104" t="str">
        <f>IFERROR((VLOOKUP(D277,'Species Codes'!B:G,6,0)*Z277)/2000,"")</f>
        <v/>
      </c>
      <c r="AB277" s="104" t="e">
        <f>IF(Z277&gt;0,((IF(OR(D277="DF",D277="RA")=TRUE,EXP(VLOOKUP(D277,'Species Codes'!B:I,8,0)+VLOOKUP(D277,'Species Codes'!B:J,9,0)*(LN((E277*2.54)))),IF(OR(D277="PY",D277="RC",D277="WH",D277="NF")=TRUE,VLOOKUP(D277,'Species Codes'!B:I,8,0)+VLOOKUP(D277,'Species Codes'!B:J,9,0)*((E277*2.54)^2)*(I277*0.3048),IF(OR(D277="MD",D277="BM",D277="GA")=TRUE,((VLOOKUP(D277,'Species Codes'!B:I,8,0)*(((((E277*2.54)+VLOOKUP(D277,'Species Codes'!B:J,9,0))/VLOOKUP(D277,'Species Codes'!B:K,10,0))^VLOOKUP(D277,'Species Codes'!B:L,11,0))*((I277*0.3048)^VLOOKUP(D277,'Species Codes'!B:M,12,0))))-(VLOOKUP(D277,'Species Codes'!B:I,8,0)*((((E277*2.54)^VLOOKUP(D277,'Species Codes'!B:L,11,0))*((I277*0.3048)^VLOOKUP(D277,'Species Codes'!B:M,12,0))))))*35.3*VLOOKUP(D277,'Species Codes'!B:G,6,0)/2.2046,VLOOKUP(D277,'Species Codes'!B:I,8,0)+VLOOKUP(D277,'Species Codes'!B:J,9,0)*(((E277*2.54)/100)^2)*(I277*0.3048)))))*0.0011023),0)</f>
        <v>#N/A</v>
      </c>
      <c r="AC277" s="104" t="e">
        <f>IF(Z277&gt;0,((IF(OR(D277="RA",D277="OA",D277="OT",D277="UN",D277="PC"),EXP(VLOOKUP(D277,'Species Codes'!B:O,14,0)+VLOOKUP(D277,'Species Codes'!B:P,15,0)*LN((E277*2.54)))-EXP(VLOOKUP(D277,'Species Codes'!B:O,14,0)+VLOOKUP(D277,'Species Codes'!B:P,15,0)*LN((E277*2.54)))*(1/(VLOOKUP(D277,'Species Codes'!B:Q,16,0)+VLOOKUP(D277,'Species Codes'!B:R,17,0)*((E277*2.54)^VLOOKUP(D277,'Species Codes'!B:S,18,0)))),IF(OR(D277="BM",D277="MD",D277="OA"),EXP(VLOOKUP(D277,'Species Codes'!B:O,14,0)+VLOOKUP(D277,'Species Codes'!B:P,15,0)*LN((E277*2.54)))*(1-(1/(VLOOKUP(D277,'Species Codes'!B:Q,16,0)+VLOOKUP(D277,'Species Codes'!B:R,17,0)*((E277*2.54)^VLOOKUP(D277,'Species Codes'!B:S,18,0)))))/1000,IF(D277="DF",EXP(VLOOKUP(D277,'Species Codes'!B:O,14,0)+VLOOKUP(D277,'Species Codes'!B:P,15,0)*LN((E277*2.54))),VLOOKUP(D277,'Species Codes'!B:O,14,0)+VLOOKUP(D277,'Species Codes'!B:P,15,0)*(((E277*2.54)/100)^2)*(I277*0.3048)))))*0.0011023),0)</f>
        <v>#N/A</v>
      </c>
      <c r="AD277" s="104" t="e">
        <f t="shared" si="139"/>
        <v>#N/A</v>
      </c>
      <c r="AE277" s="104" t="e">
        <f t="shared" si="140"/>
        <v>#N/A</v>
      </c>
      <c r="AF277" s="104" t="e">
        <f>IF(AND(VLOOKUP($D277,Merchantability!$B:$C,2,0)="Yes",$E277&gt;=VLOOKUP($D277,Merchantability!$B:$D,3,0),$E277&lt;=VLOOKUP($D277,Merchantability!$B:$E,4,0)),AA277,0)</f>
        <v>#N/A</v>
      </c>
      <c r="AG277" s="104" t="e">
        <f>IF(AND(VLOOKUP($D277,Merchantability!$B:$C,2,0)="Yes",$E277&gt;=VLOOKUP($D277,Merchantability!$B:$D,3,0),$E277&lt;=VLOOKUP($D277,Merchantability!$B:$E,4,0)),AB277,0)</f>
        <v>#N/A</v>
      </c>
      <c r="AH277" s="104" t="e">
        <f>IF(AND(VLOOKUP($D277,Merchantability!$B:$C,2,0)="Yes",$E277&gt;=VLOOKUP($D277,Merchantability!$B:$D,3,0),$E277&lt;=VLOOKUP($D277,Merchantability!$B:$E,4,0)),AC277,0)</f>
        <v>#N/A</v>
      </c>
      <c r="AI277" s="104" t="e">
        <f t="shared" si="141"/>
        <v>#N/A</v>
      </c>
      <c r="AJ277" s="104" t="e">
        <f t="shared" si="142"/>
        <v>#VALUE!</v>
      </c>
      <c r="AK277" s="104" t="e">
        <f t="shared" si="143"/>
        <v>#N/A</v>
      </c>
      <c r="AL277" s="104" t="e">
        <f t="shared" si="144"/>
        <v>#N/A</v>
      </c>
      <c r="AM277" s="104" t="e">
        <f t="shared" si="145"/>
        <v>#N/A</v>
      </c>
      <c r="AN277" s="104" t="e">
        <f t="shared" si="156"/>
        <v>#N/A</v>
      </c>
      <c r="AO277" s="104" t="e">
        <f t="shared" si="157"/>
        <v>#N/A</v>
      </c>
      <c r="AP277" s="104" t="e">
        <f t="shared" si="158"/>
        <v>#N/A</v>
      </c>
      <c r="AQ277" s="104" t="e">
        <f t="shared" si="159"/>
        <v>#N/A</v>
      </c>
      <c r="AR277" s="105" t="str">
        <f t="shared" si="151"/>
        <v/>
      </c>
      <c r="AS277" s="105" t="str">
        <f t="shared" si="152"/>
        <v/>
      </c>
      <c r="AT277" s="108" t="str">
        <f t="shared" si="153"/>
        <v/>
      </c>
      <c r="AU277" s="108" t="str">
        <f t="shared" si="154"/>
        <v/>
      </c>
      <c r="AV277" s="107" t="str">
        <f>IF(ISNUMBER(O277),IF(VLOOKUP($A277,Stand!C:J,8,FALSE)="Short",AT277,AU277),"")</f>
        <v/>
      </c>
      <c r="AW277" s="109" t="str">
        <f t="shared" si="160"/>
        <v/>
      </c>
      <c r="AX277" s="109" t="str">
        <f t="shared" si="161"/>
        <v/>
      </c>
      <c r="AY277" s="112" t="str">
        <f>IF(ISNUMBER(O277),IF(AND(VLOOKUP($D277,Merchantability!$B:$C,2,0)="Yes",$E277&gt;=VLOOKUP($D277,Merchantability!$B:$D,3,0),$E277&lt;=VLOOKUP($D277,Merchantability!$B:$E,4,0)),(AV277*O277)*(1-$H277/100),""),"")</f>
        <v/>
      </c>
      <c r="AZ277" s="116"/>
      <c r="BA277" s="116"/>
      <c r="BB277" s="116"/>
      <c r="BE277" s="62"/>
      <c r="BF277" s="63"/>
    </row>
    <row r="278" spans="1:58" ht="12.75" customHeight="1" x14ac:dyDescent="0.25">
      <c r="A278" s="313"/>
      <c r="B278" s="380"/>
      <c r="C278" s="381"/>
      <c r="D278" s="380"/>
      <c r="E278" s="382"/>
      <c r="F278" s="331"/>
      <c r="G278" s="329"/>
      <c r="H278" s="329"/>
      <c r="I278" s="380"/>
      <c r="J278" s="381"/>
      <c r="K278" s="329"/>
      <c r="L278" s="329"/>
      <c r="M278" s="76"/>
      <c r="N278" s="103" t="str">
        <f>IF(A278="","",VLOOKUP(A278,Stand!C:K,9,0))</f>
        <v/>
      </c>
      <c r="O278" s="104" t="str">
        <f t="shared" si="146"/>
        <v/>
      </c>
      <c r="P278" s="105" t="str">
        <f t="shared" si="147"/>
        <v/>
      </c>
      <c r="Q278" s="105" t="str">
        <f t="shared" si="135"/>
        <v/>
      </c>
      <c r="R278" s="103" t="str">
        <f t="shared" si="148"/>
        <v/>
      </c>
      <c r="S278" s="103" t="str">
        <f t="shared" si="149"/>
        <v/>
      </c>
      <c r="T278" s="106" t="str">
        <f t="shared" si="136"/>
        <v/>
      </c>
      <c r="U278" s="106" t="str">
        <f t="shared" si="137"/>
        <v/>
      </c>
      <c r="V278" s="106" t="str">
        <f t="shared" si="138"/>
        <v/>
      </c>
      <c r="W278" s="105" t="str">
        <f t="shared" si="150"/>
        <v/>
      </c>
      <c r="X278" s="104" t="str">
        <f t="shared" si="155"/>
        <v/>
      </c>
      <c r="Y278" s="104" t="str">
        <f t="array" ref="Y278">IFERROR(IF(ISNUMBER(O278),IF(COUNT(IF(A278=$A$2:$A$2427,IF(D278=$D$2:$D$2427,IF($X$2:$X$2427&gt;0,1))))&gt;0,SUM(IF(A278=$A$2:$A$2427,IF(D278=$D$2:$D$2427,$X$2:$X$2427)))/COUNT(IF(A278=$A$2:$A$2427,IF(D278=$D$2:$D$2427,IF(ISNUMBER($X$2:$X$2427),1)))),0),""),0)</f>
        <v/>
      </c>
      <c r="Z278" s="104" t="str">
        <f>IF(ISNUMBER(O278),IF(I278&gt;0,(10^(VLOOKUP(D278,'Species Codes'!B:C,2,0)+VLOOKUP(D278,'Species Codes'!B:D,3,0)*LOG(E278)+VLOOKUP(D278,'Species Codes'!B:E,4,0)*LOG(I278))),0),"")</f>
        <v/>
      </c>
      <c r="AA278" s="104" t="str">
        <f>IFERROR((VLOOKUP(D278,'Species Codes'!B:G,6,0)*Z278)/2000,"")</f>
        <v/>
      </c>
      <c r="AB278" s="104" t="e">
        <f>IF(Z278&gt;0,((IF(OR(D278="DF",D278="RA")=TRUE,EXP(VLOOKUP(D278,'Species Codes'!B:I,8,0)+VLOOKUP(D278,'Species Codes'!B:J,9,0)*(LN((E278*2.54)))),IF(OR(D278="PY",D278="RC",D278="WH",D278="NF")=TRUE,VLOOKUP(D278,'Species Codes'!B:I,8,0)+VLOOKUP(D278,'Species Codes'!B:J,9,0)*((E278*2.54)^2)*(I278*0.3048),IF(OR(D278="MD",D278="BM",D278="GA")=TRUE,((VLOOKUP(D278,'Species Codes'!B:I,8,0)*(((((E278*2.54)+VLOOKUP(D278,'Species Codes'!B:J,9,0))/VLOOKUP(D278,'Species Codes'!B:K,10,0))^VLOOKUP(D278,'Species Codes'!B:L,11,0))*((I278*0.3048)^VLOOKUP(D278,'Species Codes'!B:M,12,0))))-(VLOOKUP(D278,'Species Codes'!B:I,8,0)*((((E278*2.54)^VLOOKUP(D278,'Species Codes'!B:L,11,0))*((I278*0.3048)^VLOOKUP(D278,'Species Codes'!B:M,12,0))))))*35.3*VLOOKUP(D278,'Species Codes'!B:G,6,0)/2.2046,VLOOKUP(D278,'Species Codes'!B:I,8,0)+VLOOKUP(D278,'Species Codes'!B:J,9,0)*(((E278*2.54)/100)^2)*(I278*0.3048)))))*0.0011023),0)</f>
        <v>#N/A</v>
      </c>
      <c r="AC278" s="104" t="e">
        <f>IF(Z278&gt;0,((IF(OR(D278="RA",D278="OA",D278="OT",D278="UN",D278="PC"),EXP(VLOOKUP(D278,'Species Codes'!B:O,14,0)+VLOOKUP(D278,'Species Codes'!B:P,15,0)*LN((E278*2.54)))-EXP(VLOOKUP(D278,'Species Codes'!B:O,14,0)+VLOOKUP(D278,'Species Codes'!B:P,15,0)*LN((E278*2.54)))*(1/(VLOOKUP(D278,'Species Codes'!B:Q,16,0)+VLOOKUP(D278,'Species Codes'!B:R,17,0)*((E278*2.54)^VLOOKUP(D278,'Species Codes'!B:S,18,0)))),IF(OR(D278="BM",D278="MD",D278="OA"),EXP(VLOOKUP(D278,'Species Codes'!B:O,14,0)+VLOOKUP(D278,'Species Codes'!B:P,15,0)*LN((E278*2.54)))*(1-(1/(VLOOKUP(D278,'Species Codes'!B:Q,16,0)+VLOOKUP(D278,'Species Codes'!B:R,17,0)*((E278*2.54)^VLOOKUP(D278,'Species Codes'!B:S,18,0)))))/1000,IF(D278="DF",EXP(VLOOKUP(D278,'Species Codes'!B:O,14,0)+VLOOKUP(D278,'Species Codes'!B:P,15,0)*LN((E278*2.54))),VLOOKUP(D278,'Species Codes'!B:O,14,0)+VLOOKUP(D278,'Species Codes'!B:P,15,0)*(((E278*2.54)/100)^2)*(I278*0.3048)))))*0.0011023),0)</f>
        <v>#N/A</v>
      </c>
      <c r="AD278" s="104" t="e">
        <f t="shared" si="139"/>
        <v>#N/A</v>
      </c>
      <c r="AE278" s="104" t="e">
        <f t="shared" si="140"/>
        <v>#N/A</v>
      </c>
      <c r="AF278" s="104" t="e">
        <f>IF(AND(VLOOKUP($D278,Merchantability!$B:$C,2,0)="Yes",$E278&gt;=VLOOKUP($D278,Merchantability!$B:$D,3,0),$E278&lt;=VLOOKUP($D278,Merchantability!$B:$E,4,0)),AA278,0)</f>
        <v>#N/A</v>
      </c>
      <c r="AG278" s="104" t="e">
        <f>IF(AND(VLOOKUP($D278,Merchantability!$B:$C,2,0)="Yes",$E278&gt;=VLOOKUP($D278,Merchantability!$B:$D,3,0),$E278&lt;=VLOOKUP($D278,Merchantability!$B:$E,4,0)),AB278,0)</f>
        <v>#N/A</v>
      </c>
      <c r="AH278" s="104" t="e">
        <f>IF(AND(VLOOKUP($D278,Merchantability!$B:$C,2,0)="Yes",$E278&gt;=VLOOKUP($D278,Merchantability!$B:$D,3,0),$E278&lt;=VLOOKUP($D278,Merchantability!$B:$E,4,0)),AC278,0)</f>
        <v>#N/A</v>
      </c>
      <c r="AI278" s="104" t="e">
        <f t="shared" si="141"/>
        <v>#N/A</v>
      </c>
      <c r="AJ278" s="104" t="e">
        <f t="shared" si="142"/>
        <v>#VALUE!</v>
      </c>
      <c r="AK278" s="104" t="e">
        <f t="shared" si="143"/>
        <v>#N/A</v>
      </c>
      <c r="AL278" s="104" t="e">
        <f t="shared" si="144"/>
        <v>#N/A</v>
      </c>
      <c r="AM278" s="104" t="e">
        <f t="shared" si="145"/>
        <v>#N/A</v>
      </c>
      <c r="AN278" s="104" t="e">
        <f t="shared" si="156"/>
        <v>#N/A</v>
      </c>
      <c r="AO278" s="104" t="e">
        <f t="shared" si="157"/>
        <v>#N/A</v>
      </c>
      <c r="AP278" s="104" t="e">
        <f t="shared" si="158"/>
        <v>#N/A</v>
      </c>
      <c r="AQ278" s="104" t="e">
        <f t="shared" si="159"/>
        <v>#N/A</v>
      </c>
      <c r="AR278" s="105" t="str">
        <f t="shared" si="151"/>
        <v/>
      </c>
      <c r="AS278" s="105" t="str">
        <f t="shared" si="152"/>
        <v/>
      </c>
      <c r="AT278" s="108" t="str">
        <f t="shared" si="153"/>
        <v/>
      </c>
      <c r="AU278" s="108" t="str">
        <f t="shared" si="154"/>
        <v/>
      </c>
      <c r="AV278" s="107" t="str">
        <f>IF(ISNUMBER(O278),IF(VLOOKUP($A278,Stand!C:J,8,FALSE)="Short",AT278,AU278),"")</f>
        <v/>
      </c>
      <c r="AW278" s="109" t="str">
        <f t="shared" si="160"/>
        <v/>
      </c>
      <c r="AX278" s="109" t="str">
        <f t="shared" si="161"/>
        <v/>
      </c>
      <c r="AY278" s="112" t="str">
        <f>IF(ISNUMBER(O278),IF(AND(VLOOKUP($D278,Merchantability!$B:$C,2,0)="Yes",$E278&gt;=VLOOKUP($D278,Merchantability!$B:$D,3,0),$E278&lt;=VLOOKUP($D278,Merchantability!$B:$E,4,0)),(AV278*O278)*(1-$H278/100),""),"")</f>
        <v/>
      </c>
      <c r="AZ278" s="116"/>
      <c r="BA278" s="116"/>
      <c r="BB278" s="116"/>
      <c r="BE278" s="62"/>
      <c r="BF278" s="63"/>
    </row>
    <row r="279" spans="1:58" ht="12.75" customHeight="1" x14ac:dyDescent="0.25">
      <c r="A279" s="313"/>
      <c r="B279" s="380"/>
      <c r="C279" s="381"/>
      <c r="D279" s="380"/>
      <c r="E279" s="382"/>
      <c r="F279" s="331"/>
      <c r="G279" s="329"/>
      <c r="H279" s="329"/>
      <c r="I279" s="380"/>
      <c r="J279" s="381"/>
      <c r="K279" s="329"/>
      <c r="L279" s="329"/>
      <c r="M279" s="76"/>
      <c r="N279" s="103" t="str">
        <f>IF(A279="","",VLOOKUP(A279,Stand!C:K,9,0))</f>
        <v/>
      </c>
      <c r="O279" s="104" t="str">
        <f t="shared" si="146"/>
        <v/>
      </c>
      <c r="P279" s="105" t="str">
        <f t="shared" si="147"/>
        <v/>
      </c>
      <c r="Q279" s="105" t="str">
        <f t="shared" si="135"/>
        <v/>
      </c>
      <c r="R279" s="103" t="str">
        <f t="shared" si="148"/>
        <v/>
      </c>
      <c r="S279" s="103" t="str">
        <f t="shared" si="149"/>
        <v/>
      </c>
      <c r="T279" s="106" t="str">
        <f t="shared" si="136"/>
        <v/>
      </c>
      <c r="U279" s="106" t="str">
        <f t="shared" si="137"/>
        <v/>
      </c>
      <c r="V279" s="106" t="str">
        <f t="shared" si="138"/>
        <v/>
      </c>
      <c r="W279" s="105" t="str">
        <f t="shared" si="150"/>
        <v/>
      </c>
      <c r="X279" s="104" t="str">
        <f t="shared" si="155"/>
        <v/>
      </c>
      <c r="Y279" s="104" t="str">
        <f t="array" ref="Y279">IFERROR(IF(ISNUMBER(O279),IF(COUNT(IF(A279=$A$2:$A$2427,IF(D279=$D$2:$D$2427,IF($X$2:$X$2427&gt;0,1))))&gt;0,SUM(IF(A279=$A$2:$A$2427,IF(D279=$D$2:$D$2427,$X$2:$X$2427)))/COUNT(IF(A279=$A$2:$A$2427,IF(D279=$D$2:$D$2427,IF(ISNUMBER($X$2:$X$2427),1)))),0),""),0)</f>
        <v/>
      </c>
      <c r="Z279" s="104" t="str">
        <f>IF(ISNUMBER(O279),IF(I279&gt;0,(10^(VLOOKUP(D279,'Species Codes'!B:C,2,0)+VLOOKUP(D279,'Species Codes'!B:D,3,0)*LOG(E279)+VLOOKUP(D279,'Species Codes'!B:E,4,0)*LOG(I279))),0),"")</f>
        <v/>
      </c>
      <c r="AA279" s="104" t="str">
        <f>IFERROR((VLOOKUP(D279,'Species Codes'!B:G,6,0)*Z279)/2000,"")</f>
        <v/>
      </c>
      <c r="AB279" s="104" t="e">
        <f>IF(Z279&gt;0,((IF(OR(D279="DF",D279="RA")=TRUE,EXP(VLOOKUP(D279,'Species Codes'!B:I,8,0)+VLOOKUP(D279,'Species Codes'!B:J,9,0)*(LN((E279*2.54)))),IF(OR(D279="PY",D279="RC",D279="WH",D279="NF")=TRUE,VLOOKUP(D279,'Species Codes'!B:I,8,0)+VLOOKUP(D279,'Species Codes'!B:J,9,0)*((E279*2.54)^2)*(I279*0.3048),IF(OR(D279="MD",D279="BM",D279="GA")=TRUE,((VLOOKUP(D279,'Species Codes'!B:I,8,0)*(((((E279*2.54)+VLOOKUP(D279,'Species Codes'!B:J,9,0))/VLOOKUP(D279,'Species Codes'!B:K,10,0))^VLOOKUP(D279,'Species Codes'!B:L,11,0))*((I279*0.3048)^VLOOKUP(D279,'Species Codes'!B:M,12,0))))-(VLOOKUP(D279,'Species Codes'!B:I,8,0)*((((E279*2.54)^VLOOKUP(D279,'Species Codes'!B:L,11,0))*((I279*0.3048)^VLOOKUP(D279,'Species Codes'!B:M,12,0))))))*35.3*VLOOKUP(D279,'Species Codes'!B:G,6,0)/2.2046,VLOOKUP(D279,'Species Codes'!B:I,8,0)+VLOOKUP(D279,'Species Codes'!B:J,9,0)*(((E279*2.54)/100)^2)*(I279*0.3048)))))*0.0011023),0)</f>
        <v>#N/A</v>
      </c>
      <c r="AC279" s="104" t="e">
        <f>IF(Z279&gt;0,((IF(OR(D279="RA",D279="OA",D279="OT",D279="UN",D279="PC"),EXP(VLOOKUP(D279,'Species Codes'!B:O,14,0)+VLOOKUP(D279,'Species Codes'!B:P,15,0)*LN((E279*2.54)))-EXP(VLOOKUP(D279,'Species Codes'!B:O,14,0)+VLOOKUP(D279,'Species Codes'!B:P,15,0)*LN((E279*2.54)))*(1/(VLOOKUP(D279,'Species Codes'!B:Q,16,0)+VLOOKUP(D279,'Species Codes'!B:R,17,0)*((E279*2.54)^VLOOKUP(D279,'Species Codes'!B:S,18,0)))),IF(OR(D279="BM",D279="MD",D279="OA"),EXP(VLOOKUP(D279,'Species Codes'!B:O,14,0)+VLOOKUP(D279,'Species Codes'!B:P,15,0)*LN((E279*2.54)))*(1-(1/(VLOOKUP(D279,'Species Codes'!B:Q,16,0)+VLOOKUP(D279,'Species Codes'!B:R,17,0)*((E279*2.54)^VLOOKUP(D279,'Species Codes'!B:S,18,0)))))/1000,IF(D279="DF",EXP(VLOOKUP(D279,'Species Codes'!B:O,14,0)+VLOOKUP(D279,'Species Codes'!B:P,15,0)*LN((E279*2.54))),VLOOKUP(D279,'Species Codes'!B:O,14,0)+VLOOKUP(D279,'Species Codes'!B:P,15,0)*(((E279*2.54)/100)^2)*(I279*0.3048)))))*0.0011023),0)</f>
        <v>#N/A</v>
      </c>
      <c r="AD279" s="104" t="e">
        <f t="shared" si="139"/>
        <v>#N/A</v>
      </c>
      <c r="AE279" s="104" t="e">
        <f t="shared" si="140"/>
        <v>#N/A</v>
      </c>
      <c r="AF279" s="104" t="e">
        <f>IF(AND(VLOOKUP($D279,Merchantability!$B:$C,2,0)="Yes",$E279&gt;=VLOOKUP($D279,Merchantability!$B:$D,3,0),$E279&lt;=VLOOKUP($D279,Merchantability!$B:$E,4,0)),AA279,0)</f>
        <v>#N/A</v>
      </c>
      <c r="AG279" s="104" t="e">
        <f>IF(AND(VLOOKUP($D279,Merchantability!$B:$C,2,0)="Yes",$E279&gt;=VLOOKUP($D279,Merchantability!$B:$D,3,0),$E279&lt;=VLOOKUP($D279,Merchantability!$B:$E,4,0)),AB279,0)</f>
        <v>#N/A</v>
      </c>
      <c r="AH279" s="104" t="e">
        <f>IF(AND(VLOOKUP($D279,Merchantability!$B:$C,2,0)="Yes",$E279&gt;=VLOOKUP($D279,Merchantability!$B:$D,3,0),$E279&lt;=VLOOKUP($D279,Merchantability!$B:$E,4,0)),AC279,0)</f>
        <v>#N/A</v>
      </c>
      <c r="AI279" s="104" t="e">
        <f t="shared" si="141"/>
        <v>#N/A</v>
      </c>
      <c r="AJ279" s="104" t="e">
        <f t="shared" si="142"/>
        <v>#VALUE!</v>
      </c>
      <c r="AK279" s="104" t="e">
        <f t="shared" si="143"/>
        <v>#N/A</v>
      </c>
      <c r="AL279" s="104" t="e">
        <f t="shared" si="144"/>
        <v>#N/A</v>
      </c>
      <c r="AM279" s="104" t="e">
        <f t="shared" si="145"/>
        <v>#N/A</v>
      </c>
      <c r="AN279" s="104" t="e">
        <f t="shared" si="156"/>
        <v>#N/A</v>
      </c>
      <c r="AO279" s="104" t="e">
        <f t="shared" si="157"/>
        <v>#N/A</v>
      </c>
      <c r="AP279" s="104" t="e">
        <f t="shared" si="158"/>
        <v>#N/A</v>
      </c>
      <c r="AQ279" s="104" t="e">
        <f t="shared" si="159"/>
        <v>#N/A</v>
      </c>
      <c r="AR279" s="105" t="str">
        <f t="shared" si="151"/>
        <v/>
      </c>
      <c r="AS279" s="105" t="str">
        <f t="shared" si="152"/>
        <v/>
      </c>
      <c r="AT279" s="108" t="str">
        <f t="shared" si="153"/>
        <v/>
      </c>
      <c r="AU279" s="108" t="str">
        <f t="shared" si="154"/>
        <v/>
      </c>
      <c r="AV279" s="107" t="str">
        <f>IF(ISNUMBER(O279),IF(VLOOKUP($A279,Stand!C:J,8,FALSE)="Short",AT279,AU279),"")</f>
        <v/>
      </c>
      <c r="AW279" s="109" t="str">
        <f t="shared" si="160"/>
        <v/>
      </c>
      <c r="AX279" s="109" t="str">
        <f t="shared" si="161"/>
        <v/>
      </c>
      <c r="AY279" s="112" t="str">
        <f>IF(ISNUMBER(O279),IF(AND(VLOOKUP($D279,Merchantability!$B:$C,2,0)="Yes",$E279&gt;=VLOOKUP($D279,Merchantability!$B:$D,3,0),$E279&lt;=VLOOKUP($D279,Merchantability!$B:$E,4,0)),(AV279*O279)*(1-$H279/100),""),"")</f>
        <v/>
      </c>
      <c r="AZ279" s="116"/>
      <c r="BA279" s="116"/>
      <c r="BB279" s="116"/>
      <c r="BE279" s="62"/>
      <c r="BF279" s="63"/>
    </row>
    <row r="280" spans="1:58" ht="12.75" customHeight="1" x14ac:dyDescent="0.25">
      <c r="A280" s="313"/>
      <c r="B280" s="380"/>
      <c r="C280" s="381"/>
      <c r="D280" s="380"/>
      <c r="E280" s="382"/>
      <c r="F280" s="331"/>
      <c r="G280" s="329"/>
      <c r="H280" s="329"/>
      <c r="I280" s="380"/>
      <c r="J280" s="381"/>
      <c r="K280" s="329"/>
      <c r="L280" s="329"/>
      <c r="M280" s="76"/>
      <c r="N280" s="103" t="str">
        <f>IF(A280="","",VLOOKUP(A280,Stand!C:K,9,0))</f>
        <v/>
      </c>
      <c r="O280" s="104" t="str">
        <f t="shared" si="146"/>
        <v/>
      </c>
      <c r="P280" s="105" t="str">
        <f t="shared" si="147"/>
        <v/>
      </c>
      <c r="Q280" s="105" t="str">
        <f t="shared" si="135"/>
        <v/>
      </c>
      <c r="R280" s="103" t="str">
        <f t="shared" si="148"/>
        <v/>
      </c>
      <c r="S280" s="103" t="str">
        <f t="shared" si="149"/>
        <v/>
      </c>
      <c r="T280" s="106" t="str">
        <f t="shared" si="136"/>
        <v/>
      </c>
      <c r="U280" s="106" t="str">
        <f t="shared" si="137"/>
        <v/>
      </c>
      <c r="V280" s="106" t="str">
        <f t="shared" si="138"/>
        <v/>
      </c>
      <c r="W280" s="105" t="str">
        <f t="shared" si="150"/>
        <v/>
      </c>
      <c r="X280" s="104" t="str">
        <f t="shared" si="155"/>
        <v/>
      </c>
      <c r="Y280" s="104" t="str">
        <f t="array" ref="Y280">IFERROR(IF(ISNUMBER(O280),IF(COUNT(IF(A280=$A$2:$A$2427,IF(D280=$D$2:$D$2427,IF($X$2:$X$2427&gt;0,1))))&gt;0,SUM(IF(A280=$A$2:$A$2427,IF(D280=$D$2:$D$2427,$X$2:$X$2427)))/COUNT(IF(A280=$A$2:$A$2427,IF(D280=$D$2:$D$2427,IF(ISNUMBER($X$2:$X$2427),1)))),0),""),0)</f>
        <v/>
      </c>
      <c r="Z280" s="104" t="str">
        <f>IF(ISNUMBER(O280),IF(I280&gt;0,(10^(VLOOKUP(D280,'Species Codes'!B:C,2,0)+VLOOKUP(D280,'Species Codes'!B:D,3,0)*LOG(E280)+VLOOKUP(D280,'Species Codes'!B:E,4,0)*LOG(I280))),0),"")</f>
        <v/>
      </c>
      <c r="AA280" s="104" t="str">
        <f>IFERROR((VLOOKUP(D280,'Species Codes'!B:G,6,0)*Z280)/2000,"")</f>
        <v/>
      </c>
      <c r="AB280" s="104" t="e">
        <f>IF(Z280&gt;0,((IF(OR(D280="DF",D280="RA")=TRUE,EXP(VLOOKUP(D280,'Species Codes'!B:I,8,0)+VLOOKUP(D280,'Species Codes'!B:J,9,0)*(LN((E280*2.54)))),IF(OR(D280="PY",D280="RC",D280="WH",D280="NF")=TRUE,VLOOKUP(D280,'Species Codes'!B:I,8,0)+VLOOKUP(D280,'Species Codes'!B:J,9,0)*((E280*2.54)^2)*(I280*0.3048),IF(OR(D280="MD",D280="BM",D280="GA")=TRUE,((VLOOKUP(D280,'Species Codes'!B:I,8,0)*(((((E280*2.54)+VLOOKUP(D280,'Species Codes'!B:J,9,0))/VLOOKUP(D280,'Species Codes'!B:K,10,0))^VLOOKUP(D280,'Species Codes'!B:L,11,0))*((I280*0.3048)^VLOOKUP(D280,'Species Codes'!B:M,12,0))))-(VLOOKUP(D280,'Species Codes'!B:I,8,0)*((((E280*2.54)^VLOOKUP(D280,'Species Codes'!B:L,11,0))*((I280*0.3048)^VLOOKUP(D280,'Species Codes'!B:M,12,0))))))*35.3*VLOOKUP(D280,'Species Codes'!B:G,6,0)/2.2046,VLOOKUP(D280,'Species Codes'!B:I,8,0)+VLOOKUP(D280,'Species Codes'!B:J,9,0)*(((E280*2.54)/100)^2)*(I280*0.3048)))))*0.0011023),0)</f>
        <v>#N/A</v>
      </c>
      <c r="AC280" s="104" t="e">
        <f>IF(Z280&gt;0,((IF(OR(D280="RA",D280="OA",D280="OT",D280="UN",D280="PC"),EXP(VLOOKUP(D280,'Species Codes'!B:O,14,0)+VLOOKUP(D280,'Species Codes'!B:P,15,0)*LN((E280*2.54)))-EXP(VLOOKUP(D280,'Species Codes'!B:O,14,0)+VLOOKUP(D280,'Species Codes'!B:P,15,0)*LN((E280*2.54)))*(1/(VLOOKUP(D280,'Species Codes'!B:Q,16,0)+VLOOKUP(D280,'Species Codes'!B:R,17,0)*((E280*2.54)^VLOOKUP(D280,'Species Codes'!B:S,18,0)))),IF(OR(D280="BM",D280="MD",D280="OA"),EXP(VLOOKUP(D280,'Species Codes'!B:O,14,0)+VLOOKUP(D280,'Species Codes'!B:P,15,0)*LN((E280*2.54)))*(1-(1/(VLOOKUP(D280,'Species Codes'!B:Q,16,0)+VLOOKUP(D280,'Species Codes'!B:R,17,0)*((E280*2.54)^VLOOKUP(D280,'Species Codes'!B:S,18,0)))))/1000,IF(D280="DF",EXP(VLOOKUP(D280,'Species Codes'!B:O,14,0)+VLOOKUP(D280,'Species Codes'!B:P,15,0)*LN((E280*2.54))),VLOOKUP(D280,'Species Codes'!B:O,14,0)+VLOOKUP(D280,'Species Codes'!B:P,15,0)*(((E280*2.54)/100)^2)*(I280*0.3048)))))*0.0011023),0)</f>
        <v>#N/A</v>
      </c>
      <c r="AD280" s="104" t="e">
        <f t="shared" si="139"/>
        <v>#N/A</v>
      </c>
      <c r="AE280" s="104" t="e">
        <f t="shared" si="140"/>
        <v>#N/A</v>
      </c>
      <c r="AF280" s="104" t="e">
        <f>IF(AND(VLOOKUP($D280,Merchantability!$B:$C,2,0)="Yes",$E280&gt;=VLOOKUP($D280,Merchantability!$B:$D,3,0),$E280&lt;=VLOOKUP($D280,Merchantability!$B:$E,4,0)),AA280,0)</f>
        <v>#N/A</v>
      </c>
      <c r="AG280" s="104" t="e">
        <f>IF(AND(VLOOKUP($D280,Merchantability!$B:$C,2,0)="Yes",$E280&gt;=VLOOKUP($D280,Merchantability!$B:$D,3,0),$E280&lt;=VLOOKUP($D280,Merchantability!$B:$E,4,0)),AB280,0)</f>
        <v>#N/A</v>
      </c>
      <c r="AH280" s="104" t="e">
        <f>IF(AND(VLOOKUP($D280,Merchantability!$B:$C,2,0)="Yes",$E280&gt;=VLOOKUP($D280,Merchantability!$B:$D,3,0),$E280&lt;=VLOOKUP($D280,Merchantability!$B:$E,4,0)),AC280,0)</f>
        <v>#N/A</v>
      </c>
      <c r="AI280" s="104" t="e">
        <f t="shared" si="141"/>
        <v>#N/A</v>
      </c>
      <c r="AJ280" s="104" t="e">
        <f t="shared" si="142"/>
        <v>#VALUE!</v>
      </c>
      <c r="AK280" s="104" t="e">
        <f t="shared" si="143"/>
        <v>#N/A</v>
      </c>
      <c r="AL280" s="104" t="e">
        <f t="shared" si="144"/>
        <v>#N/A</v>
      </c>
      <c r="AM280" s="104" t="e">
        <f t="shared" si="145"/>
        <v>#N/A</v>
      </c>
      <c r="AN280" s="104" t="e">
        <f t="shared" si="156"/>
        <v>#N/A</v>
      </c>
      <c r="AO280" s="104" t="e">
        <f t="shared" si="157"/>
        <v>#N/A</v>
      </c>
      <c r="AP280" s="104" t="e">
        <f t="shared" si="158"/>
        <v>#N/A</v>
      </c>
      <c r="AQ280" s="104" t="e">
        <f t="shared" si="159"/>
        <v>#N/A</v>
      </c>
      <c r="AR280" s="105" t="str">
        <f t="shared" si="151"/>
        <v/>
      </c>
      <c r="AS280" s="105" t="str">
        <f t="shared" si="152"/>
        <v/>
      </c>
      <c r="AT280" s="108" t="str">
        <f t="shared" si="153"/>
        <v/>
      </c>
      <c r="AU280" s="108" t="str">
        <f t="shared" si="154"/>
        <v/>
      </c>
      <c r="AV280" s="107" t="str">
        <f>IF(ISNUMBER(O280),IF(VLOOKUP($A280,Stand!C:J,8,FALSE)="Short",AT280,AU280),"")</f>
        <v/>
      </c>
      <c r="AW280" s="109" t="str">
        <f t="shared" si="160"/>
        <v/>
      </c>
      <c r="AX280" s="109" t="str">
        <f t="shared" si="161"/>
        <v/>
      </c>
      <c r="AY280" s="112" t="str">
        <f>IF(ISNUMBER(O280),IF(AND(VLOOKUP($D280,Merchantability!$B:$C,2,0)="Yes",$E280&gt;=VLOOKUP($D280,Merchantability!$B:$D,3,0),$E280&lt;=VLOOKUP($D280,Merchantability!$B:$E,4,0)),(AV280*O280)*(1-$H280/100),""),"")</f>
        <v/>
      </c>
      <c r="AZ280" s="116"/>
      <c r="BA280" s="116"/>
      <c r="BB280" s="116"/>
      <c r="BE280" s="62"/>
      <c r="BF280" s="63"/>
    </row>
    <row r="281" spans="1:58" ht="12.75" customHeight="1" x14ac:dyDescent="0.25">
      <c r="A281" s="313"/>
      <c r="B281" s="380"/>
      <c r="C281" s="381"/>
      <c r="D281" s="380"/>
      <c r="E281" s="382"/>
      <c r="F281" s="331"/>
      <c r="G281" s="329"/>
      <c r="H281" s="329"/>
      <c r="I281" s="380"/>
      <c r="J281" s="381"/>
      <c r="K281" s="329"/>
      <c r="L281" s="329"/>
      <c r="M281" s="76"/>
      <c r="N281" s="103" t="str">
        <f>IF(A281="","",VLOOKUP(A281,Stand!C:K,9,0))</f>
        <v/>
      </c>
      <c r="O281" s="104" t="str">
        <f t="shared" si="146"/>
        <v/>
      </c>
      <c r="P281" s="105" t="str">
        <f t="shared" si="147"/>
        <v/>
      </c>
      <c r="Q281" s="105" t="str">
        <f t="shared" si="135"/>
        <v/>
      </c>
      <c r="R281" s="103" t="str">
        <f t="shared" si="148"/>
        <v/>
      </c>
      <c r="S281" s="103" t="str">
        <f t="shared" si="149"/>
        <v/>
      </c>
      <c r="T281" s="106" t="str">
        <f t="shared" si="136"/>
        <v/>
      </c>
      <c r="U281" s="106" t="str">
        <f t="shared" si="137"/>
        <v/>
      </c>
      <c r="V281" s="106" t="str">
        <f t="shared" si="138"/>
        <v/>
      </c>
      <c r="W281" s="105" t="str">
        <f t="shared" si="150"/>
        <v/>
      </c>
      <c r="X281" s="104" t="str">
        <f t="shared" si="155"/>
        <v/>
      </c>
      <c r="Y281" s="104" t="str">
        <f t="array" ref="Y281">IFERROR(IF(ISNUMBER(O281),IF(COUNT(IF(A281=$A$2:$A$2427,IF(D281=$D$2:$D$2427,IF($X$2:$X$2427&gt;0,1))))&gt;0,SUM(IF(A281=$A$2:$A$2427,IF(D281=$D$2:$D$2427,$X$2:$X$2427)))/COUNT(IF(A281=$A$2:$A$2427,IF(D281=$D$2:$D$2427,IF(ISNUMBER($X$2:$X$2427),1)))),0),""),0)</f>
        <v/>
      </c>
      <c r="Z281" s="104" t="str">
        <f>IF(ISNUMBER(O281),IF(I281&gt;0,(10^(VLOOKUP(D281,'Species Codes'!B:C,2,0)+VLOOKUP(D281,'Species Codes'!B:D,3,0)*LOG(E281)+VLOOKUP(D281,'Species Codes'!B:E,4,0)*LOG(I281))),0),"")</f>
        <v/>
      </c>
      <c r="AA281" s="104" t="str">
        <f>IFERROR((VLOOKUP(D281,'Species Codes'!B:G,6,0)*Z281)/2000,"")</f>
        <v/>
      </c>
      <c r="AB281" s="104" t="e">
        <f>IF(Z281&gt;0,((IF(OR(D281="DF",D281="RA")=TRUE,EXP(VLOOKUP(D281,'Species Codes'!B:I,8,0)+VLOOKUP(D281,'Species Codes'!B:J,9,0)*(LN((E281*2.54)))),IF(OR(D281="PY",D281="RC",D281="WH",D281="NF")=TRUE,VLOOKUP(D281,'Species Codes'!B:I,8,0)+VLOOKUP(D281,'Species Codes'!B:J,9,0)*((E281*2.54)^2)*(I281*0.3048),IF(OR(D281="MD",D281="BM",D281="GA")=TRUE,((VLOOKUP(D281,'Species Codes'!B:I,8,0)*(((((E281*2.54)+VLOOKUP(D281,'Species Codes'!B:J,9,0))/VLOOKUP(D281,'Species Codes'!B:K,10,0))^VLOOKUP(D281,'Species Codes'!B:L,11,0))*((I281*0.3048)^VLOOKUP(D281,'Species Codes'!B:M,12,0))))-(VLOOKUP(D281,'Species Codes'!B:I,8,0)*((((E281*2.54)^VLOOKUP(D281,'Species Codes'!B:L,11,0))*((I281*0.3048)^VLOOKUP(D281,'Species Codes'!B:M,12,0))))))*35.3*VLOOKUP(D281,'Species Codes'!B:G,6,0)/2.2046,VLOOKUP(D281,'Species Codes'!B:I,8,0)+VLOOKUP(D281,'Species Codes'!B:J,9,0)*(((E281*2.54)/100)^2)*(I281*0.3048)))))*0.0011023),0)</f>
        <v>#N/A</v>
      </c>
      <c r="AC281" s="104" t="e">
        <f>IF(Z281&gt;0,((IF(OR(D281="RA",D281="OA",D281="OT",D281="UN",D281="PC"),EXP(VLOOKUP(D281,'Species Codes'!B:O,14,0)+VLOOKUP(D281,'Species Codes'!B:P,15,0)*LN((E281*2.54)))-EXP(VLOOKUP(D281,'Species Codes'!B:O,14,0)+VLOOKUP(D281,'Species Codes'!B:P,15,0)*LN((E281*2.54)))*(1/(VLOOKUP(D281,'Species Codes'!B:Q,16,0)+VLOOKUP(D281,'Species Codes'!B:R,17,0)*((E281*2.54)^VLOOKUP(D281,'Species Codes'!B:S,18,0)))),IF(OR(D281="BM",D281="MD",D281="OA"),EXP(VLOOKUP(D281,'Species Codes'!B:O,14,0)+VLOOKUP(D281,'Species Codes'!B:P,15,0)*LN((E281*2.54)))*(1-(1/(VLOOKUP(D281,'Species Codes'!B:Q,16,0)+VLOOKUP(D281,'Species Codes'!B:R,17,0)*((E281*2.54)^VLOOKUP(D281,'Species Codes'!B:S,18,0)))))/1000,IF(D281="DF",EXP(VLOOKUP(D281,'Species Codes'!B:O,14,0)+VLOOKUP(D281,'Species Codes'!B:P,15,0)*LN((E281*2.54))),VLOOKUP(D281,'Species Codes'!B:O,14,0)+VLOOKUP(D281,'Species Codes'!B:P,15,0)*(((E281*2.54)/100)^2)*(I281*0.3048)))))*0.0011023),0)</f>
        <v>#N/A</v>
      </c>
      <c r="AD281" s="104" t="e">
        <f t="shared" si="139"/>
        <v>#N/A</v>
      </c>
      <c r="AE281" s="104" t="e">
        <f t="shared" si="140"/>
        <v>#N/A</v>
      </c>
      <c r="AF281" s="104" t="e">
        <f>IF(AND(VLOOKUP($D281,Merchantability!$B:$C,2,0)="Yes",$E281&gt;=VLOOKUP($D281,Merchantability!$B:$D,3,0),$E281&lt;=VLOOKUP($D281,Merchantability!$B:$E,4,0)),AA281,0)</f>
        <v>#N/A</v>
      </c>
      <c r="AG281" s="104" t="e">
        <f>IF(AND(VLOOKUP($D281,Merchantability!$B:$C,2,0)="Yes",$E281&gt;=VLOOKUP($D281,Merchantability!$B:$D,3,0),$E281&lt;=VLOOKUP($D281,Merchantability!$B:$E,4,0)),AB281,0)</f>
        <v>#N/A</v>
      </c>
      <c r="AH281" s="104" t="e">
        <f>IF(AND(VLOOKUP($D281,Merchantability!$B:$C,2,0)="Yes",$E281&gt;=VLOOKUP($D281,Merchantability!$B:$D,3,0),$E281&lt;=VLOOKUP($D281,Merchantability!$B:$E,4,0)),AC281,0)</f>
        <v>#N/A</v>
      </c>
      <c r="AI281" s="104" t="e">
        <f t="shared" si="141"/>
        <v>#N/A</v>
      </c>
      <c r="AJ281" s="104" t="e">
        <f t="shared" si="142"/>
        <v>#VALUE!</v>
      </c>
      <c r="AK281" s="104" t="e">
        <f t="shared" si="143"/>
        <v>#N/A</v>
      </c>
      <c r="AL281" s="104" t="e">
        <f t="shared" si="144"/>
        <v>#N/A</v>
      </c>
      <c r="AM281" s="104" t="e">
        <f t="shared" si="145"/>
        <v>#N/A</v>
      </c>
      <c r="AN281" s="104" t="e">
        <f t="shared" si="156"/>
        <v>#N/A</v>
      </c>
      <c r="AO281" s="104" t="e">
        <f t="shared" si="157"/>
        <v>#N/A</v>
      </c>
      <c r="AP281" s="104" t="e">
        <f t="shared" si="158"/>
        <v>#N/A</v>
      </c>
      <c r="AQ281" s="104" t="e">
        <f t="shared" si="159"/>
        <v>#N/A</v>
      </c>
      <c r="AR281" s="105" t="str">
        <f t="shared" si="151"/>
        <v/>
      </c>
      <c r="AS281" s="105" t="str">
        <f t="shared" si="152"/>
        <v/>
      </c>
      <c r="AT281" s="108" t="str">
        <f t="shared" si="153"/>
        <v/>
      </c>
      <c r="AU281" s="108" t="str">
        <f t="shared" si="154"/>
        <v/>
      </c>
      <c r="AV281" s="107" t="str">
        <f>IF(ISNUMBER(O281),IF(VLOOKUP($A281,Stand!C:J,8,FALSE)="Short",AT281,AU281),"")</f>
        <v/>
      </c>
      <c r="AW281" s="109" t="str">
        <f t="shared" si="160"/>
        <v/>
      </c>
      <c r="AX281" s="109" t="str">
        <f t="shared" si="161"/>
        <v/>
      </c>
      <c r="AY281" s="112" t="str">
        <f>IF(ISNUMBER(O281),IF(AND(VLOOKUP($D281,Merchantability!$B:$C,2,0)="Yes",$E281&gt;=VLOOKUP($D281,Merchantability!$B:$D,3,0),$E281&lt;=VLOOKUP($D281,Merchantability!$B:$E,4,0)),(AV281*O281)*(1-$H281/100),""),"")</f>
        <v/>
      </c>
      <c r="AZ281" s="116"/>
      <c r="BA281" s="116"/>
      <c r="BB281" s="116"/>
      <c r="BE281" s="62"/>
      <c r="BF281" s="63"/>
    </row>
    <row r="282" spans="1:58" ht="12.75" customHeight="1" x14ac:dyDescent="0.25">
      <c r="A282" s="313"/>
      <c r="B282" s="380"/>
      <c r="C282" s="381"/>
      <c r="D282" s="380"/>
      <c r="E282" s="382"/>
      <c r="F282" s="331"/>
      <c r="G282" s="329"/>
      <c r="H282" s="329"/>
      <c r="I282" s="380"/>
      <c r="J282" s="381"/>
      <c r="K282" s="329"/>
      <c r="L282" s="329"/>
      <c r="M282" s="76"/>
      <c r="N282" s="103" t="str">
        <f>IF(A282="","",VLOOKUP(A282,Stand!C:K,9,0))</f>
        <v/>
      </c>
      <c r="O282" s="104" t="str">
        <f t="shared" si="146"/>
        <v/>
      </c>
      <c r="P282" s="105" t="str">
        <f t="shared" si="147"/>
        <v/>
      </c>
      <c r="Q282" s="105" t="str">
        <f t="shared" si="135"/>
        <v/>
      </c>
      <c r="R282" s="103" t="str">
        <f t="shared" si="148"/>
        <v/>
      </c>
      <c r="S282" s="103" t="str">
        <f t="shared" si="149"/>
        <v/>
      </c>
      <c r="T282" s="106" t="str">
        <f t="shared" si="136"/>
        <v/>
      </c>
      <c r="U282" s="106" t="str">
        <f t="shared" si="137"/>
        <v/>
      </c>
      <c r="V282" s="106" t="str">
        <f t="shared" si="138"/>
        <v/>
      </c>
      <c r="W282" s="105" t="str">
        <f t="shared" si="150"/>
        <v/>
      </c>
      <c r="X282" s="104" t="str">
        <f t="shared" si="155"/>
        <v/>
      </c>
      <c r="Y282" s="104" t="str">
        <f t="array" ref="Y282">IFERROR(IF(ISNUMBER(O282),IF(COUNT(IF(A282=$A$2:$A$2427,IF(D282=$D$2:$D$2427,IF($X$2:$X$2427&gt;0,1))))&gt;0,SUM(IF(A282=$A$2:$A$2427,IF(D282=$D$2:$D$2427,$X$2:$X$2427)))/COUNT(IF(A282=$A$2:$A$2427,IF(D282=$D$2:$D$2427,IF(ISNUMBER($X$2:$X$2427),1)))),0),""),0)</f>
        <v/>
      </c>
      <c r="Z282" s="104" t="str">
        <f>IF(ISNUMBER(O282),IF(I282&gt;0,(10^(VLOOKUP(D282,'Species Codes'!B:C,2,0)+VLOOKUP(D282,'Species Codes'!B:D,3,0)*LOG(E282)+VLOOKUP(D282,'Species Codes'!B:E,4,0)*LOG(I282))),0),"")</f>
        <v/>
      </c>
      <c r="AA282" s="104" t="str">
        <f>IFERROR((VLOOKUP(D282,'Species Codes'!B:G,6,0)*Z282)/2000,"")</f>
        <v/>
      </c>
      <c r="AB282" s="104" t="e">
        <f>IF(Z282&gt;0,((IF(OR(D282="DF",D282="RA")=TRUE,EXP(VLOOKUP(D282,'Species Codes'!B:I,8,0)+VLOOKUP(D282,'Species Codes'!B:J,9,0)*(LN((E282*2.54)))),IF(OR(D282="PY",D282="RC",D282="WH",D282="NF")=TRUE,VLOOKUP(D282,'Species Codes'!B:I,8,0)+VLOOKUP(D282,'Species Codes'!B:J,9,0)*((E282*2.54)^2)*(I282*0.3048),IF(OR(D282="MD",D282="BM",D282="GA")=TRUE,((VLOOKUP(D282,'Species Codes'!B:I,8,0)*(((((E282*2.54)+VLOOKUP(D282,'Species Codes'!B:J,9,0))/VLOOKUP(D282,'Species Codes'!B:K,10,0))^VLOOKUP(D282,'Species Codes'!B:L,11,0))*((I282*0.3048)^VLOOKUP(D282,'Species Codes'!B:M,12,0))))-(VLOOKUP(D282,'Species Codes'!B:I,8,0)*((((E282*2.54)^VLOOKUP(D282,'Species Codes'!B:L,11,0))*((I282*0.3048)^VLOOKUP(D282,'Species Codes'!B:M,12,0))))))*35.3*VLOOKUP(D282,'Species Codes'!B:G,6,0)/2.2046,VLOOKUP(D282,'Species Codes'!B:I,8,0)+VLOOKUP(D282,'Species Codes'!B:J,9,0)*(((E282*2.54)/100)^2)*(I282*0.3048)))))*0.0011023),0)</f>
        <v>#N/A</v>
      </c>
      <c r="AC282" s="104" t="e">
        <f>IF(Z282&gt;0,((IF(OR(D282="RA",D282="OA",D282="OT",D282="UN",D282="PC"),EXP(VLOOKUP(D282,'Species Codes'!B:O,14,0)+VLOOKUP(D282,'Species Codes'!B:P,15,0)*LN((E282*2.54)))-EXP(VLOOKUP(D282,'Species Codes'!B:O,14,0)+VLOOKUP(D282,'Species Codes'!B:P,15,0)*LN((E282*2.54)))*(1/(VLOOKUP(D282,'Species Codes'!B:Q,16,0)+VLOOKUP(D282,'Species Codes'!B:R,17,0)*((E282*2.54)^VLOOKUP(D282,'Species Codes'!B:S,18,0)))),IF(OR(D282="BM",D282="MD",D282="OA"),EXP(VLOOKUP(D282,'Species Codes'!B:O,14,0)+VLOOKUP(D282,'Species Codes'!B:P,15,0)*LN((E282*2.54)))*(1-(1/(VLOOKUP(D282,'Species Codes'!B:Q,16,0)+VLOOKUP(D282,'Species Codes'!B:R,17,0)*((E282*2.54)^VLOOKUP(D282,'Species Codes'!B:S,18,0)))))/1000,IF(D282="DF",EXP(VLOOKUP(D282,'Species Codes'!B:O,14,0)+VLOOKUP(D282,'Species Codes'!B:P,15,0)*LN((E282*2.54))),VLOOKUP(D282,'Species Codes'!B:O,14,0)+VLOOKUP(D282,'Species Codes'!B:P,15,0)*(((E282*2.54)/100)^2)*(I282*0.3048)))))*0.0011023),0)</f>
        <v>#N/A</v>
      </c>
      <c r="AD282" s="104" t="e">
        <f t="shared" si="139"/>
        <v>#N/A</v>
      </c>
      <c r="AE282" s="104" t="e">
        <f t="shared" si="140"/>
        <v>#N/A</v>
      </c>
      <c r="AF282" s="104" t="e">
        <f>IF(AND(VLOOKUP($D282,Merchantability!$B:$C,2,0)="Yes",$E282&gt;=VLOOKUP($D282,Merchantability!$B:$D,3,0),$E282&lt;=VLOOKUP($D282,Merchantability!$B:$E,4,0)),AA282,0)</f>
        <v>#N/A</v>
      </c>
      <c r="AG282" s="104" t="e">
        <f>IF(AND(VLOOKUP($D282,Merchantability!$B:$C,2,0)="Yes",$E282&gt;=VLOOKUP($D282,Merchantability!$B:$D,3,0),$E282&lt;=VLOOKUP($D282,Merchantability!$B:$E,4,0)),AB282,0)</f>
        <v>#N/A</v>
      </c>
      <c r="AH282" s="104" t="e">
        <f>IF(AND(VLOOKUP($D282,Merchantability!$B:$C,2,0)="Yes",$E282&gt;=VLOOKUP($D282,Merchantability!$B:$D,3,0),$E282&lt;=VLOOKUP($D282,Merchantability!$B:$E,4,0)),AC282,0)</f>
        <v>#N/A</v>
      </c>
      <c r="AI282" s="104" t="e">
        <f t="shared" si="141"/>
        <v>#N/A</v>
      </c>
      <c r="AJ282" s="104" t="e">
        <f t="shared" si="142"/>
        <v>#VALUE!</v>
      </c>
      <c r="AK282" s="104" t="e">
        <f t="shared" si="143"/>
        <v>#N/A</v>
      </c>
      <c r="AL282" s="104" t="e">
        <f t="shared" si="144"/>
        <v>#N/A</v>
      </c>
      <c r="AM282" s="104" t="e">
        <f t="shared" si="145"/>
        <v>#N/A</v>
      </c>
      <c r="AN282" s="104" t="e">
        <f t="shared" si="156"/>
        <v>#N/A</v>
      </c>
      <c r="AO282" s="104" t="e">
        <f t="shared" si="157"/>
        <v>#N/A</v>
      </c>
      <c r="AP282" s="104" t="e">
        <f t="shared" si="158"/>
        <v>#N/A</v>
      </c>
      <c r="AQ282" s="104" t="e">
        <f t="shared" si="159"/>
        <v>#N/A</v>
      </c>
      <c r="AR282" s="105" t="str">
        <f t="shared" si="151"/>
        <v/>
      </c>
      <c r="AS282" s="105" t="str">
        <f t="shared" si="152"/>
        <v/>
      </c>
      <c r="AT282" s="108" t="str">
        <f t="shared" si="153"/>
        <v/>
      </c>
      <c r="AU282" s="108" t="str">
        <f t="shared" si="154"/>
        <v/>
      </c>
      <c r="AV282" s="107" t="str">
        <f>IF(ISNUMBER(O282),IF(VLOOKUP($A282,Stand!C:J,8,FALSE)="Short",AT282,AU282),"")</f>
        <v/>
      </c>
      <c r="AW282" s="109" t="str">
        <f t="shared" si="160"/>
        <v/>
      </c>
      <c r="AX282" s="109" t="str">
        <f t="shared" si="161"/>
        <v/>
      </c>
      <c r="AY282" s="112" t="str">
        <f>IF(ISNUMBER(O282),IF(AND(VLOOKUP($D282,Merchantability!$B:$C,2,0)="Yes",$E282&gt;=VLOOKUP($D282,Merchantability!$B:$D,3,0),$E282&lt;=VLOOKUP($D282,Merchantability!$B:$E,4,0)),(AV282*O282)*(1-$H282/100),""),"")</f>
        <v/>
      </c>
      <c r="AZ282" s="116"/>
      <c r="BA282" s="116"/>
      <c r="BB282" s="116"/>
      <c r="BE282" s="62"/>
      <c r="BF282" s="63"/>
    </row>
    <row r="283" spans="1:58" ht="12.75" customHeight="1" x14ac:dyDescent="0.25">
      <c r="A283" s="313"/>
      <c r="B283" s="380"/>
      <c r="C283" s="381"/>
      <c r="D283" s="380"/>
      <c r="E283" s="382"/>
      <c r="F283" s="331"/>
      <c r="G283" s="329"/>
      <c r="H283" s="329"/>
      <c r="I283" s="380"/>
      <c r="J283" s="381"/>
      <c r="K283" s="329"/>
      <c r="L283" s="329"/>
      <c r="M283" s="76"/>
      <c r="N283" s="103" t="str">
        <f>IF(A283="","",VLOOKUP(A283,Stand!C:K,9,0))</f>
        <v/>
      </c>
      <c r="O283" s="104" t="str">
        <f t="shared" si="146"/>
        <v/>
      </c>
      <c r="P283" s="105" t="str">
        <f t="shared" si="147"/>
        <v/>
      </c>
      <c r="Q283" s="105" t="str">
        <f t="shared" si="135"/>
        <v/>
      </c>
      <c r="R283" s="103" t="str">
        <f t="shared" si="148"/>
        <v/>
      </c>
      <c r="S283" s="103" t="str">
        <f t="shared" si="149"/>
        <v/>
      </c>
      <c r="T283" s="106" t="str">
        <f t="shared" si="136"/>
        <v/>
      </c>
      <c r="U283" s="106" t="str">
        <f t="shared" si="137"/>
        <v/>
      </c>
      <c r="V283" s="106" t="str">
        <f t="shared" si="138"/>
        <v/>
      </c>
      <c r="W283" s="105" t="str">
        <f t="shared" si="150"/>
        <v/>
      </c>
      <c r="X283" s="104" t="str">
        <f t="shared" si="155"/>
        <v/>
      </c>
      <c r="Y283" s="104" t="str">
        <f t="array" ref="Y283">IFERROR(IF(ISNUMBER(O283),IF(COUNT(IF(A283=$A$2:$A$2427,IF(D283=$D$2:$D$2427,IF($X$2:$X$2427&gt;0,1))))&gt;0,SUM(IF(A283=$A$2:$A$2427,IF(D283=$D$2:$D$2427,$X$2:$X$2427)))/COUNT(IF(A283=$A$2:$A$2427,IF(D283=$D$2:$D$2427,IF(ISNUMBER($X$2:$X$2427),1)))),0),""),0)</f>
        <v/>
      </c>
      <c r="Z283" s="104" t="str">
        <f>IF(ISNUMBER(O283),IF(I283&gt;0,(10^(VLOOKUP(D283,'Species Codes'!B:C,2,0)+VLOOKUP(D283,'Species Codes'!B:D,3,0)*LOG(E283)+VLOOKUP(D283,'Species Codes'!B:E,4,0)*LOG(I283))),0),"")</f>
        <v/>
      </c>
      <c r="AA283" s="104" t="str">
        <f>IFERROR((VLOOKUP(D283,'Species Codes'!B:G,6,0)*Z283)/2000,"")</f>
        <v/>
      </c>
      <c r="AB283" s="104" t="e">
        <f>IF(Z283&gt;0,((IF(OR(D283="DF",D283="RA")=TRUE,EXP(VLOOKUP(D283,'Species Codes'!B:I,8,0)+VLOOKUP(D283,'Species Codes'!B:J,9,0)*(LN((E283*2.54)))),IF(OR(D283="PY",D283="RC",D283="WH",D283="NF")=TRUE,VLOOKUP(D283,'Species Codes'!B:I,8,0)+VLOOKUP(D283,'Species Codes'!B:J,9,0)*((E283*2.54)^2)*(I283*0.3048),IF(OR(D283="MD",D283="BM",D283="GA")=TRUE,((VLOOKUP(D283,'Species Codes'!B:I,8,0)*(((((E283*2.54)+VLOOKUP(D283,'Species Codes'!B:J,9,0))/VLOOKUP(D283,'Species Codes'!B:K,10,0))^VLOOKUP(D283,'Species Codes'!B:L,11,0))*((I283*0.3048)^VLOOKUP(D283,'Species Codes'!B:M,12,0))))-(VLOOKUP(D283,'Species Codes'!B:I,8,0)*((((E283*2.54)^VLOOKUP(D283,'Species Codes'!B:L,11,0))*((I283*0.3048)^VLOOKUP(D283,'Species Codes'!B:M,12,0))))))*35.3*VLOOKUP(D283,'Species Codes'!B:G,6,0)/2.2046,VLOOKUP(D283,'Species Codes'!B:I,8,0)+VLOOKUP(D283,'Species Codes'!B:J,9,0)*(((E283*2.54)/100)^2)*(I283*0.3048)))))*0.0011023),0)</f>
        <v>#N/A</v>
      </c>
      <c r="AC283" s="104" t="e">
        <f>IF(Z283&gt;0,((IF(OR(D283="RA",D283="OA",D283="OT",D283="UN",D283="PC"),EXP(VLOOKUP(D283,'Species Codes'!B:O,14,0)+VLOOKUP(D283,'Species Codes'!B:P,15,0)*LN((E283*2.54)))-EXP(VLOOKUP(D283,'Species Codes'!B:O,14,0)+VLOOKUP(D283,'Species Codes'!B:P,15,0)*LN((E283*2.54)))*(1/(VLOOKUP(D283,'Species Codes'!B:Q,16,0)+VLOOKUP(D283,'Species Codes'!B:R,17,0)*((E283*2.54)^VLOOKUP(D283,'Species Codes'!B:S,18,0)))),IF(OR(D283="BM",D283="MD",D283="OA"),EXP(VLOOKUP(D283,'Species Codes'!B:O,14,0)+VLOOKUP(D283,'Species Codes'!B:P,15,0)*LN((E283*2.54)))*(1-(1/(VLOOKUP(D283,'Species Codes'!B:Q,16,0)+VLOOKUP(D283,'Species Codes'!B:R,17,0)*((E283*2.54)^VLOOKUP(D283,'Species Codes'!B:S,18,0)))))/1000,IF(D283="DF",EXP(VLOOKUP(D283,'Species Codes'!B:O,14,0)+VLOOKUP(D283,'Species Codes'!B:P,15,0)*LN((E283*2.54))),VLOOKUP(D283,'Species Codes'!B:O,14,0)+VLOOKUP(D283,'Species Codes'!B:P,15,0)*(((E283*2.54)/100)^2)*(I283*0.3048)))))*0.0011023),0)</f>
        <v>#N/A</v>
      </c>
      <c r="AD283" s="104" t="e">
        <f t="shared" si="139"/>
        <v>#N/A</v>
      </c>
      <c r="AE283" s="104" t="e">
        <f t="shared" si="140"/>
        <v>#N/A</v>
      </c>
      <c r="AF283" s="104" t="e">
        <f>IF(AND(VLOOKUP($D283,Merchantability!$B:$C,2,0)="Yes",$E283&gt;=VLOOKUP($D283,Merchantability!$B:$D,3,0),$E283&lt;=VLOOKUP($D283,Merchantability!$B:$E,4,0)),AA283,0)</f>
        <v>#N/A</v>
      </c>
      <c r="AG283" s="104" t="e">
        <f>IF(AND(VLOOKUP($D283,Merchantability!$B:$C,2,0)="Yes",$E283&gt;=VLOOKUP($D283,Merchantability!$B:$D,3,0),$E283&lt;=VLOOKUP($D283,Merchantability!$B:$E,4,0)),AB283,0)</f>
        <v>#N/A</v>
      </c>
      <c r="AH283" s="104" t="e">
        <f>IF(AND(VLOOKUP($D283,Merchantability!$B:$C,2,0)="Yes",$E283&gt;=VLOOKUP($D283,Merchantability!$B:$D,3,0),$E283&lt;=VLOOKUP($D283,Merchantability!$B:$E,4,0)),AC283,0)</f>
        <v>#N/A</v>
      </c>
      <c r="AI283" s="104" t="e">
        <f t="shared" si="141"/>
        <v>#N/A</v>
      </c>
      <c r="AJ283" s="104" t="e">
        <f t="shared" si="142"/>
        <v>#VALUE!</v>
      </c>
      <c r="AK283" s="104" t="e">
        <f t="shared" si="143"/>
        <v>#N/A</v>
      </c>
      <c r="AL283" s="104" t="e">
        <f t="shared" si="144"/>
        <v>#N/A</v>
      </c>
      <c r="AM283" s="104" t="e">
        <f t="shared" si="145"/>
        <v>#N/A</v>
      </c>
      <c r="AN283" s="104" t="e">
        <f t="shared" si="156"/>
        <v>#N/A</v>
      </c>
      <c r="AO283" s="104" t="e">
        <f t="shared" si="157"/>
        <v>#N/A</v>
      </c>
      <c r="AP283" s="104" t="e">
        <f t="shared" si="158"/>
        <v>#N/A</v>
      </c>
      <c r="AQ283" s="104" t="e">
        <f t="shared" si="159"/>
        <v>#N/A</v>
      </c>
      <c r="AR283" s="105" t="str">
        <f t="shared" si="151"/>
        <v/>
      </c>
      <c r="AS283" s="105" t="str">
        <f t="shared" si="152"/>
        <v/>
      </c>
      <c r="AT283" s="108" t="str">
        <f t="shared" si="153"/>
        <v/>
      </c>
      <c r="AU283" s="108" t="str">
        <f t="shared" si="154"/>
        <v/>
      </c>
      <c r="AV283" s="107" t="str">
        <f>IF(ISNUMBER(O283),IF(VLOOKUP($A283,Stand!C:J,8,FALSE)="Short",AT283,AU283),"")</f>
        <v/>
      </c>
      <c r="AW283" s="109" t="str">
        <f t="shared" si="160"/>
        <v/>
      </c>
      <c r="AX283" s="109" t="str">
        <f t="shared" si="161"/>
        <v/>
      </c>
      <c r="AY283" s="112" t="str">
        <f>IF(ISNUMBER(O283),IF(AND(VLOOKUP($D283,Merchantability!$B:$C,2,0)="Yes",$E283&gt;=VLOOKUP($D283,Merchantability!$B:$D,3,0),$E283&lt;=VLOOKUP($D283,Merchantability!$B:$E,4,0)),(AV283*O283)*(1-$H283/100),""),"")</f>
        <v/>
      </c>
      <c r="AZ283" s="116"/>
      <c r="BA283" s="116"/>
      <c r="BB283" s="116"/>
      <c r="BE283" s="62"/>
      <c r="BF283" s="63"/>
    </row>
    <row r="284" spans="1:58" ht="12.75" customHeight="1" x14ac:dyDescent="0.25">
      <c r="A284" s="313"/>
      <c r="B284" s="380"/>
      <c r="C284" s="381"/>
      <c r="D284" s="380"/>
      <c r="E284" s="382"/>
      <c r="F284" s="331"/>
      <c r="G284" s="329"/>
      <c r="H284" s="329"/>
      <c r="I284" s="380"/>
      <c r="J284" s="381"/>
      <c r="K284" s="329"/>
      <c r="L284" s="329"/>
      <c r="M284" s="76"/>
      <c r="N284" s="103" t="str">
        <f>IF(A284="","",VLOOKUP(A284,Stand!C:K,9,0))</f>
        <v/>
      </c>
      <c r="O284" s="104" t="str">
        <f t="shared" si="146"/>
        <v/>
      </c>
      <c r="P284" s="105" t="str">
        <f t="shared" si="147"/>
        <v/>
      </c>
      <c r="Q284" s="105" t="str">
        <f t="shared" si="135"/>
        <v/>
      </c>
      <c r="R284" s="103" t="str">
        <f t="shared" si="148"/>
        <v/>
      </c>
      <c r="S284" s="103" t="str">
        <f t="shared" si="149"/>
        <v/>
      </c>
      <c r="T284" s="106" t="str">
        <f t="shared" si="136"/>
        <v/>
      </c>
      <c r="U284" s="106" t="str">
        <f t="shared" si="137"/>
        <v/>
      </c>
      <c r="V284" s="106" t="str">
        <f t="shared" si="138"/>
        <v/>
      </c>
      <c r="W284" s="105" t="str">
        <f t="shared" si="150"/>
        <v/>
      </c>
      <c r="X284" s="104" t="str">
        <f t="shared" si="155"/>
        <v/>
      </c>
      <c r="Y284" s="104" t="str">
        <f t="array" ref="Y284">IFERROR(IF(ISNUMBER(O284),IF(COUNT(IF(A284=$A$2:$A$2427,IF(D284=$D$2:$D$2427,IF($X$2:$X$2427&gt;0,1))))&gt;0,SUM(IF(A284=$A$2:$A$2427,IF(D284=$D$2:$D$2427,$X$2:$X$2427)))/COUNT(IF(A284=$A$2:$A$2427,IF(D284=$D$2:$D$2427,IF(ISNUMBER($X$2:$X$2427),1)))),0),""),0)</f>
        <v/>
      </c>
      <c r="Z284" s="104" t="str">
        <f>IF(ISNUMBER(O284),IF(I284&gt;0,(10^(VLOOKUP(D284,'Species Codes'!B:C,2,0)+VLOOKUP(D284,'Species Codes'!B:D,3,0)*LOG(E284)+VLOOKUP(D284,'Species Codes'!B:E,4,0)*LOG(I284))),0),"")</f>
        <v/>
      </c>
      <c r="AA284" s="104" t="str">
        <f>IFERROR((VLOOKUP(D284,'Species Codes'!B:G,6,0)*Z284)/2000,"")</f>
        <v/>
      </c>
      <c r="AB284" s="104" t="e">
        <f>IF(Z284&gt;0,((IF(OR(D284="DF",D284="RA")=TRUE,EXP(VLOOKUP(D284,'Species Codes'!B:I,8,0)+VLOOKUP(D284,'Species Codes'!B:J,9,0)*(LN((E284*2.54)))),IF(OR(D284="PY",D284="RC",D284="WH",D284="NF")=TRUE,VLOOKUP(D284,'Species Codes'!B:I,8,0)+VLOOKUP(D284,'Species Codes'!B:J,9,0)*((E284*2.54)^2)*(I284*0.3048),IF(OR(D284="MD",D284="BM",D284="GA")=TRUE,((VLOOKUP(D284,'Species Codes'!B:I,8,0)*(((((E284*2.54)+VLOOKUP(D284,'Species Codes'!B:J,9,0))/VLOOKUP(D284,'Species Codes'!B:K,10,0))^VLOOKUP(D284,'Species Codes'!B:L,11,0))*((I284*0.3048)^VLOOKUP(D284,'Species Codes'!B:M,12,0))))-(VLOOKUP(D284,'Species Codes'!B:I,8,0)*((((E284*2.54)^VLOOKUP(D284,'Species Codes'!B:L,11,0))*((I284*0.3048)^VLOOKUP(D284,'Species Codes'!B:M,12,0))))))*35.3*VLOOKUP(D284,'Species Codes'!B:G,6,0)/2.2046,VLOOKUP(D284,'Species Codes'!B:I,8,0)+VLOOKUP(D284,'Species Codes'!B:J,9,0)*(((E284*2.54)/100)^2)*(I284*0.3048)))))*0.0011023),0)</f>
        <v>#N/A</v>
      </c>
      <c r="AC284" s="104" t="e">
        <f>IF(Z284&gt;0,((IF(OR(D284="RA",D284="OA",D284="OT",D284="UN",D284="PC"),EXP(VLOOKUP(D284,'Species Codes'!B:O,14,0)+VLOOKUP(D284,'Species Codes'!B:P,15,0)*LN((E284*2.54)))-EXP(VLOOKUP(D284,'Species Codes'!B:O,14,0)+VLOOKUP(D284,'Species Codes'!B:P,15,0)*LN((E284*2.54)))*(1/(VLOOKUP(D284,'Species Codes'!B:Q,16,0)+VLOOKUP(D284,'Species Codes'!B:R,17,0)*((E284*2.54)^VLOOKUP(D284,'Species Codes'!B:S,18,0)))),IF(OR(D284="BM",D284="MD",D284="OA"),EXP(VLOOKUP(D284,'Species Codes'!B:O,14,0)+VLOOKUP(D284,'Species Codes'!B:P,15,0)*LN((E284*2.54)))*(1-(1/(VLOOKUP(D284,'Species Codes'!B:Q,16,0)+VLOOKUP(D284,'Species Codes'!B:R,17,0)*((E284*2.54)^VLOOKUP(D284,'Species Codes'!B:S,18,0)))))/1000,IF(D284="DF",EXP(VLOOKUP(D284,'Species Codes'!B:O,14,0)+VLOOKUP(D284,'Species Codes'!B:P,15,0)*LN((E284*2.54))),VLOOKUP(D284,'Species Codes'!B:O,14,0)+VLOOKUP(D284,'Species Codes'!B:P,15,0)*(((E284*2.54)/100)^2)*(I284*0.3048)))))*0.0011023),0)</f>
        <v>#N/A</v>
      </c>
      <c r="AD284" s="104" t="e">
        <f t="shared" si="139"/>
        <v>#N/A</v>
      </c>
      <c r="AE284" s="104" t="e">
        <f t="shared" si="140"/>
        <v>#N/A</v>
      </c>
      <c r="AF284" s="104" t="e">
        <f>IF(AND(VLOOKUP($D284,Merchantability!$B:$C,2,0)="Yes",$E284&gt;=VLOOKUP($D284,Merchantability!$B:$D,3,0),$E284&lt;=VLOOKUP($D284,Merchantability!$B:$E,4,0)),AA284,0)</f>
        <v>#N/A</v>
      </c>
      <c r="AG284" s="104" t="e">
        <f>IF(AND(VLOOKUP($D284,Merchantability!$B:$C,2,0)="Yes",$E284&gt;=VLOOKUP($D284,Merchantability!$B:$D,3,0),$E284&lt;=VLOOKUP($D284,Merchantability!$B:$E,4,0)),AB284,0)</f>
        <v>#N/A</v>
      </c>
      <c r="AH284" s="104" t="e">
        <f>IF(AND(VLOOKUP($D284,Merchantability!$B:$C,2,0)="Yes",$E284&gt;=VLOOKUP($D284,Merchantability!$B:$D,3,0),$E284&lt;=VLOOKUP($D284,Merchantability!$B:$E,4,0)),AC284,0)</f>
        <v>#N/A</v>
      </c>
      <c r="AI284" s="104" t="e">
        <f t="shared" si="141"/>
        <v>#N/A</v>
      </c>
      <c r="AJ284" s="104" t="e">
        <f t="shared" si="142"/>
        <v>#VALUE!</v>
      </c>
      <c r="AK284" s="104" t="e">
        <f t="shared" si="143"/>
        <v>#N/A</v>
      </c>
      <c r="AL284" s="104" t="e">
        <f t="shared" si="144"/>
        <v>#N/A</v>
      </c>
      <c r="AM284" s="104" t="e">
        <f t="shared" si="145"/>
        <v>#N/A</v>
      </c>
      <c r="AN284" s="104" t="e">
        <f t="shared" si="156"/>
        <v>#N/A</v>
      </c>
      <c r="AO284" s="104" t="e">
        <f t="shared" si="157"/>
        <v>#N/A</v>
      </c>
      <c r="AP284" s="104" t="e">
        <f t="shared" si="158"/>
        <v>#N/A</v>
      </c>
      <c r="AQ284" s="104" t="e">
        <f t="shared" si="159"/>
        <v>#N/A</v>
      </c>
      <c r="AR284" s="105" t="str">
        <f t="shared" si="151"/>
        <v/>
      </c>
      <c r="AS284" s="105" t="str">
        <f t="shared" si="152"/>
        <v/>
      </c>
      <c r="AT284" s="108" t="str">
        <f t="shared" si="153"/>
        <v/>
      </c>
      <c r="AU284" s="108" t="str">
        <f t="shared" si="154"/>
        <v/>
      </c>
      <c r="AV284" s="107" t="str">
        <f>IF(ISNUMBER(O284),IF(VLOOKUP($A284,Stand!C:J,8,FALSE)="Short",AT284,AU284),"")</f>
        <v/>
      </c>
      <c r="AW284" s="109" t="str">
        <f t="shared" si="160"/>
        <v/>
      </c>
      <c r="AX284" s="109" t="str">
        <f t="shared" si="161"/>
        <v/>
      </c>
      <c r="AY284" s="112" t="str">
        <f>IF(ISNUMBER(O284),IF(AND(VLOOKUP($D284,Merchantability!$B:$C,2,0)="Yes",$E284&gt;=VLOOKUP($D284,Merchantability!$B:$D,3,0),$E284&lt;=VLOOKUP($D284,Merchantability!$B:$E,4,0)),(AV284*O284)*(1-$H284/100),""),"")</f>
        <v/>
      </c>
      <c r="AZ284" s="116"/>
      <c r="BA284" s="116"/>
      <c r="BB284" s="116"/>
      <c r="BE284" s="62"/>
      <c r="BF284" s="63"/>
    </row>
    <row r="285" spans="1:58" ht="12.75" customHeight="1" x14ac:dyDescent="0.25">
      <c r="A285" s="313"/>
      <c r="B285" s="380"/>
      <c r="C285" s="381"/>
      <c r="D285" s="380"/>
      <c r="E285" s="382"/>
      <c r="F285" s="331"/>
      <c r="G285" s="329"/>
      <c r="H285" s="329"/>
      <c r="I285" s="380"/>
      <c r="J285" s="381"/>
      <c r="K285" s="329"/>
      <c r="L285" s="329"/>
      <c r="M285" s="76"/>
      <c r="N285" s="103" t="str">
        <f>IF(A285="","",VLOOKUP(A285,Stand!C:K,9,0))</f>
        <v/>
      </c>
      <c r="O285" s="104" t="str">
        <f t="shared" si="146"/>
        <v/>
      </c>
      <c r="P285" s="105" t="str">
        <f t="shared" si="147"/>
        <v/>
      </c>
      <c r="Q285" s="105" t="str">
        <f t="shared" ref="Q285:Q348" si="162">IF(AND(ISNUMBER(O285),I285&gt;0),I285*O285,"")</f>
        <v/>
      </c>
      <c r="R285" s="103" t="str">
        <f t="shared" si="148"/>
        <v/>
      </c>
      <c r="S285" s="103" t="str">
        <f t="shared" si="149"/>
        <v/>
      </c>
      <c r="T285" s="106" t="str">
        <f t="shared" ref="T285:T348" si="163">IF(AND(ISNUMBER(O285),J285&gt;0),J285/100,"")</f>
        <v/>
      </c>
      <c r="U285" s="106" t="str">
        <f t="shared" ref="U285:U348" si="164">IF(AND(ISNUMBER(O285),J285&gt;0),T285*O285,"")</f>
        <v/>
      </c>
      <c r="V285" s="106" t="str">
        <f t="shared" ref="V285:V348" si="165">IF(AND(ISNUMBER(O285),I285&gt;0),W285*O285,"")</f>
        <v/>
      </c>
      <c r="W285" s="105" t="str">
        <f t="shared" si="150"/>
        <v/>
      </c>
      <c r="X285" s="104" t="str">
        <f t="shared" si="155"/>
        <v/>
      </c>
      <c r="Y285" s="104" t="str">
        <f t="array" ref="Y285">IFERROR(IF(ISNUMBER(O285),IF(COUNT(IF(A285=$A$2:$A$2427,IF(D285=$D$2:$D$2427,IF($X$2:$X$2427&gt;0,1))))&gt;0,SUM(IF(A285=$A$2:$A$2427,IF(D285=$D$2:$D$2427,$X$2:$X$2427)))/COUNT(IF(A285=$A$2:$A$2427,IF(D285=$D$2:$D$2427,IF(ISNUMBER($X$2:$X$2427),1)))),0),""),0)</f>
        <v/>
      </c>
      <c r="Z285" s="104" t="str">
        <f>IF(ISNUMBER(O285),IF(I285&gt;0,(10^(VLOOKUP(D285,'Species Codes'!B:C,2,0)+VLOOKUP(D285,'Species Codes'!B:D,3,0)*LOG(E285)+VLOOKUP(D285,'Species Codes'!B:E,4,0)*LOG(I285))),0),"")</f>
        <v/>
      </c>
      <c r="AA285" s="104" t="str">
        <f>IFERROR((VLOOKUP(D285,'Species Codes'!B:G,6,0)*Z285)/2000,"")</f>
        <v/>
      </c>
      <c r="AB285" s="104" t="e">
        <f>IF(Z285&gt;0,((IF(OR(D285="DF",D285="RA")=TRUE,EXP(VLOOKUP(D285,'Species Codes'!B:I,8,0)+VLOOKUP(D285,'Species Codes'!B:J,9,0)*(LN((E285*2.54)))),IF(OR(D285="PY",D285="RC",D285="WH",D285="NF")=TRUE,VLOOKUP(D285,'Species Codes'!B:I,8,0)+VLOOKUP(D285,'Species Codes'!B:J,9,0)*((E285*2.54)^2)*(I285*0.3048),IF(OR(D285="MD",D285="BM",D285="GA")=TRUE,((VLOOKUP(D285,'Species Codes'!B:I,8,0)*(((((E285*2.54)+VLOOKUP(D285,'Species Codes'!B:J,9,0))/VLOOKUP(D285,'Species Codes'!B:K,10,0))^VLOOKUP(D285,'Species Codes'!B:L,11,0))*((I285*0.3048)^VLOOKUP(D285,'Species Codes'!B:M,12,0))))-(VLOOKUP(D285,'Species Codes'!B:I,8,0)*((((E285*2.54)^VLOOKUP(D285,'Species Codes'!B:L,11,0))*((I285*0.3048)^VLOOKUP(D285,'Species Codes'!B:M,12,0))))))*35.3*VLOOKUP(D285,'Species Codes'!B:G,6,0)/2.2046,VLOOKUP(D285,'Species Codes'!B:I,8,0)+VLOOKUP(D285,'Species Codes'!B:J,9,0)*(((E285*2.54)/100)^2)*(I285*0.3048)))))*0.0011023),0)</f>
        <v>#N/A</v>
      </c>
      <c r="AC285" s="104" t="e">
        <f>IF(Z285&gt;0,((IF(OR(D285="RA",D285="OA",D285="OT",D285="UN",D285="PC"),EXP(VLOOKUP(D285,'Species Codes'!B:O,14,0)+VLOOKUP(D285,'Species Codes'!B:P,15,0)*LN((E285*2.54)))-EXP(VLOOKUP(D285,'Species Codes'!B:O,14,0)+VLOOKUP(D285,'Species Codes'!B:P,15,0)*LN((E285*2.54)))*(1/(VLOOKUP(D285,'Species Codes'!B:Q,16,0)+VLOOKUP(D285,'Species Codes'!B:R,17,0)*((E285*2.54)^VLOOKUP(D285,'Species Codes'!B:S,18,0)))),IF(OR(D285="BM",D285="MD",D285="OA"),EXP(VLOOKUP(D285,'Species Codes'!B:O,14,0)+VLOOKUP(D285,'Species Codes'!B:P,15,0)*LN((E285*2.54)))*(1-(1/(VLOOKUP(D285,'Species Codes'!B:Q,16,0)+VLOOKUP(D285,'Species Codes'!B:R,17,0)*((E285*2.54)^VLOOKUP(D285,'Species Codes'!B:S,18,0)))))/1000,IF(D285="DF",EXP(VLOOKUP(D285,'Species Codes'!B:O,14,0)+VLOOKUP(D285,'Species Codes'!B:P,15,0)*LN((E285*2.54))),VLOOKUP(D285,'Species Codes'!B:O,14,0)+VLOOKUP(D285,'Species Codes'!B:P,15,0)*(((E285*2.54)/100)^2)*(I285*0.3048)))))*0.0011023),0)</f>
        <v>#N/A</v>
      </c>
      <c r="AD285" s="104" t="e">
        <f t="shared" ref="AD285:AD348" si="166">SUM(AA285:AC285)</f>
        <v>#N/A</v>
      </c>
      <c r="AE285" s="104" t="e">
        <f t="shared" ref="AE285:AE348" si="167">AD285*O285</f>
        <v>#N/A</v>
      </c>
      <c r="AF285" s="104" t="e">
        <f>IF(AND(VLOOKUP($D285,Merchantability!$B:$C,2,0)="Yes",$E285&gt;=VLOOKUP($D285,Merchantability!$B:$D,3,0),$E285&lt;=VLOOKUP($D285,Merchantability!$B:$E,4,0)),AA285,0)</f>
        <v>#N/A</v>
      </c>
      <c r="AG285" s="104" t="e">
        <f>IF(AND(VLOOKUP($D285,Merchantability!$B:$C,2,0)="Yes",$E285&gt;=VLOOKUP($D285,Merchantability!$B:$D,3,0),$E285&lt;=VLOOKUP($D285,Merchantability!$B:$E,4,0)),AB285,0)</f>
        <v>#N/A</v>
      </c>
      <c r="AH285" s="104" t="e">
        <f>IF(AND(VLOOKUP($D285,Merchantability!$B:$C,2,0)="Yes",$E285&gt;=VLOOKUP($D285,Merchantability!$B:$D,3,0),$E285&lt;=VLOOKUP($D285,Merchantability!$B:$E,4,0)),AC285,0)</f>
        <v>#N/A</v>
      </c>
      <c r="AI285" s="104" t="e">
        <f t="shared" ref="AI285:AI348" si="168">SUM(AF285:AH285)</f>
        <v>#N/A</v>
      </c>
      <c r="AJ285" s="104" t="e">
        <f t="shared" ref="AJ285:AJ348" si="169">AA285*$O285</f>
        <v>#VALUE!</v>
      </c>
      <c r="AK285" s="104" t="e">
        <f t="shared" ref="AK285:AK348" si="170">AB285*$O285</f>
        <v>#N/A</v>
      </c>
      <c r="AL285" s="104" t="e">
        <f t="shared" ref="AL285:AL348" si="171">AC285*$O285</f>
        <v>#N/A</v>
      </c>
      <c r="AM285" s="104" t="e">
        <f t="shared" ref="AM285:AM348" si="172">AD285*$O285</f>
        <v>#N/A</v>
      </c>
      <c r="AN285" s="104" t="e">
        <f t="shared" si="156"/>
        <v>#N/A</v>
      </c>
      <c r="AO285" s="104" t="e">
        <f t="shared" si="157"/>
        <v>#N/A</v>
      </c>
      <c r="AP285" s="104" t="e">
        <f t="shared" si="158"/>
        <v>#N/A</v>
      </c>
      <c r="AQ285" s="104" t="e">
        <f t="shared" si="159"/>
        <v>#N/A</v>
      </c>
      <c r="AR285" s="105" t="str">
        <f t="shared" si="151"/>
        <v/>
      </c>
      <c r="AS285" s="105" t="str">
        <f t="shared" si="152"/>
        <v/>
      </c>
      <c r="AT285" s="108" t="str">
        <f t="shared" si="153"/>
        <v/>
      </c>
      <c r="AU285" s="108" t="str">
        <f t="shared" si="154"/>
        <v/>
      </c>
      <c r="AV285" s="107" t="str">
        <f>IF(ISNUMBER(O285),IF(VLOOKUP($A285,Stand!C:J,8,FALSE)="Short",AT285,AU285),"")</f>
        <v/>
      </c>
      <c r="AW285" s="109" t="str">
        <f t="shared" si="160"/>
        <v/>
      </c>
      <c r="AX285" s="109" t="str">
        <f t="shared" si="161"/>
        <v/>
      </c>
      <c r="AY285" s="112" t="str">
        <f>IF(ISNUMBER(O285),IF(AND(VLOOKUP($D285,Merchantability!$B:$C,2,0)="Yes",$E285&gt;=VLOOKUP($D285,Merchantability!$B:$D,3,0),$E285&lt;=VLOOKUP($D285,Merchantability!$B:$E,4,0)),(AV285*O285)*(1-$H285/100),""),"")</f>
        <v/>
      </c>
      <c r="AZ285" s="116"/>
      <c r="BA285" s="116"/>
      <c r="BB285" s="116"/>
      <c r="BE285" s="62"/>
      <c r="BF285" s="63"/>
    </row>
    <row r="286" spans="1:58" ht="12.75" customHeight="1" x14ac:dyDescent="0.25">
      <c r="A286" s="313"/>
      <c r="B286" s="380"/>
      <c r="C286" s="381"/>
      <c r="D286" s="380"/>
      <c r="E286" s="382"/>
      <c r="F286" s="331"/>
      <c r="G286" s="329"/>
      <c r="H286" s="329"/>
      <c r="I286" s="380"/>
      <c r="J286" s="381"/>
      <c r="K286" s="329"/>
      <c r="L286" s="329"/>
      <c r="M286" s="76"/>
      <c r="N286" s="103" t="str">
        <f>IF(A286="","",VLOOKUP(A286,Stand!C:K,9,0))</f>
        <v/>
      </c>
      <c r="O286" s="104" t="str">
        <f t="shared" si="146"/>
        <v/>
      </c>
      <c r="P286" s="105" t="str">
        <f t="shared" si="147"/>
        <v/>
      </c>
      <c r="Q286" s="105" t="str">
        <f t="shared" si="162"/>
        <v/>
      </c>
      <c r="R286" s="103" t="str">
        <f t="shared" si="148"/>
        <v/>
      </c>
      <c r="S286" s="103" t="str">
        <f t="shared" si="149"/>
        <v/>
      </c>
      <c r="T286" s="106" t="str">
        <f t="shared" si="163"/>
        <v/>
      </c>
      <c r="U286" s="106" t="str">
        <f t="shared" si="164"/>
        <v/>
      </c>
      <c r="V286" s="106" t="str">
        <f t="shared" si="165"/>
        <v/>
      </c>
      <c r="W286" s="105" t="str">
        <f t="shared" si="150"/>
        <v/>
      </c>
      <c r="X286" s="104" t="str">
        <f t="shared" si="155"/>
        <v/>
      </c>
      <c r="Y286" s="104" t="str">
        <f t="array" ref="Y286">IFERROR(IF(ISNUMBER(O286),IF(COUNT(IF(A286=$A$2:$A$2427,IF(D286=$D$2:$D$2427,IF($X$2:$X$2427&gt;0,1))))&gt;0,SUM(IF(A286=$A$2:$A$2427,IF(D286=$D$2:$D$2427,$X$2:$X$2427)))/COUNT(IF(A286=$A$2:$A$2427,IF(D286=$D$2:$D$2427,IF(ISNUMBER($X$2:$X$2427),1)))),0),""),0)</f>
        <v/>
      </c>
      <c r="Z286" s="104" t="str">
        <f>IF(ISNUMBER(O286),IF(I286&gt;0,(10^(VLOOKUP(D286,'Species Codes'!B:C,2,0)+VLOOKUP(D286,'Species Codes'!B:D,3,0)*LOG(E286)+VLOOKUP(D286,'Species Codes'!B:E,4,0)*LOG(I286))),0),"")</f>
        <v/>
      </c>
      <c r="AA286" s="104" t="str">
        <f>IFERROR((VLOOKUP(D286,'Species Codes'!B:G,6,0)*Z286)/2000,"")</f>
        <v/>
      </c>
      <c r="AB286" s="104" t="e">
        <f>IF(Z286&gt;0,((IF(OR(D286="DF",D286="RA")=TRUE,EXP(VLOOKUP(D286,'Species Codes'!B:I,8,0)+VLOOKUP(D286,'Species Codes'!B:J,9,0)*(LN((E286*2.54)))),IF(OR(D286="PY",D286="RC",D286="WH",D286="NF")=TRUE,VLOOKUP(D286,'Species Codes'!B:I,8,0)+VLOOKUP(D286,'Species Codes'!B:J,9,0)*((E286*2.54)^2)*(I286*0.3048),IF(OR(D286="MD",D286="BM",D286="GA")=TRUE,((VLOOKUP(D286,'Species Codes'!B:I,8,0)*(((((E286*2.54)+VLOOKUP(D286,'Species Codes'!B:J,9,0))/VLOOKUP(D286,'Species Codes'!B:K,10,0))^VLOOKUP(D286,'Species Codes'!B:L,11,0))*((I286*0.3048)^VLOOKUP(D286,'Species Codes'!B:M,12,0))))-(VLOOKUP(D286,'Species Codes'!B:I,8,0)*((((E286*2.54)^VLOOKUP(D286,'Species Codes'!B:L,11,0))*((I286*0.3048)^VLOOKUP(D286,'Species Codes'!B:M,12,0))))))*35.3*VLOOKUP(D286,'Species Codes'!B:G,6,0)/2.2046,VLOOKUP(D286,'Species Codes'!B:I,8,0)+VLOOKUP(D286,'Species Codes'!B:J,9,0)*(((E286*2.54)/100)^2)*(I286*0.3048)))))*0.0011023),0)</f>
        <v>#N/A</v>
      </c>
      <c r="AC286" s="104" t="e">
        <f>IF(Z286&gt;0,((IF(OR(D286="RA",D286="OA",D286="OT",D286="UN",D286="PC"),EXP(VLOOKUP(D286,'Species Codes'!B:O,14,0)+VLOOKUP(D286,'Species Codes'!B:P,15,0)*LN((E286*2.54)))-EXP(VLOOKUP(D286,'Species Codes'!B:O,14,0)+VLOOKUP(D286,'Species Codes'!B:P,15,0)*LN((E286*2.54)))*(1/(VLOOKUP(D286,'Species Codes'!B:Q,16,0)+VLOOKUP(D286,'Species Codes'!B:R,17,0)*((E286*2.54)^VLOOKUP(D286,'Species Codes'!B:S,18,0)))),IF(OR(D286="BM",D286="MD",D286="OA"),EXP(VLOOKUP(D286,'Species Codes'!B:O,14,0)+VLOOKUP(D286,'Species Codes'!B:P,15,0)*LN((E286*2.54)))*(1-(1/(VLOOKUP(D286,'Species Codes'!B:Q,16,0)+VLOOKUP(D286,'Species Codes'!B:R,17,0)*((E286*2.54)^VLOOKUP(D286,'Species Codes'!B:S,18,0)))))/1000,IF(D286="DF",EXP(VLOOKUP(D286,'Species Codes'!B:O,14,0)+VLOOKUP(D286,'Species Codes'!B:P,15,0)*LN((E286*2.54))),VLOOKUP(D286,'Species Codes'!B:O,14,0)+VLOOKUP(D286,'Species Codes'!B:P,15,0)*(((E286*2.54)/100)^2)*(I286*0.3048)))))*0.0011023),0)</f>
        <v>#N/A</v>
      </c>
      <c r="AD286" s="104" t="e">
        <f t="shared" si="166"/>
        <v>#N/A</v>
      </c>
      <c r="AE286" s="104" t="e">
        <f t="shared" si="167"/>
        <v>#N/A</v>
      </c>
      <c r="AF286" s="104" t="e">
        <f>IF(AND(VLOOKUP($D286,Merchantability!$B:$C,2,0)="Yes",$E286&gt;=VLOOKUP($D286,Merchantability!$B:$D,3,0),$E286&lt;=VLOOKUP($D286,Merchantability!$B:$E,4,0)),AA286,0)</f>
        <v>#N/A</v>
      </c>
      <c r="AG286" s="104" t="e">
        <f>IF(AND(VLOOKUP($D286,Merchantability!$B:$C,2,0)="Yes",$E286&gt;=VLOOKUP($D286,Merchantability!$B:$D,3,0),$E286&lt;=VLOOKUP($D286,Merchantability!$B:$E,4,0)),AB286,0)</f>
        <v>#N/A</v>
      </c>
      <c r="AH286" s="104" t="e">
        <f>IF(AND(VLOOKUP($D286,Merchantability!$B:$C,2,0)="Yes",$E286&gt;=VLOOKUP($D286,Merchantability!$B:$D,3,0),$E286&lt;=VLOOKUP($D286,Merchantability!$B:$E,4,0)),AC286,0)</f>
        <v>#N/A</v>
      </c>
      <c r="AI286" s="104" t="e">
        <f t="shared" si="168"/>
        <v>#N/A</v>
      </c>
      <c r="AJ286" s="104" t="e">
        <f t="shared" si="169"/>
        <v>#VALUE!</v>
      </c>
      <c r="AK286" s="104" t="e">
        <f t="shared" si="170"/>
        <v>#N/A</v>
      </c>
      <c r="AL286" s="104" t="e">
        <f t="shared" si="171"/>
        <v>#N/A</v>
      </c>
      <c r="AM286" s="104" t="e">
        <f t="shared" si="172"/>
        <v>#N/A</v>
      </c>
      <c r="AN286" s="104" t="e">
        <f t="shared" si="156"/>
        <v>#N/A</v>
      </c>
      <c r="AO286" s="104" t="e">
        <f t="shared" si="157"/>
        <v>#N/A</v>
      </c>
      <c r="AP286" s="104" t="e">
        <f t="shared" si="158"/>
        <v>#N/A</v>
      </c>
      <c r="AQ286" s="104" t="e">
        <f t="shared" si="159"/>
        <v>#N/A</v>
      </c>
      <c r="AR286" s="105" t="str">
        <f t="shared" si="151"/>
        <v/>
      </c>
      <c r="AS286" s="105" t="str">
        <f t="shared" si="152"/>
        <v/>
      </c>
      <c r="AT286" s="108" t="str">
        <f t="shared" si="153"/>
        <v/>
      </c>
      <c r="AU286" s="108" t="str">
        <f t="shared" si="154"/>
        <v/>
      </c>
      <c r="AV286" s="107" t="str">
        <f>IF(ISNUMBER(O286),IF(VLOOKUP($A286,Stand!C:J,8,FALSE)="Short",AT286,AU286),"")</f>
        <v/>
      </c>
      <c r="AW286" s="109" t="str">
        <f t="shared" si="160"/>
        <v/>
      </c>
      <c r="AX286" s="109" t="str">
        <f t="shared" si="161"/>
        <v/>
      </c>
      <c r="AY286" s="112" t="str">
        <f>IF(ISNUMBER(O286),IF(AND(VLOOKUP($D286,Merchantability!$B:$C,2,0)="Yes",$E286&gt;=VLOOKUP($D286,Merchantability!$B:$D,3,0),$E286&lt;=VLOOKUP($D286,Merchantability!$B:$E,4,0)),(AV286*O286)*(1-$H286/100),""),"")</f>
        <v/>
      </c>
      <c r="AZ286" s="116"/>
      <c r="BA286" s="116"/>
      <c r="BB286" s="116"/>
      <c r="BE286" s="62"/>
      <c r="BF286" s="63"/>
    </row>
    <row r="287" spans="1:58" ht="12.75" customHeight="1" x14ac:dyDescent="0.25">
      <c r="A287" s="313"/>
      <c r="B287" s="380"/>
      <c r="C287" s="381"/>
      <c r="D287" s="380"/>
      <c r="E287" s="382"/>
      <c r="F287" s="331"/>
      <c r="G287" s="329"/>
      <c r="H287" s="329"/>
      <c r="I287" s="380"/>
      <c r="J287" s="381"/>
      <c r="K287" s="329"/>
      <c r="L287" s="329"/>
      <c r="M287" s="76"/>
      <c r="N287" s="103" t="str">
        <f>IF(A287="","",VLOOKUP(A287,Stand!C:K,9,0))</f>
        <v/>
      </c>
      <c r="O287" s="104" t="str">
        <f t="shared" si="146"/>
        <v/>
      </c>
      <c r="P287" s="105" t="str">
        <f t="shared" si="147"/>
        <v/>
      </c>
      <c r="Q287" s="105" t="str">
        <f t="shared" si="162"/>
        <v/>
      </c>
      <c r="R287" s="103" t="str">
        <f t="shared" si="148"/>
        <v/>
      </c>
      <c r="S287" s="103" t="str">
        <f t="shared" si="149"/>
        <v/>
      </c>
      <c r="T287" s="106" t="str">
        <f t="shared" si="163"/>
        <v/>
      </c>
      <c r="U287" s="106" t="str">
        <f t="shared" si="164"/>
        <v/>
      </c>
      <c r="V287" s="106" t="str">
        <f t="shared" si="165"/>
        <v/>
      </c>
      <c r="W287" s="105" t="str">
        <f t="shared" si="150"/>
        <v/>
      </c>
      <c r="X287" s="104" t="str">
        <f t="shared" si="155"/>
        <v/>
      </c>
      <c r="Y287" s="104" t="str">
        <f t="array" ref="Y287">IFERROR(IF(ISNUMBER(O287),IF(COUNT(IF(A287=$A$2:$A$2427,IF(D287=$D$2:$D$2427,IF($X$2:$X$2427&gt;0,1))))&gt;0,SUM(IF(A287=$A$2:$A$2427,IF(D287=$D$2:$D$2427,$X$2:$X$2427)))/COUNT(IF(A287=$A$2:$A$2427,IF(D287=$D$2:$D$2427,IF(ISNUMBER($X$2:$X$2427),1)))),0),""),0)</f>
        <v/>
      </c>
      <c r="Z287" s="104" t="str">
        <f>IF(ISNUMBER(O287),IF(I287&gt;0,(10^(VLOOKUP(D287,'Species Codes'!B:C,2,0)+VLOOKUP(D287,'Species Codes'!B:D,3,0)*LOG(E287)+VLOOKUP(D287,'Species Codes'!B:E,4,0)*LOG(I287))),0),"")</f>
        <v/>
      </c>
      <c r="AA287" s="104" t="str">
        <f>IFERROR((VLOOKUP(D287,'Species Codes'!B:G,6,0)*Z287)/2000,"")</f>
        <v/>
      </c>
      <c r="AB287" s="104" t="e">
        <f>IF(Z287&gt;0,((IF(OR(D287="DF",D287="RA")=TRUE,EXP(VLOOKUP(D287,'Species Codes'!B:I,8,0)+VLOOKUP(D287,'Species Codes'!B:J,9,0)*(LN((E287*2.54)))),IF(OR(D287="PY",D287="RC",D287="WH",D287="NF")=TRUE,VLOOKUP(D287,'Species Codes'!B:I,8,0)+VLOOKUP(D287,'Species Codes'!B:J,9,0)*((E287*2.54)^2)*(I287*0.3048),IF(OR(D287="MD",D287="BM",D287="GA")=TRUE,((VLOOKUP(D287,'Species Codes'!B:I,8,0)*(((((E287*2.54)+VLOOKUP(D287,'Species Codes'!B:J,9,0))/VLOOKUP(D287,'Species Codes'!B:K,10,0))^VLOOKUP(D287,'Species Codes'!B:L,11,0))*((I287*0.3048)^VLOOKUP(D287,'Species Codes'!B:M,12,0))))-(VLOOKUP(D287,'Species Codes'!B:I,8,0)*((((E287*2.54)^VLOOKUP(D287,'Species Codes'!B:L,11,0))*((I287*0.3048)^VLOOKUP(D287,'Species Codes'!B:M,12,0))))))*35.3*VLOOKUP(D287,'Species Codes'!B:G,6,0)/2.2046,VLOOKUP(D287,'Species Codes'!B:I,8,0)+VLOOKUP(D287,'Species Codes'!B:J,9,0)*(((E287*2.54)/100)^2)*(I287*0.3048)))))*0.0011023),0)</f>
        <v>#N/A</v>
      </c>
      <c r="AC287" s="104" t="e">
        <f>IF(Z287&gt;0,((IF(OR(D287="RA",D287="OA",D287="OT",D287="UN",D287="PC"),EXP(VLOOKUP(D287,'Species Codes'!B:O,14,0)+VLOOKUP(D287,'Species Codes'!B:P,15,0)*LN((E287*2.54)))-EXP(VLOOKUP(D287,'Species Codes'!B:O,14,0)+VLOOKUP(D287,'Species Codes'!B:P,15,0)*LN((E287*2.54)))*(1/(VLOOKUP(D287,'Species Codes'!B:Q,16,0)+VLOOKUP(D287,'Species Codes'!B:R,17,0)*((E287*2.54)^VLOOKUP(D287,'Species Codes'!B:S,18,0)))),IF(OR(D287="BM",D287="MD",D287="OA"),EXP(VLOOKUP(D287,'Species Codes'!B:O,14,0)+VLOOKUP(D287,'Species Codes'!B:P,15,0)*LN((E287*2.54)))*(1-(1/(VLOOKUP(D287,'Species Codes'!B:Q,16,0)+VLOOKUP(D287,'Species Codes'!B:R,17,0)*((E287*2.54)^VLOOKUP(D287,'Species Codes'!B:S,18,0)))))/1000,IF(D287="DF",EXP(VLOOKUP(D287,'Species Codes'!B:O,14,0)+VLOOKUP(D287,'Species Codes'!B:P,15,0)*LN((E287*2.54))),VLOOKUP(D287,'Species Codes'!B:O,14,0)+VLOOKUP(D287,'Species Codes'!B:P,15,0)*(((E287*2.54)/100)^2)*(I287*0.3048)))))*0.0011023),0)</f>
        <v>#N/A</v>
      </c>
      <c r="AD287" s="104" t="e">
        <f t="shared" si="166"/>
        <v>#N/A</v>
      </c>
      <c r="AE287" s="104" t="e">
        <f t="shared" si="167"/>
        <v>#N/A</v>
      </c>
      <c r="AF287" s="104" t="e">
        <f>IF(AND(VLOOKUP($D287,Merchantability!$B:$C,2,0)="Yes",$E287&gt;=VLOOKUP($D287,Merchantability!$B:$D,3,0),$E287&lt;=VLOOKUP($D287,Merchantability!$B:$E,4,0)),AA287,0)</f>
        <v>#N/A</v>
      </c>
      <c r="AG287" s="104" t="e">
        <f>IF(AND(VLOOKUP($D287,Merchantability!$B:$C,2,0)="Yes",$E287&gt;=VLOOKUP($D287,Merchantability!$B:$D,3,0),$E287&lt;=VLOOKUP($D287,Merchantability!$B:$E,4,0)),AB287,0)</f>
        <v>#N/A</v>
      </c>
      <c r="AH287" s="104" t="e">
        <f>IF(AND(VLOOKUP($D287,Merchantability!$B:$C,2,0)="Yes",$E287&gt;=VLOOKUP($D287,Merchantability!$B:$D,3,0),$E287&lt;=VLOOKUP($D287,Merchantability!$B:$E,4,0)),AC287,0)</f>
        <v>#N/A</v>
      </c>
      <c r="AI287" s="104" t="e">
        <f t="shared" si="168"/>
        <v>#N/A</v>
      </c>
      <c r="AJ287" s="104" t="e">
        <f t="shared" si="169"/>
        <v>#VALUE!</v>
      </c>
      <c r="AK287" s="104" t="e">
        <f t="shared" si="170"/>
        <v>#N/A</v>
      </c>
      <c r="AL287" s="104" t="e">
        <f t="shared" si="171"/>
        <v>#N/A</v>
      </c>
      <c r="AM287" s="104" t="e">
        <f t="shared" si="172"/>
        <v>#N/A</v>
      </c>
      <c r="AN287" s="104" t="e">
        <f t="shared" si="156"/>
        <v>#N/A</v>
      </c>
      <c r="AO287" s="104" t="e">
        <f t="shared" si="157"/>
        <v>#N/A</v>
      </c>
      <c r="AP287" s="104" t="e">
        <f t="shared" si="158"/>
        <v>#N/A</v>
      </c>
      <c r="AQ287" s="104" t="e">
        <f t="shared" si="159"/>
        <v>#N/A</v>
      </c>
      <c r="AR287" s="105" t="str">
        <f t="shared" si="151"/>
        <v/>
      </c>
      <c r="AS287" s="105" t="str">
        <f t="shared" si="152"/>
        <v/>
      </c>
      <c r="AT287" s="108" t="str">
        <f t="shared" si="153"/>
        <v/>
      </c>
      <c r="AU287" s="108" t="str">
        <f t="shared" si="154"/>
        <v/>
      </c>
      <c r="AV287" s="107" t="str">
        <f>IF(ISNUMBER(O287),IF(VLOOKUP($A287,Stand!C:J,8,FALSE)="Short",AT287,AU287),"")</f>
        <v/>
      </c>
      <c r="AW287" s="109" t="str">
        <f t="shared" si="160"/>
        <v/>
      </c>
      <c r="AX287" s="109" t="str">
        <f t="shared" si="161"/>
        <v/>
      </c>
      <c r="AY287" s="112" t="str">
        <f>IF(ISNUMBER(O287),IF(AND(VLOOKUP($D287,Merchantability!$B:$C,2,0)="Yes",$E287&gt;=VLOOKUP($D287,Merchantability!$B:$D,3,0),$E287&lt;=VLOOKUP($D287,Merchantability!$B:$E,4,0)),(AV287*O287)*(1-$H287/100),""),"")</f>
        <v/>
      </c>
      <c r="AZ287" s="116"/>
      <c r="BA287" s="116"/>
      <c r="BB287" s="116"/>
      <c r="BE287" s="62"/>
      <c r="BF287" s="63"/>
    </row>
    <row r="288" spans="1:58" ht="12.75" customHeight="1" x14ac:dyDescent="0.25">
      <c r="A288" s="313"/>
      <c r="B288" s="380"/>
      <c r="C288" s="381"/>
      <c r="D288" s="380"/>
      <c r="E288" s="382"/>
      <c r="F288" s="331"/>
      <c r="G288" s="329"/>
      <c r="H288" s="329"/>
      <c r="I288" s="380"/>
      <c r="J288" s="381"/>
      <c r="K288" s="329"/>
      <c r="L288" s="329"/>
      <c r="M288" s="76"/>
      <c r="N288" s="103" t="str">
        <f>IF(A288="","",VLOOKUP(A288,Stand!C:K,9,0))</f>
        <v/>
      </c>
      <c r="O288" s="104" t="str">
        <f t="shared" si="146"/>
        <v/>
      </c>
      <c r="P288" s="105" t="str">
        <f t="shared" si="147"/>
        <v/>
      </c>
      <c r="Q288" s="105" t="str">
        <f t="shared" si="162"/>
        <v/>
      </c>
      <c r="R288" s="103" t="str">
        <f t="shared" si="148"/>
        <v/>
      </c>
      <c r="S288" s="103" t="str">
        <f t="shared" si="149"/>
        <v/>
      </c>
      <c r="T288" s="106" t="str">
        <f t="shared" si="163"/>
        <v/>
      </c>
      <c r="U288" s="106" t="str">
        <f t="shared" si="164"/>
        <v/>
      </c>
      <c r="V288" s="106" t="str">
        <f t="shared" si="165"/>
        <v/>
      </c>
      <c r="W288" s="105" t="str">
        <f t="shared" si="150"/>
        <v/>
      </c>
      <c r="X288" s="104" t="str">
        <f t="shared" si="155"/>
        <v/>
      </c>
      <c r="Y288" s="104" t="str">
        <f t="array" ref="Y288">IFERROR(IF(ISNUMBER(O288),IF(COUNT(IF(A288=$A$2:$A$2427,IF(D288=$D$2:$D$2427,IF($X$2:$X$2427&gt;0,1))))&gt;0,SUM(IF(A288=$A$2:$A$2427,IF(D288=$D$2:$D$2427,$X$2:$X$2427)))/COUNT(IF(A288=$A$2:$A$2427,IF(D288=$D$2:$D$2427,IF(ISNUMBER($X$2:$X$2427),1)))),0),""),0)</f>
        <v/>
      </c>
      <c r="Z288" s="104" t="str">
        <f>IF(ISNUMBER(O288),IF(I288&gt;0,(10^(VLOOKUP(D288,'Species Codes'!B:C,2,0)+VLOOKUP(D288,'Species Codes'!B:D,3,0)*LOG(E288)+VLOOKUP(D288,'Species Codes'!B:E,4,0)*LOG(I288))),0),"")</f>
        <v/>
      </c>
      <c r="AA288" s="104" t="str">
        <f>IFERROR((VLOOKUP(D288,'Species Codes'!B:G,6,0)*Z288)/2000,"")</f>
        <v/>
      </c>
      <c r="AB288" s="104" t="e">
        <f>IF(Z288&gt;0,((IF(OR(D288="DF",D288="RA")=TRUE,EXP(VLOOKUP(D288,'Species Codes'!B:I,8,0)+VLOOKUP(D288,'Species Codes'!B:J,9,0)*(LN((E288*2.54)))),IF(OR(D288="PY",D288="RC",D288="WH",D288="NF")=TRUE,VLOOKUP(D288,'Species Codes'!B:I,8,0)+VLOOKUP(D288,'Species Codes'!B:J,9,0)*((E288*2.54)^2)*(I288*0.3048),IF(OR(D288="MD",D288="BM",D288="GA")=TRUE,((VLOOKUP(D288,'Species Codes'!B:I,8,0)*(((((E288*2.54)+VLOOKUP(D288,'Species Codes'!B:J,9,0))/VLOOKUP(D288,'Species Codes'!B:K,10,0))^VLOOKUP(D288,'Species Codes'!B:L,11,0))*((I288*0.3048)^VLOOKUP(D288,'Species Codes'!B:M,12,0))))-(VLOOKUP(D288,'Species Codes'!B:I,8,0)*((((E288*2.54)^VLOOKUP(D288,'Species Codes'!B:L,11,0))*((I288*0.3048)^VLOOKUP(D288,'Species Codes'!B:M,12,0))))))*35.3*VLOOKUP(D288,'Species Codes'!B:G,6,0)/2.2046,VLOOKUP(D288,'Species Codes'!B:I,8,0)+VLOOKUP(D288,'Species Codes'!B:J,9,0)*(((E288*2.54)/100)^2)*(I288*0.3048)))))*0.0011023),0)</f>
        <v>#N/A</v>
      </c>
      <c r="AC288" s="104" t="e">
        <f>IF(Z288&gt;0,((IF(OR(D288="RA",D288="OA",D288="OT",D288="UN",D288="PC"),EXP(VLOOKUP(D288,'Species Codes'!B:O,14,0)+VLOOKUP(D288,'Species Codes'!B:P,15,0)*LN((E288*2.54)))-EXP(VLOOKUP(D288,'Species Codes'!B:O,14,0)+VLOOKUP(D288,'Species Codes'!B:P,15,0)*LN((E288*2.54)))*(1/(VLOOKUP(D288,'Species Codes'!B:Q,16,0)+VLOOKUP(D288,'Species Codes'!B:R,17,0)*((E288*2.54)^VLOOKUP(D288,'Species Codes'!B:S,18,0)))),IF(OR(D288="BM",D288="MD",D288="OA"),EXP(VLOOKUP(D288,'Species Codes'!B:O,14,0)+VLOOKUP(D288,'Species Codes'!B:P,15,0)*LN((E288*2.54)))*(1-(1/(VLOOKUP(D288,'Species Codes'!B:Q,16,0)+VLOOKUP(D288,'Species Codes'!B:R,17,0)*((E288*2.54)^VLOOKUP(D288,'Species Codes'!B:S,18,0)))))/1000,IF(D288="DF",EXP(VLOOKUP(D288,'Species Codes'!B:O,14,0)+VLOOKUP(D288,'Species Codes'!B:P,15,0)*LN((E288*2.54))),VLOOKUP(D288,'Species Codes'!B:O,14,0)+VLOOKUP(D288,'Species Codes'!B:P,15,0)*(((E288*2.54)/100)^2)*(I288*0.3048)))))*0.0011023),0)</f>
        <v>#N/A</v>
      </c>
      <c r="AD288" s="104" t="e">
        <f t="shared" si="166"/>
        <v>#N/A</v>
      </c>
      <c r="AE288" s="104" t="e">
        <f t="shared" si="167"/>
        <v>#N/A</v>
      </c>
      <c r="AF288" s="104" t="e">
        <f>IF(AND(VLOOKUP($D288,Merchantability!$B:$C,2,0)="Yes",$E288&gt;=VLOOKUP($D288,Merchantability!$B:$D,3,0),$E288&lt;=VLOOKUP($D288,Merchantability!$B:$E,4,0)),AA288,0)</f>
        <v>#N/A</v>
      </c>
      <c r="AG288" s="104" t="e">
        <f>IF(AND(VLOOKUP($D288,Merchantability!$B:$C,2,0)="Yes",$E288&gt;=VLOOKUP($D288,Merchantability!$B:$D,3,0),$E288&lt;=VLOOKUP($D288,Merchantability!$B:$E,4,0)),AB288,0)</f>
        <v>#N/A</v>
      </c>
      <c r="AH288" s="104" t="e">
        <f>IF(AND(VLOOKUP($D288,Merchantability!$B:$C,2,0)="Yes",$E288&gt;=VLOOKUP($D288,Merchantability!$B:$D,3,0),$E288&lt;=VLOOKUP($D288,Merchantability!$B:$E,4,0)),AC288,0)</f>
        <v>#N/A</v>
      </c>
      <c r="AI288" s="104" t="e">
        <f t="shared" si="168"/>
        <v>#N/A</v>
      </c>
      <c r="AJ288" s="104" t="e">
        <f t="shared" si="169"/>
        <v>#VALUE!</v>
      </c>
      <c r="AK288" s="104" t="e">
        <f t="shared" si="170"/>
        <v>#N/A</v>
      </c>
      <c r="AL288" s="104" t="e">
        <f t="shared" si="171"/>
        <v>#N/A</v>
      </c>
      <c r="AM288" s="104" t="e">
        <f t="shared" si="172"/>
        <v>#N/A</v>
      </c>
      <c r="AN288" s="104" t="e">
        <f t="shared" si="156"/>
        <v>#N/A</v>
      </c>
      <c r="AO288" s="104" t="e">
        <f t="shared" si="157"/>
        <v>#N/A</v>
      </c>
      <c r="AP288" s="104" t="e">
        <f t="shared" si="158"/>
        <v>#N/A</v>
      </c>
      <c r="AQ288" s="104" t="e">
        <f t="shared" si="159"/>
        <v>#N/A</v>
      </c>
      <c r="AR288" s="105" t="str">
        <f t="shared" si="151"/>
        <v/>
      </c>
      <c r="AS288" s="105" t="str">
        <f t="shared" si="152"/>
        <v/>
      </c>
      <c r="AT288" s="108" t="str">
        <f t="shared" si="153"/>
        <v/>
      </c>
      <c r="AU288" s="108" t="str">
        <f t="shared" si="154"/>
        <v/>
      </c>
      <c r="AV288" s="107" t="str">
        <f>IF(ISNUMBER(O288),IF(VLOOKUP($A288,Stand!C:J,8,FALSE)="Short",AT288,AU288),"")</f>
        <v/>
      </c>
      <c r="AW288" s="109" t="str">
        <f t="shared" si="160"/>
        <v/>
      </c>
      <c r="AX288" s="109" t="str">
        <f t="shared" si="161"/>
        <v/>
      </c>
      <c r="AY288" s="112" t="str">
        <f>IF(ISNUMBER(O288),IF(AND(VLOOKUP($D288,Merchantability!$B:$C,2,0)="Yes",$E288&gt;=VLOOKUP($D288,Merchantability!$B:$D,3,0),$E288&lt;=VLOOKUP($D288,Merchantability!$B:$E,4,0)),(AV288*O288)*(1-$H288/100),""),"")</f>
        <v/>
      </c>
      <c r="AZ288" s="116"/>
      <c r="BA288" s="116"/>
      <c r="BB288" s="116"/>
      <c r="BE288" s="62"/>
      <c r="BF288" s="63"/>
    </row>
    <row r="289" spans="1:58" ht="12.75" customHeight="1" x14ac:dyDescent="0.25">
      <c r="A289" s="313"/>
      <c r="B289" s="380"/>
      <c r="C289" s="381"/>
      <c r="D289" s="380"/>
      <c r="E289" s="382"/>
      <c r="F289" s="331"/>
      <c r="G289" s="329"/>
      <c r="H289" s="329"/>
      <c r="I289" s="380"/>
      <c r="J289" s="381"/>
      <c r="K289" s="329"/>
      <c r="L289" s="329"/>
      <c r="M289" s="76"/>
      <c r="N289" s="103" t="str">
        <f>IF(A289="","",VLOOKUP(A289,Stand!C:K,9,0))</f>
        <v/>
      </c>
      <c r="O289" s="104" t="str">
        <f t="shared" si="146"/>
        <v/>
      </c>
      <c r="P289" s="105" t="str">
        <f t="shared" si="147"/>
        <v/>
      </c>
      <c r="Q289" s="105" t="str">
        <f t="shared" si="162"/>
        <v/>
      </c>
      <c r="R289" s="103" t="str">
        <f t="shared" si="148"/>
        <v/>
      </c>
      <c r="S289" s="103" t="str">
        <f t="shared" si="149"/>
        <v/>
      </c>
      <c r="T289" s="106" t="str">
        <f t="shared" si="163"/>
        <v/>
      </c>
      <c r="U289" s="106" t="str">
        <f t="shared" si="164"/>
        <v/>
      </c>
      <c r="V289" s="106" t="str">
        <f t="shared" si="165"/>
        <v/>
      </c>
      <c r="W289" s="105" t="str">
        <f t="shared" si="150"/>
        <v/>
      </c>
      <c r="X289" s="104" t="str">
        <f t="shared" si="155"/>
        <v/>
      </c>
      <c r="Y289" s="104" t="str">
        <f t="array" ref="Y289">IFERROR(IF(ISNUMBER(O289),IF(COUNT(IF(A289=$A$2:$A$2427,IF(D289=$D$2:$D$2427,IF($X$2:$X$2427&gt;0,1))))&gt;0,SUM(IF(A289=$A$2:$A$2427,IF(D289=$D$2:$D$2427,$X$2:$X$2427)))/COUNT(IF(A289=$A$2:$A$2427,IF(D289=$D$2:$D$2427,IF(ISNUMBER($X$2:$X$2427),1)))),0),""),0)</f>
        <v/>
      </c>
      <c r="Z289" s="104" t="str">
        <f>IF(ISNUMBER(O289),IF(I289&gt;0,(10^(VLOOKUP(D289,'Species Codes'!B:C,2,0)+VLOOKUP(D289,'Species Codes'!B:D,3,0)*LOG(E289)+VLOOKUP(D289,'Species Codes'!B:E,4,0)*LOG(I289))),0),"")</f>
        <v/>
      </c>
      <c r="AA289" s="104" t="str">
        <f>IFERROR((VLOOKUP(D289,'Species Codes'!B:G,6,0)*Z289)/2000,"")</f>
        <v/>
      </c>
      <c r="AB289" s="104" t="e">
        <f>IF(Z289&gt;0,((IF(OR(D289="DF",D289="RA")=TRUE,EXP(VLOOKUP(D289,'Species Codes'!B:I,8,0)+VLOOKUP(D289,'Species Codes'!B:J,9,0)*(LN((E289*2.54)))),IF(OR(D289="PY",D289="RC",D289="WH",D289="NF")=TRUE,VLOOKUP(D289,'Species Codes'!B:I,8,0)+VLOOKUP(D289,'Species Codes'!B:J,9,0)*((E289*2.54)^2)*(I289*0.3048),IF(OR(D289="MD",D289="BM",D289="GA")=TRUE,((VLOOKUP(D289,'Species Codes'!B:I,8,0)*(((((E289*2.54)+VLOOKUP(D289,'Species Codes'!B:J,9,0))/VLOOKUP(D289,'Species Codes'!B:K,10,0))^VLOOKUP(D289,'Species Codes'!B:L,11,0))*((I289*0.3048)^VLOOKUP(D289,'Species Codes'!B:M,12,0))))-(VLOOKUP(D289,'Species Codes'!B:I,8,0)*((((E289*2.54)^VLOOKUP(D289,'Species Codes'!B:L,11,0))*((I289*0.3048)^VLOOKUP(D289,'Species Codes'!B:M,12,0))))))*35.3*VLOOKUP(D289,'Species Codes'!B:G,6,0)/2.2046,VLOOKUP(D289,'Species Codes'!B:I,8,0)+VLOOKUP(D289,'Species Codes'!B:J,9,0)*(((E289*2.54)/100)^2)*(I289*0.3048)))))*0.0011023),0)</f>
        <v>#N/A</v>
      </c>
      <c r="AC289" s="104" t="e">
        <f>IF(Z289&gt;0,((IF(OR(D289="RA",D289="OA",D289="OT",D289="UN",D289="PC"),EXP(VLOOKUP(D289,'Species Codes'!B:O,14,0)+VLOOKUP(D289,'Species Codes'!B:P,15,0)*LN((E289*2.54)))-EXP(VLOOKUP(D289,'Species Codes'!B:O,14,0)+VLOOKUP(D289,'Species Codes'!B:P,15,0)*LN((E289*2.54)))*(1/(VLOOKUP(D289,'Species Codes'!B:Q,16,0)+VLOOKUP(D289,'Species Codes'!B:R,17,0)*((E289*2.54)^VLOOKUP(D289,'Species Codes'!B:S,18,0)))),IF(OR(D289="BM",D289="MD",D289="OA"),EXP(VLOOKUP(D289,'Species Codes'!B:O,14,0)+VLOOKUP(D289,'Species Codes'!B:P,15,0)*LN((E289*2.54)))*(1-(1/(VLOOKUP(D289,'Species Codes'!B:Q,16,0)+VLOOKUP(D289,'Species Codes'!B:R,17,0)*((E289*2.54)^VLOOKUP(D289,'Species Codes'!B:S,18,0)))))/1000,IF(D289="DF",EXP(VLOOKUP(D289,'Species Codes'!B:O,14,0)+VLOOKUP(D289,'Species Codes'!B:P,15,0)*LN((E289*2.54))),VLOOKUP(D289,'Species Codes'!B:O,14,0)+VLOOKUP(D289,'Species Codes'!B:P,15,0)*(((E289*2.54)/100)^2)*(I289*0.3048)))))*0.0011023),0)</f>
        <v>#N/A</v>
      </c>
      <c r="AD289" s="104" t="e">
        <f t="shared" si="166"/>
        <v>#N/A</v>
      </c>
      <c r="AE289" s="104" t="e">
        <f t="shared" si="167"/>
        <v>#N/A</v>
      </c>
      <c r="AF289" s="104" t="e">
        <f>IF(AND(VLOOKUP($D289,Merchantability!$B:$C,2,0)="Yes",$E289&gt;=VLOOKUP($D289,Merchantability!$B:$D,3,0),$E289&lt;=VLOOKUP($D289,Merchantability!$B:$E,4,0)),AA289,0)</f>
        <v>#N/A</v>
      </c>
      <c r="AG289" s="104" t="e">
        <f>IF(AND(VLOOKUP($D289,Merchantability!$B:$C,2,0)="Yes",$E289&gt;=VLOOKUP($D289,Merchantability!$B:$D,3,0),$E289&lt;=VLOOKUP($D289,Merchantability!$B:$E,4,0)),AB289,0)</f>
        <v>#N/A</v>
      </c>
      <c r="AH289" s="104" t="e">
        <f>IF(AND(VLOOKUP($D289,Merchantability!$B:$C,2,0)="Yes",$E289&gt;=VLOOKUP($D289,Merchantability!$B:$D,3,0),$E289&lt;=VLOOKUP($D289,Merchantability!$B:$E,4,0)),AC289,0)</f>
        <v>#N/A</v>
      </c>
      <c r="AI289" s="104" t="e">
        <f t="shared" si="168"/>
        <v>#N/A</v>
      </c>
      <c r="AJ289" s="104" t="e">
        <f t="shared" si="169"/>
        <v>#VALUE!</v>
      </c>
      <c r="AK289" s="104" t="e">
        <f t="shared" si="170"/>
        <v>#N/A</v>
      </c>
      <c r="AL289" s="104" t="e">
        <f t="shared" si="171"/>
        <v>#N/A</v>
      </c>
      <c r="AM289" s="104" t="e">
        <f t="shared" si="172"/>
        <v>#N/A</v>
      </c>
      <c r="AN289" s="104" t="e">
        <f t="shared" si="156"/>
        <v>#N/A</v>
      </c>
      <c r="AO289" s="104" t="e">
        <f t="shared" si="157"/>
        <v>#N/A</v>
      </c>
      <c r="AP289" s="104" t="e">
        <f t="shared" si="158"/>
        <v>#N/A</v>
      </c>
      <c r="AQ289" s="104" t="e">
        <f t="shared" si="159"/>
        <v>#N/A</v>
      </c>
      <c r="AR289" s="105" t="str">
        <f t="shared" si="151"/>
        <v/>
      </c>
      <c r="AS289" s="105" t="str">
        <f t="shared" si="152"/>
        <v/>
      </c>
      <c r="AT289" s="108" t="str">
        <f t="shared" si="153"/>
        <v/>
      </c>
      <c r="AU289" s="108" t="str">
        <f t="shared" si="154"/>
        <v/>
      </c>
      <c r="AV289" s="107" t="str">
        <f>IF(ISNUMBER(O289),IF(VLOOKUP($A289,Stand!C:J,8,FALSE)="Short",AT289,AU289),"")</f>
        <v/>
      </c>
      <c r="AW289" s="109" t="str">
        <f t="shared" si="160"/>
        <v/>
      </c>
      <c r="AX289" s="109" t="str">
        <f t="shared" si="161"/>
        <v/>
      </c>
      <c r="AY289" s="112" t="str">
        <f>IF(ISNUMBER(O289),IF(AND(VLOOKUP($D289,Merchantability!$B:$C,2,0)="Yes",$E289&gt;=VLOOKUP($D289,Merchantability!$B:$D,3,0),$E289&lt;=VLOOKUP($D289,Merchantability!$B:$E,4,0)),(AV289*O289)*(1-$H289/100),""),"")</f>
        <v/>
      </c>
      <c r="AZ289" s="116"/>
      <c r="BA289" s="116"/>
      <c r="BB289" s="116"/>
      <c r="BE289" s="62"/>
      <c r="BF289" s="63"/>
    </row>
    <row r="290" spans="1:58" ht="12.75" customHeight="1" x14ac:dyDescent="0.25">
      <c r="A290" s="313"/>
      <c r="B290" s="380"/>
      <c r="C290" s="381"/>
      <c r="D290" s="380"/>
      <c r="E290" s="382"/>
      <c r="F290" s="331"/>
      <c r="G290" s="329"/>
      <c r="H290" s="329"/>
      <c r="I290" s="380"/>
      <c r="J290" s="381"/>
      <c r="K290" s="329"/>
      <c r="L290" s="329"/>
      <c r="M290" s="76"/>
      <c r="N290" s="103" t="str">
        <f>IF(A290="","",VLOOKUP(A290,Stand!C:K,9,0))</f>
        <v/>
      </c>
      <c r="O290" s="104" t="str">
        <f t="shared" si="146"/>
        <v/>
      </c>
      <c r="P290" s="105" t="str">
        <f t="shared" si="147"/>
        <v/>
      </c>
      <c r="Q290" s="105" t="str">
        <f t="shared" si="162"/>
        <v/>
      </c>
      <c r="R290" s="103" t="str">
        <f t="shared" si="148"/>
        <v/>
      </c>
      <c r="S290" s="103" t="str">
        <f t="shared" si="149"/>
        <v/>
      </c>
      <c r="T290" s="106" t="str">
        <f t="shared" si="163"/>
        <v/>
      </c>
      <c r="U290" s="106" t="str">
        <f t="shared" si="164"/>
        <v/>
      </c>
      <c r="V290" s="106" t="str">
        <f t="shared" si="165"/>
        <v/>
      </c>
      <c r="W290" s="105" t="str">
        <f t="shared" si="150"/>
        <v/>
      </c>
      <c r="X290" s="104" t="str">
        <f t="shared" si="155"/>
        <v/>
      </c>
      <c r="Y290" s="104" t="str">
        <f t="array" ref="Y290">IFERROR(IF(ISNUMBER(O290),IF(COUNT(IF(A290=$A$2:$A$2427,IF(D290=$D$2:$D$2427,IF($X$2:$X$2427&gt;0,1))))&gt;0,SUM(IF(A290=$A$2:$A$2427,IF(D290=$D$2:$D$2427,$X$2:$X$2427)))/COUNT(IF(A290=$A$2:$A$2427,IF(D290=$D$2:$D$2427,IF(ISNUMBER($X$2:$X$2427),1)))),0),""),0)</f>
        <v/>
      </c>
      <c r="Z290" s="104" t="str">
        <f>IF(ISNUMBER(O290),IF(I290&gt;0,(10^(VLOOKUP(D290,'Species Codes'!B:C,2,0)+VLOOKUP(D290,'Species Codes'!B:D,3,0)*LOG(E290)+VLOOKUP(D290,'Species Codes'!B:E,4,0)*LOG(I290))),0),"")</f>
        <v/>
      </c>
      <c r="AA290" s="104" t="str">
        <f>IFERROR((VLOOKUP(D290,'Species Codes'!B:G,6,0)*Z290)/2000,"")</f>
        <v/>
      </c>
      <c r="AB290" s="104" t="e">
        <f>IF(Z290&gt;0,((IF(OR(D290="DF",D290="RA")=TRUE,EXP(VLOOKUP(D290,'Species Codes'!B:I,8,0)+VLOOKUP(D290,'Species Codes'!B:J,9,0)*(LN((E290*2.54)))),IF(OR(D290="PY",D290="RC",D290="WH",D290="NF")=TRUE,VLOOKUP(D290,'Species Codes'!B:I,8,0)+VLOOKUP(D290,'Species Codes'!B:J,9,0)*((E290*2.54)^2)*(I290*0.3048),IF(OR(D290="MD",D290="BM",D290="GA")=TRUE,((VLOOKUP(D290,'Species Codes'!B:I,8,0)*(((((E290*2.54)+VLOOKUP(D290,'Species Codes'!B:J,9,0))/VLOOKUP(D290,'Species Codes'!B:K,10,0))^VLOOKUP(D290,'Species Codes'!B:L,11,0))*((I290*0.3048)^VLOOKUP(D290,'Species Codes'!B:M,12,0))))-(VLOOKUP(D290,'Species Codes'!B:I,8,0)*((((E290*2.54)^VLOOKUP(D290,'Species Codes'!B:L,11,0))*((I290*0.3048)^VLOOKUP(D290,'Species Codes'!B:M,12,0))))))*35.3*VLOOKUP(D290,'Species Codes'!B:G,6,0)/2.2046,VLOOKUP(D290,'Species Codes'!B:I,8,0)+VLOOKUP(D290,'Species Codes'!B:J,9,0)*(((E290*2.54)/100)^2)*(I290*0.3048)))))*0.0011023),0)</f>
        <v>#N/A</v>
      </c>
      <c r="AC290" s="104" t="e">
        <f>IF(Z290&gt;0,((IF(OR(D290="RA",D290="OA",D290="OT",D290="UN",D290="PC"),EXP(VLOOKUP(D290,'Species Codes'!B:O,14,0)+VLOOKUP(D290,'Species Codes'!B:P,15,0)*LN((E290*2.54)))-EXP(VLOOKUP(D290,'Species Codes'!B:O,14,0)+VLOOKUP(D290,'Species Codes'!B:P,15,0)*LN((E290*2.54)))*(1/(VLOOKUP(D290,'Species Codes'!B:Q,16,0)+VLOOKUP(D290,'Species Codes'!B:R,17,0)*((E290*2.54)^VLOOKUP(D290,'Species Codes'!B:S,18,0)))),IF(OR(D290="BM",D290="MD",D290="OA"),EXP(VLOOKUP(D290,'Species Codes'!B:O,14,0)+VLOOKUP(D290,'Species Codes'!B:P,15,0)*LN((E290*2.54)))*(1-(1/(VLOOKUP(D290,'Species Codes'!B:Q,16,0)+VLOOKUP(D290,'Species Codes'!B:R,17,0)*((E290*2.54)^VLOOKUP(D290,'Species Codes'!B:S,18,0)))))/1000,IF(D290="DF",EXP(VLOOKUP(D290,'Species Codes'!B:O,14,0)+VLOOKUP(D290,'Species Codes'!B:P,15,0)*LN((E290*2.54))),VLOOKUP(D290,'Species Codes'!B:O,14,0)+VLOOKUP(D290,'Species Codes'!B:P,15,0)*(((E290*2.54)/100)^2)*(I290*0.3048)))))*0.0011023),0)</f>
        <v>#N/A</v>
      </c>
      <c r="AD290" s="104" t="e">
        <f t="shared" si="166"/>
        <v>#N/A</v>
      </c>
      <c r="AE290" s="104" t="e">
        <f t="shared" si="167"/>
        <v>#N/A</v>
      </c>
      <c r="AF290" s="104" t="e">
        <f>IF(AND(VLOOKUP($D290,Merchantability!$B:$C,2,0)="Yes",$E290&gt;=VLOOKUP($D290,Merchantability!$B:$D,3,0),$E290&lt;=VLOOKUP($D290,Merchantability!$B:$E,4,0)),AA290,0)</f>
        <v>#N/A</v>
      </c>
      <c r="AG290" s="104" t="e">
        <f>IF(AND(VLOOKUP($D290,Merchantability!$B:$C,2,0)="Yes",$E290&gt;=VLOOKUP($D290,Merchantability!$B:$D,3,0),$E290&lt;=VLOOKUP($D290,Merchantability!$B:$E,4,0)),AB290,0)</f>
        <v>#N/A</v>
      </c>
      <c r="AH290" s="104" t="e">
        <f>IF(AND(VLOOKUP($D290,Merchantability!$B:$C,2,0)="Yes",$E290&gt;=VLOOKUP($D290,Merchantability!$B:$D,3,0),$E290&lt;=VLOOKUP($D290,Merchantability!$B:$E,4,0)),AC290,0)</f>
        <v>#N/A</v>
      </c>
      <c r="AI290" s="104" t="e">
        <f t="shared" si="168"/>
        <v>#N/A</v>
      </c>
      <c r="AJ290" s="104" t="e">
        <f t="shared" si="169"/>
        <v>#VALUE!</v>
      </c>
      <c r="AK290" s="104" t="e">
        <f t="shared" si="170"/>
        <v>#N/A</v>
      </c>
      <c r="AL290" s="104" t="e">
        <f t="shared" si="171"/>
        <v>#N/A</v>
      </c>
      <c r="AM290" s="104" t="e">
        <f t="shared" si="172"/>
        <v>#N/A</v>
      </c>
      <c r="AN290" s="104" t="e">
        <f t="shared" si="156"/>
        <v>#N/A</v>
      </c>
      <c r="AO290" s="104" t="e">
        <f t="shared" si="157"/>
        <v>#N/A</v>
      </c>
      <c r="AP290" s="104" t="e">
        <f t="shared" si="158"/>
        <v>#N/A</v>
      </c>
      <c r="AQ290" s="104" t="e">
        <f t="shared" si="159"/>
        <v>#N/A</v>
      </c>
      <c r="AR290" s="105" t="str">
        <f t="shared" si="151"/>
        <v/>
      </c>
      <c r="AS290" s="105" t="str">
        <f t="shared" si="152"/>
        <v/>
      </c>
      <c r="AT290" s="108" t="str">
        <f t="shared" si="153"/>
        <v/>
      </c>
      <c r="AU290" s="108" t="str">
        <f t="shared" si="154"/>
        <v/>
      </c>
      <c r="AV290" s="107" t="str">
        <f>IF(ISNUMBER(O290),IF(VLOOKUP($A290,Stand!C:J,8,FALSE)="Short",AT290,AU290),"")</f>
        <v/>
      </c>
      <c r="AW290" s="109" t="str">
        <f t="shared" si="160"/>
        <v/>
      </c>
      <c r="AX290" s="109" t="str">
        <f t="shared" si="161"/>
        <v/>
      </c>
      <c r="AY290" s="112" t="str">
        <f>IF(ISNUMBER(O290),IF(AND(VLOOKUP($D290,Merchantability!$B:$C,2,0)="Yes",$E290&gt;=VLOOKUP($D290,Merchantability!$B:$D,3,0),$E290&lt;=VLOOKUP($D290,Merchantability!$B:$E,4,0)),(AV290*O290)*(1-$H290/100),""),"")</f>
        <v/>
      </c>
      <c r="AZ290" s="116"/>
      <c r="BA290" s="116"/>
      <c r="BB290" s="116"/>
      <c r="BE290" s="62"/>
      <c r="BF290" s="63"/>
    </row>
    <row r="291" spans="1:58" ht="12.75" customHeight="1" x14ac:dyDescent="0.25">
      <c r="A291" s="313"/>
      <c r="B291" s="380"/>
      <c r="C291" s="381"/>
      <c r="D291" s="380"/>
      <c r="E291" s="382"/>
      <c r="F291" s="331"/>
      <c r="G291" s="329"/>
      <c r="H291" s="329"/>
      <c r="I291" s="380"/>
      <c r="J291" s="381"/>
      <c r="K291" s="329"/>
      <c r="L291" s="329"/>
      <c r="M291" s="76"/>
      <c r="N291" s="103" t="str">
        <f>IF(A291="","",VLOOKUP(A291,Stand!C:K,9,0))</f>
        <v/>
      </c>
      <c r="O291" s="104" t="str">
        <f t="shared" si="146"/>
        <v/>
      </c>
      <c r="P291" s="105" t="str">
        <f t="shared" si="147"/>
        <v/>
      </c>
      <c r="Q291" s="105" t="str">
        <f t="shared" si="162"/>
        <v/>
      </c>
      <c r="R291" s="103" t="str">
        <f t="shared" si="148"/>
        <v/>
      </c>
      <c r="S291" s="103" t="str">
        <f t="shared" si="149"/>
        <v/>
      </c>
      <c r="T291" s="106" t="str">
        <f t="shared" si="163"/>
        <v/>
      </c>
      <c r="U291" s="106" t="str">
        <f t="shared" si="164"/>
        <v/>
      </c>
      <c r="V291" s="106" t="str">
        <f t="shared" si="165"/>
        <v/>
      </c>
      <c r="W291" s="105" t="str">
        <f t="shared" si="150"/>
        <v/>
      </c>
      <c r="X291" s="104" t="str">
        <f t="shared" si="155"/>
        <v/>
      </c>
      <c r="Y291" s="104" t="str">
        <f t="array" ref="Y291">IFERROR(IF(ISNUMBER(O291),IF(COUNT(IF(A291=$A$2:$A$2427,IF(D291=$D$2:$D$2427,IF($X$2:$X$2427&gt;0,1))))&gt;0,SUM(IF(A291=$A$2:$A$2427,IF(D291=$D$2:$D$2427,$X$2:$X$2427)))/COUNT(IF(A291=$A$2:$A$2427,IF(D291=$D$2:$D$2427,IF(ISNUMBER($X$2:$X$2427),1)))),0),""),0)</f>
        <v/>
      </c>
      <c r="Z291" s="104" t="str">
        <f>IF(ISNUMBER(O291),IF(I291&gt;0,(10^(VLOOKUP(D291,'Species Codes'!B:C,2,0)+VLOOKUP(D291,'Species Codes'!B:D,3,0)*LOG(E291)+VLOOKUP(D291,'Species Codes'!B:E,4,0)*LOG(I291))),0),"")</f>
        <v/>
      </c>
      <c r="AA291" s="104" t="str">
        <f>IFERROR((VLOOKUP(D291,'Species Codes'!B:G,6,0)*Z291)/2000,"")</f>
        <v/>
      </c>
      <c r="AB291" s="104" t="e">
        <f>IF(Z291&gt;0,((IF(OR(D291="DF",D291="RA")=TRUE,EXP(VLOOKUP(D291,'Species Codes'!B:I,8,0)+VLOOKUP(D291,'Species Codes'!B:J,9,0)*(LN((E291*2.54)))),IF(OR(D291="PY",D291="RC",D291="WH",D291="NF")=TRUE,VLOOKUP(D291,'Species Codes'!B:I,8,0)+VLOOKUP(D291,'Species Codes'!B:J,9,0)*((E291*2.54)^2)*(I291*0.3048),IF(OR(D291="MD",D291="BM",D291="GA")=TRUE,((VLOOKUP(D291,'Species Codes'!B:I,8,0)*(((((E291*2.54)+VLOOKUP(D291,'Species Codes'!B:J,9,0))/VLOOKUP(D291,'Species Codes'!B:K,10,0))^VLOOKUP(D291,'Species Codes'!B:L,11,0))*((I291*0.3048)^VLOOKUP(D291,'Species Codes'!B:M,12,0))))-(VLOOKUP(D291,'Species Codes'!B:I,8,0)*((((E291*2.54)^VLOOKUP(D291,'Species Codes'!B:L,11,0))*((I291*0.3048)^VLOOKUP(D291,'Species Codes'!B:M,12,0))))))*35.3*VLOOKUP(D291,'Species Codes'!B:G,6,0)/2.2046,VLOOKUP(D291,'Species Codes'!B:I,8,0)+VLOOKUP(D291,'Species Codes'!B:J,9,0)*(((E291*2.54)/100)^2)*(I291*0.3048)))))*0.0011023),0)</f>
        <v>#N/A</v>
      </c>
      <c r="AC291" s="104" t="e">
        <f>IF(Z291&gt;0,((IF(OR(D291="RA",D291="OA",D291="OT",D291="UN",D291="PC"),EXP(VLOOKUP(D291,'Species Codes'!B:O,14,0)+VLOOKUP(D291,'Species Codes'!B:P,15,0)*LN((E291*2.54)))-EXP(VLOOKUP(D291,'Species Codes'!B:O,14,0)+VLOOKUP(D291,'Species Codes'!B:P,15,0)*LN((E291*2.54)))*(1/(VLOOKUP(D291,'Species Codes'!B:Q,16,0)+VLOOKUP(D291,'Species Codes'!B:R,17,0)*((E291*2.54)^VLOOKUP(D291,'Species Codes'!B:S,18,0)))),IF(OR(D291="BM",D291="MD",D291="OA"),EXP(VLOOKUP(D291,'Species Codes'!B:O,14,0)+VLOOKUP(D291,'Species Codes'!B:P,15,0)*LN((E291*2.54)))*(1-(1/(VLOOKUP(D291,'Species Codes'!B:Q,16,0)+VLOOKUP(D291,'Species Codes'!B:R,17,0)*((E291*2.54)^VLOOKUP(D291,'Species Codes'!B:S,18,0)))))/1000,IF(D291="DF",EXP(VLOOKUP(D291,'Species Codes'!B:O,14,0)+VLOOKUP(D291,'Species Codes'!B:P,15,0)*LN((E291*2.54))),VLOOKUP(D291,'Species Codes'!B:O,14,0)+VLOOKUP(D291,'Species Codes'!B:P,15,0)*(((E291*2.54)/100)^2)*(I291*0.3048)))))*0.0011023),0)</f>
        <v>#N/A</v>
      </c>
      <c r="AD291" s="104" t="e">
        <f t="shared" si="166"/>
        <v>#N/A</v>
      </c>
      <c r="AE291" s="104" t="e">
        <f t="shared" si="167"/>
        <v>#N/A</v>
      </c>
      <c r="AF291" s="104" t="e">
        <f>IF(AND(VLOOKUP($D291,Merchantability!$B:$C,2,0)="Yes",$E291&gt;=VLOOKUP($D291,Merchantability!$B:$D,3,0),$E291&lt;=VLOOKUP($D291,Merchantability!$B:$E,4,0)),AA291,0)</f>
        <v>#N/A</v>
      </c>
      <c r="AG291" s="104" t="e">
        <f>IF(AND(VLOOKUP($D291,Merchantability!$B:$C,2,0)="Yes",$E291&gt;=VLOOKUP($D291,Merchantability!$B:$D,3,0),$E291&lt;=VLOOKUP($D291,Merchantability!$B:$E,4,0)),AB291,0)</f>
        <v>#N/A</v>
      </c>
      <c r="AH291" s="104" t="e">
        <f>IF(AND(VLOOKUP($D291,Merchantability!$B:$C,2,0)="Yes",$E291&gt;=VLOOKUP($D291,Merchantability!$B:$D,3,0),$E291&lt;=VLOOKUP($D291,Merchantability!$B:$E,4,0)),AC291,0)</f>
        <v>#N/A</v>
      </c>
      <c r="AI291" s="104" t="e">
        <f t="shared" si="168"/>
        <v>#N/A</v>
      </c>
      <c r="AJ291" s="104" t="e">
        <f t="shared" si="169"/>
        <v>#VALUE!</v>
      </c>
      <c r="AK291" s="104" t="e">
        <f t="shared" si="170"/>
        <v>#N/A</v>
      </c>
      <c r="AL291" s="104" t="e">
        <f t="shared" si="171"/>
        <v>#N/A</v>
      </c>
      <c r="AM291" s="104" t="e">
        <f t="shared" si="172"/>
        <v>#N/A</v>
      </c>
      <c r="AN291" s="104" t="e">
        <f t="shared" si="156"/>
        <v>#N/A</v>
      </c>
      <c r="AO291" s="104" t="e">
        <f t="shared" si="157"/>
        <v>#N/A</v>
      </c>
      <c r="AP291" s="104" t="e">
        <f t="shared" si="158"/>
        <v>#N/A</v>
      </c>
      <c r="AQ291" s="104" t="e">
        <f t="shared" si="159"/>
        <v>#N/A</v>
      </c>
      <c r="AR291" s="105" t="str">
        <f t="shared" si="151"/>
        <v/>
      </c>
      <c r="AS291" s="105" t="str">
        <f t="shared" si="152"/>
        <v/>
      </c>
      <c r="AT291" s="108" t="str">
        <f t="shared" si="153"/>
        <v/>
      </c>
      <c r="AU291" s="108" t="str">
        <f t="shared" si="154"/>
        <v/>
      </c>
      <c r="AV291" s="107" t="str">
        <f>IF(ISNUMBER(O291),IF(VLOOKUP($A291,Stand!C:J,8,FALSE)="Short",AT291,AU291),"")</f>
        <v/>
      </c>
      <c r="AW291" s="109" t="str">
        <f t="shared" si="160"/>
        <v/>
      </c>
      <c r="AX291" s="109" t="str">
        <f t="shared" si="161"/>
        <v/>
      </c>
      <c r="AY291" s="112" t="str">
        <f>IF(ISNUMBER(O291),IF(AND(VLOOKUP($D291,Merchantability!$B:$C,2,0)="Yes",$E291&gt;=VLOOKUP($D291,Merchantability!$B:$D,3,0),$E291&lt;=VLOOKUP($D291,Merchantability!$B:$E,4,0)),(AV291*O291)*(1-$H291/100),""),"")</f>
        <v/>
      </c>
      <c r="AZ291" s="116"/>
      <c r="BA291" s="116"/>
      <c r="BB291" s="116"/>
      <c r="BE291" s="62"/>
      <c r="BF291" s="63"/>
    </row>
    <row r="292" spans="1:58" ht="12.75" customHeight="1" x14ac:dyDescent="0.25">
      <c r="A292" s="313"/>
      <c r="B292" s="380"/>
      <c r="C292" s="381"/>
      <c r="D292" s="380"/>
      <c r="E292" s="382"/>
      <c r="F292" s="331"/>
      <c r="G292" s="329"/>
      <c r="H292" s="329"/>
      <c r="I292" s="380"/>
      <c r="J292" s="381"/>
      <c r="K292" s="329"/>
      <c r="L292" s="329"/>
      <c r="M292" s="76"/>
      <c r="N292" s="103" t="str">
        <f>IF(A292="","",VLOOKUP(A292,Stand!C:K,9,0))</f>
        <v/>
      </c>
      <c r="O292" s="104" t="str">
        <f t="shared" si="146"/>
        <v/>
      </c>
      <c r="P292" s="105" t="str">
        <f t="shared" si="147"/>
        <v/>
      </c>
      <c r="Q292" s="105" t="str">
        <f t="shared" si="162"/>
        <v/>
      </c>
      <c r="R292" s="103" t="str">
        <f t="shared" si="148"/>
        <v/>
      </c>
      <c r="S292" s="103" t="str">
        <f t="shared" si="149"/>
        <v/>
      </c>
      <c r="T292" s="106" t="str">
        <f t="shared" si="163"/>
        <v/>
      </c>
      <c r="U292" s="106" t="str">
        <f t="shared" si="164"/>
        <v/>
      </c>
      <c r="V292" s="106" t="str">
        <f t="shared" si="165"/>
        <v/>
      </c>
      <c r="W292" s="105" t="str">
        <f t="shared" si="150"/>
        <v/>
      </c>
      <c r="X292" s="104" t="str">
        <f t="shared" si="155"/>
        <v/>
      </c>
      <c r="Y292" s="104" t="str">
        <f t="array" ref="Y292">IFERROR(IF(ISNUMBER(O292),IF(COUNT(IF(A292=$A$2:$A$2427,IF(D292=$D$2:$D$2427,IF($X$2:$X$2427&gt;0,1))))&gt;0,SUM(IF(A292=$A$2:$A$2427,IF(D292=$D$2:$D$2427,$X$2:$X$2427)))/COUNT(IF(A292=$A$2:$A$2427,IF(D292=$D$2:$D$2427,IF(ISNUMBER($X$2:$X$2427),1)))),0),""),0)</f>
        <v/>
      </c>
      <c r="Z292" s="104" t="str">
        <f>IF(ISNUMBER(O292),IF(I292&gt;0,(10^(VLOOKUP(D292,'Species Codes'!B:C,2,0)+VLOOKUP(D292,'Species Codes'!B:D,3,0)*LOG(E292)+VLOOKUP(D292,'Species Codes'!B:E,4,0)*LOG(I292))),0),"")</f>
        <v/>
      </c>
      <c r="AA292" s="104" t="str">
        <f>IFERROR((VLOOKUP(D292,'Species Codes'!B:G,6,0)*Z292)/2000,"")</f>
        <v/>
      </c>
      <c r="AB292" s="104" t="e">
        <f>IF(Z292&gt;0,((IF(OR(D292="DF",D292="RA")=TRUE,EXP(VLOOKUP(D292,'Species Codes'!B:I,8,0)+VLOOKUP(D292,'Species Codes'!B:J,9,0)*(LN((E292*2.54)))),IF(OR(D292="PY",D292="RC",D292="WH",D292="NF")=TRUE,VLOOKUP(D292,'Species Codes'!B:I,8,0)+VLOOKUP(D292,'Species Codes'!B:J,9,0)*((E292*2.54)^2)*(I292*0.3048),IF(OR(D292="MD",D292="BM",D292="GA")=TRUE,((VLOOKUP(D292,'Species Codes'!B:I,8,0)*(((((E292*2.54)+VLOOKUP(D292,'Species Codes'!B:J,9,0))/VLOOKUP(D292,'Species Codes'!B:K,10,0))^VLOOKUP(D292,'Species Codes'!B:L,11,0))*((I292*0.3048)^VLOOKUP(D292,'Species Codes'!B:M,12,0))))-(VLOOKUP(D292,'Species Codes'!B:I,8,0)*((((E292*2.54)^VLOOKUP(D292,'Species Codes'!B:L,11,0))*((I292*0.3048)^VLOOKUP(D292,'Species Codes'!B:M,12,0))))))*35.3*VLOOKUP(D292,'Species Codes'!B:G,6,0)/2.2046,VLOOKUP(D292,'Species Codes'!B:I,8,0)+VLOOKUP(D292,'Species Codes'!B:J,9,0)*(((E292*2.54)/100)^2)*(I292*0.3048)))))*0.0011023),0)</f>
        <v>#N/A</v>
      </c>
      <c r="AC292" s="104" t="e">
        <f>IF(Z292&gt;0,((IF(OR(D292="RA",D292="OA",D292="OT",D292="UN",D292="PC"),EXP(VLOOKUP(D292,'Species Codes'!B:O,14,0)+VLOOKUP(D292,'Species Codes'!B:P,15,0)*LN((E292*2.54)))-EXP(VLOOKUP(D292,'Species Codes'!B:O,14,0)+VLOOKUP(D292,'Species Codes'!B:P,15,0)*LN((E292*2.54)))*(1/(VLOOKUP(D292,'Species Codes'!B:Q,16,0)+VLOOKUP(D292,'Species Codes'!B:R,17,0)*((E292*2.54)^VLOOKUP(D292,'Species Codes'!B:S,18,0)))),IF(OR(D292="BM",D292="MD",D292="OA"),EXP(VLOOKUP(D292,'Species Codes'!B:O,14,0)+VLOOKUP(D292,'Species Codes'!B:P,15,0)*LN((E292*2.54)))*(1-(1/(VLOOKUP(D292,'Species Codes'!B:Q,16,0)+VLOOKUP(D292,'Species Codes'!B:R,17,0)*((E292*2.54)^VLOOKUP(D292,'Species Codes'!B:S,18,0)))))/1000,IF(D292="DF",EXP(VLOOKUP(D292,'Species Codes'!B:O,14,0)+VLOOKUP(D292,'Species Codes'!B:P,15,0)*LN((E292*2.54))),VLOOKUP(D292,'Species Codes'!B:O,14,0)+VLOOKUP(D292,'Species Codes'!B:P,15,0)*(((E292*2.54)/100)^2)*(I292*0.3048)))))*0.0011023),0)</f>
        <v>#N/A</v>
      </c>
      <c r="AD292" s="104" t="e">
        <f t="shared" si="166"/>
        <v>#N/A</v>
      </c>
      <c r="AE292" s="104" t="e">
        <f t="shared" si="167"/>
        <v>#N/A</v>
      </c>
      <c r="AF292" s="104" t="e">
        <f>IF(AND(VLOOKUP($D292,Merchantability!$B:$C,2,0)="Yes",$E292&gt;=VLOOKUP($D292,Merchantability!$B:$D,3,0),$E292&lt;=VLOOKUP($D292,Merchantability!$B:$E,4,0)),AA292,0)</f>
        <v>#N/A</v>
      </c>
      <c r="AG292" s="104" t="e">
        <f>IF(AND(VLOOKUP($D292,Merchantability!$B:$C,2,0)="Yes",$E292&gt;=VLOOKUP($D292,Merchantability!$B:$D,3,0),$E292&lt;=VLOOKUP($D292,Merchantability!$B:$E,4,0)),AB292,0)</f>
        <v>#N/A</v>
      </c>
      <c r="AH292" s="104" t="e">
        <f>IF(AND(VLOOKUP($D292,Merchantability!$B:$C,2,0)="Yes",$E292&gt;=VLOOKUP($D292,Merchantability!$B:$D,3,0),$E292&lt;=VLOOKUP($D292,Merchantability!$B:$E,4,0)),AC292,0)</f>
        <v>#N/A</v>
      </c>
      <c r="AI292" s="104" t="e">
        <f t="shared" si="168"/>
        <v>#N/A</v>
      </c>
      <c r="AJ292" s="104" t="e">
        <f t="shared" si="169"/>
        <v>#VALUE!</v>
      </c>
      <c r="AK292" s="104" t="e">
        <f t="shared" si="170"/>
        <v>#N/A</v>
      </c>
      <c r="AL292" s="104" t="e">
        <f t="shared" si="171"/>
        <v>#N/A</v>
      </c>
      <c r="AM292" s="104" t="e">
        <f t="shared" si="172"/>
        <v>#N/A</v>
      </c>
      <c r="AN292" s="104" t="e">
        <f t="shared" si="156"/>
        <v>#N/A</v>
      </c>
      <c r="AO292" s="104" t="e">
        <f t="shared" si="157"/>
        <v>#N/A</v>
      </c>
      <c r="AP292" s="104" t="e">
        <f t="shared" si="158"/>
        <v>#N/A</v>
      </c>
      <c r="AQ292" s="104" t="e">
        <f t="shared" si="159"/>
        <v>#N/A</v>
      </c>
      <c r="AR292" s="105" t="str">
        <f t="shared" si="151"/>
        <v/>
      </c>
      <c r="AS292" s="105" t="str">
        <f t="shared" si="152"/>
        <v/>
      </c>
      <c r="AT292" s="108" t="str">
        <f t="shared" si="153"/>
        <v/>
      </c>
      <c r="AU292" s="108" t="str">
        <f t="shared" si="154"/>
        <v/>
      </c>
      <c r="AV292" s="107" t="str">
        <f>IF(ISNUMBER(O292),IF(VLOOKUP($A292,Stand!C:J,8,FALSE)="Short",AT292,AU292),"")</f>
        <v/>
      </c>
      <c r="AW292" s="109" t="str">
        <f t="shared" si="160"/>
        <v/>
      </c>
      <c r="AX292" s="109" t="str">
        <f t="shared" si="161"/>
        <v/>
      </c>
      <c r="AY292" s="112" t="str">
        <f>IF(ISNUMBER(O292),IF(AND(VLOOKUP($D292,Merchantability!$B:$C,2,0)="Yes",$E292&gt;=VLOOKUP($D292,Merchantability!$B:$D,3,0),$E292&lt;=VLOOKUP($D292,Merchantability!$B:$E,4,0)),(AV292*O292)*(1-$H292/100),""),"")</f>
        <v/>
      </c>
      <c r="AZ292" s="116"/>
      <c r="BA292" s="116"/>
      <c r="BB292" s="116"/>
      <c r="BE292" s="62"/>
      <c r="BF292" s="63"/>
    </row>
    <row r="293" spans="1:58" ht="12.75" customHeight="1" x14ac:dyDescent="0.25">
      <c r="A293" s="313"/>
      <c r="B293" s="380"/>
      <c r="C293" s="381"/>
      <c r="D293" s="380"/>
      <c r="E293" s="382"/>
      <c r="F293" s="331"/>
      <c r="G293" s="329"/>
      <c r="H293" s="329"/>
      <c r="I293" s="380"/>
      <c r="J293" s="381"/>
      <c r="K293" s="329"/>
      <c r="L293" s="329"/>
      <c r="M293" s="76"/>
      <c r="N293" s="103" t="str">
        <f>IF(A293="","",VLOOKUP(A293,Stand!C:K,9,0))</f>
        <v/>
      </c>
      <c r="O293" s="104" t="str">
        <f t="shared" si="146"/>
        <v/>
      </c>
      <c r="P293" s="105" t="str">
        <f t="shared" si="147"/>
        <v/>
      </c>
      <c r="Q293" s="105" t="str">
        <f t="shared" si="162"/>
        <v/>
      </c>
      <c r="R293" s="103" t="str">
        <f t="shared" si="148"/>
        <v/>
      </c>
      <c r="S293" s="103" t="str">
        <f t="shared" si="149"/>
        <v/>
      </c>
      <c r="T293" s="106" t="str">
        <f t="shared" si="163"/>
        <v/>
      </c>
      <c r="U293" s="106" t="str">
        <f t="shared" si="164"/>
        <v/>
      </c>
      <c r="V293" s="106" t="str">
        <f t="shared" si="165"/>
        <v/>
      </c>
      <c r="W293" s="105" t="str">
        <f t="shared" si="150"/>
        <v/>
      </c>
      <c r="X293" s="104" t="str">
        <f t="shared" si="155"/>
        <v/>
      </c>
      <c r="Y293" s="104" t="str">
        <f t="array" ref="Y293">IFERROR(IF(ISNUMBER(O293),IF(COUNT(IF(A293=$A$2:$A$2427,IF(D293=$D$2:$D$2427,IF($X$2:$X$2427&gt;0,1))))&gt;0,SUM(IF(A293=$A$2:$A$2427,IF(D293=$D$2:$D$2427,$X$2:$X$2427)))/COUNT(IF(A293=$A$2:$A$2427,IF(D293=$D$2:$D$2427,IF(ISNUMBER($X$2:$X$2427),1)))),0),""),0)</f>
        <v/>
      </c>
      <c r="Z293" s="104" t="str">
        <f>IF(ISNUMBER(O293),IF(I293&gt;0,(10^(VLOOKUP(D293,'Species Codes'!B:C,2,0)+VLOOKUP(D293,'Species Codes'!B:D,3,0)*LOG(E293)+VLOOKUP(D293,'Species Codes'!B:E,4,0)*LOG(I293))),0),"")</f>
        <v/>
      </c>
      <c r="AA293" s="104" t="str">
        <f>IFERROR((VLOOKUP(D293,'Species Codes'!B:G,6,0)*Z293)/2000,"")</f>
        <v/>
      </c>
      <c r="AB293" s="104" t="e">
        <f>IF(Z293&gt;0,((IF(OR(D293="DF",D293="RA")=TRUE,EXP(VLOOKUP(D293,'Species Codes'!B:I,8,0)+VLOOKUP(D293,'Species Codes'!B:J,9,0)*(LN((E293*2.54)))),IF(OR(D293="PY",D293="RC",D293="WH",D293="NF")=TRUE,VLOOKUP(D293,'Species Codes'!B:I,8,0)+VLOOKUP(D293,'Species Codes'!B:J,9,0)*((E293*2.54)^2)*(I293*0.3048),IF(OR(D293="MD",D293="BM",D293="GA")=TRUE,((VLOOKUP(D293,'Species Codes'!B:I,8,0)*(((((E293*2.54)+VLOOKUP(D293,'Species Codes'!B:J,9,0))/VLOOKUP(D293,'Species Codes'!B:K,10,0))^VLOOKUP(D293,'Species Codes'!B:L,11,0))*((I293*0.3048)^VLOOKUP(D293,'Species Codes'!B:M,12,0))))-(VLOOKUP(D293,'Species Codes'!B:I,8,0)*((((E293*2.54)^VLOOKUP(D293,'Species Codes'!B:L,11,0))*((I293*0.3048)^VLOOKUP(D293,'Species Codes'!B:M,12,0))))))*35.3*VLOOKUP(D293,'Species Codes'!B:G,6,0)/2.2046,VLOOKUP(D293,'Species Codes'!B:I,8,0)+VLOOKUP(D293,'Species Codes'!B:J,9,0)*(((E293*2.54)/100)^2)*(I293*0.3048)))))*0.0011023),0)</f>
        <v>#N/A</v>
      </c>
      <c r="AC293" s="104" t="e">
        <f>IF(Z293&gt;0,((IF(OR(D293="RA",D293="OA",D293="OT",D293="UN",D293="PC"),EXP(VLOOKUP(D293,'Species Codes'!B:O,14,0)+VLOOKUP(D293,'Species Codes'!B:P,15,0)*LN((E293*2.54)))-EXP(VLOOKUP(D293,'Species Codes'!B:O,14,0)+VLOOKUP(D293,'Species Codes'!B:P,15,0)*LN((E293*2.54)))*(1/(VLOOKUP(D293,'Species Codes'!B:Q,16,0)+VLOOKUP(D293,'Species Codes'!B:R,17,0)*((E293*2.54)^VLOOKUP(D293,'Species Codes'!B:S,18,0)))),IF(OR(D293="BM",D293="MD",D293="OA"),EXP(VLOOKUP(D293,'Species Codes'!B:O,14,0)+VLOOKUP(D293,'Species Codes'!B:P,15,0)*LN((E293*2.54)))*(1-(1/(VLOOKUP(D293,'Species Codes'!B:Q,16,0)+VLOOKUP(D293,'Species Codes'!B:R,17,0)*((E293*2.54)^VLOOKUP(D293,'Species Codes'!B:S,18,0)))))/1000,IF(D293="DF",EXP(VLOOKUP(D293,'Species Codes'!B:O,14,0)+VLOOKUP(D293,'Species Codes'!B:P,15,0)*LN((E293*2.54))),VLOOKUP(D293,'Species Codes'!B:O,14,0)+VLOOKUP(D293,'Species Codes'!B:P,15,0)*(((E293*2.54)/100)^2)*(I293*0.3048)))))*0.0011023),0)</f>
        <v>#N/A</v>
      </c>
      <c r="AD293" s="104" t="e">
        <f t="shared" si="166"/>
        <v>#N/A</v>
      </c>
      <c r="AE293" s="104" t="e">
        <f t="shared" si="167"/>
        <v>#N/A</v>
      </c>
      <c r="AF293" s="104" t="e">
        <f>IF(AND(VLOOKUP($D293,Merchantability!$B:$C,2,0)="Yes",$E293&gt;=VLOOKUP($D293,Merchantability!$B:$D,3,0),$E293&lt;=VLOOKUP($D293,Merchantability!$B:$E,4,0)),AA293,0)</f>
        <v>#N/A</v>
      </c>
      <c r="AG293" s="104" t="e">
        <f>IF(AND(VLOOKUP($D293,Merchantability!$B:$C,2,0)="Yes",$E293&gt;=VLOOKUP($D293,Merchantability!$B:$D,3,0),$E293&lt;=VLOOKUP($D293,Merchantability!$B:$E,4,0)),AB293,0)</f>
        <v>#N/A</v>
      </c>
      <c r="AH293" s="104" t="e">
        <f>IF(AND(VLOOKUP($D293,Merchantability!$B:$C,2,0)="Yes",$E293&gt;=VLOOKUP($D293,Merchantability!$B:$D,3,0),$E293&lt;=VLOOKUP($D293,Merchantability!$B:$E,4,0)),AC293,0)</f>
        <v>#N/A</v>
      </c>
      <c r="AI293" s="104" t="e">
        <f t="shared" si="168"/>
        <v>#N/A</v>
      </c>
      <c r="AJ293" s="104" t="e">
        <f t="shared" si="169"/>
        <v>#VALUE!</v>
      </c>
      <c r="AK293" s="104" t="e">
        <f t="shared" si="170"/>
        <v>#N/A</v>
      </c>
      <c r="AL293" s="104" t="e">
        <f t="shared" si="171"/>
        <v>#N/A</v>
      </c>
      <c r="AM293" s="104" t="e">
        <f t="shared" si="172"/>
        <v>#N/A</v>
      </c>
      <c r="AN293" s="104" t="e">
        <f t="shared" si="156"/>
        <v>#N/A</v>
      </c>
      <c r="AO293" s="104" t="e">
        <f t="shared" si="157"/>
        <v>#N/A</v>
      </c>
      <c r="AP293" s="104" t="e">
        <f t="shared" si="158"/>
        <v>#N/A</v>
      </c>
      <c r="AQ293" s="104" t="e">
        <f t="shared" si="159"/>
        <v>#N/A</v>
      </c>
      <c r="AR293" s="105" t="str">
        <f t="shared" si="151"/>
        <v/>
      </c>
      <c r="AS293" s="105" t="str">
        <f t="shared" si="152"/>
        <v/>
      </c>
      <c r="AT293" s="108" t="str">
        <f t="shared" si="153"/>
        <v/>
      </c>
      <c r="AU293" s="108" t="str">
        <f t="shared" si="154"/>
        <v/>
      </c>
      <c r="AV293" s="107" t="str">
        <f>IF(ISNUMBER(O293),IF(VLOOKUP($A293,Stand!C:J,8,FALSE)="Short",AT293,AU293),"")</f>
        <v/>
      </c>
      <c r="AW293" s="109" t="str">
        <f t="shared" si="160"/>
        <v/>
      </c>
      <c r="AX293" s="109" t="str">
        <f t="shared" si="161"/>
        <v/>
      </c>
      <c r="AY293" s="112" t="str">
        <f>IF(ISNUMBER(O293),IF(AND(VLOOKUP($D293,Merchantability!$B:$C,2,0)="Yes",$E293&gt;=VLOOKUP($D293,Merchantability!$B:$D,3,0),$E293&lt;=VLOOKUP($D293,Merchantability!$B:$E,4,0)),(AV293*O293)*(1-$H293/100),""),"")</f>
        <v/>
      </c>
      <c r="AZ293" s="116"/>
      <c r="BA293" s="116"/>
      <c r="BB293" s="116"/>
      <c r="BE293" s="62"/>
      <c r="BF293" s="63"/>
    </row>
    <row r="294" spans="1:58" ht="12.75" customHeight="1" x14ac:dyDescent="0.25">
      <c r="A294" s="313"/>
      <c r="B294" s="380"/>
      <c r="C294" s="381"/>
      <c r="D294" s="380"/>
      <c r="E294" s="382"/>
      <c r="F294" s="331"/>
      <c r="G294" s="329"/>
      <c r="H294" s="329"/>
      <c r="I294" s="380"/>
      <c r="J294" s="381"/>
      <c r="K294" s="329"/>
      <c r="L294" s="329"/>
      <c r="M294" s="76"/>
      <c r="N294" s="103" t="str">
        <f>IF(A294="","",VLOOKUP(A294,Stand!C:K,9,0))</f>
        <v/>
      </c>
      <c r="O294" s="104" t="str">
        <f t="shared" si="146"/>
        <v/>
      </c>
      <c r="P294" s="105" t="str">
        <f t="shared" si="147"/>
        <v/>
      </c>
      <c r="Q294" s="105" t="str">
        <f t="shared" si="162"/>
        <v/>
      </c>
      <c r="R294" s="103" t="str">
        <f t="shared" si="148"/>
        <v/>
      </c>
      <c r="S294" s="103" t="str">
        <f t="shared" si="149"/>
        <v/>
      </c>
      <c r="T294" s="106" t="str">
        <f t="shared" si="163"/>
        <v/>
      </c>
      <c r="U294" s="106" t="str">
        <f t="shared" si="164"/>
        <v/>
      </c>
      <c r="V294" s="106" t="str">
        <f t="shared" si="165"/>
        <v/>
      </c>
      <c r="W294" s="105" t="str">
        <f t="shared" si="150"/>
        <v/>
      </c>
      <c r="X294" s="104" t="str">
        <f t="shared" si="155"/>
        <v/>
      </c>
      <c r="Y294" s="104" t="str">
        <f t="array" ref="Y294">IFERROR(IF(ISNUMBER(O294),IF(COUNT(IF(A294=$A$2:$A$2427,IF(D294=$D$2:$D$2427,IF($X$2:$X$2427&gt;0,1))))&gt;0,SUM(IF(A294=$A$2:$A$2427,IF(D294=$D$2:$D$2427,$X$2:$X$2427)))/COUNT(IF(A294=$A$2:$A$2427,IF(D294=$D$2:$D$2427,IF(ISNUMBER($X$2:$X$2427),1)))),0),""),0)</f>
        <v/>
      </c>
      <c r="Z294" s="104" t="str">
        <f>IF(ISNUMBER(O294),IF(I294&gt;0,(10^(VLOOKUP(D294,'Species Codes'!B:C,2,0)+VLOOKUP(D294,'Species Codes'!B:D,3,0)*LOG(E294)+VLOOKUP(D294,'Species Codes'!B:E,4,0)*LOG(I294))),0),"")</f>
        <v/>
      </c>
      <c r="AA294" s="104" t="str">
        <f>IFERROR((VLOOKUP(D294,'Species Codes'!B:G,6,0)*Z294)/2000,"")</f>
        <v/>
      </c>
      <c r="AB294" s="104" t="e">
        <f>IF(Z294&gt;0,((IF(OR(D294="DF",D294="RA")=TRUE,EXP(VLOOKUP(D294,'Species Codes'!B:I,8,0)+VLOOKUP(D294,'Species Codes'!B:J,9,0)*(LN((E294*2.54)))),IF(OR(D294="PY",D294="RC",D294="WH",D294="NF")=TRUE,VLOOKUP(D294,'Species Codes'!B:I,8,0)+VLOOKUP(D294,'Species Codes'!B:J,9,0)*((E294*2.54)^2)*(I294*0.3048),IF(OR(D294="MD",D294="BM",D294="GA")=TRUE,((VLOOKUP(D294,'Species Codes'!B:I,8,0)*(((((E294*2.54)+VLOOKUP(D294,'Species Codes'!B:J,9,0))/VLOOKUP(D294,'Species Codes'!B:K,10,0))^VLOOKUP(D294,'Species Codes'!B:L,11,0))*((I294*0.3048)^VLOOKUP(D294,'Species Codes'!B:M,12,0))))-(VLOOKUP(D294,'Species Codes'!B:I,8,0)*((((E294*2.54)^VLOOKUP(D294,'Species Codes'!B:L,11,0))*((I294*0.3048)^VLOOKUP(D294,'Species Codes'!B:M,12,0))))))*35.3*VLOOKUP(D294,'Species Codes'!B:G,6,0)/2.2046,VLOOKUP(D294,'Species Codes'!B:I,8,0)+VLOOKUP(D294,'Species Codes'!B:J,9,0)*(((E294*2.54)/100)^2)*(I294*0.3048)))))*0.0011023),0)</f>
        <v>#N/A</v>
      </c>
      <c r="AC294" s="104" t="e">
        <f>IF(Z294&gt;0,((IF(OR(D294="RA",D294="OA",D294="OT",D294="UN",D294="PC"),EXP(VLOOKUP(D294,'Species Codes'!B:O,14,0)+VLOOKUP(D294,'Species Codes'!B:P,15,0)*LN((E294*2.54)))-EXP(VLOOKUP(D294,'Species Codes'!B:O,14,0)+VLOOKUP(D294,'Species Codes'!B:P,15,0)*LN((E294*2.54)))*(1/(VLOOKUP(D294,'Species Codes'!B:Q,16,0)+VLOOKUP(D294,'Species Codes'!B:R,17,0)*((E294*2.54)^VLOOKUP(D294,'Species Codes'!B:S,18,0)))),IF(OR(D294="BM",D294="MD",D294="OA"),EXP(VLOOKUP(D294,'Species Codes'!B:O,14,0)+VLOOKUP(D294,'Species Codes'!B:P,15,0)*LN((E294*2.54)))*(1-(1/(VLOOKUP(D294,'Species Codes'!B:Q,16,0)+VLOOKUP(D294,'Species Codes'!B:R,17,0)*((E294*2.54)^VLOOKUP(D294,'Species Codes'!B:S,18,0)))))/1000,IF(D294="DF",EXP(VLOOKUP(D294,'Species Codes'!B:O,14,0)+VLOOKUP(D294,'Species Codes'!B:P,15,0)*LN((E294*2.54))),VLOOKUP(D294,'Species Codes'!B:O,14,0)+VLOOKUP(D294,'Species Codes'!B:P,15,0)*(((E294*2.54)/100)^2)*(I294*0.3048)))))*0.0011023),0)</f>
        <v>#N/A</v>
      </c>
      <c r="AD294" s="104" t="e">
        <f t="shared" si="166"/>
        <v>#N/A</v>
      </c>
      <c r="AE294" s="104" t="e">
        <f t="shared" si="167"/>
        <v>#N/A</v>
      </c>
      <c r="AF294" s="104" t="e">
        <f>IF(AND(VLOOKUP($D294,Merchantability!$B:$C,2,0)="Yes",$E294&gt;=VLOOKUP($D294,Merchantability!$B:$D,3,0),$E294&lt;=VLOOKUP($D294,Merchantability!$B:$E,4,0)),AA294,0)</f>
        <v>#N/A</v>
      </c>
      <c r="AG294" s="104" t="e">
        <f>IF(AND(VLOOKUP($D294,Merchantability!$B:$C,2,0)="Yes",$E294&gt;=VLOOKUP($D294,Merchantability!$B:$D,3,0),$E294&lt;=VLOOKUP($D294,Merchantability!$B:$E,4,0)),AB294,0)</f>
        <v>#N/A</v>
      </c>
      <c r="AH294" s="104" t="e">
        <f>IF(AND(VLOOKUP($D294,Merchantability!$B:$C,2,0)="Yes",$E294&gt;=VLOOKUP($D294,Merchantability!$B:$D,3,0),$E294&lt;=VLOOKUP($D294,Merchantability!$B:$E,4,0)),AC294,0)</f>
        <v>#N/A</v>
      </c>
      <c r="AI294" s="104" t="e">
        <f t="shared" si="168"/>
        <v>#N/A</v>
      </c>
      <c r="AJ294" s="104" t="e">
        <f t="shared" si="169"/>
        <v>#VALUE!</v>
      </c>
      <c r="AK294" s="104" t="e">
        <f t="shared" si="170"/>
        <v>#N/A</v>
      </c>
      <c r="AL294" s="104" t="e">
        <f t="shared" si="171"/>
        <v>#N/A</v>
      </c>
      <c r="AM294" s="104" t="e">
        <f t="shared" si="172"/>
        <v>#N/A</v>
      </c>
      <c r="AN294" s="104" t="e">
        <f t="shared" si="156"/>
        <v>#N/A</v>
      </c>
      <c r="AO294" s="104" t="e">
        <f t="shared" si="157"/>
        <v>#N/A</v>
      </c>
      <c r="AP294" s="104" t="e">
        <f t="shared" si="158"/>
        <v>#N/A</v>
      </c>
      <c r="AQ294" s="104" t="e">
        <f t="shared" si="159"/>
        <v>#N/A</v>
      </c>
      <c r="AR294" s="105" t="str">
        <f t="shared" si="151"/>
        <v/>
      </c>
      <c r="AS294" s="105" t="str">
        <f t="shared" si="152"/>
        <v/>
      </c>
      <c r="AT294" s="108" t="str">
        <f t="shared" si="153"/>
        <v/>
      </c>
      <c r="AU294" s="108" t="str">
        <f t="shared" si="154"/>
        <v/>
      </c>
      <c r="AV294" s="107" t="str">
        <f>IF(ISNUMBER(O294),IF(VLOOKUP($A294,Stand!C:J,8,FALSE)="Short",AT294,AU294),"")</f>
        <v/>
      </c>
      <c r="AW294" s="109" t="str">
        <f t="shared" si="160"/>
        <v/>
      </c>
      <c r="AX294" s="109" t="str">
        <f t="shared" si="161"/>
        <v/>
      </c>
      <c r="AY294" s="112" t="str">
        <f>IF(ISNUMBER(O294),IF(AND(VLOOKUP($D294,Merchantability!$B:$C,2,0)="Yes",$E294&gt;=VLOOKUP($D294,Merchantability!$B:$D,3,0),$E294&lt;=VLOOKUP($D294,Merchantability!$B:$E,4,0)),(AV294*O294)*(1-$H294/100),""),"")</f>
        <v/>
      </c>
      <c r="AZ294" s="116"/>
      <c r="BA294" s="116"/>
      <c r="BB294" s="116"/>
      <c r="BE294" s="62"/>
      <c r="BF294" s="63"/>
    </row>
    <row r="295" spans="1:58" ht="12.75" customHeight="1" x14ac:dyDescent="0.25">
      <c r="A295" s="313"/>
      <c r="B295" s="380"/>
      <c r="C295" s="381"/>
      <c r="D295" s="380"/>
      <c r="E295" s="382"/>
      <c r="F295" s="331"/>
      <c r="G295" s="329"/>
      <c r="H295" s="329"/>
      <c r="I295" s="380"/>
      <c r="J295" s="381"/>
      <c r="K295" s="329"/>
      <c r="L295" s="329"/>
      <c r="M295" s="76"/>
      <c r="N295" s="103" t="str">
        <f>IF(A295="","",VLOOKUP(A295,Stand!C:K,9,0))</f>
        <v/>
      </c>
      <c r="O295" s="104" t="str">
        <f t="shared" si="146"/>
        <v/>
      </c>
      <c r="P295" s="105" t="str">
        <f t="shared" si="147"/>
        <v/>
      </c>
      <c r="Q295" s="105" t="str">
        <f t="shared" si="162"/>
        <v/>
      </c>
      <c r="R295" s="103" t="str">
        <f t="shared" si="148"/>
        <v/>
      </c>
      <c r="S295" s="103" t="str">
        <f t="shared" si="149"/>
        <v/>
      </c>
      <c r="T295" s="106" t="str">
        <f t="shared" si="163"/>
        <v/>
      </c>
      <c r="U295" s="106" t="str">
        <f t="shared" si="164"/>
        <v/>
      </c>
      <c r="V295" s="106" t="str">
        <f t="shared" si="165"/>
        <v/>
      </c>
      <c r="W295" s="105" t="str">
        <f t="shared" si="150"/>
        <v/>
      </c>
      <c r="X295" s="104" t="str">
        <f t="shared" si="155"/>
        <v/>
      </c>
      <c r="Y295" s="104" t="str">
        <f t="array" ref="Y295">IFERROR(IF(ISNUMBER(O295),IF(COUNT(IF(A295=$A$2:$A$2427,IF(D295=$D$2:$D$2427,IF($X$2:$X$2427&gt;0,1))))&gt;0,SUM(IF(A295=$A$2:$A$2427,IF(D295=$D$2:$D$2427,$X$2:$X$2427)))/COUNT(IF(A295=$A$2:$A$2427,IF(D295=$D$2:$D$2427,IF(ISNUMBER($X$2:$X$2427),1)))),0),""),0)</f>
        <v/>
      </c>
      <c r="Z295" s="104" t="str">
        <f>IF(ISNUMBER(O295),IF(I295&gt;0,(10^(VLOOKUP(D295,'Species Codes'!B:C,2,0)+VLOOKUP(D295,'Species Codes'!B:D,3,0)*LOG(E295)+VLOOKUP(D295,'Species Codes'!B:E,4,0)*LOG(I295))),0),"")</f>
        <v/>
      </c>
      <c r="AA295" s="104" t="str">
        <f>IFERROR((VLOOKUP(D295,'Species Codes'!B:G,6,0)*Z295)/2000,"")</f>
        <v/>
      </c>
      <c r="AB295" s="104" t="e">
        <f>IF(Z295&gt;0,((IF(OR(D295="DF",D295="RA")=TRUE,EXP(VLOOKUP(D295,'Species Codes'!B:I,8,0)+VLOOKUP(D295,'Species Codes'!B:J,9,0)*(LN((E295*2.54)))),IF(OR(D295="PY",D295="RC",D295="WH",D295="NF")=TRUE,VLOOKUP(D295,'Species Codes'!B:I,8,0)+VLOOKUP(D295,'Species Codes'!B:J,9,0)*((E295*2.54)^2)*(I295*0.3048),IF(OR(D295="MD",D295="BM",D295="GA")=TRUE,((VLOOKUP(D295,'Species Codes'!B:I,8,0)*(((((E295*2.54)+VLOOKUP(D295,'Species Codes'!B:J,9,0))/VLOOKUP(D295,'Species Codes'!B:K,10,0))^VLOOKUP(D295,'Species Codes'!B:L,11,0))*((I295*0.3048)^VLOOKUP(D295,'Species Codes'!B:M,12,0))))-(VLOOKUP(D295,'Species Codes'!B:I,8,0)*((((E295*2.54)^VLOOKUP(D295,'Species Codes'!B:L,11,0))*((I295*0.3048)^VLOOKUP(D295,'Species Codes'!B:M,12,0))))))*35.3*VLOOKUP(D295,'Species Codes'!B:G,6,0)/2.2046,VLOOKUP(D295,'Species Codes'!B:I,8,0)+VLOOKUP(D295,'Species Codes'!B:J,9,0)*(((E295*2.54)/100)^2)*(I295*0.3048)))))*0.0011023),0)</f>
        <v>#N/A</v>
      </c>
      <c r="AC295" s="104" t="e">
        <f>IF(Z295&gt;0,((IF(OR(D295="RA",D295="OA",D295="OT",D295="UN",D295="PC"),EXP(VLOOKUP(D295,'Species Codes'!B:O,14,0)+VLOOKUP(D295,'Species Codes'!B:P,15,0)*LN((E295*2.54)))-EXP(VLOOKUP(D295,'Species Codes'!B:O,14,0)+VLOOKUP(D295,'Species Codes'!B:P,15,0)*LN((E295*2.54)))*(1/(VLOOKUP(D295,'Species Codes'!B:Q,16,0)+VLOOKUP(D295,'Species Codes'!B:R,17,0)*((E295*2.54)^VLOOKUP(D295,'Species Codes'!B:S,18,0)))),IF(OR(D295="BM",D295="MD",D295="OA"),EXP(VLOOKUP(D295,'Species Codes'!B:O,14,0)+VLOOKUP(D295,'Species Codes'!B:P,15,0)*LN((E295*2.54)))*(1-(1/(VLOOKUP(D295,'Species Codes'!B:Q,16,0)+VLOOKUP(D295,'Species Codes'!B:R,17,0)*((E295*2.54)^VLOOKUP(D295,'Species Codes'!B:S,18,0)))))/1000,IF(D295="DF",EXP(VLOOKUP(D295,'Species Codes'!B:O,14,0)+VLOOKUP(D295,'Species Codes'!B:P,15,0)*LN((E295*2.54))),VLOOKUP(D295,'Species Codes'!B:O,14,0)+VLOOKUP(D295,'Species Codes'!B:P,15,0)*(((E295*2.54)/100)^2)*(I295*0.3048)))))*0.0011023),0)</f>
        <v>#N/A</v>
      </c>
      <c r="AD295" s="104" t="e">
        <f t="shared" si="166"/>
        <v>#N/A</v>
      </c>
      <c r="AE295" s="104" t="e">
        <f t="shared" si="167"/>
        <v>#N/A</v>
      </c>
      <c r="AF295" s="104" t="e">
        <f>IF(AND(VLOOKUP($D295,Merchantability!$B:$C,2,0)="Yes",$E295&gt;=VLOOKUP($D295,Merchantability!$B:$D,3,0),$E295&lt;=VLOOKUP($D295,Merchantability!$B:$E,4,0)),AA295,0)</f>
        <v>#N/A</v>
      </c>
      <c r="AG295" s="104" t="e">
        <f>IF(AND(VLOOKUP($D295,Merchantability!$B:$C,2,0)="Yes",$E295&gt;=VLOOKUP($D295,Merchantability!$B:$D,3,0),$E295&lt;=VLOOKUP($D295,Merchantability!$B:$E,4,0)),AB295,0)</f>
        <v>#N/A</v>
      </c>
      <c r="AH295" s="104" t="e">
        <f>IF(AND(VLOOKUP($D295,Merchantability!$B:$C,2,0)="Yes",$E295&gt;=VLOOKUP($D295,Merchantability!$B:$D,3,0),$E295&lt;=VLOOKUP($D295,Merchantability!$B:$E,4,0)),AC295,0)</f>
        <v>#N/A</v>
      </c>
      <c r="AI295" s="104" t="e">
        <f t="shared" si="168"/>
        <v>#N/A</v>
      </c>
      <c r="AJ295" s="104" t="e">
        <f t="shared" si="169"/>
        <v>#VALUE!</v>
      </c>
      <c r="AK295" s="104" t="e">
        <f t="shared" si="170"/>
        <v>#N/A</v>
      </c>
      <c r="AL295" s="104" t="e">
        <f t="shared" si="171"/>
        <v>#N/A</v>
      </c>
      <c r="AM295" s="104" t="e">
        <f t="shared" si="172"/>
        <v>#N/A</v>
      </c>
      <c r="AN295" s="104" t="e">
        <f t="shared" si="156"/>
        <v>#N/A</v>
      </c>
      <c r="AO295" s="104" t="e">
        <f t="shared" si="157"/>
        <v>#N/A</v>
      </c>
      <c r="AP295" s="104" t="e">
        <f t="shared" si="158"/>
        <v>#N/A</v>
      </c>
      <c r="AQ295" s="104" t="e">
        <f t="shared" si="159"/>
        <v>#N/A</v>
      </c>
      <c r="AR295" s="105" t="str">
        <f t="shared" si="151"/>
        <v/>
      </c>
      <c r="AS295" s="105" t="str">
        <f t="shared" si="152"/>
        <v/>
      </c>
      <c r="AT295" s="108" t="str">
        <f t="shared" si="153"/>
        <v/>
      </c>
      <c r="AU295" s="108" t="str">
        <f t="shared" si="154"/>
        <v/>
      </c>
      <c r="AV295" s="107" t="str">
        <f>IF(ISNUMBER(O295),IF(VLOOKUP($A295,Stand!C:J,8,FALSE)="Short",AT295,AU295),"")</f>
        <v/>
      </c>
      <c r="AW295" s="109" t="str">
        <f t="shared" si="160"/>
        <v/>
      </c>
      <c r="AX295" s="109" t="str">
        <f t="shared" si="161"/>
        <v/>
      </c>
      <c r="AY295" s="112" t="str">
        <f>IF(ISNUMBER(O295),IF(AND(VLOOKUP($D295,Merchantability!$B:$C,2,0)="Yes",$E295&gt;=VLOOKUP($D295,Merchantability!$B:$D,3,0),$E295&lt;=VLOOKUP($D295,Merchantability!$B:$E,4,0)),(AV295*O295)*(1-$H295/100),""),"")</f>
        <v/>
      </c>
      <c r="AZ295" s="116"/>
      <c r="BA295" s="116"/>
      <c r="BB295" s="116"/>
      <c r="BE295" s="62"/>
      <c r="BF295" s="63"/>
    </row>
    <row r="296" spans="1:58" ht="12.75" customHeight="1" x14ac:dyDescent="0.25">
      <c r="A296" s="313"/>
      <c r="B296" s="380"/>
      <c r="C296" s="381"/>
      <c r="D296" s="380"/>
      <c r="E296" s="382"/>
      <c r="F296" s="331"/>
      <c r="G296" s="329"/>
      <c r="H296" s="329"/>
      <c r="I296" s="380"/>
      <c r="J296" s="381"/>
      <c r="K296" s="329"/>
      <c r="L296" s="329"/>
      <c r="M296" s="76"/>
      <c r="N296" s="103" t="str">
        <f>IF(A296="","",VLOOKUP(A296,Stand!C:K,9,0))</f>
        <v/>
      </c>
      <c r="O296" s="104" t="str">
        <f t="shared" si="146"/>
        <v/>
      </c>
      <c r="P296" s="105" t="str">
        <f t="shared" si="147"/>
        <v/>
      </c>
      <c r="Q296" s="105" t="str">
        <f t="shared" si="162"/>
        <v/>
      </c>
      <c r="R296" s="103" t="str">
        <f t="shared" si="148"/>
        <v/>
      </c>
      <c r="S296" s="103" t="str">
        <f t="shared" si="149"/>
        <v/>
      </c>
      <c r="T296" s="106" t="str">
        <f t="shared" si="163"/>
        <v/>
      </c>
      <c r="U296" s="106" t="str">
        <f t="shared" si="164"/>
        <v/>
      </c>
      <c r="V296" s="106" t="str">
        <f t="shared" si="165"/>
        <v/>
      </c>
      <c r="W296" s="105" t="str">
        <f t="shared" si="150"/>
        <v/>
      </c>
      <c r="X296" s="104" t="str">
        <f t="shared" si="155"/>
        <v/>
      </c>
      <c r="Y296" s="104" t="str">
        <f t="array" ref="Y296">IFERROR(IF(ISNUMBER(O296),IF(COUNT(IF(A296=$A$2:$A$2427,IF(D296=$D$2:$D$2427,IF($X$2:$X$2427&gt;0,1))))&gt;0,SUM(IF(A296=$A$2:$A$2427,IF(D296=$D$2:$D$2427,$X$2:$X$2427)))/COUNT(IF(A296=$A$2:$A$2427,IF(D296=$D$2:$D$2427,IF(ISNUMBER($X$2:$X$2427),1)))),0),""),0)</f>
        <v/>
      </c>
      <c r="Z296" s="104" t="str">
        <f>IF(ISNUMBER(O296),IF(I296&gt;0,(10^(VLOOKUP(D296,'Species Codes'!B:C,2,0)+VLOOKUP(D296,'Species Codes'!B:D,3,0)*LOG(E296)+VLOOKUP(D296,'Species Codes'!B:E,4,0)*LOG(I296))),0),"")</f>
        <v/>
      </c>
      <c r="AA296" s="104" t="str">
        <f>IFERROR((VLOOKUP(D296,'Species Codes'!B:G,6,0)*Z296)/2000,"")</f>
        <v/>
      </c>
      <c r="AB296" s="104" t="e">
        <f>IF(Z296&gt;0,((IF(OR(D296="DF",D296="RA")=TRUE,EXP(VLOOKUP(D296,'Species Codes'!B:I,8,0)+VLOOKUP(D296,'Species Codes'!B:J,9,0)*(LN((E296*2.54)))),IF(OR(D296="PY",D296="RC",D296="WH",D296="NF")=TRUE,VLOOKUP(D296,'Species Codes'!B:I,8,0)+VLOOKUP(D296,'Species Codes'!B:J,9,0)*((E296*2.54)^2)*(I296*0.3048),IF(OR(D296="MD",D296="BM",D296="GA")=TRUE,((VLOOKUP(D296,'Species Codes'!B:I,8,0)*(((((E296*2.54)+VLOOKUP(D296,'Species Codes'!B:J,9,0))/VLOOKUP(D296,'Species Codes'!B:K,10,0))^VLOOKUP(D296,'Species Codes'!B:L,11,0))*((I296*0.3048)^VLOOKUP(D296,'Species Codes'!B:M,12,0))))-(VLOOKUP(D296,'Species Codes'!B:I,8,0)*((((E296*2.54)^VLOOKUP(D296,'Species Codes'!B:L,11,0))*((I296*0.3048)^VLOOKUP(D296,'Species Codes'!B:M,12,0))))))*35.3*VLOOKUP(D296,'Species Codes'!B:G,6,0)/2.2046,VLOOKUP(D296,'Species Codes'!B:I,8,0)+VLOOKUP(D296,'Species Codes'!B:J,9,0)*(((E296*2.54)/100)^2)*(I296*0.3048)))))*0.0011023),0)</f>
        <v>#N/A</v>
      </c>
      <c r="AC296" s="104" t="e">
        <f>IF(Z296&gt;0,((IF(OR(D296="RA",D296="OA",D296="OT",D296="UN",D296="PC"),EXP(VLOOKUP(D296,'Species Codes'!B:O,14,0)+VLOOKUP(D296,'Species Codes'!B:P,15,0)*LN((E296*2.54)))-EXP(VLOOKUP(D296,'Species Codes'!B:O,14,0)+VLOOKUP(D296,'Species Codes'!B:P,15,0)*LN((E296*2.54)))*(1/(VLOOKUP(D296,'Species Codes'!B:Q,16,0)+VLOOKUP(D296,'Species Codes'!B:R,17,0)*((E296*2.54)^VLOOKUP(D296,'Species Codes'!B:S,18,0)))),IF(OR(D296="BM",D296="MD",D296="OA"),EXP(VLOOKUP(D296,'Species Codes'!B:O,14,0)+VLOOKUP(D296,'Species Codes'!B:P,15,0)*LN((E296*2.54)))*(1-(1/(VLOOKUP(D296,'Species Codes'!B:Q,16,0)+VLOOKUP(D296,'Species Codes'!B:R,17,0)*((E296*2.54)^VLOOKUP(D296,'Species Codes'!B:S,18,0)))))/1000,IF(D296="DF",EXP(VLOOKUP(D296,'Species Codes'!B:O,14,0)+VLOOKUP(D296,'Species Codes'!B:P,15,0)*LN((E296*2.54))),VLOOKUP(D296,'Species Codes'!B:O,14,0)+VLOOKUP(D296,'Species Codes'!B:P,15,0)*(((E296*2.54)/100)^2)*(I296*0.3048)))))*0.0011023),0)</f>
        <v>#N/A</v>
      </c>
      <c r="AD296" s="104" t="e">
        <f t="shared" si="166"/>
        <v>#N/A</v>
      </c>
      <c r="AE296" s="104" t="e">
        <f t="shared" si="167"/>
        <v>#N/A</v>
      </c>
      <c r="AF296" s="104" t="e">
        <f>IF(AND(VLOOKUP($D296,Merchantability!$B:$C,2,0)="Yes",$E296&gt;=VLOOKUP($D296,Merchantability!$B:$D,3,0),$E296&lt;=VLOOKUP($D296,Merchantability!$B:$E,4,0)),AA296,0)</f>
        <v>#N/A</v>
      </c>
      <c r="AG296" s="104" t="e">
        <f>IF(AND(VLOOKUP($D296,Merchantability!$B:$C,2,0)="Yes",$E296&gt;=VLOOKUP($D296,Merchantability!$B:$D,3,0),$E296&lt;=VLOOKUP($D296,Merchantability!$B:$E,4,0)),AB296,0)</f>
        <v>#N/A</v>
      </c>
      <c r="AH296" s="104" t="e">
        <f>IF(AND(VLOOKUP($D296,Merchantability!$B:$C,2,0)="Yes",$E296&gt;=VLOOKUP($D296,Merchantability!$B:$D,3,0),$E296&lt;=VLOOKUP($D296,Merchantability!$B:$E,4,0)),AC296,0)</f>
        <v>#N/A</v>
      </c>
      <c r="AI296" s="104" t="e">
        <f t="shared" si="168"/>
        <v>#N/A</v>
      </c>
      <c r="AJ296" s="104" t="e">
        <f t="shared" si="169"/>
        <v>#VALUE!</v>
      </c>
      <c r="AK296" s="104" t="e">
        <f t="shared" si="170"/>
        <v>#N/A</v>
      </c>
      <c r="AL296" s="104" t="e">
        <f t="shared" si="171"/>
        <v>#N/A</v>
      </c>
      <c r="AM296" s="104" t="e">
        <f t="shared" si="172"/>
        <v>#N/A</v>
      </c>
      <c r="AN296" s="104" t="e">
        <f t="shared" si="156"/>
        <v>#N/A</v>
      </c>
      <c r="AO296" s="104" t="e">
        <f t="shared" si="157"/>
        <v>#N/A</v>
      </c>
      <c r="AP296" s="104" t="e">
        <f t="shared" si="158"/>
        <v>#N/A</v>
      </c>
      <c r="AQ296" s="104" t="e">
        <f t="shared" si="159"/>
        <v>#N/A</v>
      </c>
      <c r="AR296" s="105" t="str">
        <f t="shared" si="151"/>
        <v/>
      </c>
      <c r="AS296" s="105" t="str">
        <f t="shared" si="152"/>
        <v/>
      </c>
      <c r="AT296" s="108" t="str">
        <f t="shared" si="153"/>
        <v/>
      </c>
      <c r="AU296" s="108" t="str">
        <f t="shared" si="154"/>
        <v/>
      </c>
      <c r="AV296" s="107" t="str">
        <f>IF(ISNUMBER(O296),IF(VLOOKUP($A296,Stand!C:J,8,FALSE)="Short",AT296,AU296),"")</f>
        <v/>
      </c>
      <c r="AW296" s="109" t="str">
        <f t="shared" si="160"/>
        <v/>
      </c>
      <c r="AX296" s="109" t="str">
        <f t="shared" si="161"/>
        <v/>
      </c>
      <c r="AY296" s="112" t="str">
        <f>IF(ISNUMBER(O296),IF(AND(VLOOKUP($D296,Merchantability!$B:$C,2,0)="Yes",$E296&gt;=VLOOKUP($D296,Merchantability!$B:$D,3,0),$E296&lt;=VLOOKUP($D296,Merchantability!$B:$E,4,0)),(AV296*O296)*(1-$H296/100),""),"")</f>
        <v/>
      </c>
      <c r="AZ296" s="116"/>
      <c r="BA296" s="116"/>
      <c r="BB296" s="116"/>
      <c r="BE296" s="62"/>
      <c r="BF296" s="63"/>
    </row>
    <row r="297" spans="1:58" ht="12.75" customHeight="1" x14ac:dyDescent="0.25">
      <c r="A297" s="313"/>
      <c r="B297" s="380"/>
      <c r="C297" s="381"/>
      <c r="D297" s="380"/>
      <c r="E297" s="382"/>
      <c r="F297" s="331"/>
      <c r="G297" s="329"/>
      <c r="H297" s="329"/>
      <c r="I297" s="380"/>
      <c r="J297" s="381"/>
      <c r="K297" s="329"/>
      <c r="L297" s="329"/>
      <c r="M297" s="76"/>
      <c r="N297" s="103" t="str">
        <f>IF(A297="","",VLOOKUP(A297,Stand!C:K,9,0))</f>
        <v/>
      </c>
      <c r="O297" s="104" t="str">
        <f t="shared" si="146"/>
        <v/>
      </c>
      <c r="P297" s="105" t="str">
        <f t="shared" si="147"/>
        <v/>
      </c>
      <c r="Q297" s="105" t="str">
        <f t="shared" si="162"/>
        <v/>
      </c>
      <c r="R297" s="103" t="str">
        <f t="shared" si="148"/>
        <v/>
      </c>
      <c r="S297" s="103" t="str">
        <f t="shared" si="149"/>
        <v/>
      </c>
      <c r="T297" s="106" t="str">
        <f t="shared" si="163"/>
        <v/>
      </c>
      <c r="U297" s="106" t="str">
        <f t="shared" si="164"/>
        <v/>
      </c>
      <c r="V297" s="106" t="str">
        <f t="shared" si="165"/>
        <v/>
      </c>
      <c r="W297" s="105" t="str">
        <f t="shared" si="150"/>
        <v/>
      </c>
      <c r="X297" s="104" t="str">
        <f t="shared" si="155"/>
        <v/>
      </c>
      <c r="Y297" s="104" t="str">
        <f t="array" ref="Y297">IFERROR(IF(ISNUMBER(O297),IF(COUNT(IF(A297=$A$2:$A$2427,IF(D297=$D$2:$D$2427,IF($X$2:$X$2427&gt;0,1))))&gt;0,SUM(IF(A297=$A$2:$A$2427,IF(D297=$D$2:$D$2427,$X$2:$X$2427)))/COUNT(IF(A297=$A$2:$A$2427,IF(D297=$D$2:$D$2427,IF(ISNUMBER($X$2:$X$2427),1)))),0),""),0)</f>
        <v/>
      </c>
      <c r="Z297" s="104" t="str">
        <f>IF(ISNUMBER(O297),IF(I297&gt;0,(10^(VLOOKUP(D297,'Species Codes'!B:C,2,0)+VLOOKUP(D297,'Species Codes'!B:D,3,0)*LOG(E297)+VLOOKUP(D297,'Species Codes'!B:E,4,0)*LOG(I297))),0),"")</f>
        <v/>
      </c>
      <c r="AA297" s="104" t="str">
        <f>IFERROR((VLOOKUP(D297,'Species Codes'!B:G,6,0)*Z297)/2000,"")</f>
        <v/>
      </c>
      <c r="AB297" s="104" t="e">
        <f>IF(Z297&gt;0,((IF(OR(D297="DF",D297="RA")=TRUE,EXP(VLOOKUP(D297,'Species Codes'!B:I,8,0)+VLOOKUP(D297,'Species Codes'!B:J,9,0)*(LN((E297*2.54)))),IF(OR(D297="PY",D297="RC",D297="WH",D297="NF")=TRUE,VLOOKUP(D297,'Species Codes'!B:I,8,0)+VLOOKUP(D297,'Species Codes'!B:J,9,0)*((E297*2.54)^2)*(I297*0.3048),IF(OR(D297="MD",D297="BM",D297="GA")=TRUE,((VLOOKUP(D297,'Species Codes'!B:I,8,0)*(((((E297*2.54)+VLOOKUP(D297,'Species Codes'!B:J,9,0))/VLOOKUP(D297,'Species Codes'!B:K,10,0))^VLOOKUP(D297,'Species Codes'!B:L,11,0))*((I297*0.3048)^VLOOKUP(D297,'Species Codes'!B:M,12,0))))-(VLOOKUP(D297,'Species Codes'!B:I,8,0)*((((E297*2.54)^VLOOKUP(D297,'Species Codes'!B:L,11,0))*((I297*0.3048)^VLOOKUP(D297,'Species Codes'!B:M,12,0))))))*35.3*VLOOKUP(D297,'Species Codes'!B:G,6,0)/2.2046,VLOOKUP(D297,'Species Codes'!B:I,8,0)+VLOOKUP(D297,'Species Codes'!B:J,9,0)*(((E297*2.54)/100)^2)*(I297*0.3048)))))*0.0011023),0)</f>
        <v>#N/A</v>
      </c>
      <c r="AC297" s="104" t="e">
        <f>IF(Z297&gt;0,((IF(OR(D297="RA",D297="OA",D297="OT",D297="UN",D297="PC"),EXP(VLOOKUP(D297,'Species Codes'!B:O,14,0)+VLOOKUP(D297,'Species Codes'!B:P,15,0)*LN((E297*2.54)))-EXP(VLOOKUP(D297,'Species Codes'!B:O,14,0)+VLOOKUP(D297,'Species Codes'!B:P,15,0)*LN((E297*2.54)))*(1/(VLOOKUP(D297,'Species Codes'!B:Q,16,0)+VLOOKUP(D297,'Species Codes'!B:R,17,0)*((E297*2.54)^VLOOKUP(D297,'Species Codes'!B:S,18,0)))),IF(OR(D297="BM",D297="MD",D297="OA"),EXP(VLOOKUP(D297,'Species Codes'!B:O,14,0)+VLOOKUP(D297,'Species Codes'!B:P,15,0)*LN((E297*2.54)))*(1-(1/(VLOOKUP(D297,'Species Codes'!B:Q,16,0)+VLOOKUP(D297,'Species Codes'!B:R,17,0)*((E297*2.54)^VLOOKUP(D297,'Species Codes'!B:S,18,0)))))/1000,IF(D297="DF",EXP(VLOOKUP(D297,'Species Codes'!B:O,14,0)+VLOOKUP(D297,'Species Codes'!B:P,15,0)*LN((E297*2.54))),VLOOKUP(D297,'Species Codes'!B:O,14,0)+VLOOKUP(D297,'Species Codes'!B:P,15,0)*(((E297*2.54)/100)^2)*(I297*0.3048)))))*0.0011023),0)</f>
        <v>#N/A</v>
      </c>
      <c r="AD297" s="104" t="e">
        <f t="shared" si="166"/>
        <v>#N/A</v>
      </c>
      <c r="AE297" s="104" t="e">
        <f t="shared" si="167"/>
        <v>#N/A</v>
      </c>
      <c r="AF297" s="104" t="e">
        <f>IF(AND(VLOOKUP($D297,Merchantability!$B:$C,2,0)="Yes",$E297&gt;=VLOOKUP($D297,Merchantability!$B:$D,3,0),$E297&lt;=VLOOKUP($D297,Merchantability!$B:$E,4,0)),AA297,0)</f>
        <v>#N/A</v>
      </c>
      <c r="AG297" s="104" t="e">
        <f>IF(AND(VLOOKUP($D297,Merchantability!$B:$C,2,0)="Yes",$E297&gt;=VLOOKUP($D297,Merchantability!$B:$D,3,0),$E297&lt;=VLOOKUP($D297,Merchantability!$B:$E,4,0)),AB297,0)</f>
        <v>#N/A</v>
      </c>
      <c r="AH297" s="104" t="e">
        <f>IF(AND(VLOOKUP($D297,Merchantability!$B:$C,2,0)="Yes",$E297&gt;=VLOOKUP($D297,Merchantability!$B:$D,3,0),$E297&lt;=VLOOKUP($D297,Merchantability!$B:$E,4,0)),AC297,0)</f>
        <v>#N/A</v>
      </c>
      <c r="AI297" s="104" t="e">
        <f t="shared" si="168"/>
        <v>#N/A</v>
      </c>
      <c r="AJ297" s="104" t="e">
        <f t="shared" si="169"/>
        <v>#VALUE!</v>
      </c>
      <c r="AK297" s="104" t="e">
        <f t="shared" si="170"/>
        <v>#N/A</v>
      </c>
      <c r="AL297" s="104" t="e">
        <f t="shared" si="171"/>
        <v>#N/A</v>
      </c>
      <c r="AM297" s="104" t="e">
        <f t="shared" si="172"/>
        <v>#N/A</v>
      </c>
      <c r="AN297" s="104" t="e">
        <f t="shared" si="156"/>
        <v>#N/A</v>
      </c>
      <c r="AO297" s="104" t="e">
        <f t="shared" si="157"/>
        <v>#N/A</v>
      </c>
      <c r="AP297" s="104" t="e">
        <f t="shared" si="158"/>
        <v>#N/A</v>
      </c>
      <c r="AQ297" s="104" t="e">
        <f t="shared" si="159"/>
        <v>#N/A</v>
      </c>
      <c r="AR297" s="105" t="str">
        <f t="shared" si="151"/>
        <v/>
      </c>
      <c r="AS297" s="105" t="str">
        <f t="shared" si="152"/>
        <v/>
      </c>
      <c r="AT297" s="108" t="str">
        <f t="shared" si="153"/>
        <v/>
      </c>
      <c r="AU297" s="108" t="str">
        <f t="shared" si="154"/>
        <v/>
      </c>
      <c r="AV297" s="107" t="str">
        <f>IF(ISNUMBER(O297),IF(VLOOKUP($A297,Stand!C:J,8,FALSE)="Short",AT297,AU297),"")</f>
        <v/>
      </c>
      <c r="AW297" s="109" t="str">
        <f t="shared" si="160"/>
        <v/>
      </c>
      <c r="AX297" s="109" t="str">
        <f t="shared" si="161"/>
        <v/>
      </c>
      <c r="AY297" s="112" t="str">
        <f>IF(ISNUMBER(O297),IF(AND(VLOOKUP($D297,Merchantability!$B:$C,2,0)="Yes",$E297&gt;=VLOOKUP($D297,Merchantability!$B:$D,3,0),$E297&lt;=VLOOKUP($D297,Merchantability!$B:$E,4,0)),(AV297*O297)*(1-$H297/100),""),"")</f>
        <v/>
      </c>
      <c r="AZ297" s="116"/>
      <c r="BA297" s="116"/>
      <c r="BB297" s="116"/>
      <c r="BE297" s="62"/>
      <c r="BF297" s="63"/>
    </row>
    <row r="298" spans="1:58" ht="12.75" customHeight="1" x14ac:dyDescent="0.25">
      <c r="A298" s="313"/>
      <c r="B298" s="380"/>
      <c r="C298" s="381"/>
      <c r="D298" s="380"/>
      <c r="E298" s="382"/>
      <c r="F298" s="331"/>
      <c r="G298" s="329"/>
      <c r="H298" s="329"/>
      <c r="I298" s="380"/>
      <c r="J298" s="381"/>
      <c r="K298" s="329"/>
      <c r="L298" s="329"/>
      <c r="M298" s="76"/>
      <c r="N298" s="103" t="str">
        <f>IF(A298="","",VLOOKUP(A298,Stand!C:K,9,0))</f>
        <v/>
      </c>
      <c r="O298" s="104" t="str">
        <f t="shared" si="146"/>
        <v/>
      </c>
      <c r="P298" s="105" t="str">
        <f t="shared" si="147"/>
        <v/>
      </c>
      <c r="Q298" s="105" t="str">
        <f t="shared" si="162"/>
        <v/>
      </c>
      <c r="R298" s="103" t="str">
        <f t="shared" si="148"/>
        <v/>
      </c>
      <c r="S298" s="103" t="str">
        <f t="shared" si="149"/>
        <v/>
      </c>
      <c r="T298" s="106" t="str">
        <f t="shared" si="163"/>
        <v/>
      </c>
      <c r="U298" s="106" t="str">
        <f t="shared" si="164"/>
        <v/>
      </c>
      <c r="V298" s="106" t="str">
        <f t="shared" si="165"/>
        <v/>
      </c>
      <c r="W298" s="105" t="str">
        <f t="shared" si="150"/>
        <v/>
      </c>
      <c r="X298" s="104" t="str">
        <f t="shared" si="155"/>
        <v/>
      </c>
      <c r="Y298" s="104" t="str">
        <f t="array" ref="Y298">IFERROR(IF(ISNUMBER(O298),IF(COUNT(IF(A298=$A$2:$A$2427,IF(D298=$D$2:$D$2427,IF($X$2:$X$2427&gt;0,1))))&gt;0,SUM(IF(A298=$A$2:$A$2427,IF(D298=$D$2:$D$2427,$X$2:$X$2427)))/COUNT(IF(A298=$A$2:$A$2427,IF(D298=$D$2:$D$2427,IF(ISNUMBER($X$2:$X$2427),1)))),0),""),0)</f>
        <v/>
      </c>
      <c r="Z298" s="104" t="str">
        <f>IF(ISNUMBER(O298),IF(I298&gt;0,(10^(VLOOKUP(D298,'Species Codes'!B:C,2,0)+VLOOKUP(D298,'Species Codes'!B:D,3,0)*LOG(E298)+VLOOKUP(D298,'Species Codes'!B:E,4,0)*LOG(I298))),0),"")</f>
        <v/>
      </c>
      <c r="AA298" s="104" t="str">
        <f>IFERROR((VLOOKUP(D298,'Species Codes'!B:G,6,0)*Z298)/2000,"")</f>
        <v/>
      </c>
      <c r="AB298" s="104" t="e">
        <f>IF(Z298&gt;0,((IF(OR(D298="DF",D298="RA")=TRUE,EXP(VLOOKUP(D298,'Species Codes'!B:I,8,0)+VLOOKUP(D298,'Species Codes'!B:J,9,0)*(LN((E298*2.54)))),IF(OR(D298="PY",D298="RC",D298="WH",D298="NF")=TRUE,VLOOKUP(D298,'Species Codes'!B:I,8,0)+VLOOKUP(D298,'Species Codes'!B:J,9,0)*((E298*2.54)^2)*(I298*0.3048),IF(OR(D298="MD",D298="BM",D298="GA")=TRUE,((VLOOKUP(D298,'Species Codes'!B:I,8,0)*(((((E298*2.54)+VLOOKUP(D298,'Species Codes'!B:J,9,0))/VLOOKUP(D298,'Species Codes'!B:K,10,0))^VLOOKUP(D298,'Species Codes'!B:L,11,0))*((I298*0.3048)^VLOOKUP(D298,'Species Codes'!B:M,12,0))))-(VLOOKUP(D298,'Species Codes'!B:I,8,0)*((((E298*2.54)^VLOOKUP(D298,'Species Codes'!B:L,11,0))*((I298*0.3048)^VLOOKUP(D298,'Species Codes'!B:M,12,0))))))*35.3*VLOOKUP(D298,'Species Codes'!B:G,6,0)/2.2046,VLOOKUP(D298,'Species Codes'!B:I,8,0)+VLOOKUP(D298,'Species Codes'!B:J,9,0)*(((E298*2.54)/100)^2)*(I298*0.3048)))))*0.0011023),0)</f>
        <v>#N/A</v>
      </c>
      <c r="AC298" s="104" t="e">
        <f>IF(Z298&gt;0,((IF(OR(D298="RA",D298="OA",D298="OT",D298="UN",D298="PC"),EXP(VLOOKUP(D298,'Species Codes'!B:O,14,0)+VLOOKUP(D298,'Species Codes'!B:P,15,0)*LN((E298*2.54)))-EXP(VLOOKUP(D298,'Species Codes'!B:O,14,0)+VLOOKUP(D298,'Species Codes'!B:P,15,0)*LN((E298*2.54)))*(1/(VLOOKUP(D298,'Species Codes'!B:Q,16,0)+VLOOKUP(D298,'Species Codes'!B:R,17,0)*((E298*2.54)^VLOOKUP(D298,'Species Codes'!B:S,18,0)))),IF(OR(D298="BM",D298="MD",D298="OA"),EXP(VLOOKUP(D298,'Species Codes'!B:O,14,0)+VLOOKUP(D298,'Species Codes'!B:P,15,0)*LN((E298*2.54)))*(1-(1/(VLOOKUP(D298,'Species Codes'!B:Q,16,0)+VLOOKUP(D298,'Species Codes'!B:R,17,0)*((E298*2.54)^VLOOKUP(D298,'Species Codes'!B:S,18,0)))))/1000,IF(D298="DF",EXP(VLOOKUP(D298,'Species Codes'!B:O,14,0)+VLOOKUP(D298,'Species Codes'!B:P,15,0)*LN((E298*2.54))),VLOOKUP(D298,'Species Codes'!B:O,14,0)+VLOOKUP(D298,'Species Codes'!B:P,15,0)*(((E298*2.54)/100)^2)*(I298*0.3048)))))*0.0011023),0)</f>
        <v>#N/A</v>
      </c>
      <c r="AD298" s="104" t="e">
        <f t="shared" si="166"/>
        <v>#N/A</v>
      </c>
      <c r="AE298" s="104" t="e">
        <f t="shared" si="167"/>
        <v>#N/A</v>
      </c>
      <c r="AF298" s="104" t="e">
        <f>IF(AND(VLOOKUP($D298,Merchantability!$B:$C,2,0)="Yes",$E298&gt;=VLOOKUP($D298,Merchantability!$B:$D,3,0),$E298&lt;=VLOOKUP($D298,Merchantability!$B:$E,4,0)),AA298,0)</f>
        <v>#N/A</v>
      </c>
      <c r="AG298" s="104" t="e">
        <f>IF(AND(VLOOKUP($D298,Merchantability!$B:$C,2,0)="Yes",$E298&gt;=VLOOKUP($D298,Merchantability!$B:$D,3,0),$E298&lt;=VLOOKUP($D298,Merchantability!$B:$E,4,0)),AB298,0)</f>
        <v>#N/A</v>
      </c>
      <c r="AH298" s="104" t="e">
        <f>IF(AND(VLOOKUP($D298,Merchantability!$B:$C,2,0)="Yes",$E298&gt;=VLOOKUP($D298,Merchantability!$B:$D,3,0),$E298&lt;=VLOOKUP($D298,Merchantability!$B:$E,4,0)),AC298,0)</f>
        <v>#N/A</v>
      </c>
      <c r="AI298" s="104" t="e">
        <f t="shared" si="168"/>
        <v>#N/A</v>
      </c>
      <c r="AJ298" s="104" t="e">
        <f t="shared" si="169"/>
        <v>#VALUE!</v>
      </c>
      <c r="AK298" s="104" t="e">
        <f t="shared" si="170"/>
        <v>#N/A</v>
      </c>
      <c r="AL298" s="104" t="e">
        <f t="shared" si="171"/>
        <v>#N/A</v>
      </c>
      <c r="AM298" s="104" t="e">
        <f t="shared" si="172"/>
        <v>#N/A</v>
      </c>
      <c r="AN298" s="104" t="e">
        <f t="shared" si="156"/>
        <v>#N/A</v>
      </c>
      <c r="AO298" s="104" t="e">
        <f t="shared" si="157"/>
        <v>#N/A</v>
      </c>
      <c r="AP298" s="104" t="e">
        <f t="shared" si="158"/>
        <v>#N/A</v>
      </c>
      <c r="AQ298" s="104" t="e">
        <f t="shared" si="159"/>
        <v>#N/A</v>
      </c>
      <c r="AR298" s="105" t="str">
        <f t="shared" si="151"/>
        <v/>
      </c>
      <c r="AS298" s="105" t="str">
        <f t="shared" si="152"/>
        <v/>
      </c>
      <c r="AT298" s="108" t="str">
        <f t="shared" si="153"/>
        <v/>
      </c>
      <c r="AU298" s="108" t="str">
        <f t="shared" si="154"/>
        <v/>
      </c>
      <c r="AV298" s="107" t="str">
        <f>IF(ISNUMBER(O298),IF(VLOOKUP($A298,Stand!C:J,8,FALSE)="Short",AT298,AU298),"")</f>
        <v/>
      </c>
      <c r="AW298" s="109" t="str">
        <f t="shared" si="160"/>
        <v/>
      </c>
      <c r="AX298" s="109" t="str">
        <f t="shared" si="161"/>
        <v/>
      </c>
      <c r="AY298" s="112" t="str">
        <f>IF(ISNUMBER(O298),IF(AND(VLOOKUP($D298,Merchantability!$B:$C,2,0)="Yes",$E298&gt;=VLOOKUP($D298,Merchantability!$B:$D,3,0),$E298&lt;=VLOOKUP($D298,Merchantability!$B:$E,4,0)),(AV298*O298)*(1-$H298/100),""),"")</f>
        <v/>
      </c>
      <c r="AZ298" s="116"/>
      <c r="BA298" s="116"/>
      <c r="BB298" s="116"/>
      <c r="BE298" s="62"/>
      <c r="BF298" s="63"/>
    </row>
    <row r="299" spans="1:58" ht="12.75" customHeight="1" x14ac:dyDescent="0.25">
      <c r="A299" s="313"/>
      <c r="B299" s="380"/>
      <c r="C299" s="381"/>
      <c r="D299" s="380"/>
      <c r="E299" s="382"/>
      <c r="F299" s="331"/>
      <c r="G299" s="329"/>
      <c r="H299" s="329"/>
      <c r="I299" s="380"/>
      <c r="J299" s="381"/>
      <c r="K299" s="329"/>
      <c r="L299" s="329"/>
      <c r="M299" s="76"/>
      <c r="N299" s="103" t="str">
        <f>IF(A299="","",VLOOKUP(A299,Stand!C:K,9,0))</f>
        <v/>
      </c>
      <c r="O299" s="104" t="str">
        <f t="shared" si="146"/>
        <v/>
      </c>
      <c r="P299" s="105" t="str">
        <f t="shared" si="147"/>
        <v/>
      </c>
      <c r="Q299" s="105" t="str">
        <f t="shared" si="162"/>
        <v/>
      </c>
      <c r="R299" s="103" t="str">
        <f t="shared" si="148"/>
        <v/>
      </c>
      <c r="S299" s="103" t="str">
        <f t="shared" si="149"/>
        <v/>
      </c>
      <c r="T299" s="106" t="str">
        <f t="shared" si="163"/>
        <v/>
      </c>
      <c r="U299" s="106" t="str">
        <f t="shared" si="164"/>
        <v/>
      </c>
      <c r="V299" s="106" t="str">
        <f t="shared" si="165"/>
        <v/>
      </c>
      <c r="W299" s="105" t="str">
        <f t="shared" si="150"/>
        <v/>
      </c>
      <c r="X299" s="104" t="str">
        <f t="shared" si="155"/>
        <v/>
      </c>
      <c r="Y299" s="104" t="str">
        <f t="array" ref="Y299">IFERROR(IF(ISNUMBER(O299),IF(COUNT(IF(A299=$A$2:$A$2427,IF(D299=$D$2:$D$2427,IF($X$2:$X$2427&gt;0,1))))&gt;0,SUM(IF(A299=$A$2:$A$2427,IF(D299=$D$2:$D$2427,$X$2:$X$2427)))/COUNT(IF(A299=$A$2:$A$2427,IF(D299=$D$2:$D$2427,IF(ISNUMBER($X$2:$X$2427),1)))),0),""),0)</f>
        <v/>
      </c>
      <c r="Z299" s="104" t="str">
        <f>IF(ISNUMBER(O299),IF(I299&gt;0,(10^(VLOOKUP(D299,'Species Codes'!B:C,2,0)+VLOOKUP(D299,'Species Codes'!B:D,3,0)*LOG(E299)+VLOOKUP(D299,'Species Codes'!B:E,4,0)*LOG(I299))),0),"")</f>
        <v/>
      </c>
      <c r="AA299" s="104" t="str">
        <f>IFERROR((VLOOKUP(D299,'Species Codes'!B:G,6,0)*Z299)/2000,"")</f>
        <v/>
      </c>
      <c r="AB299" s="104" t="e">
        <f>IF(Z299&gt;0,((IF(OR(D299="DF",D299="RA")=TRUE,EXP(VLOOKUP(D299,'Species Codes'!B:I,8,0)+VLOOKUP(D299,'Species Codes'!B:J,9,0)*(LN((E299*2.54)))),IF(OR(D299="PY",D299="RC",D299="WH",D299="NF")=TRUE,VLOOKUP(D299,'Species Codes'!B:I,8,0)+VLOOKUP(D299,'Species Codes'!B:J,9,0)*((E299*2.54)^2)*(I299*0.3048),IF(OR(D299="MD",D299="BM",D299="GA")=TRUE,((VLOOKUP(D299,'Species Codes'!B:I,8,0)*(((((E299*2.54)+VLOOKUP(D299,'Species Codes'!B:J,9,0))/VLOOKUP(D299,'Species Codes'!B:K,10,0))^VLOOKUP(D299,'Species Codes'!B:L,11,0))*((I299*0.3048)^VLOOKUP(D299,'Species Codes'!B:M,12,0))))-(VLOOKUP(D299,'Species Codes'!B:I,8,0)*((((E299*2.54)^VLOOKUP(D299,'Species Codes'!B:L,11,0))*((I299*0.3048)^VLOOKUP(D299,'Species Codes'!B:M,12,0))))))*35.3*VLOOKUP(D299,'Species Codes'!B:G,6,0)/2.2046,VLOOKUP(D299,'Species Codes'!B:I,8,0)+VLOOKUP(D299,'Species Codes'!B:J,9,0)*(((E299*2.54)/100)^2)*(I299*0.3048)))))*0.0011023),0)</f>
        <v>#N/A</v>
      </c>
      <c r="AC299" s="104" t="e">
        <f>IF(Z299&gt;0,((IF(OR(D299="RA",D299="OA",D299="OT",D299="UN",D299="PC"),EXP(VLOOKUP(D299,'Species Codes'!B:O,14,0)+VLOOKUP(D299,'Species Codes'!B:P,15,0)*LN((E299*2.54)))-EXP(VLOOKUP(D299,'Species Codes'!B:O,14,0)+VLOOKUP(D299,'Species Codes'!B:P,15,0)*LN((E299*2.54)))*(1/(VLOOKUP(D299,'Species Codes'!B:Q,16,0)+VLOOKUP(D299,'Species Codes'!B:R,17,0)*((E299*2.54)^VLOOKUP(D299,'Species Codes'!B:S,18,0)))),IF(OR(D299="BM",D299="MD",D299="OA"),EXP(VLOOKUP(D299,'Species Codes'!B:O,14,0)+VLOOKUP(D299,'Species Codes'!B:P,15,0)*LN((E299*2.54)))*(1-(1/(VLOOKUP(D299,'Species Codes'!B:Q,16,0)+VLOOKUP(D299,'Species Codes'!B:R,17,0)*((E299*2.54)^VLOOKUP(D299,'Species Codes'!B:S,18,0)))))/1000,IF(D299="DF",EXP(VLOOKUP(D299,'Species Codes'!B:O,14,0)+VLOOKUP(D299,'Species Codes'!B:P,15,0)*LN((E299*2.54))),VLOOKUP(D299,'Species Codes'!B:O,14,0)+VLOOKUP(D299,'Species Codes'!B:P,15,0)*(((E299*2.54)/100)^2)*(I299*0.3048)))))*0.0011023),0)</f>
        <v>#N/A</v>
      </c>
      <c r="AD299" s="104" t="e">
        <f t="shared" si="166"/>
        <v>#N/A</v>
      </c>
      <c r="AE299" s="104" t="e">
        <f t="shared" si="167"/>
        <v>#N/A</v>
      </c>
      <c r="AF299" s="104" t="e">
        <f>IF(AND(VLOOKUP($D299,Merchantability!$B:$C,2,0)="Yes",$E299&gt;=VLOOKUP($D299,Merchantability!$B:$D,3,0),$E299&lt;=VLOOKUP($D299,Merchantability!$B:$E,4,0)),AA299,0)</f>
        <v>#N/A</v>
      </c>
      <c r="AG299" s="104" t="e">
        <f>IF(AND(VLOOKUP($D299,Merchantability!$B:$C,2,0)="Yes",$E299&gt;=VLOOKUP($D299,Merchantability!$B:$D,3,0),$E299&lt;=VLOOKUP($D299,Merchantability!$B:$E,4,0)),AB299,0)</f>
        <v>#N/A</v>
      </c>
      <c r="AH299" s="104" t="e">
        <f>IF(AND(VLOOKUP($D299,Merchantability!$B:$C,2,0)="Yes",$E299&gt;=VLOOKUP($D299,Merchantability!$B:$D,3,0),$E299&lt;=VLOOKUP($D299,Merchantability!$B:$E,4,0)),AC299,0)</f>
        <v>#N/A</v>
      </c>
      <c r="AI299" s="104" t="e">
        <f t="shared" si="168"/>
        <v>#N/A</v>
      </c>
      <c r="AJ299" s="104" t="e">
        <f t="shared" si="169"/>
        <v>#VALUE!</v>
      </c>
      <c r="AK299" s="104" t="e">
        <f t="shared" si="170"/>
        <v>#N/A</v>
      </c>
      <c r="AL299" s="104" t="e">
        <f t="shared" si="171"/>
        <v>#N/A</v>
      </c>
      <c r="AM299" s="104" t="e">
        <f t="shared" si="172"/>
        <v>#N/A</v>
      </c>
      <c r="AN299" s="104" t="e">
        <f t="shared" si="156"/>
        <v>#N/A</v>
      </c>
      <c r="AO299" s="104" t="e">
        <f t="shared" si="157"/>
        <v>#N/A</v>
      </c>
      <c r="AP299" s="104" t="e">
        <f t="shared" si="158"/>
        <v>#N/A</v>
      </c>
      <c r="AQ299" s="104" t="e">
        <f t="shared" si="159"/>
        <v>#N/A</v>
      </c>
      <c r="AR299" s="105" t="str">
        <f t="shared" si="151"/>
        <v/>
      </c>
      <c r="AS299" s="105" t="str">
        <f t="shared" si="152"/>
        <v/>
      </c>
      <c r="AT299" s="108" t="str">
        <f t="shared" si="153"/>
        <v/>
      </c>
      <c r="AU299" s="108" t="str">
        <f t="shared" si="154"/>
        <v/>
      </c>
      <c r="AV299" s="107" t="str">
        <f>IF(ISNUMBER(O299),IF(VLOOKUP($A299,Stand!C:J,8,FALSE)="Short",AT299,AU299),"")</f>
        <v/>
      </c>
      <c r="AW299" s="109" t="str">
        <f t="shared" si="160"/>
        <v/>
      </c>
      <c r="AX299" s="109" t="str">
        <f t="shared" si="161"/>
        <v/>
      </c>
      <c r="AY299" s="112" t="str">
        <f>IF(ISNUMBER(O299),IF(AND(VLOOKUP($D299,Merchantability!$B:$C,2,0)="Yes",$E299&gt;=VLOOKUP($D299,Merchantability!$B:$D,3,0),$E299&lt;=VLOOKUP($D299,Merchantability!$B:$E,4,0)),(AV299*O299)*(1-$H299/100),""),"")</f>
        <v/>
      </c>
      <c r="AZ299" s="116"/>
      <c r="BA299" s="116"/>
      <c r="BB299" s="116"/>
      <c r="BE299" s="62"/>
      <c r="BF299" s="63"/>
    </row>
    <row r="300" spans="1:58" ht="12.75" customHeight="1" x14ac:dyDescent="0.25">
      <c r="A300" s="313"/>
      <c r="B300" s="380"/>
      <c r="C300" s="381"/>
      <c r="D300" s="380"/>
      <c r="E300" s="382"/>
      <c r="F300" s="331"/>
      <c r="G300" s="329"/>
      <c r="H300" s="329"/>
      <c r="I300" s="380"/>
      <c r="J300" s="381"/>
      <c r="K300" s="329"/>
      <c r="L300" s="329"/>
      <c r="M300" s="76"/>
      <c r="N300" s="103" t="str">
        <f>IF(A300="","",VLOOKUP(A300,Stand!C:K,9,0))</f>
        <v/>
      </c>
      <c r="O300" s="104" t="str">
        <f t="shared" si="146"/>
        <v/>
      </c>
      <c r="P300" s="105" t="str">
        <f t="shared" si="147"/>
        <v/>
      </c>
      <c r="Q300" s="105" t="str">
        <f t="shared" si="162"/>
        <v/>
      </c>
      <c r="R300" s="103" t="str">
        <f t="shared" si="148"/>
        <v/>
      </c>
      <c r="S300" s="103" t="str">
        <f t="shared" si="149"/>
        <v/>
      </c>
      <c r="T300" s="106" t="str">
        <f t="shared" si="163"/>
        <v/>
      </c>
      <c r="U300" s="106" t="str">
        <f t="shared" si="164"/>
        <v/>
      </c>
      <c r="V300" s="106" t="str">
        <f t="shared" si="165"/>
        <v/>
      </c>
      <c r="W300" s="105" t="str">
        <f t="shared" si="150"/>
        <v/>
      </c>
      <c r="X300" s="104" t="str">
        <f t="shared" si="155"/>
        <v/>
      </c>
      <c r="Y300" s="104" t="str">
        <f t="array" ref="Y300">IFERROR(IF(ISNUMBER(O300),IF(COUNT(IF(A300=$A$2:$A$2427,IF(D300=$D$2:$D$2427,IF($X$2:$X$2427&gt;0,1))))&gt;0,SUM(IF(A300=$A$2:$A$2427,IF(D300=$D$2:$D$2427,$X$2:$X$2427)))/COUNT(IF(A300=$A$2:$A$2427,IF(D300=$D$2:$D$2427,IF(ISNUMBER($X$2:$X$2427),1)))),0),""),0)</f>
        <v/>
      </c>
      <c r="Z300" s="104" t="str">
        <f>IF(ISNUMBER(O300),IF(I300&gt;0,(10^(VLOOKUP(D300,'Species Codes'!B:C,2,0)+VLOOKUP(D300,'Species Codes'!B:D,3,0)*LOG(E300)+VLOOKUP(D300,'Species Codes'!B:E,4,0)*LOG(I300))),0),"")</f>
        <v/>
      </c>
      <c r="AA300" s="104" t="str">
        <f>IFERROR((VLOOKUP(D300,'Species Codes'!B:G,6,0)*Z300)/2000,"")</f>
        <v/>
      </c>
      <c r="AB300" s="104" t="e">
        <f>IF(Z300&gt;0,((IF(OR(D300="DF",D300="RA")=TRUE,EXP(VLOOKUP(D300,'Species Codes'!B:I,8,0)+VLOOKUP(D300,'Species Codes'!B:J,9,0)*(LN((E300*2.54)))),IF(OR(D300="PY",D300="RC",D300="WH",D300="NF")=TRUE,VLOOKUP(D300,'Species Codes'!B:I,8,0)+VLOOKUP(D300,'Species Codes'!B:J,9,0)*((E300*2.54)^2)*(I300*0.3048),IF(OR(D300="MD",D300="BM",D300="GA")=TRUE,((VLOOKUP(D300,'Species Codes'!B:I,8,0)*(((((E300*2.54)+VLOOKUP(D300,'Species Codes'!B:J,9,0))/VLOOKUP(D300,'Species Codes'!B:K,10,0))^VLOOKUP(D300,'Species Codes'!B:L,11,0))*((I300*0.3048)^VLOOKUP(D300,'Species Codes'!B:M,12,0))))-(VLOOKUP(D300,'Species Codes'!B:I,8,0)*((((E300*2.54)^VLOOKUP(D300,'Species Codes'!B:L,11,0))*((I300*0.3048)^VLOOKUP(D300,'Species Codes'!B:M,12,0))))))*35.3*VLOOKUP(D300,'Species Codes'!B:G,6,0)/2.2046,VLOOKUP(D300,'Species Codes'!B:I,8,0)+VLOOKUP(D300,'Species Codes'!B:J,9,0)*(((E300*2.54)/100)^2)*(I300*0.3048)))))*0.0011023),0)</f>
        <v>#N/A</v>
      </c>
      <c r="AC300" s="104" t="e">
        <f>IF(Z300&gt;0,((IF(OR(D300="RA",D300="OA",D300="OT",D300="UN",D300="PC"),EXP(VLOOKUP(D300,'Species Codes'!B:O,14,0)+VLOOKUP(D300,'Species Codes'!B:P,15,0)*LN((E300*2.54)))-EXP(VLOOKUP(D300,'Species Codes'!B:O,14,0)+VLOOKUP(D300,'Species Codes'!B:P,15,0)*LN((E300*2.54)))*(1/(VLOOKUP(D300,'Species Codes'!B:Q,16,0)+VLOOKUP(D300,'Species Codes'!B:R,17,0)*((E300*2.54)^VLOOKUP(D300,'Species Codes'!B:S,18,0)))),IF(OR(D300="BM",D300="MD",D300="OA"),EXP(VLOOKUP(D300,'Species Codes'!B:O,14,0)+VLOOKUP(D300,'Species Codes'!B:P,15,0)*LN((E300*2.54)))*(1-(1/(VLOOKUP(D300,'Species Codes'!B:Q,16,0)+VLOOKUP(D300,'Species Codes'!B:R,17,0)*((E300*2.54)^VLOOKUP(D300,'Species Codes'!B:S,18,0)))))/1000,IF(D300="DF",EXP(VLOOKUP(D300,'Species Codes'!B:O,14,0)+VLOOKUP(D300,'Species Codes'!B:P,15,0)*LN((E300*2.54))),VLOOKUP(D300,'Species Codes'!B:O,14,0)+VLOOKUP(D300,'Species Codes'!B:P,15,0)*(((E300*2.54)/100)^2)*(I300*0.3048)))))*0.0011023),0)</f>
        <v>#N/A</v>
      </c>
      <c r="AD300" s="104" t="e">
        <f t="shared" si="166"/>
        <v>#N/A</v>
      </c>
      <c r="AE300" s="104" t="e">
        <f t="shared" si="167"/>
        <v>#N/A</v>
      </c>
      <c r="AF300" s="104" t="e">
        <f>IF(AND(VLOOKUP($D300,Merchantability!$B:$C,2,0)="Yes",$E300&gt;=VLOOKUP($D300,Merchantability!$B:$D,3,0),$E300&lt;=VLOOKUP($D300,Merchantability!$B:$E,4,0)),AA300,0)</f>
        <v>#N/A</v>
      </c>
      <c r="AG300" s="104" t="e">
        <f>IF(AND(VLOOKUP($D300,Merchantability!$B:$C,2,0)="Yes",$E300&gt;=VLOOKUP($D300,Merchantability!$B:$D,3,0),$E300&lt;=VLOOKUP($D300,Merchantability!$B:$E,4,0)),AB300,0)</f>
        <v>#N/A</v>
      </c>
      <c r="AH300" s="104" t="e">
        <f>IF(AND(VLOOKUP($D300,Merchantability!$B:$C,2,0)="Yes",$E300&gt;=VLOOKUP($D300,Merchantability!$B:$D,3,0),$E300&lt;=VLOOKUP($D300,Merchantability!$B:$E,4,0)),AC300,0)</f>
        <v>#N/A</v>
      </c>
      <c r="AI300" s="104" t="e">
        <f t="shared" si="168"/>
        <v>#N/A</v>
      </c>
      <c r="AJ300" s="104" t="e">
        <f t="shared" si="169"/>
        <v>#VALUE!</v>
      </c>
      <c r="AK300" s="104" t="e">
        <f t="shared" si="170"/>
        <v>#N/A</v>
      </c>
      <c r="AL300" s="104" t="e">
        <f t="shared" si="171"/>
        <v>#N/A</v>
      </c>
      <c r="AM300" s="104" t="e">
        <f t="shared" si="172"/>
        <v>#N/A</v>
      </c>
      <c r="AN300" s="104" t="e">
        <f t="shared" si="156"/>
        <v>#N/A</v>
      </c>
      <c r="AO300" s="104" t="e">
        <f t="shared" si="157"/>
        <v>#N/A</v>
      </c>
      <c r="AP300" s="104" t="e">
        <f t="shared" si="158"/>
        <v>#N/A</v>
      </c>
      <c r="AQ300" s="104" t="e">
        <f t="shared" si="159"/>
        <v>#N/A</v>
      </c>
      <c r="AR300" s="105" t="str">
        <f t="shared" si="151"/>
        <v/>
      </c>
      <c r="AS300" s="105" t="str">
        <f t="shared" si="152"/>
        <v/>
      </c>
      <c r="AT300" s="108" t="str">
        <f t="shared" si="153"/>
        <v/>
      </c>
      <c r="AU300" s="108" t="str">
        <f t="shared" si="154"/>
        <v/>
      </c>
      <c r="AV300" s="107" t="str">
        <f>IF(ISNUMBER(O300),IF(VLOOKUP($A300,Stand!C:J,8,FALSE)="Short",AT300,AU300),"")</f>
        <v/>
      </c>
      <c r="AW300" s="109" t="str">
        <f t="shared" si="160"/>
        <v/>
      </c>
      <c r="AX300" s="109" t="str">
        <f t="shared" si="161"/>
        <v/>
      </c>
      <c r="AY300" s="112" t="str">
        <f>IF(ISNUMBER(O300),IF(AND(VLOOKUP($D300,Merchantability!$B:$C,2,0)="Yes",$E300&gt;=VLOOKUP($D300,Merchantability!$B:$D,3,0),$E300&lt;=VLOOKUP($D300,Merchantability!$B:$E,4,0)),(AV300*O300)*(1-$H300/100),""),"")</f>
        <v/>
      </c>
      <c r="AZ300" s="116"/>
      <c r="BA300" s="116"/>
      <c r="BB300" s="116"/>
      <c r="BE300" s="62"/>
      <c r="BF300" s="63"/>
    </row>
    <row r="301" spans="1:58" ht="12.75" customHeight="1" x14ac:dyDescent="0.25">
      <c r="A301" s="313"/>
      <c r="B301" s="380"/>
      <c r="C301" s="381"/>
      <c r="D301" s="380"/>
      <c r="E301" s="382"/>
      <c r="F301" s="331"/>
      <c r="G301" s="329"/>
      <c r="H301" s="329"/>
      <c r="I301" s="380"/>
      <c r="J301" s="381"/>
      <c r="K301" s="329"/>
      <c r="L301" s="329"/>
      <c r="M301" s="76"/>
      <c r="N301" s="103" t="str">
        <f>IF(A301="","",VLOOKUP(A301,Stand!C:K,9,0))</f>
        <v/>
      </c>
      <c r="O301" s="104" t="str">
        <f t="shared" si="146"/>
        <v/>
      </c>
      <c r="P301" s="105" t="str">
        <f t="shared" si="147"/>
        <v/>
      </c>
      <c r="Q301" s="105" t="str">
        <f t="shared" si="162"/>
        <v/>
      </c>
      <c r="R301" s="103" t="str">
        <f t="shared" si="148"/>
        <v/>
      </c>
      <c r="S301" s="103" t="str">
        <f t="shared" si="149"/>
        <v/>
      </c>
      <c r="T301" s="106" t="str">
        <f t="shared" si="163"/>
        <v/>
      </c>
      <c r="U301" s="106" t="str">
        <f t="shared" si="164"/>
        <v/>
      </c>
      <c r="V301" s="106" t="str">
        <f t="shared" si="165"/>
        <v/>
      </c>
      <c r="W301" s="105" t="str">
        <f t="shared" si="150"/>
        <v/>
      </c>
      <c r="X301" s="104" t="str">
        <f t="shared" si="155"/>
        <v/>
      </c>
      <c r="Y301" s="104" t="str">
        <f t="array" ref="Y301">IFERROR(IF(ISNUMBER(O301),IF(COUNT(IF(A301=$A$2:$A$2427,IF(D301=$D$2:$D$2427,IF($X$2:$X$2427&gt;0,1))))&gt;0,SUM(IF(A301=$A$2:$A$2427,IF(D301=$D$2:$D$2427,$X$2:$X$2427)))/COUNT(IF(A301=$A$2:$A$2427,IF(D301=$D$2:$D$2427,IF(ISNUMBER($X$2:$X$2427),1)))),0),""),0)</f>
        <v/>
      </c>
      <c r="Z301" s="104" t="str">
        <f>IF(ISNUMBER(O301),IF(I301&gt;0,(10^(VLOOKUP(D301,'Species Codes'!B:C,2,0)+VLOOKUP(D301,'Species Codes'!B:D,3,0)*LOG(E301)+VLOOKUP(D301,'Species Codes'!B:E,4,0)*LOG(I301))),0),"")</f>
        <v/>
      </c>
      <c r="AA301" s="104" t="str">
        <f>IFERROR((VLOOKUP(D301,'Species Codes'!B:G,6,0)*Z301)/2000,"")</f>
        <v/>
      </c>
      <c r="AB301" s="104" t="e">
        <f>IF(Z301&gt;0,((IF(OR(D301="DF",D301="RA")=TRUE,EXP(VLOOKUP(D301,'Species Codes'!B:I,8,0)+VLOOKUP(D301,'Species Codes'!B:J,9,0)*(LN((E301*2.54)))),IF(OR(D301="PY",D301="RC",D301="WH",D301="NF")=TRUE,VLOOKUP(D301,'Species Codes'!B:I,8,0)+VLOOKUP(D301,'Species Codes'!B:J,9,0)*((E301*2.54)^2)*(I301*0.3048),IF(OR(D301="MD",D301="BM",D301="GA")=TRUE,((VLOOKUP(D301,'Species Codes'!B:I,8,0)*(((((E301*2.54)+VLOOKUP(D301,'Species Codes'!B:J,9,0))/VLOOKUP(D301,'Species Codes'!B:K,10,0))^VLOOKUP(D301,'Species Codes'!B:L,11,0))*((I301*0.3048)^VLOOKUP(D301,'Species Codes'!B:M,12,0))))-(VLOOKUP(D301,'Species Codes'!B:I,8,0)*((((E301*2.54)^VLOOKUP(D301,'Species Codes'!B:L,11,0))*((I301*0.3048)^VLOOKUP(D301,'Species Codes'!B:M,12,0))))))*35.3*VLOOKUP(D301,'Species Codes'!B:G,6,0)/2.2046,VLOOKUP(D301,'Species Codes'!B:I,8,0)+VLOOKUP(D301,'Species Codes'!B:J,9,0)*(((E301*2.54)/100)^2)*(I301*0.3048)))))*0.0011023),0)</f>
        <v>#N/A</v>
      </c>
      <c r="AC301" s="104" t="e">
        <f>IF(Z301&gt;0,((IF(OR(D301="RA",D301="OA",D301="OT",D301="UN",D301="PC"),EXP(VLOOKUP(D301,'Species Codes'!B:O,14,0)+VLOOKUP(D301,'Species Codes'!B:P,15,0)*LN((E301*2.54)))-EXP(VLOOKUP(D301,'Species Codes'!B:O,14,0)+VLOOKUP(D301,'Species Codes'!B:P,15,0)*LN((E301*2.54)))*(1/(VLOOKUP(D301,'Species Codes'!B:Q,16,0)+VLOOKUP(D301,'Species Codes'!B:R,17,0)*((E301*2.54)^VLOOKUP(D301,'Species Codes'!B:S,18,0)))),IF(OR(D301="BM",D301="MD",D301="OA"),EXP(VLOOKUP(D301,'Species Codes'!B:O,14,0)+VLOOKUP(D301,'Species Codes'!B:P,15,0)*LN((E301*2.54)))*(1-(1/(VLOOKUP(D301,'Species Codes'!B:Q,16,0)+VLOOKUP(D301,'Species Codes'!B:R,17,0)*((E301*2.54)^VLOOKUP(D301,'Species Codes'!B:S,18,0)))))/1000,IF(D301="DF",EXP(VLOOKUP(D301,'Species Codes'!B:O,14,0)+VLOOKUP(D301,'Species Codes'!B:P,15,0)*LN((E301*2.54))),VLOOKUP(D301,'Species Codes'!B:O,14,0)+VLOOKUP(D301,'Species Codes'!B:P,15,0)*(((E301*2.54)/100)^2)*(I301*0.3048)))))*0.0011023),0)</f>
        <v>#N/A</v>
      </c>
      <c r="AD301" s="104" t="e">
        <f t="shared" si="166"/>
        <v>#N/A</v>
      </c>
      <c r="AE301" s="104" t="e">
        <f t="shared" si="167"/>
        <v>#N/A</v>
      </c>
      <c r="AF301" s="104" t="e">
        <f>IF(AND(VLOOKUP($D301,Merchantability!$B:$C,2,0)="Yes",$E301&gt;=VLOOKUP($D301,Merchantability!$B:$D,3,0),$E301&lt;=VLOOKUP($D301,Merchantability!$B:$E,4,0)),AA301,0)</f>
        <v>#N/A</v>
      </c>
      <c r="AG301" s="104" t="e">
        <f>IF(AND(VLOOKUP($D301,Merchantability!$B:$C,2,0)="Yes",$E301&gt;=VLOOKUP($D301,Merchantability!$B:$D,3,0),$E301&lt;=VLOOKUP($D301,Merchantability!$B:$E,4,0)),AB301,0)</f>
        <v>#N/A</v>
      </c>
      <c r="AH301" s="104" t="e">
        <f>IF(AND(VLOOKUP($D301,Merchantability!$B:$C,2,0)="Yes",$E301&gt;=VLOOKUP($D301,Merchantability!$B:$D,3,0),$E301&lt;=VLOOKUP($D301,Merchantability!$B:$E,4,0)),AC301,0)</f>
        <v>#N/A</v>
      </c>
      <c r="AI301" s="104" t="e">
        <f t="shared" si="168"/>
        <v>#N/A</v>
      </c>
      <c r="AJ301" s="104" t="e">
        <f t="shared" si="169"/>
        <v>#VALUE!</v>
      </c>
      <c r="AK301" s="104" t="e">
        <f t="shared" si="170"/>
        <v>#N/A</v>
      </c>
      <c r="AL301" s="104" t="e">
        <f t="shared" si="171"/>
        <v>#N/A</v>
      </c>
      <c r="AM301" s="104" t="e">
        <f t="shared" si="172"/>
        <v>#N/A</v>
      </c>
      <c r="AN301" s="104" t="e">
        <f t="shared" si="156"/>
        <v>#N/A</v>
      </c>
      <c r="AO301" s="104" t="e">
        <f t="shared" si="157"/>
        <v>#N/A</v>
      </c>
      <c r="AP301" s="104" t="e">
        <f t="shared" si="158"/>
        <v>#N/A</v>
      </c>
      <c r="AQ301" s="104" t="e">
        <f t="shared" si="159"/>
        <v>#N/A</v>
      </c>
      <c r="AR301" s="105" t="str">
        <f t="shared" si="151"/>
        <v/>
      </c>
      <c r="AS301" s="105" t="str">
        <f t="shared" si="152"/>
        <v/>
      </c>
      <c r="AT301" s="108" t="str">
        <f t="shared" si="153"/>
        <v/>
      </c>
      <c r="AU301" s="108" t="str">
        <f t="shared" si="154"/>
        <v/>
      </c>
      <c r="AV301" s="107" t="str">
        <f>IF(ISNUMBER(O301),IF(VLOOKUP($A301,Stand!C:J,8,FALSE)="Short",AT301,AU301),"")</f>
        <v/>
      </c>
      <c r="AW301" s="109" t="str">
        <f t="shared" si="160"/>
        <v/>
      </c>
      <c r="AX301" s="109" t="str">
        <f t="shared" si="161"/>
        <v/>
      </c>
      <c r="AY301" s="112" t="str">
        <f>IF(ISNUMBER(O301),IF(AND(VLOOKUP($D301,Merchantability!$B:$C,2,0)="Yes",$E301&gt;=VLOOKUP($D301,Merchantability!$B:$D,3,0),$E301&lt;=VLOOKUP($D301,Merchantability!$B:$E,4,0)),(AV301*O301)*(1-$H301/100),""),"")</f>
        <v/>
      </c>
      <c r="AZ301" s="116"/>
      <c r="BA301" s="116"/>
      <c r="BB301" s="116"/>
      <c r="BE301" s="62"/>
      <c r="BF301" s="63"/>
    </row>
    <row r="302" spans="1:58" ht="12.75" customHeight="1" x14ac:dyDescent="0.25">
      <c r="A302" s="313"/>
      <c r="B302" s="380"/>
      <c r="C302" s="381"/>
      <c r="D302" s="380"/>
      <c r="E302" s="382"/>
      <c r="F302" s="331"/>
      <c r="G302" s="329"/>
      <c r="H302" s="329"/>
      <c r="I302" s="380"/>
      <c r="J302" s="381"/>
      <c r="K302" s="329"/>
      <c r="L302" s="329"/>
      <c r="M302" s="76"/>
      <c r="N302" s="103" t="str">
        <f>IF(A302="","",VLOOKUP(A302,Stand!C:K,9,0))</f>
        <v/>
      </c>
      <c r="O302" s="104" t="str">
        <f t="shared" si="146"/>
        <v/>
      </c>
      <c r="P302" s="105" t="str">
        <f t="shared" si="147"/>
        <v/>
      </c>
      <c r="Q302" s="105" t="str">
        <f t="shared" si="162"/>
        <v/>
      </c>
      <c r="R302" s="103" t="str">
        <f t="shared" si="148"/>
        <v/>
      </c>
      <c r="S302" s="103" t="str">
        <f t="shared" si="149"/>
        <v/>
      </c>
      <c r="T302" s="106" t="str">
        <f t="shared" si="163"/>
        <v/>
      </c>
      <c r="U302" s="106" t="str">
        <f t="shared" si="164"/>
        <v/>
      </c>
      <c r="V302" s="106" t="str">
        <f t="shared" si="165"/>
        <v/>
      </c>
      <c r="W302" s="105" t="str">
        <f t="shared" si="150"/>
        <v/>
      </c>
      <c r="X302" s="104" t="str">
        <f t="shared" si="155"/>
        <v/>
      </c>
      <c r="Y302" s="104" t="str">
        <f t="array" ref="Y302">IFERROR(IF(ISNUMBER(O302),IF(COUNT(IF(A302=$A$2:$A$2427,IF(D302=$D$2:$D$2427,IF($X$2:$X$2427&gt;0,1))))&gt;0,SUM(IF(A302=$A$2:$A$2427,IF(D302=$D$2:$D$2427,$X$2:$X$2427)))/COUNT(IF(A302=$A$2:$A$2427,IF(D302=$D$2:$D$2427,IF(ISNUMBER($X$2:$X$2427),1)))),0),""),0)</f>
        <v/>
      </c>
      <c r="Z302" s="104" t="str">
        <f>IF(ISNUMBER(O302),IF(I302&gt;0,(10^(VLOOKUP(D302,'Species Codes'!B:C,2,0)+VLOOKUP(D302,'Species Codes'!B:D,3,0)*LOG(E302)+VLOOKUP(D302,'Species Codes'!B:E,4,0)*LOG(I302))),0),"")</f>
        <v/>
      </c>
      <c r="AA302" s="104" t="str">
        <f>IFERROR((VLOOKUP(D302,'Species Codes'!B:G,6,0)*Z302)/2000,"")</f>
        <v/>
      </c>
      <c r="AB302" s="104" t="e">
        <f>IF(Z302&gt;0,((IF(OR(D302="DF",D302="RA")=TRUE,EXP(VLOOKUP(D302,'Species Codes'!B:I,8,0)+VLOOKUP(D302,'Species Codes'!B:J,9,0)*(LN((E302*2.54)))),IF(OR(D302="PY",D302="RC",D302="WH",D302="NF")=TRUE,VLOOKUP(D302,'Species Codes'!B:I,8,0)+VLOOKUP(D302,'Species Codes'!B:J,9,0)*((E302*2.54)^2)*(I302*0.3048),IF(OR(D302="MD",D302="BM",D302="GA")=TRUE,((VLOOKUP(D302,'Species Codes'!B:I,8,0)*(((((E302*2.54)+VLOOKUP(D302,'Species Codes'!B:J,9,0))/VLOOKUP(D302,'Species Codes'!B:K,10,0))^VLOOKUP(D302,'Species Codes'!B:L,11,0))*((I302*0.3048)^VLOOKUP(D302,'Species Codes'!B:M,12,0))))-(VLOOKUP(D302,'Species Codes'!B:I,8,0)*((((E302*2.54)^VLOOKUP(D302,'Species Codes'!B:L,11,0))*((I302*0.3048)^VLOOKUP(D302,'Species Codes'!B:M,12,0))))))*35.3*VLOOKUP(D302,'Species Codes'!B:G,6,0)/2.2046,VLOOKUP(D302,'Species Codes'!B:I,8,0)+VLOOKUP(D302,'Species Codes'!B:J,9,0)*(((E302*2.54)/100)^2)*(I302*0.3048)))))*0.0011023),0)</f>
        <v>#N/A</v>
      </c>
      <c r="AC302" s="104" t="e">
        <f>IF(Z302&gt;0,((IF(OR(D302="RA",D302="OA",D302="OT",D302="UN",D302="PC"),EXP(VLOOKUP(D302,'Species Codes'!B:O,14,0)+VLOOKUP(D302,'Species Codes'!B:P,15,0)*LN((E302*2.54)))-EXP(VLOOKUP(D302,'Species Codes'!B:O,14,0)+VLOOKUP(D302,'Species Codes'!B:P,15,0)*LN((E302*2.54)))*(1/(VLOOKUP(D302,'Species Codes'!B:Q,16,0)+VLOOKUP(D302,'Species Codes'!B:R,17,0)*((E302*2.54)^VLOOKUP(D302,'Species Codes'!B:S,18,0)))),IF(OR(D302="BM",D302="MD",D302="OA"),EXP(VLOOKUP(D302,'Species Codes'!B:O,14,0)+VLOOKUP(D302,'Species Codes'!B:P,15,0)*LN((E302*2.54)))*(1-(1/(VLOOKUP(D302,'Species Codes'!B:Q,16,0)+VLOOKUP(D302,'Species Codes'!B:R,17,0)*((E302*2.54)^VLOOKUP(D302,'Species Codes'!B:S,18,0)))))/1000,IF(D302="DF",EXP(VLOOKUP(D302,'Species Codes'!B:O,14,0)+VLOOKUP(D302,'Species Codes'!B:P,15,0)*LN((E302*2.54))),VLOOKUP(D302,'Species Codes'!B:O,14,0)+VLOOKUP(D302,'Species Codes'!B:P,15,0)*(((E302*2.54)/100)^2)*(I302*0.3048)))))*0.0011023),0)</f>
        <v>#N/A</v>
      </c>
      <c r="AD302" s="104" t="e">
        <f t="shared" si="166"/>
        <v>#N/A</v>
      </c>
      <c r="AE302" s="104" t="e">
        <f t="shared" si="167"/>
        <v>#N/A</v>
      </c>
      <c r="AF302" s="104" t="e">
        <f>IF(AND(VLOOKUP($D302,Merchantability!$B:$C,2,0)="Yes",$E302&gt;=VLOOKUP($D302,Merchantability!$B:$D,3,0),$E302&lt;=VLOOKUP($D302,Merchantability!$B:$E,4,0)),AA302,0)</f>
        <v>#N/A</v>
      </c>
      <c r="AG302" s="104" t="e">
        <f>IF(AND(VLOOKUP($D302,Merchantability!$B:$C,2,0)="Yes",$E302&gt;=VLOOKUP($D302,Merchantability!$B:$D,3,0),$E302&lt;=VLOOKUP($D302,Merchantability!$B:$E,4,0)),AB302,0)</f>
        <v>#N/A</v>
      </c>
      <c r="AH302" s="104" t="e">
        <f>IF(AND(VLOOKUP($D302,Merchantability!$B:$C,2,0)="Yes",$E302&gt;=VLOOKUP($D302,Merchantability!$B:$D,3,0),$E302&lt;=VLOOKUP($D302,Merchantability!$B:$E,4,0)),AC302,0)</f>
        <v>#N/A</v>
      </c>
      <c r="AI302" s="104" t="e">
        <f t="shared" si="168"/>
        <v>#N/A</v>
      </c>
      <c r="AJ302" s="104" t="e">
        <f t="shared" si="169"/>
        <v>#VALUE!</v>
      </c>
      <c r="AK302" s="104" t="e">
        <f t="shared" si="170"/>
        <v>#N/A</v>
      </c>
      <c r="AL302" s="104" t="e">
        <f t="shared" si="171"/>
        <v>#N/A</v>
      </c>
      <c r="AM302" s="104" t="e">
        <f t="shared" si="172"/>
        <v>#N/A</v>
      </c>
      <c r="AN302" s="104" t="e">
        <f t="shared" si="156"/>
        <v>#N/A</v>
      </c>
      <c r="AO302" s="104" t="e">
        <f t="shared" si="157"/>
        <v>#N/A</v>
      </c>
      <c r="AP302" s="104" t="e">
        <f t="shared" si="158"/>
        <v>#N/A</v>
      </c>
      <c r="AQ302" s="104" t="e">
        <f t="shared" si="159"/>
        <v>#N/A</v>
      </c>
      <c r="AR302" s="105" t="str">
        <f t="shared" si="151"/>
        <v/>
      </c>
      <c r="AS302" s="105" t="str">
        <f t="shared" si="152"/>
        <v/>
      </c>
      <c r="AT302" s="108" t="str">
        <f t="shared" si="153"/>
        <v/>
      </c>
      <c r="AU302" s="108" t="str">
        <f t="shared" si="154"/>
        <v/>
      </c>
      <c r="AV302" s="107" t="str">
        <f>IF(ISNUMBER(O302),IF(VLOOKUP($A302,Stand!C:J,8,FALSE)="Short",AT302,AU302),"")</f>
        <v/>
      </c>
      <c r="AW302" s="109" t="str">
        <f t="shared" si="160"/>
        <v/>
      </c>
      <c r="AX302" s="109" t="str">
        <f t="shared" si="161"/>
        <v/>
      </c>
      <c r="AY302" s="112" t="str">
        <f>IF(ISNUMBER(O302),IF(AND(VLOOKUP($D302,Merchantability!$B:$C,2,0)="Yes",$E302&gt;=VLOOKUP($D302,Merchantability!$B:$D,3,0),$E302&lt;=VLOOKUP($D302,Merchantability!$B:$E,4,0)),(AV302*O302)*(1-$H302/100),""),"")</f>
        <v/>
      </c>
      <c r="AZ302" s="116"/>
      <c r="BA302" s="116"/>
      <c r="BB302" s="116"/>
      <c r="BE302" s="62"/>
      <c r="BF302" s="63"/>
    </row>
    <row r="303" spans="1:58" ht="12.75" customHeight="1" x14ac:dyDescent="0.25">
      <c r="A303" s="313"/>
      <c r="B303" s="380"/>
      <c r="C303" s="381"/>
      <c r="D303" s="380"/>
      <c r="E303" s="382"/>
      <c r="F303" s="331"/>
      <c r="G303" s="329"/>
      <c r="H303" s="329"/>
      <c r="I303" s="380"/>
      <c r="J303" s="381"/>
      <c r="K303" s="329"/>
      <c r="L303" s="329"/>
      <c r="M303" s="76"/>
      <c r="N303" s="103" t="str">
        <f>IF(A303="","",VLOOKUP(A303,Stand!C:K,9,0))</f>
        <v/>
      </c>
      <c r="O303" s="104" t="str">
        <f t="shared" si="146"/>
        <v/>
      </c>
      <c r="P303" s="105" t="str">
        <f t="shared" si="147"/>
        <v/>
      </c>
      <c r="Q303" s="105" t="str">
        <f t="shared" si="162"/>
        <v/>
      </c>
      <c r="R303" s="103" t="str">
        <f t="shared" si="148"/>
        <v/>
      </c>
      <c r="S303" s="103" t="str">
        <f t="shared" si="149"/>
        <v/>
      </c>
      <c r="T303" s="106" t="str">
        <f t="shared" si="163"/>
        <v/>
      </c>
      <c r="U303" s="106" t="str">
        <f t="shared" si="164"/>
        <v/>
      </c>
      <c r="V303" s="106" t="str">
        <f t="shared" si="165"/>
        <v/>
      </c>
      <c r="W303" s="105" t="str">
        <f t="shared" si="150"/>
        <v/>
      </c>
      <c r="X303" s="104" t="str">
        <f t="shared" si="155"/>
        <v/>
      </c>
      <c r="Y303" s="104" t="str">
        <f t="array" ref="Y303">IFERROR(IF(ISNUMBER(O303),IF(COUNT(IF(A303=$A$2:$A$2427,IF(D303=$D$2:$D$2427,IF($X$2:$X$2427&gt;0,1))))&gt;0,SUM(IF(A303=$A$2:$A$2427,IF(D303=$D$2:$D$2427,$X$2:$X$2427)))/COUNT(IF(A303=$A$2:$A$2427,IF(D303=$D$2:$D$2427,IF(ISNUMBER($X$2:$X$2427),1)))),0),""),0)</f>
        <v/>
      </c>
      <c r="Z303" s="104" t="str">
        <f>IF(ISNUMBER(O303),IF(I303&gt;0,(10^(VLOOKUP(D303,'Species Codes'!B:C,2,0)+VLOOKUP(D303,'Species Codes'!B:D,3,0)*LOG(E303)+VLOOKUP(D303,'Species Codes'!B:E,4,0)*LOG(I303))),0),"")</f>
        <v/>
      </c>
      <c r="AA303" s="104" t="str">
        <f>IFERROR((VLOOKUP(D303,'Species Codes'!B:G,6,0)*Z303)/2000,"")</f>
        <v/>
      </c>
      <c r="AB303" s="104" t="e">
        <f>IF(Z303&gt;0,((IF(OR(D303="DF",D303="RA")=TRUE,EXP(VLOOKUP(D303,'Species Codes'!B:I,8,0)+VLOOKUP(D303,'Species Codes'!B:J,9,0)*(LN((E303*2.54)))),IF(OR(D303="PY",D303="RC",D303="WH",D303="NF")=TRUE,VLOOKUP(D303,'Species Codes'!B:I,8,0)+VLOOKUP(D303,'Species Codes'!B:J,9,0)*((E303*2.54)^2)*(I303*0.3048),IF(OR(D303="MD",D303="BM",D303="GA")=TRUE,((VLOOKUP(D303,'Species Codes'!B:I,8,0)*(((((E303*2.54)+VLOOKUP(D303,'Species Codes'!B:J,9,0))/VLOOKUP(D303,'Species Codes'!B:K,10,0))^VLOOKUP(D303,'Species Codes'!B:L,11,0))*((I303*0.3048)^VLOOKUP(D303,'Species Codes'!B:M,12,0))))-(VLOOKUP(D303,'Species Codes'!B:I,8,0)*((((E303*2.54)^VLOOKUP(D303,'Species Codes'!B:L,11,0))*((I303*0.3048)^VLOOKUP(D303,'Species Codes'!B:M,12,0))))))*35.3*VLOOKUP(D303,'Species Codes'!B:G,6,0)/2.2046,VLOOKUP(D303,'Species Codes'!B:I,8,0)+VLOOKUP(D303,'Species Codes'!B:J,9,0)*(((E303*2.54)/100)^2)*(I303*0.3048)))))*0.0011023),0)</f>
        <v>#N/A</v>
      </c>
      <c r="AC303" s="104" t="e">
        <f>IF(Z303&gt;0,((IF(OR(D303="RA",D303="OA",D303="OT",D303="UN",D303="PC"),EXP(VLOOKUP(D303,'Species Codes'!B:O,14,0)+VLOOKUP(D303,'Species Codes'!B:P,15,0)*LN((E303*2.54)))-EXP(VLOOKUP(D303,'Species Codes'!B:O,14,0)+VLOOKUP(D303,'Species Codes'!B:P,15,0)*LN((E303*2.54)))*(1/(VLOOKUP(D303,'Species Codes'!B:Q,16,0)+VLOOKUP(D303,'Species Codes'!B:R,17,0)*((E303*2.54)^VLOOKUP(D303,'Species Codes'!B:S,18,0)))),IF(OR(D303="BM",D303="MD",D303="OA"),EXP(VLOOKUP(D303,'Species Codes'!B:O,14,0)+VLOOKUP(D303,'Species Codes'!B:P,15,0)*LN((E303*2.54)))*(1-(1/(VLOOKUP(D303,'Species Codes'!B:Q,16,0)+VLOOKUP(D303,'Species Codes'!B:R,17,0)*((E303*2.54)^VLOOKUP(D303,'Species Codes'!B:S,18,0)))))/1000,IF(D303="DF",EXP(VLOOKUP(D303,'Species Codes'!B:O,14,0)+VLOOKUP(D303,'Species Codes'!B:P,15,0)*LN((E303*2.54))),VLOOKUP(D303,'Species Codes'!B:O,14,0)+VLOOKUP(D303,'Species Codes'!B:P,15,0)*(((E303*2.54)/100)^2)*(I303*0.3048)))))*0.0011023),0)</f>
        <v>#N/A</v>
      </c>
      <c r="AD303" s="104" t="e">
        <f t="shared" si="166"/>
        <v>#N/A</v>
      </c>
      <c r="AE303" s="104" t="e">
        <f t="shared" si="167"/>
        <v>#N/A</v>
      </c>
      <c r="AF303" s="104" t="e">
        <f>IF(AND(VLOOKUP($D303,Merchantability!$B:$C,2,0)="Yes",$E303&gt;=VLOOKUP($D303,Merchantability!$B:$D,3,0),$E303&lt;=VLOOKUP($D303,Merchantability!$B:$E,4,0)),AA303,0)</f>
        <v>#N/A</v>
      </c>
      <c r="AG303" s="104" t="e">
        <f>IF(AND(VLOOKUP($D303,Merchantability!$B:$C,2,0)="Yes",$E303&gt;=VLOOKUP($D303,Merchantability!$B:$D,3,0),$E303&lt;=VLOOKUP($D303,Merchantability!$B:$E,4,0)),AB303,0)</f>
        <v>#N/A</v>
      </c>
      <c r="AH303" s="104" t="e">
        <f>IF(AND(VLOOKUP($D303,Merchantability!$B:$C,2,0)="Yes",$E303&gt;=VLOOKUP($D303,Merchantability!$B:$D,3,0),$E303&lt;=VLOOKUP($D303,Merchantability!$B:$E,4,0)),AC303,0)</f>
        <v>#N/A</v>
      </c>
      <c r="AI303" s="104" t="e">
        <f t="shared" si="168"/>
        <v>#N/A</v>
      </c>
      <c r="AJ303" s="104" t="e">
        <f t="shared" si="169"/>
        <v>#VALUE!</v>
      </c>
      <c r="AK303" s="104" t="e">
        <f t="shared" si="170"/>
        <v>#N/A</v>
      </c>
      <c r="AL303" s="104" t="e">
        <f t="shared" si="171"/>
        <v>#N/A</v>
      </c>
      <c r="AM303" s="104" t="e">
        <f t="shared" si="172"/>
        <v>#N/A</v>
      </c>
      <c r="AN303" s="104" t="e">
        <f t="shared" si="156"/>
        <v>#N/A</v>
      </c>
      <c r="AO303" s="104" t="e">
        <f t="shared" si="157"/>
        <v>#N/A</v>
      </c>
      <c r="AP303" s="104" t="e">
        <f t="shared" si="158"/>
        <v>#N/A</v>
      </c>
      <c r="AQ303" s="104" t="e">
        <f t="shared" si="159"/>
        <v>#N/A</v>
      </c>
      <c r="AR303" s="105" t="str">
        <f t="shared" si="151"/>
        <v/>
      </c>
      <c r="AS303" s="105" t="str">
        <f t="shared" si="152"/>
        <v/>
      </c>
      <c r="AT303" s="108" t="str">
        <f t="shared" si="153"/>
        <v/>
      </c>
      <c r="AU303" s="108" t="str">
        <f t="shared" si="154"/>
        <v/>
      </c>
      <c r="AV303" s="107" t="str">
        <f>IF(ISNUMBER(O303),IF(VLOOKUP($A303,Stand!C:J,8,FALSE)="Short",AT303,AU303),"")</f>
        <v/>
      </c>
      <c r="AW303" s="109" t="str">
        <f t="shared" si="160"/>
        <v/>
      </c>
      <c r="AX303" s="109" t="str">
        <f t="shared" si="161"/>
        <v/>
      </c>
      <c r="AY303" s="112" t="str">
        <f>IF(ISNUMBER(O303),IF(AND(VLOOKUP($D303,Merchantability!$B:$C,2,0)="Yes",$E303&gt;=VLOOKUP($D303,Merchantability!$B:$D,3,0),$E303&lt;=VLOOKUP($D303,Merchantability!$B:$E,4,0)),(AV303*O303)*(1-$H303/100),""),"")</f>
        <v/>
      </c>
      <c r="AZ303" s="116"/>
      <c r="BA303" s="116"/>
      <c r="BB303" s="116"/>
      <c r="BE303" s="62"/>
      <c r="BF303" s="63"/>
    </row>
    <row r="304" spans="1:58" ht="12.75" customHeight="1" x14ac:dyDescent="0.25">
      <c r="A304" s="313"/>
      <c r="B304" s="380"/>
      <c r="C304" s="381"/>
      <c r="D304" s="380"/>
      <c r="E304" s="382"/>
      <c r="F304" s="331"/>
      <c r="G304" s="329"/>
      <c r="H304" s="329"/>
      <c r="I304" s="380"/>
      <c r="J304" s="381"/>
      <c r="K304" s="329"/>
      <c r="L304" s="329"/>
      <c r="M304" s="76"/>
      <c r="N304" s="103" t="str">
        <f>IF(A304="","",VLOOKUP(A304,Stand!C:K,9,0))</f>
        <v/>
      </c>
      <c r="O304" s="104" t="str">
        <f t="shared" si="146"/>
        <v/>
      </c>
      <c r="P304" s="105" t="str">
        <f t="shared" si="147"/>
        <v/>
      </c>
      <c r="Q304" s="105" t="str">
        <f t="shared" si="162"/>
        <v/>
      </c>
      <c r="R304" s="103" t="str">
        <f t="shared" si="148"/>
        <v/>
      </c>
      <c r="S304" s="103" t="str">
        <f t="shared" si="149"/>
        <v/>
      </c>
      <c r="T304" s="106" t="str">
        <f t="shared" si="163"/>
        <v/>
      </c>
      <c r="U304" s="106" t="str">
        <f t="shared" si="164"/>
        <v/>
      </c>
      <c r="V304" s="106" t="str">
        <f t="shared" si="165"/>
        <v/>
      </c>
      <c r="W304" s="105" t="str">
        <f t="shared" si="150"/>
        <v/>
      </c>
      <c r="X304" s="104" t="str">
        <f t="shared" si="155"/>
        <v/>
      </c>
      <c r="Y304" s="104" t="str">
        <f t="array" ref="Y304">IFERROR(IF(ISNUMBER(O304),IF(COUNT(IF(A304=$A$2:$A$2427,IF(D304=$D$2:$D$2427,IF($X$2:$X$2427&gt;0,1))))&gt;0,SUM(IF(A304=$A$2:$A$2427,IF(D304=$D$2:$D$2427,$X$2:$X$2427)))/COUNT(IF(A304=$A$2:$A$2427,IF(D304=$D$2:$D$2427,IF(ISNUMBER($X$2:$X$2427),1)))),0),""),0)</f>
        <v/>
      </c>
      <c r="Z304" s="104" t="str">
        <f>IF(ISNUMBER(O304),IF(I304&gt;0,(10^(VLOOKUP(D304,'Species Codes'!B:C,2,0)+VLOOKUP(D304,'Species Codes'!B:D,3,0)*LOG(E304)+VLOOKUP(D304,'Species Codes'!B:E,4,0)*LOG(I304))),0),"")</f>
        <v/>
      </c>
      <c r="AA304" s="104" t="str">
        <f>IFERROR((VLOOKUP(D304,'Species Codes'!B:G,6,0)*Z304)/2000,"")</f>
        <v/>
      </c>
      <c r="AB304" s="104" t="e">
        <f>IF(Z304&gt;0,((IF(OR(D304="DF",D304="RA")=TRUE,EXP(VLOOKUP(D304,'Species Codes'!B:I,8,0)+VLOOKUP(D304,'Species Codes'!B:J,9,0)*(LN((E304*2.54)))),IF(OR(D304="PY",D304="RC",D304="WH",D304="NF")=TRUE,VLOOKUP(D304,'Species Codes'!B:I,8,0)+VLOOKUP(D304,'Species Codes'!B:J,9,0)*((E304*2.54)^2)*(I304*0.3048),IF(OR(D304="MD",D304="BM",D304="GA")=TRUE,((VLOOKUP(D304,'Species Codes'!B:I,8,0)*(((((E304*2.54)+VLOOKUP(D304,'Species Codes'!B:J,9,0))/VLOOKUP(D304,'Species Codes'!B:K,10,0))^VLOOKUP(D304,'Species Codes'!B:L,11,0))*((I304*0.3048)^VLOOKUP(D304,'Species Codes'!B:M,12,0))))-(VLOOKUP(D304,'Species Codes'!B:I,8,0)*((((E304*2.54)^VLOOKUP(D304,'Species Codes'!B:L,11,0))*((I304*0.3048)^VLOOKUP(D304,'Species Codes'!B:M,12,0))))))*35.3*VLOOKUP(D304,'Species Codes'!B:G,6,0)/2.2046,VLOOKUP(D304,'Species Codes'!B:I,8,0)+VLOOKUP(D304,'Species Codes'!B:J,9,0)*(((E304*2.54)/100)^2)*(I304*0.3048)))))*0.0011023),0)</f>
        <v>#N/A</v>
      </c>
      <c r="AC304" s="104" t="e">
        <f>IF(Z304&gt;0,((IF(OR(D304="RA",D304="OA",D304="OT",D304="UN",D304="PC"),EXP(VLOOKUP(D304,'Species Codes'!B:O,14,0)+VLOOKUP(D304,'Species Codes'!B:P,15,0)*LN((E304*2.54)))-EXP(VLOOKUP(D304,'Species Codes'!B:O,14,0)+VLOOKUP(D304,'Species Codes'!B:P,15,0)*LN((E304*2.54)))*(1/(VLOOKUP(D304,'Species Codes'!B:Q,16,0)+VLOOKUP(D304,'Species Codes'!B:R,17,0)*((E304*2.54)^VLOOKUP(D304,'Species Codes'!B:S,18,0)))),IF(OR(D304="BM",D304="MD",D304="OA"),EXP(VLOOKUP(D304,'Species Codes'!B:O,14,0)+VLOOKUP(D304,'Species Codes'!B:P,15,0)*LN((E304*2.54)))*(1-(1/(VLOOKUP(D304,'Species Codes'!B:Q,16,0)+VLOOKUP(D304,'Species Codes'!B:R,17,0)*((E304*2.54)^VLOOKUP(D304,'Species Codes'!B:S,18,0)))))/1000,IF(D304="DF",EXP(VLOOKUP(D304,'Species Codes'!B:O,14,0)+VLOOKUP(D304,'Species Codes'!B:P,15,0)*LN((E304*2.54))),VLOOKUP(D304,'Species Codes'!B:O,14,0)+VLOOKUP(D304,'Species Codes'!B:P,15,0)*(((E304*2.54)/100)^2)*(I304*0.3048)))))*0.0011023),0)</f>
        <v>#N/A</v>
      </c>
      <c r="AD304" s="104" t="e">
        <f t="shared" si="166"/>
        <v>#N/A</v>
      </c>
      <c r="AE304" s="104" t="e">
        <f t="shared" si="167"/>
        <v>#N/A</v>
      </c>
      <c r="AF304" s="104" t="e">
        <f>IF(AND(VLOOKUP($D304,Merchantability!$B:$C,2,0)="Yes",$E304&gt;=VLOOKUP($D304,Merchantability!$B:$D,3,0),$E304&lt;=VLOOKUP($D304,Merchantability!$B:$E,4,0)),AA304,0)</f>
        <v>#N/A</v>
      </c>
      <c r="AG304" s="104" t="e">
        <f>IF(AND(VLOOKUP($D304,Merchantability!$B:$C,2,0)="Yes",$E304&gt;=VLOOKUP($D304,Merchantability!$B:$D,3,0),$E304&lt;=VLOOKUP($D304,Merchantability!$B:$E,4,0)),AB304,0)</f>
        <v>#N/A</v>
      </c>
      <c r="AH304" s="104" t="e">
        <f>IF(AND(VLOOKUP($D304,Merchantability!$B:$C,2,0)="Yes",$E304&gt;=VLOOKUP($D304,Merchantability!$B:$D,3,0),$E304&lt;=VLOOKUP($D304,Merchantability!$B:$E,4,0)),AC304,0)</f>
        <v>#N/A</v>
      </c>
      <c r="AI304" s="104" t="e">
        <f t="shared" si="168"/>
        <v>#N/A</v>
      </c>
      <c r="AJ304" s="104" t="e">
        <f t="shared" si="169"/>
        <v>#VALUE!</v>
      </c>
      <c r="AK304" s="104" t="e">
        <f t="shared" si="170"/>
        <v>#N/A</v>
      </c>
      <c r="AL304" s="104" t="e">
        <f t="shared" si="171"/>
        <v>#N/A</v>
      </c>
      <c r="AM304" s="104" t="e">
        <f t="shared" si="172"/>
        <v>#N/A</v>
      </c>
      <c r="AN304" s="104" t="e">
        <f t="shared" si="156"/>
        <v>#N/A</v>
      </c>
      <c r="AO304" s="104" t="e">
        <f t="shared" si="157"/>
        <v>#N/A</v>
      </c>
      <c r="AP304" s="104" t="e">
        <f t="shared" si="158"/>
        <v>#N/A</v>
      </c>
      <c r="AQ304" s="104" t="e">
        <f t="shared" si="159"/>
        <v>#N/A</v>
      </c>
      <c r="AR304" s="105" t="str">
        <f t="shared" si="151"/>
        <v/>
      </c>
      <c r="AS304" s="105" t="str">
        <f t="shared" si="152"/>
        <v/>
      </c>
      <c r="AT304" s="108" t="str">
        <f t="shared" si="153"/>
        <v/>
      </c>
      <c r="AU304" s="108" t="str">
        <f t="shared" si="154"/>
        <v/>
      </c>
      <c r="AV304" s="107" t="str">
        <f>IF(ISNUMBER(O304),IF(VLOOKUP($A304,Stand!C:J,8,FALSE)="Short",AT304,AU304),"")</f>
        <v/>
      </c>
      <c r="AW304" s="109" t="str">
        <f t="shared" si="160"/>
        <v/>
      </c>
      <c r="AX304" s="109" t="str">
        <f t="shared" si="161"/>
        <v/>
      </c>
      <c r="AY304" s="112" t="str">
        <f>IF(ISNUMBER(O304),IF(AND(VLOOKUP($D304,Merchantability!$B:$C,2,0)="Yes",$E304&gt;=VLOOKUP($D304,Merchantability!$B:$D,3,0),$E304&lt;=VLOOKUP($D304,Merchantability!$B:$E,4,0)),(AV304*O304)*(1-$H304/100),""),"")</f>
        <v/>
      </c>
      <c r="AZ304" s="116"/>
      <c r="BA304" s="116"/>
      <c r="BB304" s="116"/>
      <c r="BE304" s="62"/>
      <c r="BF304" s="63"/>
    </row>
    <row r="305" spans="1:58" ht="12.75" customHeight="1" x14ac:dyDescent="0.25">
      <c r="A305" s="313"/>
      <c r="B305" s="380"/>
      <c r="C305" s="381"/>
      <c r="D305" s="380"/>
      <c r="E305" s="382"/>
      <c r="F305" s="331"/>
      <c r="G305" s="329"/>
      <c r="H305" s="329"/>
      <c r="I305" s="380"/>
      <c r="J305" s="381"/>
      <c r="K305" s="329"/>
      <c r="L305" s="329"/>
      <c r="M305" s="76"/>
      <c r="N305" s="103" t="str">
        <f>IF(A305="","",VLOOKUP(A305,Stand!C:K,9,0))</f>
        <v/>
      </c>
      <c r="O305" s="104" t="str">
        <f t="shared" si="146"/>
        <v/>
      </c>
      <c r="P305" s="105" t="str">
        <f t="shared" si="147"/>
        <v/>
      </c>
      <c r="Q305" s="105" t="str">
        <f t="shared" si="162"/>
        <v/>
      </c>
      <c r="R305" s="103" t="str">
        <f t="shared" si="148"/>
        <v/>
      </c>
      <c r="S305" s="103" t="str">
        <f t="shared" si="149"/>
        <v/>
      </c>
      <c r="T305" s="106" t="str">
        <f t="shared" si="163"/>
        <v/>
      </c>
      <c r="U305" s="106" t="str">
        <f t="shared" si="164"/>
        <v/>
      </c>
      <c r="V305" s="106" t="str">
        <f t="shared" si="165"/>
        <v/>
      </c>
      <c r="W305" s="105" t="str">
        <f t="shared" si="150"/>
        <v/>
      </c>
      <c r="X305" s="104" t="str">
        <f t="shared" si="155"/>
        <v/>
      </c>
      <c r="Y305" s="104" t="str">
        <f t="array" ref="Y305">IFERROR(IF(ISNUMBER(O305),IF(COUNT(IF(A305=$A$2:$A$2427,IF(D305=$D$2:$D$2427,IF($X$2:$X$2427&gt;0,1))))&gt;0,SUM(IF(A305=$A$2:$A$2427,IF(D305=$D$2:$D$2427,$X$2:$X$2427)))/COUNT(IF(A305=$A$2:$A$2427,IF(D305=$D$2:$D$2427,IF(ISNUMBER($X$2:$X$2427),1)))),0),""),0)</f>
        <v/>
      </c>
      <c r="Z305" s="104" t="str">
        <f>IF(ISNUMBER(O305),IF(I305&gt;0,(10^(VLOOKUP(D305,'Species Codes'!B:C,2,0)+VLOOKUP(D305,'Species Codes'!B:D,3,0)*LOG(E305)+VLOOKUP(D305,'Species Codes'!B:E,4,0)*LOG(I305))),0),"")</f>
        <v/>
      </c>
      <c r="AA305" s="104" t="str">
        <f>IFERROR((VLOOKUP(D305,'Species Codes'!B:G,6,0)*Z305)/2000,"")</f>
        <v/>
      </c>
      <c r="AB305" s="104" t="e">
        <f>IF(Z305&gt;0,((IF(OR(D305="DF",D305="RA")=TRUE,EXP(VLOOKUP(D305,'Species Codes'!B:I,8,0)+VLOOKUP(D305,'Species Codes'!B:J,9,0)*(LN((E305*2.54)))),IF(OR(D305="PY",D305="RC",D305="WH",D305="NF")=TRUE,VLOOKUP(D305,'Species Codes'!B:I,8,0)+VLOOKUP(D305,'Species Codes'!B:J,9,0)*((E305*2.54)^2)*(I305*0.3048),IF(OR(D305="MD",D305="BM",D305="GA")=TRUE,((VLOOKUP(D305,'Species Codes'!B:I,8,0)*(((((E305*2.54)+VLOOKUP(D305,'Species Codes'!B:J,9,0))/VLOOKUP(D305,'Species Codes'!B:K,10,0))^VLOOKUP(D305,'Species Codes'!B:L,11,0))*((I305*0.3048)^VLOOKUP(D305,'Species Codes'!B:M,12,0))))-(VLOOKUP(D305,'Species Codes'!B:I,8,0)*((((E305*2.54)^VLOOKUP(D305,'Species Codes'!B:L,11,0))*((I305*0.3048)^VLOOKUP(D305,'Species Codes'!B:M,12,0))))))*35.3*VLOOKUP(D305,'Species Codes'!B:G,6,0)/2.2046,VLOOKUP(D305,'Species Codes'!B:I,8,0)+VLOOKUP(D305,'Species Codes'!B:J,9,0)*(((E305*2.54)/100)^2)*(I305*0.3048)))))*0.0011023),0)</f>
        <v>#N/A</v>
      </c>
      <c r="AC305" s="104" t="e">
        <f>IF(Z305&gt;0,((IF(OR(D305="RA",D305="OA",D305="OT",D305="UN",D305="PC"),EXP(VLOOKUP(D305,'Species Codes'!B:O,14,0)+VLOOKUP(D305,'Species Codes'!B:P,15,0)*LN((E305*2.54)))-EXP(VLOOKUP(D305,'Species Codes'!B:O,14,0)+VLOOKUP(D305,'Species Codes'!B:P,15,0)*LN((E305*2.54)))*(1/(VLOOKUP(D305,'Species Codes'!B:Q,16,0)+VLOOKUP(D305,'Species Codes'!B:R,17,0)*((E305*2.54)^VLOOKUP(D305,'Species Codes'!B:S,18,0)))),IF(OR(D305="BM",D305="MD",D305="OA"),EXP(VLOOKUP(D305,'Species Codes'!B:O,14,0)+VLOOKUP(D305,'Species Codes'!B:P,15,0)*LN((E305*2.54)))*(1-(1/(VLOOKUP(D305,'Species Codes'!B:Q,16,0)+VLOOKUP(D305,'Species Codes'!B:R,17,0)*((E305*2.54)^VLOOKUP(D305,'Species Codes'!B:S,18,0)))))/1000,IF(D305="DF",EXP(VLOOKUP(D305,'Species Codes'!B:O,14,0)+VLOOKUP(D305,'Species Codes'!B:P,15,0)*LN((E305*2.54))),VLOOKUP(D305,'Species Codes'!B:O,14,0)+VLOOKUP(D305,'Species Codes'!B:P,15,0)*(((E305*2.54)/100)^2)*(I305*0.3048)))))*0.0011023),0)</f>
        <v>#N/A</v>
      </c>
      <c r="AD305" s="104" t="e">
        <f t="shared" si="166"/>
        <v>#N/A</v>
      </c>
      <c r="AE305" s="104" t="e">
        <f t="shared" si="167"/>
        <v>#N/A</v>
      </c>
      <c r="AF305" s="104" t="e">
        <f>IF(AND(VLOOKUP($D305,Merchantability!$B:$C,2,0)="Yes",$E305&gt;=VLOOKUP($D305,Merchantability!$B:$D,3,0),$E305&lt;=VLOOKUP($D305,Merchantability!$B:$E,4,0)),AA305,0)</f>
        <v>#N/A</v>
      </c>
      <c r="AG305" s="104" t="e">
        <f>IF(AND(VLOOKUP($D305,Merchantability!$B:$C,2,0)="Yes",$E305&gt;=VLOOKUP($D305,Merchantability!$B:$D,3,0),$E305&lt;=VLOOKUP($D305,Merchantability!$B:$E,4,0)),AB305,0)</f>
        <v>#N/A</v>
      </c>
      <c r="AH305" s="104" t="e">
        <f>IF(AND(VLOOKUP($D305,Merchantability!$B:$C,2,0)="Yes",$E305&gt;=VLOOKUP($D305,Merchantability!$B:$D,3,0),$E305&lt;=VLOOKUP($D305,Merchantability!$B:$E,4,0)),AC305,0)</f>
        <v>#N/A</v>
      </c>
      <c r="AI305" s="104" t="e">
        <f t="shared" si="168"/>
        <v>#N/A</v>
      </c>
      <c r="AJ305" s="104" t="e">
        <f t="shared" si="169"/>
        <v>#VALUE!</v>
      </c>
      <c r="AK305" s="104" t="e">
        <f t="shared" si="170"/>
        <v>#N/A</v>
      </c>
      <c r="AL305" s="104" t="e">
        <f t="shared" si="171"/>
        <v>#N/A</v>
      </c>
      <c r="AM305" s="104" t="e">
        <f t="shared" si="172"/>
        <v>#N/A</v>
      </c>
      <c r="AN305" s="104" t="e">
        <f t="shared" si="156"/>
        <v>#N/A</v>
      </c>
      <c r="AO305" s="104" t="e">
        <f t="shared" si="157"/>
        <v>#N/A</v>
      </c>
      <c r="AP305" s="104" t="e">
        <f t="shared" si="158"/>
        <v>#N/A</v>
      </c>
      <c r="AQ305" s="104" t="e">
        <f t="shared" si="159"/>
        <v>#N/A</v>
      </c>
      <c r="AR305" s="105" t="str">
        <f t="shared" si="151"/>
        <v/>
      </c>
      <c r="AS305" s="105" t="str">
        <f t="shared" si="152"/>
        <v/>
      </c>
      <c r="AT305" s="108" t="str">
        <f t="shared" si="153"/>
        <v/>
      </c>
      <c r="AU305" s="108" t="str">
        <f t="shared" si="154"/>
        <v/>
      </c>
      <c r="AV305" s="107" t="str">
        <f>IF(ISNUMBER(O305),IF(VLOOKUP($A305,Stand!C:J,8,FALSE)="Short",AT305,AU305),"")</f>
        <v/>
      </c>
      <c r="AW305" s="109" t="str">
        <f t="shared" si="160"/>
        <v/>
      </c>
      <c r="AX305" s="109" t="str">
        <f t="shared" si="161"/>
        <v/>
      </c>
      <c r="AY305" s="112" t="str">
        <f>IF(ISNUMBER(O305),IF(AND(VLOOKUP($D305,Merchantability!$B:$C,2,0)="Yes",$E305&gt;=VLOOKUP($D305,Merchantability!$B:$D,3,0),$E305&lt;=VLOOKUP($D305,Merchantability!$B:$E,4,0)),(AV305*O305)*(1-$H305/100),""),"")</f>
        <v/>
      </c>
      <c r="AZ305" s="116"/>
      <c r="BA305" s="116"/>
      <c r="BB305" s="116"/>
      <c r="BE305" s="62"/>
      <c r="BF305" s="63"/>
    </row>
    <row r="306" spans="1:58" ht="12.75" customHeight="1" x14ac:dyDescent="0.25">
      <c r="A306" s="313"/>
      <c r="B306" s="380"/>
      <c r="C306" s="381"/>
      <c r="D306" s="380"/>
      <c r="E306" s="382"/>
      <c r="F306" s="331"/>
      <c r="G306" s="329"/>
      <c r="H306" s="329"/>
      <c r="I306" s="380"/>
      <c r="J306" s="381"/>
      <c r="K306" s="329"/>
      <c r="L306" s="329"/>
      <c r="M306" s="76"/>
      <c r="N306" s="103" t="str">
        <f>IF(A306="","",VLOOKUP(A306,Stand!C:K,9,0))</f>
        <v/>
      </c>
      <c r="O306" s="104" t="str">
        <f t="shared" si="146"/>
        <v/>
      </c>
      <c r="P306" s="105" t="str">
        <f t="shared" si="147"/>
        <v/>
      </c>
      <c r="Q306" s="105" t="str">
        <f t="shared" si="162"/>
        <v/>
      </c>
      <c r="R306" s="103" t="str">
        <f t="shared" si="148"/>
        <v/>
      </c>
      <c r="S306" s="103" t="str">
        <f t="shared" si="149"/>
        <v/>
      </c>
      <c r="T306" s="106" t="str">
        <f t="shared" si="163"/>
        <v/>
      </c>
      <c r="U306" s="106" t="str">
        <f t="shared" si="164"/>
        <v/>
      </c>
      <c r="V306" s="106" t="str">
        <f t="shared" si="165"/>
        <v/>
      </c>
      <c r="W306" s="105" t="str">
        <f t="shared" si="150"/>
        <v/>
      </c>
      <c r="X306" s="104" t="str">
        <f t="shared" si="155"/>
        <v/>
      </c>
      <c r="Y306" s="104" t="str">
        <f t="array" ref="Y306">IFERROR(IF(ISNUMBER(O306),IF(COUNT(IF(A306=$A$2:$A$2427,IF(D306=$D$2:$D$2427,IF($X$2:$X$2427&gt;0,1))))&gt;0,SUM(IF(A306=$A$2:$A$2427,IF(D306=$D$2:$D$2427,$X$2:$X$2427)))/COUNT(IF(A306=$A$2:$A$2427,IF(D306=$D$2:$D$2427,IF(ISNUMBER($X$2:$X$2427),1)))),0),""),0)</f>
        <v/>
      </c>
      <c r="Z306" s="104" t="str">
        <f>IF(ISNUMBER(O306),IF(I306&gt;0,(10^(VLOOKUP(D306,'Species Codes'!B:C,2,0)+VLOOKUP(D306,'Species Codes'!B:D,3,0)*LOG(E306)+VLOOKUP(D306,'Species Codes'!B:E,4,0)*LOG(I306))),0),"")</f>
        <v/>
      </c>
      <c r="AA306" s="104" t="str">
        <f>IFERROR((VLOOKUP(D306,'Species Codes'!B:G,6,0)*Z306)/2000,"")</f>
        <v/>
      </c>
      <c r="AB306" s="104" t="e">
        <f>IF(Z306&gt;0,((IF(OR(D306="DF",D306="RA")=TRUE,EXP(VLOOKUP(D306,'Species Codes'!B:I,8,0)+VLOOKUP(D306,'Species Codes'!B:J,9,0)*(LN((E306*2.54)))),IF(OR(D306="PY",D306="RC",D306="WH",D306="NF")=TRUE,VLOOKUP(D306,'Species Codes'!B:I,8,0)+VLOOKUP(D306,'Species Codes'!B:J,9,0)*((E306*2.54)^2)*(I306*0.3048),IF(OR(D306="MD",D306="BM",D306="GA")=TRUE,((VLOOKUP(D306,'Species Codes'!B:I,8,0)*(((((E306*2.54)+VLOOKUP(D306,'Species Codes'!B:J,9,0))/VLOOKUP(D306,'Species Codes'!B:K,10,0))^VLOOKUP(D306,'Species Codes'!B:L,11,0))*((I306*0.3048)^VLOOKUP(D306,'Species Codes'!B:M,12,0))))-(VLOOKUP(D306,'Species Codes'!B:I,8,0)*((((E306*2.54)^VLOOKUP(D306,'Species Codes'!B:L,11,0))*((I306*0.3048)^VLOOKUP(D306,'Species Codes'!B:M,12,0))))))*35.3*VLOOKUP(D306,'Species Codes'!B:G,6,0)/2.2046,VLOOKUP(D306,'Species Codes'!B:I,8,0)+VLOOKUP(D306,'Species Codes'!B:J,9,0)*(((E306*2.54)/100)^2)*(I306*0.3048)))))*0.0011023),0)</f>
        <v>#N/A</v>
      </c>
      <c r="AC306" s="104" t="e">
        <f>IF(Z306&gt;0,((IF(OR(D306="RA",D306="OA",D306="OT",D306="UN",D306="PC"),EXP(VLOOKUP(D306,'Species Codes'!B:O,14,0)+VLOOKUP(D306,'Species Codes'!B:P,15,0)*LN((E306*2.54)))-EXP(VLOOKUP(D306,'Species Codes'!B:O,14,0)+VLOOKUP(D306,'Species Codes'!B:P,15,0)*LN((E306*2.54)))*(1/(VLOOKUP(D306,'Species Codes'!B:Q,16,0)+VLOOKUP(D306,'Species Codes'!B:R,17,0)*((E306*2.54)^VLOOKUP(D306,'Species Codes'!B:S,18,0)))),IF(OR(D306="BM",D306="MD",D306="OA"),EXP(VLOOKUP(D306,'Species Codes'!B:O,14,0)+VLOOKUP(D306,'Species Codes'!B:P,15,0)*LN((E306*2.54)))*(1-(1/(VLOOKUP(D306,'Species Codes'!B:Q,16,0)+VLOOKUP(D306,'Species Codes'!B:R,17,0)*((E306*2.54)^VLOOKUP(D306,'Species Codes'!B:S,18,0)))))/1000,IF(D306="DF",EXP(VLOOKUP(D306,'Species Codes'!B:O,14,0)+VLOOKUP(D306,'Species Codes'!B:P,15,0)*LN((E306*2.54))),VLOOKUP(D306,'Species Codes'!B:O,14,0)+VLOOKUP(D306,'Species Codes'!B:P,15,0)*(((E306*2.54)/100)^2)*(I306*0.3048)))))*0.0011023),0)</f>
        <v>#N/A</v>
      </c>
      <c r="AD306" s="104" t="e">
        <f t="shared" si="166"/>
        <v>#N/A</v>
      </c>
      <c r="AE306" s="104" t="e">
        <f t="shared" si="167"/>
        <v>#N/A</v>
      </c>
      <c r="AF306" s="104" t="e">
        <f>IF(AND(VLOOKUP($D306,Merchantability!$B:$C,2,0)="Yes",$E306&gt;=VLOOKUP($D306,Merchantability!$B:$D,3,0),$E306&lt;=VLOOKUP($D306,Merchantability!$B:$E,4,0)),AA306,0)</f>
        <v>#N/A</v>
      </c>
      <c r="AG306" s="104" t="e">
        <f>IF(AND(VLOOKUP($D306,Merchantability!$B:$C,2,0)="Yes",$E306&gt;=VLOOKUP($D306,Merchantability!$B:$D,3,0),$E306&lt;=VLOOKUP($D306,Merchantability!$B:$E,4,0)),AB306,0)</f>
        <v>#N/A</v>
      </c>
      <c r="AH306" s="104" t="e">
        <f>IF(AND(VLOOKUP($D306,Merchantability!$B:$C,2,0)="Yes",$E306&gt;=VLOOKUP($D306,Merchantability!$B:$D,3,0),$E306&lt;=VLOOKUP($D306,Merchantability!$B:$E,4,0)),AC306,0)</f>
        <v>#N/A</v>
      </c>
      <c r="AI306" s="104" t="e">
        <f t="shared" si="168"/>
        <v>#N/A</v>
      </c>
      <c r="AJ306" s="104" t="e">
        <f t="shared" si="169"/>
        <v>#VALUE!</v>
      </c>
      <c r="AK306" s="104" t="e">
        <f t="shared" si="170"/>
        <v>#N/A</v>
      </c>
      <c r="AL306" s="104" t="e">
        <f t="shared" si="171"/>
        <v>#N/A</v>
      </c>
      <c r="AM306" s="104" t="e">
        <f t="shared" si="172"/>
        <v>#N/A</v>
      </c>
      <c r="AN306" s="104" t="e">
        <f t="shared" si="156"/>
        <v>#N/A</v>
      </c>
      <c r="AO306" s="104" t="e">
        <f t="shared" si="157"/>
        <v>#N/A</v>
      </c>
      <c r="AP306" s="104" t="e">
        <f t="shared" si="158"/>
        <v>#N/A</v>
      </c>
      <c r="AQ306" s="104" t="e">
        <f t="shared" si="159"/>
        <v>#N/A</v>
      </c>
      <c r="AR306" s="105" t="str">
        <f t="shared" si="151"/>
        <v/>
      </c>
      <c r="AS306" s="105" t="str">
        <f t="shared" si="152"/>
        <v/>
      </c>
      <c r="AT306" s="108" t="str">
        <f t="shared" si="153"/>
        <v/>
      </c>
      <c r="AU306" s="108" t="str">
        <f t="shared" si="154"/>
        <v/>
      </c>
      <c r="AV306" s="107" t="str">
        <f>IF(ISNUMBER(O306),IF(VLOOKUP($A306,Stand!C:J,8,FALSE)="Short",AT306,AU306),"")</f>
        <v/>
      </c>
      <c r="AW306" s="109" t="str">
        <f t="shared" si="160"/>
        <v/>
      </c>
      <c r="AX306" s="109" t="str">
        <f t="shared" si="161"/>
        <v/>
      </c>
      <c r="AY306" s="112" t="str">
        <f>IF(ISNUMBER(O306),IF(AND(VLOOKUP($D306,Merchantability!$B:$C,2,0)="Yes",$E306&gt;=VLOOKUP($D306,Merchantability!$B:$D,3,0),$E306&lt;=VLOOKUP($D306,Merchantability!$B:$E,4,0)),(AV306*O306)*(1-$H306/100),""),"")</f>
        <v/>
      </c>
      <c r="AZ306" s="116"/>
      <c r="BA306" s="116"/>
      <c r="BB306" s="116"/>
      <c r="BE306" s="62"/>
      <c r="BF306" s="63"/>
    </row>
    <row r="307" spans="1:58" ht="12.75" customHeight="1" x14ac:dyDescent="0.25">
      <c r="A307" s="313"/>
      <c r="B307" s="380"/>
      <c r="C307" s="381"/>
      <c r="D307" s="380"/>
      <c r="E307" s="382"/>
      <c r="F307" s="331"/>
      <c r="G307" s="329"/>
      <c r="H307" s="329"/>
      <c r="I307" s="380"/>
      <c r="J307" s="381"/>
      <c r="K307" s="329"/>
      <c r="L307" s="329"/>
      <c r="M307" s="76"/>
      <c r="N307" s="103" t="str">
        <f>IF(A307="","",VLOOKUP(A307,Stand!C:K,9,0))</f>
        <v/>
      </c>
      <c r="O307" s="104" t="str">
        <f t="shared" si="146"/>
        <v/>
      </c>
      <c r="P307" s="105" t="str">
        <f t="shared" si="147"/>
        <v/>
      </c>
      <c r="Q307" s="105" t="str">
        <f t="shared" si="162"/>
        <v/>
      </c>
      <c r="R307" s="103" t="str">
        <f t="shared" si="148"/>
        <v/>
      </c>
      <c r="S307" s="103" t="str">
        <f t="shared" si="149"/>
        <v/>
      </c>
      <c r="T307" s="106" t="str">
        <f t="shared" si="163"/>
        <v/>
      </c>
      <c r="U307" s="106" t="str">
        <f t="shared" si="164"/>
        <v/>
      </c>
      <c r="V307" s="106" t="str">
        <f t="shared" si="165"/>
        <v/>
      </c>
      <c r="W307" s="105" t="str">
        <f t="shared" si="150"/>
        <v/>
      </c>
      <c r="X307" s="104" t="str">
        <f t="shared" si="155"/>
        <v/>
      </c>
      <c r="Y307" s="104" t="str">
        <f t="array" ref="Y307">IFERROR(IF(ISNUMBER(O307),IF(COUNT(IF(A307=$A$2:$A$2427,IF(D307=$D$2:$D$2427,IF($X$2:$X$2427&gt;0,1))))&gt;0,SUM(IF(A307=$A$2:$A$2427,IF(D307=$D$2:$D$2427,$X$2:$X$2427)))/COUNT(IF(A307=$A$2:$A$2427,IF(D307=$D$2:$D$2427,IF(ISNUMBER($X$2:$X$2427),1)))),0),""),0)</f>
        <v/>
      </c>
      <c r="Z307" s="104" t="str">
        <f>IF(ISNUMBER(O307),IF(I307&gt;0,(10^(VLOOKUP(D307,'Species Codes'!B:C,2,0)+VLOOKUP(D307,'Species Codes'!B:D,3,0)*LOG(E307)+VLOOKUP(D307,'Species Codes'!B:E,4,0)*LOG(I307))),0),"")</f>
        <v/>
      </c>
      <c r="AA307" s="104" t="str">
        <f>IFERROR((VLOOKUP(D307,'Species Codes'!B:G,6,0)*Z307)/2000,"")</f>
        <v/>
      </c>
      <c r="AB307" s="104" t="e">
        <f>IF(Z307&gt;0,((IF(OR(D307="DF",D307="RA")=TRUE,EXP(VLOOKUP(D307,'Species Codes'!B:I,8,0)+VLOOKUP(D307,'Species Codes'!B:J,9,0)*(LN((E307*2.54)))),IF(OR(D307="PY",D307="RC",D307="WH",D307="NF")=TRUE,VLOOKUP(D307,'Species Codes'!B:I,8,0)+VLOOKUP(D307,'Species Codes'!B:J,9,0)*((E307*2.54)^2)*(I307*0.3048),IF(OR(D307="MD",D307="BM",D307="GA")=TRUE,((VLOOKUP(D307,'Species Codes'!B:I,8,0)*(((((E307*2.54)+VLOOKUP(D307,'Species Codes'!B:J,9,0))/VLOOKUP(D307,'Species Codes'!B:K,10,0))^VLOOKUP(D307,'Species Codes'!B:L,11,0))*((I307*0.3048)^VLOOKUP(D307,'Species Codes'!B:M,12,0))))-(VLOOKUP(D307,'Species Codes'!B:I,8,0)*((((E307*2.54)^VLOOKUP(D307,'Species Codes'!B:L,11,0))*((I307*0.3048)^VLOOKUP(D307,'Species Codes'!B:M,12,0))))))*35.3*VLOOKUP(D307,'Species Codes'!B:G,6,0)/2.2046,VLOOKUP(D307,'Species Codes'!B:I,8,0)+VLOOKUP(D307,'Species Codes'!B:J,9,0)*(((E307*2.54)/100)^2)*(I307*0.3048)))))*0.0011023),0)</f>
        <v>#N/A</v>
      </c>
      <c r="AC307" s="104" t="e">
        <f>IF(Z307&gt;0,((IF(OR(D307="RA",D307="OA",D307="OT",D307="UN",D307="PC"),EXP(VLOOKUP(D307,'Species Codes'!B:O,14,0)+VLOOKUP(D307,'Species Codes'!B:P,15,0)*LN((E307*2.54)))-EXP(VLOOKUP(D307,'Species Codes'!B:O,14,0)+VLOOKUP(D307,'Species Codes'!B:P,15,0)*LN((E307*2.54)))*(1/(VLOOKUP(D307,'Species Codes'!B:Q,16,0)+VLOOKUP(D307,'Species Codes'!B:R,17,0)*((E307*2.54)^VLOOKUP(D307,'Species Codes'!B:S,18,0)))),IF(OR(D307="BM",D307="MD",D307="OA"),EXP(VLOOKUP(D307,'Species Codes'!B:O,14,0)+VLOOKUP(D307,'Species Codes'!B:P,15,0)*LN((E307*2.54)))*(1-(1/(VLOOKUP(D307,'Species Codes'!B:Q,16,0)+VLOOKUP(D307,'Species Codes'!B:R,17,0)*((E307*2.54)^VLOOKUP(D307,'Species Codes'!B:S,18,0)))))/1000,IF(D307="DF",EXP(VLOOKUP(D307,'Species Codes'!B:O,14,0)+VLOOKUP(D307,'Species Codes'!B:P,15,0)*LN((E307*2.54))),VLOOKUP(D307,'Species Codes'!B:O,14,0)+VLOOKUP(D307,'Species Codes'!B:P,15,0)*(((E307*2.54)/100)^2)*(I307*0.3048)))))*0.0011023),0)</f>
        <v>#N/A</v>
      </c>
      <c r="AD307" s="104" t="e">
        <f t="shared" si="166"/>
        <v>#N/A</v>
      </c>
      <c r="AE307" s="104" t="e">
        <f t="shared" si="167"/>
        <v>#N/A</v>
      </c>
      <c r="AF307" s="104" t="e">
        <f>IF(AND(VLOOKUP($D307,Merchantability!$B:$C,2,0)="Yes",$E307&gt;=VLOOKUP($D307,Merchantability!$B:$D,3,0),$E307&lt;=VLOOKUP($D307,Merchantability!$B:$E,4,0)),AA307,0)</f>
        <v>#N/A</v>
      </c>
      <c r="AG307" s="104" t="e">
        <f>IF(AND(VLOOKUP($D307,Merchantability!$B:$C,2,0)="Yes",$E307&gt;=VLOOKUP($D307,Merchantability!$B:$D,3,0),$E307&lt;=VLOOKUP($D307,Merchantability!$B:$E,4,0)),AB307,0)</f>
        <v>#N/A</v>
      </c>
      <c r="AH307" s="104" t="e">
        <f>IF(AND(VLOOKUP($D307,Merchantability!$B:$C,2,0)="Yes",$E307&gt;=VLOOKUP($D307,Merchantability!$B:$D,3,0),$E307&lt;=VLOOKUP($D307,Merchantability!$B:$E,4,0)),AC307,0)</f>
        <v>#N/A</v>
      </c>
      <c r="AI307" s="104" t="e">
        <f t="shared" si="168"/>
        <v>#N/A</v>
      </c>
      <c r="AJ307" s="104" t="e">
        <f t="shared" si="169"/>
        <v>#VALUE!</v>
      </c>
      <c r="AK307" s="104" t="e">
        <f t="shared" si="170"/>
        <v>#N/A</v>
      </c>
      <c r="AL307" s="104" t="e">
        <f t="shared" si="171"/>
        <v>#N/A</v>
      </c>
      <c r="AM307" s="104" t="e">
        <f t="shared" si="172"/>
        <v>#N/A</v>
      </c>
      <c r="AN307" s="104" t="e">
        <f t="shared" si="156"/>
        <v>#N/A</v>
      </c>
      <c r="AO307" s="104" t="e">
        <f t="shared" si="157"/>
        <v>#N/A</v>
      </c>
      <c r="AP307" s="104" t="e">
        <f t="shared" si="158"/>
        <v>#N/A</v>
      </c>
      <c r="AQ307" s="104" t="e">
        <f t="shared" si="159"/>
        <v>#N/A</v>
      </c>
      <c r="AR307" s="105" t="str">
        <f t="shared" si="151"/>
        <v/>
      </c>
      <c r="AS307" s="105" t="str">
        <f t="shared" si="152"/>
        <v/>
      </c>
      <c r="AT307" s="108" t="str">
        <f t="shared" si="153"/>
        <v/>
      </c>
      <c r="AU307" s="108" t="str">
        <f t="shared" si="154"/>
        <v/>
      </c>
      <c r="AV307" s="107" t="str">
        <f>IF(ISNUMBER(O307),IF(VLOOKUP($A307,Stand!C:J,8,FALSE)="Short",AT307,AU307),"")</f>
        <v/>
      </c>
      <c r="AW307" s="109" t="str">
        <f t="shared" si="160"/>
        <v/>
      </c>
      <c r="AX307" s="109" t="str">
        <f t="shared" si="161"/>
        <v/>
      </c>
      <c r="AY307" s="112" t="str">
        <f>IF(ISNUMBER(O307),IF(AND(VLOOKUP($D307,Merchantability!$B:$C,2,0)="Yes",$E307&gt;=VLOOKUP($D307,Merchantability!$B:$D,3,0),$E307&lt;=VLOOKUP($D307,Merchantability!$B:$E,4,0)),(AV307*O307)*(1-$H307/100),""),"")</f>
        <v/>
      </c>
      <c r="AZ307" s="116"/>
      <c r="BA307" s="116"/>
      <c r="BB307" s="116"/>
      <c r="BE307" s="62"/>
      <c r="BF307" s="63"/>
    </row>
    <row r="308" spans="1:58" ht="12.75" customHeight="1" x14ac:dyDescent="0.25">
      <c r="A308" s="313"/>
      <c r="B308" s="380"/>
      <c r="C308" s="381"/>
      <c r="D308" s="380"/>
      <c r="E308" s="382"/>
      <c r="F308" s="331"/>
      <c r="G308" s="329"/>
      <c r="H308" s="329"/>
      <c r="I308" s="380"/>
      <c r="J308" s="381"/>
      <c r="K308" s="329"/>
      <c r="L308" s="329"/>
      <c r="M308" s="76"/>
      <c r="N308" s="103" t="str">
        <f>IF(A308="","",VLOOKUP(A308,Stand!C:K,9,0))</f>
        <v/>
      </c>
      <c r="O308" s="104" t="str">
        <f t="shared" si="146"/>
        <v/>
      </c>
      <c r="P308" s="105" t="str">
        <f t="shared" si="147"/>
        <v/>
      </c>
      <c r="Q308" s="105" t="str">
        <f t="shared" si="162"/>
        <v/>
      </c>
      <c r="R308" s="103" t="str">
        <f t="shared" si="148"/>
        <v/>
      </c>
      <c r="S308" s="103" t="str">
        <f t="shared" si="149"/>
        <v/>
      </c>
      <c r="T308" s="106" t="str">
        <f t="shared" si="163"/>
        <v/>
      </c>
      <c r="U308" s="106" t="str">
        <f t="shared" si="164"/>
        <v/>
      </c>
      <c r="V308" s="106" t="str">
        <f t="shared" si="165"/>
        <v/>
      </c>
      <c r="W308" s="105" t="str">
        <f t="shared" si="150"/>
        <v/>
      </c>
      <c r="X308" s="104" t="str">
        <f t="shared" si="155"/>
        <v/>
      </c>
      <c r="Y308" s="104" t="str">
        <f t="array" ref="Y308">IFERROR(IF(ISNUMBER(O308),IF(COUNT(IF(A308=$A$2:$A$2427,IF(D308=$D$2:$D$2427,IF($X$2:$X$2427&gt;0,1))))&gt;0,SUM(IF(A308=$A$2:$A$2427,IF(D308=$D$2:$D$2427,$X$2:$X$2427)))/COUNT(IF(A308=$A$2:$A$2427,IF(D308=$D$2:$D$2427,IF(ISNUMBER($X$2:$X$2427),1)))),0),""),0)</f>
        <v/>
      </c>
      <c r="Z308" s="104" t="str">
        <f>IF(ISNUMBER(O308),IF(I308&gt;0,(10^(VLOOKUP(D308,'Species Codes'!B:C,2,0)+VLOOKUP(D308,'Species Codes'!B:D,3,0)*LOG(E308)+VLOOKUP(D308,'Species Codes'!B:E,4,0)*LOG(I308))),0),"")</f>
        <v/>
      </c>
      <c r="AA308" s="104" t="str">
        <f>IFERROR((VLOOKUP(D308,'Species Codes'!B:G,6,0)*Z308)/2000,"")</f>
        <v/>
      </c>
      <c r="AB308" s="104" t="e">
        <f>IF(Z308&gt;0,((IF(OR(D308="DF",D308="RA")=TRUE,EXP(VLOOKUP(D308,'Species Codes'!B:I,8,0)+VLOOKUP(D308,'Species Codes'!B:J,9,0)*(LN((E308*2.54)))),IF(OR(D308="PY",D308="RC",D308="WH",D308="NF")=TRUE,VLOOKUP(D308,'Species Codes'!B:I,8,0)+VLOOKUP(D308,'Species Codes'!B:J,9,0)*((E308*2.54)^2)*(I308*0.3048),IF(OR(D308="MD",D308="BM",D308="GA")=TRUE,((VLOOKUP(D308,'Species Codes'!B:I,8,0)*(((((E308*2.54)+VLOOKUP(D308,'Species Codes'!B:J,9,0))/VLOOKUP(D308,'Species Codes'!B:K,10,0))^VLOOKUP(D308,'Species Codes'!B:L,11,0))*((I308*0.3048)^VLOOKUP(D308,'Species Codes'!B:M,12,0))))-(VLOOKUP(D308,'Species Codes'!B:I,8,0)*((((E308*2.54)^VLOOKUP(D308,'Species Codes'!B:L,11,0))*((I308*0.3048)^VLOOKUP(D308,'Species Codes'!B:M,12,0))))))*35.3*VLOOKUP(D308,'Species Codes'!B:G,6,0)/2.2046,VLOOKUP(D308,'Species Codes'!B:I,8,0)+VLOOKUP(D308,'Species Codes'!B:J,9,0)*(((E308*2.54)/100)^2)*(I308*0.3048)))))*0.0011023),0)</f>
        <v>#N/A</v>
      </c>
      <c r="AC308" s="104" t="e">
        <f>IF(Z308&gt;0,((IF(OR(D308="RA",D308="OA",D308="OT",D308="UN",D308="PC"),EXP(VLOOKUP(D308,'Species Codes'!B:O,14,0)+VLOOKUP(D308,'Species Codes'!B:P,15,0)*LN((E308*2.54)))-EXP(VLOOKUP(D308,'Species Codes'!B:O,14,0)+VLOOKUP(D308,'Species Codes'!B:P,15,0)*LN((E308*2.54)))*(1/(VLOOKUP(D308,'Species Codes'!B:Q,16,0)+VLOOKUP(D308,'Species Codes'!B:R,17,0)*((E308*2.54)^VLOOKUP(D308,'Species Codes'!B:S,18,0)))),IF(OR(D308="BM",D308="MD",D308="OA"),EXP(VLOOKUP(D308,'Species Codes'!B:O,14,0)+VLOOKUP(D308,'Species Codes'!B:P,15,0)*LN((E308*2.54)))*(1-(1/(VLOOKUP(D308,'Species Codes'!B:Q,16,0)+VLOOKUP(D308,'Species Codes'!B:R,17,0)*((E308*2.54)^VLOOKUP(D308,'Species Codes'!B:S,18,0)))))/1000,IF(D308="DF",EXP(VLOOKUP(D308,'Species Codes'!B:O,14,0)+VLOOKUP(D308,'Species Codes'!B:P,15,0)*LN((E308*2.54))),VLOOKUP(D308,'Species Codes'!B:O,14,0)+VLOOKUP(D308,'Species Codes'!B:P,15,0)*(((E308*2.54)/100)^2)*(I308*0.3048)))))*0.0011023),0)</f>
        <v>#N/A</v>
      </c>
      <c r="AD308" s="104" t="e">
        <f t="shared" si="166"/>
        <v>#N/A</v>
      </c>
      <c r="AE308" s="104" t="e">
        <f t="shared" si="167"/>
        <v>#N/A</v>
      </c>
      <c r="AF308" s="104" t="e">
        <f>IF(AND(VLOOKUP($D308,Merchantability!$B:$C,2,0)="Yes",$E308&gt;=VLOOKUP($D308,Merchantability!$B:$D,3,0),$E308&lt;=VLOOKUP($D308,Merchantability!$B:$E,4,0)),AA308,0)</f>
        <v>#N/A</v>
      </c>
      <c r="AG308" s="104" t="e">
        <f>IF(AND(VLOOKUP($D308,Merchantability!$B:$C,2,0)="Yes",$E308&gt;=VLOOKUP($D308,Merchantability!$B:$D,3,0),$E308&lt;=VLOOKUP($D308,Merchantability!$B:$E,4,0)),AB308,0)</f>
        <v>#N/A</v>
      </c>
      <c r="AH308" s="104" t="e">
        <f>IF(AND(VLOOKUP($D308,Merchantability!$B:$C,2,0)="Yes",$E308&gt;=VLOOKUP($D308,Merchantability!$B:$D,3,0),$E308&lt;=VLOOKUP($D308,Merchantability!$B:$E,4,0)),AC308,0)</f>
        <v>#N/A</v>
      </c>
      <c r="AI308" s="104" t="e">
        <f t="shared" si="168"/>
        <v>#N/A</v>
      </c>
      <c r="AJ308" s="104" t="e">
        <f t="shared" si="169"/>
        <v>#VALUE!</v>
      </c>
      <c r="AK308" s="104" t="e">
        <f t="shared" si="170"/>
        <v>#N/A</v>
      </c>
      <c r="AL308" s="104" t="e">
        <f t="shared" si="171"/>
        <v>#N/A</v>
      </c>
      <c r="AM308" s="104" t="e">
        <f t="shared" si="172"/>
        <v>#N/A</v>
      </c>
      <c r="AN308" s="104" t="e">
        <f t="shared" si="156"/>
        <v>#N/A</v>
      </c>
      <c r="AO308" s="104" t="e">
        <f t="shared" si="157"/>
        <v>#N/A</v>
      </c>
      <c r="AP308" s="104" t="e">
        <f t="shared" si="158"/>
        <v>#N/A</v>
      </c>
      <c r="AQ308" s="104" t="e">
        <f t="shared" si="159"/>
        <v>#N/A</v>
      </c>
      <c r="AR308" s="105" t="str">
        <f t="shared" si="151"/>
        <v/>
      </c>
      <c r="AS308" s="105" t="str">
        <f t="shared" si="152"/>
        <v/>
      </c>
      <c r="AT308" s="108" t="str">
        <f t="shared" si="153"/>
        <v/>
      </c>
      <c r="AU308" s="108" t="str">
        <f t="shared" si="154"/>
        <v/>
      </c>
      <c r="AV308" s="107" t="str">
        <f>IF(ISNUMBER(O308),IF(VLOOKUP($A308,Stand!C:J,8,FALSE)="Short",AT308,AU308),"")</f>
        <v/>
      </c>
      <c r="AW308" s="109" t="str">
        <f t="shared" si="160"/>
        <v/>
      </c>
      <c r="AX308" s="109" t="str">
        <f t="shared" si="161"/>
        <v/>
      </c>
      <c r="AY308" s="112" t="str">
        <f>IF(ISNUMBER(O308),IF(AND(VLOOKUP($D308,Merchantability!$B:$C,2,0)="Yes",$E308&gt;=VLOOKUP($D308,Merchantability!$B:$D,3,0),$E308&lt;=VLOOKUP($D308,Merchantability!$B:$E,4,0)),(AV308*O308)*(1-$H308/100),""),"")</f>
        <v/>
      </c>
      <c r="AZ308" s="116"/>
      <c r="BA308" s="116"/>
      <c r="BB308" s="116"/>
      <c r="BE308" s="62"/>
      <c r="BF308" s="63"/>
    </row>
    <row r="309" spans="1:58" ht="12.75" customHeight="1" x14ac:dyDescent="0.25">
      <c r="A309" s="313"/>
      <c r="B309" s="380"/>
      <c r="C309" s="381"/>
      <c r="D309" s="380"/>
      <c r="E309" s="382"/>
      <c r="F309" s="331"/>
      <c r="G309" s="329"/>
      <c r="H309" s="329"/>
      <c r="I309" s="380"/>
      <c r="J309" s="381"/>
      <c r="K309" s="329"/>
      <c r="L309" s="329"/>
      <c r="M309" s="76"/>
      <c r="N309" s="103" t="str">
        <f>IF(A309="","",VLOOKUP(A309,Stand!C:K,9,0))</f>
        <v/>
      </c>
      <c r="O309" s="104" t="str">
        <f t="shared" si="146"/>
        <v/>
      </c>
      <c r="P309" s="105" t="str">
        <f t="shared" si="147"/>
        <v/>
      </c>
      <c r="Q309" s="105" t="str">
        <f t="shared" si="162"/>
        <v/>
      </c>
      <c r="R309" s="103" t="str">
        <f t="shared" si="148"/>
        <v/>
      </c>
      <c r="S309" s="103" t="str">
        <f t="shared" si="149"/>
        <v/>
      </c>
      <c r="T309" s="106" t="str">
        <f t="shared" si="163"/>
        <v/>
      </c>
      <c r="U309" s="106" t="str">
        <f t="shared" si="164"/>
        <v/>
      </c>
      <c r="V309" s="106" t="str">
        <f t="shared" si="165"/>
        <v/>
      </c>
      <c r="W309" s="105" t="str">
        <f t="shared" si="150"/>
        <v/>
      </c>
      <c r="X309" s="104" t="str">
        <f t="shared" si="155"/>
        <v/>
      </c>
      <c r="Y309" s="104" t="str">
        <f t="array" ref="Y309">IFERROR(IF(ISNUMBER(O309),IF(COUNT(IF(A309=$A$2:$A$2427,IF(D309=$D$2:$D$2427,IF($X$2:$X$2427&gt;0,1))))&gt;0,SUM(IF(A309=$A$2:$A$2427,IF(D309=$D$2:$D$2427,$X$2:$X$2427)))/COUNT(IF(A309=$A$2:$A$2427,IF(D309=$D$2:$D$2427,IF(ISNUMBER($X$2:$X$2427),1)))),0),""),0)</f>
        <v/>
      </c>
      <c r="Z309" s="104" t="str">
        <f>IF(ISNUMBER(O309),IF(I309&gt;0,(10^(VLOOKUP(D309,'Species Codes'!B:C,2,0)+VLOOKUP(D309,'Species Codes'!B:D,3,0)*LOG(E309)+VLOOKUP(D309,'Species Codes'!B:E,4,0)*LOG(I309))),0),"")</f>
        <v/>
      </c>
      <c r="AA309" s="104" t="str">
        <f>IFERROR((VLOOKUP(D309,'Species Codes'!B:G,6,0)*Z309)/2000,"")</f>
        <v/>
      </c>
      <c r="AB309" s="104" t="e">
        <f>IF(Z309&gt;0,((IF(OR(D309="DF",D309="RA")=TRUE,EXP(VLOOKUP(D309,'Species Codes'!B:I,8,0)+VLOOKUP(D309,'Species Codes'!B:J,9,0)*(LN((E309*2.54)))),IF(OR(D309="PY",D309="RC",D309="WH",D309="NF")=TRUE,VLOOKUP(D309,'Species Codes'!B:I,8,0)+VLOOKUP(D309,'Species Codes'!B:J,9,0)*((E309*2.54)^2)*(I309*0.3048),IF(OR(D309="MD",D309="BM",D309="GA")=TRUE,((VLOOKUP(D309,'Species Codes'!B:I,8,0)*(((((E309*2.54)+VLOOKUP(D309,'Species Codes'!B:J,9,0))/VLOOKUP(D309,'Species Codes'!B:K,10,0))^VLOOKUP(D309,'Species Codes'!B:L,11,0))*((I309*0.3048)^VLOOKUP(D309,'Species Codes'!B:M,12,0))))-(VLOOKUP(D309,'Species Codes'!B:I,8,0)*((((E309*2.54)^VLOOKUP(D309,'Species Codes'!B:L,11,0))*((I309*0.3048)^VLOOKUP(D309,'Species Codes'!B:M,12,0))))))*35.3*VLOOKUP(D309,'Species Codes'!B:G,6,0)/2.2046,VLOOKUP(D309,'Species Codes'!B:I,8,0)+VLOOKUP(D309,'Species Codes'!B:J,9,0)*(((E309*2.54)/100)^2)*(I309*0.3048)))))*0.0011023),0)</f>
        <v>#N/A</v>
      </c>
      <c r="AC309" s="104" t="e">
        <f>IF(Z309&gt;0,((IF(OR(D309="RA",D309="OA",D309="OT",D309="UN",D309="PC"),EXP(VLOOKUP(D309,'Species Codes'!B:O,14,0)+VLOOKUP(D309,'Species Codes'!B:P,15,0)*LN((E309*2.54)))-EXP(VLOOKUP(D309,'Species Codes'!B:O,14,0)+VLOOKUP(D309,'Species Codes'!B:P,15,0)*LN((E309*2.54)))*(1/(VLOOKUP(D309,'Species Codes'!B:Q,16,0)+VLOOKUP(D309,'Species Codes'!B:R,17,0)*((E309*2.54)^VLOOKUP(D309,'Species Codes'!B:S,18,0)))),IF(OR(D309="BM",D309="MD",D309="OA"),EXP(VLOOKUP(D309,'Species Codes'!B:O,14,0)+VLOOKUP(D309,'Species Codes'!B:P,15,0)*LN((E309*2.54)))*(1-(1/(VLOOKUP(D309,'Species Codes'!B:Q,16,0)+VLOOKUP(D309,'Species Codes'!B:R,17,0)*((E309*2.54)^VLOOKUP(D309,'Species Codes'!B:S,18,0)))))/1000,IF(D309="DF",EXP(VLOOKUP(D309,'Species Codes'!B:O,14,0)+VLOOKUP(D309,'Species Codes'!B:P,15,0)*LN((E309*2.54))),VLOOKUP(D309,'Species Codes'!B:O,14,0)+VLOOKUP(D309,'Species Codes'!B:P,15,0)*(((E309*2.54)/100)^2)*(I309*0.3048)))))*0.0011023),0)</f>
        <v>#N/A</v>
      </c>
      <c r="AD309" s="104" t="e">
        <f t="shared" si="166"/>
        <v>#N/A</v>
      </c>
      <c r="AE309" s="104" t="e">
        <f t="shared" si="167"/>
        <v>#N/A</v>
      </c>
      <c r="AF309" s="104" t="e">
        <f>IF(AND(VLOOKUP($D309,Merchantability!$B:$C,2,0)="Yes",$E309&gt;=VLOOKUP($D309,Merchantability!$B:$D,3,0),$E309&lt;=VLOOKUP($D309,Merchantability!$B:$E,4,0)),AA309,0)</f>
        <v>#N/A</v>
      </c>
      <c r="AG309" s="104" t="e">
        <f>IF(AND(VLOOKUP($D309,Merchantability!$B:$C,2,0)="Yes",$E309&gt;=VLOOKUP($D309,Merchantability!$B:$D,3,0),$E309&lt;=VLOOKUP($D309,Merchantability!$B:$E,4,0)),AB309,0)</f>
        <v>#N/A</v>
      </c>
      <c r="AH309" s="104" t="e">
        <f>IF(AND(VLOOKUP($D309,Merchantability!$B:$C,2,0)="Yes",$E309&gt;=VLOOKUP($D309,Merchantability!$B:$D,3,0),$E309&lt;=VLOOKUP($D309,Merchantability!$B:$E,4,0)),AC309,0)</f>
        <v>#N/A</v>
      </c>
      <c r="AI309" s="104" t="e">
        <f t="shared" si="168"/>
        <v>#N/A</v>
      </c>
      <c r="AJ309" s="104" t="e">
        <f t="shared" si="169"/>
        <v>#VALUE!</v>
      </c>
      <c r="AK309" s="104" t="e">
        <f t="shared" si="170"/>
        <v>#N/A</v>
      </c>
      <c r="AL309" s="104" t="e">
        <f t="shared" si="171"/>
        <v>#N/A</v>
      </c>
      <c r="AM309" s="104" t="e">
        <f t="shared" si="172"/>
        <v>#N/A</v>
      </c>
      <c r="AN309" s="104" t="e">
        <f t="shared" si="156"/>
        <v>#N/A</v>
      </c>
      <c r="AO309" s="104" t="e">
        <f t="shared" si="157"/>
        <v>#N/A</v>
      </c>
      <c r="AP309" s="104" t="e">
        <f t="shared" si="158"/>
        <v>#N/A</v>
      </c>
      <c r="AQ309" s="104" t="e">
        <f t="shared" si="159"/>
        <v>#N/A</v>
      </c>
      <c r="AR309" s="105" t="str">
        <f t="shared" si="151"/>
        <v/>
      </c>
      <c r="AS309" s="105" t="str">
        <f t="shared" si="152"/>
        <v/>
      </c>
      <c r="AT309" s="108" t="str">
        <f t="shared" si="153"/>
        <v/>
      </c>
      <c r="AU309" s="108" t="str">
        <f t="shared" si="154"/>
        <v/>
      </c>
      <c r="AV309" s="107" t="str">
        <f>IF(ISNUMBER(O309),IF(VLOOKUP($A309,Stand!C:J,8,FALSE)="Short",AT309,AU309),"")</f>
        <v/>
      </c>
      <c r="AW309" s="109" t="str">
        <f t="shared" si="160"/>
        <v/>
      </c>
      <c r="AX309" s="109" t="str">
        <f t="shared" si="161"/>
        <v/>
      </c>
      <c r="AY309" s="112" t="str">
        <f>IF(ISNUMBER(O309),IF(AND(VLOOKUP($D309,Merchantability!$B:$C,2,0)="Yes",$E309&gt;=VLOOKUP($D309,Merchantability!$B:$D,3,0),$E309&lt;=VLOOKUP($D309,Merchantability!$B:$E,4,0)),(AV309*O309)*(1-$H309/100),""),"")</f>
        <v/>
      </c>
      <c r="AZ309" s="116"/>
      <c r="BA309" s="116"/>
      <c r="BB309" s="116"/>
      <c r="BE309" s="62"/>
      <c r="BF309" s="63"/>
    </row>
    <row r="310" spans="1:58" ht="12.75" customHeight="1" x14ac:dyDescent="0.25">
      <c r="A310" s="313"/>
      <c r="B310" s="380"/>
      <c r="C310" s="381"/>
      <c r="D310" s="380"/>
      <c r="E310" s="382"/>
      <c r="F310" s="331"/>
      <c r="G310" s="329"/>
      <c r="H310" s="329"/>
      <c r="I310" s="380"/>
      <c r="J310" s="381"/>
      <c r="K310" s="329"/>
      <c r="L310" s="329"/>
      <c r="M310" s="76"/>
      <c r="N310" s="103" t="str">
        <f>IF(A310="","",VLOOKUP(A310,Stand!C:K,9,0))</f>
        <v/>
      </c>
      <c r="O310" s="104" t="str">
        <f t="shared" si="146"/>
        <v/>
      </c>
      <c r="P310" s="105" t="str">
        <f t="shared" si="147"/>
        <v/>
      </c>
      <c r="Q310" s="105" t="str">
        <f t="shared" si="162"/>
        <v/>
      </c>
      <c r="R310" s="103" t="str">
        <f t="shared" si="148"/>
        <v/>
      </c>
      <c r="S310" s="103" t="str">
        <f t="shared" si="149"/>
        <v/>
      </c>
      <c r="T310" s="106" t="str">
        <f t="shared" si="163"/>
        <v/>
      </c>
      <c r="U310" s="106" t="str">
        <f t="shared" si="164"/>
        <v/>
      </c>
      <c r="V310" s="106" t="str">
        <f t="shared" si="165"/>
        <v/>
      </c>
      <c r="W310" s="105" t="str">
        <f t="shared" si="150"/>
        <v/>
      </c>
      <c r="X310" s="104" t="str">
        <f t="shared" si="155"/>
        <v/>
      </c>
      <c r="Y310" s="104" t="str">
        <f t="array" ref="Y310">IFERROR(IF(ISNUMBER(O310),IF(COUNT(IF(A310=$A$2:$A$2427,IF(D310=$D$2:$D$2427,IF($X$2:$X$2427&gt;0,1))))&gt;0,SUM(IF(A310=$A$2:$A$2427,IF(D310=$D$2:$D$2427,$X$2:$X$2427)))/COUNT(IF(A310=$A$2:$A$2427,IF(D310=$D$2:$D$2427,IF(ISNUMBER($X$2:$X$2427),1)))),0),""),0)</f>
        <v/>
      </c>
      <c r="Z310" s="104" t="str">
        <f>IF(ISNUMBER(O310),IF(I310&gt;0,(10^(VLOOKUP(D310,'Species Codes'!B:C,2,0)+VLOOKUP(D310,'Species Codes'!B:D,3,0)*LOG(E310)+VLOOKUP(D310,'Species Codes'!B:E,4,0)*LOG(I310))),0),"")</f>
        <v/>
      </c>
      <c r="AA310" s="104" t="str">
        <f>IFERROR((VLOOKUP(D310,'Species Codes'!B:G,6,0)*Z310)/2000,"")</f>
        <v/>
      </c>
      <c r="AB310" s="104" t="e">
        <f>IF(Z310&gt;0,((IF(OR(D310="DF",D310="RA")=TRUE,EXP(VLOOKUP(D310,'Species Codes'!B:I,8,0)+VLOOKUP(D310,'Species Codes'!B:J,9,0)*(LN((E310*2.54)))),IF(OR(D310="PY",D310="RC",D310="WH",D310="NF")=TRUE,VLOOKUP(D310,'Species Codes'!B:I,8,0)+VLOOKUP(D310,'Species Codes'!B:J,9,0)*((E310*2.54)^2)*(I310*0.3048),IF(OR(D310="MD",D310="BM",D310="GA")=TRUE,((VLOOKUP(D310,'Species Codes'!B:I,8,0)*(((((E310*2.54)+VLOOKUP(D310,'Species Codes'!B:J,9,0))/VLOOKUP(D310,'Species Codes'!B:K,10,0))^VLOOKUP(D310,'Species Codes'!B:L,11,0))*((I310*0.3048)^VLOOKUP(D310,'Species Codes'!B:M,12,0))))-(VLOOKUP(D310,'Species Codes'!B:I,8,0)*((((E310*2.54)^VLOOKUP(D310,'Species Codes'!B:L,11,0))*((I310*0.3048)^VLOOKUP(D310,'Species Codes'!B:M,12,0))))))*35.3*VLOOKUP(D310,'Species Codes'!B:G,6,0)/2.2046,VLOOKUP(D310,'Species Codes'!B:I,8,0)+VLOOKUP(D310,'Species Codes'!B:J,9,0)*(((E310*2.54)/100)^2)*(I310*0.3048)))))*0.0011023),0)</f>
        <v>#N/A</v>
      </c>
      <c r="AC310" s="104" t="e">
        <f>IF(Z310&gt;0,((IF(OR(D310="RA",D310="OA",D310="OT",D310="UN",D310="PC"),EXP(VLOOKUP(D310,'Species Codes'!B:O,14,0)+VLOOKUP(D310,'Species Codes'!B:P,15,0)*LN((E310*2.54)))-EXP(VLOOKUP(D310,'Species Codes'!B:O,14,0)+VLOOKUP(D310,'Species Codes'!B:P,15,0)*LN((E310*2.54)))*(1/(VLOOKUP(D310,'Species Codes'!B:Q,16,0)+VLOOKUP(D310,'Species Codes'!B:R,17,0)*((E310*2.54)^VLOOKUP(D310,'Species Codes'!B:S,18,0)))),IF(OR(D310="BM",D310="MD",D310="OA"),EXP(VLOOKUP(D310,'Species Codes'!B:O,14,0)+VLOOKUP(D310,'Species Codes'!B:P,15,0)*LN((E310*2.54)))*(1-(1/(VLOOKUP(D310,'Species Codes'!B:Q,16,0)+VLOOKUP(D310,'Species Codes'!B:R,17,0)*((E310*2.54)^VLOOKUP(D310,'Species Codes'!B:S,18,0)))))/1000,IF(D310="DF",EXP(VLOOKUP(D310,'Species Codes'!B:O,14,0)+VLOOKUP(D310,'Species Codes'!B:P,15,0)*LN((E310*2.54))),VLOOKUP(D310,'Species Codes'!B:O,14,0)+VLOOKUP(D310,'Species Codes'!B:P,15,0)*(((E310*2.54)/100)^2)*(I310*0.3048)))))*0.0011023),0)</f>
        <v>#N/A</v>
      </c>
      <c r="AD310" s="104" t="e">
        <f t="shared" si="166"/>
        <v>#N/A</v>
      </c>
      <c r="AE310" s="104" t="e">
        <f t="shared" si="167"/>
        <v>#N/A</v>
      </c>
      <c r="AF310" s="104" t="e">
        <f>IF(AND(VLOOKUP($D310,Merchantability!$B:$C,2,0)="Yes",$E310&gt;=VLOOKUP($D310,Merchantability!$B:$D,3,0),$E310&lt;=VLOOKUP($D310,Merchantability!$B:$E,4,0)),AA310,0)</f>
        <v>#N/A</v>
      </c>
      <c r="AG310" s="104" t="e">
        <f>IF(AND(VLOOKUP($D310,Merchantability!$B:$C,2,0)="Yes",$E310&gt;=VLOOKUP($D310,Merchantability!$B:$D,3,0),$E310&lt;=VLOOKUP($D310,Merchantability!$B:$E,4,0)),AB310,0)</f>
        <v>#N/A</v>
      </c>
      <c r="AH310" s="104" t="e">
        <f>IF(AND(VLOOKUP($D310,Merchantability!$B:$C,2,0)="Yes",$E310&gt;=VLOOKUP($D310,Merchantability!$B:$D,3,0),$E310&lt;=VLOOKUP($D310,Merchantability!$B:$E,4,0)),AC310,0)</f>
        <v>#N/A</v>
      </c>
      <c r="AI310" s="104" t="e">
        <f t="shared" si="168"/>
        <v>#N/A</v>
      </c>
      <c r="AJ310" s="104" t="e">
        <f t="shared" si="169"/>
        <v>#VALUE!</v>
      </c>
      <c r="AK310" s="104" t="e">
        <f t="shared" si="170"/>
        <v>#N/A</v>
      </c>
      <c r="AL310" s="104" t="e">
        <f t="shared" si="171"/>
        <v>#N/A</v>
      </c>
      <c r="AM310" s="104" t="e">
        <f t="shared" si="172"/>
        <v>#N/A</v>
      </c>
      <c r="AN310" s="104" t="e">
        <f t="shared" si="156"/>
        <v>#N/A</v>
      </c>
      <c r="AO310" s="104" t="e">
        <f t="shared" si="157"/>
        <v>#N/A</v>
      </c>
      <c r="AP310" s="104" t="e">
        <f t="shared" si="158"/>
        <v>#N/A</v>
      </c>
      <c r="AQ310" s="104" t="e">
        <f t="shared" si="159"/>
        <v>#N/A</v>
      </c>
      <c r="AR310" s="105" t="str">
        <f t="shared" si="151"/>
        <v/>
      </c>
      <c r="AS310" s="105" t="str">
        <f t="shared" si="152"/>
        <v/>
      </c>
      <c r="AT310" s="108" t="str">
        <f t="shared" si="153"/>
        <v/>
      </c>
      <c r="AU310" s="108" t="str">
        <f t="shared" si="154"/>
        <v/>
      </c>
      <c r="AV310" s="107" t="str">
        <f>IF(ISNUMBER(O310),IF(VLOOKUP($A310,Stand!C:J,8,FALSE)="Short",AT310,AU310),"")</f>
        <v/>
      </c>
      <c r="AW310" s="109" t="str">
        <f t="shared" si="160"/>
        <v/>
      </c>
      <c r="AX310" s="109" t="str">
        <f t="shared" si="161"/>
        <v/>
      </c>
      <c r="AY310" s="112" t="str">
        <f>IF(ISNUMBER(O310),IF(AND(VLOOKUP($D310,Merchantability!$B:$C,2,0)="Yes",$E310&gt;=VLOOKUP($D310,Merchantability!$B:$D,3,0),$E310&lt;=VLOOKUP($D310,Merchantability!$B:$E,4,0)),(AV310*O310)*(1-$H310/100),""),"")</f>
        <v/>
      </c>
      <c r="AZ310" s="116"/>
      <c r="BA310" s="116"/>
      <c r="BB310" s="116"/>
      <c r="BE310" s="62"/>
      <c r="BF310" s="63"/>
    </row>
    <row r="311" spans="1:58" ht="12.75" customHeight="1" x14ac:dyDescent="0.25">
      <c r="A311" s="313"/>
      <c r="B311" s="380"/>
      <c r="C311" s="381"/>
      <c r="D311" s="380"/>
      <c r="E311" s="382"/>
      <c r="F311" s="331"/>
      <c r="G311" s="329"/>
      <c r="H311" s="329"/>
      <c r="I311" s="380"/>
      <c r="J311" s="381"/>
      <c r="K311" s="329"/>
      <c r="L311" s="329"/>
      <c r="M311" s="76"/>
      <c r="N311" s="103" t="str">
        <f>IF(A311="","",VLOOKUP(A311,Stand!C:K,9,0))</f>
        <v/>
      </c>
      <c r="O311" s="104" t="str">
        <f t="shared" si="146"/>
        <v/>
      </c>
      <c r="P311" s="105" t="str">
        <f t="shared" si="147"/>
        <v/>
      </c>
      <c r="Q311" s="105" t="str">
        <f t="shared" si="162"/>
        <v/>
      </c>
      <c r="R311" s="103" t="str">
        <f t="shared" si="148"/>
        <v/>
      </c>
      <c r="S311" s="103" t="str">
        <f t="shared" si="149"/>
        <v/>
      </c>
      <c r="T311" s="106" t="str">
        <f t="shared" si="163"/>
        <v/>
      </c>
      <c r="U311" s="106" t="str">
        <f t="shared" si="164"/>
        <v/>
      </c>
      <c r="V311" s="106" t="str">
        <f t="shared" si="165"/>
        <v/>
      </c>
      <c r="W311" s="105" t="str">
        <f t="shared" si="150"/>
        <v/>
      </c>
      <c r="X311" s="104" t="str">
        <f t="shared" si="155"/>
        <v/>
      </c>
      <c r="Y311" s="104" t="str">
        <f t="array" ref="Y311">IFERROR(IF(ISNUMBER(O311),IF(COUNT(IF(A311=$A$2:$A$2427,IF(D311=$D$2:$D$2427,IF($X$2:$X$2427&gt;0,1))))&gt;0,SUM(IF(A311=$A$2:$A$2427,IF(D311=$D$2:$D$2427,$X$2:$X$2427)))/COUNT(IF(A311=$A$2:$A$2427,IF(D311=$D$2:$D$2427,IF(ISNUMBER($X$2:$X$2427),1)))),0),""),0)</f>
        <v/>
      </c>
      <c r="Z311" s="104" t="str">
        <f>IF(ISNUMBER(O311),IF(I311&gt;0,(10^(VLOOKUP(D311,'Species Codes'!B:C,2,0)+VLOOKUP(D311,'Species Codes'!B:D,3,0)*LOG(E311)+VLOOKUP(D311,'Species Codes'!B:E,4,0)*LOG(I311))),0),"")</f>
        <v/>
      </c>
      <c r="AA311" s="104" t="str">
        <f>IFERROR((VLOOKUP(D311,'Species Codes'!B:G,6,0)*Z311)/2000,"")</f>
        <v/>
      </c>
      <c r="AB311" s="104" t="e">
        <f>IF(Z311&gt;0,((IF(OR(D311="DF",D311="RA")=TRUE,EXP(VLOOKUP(D311,'Species Codes'!B:I,8,0)+VLOOKUP(D311,'Species Codes'!B:J,9,0)*(LN((E311*2.54)))),IF(OR(D311="PY",D311="RC",D311="WH",D311="NF")=TRUE,VLOOKUP(D311,'Species Codes'!B:I,8,0)+VLOOKUP(D311,'Species Codes'!B:J,9,0)*((E311*2.54)^2)*(I311*0.3048),IF(OR(D311="MD",D311="BM",D311="GA")=TRUE,((VLOOKUP(D311,'Species Codes'!B:I,8,0)*(((((E311*2.54)+VLOOKUP(D311,'Species Codes'!B:J,9,0))/VLOOKUP(D311,'Species Codes'!B:K,10,0))^VLOOKUP(D311,'Species Codes'!B:L,11,0))*((I311*0.3048)^VLOOKUP(D311,'Species Codes'!B:M,12,0))))-(VLOOKUP(D311,'Species Codes'!B:I,8,0)*((((E311*2.54)^VLOOKUP(D311,'Species Codes'!B:L,11,0))*((I311*0.3048)^VLOOKUP(D311,'Species Codes'!B:M,12,0))))))*35.3*VLOOKUP(D311,'Species Codes'!B:G,6,0)/2.2046,VLOOKUP(D311,'Species Codes'!B:I,8,0)+VLOOKUP(D311,'Species Codes'!B:J,9,0)*(((E311*2.54)/100)^2)*(I311*0.3048)))))*0.0011023),0)</f>
        <v>#N/A</v>
      </c>
      <c r="AC311" s="104" t="e">
        <f>IF(Z311&gt;0,((IF(OR(D311="RA",D311="OA",D311="OT",D311="UN",D311="PC"),EXP(VLOOKUP(D311,'Species Codes'!B:O,14,0)+VLOOKUP(D311,'Species Codes'!B:P,15,0)*LN((E311*2.54)))-EXP(VLOOKUP(D311,'Species Codes'!B:O,14,0)+VLOOKUP(D311,'Species Codes'!B:P,15,0)*LN((E311*2.54)))*(1/(VLOOKUP(D311,'Species Codes'!B:Q,16,0)+VLOOKUP(D311,'Species Codes'!B:R,17,0)*((E311*2.54)^VLOOKUP(D311,'Species Codes'!B:S,18,0)))),IF(OR(D311="BM",D311="MD",D311="OA"),EXP(VLOOKUP(D311,'Species Codes'!B:O,14,0)+VLOOKUP(D311,'Species Codes'!B:P,15,0)*LN((E311*2.54)))*(1-(1/(VLOOKUP(D311,'Species Codes'!B:Q,16,0)+VLOOKUP(D311,'Species Codes'!B:R,17,0)*((E311*2.54)^VLOOKUP(D311,'Species Codes'!B:S,18,0)))))/1000,IF(D311="DF",EXP(VLOOKUP(D311,'Species Codes'!B:O,14,0)+VLOOKUP(D311,'Species Codes'!B:P,15,0)*LN((E311*2.54))),VLOOKUP(D311,'Species Codes'!B:O,14,0)+VLOOKUP(D311,'Species Codes'!B:P,15,0)*(((E311*2.54)/100)^2)*(I311*0.3048)))))*0.0011023),0)</f>
        <v>#N/A</v>
      </c>
      <c r="AD311" s="104" t="e">
        <f t="shared" si="166"/>
        <v>#N/A</v>
      </c>
      <c r="AE311" s="104" t="e">
        <f t="shared" si="167"/>
        <v>#N/A</v>
      </c>
      <c r="AF311" s="104" t="e">
        <f>IF(AND(VLOOKUP($D311,Merchantability!$B:$C,2,0)="Yes",$E311&gt;=VLOOKUP($D311,Merchantability!$B:$D,3,0),$E311&lt;=VLOOKUP($D311,Merchantability!$B:$E,4,0)),AA311,0)</f>
        <v>#N/A</v>
      </c>
      <c r="AG311" s="104" t="e">
        <f>IF(AND(VLOOKUP($D311,Merchantability!$B:$C,2,0)="Yes",$E311&gt;=VLOOKUP($D311,Merchantability!$B:$D,3,0),$E311&lt;=VLOOKUP($D311,Merchantability!$B:$E,4,0)),AB311,0)</f>
        <v>#N/A</v>
      </c>
      <c r="AH311" s="104" t="e">
        <f>IF(AND(VLOOKUP($D311,Merchantability!$B:$C,2,0)="Yes",$E311&gt;=VLOOKUP($D311,Merchantability!$B:$D,3,0),$E311&lt;=VLOOKUP($D311,Merchantability!$B:$E,4,0)),AC311,0)</f>
        <v>#N/A</v>
      </c>
      <c r="AI311" s="104" t="e">
        <f t="shared" si="168"/>
        <v>#N/A</v>
      </c>
      <c r="AJ311" s="104" t="e">
        <f t="shared" si="169"/>
        <v>#VALUE!</v>
      </c>
      <c r="AK311" s="104" t="e">
        <f t="shared" si="170"/>
        <v>#N/A</v>
      </c>
      <c r="AL311" s="104" t="e">
        <f t="shared" si="171"/>
        <v>#N/A</v>
      </c>
      <c r="AM311" s="104" t="e">
        <f t="shared" si="172"/>
        <v>#N/A</v>
      </c>
      <c r="AN311" s="104" t="e">
        <f t="shared" si="156"/>
        <v>#N/A</v>
      </c>
      <c r="AO311" s="104" t="e">
        <f t="shared" si="157"/>
        <v>#N/A</v>
      </c>
      <c r="AP311" s="104" t="e">
        <f t="shared" si="158"/>
        <v>#N/A</v>
      </c>
      <c r="AQ311" s="104" t="e">
        <f t="shared" si="159"/>
        <v>#N/A</v>
      </c>
      <c r="AR311" s="105" t="str">
        <f t="shared" si="151"/>
        <v/>
      </c>
      <c r="AS311" s="105" t="str">
        <f t="shared" si="152"/>
        <v/>
      </c>
      <c r="AT311" s="108" t="str">
        <f t="shared" si="153"/>
        <v/>
      </c>
      <c r="AU311" s="108" t="str">
        <f t="shared" si="154"/>
        <v/>
      </c>
      <c r="AV311" s="107" t="str">
        <f>IF(ISNUMBER(O311),IF(VLOOKUP($A311,Stand!C:J,8,FALSE)="Short",AT311,AU311),"")</f>
        <v/>
      </c>
      <c r="AW311" s="109" t="str">
        <f t="shared" si="160"/>
        <v/>
      </c>
      <c r="AX311" s="109" t="str">
        <f t="shared" si="161"/>
        <v/>
      </c>
      <c r="AY311" s="112" t="str">
        <f>IF(ISNUMBER(O311),IF(AND(VLOOKUP($D311,Merchantability!$B:$C,2,0)="Yes",$E311&gt;=VLOOKUP($D311,Merchantability!$B:$D,3,0),$E311&lt;=VLOOKUP($D311,Merchantability!$B:$E,4,0)),(AV311*O311)*(1-$H311/100),""),"")</f>
        <v/>
      </c>
      <c r="AZ311" s="116"/>
      <c r="BA311" s="116"/>
      <c r="BB311" s="116"/>
      <c r="BE311" s="62"/>
      <c r="BF311" s="63"/>
    </row>
    <row r="312" spans="1:58" ht="12.75" customHeight="1" x14ac:dyDescent="0.25">
      <c r="A312" s="313"/>
      <c r="B312" s="380"/>
      <c r="C312" s="381"/>
      <c r="D312" s="380"/>
      <c r="E312" s="382"/>
      <c r="F312" s="331"/>
      <c r="G312" s="329"/>
      <c r="H312" s="329"/>
      <c r="I312" s="380"/>
      <c r="J312" s="381"/>
      <c r="K312" s="329"/>
      <c r="L312" s="329"/>
      <c r="M312" s="76"/>
      <c r="N312" s="103" t="str">
        <f>IF(A312="","",VLOOKUP(A312,Stand!C:K,9,0))</f>
        <v/>
      </c>
      <c r="O312" s="104" t="str">
        <f t="shared" si="146"/>
        <v/>
      </c>
      <c r="P312" s="105" t="str">
        <f t="shared" si="147"/>
        <v/>
      </c>
      <c r="Q312" s="105" t="str">
        <f t="shared" si="162"/>
        <v/>
      </c>
      <c r="R312" s="103" t="str">
        <f t="shared" si="148"/>
        <v/>
      </c>
      <c r="S312" s="103" t="str">
        <f t="shared" si="149"/>
        <v/>
      </c>
      <c r="T312" s="106" t="str">
        <f t="shared" si="163"/>
        <v/>
      </c>
      <c r="U312" s="106" t="str">
        <f t="shared" si="164"/>
        <v/>
      </c>
      <c r="V312" s="106" t="str">
        <f t="shared" si="165"/>
        <v/>
      </c>
      <c r="W312" s="105" t="str">
        <f t="shared" si="150"/>
        <v/>
      </c>
      <c r="X312" s="104" t="str">
        <f t="shared" si="155"/>
        <v/>
      </c>
      <c r="Y312" s="104" t="str">
        <f t="array" ref="Y312">IFERROR(IF(ISNUMBER(O312),IF(COUNT(IF(A312=$A$2:$A$2427,IF(D312=$D$2:$D$2427,IF($X$2:$X$2427&gt;0,1))))&gt;0,SUM(IF(A312=$A$2:$A$2427,IF(D312=$D$2:$D$2427,$X$2:$X$2427)))/COUNT(IF(A312=$A$2:$A$2427,IF(D312=$D$2:$D$2427,IF(ISNUMBER($X$2:$X$2427),1)))),0),""),0)</f>
        <v/>
      </c>
      <c r="Z312" s="104" t="str">
        <f>IF(ISNUMBER(O312),IF(I312&gt;0,(10^(VLOOKUP(D312,'Species Codes'!B:C,2,0)+VLOOKUP(D312,'Species Codes'!B:D,3,0)*LOG(E312)+VLOOKUP(D312,'Species Codes'!B:E,4,0)*LOG(I312))),0),"")</f>
        <v/>
      </c>
      <c r="AA312" s="104" t="str">
        <f>IFERROR((VLOOKUP(D312,'Species Codes'!B:G,6,0)*Z312)/2000,"")</f>
        <v/>
      </c>
      <c r="AB312" s="104" t="e">
        <f>IF(Z312&gt;0,((IF(OR(D312="DF",D312="RA")=TRUE,EXP(VLOOKUP(D312,'Species Codes'!B:I,8,0)+VLOOKUP(D312,'Species Codes'!B:J,9,0)*(LN((E312*2.54)))),IF(OR(D312="PY",D312="RC",D312="WH",D312="NF")=TRUE,VLOOKUP(D312,'Species Codes'!B:I,8,0)+VLOOKUP(D312,'Species Codes'!B:J,9,0)*((E312*2.54)^2)*(I312*0.3048),IF(OR(D312="MD",D312="BM",D312="GA")=TRUE,((VLOOKUP(D312,'Species Codes'!B:I,8,0)*(((((E312*2.54)+VLOOKUP(D312,'Species Codes'!B:J,9,0))/VLOOKUP(D312,'Species Codes'!B:K,10,0))^VLOOKUP(D312,'Species Codes'!B:L,11,0))*((I312*0.3048)^VLOOKUP(D312,'Species Codes'!B:M,12,0))))-(VLOOKUP(D312,'Species Codes'!B:I,8,0)*((((E312*2.54)^VLOOKUP(D312,'Species Codes'!B:L,11,0))*((I312*0.3048)^VLOOKUP(D312,'Species Codes'!B:M,12,0))))))*35.3*VLOOKUP(D312,'Species Codes'!B:G,6,0)/2.2046,VLOOKUP(D312,'Species Codes'!B:I,8,0)+VLOOKUP(D312,'Species Codes'!B:J,9,0)*(((E312*2.54)/100)^2)*(I312*0.3048)))))*0.0011023),0)</f>
        <v>#N/A</v>
      </c>
      <c r="AC312" s="104" t="e">
        <f>IF(Z312&gt;0,((IF(OR(D312="RA",D312="OA",D312="OT",D312="UN",D312="PC"),EXP(VLOOKUP(D312,'Species Codes'!B:O,14,0)+VLOOKUP(D312,'Species Codes'!B:P,15,0)*LN((E312*2.54)))-EXP(VLOOKUP(D312,'Species Codes'!B:O,14,0)+VLOOKUP(D312,'Species Codes'!B:P,15,0)*LN((E312*2.54)))*(1/(VLOOKUP(D312,'Species Codes'!B:Q,16,0)+VLOOKUP(D312,'Species Codes'!B:R,17,0)*((E312*2.54)^VLOOKUP(D312,'Species Codes'!B:S,18,0)))),IF(OR(D312="BM",D312="MD",D312="OA"),EXP(VLOOKUP(D312,'Species Codes'!B:O,14,0)+VLOOKUP(D312,'Species Codes'!B:P,15,0)*LN((E312*2.54)))*(1-(1/(VLOOKUP(D312,'Species Codes'!B:Q,16,0)+VLOOKUP(D312,'Species Codes'!B:R,17,0)*((E312*2.54)^VLOOKUP(D312,'Species Codes'!B:S,18,0)))))/1000,IF(D312="DF",EXP(VLOOKUP(D312,'Species Codes'!B:O,14,0)+VLOOKUP(D312,'Species Codes'!B:P,15,0)*LN((E312*2.54))),VLOOKUP(D312,'Species Codes'!B:O,14,0)+VLOOKUP(D312,'Species Codes'!B:P,15,0)*(((E312*2.54)/100)^2)*(I312*0.3048)))))*0.0011023),0)</f>
        <v>#N/A</v>
      </c>
      <c r="AD312" s="104" t="e">
        <f t="shared" si="166"/>
        <v>#N/A</v>
      </c>
      <c r="AE312" s="104" t="e">
        <f t="shared" si="167"/>
        <v>#N/A</v>
      </c>
      <c r="AF312" s="104" t="e">
        <f>IF(AND(VLOOKUP($D312,Merchantability!$B:$C,2,0)="Yes",$E312&gt;=VLOOKUP($D312,Merchantability!$B:$D,3,0),$E312&lt;=VLOOKUP($D312,Merchantability!$B:$E,4,0)),AA312,0)</f>
        <v>#N/A</v>
      </c>
      <c r="AG312" s="104" t="e">
        <f>IF(AND(VLOOKUP($D312,Merchantability!$B:$C,2,0)="Yes",$E312&gt;=VLOOKUP($D312,Merchantability!$B:$D,3,0),$E312&lt;=VLOOKUP($D312,Merchantability!$B:$E,4,0)),AB312,0)</f>
        <v>#N/A</v>
      </c>
      <c r="AH312" s="104" t="e">
        <f>IF(AND(VLOOKUP($D312,Merchantability!$B:$C,2,0)="Yes",$E312&gt;=VLOOKUP($D312,Merchantability!$B:$D,3,0),$E312&lt;=VLOOKUP($D312,Merchantability!$B:$E,4,0)),AC312,0)</f>
        <v>#N/A</v>
      </c>
      <c r="AI312" s="104" t="e">
        <f t="shared" si="168"/>
        <v>#N/A</v>
      </c>
      <c r="AJ312" s="104" t="e">
        <f t="shared" si="169"/>
        <v>#VALUE!</v>
      </c>
      <c r="AK312" s="104" t="e">
        <f t="shared" si="170"/>
        <v>#N/A</v>
      </c>
      <c r="AL312" s="104" t="e">
        <f t="shared" si="171"/>
        <v>#N/A</v>
      </c>
      <c r="AM312" s="104" t="e">
        <f t="shared" si="172"/>
        <v>#N/A</v>
      </c>
      <c r="AN312" s="104" t="e">
        <f t="shared" si="156"/>
        <v>#N/A</v>
      </c>
      <c r="AO312" s="104" t="e">
        <f t="shared" si="157"/>
        <v>#N/A</v>
      </c>
      <c r="AP312" s="104" t="e">
        <f t="shared" si="158"/>
        <v>#N/A</v>
      </c>
      <c r="AQ312" s="104" t="e">
        <f t="shared" si="159"/>
        <v>#N/A</v>
      </c>
      <c r="AR312" s="105" t="str">
        <f t="shared" si="151"/>
        <v/>
      </c>
      <c r="AS312" s="105" t="str">
        <f t="shared" si="152"/>
        <v/>
      </c>
      <c r="AT312" s="108" t="str">
        <f t="shared" si="153"/>
        <v/>
      </c>
      <c r="AU312" s="108" t="str">
        <f t="shared" si="154"/>
        <v/>
      </c>
      <c r="AV312" s="107" t="str">
        <f>IF(ISNUMBER(O312),IF(VLOOKUP($A312,Stand!C:J,8,FALSE)="Short",AT312,AU312),"")</f>
        <v/>
      </c>
      <c r="AW312" s="109" t="str">
        <f t="shared" si="160"/>
        <v/>
      </c>
      <c r="AX312" s="109" t="str">
        <f t="shared" si="161"/>
        <v/>
      </c>
      <c r="AY312" s="112" t="str">
        <f>IF(ISNUMBER(O312),IF(AND(VLOOKUP($D312,Merchantability!$B:$C,2,0)="Yes",$E312&gt;=VLOOKUP($D312,Merchantability!$B:$D,3,0),$E312&lt;=VLOOKUP($D312,Merchantability!$B:$E,4,0)),(AV312*O312)*(1-$H312/100),""),"")</f>
        <v/>
      </c>
      <c r="AZ312" s="116"/>
      <c r="BA312" s="116"/>
      <c r="BB312" s="116"/>
      <c r="BE312" s="62"/>
      <c r="BF312" s="63"/>
    </row>
    <row r="313" spans="1:58" ht="12.75" customHeight="1" x14ac:dyDescent="0.25">
      <c r="A313" s="313"/>
      <c r="B313" s="380"/>
      <c r="C313" s="381"/>
      <c r="D313" s="380"/>
      <c r="E313" s="382"/>
      <c r="F313" s="331"/>
      <c r="G313" s="329"/>
      <c r="H313" s="329"/>
      <c r="I313" s="380"/>
      <c r="J313" s="381"/>
      <c r="K313" s="329"/>
      <c r="L313" s="329"/>
      <c r="M313" s="76"/>
      <c r="N313" s="103" t="str">
        <f>IF(A313="","",VLOOKUP(A313,Stand!C:K,9,0))</f>
        <v/>
      </c>
      <c r="O313" s="104" t="str">
        <f t="shared" si="146"/>
        <v/>
      </c>
      <c r="P313" s="105" t="str">
        <f t="shared" si="147"/>
        <v/>
      </c>
      <c r="Q313" s="105" t="str">
        <f t="shared" si="162"/>
        <v/>
      </c>
      <c r="R313" s="103" t="str">
        <f t="shared" si="148"/>
        <v/>
      </c>
      <c r="S313" s="103" t="str">
        <f t="shared" si="149"/>
        <v/>
      </c>
      <c r="T313" s="106" t="str">
        <f t="shared" si="163"/>
        <v/>
      </c>
      <c r="U313" s="106" t="str">
        <f t="shared" si="164"/>
        <v/>
      </c>
      <c r="V313" s="106" t="str">
        <f t="shared" si="165"/>
        <v/>
      </c>
      <c r="W313" s="105" t="str">
        <f t="shared" si="150"/>
        <v/>
      </c>
      <c r="X313" s="104" t="str">
        <f t="shared" si="155"/>
        <v/>
      </c>
      <c r="Y313" s="104" t="str">
        <f t="array" ref="Y313">IFERROR(IF(ISNUMBER(O313),IF(COUNT(IF(A313=$A$2:$A$2427,IF(D313=$D$2:$D$2427,IF($X$2:$X$2427&gt;0,1))))&gt;0,SUM(IF(A313=$A$2:$A$2427,IF(D313=$D$2:$D$2427,$X$2:$X$2427)))/COUNT(IF(A313=$A$2:$A$2427,IF(D313=$D$2:$D$2427,IF(ISNUMBER($X$2:$X$2427),1)))),0),""),0)</f>
        <v/>
      </c>
      <c r="Z313" s="104" t="str">
        <f>IF(ISNUMBER(O313),IF(I313&gt;0,(10^(VLOOKUP(D313,'Species Codes'!B:C,2,0)+VLOOKUP(D313,'Species Codes'!B:D,3,0)*LOG(E313)+VLOOKUP(D313,'Species Codes'!B:E,4,0)*LOG(I313))),0),"")</f>
        <v/>
      </c>
      <c r="AA313" s="104" t="str">
        <f>IFERROR((VLOOKUP(D313,'Species Codes'!B:G,6,0)*Z313)/2000,"")</f>
        <v/>
      </c>
      <c r="AB313" s="104" t="e">
        <f>IF(Z313&gt;0,((IF(OR(D313="DF",D313="RA")=TRUE,EXP(VLOOKUP(D313,'Species Codes'!B:I,8,0)+VLOOKUP(D313,'Species Codes'!B:J,9,0)*(LN((E313*2.54)))),IF(OR(D313="PY",D313="RC",D313="WH",D313="NF")=TRUE,VLOOKUP(D313,'Species Codes'!B:I,8,0)+VLOOKUP(D313,'Species Codes'!B:J,9,0)*((E313*2.54)^2)*(I313*0.3048),IF(OR(D313="MD",D313="BM",D313="GA")=TRUE,((VLOOKUP(D313,'Species Codes'!B:I,8,0)*(((((E313*2.54)+VLOOKUP(D313,'Species Codes'!B:J,9,0))/VLOOKUP(D313,'Species Codes'!B:K,10,0))^VLOOKUP(D313,'Species Codes'!B:L,11,0))*((I313*0.3048)^VLOOKUP(D313,'Species Codes'!B:M,12,0))))-(VLOOKUP(D313,'Species Codes'!B:I,8,0)*((((E313*2.54)^VLOOKUP(D313,'Species Codes'!B:L,11,0))*((I313*0.3048)^VLOOKUP(D313,'Species Codes'!B:M,12,0))))))*35.3*VLOOKUP(D313,'Species Codes'!B:G,6,0)/2.2046,VLOOKUP(D313,'Species Codes'!B:I,8,0)+VLOOKUP(D313,'Species Codes'!B:J,9,0)*(((E313*2.54)/100)^2)*(I313*0.3048)))))*0.0011023),0)</f>
        <v>#N/A</v>
      </c>
      <c r="AC313" s="104" t="e">
        <f>IF(Z313&gt;0,((IF(OR(D313="RA",D313="OA",D313="OT",D313="UN",D313="PC"),EXP(VLOOKUP(D313,'Species Codes'!B:O,14,0)+VLOOKUP(D313,'Species Codes'!B:P,15,0)*LN((E313*2.54)))-EXP(VLOOKUP(D313,'Species Codes'!B:O,14,0)+VLOOKUP(D313,'Species Codes'!B:P,15,0)*LN((E313*2.54)))*(1/(VLOOKUP(D313,'Species Codes'!B:Q,16,0)+VLOOKUP(D313,'Species Codes'!B:R,17,0)*((E313*2.54)^VLOOKUP(D313,'Species Codes'!B:S,18,0)))),IF(OR(D313="BM",D313="MD",D313="OA"),EXP(VLOOKUP(D313,'Species Codes'!B:O,14,0)+VLOOKUP(D313,'Species Codes'!B:P,15,0)*LN((E313*2.54)))*(1-(1/(VLOOKUP(D313,'Species Codes'!B:Q,16,0)+VLOOKUP(D313,'Species Codes'!B:R,17,0)*((E313*2.54)^VLOOKUP(D313,'Species Codes'!B:S,18,0)))))/1000,IF(D313="DF",EXP(VLOOKUP(D313,'Species Codes'!B:O,14,0)+VLOOKUP(D313,'Species Codes'!B:P,15,0)*LN((E313*2.54))),VLOOKUP(D313,'Species Codes'!B:O,14,0)+VLOOKUP(D313,'Species Codes'!B:P,15,0)*(((E313*2.54)/100)^2)*(I313*0.3048)))))*0.0011023),0)</f>
        <v>#N/A</v>
      </c>
      <c r="AD313" s="104" t="e">
        <f t="shared" si="166"/>
        <v>#N/A</v>
      </c>
      <c r="AE313" s="104" t="e">
        <f t="shared" si="167"/>
        <v>#N/A</v>
      </c>
      <c r="AF313" s="104" t="e">
        <f>IF(AND(VLOOKUP($D313,Merchantability!$B:$C,2,0)="Yes",$E313&gt;=VLOOKUP($D313,Merchantability!$B:$D,3,0),$E313&lt;=VLOOKUP($D313,Merchantability!$B:$E,4,0)),AA313,0)</f>
        <v>#N/A</v>
      </c>
      <c r="AG313" s="104" t="e">
        <f>IF(AND(VLOOKUP($D313,Merchantability!$B:$C,2,0)="Yes",$E313&gt;=VLOOKUP($D313,Merchantability!$B:$D,3,0),$E313&lt;=VLOOKUP($D313,Merchantability!$B:$E,4,0)),AB313,0)</f>
        <v>#N/A</v>
      </c>
      <c r="AH313" s="104" t="e">
        <f>IF(AND(VLOOKUP($D313,Merchantability!$B:$C,2,0)="Yes",$E313&gt;=VLOOKUP($D313,Merchantability!$B:$D,3,0),$E313&lt;=VLOOKUP($D313,Merchantability!$B:$E,4,0)),AC313,0)</f>
        <v>#N/A</v>
      </c>
      <c r="AI313" s="104" t="e">
        <f t="shared" si="168"/>
        <v>#N/A</v>
      </c>
      <c r="AJ313" s="104" t="e">
        <f t="shared" si="169"/>
        <v>#VALUE!</v>
      </c>
      <c r="AK313" s="104" t="e">
        <f t="shared" si="170"/>
        <v>#N/A</v>
      </c>
      <c r="AL313" s="104" t="e">
        <f t="shared" si="171"/>
        <v>#N/A</v>
      </c>
      <c r="AM313" s="104" t="e">
        <f t="shared" si="172"/>
        <v>#N/A</v>
      </c>
      <c r="AN313" s="104" t="e">
        <f t="shared" si="156"/>
        <v>#N/A</v>
      </c>
      <c r="AO313" s="104" t="e">
        <f t="shared" si="157"/>
        <v>#N/A</v>
      </c>
      <c r="AP313" s="104" t="e">
        <f t="shared" si="158"/>
        <v>#N/A</v>
      </c>
      <c r="AQ313" s="104" t="e">
        <f t="shared" si="159"/>
        <v>#N/A</v>
      </c>
      <c r="AR313" s="105" t="str">
        <f t="shared" si="151"/>
        <v/>
      </c>
      <c r="AS313" s="105" t="str">
        <f t="shared" si="152"/>
        <v/>
      </c>
      <c r="AT313" s="108" t="str">
        <f t="shared" si="153"/>
        <v/>
      </c>
      <c r="AU313" s="108" t="str">
        <f t="shared" si="154"/>
        <v/>
      </c>
      <c r="AV313" s="107" t="str">
        <f>IF(ISNUMBER(O313),IF(VLOOKUP($A313,Stand!C:J,8,FALSE)="Short",AT313,AU313),"")</f>
        <v/>
      </c>
      <c r="AW313" s="109" t="str">
        <f t="shared" si="160"/>
        <v/>
      </c>
      <c r="AX313" s="109" t="str">
        <f t="shared" si="161"/>
        <v/>
      </c>
      <c r="AY313" s="112" t="str">
        <f>IF(ISNUMBER(O313),IF(AND(VLOOKUP($D313,Merchantability!$B:$C,2,0)="Yes",$E313&gt;=VLOOKUP($D313,Merchantability!$B:$D,3,0),$E313&lt;=VLOOKUP($D313,Merchantability!$B:$E,4,0)),(AV313*O313)*(1-$H313/100),""),"")</f>
        <v/>
      </c>
      <c r="AZ313" s="116"/>
      <c r="BA313" s="116"/>
      <c r="BB313" s="116"/>
      <c r="BE313" s="62"/>
      <c r="BF313" s="63"/>
    </row>
    <row r="314" spans="1:58" ht="12.75" customHeight="1" x14ac:dyDescent="0.25">
      <c r="A314" s="313"/>
      <c r="B314" s="380"/>
      <c r="C314" s="381"/>
      <c r="D314" s="380"/>
      <c r="E314" s="382"/>
      <c r="F314" s="331"/>
      <c r="G314" s="329"/>
      <c r="H314" s="329"/>
      <c r="I314" s="380"/>
      <c r="J314" s="381"/>
      <c r="K314" s="329"/>
      <c r="L314" s="329"/>
      <c r="M314" s="76"/>
      <c r="N314" s="103" t="str">
        <f>IF(A314="","",VLOOKUP(A314,Stand!C:K,9,0))</f>
        <v/>
      </c>
      <c r="O314" s="104" t="str">
        <f t="shared" si="146"/>
        <v/>
      </c>
      <c r="P314" s="105" t="str">
        <f t="shared" si="147"/>
        <v/>
      </c>
      <c r="Q314" s="105" t="str">
        <f t="shared" si="162"/>
        <v/>
      </c>
      <c r="R314" s="103" t="str">
        <f t="shared" si="148"/>
        <v/>
      </c>
      <c r="S314" s="103" t="str">
        <f t="shared" si="149"/>
        <v/>
      </c>
      <c r="T314" s="106" t="str">
        <f t="shared" si="163"/>
        <v/>
      </c>
      <c r="U314" s="106" t="str">
        <f t="shared" si="164"/>
        <v/>
      </c>
      <c r="V314" s="106" t="str">
        <f t="shared" si="165"/>
        <v/>
      </c>
      <c r="W314" s="105" t="str">
        <f t="shared" si="150"/>
        <v/>
      </c>
      <c r="X314" s="104" t="str">
        <f t="shared" si="155"/>
        <v/>
      </c>
      <c r="Y314" s="104" t="str">
        <f t="array" ref="Y314">IFERROR(IF(ISNUMBER(O314),IF(COUNT(IF(A314=$A$2:$A$2427,IF(D314=$D$2:$D$2427,IF($X$2:$X$2427&gt;0,1))))&gt;0,SUM(IF(A314=$A$2:$A$2427,IF(D314=$D$2:$D$2427,$X$2:$X$2427)))/COUNT(IF(A314=$A$2:$A$2427,IF(D314=$D$2:$D$2427,IF(ISNUMBER($X$2:$X$2427),1)))),0),""),0)</f>
        <v/>
      </c>
      <c r="Z314" s="104" t="str">
        <f>IF(ISNUMBER(O314),IF(I314&gt;0,(10^(VLOOKUP(D314,'Species Codes'!B:C,2,0)+VLOOKUP(D314,'Species Codes'!B:D,3,0)*LOG(E314)+VLOOKUP(D314,'Species Codes'!B:E,4,0)*LOG(I314))),0),"")</f>
        <v/>
      </c>
      <c r="AA314" s="104" t="str">
        <f>IFERROR((VLOOKUP(D314,'Species Codes'!B:G,6,0)*Z314)/2000,"")</f>
        <v/>
      </c>
      <c r="AB314" s="104" t="e">
        <f>IF(Z314&gt;0,((IF(OR(D314="DF",D314="RA")=TRUE,EXP(VLOOKUP(D314,'Species Codes'!B:I,8,0)+VLOOKUP(D314,'Species Codes'!B:J,9,0)*(LN((E314*2.54)))),IF(OR(D314="PY",D314="RC",D314="WH",D314="NF")=TRUE,VLOOKUP(D314,'Species Codes'!B:I,8,0)+VLOOKUP(D314,'Species Codes'!B:J,9,0)*((E314*2.54)^2)*(I314*0.3048),IF(OR(D314="MD",D314="BM",D314="GA")=TRUE,((VLOOKUP(D314,'Species Codes'!B:I,8,0)*(((((E314*2.54)+VLOOKUP(D314,'Species Codes'!B:J,9,0))/VLOOKUP(D314,'Species Codes'!B:K,10,0))^VLOOKUP(D314,'Species Codes'!B:L,11,0))*((I314*0.3048)^VLOOKUP(D314,'Species Codes'!B:M,12,0))))-(VLOOKUP(D314,'Species Codes'!B:I,8,0)*((((E314*2.54)^VLOOKUP(D314,'Species Codes'!B:L,11,0))*((I314*0.3048)^VLOOKUP(D314,'Species Codes'!B:M,12,0))))))*35.3*VLOOKUP(D314,'Species Codes'!B:G,6,0)/2.2046,VLOOKUP(D314,'Species Codes'!B:I,8,0)+VLOOKUP(D314,'Species Codes'!B:J,9,0)*(((E314*2.54)/100)^2)*(I314*0.3048)))))*0.0011023),0)</f>
        <v>#N/A</v>
      </c>
      <c r="AC314" s="104" t="e">
        <f>IF(Z314&gt;0,((IF(OR(D314="RA",D314="OA",D314="OT",D314="UN",D314="PC"),EXP(VLOOKUP(D314,'Species Codes'!B:O,14,0)+VLOOKUP(D314,'Species Codes'!B:P,15,0)*LN((E314*2.54)))-EXP(VLOOKUP(D314,'Species Codes'!B:O,14,0)+VLOOKUP(D314,'Species Codes'!B:P,15,0)*LN((E314*2.54)))*(1/(VLOOKUP(D314,'Species Codes'!B:Q,16,0)+VLOOKUP(D314,'Species Codes'!B:R,17,0)*((E314*2.54)^VLOOKUP(D314,'Species Codes'!B:S,18,0)))),IF(OR(D314="BM",D314="MD",D314="OA"),EXP(VLOOKUP(D314,'Species Codes'!B:O,14,0)+VLOOKUP(D314,'Species Codes'!B:P,15,0)*LN((E314*2.54)))*(1-(1/(VLOOKUP(D314,'Species Codes'!B:Q,16,0)+VLOOKUP(D314,'Species Codes'!B:R,17,0)*((E314*2.54)^VLOOKUP(D314,'Species Codes'!B:S,18,0)))))/1000,IF(D314="DF",EXP(VLOOKUP(D314,'Species Codes'!B:O,14,0)+VLOOKUP(D314,'Species Codes'!B:P,15,0)*LN((E314*2.54))),VLOOKUP(D314,'Species Codes'!B:O,14,0)+VLOOKUP(D314,'Species Codes'!B:P,15,0)*(((E314*2.54)/100)^2)*(I314*0.3048)))))*0.0011023),0)</f>
        <v>#N/A</v>
      </c>
      <c r="AD314" s="104" t="e">
        <f t="shared" si="166"/>
        <v>#N/A</v>
      </c>
      <c r="AE314" s="104" t="e">
        <f t="shared" si="167"/>
        <v>#N/A</v>
      </c>
      <c r="AF314" s="104" t="e">
        <f>IF(AND(VLOOKUP($D314,Merchantability!$B:$C,2,0)="Yes",$E314&gt;=VLOOKUP($D314,Merchantability!$B:$D,3,0),$E314&lt;=VLOOKUP($D314,Merchantability!$B:$E,4,0)),AA314,0)</f>
        <v>#N/A</v>
      </c>
      <c r="AG314" s="104" t="e">
        <f>IF(AND(VLOOKUP($D314,Merchantability!$B:$C,2,0)="Yes",$E314&gt;=VLOOKUP($D314,Merchantability!$B:$D,3,0),$E314&lt;=VLOOKUP($D314,Merchantability!$B:$E,4,0)),AB314,0)</f>
        <v>#N/A</v>
      </c>
      <c r="AH314" s="104" t="e">
        <f>IF(AND(VLOOKUP($D314,Merchantability!$B:$C,2,0)="Yes",$E314&gt;=VLOOKUP($D314,Merchantability!$B:$D,3,0),$E314&lt;=VLOOKUP($D314,Merchantability!$B:$E,4,0)),AC314,0)</f>
        <v>#N/A</v>
      </c>
      <c r="AI314" s="104" t="e">
        <f t="shared" si="168"/>
        <v>#N/A</v>
      </c>
      <c r="AJ314" s="104" t="e">
        <f t="shared" si="169"/>
        <v>#VALUE!</v>
      </c>
      <c r="AK314" s="104" t="e">
        <f t="shared" si="170"/>
        <v>#N/A</v>
      </c>
      <c r="AL314" s="104" t="e">
        <f t="shared" si="171"/>
        <v>#N/A</v>
      </c>
      <c r="AM314" s="104" t="e">
        <f t="shared" si="172"/>
        <v>#N/A</v>
      </c>
      <c r="AN314" s="104" t="e">
        <f t="shared" si="156"/>
        <v>#N/A</v>
      </c>
      <c r="AO314" s="104" t="e">
        <f t="shared" si="157"/>
        <v>#N/A</v>
      </c>
      <c r="AP314" s="104" t="e">
        <f t="shared" si="158"/>
        <v>#N/A</v>
      </c>
      <c r="AQ314" s="104" t="e">
        <f t="shared" si="159"/>
        <v>#N/A</v>
      </c>
      <c r="AR314" s="105" t="str">
        <f t="shared" si="151"/>
        <v/>
      </c>
      <c r="AS314" s="105" t="str">
        <f t="shared" si="152"/>
        <v/>
      </c>
      <c r="AT314" s="108" t="str">
        <f t="shared" si="153"/>
        <v/>
      </c>
      <c r="AU314" s="108" t="str">
        <f t="shared" si="154"/>
        <v/>
      </c>
      <c r="AV314" s="107" t="str">
        <f>IF(ISNUMBER(O314),IF(VLOOKUP($A314,Stand!C:J,8,FALSE)="Short",AT314,AU314),"")</f>
        <v/>
      </c>
      <c r="AW314" s="109" t="str">
        <f t="shared" si="160"/>
        <v/>
      </c>
      <c r="AX314" s="109" t="str">
        <f t="shared" si="161"/>
        <v/>
      </c>
      <c r="AY314" s="112" t="str">
        <f>IF(ISNUMBER(O314),IF(AND(VLOOKUP($D314,Merchantability!$B:$C,2,0)="Yes",$E314&gt;=VLOOKUP($D314,Merchantability!$B:$D,3,0),$E314&lt;=VLOOKUP($D314,Merchantability!$B:$E,4,0)),(AV314*O314)*(1-$H314/100),""),"")</f>
        <v/>
      </c>
      <c r="AZ314" s="116"/>
      <c r="BA314" s="116"/>
      <c r="BB314" s="116"/>
      <c r="BE314" s="62"/>
      <c r="BF314" s="63"/>
    </row>
    <row r="315" spans="1:58" ht="12.75" customHeight="1" x14ac:dyDescent="0.25">
      <c r="A315" s="313"/>
      <c r="B315" s="380"/>
      <c r="C315" s="381"/>
      <c r="D315" s="380"/>
      <c r="E315" s="382"/>
      <c r="F315" s="331"/>
      <c r="G315" s="329"/>
      <c r="H315" s="329"/>
      <c r="I315" s="380"/>
      <c r="J315" s="381"/>
      <c r="K315" s="329"/>
      <c r="L315" s="329"/>
      <c r="M315" s="76"/>
      <c r="N315" s="103" t="str">
        <f>IF(A315="","",VLOOKUP(A315,Stand!C:K,9,0))</f>
        <v/>
      </c>
      <c r="O315" s="104" t="str">
        <f t="shared" si="146"/>
        <v/>
      </c>
      <c r="P315" s="105" t="str">
        <f t="shared" si="147"/>
        <v/>
      </c>
      <c r="Q315" s="105" t="str">
        <f t="shared" si="162"/>
        <v/>
      </c>
      <c r="R315" s="103" t="str">
        <f t="shared" si="148"/>
        <v/>
      </c>
      <c r="S315" s="103" t="str">
        <f t="shared" si="149"/>
        <v/>
      </c>
      <c r="T315" s="106" t="str">
        <f t="shared" si="163"/>
        <v/>
      </c>
      <c r="U315" s="106" t="str">
        <f t="shared" si="164"/>
        <v/>
      </c>
      <c r="V315" s="106" t="str">
        <f t="shared" si="165"/>
        <v/>
      </c>
      <c r="W315" s="105" t="str">
        <f t="shared" si="150"/>
        <v/>
      </c>
      <c r="X315" s="104" t="str">
        <f t="shared" si="155"/>
        <v/>
      </c>
      <c r="Y315" s="104" t="str">
        <f t="array" ref="Y315">IFERROR(IF(ISNUMBER(O315),IF(COUNT(IF(A315=$A$2:$A$2427,IF(D315=$D$2:$D$2427,IF($X$2:$X$2427&gt;0,1))))&gt;0,SUM(IF(A315=$A$2:$A$2427,IF(D315=$D$2:$D$2427,$X$2:$X$2427)))/COUNT(IF(A315=$A$2:$A$2427,IF(D315=$D$2:$D$2427,IF(ISNUMBER($X$2:$X$2427),1)))),0),""),0)</f>
        <v/>
      </c>
      <c r="Z315" s="104" t="str">
        <f>IF(ISNUMBER(O315),IF(I315&gt;0,(10^(VLOOKUP(D315,'Species Codes'!B:C,2,0)+VLOOKUP(D315,'Species Codes'!B:D,3,0)*LOG(E315)+VLOOKUP(D315,'Species Codes'!B:E,4,0)*LOG(I315))),0),"")</f>
        <v/>
      </c>
      <c r="AA315" s="104" t="str">
        <f>IFERROR((VLOOKUP(D315,'Species Codes'!B:G,6,0)*Z315)/2000,"")</f>
        <v/>
      </c>
      <c r="AB315" s="104" t="e">
        <f>IF(Z315&gt;0,((IF(OR(D315="DF",D315="RA")=TRUE,EXP(VLOOKUP(D315,'Species Codes'!B:I,8,0)+VLOOKUP(D315,'Species Codes'!B:J,9,0)*(LN((E315*2.54)))),IF(OR(D315="PY",D315="RC",D315="WH",D315="NF")=TRUE,VLOOKUP(D315,'Species Codes'!B:I,8,0)+VLOOKUP(D315,'Species Codes'!B:J,9,0)*((E315*2.54)^2)*(I315*0.3048),IF(OR(D315="MD",D315="BM",D315="GA")=TRUE,((VLOOKUP(D315,'Species Codes'!B:I,8,0)*(((((E315*2.54)+VLOOKUP(D315,'Species Codes'!B:J,9,0))/VLOOKUP(D315,'Species Codes'!B:K,10,0))^VLOOKUP(D315,'Species Codes'!B:L,11,0))*((I315*0.3048)^VLOOKUP(D315,'Species Codes'!B:M,12,0))))-(VLOOKUP(D315,'Species Codes'!B:I,8,0)*((((E315*2.54)^VLOOKUP(D315,'Species Codes'!B:L,11,0))*((I315*0.3048)^VLOOKUP(D315,'Species Codes'!B:M,12,0))))))*35.3*VLOOKUP(D315,'Species Codes'!B:G,6,0)/2.2046,VLOOKUP(D315,'Species Codes'!B:I,8,0)+VLOOKUP(D315,'Species Codes'!B:J,9,0)*(((E315*2.54)/100)^2)*(I315*0.3048)))))*0.0011023),0)</f>
        <v>#N/A</v>
      </c>
      <c r="AC315" s="104" t="e">
        <f>IF(Z315&gt;0,((IF(OR(D315="RA",D315="OA",D315="OT",D315="UN",D315="PC"),EXP(VLOOKUP(D315,'Species Codes'!B:O,14,0)+VLOOKUP(D315,'Species Codes'!B:P,15,0)*LN((E315*2.54)))-EXP(VLOOKUP(D315,'Species Codes'!B:O,14,0)+VLOOKUP(D315,'Species Codes'!B:P,15,0)*LN((E315*2.54)))*(1/(VLOOKUP(D315,'Species Codes'!B:Q,16,0)+VLOOKUP(D315,'Species Codes'!B:R,17,0)*((E315*2.54)^VLOOKUP(D315,'Species Codes'!B:S,18,0)))),IF(OR(D315="BM",D315="MD",D315="OA"),EXP(VLOOKUP(D315,'Species Codes'!B:O,14,0)+VLOOKUP(D315,'Species Codes'!B:P,15,0)*LN((E315*2.54)))*(1-(1/(VLOOKUP(D315,'Species Codes'!B:Q,16,0)+VLOOKUP(D315,'Species Codes'!B:R,17,0)*((E315*2.54)^VLOOKUP(D315,'Species Codes'!B:S,18,0)))))/1000,IF(D315="DF",EXP(VLOOKUP(D315,'Species Codes'!B:O,14,0)+VLOOKUP(D315,'Species Codes'!B:P,15,0)*LN((E315*2.54))),VLOOKUP(D315,'Species Codes'!B:O,14,0)+VLOOKUP(D315,'Species Codes'!B:P,15,0)*(((E315*2.54)/100)^2)*(I315*0.3048)))))*0.0011023),0)</f>
        <v>#N/A</v>
      </c>
      <c r="AD315" s="104" t="e">
        <f t="shared" si="166"/>
        <v>#N/A</v>
      </c>
      <c r="AE315" s="104" t="e">
        <f t="shared" si="167"/>
        <v>#N/A</v>
      </c>
      <c r="AF315" s="104" t="e">
        <f>IF(AND(VLOOKUP($D315,Merchantability!$B:$C,2,0)="Yes",$E315&gt;=VLOOKUP($D315,Merchantability!$B:$D,3,0),$E315&lt;=VLOOKUP($D315,Merchantability!$B:$E,4,0)),AA315,0)</f>
        <v>#N/A</v>
      </c>
      <c r="AG315" s="104" t="e">
        <f>IF(AND(VLOOKUP($D315,Merchantability!$B:$C,2,0)="Yes",$E315&gt;=VLOOKUP($D315,Merchantability!$B:$D,3,0),$E315&lt;=VLOOKUP($D315,Merchantability!$B:$E,4,0)),AB315,0)</f>
        <v>#N/A</v>
      </c>
      <c r="AH315" s="104" t="e">
        <f>IF(AND(VLOOKUP($D315,Merchantability!$B:$C,2,0)="Yes",$E315&gt;=VLOOKUP($D315,Merchantability!$B:$D,3,0),$E315&lt;=VLOOKUP($D315,Merchantability!$B:$E,4,0)),AC315,0)</f>
        <v>#N/A</v>
      </c>
      <c r="AI315" s="104" t="e">
        <f t="shared" si="168"/>
        <v>#N/A</v>
      </c>
      <c r="AJ315" s="104" t="e">
        <f t="shared" si="169"/>
        <v>#VALUE!</v>
      </c>
      <c r="AK315" s="104" t="e">
        <f t="shared" si="170"/>
        <v>#N/A</v>
      </c>
      <c r="AL315" s="104" t="e">
        <f t="shared" si="171"/>
        <v>#N/A</v>
      </c>
      <c r="AM315" s="104" t="e">
        <f t="shared" si="172"/>
        <v>#N/A</v>
      </c>
      <c r="AN315" s="104" t="e">
        <f t="shared" si="156"/>
        <v>#N/A</v>
      </c>
      <c r="AO315" s="104" t="e">
        <f t="shared" si="157"/>
        <v>#N/A</v>
      </c>
      <c r="AP315" s="104" t="e">
        <f t="shared" si="158"/>
        <v>#N/A</v>
      </c>
      <c r="AQ315" s="104" t="e">
        <f t="shared" si="159"/>
        <v>#N/A</v>
      </c>
      <c r="AR315" s="105" t="str">
        <f t="shared" si="151"/>
        <v/>
      </c>
      <c r="AS315" s="105" t="str">
        <f t="shared" si="152"/>
        <v/>
      </c>
      <c r="AT315" s="108" t="str">
        <f t="shared" si="153"/>
        <v/>
      </c>
      <c r="AU315" s="108" t="str">
        <f t="shared" si="154"/>
        <v/>
      </c>
      <c r="AV315" s="107" t="str">
        <f>IF(ISNUMBER(O315),IF(VLOOKUP($A315,Stand!C:J,8,FALSE)="Short",AT315,AU315),"")</f>
        <v/>
      </c>
      <c r="AW315" s="109" t="str">
        <f t="shared" si="160"/>
        <v/>
      </c>
      <c r="AX315" s="109" t="str">
        <f t="shared" si="161"/>
        <v/>
      </c>
      <c r="AY315" s="112" t="str">
        <f>IF(ISNUMBER(O315),IF(AND(VLOOKUP($D315,Merchantability!$B:$C,2,0)="Yes",$E315&gt;=VLOOKUP($D315,Merchantability!$B:$D,3,0),$E315&lt;=VLOOKUP($D315,Merchantability!$B:$E,4,0)),(AV315*O315)*(1-$H315/100),""),"")</f>
        <v/>
      </c>
      <c r="AZ315" s="116"/>
      <c r="BA315" s="116"/>
      <c r="BB315" s="116"/>
      <c r="BE315" s="62"/>
      <c r="BF315" s="63"/>
    </row>
    <row r="316" spans="1:58" ht="12.75" customHeight="1" x14ac:dyDescent="0.25">
      <c r="A316" s="313"/>
      <c r="B316" s="380"/>
      <c r="C316" s="381"/>
      <c r="D316" s="380"/>
      <c r="E316" s="382"/>
      <c r="F316" s="331"/>
      <c r="G316" s="329"/>
      <c r="H316" s="329"/>
      <c r="I316" s="380"/>
      <c r="J316" s="381"/>
      <c r="K316" s="329"/>
      <c r="L316" s="329"/>
      <c r="M316" s="76"/>
      <c r="N316" s="103" t="str">
        <f>IF(A316="","",VLOOKUP(A316,Stand!C:K,9,0))</f>
        <v/>
      </c>
      <c r="O316" s="104" t="str">
        <f t="shared" si="146"/>
        <v/>
      </c>
      <c r="P316" s="105" t="str">
        <f t="shared" si="147"/>
        <v/>
      </c>
      <c r="Q316" s="105" t="str">
        <f t="shared" si="162"/>
        <v/>
      </c>
      <c r="R316" s="103" t="str">
        <f t="shared" si="148"/>
        <v/>
      </c>
      <c r="S316" s="103" t="str">
        <f t="shared" si="149"/>
        <v/>
      </c>
      <c r="T316" s="106" t="str">
        <f t="shared" si="163"/>
        <v/>
      </c>
      <c r="U316" s="106" t="str">
        <f t="shared" si="164"/>
        <v/>
      </c>
      <c r="V316" s="106" t="str">
        <f t="shared" si="165"/>
        <v/>
      </c>
      <c r="W316" s="105" t="str">
        <f t="shared" si="150"/>
        <v/>
      </c>
      <c r="X316" s="104" t="str">
        <f t="shared" si="155"/>
        <v/>
      </c>
      <c r="Y316" s="104" t="str">
        <f t="array" ref="Y316">IFERROR(IF(ISNUMBER(O316),IF(COUNT(IF(A316=$A$2:$A$2427,IF(D316=$D$2:$D$2427,IF($X$2:$X$2427&gt;0,1))))&gt;0,SUM(IF(A316=$A$2:$A$2427,IF(D316=$D$2:$D$2427,$X$2:$X$2427)))/COUNT(IF(A316=$A$2:$A$2427,IF(D316=$D$2:$D$2427,IF(ISNUMBER($X$2:$X$2427),1)))),0),""),0)</f>
        <v/>
      </c>
      <c r="Z316" s="104" t="str">
        <f>IF(ISNUMBER(O316),IF(I316&gt;0,(10^(VLOOKUP(D316,'Species Codes'!B:C,2,0)+VLOOKUP(D316,'Species Codes'!B:D,3,0)*LOG(E316)+VLOOKUP(D316,'Species Codes'!B:E,4,0)*LOG(I316))),0),"")</f>
        <v/>
      </c>
      <c r="AA316" s="104" t="str">
        <f>IFERROR((VLOOKUP(D316,'Species Codes'!B:G,6,0)*Z316)/2000,"")</f>
        <v/>
      </c>
      <c r="AB316" s="104" t="e">
        <f>IF(Z316&gt;0,((IF(OR(D316="DF",D316="RA")=TRUE,EXP(VLOOKUP(D316,'Species Codes'!B:I,8,0)+VLOOKUP(D316,'Species Codes'!B:J,9,0)*(LN((E316*2.54)))),IF(OR(D316="PY",D316="RC",D316="WH",D316="NF")=TRUE,VLOOKUP(D316,'Species Codes'!B:I,8,0)+VLOOKUP(D316,'Species Codes'!B:J,9,0)*((E316*2.54)^2)*(I316*0.3048),IF(OR(D316="MD",D316="BM",D316="GA")=TRUE,((VLOOKUP(D316,'Species Codes'!B:I,8,0)*(((((E316*2.54)+VLOOKUP(D316,'Species Codes'!B:J,9,0))/VLOOKUP(D316,'Species Codes'!B:K,10,0))^VLOOKUP(D316,'Species Codes'!B:L,11,0))*((I316*0.3048)^VLOOKUP(D316,'Species Codes'!B:M,12,0))))-(VLOOKUP(D316,'Species Codes'!B:I,8,0)*((((E316*2.54)^VLOOKUP(D316,'Species Codes'!B:L,11,0))*((I316*0.3048)^VLOOKUP(D316,'Species Codes'!B:M,12,0))))))*35.3*VLOOKUP(D316,'Species Codes'!B:G,6,0)/2.2046,VLOOKUP(D316,'Species Codes'!B:I,8,0)+VLOOKUP(D316,'Species Codes'!B:J,9,0)*(((E316*2.54)/100)^2)*(I316*0.3048)))))*0.0011023),0)</f>
        <v>#N/A</v>
      </c>
      <c r="AC316" s="104" t="e">
        <f>IF(Z316&gt;0,((IF(OR(D316="RA",D316="OA",D316="OT",D316="UN",D316="PC"),EXP(VLOOKUP(D316,'Species Codes'!B:O,14,0)+VLOOKUP(D316,'Species Codes'!B:P,15,0)*LN((E316*2.54)))-EXP(VLOOKUP(D316,'Species Codes'!B:O,14,0)+VLOOKUP(D316,'Species Codes'!B:P,15,0)*LN((E316*2.54)))*(1/(VLOOKUP(D316,'Species Codes'!B:Q,16,0)+VLOOKUP(D316,'Species Codes'!B:R,17,0)*((E316*2.54)^VLOOKUP(D316,'Species Codes'!B:S,18,0)))),IF(OR(D316="BM",D316="MD",D316="OA"),EXP(VLOOKUP(D316,'Species Codes'!B:O,14,0)+VLOOKUP(D316,'Species Codes'!B:P,15,0)*LN((E316*2.54)))*(1-(1/(VLOOKUP(D316,'Species Codes'!B:Q,16,0)+VLOOKUP(D316,'Species Codes'!B:R,17,0)*((E316*2.54)^VLOOKUP(D316,'Species Codes'!B:S,18,0)))))/1000,IF(D316="DF",EXP(VLOOKUP(D316,'Species Codes'!B:O,14,0)+VLOOKUP(D316,'Species Codes'!B:P,15,0)*LN((E316*2.54))),VLOOKUP(D316,'Species Codes'!B:O,14,0)+VLOOKUP(D316,'Species Codes'!B:P,15,0)*(((E316*2.54)/100)^2)*(I316*0.3048)))))*0.0011023),0)</f>
        <v>#N/A</v>
      </c>
      <c r="AD316" s="104" t="e">
        <f t="shared" si="166"/>
        <v>#N/A</v>
      </c>
      <c r="AE316" s="104" t="e">
        <f t="shared" si="167"/>
        <v>#N/A</v>
      </c>
      <c r="AF316" s="104" t="e">
        <f>IF(AND(VLOOKUP($D316,Merchantability!$B:$C,2,0)="Yes",$E316&gt;=VLOOKUP($D316,Merchantability!$B:$D,3,0),$E316&lt;=VLOOKUP($D316,Merchantability!$B:$E,4,0)),AA316,0)</f>
        <v>#N/A</v>
      </c>
      <c r="AG316" s="104" t="e">
        <f>IF(AND(VLOOKUP($D316,Merchantability!$B:$C,2,0)="Yes",$E316&gt;=VLOOKUP($D316,Merchantability!$B:$D,3,0),$E316&lt;=VLOOKUP($D316,Merchantability!$B:$E,4,0)),AB316,0)</f>
        <v>#N/A</v>
      </c>
      <c r="AH316" s="104" t="e">
        <f>IF(AND(VLOOKUP($D316,Merchantability!$B:$C,2,0)="Yes",$E316&gt;=VLOOKUP($D316,Merchantability!$B:$D,3,0),$E316&lt;=VLOOKUP($D316,Merchantability!$B:$E,4,0)),AC316,0)</f>
        <v>#N/A</v>
      </c>
      <c r="AI316" s="104" t="e">
        <f t="shared" si="168"/>
        <v>#N/A</v>
      </c>
      <c r="AJ316" s="104" t="e">
        <f t="shared" si="169"/>
        <v>#VALUE!</v>
      </c>
      <c r="AK316" s="104" t="e">
        <f t="shared" si="170"/>
        <v>#N/A</v>
      </c>
      <c r="AL316" s="104" t="e">
        <f t="shared" si="171"/>
        <v>#N/A</v>
      </c>
      <c r="AM316" s="104" t="e">
        <f t="shared" si="172"/>
        <v>#N/A</v>
      </c>
      <c r="AN316" s="104" t="e">
        <f t="shared" si="156"/>
        <v>#N/A</v>
      </c>
      <c r="AO316" s="104" t="e">
        <f t="shared" si="157"/>
        <v>#N/A</v>
      </c>
      <c r="AP316" s="104" t="e">
        <f t="shared" si="158"/>
        <v>#N/A</v>
      </c>
      <c r="AQ316" s="104" t="e">
        <f t="shared" si="159"/>
        <v>#N/A</v>
      </c>
      <c r="AR316" s="105" t="str">
        <f t="shared" si="151"/>
        <v/>
      </c>
      <c r="AS316" s="105" t="str">
        <f t="shared" si="152"/>
        <v/>
      </c>
      <c r="AT316" s="108" t="str">
        <f t="shared" si="153"/>
        <v/>
      </c>
      <c r="AU316" s="108" t="str">
        <f t="shared" si="154"/>
        <v/>
      </c>
      <c r="AV316" s="107" t="str">
        <f>IF(ISNUMBER(O316),IF(VLOOKUP($A316,Stand!C:J,8,FALSE)="Short",AT316,AU316),"")</f>
        <v/>
      </c>
      <c r="AW316" s="109" t="str">
        <f t="shared" si="160"/>
        <v/>
      </c>
      <c r="AX316" s="109" t="str">
        <f t="shared" si="161"/>
        <v/>
      </c>
      <c r="AY316" s="112" t="str">
        <f>IF(ISNUMBER(O316),IF(AND(VLOOKUP($D316,Merchantability!$B:$C,2,0)="Yes",$E316&gt;=VLOOKUP($D316,Merchantability!$B:$D,3,0),$E316&lt;=VLOOKUP($D316,Merchantability!$B:$E,4,0)),(AV316*O316)*(1-$H316/100),""),"")</f>
        <v/>
      </c>
      <c r="AZ316" s="116"/>
      <c r="BA316" s="116"/>
      <c r="BB316" s="116"/>
      <c r="BE316" s="62"/>
      <c r="BF316" s="63"/>
    </row>
    <row r="317" spans="1:58" ht="12.75" customHeight="1" x14ac:dyDescent="0.25">
      <c r="A317" s="313"/>
      <c r="B317" s="380"/>
      <c r="C317" s="381"/>
      <c r="D317" s="380"/>
      <c r="E317" s="382"/>
      <c r="F317" s="331"/>
      <c r="G317" s="329"/>
      <c r="H317" s="329"/>
      <c r="I317" s="380"/>
      <c r="J317" s="381"/>
      <c r="K317" s="329"/>
      <c r="L317" s="329"/>
      <c r="M317" s="76"/>
      <c r="N317" s="103" t="str">
        <f>IF(A317="","",VLOOKUP(A317,Stand!C:K,9,0))</f>
        <v/>
      </c>
      <c r="O317" s="104" t="str">
        <f t="shared" si="146"/>
        <v/>
      </c>
      <c r="P317" s="105" t="str">
        <f t="shared" si="147"/>
        <v/>
      </c>
      <c r="Q317" s="105" t="str">
        <f t="shared" si="162"/>
        <v/>
      </c>
      <c r="R317" s="103" t="str">
        <f t="shared" si="148"/>
        <v/>
      </c>
      <c r="S317" s="103" t="str">
        <f t="shared" si="149"/>
        <v/>
      </c>
      <c r="T317" s="106" t="str">
        <f t="shared" si="163"/>
        <v/>
      </c>
      <c r="U317" s="106" t="str">
        <f t="shared" si="164"/>
        <v/>
      </c>
      <c r="V317" s="106" t="str">
        <f t="shared" si="165"/>
        <v/>
      </c>
      <c r="W317" s="105" t="str">
        <f t="shared" si="150"/>
        <v/>
      </c>
      <c r="X317" s="104" t="str">
        <f t="shared" si="155"/>
        <v/>
      </c>
      <c r="Y317" s="104" t="str">
        <f t="array" ref="Y317">IFERROR(IF(ISNUMBER(O317),IF(COUNT(IF(A317=$A$2:$A$2427,IF(D317=$D$2:$D$2427,IF($X$2:$X$2427&gt;0,1))))&gt;0,SUM(IF(A317=$A$2:$A$2427,IF(D317=$D$2:$D$2427,$X$2:$X$2427)))/COUNT(IF(A317=$A$2:$A$2427,IF(D317=$D$2:$D$2427,IF(ISNUMBER($X$2:$X$2427),1)))),0),""),0)</f>
        <v/>
      </c>
      <c r="Z317" s="104" t="str">
        <f>IF(ISNUMBER(O317),IF(I317&gt;0,(10^(VLOOKUP(D317,'Species Codes'!B:C,2,0)+VLOOKUP(D317,'Species Codes'!B:D,3,0)*LOG(E317)+VLOOKUP(D317,'Species Codes'!B:E,4,0)*LOG(I317))),0),"")</f>
        <v/>
      </c>
      <c r="AA317" s="104" t="str">
        <f>IFERROR((VLOOKUP(D317,'Species Codes'!B:G,6,0)*Z317)/2000,"")</f>
        <v/>
      </c>
      <c r="AB317" s="104" t="e">
        <f>IF(Z317&gt;0,((IF(OR(D317="DF",D317="RA")=TRUE,EXP(VLOOKUP(D317,'Species Codes'!B:I,8,0)+VLOOKUP(D317,'Species Codes'!B:J,9,0)*(LN((E317*2.54)))),IF(OR(D317="PY",D317="RC",D317="WH",D317="NF")=TRUE,VLOOKUP(D317,'Species Codes'!B:I,8,0)+VLOOKUP(D317,'Species Codes'!B:J,9,0)*((E317*2.54)^2)*(I317*0.3048),IF(OR(D317="MD",D317="BM",D317="GA")=TRUE,((VLOOKUP(D317,'Species Codes'!B:I,8,0)*(((((E317*2.54)+VLOOKUP(D317,'Species Codes'!B:J,9,0))/VLOOKUP(D317,'Species Codes'!B:K,10,0))^VLOOKUP(D317,'Species Codes'!B:L,11,0))*((I317*0.3048)^VLOOKUP(D317,'Species Codes'!B:M,12,0))))-(VLOOKUP(D317,'Species Codes'!B:I,8,0)*((((E317*2.54)^VLOOKUP(D317,'Species Codes'!B:L,11,0))*((I317*0.3048)^VLOOKUP(D317,'Species Codes'!B:M,12,0))))))*35.3*VLOOKUP(D317,'Species Codes'!B:G,6,0)/2.2046,VLOOKUP(D317,'Species Codes'!B:I,8,0)+VLOOKUP(D317,'Species Codes'!B:J,9,0)*(((E317*2.54)/100)^2)*(I317*0.3048)))))*0.0011023),0)</f>
        <v>#N/A</v>
      </c>
      <c r="AC317" s="104" t="e">
        <f>IF(Z317&gt;0,((IF(OR(D317="RA",D317="OA",D317="OT",D317="UN",D317="PC"),EXP(VLOOKUP(D317,'Species Codes'!B:O,14,0)+VLOOKUP(D317,'Species Codes'!B:P,15,0)*LN((E317*2.54)))-EXP(VLOOKUP(D317,'Species Codes'!B:O,14,0)+VLOOKUP(D317,'Species Codes'!B:P,15,0)*LN((E317*2.54)))*(1/(VLOOKUP(D317,'Species Codes'!B:Q,16,0)+VLOOKUP(D317,'Species Codes'!B:R,17,0)*((E317*2.54)^VLOOKUP(D317,'Species Codes'!B:S,18,0)))),IF(OR(D317="BM",D317="MD",D317="OA"),EXP(VLOOKUP(D317,'Species Codes'!B:O,14,0)+VLOOKUP(D317,'Species Codes'!B:P,15,0)*LN((E317*2.54)))*(1-(1/(VLOOKUP(D317,'Species Codes'!B:Q,16,0)+VLOOKUP(D317,'Species Codes'!B:R,17,0)*((E317*2.54)^VLOOKUP(D317,'Species Codes'!B:S,18,0)))))/1000,IF(D317="DF",EXP(VLOOKUP(D317,'Species Codes'!B:O,14,0)+VLOOKUP(D317,'Species Codes'!B:P,15,0)*LN((E317*2.54))),VLOOKUP(D317,'Species Codes'!B:O,14,0)+VLOOKUP(D317,'Species Codes'!B:P,15,0)*(((E317*2.54)/100)^2)*(I317*0.3048)))))*0.0011023),0)</f>
        <v>#N/A</v>
      </c>
      <c r="AD317" s="104" t="e">
        <f t="shared" si="166"/>
        <v>#N/A</v>
      </c>
      <c r="AE317" s="104" t="e">
        <f t="shared" si="167"/>
        <v>#N/A</v>
      </c>
      <c r="AF317" s="104" t="e">
        <f>IF(AND(VLOOKUP($D317,Merchantability!$B:$C,2,0)="Yes",$E317&gt;=VLOOKUP($D317,Merchantability!$B:$D,3,0),$E317&lt;=VLOOKUP($D317,Merchantability!$B:$E,4,0)),AA317,0)</f>
        <v>#N/A</v>
      </c>
      <c r="AG317" s="104" t="e">
        <f>IF(AND(VLOOKUP($D317,Merchantability!$B:$C,2,0)="Yes",$E317&gt;=VLOOKUP($D317,Merchantability!$B:$D,3,0),$E317&lt;=VLOOKUP($D317,Merchantability!$B:$E,4,0)),AB317,0)</f>
        <v>#N/A</v>
      </c>
      <c r="AH317" s="104" t="e">
        <f>IF(AND(VLOOKUP($D317,Merchantability!$B:$C,2,0)="Yes",$E317&gt;=VLOOKUP($D317,Merchantability!$B:$D,3,0),$E317&lt;=VLOOKUP($D317,Merchantability!$B:$E,4,0)),AC317,0)</f>
        <v>#N/A</v>
      </c>
      <c r="AI317" s="104" t="e">
        <f t="shared" si="168"/>
        <v>#N/A</v>
      </c>
      <c r="AJ317" s="104" t="e">
        <f t="shared" si="169"/>
        <v>#VALUE!</v>
      </c>
      <c r="AK317" s="104" t="e">
        <f t="shared" si="170"/>
        <v>#N/A</v>
      </c>
      <c r="AL317" s="104" t="e">
        <f t="shared" si="171"/>
        <v>#N/A</v>
      </c>
      <c r="AM317" s="104" t="e">
        <f t="shared" si="172"/>
        <v>#N/A</v>
      </c>
      <c r="AN317" s="104" t="e">
        <f t="shared" si="156"/>
        <v>#N/A</v>
      </c>
      <c r="AO317" s="104" t="e">
        <f t="shared" si="157"/>
        <v>#N/A</v>
      </c>
      <c r="AP317" s="104" t="e">
        <f t="shared" si="158"/>
        <v>#N/A</v>
      </c>
      <c r="AQ317" s="104" t="e">
        <f t="shared" si="159"/>
        <v>#N/A</v>
      </c>
      <c r="AR317" s="105" t="str">
        <f t="shared" si="151"/>
        <v/>
      </c>
      <c r="AS317" s="105" t="str">
        <f t="shared" si="152"/>
        <v/>
      </c>
      <c r="AT317" s="108" t="str">
        <f t="shared" si="153"/>
        <v/>
      </c>
      <c r="AU317" s="108" t="str">
        <f t="shared" si="154"/>
        <v/>
      </c>
      <c r="AV317" s="107" t="str">
        <f>IF(ISNUMBER(O317),IF(VLOOKUP($A317,Stand!C:J,8,FALSE)="Short",AT317,AU317),"")</f>
        <v/>
      </c>
      <c r="AW317" s="109" t="str">
        <f t="shared" si="160"/>
        <v/>
      </c>
      <c r="AX317" s="109" t="str">
        <f t="shared" si="161"/>
        <v/>
      </c>
      <c r="AY317" s="112" t="str">
        <f>IF(ISNUMBER(O317),IF(AND(VLOOKUP($D317,Merchantability!$B:$C,2,0)="Yes",$E317&gt;=VLOOKUP($D317,Merchantability!$B:$D,3,0),$E317&lt;=VLOOKUP($D317,Merchantability!$B:$E,4,0)),(AV317*O317)*(1-$H317/100),""),"")</f>
        <v/>
      </c>
      <c r="AZ317" s="116"/>
      <c r="BA317" s="116"/>
      <c r="BB317" s="116"/>
      <c r="BE317" s="62"/>
      <c r="BF317" s="63"/>
    </row>
    <row r="318" spans="1:58" ht="12.75" customHeight="1" x14ac:dyDescent="0.25">
      <c r="A318" s="313"/>
      <c r="B318" s="380"/>
      <c r="C318" s="381"/>
      <c r="D318" s="380"/>
      <c r="E318" s="382"/>
      <c r="F318" s="331"/>
      <c r="G318" s="329"/>
      <c r="H318" s="329"/>
      <c r="I318" s="380"/>
      <c r="J318" s="381"/>
      <c r="K318" s="329"/>
      <c r="L318" s="329"/>
      <c r="M318" s="76"/>
      <c r="N318" s="103" t="str">
        <f>IF(A318="","",VLOOKUP(A318,Stand!C:K,9,0))</f>
        <v/>
      </c>
      <c r="O318" s="104" t="str">
        <f t="shared" si="146"/>
        <v/>
      </c>
      <c r="P318" s="105" t="str">
        <f t="shared" si="147"/>
        <v/>
      </c>
      <c r="Q318" s="105" t="str">
        <f t="shared" si="162"/>
        <v/>
      </c>
      <c r="R318" s="103" t="str">
        <f t="shared" si="148"/>
        <v/>
      </c>
      <c r="S318" s="103" t="str">
        <f t="shared" si="149"/>
        <v/>
      </c>
      <c r="T318" s="106" t="str">
        <f t="shared" si="163"/>
        <v/>
      </c>
      <c r="U318" s="106" t="str">
        <f t="shared" si="164"/>
        <v/>
      </c>
      <c r="V318" s="106" t="str">
        <f t="shared" si="165"/>
        <v/>
      </c>
      <c r="W318" s="105" t="str">
        <f t="shared" si="150"/>
        <v/>
      </c>
      <c r="X318" s="104" t="str">
        <f t="shared" si="155"/>
        <v/>
      </c>
      <c r="Y318" s="104" t="str">
        <f t="array" ref="Y318">IFERROR(IF(ISNUMBER(O318),IF(COUNT(IF(A318=$A$2:$A$2427,IF(D318=$D$2:$D$2427,IF($X$2:$X$2427&gt;0,1))))&gt;0,SUM(IF(A318=$A$2:$A$2427,IF(D318=$D$2:$D$2427,$X$2:$X$2427)))/COUNT(IF(A318=$A$2:$A$2427,IF(D318=$D$2:$D$2427,IF(ISNUMBER($X$2:$X$2427),1)))),0),""),0)</f>
        <v/>
      </c>
      <c r="Z318" s="104" t="str">
        <f>IF(ISNUMBER(O318),IF(I318&gt;0,(10^(VLOOKUP(D318,'Species Codes'!B:C,2,0)+VLOOKUP(D318,'Species Codes'!B:D,3,0)*LOG(E318)+VLOOKUP(D318,'Species Codes'!B:E,4,0)*LOG(I318))),0),"")</f>
        <v/>
      </c>
      <c r="AA318" s="104" t="str">
        <f>IFERROR((VLOOKUP(D318,'Species Codes'!B:G,6,0)*Z318)/2000,"")</f>
        <v/>
      </c>
      <c r="AB318" s="104" t="e">
        <f>IF(Z318&gt;0,((IF(OR(D318="DF",D318="RA")=TRUE,EXP(VLOOKUP(D318,'Species Codes'!B:I,8,0)+VLOOKUP(D318,'Species Codes'!B:J,9,0)*(LN((E318*2.54)))),IF(OR(D318="PY",D318="RC",D318="WH",D318="NF")=TRUE,VLOOKUP(D318,'Species Codes'!B:I,8,0)+VLOOKUP(D318,'Species Codes'!B:J,9,0)*((E318*2.54)^2)*(I318*0.3048),IF(OR(D318="MD",D318="BM",D318="GA")=TRUE,((VLOOKUP(D318,'Species Codes'!B:I,8,0)*(((((E318*2.54)+VLOOKUP(D318,'Species Codes'!B:J,9,0))/VLOOKUP(D318,'Species Codes'!B:K,10,0))^VLOOKUP(D318,'Species Codes'!B:L,11,0))*((I318*0.3048)^VLOOKUP(D318,'Species Codes'!B:M,12,0))))-(VLOOKUP(D318,'Species Codes'!B:I,8,0)*((((E318*2.54)^VLOOKUP(D318,'Species Codes'!B:L,11,0))*((I318*0.3048)^VLOOKUP(D318,'Species Codes'!B:M,12,0))))))*35.3*VLOOKUP(D318,'Species Codes'!B:G,6,0)/2.2046,VLOOKUP(D318,'Species Codes'!B:I,8,0)+VLOOKUP(D318,'Species Codes'!B:J,9,0)*(((E318*2.54)/100)^2)*(I318*0.3048)))))*0.0011023),0)</f>
        <v>#N/A</v>
      </c>
      <c r="AC318" s="104" t="e">
        <f>IF(Z318&gt;0,((IF(OR(D318="RA",D318="OA",D318="OT",D318="UN",D318="PC"),EXP(VLOOKUP(D318,'Species Codes'!B:O,14,0)+VLOOKUP(D318,'Species Codes'!B:P,15,0)*LN((E318*2.54)))-EXP(VLOOKUP(D318,'Species Codes'!B:O,14,0)+VLOOKUP(D318,'Species Codes'!B:P,15,0)*LN((E318*2.54)))*(1/(VLOOKUP(D318,'Species Codes'!B:Q,16,0)+VLOOKUP(D318,'Species Codes'!B:R,17,0)*((E318*2.54)^VLOOKUP(D318,'Species Codes'!B:S,18,0)))),IF(OR(D318="BM",D318="MD",D318="OA"),EXP(VLOOKUP(D318,'Species Codes'!B:O,14,0)+VLOOKUP(D318,'Species Codes'!B:P,15,0)*LN((E318*2.54)))*(1-(1/(VLOOKUP(D318,'Species Codes'!B:Q,16,0)+VLOOKUP(D318,'Species Codes'!B:R,17,0)*((E318*2.54)^VLOOKUP(D318,'Species Codes'!B:S,18,0)))))/1000,IF(D318="DF",EXP(VLOOKUP(D318,'Species Codes'!B:O,14,0)+VLOOKUP(D318,'Species Codes'!B:P,15,0)*LN((E318*2.54))),VLOOKUP(D318,'Species Codes'!B:O,14,0)+VLOOKUP(D318,'Species Codes'!B:P,15,0)*(((E318*2.54)/100)^2)*(I318*0.3048)))))*0.0011023),0)</f>
        <v>#N/A</v>
      </c>
      <c r="AD318" s="104" t="e">
        <f t="shared" si="166"/>
        <v>#N/A</v>
      </c>
      <c r="AE318" s="104" t="e">
        <f t="shared" si="167"/>
        <v>#N/A</v>
      </c>
      <c r="AF318" s="104" t="e">
        <f>IF(AND(VLOOKUP($D318,Merchantability!$B:$C,2,0)="Yes",$E318&gt;=VLOOKUP($D318,Merchantability!$B:$D,3,0),$E318&lt;=VLOOKUP($D318,Merchantability!$B:$E,4,0)),AA318,0)</f>
        <v>#N/A</v>
      </c>
      <c r="AG318" s="104" t="e">
        <f>IF(AND(VLOOKUP($D318,Merchantability!$B:$C,2,0)="Yes",$E318&gt;=VLOOKUP($D318,Merchantability!$B:$D,3,0),$E318&lt;=VLOOKUP($D318,Merchantability!$B:$E,4,0)),AB318,0)</f>
        <v>#N/A</v>
      </c>
      <c r="AH318" s="104" t="e">
        <f>IF(AND(VLOOKUP($D318,Merchantability!$B:$C,2,0)="Yes",$E318&gt;=VLOOKUP($D318,Merchantability!$B:$D,3,0),$E318&lt;=VLOOKUP($D318,Merchantability!$B:$E,4,0)),AC318,0)</f>
        <v>#N/A</v>
      </c>
      <c r="AI318" s="104" t="e">
        <f t="shared" si="168"/>
        <v>#N/A</v>
      </c>
      <c r="AJ318" s="104" t="e">
        <f t="shared" si="169"/>
        <v>#VALUE!</v>
      </c>
      <c r="AK318" s="104" t="e">
        <f t="shared" si="170"/>
        <v>#N/A</v>
      </c>
      <c r="AL318" s="104" t="e">
        <f t="shared" si="171"/>
        <v>#N/A</v>
      </c>
      <c r="AM318" s="104" t="e">
        <f t="shared" si="172"/>
        <v>#N/A</v>
      </c>
      <c r="AN318" s="104" t="e">
        <f t="shared" si="156"/>
        <v>#N/A</v>
      </c>
      <c r="AO318" s="104" t="e">
        <f t="shared" si="157"/>
        <v>#N/A</v>
      </c>
      <c r="AP318" s="104" t="e">
        <f t="shared" si="158"/>
        <v>#N/A</v>
      </c>
      <c r="AQ318" s="104" t="e">
        <f t="shared" si="159"/>
        <v>#N/A</v>
      </c>
      <c r="AR318" s="105" t="str">
        <f t="shared" si="151"/>
        <v/>
      </c>
      <c r="AS318" s="105" t="str">
        <f t="shared" si="152"/>
        <v/>
      </c>
      <c r="AT318" s="108" t="str">
        <f t="shared" si="153"/>
        <v/>
      </c>
      <c r="AU318" s="108" t="str">
        <f t="shared" si="154"/>
        <v/>
      </c>
      <c r="AV318" s="107" t="str">
        <f>IF(ISNUMBER(O318),IF(VLOOKUP($A318,Stand!C:J,8,FALSE)="Short",AT318,AU318),"")</f>
        <v/>
      </c>
      <c r="AW318" s="109" t="str">
        <f t="shared" si="160"/>
        <v/>
      </c>
      <c r="AX318" s="109" t="str">
        <f t="shared" si="161"/>
        <v/>
      </c>
      <c r="AY318" s="112" t="str">
        <f>IF(ISNUMBER(O318),IF(AND(VLOOKUP($D318,Merchantability!$B:$C,2,0)="Yes",$E318&gt;=VLOOKUP($D318,Merchantability!$B:$D,3,0),$E318&lt;=VLOOKUP($D318,Merchantability!$B:$E,4,0)),(AV318*O318)*(1-$H318/100),""),"")</f>
        <v/>
      </c>
      <c r="AZ318" s="116"/>
      <c r="BA318" s="116"/>
      <c r="BB318" s="116"/>
      <c r="BE318" s="62"/>
      <c r="BF318" s="63"/>
    </row>
    <row r="319" spans="1:58" ht="12.75" customHeight="1" x14ac:dyDescent="0.25">
      <c r="A319" s="313"/>
      <c r="B319" s="380"/>
      <c r="C319" s="381"/>
      <c r="D319" s="380"/>
      <c r="E319" s="382"/>
      <c r="F319" s="331"/>
      <c r="G319" s="329"/>
      <c r="H319" s="329"/>
      <c r="I319" s="380"/>
      <c r="J319" s="381"/>
      <c r="K319" s="329"/>
      <c r="L319" s="329"/>
      <c r="M319" s="76"/>
      <c r="N319" s="103" t="str">
        <f>IF(A319="","",VLOOKUP(A319,Stand!C:K,9,0))</f>
        <v/>
      </c>
      <c r="O319" s="104" t="str">
        <f t="shared" si="146"/>
        <v/>
      </c>
      <c r="P319" s="105" t="str">
        <f t="shared" si="147"/>
        <v/>
      </c>
      <c r="Q319" s="105" t="str">
        <f t="shared" si="162"/>
        <v/>
      </c>
      <c r="R319" s="103" t="str">
        <f t="shared" si="148"/>
        <v/>
      </c>
      <c r="S319" s="103" t="str">
        <f t="shared" si="149"/>
        <v/>
      </c>
      <c r="T319" s="106" t="str">
        <f t="shared" si="163"/>
        <v/>
      </c>
      <c r="U319" s="106" t="str">
        <f t="shared" si="164"/>
        <v/>
      </c>
      <c r="V319" s="106" t="str">
        <f t="shared" si="165"/>
        <v/>
      </c>
      <c r="W319" s="105" t="str">
        <f t="shared" si="150"/>
        <v/>
      </c>
      <c r="X319" s="104" t="str">
        <f t="shared" si="155"/>
        <v/>
      </c>
      <c r="Y319" s="104" t="str">
        <f t="array" ref="Y319">IFERROR(IF(ISNUMBER(O319),IF(COUNT(IF(A319=$A$2:$A$2427,IF(D319=$D$2:$D$2427,IF($X$2:$X$2427&gt;0,1))))&gt;0,SUM(IF(A319=$A$2:$A$2427,IF(D319=$D$2:$D$2427,$X$2:$X$2427)))/COUNT(IF(A319=$A$2:$A$2427,IF(D319=$D$2:$D$2427,IF(ISNUMBER($X$2:$X$2427),1)))),0),""),0)</f>
        <v/>
      </c>
      <c r="Z319" s="104" t="str">
        <f>IF(ISNUMBER(O319),IF(I319&gt;0,(10^(VLOOKUP(D319,'Species Codes'!B:C,2,0)+VLOOKUP(D319,'Species Codes'!B:D,3,0)*LOG(E319)+VLOOKUP(D319,'Species Codes'!B:E,4,0)*LOG(I319))),0),"")</f>
        <v/>
      </c>
      <c r="AA319" s="104" t="str">
        <f>IFERROR((VLOOKUP(D319,'Species Codes'!B:G,6,0)*Z319)/2000,"")</f>
        <v/>
      </c>
      <c r="AB319" s="104" t="e">
        <f>IF(Z319&gt;0,((IF(OR(D319="DF",D319="RA")=TRUE,EXP(VLOOKUP(D319,'Species Codes'!B:I,8,0)+VLOOKUP(D319,'Species Codes'!B:J,9,0)*(LN((E319*2.54)))),IF(OR(D319="PY",D319="RC",D319="WH",D319="NF")=TRUE,VLOOKUP(D319,'Species Codes'!B:I,8,0)+VLOOKUP(D319,'Species Codes'!B:J,9,0)*((E319*2.54)^2)*(I319*0.3048),IF(OR(D319="MD",D319="BM",D319="GA")=TRUE,((VLOOKUP(D319,'Species Codes'!B:I,8,0)*(((((E319*2.54)+VLOOKUP(D319,'Species Codes'!B:J,9,0))/VLOOKUP(D319,'Species Codes'!B:K,10,0))^VLOOKUP(D319,'Species Codes'!B:L,11,0))*((I319*0.3048)^VLOOKUP(D319,'Species Codes'!B:M,12,0))))-(VLOOKUP(D319,'Species Codes'!B:I,8,0)*((((E319*2.54)^VLOOKUP(D319,'Species Codes'!B:L,11,0))*((I319*0.3048)^VLOOKUP(D319,'Species Codes'!B:M,12,0))))))*35.3*VLOOKUP(D319,'Species Codes'!B:G,6,0)/2.2046,VLOOKUP(D319,'Species Codes'!B:I,8,0)+VLOOKUP(D319,'Species Codes'!B:J,9,0)*(((E319*2.54)/100)^2)*(I319*0.3048)))))*0.0011023),0)</f>
        <v>#N/A</v>
      </c>
      <c r="AC319" s="104" t="e">
        <f>IF(Z319&gt;0,((IF(OR(D319="RA",D319="OA",D319="OT",D319="UN",D319="PC"),EXP(VLOOKUP(D319,'Species Codes'!B:O,14,0)+VLOOKUP(D319,'Species Codes'!B:P,15,0)*LN((E319*2.54)))-EXP(VLOOKUP(D319,'Species Codes'!B:O,14,0)+VLOOKUP(D319,'Species Codes'!B:P,15,0)*LN((E319*2.54)))*(1/(VLOOKUP(D319,'Species Codes'!B:Q,16,0)+VLOOKUP(D319,'Species Codes'!B:R,17,0)*((E319*2.54)^VLOOKUP(D319,'Species Codes'!B:S,18,0)))),IF(OR(D319="BM",D319="MD",D319="OA"),EXP(VLOOKUP(D319,'Species Codes'!B:O,14,0)+VLOOKUP(D319,'Species Codes'!B:P,15,0)*LN((E319*2.54)))*(1-(1/(VLOOKUP(D319,'Species Codes'!B:Q,16,0)+VLOOKUP(D319,'Species Codes'!B:R,17,0)*((E319*2.54)^VLOOKUP(D319,'Species Codes'!B:S,18,0)))))/1000,IF(D319="DF",EXP(VLOOKUP(D319,'Species Codes'!B:O,14,0)+VLOOKUP(D319,'Species Codes'!B:P,15,0)*LN((E319*2.54))),VLOOKUP(D319,'Species Codes'!B:O,14,0)+VLOOKUP(D319,'Species Codes'!B:P,15,0)*(((E319*2.54)/100)^2)*(I319*0.3048)))))*0.0011023),0)</f>
        <v>#N/A</v>
      </c>
      <c r="AD319" s="104" t="e">
        <f t="shared" si="166"/>
        <v>#N/A</v>
      </c>
      <c r="AE319" s="104" t="e">
        <f t="shared" si="167"/>
        <v>#N/A</v>
      </c>
      <c r="AF319" s="104" t="e">
        <f>IF(AND(VLOOKUP($D319,Merchantability!$B:$C,2,0)="Yes",$E319&gt;=VLOOKUP($D319,Merchantability!$B:$D,3,0),$E319&lt;=VLOOKUP($D319,Merchantability!$B:$E,4,0)),AA319,0)</f>
        <v>#N/A</v>
      </c>
      <c r="AG319" s="104" t="e">
        <f>IF(AND(VLOOKUP($D319,Merchantability!$B:$C,2,0)="Yes",$E319&gt;=VLOOKUP($D319,Merchantability!$B:$D,3,0),$E319&lt;=VLOOKUP($D319,Merchantability!$B:$E,4,0)),AB319,0)</f>
        <v>#N/A</v>
      </c>
      <c r="AH319" s="104" t="e">
        <f>IF(AND(VLOOKUP($D319,Merchantability!$B:$C,2,0)="Yes",$E319&gt;=VLOOKUP($D319,Merchantability!$B:$D,3,0),$E319&lt;=VLOOKUP($D319,Merchantability!$B:$E,4,0)),AC319,0)</f>
        <v>#N/A</v>
      </c>
      <c r="AI319" s="104" t="e">
        <f t="shared" si="168"/>
        <v>#N/A</v>
      </c>
      <c r="AJ319" s="104" t="e">
        <f t="shared" si="169"/>
        <v>#VALUE!</v>
      </c>
      <c r="AK319" s="104" t="e">
        <f t="shared" si="170"/>
        <v>#N/A</v>
      </c>
      <c r="AL319" s="104" t="e">
        <f t="shared" si="171"/>
        <v>#N/A</v>
      </c>
      <c r="AM319" s="104" t="e">
        <f t="shared" si="172"/>
        <v>#N/A</v>
      </c>
      <c r="AN319" s="104" t="e">
        <f t="shared" si="156"/>
        <v>#N/A</v>
      </c>
      <c r="AO319" s="104" t="e">
        <f t="shared" si="157"/>
        <v>#N/A</v>
      </c>
      <c r="AP319" s="104" t="e">
        <f t="shared" si="158"/>
        <v>#N/A</v>
      </c>
      <c r="AQ319" s="104" t="e">
        <f t="shared" si="159"/>
        <v>#N/A</v>
      </c>
      <c r="AR319" s="105" t="str">
        <f t="shared" si="151"/>
        <v/>
      </c>
      <c r="AS319" s="105" t="str">
        <f t="shared" si="152"/>
        <v/>
      </c>
      <c r="AT319" s="108" t="str">
        <f t="shared" si="153"/>
        <v/>
      </c>
      <c r="AU319" s="108" t="str">
        <f t="shared" si="154"/>
        <v/>
      </c>
      <c r="AV319" s="107" t="str">
        <f>IF(ISNUMBER(O319),IF(VLOOKUP($A319,Stand!C:J,8,FALSE)="Short",AT319,AU319),"")</f>
        <v/>
      </c>
      <c r="AW319" s="109" t="str">
        <f t="shared" si="160"/>
        <v/>
      </c>
      <c r="AX319" s="109" t="str">
        <f t="shared" si="161"/>
        <v/>
      </c>
      <c r="AY319" s="112" t="str">
        <f>IF(ISNUMBER(O319),IF(AND(VLOOKUP($D319,Merchantability!$B:$C,2,0)="Yes",$E319&gt;=VLOOKUP($D319,Merchantability!$B:$D,3,0),$E319&lt;=VLOOKUP($D319,Merchantability!$B:$E,4,0)),(AV319*O319)*(1-$H319/100),""),"")</f>
        <v/>
      </c>
      <c r="AZ319" s="116"/>
      <c r="BA319" s="116"/>
      <c r="BB319" s="116"/>
      <c r="BE319" s="62"/>
      <c r="BF319" s="63"/>
    </row>
    <row r="320" spans="1:58" ht="12.75" customHeight="1" x14ac:dyDescent="0.25">
      <c r="A320" s="313"/>
      <c r="B320" s="380"/>
      <c r="C320" s="381"/>
      <c r="D320" s="380"/>
      <c r="E320" s="382"/>
      <c r="F320" s="331"/>
      <c r="G320" s="329"/>
      <c r="H320" s="329"/>
      <c r="I320" s="380"/>
      <c r="J320" s="381"/>
      <c r="K320" s="329"/>
      <c r="L320" s="329"/>
      <c r="M320" s="76"/>
      <c r="N320" s="103" t="str">
        <f>IF(A320="","",VLOOKUP(A320,Stand!C:K,9,0))</f>
        <v/>
      </c>
      <c r="O320" s="104" t="str">
        <f t="shared" si="146"/>
        <v/>
      </c>
      <c r="P320" s="105" t="str">
        <f t="shared" si="147"/>
        <v/>
      </c>
      <c r="Q320" s="105" t="str">
        <f t="shared" si="162"/>
        <v/>
      </c>
      <c r="R320" s="103" t="str">
        <f t="shared" si="148"/>
        <v/>
      </c>
      <c r="S320" s="103" t="str">
        <f t="shared" si="149"/>
        <v/>
      </c>
      <c r="T320" s="106" t="str">
        <f t="shared" si="163"/>
        <v/>
      </c>
      <c r="U320" s="106" t="str">
        <f t="shared" si="164"/>
        <v/>
      </c>
      <c r="V320" s="106" t="str">
        <f t="shared" si="165"/>
        <v/>
      </c>
      <c r="W320" s="105" t="str">
        <f t="shared" si="150"/>
        <v/>
      </c>
      <c r="X320" s="104" t="str">
        <f t="shared" si="155"/>
        <v/>
      </c>
      <c r="Y320" s="104" t="str">
        <f t="array" ref="Y320">IFERROR(IF(ISNUMBER(O320),IF(COUNT(IF(A320=$A$2:$A$2427,IF(D320=$D$2:$D$2427,IF($X$2:$X$2427&gt;0,1))))&gt;0,SUM(IF(A320=$A$2:$A$2427,IF(D320=$D$2:$D$2427,$X$2:$X$2427)))/COUNT(IF(A320=$A$2:$A$2427,IF(D320=$D$2:$D$2427,IF(ISNUMBER($X$2:$X$2427),1)))),0),""),0)</f>
        <v/>
      </c>
      <c r="Z320" s="104" t="str">
        <f>IF(ISNUMBER(O320),IF(I320&gt;0,(10^(VLOOKUP(D320,'Species Codes'!B:C,2,0)+VLOOKUP(D320,'Species Codes'!B:D,3,0)*LOG(E320)+VLOOKUP(D320,'Species Codes'!B:E,4,0)*LOG(I320))),0),"")</f>
        <v/>
      </c>
      <c r="AA320" s="104" t="str">
        <f>IFERROR((VLOOKUP(D320,'Species Codes'!B:G,6,0)*Z320)/2000,"")</f>
        <v/>
      </c>
      <c r="AB320" s="104" t="e">
        <f>IF(Z320&gt;0,((IF(OR(D320="DF",D320="RA")=TRUE,EXP(VLOOKUP(D320,'Species Codes'!B:I,8,0)+VLOOKUP(D320,'Species Codes'!B:J,9,0)*(LN((E320*2.54)))),IF(OR(D320="PY",D320="RC",D320="WH",D320="NF")=TRUE,VLOOKUP(D320,'Species Codes'!B:I,8,0)+VLOOKUP(D320,'Species Codes'!B:J,9,0)*((E320*2.54)^2)*(I320*0.3048),IF(OR(D320="MD",D320="BM",D320="GA")=TRUE,((VLOOKUP(D320,'Species Codes'!B:I,8,0)*(((((E320*2.54)+VLOOKUP(D320,'Species Codes'!B:J,9,0))/VLOOKUP(D320,'Species Codes'!B:K,10,0))^VLOOKUP(D320,'Species Codes'!B:L,11,0))*((I320*0.3048)^VLOOKUP(D320,'Species Codes'!B:M,12,0))))-(VLOOKUP(D320,'Species Codes'!B:I,8,0)*((((E320*2.54)^VLOOKUP(D320,'Species Codes'!B:L,11,0))*((I320*0.3048)^VLOOKUP(D320,'Species Codes'!B:M,12,0))))))*35.3*VLOOKUP(D320,'Species Codes'!B:G,6,0)/2.2046,VLOOKUP(D320,'Species Codes'!B:I,8,0)+VLOOKUP(D320,'Species Codes'!B:J,9,0)*(((E320*2.54)/100)^2)*(I320*0.3048)))))*0.0011023),0)</f>
        <v>#N/A</v>
      </c>
      <c r="AC320" s="104" t="e">
        <f>IF(Z320&gt;0,((IF(OR(D320="RA",D320="OA",D320="OT",D320="UN",D320="PC"),EXP(VLOOKUP(D320,'Species Codes'!B:O,14,0)+VLOOKUP(D320,'Species Codes'!B:P,15,0)*LN((E320*2.54)))-EXP(VLOOKUP(D320,'Species Codes'!B:O,14,0)+VLOOKUP(D320,'Species Codes'!B:P,15,0)*LN((E320*2.54)))*(1/(VLOOKUP(D320,'Species Codes'!B:Q,16,0)+VLOOKUP(D320,'Species Codes'!B:R,17,0)*((E320*2.54)^VLOOKUP(D320,'Species Codes'!B:S,18,0)))),IF(OR(D320="BM",D320="MD",D320="OA"),EXP(VLOOKUP(D320,'Species Codes'!B:O,14,0)+VLOOKUP(D320,'Species Codes'!B:P,15,0)*LN((E320*2.54)))*(1-(1/(VLOOKUP(D320,'Species Codes'!B:Q,16,0)+VLOOKUP(D320,'Species Codes'!B:R,17,0)*((E320*2.54)^VLOOKUP(D320,'Species Codes'!B:S,18,0)))))/1000,IF(D320="DF",EXP(VLOOKUP(D320,'Species Codes'!B:O,14,0)+VLOOKUP(D320,'Species Codes'!B:P,15,0)*LN((E320*2.54))),VLOOKUP(D320,'Species Codes'!B:O,14,0)+VLOOKUP(D320,'Species Codes'!B:P,15,0)*(((E320*2.54)/100)^2)*(I320*0.3048)))))*0.0011023),0)</f>
        <v>#N/A</v>
      </c>
      <c r="AD320" s="104" t="e">
        <f t="shared" si="166"/>
        <v>#N/A</v>
      </c>
      <c r="AE320" s="104" t="e">
        <f t="shared" si="167"/>
        <v>#N/A</v>
      </c>
      <c r="AF320" s="104" t="e">
        <f>IF(AND(VLOOKUP($D320,Merchantability!$B:$C,2,0)="Yes",$E320&gt;=VLOOKUP($D320,Merchantability!$B:$D,3,0),$E320&lt;=VLOOKUP($D320,Merchantability!$B:$E,4,0)),AA320,0)</f>
        <v>#N/A</v>
      </c>
      <c r="AG320" s="104" t="e">
        <f>IF(AND(VLOOKUP($D320,Merchantability!$B:$C,2,0)="Yes",$E320&gt;=VLOOKUP($D320,Merchantability!$B:$D,3,0),$E320&lt;=VLOOKUP($D320,Merchantability!$B:$E,4,0)),AB320,0)</f>
        <v>#N/A</v>
      </c>
      <c r="AH320" s="104" t="e">
        <f>IF(AND(VLOOKUP($D320,Merchantability!$B:$C,2,0)="Yes",$E320&gt;=VLOOKUP($D320,Merchantability!$B:$D,3,0),$E320&lt;=VLOOKUP($D320,Merchantability!$B:$E,4,0)),AC320,0)</f>
        <v>#N/A</v>
      </c>
      <c r="AI320" s="104" t="e">
        <f t="shared" si="168"/>
        <v>#N/A</v>
      </c>
      <c r="AJ320" s="104" t="e">
        <f t="shared" si="169"/>
        <v>#VALUE!</v>
      </c>
      <c r="AK320" s="104" t="e">
        <f t="shared" si="170"/>
        <v>#N/A</v>
      </c>
      <c r="AL320" s="104" t="e">
        <f t="shared" si="171"/>
        <v>#N/A</v>
      </c>
      <c r="AM320" s="104" t="e">
        <f t="shared" si="172"/>
        <v>#N/A</v>
      </c>
      <c r="AN320" s="104" t="e">
        <f t="shared" si="156"/>
        <v>#N/A</v>
      </c>
      <c r="AO320" s="104" t="e">
        <f t="shared" si="157"/>
        <v>#N/A</v>
      </c>
      <c r="AP320" s="104" t="e">
        <f t="shared" si="158"/>
        <v>#N/A</v>
      </c>
      <c r="AQ320" s="104" t="e">
        <f t="shared" si="159"/>
        <v>#N/A</v>
      </c>
      <c r="AR320" s="105" t="str">
        <f t="shared" si="151"/>
        <v/>
      </c>
      <c r="AS320" s="105" t="str">
        <f t="shared" si="152"/>
        <v/>
      </c>
      <c r="AT320" s="108" t="str">
        <f t="shared" si="153"/>
        <v/>
      </c>
      <c r="AU320" s="108" t="str">
        <f t="shared" si="154"/>
        <v/>
      </c>
      <c r="AV320" s="107" t="str">
        <f>IF(ISNUMBER(O320),IF(VLOOKUP($A320,Stand!C:J,8,FALSE)="Short",AT320,AU320),"")</f>
        <v/>
      </c>
      <c r="AW320" s="109" t="str">
        <f t="shared" si="160"/>
        <v/>
      </c>
      <c r="AX320" s="109" t="str">
        <f t="shared" si="161"/>
        <v/>
      </c>
      <c r="AY320" s="112" t="str">
        <f>IF(ISNUMBER(O320),IF(AND(VLOOKUP($D320,Merchantability!$B:$C,2,0)="Yes",$E320&gt;=VLOOKUP($D320,Merchantability!$B:$D,3,0),$E320&lt;=VLOOKUP($D320,Merchantability!$B:$E,4,0)),(AV320*O320)*(1-$H320/100),""),"")</f>
        <v/>
      </c>
      <c r="AZ320" s="116"/>
      <c r="BA320" s="116"/>
      <c r="BB320" s="116"/>
      <c r="BE320" s="62"/>
      <c r="BF320" s="63"/>
    </row>
    <row r="321" spans="1:58" ht="12.75" customHeight="1" x14ac:dyDescent="0.25">
      <c r="A321" s="313"/>
      <c r="B321" s="380"/>
      <c r="C321" s="381"/>
      <c r="D321" s="380"/>
      <c r="E321" s="382"/>
      <c r="F321" s="331"/>
      <c r="G321" s="329"/>
      <c r="H321" s="329"/>
      <c r="I321" s="380"/>
      <c r="J321" s="381"/>
      <c r="K321" s="329"/>
      <c r="L321" s="329"/>
      <c r="M321" s="76"/>
      <c r="N321" s="103" t="str">
        <f>IF(A321="","",VLOOKUP(A321,Stand!C:K,9,0))</f>
        <v/>
      </c>
      <c r="O321" s="104" t="str">
        <f t="shared" si="146"/>
        <v/>
      </c>
      <c r="P321" s="105" t="str">
        <f t="shared" si="147"/>
        <v/>
      </c>
      <c r="Q321" s="105" t="str">
        <f t="shared" si="162"/>
        <v/>
      </c>
      <c r="R321" s="103" t="str">
        <f t="shared" si="148"/>
        <v/>
      </c>
      <c r="S321" s="103" t="str">
        <f t="shared" si="149"/>
        <v/>
      </c>
      <c r="T321" s="106" t="str">
        <f t="shared" si="163"/>
        <v/>
      </c>
      <c r="U321" s="106" t="str">
        <f t="shared" si="164"/>
        <v/>
      </c>
      <c r="V321" s="106" t="str">
        <f t="shared" si="165"/>
        <v/>
      </c>
      <c r="W321" s="105" t="str">
        <f t="shared" si="150"/>
        <v/>
      </c>
      <c r="X321" s="104" t="str">
        <f t="shared" si="155"/>
        <v/>
      </c>
      <c r="Y321" s="104" t="str">
        <f t="array" ref="Y321">IFERROR(IF(ISNUMBER(O321),IF(COUNT(IF(A321=$A$2:$A$2427,IF(D321=$D$2:$D$2427,IF($X$2:$X$2427&gt;0,1))))&gt;0,SUM(IF(A321=$A$2:$A$2427,IF(D321=$D$2:$D$2427,$X$2:$X$2427)))/COUNT(IF(A321=$A$2:$A$2427,IF(D321=$D$2:$D$2427,IF(ISNUMBER($X$2:$X$2427),1)))),0),""),0)</f>
        <v/>
      </c>
      <c r="Z321" s="104" t="str">
        <f>IF(ISNUMBER(O321),IF(I321&gt;0,(10^(VLOOKUP(D321,'Species Codes'!B:C,2,0)+VLOOKUP(D321,'Species Codes'!B:D,3,0)*LOG(E321)+VLOOKUP(D321,'Species Codes'!B:E,4,0)*LOG(I321))),0),"")</f>
        <v/>
      </c>
      <c r="AA321" s="104" t="str">
        <f>IFERROR((VLOOKUP(D321,'Species Codes'!B:G,6,0)*Z321)/2000,"")</f>
        <v/>
      </c>
      <c r="AB321" s="104" t="e">
        <f>IF(Z321&gt;0,((IF(OR(D321="DF",D321="RA")=TRUE,EXP(VLOOKUP(D321,'Species Codes'!B:I,8,0)+VLOOKUP(D321,'Species Codes'!B:J,9,0)*(LN((E321*2.54)))),IF(OR(D321="PY",D321="RC",D321="WH",D321="NF")=TRUE,VLOOKUP(D321,'Species Codes'!B:I,8,0)+VLOOKUP(D321,'Species Codes'!B:J,9,0)*((E321*2.54)^2)*(I321*0.3048),IF(OR(D321="MD",D321="BM",D321="GA")=TRUE,((VLOOKUP(D321,'Species Codes'!B:I,8,0)*(((((E321*2.54)+VLOOKUP(D321,'Species Codes'!B:J,9,0))/VLOOKUP(D321,'Species Codes'!B:K,10,0))^VLOOKUP(D321,'Species Codes'!B:L,11,0))*((I321*0.3048)^VLOOKUP(D321,'Species Codes'!B:M,12,0))))-(VLOOKUP(D321,'Species Codes'!B:I,8,0)*((((E321*2.54)^VLOOKUP(D321,'Species Codes'!B:L,11,0))*((I321*0.3048)^VLOOKUP(D321,'Species Codes'!B:M,12,0))))))*35.3*VLOOKUP(D321,'Species Codes'!B:G,6,0)/2.2046,VLOOKUP(D321,'Species Codes'!B:I,8,0)+VLOOKUP(D321,'Species Codes'!B:J,9,0)*(((E321*2.54)/100)^2)*(I321*0.3048)))))*0.0011023),0)</f>
        <v>#N/A</v>
      </c>
      <c r="AC321" s="104" t="e">
        <f>IF(Z321&gt;0,((IF(OR(D321="RA",D321="OA",D321="OT",D321="UN",D321="PC"),EXP(VLOOKUP(D321,'Species Codes'!B:O,14,0)+VLOOKUP(D321,'Species Codes'!B:P,15,0)*LN((E321*2.54)))-EXP(VLOOKUP(D321,'Species Codes'!B:O,14,0)+VLOOKUP(D321,'Species Codes'!B:P,15,0)*LN((E321*2.54)))*(1/(VLOOKUP(D321,'Species Codes'!B:Q,16,0)+VLOOKUP(D321,'Species Codes'!B:R,17,0)*((E321*2.54)^VLOOKUP(D321,'Species Codes'!B:S,18,0)))),IF(OR(D321="BM",D321="MD",D321="OA"),EXP(VLOOKUP(D321,'Species Codes'!B:O,14,0)+VLOOKUP(D321,'Species Codes'!B:P,15,0)*LN((E321*2.54)))*(1-(1/(VLOOKUP(D321,'Species Codes'!B:Q,16,0)+VLOOKUP(D321,'Species Codes'!B:R,17,0)*((E321*2.54)^VLOOKUP(D321,'Species Codes'!B:S,18,0)))))/1000,IF(D321="DF",EXP(VLOOKUP(D321,'Species Codes'!B:O,14,0)+VLOOKUP(D321,'Species Codes'!B:P,15,0)*LN((E321*2.54))),VLOOKUP(D321,'Species Codes'!B:O,14,0)+VLOOKUP(D321,'Species Codes'!B:P,15,0)*(((E321*2.54)/100)^2)*(I321*0.3048)))))*0.0011023),0)</f>
        <v>#N/A</v>
      </c>
      <c r="AD321" s="104" t="e">
        <f t="shared" si="166"/>
        <v>#N/A</v>
      </c>
      <c r="AE321" s="104" t="e">
        <f t="shared" si="167"/>
        <v>#N/A</v>
      </c>
      <c r="AF321" s="104" t="e">
        <f>IF(AND(VLOOKUP($D321,Merchantability!$B:$C,2,0)="Yes",$E321&gt;=VLOOKUP($D321,Merchantability!$B:$D,3,0),$E321&lt;=VLOOKUP($D321,Merchantability!$B:$E,4,0)),AA321,0)</f>
        <v>#N/A</v>
      </c>
      <c r="AG321" s="104" t="e">
        <f>IF(AND(VLOOKUP($D321,Merchantability!$B:$C,2,0)="Yes",$E321&gt;=VLOOKUP($D321,Merchantability!$B:$D,3,0),$E321&lt;=VLOOKUP($D321,Merchantability!$B:$E,4,0)),AB321,0)</f>
        <v>#N/A</v>
      </c>
      <c r="AH321" s="104" t="e">
        <f>IF(AND(VLOOKUP($D321,Merchantability!$B:$C,2,0)="Yes",$E321&gt;=VLOOKUP($D321,Merchantability!$B:$D,3,0),$E321&lt;=VLOOKUP($D321,Merchantability!$B:$E,4,0)),AC321,0)</f>
        <v>#N/A</v>
      </c>
      <c r="AI321" s="104" t="e">
        <f t="shared" si="168"/>
        <v>#N/A</v>
      </c>
      <c r="AJ321" s="104" t="e">
        <f t="shared" si="169"/>
        <v>#VALUE!</v>
      </c>
      <c r="AK321" s="104" t="e">
        <f t="shared" si="170"/>
        <v>#N/A</v>
      </c>
      <c r="AL321" s="104" t="e">
        <f t="shared" si="171"/>
        <v>#N/A</v>
      </c>
      <c r="AM321" s="104" t="e">
        <f t="shared" si="172"/>
        <v>#N/A</v>
      </c>
      <c r="AN321" s="104" t="e">
        <f t="shared" si="156"/>
        <v>#N/A</v>
      </c>
      <c r="AO321" s="104" t="e">
        <f t="shared" si="157"/>
        <v>#N/A</v>
      </c>
      <c r="AP321" s="104" t="e">
        <f t="shared" si="158"/>
        <v>#N/A</v>
      </c>
      <c r="AQ321" s="104" t="e">
        <f t="shared" si="159"/>
        <v>#N/A</v>
      </c>
      <c r="AR321" s="105" t="str">
        <f t="shared" si="151"/>
        <v/>
      </c>
      <c r="AS321" s="105" t="str">
        <f t="shared" si="152"/>
        <v/>
      </c>
      <c r="AT321" s="108" t="str">
        <f t="shared" si="153"/>
        <v/>
      </c>
      <c r="AU321" s="108" t="str">
        <f t="shared" si="154"/>
        <v/>
      </c>
      <c r="AV321" s="107" t="str">
        <f>IF(ISNUMBER(O321),IF(VLOOKUP($A321,Stand!C:J,8,FALSE)="Short",AT321,AU321),"")</f>
        <v/>
      </c>
      <c r="AW321" s="109" t="str">
        <f t="shared" si="160"/>
        <v/>
      </c>
      <c r="AX321" s="109" t="str">
        <f t="shared" si="161"/>
        <v/>
      </c>
      <c r="AY321" s="112" t="str">
        <f>IF(ISNUMBER(O321),IF(AND(VLOOKUP($D321,Merchantability!$B:$C,2,0)="Yes",$E321&gt;=VLOOKUP($D321,Merchantability!$B:$D,3,0),$E321&lt;=VLOOKUP($D321,Merchantability!$B:$E,4,0)),(AV321*O321)*(1-$H321/100),""),"")</f>
        <v/>
      </c>
      <c r="AZ321" s="116"/>
      <c r="BA321" s="116"/>
      <c r="BB321" s="116"/>
      <c r="BE321" s="62"/>
      <c r="BF321" s="63"/>
    </row>
    <row r="322" spans="1:58" ht="12.75" customHeight="1" x14ac:dyDescent="0.25">
      <c r="A322" s="313"/>
      <c r="B322" s="380"/>
      <c r="C322" s="381"/>
      <c r="D322" s="380"/>
      <c r="E322" s="382"/>
      <c r="F322" s="331"/>
      <c r="G322" s="329"/>
      <c r="H322" s="329"/>
      <c r="I322" s="380"/>
      <c r="J322" s="381"/>
      <c r="K322" s="329"/>
      <c r="L322" s="329"/>
      <c r="M322" s="76"/>
      <c r="N322" s="103" t="str">
        <f>IF(A322="","",VLOOKUP(A322,Stand!C:K,9,0))</f>
        <v/>
      </c>
      <c r="O322" s="104" t="str">
        <f t="shared" ref="O322:O385" si="173">IF(E322&gt;0,IF(G322&gt;1,G322*(43560/(N322^2*3.14)),43560/(N322^2*3.14)),"")</f>
        <v/>
      </c>
      <c r="P322" s="105" t="str">
        <f t="shared" ref="P322:P385" si="174">IF(ISNUMBER(O322),E322*O322,"")</f>
        <v/>
      </c>
      <c r="Q322" s="105" t="str">
        <f t="shared" si="162"/>
        <v/>
      </c>
      <c r="R322" s="103" t="str">
        <f t="shared" ref="R322:R385" si="175">IF(ISNUMBER(O322),E322^2*0.005454*O322,"")</f>
        <v/>
      </c>
      <c r="S322" s="103" t="str">
        <f t="shared" ref="S322:S385" si="176">IF(ISNUMBER(O322),(E322/10)^1.7*O322,"")</f>
        <v/>
      </c>
      <c r="T322" s="106" t="str">
        <f t="shared" si="163"/>
        <v/>
      </c>
      <c r="U322" s="106" t="str">
        <f t="shared" si="164"/>
        <v/>
      </c>
      <c r="V322" s="106" t="str">
        <f t="shared" si="165"/>
        <v/>
      </c>
      <c r="W322" s="105" t="str">
        <f t="shared" ref="W322:W385" si="177">IF(AND(ISNUMBER(O322),I322&gt;0),I322/(E322/12),"")</f>
        <v/>
      </c>
      <c r="X322" s="104" t="str">
        <f t="shared" si="155"/>
        <v/>
      </c>
      <c r="Y322" s="104" t="str">
        <f t="array" ref="Y322">IFERROR(IF(ISNUMBER(O322),IF(COUNT(IF(A322=$A$2:$A$2427,IF(D322=$D$2:$D$2427,IF($X$2:$X$2427&gt;0,1))))&gt;0,SUM(IF(A322=$A$2:$A$2427,IF(D322=$D$2:$D$2427,$X$2:$X$2427)))/COUNT(IF(A322=$A$2:$A$2427,IF(D322=$D$2:$D$2427,IF(ISNUMBER($X$2:$X$2427),1)))),0),""),0)</f>
        <v/>
      </c>
      <c r="Z322" s="104" t="str">
        <f>IF(ISNUMBER(O322),IF(I322&gt;0,(10^(VLOOKUP(D322,'Species Codes'!B:C,2,0)+VLOOKUP(D322,'Species Codes'!B:D,3,0)*LOG(E322)+VLOOKUP(D322,'Species Codes'!B:E,4,0)*LOG(I322))),0),"")</f>
        <v/>
      </c>
      <c r="AA322" s="104" t="str">
        <f>IFERROR((VLOOKUP(D322,'Species Codes'!B:G,6,0)*Z322)/2000,"")</f>
        <v/>
      </c>
      <c r="AB322" s="104" t="e">
        <f>IF(Z322&gt;0,((IF(OR(D322="DF",D322="RA")=TRUE,EXP(VLOOKUP(D322,'Species Codes'!B:I,8,0)+VLOOKUP(D322,'Species Codes'!B:J,9,0)*(LN((E322*2.54)))),IF(OR(D322="PY",D322="RC",D322="WH",D322="NF")=TRUE,VLOOKUP(D322,'Species Codes'!B:I,8,0)+VLOOKUP(D322,'Species Codes'!B:J,9,0)*((E322*2.54)^2)*(I322*0.3048),IF(OR(D322="MD",D322="BM",D322="GA")=TRUE,((VLOOKUP(D322,'Species Codes'!B:I,8,0)*(((((E322*2.54)+VLOOKUP(D322,'Species Codes'!B:J,9,0))/VLOOKUP(D322,'Species Codes'!B:K,10,0))^VLOOKUP(D322,'Species Codes'!B:L,11,0))*((I322*0.3048)^VLOOKUP(D322,'Species Codes'!B:M,12,0))))-(VLOOKUP(D322,'Species Codes'!B:I,8,0)*((((E322*2.54)^VLOOKUP(D322,'Species Codes'!B:L,11,0))*((I322*0.3048)^VLOOKUP(D322,'Species Codes'!B:M,12,0))))))*35.3*VLOOKUP(D322,'Species Codes'!B:G,6,0)/2.2046,VLOOKUP(D322,'Species Codes'!B:I,8,0)+VLOOKUP(D322,'Species Codes'!B:J,9,0)*(((E322*2.54)/100)^2)*(I322*0.3048)))))*0.0011023),0)</f>
        <v>#N/A</v>
      </c>
      <c r="AC322" s="104" t="e">
        <f>IF(Z322&gt;0,((IF(OR(D322="RA",D322="OA",D322="OT",D322="UN",D322="PC"),EXP(VLOOKUP(D322,'Species Codes'!B:O,14,0)+VLOOKUP(D322,'Species Codes'!B:P,15,0)*LN((E322*2.54)))-EXP(VLOOKUP(D322,'Species Codes'!B:O,14,0)+VLOOKUP(D322,'Species Codes'!B:P,15,0)*LN((E322*2.54)))*(1/(VLOOKUP(D322,'Species Codes'!B:Q,16,0)+VLOOKUP(D322,'Species Codes'!B:R,17,0)*((E322*2.54)^VLOOKUP(D322,'Species Codes'!B:S,18,0)))),IF(OR(D322="BM",D322="MD",D322="OA"),EXP(VLOOKUP(D322,'Species Codes'!B:O,14,0)+VLOOKUP(D322,'Species Codes'!B:P,15,0)*LN((E322*2.54)))*(1-(1/(VLOOKUP(D322,'Species Codes'!B:Q,16,0)+VLOOKUP(D322,'Species Codes'!B:R,17,0)*((E322*2.54)^VLOOKUP(D322,'Species Codes'!B:S,18,0)))))/1000,IF(D322="DF",EXP(VLOOKUP(D322,'Species Codes'!B:O,14,0)+VLOOKUP(D322,'Species Codes'!B:P,15,0)*LN((E322*2.54))),VLOOKUP(D322,'Species Codes'!B:O,14,0)+VLOOKUP(D322,'Species Codes'!B:P,15,0)*(((E322*2.54)/100)^2)*(I322*0.3048)))))*0.0011023),0)</f>
        <v>#N/A</v>
      </c>
      <c r="AD322" s="104" t="e">
        <f t="shared" si="166"/>
        <v>#N/A</v>
      </c>
      <c r="AE322" s="104" t="e">
        <f t="shared" si="167"/>
        <v>#N/A</v>
      </c>
      <c r="AF322" s="104" t="e">
        <f>IF(AND(VLOOKUP($D322,Merchantability!$B:$C,2,0)="Yes",$E322&gt;=VLOOKUP($D322,Merchantability!$B:$D,3,0),$E322&lt;=VLOOKUP($D322,Merchantability!$B:$E,4,0)),AA322,0)</f>
        <v>#N/A</v>
      </c>
      <c r="AG322" s="104" t="e">
        <f>IF(AND(VLOOKUP($D322,Merchantability!$B:$C,2,0)="Yes",$E322&gt;=VLOOKUP($D322,Merchantability!$B:$D,3,0),$E322&lt;=VLOOKUP($D322,Merchantability!$B:$E,4,0)),AB322,0)</f>
        <v>#N/A</v>
      </c>
      <c r="AH322" s="104" t="e">
        <f>IF(AND(VLOOKUP($D322,Merchantability!$B:$C,2,0)="Yes",$E322&gt;=VLOOKUP($D322,Merchantability!$B:$D,3,0),$E322&lt;=VLOOKUP($D322,Merchantability!$B:$E,4,0)),AC322,0)</f>
        <v>#N/A</v>
      </c>
      <c r="AI322" s="104" t="e">
        <f t="shared" si="168"/>
        <v>#N/A</v>
      </c>
      <c r="AJ322" s="104" t="e">
        <f t="shared" si="169"/>
        <v>#VALUE!</v>
      </c>
      <c r="AK322" s="104" t="e">
        <f t="shared" si="170"/>
        <v>#N/A</v>
      </c>
      <c r="AL322" s="104" t="e">
        <f t="shared" si="171"/>
        <v>#N/A</v>
      </c>
      <c r="AM322" s="104" t="e">
        <f t="shared" si="172"/>
        <v>#N/A</v>
      </c>
      <c r="AN322" s="104" t="e">
        <f t="shared" si="156"/>
        <v>#N/A</v>
      </c>
      <c r="AO322" s="104" t="e">
        <f t="shared" si="157"/>
        <v>#N/A</v>
      </c>
      <c r="AP322" s="104" t="e">
        <f t="shared" si="158"/>
        <v>#N/A</v>
      </c>
      <c r="AQ322" s="104" t="e">
        <f t="shared" si="159"/>
        <v>#N/A</v>
      </c>
      <c r="AR322" s="105" t="str">
        <f t="shared" ref="AR322:AR385" si="178">IF(ISNUMBER(O322),IF(Y322&gt;0,((Y322*(E322^2*0.005454-0.087266))/0.912733),0),"")</f>
        <v/>
      </c>
      <c r="AS322" s="105" t="str">
        <f t="shared" ref="AS322:AS385" si="179">IF(ISNUMBER(O322),AR322*(0.993-0.993*(0.62^(E322-6))),"")</f>
        <v/>
      </c>
      <c r="AT322" s="108" t="str">
        <f t="shared" ref="AT322:AT385" si="180">IF(ISNUMBER(O322),IF(AS322&gt;0,IF(Y322&gt;0,(AS322*10^(0.174439+0.117594*(LOG(E322,10))*(LOG(Y322/0.912733,10))-8.210585/E322^2+0.236693*(LOG(Y322/0.912733,10))-0.00001345*(Y322/0.912733)^2-0.00001937*E322^2)),0),0),"")</f>
        <v/>
      </c>
      <c r="AU322" s="108" t="str">
        <f t="shared" ref="AU322:AU385" si="181">IF(ISNUMBER(O322),IF(AS322&gt;0,IF(Y322&gt;0,AT322*(1.001491-(6.92497/Y322)+(0.00001351*(E322^2))),0),0),"")</f>
        <v/>
      </c>
      <c r="AV322" s="107" t="str">
        <f>IF(ISNUMBER(O322),IF(VLOOKUP($A322,Stand!C:J,8,FALSE)="Short",AT322,AU322),"")</f>
        <v/>
      </c>
      <c r="AW322" s="109" t="str">
        <f t="shared" si="160"/>
        <v/>
      </c>
      <c r="AX322" s="109" t="str">
        <f t="shared" si="161"/>
        <v/>
      </c>
      <c r="AY322" s="112" t="str">
        <f>IF(ISNUMBER(O322),IF(AND(VLOOKUP($D322,Merchantability!$B:$C,2,0)="Yes",$E322&gt;=VLOOKUP($D322,Merchantability!$B:$D,3,0),$E322&lt;=VLOOKUP($D322,Merchantability!$B:$E,4,0)),(AV322*O322)*(1-$H322/100),""),"")</f>
        <v/>
      </c>
      <c r="AZ322" s="116"/>
      <c r="BA322" s="116"/>
      <c r="BB322" s="116"/>
      <c r="BE322" s="62"/>
      <c r="BF322" s="63"/>
    </row>
    <row r="323" spans="1:58" ht="12.75" customHeight="1" x14ac:dyDescent="0.25">
      <c r="A323" s="313"/>
      <c r="B323" s="380"/>
      <c r="C323" s="381"/>
      <c r="D323" s="380"/>
      <c r="E323" s="382"/>
      <c r="F323" s="331"/>
      <c r="G323" s="329"/>
      <c r="H323" s="329"/>
      <c r="I323" s="380"/>
      <c r="J323" s="381"/>
      <c r="K323" s="329"/>
      <c r="L323" s="329"/>
      <c r="M323" s="76"/>
      <c r="N323" s="103" t="str">
        <f>IF(A323="","",VLOOKUP(A323,Stand!C:K,9,0))</f>
        <v/>
      </c>
      <c r="O323" s="104" t="str">
        <f t="shared" si="173"/>
        <v/>
      </c>
      <c r="P323" s="105" t="str">
        <f t="shared" si="174"/>
        <v/>
      </c>
      <c r="Q323" s="105" t="str">
        <f t="shared" si="162"/>
        <v/>
      </c>
      <c r="R323" s="103" t="str">
        <f t="shared" si="175"/>
        <v/>
      </c>
      <c r="S323" s="103" t="str">
        <f t="shared" si="176"/>
        <v/>
      </c>
      <c r="T323" s="106" t="str">
        <f t="shared" si="163"/>
        <v/>
      </c>
      <c r="U323" s="106" t="str">
        <f t="shared" si="164"/>
        <v/>
      </c>
      <c r="V323" s="106" t="str">
        <f t="shared" si="165"/>
        <v/>
      </c>
      <c r="W323" s="105" t="str">
        <f t="shared" si="177"/>
        <v/>
      </c>
      <c r="X323" s="104" t="str">
        <f t="shared" ref="X323:X386" si="182">IF(ISNUMBER(O323),IF(I323&gt;0,IF(E323&gt;0,(0.912733*Z323)/(1.033*(1+1.382937*EXP(-4.015292*E323/10))*((E323^2)*0.005454+0.087266)-0.174533),""),""),"")</f>
        <v/>
      </c>
      <c r="Y323" s="104" t="str">
        <f t="array" ref="Y323">IFERROR(IF(ISNUMBER(O323),IF(COUNT(IF(A323=$A$2:$A$2427,IF(D323=$D$2:$D$2427,IF($X$2:$X$2427&gt;0,1))))&gt;0,SUM(IF(A323=$A$2:$A$2427,IF(D323=$D$2:$D$2427,$X$2:$X$2427)))/COUNT(IF(A323=$A$2:$A$2427,IF(D323=$D$2:$D$2427,IF(ISNUMBER($X$2:$X$2427),1)))),0),""),0)</f>
        <v/>
      </c>
      <c r="Z323" s="104" t="str">
        <f>IF(ISNUMBER(O323),IF(I323&gt;0,(10^(VLOOKUP(D323,'Species Codes'!B:C,2,0)+VLOOKUP(D323,'Species Codes'!B:D,3,0)*LOG(E323)+VLOOKUP(D323,'Species Codes'!B:E,4,0)*LOG(I323))),0),"")</f>
        <v/>
      </c>
      <c r="AA323" s="104" t="str">
        <f>IFERROR((VLOOKUP(D323,'Species Codes'!B:G,6,0)*Z323)/2000,"")</f>
        <v/>
      </c>
      <c r="AB323" s="104" t="e">
        <f>IF(Z323&gt;0,((IF(OR(D323="DF",D323="RA")=TRUE,EXP(VLOOKUP(D323,'Species Codes'!B:I,8,0)+VLOOKUP(D323,'Species Codes'!B:J,9,0)*(LN((E323*2.54)))),IF(OR(D323="PY",D323="RC",D323="WH",D323="NF")=TRUE,VLOOKUP(D323,'Species Codes'!B:I,8,0)+VLOOKUP(D323,'Species Codes'!B:J,9,0)*((E323*2.54)^2)*(I323*0.3048),IF(OR(D323="MD",D323="BM",D323="GA")=TRUE,((VLOOKUP(D323,'Species Codes'!B:I,8,0)*(((((E323*2.54)+VLOOKUP(D323,'Species Codes'!B:J,9,0))/VLOOKUP(D323,'Species Codes'!B:K,10,0))^VLOOKUP(D323,'Species Codes'!B:L,11,0))*((I323*0.3048)^VLOOKUP(D323,'Species Codes'!B:M,12,0))))-(VLOOKUP(D323,'Species Codes'!B:I,8,0)*((((E323*2.54)^VLOOKUP(D323,'Species Codes'!B:L,11,0))*((I323*0.3048)^VLOOKUP(D323,'Species Codes'!B:M,12,0))))))*35.3*VLOOKUP(D323,'Species Codes'!B:G,6,0)/2.2046,VLOOKUP(D323,'Species Codes'!B:I,8,0)+VLOOKUP(D323,'Species Codes'!B:J,9,0)*(((E323*2.54)/100)^2)*(I323*0.3048)))))*0.0011023),0)</f>
        <v>#N/A</v>
      </c>
      <c r="AC323" s="104" t="e">
        <f>IF(Z323&gt;0,((IF(OR(D323="RA",D323="OA",D323="OT",D323="UN",D323="PC"),EXP(VLOOKUP(D323,'Species Codes'!B:O,14,0)+VLOOKUP(D323,'Species Codes'!B:P,15,0)*LN((E323*2.54)))-EXP(VLOOKUP(D323,'Species Codes'!B:O,14,0)+VLOOKUP(D323,'Species Codes'!B:P,15,0)*LN((E323*2.54)))*(1/(VLOOKUP(D323,'Species Codes'!B:Q,16,0)+VLOOKUP(D323,'Species Codes'!B:R,17,0)*((E323*2.54)^VLOOKUP(D323,'Species Codes'!B:S,18,0)))),IF(OR(D323="BM",D323="MD",D323="OA"),EXP(VLOOKUP(D323,'Species Codes'!B:O,14,0)+VLOOKUP(D323,'Species Codes'!B:P,15,0)*LN((E323*2.54)))*(1-(1/(VLOOKUP(D323,'Species Codes'!B:Q,16,0)+VLOOKUP(D323,'Species Codes'!B:R,17,0)*((E323*2.54)^VLOOKUP(D323,'Species Codes'!B:S,18,0)))))/1000,IF(D323="DF",EXP(VLOOKUP(D323,'Species Codes'!B:O,14,0)+VLOOKUP(D323,'Species Codes'!B:P,15,0)*LN((E323*2.54))),VLOOKUP(D323,'Species Codes'!B:O,14,0)+VLOOKUP(D323,'Species Codes'!B:P,15,0)*(((E323*2.54)/100)^2)*(I323*0.3048)))))*0.0011023),0)</f>
        <v>#N/A</v>
      </c>
      <c r="AD323" s="104" t="e">
        <f t="shared" si="166"/>
        <v>#N/A</v>
      </c>
      <c r="AE323" s="104" t="e">
        <f t="shared" si="167"/>
        <v>#N/A</v>
      </c>
      <c r="AF323" s="104" t="e">
        <f>IF(AND(VLOOKUP($D323,Merchantability!$B:$C,2,0)="Yes",$E323&gt;=VLOOKUP($D323,Merchantability!$B:$D,3,0),$E323&lt;=VLOOKUP($D323,Merchantability!$B:$E,4,0)),AA323,0)</f>
        <v>#N/A</v>
      </c>
      <c r="AG323" s="104" t="e">
        <f>IF(AND(VLOOKUP($D323,Merchantability!$B:$C,2,0)="Yes",$E323&gt;=VLOOKUP($D323,Merchantability!$B:$D,3,0),$E323&lt;=VLOOKUP($D323,Merchantability!$B:$E,4,0)),AB323,0)</f>
        <v>#N/A</v>
      </c>
      <c r="AH323" s="104" t="e">
        <f>IF(AND(VLOOKUP($D323,Merchantability!$B:$C,2,0)="Yes",$E323&gt;=VLOOKUP($D323,Merchantability!$B:$D,3,0),$E323&lt;=VLOOKUP($D323,Merchantability!$B:$E,4,0)),AC323,0)</f>
        <v>#N/A</v>
      </c>
      <c r="AI323" s="104" t="e">
        <f t="shared" si="168"/>
        <v>#N/A</v>
      </c>
      <c r="AJ323" s="104" t="e">
        <f t="shared" si="169"/>
        <v>#VALUE!</v>
      </c>
      <c r="AK323" s="104" t="e">
        <f t="shared" si="170"/>
        <v>#N/A</v>
      </c>
      <c r="AL323" s="104" t="e">
        <f t="shared" si="171"/>
        <v>#N/A</v>
      </c>
      <c r="AM323" s="104" t="e">
        <f t="shared" si="172"/>
        <v>#N/A</v>
      </c>
      <c r="AN323" s="104" t="e">
        <f t="shared" ref="AN323:AN386" si="183">AF323*$O323</f>
        <v>#N/A</v>
      </c>
      <c r="AO323" s="104" t="e">
        <f t="shared" ref="AO323:AO386" si="184">AG323*$O323</f>
        <v>#N/A</v>
      </c>
      <c r="AP323" s="104" t="e">
        <f t="shared" ref="AP323:AP386" si="185">AH323*$O323</f>
        <v>#N/A</v>
      </c>
      <c r="AQ323" s="104" t="e">
        <f t="shared" ref="AQ323:AQ386" si="186">SUM(AN323:AP323)</f>
        <v>#N/A</v>
      </c>
      <c r="AR323" s="105" t="str">
        <f t="shared" si="178"/>
        <v/>
      </c>
      <c r="AS323" s="105" t="str">
        <f t="shared" si="179"/>
        <v/>
      </c>
      <c r="AT323" s="108" t="str">
        <f t="shared" si="180"/>
        <v/>
      </c>
      <c r="AU323" s="108" t="str">
        <f t="shared" si="181"/>
        <v/>
      </c>
      <c r="AV323" s="107" t="str">
        <f>IF(ISNUMBER(O323),IF(VLOOKUP($A323,Stand!C:J,8,FALSE)="Short",AT323,AU323),"")</f>
        <v/>
      </c>
      <c r="AW323" s="109" t="str">
        <f t="shared" ref="AW323:AW386" si="187">IF(ISNUMBER(O323),AV323*O323,"")</f>
        <v/>
      </c>
      <c r="AX323" s="109" t="str">
        <f t="shared" ref="AX323:AX386" si="188">IF(ISNUMBER(O323),AW323*(1-$H323/100),"")</f>
        <v/>
      </c>
      <c r="AY323" s="112" t="str">
        <f>IF(ISNUMBER(O323),IF(AND(VLOOKUP($D323,Merchantability!$B:$C,2,0)="Yes",$E323&gt;=VLOOKUP($D323,Merchantability!$B:$D,3,0),$E323&lt;=VLOOKUP($D323,Merchantability!$B:$E,4,0)),(AV323*O323)*(1-$H323/100),""),"")</f>
        <v/>
      </c>
      <c r="AZ323" s="116"/>
      <c r="BA323" s="116"/>
      <c r="BB323" s="116"/>
      <c r="BE323" s="62"/>
      <c r="BF323" s="63"/>
    </row>
    <row r="324" spans="1:58" ht="12.75" customHeight="1" x14ac:dyDescent="0.25">
      <c r="A324" s="313"/>
      <c r="B324" s="380"/>
      <c r="C324" s="381"/>
      <c r="D324" s="380"/>
      <c r="E324" s="382"/>
      <c r="F324" s="331"/>
      <c r="G324" s="329"/>
      <c r="H324" s="329"/>
      <c r="I324" s="380"/>
      <c r="J324" s="381"/>
      <c r="K324" s="329"/>
      <c r="L324" s="329"/>
      <c r="M324" s="76"/>
      <c r="N324" s="103" t="str">
        <f>IF(A324="","",VLOOKUP(A324,Stand!C:K,9,0))</f>
        <v/>
      </c>
      <c r="O324" s="104" t="str">
        <f t="shared" si="173"/>
        <v/>
      </c>
      <c r="P324" s="105" t="str">
        <f t="shared" si="174"/>
        <v/>
      </c>
      <c r="Q324" s="105" t="str">
        <f t="shared" si="162"/>
        <v/>
      </c>
      <c r="R324" s="103" t="str">
        <f t="shared" si="175"/>
        <v/>
      </c>
      <c r="S324" s="103" t="str">
        <f t="shared" si="176"/>
        <v/>
      </c>
      <c r="T324" s="106" t="str">
        <f t="shared" si="163"/>
        <v/>
      </c>
      <c r="U324" s="106" t="str">
        <f t="shared" si="164"/>
        <v/>
      </c>
      <c r="V324" s="106" t="str">
        <f t="shared" si="165"/>
        <v/>
      </c>
      <c r="W324" s="105" t="str">
        <f t="shared" si="177"/>
        <v/>
      </c>
      <c r="X324" s="104" t="str">
        <f t="shared" si="182"/>
        <v/>
      </c>
      <c r="Y324" s="104" t="str">
        <f t="array" ref="Y324">IFERROR(IF(ISNUMBER(O324),IF(COUNT(IF(A324=$A$2:$A$2427,IF(D324=$D$2:$D$2427,IF($X$2:$X$2427&gt;0,1))))&gt;0,SUM(IF(A324=$A$2:$A$2427,IF(D324=$D$2:$D$2427,$X$2:$X$2427)))/COUNT(IF(A324=$A$2:$A$2427,IF(D324=$D$2:$D$2427,IF(ISNUMBER($X$2:$X$2427),1)))),0),""),0)</f>
        <v/>
      </c>
      <c r="Z324" s="104" t="str">
        <f>IF(ISNUMBER(O324),IF(I324&gt;0,(10^(VLOOKUP(D324,'Species Codes'!B:C,2,0)+VLOOKUP(D324,'Species Codes'!B:D,3,0)*LOG(E324)+VLOOKUP(D324,'Species Codes'!B:E,4,0)*LOG(I324))),0),"")</f>
        <v/>
      </c>
      <c r="AA324" s="104" t="str">
        <f>IFERROR((VLOOKUP(D324,'Species Codes'!B:G,6,0)*Z324)/2000,"")</f>
        <v/>
      </c>
      <c r="AB324" s="104" t="e">
        <f>IF(Z324&gt;0,((IF(OR(D324="DF",D324="RA")=TRUE,EXP(VLOOKUP(D324,'Species Codes'!B:I,8,0)+VLOOKUP(D324,'Species Codes'!B:J,9,0)*(LN((E324*2.54)))),IF(OR(D324="PY",D324="RC",D324="WH",D324="NF")=TRUE,VLOOKUP(D324,'Species Codes'!B:I,8,0)+VLOOKUP(D324,'Species Codes'!B:J,9,0)*((E324*2.54)^2)*(I324*0.3048),IF(OR(D324="MD",D324="BM",D324="GA")=TRUE,((VLOOKUP(D324,'Species Codes'!B:I,8,0)*(((((E324*2.54)+VLOOKUP(D324,'Species Codes'!B:J,9,0))/VLOOKUP(D324,'Species Codes'!B:K,10,0))^VLOOKUP(D324,'Species Codes'!B:L,11,0))*((I324*0.3048)^VLOOKUP(D324,'Species Codes'!B:M,12,0))))-(VLOOKUP(D324,'Species Codes'!B:I,8,0)*((((E324*2.54)^VLOOKUP(D324,'Species Codes'!B:L,11,0))*((I324*0.3048)^VLOOKUP(D324,'Species Codes'!B:M,12,0))))))*35.3*VLOOKUP(D324,'Species Codes'!B:G,6,0)/2.2046,VLOOKUP(D324,'Species Codes'!B:I,8,0)+VLOOKUP(D324,'Species Codes'!B:J,9,0)*(((E324*2.54)/100)^2)*(I324*0.3048)))))*0.0011023),0)</f>
        <v>#N/A</v>
      </c>
      <c r="AC324" s="104" t="e">
        <f>IF(Z324&gt;0,((IF(OR(D324="RA",D324="OA",D324="OT",D324="UN",D324="PC"),EXP(VLOOKUP(D324,'Species Codes'!B:O,14,0)+VLOOKUP(D324,'Species Codes'!B:P,15,0)*LN((E324*2.54)))-EXP(VLOOKUP(D324,'Species Codes'!B:O,14,0)+VLOOKUP(D324,'Species Codes'!B:P,15,0)*LN((E324*2.54)))*(1/(VLOOKUP(D324,'Species Codes'!B:Q,16,0)+VLOOKUP(D324,'Species Codes'!B:R,17,0)*((E324*2.54)^VLOOKUP(D324,'Species Codes'!B:S,18,0)))),IF(OR(D324="BM",D324="MD",D324="OA"),EXP(VLOOKUP(D324,'Species Codes'!B:O,14,0)+VLOOKUP(D324,'Species Codes'!B:P,15,0)*LN((E324*2.54)))*(1-(1/(VLOOKUP(D324,'Species Codes'!B:Q,16,0)+VLOOKUP(D324,'Species Codes'!B:R,17,0)*((E324*2.54)^VLOOKUP(D324,'Species Codes'!B:S,18,0)))))/1000,IF(D324="DF",EXP(VLOOKUP(D324,'Species Codes'!B:O,14,0)+VLOOKUP(D324,'Species Codes'!B:P,15,0)*LN((E324*2.54))),VLOOKUP(D324,'Species Codes'!B:O,14,0)+VLOOKUP(D324,'Species Codes'!B:P,15,0)*(((E324*2.54)/100)^2)*(I324*0.3048)))))*0.0011023),0)</f>
        <v>#N/A</v>
      </c>
      <c r="AD324" s="104" t="e">
        <f t="shared" si="166"/>
        <v>#N/A</v>
      </c>
      <c r="AE324" s="104" t="e">
        <f t="shared" si="167"/>
        <v>#N/A</v>
      </c>
      <c r="AF324" s="104" t="e">
        <f>IF(AND(VLOOKUP($D324,Merchantability!$B:$C,2,0)="Yes",$E324&gt;=VLOOKUP($D324,Merchantability!$B:$D,3,0),$E324&lt;=VLOOKUP($D324,Merchantability!$B:$E,4,0)),AA324,0)</f>
        <v>#N/A</v>
      </c>
      <c r="AG324" s="104" t="e">
        <f>IF(AND(VLOOKUP($D324,Merchantability!$B:$C,2,0)="Yes",$E324&gt;=VLOOKUP($D324,Merchantability!$B:$D,3,0),$E324&lt;=VLOOKUP($D324,Merchantability!$B:$E,4,0)),AB324,0)</f>
        <v>#N/A</v>
      </c>
      <c r="AH324" s="104" t="e">
        <f>IF(AND(VLOOKUP($D324,Merchantability!$B:$C,2,0)="Yes",$E324&gt;=VLOOKUP($D324,Merchantability!$B:$D,3,0),$E324&lt;=VLOOKUP($D324,Merchantability!$B:$E,4,0)),AC324,0)</f>
        <v>#N/A</v>
      </c>
      <c r="AI324" s="104" t="e">
        <f t="shared" si="168"/>
        <v>#N/A</v>
      </c>
      <c r="AJ324" s="104" t="e">
        <f t="shared" si="169"/>
        <v>#VALUE!</v>
      </c>
      <c r="AK324" s="104" t="e">
        <f t="shared" si="170"/>
        <v>#N/A</v>
      </c>
      <c r="AL324" s="104" t="e">
        <f t="shared" si="171"/>
        <v>#N/A</v>
      </c>
      <c r="AM324" s="104" t="e">
        <f t="shared" si="172"/>
        <v>#N/A</v>
      </c>
      <c r="AN324" s="104" t="e">
        <f t="shared" si="183"/>
        <v>#N/A</v>
      </c>
      <c r="AO324" s="104" t="e">
        <f t="shared" si="184"/>
        <v>#N/A</v>
      </c>
      <c r="AP324" s="104" t="e">
        <f t="shared" si="185"/>
        <v>#N/A</v>
      </c>
      <c r="AQ324" s="104" t="e">
        <f t="shared" si="186"/>
        <v>#N/A</v>
      </c>
      <c r="AR324" s="105" t="str">
        <f t="shared" si="178"/>
        <v/>
      </c>
      <c r="AS324" s="105" t="str">
        <f t="shared" si="179"/>
        <v/>
      </c>
      <c r="AT324" s="108" t="str">
        <f t="shared" si="180"/>
        <v/>
      </c>
      <c r="AU324" s="108" t="str">
        <f t="shared" si="181"/>
        <v/>
      </c>
      <c r="AV324" s="107" t="str">
        <f>IF(ISNUMBER(O324),IF(VLOOKUP($A324,Stand!C:J,8,FALSE)="Short",AT324,AU324),"")</f>
        <v/>
      </c>
      <c r="AW324" s="109" t="str">
        <f t="shared" si="187"/>
        <v/>
      </c>
      <c r="AX324" s="109" t="str">
        <f t="shared" si="188"/>
        <v/>
      </c>
      <c r="AY324" s="112" t="str">
        <f>IF(ISNUMBER(O324),IF(AND(VLOOKUP($D324,Merchantability!$B:$C,2,0)="Yes",$E324&gt;=VLOOKUP($D324,Merchantability!$B:$D,3,0),$E324&lt;=VLOOKUP($D324,Merchantability!$B:$E,4,0)),(AV324*O324)*(1-$H324/100),""),"")</f>
        <v/>
      </c>
      <c r="AZ324" s="116"/>
      <c r="BA324" s="116"/>
      <c r="BB324" s="116"/>
      <c r="BE324" s="62"/>
      <c r="BF324" s="63"/>
    </row>
    <row r="325" spans="1:58" ht="12.75" customHeight="1" x14ac:dyDescent="0.25">
      <c r="A325" s="313"/>
      <c r="B325" s="380"/>
      <c r="C325" s="381"/>
      <c r="D325" s="380"/>
      <c r="E325" s="382"/>
      <c r="F325" s="331"/>
      <c r="G325" s="329"/>
      <c r="H325" s="329"/>
      <c r="I325" s="380"/>
      <c r="J325" s="381"/>
      <c r="K325" s="329"/>
      <c r="L325" s="329"/>
      <c r="M325" s="76"/>
      <c r="N325" s="103" t="str">
        <f>IF(A325="","",VLOOKUP(A325,Stand!C:K,9,0))</f>
        <v/>
      </c>
      <c r="O325" s="104" t="str">
        <f t="shared" si="173"/>
        <v/>
      </c>
      <c r="P325" s="105" t="str">
        <f t="shared" si="174"/>
        <v/>
      </c>
      <c r="Q325" s="105" t="str">
        <f t="shared" si="162"/>
        <v/>
      </c>
      <c r="R325" s="103" t="str">
        <f t="shared" si="175"/>
        <v/>
      </c>
      <c r="S325" s="103" t="str">
        <f t="shared" si="176"/>
        <v/>
      </c>
      <c r="T325" s="106" t="str">
        <f t="shared" si="163"/>
        <v/>
      </c>
      <c r="U325" s="106" t="str">
        <f t="shared" si="164"/>
        <v/>
      </c>
      <c r="V325" s="106" t="str">
        <f t="shared" si="165"/>
        <v/>
      </c>
      <c r="W325" s="105" t="str">
        <f t="shared" si="177"/>
        <v/>
      </c>
      <c r="X325" s="104" t="str">
        <f t="shared" si="182"/>
        <v/>
      </c>
      <c r="Y325" s="104" t="str">
        <f t="array" ref="Y325">IFERROR(IF(ISNUMBER(O325),IF(COUNT(IF(A325=$A$2:$A$2427,IF(D325=$D$2:$D$2427,IF($X$2:$X$2427&gt;0,1))))&gt;0,SUM(IF(A325=$A$2:$A$2427,IF(D325=$D$2:$D$2427,$X$2:$X$2427)))/COUNT(IF(A325=$A$2:$A$2427,IF(D325=$D$2:$D$2427,IF(ISNUMBER($X$2:$X$2427),1)))),0),""),0)</f>
        <v/>
      </c>
      <c r="Z325" s="104" t="str">
        <f>IF(ISNUMBER(O325),IF(I325&gt;0,(10^(VLOOKUP(D325,'Species Codes'!B:C,2,0)+VLOOKUP(D325,'Species Codes'!B:D,3,0)*LOG(E325)+VLOOKUP(D325,'Species Codes'!B:E,4,0)*LOG(I325))),0),"")</f>
        <v/>
      </c>
      <c r="AA325" s="104" t="str">
        <f>IFERROR((VLOOKUP(D325,'Species Codes'!B:G,6,0)*Z325)/2000,"")</f>
        <v/>
      </c>
      <c r="AB325" s="104" t="e">
        <f>IF(Z325&gt;0,((IF(OR(D325="DF",D325="RA")=TRUE,EXP(VLOOKUP(D325,'Species Codes'!B:I,8,0)+VLOOKUP(D325,'Species Codes'!B:J,9,0)*(LN((E325*2.54)))),IF(OR(D325="PY",D325="RC",D325="WH",D325="NF")=TRUE,VLOOKUP(D325,'Species Codes'!B:I,8,0)+VLOOKUP(D325,'Species Codes'!B:J,9,0)*((E325*2.54)^2)*(I325*0.3048),IF(OR(D325="MD",D325="BM",D325="GA")=TRUE,((VLOOKUP(D325,'Species Codes'!B:I,8,0)*(((((E325*2.54)+VLOOKUP(D325,'Species Codes'!B:J,9,0))/VLOOKUP(D325,'Species Codes'!B:K,10,0))^VLOOKUP(D325,'Species Codes'!B:L,11,0))*((I325*0.3048)^VLOOKUP(D325,'Species Codes'!B:M,12,0))))-(VLOOKUP(D325,'Species Codes'!B:I,8,0)*((((E325*2.54)^VLOOKUP(D325,'Species Codes'!B:L,11,0))*((I325*0.3048)^VLOOKUP(D325,'Species Codes'!B:M,12,0))))))*35.3*VLOOKUP(D325,'Species Codes'!B:G,6,0)/2.2046,VLOOKUP(D325,'Species Codes'!B:I,8,0)+VLOOKUP(D325,'Species Codes'!B:J,9,0)*(((E325*2.54)/100)^2)*(I325*0.3048)))))*0.0011023),0)</f>
        <v>#N/A</v>
      </c>
      <c r="AC325" s="104" t="e">
        <f>IF(Z325&gt;0,((IF(OR(D325="RA",D325="OA",D325="OT",D325="UN",D325="PC"),EXP(VLOOKUP(D325,'Species Codes'!B:O,14,0)+VLOOKUP(D325,'Species Codes'!B:P,15,0)*LN((E325*2.54)))-EXP(VLOOKUP(D325,'Species Codes'!B:O,14,0)+VLOOKUP(D325,'Species Codes'!B:P,15,0)*LN((E325*2.54)))*(1/(VLOOKUP(D325,'Species Codes'!B:Q,16,0)+VLOOKUP(D325,'Species Codes'!B:R,17,0)*((E325*2.54)^VLOOKUP(D325,'Species Codes'!B:S,18,0)))),IF(OR(D325="BM",D325="MD",D325="OA"),EXP(VLOOKUP(D325,'Species Codes'!B:O,14,0)+VLOOKUP(D325,'Species Codes'!B:P,15,0)*LN((E325*2.54)))*(1-(1/(VLOOKUP(D325,'Species Codes'!B:Q,16,0)+VLOOKUP(D325,'Species Codes'!B:R,17,0)*((E325*2.54)^VLOOKUP(D325,'Species Codes'!B:S,18,0)))))/1000,IF(D325="DF",EXP(VLOOKUP(D325,'Species Codes'!B:O,14,0)+VLOOKUP(D325,'Species Codes'!B:P,15,0)*LN((E325*2.54))),VLOOKUP(D325,'Species Codes'!B:O,14,0)+VLOOKUP(D325,'Species Codes'!B:P,15,0)*(((E325*2.54)/100)^2)*(I325*0.3048)))))*0.0011023),0)</f>
        <v>#N/A</v>
      </c>
      <c r="AD325" s="104" t="e">
        <f t="shared" si="166"/>
        <v>#N/A</v>
      </c>
      <c r="AE325" s="104" t="e">
        <f t="shared" si="167"/>
        <v>#N/A</v>
      </c>
      <c r="AF325" s="104" t="e">
        <f>IF(AND(VLOOKUP($D325,Merchantability!$B:$C,2,0)="Yes",$E325&gt;=VLOOKUP($D325,Merchantability!$B:$D,3,0),$E325&lt;=VLOOKUP($D325,Merchantability!$B:$E,4,0)),AA325,0)</f>
        <v>#N/A</v>
      </c>
      <c r="AG325" s="104" t="e">
        <f>IF(AND(VLOOKUP($D325,Merchantability!$B:$C,2,0)="Yes",$E325&gt;=VLOOKUP($D325,Merchantability!$B:$D,3,0),$E325&lt;=VLOOKUP($D325,Merchantability!$B:$E,4,0)),AB325,0)</f>
        <v>#N/A</v>
      </c>
      <c r="AH325" s="104" t="e">
        <f>IF(AND(VLOOKUP($D325,Merchantability!$B:$C,2,0)="Yes",$E325&gt;=VLOOKUP($D325,Merchantability!$B:$D,3,0),$E325&lt;=VLOOKUP($D325,Merchantability!$B:$E,4,0)),AC325,0)</f>
        <v>#N/A</v>
      </c>
      <c r="AI325" s="104" t="e">
        <f t="shared" si="168"/>
        <v>#N/A</v>
      </c>
      <c r="AJ325" s="104" t="e">
        <f t="shared" si="169"/>
        <v>#VALUE!</v>
      </c>
      <c r="AK325" s="104" t="e">
        <f t="shared" si="170"/>
        <v>#N/A</v>
      </c>
      <c r="AL325" s="104" t="e">
        <f t="shared" si="171"/>
        <v>#N/A</v>
      </c>
      <c r="AM325" s="104" t="e">
        <f t="shared" si="172"/>
        <v>#N/A</v>
      </c>
      <c r="AN325" s="104" t="e">
        <f t="shared" si="183"/>
        <v>#N/A</v>
      </c>
      <c r="AO325" s="104" t="e">
        <f t="shared" si="184"/>
        <v>#N/A</v>
      </c>
      <c r="AP325" s="104" t="e">
        <f t="shared" si="185"/>
        <v>#N/A</v>
      </c>
      <c r="AQ325" s="104" t="e">
        <f t="shared" si="186"/>
        <v>#N/A</v>
      </c>
      <c r="AR325" s="105" t="str">
        <f t="shared" si="178"/>
        <v/>
      </c>
      <c r="AS325" s="105" t="str">
        <f t="shared" si="179"/>
        <v/>
      </c>
      <c r="AT325" s="108" t="str">
        <f t="shared" si="180"/>
        <v/>
      </c>
      <c r="AU325" s="108" t="str">
        <f t="shared" si="181"/>
        <v/>
      </c>
      <c r="AV325" s="107" t="str">
        <f>IF(ISNUMBER(O325),IF(VLOOKUP($A325,Stand!C:J,8,FALSE)="Short",AT325,AU325),"")</f>
        <v/>
      </c>
      <c r="AW325" s="109" t="str">
        <f t="shared" si="187"/>
        <v/>
      </c>
      <c r="AX325" s="109" t="str">
        <f t="shared" si="188"/>
        <v/>
      </c>
      <c r="AY325" s="112" t="str">
        <f>IF(ISNUMBER(O325),IF(AND(VLOOKUP($D325,Merchantability!$B:$C,2,0)="Yes",$E325&gt;=VLOOKUP($D325,Merchantability!$B:$D,3,0),$E325&lt;=VLOOKUP($D325,Merchantability!$B:$E,4,0)),(AV325*O325)*(1-$H325/100),""),"")</f>
        <v/>
      </c>
      <c r="AZ325" s="116"/>
      <c r="BA325" s="116"/>
      <c r="BB325" s="116"/>
      <c r="BE325" s="62"/>
      <c r="BF325" s="63"/>
    </row>
    <row r="326" spans="1:58" ht="12.75" customHeight="1" x14ac:dyDescent="0.25">
      <c r="A326" s="313"/>
      <c r="B326" s="380"/>
      <c r="C326" s="381"/>
      <c r="D326" s="380"/>
      <c r="E326" s="382"/>
      <c r="F326" s="331"/>
      <c r="G326" s="329"/>
      <c r="H326" s="329"/>
      <c r="I326" s="380"/>
      <c r="J326" s="381"/>
      <c r="K326" s="329"/>
      <c r="L326" s="329"/>
      <c r="M326" s="76"/>
      <c r="N326" s="103" t="str">
        <f>IF(A326="","",VLOOKUP(A326,Stand!C:K,9,0))</f>
        <v/>
      </c>
      <c r="O326" s="104" t="str">
        <f t="shared" si="173"/>
        <v/>
      </c>
      <c r="P326" s="105" t="str">
        <f t="shared" si="174"/>
        <v/>
      </c>
      <c r="Q326" s="105" t="str">
        <f t="shared" si="162"/>
        <v/>
      </c>
      <c r="R326" s="103" t="str">
        <f t="shared" si="175"/>
        <v/>
      </c>
      <c r="S326" s="103" t="str">
        <f t="shared" si="176"/>
        <v/>
      </c>
      <c r="T326" s="106" t="str">
        <f t="shared" si="163"/>
        <v/>
      </c>
      <c r="U326" s="106" t="str">
        <f t="shared" si="164"/>
        <v/>
      </c>
      <c r="V326" s="106" t="str">
        <f t="shared" si="165"/>
        <v/>
      </c>
      <c r="W326" s="105" t="str">
        <f t="shared" si="177"/>
        <v/>
      </c>
      <c r="X326" s="104" t="str">
        <f t="shared" si="182"/>
        <v/>
      </c>
      <c r="Y326" s="104" t="str">
        <f t="array" ref="Y326">IFERROR(IF(ISNUMBER(O326),IF(COUNT(IF(A326=$A$2:$A$2427,IF(D326=$D$2:$D$2427,IF($X$2:$X$2427&gt;0,1))))&gt;0,SUM(IF(A326=$A$2:$A$2427,IF(D326=$D$2:$D$2427,$X$2:$X$2427)))/COUNT(IF(A326=$A$2:$A$2427,IF(D326=$D$2:$D$2427,IF(ISNUMBER($X$2:$X$2427),1)))),0),""),0)</f>
        <v/>
      </c>
      <c r="Z326" s="104" t="str">
        <f>IF(ISNUMBER(O326),IF(I326&gt;0,(10^(VLOOKUP(D326,'Species Codes'!B:C,2,0)+VLOOKUP(D326,'Species Codes'!B:D,3,0)*LOG(E326)+VLOOKUP(D326,'Species Codes'!B:E,4,0)*LOG(I326))),0),"")</f>
        <v/>
      </c>
      <c r="AA326" s="104" t="str">
        <f>IFERROR((VLOOKUP(D326,'Species Codes'!B:G,6,0)*Z326)/2000,"")</f>
        <v/>
      </c>
      <c r="AB326" s="104" t="e">
        <f>IF(Z326&gt;0,((IF(OR(D326="DF",D326="RA")=TRUE,EXP(VLOOKUP(D326,'Species Codes'!B:I,8,0)+VLOOKUP(D326,'Species Codes'!B:J,9,0)*(LN((E326*2.54)))),IF(OR(D326="PY",D326="RC",D326="WH",D326="NF")=TRUE,VLOOKUP(D326,'Species Codes'!B:I,8,0)+VLOOKUP(D326,'Species Codes'!B:J,9,0)*((E326*2.54)^2)*(I326*0.3048),IF(OR(D326="MD",D326="BM",D326="GA")=TRUE,((VLOOKUP(D326,'Species Codes'!B:I,8,0)*(((((E326*2.54)+VLOOKUP(D326,'Species Codes'!B:J,9,0))/VLOOKUP(D326,'Species Codes'!B:K,10,0))^VLOOKUP(D326,'Species Codes'!B:L,11,0))*((I326*0.3048)^VLOOKUP(D326,'Species Codes'!B:M,12,0))))-(VLOOKUP(D326,'Species Codes'!B:I,8,0)*((((E326*2.54)^VLOOKUP(D326,'Species Codes'!B:L,11,0))*((I326*0.3048)^VLOOKUP(D326,'Species Codes'!B:M,12,0))))))*35.3*VLOOKUP(D326,'Species Codes'!B:G,6,0)/2.2046,VLOOKUP(D326,'Species Codes'!B:I,8,0)+VLOOKUP(D326,'Species Codes'!B:J,9,0)*(((E326*2.54)/100)^2)*(I326*0.3048)))))*0.0011023),0)</f>
        <v>#N/A</v>
      </c>
      <c r="AC326" s="104" t="e">
        <f>IF(Z326&gt;0,((IF(OR(D326="RA",D326="OA",D326="OT",D326="UN",D326="PC"),EXP(VLOOKUP(D326,'Species Codes'!B:O,14,0)+VLOOKUP(D326,'Species Codes'!B:P,15,0)*LN((E326*2.54)))-EXP(VLOOKUP(D326,'Species Codes'!B:O,14,0)+VLOOKUP(D326,'Species Codes'!B:P,15,0)*LN((E326*2.54)))*(1/(VLOOKUP(D326,'Species Codes'!B:Q,16,0)+VLOOKUP(D326,'Species Codes'!B:R,17,0)*((E326*2.54)^VLOOKUP(D326,'Species Codes'!B:S,18,0)))),IF(OR(D326="BM",D326="MD",D326="OA"),EXP(VLOOKUP(D326,'Species Codes'!B:O,14,0)+VLOOKUP(D326,'Species Codes'!B:P,15,0)*LN((E326*2.54)))*(1-(1/(VLOOKUP(D326,'Species Codes'!B:Q,16,0)+VLOOKUP(D326,'Species Codes'!B:R,17,0)*((E326*2.54)^VLOOKUP(D326,'Species Codes'!B:S,18,0)))))/1000,IF(D326="DF",EXP(VLOOKUP(D326,'Species Codes'!B:O,14,0)+VLOOKUP(D326,'Species Codes'!B:P,15,0)*LN((E326*2.54))),VLOOKUP(D326,'Species Codes'!B:O,14,0)+VLOOKUP(D326,'Species Codes'!B:P,15,0)*(((E326*2.54)/100)^2)*(I326*0.3048)))))*0.0011023),0)</f>
        <v>#N/A</v>
      </c>
      <c r="AD326" s="104" t="e">
        <f t="shared" si="166"/>
        <v>#N/A</v>
      </c>
      <c r="AE326" s="104" t="e">
        <f t="shared" si="167"/>
        <v>#N/A</v>
      </c>
      <c r="AF326" s="104" t="e">
        <f>IF(AND(VLOOKUP($D326,Merchantability!$B:$C,2,0)="Yes",$E326&gt;=VLOOKUP($D326,Merchantability!$B:$D,3,0),$E326&lt;=VLOOKUP($D326,Merchantability!$B:$E,4,0)),AA326,0)</f>
        <v>#N/A</v>
      </c>
      <c r="AG326" s="104" t="e">
        <f>IF(AND(VLOOKUP($D326,Merchantability!$B:$C,2,0)="Yes",$E326&gt;=VLOOKUP($D326,Merchantability!$B:$D,3,0),$E326&lt;=VLOOKUP($D326,Merchantability!$B:$E,4,0)),AB326,0)</f>
        <v>#N/A</v>
      </c>
      <c r="AH326" s="104" t="e">
        <f>IF(AND(VLOOKUP($D326,Merchantability!$B:$C,2,0)="Yes",$E326&gt;=VLOOKUP($D326,Merchantability!$B:$D,3,0),$E326&lt;=VLOOKUP($D326,Merchantability!$B:$E,4,0)),AC326,0)</f>
        <v>#N/A</v>
      </c>
      <c r="AI326" s="104" t="e">
        <f t="shared" si="168"/>
        <v>#N/A</v>
      </c>
      <c r="AJ326" s="104" t="e">
        <f t="shared" si="169"/>
        <v>#VALUE!</v>
      </c>
      <c r="AK326" s="104" t="e">
        <f t="shared" si="170"/>
        <v>#N/A</v>
      </c>
      <c r="AL326" s="104" t="e">
        <f t="shared" si="171"/>
        <v>#N/A</v>
      </c>
      <c r="AM326" s="104" t="e">
        <f t="shared" si="172"/>
        <v>#N/A</v>
      </c>
      <c r="AN326" s="104" t="e">
        <f t="shared" si="183"/>
        <v>#N/A</v>
      </c>
      <c r="AO326" s="104" t="e">
        <f t="shared" si="184"/>
        <v>#N/A</v>
      </c>
      <c r="AP326" s="104" t="e">
        <f t="shared" si="185"/>
        <v>#N/A</v>
      </c>
      <c r="AQ326" s="104" t="e">
        <f t="shared" si="186"/>
        <v>#N/A</v>
      </c>
      <c r="AR326" s="105" t="str">
        <f t="shared" si="178"/>
        <v/>
      </c>
      <c r="AS326" s="105" t="str">
        <f t="shared" si="179"/>
        <v/>
      </c>
      <c r="AT326" s="108" t="str">
        <f t="shared" si="180"/>
        <v/>
      </c>
      <c r="AU326" s="108" t="str">
        <f t="shared" si="181"/>
        <v/>
      </c>
      <c r="AV326" s="107" t="str">
        <f>IF(ISNUMBER(O326),IF(VLOOKUP($A326,Stand!C:J,8,FALSE)="Short",AT326,AU326),"")</f>
        <v/>
      </c>
      <c r="AW326" s="109" t="str">
        <f t="shared" si="187"/>
        <v/>
      </c>
      <c r="AX326" s="109" t="str">
        <f t="shared" si="188"/>
        <v/>
      </c>
      <c r="AY326" s="112" t="str">
        <f>IF(ISNUMBER(O326),IF(AND(VLOOKUP($D326,Merchantability!$B:$C,2,0)="Yes",$E326&gt;=VLOOKUP($D326,Merchantability!$B:$D,3,0),$E326&lt;=VLOOKUP($D326,Merchantability!$B:$E,4,0)),(AV326*O326)*(1-$H326/100),""),"")</f>
        <v/>
      </c>
      <c r="AZ326" s="116"/>
      <c r="BA326" s="116"/>
      <c r="BB326" s="116"/>
      <c r="BE326" s="62"/>
      <c r="BF326" s="63"/>
    </row>
    <row r="327" spans="1:58" ht="12.75" customHeight="1" x14ac:dyDescent="0.25">
      <c r="A327" s="313"/>
      <c r="B327" s="380"/>
      <c r="C327" s="381"/>
      <c r="D327" s="380"/>
      <c r="E327" s="382"/>
      <c r="F327" s="331"/>
      <c r="G327" s="329"/>
      <c r="H327" s="329"/>
      <c r="I327" s="380"/>
      <c r="J327" s="381"/>
      <c r="K327" s="329"/>
      <c r="L327" s="329"/>
      <c r="M327" s="76"/>
      <c r="N327" s="103" t="str">
        <f>IF(A327="","",VLOOKUP(A327,Stand!C:K,9,0))</f>
        <v/>
      </c>
      <c r="O327" s="104" t="str">
        <f t="shared" si="173"/>
        <v/>
      </c>
      <c r="P327" s="105" t="str">
        <f t="shared" si="174"/>
        <v/>
      </c>
      <c r="Q327" s="105" t="str">
        <f t="shared" si="162"/>
        <v/>
      </c>
      <c r="R327" s="103" t="str">
        <f t="shared" si="175"/>
        <v/>
      </c>
      <c r="S327" s="103" t="str">
        <f t="shared" si="176"/>
        <v/>
      </c>
      <c r="T327" s="106" t="str">
        <f t="shared" si="163"/>
        <v/>
      </c>
      <c r="U327" s="106" t="str">
        <f t="shared" si="164"/>
        <v/>
      </c>
      <c r="V327" s="106" t="str">
        <f t="shared" si="165"/>
        <v/>
      </c>
      <c r="W327" s="105" t="str">
        <f t="shared" si="177"/>
        <v/>
      </c>
      <c r="X327" s="104" t="str">
        <f t="shared" si="182"/>
        <v/>
      </c>
      <c r="Y327" s="104" t="str">
        <f t="array" ref="Y327">IFERROR(IF(ISNUMBER(O327),IF(COUNT(IF(A327=$A$2:$A$2427,IF(D327=$D$2:$D$2427,IF($X$2:$X$2427&gt;0,1))))&gt;0,SUM(IF(A327=$A$2:$A$2427,IF(D327=$D$2:$D$2427,$X$2:$X$2427)))/COUNT(IF(A327=$A$2:$A$2427,IF(D327=$D$2:$D$2427,IF(ISNUMBER($X$2:$X$2427),1)))),0),""),0)</f>
        <v/>
      </c>
      <c r="Z327" s="104" t="str">
        <f>IF(ISNUMBER(O327),IF(I327&gt;0,(10^(VLOOKUP(D327,'Species Codes'!B:C,2,0)+VLOOKUP(D327,'Species Codes'!B:D,3,0)*LOG(E327)+VLOOKUP(D327,'Species Codes'!B:E,4,0)*LOG(I327))),0),"")</f>
        <v/>
      </c>
      <c r="AA327" s="104" t="str">
        <f>IFERROR((VLOOKUP(D327,'Species Codes'!B:G,6,0)*Z327)/2000,"")</f>
        <v/>
      </c>
      <c r="AB327" s="104" t="e">
        <f>IF(Z327&gt;0,((IF(OR(D327="DF",D327="RA")=TRUE,EXP(VLOOKUP(D327,'Species Codes'!B:I,8,0)+VLOOKUP(D327,'Species Codes'!B:J,9,0)*(LN((E327*2.54)))),IF(OR(D327="PY",D327="RC",D327="WH",D327="NF")=TRUE,VLOOKUP(D327,'Species Codes'!B:I,8,0)+VLOOKUP(D327,'Species Codes'!B:J,9,0)*((E327*2.54)^2)*(I327*0.3048),IF(OR(D327="MD",D327="BM",D327="GA")=TRUE,((VLOOKUP(D327,'Species Codes'!B:I,8,0)*(((((E327*2.54)+VLOOKUP(D327,'Species Codes'!B:J,9,0))/VLOOKUP(D327,'Species Codes'!B:K,10,0))^VLOOKUP(D327,'Species Codes'!B:L,11,0))*((I327*0.3048)^VLOOKUP(D327,'Species Codes'!B:M,12,0))))-(VLOOKUP(D327,'Species Codes'!B:I,8,0)*((((E327*2.54)^VLOOKUP(D327,'Species Codes'!B:L,11,0))*((I327*0.3048)^VLOOKUP(D327,'Species Codes'!B:M,12,0))))))*35.3*VLOOKUP(D327,'Species Codes'!B:G,6,0)/2.2046,VLOOKUP(D327,'Species Codes'!B:I,8,0)+VLOOKUP(D327,'Species Codes'!B:J,9,0)*(((E327*2.54)/100)^2)*(I327*0.3048)))))*0.0011023),0)</f>
        <v>#N/A</v>
      </c>
      <c r="AC327" s="104" t="e">
        <f>IF(Z327&gt;0,((IF(OR(D327="RA",D327="OA",D327="OT",D327="UN",D327="PC"),EXP(VLOOKUP(D327,'Species Codes'!B:O,14,0)+VLOOKUP(D327,'Species Codes'!B:P,15,0)*LN((E327*2.54)))-EXP(VLOOKUP(D327,'Species Codes'!B:O,14,0)+VLOOKUP(D327,'Species Codes'!B:P,15,0)*LN((E327*2.54)))*(1/(VLOOKUP(D327,'Species Codes'!B:Q,16,0)+VLOOKUP(D327,'Species Codes'!B:R,17,0)*((E327*2.54)^VLOOKUP(D327,'Species Codes'!B:S,18,0)))),IF(OR(D327="BM",D327="MD",D327="OA"),EXP(VLOOKUP(D327,'Species Codes'!B:O,14,0)+VLOOKUP(D327,'Species Codes'!B:P,15,0)*LN((E327*2.54)))*(1-(1/(VLOOKUP(D327,'Species Codes'!B:Q,16,0)+VLOOKUP(D327,'Species Codes'!B:R,17,0)*((E327*2.54)^VLOOKUP(D327,'Species Codes'!B:S,18,0)))))/1000,IF(D327="DF",EXP(VLOOKUP(D327,'Species Codes'!B:O,14,0)+VLOOKUP(D327,'Species Codes'!B:P,15,0)*LN((E327*2.54))),VLOOKUP(D327,'Species Codes'!B:O,14,0)+VLOOKUP(D327,'Species Codes'!B:P,15,0)*(((E327*2.54)/100)^2)*(I327*0.3048)))))*0.0011023),0)</f>
        <v>#N/A</v>
      </c>
      <c r="AD327" s="104" t="e">
        <f t="shared" si="166"/>
        <v>#N/A</v>
      </c>
      <c r="AE327" s="104" t="e">
        <f t="shared" si="167"/>
        <v>#N/A</v>
      </c>
      <c r="AF327" s="104" t="e">
        <f>IF(AND(VLOOKUP($D327,Merchantability!$B:$C,2,0)="Yes",$E327&gt;=VLOOKUP($D327,Merchantability!$B:$D,3,0),$E327&lt;=VLOOKUP($D327,Merchantability!$B:$E,4,0)),AA327,0)</f>
        <v>#N/A</v>
      </c>
      <c r="AG327" s="104" t="e">
        <f>IF(AND(VLOOKUP($D327,Merchantability!$B:$C,2,0)="Yes",$E327&gt;=VLOOKUP($D327,Merchantability!$B:$D,3,0),$E327&lt;=VLOOKUP($D327,Merchantability!$B:$E,4,0)),AB327,0)</f>
        <v>#N/A</v>
      </c>
      <c r="AH327" s="104" t="e">
        <f>IF(AND(VLOOKUP($D327,Merchantability!$B:$C,2,0)="Yes",$E327&gt;=VLOOKUP($D327,Merchantability!$B:$D,3,0),$E327&lt;=VLOOKUP($D327,Merchantability!$B:$E,4,0)),AC327,0)</f>
        <v>#N/A</v>
      </c>
      <c r="AI327" s="104" t="e">
        <f t="shared" si="168"/>
        <v>#N/A</v>
      </c>
      <c r="AJ327" s="104" t="e">
        <f t="shared" si="169"/>
        <v>#VALUE!</v>
      </c>
      <c r="AK327" s="104" t="e">
        <f t="shared" si="170"/>
        <v>#N/A</v>
      </c>
      <c r="AL327" s="104" t="e">
        <f t="shared" si="171"/>
        <v>#N/A</v>
      </c>
      <c r="AM327" s="104" t="e">
        <f t="shared" si="172"/>
        <v>#N/A</v>
      </c>
      <c r="AN327" s="104" t="e">
        <f t="shared" si="183"/>
        <v>#N/A</v>
      </c>
      <c r="AO327" s="104" t="e">
        <f t="shared" si="184"/>
        <v>#N/A</v>
      </c>
      <c r="AP327" s="104" t="e">
        <f t="shared" si="185"/>
        <v>#N/A</v>
      </c>
      <c r="AQ327" s="104" t="e">
        <f t="shared" si="186"/>
        <v>#N/A</v>
      </c>
      <c r="AR327" s="105" t="str">
        <f t="shared" si="178"/>
        <v/>
      </c>
      <c r="AS327" s="105" t="str">
        <f t="shared" si="179"/>
        <v/>
      </c>
      <c r="AT327" s="108" t="str">
        <f t="shared" si="180"/>
        <v/>
      </c>
      <c r="AU327" s="108" t="str">
        <f t="shared" si="181"/>
        <v/>
      </c>
      <c r="AV327" s="107" t="str">
        <f>IF(ISNUMBER(O327),IF(VLOOKUP($A327,Stand!C:J,8,FALSE)="Short",AT327,AU327),"")</f>
        <v/>
      </c>
      <c r="AW327" s="109" t="str">
        <f t="shared" si="187"/>
        <v/>
      </c>
      <c r="AX327" s="109" t="str">
        <f t="shared" si="188"/>
        <v/>
      </c>
      <c r="AY327" s="112" t="str">
        <f>IF(ISNUMBER(O327),IF(AND(VLOOKUP($D327,Merchantability!$B:$C,2,0)="Yes",$E327&gt;=VLOOKUP($D327,Merchantability!$B:$D,3,0),$E327&lt;=VLOOKUP($D327,Merchantability!$B:$E,4,0)),(AV327*O327)*(1-$H327/100),""),"")</f>
        <v/>
      </c>
      <c r="AZ327" s="116"/>
      <c r="BA327" s="116"/>
      <c r="BB327" s="116"/>
      <c r="BE327" s="62"/>
      <c r="BF327" s="63"/>
    </row>
    <row r="328" spans="1:58" ht="12.75" customHeight="1" x14ac:dyDescent="0.25">
      <c r="A328" s="313"/>
      <c r="B328" s="380"/>
      <c r="C328" s="381"/>
      <c r="D328" s="380"/>
      <c r="E328" s="382"/>
      <c r="F328" s="331"/>
      <c r="G328" s="329"/>
      <c r="H328" s="329"/>
      <c r="I328" s="380"/>
      <c r="J328" s="381"/>
      <c r="K328" s="329"/>
      <c r="L328" s="329"/>
      <c r="M328" s="76"/>
      <c r="N328" s="103" t="str">
        <f>IF(A328="","",VLOOKUP(A328,Stand!C:K,9,0))</f>
        <v/>
      </c>
      <c r="O328" s="104" t="str">
        <f t="shared" si="173"/>
        <v/>
      </c>
      <c r="P328" s="105" t="str">
        <f t="shared" si="174"/>
        <v/>
      </c>
      <c r="Q328" s="105" t="str">
        <f t="shared" si="162"/>
        <v/>
      </c>
      <c r="R328" s="103" t="str">
        <f t="shared" si="175"/>
        <v/>
      </c>
      <c r="S328" s="103" t="str">
        <f t="shared" si="176"/>
        <v/>
      </c>
      <c r="T328" s="106" t="str">
        <f t="shared" si="163"/>
        <v/>
      </c>
      <c r="U328" s="106" t="str">
        <f t="shared" si="164"/>
        <v/>
      </c>
      <c r="V328" s="106" t="str">
        <f t="shared" si="165"/>
        <v/>
      </c>
      <c r="W328" s="105" t="str">
        <f t="shared" si="177"/>
        <v/>
      </c>
      <c r="X328" s="104" t="str">
        <f t="shared" si="182"/>
        <v/>
      </c>
      <c r="Y328" s="104" t="str">
        <f t="array" ref="Y328">IFERROR(IF(ISNUMBER(O328),IF(COUNT(IF(A328=$A$2:$A$2427,IF(D328=$D$2:$D$2427,IF($X$2:$X$2427&gt;0,1))))&gt;0,SUM(IF(A328=$A$2:$A$2427,IF(D328=$D$2:$D$2427,$X$2:$X$2427)))/COUNT(IF(A328=$A$2:$A$2427,IF(D328=$D$2:$D$2427,IF(ISNUMBER($X$2:$X$2427),1)))),0),""),0)</f>
        <v/>
      </c>
      <c r="Z328" s="104" t="str">
        <f>IF(ISNUMBER(O328),IF(I328&gt;0,(10^(VLOOKUP(D328,'Species Codes'!B:C,2,0)+VLOOKUP(D328,'Species Codes'!B:D,3,0)*LOG(E328)+VLOOKUP(D328,'Species Codes'!B:E,4,0)*LOG(I328))),0),"")</f>
        <v/>
      </c>
      <c r="AA328" s="104" t="str">
        <f>IFERROR((VLOOKUP(D328,'Species Codes'!B:G,6,0)*Z328)/2000,"")</f>
        <v/>
      </c>
      <c r="AB328" s="104" t="e">
        <f>IF(Z328&gt;0,((IF(OR(D328="DF",D328="RA")=TRUE,EXP(VLOOKUP(D328,'Species Codes'!B:I,8,0)+VLOOKUP(D328,'Species Codes'!B:J,9,0)*(LN((E328*2.54)))),IF(OR(D328="PY",D328="RC",D328="WH",D328="NF")=TRUE,VLOOKUP(D328,'Species Codes'!B:I,8,0)+VLOOKUP(D328,'Species Codes'!B:J,9,0)*((E328*2.54)^2)*(I328*0.3048),IF(OR(D328="MD",D328="BM",D328="GA")=TRUE,((VLOOKUP(D328,'Species Codes'!B:I,8,0)*(((((E328*2.54)+VLOOKUP(D328,'Species Codes'!B:J,9,0))/VLOOKUP(D328,'Species Codes'!B:K,10,0))^VLOOKUP(D328,'Species Codes'!B:L,11,0))*((I328*0.3048)^VLOOKUP(D328,'Species Codes'!B:M,12,0))))-(VLOOKUP(D328,'Species Codes'!B:I,8,0)*((((E328*2.54)^VLOOKUP(D328,'Species Codes'!B:L,11,0))*((I328*0.3048)^VLOOKUP(D328,'Species Codes'!B:M,12,0))))))*35.3*VLOOKUP(D328,'Species Codes'!B:G,6,0)/2.2046,VLOOKUP(D328,'Species Codes'!B:I,8,0)+VLOOKUP(D328,'Species Codes'!B:J,9,0)*(((E328*2.54)/100)^2)*(I328*0.3048)))))*0.0011023),0)</f>
        <v>#N/A</v>
      </c>
      <c r="AC328" s="104" t="e">
        <f>IF(Z328&gt;0,((IF(OR(D328="RA",D328="OA",D328="OT",D328="UN",D328="PC"),EXP(VLOOKUP(D328,'Species Codes'!B:O,14,0)+VLOOKUP(D328,'Species Codes'!B:P,15,0)*LN((E328*2.54)))-EXP(VLOOKUP(D328,'Species Codes'!B:O,14,0)+VLOOKUP(D328,'Species Codes'!B:P,15,0)*LN((E328*2.54)))*(1/(VLOOKUP(D328,'Species Codes'!B:Q,16,0)+VLOOKUP(D328,'Species Codes'!B:R,17,0)*((E328*2.54)^VLOOKUP(D328,'Species Codes'!B:S,18,0)))),IF(OR(D328="BM",D328="MD",D328="OA"),EXP(VLOOKUP(D328,'Species Codes'!B:O,14,0)+VLOOKUP(D328,'Species Codes'!B:P,15,0)*LN((E328*2.54)))*(1-(1/(VLOOKUP(D328,'Species Codes'!B:Q,16,0)+VLOOKUP(D328,'Species Codes'!B:R,17,0)*((E328*2.54)^VLOOKUP(D328,'Species Codes'!B:S,18,0)))))/1000,IF(D328="DF",EXP(VLOOKUP(D328,'Species Codes'!B:O,14,0)+VLOOKUP(D328,'Species Codes'!B:P,15,0)*LN((E328*2.54))),VLOOKUP(D328,'Species Codes'!B:O,14,0)+VLOOKUP(D328,'Species Codes'!B:P,15,0)*(((E328*2.54)/100)^2)*(I328*0.3048)))))*0.0011023),0)</f>
        <v>#N/A</v>
      </c>
      <c r="AD328" s="104" t="e">
        <f t="shared" si="166"/>
        <v>#N/A</v>
      </c>
      <c r="AE328" s="104" t="e">
        <f t="shared" si="167"/>
        <v>#N/A</v>
      </c>
      <c r="AF328" s="104" t="e">
        <f>IF(AND(VLOOKUP($D328,Merchantability!$B:$C,2,0)="Yes",$E328&gt;=VLOOKUP($D328,Merchantability!$B:$D,3,0),$E328&lt;=VLOOKUP($D328,Merchantability!$B:$E,4,0)),AA328,0)</f>
        <v>#N/A</v>
      </c>
      <c r="AG328" s="104" t="e">
        <f>IF(AND(VLOOKUP($D328,Merchantability!$B:$C,2,0)="Yes",$E328&gt;=VLOOKUP($D328,Merchantability!$B:$D,3,0),$E328&lt;=VLOOKUP($D328,Merchantability!$B:$E,4,0)),AB328,0)</f>
        <v>#N/A</v>
      </c>
      <c r="AH328" s="104" t="e">
        <f>IF(AND(VLOOKUP($D328,Merchantability!$B:$C,2,0)="Yes",$E328&gt;=VLOOKUP($D328,Merchantability!$B:$D,3,0),$E328&lt;=VLOOKUP($D328,Merchantability!$B:$E,4,0)),AC328,0)</f>
        <v>#N/A</v>
      </c>
      <c r="AI328" s="104" t="e">
        <f t="shared" si="168"/>
        <v>#N/A</v>
      </c>
      <c r="AJ328" s="104" t="e">
        <f t="shared" si="169"/>
        <v>#VALUE!</v>
      </c>
      <c r="AK328" s="104" t="e">
        <f t="shared" si="170"/>
        <v>#N/A</v>
      </c>
      <c r="AL328" s="104" t="e">
        <f t="shared" si="171"/>
        <v>#N/A</v>
      </c>
      <c r="AM328" s="104" t="e">
        <f t="shared" si="172"/>
        <v>#N/A</v>
      </c>
      <c r="AN328" s="104" t="e">
        <f t="shared" si="183"/>
        <v>#N/A</v>
      </c>
      <c r="AO328" s="104" t="e">
        <f t="shared" si="184"/>
        <v>#N/A</v>
      </c>
      <c r="AP328" s="104" t="e">
        <f t="shared" si="185"/>
        <v>#N/A</v>
      </c>
      <c r="AQ328" s="104" t="e">
        <f t="shared" si="186"/>
        <v>#N/A</v>
      </c>
      <c r="AR328" s="105" t="str">
        <f t="shared" si="178"/>
        <v/>
      </c>
      <c r="AS328" s="105" t="str">
        <f t="shared" si="179"/>
        <v/>
      </c>
      <c r="AT328" s="108" t="str">
        <f t="shared" si="180"/>
        <v/>
      </c>
      <c r="AU328" s="108" t="str">
        <f t="shared" si="181"/>
        <v/>
      </c>
      <c r="AV328" s="107" t="str">
        <f>IF(ISNUMBER(O328),IF(VLOOKUP($A328,Stand!C:J,8,FALSE)="Short",AT328,AU328),"")</f>
        <v/>
      </c>
      <c r="AW328" s="109" t="str">
        <f t="shared" si="187"/>
        <v/>
      </c>
      <c r="AX328" s="109" t="str">
        <f t="shared" si="188"/>
        <v/>
      </c>
      <c r="AY328" s="112" t="str">
        <f>IF(ISNUMBER(O328),IF(AND(VLOOKUP($D328,Merchantability!$B:$C,2,0)="Yes",$E328&gt;=VLOOKUP($D328,Merchantability!$B:$D,3,0),$E328&lt;=VLOOKUP($D328,Merchantability!$B:$E,4,0)),(AV328*O328)*(1-$H328/100),""),"")</f>
        <v/>
      </c>
      <c r="AZ328" s="116"/>
      <c r="BA328" s="116"/>
      <c r="BB328" s="116"/>
      <c r="BE328" s="62"/>
      <c r="BF328" s="63"/>
    </row>
    <row r="329" spans="1:58" ht="12.75" customHeight="1" x14ac:dyDescent="0.25">
      <c r="A329" s="313"/>
      <c r="B329" s="380"/>
      <c r="C329" s="381"/>
      <c r="D329" s="380"/>
      <c r="E329" s="382"/>
      <c r="F329" s="331"/>
      <c r="G329" s="329"/>
      <c r="H329" s="329"/>
      <c r="I329" s="380"/>
      <c r="J329" s="381"/>
      <c r="K329" s="329"/>
      <c r="L329" s="329"/>
      <c r="M329" s="76"/>
      <c r="N329" s="103" t="str">
        <f>IF(A329="","",VLOOKUP(A329,Stand!C:K,9,0))</f>
        <v/>
      </c>
      <c r="O329" s="104" t="str">
        <f t="shared" si="173"/>
        <v/>
      </c>
      <c r="P329" s="105" t="str">
        <f t="shared" si="174"/>
        <v/>
      </c>
      <c r="Q329" s="105" t="str">
        <f t="shared" si="162"/>
        <v/>
      </c>
      <c r="R329" s="103" t="str">
        <f t="shared" si="175"/>
        <v/>
      </c>
      <c r="S329" s="103" t="str">
        <f t="shared" si="176"/>
        <v/>
      </c>
      <c r="T329" s="106" t="str">
        <f t="shared" si="163"/>
        <v/>
      </c>
      <c r="U329" s="106" t="str">
        <f t="shared" si="164"/>
        <v/>
      </c>
      <c r="V329" s="106" t="str">
        <f t="shared" si="165"/>
        <v/>
      </c>
      <c r="W329" s="105" t="str">
        <f t="shared" si="177"/>
        <v/>
      </c>
      <c r="X329" s="104" t="str">
        <f t="shared" si="182"/>
        <v/>
      </c>
      <c r="Y329" s="104" t="str">
        <f t="array" ref="Y329">IFERROR(IF(ISNUMBER(O329),IF(COUNT(IF(A329=$A$2:$A$2427,IF(D329=$D$2:$D$2427,IF($X$2:$X$2427&gt;0,1))))&gt;0,SUM(IF(A329=$A$2:$A$2427,IF(D329=$D$2:$D$2427,$X$2:$X$2427)))/COUNT(IF(A329=$A$2:$A$2427,IF(D329=$D$2:$D$2427,IF(ISNUMBER($X$2:$X$2427),1)))),0),""),0)</f>
        <v/>
      </c>
      <c r="Z329" s="104" t="str">
        <f>IF(ISNUMBER(O329),IF(I329&gt;0,(10^(VLOOKUP(D329,'Species Codes'!B:C,2,0)+VLOOKUP(D329,'Species Codes'!B:D,3,0)*LOG(E329)+VLOOKUP(D329,'Species Codes'!B:E,4,0)*LOG(I329))),0),"")</f>
        <v/>
      </c>
      <c r="AA329" s="104" t="str">
        <f>IFERROR((VLOOKUP(D329,'Species Codes'!B:G,6,0)*Z329)/2000,"")</f>
        <v/>
      </c>
      <c r="AB329" s="104" t="e">
        <f>IF(Z329&gt;0,((IF(OR(D329="DF",D329="RA")=TRUE,EXP(VLOOKUP(D329,'Species Codes'!B:I,8,0)+VLOOKUP(D329,'Species Codes'!B:J,9,0)*(LN((E329*2.54)))),IF(OR(D329="PY",D329="RC",D329="WH",D329="NF")=TRUE,VLOOKUP(D329,'Species Codes'!B:I,8,0)+VLOOKUP(D329,'Species Codes'!B:J,9,0)*((E329*2.54)^2)*(I329*0.3048),IF(OR(D329="MD",D329="BM",D329="GA")=TRUE,((VLOOKUP(D329,'Species Codes'!B:I,8,0)*(((((E329*2.54)+VLOOKUP(D329,'Species Codes'!B:J,9,0))/VLOOKUP(D329,'Species Codes'!B:K,10,0))^VLOOKUP(D329,'Species Codes'!B:L,11,0))*((I329*0.3048)^VLOOKUP(D329,'Species Codes'!B:M,12,0))))-(VLOOKUP(D329,'Species Codes'!B:I,8,0)*((((E329*2.54)^VLOOKUP(D329,'Species Codes'!B:L,11,0))*((I329*0.3048)^VLOOKUP(D329,'Species Codes'!B:M,12,0))))))*35.3*VLOOKUP(D329,'Species Codes'!B:G,6,0)/2.2046,VLOOKUP(D329,'Species Codes'!B:I,8,0)+VLOOKUP(D329,'Species Codes'!B:J,9,0)*(((E329*2.54)/100)^2)*(I329*0.3048)))))*0.0011023),0)</f>
        <v>#N/A</v>
      </c>
      <c r="AC329" s="104" t="e">
        <f>IF(Z329&gt;0,((IF(OR(D329="RA",D329="OA",D329="OT",D329="UN",D329="PC"),EXP(VLOOKUP(D329,'Species Codes'!B:O,14,0)+VLOOKUP(D329,'Species Codes'!B:P,15,0)*LN((E329*2.54)))-EXP(VLOOKUP(D329,'Species Codes'!B:O,14,0)+VLOOKUP(D329,'Species Codes'!B:P,15,0)*LN((E329*2.54)))*(1/(VLOOKUP(D329,'Species Codes'!B:Q,16,0)+VLOOKUP(D329,'Species Codes'!B:R,17,0)*((E329*2.54)^VLOOKUP(D329,'Species Codes'!B:S,18,0)))),IF(OR(D329="BM",D329="MD",D329="OA"),EXP(VLOOKUP(D329,'Species Codes'!B:O,14,0)+VLOOKUP(D329,'Species Codes'!B:P,15,0)*LN((E329*2.54)))*(1-(1/(VLOOKUP(D329,'Species Codes'!B:Q,16,0)+VLOOKUP(D329,'Species Codes'!B:R,17,0)*((E329*2.54)^VLOOKUP(D329,'Species Codes'!B:S,18,0)))))/1000,IF(D329="DF",EXP(VLOOKUP(D329,'Species Codes'!B:O,14,0)+VLOOKUP(D329,'Species Codes'!B:P,15,0)*LN((E329*2.54))),VLOOKUP(D329,'Species Codes'!B:O,14,0)+VLOOKUP(D329,'Species Codes'!B:P,15,0)*(((E329*2.54)/100)^2)*(I329*0.3048)))))*0.0011023),0)</f>
        <v>#N/A</v>
      </c>
      <c r="AD329" s="104" t="e">
        <f t="shared" si="166"/>
        <v>#N/A</v>
      </c>
      <c r="AE329" s="104" t="e">
        <f t="shared" si="167"/>
        <v>#N/A</v>
      </c>
      <c r="AF329" s="104" t="e">
        <f>IF(AND(VLOOKUP($D329,Merchantability!$B:$C,2,0)="Yes",$E329&gt;=VLOOKUP($D329,Merchantability!$B:$D,3,0),$E329&lt;=VLOOKUP($D329,Merchantability!$B:$E,4,0)),AA329,0)</f>
        <v>#N/A</v>
      </c>
      <c r="AG329" s="104" t="e">
        <f>IF(AND(VLOOKUP($D329,Merchantability!$B:$C,2,0)="Yes",$E329&gt;=VLOOKUP($D329,Merchantability!$B:$D,3,0),$E329&lt;=VLOOKUP($D329,Merchantability!$B:$E,4,0)),AB329,0)</f>
        <v>#N/A</v>
      </c>
      <c r="AH329" s="104" t="e">
        <f>IF(AND(VLOOKUP($D329,Merchantability!$B:$C,2,0)="Yes",$E329&gt;=VLOOKUP($D329,Merchantability!$B:$D,3,0),$E329&lt;=VLOOKUP($D329,Merchantability!$B:$E,4,0)),AC329,0)</f>
        <v>#N/A</v>
      </c>
      <c r="AI329" s="104" t="e">
        <f t="shared" si="168"/>
        <v>#N/A</v>
      </c>
      <c r="AJ329" s="104" t="e">
        <f t="shared" si="169"/>
        <v>#VALUE!</v>
      </c>
      <c r="AK329" s="104" t="e">
        <f t="shared" si="170"/>
        <v>#N/A</v>
      </c>
      <c r="AL329" s="104" t="e">
        <f t="shared" si="171"/>
        <v>#N/A</v>
      </c>
      <c r="AM329" s="104" t="e">
        <f t="shared" si="172"/>
        <v>#N/A</v>
      </c>
      <c r="AN329" s="104" t="e">
        <f t="shared" si="183"/>
        <v>#N/A</v>
      </c>
      <c r="AO329" s="104" t="e">
        <f t="shared" si="184"/>
        <v>#N/A</v>
      </c>
      <c r="AP329" s="104" t="e">
        <f t="shared" si="185"/>
        <v>#N/A</v>
      </c>
      <c r="AQ329" s="104" t="e">
        <f t="shared" si="186"/>
        <v>#N/A</v>
      </c>
      <c r="AR329" s="105" t="str">
        <f t="shared" si="178"/>
        <v/>
      </c>
      <c r="AS329" s="105" t="str">
        <f t="shared" si="179"/>
        <v/>
      </c>
      <c r="AT329" s="108" t="str">
        <f t="shared" si="180"/>
        <v/>
      </c>
      <c r="AU329" s="108" t="str">
        <f t="shared" si="181"/>
        <v/>
      </c>
      <c r="AV329" s="107" t="str">
        <f>IF(ISNUMBER(O329),IF(VLOOKUP($A329,Stand!C:J,8,FALSE)="Short",AT329,AU329),"")</f>
        <v/>
      </c>
      <c r="AW329" s="109" t="str">
        <f t="shared" si="187"/>
        <v/>
      </c>
      <c r="AX329" s="109" t="str">
        <f t="shared" si="188"/>
        <v/>
      </c>
      <c r="AY329" s="112" t="str">
        <f>IF(ISNUMBER(O329),IF(AND(VLOOKUP($D329,Merchantability!$B:$C,2,0)="Yes",$E329&gt;=VLOOKUP($D329,Merchantability!$B:$D,3,0),$E329&lt;=VLOOKUP($D329,Merchantability!$B:$E,4,0)),(AV329*O329)*(1-$H329/100),""),"")</f>
        <v/>
      </c>
      <c r="AZ329" s="116"/>
      <c r="BA329" s="116"/>
      <c r="BB329" s="116"/>
      <c r="BE329" s="62"/>
      <c r="BF329" s="63"/>
    </row>
    <row r="330" spans="1:58" ht="12.75" customHeight="1" x14ac:dyDescent="0.25">
      <c r="A330" s="313"/>
      <c r="B330" s="380"/>
      <c r="C330" s="381"/>
      <c r="D330" s="380"/>
      <c r="E330" s="382"/>
      <c r="F330" s="331"/>
      <c r="G330" s="329"/>
      <c r="H330" s="329"/>
      <c r="I330" s="380"/>
      <c r="J330" s="381"/>
      <c r="K330" s="329"/>
      <c r="L330" s="329"/>
      <c r="M330" s="77"/>
      <c r="N330" s="103" t="str">
        <f>IF(A330="","",VLOOKUP(A330,Stand!C:K,9,0))</f>
        <v/>
      </c>
      <c r="O330" s="104" t="str">
        <f t="shared" si="173"/>
        <v/>
      </c>
      <c r="P330" s="105" t="str">
        <f t="shared" si="174"/>
        <v/>
      </c>
      <c r="Q330" s="105" t="str">
        <f t="shared" si="162"/>
        <v/>
      </c>
      <c r="R330" s="103" t="str">
        <f t="shared" si="175"/>
        <v/>
      </c>
      <c r="S330" s="103" t="str">
        <f t="shared" si="176"/>
        <v/>
      </c>
      <c r="T330" s="106" t="str">
        <f t="shared" si="163"/>
        <v/>
      </c>
      <c r="U330" s="106" t="str">
        <f t="shared" si="164"/>
        <v/>
      </c>
      <c r="V330" s="106" t="str">
        <f t="shared" si="165"/>
        <v/>
      </c>
      <c r="W330" s="105" t="str">
        <f t="shared" si="177"/>
        <v/>
      </c>
      <c r="X330" s="104" t="str">
        <f t="shared" si="182"/>
        <v/>
      </c>
      <c r="Y330" s="104" t="str">
        <f t="array" ref="Y330">IFERROR(IF(ISNUMBER(O330),IF(COUNT(IF(A330=$A$2:$A$2427,IF(D330=$D$2:$D$2427,IF($X$2:$X$2427&gt;0,1))))&gt;0,SUM(IF(A330=$A$2:$A$2427,IF(D330=$D$2:$D$2427,$X$2:$X$2427)))/COUNT(IF(A330=$A$2:$A$2427,IF(D330=$D$2:$D$2427,IF(ISNUMBER($X$2:$X$2427),1)))),0),""),0)</f>
        <v/>
      </c>
      <c r="Z330" s="104" t="str">
        <f>IF(ISNUMBER(O330),IF(I330&gt;0,(10^(VLOOKUP(D330,'Species Codes'!B:C,2,0)+VLOOKUP(D330,'Species Codes'!B:D,3,0)*LOG(E330)+VLOOKUP(D330,'Species Codes'!B:E,4,0)*LOG(I330))),0),"")</f>
        <v/>
      </c>
      <c r="AA330" s="104" t="str">
        <f>IFERROR((VLOOKUP(D330,'Species Codes'!B:G,6,0)*Z330)/2000,"")</f>
        <v/>
      </c>
      <c r="AB330" s="104" t="e">
        <f>IF(Z330&gt;0,((IF(OR(D330="DF",D330="RA")=TRUE,EXP(VLOOKUP(D330,'Species Codes'!B:I,8,0)+VLOOKUP(D330,'Species Codes'!B:J,9,0)*(LN((E330*2.54)))),IF(OR(D330="PY",D330="RC",D330="WH",D330="NF")=TRUE,VLOOKUP(D330,'Species Codes'!B:I,8,0)+VLOOKUP(D330,'Species Codes'!B:J,9,0)*((E330*2.54)^2)*(I330*0.3048),IF(OR(D330="MD",D330="BM",D330="GA")=TRUE,((VLOOKUP(D330,'Species Codes'!B:I,8,0)*(((((E330*2.54)+VLOOKUP(D330,'Species Codes'!B:J,9,0))/VLOOKUP(D330,'Species Codes'!B:K,10,0))^VLOOKUP(D330,'Species Codes'!B:L,11,0))*((I330*0.3048)^VLOOKUP(D330,'Species Codes'!B:M,12,0))))-(VLOOKUP(D330,'Species Codes'!B:I,8,0)*((((E330*2.54)^VLOOKUP(D330,'Species Codes'!B:L,11,0))*((I330*0.3048)^VLOOKUP(D330,'Species Codes'!B:M,12,0))))))*35.3*VLOOKUP(D330,'Species Codes'!B:G,6,0)/2.2046,VLOOKUP(D330,'Species Codes'!B:I,8,0)+VLOOKUP(D330,'Species Codes'!B:J,9,0)*(((E330*2.54)/100)^2)*(I330*0.3048)))))*0.0011023),0)</f>
        <v>#N/A</v>
      </c>
      <c r="AC330" s="104" t="e">
        <f>IF(Z330&gt;0,((IF(OR(D330="RA",D330="OA",D330="OT",D330="UN",D330="PC"),EXP(VLOOKUP(D330,'Species Codes'!B:O,14,0)+VLOOKUP(D330,'Species Codes'!B:P,15,0)*LN((E330*2.54)))-EXP(VLOOKUP(D330,'Species Codes'!B:O,14,0)+VLOOKUP(D330,'Species Codes'!B:P,15,0)*LN((E330*2.54)))*(1/(VLOOKUP(D330,'Species Codes'!B:Q,16,0)+VLOOKUP(D330,'Species Codes'!B:R,17,0)*((E330*2.54)^VLOOKUP(D330,'Species Codes'!B:S,18,0)))),IF(OR(D330="BM",D330="MD",D330="OA"),EXP(VLOOKUP(D330,'Species Codes'!B:O,14,0)+VLOOKUP(D330,'Species Codes'!B:P,15,0)*LN((E330*2.54)))*(1-(1/(VLOOKUP(D330,'Species Codes'!B:Q,16,0)+VLOOKUP(D330,'Species Codes'!B:R,17,0)*((E330*2.54)^VLOOKUP(D330,'Species Codes'!B:S,18,0)))))/1000,IF(D330="DF",EXP(VLOOKUP(D330,'Species Codes'!B:O,14,0)+VLOOKUP(D330,'Species Codes'!B:P,15,0)*LN((E330*2.54))),VLOOKUP(D330,'Species Codes'!B:O,14,0)+VLOOKUP(D330,'Species Codes'!B:P,15,0)*(((E330*2.54)/100)^2)*(I330*0.3048)))))*0.0011023),0)</f>
        <v>#N/A</v>
      </c>
      <c r="AD330" s="104" t="e">
        <f t="shared" si="166"/>
        <v>#N/A</v>
      </c>
      <c r="AE330" s="104" t="e">
        <f t="shared" si="167"/>
        <v>#N/A</v>
      </c>
      <c r="AF330" s="104" t="e">
        <f>IF(AND(VLOOKUP($D330,Merchantability!$B:$C,2,0)="Yes",$E330&gt;=VLOOKUP($D330,Merchantability!$B:$D,3,0),$E330&lt;=VLOOKUP($D330,Merchantability!$B:$E,4,0)),AA330,0)</f>
        <v>#N/A</v>
      </c>
      <c r="AG330" s="104" t="e">
        <f>IF(AND(VLOOKUP($D330,Merchantability!$B:$C,2,0)="Yes",$E330&gt;=VLOOKUP($D330,Merchantability!$B:$D,3,0),$E330&lt;=VLOOKUP($D330,Merchantability!$B:$E,4,0)),AB330,0)</f>
        <v>#N/A</v>
      </c>
      <c r="AH330" s="104" t="e">
        <f>IF(AND(VLOOKUP($D330,Merchantability!$B:$C,2,0)="Yes",$E330&gt;=VLOOKUP($D330,Merchantability!$B:$D,3,0),$E330&lt;=VLOOKUP($D330,Merchantability!$B:$E,4,0)),AC330,0)</f>
        <v>#N/A</v>
      </c>
      <c r="AI330" s="104" t="e">
        <f t="shared" si="168"/>
        <v>#N/A</v>
      </c>
      <c r="AJ330" s="104" t="e">
        <f t="shared" si="169"/>
        <v>#VALUE!</v>
      </c>
      <c r="AK330" s="104" t="e">
        <f t="shared" si="170"/>
        <v>#N/A</v>
      </c>
      <c r="AL330" s="104" t="e">
        <f t="shared" si="171"/>
        <v>#N/A</v>
      </c>
      <c r="AM330" s="104" t="e">
        <f t="shared" si="172"/>
        <v>#N/A</v>
      </c>
      <c r="AN330" s="104" t="e">
        <f t="shared" si="183"/>
        <v>#N/A</v>
      </c>
      <c r="AO330" s="104" t="e">
        <f t="shared" si="184"/>
        <v>#N/A</v>
      </c>
      <c r="AP330" s="104" t="e">
        <f t="shared" si="185"/>
        <v>#N/A</v>
      </c>
      <c r="AQ330" s="104" t="e">
        <f t="shared" si="186"/>
        <v>#N/A</v>
      </c>
      <c r="AR330" s="105" t="str">
        <f t="shared" si="178"/>
        <v/>
      </c>
      <c r="AS330" s="105" t="str">
        <f t="shared" si="179"/>
        <v/>
      </c>
      <c r="AT330" s="108" t="str">
        <f t="shared" si="180"/>
        <v/>
      </c>
      <c r="AU330" s="108" t="str">
        <f t="shared" si="181"/>
        <v/>
      </c>
      <c r="AV330" s="107" t="str">
        <f>IF(ISNUMBER(O330),IF(VLOOKUP($A330,Stand!C:J,8,FALSE)="Short",AT330,AU330),"")</f>
        <v/>
      </c>
      <c r="AW330" s="109" t="str">
        <f t="shared" si="187"/>
        <v/>
      </c>
      <c r="AX330" s="109" t="str">
        <f t="shared" si="188"/>
        <v/>
      </c>
      <c r="AY330" s="112" t="str">
        <f>IF(ISNUMBER(O330),IF(AND(VLOOKUP($D330,Merchantability!$B:$C,2,0)="Yes",$E330&gt;=VLOOKUP($D330,Merchantability!$B:$D,3,0),$E330&lt;=VLOOKUP($D330,Merchantability!$B:$E,4,0)),(AV330*O330)*(1-$H330/100),""),"")</f>
        <v/>
      </c>
      <c r="AZ330" s="116"/>
      <c r="BA330" s="116"/>
      <c r="BB330" s="116"/>
      <c r="BE330" s="62"/>
      <c r="BF330" s="63"/>
    </row>
    <row r="331" spans="1:58" ht="12.75" customHeight="1" x14ac:dyDescent="0.25">
      <c r="A331" s="313"/>
      <c r="B331" s="380"/>
      <c r="C331" s="381"/>
      <c r="D331" s="380"/>
      <c r="E331" s="382"/>
      <c r="F331" s="331"/>
      <c r="G331" s="329"/>
      <c r="H331" s="329"/>
      <c r="I331" s="380"/>
      <c r="J331" s="381"/>
      <c r="K331" s="329"/>
      <c r="L331" s="329"/>
      <c r="M331" s="76"/>
      <c r="N331" s="103" t="str">
        <f>IF(A331="","",VLOOKUP(A331,Stand!C:K,9,0))</f>
        <v/>
      </c>
      <c r="O331" s="104" t="str">
        <f t="shared" si="173"/>
        <v/>
      </c>
      <c r="P331" s="105" t="str">
        <f t="shared" si="174"/>
        <v/>
      </c>
      <c r="Q331" s="105" t="str">
        <f t="shared" si="162"/>
        <v/>
      </c>
      <c r="R331" s="103" t="str">
        <f t="shared" si="175"/>
        <v/>
      </c>
      <c r="S331" s="103" t="str">
        <f t="shared" si="176"/>
        <v/>
      </c>
      <c r="T331" s="106" t="str">
        <f t="shared" si="163"/>
        <v/>
      </c>
      <c r="U331" s="106" t="str">
        <f t="shared" si="164"/>
        <v/>
      </c>
      <c r="V331" s="106" t="str">
        <f t="shared" si="165"/>
        <v/>
      </c>
      <c r="W331" s="105" t="str">
        <f t="shared" si="177"/>
        <v/>
      </c>
      <c r="X331" s="104" t="str">
        <f t="shared" si="182"/>
        <v/>
      </c>
      <c r="Y331" s="104" t="str">
        <f t="array" ref="Y331">IFERROR(IF(ISNUMBER(O331),IF(COUNT(IF(A331=$A$2:$A$2427,IF(D331=$D$2:$D$2427,IF($X$2:$X$2427&gt;0,1))))&gt;0,SUM(IF(A331=$A$2:$A$2427,IF(D331=$D$2:$D$2427,$X$2:$X$2427)))/COUNT(IF(A331=$A$2:$A$2427,IF(D331=$D$2:$D$2427,IF(ISNUMBER($X$2:$X$2427),1)))),0),""),0)</f>
        <v/>
      </c>
      <c r="Z331" s="104" t="str">
        <f>IF(ISNUMBER(O331),IF(I331&gt;0,(10^(VLOOKUP(D331,'Species Codes'!B:C,2,0)+VLOOKUP(D331,'Species Codes'!B:D,3,0)*LOG(E331)+VLOOKUP(D331,'Species Codes'!B:E,4,0)*LOG(I331))),0),"")</f>
        <v/>
      </c>
      <c r="AA331" s="104" t="str">
        <f>IFERROR((VLOOKUP(D331,'Species Codes'!B:G,6,0)*Z331)/2000,"")</f>
        <v/>
      </c>
      <c r="AB331" s="104" t="e">
        <f>IF(Z331&gt;0,((IF(OR(D331="DF",D331="RA")=TRUE,EXP(VLOOKUP(D331,'Species Codes'!B:I,8,0)+VLOOKUP(D331,'Species Codes'!B:J,9,0)*(LN((E331*2.54)))),IF(OR(D331="PY",D331="RC",D331="WH",D331="NF")=TRUE,VLOOKUP(D331,'Species Codes'!B:I,8,0)+VLOOKUP(D331,'Species Codes'!B:J,9,0)*((E331*2.54)^2)*(I331*0.3048),IF(OR(D331="MD",D331="BM",D331="GA")=TRUE,((VLOOKUP(D331,'Species Codes'!B:I,8,0)*(((((E331*2.54)+VLOOKUP(D331,'Species Codes'!B:J,9,0))/VLOOKUP(D331,'Species Codes'!B:K,10,0))^VLOOKUP(D331,'Species Codes'!B:L,11,0))*((I331*0.3048)^VLOOKUP(D331,'Species Codes'!B:M,12,0))))-(VLOOKUP(D331,'Species Codes'!B:I,8,0)*((((E331*2.54)^VLOOKUP(D331,'Species Codes'!B:L,11,0))*((I331*0.3048)^VLOOKUP(D331,'Species Codes'!B:M,12,0))))))*35.3*VLOOKUP(D331,'Species Codes'!B:G,6,0)/2.2046,VLOOKUP(D331,'Species Codes'!B:I,8,0)+VLOOKUP(D331,'Species Codes'!B:J,9,0)*(((E331*2.54)/100)^2)*(I331*0.3048)))))*0.0011023),0)</f>
        <v>#N/A</v>
      </c>
      <c r="AC331" s="104" t="e">
        <f>IF(Z331&gt;0,((IF(OR(D331="RA",D331="OA",D331="OT",D331="UN",D331="PC"),EXP(VLOOKUP(D331,'Species Codes'!B:O,14,0)+VLOOKUP(D331,'Species Codes'!B:P,15,0)*LN((E331*2.54)))-EXP(VLOOKUP(D331,'Species Codes'!B:O,14,0)+VLOOKUP(D331,'Species Codes'!B:P,15,0)*LN((E331*2.54)))*(1/(VLOOKUP(D331,'Species Codes'!B:Q,16,0)+VLOOKUP(D331,'Species Codes'!B:R,17,0)*((E331*2.54)^VLOOKUP(D331,'Species Codes'!B:S,18,0)))),IF(OR(D331="BM",D331="MD",D331="OA"),EXP(VLOOKUP(D331,'Species Codes'!B:O,14,0)+VLOOKUP(D331,'Species Codes'!B:P,15,0)*LN((E331*2.54)))*(1-(1/(VLOOKUP(D331,'Species Codes'!B:Q,16,0)+VLOOKUP(D331,'Species Codes'!B:R,17,0)*((E331*2.54)^VLOOKUP(D331,'Species Codes'!B:S,18,0)))))/1000,IF(D331="DF",EXP(VLOOKUP(D331,'Species Codes'!B:O,14,0)+VLOOKUP(D331,'Species Codes'!B:P,15,0)*LN((E331*2.54))),VLOOKUP(D331,'Species Codes'!B:O,14,0)+VLOOKUP(D331,'Species Codes'!B:P,15,0)*(((E331*2.54)/100)^2)*(I331*0.3048)))))*0.0011023),0)</f>
        <v>#N/A</v>
      </c>
      <c r="AD331" s="104" t="e">
        <f t="shared" si="166"/>
        <v>#N/A</v>
      </c>
      <c r="AE331" s="104" t="e">
        <f t="shared" si="167"/>
        <v>#N/A</v>
      </c>
      <c r="AF331" s="104" t="e">
        <f>IF(AND(VLOOKUP($D331,Merchantability!$B:$C,2,0)="Yes",$E331&gt;=VLOOKUP($D331,Merchantability!$B:$D,3,0),$E331&lt;=VLOOKUP($D331,Merchantability!$B:$E,4,0)),AA331,0)</f>
        <v>#N/A</v>
      </c>
      <c r="AG331" s="104" t="e">
        <f>IF(AND(VLOOKUP($D331,Merchantability!$B:$C,2,0)="Yes",$E331&gt;=VLOOKUP($D331,Merchantability!$B:$D,3,0),$E331&lt;=VLOOKUP($D331,Merchantability!$B:$E,4,0)),AB331,0)</f>
        <v>#N/A</v>
      </c>
      <c r="AH331" s="104" t="e">
        <f>IF(AND(VLOOKUP($D331,Merchantability!$B:$C,2,0)="Yes",$E331&gt;=VLOOKUP($D331,Merchantability!$B:$D,3,0),$E331&lt;=VLOOKUP($D331,Merchantability!$B:$E,4,0)),AC331,0)</f>
        <v>#N/A</v>
      </c>
      <c r="AI331" s="104" t="e">
        <f t="shared" si="168"/>
        <v>#N/A</v>
      </c>
      <c r="AJ331" s="104" t="e">
        <f t="shared" si="169"/>
        <v>#VALUE!</v>
      </c>
      <c r="AK331" s="104" t="e">
        <f t="shared" si="170"/>
        <v>#N/A</v>
      </c>
      <c r="AL331" s="104" t="e">
        <f t="shared" si="171"/>
        <v>#N/A</v>
      </c>
      <c r="AM331" s="104" t="e">
        <f t="shared" si="172"/>
        <v>#N/A</v>
      </c>
      <c r="AN331" s="104" t="e">
        <f t="shared" si="183"/>
        <v>#N/A</v>
      </c>
      <c r="AO331" s="104" t="e">
        <f t="shared" si="184"/>
        <v>#N/A</v>
      </c>
      <c r="AP331" s="104" t="e">
        <f t="shared" si="185"/>
        <v>#N/A</v>
      </c>
      <c r="AQ331" s="104" t="e">
        <f t="shared" si="186"/>
        <v>#N/A</v>
      </c>
      <c r="AR331" s="105" t="str">
        <f t="shared" si="178"/>
        <v/>
      </c>
      <c r="AS331" s="105" t="str">
        <f t="shared" si="179"/>
        <v/>
      </c>
      <c r="AT331" s="108" t="str">
        <f t="shared" si="180"/>
        <v/>
      </c>
      <c r="AU331" s="108" t="str">
        <f t="shared" si="181"/>
        <v/>
      </c>
      <c r="AV331" s="107" t="str">
        <f>IF(ISNUMBER(O331),IF(VLOOKUP($A331,Stand!C:J,8,FALSE)="Short",AT331,AU331),"")</f>
        <v/>
      </c>
      <c r="AW331" s="109" t="str">
        <f t="shared" si="187"/>
        <v/>
      </c>
      <c r="AX331" s="109" t="str">
        <f t="shared" si="188"/>
        <v/>
      </c>
      <c r="AY331" s="112" t="str">
        <f>IF(ISNUMBER(O331),IF(AND(VLOOKUP($D331,Merchantability!$B:$C,2,0)="Yes",$E331&gt;=VLOOKUP($D331,Merchantability!$B:$D,3,0),$E331&lt;=VLOOKUP($D331,Merchantability!$B:$E,4,0)),(AV331*O331)*(1-$H331/100),""),"")</f>
        <v/>
      </c>
      <c r="AZ331" s="116"/>
      <c r="BA331" s="116"/>
      <c r="BB331" s="116"/>
      <c r="BE331" s="62"/>
      <c r="BF331" s="63"/>
    </row>
    <row r="332" spans="1:58" ht="12.75" customHeight="1" x14ac:dyDescent="0.25">
      <c r="A332" s="313"/>
      <c r="B332" s="380"/>
      <c r="C332" s="381"/>
      <c r="D332" s="380"/>
      <c r="E332" s="382"/>
      <c r="F332" s="331"/>
      <c r="G332" s="329"/>
      <c r="H332" s="329"/>
      <c r="I332" s="380"/>
      <c r="J332" s="381"/>
      <c r="K332" s="329"/>
      <c r="L332" s="329"/>
      <c r="M332" s="76"/>
      <c r="N332" s="103" t="str">
        <f>IF(A332="","",VLOOKUP(A332,Stand!C:K,9,0))</f>
        <v/>
      </c>
      <c r="O332" s="104" t="str">
        <f t="shared" si="173"/>
        <v/>
      </c>
      <c r="P332" s="105" t="str">
        <f t="shared" si="174"/>
        <v/>
      </c>
      <c r="Q332" s="105" t="str">
        <f t="shared" si="162"/>
        <v/>
      </c>
      <c r="R332" s="103" t="str">
        <f t="shared" si="175"/>
        <v/>
      </c>
      <c r="S332" s="103" t="str">
        <f t="shared" si="176"/>
        <v/>
      </c>
      <c r="T332" s="106" t="str">
        <f t="shared" si="163"/>
        <v/>
      </c>
      <c r="U332" s="106" t="str">
        <f t="shared" si="164"/>
        <v/>
      </c>
      <c r="V332" s="106" t="str">
        <f t="shared" si="165"/>
        <v/>
      </c>
      <c r="W332" s="105" t="str">
        <f t="shared" si="177"/>
        <v/>
      </c>
      <c r="X332" s="104" t="str">
        <f t="shared" si="182"/>
        <v/>
      </c>
      <c r="Y332" s="104" t="str">
        <f t="array" ref="Y332">IFERROR(IF(ISNUMBER(O332),IF(COUNT(IF(A332=$A$2:$A$2427,IF(D332=$D$2:$D$2427,IF($X$2:$X$2427&gt;0,1))))&gt;0,SUM(IF(A332=$A$2:$A$2427,IF(D332=$D$2:$D$2427,$X$2:$X$2427)))/COUNT(IF(A332=$A$2:$A$2427,IF(D332=$D$2:$D$2427,IF(ISNUMBER($X$2:$X$2427),1)))),0),""),0)</f>
        <v/>
      </c>
      <c r="Z332" s="104" t="str">
        <f>IF(ISNUMBER(O332),IF(I332&gt;0,(10^(VLOOKUP(D332,'Species Codes'!B:C,2,0)+VLOOKUP(D332,'Species Codes'!B:D,3,0)*LOG(E332)+VLOOKUP(D332,'Species Codes'!B:E,4,0)*LOG(I332))),0),"")</f>
        <v/>
      </c>
      <c r="AA332" s="104" t="str">
        <f>IFERROR((VLOOKUP(D332,'Species Codes'!B:G,6,0)*Z332)/2000,"")</f>
        <v/>
      </c>
      <c r="AB332" s="104" t="e">
        <f>IF(Z332&gt;0,((IF(OR(D332="DF",D332="RA")=TRUE,EXP(VLOOKUP(D332,'Species Codes'!B:I,8,0)+VLOOKUP(D332,'Species Codes'!B:J,9,0)*(LN((E332*2.54)))),IF(OR(D332="PY",D332="RC",D332="WH",D332="NF")=TRUE,VLOOKUP(D332,'Species Codes'!B:I,8,0)+VLOOKUP(D332,'Species Codes'!B:J,9,0)*((E332*2.54)^2)*(I332*0.3048),IF(OR(D332="MD",D332="BM",D332="GA")=TRUE,((VLOOKUP(D332,'Species Codes'!B:I,8,0)*(((((E332*2.54)+VLOOKUP(D332,'Species Codes'!B:J,9,0))/VLOOKUP(D332,'Species Codes'!B:K,10,0))^VLOOKUP(D332,'Species Codes'!B:L,11,0))*((I332*0.3048)^VLOOKUP(D332,'Species Codes'!B:M,12,0))))-(VLOOKUP(D332,'Species Codes'!B:I,8,0)*((((E332*2.54)^VLOOKUP(D332,'Species Codes'!B:L,11,0))*((I332*0.3048)^VLOOKUP(D332,'Species Codes'!B:M,12,0))))))*35.3*VLOOKUP(D332,'Species Codes'!B:G,6,0)/2.2046,VLOOKUP(D332,'Species Codes'!B:I,8,0)+VLOOKUP(D332,'Species Codes'!B:J,9,0)*(((E332*2.54)/100)^2)*(I332*0.3048)))))*0.0011023),0)</f>
        <v>#N/A</v>
      </c>
      <c r="AC332" s="104" t="e">
        <f>IF(Z332&gt;0,((IF(OR(D332="RA",D332="OA",D332="OT",D332="UN",D332="PC"),EXP(VLOOKUP(D332,'Species Codes'!B:O,14,0)+VLOOKUP(D332,'Species Codes'!B:P,15,0)*LN((E332*2.54)))-EXP(VLOOKUP(D332,'Species Codes'!B:O,14,0)+VLOOKUP(D332,'Species Codes'!B:P,15,0)*LN((E332*2.54)))*(1/(VLOOKUP(D332,'Species Codes'!B:Q,16,0)+VLOOKUP(D332,'Species Codes'!B:R,17,0)*((E332*2.54)^VLOOKUP(D332,'Species Codes'!B:S,18,0)))),IF(OR(D332="BM",D332="MD",D332="OA"),EXP(VLOOKUP(D332,'Species Codes'!B:O,14,0)+VLOOKUP(D332,'Species Codes'!B:P,15,0)*LN((E332*2.54)))*(1-(1/(VLOOKUP(D332,'Species Codes'!B:Q,16,0)+VLOOKUP(D332,'Species Codes'!B:R,17,0)*((E332*2.54)^VLOOKUP(D332,'Species Codes'!B:S,18,0)))))/1000,IF(D332="DF",EXP(VLOOKUP(D332,'Species Codes'!B:O,14,0)+VLOOKUP(D332,'Species Codes'!B:P,15,0)*LN((E332*2.54))),VLOOKUP(D332,'Species Codes'!B:O,14,0)+VLOOKUP(D332,'Species Codes'!B:P,15,0)*(((E332*2.54)/100)^2)*(I332*0.3048)))))*0.0011023),0)</f>
        <v>#N/A</v>
      </c>
      <c r="AD332" s="104" t="e">
        <f t="shared" si="166"/>
        <v>#N/A</v>
      </c>
      <c r="AE332" s="104" t="e">
        <f t="shared" si="167"/>
        <v>#N/A</v>
      </c>
      <c r="AF332" s="104" t="e">
        <f>IF(AND(VLOOKUP($D332,Merchantability!$B:$C,2,0)="Yes",$E332&gt;=VLOOKUP($D332,Merchantability!$B:$D,3,0),$E332&lt;=VLOOKUP($D332,Merchantability!$B:$E,4,0)),AA332,0)</f>
        <v>#N/A</v>
      </c>
      <c r="AG332" s="104" t="e">
        <f>IF(AND(VLOOKUP($D332,Merchantability!$B:$C,2,0)="Yes",$E332&gt;=VLOOKUP($D332,Merchantability!$B:$D,3,0),$E332&lt;=VLOOKUP($D332,Merchantability!$B:$E,4,0)),AB332,0)</f>
        <v>#N/A</v>
      </c>
      <c r="AH332" s="104" t="e">
        <f>IF(AND(VLOOKUP($D332,Merchantability!$B:$C,2,0)="Yes",$E332&gt;=VLOOKUP($D332,Merchantability!$B:$D,3,0),$E332&lt;=VLOOKUP($D332,Merchantability!$B:$E,4,0)),AC332,0)</f>
        <v>#N/A</v>
      </c>
      <c r="AI332" s="104" t="e">
        <f t="shared" si="168"/>
        <v>#N/A</v>
      </c>
      <c r="AJ332" s="104" t="e">
        <f t="shared" si="169"/>
        <v>#VALUE!</v>
      </c>
      <c r="AK332" s="104" t="e">
        <f t="shared" si="170"/>
        <v>#N/A</v>
      </c>
      <c r="AL332" s="104" t="e">
        <f t="shared" si="171"/>
        <v>#N/A</v>
      </c>
      <c r="AM332" s="104" t="e">
        <f t="shared" si="172"/>
        <v>#N/A</v>
      </c>
      <c r="AN332" s="104" t="e">
        <f t="shared" si="183"/>
        <v>#N/A</v>
      </c>
      <c r="AO332" s="104" t="e">
        <f t="shared" si="184"/>
        <v>#N/A</v>
      </c>
      <c r="AP332" s="104" t="e">
        <f t="shared" si="185"/>
        <v>#N/A</v>
      </c>
      <c r="AQ332" s="104" t="e">
        <f t="shared" si="186"/>
        <v>#N/A</v>
      </c>
      <c r="AR332" s="105" t="str">
        <f t="shared" si="178"/>
        <v/>
      </c>
      <c r="AS332" s="105" t="str">
        <f t="shared" si="179"/>
        <v/>
      </c>
      <c r="AT332" s="108" t="str">
        <f t="shared" si="180"/>
        <v/>
      </c>
      <c r="AU332" s="108" t="str">
        <f t="shared" si="181"/>
        <v/>
      </c>
      <c r="AV332" s="107" t="str">
        <f>IF(ISNUMBER(O332),IF(VLOOKUP($A332,Stand!C:J,8,FALSE)="Short",AT332,AU332),"")</f>
        <v/>
      </c>
      <c r="AW332" s="109" t="str">
        <f t="shared" si="187"/>
        <v/>
      </c>
      <c r="AX332" s="109" t="str">
        <f t="shared" si="188"/>
        <v/>
      </c>
      <c r="AY332" s="112" t="str">
        <f>IF(ISNUMBER(O332),IF(AND(VLOOKUP($D332,Merchantability!$B:$C,2,0)="Yes",$E332&gt;=VLOOKUP($D332,Merchantability!$B:$D,3,0),$E332&lt;=VLOOKUP($D332,Merchantability!$B:$E,4,0)),(AV332*O332)*(1-$H332/100),""),"")</f>
        <v/>
      </c>
      <c r="AZ332" s="116"/>
      <c r="BA332" s="116"/>
      <c r="BB332" s="116"/>
      <c r="BE332" s="62"/>
      <c r="BF332" s="63"/>
    </row>
    <row r="333" spans="1:58" ht="12.75" customHeight="1" x14ac:dyDescent="0.25">
      <c r="A333" s="313"/>
      <c r="B333" s="380"/>
      <c r="C333" s="381"/>
      <c r="D333" s="380"/>
      <c r="E333" s="382"/>
      <c r="F333" s="331"/>
      <c r="G333" s="329"/>
      <c r="H333" s="329"/>
      <c r="I333" s="380"/>
      <c r="J333" s="381"/>
      <c r="K333" s="329"/>
      <c r="L333" s="329"/>
      <c r="M333" s="76"/>
      <c r="N333" s="103" t="str">
        <f>IF(A333="","",VLOOKUP(A333,Stand!C:K,9,0))</f>
        <v/>
      </c>
      <c r="O333" s="104" t="str">
        <f t="shared" si="173"/>
        <v/>
      </c>
      <c r="P333" s="105" t="str">
        <f t="shared" si="174"/>
        <v/>
      </c>
      <c r="Q333" s="105" t="str">
        <f t="shared" si="162"/>
        <v/>
      </c>
      <c r="R333" s="103" t="str">
        <f t="shared" si="175"/>
        <v/>
      </c>
      <c r="S333" s="103" t="str">
        <f t="shared" si="176"/>
        <v/>
      </c>
      <c r="T333" s="106" t="str">
        <f t="shared" si="163"/>
        <v/>
      </c>
      <c r="U333" s="106" t="str">
        <f t="shared" si="164"/>
        <v/>
      </c>
      <c r="V333" s="106" t="str">
        <f t="shared" si="165"/>
        <v/>
      </c>
      <c r="W333" s="105" t="str">
        <f t="shared" si="177"/>
        <v/>
      </c>
      <c r="X333" s="104" t="str">
        <f t="shared" si="182"/>
        <v/>
      </c>
      <c r="Y333" s="104" t="str">
        <f t="array" ref="Y333">IFERROR(IF(ISNUMBER(O333),IF(COUNT(IF(A333=$A$2:$A$2427,IF(D333=$D$2:$D$2427,IF($X$2:$X$2427&gt;0,1))))&gt;0,SUM(IF(A333=$A$2:$A$2427,IF(D333=$D$2:$D$2427,$X$2:$X$2427)))/COUNT(IF(A333=$A$2:$A$2427,IF(D333=$D$2:$D$2427,IF(ISNUMBER($X$2:$X$2427),1)))),0),""),0)</f>
        <v/>
      </c>
      <c r="Z333" s="104" t="str">
        <f>IF(ISNUMBER(O333),IF(I333&gt;0,(10^(VLOOKUP(D333,'Species Codes'!B:C,2,0)+VLOOKUP(D333,'Species Codes'!B:D,3,0)*LOG(E333)+VLOOKUP(D333,'Species Codes'!B:E,4,0)*LOG(I333))),0),"")</f>
        <v/>
      </c>
      <c r="AA333" s="104" t="str">
        <f>IFERROR((VLOOKUP(D333,'Species Codes'!B:G,6,0)*Z333)/2000,"")</f>
        <v/>
      </c>
      <c r="AB333" s="104" t="e">
        <f>IF(Z333&gt;0,((IF(OR(D333="DF",D333="RA")=TRUE,EXP(VLOOKUP(D333,'Species Codes'!B:I,8,0)+VLOOKUP(D333,'Species Codes'!B:J,9,0)*(LN((E333*2.54)))),IF(OR(D333="PY",D333="RC",D333="WH",D333="NF")=TRUE,VLOOKUP(D333,'Species Codes'!B:I,8,0)+VLOOKUP(D333,'Species Codes'!B:J,9,0)*((E333*2.54)^2)*(I333*0.3048),IF(OR(D333="MD",D333="BM",D333="GA")=TRUE,((VLOOKUP(D333,'Species Codes'!B:I,8,0)*(((((E333*2.54)+VLOOKUP(D333,'Species Codes'!B:J,9,0))/VLOOKUP(D333,'Species Codes'!B:K,10,0))^VLOOKUP(D333,'Species Codes'!B:L,11,0))*((I333*0.3048)^VLOOKUP(D333,'Species Codes'!B:M,12,0))))-(VLOOKUP(D333,'Species Codes'!B:I,8,0)*((((E333*2.54)^VLOOKUP(D333,'Species Codes'!B:L,11,0))*((I333*0.3048)^VLOOKUP(D333,'Species Codes'!B:M,12,0))))))*35.3*VLOOKUP(D333,'Species Codes'!B:G,6,0)/2.2046,VLOOKUP(D333,'Species Codes'!B:I,8,0)+VLOOKUP(D333,'Species Codes'!B:J,9,0)*(((E333*2.54)/100)^2)*(I333*0.3048)))))*0.0011023),0)</f>
        <v>#N/A</v>
      </c>
      <c r="AC333" s="104" t="e">
        <f>IF(Z333&gt;0,((IF(OR(D333="RA",D333="OA",D333="OT",D333="UN",D333="PC"),EXP(VLOOKUP(D333,'Species Codes'!B:O,14,0)+VLOOKUP(D333,'Species Codes'!B:P,15,0)*LN((E333*2.54)))-EXP(VLOOKUP(D333,'Species Codes'!B:O,14,0)+VLOOKUP(D333,'Species Codes'!B:P,15,0)*LN((E333*2.54)))*(1/(VLOOKUP(D333,'Species Codes'!B:Q,16,0)+VLOOKUP(D333,'Species Codes'!B:R,17,0)*((E333*2.54)^VLOOKUP(D333,'Species Codes'!B:S,18,0)))),IF(OR(D333="BM",D333="MD",D333="OA"),EXP(VLOOKUP(D333,'Species Codes'!B:O,14,0)+VLOOKUP(D333,'Species Codes'!B:P,15,0)*LN((E333*2.54)))*(1-(1/(VLOOKUP(D333,'Species Codes'!B:Q,16,0)+VLOOKUP(D333,'Species Codes'!B:R,17,0)*((E333*2.54)^VLOOKUP(D333,'Species Codes'!B:S,18,0)))))/1000,IF(D333="DF",EXP(VLOOKUP(D333,'Species Codes'!B:O,14,0)+VLOOKUP(D333,'Species Codes'!B:P,15,0)*LN((E333*2.54))),VLOOKUP(D333,'Species Codes'!B:O,14,0)+VLOOKUP(D333,'Species Codes'!B:P,15,0)*(((E333*2.54)/100)^2)*(I333*0.3048)))))*0.0011023),0)</f>
        <v>#N/A</v>
      </c>
      <c r="AD333" s="104" t="e">
        <f t="shared" si="166"/>
        <v>#N/A</v>
      </c>
      <c r="AE333" s="104" t="e">
        <f t="shared" si="167"/>
        <v>#N/A</v>
      </c>
      <c r="AF333" s="104" t="e">
        <f>IF(AND(VLOOKUP($D333,Merchantability!$B:$C,2,0)="Yes",$E333&gt;=VLOOKUP($D333,Merchantability!$B:$D,3,0),$E333&lt;=VLOOKUP($D333,Merchantability!$B:$E,4,0)),AA333,0)</f>
        <v>#N/A</v>
      </c>
      <c r="AG333" s="104" t="e">
        <f>IF(AND(VLOOKUP($D333,Merchantability!$B:$C,2,0)="Yes",$E333&gt;=VLOOKUP($D333,Merchantability!$B:$D,3,0),$E333&lt;=VLOOKUP($D333,Merchantability!$B:$E,4,0)),AB333,0)</f>
        <v>#N/A</v>
      </c>
      <c r="AH333" s="104" t="e">
        <f>IF(AND(VLOOKUP($D333,Merchantability!$B:$C,2,0)="Yes",$E333&gt;=VLOOKUP($D333,Merchantability!$B:$D,3,0),$E333&lt;=VLOOKUP($D333,Merchantability!$B:$E,4,0)),AC333,0)</f>
        <v>#N/A</v>
      </c>
      <c r="AI333" s="104" t="e">
        <f t="shared" si="168"/>
        <v>#N/A</v>
      </c>
      <c r="AJ333" s="104" t="e">
        <f t="shared" si="169"/>
        <v>#VALUE!</v>
      </c>
      <c r="AK333" s="104" t="e">
        <f t="shared" si="170"/>
        <v>#N/A</v>
      </c>
      <c r="AL333" s="104" t="e">
        <f t="shared" si="171"/>
        <v>#N/A</v>
      </c>
      <c r="AM333" s="104" t="e">
        <f t="shared" si="172"/>
        <v>#N/A</v>
      </c>
      <c r="AN333" s="104" t="e">
        <f t="shared" si="183"/>
        <v>#N/A</v>
      </c>
      <c r="AO333" s="104" t="e">
        <f t="shared" si="184"/>
        <v>#N/A</v>
      </c>
      <c r="AP333" s="104" t="e">
        <f t="shared" si="185"/>
        <v>#N/A</v>
      </c>
      <c r="AQ333" s="104" t="e">
        <f t="shared" si="186"/>
        <v>#N/A</v>
      </c>
      <c r="AR333" s="105" t="str">
        <f t="shared" si="178"/>
        <v/>
      </c>
      <c r="AS333" s="105" t="str">
        <f t="shared" si="179"/>
        <v/>
      </c>
      <c r="AT333" s="108" t="str">
        <f t="shared" si="180"/>
        <v/>
      </c>
      <c r="AU333" s="108" t="str">
        <f t="shared" si="181"/>
        <v/>
      </c>
      <c r="AV333" s="107" t="str">
        <f>IF(ISNUMBER(O333),IF(VLOOKUP($A333,Stand!C:J,8,FALSE)="Short",AT333,AU333),"")</f>
        <v/>
      </c>
      <c r="AW333" s="109" t="str">
        <f t="shared" si="187"/>
        <v/>
      </c>
      <c r="AX333" s="109" t="str">
        <f t="shared" si="188"/>
        <v/>
      </c>
      <c r="AY333" s="112" t="str">
        <f>IF(ISNUMBER(O333),IF(AND(VLOOKUP($D333,Merchantability!$B:$C,2,0)="Yes",$E333&gt;=VLOOKUP($D333,Merchantability!$B:$D,3,0),$E333&lt;=VLOOKUP($D333,Merchantability!$B:$E,4,0)),(AV333*O333)*(1-$H333/100),""),"")</f>
        <v/>
      </c>
      <c r="AZ333" s="116"/>
      <c r="BA333" s="116"/>
      <c r="BB333" s="116"/>
      <c r="BE333" s="62"/>
      <c r="BF333" s="63"/>
    </row>
    <row r="334" spans="1:58" ht="12.75" customHeight="1" x14ac:dyDescent="0.25">
      <c r="A334" s="313"/>
      <c r="B334" s="380"/>
      <c r="C334" s="381"/>
      <c r="D334" s="380"/>
      <c r="E334" s="382"/>
      <c r="F334" s="331"/>
      <c r="G334" s="329"/>
      <c r="H334" s="329"/>
      <c r="I334" s="380"/>
      <c r="J334" s="381"/>
      <c r="K334" s="329"/>
      <c r="L334" s="329"/>
      <c r="M334" s="76"/>
      <c r="N334" s="103" t="str">
        <f>IF(A334="","",VLOOKUP(A334,Stand!C:K,9,0))</f>
        <v/>
      </c>
      <c r="O334" s="104" t="str">
        <f t="shared" si="173"/>
        <v/>
      </c>
      <c r="P334" s="105" t="str">
        <f t="shared" si="174"/>
        <v/>
      </c>
      <c r="Q334" s="105" t="str">
        <f t="shared" si="162"/>
        <v/>
      </c>
      <c r="R334" s="103" t="str">
        <f t="shared" si="175"/>
        <v/>
      </c>
      <c r="S334" s="103" t="str">
        <f t="shared" si="176"/>
        <v/>
      </c>
      <c r="T334" s="106" t="str">
        <f t="shared" si="163"/>
        <v/>
      </c>
      <c r="U334" s="106" t="str">
        <f t="shared" si="164"/>
        <v/>
      </c>
      <c r="V334" s="106" t="str">
        <f t="shared" si="165"/>
        <v/>
      </c>
      <c r="W334" s="105" t="str">
        <f t="shared" si="177"/>
        <v/>
      </c>
      <c r="X334" s="104" t="str">
        <f t="shared" si="182"/>
        <v/>
      </c>
      <c r="Y334" s="104" t="str">
        <f t="array" ref="Y334">IFERROR(IF(ISNUMBER(O334),IF(COUNT(IF(A334=$A$2:$A$2427,IF(D334=$D$2:$D$2427,IF($X$2:$X$2427&gt;0,1))))&gt;0,SUM(IF(A334=$A$2:$A$2427,IF(D334=$D$2:$D$2427,$X$2:$X$2427)))/COUNT(IF(A334=$A$2:$A$2427,IF(D334=$D$2:$D$2427,IF(ISNUMBER($X$2:$X$2427),1)))),0),""),0)</f>
        <v/>
      </c>
      <c r="Z334" s="104" t="str">
        <f>IF(ISNUMBER(O334),IF(I334&gt;0,(10^(VLOOKUP(D334,'Species Codes'!B:C,2,0)+VLOOKUP(D334,'Species Codes'!B:D,3,0)*LOG(E334)+VLOOKUP(D334,'Species Codes'!B:E,4,0)*LOG(I334))),0),"")</f>
        <v/>
      </c>
      <c r="AA334" s="104" t="str">
        <f>IFERROR((VLOOKUP(D334,'Species Codes'!B:G,6,0)*Z334)/2000,"")</f>
        <v/>
      </c>
      <c r="AB334" s="104" t="e">
        <f>IF(Z334&gt;0,((IF(OR(D334="DF",D334="RA")=TRUE,EXP(VLOOKUP(D334,'Species Codes'!B:I,8,0)+VLOOKUP(D334,'Species Codes'!B:J,9,0)*(LN((E334*2.54)))),IF(OR(D334="PY",D334="RC",D334="WH",D334="NF")=TRUE,VLOOKUP(D334,'Species Codes'!B:I,8,0)+VLOOKUP(D334,'Species Codes'!B:J,9,0)*((E334*2.54)^2)*(I334*0.3048),IF(OR(D334="MD",D334="BM",D334="GA")=TRUE,((VLOOKUP(D334,'Species Codes'!B:I,8,0)*(((((E334*2.54)+VLOOKUP(D334,'Species Codes'!B:J,9,0))/VLOOKUP(D334,'Species Codes'!B:K,10,0))^VLOOKUP(D334,'Species Codes'!B:L,11,0))*((I334*0.3048)^VLOOKUP(D334,'Species Codes'!B:M,12,0))))-(VLOOKUP(D334,'Species Codes'!B:I,8,0)*((((E334*2.54)^VLOOKUP(D334,'Species Codes'!B:L,11,0))*((I334*0.3048)^VLOOKUP(D334,'Species Codes'!B:M,12,0))))))*35.3*VLOOKUP(D334,'Species Codes'!B:G,6,0)/2.2046,VLOOKUP(D334,'Species Codes'!B:I,8,0)+VLOOKUP(D334,'Species Codes'!B:J,9,0)*(((E334*2.54)/100)^2)*(I334*0.3048)))))*0.0011023),0)</f>
        <v>#N/A</v>
      </c>
      <c r="AC334" s="104" t="e">
        <f>IF(Z334&gt;0,((IF(OR(D334="RA",D334="OA",D334="OT",D334="UN",D334="PC"),EXP(VLOOKUP(D334,'Species Codes'!B:O,14,0)+VLOOKUP(D334,'Species Codes'!B:P,15,0)*LN((E334*2.54)))-EXP(VLOOKUP(D334,'Species Codes'!B:O,14,0)+VLOOKUP(D334,'Species Codes'!B:P,15,0)*LN((E334*2.54)))*(1/(VLOOKUP(D334,'Species Codes'!B:Q,16,0)+VLOOKUP(D334,'Species Codes'!B:R,17,0)*((E334*2.54)^VLOOKUP(D334,'Species Codes'!B:S,18,0)))),IF(OR(D334="BM",D334="MD",D334="OA"),EXP(VLOOKUP(D334,'Species Codes'!B:O,14,0)+VLOOKUP(D334,'Species Codes'!B:P,15,0)*LN((E334*2.54)))*(1-(1/(VLOOKUP(D334,'Species Codes'!B:Q,16,0)+VLOOKUP(D334,'Species Codes'!B:R,17,0)*((E334*2.54)^VLOOKUP(D334,'Species Codes'!B:S,18,0)))))/1000,IF(D334="DF",EXP(VLOOKUP(D334,'Species Codes'!B:O,14,0)+VLOOKUP(D334,'Species Codes'!B:P,15,0)*LN((E334*2.54))),VLOOKUP(D334,'Species Codes'!B:O,14,0)+VLOOKUP(D334,'Species Codes'!B:P,15,0)*(((E334*2.54)/100)^2)*(I334*0.3048)))))*0.0011023),0)</f>
        <v>#N/A</v>
      </c>
      <c r="AD334" s="104" t="e">
        <f t="shared" si="166"/>
        <v>#N/A</v>
      </c>
      <c r="AE334" s="104" t="e">
        <f t="shared" si="167"/>
        <v>#N/A</v>
      </c>
      <c r="AF334" s="104" t="e">
        <f>IF(AND(VLOOKUP($D334,Merchantability!$B:$C,2,0)="Yes",$E334&gt;=VLOOKUP($D334,Merchantability!$B:$D,3,0),$E334&lt;=VLOOKUP($D334,Merchantability!$B:$E,4,0)),AA334,0)</f>
        <v>#N/A</v>
      </c>
      <c r="AG334" s="104" t="e">
        <f>IF(AND(VLOOKUP($D334,Merchantability!$B:$C,2,0)="Yes",$E334&gt;=VLOOKUP($D334,Merchantability!$B:$D,3,0),$E334&lt;=VLOOKUP($D334,Merchantability!$B:$E,4,0)),AB334,0)</f>
        <v>#N/A</v>
      </c>
      <c r="AH334" s="104" t="e">
        <f>IF(AND(VLOOKUP($D334,Merchantability!$B:$C,2,0)="Yes",$E334&gt;=VLOOKUP($D334,Merchantability!$B:$D,3,0),$E334&lt;=VLOOKUP($D334,Merchantability!$B:$E,4,0)),AC334,0)</f>
        <v>#N/A</v>
      </c>
      <c r="AI334" s="104" t="e">
        <f t="shared" si="168"/>
        <v>#N/A</v>
      </c>
      <c r="AJ334" s="104" t="e">
        <f t="shared" si="169"/>
        <v>#VALUE!</v>
      </c>
      <c r="AK334" s="104" t="e">
        <f t="shared" si="170"/>
        <v>#N/A</v>
      </c>
      <c r="AL334" s="104" t="e">
        <f t="shared" si="171"/>
        <v>#N/A</v>
      </c>
      <c r="AM334" s="104" t="e">
        <f t="shared" si="172"/>
        <v>#N/A</v>
      </c>
      <c r="AN334" s="104" t="e">
        <f t="shared" si="183"/>
        <v>#N/A</v>
      </c>
      <c r="AO334" s="104" t="e">
        <f t="shared" si="184"/>
        <v>#N/A</v>
      </c>
      <c r="AP334" s="104" t="e">
        <f t="shared" si="185"/>
        <v>#N/A</v>
      </c>
      <c r="AQ334" s="104" t="e">
        <f t="shared" si="186"/>
        <v>#N/A</v>
      </c>
      <c r="AR334" s="105" t="str">
        <f t="shared" si="178"/>
        <v/>
      </c>
      <c r="AS334" s="105" t="str">
        <f t="shared" si="179"/>
        <v/>
      </c>
      <c r="AT334" s="108" t="str">
        <f t="shared" si="180"/>
        <v/>
      </c>
      <c r="AU334" s="108" t="str">
        <f t="shared" si="181"/>
        <v/>
      </c>
      <c r="AV334" s="107" t="str">
        <f>IF(ISNUMBER(O334),IF(VLOOKUP($A334,Stand!C:J,8,FALSE)="Short",AT334,AU334),"")</f>
        <v/>
      </c>
      <c r="AW334" s="109" t="str">
        <f t="shared" si="187"/>
        <v/>
      </c>
      <c r="AX334" s="109" t="str">
        <f t="shared" si="188"/>
        <v/>
      </c>
      <c r="AY334" s="112" t="str">
        <f>IF(ISNUMBER(O334),IF(AND(VLOOKUP($D334,Merchantability!$B:$C,2,0)="Yes",$E334&gt;=VLOOKUP($D334,Merchantability!$B:$D,3,0),$E334&lt;=VLOOKUP($D334,Merchantability!$B:$E,4,0)),(AV334*O334)*(1-$H334/100),""),"")</f>
        <v/>
      </c>
      <c r="AZ334" s="116"/>
      <c r="BA334" s="116"/>
      <c r="BB334" s="116"/>
      <c r="BE334" s="62"/>
      <c r="BF334" s="63"/>
    </row>
    <row r="335" spans="1:58" ht="12.75" customHeight="1" x14ac:dyDescent="0.25">
      <c r="A335" s="313"/>
      <c r="B335" s="380"/>
      <c r="C335" s="381"/>
      <c r="D335" s="380"/>
      <c r="E335" s="382"/>
      <c r="F335" s="331"/>
      <c r="G335" s="329"/>
      <c r="H335" s="329"/>
      <c r="I335" s="380"/>
      <c r="J335" s="381"/>
      <c r="K335" s="329"/>
      <c r="L335" s="329"/>
      <c r="M335" s="76"/>
      <c r="N335" s="103" t="str">
        <f>IF(A335="","",VLOOKUP(A335,Stand!C:K,9,0))</f>
        <v/>
      </c>
      <c r="O335" s="104" t="str">
        <f t="shared" si="173"/>
        <v/>
      </c>
      <c r="P335" s="105" t="str">
        <f t="shared" si="174"/>
        <v/>
      </c>
      <c r="Q335" s="105" t="str">
        <f t="shared" si="162"/>
        <v/>
      </c>
      <c r="R335" s="103" t="str">
        <f t="shared" si="175"/>
        <v/>
      </c>
      <c r="S335" s="103" t="str">
        <f t="shared" si="176"/>
        <v/>
      </c>
      <c r="T335" s="106" t="str">
        <f t="shared" si="163"/>
        <v/>
      </c>
      <c r="U335" s="106" t="str">
        <f t="shared" si="164"/>
        <v/>
      </c>
      <c r="V335" s="106" t="str">
        <f t="shared" si="165"/>
        <v/>
      </c>
      <c r="W335" s="105" t="str">
        <f t="shared" si="177"/>
        <v/>
      </c>
      <c r="X335" s="104" t="str">
        <f t="shared" si="182"/>
        <v/>
      </c>
      <c r="Y335" s="104" t="str">
        <f t="array" ref="Y335">IFERROR(IF(ISNUMBER(O335),IF(COUNT(IF(A335=$A$2:$A$2427,IF(D335=$D$2:$D$2427,IF($X$2:$X$2427&gt;0,1))))&gt;0,SUM(IF(A335=$A$2:$A$2427,IF(D335=$D$2:$D$2427,$X$2:$X$2427)))/COUNT(IF(A335=$A$2:$A$2427,IF(D335=$D$2:$D$2427,IF(ISNUMBER($X$2:$X$2427),1)))),0),""),0)</f>
        <v/>
      </c>
      <c r="Z335" s="104" t="str">
        <f>IF(ISNUMBER(O335),IF(I335&gt;0,(10^(VLOOKUP(D335,'Species Codes'!B:C,2,0)+VLOOKUP(D335,'Species Codes'!B:D,3,0)*LOG(E335)+VLOOKUP(D335,'Species Codes'!B:E,4,0)*LOG(I335))),0),"")</f>
        <v/>
      </c>
      <c r="AA335" s="104" t="str">
        <f>IFERROR((VLOOKUP(D335,'Species Codes'!B:G,6,0)*Z335)/2000,"")</f>
        <v/>
      </c>
      <c r="AB335" s="104" t="e">
        <f>IF(Z335&gt;0,((IF(OR(D335="DF",D335="RA")=TRUE,EXP(VLOOKUP(D335,'Species Codes'!B:I,8,0)+VLOOKUP(D335,'Species Codes'!B:J,9,0)*(LN((E335*2.54)))),IF(OR(D335="PY",D335="RC",D335="WH",D335="NF")=TRUE,VLOOKUP(D335,'Species Codes'!B:I,8,0)+VLOOKUP(D335,'Species Codes'!B:J,9,0)*((E335*2.54)^2)*(I335*0.3048),IF(OR(D335="MD",D335="BM",D335="GA")=TRUE,((VLOOKUP(D335,'Species Codes'!B:I,8,0)*(((((E335*2.54)+VLOOKUP(D335,'Species Codes'!B:J,9,0))/VLOOKUP(D335,'Species Codes'!B:K,10,0))^VLOOKUP(D335,'Species Codes'!B:L,11,0))*((I335*0.3048)^VLOOKUP(D335,'Species Codes'!B:M,12,0))))-(VLOOKUP(D335,'Species Codes'!B:I,8,0)*((((E335*2.54)^VLOOKUP(D335,'Species Codes'!B:L,11,0))*((I335*0.3048)^VLOOKUP(D335,'Species Codes'!B:M,12,0))))))*35.3*VLOOKUP(D335,'Species Codes'!B:G,6,0)/2.2046,VLOOKUP(D335,'Species Codes'!B:I,8,0)+VLOOKUP(D335,'Species Codes'!B:J,9,0)*(((E335*2.54)/100)^2)*(I335*0.3048)))))*0.0011023),0)</f>
        <v>#N/A</v>
      </c>
      <c r="AC335" s="104" t="e">
        <f>IF(Z335&gt;0,((IF(OR(D335="RA",D335="OA",D335="OT",D335="UN",D335="PC"),EXP(VLOOKUP(D335,'Species Codes'!B:O,14,0)+VLOOKUP(D335,'Species Codes'!B:P,15,0)*LN((E335*2.54)))-EXP(VLOOKUP(D335,'Species Codes'!B:O,14,0)+VLOOKUP(D335,'Species Codes'!B:P,15,0)*LN((E335*2.54)))*(1/(VLOOKUP(D335,'Species Codes'!B:Q,16,0)+VLOOKUP(D335,'Species Codes'!B:R,17,0)*((E335*2.54)^VLOOKUP(D335,'Species Codes'!B:S,18,0)))),IF(OR(D335="BM",D335="MD",D335="OA"),EXP(VLOOKUP(D335,'Species Codes'!B:O,14,0)+VLOOKUP(D335,'Species Codes'!B:P,15,0)*LN((E335*2.54)))*(1-(1/(VLOOKUP(D335,'Species Codes'!B:Q,16,0)+VLOOKUP(D335,'Species Codes'!B:R,17,0)*((E335*2.54)^VLOOKUP(D335,'Species Codes'!B:S,18,0)))))/1000,IF(D335="DF",EXP(VLOOKUP(D335,'Species Codes'!B:O,14,0)+VLOOKUP(D335,'Species Codes'!B:P,15,0)*LN((E335*2.54))),VLOOKUP(D335,'Species Codes'!B:O,14,0)+VLOOKUP(D335,'Species Codes'!B:P,15,0)*(((E335*2.54)/100)^2)*(I335*0.3048)))))*0.0011023),0)</f>
        <v>#N/A</v>
      </c>
      <c r="AD335" s="104" t="e">
        <f t="shared" si="166"/>
        <v>#N/A</v>
      </c>
      <c r="AE335" s="104" t="e">
        <f t="shared" si="167"/>
        <v>#N/A</v>
      </c>
      <c r="AF335" s="104" t="e">
        <f>IF(AND(VLOOKUP($D335,Merchantability!$B:$C,2,0)="Yes",$E335&gt;=VLOOKUP($D335,Merchantability!$B:$D,3,0),$E335&lt;=VLOOKUP($D335,Merchantability!$B:$E,4,0)),AA335,0)</f>
        <v>#N/A</v>
      </c>
      <c r="AG335" s="104" t="e">
        <f>IF(AND(VLOOKUP($D335,Merchantability!$B:$C,2,0)="Yes",$E335&gt;=VLOOKUP($D335,Merchantability!$B:$D,3,0),$E335&lt;=VLOOKUP($D335,Merchantability!$B:$E,4,0)),AB335,0)</f>
        <v>#N/A</v>
      </c>
      <c r="AH335" s="104" t="e">
        <f>IF(AND(VLOOKUP($D335,Merchantability!$B:$C,2,0)="Yes",$E335&gt;=VLOOKUP($D335,Merchantability!$B:$D,3,0),$E335&lt;=VLOOKUP($D335,Merchantability!$B:$E,4,0)),AC335,0)</f>
        <v>#N/A</v>
      </c>
      <c r="AI335" s="104" t="e">
        <f t="shared" si="168"/>
        <v>#N/A</v>
      </c>
      <c r="AJ335" s="104" t="e">
        <f t="shared" si="169"/>
        <v>#VALUE!</v>
      </c>
      <c r="AK335" s="104" t="e">
        <f t="shared" si="170"/>
        <v>#N/A</v>
      </c>
      <c r="AL335" s="104" t="e">
        <f t="shared" si="171"/>
        <v>#N/A</v>
      </c>
      <c r="AM335" s="104" t="e">
        <f t="shared" si="172"/>
        <v>#N/A</v>
      </c>
      <c r="AN335" s="104" t="e">
        <f t="shared" si="183"/>
        <v>#N/A</v>
      </c>
      <c r="AO335" s="104" t="e">
        <f t="shared" si="184"/>
        <v>#N/A</v>
      </c>
      <c r="AP335" s="104" t="e">
        <f t="shared" si="185"/>
        <v>#N/A</v>
      </c>
      <c r="AQ335" s="104" t="e">
        <f t="shared" si="186"/>
        <v>#N/A</v>
      </c>
      <c r="AR335" s="105" t="str">
        <f t="shared" si="178"/>
        <v/>
      </c>
      <c r="AS335" s="105" t="str">
        <f t="shared" si="179"/>
        <v/>
      </c>
      <c r="AT335" s="108" t="str">
        <f t="shared" si="180"/>
        <v/>
      </c>
      <c r="AU335" s="108" t="str">
        <f t="shared" si="181"/>
        <v/>
      </c>
      <c r="AV335" s="107" t="str">
        <f>IF(ISNUMBER(O335),IF(VLOOKUP($A335,Stand!C:J,8,FALSE)="Short",AT335,AU335),"")</f>
        <v/>
      </c>
      <c r="AW335" s="109" t="str">
        <f t="shared" si="187"/>
        <v/>
      </c>
      <c r="AX335" s="109" t="str">
        <f t="shared" si="188"/>
        <v/>
      </c>
      <c r="AY335" s="112" t="str">
        <f>IF(ISNUMBER(O335),IF(AND(VLOOKUP($D335,Merchantability!$B:$C,2,0)="Yes",$E335&gt;=VLOOKUP($D335,Merchantability!$B:$D,3,0),$E335&lt;=VLOOKUP($D335,Merchantability!$B:$E,4,0)),(AV335*O335)*(1-$H335/100),""),"")</f>
        <v/>
      </c>
      <c r="AZ335" s="116"/>
      <c r="BA335" s="116"/>
      <c r="BB335" s="116"/>
      <c r="BE335" s="62"/>
      <c r="BF335" s="63"/>
    </row>
    <row r="336" spans="1:58" ht="12.75" customHeight="1" x14ac:dyDescent="0.25">
      <c r="A336" s="313"/>
      <c r="B336" s="380"/>
      <c r="C336" s="381"/>
      <c r="D336" s="380"/>
      <c r="E336" s="382"/>
      <c r="F336" s="331"/>
      <c r="G336" s="329"/>
      <c r="H336" s="329"/>
      <c r="I336" s="380"/>
      <c r="J336" s="381"/>
      <c r="K336" s="329"/>
      <c r="L336" s="329"/>
      <c r="M336" s="76"/>
      <c r="N336" s="103" t="str">
        <f>IF(A336="","",VLOOKUP(A336,Stand!C:K,9,0))</f>
        <v/>
      </c>
      <c r="O336" s="104" t="str">
        <f t="shared" si="173"/>
        <v/>
      </c>
      <c r="P336" s="105" t="str">
        <f t="shared" si="174"/>
        <v/>
      </c>
      <c r="Q336" s="105" t="str">
        <f t="shared" si="162"/>
        <v/>
      </c>
      <c r="R336" s="103" t="str">
        <f t="shared" si="175"/>
        <v/>
      </c>
      <c r="S336" s="103" t="str">
        <f t="shared" si="176"/>
        <v/>
      </c>
      <c r="T336" s="106" t="str">
        <f t="shared" si="163"/>
        <v/>
      </c>
      <c r="U336" s="106" t="str">
        <f t="shared" si="164"/>
        <v/>
      </c>
      <c r="V336" s="106" t="str">
        <f t="shared" si="165"/>
        <v/>
      </c>
      <c r="W336" s="105" t="str">
        <f t="shared" si="177"/>
        <v/>
      </c>
      <c r="X336" s="104" t="str">
        <f t="shared" si="182"/>
        <v/>
      </c>
      <c r="Y336" s="104" t="str">
        <f t="array" ref="Y336">IFERROR(IF(ISNUMBER(O336),IF(COUNT(IF(A336=$A$2:$A$2427,IF(D336=$D$2:$D$2427,IF($X$2:$X$2427&gt;0,1))))&gt;0,SUM(IF(A336=$A$2:$A$2427,IF(D336=$D$2:$D$2427,$X$2:$X$2427)))/COUNT(IF(A336=$A$2:$A$2427,IF(D336=$D$2:$D$2427,IF(ISNUMBER($X$2:$X$2427),1)))),0),""),0)</f>
        <v/>
      </c>
      <c r="Z336" s="104" t="str">
        <f>IF(ISNUMBER(O336),IF(I336&gt;0,(10^(VLOOKUP(D336,'Species Codes'!B:C,2,0)+VLOOKUP(D336,'Species Codes'!B:D,3,0)*LOG(E336)+VLOOKUP(D336,'Species Codes'!B:E,4,0)*LOG(I336))),0),"")</f>
        <v/>
      </c>
      <c r="AA336" s="104" t="str">
        <f>IFERROR((VLOOKUP(D336,'Species Codes'!B:G,6,0)*Z336)/2000,"")</f>
        <v/>
      </c>
      <c r="AB336" s="104" t="e">
        <f>IF(Z336&gt;0,((IF(OR(D336="DF",D336="RA")=TRUE,EXP(VLOOKUP(D336,'Species Codes'!B:I,8,0)+VLOOKUP(D336,'Species Codes'!B:J,9,0)*(LN((E336*2.54)))),IF(OR(D336="PY",D336="RC",D336="WH",D336="NF")=TRUE,VLOOKUP(D336,'Species Codes'!B:I,8,0)+VLOOKUP(D336,'Species Codes'!B:J,9,0)*((E336*2.54)^2)*(I336*0.3048),IF(OR(D336="MD",D336="BM",D336="GA")=TRUE,((VLOOKUP(D336,'Species Codes'!B:I,8,0)*(((((E336*2.54)+VLOOKUP(D336,'Species Codes'!B:J,9,0))/VLOOKUP(D336,'Species Codes'!B:K,10,0))^VLOOKUP(D336,'Species Codes'!B:L,11,0))*((I336*0.3048)^VLOOKUP(D336,'Species Codes'!B:M,12,0))))-(VLOOKUP(D336,'Species Codes'!B:I,8,0)*((((E336*2.54)^VLOOKUP(D336,'Species Codes'!B:L,11,0))*((I336*0.3048)^VLOOKUP(D336,'Species Codes'!B:M,12,0))))))*35.3*VLOOKUP(D336,'Species Codes'!B:G,6,0)/2.2046,VLOOKUP(D336,'Species Codes'!B:I,8,0)+VLOOKUP(D336,'Species Codes'!B:J,9,0)*(((E336*2.54)/100)^2)*(I336*0.3048)))))*0.0011023),0)</f>
        <v>#N/A</v>
      </c>
      <c r="AC336" s="104" t="e">
        <f>IF(Z336&gt;0,((IF(OR(D336="RA",D336="OA",D336="OT",D336="UN",D336="PC"),EXP(VLOOKUP(D336,'Species Codes'!B:O,14,0)+VLOOKUP(D336,'Species Codes'!B:P,15,0)*LN((E336*2.54)))-EXP(VLOOKUP(D336,'Species Codes'!B:O,14,0)+VLOOKUP(D336,'Species Codes'!B:P,15,0)*LN((E336*2.54)))*(1/(VLOOKUP(D336,'Species Codes'!B:Q,16,0)+VLOOKUP(D336,'Species Codes'!B:R,17,0)*((E336*2.54)^VLOOKUP(D336,'Species Codes'!B:S,18,0)))),IF(OR(D336="BM",D336="MD",D336="OA"),EXP(VLOOKUP(D336,'Species Codes'!B:O,14,0)+VLOOKUP(D336,'Species Codes'!B:P,15,0)*LN((E336*2.54)))*(1-(1/(VLOOKUP(D336,'Species Codes'!B:Q,16,0)+VLOOKUP(D336,'Species Codes'!B:R,17,0)*((E336*2.54)^VLOOKUP(D336,'Species Codes'!B:S,18,0)))))/1000,IF(D336="DF",EXP(VLOOKUP(D336,'Species Codes'!B:O,14,0)+VLOOKUP(D336,'Species Codes'!B:P,15,0)*LN((E336*2.54))),VLOOKUP(D336,'Species Codes'!B:O,14,0)+VLOOKUP(D336,'Species Codes'!B:P,15,0)*(((E336*2.54)/100)^2)*(I336*0.3048)))))*0.0011023),0)</f>
        <v>#N/A</v>
      </c>
      <c r="AD336" s="104" t="e">
        <f t="shared" si="166"/>
        <v>#N/A</v>
      </c>
      <c r="AE336" s="104" t="e">
        <f t="shared" si="167"/>
        <v>#N/A</v>
      </c>
      <c r="AF336" s="104" t="e">
        <f>IF(AND(VLOOKUP($D336,Merchantability!$B:$C,2,0)="Yes",$E336&gt;=VLOOKUP($D336,Merchantability!$B:$D,3,0),$E336&lt;=VLOOKUP($D336,Merchantability!$B:$E,4,0)),AA336,0)</f>
        <v>#N/A</v>
      </c>
      <c r="AG336" s="104" t="e">
        <f>IF(AND(VLOOKUP($D336,Merchantability!$B:$C,2,0)="Yes",$E336&gt;=VLOOKUP($D336,Merchantability!$B:$D,3,0),$E336&lt;=VLOOKUP($D336,Merchantability!$B:$E,4,0)),AB336,0)</f>
        <v>#N/A</v>
      </c>
      <c r="AH336" s="104" t="e">
        <f>IF(AND(VLOOKUP($D336,Merchantability!$B:$C,2,0)="Yes",$E336&gt;=VLOOKUP($D336,Merchantability!$B:$D,3,0),$E336&lt;=VLOOKUP($D336,Merchantability!$B:$E,4,0)),AC336,0)</f>
        <v>#N/A</v>
      </c>
      <c r="AI336" s="104" t="e">
        <f t="shared" si="168"/>
        <v>#N/A</v>
      </c>
      <c r="AJ336" s="104" t="e">
        <f t="shared" si="169"/>
        <v>#VALUE!</v>
      </c>
      <c r="AK336" s="104" t="e">
        <f t="shared" si="170"/>
        <v>#N/A</v>
      </c>
      <c r="AL336" s="104" t="e">
        <f t="shared" si="171"/>
        <v>#N/A</v>
      </c>
      <c r="AM336" s="104" t="e">
        <f t="shared" si="172"/>
        <v>#N/A</v>
      </c>
      <c r="AN336" s="104" t="e">
        <f t="shared" si="183"/>
        <v>#N/A</v>
      </c>
      <c r="AO336" s="104" t="e">
        <f t="shared" si="184"/>
        <v>#N/A</v>
      </c>
      <c r="AP336" s="104" t="e">
        <f t="shared" si="185"/>
        <v>#N/A</v>
      </c>
      <c r="AQ336" s="104" t="e">
        <f t="shared" si="186"/>
        <v>#N/A</v>
      </c>
      <c r="AR336" s="105" t="str">
        <f t="shared" si="178"/>
        <v/>
      </c>
      <c r="AS336" s="105" t="str">
        <f t="shared" si="179"/>
        <v/>
      </c>
      <c r="AT336" s="108" t="str">
        <f t="shared" si="180"/>
        <v/>
      </c>
      <c r="AU336" s="108" t="str">
        <f t="shared" si="181"/>
        <v/>
      </c>
      <c r="AV336" s="107" t="str">
        <f>IF(ISNUMBER(O336),IF(VLOOKUP($A336,Stand!C:J,8,FALSE)="Short",AT336,AU336),"")</f>
        <v/>
      </c>
      <c r="AW336" s="109" t="str">
        <f t="shared" si="187"/>
        <v/>
      </c>
      <c r="AX336" s="109" t="str">
        <f t="shared" si="188"/>
        <v/>
      </c>
      <c r="AY336" s="112" t="str">
        <f>IF(ISNUMBER(O336),IF(AND(VLOOKUP($D336,Merchantability!$B:$C,2,0)="Yes",$E336&gt;=VLOOKUP($D336,Merchantability!$B:$D,3,0),$E336&lt;=VLOOKUP($D336,Merchantability!$B:$E,4,0)),(AV336*O336)*(1-$H336/100),""),"")</f>
        <v/>
      </c>
      <c r="AZ336" s="116"/>
      <c r="BA336" s="116"/>
      <c r="BB336" s="116"/>
      <c r="BE336" s="62"/>
      <c r="BF336" s="63"/>
    </row>
    <row r="337" spans="1:58" ht="12.75" customHeight="1" x14ac:dyDescent="0.25">
      <c r="A337" s="313"/>
      <c r="B337" s="380"/>
      <c r="C337" s="381"/>
      <c r="D337" s="380"/>
      <c r="E337" s="382"/>
      <c r="F337" s="331"/>
      <c r="G337" s="329"/>
      <c r="H337" s="329"/>
      <c r="I337" s="380"/>
      <c r="J337" s="381"/>
      <c r="K337" s="329"/>
      <c r="L337" s="329"/>
      <c r="M337" s="76"/>
      <c r="N337" s="103" t="str">
        <f>IF(A337="","",VLOOKUP(A337,Stand!C:K,9,0))</f>
        <v/>
      </c>
      <c r="O337" s="104" t="str">
        <f t="shared" si="173"/>
        <v/>
      </c>
      <c r="P337" s="105" t="str">
        <f t="shared" si="174"/>
        <v/>
      </c>
      <c r="Q337" s="105" t="str">
        <f t="shared" si="162"/>
        <v/>
      </c>
      <c r="R337" s="103" t="str">
        <f t="shared" si="175"/>
        <v/>
      </c>
      <c r="S337" s="103" t="str">
        <f t="shared" si="176"/>
        <v/>
      </c>
      <c r="T337" s="106" t="str">
        <f t="shared" si="163"/>
        <v/>
      </c>
      <c r="U337" s="106" t="str">
        <f t="shared" si="164"/>
        <v/>
      </c>
      <c r="V337" s="106" t="str">
        <f t="shared" si="165"/>
        <v/>
      </c>
      <c r="W337" s="105" t="str">
        <f t="shared" si="177"/>
        <v/>
      </c>
      <c r="X337" s="104" t="str">
        <f t="shared" si="182"/>
        <v/>
      </c>
      <c r="Y337" s="104" t="str">
        <f t="array" ref="Y337">IFERROR(IF(ISNUMBER(O337),IF(COUNT(IF(A337=$A$2:$A$2427,IF(D337=$D$2:$D$2427,IF($X$2:$X$2427&gt;0,1))))&gt;0,SUM(IF(A337=$A$2:$A$2427,IF(D337=$D$2:$D$2427,$X$2:$X$2427)))/COUNT(IF(A337=$A$2:$A$2427,IF(D337=$D$2:$D$2427,IF(ISNUMBER($X$2:$X$2427),1)))),0),""),0)</f>
        <v/>
      </c>
      <c r="Z337" s="104" t="str">
        <f>IF(ISNUMBER(O337),IF(I337&gt;0,(10^(VLOOKUP(D337,'Species Codes'!B:C,2,0)+VLOOKUP(D337,'Species Codes'!B:D,3,0)*LOG(E337)+VLOOKUP(D337,'Species Codes'!B:E,4,0)*LOG(I337))),0),"")</f>
        <v/>
      </c>
      <c r="AA337" s="104" t="str">
        <f>IFERROR((VLOOKUP(D337,'Species Codes'!B:G,6,0)*Z337)/2000,"")</f>
        <v/>
      </c>
      <c r="AB337" s="104" t="e">
        <f>IF(Z337&gt;0,((IF(OR(D337="DF",D337="RA")=TRUE,EXP(VLOOKUP(D337,'Species Codes'!B:I,8,0)+VLOOKUP(D337,'Species Codes'!B:J,9,0)*(LN((E337*2.54)))),IF(OR(D337="PY",D337="RC",D337="WH",D337="NF")=TRUE,VLOOKUP(D337,'Species Codes'!B:I,8,0)+VLOOKUP(D337,'Species Codes'!B:J,9,0)*((E337*2.54)^2)*(I337*0.3048),IF(OR(D337="MD",D337="BM",D337="GA")=TRUE,((VLOOKUP(D337,'Species Codes'!B:I,8,0)*(((((E337*2.54)+VLOOKUP(D337,'Species Codes'!B:J,9,0))/VLOOKUP(D337,'Species Codes'!B:K,10,0))^VLOOKUP(D337,'Species Codes'!B:L,11,0))*((I337*0.3048)^VLOOKUP(D337,'Species Codes'!B:M,12,0))))-(VLOOKUP(D337,'Species Codes'!B:I,8,0)*((((E337*2.54)^VLOOKUP(D337,'Species Codes'!B:L,11,0))*((I337*0.3048)^VLOOKUP(D337,'Species Codes'!B:M,12,0))))))*35.3*VLOOKUP(D337,'Species Codes'!B:G,6,0)/2.2046,VLOOKUP(D337,'Species Codes'!B:I,8,0)+VLOOKUP(D337,'Species Codes'!B:J,9,0)*(((E337*2.54)/100)^2)*(I337*0.3048)))))*0.0011023),0)</f>
        <v>#N/A</v>
      </c>
      <c r="AC337" s="104" t="e">
        <f>IF(Z337&gt;0,((IF(OR(D337="RA",D337="OA",D337="OT",D337="UN",D337="PC"),EXP(VLOOKUP(D337,'Species Codes'!B:O,14,0)+VLOOKUP(D337,'Species Codes'!B:P,15,0)*LN((E337*2.54)))-EXP(VLOOKUP(D337,'Species Codes'!B:O,14,0)+VLOOKUP(D337,'Species Codes'!B:P,15,0)*LN((E337*2.54)))*(1/(VLOOKUP(D337,'Species Codes'!B:Q,16,0)+VLOOKUP(D337,'Species Codes'!B:R,17,0)*((E337*2.54)^VLOOKUP(D337,'Species Codes'!B:S,18,0)))),IF(OR(D337="BM",D337="MD",D337="OA"),EXP(VLOOKUP(D337,'Species Codes'!B:O,14,0)+VLOOKUP(D337,'Species Codes'!B:P,15,0)*LN((E337*2.54)))*(1-(1/(VLOOKUP(D337,'Species Codes'!B:Q,16,0)+VLOOKUP(D337,'Species Codes'!B:R,17,0)*((E337*2.54)^VLOOKUP(D337,'Species Codes'!B:S,18,0)))))/1000,IF(D337="DF",EXP(VLOOKUP(D337,'Species Codes'!B:O,14,0)+VLOOKUP(D337,'Species Codes'!B:P,15,0)*LN((E337*2.54))),VLOOKUP(D337,'Species Codes'!B:O,14,0)+VLOOKUP(D337,'Species Codes'!B:P,15,0)*(((E337*2.54)/100)^2)*(I337*0.3048)))))*0.0011023),0)</f>
        <v>#N/A</v>
      </c>
      <c r="AD337" s="104" t="e">
        <f t="shared" si="166"/>
        <v>#N/A</v>
      </c>
      <c r="AE337" s="104" t="e">
        <f t="shared" si="167"/>
        <v>#N/A</v>
      </c>
      <c r="AF337" s="104" t="e">
        <f>IF(AND(VLOOKUP($D337,Merchantability!$B:$C,2,0)="Yes",$E337&gt;=VLOOKUP($D337,Merchantability!$B:$D,3,0),$E337&lt;=VLOOKUP($D337,Merchantability!$B:$E,4,0)),AA337,0)</f>
        <v>#N/A</v>
      </c>
      <c r="AG337" s="104" t="e">
        <f>IF(AND(VLOOKUP($D337,Merchantability!$B:$C,2,0)="Yes",$E337&gt;=VLOOKUP($D337,Merchantability!$B:$D,3,0),$E337&lt;=VLOOKUP($D337,Merchantability!$B:$E,4,0)),AB337,0)</f>
        <v>#N/A</v>
      </c>
      <c r="AH337" s="104" t="e">
        <f>IF(AND(VLOOKUP($D337,Merchantability!$B:$C,2,0)="Yes",$E337&gt;=VLOOKUP($D337,Merchantability!$B:$D,3,0),$E337&lt;=VLOOKUP($D337,Merchantability!$B:$E,4,0)),AC337,0)</f>
        <v>#N/A</v>
      </c>
      <c r="AI337" s="104" t="e">
        <f t="shared" si="168"/>
        <v>#N/A</v>
      </c>
      <c r="AJ337" s="104" t="e">
        <f t="shared" si="169"/>
        <v>#VALUE!</v>
      </c>
      <c r="AK337" s="104" t="e">
        <f t="shared" si="170"/>
        <v>#N/A</v>
      </c>
      <c r="AL337" s="104" t="e">
        <f t="shared" si="171"/>
        <v>#N/A</v>
      </c>
      <c r="AM337" s="104" t="e">
        <f t="shared" si="172"/>
        <v>#N/A</v>
      </c>
      <c r="AN337" s="104" t="e">
        <f t="shared" si="183"/>
        <v>#N/A</v>
      </c>
      <c r="AO337" s="104" t="e">
        <f t="shared" si="184"/>
        <v>#N/A</v>
      </c>
      <c r="AP337" s="104" t="e">
        <f t="shared" si="185"/>
        <v>#N/A</v>
      </c>
      <c r="AQ337" s="104" t="e">
        <f t="shared" si="186"/>
        <v>#N/A</v>
      </c>
      <c r="AR337" s="105" t="str">
        <f t="shared" si="178"/>
        <v/>
      </c>
      <c r="AS337" s="105" t="str">
        <f t="shared" si="179"/>
        <v/>
      </c>
      <c r="AT337" s="108" t="str">
        <f t="shared" si="180"/>
        <v/>
      </c>
      <c r="AU337" s="108" t="str">
        <f t="shared" si="181"/>
        <v/>
      </c>
      <c r="AV337" s="107" t="str">
        <f>IF(ISNUMBER(O337),IF(VLOOKUP($A337,Stand!C:J,8,FALSE)="Short",AT337,AU337),"")</f>
        <v/>
      </c>
      <c r="AW337" s="109" t="str">
        <f t="shared" si="187"/>
        <v/>
      </c>
      <c r="AX337" s="109" t="str">
        <f t="shared" si="188"/>
        <v/>
      </c>
      <c r="AY337" s="112" t="str">
        <f>IF(ISNUMBER(O337),IF(AND(VLOOKUP($D337,Merchantability!$B:$C,2,0)="Yes",$E337&gt;=VLOOKUP($D337,Merchantability!$B:$D,3,0),$E337&lt;=VLOOKUP($D337,Merchantability!$B:$E,4,0)),(AV337*O337)*(1-$H337/100),""),"")</f>
        <v/>
      </c>
      <c r="AZ337" s="116"/>
      <c r="BA337" s="116"/>
      <c r="BB337" s="116"/>
      <c r="BE337" s="62"/>
      <c r="BF337" s="63"/>
    </row>
    <row r="338" spans="1:58" ht="12.75" customHeight="1" x14ac:dyDescent="0.25">
      <c r="A338" s="313"/>
      <c r="B338" s="380"/>
      <c r="C338" s="381"/>
      <c r="D338" s="380"/>
      <c r="E338" s="382"/>
      <c r="F338" s="331"/>
      <c r="G338" s="329"/>
      <c r="H338" s="329"/>
      <c r="I338" s="380"/>
      <c r="J338" s="381"/>
      <c r="K338" s="329"/>
      <c r="L338" s="329"/>
      <c r="M338" s="76"/>
      <c r="N338" s="103" t="str">
        <f>IF(A338="","",VLOOKUP(A338,Stand!C:K,9,0))</f>
        <v/>
      </c>
      <c r="O338" s="104" t="str">
        <f t="shared" si="173"/>
        <v/>
      </c>
      <c r="P338" s="105" t="str">
        <f t="shared" si="174"/>
        <v/>
      </c>
      <c r="Q338" s="105" t="str">
        <f t="shared" si="162"/>
        <v/>
      </c>
      <c r="R338" s="103" t="str">
        <f t="shared" si="175"/>
        <v/>
      </c>
      <c r="S338" s="103" t="str">
        <f t="shared" si="176"/>
        <v/>
      </c>
      <c r="T338" s="106" t="str">
        <f t="shared" si="163"/>
        <v/>
      </c>
      <c r="U338" s="106" t="str">
        <f t="shared" si="164"/>
        <v/>
      </c>
      <c r="V338" s="106" t="str">
        <f t="shared" si="165"/>
        <v/>
      </c>
      <c r="W338" s="105" t="str">
        <f t="shared" si="177"/>
        <v/>
      </c>
      <c r="X338" s="104" t="str">
        <f t="shared" si="182"/>
        <v/>
      </c>
      <c r="Y338" s="104" t="str">
        <f t="array" ref="Y338">IFERROR(IF(ISNUMBER(O338),IF(COUNT(IF(A338=$A$2:$A$2427,IF(D338=$D$2:$D$2427,IF($X$2:$X$2427&gt;0,1))))&gt;0,SUM(IF(A338=$A$2:$A$2427,IF(D338=$D$2:$D$2427,$X$2:$X$2427)))/COUNT(IF(A338=$A$2:$A$2427,IF(D338=$D$2:$D$2427,IF(ISNUMBER($X$2:$X$2427),1)))),0),""),0)</f>
        <v/>
      </c>
      <c r="Z338" s="104" t="str">
        <f>IF(ISNUMBER(O338),IF(I338&gt;0,(10^(VLOOKUP(D338,'Species Codes'!B:C,2,0)+VLOOKUP(D338,'Species Codes'!B:D,3,0)*LOG(E338)+VLOOKUP(D338,'Species Codes'!B:E,4,0)*LOG(I338))),0),"")</f>
        <v/>
      </c>
      <c r="AA338" s="104" t="str">
        <f>IFERROR((VLOOKUP(D338,'Species Codes'!B:G,6,0)*Z338)/2000,"")</f>
        <v/>
      </c>
      <c r="AB338" s="104" t="e">
        <f>IF(Z338&gt;0,((IF(OR(D338="DF",D338="RA")=TRUE,EXP(VLOOKUP(D338,'Species Codes'!B:I,8,0)+VLOOKUP(D338,'Species Codes'!B:J,9,0)*(LN((E338*2.54)))),IF(OR(D338="PY",D338="RC",D338="WH",D338="NF")=TRUE,VLOOKUP(D338,'Species Codes'!B:I,8,0)+VLOOKUP(D338,'Species Codes'!B:J,9,0)*((E338*2.54)^2)*(I338*0.3048),IF(OR(D338="MD",D338="BM",D338="GA")=TRUE,((VLOOKUP(D338,'Species Codes'!B:I,8,0)*(((((E338*2.54)+VLOOKUP(D338,'Species Codes'!B:J,9,0))/VLOOKUP(D338,'Species Codes'!B:K,10,0))^VLOOKUP(D338,'Species Codes'!B:L,11,0))*((I338*0.3048)^VLOOKUP(D338,'Species Codes'!B:M,12,0))))-(VLOOKUP(D338,'Species Codes'!B:I,8,0)*((((E338*2.54)^VLOOKUP(D338,'Species Codes'!B:L,11,0))*((I338*0.3048)^VLOOKUP(D338,'Species Codes'!B:M,12,0))))))*35.3*VLOOKUP(D338,'Species Codes'!B:G,6,0)/2.2046,VLOOKUP(D338,'Species Codes'!B:I,8,0)+VLOOKUP(D338,'Species Codes'!B:J,9,0)*(((E338*2.54)/100)^2)*(I338*0.3048)))))*0.0011023),0)</f>
        <v>#N/A</v>
      </c>
      <c r="AC338" s="104" t="e">
        <f>IF(Z338&gt;0,((IF(OR(D338="RA",D338="OA",D338="OT",D338="UN",D338="PC"),EXP(VLOOKUP(D338,'Species Codes'!B:O,14,0)+VLOOKUP(D338,'Species Codes'!B:P,15,0)*LN((E338*2.54)))-EXP(VLOOKUP(D338,'Species Codes'!B:O,14,0)+VLOOKUP(D338,'Species Codes'!B:P,15,0)*LN((E338*2.54)))*(1/(VLOOKUP(D338,'Species Codes'!B:Q,16,0)+VLOOKUP(D338,'Species Codes'!B:R,17,0)*((E338*2.54)^VLOOKUP(D338,'Species Codes'!B:S,18,0)))),IF(OR(D338="BM",D338="MD",D338="OA"),EXP(VLOOKUP(D338,'Species Codes'!B:O,14,0)+VLOOKUP(D338,'Species Codes'!B:P,15,0)*LN((E338*2.54)))*(1-(1/(VLOOKUP(D338,'Species Codes'!B:Q,16,0)+VLOOKUP(D338,'Species Codes'!B:R,17,0)*((E338*2.54)^VLOOKUP(D338,'Species Codes'!B:S,18,0)))))/1000,IF(D338="DF",EXP(VLOOKUP(D338,'Species Codes'!B:O,14,0)+VLOOKUP(D338,'Species Codes'!B:P,15,0)*LN((E338*2.54))),VLOOKUP(D338,'Species Codes'!B:O,14,0)+VLOOKUP(D338,'Species Codes'!B:P,15,0)*(((E338*2.54)/100)^2)*(I338*0.3048)))))*0.0011023),0)</f>
        <v>#N/A</v>
      </c>
      <c r="AD338" s="104" t="e">
        <f t="shared" si="166"/>
        <v>#N/A</v>
      </c>
      <c r="AE338" s="104" t="e">
        <f t="shared" si="167"/>
        <v>#N/A</v>
      </c>
      <c r="AF338" s="104" t="e">
        <f>IF(AND(VLOOKUP($D338,Merchantability!$B:$C,2,0)="Yes",$E338&gt;=VLOOKUP($D338,Merchantability!$B:$D,3,0),$E338&lt;=VLOOKUP($D338,Merchantability!$B:$E,4,0)),AA338,0)</f>
        <v>#N/A</v>
      </c>
      <c r="AG338" s="104" t="e">
        <f>IF(AND(VLOOKUP($D338,Merchantability!$B:$C,2,0)="Yes",$E338&gt;=VLOOKUP($D338,Merchantability!$B:$D,3,0),$E338&lt;=VLOOKUP($D338,Merchantability!$B:$E,4,0)),AB338,0)</f>
        <v>#N/A</v>
      </c>
      <c r="AH338" s="104" t="e">
        <f>IF(AND(VLOOKUP($D338,Merchantability!$B:$C,2,0)="Yes",$E338&gt;=VLOOKUP($D338,Merchantability!$B:$D,3,0),$E338&lt;=VLOOKUP($D338,Merchantability!$B:$E,4,0)),AC338,0)</f>
        <v>#N/A</v>
      </c>
      <c r="AI338" s="104" t="e">
        <f t="shared" si="168"/>
        <v>#N/A</v>
      </c>
      <c r="AJ338" s="104" t="e">
        <f t="shared" si="169"/>
        <v>#VALUE!</v>
      </c>
      <c r="AK338" s="104" t="e">
        <f t="shared" si="170"/>
        <v>#N/A</v>
      </c>
      <c r="AL338" s="104" t="e">
        <f t="shared" si="171"/>
        <v>#N/A</v>
      </c>
      <c r="AM338" s="104" t="e">
        <f t="shared" si="172"/>
        <v>#N/A</v>
      </c>
      <c r="AN338" s="104" t="e">
        <f t="shared" si="183"/>
        <v>#N/A</v>
      </c>
      <c r="AO338" s="104" t="e">
        <f t="shared" si="184"/>
        <v>#N/A</v>
      </c>
      <c r="AP338" s="104" t="e">
        <f t="shared" si="185"/>
        <v>#N/A</v>
      </c>
      <c r="AQ338" s="104" t="e">
        <f t="shared" si="186"/>
        <v>#N/A</v>
      </c>
      <c r="AR338" s="105" t="str">
        <f t="shared" si="178"/>
        <v/>
      </c>
      <c r="AS338" s="105" t="str">
        <f t="shared" si="179"/>
        <v/>
      </c>
      <c r="AT338" s="108" t="str">
        <f t="shared" si="180"/>
        <v/>
      </c>
      <c r="AU338" s="108" t="str">
        <f t="shared" si="181"/>
        <v/>
      </c>
      <c r="AV338" s="107" t="str">
        <f>IF(ISNUMBER(O338),IF(VLOOKUP($A338,Stand!C:J,8,FALSE)="Short",AT338,AU338),"")</f>
        <v/>
      </c>
      <c r="AW338" s="109" t="str">
        <f t="shared" si="187"/>
        <v/>
      </c>
      <c r="AX338" s="109" t="str">
        <f t="shared" si="188"/>
        <v/>
      </c>
      <c r="AY338" s="112" t="str">
        <f>IF(ISNUMBER(O338),IF(AND(VLOOKUP($D338,Merchantability!$B:$C,2,0)="Yes",$E338&gt;=VLOOKUP($D338,Merchantability!$B:$D,3,0),$E338&lt;=VLOOKUP($D338,Merchantability!$B:$E,4,0)),(AV338*O338)*(1-$H338/100),""),"")</f>
        <v/>
      </c>
      <c r="AZ338" s="116"/>
      <c r="BA338" s="116"/>
      <c r="BB338" s="116"/>
      <c r="BE338" s="62"/>
      <c r="BF338" s="63"/>
    </row>
    <row r="339" spans="1:58" ht="12.75" customHeight="1" x14ac:dyDescent="0.25">
      <c r="A339" s="313"/>
      <c r="B339" s="380"/>
      <c r="C339" s="381"/>
      <c r="D339" s="380"/>
      <c r="E339" s="382"/>
      <c r="F339" s="331"/>
      <c r="G339" s="329"/>
      <c r="H339" s="329"/>
      <c r="I339" s="380"/>
      <c r="J339" s="381"/>
      <c r="K339" s="329"/>
      <c r="L339" s="329"/>
      <c r="M339" s="76"/>
      <c r="N339" s="103" t="str">
        <f>IF(A339="","",VLOOKUP(A339,Stand!C:K,9,0))</f>
        <v/>
      </c>
      <c r="O339" s="104" t="str">
        <f t="shared" si="173"/>
        <v/>
      </c>
      <c r="P339" s="105" t="str">
        <f t="shared" si="174"/>
        <v/>
      </c>
      <c r="Q339" s="105" t="str">
        <f t="shared" si="162"/>
        <v/>
      </c>
      <c r="R339" s="103" t="str">
        <f t="shared" si="175"/>
        <v/>
      </c>
      <c r="S339" s="103" t="str">
        <f t="shared" si="176"/>
        <v/>
      </c>
      <c r="T339" s="106" t="str">
        <f t="shared" si="163"/>
        <v/>
      </c>
      <c r="U339" s="106" t="str">
        <f t="shared" si="164"/>
        <v/>
      </c>
      <c r="V339" s="106" t="str">
        <f t="shared" si="165"/>
        <v/>
      </c>
      <c r="W339" s="105" t="str">
        <f t="shared" si="177"/>
        <v/>
      </c>
      <c r="X339" s="104" t="str">
        <f t="shared" si="182"/>
        <v/>
      </c>
      <c r="Y339" s="104" t="str">
        <f t="array" ref="Y339">IFERROR(IF(ISNUMBER(O339),IF(COUNT(IF(A339=$A$2:$A$2427,IF(D339=$D$2:$D$2427,IF($X$2:$X$2427&gt;0,1))))&gt;0,SUM(IF(A339=$A$2:$A$2427,IF(D339=$D$2:$D$2427,$X$2:$X$2427)))/COUNT(IF(A339=$A$2:$A$2427,IF(D339=$D$2:$D$2427,IF(ISNUMBER($X$2:$X$2427),1)))),0),""),0)</f>
        <v/>
      </c>
      <c r="Z339" s="104" t="str">
        <f>IF(ISNUMBER(O339),IF(I339&gt;0,(10^(VLOOKUP(D339,'Species Codes'!B:C,2,0)+VLOOKUP(D339,'Species Codes'!B:D,3,0)*LOG(E339)+VLOOKUP(D339,'Species Codes'!B:E,4,0)*LOG(I339))),0),"")</f>
        <v/>
      </c>
      <c r="AA339" s="104" t="str">
        <f>IFERROR((VLOOKUP(D339,'Species Codes'!B:G,6,0)*Z339)/2000,"")</f>
        <v/>
      </c>
      <c r="AB339" s="104" t="e">
        <f>IF(Z339&gt;0,((IF(OR(D339="DF",D339="RA")=TRUE,EXP(VLOOKUP(D339,'Species Codes'!B:I,8,0)+VLOOKUP(D339,'Species Codes'!B:J,9,0)*(LN((E339*2.54)))),IF(OR(D339="PY",D339="RC",D339="WH",D339="NF")=TRUE,VLOOKUP(D339,'Species Codes'!B:I,8,0)+VLOOKUP(D339,'Species Codes'!B:J,9,0)*((E339*2.54)^2)*(I339*0.3048),IF(OR(D339="MD",D339="BM",D339="GA")=TRUE,((VLOOKUP(D339,'Species Codes'!B:I,8,0)*(((((E339*2.54)+VLOOKUP(D339,'Species Codes'!B:J,9,0))/VLOOKUP(D339,'Species Codes'!B:K,10,0))^VLOOKUP(D339,'Species Codes'!B:L,11,0))*((I339*0.3048)^VLOOKUP(D339,'Species Codes'!B:M,12,0))))-(VLOOKUP(D339,'Species Codes'!B:I,8,0)*((((E339*2.54)^VLOOKUP(D339,'Species Codes'!B:L,11,0))*((I339*0.3048)^VLOOKUP(D339,'Species Codes'!B:M,12,0))))))*35.3*VLOOKUP(D339,'Species Codes'!B:G,6,0)/2.2046,VLOOKUP(D339,'Species Codes'!B:I,8,0)+VLOOKUP(D339,'Species Codes'!B:J,9,0)*(((E339*2.54)/100)^2)*(I339*0.3048)))))*0.0011023),0)</f>
        <v>#N/A</v>
      </c>
      <c r="AC339" s="104" t="e">
        <f>IF(Z339&gt;0,((IF(OR(D339="RA",D339="OA",D339="OT",D339="UN",D339="PC"),EXP(VLOOKUP(D339,'Species Codes'!B:O,14,0)+VLOOKUP(D339,'Species Codes'!B:P,15,0)*LN((E339*2.54)))-EXP(VLOOKUP(D339,'Species Codes'!B:O,14,0)+VLOOKUP(D339,'Species Codes'!B:P,15,0)*LN((E339*2.54)))*(1/(VLOOKUP(D339,'Species Codes'!B:Q,16,0)+VLOOKUP(D339,'Species Codes'!B:R,17,0)*((E339*2.54)^VLOOKUP(D339,'Species Codes'!B:S,18,0)))),IF(OR(D339="BM",D339="MD",D339="OA"),EXP(VLOOKUP(D339,'Species Codes'!B:O,14,0)+VLOOKUP(D339,'Species Codes'!B:P,15,0)*LN((E339*2.54)))*(1-(1/(VLOOKUP(D339,'Species Codes'!B:Q,16,0)+VLOOKUP(D339,'Species Codes'!B:R,17,0)*((E339*2.54)^VLOOKUP(D339,'Species Codes'!B:S,18,0)))))/1000,IF(D339="DF",EXP(VLOOKUP(D339,'Species Codes'!B:O,14,0)+VLOOKUP(D339,'Species Codes'!B:P,15,0)*LN((E339*2.54))),VLOOKUP(D339,'Species Codes'!B:O,14,0)+VLOOKUP(D339,'Species Codes'!B:P,15,0)*(((E339*2.54)/100)^2)*(I339*0.3048)))))*0.0011023),0)</f>
        <v>#N/A</v>
      </c>
      <c r="AD339" s="104" t="e">
        <f t="shared" si="166"/>
        <v>#N/A</v>
      </c>
      <c r="AE339" s="104" t="e">
        <f t="shared" si="167"/>
        <v>#N/A</v>
      </c>
      <c r="AF339" s="104" t="e">
        <f>IF(AND(VLOOKUP($D339,Merchantability!$B:$C,2,0)="Yes",$E339&gt;=VLOOKUP($D339,Merchantability!$B:$D,3,0),$E339&lt;=VLOOKUP($D339,Merchantability!$B:$E,4,0)),AA339,0)</f>
        <v>#N/A</v>
      </c>
      <c r="AG339" s="104" t="e">
        <f>IF(AND(VLOOKUP($D339,Merchantability!$B:$C,2,0)="Yes",$E339&gt;=VLOOKUP($D339,Merchantability!$B:$D,3,0),$E339&lt;=VLOOKUP($D339,Merchantability!$B:$E,4,0)),AB339,0)</f>
        <v>#N/A</v>
      </c>
      <c r="AH339" s="104" t="e">
        <f>IF(AND(VLOOKUP($D339,Merchantability!$B:$C,2,0)="Yes",$E339&gt;=VLOOKUP($D339,Merchantability!$B:$D,3,0),$E339&lt;=VLOOKUP($D339,Merchantability!$B:$E,4,0)),AC339,0)</f>
        <v>#N/A</v>
      </c>
      <c r="AI339" s="104" t="e">
        <f t="shared" si="168"/>
        <v>#N/A</v>
      </c>
      <c r="AJ339" s="104" t="e">
        <f t="shared" si="169"/>
        <v>#VALUE!</v>
      </c>
      <c r="AK339" s="104" t="e">
        <f t="shared" si="170"/>
        <v>#N/A</v>
      </c>
      <c r="AL339" s="104" t="e">
        <f t="shared" si="171"/>
        <v>#N/A</v>
      </c>
      <c r="AM339" s="104" t="e">
        <f t="shared" si="172"/>
        <v>#N/A</v>
      </c>
      <c r="AN339" s="104" t="e">
        <f t="shared" si="183"/>
        <v>#N/A</v>
      </c>
      <c r="AO339" s="104" t="e">
        <f t="shared" si="184"/>
        <v>#N/A</v>
      </c>
      <c r="AP339" s="104" t="e">
        <f t="shared" si="185"/>
        <v>#N/A</v>
      </c>
      <c r="AQ339" s="104" t="e">
        <f t="shared" si="186"/>
        <v>#N/A</v>
      </c>
      <c r="AR339" s="105" t="str">
        <f t="shared" si="178"/>
        <v/>
      </c>
      <c r="AS339" s="105" t="str">
        <f t="shared" si="179"/>
        <v/>
      </c>
      <c r="AT339" s="108" t="str">
        <f t="shared" si="180"/>
        <v/>
      </c>
      <c r="AU339" s="108" t="str">
        <f t="shared" si="181"/>
        <v/>
      </c>
      <c r="AV339" s="107" t="str">
        <f>IF(ISNUMBER(O339),IF(VLOOKUP($A339,Stand!C:J,8,FALSE)="Short",AT339,AU339),"")</f>
        <v/>
      </c>
      <c r="AW339" s="109" t="str">
        <f t="shared" si="187"/>
        <v/>
      </c>
      <c r="AX339" s="109" t="str">
        <f t="shared" si="188"/>
        <v/>
      </c>
      <c r="AY339" s="112" t="str">
        <f>IF(ISNUMBER(O339),IF(AND(VLOOKUP($D339,Merchantability!$B:$C,2,0)="Yes",$E339&gt;=VLOOKUP($D339,Merchantability!$B:$D,3,0),$E339&lt;=VLOOKUP($D339,Merchantability!$B:$E,4,0)),(AV339*O339)*(1-$H339/100),""),"")</f>
        <v/>
      </c>
      <c r="AZ339" s="116"/>
      <c r="BA339" s="116"/>
      <c r="BB339" s="116"/>
      <c r="BE339" s="62"/>
      <c r="BF339" s="63"/>
    </row>
    <row r="340" spans="1:58" ht="12.75" customHeight="1" x14ac:dyDescent="0.25">
      <c r="A340" s="313"/>
      <c r="B340" s="380"/>
      <c r="C340" s="381"/>
      <c r="D340" s="380"/>
      <c r="E340" s="382"/>
      <c r="F340" s="331"/>
      <c r="G340" s="329"/>
      <c r="H340" s="329"/>
      <c r="I340" s="380"/>
      <c r="J340" s="381"/>
      <c r="K340" s="329"/>
      <c r="L340" s="329"/>
      <c r="M340" s="76"/>
      <c r="N340" s="103" t="str">
        <f>IF(A340="","",VLOOKUP(A340,Stand!C:K,9,0))</f>
        <v/>
      </c>
      <c r="O340" s="104" t="str">
        <f t="shared" si="173"/>
        <v/>
      </c>
      <c r="P340" s="105" t="str">
        <f t="shared" si="174"/>
        <v/>
      </c>
      <c r="Q340" s="105" t="str">
        <f t="shared" si="162"/>
        <v/>
      </c>
      <c r="R340" s="103" t="str">
        <f t="shared" si="175"/>
        <v/>
      </c>
      <c r="S340" s="103" t="str">
        <f t="shared" si="176"/>
        <v/>
      </c>
      <c r="T340" s="106" t="str">
        <f t="shared" si="163"/>
        <v/>
      </c>
      <c r="U340" s="106" t="str">
        <f t="shared" si="164"/>
        <v/>
      </c>
      <c r="V340" s="106" t="str">
        <f t="shared" si="165"/>
        <v/>
      </c>
      <c r="W340" s="105" t="str">
        <f t="shared" si="177"/>
        <v/>
      </c>
      <c r="X340" s="104" t="str">
        <f t="shared" si="182"/>
        <v/>
      </c>
      <c r="Y340" s="104" t="str">
        <f t="array" ref="Y340">IFERROR(IF(ISNUMBER(O340),IF(COUNT(IF(A340=$A$2:$A$2427,IF(D340=$D$2:$D$2427,IF($X$2:$X$2427&gt;0,1))))&gt;0,SUM(IF(A340=$A$2:$A$2427,IF(D340=$D$2:$D$2427,$X$2:$X$2427)))/COUNT(IF(A340=$A$2:$A$2427,IF(D340=$D$2:$D$2427,IF(ISNUMBER($X$2:$X$2427),1)))),0),""),0)</f>
        <v/>
      </c>
      <c r="Z340" s="104" t="str">
        <f>IF(ISNUMBER(O340),IF(I340&gt;0,(10^(VLOOKUP(D340,'Species Codes'!B:C,2,0)+VLOOKUP(D340,'Species Codes'!B:D,3,0)*LOG(E340)+VLOOKUP(D340,'Species Codes'!B:E,4,0)*LOG(I340))),0),"")</f>
        <v/>
      </c>
      <c r="AA340" s="104" t="str">
        <f>IFERROR((VLOOKUP(D340,'Species Codes'!B:G,6,0)*Z340)/2000,"")</f>
        <v/>
      </c>
      <c r="AB340" s="104" t="e">
        <f>IF(Z340&gt;0,((IF(OR(D340="DF",D340="RA")=TRUE,EXP(VLOOKUP(D340,'Species Codes'!B:I,8,0)+VLOOKUP(D340,'Species Codes'!B:J,9,0)*(LN((E340*2.54)))),IF(OR(D340="PY",D340="RC",D340="WH",D340="NF")=TRUE,VLOOKUP(D340,'Species Codes'!B:I,8,0)+VLOOKUP(D340,'Species Codes'!B:J,9,0)*((E340*2.54)^2)*(I340*0.3048),IF(OR(D340="MD",D340="BM",D340="GA")=TRUE,((VLOOKUP(D340,'Species Codes'!B:I,8,0)*(((((E340*2.54)+VLOOKUP(D340,'Species Codes'!B:J,9,0))/VLOOKUP(D340,'Species Codes'!B:K,10,0))^VLOOKUP(D340,'Species Codes'!B:L,11,0))*((I340*0.3048)^VLOOKUP(D340,'Species Codes'!B:M,12,0))))-(VLOOKUP(D340,'Species Codes'!B:I,8,0)*((((E340*2.54)^VLOOKUP(D340,'Species Codes'!B:L,11,0))*((I340*0.3048)^VLOOKUP(D340,'Species Codes'!B:M,12,0))))))*35.3*VLOOKUP(D340,'Species Codes'!B:G,6,0)/2.2046,VLOOKUP(D340,'Species Codes'!B:I,8,0)+VLOOKUP(D340,'Species Codes'!B:J,9,0)*(((E340*2.54)/100)^2)*(I340*0.3048)))))*0.0011023),0)</f>
        <v>#N/A</v>
      </c>
      <c r="AC340" s="104" t="e">
        <f>IF(Z340&gt;0,((IF(OR(D340="RA",D340="OA",D340="OT",D340="UN",D340="PC"),EXP(VLOOKUP(D340,'Species Codes'!B:O,14,0)+VLOOKUP(D340,'Species Codes'!B:P,15,0)*LN((E340*2.54)))-EXP(VLOOKUP(D340,'Species Codes'!B:O,14,0)+VLOOKUP(D340,'Species Codes'!B:P,15,0)*LN((E340*2.54)))*(1/(VLOOKUP(D340,'Species Codes'!B:Q,16,0)+VLOOKUP(D340,'Species Codes'!B:R,17,0)*((E340*2.54)^VLOOKUP(D340,'Species Codes'!B:S,18,0)))),IF(OR(D340="BM",D340="MD",D340="OA"),EXP(VLOOKUP(D340,'Species Codes'!B:O,14,0)+VLOOKUP(D340,'Species Codes'!B:P,15,0)*LN((E340*2.54)))*(1-(1/(VLOOKUP(D340,'Species Codes'!B:Q,16,0)+VLOOKUP(D340,'Species Codes'!B:R,17,0)*((E340*2.54)^VLOOKUP(D340,'Species Codes'!B:S,18,0)))))/1000,IF(D340="DF",EXP(VLOOKUP(D340,'Species Codes'!B:O,14,0)+VLOOKUP(D340,'Species Codes'!B:P,15,0)*LN((E340*2.54))),VLOOKUP(D340,'Species Codes'!B:O,14,0)+VLOOKUP(D340,'Species Codes'!B:P,15,0)*(((E340*2.54)/100)^2)*(I340*0.3048)))))*0.0011023),0)</f>
        <v>#N/A</v>
      </c>
      <c r="AD340" s="104" t="e">
        <f t="shared" si="166"/>
        <v>#N/A</v>
      </c>
      <c r="AE340" s="104" t="e">
        <f t="shared" si="167"/>
        <v>#N/A</v>
      </c>
      <c r="AF340" s="104" t="e">
        <f>IF(AND(VLOOKUP($D340,Merchantability!$B:$C,2,0)="Yes",$E340&gt;=VLOOKUP($D340,Merchantability!$B:$D,3,0),$E340&lt;=VLOOKUP($D340,Merchantability!$B:$E,4,0)),AA340,0)</f>
        <v>#N/A</v>
      </c>
      <c r="AG340" s="104" t="e">
        <f>IF(AND(VLOOKUP($D340,Merchantability!$B:$C,2,0)="Yes",$E340&gt;=VLOOKUP($D340,Merchantability!$B:$D,3,0),$E340&lt;=VLOOKUP($D340,Merchantability!$B:$E,4,0)),AB340,0)</f>
        <v>#N/A</v>
      </c>
      <c r="AH340" s="104" t="e">
        <f>IF(AND(VLOOKUP($D340,Merchantability!$B:$C,2,0)="Yes",$E340&gt;=VLOOKUP($D340,Merchantability!$B:$D,3,0),$E340&lt;=VLOOKUP($D340,Merchantability!$B:$E,4,0)),AC340,0)</f>
        <v>#N/A</v>
      </c>
      <c r="AI340" s="104" t="e">
        <f t="shared" si="168"/>
        <v>#N/A</v>
      </c>
      <c r="AJ340" s="104" t="e">
        <f t="shared" si="169"/>
        <v>#VALUE!</v>
      </c>
      <c r="AK340" s="104" t="e">
        <f t="shared" si="170"/>
        <v>#N/A</v>
      </c>
      <c r="AL340" s="104" t="e">
        <f t="shared" si="171"/>
        <v>#N/A</v>
      </c>
      <c r="AM340" s="104" t="e">
        <f t="shared" si="172"/>
        <v>#N/A</v>
      </c>
      <c r="AN340" s="104" t="e">
        <f t="shared" si="183"/>
        <v>#N/A</v>
      </c>
      <c r="AO340" s="104" t="e">
        <f t="shared" si="184"/>
        <v>#N/A</v>
      </c>
      <c r="AP340" s="104" t="e">
        <f t="shared" si="185"/>
        <v>#N/A</v>
      </c>
      <c r="AQ340" s="104" t="e">
        <f t="shared" si="186"/>
        <v>#N/A</v>
      </c>
      <c r="AR340" s="105" t="str">
        <f t="shared" si="178"/>
        <v/>
      </c>
      <c r="AS340" s="105" t="str">
        <f t="shared" si="179"/>
        <v/>
      </c>
      <c r="AT340" s="108" t="str">
        <f t="shared" si="180"/>
        <v/>
      </c>
      <c r="AU340" s="108" t="str">
        <f t="shared" si="181"/>
        <v/>
      </c>
      <c r="AV340" s="107" t="str">
        <f>IF(ISNUMBER(O340),IF(VLOOKUP($A340,Stand!C:J,8,FALSE)="Short",AT340,AU340),"")</f>
        <v/>
      </c>
      <c r="AW340" s="109" t="str">
        <f t="shared" si="187"/>
        <v/>
      </c>
      <c r="AX340" s="109" t="str">
        <f t="shared" si="188"/>
        <v/>
      </c>
      <c r="AY340" s="112" t="str">
        <f>IF(ISNUMBER(O340),IF(AND(VLOOKUP($D340,Merchantability!$B:$C,2,0)="Yes",$E340&gt;=VLOOKUP($D340,Merchantability!$B:$D,3,0),$E340&lt;=VLOOKUP($D340,Merchantability!$B:$E,4,0)),(AV340*O340)*(1-$H340/100),""),"")</f>
        <v/>
      </c>
      <c r="AZ340" s="116"/>
      <c r="BA340" s="116"/>
      <c r="BB340" s="116"/>
      <c r="BE340" s="62"/>
      <c r="BF340" s="63"/>
    </row>
    <row r="341" spans="1:58" ht="12.75" customHeight="1" x14ac:dyDescent="0.25">
      <c r="A341" s="313"/>
      <c r="B341" s="380"/>
      <c r="C341" s="381"/>
      <c r="D341" s="380"/>
      <c r="E341" s="382"/>
      <c r="F341" s="331"/>
      <c r="G341" s="329"/>
      <c r="H341" s="329"/>
      <c r="I341" s="380"/>
      <c r="J341" s="381"/>
      <c r="K341" s="329"/>
      <c r="L341" s="329"/>
      <c r="M341" s="76"/>
      <c r="N341" s="103" t="str">
        <f>IF(A341="","",VLOOKUP(A341,Stand!C:K,9,0))</f>
        <v/>
      </c>
      <c r="O341" s="104" t="str">
        <f t="shared" si="173"/>
        <v/>
      </c>
      <c r="P341" s="105" t="str">
        <f t="shared" si="174"/>
        <v/>
      </c>
      <c r="Q341" s="105" t="str">
        <f t="shared" si="162"/>
        <v/>
      </c>
      <c r="R341" s="103" t="str">
        <f t="shared" si="175"/>
        <v/>
      </c>
      <c r="S341" s="103" t="str">
        <f t="shared" si="176"/>
        <v/>
      </c>
      <c r="T341" s="106" t="str">
        <f t="shared" si="163"/>
        <v/>
      </c>
      <c r="U341" s="106" t="str">
        <f t="shared" si="164"/>
        <v/>
      </c>
      <c r="V341" s="106" t="str">
        <f t="shared" si="165"/>
        <v/>
      </c>
      <c r="W341" s="105" t="str">
        <f t="shared" si="177"/>
        <v/>
      </c>
      <c r="X341" s="104" t="str">
        <f t="shared" si="182"/>
        <v/>
      </c>
      <c r="Y341" s="104" t="str">
        <f t="array" ref="Y341">IFERROR(IF(ISNUMBER(O341),IF(COUNT(IF(A341=$A$2:$A$2427,IF(D341=$D$2:$D$2427,IF($X$2:$X$2427&gt;0,1))))&gt;0,SUM(IF(A341=$A$2:$A$2427,IF(D341=$D$2:$D$2427,$X$2:$X$2427)))/COUNT(IF(A341=$A$2:$A$2427,IF(D341=$D$2:$D$2427,IF(ISNUMBER($X$2:$X$2427),1)))),0),""),0)</f>
        <v/>
      </c>
      <c r="Z341" s="104" t="str">
        <f>IF(ISNUMBER(O341),IF(I341&gt;0,(10^(VLOOKUP(D341,'Species Codes'!B:C,2,0)+VLOOKUP(D341,'Species Codes'!B:D,3,0)*LOG(E341)+VLOOKUP(D341,'Species Codes'!B:E,4,0)*LOG(I341))),0),"")</f>
        <v/>
      </c>
      <c r="AA341" s="104" t="str">
        <f>IFERROR((VLOOKUP(D341,'Species Codes'!B:G,6,0)*Z341)/2000,"")</f>
        <v/>
      </c>
      <c r="AB341" s="104" t="e">
        <f>IF(Z341&gt;0,((IF(OR(D341="DF",D341="RA")=TRUE,EXP(VLOOKUP(D341,'Species Codes'!B:I,8,0)+VLOOKUP(D341,'Species Codes'!B:J,9,0)*(LN((E341*2.54)))),IF(OR(D341="PY",D341="RC",D341="WH",D341="NF")=TRUE,VLOOKUP(D341,'Species Codes'!B:I,8,0)+VLOOKUP(D341,'Species Codes'!B:J,9,0)*((E341*2.54)^2)*(I341*0.3048),IF(OR(D341="MD",D341="BM",D341="GA")=TRUE,((VLOOKUP(D341,'Species Codes'!B:I,8,0)*(((((E341*2.54)+VLOOKUP(D341,'Species Codes'!B:J,9,0))/VLOOKUP(D341,'Species Codes'!B:K,10,0))^VLOOKUP(D341,'Species Codes'!B:L,11,0))*((I341*0.3048)^VLOOKUP(D341,'Species Codes'!B:M,12,0))))-(VLOOKUP(D341,'Species Codes'!B:I,8,0)*((((E341*2.54)^VLOOKUP(D341,'Species Codes'!B:L,11,0))*((I341*0.3048)^VLOOKUP(D341,'Species Codes'!B:M,12,0))))))*35.3*VLOOKUP(D341,'Species Codes'!B:G,6,0)/2.2046,VLOOKUP(D341,'Species Codes'!B:I,8,0)+VLOOKUP(D341,'Species Codes'!B:J,9,0)*(((E341*2.54)/100)^2)*(I341*0.3048)))))*0.0011023),0)</f>
        <v>#N/A</v>
      </c>
      <c r="AC341" s="104" t="e">
        <f>IF(Z341&gt;0,((IF(OR(D341="RA",D341="OA",D341="OT",D341="UN",D341="PC"),EXP(VLOOKUP(D341,'Species Codes'!B:O,14,0)+VLOOKUP(D341,'Species Codes'!B:P,15,0)*LN((E341*2.54)))-EXP(VLOOKUP(D341,'Species Codes'!B:O,14,0)+VLOOKUP(D341,'Species Codes'!B:P,15,0)*LN((E341*2.54)))*(1/(VLOOKUP(D341,'Species Codes'!B:Q,16,0)+VLOOKUP(D341,'Species Codes'!B:R,17,0)*((E341*2.54)^VLOOKUP(D341,'Species Codes'!B:S,18,0)))),IF(OR(D341="BM",D341="MD",D341="OA"),EXP(VLOOKUP(D341,'Species Codes'!B:O,14,0)+VLOOKUP(D341,'Species Codes'!B:P,15,0)*LN((E341*2.54)))*(1-(1/(VLOOKUP(D341,'Species Codes'!B:Q,16,0)+VLOOKUP(D341,'Species Codes'!B:R,17,0)*((E341*2.54)^VLOOKUP(D341,'Species Codes'!B:S,18,0)))))/1000,IF(D341="DF",EXP(VLOOKUP(D341,'Species Codes'!B:O,14,0)+VLOOKUP(D341,'Species Codes'!B:P,15,0)*LN((E341*2.54))),VLOOKUP(D341,'Species Codes'!B:O,14,0)+VLOOKUP(D341,'Species Codes'!B:P,15,0)*(((E341*2.54)/100)^2)*(I341*0.3048)))))*0.0011023),0)</f>
        <v>#N/A</v>
      </c>
      <c r="AD341" s="104" t="e">
        <f t="shared" si="166"/>
        <v>#N/A</v>
      </c>
      <c r="AE341" s="104" t="e">
        <f t="shared" si="167"/>
        <v>#N/A</v>
      </c>
      <c r="AF341" s="104" t="e">
        <f>IF(AND(VLOOKUP($D341,Merchantability!$B:$C,2,0)="Yes",$E341&gt;=VLOOKUP($D341,Merchantability!$B:$D,3,0),$E341&lt;=VLOOKUP($D341,Merchantability!$B:$E,4,0)),AA341,0)</f>
        <v>#N/A</v>
      </c>
      <c r="AG341" s="104" t="e">
        <f>IF(AND(VLOOKUP($D341,Merchantability!$B:$C,2,0)="Yes",$E341&gt;=VLOOKUP($D341,Merchantability!$B:$D,3,0),$E341&lt;=VLOOKUP($D341,Merchantability!$B:$E,4,0)),AB341,0)</f>
        <v>#N/A</v>
      </c>
      <c r="AH341" s="104" t="e">
        <f>IF(AND(VLOOKUP($D341,Merchantability!$B:$C,2,0)="Yes",$E341&gt;=VLOOKUP($D341,Merchantability!$B:$D,3,0),$E341&lt;=VLOOKUP($D341,Merchantability!$B:$E,4,0)),AC341,0)</f>
        <v>#N/A</v>
      </c>
      <c r="AI341" s="104" t="e">
        <f t="shared" si="168"/>
        <v>#N/A</v>
      </c>
      <c r="AJ341" s="104" t="e">
        <f t="shared" si="169"/>
        <v>#VALUE!</v>
      </c>
      <c r="AK341" s="104" t="e">
        <f t="shared" si="170"/>
        <v>#N/A</v>
      </c>
      <c r="AL341" s="104" t="e">
        <f t="shared" si="171"/>
        <v>#N/A</v>
      </c>
      <c r="AM341" s="104" t="e">
        <f t="shared" si="172"/>
        <v>#N/A</v>
      </c>
      <c r="AN341" s="104" t="e">
        <f t="shared" si="183"/>
        <v>#N/A</v>
      </c>
      <c r="AO341" s="104" t="e">
        <f t="shared" si="184"/>
        <v>#N/A</v>
      </c>
      <c r="AP341" s="104" t="e">
        <f t="shared" si="185"/>
        <v>#N/A</v>
      </c>
      <c r="AQ341" s="104" t="e">
        <f t="shared" si="186"/>
        <v>#N/A</v>
      </c>
      <c r="AR341" s="105" t="str">
        <f t="shared" si="178"/>
        <v/>
      </c>
      <c r="AS341" s="105" t="str">
        <f t="shared" si="179"/>
        <v/>
      </c>
      <c r="AT341" s="108" t="str">
        <f t="shared" si="180"/>
        <v/>
      </c>
      <c r="AU341" s="108" t="str">
        <f t="shared" si="181"/>
        <v/>
      </c>
      <c r="AV341" s="107" t="str">
        <f>IF(ISNUMBER(O341),IF(VLOOKUP($A341,Stand!C:J,8,FALSE)="Short",AT341,AU341),"")</f>
        <v/>
      </c>
      <c r="AW341" s="109" t="str">
        <f t="shared" si="187"/>
        <v/>
      </c>
      <c r="AX341" s="109" t="str">
        <f t="shared" si="188"/>
        <v/>
      </c>
      <c r="AY341" s="112" t="str">
        <f>IF(ISNUMBER(O341),IF(AND(VLOOKUP($D341,Merchantability!$B:$C,2,0)="Yes",$E341&gt;=VLOOKUP($D341,Merchantability!$B:$D,3,0),$E341&lt;=VLOOKUP($D341,Merchantability!$B:$E,4,0)),(AV341*O341)*(1-$H341/100),""),"")</f>
        <v/>
      </c>
      <c r="AZ341" s="116"/>
      <c r="BA341" s="116"/>
      <c r="BB341" s="116"/>
      <c r="BE341" s="62"/>
      <c r="BF341" s="63"/>
    </row>
    <row r="342" spans="1:58" ht="12.75" customHeight="1" x14ac:dyDescent="0.25">
      <c r="A342" s="313"/>
      <c r="B342" s="380"/>
      <c r="C342" s="381"/>
      <c r="D342" s="380"/>
      <c r="E342" s="382"/>
      <c r="F342" s="331"/>
      <c r="G342" s="329"/>
      <c r="H342" s="329"/>
      <c r="I342" s="380"/>
      <c r="J342" s="381"/>
      <c r="K342" s="329"/>
      <c r="L342" s="329"/>
      <c r="M342" s="76"/>
      <c r="N342" s="103" t="str">
        <f>IF(A342="","",VLOOKUP(A342,Stand!C:K,9,0))</f>
        <v/>
      </c>
      <c r="O342" s="104" t="str">
        <f t="shared" si="173"/>
        <v/>
      </c>
      <c r="P342" s="105" t="str">
        <f t="shared" si="174"/>
        <v/>
      </c>
      <c r="Q342" s="105" t="str">
        <f t="shared" si="162"/>
        <v/>
      </c>
      <c r="R342" s="103" t="str">
        <f t="shared" si="175"/>
        <v/>
      </c>
      <c r="S342" s="103" t="str">
        <f t="shared" si="176"/>
        <v/>
      </c>
      <c r="T342" s="106" t="str">
        <f t="shared" si="163"/>
        <v/>
      </c>
      <c r="U342" s="106" t="str">
        <f t="shared" si="164"/>
        <v/>
      </c>
      <c r="V342" s="106" t="str">
        <f t="shared" si="165"/>
        <v/>
      </c>
      <c r="W342" s="105" t="str">
        <f t="shared" si="177"/>
        <v/>
      </c>
      <c r="X342" s="104" t="str">
        <f t="shared" si="182"/>
        <v/>
      </c>
      <c r="Y342" s="104" t="str">
        <f t="array" ref="Y342">IFERROR(IF(ISNUMBER(O342),IF(COUNT(IF(A342=$A$2:$A$2427,IF(D342=$D$2:$D$2427,IF($X$2:$X$2427&gt;0,1))))&gt;0,SUM(IF(A342=$A$2:$A$2427,IF(D342=$D$2:$D$2427,$X$2:$X$2427)))/COUNT(IF(A342=$A$2:$A$2427,IF(D342=$D$2:$D$2427,IF(ISNUMBER($X$2:$X$2427),1)))),0),""),0)</f>
        <v/>
      </c>
      <c r="Z342" s="104" t="str">
        <f>IF(ISNUMBER(O342),IF(I342&gt;0,(10^(VLOOKUP(D342,'Species Codes'!B:C,2,0)+VLOOKUP(D342,'Species Codes'!B:D,3,0)*LOG(E342)+VLOOKUP(D342,'Species Codes'!B:E,4,0)*LOG(I342))),0),"")</f>
        <v/>
      </c>
      <c r="AA342" s="104" t="str">
        <f>IFERROR((VLOOKUP(D342,'Species Codes'!B:G,6,0)*Z342)/2000,"")</f>
        <v/>
      </c>
      <c r="AB342" s="104" t="e">
        <f>IF(Z342&gt;0,((IF(OR(D342="DF",D342="RA")=TRUE,EXP(VLOOKUP(D342,'Species Codes'!B:I,8,0)+VLOOKUP(D342,'Species Codes'!B:J,9,0)*(LN((E342*2.54)))),IF(OR(D342="PY",D342="RC",D342="WH",D342="NF")=TRUE,VLOOKUP(D342,'Species Codes'!B:I,8,0)+VLOOKUP(D342,'Species Codes'!B:J,9,0)*((E342*2.54)^2)*(I342*0.3048),IF(OR(D342="MD",D342="BM",D342="GA")=TRUE,((VLOOKUP(D342,'Species Codes'!B:I,8,0)*(((((E342*2.54)+VLOOKUP(D342,'Species Codes'!B:J,9,0))/VLOOKUP(D342,'Species Codes'!B:K,10,0))^VLOOKUP(D342,'Species Codes'!B:L,11,0))*((I342*0.3048)^VLOOKUP(D342,'Species Codes'!B:M,12,0))))-(VLOOKUP(D342,'Species Codes'!B:I,8,0)*((((E342*2.54)^VLOOKUP(D342,'Species Codes'!B:L,11,0))*((I342*0.3048)^VLOOKUP(D342,'Species Codes'!B:M,12,0))))))*35.3*VLOOKUP(D342,'Species Codes'!B:G,6,0)/2.2046,VLOOKUP(D342,'Species Codes'!B:I,8,0)+VLOOKUP(D342,'Species Codes'!B:J,9,0)*(((E342*2.54)/100)^2)*(I342*0.3048)))))*0.0011023),0)</f>
        <v>#N/A</v>
      </c>
      <c r="AC342" s="104" t="e">
        <f>IF(Z342&gt;0,((IF(OR(D342="RA",D342="OA",D342="OT",D342="UN",D342="PC"),EXP(VLOOKUP(D342,'Species Codes'!B:O,14,0)+VLOOKUP(D342,'Species Codes'!B:P,15,0)*LN((E342*2.54)))-EXP(VLOOKUP(D342,'Species Codes'!B:O,14,0)+VLOOKUP(D342,'Species Codes'!B:P,15,0)*LN((E342*2.54)))*(1/(VLOOKUP(D342,'Species Codes'!B:Q,16,0)+VLOOKUP(D342,'Species Codes'!B:R,17,0)*((E342*2.54)^VLOOKUP(D342,'Species Codes'!B:S,18,0)))),IF(OR(D342="BM",D342="MD",D342="OA"),EXP(VLOOKUP(D342,'Species Codes'!B:O,14,0)+VLOOKUP(D342,'Species Codes'!B:P,15,0)*LN((E342*2.54)))*(1-(1/(VLOOKUP(D342,'Species Codes'!B:Q,16,0)+VLOOKUP(D342,'Species Codes'!B:R,17,0)*((E342*2.54)^VLOOKUP(D342,'Species Codes'!B:S,18,0)))))/1000,IF(D342="DF",EXP(VLOOKUP(D342,'Species Codes'!B:O,14,0)+VLOOKUP(D342,'Species Codes'!B:P,15,0)*LN((E342*2.54))),VLOOKUP(D342,'Species Codes'!B:O,14,0)+VLOOKUP(D342,'Species Codes'!B:P,15,0)*(((E342*2.54)/100)^2)*(I342*0.3048)))))*0.0011023),0)</f>
        <v>#N/A</v>
      </c>
      <c r="AD342" s="104" t="e">
        <f t="shared" si="166"/>
        <v>#N/A</v>
      </c>
      <c r="AE342" s="104" t="e">
        <f t="shared" si="167"/>
        <v>#N/A</v>
      </c>
      <c r="AF342" s="104" t="e">
        <f>IF(AND(VLOOKUP($D342,Merchantability!$B:$C,2,0)="Yes",$E342&gt;=VLOOKUP($D342,Merchantability!$B:$D,3,0),$E342&lt;=VLOOKUP($D342,Merchantability!$B:$E,4,0)),AA342,0)</f>
        <v>#N/A</v>
      </c>
      <c r="AG342" s="104" t="e">
        <f>IF(AND(VLOOKUP($D342,Merchantability!$B:$C,2,0)="Yes",$E342&gt;=VLOOKUP($D342,Merchantability!$B:$D,3,0),$E342&lt;=VLOOKUP($D342,Merchantability!$B:$E,4,0)),AB342,0)</f>
        <v>#N/A</v>
      </c>
      <c r="AH342" s="104" t="e">
        <f>IF(AND(VLOOKUP($D342,Merchantability!$B:$C,2,0)="Yes",$E342&gt;=VLOOKUP($D342,Merchantability!$B:$D,3,0),$E342&lt;=VLOOKUP($D342,Merchantability!$B:$E,4,0)),AC342,0)</f>
        <v>#N/A</v>
      </c>
      <c r="AI342" s="104" t="e">
        <f t="shared" si="168"/>
        <v>#N/A</v>
      </c>
      <c r="AJ342" s="104" t="e">
        <f t="shared" si="169"/>
        <v>#VALUE!</v>
      </c>
      <c r="AK342" s="104" t="e">
        <f t="shared" si="170"/>
        <v>#N/A</v>
      </c>
      <c r="AL342" s="104" t="e">
        <f t="shared" si="171"/>
        <v>#N/A</v>
      </c>
      <c r="AM342" s="104" t="e">
        <f t="shared" si="172"/>
        <v>#N/A</v>
      </c>
      <c r="AN342" s="104" t="e">
        <f t="shared" si="183"/>
        <v>#N/A</v>
      </c>
      <c r="AO342" s="104" t="e">
        <f t="shared" si="184"/>
        <v>#N/A</v>
      </c>
      <c r="AP342" s="104" t="e">
        <f t="shared" si="185"/>
        <v>#N/A</v>
      </c>
      <c r="AQ342" s="104" t="e">
        <f t="shared" si="186"/>
        <v>#N/A</v>
      </c>
      <c r="AR342" s="105" t="str">
        <f t="shared" si="178"/>
        <v/>
      </c>
      <c r="AS342" s="105" t="str">
        <f t="shared" si="179"/>
        <v/>
      </c>
      <c r="AT342" s="108" t="str">
        <f t="shared" si="180"/>
        <v/>
      </c>
      <c r="AU342" s="108" t="str">
        <f t="shared" si="181"/>
        <v/>
      </c>
      <c r="AV342" s="107" t="str">
        <f>IF(ISNUMBER(O342),IF(VLOOKUP($A342,Stand!C:J,8,FALSE)="Short",AT342,AU342),"")</f>
        <v/>
      </c>
      <c r="AW342" s="109" t="str">
        <f t="shared" si="187"/>
        <v/>
      </c>
      <c r="AX342" s="109" t="str">
        <f t="shared" si="188"/>
        <v/>
      </c>
      <c r="AY342" s="112" t="str">
        <f>IF(ISNUMBER(O342),IF(AND(VLOOKUP($D342,Merchantability!$B:$C,2,0)="Yes",$E342&gt;=VLOOKUP($D342,Merchantability!$B:$D,3,0),$E342&lt;=VLOOKUP($D342,Merchantability!$B:$E,4,0)),(AV342*O342)*(1-$H342/100),""),"")</f>
        <v/>
      </c>
      <c r="AZ342" s="116"/>
      <c r="BA342" s="116"/>
      <c r="BB342" s="116"/>
      <c r="BE342" s="62"/>
      <c r="BF342" s="63"/>
    </row>
    <row r="343" spans="1:58" ht="12.75" customHeight="1" x14ac:dyDescent="0.25">
      <c r="A343" s="313"/>
      <c r="B343" s="380"/>
      <c r="C343" s="381"/>
      <c r="D343" s="380"/>
      <c r="E343" s="382"/>
      <c r="F343" s="331"/>
      <c r="G343" s="329"/>
      <c r="H343" s="329"/>
      <c r="I343" s="380"/>
      <c r="J343" s="381"/>
      <c r="K343" s="329"/>
      <c r="L343" s="329"/>
      <c r="M343" s="76"/>
      <c r="N343" s="103" t="str">
        <f>IF(A343="","",VLOOKUP(A343,Stand!C:K,9,0))</f>
        <v/>
      </c>
      <c r="O343" s="104" t="str">
        <f t="shared" si="173"/>
        <v/>
      </c>
      <c r="P343" s="105" t="str">
        <f t="shared" si="174"/>
        <v/>
      </c>
      <c r="Q343" s="105" t="str">
        <f t="shared" si="162"/>
        <v/>
      </c>
      <c r="R343" s="103" t="str">
        <f t="shared" si="175"/>
        <v/>
      </c>
      <c r="S343" s="103" t="str">
        <f t="shared" si="176"/>
        <v/>
      </c>
      <c r="T343" s="106" t="str">
        <f t="shared" si="163"/>
        <v/>
      </c>
      <c r="U343" s="106" t="str">
        <f t="shared" si="164"/>
        <v/>
      </c>
      <c r="V343" s="106" t="str">
        <f t="shared" si="165"/>
        <v/>
      </c>
      <c r="W343" s="105" t="str">
        <f t="shared" si="177"/>
        <v/>
      </c>
      <c r="X343" s="104" t="str">
        <f t="shared" si="182"/>
        <v/>
      </c>
      <c r="Y343" s="104" t="str">
        <f t="array" ref="Y343">IFERROR(IF(ISNUMBER(O343),IF(COUNT(IF(A343=$A$2:$A$2427,IF(D343=$D$2:$D$2427,IF($X$2:$X$2427&gt;0,1))))&gt;0,SUM(IF(A343=$A$2:$A$2427,IF(D343=$D$2:$D$2427,$X$2:$X$2427)))/COUNT(IF(A343=$A$2:$A$2427,IF(D343=$D$2:$D$2427,IF(ISNUMBER($X$2:$X$2427),1)))),0),""),0)</f>
        <v/>
      </c>
      <c r="Z343" s="104" t="str">
        <f>IF(ISNUMBER(O343),IF(I343&gt;0,(10^(VLOOKUP(D343,'Species Codes'!B:C,2,0)+VLOOKUP(D343,'Species Codes'!B:D,3,0)*LOG(E343)+VLOOKUP(D343,'Species Codes'!B:E,4,0)*LOG(I343))),0),"")</f>
        <v/>
      </c>
      <c r="AA343" s="104" t="str">
        <f>IFERROR((VLOOKUP(D343,'Species Codes'!B:G,6,0)*Z343)/2000,"")</f>
        <v/>
      </c>
      <c r="AB343" s="104" t="e">
        <f>IF(Z343&gt;0,((IF(OR(D343="DF",D343="RA")=TRUE,EXP(VLOOKUP(D343,'Species Codes'!B:I,8,0)+VLOOKUP(D343,'Species Codes'!B:J,9,0)*(LN((E343*2.54)))),IF(OR(D343="PY",D343="RC",D343="WH",D343="NF")=TRUE,VLOOKUP(D343,'Species Codes'!B:I,8,0)+VLOOKUP(D343,'Species Codes'!B:J,9,0)*((E343*2.54)^2)*(I343*0.3048),IF(OR(D343="MD",D343="BM",D343="GA")=TRUE,((VLOOKUP(D343,'Species Codes'!B:I,8,0)*(((((E343*2.54)+VLOOKUP(D343,'Species Codes'!B:J,9,0))/VLOOKUP(D343,'Species Codes'!B:K,10,0))^VLOOKUP(D343,'Species Codes'!B:L,11,0))*((I343*0.3048)^VLOOKUP(D343,'Species Codes'!B:M,12,0))))-(VLOOKUP(D343,'Species Codes'!B:I,8,0)*((((E343*2.54)^VLOOKUP(D343,'Species Codes'!B:L,11,0))*((I343*0.3048)^VLOOKUP(D343,'Species Codes'!B:M,12,0))))))*35.3*VLOOKUP(D343,'Species Codes'!B:G,6,0)/2.2046,VLOOKUP(D343,'Species Codes'!B:I,8,0)+VLOOKUP(D343,'Species Codes'!B:J,9,0)*(((E343*2.54)/100)^2)*(I343*0.3048)))))*0.0011023),0)</f>
        <v>#N/A</v>
      </c>
      <c r="AC343" s="104" t="e">
        <f>IF(Z343&gt;0,((IF(OR(D343="RA",D343="OA",D343="OT",D343="UN",D343="PC"),EXP(VLOOKUP(D343,'Species Codes'!B:O,14,0)+VLOOKUP(D343,'Species Codes'!B:P,15,0)*LN((E343*2.54)))-EXP(VLOOKUP(D343,'Species Codes'!B:O,14,0)+VLOOKUP(D343,'Species Codes'!B:P,15,0)*LN((E343*2.54)))*(1/(VLOOKUP(D343,'Species Codes'!B:Q,16,0)+VLOOKUP(D343,'Species Codes'!B:R,17,0)*((E343*2.54)^VLOOKUP(D343,'Species Codes'!B:S,18,0)))),IF(OR(D343="BM",D343="MD",D343="OA"),EXP(VLOOKUP(D343,'Species Codes'!B:O,14,0)+VLOOKUP(D343,'Species Codes'!B:P,15,0)*LN((E343*2.54)))*(1-(1/(VLOOKUP(D343,'Species Codes'!B:Q,16,0)+VLOOKUP(D343,'Species Codes'!B:R,17,0)*((E343*2.54)^VLOOKUP(D343,'Species Codes'!B:S,18,0)))))/1000,IF(D343="DF",EXP(VLOOKUP(D343,'Species Codes'!B:O,14,0)+VLOOKUP(D343,'Species Codes'!B:P,15,0)*LN((E343*2.54))),VLOOKUP(D343,'Species Codes'!B:O,14,0)+VLOOKUP(D343,'Species Codes'!B:P,15,0)*(((E343*2.54)/100)^2)*(I343*0.3048)))))*0.0011023),0)</f>
        <v>#N/A</v>
      </c>
      <c r="AD343" s="104" t="e">
        <f t="shared" si="166"/>
        <v>#N/A</v>
      </c>
      <c r="AE343" s="104" t="e">
        <f t="shared" si="167"/>
        <v>#N/A</v>
      </c>
      <c r="AF343" s="104" t="e">
        <f>IF(AND(VLOOKUP($D343,Merchantability!$B:$C,2,0)="Yes",$E343&gt;=VLOOKUP($D343,Merchantability!$B:$D,3,0),$E343&lt;=VLOOKUP($D343,Merchantability!$B:$E,4,0)),AA343,0)</f>
        <v>#N/A</v>
      </c>
      <c r="AG343" s="104" t="e">
        <f>IF(AND(VLOOKUP($D343,Merchantability!$B:$C,2,0)="Yes",$E343&gt;=VLOOKUP($D343,Merchantability!$B:$D,3,0),$E343&lt;=VLOOKUP($D343,Merchantability!$B:$E,4,0)),AB343,0)</f>
        <v>#N/A</v>
      </c>
      <c r="AH343" s="104" t="e">
        <f>IF(AND(VLOOKUP($D343,Merchantability!$B:$C,2,0)="Yes",$E343&gt;=VLOOKUP($D343,Merchantability!$B:$D,3,0),$E343&lt;=VLOOKUP($D343,Merchantability!$B:$E,4,0)),AC343,0)</f>
        <v>#N/A</v>
      </c>
      <c r="AI343" s="104" t="e">
        <f t="shared" si="168"/>
        <v>#N/A</v>
      </c>
      <c r="AJ343" s="104" t="e">
        <f t="shared" si="169"/>
        <v>#VALUE!</v>
      </c>
      <c r="AK343" s="104" t="e">
        <f t="shared" si="170"/>
        <v>#N/A</v>
      </c>
      <c r="AL343" s="104" t="e">
        <f t="shared" si="171"/>
        <v>#N/A</v>
      </c>
      <c r="AM343" s="104" t="e">
        <f t="shared" si="172"/>
        <v>#N/A</v>
      </c>
      <c r="AN343" s="104" t="e">
        <f t="shared" si="183"/>
        <v>#N/A</v>
      </c>
      <c r="AO343" s="104" t="e">
        <f t="shared" si="184"/>
        <v>#N/A</v>
      </c>
      <c r="AP343" s="104" t="e">
        <f t="shared" si="185"/>
        <v>#N/A</v>
      </c>
      <c r="AQ343" s="104" t="e">
        <f t="shared" si="186"/>
        <v>#N/A</v>
      </c>
      <c r="AR343" s="105" t="str">
        <f t="shared" si="178"/>
        <v/>
      </c>
      <c r="AS343" s="105" t="str">
        <f t="shared" si="179"/>
        <v/>
      </c>
      <c r="AT343" s="108" t="str">
        <f t="shared" si="180"/>
        <v/>
      </c>
      <c r="AU343" s="108" t="str">
        <f t="shared" si="181"/>
        <v/>
      </c>
      <c r="AV343" s="107" t="str">
        <f>IF(ISNUMBER(O343),IF(VLOOKUP($A343,Stand!C:J,8,FALSE)="Short",AT343,AU343),"")</f>
        <v/>
      </c>
      <c r="AW343" s="109" t="str">
        <f t="shared" si="187"/>
        <v/>
      </c>
      <c r="AX343" s="109" t="str">
        <f t="shared" si="188"/>
        <v/>
      </c>
      <c r="AY343" s="112" t="str">
        <f>IF(ISNUMBER(O343),IF(AND(VLOOKUP($D343,Merchantability!$B:$C,2,0)="Yes",$E343&gt;=VLOOKUP($D343,Merchantability!$B:$D,3,0),$E343&lt;=VLOOKUP($D343,Merchantability!$B:$E,4,0)),(AV343*O343)*(1-$H343/100),""),"")</f>
        <v/>
      </c>
      <c r="AZ343" s="116"/>
      <c r="BA343" s="116"/>
      <c r="BB343" s="116"/>
      <c r="BE343" s="62"/>
      <c r="BF343" s="63"/>
    </row>
    <row r="344" spans="1:58" ht="12.75" customHeight="1" x14ac:dyDescent="0.25">
      <c r="A344" s="313"/>
      <c r="B344" s="380"/>
      <c r="C344" s="381"/>
      <c r="D344" s="380"/>
      <c r="E344" s="382"/>
      <c r="F344" s="331"/>
      <c r="G344" s="329"/>
      <c r="H344" s="329"/>
      <c r="I344" s="380"/>
      <c r="J344" s="381"/>
      <c r="K344" s="329"/>
      <c r="L344" s="329"/>
      <c r="M344" s="76"/>
      <c r="N344" s="103" t="str">
        <f>IF(A344="","",VLOOKUP(A344,Stand!C:K,9,0))</f>
        <v/>
      </c>
      <c r="O344" s="104" t="str">
        <f t="shared" si="173"/>
        <v/>
      </c>
      <c r="P344" s="105" t="str">
        <f t="shared" si="174"/>
        <v/>
      </c>
      <c r="Q344" s="105" t="str">
        <f t="shared" si="162"/>
        <v/>
      </c>
      <c r="R344" s="103" t="str">
        <f t="shared" si="175"/>
        <v/>
      </c>
      <c r="S344" s="103" t="str">
        <f t="shared" si="176"/>
        <v/>
      </c>
      <c r="T344" s="106" t="str">
        <f t="shared" si="163"/>
        <v/>
      </c>
      <c r="U344" s="106" t="str">
        <f t="shared" si="164"/>
        <v/>
      </c>
      <c r="V344" s="106" t="str">
        <f t="shared" si="165"/>
        <v/>
      </c>
      <c r="W344" s="105" t="str">
        <f t="shared" si="177"/>
        <v/>
      </c>
      <c r="X344" s="104" t="str">
        <f t="shared" si="182"/>
        <v/>
      </c>
      <c r="Y344" s="104" t="str">
        <f t="array" ref="Y344">IFERROR(IF(ISNUMBER(O344),IF(COUNT(IF(A344=$A$2:$A$2427,IF(D344=$D$2:$D$2427,IF($X$2:$X$2427&gt;0,1))))&gt;0,SUM(IF(A344=$A$2:$A$2427,IF(D344=$D$2:$D$2427,$X$2:$X$2427)))/COUNT(IF(A344=$A$2:$A$2427,IF(D344=$D$2:$D$2427,IF(ISNUMBER($X$2:$X$2427),1)))),0),""),0)</f>
        <v/>
      </c>
      <c r="Z344" s="104" t="str">
        <f>IF(ISNUMBER(O344),IF(I344&gt;0,(10^(VLOOKUP(D344,'Species Codes'!B:C,2,0)+VLOOKUP(D344,'Species Codes'!B:D,3,0)*LOG(E344)+VLOOKUP(D344,'Species Codes'!B:E,4,0)*LOG(I344))),0),"")</f>
        <v/>
      </c>
      <c r="AA344" s="104" t="str">
        <f>IFERROR((VLOOKUP(D344,'Species Codes'!B:G,6,0)*Z344)/2000,"")</f>
        <v/>
      </c>
      <c r="AB344" s="104" t="e">
        <f>IF(Z344&gt;0,((IF(OR(D344="DF",D344="RA")=TRUE,EXP(VLOOKUP(D344,'Species Codes'!B:I,8,0)+VLOOKUP(D344,'Species Codes'!B:J,9,0)*(LN((E344*2.54)))),IF(OR(D344="PY",D344="RC",D344="WH",D344="NF")=TRUE,VLOOKUP(D344,'Species Codes'!B:I,8,0)+VLOOKUP(D344,'Species Codes'!B:J,9,0)*((E344*2.54)^2)*(I344*0.3048),IF(OR(D344="MD",D344="BM",D344="GA")=TRUE,((VLOOKUP(D344,'Species Codes'!B:I,8,0)*(((((E344*2.54)+VLOOKUP(D344,'Species Codes'!B:J,9,0))/VLOOKUP(D344,'Species Codes'!B:K,10,0))^VLOOKUP(D344,'Species Codes'!B:L,11,0))*((I344*0.3048)^VLOOKUP(D344,'Species Codes'!B:M,12,0))))-(VLOOKUP(D344,'Species Codes'!B:I,8,0)*((((E344*2.54)^VLOOKUP(D344,'Species Codes'!B:L,11,0))*((I344*0.3048)^VLOOKUP(D344,'Species Codes'!B:M,12,0))))))*35.3*VLOOKUP(D344,'Species Codes'!B:G,6,0)/2.2046,VLOOKUP(D344,'Species Codes'!B:I,8,0)+VLOOKUP(D344,'Species Codes'!B:J,9,0)*(((E344*2.54)/100)^2)*(I344*0.3048)))))*0.0011023),0)</f>
        <v>#N/A</v>
      </c>
      <c r="AC344" s="104" t="e">
        <f>IF(Z344&gt;0,((IF(OR(D344="RA",D344="OA",D344="OT",D344="UN",D344="PC"),EXP(VLOOKUP(D344,'Species Codes'!B:O,14,0)+VLOOKUP(D344,'Species Codes'!B:P,15,0)*LN((E344*2.54)))-EXP(VLOOKUP(D344,'Species Codes'!B:O,14,0)+VLOOKUP(D344,'Species Codes'!B:P,15,0)*LN((E344*2.54)))*(1/(VLOOKUP(D344,'Species Codes'!B:Q,16,0)+VLOOKUP(D344,'Species Codes'!B:R,17,0)*((E344*2.54)^VLOOKUP(D344,'Species Codes'!B:S,18,0)))),IF(OR(D344="BM",D344="MD",D344="OA"),EXP(VLOOKUP(D344,'Species Codes'!B:O,14,0)+VLOOKUP(D344,'Species Codes'!B:P,15,0)*LN((E344*2.54)))*(1-(1/(VLOOKUP(D344,'Species Codes'!B:Q,16,0)+VLOOKUP(D344,'Species Codes'!B:R,17,0)*((E344*2.54)^VLOOKUP(D344,'Species Codes'!B:S,18,0)))))/1000,IF(D344="DF",EXP(VLOOKUP(D344,'Species Codes'!B:O,14,0)+VLOOKUP(D344,'Species Codes'!B:P,15,0)*LN((E344*2.54))),VLOOKUP(D344,'Species Codes'!B:O,14,0)+VLOOKUP(D344,'Species Codes'!B:P,15,0)*(((E344*2.54)/100)^2)*(I344*0.3048)))))*0.0011023),0)</f>
        <v>#N/A</v>
      </c>
      <c r="AD344" s="104" t="e">
        <f t="shared" si="166"/>
        <v>#N/A</v>
      </c>
      <c r="AE344" s="104" t="e">
        <f t="shared" si="167"/>
        <v>#N/A</v>
      </c>
      <c r="AF344" s="104" t="e">
        <f>IF(AND(VLOOKUP($D344,Merchantability!$B:$C,2,0)="Yes",$E344&gt;=VLOOKUP($D344,Merchantability!$B:$D,3,0),$E344&lt;=VLOOKUP($D344,Merchantability!$B:$E,4,0)),AA344,0)</f>
        <v>#N/A</v>
      </c>
      <c r="AG344" s="104" t="e">
        <f>IF(AND(VLOOKUP($D344,Merchantability!$B:$C,2,0)="Yes",$E344&gt;=VLOOKUP($D344,Merchantability!$B:$D,3,0),$E344&lt;=VLOOKUP($D344,Merchantability!$B:$E,4,0)),AB344,0)</f>
        <v>#N/A</v>
      </c>
      <c r="AH344" s="104" t="e">
        <f>IF(AND(VLOOKUP($D344,Merchantability!$B:$C,2,0)="Yes",$E344&gt;=VLOOKUP($D344,Merchantability!$B:$D,3,0),$E344&lt;=VLOOKUP($D344,Merchantability!$B:$E,4,0)),AC344,0)</f>
        <v>#N/A</v>
      </c>
      <c r="AI344" s="104" t="e">
        <f t="shared" si="168"/>
        <v>#N/A</v>
      </c>
      <c r="AJ344" s="104" t="e">
        <f t="shared" si="169"/>
        <v>#VALUE!</v>
      </c>
      <c r="AK344" s="104" t="e">
        <f t="shared" si="170"/>
        <v>#N/A</v>
      </c>
      <c r="AL344" s="104" t="e">
        <f t="shared" si="171"/>
        <v>#N/A</v>
      </c>
      <c r="AM344" s="104" t="e">
        <f t="shared" si="172"/>
        <v>#N/A</v>
      </c>
      <c r="AN344" s="104" t="e">
        <f t="shared" si="183"/>
        <v>#N/A</v>
      </c>
      <c r="AO344" s="104" t="e">
        <f t="shared" si="184"/>
        <v>#N/A</v>
      </c>
      <c r="AP344" s="104" t="e">
        <f t="shared" si="185"/>
        <v>#N/A</v>
      </c>
      <c r="AQ344" s="104" t="e">
        <f t="shared" si="186"/>
        <v>#N/A</v>
      </c>
      <c r="AR344" s="105" t="str">
        <f t="shared" si="178"/>
        <v/>
      </c>
      <c r="AS344" s="105" t="str">
        <f t="shared" si="179"/>
        <v/>
      </c>
      <c r="AT344" s="108" t="str">
        <f t="shared" si="180"/>
        <v/>
      </c>
      <c r="AU344" s="108" t="str">
        <f t="shared" si="181"/>
        <v/>
      </c>
      <c r="AV344" s="107" t="str">
        <f>IF(ISNUMBER(O344),IF(VLOOKUP($A344,Stand!C:J,8,FALSE)="Short",AT344,AU344),"")</f>
        <v/>
      </c>
      <c r="AW344" s="109" t="str">
        <f t="shared" si="187"/>
        <v/>
      </c>
      <c r="AX344" s="109" t="str">
        <f t="shared" si="188"/>
        <v/>
      </c>
      <c r="AY344" s="112" t="str">
        <f>IF(ISNUMBER(O344),IF(AND(VLOOKUP($D344,Merchantability!$B:$C,2,0)="Yes",$E344&gt;=VLOOKUP($D344,Merchantability!$B:$D,3,0),$E344&lt;=VLOOKUP($D344,Merchantability!$B:$E,4,0)),(AV344*O344)*(1-$H344/100),""),"")</f>
        <v/>
      </c>
      <c r="AZ344" s="116"/>
      <c r="BA344" s="116"/>
      <c r="BB344" s="116"/>
      <c r="BE344" s="62"/>
      <c r="BF344" s="63"/>
    </row>
    <row r="345" spans="1:58" ht="12.75" customHeight="1" x14ac:dyDescent="0.25">
      <c r="A345" s="313"/>
      <c r="B345" s="380"/>
      <c r="C345" s="381"/>
      <c r="D345" s="380"/>
      <c r="E345" s="382"/>
      <c r="F345" s="331"/>
      <c r="G345" s="329"/>
      <c r="H345" s="329"/>
      <c r="I345" s="380"/>
      <c r="J345" s="381"/>
      <c r="K345" s="329"/>
      <c r="L345" s="329"/>
      <c r="M345" s="76"/>
      <c r="N345" s="103" t="str">
        <f>IF(A345="","",VLOOKUP(A345,Stand!C:K,9,0))</f>
        <v/>
      </c>
      <c r="O345" s="104" t="str">
        <f t="shared" si="173"/>
        <v/>
      </c>
      <c r="P345" s="105" t="str">
        <f t="shared" si="174"/>
        <v/>
      </c>
      <c r="Q345" s="105" t="str">
        <f t="shared" si="162"/>
        <v/>
      </c>
      <c r="R345" s="103" t="str">
        <f t="shared" si="175"/>
        <v/>
      </c>
      <c r="S345" s="103" t="str">
        <f t="shared" si="176"/>
        <v/>
      </c>
      <c r="T345" s="106" t="str">
        <f t="shared" si="163"/>
        <v/>
      </c>
      <c r="U345" s="106" t="str">
        <f t="shared" si="164"/>
        <v/>
      </c>
      <c r="V345" s="106" t="str">
        <f t="shared" si="165"/>
        <v/>
      </c>
      <c r="W345" s="105" t="str">
        <f t="shared" si="177"/>
        <v/>
      </c>
      <c r="X345" s="104" t="str">
        <f t="shared" si="182"/>
        <v/>
      </c>
      <c r="Y345" s="104" t="str">
        <f t="array" ref="Y345">IFERROR(IF(ISNUMBER(O345),IF(COUNT(IF(A345=$A$2:$A$2427,IF(D345=$D$2:$D$2427,IF($X$2:$X$2427&gt;0,1))))&gt;0,SUM(IF(A345=$A$2:$A$2427,IF(D345=$D$2:$D$2427,$X$2:$X$2427)))/COUNT(IF(A345=$A$2:$A$2427,IF(D345=$D$2:$D$2427,IF(ISNUMBER($X$2:$X$2427),1)))),0),""),0)</f>
        <v/>
      </c>
      <c r="Z345" s="104" t="str">
        <f>IF(ISNUMBER(O345),IF(I345&gt;0,(10^(VLOOKUP(D345,'Species Codes'!B:C,2,0)+VLOOKUP(D345,'Species Codes'!B:D,3,0)*LOG(E345)+VLOOKUP(D345,'Species Codes'!B:E,4,0)*LOG(I345))),0),"")</f>
        <v/>
      </c>
      <c r="AA345" s="104" t="str">
        <f>IFERROR((VLOOKUP(D345,'Species Codes'!B:G,6,0)*Z345)/2000,"")</f>
        <v/>
      </c>
      <c r="AB345" s="104" t="e">
        <f>IF(Z345&gt;0,((IF(OR(D345="DF",D345="RA")=TRUE,EXP(VLOOKUP(D345,'Species Codes'!B:I,8,0)+VLOOKUP(D345,'Species Codes'!B:J,9,0)*(LN((E345*2.54)))),IF(OR(D345="PY",D345="RC",D345="WH",D345="NF")=TRUE,VLOOKUP(D345,'Species Codes'!B:I,8,0)+VLOOKUP(D345,'Species Codes'!B:J,9,0)*((E345*2.54)^2)*(I345*0.3048),IF(OR(D345="MD",D345="BM",D345="GA")=TRUE,((VLOOKUP(D345,'Species Codes'!B:I,8,0)*(((((E345*2.54)+VLOOKUP(D345,'Species Codes'!B:J,9,0))/VLOOKUP(D345,'Species Codes'!B:K,10,0))^VLOOKUP(D345,'Species Codes'!B:L,11,0))*((I345*0.3048)^VLOOKUP(D345,'Species Codes'!B:M,12,0))))-(VLOOKUP(D345,'Species Codes'!B:I,8,0)*((((E345*2.54)^VLOOKUP(D345,'Species Codes'!B:L,11,0))*((I345*0.3048)^VLOOKUP(D345,'Species Codes'!B:M,12,0))))))*35.3*VLOOKUP(D345,'Species Codes'!B:G,6,0)/2.2046,VLOOKUP(D345,'Species Codes'!B:I,8,0)+VLOOKUP(D345,'Species Codes'!B:J,9,0)*(((E345*2.54)/100)^2)*(I345*0.3048)))))*0.0011023),0)</f>
        <v>#N/A</v>
      </c>
      <c r="AC345" s="104" t="e">
        <f>IF(Z345&gt;0,((IF(OR(D345="RA",D345="OA",D345="OT",D345="UN",D345="PC"),EXP(VLOOKUP(D345,'Species Codes'!B:O,14,0)+VLOOKUP(D345,'Species Codes'!B:P,15,0)*LN((E345*2.54)))-EXP(VLOOKUP(D345,'Species Codes'!B:O,14,0)+VLOOKUP(D345,'Species Codes'!B:P,15,0)*LN((E345*2.54)))*(1/(VLOOKUP(D345,'Species Codes'!B:Q,16,0)+VLOOKUP(D345,'Species Codes'!B:R,17,0)*((E345*2.54)^VLOOKUP(D345,'Species Codes'!B:S,18,0)))),IF(OR(D345="BM",D345="MD",D345="OA"),EXP(VLOOKUP(D345,'Species Codes'!B:O,14,0)+VLOOKUP(D345,'Species Codes'!B:P,15,0)*LN((E345*2.54)))*(1-(1/(VLOOKUP(D345,'Species Codes'!B:Q,16,0)+VLOOKUP(D345,'Species Codes'!B:R,17,0)*((E345*2.54)^VLOOKUP(D345,'Species Codes'!B:S,18,0)))))/1000,IF(D345="DF",EXP(VLOOKUP(D345,'Species Codes'!B:O,14,0)+VLOOKUP(D345,'Species Codes'!B:P,15,0)*LN((E345*2.54))),VLOOKUP(D345,'Species Codes'!B:O,14,0)+VLOOKUP(D345,'Species Codes'!B:P,15,0)*(((E345*2.54)/100)^2)*(I345*0.3048)))))*0.0011023),0)</f>
        <v>#N/A</v>
      </c>
      <c r="AD345" s="104" t="e">
        <f t="shared" si="166"/>
        <v>#N/A</v>
      </c>
      <c r="AE345" s="104" t="e">
        <f t="shared" si="167"/>
        <v>#N/A</v>
      </c>
      <c r="AF345" s="104" t="e">
        <f>IF(AND(VLOOKUP($D345,Merchantability!$B:$C,2,0)="Yes",$E345&gt;=VLOOKUP($D345,Merchantability!$B:$D,3,0),$E345&lt;=VLOOKUP($D345,Merchantability!$B:$E,4,0)),AA345,0)</f>
        <v>#N/A</v>
      </c>
      <c r="AG345" s="104" t="e">
        <f>IF(AND(VLOOKUP($D345,Merchantability!$B:$C,2,0)="Yes",$E345&gt;=VLOOKUP($D345,Merchantability!$B:$D,3,0),$E345&lt;=VLOOKUP($D345,Merchantability!$B:$E,4,0)),AB345,0)</f>
        <v>#N/A</v>
      </c>
      <c r="AH345" s="104" t="e">
        <f>IF(AND(VLOOKUP($D345,Merchantability!$B:$C,2,0)="Yes",$E345&gt;=VLOOKUP($D345,Merchantability!$B:$D,3,0),$E345&lt;=VLOOKUP($D345,Merchantability!$B:$E,4,0)),AC345,0)</f>
        <v>#N/A</v>
      </c>
      <c r="AI345" s="104" t="e">
        <f t="shared" si="168"/>
        <v>#N/A</v>
      </c>
      <c r="AJ345" s="104" t="e">
        <f t="shared" si="169"/>
        <v>#VALUE!</v>
      </c>
      <c r="AK345" s="104" t="e">
        <f t="shared" si="170"/>
        <v>#N/A</v>
      </c>
      <c r="AL345" s="104" t="e">
        <f t="shared" si="171"/>
        <v>#N/A</v>
      </c>
      <c r="AM345" s="104" t="e">
        <f t="shared" si="172"/>
        <v>#N/A</v>
      </c>
      <c r="AN345" s="104" t="e">
        <f t="shared" si="183"/>
        <v>#N/A</v>
      </c>
      <c r="AO345" s="104" t="e">
        <f t="shared" si="184"/>
        <v>#N/A</v>
      </c>
      <c r="AP345" s="104" t="e">
        <f t="shared" si="185"/>
        <v>#N/A</v>
      </c>
      <c r="AQ345" s="104" t="e">
        <f t="shared" si="186"/>
        <v>#N/A</v>
      </c>
      <c r="AR345" s="105" t="str">
        <f t="shared" si="178"/>
        <v/>
      </c>
      <c r="AS345" s="105" t="str">
        <f t="shared" si="179"/>
        <v/>
      </c>
      <c r="AT345" s="108" t="str">
        <f t="shared" si="180"/>
        <v/>
      </c>
      <c r="AU345" s="108" t="str">
        <f t="shared" si="181"/>
        <v/>
      </c>
      <c r="AV345" s="107" t="str">
        <f>IF(ISNUMBER(O345),IF(VLOOKUP($A345,Stand!C:J,8,FALSE)="Short",AT345,AU345),"")</f>
        <v/>
      </c>
      <c r="AW345" s="109" t="str">
        <f t="shared" si="187"/>
        <v/>
      </c>
      <c r="AX345" s="109" t="str">
        <f t="shared" si="188"/>
        <v/>
      </c>
      <c r="AY345" s="112" t="str">
        <f>IF(ISNUMBER(O345),IF(AND(VLOOKUP($D345,Merchantability!$B:$C,2,0)="Yes",$E345&gt;=VLOOKUP($D345,Merchantability!$B:$D,3,0),$E345&lt;=VLOOKUP($D345,Merchantability!$B:$E,4,0)),(AV345*O345)*(1-$H345/100),""),"")</f>
        <v/>
      </c>
      <c r="AZ345" s="116"/>
      <c r="BA345" s="116"/>
      <c r="BB345" s="116"/>
      <c r="BE345" s="62"/>
      <c r="BF345" s="63"/>
    </row>
    <row r="346" spans="1:58" ht="12.75" customHeight="1" x14ac:dyDescent="0.25">
      <c r="A346" s="313"/>
      <c r="B346" s="380"/>
      <c r="C346" s="381"/>
      <c r="D346" s="380"/>
      <c r="E346" s="382"/>
      <c r="F346" s="331"/>
      <c r="G346" s="329"/>
      <c r="H346" s="329"/>
      <c r="I346" s="380"/>
      <c r="J346" s="381"/>
      <c r="K346" s="329"/>
      <c r="L346" s="329"/>
      <c r="M346" s="76"/>
      <c r="N346" s="103" t="str">
        <f>IF(A346="","",VLOOKUP(A346,Stand!C:K,9,0))</f>
        <v/>
      </c>
      <c r="O346" s="104" t="str">
        <f t="shared" si="173"/>
        <v/>
      </c>
      <c r="P346" s="105" t="str">
        <f t="shared" si="174"/>
        <v/>
      </c>
      <c r="Q346" s="105" t="str">
        <f t="shared" si="162"/>
        <v/>
      </c>
      <c r="R346" s="103" t="str">
        <f t="shared" si="175"/>
        <v/>
      </c>
      <c r="S346" s="103" t="str">
        <f t="shared" si="176"/>
        <v/>
      </c>
      <c r="T346" s="106" t="str">
        <f t="shared" si="163"/>
        <v/>
      </c>
      <c r="U346" s="106" t="str">
        <f t="shared" si="164"/>
        <v/>
      </c>
      <c r="V346" s="106" t="str">
        <f t="shared" si="165"/>
        <v/>
      </c>
      <c r="W346" s="105" t="str">
        <f t="shared" si="177"/>
        <v/>
      </c>
      <c r="X346" s="104" t="str">
        <f t="shared" si="182"/>
        <v/>
      </c>
      <c r="Y346" s="104" t="str">
        <f t="array" ref="Y346">IFERROR(IF(ISNUMBER(O346),IF(COUNT(IF(A346=$A$2:$A$2427,IF(D346=$D$2:$D$2427,IF($X$2:$X$2427&gt;0,1))))&gt;0,SUM(IF(A346=$A$2:$A$2427,IF(D346=$D$2:$D$2427,$X$2:$X$2427)))/COUNT(IF(A346=$A$2:$A$2427,IF(D346=$D$2:$D$2427,IF(ISNUMBER($X$2:$X$2427),1)))),0),""),0)</f>
        <v/>
      </c>
      <c r="Z346" s="104" t="str">
        <f>IF(ISNUMBER(O346),IF(I346&gt;0,(10^(VLOOKUP(D346,'Species Codes'!B:C,2,0)+VLOOKUP(D346,'Species Codes'!B:D,3,0)*LOG(E346)+VLOOKUP(D346,'Species Codes'!B:E,4,0)*LOG(I346))),0),"")</f>
        <v/>
      </c>
      <c r="AA346" s="104" t="str">
        <f>IFERROR((VLOOKUP(D346,'Species Codes'!B:G,6,0)*Z346)/2000,"")</f>
        <v/>
      </c>
      <c r="AB346" s="104" t="e">
        <f>IF(Z346&gt;0,((IF(OR(D346="DF",D346="RA")=TRUE,EXP(VLOOKUP(D346,'Species Codes'!B:I,8,0)+VLOOKUP(D346,'Species Codes'!B:J,9,0)*(LN((E346*2.54)))),IF(OR(D346="PY",D346="RC",D346="WH",D346="NF")=TRUE,VLOOKUP(D346,'Species Codes'!B:I,8,0)+VLOOKUP(D346,'Species Codes'!B:J,9,0)*((E346*2.54)^2)*(I346*0.3048),IF(OR(D346="MD",D346="BM",D346="GA")=TRUE,((VLOOKUP(D346,'Species Codes'!B:I,8,0)*(((((E346*2.54)+VLOOKUP(D346,'Species Codes'!B:J,9,0))/VLOOKUP(D346,'Species Codes'!B:K,10,0))^VLOOKUP(D346,'Species Codes'!B:L,11,0))*((I346*0.3048)^VLOOKUP(D346,'Species Codes'!B:M,12,0))))-(VLOOKUP(D346,'Species Codes'!B:I,8,0)*((((E346*2.54)^VLOOKUP(D346,'Species Codes'!B:L,11,0))*((I346*0.3048)^VLOOKUP(D346,'Species Codes'!B:M,12,0))))))*35.3*VLOOKUP(D346,'Species Codes'!B:G,6,0)/2.2046,VLOOKUP(D346,'Species Codes'!B:I,8,0)+VLOOKUP(D346,'Species Codes'!B:J,9,0)*(((E346*2.54)/100)^2)*(I346*0.3048)))))*0.0011023),0)</f>
        <v>#N/A</v>
      </c>
      <c r="AC346" s="104" t="e">
        <f>IF(Z346&gt;0,((IF(OR(D346="RA",D346="OA",D346="OT",D346="UN",D346="PC"),EXP(VLOOKUP(D346,'Species Codes'!B:O,14,0)+VLOOKUP(D346,'Species Codes'!B:P,15,0)*LN((E346*2.54)))-EXP(VLOOKUP(D346,'Species Codes'!B:O,14,0)+VLOOKUP(D346,'Species Codes'!B:P,15,0)*LN((E346*2.54)))*(1/(VLOOKUP(D346,'Species Codes'!B:Q,16,0)+VLOOKUP(D346,'Species Codes'!B:R,17,0)*((E346*2.54)^VLOOKUP(D346,'Species Codes'!B:S,18,0)))),IF(OR(D346="BM",D346="MD",D346="OA"),EXP(VLOOKUP(D346,'Species Codes'!B:O,14,0)+VLOOKUP(D346,'Species Codes'!B:P,15,0)*LN((E346*2.54)))*(1-(1/(VLOOKUP(D346,'Species Codes'!B:Q,16,0)+VLOOKUP(D346,'Species Codes'!B:R,17,0)*((E346*2.54)^VLOOKUP(D346,'Species Codes'!B:S,18,0)))))/1000,IF(D346="DF",EXP(VLOOKUP(D346,'Species Codes'!B:O,14,0)+VLOOKUP(D346,'Species Codes'!B:P,15,0)*LN((E346*2.54))),VLOOKUP(D346,'Species Codes'!B:O,14,0)+VLOOKUP(D346,'Species Codes'!B:P,15,0)*(((E346*2.54)/100)^2)*(I346*0.3048)))))*0.0011023),0)</f>
        <v>#N/A</v>
      </c>
      <c r="AD346" s="104" t="e">
        <f t="shared" si="166"/>
        <v>#N/A</v>
      </c>
      <c r="AE346" s="104" t="e">
        <f t="shared" si="167"/>
        <v>#N/A</v>
      </c>
      <c r="AF346" s="104" t="e">
        <f>IF(AND(VLOOKUP($D346,Merchantability!$B:$C,2,0)="Yes",$E346&gt;=VLOOKUP($D346,Merchantability!$B:$D,3,0),$E346&lt;=VLOOKUP($D346,Merchantability!$B:$E,4,0)),AA346,0)</f>
        <v>#N/A</v>
      </c>
      <c r="AG346" s="104" t="e">
        <f>IF(AND(VLOOKUP($D346,Merchantability!$B:$C,2,0)="Yes",$E346&gt;=VLOOKUP($D346,Merchantability!$B:$D,3,0),$E346&lt;=VLOOKUP($D346,Merchantability!$B:$E,4,0)),AB346,0)</f>
        <v>#N/A</v>
      </c>
      <c r="AH346" s="104" t="e">
        <f>IF(AND(VLOOKUP($D346,Merchantability!$B:$C,2,0)="Yes",$E346&gt;=VLOOKUP($D346,Merchantability!$B:$D,3,0),$E346&lt;=VLOOKUP($D346,Merchantability!$B:$E,4,0)),AC346,0)</f>
        <v>#N/A</v>
      </c>
      <c r="AI346" s="104" t="e">
        <f t="shared" si="168"/>
        <v>#N/A</v>
      </c>
      <c r="AJ346" s="104" t="e">
        <f t="shared" si="169"/>
        <v>#VALUE!</v>
      </c>
      <c r="AK346" s="104" t="e">
        <f t="shared" si="170"/>
        <v>#N/A</v>
      </c>
      <c r="AL346" s="104" t="e">
        <f t="shared" si="171"/>
        <v>#N/A</v>
      </c>
      <c r="AM346" s="104" t="e">
        <f t="shared" si="172"/>
        <v>#N/A</v>
      </c>
      <c r="AN346" s="104" t="e">
        <f t="shared" si="183"/>
        <v>#N/A</v>
      </c>
      <c r="AO346" s="104" t="e">
        <f t="shared" si="184"/>
        <v>#N/A</v>
      </c>
      <c r="AP346" s="104" t="e">
        <f t="shared" si="185"/>
        <v>#N/A</v>
      </c>
      <c r="AQ346" s="104" t="e">
        <f t="shared" si="186"/>
        <v>#N/A</v>
      </c>
      <c r="AR346" s="105" t="str">
        <f t="shared" si="178"/>
        <v/>
      </c>
      <c r="AS346" s="105" t="str">
        <f t="shared" si="179"/>
        <v/>
      </c>
      <c r="AT346" s="108" t="str">
        <f t="shared" si="180"/>
        <v/>
      </c>
      <c r="AU346" s="108" t="str">
        <f t="shared" si="181"/>
        <v/>
      </c>
      <c r="AV346" s="107" t="str">
        <f>IF(ISNUMBER(O346),IF(VLOOKUP($A346,Stand!C:J,8,FALSE)="Short",AT346,AU346),"")</f>
        <v/>
      </c>
      <c r="AW346" s="109" t="str">
        <f t="shared" si="187"/>
        <v/>
      </c>
      <c r="AX346" s="109" t="str">
        <f t="shared" si="188"/>
        <v/>
      </c>
      <c r="AY346" s="112" t="str">
        <f>IF(ISNUMBER(O346),IF(AND(VLOOKUP($D346,Merchantability!$B:$C,2,0)="Yes",$E346&gt;=VLOOKUP($D346,Merchantability!$B:$D,3,0),$E346&lt;=VLOOKUP($D346,Merchantability!$B:$E,4,0)),(AV346*O346)*(1-$H346/100),""),"")</f>
        <v/>
      </c>
      <c r="AZ346" s="116"/>
      <c r="BA346" s="116"/>
      <c r="BB346" s="116"/>
      <c r="BE346" s="62"/>
      <c r="BF346" s="63"/>
    </row>
    <row r="347" spans="1:58" ht="12.75" customHeight="1" x14ac:dyDescent="0.25">
      <c r="A347" s="313"/>
      <c r="B347" s="380"/>
      <c r="C347" s="381"/>
      <c r="D347" s="380"/>
      <c r="E347" s="382"/>
      <c r="F347" s="331"/>
      <c r="G347" s="329"/>
      <c r="H347" s="329"/>
      <c r="I347" s="380"/>
      <c r="J347" s="381"/>
      <c r="K347" s="329"/>
      <c r="L347" s="329"/>
      <c r="M347" s="76"/>
      <c r="N347" s="103" t="str">
        <f>IF(A347="","",VLOOKUP(A347,Stand!C:K,9,0))</f>
        <v/>
      </c>
      <c r="O347" s="104" t="str">
        <f t="shared" si="173"/>
        <v/>
      </c>
      <c r="P347" s="105" t="str">
        <f t="shared" si="174"/>
        <v/>
      </c>
      <c r="Q347" s="105" t="str">
        <f t="shared" si="162"/>
        <v/>
      </c>
      <c r="R347" s="103" t="str">
        <f t="shared" si="175"/>
        <v/>
      </c>
      <c r="S347" s="103" t="str">
        <f t="shared" si="176"/>
        <v/>
      </c>
      <c r="T347" s="106" t="str">
        <f t="shared" si="163"/>
        <v/>
      </c>
      <c r="U347" s="106" t="str">
        <f t="shared" si="164"/>
        <v/>
      </c>
      <c r="V347" s="106" t="str">
        <f t="shared" si="165"/>
        <v/>
      </c>
      <c r="W347" s="105" t="str">
        <f t="shared" si="177"/>
        <v/>
      </c>
      <c r="X347" s="104" t="str">
        <f t="shared" si="182"/>
        <v/>
      </c>
      <c r="Y347" s="104" t="str">
        <f t="array" ref="Y347">IFERROR(IF(ISNUMBER(O347),IF(COUNT(IF(A347=$A$2:$A$2427,IF(D347=$D$2:$D$2427,IF($X$2:$X$2427&gt;0,1))))&gt;0,SUM(IF(A347=$A$2:$A$2427,IF(D347=$D$2:$D$2427,$X$2:$X$2427)))/COUNT(IF(A347=$A$2:$A$2427,IF(D347=$D$2:$D$2427,IF(ISNUMBER($X$2:$X$2427),1)))),0),""),0)</f>
        <v/>
      </c>
      <c r="Z347" s="104" t="str">
        <f>IF(ISNUMBER(O347),IF(I347&gt;0,(10^(VLOOKUP(D347,'Species Codes'!B:C,2,0)+VLOOKUP(D347,'Species Codes'!B:D,3,0)*LOG(E347)+VLOOKUP(D347,'Species Codes'!B:E,4,0)*LOG(I347))),0),"")</f>
        <v/>
      </c>
      <c r="AA347" s="104" t="str">
        <f>IFERROR((VLOOKUP(D347,'Species Codes'!B:G,6,0)*Z347)/2000,"")</f>
        <v/>
      </c>
      <c r="AB347" s="104" t="e">
        <f>IF(Z347&gt;0,((IF(OR(D347="DF",D347="RA")=TRUE,EXP(VLOOKUP(D347,'Species Codes'!B:I,8,0)+VLOOKUP(D347,'Species Codes'!B:J,9,0)*(LN((E347*2.54)))),IF(OR(D347="PY",D347="RC",D347="WH",D347="NF")=TRUE,VLOOKUP(D347,'Species Codes'!B:I,8,0)+VLOOKUP(D347,'Species Codes'!B:J,9,0)*((E347*2.54)^2)*(I347*0.3048),IF(OR(D347="MD",D347="BM",D347="GA")=TRUE,((VLOOKUP(D347,'Species Codes'!B:I,8,0)*(((((E347*2.54)+VLOOKUP(D347,'Species Codes'!B:J,9,0))/VLOOKUP(D347,'Species Codes'!B:K,10,0))^VLOOKUP(D347,'Species Codes'!B:L,11,0))*((I347*0.3048)^VLOOKUP(D347,'Species Codes'!B:M,12,0))))-(VLOOKUP(D347,'Species Codes'!B:I,8,0)*((((E347*2.54)^VLOOKUP(D347,'Species Codes'!B:L,11,0))*((I347*0.3048)^VLOOKUP(D347,'Species Codes'!B:M,12,0))))))*35.3*VLOOKUP(D347,'Species Codes'!B:G,6,0)/2.2046,VLOOKUP(D347,'Species Codes'!B:I,8,0)+VLOOKUP(D347,'Species Codes'!B:J,9,0)*(((E347*2.54)/100)^2)*(I347*0.3048)))))*0.0011023),0)</f>
        <v>#N/A</v>
      </c>
      <c r="AC347" s="104" t="e">
        <f>IF(Z347&gt;0,((IF(OR(D347="RA",D347="OA",D347="OT",D347="UN",D347="PC"),EXP(VLOOKUP(D347,'Species Codes'!B:O,14,0)+VLOOKUP(D347,'Species Codes'!B:P,15,0)*LN((E347*2.54)))-EXP(VLOOKUP(D347,'Species Codes'!B:O,14,0)+VLOOKUP(D347,'Species Codes'!B:P,15,0)*LN((E347*2.54)))*(1/(VLOOKUP(D347,'Species Codes'!B:Q,16,0)+VLOOKUP(D347,'Species Codes'!B:R,17,0)*((E347*2.54)^VLOOKUP(D347,'Species Codes'!B:S,18,0)))),IF(OR(D347="BM",D347="MD",D347="OA"),EXP(VLOOKUP(D347,'Species Codes'!B:O,14,0)+VLOOKUP(D347,'Species Codes'!B:P,15,0)*LN((E347*2.54)))*(1-(1/(VLOOKUP(D347,'Species Codes'!B:Q,16,0)+VLOOKUP(D347,'Species Codes'!B:R,17,0)*((E347*2.54)^VLOOKUP(D347,'Species Codes'!B:S,18,0)))))/1000,IF(D347="DF",EXP(VLOOKUP(D347,'Species Codes'!B:O,14,0)+VLOOKUP(D347,'Species Codes'!B:P,15,0)*LN((E347*2.54))),VLOOKUP(D347,'Species Codes'!B:O,14,0)+VLOOKUP(D347,'Species Codes'!B:P,15,0)*(((E347*2.54)/100)^2)*(I347*0.3048)))))*0.0011023),0)</f>
        <v>#N/A</v>
      </c>
      <c r="AD347" s="104" t="e">
        <f t="shared" si="166"/>
        <v>#N/A</v>
      </c>
      <c r="AE347" s="104" t="e">
        <f t="shared" si="167"/>
        <v>#N/A</v>
      </c>
      <c r="AF347" s="104" t="e">
        <f>IF(AND(VLOOKUP($D347,Merchantability!$B:$C,2,0)="Yes",$E347&gt;=VLOOKUP($D347,Merchantability!$B:$D,3,0),$E347&lt;=VLOOKUP($D347,Merchantability!$B:$E,4,0)),AA347,0)</f>
        <v>#N/A</v>
      </c>
      <c r="AG347" s="104" t="e">
        <f>IF(AND(VLOOKUP($D347,Merchantability!$B:$C,2,0)="Yes",$E347&gt;=VLOOKUP($D347,Merchantability!$B:$D,3,0),$E347&lt;=VLOOKUP($D347,Merchantability!$B:$E,4,0)),AB347,0)</f>
        <v>#N/A</v>
      </c>
      <c r="AH347" s="104" t="e">
        <f>IF(AND(VLOOKUP($D347,Merchantability!$B:$C,2,0)="Yes",$E347&gt;=VLOOKUP($D347,Merchantability!$B:$D,3,0),$E347&lt;=VLOOKUP($D347,Merchantability!$B:$E,4,0)),AC347,0)</f>
        <v>#N/A</v>
      </c>
      <c r="AI347" s="104" t="e">
        <f t="shared" si="168"/>
        <v>#N/A</v>
      </c>
      <c r="AJ347" s="104" t="e">
        <f t="shared" si="169"/>
        <v>#VALUE!</v>
      </c>
      <c r="AK347" s="104" t="e">
        <f t="shared" si="170"/>
        <v>#N/A</v>
      </c>
      <c r="AL347" s="104" t="e">
        <f t="shared" si="171"/>
        <v>#N/A</v>
      </c>
      <c r="AM347" s="104" t="e">
        <f t="shared" si="172"/>
        <v>#N/A</v>
      </c>
      <c r="AN347" s="104" t="e">
        <f t="shared" si="183"/>
        <v>#N/A</v>
      </c>
      <c r="AO347" s="104" t="e">
        <f t="shared" si="184"/>
        <v>#N/A</v>
      </c>
      <c r="AP347" s="104" t="e">
        <f t="shared" si="185"/>
        <v>#N/A</v>
      </c>
      <c r="AQ347" s="104" t="e">
        <f t="shared" si="186"/>
        <v>#N/A</v>
      </c>
      <c r="AR347" s="105" t="str">
        <f t="shared" si="178"/>
        <v/>
      </c>
      <c r="AS347" s="105" t="str">
        <f t="shared" si="179"/>
        <v/>
      </c>
      <c r="AT347" s="108" t="str">
        <f t="shared" si="180"/>
        <v/>
      </c>
      <c r="AU347" s="108" t="str">
        <f t="shared" si="181"/>
        <v/>
      </c>
      <c r="AV347" s="107" t="str">
        <f>IF(ISNUMBER(O347),IF(VLOOKUP($A347,Stand!C:J,8,FALSE)="Short",AT347,AU347),"")</f>
        <v/>
      </c>
      <c r="AW347" s="109" t="str">
        <f t="shared" si="187"/>
        <v/>
      </c>
      <c r="AX347" s="109" t="str">
        <f t="shared" si="188"/>
        <v/>
      </c>
      <c r="AY347" s="112" t="str">
        <f>IF(ISNUMBER(O347),IF(AND(VLOOKUP($D347,Merchantability!$B:$C,2,0)="Yes",$E347&gt;=VLOOKUP($D347,Merchantability!$B:$D,3,0),$E347&lt;=VLOOKUP($D347,Merchantability!$B:$E,4,0)),(AV347*O347)*(1-$H347/100),""),"")</f>
        <v/>
      </c>
      <c r="AZ347" s="116"/>
      <c r="BA347" s="116"/>
      <c r="BB347" s="116"/>
      <c r="BE347" s="62"/>
      <c r="BF347" s="63"/>
    </row>
    <row r="348" spans="1:58" ht="12.75" customHeight="1" x14ac:dyDescent="0.25">
      <c r="A348" s="313"/>
      <c r="B348" s="380"/>
      <c r="C348" s="381"/>
      <c r="D348" s="380"/>
      <c r="E348" s="382"/>
      <c r="F348" s="331"/>
      <c r="G348" s="329"/>
      <c r="H348" s="329"/>
      <c r="I348" s="380"/>
      <c r="J348" s="381"/>
      <c r="K348" s="329"/>
      <c r="L348" s="329"/>
      <c r="M348" s="76"/>
      <c r="N348" s="103" t="str">
        <f>IF(A348="","",VLOOKUP(A348,Stand!C:K,9,0))</f>
        <v/>
      </c>
      <c r="O348" s="104" t="str">
        <f t="shared" si="173"/>
        <v/>
      </c>
      <c r="P348" s="105" t="str">
        <f t="shared" si="174"/>
        <v/>
      </c>
      <c r="Q348" s="105" t="str">
        <f t="shared" si="162"/>
        <v/>
      </c>
      <c r="R348" s="103" t="str">
        <f t="shared" si="175"/>
        <v/>
      </c>
      <c r="S348" s="103" t="str">
        <f t="shared" si="176"/>
        <v/>
      </c>
      <c r="T348" s="106" t="str">
        <f t="shared" si="163"/>
        <v/>
      </c>
      <c r="U348" s="106" t="str">
        <f t="shared" si="164"/>
        <v/>
      </c>
      <c r="V348" s="106" t="str">
        <f t="shared" si="165"/>
        <v/>
      </c>
      <c r="W348" s="105" t="str">
        <f t="shared" si="177"/>
        <v/>
      </c>
      <c r="X348" s="104" t="str">
        <f t="shared" si="182"/>
        <v/>
      </c>
      <c r="Y348" s="104" t="str">
        <f t="array" ref="Y348">IFERROR(IF(ISNUMBER(O348),IF(COUNT(IF(A348=$A$2:$A$2427,IF(D348=$D$2:$D$2427,IF($X$2:$X$2427&gt;0,1))))&gt;0,SUM(IF(A348=$A$2:$A$2427,IF(D348=$D$2:$D$2427,$X$2:$X$2427)))/COUNT(IF(A348=$A$2:$A$2427,IF(D348=$D$2:$D$2427,IF(ISNUMBER($X$2:$X$2427),1)))),0),""),0)</f>
        <v/>
      </c>
      <c r="Z348" s="104" t="str">
        <f>IF(ISNUMBER(O348),IF(I348&gt;0,(10^(VLOOKUP(D348,'Species Codes'!B:C,2,0)+VLOOKUP(D348,'Species Codes'!B:D,3,0)*LOG(E348)+VLOOKUP(D348,'Species Codes'!B:E,4,0)*LOG(I348))),0),"")</f>
        <v/>
      </c>
      <c r="AA348" s="104" t="str">
        <f>IFERROR((VLOOKUP(D348,'Species Codes'!B:G,6,0)*Z348)/2000,"")</f>
        <v/>
      </c>
      <c r="AB348" s="104" t="e">
        <f>IF(Z348&gt;0,((IF(OR(D348="DF",D348="RA")=TRUE,EXP(VLOOKUP(D348,'Species Codes'!B:I,8,0)+VLOOKUP(D348,'Species Codes'!B:J,9,0)*(LN((E348*2.54)))),IF(OR(D348="PY",D348="RC",D348="WH",D348="NF")=TRUE,VLOOKUP(D348,'Species Codes'!B:I,8,0)+VLOOKUP(D348,'Species Codes'!B:J,9,0)*((E348*2.54)^2)*(I348*0.3048),IF(OR(D348="MD",D348="BM",D348="GA")=TRUE,((VLOOKUP(D348,'Species Codes'!B:I,8,0)*(((((E348*2.54)+VLOOKUP(D348,'Species Codes'!B:J,9,0))/VLOOKUP(D348,'Species Codes'!B:K,10,0))^VLOOKUP(D348,'Species Codes'!B:L,11,0))*((I348*0.3048)^VLOOKUP(D348,'Species Codes'!B:M,12,0))))-(VLOOKUP(D348,'Species Codes'!B:I,8,0)*((((E348*2.54)^VLOOKUP(D348,'Species Codes'!B:L,11,0))*((I348*0.3048)^VLOOKUP(D348,'Species Codes'!B:M,12,0))))))*35.3*VLOOKUP(D348,'Species Codes'!B:G,6,0)/2.2046,VLOOKUP(D348,'Species Codes'!B:I,8,0)+VLOOKUP(D348,'Species Codes'!B:J,9,0)*(((E348*2.54)/100)^2)*(I348*0.3048)))))*0.0011023),0)</f>
        <v>#N/A</v>
      </c>
      <c r="AC348" s="104" t="e">
        <f>IF(Z348&gt;0,((IF(OR(D348="RA",D348="OA",D348="OT",D348="UN",D348="PC"),EXP(VLOOKUP(D348,'Species Codes'!B:O,14,0)+VLOOKUP(D348,'Species Codes'!B:P,15,0)*LN((E348*2.54)))-EXP(VLOOKUP(D348,'Species Codes'!B:O,14,0)+VLOOKUP(D348,'Species Codes'!B:P,15,0)*LN((E348*2.54)))*(1/(VLOOKUP(D348,'Species Codes'!B:Q,16,0)+VLOOKUP(D348,'Species Codes'!B:R,17,0)*((E348*2.54)^VLOOKUP(D348,'Species Codes'!B:S,18,0)))),IF(OR(D348="BM",D348="MD",D348="OA"),EXP(VLOOKUP(D348,'Species Codes'!B:O,14,0)+VLOOKUP(D348,'Species Codes'!B:P,15,0)*LN((E348*2.54)))*(1-(1/(VLOOKUP(D348,'Species Codes'!B:Q,16,0)+VLOOKUP(D348,'Species Codes'!B:R,17,0)*((E348*2.54)^VLOOKUP(D348,'Species Codes'!B:S,18,0)))))/1000,IF(D348="DF",EXP(VLOOKUP(D348,'Species Codes'!B:O,14,0)+VLOOKUP(D348,'Species Codes'!B:P,15,0)*LN((E348*2.54))),VLOOKUP(D348,'Species Codes'!B:O,14,0)+VLOOKUP(D348,'Species Codes'!B:P,15,0)*(((E348*2.54)/100)^2)*(I348*0.3048)))))*0.0011023),0)</f>
        <v>#N/A</v>
      </c>
      <c r="AD348" s="104" t="e">
        <f t="shared" si="166"/>
        <v>#N/A</v>
      </c>
      <c r="AE348" s="104" t="e">
        <f t="shared" si="167"/>
        <v>#N/A</v>
      </c>
      <c r="AF348" s="104" t="e">
        <f>IF(AND(VLOOKUP($D348,Merchantability!$B:$C,2,0)="Yes",$E348&gt;=VLOOKUP($D348,Merchantability!$B:$D,3,0),$E348&lt;=VLOOKUP($D348,Merchantability!$B:$E,4,0)),AA348,0)</f>
        <v>#N/A</v>
      </c>
      <c r="AG348" s="104" t="e">
        <f>IF(AND(VLOOKUP($D348,Merchantability!$B:$C,2,0)="Yes",$E348&gt;=VLOOKUP($D348,Merchantability!$B:$D,3,0),$E348&lt;=VLOOKUP($D348,Merchantability!$B:$E,4,0)),AB348,0)</f>
        <v>#N/A</v>
      </c>
      <c r="AH348" s="104" t="e">
        <f>IF(AND(VLOOKUP($D348,Merchantability!$B:$C,2,0)="Yes",$E348&gt;=VLOOKUP($D348,Merchantability!$B:$D,3,0),$E348&lt;=VLOOKUP($D348,Merchantability!$B:$E,4,0)),AC348,0)</f>
        <v>#N/A</v>
      </c>
      <c r="AI348" s="104" t="e">
        <f t="shared" si="168"/>
        <v>#N/A</v>
      </c>
      <c r="AJ348" s="104" t="e">
        <f t="shared" si="169"/>
        <v>#VALUE!</v>
      </c>
      <c r="AK348" s="104" t="e">
        <f t="shared" si="170"/>
        <v>#N/A</v>
      </c>
      <c r="AL348" s="104" t="e">
        <f t="shared" si="171"/>
        <v>#N/A</v>
      </c>
      <c r="AM348" s="104" t="e">
        <f t="shared" si="172"/>
        <v>#N/A</v>
      </c>
      <c r="AN348" s="104" t="e">
        <f t="shared" si="183"/>
        <v>#N/A</v>
      </c>
      <c r="AO348" s="104" t="e">
        <f t="shared" si="184"/>
        <v>#N/A</v>
      </c>
      <c r="AP348" s="104" t="e">
        <f t="shared" si="185"/>
        <v>#N/A</v>
      </c>
      <c r="AQ348" s="104" t="e">
        <f t="shared" si="186"/>
        <v>#N/A</v>
      </c>
      <c r="AR348" s="105" t="str">
        <f t="shared" si="178"/>
        <v/>
      </c>
      <c r="AS348" s="105" t="str">
        <f t="shared" si="179"/>
        <v/>
      </c>
      <c r="AT348" s="108" t="str">
        <f t="shared" si="180"/>
        <v/>
      </c>
      <c r="AU348" s="108" t="str">
        <f t="shared" si="181"/>
        <v/>
      </c>
      <c r="AV348" s="107" t="str">
        <f>IF(ISNUMBER(O348),IF(VLOOKUP($A348,Stand!C:J,8,FALSE)="Short",AT348,AU348),"")</f>
        <v/>
      </c>
      <c r="AW348" s="109" t="str">
        <f t="shared" si="187"/>
        <v/>
      </c>
      <c r="AX348" s="109" t="str">
        <f t="shared" si="188"/>
        <v/>
      </c>
      <c r="AY348" s="112" t="str">
        <f>IF(ISNUMBER(O348),IF(AND(VLOOKUP($D348,Merchantability!$B:$C,2,0)="Yes",$E348&gt;=VLOOKUP($D348,Merchantability!$B:$D,3,0),$E348&lt;=VLOOKUP($D348,Merchantability!$B:$E,4,0)),(AV348*O348)*(1-$H348/100),""),"")</f>
        <v/>
      </c>
      <c r="AZ348" s="116"/>
      <c r="BA348" s="116"/>
      <c r="BB348" s="116"/>
      <c r="BE348" s="62"/>
      <c r="BF348" s="63"/>
    </row>
    <row r="349" spans="1:58" ht="12.75" customHeight="1" x14ac:dyDescent="0.25">
      <c r="A349" s="313"/>
      <c r="B349" s="380"/>
      <c r="C349" s="381"/>
      <c r="D349" s="380"/>
      <c r="E349" s="382"/>
      <c r="F349" s="331"/>
      <c r="G349" s="329"/>
      <c r="H349" s="329"/>
      <c r="I349" s="380"/>
      <c r="J349" s="381"/>
      <c r="K349" s="329"/>
      <c r="L349" s="329"/>
      <c r="M349" s="76"/>
      <c r="N349" s="103" t="str">
        <f>IF(A349="","",VLOOKUP(A349,Stand!C:K,9,0))</f>
        <v/>
      </c>
      <c r="O349" s="104" t="str">
        <f t="shared" si="173"/>
        <v/>
      </c>
      <c r="P349" s="105" t="str">
        <f t="shared" si="174"/>
        <v/>
      </c>
      <c r="Q349" s="105" t="str">
        <f t="shared" ref="Q349:Q412" si="189">IF(AND(ISNUMBER(O349),I349&gt;0),I349*O349,"")</f>
        <v/>
      </c>
      <c r="R349" s="103" t="str">
        <f t="shared" si="175"/>
        <v/>
      </c>
      <c r="S349" s="103" t="str">
        <f t="shared" si="176"/>
        <v/>
      </c>
      <c r="T349" s="106" t="str">
        <f t="shared" ref="T349:T412" si="190">IF(AND(ISNUMBER(O349),J349&gt;0),J349/100,"")</f>
        <v/>
      </c>
      <c r="U349" s="106" t="str">
        <f t="shared" ref="U349:U412" si="191">IF(AND(ISNUMBER(O349),J349&gt;0),T349*O349,"")</f>
        <v/>
      </c>
      <c r="V349" s="106" t="str">
        <f t="shared" ref="V349:V412" si="192">IF(AND(ISNUMBER(O349),I349&gt;0),W349*O349,"")</f>
        <v/>
      </c>
      <c r="W349" s="105" t="str">
        <f t="shared" si="177"/>
        <v/>
      </c>
      <c r="X349" s="104" t="str">
        <f t="shared" si="182"/>
        <v/>
      </c>
      <c r="Y349" s="104" t="str">
        <f t="array" ref="Y349">IFERROR(IF(ISNUMBER(O349),IF(COUNT(IF(A349=$A$2:$A$2427,IF(D349=$D$2:$D$2427,IF($X$2:$X$2427&gt;0,1))))&gt;0,SUM(IF(A349=$A$2:$A$2427,IF(D349=$D$2:$D$2427,$X$2:$X$2427)))/COUNT(IF(A349=$A$2:$A$2427,IF(D349=$D$2:$D$2427,IF(ISNUMBER($X$2:$X$2427),1)))),0),""),0)</f>
        <v/>
      </c>
      <c r="Z349" s="104" t="str">
        <f>IF(ISNUMBER(O349),IF(I349&gt;0,(10^(VLOOKUP(D349,'Species Codes'!B:C,2,0)+VLOOKUP(D349,'Species Codes'!B:D,3,0)*LOG(E349)+VLOOKUP(D349,'Species Codes'!B:E,4,0)*LOG(I349))),0),"")</f>
        <v/>
      </c>
      <c r="AA349" s="104" t="str">
        <f>IFERROR((VLOOKUP(D349,'Species Codes'!B:G,6,0)*Z349)/2000,"")</f>
        <v/>
      </c>
      <c r="AB349" s="104" t="e">
        <f>IF(Z349&gt;0,((IF(OR(D349="DF",D349="RA")=TRUE,EXP(VLOOKUP(D349,'Species Codes'!B:I,8,0)+VLOOKUP(D349,'Species Codes'!B:J,9,0)*(LN((E349*2.54)))),IF(OR(D349="PY",D349="RC",D349="WH",D349="NF")=TRUE,VLOOKUP(D349,'Species Codes'!B:I,8,0)+VLOOKUP(D349,'Species Codes'!B:J,9,0)*((E349*2.54)^2)*(I349*0.3048),IF(OR(D349="MD",D349="BM",D349="GA")=TRUE,((VLOOKUP(D349,'Species Codes'!B:I,8,0)*(((((E349*2.54)+VLOOKUP(D349,'Species Codes'!B:J,9,0))/VLOOKUP(D349,'Species Codes'!B:K,10,0))^VLOOKUP(D349,'Species Codes'!B:L,11,0))*((I349*0.3048)^VLOOKUP(D349,'Species Codes'!B:M,12,0))))-(VLOOKUP(D349,'Species Codes'!B:I,8,0)*((((E349*2.54)^VLOOKUP(D349,'Species Codes'!B:L,11,0))*((I349*0.3048)^VLOOKUP(D349,'Species Codes'!B:M,12,0))))))*35.3*VLOOKUP(D349,'Species Codes'!B:G,6,0)/2.2046,VLOOKUP(D349,'Species Codes'!B:I,8,0)+VLOOKUP(D349,'Species Codes'!B:J,9,0)*(((E349*2.54)/100)^2)*(I349*0.3048)))))*0.0011023),0)</f>
        <v>#N/A</v>
      </c>
      <c r="AC349" s="104" t="e">
        <f>IF(Z349&gt;0,((IF(OR(D349="RA",D349="OA",D349="OT",D349="UN",D349="PC"),EXP(VLOOKUP(D349,'Species Codes'!B:O,14,0)+VLOOKUP(D349,'Species Codes'!B:P,15,0)*LN((E349*2.54)))-EXP(VLOOKUP(D349,'Species Codes'!B:O,14,0)+VLOOKUP(D349,'Species Codes'!B:P,15,0)*LN((E349*2.54)))*(1/(VLOOKUP(D349,'Species Codes'!B:Q,16,0)+VLOOKUP(D349,'Species Codes'!B:R,17,0)*((E349*2.54)^VLOOKUP(D349,'Species Codes'!B:S,18,0)))),IF(OR(D349="BM",D349="MD",D349="OA"),EXP(VLOOKUP(D349,'Species Codes'!B:O,14,0)+VLOOKUP(D349,'Species Codes'!B:P,15,0)*LN((E349*2.54)))*(1-(1/(VLOOKUP(D349,'Species Codes'!B:Q,16,0)+VLOOKUP(D349,'Species Codes'!B:R,17,0)*((E349*2.54)^VLOOKUP(D349,'Species Codes'!B:S,18,0)))))/1000,IF(D349="DF",EXP(VLOOKUP(D349,'Species Codes'!B:O,14,0)+VLOOKUP(D349,'Species Codes'!B:P,15,0)*LN((E349*2.54))),VLOOKUP(D349,'Species Codes'!B:O,14,0)+VLOOKUP(D349,'Species Codes'!B:P,15,0)*(((E349*2.54)/100)^2)*(I349*0.3048)))))*0.0011023),0)</f>
        <v>#N/A</v>
      </c>
      <c r="AD349" s="104" t="e">
        <f t="shared" ref="AD349:AD412" si="193">SUM(AA349:AC349)</f>
        <v>#N/A</v>
      </c>
      <c r="AE349" s="104" t="e">
        <f t="shared" ref="AE349:AE412" si="194">AD349*O349</f>
        <v>#N/A</v>
      </c>
      <c r="AF349" s="104" t="e">
        <f>IF(AND(VLOOKUP($D349,Merchantability!$B:$C,2,0)="Yes",$E349&gt;=VLOOKUP($D349,Merchantability!$B:$D,3,0),$E349&lt;=VLOOKUP($D349,Merchantability!$B:$E,4,0)),AA349,0)</f>
        <v>#N/A</v>
      </c>
      <c r="AG349" s="104" t="e">
        <f>IF(AND(VLOOKUP($D349,Merchantability!$B:$C,2,0)="Yes",$E349&gt;=VLOOKUP($D349,Merchantability!$B:$D,3,0),$E349&lt;=VLOOKUP($D349,Merchantability!$B:$E,4,0)),AB349,0)</f>
        <v>#N/A</v>
      </c>
      <c r="AH349" s="104" t="e">
        <f>IF(AND(VLOOKUP($D349,Merchantability!$B:$C,2,0)="Yes",$E349&gt;=VLOOKUP($D349,Merchantability!$B:$D,3,0),$E349&lt;=VLOOKUP($D349,Merchantability!$B:$E,4,0)),AC349,0)</f>
        <v>#N/A</v>
      </c>
      <c r="AI349" s="104" t="e">
        <f t="shared" ref="AI349:AI412" si="195">SUM(AF349:AH349)</f>
        <v>#N/A</v>
      </c>
      <c r="AJ349" s="104" t="e">
        <f t="shared" ref="AJ349:AJ412" si="196">AA349*$O349</f>
        <v>#VALUE!</v>
      </c>
      <c r="AK349" s="104" t="e">
        <f t="shared" ref="AK349:AK412" si="197">AB349*$O349</f>
        <v>#N/A</v>
      </c>
      <c r="AL349" s="104" t="e">
        <f t="shared" ref="AL349:AL412" si="198">AC349*$O349</f>
        <v>#N/A</v>
      </c>
      <c r="AM349" s="104" t="e">
        <f t="shared" ref="AM349:AM412" si="199">AD349*$O349</f>
        <v>#N/A</v>
      </c>
      <c r="AN349" s="104" t="e">
        <f t="shared" si="183"/>
        <v>#N/A</v>
      </c>
      <c r="AO349" s="104" t="e">
        <f t="shared" si="184"/>
        <v>#N/A</v>
      </c>
      <c r="AP349" s="104" t="e">
        <f t="shared" si="185"/>
        <v>#N/A</v>
      </c>
      <c r="AQ349" s="104" t="e">
        <f t="shared" si="186"/>
        <v>#N/A</v>
      </c>
      <c r="AR349" s="105" t="str">
        <f t="shared" si="178"/>
        <v/>
      </c>
      <c r="AS349" s="105" t="str">
        <f t="shared" si="179"/>
        <v/>
      </c>
      <c r="AT349" s="108" t="str">
        <f t="shared" si="180"/>
        <v/>
      </c>
      <c r="AU349" s="108" t="str">
        <f t="shared" si="181"/>
        <v/>
      </c>
      <c r="AV349" s="107" t="str">
        <f>IF(ISNUMBER(O349),IF(VLOOKUP($A349,Stand!C:J,8,FALSE)="Short",AT349,AU349),"")</f>
        <v/>
      </c>
      <c r="AW349" s="109" t="str">
        <f t="shared" si="187"/>
        <v/>
      </c>
      <c r="AX349" s="109" t="str">
        <f t="shared" si="188"/>
        <v/>
      </c>
      <c r="AY349" s="112" t="str">
        <f>IF(ISNUMBER(O349),IF(AND(VLOOKUP($D349,Merchantability!$B:$C,2,0)="Yes",$E349&gt;=VLOOKUP($D349,Merchantability!$B:$D,3,0),$E349&lt;=VLOOKUP($D349,Merchantability!$B:$E,4,0)),(AV349*O349)*(1-$H349/100),""),"")</f>
        <v/>
      </c>
      <c r="AZ349" s="116"/>
      <c r="BA349" s="116"/>
      <c r="BB349" s="116"/>
      <c r="BE349" s="62"/>
      <c r="BF349" s="63"/>
    </row>
    <row r="350" spans="1:58" ht="12.75" customHeight="1" x14ac:dyDescent="0.25">
      <c r="A350" s="313"/>
      <c r="B350" s="380"/>
      <c r="C350" s="381"/>
      <c r="D350" s="380"/>
      <c r="E350" s="382"/>
      <c r="F350" s="331"/>
      <c r="G350" s="329"/>
      <c r="H350" s="329"/>
      <c r="I350" s="380"/>
      <c r="J350" s="381"/>
      <c r="K350" s="329"/>
      <c r="L350" s="329"/>
      <c r="M350" s="76"/>
      <c r="N350" s="103" t="str">
        <f>IF(A350="","",VLOOKUP(A350,Stand!C:K,9,0))</f>
        <v/>
      </c>
      <c r="O350" s="104" t="str">
        <f t="shared" si="173"/>
        <v/>
      </c>
      <c r="P350" s="105" t="str">
        <f t="shared" si="174"/>
        <v/>
      </c>
      <c r="Q350" s="105" t="str">
        <f t="shared" si="189"/>
        <v/>
      </c>
      <c r="R350" s="103" t="str">
        <f t="shared" si="175"/>
        <v/>
      </c>
      <c r="S350" s="103" t="str">
        <f t="shared" si="176"/>
        <v/>
      </c>
      <c r="T350" s="106" t="str">
        <f t="shared" si="190"/>
        <v/>
      </c>
      <c r="U350" s="106" t="str">
        <f t="shared" si="191"/>
        <v/>
      </c>
      <c r="V350" s="106" t="str">
        <f t="shared" si="192"/>
        <v/>
      </c>
      <c r="W350" s="105" t="str">
        <f t="shared" si="177"/>
        <v/>
      </c>
      <c r="X350" s="104" t="str">
        <f t="shared" si="182"/>
        <v/>
      </c>
      <c r="Y350" s="104" t="str">
        <f t="array" ref="Y350">IFERROR(IF(ISNUMBER(O350),IF(COUNT(IF(A350=$A$2:$A$2427,IF(D350=$D$2:$D$2427,IF($X$2:$X$2427&gt;0,1))))&gt;0,SUM(IF(A350=$A$2:$A$2427,IF(D350=$D$2:$D$2427,$X$2:$X$2427)))/COUNT(IF(A350=$A$2:$A$2427,IF(D350=$D$2:$D$2427,IF(ISNUMBER($X$2:$X$2427),1)))),0),""),0)</f>
        <v/>
      </c>
      <c r="Z350" s="104" t="str">
        <f>IF(ISNUMBER(O350),IF(I350&gt;0,(10^(VLOOKUP(D350,'Species Codes'!B:C,2,0)+VLOOKUP(D350,'Species Codes'!B:D,3,0)*LOG(E350)+VLOOKUP(D350,'Species Codes'!B:E,4,0)*LOG(I350))),0),"")</f>
        <v/>
      </c>
      <c r="AA350" s="104" t="str">
        <f>IFERROR((VLOOKUP(D350,'Species Codes'!B:G,6,0)*Z350)/2000,"")</f>
        <v/>
      </c>
      <c r="AB350" s="104" t="e">
        <f>IF(Z350&gt;0,((IF(OR(D350="DF",D350="RA")=TRUE,EXP(VLOOKUP(D350,'Species Codes'!B:I,8,0)+VLOOKUP(D350,'Species Codes'!B:J,9,0)*(LN((E350*2.54)))),IF(OR(D350="PY",D350="RC",D350="WH",D350="NF")=TRUE,VLOOKUP(D350,'Species Codes'!B:I,8,0)+VLOOKUP(D350,'Species Codes'!B:J,9,0)*((E350*2.54)^2)*(I350*0.3048),IF(OR(D350="MD",D350="BM",D350="GA")=TRUE,((VLOOKUP(D350,'Species Codes'!B:I,8,0)*(((((E350*2.54)+VLOOKUP(D350,'Species Codes'!B:J,9,0))/VLOOKUP(D350,'Species Codes'!B:K,10,0))^VLOOKUP(D350,'Species Codes'!B:L,11,0))*((I350*0.3048)^VLOOKUP(D350,'Species Codes'!B:M,12,0))))-(VLOOKUP(D350,'Species Codes'!B:I,8,0)*((((E350*2.54)^VLOOKUP(D350,'Species Codes'!B:L,11,0))*((I350*0.3048)^VLOOKUP(D350,'Species Codes'!B:M,12,0))))))*35.3*VLOOKUP(D350,'Species Codes'!B:G,6,0)/2.2046,VLOOKUP(D350,'Species Codes'!B:I,8,0)+VLOOKUP(D350,'Species Codes'!B:J,9,0)*(((E350*2.54)/100)^2)*(I350*0.3048)))))*0.0011023),0)</f>
        <v>#N/A</v>
      </c>
      <c r="AC350" s="104" t="e">
        <f>IF(Z350&gt;0,((IF(OR(D350="RA",D350="OA",D350="OT",D350="UN",D350="PC"),EXP(VLOOKUP(D350,'Species Codes'!B:O,14,0)+VLOOKUP(D350,'Species Codes'!B:P,15,0)*LN((E350*2.54)))-EXP(VLOOKUP(D350,'Species Codes'!B:O,14,0)+VLOOKUP(D350,'Species Codes'!B:P,15,0)*LN((E350*2.54)))*(1/(VLOOKUP(D350,'Species Codes'!B:Q,16,0)+VLOOKUP(D350,'Species Codes'!B:R,17,0)*((E350*2.54)^VLOOKUP(D350,'Species Codes'!B:S,18,0)))),IF(OR(D350="BM",D350="MD",D350="OA"),EXP(VLOOKUP(D350,'Species Codes'!B:O,14,0)+VLOOKUP(D350,'Species Codes'!B:P,15,0)*LN((E350*2.54)))*(1-(1/(VLOOKUP(D350,'Species Codes'!B:Q,16,0)+VLOOKUP(D350,'Species Codes'!B:R,17,0)*((E350*2.54)^VLOOKUP(D350,'Species Codes'!B:S,18,0)))))/1000,IF(D350="DF",EXP(VLOOKUP(D350,'Species Codes'!B:O,14,0)+VLOOKUP(D350,'Species Codes'!B:P,15,0)*LN((E350*2.54))),VLOOKUP(D350,'Species Codes'!B:O,14,0)+VLOOKUP(D350,'Species Codes'!B:P,15,0)*(((E350*2.54)/100)^2)*(I350*0.3048)))))*0.0011023),0)</f>
        <v>#N/A</v>
      </c>
      <c r="AD350" s="104" t="e">
        <f t="shared" si="193"/>
        <v>#N/A</v>
      </c>
      <c r="AE350" s="104" t="e">
        <f t="shared" si="194"/>
        <v>#N/A</v>
      </c>
      <c r="AF350" s="104" t="e">
        <f>IF(AND(VLOOKUP($D350,Merchantability!$B:$C,2,0)="Yes",$E350&gt;=VLOOKUP($D350,Merchantability!$B:$D,3,0),$E350&lt;=VLOOKUP($D350,Merchantability!$B:$E,4,0)),AA350,0)</f>
        <v>#N/A</v>
      </c>
      <c r="AG350" s="104" t="e">
        <f>IF(AND(VLOOKUP($D350,Merchantability!$B:$C,2,0)="Yes",$E350&gt;=VLOOKUP($D350,Merchantability!$B:$D,3,0),$E350&lt;=VLOOKUP($D350,Merchantability!$B:$E,4,0)),AB350,0)</f>
        <v>#N/A</v>
      </c>
      <c r="AH350" s="104" t="e">
        <f>IF(AND(VLOOKUP($D350,Merchantability!$B:$C,2,0)="Yes",$E350&gt;=VLOOKUP($D350,Merchantability!$B:$D,3,0),$E350&lt;=VLOOKUP($D350,Merchantability!$B:$E,4,0)),AC350,0)</f>
        <v>#N/A</v>
      </c>
      <c r="AI350" s="104" t="e">
        <f t="shared" si="195"/>
        <v>#N/A</v>
      </c>
      <c r="AJ350" s="104" t="e">
        <f t="shared" si="196"/>
        <v>#VALUE!</v>
      </c>
      <c r="AK350" s="104" t="e">
        <f t="shared" si="197"/>
        <v>#N/A</v>
      </c>
      <c r="AL350" s="104" t="e">
        <f t="shared" si="198"/>
        <v>#N/A</v>
      </c>
      <c r="AM350" s="104" t="e">
        <f t="shared" si="199"/>
        <v>#N/A</v>
      </c>
      <c r="AN350" s="104" t="e">
        <f t="shared" si="183"/>
        <v>#N/A</v>
      </c>
      <c r="AO350" s="104" t="e">
        <f t="shared" si="184"/>
        <v>#N/A</v>
      </c>
      <c r="AP350" s="104" t="e">
        <f t="shared" si="185"/>
        <v>#N/A</v>
      </c>
      <c r="AQ350" s="104" t="e">
        <f t="shared" si="186"/>
        <v>#N/A</v>
      </c>
      <c r="AR350" s="105" t="str">
        <f t="shared" si="178"/>
        <v/>
      </c>
      <c r="AS350" s="105" t="str">
        <f t="shared" si="179"/>
        <v/>
      </c>
      <c r="AT350" s="108" t="str">
        <f t="shared" si="180"/>
        <v/>
      </c>
      <c r="AU350" s="108" t="str">
        <f t="shared" si="181"/>
        <v/>
      </c>
      <c r="AV350" s="107" t="str">
        <f>IF(ISNUMBER(O350),IF(VLOOKUP($A350,Stand!C:J,8,FALSE)="Short",AT350,AU350),"")</f>
        <v/>
      </c>
      <c r="AW350" s="109" t="str">
        <f t="shared" si="187"/>
        <v/>
      </c>
      <c r="AX350" s="109" t="str">
        <f t="shared" si="188"/>
        <v/>
      </c>
      <c r="AY350" s="112" t="str">
        <f>IF(ISNUMBER(O350),IF(AND(VLOOKUP($D350,Merchantability!$B:$C,2,0)="Yes",$E350&gt;=VLOOKUP($D350,Merchantability!$B:$D,3,0),$E350&lt;=VLOOKUP($D350,Merchantability!$B:$E,4,0)),(AV350*O350)*(1-$H350/100),""),"")</f>
        <v/>
      </c>
      <c r="AZ350" s="116"/>
      <c r="BA350" s="116"/>
      <c r="BB350" s="116"/>
      <c r="BE350" s="62"/>
      <c r="BF350" s="63"/>
    </row>
    <row r="351" spans="1:58" ht="12.75" customHeight="1" x14ac:dyDescent="0.25">
      <c r="A351" s="313"/>
      <c r="B351" s="380"/>
      <c r="C351" s="381"/>
      <c r="D351" s="380"/>
      <c r="E351" s="382"/>
      <c r="F351" s="331"/>
      <c r="G351" s="329"/>
      <c r="H351" s="329"/>
      <c r="I351" s="380"/>
      <c r="J351" s="381"/>
      <c r="K351" s="329"/>
      <c r="L351" s="329"/>
      <c r="M351" s="76"/>
      <c r="N351" s="103" t="str">
        <f>IF(A351="","",VLOOKUP(A351,Stand!C:K,9,0))</f>
        <v/>
      </c>
      <c r="O351" s="104" t="str">
        <f t="shared" si="173"/>
        <v/>
      </c>
      <c r="P351" s="105" t="str">
        <f t="shared" si="174"/>
        <v/>
      </c>
      <c r="Q351" s="105" t="str">
        <f t="shared" si="189"/>
        <v/>
      </c>
      <c r="R351" s="103" t="str">
        <f t="shared" si="175"/>
        <v/>
      </c>
      <c r="S351" s="103" t="str">
        <f t="shared" si="176"/>
        <v/>
      </c>
      <c r="T351" s="106" t="str">
        <f t="shared" si="190"/>
        <v/>
      </c>
      <c r="U351" s="106" t="str">
        <f t="shared" si="191"/>
        <v/>
      </c>
      <c r="V351" s="106" t="str">
        <f t="shared" si="192"/>
        <v/>
      </c>
      <c r="W351" s="105" t="str">
        <f t="shared" si="177"/>
        <v/>
      </c>
      <c r="X351" s="104" t="str">
        <f t="shared" si="182"/>
        <v/>
      </c>
      <c r="Y351" s="104" t="str">
        <f t="array" ref="Y351">IFERROR(IF(ISNUMBER(O351),IF(COUNT(IF(A351=$A$2:$A$2427,IF(D351=$D$2:$D$2427,IF($X$2:$X$2427&gt;0,1))))&gt;0,SUM(IF(A351=$A$2:$A$2427,IF(D351=$D$2:$D$2427,$X$2:$X$2427)))/COUNT(IF(A351=$A$2:$A$2427,IF(D351=$D$2:$D$2427,IF(ISNUMBER($X$2:$X$2427),1)))),0),""),0)</f>
        <v/>
      </c>
      <c r="Z351" s="104" t="str">
        <f>IF(ISNUMBER(O351),IF(I351&gt;0,(10^(VLOOKUP(D351,'Species Codes'!B:C,2,0)+VLOOKUP(D351,'Species Codes'!B:D,3,0)*LOG(E351)+VLOOKUP(D351,'Species Codes'!B:E,4,0)*LOG(I351))),0),"")</f>
        <v/>
      </c>
      <c r="AA351" s="104" t="str">
        <f>IFERROR((VLOOKUP(D351,'Species Codes'!B:G,6,0)*Z351)/2000,"")</f>
        <v/>
      </c>
      <c r="AB351" s="104" t="e">
        <f>IF(Z351&gt;0,((IF(OR(D351="DF",D351="RA")=TRUE,EXP(VLOOKUP(D351,'Species Codes'!B:I,8,0)+VLOOKUP(D351,'Species Codes'!B:J,9,0)*(LN((E351*2.54)))),IF(OR(D351="PY",D351="RC",D351="WH",D351="NF")=TRUE,VLOOKUP(D351,'Species Codes'!B:I,8,0)+VLOOKUP(D351,'Species Codes'!B:J,9,0)*((E351*2.54)^2)*(I351*0.3048),IF(OR(D351="MD",D351="BM",D351="GA")=TRUE,((VLOOKUP(D351,'Species Codes'!B:I,8,0)*(((((E351*2.54)+VLOOKUP(D351,'Species Codes'!B:J,9,0))/VLOOKUP(D351,'Species Codes'!B:K,10,0))^VLOOKUP(D351,'Species Codes'!B:L,11,0))*((I351*0.3048)^VLOOKUP(D351,'Species Codes'!B:M,12,0))))-(VLOOKUP(D351,'Species Codes'!B:I,8,0)*((((E351*2.54)^VLOOKUP(D351,'Species Codes'!B:L,11,0))*((I351*0.3048)^VLOOKUP(D351,'Species Codes'!B:M,12,0))))))*35.3*VLOOKUP(D351,'Species Codes'!B:G,6,0)/2.2046,VLOOKUP(D351,'Species Codes'!B:I,8,0)+VLOOKUP(D351,'Species Codes'!B:J,9,0)*(((E351*2.54)/100)^2)*(I351*0.3048)))))*0.0011023),0)</f>
        <v>#N/A</v>
      </c>
      <c r="AC351" s="104" t="e">
        <f>IF(Z351&gt;0,((IF(OR(D351="RA",D351="OA",D351="OT",D351="UN",D351="PC"),EXP(VLOOKUP(D351,'Species Codes'!B:O,14,0)+VLOOKUP(D351,'Species Codes'!B:P,15,0)*LN((E351*2.54)))-EXP(VLOOKUP(D351,'Species Codes'!B:O,14,0)+VLOOKUP(D351,'Species Codes'!B:P,15,0)*LN((E351*2.54)))*(1/(VLOOKUP(D351,'Species Codes'!B:Q,16,0)+VLOOKUP(D351,'Species Codes'!B:R,17,0)*((E351*2.54)^VLOOKUP(D351,'Species Codes'!B:S,18,0)))),IF(OR(D351="BM",D351="MD",D351="OA"),EXP(VLOOKUP(D351,'Species Codes'!B:O,14,0)+VLOOKUP(D351,'Species Codes'!B:P,15,0)*LN((E351*2.54)))*(1-(1/(VLOOKUP(D351,'Species Codes'!B:Q,16,0)+VLOOKUP(D351,'Species Codes'!B:R,17,0)*((E351*2.54)^VLOOKUP(D351,'Species Codes'!B:S,18,0)))))/1000,IF(D351="DF",EXP(VLOOKUP(D351,'Species Codes'!B:O,14,0)+VLOOKUP(D351,'Species Codes'!B:P,15,0)*LN((E351*2.54))),VLOOKUP(D351,'Species Codes'!B:O,14,0)+VLOOKUP(D351,'Species Codes'!B:P,15,0)*(((E351*2.54)/100)^2)*(I351*0.3048)))))*0.0011023),0)</f>
        <v>#N/A</v>
      </c>
      <c r="AD351" s="104" t="e">
        <f t="shared" si="193"/>
        <v>#N/A</v>
      </c>
      <c r="AE351" s="104" t="e">
        <f t="shared" si="194"/>
        <v>#N/A</v>
      </c>
      <c r="AF351" s="104" t="e">
        <f>IF(AND(VLOOKUP($D351,Merchantability!$B:$C,2,0)="Yes",$E351&gt;=VLOOKUP($D351,Merchantability!$B:$D,3,0),$E351&lt;=VLOOKUP($D351,Merchantability!$B:$E,4,0)),AA351,0)</f>
        <v>#N/A</v>
      </c>
      <c r="AG351" s="104" t="e">
        <f>IF(AND(VLOOKUP($D351,Merchantability!$B:$C,2,0)="Yes",$E351&gt;=VLOOKUP($D351,Merchantability!$B:$D,3,0),$E351&lt;=VLOOKUP($D351,Merchantability!$B:$E,4,0)),AB351,0)</f>
        <v>#N/A</v>
      </c>
      <c r="AH351" s="104" t="e">
        <f>IF(AND(VLOOKUP($D351,Merchantability!$B:$C,2,0)="Yes",$E351&gt;=VLOOKUP($D351,Merchantability!$B:$D,3,0),$E351&lt;=VLOOKUP($D351,Merchantability!$B:$E,4,0)),AC351,0)</f>
        <v>#N/A</v>
      </c>
      <c r="AI351" s="104" t="e">
        <f t="shared" si="195"/>
        <v>#N/A</v>
      </c>
      <c r="AJ351" s="104" t="e">
        <f t="shared" si="196"/>
        <v>#VALUE!</v>
      </c>
      <c r="AK351" s="104" t="e">
        <f t="shared" si="197"/>
        <v>#N/A</v>
      </c>
      <c r="AL351" s="104" t="e">
        <f t="shared" si="198"/>
        <v>#N/A</v>
      </c>
      <c r="AM351" s="104" t="e">
        <f t="shared" si="199"/>
        <v>#N/A</v>
      </c>
      <c r="AN351" s="104" t="e">
        <f t="shared" si="183"/>
        <v>#N/A</v>
      </c>
      <c r="AO351" s="104" t="e">
        <f t="shared" si="184"/>
        <v>#N/A</v>
      </c>
      <c r="AP351" s="104" t="e">
        <f t="shared" si="185"/>
        <v>#N/A</v>
      </c>
      <c r="AQ351" s="104" t="e">
        <f t="shared" si="186"/>
        <v>#N/A</v>
      </c>
      <c r="AR351" s="105" t="str">
        <f t="shared" si="178"/>
        <v/>
      </c>
      <c r="AS351" s="105" t="str">
        <f t="shared" si="179"/>
        <v/>
      </c>
      <c r="AT351" s="108" t="str">
        <f t="shared" si="180"/>
        <v/>
      </c>
      <c r="AU351" s="108" t="str">
        <f t="shared" si="181"/>
        <v/>
      </c>
      <c r="AV351" s="107" t="str">
        <f>IF(ISNUMBER(O351),IF(VLOOKUP($A351,Stand!C:J,8,FALSE)="Short",AT351,AU351),"")</f>
        <v/>
      </c>
      <c r="AW351" s="109" t="str">
        <f t="shared" si="187"/>
        <v/>
      </c>
      <c r="AX351" s="109" t="str">
        <f t="shared" si="188"/>
        <v/>
      </c>
      <c r="AY351" s="112" t="str">
        <f>IF(ISNUMBER(O351),IF(AND(VLOOKUP($D351,Merchantability!$B:$C,2,0)="Yes",$E351&gt;=VLOOKUP($D351,Merchantability!$B:$D,3,0),$E351&lt;=VLOOKUP($D351,Merchantability!$B:$E,4,0)),(AV351*O351)*(1-$H351/100),""),"")</f>
        <v/>
      </c>
      <c r="AZ351" s="116"/>
      <c r="BA351" s="116"/>
      <c r="BB351" s="116"/>
      <c r="BE351" s="62"/>
      <c r="BF351" s="63"/>
    </row>
    <row r="352" spans="1:58" ht="12.75" customHeight="1" x14ac:dyDescent="0.25">
      <c r="A352" s="313"/>
      <c r="B352" s="380"/>
      <c r="C352" s="381"/>
      <c r="D352" s="380"/>
      <c r="E352" s="382"/>
      <c r="F352" s="331"/>
      <c r="G352" s="329"/>
      <c r="H352" s="329"/>
      <c r="I352" s="380"/>
      <c r="J352" s="381"/>
      <c r="K352" s="329"/>
      <c r="L352" s="329"/>
      <c r="M352" s="76"/>
      <c r="N352" s="103" t="str">
        <f>IF(A352="","",VLOOKUP(A352,Stand!C:K,9,0))</f>
        <v/>
      </c>
      <c r="O352" s="104" t="str">
        <f t="shared" si="173"/>
        <v/>
      </c>
      <c r="P352" s="105" t="str">
        <f t="shared" si="174"/>
        <v/>
      </c>
      <c r="Q352" s="105" t="str">
        <f t="shared" si="189"/>
        <v/>
      </c>
      <c r="R352" s="103" t="str">
        <f t="shared" si="175"/>
        <v/>
      </c>
      <c r="S352" s="103" t="str">
        <f t="shared" si="176"/>
        <v/>
      </c>
      <c r="T352" s="106" t="str">
        <f t="shared" si="190"/>
        <v/>
      </c>
      <c r="U352" s="106" t="str">
        <f t="shared" si="191"/>
        <v/>
      </c>
      <c r="V352" s="106" t="str">
        <f t="shared" si="192"/>
        <v/>
      </c>
      <c r="W352" s="105" t="str">
        <f t="shared" si="177"/>
        <v/>
      </c>
      <c r="X352" s="104" t="str">
        <f t="shared" si="182"/>
        <v/>
      </c>
      <c r="Y352" s="104" t="str">
        <f t="array" ref="Y352">IFERROR(IF(ISNUMBER(O352),IF(COUNT(IF(A352=$A$2:$A$2427,IF(D352=$D$2:$D$2427,IF($X$2:$X$2427&gt;0,1))))&gt;0,SUM(IF(A352=$A$2:$A$2427,IF(D352=$D$2:$D$2427,$X$2:$X$2427)))/COUNT(IF(A352=$A$2:$A$2427,IF(D352=$D$2:$D$2427,IF(ISNUMBER($X$2:$X$2427),1)))),0),""),0)</f>
        <v/>
      </c>
      <c r="Z352" s="104" t="str">
        <f>IF(ISNUMBER(O352),IF(I352&gt;0,(10^(VLOOKUP(D352,'Species Codes'!B:C,2,0)+VLOOKUP(D352,'Species Codes'!B:D,3,0)*LOG(E352)+VLOOKUP(D352,'Species Codes'!B:E,4,0)*LOG(I352))),0),"")</f>
        <v/>
      </c>
      <c r="AA352" s="104" t="str">
        <f>IFERROR((VLOOKUP(D352,'Species Codes'!B:G,6,0)*Z352)/2000,"")</f>
        <v/>
      </c>
      <c r="AB352" s="104" t="e">
        <f>IF(Z352&gt;0,((IF(OR(D352="DF",D352="RA")=TRUE,EXP(VLOOKUP(D352,'Species Codes'!B:I,8,0)+VLOOKUP(D352,'Species Codes'!B:J,9,0)*(LN((E352*2.54)))),IF(OR(D352="PY",D352="RC",D352="WH",D352="NF")=TRUE,VLOOKUP(D352,'Species Codes'!B:I,8,0)+VLOOKUP(D352,'Species Codes'!B:J,9,0)*((E352*2.54)^2)*(I352*0.3048),IF(OR(D352="MD",D352="BM",D352="GA")=TRUE,((VLOOKUP(D352,'Species Codes'!B:I,8,0)*(((((E352*2.54)+VLOOKUP(D352,'Species Codes'!B:J,9,0))/VLOOKUP(D352,'Species Codes'!B:K,10,0))^VLOOKUP(D352,'Species Codes'!B:L,11,0))*((I352*0.3048)^VLOOKUP(D352,'Species Codes'!B:M,12,0))))-(VLOOKUP(D352,'Species Codes'!B:I,8,0)*((((E352*2.54)^VLOOKUP(D352,'Species Codes'!B:L,11,0))*((I352*0.3048)^VLOOKUP(D352,'Species Codes'!B:M,12,0))))))*35.3*VLOOKUP(D352,'Species Codes'!B:G,6,0)/2.2046,VLOOKUP(D352,'Species Codes'!B:I,8,0)+VLOOKUP(D352,'Species Codes'!B:J,9,0)*(((E352*2.54)/100)^2)*(I352*0.3048)))))*0.0011023),0)</f>
        <v>#N/A</v>
      </c>
      <c r="AC352" s="104" t="e">
        <f>IF(Z352&gt;0,((IF(OR(D352="RA",D352="OA",D352="OT",D352="UN",D352="PC"),EXP(VLOOKUP(D352,'Species Codes'!B:O,14,0)+VLOOKUP(D352,'Species Codes'!B:P,15,0)*LN((E352*2.54)))-EXP(VLOOKUP(D352,'Species Codes'!B:O,14,0)+VLOOKUP(D352,'Species Codes'!B:P,15,0)*LN((E352*2.54)))*(1/(VLOOKUP(D352,'Species Codes'!B:Q,16,0)+VLOOKUP(D352,'Species Codes'!B:R,17,0)*((E352*2.54)^VLOOKUP(D352,'Species Codes'!B:S,18,0)))),IF(OR(D352="BM",D352="MD",D352="OA"),EXP(VLOOKUP(D352,'Species Codes'!B:O,14,0)+VLOOKUP(D352,'Species Codes'!B:P,15,0)*LN((E352*2.54)))*(1-(1/(VLOOKUP(D352,'Species Codes'!B:Q,16,0)+VLOOKUP(D352,'Species Codes'!B:R,17,0)*((E352*2.54)^VLOOKUP(D352,'Species Codes'!B:S,18,0)))))/1000,IF(D352="DF",EXP(VLOOKUP(D352,'Species Codes'!B:O,14,0)+VLOOKUP(D352,'Species Codes'!B:P,15,0)*LN((E352*2.54))),VLOOKUP(D352,'Species Codes'!B:O,14,0)+VLOOKUP(D352,'Species Codes'!B:P,15,0)*(((E352*2.54)/100)^2)*(I352*0.3048)))))*0.0011023),0)</f>
        <v>#N/A</v>
      </c>
      <c r="AD352" s="104" t="e">
        <f t="shared" si="193"/>
        <v>#N/A</v>
      </c>
      <c r="AE352" s="104" t="e">
        <f t="shared" si="194"/>
        <v>#N/A</v>
      </c>
      <c r="AF352" s="104" t="e">
        <f>IF(AND(VLOOKUP($D352,Merchantability!$B:$C,2,0)="Yes",$E352&gt;=VLOOKUP($D352,Merchantability!$B:$D,3,0),$E352&lt;=VLOOKUP($D352,Merchantability!$B:$E,4,0)),AA352,0)</f>
        <v>#N/A</v>
      </c>
      <c r="AG352" s="104" t="e">
        <f>IF(AND(VLOOKUP($D352,Merchantability!$B:$C,2,0)="Yes",$E352&gt;=VLOOKUP($D352,Merchantability!$B:$D,3,0),$E352&lt;=VLOOKUP($D352,Merchantability!$B:$E,4,0)),AB352,0)</f>
        <v>#N/A</v>
      </c>
      <c r="AH352" s="104" t="e">
        <f>IF(AND(VLOOKUP($D352,Merchantability!$B:$C,2,0)="Yes",$E352&gt;=VLOOKUP($D352,Merchantability!$B:$D,3,0),$E352&lt;=VLOOKUP($D352,Merchantability!$B:$E,4,0)),AC352,0)</f>
        <v>#N/A</v>
      </c>
      <c r="AI352" s="104" t="e">
        <f t="shared" si="195"/>
        <v>#N/A</v>
      </c>
      <c r="AJ352" s="104" t="e">
        <f t="shared" si="196"/>
        <v>#VALUE!</v>
      </c>
      <c r="AK352" s="104" t="e">
        <f t="shared" si="197"/>
        <v>#N/A</v>
      </c>
      <c r="AL352" s="104" t="e">
        <f t="shared" si="198"/>
        <v>#N/A</v>
      </c>
      <c r="AM352" s="104" t="e">
        <f t="shared" si="199"/>
        <v>#N/A</v>
      </c>
      <c r="AN352" s="104" t="e">
        <f t="shared" si="183"/>
        <v>#N/A</v>
      </c>
      <c r="AO352" s="104" t="e">
        <f t="shared" si="184"/>
        <v>#N/A</v>
      </c>
      <c r="AP352" s="104" t="e">
        <f t="shared" si="185"/>
        <v>#N/A</v>
      </c>
      <c r="AQ352" s="104" t="e">
        <f t="shared" si="186"/>
        <v>#N/A</v>
      </c>
      <c r="AR352" s="105" t="str">
        <f t="shared" si="178"/>
        <v/>
      </c>
      <c r="AS352" s="105" t="str">
        <f t="shared" si="179"/>
        <v/>
      </c>
      <c r="AT352" s="108" t="str">
        <f t="shared" si="180"/>
        <v/>
      </c>
      <c r="AU352" s="108" t="str">
        <f t="shared" si="181"/>
        <v/>
      </c>
      <c r="AV352" s="107" t="str">
        <f>IF(ISNUMBER(O352),IF(VLOOKUP($A352,Stand!C:J,8,FALSE)="Short",AT352,AU352),"")</f>
        <v/>
      </c>
      <c r="AW352" s="109" t="str">
        <f t="shared" si="187"/>
        <v/>
      </c>
      <c r="AX352" s="109" t="str">
        <f t="shared" si="188"/>
        <v/>
      </c>
      <c r="AY352" s="112" t="str">
        <f>IF(ISNUMBER(O352),IF(AND(VLOOKUP($D352,Merchantability!$B:$C,2,0)="Yes",$E352&gt;=VLOOKUP($D352,Merchantability!$B:$D,3,0),$E352&lt;=VLOOKUP($D352,Merchantability!$B:$E,4,0)),(AV352*O352)*(1-$H352/100),""),"")</f>
        <v/>
      </c>
      <c r="AZ352" s="116"/>
      <c r="BA352" s="116"/>
      <c r="BB352" s="116"/>
      <c r="BE352" s="62"/>
      <c r="BF352" s="63"/>
    </row>
    <row r="353" spans="1:58" ht="12.75" customHeight="1" x14ac:dyDescent="0.25">
      <c r="A353" s="313"/>
      <c r="B353" s="380"/>
      <c r="C353" s="381"/>
      <c r="D353" s="380"/>
      <c r="E353" s="382"/>
      <c r="F353" s="331"/>
      <c r="G353" s="329"/>
      <c r="H353" s="329"/>
      <c r="I353" s="380"/>
      <c r="J353" s="381"/>
      <c r="K353" s="329"/>
      <c r="L353" s="329"/>
      <c r="M353" s="76"/>
      <c r="N353" s="103" t="str">
        <f>IF(A353="","",VLOOKUP(A353,Stand!C:K,9,0))</f>
        <v/>
      </c>
      <c r="O353" s="104" t="str">
        <f t="shared" si="173"/>
        <v/>
      </c>
      <c r="P353" s="105" t="str">
        <f t="shared" si="174"/>
        <v/>
      </c>
      <c r="Q353" s="105" t="str">
        <f t="shared" si="189"/>
        <v/>
      </c>
      <c r="R353" s="103" t="str">
        <f t="shared" si="175"/>
        <v/>
      </c>
      <c r="S353" s="103" t="str">
        <f t="shared" si="176"/>
        <v/>
      </c>
      <c r="T353" s="106" t="str">
        <f t="shared" si="190"/>
        <v/>
      </c>
      <c r="U353" s="106" t="str">
        <f t="shared" si="191"/>
        <v/>
      </c>
      <c r="V353" s="106" t="str">
        <f t="shared" si="192"/>
        <v/>
      </c>
      <c r="W353" s="105" t="str">
        <f t="shared" si="177"/>
        <v/>
      </c>
      <c r="X353" s="104" t="str">
        <f t="shared" si="182"/>
        <v/>
      </c>
      <c r="Y353" s="104" t="str">
        <f t="array" ref="Y353">IFERROR(IF(ISNUMBER(O353),IF(COUNT(IF(A353=$A$2:$A$2427,IF(D353=$D$2:$D$2427,IF($X$2:$X$2427&gt;0,1))))&gt;0,SUM(IF(A353=$A$2:$A$2427,IF(D353=$D$2:$D$2427,$X$2:$X$2427)))/COUNT(IF(A353=$A$2:$A$2427,IF(D353=$D$2:$D$2427,IF(ISNUMBER($X$2:$X$2427),1)))),0),""),0)</f>
        <v/>
      </c>
      <c r="Z353" s="104" t="str">
        <f>IF(ISNUMBER(O353),IF(I353&gt;0,(10^(VLOOKUP(D353,'Species Codes'!B:C,2,0)+VLOOKUP(D353,'Species Codes'!B:D,3,0)*LOG(E353)+VLOOKUP(D353,'Species Codes'!B:E,4,0)*LOG(I353))),0),"")</f>
        <v/>
      </c>
      <c r="AA353" s="104" t="str">
        <f>IFERROR((VLOOKUP(D353,'Species Codes'!B:G,6,0)*Z353)/2000,"")</f>
        <v/>
      </c>
      <c r="AB353" s="104" t="e">
        <f>IF(Z353&gt;0,((IF(OR(D353="DF",D353="RA")=TRUE,EXP(VLOOKUP(D353,'Species Codes'!B:I,8,0)+VLOOKUP(D353,'Species Codes'!B:J,9,0)*(LN((E353*2.54)))),IF(OR(D353="PY",D353="RC",D353="WH",D353="NF")=TRUE,VLOOKUP(D353,'Species Codes'!B:I,8,0)+VLOOKUP(D353,'Species Codes'!B:J,9,0)*((E353*2.54)^2)*(I353*0.3048),IF(OR(D353="MD",D353="BM",D353="GA")=TRUE,((VLOOKUP(D353,'Species Codes'!B:I,8,0)*(((((E353*2.54)+VLOOKUP(D353,'Species Codes'!B:J,9,0))/VLOOKUP(D353,'Species Codes'!B:K,10,0))^VLOOKUP(D353,'Species Codes'!B:L,11,0))*((I353*0.3048)^VLOOKUP(D353,'Species Codes'!B:M,12,0))))-(VLOOKUP(D353,'Species Codes'!B:I,8,0)*((((E353*2.54)^VLOOKUP(D353,'Species Codes'!B:L,11,0))*((I353*0.3048)^VLOOKUP(D353,'Species Codes'!B:M,12,0))))))*35.3*VLOOKUP(D353,'Species Codes'!B:G,6,0)/2.2046,VLOOKUP(D353,'Species Codes'!B:I,8,0)+VLOOKUP(D353,'Species Codes'!B:J,9,0)*(((E353*2.54)/100)^2)*(I353*0.3048)))))*0.0011023),0)</f>
        <v>#N/A</v>
      </c>
      <c r="AC353" s="104" t="e">
        <f>IF(Z353&gt;0,((IF(OR(D353="RA",D353="OA",D353="OT",D353="UN",D353="PC"),EXP(VLOOKUP(D353,'Species Codes'!B:O,14,0)+VLOOKUP(D353,'Species Codes'!B:P,15,0)*LN((E353*2.54)))-EXP(VLOOKUP(D353,'Species Codes'!B:O,14,0)+VLOOKUP(D353,'Species Codes'!B:P,15,0)*LN((E353*2.54)))*(1/(VLOOKUP(D353,'Species Codes'!B:Q,16,0)+VLOOKUP(D353,'Species Codes'!B:R,17,0)*((E353*2.54)^VLOOKUP(D353,'Species Codes'!B:S,18,0)))),IF(OR(D353="BM",D353="MD",D353="OA"),EXP(VLOOKUP(D353,'Species Codes'!B:O,14,0)+VLOOKUP(D353,'Species Codes'!B:P,15,0)*LN((E353*2.54)))*(1-(1/(VLOOKUP(D353,'Species Codes'!B:Q,16,0)+VLOOKUP(D353,'Species Codes'!B:R,17,0)*((E353*2.54)^VLOOKUP(D353,'Species Codes'!B:S,18,0)))))/1000,IF(D353="DF",EXP(VLOOKUP(D353,'Species Codes'!B:O,14,0)+VLOOKUP(D353,'Species Codes'!B:P,15,0)*LN((E353*2.54))),VLOOKUP(D353,'Species Codes'!B:O,14,0)+VLOOKUP(D353,'Species Codes'!B:P,15,0)*(((E353*2.54)/100)^2)*(I353*0.3048)))))*0.0011023),0)</f>
        <v>#N/A</v>
      </c>
      <c r="AD353" s="104" t="e">
        <f t="shared" si="193"/>
        <v>#N/A</v>
      </c>
      <c r="AE353" s="104" t="e">
        <f t="shared" si="194"/>
        <v>#N/A</v>
      </c>
      <c r="AF353" s="104" t="e">
        <f>IF(AND(VLOOKUP($D353,Merchantability!$B:$C,2,0)="Yes",$E353&gt;=VLOOKUP($D353,Merchantability!$B:$D,3,0),$E353&lt;=VLOOKUP($D353,Merchantability!$B:$E,4,0)),AA353,0)</f>
        <v>#N/A</v>
      </c>
      <c r="AG353" s="104" t="e">
        <f>IF(AND(VLOOKUP($D353,Merchantability!$B:$C,2,0)="Yes",$E353&gt;=VLOOKUP($D353,Merchantability!$B:$D,3,0),$E353&lt;=VLOOKUP($D353,Merchantability!$B:$E,4,0)),AB353,0)</f>
        <v>#N/A</v>
      </c>
      <c r="AH353" s="104" t="e">
        <f>IF(AND(VLOOKUP($D353,Merchantability!$B:$C,2,0)="Yes",$E353&gt;=VLOOKUP($D353,Merchantability!$B:$D,3,0),$E353&lt;=VLOOKUP($D353,Merchantability!$B:$E,4,0)),AC353,0)</f>
        <v>#N/A</v>
      </c>
      <c r="AI353" s="104" t="e">
        <f t="shared" si="195"/>
        <v>#N/A</v>
      </c>
      <c r="AJ353" s="104" t="e">
        <f t="shared" si="196"/>
        <v>#VALUE!</v>
      </c>
      <c r="AK353" s="104" t="e">
        <f t="shared" si="197"/>
        <v>#N/A</v>
      </c>
      <c r="AL353" s="104" t="e">
        <f t="shared" si="198"/>
        <v>#N/A</v>
      </c>
      <c r="AM353" s="104" t="e">
        <f t="shared" si="199"/>
        <v>#N/A</v>
      </c>
      <c r="AN353" s="104" t="e">
        <f t="shared" si="183"/>
        <v>#N/A</v>
      </c>
      <c r="AO353" s="104" t="e">
        <f t="shared" si="184"/>
        <v>#N/A</v>
      </c>
      <c r="AP353" s="104" t="e">
        <f t="shared" si="185"/>
        <v>#N/A</v>
      </c>
      <c r="AQ353" s="104" t="e">
        <f t="shared" si="186"/>
        <v>#N/A</v>
      </c>
      <c r="AR353" s="105" t="str">
        <f t="shared" si="178"/>
        <v/>
      </c>
      <c r="AS353" s="105" t="str">
        <f t="shared" si="179"/>
        <v/>
      </c>
      <c r="AT353" s="108" t="str">
        <f t="shared" si="180"/>
        <v/>
      </c>
      <c r="AU353" s="108" t="str">
        <f t="shared" si="181"/>
        <v/>
      </c>
      <c r="AV353" s="107" t="str">
        <f>IF(ISNUMBER(O353),IF(VLOOKUP($A353,Stand!C:J,8,FALSE)="Short",AT353,AU353),"")</f>
        <v/>
      </c>
      <c r="AW353" s="109" t="str">
        <f t="shared" si="187"/>
        <v/>
      </c>
      <c r="AX353" s="109" t="str">
        <f t="shared" si="188"/>
        <v/>
      </c>
      <c r="AY353" s="112" t="str">
        <f>IF(ISNUMBER(O353),IF(AND(VLOOKUP($D353,Merchantability!$B:$C,2,0)="Yes",$E353&gt;=VLOOKUP($D353,Merchantability!$B:$D,3,0),$E353&lt;=VLOOKUP($D353,Merchantability!$B:$E,4,0)),(AV353*O353)*(1-$H353/100),""),"")</f>
        <v/>
      </c>
      <c r="AZ353" s="116"/>
      <c r="BA353" s="116"/>
      <c r="BB353" s="116"/>
      <c r="BE353" s="62"/>
      <c r="BF353" s="63"/>
    </row>
    <row r="354" spans="1:58" ht="12.75" customHeight="1" x14ac:dyDescent="0.25">
      <c r="A354" s="313"/>
      <c r="B354" s="380"/>
      <c r="C354" s="381"/>
      <c r="D354" s="380"/>
      <c r="E354" s="382"/>
      <c r="F354" s="331"/>
      <c r="G354" s="329"/>
      <c r="H354" s="329"/>
      <c r="I354" s="380"/>
      <c r="J354" s="381"/>
      <c r="K354" s="329"/>
      <c r="L354" s="329"/>
      <c r="M354" s="76"/>
      <c r="N354" s="103" t="str">
        <f>IF(A354="","",VLOOKUP(A354,Stand!C:K,9,0))</f>
        <v/>
      </c>
      <c r="O354" s="104" t="str">
        <f t="shared" si="173"/>
        <v/>
      </c>
      <c r="P354" s="105" t="str">
        <f t="shared" si="174"/>
        <v/>
      </c>
      <c r="Q354" s="105" t="str">
        <f t="shared" si="189"/>
        <v/>
      </c>
      <c r="R354" s="103" t="str">
        <f t="shared" si="175"/>
        <v/>
      </c>
      <c r="S354" s="103" t="str">
        <f t="shared" si="176"/>
        <v/>
      </c>
      <c r="T354" s="106" t="str">
        <f t="shared" si="190"/>
        <v/>
      </c>
      <c r="U354" s="106" t="str">
        <f t="shared" si="191"/>
        <v/>
      </c>
      <c r="V354" s="106" t="str">
        <f t="shared" si="192"/>
        <v/>
      </c>
      <c r="W354" s="105" t="str">
        <f t="shared" si="177"/>
        <v/>
      </c>
      <c r="X354" s="104" t="str">
        <f t="shared" si="182"/>
        <v/>
      </c>
      <c r="Y354" s="104" t="str">
        <f t="array" ref="Y354">IFERROR(IF(ISNUMBER(O354),IF(COUNT(IF(A354=$A$2:$A$2427,IF(D354=$D$2:$D$2427,IF($X$2:$X$2427&gt;0,1))))&gt;0,SUM(IF(A354=$A$2:$A$2427,IF(D354=$D$2:$D$2427,$X$2:$X$2427)))/COUNT(IF(A354=$A$2:$A$2427,IF(D354=$D$2:$D$2427,IF(ISNUMBER($X$2:$X$2427),1)))),0),""),0)</f>
        <v/>
      </c>
      <c r="Z354" s="104" t="str">
        <f>IF(ISNUMBER(O354),IF(I354&gt;0,(10^(VLOOKUP(D354,'Species Codes'!B:C,2,0)+VLOOKUP(D354,'Species Codes'!B:D,3,0)*LOG(E354)+VLOOKUP(D354,'Species Codes'!B:E,4,0)*LOG(I354))),0),"")</f>
        <v/>
      </c>
      <c r="AA354" s="104" t="str">
        <f>IFERROR((VLOOKUP(D354,'Species Codes'!B:G,6,0)*Z354)/2000,"")</f>
        <v/>
      </c>
      <c r="AB354" s="104" t="e">
        <f>IF(Z354&gt;0,((IF(OR(D354="DF",D354="RA")=TRUE,EXP(VLOOKUP(D354,'Species Codes'!B:I,8,0)+VLOOKUP(D354,'Species Codes'!B:J,9,0)*(LN((E354*2.54)))),IF(OR(D354="PY",D354="RC",D354="WH",D354="NF")=TRUE,VLOOKUP(D354,'Species Codes'!B:I,8,0)+VLOOKUP(D354,'Species Codes'!B:J,9,0)*((E354*2.54)^2)*(I354*0.3048),IF(OR(D354="MD",D354="BM",D354="GA")=TRUE,((VLOOKUP(D354,'Species Codes'!B:I,8,0)*(((((E354*2.54)+VLOOKUP(D354,'Species Codes'!B:J,9,0))/VLOOKUP(D354,'Species Codes'!B:K,10,0))^VLOOKUP(D354,'Species Codes'!B:L,11,0))*((I354*0.3048)^VLOOKUP(D354,'Species Codes'!B:M,12,0))))-(VLOOKUP(D354,'Species Codes'!B:I,8,0)*((((E354*2.54)^VLOOKUP(D354,'Species Codes'!B:L,11,0))*((I354*0.3048)^VLOOKUP(D354,'Species Codes'!B:M,12,0))))))*35.3*VLOOKUP(D354,'Species Codes'!B:G,6,0)/2.2046,VLOOKUP(D354,'Species Codes'!B:I,8,0)+VLOOKUP(D354,'Species Codes'!B:J,9,0)*(((E354*2.54)/100)^2)*(I354*0.3048)))))*0.0011023),0)</f>
        <v>#N/A</v>
      </c>
      <c r="AC354" s="104" t="e">
        <f>IF(Z354&gt;0,((IF(OR(D354="RA",D354="OA",D354="OT",D354="UN",D354="PC"),EXP(VLOOKUP(D354,'Species Codes'!B:O,14,0)+VLOOKUP(D354,'Species Codes'!B:P,15,0)*LN((E354*2.54)))-EXP(VLOOKUP(D354,'Species Codes'!B:O,14,0)+VLOOKUP(D354,'Species Codes'!B:P,15,0)*LN((E354*2.54)))*(1/(VLOOKUP(D354,'Species Codes'!B:Q,16,0)+VLOOKUP(D354,'Species Codes'!B:R,17,0)*((E354*2.54)^VLOOKUP(D354,'Species Codes'!B:S,18,0)))),IF(OR(D354="BM",D354="MD",D354="OA"),EXP(VLOOKUP(D354,'Species Codes'!B:O,14,0)+VLOOKUP(D354,'Species Codes'!B:P,15,0)*LN((E354*2.54)))*(1-(1/(VLOOKUP(D354,'Species Codes'!B:Q,16,0)+VLOOKUP(D354,'Species Codes'!B:R,17,0)*((E354*2.54)^VLOOKUP(D354,'Species Codes'!B:S,18,0)))))/1000,IF(D354="DF",EXP(VLOOKUP(D354,'Species Codes'!B:O,14,0)+VLOOKUP(D354,'Species Codes'!B:P,15,0)*LN((E354*2.54))),VLOOKUP(D354,'Species Codes'!B:O,14,0)+VLOOKUP(D354,'Species Codes'!B:P,15,0)*(((E354*2.54)/100)^2)*(I354*0.3048)))))*0.0011023),0)</f>
        <v>#N/A</v>
      </c>
      <c r="AD354" s="104" t="e">
        <f t="shared" si="193"/>
        <v>#N/A</v>
      </c>
      <c r="AE354" s="104" t="e">
        <f t="shared" si="194"/>
        <v>#N/A</v>
      </c>
      <c r="AF354" s="104" t="e">
        <f>IF(AND(VLOOKUP($D354,Merchantability!$B:$C,2,0)="Yes",$E354&gt;=VLOOKUP($D354,Merchantability!$B:$D,3,0),$E354&lt;=VLOOKUP($D354,Merchantability!$B:$E,4,0)),AA354,0)</f>
        <v>#N/A</v>
      </c>
      <c r="AG354" s="104" t="e">
        <f>IF(AND(VLOOKUP($D354,Merchantability!$B:$C,2,0)="Yes",$E354&gt;=VLOOKUP($D354,Merchantability!$B:$D,3,0),$E354&lt;=VLOOKUP($D354,Merchantability!$B:$E,4,0)),AB354,0)</f>
        <v>#N/A</v>
      </c>
      <c r="AH354" s="104" t="e">
        <f>IF(AND(VLOOKUP($D354,Merchantability!$B:$C,2,0)="Yes",$E354&gt;=VLOOKUP($D354,Merchantability!$B:$D,3,0),$E354&lt;=VLOOKUP($D354,Merchantability!$B:$E,4,0)),AC354,0)</f>
        <v>#N/A</v>
      </c>
      <c r="AI354" s="104" t="e">
        <f t="shared" si="195"/>
        <v>#N/A</v>
      </c>
      <c r="AJ354" s="104" t="e">
        <f t="shared" si="196"/>
        <v>#VALUE!</v>
      </c>
      <c r="AK354" s="104" t="e">
        <f t="shared" si="197"/>
        <v>#N/A</v>
      </c>
      <c r="AL354" s="104" t="e">
        <f t="shared" si="198"/>
        <v>#N/A</v>
      </c>
      <c r="AM354" s="104" t="e">
        <f t="shared" si="199"/>
        <v>#N/A</v>
      </c>
      <c r="AN354" s="104" t="e">
        <f t="shared" si="183"/>
        <v>#N/A</v>
      </c>
      <c r="AO354" s="104" t="e">
        <f t="shared" si="184"/>
        <v>#N/A</v>
      </c>
      <c r="AP354" s="104" t="e">
        <f t="shared" si="185"/>
        <v>#N/A</v>
      </c>
      <c r="AQ354" s="104" t="e">
        <f t="shared" si="186"/>
        <v>#N/A</v>
      </c>
      <c r="AR354" s="105" t="str">
        <f t="shared" si="178"/>
        <v/>
      </c>
      <c r="AS354" s="105" t="str">
        <f t="shared" si="179"/>
        <v/>
      </c>
      <c r="AT354" s="108" t="str">
        <f t="shared" si="180"/>
        <v/>
      </c>
      <c r="AU354" s="108" t="str">
        <f t="shared" si="181"/>
        <v/>
      </c>
      <c r="AV354" s="107" t="str">
        <f>IF(ISNUMBER(O354),IF(VLOOKUP($A354,Stand!C:J,8,FALSE)="Short",AT354,AU354),"")</f>
        <v/>
      </c>
      <c r="AW354" s="109" t="str">
        <f t="shared" si="187"/>
        <v/>
      </c>
      <c r="AX354" s="109" t="str">
        <f t="shared" si="188"/>
        <v/>
      </c>
      <c r="AY354" s="112" t="str">
        <f>IF(ISNUMBER(O354),IF(AND(VLOOKUP($D354,Merchantability!$B:$C,2,0)="Yes",$E354&gt;=VLOOKUP($D354,Merchantability!$B:$D,3,0),$E354&lt;=VLOOKUP($D354,Merchantability!$B:$E,4,0)),(AV354*O354)*(1-$H354/100),""),"")</f>
        <v/>
      </c>
      <c r="AZ354" s="116"/>
      <c r="BA354" s="116"/>
      <c r="BB354" s="116"/>
      <c r="BE354" s="62"/>
      <c r="BF354" s="63"/>
    </row>
    <row r="355" spans="1:58" ht="12.75" customHeight="1" x14ac:dyDescent="0.25">
      <c r="A355" s="313"/>
      <c r="B355" s="380"/>
      <c r="C355" s="381"/>
      <c r="D355" s="380"/>
      <c r="E355" s="382"/>
      <c r="F355" s="331"/>
      <c r="G355" s="329"/>
      <c r="H355" s="329"/>
      <c r="I355" s="380"/>
      <c r="J355" s="381"/>
      <c r="K355" s="329"/>
      <c r="L355" s="329"/>
      <c r="M355" s="76"/>
      <c r="N355" s="103" t="str">
        <f>IF(A355="","",VLOOKUP(A355,Stand!C:K,9,0))</f>
        <v/>
      </c>
      <c r="O355" s="104" t="str">
        <f t="shared" si="173"/>
        <v/>
      </c>
      <c r="P355" s="105" t="str">
        <f t="shared" si="174"/>
        <v/>
      </c>
      <c r="Q355" s="105" t="str">
        <f t="shared" si="189"/>
        <v/>
      </c>
      <c r="R355" s="103" t="str">
        <f t="shared" si="175"/>
        <v/>
      </c>
      <c r="S355" s="103" t="str">
        <f t="shared" si="176"/>
        <v/>
      </c>
      <c r="T355" s="106" t="str">
        <f t="shared" si="190"/>
        <v/>
      </c>
      <c r="U355" s="106" t="str">
        <f t="shared" si="191"/>
        <v/>
      </c>
      <c r="V355" s="106" t="str">
        <f t="shared" si="192"/>
        <v/>
      </c>
      <c r="W355" s="105" t="str">
        <f t="shared" si="177"/>
        <v/>
      </c>
      <c r="X355" s="104" t="str">
        <f t="shared" si="182"/>
        <v/>
      </c>
      <c r="Y355" s="104" t="str">
        <f t="array" ref="Y355">IFERROR(IF(ISNUMBER(O355),IF(COUNT(IF(A355=$A$2:$A$2427,IF(D355=$D$2:$D$2427,IF($X$2:$X$2427&gt;0,1))))&gt;0,SUM(IF(A355=$A$2:$A$2427,IF(D355=$D$2:$D$2427,$X$2:$X$2427)))/COUNT(IF(A355=$A$2:$A$2427,IF(D355=$D$2:$D$2427,IF(ISNUMBER($X$2:$X$2427),1)))),0),""),0)</f>
        <v/>
      </c>
      <c r="Z355" s="104" t="str">
        <f>IF(ISNUMBER(O355),IF(I355&gt;0,(10^(VLOOKUP(D355,'Species Codes'!B:C,2,0)+VLOOKUP(D355,'Species Codes'!B:D,3,0)*LOG(E355)+VLOOKUP(D355,'Species Codes'!B:E,4,0)*LOG(I355))),0),"")</f>
        <v/>
      </c>
      <c r="AA355" s="104" t="str">
        <f>IFERROR((VLOOKUP(D355,'Species Codes'!B:G,6,0)*Z355)/2000,"")</f>
        <v/>
      </c>
      <c r="AB355" s="104" t="e">
        <f>IF(Z355&gt;0,((IF(OR(D355="DF",D355="RA")=TRUE,EXP(VLOOKUP(D355,'Species Codes'!B:I,8,0)+VLOOKUP(D355,'Species Codes'!B:J,9,0)*(LN((E355*2.54)))),IF(OR(D355="PY",D355="RC",D355="WH",D355="NF")=TRUE,VLOOKUP(D355,'Species Codes'!B:I,8,0)+VLOOKUP(D355,'Species Codes'!B:J,9,0)*((E355*2.54)^2)*(I355*0.3048),IF(OR(D355="MD",D355="BM",D355="GA")=TRUE,((VLOOKUP(D355,'Species Codes'!B:I,8,0)*(((((E355*2.54)+VLOOKUP(D355,'Species Codes'!B:J,9,0))/VLOOKUP(D355,'Species Codes'!B:K,10,0))^VLOOKUP(D355,'Species Codes'!B:L,11,0))*((I355*0.3048)^VLOOKUP(D355,'Species Codes'!B:M,12,0))))-(VLOOKUP(D355,'Species Codes'!B:I,8,0)*((((E355*2.54)^VLOOKUP(D355,'Species Codes'!B:L,11,0))*((I355*0.3048)^VLOOKUP(D355,'Species Codes'!B:M,12,0))))))*35.3*VLOOKUP(D355,'Species Codes'!B:G,6,0)/2.2046,VLOOKUP(D355,'Species Codes'!B:I,8,0)+VLOOKUP(D355,'Species Codes'!B:J,9,0)*(((E355*2.54)/100)^2)*(I355*0.3048)))))*0.0011023),0)</f>
        <v>#N/A</v>
      </c>
      <c r="AC355" s="104" t="e">
        <f>IF(Z355&gt;0,((IF(OR(D355="RA",D355="OA",D355="OT",D355="UN",D355="PC"),EXP(VLOOKUP(D355,'Species Codes'!B:O,14,0)+VLOOKUP(D355,'Species Codes'!B:P,15,0)*LN((E355*2.54)))-EXP(VLOOKUP(D355,'Species Codes'!B:O,14,0)+VLOOKUP(D355,'Species Codes'!B:P,15,0)*LN((E355*2.54)))*(1/(VLOOKUP(D355,'Species Codes'!B:Q,16,0)+VLOOKUP(D355,'Species Codes'!B:R,17,0)*((E355*2.54)^VLOOKUP(D355,'Species Codes'!B:S,18,0)))),IF(OR(D355="BM",D355="MD",D355="OA"),EXP(VLOOKUP(D355,'Species Codes'!B:O,14,0)+VLOOKUP(D355,'Species Codes'!B:P,15,0)*LN((E355*2.54)))*(1-(1/(VLOOKUP(D355,'Species Codes'!B:Q,16,0)+VLOOKUP(D355,'Species Codes'!B:R,17,0)*((E355*2.54)^VLOOKUP(D355,'Species Codes'!B:S,18,0)))))/1000,IF(D355="DF",EXP(VLOOKUP(D355,'Species Codes'!B:O,14,0)+VLOOKUP(D355,'Species Codes'!B:P,15,0)*LN((E355*2.54))),VLOOKUP(D355,'Species Codes'!B:O,14,0)+VLOOKUP(D355,'Species Codes'!B:P,15,0)*(((E355*2.54)/100)^2)*(I355*0.3048)))))*0.0011023),0)</f>
        <v>#N/A</v>
      </c>
      <c r="AD355" s="104" t="e">
        <f t="shared" si="193"/>
        <v>#N/A</v>
      </c>
      <c r="AE355" s="104" t="e">
        <f t="shared" si="194"/>
        <v>#N/A</v>
      </c>
      <c r="AF355" s="104" t="e">
        <f>IF(AND(VLOOKUP($D355,Merchantability!$B:$C,2,0)="Yes",$E355&gt;=VLOOKUP($D355,Merchantability!$B:$D,3,0),$E355&lt;=VLOOKUP($D355,Merchantability!$B:$E,4,0)),AA355,0)</f>
        <v>#N/A</v>
      </c>
      <c r="AG355" s="104" t="e">
        <f>IF(AND(VLOOKUP($D355,Merchantability!$B:$C,2,0)="Yes",$E355&gt;=VLOOKUP($D355,Merchantability!$B:$D,3,0),$E355&lt;=VLOOKUP($D355,Merchantability!$B:$E,4,0)),AB355,0)</f>
        <v>#N/A</v>
      </c>
      <c r="AH355" s="104" t="e">
        <f>IF(AND(VLOOKUP($D355,Merchantability!$B:$C,2,0)="Yes",$E355&gt;=VLOOKUP($D355,Merchantability!$B:$D,3,0),$E355&lt;=VLOOKUP($D355,Merchantability!$B:$E,4,0)),AC355,0)</f>
        <v>#N/A</v>
      </c>
      <c r="AI355" s="104" t="e">
        <f t="shared" si="195"/>
        <v>#N/A</v>
      </c>
      <c r="AJ355" s="104" t="e">
        <f t="shared" si="196"/>
        <v>#VALUE!</v>
      </c>
      <c r="AK355" s="104" t="e">
        <f t="shared" si="197"/>
        <v>#N/A</v>
      </c>
      <c r="AL355" s="104" t="e">
        <f t="shared" si="198"/>
        <v>#N/A</v>
      </c>
      <c r="AM355" s="104" t="e">
        <f t="shared" si="199"/>
        <v>#N/A</v>
      </c>
      <c r="AN355" s="104" t="e">
        <f t="shared" si="183"/>
        <v>#N/A</v>
      </c>
      <c r="AO355" s="104" t="e">
        <f t="shared" si="184"/>
        <v>#N/A</v>
      </c>
      <c r="AP355" s="104" t="e">
        <f t="shared" si="185"/>
        <v>#N/A</v>
      </c>
      <c r="AQ355" s="104" t="e">
        <f t="shared" si="186"/>
        <v>#N/A</v>
      </c>
      <c r="AR355" s="105" t="str">
        <f t="shared" si="178"/>
        <v/>
      </c>
      <c r="AS355" s="105" t="str">
        <f t="shared" si="179"/>
        <v/>
      </c>
      <c r="AT355" s="108" t="str">
        <f t="shared" si="180"/>
        <v/>
      </c>
      <c r="AU355" s="108" t="str">
        <f t="shared" si="181"/>
        <v/>
      </c>
      <c r="AV355" s="107" t="str">
        <f>IF(ISNUMBER(O355),IF(VLOOKUP($A355,Stand!C:J,8,FALSE)="Short",AT355,AU355),"")</f>
        <v/>
      </c>
      <c r="AW355" s="109" t="str">
        <f t="shared" si="187"/>
        <v/>
      </c>
      <c r="AX355" s="109" t="str">
        <f t="shared" si="188"/>
        <v/>
      </c>
      <c r="AY355" s="112" t="str">
        <f>IF(ISNUMBER(O355),IF(AND(VLOOKUP($D355,Merchantability!$B:$C,2,0)="Yes",$E355&gt;=VLOOKUP($D355,Merchantability!$B:$D,3,0),$E355&lt;=VLOOKUP($D355,Merchantability!$B:$E,4,0)),(AV355*O355)*(1-$H355/100),""),"")</f>
        <v/>
      </c>
      <c r="AZ355" s="116"/>
      <c r="BA355" s="116"/>
      <c r="BB355" s="116"/>
      <c r="BE355" s="62"/>
      <c r="BF355" s="63"/>
    </row>
    <row r="356" spans="1:58" ht="12.75" customHeight="1" x14ac:dyDescent="0.25">
      <c r="A356" s="313"/>
      <c r="B356" s="380"/>
      <c r="C356" s="381"/>
      <c r="D356" s="380"/>
      <c r="E356" s="382"/>
      <c r="F356" s="331"/>
      <c r="G356" s="329"/>
      <c r="H356" s="329"/>
      <c r="I356" s="380"/>
      <c r="J356" s="381"/>
      <c r="K356" s="329"/>
      <c r="L356" s="329"/>
      <c r="M356" s="76"/>
      <c r="N356" s="103" t="str">
        <f>IF(A356="","",VLOOKUP(A356,Stand!C:K,9,0))</f>
        <v/>
      </c>
      <c r="O356" s="104" t="str">
        <f t="shared" si="173"/>
        <v/>
      </c>
      <c r="P356" s="105" t="str">
        <f t="shared" si="174"/>
        <v/>
      </c>
      <c r="Q356" s="105" t="str">
        <f t="shared" si="189"/>
        <v/>
      </c>
      <c r="R356" s="103" t="str">
        <f t="shared" si="175"/>
        <v/>
      </c>
      <c r="S356" s="103" t="str">
        <f t="shared" si="176"/>
        <v/>
      </c>
      <c r="T356" s="106" t="str">
        <f t="shared" si="190"/>
        <v/>
      </c>
      <c r="U356" s="106" t="str">
        <f t="shared" si="191"/>
        <v/>
      </c>
      <c r="V356" s="106" t="str">
        <f t="shared" si="192"/>
        <v/>
      </c>
      <c r="W356" s="105" t="str">
        <f t="shared" si="177"/>
        <v/>
      </c>
      <c r="X356" s="104" t="str">
        <f t="shared" si="182"/>
        <v/>
      </c>
      <c r="Y356" s="104" t="str">
        <f t="array" ref="Y356">IFERROR(IF(ISNUMBER(O356),IF(COUNT(IF(A356=$A$2:$A$2427,IF(D356=$D$2:$D$2427,IF($X$2:$X$2427&gt;0,1))))&gt;0,SUM(IF(A356=$A$2:$A$2427,IF(D356=$D$2:$D$2427,$X$2:$X$2427)))/COUNT(IF(A356=$A$2:$A$2427,IF(D356=$D$2:$D$2427,IF(ISNUMBER($X$2:$X$2427),1)))),0),""),0)</f>
        <v/>
      </c>
      <c r="Z356" s="104" t="str">
        <f>IF(ISNUMBER(O356),IF(I356&gt;0,(10^(VLOOKUP(D356,'Species Codes'!B:C,2,0)+VLOOKUP(D356,'Species Codes'!B:D,3,0)*LOG(E356)+VLOOKUP(D356,'Species Codes'!B:E,4,0)*LOG(I356))),0),"")</f>
        <v/>
      </c>
      <c r="AA356" s="104" t="str">
        <f>IFERROR((VLOOKUP(D356,'Species Codes'!B:G,6,0)*Z356)/2000,"")</f>
        <v/>
      </c>
      <c r="AB356" s="104" t="e">
        <f>IF(Z356&gt;0,((IF(OR(D356="DF",D356="RA")=TRUE,EXP(VLOOKUP(D356,'Species Codes'!B:I,8,0)+VLOOKUP(D356,'Species Codes'!B:J,9,0)*(LN((E356*2.54)))),IF(OR(D356="PY",D356="RC",D356="WH",D356="NF")=TRUE,VLOOKUP(D356,'Species Codes'!B:I,8,0)+VLOOKUP(D356,'Species Codes'!B:J,9,0)*((E356*2.54)^2)*(I356*0.3048),IF(OR(D356="MD",D356="BM",D356="GA")=TRUE,((VLOOKUP(D356,'Species Codes'!B:I,8,0)*(((((E356*2.54)+VLOOKUP(D356,'Species Codes'!B:J,9,0))/VLOOKUP(D356,'Species Codes'!B:K,10,0))^VLOOKUP(D356,'Species Codes'!B:L,11,0))*((I356*0.3048)^VLOOKUP(D356,'Species Codes'!B:M,12,0))))-(VLOOKUP(D356,'Species Codes'!B:I,8,0)*((((E356*2.54)^VLOOKUP(D356,'Species Codes'!B:L,11,0))*((I356*0.3048)^VLOOKUP(D356,'Species Codes'!B:M,12,0))))))*35.3*VLOOKUP(D356,'Species Codes'!B:G,6,0)/2.2046,VLOOKUP(D356,'Species Codes'!B:I,8,0)+VLOOKUP(D356,'Species Codes'!B:J,9,0)*(((E356*2.54)/100)^2)*(I356*0.3048)))))*0.0011023),0)</f>
        <v>#N/A</v>
      </c>
      <c r="AC356" s="104" t="e">
        <f>IF(Z356&gt;0,((IF(OR(D356="RA",D356="OA",D356="OT",D356="UN",D356="PC"),EXP(VLOOKUP(D356,'Species Codes'!B:O,14,0)+VLOOKUP(D356,'Species Codes'!B:P,15,0)*LN((E356*2.54)))-EXP(VLOOKUP(D356,'Species Codes'!B:O,14,0)+VLOOKUP(D356,'Species Codes'!B:P,15,0)*LN((E356*2.54)))*(1/(VLOOKUP(D356,'Species Codes'!B:Q,16,0)+VLOOKUP(D356,'Species Codes'!B:R,17,0)*((E356*2.54)^VLOOKUP(D356,'Species Codes'!B:S,18,0)))),IF(OR(D356="BM",D356="MD",D356="OA"),EXP(VLOOKUP(D356,'Species Codes'!B:O,14,0)+VLOOKUP(D356,'Species Codes'!B:P,15,0)*LN((E356*2.54)))*(1-(1/(VLOOKUP(D356,'Species Codes'!B:Q,16,0)+VLOOKUP(D356,'Species Codes'!B:R,17,0)*((E356*2.54)^VLOOKUP(D356,'Species Codes'!B:S,18,0)))))/1000,IF(D356="DF",EXP(VLOOKUP(D356,'Species Codes'!B:O,14,0)+VLOOKUP(D356,'Species Codes'!B:P,15,0)*LN((E356*2.54))),VLOOKUP(D356,'Species Codes'!B:O,14,0)+VLOOKUP(D356,'Species Codes'!B:P,15,0)*(((E356*2.54)/100)^2)*(I356*0.3048)))))*0.0011023),0)</f>
        <v>#N/A</v>
      </c>
      <c r="AD356" s="104" t="e">
        <f t="shared" si="193"/>
        <v>#N/A</v>
      </c>
      <c r="AE356" s="104" t="e">
        <f t="shared" si="194"/>
        <v>#N/A</v>
      </c>
      <c r="AF356" s="104" t="e">
        <f>IF(AND(VLOOKUP($D356,Merchantability!$B:$C,2,0)="Yes",$E356&gt;=VLOOKUP($D356,Merchantability!$B:$D,3,0),$E356&lt;=VLOOKUP($D356,Merchantability!$B:$E,4,0)),AA356,0)</f>
        <v>#N/A</v>
      </c>
      <c r="AG356" s="104" t="e">
        <f>IF(AND(VLOOKUP($D356,Merchantability!$B:$C,2,0)="Yes",$E356&gt;=VLOOKUP($D356,Merchantability!$B:$D,3,0),$E356&lt;=VLOOKUP($D356,Merchantability!$B:$E,4,0)),AB356,0)</f>
        <v>#N/A</v>
      </c>
      <c r="AH356" s="104" t="e">
        <f>IF(AND(VLOOKUP($D356,Merchantability!$B:$C,2,0)="Yes",$E356&gt;=VLOOKUP($D356,Merchantability!$B:$D,3,0),$E356&lt;=VLOOKUP($D356,Merchantability!$B:$E,4,0)),AC356,0)</f>
        <v>#N/A</v>
      </c>
      <c r="AI356" s="104" t="e">
        <f t="shared" si="195"/>
        <v>#N/A</v>
      </c>
      <c r="AJ356" s="104" t="e">
        <f t="shared" si="196"/>
        <v>#VALUE!</v>
      </c>
      <c r="AK356" s="104" t="e">
        <f t="shared" si="197"/>
        <v>#N/A</v>
      </c>
      <c r="AL356" s="104" t="e">
        <f t="shared" si="198"/>
        <v>#N/A</v>
      </c>
      <c r="AM356" s="104" t="e">
        <f t="shared" si="199"/>
        <v>#N/A</v>
      </c>
      <c r="AN356" s="104" t="e">
        <f t="shared" si="183"/>
        <v>#N/A</v>
      </c>
      <c r="AO356" s="104" t="e">
        <f t="shared" si="184"/>
        <v>#N/A</v>
      </c>
      <c r="AP356" s="104" t="e">
        <f t="shared" si="185"/>
        <v>#N/A</v>
      </c>
      <c r="AQ356" s="104" t="e">
        <f t="shared" si="186"/>
        <v>#N/A</v>
      </c>
      <c r="AR356" s="105" t="str">
        <f t="shared" si="178"/>
        <v/>
      </c>
      <c r="AS356" s="105" t="str">
        <f t="shared" si="179"/>
        <v/>
      </c>
      <c r="AT356" s="108" t="str">
        <f t="shared" si="180"/>
        <v/>
      </c>
      <c r="AU356" s="108" t="str">
        <f t="shared" si="181"/>
        <v/>
      </c>
      <c r="AV356" s="107" t="str">
        <f>IF(ISNUMBER(O356),IF(VLOOKUP($A356,Stand!C:J,8,FALSE)="Short",AT356,AU356),"")</f>
        <v/>
      </c>
      <c r="AW356" s="109" t="str">
        <f t="shared" si="187"/>
        <v/>
      </c>
      <c r="AX356" s="109" t="str">
        <f t="shared" si="188"/>
        <v/>
      </c>
      <c r="AY356" s="112" t="str">
        <f>IF(ISNUMBER(O356),IF(AND(VLOOKUP($D356,Merchantability!$B:$C,2,0)="Yes",$E356&gt;=VLOOKUP($D356,Merchantability!$B:$D,3,0),$E356&lt;=VLOOKUP($D356,Merchantability!$B:$E,4,0)),(AV356*O356)*(1-$H356/100),""),"")</f>
        <v/>
      </c>
      <c r="AZ356" s="116"/>
      <c r="BA356" s="116"/>
      <c r="BB356" s="116"/>
      <c r="BE356" s="62"/>
      <c r="BF356" s="63"/>
    </row>
    <row r="357" spans="1:58" ht="12.75" customHeight="1" x14ac:dyDescent="0.25">
      <c r="A357" s="313"/>
      <c r="B357" s="380"/>
      <c r="C357" s="381"/>
      <c r="D357" s="380"/>
      <c r="E357" s="382"/>
      <c r="F357" s="331"/>
      <c r="G357" s="329"/>
      <c r="H357" s="329"/>
      <c r="I357" s="380"/>
      <c r="J357" s="381"/>
      <c r="K357" s="329"/>
      <c r="L357" s="329"/>
      <c r="M357" s="76"/>
      <c r="N357" s="103" t="str">
        <f>IF(A357="","",VLOOKUP(A357,Stand!C:K,9,0))</f>
        <v/>
      </c>
      <c r="O357" s="104" t="str">
        <f t="shared" si="173"/>
        <v/>
      </c>
      <c r="P357" s="105" t="str">
        <f t="shared" si="174"/>
        <v/>
      </c>
      <c r="Q357" s="105" t="str">
        <f t="shared" si="189"/>
        <v/>
      </c>
      <c r="R357" s="103" t="str">
        <f t="shared" si="175"/>
        <v/>
      </c>
      <c r="S357" s="103" t="str">
        <f t="shared" si="176"/>
        <v/>
      </c>
      <c r="T357" s="106" t="str">
        <f t="shared" si="190"/>
        <v/>
      </c>
      <c r="U357" s="106" t="str">
        <f t="shared" si="191"/>
        <v/>
      </c>
      <c r="V357" s="106" t="str">
        <f t="shared" si="192"/>
        <v/>
      </c>
      <c r="W357" s="105" t="str">
        <f t="shared" si="177"/>
        <v/>
      </c>
      <c r="X357" s="104" t="str">
        <f t="shared" si="182"/>
        <v/>
      </c>
      <c r="Y357" s="104" t="str">
        <f t="array" ref="Y357">IFERROR(IF(ISNUMBER(O357),IF(COUNT(IF(A357=$A$2:$A$2427,IF(D357=$D$2:$D$2427,IF($X$2:$X$2427&gt;0,1))))&gt;0,SUM(IF(A357=$A$2:$A$2427,IF(D357=$D$2:$D$2427,$X$2:$X$2427)))/COUNT(IF(A357=$A$2:$A$2427,IF(D357=$D$2:$D$2427,IF(ISNUMBER($X$2:$X$2427),1)))),0),""),0)</f>
        <v/>
      </c>
      <c r="Z357" s="104" t="str">
        <f>IF(ISNUMBER(O357),IF(I357&gt;0,(10^(VLOOKUP(D357,'Species Codes'!B:C,2,0)+VLOOKUP(D357,'Species Codes'!B:D,3,0)*LOG(E357)+VLOOKUP(D357,'Species Codes'!B:E,4,0)*LOG(I357))),0),"")</f>
        <v/>
      </c>
      <c r="AA357" s="104" t="str">
        <f>IFERROR((VLOOKUP(D357,'Species Codes'!B:G,6,0)*Z357)/2000,"")</f>
        <v/>
      </c>
      <c r="AB357" s="104" t="e">
        <f>IF(Z357&gt;0,((IF(OR(D357="DF",D357="RA")=TRUE,EXP(VLOOKUP(D357,'Species Codes'!B:I,8,0)+VLOOKUP(D357,'Species Codes'!B:J,9,0)*(LN((E357*2.54)))),IF(OR(D357="PY",D357="RC",D357="WH",D357="NF")=TRUE,VLOOKUP(D357,'Species Codes'!B:I,8,0)+VLOOKUP(D357,'Species Codes'!B:J,9,0)*((E357*2.54)^2)*(I357*0.3048),IF(OR(D357="MD",D357="BM",D357="GA")=TRUE,((VLOOKUP(D357,'Species Codes'!B:I,8,0)*(((((E357*2.54)+VLOOKUP(D357,'Species Codes'!B:J,9,0))/VLOOKUP(D357,'Species Codes'!B:K,10,0))^VLOOKUP(D357,'Species Codes'!B:L,11,0))*((I357*0.3048)^VLOOKUP(D357,'Species Codes'!B:M,12,0))))-(VLOOKUP(D357,'Species Codes'!B:I,8,0)*((((E357*2.54)^VLOOKUP(D357,'Species Codes'!B:L,11,0))*((I357*0.3048)^VLOOKUP(D357,'Species Codes'!B:M,12,0))))))*35.3*VLOOKUP(D357,'Species Codes'!B:G,6,0)/2.2046,VLOOKUP(D357,'Species Codes'!B:I,8,0)+VLOOKUP(D357,'Species Codes'!B:J,9,0)*(((E357*2.54)/100)^2)*(I357*0.3048)))))*0.0011023),0)</f>
        <v>#N/A</v>
      </c>
      <c r="AC357" s="104" t="e">
        <f>IF(Z357&gt;0,((IF(OR(D357="RA",D357="OA",D357="OT",D357="UN",D357="PC"),EXP(VLOOKUP(D357,'Species Codes'!B:O,14,0)+VLOOKUP(D357,'Species Codes'!B:P,15,0)*LN((E357*2.54)))-EXP(VLOOKUP(D357,'Species Codes'!B:O,14,0)+VLOOKUP(D357,'Species Codes'!B:P,15,0)*LN((E357*2.54)))*(1/(VLOOKUP(D357,'Species Codes'!B:Q,16,0)+VLOOKUP(D357,'Species Codes'!B:R,17,0)*((E357*2.54)^VLOOKUP(D357,'Species Codes'!B:S,18,0)))),IF(OR(D357="BM",D357="MD",D357="OA"),EXP(VLOOKUP(D357,'Species Codes'!B:O,14,0)+VLOOKUP(D357,'Species Codes'!B:P,15,0)*LN((E357*2.54)))*(1-(1/(VLOOKUP(D357,'Species Codes'!B:Q,16,0)+VLOOKUP(D357,'Species Codes'!B:R,17,0)*((E357*2.54)^VLOOKUP(D357,'Species Codes'!B:S,18,0)))))/1000,IF(D357="DF",EXP(VLOOKUP(D357,'Species Codes'!B:O,14,0)+VLOOKUP(D357,'Species Codes'!B:P,15,0)*LN((E357*2.54))),VLOOKUP(D357,'Species Codes'!B:O,14,0)+VLOOKUP(D357,'Species Codes'!B:P,15,0)*(((E357*2.54)/100)^2)*(I357*0.3048)))))*0.0011023),0)</f>
        <v>#N/A</v>
      </c>
      <c r="AD357" s="104" t="e">
        <f t="shared" si="193"/>
        <v>#N/A</v>
      </c>
      <c r="AE357" s="104" t="e">
        <f t="shared" si="194"/>
        <v>#N/A</v>
      </c>
      <c r="AF357" s="104" t="e">
        <f>IF(AND(VLOOKUP($D357,Merchantability!$B:$C,2,0)="Yes",$E357&gt;=VLOOKUP($D357,Merchantability!$B:$D,3,0),$E357&lt;=VLOOKUP($D357,Merchantability!$B:$E,4,0)),AA357,0)</f>
        <v>#N/A</v>
      </c>
      <c r="AG357" s="104" t="e">
        <f>IF(AND(VLOOKUP($D357,Merchantability!$B:$C,2,0)="Yes",$E357&gt;=VLOOKUP($D357,Merchantability!$B:$D,3,0),$E357&lt;=VLOOKUP($D357,Merchantability!$B:$E,4,0)),AB357,0)</f>
        <v>#N/A</v>
      </c>
      <c r="AH357" s="104" t="e">
        <f>IF(AND(VLOOKUP($D357,Merchantability!$B:$C,2,0)="Yes",$E357&gt;=VLOOKUP($D357,Merchantability!$B:$D,3,0),$E357&lt;=VLOOKUP($D357,Merchantability!$B:$E,4,0)),AC357,0)</f>
        <v>#N/A</v>
      </c>
      <c r="AI357" s="104" t="e">
        <f t="shared" si="195"/>
        <v>#N/A</v>
      </c>
      <c r="AJ357" s="104" t="e">
        <f t="shared" si="196"/>
        <v>#VALUE!</v>
      </c>
      <c r="AK357" s="104" t="e">
        <f t="shared" si="197"/>
        <v>#N/A</v>
      </c>
      <c r="AL357" s="104" t="e">
        <f t="shared" si="198"/>
        <v>#N/A</v>
      </c>
      <c r="AM357" s="104" t="e">
        <f t="shared" si="199"/>
        <v>#N/A</v>
      </c>
      <c r="AN357" s="104" t="e">
        <f t="shared" si="183"/>
        <v>#N/A</v>
      </c>
      <c r="AO357" s="104" t="e">
        <f t="shared" si="184"/>
        <v>#N/A</v>
      </c>
      <c r="AP357" s="104" t="e">
        <f t="shared" si="185"/>
        <v>#N/A</v>
      </c>
      <c r="AQ357" s="104" t="e">
        <f t="shared" si="186"/>
        <v>#N/A</v>
      </c>
      <c r="AR357" s="105" t="str">
        <f t="shared" si="178"/>
        <v/>
      </c>
      <c r="AS357" s="105" t="str">
        <f t="shared" si="179"/>
        <v/>
      </c>
      <c r="AT357" s="108" t="str">
        <f t="shared" si="180"/>
        <v/>
      </c>
      <c r="AU357" s="108" t="str">
        <f t="shared" si="181"/>
        <v/>
      </c>
      <c r="AV357" s="107" t="str">
        <f>IF(ISNUMBER(O357),IF(VLOOKUP($A357,Stand!C:J,8,FALSE)="Short",AT357,AU357),"")</f>
        <v/>
      </c>
      <c r="AW357" s="109" t="str">
        <f t="shared" si="187"/>
        <v/>
      </c>
      <c r="AX357" s="109" t="str">
        <f t="shared" si="188"/>
        <v/>
      </c>
      <c r="AY357" s="112" t="str">
        <f>IF(ISNUMBER(O357),IF(AND(VLOOKUP($D357,Merchantability!$B:$C,2,0)="Yes",$E357&gt;=VLOOKUP($D357,Merchantability!$B:$D,3,0),$E357&lt;=VLOOKUP($D357,Merchantability!$B:$E,4,0)),(AV357*O357)*(1-$H357/100),""),"")</f>
        <v/>
      </c>
      <c r="AZ357" s="116"/>
      <c r="BA357" s="116"/>
      <c r="BB357" s="116"/>
      <c r="BE357" s="62"/>
      <c r="BF357" s="63"/>
    </row>
    <row r="358" spans="1:58" ht="12.75" customHeight="1" x14ac:dyDescent="0.25">
      <c r="A358" s="313"/>
      <c r="B358" s="380"/>
      <c r="C358" s="381"/>
      <c r="D358" s="380"/>
      <c r="E358" s="382"/>
      <c r="F358" s="331"/>
      <c r="G358" s="329"/>
      <c r="H358" s="329"/>
      <c r="I358" s="380"/>
      <c r="J358" s="381"/>
      <c r="K358" s="329"/>
      <c r="L358" s="329"/>
      <c r="M358" s="76"/>
      <c r="N358" s="103" t="str">
        <f>IF(A358="","",VLOOKUP(A358,Stand!C:K,9,0))</f>
        <v/>
      </c>
      <c r="O358" s="104" t="str">
        <f t="shared" si="173"/>
        <v/>
      </c>
      <c r="P358" s="105" t="str">
        <f t="shared" si="174"/>
        <v/>
      </c>
      <c r="Q358" s="105" t="str">
        <f t="shared" si="189"/>
        <v/>
      </c>
      <c r="R358" s="103" t="str">
        <f t="shared" si="175"/>
        <v/>
      </c>
      <c r="S358" s="103" t="str">
        <f t="shared" si="176"/>
        <v/>
      </c>
      <c r="T358" s="106" t="str">
        <f t="shared" si="190"/>
        <v/>
      </c>
      <c r="U358" s="106" t="str">
        <f t="shared" si="191"/>
        <v/>
      </c>
      <c r="V358" s="106" t="str">
        <f t="shared" si="192"/>
        <v/>
      </c>
      <c r="W358" s="105" t="str">
        <f t="shared" si="177"/>
        <v/>
      </c>
      <c r="X358" s="104" t="str">
        <f t="shared" si="182"/>
        <v/>
      </c>
      <c r="Y358" s="104" t="str">
        <f t="array" ref="Y358">IFERROR(IF(ISNUMBER(O358),IF(COUNT(IF(A358=$A$2:$A$2427,IF(D358=$D$2:$D$2427,IF($X$2:$X$2427&gt;0,1))))&gt;0,SUM(IF(A358=$A$2:$A$2427,IF(D358=$D$2:$D$2427,$X$2:$X$2427)))/COUNT(IF(A358=$A$2:$A$2427,IF(D358=$D$2:$D$2427,IF(ISNUMBER($X$2:$X$2427),1)))),0),""),0)</f>
        <v/>
      </c>
      <c r="Z358" s="104" t="str">
        <f>IF(ISNUMBER(O358),IF(I358&gt;0,(10^(VLOOKUP(D358,'Species Codes'!B:C,2,0)+VLOOKUP(D358,'Species Codes'!B:D,3,0)*LOG(E358)+VLOOKUP(D358,'Species Codes'!B:E,4,0)*LOG(I358))),0),"")</f>
        <v/>
      </c>
      <c r="AA358" s="104" t="str">
        <f>IFERROR((VLOOKUP(D358,'Species Codes'!B:G,6,0)*Z358)/2000,"")</f>
        <v/>
      </c>
      <c r="AB358" s="104" t="e">
        <f>IF(Z358&gt;0,((IF(OR(D358="DF",D358="RA")=TRUE,EXP(VLOOKUP(D358,'Species Codes'!B:I,8,0)+VLOOKUP(D358,'Species Codes'!B:J,9,0)*(LN((E358*2.54)))),IF(OR(D358="PY",D358="RC",D358="WH",D358="NF")=TRUE,VLOOKUP(D358,'Species Codes'!B:I,8,0)+VLOOKUP(D358,'Species Codes'!B:J,9,0)*((E358*2.54)^2)*(I358*0.3048),IF(OR(D358="MD",D358="BM",D358="GA")=TRUE,((VLOOKUP(D358,'Species Codes'!B:I,8,0)*(((((E358*2.54)+VLOOKUP(D358,'Species Codes'!B:J,9,0))/VLOOKUP(D358,'Species Codes'!B:K,10,0))^VLOOKUP(D358,'Species Codes'!B:L,11,0))*((I358*0.3048)^VLOOKUP(D358,'Species Codes'!B:M,12,0))))-(VLOOKUP(D358,'Species Codes'!B:I,8,0)*((((E358*2.54)^VLOOKUP(D358,'Species Codes'!B:L,11,0))*((I358*0.3048)^VLOOKUP(D358,'Species Codes'!B:M,12,0))))))*35.3*VLOOKUP(D358,'Species Codes'!B:G,6,0)/2.2046,VLOOKUP(D358,'Species Codes'!B:I,8,0)+VLOOKUP(D358,'Species Codes'!B:J,9,0)*(((E358*2.54)/100)^2)*(I358*0.3048)))))*0.0011023),0)</f>
        <v>#N/A</v>
      </c>
      <c r="AC358" s="104" t="e">
        <f>IF(Z358&gt;0,((IF(OR(D358="RA",D358="OA",D358="OT",D358="UN",D358="PC"),EXP(VLOOKUP(D358,'Species Codes'!B:O,14,0)+VLOOKUP(D358,'Species Codes'!B:P,15,0)*LN((E358*2.54)))-EXP(VLOOKUP(D358,'Species Codes'!B:O,14,0)+VLOOKUP(D358,'Species Codes'!B:P,15,0)*LN((E358*2.54)))*(1/(VLOOKUP(D358,'Species Codes'!B:Q,16,0)+VLOOKUP(D358,'Species Codes'!B:R,17,0)*((E358*2.54)^VLOOKUP(D358,'Species Codes'!B:S,18,0)))),IF(OR(D358="BM",D358="MD",D358="OA"),EXP(VLOOKUP(D358,'Species Codes'!B:O,14,0)+VLOOKUP(D358,'Species Codes'!B:P,15,0)*LN((E358*2.54)))*(1-(1/(VLOOKUP(D358,'Species Codes'!B:Q,16,0)+VLOOKUP(D358,'Species Codes'!B:R,17,0)*((E358*2.54)^VLOOKUP(D358,'Species Codes'!B:S,18,0)))))/1000,IF(D358="DF",EXP(VLOOKUP(D358,'Species Codes'!B:O,14,0)+VLOOKUP(D358,'Species Codes'!B:P,15,0)*LN((E358*2.54))),VLOOKUP(D358,'Species Codes'!B:O,14,0)+VLOOKUP(D358,'Species Codes'!B:P,15,0)*(((E358*2.54)/100)^2)*(I358*0.3048)))))*0.0011023),0)</f>
        <v>#N/A</v>
      </c>
      <c r="AD358" s="104" t="e">
        <f t="shared" si="193"/>
        <v>#N/A</v>
      </c>
      <c r="AE358" s="104" t="e">
        <f t="shared" si="194"/>
        <v>#N/A</v>
      </c>
      <c r="AF358" s="104" t="e">
        <f>IF(AND(VLOOKUP($D358,Merchantability!$B:$C,2,0)="Yes",$E358&gt;=VLOOKUP($D358,Merchantability!$B:$D,3,0),$E358&lt;=VLOOKUP($D358,Merchantability!$B:$E,4,0)),AA358,0)</f>
        <v>#N/A</v>
      </c>
      <c r="AG358" s="104" t="e">
        <f>IF(AND(VLOOKUP($D358,Merchantability!$B:$C,2,0)="Yes",$E358&gt;=VLOOKUP($D358,Merchantability!$B:$D,3,0),$E358&lt;=VLOOKUP($D358,Merchantability!$B:$E,4,0)),AB358,0)</f>
        <v>#N/A</v>
      </c>
      <c r="AH358" s="104" t="e">
        <f>IF(AND(VLOOKUP($D358,Merchantability!$B:$C,2,0)="Yes",$E358&gt;=VLOOKUP($D358,Merchantability!$B:$D,3,0),$E358&lt;=VLOOKUP($D358,Merchantability!$B:$E,4,0)),AC358,0)</f>
        <v>#N/A</v>
      </c>
      <c r="AI358" s="104" t="e">
        <f t="shared" si="195"/>
        <v>#N/A</v>
      </c>
      <c r="AJ358" s="104" t="e">
        <f t="shared" si="196"/>
        <v>#VALUE!</v>
      </c>
      <c r="AK358" s="104" t="e">
        <f t="shared" si="197"/>
        <v>#N/A</v>
      </c>
      <c r="AL358" s="104" t="e">
        <f t="shared" si="198"/>
        <v>#N/A</v>
      </c>
      <c r="AM358" s="104" t="e">
        <f t="shared" si="199"/>
        <v>#N/A</v>
      </c>
      <c r="AN358" s="104" t="e">
        <f t="shared" si="183"/>
        <v>#N/A</v>
      </c>
      <c r="AO358" s="104" t="e">
        <f t="shared" si="184"/>
        <v>#N/A</v>
      </c>
      <c r="AP358" s="104" t="e">
        <f t="shared" si="185"/>
        <v>#N/A</v>
      </c>
      <c r="AQ358" s="104" t="e">
        <f t="shared" si="186"/>
        <v>#N/A</v>
      </c>
      <c r="AR358" s="105" t="str">
        <f t="shared" si="178"/>
        <v/>
      </c>
      <c r="AS358" s="105" t="str">
        <f t="shared" si="179"/>
        <v/>
      </c>
      <c r="AT358" s="108" t="str">
        <f t="shared" si="180"/>
        <v/>
      </c>
      <c r="AU358" s="108" t="str">
        <f t="shared" si="181"/>
        <v/>
      </c>
      <c r="AV358" s="107" t="str">
        <f>IF(ISNUMBER(O358),IF(VLOOKUP($A358,Stand!C:J,8,FALSE)="Short",AT358,AU358),"")</f>
        <v/>
      </c>
      <c r="AW358" s="109" t="str">
        <f t="shared" si="187"/>
        <v/>
      </c>
      <c r="AX358" s="109" t="str">
        <f t="shared" si="188"/>
        <v/>
      </c>
      <c r="AY358" s="112" t="str">
        <f>IF(ISNUMBER(O358),IF(AND(VLOOKUP($D358,Merchantability!$B:$C,2,0)="Yes",$E358&gt;=VLOOKUP($D358,Merchantability!$B:$D,3,0),$E358&lt;=VLOOKUP($D358,Merchantability!$B:$E,4,0)),(AV358*O358)*(1-$H358/100),""),"")</f>
        <v/>
      </c>
      <c r="AZ358" s="116"/>
      <c r="BA358" s="116"/>
      <c r="BB358" s="116"/>
      <c r="BE358" s="62"/>
      <c r="BF358" s="63"/>
    </row>
    <row r="359" spans="1:58" ht="12.75" customHeight="1" x14ac:dyDescent="0.25">
      <c r="A359" s="313"/>
      <c r="B359" s="380"/>
      <c r="C359" s="381"/>
      <c r="D359" s="380"/>
      <c r="E359" s="382"/>
      <c r="F359" s="331"/>
      <c r="G359" s="329"/>
      <c r="H359" s="329"/>
      <c r="I359" s="380"/>
      <c r="J359" s="381"/>
      <c r="K359" s="329"/>
      <c r="L359" s="329"/>
      <c r="M359" s="76"/>
      <c r="N359" s="103" t="str">
        <f>IF(A359="","",VLOOKUP(A359,Stand!C:K,9,0))</f>
        <v/>
      </c>
      <c r="O359" s="104" t="str">
        <f t="shared" si="173"/>
        <v/>
      </c>
      <c r="P359" s="105" t="str">
        <f t="shared" si="174"/>
        <v/>
      </c>
      <c r="Q359" s="105" t="str">
        <f t="shared" si="189"/>
        <v/>
      </c>
      <c r="R359" s="103" t="str">
        <f t="shared" si="175"/>
        <v/>
      </c>
      <c r="S359" s="103" t="str">
        <f t="shared" si="176"/>
        <v/>
      </c>
      <c r="T359" s="106" t="str">
        <f t="shared" si="190"/>
        <v/>
      </c>
      <c r="U359" s="106" t="str">
        <f t="shared" si="191"/>
        <v/>
      </c>
      <c r="V359" s="106" t="str">
        <f t="shared" si="192"/>
        <v/>
      </c>
      <c r="W359" s="105" t="str">
        <f t="shared" si="177"/>
        <v/>
      </c>
      <c r="X359" s="104" t="str">
        <f t="shared" si="182"/>
        <v/>
      </c>
      <c r="Y359" s="104" t="str">
        <f t="array" ref="Y359">IFERROR(IF(ISNUMBER(O359),IF(COUNT(IF(A359=$A$2:$A$2427,IF(D359=$D$2:$D$2427,IF($X$2:$X$2427&gt;0,1))))&gt;0,SUM(IF(A359=$A$2:$A$2427,IF(D359=$D$2:$D$2427,$X$2:$X$2427)))/COUNT(IF(A359=$A$2:$A$2427,IF(D359=$D$2:$D$2427,IF(ISNUMBER($X$2:$X$2427),1)))),0),""),0)</f>
        <v/>
      </c>
      <c r="Z359" s="104" t="str">
        <f>IF(ISNUMBER(O359),IF(I359&gt;0,(10^(VLOOKUP(D359,'Species Codes'!B:C,2,0)+VLOOKUP(D359,'Species Codes'!B:D,3,0)*LOG(E359)+VLOOKUP(D359,'Species Codes'!B:E,4,0)*LOG(I359))),0),"")</f>
        <v/>
      </c>
      <c r="AA359" s="104" t="str">
        <f>IFERROR((VLOOKUP(D359,'Species Codes'!B:G,6,0)*Z359)/2000,"")</f>
        <v/>
      </c>
      <c r="AB359" s="104" t="e">
        <f>IF(Z359&gt;0,((IF(OR(D359="DF",D359="RA")=TRUE,EXP(VLOOKUP(D359,'Species Codes'!B:I,8,0)+VLOOKUP(D359,'Species Codes'!B:J,9,0)*(LN((E359*2.54)))),IF(OR(D359="PY",D359="RC",D359="WH",D359="NF")=TRUE,VLOOKUP(D359,'Species Codes'!B:I,8,0)+VLOOKUP(D359,'Species Codes'!B:J,9,0)*((E359*2.54)^2)*(I359*0.3048),IF(OR(D359="MD",D359="BM",D359="GA")=TRUE,((VLOOKUP(D359,'Species Codes'!B:I,8,0)*(((((E359*2.54)+VLOOKUP(D359,'Species Codes'!B:J,9,0))/VLOOKUP(D359,'Species Codes'!B:K,10,0))^VLOOKUP(D359,'Species Codes'!B:L,11,0))*((I359*0.3048)^VLOOKUP(D359,'Species Codes'!B:M,12,0))))-(VLOOKUP(D359,'Species Codes'!B:I,8,0)*((((E359*2.54)^VLOOKUP(D359,'Species Codes'!B:L,11,0))*((I359*0.3048)^VLOOKUP(D359,'Species Codes'!B:M,12,0))))))*35.3*VLOOKUP(D359,'Species Codes'!B:G,6,0)/2.2046,VLOOKUP(D359,'Species Codes'!B:I,8,0)+VLOOKUP(D359,'Species Codes'!B:J,9,0)*(((E359*2.54)/100)^2)*(I359*0.3048)))))*0.0011023),0)</f>
        <v>#N/A</v>
      </c>
      <c r="AC359" s="104" t="e">
        <f>IF(Z359&gt;0,((IF(OR(D359="RA",D359="OA",D359="OT",D359="UN",D359="PC"),EXP(VLOOKUP(D359,'Species Codes'!B:O,14,0)+VLOOKUP(D359,'Species Codes'!B:P,15,0)*LN((E359*2.54)))-EXP(VLOOKUP(D359,'Species Codes'!B:O,14,0)+VLOOKUP(D359,'Species Codes'!B:P,15,0)*LN((E359*2.54)))*(1/(VLOOKUP(D359,'Species Codes'!B:Q,16,0)+VLOOKUP(D359,'Species Codes'!B:R,17,0)*((E359*2.54)^VLOOKUP(D359,'Species Codes'!B:S,18,0)))),IF(OR(D359="BM",D359="MD",D359="OA"),EXP(VLOOKUP(D359,'Species Codes'!B:O,14,0)+VLOOKUP(D359,'Species Codes'!B:P,15,0)*LN((E359*2.54)))*(1-(1/(VLOOKUP(D359,'Species Codes'!B:Q,16,0)+VLOOKUP(D359,'Species Codes'!B:R,17,0)*((E359*2.54)^VLOOKUP(D359,'Species Codes'!B:S,18,0)))))/1000,IF(D359="DF",EXP(VLOOKUP(D359,'Species Codes'!B:O,14,0)+VLOOKUP(D359,'Species Codes'!B:P,15,0)*LN((E359*2.54))),VLOOKUP(D359,'Species Codes'!B:O,14,0)+VLOOKUP(D359,'Species Codes'!B:P,15,0)*(((E359*2.54)/100)^2)*(I359*0.3048)))))*0.0011023),0)</f>
        <v>#N/A</v>
      </c>
      <c r="AD359" s="104" t="e">
        <f t="shared" si="193"/>
        <v>#N/A</v>
      </c>
      <c r="AE359" s="104" t="e">
        <f t="shared" si="194"/>
        <v>#N/A</v>
      </c>
      <c r="AF359" s="104" t="e">
        <f>IF(AND(VLOOKUP($D359,Merchantability!$B:$C,2,0)="Yes",$E359&gt;=VLOOKUP($D359,Merchantability!$B:$D,3,0),$E359&lt;=VLOOKUP($D359,Merchantability!$B:$E,4,0)),AA359,0)</f>
        <v>#N/A</v>
      </c>
      <c r="AG359" s="104" t="e">
        <f>IF(AND(VLOOKUP($D359,Merchantability!$B:$C,2,0)="Yes",$E359&gt;=VLOOKUP($D359,Merchantability!$B:$D,3,0),$E359&lt;=VLOOKUP($D359,Merchantability!$B:$E,4,0)),AB359,0)</f>
        <v>#N/A</v>
      </c>
      <c r="AH359" s="104" t="e">
        <f>IF(AND(VLOOKUP($D359,Merchantability!$B:$C,2,0)="Yes",$E359&gt;=VLOOKUP($D359,Merchantability!$B:$D,3,0),$E359&lt;=VLOOKUP($D359,Merchantability!$B:$E,4,0)),AC359,0)</f>
        <v>#N/A</v>
      </c>
      <c r="AI359" s="104" t="e">
        <f t="shared" si="195"/>
        <v>#N/A</v>
      </c>
      <c r="AJ359" s="104" t="e">
        <f t="shared" si="196"/>
        <v>#VALUE!</v>
      </c>
      <c r="AK359" s="104" t="e">
        <f t="shared" si="197"/>
        <v>#N/A</v>
      </c>
      <c r="AL359" s="104" t="e">
        <f t="shared" si="198"/>
        <v>#N/A</v>
      </c>
      <c r="AM359" s="104" t="e">
        <f t="shared" si="199"/>
        <v>#N/A</v>
      </c>
      <c r="AN359" s="104" t="e">
        <f t="shared" si="183"/>
        <v>#N/A</v>
      </c>
      <c r="AO359" s="104" t="e">
        <f t="shared" si="184"/>
        <v>#N/A</v>
      </c>
      <c r="AP359" s="104" t="e">
        <f t="shared" si="185"/>
        <v>#N/A</v>
      </c>
      <c r="AQ359" s="104" t="e">
        <f t="shared" si="186"/>
        <v>#N/A</v>
      </c>
      <c r="AR359" s="105" t="str">
        <f t="shared" si="178"/>
        <v/>
      </c>
      <c r="AS359" s="105" t="str">
        <f t="shared" si="179"/>
        <v/>
      </c>
      <c r="AT359" s="108" t="str">
        <f t="shared" si="180"/>
        <v/>
      </c>
      <c r="AU359" s="108" t="str">
        <f t="shared" si="181"/>
        <v/>
      </c>
      <c r="AV359" s="107" t="str">
        <f>IF(ISNUMBER(O359),IF(VLOOKUP($A359,Stand!C:J,8,FALSE)="Short",AT359,AU359),"")</f>
        <v/>
      </c>
      <c r="AW359" s="109" t="str">
        <f t="shared" si="187"/>
        <v/>
      </c>
      <c r="AX359" s="109" t="str">
        <f t="shared" si="188"/>
        <v/>
      </c>
      <c r="AY359" s="112" t="str">
        <f>IF(ISNUMBER(O359),IF(AND(VLOOKUP($D359,Merchantability!$B:$C,2,0)="Yes",$E359&gt;=VLOOKUP($D359,Merchantability!$B:$D,3,0),$E359&lt;=VLOOKUP($D359,Merchantability!$B:$E,4,0)),(AV359*O359)*(1-$H359/100),""),"")</f>
        <v/>
      </c>
      <c r="AZ359" s="116"/>
      <c r="BA359" s="116"/>
      <c r="BB359" s="116"/>
      <c r="BE359" s="62"/>
      <c r="BF359" s="63"/>
    </row>
    <row r="360" spans="1:58" ht="12.75" customHeight="1" x14ac:dyDescent="0.25">
      <c r="A360" s="313"/>
      <c r="B360" s="380"/>
      <c r="C360" s="381"/>
      <c r="D360" s="380"/>
      <c r="E360" s="382"/>
      <c r="F360" s="331"/>
      <c r="G360" s="329"/>
      <c r="H360" s="329"/>
      <c r="I360" s="380"/>
      <c r="J360" s="381"/>
      <c r="K360" s="329"/>
      <c r="L360" s="329"/>
      <c r="M360" s="76"/>
      <c r="N360" s="103" t="str">
        <f>IF(A360="","",VLOOKUP(A360,Stand!C:K,9,0))</f>
        <v/>
      </c>
      <c r="O360" s="104" t="str">
        <f t="shared" si="173"/>
        <v/>
      </c>
      <c r="P360" s="105" t="str">
        <f t="shared" si="174"/>
        <v/>
      </c>
      <c r="Q360" s="105" t="str">
        <f t="shared" si="189"/>
        <v/>
      </c>
      <c r="R360" s="103" t="str">
        <f t="shared" si="175"/>
        <v/>
      </c>
      <c r="S360" s="103" t="str">
        <f t="shared" si="176"/>
        <v/>
      </c>
      <c r="T360" s="106" t="str">
        <f t="shared" si="190"/>
        <v/>
      </c>
      <c r="U360" s="106" t="str">
        <f t="shared" si="191"/>
        <v/>
      </c>
      <c r="V360" s="106" t="str">
        <f t="shared" si="192"/>
        <v/>
      </c>
      <c r="W360" s="105" t="str">
        <f t="shared" si="177"/>
        <v/>
      </c>
      <c r="X360" s="104" t="str">
        <f t="shared" si="182"/>
        <v/>
      </c>
      <c r="Y360" s="104" t="str">
        <f t="array" ref="Y360">IFERROR(IF(ISNUMBER(O360),IF(COUNT(IF(A360=$A$2:$A$2427,IF(D360=$D$2:$D$2427,IF($X$2:$X$2427&gt;0,1))))&gt;0,SUM(IF(A360=$A$2:$A$2427,IF(D360=$D$2:$D$2427,$X$2:$X$2427)))/COUNT(IF(A360=$A$2:$A$2427,IF(D360=$D$2:$D$2427,IF(ISNUMBER($X$2:$X$2427),1)))),0),""),0)</f>
        <v/>
      </c>
      <c r="Z360" s="104" t="str">
        <f>IF(ISNUMBER(O360),IF(I360&gt;0,(10^(VLOOKUP(D360,'Species Codes'!B:C,2,0)+VLOOKUP(D360,'Species Codes'!B:D,3,0)*LOG(E360)+VLOOKUP(D360,'Species Codes'!B:E,4,0)*LOG(I360))),0),"")</f>
        <v/>
      </c>
      <c r="AA360" s="104" t="str">
        <f>IFERROR((VLOOKUP(D360,'Species Codes'!B:G,6,0)*Z360)/2000,"")</f>
        <v/>
      </c>
      <c r="AB360" s="104" t="e">
        <f>IF(Z360&gt;0,((IF(OR(D360="DF",D360="RA")=TRUE,EXP(VLOOKUP(D360,'Species Codes'!B:I,8,0)+VLOOKUP(D360,'Species Codes'!B:J,9,0)*(LN((E360*2.54)))),IF(OR(D360="PY",D360="RC",D360="WH",D360="NF")=TRUE,VLOOKUP(D360,'Species Codes'!B:I,8,0)+VLOOKUP(D360,'Species Codes'!B:J,9,0)*((E360*2.54)^2)*(I360*0.3048),IF(OR(D360="MD",D360="BM",D360="GA")=TRUE,((VLOOKUP(D360,'Species Codes'!B:I,8,0)*(((((E360*2.54)+VLOOKUP(D360,'Species Codes'!B:J,9,0))/VLOOKUP(D360,'Species Codes'!B:K,10,0))^VLOOKUP(D360,'Species Codes'!B:L,11,0))*((I360*0.3048)^VLOOKUP(D360,'Species Codes'!B:M,12,0))))-(VLOOKUP(D360,'Species Codes'!B:I,8,0)*((((E360*2.54)^VLOOKUP(D360,'Species Codes'!B:L,11,0))*((I360*0.3048)^VLOOKUP(D360,'Species Codes'!B:M,12,0))))))*35.3*VLOOKUP(D360,'Species Codes'!B:G,6,0)/2.2046,VLOOKUP(D360,'Species Codes'!B:I,8,0)+VLOOKUP(D360,'Species Codes'!B:J,9,0)*(((E360*2.54)/100)^2)*(I360*0.3048)))))*0.0011023),0)</f>
        <v>#N/A</v>
      </c>
      <c r="AC360" s="104" t="e">
        <f>IF(Z360&gt;0,((IF(OR(D360="RA",D360="OA",D360="OT",D360="UN",D360="PC"),EXP(VLOOKUP(D360,'Species Codes'!B:O,14,0)+VLOOKUP(D360,'Species Codes'!B:P,15,0)*LN((E360*2.54)))-EXP(VLOOKUP(D360,'Species Codes'!B:O,14,0)+VLOOKUP(D360,'Species Codes'!B:P,15,0)*LN((E360*2.54)))*(1/(VLOOKUP(D360,'Species Codes'!B:Q,16,0)+VLOOKUP(D360,'Species Codes'!B:R,17,0)*((E360*2.54)^VLOOKUP(D360,'Species Codes'!B:S,18,0)))),IF(OR(D360="BM",D360="MD",D360="OA"),EXP(VLOOKUP(D360,'Species Codes'!B:O,14,0)+VLOOKUP(D360,'Species Codes'!B:P,15,0)*LN((E360*2.54)))*(1-(1/(VLOOKUP(D360,'Species Codes'!B:Q,16,0)+VLOOKUP(D360,'Species Codes'!B:R,17,0)*((E360*2.54)^VLOOKUP(D360,'Species Codes'!B:S,18,0)))))/1000,IF(D360="DF",EXP(VLOOKUP(D360,'Species Codes'!B:O,14,0)+VLOOKUP(D360,'Species Codes'!B:P,15,0)*LN((E360*2.54))),VLOOKUP(D360,'Species Codes'!B:O,14,0)+VLOOKUP(D360,'Species Codes'!B:P,15,0)*(((E360*2.54)/100)^2)*(I360*0.3048)))))*0.0011023),0)</f>
        <v>#N/A</v>
      </c>
      <c r="AD360" s="104" t="e">
        <f t="shared" si="193"/>
        <v>#N/A</v>
      </c>
      <c r="AE360" s="104" t="e">
        <f t="shared" si="194"/>
        <v>#N/A</v>
      </c>
      <c r="AF360" s="104" t="e">
        <f>IF(AND(VLOOKUP($D360,Merchantability!$B:$C,2,0)="Yes",$E360&gt;=VLOOKUP($D360,Merchantability!$B:$D,3,0),$E360&lt;=VLOOKUP($D360,Merchantability!$B:$E,4,0)),AA360,0)</f>
        <v>#N/A</v>
      </c>
      <c r="AG360" s="104" t="e">
        <f>IF(AND(VLOOKUP($D360,Merchantability!$B:$C,2,0)="Yes",$E360&gt;=VLOOKUP($D360,Merchantability!$B:$D,3,0),$E360&lt;=VLOOKUP($D360,Merchantability!$B:$E,4,0)),AB360,0)</f>
        <v>#N/A</v>
      </c>
      <c r="AH360" s="104" t="e">
        <f>IF(AND(VLOOKUP($D360,Merchantability!$B:$C,2,0)="Yes",$E360&gt;=VLOOKUP($D360,Merchantability!$B:$D,3,0),$E360&lt;=VLOOKUP($D360,Merchantability!$B:$E,4,0)),AC360,0)</f>
        <v>#N/A</v>
      </c>
      <c r="AI360" s="104" t="e">
        <f t="shared" si="195"/>
        <v>#N/A</v>
      </c>
      <c r="AJ360" s="104" t="e">
        <f t="shared" si="196"/>
        <v>#VALUE!</v>
      </c>
      <c r="AK360" s="104" t="e">
        <f t="shared" si="197"/>
        <v>#N/A</v>
      </c>
      <c r="AL360" s="104" t="e">
        <f t="shared" si="198"/>
        <v>#N/A</v>
      </c>
      <c r="AM360" s="104" t="e">
        <f t="shared" si="199"/>
        <v>#N/A</v>
      </c>
      <c r="AN360" s="104" t="e">
        <f t="shared" si="183"/>
        <v>#N/A</v>
      </c>
      <c r="AO360" s="104" t="e">
        <f t="shared" si="184"/>
        <v>#N/A</v>
      </c>
      <c r="AP360" s="104" t="e">
        <f t="shared" si="185"/>
        <v>#N/A</v>
      </c>
      <c r="AQ360" s="104" t="e">
        <f t="shared" si="186"/>
        <v>#N/A</v>
      </c>
      <c r="AR360" s="105" t="str">
        <f t="shared" si="178"/>
        <v/>
      </c>
      <c r="AS360" s="105" t="str">
        <f t="shared" si="179"/>
        <v/>
      </c>
      <c r="AT360" s="108" t="str">
        <f t="shared" si="180"/>
        <v/>
      </c>
      <c r="AU360" s="108" t="str">
        <f t="shared" si="181"/>
        <v/>
      </c>
      <c r="AV360" s="107" t="str">
        <f>IF(ISNUMBER(O360),IF(VLOOKUP($A360,Stand!C:J,8,FALSE)="Short",AT360,AU360),"")</f>
        <v/>
      </c>
      <c r="AW360" s="109" t="str">
        <f t="shared" si="187"/>
        <v/>
      </c>
      <c r="AX360" s="109" t="str">
        <f t="shared" si="188"/>
        <v/>
      </c>
      <c r="AY360" s="112" t="str">
        <f>IF(ISNUMBER(O360),IF(AND(VLOOKUP($D360,Merchantability!$B:$C,2,0)="Yes",$E360&gt;=VLOOKUP($D360,Merchantability!$B:$D,3,0),$E360&lt;=VLOOKUP($D360,Merchantability!$B:$E,4,0)),(AV360*O360)*(1-$H360/100),""),"")</f>
        <v/>
      </c>
      <c r="AZ360" s="116"/>
      <c r="BA360" s="116"/>
      <c r="BB360" s="116"/>
      <c r="BE360" s="62"/>
      <c r="BF360" s="63"/>
    </row>
    <row r="361" spans="1:58" ht="12.75" customHeight="1" x14ac:dyDescent="0.25">
      <c r="A361" s="313"/>
      <c r="B361" s="380"/>
      <c r="C361" s="381"/>
      <c r="D361" s="380"/>
      <c r="E361" s="382"/>
      <c r="F361" s="331"/>
      <c r="G361" s="329"/>
      <c r="H361" s="329"/>
      <c r="I361" s="380"/>
      <c r="J361" s="381"/>
      <c r="K361" s="329"/>
      <c r="L361" s="329"/>
      <c r="M361" s="76"/>
      <c r="N361" s="103" t="str">
        <f>IF(A361="","",VLOOKUP(A361,Stand!C:K,9,0))</f>
        <v/>
      </c>
      <c r="O361" s="104" t="str">
        <f t="shared" si="173"/>
        <v/>
      </c>
      <c r="P361" s="105" t="str">
        <f t="shared" si="174"/>
        <v/>
      </c>
      <c r="Q361" s="105" t="str">
        <f t="shared" si="189"/>
        <v/>
      </c>
      <c r="R361" s="103" t="str">
        <f t="shared" si="175"/>
        <v/>
      </c>
      <c r="S361" s="103" t="str">
        <f t="shared" si="176"/>
        <v/>
      </c>
      <c r="T361" s="106" t="str">
        <f t="shared" si="190"/>
        <v/>
      </c>
      <c r="U361" s="106" t="str">
        <f t="shared" si="191"/>
        <v/>
      </c>
      <c r="V361" s="106" t="str">
        <f t="shared" si="192"/>
        <v/>
      </c>
      <c r="W361" s="105" t="str">
        <f t="shared" si="177"/>
        <v/>
      </c>
      <c r="X361" s="104" t="str">
        <f t="shared" si="182"/>
        <v/>
      </c>
      <c r="Y361" s="104" t="str">
        <f t="array" ref="Y361">IFERROR(IF(ISNUMBER(O361),IF(COUNT(IF(A361=$A$2:$A$2427,IF(D361=$D$2:$D$2427,IF($X$2:$X$2427&gt;0,1))))&gt;0,SUM(IF(A361=$A$2:$A$2427,IF(D361=$D$2:$D$2427,$X$2:$X$2427)))/COUNT(IF(A361=$A$2:$A$2427,IF(D361=$D$2:$D$2427,IF(ISNUMBER($X$2:$X$2427),1)))),0),""),0)</f>
        <v/>
      </c>
      <c r="Z361" s="104" t="str">
        <f>IF(ISNUMBER(O361),IF(I361&gt;0,(10^(VLOOKUP(D361,'Species Codes'!B:C,2,0)+VLOOKUP(D361,'Species Codes'!B:D,3,0)*LOG(E361)+VLOOKUP(D361,'Species Codes'!B:E,4,0)*LOG(I361))),0),"")</f>
        <v/>
      </c>
      <c r="AA361" s="104" t="str">
        <f>IFERROR((VLOOKUP(D361,'Species Codes'!B:G,6,0)*Z361)/2000,"")</f>
        <v/>
      </c>
      <c r="AB361" s="104" t="e">
        <f>IF(Z361&gt;0,((IF(OR(D361="DF",D361="RA")=TRUE,EXP(VLOOKUP(D361,'Species Codes'!B:I,8,0)+VLOOKUP(D361,'Species Codes'!B:J,9,0)*(LN((E361*2.54)))),IF(OR(D361="PY",D361="RC",D361="WH",D361="NF")=TRUE,VLOOKUP(D361,'Species Codes'!B:I,8,0)+VLOOKUP(D361,'Species Codes'!B:J,9,0)*((E361*2.54)^2)*(I361*0.3048),IF(OR(D361="MD",D361="BM",D361="GA")=TRUE,((VLOOKUP(D361,'Species Codes'!B:I,8,0)*(((((E361*2.54)+VLOOKUP(D361,'Species Codes'!B:J,9,0))/VLOOKUP(D361,'Species Codes'!B:K,10,0))^VLOOKUP(D361,'Species Codes'!B:L,11,0))*((I361*0.3048)^VLOOKUP(D361,'Species Codes'!B:M,12,0))))-(VLOOKUP(D361,'Species Codes'!B:I,8,0)*((((E361*2.54)^VLOOKUP(D361,'Species Codes'!B:L,11,0))*((I361*0.3048)^VLOOKUP(D361,'Species Codes'!B:M,12,0))))))*35.3*VLOOKUP(D361,'Species Codes'!B:G,6,0)/2.2046,VLOOKUP(D361,'Species Codes'!B:I,8,0)+VLOOKUP(D361,'Species Codes'!B:J,9,0)*(((E361*2.54)/100)^2)*(I361*0.3048)))))*0.0011023),0)</f>
        <v>#N/A</v>
      </c>
      <c r="AC361" s="104" t="e">
        <f>IF(Z361&gt;0,((IF(OR(D361="RA",D361="OA",D361="OT",D361="UN",D361="PC"),EXP(VLOOKUP(D361,'Species Codes'!B:O,14,0)+VLOOKUP(D361,'Species Codes'!B:P,15,0)*LN((E361*2.54)))-EXP(VLOOKUP(D361,'Species Codes'!B:O,14,0)+VLOOKUP(D361,'Species Codes'!B:P,15,0)*LN((E361*2.54)))*(1/(VLOOKUP(D361,'Species Codes'!B:Q,16,0)+VLOOKUP(D361,'Species Codes'!B:R,17,0)*((E361*2.54)^VLOOKUP(D361,'Species Codes'!B:S,18,0)))),IF(OR(D361="BM",D361="MD",D361="OA"),EXP(VLOOKUP(D361,'Species Codes'!B:O,14,0)+VLOOKUP(D361,'Species Codes'!B:P,15,0)*LN((E361*2.54)))*(1-(1/(VLOOKUP(D361,'Species Codes'!B:Q,16,0)+VLOOKUP(D361,'Species Codes'!B:R,17,0)*((E361*2.54)^VLOOKUP(D361,'Species Codes'!B:S,18,0)))))/1000,IF(D361="DF",EXP(VLOOKUP(D361,'Species Codes'!B:O,14,0)+VLOOKUP(D361,'Species Codes'!B:P,15,0)*LN((E361*2.54))),VLOOKUP(D361,'Species Codes'!B:O,14,0)+VLOOKUP(D361,'Species Codes'!B:P,15,0)*(((E361*2.54)/100)^2)*(I361*0.3048)))))*0.0011023),0)</f>
        <v>#N/A</v>
      </c>
      <c r="AD361" s="104" t="e">
        <f t="shared" si="193"/>
        <v>#N/A</v>
      </c>
      <c r="AE361" s="104" t="e">
        <f t="shared" si="194"/>
        <v>#N/A</v>
      </c>
      <c r="AF361" s="104" t="e">
        <f>IF(AND(VLOOKUP($D361,Merchantability!$B:$C,2,0)="Yes",$E361&gt;=VLOOKUP($D361,Merchantability!$B:$D,3,0),$E361&lt;=VLOOKUP($D361,Merchantability!$B:$E,4,0)),AA361,0)</f>
        <v>#N/A</v>
      </c>
      <c r="AG361" s="104" t="e">
        <f>IF(AND(VLOOKUP($D361,Merchantability!$B:$C,2,0)="Yes",$E361&gt;=VLOOKUP($D361,Merchantability!$B:$D,3,0),$E361&lt;=VLOOKUP($D361,Merchantability!$B:$E,4,0)),AB361,0)</f>
        <v>#N/A</v>
      </c>
      <c r="AH361" s="104" t="e">
        <f>IF(AND(VLOOKUP($D361,Merchantability!$B:$C,2,0)="Yes",$E361&gt;=VLOOKUP($D361,Merchantability!$B:$D,3,0),$E361&lt;=VLOOKUP($D361,Merchantability!$B:$E,4,0)),AC361,0)</f>
        <v>#N/A</v>
      </c>
      <c r="AI361" s="104" t="e">
        <f t="shared" si="195"/>
        <v>#N/A</v>
      </c>
      <c r="AJ361" s="104" t="e">
        <f t="shared" si="196"/>
        <v>#VALUE!</v>
      </c>
      <c r="AK361" s="104" t="e">
        <f t="shared" si="197"/>
        <v>#N/A</v>
      </c>
      <c r="AL361" s="104" t="e">
        <f t="shared" si="198"/>
        <v>#N/A</v>
      </c>
      <c r="AM361" s="104" t="e">
        <f t="shared" si="199"/>
        <v>#N/A</v>
      </c>
      <c r="AN361" s="104" t="e">
        <f t="shared" si="183"/>
        <v>#N/A</v>
      </c>
      <c r="AO361" s="104" t="e">
        <f t="shared" si="184"/>
        <v>#N/A</v>
      </c>
      <c r="AP361" s="104" t="e">
        <f t="shared" si="185"/>
        <v>#N/A</v>
      </c>
      <c r="AQ361" s="104" t="e">
        <f t="shared" si="186"/>
        <v>#N/A</v>
      </c>
      <c r="AR361" s="105" t="str">
        <f t="shared" si="178"/>
        <v/>
      </c>
      <c r="AS361" s="105" t="str">
        <f t="shared" si="179"/>
        <v/>
      </c>
      <c r="AT361" s="108" t="str">
        <f t="shared" si="180"/>
        <v/>
      </c>
      <c r="AU361" s="108" t="str">
        <f t="shared" si="181"/>
        <v/>
      </c>
      <c r="AV361" s="107" t="str">
        <f>IF(ISNUMBER(O361),IF(VLOOKUP($A361,Stand!C:J,8,FALSE)="Short",AT361,AU361),"")</f>
        <v/>
      </c>
      <c r="AW361" s="109" t="str">
        <f t="shared" si="187"/>
        <v/>
      </c>
      <c r="AX361" s="109" t="str">
        <f t="shared" si="188"/>
        <v/>
      </c>
      <c r="AY361" s="112" t="str">
        <f>IF(ISNUMBER(O361),IF(AND(VLOOKUP($D361,Merchantability!$B:$C,2,0)="Yes",$E361&gt;=VLOOKUP($D361,Merchantability!$B:$D,3,0),$E361&lt;=VLOOKUP($D361,Merchantability!$B:$E,4,0)),(AV361*O361)*(1-$H361/100),""),"")</f>
        <v/>
      </c>
      <c r="AZ361" s="116"/>
      <c r="BA361" s="116"/>
      <c r="BB361" s="116"/>
      <c r="BE361" s="62"/>
      <c r="BF361" s="63"/>
    </row>
    <row r="362" spans="1:58" ht="12.75" customHeight="1" x14ac:dyDescent="0.25">
      <c r="A362" s="313"/>
      <c r="B362" s="380"/>
      <c r="C362" s="381"/>
      <c r="D362" s="380"/>
      <c r="E362" s="382"/>
      <c r="F362" s="331"/>
      <c r="G362" s="329"/>
      <c r="H362" s="329"/>
      <c r="I362" s="380"/>
      <c r="J362" s="381"/>
      <c r="K362" s="329"/>
      <c r="L362" s="329"/>
      <c r="M362" s="76"/>
      <c r="N362" s="103" t="str">
        <f>IF(A362="","",VLOOKUP(A362,Stand!C:K,9,0))</f>
        <v/>
      </c>
      <c r="O362" s="104" t="str">
        <f t="shared" si="173"/>
        <v/>
      </c>
      <c r="P362" s="105" t="str">
        <f t="shared" si="174"/>
        <v/>
      </c>
      <c r="Q362" s="105" t="str">
        <f t="shared" si="189"/>
        <v/>
      </c>
      <c r="R362" s="103" t="str">
        <f t="shared" si="175"/>
        <v/>
      </c>
      <c r="S362" s="103" t="str">
        <f t="shared" si="176"/>
        <v/>
      </c>
      <c r="T362" s="106" t="str">
        <f t="shared" si="190"/>
        <v/>
      </c>
      <c r="U362" s="106" t="str">
        <f t="shared" si="191"/>
        <v/>
      </c>
      <c r="V362" s="106" t="str">
        <f t="shared" si="192"/>
        <v/>
      </c>
      <c r="W362" s="105" t="str">
        <f t="shared" si="177"/>
        <v/>
      </c>
      <c r="X362" s="104" t="str">
        <f t="shared" si="182"/>
        <v/>
      </c>
      <c r="Y362" s="104" t="str">
        <f t="array" ref="Y362">IFERROR(IF(ISNUMBER(O362),IF(COUNT(IF(A362=$A$2:$A$2427,IF(D362=$D$2:$D$2427,IF($X$2:$X$2427&gt;0,1))))&gt;0,SUM(IF(A362=$A$2:$A$2427,IF(D362=$D$2:$D$2427,$X$2:$X$2427)))/COUNT(IF(A362=$A$2:$A$2427,IF(D362=$D$2:$D$2427,IF(ISNUMBER($X$2:$X$2427),1)))),0),""),0)</f>
        <v/>
      </c>
      <c r="Z362" s="104" t="str">
        <f>IF(ISNUMBER(O362),IF(I362&gt;0,(10^(VLOOKUP(D362,'Species Codes'!B:C,2,0)+VLOOKUP(D362,'Species Codes'!B:D,3,0)*LOG(E362)+VLOOKUP(D362,'Species Codes'!B:E,4,0)*LOG(I362))),0),"")</f>
        <v/>
      </c>
      <c r="AA362" s="104" t="str">
        <f>IFERROR((VLOOKUP(D362,'Species Codes'!B:G,6,0)*Z362)/2000,"")</f>
        <v/>
      </c>
      <c r="AB362" s="104" t="e">
        <f>IF(Z362&gt;0,((IF(OR(D362="DF",D362="RA")=TRUE,EXP(VLOOKUP(D362,'Species Codes'!B:I,8,0)+VLOOKUP(D362,'Species Codes'!B:J,9,0)*(LN((E362*2.54)))),IF(OR(D362="PY",D362="RC",D362="WH",D362="NF")=TRUE,VLOOKUP(D362,'Species Codes'!B:I,8,0)+VLOOKUP(D362,'Species Codes'!B:J,9,0)*((E362*2.54)^2)*(I362*0.3048),IF(OR(D362="MD",D362="BM",D362="GA")=TRUE,((VLOOKUP(D362,'Species Codes'!B:I,8,0)*(((((E362*2.54)+VLOOKUP(D362,'Species Codes'!B:J,9,0))/VLOOKUP(D362,'Species Codes'!B:K,10,0))^VLOOKUP(D362,'Species Codes'!B:L,11,0))*((I362*0.3048)^VLOOKUP(D362,'Species Codes'!B:M,12,0))))-(VLOOKUP(D362,'Species Codes'!B:I,8,0)*((((E362*2.54)^VLOOKUP(D362,'Species Codes'!B:L,11,0))*((I362*0.3048)^VLOOKUP(D362,'Species Codes'!B:M,12,0))))))*35.3*VLOOKUP(D362,'Species Codes'!B:G,6,0)/2.2046,VLOOKUP(D362,'Species Codes'!B:I,8,0)+VLOOKUP(D362,'Species Codes'!B:J,9,0)*(((E362*2.54)/100)^2)*(I362*0.3048)))))*0.0011023),0)</f>
        <v>#N/A</v>
      </c>
      <c r="AC362" s="104" t="e">
        <f>IF(Z362&gt;0,((IF(OR(D362="RA",D362="OA",D362="OT",D362="UN",D362="PC"),EXP(VLOOKUP(D362,'Species Codes'!B:O,14,0)+VLOOKUP(D362,'Species Codes'!B:P,15,0)*LN((E362*2.54)))-EXP(VLOOKUP(D362,'Species Codes'!B:O,14,0)+VLOOKUP(D362,'Species Codes'!B:P,15,0)*LN((E362*2.54)))*(1/(VLOOKUP(D362,'Species Codes'!B:Q,16,0)+VLOOKUP(D362,'Species Codes'!B:R,17,0)*((E362*2.54)^VLOOKUP(D362,'Species Codes'!B:S,18,0)))),IF(OR(D362="BM",D362="MD",D362="OA"),EXP(VLOOKUP(D362,'Species Codes'!B:O,14,0)+VLOOKUP(D362,'Species Codes'!B:P,15,0)*LN((E362*2.54)))*(1-(1/(VLOOKUP(D362,'Species Codes'!B:Q,16,0)+VLOOKUP(D362,'Species Codes'!B:R,17,0)*((E362*2.54)^VLOOKUP(D362,'Species Codes'!B:S,18,0)))))/1000,IF(D362="DF",EXP(VLOOKUP(D362,'Species Codes'!B:O,14,0)+VLOOKUP(D362,'Species Codes'!B:P,15,0)*LN((E362*2.54))),VLOOKUP(D362,'Species Codes'!B:O,14,0)+VLOOKUP(D362,'Species Codes'!B:P,15,0)*(((E362*2.54)/100)^2)*(I362*0.3048)))))*0.0011023),0)</f>
        <v>#N/A</v>
      </c>
      <c r="AD362" s="104" t="e">
        <f t="shared" si="193"/>
        <v>#N/A</v>
      </c>
      <c r="AE362" s="104" t="e">
        <f t="shared" si="194"/>
        <v>#N/A</v>
      </c>
      <c r="AF362" s="104" t="e">
        <f>IF(AND(VLOOKUP($D362,Merchantability!$B:$C,2,0)="Yes",$E362&gt;=VLOOKUP($D362,Merchantability!$B:$D,3,0),$E362&lt;=VLOOKUP($D362,Merchantability!$B:$E,4,0)),AA362,0)</f>
        <v>#N/A</v>
      </c>
      <c r="AG362" s="104" t="e">
        <f>IF(AND(VLOOKUP($D362,Merchantability!$B:$C,2,0)="Yes",$E362&gt;=VLOOKUP($D362,Merchantability!$B:$D,3,0),$E362&lt;=VLOOKUP($D362,Merchantability!$B:$E,4,0)),AB362,0)</f>
        <v>#N/A</v>
      </c>
      <c r="AH362" s="104" t="e">
        <f>IF(AND(VLOOKUP($D362,Merchantability!$B:$C,2,0)="Yes",$E362&gt;=VLOOKUP($D362,Merchantability!$B:$D,3,0),$E362&lt;=VLOOKUP($D362,Merchantability!$B:$E,4,0)),AC362,0)</f>
        <v>#N/A</v>
      </c>
      <c r="AI362" s="104" t="e">
        <f t="shared" si="195"/>
        <v>#N/A</v>
      </c>
      <c r="AJ362" s="104" t="e">
        <f t="shared" si="196"/>
        <v>#VALUE!</v>
      </c>
      <c r="AK362" s="104" t="e">
        <f t="shared" si="197"/>
        <v>#N/A</v>
      </c>
      <c r="AL362" s="104" t="e">
        <f t="shared" si="198"/>
        <v>#N/A</v>
      </c>
      <c r="AM362" s="104" t="e">
        <f t="shared" si="199"/>
        <v>#N/A</v>
      </c>
      <c r="AN362" s="104" t="e">
        <f t="shared" si="183"/>
        <v>#N/A</v>
      </c>
      <c r="AO362" s="104" t="e">
        <f t="shared" si="184"/>
        <v>#N/A</v>
      </c>
      <c r="AP362" s="104" t="e">
        <f t="shared" si="185"/>
        <v>#N/A</v>
      </c>
      <c r="AQ362" s="104" t="e">
        <f t="shared" si="186"/>
        <v>#N/A</v>
      </c>
      <c r="AR362" s="105" t="str">
        <f t="shared" si="178"/>
        <v/>
      </c>
      <c r="AS362" s="105" t="str">
        <f t="shared" si="179"/>
        <v/>
      </c>
      <c r="AT362" s="108" t="str">
        <f t="shared" si="180"/>
        <v/>
      </c>
      <c r="AU362" s="108" t="str">
        <f t="shared" si="181"/>
        <v/>
      </c>
      <c r="AV362" s="107" t="str">
        <f>IF(ISNUMBER(O362),IF(VLOOKUP($A362,Stand!C:J,8,FALSE)="Short",AT362,AU362),"")</f>
        <v/>
      </c>
      <c r="AW362" s="109" t="str">
        <f t="shared" si="187"/>
        <v/>
      </c>
      <c r="AX362" s="109" t="str">
        <f t="shared" si="188"/>
        <v/>
      </c>
      <c r="AY362" s="112" t="str">
        <f>IF(ISNUMBER(O362),IF(AND(VLOOKUP($D362,Merchantability!$B:$C,2,0)="Yes",$E362&gt;=VLOOKUP($D362,Merchantability!$B:$D,3,0),$E362&lt;=VLOOKUP($D362,Merchantability!$B:$E,4,0)),(AV362*O362)*(1-$H362/100),""),"")</f>
        <v/>
      </c>
      <c r="AZ362" s="116"/>
      <c r="BA362" s="116"/>
      <c r="BB362" s="116"/>
      <c r="BE362" s="62"/>
      <c r="BF362" s="63"/>
    </row>
    <row r="363" spans="1:58" ht="12.75" customHeight="1" x14ac:dyDescent="0.25">
      <c r="A363" s="313"/>
      <c r="B363" s="380"/>
      <c r="C363" s="381"/>
      <c r="D363" s="380"/>
      <c r="E363" s="382"/>
      <c r="F363" s="331"/>
      <c r="G363" s="329"/>
      <c r="H363" s="329"/>
      <c r="I363" s="380"/>
      <c r="J363" s="381"/>
      <c r="K363" s="329"/>
      <c r="L363" s="329"/>
      <c r="M363" s="76"/>
      <c r="N363" s="103" t="str">
        <f>IF(A363="","",VLOOKUP(A363,Stand!C:K,9,0))</f>
        <v/>
      </c>
      <c r="O363" s="104" t="str">
        <f t="shared" si="173"/>
        <v/>
      </c>
      <c r="P363" s="105" t="str">
        <f t="shared" si="174"/>
        <v/>
      </c>
      <c r="Q363" s="105" t="str">
        <f t="shared" si="189"/>
        <v/>
      </c>
      <c r="R363" s="103" t="str">
        <f t="shared" si="175"/>
        <v/>
      </c>
      <c r="S363" s="103" t="str">
        <f t="shared" si="176"/>
        <v/>
      </c>
      <c r="T363" s="106" t="str">
        <f t="shared" si="190"/>
        <v/>
      </c>
      <c r="U363" s="106" t="str">
        <f t="shared" si="191"/>
        <v/>
      </c>
      <c r="V363" s="106" t="str">
        <f t="shared" si="192"/>
        <v/>
      </c>
      <c r="W363" s="105" t="str">
        <f t="shared" si="177"/>
        <v/>
      </c>
      <c r="X363" s="104" t="str">
        <f t="shared" si="182"/>
        <v/>
      </c>
      <c r="Y363" s="104" t="str">
        <f t="array" ref="Y363">IFERROR(IF(ISNUMBER(O363),IF(COUNT(IF(A363=$A$2:$A$2427,IF(D363=$D$2:$D$2427,IF($X$2:$X$2427&gt;0,1))))&gt;0,SUM(IF(A363=$A$2:$A$2427,IF(D363=$D$2:$D$2427,$X$2:$X$2427)))/COUNT(IF(A363=$A$2:$A$2427,IF(D363=$D$2:$D$2427,IF(ISNUMBER($X$2:$X$2427),1)))),0),""),0)</f>
        <v/>
      </c>
      <c r="Z363" s="104" t="str">
        <f>IF(ISNUMBER(O363),IF(I363&gt;0,(10^(VLOOKUP(D363,'Species Codes'!B:C,2,0)+VLOOKUP(D363,'Species Codes'!B:D,3,0)*LOG(E363)+VLOOKUP(D363,'Species Codes'!B:E,4,0)*LOG(I363))),0),"")</f>
        <v/>
      </c>
      <c r="AA363" s="104" t="str">
        <f>IFERROR((VLOOKUP(D363,'Species Codes'!B:G,6,0)*Z363)/2000,"")</f>
        <v/>
      </c>
      <c r="AB363" s="104" t="e">
        <f>IF(Z363&gt;0,((IF(OR(D363="DF",D363="RA")=TRUE,EXP(VLOOKUP(D363,'Species Codes'!B:I,8,0)+VLOOKUP(D363,'Species Codes'!B:J,9,0)*(LN((E363*2.54)))),IF(OR(D363="PY",D363="RC",D363="WH",D363="NF")=TRUE,VLOOKUP(D363,'Species Codes'!B:I,8,0)+VLOOKUP(D363,'Species Codes'!B:J,9,0)*((E363*2.54)^2)*(I363*0.3048),IF(OR(D363="MD",D363="BM",D363="GA")=TRUE,((VLOOKUP(D363,'Species Codes'!B:I,8,0)*(((((E363*2.54)+VLOOKUP(D363,'Species Codes'!B:J,9,0))/VLOOKUP(D363,'Species Codes'!B:K,10,0))^VLOOKUP(D363,'Species Codes'!B:L,11,0))*((I363*0.3048)^VLOOKUP(D363,'Species Codes'!B:M,12,0))))-(VLOOKUP(D363,'Species Codes'!B:I,8,0)*((((E363*2.54)^VLOOKUP(D363,'Species Codes'!B:L,11,0))*((I363*0.3048)^VLOOKUP(D363,'Species Codes'!B:M,12,0))))))*35.3*VLOOKUP(D363,'Species Codes'!B:G,6,0)/2.2046,VLOOKUP(D363,'Species Codes'!B:I,8,0)+VLOOKUP(D363,'Species Codes'!B:J,9,0)*(((E363*2.54)/100)^2)*(I363*0.3048)))))*0.0011023),0)</f>
        <v>#N/A</v>
      </c>
      <c r="AC363" s="104" t="e">
        <f>IF(Z363&gt;0,((IF(OR(D363="RA",D363="OA",D363="OT",D363="UN",D363="PC"),EXP(VLOOKUP(D363,'Species Codes'!B:O,14,0)+VLOOKUP(D363,'Species Codes'!B:P,15,0)*LN((E363*2.54)))-EXP(VLOOKUP(D363,'Species Codes'!B:O,14,0)+VLOOKUP(D363,'Species Codes'!B:P,15,0)*LN((E363*2.54)))*(1/(VLOOKUP(D363,'Species Codes'!B:Q,16,0)+VLOOKUP(D363,'Species Codes'!B:R,17,0)*((E363*2.54)^VLOOKUP(D363,'Species Codes'!B:S,18,0)))),IF(OR(D363="BM",D363="MD",D363="OA"),EXP(VLOOKUP(D363,'Species Codes'!B:O,14,0)+VLOOKUP(D363,'Species Codes'!B:P,15,0)*LN((E363*2.54)))*(1-(1/(VLOOKUP(D363,'Species Codes'!B:Q,16,0)+VLOOKUP(D363,'Species Codes'!B:R,17,0)*((E363*2.54)^VLOOKUP(D363,'Species Codes'!B:S,18,0)))))/1000,IF(D363="DF",EXP(VLOOKUP(D363,'Species Codes'!B:O,14,0)+VLOOKUP(D363,'Species Codes'!B:P,15,0)*LN((E363*2.54))),VLOOKUP(D363,'Species Codes'!B:O,14,0)+VLOOKUP(D363,'Species Codes'!B:P,15,0)*(((E363*2.54)/100)^2)*(I363*0.3048)))))*0.0011023),0)</f>
        <v>#N/A</v>
      </c>
      <c r="AD363" s="104" t="e">
        <f t="shared" si="193"/>
        <v>#N/A</v>
      </c>
      <c r="AE363" s="104" t="e">
        <f t="shared" si="194"/>
        <v>#N/A</v>
      </c>
      <c r="AF363" s="104" t="e">
        <f>IF(AND(VLOOKUP($D363,Merchantability!$B:$C,2,0)="Yes",$E363&gt;=VLOOKUP($D363,Merchantability!$B:$D,3,0),$E363&lt;=VLOOKUP($D363,Merchantability!$B:$E,4,0)),AA363,0)</f>
        <v>#N/A</v>
      </c>
      <c r="AG363" s="104" t="e">
        <f>IF(AND(VLOOKUP($D363,Merchantability!$B:$C,2,0)="Yes",$E363&gt;=VLOOKUP($D363,Merchantability!$B:$D,3,0),$E363&lt;=VLOOKUP($D363,Merchantability!$B:$E,4,0)),AB363,0)</f>
        <v>#N/A</v>
      </c>
      <c r="AH363" s="104" t="e">
        <f>IF(AND(VLOOKUP($D363,Merchantability!$B:$C,2,0)="Yes",$E363&gt;=VLOOKUP($D363,Merchantability!$B:$D,3,0),$E363&lt;=VLOOKUP($D363,Merchantability!$B:$E,4,0)),AC363,0)</f>
        <v>#N/A</v>
      </c>
      <c r="AI363" s="104" t="e">
        <f t="shared" si="195"/>
        <v>#N/A</v>
      </c>
      <c r="AJ363" s="104" t="e">
        <f t="shared" si="196"/>
        <v>#VALUE!</v>
      </c>
      <c r="AK363" s="104" t="e">
        <f t="shared" si="197"/>
        <v>#N/A</v>
      </c>
      <c r="AL363" s="104" t="e">
        <f t="shared" si="198"/>
        <v>#N/A</v>
      </c>
      <c r="AM363" s="104" t="e">
        <f t="shared" si="199"/>
        <v>#N/A</v>
      </c>
      <c r="AN363" s="104" t="e">
        <f t="shared" si="183"/>
        <v>#N/A</v>
      </c>
      <c r="AO363" s="104" t="e">
        <f t="shared" si="184"/>
        <v>#N/A</v>
      </c>
      <c r="AP363" s="104" t="e">
        <f t="shared" si="185"/>
        <v>#N/A</v>
      </c>
      <c r="AQ363" s="104" t="e">
        <f t="shared" si="186"/>
        <v>#N/A</v>
      </c>
      <c r="AR363" s="105" t="str">
        <f t="shared" si="178"/>
        <v/>
      </c>
      <c r="AS363" s="105" t="str">
        <f t="shared" si="179"/>
        <v/>
      </c>
      <c r="AT363" s="108" t="str">
        <f t="shared" si="180"/>
        <v/>
      </c>
      <c r="AU363" s="108" t="str">
        <f t="shared" si="181"/>
        <v/>
      </c>
      <c r="AV363" s="107" t="str">
        <f>IF(ISNUMBER(O363),IF(VLOOKUP($A363,Stand!C:J,8,FALSE)="Short",AT363,AU363),"")</f>
        <v/>
      </c>
      <c r="AW363" s="109" t="str">
        <f t="shared" si="187"/>
        <v/>
      </c>
      <c r="AX363" s="109" t="str">
        <f t="shared" si="188"/>
        <v/>
      </c>
      <c r="AY363" s="112" t="str">
        <f>IF(ISNUMBER(O363),IF(AND(VLOOKUP($D363,Merchantability!$B:$C,2,0)="Yes",$E363&gt;=VLOOKUP($D363,Merchantability!$B:$D,3,0),$E363&lt;=VLOOKUP($D363,Merchantability!$B:$E,4,0)),(AV363*O363)*(1-$H363/100),""),"")</f>
        <v/>
      </c>
      <c r="AZ363" s="116"/>
      <c r="BA363" s="116"/>
      <c r="BB363" s="116"/>
      <c r="BE363" s="62"/>
      <c r="BF363" s="63"/>
    </row>
    <row r="364" spans="1:58" ht="12.75" customHeight="1" x14ac:dyDescent="0.25">
      <c r="A364" s="313"/>
      <c r="B364" s="328"/>
      <c r="C364" s="329"/>
      <c r="D364" s="328"/>
      <c r="E364" s="330"/>
      <c r="F364" s="331"/>
      <c r="G364" s="329"/>
      <c r="H364" s="329"/>
      <c r="I364" s="328"/>
      <c r="J364" s="329"/>
      <c r="K364" s="329"/>
      <c r="L364" s="329"/>
      <c r="M364" s="76"/>
      <c r="N364" s="103" t="str">
        <f>IF(A364="","",VLOOKUP(A364,Stand!C:K,9,0))</f>
        <v/>
      </c>
      <c r="O364" s="104" t="str">
        <f t="shared" si="173"/>
        <v/>
      </c>
      <c r="P364" s="105" t="str">
        <f t="shared" si="174"/>
        <v/>
      </c>
      <c r="Q364" s="105" t="str">
        <f t="shared" si="189"/>
        <v/>
      </c>
      <c r="R364" s="103" t="str">
        <f t="shared" si="175"/>
        <v/>
      </c>
      <c r="S364" s="103" t="str">
        <f t="shared" si="176"/>
        <v/>
      </c>
      <c r="T364" s="106" t="str">
        <f t="shared" si="190"/>
        <v/>
      </c>
      <c r="U364" s="106" t="str">
        <f t="shared" si="191"/>
        <v/>
      </c>
      <c r="V364" s="106" t="str">
        <f t="shared" si="192"/>
        <v/>
      </c>
      <c r="W364" s="105" t="str">
        <f t="shared" si="177"/>
        <v/>
      </c>
      <c r="X364" s="104" t="str">
        <f t="shared" si="182"/>
        <v/>
      </c>
      <c r="Y364" s="104" t="str">
        <f t="array" ref="Y364">IFERROR(IF(ISNUMBER(O364),IF(COUNT(IF(A364=$A$2:$A$2427,IF(D364=$D$2:$D$2427,IF($X$2:$X$2427&gt;0,1))))&gt;0,SUM(IF(A364=$A$2:$A$2427,IF(D364=$D$2:$D$2427,$X$2:$X$2427)))/COUNT(IF(A364=$A$2:$A$2427,IF(D364=$D$2:$D$2427,IF(ISNUMBER($X$2:$X$2427),1)))),0),""),0)</f>
        <v/>
      </c>
      <c r="Z364" s="104" t="str">
        <f>IF(ISNUMBER(O364),IF(I364&gt;0,(10^(VLOOKUP(D364,'Species Codes'!B:C,2,0)+VLOOKUP(D364,'Species Codes'!B:D,3,0)*LOG(E364)+VLOOKUP(D364,'Species Codes'!B:E,4,0)*LOG(I364))),0),"")</f>
        <v/>
      </c>
      <c r="AA364" s="104" t="str">
        <f>IFERROR((VLOOKUP(D364,'Species Codes'!B:G,6,0)*Z364)/2000,"")</f>
        <v/>
      </c>
      <c r="AB364" s="104" t="e">
        <f>IF(Z364&gt;0,((IF(OR(D364="DF",D364="RA")=TRUE,EXP(VLOOKUP(D364,'Species Codes'!B:I,8,0)+VLOOKUP(D364,'Species Codes'!B:J,9,0)*(LN((E364*2.54)))),IF(OR(D364="PY",D364="RC",D364="WH",D364="NF")=TRUE,VLOOKUP(D364,'Species Codes'!B:I,8,0)+VLOOKUP(D364,'Species Codes'!B:J,9,0)*((E364*2.54)^2)*(I364*0.3048),IF(OR(D364="MD",D364="BM",D364="GA")=TRUE,((VLOOKUP(D364,'Species Codes'!B:I,8,0)*(((((E364*2.54)+VLOOKUP(D364,'Species Codes'!B:J,9,0))/VLOOKUP(D364,'Species Codes'!B:K,10,0))^VLOOKUP(D364,'Species Codes'!B:L,11,0))*((I364*0.3048)^VLOOKUP(D364,'Species Codes'!B:M,12,0))))-(VLOOKUP(D364,'Species Codes'!B:I,8,0)*((((E364*2.54)^VLOOKUP(D364,'Species Codes'!B:L,11,0))*((I364*0.3048)^VLOOKUP(D364,'Species Codes'!B:M,12,0))))))*35.3*VLOOKUP(D364,'Species Codes'!B:G,6,0)/2.2046,VLOOKUP(D364,'Species Codes'!B:I,8,0)+VLOOKUP(D364,'Species Codes'!B:J,9,0)*(((E364*2.54)/100)^2)*(I364*0.3048)))))*0.0011023),0)</f>
        <v>#N/A</v>
      </c>
      <c r="AC364" s="104" t="e">
        <f>IF(Z364&gt;0,((IF(OR(D364="RA",D364="OA",D364="OT",D364="UN",D364="PC"),EXP(VLOOKUP(D364,'Species Codes'!B:O,14,0)+VLOOKUP(D364,'Species Codes'!B:P,15,0)*LN((E364*2.54)))-EXP(VLOOKUP(D364,'Species Codes'!B:O,14,0)+VLOOKUP(D364,'Species Codes'!B:P,15,0)*LN((E364*2.54)))*(1/(VLOOKUP(D364,'Species Codes'!B:Q,16,0)+VLOOKUP(D364,'Species Codes'!B:R,17,0)*((E364*2.54)^VLOOKUP(D364,'Species Codes'!B:S,18,0)))),IF(OR(D364="BM",D364="MD",D364="OA"),EXP(VLOOKUP(D364,'Species Codes'!B:O,14,0)+VLOOKUP(D364,'Species Codes'!B:P,15,0)*LN((E364*2.54)))*(1-(1/(VLOOKUP(D364,'Species Codes'!B:Q,16,0)+VLOOKUP(D364,'Species Codes'!B:R,17,0)*((E364*2.54)^VLOOKUP(D364,'Species Codes'!B:S,18,0)))))/1000,IF(D364="DF",EXP(VLOOKUP(D364,'Species Codes'!B:O,14,0)+VLOOKUP(D364,'Species Codes'!B:P,15,0)*LN((E364*2.54))),VLOOKUP(D364,'Species Codes'!B:O,14,0)+VLOOKUP(D364,'Species Codes'!B:P,15,0)*(((E364*2.54)/100)^2)*(I364*0.3048)))))*0.0011023),0)</f>
        <v>#N/A</v>
      </c>
      <c r="AD364" s="104" t="e">
        <f t="shared" si="193"/>
        <v>#N/A</v>
      </c>
      <c r="AE364" s="104" t="e">
        <f t="shared" si="194"/>
        <v>#N/A</v>
      </c>
      <c r="AF364" s="104" t="e">
        <f>IF(AND(VLOOKUP($D364,Merchantability!$B:$C,2,0)="Yes",$E364&gt;=VLOOKUP($D364,Merchantability!$B:$D,3,0),$E364&lt;=VLOOKUP($D364,Merchantability!$B:$E,4,0)),AA364,0)</f>
        <v>#N/A</v>
      </c>
      <c r="AG364" s="104" t="e">
        <f>IF(AND(VLOOKUP($D364,Merchantability!$B:$C,2,0)="Yes",$E364&gt;=VLOOKUP($D364,Merchantability!$B:$D,3,0),$E364&lt;=VLOOKUP($D364,Merchantability!$B:$E,4,0)),AB364,0)</f>
        <v>#N/A</v>
      </c>
      <c r="AH364" s="104" t="e">
        <f>IF(AND(VLOOKUP($D364,Merchantability!$B:$C,2,0)="Yes",$E364&gt;=VLOOKUP($D364,Merchantability!$B:$D,3,0),$E364&lt;=VLOOKUP($D364,Merchantability!$B:$E,4,0)),AC364,0)</f>
        <v>#N/A</v>
      </c>
      <c r="AI364" s="104" t="e">
        <f t="shared" si="195"/>
        <v>#N/A</v>
      </c>
      <c r="AJ364" s="104" t="e">
        <f t="shared" si="196"/>
        <v>#VALUE!</v>
      </c>
      <c r="AK364" s="104" t="e">
        <f t="shared" si="197"/>
        <v>#N/A</v>
      </c>
      <c r="AL364" s="104" t="e">
        <f t="shared" si="198"/>
        <v>#N/A</v>
      </c>
      <c r="AM364" s="104" t="e">
        <f t="shared" si="199"/>
        <v>#N/A</v>
      </c>
      <c r="AN364" s="104" t="e">
        <f t="shared" si="183"/>
        <v>#N/A</v>
      </c>
      <c r="AO364" s="104" t="e">
        <f t="shared" si="184"/>
        <v>#N/A</v>
      </c>
      <c r="AP364" s="104" t="e">
        <f t="shared" si="185"/>
        <v>#N/A</v>
      </c>
      <c r="AQ364" s="104" t="e">
        <f t="shared" si="186"/>
        <v>#N/A</v>
      </c>
      <c r="AR364" s="105" t="str">
        <f t="shared" si="178"/>
        <v/>
      </c>
      <c r="AS364" s="105" t="str">
        <f t="shared" si="179"/>
        <v/>
      </c>
      <c r="AT364" s="108" t="str">
        <f t="shared" si="180"/>
        <v/>
      </c>
      <c r="AU364" s="108" t="str">
        <f t="shared" si="181"/>
        <v/>
      </c>
      <c r="AV364" s="107" t="str">
        <f>IF(ISNUMBER(O364),IF(VLOOKUP($A364,Stand!C:J,8,FALSE)="Short",AT364,AU364),"")</f>
        <v/>
      </c>
      <c r="AW364" s="109" t="str">
        <f t="shared" si="187"/>
        <v/>
      </c>
      <c r="AX364" s="109" t="str">
        <f t="shared" si="188"/>
        <v/>
      </c>
      <c r="AY364" s="112" t="str">
        <f>IF(ISNUMBER(O364),IF(AND(VLOOKUP($D364,Merchantability!$B:$C,2,0)="Yes",$E364&gt;=VLOOKUP($D364,Merchantability!$B:$D,3,0),$E364&lt;=VLOOKUP($D364,Merchantability!$B:$E,4,0)),(AV364*O364)*(1-$H364/100),""),"")</f>
        <v/>
      </c>
      <c r="AZ364" s="116"/>
      <c r="BA364" s="116"/>
      <c r="BB364" s="116"/>
      <c r="BE364" s="62"/>
      <c r="BF364" s="63"/>
    </row>
    <row r="365" spans="1:58" ht="12.75" customHeight="1" x14ac:dyDescent="0.25">
      <c r="A365" s="313"/>
      <c r="B365" s="328"/>
      <c r="C365" s="329"/>
      <c r="D365" s="328"/>
      <c r="E365" s="330"/>
      <c r="F365" s="331"/>
      <c r="G365" s="329"/>
      <c r="H365" s="329"/>
      <c r="I365" s="328"/>
      <c r="J365" s="329"/>
      <c r="K365" s="329"/>
      <c r="L365" s="329"/>
      <c r="M365" s="76"/>
      <c r="N365" s="103" t="str">
        <f>IF(A365="","",VLOOKUP(A365,Stand!C:K,9,0))</f>
        <v/>
      </c>
      <c r="O365" s="104" t="str">
        <f t="shared" si="173"/>
        <v/>
      </c>
      <c r="P365" s="105" t="str">
        <f t="shared" si="174"/>
        <v/>
      </c>
      <c r="Q365" s="105" t="str">
        <f t="shared" si="189"/>
        <v/>
      </c>
      <c r="R365" s="103" t="str">
        <f t="shared" si="175"/>
        <v/>
      </c>
      <c r="S365" s="103" t="str">
        <f t="shared" si="176"/>
        <v/>
      </c>
      <c r="T365" s="106" t="str">
        <f t="shared" si="190"/>
        <v/>
      </c>
      <c r="U365" s="106" t="str">
        <f t="shared" si="191"/>
        <v/>
      </c>
      <c r="V365" s="106" t="str">
        <f t="shared" si="192"/>
        <v/>
      </c>
      <c r="W365" s="105" t="str">
        <f t="shared" si="177"/>
        <v/>
      </c>
      <c r="X365" s="104" t="str">
        <f t="shared" si="182"/>
        <v/>
      </c>
      <c r="Y365" s="104" t="str">
        <f t="array" ref="Y365">IFERROR(IF(ISNUMBER(O365),IF(COUNT(IF(A365=$A$2:$A$2427,IF(D365=$D$2:$D$2427,IF($X$2:$X$2427&gt;0,1))))&gt;0,SUM(IF(A365=$A$2:$A$2427,IF(D365=$D$2:$D$2427,$X$2:$X$2427)))/COUNT(IF(A365=$A$2:$A$2427,IF(D365=$D$2:$D$2427,IF(ISNUMBER($X$2:$X$2427),1)))),0),""),0)</f>
        <v/>
      </c>
      <c r="Z365" s="104" t="str">
        <f>IF(ISNUMBER(O365),IF(I365&gt;0,(10^(VLOOKUP(D365,'Species Codes'!B:C,2,0)+VLOOKUP(D365,'Species Codes'!B:D,3,0)*LOG(E365)+VLOOKUP(D365,'Species Codes'!B:E,4,0)*LOG(I365))),0),"")</f>
        <v/>
      </c>
      <c r="AA365" s="104" t="str">
        <f>IFERROR((VLOOKUP(D365,'Species Codes'!B:G,6,0)*Z365)/2000,"")</f>
        <v/>
      </c>
      <c r="AB365" s="104" t="e">
        <f>IF(Z365&gt;0,((IF(OR(D365="DF",D365="RA")=TRUE,EXP(VLOOKUP(D365,'Species Codes'!B:I,8,0)+VLOOKUP(D365,'Species Codes'!B:J,9,0)*(LN((E365*2.54)))),IF(OR(D365="PY",D365="RC",D365="WH",D365="NF")=TRUE,VLOOKUP(D365,'Species Codes'!B:I,8,0)+VLOOKUP(D365,'Species Codes'!B:J,9,0)*((E365*2.54)^2)*(I365*0.3048),IF(OR(D365="MD",D365="BM",D365="GA")=TRUE,((VLOOKUP(D365,'Species Codes'!B:I,8,0)*(((((E365*2.54)+VLOOKUP(D365,'Species Codes'!B:J,9,0))/VLOOKUP(D365,'Species Codes'!B:K,10,0))^VLOOKUP(D365,'Species Codes'!B:L,11,0))*((I365*0.3048)^VLOOKUP(D365,'Species Codes'!B:M,12,0))))-(VLOOKUP(D365,'Species Codes'!B:I,8,0)*((((E365*2.54)^VLOOKUP(D365,'Species Codes'!B:L,11,0))*((I365*0.3048)^VLOOKUP(D365,'Species Codes'!B:M,12,0))))))*35.3*VLOOKUP(D365,'Species Codes'!B:G,6,0)/2.2046,VLOOKUP(D365,'Species Codes'!B:I,8,0)+VLOOKUP(D365,'Species Codes'!B:J,9,0)*(((E365*2.54)/100)^2)*(I365*0.3048)))))*0.0011023),0)</f>
        <v>#N/A</v>
      </c>
      <c r="AC365" s="104" t="e">
        <f>IF(Z365&gt;0,((IF(OR(D365="RA",D365="OA",D365="OT",D365="UN",D365="PC"),EXP(VLOOKUP(D365,'Species Codes'!B:O,14,0)+VLOOKUP(D365,'Species Codes'!B:P,15,0)*LN((E365*2.54)))-EXP(VLOOKUP(D365,'Species Codes'!B:O,14,0)+VLOOKUP(D365,'Species Codes'!B:P,15,0)*LN((E365*2.54)))*(1/(VLOOKUP(D365,'Species Codes'!B:Q,16,0)+VLOOKUP(D365,'Species Codes'!B:R,17,0)*((E365*2.54)^VLOOKUP(D365,'Species Codes'!B:S,18,0)))),IF(OR(D365="BM",D365="MD",D365="OA"),EXP(VLOOKUP(D365,'Species Codes'!B:O,14,0)+VLOOKUP(D365,'Species Codes'!B:P,15,0)*LN((E365*2.54)))*(1-(1/(VLOOKUP(D365,'Species Codes'!B:Q,16,0)+VLOOKUP(D365,'Species Codes'!B:R,17,0)*((E365*2.54)^VLOOKUP(D365,'Species Codes'!B:S,18,0)))))/1000,IF(D365="DF",EXP(VLOOKUP(D365,'Species Codes'!B:O,14,0)+VLOOKUP(D365,'Species Codes'!B:P,15,0)*LN((E365*2.54))),VLOOKUP(D365,'Species Codes'!B:O,14,0)+VLOOKUP(D365,'Species Codes'!B:P,15,0)*(((E365*2.54)/100)^2)*(I365*0.3048)))))*0.0011023),0)</f>
        <v>#N/A</v>
      </c>
      <c r="AD365" s="104" t="e">
        <f t="shared" si="193"/>
        <v>#N/A</v>
      </c>
      <c r="AE365" s="104" t="e">
        <f t="shared" si="194"/>
        <v>#N/A</v>
      </c>
      <c r="AF365" s="104" t="e">
        <f>IF(AND(VLOOKUP($D365,Merchantability!$B:$C,2,0)="Yes",$E365&gt;=VLOOKUP($D365,Merchantability!$B:$D,3,0),$E365&lt;=VLOOKUP($D365,Merchantability!$B:$E,4,0)),AA365,0)</f>
        <v>#N/A</v>
      </c>
      <c r="AG365" s="104" t="e">
        <f>IF(AND(VLOOKUP($D365,Merchantability!$B:$C,2,0)="Yes",$E365&gt;=VLOOKUP($D365,Merchantability!$B:$D,3,0),$E365&lt;=VLOOKUP($D365,Merchantability!$B:$E,4,0)),AB365,0)</f>
        <v>#N/A</v>
      </c>
      <c r="AH365" s="104" t="e">
        <f>IF(AND(VLOOKUP($D365,Merchantability!$B:$C,2,0)="Yes",$E365&gt;=VLOOKUP($D365,Merchantability!$B:$D,3,0),$E365&lt;=VLOOKUP($D365,Merchantability!$B:$E,4,0)),AC365,0)</f>
        <v>#N/A</v>
      </c>
      <c r="AI365" s="104" t="e">
        <f t="shared" si="195"/>
        <v>#N/A</v>
      </c>
      <c r="AJ365" s="104" t="e">
        <f t="shared" si="196"/>
        <v>#VALUE!</v>
      </c>
      <c r="AK365" s="104" t="e">
        <f t="shared" si="197"/>
        <v>#N/A</v>
      </c>
      <c r="AL365" s="104" t="e">
        <f t="shared" si="198"/>
        <v>#N/A</v>
      </c>
      <c r="AM365" s="104" t="e">
        <f t="shared" si="199"/>
        <v>#N/A</v>
      </c>
      <c r="AN365" s="104" t="e">
        <f t="shared" si="183"/>
        <v>#N/A</v>
      </c>
      <c r="AO365" s="104" t="e">
        <f t="shared" si="184"/>
        <v>#N/A</v>
      </c>
      <c r="AP365" s="104" t="e">
        <f t="shared" si="185"/>
        <v>#N/A</v>
      </c>
      <c r="AQ365" s="104" t="e">
        <f t="shared" si="186"/>
        <v>#N/A</v>
      </c>
      <c r="AR365" s="105" t="str">
        <f t="shared" si="178"/>
        <v/>
      </c>
      <c r="AS365" s="105" t="str">
        <f t="shared" si="179"/>
        <v/>
      </c>
      <c r="AT365" s="108" t="str">
        <f t="shared" si="180"/>
        <v/>
      </c>
      <c r="AU365" s="108" t="str">
        <f t="shared" si="181"/>
        <v/>
      </c>
      <c r="AV365" s="107" t="str">
        <f>IF(ISNUMBER(O365),IF(VLOOKUP($A365,Stand!C:J,8,FALSE)="Short",AT365,AU365),"")</f>
        <v/>
      </c>
      <c r="AW365" s="109" t="str">
        <f t="shared" si="187"/>
        <v/>
      </c>
      <c r="AX365" s="109" t="str">
        <f t="shared" si="188"/>
        <v/>
      </c>
      <c r="AY365" s="112" t="str">
        <f>IF(ISNUMBER(O365),IF(AND(VLOOKUP($D365,Merchantability!$B:$C,2,0)="Yes",$E365&gt;=VLOOKUP($D365,Merchantability!$B:$D,3,0),$E365&lt;=VLOOKUP($D365,Merchantability!$B:$E,4,0)),(AV365*O365)*(1-$H365/100),""),"")</f>
        <v/>
      </c>
      <c r="AZ365" s="116"/>
      <c r="BA365" s="116"/>
      <c r="BB365" s="116"/>
      <c r="BE365" s="62"/>
      <c r="BF365" s="63"/>
    </row>
    <row r="366" spans="1:58" ht="12.75" customHeight="1" x14ac:dyDescent="0.25">
      <c r="A366" s="313"/>
      <c r="B366" s="328"/>
      <c r="C366" s="329"/>
      <c r="D366" s="328"/>
      <c r="E366" s="330"/>
      <c r="F366" s="331"/>
      <c r="G366" s="329"/>
      <c r="H366" s="329"/>
      <c r="I366" s="328"/>
      <c r="J366" s="329"/>
      <c r="K366" s="329"/>
      <c r="L366" s="329"/>
      <c r="M366" s="76"/>
      <c r="N366" s="103" t="str">
        <f>IF(A366="","",VLOOKUP(A366,Stand!C:K,9,0))</f>
        <v/>
      </c>
      <c r="O366" s="104" t="str">
        <f t="shared" si="173"/>
        <v/>
      </c>
      <c r="P366" s="105" t="str">
        <f t="shared" si="174"/>
        <v/>
      </c>
      <c r="Q366" s="105" t="str">
        <f t="shared" si="189"/>
        <v/>
      </c>
      <c r="R366" s="103" t="str">
        <f t="shared" si="175"/>
        <v/>
      </c>
      <c r="S366" s="103" t="str">
        <f t="shared" si="176"/>
        <v/>
      </c>
      <c r="T366" s="106" t="str">
        <f t="shared" si="190"/>
        <v/>
      </c>
      <c r="U366" s="106" t="str">
        <f t="shared" si="191"/>
        <v/>
      </c>
      <c r="V366" s="106" t="str">
        <f t="shared" si="192"/>
        <v/>
      </c>
      <c r="W366" s="105" t="str">
        <f t="shared" si="177"/>
        <v/>
      </c>
      <c r="X366" s="104" t="str">
        <f t="shared" si="182"/>
        <v/>
      </c>
      <c r="Y366" s="104" t="str">
        <f t="array" ref="Y366">IFERROR(IF(ISNUMBER(O366),IF(COUNT(IF(A366=$A$2:$A$2427,IF(D366=$D$2:$D$2427,IF($X$2:$X$2427&gt;0,1))))&gt;0,SUM(IF(A366=$A$2:$A$2427,IF(D366=$D$2:$D$2427,$X$2:$X$2427)))/COUNT(IF(A366=$A$2:$A$2427,IF(D366=$D$2:$D$2427,IF(ISNUMBER($X$2:$X$2427),1)))),0),""),0)</f>
        <v/>
      </c>
      <c r="Z366" s="104" t="str">
        <f>IF(ISNUMBER(O366),IF(I366&gt;0,(10^(VLOOKUP(D366,'Species Codes'!B:C,2,0)+VLOOKUP(D366,'Species Codes'!B:D,3,0)*LOG(E366)+VLOOKUP(D366,'Species Codes'!B:E,4,0)*LOG(I366))),0),"")</f>
        <v/>
      </c>
      <c r="AA366" s="104" t="str">
        <f>IFERROR((VLOOKUP(D366,'Species Codes'!B:G,6,0)*Z366)/2000,"")</f>
        <v/>
      </c>
      <c r="AB366" s="104" t="e">
        <f>IF(Z366&gt;0,((IF(OR(D366="DF",D366="RA")=TRUE,EXP(VLOOKUP(D366,'Species Codes'!B:I,8,0)+VLOOKUP(D366,'Species Codes'!B:J,9,0)*(LN((E366*2.54)))),IF(OR(D366="PY",D366="RC",D366="WH",D366="NF")=TRUE,VLOOKUP(D366,'Species Codes'!B:I,8,0)+VLOOKUP(D366,'Species Codes'!B:J,9,0)*((E366*2.54)^2)*(I366*0.3048),IF(OR(D366="MD",D366="BM",D366="GA")=TRUE,((VLOOKUP(D366,'Species Codes'!B:I,8,0)*(((((E366*2.54)+VLOOKUP(D366,'Species Codes'!B:J,9,0))/VLOOKUP(D366,'Species Codes'!B:K,10,0))^VLOOKUP(D366,'Species Codes'!B:L,11,0))*((I366*0.3048)^VLOOKUP(D366,'Species Codes'!B:M,12,0))))-(VLOOKUP(D366,'Species Codes'!B:I,8,0)*((((E366*2.54)^VLOOKUP(D366,'Species Codes'!B:L,11,0))*((I366*0.3048)^VLOOKUP(D366,'Species Codes'!B:M,12,0))))))*35.3*VLOOKUP(D366,'Species Codes'!B:G,6,0)/2.2046,VLOOKUP(D366,'Species Codes'!B:I,8,0)+VLOOKUP(D366,'Species Codes'!B:J,9,0)*(((E366*2.54)/100)^2)*(I366*0.3048)))))*0.0011023),0)</f>
        <v>#N/A</v>
      </c>
      <c r="AC366" s="104" t="e">
        <f>IF(Z366&gt;0,((IF(OR(D366="RA",D366="OA",D366="OT",D366="UN",D366="PC"),EXP(VLOOKUP(D366,'Species Codes'!B:O,14,0)+VLOOKUP(D366,'Species Codes'!B:P,15,0)*LN((E366*2.54)))-EXP(VLOOKUP(D366,'Species Codes'!B:O,14,0)+VLOOKUP(D366,'Species Codes'!B:P,15,0)*LN((E366*2.54)))*(1/(VLOOKUP(D366,'Species Codes'!B:Q,16,0)+VLOOKUP(D366,'Species Codes'!B:R,17,0)*((E366*2.54)^VLOOKUP(D366,'Species Codes'!B:S,18,0)))),IF(OR(D366="BM",D366="MD",D366="OA"),EXP(VLOOKUP(D366,'Species Codes'!B:O,14,0)+VLOOKUP(D366,'Species Codes'!B:P,15,0)*LN((E366*2.54)))*(1-(1/(VLOOKUP(D366,'Species Codes'!B:Q,16,0)+VLOOKUP(D366,'Species Codes'!B:R,17,0)*((E366*2.54)^VLOOKUP(D366,'Species Codes'!B:S,18,0)))))/1000,IF(D366="DF",EXP(VLOOKUP(D366,'Species Codes'!B:O,14,0)+VLOOKUP(D366,'Species Codes'!B:P,15,0)*LN((E366*2.54))),VLOOKUP(D366,'Species Codes'!B:O,14,0)+VLOOKUP(D366,'Species Codes'!B:P,15,0)*(((E366*2.54)/100)^2)*(I366*0.3048)))))*0.0011023),0)</f>
        <v>#N/A</v>
      </c>
      <c r="AD366" s="104" t="e">
        <f t="shared" si="193"/>
        <v>#N/A</v>
      </c>
      <c r="AE366" s="104" t="e">
        <f t="shared" si="194"/>
        <v>#N/A</v>
      </c>
      <c r="AF366" s="104" t="e">
        <f>IF(AND(VLOOKUP($D366,Merchantability!$B:$C,2,0)="Yes",$E366&gt;=VLOOKUP($D366,Merchantability!$B:$D,3,0),$E366&lt;=VLOOKUP($D366,Merchantability!$B:$E,4,0)),AA366,0)</f>
        <v>#N/A</v>
      </c>
      <c r="AG366" s="104" t="e">
        <f>IF(AND(VLOOKUP($D366,Merchantability!$B:$C,2,0)="Yes",$E366&gt;=VLOOKUP($D366,Merchantability!$B:$D,3,0),$E366&lt;=VLOOKUP($D366,Merchantability!$B:$E,4,0)),AB366,0)</f>
        <v>#N/A</v>
      </c>
      <c r="AH366" s="104" t="e">
        <f>IF(AND(VLOOKUP($D366,Merchantability!$B:$C,2,0)="Yes",$E366&gt;=VLOOKUP($D366,Merchantability!$B:$D,3,0),$E366&lt;=VLOOKUP($D366,Merchantability!$B:$E,4,0)),AC366,0)</f>
        <v>#N/A</v>
      </c>
      <c r="AI366" s="104" t="e">
        <f t="shared" si="195"/>
        <v>#N/A</v>
      </c>
      <c r="AJ366" s="104" t="e">
        <f t="shared" si="196"/>
        <v>#VALUE!</v>
      </c>
      <c r="AK366" s="104" t="e">
        <f t="shared" si="197"/>
        <v>#N/A</v>
      </c>
      <c r="AL366" s="104" t="e">
        <f t="shared" si="198"/>
        <v>#N/A</v>
      </c>
      <c r="AM366" s="104" t="e">
        <f t="shared" si="199"/>
        <v>#N/A</v>
      </c>
      <c r="AN366" s="104" t="e">
        <f t="shared" si="183"/>
        <v>#N/A</v>
      </c>
      <c r="AO366" s="104" t="e">
        <f t="shared" si="184"/>
        <v>#N/A</v>
      </c>
      <c r="AP366" s="104" t="e">
        <f t="shared" si="185"/>
        <v>#N/A</v>
      </c>
      <c r="AQ366" s="104" t="e">
        <f t="shared" si="186"/>
        <v>#N/A</v>
      </c>
      <c r="AR366" s="105" t="str">
        <f t="shared" si="178"/>
        <v/>
      </c>
      <c r="AS366" s="105" t="str">
        <f t="shared" si="179"/>
        <v/>
      </c>
      <c r="AT366" s="108" t="str">
        <f t="shared" si="180"/>
        <v/>
      </c>
      <c r="AU366" s="108" t="str">
        <f t="shared" si="181"/>
        <v/>
      </c>
      <c r="AV366" s="107" t="str">
        <f>IF(ISNUMBER(O366),IF(VLOOKUP($A366,Stand!C:J,8,FALSE)="Short",AT366,AU366),"")</f>
        <v/>
      </c>
      <c r="AW366" s="109" t="str">
        <f t="shared" si="187"/>
        <v/>
      </c>
      <c r="AX366" s="109" t="str">
        <f t="shared" si="188"/>
        <v/>
      </c>
      <c r="AY366" s="112" t="str">
        <f>IF(ISNUMBER(O366),IF(AND(VLOOKUP($D366,Merchantability!$B:$C,2,0)="Yes",$E366&gt;=VLOOKUP($D366,Merchantability!$B:$D,3,0),$E366&lt;=VLOOKUP($D366,Merchantability!$B:$E,4,0)),(AV366*O366)*(1-$H366/100),""),"")</f>
        <v/>
      </c>
      <c r="AZ366" s="116"/>
      <c r="BA366" s="116"/>
      <c r="BB366" s="116"/>
      <c r="BE366" s="62"/>
      <c r="BF366" s="63"/>
    </row>
    <row r="367" spans="1:58" ht="12.75" customHeight="1" x14ac:dyDescent="0.25">
      <c r="A367" s="313"/>
      <c r="B367" s="328"/>
      <c r="C367" s="329"/>
      <c r="D367" s="328"/>
      <c r="E367" s="330"/>
      <c r="F367" s="331"/>
      <c r="G367" s="329"/>
      <c r="H367" s="329"/>
      <c r="I367" s="328"/>
      <c r="J367" s="329"/>
      <c r="K367" s="329"/>
      <c r="L367" s="329"/>
      <c r="M367" s="76"/>
      <c r="N367" s="103" t="str">
        <f>IF(A367="","",VLOOKUP(A367,Stand!C:K,9,0))</f>
        <v/>
      </c>
      <c r="O367" s="104" t="str">
        <f t="shared" si="173"/>
        <v/>
      </c>
      <c r="P367" s="105" t="str">
        <f t="shared" si="174"/>
        <v/>
      </c>
      <c r="Q367" s="105" t="str">
        <f t="shared" si="189"/>
        <v/>
      </c>
      <c r="R367" s="103" t="str">
        <f t="shared" si="175"/>
        <v/>
      </c>
      <c r="S367" s="103" t="str">
        <f t="shared" si="176"/>
        <v/>
      </c>
      <c r="T367" s="106" t="str">
        <f t="shared" si="190"/>
        <v/>
      </c>
      <c r="U367" s="106" t="str">
        <f t="shared" si="191"/>
        <v/>
      </c>
      <c r="V367" s="106" t="str">
        <f t="shared" si="192"/>
        <v/>
      </c>
      <c r="W367" s="105" t="str">
        <f t="shared" si="177"/>
        <v/>
      </c>
      <c r="X367" s="104" t="str">
        <f t="shared" si="182"/>
        <v/>
      </c>
      <c r="Y367" s="104" t="str">
        <f t="array" ref="Y367">IFERROR(IF(ISNUMBER(O367),IF(COUNT(IF(A367=$A$2:$A$2427,IF(D367=$D$2:$D$2427,IF($X$2:$X$2427&gt;0,1))))&gt;0,SUM(IF(A367=$A$2:$A$2427,IF(D367=$D$2:$D$2427,$X$2:$X$2427)))/COUNT(IF(A367=$A$2:$A$2427,IF(D367=$D$2:$D$2427,IF(ISNUMBER($X$2:$X$2427),1)))),0),""),0)</f>
        <v/>
      </c>
      <c r="Z367" s="104" t="str">
        <f>IF(ISNUMBER(O367),IF(I367&gt;0,(10^(VLOOKUP(D367,'Species Codes'!B:C,2,0)+VLOOKUP(D367,'Species Codes'!B:D,3,0)*LOG(E367)+VLOOKUP(D367,'Species Codes'!B:E,4,0)*LOG(I367))),0),"")</f>
        <v/>
      </c>
      <c r="AA367" s="104" t="str">
        <f>IFERROR((VLOOKUP(D367,'Species Codes'!B:G,6,0)*Z367)/2000,"")</f>
        <v/>
      </c>
      <c r="AB367" s="104" t="e">
        <f>IF(Z367&gt;0,((IF(OR(D367="DF",D367="RA")=TRUE,EXP(VLOOKUP(D367,'Species Codes'!B:I,8,0)+VLOOKUP(D367,'Species Codes'!B:J,9,0)*(LN((E367*2.54)))),IF(OR(D367="PY",D367="RC",D367="WH",D367="NF")=TRUE,VLOOKUP(D367,'Species Codes'!B:I,8,0)+VLOOKUP(D367,'Species Codes'!B:J,9,0)*((E367*2.54)^2)*(I367*0.3048),IF(OR(D367="MD",D367="BM",D367="GA")=TRUE,((VLOOKUP(D367,'Species Codes'!B:I,8,0)*(((((E367*2.54)+VLOOKUP(D367,'Species Codes'!B:J,9,0))/VLOOKUP(D367,'Species Codes'!B:K,10,0))^VLOOKUP(D367,'Species Codes'!B:L,11,0))*((I367*0.3048)^VLOOKUP(D367,'Species Codes'!B:M,12,0))))-(VLOOKUP(D367,'Species Codes'!B:I,8,0)*((((E367*2.54)^VLOOKUP(D367,'Species Codes'!B:L,11,0))*((I367*0.3048)^VLOOKUP(D367,'Species Codes'!B:M,12,0))))))*35.3*VLOOKUP(D367,'Species Codes'!B:G,6,0)/2.2046,VLOOKUP(D367,'Species Codes'!B:I,8,0)+VLOOKUP(D367,'Species Codes'!B:J,9,0)*(((E367*2.54)/100)^2)*(I367*0.3048)))))*0.0011023),0)</f>
        <v>#N/A</v>
      </c>
      <c r="AC367" s="104" t="e">
        <f>IF(Z367&gt;0,((IF(OR(D367="RA",D367="OA",D367="OT",D367="UN",D367="PC"),EXP(VLOOKUP(D367,'Species Codes'!B:O,14,0)+VLOOKUP(D367,'Species Codes'!B:P,15,0)*LN((E367*2.54)))-EXP(VLOOKUP(D367,'Species Codes'!B:O,14,0)+VLOOKUP(D367,'Species Codes'!B:P,15,0)*LN((E367*2.54)))*(1/(VLOOKUP(D367,'Species Codes'!B:Q,16,0)+VLOOKUP(D367,'Species Codes'!B:R,17,0)*((E367*2.54)^VLOOKUP(D367,'Species Codes'!B:S,18,0)))),IF(OR(D367="BM",D367="MD",D367="OA"),EXP(VLOOKUP(D367,'Species Codes'!B:O,14,0)+VLOOKUP(D367,'Species Codes'!B:P,15,0)*LN((E367*2.54)))*(1-(1/(VLOOKUP(D367,'Species Codes'!B:Q,16,0)+VLOOKUP(D367,'Species Codes'!B:R,17,0)*((E367*2.54)^VLOOKUP(D367,'Species Codes'!B:S,18,0)))))/1000,IF(D367="DF",EXP(VLOOKUP(D367,'Species Codes'!B:O,14,0)+VLOOKUP(D367,'Species Codes'!B:P,15,0)*LN((E367*2.54))),VLOOKUP(D367,'Species Codes'!B:O,14,0)+VLOOKUP(D367,'Species Codes'!B:P,15,0)*(((E367*2.54)/100)^2)*(I367*0.3048)))))*0.0011023),0)</f>
        <v>#N/A</v>
      </c>
      <c r="AD367" s="104" t="e">
        <f t="shared" si="193"/>
        <v>#N/A</v>
      </c>
      <c r="AE367" s="104" t="e">
        <f t="shared" si="194"/>
        <v>#N/A</v>
      </c>
      <c r="AF367" s="104" t="e">
        <f>IF(AND(VLOOKUP($D367,Merchantability!$B:$C,2,0)="Yes",$E367&gt;=VLOOKUP($D367,Merchantability!$B:$D,3,0),$E367&lt;=VLOOKUP($D367,Merchantability!$B:$E,4,0)),AA367,0)</f>
        <v>#N/A</v>
      </c>
      <c r="AG367" s="104" t="e">
        <f>IF(AND(VLOOKUP($D367,Merchantability!$B:$C,2,0)="Yes",$E367&gt;=VLOOKUP($D367,Merchantability!$B:$D,3,0),$E367&lt;=VLOOKUP($D367,Merchantability!$B:$E,4,0)),AB367,0)</f>
        <v>#N/A</v>
      </c>
      <c r="AH367" s="104" t="e">
        <f>IF(AND(VLOOKUP($D367,Merchantability!$B:$C,2,0)="Yes",$E367&gt;=VLOOKUP($D367,Merchantability!$B:$D,3,0),$E367&lt;=VLOOKUP($D367,Merchantability!$B:$E,4,0)),AC367,0)</f>
        <v>#N/A</v>
      </c>
      <c r="AI367" s="104" t="e">
        <f t="shared" si="195"/>
        <v>#N/A</v>
      </c>
      <c r="AJ367" s="104" t="e">
        <f t="shared" si="196"/>
        <v>#VALUE!</v>
      </c>
      <c r="AK367" s="104" t="e">
        <f t="shared" si="197"/>
        <v>#N/A</v>
      </c>
      <c r="AL367" s="104" t="e">
        <f t="shared" si="198"/>
        <v>#N/A</v>
      </c>
      <c r="AM367" s="104" t="e">
        <f t="shared" si="199"/>
        <v>#N/A</v>
      </c>
      <c r="AN367" s="104" t="e">
        <f t="shared" si="183"/>
        <v>#N/A</v>
      </c>
      <c r="AO367" s="104" t="e">
        <f t="shared" si="184"/>
        <v>#N/A</v>
      </c>
      <c r="AP367" s="104" t="e">
        <f t="shared" si="185"/>
        <v>#N/A</v>
      </c>
      <c r="AQ367" s="104" t="e">
        <f t="shared" si="186"/>
        <v>#N/A</v>
      </c>
      <c r="AR367" s="105" t="str">
        <f t="shared" si="178"/>
        <v/>
      </c>
      <c r="AS367" s="105" t="str">
        <f t="shared" si="179"/>
        <v/>
      </c>
      <c r="AT367" s="108" t="str">
        <f t="shared" si="180"/>
        <v/>
      </c>
      <c r="AU367" s="108" t="str">
        <f t="shared" si="181"/>
        <v/>
      </c>
      <c r="AV367" s="107" t="str">
        <f>IF(ISNUMBER(O367),IF(VLOOKUP($A367,Stand!C:J,8,FALSE)="Short",AT367,AU367),"")</f>
        <v/>
      </c>
      <c r="AW367" s="109" t="str">
        <f t="shared" si="187"/>
        <v/>
      </c>
      <c r="AX367" s="109" t="str">
        <f t="shared" si="188"/>
        <v/>
      </c>
      <c r="AY367" s="112" t="str">
        <f>IF(ISNUMBER(O367),IF(AND(VLOOKUP($D367,Merchantability!$B:$C,2,0)="Yes",$E367&gt;=VLOOKUP($D367,Merchantability!$B:$D,3,0),$E367&lt;=VLOOKUP($D367,Merchantability!$B:$E,4,0)),(AV367*O367)*(1-$H367/100),""),"")</f>
        <v/>
      </c>
      <c r="AZ367" s="116"/>
      <c r="BA367" s="116"/>
      <c r="BB367" s="116"/>
      <c r="BE367" s="62"/>
      <c r="BF367" s="63"/>
    </row>
    <row r="368" spans="1:58" ht="12.75" customHeight="1" x14ac:dyDescent="0.25">
      <c r="A368" s="313"/>
      <c r="B368" s="328"/>
      <c r="C368" s="329"/>
      <c r="D368" s="328"/>
      <c r="E368" s="330"/>
      <c r="F368" s="331"/>
      <c r="G368" s="329"/>
      <c r="H368" s="329"/>
      <c r="I368" s="328"/>
      <c r="J368" s="329"/>
      <c r="K368" s="329"/>
      <c r="L368" s="329"/>
      <c r="M368" s="76"/>
      <c r="N368" s="103" t="str">
        <f>IF(A368="","",VLOOKUP(A368,Stand!C:K,9,0))</f>
        <v/>
      </c>
      <c r="O368" s="104" t="str">
        <f t="shared" si="173"/>
        <v/>
      </c>
      <c r="P368" s="105" t="str">
        <f t="shared" si="174"/>
        <v/>
      </c>
      <c r="Q368" s="105" t="str">
        <f t="shared" si="189"/>
        <v/>
      </c>
      <c r="R368" s="103" t="str">
        <f t="shared" si="175"/>
        <v/>
      </c>
      <c r="S368" s="103" t="str">
        <f t="shared" si="176"/>
        <v/>
      </c>
      <c r="T368" s="106" t="str">
        <f t="shared" si="190"/>
        <v/>
      </c>
      <c r="U368" s="106" t="str">
        <f t="shared" si="191"/>
        <v/>
      </c>
      <c r="V368" s="106" t="str">
        <f t="shared" si="192"/>
        <v/>
      </c>
      <c r="W368" s="105" t="str">
        <f t="shared" si="177"/>
        <v/>
      </c>
      <c r="X368" s="104" t="str">
        <f t="shared" si="182"/>
        <v/>
      </c>
      <c r="Y368" s="104" t="str">
        <f t="array" ref="Y368">IFERROR(IF(ISNUMBER(O368),IF(COUNT(IF(A368=$A$2:$A$2427,IF(D368=$D$2:$D$2427,IF($X$2:$X$2427&gt;0,1))))&gt;0,SUM(IF(A368=$A$2:$A$2427,IF(D368=$D$2:$D$2427,$X$2:$X$2427)))/COUNT(IF(A368=$A$2:$A$2427,IF(D368=$D$2:$D$2427,IF(ISNUMBER($X$2:$X$2427),1)))),0),""),0)</f>
        <v/>
      </c>
      <c r="Z368" s="104" t="str">
        <f>IF(ISNUMBER(O368),IF(I368&gt;0,(10^(VLOOKUP(D368,'Species Codes'!B:C,2,0)+VLOOKUP(D368,'Species Codes'!B:D,3,0)*LOG(E368)+VLOOKUP(D368,'Species Codes'!B:E,4,0)*LOG(I368))),0),"")</f>
        <v/>
      </c>
      <c r="AA368" s="104" t="str">
        <f>IFERROR((VLOOKUP(D368,'Species Codes'!B:G,6,0)*Z368)/2000,"")</f>
        <v/>
      </c>
      <c r="AB368" s="104" t="e">
        <f>IF(Z368&gt;0,((IF(OR(D368="DF",D368="RA")=TRUE,EXP(VLOOKUP(D368,'Species Codes'!B:I,8,0)+VLOOKUP(D368,'Species Codes'!B:J,9,0)*(LN((E368*2.54)))),IF(OR(D368="PY",D368="RC",D368="WH",D368="NF")=TRUE,VLOOKUP(D368,'Species Codes'!B:I,8,0)+VLOOKUP(D368,'Species Codes'!B:J,9,0)*((E368*2.54)^2)*(I368*0.3048),IF(OR(D368="MD",D368="BM",D368="GA")=TRUE,((VLOOKUP(D368,'Species Codes'!B:I,8,0)*(((((E368*2.54)+VLOOKUP(D368,'Species Codes'!B:J,9,0))/VLOOKUP(D368,'Species Codes'!B:K,10,0))^VLOOKUP(D368,'Species Codes'!B:L,11,0))*((I368*0.3048)^VLOOKUP(D368,'Species Codes'!B:M,12,0))))-(VLOOKUP(D368,'Species Codes'!B:I,8,0)*((((E368*2.54)^VLOOKUP(D368,'Species Codes'!B:L,11,0))*((I368*0.3048)^VLOOKUP(D368,'Species Codes'!B:M,12,0))))))*35.3*VLOOKUP(D368,'Species Codes'!B:G,6,0)/2.2046,VLOOKUP(D368,'Species Codes'!B:I,8,0)+VLOOKUP(D368,'Species Codes'!B:J,9,0)*(((E368*2.54)/100)^2)*(I368*0.3048)))))*0.0011023),0)</f>
        <v>#N/A</v>
      </c>
      <c r="AC368" s="104" t="e">
        <f>IF(Z368&gt;0,((IF(OR(D368="RA",D368="OA",D368="OT",D368="UN",D368="PC"),EXP(VLOOKUP(D368,'Species Codes'!B:O,14,0)+VLOOKUP(D368,'Species Codes'!B:P,15,0)*LN((E368*2.54)))-EXP(VLOOKUP(D368,'Species Codes'!B:O,14,0)+VLOOKUP(D368,'Species Codes'!B:P,15,0)*LN((E368*2.54)))*(1/(VLOOKUP(D368,'Species Codes'!B:Q,16,0)+VLOOKUP(D368,'Species Codes'!B:R,17,0)*((E368*2.54)^VLOOKUP(D368,'Species Codes'!B:S,18,0)))),IF(OR(D368="BM",D368="MD",D368="OA"),EXP(VLOOKUP(D368,'Species Codes'!B:O,14,0)+VLOOKUP(D368,'Species Codes'!B:P,15,0)*LN((E368*2.54)))*(1-(1/(VLOOKUP(D368,'Species Codes'!B:Q,16,0)+VLOOKUP(D368,'Species Codes'!B:R,17,0)*((E368*2.54)^VLOOKUP(D368,'Species Codes'!B:S,18,0)))))/1000,IF(D368="DF",EXP(VLOOKUP(D368,'Species Codes'!B:O,14,0)+VLOOKUP(D368,'Species Codes'!B:P,15,0)*LN((E368*2.54))),VLOOKUP(D368,'Species Codes'!B:O,14,0)+VLOOKUP(D368,'Species Codes'!B:P,15,0)*(((E368*2.54)/100)^2)*(I368*0.3048)))))*0.0011023),0)</f>
        <v>#N/A</v>
      </c>
      <c r="AD368" s="104" t="e">
        <f t="shared" si="193"/>
        <v>#N/A</v>
      </c>
      <c r="AE368" s="104" t="e">
        <f t="shared" si="194"/>
        <v>#N/A</v>
      </c>
      <c r="AF368" s="104" t="e">
        <f>IF(AND(VLOOKUP($D368,Merchantability!$B:$C,2,0)="Yes",$E368&gt;=VLOOKUP($D368,Merchantability!$B:$D,3,0),$E368&lt;=VLOOKUP($D368,Merchantability!$B:$E,4,0)),AA368,0)</f>
        <v>#N/A</v>
      </c>
      <c r="AG368" s="104" t="e">
        <f>IF(AND(VLOOKUP($D368,Merchantability!$B:$C,2,0)="Yes",$E368&gt;=VLOOKUP($D368,Merchantability!$B:$D,3,0),$E368&lt;=VLOOKUP($D368,Merchantability!$B:$E,4,0)),AB368,0)</f>
        <v>#N/A</v>
      </c>
      <c r="AH368" s="104" t="e">
        <f>IF(AND(VLOOKUP($D368,Merchantability!$B:$C,2,0)="Yes",$E368&gt;=VLOOKUP($D368,Merchantability!$B:$D,3,0),$E368&lt;=VLOOKUP($D368,Merchantability!$B:$E,4,0)),AC368,0)</f>
        <v>#N/A</v>
      </c>
      <c r="AI368" s="104" t="e">
        <f t="shared" si="195"/>
        <v>#N/A</v>
      </c>
      <c r="AJ368" s="104" t="e">
        <f t="shared" si="196"/>
        <v>#VALUE!</v>
      </c>
      <c r="AK368" s="104" t="e">
        <f t="shared" si="197"/>
        <v>#N/A</v>
      </c>
      <c r="AL368" s="104" t="e">
        <f t="shared" si="198"/>
        <v>#N/A</v>
      </c>
      <c r="AM368" s="104" t="e">
        <f t="shared" si="199"/>
        <v>#N/A</v>
      </c>
      <c r="AN368" s="104" t="e">
        <f t="shared" si="183"/>
        <v>#N/A</v>
      </c>
      <c r="AO368" s="104" t="e">
        <f t="shared" si="184"/>
        <v>#N/A</v>
      </c>
      <c r="AP368" s="104" t="e">
        <f t="shared" si="185"/>
        <v>#N/A</v>
      </c>
      <c r="AQ368" s="104" t="e">
        <f t="shared" si="186"/>
        <v>#N/A</v>
      </c>
      <c r="AR368" s="105" t="str">
        <f t="shared" si="178"/>
        <v/>
      </c>
      <c r="AS368" s="105" t="str">
        <f t="shared" si="179"/>
        <v/>
      </c>
      <c r="AT368" s="108" t="str">
        <f t="shared" si="180"/>
        <v/>
      </c>
      <c r="AU368" s="108" t="str">
        <f t="shared" si="181"/>
        <v/>
      </c>
      <c r="AV368" s="107" t="str">
        <f>IF(ISNUMBER(O368),IF(VLOOKUP($A368,Stand!C:J,8,FALSE)="Short",AT368,AU368),"")</f>
        <v/>
      </c>
      <c r="AW368" s="109" t="str">
        <f t="shared" si="187"/>
        <v/>
      </c>
      <c r="AX368" s="109" t="str">
        <f t="shared" si="188"/>
        <v/>
      </c>
      <c r="AY368" s="112" t="str">
        <f>IF(ISNUMBER(O368),IF(AND(VLOOKUP($D368,Merchantability!$B:$C,2,0)="Yes",$E368&gt;=VLOOKUP($D368,Merchantability!$B:$D,3,0),$E368&lt;=VLOOKUP($D368,Merchantability!$B:$E,4,0)),(AV368*O368)*(1-$H368/100),""),"")</f>
        <v/>
      </c>
      <c r="AZ368" s="116"/>
      <c r="BA368" s="116"/>
      <c r="BB368" s="116"/>
      <c r="BE368" s="62"/>
      <c r="BF368" s="63"/>
    </row>
    <row r="369" spans="1:58" ht="12.75" customHeight="1" x14ac:dyDescent="0.25">
      <c r="A369" s="313"/>
      <c r="B369" s="328"/>
      <c r="C369" s="329"/>
      <c r="D369" s="328"/>
      <c r="E369" s="330"/>
      <c r="F369" s="331"/>
      <c r="G369" s="329"/>
      <c r="H369" s="329"/>
      <c r="I369" s="328"/>
      <c r="J369" s="329"/>
      <c r="K369" s="329"/>
      <c r="L369" s="329"/>
      <c r="M369" s="76"/>
      <c r="N369" s="103" t="str">
        <f>IF(A369="","",VLOOKUP(A369,Stand!C:K,9,0))</f>
        <v/>
      </c>
      <c r="O369" s="104" t="str">
        <f t="shared" si="173"/>
        <v/>
      </c>
      <c r="P369" s="105" t="str">
        <f t="shared" si="174"/>
        <v/>
      </c>
      <c r="Q369" s="105" t="str">
        <f t="shared" si="189"/>
        <v/>
      </c>
      <c r="R369" s="103" t="str">
        <f t="shared" si="175"/>
        <v/>
      </c>
      <c r="S369" s="103" t="str">
        <f t="shared" si="176"/>
        <v/>
      </c>
      <c r="T369" s="106" t="str">
        <f t="shared" si="190"/>
        <v/>
      </c>
      <c r="U369" s="106" t="str">
        <f t="shared" si="191"/>
        <v/>
      </c>
      <c r="V369" s="106" t="str">
        <f t="shared" si="192"/>
        <v/>
      </c>
      <c r="W369" s="105" t="str">
        <f t="shared" si="177"/>
        <v/>
      </c>
      <c r="X369" s="104" t="str">
        <f t="shared" si="182"/>
        <v/>
      </c>
      <c r="Y369" s="104" t="str">
        <f t="array" ref="Y369">IFERROR(IF(ISNUMBER(O369),IF(COUNT(IF(A369=$A$2:$A$2427,IF(D369=$D$2:$D$2427,IF($X$2:$X$2427&gt;0,1))))&gt;0,SUM(IF(A369=$A$2:$A$2427,IF(D369=$D$2:$D$2427,$X$2:$X$2427)))/COUNT(IF(A369=$A$2:$A$2427,IF(D369=$D$2:$D$2427,IF(ISNUMBER($X$2:$X$2427),1)))),0),""),0)</f>
        <v/>
      </c>
      <c r="Z369" s="104" t="str">
        <f>IF(ISNUMBER(O369),IF(I369&gt;0,(10^(VLOOKUP(D369,'Species Codes'!B:C,2,0)+VLOOKUP(D369,'Species Codes'!B:D,3,0)*LOG(E369)+VLOOKUP(D369,'Species Codes'!B:E,4,0)*LOG(I369))),0),"")</f>
        <v/>
      </c>
      <c r="AA369" s="104" t="str">
        <f>IFERROR((VLOOKUP(D369,'Species Codes'!B:G,6,0)*Z369)/2000,"")</f>
        <v/>
      </c>
      <c r="AB369" s="104" t="e">
        <f>IF(Z369&gt;0,((IF(OR(D369="DF",D369="RA")=TRUE,EXP(VLOOKUP(D369,'Species Codes'!B:I,8,0)+VLOOKUP(D369,'Species Codes'!B:J,9,0)*(LN((E369*2.54)))),IF(OR(D369="PY",D369="RC",D369="WH",D369="NF")=TRUE,VLOOKUP(D369,'Species Codes'!B:I,8,0)+VLOOKUP(D369,'Species Codes'!B:J,9,0)*((E369*2.54)^2)*(I369*0.3048),IF(OR(D369="MD",D369="BM",D369="GA")=TRUE,((VLOOKUP(D369,'Species Codes'!B:I,8,0)*(((((E369*2.54)+VLOOKUP(D369,'Species Codes'!B:J,9,0))/VLOOKUP(D369,'Species Codes'!B:K,10,0))^VLOOKUP(D369,'Species Codes'!B:L,11,0))*((I369*0.3048)^VLOOKUP(D369,'Species Codes'!B:M,12,0))))-(VLOOKUP(D369,'Species Codes'!B:I,8,0)*((((E369*2.54)^VLOOKUP(D369,'Species Codes'!B:L,11,0))*((I369*0.3048)^VLOOKUP(D369,'Species Codes'!B:M,12,0))))))*35.3*VLOOKUP(D369,'Species Codes'!B:G,6,0)/2.2046,VLOOKUP(D369,'Species Codes'!B:I,8,0)+VLOOKUP(D369,'Species Codes'!B:J,9,0)*(((E369*2.54)/100)^2)*(I369*0.3048)))))*0.0011023),0)</f>
        <v>#N/A</v>
      </c>
      <c r="AC369" s="104" t="e">
        <f>IF(Z369&gt;0,((IF(OR(D369="RA",D369="OA",D369="OT",D369="UN",D369="PC"),EXP(VLOOKUP(D369,'Species Codes'!B:O,14,0)+VLOOKUP(D369,'Species Codes'!B:P,15,0)*LN((E369*2.54)))-EXP(VLOOKUP(D369,'Species Codes'!B:O,14,0)+VLOOKUP(D369,'Species Codes'!B:P,15,0)*LN((E369*2.54)))*(1/(VLOOKUP(D369,'Species Codes'!B:Q,16,0)+VLOOKUP(D369,'Species Codes'!B:R,17,0)*((E369*2.54)^VLOOKUP(D369,'Species Codes'!B:S,18,0)))),IF(OR(D369="BM",D369="MD",D369="OA"),EXP(VLOOKUP(D369,'Species Codes'!B:O,14,0)+VLOOKUP(D369,'Species Codes'!B:P,15,0)*LN((E369*2.54)))*(1-(1/(VLOOKUP(D369,'Species Codes'!B:Q,16,0)+VLOOKUP(D369,'Species Codes'!B:R,17,0)*((E369*2.54)^VLOOKUP(D369,'Species Codes'!B:S,18,0)))))/1000,IF(D369="DF",EXP(VLOOKUP(D369,'Species Codes'!B:O,14,0)+VLOOKUP(D369,'Species Codes'!B:P,15,0)*LN((E369*2.54))),VLOOKUP(D369,'Species Codes'!B:O,14,0)+VLOOKUP(D369,'Species Codes'!B:P,15,0)*(((E369*2.54)/100)^2)*(I369*0.3048)))))*0.0011023),0)</f>
        <v>#N/A</v>
      </c>
      <c r="AD369" s="104" t="e">
        <f t="shared" si="193"/>
        <v>#N/A</v>
      </c>
      <c r="AE369" s="104" t="e">
        <f t="shared" si="194"/>
        <v>#N/A</v>
      </c>
      <c r="AF369" s="104" t="e">
        <f>IF(AND(VLOOKUP($D369,Merchantability!$B:$C,2,0)="Yes",$E369&gt;=VLOOKUP($D369,Merchantability!$B:$D,3,0),$E369&lt;=VLOOKUP($D369,Merchantability!$B:$E,4,0)),AA369,0)</f>
        <v>#N/A</v>
      </c>
      <c r="AG369" s="104" t="e">
        <f>IF(AND(VLOOKUP($D369,Merchantability!$B:$C,2,0)="Yes",$E369&gt;=VLOOKUP($D369,Merchantability!$B:$D,3,0),$E369&lt;=VLOOKUP($D369,Merchantability!$B:$E,4,0)),AB369,0)</f>
        <v>#N/A</v>
      </c>
      <c r="AH369" s="104" t="e">
        <f>IF(AND(VLOOKUP($D369,Merchantability!$B:$C,2,0)="Yes",$E369&gt;=VLOOKUP($D369,Merchantability!$B:$D,3,0),$E369&lt;=VLOOKUP($D369,Merchantability!$B:$E,4,0)),AC369,0)</f>
        <v>#N/A</v>
      </c>
      <c r="AI369" s="104" t="e">
        <f t="shared" si="195"/>
        <v>#N/A</v>
      </c>
      <c r="AJ369" s="104" t="e">
        <f t="shared" si="196"/>
        <v>#VALUE!</v>
      </c>
      <c r="AK369" s="104" t="e">
        <f t="shared" si="197"/>
        <v>#N/A</v>
      </c>
      <c r="AL369" s="104" t="e">
        <f t="shared" si="198"/>
        <v>#N/A</v>
      </c>
      <c r="AM369" s="104" t="e">
        <f t="shared" si="199"/>
        <v>#N/A</v>
      </c>
      <c r="AN369" s="104" t="e">
        <f t="shared" si="183"/>
        <v>#N/A</v>
      </c>
      <c r="AO369" s="104" t="e">
        <f t="shared" si="184"/>
        <v>#N/A</v>
      </c>
      <c r="AP369" s="104" t="e">
        <f t="shared" si="185"/>
        <v>#N/A</v>
      </c>
      <c r="AQ369" s="104" t="e">
        <f t="shared" si="186"/>
        <v>#N/A</v>
      </c>
      <c r="AR369" s="105" t="str">
        <f t="shared" si="178"/>
        <v/>
      </c>
      <c r="AS369" s="105" t="str">
        <f t="shared" si="179"/>
        <v/>
      </c>
      <c r="AT369" s="108" t="str">
        <f t="shared" si="180"/>
        <v/>
      </c>
      <c r="AU369" s="108" t="str">
        <f t="shared" si="181"/>
        <v/>
      </c>
      <c r="AV369" s="107" t="str">
        <f>IF(ISNUMBER(O369),IF(VLOOKUP($A369,Stand!C:J,8,FALSE)="Short",AT369,AU369),"")</f>
        <v/>
      </c>
      <c r="AW369" s="109" t="str">
        <f t="shared" si="187"/>
        <v/>
      </c>
      <c r="AX369" s="109" t="str">
        <f t="shared" si="188"/>
        <v/>
      </c>
      <c r="AY369" s="112" t="str">
        <f>IF(ISNUMBER(O369),IF(AND(VLOOKUP($D369,Merchantability!$B:$C,2,0)="Yes",$E369&gt;=VLOOKUP($D369,Merchantability!$B:$D,3,0),$E369&lt;=VLOOKUP($D369,Merchantability!$B:$E,4,0)),(AV369*O369)*(1-$H369/100),""),"")</f>
        <v/>
      </c>
      <c r="AZ369" s="116"/>
      <c r="BA369" s="116"/>
      <c r="BB369" s="116"/>
      <c r="BE369" s="62"/>
      <c r="BF369" s="63"/>
    </row>
    <row r="370" spans="1:58" ht="12.75" customHeight="1" x14ac:dyDescent="0.25">
      <c r="A370" s="313"/>
      <c r="B370" s="328"/>
      <c r="C370" s="329"/>
      <c r="D370" s="328"/>
      <c r="E370" s="330"/>
      <c r="F370" s="331"/>
      <c r="G370" s="329"/>
      <c r="H370" s="329"/>
      <c r="I370" s="328"/>
      <c r="J370" s="329"/>
      <c r="K370" s="329"/>
      <c r="L370" s="329"/>
      <c r="M370" s="76"/>
      <c r="N370" s="103" t="str">
        <f>IF(A370="","",VLOOKUP(A370,Stand!C:K,9,0))</f>
        <v/>
      </c>
      <c r="O370" s="104" t="str">
        <f t="shared" si="173"/>
        <v/>
      </c>
      <c r="P370" s="105" t="str">
        <f t="shared" si="174"/>
        <v/>
      </c>
      <c r="Q370" s="105" t="str">
        <f t="shared" si="189"/>
        <v/>
      </c>
      <c r="R370" s="103" t="str">
        <f t="shared" si="175"/>
        <v/>
      </c>
      <c r="S370" s="103" t="str">
        <f t="shared" si="176"/>
        <v/>
      </c>
      <c r="T370" s="106" t="str">
        <f t="shared" si="190"/>
        <v/>
      </c>
      <c r="U370" s="106" t="str">
        <f t="shared" si="191"/>
        <v/>
      </c>
      <c r="V370" s="106" t="str">
        <f t="shared" si="192"/>
        <v/>
      </c>
      <c r="W370" s="105" t="str">
        <f t="shared" si="177"/>
        <v/>
      </c>
      <c r="X370" s="104" t="str">
        <f t="shared" si="182"/>
        <v/>
      </c>
      <c r="Y370" s="104" t="str">
        <f t="array" ref="Y370">IFERROR(IF(ISNUMBER(O370),IF(COUNT(IF(A370=$A$2:$A$2427,IF(D370=$D$2:$D$2427,IF($X$2:$X$2427&gt;0,1))))&gt;0,SUM(IF(A370=$A$2:$A$2427,IF(D370=$D$2:$D$2427,$X$2:$X$2427)))/COUNT(IF(A370=$A$2:$A$2427,IF(D370=$D$2:$D$2427,IF(ISNUMBER($X$2:$X$2427),1)))),0),""),0)</f>
        <v/>
      </c>
      <c r="Z370" s="104" t="str">
        <f>IF(ISNUMBER(O370),IF(I370&gt;0,(10^(VLOOKUP(D370,'Species Codes'!B:C,2,0)+VLOOKUP(D370,'Species Codes'!B:D,3,0)*LOG(E370)+VLOOKUP(D370,'Species Codes'!B:E,4,0)*LOG(I370))),0),"")</f>
        <v/>
      </c>
      <c r="AA370" s="104" t="str">
        <f>IFERROR((VLOOKUP(D370,'Species Codes'!B:G,6,0)*Z370)/2000,"")</f>
        <v/>
      </c>
      <c r="AB370" s="104" t="e">
        <f>IF(Z370&gt;0,((IF(OR(D370="DF",D370="RA")=TRUE,EXP(VLOOKUP(D370,'Species Codes'!B:I,8,0)+VLOOKUP(D370,'Species Codes'!B:J,9,0)*(LN((E370*2.54)))),IF(OR(D370="PY",D370="RC",D370="WH",D370="NF")=TRUE,VLOOKUP(D370,'Species Codes'!B:I,8,0)+VLOOKUP(D370,'Species Codes'!B:J,9,0)*((E370*2.54)^2)*(I370*0.3048),IF(OR(D370="MD",D370="BM",D370="GA")=TRUE,((VLOOKUP(D370,'Species Codes'!B:I,8,0)*(((((E370*2.54)+VLOOKUP(D370,'Species Codes'!B:J,9,0))/VLOOKUP(D370,'Species Codes'!B:K,10,0))^VLOOKUP(D370,'Species Codes'!B:L,11,0))*((I370*0.3048)^VLOOKUP(D370,'Species Codes'!B:M,12,0))))-(VLOOKUP(D370,'Species Codes'!B:I,8,0)*((((E370*2.54)^VLOOKUP(D370,'Species Codes'!B:L,11,0))*((I370*0.3048)^VLOOKUP(D370,'Species Codes'!B:M,12,0))))))*35.3*VLOOKUP(D370,'Species Codes'!B:G,6,0)/2.2046,VLOOKUP(D370,'Species Codes'!B:I,8,0)+VLOOKUP(D370,'Species Codes'!B:J,9,0)*(((E370*2.54)/100)^2)*(I370*0.3048)))))*0.0011023),0)</f>
        <v>#N/A</v>
      </c>
      <c r="AC370" s="104" t="e">
        <f>IF(Z370&gt;0,((IF(OR(D370="RA",D370="OA",D370="OT",D370="UN",D370="PC"),EXP(VLOOKUP(D370,'Species Codes'!B:O,14,0)+VLOOKUP(D370,'Species Codes'!B:P,15,0)*LN((E370*2.54)))-EXP(VLOOKUP(D370,'Species Codes'!B:O,14,0)+VLOOKUP(D370,'Species Codes'!B:P,15,0)*LN((E370*2.54)))*(1/(VLOOKUP(D370,'Species Codes'!B:Q,16,0)+VLOOKUP(D370,'Species Codes'!B:R,17,0)*((E370*2.54)^VLOOKUP(D370,'Species Codes'!B:S,18,0)))),IF(OR(D370="BM",D370="MD",D370="OA"),EXP(VLOOKUP(D370,'Species Codes'!B:O,14,0)+VLOOKUP(D370,'Species Codes'!B:P,15,0)*LN((E370*2.54)))*(1-(1/(VLOOKUP(D370,'Species Codes'!B:Q,16,0)+VLOOKUP(D370,'Species Codes'!B:R,17,0)*((E370*2.54)^VLOOKUP(D370,'Species Codes'!B:S,18,0)))))/1000,IF(D370="DF",EXP(VLOOKUP(D370,'Species Codes'!B:O,14,0)+VLOOKUP(D370,'Species Codes'!B:P,15,0)*LN((E370*2.54))),VLOOKUP(D370,'Species Codes'!B:O,14,0)+VLOOKUP(D370,'Species Codes'!B:P,15,0)*(((E370*2.54)/100)^2)*(I370*0.3048)))))*0.0011023),0)</f>
        <v>#N/A</v>
      </c>
      <c r="AD370" s="104" t="e">
        <f t="shared" si="193"/>
        <v>#N/A</v>
      </c>
      <c r="AE370" s="104" t="e">
        <f t="shared" si="194"/>
        <v>#N/A</v>
      </c>
      <c r="AF370" s="104" t="e">
        <f>IF(AND(VLOOKUP($D370,Merchantability!$B:$C,2,0)="Yes",$E370&gt;=VLOOKUP($D370,Merchantability!$B:$D,3,0),$E370&lt;=VLOOKUP($D370,Merchantability!$B:$E,4,0)),AA370,0)</f>
        <v>#N/A</v>
      </c>
      <c r="AG370" s="104" t="e">
        <f>IF(AND(VLOOKUP($D370,Merchantability!$B:$C,2,0)="Yes",$E370&gt;=VLOOKUP($D370,Merchantability!$B:$D,3,0),$E370&lt;=VLOOKUP($D370,Merchantability!$B:$E,4,0)),AB370,0)</f>
        <v>#N/A</v>
      </c>
      <c r="AH370" s="104" t="e">
        <f>IF(AND(VLOOKUP($D370,Merchantability!$B:$C,2,0)="Yes",$E370&gt;=VLOOKUP($D370,Merchantability!$B:$D,3,0),$E370&lt;=VLOOKUP($D370,Merchantability!$B:$E,4,0)),AC370,0)</f>
        <v>#N/A</v>
      </c>
      <c r="AI370" s="104" t="e">
        <f t="shared" si="195"/>
        <v>#N/A</v>
      </c>
      <c r="AJ370" s="104" t="e">
        <f t="shared" si="196"/>
        <v>#VALUE!</v>
      </c>
      <c r="AK370" s="104" t="e">
        <f t="shared" si="197"/>
        <v>#N/A</v>
      </c>
      <c r="AL370" s="104" t="e">
        <f t="shared" si="198"/>
        <v>#N/A</v>
      </c>
      <c r="AM370" s="104" t="e">
        <f t="shared" si="199"/>
        <v>#N/A</v>
      </c>
      <c r="AN370" s="104" t="e">
        <f t="shared" si="183"/>
        <v>#N/A</v>
      </c>
      <c r="AO370" s="104" t="e">
        <f t="shared" si="184"/>
        <v>#N/A</v>
      </c>
      <c r="AP370" s="104" t="e">
        <f t="shared" si="185"/>
        <v>#N/A</v>
      </c>
      <c r="AQ370" s="104" t="e">
        <f t="shared" si="186"/>
        <v>#N/A</v>
      </c>
      <c r="AR370" s="105" t="str">
        <f t="shared" si="178"/>
        <v/>
      </c>
      <c r="AS370" s="105" t="str">
        <f t="shared" si="179"/>
        <v/>
      </c>
      <c r="AT370" s="108" t="str">
        <f t="shared" si="180"/>
        <v/>
      </c>
      <c r="AU370" s="108" t="str">
        <f t="shared" si="181"/>
        <v/>
      </c>
      <c r="AV370" s="107" t="str">
        <f>IF(ISNUMBER(O370),IF(VLOOKUP($A370,Stand!C:J,8,FALSE)="Short",AT370,AU370),"")</f>
        <v/>
      </c>
      <c r="AW370" s="109" t="str">
        <f t="shared" si="187"/>
        <v/>
      </c>
      <c r="AX370" s="109" t="str">
        <f t="shared" si="188"/>
        <v/>
      </c>
      <c r="AY370" s="112" t="str">
        <f>IF(ISNUMBER(O370),IF(AND(VLOOKUP($D370,Merchantability!$B:$C,2,0)="Yes",$E370&gt;=VLOOKUP($D370,Merchantability!$B:$D,3,0),$E370&lt;=VLOOKUP($D370,Merchantability!$B:$E,4,0)),(AV370*O370)*(1-$H370/100),""),"")</f>
        <v/>
      </c>
      <c r="AZ370" s="116"/>
      <c r="BA370" s="116"/>
      <c r="BB370" s="116"/>
      <c r="BE370" s="62"/>
      <c r="BF370" s="63"/>
    </row>
    <row r="371" spans="1:58" ht="12.75" customHeight="1" x14ac:dyDescent="0.25">
      <c r="A371" s="313"/>
      <c r="B371" s="328"/>
      <c r="C371" s="329"/>
      <c r="D371" s="328"/>
      <c r="E371" s="330"/>
      <c r="F371" s="331"/>
      <c r="G371" s="329"/>
      <c r="H371" s="329"/>
      <c r="I371" s="328"/>
      <c r="J371" s="329"/>
      <c r="K371" s="329"/>
      <c r="L371" s="329"/>
      <c r="M371" s="76"/>
      <c r="N371" s="103" t="str">
        <f>IF(A371="","",VLOOKUP(A371,Stand!C:K,9,0))</f>
        <v/>
      </c>
      <c r="O371" s="104" t="str">
        <f t="shared" si="173"/>
        <v/>
      </c>
      <c r="P371" s="105" t="str">
        <f t="shared" si="174"/>
        <v/>
      </c>
      <c r="Q371" s="105" t="str">
        <f t="shared" si="189"/>
        <v/>
      </c>
      <c r="R371" s="103" t="str">
        <f t="shared" si="175"/>
        <v/>
      </c>
      <c r="S371" s="103" t="str">
        <f t="shared" si="176"/>
        <v/>
      </c>
      <c r="T371" s="106" t="str">
        <f t="shared" si="190"/>
        <v/>
      </c>
      <c r="U371" s="106" t="str">
        <f t="shared" si="191"/>
        <v/>
      </c>
      <c r="V371" s="106" t="str">
        <f t="shared" si="192"/>
        <v/>
      </c>
      <c r="W371" s="105" t="str">
        <f t="shared" si="177"/>
        <v/>
      </c>
      <c r="X371" s="104" t="str">
        <f t="shared" si="182"/>
        <v/>
      </c>
      <c r="Y371" s="104" t="str">
        <f t="array" ref="Y371">IFERROR(IF(ISNUMBER(O371),IF(COUNT(IF(A371=$A$2:$A$2427,IF(D371=$D$2:$D$2427,IF($X$2:$X$2427&gt;0,1))))&gt;0,SUM(IF(A371=$A$2:$A$2427,IF(D371=$D$2:$D$2427,$X$2:$X$2427)))/COUNT(IF(A371=$A$2:$A$2427,IF(D371=$D$2:$D$2427,IF(ISNUMBER($X$2:$X$2427),1)))),0),""),0)</f>
        <v/>
      </c>
      <c r="Z371" s="104" t="str">
        <f>IF(ISNUMBER(O371),IF(I371&gt;0,(10^(VLOOKUP(D371,'Species Codes'!B:C,2,0)+VLOOKUP(D371,'Species Codes'!B:D,3,0)*LOG(E371)+VLOOKUP(D371,'Species Codes'!B:E,4,0)*LOG(I371))),0),"")</f>
        <v/>
      </c>
      <c r="AA371" s="104" t="str">
        <f>IFERROR((VLOOKUP(D371,'Species Codes'!B:G,6,0)*Z371)/2000,"")</f>
        <v/>
      </c>
      <c r="AB371" s="104" t="e">
        <f>IF(Z371&gt;0,((IF(OR(D371="DF",D371="RA")=TRUE,EXP(VLOOKUP(D371,'Species Codes'!B:I,8,0)+VLOOKUP(D371,'Species Codes'!B:J,9,0)*(LN((E371*2.54)))),IF(OR(D371="PY",D371="RC",D371="WH",D371="NF")=TRUE,VLOOKUP(D371,'Species Codes'!B:I,8,0)+VLOOKUP(D371,'Species Codes'!B:J,9,0)*((E371*2.54)^2)*(I371*0.3048),IF(OR(D371="MD",D371="BM",D371="GA")=TRUE,((VLOOKUP(D371,'Species Codes'!B:I,8,0)*(((((E371*2.54)+VLOOKUP(D371,'Species Codes'!B:J,9,0))/VLOOKUP(D371,'Species Codes'!B:K,10,0))^VLOOKUP(D371,'Species Codes'!B:L,11,0))*((I371*0.3048)^VLOOKUP(D371,'Species Codes'!B:M,12,0))))-(VLOOKUP(D371,'Species Codes'!B:I,8,0)*((((E371*2.54)^VLOOKUP(D371,'Species Codes'!B:L,11,0))*((I371*0.3048)^VLOOKUP(D371,'Species Codes'!B:M,12,0))))))*35.3*VLOOKUP(D371,'Species Codes'!B:G,6,0)/2.2046,VLOOKUP(D371,'Species Codes'!B:I,8,0)+VLOOKUP(D371,'Species Codes'!B:J,9,0)*(((E371*2.54)/100)^2)*(I371*0.3048)))))*0.0011023),0)</f>
        <v>#N/A</v>
      </c>
      <c r="AC371" s="104" t="e">
        <f>IF(Z371&gt;0,((IF(OR(D371="RA",D371="OA",D371="OT",D371="UN",D371="PC"),EXP(VLOOKUP(D371,'Species Codes'!B:O,14,0)+VLOOKUP(D371,'Species Codes'!B:P,15,0)*LN((E371*2.54)))-EXP(VLOOKUP(D371,'Species Codes'!B:O,14,0)+VLOOKUP(D371,'Species Codes'!B:P,15,0)*LN((E371*2.54)))*(1/(VLOOKUP(D371,'Species Codes'!B:Q,16,0)+VLOOKUP(D371,'Species Codes'!B:R,17,0)*((E371*2.54)^VLOOKUP(D371,'Species Codes'!B:S,18,0)))),IF(OR(D371="BM",D371="MD",D371="OA"),EXP(VLOOKUP(D371,'Species Codes'!B:O,14,0)+VLOOKUP(D371,'Species Codes'!B:P,15,0)*LN((E371*2.54)))*(1-(1/(VLOOKUP(D371,'Species Codes'!B:Q,16,0)+VLOOKUP(D371,'Species Codes'!B:R,17,0)*((E371*2.54)^VLOOKUP(D371,'Species Codes'!B:S,18,0)))))/1000,IF(D371="DF",EXP(VLOOKUP(D371,'Species Codes'!B:O,14,0)+VLOOKUP(D371,'Species Codes'!B:P,15,0)*LN((E371*2.54))),VLOOKUP(D371,'Species Codes'!B:O,14,0)+VLOOKUP(D371,'Species Codes'!B:P,15,0)*(((E371*2.54)/100)^2)*(I371*0.3048)))))*0.0011023),0)</f>
        <v>#N/A</v>
      </c>
      <c r="AD371" s="104" t="e">
        <f t="shared" si="193"/>
        <v>#N/A</v>
      </c>
      <c r="AE371" s="104" t="e">
        <f t="shared" si="194"/>
        <v>#N/A</v>
      </c>
      <c r="AF371" s="104" t="e">
        <f>IF(AND(VLOOKUP($D371,Merchantability!$B:$C,2,0)="Yes",$E371&gt;=VLOOKUP($D371,Merchantability!$B:$D,3,0),$E371&lt;=VLOOKUP($D371,Merchantability!$B:$E,4,0)),AA371,0)</f>
        <v>#N/A</v>
      </c>
      <c r="AG371" s="104" t="e">
        <f>IF(AND(VLOOKUP($D371,Merchantability!$B:$C,2,0)="Yes",$E371&gt;=VLOOKUP($D371,Merchantability!$B:$D,3,0),$E371&lt;=VLOOKUP($D371,Merchantability!$B:$E,4,0)),AB371,0)</f>
        <v>#N/A</v>
      </c>
      <c r="AH371" s="104" t="e">
        <f>IF(AND(VLOOKUP($D371,Merchantability!$B:$C,2,0)="Yes",$E371&gt;=VLOOKUP($D371,Merchantability!$B:$D,3,0),$E371&lt;=VLOOKUP($D371,Merchantability!$B:$E,4,0)),AC371,0)</f>
        <v>#N/A</v>
      </c>
      <c r="AI371" s="104" t="e">
        <f t="shared" si="195"/>
        <v>#N/A</v>
      </c>
      <c r="AJ371" s="104" t="e">
        <f t="shared" si="196"/>
        <v>#VALUE!</v>
      </c>
      <c r="AK371" s="104" t="e">
        <f t="shared" si="197"/>
        <v>#N/A</v>
      </c>
      <c r="AL371" s="104" t="e">
        <f t="shared" si="198"/>
        <v>#N/A</v>
      </c>
      <c r="AM371" s="104" t="e">
        <f t="shared" si="199"/>
        <v>#N/A</v>
      </c>
      <c r="AN371" s="104" t="e">
        <f t="shared" si="183"/>
        <v>#N/A</v>
      </c>
      <c r="AO371" s="104" t="e">
        <f t="shared" si="184"/>
        <v>#N/A</v>
      </c>
      <c r="AP371" s="104" t="e">
        <f t="shared" si="185"/>
        <v>#N/A</v>
      </c>
      <c r="AQ371" s="104" t="e">
        <f t="shared" si="186"/>
        <v>#N/A</v>
      </c>
      <c r="AR371" s="105" t="str">
        <f t="shared" si="178"/>
        <v/>
      </c>
      <c r="AS371" s="105" t="str">
        <f t="shared" si="179"/>
        <v/>
      </c>
      <c r="AT371" s="108" t="str">
        <f t="shared" si="180"/>
        <v/>
      </c>
      <c r="AU371" s="108" t="str">
        <f t="shared" si="181"/>
        <v/>
      </c>
      <c r="AV371" s="107" t="str">
        <f>IF(ISNUMBER(O371),IF(VLOOKUP($A371,Stand!C:J,8,FALSE)="Short",AT371,AU371),"")</f>
        <v/>
      </c>
      <c r="AW371" s="109" t="str">
        <f t="shared" si="187"/>
        <v/>
      </c>
      <c r="AX371" s="109" t="str">
        <f t="shared" si="188"/>
        <v/>
      </c>
      <c r="AY371" s="112" t="str">
        <f>IF(ISNUMBER(O371),IF(AND(VLOOKUP($D371,Merchantability!$B:$C,2,0)="Yes",$E371&gt;=VLOOKUP($D371,Merchantability!$B:$D,3,0),$E371&lt;=VLOOKUP($D371,Merchantability!$B:$E,4,0)),(AV371*O371)*(1-$H371/100),""),"")</f>
        <v/>
      </c>
      <c r="AZ371" s="116"/>
      <c r="BA371" s="116"/>
      <c r="BB371" s="116"/>
      <c r="BE371" s="62"/>
      <c r="BF371" s="63"/>
    </row>
    <row r="372" spans="1:58" ht="12.75" customHeight="1" x14ac:dyDescent="0.25">
      <c r="A372" s="313"/>
      <c r="B372" s="328"/>
      <c r="C372" s="329"/>
      <c r="D372" s="328"/>
      <c r="E372" s="330"/>
      <c r="F372" s="331"/>
      <c r="G372" s="329"/>
      <c r="H372" s="329"/>
      <c r="I372" s="328"/>
      <c r="J372" s="329"/>
      <c r="K372" s="329"/>
      <c r="L372" s="329"/>
      <c r="M372" s="76"/>
      <c r="N372" s="103" t="str">
        <f>IF(A372="","",VLOOKUP(A372,Stand!C:K,9,0))</f>
        <v/>
      </c>
      <c r="O372" s="104" t="str">
        <f t="shared" si="173"/>
        <v/>
      </c>
      <c r="P372" s="105" t="str">
        <f t="shared" si="174"/>
        <v/>
      </c>
      <c r="Q372" s="105" t="str">
        <f t="shared" si="189"/>
        <v/>
      </c>
      <c r="R372" s="103" t="str">
        <f t="shared" si="175"/>
        <v/>
      </c>
      <c r="S372" s="103" t="str">
        <f t="shared" si="176"/>
        <v/>
      </c>
      <c r="T372" s="106" t="str">
        <f t="shared" si="190"/>
        <v/>
      </c>
      <c r="U372" s="106" t="str">
        <f t="shared" si="191"/>
        <v/>
      </c>
      <c r="V372" s="106" t="str">
        <f t="shared" si="192"/>
        <v/>
      </c>
      <c r="W372" s="105" t="str">
        <f t="shared" si="177"/>
        <v/>
      </c>
      <c r="X372" s="104" t="str">
        <f t="shared" si="182"/>
        <v/>
      </c>
      <c r="Y372" s="104" t="str">
        <f t="array" ref="Y372">IFERROR(IF(ISNUMBER(O372),IF(COUNT(IF(A372=$A$2:$A$2427,IF(D372=$D$2:$D$2427,IF($X$2:$X$2427&gt;0,1))))&gt;0,SUM(IF(A372=$A$2:$A$2427,IF(D372=$D$2:$D$2427,$X$2:$X$2427)))/COUNT(IF(A372=$A$2:$A$2427,IF(D372=$D$2:$D$2427,IF(ISNUMBER($X$2:$X$2427),1)))),0),""),0)</f>
        <v/>
      </c>
      <c r="Z372" s="104" t="str">
        <f>IF(ISNUMBER(O372),IF(I372&gt;0,(10^(VLOOKUP(D372,'Species Codes'!B:C,2,0)+VLOOKUP(D372,'Species Codes'!B:D,3,0)*LOG(E372)+VLOOKUP(D372,'Species Codes'!B:E,4,0)*LOG(I372))),0),"")</f>
        <v/>
      </c>
      <c r="AA372" s="104" t="str">
        <f>IFERROR((VLOOKUP(D372,'Species Codes'!B:G,6,0)*Z372)/2000,"")</f>
        <v/>
      </c>
      <c r="AB372" s="104" t="e">
        <f>IF(Z372&gt;0,((IF(OR(D372="DF",D372="RA")=TRUE,EXP(VLOOKUP(D372,'Species Codes'!B:I,8,0)+VLOOKUP(D372,'Species Codes'!B:J,9,0)*(LN((E372*2.54)))),IF(OR(D372="PY",D372="RC",D372="WH",D372="NF")=TRUE,VLOOKUP(D372,'Species Codes'!B:I,8,0)+VLOOKUP(D372,'Species Codes'!B:J,9,0)*((E372*2.54)^2)*(I372*0.3048),IF(OR(D372="MD",D372="BM",D372="GA")=TRUE,((VLOOKUP(D372,'Species Codes'!B:I,8,0)*(((((E372*2.54)+VLOOKUP(D372,'Species Codes'!B:J,9,0))/VLOOKUP(D372,'Species Codes'!B:K,10,0))^VLOOKUP(D372,'Species Codes'!B:L,11,0))*((I372*0.3048)^VLOOKUP(D372,'Species Codes'!B:M,12,0))))-(VLOOKUP(D372,'Species Codes'!B:I,8,0)*((((E372*2.54)^VLOOKUP(D372,'Species Codes'!B:L,11,0))*((I372*0.3048)^VLOOKUP(D372,'Species Codes'!B:M,12,0))))))*35.3*VLOOKUP(D372,'Species Codes'!B:G,6,0)/2.2046,VLOOKUP(D372,'Species Codes'!B:I,8,0)+VLOOKUP(D372,'Species Codes'!B:J,9,0)*(((E372*2.54)/100)^2)*(I372*0.3048)))))*0.0011023),0)</f>
        <v>#N/A</v>
      </c>
      <c r="AC372" s="104" t="e">
        <f>IF(Z372&gt;0,((IF(OR(D372="RA",D372="OA",D372="OT",D372="UN",D372="PC"),EXP(VLOOKUP(D372,'Species Codes'!B:O,14,0)+VLOOKUP(D372,'Species Codes'!B:P,15,0)*LN((E372*2.54)))-EXP(VLOOKUP(D372,'Species Codes'!B:O,14,0)+VLOOKUP(D372,'Species Codes'!B:P,15,0)*LN((E372*2.54)))*(1/(VLOOKUP(D372,'Species Codes'!B:Q,16,0)+VLOOKUP(D372,'Species Codes'!B:R,17,0)*((E372*2.54)^VLOOKUP(D372,'Species Codes'!B:S,18,0)))),IF(OR(D372="BM",D372="MD",D372="OA"),EXP(VLOOKUP(D372,'Species Codes'!B:O,14,0)+VLOOKUP(D372,'Species Codes'!B:P,15,0)*LN((E372*2.54)))*(1-(1/(VLOOKUP(D372,'Species Codes'!B:Q,16,0)+VLOOKUP(D372,'Species Codes'!B:R,17,0)*((E372*2.54)^VLOOKUP(D372,'Species Codes'!B:S,18,0)))))/1000,IF(D372="DF",EXP(VLOOKUP(D372,'Species Codes'!B:O,14,0)+VLOOKUP(D372,'Species Codes'!B:P,15,0)*LN((E372*2.54))),VLOOKUP(D372,'Species Codes'!B:O,14,0)+VLOOKUP(D372,'Species Codes'!B:P,15,0)*(((E372*2.54)/100)^2)*(I372*0.3048)))))*0.0011023),0)</f>
        <v>#N/A</v>
      </c>
      <c r="AD372" s="104" t="e">
        <f t="shared" si="193"/>
        <v>#N/A</v>
      </c>
      <c r="AE372" s="104" t="e">
        <f t="shared" si="194"/>
        <v>#N/A</v>
      </c>
      <c r="AF372" s="104" t="e">
        <f>IF(AND(VLOOKUP($D372,Merchantability!$B:$C,2,0)="Yes",$E372&gt;=VLOOKUP($D372,Merchantability!$B:$D,3,0),$E372&lt;=VLOOKUP($D372,Merchantability!$B:$E,4,0)),AA372,0)</f>
        <v>#N/A</v>
      </c>
      <c r="AG372" s="104" t="e">
        <f>IF(AND(VLOOKUP($D372,Merchantability!$B:$C,2,0)="Yes",$E372&gt;=VLOOKUP($D372,Merchantability!$B:$D,3,0),$E372&lt;=VLOOKUP($D372,Merchantability!$B:$E,4,0)),AB372,0)</f>
        <v>#N/A</v>
      </c>
      <c r="AH372" s="104" t="e">
        <f>IF(AND(VLOOKUP($D372,Merchantability!$B:$C,2,0)="Yes",$E372&gt;=VLOOKUP($D372,Merchantability!$B:$D,3,0),$E372&lt;=VLOOKUP($D372,Merchantability!$B:$E,4,0)),AC372,0)</f>
        <v>#N/A</v>
      </c>
      <c r="AI372" s="104" t="e">
        <f t="shared" si="195"/>
        <v>#N/A</v>
      </c>
      <c r="AJ372" s="104" t="e">
        <f t="shared" si="196"/>
        <v>#VALUE!</v>
      </c>
      <c r="AK372" s="104" t="e">
        <f t="shared" si="197"/>
        <v>#N/A</v>
      </c>
      <c r="AL372" s="104" t="e">
        <f t="shared" si="198"/>
        <v>#N/A</v>
      </c>
      <c r="AM372" s="104" t="e">
        <f t="shared" si="199"/>
        <v>#N/A</v>
      </c>
      <c r="AN372" s="104" t="e">
        <f t="shared" si="183"/>
        <v>#N/A</v>
      </c>
      <c r="AO372" s="104" t="e">
        <f t="shared" si="184"/>
        <v>#N/A</v>
      </c>
      <c r="AP372" s="104" t="e">
        <f t="shared" si="185"/>
        <v>#N/A</v>
      </c>
      <c r="AQ372" s="104" t="e">
        <f t="shared" si="186"/>
        <v>#N/A</v>
      </c>
      <c r="AR372" s="105" t="str">
        <f t="shared" si="178"/>
        <v/>
      </c>
      <c r="AS372" s="105" t="str">
        <f t="shared" si="179"/>
        <v/>
      </c>
      <c r="AT372" s="108" t="str">
        <f t="shared" si="180"/>
        <v/>
      </c>
      <c r="AU372" s="108" t="str">
        <f t="shared" si="181"/>
        <v/>
      </c>
      <c r="AV372" s="107" t="str">
        <f>IF(ISNUMBER(O372),IF(VLOOKUP($A372,Stand!C:J,8,FALSE)="Short",AT372,AU372),"")</f>
        <v/>
      </c>
      <c r="AW372" s="109" t="str">
        <f t="shared" si="187"/>
        <v/>
      </c>
      <c r="AX372" s="109" t="str">
        <f t="shared" si="188"/>
        <v/>
      </c>
      <c r="AY372" s="112" t="str">
        <f>IF(ISNUMBER(O372),IF(AND(VLOOKUP($D372,Merchantability!$B:$C,2,0)="Yes",$E372&gt;=VLOOKUP($D372,Merchantability!$B:$D,3,0),$E372&lt;=VLOOKUP($D372,Merchantability!$B:$E,4,0)),(AV372*O372)*(1-$H372/100),""),"")</f>
        <v/>
      </c>
      <c r="AZ372" s="116"/>
      <c r="BA372" s="116"/>
      <c r="BB372" s="116"/>
      <c r="BE372" s="62"/>
      <c r="BF372" s="63"/>
    </row>
    <row r="373" spans="1:58" ht="12.75" customHeight="1" x14ac:dyDescent="0.25">
      <c r="A373" s="313"/>
      <c r="B373" s="328"/>
      <c r="C373" s="329"/>
      <c r="D373" s="328"/>
      <c r="E373" s="330"/>
      <c r="F373" s="331"/>
      <c r="G373" s="329"/>
      <c r="H373" s="329"/>
      <c r="I373" s="328"/>
      <c r="J373" s="329"/>
      <c r="K373" s="329"/>
      <c r="L373" s="329"/>
      <c r="M373" s="76"/>
      <c r="N373" s="103" t="str">
        <f>IF(A373="","",VLOOKUP(A373,Stand!C:K,9,0))</f>
        <v/>
      </c>
      <c r="O373" s="104" t="str">
        <f t="shared" si="173"/>
        <v/>
      </c>
      <c r="P373" s="105" t="str">
        <f t="shared" si="174"/>
        <v/>
      </c>
      <c r="Q373" s="105" t="str">
        <f t="shared" si="189"/>
        <v/>
      </c>
      <c r="R373" s="103" t="str">
        <f t="shared" si="175"/>
        <v/>
      </c>
      <c r="S373" s="103" t="str">
        <f t="shared" si="176"/>
        <v/>
      </c>
      <c r="T373" s="106" t="str">
        <f t="shared" si="190"/>
        <v/>
      </c>
      <c r="U373" s="106" t="str">
        <f t="shared" si="191"/>
        <v/>
      </c>
      <c r="V373" s="106" t="str">
        <f t="shared" si="192"/>
        <v/>
      </c>
      <c r="W373" s="105" t="str">
        <f t="shared" si="177"/>
        <v/>
      </c>
      <c r="X373" s="104" t="str">
        <f t="shared" si="182"/>
        <v/>
      </c>
      <c r="Y373" s="104" t="str">
        <f t="array" ref="Y373">IFERROR(IF(ISNUMBER(O373),IF(COUNT(IF(A373=$A$2:$A$2427,IF(D373=$D$2:$D$2427,IF($X$2:$X$2427&gt;0,1))))&gt;0,SUM(IF(A373=$A$2:$A$2427,IF(D373=$D$2:$D$2427,$X$2:$X$2427)))/COUNT(IF(A373=$A$2:$A$2427,IF(D373=$D$2:$D$2427,IF(ISNUMBER($X$2:$X$2427),1)))),0),""),0)</f>
        <v/>
      </c>
      <c r="Z373" s="104" t="str">
        <f>IF(ISNUMBER(O373),IF(I373&gt;0,(10^(VLOOKUP(D373,'Species Codes'!B:C,2,0)+VLOOKUP(D373,'Species Codes'!B:D,3,0)*LOG(E373)+VLOOKUP(D373,'Species Codes'!B:E,4,0)*LOG(I373))),0),"")</f>
        <v/>
      </c>
      <c r="AA373" s="104" t="str">
        <f>IFERROR((VLOOKUP(D373,'Species Codes'!B:G,6,0)*Z373)/2000,"")</f>
        <v/>
      </c>
      <c r="AB373" s="104" t="e">
        <f>IF(Z373&gt;0,((IF(OR(D373="DF",D373="RA")=TRUE,EXP(VLOOKUP(D373,'Species Codes'!B:I,8,0)+VLOOKUP(D373,'Species Codes'!B:J,9,0)*(LN((E373*2.54)))),IF(OR(D373="PY",D373="RC",D373="WH",D373="NF")=TRUE,VLOOKUP(D373,'Species Codes'!B:I,8,0)+VLOOKUP(D373,'Species Codes'!B:J,9,0)*((E373*2.54)^2)*(I373*0.3048),IF(OR(D373="MD",D373="BM",D373="GA")=TRUE,((VLOOKUP(D373,'Species Codes'!B:I,8,0)*(((((E373*2.54)+VLOOKUP(D373,'Species Codes'!B:J,9,0))/VLOOKUP(D373,'Species Codes'!B:K,10,0))^VLOOKUP(D373,'Species Codes'!B:L,11,0))*((I373*0.3048)^VLOOKUP(D373,'Species Codes'!B:M,12,0))))-(VLOOKUP(D373,'Species Codes'!B:I,8,0)*((((E373*2.54)^VLOOKUP(D373,'Species Codes'!B:L,11,0))*((I373*0.3048)^VLOOKUP(D373,'Species Codes'!B:M,12,0))))))*35.3*VLOOKUP(D373,'Species Codes'!B:G,6,0)/2.2046,VLOOKUP(D373,'Species Codes'!B:I,8,0)+VLOOKUP(D373,'Species Codes'!B:J,9,0)*(((E373*2.54)/100)^2)*(I373*0.3048)))))*0.0011023),0)</f>
        <v>#N/A</v>
      </c>
      <c r="AC373" s="104" t="e">
        <f>IF(Z373&gt;0,((IF(OR(D373="RA",D373="OA",D373="OT",D373="UN",D373="PC"),EXP(VLOOKUP(D373,'Species Codes'!B:O,14,0)+VLOOKUP(D373,'Species Codes'!B:P,15,0)*LN((E373*2.54)))-EXP(VLOOKUP(D373,'Species Codes'!B:O,14,0)+VLOOKUP(D373,'Species Codes'!B:P,15,0)*LN((E373*2.54)))*(1/(VLOOKUP(D373,'Species Codes'!B:Q,16,0)+VLOOKUP(D373,'Species Codes'!B:R,17,0)*((E373*2.54)^VLOOKUP(D373,'Species Codes'!B:S,18,0)))),IF(OR(D373="BM",D373="MD",D373="OA"),EXP(VLOOKUP(D373,'Species Codes'!B:O,14,0)+VLOOKUP(D373,'Species Codes'!B:P,15,0)*LN((E373*2.54)))*(1-(1/(VLOOKUP(D373,'Species Codes'!B:Q,16,0)+VLOOKUP(D373,'Species Codes'!B:R,17,0)*((E373*2.54)^VLOOKUP(D373,'Species Codes'!B:S,18,0)))))/1000,IF(D373="DF",EXP(VLOOKUP(D373,'Species Codes'!B:O,14,0)+VLOOKUP(D373,'Species Codes'!B:P,15,0)*LN((E373*2.54))),VLOOKUP(D373,'Species Codes'!B:O,14,0)+VLOOKUP(D373,'Species Codes'!B:P,15,0)*(((E373*2.54)/100)^2)*(I373*0.3048)))))*0.0011023),0)</f>
        <v>#N/A</v>
      </c>
      <c r="AD373" s="104" t="e">
        <f t="shared" si="193"/>
        <v>#N/A</v>
      </c>
      <c r="AE373" s="104" t="e">
        <f t="shared" si="194"/>
        <v>#N/A</v>
      </c>
      <c r="AF373" s="104" t="e">
        <f>IF(AND(VLOOKUP($D373,Merchantability!$B:$C,2,0)="Yes",$E373&gt;=VLOOKUP($D373,Merchantability!$B:$D,3,0),$E373&lt;=VLOOKUP($D373,Merchantability!$B:$E,4,0)),AA373,0)</f>
        <v>#N/A</v>
      </c>
      <c r="AG373" s="104" t="e">
        <f>IF(AND(VLOOKUP($D373,Merchantability!$B:$C,2,0)="Yes",$E373&gt;=VLOOKUP($D373,Merchantability!$B:$D,3,0),$E373&lt;=VLOOKUP($D373,Merchantability!$B:$E,4,0)),AB373,0)</f>
        <v>#N/A</v>
      </c>
      <c r="AH373" s="104" t="e">
        <f>IF(AND(VLOOKUP($D373,Merchantability!$B:$C,2,0)="Yes",$E373&gt;=VLOOKUP($D373,Merchantability!$B:$D,3,0),$E373&lt;=VLOOKUP($D373,Merchantability!$B:$E,4,0)),AC373,0)</f>
        <v>#N/A</v>
      </c>
      <c r="AI373" s="104" t="e">
        <f t="shared" si="195"/>
        <v>#N/A</v>
      </c>
      <c r="AJ373" s="104" t="e">
        <f t="shared" si="196"/>
        <v>#VALUE!</v>
      </c>
      <c r="AK373" s="104" t="e">
        <f t="shared" si="197"/>
        <v>#N/A</v>
      </c>
      <c r="AL373" s="104" t="e">
        <f t="shared" si="198"/>
        <v>#N/A</v>
      </c>
      <c r="AM373" s="104" t="e">
        <f t="shared" si="199"/>
        <v>#N/A</v>
      </c>
      <c r="AN373" s="104" t="e">
        <f t="shared" si="183"/>
        <v>#N/A</v>
      </c>
      <c r="AO373" s="104" t="e">
        <f t="shared" si="184"/>
        <v>#N/A</v>
      </c>
      <c r="AP373" s="104" t="e">
        <f t="shared" si="185"/>
        <v>#N/A</v>
      </c>
      <c r="AQ373" s="104" t="e">
        <f t="shared" si="186"/>
        <v>#N/A</v>
      </c>
      <c r="AR373" s="105" t="str">
        <f t="shared" si="178"/>
        <v/>
      </c>
      <c r="AS373" s="105" t="str">
        <f t="shared" si="179"/>
        <v/>
      </c>
      <c r="AT373" s="108" t="str">
        <f t="shared" si="180"/>
        <v/>
      </c>
      <c r="AU373" s="108" t="str">
        <f t="shared" si="181"/>
        <v/>
      </c>
      <c r="AV373" s="107" t="str">
        <f>IF(ISNUMBER(O373),IF(VLOOKUP($A373,Stand!C:J,8,FALSE)="Short",AT373,AU373),"")</f>
        <v/>
      </c>
      <c r="AW373" s="109" t="str">
        <f t="shared" si="187"/>
        <v/>
      </c>
      <c r="AX373" s="109" t="str">
        <f t="shared" si="188"/>
        <v/>
      </c>
      <c r="AY373" s="112" t="str">
        <f>IF(ISNUMBER(O373),IF(AND(VLOOKUP($D373,Merchantability!$B:$C,2,0)="Yes",$E373&gt;=VLOOKUP($D373,Merchantability!$B:$D,3,0),$E373&lt;=VLOOKUP($D373,Merchantability!$B:$E,4,0)),(AV373*O373)*(1-$H373/100),""),"")</f>
        <v/>
      </c>
      <c r="AZ373" s="116"/>
      <c r="BA373" s="116"/>
      <c r="BB373" s="116"/>
      <c r="BE373" s="62"/>
      <c r="BF373" s="63"/>
    </row>
    <row r="374" spans="1:58" ht="12.75" customHeight="1" x14ac:dyDescent="0.25">
      <c r="A374" s="313"/>
      <c r="B374" s="328"/>
      <c r="C374" s="329"/>
      <c r="D374" s="328"/>
      <c r="E374" s="330"/>
      <c r="F374" s="331"/>
      <c r="G374" s="329"/>
      <c r="H374" s="329"/>
      <c r="I374" s="328"/>
      <c r="J374" s="329"/>
      <c r="K374" s="329"/>
      <c r="L374" s="329"/>
      <c r="M374" s="76"/>
      <c r="N374" s="103" t="str">
        <f>IF(A374="","",VLOOKUP(A374,Stand!C:K,9,0))</f>
        <v/>
      </c>
      <c r="O374" s="104" t="str">
        <f t="shared" si="173"/>
        <v/>
      </c>
      <c r="P374" s="105" t="str">
        <f t="shared" si="174"/>
        <v/>
      </c>
      <c r="Q374" s="105" t="str">
        <f t="shared" si="189"/>
        <v/>
      </c>
      <c r="R374" s="103" t="str">
        <f t="shared" si="175"/>
        <v/>
      </c>
      <c r="S374" s="103" t="str">
        <f t="shared" si="176"/>
        <v/>
      </c>
      <c r="T374" s="106" t="str">
        <f t="shared" si="190"/>
        <v/>
      </c>
      <c r="U374" s="106" t="str">
        <f t="shared" si="191"/>
        <v/>
      </c>
      <c r="V374" s="106" t="str">
        <f t="shared" si="192"/>
        <v/>
      </c>
      <c r="W374" s="105" t="str">
        <f t="shared" si="177"/>
        <v/>
      </c>
      <c r="X374" s="104" t="str">
        <f t="shared" si="182"/>
        <v/>
      </c>
      <c r="Y374" s="104" t="str">
        <f t="array" ref="Y374">IFERROR(IF(ISNUMBER(O374),IF(COUNT(IF(A374=$A$2:$A$2427,IF(D374=$D$2:$D$2427,IF($X$2:$X$2427&gt;0,1))))&gt;0,SUM(IF(A374=$A$2:$A$2427,IF(D374=$D$2:$D$2427,$X$2:$X$2427)))/COUNT(IF(A374=$A$2:$A$2427,IF(D374=$D$2:$D$2427,IF(ISNUMBER($X$2:$X$2427),1)))),0),""),0)</f>
        <v/>
      </c>
      <c r="Z374" s="104" t="str">
        <f>IF(ISNUMBER(O374),IF(I374&gt;0,(10^(VLOOKUP(D374,'Species Codes'!B:C,2,0)+VLOOKUP(D374,'Species Codes'!B:D,3,0)*LOG(E374)+VLOOKUP(D374,'Species Codes'!B:E,4,0)*LOG(I374))),0),"")</f>
        <v/>
      </c>
      <c r="AA374" s="104" t="str">
        <f>IFERROR((VLOOKUP(D374,'Species Codes'!B:G,6,0)*Z374)/2000,"")</f>
        <v/>
      </c>
      <c r="AB374" s="104" t="e">
        <f>IF(Z374&gt;0,((IF(OR(D374="DF",D374="RA")=TRUE,EXP(VLOOKUP(D374,'Species Codes'!B:I,8,0)+VLOOKUP(D374,'Species Codes'!B:J,9,0)*(LN((E374*2.54)))),IF(OR(D374="PY",D374="RC",D374="WH",D374="NF")=TRUE,VLOOKUP(D374,'Species Codes'!B:I,8,0)+VLOOKUP(D374,'Species Codes'!B:J,9,0)*((E374*2.54)^2)*(I374*0.3048),IF(OR(D374="MD",D374="BM",D374="GA")=TRUE,((VLOOKUP(D374,'Species Codes'!B:I,8,0)*(((((E374*2.54)+VLOOKUP(D374,'Species Codes'!B:J,9,0))/VLOOKUP(D374,'Species Codes'!B:K,10,0))^VLOOKUP(D374,'Species Codes'!B:L,11,0))*((I374*0.3048)^VLOOKUP(D374,'Species Codes'!B:M,12,0))))-(VLOOKUP(D374,'Species Codes'!B:I,8,0)*((((E374*2.54)^VLOOKUP(D374,'Species Codes'!B:L,11,0))*((I374*0.3048)^VLOOKUP(D374,'Species Codes'!B:M,12,0))))))*35.3*VLOOKUP(D374,'Species Codes'!B:G,6,0)/2.2046,VLOOKUP(D374,'Species Codes'!B:I,8,0)+VLOOKUP(D374,'Species Codes'!B:J,9,0)*(((E374*2.54)/100)^2)*(I374*0.3048)))))*0.0011023),0)</f>
        <v>#N/A</v>
      </c>
      <c r="AC374" s="104" t="e">
        <f>IF(Z374&gt;0,((IF(OR(D374="RA",D374="OA",D374="OT",D374="UN",D374="PC"),EXP(VLOOKUP(D374,'Species Codes'!B:O,14,0)+VLOOKUP(D374,'Species Codes'!B:P,15,0)*LN((E374*2.54)))-EXP(VLOOKUP(D374,'Species Codes'!B:O,14,0)+VLOOKUP(D374,'Species Codes'!B:P,15,0)*LN((E374*2.54)))*(1/(VLOOKUP(D374,'Species Codes'!B:Q,16,0)+VLOOKUP(D374,'Species Codes'!B:R,17,0)*((E374*2.54)^VLOOKUP(D374,'Species Codes'!B:S,18,0)))),IF(OR(D374="BM",D374="MD",D374="OA"),EXP(VLOOKUP(D374,'Species Codes'!B:O,14,0)+VLOOKUP(D374,'Species Codes'!B:P,15,0)*LN((E374*2.54)))*(1-(1/(VLOOKUP(D374,'Species Codes'!B:Q,16,0)+VLOOKUP(D374,'Species Codes'!B:R,17,0)*((E374*2.54)^VLOOKUP(D374,'Species Codes'!B:S,18,0)))))/1000,IF(D374="DF",EXP(VLOOKUP(D374,'Species Codes'!B:O,14,0)+VLOOKUP(D374,'Species Codes'!B:P,15,0)*LN((E374*2.54))),VLOOKUP(D374,'Species Codes'!B:O,14,0)+VLOOKUP(D374,'Species Codes'!B:P,15,0)*(((E374*2.54)/100)^2)*(I374*0.3048)))))*0.0011023),0)</f>
        <v>#N/A</v>
      </c>
      <c r="AD374" s="104" t="e">
        <f t="shared" si="193"/>
        <v>#N/A</v>
      </c>
      <c r="AE374" s="104" t="e">
        <f t="shared" si="194"/>
        <v>#N/A</v>
      </c>
      <c r="AF374" s="104" t="e">
        <f>IF(AND(VLOOKUP($D374,Merchantability!$B:$C,2,0)="Yes",$E374&gt;=VLOOKUP($D374,Merchantability!$B:$D,3,0),$E374&lt;=VLOOKUP($D374,Merchantability!$B:$E,4,0)),AA374,0)</f>
        <v>#N/A</v>
      </c>
      <c r="AG374" s="104" t="e">
        <f>IF(AND(VLOOKUP($D374,Merchantability!$B:$C,2,0)="Yes",$E374&gt;=VLOOKUP($D374,Merchantability!$B:$D,3,0),$E374&lt;=VLOOKUP($D374,Merchantability!$B:$E,4,0)),AB374,0)</f>
        <v>#N/A</v>
      </c>
      <c r="AH374" s="104" t="e">
        <f>IF(AND(VLOOKUP($D374,Merchantability!$B:$C,2,0)="Yes",$E374&gt;=VLOOKUP($D374,Merchantability!$B:$D,3,0),$E374&lt;=VLOOKUP($D374,Merchantability!$B:$E,4,0)),AC374,0)</f>
        <v>#N/A</v>
      </c>
      <c r="AI374" s="104" t="e">
        <f t="shared" si="195"/>
        <v>#N/A</v>
      </c>
      <c r="AJ374" s="104" t="e">
        <f t="shared" si="196"/>
        <v>#VALUE!</v>
      </c>
      <c r="AK374" s="104" t="e">
        <f t="shared" si="197"/>
        <v>#N/A</v>
      </c>
      <c r="AL374" s="104" t="e">
        <f t="shared" si="198"/>
        <v>#N/A</v>
      </c>
      <c r="AM374" s="104" t="e">
        <f t="shared" si="199"/>
        <v>#N/A</v>
      </c>
      <c r="AN374" s="104" t="e">
        <f t="shared" si="183"/>
        <v>#N/A</v>
      </c>
      <c r="AO374" s="104" t="e">
        <f t="shared" si="184"/>
        <v>#N/A</v>
      </c>
      <c r="AP374" s="104" t="e">
        <f t="shared" si="185"/>
        <v>#N/A</v>
      </c>
      <c r="AQ374" s="104" t="e">
        <f t="shared" si="186"/>
        <v>#N/A</v>
      </c>
      <c r="AR374" s="105" t="str">
        <f t="shared" si="178"/>
        <v/>
      </c>
      <c r="AS374" s="105" t="str">
        <f t="shared" si="179"/>
        <v/>
      </c>
      <c r="AT374" s="108" t="str">
        <f t="shared" si="180"/>
        <v/>
      </c>
      <c r="AU374" s="108" t="str">
        <f t="shared" si="181"/>
        <v/>
      </c>
      <c r="AV374" s="107" t="str">
        <f>IF(ISNUMBER(O374),IF(VLOOKUP($A374,Stand!C:J,8,FALSE)="Short",AT374,AU374),"")</f>
        <v/>
      </c>
      <c r="AW374" s="109" t="str">
        <f t="shared" si="187"/>
        <v/>
      </c>
      <c r="AX374" s="109" t="str">
        <f t="shared" si="188"/>
        <v/>
      </c>
      <c r="AY374" s="112" t="str">
        <f>IF(ISNUMBER(O374),IF(AND(VLOOKUP($D374,Merchantability!$B:$C,2,0)="Yes",$E374&gt;=VLOOKUP($D374,Merchantability!$B:$D,3,0),$E374&lt;=VLOOKUP($D374,Merchantability!$B:$E,4,0)),(AV374*O374)*(1-$H374/100),""),"")</f>
        <v/>
      </c>
      <c r="AZ374" s="116"/>
      <c r="BA374" s="116"/>
      <c r="BB374" s="116"/>
      <c r="BE374" s="62"/>
      <c r="BF374" s="63"/>
    </row>
    <row r="375" spans="1:58" ht="12.75" customHeight="1" x14ac:dyDescent="0.25">
      <c r="A375" s="313"/>
      <c r="B375" s="328"/>
      <c r="C375" s="329"/>
      <c r="D375" s="328"/>
      <c r="E375" s="330"/>
      <c r="F375" s="331"/>
      <c r="G375" s="329"/>
      <c r="H375" s="329"/>
      <c r="I375" s="328"/>
      <c r="J375" s="329"/>
      <c r="K375" s="329"/>
      <c r="L375" s="329"/>
      <c r="M375" s="76"/>
      <c r="N375" s="103" t="str">
        <f>IF(A375="","",VLOOKUP(A375,Stand!C:K,9,0))</f>
        <v/>
      </c>
      <c r="O375" s="104" t="str">
        <f t="shared" si="173"/>
        <v/>
      </c>
      <c r="P375" s="105" t="str">
        <f t="shared" si="174"/>
        <v/>
      </c>
      <c r="Q375" s="105" t="str">
        <f t="shared" si="189"/>
        <v/>
      </c>
      <c r="R375" s="103" t="str">
        <f t="shared" si="175"/>
        <v/>
      </c>
      <c r="S375" s="103" t="str">
        <f t="shared" si="176"/>
        <v/>
      </c>
      <c r="T375" s="106" t="str">
        <f t="shared" si="190"/>
        <v/>
      </c>
      <c r="U375" s="106" t="str">
        <f t="shared" si="191"/>
        <v/>
      </c>
      <c r="V375" s="106" t="str">
        <f t="shared" si="192"/>
        <v/>
      </c>
      <c r="W375" s="105" t="str">
        <f t="shared" si="177"/>
        <v/>
      </c>
      <c r="X375" s="104" t="str">
        <f t="shared" si="182"/>
        <v/>
      </c>
      <c r="Y375" s="104" t="str">
        <f t="array" ref="Y375">IFERROR(IF(ISNUMBER(O375),IF(COUNT(IF(A375=$A$2:$A$2427,IF(D375=$D$2:$D$2427,IF($X$2:$X$2427&gt;0,1))))&gt;0,SUM(IF(A375=$A$2:$A$2427,IF(D375=$D$2:$D$2427,$X$2:$X$2427)))/COUNT(IF(A375=$A$2:$A$2427,IF(D375=$D$2:$D$2427,IF(ISNUMBER($X$2:$X$2427),1)))),0),""),0)</f>
        <v/>
      </c>
      <c r="Z375" s="104" t="str">
        <f>IF(ISNUMBER(O375),IF(I375&gt;0,(10^(VLOOKUP(D375,'Species Codes'!B:C,2,0)+VLOOKUP(D375,'Species Codes'!B:D,3,0)*LOG(E375)+VLOOKUP(D375,'Species Codes'!B:E,4,0)*LOG(I375))),0),"")</f>
        <v/>
      </c>
      <c r="AA375" s="104" t="str">
        <f>IFERROR((VLOOKUP(D375,'Species Codes'!B:G,6,0)*Z375)/2000,"")</f>
        <v/>
      </c>
      <c r="AB375" s="104" t="e">
        <f>IF(Z375&gt;0,((IF(OR(D375="DF",D375="RA")=TRUE,EXP(VLOOKUP(D375,'Species Codes'!B:I,8,0)+VLOOKUP(D375,'Species Codes'!B:J,9,0)*(LN((E375*2.54)))),IF(OR(D375="PY",D375="RC",D375="WH",D375="NF")=TRUE,VLOOKUP(D375,'Species Codes'!B:I,8,0)+VLOOKUP(D375,'Species Codes'!B:J,9,0)*((E375*2.54)^2)*(I375*0.3048),IF(OR(D375="MD",D375="BM",D375="GA")=TRUE,((VLOOKUP(D375,'Species Codes'!B:I,8,0)*(((((E375*2.54)+VLOOKUP(D375,'Species Codes'!B:J,9,0))/VLOOKUP(D375,'Species Codes'!B:K,10,0))^VLOOKUP(D375,'Species Codes'!B:L,11,0))*((I375*0.3048)^VLOOKUP(D375,'Species Codes'!B:M,12,0))))-(VLOOKUP(D375,'Species Codes'!B:I,8,0)*((((E375*2.54)^VLOOKUP(D375,'Species Codes'!B:L,11,0))*((I375*0.3048)^VLOOKUP(D375,'Species Codes'!B:M,12,0))))))*35.3*VLOOKUP(D375,'Species Codes'!B:G,6,0)/2.2046,VLOOKUP(D375,'Species Codes'!B:I,8,0)+VLOOKUP(D375,'Species Codes'!B:J,9,0)*(((E375*2.54)/100)^2)*(I375*0.3048)))))*0.0011023),0)</f>
        <v>#N/A</v>
      </c>
      <c r="AC375" s="104" t="e">
        <f>IF(Z375&gt;0,((IF(OR(D375="RA",D375="OA",D375="OT",D375="UN",D375="PC"),EXP(VLOOKUP(D375,'Species Codes'!B:O,14,0)+VLOOKUP(D375,'Species Codes'!B:P,15,0)*LN((E375*2.54)))-EXP(VLOOKUP(D375,'Species Codes'!B:O,14,0)+VLOOKUP(D375,'Species Codes'!B:P,15,0)*LN((E375*2.54)))*(1/(VLOOKUP(D375,'Species Codes'!B:Q,16,0)+VLOOKUP(D375,'Species Codes'!B:R,17,0)*((E375*2.54)^VLOOKUP(D375,'Species Codes'!B:S,18,0)))),IF(OR(D375="BM",D375="MD",D375="OA"),EXP(VLOOKUP(D375,'Species Codes'!B:O,14,0)+VLOOKUP(D375,'Species Codes'!B:P,15,0)*LN((E375*2.54)))*(1-(1/(VLOOKUP(D375,'Species Codes'!B:Q,16,0)+VLOOKUP(D375,'Species Codes'!B:R,17,0)*((E375*2.54)^VLOOKUP(D375,'Species Codes'!B:S,18,0)))))/1000,IF(D375="DF",EXP(VLOOKUP(D375,'Species Codes'!B:O,14,0)+VLOOKUP(D375,'Species Codes'!B:P,15,0)*LN((E375*2.54))),VLOOKUP(D375,'Species Codes'!B:O,14,0)+VLOOKUP(D375,'Species Codes'!B:P,15,0)*(((E375*2.54)/100)^2)*(I375*0.3048)))))*0.0011023),0)</f>
        <v>#N/A</v>
      </c>
      <c r="AD375" s="104" t="e">
        <f t="shared" si="193"/>
        <v>#N/A</v>
      </c>
      <c r="AE375" s="104" t="e">
        <f t="shared" si="194"/>
        <v>#N/A</v>
      </c>
      <c r="AF375" s="104" t="e">
        <f>IF(AND(VLOOKUP($D375,Merchantability!$B:$C,2,0)="Yes",$E375&gt;=VLOOKUP($D375,Merchantability!$B:$D,3,0),$E375&lt;=VLOOKUP($D375,Merchantability!$B:$E,4,0)),AA375,0)</f>
        <v>#N/A</v>
      </c>
      <c r="AG375" s="104" t="e">
        <f>IF(AND(VLOOKUP($D375,Merchantability!$B:$C,2,0)="Yes",$E375&gt;=VLOOKUP($D375,Merchantability!$B:$D,3,0),$E375&lt;=VLOOKUP($D375,Merchantability!$B:$E,4,0)),AB375,0)</f>
        <v>#N/A</v>
      </c>
      <c r="AH375" s="104" t="e">
        <f>IF(AND(VLOOKUP($D375,Merchantability!$B:$C,2,0)="Yes",$E375&gt;=VLOOKUP($D375,Merchantability!$B:$D,3,0),$E375&lt;=VLOOKUP($D375,Merchantability!$B:$E,4,0)),AC375,0)</f>
        <v>#N/A</v>
      </c>
      <c r="AI375" s="104" t="e">
        <f t="shared" si="195"/>
        <v>#N/A</v>
      </c>
      <c r="AJ375" s="104" t="e">
        <f t="shared" si="196"/>
        <v>#VALUE!</v>
      </c>
      <c r="AK375" s="104" t="e">
        <f t="shared" si="197"/>
        <v>#N/A</v>
      </c>
      <c r="AL375" s="104" t="e">
        <f t="shared" si="198"/>
        <v>#N/A</v>
      </c>
      <c r="AM375" s="104" t="e">
        <f t="shared" si="199"/>
        <v>#N/A</v>
      </c>
      <c r="AN375" s="104" t="e">
        <f t="shared" si="183"/>
        <v>#N/A</v>
      </c>
      <c r="AO375" s="104" t="e">
        <f t="shared" si="184"/>
        <v>#N/A</v>
      </c>
      <c r="AP375" s="104" t="e">
        <f t="shared" si="185"/>
        <v>#N/A</v>
      </c>
      <c r="AQ375" s="104" t="e">
        <f t="shared" si="186"/>
        <v>#N/A</v>
      </c>
      <c r="AR375" s="105" t="str">
        <f t="shared" si="178"/>
        <v/>
      </c>
      <c r="AS375" s="105" t="str">
        <f t="shared" si="179"/>
        <v/>
      </c>
      <c r="AT375" s="108" t="str">
        <f t="shared" si="180"/>
        <v/>
      </c>
      <c r="AU375" s="108" t="str">
        <f t="shared" si="181"/>
        <v/>
      </c>
      <c r="AV375" s="107" t="str">
        <f>IF(ISNUMBER(O375),IF(VLOOKUP($A375,Stand!C:J,8,FALSE)="Short",AT375,AU375),"")</f>
        <v/>
      </c>
      <c r="AW375" s="109" t="str">
        <f t="shared" si="187"/>
        <v/>
      </c>
      <c r="AX375" s="109" t="str">
        <f t="shared" si="188"/>
        <v/>
      </c>
      <c r="AY375" s="112" t="str">
        <f>IF(ISNUMBER(O375),IF(AND(VLOOKUP($D375,Merchantability!$B:$C,2,0)="Yes",$E375&gt;=VLOOKUP($D375,Merchantability!$B:$D,3,0),$E375&lt;=VLOOKUP($D375,Merchantability!$B:$E,4,0)),(AV375*O375)*(1-$H375/100),""),"")</f>
        <v/>
      </c>
      <c r="AZ375" s="116"/>
      <c r="BA375" s="116"/>
      <c r="BB375" s="116"/>
      <c r="BE375" s="62"/>
      <c r="BF375" s="63"/>
    </row>
    <row r="376" spans="1:58" ht="12.75" customHeight="1" x14ac:dyDescent="0.25">
      <c r="A376" s="313"/>
      <c r="B376" s="328"/>
      <c r="C376" s="329"/>
      <c r="D376" s="328"/>
      <c r="E376" s="330"/>
      <c r="F376" s="331"/>
      <c r="G376" s="329"/>
      <c r="H376" s="329"/>
      <c r="I376" s="328"/>
      <c r="J376" s="329"/>
      <c r="K376" s="329"/>
      <c r="L376" s="329"/>
      <c r="M376" s="76"/>
      <c r="N376" s="103" t="str">
        <f>IF(A376="","",VLOOKUP(A376,Stand!C:K,9,0))</f>
        <v/>
      </c>
      <c r="O376" s="104" t="str">
        <f t="shared" si="173"/>
        <v/>
      </c>
      <c r="P376" s="105" t="str">
        <f t="shared" si="174"/>
        <v/>
      </c>
      <c r="Q376" s="105" t="str">
        <f t="shared" si="189"/>
        <v/>
      </c>
      <c r="R376" s="103" t="str">
        <f t="shared" si="175"/>
        <v/>
      </c>
      <c r="S376" s="103" t="str">
        <f t="shared" si="176"/>
        <v/>
      </c>
      <c r="T376" s="106" t="str">
        <f t="shared" si="190"/>
        <v/>
      </c>
      <c r="U376" s="106" t="str">
        <f t="shared" si="191"/>
        <v/>
      </c>
      <c r="V376" s="106" t="str">
        <f t="shared" si="192"/>
        <v/>
      </c>
      <c r="W376" s="105" t="str">
        <f t="shared" si="177"/>
        <v/>
      </c>
      <c r="X376" s="104" t="str">
        <f t="shared" si="182"/>
        <v/>
      </c>
      <c r="Y376" s="104" t="str">
        <f t="array" ref="Y376">IFERROR(IF(ISNUMBER(O376),IF(COUNT(IF(A376=$A$2:$A$2427,IF(D376=$D$2:$D$2427,IF($X$2:$X$2427&gt;0,1))))&gt;0,SUM(IF(A376=$A$2:$A$2427,IF(D376=$D$2:$D$2427,$X$2:$X$2427)))/COUNT(IF(A376=$A$2:$A$2427,IF(D376=$D$2:$D$2427,IF(ISNUMBER($X$2:$X$2427),1)))),0),""),0)</f>
        <v/>
      </c>
      <c r="Z376" s="104" t="str">
        <f>IF(ISNUMBER(O376),IF(I376&gt;0,(10^(VLOOKUP(D376,'Species Codes'!B:C,2,0)+VLOOKUP(D376,'Species Codes'!B:D,3,0)*LOG(E376)+VLOOKUP(D376,'Species Codes'!B:E,4,0)*LOG(I376))),0),"")</f>
        <v/>
      </c>
      <c r="AA376" s="104" t="str">
        <f>IFERROR((VLOOKUP(D376,'Species Codes'!B:G,6,0)*Z376)/2000,"")</f>
        <v/>
      </c>
      <c r="AB376" s="104" t="e">
        <f>IF(Z376&gt;0,((IF(OR(D376="DF",D376="RA")=TRUE,EXP(VLOOKUP(D376,'Species Codes'!B:I,8,0)+VLOOKUP(D376,'Species Codes'!B:J,9,0)*(LN((E376*2.54)))),IF(OR(D376="PY",D376="RC",D376="WH",D376="NF")=TRUE,VLOOKUP(D376,'Species Codes'!B:I,8,0)+VLOOKUP(D376,'Species Codes'!B:J,9,0)*((E376*2.54)^2)*(I376*0.3048),IF(OR(D376="MD",D376="BM",D376="GA")=TRUE,((VLOOKUP(D376,'Species Codes'!B:I,8,0)*(((((E376*2.54)+VLOOKUP(D376,'Species Codes'!B:J,9,0))/VLOOKUP(D376,'Species Codes'!B:K,10,0))^VLOOKUP(D376,'Species Codes'!B:L,11,0))*((I376*0.3048)^VLOOKUP(D376,'Species Codes'!B:M,12,0))))-(VLOOKUP(D376,'Species Codes'!B:I,8,0)*((((E376*2.54)^VLOOKUP(D376,'Species Codes'!B:L,11,0))*((I376*0.3048)^VLOOKUP(D376,'Species Codes'!B:M,12,0))))))*35.3*VLOOKUP(D376,'Species Codes'!B:G,6,0)/2.2046,VLOOKUP(D376,'Species Codes'!B:I,8,0)+VLOOKUP(D376,'Species Codes'!B:J,9,0)*(((E376*2.54)/100)^2)*(I376*0.3048)))))*0.0011023),0)</f>
        <v>#N/A</v>
      </c>
      <c r="AC376" s="104" t="e">
        <f>IF(Z376&gt;0,((IF(OR(D376="RA",D376="OA",D376="OT",D376="UN",D376="PC"),EXP(VLOOKUP(D376,'Species Codes'!B:O,14,0)+VLOOKUP(D376,'Species Codes'!B:P,15,0)*LN((E376*2.54)))-EXP(VLOOKUP(D376,'Species Codes'!B:O,14,0)+VLOOKUP(D376,'Species Codes'!B:P,15,0)*LN((E376*2.54)))*(1/(VLOOKUP(D376,'Species Codes'!B:Q,16,0)+VLOOKUP(D376,'Species Codes'!B:R,17,0)*((E376*2.54)^VLOOKUP(D376,'Species Codes'!B:S,18,0)))),IF(OR(D376="BM",D376="MD",D376="OA"),EXP(VLOOKUP(D376,'Species Codes'!B:O,14,0)+VLOOKUP(D376,'Species Codes'!B:P,15,0)*LN((E376*2.54)))*(1-(1/(VLOOKUP(D376,'Species Codes'!B:Q,16,0)+VLOOKUP(D376,'Species Codes'!B:R,17,0)*((E376*2.54)^VLOOKUP(D376,'Species Codes'!B:S,18,0)))))/1000,IF(D376="DF",EXP(VLOOKUP(D376,'Species Codes'!B:O,14,0)+VLOOKUP(D376,'Species Codes'!B:P,15,0)*LN((E376*2.54))),VLOOKUP(D376,'Species Codes'!B:O,14,0)+VLOOKUP(D376,'Species Codes'!B:P,15,0)*(((E376*2.54)/100)^2)*(I376*0.3048)))))*0.0011023),0)</f>
        <v>#N/A</v>
      </c>
      <c r="AD376" s="104" t="e">
        <f t="shared" si="193"/>
        <v>#N/A</v>
      </c>
      <c r="AE376" s="104" t="e">
        <f t="shared" si="194"/>
        <v>#N/A</v>
      </c>
      <c r="AF376" s="104" t="e">
        <f>IF(AND(VLOOKUP($D376,Merchantability!$B:$C,2,0)="Yes",$E376&gt;=VLOOKUP($D376,Merchantability!$B:$D,3,0),$E376&lt;=VLOOKUP($D376,Merchantability!$B:$E,4,0)),AA376,0)</f>
        <v>#N/A</v>
      </c>
      <c r="AG376" s="104" t="e">
        <f>IF(AND(VLOOKUP($D376,Merchantability!$B:$C,2,0)="Yes",$E376&gt;=VLOOKUP($D376,Merchantability!$B:$D,3,0),$E376&lt;=VLOOKUP($D376,Merchantability!$B:$E,4,0)),AB376,0)</f>
        <v>#N/A</v>
      </c>
      <c r="AH376" s="104" t="e">
        <f>IF(AND(VLOOKUP($D376,Merchantability!$B:$C,2,0)="Yes",$E376&gt;=VLOOKUP($D376,Merchantability!$B:$D,3,0),$E376&lt;=VLOOKUP($D376,Merchantability!$B:$E,4,0)),AC376,0)</f>
        <v>#N/A</v>
      </c>
      <c r="AI376" s="104" t="e">
        <f t="shared" si="195"/>
        <v>#N/A</v>
      </c>
      <c r="AJ376" s="104" t="e">
        <f t="shared" si="196"/>
        <v>#VALUE!</v>
      </c>
      <c r="AK376" s="104" t="e">
        <f t="shared" si="197"/>
        <v>#N/A</v>
      </c>
      <c r="AL376" s="104" t="e">
        <f t="shared" si="198"/>
        <v>#N/A</v>
      </c>
      <c r="AM376" s="104" t="e">
        <f t="shared" si="199"/>
        <v>#N/A</v>
      </c>
      <c r="AN376" s="104" t="e">
        <f t="shared" si="183"/>
        <v>#N/A</v>
      </c>
      <c r="AO376" s="104" t="e">
        <f t="shared" si="184"/>
        <v>#N/A</v>
      </c>
      <c r="AP376" s="104" t="e">
        <f t="shared" si="185"/>
        <v>#N/A</v>
      </c>
      <c r="AQ376" s="104" t="e">
        <f t="shared" si="186"/>
        <v>#N/A</v>
      </c>
      <c r="AR376" s="105" t="str">
        <f t="shared" si="178"/>
        <v/>
      </c>
      <c r="AS376" s="105" t="str">
        <f t="shared" si="179"/>
        <v/>
      </c>
      <c r="AT376" s="108" t="str">
        <f t="shared" si="180"/>
        <v/>
      </c>
      <c r="AU376" s="108" t="str">
        <f t="shared" si="181"/>
        <v/>
      </c>
      <c r="AV376" s="107" t="str">
        <f>IF(ISNUMBER(O376),IF(VLOOKUP($A376,Stand!C:J,8,FALSE)="Short",AT376,AU376),"")</f>
        <v/>
      </c>
      <c r="AW376" s="109" t="str">
        <f t="shared" si="187"/>
        <v/>
      </c>
      <c r="AX376" s="109" t="str">
        <f t="shared" si="188"/>
        <v/>
      </c>
      <c r="AY376" s="112" t="str">
        <f>IF(ISNUMBER(O376),IF(AND(VLOOKUP($D376,Merchantability!$B:$C,2,0)="Yes",$E376&gt;=VLOOKUP($D376,Merchantability!$B:$D,3,0),$E376&lt;=VLOOKUP($D376,Merchantability!$B:$E,4,0)),(AV376*O376)*(1-$H376/100),""),"")</f>
        <v/>
      </c>
      <c r="AZ376" s="116"/>
      <c r="BA376" s="116"/>
      <c r="BB376" s="116"/>
      <c r="BE376" s="62"/>
      <c r="BF376" s="63"/>
    </row>
    <row r="377" spans="1:58" ht="12.75" customHeight="1" x14ac:dyDescent="0.25">
      <c r="A377" s="313"/>
      <c r="B377" s="328"/>
      <c r="C377" s="329"/>
      <c r="D377" s="328"/>
      <c r="E377" s="330"/>
      <c r="F377" s="331"/>
      <c r="G377" s="329"/>
      <c r="H377" s="329"/>
      <c r="I377" s="328"/>
      <c r="J377" s="329"/>
      <c r="K377" s="329"/>
      <c r="L377" s="329"/>
      <c r="M377" s="76"/>
      <c r="N377" s="103" t="str">
        <f>IF(A377="","",VLOOKUP(A377,Stand!C:K,9,0))</f>
        <v/>
      </c>
      <c r="O377" s="104" t="str">
        <f t="shared" si="173"/>
        <v/>
      </c>
      <c r="P377" s="105" t="str">
        <f t="shared" si="174"/>
        <v/>
      </c>
      <c r="Q377" s="105" t="str">
        <f t="shared" si="189"/>
        <v/>
      </c>
      <c r="R377" s="103" t="str">
        <f t="shared" si="175"/>
        <v/>
      </c>
      <c r="S377" s="103" t="str">
        <f t="shared" si="176"/>
        <v/>
      </c>
      <c r="T377" s="106" t="str">
        <f t="shared" si="190"/>
        <v/>
      </c>
      <c r="U377" s="106" t="str">
        <f t="shared" si="191"/>
        <v/>
      </c>
      <c r="V377" s="106" t="str">
        <f t="shared" si="192"/>
        <v/>
      </c>
      <c r="W377" s="105" t="str">
        <f t="shared" si="177"/>
        <v/>
      </c>
      <c r="X377" s="104" t="str">
        <f t="shared" si="182"/>
        <v/>
      </c>
      <c r="Y377" s="104" t="str">
        <f t="array" ref="Y377">IFERROR(IF(ISNUMBER(O377),IF(COUNT(IF(A377=$A$2:$A$2427,IF(D377=$D$2:$D$2427,IF($X$2:$X$2427&gt;0,1))))&gt;0,SUM(IF(A377=$A$2:$A$2427,IF(D377=$D$2:$D$2427,$X$2:$X$2427)))/COUNT(IF(A377=$A$2:$A$2427,IF(D377=$D$2:$D$2427,IF(ISNUMBER($X$2:$X$2427),1)))),0),""),0)</f>
        <v/>
      </c>
      <c r="Z377" s="104" t="str">
        <f>IF(ISNUMBER(O377),IF(I377&gt;0,(10^(VLOOKUP(D377,'Species Codes'!B:C,2,0)+VLOOKUP(D377,'Species Codes'!B:D,3,0)*LOG(E377)+VLOOKUP(D377,'Species Codes'!B:E,4,0)*LOG(I377))),0),"")</f>
        <v/>
      </c>
      <c r="AA377" s="104" t="str">
        <f>IFERROR((VLOOKUP(D377,'Species Codes'!B:G,6,0)*Z377)/2000,"")</f>
        <v/>
      </c>
      <c r="AB377" s="104" t="e">
        <f>IF(Z377&gt;0,((IF(OR(D377="DF",D377="RA")=TRUE,EXP(VLOOKUP(D377,'Species Codes'!B:I,8,0)+VLOOKUP(D377,'Species Codes'!B:J,9,0)*(LN((E377*2.54)))),IF(OR(D377="PY",D377="RC",D377="WH",D377="NF")=TRUE,VLOOKUP(D377,'Species Codes'!B:I,8,0)+VLOOKUP(D377,'Species Codes'!B:J,9,0)*((E377*2.54)^2)*(I377*0.3048),IF(OR(D377="MD",D377="BM",D377="GA")=TRUE,((VLOOKUP(D377,'Species Codes'!B:I,8,0)*(((((E377*2.54)+VLOOKUP(D377,'Species Codes'!B:J,9,0))/VLOOKUP(D377,'Species Codes'!B:K,10,0))^VLOOKUP(D377,'Species Codes'!B:L,11,0))*((I377*0.3048)^VLOOKUP(D377,'Species Codes'!B:M,12,0))))-(VLOOKUP(D377,'Species Codes'!B:I,8,0)*((((E377*2.54)^VLOOKUP(D377,'Species Codes'!B:L,11,0))*((I377*0.3048)^VLOOKUP(D377,'Species Codes'!B:M,12,0))))))*35.3*VLOOKUP(D377,'Species Codes'!B:G,6,0)/2.2046,VLOOKUP(D377,'Species Codes'!B:I,8,0)+VLOOKUP(D377,'Species Codes'!B:J,9,0)*(((E377*2.54)/100)^2)*(I377*0.3048)))))*0.0011023),0)</f>
        <v>#N/A</v>
      </c>
      <c r="AC377" s="104" t="e">
        <f>IF(Z377&gt;0,((IF(OR(D377="RA",D377="OA",D377="OT",D377="UN",D377="PC"),EXP(VLOOKUP(D377,'Species Codes'!B:O,14,0)+VLOOKUP(D377,'Species Codes'!B:P,15,0)*LN((E377*2.54)))-EXP(VLOOKUP(D377,'Species Codes'!B:O,14,0)+VLOOKUP(D377,'Species Codes'!B:P,15,0)*LN((E377*2.54)))*(1/(VLOOKUP(D377,'Species Codes'!B:Q,16,0)+VLOOKUP(D377,'Species Codes'!B:R,17,0)*((E377*2.54)^VLOOKUP(D377,'Species Codes'!B:S,18,0)))),IF(OR(D377="BM",D377="MD",D377="OA"),EXP(VLOOKUP(D377,'Species Codes'!B:O,14,0)+VLOOKUP(D377,'Species Codes'!B:P,15,0)*LN((E377*2.54)))*(1-(1/(VLOOKUP(D377,'Species Codes'!B:Q,16,0)+VLOOKUP(D377,'Species Codes'!B:R,17,0)*((E377*2.54)^VLOOKUP(D377,'Species Codes'!B:S,18,0)))))/1000,IF(D377="DF",EXP(VLOOKUP(D377,'Species Codes'!B:O,14,0)+VLOOKUP(D377,'Species Codes'!B:P,15,0)*LN((E377*2.54))),VLOOKUP(D377,'Species Codes'!B:O,14,0)+VLOOKUP(D377,'Species Codes'!B:P,15,0)*(((E377*2.54)/100)^2)*(I377*0.3048)))))*0.0011023),0)</f>
        <v>#N/A</v>
      </c>
      <c r="AD377" s="104" t="e">
        <f t="shared" si="193"/>
        <v>#N/A</v>
      </c>
      <c r="AE377" s="104" t="e">
        <f t="shared" si="194"/>
        <v>#N/A</v>
      </c>
      <c r="AF377" s="104" t="e">
        <f>IF(AND(VLOOKUP($D377,Merchantability!$B:$C,2,0)="Yes",$E377&gt;=VLOOKUP($D377,Merchantability!$B:$D,3,0),$E377&lt;=VLOOKUP($D377,Merchantability!$B:$E,4,0)),AA377,0)</f>
        <v>#N/A</v>
      </c>
      <c r="AG377" s="104" t="e">
        <f>IF(AND(VLOOKUP($D377,Merchantability!$B:$C,2,0)="Yes",$E377&gt;=VLOOKUP($D377,Merchantability!$B:$D,3,0),$E377&lt;=VLOOKUP($D377,Merchantability!$B:$E,4,0)),AB377,0)</f>
        <v>#N/A</v>
      </c>
      <c r="AH377" s="104" t="e">
        <f>IF(AND(VLOOKUP($D377,Merchantability!$B:$C,2,0)="Yes",$E377&gt;=VLOOKUP($D377,Merchantability!$B:$D,3,0),$E377&lt;=VLOOKUP($D377,Merchantability!$B:$E,4,0)),AC377,0)</f>
        <v>#N/A</v>
      </c>
      <c r="AI377" s="104" t="e">
        <f t="shared" si="195"/>
        <v>#N/A</v>
      </c>
      <c r="AJ377" s="104" t="e">
        <f t="shared" si="196"/>
        <v>#VALUE!</v>
      </c>
      <c r="AK377" s="104" t="e">
        <f t="shared" si="197"/>
        <v>#N/A</v>
      </c>
      <c r="AL377" s="104" t="e">
        <f t="shared" si="198"/>
        <v>#N/A</v>
      </c>
      <c r="AM377" s="104" t="e">
        <f t="shared" si="199"/>
        <v>#N/A</v>
      </c>
      <c r="AN377" s="104" t="e">
        <f t="shared" si="183"/>
        <v>#N/A</v>
      </c>
      <c r="AO377" s="104" t="e">
        <f t="shared" si="184"/>
        <v>#N/A</v>
      </c>
      <c r="AP377" s="104" t="e">
        <f t="shared" si="185"/>
        <v>#N/A</v>
      </c>
      <c r="AQ377" s="104" t="e">
        <f t="shared" si="186"/>
        <v>#N/A</v>
      </c>
      <c r="AR377" s="105" t="str">
        <f t="shared" si="178"/>
        <v/>
      </c>
      <c r="AS377" s="105" t="str">
        <f t="shared" si="179"/>
        <v/>
      </c>
      <c r="AT377" s="108" t="str">
        <f t="shared" si="180"/>
        <v/>
      </c>
      <c r="AU377" s="108" t="str">
        <f t="shared" si="181"/>
        <v/>
      </c>
      <c r="AV377" s="107" t="str">
        <f>IF(ISNUMBER(O377),IF(VLOOKUP($A377,Stand!C:J,8,FALSE)="Short",AT377,AU377),"")</f>
        <v/>
      </c>
      <c r="AW377" s="109" t="str">
        <f t="shared" si="187"/>
        <v/>
      </c>
      <c r="AX377" s="109" t="str">
        <f t="shared" si="188"/>
        <v/>
      </c>
      <c r="AY377" s="112" t="str">
        <f>IF(ISNUMBER(O377),IF(AND(VLOOKUP($D377,Merchantability!$B:$C,2,0)="Yes",$E377&gt;=VLOOKUP($D377,Merchantability!$B:$D,3,0),$E377&lt;=VLOOKUP($D377,Merchantability!$B:$E,4,0)),(AV377*O377)*(1-$H377/100),""),"")</f>
        <v/>
      </c>
      <c r="AZ377" s="116"/>
      <c r="BA377" s="116"/>
      <c r="BB377" s="116"/>
      <c r="BE377" s="62"/>
      <c r="BF377" s="63"/>
    </row>
    <row r="378" spans="1:58" ht="12.75" customHeight="1" x14ac:dyDescent="0.25">
      <c r="A378" s="313"/>
      <c r="B378" s="328"/>
      <c r="C378" s="329"/>
      <c r="D378" s="328"/>
      <c r="E378" s="330"/>
      <c r="F378" s="331"/>
      <c r="G378" s="329"/>
      <c r="H378" s="329"/>
      <c r="I378" s="328"/>
      <c r="J378" s="329"/>
      <c r="K378" s="329"/>
      <c r="L378" s="329"/>
      <c r="M378" s="76"/>
      <c r="N378" s="103" t="str">
        <f>IF(A378="","",VLOOKUP(A378,Stand!C:K,9,0))</f>
        <v/>
      </c>
      <c r="O378" s="104" t="str">
        <f t="shared" si="173"/>
        <v/>
      </c>
      <c r="P378" s="105" t="str">
        <f t="shared" si="174"/>
        <v/>
      </c>
      <c r="Q378" s="105" t="str">
        <f t="shared" si="189"/>
        <v/>
      </c>
      <c r="R378" s="103" t="str">
        <f t="shared" si="175"/>
        <v/>
      </c>
      <c r="S378" s="103" t="str">
        <f t="shared" si="176"/>
        <v/>
      </c>
      <c r="T378" s="106" t="str">
        <f t="shared" si="190"/>
        <v/>
      </c>
      <c r="U378" s="106" t="str">
        <f t="shared" si="191"/>
        <v/>
      </c>
      <c r="V378" s="106" t="str">
        <f t="shared" si="192"/>
        <v/>
      </c>
      <c r="W378" s="105" t="str">
        <f t="shared" si="177"/>
        <v/>
      </c>
      <c r="X378" s="104" t="str">
        <f t="shared" si="182"/>
        <v/>
      </c>
      <c r="Y378" s="104" t="str">
        <f t="array" ref="Y378">IFERROR(IF(ISNUMBER(O378),IF(COUNT(IF(A378=$A$2:$A$2427,IF(D378=$D$2:$D$2427,IF($X$2:$X$2427&gt;0,1))))&gt;0,SUM(IF(A378=$A$2:$A$2427,IF(D378=$D$2:$D$2427,$X$2:$X$2427)))/COUNT(IF(A378=$A$2:$A$2427,IF(D378=$D$2:$D$2427,IF(ISNUMBER($X$2:$X$2427),1)))),0),""),0)</f>
        <v/>
      </c>
      <c r="Z378" s="104" t="str">
        <f>IF(ISNUMBER(O378),IF(I378&gt;0,(10^(VLOOKUP(D378,'Species Codes'!B:C,2,0)+VLOOKUP(D378,'Species Codes'!B:D,3,0)*LOG(E378)+VLOOKUP(D378,'Species Codes'!B:E,4,0)*LOG(I378))),0),"")</f>
        <v/>
      </c>
      <c r="AA378" s="104" t="str">
        <f>IFERROR((VLOOKUP(D378,'Species Codes'!B:G,6,0)*Z378)/2000,"")</f>
        <v/>
      </c>
      <c r="AB378" s="104" t="e">
        <f>IF(Z378&gt;0,((IF(OR(D378="DF",D378="RA")=TRUE,EXP(VLOOKUP(D378,'Species Codes'!B:I,8,0)+VLOOKUP(D378,'Species Codes'!B:J,9,0)*(LN((E378*2.54)))),IF(OR(D378="PY",D378="RC",D378="WH",D378="NF")=TRUE,VLOOKUP(D378,'Species Codes'!B:I,8,0)+VLOOKUP(D378,'Species Codes'!B:J,9,0)*((E378*2.54)^2)*(I378*0.3048),IF(OR(D378="MD",D378="BM",D378="GA")=TRUE,((VLOOKUP(D378,'Species Codes'!B:I,8,0)*(((((E378*2.54)+VLOOKUP(D378,'Species Codes'!B:J,9,0))/VLOOKUP(D378,'Species Codes'!B:K,10,0))^VLOOKUP(D378,'Species Codes'!B:L,11,0))*((I378*0.3048)^VLOOKUP(D378,'Species Codes'!B:M,12,0))))-(VLOOKUP(D378,'Species Codes'!B:I,8,0)*((((E378*2.54)^VLOOKUP(D378,'Species Codes'!B:L,11,0))*((I378*0.3048)^VLOOKUP(D378,'Species Codes'!B:M,12,0))))))*35.3*VLOOKUP(D378,'Species Codes'!B:G,6,0)/2.2046,VLOOKUP(D378,'Species Codes'!B:I,8,0)+VLOOKUP(D378,'Species Codes'!B:J,9,0)*(((E378*2.54)/100)^2)*(I378*0.3048)))))*0.0011023),0)</f>
        <v>#N/A</v>
      </c>
      <c r="AC378" s="104" t="e">
        <f>IF(Z378&gt;0,((IF(OR(D378="RA",D378="OA",D378="OT",D378="UN",D378="PC"),EXP(VLOOKUP(D378,'Species Codes'!B:O,14,0)+VLOOKUP(D378,'Species Codes'!B:P,15,0)*LN((E378*2.54)))-EXP(VLOOKUP(D378,'Species Codes'!B:O,14,0)+VLOOKUP(D378,'Species Codes'!B:P,15,0)*LN((E378*2.54)))*(1/(VLOOKUP(D378,'Species Codes'!B:Q,16,0)+VLOOKUP(D378,'Species Codes'!B:R,17,0)*((E378*2.54)^VLOOKUP(D378,'Species Codes'!B:S,18,0)))),IF(OR(D378="BM",D378="MD",D378="OA"),EXP(VLOOKUP(D378,'Species Codes'!B:O,14,0)+VLOOKUP(D378,'Species Codes'!B:P,15,0)*LN((E378*2.54)))*(1-(1/(VLOOKUP(D378,'Species Codes'!B:Q,16,0)+VLOOKUP(D378,'Species Codes'!B:R,17,0)*((E378*2.54)^VLOOKUP(D378,'Species Codes'!B:S,18,0)))))/1000,IF(D378="DF",EXP(VLOOKUP(D378,'Species Codes'!B:O,14,0)+VLOOKUP(D378,'Species Codes'!B:P,15,0)*LN((E378*2.54))),VLOOKUP(D378,'Species Codes'!B:O,14,0)+VLOOKUP(D378,'Species Codes'!B:P,15,0)*(((E378*2.54)/100)^2)*(I378*0.3048)))))*0.0011023),0)</f>
        <v>#N/A</v>
      </c>
      <c r="AD378" s="104" t="e">
        <f t="shared" si="193"/>
        <v>#N/A</v>
      </c>
      <c r="AE378" s="104" t="e">
        <f t="shared" si="194"/>
        <v>#N/A</v>
      </c>
      <c r="AF378" s="104" t="e">
        <f>IF(AND(VLOOKUP($D378,Merchantability!$B:$C,2,0)="Yes",$E378&gt;=VLOOKUP($D378,Merchantability!$B:$D,3,0),$E378&lt;=VLOOKUP($D378,Merchantability!$B:$E,4,0)),AA378,0)</f>
        <v>#N/A</v>
      </c>
      <c r="AG378" s="104" t="e">
        <f>IF(AND(VLOOKUP($D378,Merchantability!$B:$C,2,0)="Yes",$E378&gt;=VLOOKUP($D378,Merchantability!$B:$D,3,0),$E378&lt;=VLOOKUP($D378,Merchantability!$B:$E,4,0)),AB378,0)</f>
        <v>#N/A</v>
      </c>
      <c r="AH378" s="104" t="e">
        <f>IF(AND(VLOOKUP($D378,Merchantability!$B:$C,2,0)="Yes",$E378&gt;=VLOOKUP($D378,Merchantability!$B:$D,3,0),$E378&lt;=VLOOKUP($D378,Merchantability!$B:$E,4,0)),AC378,0)</f>
        <v>#N/A</v>
      </c>
      <c r="AI378" s="104" t="e">
        <f t="shared" si="195"/>
        <v>#N/A</v>
      </c>
      <c r="AJ378" s="104" t="e">
        <f t="shared" si="196"/>
        <v>#VALUE!</v>
      </c>
      <c r="AK378" s="104" t="e">
        <f t="shared" si="197"/>
        <v>#N/A</v>
      </c>
      <c r="AL378" s="104" t="e">
        <f t="shared" si="198"/>
        <v>#N/A</v>
      </c>
      <c r="AM378" s="104" t="e">
        <f t="shared" si="199"/>
        <v>#N/A</v>
      </c>
      <c r="AN378" s="104" t="e">
        <f t="shared" si="183"/>
        <v>#N/A</v>
      </c>
      <c r="AO378" s="104" t="e">
        <f t="shared" si="184"/>
        <v>#N/A</v>
      </c>
      <c r="AP378" s="104" t="e">
        <f t="shared" si="185"/>
        <v>#N/A</v>
      </c>
      <c r="AQ378" s="104" t="e">
        <f t="shared" si="186"/>
        <v>#N/A</v>
      </c>
      <c r="AR378" s="105" t="str">
        <f t="shared" si="178"/>
        <v/>
      </c>
      <c r="AS378" s="105" t="str">
        <f t="shared" si="179"/>
        <v/>
      </c>
      <c r="AT378" s="108" t="str">
        <f t="shared" si="180"/>
        <v/>
      </c>
      <c r="AU378" s="108" t="str">
        <f t="shared" si="181"/>
        <v/>
      </c>
      <c r="AV378" s="107" t="str">
        <f>IF(ISNUMBER(O378),IF(VLOOKUP($A378,Stand!C:J,8,FALSE)="Short",AT378,AU378),"")</f>
        <v/>
      </c>
      <c r="AW378" s="109" t="str">
        <f t="shared" si="187"/>
        <v/>
      </c>
      <c r="AX378" s="109" t="str">
        <f t="shared" si="188"/>
        <v/>
      </c>
      <c r="AY378" s="112" t="str">
        <f>IF(ISNUMBER(O378),IF(AND(VLOOKUP($D378,Merchantability!$B:$C,2,0)="Yes",$E378&gt;=VLOOKUP($D378,Merchantability!$B:$D,3,0),$E378&lt;=VLOOKUP($D378,Merchantability!$B:$E,4,0)),(AV378*O378)*(1-$H378/100),""),"")</f>
        <v/>
      </c>
      <c r="AZ378" s="116"/>
      <c r="BA378" s="116"/>
      <c r="BB378" s="116"/>
      <c r="BE378" s="62"/>
      <c r="BF378" s="63"/>
    </row>
    <row r="379" spans="1:58" ht="12.75" customHeight="1" x14ac:dyDescent="0.25">
      <c r="A379" s="313"/>
      <c r="B379" s="328"/>
      <c r="C379" s="329"/>
      <c r="D379" s="328"/>
      <c r="E379" s="330"/>
      <c r="F379" s="331"/>
      <c r="G379" s="329"/>
      <c r="H379" s="329"/>
      <c r="I379" s="328"/>
      <c r="J379" s="329"/>
      <c r="K379" s="329"/>
      <c r="L379" s="329"/>
      <c r="M379" s="76"/>
      <c r="N379" s="103" t="str">
        <f>IF(A379="","",VLOOKUP(A379,Stand!C:K,9,0))</f>
        <v/>
      </c>
      <c r="O379" s="104" t="str">
        <f t="shared" si="173"/>
        <v/>
      </c>
      <c r="P379" s="105" t="str">
        <f t="shared" si="174"/>
        <v/>
      </c>
      <c r="Q379" s="105" t="str">
        <f t="shared" si="189"/>
        <v/>
      </c>
      <c r="R379" s="103" t="str">
        <f t="shared" si="175"/>
        <v/>
      </c>
      <c r="S379" s="103" t="str">
        <f t="shared" si="176"/>
        <v/>
      </c>
      <c r="T379" s="106" t="str">
        <f t="shared" si="190"/>
        <v/>
      </c>
      <c r="U379" s="106" t="str">
        <f t="shared" si="191"/>
        <v/>
      </c>
      <c r="V379" s="106" t="str">
        <f t="shared" si="192"/>
        <v/>
      </c>
      <c r="W379" s="105" t="str">
        <f t="shared" si="177"/>
        <v/>
      </c>
      <c r="X379" s="104" t="str">
        <f t="shared" si="182"/>
        <v/>
      </c>
      <c r="Y379" s="104" t="str">
        <f t="array" ref="Y379">IFERROR(IF(ISNUMBER(O379),IF(COUNT(IF(A379=$A$2:$A$2427,IF(D379=$D$2:$D$2427,IF($X$2:$X$2427&gt;0,1))))&gt;0,SUM(IF(A379=$A$2:$A$2427,IF(D379=$D$2:$D$2427,$X$2:$X$2427)))/COUNT(IF(A379=$A$2:$A$2427,IF(D379=$D$2:$D$2427,IF(ISNUMBER($X$2:$X$2427),1)))),0),""),0)</f>
        <v/>
      </c>
      <c r="Z379" s="104" t="str">
        <f>IF(ISNUMBER(O379),IF(I379&gt;0,(10^(VLOOKUP(D379,'Species Codes'!B:C,2,0)+VLOOKUP(D379,'Species Codes'!B:D,3,0)*LOG(E379)+VLOOKUP(D379,'Species Codes'!B:E,4,0)*LOG(I379))),0),"")</f>
        <v/>
      </c>
      <c r="AA379" s="104" t="str">
        <f>IFERROR((VLOOKUP(D379,'Species Codes'!B:G,6,0)*Z379)/2000,"")</f>
        <v/>
      </c>
      <c r="AB379" s="104" t="e">
        <f>IF(Z379&gt;0,((IF(OR(D379="DF",D379="RA")=TRUE,EXP(VLOOKUP(D379,'Species Codes'!B:I,8,0)+VLOOKUP(D379,'Species Codes'!B:J,9,0)*(LN((E379*2.54)))),IF(OR(D379="PY",D379="RC",D379="WH",D379="NF")=TRUE,VLOOKUP(D379,'Species Codes'!B:I,8,0)+VLOOKUP(D379,'Species Codes'!B:J,9,0)*((E379*2.54)^2)*(I379*0.3048),IF(OR(D379="MD",D379="BM",D379="GA")=TRUE,((VLOOKUP(D379,'Species Codes'!B:I,8,0)*(((((E379*2.54)+VLOOKUP(D379,'Species Codes'!B:J,9,0))/VLOOKUP(D379,'Species Codes'!B:K,10,0))^VLOOKUP(D379,'Species Codes'!B:L,11,0))*((I379*0.3048)^VLOOKUP(D379,'Species Codes'!B:M,12,0))))-(VLOOKUP(D379,'Species Codes'!B:I,8,0)*((((E379*2.54)^VLOOKUP(D379,'Species Codes'!B:L,11,0))*((I379*0.3048)^VLOOKUP(D379,'Species Codes'!B:M,12,0))))))*35.3*VLOOKUP(D379,'Species Codes'!B:G,6,0)/2.2046,VLOOKUP(D379,'Species Codes'!B:I,8,0)+VLOOKUP(D379,'Species Codes'!B:J,9,0)*(((E379*2.54)/100)^2)*(I379*0.3048)))))*0.0011023),0)</f>
        <v>#N/A</v>
      </c>
      <c r="AC379" s="104" t="e">
        <f>IF(Z379&gt;0,((IF(OR(D379="RA",D379="OA",D379="OT",D379="UN",D379="PC"),EXP(VLOOKUP(D379,'Species Codes'!B:O,14,0)+VLOOKUP(D379,'Species Codes'!B:P,15,0)*LN((E379*2.54)))-EXP(VLOOKUP(D379,'Species Codes'!B:O,14,0)+VLOOKUP(D379,'Species Codes'!B:P,15,0)*LN((E379*2.54)))*(1/(VLOOKUP(D379,'Species Codes'!B:Q,16,0)+VLOOKUP(D379,'Species Codes'!B:R,17,0)*((E379*2.54)^VLOOKUP(D379,'Species Codes'!B:S,18,0)))),IF(OR(D379="BM",D379="MD",D379="OA"),EXP(VLOOKUP(D379,'Species Codes'!B:O,14,0)+VLOOKUP(D379,'Species Codes'!B:P,15,0)*LN((E379*2.54)))*(1-(1/(VLOOKUP(D379,'Species Codes'!B:Q,16,0)+VLOOKUP(D379,'Species Codes'!B:R,17,0)*((E379*2.54)^VLOOKUP(D379,'Species Codes'!B:S,18,0)))))/1000,IF(D379="DF",EXP(VLOOKUP(D379,'Species Codes'!B:O,14,0)+VLOOKUP(D379,'Species Codes'!B:P,15,0)*LN((E379*2.54))),VLOOKUP(D379,'Species Codes'!B:O,14,0)+VLOOKUP(D379,'Species Codes'!B:P,15,0)*(((E379*2.54)/100)^2)*(I379*0.3048)))))*0.0011023),0)</f>
        <v>#N/A</v>
      </c>
      <c r="AD379" s="104" t="e">
        <f t="shared" si="193"/>
        <v>#N/A</v>
      </c>
      <c r="AE379" s="104" t="e">
        <f t="shared" si="194"/>
        <v>#N/A</v>
      </c>
      <c r="AF379" s="104" t="e">
        <f>IF(AND(VLOOKUP($D379,Merchantability!$B:$C,2,0)="Yes",$E379&gt;=VLOOKUP($D379,Merchantability!$B:$D,3,0),$E379&lt;=VLOOKUP($D379,Merchantability!$B:$E,4,0)),AA379,0)</f>
        <v>#N/A</v>
      </c>
      <c r="AG379" s="104" t="e">
        <f>IF(AND(VLOOKUP($D379,Merchantability!$B:$C,2,0)="Yes",$E379&gt;=VLOOKUP($D379,Merchantability!$B:$D,3,0),$E379&lt;=VLOOKUP($D379,Merchantability!$B:$E,4,0)),AB379,0)</f>
        <v>#N/A</v>
      </c>
      <c r="AH379" s="104" t="e">
        <f>IF(AND(VLOOKUP($D379,Merchantability!$B:$C,2,0)="Yes",$E379&gt;=VLOOKUP($D379,Merchantability!$B:$D,3,0),$E379&lt;=VLOOKUP($D379,Merchantability!$B:$E,4,0)),AC379,0)</f>
        <v>#N/A</v>
      </c>
      <c r="AI379" s="104" t="e">
        <f t="shared" si="195"/>
        <v>#N/A</v>
      </c>
      <c r="AJ379" s="104" t="e">
        <f t="shared" si="196"/>
        <v>#VALUE!</v>
      </c>
      <c r="AK379" s="104" t="e">
        <f t="shared" si="197"/>
        <v>#N/A</v>
      </c>
      <c r="AL379" s="104" t="e">
        <f t="shared" si="198"/>
        <v>#N/A</v>
      </c>
      <c r="AM379" s="104" t="e">
        <f t="shared" si="199"/>
        <v>#N/A</v>
      </c>
      <c r="AN379" s="104" t="e">
        <f t="shared" si="183"/>
        <v>#N/A</v>
      </c>
      <c r="AO379" s="104" t="e">
        <f t="shared" si="184"/>
        <v>#N/A</v>
      </c>
      <c r="AP379" s="104" t="e">
        <f t="shared" si="185"/>
        <v>#N/A</v>
      </c>
      <c r="AQ379" s="104" t="e">
        <f t="shared" si="186"/>
        <v>#N/A</v>
      </c>
      <c r="AR379" s="105" t="str">
        <f t="shared" si="178"/>
        <v/>
      </c>
      <c r="AS379" s="105" t="str">
        <f t="shared" si="179"/>
        <v/>
      </c>
      <c r="AT379" s="108" t="str">
        <f t="shared" si="180"/>
        <v/>
      </c>
      <c r="AU379" s="108" t="str">
        <f t="shared" si="181"/>
        <v/>
      </c>
      <c r="AV379" s="107" t="str">
        <f>IF(ISNUMBER(O379),IF(VLOOKUP($A379,Stand!C:J,8,FALSE)="Short",AT379,AU379),"")</f>
        <v/>
      </c>
      <c r="AW379" s="109" t="str">
        <f t="shared" si="187"/>
        <v/>
      </c>
      <c r="AX379" s="109" t="str">
        <f t="shared" si="188"/>
        <v/>
      </c>
      <c r="AY379" s="112" t="str">
        <f>IF(ISNUMBER(O379),IF(AND(VLOOKUP($D379,Merchantability!$B:$C,2,0)="Yes",$E379&gt;=VLOOKUP($D379,Merchantability!$B:$D,3,0),$E379&lt;=VLOOKUP($D379,Merchantability!$B:$E,4,0)),(AV379*O379)*(1-$H379/100),""),"")</f>
        <v/>
      </c>
      <c r="AZ379" s="116"/>
      <c r="BA379" s="116"/>
      <c r="BB379" s="116"/>
      <c r="BE379" s="62"/>
      <c r="BF379" s="63"/>
    </row>
    <row r="380" spans="1:58" ht="12.75" customHeight="1" x14ac:dyDescent="0.25">
      <c r="A380" s="313"/>
      <c r="B380" s="328"/>
      <c r="C380" s="329"/>
      <c r="D380" s="328"/>
      <c r="E380" s="330"/>
      <c r="F380" s="331"/>
      <c r="G380" s="329"/>
      <c r="H380" s="329"/>
      <c r="I380" s="328"/>
      <c r="J380" s="329"/>
      <c r="K380" s="329"/>
      <c r="L380" s="329"/>
      <c r="M380" s="76"/>
      <c r="N380" s="103" t="str">
        <f>IF(A380="","",VLOOKUP(A380,Stand!C:K,9,0))</f>
        <v/>
      </c>
      <c r="O380" s="104" t="str">
        <f t="shared" si="173"/>
        <v/>
      </c>
      <c r="P380" s="105" t="str">
        <f t="shared" si="174"/>
        <v/>
      </c>
      <c r="Q380" s="105" t="str">
        <f t="shared" si="189"/>
        <v/>
      </c>
      <c r="R380" s="103" t="str">
        <f t="shared" si="175"/>
        <v/>
      </c>
      <c r="S380" s="103" t="str">
        <f t="shared" si="176"/>
        <v/>
      </c>
      <c r="T380" s="106" t="str">
        <f t="shared" si="190"/>
        <v/>
      </c>
      <c r="U380" s="106" t="str">
        <f t="shared" si="191"/>
        <v/>
      </c>
      <c r="V380" s="106" t="str">
        <f t="shared" si="192"/>
        <v/>
      </c>
      <c r="W380" s="105" t="str">
        <f t="shared" si="177"/>
        <v/>
      </c>
      <c r="X380" s="104" t="str">
        <f t="shared" si="182"/>
        <v/>
      </c>
      <c r="Y380" s="104" t="str">
        <f t="array" ref="Y380">IFERROR(IF(ISNUMBER(O380),IF(COUNT(IF(A380=$A$2:$A$2427,IF(D380=$D$2:$D$2427,IF($X$2:$X$2427&gt;0,1))))&gt;0,SUM(IF(A380=$A$2:$A$2427,IF(D380=$D$2:$D$2427,$X$2:$X$2427)))/COUNT(IF(A380=$A$2:$A$2427,IF(D380=$D$2:$D$2427,IF(ISNUMBER($X$2:$X$2427),1)))),0),""),0)</f>
        <v/>
      </c>
      <c r="Z380" s="104" t="str">
        <f>IF(ISNUMBER(O380),IF(I380&gt;0,(10^(VLOOKUP(D380,'Species Codes'!B:C,2,0)+VLOOKUP(D380,'Species Codes'!B:D,3,0)*LOG(E380)+VLOOKUP(D380,'Species Codes'!B:E,4,0)*LOG(I380))),0),"")</f>
        <v/>
      </c>
      <c r="AA380" s="104" t="str">
        <f>IFERROR((VLOOKUP(D380,'Species Codes'!B:G,6,0)*Z380)/2000,"")</f>
        <v/>
      </c>
      <c r="AB380" s="104" t="e">
        <f>IF(Z380&gt;0,((IF(OR(D380="DF",D380="RA")=TRUE,EXP(VLOOKUP(D380,'Species Codes'!B:I,8,0)+VLOOKUP(D380,'Species Codes'!B:J,9,0)*(LN((E380*2.54)))),IF(OR(D380="PY",D380="RC",D380="WH",D380="NF")=TRUE,VLOOKUP(D380,'Species Codes'!B:I,8,0)+VLOOKUP(D380,'Species Codes'!B:J,9,0)*((E380*2.54)^2)*(I380*0.3048),IF(OR(D380="MD",D380="BM",D380="GA")=TRUE,((VLOOKUP(D380,'Species Codes'!B:I,8,0)*(((((E380*2.54)+VLOOKUP(D380,'Species Codes'!B:J,9,0))/VLOOKUP(D380,'Species Codes'!B:K,10,0))^VLOOKUP(D380,'Species Codes'!B:L,11,0))*((I380*0.3048)^VLOOKUP(D380,'Species Codes'!B:M,12,0))))-(VLOOKUP(D380,'Species Codes'!B:I,8,0)*((((E380*2.54)^VLOOKUP(D380,'Species Codes'!B:L,11,0))*((I380*0.3048)^VLOOKUP(D380,'Species Codes'!B:M,12,0))))))*35.3*VLOOKUP(D380,'Species Codes'!B:G,6,0)/2.2046,VLOOKUP(D380,'Species Codes'!B:I,8,0)+VLOOKUP(D380,'Species Codes'!B:J,9,0)*(((E380*2.54)/100)^2)*(I380*0.3048)))))*0.0011023),0)</f>
        <v>#N/A</v>
      </c>
      <c r="AC380" s="104" t="e">
        <f>IF(Z380&gt;0,((IF(OR(D380="RA",D380="OA",D380="OT",D380="UN",D380="PC"),EXP(VLOOKUP(D380,'Species Codes'!B:O,14,0)+VLOOKUP(D380,'Species Codes'!B:P,15,0)*LN((E380*2.54)))-EXP(VLOOKUP(D380,'Species Codes'!B:O,14,0)+VLOOKUP(D380,'Species Codes'!B:P,15,0)*LN((E380*2.54)))*(1/(VLOOKUP(D380,'Species Codes'!B:Q,16,0)+VLOOKUP(D380,'Species Codes'!B:R,17,0)*((E380*2.54)^VLOOKUP(D380,'Species Codes'!B:S,18,0)))),IF(OR(D380="BM",D380="MD",D380="OA"),EXP(VLOOKUP(D380,'Species Codes'!B:O,14,0)+VLOOKUP(D380,'Species Codes'!B:P,15,0)*LN((E380*2.54)))*(1-(1/(VLOOKUP(D380,'Species Codes'!B:Q,16,0)+VLOOKUP(D380,'Species Codes'!B:R,17,0)*((E380*2.54)^VLOOKUP(D380,'Species Codes'!B:S,18,0)))))/1000,IF(D380="DF",EXP(VLOOKUP(D380,'Species Codes'!B:O,14,0)+VLOOKUP(D380,'Species Codes'!B:P,15,0)*LN((E380*2.54))),VLOOKUP(D380,'Species Codes'!B:O,14,0)+VLOOKUP(D380,'Species Codes'!B:P,15,0)*(((E380*2.54)/100)^2)*(I380*0.3048)))))*0.0011023),0)</f>
        <v>#N/A</v>
      </c>
      <c r="AD380" s="104" t="e">
        <f t="shared" si="193"/>
        <v>#N/A</v>
      </c>
      <c r="AE380" s="104" t="e">
        <f t="shared" si="194"/>
        <v>#N/A</v>
      </c>
      <c r="AF380" s="104" t="e">
        <f>IF(AND(VLOOKUP($D380,Merchantability!$B:$C,2,0)="Yes",$E380&gt;=VLOOKUP($D380,Merchantability!$B:$D,3,0),$E380&lt;=VLOOKUP($D380,Merchantability!$B:$E,4,0)),AA380,0)</f>
        <v>#N/A</v>
      </c>
      <c r="AG380" s="104" t="e">
        <f>IF(AND(VLOOKUP($D380,Merchantability!$B:$C,2,0)="Yes",$E380&gt;=VLOOKUP($D380,Merchantability!$B:$D,3,0),$E380&lt;=VLOOKUP($D380,Merchantability!$B:$E,4,0)),AB380,0)</f>
        <v>#N/A</v>
      </c>
      <c r="AH380" s="104" t="e">
        <f>IF(AND(VLOOKUP($D380,Merchantability!$B:$C,2,0)="Yes",$E380&gt;=VLOOKUP($D380,Merchantability!$B:$D,3,0),$E380&lt;=VLOOKUP($D380,Merchantability!$B:$E,4,0)),AC380,0)</f>
        <v>#N/A</v>
      </c>
      <c r="AI380" s="104" t="e">
        <f t="shared" si="195"/>
        <v>#N/A</v>
      </c>
      <c r="AJ380" s="104" t="e">
        <f t="shared" si="196"/>
        <v>#VALUE!</v>
      </c>
      <c r="AK380" s="104" t="e">
        <f t="shared" si="197"/>
        <v>#N/A</v>
      </c>
      <c r="AL380" s="104" t="e">
        <f t="shared" si="198"/>
        <v>#N/A</v>
      </c>
      <c r="AM380" s="104" t="e">
        <f t="shared" si="199"/>
        <v>#N/A</v>
      </c>
      <c r="AN380" s="104" t="e">
        <f t="shared" si="183"/>
        <v>#N/A</v>
      </c>
      <c r="AO380" s="104" t="e">
        <f t="shared" si="184"/>
        <v>#N/A</v>
      </c>
      <c r="AP380" s="104" t="e">
        <f t="shared" si="185"/>
        <v>#N/A</v>
      </c>
      <c r="AQ380" s="104" t="e">
        <f t="shared" si="186"/>
        <v>#N/A</v>
      </c>
      <c r="AR380" s="105" t="str">
        <f t="shared" si="178"/>
        <v/>
      </c>
      <c r="AS380" s="105" t="str">
        <f t="shared" si="179"/>
        <v/>
      </c>
      <c r="AT380" s="108" t="str">
        <f t="shared" si="180"/>
        <v/>
      </c>
      <c r="AU380" s="108" t="str">
        <f t="shared" si="181"/>
        <v/>
      </c>
      <c r="AV380" s="107" t="str">
        <f>IF(ISNUMBER(O380),IF(VLOOKUP($A380,Stand!C:J,8,FALSE)="Short",AT380,AU380),"")</f>
        <v/>
      </c>
      <c r="AW380" s="109" t="str">
        <f t="shared" si="187"/>
        <v/>
      </c>
      <c r="AX380" s="109" t="str">
        <f t="shared" si="188"/>
        <v/>
      </c>
      <c r="AY380" s="112" t="str">
        <f>IF(ISNUMBER(O380),IF(AND(VLOOKUP($D380,Merchantability!$B:$C,2,0)="Yes",$E380&gt;=VLOOKUP($D380,Merchantability!$B:$D,3,0),$E380&lt;=VLOOKUP($D380,Merchantability!$B:$E,4,0)),(AV380*O380)*(1-$H380/100),""),"")</f>
        <v/>
      </c>
      <c r="AZ380" s="116"/>
      <c r="BA380" s="116"/>
      <c r="BB380" s="116"/>
      <c r="BE380" s="62"/>
      <c r="BF380" s="63"/>
    </row>
    <row r="381" spans="1:58" ht="12.75" customHeight="1" x14ac:dyDescent="0.25">
      <c r="A381" s="313"/>
      <c r="B381" s="328"/>
      <c r="C381" s="329"/>
      <c r="D381" s="328"/>
      <c r="E381" s="330"/>
      <c r="F381" s="331"/>
      <c r="G381" s="329"/>
      <c r="H381" s="329"/>
      <c r="I381" s="328"/>
      <c r="J381" s="329"/>
      <c r="K381" s="329"/>
      <c r="L381" s="329"/>
      <c r="M381" s="76"/>
      <c r="N381" s="103" t="str">
        <f>IF(A381="","",VLOOKUP(A381,Stand!C:K,9,0))</f>
        <v/>
      </c>
      <c r="O381" s="104" t="str">
        <f t="shared" si="173"/>
        <v/>
      </c>
      <c r="P381" s="105" t="str">
        <f t="shared" si="174"/>
        <v/>
      </c>
      <c r="Q381" s="105" t="str">
        <f t="shared" si="189"/>
        <v/>
      </c>
      <c r="R381" s="103" t="str">
        <f t="shared" si="175"/>
        <v/>
      </c>
      <c r="S381" s="103" t="str">
        <f t="shared" si="176"/>
        <v/>
      </c>
      <c r="T381" s="106" t="str">
        <f t="shared" si="190"/>
        <v/>
      </c>
      <c r="U381" s="106" t="str">
        <f t="shared" si="191"/>
        <v/>
      </c>
      <c r="V381" s="106" t="str">
        <f t="shared" si="192"/>
        <v/>
      </c>
      <c r="W381" s="105" t="str">
        <f t="shared" si="177"/>
        <v/>
      </c>
      <c r="X381" s="104" t="str">
        <f t="shared" si="182"/>
        <v/>
      </c>
      <c r="Y381" s="104" t="str">
        <f t="array" ref="Y381">IFERROR(IF(ISNUMBER(O381),IF(COUNT(IF(A381=$A$2:$A$2427,IF(D381=$D$2:$D$2427,IF($X$2:$X$2427&gt;0,1))))&gt;0,SUM(IF(A381=$A$2:$A$2427,IF(D381=$D$2:$D$2427,$X$2:$X$2427)))/COUNT(IF(A381=$A$2:$A$2427,IF(D381=$D$2:$D$2427,IF(ISNUMBER($X$2:$X$2427),1)))),0),""),0)</f>
        <v/>
      </c>
      <c r="Z381" s="104" t="str">
        <f>IF(ISNUMBER(O381),IF(I381&gt;0,(10^(VLOOKUP(D381,'Species Codes'!B:C,2,0)+VLOOKUP(D381,'Species Codes'!B:D,3,0)*LOG(E381)+VLOOKUP(D381,'Species Codes'!B:E,4,0)*LOG(I381))),0),"")</f>
        <v/>
      </c>
      <c r="AA381" s="104" t="str">
        <f>IFERROR((VLOOKUP(D381,'Species Codes'!B:G,6,0)*Z381)/2000,"")</f>
        <v/>
      </c>
      <c r="AB381" s="104" t="e">
        <f>IF(Z381&gt;0,((IF(OR(D381="DF",D381="RA")=TRUE,EXP(VLOOKUP(D381,'Species Codes'!B:I,8,0)+VLOOKUP(D381,'Species Codes'!B:J,9,0)*(LN((E381*2.54)))),IF(OR(D381="PY",D381="RC",D381="WH",D381="NF")=TRUE,VLOOKUP(D381,'Species Codes'!B:I,8,0)+VLOOKUP(D381,'Species Codes'!B:J,9,0)*((E381*2.54)^2)*(I381*0.3048),IF(OR(D381="MD",D381="BM",D381="GA")=TRUE,((VLOOKUP(D381,'Species Codes'!B:I,8,0)*(((((E381*2.54)+VLOOKUP(D381,'Species Codes'!B:J,9,0))/VLOOKUP(D381,'Species Codes'!B:K,10,0))^VLOOKUP(D381,'Species Codes'!B:L,11,0))*((I381*0.3048)^VLOOKUP(D381,'Species Codes'!B:M,12,0))))-(VLOOKUP(D381,'Species Codes'!B:I,8,0)*((((E381*2.54)^VLOOKUP(D381,'Species Codes'!B:L,11,0))*((I381*0.3048)^VLOOKUP(D381,'Species Codes'!B:M,12,0))))))*35.3*VLOOKUP(D381,'Species Codes'!B:G,6,0)/2.2046,VLOOKUP(D381,'Species Codes'!B:I,8,0)+VLOOKUP(D381,'Species Codes'!B:J,9,0)*(((E381*2.54)/100)^2)*(I381*0.3048)))))*0.0011023),0)</f>
        <v>#N/A</v>
      </c>
      <c r="AC381" s="104" t="e">
        <f>IF(Z381&gt;0,((IF(OR(D381="RA",D381="OA",D381="OT",D381="UN",D381="PC"),EXP(VLOOKUP(D381,'Species Codes'!B:O,14,0)+VLOOKUP(D381,'Species Codes'!B:P,15,0)*LN((E381*2.54)))-EXP(VLOOKUP(D381,'Species Codes'!B:O,14,0)+VLOOKUP(D381,'Species Codes'!B:P,15,0)*LN((E381*2.54)))*(1/(VLOOKUP(D381,'Species Codes'!B:Q,16,0)+VLOOKUP(D381,'Species Codes'!B:R,17,0)*((E381*2.54)^VLOOKUP(D381,'Species Codes'!B:S,18,0)))),IF(OR(D381="BM",D381="MD",D381="OA"),EXP(VLOOKUP(D381,'Species Codes'!B:O,14,0)+VLOOKUP(D381,'Species Codes'!B:P,15,0)*LN((E381*2.54)))*(1-(1/(VLOOKUP(D381,'Species Codes'!B:Q,16,0)+VLOOKUP(D381,'Species Codes'!B:R,17,0)*((E381*2.54)^VLOOKUP(D381,'Species Codes'!B:S,18,0)))))/1000,IF(D381="DF",EXP(VLOOKUP(D381,'Species Codes'!B:O,14,0)+VLOOKUP(D381,'Species Codes'!B:P,15,0)*LN((E381*2.54))),VLOOKUP(D381,'Species Codes'!B:O,14,0)+VLOOKUP(D381,'Species Codes'!B:P,15,0)*(((E381*2.54)/100)^2)*(I381*0.3048)))))*0.0011023),0)</f>
        <v>#N/A</v>
      </c>
      <c r="AD381" s="104" t="e">
        <f t="shared" si="193"/>
        <v>#N/A</v>
      </c>
      <c r="AE381" s="104" t="e">
        <f t="shared" si="194"/>
        <v>#N/A</v>
      </c>
      <c r="AF381" s="104" t="e">
        <f>IF(AND(VLOOKUP($D381,Merchantability!$B:$C,2,0)="Yes",$E381&gt;=VLOOKUP($D381,Merchantability!$B:$D,3,0),$E381&lt;=VLOOKUP($D381,Merchantability!$B:$E,4,0)),AA381,0)</f>
        <v>#N/A</v>
      </c>
      <c r="AG381" s="104" t="e">
        <f>IF(AND(VLOOKUP($D381,Merchantability!$B:$C,2,0)="Yes",$E381&gt;=VLOOKUP($D381,Merchantability!$B:$D,3,0),$E381&lt;=VLOOKUP($D381,Merchantability!$B:$E,4,0)),AB381,0)</f>
        <v>#N/A</v>
      </c>
      <c r="AH381" s="104" t="e">
        <f>IF(AND(VLOOKUP($D381,Merchantability!$B:$C,2,0)="Yes",$E381&gt;=VLOOKUP($D381,Merchantability!$B:$D,3,0),$E381&lt;=VLOOKUP($D381,Merchantability!$B:$E,4,0)),AC381,0)</f>
        <v>#N/A</v>
      </c>
      <c r="AI381" s="104" t="e">
        <f t="shared" si="195"/>
        <v>#N/A</v>
      </c>
      <c r="AJ381" s="104" t="e">
        <f t="shared" si="196"/>
        <v>#VALUE!</v>
      </c>
      <c r="AK381" s="104" t="e">
        <f t="shared" si="197"/>
        <v>#N/A</v>
      </c>
      <c r="AL381" s="104" t="e">
        <f t="shared" si="198"/>
        <v>#N/A</v>
      </c>
      <c r="AM381" s="104" t="e">
        <f t="shared" si="199"/>
        <v>#N/A</v>
      </c>
      <c r="AN381" s="104" t="e">
        <f t="shared" si="183"/>
        <v>#N/A</v>
      </c>
      <c r="AO381" s="104" t="e">
        <f t="shared" si="184"/>
        <v>#N/A</v>
      </c>
      <c r="AP381" s="104" t="e">
        <f t="shared" si="185"/>
        <v>#N/A</v>
      </c>
      <c r="AQ381" s="104" t="e">
        <f t="shared" si="186"/>
        <v>#N/A</v>
      </c>
      <c r="AR381" s="105" t="str">
        <f t="shared" si="178"/>
        <v/>
      </c>
      <c r="AS381" s="105" t="str">
        <f t="shared" si="179"/>
        <v/>
      </c>
      <c r="AT381" s="108" t="str">
        <f t="shared" si="180"/>
        <v/>
      </c>
      <c r="AU381" s="108" t="str">
        <f t="shared" si="181"/>
        <v/>
      </c>
      <c r="AV381" s="107" t="str">
        <f>IF(ISNUMBER(O381),IF(VLOOKUP($A381,Stand!C:J,8,FALSE)="Short",AT381,AU381),"")</f>
        <v/>
      </c>
      <c r="AW381" s="109" t="str">
        <f t="shared" si="187"/>
        <v/>
      </c>
      <c r="AX381" s="109" t="str">
        <f t="shared" si="188"/>
        <v/>
      </c>
      <c r="AY381" s="112" t="str">
        <f>IF(ISNUMBER(O381),IF(AND(VLOOKUP($D381,Merchantability!$B:$C,2,0)="Yes",$E381&gt;=VLOOKUP($D381,Merchantability!$B:$D,3,0),$E381&lt;=VLOOKUP($D381,Merchantability!$B:$E,4,0)),(AV381*O381)*(1-$H381/100),""),"")</f>
        <v/>
      </c>
      <c r="AZ381" s="116"/>
      <c r="BA381" s="116"/>
      <c r="BB381" s="116"/>
      <c r="BE381" s="62"/>
      <c r="BF381" s="63"/>
    </row>
    <row r="382" spans="1:58" ht="12.75" customHeight="1" x14ac:dyDescent="0.25">
      <c r="A382" s="313"/>
      <c r="B382" s="328"/>
      <c r="C382" s="329"/>
      <c r="D382" s="328"/>
      <c r="E382" s="330"/>
      <c r="F382" s="331"/>
      <c r="G382" s="329"/>
      <c r="H382" s="329"/>
      <c r="I382" s="328"/>
      <c r="J382" s="329"/>
      <c r="K382" s="329"/>
      <c r="L382" s="329"/>
      <c r="M382" s="76"/>
      <c r="N382" s="103" t="str">
        <f>IF(A382="","",VLOOKUP(A382,Stand!C:K,9,0))</f>
        <v/>
      </c>
      <c r="O382" s="104" t="str">
        <f t="shared" si="173"/>
        <v/>
      </c>
      <c r="P382" s="105" t="str">
        <f t="shared" si="174"/>
        <v/>
      </c>
      <c r="Q382" s="105" t="str">
        <f t="shared" si="189"/>
        <v/>
      </c>
      <c r="R382" s="103" t="str">
        <f t="shared" si="175"/>
        <v/>
      </c>
      <c r="S382" s="103" t="str">
        <f t="shared" si="176"/>
        <v/>
      </c>
      <c r="T382" s="106" t="str">
        <f t="shared" si="190"/>
        <v/>
      </c>
      <c r="U382" s="106" t="str">
        <f t="shared" si="191"/>
        <v/>
      </c>
      <c r="V382" s="106" t="str">
        <f t="shared" si="192"/>
        <v/>
      </c>
      <c r="W382" s="105" t="str">
        <f t="shared" si="177"/>
        <v/>
      </c>
      <c r="X382" s="104" t="str">
        <f t="shared" si="182"/>
        <v/>
      </c>
      <c r="Y382" s="104" t="str">
        <f t="array" ref="Y382">IFERROR(IF(ISNUMBER(O382),IF(COUNT(IF(A382=$A$2:$A$2427,IF(D382=$D$2:$D$2427,IF($X$2:$X$2427&gt;0,1))))&gt;0,SUM(IF(A382=$A$2:$A$2427,IF(D382=$D$2:$D$2427,$X$2:$X$2427)))/COUNT(IF(A382=$A$2:$A$2427,IF(D382=$D$2:$D$2427,IF(ISNUMBER($X$2:$X$2427),1)))),0),""),0)</f>
        <v/>
      </c>
      <c r="Z382" s="104" t="str">
        <f>IF(ISNUMBER(O382),IF(I382&gt;0,(10^(VLOOKUP(D382,'Species Codes'!B:C,2,0)+VLOOKUP(D382,'Species Codes'!B:D,3,0)*LOG(E382)+VLOOKUP(D382,'Species Codes'!B:E,4,0)*LOG(I382))),0),"")</f>
        <v/>
      </c>
      <c r="AA382" s="104" t="str">
        <f>IFERROR((VLOOKUP(D382,'Species Codes'!B:G,6,0)*Z382)/2000,"")</f>
        <v/>
      </c>
      <c r="AB382" s="104" t="e">
        <f>IF(Z382&gt;0,((IF(OR(D382="DF",D382="RA")=TRUE,EXP(VLOOKUP(D382,'Species Codes'!B:I,8,0)+VLOOKUP(D382,'Species Codes'!B:J,9,0)*(LN((E382*2.54)))),IF(OR(D382="PY",D382="RC",D382="WH",D382="NF")=TRUE,VLOOKUP(D382,'Species Codes'!B:I,8,0)+VLOOKUP(D382,'Species Codes'!B:J,9,0)*((E382*2.54)^2)*(I382*0.3048),IF(OR(D382="MD",D382="BM",D382="GA")=TRUE,((VLOOKUP(D382,'Species Codes'!B:I,8,0)*(((((E382*2.54)+VLOOKUP(D382,'Species Codes'!B:J,9,0))/VLOOKUP(D382,'Species Codes'!B:K,10,0))^VLOOKUP(D382,'Species Codes'!B:L,11,0))*((I382*0.3048)^VLOOKUP(D382,'Species Codes'!B:M,12,0))))-(VLOOKUP(D382,'Species Codes'!B:I,8,0)*((((E382*2.54)^VLOOKUP(D382,'Species Codes'!B:L,11,0))*((I382*0.3048)^VLOOKUP(D382,'Species Codes'!B:M,12,0))))))*35.3*VLOOKUP(D382,'Species Codes'!B:G,6,0)/2.2046,VLOOKUP(D382,'Species Codes'!B:I,8,0)+VLOOKUP(D382,'Species Codes'!B:J,9,0)*(((E382*2.54)/100)^2)*(I382*0.3048)))))*0.0011023),0)</f>
        <v>#N/A</v>
      </c>
      <c r="AC382" s="104" t="e">
        <f>IF(Z382&gt;0,((IF(OR(D382="RA",D382="OA",D382="OT",D382="UN",D382="PC"),EXP(VLOOKUP(D382,'Species Codes'!B:O,14,0)+VLOOKUP(D382,'Species Codes'!B:P,15,0)*LN((E382*2.54)))-EXP(VLOOKUP(D382,'Species Codes'!B:O,14,0)+VLOOKUP(D382,'Species Codes'!B:P,15,0)*LN((E382*2.54)))*(1/(VLOOKUP(D382,'Species Codes'!B:Q,16,0)+VLOOKUP(D382,'Species Codes'!B:R,17,0)*((E382*2.54)^VLOOKUP(D382,'Species Codes'!B:S,18,0)))),IF(OR(D382="BM",D382="MD",D382="OA"),EXP(VLOOKUP(D382,'Species Codes'!B:O,14,0)+VLOOKUP(D382,'Species Codes'!B:P,15,0)*LN((E382*2.54)))*(1-(1/(VLOOKUP(D382,'Species Codes'!B:Q,16,0)+VLOOKUP(D382,'Species Codes'!B:R,17,0)*((E382*2.54)^VLOOKUP(D382,'Species Codes'!B:S,18,0)))))/1000,IF(D382="DF",EXP(VLOOKUP(D382,'Species Codes'!B:O,14,0)+VLOOKUP(D382,'Species Codes'!B:P,15,0)*LN((E382*2.54))),VLOOKUP(D382,'Species Codes'!B:O,14,0)+VLOOKUP(D382,'Species Codes'!B:P,15,0)*(((E382*2.54)/100)^2)*(I382*0.3048)))))*0.0011023),0)</f>
        <v>#N/A</v>
      </c>
      <c r="AD382" s="104" t="e">
        <f t="shared" si="193"/>
        <v>#N/A</v>
      </c>
      <c r="AE382" s="104" t="e">
        <f t="shared" si="194"/>
        <v>#N/A</v>
      </c>
      <c r="AF382" s="104" t="e">
        <f>IF(AND(VLOOKUP($D382,Merchantability!$B:$C,2,0)="Yes",$E382&gt;=VLOOKUP($D382,Merchantability!$B:$D,3,0),$E382&lt;=VLOOKUP($D382,Merchantability!$B:$E,4,0)),AA382,0)</f>
        <v>#N/A</v>
      </c>
      <c r="AG382" s="104" t="e">
        <f>IF(AND(VLOOKUP($D382,Merchantability!$B:$C,2,0)="Yes",$E382&gt;=VLOOKUP($D382,Merchantability!$B:$D,3,0),$E382&lt;=VLOOKUP($D382,Merchantability!$B:$E,4,0)),AB382,0)</f>
        <v>#N/A</v>
      </c>
      <c r="AH382" s="104" t="e">
        <f>IF(AND(VLOOKUP($D382,Merchantability!$B:$C,2,0)="Yes",$E382&gt;=VLOOKUP($D382,Merchantability!$B:$D,3,0),$E382&lt;=VLOOKUP($D382,Merchantability!$B:$E,4,0)),AC382,0)</f>
        <v>#N/A</v>
      </c>
      <c r="AI382" s="104" t="e">
        <f t="shared" si="195"/>
        <v>#N/A</v>
      </c>
      <c r="AJ382" s="104" t="e">
        <f t="shared" si="196"/>
        <v>#VALUE!</v>
      </c>
      <c r="AK382" s="104" t="e">
        <f t="shared" si="197"/>
        <v>#N/A</v>
      </c>
      <c r="AL382" s="104" t="e">
        <f t="shared" si="198"/>
        <v>#N/A</v>
      </c>
      <c r="AM382" s="104" t="e">
        <f t="shared" si="199"/>
        <v>#N/A</v>
      </c>
      <c r="AN382" s="104" t="e">
        <f t="shared" si="183"/>
        <v>#N/A</v>
      </c>
      <c r="AO382" s="104" t="e">
        <f t="shared" si="184"/>
        <v>#N/A</v>
      </c>
      <c r="AP382" s="104" t="e">
        <f t="shared" si="185"/>
        <v>#N/A</v>
      </c>
      <c r="AQ382" s="104" t="e">
        <f t="shared" si="186"/>
        <v>#N/A</v>
      </c>
      <c r="AR382" s="105" t="str">
        <f t="shared" si="178"/>
        <v/>
      </c>
      <c r="AS382" s="105" t="str">
        <f t="shared" si="179"/>
        <v/>
      </c>
      <c r="AT382" s="108" t="str">
        <f t="shared" si="180"/>
        <v/>
      </c>
      <c r="AU382" s="108" t="str">
        <f t="shared" si="181"/>
        <v/>
      </c>
      <c r="AV382" s="107" t="str">
        <f>IF(ISNUMBER(O382),IF(VLOOKUP($A382,Stand!C:J,8,FALSE)="Short",AT382,AU382),"")</f>
        <v/>
      </c>
      <c r="AW382" s="109" t="str">
        <f t="shared" si="187"/>
        <v/>
      </c>
      <c r="AX382" s="109" t="str">
        <f t="shared" si="188"/>
        <v/>
      </c>
      <c r="AY382" s="112" t="str">
        <f>IF(ISNUMBER(O382),IF(AND(VLOOKUP($D382,Merchantability!$B:$C,2,0)="Yes",$E382&gt;=VLOOKUP($D382,Merchantability!$B:$D,3,0),$E382&lt;=VLOOKUP($D382,Merchantability!$B:$E,4,0)),(AV382*O382)*(1-$H382/100),""),"")</f>
        <v/>
      </c>
      <c r="AZ382" s="116"/>
      <c r="BA382" s="116"/>
      <c r="BB382" s="116"/>
      <c r="BE382" s="62"/>
      <c r="BF382" s="63"/>
    </row>
    <row r="383" spans="1:58" ht="12.75" customHeight="1" x14ac:dyDescent="0.25">
      <c r="A383" s="313"/>
      <c r="B383" s="328"/>
      <c r="C383" s="329"/>
      <c r="D383" s="328"/>
      <c r="E383" s="330"/>
      <c r="F383" s="331"/>
      <c r="G383" s="329"/>
      <c r="H383" s="329"/>
      <c r="I383" s="328"/>
      <c r="J383" s="329"/>
      <c r="K383" s="329"/>
      <c r="L383" s="329"/>
      <c r="M383" s="76"/>
      <c r="N383" s="103" t="str">
        <f>IF(A383="","",VLOOKUP(A383,Stand!C:K,9,0))</f>
        <v/>
      </c>
      <c r="O383" s="104" t="str">
        <f t="shared" si="173"/>
        <v/>
      </c>
      <c r="P383" s="105" t="str">
        <f t="shared" si="174"/>
        <v/>
      </c>
      <c r="Q383" s="105" t="str">
        <f t="shared" si="189"/>
        <v/>
      </c>
      <c r="R383" s="103" t="str">
        <f t="shared" si="175"/>
        <v/>
      </c>
      <c r="S383" s="103" t="str">
        <f t="shared" si="176"/>
        <v/>
      </c>
      <c r="T383" s="106" t="str">
        <f t="shared" si="190"/>
        <v/>
      </c>
      <c r="U383" s="106" t="str">
        <f t="shared" si="191"/>
        <v/>
      </c>
      <c r="V383" s="106" t="str">
        <f t="shared" si="192"/>
        <v/>
      </c>
      <c r="W383" s="105" t="str">
        <f t="shared" si="177"/>
        <v/>
      </c>
      <c r="X383" s="104" t="str">
        <f t="shared" si="182"/>
        <v/>
      </c>
      <c r="Y383" s="104" t="str">
        <f t="array" ref="Y383">IFERROR(IF(ISNUMBER(O383),IF(COUNT(IF(A383=$A$2:$A$2427,IF(D383=$D$2:$D$2427,IF($X$2:$X$2427&gt;0,1))))&gt;0,SUM(IF(A383=$A$2:$A$2427,IF(D383=$D$2:$D$2427,$X$2:$X$2427)))/COUNT(IF(A383=$A$2:$A$2427,IF(D383=$D$2:$D$2427,IF(ISNUMBER($X$2:$X$2427),1)))),0),""),0)</f>
        <v/>
      </c>
      <c r="Z383" s="104" t="str">
        <f>IF(ISNUMBER(O383),IF(I383&gt;0,(10^(VLOOKUP(D383,'Species Codes'!B:C,2,0)+VLOOKUP(D383,'Species Codes'!B:D,3,0)*LOG(E383)+VLOOKUP(D383,'Species Codes'!B:E,4,0)*LOG(I383))),0),"")</f>
        <v/>
      </c>
      <c r="AA383" s="104" t="str">
        <f>IFERROR((VLOOKUP(D383,'Species Codes'!B:G,6,0)*Z383)/2000,"")</f>
        <v/>
      </c>
      <c r="AB383" s="104" t="e">
        <f>IF(Z383&gt;0,((IF(OR(D383="DF",D383="RA")=TRUE,EXP(VLOOKUP(D383,'Species Codes'!B:I,8,0)+VLOOKUP(D383,'Species Codes'!B:J,9,0)*(LN((E383*2.54)))),IF(OR(D383="PY",D383="RC",D383="WH",D383="NF")=TRUE,VLOOKUP(D383,'Species Codes'!B:I,8,0)+VLOOKUP(D383,'Species Codes'!B:J,9,0)*((E383*2.54)^2)*(I383*0.3048),IF(OR(D383="MD",D383="BM",D383="GA")=TRUE,((VLOOKUP(D383,'Species Codes'!B:I,8,0)*(((((E383*2.54)+VLOOKUP(D383,'Species Codes'!B:J,9,0))/VLOOKUP(D383,'Species Codes'!B:K,10,0))^VLOOKUP(D383,'Species Codes'!B:L,11,0))*((I383*0.3048)^VLOOKUP(D383,'Species Codes'!B:M,12,0))))-(VLOOKUP(D383,'Species Codes'!B:I,8,0)*((((E383*2.54)^VLOOKUP(D383,'Species Codes'!B:L,11,0))*((I383*0.3048)^VLOOKUP(D383,'Species Codes'!B:M,12,0))))))*35.3*VLOOKUP(D383,'Species Codes'!B:G,6,0)/2.2046,VLOOKUP(D383,'Species Codes'!B:I,8,0)+VLOOKUP(D383,'Species Codes'!B:J,9,0)*(((E383*2.54)/100)^2)*(I383*0.3048)))))*0.0011023),0)</f>
        <v>#N/A</v>
      </c>
      <c r="AC383" s="104" t="e">
        <f>IF(Z383&gt;0,((IF(OR(D383="RA",D383="OA",D383="OT",D383="UN",D383="PC"),EXP(VLOOKUP(D383,'Species Codes'!B:O,14,0)+VLOOKUP(D383,'Species Codes'!B:P,15,0)*LN((E383*2.54)))-EXP(VLOOKUP(D383,'Species Codes'!B:O,14,0)+VLOOKUP(D383,'Species Codes'!B:P,15,0)*LN((E383*2.54)))*(1/(VLOOKUP(D383,'Species Codes'!B:Q,16,0)+VLOOKUP(D383,'Species Codes'!B:R,17,0)*((E383*2.54)^VLOOKUP(D383,'Species Codes'!B:S,18,0)))),IF(OR(D383="BM",D383="MD",D383="OA"),EXP(VLOOKUP(D383,'Species Codes'!B:O,14,0)+VLOOKUP(D383,'Species Codes'!B:P,15,0)*LN((E383*2.54)))*(1-(1/(VLOOKUP(D383,'Species Codes'!B:Q,16,0)+VLOOKUP(D383,'Species Codes'!B:R,17,0)*((E383*2.54)^VLOOKUP(D383,'Species Codes'!B:S,18,0)))))/1000,IF(D383="DF",EXP(VLOOKUP(D383,'Species Codes'!B:O,14,0)+VLOOKUP(D383,'Species Codes'!B:P,15,0)*LN((E383*2.54))),VLOOKUP(D383,'Species Codes'!B:O,14,0)+VLOOKUP(D383,'Species Codes'!B:P,15,0)*(((E383*2.54)/100)^2)*(I383*0.3048)))))*0.0011023),0)</f>
        <v>#N/A</v>
      </c>
      <c r="AD383" s="104" t="e">
        <f t="shared" si="193"/>
        <v>#N/A</v>
      </c>
      <c r="AE383" s="104" t="e">
        <f t="shared" si="194"/>
        <v>#N/A</v>
      </c>
      <c r="AF383" s="104" t="e">
        <f>IF(AND(VLOOKUP($D383,Merchantability!$B:$C,2,0)="Yes",$E383&gt;=VLOOKUP($D383,Merchantability!$B:$D,3,0),$E383&lt;=VLOOKUP($D383,Merchantability!$B:$E,4,0)),AA383,0)</f>
        <v>#N/A</v>
      </c>
      <c r="AG383" s="104" t="e">
        <f>IF(AND(VLOOKUP($D383,Merchantability!$B:$C,2,0)="Yes",$E383&gt;=VLOOKUP($D383,Merchantability!$B:$D,3,0),$E383&lt;=VLOOKUP($D383,Merchantability!$B:$E,4,0)),AB383,0)</f>
        <v>#N/A</v>
      </c>
      <c r="AH383" s="104" t="e">
        <f>IF(AND(VLOOKUP($D383,Merchantability!$B:$C,2,0)="Yes",$E383&gt;=VLOOKUP($D383,Merchantability!$B:$D,3,0),$E383&lt;=VLOOKUP($D383,Merchantability!$B:$E,4,0)),AC383,0)</f>
        <v>#N/A</v>
      </c>
      <c r="AI383" s="104" t="e">
        <f t="shared" si="195"/>
        <v>#N/A</v>
      </c>
      <c r="AJ383" s="104" t="e">
        <f t="shared" si="196"/>
        <v>#VALUE!</v>
      </c>
      <c r="AK383" s="104" t="e">
        <f t="shared" si="197"/>
        <v>#N/A</v>
      </c>
      <c r="AL383" s="104" t="e">
        <f t="shared" si="198"/>
        <v>#N/A</v>
      </c>
      <c r="AM383" s="104" t="e">
        <f t="shared" si="199"/>
        <v>#N/A</v>
      </c>
      <c r="AN383" s="104" t="e">
        <f t="shared" si="183"/>
        <v>#N/A</v>
      </c>
      <c r="AO383" s="104" t="e">
        <f t="shared" si="184"/>
        <v>#N/A</v>
      </c>
      <c r="AP383" s="104" t="e">
        <f t="shared" si="185"/>
        <v>#N/A</v>
      </c>
      <c r="AQ383" s="104" t="e">
        <f t="shared" si="186"/>
        <v>#N/A</v>
      </c>
      <c r="AR383" s="105" t="str">
        <f t="shared" si="178"/>
        <v/>
      </c>
      <c r="AS383" s="105" t="str">
        <f t="shared" si="179"/>
        <v/>
      </c>
      <c r="AT383" s="108" t="str">
        <f t="shared" si="180"/>
        <v/>
      </c>
      <c r="AU383" s="108" t="str">
        <f t="shared" si="181"/>
        <v/>
      </c>
      <c r="AV383" s="107" t="str">
        <f>IF(ISNUMBER(O383),IF(VLOOKUP($A383,Stand!C:J,8,FALSE)="Short",AT383,AU383),"")</f>
        <v/>
      </c>
      <c r="AW383" s="109" t="str">
        <f t="shared" si="187"/>
        <v/>
      </c>
      <c r="AX383" s="109" t="str">
        <f t="shared" si="188"/>
        <v/>
      </c>
      <c r="AY383" s="112" t="str">
        <f>IF(ISNUMBER(O383),IF(AND(VLOOKUP($D383,Merchantability!$B:$C,2,0)="Yes",$E383&gt;=VLOOKUP($D383,Merchantability!$B:$D,3,0),$E383&lt;=VLOOKUP($D383,Merchantability!$B:$E,4,0)),(AV383*O383)*(1-$H383/100),""),"")</f>
        <v/>
      </c>
      <c r="AZ383" s="116"/>
      <c r="BA383" s="116"/>
      <c r="BB383" s="116"/>
      <c r="BE383" s="62"/>
      <c r="BF383" s="63"/>
    </row>
    <row r="384" spans="1:58" ht="12.75" customHeight="1" x14ac:dyDescent="0.25">
      <c r="A384" s="313"/>
      <c r="B384" s="328"/>
      <c r="C384" s="329"/>
      <c r="D384" s="328"/>
      <c r="E384" s="330"/>
      <c r="F384" s="331"/>
      <c r="G384" s="329"/>
      <c r="H384" s="329"/>
      <c r="I384" s="328"/>
      <c r="J384" s="329"/>
      <c r="K384" s="329"/>
      <c r="L384" s="329"/>
      <c r="M384" s="76"/>
      <c r="N384" s="103" t="str">
        <f>IF(A384="","",VLOOKUP(A384,Stand!C:K,9,0))</f>
        <v/>
      </c>
      <c r="O384" s="104" t="str">
        <f t="shared" si="173"/>
        <v/>
      </c>
      <c r="P384" s="105" t="str">
        <f t="shared" si="174"/>
        <v/>
      </c>
      <c r="Q384" s="105" t="str">
        <f t="shared" si="189"/>
        <v/>
      </c>
      <c r="R384" s="103" t="str">
        <f t="shared" si="175"/>
        <v/>
      </c>
      <c r="S384" s="103" t="str">
        <f t="shared" si="176"/>
        <v/>
      </c>
      <c r="T384" s="106" t="str">
        <f t="shared" si="190"/>
        <v/>
      </c>
      <c r="U384" s="106" t="str">
        <f t="shared" si="191"/>
        <v/>
      </c>
      <c r="V384" s="106" t="str">
        <f t="shared" si="192"/>
        <v/>
      </c>
      <c r="W384" s="105" t="str">
        <f t="shared" si="177"/>
        <v/>
      </c>
      <c r="X384" s="104" t="str">
        <f t="shared" si="182"/>
        <v/>
      </c>
      <c r="Y384" s="104" t="str">
        <f t="array" ref="Y384">IFERROR(IF(ISNUMBER(O384),IF(COUNT(IF(A384=$A$2:$A$2427,IF(D384=$D$2:$D$2427,IF($X$2:$X$2427&gt;0,1))))&gt;0,SUM(IF(A384=$A$2:$A$2427,IF(D384=$D$2:$D$2427,$X$2:$X$2427)))/COUNT(IF(A384=$A$2:$A$2427,IF(D384=$D$2:$D$2427,IF(ISNUMBER($X$2:$X$2427),1)))),0),""),0)</f>
        <v/>
      </c>
      <c r="Z384" s="104" t="str">
        <f>IF(ISNUMBER(O384),IF(I384&gt;0,(10^(VLOOKUP(D384,'Species Codes'!B:C,2,0)+VLOOKUP(D384,'Species Codes'!B:D,3,0)*LOG(E384)+VLOOKUP(D384,'Species Codes'!B:E,4,0)*LOG(I384))),0),"")</f>
        <v/>
      </c>
      <c r="AA384" s="104" t="str">
        <f>IFERROR((VLOOKUP(D384,'Species Codes'!B:G,6,0)*Z384)/2000,"")</f>
        <v/>
      </c>
      <c r="AB384" s="104" t="e">
        <f>IF(Z384&gt;0,((IF(OR(D384="DF",D384="RA")=TRUE,EXP(VLOOKUP(D384,'Species Codes'!B:I,8,0)+VLOOKUP(D384,'Species Codes'!B:J,9,0)*(LN((E384*2.54)))),IF(OR(D384="PY",D384="RC",D384="WH",D384="NF")=TRUE,VLOOKUP(D384,'Species Codes'!B:I,8,0)+VLOOKUP(D384,'Species Codes'!B:J,9,0)*((E384*2.54)^2)*(I384*0.3048),IF(OR(D384="MD",D384="BM",D384="GA")=TRUE,((VLOOKUP(D384,'Species Codes'!B:I,8,0)*(((((E384*2.54)+VLOOKUP(D384,'Species Codes'!B:J,9,0))/VLOOKUP(D384,'Species Codes'!B:K,10,0))^VLOOKUP(D384,'Species Codes'!B:L,11,0))*((I384*0.3048)^VLOOKUP(D384,'Species Codes'!B:M,12,0))))-(VLOOKUP(D384,'Species Codes'!B:I,8,0)*((((E384*2.54)^VLOOKUP(D384,'Species Codes'!B:L,11,0))*((I384*0.3048)^VLOOKUP(D384,'Species Codes'!B:M,12,0))))))*35.3*VLOOKUP(D384,'Species Codes'!B:G,6,0)/2.2046,VLOOKUP(D384,'Species Codes'!B:I,8,0)+VLOOKUP(D384,'Species Codes'!B:J,9,0)*(((E384*2.54)/100)^2)*(I384*0.3048)))))*0.0011023),0)</f>
        <v>#N/A</v>
      </c>
      <c r="AC384" s="104" t="e">
        <f>IF(Z384&gt;0,((IF(OR(D384="RA",D384="OA",D384="OT",D384="UN",D384="PC"),EXP(VLOOKUP(D384,'Species Codes'!B:O,14,0)+VLOOKUP(D384,'Species Codes'!B:P,15,0)*LN((E384*2.54)))-EXP(VLOOKUP(D384,'Species Codes'!B:O,14,0)+VLOOKUP(D384,'Species Codes'!B:P,15,0)*LN((E384*2.54)))*(1/(VLOOKUP(D384,'Species Codes'!B:Q,16,0)+VLOOKUP(D384,'Species Codes'!B:R,17,0)*((E384*2.54)^VLOOKUP(D384,'Species Codes'!B:S,18,0)))),IF(OR(D384="BM",D384="MD",D384="OA"),EXP(VLOOKUP(D384,'Species Codes'!B:O,14,0)+VLOOKUP(D384,'Species Codes'!B:P,15,0)*LN((E384*2.54)))*(1-(1/(VLOOKUP(D384,'Species Codes'!B:Q,16,0)+VLOOKUP(D384,'Species Codes'!B:R,17,0)*((E384*2.54)^VLOOKUP(D384,'Species Codes'!B:S,18,0)))))/1000,IF(D384="DF",EXP(VLOOKUP(D384,'Species Codes'!B:O,14,0)+VLOOKUP(D384,'Species Codes'!B:P,15,0)*LN((E384*2.54))),VLOOKUP(D384,'Species Codes'!B:O,14,0)+VLOOKUP(D384,'Species Codes'!B:P,15,0)*(((E384*2.54)/100)^2)*(I384*0.3048)))))*0.0011023),0)</f>
        <v>#N/A</v>
      </c>
      <c r="AD384" s="104" t="e">
        <f t="shared" si="193"/>
        <v>#N/A</v>
      </c>
      <c r="AE384" s="104" t="e">
        <f t="shared" si="194"/>
        <v>#N/A</v>
      </c>
      <c r="AF384" s="104" t="e">
        <f>IF(AND(VLOOKUP($D384,Merchantability!$B:$C,2,0)="Yes",$E384&gt;=VLOOKUP($D384,Merchantability!$B:$D,3,0),$E384&lt;=VLOOKUP($D384,Merchantability!$B:$E,4,0)),AA384,0)</f>
        <v>#N/A</v>
      </c>
      <c r="AG384" s="104" t="e">
        <f>IF(AND(VLOOKUP($D384,Merchantability!$B:$C,2,0)="Yes",$E384&gt;=VLOOKUP($D384,Merchantability!$B:$D,3,0),$E384&lt;=VLOOKUP($D384,Merchantability!$B:$E,4,0)),AB384,0)</f>
        <v>#N/A</v>
      </c>
      <c r="AH384" s="104" t="e">
        <f>IF(AND(VLOOKUP($D384,Merchantability!$B:$C,2,0)="Yes",$E384&gt;=VLOOKUP($D384,Merchantability!$B:$D,3,0),$E384&lt;=VLOOKUP($D384,Merchantability!$B:$E,4,0)),AC384,0)</f>
        <v>#N/A</v>
      </c>
      <c r="AI384" s="104" t="e">
        <f t="shared" si="195"/>
        <v>#N/A</v>
      </c>
      <c r="AJ384" s="104" t="e">
        <f t="shared" si="196"/>
        <v>#VALUE!</v>
      </c>
      <c r="AK384" s="104" t="e">
        <f t="shared" si="197"/>
        <v>#N/A</v>
      </c>
      <c r="AL384" s="104" t="e">
        <f t="shared" si="198"/>
        <v>#N/A</v>
      </c>
      <c r="AM384" s="104" t="e">
        <f t="shared" si="199"/>
        <v>#N/A</v>
      </c>
      <c r="AN384" s="104" t="e">
        <f t="shared" si="183"/>
        <v>#N/A</v>
      </c>
      <c r="AO384" s="104" t="e">
        <f t="shared" si="184"/>
        <v>#N/A</v>
      </c>
      <c r="AP384" s="104" t="e">
        <f t="shared" si="185"/>
        <v>#N/A</v>
      </c>
      <c r="AQ384" s="104" t="e">
        <f t="shared" si="186"/>
        <v>#N/A</v>
      </c>
      <c r="AR384" s="105" t="str">
        <f t="shared" si="178"/>
        <v/>
      </c>
      <c r="AS384" s="105" t="str">
        <f t="shared" si="179"/>
        <v/>
      </c>
      <c r="AT384" s="108" t="str">
        <f t="shared" si="180"/>
        <v/>
      </c>
      <c r="AU384" s="108" t="str">
        <f t="shared" si="181"/>
        <v/>
      </c>
      <c r="AV384" s="107" t="str">
        <f>IF(ISNUMBER(O384),IF(VLOOKUP($A384,Stand!C:J,8,FALSE)="Short",AT384,AU384),"")</f>
        <v/>
      </c>
      <c r="AW384" s="109" t="str">
        <f t="shared" si="187"/>
        <v/>
      </c>
      <c r="AX384" s="109" t="str">
        <f t="shared" si="188"/>
        <v/>
      </c>
      <c r="AY384" s="112" t="str">
        <f>IF(ISNUMBER(O384),IF(AND(VLOOKUP($D384,Merchantability!$B:$C,2,0)="Yes",$E384&gt;=VLOOKUP($D384,Merchantability!$B:$D,3,0),$E384&lt;=VLOOKUP($D384,Merchantability!$B:$E,4,0)),(AV384*O384)*(1-$H384/100),""),"")</f>
        <v/>
      </c>
      <c r="AZ384" s="116"/>
      <c r="BA384" s="116"/>
      <c r="BB384" s="116"/>
      <c r="BE384" s="62"/>
      <c r="BF384" s="63"/>
    </row>
    <row r="385" spans="1:58" ht="12.75" customHeight="1" x14ac:dyDescent="0.25">
      <c r="A385" s="313"/>
      <c r="B385" s="328"/>
      <c r="C385" s="329"/>
      <c r="D385" s="328"/>
      <c r="E385" s="330"/>
      <c r="F385" s="331"/>
      <c r="G385" s="329"/>
      <c r="H385" s="329"/>
      <c r="I385" s="328"/>
      <c r="J385" s="329"/>
      <c r="K385" s="329"/>
      <c r="L385" s="329"/>
      <c r="M385" s="76"/>
      <c r="N385" s="103" t="str">
        <f>IF(A385="","",VLOOKUP(A385,Stand!C:K,9,0))</f>
        <v/>
      </c>
      <c r="O385" s="104" t="str">
        <f t="shared" si="173"/>
        <v/>
      </c>
      <c r="P385" s="105" t="str">
        <f t="shared" si="174"/>
        <v/>
      </c>
      <c r="Q385" s="105" t="str">
        <f t="shared" si="189"/>
        <v/>
      </c>
      <c r="R385" s="103" t="str">
        <f t="shared" si="175"/>
        <v/>
      </c>
      <c r="S385" s="103" t="str">
        <f t="shared" si="176"/>
        <v/>
      </c>
      <c r="T385" s="106" t="str">
        <f t="shared" si="190"/>
        <v/>
      </c>
      <c r="U385" s="106" t="str">
        <f t="shared" si="191"/>
        <v/>
      </c>
      <c r="V385" s="106" t="str">
        <f t="shared" si="192"/>
        <v/>
      </c>
      <c r="W385" s="105" t="str">
        <f t="shared" si="177"/>
        <v/>
      </c>
      <c r="X385" s="104" t="str">
        <f t="shared" si="182"/>
        <v/>
      </c>
      <c r="Y385" s="104" t="str">
        <f t="array" ref="Y385">IFERROR(IF(ISNUMBER(O385),IF(COUNT(IF(A385=$A$2:$A$2427,IF(D385=$D$2:$D$2427,IF($X$2:$X$2427&gt;0,1))))&gt;0,SUM(IF(A385=$A$2:$A$2427,IF(D385=$D$2:$D$2427,$X$2:$X$2427)))/COUNT(IF(A385=$A$2:$A$2427,IF(D385=$D$2:$D$2427,IF(ISNUMBER($X$2:$X$2427),1)))),0),""),0)</f>
        <v/>
      </c>
      <c r="Z385" s="104" t="str">
        <f>IF(ISNUMBER(O385),IF(I385&gt;0,(10^(VLOOKUP(D385,'Species Codes'!B:C,2,0)+VLOOKUP(D385,'Species Codes'!B:D,3,0)*LOG(E385)+VLOOKUP(D385,'Species Codes'!B:E,4,0)*LOG(I385))),0),"")</f>
        <v/>
      </c>
      <c r="AA385" s="104" t="str">
        <f>IFERROR((VLOOKUP(D385,'Species Codes'!B:G,6,0)*Z385)/2000,"")</f>
        <v/>
      </c>
      <c r="AB385" s="104" t="e">
        <f>IF(Z385&gt;0,((IF(OR(D385="DF",D385="RA")=TRUE,EXP(VLOOKUP(D385,'Species Codes'!B:I,8,0)+VLOOKUP(D385,'Species Codes'!B:J,9,0)*(LN((E385*2.54)))),IF(OR(D385="PY",D385="RC",D385="WH",D385="NF")=TRUE,VLOOKUP(D385,'Species Codes'!B:I,8,0)+VLOOKUP(D385,'Species Codes'!B:J,9,0)*((E385*2.54)^2)*(I385*0.3048),IF(OR(D385="MD",D385="BM",D385="GA")=TRUE,((VLOOKUP(D385,'Species Codes'!B:I,8,0)*(((((E385*2.54)+VLOOKUP(D385,'Species Codes'!B:J,9,0))/VLOOKUP(D385,'Species Codes'!B:K,10,0))^VLOOKUP(D385,'Species Codes'!B:L,11,0))*((I385*0.3048)^VLOOKUP(D385,'Species Codes'!B:M,12,0))))-(VLOOKUP(D385,'Species Codes'!B:I,8,0)*((((E385*2.54)^VLOOKUP(D385,'Species Codes'!B:L,11,0))*((I385*0.3048)^VLOOKUP(D385,'Species Codes'!B:M,12,0))))))*35.3*VLOOKUP(D385,'Species Codes'!B:G,6,0)/2.2046,VLOOKUP(D385,'Species Codes'!B:I,8,0)+VLOOKUP(D385,'Species Codes'!B:J,9,0)*(((E385*2.54)/100)^2)*(I385*0.3048)))))*0.0011023),0)</f>
        <v>#N/A</v>
      </c>
      <c r="AC385" s="104" t="e">
        <f>IF(Z385&gt;0,((IF(OR(D385="RA",D385="OA",D385="OT",D385="UN",D385="PC"),EXP(VLOOKUP(D385,'Species Codes'!B:O,14,0)+VLOOKUP(D385,'Species Codes'!B:P,15,0)*LN((E385*2.54)))-EXP(VLOOKUP(D385,'Species Codes'!B:O,14,0)+VLOOKUP(D385,'Species Codes'!B:P,15,0)*LN((E385*2.54)))*(1/(VLOOKUP(D385,'Species Codes'!B:Q,16,0)+VLOOKUP(D385,'Species Codes'!B:R,17,0)*((E385*2.54)^VLOOKUP(D385,'Species Codes'!B:S,18,0)))),IF(OR(D385="BM",D385="MD",D385="OA"),EXP(VLOOKUP(D385,'Species Codes'!B:O,14,0)+VLOOKUP(D385,'Species Codes'!B:P,15,0)*LN((E385*2.54)))*(1-(1/(VLOOKUP(D385,'Species Codes'!B:Q,16,0)+VLOOKUP(D385,'Species Codes'!B:R,17,0)*((E385*2.54)^VLOOKUP(D385,'Species Codes'!B:S,18,0)))))/1000,IF(D385="DF",EXP(VLOOKUP(D385,'Species Codes'!B:O,14,0)+VLOOKUP(D385,'Species Codes'!B:P,15,0)*LN((E385*2.54))),VLOOKUP(D385,'Species Codes'!B:O,14,0)+VLOOKUP(D385,'Species Codes'!B:P,15,0)*(((E385*2.54)/100)^2)*(I385*0.3048)))))*0.0011023),0)</f>
        <v>#N/A</v>
      </c>
      <c r="AD385" s="104" t="e">
        <f t="shared" si="193"/>
        <v>#N/A</v>
      </c>
      <c r="AE385" s="104" t="e">
        <f t="shared" si="194"/>
        <v>#N/A</v>
      </c>
      <c r="AF385" s="104" t="e">
        <f>IF(AND(VLOOKUP($D385,Merchantability!$B:$C,2,0)="Yes",$E385&gt;=VLOOKUP($D385,Merchantability!$B:$D,3,0),$E385&lt;=VLOOKUP($D385,Merchantability!$B:$E,4,0)),AA385,0)</f>
        <v>#N/A</v>
      </c>
      <c r="AG385" s="104" t="e">
        <f>IF(AND(VLOOKUP($D385,Merchantability!$B:$C,2,0)="Yes",$E385&gt;=VLOOKUP($D385,Merchantability!$B:$D,3,0),$E385&lt;=VLOOKUP($D385,Merchantability!$B:$E,4,0)),AB385,0)</f>
        <v>#N/A</v>
      </c>
      <c r="AH385" s="104" t="e">
        <f>IF(AND(VLOOKUP($D385,Merchantability!$B:$C,2,0)="Yes",$E385&gt;=VLOOKUP($D385,Merchantability!$B:$D,3,0),$E385&lt;=VLOOKUP($D385,Merchantability!$B:$E,4,0)),AC385,0)</f>
        <v>#N/A</v>
      </c>
      <c r="AI385" s="104" t="e">
        <f t="shared" si="195"/>
        <v>#N/A</v>
      </c>
      <c r="AJ385" s="104" t="e">
        <f t="shared" si="196"/>
        <v>#VALUE!</v>
      </c>
      <c r="AK385" s="104" t="e">
        <f t="shared" si="197"/>
        <v>#N/A</v>
      </c>
      <c r="AL385" s="104" t="e">
        <f t="shared" si="198"/>
        <v>#N/A</v>
      </c>
      <c r="AM385" s="104" t="e">
        <f t="shared" si="199"/>
        <v>#N/A</v>
      </c>
      <c r="AN385" s="104" t="e">
        <f t="shared" si="183"/>
        <v>#N/A</v>
      </c>
      <c r="AO385" s="104" t="e">
        <f t="shared" si="184"/>
        <v>#N/A</v>
      </c>
      <c r="AP385" s="104" t="e">
        <f t="shared" si="185"/>
        <v>#N/A</v>
      </c>
      <c r="AQ385" s="104" t="e">
        <f t="shared" si="186"/>
        <v>#N/A</v>
      </c>
      <c r="AR385" s="105" t="str">
        <f t="shared" si="178"/>
        <v/>
      </c>
      <c r="AS385" s="105" t="str">
        <f t="shared" si="179"/>
        <v/>
      </c>
      <c r="AT385" s="108" t="str">
        <f t="shared" si="180"/>
        <v/>
      </c>
      <c r="AU385" s="108" t="str">
        <f t="shared" si="181"/>
        <v/>
      </c>
      <c r="AV385" s="107" t="str">
        <f>IF(ISNUMBER(O385),IF(VLOOKUP($A385,Stand!C:J,8,FALSE)="Short",AT385,AU385),"")</f>
        <v/>
      </c>
      <c r="AW385" s="109" t="str">
        <f t="shared" si="187"/>
        <v/>
      </c>
      <c r="AX385" s="109" t="str">
        <f t="shared" si="188"/>
        <v/>
      </c>
      <c r="AY385" s="112" t="str">
        <f>IF(ISNUMBER(O385),IF(AND(VLOOKUP($D385,Merchantability!$B:$C,2,0)="Yes",$E385&gt;=VLOOKUP($D385,Merchantability!$B:$D,3,0),$E385&lt;=VLOOKUP($D385,Merchantability!$B:$E,4,0)),(AV385*O385)*(1-$H385/100),""),"")</f>
        <v/>
      </c>
      <c r="AZ385" s="116"/>
      <c r="BA385" s="116"/>
      <c r="BB385" s="116"/>
      <c r="BE385" s="62"/>
      <c r="BF385" s="63"/>
    </row>
    <row r="386" spans="1:58" ht="12.75" customHeight="1" x14ac:dyDescent="0.25">
      <c r="A386" s="313"/>
      <c r="B386" s="328"/>
      <c r="C386" s="329"/>
      <c r="D386" s="328"/>
      <c r="E386" s="330"/>
      <c r="F386" s="331"/>
      <c r="G386" s="329"/>
      <c r="H386" s="329"/>
      <c r="I386" s="328"/>
      <c r="J386" s="329"/>
      <c r="K386" s="329"/>
      <c r="L386" s="329"/>
      <c r="M386" s="76"/>
      <c r="N386" s="103" t="str">
        <f>IF(A386="","",VLOOKUP(A386,Stand!C:K,9,0))</f>
        <v/>
      </c>
      <c r="O386" s="104" t="str">
        <f t="shared" ref="O386:O449" si="200">IF(E386&gt;0,IF(G386&gt;1,G386*(43560/(N386^2*3.14)),43560/(N386^2*3.14)),"")</f>
        <v/>
      </c>
      <c r="P386" s="105" t="str">
        <f t="shared" ref="P386:P449" si="201">IF(ISNUMBER(O386),E386*O386,"")</f>
        <v/>
      </c>
      <c r="Q386" s="105" t="str">
        <f t="shared" si="189"/>
        <v/>
      </c>
      <c r="R386" s="103" t="str">
        <f t="shared" ref="R386:R449" si="202">IF(ISNUMBER(O386),E386^2*0.005454*O386,"")</f>
        <v/>
      </c>
      <c r="S386" s="103" t="str">
        <f t="shared" ref="S386:S449" si="203">IF(ISNUMBER(O386),(E386/10)^1.7*O386,"")</f>
        <v/>
      </c>
      <c r="T386" s="106" t="str">
        <f t="shared" si="190"/>
        <v/>
      </c>
      <c r="U386" s="106" t="str">
        <f t="shared" si="191"/>
        <v/>
      </c>
      <c r="V386" s="106" t="str">
        <f t="shared" si="192"/>
        <v/>
      </c>
      <c r="W386" s="105" t="str">
        <f t="shared" ref="W386:W449" si="204">IF(AND(ISNUMBER(O386),I386&gt;0),I386/(E386/12),"")</f>
        <v/>
      </c>
      <c r="X386" s="104" t="str">
        <f t="shared" si="182"/>
        <v/>
      </c>
      <c r="Y386" s="104" t="str">
        <f t="array" ref="Y386">IFERROR(IF(ISNUMBER(O386),IF(COUNT(IF(A386=$A$2:$A$2427,IF(D386=$D$2:$D$2427,IF($X$2:$X$2427&gt;0,1))))&gt;0,SUM(IF(A386=$A$2:$A$2427,IF(D386=$D$2:$D$2427,$X$2:$X$2427)))/COUNT(IF(A386=$A$2:$A$2427,IF(D386=$D$2:$D$2427,IF(ISNUMBER($X$2:$X$2427),1)))),0),""),0)</f>
        <v/>
      </c>
      <c r="Z386" s="104" t="str">
        <f>IF(ISNUMBER(O386),IF(I386&gt;0,(10^(VLOOKUP(D386,'Species Codes'!B:C,2,0)+VLOOKUP(D386,'Species Codes'!B:D,3,0)*LOG(E386)+VLOOKUP(D386,'Species Codes'!B:E,4,0)*LOG(I386))),0),"")</f>
        <v/>
      </c>
      <c r="AA386" s="104" t="str">
        <f>IFERROR((VLOOKUP(D386,'Species Codes'!B:G,6,0)*Z386)/2000,"")</f>
        <v/>
      </c>
      <c r="AB386" s="104" t="e">
        <f>IF(Z386&gt;0,((IF(OR(D386="DF",D386="RA")=TRUE,EXP(VLOOKUP(D386,'Species Codes'!B:I,8,0)+VLOOKUP(D386,'Species Codes'!B:J,9,0)*(LN((E386*2.54)))),IF(OR(D386="PY",D386="RC",D386="WH",D386="NF")=TRUE,VLOOKUP(D386,'Species Codes'!B:I,8,0)+VLOOKUP(D386,'Species Codes'!B:J,9,0)*((E386*2.54)^2)*(I386*0.3048),IF(OR(D386="MD",D386="BM",D386="GA")=TRUE,((VLOOKUP(D386,'Species Codes'!B:I,8,0)*(((((E386*2.54)+VLOOKUP(D386,'Species Codes'!B:J,9,0))/VLOOKUP(D386,'Species Codes'!B:K,10,0))^VLOOKUP(D386,'Species Codes'!B:L,11,0))*((I386*0.3048)^VLOOKUP(D386,'Species Codes'!B:M,12,0))))-(VLOOKUP(D386,'Species Codes'!B:I,8,0)*((((E386*2.54)^VLOOKUP(D386,'Species Codes'!B:L,11,0))*((I386*0.3048)^VLOOKUP(D386,'Species Codes'!B:M,12,0))))))*35.3*VLOOKUP(D386,'Species Codes'!B:G,6,0)/2.2046,VLOOKUP(D386,'Species Codes'!B:I,8,0)+VLOOKUP(D386,'Species Codes'!B:J,9,0)*(((E386*2.54)/100)^2)*(I386*0.3048)))))*0.0011023),0)</f>
        <v>#N/A</v>
      </c>
      <c r="AC386" s="104" t="e">
        <f>IF(Z386&gt;0,((IF(OR(D386="RA",D386="OA",D386="OT",D386="UN",D386="PC"),EXP(VLOOKUP(D386,'Species Codes'!B:O,14,0)+VLOOKUP(D386,'Species Codes'!B:P,15,0)*LN((E386*2.54)))-EXP(VLOOKUP(D386,'Species Codes'!B:O,14,0)+VLOOKUP(D386,'Species Codes'!B:P,15,0)*LN((E386*2.54)))*(1/(VLOOKUP(D386,'Species Codes'!B:Q,16,0)+VLOOKUP(D386,'Species Codes'!B:R,17,0)*((E386*2.54)^VLOOKUP(D386,'Species Codes'!B:S,18,0)))),IF(OR(D386="BM",D386="MD",D386="OA"),EXP(VLOOKUP(D386,'Species Codes'!B:O,14,0)+VLOOKUP(D386,'Species Codes'!B:P,15,0)*LN((E386*2.54)))*(1-(1/(VLOOKUP(D386,'Species Codes'!B:Q,16,0)+VLOOKUP(D386,'Species Codes'!B:R,17,0)*((E386*2.54)^VLOOKUP(D386,'Species Codes'!B:S,18,0)))))/1000,IF(D386="DF",EXP(VLOOKUP(D386,'Species Codes'!B:O,14,0)+VLOOKUP(D386,'Species Codes'!B:P,15,0)*LN((E386*2.54))),VLOOKUP(D386,'Species Codes'!B:O,14,0)+VLOOKUP(D386,'Species Codes'!B:P,15,0)*(((E386*2.54)/100)^2)*(I386*0.3048)))))*0.0011023),0)</f>
        <v>#N/A</v>
      </c>
      <c r="AD386" s="104" t="e">
        <f t="shared" si="193"/>
        <v>#N/A</v>
      </c>
      <c r="AE386" s="104" t="e">
        <f t="shared" si="194"/>
        <v>#N/A</v>
      </c>
      <c r="AF386" s="104" t="e">
        <f>IF(AND(VLOOKUP($D386,Merchantability!$B:$C,2,0)="Yes",$E386&gt;=VLOOKUP($D386,Merchantability!$B:$D,3,0),$E386&lt;=VLOOKUP($D386,Merchantability!$B:$E,4,0)),AA386,0)</f>
        <v>#N/A</v>
      </c>
      <c r="AG386" s="104" t="e">
        <f>IF(AND(VLOOKUP($D386,Merchantability!$B:$C,2,0)="Yes",$E386&gt;=VLOOKUP($D386,Merchantability!$B:$D,3,0),$E386&lt;=VLOOKUP($D386,Merchantability!$B:$E,4,0)),AB386,0)</f>
        <v>#N/A</v>
      </c>
      <c r="AH386" s="104" t="e">
        <f>IF(AND(VLOOKUP($D386,Merchantability!$B:$C,2,0)="Yes",$E386&gt;=VLOOKUP($D386,Merchantability!$B:$D,3,0),$E386&lt;=VLOOKUP($D386,Merchantability!$B:$E,4,0)),AC386,0)</f>
        <v>#N/A</v>
      </c>
      <c r="AI386" s="104" t="e">
        <f t="shared" si="195"/>
        <v>#N/A</v>
      </c>
      <c r="AJ386" s="104" t="e">
        <f t="shared" si="196"/>
        <v>#VALUE!</v>
      </c>
      <c r="AK386" s="104" t="e">
        <f t="shared" si="197"/>
        <v>#N/A</v>
      </c>
      <c r="AL386" s="104" t="e">
        <f t="shared" si="198"/>
        <v>#N/A</v>
      </c>
      <c r="AM386" s="104" t="e">
        <f t="shared" si="199"/>
        <v>#N/A</v>
      </c>
      <c r="AN386" s="104" t="e">
        <f t="shared" si="183"/>
        <v>#N/A</v>
      </c>
      <c r="AO386" s="104" t="e">
        <f t="shared" si="184"/>
        <v>#N/A</v>
      </c>
      <c r="AP386" s="104" t="e">
        <f t="shared" si="185"/>
        <v>#N/A</v>
      </c>
      <c r="AQ386" s="104" t="e">
        <f t="shared" si="186"/>
        <v>#N/A</v>
      </c>
      <c r="AR386" s="105" t="str">
        <f t="shared" ref="AR386:AR449" si="205">IF(ISNUMBER(O386),IF(Y386&gt;0,((Y386*(E386^2*0.005454-0.087266))/0.912733),0),"")</f>
        <v/>
      </c>
      <c r="AS386" s="105" t="str">
        <f t="shared" ref="AS386:AS449" si="206">IF(ISNUMBER(O386),AR386*(0.993-0.993*(0.62^(E386-6))),"")</f>
        <v/>
      </c>
      <c r="AT386" s="108" t="str">
        <f t="shared" ref="AT386:AT449" si="207">IF(ISNUMBER(O386),IF(AS386&gt;0,IF(Y386&gt;0,(AS386*10^(0.174439+0.117594*(LOG(E386,10))*(LOG(Y386/0.912733,10))-8.210585/E386^2+0.236693*(LOG(Y386/0.912733,10))-0.00001345*(Y386/0.912733)^2-0.00001937*E386^2)),0),0),"")</f>
        <v/>
      </c>
      <c r="AU386" s="108" t="str">
        <f t="shared" ref="AU386:AU449" si="208">IF(ISNUMBER(O386),IF(AS386&gt;0,IF(Y386&gt;0,AT386*(1.001491-(6.92497/Y386)+(0.00001351*(E386^2))),0),0),"")</f>
        <v/>
      </c>
      <c r="AV386" s="107" t="str">
        <f>IF(ISNUMBER(O386),IF(VLOOKUP($A386,Stand!C:J,8,FALSE)="Short",AT386,AU386),"")</f>
        <v/>
      </c>
      <c r="AW386" s="109" t="str">
        <f t="shared" si="187"/>
        <v/>
      </c>
      <c r="AX386" s="109" t="str">
        <f t="shared" si="188"/>
        <v/>
      </c>
      <c r="AY386" s="112" t="str">
        <f>IF(ISNUMBER(O386),IF(AND(VLOOKUP($D386,Merchantability!$B:$C,2,0)="Yes",$E386&gt;=VLOOKUP($D386,Merchantability!$B:$D,3,0),$E386&lt;=VLOOKUP($D386,Merchantability!$B:$E,4,0)),(AV386*O386)*(1-$H386/100),""),"")</f>
        <v/>
      </c>
      <c r="AZ386" s="116"/>
      <c r="BA386" s="116"/>
      <c r="BB386" s="116"/>
      <c r="BE386" s="62"/>
      <c r="BF386" s="63"/>
    </row>
    <row r="387" spans="1:58" ht="12.75" customHeight="1" x14ac:dyDescent="0.25">
      <c r="A387" s="313"/>
      <c r="B387" s="328"/>
      <c r="C387" s="329"/>
      <c r="D387" s="328"/>
      <c r="E387" s="330"/>
      <c r="F387" s="331"/>
      <c r="G387" s="329"/>
      <c r="H387" s="329"/>
      <c r="I387" s="328"/>
      <c r="J387" s="329"/>
      <c r="K387" s="329"/>
      <c r="L387" s="329"/>
      <c r="M387" s="76"/>
      <c r="N387" s="103" t="str">
        <f>IF(A387="","",VLOOKUP(A387,Stand!C:K,9,0))</f>
        <v/>
      </c>
      <c r="O387" s="104" t="str">
        <f t="shared" si="200"/>
        <v/>
      </c>
      <c r="P387" s="105" t="str">
        <f t="shared" si="201"/>
        <v/>
      </c>
      <c r="Q387" s="105" t="str">
        <f t="shared" si="189"/>
        <v/>
      </c>
      <c r="R387" s="103" t="str">
        <f t="shared" si="202"/>
        <v/>
      </c>
      <c r="S387" s="103" t="str">
        <f t="shared" si="203"/>
        <v/>
      </c>
      <c r="T387" s="106" t="str">
        <f t="shared" si="190"/>
        <v/>
      </c>
      <c r="U387" s="106" t="str">
        <f t="shared" si="191"/>
        <v/>
      </c>
      <c r="V387" s="106" t="str">
        <f t="shared" si="192"/>
        <v/>
      </c>
      <c r="W387" s="105" t="str">
        <f t="shared" si="204"/>
        <v/>
      </c>
      <c r="X387" s="104" t="str">
        <f t="shared" ref="X387:X450" si="209">IF(ISNUMBER(O387),IF(I387&gt;0,IF(E387&gt;0,(0.912733*Z387)/(1.033*(1+1.382937*EXP(-4.015292*E387/10))*((E387^2)*0.005454+0.087266)-0.174533),""),""),"")</f>
        <v/>
      </c>
      <c r="Y387" s="104" t="str">
        <f t="array" ref="Y387">IFERROR(IF(ISNUMBER(O387),IF(COUNT(IF(A387=$A$2:$A$2427,IF(D387=$D$2:$D$2427,IF($X$2:$X$2427&gt;0,1))))&gt;0,SUM(IF(A387=$A$2:$A$2427,IF(D387=$D$2:$D$2427,$X$2:$X$2427)))/COUNT(IF(A387=$A$2:$A$2427,IF(D387=$D$2:$D$2427,IF(ISNUMBER($X$2:$X$2427),1)))),0),""),0)</f>
        <v/>
      </c>
      <c r="Z387" s="104" t="str">
        <f>IF(ISNUMBER(O387),IF(I387&gt;0,(10^(VLOOKUP(D387,'Species Codes'!B:C,2,0)+VLOOKUP(D387,'Species Codes'!B:D,3,0)*LOG(E387)+VLOOKUP(D387,'Species Codes'!B:E,4,0)*LOG(I387))),0),"")</f>
        <v/>
      </c>
      <c r="AA387" s="104" t="str">
        <f>IFERROR((VLOOKUP(D387,'Species Codes'!B:G,6,0)*Z387)/2000,"")</f>
        <v/>
      </c>
      <c r="AB387" s="104" t="e">
        <f>IF(Z387&gt;0,((IF(OR(D387="DF",D387="RA")=TRUE,EXP(VLOOKUP(D387,'Species Codes'!B:I,8,0)+VLOOKUP(D387,'Species Codes'!B:J,9,0)*(LN((E387*2.54)))),IF(OR(D387="PY",D387="RC",D387="WH",D387="NF")=TRUE,VLOOKUP(D387,'Species Codes'!B:I,8,0)+VLOOKUP(D387,'Species Codes'!B:J,9,0)*((E387*2.54)^2)*(I387*0.3048),IF(OR(D387="MD",D387="BM",D387="GA")=TRUE,((VLOOKUP(D387,'Species Codes'!B:I,8,0)*(((((E387*2.54)+VLOOKUP(D387,'Species Codes'!B:J,9,0))/VLOOKUP(D387,'Species Codes'!B:K,10,0))^VLOOKUP(D387,'Species Codes'!B:L,11,0))*((I387*0.3048)^VLOOKUP(D387,'Species Codes'!B:M,12,0))))-(VLOOKUP(D387,'Species Codes'!B:I,8,0)*((((E387*2.54)^VLOOKUP(D387,'Species Codes'!B:L,11,0))*((I387*0.3048)^VLOOKUP(D387,'Species Codes'!B:M,12,0))))))*35.3*VLOOKUP(D387,'Species Codes'!B:G,6,0)/2.2046,VLOOKUP(D387,'Species Codes'!B:I,8,0)+VLOOKUP(D387,'Species Codes'!B:J,9,0)*(((E387*2.54)/100)^2)*(I387*0.3048)))))*0.0011023),0)</f>
        <v>#N/A</v>
      </c>
      <c r="AC387" s="104" t="e">
        <f>IF(Z387&gt;0,((IF(OR(D387="RA",D387="OA",D387="OT",D387="UN",D387="PC"),EXP(VLOOKUP(D387,'Species Codes'!B:O,14,0)+VLOOKUP(D387,'Species Codes'!B:P,15,0)*LN((E387*2.54)))-EXP(VLOOKUP(D387,'Species Codes'!B:O,14,0)+VLOOKUP(D387,'Species Codes'!B:P,15,0)*LN((E387*2.54)))*(1/(VLOOKUP(D387,'Species Codes'!B:Q,16,0)+VLOOKUP(D387,'Species Codes'!B:R,17,0)*((E387*2.54)^VLOOKUP(D387,'Species Codes'!B:S,18,0)))),IF(OR(D387="BM",D387="MD",D387="OA"),EXP(VLOOKUP(D387,'Species Codes'!B:O,14,0)+VLOOKUP(D387,'Species Codes'!B:P,15,0)*LN((E387*2.54)))*(1-(1/(VLOOKUP(D387,'Species Codes'!B:Q,16,0)+VLOOKUP(D387,'Species Codes'!B:R,17,0)*((E387*2.54)^VLOOKUP(D387,'Species Codes'!B:S,18,0)))))/1000,IF(D387="DF",EXP(VLOOKUP(D387,'Species Codes'!B:O,14,0)+VLOOKUP(D387,'Species Codes'!B:P,15,0)*LN((E387*2.54))),VLOOKUP(D387,'Species Codes'!B:O,14,0)+VLOOKUP(D387,'Species Codes'!B:P,15,0)*(((E387*2.54)/100)^2)*(I387*0.3048)))))*0.0011023),0)</f>
        <v>#N/A</v>
      </c>
      <c r="AD387" s="104" t="e">
        <f t="shared" si="193"/>
        <v>#N/A</v>
      </c>
      <c r="AE387" s="104" t="e">
        <f t="shared" si="194"/>
        <v>#N/A</v>
      </c>
      <c r="AF387" s="104" t="e">
        <f>IF(AND(VLOOKUP($D387,Merchantability!$B:$C,2,0)="Yes",$E387&gt;=VLOOKUP($D387,Merchantability!$B:$D,3,0),$E387&lt;=VLOOKUP($D387,Merchantability!$B:$E,4,0)),AA387,0)</f>
        <v>#N/A</v>
      </c>
      <c r="AG387" s="104" t="e">
        <f>IF(AND(VLOOKUP($D387,Merchantability!$B:$C,2,0)="Yes",$E387&gt;=VLOOKUP($D387,Merchantability!$B:$D,3,0),$E387&lt;=VLOOKUP($D387,Merchantability!$B:$E,4,0)),AB387,0)</f>
        <v>#N/A</v>
      </c>
      <c r="AH387" s="104" t="e">
        <f>IF(AND(VLOOKUP($D387,Merchantability!$B:$C,2,0)="Yes",$E387&gt;=VLOOKUP($D387,Merchantability!$B:$D,3,0),$E387&lt;=VLOOKUP($D387,Merchantability!$B:$E,4,0)),AC387,0)</f>
        <v>#N/A</v>
      </c>
      <c r="AI387" s="104" t="e">
        <f t="shared" si="195"/>
        <v>#N/A</v>
      </c>
      <c r="AJ387" s="104" t="e">
        <f t="shared" si="196"/>
        <v>#VALUE!</v>
      </c>
      <c r="AK387" s="104" t="e">
        <f t="shared" si="197"/>
        <v>#N/A</v>
      </c>
      <c r="AL387" s="104" t="e">
        <f t="shared" si="198"/>
        <v>#N/A</v>
      </c>
      <c r="AM387" s="104" t="e">
        <f t="shared" si="199"/>
        <v>#N/A</v>
      </c>
      <c r="AN387" s="104" t="e">
        <f t="shared" ref="AN387:AN450" si="210">AF387*$O387</f>
        <v>#N/A</v>
      </c>
      <c r="AO387" s="104" t="e">
        <f t="shared" ref="AO387:AO450" si="211">AG387*$O387</f>
        <v>#N/A</v>
      </c>
      <c r="AP387" s="104" t="e">
        <f t="shared" ref="AP387:AP450" si="212">AH387*$O387</f>
        <v>#N/A</v>
      </c>
      <c r="AQ387" s="104" t="e">
        <f t="shared" ref="AQ387:AQ450" si="213">SUM(AN387:AP387)</f>
        <v>#N/A</v>
      </c>
      <c r="AR387" s="105" t="str">
        <f t="shared" si="205"/>
        <v/>
      </c>
      <c r="AS387" s="105" t="str">
        <f t="shared" si="206"/>
        <v/>
      </c>
      <c r="AT387" s="108" t="str">
        <f t="shared" si="207"/>
        <v/>
      </c>
      <c r="AU387" s="108" t="str">
        <f t="shared" si="208"/>
        <v/>
      </c>
      <c r="AV387" s="107" t="str">
        <f>IF(ISNUMBER(O387),IF(VLOOKUP($A387,Stand!C:J,8,FALSE)="Short",AT387,AU387),"")</f>
        <v/>
      </c>
      <c r="AW387" s="109" t="str">
        <f t="shared" ref="AW387:AW450" si="214">IF(ISNUMBER(O387),AV387*O387,"")</f>
        <v/>
      </c>
      <c r="AX387" s="109" t="str">
        <f t="shared" ref="AX387:AX450" si="215">IF(ISNUMBER(O387),AW387*(1-$H387/100),"")</f>
        <v/>
      </c>
      <c r="AY387" s="112" t="str">
        <f>IF(ISNUMBER(O387),IF(AND(VLOOKUP($D387,Merchantability!$B:$C,2,0)="Yes",$E387&gt;=VLOOKUP($D387,Merchantability!$B:$D,3,0),$E387&lt;=VLOOKUP($D387,Merchantability!$B:$E,4,0)),(AV387*O387)*(1-$H387/100),""),"")</f>
        <v/>
      </c>
      <c r="AZ387" s="116"/>
      <c r="BA387" s="116"/>
      <c r="BB387" s="116"/>
      <c r="BE387" s="62"/>
      <c r="BF387" s="63"/>
    </row>
    <row r="388" spans="1:58" ht="12.75" customHeight="1" x14ac:dyDescent="0.25">
      <c r="A388" s="313"/>
      <c r="B388" s="328"/>
      <c r="C388" s="329"/>
      <c r="D388" s="328"/>
      <c r="E388" s="330"/>
      <c r="F388" s="331"/>
      <c r="G388" s="329"/>
      <c r="H388" s="329"/>
      <c r="I388" s="328"/>
      <c r="J388" s="329"/>
      <c r="K388" s="329"/>
      <c r="L388" s="329"/>
      <c r="M388" s="76"/>
      <c r="N388" s="103" t="str">
        <f>IF(A388="","",VLOOKUP(A388,Stand!C:K,9,0))</f>
        <v/>
      </c>
      <c r="O388" s="104" t="str">
        <f t="shared" si="200"/>
        <v/>
      </c>
      <c r="P388" s="105" t="str">
        <f t="shared" si="201"/>
        <v/>
      </c>
      <c r="Q388" s="105" t="str">
        <f t="shared" si="189"/>
        <v/>
      </c>
      <c r="R388" s="103" t="str">
        <f t="shared" si="202"/>
        <v/>
      </c>
      <c r="S388" s="103" t="str">
        <f t="shared" si="203"/>
        <v/>
      </c>
      <c r="T388" s="106" t="str">
        <f t="shared" si="190"/>
        <v/>
      </c>
      <c r="U388" s="106" t="str">
        <f t="shared" si="191"/>
        <v/>
      </c>
      <c r="V388" s="106" t="str">
        <f t="shared" si="192"/>
        <v/>
      </c>
      <c r="W388" s="105" t="str">
        <f t="shared" si="204"/>
        <v/>
      </c>
      <c r="X388" s="104" t="str">
        <f t="shared" si="209"/>
        <v/>
      </c>
      <c r="Y388" s="104" t="str">
        <f t="array" ref="Y388">IFERROR(IF(ISNUMBER(O388),IF(COUNT(IF(A388=$A$2:$A$2427,IF(D388=$D$2:$D$2427,IF($X$2:$X$2427&gt;0,1))))&gt;0,SUM(IF(A388=$A$2:$A$2427,IF(D388=$D$2:$D$2427,$X$2:$X$2427)))/COUNT(IF(A388=$A$2:$A$2427,IF(D388=$D$2:$D$2427,IF(ISNUMBER($X$2:$X$2427),1)))),0),""),0)</f>
        <v/>
      </c>
      <c r="Z388" s="104" t="str">
        <f>IF(ISNUMBER(O388),IF(I388&gt;0,(10^(VLOOKUP(D388,'Species Codes'!B:C,2,0)+VLOOKUP(D388,'Species Codes'!B:D,3,0)*LOG(E388)+VLOOKUP(D388,'Species Codes'!B:E,4,0)*LOG(I388))),0),"")</f>
        <v/>
      </c>
      <c r="AA388" s="104" t="str">
        <f>IFERROR((VLOOKUP(D388,'Species Codes'!B:G,6,0)*Z388)/2000,"")</f>
        <v/>
      </c>
      <c r="AB388" s="104" t="e">
        <f>IF(Z388&gt;0,((IF(OR(D388="DF",D388="RA")=TRUE,EXP(VLOOKUP(D388,'Species Codes'!B:I,8,0)+VLOOKUP(D388,'Species Codes'!B:J,9,0)*(LN((E388*2.54)))),IF(OR(D388="PY",D388="RC",D388="WH",D388="NF")=TRUE,VLOOKUP(D388,'Species Codes'!B:I,8,0)+VLOOKUP(D388,'Species Codes'!B:J,9,0)*((E388*2.54)^2)*(I388*0.3048),IF(OR(D388="MD",D388="BM",D388="GA")=TRUE,((VLOOKUP(D388,'Species Codes'!B:I,8,0)*(((((E388*2.54)+VLOOKUP(D388,'Species Codes'!B:J,9,0))/VLOOKUP(D388,'Species Codes'!B:K,10,0))^VLOOKUP(D388,'Species Codes'!B:L,11,0))*((I388*0.3048)^VLOOKUP(D388,'Species Codes'!B:M,12,0))))-(VLOOKUP(D388,'Species Codes'!B:I,8,0)*((((E388*2.54)^VLOOKUP(D388,'Species Codes'!B:L,11,0))*((I388*0.3048)^VLOOKUP(D388,'Species Codes'!B:M,12,0))))))*35.3*VLOOKUP(D388,'Species Codes'!B:G,6,0)/2.2046,VLOOKUP(D388,'Species Codes'!B:I,8,0)+VLOOKUP(D388,'Species Codes'!B:J,9,0)*(((E388*2.54)/100)^2)*(I388*0.3048)))))*0.0011023),0)</f>
        <v>#N/A</v>
      </c>
      <c r="AC388" s="104" t="e">
        <f>IF(Z388&gt;0,((IF(OR(D388="RA",D388="OA",D388="OT",D388="UN",D388="PC"),EXP(VLOOKUP(D388,'Species Codes'!B:O,14,0)+VLOOKUP(D388,'Species Codes'!B:P,15,0)*LN((E388*2.54)))-EXP(VLOOKUP(D388,'Species Codes'!B:O,14,0)+VLOOKUP(D388,'Species Codes'!B:P,15,0)*LN((E388*2.54)))*(1/(VLOOKUP(D388,'Species Codes'!B:Q,16,0)+VLOOKUP(D388,'Species Codes'!B:R,17,0)*((E388*2.54)^VLOOKUP(D388,'Species Codes'!B:S,18,0)))),IF(OR(D388="BM",D388="MD",D388="OA"),EXP(VLOOKUP(D388,'Species Codes'!B:O,14,0)+VLOOKUP(D388,'Species Codes'!B:P,15,0)*LN((E388*2.54)))*(1-(1/(VLOOKUP(D388,'Species Codes'!B:Q,16,0)+VLOOKUP(D388,'Species Codes'!B:R,17,0)*((E388*2.54)^VLOOKUP(D388,'Species Codes'!B:S,18,0)))))/1000,IF(D388="DF",EXP(VLOOKUP(D388,'Species Codes'!B:O,14,0)+VLOOKUP(D388,'Species Codes'!B:P,15,0)*LN((E388*2.54))),VLOOKUP(D388,'Species Codes'!B:O,14,0)+VLOOKUP(D388,'Species Codes'!B:P,15,0)*(((E388*2.54)/100)^2)*(I388*0.3048)))))*0.0011023),0)</f>
        <v>#N/A</v>
      </c>
      <c r="AD388" s="104" t="e">
        <f t="shared" si="193"/>
        <v>#N/A</v>
      </c>
      <c r="AE388" s="104" t="e">
        <f t="shared" si="194"/>
        <v>#N/A</v>
      </c>
      <c r="AF388" s="104" t="e">
        <f>IF(AND(VLOOKUP($D388,Merchantability!$B:$C,2,0)="Yes",$E388&gt;=VLOOKUP($D388,Merchantability!$B:$D,3,0),$E388&lt;=VLOOKUP($D388,Merchantability!$B:$E,4,0)),AA388,0)</f>
        <v>#N/A</v>
      </c>
      <c r="AG388" s="104" t="e">
        <f>IF(AND(VLOOKUP($D388,Merchantability!$B:$C,2,0)="Yes",$E388&gt;=VLOOKUP($D388,Merchantability!$B:$D,3,0),$E388&lt;=VLOOKUP($D388,Merchantability!$B:$E,4,0)),AB388,0)</f>
        <v>#N/A</v>
      </c>
      <c r="AH388" s="104" t="e">
        <f>IF(AND(VLOOKUP($D388,Merchantability!$B:$C,2,0)="Yes",$E388&gt;=VLOOKUP($D388,Merchantability!$B:$D,3,0),$E388&lt;=VLOOKUP($D388,Merchantability!$B:$E,4,0)),AC388,0)</f>
        <v>#N/A</v>
      </c>
      <c r="AI388" s="104" t="e">
        <f t="shared" si="195"/>
        <v>#N/A</v>
      </c>
      <c r="AJ388" s="104" t="e">
        <f t="shared" si="196"/>
        <v>#VALUE!</v>
      </c>
      <c r="AK388" s="104" t="e">
        <f t="shared" si="197"/>
        <v>#N/A</v>
      </c>
      <c r="AL388" s="104" t="e">
        <f t="shared" si="198"/>
        <v>#N/A</v>
      </c>
      <c r="AM388" s="104" t="e">
        <f t="shared" si="199"/>
        <v>#N/A</v>
      </c>
      <c r="AN388" s="104" t="e">
        <f t="shared" si="210"/>
        <v>#N/A</v>
      </c>
      <c r="AO388" s="104" t="e">
        <f t="shared" si="211"/>
        <v>#N/A</v>
      </c>
      <c r="AP388" s="104" t="e">
        <f t="shared" si="212"/>
        <v>#N/A</v>
      </c>
      <c r="AQ388" s="104" t="e">
        <f t="shared" si="213"/>
        <v>#N/A</v>
      </c>
      <c r="AR388" s="105" t="str">
        <f t="shared" si="205"/>
        <v/>
      </c>
      <c r="AS388" s="105" t="str">
        <f t="shared" si="206"/>
        <v/>
      </c>
      <c r="AT388" s="108" t="str">
        <f t="shared" si="207"/>
        <v/>
      </c>
      <c r="AU388" s="108" t="str">
        <f t="shared" si="208"/>
        <v/>
      </c>
      <c r="AV388" s="107" t="str">
        <f>IF(ISNUMBER(O388),IF(VLOOKUP($A388,Stand!C:J,8,FALSE)="Short",AT388,AU388),"")</f>
        <v/>
      </c>
      <c r="AW388" s="109" t="str">
        <f t="shared" si="214"/>
        <v/>
      </c>
      <c r="AX388" s="109" t="str">
        <f t="shared" si="215"/>
        <v/>
      </c>
      <c r="AY388" s="112" t="str">
        <f>IF(ISNUMBER(O388),IF(AND(VLOOKUP($D388,Merchantability!$B:$C,2,0)="Yes",$E388&gt;=VLOOKUP($D388,Merchantability!$B:$D,3,0),$E388&lt;=VLOOKUP($D388,Merchantability!$B:$E,4,0)),(AV388*O388)*(1-$H388/100),""),"")</f>
        <v/>
      </c>
      <c r="AZ388" s="116"/>
      <c r="BA388" s="116"/>
      <c r="BB388" s="116"/>
      <c r="BE388" s="62"/>
      <c r="BF388" s="63"/>
    </row>
    <row r="389" spans="1:58" ht="12.75" customHeight="1" x14ac:dyDescent="0.25">
      <c r="A389" s="313"/>
      <c r="B389" s="328"/>
      <c r="C389" s="329"/>
      <c r="D389" s="328"/>
      <c r="E389" s="330"/>
      <c r="F389" s="331"/>
      <c r="G389" s="329"/>
      <c r="H389" s="329"/>
      <c r="I389" s="328"/>
      <c r="J389" s="329"/>
      <c r="K389" s="329"/>
      <c r="L389" s="329"/>
      <c r="M389" s="76"/>
      <c r="N389" s="103" t="str">
        <f>IF(A389="","",VLOOKUP(A389,Stand!C:K,9,0))</f>
        <v/>
      </c>
      <c r="O389" s="104" t="str">
        <f t="shared" si="200"/>
        <v/>
      </c>
      <c r="P389" s="105" t="str">
        <f t="shared" si="201"/>
        <v/>
      </c>
      <c r="Q389" s="105" t="str">
        <f t="shared" si="189"/>
        <v/>
      </c>
      <c r="R389" s="103" t="str">
        <f t="shared" si="202"/>
        <v/>
      </c>
      <c r="S389" s="103" t="str">
        <f t="shared" si="203"/>
        <v/>
      </c>
      <c r="T389" s="106" t="str">
        <f t="shared" si="190"/>
        <v/>
      </c>
      <c r="U389" s="106" t="str">
        <f t="shared" si="191"/>
        <v/>
      </c>
      <c r="V389" s="106" t="str">
        <f t="shared" si="192"/>
        <v/>
      </c>
      <c r="W389" s="105" t="str">
        <f t="shared" si="204"/>
        <v/>
      </c>
      <c r="X389" s="104" t="str">
        <f t="shared" si="209"/>
        <v/>
      </c>
      <c r="Y389" s="104" t="str">
        <f t="array" ref="Y389">IFERROR(IF(ISNUMBER(O389),IF(COUNT(IF(A389=$A$2:$A$2427,IF(D389=$D$2:$D$2427,IF($X$2:$X$2427&gt;0,1))))&gt;0,SUM(IF(A389=$A$2:$A$2427,IF(D389=$D$2:$D$2427,$X$2:$X$2427)))/COUNT(IF(A389=$A$2:$A$2427,IF(D389=$D$2:$D$2427,IF(ISNUMBER($X$2:$X$2427),1)))),0),""),0)</f>
        <v/>
      </c>
      <c r="Z389" s="104" t="str">
        <f>IF(ISNUMBER(O389),IF(I389&gt;0,(10^(VLOOKUP(D389,'Species Codes'!B:C,2,0)+VLOOKUP(D389,'Species Codes'!B:D,3,0)*LOG(E389)+VLOOKUP(D389,'Species Codes'!B:E,4,0)*LOG(I389))),0),"")</f>
        <v/>
      </c>
      <c r="AA389" s="104" t="str">
        <f>IFERROR((VLOOKUP(D389,'Species Codes'!B:G,6,0)*Z389)/2000,"")</f>
        <v/>
      </c>
      <c r="AB389" s="104" t="e">
        <f>IF(Z389&gt;0,((IF(OR(D389="DF",D389="RA")=TRUE,EXP(VLOOKUP(D389,'Species Codes'!B:I,8,0)+VLOOKUP(D389,'Species Codes'!B:J,9,0)*(LN((E389*2.54)))),IF(OR(D389="PY",D389="RC",D389="WH",D389="NF")=TRUE,VLOOKUP(D389,'Species Codes'!B:I,8,0)+VLOOKUP(D389,'Species Codes'!B:J,9,0)*((E389*2.54)^2)*(I389*0.3048),IF(OR(D389="MD",D389="BM",D389="GA")=TRUE,((VLOOKUP(D389,'Species Codes'!B:I,8,0)*(((((E389*2.54)+VLOOKUP(D389,'Species Codes'!B:J,9,0))/VLOOKUP(D389,'Species Codes'!B:K,10,0))^VLOOKUP(D389,'Species Codes'!B:L,11,0))*((I389*0.3048)^VLOOKUP(D389,'Species Codes'!B:M,12,0))))-(VLOOKUP(D389,'Species Codes'!B:I,8,0)*((((E389*2.54)^VLOOKUP(D389,'Species Codes'!B:L,11,0))*((I389*0.3048)^VLOOKUP(D389,'Species Codes'!B:M,12,0))))))*35.3*VLOOKUP(D389,'Species Codes'!B:G,6,0)/2.2046,VLOOKUP(D389,'Species Codes'!B:I,8,0)+VLOOKUP(D389,'Species Codes'!B:J,9,0)*(((E389*2.54)/100)^2)*(I389*0.3048)))))*0.0011023),0)</f>
        <v>#N/A</v>
      </c>
      <c r="AC389" s="104" t="e">
        <f>IF(Z389&gt;0,((IF(OR(D389="RA",D389="OA",D389="OT",D389="UN",D389="PC"),EXP(VLOOKUP(D389,'Species Codes'!B:O,14,0)+VLOOKUP(D389,'Species Codes'!B:P,15,0)*LN((E389*2.54)))-EXP(VLOOKUP(D389,'Species Codes'!B:O,14,0)+VLOOKUP(D389,'Species Codes'!B:P,15,0)*LN((E389*2.54)))*(1/(VLOOKUP(D389,'Species Codes'!B:Q,16,0)+VLOOKUP(D389,'Species Codes'!B:R,17,0)*((E389*2.54)^VLOOKUP(D389,'Species Codes'!B:S,18,0)))),IF(OR(D389="BM",D389="MD",D389="OA"),EXP(VLOOKUP(D389,'Species Codes'!B:O,14,0)+VLOOKUP(D389,'Species Codes'!B:P,15,0)*LN((E389*2.54)))*(1-(1/(VLOOKUP(D389,'Species Codes'!B:Q,16,0)+VLOOKUP(D389,'Species Codes'!B:R,17,0)*((E389*2.54)^VLOOKUP(D389,'Species Codes'!B:S,18,0)))))/1000,IF(D389="DF",EXP(VLOOKUP(D389,'Species Codes'!B:O,14,0)+VLOOKUP(D389,'Species Codes'!B:P,15,0)*LN((E389*2.54))),VLOOKUP(D389,'Species Codes'!B:O,14,0)+VLOOKUP(D389,'Species Codes'!B:P,15,0)*(((E389*2.54)/100)^2)*(I389*0.3048)))))*0.0011023),0)</f>
        <v>#N/A</v>
      </c>
      <c r="AD389" s="104" t="e">
        <f t="shared" si="193"/>
        <v>#N/A</v>
      </c>
      <c r="AE389" s="104" t="e">
        <f t="shared" si="194"/>
        <v>#N/A</v>
      </c>
      <c r="AF389" s="104" t="e">
        <f>IF(AND(VLOOKUP($D389,Merchantability!$B:$C,2,0)="Yes",$E389&gt;=VLOOKUP($D389,Merchantability!$B:$D,3,0),$E389&lt;=VLOOKUP($D389,Merchantability!$B:$E,4,0)),AA389,0)</f>
        <v>#N/A</v>
      </c>
      <c r="AG389" s="104" t="e">
        <f>IF(AND(VLOOKUP($D389,Merchantability!$B:$C,2,0)="Yes",$E389&gt;=VLOOKUP($D389,Merchantability!$B:$D,3,0),$E389&lt;=VLOOKUP($D389,Merchantability!$B:$E,4,0)),AB389,0)</f>
        <v>#N/A</v>
      </c>
      <c r="AH389" s="104" t="e">
        <f>IF(AND(VLOOKUP($D389,Merchantability!$B:$C,2,0)="Yes",$E389&gt;=VLOOKUP($D389,Merchantability!$B:$D,3,0),$E389&lt;=VLOOKUP($D389,Merchantability!$B:$E,4,0)),AC389,0)</f>
        <v>#N/A</v>
      </c>
      <c r="AI389" s="104" t="e">
        <f t="shared" si="195"/>
        <v>#N/A</v>
      </c>
      <c r="AJ389" s="104" t="e">
        <f t="shared" si="196"/>
        <v>#VALUE!</v>
      </c>
      <c r="AK389" s="104" t="e">
        <f t="shared" si="197"/>
        <v>#N/A</v>
      </c>
      <c r="AL389" s="104" t="e">
        <f t="shared" si="198"/>
        <v>#N/A</v>
      </c>
      <c r="AM389" s="104" t="e">
        <f t="shared" si="199"/>
        <v>#N/A</v>
      </c>
      <c r="AN389" s="104" t="e">
        <f t="shared" si="210"/>
        <v>#N/A</v>
      </c>
      <c r="AO389" s="104" t="e">
        <f t="shared" si="211"/>
        <v>#N/A</v>
      </c>
      <c r="AP389" s="104" t="e">
        <f t="shared" si="212"/>
        <v>#N/A</v>
      </c>
      <c r="AQ389" s="104" t="e">
        <f t="shared" si="213"/>
        <v>#N/A</v>
      </c>
      <c r="AR389" s="105" t="str">
        <f t="shared" si="205"/>
        <v/>
      </c>
      <c r="AS389" s="105" t="str">
        <f t="shared" si="206"/>
        <v/>
      </c>
      <c r="AT389" s="108" t="str">
        <f t="shared" si="207"/>
        <v/>
      </c>
      <c r="AU389" s="108" t="str">
        <f t="shared" si="208"/>
        <v/>
      </c>
      <c r="AV389" s="107" t="str">
        <f>IF(ISNUMBER(O389),IF(VLOOKUP($A389,Stand!C:J,8,FALSE)="Short",AT389,AU389),"")</f>
        <v/>
      </c>
      <c r="AW389" s="109" t="str">
        <f t="shared" si="214"/>
        <v/>
      </c>
      <c r="AX389" s="109" t="str">
        <f t="shared" si="215"/>
        <v/>
      </c>
      <c r="AY389" s="112" t="str">
        <f>IF(ISNUMBER(O389),IF(AND(VLOOKUP($D389,Merchantability!$B:$C,2,0)="Yes",$E389&gt;=VLOOKUP($D389,Merchantability!$B:$D,3,0),$E389&lt;=VLOOKUP($D389,Merchantability!$B:$E,4,0)),(AV389*O389)*(1-$H389/100),""),"")</f>
        <v/>
      </c>
      <c r="AZ389" s="116"/>
      <c r="BA389" s="116"/>
      <c r="BB389" s="116"/>
      <c r="BE389" s="62"/>
      <c r="BF389" s="63"/>
    </row>
    <row r="390" spans="1:58" ht="12.75" customHeight="1" x14ac:dyDescent="0.25">
      <c r="A390" s="313"/>
      <c r="B390" s="328"/>
      <c r="C390" s="329"/>
      <c r="D390" s="328"/>
      <c r="E390" s="330"/>
      <c r="F390" s="331"/>
      <c r="G390" s="329"/>
      <c r="H390" s="329"/>
      <c r="I390" s="328"/>
      <c r="J390" s="329"/>
      <c r="K390" s="329"/>
      <c r="L390" s="329"/>
      <c r="M390" s="76"/>
      <c r="N390" s="103" t="str">
        <f>IF(A390="","",VLOOKUP(A390,Stand!C:K,9,0))</f>
        <v/>
      </c>
      <c r="O390" s="104" t="str">
        <f t="shared" si="200"/>
        <v/>
      </c>
      <c r="P390" s="105" t="str">
        <f t="shared" si="201"/>
        <v/>
      </c>
      <c r="Q390" s="105" t="str">
        <f t="shared" si="189"/>
        <v/>
      </c>
      <c r="R390" s="103" t="str">
        <f t="shared" si="202"/>
        <v/>
      </c>
      <c r="S390" s="103" t="str">
        <f t="shared" si="203"/>
        <v/>
      </c>
      <c r="T390" s="106" t="str">
        <f t="shared" si="190"/>
        <v/>
      </c>
      <c r="U390" s="106" t="str">
        <f t="shared" si="191"/>
        <v/>
      </c>
      <c r="V390" s="106" t="str">
        <f t="shared" si="192"/>
        <v/>
      </c>
      <c r="W390" s="105" t="str">
        <f t="shared" si="204"/>
        <v/>
      </c>
      <c r="X390" s="104" t="str">
        <f t="shared" si="209"/>
        <v/>
      </c>
      <c r="Y390" s="104" t="str">
        <f t="array" ref="Y390">IFERROR(IF(ISNUMBER(O390),IF(COUNT(IF(A390=$A$2:$A$2427,IF(D390=$D$2:$D$2427,IF($X$2:$X$2427&gt;0,1))))&gt;0,SUM(IF(A390=$A$2:$A$2427,IF(D390=$D$2:$D$2427,$X$2:$X$2427)))/COUNT(IF(A390=$A$2:$A$2427,IF(D390=$D$2:$D$2427,IF(ISNUMBER($X$2:$X$2427),1)))),0),""),0)</f>
        <v/>
      </c>
      <c r="Z390" s="104" t="str">
        <f>IF(ISNUMBER(O390),IF(I390&gt;0,(10^(VLOOKUP(D390,'Species Codes'!B:C,2,0)+VLOOKUP(D390,'Species Codes'!B:D,3,0)*LOG(E390)+VLOOKUP(D390,'Species Codes'!B:E,4,0)*LOG(I390))),0),"")</f>
        <v/>
      </c>
      <c r="AA390" s="104" t="str">
        <f>IFERROR((VLOOKUP(D390,'Species Codes'!B:G,6,0)*Z390)/2000,"")</f>
        <v/>
      </c>
      <c r="AB390" s="104" t="e">
        <f>IF(Z390&gt;0,((IF(OR(D390="DF",D390="RA")=TRUE,EXP(VLOOKUP(D390,'Species Codes'!B:I,8,0)+VLOOKUP(D390,'Species Codes'!B:J,9,0)*(LN((E390*2.54)))),IF(OR(D390="PY",D390="RC",D390="WH",D390="NF")=TRUE,VLOOKUP(D390,'Species Codes'!B:I,8,0)+VLOOKUP(D390,'Species Codes'!B:J,9,0)*((E390*2.54)^2)*(I390*0.3048),IF(OR(D390="MD",D390="BM",D390="GA")=TRUE,((VLOOKUP(D390,'Species Codes'!B:I,8,0)*(((((E390*2.54)+VLOOKUP(D390,'Species Codes'!B:J,9,0))/VLOOKUP(D390,'Species Codes'!B:K,10,0))^VLOOKUP(D390,'Species Codes'!B:L,11,0))*((I390*0.3048)^VLOOKUP(D390,'Species Codes'!B:M,12,0))))-(VLOOKUP(D390,'Species Codes'!B:I,8,0)*((((E390*2.54)^VLOOKUP(D390,'Species Codes'!B:L,11,0))*((I390*0.3048)^VLOOKUP(D390,'Species Codes'!B:M,12,0))))))*35.3*VLOOKUP(D390,'Species Codes'!B:G,6,0)/2.2046,VLOOKUP(D390,'Species Codes'!B:I,8,0)+VLOOKUP(D390,'Species Codes'!B:J,9,0)*(((E390*2.54)/100)^2)*(I390*0.3048)))))*0.0011023),0)</f>
        <v>#N/A</v>
      </c>
      <c r="AC390" s="104" t="e">
        <f>IF(Z390&gt;0,((IF(OR(D390="RA",D390="OA",D390="OT",D390="UN",D390="PC"),EXP(VLOOKUP(D390,'Species Codes'!B:O,14,0)+VLOOKUP(D390,'Species Codes'!B:P,15,0)*LN((E390*2.54)))-EXP(VLOOKUP(D390,'Species Codes'!B:O,14,0)+VLOOKUP(D390,'Species Codes'!B:P,15,0)*LN((E390*2.54)))*(1/(VLOOKUP(D390,'Species Codes'!B:Q,16,0)+VLOOKUP(D390,'Species Codes'!B:R,17,0)*((E390*2.54)^VLOOKUP(D390,'Species Codes'!B:S,18,0)))),IF(OR(D390="BM",D390="MD",D390="OA"),EXP(VLOOKUP(D390,'Species Codes'!B:O,14,0)+VLOOKUP(D390,'Species Codes'!B:P,15,0)*LN((E390*2.54)))*(1-(1/(VLOOKUP(D390,'Species Codes'!B:Q,16,0)+VLOOKUP(D390,'Species Codes'!B:R,17,0)*((E390*2.54)^VLOOKUP(D390,'Species Codes'!B:S,18,0)))))/1000,IF(D390="DF",EXP(VLOOKUP(D390,'Species Codes'!B:O,14,0)+VLOOKUP(D390,'Species Codes'!B:P,15,0)*LN((E390*2.54))),VLOOKUP(D390,'Species Codes'!B:O,14,0)+VLOOKUP(D390,'Species Codes'!B:P,15,0)*(((E390*2.54)/100)^2)*(I390*0.3048)))))*0.0011023),0)</f>
        <v>#N/A</v>
      </c>
      <c r="AD390" s="104" t="e">
        <f t="shared" si="193"/>
        <v>#N/A</v>
      </c>
      <c r="AE390" s="104" t="e">
        <f t="shared" si="194"/>
        <v>#N/A</v>
      </c>
      <c r="AF390" s="104" t="e">
        <f>IF(AND(VLOOKUP($D390,Merchantability!$B:$C,2,0)="Yes",$E390&gt;=VLOOKUP($D390,Merchantability!$B:$D,3,0),$E390&lt;=VLOOKUP($D390,Merchantability!$B:$E,4,0)),AA390,0)</f>
        <v>#N/A</v>
      </c>
      <c r="AG390" s="104" t="e">
        <f>IF(AND(VLOOKUP($D390,Merchantability!$B:$C,2,0)="Yes",$E390&gt;=VLOOKUP($D390,Merchantability!$B:$D,3,0),$E390&lt;=VLOOKUP($D390,Merchantability!$B:$E,4,0)),AB390,0)</f>
        <v>#N/A</v>
      </c>
      <c r="AH390" s="104" t="e">
        <f>IF(AND(VLOOKUP($D390,Merchantability!$B:$C,2,0)="Yes",$E390&gt;=VLOOKUP($D390,Merchantability!$B:$D,3,0),$E390&lt;=VLOOKUP($D390,Merchantability!$B:$E,4,0)),AC390,0)</f>
        <v>#N/A</v>
      </c>
      <c r="AI390" s="104" t="e">
        <f t="shared" si="195"/>
        <v>#N/A</v>
      </c>
      <c r="AJ390" s="104" t="e">
        <f t="shared" si="196"/>
        <v>#VALUE!</v>
      </c>
      <c r="AK390" s="104" t="e">
        <f t="shared" si="197"/>
        <v>#N/A</v>
      </c>
      <c r="AL390" s="104" t="e">
        <f t="shared" si="198"/>
        <v>#N/A</v>
      </c>
      <c r="AM390" s="104" t="e">
        <f t="shared" si="199"/>
        <v>#N/A</v>
      </c>
      <c r="AN390" s="104" t="e">
        <f t="shared" si="210"/>
        <v>#N/A</v>
      </c>
      <c r="AO390" s="104" t="e">
        <f t="shared" si="211"/>
        <v>#N/A</v>
      </c>
      <c r="AP390" s="104" t="e">
        <f t="shared" si="212"/>
        <v>#N/A</v>
      </c>
      <c r="AQ390" s="104" t="e">
        <f t="shared" si="213"/>
        <v>#N/A</v>
      </c>
      <c r="AR390" s="105" t="str">
        <f t="shared" si="205"/>
        <v/>
      </c>
      <c r="AS390" s="105" t="str">
        <f t="shared" si="206"/>
        <v/>
      </c>
      <c r="AT390" s="108" t="str">
        <f t="shared" si="207"/>
        <v/>
      </c>
      <c r="AU390" s="108" t="str">
        <f t="shared" si="208"/>
        <v/>
      </c>
      <c r="AV390" s="107" t="str">
        <f>IF(ISNUMBER(O390),IF(VLOOKUP($A390,Stand!C:J,8,FALSE)="Short",AT390,AU390),"")</f>
        <v/>
      </c>
      <c r="AW390" s="109" t="str">
        <f t="shared" si="214"/>
        <v/>
      </c>
      <c r="AX390" s="109" t="str">
        <f t="shared" si="215"/>
        <v/>
      </c>
      <c r="AY390" s="112" t="str">
        <f>IF(ISNUMBER(O390),IF(AND(VLOOKUP($D390,Merchantability!$B:$C,2,0)="Yes",$E390&gt;=VLOOKUP($D390,Merchantability!$B:$D,3,0),$E390&lt;=VLOOKUP($D390,Merchantability!$B:$E,4,0)),(AV390*O390)*(1-$H390/100),""),"")</f>
        <v/>
      </c>
      <c r="AZ390" s="116"/>
      <c r="BA390" s="116"/>
      <c r="BB390" s="116"/>
      <c r="BE390" s="62"/>
      <c r="BF390" s="63"/>
    </row>
    <row r="391" spans="1:58" ht="12.75" customHeight="1" x14ac:dyDescent="0.25">
      <c r="A391" s="313"/>
      <c r="B391" s="328"/>
      <c r="C391" s="329"/>
      <c r="D391" s="328"/>
      <c r="E391" s="330"/>
      <c r="F391" s="331"/>
      <c r="G391" s="329"/>
      <c r="H391" s="329"/>
      <c r="I391" s="328"/>
      <c r="J391" s="329"/>
      <c r="K391" s="329"/>
      <c r="L391" s="329"/>
      <c r="M391" s="76"/>
      <c r="N391" s="103" t="str">
        <f>IF(A391="","",VLOOKUP(A391,Stand!C:K,9,0))</f>
        <v/>
      </c>
      <c r="O391" s="104" t="str">
        <f t="shared" si="200"/>
        <v/>
      </c>
      <c r="P391" s="105" t="str">
        <f t="shared" si="201"/>
        <v/>
      </c>
      <c r="Q391" s="105" t="str">
        <f t="shared" si="189"/>
        <v/>
      </c>
      <c r="R391" s="103" t="str">
        <f t="shared" si="202"/>
        <v/>
      </c>
      <c r="S391" s="103" t="str">
        <f t="shared" si="203"/>
        <v/>
      </c>
      <c r="T391" s="106" t="str">
        <f t="shared" si="190"/>
        <v/>
      </c>
      <c r="U391" s="106" t="str">
        <f t="shared" si="191"/>
        <v/>
      </c>
      <c r="V391" s="106" t="str">
        <f t="shared" si="192"/>
        <v/>
      </c>
      <c r="W391" s="105" t="str">
        <f t="shared" si="204"/>
        <v/>
      </c>
      <c r="X391" s="104" t="str">
        <f t="shared" si="209"/>
        <v/>
      </c>
      <c r="Y391" s="104" t="str">
        <f t="array" ref="Y391">IFERROR(IF(ISNUMBER(O391),IF(COUNT(IF(A391=$A$2:$A$2427,IF(D391=$D$2:$D$2427,IF($X$2:$X$2427&gt;0,1))))&gt;0,SUM(IF(A391=$A$2:$A$2427,IF(D391=$D$2:$D$2427,$X$2:$X$2427)))/COUNT(IF(A391=$A$2:$A$2427,IF(D391=$D$2:$D$2427,IF(ISNUMBER($X$2:$X$2427),1)))),0),""),0)</f>
        <v/>
      </c>
      <c r="Z391" s="104" t="str">
        <f>IF(ISNUMBER(O391),IF(I391&gt;0,(10^(VLOOKUP(D391,'Species Codes'!B:C,2,0)+VLOOKUP(D391,'Species Codes'!B:D,3,0)*LOG(E391)+VLOOKUP(D391,'Species Codes'!B:E,4,0)*LOG(I391))),0),"")</f>
        <v/>
      </c>
      <c r="AA391" s="104" t="str">
        <f>IFERROR((VLOOKUP(D391,'Species Codes'!B:G,6,0)*Z391)/2000,"")</f>
        <v/>
      </c>
      <c r="AB391" s="104" t="e">
        <f>IF(Z391&gt;0,((IF(OR(D391="DF",D391="RA")=TRUE,EXP(VLOOKUP(D391,'Species Codes'!B:I,8,0)+VLOOKUP(D391,'Species Codes'!B:J,9,0)*(LN((E391*2.54)))),IF(OR(D391="PY",D391="RC",D391="WH",D391="NF")=TRUE,VLOOKUP(D391,'Species Codes'!B:I,8,0)+VLOOKUP(D391,'Species Codes'!B:J,9,0)*((E391*2.54)^2)*(I391*0.3048),IF(OR(D391="MD",D391="BM",D391="GA")=TRUE,((VLOOKUP(D391,'Species Codes'!B:I,8,0)*(((((E391*2.54)+VLOOKUP(D391,'Species Codes'!B:J,9,0))/VLOOKUP(D391,'Species Codes'!B:K,10,0))^VLOOKUP(D391,'Species Codes'!B:L,11,0))*((I391*0.3048)^VLOOKUP(D391,'Species Codes'!B:M,12,0))))-(VLOOKUP(D391,'Species Codes'!B:I,8,0)*((((E391*2.54)^VLOOKUP(D391,'Species Codes'!B:L,11,0))*((I391*0.3048)^VLOOKUP(D391,'Species Codes'!B:M,12,0))))))*35.3*VLOOKUP(D391,'Species Codes'!B:G,6,0)/2.2046,VLOOKUP(D391,'Species Codes'!B:I,8,0)+VLOOKUP(D391,'Species Codes'!B:J,9,0)*(((E391*2.54)/100)^2)*(I391*0.3048)))))*0.0011023),0)</f>
        <v>#N/A</v>
      </c>
      <c r="AC391" s="104" t="e">
        <f>IF(Z391&gt;0,((IF(OR(D391="RA",D391="OA",D391="OT",D391="UN",D391="PC"),EXP(VLOOKUP(D391,'Species Codes'!B:O,14,0)+VLOOKUP(D391,'Species Codes'!B:P,15,0)*LN((E391*2.54)))-EXP(VLOOKUP(D391,'Species Codes'!B:O,14,0)+VLOOKUP(D391,'Species Codes'!B:P,15,0)*LN((E391*2.54)))*(1/(VLOOKUP(D391,'Species Codes'!B:Q,16,0)+VLOOKUP(D391,'Species Codes'!B:R,17,0)*((E391*2.54)^VLOOKUP(D391,'Species Codes'!B:S,18,0)))),IF(OR(D391="BM",D391="MD",D391="OA"),EXP(VLOOKUP(D391,'Species Codes'!B:O,14,0)+VLOOKUP(D391,'Species Codes'!B:P,15,0)*LN((E391*2.54)))*(1-(1/(VLOOKUP(D391,'Species Codes'!B:Q,16,0)+VLOOKUP(D391,'Species Codes'!B:R,17,0)*((E391*2.54)^VLOOKUP(D391,'Species Codes'!B:S,18,0)))))/1000,IF(D391="DF",EXP(VLOOKUP(D391,'Species Codes'!B:O,14,0)+VLOOKUP(D391,'Species Codes'!B:P,15,0)*LN((E391*2.54))),VLOOKUP(D391,'Species Codes'!B:O,14,0)+VLOOKUP(D391,'Species Codes'!B:P,15,0)*(((E391*2.54)/100)^2)*(I391*0.3048)))))*0.0011023),0)</f>
        <v>#N/A</v>
      </c>
      <c r="AD391" s="104" t="e">
        <f t="shared" si="193"/>
        <v>#N/A</v>
      </c>
      <c r="AE391" s="104" t="e">
        <f t="shared" si="194"/>
        <v>#N/A</v>
      </c>
      <c r="AF391" s="104" t="e">
        <f>IF(AND(VLOOKUP($D391,Merchantability!$B:$C,2,0)="Yes",$E391&gt;=VLOOKUP($D391,Merchantability!$B:$D,3,0),$E391&lt;=VLOOKUP($D391,Merchantability!$B:$E,4,0)),AA391,0)</f>
        <v>#N/A</v>
      </c>
      <c r="AG391" s="104" t="e">
        <f>IF(AND(VLOOKUP($D391,Merchantability!$B:$C,2,0)="Yes",$E391&gt;=VLOOKUP($D391,Merchantability!$B:$D,3,0),$E391&lt;=VLOOKUP($D391,Merchantability!$B:$E,4,0)),AB391,0)</f>
        <v>#N/A</v>
      </c>
      <c r="AH391" s="104" t="e">
        <f>IF(AND(VLOOKUP($D391,Merchantability!$B:$C,2,0)="Yes",$E391&gt;=VLOOKUP($D391,Merchantability!$B:$D,3,0),$E391&lt;=VLOOKUP($D391,Merchantability!$B:$E,4,0)),AC391,0)</f>
        <v>#N/A</v>
      </c>
      <c r="AI391" s="104" t="e">
        <f t="shared" si="195"/>
        <v>#N/A</v>
      </c>
      <c r="AJ391" s="104" t="e">
        <f t="shared" si="196"/>
        <v>#VALUE!</v>
      </c>
      <c r="AK391" s="104" t="e">
        <f t="shared" si="197"/>
        <v>#N/A</v>
      </c>
      <c r="AL391" s="104" t="e">
        <f t="shared" si="198"/>
        <v>#N/A</v>
      </c>
      <c r="AM391" s="104" t="e">
        <f t="shared" si="199"/>
        <v>#N/A</v>
      </c>
      <c r="AN391" s="104" t="e">
        <f t="shared" si="210"/>
        <v>#N/A</v>
      </c>
      <c r="AO391" s="104" t="e">
        <f t="shared" si="211"/>
        <v>#N/A</v>
      </c>
      <c r="AP391" s="104" t="e">
        <f t="shared" si="212"/>
        <v>#N/A</v>
      </c>
      <c r="AQ391" s="104" t="e">
        <f t="shared" si="213"/>
        <v>#N/A</v>
      </c>
      <c r="AR391" s="105" t="str">
        <f t="shared" si="205"/>
        <v/>
      </c>
      <c r="AS391" s="105" t="str">
        <f t="shared" si="206"/>
        <v/>
      </c>
      <c r="AT391" s="108" t="str">
        <f t="shared" si="207"/>
        <v/>
      </c>
      <c r="AU391" s="108" t="str">
        <f t="shared" si="208"/>
        <v/>
      </c>
      <c r="AV391" s="107" t="str">
        <f>IF(ISNUMBER(O391),IF(VLOOKUP($A391,Stand!C:J,8,FALSE)="Short",AT391,AU391),"")</f>
        <v/>
      </c>
      <c r="AW391" s="109" t="str">
        <f t="shared" si="214"/>
        <v/>
      </c>
      <c r="AX391" s="109" t="str">
        <f t="shared" si="215"/>
        <v/>
      </c>
      <c r="AY391" s="112" t="str">
        <f>IF(ISNUMBER(O391),IF(AND(VLOOKUP($D391,Merchantability!$B:$C,2,0)="Yes",$E391&gt;=VLOOKUP($D391,Merchantability!$B:$D,3,0),$E391&lt;=VLOOKUP($D391,Merchantability!$B:$E,4,0)),(AV391*O391)*(1-$H391/100),""),"")</f>
        <v/>
      </c>
      <c r="AZ391" s="116"/>
      <c r="BA391" s="116"/>
      <c r="BB391" s="116"/>
      <c r="BE391" s="62"/>
      <c r="BF391" s="63"/>
    </row>
    <row r="392" spans="1:58" ht="12.75" customHeight="1" x14ac:dyDescent="0.25">
      <c r="A392" s="313"/>
      <c r="B392" s="328"/>
      <c r="C392" s="329"/>
      <c r="D392" s="328"/>
      <c r="E392" s="330"/>
      <c r="F392" s="331"/>
      <c r="G392" s="329"/>
      <c r="H392" s="329"/>
      <c r="I392" s="328"/>
      <c r="J392" s="329"/>
      <c r="K392" s="329"/>
      <c r="L392" s="329"/>
      <c r="M392" s="76"/>
      <c r="N392" s="103" t="str">
        <f>IF(A392="","",VLOOKUP(A392,Stand!C:K,9,0))</f>
        <v/>
      </c>
      <c r="O392" s="104" t="str">
        <f t="shared" si="200"/>
        <v/>
      </c>
      <c r="P392" s="105" t="str">
        <f t="shared" si="201"/>
        <v/>
      </c>
      <c r="Q392" s="105" t="str">
        <f t="shared" si="189"/>
        <v/>
      </c>
      <c r="R392" s="103" t="str">
        <f t="shared" si="202"/>
        <v/>
      </c>
      <c r="S392" s="103" t="str">
        <f t="shared" si="203"/>
        <v/>
      </c>
      <c r="T392" s="106" t="str">
        <f t="shared" si="190"/>
        <v/>
      </c>
      <c r="U392" s="106" t="str">
        <f t="shared" si="191"/>
        <v/>
      </c>
      <c r="V392" s="106" t="str">
        <f t="shared" si="192"/>
        <v/>
      </c>
      <c r="W392" s="105" t="str">
        <f t="shared" si="204"/>
        <v/>
      </c>
      <c r="X392" s="104" t="str">
        <f t="shared" si="209"/>
        <v/>
      </c>
      <c r="Y392" s="104" t="str">
        <f t="array" ref="Y392">IFERROR(IF(ISNUMBER(O392),IF(COUNT(IF(A392=$A$2:$A$2427,IF(D392=$D$2:$D$2427,IF($X$2:$X$2427&gt;0,1))))&gt;0,SUM(IF(A392=$A$2:$A$2427,IF(D392=$D$2:$D$2427,$X$2:$X$2427)))/COUNT(IF(A392=$A$2:$A$2427,IF(D392=$D$2:$D$2427,IF(ISNUMBER($X$2:$X$2427),1)))),0),""),0)</f>
        <v/>
      </c>
      <c r="Z392" s="104" t="str">
        <f>IF(ISNUMBER(O392),IF(I392&gt;0,(10^(VLOOKUP(D392,'Species Codes'!B:C,2,0)+VLOOKUP(D392,'Species Codes'!B:D,3,0)*LOG(E392)+VLOOKUP(D392,'Species Codes'!B:E,4,0)*LOG(I392))),0),"")</f>
        <v/>
      </c>
      <c r="AA392" s="104" t="str">
        <f>IFERROR((VLOOKUP(D392,'Species Codes'!B:G,6,0)*Z392)/2000,"")</f>
        <v/>
      </c>
      <c r="AB392" s="104" t="e">
        <f>IF(Z392&gt;0,((IF(OR(D392="DF",D392="RA")=TRUE,EXP(VLOOKUP(D392,'Species Codes'!B:I,8,0)+VLOOKUP(D392,'Species Codes'!B:J,9,0)*(LN((E392*2.54)))),IF(OR(D392="PY",D392="RC",D392="WH",D392="NF")=TRUE,VLOOKUP(D392,'Species Codes'!B:I,8,0)+VLOOKUP(D392,'Species Codes'!B:J,9,0)*((E392*2.54)^2)*(I392*0.3048),IF(OR(D392="MD",D392="BM",D392="GA")=TRUE,((VLOOKUP(D392,'Species Codes'!B:I,8,0)*(((((E392*2.54)+VLOOKUP(D392,'Species Codes'!B:J,9,0))/VLOOKUP(D392,'Species Codes'!B:K,10,0))^VLOOKUP(D392,'Species Codes'!B:L,11,0))*((I392*0.3048)^VLOOKUP(D392,'Species Codes'!B:M,12,0))))-(VLOOKUP(D392,'Species Codes'!B:I,8,0)*((((E392*2.54)^VLOOKUP(D392,'Species Codes'!B:L,11,0))*((I392*0.3048)^VLOOKUP(D392,'Species Codes'!B:M,12,0))))))*35.3*VLOOKUP(D392,'Species Codes'!B:G,6,0)/2.2046,VLOOKUP(D392,'Species Codes'!B:I,8,0)+VLOOKUP(D392,'Species Codes'!B:J,9,0)*(((E392*2.54)/100)^2)*(I392*0.3048)))))*0.0011023),0)</f>
        <v>#N/A</v>
      </c>
      <c r="AC392" s="104" t="e">
        <f>IF(Z392&gt;0,((IF(OR(D392="RA",D392="OA",D392="OT",D392="UN",D392="PC"),EXP(VLOOKUP(D392,'Species Codes'!B:O,14,0)+VLOOKUP(D392,'Species Codes'!B:P,15,0)*LN((E392*2.54)))-EXP(VLOOKUP(D392,'Species Codes'!B:O,14,0)+VLOOKUP(D392,'Species Codes'!B:P,15,0)*LN((E392*2.54)))*(1/(VLOOKUP(D392,'Species Codes'!B:Q,16,0)+VLOOKUP(D392,'Species Codes'!B:R,17,0)*((E392*2.54)^VLOOKUP(D392,'Species Codes'!B:S,18,0)))),IF(OR(D392="BM",D392="MD",D392="OA"),EXP(VLOOKUP(D392,'Species Codes'!B:O,14,0)+VLOOKUP(D392,'Species Codes'!B:P,15,0)*LN((E392*2.54)))*(1-(1/(VLOOKUP(D392,'Species Codes'!B:Q,16,0)+VLOOKUP(D392,'Species Codes'!B:R,17,0)*((E392*2.54)^VLOOKUP(D392,'Species Codes'!B:S,18,0)))))/1000,IF(D392="DF",EXP(VLOOKUP(D392,'Species Codes'!B:O,14,0)+VLOOKUP(D392,'Species Codes'!B:P,15,0)*LN((E392*2.54))),VLOOKUP(D392,'Species Codes'!B:O,14,0)+VLOOKUP(D392,'Species Codes'!B:P,15,0)*(((E392*2.54)/100)^2)*(I392*0.3048)))))*0.0011023),0)</f>
        <v>#N/A</v>
      </c>
      <c r="AD392" s="104" t="e">
        <f t="shared" si="193"/>
        <v>#N/A</v>
      </c>
      <c r="AE392" s="104" t="e">
        <f t="shared" si="194"/>
        <v>#N/A</v>
      </c>
      <c r="AF392" s="104" t="e">
        <f>IF(AND(VLOOKUP($D392,Merchantability!$B:$C,2,0)="Yes",$E392&gt;=VLOOKUP($D392,Merchantability!$B:$D,3,0),$E392&lt;=VLOOKUP($D392,Merchantability!$B:$E,4,0)),AA392,0)</f>
        <v>#N/A</v>
      </c>
      <c r="AG392" s="104" t="e">
        <f>IF(AND(VLOOKUP($D392,Merchantability!$B:$C,2,0)="Yes",$E392&gt;=VLOOKUP($D392,Merchantability!$B:$D,3,0),$E392&lt;=VLOOKUP($D392,Merchantability!$B:$E,4,0)),AB392,0)</f>
        <v>#N/A</v>
      </c>
      <c r="AH392" s="104" t="e">
        <f>IF(AND(VLOOKUP($D392,Merchantability!$B:$C,2,0)="Yes",$E392&gt;=VLOOKUP($D392,Merchantability!$B:$D,3,0),$E392&lt;=VLOOKUP($D392,Merchantability!$B:$E,4,0)),AC392,0)</f>
        <v>#N/A</v>
      </c>
      <c r="AI392" s="104" t="e">
        <f t="shared" si="195"/>
        <v>#N/A</v>
      </c>
      <c r="AJ392" s="104" t="e">
        <f t="shared" si="196"/>
        <v>#VALUE!</v>
      </c>
      <c r="AK392" s="104" t="e">
        <f t="shared" si="197"/>
        <v>#N/A</v>
      </c>
      <c r="AL392" s="104" t="e">
        <f t="shared" si="198"/>
        <v>#N/A</v>
      </c>
      <c r="AM392" s="104" t="e">
        <f t="shared" si="199"/>
        <v>#N/A</v>
      </c>
      <c r="AN392" s="104" t="e">
        <f t="shared" si="210"/>
        <v>#N/A</v>
      </c>
      <c r="AO392" s="104" t="e">
        <f t="shared" si="211"/>
        <v>#N/A</v>
      </c>
      <c r="AP392" s="104" t="e">
        <f t="shared" si="212"/>
        <v>#N/A</v>
      </c>
      <c r="AQ392" s="104" t="e">
        <f t="shared" si="213"/>
        <v>#N/A</v>
      </c>
      <c r="AR392" s="105" t="str">
        <f t="shared" si="205"/>
        <v/>
      </c>
      <c r="AS392" s="105" t="str">
        <f t="shared" si="206"/>
        <v/>
      </c>
      <c r="AT392" s="108" t="str">
        <f t="shared" si="207"/>
        <v/>
      </c>
      <c r="AU392" s="108" t="str">
        <f t="shared" si="208"/>
        <v/>
      </c>
      <c r="AV392" s="107" t="str">
        <f>IF(ISNUMBER(O392),IF(VLOOKUP($A392,Stand!C:J,8,FALSE)="Short",AT392,AU392),"")</f>
        <v/>
      </c>
      <c r="AW392" s="109" t="str">
        <f t="shared" si="214"/>
        <v/>
      </c>
      <c r="AX392" s="109" t="str">
        <f t="shared" si="215"/>
        <v/>
      </c>
      <c r="AY392" s="112" t="str">
        <f>IF(ISNUMBER(O392),IF(AND(VLOOKUP($D392,Merchantability!$B:$C,2,0)="Yes",$E392&gt;=VLOOKUP($D392,Merchantability!$B:$D,3,0),$E392&lt;=VLOOKUP($D392,Merchantability!$B:$E,4,0)),(AV392*O392)*(1-$H392/100),""),"")</f>
        <v/>
      </c>
      <c r="AZ392" s="116"/>
      <c r="BA392" s="116"/>
      <c r="BB392" s="116"/>
      <c r="BE392" s="62"/>
      <c r="BF392" s="63"/>
    </row>
    <row r="393" spans="1:58" ht="12.75" customHeight="1" x14ac:dyDescent="0.25">
      <c r="A393" s="313"/>
      <c r="B393" s="328"/>
      <c r="C393" s="329"/>
      <c r="D393" s="328"/>
      <c r="E393" s="330"/>
      <c r="F393" s="331"/>
      <c r="G393" s="329"/>
      <c r="H393" s="329"/>
      <c r="I393" s="328"/>
      <c r="J393" s="329"/>
      <c r="K393" s="329"/>
      <c r="L393" s="329"/>
      <c r="M393" s="76"/>
      <c r="N393" s="103" t="str">
        <f>IF(A393="","",VLOOKUP(A393,Stand!C:K,9,0))</f>
        <v/>
      </c>
      <c r="O393" s="104" t="str">
        <f t="shared" si="200"/>
        <v/>
      </c>
      <c r="P393" s="105" t="str">
        <f t="shared" si="201"/>
        <v/>
      </c>
      <c r="Q393" s="105" t="str">
        <f t="shared" si="189"/>
        <v/>
      </c>
      <c r="R393" s="103" t="str">
        <f t="shared" si="202"/>
        <v/>
      </c>
      <c r="S393" s="103" t="str">
        <f t="shared" si="203"/>
        <v/>
      </c>
      <c r="T393" s="106" t="str">
        <f t="shared" si="190"/>
        <v/>
      </c>
      <c r="U393" s="106" t="str">
        <f t="shared" si="191"/>
        <v/>
      </c>
      <c r="V393" s="106" t="str">
        <f t="shared" si="192"/>
        <v/>
      </c>
      <c r="W393" s="105" t="str">
        <f t="shared" si="204"/>
        <v/>
      </c>
      <c r="X393" s="104" t="str">
        <f t="shared" si="209"/>
        <v/>
      </c>
      <c r="Y393" s="104" t="str">
        <f t="array" ref="Y393">IFERROR(IF(ISNUMBER(O393),IF(COUNT(IF(A393=$A$2:$A$2427,IF(D393=$D$2:$D$2427,IF($X$2:$X$2427&gt;0,1))))&gt;0,SUM(IF(A393=$A$2:$A$2427,IF(D393=$D$2:$D$2427,$X$2:$X$2427)))/COUNT(IF(A393=$A$2:$A$2427,IF(D393=$D$2:$D$2427,IF(ISNUMBER($X$2:$X$2427),1)))),0),""),0)</f>
        <v/>
      </c>
      <c r="Z393" s="104" t="str">
        <f>IF(ISNUMBER(O393),IF(I393&gt;0,(10^(VLOOKUP(D393,'Species Codes'!B:C,2,0)+VLOOKUP(D393,'Species Codes'!B:D,3,0)*LOG(E393)+VLOOKUP(D393,'Species Codes'!B:E,4,0)*LOG(I393))),0),"")</f>
        <v/>
      </c>
      <c r="AA393" s="104" t="str">
        <f>IFERROR((VLOOKUP(D393,'Species Codes'!B:G,6,0)*Z393)/2000,"")</f>
        <v/>
      </c>
      <c r="AB393" s="104" t="e">
        <f>IF(Z393&gt;0,((IF(OR(D393="DF",D393="RA")=TRUE,EXP(VLOOKUP(D393,'Species Codes'!B:I,8,0)+VLOOKUP(D393,'Species Codes'!B:J,9,0)*(LN((E393*2.54)))),IF(OR(D393="PY",D393="RC",D393="WH",D393="NF")=TRUE,VLOOKUP(D393,'Species Codes'!B:I,8,0)+VLOOKUP(D393,'Species Codes'!B:J,9,0)*((E393*2.54)^2)*(I393*0.3048),IF(OR(D393="MD",D393="BM",D393="GA")=TRUE,((VLOOKUP(D393,'Species Codes'!B:I,8,0)*(((((E393*2.54)+VLOOKUP(D393,'Species Codes'!B:J,9,0))/VLOOKUP(D393,'Species Codes'!B:K,10,0))^VLOOKUP(D393,'Species Codes'!B:L,11,0))*((I393*0.3048)^VLOOKUP(D393,'Species Codes'!B:M,12,0))))-(VLOOKUP(D393,'Species Codes'!B:I,8,0)*((((E393*2.54)^VLOOKUP(D393,'Species Codes'!B:L,11,0))*((I393*0.3048)^VLOOKUP(D393,'Species Codes'!B:M,12,0))))))*35.3*VLOOKUP(D393,'Species Codes'!B:G,6,0)/2.2046,VLOOKUP(D393,'Species Codes'!B:I,8,0)+VLOOKUP(D393,'Species Codes'!B:J,9,0)*(((E393*2.54)/100)^2)*(I393*0.3048)))))*0.0011023),0)</f>
        <v>#N/A</v>
      </c>
      <c r="AC393" s="104" t="e">
        <f>IF(Z393&gt;0,((IF(OR(D393="RA",D393="OA",D393="OT",D393="UN",D393="PC"),EXP(VLOOKUP(D393,'Species Codes'!B:O,14,0)+VLOOKUP(D393,'Species Codes'!B:P,15,0)*LN((E393*2.54)))-EXP(VLOOKUP(D393,'Species Codes'!B:O,14,0)+VLOOKUP(D393,'Species Codes'!B:P,15,0)*LN((E393*2.54)))*(1/(VLOOKUP(D393,'Species Codes'!B:Q,16,0)+VLOOKUP(D393,'Species Codes'!B:R,17,0)*((E393*2.54)^VLOOKUP(D393,'Species Codes'!B:S,18,0)))),IF(OR(D393="BM",D393="MD",D393="OA"),EXP(VLOOKUP(D393,'Species Codes'!B:O,14,0)+VLOOKUP(D393,'Species Codes'!B:P,15,0)*LN((E393*2.54)))*(1-(1/(VLOOKUP(D393,'Species Codes'!B:Q,16,0)+VLOOKUP(D393,'Species Codes'!B:R,17,0)*((E393*2.54)^VLOOKUP(D393,'Species Codes'!B:S,18,0)))))/1000,IF(D393="DF",EXP(VLOOKUP(D393,'Species Codes'!B:O,14,0)+VLOOKUP(D393,'Species Codes'!B:P,15,0)*LN((E393*2.54))),VLOOKUP(D393,'Species Codes'!B:O,14,0)+VLOOKUP(D393,'Species Codes'!B:P,15,0)*(((E393*2.54)/100)^2)*(I393*0.3048)))))*0.0011023),0)</f>
        <v>#N/A</v>
      </c>
      <c r="AD393" s="104" t="e">
        <f t="shared" si="193"/>
        <v>#N/A</v>
      </c>
      <c r="AE393" s="104" t="e">
        <f t="shared" si="194"/>
        <v>#N/A</v>
      </c>
      <c r="AF393" s="104" t="e">
        <f>IF(AND(VLOOKUP($D393,Merchantability!$B:$C,2,0)="Yes",$E393&gt;=VLOOKUP($D393,Merchantability!$B:$D,3,0),$E393&lt;=VLOOKUP($D393,Merchantability!$B:$E,4,0)),AA393,0)</f>
        <v>#N/A</v>
      </c>
      <c r="AG393" s="104" t="e">
        <f>IF(AND(VLOOKUP($D393,Merchantability!$B:$C,2,0)="Yes",$E393&gt;=VLOOKUP($D393,Merchantability!$B:$D,3,0),$E393&lt;=VLOOKUP($D393,Merchantability!$B:$E,4,0)),AB393,0)</f>
        <v>#N/A</v>
      </c>
      <c r="AH393" s="104" t="e">
        <f>IF(AND(VLOOKUP($D393,Merchantability!$B:$C,2,0)="Yes",$E393&gt;=VLOOKUP($D393,Merchantability!$B:$D,3,0),$E393&lt;=VLOOKUP($D393,Merchantability!$B:$E,4,0)),AC393,0)</f>
        <v>#N/A</v>
      </c>
      <c r="AI393" s="104" t="e">
        <f t="shared" si="195"/>
        <v>#N/A</v>
      </c>
      <c r="AJ393" s="104" t="e">
        <f t="shared" si="196"/>
        <v>#VALUE!</v>
      </c>
      <c r="AK393" s="104" t="e">
        <f t="shared" si="197"/>
        <v>#N/A</v>
      </c>
      <c r="AL393" s="104" t="e">
        <f t="shared" si="198"/>
        <v>#N/A</v>
      </c>
      <c r="AM393" s="104" t="e">
        <f t="shared" si="199"/>
        <v>#N/A</v>
      </c>
      <c r="AN393" s="104" t="e">
        <f t="shared" si="210"/>
        <v>#N/A</v>
      </c>
      <c r="AO393" s="104" t="e">
        <f t="shared" si="211"/>
        <v>#N/A</v>
      </c>
      <c r="AP393" s="104" t="e">
        <f t="shared" si="212"/>
        <v>#N/A</v>
      </c>
      <c r="AQ393" s="104" t="e">
        <f t="shared" si="213"/>
        <v>#N/A</v>
      </c>
      <c r="AR393" s="105" t="str">
        <f t="shared" si="205"/>
        <v/>
      </c>
      <c r="AS393" s="105" t="str">
        <f t="shared" si="206"/>
        <v/>
      </c>
      <c r="AT393" s="108" t="str">
        <f t="shared" si="207"/>
        <v/>
      </c>
      <c r="AU393" s="108" t="str">
        <f t="shared" si="208"/>
        <v/>
      </c>
      <c r="AV393" s="107" t="str">
        <f>IF(ISNUMBER(O393),IF(VLOOKUP($A393,Stand!C:J,8,FALSE)="Short",AT393,AU393),"")</f>
        <v/>
      </c>
      <c r="AW393" s="109" t="str">
        <f t="shared" si="214"/>
        <v/>
      </c>
      <c r="AX393" s="109" t="str">
        <f t="shared" si="215"/>
        <v/>
      </c>
      <c r="AY393" s="112" t="str">
        <f>IF(ISNUMBER(O393),IF(AND(VLOOKUP($D393,Merchantability!$B:$C,2,0)="Yes",$E393&gt;=VLOOKUP($D393,Merchantability!$B:$D,3,0),$E393&lt;=VLOOKUP($D393,Merchantability!$B:$E,4,0)),(AV393*O393)*(1-$H393/100),""),"")</f>
        <v/>
      </c>
      <c r="AZ393" s="116"/>
      <c r="BA393" s="116"/>
      <c r="BB393" s="116"/>
      <c r="BE393" s="62"/>
      <c r="BF393" s="63"/>
    </row>
    <row r="394" spans="1:58" ht="12.75" customHeight="1" x14ac:dyDescent="0.25">
      <c r="A394" s="313"/>
      <c r="B394" s="328"/>
      <c r="C394" s="329"/>
      <c r="D394" s="328"/>
      <c r="E394" s="330"/>
      <c r="F394" s="331"/>
      <c r="G394" s="329"/>
      <c r="H394" s="329"/>
      <c r="I394" s="328"/>
      <c r="J394" s="329"/>
      <c r="K394" s="329"/>
      <c r="L394" s="329"/>
      <c r="M394" s="76"/>
      <c r="N394" s="103" t="str">
        <f>IF(A394="","",VLOOKUP(A394,Stand!C:K,9,0))</f>
        <v/>
      </c>
      <c r="O394" s="104" t="str">
        <f t="shared" si="200"/>
        <v/>
      </c>
      <c r="P394" s="105" t="str">
        <f t="shared" si="201"/>
        <v/>
      </c>
      <c r="Q394" s="105" t="str">
        <f t="shared" si="189"/>
        <v/>
      </c>
      <c r="R394" s="103" t="str">
        <f t="shared" si="202"/>
        <v/>
      </c>
      <c r="S394" s="103" t="str">
        <f t="shared" si="203"/>
        <v/>
      </c>
      <c r="T394" s="106" t="str">
        <f t="shared" si="190"/>
        <v/>
      </c>
      <c r="U394" s="106" t="str">
        <f t="shared" si="191"/>
        <v/>
      </c>
      <c r="V394" s="106" t="str">
        <f t="shared" si="192"/>
        <v/>
      </c>
      <c r="W394" s="105" t="str">
        <f t="shared" si="204"/>
        <v/>
      </c>
      <c r="X394" s="104" t="str">
        <f t="shared" si="209"/>
        <v/>
      </c>
      <c r="Y394" s="104" t="str">
        <f t="array" ref="Y394">IFERROR(IF(ISNUMBER(O394),IF(COUNT(IF(A394=$A$2:$A$2427,IF(D394=$D$2:$D$2427,IF($X$2:$X$2427&gt;0,1))))&gt;0,SUM(IF(A394=$A$2:$A$2427,IF(D394=$D$2:$D$2427,$X$2:$X$2427)))/COUNT(IF(A394=$A$2:$A$2427,IF(D394=$D$2:$D$2427,IF(ISNUMBER($X$2:$X$2427),1)))),0),""),0)</f>
        <v/>
      </c>
      <c r="Z394" s="104" t="str">
        <f>IF(ISNUMBER(O394),IF(I394&gt;0,(10^(VLOOKUP(D394,'Species Codes'!B:C,2,0)+VLOOKUP(D394,'Species Codes'!B:D,3,0)*LOG(E394)+VLOOKUP(D394,'Species Codes'!B:E,4,0)*LOG(I394))),0),"")</f>
        <v/>
      </c>
      <c r="AA394" s="104" t="str">
        <f>IFERROR((VLOOKUP(D394,'Species Codes'!B:G,6,0)*Z394)/2000,"")</f>
        <v/>
      </c>
      <c r="AB394" s="104" t="e">
        <f>IF(Z394&gt;0,((IF(OR(D394="DF",D394="RA")=TRUE,EXP(VLOOKUP(D394,'Species Codes'!B:I,8,0)+VLOOKUP(D394,'Species Codes'!B:J,9,0)*(LN((E394*2.54)))),IF(OR(D394="PY",D394="RC",D394="WH",D394="NF")=TRUE,VLOOKUP(D394,'Species Codes'!B:I,8,0)+VLOOKUP(D394,'Species Codes'!B:J,9,0)*((E394*2.54)^2)*(I394*0.3048),IF(OR(D394="MD",D394="BM",D394="GA")=TRUE,((VLOOKUP(D394,'Species Codes'!B:I,8,0)*(((((E394*2.54)+VLOOKUP(D394,'Species Codes'!B:J,9,0))/VLOOKUP(D394,'Species Codes'!B:K,10,0))^VLOOKUP(D394,'Species Codes'!B:L,11,0))*((I394*0.3048)^VLOOKUP(D394,'Species Codes'!B:M,12,0))))-(VLOOKUP(D394,'Species Codes'!B:I,8,0)*((((E394*2.54)^VLOOKUP(D394,'Species Codes'!B:L,11,0))*((I394*0.3048)^VLOOKUP(D394,'Species Codes'!B:M,12,0))))))*35.3*VLOOKUP(D394,'Species Codes'!B:G,6,0)/2.2046,VLOOKUP(D394,'Species Codes'!B:I,8,0)+VLOOKUP(D394,'Species Codes'!B:J,9,0)*(((E394*2.54)/100)^2)*(I394*0.3048)))))*0.0011023),0)</f>
        <v>#N/A</v>
      </c>
      <c r="AC394" s="104" t="e">
        <f>IF(Z394&gt;0,((IF(OR(D394="RA",D394="OA",D394="OT",D394="UN",D394="PC"),EXP(VLOOKUP(D394,'Species Codes'!B:O,14,0)+VLOOKUP(D394,'Species Codes'!B:P,15,0)*LN((E394*2.54)))-EXP(VLOOKUP(D394,'Species Codes'!B:O,14,0)+VLOOKUP(D394,'Species Codes'!B:P,15,0)*LN((E394*2.54)))*(1/(VLOOKUP(D394,'Species Codes'!B:Q,16,0)+VLOOKUP(D394,'Species Codes'!B:R,17,0)*((E394*2.54)^VLOOKUP(D394,'Species Codes'!B:S,18,0)))),IF(OR(D394="BM",D394="MD",D394="OA"),EXP(VLOOKUP(D394,'Species Codes'!B:O,14,0)+VLOOKUP(D394,'Species Codes'!B:P,15,0)*LN((E394*2.54)))*(1-(1/(VLOOKUP(D394,'Species Codes'!B:Q,16,0)+VLOOKUP(D394,'Species Codes'!B:R,17,0)*((E394*2.54)^VLOOKUP(D394,'Species Codes'!B:S,18,0)))))/1000,IF(D394="DF",EXP(VLOOKUP(D394,'Species Codes'!B:O,14,0)+VLOOKUP(D394,'Species Codes'!B:P,15,0)*LN((E394*2.54))),VLOOKUP(D394,'Species Codes'!B:O,14,0)+VLOOKUP(D394,'Species Codes'!B:P,15,0)*(((E394*2.54)/100)^2)*(I394*0.3048)))))*0.0011023),0)</f>
        <v>#N/A</v>
      </c>
      <c r="AD394" s="104" t="e">
        <f t="shared" si="193"/>
        <v>#N/A</v>
      </c>
      <c r="AE394" s="104" t="e">
        <f t="shared" si="194"/>
        <v>#N/A</v>
      </c>
      <c r="AF394" s="104" t="e">
        <f>IF(AND(VLOOKUP($D394,Merchantability!$B:$C,2,0)="Yes",$E394&gt;=VLOOKUP($D394,Merchantability!$B:$D,3,0),$E394&lt;=VLOOKUP($D394,Merchantability!$B:$E,4,0)),AA394,0)</f>
        <v>#N/A</v>
      </c>
      <c r="AG394" s="104" t="e">
        <f>IF(AND(VLOOKUP($D394,Merchantability!$B:$C,2,0)="Yes",$E394&gt;=VLOOKUP($D394,Merchantability!$B:$D,3,0),$E394&lt;=VLOOKUP($D394,Merchantability!$B:$E,4,0)),AB394,0)</f>
        <v>#N/A</v>
      </c>
      <c r="AH394" s="104" t="e">
        <f>IF(AND(VLOOKUP($D394,Merchantability!$B:$C,2,0)="Yes",$E394&gt;=VLOOKUP($D394,Merchantability!$B:$D,3,0),$E394&lt;=VLOOKUP($D394,Merchantability!$B:$E,4,0)),AC394,0)</f>
        <v>#N/A</v>
      </c>
      <c r="AI394" s="104" t="e">
        <f t="shared" si="195"/>
        <v>#N/A</v>
      </c>
      <c r="AJ394" s="104" t="e">
        <f t="shared" si="196"/>
        <v>#VALUE!</v>
      </c>
      <c r="AK394" s="104" t="e">
        <f t="shared" si="197"/>
        <v>#N/A</v>
      </c>
      <c r="AL394" s="104" t="e">
        <f t="shared" si="198"/>
        <v>#N/A</v>
      </c>
      <c r="AM394" s="104" t="e">
        <f t="shared" si="199"/>
        <v>#N/A</v>
      </c>
      <c r="AN394" s="104" t="e">
        <f t="shared" si="210"/>
        <v>#N/A</v>
      </c>
      <c r="AO394" s="104" t="e">
        <f t="shared" si="211"/>
        <v>#N/A</v>
      </c>
      <c r="AP394" s="104" t="e">
        <f t="shared" si="212"/>
        <v>#N/A</v>
      </c>
      <c r="AQ394" s="104" t="e">
        <f t="shared" si="213"/>
        <v>#N/A</v>
      </c>
      <c r="AR394" s="105" t="str">
        <f t="shared" si="205"/>
        <v/>
      </c>
      <c r="AS394" s="105" t="str">
        <f t="shared" si="206"/>
        <v/>
      </c>
      <c r="AT394" s="108" t="str">
        <f t="shared" si="207"/>
        <v/>
      </c>
      <c r="AU394" s="108" t="str">
        <f t="shared" si="208"/>
        <v/>
      </c>
      <c r="AV394" s="107" t="str">
        <f>IF(ISNUMBER(O394),IF(VLOOKUP($A394,Stand!C:J,8,FALSE)="Short",AT394,AU394),"")</f>
        <v/>
      </c>
      <c r="AW394" s="109" t="str">
        <f t="shared" si="214"/>
        <v/>
      </c>
      <c r="AX394" s="109" t="str">
        <f t="shared" si="215"/>
        <v/>
      </c>
      <c r="AY394" s="112" t="str">
        <f>IF(ISNUMBER(O394),IF(AND(VLOOKUP($D394,Merchantability!$B:$C,2,0)="Yes",$E394&gt;=VLOOKUP($D394,Merchantability!$B:$D,3,0),$E394&lt;=VLOOKUP($D394,Merchantability!$B:$E,4,0)),(AV394*O394)*(1-$H394/100),""),"")</f>
        <v/>
      </c>
      <c r="AZ394" s="116"/>
      <c r="BA394" s="116"/>
      <c r="BB394" s="116"/>
      <c r="BE394" s="62"/>
      <c r="BF394" s="63"/>
    </row>
    <row r="395" spans="1:58" ht="12.75" customHeight="1" x14ac:dyDescent="0.25">
      <c r="A395" s="313"/>
      <c r="B395" s="328"/>
      <c r="C395" s="329"/>
      <c r="D395" s="328"/>
      <c r="E395" s="330"/>
      <c r="F395" s="331"/>
      <c r="G395" s="329"/>
      <c r="H395" s="329"/>
      <c r="I395" s="328"/>
      <c r="J395" s="329"/>
      <c r="K395" s="329"/>
      <c r="L395" s="329"/>
      <c r="M395" s="76"/>
      <c r="N395" s="103" t="str">
        <f>IF(A395="","",VLOOKUP(A395,Stand!C:K,9,0))</f>
        <v/>
      </c>
      <c r="O395" s="104" t="str">
        <f t="shared" si="200"/>
        <v/>
      </c>
      <c r="P395" s="105" t="str">
        <f t="shared" si="201"/>
        <v/>
      </c>
      <c r="Q395" s="105" t="str">
        <f t="shared" si="189"/>
        <v/>
      </c>
      <c r="R395" s="103" t="str">
        <f t="shared" si="202"/>
        <v/>
      </c>
      <c r="S395" s="103" t="str">
        <f t="shared" si="203"/>
        <v/>
      </c>
      <c r="T395" s="106" t="str">
        <f t="shared" si="190"/>
        <v/>
      </c>
      <c r="U395" s="106" t="str">
        <f t="shared" si="191"/>
        <v/>
      </c>
      <c r="V395" s="106" t="str">
        <f t="shared" si="192"/>
        <v/>
      </c>
      <c r="W395" s="105" t="str">
        <f t="shared" si="204"/>
        <v/>
      </c>
      <c r="X395" s="104" t="str">
        <f t="shared" si="209"/>
        <v/>
      </c>
      <c r="Y395" s="104" t="str">
        <f t="array" ref="Y395">IFERROR(IF(ISNUMBER(O395),IF(COUNT(IF(A395=$A$2:$A$2427,IF(D395=$D$2:$D$2427,IF($X$2:$X$2427&gt;0,1))))&gt;0,SUM(IF(A395=$A$2:$A$2427,IF(D395=$D$2:$D$2427,$X$2:$X$2427)))/COUNT(IF(A395=$A$2:$A$2427,IF(D395=$D$2:$D$2427,IF(ISNUMBER($X$2:$X$2427),1)))),0),""),0)</f>
        <v/>
      </c>
      <c r="Z395" s="104" t="str">
        <f>IF(ISNUMBER(O395),IF(I395&gt;0,(10^(VLOOKUP(D395,'Species Codes'!B:C,2,0)+VLOOKUP(D395,'Species Codes'!B:D,3,0)*LOG(E395)+VLOOKUP(D395,'Species Codes'!B:E,4,0)*LOG(I395))),0),"")</f>
        <v/>
      </c>
      <c r="AA395" s="104" t="str">
        <f>IFERROR((VLOOKUP(D395,'Species Codes'!B:G,6,0)*Z395)/2000,"")</f>
        <v/>
      </c>
      <c r="AB395" s="104" t="e">
        <f>IF(Z395&gt;0,((IF(OR(D395="DF",D395="RA")=TRUE,EXP(VLOOKUP(D395,'Species Codes'!B:I,8,0)+VLOOKUP(D395,'Species Codes'!B:J,9,0)*(LN((E395*2.54)))),IF(OR(D395="PY",D395="RC",D395="WH",D395="NF")=TRUE,VLOOKUP(D395,'Species Codes'!B:I,8,0)+VLOOKUP(D395,'Species Codes'!B:J,9,0)*((E395*2.54)^2)*(I395*0.3048),IF(OR(D395="MD",D395="BM",D395="GA")=TRUE,((VLOOKUP(D395,'Species Codes'!B:I,8,0)*(((((E395*2.54)+VLOOKUP(D395,'Species Codes'!B:J,9,0))/VLOOKUP(D395,'Species Codes'!B:K,10,0))^VLOOKUP(D395,'Species Codes'!B:L,11,0))*((I395*0.3048)^VLOOKUP(D395,'Species Codes'!B:M,12,0))))-(VLOOKUP(D395,'Species Codes'!B:I,8,0)*((((E395*2.54)^VLOOKUP(D395,'Species Codes'!B:L,11,0))*((I395*0.3048)^VLOOKUP(D395,'Species Codes'!B:M,12,0))))))*35.3*VLOOKUP(D395,'Species Codes'!B:G,6,0)/2.2046,VLOOKUP(D395,'Species Codes'!B:I,8,0)+VLOOKUP(D395,'Species Codes'!B:J,9,0)*(((E395*2.54)/100)^2)*(I395*0.3048)))))*0.0011023),0)</f>
        <v>#N/A</v>
      </c>
      <c r="AC395" s="104" t="e">
        <f>IF(Z395&gt;0,((IF(OR(D395="RA",D395="OA",D395="OT",D395="UN",D395="PC"),EXP(VLOOKUP(D395,'Species Codes'!B:O,14,0)+VLOOKUP(D395,'Species Codes'!B:P,15,0)*LN((E395*2.54)))-EXP(VLOOKUP(D395,'Species Codes'!B:O,14,0)+VLOOKUP(D395,'Species Codes'!B:P,15,0)*LN((E395*2.54)))*(1/(VLOOKUP(D395,'Species Codes'!B:Q,16,0)+VLOOKUP(D395,'Species Codes'!B:R,17,0)*((E395*2.54)^VLOOKUP(D395,'Species Codes'!B:S,18,0)))),IF(OR(D395="BM",D395="MD",D395="OA"),EXP(VLOOKUP(D395,'Species Codes'!B:O,14,0)+VLOOKUP(D395,'Species Codes'!B:P,15,0)*LN((E395*2.54)))*(1-(1/(VLOOKUP(D395,'Species Codes'!B:Q,16,0)+VLOOKUP(D395,'Species Codes'!B:R,17,0)*((E395*2.54)^VLOOKUP(D395,'Species Codes'!B:S,18,0)))))/1000,IF(D395="DF",EXP(VLOOKUP(D395,'Species Codes'!B:O,14,0)+VLOOKUP(D395,'Species Codes'!B:P,15,0)*LN((E395*2.54))),VLOOKUP(D395,'Species Codes'!B:O,14,0)+VLOOKUP(D395,'Species Codes'!B:P,15,0)*(((E395*2.54)/100)^2)*(I395*0.3048)))))*0.0011023),0)</f>
        <v>#N/A</v>
      </c>
      <c r="AD395" s="104" t="e">
        <f t="shared" si="193"/>
        <v>#N/A</v>
      </c>
      <c r="AE395" s="104" t="e">
        <f t="shared" si="194"/>
        <v>#N/A</v>
      </c>
      <c r="AF395" s="104" t="e">
        <f>IF(AND(VLOOKUP($D395,Merchantability!$B:$C,2,0)="Yes",$E395&gt;=VLOOKUP($D395,Merchantability!$B:$D,3,0),$E395&lt;=VLOOKUP($D395,Merchantability!$B:$E,4,0)),AA395,0)</f>
        <v>#N/A</v>
      </c>
      <c r="AG395" s="104" t="e">
        <f>IF(AND(VLOOKUP($D395,Merchantability!$B:$C,2,0)="Yes",$E395&gt;=VLOOKUP($D395,Merchantability!$B:$D,3,0),$E395&lt;=VLOOKUP($D395,Merchantability!$B:$E,4,0)),AB395,0)</f>
        <v>#N/A</v>
      </c>
      <c r="AH395" s="104" t="e">
        <f>IF(AND(VLOOKUP($D395,Merchantability!$B:$C,2,0)="Yes",$E395&gt;=VLOOKUP($D395,Merchantability!$B:$D,3,0),$E395&lt;=VLOOKUP($D395,Merchantability!$B:$E,4,0)),AC395,0)</f>
        <v>#N/A</v>
      </c>
      <c r="AI395" s="104" t="e">
        <f t="shared" si="195"/>
        <v>#N/A</v>
      </c>
      <c r="AJ395" s="104" t="e">
        <f t="shared" si="196"/>
        <v>#VALUE!</v>
      </c>
      <c r="AK395" s="104" t="e">
        <f t="shared" si="197"/>
        <v>#N/A</v>
      </c>
      <c r="AL395" s="104" t="e">
        <f t="shared" si="198"/>
        <v>#N/A</v>
      </c>
      <c r="AM395" s="104" t="e">
        <f t="shared" si="199"/>
        <v>#N/A</v>
      </c>
      <c r="AN395" s="104" t="e">
        <f t="shared" si="210"/>
        <v>#N/A</v>
      </c>
      <c r="AO395" s="104" t="e">
        <f t="shared" si="211"/>
        <v>#N/A</v>
      </c>
      <c r="AP395" s="104" t="e">
        <f t="shared" si="212"/>
        <v>#N/A</v>
      </c>
      <c r="AQ395" s="104" t="e">
        <f t="shared" si="213"/>
        <v>#N/A</v>
      </c>
      <c r="AR395" s="105" t="str">
        <f t="shared" si="205"/>
        <v/>
      </c>
      <c r="AS395" s="105" t="str">
        <f t="shared" si="206"/>
        <v/>
      </c>
      <c r="AT395" s="108" t="str">
        <f t="shared" si="207"/>
        <v/>
      </c>
      <c r="AU395" s="108" t="str">
        <f t="shared" si="208"/>
        <v/>
      </c>
      <c r="AV395" s="107" t="str">
        <f>IF(ISNUMBER(O395),IF(VLOOKUP($A395,Stand!C:J,8,FALSE)="Short",AT395,AU395),"")</f>
        <v/>
      </c>
      <c r="AW395" s="109" t="str">
        <f t="shared" si="214"/>
        <v/>
      </c>
      <c r="AX395" s="109" t="str">
        <f t="shared" si="215"/>
        <v/>
      </c>
      <c r="AY395" s="112" t="str">
        <f>IF(ISNUMBER(O395),IF(AND(VLOOKUP($D395,Merchantability!$B:$C,2,0)="Yes",$E395&gt;=VLOOKUP($D395,Merchantability!$B:$D,3,0),$E395&lt;=VLOOKUP($D395,Merchantability!$B:$E,4,0)),(AV395*O395)*(1-$H395/100),""),"")</f>
        <v/>
      </c>
      <c r="AZ395" s="116"/>
      <c r="BA395" s="116"/>
      <c r="BB395" s="116"/>
      <c r="BE395" s="62"/>
      <c r="BF395" s="63"/>
    </row>
    <row r="396" spans="1:58" ht="12.75" customHeight="1" x14ac:dyDescent="0.25">
      <c r="A396" s="313"/>
      <c r="B396" s="328"/>
      <c r="C396" s="329"/>
      <c r="D396" s="328"/>
      <c r="E396" s="330"/>
      <c r="F396" s="331"/>
      <c r="G396" s="329"/>
      <c r="H396" s="329"/>
      <c r="I396" s="328"/>
      <c r="J396" s="329"/>
      <c r="K396" s="329"/>
      <c r="L396" s="329"/>
      <c r="M396" s="76"/>
      <c r="N396" s="103" t="str">
        <f>IF(A396="","",VLOOKUP(A396,Stand!C:K,9,0))</f>
        <v/>
      </c>
      <c r="O396" s="104" t="str">
        <f t="shared" si="200"/>
        <v/>
      </c>
      <c r="P396" s="105" t="str">
        <f t="shared" si="201"/>
        <v/>
      </c>
      <c r="Q396" s="105" t="str">
        <f t="shared" si="189"/>
        <v/>
      </c>
      <c r="R396" s="103" t="str">
        <f t="shared" si="202"/>
        <v/>
      </c>
      <c r="S396" s="103" t="str">
        <f t="shared" si="203"/>
        <v/>
      </c>
      <c r="T396" s="106" t="str">
        <f t="shared" si="190"/>
        <v/>
      </c>
      <c r="U396" s="106" t="str">
        <f t="shared" si="191"/>
        <v/>
      </c>
      <c r="V396" s="106" t="str">
        <f t="shared" si="192"/>
        <v/>
      </c>
      <c r="W396" s="105" t="str">
        <f t="shared" si="204"/>
        <v/>
      </c>
      <c r="X396" s="104" t="str">
        <f t="shared" si="209"/>
        <v/>
      </c>
      <c r="Y396" s="104" t="str">
        <f t="array" ref="Y396">IFERROR(IF(ISNUMBER(O396),IF(COUNT(IF(A396=$A$2:$A$2427,IF(D396=$D$2:$D$2427,IF($X$2:$X$2427&gt;0,1))))&gt;0,SUM(IF(A396=$A$2:$A$2427,IF(D396=$D$2:$D$2427,$X$2:$X$2427)))/COUNT(IF(A396=$A$2:$A$2427,IF(D396=$D$2:$D$2427,IF(ISNUMBER($X$2:$X$2427),1)))),0),""),0)</f>
        <v/>
      </c>
      <c r="Z396" s="104" t="str">
        <f>IF(ISNUMBER(O396),IF(I396&gt;0,(10^(VLOOKUP(D396,'Species Codes'!B:C,2,0)+VLOOKUP(D396,'Species Codes'!B:D,3,0)*LOG(E396)+VLOOKUP(D396,'Species Codes'!B:E,4,0)*LOG(I396))),0),"")</f>
        <v/>
      </c>
      <c r="AA396" s="104" t="str">
        <f>IFERROR((VLOOKUP(D396,'Species Codes'!B:G,6,0)*Z396)/2000,"")</f>
        <v/>
      </c>
      <c r="AB396" s="104" t="e">
        <f>IF(Z396&gt;0,((IF(OR(D396="DF",D396="RA")=TRUE,EXP(VLOOKUP(D396,'Species Codes'!B:I,8,0)+VLOOKUP(D396,'Species Codes'!B:J,9,0)*(LN((E396*2.54)))),IF(OR(D396="PY",D396="RC",D396="WH",D396="NF")=TRUE,VLOOKUP(D396,'Species Codes'!B:I,8,0)+VLOOKUP(D396,'Species Codes'!B:J,9,0)*((E396*2.54)^2)*(I396*0.3048),IF(OR(D396="MD",D396="BM",D396="GA")=TRUE,((VLOOKUP(D396,'Species Codes'!B:I,8,0)*(((((E396*2.54)+VLOOKUP(D396,'Species Codes'!B:J,9,0))/VLOOKUP(D396,'Species Codes'!B:K,10,0))^VLOOKUP(D396,'Species Codes'!B:L,11,0))*((I396*0.3048)^VLOOKUP(D396,'Species Codes'!B:M,12,0))))-(VLOOKUP(D396,'Species Codes'!B:I,8,0)*((((E396*2.54)^VLOOKUP(D396,'Species Codes'!B:L,11,0))*((I396*0.3048)^VLOOKUP(D396,'Species Codes'!B:M,12,0))))))*35.3*VLOOKUP(D396,'Species Codes'!B:G,6,0)/2.2046,VLOOKUP(D396,'Species Codes'!B:I,8,0)+VLOOKUP(D396,'Species Codes'!B:J,9,0)*(((E396*2.54)/100)^2)*(I396*0.3048)))))*0.0011023),0)</f>
        <v>#N/A</v>
      </c>
      <c r="AC396" s="104" t="e">
        <f>IF(Z396&gt;0,((IF(OR(D396="RA",D396="OA",D396="OT",D396="UN",D396="PC"),EXP(VLOOKUP(D396,'Species Codes'!B:O,14,0)+VLOOKUP(D396,'Species Codes'!B:P,15,0)*LN((E396*2.54)))-EXP(VLOOKUP(D396,'Species Codes'!B:O,14,0)+VLOOKUP(D396,'Species Codes'!B:P,15,0)*LN((E396*2.54)))*(1/(VLOOKUP(D396,'Species Codes'!B:Q,16,0)+VLOOKUP(D396,'Species Codes'!B:R,17,0)*((E396*2.54)^VLOOKUP(D396,'Species Codes'!B:S,18,0)))),IF(OR(D396="BM",D396="MD",D396="OA"),EXP(VLOOKUP(D396,'Species Codes'!B:O,14,0)+VLOOKUP(D396,'Species Codes'!B:P,15,0)*LN((E396*2.54)))*(1-(1/(VLOOKUP(D396,'Species Codes'!B:Q,16,0)+VLOOKUP(D396,'Species Codes'!B:R,17,0)*((E396*2.54)^VLOOKUP(D396,'Species Codes'!B:S,18,0)))))/1000,IF(D396="DF",EXP(VLOOKUP(D396,'Species Codes'!B:O,14,0)+VLOOKUP(D396,'Species Codes'!B:P,15,0)*LN((E396*2.54))),VLOOKUP(D396,'Species Codes'!B:O,14,0)+VLOOKUP(D396,'Species Codes'!B:P,15,0)*(((E396*2.54)/100)^2)*(I396*0.3048)))))*0.0011023),0)</f>
        <v>#N/A</v>
      </c>
      <c r="AD396" s="104" t="e">
        <f t="shared" si="193"/>
        <v>#N/A</v>
      </c>
      <c r="AE396" s="104" t="e">
        <f t="shared" si="194"/>
        <v>#N/A</v>
      </c>
      <c r="AF396" s="104" t="e">
        <f>IF(AND(VLOOKUP($D396,Merchantability!$B:$C,2,0)="Yes",$E396&gt;=VLOOKUP($D396,Merchantability!$B:$D,3,0),$E396&lt;=VLOOKUP($D396,Merchantability!$B:$E,4,0)),AA396,0)</f>
        <v>#N/A</v>
      </c>
      <c r="AG396" s="104" t="e">
        <f>IF(AND(VLOOKUP($D396,Merchantability!$B:$C,2,0)="Yes",$E396&gt;=VLOOKUP($D396,Merchantability!$B:$D,3,0),$E396&lt;=VLOOKUP($D396,Merchantability!$B:$E,4,0)),AB396,0)</f>
        <v>#N/A</v>
      </c>
      <c r="AH396" s="104" t="e">
        <f>IF(AND(VLOOKUP($D396,Merchantability!$B:$C,2,0)="Yes",$E396&gt;=VLOOKUP($D396,Merchantability!$B:$D,3,0),$E396&lt;=VLOOKUP($D396,Merchantability!$B:$E,4,0)),AC396,0)</f>
        <v>#N/A</v>
      </c>
      <c r="AI396" s="104" t="e">
        <f t="shared" si="195"/>
        <v>#N/A</v>
      </c>
      <c r="AJ396" s="104" t="e">
        <f t="shared" si="196"/>
        <v>#VALUE!</v>
      </c>
      <c r="AK396" s="104" t="e">
        <f t="shared" si="197"/>
        <v>#N/A</v>
      </c>
      <c r="AL396" s="104" t="e">
        <f t="shared" si="198"/>
        <v>#N/A</v>
      </c>
      <c r="AM396" s="104" t="e">
        <f t="shared" si="199"/>
        <v>#N/A</v>
      </c>
      <c r="AN396" s="104" t="e">
        <f t="shared" si="210"/>
        <v>#N/A</v>
      </c>
      <c r="AO396" s="104" t="e">
        <f t="shared" si="211"/>
        <v>#N/A</v>
      </c>
      <c r="AP396" s="104" t="e">
        <f t="shared" si="212"/>
        <v>#N/A</v>
      </c>
      <c r="AQ396" s="104" t="e">
        <f t="shared" si="213"/>
        <v>#N/A</v>
      </c>
      <c r="AR396" s="105" t="str">
        <f t="shared" si="205"/>
        <v/>
      </c>
      <c r="AS396" s="105" t="str">
        <f t="shared" si="206"/>
        <v/>
      </c>
      <c r="AT396" s="108" t="str">
        <f t="shared" si="207"/>
        <v/>
      </c>
      <c r="AU396" s="108" t="str">
        <f t="shared" si="208"/>
        <v/>
      </c>
      <c r="AV396" s="107" t="str">
        <f>IF(ISNUMBER(O396),IF(VLOOKUP($A396,Stand!C:J,8,FALSE)="Short",AT396,AU396),"")</f>
        <v/>
      </c>
      <c r="AW396" s="109" t="str">
        <f t="shared" si="214"/>
        <v/>
      </c>
      <c r="AX396" s="109" t="str">
        <f t="shared" si="215"/>
        <v/>
      </c>
      <c r="AY396" s="112" t="str">
        <f>IF(ISNUMBER(O396),IF(AND(VLOOKUP($D396,Merchantability!$B:$C,2,0)="Yes",$E396&gt;=VLOOKUP($D396,Merchantability!$B:$D,3,0),$E396&lt;=VLOOKUP($D396,Merchantability!$B:$E,4,0)),(AV396*O396)*(1-$H396/100),""),"")</f>
        <v/>
      </c>
      <c r="AZ396" s="116"/>
      <c r="BA396" s="116"/>
      <c r="BB396" s="116"/>
      <c r="BE396" s="62"/>
      <c r="BF396" s="63"/>
    </row>
    <row r="397" spans="1:58" ht="12.75" customHeight="1" x14ac:dyDescent="0.25">
      <c r="A397" s="313"/>
      <c r="B397" s="328"/>
      <c r="C397" s="329"/>
      <c r="D397" s="328"/>
      <c r="E397" s="330"/>
      <c r="F397" s="331"/>
      <c r="G397" s="329"/>
      <c r="H397" s="329"/>
      <c r="I397" s="328"/>
      <c r="J397" s="329"/>
      <c r="K397" s="329"/>
      <c r="L397" s="329"/>
      <c r="M397" s="76"/>
      <c r="N397" s="103" t="str">
        <f>IF(A397="","",VLOOKUP(A397,Stand!C:K,9,0))</f>
        <v/>
      </c>
      <c r="O397" s="104" t="str">
        <f t="shared" si="200"/>
        <v/>
      </c>
      <c r="P397" s="105" t="str">
        <f t="shared" si="201"/>
        <v/>
      </c>
      <c r="Q397" s="105" t="str">
        <f t="shared" si="189"/>
        <v/>
      </c>
      <c r="R397" s="103" t="str">
        <f t="shared" si="202"/>
        <v/>
      </c>
      <c r="S397" s="103" t="str">
        <f t="shared" si="203"/>
        <v/>
      </c>
      <c r="T397" s="106" t="str">
        <f t="shared" si="190"/>
        <v/>
      </c>
      <c r="U397" s="106" t="str">
        <f t="shared" si="191"/>
        <v/>
      </c>
      <c r="V397" s="106" t="str">
        <f t="shared" si="192"/>
        <v/>
      </c>
      <c r="W397" s="105" t="str">
        <f t="shared" si="204"/>
        <v/>
      </c>
      <c r="X397" s="104" t="str">
        <f t="shared" si="209"/>
        <v/>
      </c>
      <c r="Y397" s="104" t="str">
        <f t="array" ref="Y397">IFERROR(IF(ISNUMBER(O397),IF(COUNT(IF(A397=$A$2:$A$2427,IF(D397=$D$2:$D$2427,IF($X$2:$X$2427&gt;0,1))))&gt;0,SUM(IF(A397=$A$2:$A$2427,IF(D397=$D$2:$D$2427,$X$2:$X$2427)))/COUNT(IF(A397=$A$2:$A$2427,IF(D397=$D$2:$D$2427,IF(ISNUMBER($X$2:$X$2427),1)))),0),""),0)</f>
        <v/>
      </c>
      <c r="Z397" s="104" t="str">
        <f>IF(ISNUMBER(O397),IF(I397&gt;0,(10^(VLOOKUP(D397,'Species Codes'!B:C,2,0)+VLOOKUP(D397,'Species Codes'!B:D,3,0)*LOG(E397)+VLOOKUP(D397,'Species Codes'!B:E,4,0)*LOG(I397))),0),"")</f>
        <v/>
      </c>
      <c r="AA397" s="104" t="str">
        <f>IFERROR((VLOOKUP(D397,'Species Codes'!B:G,6,0)*Z397)/2000,"")</f>
        <v/>
      </c>
      <c r="AB397" s="104" t="e">
        <f>IF(Z397&gt;0,((IF(OR(D397="DF",D397="RA")=TRUE,EXP(VLOOKUP(D397,'Species Codes'!B:I,8,0)+VLOOKUP(D397,'Species Codes'!B:J,9,0)*(LN((E397*2.54)))),IF(OR(D397="PY",D397="RC",D397="WH",D397="NF")=TRUE,VLOOKUP(D397,'Species Codes'!B:I,8,0)+VLOOKUP(D397,'Species Codes'!B:J,9,0)*((E397*2.54)^2)*(I397*0.3048),IF(OR(D397="MD",D397="BM",D397="GA")=TRUE,((VLOOKUP(D397,'Species Codes'!B:I,8,0)*(((((E397*2.54)+VLOOKUP(D397,'Species Codes'!B:J,9,0))/VLOOKUP(D397,'Species Codes'!B:K,10,0))^VLOOKUP(D397,'Species Codes'!B:L,11,0))*((I397*0.3048)^VLOOKUP(D397,'Species Codes'!B:M,12,0))))-(VLOOKUP(D397,'Species Codes'!B:I,8,0)*((((E397*2.54)^VLOOKUP(D397,'Species Codes'!B:L,11,0))*((I397*0.3048)^VLOOKUP(D397,'Species Codes'!B:M,12,0))))))*35.3*VLOOKUP(D397,'Species Codes'!B:G,6,0)/2.2046,VLOOKUP(D397,'Species Codes'!B:I,8,0)+VLOOKUP(D397,'Species Codes'!B:J,9,0)*(((E397*2.54)/100)^2)*(I397*0.3048)))))*0.0011023),0)</f>
        <v>#N/A</v>
      </c>
      <c r="AC397" s="104" t="e">
        <f>IF(Z397&gt;0,((IF(OR(D397="RA",D397="OA",D397="OT",D397="UN",D397="PC"),EXP(VLOOKUP(D397,'Species Codes'!B:O,14,0)+VLOOKUP(D397,'Species Codes'!B:P,15,0)*LN((E397*2.54)))-EXP(VLOOKUP(D397,'Species Codes'!B:O,14,0)+VLOOKUP(D397,'Species Codes'!B:P,15,0)*LN((E397*2.54)))*(1/(VLOOKUP(D397,'Species Codes'!B:Q,16,0)+VLOOKUP(D397,'Species Codes'!B:R,17,0)*((E397*2.54)^VLOOKUP(D397,'Species Codes'!B:S,18,0)))),IF(OR(D397="BM",D397="MD",D397="OA"),EXP(VLOOKUP(D397,'Species Codes'!B:O,14,0)+VLOOKUP(D397,'Species Codes'!B:P,15,0)*LN((E397*2.54)))*(1-(1/(VLOOKUP(D397,'Species Codes'!B:Q,16,0)+VLOOKUP(D397,'Species Codes'!B:R,17,0)*((E397*2.54)^VLOOKUP(D397,'Species Codes'!B:S,18,0)))))/1000,IF(D397="DF",EXP(VLOOKUP(D397,'Species Codes'!B:O,14,0)+VLOOKUP(D397,'Species Codes'!B:P,15,0)*LN((E397*2.54))),VLOOKUP(D397,'Species Codes'!B:O,14,0)+VLOOKUP(D397,'Species Codes'!B:P,15,0)*(((E397*2.54)/100)^2)*(I397*0.3048)))))*0.0011023),0)</f>
        <v>#N/A</v>
      </c>
      <c r="AD397" s="104" t="e">
        <f t="shared" si="193"/>
        <v>#N/A</v>
      </c>
      <c r="AE397" s="104" t="e">
        <f t="shared" si="194"/>
        <v>#N/A</v>
      </c>
      <c r="AF397" s="104" t="e">
        <f>IF(AND(VLOOKUP($D397,Merchantability!$B:$C,2,0)="Yes",$E397&gt;=VLOOKUP($D397,Merchantability!$B:$D,3,0),$E397&lt;=VLOOKUP($D397,Merchantability!$B:$E,4,0)),AA397,0)</f>
        <v>#N/A</v>
      </c>
      <c r="AG397" s="104" t="e">
        <f>IF(AND(VLOOKUP($D397,Merchantability!$B:$C,2,0)="Yes",$E397&gt;=VLOOKUP($D397,Merchantability!$B:$D,3,0),$E397&lt;=VLOOKUP($D397,Merchantability!$B:$E,4,0)),AB397,0)</f>
        <v>#N/A</v>
      </c>
      <c r="AH397" s="104" t="e">
        <f>IF(AND(VLOOKUP($D397,Merchantability!$B:$C,2,0)="Yes",$E397&gt;=VLOOKUP($D397,Merchantability!$B:$D,3,0),$E397&lt;=VLOOKUP($D397,Merchantability!$B:$E,4,0)),AC397,0)</f>
        <v>#N/A</v>
      </c>
      <c r="AI397" s="104" t="e">
        <f t="shared" si="195"/>
        <v>#N/A</v>
      </c>
      <c r="AJ397" s="104" t="e">
        <f t="shared" si="196"/>
        <v>#VALUE!</v>
      </c>
      <c r="AK397" s="104" t="e">
        <f t="shared" si="197"/>
        <v>#N/A</v>
      </c>
      <c r="AL397" s="104" t="e">
        <f t="shared" si="198"/>
        <v>#N/A</v>
      </c>
      <c r="AM397" s="104" t="e">
        <f t="shared" si="199"/>
        <v>#N/A</v>
      </c>
      <c r="AN397" s="104" t="e">
        <f t="shared" si="210"/>
        <v>#N/A</v>
      </c>
      <c r="AO397" s="104" t="e">
        <f t="shared" si="211"/>
        <v>#N/A</v>
      </c>
      <c r="AP397" s="104" t="e">
        <f t="shared" si="212"/>
        <v>#N/A</v>
      </c>
      <c r="AQ397" s="104" t="e">
        <f t="shared" si="213"/>
        <v>#N/A</v>
      </c>
      <c r="AR397" s="105" t="str">
        <f t="shared" si="205"/>
        <v/>
      </c>
      <c r="AS397" s="105" t="str">
        <f t="shared" si="206"/>
        <v/>
      </c>
      <c r="AT397" s="108" t="str">
        <f t="shared" si="207"/>
        <v/>
      </c>
      <c r="AU397" s="108" t="str">
        <f t="shared" si="208"/>
        <v/>
      </c>
      <c r="AV397" s="107" t="str">
        <f>IF(ISNUMBER(O397),IF(VLOOKUP($A397,Stand!C:J,8,FALSE)="Short",AT397,AU397),"")</f>
        <v/>
      </c>
      <c r="AW397" s="109" t="str">
        <f t="shared" si="214"/>
        <v/>
      </c>
      <c r="AX397" s="109" t="str">
        <f t="shared" si="215"/>
        <v/>
      </c>
      <c r="AY397" s="112" t="str">
        <f>IF(ISNUMBER(O397),IF(AND(VLOOKUP($D397,Merchantability!$B:$C,2,0)="Yes",$E397&gt;=VLOOKUP($D397,Merchantability!$B:$D,3,0),$E397&lt;=VLOOKUP($D397,Merchantability!$B:$E,4,0)),(AV397*O397)*(1-$H397/100),""),"")</f>
        <v/>
      </c>
      <c r="AZ397" s="116"/>
      <c r="BA397" s="116"/>
      <c r="BB397" s="116"/>
      <c r="BE397" s="62"/>
      <c r="BF397" s="63"/>
    </row>
    <row r="398" spans="1:58" ht="12.75" customHeight="1" x14ac:dyDescent="0.25">
      <c r="A398" s="313"/>
      <c r="B398" s="328"/>
      <c r="C398" s="329"/>
      <c r="D398" s="328"/>
      <c r="E398" s="330"/>
      <c r="F398" s="331"/>
      <c r="G398" s="329"/>
      <c r="H398" s="329"/>
      <c r="I398" s="328"/>
      <c r="J398" s="329"/>
      <c r="K398" s="329"/>
      <c r="L398" s="329"/>
      <c r="M398" s="76"/>
      <c r="N398" s="103" t="str">
        <f>IF(A398="","",VLOOKUP(A398,Stand!C:K,9,0))</f>
        <v/>
      </c>
      <c r="O398" s="104" t="str">
        <f t="shared" si="200"/>
        <v/>
      </c>
      <c r="P398" s="105" t="str">
        <f t="shared" si="201"/>
        <v/>
      </c>
      <c r="Q398" s="105" t="str">
        <f t="shared" si="189"/>
        <v/>
      </c>
      <c r="R398" s="103" t="str">
        <f t="shared" si="202"/>
        <v/>
      </c>
      <c r="S398" s="103" t="str">
        <f t="shared" si="203"/>
        <v/>
      </c>
      <c r="T398" s="106" t="str">
        <f t="shared" si="190"/>
        <v/>
      </c>
      <c r="U398" s="106" t="str">
        <f t="shared" si="191"/>
        <v/>
      </c>
      <c r="V398" s="106" t="str">
        <f t="shared" si="192"/>
        <v/>
      </c>
      <c r="W398" s="105" t="str">
        <f t="shared" si="204"/>
        <v/>
      </c>
      <c r="X398" s="104" t="str">
        <f t="shared" si="209"/>
        <v/>
      </c>
      <c r="Y398" s="104" t="str">
        <f t="array" ref="Y398">IFERROR(IF(ISNUMBER(O398),IF(COUNT(IF(A398=$A$2:$A$2427,IF(D398=$D$2:$D$2427,IF($X$2:$X$2427&gt;0,1))))&gt;0,SUM(IF(A398=$A$2:$A$2427,IF(D398=$D$2:$D$2427,$X$2:$X$2427)))/COUNT(IF(A398=$A$2:$A$2427,IF(D398=$D$2:$D$2427,IF(ISNUMBER($X$2:$X$2427),1)))),0),""),0)</f>
        <v/>
      </c>
      <c r="Z398" s="104" t="str">
        <f>IF(ISNUMBER(O398),IF(I398&gt;0,(10^(VLOOKUP(D398,'Species Codes'!B:C,2,0)+VLOOKUP(D398,'Species Codes'!B:D,3,0)*LOG(E398)+VLOOKUP(D398,'Species Codes'!B:E,4,0)*LOG(I398))),0),"")</f>
        <v/>
      </c>
      <c r="AA398" s="104" t="str">
        <f>IFERROR((VLOOKUP(D398,'Species Codes'!B:G,6,0)*Z398)/2000,"")</f>
        <v/>
      </c>
      <c r="AB398" s="104" t="e">
        <f>IF(Z398&gt;0,((IF(OR(D398="DF",D398="RA")=TRUE,EXP(VLOOKUP(D398,'Species Codes'!B:I,8,0)+VLOOKUP(D398,'Species Codes'!B:J,9,0)*(LN((E398*2.54)))),IF(OR(D398="PY",D398="RC",D398="WH",D398="NF")=TRUE,VLOOKUP(D398,'Species Codes'!B:I,8,0)+VLOOKUP(D398,'Species Codes'!B:J,9,0)*((E398*2.54)^2)*(I398*0.3048),IF(OR(D398="MD",D398="BM",D398="GA")=TRUE,((VLOOKUP(D398,'Species Codes'!B:I,8,0)*(((((E398*2.54)+VLOOKUP(D398,'Species Codes'!B:J,9,0))/VLOOKUP(D398,'Species Codes'!B:K,10,0))^VLOOKUP(D398,'Species Codes'!B:L,11,0))*((I398*0.3048)^VLOOKUP(D398,'Species Codes'!B:M,12,0))))-(VLOOKUP(D398,'Species Codes'!B:I,8,0)*((((E398*2.54)^VLOOKUP(D398,'Species Codes'!B:L,11,0))*((I398*0.3048)^VLOOKUP(D398,'Species Codes'!B:M,12,0))))))*35.3*VLOOKUP(D398,'Species Codes'!B:G,6,0)/2.2046,VLOOKUP(D398,'Species Codes'!B:I,8,0)+VLOOKUP(D398,'Species Codes'!B:J,9,0)*(((E398*2.54)/100)^2)*(I398*0.3048)))))*0.0011023),0)</f>
        <v>#N/A</v>
      </c>
      <c r="AC398" s="104" t="e">
        <f>IF(Z398&gt;0,((IF(OR(D398="RA",D398="OA",D398="OT",D398="UN",D398="PC"),EXP(VLOOKUP(D398,'Species Codes'!B:O,14,0)+VLOOKUP(D398,'Species Codes'!B:P,15,0)*LN((E398*2.54)))-EXP(VLOOKUP(D398,'Species Codes'!B:O,14,0)+VLOOKUP(D398,'Species Codes'!B:P,15,0)*LN((E398*2.54)))*(1/(VLOOKUP(D398,'Species Codes'!B:Q,16,0)+VLOOKUP(D398,'Species Codes'!B:R,17,0)*((E398*2.54)^VLOOKUP(D398,'Species Codes'!B:S,18,0)))),IF(OR(D398="BM",D398="MD",D398="OA"),EXP(VLOOKUP(D398,'Species Codes'!B:O,14,0)+VLOOKUP(D398,'Species Codes'!B:P,15,0)*LN((E398*2.54)))*(1-(1/(VLOOKUP(D398,'Species Codes'!B:Q,16,0)+VLOOKUP(D398,'Species Codes'!B:R,17,0)*((E398*2.54)^VLOOKUP(D398,'Species Codes'!B:S,18,0)))))/1000,IF(D398="DF",EXP(VLOOKUP(D398,'Species Codes'!B:O,14,0)+VLOOKUP(D398,'Species Codes'!B:P,15,0)*LN((E398*2.54))),VLOOKUP(D398,'Species Codes'!B:O,14,0)+VLOOKUP(D398,'Species Codes'!B:P,15,0)*(((E398*2.54)/100)^2)*(I398*0.3048)))))*0.0011023),0)</f>
        <v>#N/A</v>
      </c>
      <c r="AD398" s="104" t="e">
        <f t="shared" si="193"/>
        <v>#N/A</v>
      </c>
      <c r="AE398" s="104" t="e">
        <f t="shared" si="194"/>
        <v>#N/A</v>
      </c>
      <c r="AF398" s="104" t="e">
        <f>IF(AND(VLOOKUP($D398,Merchantability!$B:$C,2,0)="Yes",$E398&gt;=VLOOKUP($D398,Merchantability!$B:$D,3,0),$E398&lt;=VLOOKUP($D398,Merchantability!$B:$E,4,0)),AA398,0)</f>
        <v>#N/A</v>
      </c>
      <c r="AG398" s="104" t="e">
        <f>IF(AND(VLOOKUP($D398,Merchantability!$B:$C,2,0)="Yes",$E398&gt;=VLOOKUP($D398,Merchantability!$B:$D,3,0),$E398&lt;=VLOOKUP($D398,Merchantability!$B:$E,4,0)),AB398,0)</f>
        <v>#N/A</v>
      </c>
      <c r="AH398" s="104" t="e">
        <f>IF(AND(VLOOKUP($D398,Merchantability!$B:$C,2,0)="Yes",$E398&gt;=VLOOKUP($D398,Merchantability!$B:$D,3,0),$E398&lt;=VLOOKUP($D398,Merchantability!$B:$E,4,0)),AC398,0)</f>
        <v>#N/A</v>
      </c>
      <c r="AI398" s="104" t="e">
        <f t="shared" si="195"/>
        <v>#N/A</v>
      </c>
      <c r="AJ398" s="104" t="e">
        <f t="shared" si="196"/>
        <v>#VALUE!</v>
      </c>
      <c r="AK398" s="104" t="e">
        <f t="shared" si="197"/>
        <v>#N/A</v>
      </c>
      <c r="AL398" s="104" t="e">
        <f t="shared" si="198"/>
        <v>#N/A</v>
      </c>
      <c r="AM398" s="104" t="e">
        <f t="shared" si="199"/>
        <v>#N/A</v>
      </c>
      <c r="AN398" s="104" t="e">
        <f t="shared" si="210"/>
        <v>#N/A</v>
      </c>
      <c r="AO398" s="104" t="e">
        <f t="shared" si="211"/>
        <v>#N/A</v>
      </c>
      <c r="AP398" s="104" t="e">
        <f t="shared" si="212"/>
        <v>#N/A</v>
      </c>
      <c r="AQ398" s="104" t="e">
        <f t="shared" si="213"/>
        <v>#N/A</v>
      </c>
      <c r="AR398" s="105" t="str">
        <f t="shared" si="205"/>
        <v/>
      </c>
      <c r="AS398" s="105" t="str">
        <f t="shared" si="206"/>
        <v/>
      </c>
      <c r="AT398" s="108" t="str">
        <f t="shared" si="207"/>
        <v/>
      </c>
      <c r="AU398" s="108" t="str">
        <f t="shared" si="208"/>
        <v/>
      </c>
      <c r="AV398" s="107" t="str">
        <f>IF(ISNUMBER(O398),IF(VLOOKUP($A398,Stand!C:J,8,FALSE)="Short",AT398,AU398),"")</f>
        <v/>
      </c>
      <c r="AW398" s="109" t="str">
        <f t="shared" si="214"/>
        <v/>
      </c>
      <c r="AX398" s="109" t="str">
        <f t="shared" si="215"/>
        <v/>
      </c>
      <c r="AY398" s="112" t="str">
        <f>IF(ISNUMBER(O398),IF(AND(VLOOKUP($D398,Merchantability!$B:$C,2,0)="Yes",$E398&gt;=VLOOKUP($D398,Merchantability!$B:$D,3,0),$E398&lt;=VLOOKUP($D398,Merchantability!$B:$E,4,0)),(AV398*O398)*(1-$H398/100),""),"")</f>
        <v/>
      </c>
      <c r="AZ398" s="116"/>
      <c r="BA398" s="116"/>
      <c r="BB398" s="116"/>
      <c r="BE398" s="62"/>
      <c r="BF398" s="63"/>
    </row>
    <row r="399" spans="1:58" ht="12.75" customHeight="1" x14ac:dyDescent="0.25">
      <c r="A399" s="313"/>
      <c r="B399" s="328"/>
      <c r="C399" s="329"/>
      <c r="D399" s="328"/>
      <c r="E399" s="330"/>
      <c r="F399" s="331"/>
      <c r="G399" s="329"/>
      <c r="H399" s="329"/>
      <c r="I399" s="328"/>
      <c r="J399" s="329"/>
      <c r="K399" s="329"/>
      <c r="L399" s="329"/>
      <c r="M399" s="76"/>
      <c r="N399" s="103" t="str">
        <f>IF(A399="","",VLOOKUP(A399,Stand!C:K,9,0))</f>
        <v/>
      </c>
      <c r="O399" s="104" t="str">
        <f t="shared" si="200"/>
        <v/>
      </c>
      <c r="P399" s="105" t="str">
        <f t="shared" si="201"/>
        <v/>
      </c>
      <c r="Q399" s="105" t="str">
        <f t="shared" si="189"/>
        <v/>
      </c>
      <c r="R399" s="103" t="str">
        <f t="shared" si="202"/>
        <v/>
      </c>
      <c r="S399" s="103" t="str">
        <f t="shared" si="203"/>
        <v/>
      </c>
      <c r="T399" s="106" t="str">
        <f t="shared" si="190"/>
        <v/>
      </c>
      <c r="U399" s="106" t="str">
        <f t="shared" si="191"/>
        <v/>
      </c>
      <c r="V399" s="106" t="str">
        <f t="shared" si="192"/>
        <v/>
      </c>
      <c r="W399" s="105" t="str">
        <f t="shared" si="204"/>
        <v/>
      </c>
      <c r="X399" s="104" t="str">
        <f t="shared" si="209"/>
        <v/>
      </c>
      <c r="Y399" s="104" t="str">
        <f t="array" ref="Y399">IFERROR(IF(ISNUMBER(O399),IF(COUNT(IF(A399=$A$2:$A$2427,IF(D399=$D$2:$D$2427,IF($X$2:$X$2427&gt;0,1))))&gt;0,SUM(IF(A399=$A$2:$A$2427,IF(D399=$D$2:$D$2427,$X$2:$X$2427)))/COUNT(IF(A399=$A$2:$A$2427,IF(D399=$D$2:$D$2427,IF(ISNUMBER($X$2:$X$2427),1)))),0),""),0)</f>
        <v/>
      </c>
      <c r="Z399" s="104" t="str">
        <f>IF(ISNUMBER(O399),IF(I399&gt;0,(10^(VLOOKUP(D399,'Species Codes'!B:C,2,0)+VLOOKUP(D399,'Species Codes'!B:D,3,0)*LOG(E399)+VLOOKUP(D399,'Species Codes'!B:E,4,0)*LOG(I399))),0),"")</f>
        <v/>
      </c>
      <c r="AA399" s="104" t="str">
        <f>IFERROR((VLOOKUP(D399,'Species Codes'!B:G,6,0)*Z399)/2000,"")</f>
        <v/>
      </c>
      <c r="AB399" s="104" t="e">
        <f>IF(Z399&gt;0,((IF(OR(D399="DF",D399="RA")=TRUE,EXP(VLOOKUP(D399,'Species Codes'!B:I,8,0)+VLOOKUP(D399,'Species Codes'!B:J,9,0)*(LN((E399*2.54)))),IF(OR(D399="PY",D399="RC",D399="WH",D399="NF")=TRUE,VLOOKUP(D399,'Species Codes'!B:I,8,0)+VLOOKUP(D399,'Species Codes'!B:J,9,0)*((E399*2.54)^2)*(I399*0.3048),IF(OR(D399="MD",D399="BM",D399="GA")=TRUE,((VLOOKUP(D399,'Species Codes'!B:I,8,0)*(((((E399*2.54)+VLOOKUP(D399,'Species Codes'!B:J,9,0))/VLOOKUP(D399,'Species Codes'!B:K,10,0))^VLOOKUP(D399,'Species Codes'!B:L,11,0))*((I399*0.3048)^VLOOKUP(D399,'Species Codes'!B:M,12,0))))-(VLOOKUP(D399,'Species Codes'!B:I,8,0)*((((E399*2.54)^VLOOKUP(D399,'Species Codes'!B:L,11,0))*((I399*0.3048)^VLOOKUP(D399,'Species Codes'!B:M,12,0))))))*35.3*VLOOKUP(D399,'Species Codes'!B:G,6,0)/2.2046,VLOOKUP(D399,'Species Codes'!B:I,8,0)+VLOOKUP(D399,'Species Codes'!B:J,9,0)*(((E399*2.54)/100)^2)*(I399*0.3048)))))*0.0011023),0)</f>
        <v>#N/A</v>
      </c>
      <c r="AC399" s="104" t="e">
        <f>IF(Z399&gt;0,((IF(OR(D399="RA",D399="OA",D399="OT",D399="UN",D399="PC"),EXP(VLOOKUP(D399,'Species Codes'!B:O,14,0)+VLOOKUP(D399,'Species Codes'!B:P,15,0)*LN((E399*2.54)))-EXP(VLOOKUP(D399,'Species Codes'!B:O,14,0)+VLOOKUP(D399,'Species Codes'!B:P,15,0)*LN((E399*2.54)))*(1/(VLOOKUP(D399,'Species Codes'!B:Q,16,0)+VLOOKUP(D399,'Species Codes'!B:R,17,0)*((E399*2.54)^VLOOKUP(D399,'Species Codes'!B:S,18,0)))),IF(OR(D399="BM",D399="MD",D399="OA"),EXP(VLOOKUP(D399,'Species Codes'!B:O,14,0)+VLOOKUP(D399,'Species Codes'!B:P,15,0)*LN((E399*2.54)))*(1-(1/(VLOOKUP(D399,'Species Codes'!B:Q,16,0)+VLOOKUP(D399,'Species Codes'!B:R,17,0)*((E399*2.54)^VLOOKUP(D399,'Species Codes'!B:S,18,0)))))/1000,IF(D399="DF",EXP(VLOOKUP(D399,'Species Codes'!B:O,14,0)+VLOOKUP(D399,'Species Codes'!B:P,15,0)*LN((E399*2.54))),VLOOKUP(D399,'Species Codes'!B:O,14,0)+VLOOKUP(D399,'Species Codes'!B:P,15,0)*(((E399*2.54)/100)^2)*(I399*0.3048)))))*0.0011023),0)</f>
        <v>#N/A</v>
      </c>
      <c r="AD399" s="104" t="e">
        <f t="shared" si="193"/>
        <v>#N/A</v>
      </c>
      <c r="AE399" s="104" t="e">
        <f t="shared" si="194"/>
        <v>#N/A</v>
      </c>
      <c r="AF399" s="104" t="e">
        <f>IF(AND(VLOOKUP($D399,Merchantability!$B:$C,2,0)="Yes",$E399&gt;=VLOOKUP($D399,Merchantability!$B:$D,3,0),$E399&lt;=VLOOKUP($D399,Merchantability!$B:$E,4,0)),AA399,0)</f>
        <v>#N/A</v>
      </c>
      <c r="AG399" s="104" t="e">
        <f>IF(AND(VLOOKUP($D399,Merchantability!$B:$C,2,0)="Yes",$E399&gt;=VLOOKUP($D399,Merchantability!$B:$D,3,0),$E399&lt;=VLOOKUP($D399,Merchantability!$B:$E,4,0)),AB399,0)</f>
        <v>#N/A</v>
      </c>
      <c r="AH399" s="104" t="e">
        <f>IF(AND(VLOOKUP($D399,Merchantability!$B:$C,2,0)="Yes",$E399&gt;=VLOOKUP($D399,Merchantability!$B:$D,3,0),$E399&lt;=VLOOKUP($D399,Merchantability!$B:$E,4,0)),AC399,0)</f>
        <v>#N/A</v>
      </c>
      <c r="AI399" s="104" t="e">
        <f t="shared" si="195"/>
        <v>#N/A</v>
      </c>
      <c r="AJ399" s="104" t="e">
        <f t="shared" si="196"/>
        <v>#VALUE!</v>
      </c>
      <c r="AK399" s="104" t="e">
        <f t="shared" si="197"/>
        <v>#N/A</v>
      </c>
      <c r="AL399" s="104" t="e">
        <f t="shared" si="198"/>
        <v>#N/A</v>
      </c>
      <c r="AM399" s="104" t="e">
        <f t="shared" si="199"/>
        <v>#N/A</v>
      </c>
      <c r="AN399" s="104" t="e">
        <f t="shared" si="210"/>
        <v>#N/A</v>
      </c>
      <c r="AO399" s="104" t="e">
        <f t="shared" si="211"/>
        <v>#N/A</v>
      </c>
      <c r="AP399" s="104" t="e">
        <f t="shared" si="212"/>
        <v>#N/A</v>
      </c>
      <c r="AQ399" s="104" t="e">
        <f t="shared" si="213"/>
        <v>#N/A</v>
      </c>
      <c r="AR399" s="105" t="str">
        <f t="shared" si="205"/>
        <v/>
      </c>
      <c r="AS399" s="105" t="str">
        <f t="shared" si="206"/>
        <v/>
      </c>
      <c r="AT399" s="108" t="str">
        <f t="shared" si="207"/>
        <v/>
      </c>
      <c r="AU399" s="108" t="str">
        <f t="shared" si="208"/>
        <v/>
      </c>
      <c r="AV399" s="107" t="str">
        <f>IF(ISNUMBER(O399),IF(VLOOKUP($A399,Stand!C:J,8,FALSE)="Short",AT399,AU399),"")</f>
        <v/>
      </c>
      <c r="AW399" s="109" t="str">
        <f t="shared" si="214"/>
        <v/>
      </c>
      <c r="AX399" s="109" t="str">
        <f t="shared" si="215"/>
        <v/>
      </c>
      <c r="AY399" s="112" t="str">
        <f>IF(ISNUMBER(O399),IF(AND(VLOOKUP($D399,Merchantability!$B:$C,2,0)="Yes",$E399&gt;=VLOOKUP($D399,Merchantability!$B:$D,3,0),$E399&lt;=VLOOKUP($D399,Merchantability!$B:$E,4,0)),(AV399*O399)*(1-$H399/100),""),"")</f>
        <v/>
      </c>
      <c r="AZ399" s="116"/>
      <c r="BA399" s="116"/>
      <c r="BB399" s="116"/>
      <c r="BE399" s="62"/>
      <c r="BF399" s="63"/>
    </row>
    <row r="400" spans="1:58" ht="12.75" customHeight="1" x14ac:dyDescent="0.25">
      <c r="A400" s="313"/>
      <c r="B400" s="328"/>
      <c r="C400" s="329"/>
      <c r="D400" s="328"/>
      <c r="E400" s="330"/>
      <c r="F400" s="331"/>
      <c r="G400" s="329"/>
      <c r="H400" s="329"/>
      <c r="I400" s="328"/>
      <c r="J400" s="329"/>
      <c r="K400" s="329"/>
      <c r="L400" s="329"/>
      <c r="M400" s="76"/>
      <c r="N400" s="103" t="str">
        <f>IF(A400="","",VLOOKUP(A400,Stand!C:K,9,0))</f>
        <v/>
      </c>
      <c r="O400" s="104" t="str">
        <f t="shared" si="200"/>
        <v/>
      </c>
      <c r="P400" s="105" t="str">
        <f t="shared" si="201"/>
        <v/>
      </c>
      <c r="Q400" s="105" t="str">
        <f t="shared" si="189"/>
        <v/>
      </c>
      <c r="R400" s="103" t="str">
        <f t="shared" si="202"/>
        <v/>
      </c>
      <c r="S400" s="103" t="str">
        <f t="shared" si="203"/>
        <v/>
      </c>
      <c r="T400" s="106" t="str">
        <f t="shared" si="190"/>
        <v/>
      </c>
      <c r="U400" s="106" t="str">
        <f t="shared" si="191"/>
        <v/>
      </c>
      <c r="V400" s="106" t="str">
        <f t="shared" si="192"/>
        <v/>
      </c>
      <c r="W400" s="105" t="str">
        <f t="shared" si="204"/>
        <v/>
      </c>
      <c r="X400" s="104" t="str">
        <f t="shared" si="209"/>
        <v/>
      </c>
      <c r="Y400" s="104" t="str">
        <f t="array" ref="Y400">IFERROR(IF(ISNUMBER(O400),IF(COUNT(IF(A400=$A$2:$A$2427,IF(D400=$D$2:$D$2427,IF($X$2:$X$2427&gt;0,1))))&gt;0,SUM(IF(A400=$A$2:$A$2427,IF(D400=$D$2:$D$2427,$X$2:$X$2427)))/COUNT(IF(A400=$A$2:$A$2427,IF(D400=$D$2:$D$2427,IF(ISNUMBER($X$2:$X$2427),1)))),0),""),0)</f>
        <v/>
      </c>
      <c r="Z400" s="104" t="str">
        <f>IF(ISNUMBER(O400),IF(I400&gt;0,(10^(VLOOKUP(D400,'Species Codes'!B:C,2,0)+VLOOKUP(D400,'Species Codes'!B:D,3,0)*LOG(E400)+VLOOKUP(D400,'Species Codes'!B:E,4,0)*LOG(I400))),0),"")</f>
        <v/>
      </c>
      <c r="AA400" s="104" t="str">
        <f>IFERROR((VLOOKUP(D400,'Species Codes'!B:G,6,0)*Z400)/2000,"")</f>
        <v/>
      </c>
      <c r="AB400" s="104" t="e">
        <f>IF(Z400&gt;0,((IF(OR(D400="DF",D400="RA")=TRUE,EXP(VLOOKUP(D400,'Species Codes'!B:I,8,0)+VLOOKUP(D400,'Species Codes'!B:J,9,0)*(LN((E400*2.54)))),IF(OR(D400="PY",D400="RC",D400="WH",D400="NF")=TRUE,VLOOKUP(D400,'Species Codes'!B:I,8,0)+VLOOKUP(D400,'Species Codes'!B:J,9,0)*((E400*2.54)^2)*(I400*0.3048),IF(OR(D400="MD",D400="BM",D400="GA")=TRUE,((VLOOKUP(D400,'Species Codes'!B:I,8,0)*(((((E400*2.54)+VLOOKUP(D400,'Species Codes'!B:J,9,0))/VLOOKUP(D400,'Species Codes'!B:K,10,0))^VLOOKUP(D400,'Species Codes'!B:L,11,0))*((I400*0.3048)^VLOOKUP(D400,'Species Codes'!B:M,12,0))))-(VLOOKUP(D400,'Species Codes'!B:I,8,0)*((((E400*2.54)^VLOOKUP(D400,'Species Codes'!B:L,11,0))*((I400*0.3048)^VLOOKUP(D400,'Species Codes'!B:M,12,0))))))*35.3*VLOOKUP(D400,'Species Codes'!B:G,6,0)/2.2046,VLOOKUP(D400,'Species Codes'!B:I,8,0)+VLOOKUP(D400,'Species Codes'!B:J,9,0)*(((E400*2.54)/100)^2)*(I400*0.3048)))))*0.0011023),0)</f>
        <v>#N/A</v>
      </c>
      <c r="AC400" s="104" t="e">
        <f>IF(Z400&gt;0,((IF(OR(D400="RA",D400="OA",D400="OT",D400="UN",D400="PC"),EXP(VLOOKUP(D400,'Species Codes'!B:O,14,0)+VLOOKUP(D400,'Species Codes'!B:P,15,0)*LN((E400*2.54)))-EXP(VLOOKUP(D400,'Species Codes'!B:O,14,0)+VLOOKUP(D400,'Species Codes'!B:P,15,0)*LN((E400*2.54)))*(1/(VLOOKUP(D400,'Species Codes'!B:Q,16,0)+VLOOKUP(D400,'Species Codes'!B:R,17,0)*((E400*2.54)^VLOOKUP(D400,'Species Codes'!B:S,18,0)))),IF(OR(D400="BM",D400="MD",D400="OA"),EXP(VLOOKUP(D400,'Species Codes'!B:O,14,0)+VLOOKUP(D400,'Species Codes'!B:P,15,0)*LN((E400*2.54)))*(1-(1/(VLOOKUP(D400,'Species Codes'!B:Q,16,0)+VLOOKUP(D400,'Species Codes'!B:R,17,0)*((E400*2.54)^VLOOKUP(D400,'Species Codes'!B:S,18,0)))))/1000,IF(D400="DF",EXP(VLOOKUP(D400,'Species Codes'!B:O,14,0)+VLOOKUP(D400,'Species Codes'!B:P,15,0)*LN((E400*2.54))),VLOOKUP(D400,'Species Codes'!B:O,14,0)+VLOOKUP(D400,'Species Codes'!B:P,15,0)*(((E400*2.54)/100)^2)*(I400*0.3048)))))*0.0011023),0)</f>
        <v>#N/A</v>
      </c>
      <c r="AD400" s="104" t="e">
        <f t="shared" si="193"/>
        <v>#N/A</v>
      </c>
      <c r="AE400" s="104" t="e">
        <f t="shared" si="194"/>
        <v>#N/A</v>
      </c>
      <c r="AF400" s="104" t="e">
        <f>IF(AND(VLOOKUP($D400,Merchantability!$B:$C,2,0)="Yes",$E400&gt;=VLOOKUP($D400,Merchantability!$B:$D,3,0),$E400&lt;=VLOOKUP($D400,Merchantability!$B:$E,4,0)),AA400,0)</f>
        <v>#N/A</v>
      </c>
      <c r="AG400" s="104" t="e">
        <f>IF(AND(VLOOKUP($D400,Merchantability!$B:$C,2,0)="Yes",$E400&gt;=VLOOKUP($D400,Merchantability!$B:$D,3,0),$E400&lt;=VLOOKUP($D400,Merchantability!$B:$E,4,0)),AB400,0)</f>
        <v>#N/A</v>
      </c>
      <c r="AH400" s="104" t="e">
        <f>IF(AND(VLOOKUP($D400,Merchantability!$B:$C,2,0)="Yes",$E400&gt;=VLOOKUP($D400,Merchantability!$B:$D,3,0),$E400&lt;=VLOOKUP($D400,Merchantability!$B:$E,4,0)),AC400,0)</f>
        <v>#N/A</v>
      </c>
      <c r="AI400" s="104" t="e">
        <f t="shared" si="195"/>
        <v>#N/A</v>
      </c>
      <c r="AJ400" s="104" t="e">
        <f t="shared" si="196"/>
        <v>#VALUE!</v>
      </c>
      <c r="AK400" s="104" t="e">
        <f t="shared" si="197"/>
        <v>#N/A</v>
      </c>
      <c r="AL400" s="104" t="e">
        <f t="shared" si="198"/>
        <v>#N/A</v>
      </c>
      <c r="AM400" s="104" t="e">
        <f t="shared" si="199"/>
        <v>#N/A</v>
      </c>
      <c r="AN400" s="104" t="e">
        <f t="shared" si="210"/>
        <v>#N/A</v>
      </c>
      <c r="AO400" s="104" t="e">
        <f t="shared" si="211"/>
        <v>#N/A</v>
      </c>
      <c r="AP400" s="104" t="e">
        <f t="shared" si="212"/>
        <v>#N/A</v>
      </c>
      <c r="AQ400" s="104" t="e">
        <f t="shared" si="213"/>
        <v>#N/A</v>
      </c>
      <c r="AR400" s="105" t="str">
        <f t="shared" si="205"/>
        <v/>
      </c>
      <c r="AS400" s="105" t="str">
        <f t="shared" si="206"/>
        <v/>
      </c>
      <c r="AT400" s="108" t="str">
        <f t="shared" si="207"/>
        <v/>
      </c>
      <c r="AU400" s="108" t="str">
        <f t="shared" si="208"/>
        <v/>
      </c>
      <c r="AV400" s="107" t="str">
        <f>IF(ISNUMBER(O400),IF(VLOOKUP($A400,Stand!C:J,8,FALSE)="Short",AT400,AU400),"")</f>
        <v/>
      </c>
      <c r="AW400" s="109" t="str">
        <f t="shared" si="214"/>
        <v/>
      </c>
      <c r="AX400" s="109" t="str">
        <f t="shared" si="215"/>
        <v/>
      </c>
      <c r="AY400" s="112" t="str">
        <f>IF(ISNUMBER(O400),IF(AND(VLOOKUP($D400,Merchantability!$B:$C,2,0)="Yes",$E400&gt;=VLOOKUP($D400,Merchantability!$B:$D,3,0),$E400&lt;=VLOOKUP($D400,Merchantability!$B:$E,4,0)),(AV400*O400)*(1-$H400/100),""),"")</f>
        <v/>
      </c>
      <c r="AZ400" s="116"/>
      <c r="BA400" s="116"/>
      <c r="BB400" s="116"/>
      <c r="BE400" s="62"/>
      <c r="BF400" s="63"/>
    </row>
    <row r="401" spans="1:58" ht="12.75" customHeight="1" x14ac:dyDescent="0.25">
      <c r="A401" s="313"/>
      <c r="B401" s="328"/>
      <c r="C401" s="329"/>
      <c r="D401" s="328"/>
      <c r="E401" s="330"/>
      <c r="F401" s="331"/>
      <c r="G401" s="329"/>
      <c r="H401" s="329"/>
      <c r="I401" s="328"/>
      <c r="J401" s="329"/>
      <c r="K401" s="329"/>
      <c r="L401" s="329"/>
      <c r="M401" s="76"/>
      <c r="N401" s="103" t="str">
        <f>IF(A401="","",VLOOKUP(A401,Stand!C:K,9,0))</f>
        <v/>
      </c>
      <c r="O401" s="104" t="str">
        <f t="shared" si="200"/>
        <v/>
      </c>
      <c r="P401" s="105" t="str">
        <f t="shared" si="201"/>
        <v/>
      </c>
      <c r="Q401" s="105" t="str">
        <f t="shared" si="189"/>
        <v/>
      </c>
      <c r="R401" s="103" t="str">
        <f t="shared" si="202"/>
        <v/>
      </c>
      <c r="S401" s="103" t="str">
        <f t="shared" si="203"/>
        <v/>
      </c>
      <c r="T401" s="106" t="str">
        <f t="shared" si="190"/>
        <v/>
      </c>
      <c r="U401" s="106" t="str">
        <f t="shared" si="191"/>
        <v/>
      </c>
      <c r="V401" s="106" t="str">
        <f t="shared" si="192"/>
        <v/>
      </c>
      <c r="W401" s="105" t="str">
        <f t="shared" si="204"/>
        <v/>
      </c>
      <c r="X401" s="104" t="str">
        <f t="shared" si="209"/>
        <v/>
      </c>
      <c r="Y401" s="104" t="str">
        <f t="array" ref="Y401">IFERROR(IF(ISNUMBER(O401),IF(COUNT(IF(A401=$A$2:$A$2427,IF(D401=$D$2:$D$2427,IF($X$2:$X$2427&gt;0,1))))&gt;0,SUM(IF(A401=$A$2:$A$2427,IF(D401=$D$2:$D$2427,$X$2:$X$2427)))/COUNT(IF(A401=$A$2:$A$2427,IF(D401=$D$2:$D$2427,IF(ISNUMBER($X$2:$X$2427),1)))),0),""),0)</f>
        <v/>
      </c>
      <c r="Z401" s="104" t="str">
        <f>IF(ISNUMBER(O401),IF(I401&gt;0,(10^(VLOOKUP(D401,'Species Codes'!B:C,2,0)+VLOOKUP(D401,'Species Codes'!B:D,3,0)*LOG(E401)+VLOOKUP(D401,'Species Codes'!B:E,4,0)*LOG(I401))),0),"")</f>
        <v/>
      </c>
      <c r="AA401" s="104" t="str">
        <f>IFERROR((VLOOKUP(D401,'Species Codes'!B:G,6,0)*Z401)/2000,"")</f>
        <v/>
      </c>
      <c r="AB401" s="104" t="e">
        <f>IF(Z401&gt;0,((IF(OR(D401="DF",D401="RA")=TRUE,EXP(VLOOKUP(D401,'Species Codes'!B:I,8,0)+VLOOKUP(D401,'Species Codes'!B:J,9,0)*(LN((E401*2.54)))),IF(OR(D401="PY",D401="RC",D401="WH",D401="NF")=TRUE,VLOOKUP(D401,'Species Codes'!B:I,8,0)+VLOOKUP(D401,'Species Codes'!B:J,9,0)*((E401*2.54)^2)*(I401*0.3048),IF(OR(D401="MD",D401="BM",D401="GA")=TRUE,((VLOOKUP(D401,'Species Codes'!B:I,8,0)*(((((E401*2.54)+VLOOKUP(D401,'Species Codes'!B:J,9,0))/VLOOKUP(D401,'Species Codes'!B:K,10,0))^VLOOKUP(D401,'Species Codes'!B:L,11,0))*((I401*0.3048)^VLOOKUP(D401,'Species Codes'!B:M,12,0))))-(VLOOKUP(D401,'Species Codes'!B:I,8,0)*((((E401*2.54)^VLOOKUP(D401,'Species Codes'!B:L,11,0))*((I401*0.3048)^VLOOKUP(D401,'Species Codes'!B:M,12,0))))))*35.3*VLOOKUP(D401,'Species Codes'!B:G,6,0)/2.2046,VLOOKUP(D401,'Species Codes'!B:I,8,0)+VLOOKUP(D401,'Species Codes'!B:J,9,0)*(((E401*2.54)/100)^2)*(I401*0.3048)))))*0.0011023),0)</f>
        <v>#N/A</v>
      </c>
      <c r="AC401" s="104" t="e">
        <f>IF(Z401&gt;0,((IF(OR(D401="RA",D401="OA",D401="OT",D401="UN",D401="PC"),EXP(VLOOKUP(D401,'Species Codes'!B:O,14,0)+VLOOKUP(D401,'Species Codes'!B:P,15,0)*LN((E401*2.54)))-EXP(VLOOKUP(D401,'Species Codes'!B:O,14,0)+VLOOKUP(D401,'Species Codes'!B:P,15,0)*LN((E401*2.54)))*(1/(VLOOKUP(D401,'Species Codes'!B:Q,16,0)+VLOOKUP(D401,'Species Codes'!B:R,17,0)*((E401*2.54)^VLOOKUP(D401,'Species Codes'!B:S,18,0)))),IF(OR(D401="BM",D401="MD",D401="OA"),EXP(VLOOKUP(D401,'Species Codes'!B:O,14,0)+VLOOKUP(D401,'Species Codes'!B:P,15,0)*LN((E401*2.54)))*(1-(1/(VLOOKUP(D401,'Species Codes'!B:Q,16,0)+VLOOKUP(D401,'Species Codes'!B:R,17,0)*((E401*2.54)^VLOOKUP(D401,'Species Codes'!B:S,18,0)))))/1000,IF(D401="DF",EXP(VLOOKUP(D401,'Species Codes'!B:O,14,0)+VLOOKUP(D401,'Species Codes'!B:P,15,0)*LN((E401*2.54))),VLOOKUP(D401,'Species Codes'!B:O,14,0)+VLOOKUP(D401,'Species Codes'!B:P,15,0)*(((E401*2.54)/100)^2)*(I401*0.3048)))))*0.0011023),0)</f>
        <v>#N/A</v>
      </c>
      <c r="AD401" s="104" t="e">
        <f t="shared" si="193"/>
        <v>#N/A</v>
      </c>
      <c r="AE401" s="104" t="e">
        <f t="shared" si="194"/>
        <v>#N/A</v>
      </c>
      <c r="AF401" s="104" t="e">
        <f>IF(AND(VLOOKUP($D401,Merchantability!$B:$C,2,0)="Yes",$E401&gt;=VLOOKUP($D401,Merchantability!$B:$D,3,0),$E401&lt;=VLOOKUP($D401,Merchantability!$B:$E,4,0)),AA401,0)</f>
        <v>#N/A</v>
      </c>
      <c r="AG401" s="104" t="e">
        <f>IF(AND(VLOOKUP($D401,Merchantability!$B:$C,2,0)="Yes",$E401&gt;=VLOOKUP($D401,Merchantability!$B:$D,3,0),$E401&lt;=VLOOKUP($D401,Merchantability!$B:$E,4,0)),AB401,0)</f>
        <v>#N/A</v>
      </c>
      <c r="AH401" s="104" t="e">
        <f>IF(AND(VLOOKUP($D401,Merchantability!$B:$C,2,0)="Yes",$E401&gt;=VLOOKUP($D401,Merchantability!$B:$D,3,0),$E401&lt;=VLOOKUP($D401,Merchantability!$B:$E,4,0)),AC401,0)</f>
        <v>#N/A</v>
      </c>
      <c r="AI401" s="104" t="e">
        <f t="shared" si="195"/>
        <v>#N/A</v>
      </c>
      <c r="AJ401" s="104" t="e">
        <f t="shared" si="196"/>
        <v>#VALUE!</v>
      </c>
      <c r="AK401" s="104" t="e">
        <f t="shared" si="197"/>
        <v>#N/A</v>
      </c>
      <c r="AL401" s="104" t="e">
        <f t="shared" si="198"/>
        <v>#N/A</v>
      </c>
      <c r="AM401" s="104" t="e">
        <f t="shared" si="199"/>
        <v>#N/A</v>
      </c>
      <c r="AN401" s="104" t="e">
        <f t="shared" si="210"/>
        <v>#N/A</v>
      </c>
      <c r="AO401" s="104" t="e">
        <f t="shared" si="211"/>
        <v>#N/A</v>
      </c>
      <c r="AP401" s="104" t="e">
        <f t="shared" si="212"/>
        <v>#N/A</v>
      </c>
      <c r="AQ401" s="104" t="e">
        <f t="shared" si="213"/>
        <v>#N/A</v>
      </c>
      <c r="AR401" s="105" t="str">
        <f t="shared" si="205"/>
        <v/>
      </c>
      <c r="AS401" s="105" t="str">
        <f t="shared" si="206"/>
        <v/>
      </c>
      <c r="AT401" s="108" t="str">
        <f t="shared" si="207"/>
        <v/>
      </c>
      <c r="AU401" s="108" t="str">
        <f t="shared" si="208"/>
        <v/>
      </c>
      <c r="AV401" s="107" t="str">
        <f>IF(ISNUMBER(O401),IF(VLOOKUP($A401,Stand!C:J,8,FALSE)="Short",AT401,AU401),"")</f>
        <v/>
      </c>
      <c r="AW401" s="109" t="str">
        <f t="shared" si="214"/>
        <v/>
      </c>
      <c r="AX401" s="109" t="str">
        <f t="shared" si="215"/>
        <v/>
      </c>
      <c r="AY401" s="112" t="str">
        <f>IF(ISNUMBER(O401),IF(AND(VLOOKUP($D401,Merchantability!$B:$C,2,0)="Yes",$E401&gt;=VLOOKUP($D401,Merchantability!$B:$D,3,0),$E401&lt;=VLOOKUP($D401,Merchantability!$B:$E,4,0)),(AV401*O401)*(1-$H401/100),""),"")</f>
        <v/>
      </c>
      <c r="AZ401" s="116"/>
      <c r="BA401" s="116"/>
      <c r="BB401" s="116"/>
      <c r="BE401" s="62"/>
      <c r="BF401" s="63"/>
    </row>
    <row r="402" spans="1:58" ht="12.75" customHeight="1" x14ac:dyDescent="0.25">
      <c r="A402" s="313"/>
      <c r="B402" s="328"/>
      <c r="C402" s="329"/>
      <c r="D402" s="328"/>
      <c r="E402" s="330"/>
      <c r="F402" s="331"/>
      <c r="G402" s="329"/>
      <c r="H402" s="329"/>
      <c r="I402" s="328"/>
      <c r="J402" s="329"/>
      <c r="K402" s="329"/>
      <c r="L402" s="329"/>
      <c r="M402" s="76"/>
      <c r="N402" s="103" t="str">
        <f>IF(A402="","",VLOOKUP(A402,Stand!C:K,9,0))</f>
        <v/>
      </c>
      <c r="O402" s="104" t="str">
        <f t="shared" si="200"/>
        <v/>
      </c>
      <c r="P402" s="105" t="str">
        <f t="shared" si="201"/>
        <v/>
      </c>
      <c r="Q402" s="105" t="str">
        <f t="shared" si="189"/>
        <v/>
      </c>
      <c r="R402" s="103" t="str">
        <f t="shared" si="202"/>
        <v/>
      </c>
      <c r="S402" s="103" t="str">
        <f t="shared" si="203"/>
        <v/>
      </c>
      <c r="T402" s="106" t="str">
        <f t="shared" si="190"/>
        <v/>
      </c>
      <c r="U402" s="106" t="str">
        <f t="shared" si="191"/>
        <v/>
      </c>
      <c r="V402" s="106" t="str">
        <f t="shared" si="192"/>
        <v/>
      </c>
      <c r="W402" s="105" t="str">
        <f t="shared" si="204"/>
        <v/>
      </c>
      <c r="X402" s="104" t="str">
        <f t="shared" si="209"/>
        <v/>
      </c>
      <c r="Y402" s="104" t="str">
        <f t="array" ref="Y402">IFERROR(IF(ISNUMBER(O402),IF(COUNT(IF(A402=$A$2:$A$2427,IF(D402=$D$2:$D$2427,IF($X$2:$X$2427&gt;0,1))))&gt;0,SUM(IF(A402=$A$2:$A$2427,IF(D402=$D$2:$D$2427,$X$2:$X$2427)))/COUNT(IF(A402=$A$2:$A$2427,IF(D402=$D$2:$D$2427,IF(ISNUMBER($X$2:$X$2427),1)))),0),""),0)</f>
        <v/>
      </c>
      <c r="Z402" s="104" t="str">
        <f>IF(ISNUMBER(O402),IF(I402&gt;0,(10^(VLOOKUP(D402,'Species Codes'!B:C,2,0)+VLOOKUP(D402,'Species Codes'!B:D,3,0)*LOG(E402)+VLOOKUP(D402,'Species Codes'!B:E,4,0)*LOG(I402))),0),"")</f>
        <v/>
      </c>
      <c r="AA402" s="104" t="str">
        <f>IFERROR((VLOOKUP(D402,'Species Codes'!B:G,6,0)*Z402)/2000,"")</f>
        <v/>
      </c>
      <c r="AB402" s="104" t="e">
        <f>IF(Z402&gt;0,((IF(OR(D402="DF",D402="RA")=TRUE,EXP(VLOOKUP(D402,'Species Codes'!B:I,8,0)+VLOOKUP(D402,'Species Codes'!B:J,9,0)*(LN((E402*2.54)))),IF(OR(D402="PY",D402="RC",D402="WH",D402="NF")=TRUE,VLOOKUP(D402,'Species Codes'!B:I,8,0)+VLOOKUP(D402,'Species Codes'!B:J,9,0)*((E402*2.54)^2)*(I402*0.3048),IF(OR(D402="MD",D402="BM",D402="GA")=TRUE,((VLOOKUP(D402,'Species Codes'!B:I,8,0)*(((((E402*2.54)+VLOOKUP(D402,'Species Codes'!B:J,9,0))/VLOOKUP(D402,'Species Codes'!B:K,10,0))^VLOOKUP(D402,'Species Codes'!B:L,11,0))*((I402*0.3048)^VLOOKUP(D402,'Species Codes'!B:M,12,0))))-(VLOOKUP(D402,'Species Codes'!B:I,8,0)*((((E402*2.54)^VLOOKUP(D402,'Species Codes'!B:L,11,0))*((I402*0.3048)^VLOOKUP(D402,'Species Codes'!B:M,12,0))))))*35.3*VLOOKUP(D402,'Species Codes'!B:G,6,0)/2.2046,VLOOKUP(D402,'Species Codes'!B:I,8,0)+VLOOKUP(D402,'Species Codes'!B:J,9,0)*(((E402*2.54)/100)^2)*(I402*0.3048)))))*0.0011023),0)</f>
        <v>#N/A</v>
      </c>
      <c r="AC402" s="104" t="e">
        <f>IF(Z402&gt;0,((IF(OR(D402="RA",D402="OA",D402="OT",D402="UN",D402="PC"),EXP(VLOOKUP(D402,'Species Codes'!B:O,14,0)+VLOOKUP(D402,'Species Codes'!B:P,15,0)*LN((E402*2.54)))-EXP(VLOOKUP(D402,'Species Codes'!B:O,14,0)+VLOOKUP(D402,'Species Codes'!B:P,15,0)*LN((E402*2.54)))*(1/(VLOOKUP(D402,'Species Codes'!B:Q,16,0)+VLOOKUP(D402,'Species Codes'!B:R,17,0)*((E402*2.54)^VLOOKUP(D402,'Species Codes'!B:S,18,0)))),IF(OR(D402="BM",D402="MD",D402="OA"),EXP(VLOOKUP(D402,'Species Codes'!B:O,14,0)+VLOOKUP(D402,'Species Codes'!B:P,15,0)*LN((E402*2.54)))*(1-(1/(VLOOKUP(D402,'Species Codes'!B:Q,16,0)+VLOOKUP(D402,'Species Codes'!B:R,17,0)*((E402*2.54)^VLOOKUP(D402,'Species Codes'!B:S,18,0)))))/1000,IF(D402="DF",EXP(VLOOKUP(D402,'Species Codes'!B:O,14,0)+VLOOKUP(D402,'Species Codes'!B:P,15,0)*LN((E402*2.54))),VLOOKUP(D402,'Species Codes'!B:O,14,0)+VLOOKUP(D402,'Species Codes'!B:P,15,0)*(((E402*2.54)/100)^2)*(I402*0.3048)))))*0.0011023),0)</f>
        <v>#N/A</v>
      </c>
      <c r="AD402" s="104" t="e">
        <f t="shared" si="193"/>
        <v>#N/A</v>
      </c>
      <c r="AE402" s="104" t="e">
        <f t="shared" si="194"/>
        <v>#N/A</v>
      </c>
      <c r="AF402" s="104" t="e">
        <f>IF(AND(VLOOKUP($D402,Merchantability!$B:$C,2,0)="Yes",$E402&gt;=VLOOKUP($D402,Merchantability!$B:$D,3,0),$E402&lt;=VLOOKUP($D402,Merchantability!$B:$E,4,0)),AA402,0)</f>
        <v>#N/A</v>
      </c>
      <c r="AG402" s="104" t="e">
        <f>IF(AND(VLOOKUP($D402,Merchantability!$B:$C,2,0)="Yes",$E402&gt;=VLOOKUP($D402,Merchantability!$B:$D,3,0),$E402&lt;=VLOOKUP($D402,Merchantability!$B:$E,4,0)),AB402,0)</f>
        <v>#N/A</v>
      </c>
      <c r="AH402" s="104" t="e">
        <f>IF(AND(VLOOKUP($D402,Merchantability!$B:$C,2,0)="Yes",$E402&gt;=VLOOKUP($D402,Merchantability!$B:$D,3,0),$E402&lt;=VLOOKUP($D402,Merchantability!$B:$E,4,0)),AC402,0)</f>
        <v>#N/A</v>
      </c>
      <c r="AI402" s="104" t="e">
        <f t="shared" si="195"/>
        <v>#N/A</v>
      </c>
      <c r="AJ402" s="104" t="e">
        <f t="shared" si="196"/>
        <v>#VALUE!</v>
      </c>
      <c r="AK402" s="104" t="e">
        <f t="shared" si="197"/>
        <v>#N/A</v>
      </c>
      <c r="AL402" s="104" t="e">
        <f t="shared" si="198"/>
        <v>#N/A</v>
      </c>
      <c r="AM402" s="104" t="e">
        <f t="shared" si="199"/>
        <v>#N/A</v>
      </c>
      <c r="AN402" s="104" t="e">
        <f t="shared" si="210"/>
        <v>#N/A</v>
      </c>
      <c r="AO402" s="104" t="e">
        <f t="shared" si="211"/>
        <v>#N/A</v>
      </c>
      <c r="AP402" s="104" t="e">
        <f t="shared" si="212"/>
        <v>#N/A</v>
      </c>
      <c r="AQ402" s="104" t="e">
        <f t="shared" si="213"/>
        <v>#N/A</v>
      </c>
      <c r="AR402" s="105" t="str">
        <f t="shared" si="205"/>
        <v/>
      </c>
      <c r="AS402" s="105" t="str">
        <f t="shared" si="206"/>
        <v/>
      </c>
      <c r="AT402" s="108" t="str">
        <f t="shared" si="207"/>
        <v/>
      </c>
      <c r="AU402" s="108" t="str">
        <f t="shared" si="208"/>
        <v/>
      </c>
      <c r="AV402" s="107" t="str">
        <f>IF(ISNUMBER(O402),IF(VLOOKUP($A402,Stand!C:J,8,FALSE)="Short",AT402,AU402),"")</f>
        <v/>
      </c>
      <c r="AW402" s="109" t="str">
        <f t="shared" si="214"/>
        <v/>
      </c>
      <c r="AX402" s="109" t="str">
        <f t="shared" si="215"/>
        <v/>
      </c>
      <c r="AY402" s="112" t="str">
        <f>IF(ISNUMBER(O402),IF(AND(VLOOKUP($D402,Merchantability!$B:$C,2,0)="Yes",$E402&gt;=VLOOKUP($D402,Merchantability!$B:$D,3,0),$E402&lt;=VLOOKUP($D402,Merchantability!$B:$E,4,0)),(AV402*O402)*(1-$H402/100),""),"")</f>
        <v/>
      </c>
      <c r="AZ402" s="116"/>
      <c r="BA402" s="116"/>
      <c r="BB402" s="116"/>
      <c r="BE402" s="62"/>
      <c r="BF402" s="63"/>
    </row>
    <row r="403" spans="1:58" ht="12.75" customHeight="1" x14ac:dyDescent="0.25">
      <c r="A403" s="313"/>
      <c r="B403" s="328"/>
      <c r="C403" s="329"/>
      <c r="D403" s="328"/>
      <c r="E403" s="330"/>
      <c r="F403" s="331"/>
      <c r="G403" s="329"/>
      <c r="H403" s="329"/>
      <c r="I403" s="328"/>
      <c r="J403" s="329"/>
      <c r="K403" s="329"/>
      <c r="L403" s="329"/>
      <c r="M403" s="76"/>
      <c r="N403" s="103" t="str">
        <f>IF(A403="","",VLOOKUP(A403,Stand!C:K,9,0))</f>
        <v/>
      </c>
      <c r="O403" s="104" t="str">
        <f t="shared" si="200"/>
        <v/>
      </c>
      <c r="P403" s="105" t="str">
        <f t="shared" si="201"/>
        <v/>
      </c>
      <c r="Q403" s="105" t="str">
        <f t="shared" si="189"/>
        <v/>
      </c>
      <c r="R403" s="103" t="str">
        <f t="shared" si="202"/>
        <v/>
      </c>
      <c r="S403" s="103" t="str">
        <f t="shared" si="203"/>
        <v/>
      </c>
      <c r="T403" s="106" t="str">
        <f t="shared" si="190"/>
        <v/>
      </c>
      <c r="U403" s="106" t="str">
        <f t="shared" si="191"/>
        <v/>
      </c>
      <c r="V403" s="106" t="str">
        <f t="shared" si="192"/>
        <v/>
      </c>
      <c r="W403" s="105" t="str">
        <f t="shared" si="204"/>
        <v/>
      </c>
      <c r="X403" s="104" t="str">
        <f t="shared" si="209"/>
        <v/>
      </c>
      <c r="Y403" s="104" t="str">
        <f t="array" ref="Y403">IFERROR(IF(ISNUMBER(O403),IF(COUNT(IF(A403=$A$2:$A$2427,IF(D403=$D$2:$D$2427,IF($X$2:$X$2427&gt;0,1))))&gt;0,SUM(IF(A403=$A$2:$A$2427,IF(D403=$D$2:$D$2427,$X$2:$X$2427)))/COUNT(IF(A403=$A$2:$A$2427,IF(D403=$D$2:$D$2427,IF(ISNUMBER($X$2:$X$2427),1)))),0),""),0)</f>
        <v/>
      </c>
      <c r="Z403" s="104" t="str">
        <f>IF(ISNUMBER(O403),IF(I403&gt;0,(10^(VLOOKUP(D403,'Species Codes'!B:C,2,0)+VLOOKUP(D403,'Species Codes'!B:D,3,0)*LOG(E403)+VLOOKUP(D403,'Species Codes'!B:E,4,0)*LOG(I403))),0),"")</f>
        <v/>
      </c>
      <c r="AA403" s="104" t="str">
        <f>IFERROR((VLOOKUP(D403,'Species Codes'!B:G,6,0)*Z403)/2000,"")</f>
        <v/>
      </c>
      <c r="AB403" s="104" t="e">
        <f>IF(Z403&gt;0,((IF(OR(D403="DF",D403="RA")=TRUE,EXP(VLOOKUP(D403,'Species Codes'!B:I,8,0)+VLOOKUP(D403,'Species Codes'!B:J,9,0)*(LN((E403*2.54)))),IF(OR(D403="PY",D403="RC",D403="WH",D403="NF")=TRUE,VLOOKUP(D403,'Species Codes'!B:I,8,0)+VLOOKUP(D403,'Species Codes'!B:J,9,0)*((E403*2.54)^2)*(I403*0.3048),IF(OR(D403="MD",D403="BM",D403="GA")=TRUE,((VLOOKUP(D403,'Species Codes'!B:I,8,0)*(((((E403*2.54)+VLOOKUP(D403,'Species Codes'!B:J,9,0))/VLOOKUP(D403,'Species Codes'!B:K,10,0))^VLOOKUP(D403,'Species Codes'!B:L,11,0))*((I403*0.3048)^VLOOKUP(D403,'Species Codes'!B:M,12,0))))-(VLOOKUP(D403,'Species Codes'!B:I,8,0)*((((E403*2.54)^VLOOKUP(D403,'Species Codes'!B:L,11,0))*((I403*0.3048)^VLOOKUP(D403,'Species Codes'!B:M,12,0))))))*35.3*VLOOKUP(D403,'Species Codes'!B:G,6,0)/2.2046,VLOOKUP(D403,'Species Codes'!B:I,8,0)+VLOOKUP(D403,'Species Codes'!B:J,9,0)*(((E403*2.54)/100)^2)*(I403*0.3048)))))*0.0011023),0)</f>
        <v>#N/A</v>
      </c>
      <c r="AC403" s="104" t="e">
        <f>IF(Z403&gt;0,((IF(OR(D403="RA",D403="OA",D403="OT",D403="UN",D403="PC"),EXP(VLOOKUP(D403,'Species Codes'!B:O,14,0)+VLOOKUP(D403,'Species Codes'!B:P,15,0)*LN((E403*2.54)))-EXP(VLOOKUP(D403,'Species Codes'!B:O,14,0)+VLOOKUP(D403,'Species Codes'!B:P,15,0)*LN((E403*2.54)))*(1/(VLOOKUP(D403,'Species Codes'!B:Q,16,0)+VLOOKUP(D403,'Species Codes'!B:R,17,0)*((E403*2.54)^VLOOKUP(D403,'Species Codes'!B:S,18,0)))),IF(OR(D403="BM",D403="MD",D403="OA"),EXP(VLOOKUP(D403,'Species Codes'!B:O,14,0)+VLOOKUP(D403,'Species Codes'!B:P,15,0)*LN((E403*2.54)))*(1-(1/(VLOOKUP(D403,'Species Codes'!B:Q,16,0)+VLOOKUP(D403,'Species Codes'!B:R,17,0)*((E403*2.54)^VLOOKUP(D403,'Species Codes'!B:S,18,0)))))/1000,IF(D403="DF",EXP(VLOOKUP(D403,'Species Codes'!B:O,14,0)+VLOOKUP(D403,'Species Codes'!B:P,15,0)*LN((E403*2.54))),VLOOKUP(D403,'Species Codes'!B:O,14,0)+VLOOKUP(D403,'Species Codes'!B:P,15,0)*(((E403*2.54)/100)^2)*(I403*0.3048)))))*0.0011023),0)</f>
        <v>#N/A</v>
      </c>
      <c r="AD403" s="104" t="e">
        <f t="shared" si="193"/>
        <v>#N/A</v>
      </c>
      <c r="AE403" s="104" t="e">
        <f t="shared" si="194"/>
        <v>#N/A</v>
      </c>
      <c r="AF403" s="104" t="e">
        <f>IF(AND(VLOOKUP($D403,Merchantability!$B:$C,2,0)="Yes",$E403&gt;=VLOOKUP($D403,Merchantability!$B:$D,3,0),$E403&lt;=VLOOKUP($D403,Merchantability!$B:$E,4,0)),AA403,0)</f>
        <v>#N/A</v>
      </c>
      <c r="AG403" s="104" t="e">
        <f>IF(AND(VLOOKUP($D403,Merchantability!$B:$C,2,0)="Yes",$E403&gt;=VLOOKUP($D403,Merchantability!$B:$D,3,0),$E403&lt;=VLOOKUP($D403,Merchantability!$B:$E,4,0)),AB403,0)</f>
        <v>#N/A</v>
      </c>
      <c r="AH403" s="104" t="e">
        <f>IF(AND(VLOOKUP($D403,Merchantability!$B:$C,2,0)="Yes",$E403&gt;=VLOOKUP($D403,Merchantability!$B:$D,3,0),$E403&lt;=VLOOKUP($D403,Merchantability!$B:$E,4,0)),AC403,0)</f>
        <v>#N/A</v>
      </c>
      <c r="AI403" s="104" t="e">
        <f t="shared" si="195"/>
        <v>#N/A</v>
      </c>
      <c r="AJ403" s="104" t="e">
        <f t="shared" si="196"/>
        <v>#VALUE!</v>
      </c>
      <c r="AK403" s="104" t="e">
        <f t="shared" si="197"/>
        <v>#N/A</v>
      </c>
      <c r="AL403" s="104" t="e">
        <f t="shared" si="198"/>
        <v>#N/A</v>
      </c>
      <c r="AM403" s="104" t="e">
        <f t="shared" si="199"/>
        <v>#N/A</v>
      </c>
      <c r="AN403" s="104" t="e">
        <f t="shared" si="210"/>
        <v>#N/A</v>
      </c>
      <c r="AO403" s="104" t="e">
        <f t="shared" si="211"/>
        <v>#N/A</v>
      </c>
      <c r="AP403" s="104" t="e">
        <f t="shared" si="212"/>
        <v>#N/A</v>
      </c>
      <c r="AQ403" s="104" t="e">
        <f t="shared" si="213"/>
        <v>#N/A</v>
      </c>
      <c r="AR403" s="105" t="str">
        <f t="shared" si="205"/>
        <v/>
      </c>
      <c r="AS403" s="105" t="str">
        <f t="shared" si="206"/>
        <v/>
      </c>
      <c r="AT403" s="108" t="str">
        <f t="shared" si="207"/>
        <v/>
      </c>
      <c r="AU403" s="108" t="str">
        <f t="shared" si="208"/>
        <v/>
      </c>
      <c r="AV403" s="107" t="str">
        <f>IF(ISNUMBER(O403),IF(VLOOKUP($A403,Stand!C:J,8,FALSE)="Short",AT403,AU403),"")</f>
        <v/>
      </c>
      <c r="AW403" s="109" t="str">
        <f t="shared" si="214"/>
        <v/>
      </c>
      <c r="AX403" s="109" t="str">
        <f t="shared" si="215"/>
        <v/>
      </c>
      <c r="AY403" s="112" t="str">
        <f>IF(ISNUMBER(O403),IF(AND(VLOOKUP($D403,Merchantability!$B:$C,2,0)="Yes",$E403&gt;=VLOOKUP($D403,Merchantability!$B:$D,3,0),$E403&lt;=VLOOKUP($D403,Merchantability!$B:$E,4,0)),(AV403*O403)*(1-$H403/100),""),"")</f>
        <v/>
      </c>
      <c r="AZ403" s="116"/>
      <c r="BA403" s="116"/>
      <c r="BB403" s="116"/>
      <c r="BE403" s="62"/>
      <c r="BF403" s="63"/>
    </row>
    <row r="404" spans="1:58" ht="12.75" customHeight="1" x14ac:dyDescent="0.25">
      <c r="A404" s="313"/>
      <c r="B404" s="328"/>
      <c r="C404" s="329"/>
      <c r="D404" s="328"/>
      <c r="E404" s="330"/>
      <c r="F404" s="331"/>
      <c r="G404" s="329"/>
      <c r="H404" s="329"/>
      <c r="I404" s="328"/>
      <c r="J404" s="329"/>
      <c r="K404" s="329"/>
      <c r="L404" s="329"/>
      <c r="M404" s="76"/>
      <c r="N404" s="103" t="str">
        <f>IF(A404="","",VLOOKUP(A404,Stand!C:K,9,0))</f>
        <v/>
      </c>
      <c r="O404" s="104" t="str">
        <f t="shared" si="200"/>
        <v/>
      </c>
      <c r="P404" s="105" t="str">
        <f t="shared" si="201"/>
        <v/>
      </c>
      <c r="Q404" s="105" t="str">
        <f t="shared" si="189"/>
        <v/>
      </c>
      <c r="R404" s="103" t="str">
        <f t="shared" si="202"/>
        <v/>
      </c>
      <c r="S404" s="103" t="str">
        <f t="shared" si="203"/>
        <v/>
      </c>
      <c r="T404" s="106" t="str">
        <f t="shared" si="190"/>
        <v/>
      </c>
      <c r="U404" s="106" t="str">
        <f t="shared" si="191"/>
        <v/>
      </c>
      <c r="V404" s="106" t="str">
        <f t="shared" si="192"/>
        <v/>
      </c>
      <c r="W404" s="105" t="str">
        <f t="shared" si="204"/>
        <v/>
      </c>
      <c r="X404" s="104" t="str">
        <f t="shared" si="209"/>
        <v/>
      </c>
      <c r="Y404" s="104" t="str">
        <f t="array" ref="Y404">IFERROR(IF(ISNUMBER(O404),IF(COUNT(IF(A404=$A$2:$A$2427,IF(D404=$D$2:$D$2427,IF($X$2:$X$2427&gt;0,1))))&gt;0,SUM(IF(A404=$A$2:$A$2427,IF(D404=$D$2:$D$2427,$X$2:$X$2427)))/COUNT(IF(A404=$A$2:$A$2427,IF(D404=$D$2:$D$2427,IF(ISNUMBER($X$2:$X$2427),1)))),0),""),0)</f>
        <v/>
      </c>
      <c r="Z404" s="104" t="str">
        <f>IF(ISNUMBER(O404),IF(I404&gt;0,(10^(VLOOKUP(D404,'Species Codes'!B:C,2,0)+VLOOKUP(D404,'Species Codes'!B:D,3,0)*LOG(E404)+VLOOKUP(D404,'Species Codes'!B:E,4,0)*LOG(I404))),0),"")</f>
        <v/>
      </c>
      <c r="AA404" s="104" t="str">
        <f>IFERROR((VLOOKUP(D404,'Species Codes'!B:G,6,0)*Z404)/2000,"")</f>
        <v/>
      </c>
      <c r="AB404" s="104" t="e">
        <f>IF(Z404&gt;0,((IF(OR(D404="DF",D404="RA")=TRUE,EXP(VLOOKUP(D404,'Species Codes'!B:I,8,0)+VLOOKUP(D404,'Species Codes'!B:J,9,0)*(LN((E404*2.54)))),IF(OR(D404="PY",D404="RC",D404="WH",D404="NF")=TRUE,VLOOKUP(D404,'Species Codes'!B:I,8,0)+VLOOKUP(D404,'Species Codes'!B:J,9,0)*((E404*2.54)^2)*(I404*0.3048),IF(OR(D404="MD",D404="BM",D404="GA")=TRUE,((VLOOKUP(D404,'Species Codes'!B:I,8,0)*(((((E404*2.54)+VLOOKUP(D404,'Species Codes'!B:J,9,0))/VLOOKUP(D404,'Species Codes'!B:K,10,0))^VLOOKUP(D404,'Species Codes'!B:L,11,0))*((I404*0.3048)^VLOOKUP(D404,'Species Codes'!B:M,12,0))))-(VLOOKUP(D404,'Species Codes'!B:I,8,0)*((((E404*2.54)^VLOOKUP(D404,'Species Codes'!B:L,11,0))*((I404*0.3048)^VLOOKUP(D404,'Species Codes'!B:M,12,0))))))*35.3*VLOOKUP(D404,'Species Codes'!B:G,6,0)/2.2046,VLOOKUP(D404,'Species Codes'!B:I,8,0)+VLOOKUP(D404,'Species Codes'!B:J,9,0)*(((E404*2.54)/100)^2)*(I404*0.3048)))))*0.0011023),0)</f>
        <v>#N/A</v>
      </c>
      <c r="AC404" s="104" t="e">
        <f>IF(Z404&gt;0,((IF(OR(D404="RA",D404="OA",D404="OT",D404="UN",D404="PC"),EXP(VLOOKUP(D404,'Species Codes'!B:O,14,0)+VLOOKUP(D404,'Species Codes'!B:P,15,0)*LN((E404*2.54)))-EXP(VLOOKUP(D404,'Species Codes'!B:O,14,0)+VLOOKUP(D404,'Species Codes'!B:P,15,0)*LN((E404*2.54)))*(1/(VLOOKUP(D404,'Species Codes'!B:Q,16,0)+VLOOKUP(D404,'Species Codes'!B:R,17,0)*((E404*2.54)^VLOOKUP(D404,'Species Codes'!B:S,18,0)))),IF(OR(D404="BM",D404="MD",D404="OA"),EXP(VLOOKUP(D404,'Species Codes'!B:O,14,0)+VLOOKUP(D404,'Species Codes'!B:P,15,0)*LN((E404*2.54)))*(1-(1/(VLOOKUP(D404,'Species Codes'!B:Q,16,0)+VLOOKUP(D404,'Species Codes'!B:R,17,0)*((E404*2.54)^VLOOKUP(D404,'Species Codes'!B:S,18,0)))))/1000,IF(D404="DF",EXP(VLOOKUP(D404,'Species Codes'!B:O,14,0)+VLOOKUP(D404,'Species Codes'!B:P,15,0)*LN((E404*2.54))),VLOOKUP(D404,'Species Codes'!B:O,14,0)+VLOOKUP(D404,'Species Codes'!B:P,15,0)*(((E404*2.54)/100)^2)*(I404*0.3048)))))*0.0011023),0)</f>
        <v>#N/A</v>
      </c>
      <c r="AD404" s="104" t="e">
        <f t="shared" si="193"/>
        <v>#N/A</v>
      </c>
      <c r="AE404" s="104" t="e">
        <f t="shared" si="194"/>
        <v>#N/A</v>
      </c>
      <c r="AF404" s="104" t="e">
        <f>IF(AND(VLOOKUP($D404,Merchantability!$B:$C,2,0)="Yes",$E404&gt;=VLOOKUP($D404,Merchantability!$B:$D,3,0),$E404&lt;=VLOOKUP($D404,Merchantability!$B:$E,4,0)),AA404,0)</f>
        <v>#N/A</v>
      </c>
      <c r="AG404" s="104" t="e">
        <f>IF(AND(VLOOKUP($D404,Merchantability!$B:$C,2,0)="Yes",$E404&gt;=VLOOKUP($D404,Merchantability!$B:$D,3,0),$E404&lt;=VLOOKUP($D404,Merchantability!$B:$E,4,0)),AB404,0)</f>
        <v>#N/A</v>
      </c>
      <c r="AH404" s="104" t="e">
        <f>IF(AND(VLOOKUP($D404,Merchantability!$B:$C,2,0)="Yes",$E404&gt;=VLOOKUP($D404,Merchantability!$B:$D,3,0),$E404&lt;=VLOOKUP($D404,Merchantability!$B:$E,4,0)),AC404,0)</f>
        <v>#N/A</v>
      </c>
      <c r="AI404" s="104" t="e">
        <f t="shared" si="195"/>
        <v>#N/A</v>
      </c>
      <c r="AJ404" s="104" t="e">
        <f t="shared" si="196"/>
        <v>#VALUE!</v>
      </c>
      <c r="AK404" s="104" t="e">
        <f t="shared" si="197"/>
        <v>#N/A</v>
      </c>
      <c r="AL404" s="104" t="e">
        <f t="shared" si="198"/>
        <v>#N/A</v>
      </c>
      <c r="AM404" s="104" t="e">
        <f t="shared" si="199"/>
        <v>#N/A</v>
      </c>
      <c r="AN404" s="104" t="e">
        <f t="shared" si="210"/>
        <v>#N/A</v>
      </c>
      <c r="AO404" s="104" t="e">
        <f t="shared" si="211"/>
        <v>#N/A</v>
      </c>
      <c r="AP404" s="104" t="e">
        <f t="shared" si="212"/>
        <v>#N/A</v>
      </c>
      <c r="AQ404" s="104" t="e">
        <f t="shared" si="213"/>
        <v>#N/A</v>
      </c>
      <c r="AR404" s="105" t="str">
        <f t="shared" si="205"/>
        <v/>
      </c>
      <c r="AS404" s="105" t="str">
        <f t="shared" si="206"/>
        <v/>
      </c>
      <c r="AT404" s="108" t="str">
        <f t="shared" si="207"/>
        <v/>
      </c>
      <c r="AU404" s="108" t="str">
        <f t="shared" si="208"/>
        <v/>
      </c>
      <c r="AV404" s="107" t="str">
        <f>IF(ISNUMBER(O404),IF(VLOOKUP($A404,Stand!C:J,8,FALSE)="Short",AT404,AU404),"")</f>
        <v/>
      </c>
      <c r="AW404" s="109" t="str">
        <f t="shared" si="214"/>
        <v/>
      </c>
      <c r="AX404" s="109" t="str">
        <f t="shared" si="215"/>
        <v/>
      </c>
      <c r="AY404" s="112" t="str">
        <f>IF(ISNUMBER(O404),IF(AND(VLOOKUP($D404,Merchantability!$B:$C,2,0)="Yes",$E404&gt;=VLOOKUP($D404,Merchantability!$B:$D,3,0),$E404&lt;=VLOOKUP($D404,Merchantability!$B:$E,4,0)),(AV404*O404)*(1-$H404/100),""),"")</f>
        <v/>
      </c>
      <c r="AZ404" s="116"/>
      <c r="BA404" s="116"/>
      <c r="BB404" s="116"/>
      <c r="BE404" s="62"/>
      <c r="BF404" s="63"/>
    </row>
    <row r="405" spans="1:58" ht="12.75" customHeight="1" x14ac:dyDescent="0.25">
      <c r="A405" s="313"/>
      <c r="B405" s="328"/>
      <c r="C405" s="329"/>
      <c r="D405" s="328"/>
      <c r="E405" s="330"/>
      <c r="F405" s="331"/>
      <c r="G405" s="329"/>
      <c r="H405" s="329"/>
      <c r="I405" s="328"/>
      <c r="J405" s="329"/>
      <c r="K405" s="329"/>
      <c r="L405" s="329"/>
      <c r="M405" s="76"/>
      <c r="N405" s="103" t="str">
        <f>IF(A405="","",VLOOKUP(A405,Stand!C:K,9,0))</f>
        <v/>
      </c>
      <c r="O405" s="104" t="str">
        <f t="shared" si="200"/>
        <v/>
      </c>
      <c r="P405" s="105" t="str">
        <f t="shared" si="201"/>
        <v/>
      </c>
      <c r="Q405" s="105" t="str">
        <f t="shared" si="189"/>
        <v/>
      </c>
      <c r="R405" s="103" t="str">
        <f t="shared" si="202"/>
        <v/>
      </c>
      <c r="S405" s="103" t="str">
        <f t="shared" si="203"/>
        <v/>
      </c>
      <c r="T405" s="106" t="str">
        <f t="shared" si="190"/>
        <v/>
      </c>
      <c r="U405" s="106" t="str">
        <f t="shared" si="191"/>
        <v/>
      </c>
      <c r="V405" s="106" t="str">
        <f t="shared" si="192"/>
        <v/>
      </c>
      <c r="W405" s="105" t="str">
        <f t="shared" si="204"/>
        <v/>
      </c>
      <c r="X405" s="104" t="str">
        <f t="shared" si="209"/>
        <v/>
      </c>
      <c r="Y405" s="104" t="str">
        <f t="array" ref="Y405">IFERROR(IF(ISNUMBER(O405),IF(COUNT(IF(A405=$A$2:$A$2427,IF(D405=$D$2:$D$2427,IF($X$2:$X$2427&gt;0,1))))&gt;0,SUM(IF(A405=$A$2:$A$2427,IF(D405=$D$2:$D$2427,$X$2:$X$2427)))/COUNT(IF(A405=$A$2:$A$2427,IF(D405=$D$2:$D$2427,IF(ISNUMBER($X$2:$X$2427),1)))),0),""),0)</f>
        <v/>
      </c>
      <c r="Z405" s="104" t="str">
        <f>IF(ISNUMBER(O405),IF(I405&gt;0,(10^(VLOOKUP(D405,'Species Codes'!B:C,2,0)+VLOOKUP(D405,'Species Codes'!B:D,3,0)*LOG(E405)+VLOOKUP(D405,'Species Codes'!B:E,4,0)*LOG(I405))),0),"")</f>
        <v/>
      </c>
      <c r="AA405" s="104" t="str">
        <f>IFERROR((VLOOKUP(D405,'Species Codes'!B:G,6,0)*Z405)/2000,"")</f>
        <v/>
      </c>
      <c r="AB405" s="104" t="e">
        <f>IF(Z405&gt;0,((IF(OR(D405="DF",D405="RA")=TRUE,EXP(VLOOKUP(D405,'Species Codes'!B:I,8,0)+VLOOKUP(D405,'Species Codes'!B:J,9,0)*(LN((E405*2.54)))),IF(OR(D405="PY",D405="RC",D405="WH",D405="NF")=TRUE,VLOOKUP(D405,'Species Codes'!B:I,8,0)+VLOOKUP(D405,'Species Codes'!B:J,9,0)*((E405*2.54)^2)*(I405*0.3048),IF(OR(D405="MD",D405="BM",D405="GA")=TRUE,((VLOOKUP(D405,'Species Codes'!B:I,8,0)*(((((E405*2.54)+VLOOKUP(D405,'Species Codes'!B:J,9,0))/VLOOKUP(D405,'Species Codes'!B:K,10,0))^VLOOKUP(D405,'Species Codes'!B:L,11,0))*((I405*0.3048)^VLOOKUP(D405,'Species Codes'!B:M,12,0))))-(VLOOKUP(D405,'Species Codes'!B:I,8,0)*((((E405*2.54)^VLOOKUP(D405,'Species Codes'!B:L,11,0))*((I405*0.3048)^VLOOKUP(D405,'Species Codes'!B:M,12,0))))))*35.3*VLOOKUP(D405,'Species Codes'!B:G,6,0)/2.2046,VLOOKUP(D405,'Species Codes'!B:I,8,0)+VLOOKUP(D405,'Species Codes'!B:J,9,0)*(((E405*2.54)/100)^2)*(I405*0.3048)))))*0.0011023),0)</f>
        <v>#N/A</v>
      </c>
      <c r="AC405" s="104" t="e">
        <f>IF(Z405&gt;0,((IF(OR(D405="RA",D405="OA",D405="OT",D405="UN",D405="PC"),EXP(VLOOKUP(D405,'Species Codes'!B:O,14,0)+VLOOKUP(D405,'Species Codes'!B:P,15,0)*LN((E405*2.54)))-EXP(VLOOKUP(D405,'Species Codes'!B:O,14,0)+VLOOKUP(D405,'Species Codes'!B:P,15,0)*LN((E405*2.54)))*(1/(VLOOKUP(D405,'Species Codes'!B:Q,16,0)+VLOOKUP(D405,'Species Codes'!B:R,17,0)*((E405*2.54)^VLOOKUP(D405,'Species Codes'!B:S,18,0)))),IF(OR(D405="BM",D405="MD",D405="OA"),EXP(VLOOKUP(D405,'Species Codes'!B:O,14,0)+VLOOKUP(D405,'Species Codes'!B:P,15,0)*LN((E405*2.54)))*(1-(1/(VLOOKUP(D405,'Species Codes'!B:Q,16,0)+VLOOKUP(D405,'Species Codes'!B:R,17,0)*((E405*2.54)^VLOOKUP(D405,'Species Codes'!B:S,18,0)))))/1000,IF(D405="DF",EXP(VLOOKUP(D405,'Species Codes'!B:O,14,0)+VLOOKUP(D405,'Species Codes'!B:P,15,0)*LN((E405*2.54))),VLOOKUP(D405,'Species Codes'!B:O,14,0)+VLOOKUP(D405,'Species Codes'!B:P,15,0)*(((E405*2.54)/100)^2)*(I405*0.3048)))))*0.0011023),0)</f>
        <v>#N/A</v>
      </c>
      <c r="AD405" s="104" t="e">
        <f t="shared" si="193"/>
        <v>#N/A</v>
      </c>
      <c r="AE405" s="104" t="e">
        <f t="shared" si="194"/>
        <v>#N/A</v>
      </c>
      <c r="AF405" s="104" t="e">
        <f>IF(AND(VLOOKUP($D405,Merchantability!$B:$C,2,0)="Yes",$E405&gt;=VLOOKUP($D405,Merchantability!$B:$D,3,0),$E405&lt;=VLOOKUP($D405,Merchantability!$B:$E,4,0)),AA405,0)</f>
        <v>#N/A</v>
      </c>
      <c r="AG405" s="104" t="e">
        <f>IF(AND(VLOOKUP($D405,Merchantability!$B:$C,2,0)="Yes",$E405&gt;=VLOOKUP($D405,Merchantability!$B:$D,3,0),$E405&lt;=VLOOKUP($D405,Merchantability!$B:$E,4,0)),AB405,0)</f>
        <v>#N/A</v>
      </c>
      <c r="AH405" s="104" t="e">
        <f>IF(AND(VLOOKUP($D405,Merchantability!$B:$C,2,0)="Yes",$E405&gt;=VLOOKUP($D405,Merchantability!$B:$D,3,0),$E405&lt;=VLOOKUP($D405,Merchantability!$B:$E,4,0)),AC405,0)</f>
        <v>#N/A</v>
      </c>
      <c r="AI405" s="104" t="e">
        <f t="shared" si="195"/>
        <v>#N/A</v>
      </c>
      <c r="AJ405" s="104" t="e">
        <f t="shared" si="196"/>
        <v>#VALUE!</v>
      </c>
      <c r="AK405" s="104" t="e">
        <f t="shared" si="197"/>
        <v>#N/A</v>
      </c>
      <c r="AL405" s="104" t="e">
        <f t="shared" si="198"/>
        <v>#N/A</v>
      </c>
      <c r="AM405" s="104" t="e">
        <f t="shared" si="199"/>
        <v>#N/A</v>
      </c>
      <c r="AN405" s="104" t="e">
        <f t="shared" si="210"/>
        <v>#N/A</v>
      </c>
      <c r="AO405" s="104" t="e">
        <f t="shared" si="211"/>
        <v>#N/A</v>
      </c>
      <c r="AP405" s="104" t="e">
        <f t="shared" si="212"/>
        <v>#N/A</v>
      </c>
      <c r="AQ405" s="104" t="e">
        <f t="shared" si="213"/>
        <v>#N/A</v>
      </c>
      <c r="AR405" s="105" t="str">
        <f t="shared" si="205"/>
        <v/>
      </c>
      <c r="AS405" s="105" t="str">
        <f t="shared" si="206"/>
        <v/>
      </c>
      <c r="AT405" s="108" t="str">
        <f t="shared" si="207"/>
        <v/>
      </c>
      <c r="AU405" s="108" t="str">
        <f t="shared" si="208"/>
        <v/>
      </c>
      <c r="AV405" s="107" t="str">
        <f>IF(ISNUMBER(O405),IF(VLOOKUP($A405,Stand!C:J,8,FALSE)="Short",AT405,AU405),"")</f>
        <v/>
      </c>
      <c r="AW405" s="109" t="str">
        <f t="shared" si="214"/>
        <v/>
      </c>
      <c r="AX405" s="109" t="str">
        <f t="shared" si="215"/>
        <v/>
      </c>
      <c r="AY405" s="112" t="str">
        <f>IF(ISNUMBER(O405),IF(AND(VLOOKUP($D405,Merchantability!$B:$C,2,0)="Yes",$E405&gt;=VLOOKUP($D405,Merchantability!$B:$D,3,0),$E405&lt;=VLOOKUP($D405,Merchantability!$B:$E,4,0)),(AV405*O405)*(1-$H405/100),""),"")</f>
        <v/>
      </c>
      <c r="AZ405" s="116"/>
      <c r="BA405" s="116"/>
      <c r="BB405" s="116"/>
      <c r="BE405" s="62"/>
      <c r="BF405" s="63"/>
    </row>
    <row r="406" spans="1:58" ht="12.75" customHeight="1" x14ac:dyDescent="0.25">
      <c r="A406" s="313"/>
      <c r="B406" s="328"/>
      <c r="C406" s="329"/>
      <c r="D406" s="328"/>
      <c r="E406" s="330"/>
      <c r="F406" s="331"/>
      <c r="G406" s="329"/>
      <c r="H406" s="329"/>
      <c r="I406" s="328"/>
      <c r="J406" s="329"/>
      <c r="K406" s="329"/>
      <c r="L406" s="329"/>
      <c r="M406" s="76"/>
      <c r="N406" s="103" t="str">
        <f>IF(A406="","",VLOOKUP(A406,Stand!C:K,9,0))</f>
        <v/>
      </c>
      <c r="O406" s="104" t="str">
        <f t="shared" si="200"/>
        <v/>
      </c>
      <c r="P406" s="105" t="str">
        <f t="shared" si="201"/>
        <v/>
      </c>
      <c r="Q406" s="105" t="str">
        <f t="shared" si="189"/>
        <v/>
      </c>
      <c r="R406" s="103" t="str">
        <f t="shared" si="202"/>
        <v/>
      </c>
      <c r="S406" s="103" t="str">
        <f t="shared" si="203"/>
        <v/>
      </c>
      <c r="T406" s="106" t="str">
        <f t="shared" si="190"/>
        <v/>
      </c>
      <c r="U406" s="106" t="str">
        <f t="shared" si="191"/>
        <v/>
      </c>
      <c r="V406" s="106" t="str">
        <f t="shared" si="192"/>
        <v/>
      </c>
      <c r="W406" s="105" t="str">
        <f t="shared" si="204"/>
        <v/>
      </c>
      <c r="X406" s="104" t="str">
        <f t="shared" si="209"/>
        <v/>
      </c>
      <c r="Y406" s="104" t="str">
        <f t="array" ref="Y406">IFERROR(IF(ISNUMBER(O406),IF(COUNT(IF(A406=$A$2:$A$2427,IF(D406=$D$2:$D$2427,IF($X$2:$X$2427&gt;0,1))))&gt;0,SUM(IF(A406=$A$2:$A$2427,IF(D406=$D$2:$D$2427,$X$2:$X$2427)))/COUNT(IF(A406=$A$2:$A$2427,IF(D406=$D$2:$D$2427,IF(ISNUMBER($X$2:$X$2427),1)))),0),""),0)</f>
        <v/>
      </c>
      <c r="Z406" s="104" t="str">
        <f>IF(ISNUMBER(O406),IF(I406&gt;0,(10^(VLOOKUP(D406,'Species Codes'!B:C,2,0)+VLOOKUP(D406,'Species Codes'!B:D,3,0)*LOG(E406)+VLOOKUP(D406,'Species Codes'!B:E,4,0)*LOG(I406))),0),"")</f>
        <v/>
      </c>
      <c r="AA406" s="104" t="str">
        <f>IFERROR((VLOOKUP(D406,'Species Codes'!B:G,6,0)*Z406)/2000,"")</f>
        <v/>
      </c>
      <c r="AB406" s="104" t="e">
        <f>IF(Z406&gt;0,((IF(OR(D406="DF",D406="RA")=TRUE,EXP(VLOOKUP(D406,'Species Codes'!B:I,8,0)+VLOOKUP(D406,'Species Codes'!B:J,9,0)*(LN((E406*2.54)))),IF(OR(D406="PY",D406="RC",D406="WH",D406="NF")=TRUE,VLOOKUP(D406,'Species Codes'!B:I,8,0)+VLOOKUP(D406,'Species Codes'!B:J,9,0)*((E406*2.54)^2)*(I406*0.3048),IF(OR(D406="MD",D406="BM",D406="GA")=TRUE,((VLOOKUP(D406,'Species Codes'!B:I,8,0)*(((((E406*2.54)+VLOOKUP(D406,'Species Codes'!B:J,9,0))/VLOOKUP(D406,'Species Codes'!B:K,10,0))^VLOOKUP(D406,'Species Codes'!B:L,11,0))*((I406*0.3048)^VLOOKUP(D406,'Species Codes'!B:M,12,0))))-(VLOOKUP(D406,'Species Codes'!B:I,8,0)*((((E406*2.54)^VLOOKUP(D406,'Species Codes'!B:L,11,0))*((I406*0.3048)^VLOOKUP(D406,'Species Codes'!B:M,12,0))))))*35.3*VLOOKUP(D406,'Species Codes'!B:G,6,0)/2.2046,VLOOKUP(D406,'Species Codes'!B:I,8,0)+VLOOKUP(D406,'Species Codes'!B:J,9,0)*(((E406*2.54)/100)^2)*(I406*0.3048)))))*0.0011023),0)</f>
        <v>#N/A</v>
      </c>
      <c r="AC406" s="104" t="e">
        <f>IF(Z406&gt;0,((IF(OR(D406="RA",D406="OA",D406="OT",D406="UN",D406="PC"),EXP(VLOOKUP(D406,'Species Codes'!B:O,14,0)+VLOOKUP(D406,'Species Codes'!B:P,15,0)*LN((E406*2.54)))-EXP(VLOOKUP(D406,'Species Codes'!B:O,14,0)+VLOOKUP(D406,'Species Codes'!B:P,15,0)*LN((E406*2.54)))*(1/(VLOOKUP(D406,'Species Codes'!B:Q,16,0)+VLOOKUP(D406,'Species Codes'!B:R,17,0)*((E406*2.54)^VLOOKUP(D406,'Species Codes'!B:S,18,0)))),IF(OR(D406="BM",D406="MD",D406="OA"),EXP(VLOOKUP(D406,'Species Codes'!B:O,14,0)+VLOOKUP(D406,'Species Codes'!B:P,15,0)*LN((E406*2.54)))*(1-(1/(VLOOKUP(D406,'Species Codes'!B:Q,16,0)+VLOOKUP(D406,'Species Codes'!B:R,17,0)*((E406*2.54)^VLOOKUP(D406,'Species Codes'!B:S,18,0)))))/1000,IF(D406="DF",EXP(VLOOKUP(D406,'Species Codes'!B:O,14,0)+VLOOKUP(D406,'Species Codes'!B:P,15,0)*LN((E406*2.54))),VLOOKUP(D406,'Species Codes'!B:O,14,0)+VLOOKUP(D406,'Species Codes'!B:P,15,0)*(((E406*2.54)/100)^2)*(I406*0.3048)))))*0.0011023),0)</f>
        <v>#N/A</v>
      </c>
      <c r="AD406" s="104" t="e">
        <f t="shared" si="193"/>
        <v>#N/A</v>
      </c>
      <c r="AE406" s="104" t="e">
        <f t="shared" si="194"/>
        <v>#N/A</v>
      </c>
      <c r="AF406" s="104" t="e">
        <f>IF(AND(VLOOKUP($D406,Merchantability!$B:$C,2,0)="Yes",$E406&gt;=VLOOKUP($D406,Merchantability!$B:$D,3,0),$E406&lt;=VLOOKUP($D406,Merchantability!$B:$E,4,0)),AA406,0)</f>
        <v>#N/A</v>
      </c>
      <c r="AG406" s="104" t="e">
        <f>IF(AND(VLOOKUP($D406,Merchantability!$B:$C,2,0)="Yes",$E406&gt;=VLOOKUP($D406,Merchantability!$B:$D,3,0),$E406&lt;=VLOOKUP($D406,Merchantability!$B:$E,4,0)),AB406,0)</f>
        <v>#N/A</v>
      </c>
      <c r="AH406" s="104" t="e">
        <f>IF(AND(VLOOKUP($D406,Merchantability!$B:$C,2,0)="Yes",$E406&gt;=VLOOKUP($D406,Merchantability!$B:$D,3,0),$E406&lt;=VLOOKUP($D406,Merchantability!$B:$E,4,0)),AC406,0)</f>
        <v>#N/A</v>
      </c>
      <c r="AI406" s="104" t="e">
        <f t="shared" si="195"/>
        <v>#N/A</v>
      </c>
      <c r="AJ406" s="104" t="e">
        <f t="shared" si="196"/>
        <v>#VALUE!</v>
      </c>
      <c r="AK406" s="104" t="e">
        <f t="shared" si="197"/>
        <v>#N/A</v>
      </c>
      <c r="AL406" s="104" t="e">
        <f t="shared" si="198"/>
        <v>#N/A</v>
      </c>
      <c r="AM406" s="104" t="e">
        <f t="shared" si="199"/>
        <v>#N/A</v>
      </c>
      <c r="AN406" s="104" t="e">
        <f t="shared" si="210"/>
        <v>#N/A</v>
      </c>
      <c r="AO406" s="104" t="e">
        <f t="shared" si="211"/>
        <v>#N/A</v>
      </c>
      <c r="AP406" s="104" t="e">
        <f t="shared" si="212"/>
        <v>#N/A</v>
      </c>
      <c r="AQ406" s="104" t="e">
        <f t="shared" si="213"/>
        <v>#N/A</v>
      </c>
      <c r="AR406" s="105" t="str">
        <f t="shared" si="205"/>
        <v/>
      </c>
      <c r="AS406" s="105" t="str">
        <f t="shared" si="206"/>
        <v/>
      </c>
      <c r="AT406" s="108" t="str">
        <f t="shared" si="207"/>
        <v/>
      </c>
      <c r="AU406" s="108" t="str">
        <f t="shared" si="208"/>
        <v/>
      </c>
      <c r="AV406" s="107" t="str">
        <f>IF(ISNUMBER(O406),IF(VLOOKUP($A406,Stand!C:J,8,FALSE)="Short",AT406,AU406),"")</f>
        <v/>
      </c>
      <c r="AW406" s="109" t="str">
        <f t="shared" si="214"/>
        <v/>
      </c>
      <c r="AX406" s="109" t="str">
        <f t="shared" si="215"/>
        <v/>
      </c>
      <c r="AY406" s="112" t="str">
        <f>IF(ISNUMBER(O406),IF(AND(VLOOKUP($D406,Merchantability!$B:$C,2,0)="Yes",$E406&gt;=VLOOKUP($D406,Merchantability!$B:$D,3,0),$E406&lt;=VLOOKUP($D406,Merchantability!$B:$E,4,0)),(AV406*O406)*(1-$H406/100),""),"")</f>
        <v/>
      </c>
      <c r="AZ406" s="116"/>
      <c r="BA406" s="116"/>
      <c r="BB406" s="116"/>
      <c r="BE406" s="62"/>
      <c r="BF406" s="63"/>
    </row>
    <row r="407" spans="1:58" ht="12.75" customHeight="1" x14ac:dyDescent="0.25">
      <c r="A407" s="313"/>
      <c r="B407" s="328"/>
      <c r="C407" s="329"/>
      <c r="D407" s="328"/>
      <c r="E407" s="330"/>
      <c r="F407" s="331"/>
      <c r="G407" s="329"/>
      <c r="H407" s="329"/>
      <c r="I407" s="328"/>
      <c r="J407" s="329"/>
      <c r="K407" s="329"/>
      <c r="L407" s="329"/>
      <c r="M407" s="76"/>
      <c r="N407" s="103" t="str">
        <f>IF(A407="","",VLOOKUP(A407,Stand!C:K,9,0))</f>
        <v/>
      </c>
      <c r="O407" s="104" t="str">
        <f t="shared" si="200"/>
        <v/>
      </c>
      <c r="P407" s="105" t="str">
        <f t="shared" si="201"/>
        <v/>
      </c>
      <c r="Q407" s="105" t="str">
        <f t="shared" si="189"/>
        <v/>
      </c>
      <c r="R407" s="103" t="str">
        <f t="shared" si="202"/>
        <v/>
      </c>
      <c r="S407" s="103" t="str">
        <f t="shared" si="203"/>
        <v/>
      </c>
      <c r="T407" s="106" t="str">
        <f t="shared" si="190"/>
        <v/>
      </c>
      <c r="U407" s="106" t="str">
        <f t="shared" si="191"/>
        <v/>
      </c>
      <c r="V407" s="106" t="str">
        <f t="shared" si="192"/>
        <v/>
      </c>
      <c r="W407" s="105" t="str">
        <f t="shared" si="204"/>
        <v/>
      </c>
      <c r="X407" s="104" t="str">
        <f t="shared" si="209"/>
        <v/>
      </c>
      <c r="Y407" s="104" t="str">
        <f t="array" ref="Y407">IFERROR(IF(ISNUMBER(O407),IF(COUNT(IF(A407=$A$2:$A$2427,IF(D407=$D$2:$D$2427,IF($X$2:$X$2427&gt;0,1))))&gt;0,SUM(IF(A407=$A$2:$A$2427,IF(D407=$D$2:$D$2427,$X$2:$X$2427)))/COUNT(IF(A407=$A$2:$A$2427,IF(D407=$D$2:$D$2427,IF(ISNUMBER($X$2:$X$2427),1)))),0),""),0)</f>
        <v/>
      </c>
      <c r="Z407" s="104" t="str">
        <f>IF(ISNUMBER(O407),IF(I407&gt;0,(10^(VLOOKUP(D407,'Species Codes'!B:C,2,0)+VLOOKUP(D407,'Species Codes'!B:D,3,0)*LOG(E407)+VLOOKUP(D407,'Species Codes'!B:E,4,0)*LOG(I407))),0),"")</f>
        <v/>
      </c>
      <c r="AA407" s="104" t="str">
        <f>IFERROR((VLOOKUP(D407,'Species Codes'!B:G,6,0)*Z407)/2000,"")</f>
        <v/>
      </c>
      <c r="AB407" s="104" t="e">
        <f>IF(Z407&gt;0,((IF(OR(D407="DF",D407="RA")=TRUE,EXP(VLOOKUP(D407,'Species Codes'!B:I,8,0)+VLOOKUP(D407,'Species Codes'!B:J,9,0)*(LN((E407*2.54)))),IF(OR(D407="PY",D407="RC",D407="WH",D407="NF")=TRUE,VLOOKUP(D407,'Species Codes'!B:I,8,0)+VLOOKUP(D407,'Species Codes'!B:J,9,0)*((E407*2.54)^2)*(I407*0.3048),IF(OR(D407="MD",D407="BM",D407="GA")=TRUE,((VLOOKUP(D407,'Species Codes'!B:I,8,0)*(((((E407*2.54)+VLOOKUP(D407,'Species Codes'!B:J,9,0))/VLOOKUP(D407,'Species Codes'!B:K,10,0))^VLOOKUP(D407,'Species Codes'!B:L,11,0))*((I407*0.3048)^VLOOKUP(D407,'Species Codes'!B:M,12,0))))-(VLOOKUP(D407,'Species Codes'!B:I,8,0)*((((E407*2.54)^VLOOKUP(D407,'Species Codes'!B:L,11,0))*((I407*0.3048)^VLOOKUP(D407,'Species Codes'!B:M,12,0))))))*35.3*VLOOKUP(D407,'Species Codes'!B:G,6,0)/2.2046,VLOOKUP(D407,'Species Codes'!B:I,8,0)+VLOOKUP(D407,'Species Codes'!B:J,9,0)*(((E407*2.54)/100)^2)*(I407*0.3048)))))*0.0011023),0)</f>
        <v>#N/A</v>
      </c>
      <c r="AC407" s="104" t="e">
        <f>IF(Z407&gt;0,((IF(OR(D407="RA",D407="OA",D407="OT",D407="UN",D407="PC"),EXP(VLOOKUP(D407,'Species Codes'!B:O,14,0)+VLOOKUP(D407,'Species Codes'!B:P,15,0)*LN((E407*2.54)))-EXP(VLOOKUP(D407,'Species Codes'!B:O,14,0)+VLOOKUP(D407,'Species Codes'!B:P,15,0)*LN((E407*2.54)))*(1/(VLOOKUP(D407,'Species Codes'!B:Q,16,0)+VLOOKUP(D407,'Species Codes'!B:R,17,0)*((E407*2.54)^VLOOKUP(D407,'Species Codes'!B:S,18,0)))),IF(OR(D407="BM",D407="MD",D407="OA"),EXP(VLOOKUP(D407,'Species Codes'!B:O,14,0)+VLOOKUP(D407,'Species Codes'!B:P,15,0)*LN((E407*2.54)))*(1-(1/(VLOOKUP(D407,'Species Codes'!B:Q,16,0)+VLOOKUP(D407,'Species Codes'!B:R,17,0)*((E407*2.54)^VLOOKUP(D407,'Species Codes'!B:S,18,0)))))/1000,IF(D407="DF",EXP(VLOOKUP(D407,'Species Codes'!B:O,14,0)+VLOOKUP(D407,'Species Codes'!B:P,15,0)*LN((E407*2.54))),VLOOKUP(D407,'Species Codes'!B:O,14,0)+VLOOKUP(D407,'Species Codes'!B:P,15,0)*(((E407*2.54)/100)^2)*(I407*0.3048)))))*0.0011023),0)</f>
        <v>#N/A</v>
      </c>
      <c r="AD407" s="104" t="e">
        <f t="shared" si="193"/>
        <v>#N/A</v>
      </c>
      <c r="AE407" s="104" t="e">
        <f t="shared" si="194"/>
        <v>#N/A</v>
      </c>
      <c r="AF407" s="104" t="e">
        <f>IF(AND(VLOOKUP($D407,Merchantability!$B:$C,2,0)="Yes",$E407&gt;=VLOOKUP($D407,Merchantability!$B:$D,3,0),$E407&lt;=VLOOKUP($D407,Merchantability!$B:$E,4,0)),AA407,0)</f>
        <v>#N/A</v>
      </c>
      <c r="AG407" s="104" t="e">
        <f>IF(AND(VLOOKUP($D407,Merchantability!$B:$C,2,0)="Yes",$E407&gt;=VLOOKUP($D407,Merchantability!$B:$D,3,0),$E407&lt;=VLOOKUP($D407,Merchantability!$B:$E,4,0)),AB407,0)</f>
        <v>#N/A</v>
      </c>
      <c r="AH407" s="104" t="e">
        <f>IF(AND(VLOOKUP($D407,Merchantability!$B:$C,2,0)="Yes",$E407&gt;=VLOOKUP($D407,Merchantability!$B:$D,3,0),$E407&lt;=VLOOKUP($D407,Merchantability!$B:$E,4,0)),AC407,0)</f>
        <v>#N/A</v>
      </c>
      <c r="AI407" s="104" t="e">
        <f t="shared" si="195"/>
        <v>#N/A</v>
      </c>
      <c r="AJ407" s="104" t="e">
        <f t="shared" si="196"/>
        <v>#VALUE!</v>
      </c>
      <c r="AK407" s="104" t="e">
        <f t="shared" si="197"/>
        <v>#N/A</v>
      </c>
      <c r="AL407" s="104" t="e">
        <f t="shared" si="198"/>
        <v>#N/A</v>
      </c>
      <c r="AM407" s="104" t="e">
        <f t="shared" si="199"/>
        <v>#N/A</v>
      </c>
      <c r="AN407" s="104" t="e">
        <f t="shared" si="210"/>
        <v>#N/A</v>
      </c>
      <c r="AO407" s="104" t="e">
        <f t="shared" si="211"/>
        <v>#N/A</v>
      </c>
      <c r="AP407" s="104" t="e">
        <f t="shared" si="212"/>
        <v>#N/A</v>
      </c>
      <c r="AQ407" s="104" t="e">
        <f t="shared" si="213"/>
        <v>#N/A</v>
      </c>
      <c r="AR407" s="105" t="str">
        <f t="shared" si="205"/>
        <v/>
      </c>
      <c r="AS407" s="105" t="str">
        <f t="shared" si="206"/>
        <v/>
      </c>
      <c r="AT407" s="108" t="str">
        <f t="shared" si="207"/>
        <v/>
      </c>
      <c r="AU407" s="108" t="str">
        <f t="shared" si="208"/>
        <v/>
      </c>
      <c r="AV407" s="107" t="str">
        <f>IF(ISNUMBER(O407),IF(VLOOKUP($A407,Stand!C:J,8,FALSE)="Short",AT407,AU407),"")</f>
        <v/>
      </c>
      <c r="AW407" s="109" t="str">
        <f t="shared" si="214"/>
        <v/>
      </c>
      <c r="AX407" s="109" t="str">
        <f t="shared" si="215"/>
        <v/>
      </c>
      <c r="AY407" s="112" t="str">
        <f>IF(ISNUMBER(O407),IF(AND(VLOOKUP($D407,Merchantability!$B:$C,2,0)="Yes",$E407&gt;=VLOOKUP($D407,Merchantability!$B:$D,3,0),$E407&lt;=VLOOKUP($D407,Merchantability!$B:$E,4,0)),(AV407*O407)*(1-$H407/100),""),"")</f>
        <v/>
      </c>
      <c r="AZ407" s="116"/>
      <c r="BA407" s="116"/>
      <c r="BB407" s="116"/>
      <c r="BE407" s="62"/>
      <c r="BF407" s="63"/>
    </row>
    <row r="408" spans="1:58" ht="12.75" customHeight="1" x14ac:dyDescent="0.25">
      <c r="A408" s="313"/>
      <c r="B408" s="328"/>
      <c r="C408" s="329"/>
      <c r="D408" s="328"/>
      <c r="E408" s="330"/>
      <c r="F408" s="331"/>
      <c r="G408" s="329"/>
      <c r="H408" s="329"/>
      <c r="I408" s="328"/>
      <c r="J408" s="329"/>
      <c r="K408" s="329"/>
      <c r="L408" s="329"/>
      <c r="M408" s="76"/>
      <c r="N408" s="103" t="str">
        <f>IF(A408="","",VLOOKUP(A408,Stand!C:K,9,0))</f>
        <v/>
      </c>
      <c r="O408" s="104" t="str">
        <f t="shared" si="200"/>
        <v/>
      </c>
      <c r="P408" s="105" t="str">
        <f t="shared" si="201"/>
        <v/>
      </c>
      <c r="Q408" s="105" t="str">
        <f t="shared" si="189"/>
        <v/>
      </c>
      <c r="R408" s="103" t="str">
        <f t="shared" si="202"/>
        <v/>
      </c>
      <c r="S408" s="103" t="str">
        <f t="shared" si="203"/>
        <v/>
      </c>
      <c r="T408" s="106" t="str">
        <f t="shared" si="190"/>
        <v/>
      </c>
      <c r="U408" s="106" t="str">
        <f t="shared" si="191"/>
        <v/>
      </c>
      <c r="V408" s="106" t="str">
        <f t="shared" si="192"/>
        <v/>
      </c>
      <c r="W408" s="105" t="str">
        <f t="shared" si="204"/>
        <v/>
      </c>
      <c r="X408" s="104" t="str">
        <f t="shared" si="209"/>
        <v/>
      </c>
      <c r="Y408" s="104" t="str">
        <f t="array" ref="Y408">IFERROR(IF(ISNUMBER(O408),IF(COUNT(IF(A408=$A$2:$A$2427,IF(D408=$D$2:$D$2427,IF($X$2:$X$2427&gt;0,1))))&gt;0,SUM(IF(A408=$A$2:$A$2427,IF(D408=$D$2:$D$2427,$X$2:$X$2427)))/COUNT(IF(A408=$A$2:$A$2427,IF(D408=$D$2:$D$2427,IF(ISNUMBER($X$2:$X$2427),1)))),0),""),0)</f>
        <v/>
      </c>
      <c r="Z408" s="104" t="str">
        <f>IF(ISNUMBER(O408),IF(I408&gt;0,(10^(VLOOKUP(D408,'Species Codes'!B:C,2,0)+VLOOKUP(D408,'Species Codes'!B:D,3,0)*LOG(E408)+VLOOKUP(D408,'Species Codes'!B:E,4,0)*LOG(I408))),0),"")</f>
        <v/>
      </c>
      <c r="AA408" s="104" t="str">
        <f>IFERROR((VLOOKUP(D408,'Species Codes'!B:G,6,0)*Z408)/2000,"")</f>
        <v/>
      </c>
      <c r="AB408" s="104" t="e">
        <f>IF(Z408&gt;0,((IF(OR(D408="DF",D408="RA")=TRUE,EXP(VLOOKUP(D408,'Species Codes'!B:I,8,0)+VLOOKUP(D408,'Species Codes'!B:J,9,0)*(LN((E408*2.54)))),IF(OR(D408="PY",D408="RC",D408="WH",D408="NF")=TRUE,VLOOKUP(D408,'Species Codes'!B:I,8,0)+VLOOKUP(D408,'Species Codes'!B:J,9,0)*((E408*2.54)^2)*(I408*0.3048),IF(OR(D408="MD",D408="BM",D408="GA")=TRUE,((VLOOKUP(D408,'Species Codes'!B:I,8,0)*(((((E408*2.54)+VLOOKUP(D408,'Species Codes'!B:J,9,0))/VLOOKUP(D408,'Species Codes'!B:K,10,0))^VLOOKUP(D408,'Species Codes'!B:L,11,0))*((I408*0.3048)^VLOOKUP(D408,'Species Codes'!B:M,12,0))))-(VLOOKUP(D408,'Species Codes'!B:I,8,0)*((((E408*2.54)^VLOOKUP(D408,'Species Codes'!B:L,11,0))*((I408*0.3048)^VLOOKUP(D408,'Species Codes'!B:M,12,0))))))*35.3*VLOOKUP(D408,'Species Codes'!B:G,6,0)/2.2046,VLOOKUP(D408,'Species Codes'!B:I,8,0)+VLOOKUP(D408,'Species Codes'!B:J,9,0)*(((E408*2.54)/100)^2)*(I408*0.3048)))))*0.0011023),0)</f>
        <v>#N/A</v>
      </c>
      <c r="AC408" s="104" t="e">
        <f>IF(Z408&gt;0,((IF(OR(D408="RA",D408="OA",D408="OT",D408="UN",D408="PC"),EXP(VLOOKUP(D408,'Species Codes'!B:O,14,0)+VLOOKUP(D408,'Species Codes'!B:P,15,0)*LN((E408*2.54)))-EXP(VLOOKUP(D408,'Species Codes'!B:O,14,0)+VLOOKUP(D408,'Species Codes'!B:P,15,0)*LN((E408*2.54)))*(1/(VLOOKUP(D408,'Species Codes'!B:Q,16,0)+VLOOKUP(D408,'Species Codes'!B:R,17,0)*((E408*2.54)^VLOOKUP(D408,'Species Codes'!B:S,18,0)))),IF(OR(D408="BM",D408="MD",D408="OA"),EXP(VLOOKUP(D408,'Species Codes'!B:O,14,0)+VLOOKUP(D408,'Species Codes'!B:P,15,0)*LN((E408*2.54)))*(1-(1/(VLOOKUP(D408,'Species Codes'!B:Q,16,0)+VLOOKUP(D408,'Species Codes'!B:R,17,0)*((E408*2.54)^VLOOKUP(D408,'Species Codes'!B:S,18,0)))))/1000,IF(D408="DF",EXP(VLOOKUP(D408,'Species Codes'!B:O,14,0)+VLOOKUP(D408,'Species Codes'!B:P,15,0)*LN((E408*2.54))),VLOOKUP(D408,'Species Codes'!B:O,14,0)+VLOOKUP(D408,'Species Codes'!B:P,15,0)*(((E408*2.54)/100)^2)*(I408*0.3048)))))*0.0011023),0)</f>
        <v>#N/A</v>
      </c>
      <c r="AD408" s="104" t="e">
        <f t="shared" si="193"/>
        <v>#N/A</v>
      </c>
      <c r="AE408" s="104" t="e">
        <f t="shared" si="194"/>
        <v>#N/A</v>
      </c>
      <c r="AF408" s="104" t="e">
        <f>IF(AND(VLOOKUP($D408,Merchantability!$B:$C,2,0)="Yes",$E408&gt;=VLOOKUP($D408,Merchantability!$B:$D,3,0),$E408&lt;=VLOOKUP($D408,Merchantability!$B:$E,4,0)),AA408,0)</f>
        <v>#N/A</v>
      </c>
      <c r="AG408" s="104" t="e">
        <f>IF(AND(VLOOKUP($D408,Merchantability!$B:$C,2,0)="Yes",$E408&gt;=VLOOKUP($D408,Merchantability!$B:$D,3,0),$E408&lt;=VLOOKUP($D408,Merchantability!$B:$E,4,0)),AB408,0)</f>
        <v>#N/A</v>
      </c>
      <c r="AH408" s="104" t="e">
        <f>IF(AND(VLOOKUP($D408,Merchantability!$B:$C,2,0)="Yes",$E408&gt;=VLOOKUP($D408,Merchantability!$B:$D,3,0),$E408&lt;=VLOOKUP($D408,Merchantability!$B:$E,4,0)),AC408,0)</f>
        <v>#N/A</v>
      </c>
      <c r="AI408" s="104" t="e">
        <f t="shared" si="195"/>
        <v>#N/A</v>
      </c>
      <c r="AJ408" s="104" t="e">
        <f t="shared" si="196"/>
        <v>#VALUE!</v>
      </c>
      <c r="AK408" s="104" t="e">
        <f t="shared" si="197"/>
        <v>#N/A</v>
      </c>
      <c r="AL408" s="104" t="e">
        <f t="shared" si="198"/>
        <v>#N/A</v>
      </c>
      <c r="AM408" s="104" t="e">
        <f t="shared" si="199"/>
        <v>#N/A</v>
      </c>
      <c r="AN408" s="104" t="e">
        <f t="shared" si="210"/>
        <v>#N/A</v>
      </c>
      <c r="AO408" s="104" t="e">
        <f t="shared" si="211"/>
        <v>#N/A</v>
      </c>
      <c r="AP408" s="104" t="e">
        <f t="shared" si="212"/>
        <v>#N/A</v>
      </c>
      <c r="AQ408" s="104" t="e">
        <f t="shared" si="213"/>
        <v>#N/A</v>
      </c>
      <c r="AR408" s="105" t="str">
        <f t="shared" si="205"/>
        <v/>
      </c>
      <c r="AS408" s="105" t="str">
        <f t="shared" si="206"/>
        <v/>
      </c>
      <c r="AT408" s="108" t="str">
        <f t="shared" si="207"/>
        <v/>
      </c>
      <c r="AU408" s="108" t="str">
        <f t="shared" si="208"/>
        <v/>
      </c>
      <c r="AV408" s="107" t="str">
        <f>IF(ISNUMBER(O408),IF(VLOOKUP($A408,Stand!C:J,8,FALSE)="Short",AT408,AU408),"")</f>
        <v/>
      </c>
      <c r="AW408" s="109" t="str">
        <f t="shared" si="214"/>
        <v/>
      </c>
      <c r="AX408" s="109" t="str">
        <f t="shared" si="215"/>
        <v/>
      </c>
      <c r="AY408" s="112" t="str">
        <f>IF(ISNUMBER(O408),IF(AND(VLOOKUP($D408,Merchantability!$B:$C,2,0)="Yes",$E408&gt;=VLOOKUP($D408,Merchantability!$B:$D,3,0),$E408&lt;=VLOOKUP($D408,Merchantability!$B:$E,4,0)),(AV408*O408)*(1-$H408/100),""),"")</f>
        <v/>
      </c>
      <c r="AZ408" s="116"/>
      <c r="BA408" s="116"/>
      <c r="BB408" s="116"/>
      <c r="BE408" s="62"/>
      <c r="BF408" s="63"/>
    </row>
    <row r="409" spans="1:58" ht="12.75" customHeight="1" x14ac:dyDescent="0.25">
      <c r="A409" s="313"/>
      <c r="B409" s="328"/>
      <c r="C409" s="329"/>
      <c r="D409" s="328"/>
      <c r="E409" s="330"/>
      <c r="F409" s="331"/>
      <c r="G409" s="329"/>
      <c r="H409" s="329"/>
      <c r="I409" s="328"/>
      <c r="J409" s="329"/>
      <c r="K409" s="329"/>
      <c r="L409" s="329"/>
      <c r="M409" s="76"/>
      <c r="N409" s="103" t="str">
        <f>IF(A409="","",VLOOKUP(A409,Stand!C:K,9,0))</f>
        <v/>
      </c>
      <c r="O409" s="104" t="str">
        <f t="shared" si="200"/>
        <v/>
      </c>
      <c r="P409" s="105" t="str">
        <f t="shared" si="201"/>
        <v/>
      </c>
      <c r="Q409" s="105" t="str">
        <f t="shared" si="189"/>
        <v/>
      </c>
      <c r="R409" s="103" t="str">
        <f t="shared" si="202"/>
        <v/>
      </c>
      <c r="S409" s="103" t="str">
        <f t="shared" si="203"/>
        <v/>
      </c>
      <c r="T409" s="106" t="str">
        <f t="shared" si="190"/>
        <v/>
      </c>
      <c r="U409" s="106" t="str">
        <f t="shared" si="191"/>
        <v/>
      </c>
      <c r="V409" s="106" t="str">
        <f t="shared" si="192"/>
        <v/>
      </c>
      <c r="W409" s="105" t="str">
        <f t="shared" si="204"/>
        <v/>
      </c>
      <c r="X409" s="104" t="str">
        <f t="shared" si="209"/>
        <v/>
      </c>
      <c r="Y409" s="104" t="str">
        <f t="array" ref="Y409">IFERROR(IF(ISNUMBER(O409),IF(COUNT(IF(A409=$A$2:$A$2427,IF(D409=$D$2:$D$2427,IF($X$2:$X$2427&gt;0,1))))&gt;0,SUM(IF(A409=$A$2:$A$2427,IF(D409=$D$2:$D$2427,$X$2:$X$2427)))/COUNT(IF(A409=$A$2:$A$2427,IF(D409=$D$2:$D$2427,IF(ISNUMBER($X$2:$X$2427),1)))),0),""),0)</f>
        <v/>
      </c>
      <c r="Z409" s="104" t="str">
        <f>IF(ISNUMBER(O409),IF(I409&gt;0,(10^(VLOOKUP(D409,'Species Codes'!B:C,2,0)+VLOOKUP(D409,'Species Codes'!B:D,3,0)*LOG(E409)+VLOOKUP(D409,'Species Codes'!B:E,4,0)*LOG(I409))),0),"")</f>
        <v/>
      </c>
      <c r="AA409" s="104" t="str">
        <f>IFERROR((VLOOKUP(D409,'Species Codes'!B:G,6,0)*Z409)/2000,"")</f>
        <v/>
      </c>
      <c r="AB409" s="104" t="e">
        <f>IF(Z409&gt;0,((IF(OR(D409="DF",D409="RA")=TRUE,EXP(VLOOKUP(D409,'Species Codes'!B:I,8,0)+VLOOKUP(D409,'Species Codes'!B:J,9,0)*(LN((E409*2.54)))),IF(OR(D409="PY",D409="RC",D409="WH",D409="NF")=TRUE,VLOOKUP(D409,'Species Codes'!B:I,8,0)+VLOOKUP(D409,'Species Codes'!B:J,9,0)*((E409*2.54)^2)*(I409*0.3048),IF(OR(D409="MD",D409="BM",D409="GA")=TRUE,((VLOOKUP(D409,'Species Codes'!B:I,8,0)*(((((E409*2.54)+VLOOKUP(D409,'Species Codes'!B:J,9,0))/VLOOKUP(D409,'Species Codes'!B:K,10,0))^VLOOKUP(D409,'Species Codes'!B:L,11,0))*((I409*0.3048)^VLOOKUP(D409,'Species Codes'!B:M,12,0))))-(VLOOKUP(D409,'Species Codes'!B:I,8,0)*((((E409*2.54)^VLOOKUP(D409,'Species Codes'!B:L,11,0))*((I409*0.3048)^VLOOKUP(D409,'Species Codes'!B:M,12,0))))))*35.3*VLOOKUP(D409,'Species Codes'!B:G,6,0)/2.2046,VLOOKUP(D409,'Species Codes'!B:I,8,0)+VLOOKUP(D409,'Species Codes'!B:J,9,0)*(((E409*2.54)/100)^2)*(I409*0.3048)))))*0.0011023),0)</f>
        <v>#N/A</v>
      </c>
      <c r="AC409" s="104" t="e">
        <f>IF(Z409&gt;0,((IF(OR(D409="RA",D409="OA",D409="OT",D409="UN",D409="PC"),EXP(VLOOKUP(D409,'Species Codes'!B:O,14,0)+VLOOKUP(D409,'Species Codes'!B:P,15,0)*LN((E409*2.54)))-EXP(VLOOKUP(D409,'Species Codes'!B:O,14,0)+VLOOKUP(D409,'Species Codes'!B:P,15,0)*LN((E409*2.54)))*(1/(VLOOKUP(D409,'Species Codes'!B:Q,16,0)+VLOOKUP(D409,'Species Codes'!B:R,17,0)*((E409*2.54)^VLOOKUP(D409,'Species Codes'!B:S,18,0)))),IF(OR(D409="BM",D409="MD",D409="OA"),EXP(VLOOKUP(D409,'Species Codes'!B:O,14,0)+VLOOKUP(D409,'Species Codes'!B:P,15,0)*LN((E409*2.54)))*(1-(1/(VLOOKUP(D409,'Species Codes'!B:Q,16,0)+VLOOKUP(D409,'Species Codes'!B:R,17,0)*((E409*2.54)^VLOOKUP(D409,'Species Codes'!B:S,18,0)))))/1000,IF(D409="DF",EXP(VLOOKUP(D409,'Species Codes'!B:O,14,0)+VLOOKUP(D409,'Species Codes'!B:P,15,0)*LN((E409*2.54))),VLOOKUP(D409,'Species Codes'!B:O,14,0)+VLOOKUP(D409,'Species Codes'!B:P,15,0)*(((E409*2.54)/100)^2)*(I409*0.3048)))))*0.0011023),0)</f>
        <v>#N/A</v>
      </c>
      <c r="AD409" s="104" t="e">
        <f t="shared" si="193"/>
        <v>#N/A</v>
      </c>
      <c r="AE409" s="104" t="e">
        <f t="shared" si="194"/>
        <v>#N/A</v>
      </c>
      <c r="AF409" s="104" t="e">
        <f>IF(AND(VLOOKUP($D409,Merchantability!$B:$C,2,0)="Yes",$E409&gt;=VLOOKUP($D409,Merchantability!$B:$D,3,0),$E409&lt;=VLOOKUP($D409,Merchantability!$B:$E,4,0)),AA409,0)</f>
        <v>#N/A</v>
      </c>
      <c r="AG409" s="104" t="e">
        <f>IF(AND(VLOOKUP($D409,Merchantability!$B:$C,2,0)="Yes",$E409&gt;=VLOOKUP($D409,Merchantability!$B:$D,3,0),$E409&lt;=VLOOKUP($D409,Merchantability!$B:$E,4,0)),AB409,0)</f>
        <v>#N/A</v>
      </c>
      <c r="AH409" s="104" t="e">
        <f>IF(AND(VLOOKUP($D409,Merchantability!$B:$C,2,0)="Yes",$E409&gt;=VLOOKUP($D409,Merchantability!$B:$D,3,0),$E409&lt;=VLOOKUP($D409,Merchantability!$B:$E,4,0)),AC409,0)</f>
        <v>#N/A</v>
      </c>
      <c r="AI409" s="104" t="e">
        <f t="shared" si="195"/>
        <v>#N/A</v>
      </c>
      <c r="AJ409" s="104" t="e">
        <f t="shared" si="196"/>
        <v>#VALUE!</v>
      </c>
      <c r="AK409" s="104" t="e">
        <f t="shared" si="197"/>
        <v>#N/A</v>
      </c>
      <c r="AL409" s="104" t="e">
        <f t="shared" si="198"/>
        <v>#N/A</v>
      </c>
      <c r="AM409" s="104" t="e">
        <f t="shared" si="199"/>
        <v>#N/A</v>
      </c>
      <c r="AN409" s="104" t="e">
        <f t="shared" si="210"/>
        <v>#N/A</v>
      </c>
      <c r="AO409" s="104" t="e">
        <f t="shared" si="211"/>
        <v>#N/A</v>
      </c>
      <c r="AP409" s="104" t="e">
        <f t="shared" si="212"/>
        <v>#N/A</v>
      </c>
      <c r="AQ409" s="104" t="e">
        <f t="shared" si="213"/>
        <v>#N/A</v>
      </c>
      <c r="AR409" s="105" t="str">
        <f t="shared" si="205"/>
        <v/>
      </c>
      <c r="AS409" s="105" t="str">
        <f t="shared" si="206"/>
        <v/>
      </c>
      <c r="AT409" s="108" t="str">
        <f t="shared" si="207"/>
        <v/>
      </c>
      <c r="AU409" s="108" t="str">
        <f t="shared" si="208"/>
        <v/>
      </c>
      <c r="AV409" s="107" t="str">
        <f>IF(ISNUMBER(O409),IF(VLOOKUP($A409,Stand!C:J,8,FALSE)="Short",AT409,AU409),"")</f>
        <v/>
      </c>
      <c r="AW409" s="109" t="str">
        <f t="shared" si="214"/>
        <v/>
      </c>
      <c r="AX409" s="109" t="str">
        <f t="shared" si="215"/>
        <v/>
      </c>
      <c r="AY409" s="112" t="str">
        <f>IF(ISNUMBER(O409),IF(AND(VLOOKUP($D409,Merchantability!$B:$C,2,0)="Yes",$E409&gt;=VLOOKUP($D409,Merchantability!$B:$D,3,0),$E409&lt;=VLOOKUP($D409,Merchantability!$B:$E,4,0)),(AV409*O409)*(1-$H409/100),""),"")</f>
        <v/>
      </c>
      <c r="AZ409" s="116"/>
      <c r="BA409" s="116"/>
      <c r="BB409" s="116"/>
      <c r="BE409" s="62"/>
      <c r="BF409" s="63"/>
    </row>
    <row r="410" spans="1:58" ht="12.75" customHeight="1" x14ac:dyDescent="0.25">
      <c r="A410" s="313"/>
      <c r="B410" s="328"/>
      <c r="C410" s="329"/>
      <c r="D410" s="328"/>
      <c r="E410" s="330"/>
      <c r="F410" s="331"/>
      <c r="G410" s="329"/>
      <c r="H410" s="329"/>
      <c r="I410" s="328"/>
      <c r="J410" s="329"/>
      <c r="K410" s="329"/>
      <c r="L410" s="329"/>
      <c r="M410" s="76"/>
      <c r="N410" s="103" t="str">
        <f>IF(A410="","",VLOOKUP(A410,Stand!C:K,9,0))</f>
        <v/>
      </c>
      <c r="O410" s="104" t="str">
        <f t="shared" si="200"/>
        <v/>
      </c>
      <c r="P410" s="105" t="str">
        <f t="shared" si="201"/>
        <v/>
      </c>
      <c r="Q410" s="105" t="str">
        <f t="shared" si="189"/>
        <v/>
      </c>
      <c r="R410" s="103" t="str">
        <f t="shared" si="202"/>
        <v/>
      </c>
      <c r="S410" s="103" t="str">
        <f t="shared" si="203"/>
        <v/>
      </c>
      <c r="T410" s="106" t="str">
        <f t="shared" si="190"/>
        <v/>
      </c>
      <c r="U410" s="106" t="str">
        <f t="shared" si="191"/>
        <v/>
      </c>
      <c r="V410" s="106" t="str">
        <f t="shared" si="192"/>
        <v/>
      </c>
      <c r="W410" s="105" t="str">
        <f t="shared" si="204"/>
        <v/>
      </c>
      <c r="X410" s="104" t="str">
        <f t="shared" si="209"/>
        <v/>
      </c>
      <c r="Y410" s="104" t="str">
        <f t="array" ref="Y410">IFERROR(IF(ISNUMBER(O410),IF(COUNT(IF(A410=$A$2:$A$2427,IF(D410=$D$2:$D$2427,IF($X$2:$X$2427&gt;0,1))))&gt;0,SUM(IF(A410=$A$2:$A$2427,IF(D410=$D$2:$D$2427,$X$2:$X$2427)))/COUNT(IF(A410=$A$2:$A$2427,IF(D410=$D$2:$D$2427,IF(ISNUMBER($X$2:$X$2427),1)))),0),""),0)</f>
        <v/>
      </c>
      <c r="Z410" s="104" t="str">
        <f>IF(ISNUMBER(O410),IF(I410&gt;0,(10^(VLOOKUP(D410,'Species Codes'!B:C,2,0)+VLOOKUP(D410,'Species Codes'!B:D,3,0)*LOG(E410)+VLOOKUP(D410,'Species Codes'!B:E,4,0)*LOG(I410))),0),"")</f>
        <v/>
      </c>
      <c r="AA410" s="104" t="str">
        <f>IFERROR((VLOOKUP(D410,'Species Codes'!B:G,6,0)*Z410)/2000,"")</f>
        <v/>
      </c>
      <c r="AB410" s="104" t="e">
        <f>IF(Z410&gt;0,((IF(OR(D410="DF",D410="RA")=TRUE,EXP(VLOOKUP(D410,'Species Codes'!B:I,8,0)+VLOOKUP(D410,'Species Codes'!B:J,9,0)*(LN((E410*2.54)))),IF(OR(D410="PY",D410="RC",D410="WH",D410="NF")=TRUE,VLOOKUP(D410,'Species Codes'!B:I,8,0)+VLOOKUP(D410,'Species Codes'!B:J,9,0)*((E410*2.54)^2)*(I410*0.3048),IF(OR(D410="MD",D410="BM",D410="GA")=TRUE,((VLOOKUP(D410,'Species Codes'!B:I,8,0)*(((((E410*2.54)+VLOOKUP(D410,'Species Codes'!B:J,9,0))/VLOOKUP(D410,'Species Codes'!B:K,10,0))^VLOOKUP(D410,'Species Codes'!B:L,11,0))*((I410*0.3048)^VLOOKUP(D410,'Species Codes'!B:M,12,0))))-(VLOOKUP(D410,'Species Codes'!B:I,8,0)*((((E410*2.54)^VLOOKUP(D410,'Species Codes'!B:L,11,0))*((I410*0.3048)^VLOOKUP(D410,'Species Codes'!B:M,12,0))))))*35.3*VLOOKUP(D410,'Species Codes'!B:G,6,0)/2.2046,VLOOKUP(D410,'Species Codes'!B:I,8,0)+VLOOKUP(D410,'Species Codes'!B:J,9,0)*(((E410*2.54)/100)^2)*(I410*0.3048)))))*0.0011023),0)</f>
        <v>#N/A</v>
      </c>
      <c r="AC410" s="104" t="e">
        <f>IF(Z410&gt;0,((IF(OR(D410="RA",D410="OA",D410="OT",D410="UN",D410="PC"),EXP(VLOOKUP(D410,'Species Codes'!B:O,14,0)+VLOOKUP(D410,'Species Codes'!B:P,15,0)*LN((E410*2.54)))-EXP(VLOOKUP(D410,'Species Codes'!B:O,14,0)+VLOOKUP(D410,'Species Codes'!B:P,15,0)*LN((E410*2.54)))*(1/(VLOOKUP(D410,'Species Codes'!B:Q,16,0)+VLOOKUP(D410,'Species Codes'!B:R,17,0)*((E410*2.54)^VLOOKUP(D410,'Species Codes'!B:S,18,0)))),IF(OR(D410="BM",D410="MD",D410="OA"),EXP(VLOOKUP(D410,'Species Codes'!B:O,14,0)+VLOOKUP(D410,'Species Codes'!B:P,15,0)*LN((E410*2.54)))*(1-(1/(VLOOKUP(D410,'Species Codes'!B:Q,16,0)+VLOOKUP(D410,'Species Codes'!B:R,17,0)*((E410*2.54)^VLOOKUP(D410,'Species Codes'!B:S,18,0)))))/1000,IF(D410="DF",EXP(VLOOKUP(D410,'Species Codes'!B:O,14,0)+VLOOKUP(D410,'Species Codes'!B:P,15,0)*LN((E410*2.54))),VLOOKUP(D410,'Species Codes'!B:O,14,0)+VLOOKUP(D410,'Species Codes'!B:P,15,0)*(((E410*2.54)/100)^2)*(I410*0.3048)))))*0.0011023),0)</f>
        <v>#N/A</v>
      </c>
      <c r="AD410" s="104" t="e">
        <f t="shared" si="193"/>
        <v>#N/A</v>
      </c>
      <c r="AE410" s="104" t="e">
        <f t="shared" si="194"/>
        <v>#N/A</v>
      </c>
      <c r="AF410" s="104" t="e">
        <f>IF(AND(VLOOKUP($D410,Merchantability!$B:$C,2,0)="Yes",$E410&gt;=VLOOKUP($D410,Merchantability!$B:$D,3,0),$E410&lt;=VLOOKUP($D410,Merchantability!$B:$E,4,0)),AA410,0)</f>
        <v>#N/A</v>
      </c>
      <c r="AG410" s="104" t="e">
        <f>IF(AND(VLOOKUP($D410,Merchantability!$B:$C,2,0)="Yes",$E410&gt;=VLOOKUP($D410,Merchantability!$B:$D,3,0),$E410&lt;=VLOOKUP($D410,Merchantability!$B:$E,4,0)),AB410,0)</f>
        <v>#N/A</v>
      </c>
      <c r="AH410" s="104" t="e">
        <f>IF(AND(VLOOKUP($D410,Merchantability!$B:$C,2,0)="Yes",$E410&gt;=VLOOKUP($D410,Merchantability!$B:$D,3,0),$E410&lt;=VLOOKUP($D410,Merchantability!$B:$E,4,0)),AC410,0)</f>
        <v>#N/A</v>
      </c>
      <c r="AI410" s="104" t="e">
        <f t="shared" si="195"/>
        <v>#N/A</v>
      </c>
      <c r="AJ410" s="104" t="e">
        <f t="shared" si="196"/>
        <v>#VALUE!</v>
      </c>
      <c r="AK410" s="104" t="e">
        <f t="shared" si="197"/>
        <v>#N/A</v>
      </c>
      <c r="AL410" s="104" t="e">
        <f t="shared" si="198"/>
        <v>#N/A</v>
      </c>
      <c r="AM410" s="104" t="e">
        <f t="shared" si="199"/>
        <v>#N/A</v>
      </c>
      <c r="AN410" s="104" t="e">
        <f t="shared" si="210"/>
        <v>#N/A</v>
      </c>
      <c r="AO410" s="104" t="e">
        <f t="shared" si="211"/>
        <v>#N/A</v>
      </c>
      <c r="AP410" s="104" t="e">
        <f t="shared" si="212"/>
        <v>#N/A</v>
      </c>
      <c r="AQ410" s="104" t="e">
        <f t="shared" si="213"/>
        <v>#N/A</v>
      </c>
      <c r="AR410" s="105" t="str">
        <f t="shared" si="205"/>
        <v/>
      </c>
      <c r="AS410" s="105" t="str">
        <f t="shared" si="206"/>
        <v/>
      </c>
      <c r="AT410" s="108" t="str">
        <f t="shared" si="207"/>
        <v/>
      </c>
      <c r="AU410" s="108" t="str">
        <f t="shared" si="208"/>
        <v/>
      </c>
      <c r="AV410" s="107" t="str">
        <f>IF(ISNUMBER(O410),IF(VLOOKUP($A410,Stand!C:J,8,FALSE)="Short",AT410,AU410),"")</f>
        <v/>
      </c>
      <c r="AW410" s="109" t="str">
        <f t="shared" si="214"/>
        <v/>
      </c>
      <c r="AX410" s="109" t="str">
        <f t="shared" si="215"/>
        <v/>
      </c>
      <c r="AY410" s="112" t="str">
        <f>IF(ISNUMBER(O410),IF(AND(VLOOKUP($D410,Merchantability!$B:$C,2,0)="Yes",$E410&gt;=VLOOKUP($D410,Merchantability!$B:$D,3,0),$E410&lt;=VLOOKUP($D410,Merchantability!$B:$E,4,0)),(AV410*O410)*(1-$H410/100),""),"")</f>
        <v/>
      </c>
      <c r="AZ410" s="116"/>
      <c r="BA410" s="116"/>
      <c r="BB410" s="116"/>
      <c r="BE410" s="62"/>
      <c r="BF410" s="63"/>
    </row>
    <row r="411" spans="1:58" ht="12.75" customHeight="1" x14ac:dyDescent="0.25">
      <c r="A411" s="313"/>
      <c r="B411" s="328"/>
      <c r="C411" s="329"/>
      <c r="D411" s="328"/>
      <c r="E411" s="330"/>
      <c r="F411" s="331"/>
      <c r="G411" s="329"/>
      <c r="H411" s="329"/>
      <c r="I411" s="328"/>
      <c r="J411" s="329"/>
      <c r="K411" s="329"/>
      <c r="L411" s="329"/>
      <c r="M411" s="76"/>
      <c r="N411" s="103" t="str">
        <f>IF(A411="","",VLOOKUP(A411,Stand!C:K,9,0))</f>
        <v/>
      </c>
      <c r="O411" s="104" t="str">
        <f t="shared" si="200"/>
        <v/>
      </c>
      <c r="P411" s="105" t="str">
        <f t="shared" si="201"/>
        <v/>
      </c>
      <c r="Q411" s="105" t="str">
        <f t="shared" si="189"/>
        <v/>
      </c>
      <c r="R411" s="103" t="str">
        <f t="shared" si="202"/>
        <v/>
      </c>
      <c r="S411" s="103" t="str">
        <f t="shared" si="203"/>
        <v/>
      </c>
      <c r="T411" s="106" t="str">
        <f t="shared" si="190"/>
        <v/>
      </c>
      <c r="U411" s="106" t="str">
        <f t="shared" si="191"/>
        <v/>
      </c>
      <c r="V411" s="106" t="str">
        <f t="shared" si="192"/>
        <v/>
      </c>
      <c r="W411" s="105" t="str">
        <f t="shared" si="204"/>
        <v/>
      </c>
      <c r="X411" s="104" t="str">
        <f t="shared" si="209"/>
        <v/>
      </c>
      <c r="Y411" s="104" t="str">
        <f t="array" ref="Y411">IFERROR(IF(ISNUMBER(O411),IF(COUNT(IF(A411=$A$2:$A$2427,IF(D411=$D$2:$D$2427,IF($X$2:$X$2427&gt;0,1))))&gt;0,SUM(IF(A411=$A$2:$A$2427,IF(D411=$D$2:$D$2427,$X$2:$X$2427)))/COUNT(IF(A411=$A$2:$A$2427,IF(D411=$D$2:$D$2427,IF(ISNUMBER($X$2:$X$2427),1)))),0),""),0)</f>
        <v/>
      </c>
      <c r="Z411" s="104" t="str">
        <f>IF(ISNUMBER(O411),IF(I411&gt;0,(10^(VLOOKUP(D411,'Species Codes'!B:C,2,0)+VLOOKUP(D411,'Species Codes'!B:D,3,0)*LOG(E411)+VLOOKUP(D411,'Species Codes'!B:E,4,0)*LOG(I411))),0),"")</f>
        <v/>
      </c>
      <c r="AA411" s="104" t="str">
        <f>IFERROR((VLOOKUP(D411,'Species Codes'!B:G,6,0)*Z411)/2000,"")</f>
        <v/>
      </c>
      <c r="AB411" s="104" t="e">
        <f>IF(Z411&gt;0,((IF(OR(D411="DF",D411="RA")=TRUE,EXP(VLOOKUP(D411,'Species Codes'!B:I,8,0)+VLOOKUP(D411,'Species Codes'!B:J,9,0)*(LN((E411*2.54)))),IF(OR(D411="PY",D411="RC",D411="WH",D411="NF")=TRUE,VLOOKUP(D411,'Species Codes'!B:I,8,0)+VLOOKUP(D411,'Species Codes'!B:J,9,0)*((E411*2.54)^2)*(I411*0.3048),IF(OR(D411="MD",D411="BM",D411="GA")=TRUE,((VLOOKUP(D411,'Species Codes'!B:I,8,0)*(((((E411*2.54)+VLOOKUP(D411,'Species Codes'!B:J,9,0))/VLOOKUP(D411,'Species Codes'!B:K,10,0))^VLOOKUP(D411,'Species Codes'!B:L,11,0))*((I411*0.3048)^VLOOKUP(D411,'Species Codes'!B:M,12,0))))-(VLOOKUP(D411,'Species Codes'!B:I,8,0)*((((E411*2.54)^VLOOKUP(D411,'Species Codes'!B:L,11,0))*((I411*0.3048)^VLOOKUP(D411,'Species Codes'!B:M,12,0))))))*35.3*VLOOKUP(D411,'Species Codes'!B:G,6,0)/2.2046,VLOOKUP(D411,'Species Codes'!B:I,8,0)+VLOOKUP(D411,'Species Codes'!B:J,9,0)*(((E411*2.54)/100)^2)*(I411*0.3048)))))*0.0011023),0)</f>
        <v>#N/A</v>
      </c>
      <c r="AC411" s="104" t="e">
        <f>IF(Z411&gt;0,((IF(OR(D411="RA",D411="OA",D411="OT",D411="UN",D411="PC"),EXP(VLOOKUP(D411,'Species Codes'!B:O,14,0)+VLOOKUP(D411,'Species Codes'!B:P,15,0)*LN((E411*2.54)))-EXP(VLOOKUP(D411,'Species Codes'!B:O,14,0)+VLOOKUP(D411,'Species Codes'!B:P,15,0)*LN((E411*2.54)))*(1/(VLOOKUP(D411,'Species Codes'!B:Q,16,0)+VLOOKUP(D411,'Species Codes'!B:R,17,0)*((E411*2.54)^VLOOKUP(D411,'Species Codes'!B:S,18,0)))),IF(OR(D411="BM",D411="MD",D411="OA"),EXP(VLOOKUP(D411,'Species Codes'!B:O,14,0)+VLOOKUP(D411,'Species Codes'!B:P,15,0)*LN((E411*2.54)))*(1-(1/(VLOOKUP(D411,'Species Codes'!B:Q,16,0)+VLOOKUP(D411,'Species Codes'!B:R,17,0)*((E411*2.54)^VLOOKUP(D411,'Species Codes'!B:S,18,0)))))/1000,IF(D411="DF",EXP(VLOOKUP(D411,'Species Codes'!B:O,14,0)+VLOOKUP(D411,'Species Codes'!B:P,15,0)*LN((E411*2.54))),VLOOKUP(D411,'Species Codes'!B:O,14,0)+VLOOKUP(D411,'Species Codes'!B:P,15,0)*(((E411*2.54)/100)^2)*(I411*0.3048)))))*0.0011023),0)</f>
        <v>#N/A</v>
      </c>
      <c r="AD411" s="104" t="e">
        <f t="shared" si="193"/>
        <v>#N/A</v>
      </c>
      <c r="AE411" s="104" t="e">
        <f t="shared" si="194"/>
        <v>#N/A</v>
      </c>
      <c r="AF411" s="104" t="e">
        <f>IF(AND(VLOOKUP($D411,Merchantability!$B:$C,2,0)="Yes",$E411&gt;=VLOOKUP($D411,Merchantability!$B:$D,3,0),$E411&lt;=VLOOKUP($D411,Merchantability!$B:$E,4,0)),AA411,0)</f>
        <v>#N/A</v>
      </c>
      <c r="AG411" s="104" t="e">
        <f>IF(AND(VLOOKUP($D411,Merchantability!$B:$C,2,0)="Yes",$E411&gt;=VLOOKUP($D411,Merchantability!$B:$D,3,0),$E411&lt;=VLOOKUP($D411,Merchantability!$B:$E,4,0)),AB411,0)</f>
        <v>#N/A</v>
      </c>
      <c r="AH411" s="104" t="e">
        <f>IF(AND(VLOOKUP($D411,Merchantability!$B:$C,2,0)="Yes",$E411&gt;=VLOOKUP($D411,Merchantability!$B:$D,3,0),$E411&lt;=VLOOKUP($D411,Merchantability!$B:$E,4,0)),AC411,0)</f>
        <v>#N/A</v>
      </c>
      <c r="AI411" s="104" t="e">
        <f t="shared" si="195"/>
        <v>#N/A</v>
      </c>
      <c r="AJ411" s="104" t="e">
        <f t="shared" si="196"/>
        <v>#VALUE!</v>
      </c>
      <c r="AK411" s="104" t="e">
        <f t="shared" si="197"/>
        <v>#N/A</v>
      </c>
      <c r="AL411" s="104" t="e">
        <f t="shared" si="198"/>
        <v>#N/A</v>
      </c>
      <c r="AM411" s="104" t="e">
        <f t="shared" si="199"/>
        <v>#N/A</v>
      </c>
      <c r="AN411" s="104" t="e">
        <f t="shared" si="210"/>
        <v>#N/A</v>
      </c>
      <c r="AO411" s="104" t="e">
        <f t="shared" si="211"/>
        <v>#N/A</v>
      </c>
      <c r="AP411" s="104" t="e">
        <f t="shared" si="212"/>
        <v>#N/A</v>
      </c>
      <c r="AQ411" s="104" t="e">
        <f t="shared" si="213"/>
        <v>#N/A</v>
      </c>
      <c r="AR411" s="105" t="str">
        <f t="shared" si="205"/>
        <v/>
      </c>
      <c r="AS411" s="105" t="str">
        <f t="shared" si="206"/>
        <v/>
      </c>
      <c r="AT411" s="108" t="str">
        <f t="shared" si="207"/>
        <v/>
      </c>
      <c r="AU411" s="108" t="str">
        <f t="shared" si="208"/>
        <v/>
      </c>
      <c r="AV411" s="107" t="str">
        <f>IF(ISNUMBER(O411),IF(VLOOKUP($A411,Stand!C:J,8,FALSE)="Short",AT411,AU411),"")</f>
        <v/>
      </c>
      <c r="AW411" s="109" t="str">
        <f t="shared" si="214"/>
        <v/>
      </c>
      <c r="AX411" s="109" t="str">
        <f t="shared" si="215"/>
        <v/>
      </c>
      <c r="AY411" s="112" t="str">
        <f>IF(ISNUMBER(O411),IF(AND(VLOOKUP($D411,Merchantability!$B:$C,2,0)="Yes",$E411&gt;=VLOOKUP($D411,Merchantability!$B:$D,3,0),$E411&lt;=VLOOKUP($D411,Merchantability!$B:$E,4,0)),(AV411*O411)*(1-$H411/100),""),"")</f>
        <v/>
      </c>
      <c r="AZ411" s="116"/>
      <c r="BA411" s="116"/>
      <c r="BB411" s="116"/>
      <c r="BE411" s="62"/>
      <c r="BF411" s="63"/>
    </row>
    <row r="412" spans="1:58" ht="12.75" customHeight="1" x14ac:dyDescent="0.25">
      <c r="A412" s="313"/>
      <c r="B412" s="328"/>
      <c r="C412" s="329"/>
      <c r="D412" s="328"/>
      <c r="E412" s="330"/>
      <c r="F412" s="331"/>
      <c r="G412" s="329"/>
      <c r="H412" s="329"/>
      <c r="I412" s="328"/>
      <c r="J412" s="329"/>
      <c r="K412" s="329"/>
      <c r="L412" s="329"/>
      <c r="M412" s="76"/>
      <c r="N412" s="103" t="str">
        <f>IF(A412="","",VLOOKUP(A412,Stand!C:K,9,0))</f>
        <v/>
      </c>
      <c r="O412" s="104" t="str">
        <f t="shared" si="200"/>
        <v/>
      </c>
      <c r="P412" s="105" t="str">
        <f t="shared" si="201"/>
        <v/>
      </c>
      <c r="Q412" s="105" t="str">
        <f t="shared" si="189"/>
        <v/>
      </c>
      <c r="R412" s="103" t="str">
        <f t="shared" si="202"/>
        <v/>
      </c>
      <c r="S412" s="103" t="str">
        <f t="shared" si="203"/>
        <v/>
      </c>
      <c r="T412" s="106" t="str">
        <f t="shared" si="190"/>
        <v/>
      </c>
      <c r="U412" s="106" t="str">
        <f t="shared" si="191"/>
        <v/>
      </c>
      <c r="V412" s="106" t="str">
        <f t="shared" si="192"/>
        <v/>
      </c>
      <c r="W412" s="105" t="str">
        <f t="shared" si="204"/>
        <v/>
      </c>
      <c r="X412" s="104" t="str">
        <f t="shared" si="209"/>
        <v/>
      </c>
      <c r="Y412" s="104" t="str">
        <f t="array" ref="Y412">IFERROR(IF(ISNUMBER(O412),IF(COUNT(IF(A412=$A$2:$A$2427,IF(D412=$D$2:$D$2427,IF($X$2:$X$2427&gt;0,1))))&gt;0,SUM(IF(A412=$A$2:$A$2427,IF(D412=$D$2:$D$2427,$X$2:$X$2427)))/COUNT(IF(A412=$A$2:$A$2427,IF(D412=$D$2:$D$2427,IF(ISNUMBER($X$2:$X$2427),1)))),0),""),0)</f>
        <v/>
      </c>
      <c r="Z412" s="104" t="str">
        <f>IF(ISNUMBER(O412),IF(I412&gt;0,(10^(VLOOKUP(D412,'Species Codes'!B:C,2,0)+VLOOKUP(D412,'Species Codes'!B:D,3,0)*LOG(E412)+VLOOKUP(D412,'Species Codes'!B:E,4,0)*LOG(I412))),0),"")</f>
        <v/>
      </c>
      <c r="AA412" s="104" t="str">
        <f>IFERROR((VLOOKUP(D412,'Species Codes'!B:G,6,0)*Z412)/2000,"")</f>
        <v/>
      </c>
      <c r="AB412" s="104" t="e">
        <f>IF(Z412&gt;0,((IF(OR(D412="DF",D412="RA")=TRUE,EXP(VLOOKUP(D412,'Species Codes'!B:I,8,0)+VLOOKUP(D412,'Species Codes'!B:J,9,0)*(LN((E412*2.54)))),IF(OR(D412="PY",D412="RC",D412="WH",D412="NF")=TRUE,VLOOKUP(D412,'Species Codes'!B:I,8,0)+VLOOKUP(D412,'Species Codes'!B:J,9,0)*((E412*2.54)^2)*(I412*0.3048),IF(OR(D412="MD",D412="BM",D412="GA")=TRUE,((VLOOKUP(D412,'Species Codes'!B:I,8,0)*(((((E412*2.54)+VLOOKUP(D412,'Species Codes'!B:J,9,0))/VLOOKUP(D412,'Species Codes'!B:K,10,0))^VLOOKUP(D412,'Species Codes'!B:L,11,0))*((I412*0.3048)^VLOOKUP(D412,'Species Codes'!B:M,12,0))))-(VLOOKUP(D412,'Species Codes'!B:I,8,0)*((((E412*2.54)^VLOOKUP(D412,'Species Codes'!B:L,11,0))*((I412*0.3048)^VLOOKUP(D412,'Species Codes'!B:M,12,0))))))*35.3*VLOOKUP(D412,'Species Codes'!B:G,6,0)/2.2046,VLOOKUP(D412,'Species Codes'!B:I,8,0)+VLOOKUP(D412,'Species Codes'!B:J,9,0)*(((E412*2.54)/100)^2)*(I412*0.3048)))))*0.0011023),0)</f>
        <v>#N/A</v>
      </c>
      <c r="AC412" s="104" t="e">
        <f>IF(Z412&gt;0,((IF(OR(D412="RA",D412="OA",D412="OT",D412="UN",D412="PC"),EXP(VLOOKUP(D412,'Species Codes'!B:O,14,0)+VLOOKUP(D412,'Species Codes'!B:P,15,0)*LN((E412*2.54)))-EXP(VLOOKUP(D412,'Species Codes'!B:O,14,0)+VLOOKUP(D412,'Species Codes'!B:P,15,0)*LN((E412*2.54)))*(1/(VLOOKUP(D412,'Species Codes'!B:Q,16,0)+VLOOKUP(D412,'Species Codes'!B:R,17,0)*((E412*2.54)^VLOOKUP(D412,'Species Codes'!B:S,18,0)))),IF(OR(D412="BM",D412="MD",D412="OA"),EXP(VLOOKUP(D412,'Species Codes'!B:O,14,0)+VLOOKUP(D412,'Species Codes'!B:P,15,0)*LN((E412*2.54)))*(1-(1/(VLOOKUP(D412,'Species Codes'!B:Q,16,0)+VLOOKUP(D412,'Species Codes'!B:R,17,0)*((E412*2.54)^VLOOKUP(D412,'Species Codes'!B:S,18,0)))))/1000,IF(D412="DF",EXP(VLOOKUP(D412,'Species Codes'!B:O,14,0)+VLOOKUP(D412,'Species Codes'!B:P,15,0)*LN((E412*2.54))),VLOOKUP(D412,'Species Codes'!B:O,14,0)+VLOOKUP(D412,'Species Codes'!B:P,15,0)*(((E412*2.54)/100)^2)*(I412*0.3048)))))*0.0011023),0)</f>
        <v>#N/A</v>
      </c>
      <c r="AD412" s="104" t="e">
        <f t="shared" si="193"/>
        <v>#N/A</v>
      </c>
      <c r="AE412" s="104" t="e">
        <f t="shared" si="194"/>
        <v>#N/A</v>
      </c>
      <c r="AF412" s="104" t="e">
        <f>IF(AND(VLOOKUP($D412,Merchantability!$B:$C,2,0)="Yes",$E412&gt;=VLOOKUP($D412,Merchantability!$B:$D,3,0),$E412&lt;=VLOOKUP($D412,Merchantability!$B:$E,4,0)),AA412,0)</f>
        <v>#N/A</v>
      </c>
      <c r="AG412" s="104" t="e">
        <f>IF(AND(VLOOKUP($D412,Merchantability!$B:$C,2,0)="Yes",$E412&gt;=VLOOKUP($D412,Merchantability!$B:$D,3,0),$E412&lt;=VLOOKUP($D412,Merchantability!$B:$E,4,0)),AB412,0)</f>
        <v>#N/A</v>
      </c>
      <c r="AH412" s="104" t="e">
        <f>IF(AND(VLOOKUP($D412,Merchantability!$B:$C,2,0)="Yes",$E412&gt;=VLOOKUP($D412,Merchantability!$B:$D,3,0),$E412&lt;=VLOOKUP($D412,Merchantability!$B:$E,4,0)),AC412,0)</f>
        <v>#N/A</v>
      </c>
      <c r="AI412" s="104" t="e">
        <f t="shared" si="195"/>
        <v>#N/A</v>
      </c>
      <c r="AJ412" s="104" t="e">
        <f t="shared" si="196"/>
        <v>#VALUE!</v>
      </c>
      <c r="AK412" s="104" t="e">
        <f t="shared" si="197"/>
        <v>#N/A</v>
      </c>
      <c r="AL412" s="104" t="e">
        <f t="shared" si="198"/>
        <v>#N/A</v>
      </c>
      <c r="AM412" s="104" t="e">
        <f t="shared" si="199"/>
        <v>#N/A</v>
      </c>
      <c r="AN412" s="104" t="e">
        <f t="shared" si="210"/>
        <v>#N/A</v>
      </c>
      <c r="AO412" s="104" t="e">
        <f t="shared" si="211"/>
        <v>#N/A</v>
      </c>
      <c r="AP412" s="104" t="e">
        <f t="shared" si="212"/>
        <v>#N/A</v>
      </c>
      <c r="AQ412" s="104" t="e">
        <f t="shared" si="213"/>
        <v>#N/A</v>
      </c>
      <c r="AR412" s="105" t="str">
        <f t="shared" si="205"/>
        <v/>
      </c>
      <c r="AS412" s="105" t="str">
        <f t="shared" si="206"/>
        <v/>
      </c>
      <c r="AT412" s="108" t="str">
        <f t="shared" si="207"/>
        <v/>
      </c>
      <c r="AU412" s="108" t="str">
        <f t="shared" si="208"/>
        <v/>
      </c>
      <c r="AV412" s="107" t="str">
        <f>IF(ISNUMBER(O412),IF(VLOOKUP($A412,Stand!C:J,8,FALSE)="Short",AT412,AU412),"")</f>
        <v/>
      </c>
      <c r="AW412" s="109" t="str">
        <f t="shared" si="214"/>
        <v/>
      </c>
      <c r="AX412" s="109" t="str">
        <f t="shared" si="215"/>
        <v/>
      </c>
      <c r="AY412" s="112" t="str">
        <f>IF(ISNUMBER(O412),IF(AND(VLOOKUP($D412,Merchantability!$B:$C,2,0)="Yes",$E412&gt;=VLOOKUP($D412,Merchantability!$B:$D,3,0),$E412&lt;=VLOOKUP($D412,Merchantability!$B:$E,4,0)),(AV412*O412)*(1-$H412/100),""),"")</f>
        <v/>
      </c>
      <c r="AZ412" s="116"/>
      <c r="BA412" s="116"/>
      <c r="BB412" s="116"/>
      <c r="BE412" s="62"/>
      <c r="BF412" s="63"/>
    </row>
    <row r="413" spans="1:58" ht="12.75" customHeight="1" x14ac:dyDescent="0.25">
      <c r="A413" s="313"/>
      <c r="B413" s="328"/>
      <c r="C413" s="329"/>
      <c r="D413" s="328"/>
      <c r="E413" s="330"/>
      <c r="F413" s="331"/>
      <c r="G413" s="329"/>
      <c r="H413" s="329"/>
      <c r="I413" s="328"/>
      <c r="J413" s="329"/>
      <c r="K413" s="329"/>
      <c r="L413" s="329"/>
      <c r="M413" s="76"/>
      <c r="N413" s="103" t="str">
        <f>IF(A413="","",VLOOKUP(A413,Stand!C:K,9,0))</f>
        <v/>
      </c>
      <c r="O413" s="104" t="str">
        <f t="shared" si="200"/>
        <v/>
      </c>
      <c r="P413" s="105" t="str">
        <f t="shared" si="201"/>
        <v/>
      </c>
      <c r="Q413" s="105" t="str">
        <f t="shared" ref="Q413:Q476" si="216">IF(AND(ISNUMBER(O413),I413&gt;0),I413*O413,"")</f>
        <v/>
      </c>
      <c r="R413" s="103" t="str">
        <f t="shared" si="202"/>
        <v/>
      </c>
      <c r="S413" s="103" t="str">
        <f t="shared" si="203"/>
        <v/>
      </c>
      <c r="T413" s="106" t="str">
        <f t="shared" ref="T413:T476" si="217">IF(AND(ISNUMBER(O413),J413&gt;0),J413/100,"")</f>
        <v/>
      </c>
      <c r="U413" s="106" t="str">
        <f t="shared" ref="U413:U476" si="218">IF(AND(ISNUMBER(O413),J413&gt;0),T413*O413,"")</f>
        <v/>
      </c>
      <c r="V413" s="106" t="str">
        <f t="shared" ref="V413:V476" si="219">IF(AND(ISNUMBER(O413),I413&gt;0),W413*O413,"")</f>
        <v/>
      </c>
      <c r="W413" s="105" t="str">
        <f t="shared" si="204"/>
        <v/>
      </c>
      <c r="X413" s="104" t="str">
        <f t="shared" si="209"/>
        <v/>
      </c>
      <c r="Y413" s="104" t="str">
        <f t="array" ref="Y413">IFERROR(IF(ISNUMBER(O413),IF(COUNT(IF(A413=$A$2:$A$2427,IF(D413=$D$2:$D$2427,IF($X$2:$X$2427&gt;0,1))))&gt;0,SUM(IF(A413=$A$2:$A$2427,IF(D413=$D$2:$D$2427,$X$2:$X$2427)))/COUNT(IF(A413=$A$2:$A$2427,IF(D413=$D$2:$D$2427,IF(ISNUMBER($X$2:$X$2427),1)))),0),""),0)</f>
        <v/>
      </c>
      <c r="Z413" s="104" t="str">
        <f>IF(ISNUMBER(O413),IF(I413&gt;0,(10^(VLOOKUP(D413,'Species Codes'!B:C,2,0)+VLOOKUP(D413,'Species Codes'!B:D,3,0)*LOG(E413)+VLOOKUP(D413,'Species Codes'!B:E,4,0)*LOG(I413))),0),"")</f>
        <v/>
      </c>
      <c r="AA413" s="104" t="str">
        <f>IFERROR((VLOOKUP(D413,'Species Codes'!B:G,6,0)*Z413)/2000,"")</f>
        <v/>
      </c>
      <c r="AB413" s="104" t="e">
        <f>IF(Z413&gt;0,((IF(OR(D413="DF",D413="RA")=TRUE,EXP(VLOOKUP(D413,'Species Codes'!B:I,8,0)+VLOOKUP(D413,'Species Codes'!B:J,9,0)*(LN((E413*2.54)))),IF(OR(D413="PY",D413="RC",D413="WH",D413="NF")=TRUE,VLOOKUP(D413,'Species Codes'!B:I,8,0)+VLOOKUP(D413,'Species Codes'!B:J,9,0)*((E413*2.54)^2)*(I413*0.3048),IF(OR(D413="MD",D413="BM",D413="GA")=TRUE,((VLOOKUP(D413,'Species Codes'!B:I,8,0)*(((((E413*2.54)+VLOOKUP(D413,'Species Codes'!B:J,9,0))/VLOOKUP(D413,'Species Codes'!B:K,10,0))^VLOOKUP(D413,'Species Codes'!B:L,11,0))*((I413*0.3048)^VLOOKUP(D413,'Species Codes'!B:M,12,0))))-(VLOOKUP(D413,'Species Codes'!B:I,8,0)*((((E413*2.54)^VLOOKUP(D413,'Species Codes'!B:L,11,0))*((I413*0.3048)^VLOOKUP(D413,'Species Codes'!B:M,12,0))))))*35.3*VLOOKUP(D413,'Species Codes'!B:G,6,0)/2.2046,VLOOKUP(D413,'Species Codes'!B:I,8,0)+VLOOKUP(D413,'Species Codes'!B:J,9,0)*(((E413*2.54)/100)^2)*(I413*0.3048)))))*0.0011023),0)</f>
        <v>#N/A</v>
      </c>
      <c r="AC413" s="104" t="e">
        <f>IF(Z413&gt;0,((IF(OR(D413="RA",D413="OA",D413="OT",D413="UN",D413="PC"),EXP(VLOOKUP(D413,'Species Codes'!B:O,14,0)+VLOOKUP(D413,'Species Codes'!B:P,15,0)*LN((E413*2.54)))-EXP(VLOOKUP(D413,'Species Codes'!B:O,14,0)+VLOOKUP(D413,'Species Codes'!B:P,15,0)*LN((E413*2.54)))*(1/(VLOOKUP(D413,'Species Codes'!B:Q,16,0)+VLOOKUP(D413,'Species Codes'!B:R,17,0)*((E413*2.54)^VLOOKUP(D413,'Species Codes'!B:S,18,0)))),IF(OR(D413="BM",D413="MD",D413="OA"),EXP(VLOOKUP(D413,'Species Codes'!B:O,14,0)+VLOOKUP(D413,'Species Codes'!B:P,15,0)*LN((E413*2.54)))*(1-(1/(VLOOKUP(D413,'Species Codes'!B:Q,16,0)+VLOOKUP(D413,'Species Codes'!B:R,17,0)*((E413*2.54)^VLOOKUP(D413,'Species Codes'!B:S,18,0)))))/1000,IF(D413="DF",EXP(VLOOKUP(D413,'Species Codes'!B:O,14,0)+VLOOKUP(D413,'Species Codes'!B:P,15,0)*LN((E413*2.54))),VLOOKUP(D413,'Species Codes'!B:O,14,0)+VLOOKUP(D413,'Species Codes'!B:P,15,0)*(((E413*2.54)/100)^2)*(I413*0.3048)))))*0.0011023),0)</f>
        <v>#N/A</v>
      </c>
      <c r="AD413" s="104" t="e">
        <f t="shared" ref="AD413:AD476" si="220">SUM(AA413:AC413)</f>
        <v>#N/A</v>
      </c>
      <c r="AE413" s="104" t="e">
        <f t="shared" ref="AE413:AE476" si="221">AD413*O413</f>
        <v>#N/A</v>
      </c>
      <c r="AF413" s="104" t="e">
        <f>IF(AND(VLOOKUP($D413,Merchantability!$B:$C,2,0)="Yes",$E413&gt;=VLOOKUP($D413,Merchantability!$B:$D,3,0),$E413&lt;=VLOOKUP($D413,Merchantability!$B:$E,4,0)),AA413,0)</f>
        <v>#N/A</v>
      </c>
      <c r="AG413" s="104" t="e">
        <f>IF(AND(VLOOKUP($D413,Merchantability!$B:$C,2,0)="Yes",$E413&gt;=VLOOKUP($D413,Merchantability!$B:$D,3,0),$E413&lt;=VLOOKUP($D413,Merchantability!$B:$E,4,0)),AB413,0)</f>
        <v>#N/A</v>
      </c>
      <c r="AH413" s="104" t="e">
        <f>IF(AND(VLOOKUP($D413,Merchantability!$B:$C,2,0)="Yes",$E413&gt;=VLOOKUP($D413,Merchantability!$B:$D,3,0),$E413&lt;=VLOOKUP($D413,Merchantability!$B:$E,4,0)),AC413,0)</f>
        <v>#N/A</v>
      </c>
      <c r="AI413" s="104" t="e">
        <f t="shared" ref="AI413:AI476" si="222">SUM(AF413:AH413)</f>
        <v>#N/A</v>
      </c>
      <c r="AJ413" s="104" t="e">
        <f t="shared" ref="AJ413:AJ476" si="223">AA413*$O413</f>
        <v>#VALUE!</v>
      </c>
      <c r="AK413" s="104" t="e">
        <f t="shared" ref="AK413:AK476" si="224">AB413*$O413</f>
        <v>#N/A</v>
      </c>
      <c r="AL413" s="104" t="e">
        <f t="shared" ref="AL413:AL476" si="225">AC413*$O413</f>
        <v>#N/A</v>
      </c>
      <c r="AM413" s="104" t="e">
        <f t="shared" ref="AM413:AM476" si="226">AD413*$O413</f>
        <v>#N/A</v>
      </c>
      <c r="AN413" s="104" t="e">
        <f t="shared" si="210"/>
        <v>#N/A</v>
      </c>
      <c r="AO413" s="104" t="e">
        <f t="shared" si="211"/>
        <v>#N/A</v>
      </c>
      <c r="AP413" s="104" t="e">
        <f t="shared" si="212"/>
        <v>#N/A</v>
      </c>
      <c r="AQ413" s="104" t="e">
        <f t="shared" si="213"/>
        <v>#N/A</v>
      </c>
      <c r="AR413" s="105" t="str">
        <f t="shared" si="205"/>
        <v/>
      </c>
      <c r="AS413" s="105" t="str">
        <f t="shared" si="206"/>
        <v/>
      </c>
      <c r="AT413" s="108" t="str">
        <f t="shared" si="207"/>
        <v/>
      </c>
      <c r="AU413" s="108" t="str">
        <f t="shared" si="208"/>
        <v/>
      </c>
      <c r="AV413" s="107" t="str">
        <f>IF(ISNUMBER(O413),IF(VLOOKUP($A413,Stand!C:J,8,FALSE)="Short",AT413,AU413),"")</f>
        <v/>
      </c>
      <c r="AW413" s="109" t="str">
        <f t="shared" si="214"/>
        <v/>
      </c>
      <c r="AX413" s="109" t="str">
        <f t="shared" si="215"/>
        <v/>
      </c>
      <c r="AY413" s="112" t="str">
        <f>IF(ISNUMBER(O413),IF(AND(VLOOKUP($D413,Merchantability!$B:$C,2,0)="Yes",$E413&gt;=VLOOKUP($D413,Merchantability!$B:$D,3,0),$E413&lt;=VLOOKUP($D413,Merchantability!$B:$E,4,0)),(AV413*O413)*(1-$H413/100),""),"")</f>
        <v/>
      </c>
      <c r="AZ413" s="116"/>
      <c r="BA413" s="116"/>
      <c r="BB413" s="116"/>
      <c r="BE413" s="62"/>
      <c r="BF413" s="63"/>
    </row>
    <row r="414" spans="1:58" ht="12.75" customHeight="1" x14ac:dyDescent="0.25">
      <c r="A414" s="313"/>
      <c r="B414" s="328"/>
      <c r="C414" s="329"/>
      <c r="D414" s="328"/>
      <c r="E414" s="330"/>
      <c r="F414" s="331"/>
      <c r="G414" s="329"/>
      <c r="H414" s="329"/>
      <c r="I414" s="328"/>
      <c r="J414" s="329"/>
      <c r="K414" s="329"/>
      <c r="L414" s="329"/>
      <c r="M414" s="76"/>
      <c r="N414" s="103" t="str">
        <f>IF(A414="","",VLOOKUP(A414,Stand!C:K,9,0))</f>
        <v/>
      </c>
      <c r="O414" s="104" t="str">
        <f t="shared" si="200"/>
        <v/>
      </c>
      <c r="P414" s="105" t="str">
        <f t="shared" si="201"/>
        <v/>
      </c>
      <c r="Q414" s="105" t="str">
        <f t="shared" si="216"/>
        <v/>
      </c>
      <c r="R414" s="103" t="str">
        <f t="shared" si="202"/>
        <v/>
      </c>
      <c r="S414" s="103" t="str">
        <f t="shared" si="203"/>
        <v/>
      </c>
      <c r="T414" s="106" t="str">
        <f t="shared" si="217"/>
        <v/>
      </c>
      <c r="U414" s="106" t="str">
        <f t="shared" si="218"/>
        <v/>
      </c>
      <c r="V414" s="106" t="str">
        <f t="shared" si="219"/>
        <v/>
      </c>
      <c r="W414" s="105" t="str">
        <f t="shared" si="204"/>
        <v/>
      </c>
      <c r="X414" s="104" t="str">
        <f t="shared" si="209"/>
        <v/>
      </c>
      <c r="Y414" s="104" t="str">
        <f t="array" ref="Y414">IFERROR(IF(ISNUMBER(O414),IF(COUNT(IF(A414=$A$2:$A$2427,IF(D414=$D$2:$D$2427,IF($X$2:$X$2427&gt;0,1))))&gt;0,SUM(IF(A414=$A$2:$A$2427,IF(D414=$D$2:$D$2427,$X$2:$X$2427)))/COUNT(IF(A414=$A$2:$A$2427,IF(D414=$D$2:$D$2427,IF(ISNUMBER($X$2:$X$2427),1)))),0),""),0)</f>
        <v/>
      </c>
      <c r="Z414" s="104" t="str">
        <f>IF(ISNUMBER(O414),IF(I414&gt;0,(10^(VLOOKUP(D414,'Species Codes'!B:C,2,0)+VLOOKUP(D414,'Species Codes'!B:D,3,0)*LOG(E414)+VLOOKUP(D414,'Species Codes'!B:E,4,0)*LOG(I414))),0),"")</f>
        <v/>
      </c>
      <c r="AA414" s="104" t="str">
        <f>IFERROR((VLOOKUP(D414,'Species Codes'!B:G,6,0)*Z414)/2000,"")</f>
        <v/>
      </c>
      <c r="AB414" s="104" t="e">
        <f>IF(Z414&gt;0,((IF(OR(D414="DF",D414="RA")=TRUE,EXP(VLOOKUP(D414,'Species Codes'!B:I,8,0)+VLOOKUP(D414,'Species Codes'!B:J,9,0)*(LN((E414*2.54)))),IF(OR(D414="PY",D414="RC",D414="WH",D414="NF")=TRUE,VLOOKUP(D414,'Species Codes'!B:I,8,0)+VLOOKUP(D414,'Species Codes'!B:J,9,0)*((E414*2.54)^2)*(I414*0.3048),IF(OR(D414="MD",D414="BM",D414="GA")=TRUE,((VLOOKUP(D414,'Species Codes'!B:I,8,0)*(((((E414*2.54)+VLOOKUP(D414,'Species Codes'!B:J,9,0))/VLOOKUP(D414,'Species Codes'!B:K,10,0))^VLOOKUP(D414,'Species Codes'!B:L,11,0))*((I414*0.3048)^VLOOKUP(D414,'Species Codes'!B:M,12,0))))-(VLOOKUP(D414,'Species Codes'!B:I,8,0)*((((E414*2.54)^VLOOKUP(D414,'Species Codes'!B:L,11,0))*((I414*0.3048)^VLOOKUP(D414,'Species Codes'!B:M,12,0))))))*35.3*VLOOKUP(D414,'Species Codes'!B:G,6,0)/2.2046,VLOOKUP(D414,'Species Codes'!B:I,8,0)+VLOOKUP(D414,'Species Codes'!B:J,9,0)*(((E414*2.54)/100)^2)*(I414*0.3048)))))*0.0011023),0)</f>
        <v>#N/A</v>
      </c>
      <c r="AC414" s="104" t="e">
        <f>IF(Z414&gt;0,((IF(OR(D414="RA",D414="OA",D414="OT",D414="UN",D414="PC"),EXP(VLOOKUP(D414,'Species Codes'!B:O,14,0)+VLOOKUP(D414,'Species Codes'!B:P,15,0)*LN((E414*2.54)))-EXP(VLOOKUP(D414,'Species Codes'!B:O,14,0)+VLOOKUP(D414,'Species Codes'!B:P,15,0)*LN((E414*2.54)))*(1/(VLOOKUP(D414,'Species Codes'!B:Q,16,0)+VLOOKUP(D414,'Species Codes'!B:R,17,0)*((E414*2.54)^VLOOKUP(D414,'Species Codes'!B:S,18,0)))),IF(OR(D414="BM",D414="MD",D414="OA"),EXP(VLOOKUP(D414,'Species Codes'!B:O,14,0)+VLOOKUP(D414,'Species Codes'!B:P,15,0)*LN((E414*2.54)))*(1-(1/(VLOOKUP(D414,'Species Codes'!B:Q,16,0)+VLOOKUP(D414,'Species Codes'!B:R,17,0)*((E414*2.54)^VLOOKUP(D414,'Species Codes'!B:S,18,0)))))/1000,IF(D414="DF",EXP(VLOOKUP(D414,'Species Codes'!B:O,14,0)+VLOOKUP(D414,'Species Codes'!B:P,15,0)*LN((E414*2.54))),VLOOKUP(D414,'Species Codes'!B:O,14,0)+VLOOKUP(D414,'Species Codes'!B:P,15,0)*(((E414*2.54)/100)^2)*(I414*0.3048)))))*0.0011023),0)</f>
        <v>#N/A</v>
      </c>
      <c r="AD414" s="104" t="e">
        <f t="shared" si="220"/>
        <v>#N/A</v>
      </c>
      <c r="AE414" s="104" t="e">
        <f t="shared" si="221"/>
        <v>#N/A</v>
      </c>
      <c r="AF414" s="104" t="e">
        <f>IF(AND(VLOOKUP($D414,Merchantability!$B:$C,2,0)="Yes",$E414&gt;=VLOOKUP($D414,Merchantability!$B:$D,3,0),$E414&lt;=VLOOKUP($D414,Merchantability!$B:$E,4,0)),AA414,0)</f>
        <v>#N/A</v>
      </c>
      <c r="AG414" s="104" t="e">
        <f>IF(AND(VLOOKUP($D414,Merchantability!$B:$C,2,0)="Yes",$E414&gt;=VLOOKUP($D414,Merchantability!$B:$D,3,0),$E414&lt;=VLOOKUP($D414,Merchantability!$B:$E,4,0)),AB414,0)</f>
        <v>#N/A</v>
      </c>
      <c r="AH414" s="104" t="e">
        <f>IF(AND(VLOOKUP($D414,Merchantability!$B:$C,2,0)="Yes",$E414&gt;=VLOOKUP($D414,Merchantability!$B:$D,3,0),$E414&lt;=VLOOKUP($D414,Merchantability!$B:$E,4,0)),AC414,0)</f>
        <v>#N/A</v>
      </c>
      <c r="AI414" s="104" t="e">
        <f t="shared" si="222"/>
        <v>#N/A</v>
      </c>
      <c r="AJ414" s="104" t="e">
        <f t="shared" si="223"/>
        <v>#VALUE!</v>
      </c>
      <c r="AK414" s="104" t="e">
        <f t="shared" si="224"/>
        <v>#N/A</v>
      </c>
      <c r="AL414" s="104" t="e">
        <f t="shared" si="225"/>
        <v>#N/A</v>
      </c>
      <c r="AM414" s="104" t="e">
        <f t="shared" si="226"/>
        <v>#N/A</v>
      </c>
      <c r="AN414" s="104" t="e">
        <f t="shared" si="210"/>
        <v>#N/A</v>
      </c>
      <c r="AO414" s="104" t="e">
        <f t="shared" si="211"/>
        <v>#N/A</v>
      </c>
      <c r="AP414" s="104" t="e">
        <f t="shared" si="212"/>
        <v>#N/A</v>
      </c>
      <c r="AQ414" s="104" t="e">
        <f t="shared" si="213"/>
        <v>#N/A</v>
      </c>
      <c r="AR414" s="105" t="str">
        <f t="shared" si="205"/>
        <v/>
      </c>
      <c r="AS414" s="105" t="str">
        <f t="shared" si="206"/>
        <v/>
      </c>
      <c r="AT414" s="108" t="str">
        <f t="shared" si="207"/>
        <v/>
      </c>
      <c r="AU414" s="108" t="str">
        <f t="shared" si="208"/>
        <v/>
      </c>
      <c r="AV414" s="107" t="str">
        <f>IF(ISNUMBER(O414),IF(VLOOKUP($A414,Stand!C:J,8,FALSE)="Short",AT414,AU414),"")</f>
        <v/>
      </c>
      <c r="AW414" s="109" t="str">
        <f t="shared" si="214"/>
        <v/>
      </c>
      <c r="AX414" s="109" t="str">
        <f t="shared" si="215"/>
        <v/>
      </c>
      <c r="AY414" s="112" t="str">
        <f>IF(ISNUMBER(O414),IF(AND(VLOOKUP($D414,Merchantability!$B:$C,2,0)="Yes",$E414&gt;=VLOOKUP($D414,Merchantability!$B:$D,3,0),$E414&lt;=VLOOKUP($D414,Merchantability!$B:$E,4,0)),(AV414*O414)*(1-$H414/100),""),"")</f>
        <v/>
      </c>
      <c r="AZ414" s="116"/>
      <c r="BA414" s="116"/>
      <c r="BB414" s="116"/>
      <c r="BE414" s="62"/>
      <c r="BF414" s="63"/>
    </row>
    <row r="415" spans="1:58" ht="12.75" customHeight="1" x14ac:dyDescent="0.25">
      <c r="A415" s="313"/>
      <c r="B415" s="328"/>
      <c r="C415" s="329"/>
      <c r="D415" s="328"/>
      <c r="E415" s="330"/>
      <c r="F415" s="331"/>
      <c r="G415" s="329"/>
      <c r="H415" s="329"/>
      <c r="I415" s="328"/>
      <c r="J415" s="329"/>
      <c r="K415" s="329"/>
      <c r="L415" s="329"/>
      <c r="M415" s="76"/>
      <c r="N415" s="103" t="str">
        <f>IF(A415="","",VLOOKUP(A415,Stand!C:K,9,0))</f>
        <v/>
      </c>
      <c r="O415" s="104" t="str">
        <f t="shared" si="200"/>
        <v/>
      </c>
      <c r="P415" s="105" t="str">
        <f t="shared" si="201"/>
        <v/>
      </c>
      <c r="Q415" s="105" t="str">
        <f t="shared" si="216"/>
        <v/>
      </c>
      <c r="R415" s="103" t="str">
        <f t="shared" si="202"/>
        <v/>
      </c>
      <c r="S415" s="103" t="str">
        <f t="shared" si="203"/>
        <v/>
      </c>
      <c r="T415" s="106" t="str">
        <f t="shared" si="217"/>
        <v/>
      </c>
      <c r="U415" s="106" t="str">
        <f t="shared" si="218"/>
        <v/>
      </c>
      <c r="V415" s="106" t="str">
        <f t="shared" si="219"/>
        <v/>
      </c>
      <c r="W415" s="105" t="str">
        <f t="shared" si="204"/>
        <v/>
      </c>
      <c r="X415" s="104" t="str">
        <f t="shared" si="209"/>
        <v/>
      </c>
      <c r="Y415" s="104" t="str">
        <f t="array" ref="Y415">IFERROR(IF(ISNUMBER(O415),IF(COUNT(IF(A415=$A$2:$A$2427,IF(D415=$D$2:$D$2427,IF($X$2:$X$2427&gt;0,1))))&gt;0,SUM(IF(A415=$A$2:$A$2427,IF(D415=$D$2:$D$2427,$X$2:$X$2427)))/COUNT(IF(A415=$A$2:$A$2427,IF(D415=$D$2:$D$2427,IF(ISNUMBER($X$2:$X$2427),1)))),0),""),0)</f>
        <v/>
      </c>
      <c r="Z415" s="104" t="str">
        <f>IF(ISNUMBER(O415),IF(I415&gt;0,(10^(VLOOKUP(D415,'Species Codes'!B:C,2,0)+VLOOKUP(D415,'Species Codes'!B:D,3,0)*LOG(E415)+VLOOKUP(D415,'Species Codes'!B:E,4,0)*LOG(I415))),0),"")</f>
        <v/>
      </c>
      <c r="AA415" s="104" t="str">
        <f>IFERROR((VLOOKUP(D415,'Species Codes'!B:G,6,0)*Z415)/2000,"")</f>
        <v/>
      </c>
      <c r="AB415" s="104" t="e">
        <f>IF(Z415&gt;0,((IF(OR(D415="DF",D415="RA")=TRUE,EXP(VLOOKUP(D415,'Species Codes'!B:I,8,0)+VLOOKUP(D415,'Species Codes'!B:J,9,0)*(LN((E415*2.54)))),IF(OR(D415="PY",D415="RC",D415="WH",D415="NF")=TRUE,VLOOKUP(D415,'Species Codes'!B:I,8,0)+VLOOKUP(D415,'Species Codes'!B:J,9,0)*((E415*2.54)^2)*(I415*0.3048),IF(OR(D415="MD",D415="BM",D415="GA")=TRUE,((VLOOKUP(D415,'Species Codes'!B:I,8,0)*(((((E415*2.54)+VLOOKUP(D415,'Species Codes'!B:J,9,0))/VLOOKUP(D415,'Species Codes'!B:K,10,0))^VLOOKUP(D415,'Species Codes'!B:L,11,0))*((I415*0.3048)^VLOOKUP(D415,'Species Codes'!B:M,12,0))))-(VLOOKUP(D415,'Species Codes'!B:I,8,0)*((((E415*2.54)^VLOOKUP(D415,'Species Codes'!B:L,11,0))*((I415*0.3048)^VLOOKUP(D415,'Species Codes'!B:M,12,0))))))*35.3*VLOOKUP(D415,'Species Codes'!B:G,6,0)/2.2046,VLOOKUP(D415,'Species Codes'!B:I,8,0)+VLOOKUP(D415,'Species Codes'!B:J,9,0)*(((E415*2.54)/100)^2)*(I415*0.3048)))))*0.0011023),0)</f>
        <v>#N/A</v>
      </c>
      <c r="AC415" s="104" t="e">
        <f>IF(Z415&gt;0,((IF(OR(D415="RA",D415="OA",D415="OT",D415="UN",D415="PC"),EXP(VLOOKUP(D415,'Species Codes'!B:O,14,0)+VLOOKUP(D415,'Species Codes'!B:P,15,0)*LN((E415*2.54)))-EXP(VLOOKUP(D415,'Species Codes'!B:O,14,0)+VLOOKUP(D415,'Species Codes'!B:P,15,0)*LN((E415*2.54)))*(1/(VLOOKUP(D415,'Species Codes'!B:Q,16,0)+VLOOKUP(D415,'Species Codes'!B:R,17,0)*((E415*2.54)^VLOOKUP(D415,'Species Codes'!B:S,18,0)))),IF(OR(D415="BM",D415="MD",D415="OA"),EXP(VLOOKUP(D415,'Species Codes'!B:O,14,0)+VLOOKUP(D415,'Species Codes'!B:P,15,0)*LN((E415*2.54)))*(1-(1/(VLOOKUP(D415,'Species Codes'!B:Q,16,0)+VLOOKUP(D415,'Species Codes'!B:R,17,0)*((E415*2.54)^VLOOKUP(D415,'Species Codes'!B:S,18,0)))))/1000,IF(D415="DF",EXP(VLOOKUP(D415,'Species Codes'!B:O,14,0)+VLOOKUP(D415,'Species Codes'!B:P,15,0)*LN((E415*2.54))),VLOOKUP(D415,'Species Codes'!B:O,14,0)+VLOOKUP(D415,'Species Codes'!B:P,15,0)*(((E415*2.54)/100)^2)*(I415*0.3048)))))*0.0011023),0)</f>
        <v>#N/A</v>
      </c>
      <c r="AD415" s="104" t="e">
        <f t="shared" si="220"/>
        <v>#N/A</v>
      </c>
      <c r="AE415" s="104" t="e">
        <f t="shared" si="221"/>
        <v>#N/A</v>
      </c>
      <c r="AF415" s="104" t="e">
        <f>IF(AND(VLOOKUP($D415,Merchantability!$B:$C,2,0)="Yes",$E415&gt;=VLOOKUP($D415,Merchantability!$B:$D,3,0),$E415&lt;=VLOOKUP($D415,Merchantability!$B:$E,4,0)),AA415,0)</f>
        <v>#N/A</v>
      </c>
      <c r="AG415" s="104" t="e">
        <f>IF(AND(VLOOKUP($D415,Merchantability!$B:$C,2,0)="Yes",$E415&gt;=VLOOKUP($D415,Merchantability!$B:$D,3,0),$E415&lt;=VLOOKUP($D415,Merchantability!$B:$E,4,0)),AB415,0)</f>
        <v>#N/A</v>
      </c>
      <c r="AH415" s="104" t="e">
        <f>IF(AND(VLOOKUP($D415,Merchantability!$B:$C,2,0)="Yes",$E415&gt;=VLOOKUP($D415,Merchantability!$B:$D,3,0),$E415&lt;=VLOOKUP($D415,Merchantability!$B:$E,4,0)),AC415,0)</f>
        <v>#N/A</v>
      </c>
      <c r="AI415" s="104" t="e">
        <f t="shared" si="222"/>
        <v>#N/A</v>
      </c>
      <c r="AJ415" s="104" t="e">
        <f t="shared" si="223"/>
        <v>#VALUE!</v>
      </c>
      <c r="AK415" s="104" t="e">
        <f t="shared" si="224"/>
        <v>#N/A</v>
      </c>
      <c r="AL415" s="104" t="e">
        <f t="shared" si="225"/>
        <v>#N/A</v>
      </c>
      <c r="AM415" s="104" t="e">
        <f t="shared" si="226"/>
        <v>#N/A</v>
      </c>
      <c r="AN415" s="104" t="e">
        <f t="shared" si="210"/>
        <v>#N/A</v>
      </c>
      <c r="AO415" s="104" t="e">
        <f t="shared" si="211"/>
        <v>#N/A</v>
      </c>
      <c r="AP415" s="104" t="e">
        <f t="shared" si="212"/>
        <v>#N/A</v>
      </c>
      <c r="AQ415" s="104" t="e">
        <f t="shared" si="213"/>
        <v>#N/A</v>
      </c>
      <c r="AR415" s="105" t="str">
        <f t="shared" si="205"/>
        <v/>
      </c>
      <c r="AS415" s="105" t="str">
        <f t="shared" si="206"/>
        <v/>
      </c>
      <c r="AT415" s="108" t="str">
        <f t="shared" si="207"/>
        <v/>
      </c>
      <c r="AU415" s="108" t="str">
        <f t="shared" si="208"/>
        <v/>
      </c>
      <c r="AV415" s="107" t="str">
        <f>IF(ISNUMBER(O415),IF(VLOOKUP($A415,Stand!C:J,8,FALSE)="Short",AT415,AU415),"")</f>
        <v/>
      </c>
      <c r="AW415" s="109" t="str">
        <f t="shared" si="214"/>
        <v/>
      </c>
      <c r="AX415" s="109" t="str">
        <f t="shared" si="215"/>
        <v/>
      </c>
      <c r="AY415" s="112" t="str">
        <f>IF(ISNUMBER(O415),IF(AND(VLOOKUP($D415,Merchantability!$B:$C,2,0)="Yes",$E415&gt;=VLOOKUP($D415,Merchantability!$B:$D,3,0),$E415&lt;=VLOOKUP($D415,Merchantability!$B:$E,4,0)),(AV415*O415)*(1-$H415/100),""),"")</f>
        <v/>
      </c>
      <c r="AZ415" s="116"/>
      <c r="BA415" s="116"/>
      <c r="BB415" s="116"/>
      <c r="BE415" s="62"/>
      <c r="BF415" s="63"/>
    </row>
    <row r="416" spans="1:58" ht="12.75" customHeight="1" x14ac:dyDescent="0.25">
      <c r="A416" s="313"/>
      <c r="B416" s="328"/>
      <c r="C416" s="329"/>
      <c r="D416" s="328"/>
      <c r="E416" s="330"/>
      <c r="F416" s="331"/>
      <c r="G416" s="329"/>
      <c r="H416" s="329"/>
      <c r="I416" s="328"/>
      <c r="J416" s="329"/>
      <c r="K416" s="329"/>
      <c r="L416" s="329"/>
      <c r="M416" s="76"/>
      <c r="N416" s="103" t="str">
        <f>IF(A416="","",VLOOKUP(A416,Stand!C:K,9,0))</f>
        <v/>
      </c>
      <c r="O416" s="104" t="str">
        <f t="shared" si="200"/>
        <v/>
      </c>
      <c r="P416" s="105" t="str">
        <f t="shared" si="201"/>
        <v/>
      </c>
      <c r="Q416" s="105" t="str">
        <f t="shared" si="216"/>
        <v/>
      </c>
      <c r="R416" s="103" t="str">
        <f t="shared" si="202"/>
        <v/>
      </c>
      <c r="S416" s="103" t="str">
        <f t="shared" si="203"/>
        <v/>
      </c>
      <c r="T416" s="106" t="str">
        <f t="shared" si="217"/>
        <v/>
      </c>
      <c r="U416" s="106" t="str">
        <f t="shared" si="218"/>
        <v/>
      </c>
      <c r="V416" s="106" t="str">
        <f t="shared" si="219"/>
        <v/>
      </c>
      <c r="W416" s="105" t="str">
        <f t="shared" si="204"/>
        <v/>
      </c>
      <c r="X416" s="104" t="str">
        <f t="shared" si="209"/>
        <v/>
      </c>
      <c r="Y416" s="104" t="str">
        <f t="array" ref="Y416">IFERROR(IF(ISNUMBER(O416),IF(COUNT(IF(A416=$A$2:$A$2427,IF(D416=$D$2:$D$2427,IF($X$2:$X$2427&gt;0,1))))&gt;0,SUM(IF(A416=$A$2:$A$2427,IF(D416=$D$2:$D$2427,$X$2:$X$2427)))/COUNT(IF(A416=$A$2:$A$2427,IF(D416=$D$2:$D$2427,IF(ISNUMBER($X$2:$X$2427),1)))),0),""),0)</f>
        <v/>
      </c>
      <c r="Z416" s="104" t="str">
        <f>IF(ISNUMBER(O416),IF(I416&gt;0,(10^(VLOOKUP(D416,'Species Codes'!B:C,2,0)+VLOOKUP(D416,'Species Codes'!B:D,3,0)*LOG(E416)+VLOOKUP(D416,'Species Codes'!B:E,4,0)*LOG(I416))),0),"")</f>
        <v/>
      </c>
      <c r="AA416" s="104" t="str">
        <f>IFERROR((VLOOKUP(D416,'Species Codes'!B:G,6,0)*Z416)/2000,"")</f>
        <v/>
      </c>
      <c r="AB416" s="104" t="e">
        <f>IF(Z416&gt;0,((IF(OR(D416="DF",D416="RA")=TRUE,EXP(VLOOKUP(D416,'Species Codes'!B:I,8,0)+VLOOKUP(D416,'Species Codes'!B:J,9,0)*(LN((E416*2.54)))),IF(OR(D416="PY",D416="RC",D416="WH",D416="NF")=TRUE,VLOOKUP(D416,'Species Codes'!B:I,8,0)+VLOOKUP(D416,'Species Codes'!B:J,9,0)*((E416*2.54)^2)*(I416*0.3048),IF(OR(D416="MD",D416="BM",D416="GA")=TRUE,((VLOOKUP(D416,'Species Codes'!B:I,8,0)*(((((E416*2.54)+VLOOKUP(D416,'Species Codes'!B:J,9,0))/VLOOKUP(D416,'Species Codes'!B:K,10,0))^VLOOKUP(D416,'Species Codes'!B:L,11,0))*((I416*0.3048)^VLOOKUP(D416,'Species Codes'!B:M,12,0))))-(VLOOKUP(D416,'Species Codes'!B:I,8,0)*((((E416*2.54)^VLOOKUP(D416,'Species Codes'!B:L,11,0))*((I416*0.3048)^VLOOKUP(D416,'Species Codes'!B:M,12,0))))))*35.3*VLOOKUP(D416,'Species Codes'!B:G,6,0)/2.2046,VLOOKUP(D416,'Species Codes'!B:I,8,0)+VLOOKUP(D416,'Species Codes'!B:J,9,0)*(((E416*2.54)/100)^2)*(I416*0.3048)))))*0.0011023),0)</f>
        <v>#N/A</v>
      </c>
      <c r="AC416" s="104" t="e">
        <f>IF(Z416&gt;0,((IF(OR(D416="RA",D416="OA",D416="OT",D416="UN",D416="PC"),EXP(VLOOKUP(D416,'Species Codes'!B:O,14,0)+VLOOKUP(D416,'Species Codes'!B:P,15,0)*LN((E416*2.54)))-EXP(VLOOKUP(D416,'Species Codes'!B:O,14,0)+VLOOKUP(D416,'Species Codes'!B:P,15,0)*LN((E416*2.54)))*(1/(VLOOKUP(D416,'Species Codes'!B:Q,16,0)+VLOOKUP(D416,'Species Codes'!B:R,17,0)*((E416*2.54)^VLOOKUP(D416,'Species Codes'!B:S,18,0)))),IF(OR(D416="BM",D416="MD",D416="OA"),EXP(VLOOKUP(D416,'Species Codes'!B:O,14,0)+VLOOKUP(D416,'Species Codes'!B:P,15,0)*LN((E416*2.54)))*(1-(1/(VLOOKUP(D416,'Species Codes'!B:Q,16,0)+VLOOKUP(D416,'Species Codes'!B:R,17,0)*((E416*2.54)^VLOOKUP(D416,'Species Codes'!B:S,18,0)))))/1000,IF(D416="DF",EXP(VLOOKUP(D416,'Species Codes'!B:O,14,0)+VLOOKUP(D416,'Species Codes'!B:P,15,0)*LN((E416*2.54))),VLOOKUP(D416,'Species Codes'!B:O,14,0)+VLOOKUP(D416,'Species Codes'!B:P,15,0)*(((E416*2.54)/100)^2)*(I416*0.3048)))))*0.0011023),0)</f>
        <v>#N/A</v>
      </c>
      <c r="AD416" s="104" t="e">
        <f t="shared" si="220"/>
        <v>#N/A</v>
      </c>
      <c r="AE416" s="104" t="e">
        <f t="shared" si="221"/>
        <v>#N/A</v>
      </c>
      <c r="AF416" s="104" t="e">
        <f>IF(AND(VLOOKUP($D416,Merchantability!$B:$C,2,0)="Yes",$E416&gt;=VLOOKUP($D416,Merchantability!$B:$D,3,0),$E416&lt;=VLOOKUP($D416,Merchantability!$B:$E,4,0)),AA416,0)</f>
        <v>#N/A</v>
      </c>
      <c r="AG416" s="104" t="e">
        <f>IF(AND(VLOOKUP($D416,Merchantability!$B:$C,2,0)="Yes",$E416&gt;=VLOOKUP($D416,Merchantability!$B:$D,3,0),$E416&lt;=VLOOKUP($D416,Merchantability!$B:$E,4,0)),AB416,0)</f>
        <v>#N/A</v>
      </c>
      <c r="AH416" s="104" t="e">
        <f>IF(AND(VLOOKUP($D416,Merchantability!$B:$C,2,0)="Yes",$E416&gt;=VLOOKUP($D416,Merchantability!$B:$D,3,0),$E416&lt;=VLOOKUP($D416,Merchantability!$B:$E,4,0)),AC416,0)</f>
        <v>#N/A</v>
      </c>
      <c r="AI416" s="104" t="e">
        <f t="shared" si="222"/>
        <v>#N/A</v>
      </c>
      <c r="AJ416" s="104" t="e">
        <f t="shared" si="223"/>
        <v>#VALUE!</v>
      </c>
      <c r="AK416" s="104" t="e">
        <f t="shared" si="224"/>
        <v>#N/A</v>
      </c>
      <c r="AL416" s="104" t="e">
        <f t="shared" si="225"/>
        <v>#N/A</v>
      </c>
      <c r="AM416" s="104" t="e">
        <f t="shared" si="226"/>
        <v>#N/A</v>
      </c>
      <c r="AN416" s="104" t="e">
        <f t="shared" si="210"/>
        <v>#N/A</v>
      </c>
      <c r="AO416" s="104" t="e">
        <f t="shared" si="211"/>
        <v>#N/A</v>
      </c>
      <c r="AP416" s="104" t="e">
        <f t="shared" si="212"/>
        <v>#N/A</v>
      </c>
      <c r="AQ416" s="104" t="e">
        <f t="shared" si="213"/>
        <v>#N/A</v>
      </c>
      <c r="AR416" s="105" t="str">
        <f t="shared" si="205"/>
        <v/>
      </c>
      <c r="AS416" s="105" t="str">
        <f t="shared" si="206"/>
        <v/>
      </c>
      <c r="AT416" s="108" t="str">
        <f t="shared" si="207"/>
        <v/>
      </c>
      <c r="AU416" s="108" t="str">
        <f t="shared" si="208"/>
        <v/>
      </c>
      <c r="AV416" s="107" t="str">
        <f>IF(ISNUMBER(O416),IF(VLOOKUP($A416,Stand!C:J,8,FALSE)="Short",AT416,AU416),"")</f>
        <v/>
      </c>
      <c r="AW416" s="109" t="str">
        <f t="shared" si="214"/>
        <v/>
      </c>
      <c r="AX416" s="109" t="str">
        <f t="shared" si="215"/>
        <v/>
      </c>
      <c r="AY416" s="112" t="str">
        <f>IF(ISNUMBER(O416),IF(AND(VLOOKUP($D416,Merchantability!$B:$C,2,0)="Yes",$E416&gt;=VLOOKUP($D416,Merchantability!$B:$D,3,0),$E416&lt;=VLOOKUP($D416,Merchantability!$B:$E,4,0)),(AV416*O416)*(1-$H416/100),""),"")</f>
        <v/>
      </c>
      <c r="AZ416" s="116"/>
      <c r="BA416" s="116"/>
      <c r="BB416" s="116"/>
      <c r="BE416" s="62"/>
      <c r="BF416" s="63"/>
    </row>
    <row r="417" spans="1:58" ht="12.75" customHeight="1" x14ac:dyDescent="0.25">
      <c r="A417" s="313"/>
      <c r="B417" s="328"/>
      <c r="C417" s="329"/>
      <c r="D417" s="328"/>
      <c r="E417" s="330"/>
      <c r="F417" s="331"/>
      <c r="G417" s="329"/>
      <c r="H417" s="329"/>
      <c r="I417" s="328"/>
      <c r="J417" s="329"/>
      <c r="K417" s="329"/>
      <c r="L417" s="329"/>
      <c r="M417" s="76"/>
      <c r="N417" s="103" t="str">
        <f>IF(A417="","",VLOOKUP(A417,Stand!C:K,9,0))</f>
        <v/>
      </c>
      <c r="O417" s="104" t="str">
        <f t="shared" si="200"/>
        <v/>
      </c>
      <c r="P417" s="105" t="str">
        <f t="shared" si="201"/>
        <v/>
      </c>
      <c r="Q417" s="105" t="str">
        <f t="shared" si="216"/>
        <v/>
      </c>
      <c r="R417" s="103" t="str">
        <f t="shared" si="202"/>
        <v/>
      </c>
      <c r="S417" s="103" t="str">
        <f t="shared" si="203"/>
        <v/>
      </c>
      <c r="T417" s="106" t="str">
        <f t="shared" si="217"/>
        <v/>
      </c>
      <c r="U417" s="106" t="str">
        <f t="shared" si="218"/>
        <v/>
      </c>
      <c r="V417" s="106" t="str">
        <f t="shared" si="219"/>
        <v/>
      </c>
      <c r="W417" s="105" t="str">
        <f t="shared" si="204"/>
        <v/>
      </c>
      <c r="X417" s="104" t="str">
        <f t="shared" si="209"/>
        <v/>
      </c>
      <c r="Y417" s="104" t="str">
        <f t="array" ref="Y417">IFERROR(IF(ISNUMBER(O417),IF(COUNT(IF(A417=$A$2:$A$2427,IF(D417=$D$2:$D$2427,IF($X$2:$X$2427&gt;0,1))))&gt;0,SUM(IF(A417=$A$2:$A$2427,IF(D417=$D$2:$D$2427,$X$2:$X$2427)))/COUNT(IF(A417=$A$2:$A$2427,IF(D417=$D$2:$D$2427,IF(ISNUMBER($X$2:$X$2427),1)))),0),""),0)</f>
        <v/>
      </c>
      <c r="Z417" s="104" t="str">
        <f>IF(ISNUMBER(O417),IF(I417&gt;0,(10^(VLOOKUP(D417,'Species Codes'!B:C,2,0)+VLOOKUP(D417,'Species Codes'!B:D,3,0)*LOG(E417)+VLOOKUP(D417,'Species Codes'!B:E,4,0)*LOG(I417))),0),"")</f>
        <v/>
      </c>
      <c r="AA417" s="104" t="str">
        <f>IFERROR((VLOOKUP(D417,'Species Codes'!B:G,6,0)*Z417)/2000,"")</f>
        <v/>
      </c>
      <c r="AB417" s="104" t="e">
        <f>IF(Z417&gt;0,((IF(OR(D417="DF",D417="RA")=TRUE,EXP(VLOOKUP(D417,'Species Codes'!B:I,8,0)+VLOOKUP(D417,'Species Codes'!B:J,9,0)*(LN((E417*2.54)))),IF(OR(D417="PY",D417="RC",D417="WH",D417="NF")=TRUE,VLOOKUP(D417,'Species Codes'!B:I,8,0)+VLOOKUP(D417,'Species Codes'!B:J,9,0)*((E417*2.54)^2)*(I417*0.3048),IF(OR(D417="MD",D417="BM",D417="GA")=TRUE,((VLOOKUP(D417,'Species Codes'!B:I,8,0)*(((((E417*2.54)+VLOOKUP(D417,'Species Codes'!B:J,9,0))/VLOOKUP(D417,'Species Codes'!B:K,10,0))^VLOOKUP(D417,'Species Codes'!B:L,11,0))*((I417*0.3048)^VLOOKUP(D417,'Species Codes'!B:M,12,0))))-(VLOOKUP(D417,'Species Codes'!B:I,8,0)*((((E417*2.54)^VLOOKUP(D417,'Species Codes'!B:L,11,0))*((I417*0.3048)^VLOOKUP(D417,'Species Codes'!B:M,12,0))))))*35.3*VLOOKUP(D417,'Species Codes'!B:G,6,0)/2.2046,VLOOKUP(D417,'Species Codes'!B:I,8,0)+VLOOKUP(D417,'Species Codes'!B:J,9,0)*(((E417*2.54)/100)^2)*(I417*0.3048)))))*0.0011023),0)</f>
        <v>#N/A</v>
      </c>
      <c r="AC417" s="104" t="e">
        <f>IF(Z417&gt;0,((IF(OR(D417="RA",D417="OA",D417="OT",D417="UN",D417="PC"),EXP(VLOOKUP(D417,'Species Codes'!B:O,14,0)+VLOOKUP(D417,'Species Codes'!B:P,15,0)*LN((E417*2.54)))-EXP(VLOOKUP(D417,'Species Codes'!B:O,14,0)+VLOOKUP(D417,'Species Codes'!B:P,15,0)*LN((E417*2.54)))*(1/(VLOOKUP(D417,'Species Codes'!B:Q,16,0)+VLOOKUP(D417,'Species Codes'!B:R,17,0)*((E417*2.54)^VLOOKUP(D417,'Species Codes'!B:S,18,0)))),IF(OR(D417="BM",D417="MD",D417="OA"),EXP(VLOOKUP(D417,'Species Codes'!B:O,14,0)+VLOOKUP(D417,'Species Codes'!B:P,15,0)*LN((E417*2.54)))*(1-(1/(VLOOKUP(D417,'Species Codes'!B:Q,16,0)+VLOOKUP(D417,'Species Codes'!B:R,17,0)*((E417*2.54)^VLOOKUP(D417,'Species Codes'!B:S,18,0)))))/1000,IF(D417="DF",EXP(VLOOKUP(D417,'Species Codes'!B:O,14,0)+VLOOKUP(D417,'Species Codes'!B:P,15,0)*LN((E417*2.54))),VLOOKUP(D417,'Species Codes'!B:O,14,0)+VLOOKUP(D417,'Species Codes'!B:P,15,0)*(((E417*2.54)/100)^2)*(I417*0.3048)))))*0.0011023),0)</f>
        <v>#N/A</v>
      </c>
      <c r="AD417" s="104" t="e">
        <f t="shared" si="220"/>
        <v>#N/A</v>
      </c>
      <c r="AE417" s="104" t="e">
        <f t="shared" si="221"/>
        <v>#N/A</v>
      </c>
      <c r="AF417" s="104" t="e">
        <f>IF(AND(VLOOKUP($D417,Merchantability!$B:$C,2,0)="Yes",$E417&gt;=VLOOKUP($D417,Merchantability!$B:$D,3,0),$E417&lt;=VLOOKUP($D417,Merchantability!$B:$E,4,0)),AA417,0)</f>
        <v>#N/A</v>
      </c>
      <c r="AG417" s="104" t="e">
        <f>IF(AND(VLOOKUP($D417,Merchantability!$B:$C,2,0)="Yes",$E417&gt;=VLOOKUP($D417,Merchantability!$B:$D,3,0),$E417&lt;=VLOOKUP($D417,Merchantability!$B:$E,4,0)),AB417,0)</f>
        <v>#N/A</v>
      </c>
      <c r="AH417" s="104" t="e">
        <f>IF(AND(VLOOKUP($D417,Merchantability!$B:$C,2,0)="Yes",$E417&gt;=VLOOKUP($D417,Merchantability!$B:$D,3,0),$E417&lt;=VLOOKUP($D417,Merchantability!$B:$E,4,0)),AC417,0)</f>
        <v>#N/A</v>
      </c>
      <c r="AI417" s="104" t="e">
        <f t="shared" si="222"/>
        <v>#N/A</v>
      </c>
      <c r="AJ417" s="104" t="e">
        <f t="shared" si="223"/>
        <v>#VALUE!</v>
      </c>
      <c r="AK417" s="104" t="e">
        <f t="shared" si="224"/>
        <v>#N/A</v>
      </c>
      <c r="AL417" s="104" t="e">
        <f t="shared" si="225"/>
        <v>#N/A</v>
      </c>
      <c r="AM417" s="104" t="e">
        <f t="shared" si="226"/>
        <v>#N/A</v>
      </c>
      <c r="AN417" s="104" t="e">
        <f t="shared" si="210"/>
        <v>#N/A</v>
      </c>
      <c r="AO417" s="104" t="e">
        <f t="shared" si="211"/>
        <v>#N/A</v>
      </c>
      <c r="AP417" s="104" t="e">
        <f t="shared" si="212"/>
        <v>#N/A</v>
      </c>
      <c r="AQ417" s="104" t="e">
        <f t="shared" si="213"/>
        <v>#N/A</v>
      </c>
      <c r="AR417" s="105" t="str">
        <f t="shared" si="205"/>
        <v/>
      </c>
      <c r="AS417" s="105" t="str">
        <f t="shared" si="206"/>
        <v/>
      </c>
      <c r="AT417" s="108" t="str">
        <f t="shared" si="207"/>
        <v/>
      </c>
      <c r="AU417" s="108" t="str">
        <f t="shared" si="208"/>
        <v/>
      </c>
      <c r="AV417" s="107" t="str">
        <f>IF(ISNUMBER(O417),IF(VLOOKUP($A417,Stand!C:J,8,FALSE)="Short",AT417,AU417),"")</f>
        <v/>
      </c>
      <c r="AW417" s="109" t="str">
        <f t="shared" si="214"/>
        <v/>
      </c>
      <c r="AX417" s="109" t="str">
        <f t="shared" si="215"/>
        <v/>
      </c>
      <c r="AY417" s="112" t="str">
        <f>IF(ISNUMBER(O417),IF(AND(VLOOKUP($D417,Merchantability!$B:$C,2,0)="Yes",$E417&gt;=VLOOKUP($D417,Merchantability!$B:$D,3,0),$E417&lt;=VLOOKUP($D417,Merchantability!$B:$E,4,0)),(AV417*O417)*(1-$H417/100),""),"")</f>
        <v/>
      </c>
      <c r="AZ417" s="116"/>
      <c r="BA417" s="116"/>
      <c r="BB417" s="116"/>
      <c r="BE417" s="62"/>
      <c r="BF417" s="63"/>
    </row>
    <row r="418" spans="1:58" ht="12.75" customHeight="1" x14ac:dyDescent="0.25">
      <c r="A418" s="313"/>
      <c r="B418" s="328"/>
      <c r="C418" s="329"/>
      <c r="D418" s="328"/>
      <c r="E418" s="330"/>
      <c r="F418" s="331"/>
      <c r="G418" s="329"/>
      <c r="H418" s="329"/>
      <c r="I418" s="328"/>
      <c r="J418" s="329"/>
      <c r="K418" s="329"/>
      <c r="L418" s="329"/>
      <c r="M418" s="76"/>
      <c r="N418" s="103" t="str">
        <f>IF(A418="","",VLOOKUP(A418,Stand!C:K,9,0))</f>
        <v/>
      </c>
      <c r="O418" s="104" t="str">
        <f t="shared" si="200"/>
        <v/>
      </c>
      <c r="P418" s="105" t="str">
        <f t="shared" si="201"/>
        <v/>
      </c>
      <c r="Q418" s="105" t="str">
        <f t="shared" si="216"/>
        <v/>
      </c>
      <c r="R418" s="103" t="str">
        <f t="shared" si="202"/>
        <v/>
      </c>
      <c r="S418" s="103" t="str">
        <f t="shared" si="203"/>
        <v/>
      </c>
      <c r="T418" s="106" t="str">
        <f t="shared" si="217"/>
        <v/>
      </c>
      <c r="U418" s="106" t="str">
        <f t="shared" si="218"/>
        <v/>
      </c>
      <c r="V418" s="106" t="str">
        <f t="shared" si="219"/>
        <v/>
      </c>
      <c r="W418" s="105" t="str">
        <f t="shared" si="204"/>
        <v/>
      </c>
      <c r="X418" s="104" t="str">
        <f t="shared" si="209"/>
        <v/>
      </c>
      <c r="Y418" s="104" t="str">
        <f t="array" ref="Y418">IFERROR(IF(ISNUMBER(O418),IF(COUNT(IF(A418=$A$2:$A$2427,IF(D418=$D$2:$D$2427,IF($X$2:$X$2427&gt;0,1))))&gt;0,SUM(IF(A418=$A$2:$A$2427,IF(D418=$D$2:$D$2427,$X$2:$X$2427)))/COUNT(IF(A418=$A$2:$A$2427,IF(D418=$D$2:$D$2427,IF(ISNUMBER($X$2:$X$2427),1)))),0),""),0)</f>
        <v/>
      </c>
      <c r="Z418" s="104" t="str">
        <f>IF(ISNUMBER(O418),IF(I418&gt;0,(10^(VLOOKUP(D418,'Species Codes'!B:C,2,0)+VLOOKUP(D418,'Species Codes'!B:D,3,0)*LOG(E418)+VLOOKUP(D418,'Species Codes'!B:E,4,0)*LOG(I418))),0),"")</f>
        <v/>
      </c>
      <c r="AA418" s="104" t="str">
        <f>IFERROR((VLOOKUP(D418,'Species Codes'!B:G,6,0)*Z418)/2000,"")</f>
        <v/>
      </c>
      <c r="AB418" s="104" t="e">
        <f>IF(Z418&gt;0,((IF(OR(D418="DF",D418="RA")=TRUE,EXP(VLOOKUP(D418,'Species Codes'!B:I,8,0)+VLOOKUP(D418,'Species Codes'!B:J,9,0)*(LN((E418*2.54)))),IF(OR(D418="PY",D418="RC",D418="WH",D418="NF")=TRUE,VLOOKUP(D418,'Species Codes'!B:I,8,0)+VLOOKUP(D418,'Species Codes'!B:J,9,0)*((E418*2.54)^2)*(I418*0.3048),IF(OR(D418="MD",D418="BM",D418="GA")=TRUE,((VLOOKUP(D418,'Species Codes'!B:I,8,0)*(((((E418*2.54)+VLOOKUP(D418,'Species Codes'!B:J,9,0))/VLOOKUP(D418,'Species Codes'!B:K,10,0))^VLOOKUP(D418,'Species Codes'!B:L,11,0))*((I418*0.3048)^VLOOKUP(D418,'Species Codes'!B:M,12,0))))-(VLOOKUP(D418,'Species Codes'!B:I,8,0)*((((E418*2.54)^VLOOKUP(D418,'Species Codes'!B:L,11,0))*((I418*0.3048)^VLOOKUP(D418,'Species Codes'!B:M,12,0))))))*35.3*VLOOKUP(D418,'Species Codes'!B:G,6,0)/2.2046,VLOOKUP(D418,'Species Codes'!B:I,8,0)+VLOOKUP(D418,'Species Codes'!B:J,9,0)*(((E418*2.54)/100)^2)*(I418*0.3048)))))*0.0011023),0)</f>
        <v>#N/A</v>
      </c>
      <c r="AC418" s="104" t="e">
        <f>IF(Z418&gt;0,((IF(OR(D418="RA",D418="OA",D418="OT",D418="UN",D418="PC"),EXP(VLOOKUP(D418,'Species Codes'!B:O,14,0)+VLOOKUP(D418,'Species Codes'!B:P,15,0)*LN((E418*2.54)))-EXP(VLOOKUP(D418,'Species Codes'!B:O,14,0)+VLOOKUP(D418,'Species Codes'!B:P,15,0)*LN((E418*2.54)))*(1/(VLOOKUP(D418,'Species Codes'!B:Q,16,0)+VLOOKUP(D418,'Species Codes'!B:R,17,0)*((E418*2.54)^VLOOKUP(D418,'Species Codes'!B:S,18,0)))),IF(OR(D418="BM",D418="MD",D418="OA"),EXP(VLOOKUP(D418,'Species Codes'!B:O,14,0)+VLOOKUP(D418,'Species Codes'!B:P,15,0)*LN((E418*2.54)))*(1-(1/(VLOOKUP(D418,'Species Codes'!B:Q,16,0)+VLOOKUP(D418,'Species Codes'!B:R,17,0)*((E418*2.54)^VLOOKUP(D418,'Species Codes'!B:S,18,0)))))/1000,IF(D418="DF",EXP(VLOOKUP(D418,'Species Codes'!B:O,14,0)+VLOOKUP(D418,'Species Codes'!B:P,15,0)*LN((E418*2.54))),VLOOKUP(D418,'Species Codes'!B:O,14,0)+VLOOKUP(D418,'Species Codes'!B:P,15,0)*(((E418*2.54)/100)^2)*(I418*0.3048)))))*0.0011023),0)</f>
        <v>#N/A</v>
      </c>
      <c r="AD418" s="104" t="e">
        <f t="shared" si="220"/>
        <v>#N/A</v>
      </c>
      <c r="AE418" s="104" t="e">
        <f t="shared" si="221"/>
        <v>#N/A</v>
      </c>
      <c r="AF418" s="104" t="e">
        <f>IF(AND(VLOOKUP($D418,Merchantability!$B:$C,2,0)="Yes",$E418&gt;=VLOOKUP($D418,Merchantability!$B:$D,3,0),$E418&lt;=VLOOKUP($D418,Merchantability!$B:$E,4,0)),AA418,0)</f>
        <v>#N/A</v>
      </c>
      <c r="AG418" s="104" t="e">
        <f>IF(AND(VLOOKUP($D418,Merchantability!$B:$C,2,0)="Yes",$E418&gt;=VLOOKUP($D418,Merchantability!$B:$D,3,0),$E418&lt;=VLOOKUP($D418,Merchantability!$B:$E,4,0)),AB418,0)</f>
        <v>#N/A</v>
      </c>
      <c r="AH418" s="104" t="e">
        <f>IF(AND(VLOOKUP($D418,Merchantability!$B:$C,2,0)="Yes",$E418&gt;=VLOOKUP($D418,Merchantability!$B:$D,3,0),$E418&lt;=VLOOKUP($D418,Merchantability!$B:$E,4,0)),AC418,0)</f>
        <v>#N/A</v>
      </c>
      <c r="AI418" s="104" t="e">
        <f t="shared" si="222"/>
        <v>#N/A</v>
      </c>
      <c r="AJ418" s="104" t="e">
        <f t="shared" si="223"/>
        <v>#VALUE!</v>
      </c>
      <c r="AK418" s="104" t="e">
        <f t="shared" si="224"/>
        <v>#N/A</v>
      </c>
      <c r="AL418" s="104" t="e">
        <f t="shared" si="225"/>
        <v>#N/A</v>
      </c>
      <c r="AM418" s="104" t="e">
        <f t="shared" si="226"/>
        <v>#N/A</v>
      </c>
      <c r="AN418" s="104" t="e">
        <f t="shared" si="210"/>
        <v>#N/A</v>
      </c>
      <c r="AO418" s="104" t="e">
        <f t="shared" si="211"/>
        <v>#N/A</v>
      </c>
      <c r="AP418" s="104" t="e">
        <f t="shared" si="212"/>
        <v>#N/A</v>
      </c>
      <c r="AQ418" s="104" t="e">
        <f t="shared" si="213"/>
        <v>#N/A</v>
      </c>
      <c r="AR418" s="105" t="str">
        <f t="shared" si="205"/>
        <v/>
      </c>
      <c r="AS418" s="105" t="str">
        <f t="shared" si="206"/>
        <v/>
      </c>
      <c r="AT418" s="108" t="str">
        <f t="shared" si="207"/>
        <v/>
      </c>
      <c r="AU418" s="108" t="str">
        <f t="shared" si="208"/>
        <v/>
      </c>
      <c r="AV418" s="107" t="str">
        <f>IF(ISNUMBER(O418),IF(VLOOKUP($A418,Stand!C:J,8,FALSE)="Short",AT418,AU418),"")</f>
        <v/>
      </c>
      <c r="AW418" s="109" t="str">
        <f t="shared" si="214"/>
        <v/>
      </c>
      <c r="AX418" s="109" t="str">
        <f t="shared" si="215"/>
        <v/>
      </c>
      <c r="AY418" s="112" t="str">
        <f>IF(ISNUMBER(O418),IF(AND(VLOOKUP($D418,Merchantability!$B:$C,2,0)="Yes",$E418&gt;=VLOOKUP($D418,Merchantability!$B:$D,3,0),$E418&lt;=VLOOKUP($D418,Merchantability!$B:$E,4,0)),(AV418*O418)*(1-$H418/100),""),"")</f>
        <v/>
      </c>
      <c r="AZ418" s="116"/>
      <c r="BA418" s="116"/>
      <c r="BB418" s="116"/>
      <c r="BE418" s="62"/>
      <c r="BF418" s="63"/>
    </row>
    <row r="419" spans="1:58" ht="12.75" customHeight="1" x14ac:dyDescent="0.25">
      <c r="A419" s="313"/>
      <c r="B419" s="328"/>
      <c r="C419" s="329"/>
      <c r="D419" s="328"/>
      <c r="E419" s="330"/>
      <c r="F419" s="331"/>
      <c r="G419" s="329"/>
      <c r="H419" s="329"/>
      <c r="I419" s="328"/>
      <c r="J419" s="329"/>
      <c r="K419" s="329"/>
      <c r="L419" s="329"/>
      <c r="M419" s="76"/>
      <c r="N419" s="103" t="str">
        <f>IF(A419="","",VLOOKUP(A419,Stand!C:K,9,0))</f>
        <v/>
      </c>
      <c r="O419" s="104" t="str">
        <f t="shared" si="200"/>
        <v/>
      </c>
      <c r="P419" s="105" t="str">
        <f t="shared" si="201"/>
        <v/>
      </c>
      <c r="Q419" s="105" t="str">
        <f t="shared" si="216"/>
        <v/>
      </c>
      <c r="R419" s="103" t="str">
        <f t="shared" si="202"/>
        <v/>
      </c>
      <c r="S419" s="103" t="str">
        <f t="shared" si="203"/>
        <v/>
      </c>
      <c r="T419" s="106" t="str">
        <f t="shared" si="217"/>
        <v/>
      </c>
      <c r="U419" s="106" t="str">
        <f t="shared" si="218"/>
        <v/>
      </c>
      <c r="V419" s="106" t="str">
        <f t="shared" si="219"/>
        <v/>
      </c>
      <c r="W419" s="105" t="str">
        <f t="shared" si="204"/>
        <v/>
      </c>
      <c r="X419" s="104" t="str">
        <f t="shared" si="209"/>
        <v/>
      </c>
      <c r="Y419" s="104" t="str">
        <f t="array" ref="Y419">IFERROR(IF(ISNUMBER(O419),IF(COUNT(IF(A419=$A$2:$A$2427,IF(D419=$D$2:$D$2427,IF($X$2:$X$2427&gt;0,1))))&gt;0,SUM(IF(A419=$A$2:$A$2427,IF(D419=$D$2:$D$2427,$X$2:$X$2427)))/COUNT(IF(A419=$A$2:$A$2427,IF(D419=$D$2:$D$2427,IF(ISNUMBER($X$2:$X$2427),1)))),0),""),0)</f>
        <v/>
      </c>
      <c r="Z419" s="104" t="str">
        <f>IF(ISNUMBER(O419),IF(I419&gt;0,(10^(VLOOKUP(D419,'Species Codes'!B:C,2,0)+VLOOKUP(D419,'Species Codes'!B:D,3,0)*LOG(E419)+VLOOKUP(D419,'Species Codes'!B:E,4,0)*LOG(I419))),0),"")</f>
        <v/>
      </c>
      <c r="AA419" s="104" t="str">
        <f>IFERROR((VLOOKUP(D419,'Species Codes'!B:G,6,0)*Z419)/2000,"")</f>
        <v/>
      </c>
      <c r="AB419" s="104" t="e">
        <f>IF(Z419&gt;0,((IF(OR(D419="DF",D419="RA")=TRUE,EXP(VLOOKUP(D419,'Species Codes'!B:I,8,0)+VLOOKUP(D419,'Species Codes'!B:J,9,0)*(LN((E419*2.54)))),IF(OR(D419="PY",D419="RC",D419="WH",D419="NF")=TRUE,VLOOKUP(D419,'Species Codes'!B:I,8,0)+VLOOKUP(D419,'Species Codes'!B:J,9,0)*((E419*2.54)^2)*(I419*0.3048),IF(OR(D419="MD",D419="BM",D419="GA")=TRUE,((VLOOKUP(D419,'Species Codes'!B:I,8,0)*(((((E419*2.54)+VLOOKUP(D419,'Species Codes'!B:J,9,0))/VLOOKUP(D419,'Species Codes'!B:K,10,0))^VLOOKUP(D419,'Species Codes'!B:L,11,0))*((I419*0.3048)^VLOOKUP(D419,'Species Codes'!B:M,12,0))))-(VLOOKUP(D419,'Species Codes'!B:I,8,0)*((((E419*2.54)^VLOOKUP(D419,'Species Codes'!B:L,11,0))*((I419*0.3048)^VLOOKUP(D419,'Species Codes'!B:M,12,0))))))*35.3*VLOOKUP(D419,'Species Codes'!B:G,6,0)/2.2046,VLOOKUP(D419,'Species Codes'!B:I,8,0)+VLOOKUP(D419,'Species Codes'!B:J,9,0)*(((E419*2.54)/100)^2)*(I419*0.3048)))))*0.0011023),0)</f>
        <v>#N/A</v>
      </c>
      <c r="AC419" s="104" t="e">
        <f>IF(Z419&gt;0,((IF(OR(D419="RA",D419="OA",D419="OT",D419="UN",D419="PC"),EXP(VLOOKUP(D419,'Species Codes'!B:O,14,0)+VLOOKUP(D419,'Species Codes'!B:P,15,0)*LN((E419*2.54)))-EXP(VLOOKUP(D419,'Species Codes'!B:O,14,0)+VLOOKUP(D419,'Species Codes'!B:P,15,0)*LN((E419*2.54)))*(1/(VLOOKUP(D419,'Species Codes'!B:Q,16,0)+VLOOKUP(D419,'Species Codes'!B:R,17,0)*((E419*2.54)^VLOOKUP(D419,'Species Codes'!B:S,18,0)))),IF(OR(D419="BM",D419="MD",D419="OA"),EXP(VLOOKUP(D419,'Species Codes'!B:O,14,0)+VLOOKUP(D419,'Species Codes'!B:P,15,0)*LN((E419*2.54)))*(1-(1/(VLOOKUP(D419,'Species Codes'!B:Q,16,0)+VLOOKUP(D419,'Species Codes'!B:R,17,0)*((E419*2.54)^VLOOKUP(D419,'Species Codes'!B:S,18,0)))))/1000,IF(D419="DF",EXP(VLOOKUP(D419,'Species Codes'!B:O,14,0)+VLOOKUP(D419,'Species Codes'!B:P,15,0)*LN((E419*2.54))),VLOOKUP(D419,'Species Codes'!B:O,14,0)+VLOOKUP(D419,'Species Codes'!B:P,15,0)*(((E419*2.54)/100)^2)*(I419*0.3048)))))*0.0011023),0)</f>
        <v>#N/A</v>
      </c>
      <c r="AD419" s="104" t="e">
        <f t="shared" si="220"/>
        <v>#N/A</v>
      </c>
      <c r="AE419" s="104" t="e">
        <f t="shared" si="221"/>
        <v>#N/A</v>
      </c>
      <c r="AF419" s="104" t="e">
        <f>IF(AND(VLOOKUP($D419,Merchantability!$B:$C,2,0)="Yes",$E419&gt;=VLOOKUP($D419,Merchantability!$B:$D,3,0),$E419&lt;=VLOOKUP($D419,Merchantability!$B:$E,4,0)),AA419,0)</f>
        <v>#N/A</v>
      </c>
      <c r="AG419" s="104" t="e">
        <f>IF(AND(VLOOKUP($D419,Merchantability!$B:$C,2,0)="Yes",$E419&gt;=VLOOKUP($D419,Merchantability!$B:$D,3,0),$E419&lt;=VLOOKUP($D419,Merchantability!$B:$E,4,0)),AB419,0)</f>
        <v>#N/A</v>
      </c>
      <c r="AH419" s="104" t="e">
        <f>IF(AND(VLOOKUP($D419,Merchantability!$B:$C,2,0)="Yes",$E419&gt;=VLOOKUP($D419,Merchantability!$B:$D,3,0),$E419&lt;=VLOOKUP($D419,Merchantability!$B:$E,4,0)),AC419,0)</f>
        <v>#N/A</v>
      </c>
      <c r="AI419" s="104" t="e">
        <f t="shared" si="222"/>
        <v>#N/A</v>
      </c>
      <c r="AJ419" s="104" t="e">
        <f t="shared" si="223"/>
        <v>#VALUE!</v>
      </c>
      <c r="AK419" s="104" t="e">
        <f t="shared" si="224"/>
        <v>#N/A</v>
      </c>
      <c r="AL419" s="104" t="e">
        <f t="shared" si="225"/>
        <v>#N/A</v>
      </c>
      <c r="AM419" s="104" t="e">
        <f t="shared" si="226"/>
        <v>#N/A</v>
      </c>
      <c r="AN419" s="104" t="e">
        <f t="shared" si="210"/>
        <v>#N/A</v>
      </c>
      <c r="AO419" s="104" t="e">
        <f t="shared" si="211"/>
        <v>#N/A</v>
      </c>
      <c r="AP419" s="104" t="e">
        <f t="shared" si="212"/>
        <v>#N/A</v>
      </c>
      <c r="AQ419" s="104" t="e">
        <f t="shared" si="213"/>
        <v>#N/A</v>
      </c>
      <c r="AR419" s="105" t="str">
        <f t="shared" si="205"/>
        <v/>
      </c>
      <c r="AS419" s="105" t="str">
        <f t="shared" si="206"/>
        <v/>
      </c>
      <c r="AT419" s="108" t="str">
        <f t="shared" si="207"/>
        <v/>
      </c>
      <c r="AU419" s="108" t="str">
        <f t="shared" si="208"/>
        <v/>
      </c>
      <c r="AV419" s="107" t="str">
        <f>IF(ISNUMBER(O419),IF(VLOOKUP($A419,Stand!C:J,8,FALSE)="Short",AT419,AU419),"")</f>
        <v/>
      </c>
      <c r="AW419" s="109" t="str">
        <f t="shared" si="214"/>
        <v/>
      </c>
      <c r="AX419" s="109" t="str">
        <f t="shared" si="215"/>
        <v/>
      </c>
      <c r="AY419" s="112" t="str">
        <f>IF(ISNUMBER(O419),IF(AND(VLOOKUP($D419,Merchantability!$B:$C,2,0)="Yes",$E419&gt;=VLOOKUP($D419,Merchantability!$B:$D,3,0),$E419&lt;=VLOOKUP($D419,Merchantability!$B:$E,4,0)),(AV419*O419)*(1-$H419/100),""),"")</f>
        <v/>
      </c>
      <c r="AZ419" s="116"/>
      <c r="BA419" s="116"/>
      <c r="BB419" s="116"/>
      <c r="BE419" s="62"/>
      <c r="BF419" s="63"/>
    </row>
    <row r="420" spans="1:58" ht="12.75" customHeight="1" x14ac:dyDescent="0.25">
      <c r="A420" s="313"/>
      <c r="B420" s="328"/>
      <c r="C420" s="329"/>
      <c r="D420" s="328"/>
      <c r="E420" s="330"/>
      <c r="F420" s="331"/>
      <c r="G420" s="329"/>
      <c r="H420" s="329"/>
      <c r="I420" s="328"/>
      <c r="J420" s="329"/>
      <c r="K420" s="329"/>
      <c r="L420" s="329"/>
      <c r="M420" s="76"/>
      <c r="N420" s="103" t="str">
        <f>IF(A420="","",VLOOKUP(A420,Stand!C:K,9,0))</f>
        <v/>
      </c>
      <c r="O420" s="104" t="str">
        <f t="shared" si="200"/>
        <v/>
      </c>
      <c r="P420" s="105" t="str">
        <f t="shared" si="201"/>
        <v/>
      </c>
      <c r="Q420" s="105" t="str">
        <f t="shared" si="216"/>
        <v/>
      </c>
      <c r="R420" s="103" t="str">
        <f t="shared" si="202"/>
        <v/>
      </c>
      <c r="S420" s="103" t="str">
        <f t="shared" si="203"/>
        <v/>
      </c>
      <c r="T420" s="106" t="str">
        <f t="shared" si="217"/>
        <v/>
      </c>
      <c r="U420" s="106" t="str">
        <f t="shared" si="218"/>
        <v/>
      </c>
      <c r="V420" s="106" t="str">
        <f t="shared" si="219"/>
        <v/>
      </c>
      <c r="W420" s="105" t="str">
        <f t="shared" si="204"/>
        <v/>
      </c>
      <c r="X420" s="104" t="str">
        <f t="shared" si="209"/>
        <v/>
      </c>
      <c r="Y420" s="104" t="str">
        <f t="array" ref="Y420">IFERROR(IF(ISNUMBER(O420),IF(COUNT(IF(A420=$A$2:$A$2427,IF(D420=$D$2:$D$2427,IF($X$2:$X$2427&gt;0,1))))&gt;0,SUM(IF(A420=$A$2:$A$2427,IF(D420=$D$2:$D$2427,$X$2:$X$2427)))/COUNT(IF(A420=$A$2:$A$2427,IF(D420=$D$2:$D$2427,IF(ISNUMBER($X$2:$X$2427),1)))),0),""),0)</f>
        <v/>
      </c>
      <c r="Z420" s="104" t="str">
        <f>IF(ISNUMBER(O420),IF(I420&gt;0,(10^(VLOOKUP(D420,'Species Codes'!B:C,2,0)+VLOOKUP(D420,'Species Codes'!B:D,3,0)*LOG(E420)+VLOOKUP(D420,'Species Codes'!B:E,4,0)*LOG(I420))),0),"")</f>
        <v/>
      </c>
      <c r="AA420" s="104" t="str">
        <f>IFERROR((VLOOKUP(D420,'Species Codes'!B:G,6,0)*Z420)/2000,"")</f>
        <v/>
      </c>
      <c r="AB420" s="104" t="e">
        <f>IF(Z420&gt;0,((IF(OR(D420="DF",D420="RA")=TRUE,EXP(VLOOKUP(D420,'Species Codes'!B:I,8,0)+VLOOKUP(D420,'Species Codes'!B:J,9,0)*(LN((E420*2.54)))),IF(OR(D420="PY",D420="RC",D420="WH",D420="NF")=TRUE,VLOOKUP(D420,'Species Codes'!B:I,8,0)+VLOOKUP(D420,'Species Codes'!B:J,9,0)*((E420*2.54)^2)*(I420*0.3048),IF(OR(D420="MD",D420="BM",D420="GA")=TRUE,((VLOOKUP(D420,'Species Codes'!B:I,8,0)*(((((E420*2.54)+VLOOKUP(D420,'Species Codes'!B:J,9,0))/VLOOKUP(D420,'Species Codes'!B:K,10,0))^VLOOKUP(D420,'Species Codes'!B:L,11,0))*((I420*0.3048)^VLOOKUP(D420,'Species Codes'!B:M,12,0))))-(VLOOKUP(D420,'Species Codes'!B:I,8,0)*((((E420*2.54)^VLOOKUP(D420,'Species Codes'!B:L,11,0))*((I420*0.3048)^VLOOKUP(D420,'Species Codes'!B:M,12,0))))))*35.3*VLOOKUP(D420,'Species Codes'!B:G,6,0)/2.2046,VLOOKUP(D420,'Species Codes'!B:I,8,0)+VLOOKUP(D420,'Species Codes'!B:J,9,0)*(((E420*2.54)/100)^2)*(I420*0.3048)))))*0.0011023),0)</f>
        <v>#N/A</v>
      </c>
      <c r="AC420" s="104" t="e">
        <f>IF(Z420&gt;0,((IF(OR(D420="RA",D420="OA",D420="OT",D420="UN",D420="PC"),EXP(VLOOKUP(D420,'Species Codes'!B:O,14,0)+VLOOKUP(D420,'Species Codes'!B:P,15,0)*LN((E420*2.54)))-EXP(VLOOKUP(D420,'Species Codes'!B:O,14,0)+VLOOKUP(D420,'Species Codes'!B:P,15,0)*LN((E420*2.54)))*(1/(VLOOKUP(D420,'Species Codes'!B:Q,16,0)+VLOOKUP(D420,'Species Codes'!B:R,17,0)*((E420*2.54)^VLOOKUP(D420,'Species Codes'!B:S,18,0)))),IF(OR(D420="BM",D420="MD",D420="OA"),EXP(VLOOKUP(D420,'Species Codes'!B:O,14,0)+VLOOKUP(D420,'Species Codes'!B:P,15,0)*LN((E420*2.54)))*(1-(1/(VLOOKUP(D420,'Species Codes'!B:Q,16,0)+VLOOKUP(D420,'Species Codes'!B:R,17,0)*((E420*2.54)^VLOOKUP(D420,'Species Codes'!B:S,18,0)))))/1000,IF(D420="DF",EXP(VLOOKUP(D420,'Species Codes'!B:O,14,0)+VLOOKUP(D420,'Species Codes'!B:P,15,0)*LN((E420*2.54))),VLOOKUP(D420,'Species Codes'!B:O,14,0)+VLOOKUP(D420,'Species Codes'!B:P,15,0)*(((E420*2.54)/100)^2)*(I420*0.3048)))))*0.0011023),0)</f>
        <v>#N/A</v>
      </c>
      <c r="AD420" s="104" t="e">
        <f t="shared" si="220"/>
        <v>#N/A</v>
      </c>
      <c r="AE420" s="104" t="e">
        <f t="shared" si="221"/>
        <v>#N/A</v>
      </c>
      <c r="AF420" s="104" t="e">
        <f>IF(AND(VLOOKUP($D420,Merchantability!$B:$C,2,0)="Yes",$E420&gt;=VLOOKUP($D420,Merchantability!$B:$D,3,0),$E420&lt;=VLOOKUP($D420,Merchantability!$B:$E,4,0)),AA420,0)</f>
        <v>#N/A</v>
      </c>
      <c r="AG420" s="104" t="e">
        <f>IF(AND(VLOOKUP($D420,Merchantability!$B:$C,2,0)="Yes",$E420&gt;=VLOOKUP($D420,Merchantability!$B:$D,3,0),$E420&lt;=VLOOKUP($D420,Merchantability!$B:$E,4,0)),AB420,0)</f>
        <v>#N/A</v>
      </c>
      <c r="AH420" s="104" t="e">
        <f>IF(AND(VLOOKUP($D420,Merchantability!$B:$C,2,0)="Yes",$E420&gt;=VLOOKUP($D420,Merchantability!$B:$D,3,0),$E420&lt;=VLOOKUP($D420,Merchantability!$B:$E,4,0)),AC420,0)</f>
        <v>#N/A</v>
      </c>
      <c r="AI420" s="104" t="e">
        <f t="shared" si="222"/>
        <v>#N/A</v>
      </c>
      <c r="AJ420" s="104" t="e">
        <f t="shared" si="223"/>
        <v>#VALUE!</v>
      </c>
      <c r="AK420" s="104" t="e">
        <f t="shared" si="224"/>
        <v>#N/A</v>
      </c>
      <c r="AL420" s="104" t="e">
        <f t="shared" si="225"/>
        <v>#N/A</v>
      </c>
      <c r="AM420" s="104" t="e">
        <f t="shared" si="226"/>
        <v>#N/A</v>
      </c>
      <c r="AN420" s="104" t="e">
        <f t="shared" si="210"/>
        <v>#N/A</v>
      </c>
      <c r="AO420" s="104" t="e">
        <f t="shared" si="211"/>
        <v>#N/A</v>
      </c>
      <c r="AP420" s="104" t="e">
        <f t="shared" si="212"/>
        <v>#N/A</v>
      </c>
      <c r="AQ420" s="104" t="e">
        <f t="shared" si="213"/>
        <v>#N/A</v>
      </c>
      <c r="AR420" s="105" t="str">
        <f t="shared" si="205"/>
        <v/>
      </c>
      <c r="AS420" s="105" t="str">
        <f t="shared" si="206"/>
        <v/>
      </c>
      <c r="AT420" s="108" t="str">
        <f t="shared" si="207"/>
        <v/>
      </c>
      <c r="AU420" s="108" t="str">
        <f t="shared" si="208"/>
        <v/>
      </c>
      <c r="AV420" s="107" t="str">
        <f>IF(ISNUMBER(O420),IF(VLOOKUP($A420,Stand!C:J,8,FALSE)="Short",AT420,AU420),"")</f>
        <v/>
      </c>
      <c r="AW420" s="109" t="str">
        <f t="shared" si="214"/>
        <v/>
      </c>
      <c r="AX420" s="109" t="str">
        <f t="shared" si="215"/>
        <v/>
      </c>
      <c r="AY420" s="112" t="str">
        <f>IF(ISNUMBER(O420),IF(AND(VLOOKUP($D420,Merchantability!$B:$C,2,0)="Yes",$E420&gt;=VLOOKUP($D420,Merchantability!$B:$D,3,0),$E420&lt;=VLOOKUP($D420,Merchantability!$B:$E,4,0)),(AV420*O420)*(1-$H420/100),""),"")</f>
        <v/>
      </c>
      <c r="AZ420" s="116"/>
      <c r="BA420" s="116"/>
      <c r="BB420" s="116"/>
      <c r="BE420" s="62"/>
      <c r="BF420" s="63"/>
    </row>
    <row r="421" spans="1:58" ht="12.75" customHeight="1" x14ac:dyDescent="0.25">
      <c r="A421" s="313"/>
      <c r="B421" s="328"/>
      <c r="C421" s="329"/>
      <c r="D421" s="328"/>
      <c r="E421" s="330"/>
      <c r="F421" s="331"/>
      <c r="G421" s="329"/>
      <c r="H421" s="329"/>
      <c r="I421" s="328"/>
      <c r="J421" s="329"/>
      <c r="K421" s="329"/>
      <c r="L421" s="329"/>
      <c r="M421" s="76"/>
      <c r="N421" s="103" t="str">
        <f>IF(A421="","",VLOOKUP(A421,Stand!C:K,9,0))</f>
        <v/>
      </c>
      <c r="O421" s="104" t="str">
        <f t="shared" si="200"/>
        <v/>
      </c>
      <c r="P421" s="105" t="str">
        <f t="shared" si="201"/>
        <v/>
      </c>
      <c r="Q421" s="105" t="str">
        <f t="shared" si="216"/>
        <v/>
      </c>
      <c r="R421" s="103" t="str">
        <f t="shared" si="202"/>
        <v/>
      </c>
      <c r="S421" s="103" t="str">
        <f t="shared" si="203"/>
        <v/>
      </c>
      <c r="T421" s="106" t="str">
        <f t="shared" si="217"/>
        <v/>
      </c>
      <c r="U421" s="106" t="str">
        <f t="shared" si="218"/>
        <v/>
      </c>
      <c r="V421" s="106" t="str">
        <f t="shared" si="219"/>
        <v/>
      </c>
      <c r="W421" s="105" t="str">
        <f t="shared" si="204"/>
        <v/>
      </c>
      <c r="X421" s="104" t="str">
        <f t="shared" si="209"/>
        <v/>
      </c>
      <c r="Y421" s="104" t="str">
        <f t="array" ref="Y421">IFERROR(IF(ISNUMBER(O421),IF(COUNT(IF(A421=$A$2:$A$2427,IF(D421=$D$2:$D$2427,IF($X$2:$X$2427&gt;0,1))))&gt;0,SUM(IF(A421=$A$2:$A$2427,IF(D421=$D$2:$D$2427,$X$2:$X$2427)))/COUNT(IF(A421=$A$2:$A$2427,IF(D421=$D$2:$D$2427,IF(ISNUMBER($X$2:$X$2427),1)))),0),""),0)</f>
        <v/>
      </c>
      <c r="Z421" s="104" t="str">
        <f>IF(ISNUMBER(O421),IF(I421&gt;0,(10^(VLOOKUP(D421,'Species Codes'!B:C,2,0)+VLOOKUP(D421,'Species Codes'!B:D,3,0)*LOG(E421)+VLOOKUP(D421,'Species Codes'!B:E,4,0)*LOG(I421))),0),"")</f>
        <v/>
      </c>
      <c r="AA421" s="104" t="str">
        <f>IFERROR((VLOOKUP(D421,'Species Codes'!B:G,6,0)*Z421)/2000,"")</f>
        <v/>
      </c>
      <c r="AB421" s="104" t="e">
        <f>IF(Z421&gt;0,((IF(OR(D421="DF",D421="RA")=TRUE,EXP(VLOOKUP(D421,'Species Codes'!B:I,8,0)+VLOOKUP(D421,'Species Codes'!B:J,9,0)*(LN((E421*2.54)))),IF(OR(D421="PY",D421="RC",D421="WH",D421="NF")=TRUE,VLOOKUP(D421,'Species Codes'!B:I,8,0)+VLOOKUP(D421,'Species Codes'!B:J,9,0)*((E421*2.54)^2)*(I421*0.3048),IF(OR(D421="MD",D421="BM",D421="GA")=TRUE,((VLOOKUP(D421,'Species Codes'!B:I,8,0)*(((((E421*2.54)+VLOOKUP(D421,'Species Codes'!B:J,9,0))/VLOOKUP(D421,'Species Codes'!B:K,10,0))^VLOOKUP(D421,'Species Codes'!B:L,11,0))*((I421*0.3048)^VLOOKUP(D421,'Species Codes'!B:M,12,0))))-(VLOOKUP(D421,'Species Codes'!B:I,8,0)*((((E421*2.54)^VLOOKUP(D421,'Species Codes'!B:L,11,0))*((I421*0.3048)^VLOOKUP(D421,'Species Codes'!B:M,12,0))))))*35.3*VLOOKUP(D421,'Species Codes'!B:G,6,0)/2.2046,VLOOKUP(D421,'Species Codes'!B:I,8,0)+VLOOKUP(D421,'Species Codes'!B:J,9,0)*(((E421*2.54)/100)^2)*(I421*0.3048)))))*0.0011023),0)</f>
        <v>#N/A</v>
      </c>
      <c r="AC421" s="104" t="e">
        <f>IF(Z421&gt;0,((IF(OR(D421="RA",D421="OA",D421="OT",D421="UN",D421="PC"),EXP(VLOOKUP(D421,'Species Codes'!B:O,14,0)+VLOOKUP(D421,'Species Codes'!B:P,15,0)*LN((E421*2.54)))-EXP(VLOOKUP(D421,'Species Codes'!B:O,14,0)+VLOOKUP(D421,'Species Codes'!B:P,15,0)*LN((E421*2.54)))*(1/(VLOOKUP(D421,'Species Codes'!B:Q,16,0)+VLOOKUP(D421,'Species Codes'!B:R,17,0)*((E421*2.54)^VLOOKUP(D421,'Species Codes'!B:S,18,0)))),IF(OR(D421="BM",D421="MD",D421="OA"),EXP(VLOOKUP(D421,'Species Codes'!B:O,14,0)+VLOOKUP(D421,'Species Codes'!B:P,15,0)*LN((E421*2.54)))*(1-(1/(VLOOKUP(D421,'Species Codes'!B:Q,16,0)+VLOOKUP(D421,'Species Codes'!B:R,17,0)*((E421*2.54)^VLOOKUP(D421,'Species Codes'!B:S,18,0)))))/1000,IF(D421="DF",EXP(VLOOKUP(D421,'Species Codes'!B:O,14,0)+VLOOKUP(D421,'Species Codes'!B:P,15,0)*LN((E421*2.54))),VLOOKUP(D421,'Species Codes'!B:O,14,0)+VLOOKUP(D421,'Species Codes'!B:P,15,0)*(((E421*2.54)/100)^2)*(I421*0.3048)))))*0.0011023),0)</f>
        <v>#N/A</v>
      </c>
      <c r="AD421" s="104" t="e">
        <f t="shared" si="220"/>
        <v>#N/A</v>
      </c>
      <c r="AE421" s="104" t="e">
        <f t="shared" si="221"/>
        <v>#N/A</v>
      </c>
      <c r="AF421" s="104" t="e">
        <f>IF(AND(VLOOKUP($D421,Merchantability!$B:$C,2,0)="Yes",$E421&gt;=VLOOKUP($D421,Merchantability!$B:$D,3,0),$E421&lt;=VLOOKUP($D421,Merchantability!$B:$E,4,0)),AA421,0)</f>
        <v>#N/A</v>
      </c>
      <c r="AG421" s="104" t="e">
        <f>IF(AND(VLOOKUP($D421,Merchantability!$B:$C,2,0)="Yes",$E421&gt;=VLOOKUP($D421,Merchantability!$B:$D,3,0),$E421&lt;=VLOOKUP($D421,Merchantability!$B:$E,4,0)),AB421,0)</f>
        <v>#N/A</v>
      </c>
      <c r="AH421" s="104" t="e">
        <f>IF(AND(VLOOKUP($D421,Merchantability!$B:$C,2,0)="Yes",$E421&gt;=VLOOKUP($D421,Merchantability!$B:$D,3,0),$E421&lt;=VLOOKUP($D421,Merchantability!$B:$E,4,0)),AC421,0)</f>
        <v>#N/A</v>
      </c>
      <c r="AI421" s="104" t="e">
        <f t="shared" si="222"/>
        <v>#N/A</v>
      </c>
      <c r="AJ421" s="104" t="e">
        <f t="shared" si="223"/>
        <v>#VALUE!</v>
      </c>
      <c r="AK421" s="104" t="e">
        <f t="shared" si="224"/>
        <v>#N/A</v>
      </c>
      <c r="AL421" s="104" t="e">
        <f t="shared" si="225"/>
        <v>#N/A</v>
      </c>
      <c r="AM421" s="104" t="e">
        <f t="shared" si="226"/>
        <v>#N/A</v>
      </c>
      <c r="AN421" s="104" t="e">
        <f t="shared" si="210"/>
        <v>#N/A</v>
      </c>
      <c r="AO421" s="104" t="e">
        <f t="shared" si="211"/>
        <v>#N/A</v>
      </c>
      <c r="AP421" s="104" t="e">
        <f t="shared" si="212"/>
        <v>#N/A</v>
      </c>
      <c r="AQ421" s="104" t="e">
        <f t="shared" si="213"/>
        <v>#N/A</v>
      </c>
      <c r="AR421" s="105" t="str">
        <f t="shared" si="205"/>
        <v/>
      </c>
      <c r="AS421" s="105" t="str">
        <f t="shared" si="206"/>
        <v/>
      </c>
      <c r="AT421" s="108" t="str">
        <f t="shared" si="207"/>
        <v/>
      </c>
      <c r="AU421" s="108" t="str">
        <f t="shared" si="208"/>
        <v/>
      </c>
      <c r="AV421" s="107" t="str">
        <f>IF(ISNUMBER(O421),IF(VLOOKUP($A421,Stand!C:J,8,FALSE)="Short",AT421,AU421),"")</f>
        <v/>
      </c>
      <c r="AW421" s="109" t="str">
        <f t="shared" si="214"/>
        <v/>
      </c>
      <c r="AX421" s="109" t="str">
        <f t="shared" si="215"/>
        <v/>
      </c>
      <c r="AY421" s="112" t="str">
        <f>IF(ISNUMBER(O421),IF(AND(VLOOKUP($D421,Merchantability!$B:$C,2,0)="Yes",$E421&gt;=VLOOKUP($D421,Merchantability!$B:$D,3,0),$E421&lt;=VLOOKUP($D421,Merchantability!$B:$E,4,0)),(AV421*O421)*(1-$H421/100),""),"")</f>
        <v/>
      </c>
      <c r="AZ421" s="116"/>
      <c r="BA421" s="116"/>
      <c r="BB421" s="116"/>
      <c r="BE421" s="62"/>
      <c r="BF421" s="63"/>
    </row>
    <row r="422" spans="1:58" ht="12.75" customHeight="1" x14ac:dyDescent="0.25">
      <c r="A422" s="313"/>
      <c r="B422" s="328"/>
      <c r="C422" s="329"/>
      <c r="D422" s="328"/>
      <c r="E422" s="330"/>
      <c r="F422" s="331"/>
      <c r="G422" s="329"/>
      <c r="H422" s="329"/>
      <c r="I422" s="328"/>
      <c r="J422" s="329"/>
      <c r="K422" s="329"/>
      <c r="L422" s="329"/>
      <c r="M422" s="76"/>
      <c r="N422" s="103" t="str">
        <f>IF(A422="","",VLOOKUP(A422,Stand!C:K,9,0))</f>
        <v/>
      </c>
      <c r="O422" s="104" t="str">
        <f t="shared" si="200"/>
        <v/>
      </c>
      <c r="P422" s="105" t="str">
        <f t="shared" si="201"/>
        <v/>
      </c>
      <c r="Q422" s="105" t="str">
        <f t="shared" si="216"/>
        <v/>
      </c>
      <c r="R422" s="103" t="str">
        <f t="shared" si="202"/>
        <v/>
      </c>
      <c r="S422" s="103" t="str">
        <f t="shared" si="203"/>
        <v/>
      </c>
      <c r="T422" s="106" t="str">
        <f t="shared" si="217"/>
        <v/>
      </c>
      <c r="U422" s="106" t="str">
        <f t="shared" si="218"/>
        <v/>
      </c>
      <c r="V422" s="106" t="str">
        <f t="shared" si="219"/>
        <v/>
      </c>
      <c r="W422" s="105" t="str">
        <f t="shared" si="204"/>
        <v/>
      </c>
      <c r="X422" s="104" t="str">
        <f t="shared" si="209"/>
        <v/>
      </c>
      <c r="Y422" s="104" t="str">
        <f t="array" ref="Y422">IFERROR(IF(ISNUMBER(O422),IF(COUNT(IF(A422=$A$2:$A$2427,IF(D422=$D$2:$D$2427,IF($X$2:$X$2427&gt;0,1))))&gt;0,SUM(IF(A422=$A$2:$A$2427,IF(D422=$D$2:$D$2427,$X$2:$X$2427)))/COUNT(IF(A422=$A$2:$A$2427,IF(D422=$D$2:$D$2427,IF(ISNUMBER($X$2:$X$2427),1)))),0),""),0)</f>
        <v/>
      </c>
      <c r="Z422" s="104" t="str">
        <f>IF(ISNUMBER(O422),IF(I422&gt;0,(10^(VLOOKUP(D422,'Species Codes'!B:C,2,0)+VLOOKUP(D422,'Species Codes'!B:D,3,0)*LOG(E422)+VLOOKUP(D422,'Species Codes'!B:E,4,0)*LOG(I422))),0),"")</f>
        <v/>
      </c>
      <c r="AA422" s="104" t="str">
        <f>IFERROR((VLOOKUP(D422,'Species Codes'!B:G,6,0)*Z422)/2000,"")</f>
        <v/>
      </c>
      <c r="AB422" s="104" t="e">
        <f>IF(Z422&gt;0,((IF(OR(D422="DF",D422="RA")=TRUE,EXP(VLOOKUP(D422,'Species Codes'!B:I,8,0)+VLOOKUP(D422,'Species Codes'!B:J,9,0)*(LN((E422*2.54)))),IF(OR(D422="PY",D422="RC",D422="WH",D422="NF")=TRUE,VLOOKUP(D422,'Species Codes'!B:I,8,0)+VLOOKUP(D422,'Species Codes'!B:J,9,0)*((E422*2.54)^2)*(I422*0.3048),IF(OR(D422="MD",D422="BM",D422="GA")=TRUE,((VLOOKUP(D422,'Species Codes'!B:I,8,0)*(((((E422*2.54)+VLOOKUP(D422,'Species Codes'!B:J,9,0))/VLOOKUP(D422,'Species Codes'!B:K,10,0))^VLOOKUP(D422,'Species Codes'!B:L,11,0))*((I422*0.3048)^VLOOKUP(D422,'Species Codes'!B:M,12,0))))-(VLOOKUP(D422,'Species Codes'!B:I,8,0)*((((E422*2.54)^VLOOKUP(D422,'Species Codes'!B:L,11,0))*((I422*0.3048)^VLOOKUP(D422,'Species Codes'!B:M,12,0))))))*35.3*VLOOKUP(D422,'Species Codes'!B:G,6,0)/2.2046,VLOOKUP(D422,'Species Codes'!B:I,8,0)+VLOOKUP(D422,'Species Codes'!B:J,9,0)*(((E422*2.54)/100)^2)*(I422*0.3048)))))*0.0011023),0)</f>
        <v>#N/A</v>
      </c>
      <c r="AC422" s="104" t="e">
        <f>IF(Z422&gt;0,((IF(OR(D422="RA",D422="OA",D422="OT",D422="UN",D422="PC"),EXP(VLOOKUP(D422,'Species Codes'!B:O,14,0)+VLOOKUP(D422,'Species Codes'!B:P,15,0)*LN((E422*2.54)))-EXP(VLOOKUP(D422,'Species Codes'!B:O,14,0)+VLOOKUP(D422,'Species Codes'!B:P,15,0)*LN((E422*2.54)))*(1/(VLOOKUP(D422,'Species Codes'!B:Q,16,0)+VLOOKUP(D422,'Species Codes'!B:R,17,0)*((E422*2.54)^VLOOKUP(D422,'Species Codes'!B:S,18,0)))),IF(OR(D422="BM",D422="MD",D422="OA"),EXP(VLOOKUP(D422,'Species Codes'!B:O,14,0)+VLOOKUP(D422,'Species Codes'!B:P,15,0)*LN((E422*2.54)))*(1-(1/(VLOOKUP(D422,'Species Codes'!B:Q,16,0)+VLOOKUP(D422,'Species Codes'!B:R,17,0)*((E422*2.54)^VLOOKUP(D422,'Species Codes'!B:S,18,0)))))/1000,IF(D422="DF",EXP(VLOOKUP(D422,'Species Codes'!B:O,14,0)+VLOOKUP(D422,'Species Codes'!B:P,15,0)*LN((E422*2.54))),VLOOKUP(D422,'Species Codes'!B:O,14,0)+VLOOKUP(D422,'Species Codes'!B:P,15,0)*(((E422*2.54)/100)^2)*(I422*0.3048)))))*0.0011023),0)</f>
        <v>#N/A</v>
      </c>
      <c r="AD422" s="104" t="e">
        <f t="shared" si="220"/>
        <v>#N/A</v>
      </c>
      <c r="AE422" s="104" t="e">
        <f t="shared" si="221"/>
        <v>#N/A</v>
      </c>
      <c r="AF422" s="104" t="e">
        <f>IF(AND(VLOOKUP($D422,Merchantability!$B:$C,2,0)="Yes",$E422&gt;=VLOOKUP($D422,Merchantability!$B:$D,3,0),$E422&lt;=VLOOKUP($D422,Merchantability!$B:$E,4,0)),AA422,0)</f>
        <v>#N/A</v>
      </c>
      <c r="AG422" s="104" t="e">
        <f>IF(AND(VLOOKUP($D422,Merchantability!$B:$C,2,0)="Yes",$E422&gt;=VLOOKUP($D422,Merchantability!$B:$D,3,0),$E422&lt;=VLOOKUP($D422,Merchantability!$B:$E,4,0)),AB422,0)</f>
        <v>#N/A</v>
      </c>
      <c r="AH422" s="104" t="e">
        <f>IF(AND(VLOOKUP($D422,Merchantability!$B:$C,2,0)="Yes",$E422&gt;=VLOOKUP($D422,Merchantability!$B:$D,3,0),$E422&lt;=VLOOKUP($D422,Merchantability!$B:$E,4,0)),AC422,0)</f>
        <v>#N/A</v>
      </c>
      <c r="AI422" s="104" t="e">
        <f t="shared" si="222"/>
        <v>#N/A</v>
      </c>
      <c r="AJ422" s="104" t="e">
        <f t="shared" si="223"/>
        <v>#VALUE!</v>
      </c>
      <c r="AK422" s="104" t="e">
        <f t="shared" si="224"/>
        <v>#N/A</v>
      </c>
      <c r="AL422" s="104" t="e">
        <f t="shared" si="225"/>
        <v>#N/A</v>
      </c>
      <c r="AM422" s="104" t="e">
        <f t="shared" si="226"/>
        <v>#N/A</v>
      </c>
      <c r="AN422" s="104" t="e">
        <f t="shared" si="210"/>
        <v>#N/A</v>
      </c>
      <c r="AO422" s="104" t="e">
        <f t="shared" si="211"/>
        <v>#N/A</v>
      </c>
      <c r="AP422" s="104" t="e">
        <f t="shared" si="212"/>
        <v>#N/A</v>
      </c>
      <c r="AQ422" s="104" t="e">
        <f t="shared" si="213"/>
        <v>#N/A</v>
      </c>
      <c r="AR422" s="105" t="str">
        <f t="shared" si="205"/>
        <v/>
      </c>
      <c r="AS422" s="105" t="str">
        <f t="shared" si="206"/>
        <v/>
      </c>
      <c r="AT422" s="108" t="str">
        <f t="shared" si="207"/>
        <v/>
      </c>
      <c r="AU422" s="108" t="str">
        <f t="shared" si="208"/>
        <v/>
      </c>
      <c r="AV422" s="107" t="str">
        <f>IF(ISNUMBER(O422),IF(VLOOKUP($A422,Stand!C:J,8,FALSE)="Short",AT422,AU422),"")</f>
        <v/>
      </c>
      <c r="AW422" s="109" t="str">
        <f t="shared" si="214"/>
        <v/>
      </c>
      <c r="AX422" s="109" t="str">
        <f t="shared" si="215"/>
        <v/>
      </c>
      <c r="AY422" s="112" t="str">
        <f>IF(ISNUMBER(O422),IF(AND(VLOOKUP($D422,Merchantability!$B:$C,2,0)="Yes",$E422&gt;=VLOOKUP($D422,Merchantability!$B:$D,3,0),$E422&lt;=VLOOKUP($D422,Merchantability!$B:$E,4,0)),(AV422*O422)*(1-$H422/100),""),"")</f>
        <v/>
      </c>
      <c r="AZ422" s="116"/>
      <c r="BA422" s="116"/>
      <c r="BB422" s="116"/>
      <c r="BE422" s="62"/>
      <c r="BF422" s="63"/>
    </row>
    <row r="423" spans="1:58" ht="12.75" customHeight="1" x14ac:dyDescent="0.25">
      <c r="A423" s="313"/>
      <c r="B423" s="328"/>
      <c r="C423" s="329"/>
      <c r="D423" s="328"/>
      <c r="E423" s="330"/>
      <c r="F423" s="331"/>
      <c r="G423" s="329"/>
      <c r="H423" s="329"/>
      <c r="I423" s="328"/>
      <c r="J423" s="329"/>
      <c r="K423" s="329"/>
      <c r="L423" s="329"/>
      <c r="M423" s="76"/>
      <c r="N423" s="103" t="str">
        <f>IF(A423="","",VLOOKUP(A423,Stand!C:K,9,0))</f>
        <v/>
      </c>
      <c r="O423" s="104" t="str">
        <f t="shared" si="200"/>
        <v/>
      </c>
      <c r="P423" s="105" t="str">
        <f t="shared" si="201"/>
        <v/>
      </c>
      <c r="Q423" s="105" t="str">
        <f t="shared" si="216"/>
        <v/>
      </c>
      <c r="R423" s="103" t="str">
        <f t="shared" si="202"/>
        <v/>
      </c>
      <c r="S423" s="103" t="str">
        <f t="shared" si="203"/>
        <v/>
      </c>
      <c r="T423" s="106" t="str">
        <f t="shared" si="217"/>
        <v/>
      </c>
      <c r="U423" s="106" t="str">
        <f t="shared" si="218"/>
        <v/>
      </c>
      <c r="V423" s="106" t="str">
        <f t="shared" si="219"/>
        <v/>
      </c>
      <c r="W423" s="105" t="str">
        <f t="shared" si="204"/>
        <v/>
      </c>
      <c r="X423" s="104" t="str">
        <f t="shared" si="209"/>
        <v/>
      </c>
      <c r="Y423" s="104" t="str">
        <f t="array" ref="Y423">IFERROR(IF(ISNUMBER(O423),IF(COUNT(IF(A423=$A$2:$A$2427,IF(D423=$D$2:$D$2427,IF($X$2:$X$2427&gt;0,1))))&gt;0,SUM(IF(A423=$A$2:$A$2427,IF(D423=$D$2:$D$2427,$X$2:$X$2427)))/COUNT(IF(A423=$A$2:$A$2427,IF(D423=$D$2:$D$2427,IF(ISNUMBER($X$2:$X$2427),1)))),0),""),0)</f>
        <v/>
      </c>
      <c r="Z423" s="104" t="str">
        <f>IF(ISNUMBER(O423),IF(I423&gt;0,(10^(VLOOKUP(D423,'Species Codes'!B:C,2,0)+VLOOKUP(D423,'Species Codes'!B:D,3,0)*LOG(E423)+VLOOKUP(D423,'Species Codes'!B:E,4,0)*LOG(I423))),0),"")</f>
        <v/>
      </c>
      <c r="AA423" s="104" t="str">
        <f>IFERROR((VLOOKUP(D423,'Species Codes'!B:G,6,0)*Z423)/2000,"")</f>
        <v/>
      </c>
      <c r="AB423" s="104" t="e">
        <f>IF(Z423&gt;0,((IF(OR(D423="DF",D423="RA")=TRUE,EXP(VLOOKUP(D423,'Species Codes'!B:I,8,0)+VLOOKUP(D423,'Species Codes'!B:J,9,0)*(LN((E423*2.54)))),IF(OR(D423="PY",D423="RC",D423="WH",D423="NF")=TRUE,VLOOKUP(D423,'Species Codes'!B:I,8,0)+VLOOKUP(D423,'Species Codes'!B:J,9,0)*((E423*2.54)^2)*(I423*0.3048),IF(OR(D423="MD",D423="BM",D423="GA")=TRUE,((VLOOKUP(D423,'Species Codes'!B:I,8,0)*(((((E423*2.54)+VLOOKUP(D423,'Species Codes'!B:J,9,0))/VLOOKUP(D423,'Species Codes'!B:K,10,0))^VLOOKUP(D423,'Species Codes'!B:L,11,0))*((I423*0.3048)^VLOOKUP(D423,'Species Codes'!B:M,12,0))))-(VLOOKUP(D423,'Species Codes'!B:I,8,0)*((((E423*2.54)^VLOOKUP(D423,'Species Codes'!B:L,11,0))*((I423*0.3048)^VLOOKUP(D423,'Species Codes'!B:M,12,0))))))*35.3*VLOOKUP(D423,'Species Codes'!B:G,6,0)/2.2046,VLOOKUP(D423,'Species Codes'!B:I,8,0)+VLOOKUP(D423,'Species Codes'!B:J,9,0)*(((E423*2.54)/100)^2)*(I423*0.3048)))))*0.0011023),0)</f>
        <v>#N/A</v>
      </c>
      <c r="AC423" s="104" t="e">
        <f>IF(Z423&gt;0,((IF(OR(D423="RA",D423="OA",D423="OT",D423="UN",D423="PC"),EXP(VLOOKUP(D423,'Species Codes'!B:O,14,0)+VLOOKUP(D423,'Species Codes'!B:P,15,0)*LN((E423*2.54)))-EXP(VLOOKUP(D423,'Species Codes'!B:O,14,0)+VLOOKUP(D423,'Species Codes'!B:P,15,0)*LN((E423*2.54)))*(1/(VLOOKUP(D423,'Species Codes'!B:Q,16,0)+VLOOKUP(D423,'Species Codes'!B:R,17,0)*((E423*2.54)^VLOOKUP(D423,'Species Codes'!B:S,18,0)))),IF(OR(D423="BM",D423="MD",D423="OA"),EXP(VLOOKUP(D423,'Species Codes'!B:O,14,0)+VLOOKUP(D423,'Species Codes'!B:P,15,0)*LN((E423*2.54)))*(1-(1/(VLOOKUP(D423,'Species Codes'!B:Q,16,0)+VLOOKUP(D423,'Species Codes'!B:R,17,0)*((E423*2.54)^VLOOKUP(D423,'Species Codes'!B:S,18,0)))))/1000,IF(D423="DF",EXP(VLOOKUP(D423,'Species Codes'!B:O,14,0)+VLOOKUP(D423,'Species Codes'!B:P,15,0)*LN((E423*2.54))),VLOOKUP(D423,'Species Codes'!B:O,14,0)+VLOOKUP(D423,'Species Codes'!B:P,15,0)*(((E423*2.54)/100)^2)*(I423*0.3048)))))*0.0011023),0)</f>
        <v>#N/A</v>
      </c>
      <c r="AD423" s="104" t="e">
        <f t="shared" si="220"/>
        <v>#N/A</v>
      </c>
      <c r="AE423" s="104" t="e">
        <f t="shared" si="221"/>
        <v>#N/A</v>
      </c>
      <c r="AF423" s="104" t="e">
        <f>IF(AND(VLOOKUP($D423,Merchantability!$B:$C,2,0)="Yes",$E423&gt;=VLOOKUP($D423,Merchantability!$B:$D,3,0),$E423&lt;=VLOOKUP($D423,Merchantability!$B:$E,4,0)),AA423,0)</f>
        <v>#N/A</v>
      </c>
      <c r="AG423" s="104" t="e">
        <f>IF(AND(VLOOKUP($D423,Merchantability!$B:$C,2,0)="Yes",$E423&gt;=VLOOKUP($D423,Merchantability!$B:$D,3,0),$E423&lt;=VLOOKUP($D423,Merchantability!$B:$E,4,0)),AB423,0)</f>
        <v>#N/A</v>
      </c>
      <c r="AH423" s="104" t="e">
        <f>IF(AND(VLOOKUP($D423,Merchantability!$B:$C,2,0)="Yes",$E423&gt;=VLOOKUP($D423,Merchantability!$B:$D,3,0),$E423&lt;=VLOOKUP($D423,Merchantability!$B:$E,4,0)),AC423,0)</f>
        <v>#N/A</v>
      </c>
      <c r="AI423" s="104" t="e">
        <f t="shared" si="222"/>
        <v>#N/A</v>
      </c>
      <c r="AJ423" s="104" t="e">
        <f t="shared" si="223"/>
        <v>#VALUE!</v>
      </c>
      <c r="AK423" s="104" t="e">
        <f t="shared" si="224"/>
        <v>#N/A</v>
      </c>
      <c r="AL423" s="104" t="e">
        <f t="shared" si="225"/>
        <v>#N/A</v>
      </c>
      <c r="AM423" s="104" t="e">
        <f t="shared" si="226"/>
        <v>#N/A</v>
      </c>
      <c r="AN423" s="104" t="e">
        <f t="shared" si="210"/>
        <v>#N/A</v>
      </c>
      <c r="AO423" s="104" t="e">
        <f t="shared" si="211"/>
        <v>#N/A</v>
      </c>
      <c r="AP423" s="104" t="e">
        <f t="shared" si="212"/>
        <v>#N/A</v>
      </c>
      <c r="AQ423" s="104" t="e">
        <f t="shared" si="213"/>
        <v>#N/A</v>
      </c>
      <c r="AR423" s="105" t="str">
        <f t="shared" si="205"/>
        <v/>
      </c>
      <c r="AS423" s="105" t="str">
        <f t="shared" si="206"/>
        <v/>
      </c>
      <c r="AT423" s="108" t="str">
        <f t="shared" si="207"/>
        <v/>
      </c>
      <c r="AU423" s="108" t="str">
        <f t="shared" si="208"/>
        <v/>
      </c>
      <c r="AV423" s="107" t="str">
        <f>IF(ISNUMBER(O423),IF(VLOOKUP($A423,Stand!C:J,8,FALSE)="Short",AT423,AU423),"")</f>
        <v/>
      </c>
      <c r="AW423" s="109" t="str">
        <f t="shared" si="214"/>
        <v/>
      </c>
      <c r="AX423" s="109" t="str">
        <f t="shared" si="215"/>
        <v/>
      </c>
      <c r="AY423" s="112" t="str">
        <f>IF(ISNUMBER(O423),IF(AND(VLOOKUP($D423,Merchantability!$B:$C,2,0)="Yes",$E423&gt;=VLOOKUP($D423,Merchantability!$B:$D,3,0),$E423&lt;=VLOOKUP($D423,Merchantability!$B:$E,4,0)),(AV423*O423)*(1-$H423/100),""),"")</f>
        <v/>
      </c>
      <c r="AZ423" s="116"/>
      <c r="BA423" s="116"/>
      <c r="BB423" s="116"/>
      <c r="BE423" s="62"/>
      <c r="BF423" s="63"/>
    </row>
    <row r="424" spans="1:58" ht="12.75" customHeight="1" x14ac:dyDescent="0.25">
      <c r="A424" s="313"/>
      <c r="B424" s="328"/>
      <c r="C424" s="329"/>
      <c r="D424" s="328"/>
      <c r="E424" s="330"/>
      <c r="F424" s="331"/>
      <c r="G424" s="329"/>
      <c r="H424" s="329"/>
      <c r="I424" s="328"/>
      <c r="J424" s="329"/>
      <c r="K424" s="329"/>
      <c r="L424" s="329"/>
      <c r="M424" s="76"/>
      <c r="N424" s="103" t="str">
        <f>IF(A424="","",VLOOKUP(A424,Stand!C:K,9,0))</f>
        <v/>
      </c>
      <c r="O424" s="104" t="str">
        <f t="shared" si="200"/>
        <v/>
      </c>
      <c r="P424" s="105" t="str">
        <f t="shared" si="201"/>
        <v/>
      </c>
      <c r="Q424" s="105" t="str">
        <f t="shared" si="216"/>
        <v/>
      </c>
      <c r="R424" s="103" t="str">
        <f t="shared" si="202"/>
        <v/>
      </c>
      <c r="S424" s="103" t="str">
        <f t="shared" si="203"/>
        <v/>
      </c>
      <c r="T424" s="106" t="str">
        <f t="shared" si="217"/>
        <v/>
      </c>
      <c r="U424" s="106" t="str">
        <f t="shared" si="218"/>
        <v/>
      </c>
      <c r="V424" s="106" t="str">
        <f t="shared" si="219"/>
        <v/>
      </c>
      <c r="W424" s="105" t="str">
        <f t="shared" si="204"/>
        <v/>
      </c>
      <c r="X424" s="104" t="str">
        <f t="shared" si="209"/>
        <v/>
      </c>
      <c r="Y424" s="104" t="str">
        <f t="array" ref="Y424">IFERROR(IF(ISNUMBER(O424),IF(COUNT(IF(A424=$A$2:$A$2427,IF(D424=$D$2:$D$2427,IF($X$2:$X$2427&gt;0,1))))&gt;0,SUM(IF(A424=$A$2:$A$2427,IF(D424=$D$2:$D$2427,$X$2:$X$2427)))/COUNT(IF(A424=$A$2:$A$2427,IF(D424=$D$2:$D$2427,IF(ISNUMBER($X$2:$X$2427),1)))),0),""),0)</f>
        <v/>
      </c>
      <c r="Z424" s="104" t="str">
        <f>IF(ISNUMBER(O424),IF(I424&gt;0,(10^(VLOOKUP(D424,'Species Codes'!B:C,2,0)+VLOOKUP(D424,'Species Codes'!B:D,3,0)*LOG(E424)+VLOOKUP(D424,'Species Codes'!B:E,4,0)*LOG(I424))),0),"")</f>
        <v/>
      </c>
      <c r="AA424" s="104" t="str">
        <f>IFERROR((VLOOKUP(D424,'Species Codes'!B:G,6,0)*Z424)/2000,"")</f>
        <v/>
      </c>
      <c r="AB424" s="104" t="e">
        <f>IF(Z424&gt;0,((IF(OR(D424="DF",D424="RA")=TRUE,EXP(VLOOKUP(D424,'Species Codes'!B:I,8,0)+VLOOKUP(D424,'Species Codes'!B:J,9,0)*(LN((E424*2.54)))),IF(OR(D424="PY",D424="RC",D424="WH",D424="NF")=TRUE,VLOOKUP(D424,'Species Codes'!B:I,8,0)+VLOOKUP(D424,'Species Codes'!B:J,9,0)*((E424*2.54)^2)*(I424*0.3048),IF(OR(D424="MD",D424="BM",D424="GA")=TRUE,((VLOOKUP(D424,'Species Codes'!B:I,8,0)*(((((E424*2.54)+VLOOKUP(D424,'Species Codes'!B:J,9,0))/VLOOKUP(D424,'Species Codes'!B:K,10,0))^VLOOKUP(D424,'Species Codes'!B:L,11,0))*((I424*0.3048)^VLOOKUP(D424,'Species Codes'!B:M,12,0))))-(VLOOKUP(D424,'Species Codes'!B:I,8,0)*((((E424*2.54)^VLOOKUP(D424,'Species Codes'!B:L,11,0))*((I424*0.3048)^VLOOKUP(D424,'Species Codes'!B:M,12,0))))))*35.3*VLOOKUP(D424,'Species Codes'!B:G,6,0)/2.2046,VLOOKUP(D424,'Species Codes'!B:I,8,0)+VLOOKUP(D424,'Species Codes'!B:J,9,0)*(((E424*2.54)/100)^2)*(I424*0.3048)))))*0.0011023),0)</f>
        <v>#N/A</v>
      </c>
      <c r="AC424" s="104" t="e">
        <f>IF(Z424&gt;0,((IF(OR(D424="RA",D424="OA",D424="OT",D424="UN",D424="PC"),EXP(VLOOKUP(D424,'Species Codes'!B:O,14,0)+VLOOKUP(D424,'Species Codes'!B:P,15,0)*LN((E424*2.54)))-EXP(VLOOKUP(D424,'Species Codes'!B:O,14,0)+VLOOKUP(D424,'Species Codes'!B:P,15,0)*LN((E424*2.54)))*(1/(VLOOKUP(D424,'Species Codes'!B:Q,16,0)+VLOOKUP(D424,'Species Codes'!B:R,17,0)*((E424*2.54)^VLOOKUP(D424,'Species Codes'!B:S,18,0)))),IF(OR(D424="BM",D424="MD",D424="OA"),EXP(VLOOKUP(D424,'Species Codes'!B:O,14,0)+VLOOKUP(D424,'Species Codes'!B:P,15,0)*LN((E424*2.54)))*(1-(1/(VLOOKUP(D424,'Species Codes'!B:Q,16,0)+VLOOKUP(D424,'Species Codes'!B:R,17,0)*((E424*2.54)^VLOOKUP(D424,'Species Codes'!B:S,18,0)))))/1000,IF(D424="DF",EXP(VLOOKUP(D424,'Species Codes'!B:O,14,0)+VLOOKUP(D424,'Species Codes'!B:P,15,0)*LN((E424*2.54))),VLOOKUP(D424,'Species Codes'!B:O,14,0)+VLOOKUP(D424,'Species Codes'!B:P,15,0)*(((E424*2.54)/100)^2)*(I424*0.3048)))))*0.0011023),0)</f>
        <v>#N/A</v>
      </c>
      <c r="AD424" s="104" t="e">
        <f t="shared" si="220"/>
        <v>#N/A</v>
      </c>
      <c r="AE424" s="104" t="e">
        <f t="shared" si="221"/>
        <v>#N/A</v>
      </c>
      <c r="AF424" s="104" t="e">
        <f>IF(AND(VLOOKUP($D424,Merchantability!$B:$C,2,0)="Yes",$E424&gt;=VLOOKUP($D424,Merchantability!$B:$D,3,0),$E424&lt;=VLOOKUP($D424,Merchantability!$B:$E,4,0)),AA424,0)</f>
        <v>#N/A</v>
      </c>
      <c r="AG424" s="104" t="e">
        <f>IF(AND(VLOOKUP($D424,Merchantability!$B:$C,2,0)="Yes",$E424&gt;=VLOOKUP($D424,Merchantability!$B:$D,3,0),$E424&lt;=VLOOKUP($D424,Merchantability!$B:$E,4,0)),AB424,0)</f>
        <v>#N/A</v>
      </c>
      <c r="AH424" s="104" t="e">
        <f>IF(AND(VLOOKUP($D424,Merchantability!$B:$C,2,0)="Yes",$E424&gt;=VLOOKUP($D424,Merchantability!$B:$D,3,0),$E424&lt;=VLOOKUP($D424,Merchantability!$B:$E,4,0)),AC424,0)</f>
        <v>#N/A</v>
      </c>
      <c r="AI424" s="104" t="e">
        <f t="shared" si="222"/>
        <v>#N/A</v>
      </c>
      <c r="AJ424" s="104" t="e">
        <f t="shared" si="223"/>
        <v>#VALUE!</v>
      </c>
      <c r="AK424" s="104" t="e">
        <f t="shared" si="224"/>
        <v>#N/A</v>
      </c>
      <c r="AL424" s="104" t="e">
        <f t="shared" si="225"/>
        <v>#N/A</v>
      </c>
      <c r="AM424" s="104" t="e">
        <f t="shared" si="226"/>
        <v>#N/A</v>
      </c>
      <c r="AN424" s="104" t="e">
        <f t="shared" si="210"/>
        <v>#N/A</v>
      </c>
      <c r="AO424" s="104" t="e">
        <f t="shared" si="211"/>
        <v>#N/A</v>
      </c>
      <c r="AP424" s="104" t="e">
        <f t="shared" si="212"/>
        <v>#N/A</v>
      </c>
      <c r="AQ424" s="104" t="e">
        <f t="shared" si="213"/>
        <v>#N/A</v>
      </c>
      <c r="AR424" s="105" t="str">
        <f t="shared" si="205"/>
        <v/>
      </c>
      <c r="AS424" s="105" t="str">
        <f t="shared" si="206"/>
        <v/>
      </c>
      <c r="AT424" s="108" t="str">
        <f t="shared" si="207"/>
        <v/>
      </c>
      <c r="AU424" s="108" t="str">
        <f t="shared" si="208"/>
        <v/>
      </c>
      <c r="AV424" s="107" t="str">
        <f>IF(ISNUMBER(O424),IF(VLOOKUP($A424,Stand!C:J,8,FALSE)="Short",AT424,AU424),"")</f>
        <v/>
      </c>
      <c r="AW424" s="109" t="str">
        <f t="shared" si="214"/>
        <v/>
      </c>
      <c r="AX424" s="109" t="str">
        <f t="shared" si="215"/>
        <v/>
      </c>
      <c r="AY424" s="112" t="str">
        <f>IF(ISNUMBER(O424),IF(AND(VLOOKUP($D424,Merchantability!$B:$C,2,0)="Yes",$E424&gt;=VLOOKUP($D424,Merchantability!$B:$D,3,0),$E424&lt;=VLOOKUP($D424,Merchantability!$B:$E,4,0)),(AV424*O424)*(1-$H424/100),""),"")</f>
        <v/>
      </c>
      <c r="AZ424" s="116"/>
      <c r="BA424" s="116"/>
      <c r="BB424" s="116"/>
      <c r="BE424" s="62"/>
      <c r="BF424" s="63"/>
    </row>
    <row r="425" spans="1:58" ht="12.75" customHeight="1" x14ac:dyDescent="0.25">
      <c r="A425" s="313"/>
      <c r="B425" s="328"/>
      <c r="C425" s="329"/>
      <c r="D425" s="328"/>
      <c r="E425" s="330"/>
      <c r="F425" s="331"/>
      <c r="G425" s="329"/>
      <c r="H425" s="329"/>
      <c r="I425" s="328"/>
      <c r="J425" s="329"/>
      <c r="K425" s="329"/>
      <c r="L425" s="329"/>
      <c r="M425" s="76"/>
      <c r="N425" s="103" t="str">
        <f>IF(A425="","",VLOOKUP(A425,Stand!C:K,9,0))</f>
        <v/>
      </c>
      <c r="O425" s="104" t="str">
        <f t="shared" si="200"/>
        <v/>
      </c>
      <c r="P425" s="105" t="str">
        <f t="shared" si="201"/>
        <v/>
      </c>
      <c r="Q425" s="105" t="str">
        <f t="shared" si="216"/>
        <v/>
      </c>
      <c r="R425" s="103" t="str">
        <f t="shared" si="202"/>
        <v/>
      </c>
      <c r="S425" s="103" t="str">
        <f t="shared" si="203"/>
        <v/>
      </c>
      <c r="T425" s="106" t="str">
        <f t="shared" si="217"/>
        <v/>
      </c>
      <c r="U425" s="106" t="str">
        <f t="shared" si="218"/>
        <v/>
      </c>
      <c r="V425" s="106" t="str">
        <f t="shared" si="219"/>
        <v/>
      </c>
      <c r="W425" s="105" t="str">
        <f t="shared" si="204"/>
        <v/>
      </c>
      <c r="X425" s="104" t="str">
        <f t="shared" si="209"/>
        <v/>
      </c>
      <c r="Y425" s="104" t="str">
        <f t="array" ref="Y425">IFERROR(IF(ISNUMBER(O425),IF(COUNT(IF(A425=$A$2:$A$2427,IF(D425=$D$2:$D$2427,IF($X$2:$X$2427&gt;0,1))))&gt;0,SUM(IF(A425=$A$2:$A$2427,IF(D425=$D$2:$D$2427,$X$2:$X$2427)))/COUNT(IF(A425=$A$2:$A$2427,IF(D425=$D$2:$D$2427,IF(ISNUMBER($X$2:$X$2427),1)))),0),""),0)</f>
        <v/>
      </c>
      <c r="Z425" s="104" t="str">
        <f>IF(ISNUMBER(O425),IF(I425&gt;0,(10^(VLOOKUP(D425,'Species Codes'!B:C,2,0)+VLOOKUP(D425,'Species Codes'!B:D,3,0)*LOG(E425)+VLOOKUP(D425,'Species Codes'!B:E,4,0)*LOG(I425))),0),"")</f>
        <v/>
      </c>
      <c r="AA425" s="104" t="str">
        <f>IFERROR((VLOOKUP(D425,'Species Codes'!B:G,6,0)*Z425)/2000,"")</f>
        <v/>
      </c>
      <c r="AB425" s="104" t="e">
        <f>IF(Z425&gt;0,((IF(OR(D425="DF",D425="RA")=TRUE,EXP(VLOOKUP(D425,'Species Codes'!B:I,8,0)+VLOOKUP(D425,'Species Codes'!B:J,9,0)*(LN((E425*2.54)))),IF(OR(D425="PY",D425="RC",D425="WH",D425="NF")=TRUE,VLOOKUP(D425,'Species Codes'!B:I,8,0)+VLOOKUP(D425,'Species Codes'!B:J,9,0)*((E425*2.54)^2)*(I425*0.3048),IF(OR(D425="MD",D425="BM",D425="GA")=TRUE,((VLOOKUP(D425,'Species Codes'!B:I,8,0)*(((((E425*2.54)+VLOOKUP(D425,'Species Codes'!B:J,9,0))/VLOOKUP(D425,'Species Codes'!B:K,10,0))^VLOOKUP(D425,'Species Codes'!B:L,11,0))*((I425*0.3048)^VLOOKUP(D425,'Species Codes'!B:M,12,0))))-(VLOOKUP(D425,'Species Codes'!B:I,8,0)*((((E425*2.54)^VLOOKUP(D425,'Species Codes'!B:L,11,0))*((I425*0.3048)^VLOOKUP(D425,'Species Codes'!B:M,12,0))))))*35.3*VLOOKUP(D425,'Species Codes'!B:G,6,0)/2.2046,VLOOKUP(D425,'Species Codes'!B:I,8,0)+VLOOKUP(D425,'Species Codes'!B:J,9,0)*(((E425*2.54)/100)^2)*(I425*0.3048)))))*0.0011023),0)</f>
        <v>#N/A</v>
      </c>
      <c r="AC425" s="104" t="e">
        <f>IF(Z425&gt;0,((IF(OR(D425="RA",D425="OA",D425="OT",D425="UN",D425="PC"),EXP(VLOOKUP(D425,'Species Codes'!B:O,14,0)+VLOOKUP(D425,'Species Codes'!B:P,15,0)*LN((E425*2.54)))-EXP(VLOOKUP(D425,'Species Codes'!B:O,14,0)+VLOOKUP(D425,'Species Codes'!B:P,15,0)*LN((E425*2.54)))*(1/(VLOOKUP(D425,'Species Codes'!B:Q,16,0)+VLOOKUP(D425,'Species Codes'!B:R,17,0)*((E425*2.54)^VLOOKUP(D425,'Species Codes'!B:S,18,0)))),IF(OR(D425="BM",D425="MD",D425="OA"),EXP(VLOOKUP(D425,'Species Codes'!B:O,14,0)+VLOOKUP(D425,'Species Codes'!B:P,15,0)*LN((E425*2.54)))*(1-(1/(VLOOKUP(D425,'Species Codes'!B:Q,16,0)+VLOOKUP(D425,'Species Codes'!B:R,17,0)*((E425*2.54)^VLOOKUP(D425,'Species Codes'!B:S,18,0)))))/1000,IF(D425="DF",EXP(VLOOKUP(D425,'Species Codes'!B:O,14,0)+VLOOKUP(D425,'Species Codes'!B:P,15,0)*LN((E425*2.54))),VLOOKUP(D425,'Species Codes'!B:O,14,0)+VLOOKUP(D425,'Species Codes'!B:P,15,0)*(((E425*2.54)/100)^2)*(I425*0.3048)))))*0.0011023),0)</f>
        <v>#N/A</v>
      </c>
      <c r="AD425" s="104" t="e">
        <f t="shared" si="220"/>
        <v>#N/A</v>
      </c>
      <c r="AE425" s="104" t="e">
        <f t="shared" si="221"/>
        <v>#N/A</v>
      </c>
      <c r="AF425" s="104" t="e">
        <f>IF(AND(VLOOKUP($D425,Merchantability!$B:$C,2,0)="Yes",$E425&gt;=VLOOKUP($D425,Merchantability!$B:$D,3,0),$E425&lt;=VLOOKUP($D425,Merchantability!$B:$E,4,0)),AA425,0)</f>
        <v>#N/A</v>
      </c>
      <c r="AG425" s="104" t="e">
        <f>IF(AND(VLOOKUP($D425,Merchantability!$B:$C,2,0)="Yes",$E425&gt;=VLOOKUP($D425,Merchantability!$B:$D,3,0),$E425&lt;=VLOOKUP($D425,Merchantability!$B:$E,4,0)),AB425,0)</f>
        <v>#N/A</v>
      </c>
      <c r="AH425" s="104" t="e">
        <f>IF(AND(VLOOKUP($D425,Merchantability!$B:$C,2,0)="Yes",$E425&gt;=VLOOKUP($D425,Merchantability!$B:$D,3,0),$E425&lt;=VLOOKUP($D425,Merchantability!$B:$E,4,0)),AC425,0)</f>
        <v>#N/A</v>
      </c>
      <c r="AI425" s="104" t="e">
        <f t="shared" si="222"/>
        <v>#N/A</v>
      </c>
      <c r="AJ425" s="104" t="e">
        <f t="shared" si="223"/>
        <v>#VALUE!</v>
      </c>
      <c r="AK425" s="104" t="e">
        <f t="shared" si="224"/>
        <v>#N/A</v>
      </c>
      <c r="AL425" s="104" t="e">
        <f t="shared" si="225"/>
        <v>#N/A</v>
      </c>
      <c r="AM425" s="104" t="e">
        <f t="shared" si="226"/>
        <v>#N/A</v>
      </c>
      <c r="AN425" s="104" t="e">
        <f t="shared" si="210"/>
        <v>#N/A</v>
      </c>
      <c r="AO425" s="104" t="e">
        <f t="shared" si="211"/>
        <v>#N/A</v>
      </c>
      <c r="AP425" s="104" t="e">
        <f t="shared" si="212"/>
        <v>#N/A</v>
      </c>
      <c r="AQ425" s="104" t="e">
        <f t="shared" si="213"/>
        <v>#N/A</v>
      </c>
      <c r="AR425" s="105" t="str">
        <f t="shared" si="205"/>
        <v/>
      </c>
      <c r="AS425" s="105" t="str">
        <f t="shared" si="206"/>
        <v/>
      </c>
      <c r="AT425" s="108" t="str">
        <f t="shared" si="207"/>
        <v/>
      </c>
      <c r="AU425" s="108" t="str">
        <f t="shared" si="208"/>
        <v/>
      </c>
      <c r="AV425" s="107" t="str">
        <f>IF(ISNUMBER(O425),IF(VLOOKUP($A425,Stand!C:J,8,FALSE)="Short",AT425,AU425),"")</f>
        <v/>
      </c>
      <c r="AW425" s="109" t="str">
        <f t="shared" si="214"/>
        <v/>
      </c>
      <c r="AX425" s="109" t="str">
        <f t="shared" si="215"/>
        <v/>
      </c>
      <c r="AY425" s="112" t="str">
        <f>IF(ISNUMBER(O425),IF(AND(VLOOKUP($D425,Merchantability!$B:$C,2,0)="Yes",$E425&gt;=VLOOKUP($D425,Merchantability!$B:$D,3,0),$E425&lt;=VLOOKUP($D425,Merchantability!$B:$E,4,0)),(AV425*O425)*(1-$H425/100),""),"")</f>
        <v/>
      </c>
      <c r="AZ425" s="116"/>
      <c r="BA425" s="116"/>
      <c r="BB425" s="116"/>
      <c r="BE425" s="62"/>
      <c r="BF425" s="63"/>
    </row>
    <row r="426" spans="1:58" ht="12.75" customHeight="1" x14ac:dyDescent="0.25">
      <c r="A426" s="313"/>
      <c r="B426" s="328"/>
      <c r="C426" s="329"/>
      <c r="D426" s="328"/>
      <c r="E426" s="330"/>
      <c r="F426" s="331"/>
      <c r="G426" s="329"/>
      <c r="H426" s="329"/>
      <c r="I426" s="328"/>
      <c r="J426" s="329"/>
      <c r="K426" s="329"/>
      <c r="L426" s="329"/>
      <c r="M426" s="76"/>
      <c r="N426" s="103" t="str">
        <f>IF(A426="","",VLOOKUP(A426,Stand!C:K,9,0))</f>
        <v/>
      </c>
      <c r="O426" s="104" t="str">
        <f t="shared" si="200"/>
        <v/>
      </c>
      <c r="P426" s="105" t="str">
        <f t="shared" si="201"/>
        <v/>
      </c>
      <c r="Q426" s="105" t="str">
        <f t="shared" si="216"/>
        <v/>
      </c>
      <c r="R426" s="103" t="str">
        <f t="shared" si="202"/>
        <v/>
      </c>
      <c r="S426" s="103" t="str">
        <f t="shared" si="203"/>
        <v/>
      </c>
      <c r="T426" s="106" t="str">
        <f t="shared" si="217"/>
        <v/>
      </c>
      <c r="U426" s="106" t="str">
        <f t="shared" si="218"/>
        <v/>
      </c>
      <c r="V426" s="106" t="str">
        <f t="shared" si="219"/>
        <v/>
      </c>
      <c r="W426" s="105" t="str">
        <f t="shared" si="204"/>
        <v/>
      </c>
      <c r="X426" s="104" t="str">
        <f t="shared" si="209"/>
        <v/>
      </c>
      <c r="Y426" s="104" t="str">
        <f t="array" ref="Y426">IFERROR(IF(ISNUMBER(O426),IF(COUNT(IF(A426=$A$2:$A$2427,IF(D426=$D$2:$D$2427,IF($X$2:$X$2427&gt;0,1))))&gt;0,SUM(IF(A426=$A$2:$A$2427,IF(D426=$D$2:$D$2427,$X$2:$X$2427)))/COUNT(IF(A426=$A$2:$A$2427,IF(D426=$D$2:$D$2427,IF(ISNUMBER($X$2:$X$2427),1)))),0),""),0)</f>
        <v/>
      </c>
      <c r="Z426" s="104" t="str">
        <f>IF(ISNUMBER(O426),IF(I426&gt;0,(10^(VLOOKUP(D426,'Species Codes'!B:C,2,0)+VLOOKUP(D426,'Species Codes'!B:D,3,0)*LOG(E426)+VLOOKUP(D426,'Species Codes'!B:E,4,0)*LOG(I426))),0),"")</f>
        <v/>
      </c>
      <c r="AA426" s="104" t="str">
        <f>IFERROR((VLOOKUP(D426,'Species Codes'!B:G,6,0)*Z426)/2000,"")</f>
        <v/>
      </c>
      <c r="AB426" s="104" t="e">
        <f>IF(Z426&gt;0,((IF(OR(D426="DF",D426="RA")=TRUE,EXP(VLOOKUP(D426,'Species Codes'!B:I,8,0)+VLOOKUP(D426,'Species Codes'!B:J,9,0)*(LN((E426*2.54)))),IF(OR(D426="PY",D426="RC",D426="WH",D426="NF")=TRUE,VLOOKUP(D426,'Species Codes'!B:I,8,0)+VLOOKUP(D426,'Species Codes'!B:J,9,0)*((E426*2.54)^2)*(I426*0.3048),IF(OR(D426="MD",D426="BM",D426="GA")=TRUE,((VLOOKUP(D426,'Species Codes'!B:I,8,0)*(((((E426*2.54)+VLOOKUP(D426,'Species Codes'!B:J,9,0))/VLOOKUP(D426,'Species Codes'!B:K,10,0))^VLOOKUP(D426,'Species Codes'!B:L,11,0))*((I426*0.3048)^VLOOKUP(D426,'Species Codes'!B:M,12,0))))-(VLOOKUP(D426,'Species Codes'!B:I,8,0)*((((E426*2.54)^VLOOKUP(D426,'Species Codes'!B:L,11,0))*((I426*0.3048)^VLOOKUP(D426,'Species Codes'!B:M,12,0))))))*35.3*VLOOKUP(D426,'Species Codes'!B:G,6,0)/2.2046,VLOOKUP(D426,'Species Codes'!B:I,8,0)+VLOOKUP(D426,'Species Codes'!B:J,9,0)*(((E426*2.54)/100)^2)*(I426*0.3048)))))*0.0011023),0)</f>
        <v>#N/A</v>
      </c>
      <c r="AC426" s="104" t="e">
        <f>IF(Z426&gt;0,((IF(OR(D426="RA",D426="OA",D426="OT",D426="UN",D426="PC"),EXP(VLOOKUP(D426,'Species Codes'!B:O,14,0)+VLOOKUP(D426,'Species Codes'!B:P,15,0)*LN((E426*2.54)))-EXP(VLOOKUP(D426,'Species Codes'!B:O,14,0)+VLOOKUP(D426,'Species Codes'!B:P,15,0)*LN((E426*2.54)))*(1/(VLOOKUP(D426,'Species Codes'!B:Q,16,0)+VLOOKUP(D426,'Species Codes'!B:R,17,0)*((E426*2.54)^VLOOKUP(D426,'Species Codes'!B:S,18,0)))),IF(OR(D426="BM",D426="MD",D426="OA"),EXP(VLOOKUP(D426,'Species Codes'!B:O,14,0)+VLOOKUP(D426,'Species Codes'!B:P,15,0)*LN((E426*2.54)))*(1-(1/(VLOOKUP(D426,'Species Codes'!B:Q,16,0)+VLOOKUP(D426,'Species Codes'!B:R,17,0)*((E426*2.54)^VLOOKUP(D426,'Species Codes'!B:S,18,0)))))/1000,IF(D426="DF",EXP(VLOOKUP(D426,'Species Codes'!B:O,14,0)+VLOOKUP(D426,'Species Codes'!B:P,15,0)*LN((E426*2.54))),VLOOKUP(D426,'Species Codes'!B:O,14,0)+VLOOKUP(D426,'Species Codes'!B:P,15,0)*(((E426*2.54)/100)^2)*(I426*0.3048)))))*0.0011023),0)</f>
        <v>#N/A</v>
      </c>
      <c r="AD426" s="104" t="e">
        <f t="shared" si="220"/>
        <v>#N/A</v>
      </c>
      <c r="AE426" s="104" t="e">
        <f t="shared" si="221"/>
        <v>#N/A</v>
      </c>
      <c r="AF426" s="104" t="e">
        <f>IF(AND(VLOOKUP($D426,Merchantability!$B:$C,2,0)="Yes",$E426&gt;=VLOOKUP($D426,Merchantability!$B:$D,3,0),$E426&lt;=VLOOKUP($D426,Merchantability!$B:$E,4,0)),AA426,0)</f>
        <v>#N/A</v>
      </c>
      <c r="AG426" s="104" t="e">
        <f>IF(AND(VLOOKUP($D426,Merchantability!$B:$C,2,0)="Yes",$E426&gt;=VLOOKUP($D426,Merchantability!$B:$D,3,0),$E426&lt;=VLOOKUP($D426,Merchantability!$B:$E,4,0)),AB426,0)</f>
        <v>#N/A</v>
      </c>
      <c r="AH426" s="104" t="e">
        <f>IF(AND(VLOOKUP($D426,Merchantability!$B:$C,2,0)="Yes",$E426&gt;=VLOOKUP($D426,Merchantability!$B:$D,3,0),$E426&lt;=VLOOKUP($D426,Merchantability!$B:$E,4,0)),AC426,0)</f>
        <v>#N/A</v>
      </c>
      <c r="AI426" s="104" t="e">
        <f t="shared" si="222"/>
        <v>#N/A</v>
      </c>
      <c r="AJ426" s="104" t="e">
        <f t="shared" si="223"/>
        <v>#VALUE!</v>
      </c>
      <c r="AK426" s="104" t="e">
        <f t="shared" si="224"/>
        <v>#N/A</v>
      </c>
      <c r="AL426" s="104" t="e">
        <f t="shared" si="225"/>
        <v>#N/A</v>
      </c>
      <c r="AM426" s="104" t="e">
        <f t="shared" si="226"/>
        <v>#N/A</v>
      </c>
      <c r="AN426" s="104" t="e">
        <f t="shared" si="210"/>
        <v>#N/A</v>
      </c>
      <c r="AO426" s="104" t="e">
        <f t="shared" si="211"/>
        <v>#N/A</v>
      </c>
      <c r="AP426" s="104" t="e">
        <f t="shared" si="212"/>
        <v>#N/A</v>
      </c>
      <c r="AQ426" s="104" t="e">
        <f t="shared" si="213"/>
        <v>#N/A</v>
      </c>
      <c r="AR426" s="105" t="str">
        <f t="shared" si="205"/>
        <v/>
      </c>
      <c r="AS426" s="105" t="str">
        <f t="shared" si="206"/>
        <v/>
      </c>
      <c r="AT426" s="108" t="str">
        <f t="shared" si="207"/>
        <v/>
      </c>
      <c r="AU426" s="108" t="str">
        <f t="shared" si="208"/>
        <v/>
      </c>
      <c r="AV426" s="107" t="str">
        <f>IF(ISNUMBER(O426),IF(VLOOKUP($A426,Stand!C:J,8,FALSE)="Short",AT426,AU426),"")</f>
        <v/>
      </c>
      <c r="AW426" s="109" t="str">
        <f t="shared" si="214"/>
        <v/>
      </c>
      <c r="AX426" s="109" t="str">
        <f t="shared" si="215"/>
        <v/>
      </c>
      <c r="AY426" s="112" t="str">
        <f>IF(ISNUMBER(O426),IF(AND(VLOOKUP($D426,Merchantability!$B:$C,2,0)="Yes",$E426&gt;=VLOOKUP($D426,Merchantability!$B:$D,3,0),$E426&lt;=VLOOKUP($D426,Merchantability!$B:$E,4,0)),(AV426*O426)*(1-$H426/100),""),"")</f>
        <v/>
      </c>
      <c r="AZ426" s="116"/>
      <c r="BA426" s="116"/>
      <c r="BB426" s="116"/>
      <c r="BE426" s="62"/>
      <c r="BF426" s="63"/>
    </row>
    <row r="427" spans="1:58" ht="12.75" customHeight="1" x14ac:dyDescent="0.25">
      <c r="A427" s="313"/>
      <c r="B427" s="328"/>
      <c r="C427" s="329"/>
      <c r="D427" s="328"/>
      <c r="E427" s="330"/>
      <c r="F427" s="331"/>
      <c r="G427" s="329"/>
      <c r="H427" s="329"/>
      <c r="I427" s="328"/>
      <c r="J427" s="329"/>
      <c r="K427" s="329"/>
      <c r="L427" s="329"/>
      <c r="M427" s="76"/>
      <c r="N427" s="103" t="str">
        <f>IF(A427="","",VLOOKUP(A427,Stand!C:K,9,0))</f>
        <v/>
      </c>
      <c r="O427" s="104" t="str">
        <f t="shared" si="200"/>
        <v/>
      </c>
      <c r="P427" s="105" t="str">
        <f t="shared" si="201"/>
        <v/>
      </c>
      <c r="Q427" s="105" t="str">
        <f t="shared" si="216"/>
        <v/>
      </c>
      <c r="R427" s="103" t="str">
        <f t="shared" si="202"/>
        <v/>
      </c>
      <c r="S427" s="103" t="str">
        <f t="shared" si="203"/>
        <v/>
      </c>
      <c r="T427" s="106" t="str">
        <f t="shared" si="217"/>
        <v/>
      </c>
      <c r="U427" s="106" t="str">
        <f t="shared" si="218"/>
        <v/>
      </c>
      <c r="V427" s="106" t="str">
        <f t="shared" si="219"/>
        <v/>
      </c>
      <c r="W427" s="105" t="str">
        <f t="shared" si="204"/>
        <v/>
      </c>
      <c r="X427" s="104" t="str">
        <f t="shared" si="209"/>
        <v/>
      </c>
      <c r="Y427" s="104" t="str">
        <f t="array" ref="Y427">IFERROR(IF(ISNUMBER(O427),IF(COUNT(IF(A427=$A$2:$A$2427,IF(D427=$D$2:$D$2427,IF($X$2:$X$2427&gt;0,1))))&gt;0,SUM(IF(A427=$A$2:$A$2427,IF(D427=$D$2:$D$2427,$X$2:$X$2427)))/COUNT(IF(A427=$A$2:$A$2427,IF(D427=$D$2:$D$2427,IF(ISNUMBER($X$2:$X$2427),1)))),0),""),0)</f>
        <v/>
      </c>
      <c r="Z427" s="104" t="str">
        <f>IF(ISNUMBER(O427),IF(I427&gt;0,(10^(VLOOKUP(D427,'Species Codes'!B:C,2,0)+VLOOKUP(D427,'Species Codes'!B:D,3,0)*LOG(E427)+VLOOKUP(D427,'Species Codes'!B:E,4,0)*LOG(I427))),0),"")</f>
        <v/>
      </c>
      <c r="AA427" s="104" t="str">
        <f>IFERROR((VLOOKUP(D427,'Species Codes'!B:G,6,0)*Z427)/2000,"")</f>
        <v/>
      </c>
      <c r="AB427" s="104" t="e">
        <f>IF(Z427&gt;0,((IF(OR(D427="DF",D427="RA")=TRUE,EXP(VLOOKUP(D427,'Species Codes'!B:I,8,0)+VLOOKUP(D427,'Species Codes'!B:J,9,0)*(LN((E427*2.54)))),IF(OR(D427="PY",D427="RC",D427="WH",D427="NF")=TRUE,VLOOKUP(D427,'Species Codes'!B:I,8,0)+VLOOKUP(D427,'Species Codes'!B:J,9,0)*((E427*2.54)^2)*(I427*0.3048),IF(OR(D427="MD",D427="BM",D427="GA")=TRUE,((VLOOKUP(D427,'Species Codes'!B:I,8,0)*(((((E427*2.54)+VLOOKUP(D427,'Species Codes'!B:J,9,0))/VLOOKUP(D427,'Species Codes'!B:K,10,0))^VLOOKUP(D427,'Species Codes'!B:L,11,0))*((I427*0.3048)^VLOOKUP(D427,'Species Codes'!B:M,12,0))))-(VLOOKUP(D427,'Species Codes'!B:I,8,0)*((((E427*2.54)^VLOOKUP(D427,'Species Codes'!B:L,11,0))*((I427*0.3048)^VLOOKUP(D427,'Species Codes'!B:M,12,0))))))*35.3*VLOOKUP(D427,'Species Codes'!B:G,6,0)/2.2046,VLOOKUP(D427,'Species Codes'!B:I,8,0)+VLOOKUP(D427,'Species Codes'!B:J,9,0)*(((E427*2.54)/100)^2)*(I427*0.3048)))))*0.0011023),0)</f>
        <v>#N/A</v>
      </c>
      <c r="AC427" s="104" t="e">
        <f>IF(Z427&gt;0,((IF(OR(D427="RA",D427="OA",D427="OT",D427="UN",D427="PC"),EXP(VLOOKUP(D427,'Species Codes'!B:O,14,0)+VLOOKUP(D427,'Species Codes'!B:P,15,0)*LN((E427*2.54)))-EXP(VLOOKUP(D427,'Species Codes'!B:O,14,0)+VLOOKUP(D427,'Species Codes'!B:P,15,0)*LN((E427*2.54)))*(1/(VLOOKUP(D427,'Species Codes'!B:Q,16,0)+VLOOKUP(D427,'Species Codes'!B:R,17,0)*((E427*2.54)^VLOOKUP(D427,'Species Codes'!B:S,18,0)))),IF(OR(D427="BM",D427="MD",D427="OA"),EXP(VLOOKUP(D427,'Species Codes'!B:O,14,0)+VLOOKUP(D427,'Species Codes'!B:P,15,0)*LN((E427*2.54)))*(1-(1/(VLOOKUP(D427,'Species Codes'!B:Q,16,0)+VLOOKUP(D427,'Species Codes'!B:R,17,0)*((E427*2.54)^VLOOKUP(D427,'Species Codes'!B:S,18,0)))))/1000,IF(D427="DF",EXP(VLOOKUP(D427,'Species Codes'!B:O,14,0)+VLOOKUP(D427,'Species Codes'!B:P,15,0)*LN((E427*2.54))),VLOOKUP(D427,'Species Codes'!B:O,14,0)+VLOOKUP(D427,'Species Codes'!B:P,15,0)*(((E427*2.54)/100)^2)*(I427*0.3048)))))*0.0011023),0)</f>
        <v>#N/A</v>
      </c>
      <c r="AD427" s="104" t="e">
        <f t="shared" si="220"/>
        <v>#N/A</v>
      </c>
      <c r="AE427" s="104" t="e">
        <f t="shared" si="221"/>
        <v>#N/A</v>
      </c>
      <c r="AF427" s="104" t="e">
        <f>IF(AND(VLOOKUP($D427,Merchantability!$B:$C,2,0)="Yes",$E427&gt;=VLOOKUP($D427,Merchantability!$B:$D,3,0),$E427&lt;=VLOOKUP($D427,Merchantability!$B:$E,4,0)),AA427,0)</f>
        <v>#N/A</v>
      </c>
      <c r="AG427" s="104" t="e">
        <f>IF(AND(VLOOKUP($D427,Merchantability!$B:$C,2,0)="Yes",$E427&gt;=VLOOKUP($D427,Merchantability!$B:$D,3,0),$E427&lt;=VLOOKUP($D427,Merchantability!$B:$E,4,0)),AB427,0)</f>
        <v>#N/A</v>
      </c>
      <c r="AH427" s="104" t="e">
        <f>IF(AND(VLOOKUP($D427,Merchantability!$B:$C,2,0)="Yes",$E427&gt;=VLOOKUP($D427,Merchantability!$B:$D,3,0),$E427&lt;=VLOOKUP($D427,Merchantability!$B:$E,4,0)),AC427,0)</f>
        <v>#N/A</v>
      </c>
      <c r="AI427" s="104" t="e">
        <f t="shared" si="222"/>
        <v>#N/A</v>
      </c>
      <c r="AJ427" s="104" t="e">
        <f t="shared" si="223"/>
        <v>#VALUE!</v>
      </c>
      <c r="AK427" s="104" t="e">
        <f t="shared" si="224"/>
        <v>#N/A</v>
      </c>
      <c r="AL427" s="104" t="e">
        <f t="shared" si="225"/>
        <v>#N/A</v>
      </c>
      <c r="AM427" s="104" t="e">
        <f t="shared" si="226"/>
        <v>#N/A</v>
      </c>
      <c r="AN427" s="104" t="e">
        <f t="shared" si="210"/>
        <v>#N/A</v>
      </c>
      <c r="AO427" s="104" t="e">
        <f t="shared" si="211"/>
        <v>#N/A</v>
      </c>
      <c r="AP427" s="104" t="e">
        <f t="shared" si="212"/>
        <v>#N/A</v>
      </c>
      <c r="AQ427" s="104" t="e">
        <f t="shared" si="213"/>
        <v>#N/A</v>
      </c>
      <c r="AR427" s="105" t="str">
        <f t="shared" si="205"/>
        <v/>
      </c>
      <c r="AS427" s="105" t="str">
        <f t="shared" si="206"/>
        <v/>
      </c>
      <c r="AT427" s="108" t="str">
        <f t="shared" si="207"/>
        <v/>
      </c>
      <c r="AU427" s="108" t="str">
        <f t="shared" si="208"/>
        <v/>
      </c>
      <c r="AV427" s="107" t="str">
        <f>IF(ISNUMBER(O427),IF(VLOOKUP($A427,Stand!C:J,8,FALSE)="Short",AT427,AU427),"")</f>
        <v/>
      </c>
      <c r="AW427" s="109" t="str">
        <f t="shared" si="214"/>
        <v/>
      </c>
      <c r="AX427" s="109" t="str">
        <f t="shared" si="215"/>
        <v/>
      </c>
      <c r="AY427" s="112" t="str">
        <f>IF(ISNUMBER(O427),IF(AND(VLOOKUP($D427,Merchantability!$B:$C,2,0)="Yes",$E427&gt;=VLOOKUP($D427,Merchantability!$B:$D,3,0),$E427&lt;=VLOOKUP($D427,Merchantability!$B:$E,4,0)),(AV427*O427)*(1-$H427/100),""),"")</f>
        <v/>
      </c>
      <c r="AZ427" s="116"/>
      <c r="BA427" s="116"/>
      <c r="BB427" s="116"/>
      <c r="BE427" s="62"/>
      <c r="BF427" s="63"/>
    </row>
    <row r="428" spans="1:58" ht="12.75" customHeight="1" x14ac:dyDescent="0.25">
      <c r="A428" s="313"/>
      <c r="B428" s="328"/>
      <c r="C428" s="329"/>
      <c r="D428" s="328"/>
      <c r="E428" s="330"/>
      <c r="F428" s="331"/>
      <c r="G428" s="329"/>
      <c r="H428" s="329"/>
      <c r="I428" s="328"/>
      <c r="J428" s="329"/>
      <c r="K428" s="329"/>
      <c r="L428" s="329"/>
      <c r="M428" s="76"/>
      <c r="N428" s="103" t="str">
        <f>IF(A428="","",VLOOKUP(A428,Stand!C:K,9,0))</f>
        <v/>
      </c>
      <c r="O428" s="104" t="str">
        <f t="shared" si="200"/>
        <v/>
      </c>
      <c r="P428" s="105" t="str">
        <f t="shared" si="201"/>
        <v/>
      </c>
      <c r="Q428" s="105" t="str">
        <f t="shared" si="216"/>
        <v/>
      </c>
      <c r="R428" s="103" t="str">
        <f t="shared" si="202"/>
        <v/>
      </c>
      <c r="S428" s="103" t="str">
        <f t="shared" si="203"/>
        <v/>
      </c>
      <c r="T428" s="106" t="str">
        <f t="shared" si="217"/>
        <v/>
      </c>
      <c r="U428" s="106" t="str">
        <f t="shared" si="218"/>
        <v/>
      </c>
      <c r="V428" s="106" t="str">
        <f t="shared" si="219"/>
        <v/>
      </c>
      <c r="W428" s="105" t="str">
        <f t="shared" si="204"/>
        <v/>
      </c>
      <c r="X428" s="104" t="str">
        <f t="shared" si="209"/>
        <v/>
      </c>
      <c r="Y428" s="104" t="str">
        <f t="array" ref="Y428">IFERROR(IF(ISNUMBER(O428),IF(COUNT(IF(A428=$A$2:$A$2427,IF(D428=$D$2:$D$2427,IF($X$2:$X$2427&gt;0,1))))&gt;0,SUM(IF(A428=$A$2:$A$2427,IF(D428=$D$2:$D$2427,$X$2:$X$2427)))/COUNT(IF(A428=$A$2:$A$2427,IF(D428=$D$2:$D$2427,IF(ISNUMBER($X$2:$X$2427),1)))),0),""),0)</f>
        <v/>
      </c>
      <c r="Z428" s="104" t="str">
        <f>IF(ISNUMBER(O428),IF(I428&gt;0,(10^(VLOOKUP(D428,'Species Codes'!B:C,2,0)+VLOOKUP(D428,'Species Codes'!B:D,3,0)*LOG(E428)+VLOOKUP(D428,'Species Codes'!B:E,4,0)*LOG(I428))),0),"")</f>
        <v/>
      </c>
      <c r="AA428" s="104" t="str">
        <f>IFERROR((VLOOKUP(D428,'Species Codes'!B:G,6,0)*Z428)/2000,"")</f>
        <v/>
      </c>
      <c r="AB428" s="104" t="e">
        <f>IF(Z428&gt;0,((IF(OR(D428="DF",D428="RA")=TRUE,EXP(VLOOKUP(D428,'Species Codes'!B:I,8,0)+VLOOKUP(D428,'Species Codes'!B:J,9,0)*(LN((E428*2.54)))),IF(OR(D428="PY",D428="RC",D428="WH",D428="NF")=TRUE,VLOOKUP(D428,'Species Codes'!B:I,8,0)+VLOOKUP(D428,'Species Codes'!B:J,9,0)*((E428*2.54)^2)*(I428*0.3048),IF(OR(D428="MD",D428="BM",D428="GA")=TRUE,((VLOOKUP(D428,'Species Codes'!B:I,8,0)*(((((E428*2.54)+VLOOKUP(D428,'Species Codes'!B:J,9,0))/VLOOKUP(D428,'Species Codes'!B:K,10,0))^VLOOKUP(D428,'Species Codes'!B:L,11,0))*((I428*0.3048)^VLOOKUP(D428,'Species Codes'!B:M,12,0))))-(VLOOKUP(D428,'Species Codes'!B:I,8,0)*((((E428*2.54)^VLOOKUP(D428,'Species Codes'!B:L,11,0))*((I428*0.3048)^VLOOKUP(D428,'Species Codes'!B:M,12,0))))))*35.3*VLOOKUP(D428,'Species Codes'!B:G,6,0)/2.2046,VLOOKUP(D428,'Species Codes'!B:I,8,0)+VLOOKUP(D428,'Species Codes'!B:J,9,0)*(((E428*2.54)/100)^2)*(I428*0.3048)))))*0.0011023),0)</f>
        <v>#N/A</v>
      </c>
      <c r="AC428" s="104" t="e">
        <f>IF(Z428&gt;0,((IF(OR(D428="RA",D428="OA",D428="OT",D428="UN",D428="PC"),EXP(VLOOKUP(D428,'Species Codes'!B:O,14,0)+VLOOKUP(D428,'Species Codes'!B:P,15,0)*LN((E428*2.54)))-EXP(VLOOKUP(D428,'Species Codes'!B:O,14,0)+VLOOKUP(D428,'Species Codes'!B:P,15,0)*LN((E428*2.54)))*(1/(VLOOKUP(D428,'Species Codes'!B:Q,16,0)+VLOOKUP(D428,'Species Codes'!B:R,17,0)*((E428*2.54)^VLOOKUP(D428,'Species Codes'!B:S,18,0)))),IF(OR(D428="BM",D428="MD",D428="OA"),EXP(VLOOKUP(D428,'Species Codes'!B:O,14,0)+VLOOKUP(D428,'Species Codes'!B:P,15,0)*LN((E428*2.54)))*(1-(1/(VLOOKUP(D428,'Species Codes'!B:Q,16,0)+VLOOKUP(D428,'Species Codes'!B:R,17,0)*((E428*2.54)^VLOOKUP(D428,'Species Codes'!B:S,18,0)))))/1000,IF(D428="DF",EXP(VLOOKUP(D428,'Species Codes'!B:O,14,0)+VLOOKUP(D428,'Species Codes'!B:P,15,0)*LN((E428*2.54))),VLOOKUP(D428,'Species Codes'!B:O,14,0)+VLOOKUP(D428,'Species Codes'!B:P,15,0)*(((E428*2.54)/100)^2)*(I428*0.3048)))))*0.0011023),0)</f>
        <v>#N/A</v>
      </c>
      <c r="AD428" s="104" t="e">
        <f t="shared" si="220"/>
        <v>#N/A</v>
      </c>
      <c r="AE428" s="104" t="e">
        <f t="shared" si="221"/>
        <v>#N/A</v>
      </c>
      <c r="AF428" s="104" t="e">
        <f>IF(AND(VLOOKUP($D428,Merchantability!$B:$C,2,0)="Yes",$E428&gt;=VLOOKUP($D428,Merchantability!$B:$D,3,0),$E428&lt;=VLOOKUP($D428,Merchantability!$B:$E,4,0)),AA428,0)</f>
        <v>#N/A</v>
      </c>
      <c r="AG428" s="104" t="e">
        <f>IF(AND(VLOOKUP($D428,Merchantability!$B:$C,2,0)="Yes",$E428&gt;=VLOOKUP($D428,Merchantability!$B:$D,3,0),$E428&lt;=VLOOKUP($D428,Merchantability!$B:$E,4,0)),AB428,0)</f>
        <v>#N/A</v>
      </c>
      <c r="AH428" s="104" t="e">
        <f>IF(AND(VLOOKUP($D428,Merchantability!$B:$C,2,0)="Yes",$E428&gt;=VLOOKUP($D428,Merchantability!$B:$D,3,0),$E428&lt;=VLOOKUP($D428,Merchantability!$B:$E,4,0)),AC428,0)</f>
        <v>#N/A</v>
      </c>
      <c r="AI428" s="104" t="e">
        <f t="shared" si="222"/>
        <v>#N/A</v>
      </c>
      <c r="AJ428" s="104" t="e">
        <f t="shared" si="223"/>
        <v>#VALUE!</v>
      </c>
      <c r="AK428" s="104" t="e">
        <f t="shared" si="224"/>
        <v>#N/A</v>
      </c>
      <c r="AL428" s="104" t="e">
        <f t="shared" si="225"/>
        <v>#N/A</v>
      </c>
      <c r="AM428" s="104" t="e">
        <f t="shared" si="226"/>
        <v>#N/A</v>
      </c>
      <c r="AN428" s="104" t="e">
        <f t="shared" si="210"/>
        <v>#N/A</v>
      </c>
      <c r="AO428" s="104" t="e">
        <f t="shared" si="211"/>
        <v>#N/A</v>
      </c>
      <c r="AP428" s="104" t="e">
        <f t="shared" si="212"/>
        <v>#N/A</v>
      </c>
      <c r="AQ428" s="104" t="e">
        <f t="shared" si="213"/>
        <v>#N/A</v>
      </c>
      <c r="AR428" s="105" t="str">
        <f t="shared" si="205"/>
        <v/>
      </c>
      <c r="AS428" s="105" t="str">
        <f t="shared" si="206"/>
        <v/>
      </c>
      <c r="AT428" s="108" t="str">
        <f t="shared" si="207"/>
        <v/>
      </c>
      <c r="AU428" s="108" t="str">
        <f t="shared" si="208"/>
        <v/>
      </c>
      <c r="AV428" s="107" t="str">
        <f>IF(ISNUMBER(O428),IF(VLOOKUP($A428,Stand!C:J,8,FALSE)="Short",AT428,AU428),"")</f>
        <v/>
      </c>
      <c r="AW428" s="109" t="str">
        <f t="shared" si="214"/>
        <v/>
      </c>
      <c r="AX428" s="109" t="str">
        <f t="shared" si="215"/>
        <v/>
      </c>
      <c r="AY428" s="112" t="str">
        <f>IF(ISNUMBER(O428),IF(AND(VLOOKUP($D428,Merchantability!$B:$C,2,0)="Yes",$E428&gt;=VLOOKUP($D428,Merchantability!$B:$D,3,0),$E428&lt;=VLOOKUP($D428,Merchantability!$B:$E,4,0)),(AV428*O428)*(1-$H428/100),""),"")</f>
        <v/>
      </c>
      <c r="AZ428" s="116"/>
      <c r="BA428" s="116"/>
      <c r="BB428" s="116"/>
      <c r="BE428" s="62"/>
      <c r="BF428" s="63"/>
    </row>
    <row r="429" spans="1:58" ht="12.75" customHeight="1" x14ac:dyDescent="0.25">
      <c r="A429" s="313"/>
      <c r="B429" s="328"/>
      <c r="C429" s="329"/>
      <c r="D429" s="328"/>
      <c r="E429" s="330"/>
      <c r="F429" s="331"/>
      <c r="G429" s="329"/>
      <c r="H429" s="329"/>
      <c r="I429" s="328"/>
      <c r="J429" s="329"/>
      <c r="K429" s="329"/>
      <c r="L429" s="329"/>
      <c r="M429" s="76"/>
      <c r="N429" s="103" t="str">
        <f>IF(A429="","",VLOOKUP(A429,Stand!C:K,9,0))</f>
        <v/>
      </c>
      <c r="O429" s="104" t="str">
        <f t="shared" si="200"/>
        <v/>
      </c>
      <c r="P429" s="105" t="str">
        <f t="shared" si="201"/>
        <v/>
      </c>
      <c r="Q429" s="105" t="str">
        <f t="shared" si="216"/>
        <v/>
      </c>
      <c r="R429" s="103" t="str">
        <f t="shared" si="202"/>
        <v/>
      </c>
      <c r="S429" s="103" t="str">
        <f t="shared" si="203"/>
        <v/>
      </c>
      <c r="T429" s="106" t="str">
        <f t="shared" si="217"/>
        <v/>
      </c>
      <c r="U429" s="106" t="str">
        <f t="shared" si="218"/>
        <v/>
      </c>
      <c r="V429" s="106" t="str">
        <f t="shared" si="219"/>
        <v/>
      </c>
      <c r="W429" s="105" t="str">
        <f t="shared" si="204"/>
        <v/>
      </c>
      <c r="X429" s="104" t="str">
        <f t="shared" si="209"/>
        <v/>
      </c>
      <c r="Y429" s="104" t="str">
        <f t="array" ref="Y429">IFERROR(IF(ISNUMBER(O429),IF(COUNT(IF(A429=$A$2:$A$2427,IF(D429=$D$2:$D$2427,IF($X$2:$X$2427&gt;0,1))))&gt;0,SUM(IF(A429=$A$2:$A$2427,IF(D429=$D$2:$D$2427,$X$2:$X$2427)))/COUNT(IF(A429=$A$2:$A$2427,IF(D429=$D$2:$D$2427,IF(ISNUMBER($X$2:$X$2427),1)))),0),""),0)</f>
        <v/>
      </c>
      <c r="Z429" s="104" t="str">
        <f>IF(ISNUMBER(O429),IF(I429&gt;0,(10^(VLOOKUP(D429,'Species Codes'!B:C,2,0)+VLOOKUP(D429,'Species Codes'!B:D,3,0)*LOG(E429)+VLOOKUP(D429,'Species Codes'!B:E,4,0)*LOG(I429))),0),"")</f>
        <v/>
      </c>
      <c r="AA429" s="104" t="str">
        <f>IFERROR((VLOOKUP(D429,'Species Codes'!B:G,6,0)*Z429)/2000,"")</f>
        <v/>
      </c>
      <c r="AB429" s="104" t="e">
        <f>IF(Z429&gt;0,((IF(OR(D429="DF",D429="RA")=TRUE,EXP(VLOOKUP(D429,'Species Codes'!B:I,8,0)+VLOOKUP(D429,'Species Codes'!B:J,9,0)*(LN((E429*2.54)))),IF(OR(D429="PY",D429="RC",D429="WH",D429="NF")=TRUE,VLOOKUP(D429,'Species Codes'!B:I,8,0)+VLOOKUP(D429,'Species Codes'!B:J,9,0)*((E429*2.54)^2)*(I429*0.3048),IF(OR(D429="MD",D429="BM",D429="GA")=TRUE,((VLOOKUP(D429,'Species Codes'!B:I,8,0)*(((((E429*2.54)+VLOOKUP(D429,'Species Codes'!B:J,9,0))/VLOOKUP(D429,'Species Codes'!B:K,10,0))^VLOOKUP(D429,'Species Codes'!B:L,11,0))*((I429*0.3048)^VLOOKUP(D429,'Species Codes'!B:M,12,0))))-(VLOOKUP(D429,'Species Codes'!B:I,8,0)*((((E429*2.54)^VLOOKUP(D429,'Species Codes'!B:L,11,0))*((I429*0.3048)^VLOOKUP(D429,'Species Codes'!B:M,12,0))))))*35.3*VLOOKUP(D429,'Species Codes'!B:G,6,0)/2.2046,VLOOKUP(D429,'Species Codes'!B:I,8,0)+VLOOKUP(D429,'Species Codes'!B:J,9,0)*(((E429*2.54)/100)^2)*(I429*0.3048)))))*0.0011023),0)</f>
        <v>#N/A</v>
      </c>
      <c r="AC429" s="104" t="e">
        <f>IF(Z429&gt;0,((IF(OR(D429="RA",D429="OA",D429="OT",D429="UN",D429="PC"),EXP(VLOOKUP(D429,'Species Codes'!B:O,14,0)+VLOOKUP(D429,'Species Codes'!B:P,15,0)*LN((E429*2.54)))-EXP(VLOOKUP(D429,'Species Codes'!B:O,14,0)+VLOOKUP(D429,'Species Codes'!B:P,15,0)*LN((E429*2.54)))*(1/(VLOOKUP(D429,'Species Codes'!B:Q,16,0)+VLOOKUP(D429,'Species Codes'!B:R,17,0)*((E429*2.54)^VLOOKUP(D429,'Species Codes'!B:S,18,0)))),IF(OR(D429="BM",D429="MD",D429="OA"),EXP(VLOOKUP(D429,'Species Codes'!B:O,14,0)+VLOOKUP(D429,'Species Codes'!B:P,15,0)*LN((E429*2.54)))*(1-(1/(VLOOKUP(D429,'Species Codes'!B:Q,16,0)+VLOOKUP(D429,'Species Codes'!B:R,17,0)*((E429*2.54)^VLOOKUP(D429,'Species Codes'!B:S,18,0)))))/1000,IF(D429="DF",EXP(VLOOKUP(D429,'Species Codes'!B:O,14,0)+VLOOKUP(D429,'Species Codes'!B:P,15,0)*LN((E429*2.54))),VLOOKUP(D429,'Species Codes'!B:O,14,0)+VLOOKUP(D429,'Species Codes'!B:P,15,0)*(((E429*2.54)/100)^2)*(I429*0.3048)))))*0.0011023),0)</f>
        <v>#N/A</v>
      </c>
      <c r="AD429" s="104" t="e">
        <f t="shared" si="220"/>
        <v>#N/A</v>
      </c>
      <c r="AE429" s="104" t="e">
        <f t="shared" si="221"/>
        <v>#N/A</v>
      </c>
      <c r="AF429" s="104" t="e">
        <f>IF(AND(VLOOKUP($D429,Merchantability!$B:$C,2,0)="Yes",$E429&gt;=VLOOKUP($D429,Merchantability!$B:$D,3,0),$E429&lt;=VLOOKUP($D429,Merchantability!$B:$E,4,0)),AA429,0)</f>
        <v>#N/A</v>
      </c>
      <c r="AG429" s="104" t="e">
        <f>IF(AND(VLOOKUP($D429,Merchantability!$B:$C,2,0)="Yes",$E429&gt;=VLOOKUP($D429,Merchantability!$B:$D,3,0),$E429&lt;=VLOOKUP($D429,Merchantability!$B:$E,4,0)),AB429,0)</f>
        <v>#N/A</v>
      </c>
      <c r="AH429" s="104" t="e">
        <f>IF(AND(VLOOKUP($D429,Merchantability!$B:$C,2,0)="Yes",$E429&gt;=VLOOKUP($D429,Merchantability!$B:$D,3,0),$E429&lt;=VLOOKUP($D429,Merchantability!$B:$E,4,0)),AC429,0)</f>
        <v>#N/A</v>
      </c>
      <c r="AI429" s="104" t="e">
        <f t="shared" si="222"/>
        <v>#N/A</v>
      </c>
      <c r="AJ429" s="104" t="e">
        <f t="shared" si="223"/>
        <v>#VALUE!</v>
      </c>
      <c r="AK429" s="104" t="e">
        <f t="shared" si="224"/>
        <v>#N/A</v>
      </c>
      <c r="AL429" s="104" t="e">
        <f t="shared" si="225"/>
        <v>#N/A</v>
      </c>
      <c r="AM429" s="104" t="e">
        <f t="shared" si="226"/>
        <v>#N/A</v>
      </c>
      <c r="AN429" s="104" t="e">
        <f t="shared" si="210"/>
        <v>#N/A</v>
      </c>
      <c r="AO429" s="104" t="e">
        <f t="shared" si="211"/>
        <v>#N/A</v>
      </c>
      <c r="AP429" s="104" t="e">
        <f t="shared" si="212"/>
        <v>#N/A</v>
      </c>
      <c r="AQ429" s="104" t="e">
        <f t="shared" si="213"/>
        <v>#N/A</v>
      </c>
      <c r="AR429" s="105" t="str">
        <f t="shared" si="205"/>
        <v/>
      </c>
      <c r="AS429" s="105" t="str">
        <f t="shared" si="206"/>
        <v/>
      </c>
      <c r="AT429" s="108" t="str">
        <f t="shared" si="207"/>
        <v/>
      </c>
      <c r="AU429" s="108" t="str">
        <f t="shared" si="208"/>
        <v/>
      </c>
      <c r="AV429" s="107" t="str">
        <f>IF(ISNUMBER(O429),IF(VLOOKUP($A429,Stand!C:J,8,FALSE)="Short",AT429,AU429),"")</f>
        <v/>
      </c>
      <c r="AW429" s="109" t="str">
        <f t="shared" si="214"/>
        <v/>
      </c>
      <c r="AX429" s="109" t="str">
        <f t="shared" si="215"/>
        <v/>
      </c>
      <c r="AY429" s="112" t="str">
        <f>IF(ISNUMBER(O429),IF(AND(VLOOKUP($D429,Merchantability!$B:$C,2,0)="Yes",$E429&gt;=VLOOKUP($D429,Merchantability!$B:$D,3,0),$E429&lt;=VLOOKUP($D429,Merchantability!$B:$E,4,0)),(AV429*O429)*(1-$H429/100),""),"")</f>
        <v/>
      </c>
      <c r="AZ429" s="116"/>
      <c r="BA429" s="116"/>
      <c r="BB429" s="116"/>
      <c r="BE429" s="62"/>
      <c r="BF429" s="63"/>
    </row>
    <row r="430" spans="1:58" ht="12.75" customHeight="1" x14ac:dyDescent="0.25">
      <c r="A430" s="313"/>
      <c r="B430" s="328"/>
      <c r="C430" s="329"/>
      <c r="D430" s="328"/>
      <c r="E430" s="330"/>
      <c r="F430" s="331"/>
      <c r="G430" s="329"/>
      <c r="H430" s="329"/>
      <c r="I430" s="328"/>
      <c r="J430" s="329"/>
      <c r="K430" s="329"/>
      <c r="L430" s="329"/>
      <c r="M430" s="76"/>
      <c r="N430" s="103" t="str">
        <f>IF(A430="","",VLOOKUP(A430,Stand!C:K,9,0))</f>
        <v/>
      </c>
      <c r="O430" s="104" t="str">
        <f t="shared" si="200"/>
        <v/>
      </c>
      <c r="P430" s="105" t="str">
        <f t="shared" si="201"/>
        <v/>
      </c>
      <c r="Q430" s="105" t="str">
        <f t="shared" si="216"/>
        <v/>
      </c>
      <c r="R430" s="103" t="str">
        <f t="shared" si="202"/>
        <v/>
      </c>
      <c r="S430" s="103" t="str">
        <f t="shared" si="203"/>
        <v/>
      </c>
      <c r="T430" s="106" t="str">
        <f t="shared" si="217"/>
        <v/>
      </c>
      <c r="U430" s="106" t="str">
        <f t="shared" si="218"/>
        <v/>
      </c>
      <c r="V430" s="106" t="str">
        <f t="shared" si="219"/>
        <v/>
      </c>
      <c r="W430" s="105" t="str">
        <f t="shared" si="204"/>
        <v/>
      </c>
      <c r="X430" s="104" t="str">
        <f t="shared" si="209"/>
        <v/>
      </c>
      <c r="Y430" s="104" t="str">
        <f t="array" ref="Y430">IFERROR(IF(ISNUMBER(O430),IF(COUNT(IF(A430=$A$2:$A$2427,IF(D430=$D$2:$D$2427,IF($X$2:$X$2427&gt;0,1))))&gt;0,SUM(IF(A430=$A$2:$A$2427,IF(D430=$D$2:$D$2427,$X$2:$X$2427)))/COUNT(IF(A430=$A$2:$A$2427,IF(D430=$D$2:$D$2427,IF(ISNUMBER($X$2:$X$2427),1)))),0),""),0)</f>
        <v/>
      </c>
      <c r="Z430" s="104" t="str">
        <f>IF(ISNUMBER(O430),IF(I430&gt;0,(10^(VLOOKUP(D430,'Species Codes'!B:C,2,0)+VLOOKUP(D430,'Species Codes'!B:D,3,0)*LOG(E430)+VLOOKUP(D430,'Species Codes'!B:E,4,0)*LOG(I430))),0),"")</f>
        <v/>
      </c>
      <c r="AA430" s="104" t="str">
        <f>IFERROR((VLOOKUP(D430,'Species Codes'!B:G,6,0)*Z430)/2000,"")</f>
        <v/>
      </c>
      <c r="AB430" s="104" t="e">
        <f>IF(Z430&gt;0,((IF(OR(D430="DF",D430="RA")=TRUE,EXP(VLOOKUP(D430,'Species Codes'!B:I,8,0)+VLOOKUP(D430,'Species Codes'!B:J,9,0)*(LN((E430*2.54)))),IF(OR(D430="PY",D430="RC",D430="WH",D430="NF")=TRUE,VLOOKUP(D430,'Species Codes'!B:I,8,0)+VLOOKUP(D430,'Species Codes'!B:J,9,0)*((E430*2.54)^2)*(I430*0.3048),IF(OR(D430="MD",D430="BM",D430="GA")=TRUE,((VLOOKUP(D430,'Species Codes'!B:I,8,0)*(((((E430*2.54)+VLOOKUP(D430,'Species Codes'!B:J,9,0))/VLOOKUP(D430,'Species Codes'!B:K,10,0))^VLOOKUP(D430,'Species Codes'!B:L,11,0))*((I430*0.3048)^VLOOKUP(D430,'Species Codes'!B:M,12,0))))-(VLOOKUP(D430,'Species Codes'!B:I,8,0)*((((E430*2.54)^VLOOKUP(D430,'Species Codes'!B:L,11,0))*((I430*0.3048)^VLOOKUP(D430,'Species Codes'!B:M,12,0))))))*35.3*VLOOKUP(D430,'Species Codes'!B:G,6,0)/2.2046,VLOOKUP(D430,'Species Codes'!B:I,8,0)+VLOOKUP(D430,'Species Codes'!B:J,9,0)*(((E430*2.54)/100)^2)*(I430*0.3048)))))*0.0011023),0)</f>
        <v>#N/A</v>
      </c>
      <c r="AC430" s="104" t="e">
        <f>IF(Z430&gt;0,((IF(OR(D430="RA",D430="OA",D430="OT",D430="UN",D430="PC"),EXP(VLOOKUP(D430,'Species Codes'!B:O,14,0)+VLOOKUP(D430,'Species Codes'!B:P,15,0)*LN((E430*2.54)))-EXP(VLOOKUP(D430,'Species Codes'!B:O,14,0)+VLOOKUP(D430,'Species Codes'!B:P,15,0)*LN((E430*2.54)))*(1/(VLOOKUP(D430,'Species Codes'!B:Q,16,0)+VLOOKUP(D430,'Species Codes'!B:R,17,0)*((E430*2.54)^VLOOKUP(D430,'Species Codes'!B:S,18,0)))),IF(OR(D430="BM",D430="MD",D430="OA"),EXP(VLOOKUP(D430,'Species Codes'!B:O,14,0)+VLOOKUP(D430,'Species Codes'!B:P,15,0)*LN((E430*2.54)))*(1-(1/(VLOOKUP(D430,'Species Codes'!B:Q,16,0)+VLOOKUP(D430,'Species Codes'!B:R,17,0)*((E430*2.54)^VLOOKUP(D430,'Species Codes'!B:S,18,0)))))/1000,IF(D430="DF",EXP(VLOOKUP(D430,'Species Codes'!B:O,14,0)+VLOOKUP(D430,'Species Codes'!B:P,15,0)*LN((E430*2.54))),VLOOKUP(D430,'Species Codes'!B:O,14,0)+VLOOKUP(D430,'Species Codes'!B:P,15,0)*(((E430*2.54)/100)^2)*(I430*0.3048)))))*0.0011023),0)</f>
        <v>#N/A</v>
      </c>
      <c r="AD430" s="104" t="e">
        <f t="shared" si="220"/>
        <v>#N/A</v>
      </c>
      <c r="AE430" s="104" t="e">
        <f t="shared" si="221"/>
        <v>#N/A</v>
      </c>
      <c r="AF430" s="104" t="e">
        <f>IF(AND(VLOOKUP($D430,Merchantability!$B:$C,2,0)="Yes",$E430&gt;=VLOOKUP($D430,Merchantability!$B:$D,3,0),$E430&lt;=VLOOKUP($D430,Merchantability!$B:$E,4,0)),AA430,0)</f>
        <v>#N/A</v>
      </c>
      <c r="AG430" s="104" t="e">
        <f>IF(AND(VLOOKUP($D430,Merchantability!$B:$C,2,0)="Yes",$E430&gt;=VLOOKUP($D430,Merchantability!$B:$D,3,0),$E430&lt;=VLOOKUP($D430,Merchantability!$B:$E,4,0)),AB430,0)</f>
        <v>#N/A</v>
      </c>
      <c r="AH430" s="104" t="e">
        <f>IF(AND(VLOOKUP($D430,Merchantability!$B:$C,2,0)="Yes",$E430&gt;=VLOOKUP($D430,Merchantability!$B:$D,3,0),$E430&lt;=VLOOKUP($D430,Merchantability!$B:$E,4,0)),AC430,0)</f>
        <v>#N/A</v>
      </c>
      <c r="AI430" s="104" t="e">
        <f t="shared" si="222"/>
        <v>#N/A</v>
      </c>
      <c r="AJ430" s="104" t="e">
        <f t="shared" si="223"/>
        <v>#VALUE!</v>
      </c>
      <c r="AK430" s="104" t="e">
        <f t="shared" si="224"/>
        <v>#N/A</v>
      </c>
      <c r="AL430" s="104" t="e">
        <f t="shared" si="225"/>
        <v>#N/A</v>
      </c>
      <c r="AM430" s="104" t="e">
        <f t="shared" si="226"/>
        <v>#N/A</v>
      </c>
      <c r="AN430" s="104" t="e">
        <f t="shared" si="210"/>
        <v>#N/A</v>
      </c>
      <c r="AO430" s="104" t="e">
        <f t="shared" si="211"/>
        <v>#N/A</v>
      </c>
      <c r="AP430" s="104" t="e">
        <f t="shared" si="212"/>
        <v>#N/A</v>
      </c>
      <c r="AQ430" s="104" t="e">
        <f t="shared" si="213"/>
        <v>#N/A</v>
      </c>
      <c r="AR430" s="105" t="str">
        <f t="shared" si="205"/>
        <v/>
      </c>
      <c r="AS430" s="105" t="str">
        <f t="shared" si="206"/>
        <v/>
      </c>
      <c r="AT430" s="108" t="str">
        <f t="shared" si="207"/>
        <v/>
      </c>
      <c r="AU430" s="108" t="str">
        <f t="shared" si="208"/>
        <v/>
      </c>
      <c r="AV430" s="107" t="str">
        <f>IF(ISNUMBER(O430),IF(VLOOKUP($A430,Stand!C:J,8,FALSE)="Short",AT430,AU430),"")</f>
        <v/>
      </c>
      <c r="AW430" s="109" t="str">
        <f t="shared" si="214"/>
        <v/>
      </c>
      <c r="AX430" s="109" t="str">
        <f t="shared" si="215"/>
        <v/>
      </c>
      <c r="AY430" s="112" t="str">
        <f>IF(ISNUMBER(O430),IF(AND(VLOOKUP($D430,Merchantability!$B:$C,2,0)="Yes",$E430&gt;=VLOOKUP($D430,Merchantability!$B:$D,3,0),$E430&lt;=VLOOKUP($D430,Merchantability!$B:$E,4,0)),(AV430*O430)*(1-$H430/100),""),"")</f>
        <v/>
      </c>
      <c r="AZ430" s="116"/>
      <c r="BA430" s="116"/>
      <c r="BB430" s="116"/>
      <c r="BE430" s="62"/>
      <c r="BF430" s="63"/>
    </row>
    <row r="431" spans="1:58" ht="12.75" customHeight="1" x14ac:dyDescent="0.25">
      <c r="A431" s="313"/>
      <c r="B431" s="328"/>
      <c r="C431" s="329"/>
      <c r="D431" s="328"/>
      <c r="E431" s="330"/>
      <c r="F431" s="331"/>
      <c r="G431" s="329"/>
      <c r="H431" s="329"/>
      <c r="I431" s="328"/>
      <c r="J431" s="329"/>
      <c r="K431" s="329"/>
      <c r="L431" s="329"/>
      <c r="M431" s="76"/>
      <c r="N431" s="103" t="str">
        <f>IF(A431="","",VLOOKUP(A431,Stand!C:K,9,0))</f>
        <v/>
      </c>
      <c r="O431" s="104" t="str">
        <f t="shared" si="200"/>
        <v/>
      </c>
      <c r="P431" s="105" t="str">
        <f t="shared" si="201"/>
        <v/>
      </c>
      <c r="Q431" s="105" t="str">
        <f t="shared" si="216"/>
        <v/>
      </c>
      <c r="R431" s="103" t="str">
        <f t="shared" si="202"/>
        <v/>
      </c>
      <c r="S431" s="103" t="str">
        <f t="shared" si="203"/>
        <v/>
      </c>
      <c r="T431" s="106" t="str">
        <f t="shared" si="217"/>
        <v/>
      </c>
      <c r="U431" s="106" t="str">
        <f t="shared" si="218"/>
        <v/>
      </c>
      <c r="V431" s="106" t="str">
        <f t="shared" si="219"/>
        <v/>
      </c>
      <c r="W431" s="105" t="str">
        <f t="shared" si="204"/>
        <v/>
      </c>
      <c r="X431" s="104" t="str">
        <f t="shared" si="209"/>
        <v/>
      </c>
      <c r="Y431" s="104" t="str">
        <f t="array" ref="Y431">IFERROR(IF(ISNUMBER(O431),IF(COUNT(IF(A431=$A$2:$A$2427,IF(D431=$D$2:$D$2427,IF($X$2:$X$2427&gt;0,1))))&gt;0,SUM(IF(A431=$A$2:$A$2427,IF(D431=$D$2:$D$2427,$X$2:$X$2427)))/COUNT(IF(A431=$A$2:$A$2427,IF(D431=$D$2:$D$2427,IF(ISNUMBER($X$2:$X$2427),1)))),0),""),0)</f>
        <v/>
      </c>
      <c r="Z431" s="104" t="str">
        <f>IF(ISNUMBER(O431),IF(I431&gt;0,(10^(VLOOKUP(D431,'Species Codes'!B:C,2,0)+VLOOKUP(D431,'Species Codes'!B:D,3,0)*LOG(E431)+VLOOKUP(D431,'Species Codes'!B:E,4,0)*LOG(I431))),0),"")</f>
        <v/>
      </c>
      <c r="AA431" s="104" t="str">
        <f>IFERROR((VLOOKUP(D431,'Species Codes'!B:G,6,0)*Z431)/2000,"")</f>
        <v/>
      </c>
      <c r="AB431" s="104" t="e">
        <f>IF(Z431&gt;0,((IF(OR(D431="DF",D431="RA")=TRUE,EXP(VLOOKUP(D431,'Species Codes'!B:I,8,0)+VLOOKUP(D431,'Species Codes'!B:J,9,0)*(LN((E431*2.54)))),IF(OR(D431="PY",D431="RC",D431="WH",D431="NF")=TRUE,VLOOKUP(D431,'Species Codes'!B:I,8,0)+VLOOKUP(D431,'Species Codes'!B:J,9,0)*((E431*2.54)^2)*(I431*0.3048),IF(OR(D431="MD",D431="BM",D431="GA")=TRUE,((VLOOKUP(D431,'Species Codes'!B:I,8,0)*(((((E431*2.54)+VLOOKUP(D431,'Species Codes'!B:J,9,0))/VLOOKUP(D431,'Species Codes'!B:K,10,0))^VLOOKUP(D431,'Species Codes'!B:L,11,0))*((I431*0.3048)^VLOOKUP(D431,'Species Codes'!B:M,12,0))))-(VLOOKUP(D431,'Species Codes'!B:I,8,0)*((((E431*2.54)^VLOOKUP(D431,'Species Codes'!B:L,11,0))*((I431*0.3048)^VLOOKUP(D431,'Species Codes'!B:M,12,0))))))*35.3*VLOOKUP(D431,'Species Codes'!B:G,6,0)/2.2046,VLOOKUP(D431,'Species Codes'!B:I,8,0)+VLOOKUP(D431,'Species Codes'!B:J,9,0)*(((E431*2.54)/100)^2)*(I431*0.3048)))))*0.0011023),0)</f>
        <v>#N/A</v>
      </c>
      <c r="AC431" s="104" t="e">
        <f>IF(Z431&gt;0,((IF(OR(D431="RA",D431="OA",D431="OT",D431="UN",D431="PC"),EXP(VLOOKUP(D431,'Species Codes'!B:O,14,0)+VLOOKUP(D431,'Species Codes'!B:P,15,0)*LN((E431*2.54)))-EXP(VLOOKUP(D431,'Species Codes'!B:O,14,0)+VLOOKUP(D431,'Species Codes'!B:P,15,0)*LN((E431*2.54)))*(1/(VLOOKUP(D431,'Species Codes'!B:Q,16,0)+VLOOKUP(D431,'Species Codes'!B:R,17,0)*((E431*2.54)^VLOOKUP(D431,'Species Codes'!B:S,18,0)))),IF(OR(D431="BM",D431="MD",D431="OA"),EXP(VLOOKUP(D431,'Species Codes'!B:O,14,0)+VLOOKUP(D431,'Species Codes'!B:P,15,0)*LN((E431*2.54)))*(1-(1/(VLOOKUP(D431,'Species Codes'!B:Q,16,0)+VLOOKUP(D431,'Species Codes'!B:R,17,0)*((E431*2.54)^VLOOKUP(D431,'Species Codes'!B:S,18,0)))))/1000,IF(D431="DF",EXP(VLOOKUP(D431,'Species Codes'!B:O,14,0)+VLOOKUP(D431,'Species Codes'!B:P,15,0)*LN((E431*2.54))),VLOOKUP(D431,'Species Codes'!B:O,14,0)+VLOOKUP(D431,'Species Codes'!B:P,15,0)*(((E431*2.54)/100)^2)*(I431*0.3048)))))*0.0011023),0)</f>
        <v>#N/A</v>
      </c>
      <c r="AD431" s="104" t="e">
        <f t="shared" si="220"/>
        <v>#N/A</v>
      </c>
      <c r="AE431" s="104" t="e">
        <f t="shared" si="221"/>
        <v>#N/A</v>
      </c>
      <c r="AF431" s="104" t="e">
        <f>IF(AND(VLOOKUP($D431,Merchantability!$B:$C,2,0)="Yes",$E431&gt;=VLOOKUP($D431,Merchantability!$B:$D,3,0),$E431&lt;=VLOOKUP($D431,Merchantability!$B:$E,4,0)),AA431,0)</f>
        <v>#N/A</v>
      </c>
      <c r="AG431" s="104" t="e">
        <f>IF(AND(VLOOKUP($D431,Merchantability!$B:$C,2,0)="Yes",$E431&gt;=VLOOKUP($D431,Merchantability!$B:$D,3,0),$E431&lt;=VLOOKUP($D431,Merchantability!$B:$E,4,0)),AB431,0)</f>
        <v>#N/A</v>
      </c>
      <c r="AH431" s="104" t="e">
        <f>IF(AND(VLOOKUP($D431,Merchantability!$B:$C,2,0)="Yes",$E431&gt;=VLOOKUP($D431,Merchantability!$B:$D,3,0),$E431&lt;=VLOOKUP($D431,Merchantability!$B:$E,4,0)),AC431,0)</f>
        <v>#N/A</v>
      </c>
      <c r="AI431" s="104" t="e">
        <f t="shared" si="222"/>
        <v>#N/A</v>
      </c>
      <c r="AJ431" s="104" t="e">
        <f t="shared" si="223"/>
        <v>#VALUE!</v>
      </c>
      <c r="AK431" s="104" t="e">
        <f t="shared" si="224"/>
        <v>#N/A</v>
      </c>
      <c r="AL431" s="104" t="e">
        <f t="shared" si="225"/>
        <v>#N/A</v>
      </c>
      <c r="AM431" s="104" t="e">
        <f t="shared" si="226"/>
        <v>#N/A</v>
      </c>
      <c r="AN431" s="104" t="e">
        <f t="shared" si="210"/>
        <v>#N/A</v>
      </c>
      <c r="AO431" s="104" t="e">
        <f t="shared" si="211"/>
        <v>#N/A</v>
      </c>
      <c r="AP431" s="104" t="e">
        <f t="shared" si="212"/>
        <v>#N/A</v>
      </c>
      <c r="AQ431" s="104" t="e">
        <f t="shared" si="213"/>
        <v>#N/A</v>
      </c>
      <c r="AR431" s="105" t="str">
        <f t="shared" si="205"/>
        <v/>
      </c>
      <c r="AS431" s="105" t="str">
        <f t="shared" si="206"/>
        <v/>
      </c>
      <c r="AT431" s="108" t="str">
        <f t="shared" si="207"/>
        <v/>
      </c>
      <c r="AU431" s="108" t="str">
        <f t="shared" si="208"/>
        <v/>
      </c>
      <c r="AV431" s="107" t="str">
        <f>IF(ISNUMBER(O431),IF(VLOOKUP($A431,Stand!C:J,8,FALSE)="Short",AT431,AU431),"")</f>
        <v/>
      </c>
      <c r="AW431" s="109" t="str">
        <f t="shared" si="214"/>
        <v/>
      </c>
      <c r="AX431" s="109" t="str">
        <f t="shared" si="215"/>
        <v/>
      </c>
      <c r="AY431" s="112" t="str">
        <f>IF(ISNUMBER(O431),IF(AND(VLOOKUP($D431,Merchantability!$B:$C,2,0)="Yes",$E431&gt;=VLOOKUP($D431,Merchantability!$B:$D,3,0),$E431&lt;=VLOOKUP($D431,Merchantability!$B:$E,4,0)),(AV431*O431)*(1-$H431/100),""),"")</f>
        <v/>
      </c>
      <c r="AZ431" s="116"/>
      <c r="BA431" s="116"/>
      <c r="BB431" s="116"/>
      <c r="BE431" s="62"/>
      <c r="BF431" s="63"/>
    </row>
    <row r="432" spans="1:58" ht="12.75" customHeight="1" x14ac:dyDescent="0.25">
      <c r="A432" s="313"/>
      <c r="B432" s="328"/>
      <c r="C432" s="329"/>
      <c r="D432" s="328"/>
      <c r="E432" s="330"/>
      <c r="F432" s="331"/>
      <c r="G432" s="329"/>
      <c r="H432" s="329"/>
      <c r="I432" s="328"/>
      <c r="J432" s="329"/>
      <c r="K432" s="329"/>
      <c r="L432" s="329"/>
      <c r="M432" s="76"/>
      <c r="N432" s="103" t="str">
        <f>IF(A432="","",VLOOKUP(A432,Stand!C:K,9,0))</f>
        <v/>
      </c>
      <c r="O432" s="104" t="str">
        <f t="shared" si="200"/>
        <v/>
      </c>
      <c r="P432" s="105" t="str">
        <f t="shared" si="201"/>
        <v/>
      </c>
      <c r="Q432" s="105" t="str">
        <f t="shared" si="216"/>
        <v/>
      </c>
      <c r="R432" s="103" t="str">
        <f t="shared" si="202"/>
        <v/>
      </c>
      <c r="S432" s="103" t="str">
        <f t="shared" si="203"/>
        <v/>
      </c>
      <c r="T432" s="106" t="str">
        <f t="shared" si="217"/>
        <v/>
      </c>
      <c r="U432" s="106" t="str">
        <f t="shared" si="218"/>
        <v/>
      </c>
      <c r="V432" s="106" t="str">
        <f t="shared" si="219"/>
        <v/>
      </c>
      <c r="W432" s="105" t="str">
        <f t="shared" si="204"/>
        <v/>
      </c>
      <c r="X432" s="104" t="str">
        <f t="shared" si="209"/>
        <v/>
      </c>
      <c r="Y432" s="104" t="str">
        <f t="array" ref="Y432">IFERROR(IF(ISNUMBER(O432),IF(COUNT(IF(A432=$A$2:$A$2427,IF(D432=$D$2:$D$2427,IF($X$2:$X$2427&gt;0,1))))&gt;0,SUM(IF(A432=$A$2:$A$2427,IF(D432=$D$2:$D$2427,$X$2:$X$2427)))/COUNT(IF(A432=$A$2:$A$2427,IF(D432=$D$2:$D$2427,IF(ISNUMBER($X$2:$X$2427),1)))),0),""),0)</f>
        <v/>
      </c>
      <c r="Z432" s="104" t="str">
        <f>IF(ISNUMBER(O432),IF(I432&gt;0,(10^(VLOOKUP(D432,'Species Codes'!B:C,2,0)+VLOOKUP(D432,'Species Codes'!B:D,3,0)*LOG(E432)+VLOOKUP(D432,'Species Codes'!B:E,4,0)*LOG(I432))),0),"")</f>
        <v/>
      </c>
      <c r="AA432" s="104" t="str">
        <f>IFERROR((VLOOKUP(D432,'Species Codes'!B:G,6,0)*Z432)/2000,"")</f>
        <v/>
      </c>
      <c r="AB432" s="104" t="e">
        <f>IF(Z432&gt;0,((IF(OR(D432="DF",D432="RA")=TRUE,EXP(VLOOKUP(D432,'Species Codes'!B:I,8,0)+VLOOKUP(D432,'Species Codes'!B:J,9,0)*(LN((E432*2.54)))),IF(OR(D432="PY",D432="RC",D432="WH",D432="NF")=TRUE,VLOOKUP(D432,'Species Codes'!B:I,8,0)+VLOOKUP(D432,'Species Codes'!B:J,9,0)*((E432*2.54)^2)*(I432*0.3048),IF(OR(D432="MD",D432="BM",D432="GA")=TRUE,((VLOOKUP(D432,'Species Codes'!B:I,8,0)*(((((E432*2.54)+VLOOKUP(D432,'Species Codes'!B:J,9,0))/VLOOKUP(D432,'Species Codes'!B:K,10,0))^VLOOKUP(D432,'Species Codes'!B:L,11,0))*((I432*0.3048)^VLOOKUP(D432,'Species Codes'!B:M,12,0))))-(VLOOKUP(D432,'Species Codes'!B:I,8,0)*((((E432*2.54)^VLOOKUP(D432,'Species Codes'!B:L,11,0))*((I432*0.3048)^VLOOKUP(D432,'Species Codes'!B:M,12,0))))))*35.3*VLOOKUP(D432,'Species Codes'!B:G,6,0)/2.2046,VLOOKUP(D432,'Species Codes'!B:I,8,0)+VLOOKUP(D432,'Species Codes'!B:J,9,0)*(((E432*2.54)/100)^2)*(I432*0.3048)))))*0.0011023),0)</f>
        <v>#N/A</v>
      </c>
      <c r="AC432" s="104" t="e">
        <f>IF(Z432&gt;0,((IF(OR(D432="RA",D432="OA",D432="OT",D432="UN",D432="PC"),EXP(VLOOKUP(D432,'Species Codes'!B:O,14,0)+VLOOKUP(D432,'Species Codes'!B:P,15,0)*LN((E432*2.54)))-EXP(VLOOKUP(D432,'Species Codes'!B:O,14,0)+VLOOKUP(D432,'Species Codes'!B:P,15,0)*LN((E432*2.54)))*(1/(VLOOKUP(D432,'Species Codes'!B:Q,16,0)+VLOOKUP(D432,'Species Codes'!B:R,17,0)*((E432*2.54)^VLOOKUP(D432,'Species Codes'!B:S,18,0)))),IF(OR(D432="BM",D432="MD",D432="OA"),EXP(VLOOKUP(D432,'Species Codes'!B:O,14,0)+VLOOKUP(D432,'Species Codes'!B:P,15,0)*LN((E432*2.54)))*(1-(1/(VLOOKUP(D432,'Species Codes'!B:Q,16,0)+VLOOKUP(D432,'Species Codes'!B:R,17,0)*((E432*2.54)^VLOOKUP(D432,'Species Codes'!B:S,18,0)))))/1000,IF(D432="DF",EXP(VLOOKUP(D432,'Species Codes'!B:O,14,0)+VLOOKUP(D432,'Species Codes'!B:P,15,0)*LN((E432*2.54))),VLOOKUP(D432,'Species Codes'!B:O,14,0)+VLOOKUP(D432,'Species Codes'!B:P,15,0)*(((E432*2.54)/100)^2)*(I432*0.3048)))))*0.0011023),0)</f>
        <v>#N/A</v>
      </c>
      <c r="AD432" s="104" t="e">
        <f t="shared" si="220"/>
        <v>#N/A</v>
      </c>
      <c r="AE432" s="104" t="e">
        <f t="shared" si="221"/>
        <v>#N/A</v>
      </c>
      <c r="AF432" s="104" t="e">
        <f>IF(AND(VLOOKUP($D432,Merchantability!$B:$C,2,0)="Yes",$E432&gt;=VLOOKUP($D432,Merchantability!$B:$D,3,0),$E432&lt;=VLOOKUP($D432,Merchantability!$B:$E,4,0)),AA432,0)</f>
        <v>#N/A</v>
      </c>
      <c r="AG432" s="104" t="e">
        <f>IF(AND(VLOOKUP($D432,Merchantability!$B:$C,2,0)="Yes",$E432&gt;=VLOOKUP($D432,Merchantability!$B:$D,3,0),$E432&lt;=VLOOKUP($D432,Merchantability!$B:$E,4,0)),AB432,0)</f>
        <v>#N/A</v>
      </c>
      <c r="AH432" s="104" t="e">
        <f>IF(AND(VLOOKUP($D432,Merchantability!$B:$C,2,0)="Yes",$E432&gt;=VLOOKUP($D432,Merchantability!$B:$D,3,0),$E432&lt;=VLOOKUP($D432,Merchantability!$B:$E,4,0)),AC432,0)</f>
        <v>#N/A</v>
      </c>
      <c r="AI432" s="104" t="e">
        <f t="shared" si="222"/>
        <v>#N/A</v>
      </c>
      <c r="AJ432" s="104" t="e">
        <f t="shared" si="223"/>
        <v>#VALUE!</v>
      </c>
      <c r="AK432" s="104" t="e">
        <f t="shared" si="224"/>
        <v>#N/A</v>
      </c>
      <c r="AL432" s="104" t="e">
        <f t="shared" si="225"/>
        <v>#N/A</v>
      </c>
      <c r="AM432" s="104" t="e">
        <f t="shared" si="226"/>
        <v>#N/A</v>
      </c>
      <c r="AN432" s="104" t="e">
        <f t="shared" si="210"/>
        <v>#N/A</v>
      </c>
      <c r="AO432" s="104" t="e">
        <f t="shared" si="211"/>
        <v>#N/A</v>
      </c>
      <c r="AP432" s="104" t="e">
        <f t="shared" si="212"/>
        <v>#N/A</v>
      </c>
      <c r="AQ432" s="104" t="e">
        <f t="shared" si="213"/>
        <v>#N/A</v>
      </c>
      <c r="AR432" s="105" t="str">
        <f t="shared" si="205"/>
        <v/>
      </c>
      <c r="AS432" s="105" t="str">
        <f t="shared" si="206"/>
        <v/>
      </c>
      <c r="AT432" s="108" t="str">
        <f t="shared" si="207"/>
        <v/>
      </c>
      <c r="AU432" s="108" t="str">
        <f t="shared" si="208"/>
        <v/>
      </c>
      <c r="AV432" s="107" t="str">
        <f>IF(ISNUMBER(O432),IF(VLOOKUP($A432,Stand!C:J,8,FALSE)="Short",AT432,AU432),"")</f>
        <v/>
      </c>
      <c r="AW432" s="109" t="str">
        <f t="shared" si="214"/>
        <v/>
      </c>
      <c r="AX432" s="109" t="str">
        <f t="shared" si="215"/>
        <v/>
      </c>
      <c r="AY432" s="112" t="str">
        <f>IF(ISNUMBER(O432),IF(AND(VLOOKUP($D432,Merchantability!$B:$C,2,0)="Yes",$E432&gt;=VLOOKUP($D432,Merchantability!$B:$D,3,0),$E432&lt;=VLOOKUP($D432,Merchantability!$B:$E,4,0)),(AV432*O432)*(1-$H432/100),""),"")</f>
        <v/>
      </c>
      <c r="AZ432" s="116"/>
      <c r="BA432" s="116"/>
      <c r="BB432" s="116"/>
      <c r="BE432" s="62"/>
      <c r="BF432" s="63"/>
    </row>
    <row r="433" spans="1:58" ht="12.75" customHeight="1" x14ac:dyDescent="0.25">
      <c r="A433" s="313"/>
      <c r="B433" s="328"/>
      <c r="C433" s="329"/>
      <c r="D433" s="328"/>
      <c r="E433" s="330"/>
      <c r="F433" s="331"/>
      <c r="G433" s="329"/>
      <c r="H433" s="329"/>
      <c r="I433" s="328"/>
      <c r="J433" s="329"/>
      <c r="K433" s="329"/>
      <c r="L433" s="329"/>
      <c r="M433" s="76"/>
      <c r="N433" s="103" t="str">
        <f>IF(A433="","",VLOOKUP(A433,Stand!C:K,9,0))</f>
        <v/>
      </c>
      <c r="O433" s="104" t="str">
        <f t="shared" si="200"/>
        <v/>
      </c>
      <c r="P433" s="105" t="str">
        <f t="shared" si="201"/>
        <v/>
      </c>
      <c r="Q433" s="105" t="str">
        <f t="shared" si="216"/>
        <v/>
      </c>
      <c r="R433" s="103" t="str">
        <f t="shared" si="202"/>
        <v/>
      </c>
      <c r="S433" s="103" t="str">
        <f t="shared" si="203"/>
        <v/>
      </c>
      <c r="T433" s="106" t="str">
        <f t="shared" si="217"/>
        <v/>
      </c>
      <c r="U433" s="106" t="str">
        <f t="shared" si="218"/>
        <v/>
      </c>
      <c r="V433" s="106" t="str">
        <f t="shared" si="219"/>
        <v/>
      </c>
      <c r="W433" s="105" t="str">
        <f t="shared" si="204"/>
        <v/>
      </c>
      <c r="X433" s="104" t="str">
        <f t="shared" si="209"/>
        <v/>
      </c>
      <c r="Y433" s="104" t="str">
        <f t="array" ref="Y433">IFERROR(IF(ISNUMBER(O433),IF(COUNT(IF(A433=$A$2:$A$2427,IF(D433=$D$2:$D$2427,IF($X$2:$X$2427&gt;0,1))))&gt;0,SUM(IF(A433=$A$2:$A$2427,IF(D433=$D$2:$D$2427,$X$2:$X$2427)))/COUNT(IF(A433=$A$2:$A$2427,IF(D433=$D$2:$D$2427,IF(ISNUMBER($X$2:$X$2427),1)))),0),""),0)</f>
        <v/>
      </c>
      <c r="Z433" s="104" t="str">
        <f>IF(ISNUMBER(O433),IF(I433&gt;0,(10^(VLOOKUP(D433,'Species Codes'!B:C,2,0)+VLOOKUP(D433,'Species Codes'!B:D,3,0)*LOG(E433)+VLOOKUP(D433,'Species Codes'!B:E,4,0)*LOG(I433))),0),"")</f>
        <v/>
      </c>
      <c r="AA433" s="104" t="str">
        <f>IFERROR((VLOOKUP(D433,'Species Codes'!B:G,6,0)*Z433)/2000,"")</f>
        <v/>
      </c>
      <c r="AB433" s="104" t="e">
        <f>IF(Z433&gt;0,((IF(OR(D433="DF",D433="RA")=TRUE,EXP(VLOOKUP(D433,'Species Codes'!B:I,8,0)+VLOOKUP(D433,'Species Codes'!B:J,9,0)*(LN((E433*2.54)))),IF(OR(D433="PY",D433="RC",D433="WH",D433="NF")=TRUE,VLOOKUP(D433,'Species Codes'!B:I,8,0)+VLOOKUP(D433,'Species Codes'!B:J,9,0)*((E433*2.54)^2)*(I433*0.3048),IF(OR(D433="MD",D433="BM",D433="GA")=TRUE,((VLOOKUP(D433,'Species Codes'!B:I,8,0)*(((((E433*2.54)+VLOOKUP(D433,'Species Codes'!B:J,9,0))/VLOOKUP(D433,'Species Codes'!B:K,10,0))^VLOOKUP(D433,'Species Codes'!B:L,11,0))*((I433*0.3048)^VLOOKUP(D433,'Species Codes'!B:M,12,0))))-(VLOOKUP(D433,'Species Codes'!B:I,8,0)*((((E433*2.54)^VLOOKUP(D433,'Species Codes'!B:L,11,0))*((I433*0.3048)^VLOOKUP(D433,'Species Codes'!B:M,12,0))))))*35.3*VLOOKUP(D433,'Species Codes'!B:G,6,0)/2.2046,VLOOKUP(D433,'Species Codes'!B:I,8,0)+VLOOKUP(D433,'Species Codes'!B:J,9,0)*(((E433*2.54)/100)^2)*(I433*0.3048)))))*0.0011023),0)</f>
        <v>#N/A</v>
      </c>
      <c r="AC433" s="104" t="e">
        <f>IF(Z433&gt;0,((IF(OR(D433="RA",D433="OA",D433="OT",D433="UN",D433="PC"),EXP(VLOOKUP(D433,'Species Codes'!B:O,14,0)+VLOOKUP(D433,'Species Codes'!B:P,15,0)*LN((E433*2.54)))-EXP(VLOOKUP(D433,'Species Codes'!B:O,14,0)+VLOOKUP(D433,'Species Codes'!B:P,15,0)*LN((E433*2.54)))*(1/(VLOOKUP(D433,'Species Codes'!B:Q,16,0)+VLOOKUP(D433,'Species Codes'!B:R,17,0)*((E433*2.54)^VLOOKUP(D433,'Species Codes'!B:S,18,0)))),IF(OR(D433="BM",D433="MD",D433="OA"),EXP(VLOOKUP(D433,'Species Codes'!B:O,14,0)+VLOOKUP(D433,'Species Codes'!B:P,15,0)*LN((E433*2.54)))*(1-(1/(VLOOKUP(D433,'Species Codes'!B:Q,16,0)+VLOOKUP(D433,'Species Codes'!B:R,17,0)*((E433*2.54)^VLOOKUP(D433,'Species Codes'!B:S,18,0)))))/1000,IF(D433="DF",EXP(VLOOKUP(D433,'Species Codes'!B:O,14,0)+VLOOKUP(D433,'Species Codes'!B:P,15,0)*LN((E433*2.54))),VLOOKUP(D433,'Species Codes'!B:O,14,0)+VLOOKUP(D433,'Species Codes'!B:P,15,0)*(((E433*2.54)/100)^2)*(I433*0.3048)))))*0.0011023),0)</f>
        <v>#N/A</v>
      </c>
      <c r="AD433" s="104" t="e">
        <f t="shared" si="220"/>
        <v>#N/A</v>
      </c>
      <c r="AE433" s="104" t="e">
        <f t="shared" si="221"/>
        <v>#N/A</v>
      </c>
      <c r="AF433" s="104" t="e">
        <f>IF(AND(VLOOKUP($D433,Merchantability!$B:$C,2,0)="Yes",$E433&gt;=VLOOKUP($D433,Merchantability!$B:$D,3,0),$E433&lt;=VLOOKUP($D433,Merchantability!$B:$E,4,0)),AA433,0)</f>
        <v>#N/A</v>
      </c>
      <c r="AG433" s="104" t="e">
        <f>IF(AND(VLOOKUP($D433,Merchantability!$B:$C,2,0)="Yes",$E433&gt;=VLOOKUP($D433,Merchantability!$B:$D,3,0),$E433&lt;=VLOOKUP($D433,Merchantability!$B:$E,4,0)),AB433,0)</f>
        <v>#N/A</v>
      </c>
      <c r="AH433" s="104" t="e">
        <f>IF(AND(VLOOKUP($D433,Merchantability!$B:$C,2,0)="Yes",$E433&gt;=VLOOKUP($D433,Merchantability!$B:$D,3,0),$E433&lt;=VLOOKUP($D433,Merchantability!$B:$E,4,0)),AC433,0)</f>
        <v>#N/A</v>
      </c>
      <c r="AI433" s="104" t="e">
        <f t="shared" si="222"/>
        <v>#N/A</v>
      </c>
      <c r="AJ433" s="104" t="e">
        <f t="shared" si="223"/>
        <v>#VALUE!</v>
      </c>
      <c r="AK433" s="104" t="e">
        <f t="shared" si="224"/>
        <v>#N/A</v>
      </c>
      <c r="AL433" s="104" t="e">
        <f t="shared" si="225"/>
        <v>#N/A</v>
      </c>
      <c r="AM433" s="104" t="e">
        <f t="shared" si="226"/>
        <v>#N/A</v>
      </c>
      <c r="AN433" s="104" t="e">
        <f t="shared" si="210"/>
        <v>#N/A</v>
      </c>
      <c r="AO433" s="104" t="e">
        <f t="shared" si="211"/>
        <v>#N/A</v>
      </c>
      <c r="AP433" s="104" t="e">
        <f t="shared" si="212"/>
        <v>#N/A</v>
      </c>
      <c r="AQ433" s="104" t="e">
        <f t="shared" si="213"/>
        <v>#N/A</v>
      </c>
      <c r="AR433" s="105" t="str">
        <f t="shared" si="205"/>
        <v/>
      </c>
      <c r="AS433" s="105" t="str">
        <f t="shared" si="206"/>
        <v/>
      </c>
      <c r="AT433" s="108" t="str">
        <f t="shared" si="207"/>
        <v/>
      </c>
      <c r="AU433" s="108" t="str">
        <f t="shared" si="208"/>
        <v/>
      </c>
      <c r="AV433" s="107" t="str">
        <f>IF(ISNUMBER(O433),IF(VLOOKUP($A433,Stand!C:J,8,FALSE)="Short",AT433,AU433),"")</f>
        <v/>
      </c>
      <c r="AW433" s="109" t="str">
        <f t="shared" si="214"/>
        <v/>
      </c>
      <c r="AX433" s="109" t="str">
        <f t="shared" si="215"/>
        <v/>
      </c>
      <c r="AY433" s="112" t="str">
        <f>IF(ISNUMBER(O433),IF(AND(VLOOKUP($D433,Merchantability!$B:$C,2,0)="Yes",$E433&gt;=VLOOKUP($D433,Merchantability!$B:$D,3,0),$E433&lt;=VLOOKUP($D433,Merchantability!$B:$E,4,0)),(AV433*O433)*(1-$H433/100),""),"")</f>
        <v/>
      </c>
      <c r="AZ433" s="116"/>
      <c r="BA433" s="116"/>
      <c r="BB433" s="116"/>
      <c r="BE433" s="62"/>
      <c r="BF433" s="63"/>
    </row>
    <row r="434" spans="1:58" ht="12.75" customHeight="1" x14ac:dyDescent="0.25">
      <c r="A434" s="313"/>
      <c r="B434" s="328"/>
      <c r="C434" s="329"/>
      <c r="D434" s="328"/>
      <c r="E434" s="330"/>
      <c r="F434" s="331"/>
      <c r="G434" s="329"/>
      <c r="H434" s="329"/>
      <c r="I434" s="328"/>
      <c r="J434" s="329"/>
      <c r="K434" s="329"/>
      <c r="L434" s="329"/>
      <c r="M434" s="76"/>
      <c r="N434" s="103" t="str">
        <f>IF(A434="","",VLOOKUP(A434,Stand!C:K,9,0))</f>
        <v/>
      </c>
      <c r="O434" s="104" t="str">
        <f t="shared" si="200"/>
        <v/>
      </c>
      <c r="P434" s="105" t="str">
        <f t="shared" si="201"/>
        <v/>
      </c>
      <c r="Q434" s="105" t="str">
        <f t="shared" si="216"/>
        <v/>
      </c>
      <c r="R434" s="103" t="str">
        <f t="shared" si="202"/>
        <v/>
      </c>
      <c r="S434" s="103" t="str">
        <f t="shared" si="203"/>
        <v/>
      </c>
      <c r="T434" s="106" t="str">
        <f t="shared" si="217"/>
        <v/>
      </c>
      <c r="U434" s="106" t="str">
        <f t="shared" si="218"/>
        <v/>
      </c>
      <c r="V434" s="106" t="str">
        <f t="shared" si="219"/>
        <v/>
      </c>
      <c r="W434" s="105" t="str">
        <f t="shared" si="204"/>
        <v/>
      </c>
      <c r="X434" s="104" t="str">
        <f t="shared" si="209"/>
        <v/>
      </c>
      <c r="Y434" s="104" t="str">
        <f t="array" ref="Y434">IFERROR(IF(ISNUMBER(O434),IF(COUNT(IF(A434=$A$2:$A$2427,IF(D434=$D$2:$D$2427,IF($X$2:$X$2427&gt;0,1))))&gt;0,SUM(IF(A434=$A$2:$A$2427,IF(D434=$D$2:$D$2427,$X$2:$X$2427)))/COUNT(IF(A434=$A$2:$A$2427,IF(D434=$D$2:$D$2427,IF(ISNUMBER($X$2:$X$2427),1)))),0),""),0)</f>
        <v/>
      </c>
      <c r="Z434" s="104" t="str">
        <f>IF(ISNUMBER(O434),IF(I434&gt;0,(10^(VLOOKUP(D434,'Species Codes'!B:C,2,0)+VLOOKUP(D434,'Species Codes'!B:D,3,0)*LOG(E434)+VLOOKUP(D434,'Species Codes'!B:E,4,0)*LOG(I434))),0),"")</f>
        <v/>
      </c>
      <c r="AA434" s="104" t="str">
        <f>IFERROR((VLOOKUP(D434,'Species Codes'!B:G,6,0)*Z434)/2000,"")</f>
        <v/>
      </c>
      <c r="AB434" s="104" t="e">
        <f>IF(Z434&gt;0,((IF(OR(D434="DF",D434="RA")=TRUE,EXP(VLOOKUP(D434,'Species Codes'!B:I,8,0)+VLOOKUP(D434,'Species Codes'!B:J,9,0)*(LN((E434*2.54)))),IF(OR(D434="PY",D434="RC",D434="WH",D434="NF")=TRUE,VLOOKUP(D434,'Species Codes'!B:I,8,0)+VLOOKUP(D434,'Species Codes'!B:J,9,0)*((E434*2.54)^2)*(I434*0.3048),IF(OR(D434="MD",D434="BM",D434="GA")=TRUE,((VLOOKUP(D434,'Species Codes'!B:I,8,0)*(((((E434*2.54)+VLOOKUP(D434,'Species Codes'!B:J,9,0))/VLOOKUP(D434,'Species Codes'!B:K,10,0))^VLOOKUP(D434,'Species Codes'!B:L,11,0))*((I434*0.3048)^VLOOKUP(D434,'Species Codes'!B:M,12,0))))-(VLOOKUP(D434,'Species Codes'!B:I,8,0)*((((E434*2.54)^VLOOKUP(D434,'Species Codes'!B:L,11,0))*((I434*0.3048)^VLOOKUP(D434,'Species Codes'!B:M,12,0))))))*35.3*VLOOKUP(D434,'Species Codes'!B:G,6,0)/2.2046,VLOOKUP(D434,'Species Codes'!B:I,8,0)+VLOOKUP(D434,'Species Codes'!B:J,9,0)*(((E434*2.54)/100)^2)*(I434*0.3048)))))*0.0011023),0)</f>
        <v>#N/A</v>
      </c>
      <c r="AC434" s="104" t="e">
        <f>IF(Z434&gt;0,((IF(OR(D434="RA",D434="OA",D434="OT",D434="UN",D434="PC"),EXP(VLOOKUP(D434,'Species Codes'!B:O,14,0)+VLOOKUP(D434,'Species Codes'!B:P,15,0)*LN((E434*2.54)))-EXP(VLOOKUP(D434,'Species Codes'!B:O,14,0)+VLOOKUP(D434,'Species Codes'!B:P,15,0)*LN((E434*2.54)))*(1/(VLOOKUP(D434,'Species Codes'!B:Q,16,0)+VLOOKUP(D434,'Species Codes'!B:R,17,0)*((E434*2.54)^VLOOKUP(D434,'Species Codes'!B:S,18,0)))),IF(OR(D434="BM",D434="MD",D434="OA"),EXP(VLOOKUP(D434,'Species Codes'!B:O,14,0)+VLOOKUP(D434,'Species Codes'!B:P,15,0)*LN((E434*2.54)))*(1-(1/(VLOOKUP(D434,'Species Codes'!B:Q,16,0)+VLOOKUP(D434,'Species Codes'!B:R,17,0)*((E434*2.54)^VLOOKUP(D434,'Species Codes'!B:S,18,0)))))/1000,IF(D434="DF",EXP(VLOOKUP(D434,'Species Codes'!B:O,14,0)+VLOOKUP(D434,'Species Codes'!B:P,15,0)*LN((E434*2.54))),VLOOKUP(D434,'Species Codes'!B:O,14,0)+VLOOKUP(D434,'Species Codes'!B:P,15,0)*(((E434*2.54)/100)^2)*(I434*0.3048)))))*0.0011023),0)</f>
        <v>#N/A</v>
      </c>
      <c r="AD434" s="104" t="e">
        <f t="shared" si="220"/>
        <v>#N/A</v>
      </c>
      <c r="AE434" s="104" t="e">
        <f t="shared" si="221"/>
        <v>#N/A</v>
      </c>
      <c r="AF434" s="104" t="e">
        <f>IF(AND(VLOOKUP($D434,Merchantability!$B:$C,2,0)="Yes",$E434&gt;=VLOOKUP($D434,Merchantability!$B:$D,3,0),$E434&lt;=VLOOKUP($D434,Merchantability!$B:$E,4,0)),AA434,0)</f>
        <v>#N/A</v>
      </c>
      <c r="AG434" s="104" t="e">
        <f>IF(AND(VLOOKUP($D434,Merchantability!$B:$C,2,0)="Yes",$E434&gt;=VLOOKUP($D434,Merchantability!$B:$D,3,0),$E434&lt;=VLOOKUP($D434,Merchantability!$B:$E,4,0)),AB434,0)</f>
        <v>#N/A</v>
      </c>
      <c r="AH434" s="104" t="e">
        <f>IF(AND(VLOOKUP($D434,Merchantability!$B:$C,2,0)="Yes",$E434&gt;=VLOOKUP($D434,Merchantability!$B:$D,3,0),$E434&lt;=VLOOKUP($D434,Merchantability!$B:$E,4,0)),AC434,0)</f>
        <v>#N/A</v>
      </c>
      <c r="AI434" s="104" t="e">
        <f t="shared" si="222"/>
        <v>#N/A</v>
      </c>
      <c r="AJ434" s="104" t="e">
        <f t="shared" si="223"/>
        <v>#VALUE!</v>
      </c>
      <c r="AK434" s="104" t="e">
        <f t="shared" si="224"/>
        <v>#N/A</v>
      </c>
      <c r="AL434" s="104" t="e">
        <f t="shared" si="225"/>
        <v>#N/A</v>
      </c>
      <c r="AM434" s="104" t="e">
        <f t="shared" si="226"/>
        <v>#N/A</v>
      </c>
      <c r="AN434" s="104" t="e">
        <f t="shared" si="210"/>
        <v>#N/A</v>
      </c>
      <c r="AO434" s="104" t="e">
        <f t="shared" si="211"/>
        <v>#N/A</v>
      </c>
      <c r="AP434" s="104" t="e">
        <f t="shared" si="212"/>
        <v>#N/A</v>
      </c>
      <c r="AQ434" s="104" t="e">
        <f t="shared" si="213"/>
        <v>#N/A</v>
      </c>
      <c r="AR434" s="105" t="str">
        <f t="shared" si="205"/>
        <v/>
      </c>
      <c r="AS434" s="105" t="str">
        <f t="shared" si="206"/>
        <v/>
      </c>
      <c r="AT434" s="108" t="str">
        <f t="shared" si="207"/>
        <v/>
      </c>
      <c r="AU434" s="108" t="str">
        <f t="shared" si="208"/>
        <v/>
      </c>
      <c r="AV434" s="107" t="str">
        <f>IF(ISNUMBER(O434),IF(VLOOKUP($A434,Stand!C:J,8,FALSE)="Short",AT434,AU434),"")</f>
        <v/>
      </c>
      <c r="AW434" s="109" t="str">
        <f t="shared" si="214"/>
        <v/>
      </c>
      <c r="AX434" s="109" t="str">
        <f t="shared" si="215"/>
        <v/>
      </c>
      <c r="AY434" s="112" t="str">
        <f>IF(ISNUMBER(O434),IF(AND(VLOOKUP($D434,Merchantability!$B:$C,2,0)="Yes",$E434&gt;=VLOOKUP($D434,Merchantability!$B:$D,3,0),$E434&lt;=VLOOKUP($D434,Merchantability!$B:$E,4,0)),(AV434*O434)*(1-$H434/100),""),"")</f>
        <v/>
      </c>
      <c r="AZ434" s="116"/>
      <c r="BA434" s="116"/>
      <c r="BB434" s="116"/>
      <c r="BE434" s="62"/>
      <c r="BF434" s="63"/>
    </row>
    <row r="435" spans="1:58" ht="12.75" customHeight="1" x14ac:dyDescent="0.25">
      <c r="A435" s="313"/>
      <c r="B435" s="328"/>
      <c r="C435" s="329"/>
      <c r="D435" s="328"/>
      <c r="E435" s="330"/>
      <c r="F435" s="331"/>
      <c r="G435" s="329"/>
      <c r="H435" s="329"/>
      <c r="I435" s="328"/>
      <c r="J435" s="329"/>
      <c r="K435" s="329"/>
      <c r="L435" s="329"/>
      <c r="M435" s="76"/>
      <c r="N435" s="103" t="str">
        <f>IF(A435="","",VLOOKUP(A435,Stand!C:K,9,0))</f>
        <v/>
      </c>
      <c r="O435" s="104" t="str">
        <f t="shared" si="200"/>
        <v/>
      </c>
      <c r="P435" s="105" t="str">
        <f t="shared" si="201"/>
        <v/>
      </c>
      <c r="Q435" s="105" t="str">
        <f t="shared" si="216"/>
        <v/>
      </c>
      <c r="R435" s="103" t="str">
        <f t="shared" si="202"/>
        <v/>
      </c>
      <c r="S435" s="103" t="str">
        <f t="shared" si="203"/>
        <v/>
      </c>
      <c r="T435" s="106" t="str">
        <f t="shared" si="217"/>
        <v/>
      </c>
      <c r="U435" s="106" t="str">
        <f t="shared" si="218"/>
        <v/>
      </c>
      <c r="V435" s="106" t="str">
        <f t="shared" si="219"/>
        <v/>
      </c>
      <c r="W435" s="105" t="str">
        <f t="shared" si="204"/>
        <v/>
      </c>
      <c r="X435" s="104" t="str">
        <f t="shared" si="209"/>
        <v/>
      </c>
      <c r="Y435" s="104" t="str">
        <f t="array" ref="Y435">IFERROR(IF(ISNUMBER(O435),IF(COUNT(IF(A435=$A$2:$A$2427,IF(D435=$D$2:$D$2427,IF($X$2:$X$2427&gt;0,1))))&gt;0,SUM(IF(A435=$A$2:$A$2427,IF(D435=$D$2:$D$2427,$X$2:$X$2427)))/COUNT(IF(A435=$A$2:$A$2427,IF(D435=$D$2:$D$2427,IF(ISNUMBER($X$2:$X$2427),1)))),0),""),0)</f>
        <v/>
      </c>
      <c r="Z435" s="104" t="str">
        <f>IF(ISNUMBER(O435),IF(I435&gt;0,(10^(VLOOKUP(D435,'Species Codes'!B:C,2,0)+VLOOKUP(D435,'Species Codes'!B:D,3,0)*LOG(E435)+VLOOKUP(D435,'Species Codes'!B:E,4,0)*LOG(I435))),0),"")</f>
        <v/>
      </c>
      <c r="AA435" s="104" t="str">
        <f>IFERROR((VLOOKUP(D435,'Species Codes'!B:G,6,0)*Z435)/2000,"")</f>
        <v/>
      </c>
      <c r="AB435" s="104" t="e">
        <f>IF(Z435&gt;0,((IF(OR(D435="DF",D435="RA")=TRUE,EXP(VLOOKUP(D435,'Species Codes'!B:I,8,0)+VLOOKUP(D435,'Species Codes'!B:J,9,0)*(LN((E435*2.54)))),IF(OR(D435="PY",D435="RC",D435="WH",D435="NF")=TRUE,VLOOKUP(D435,'Species Codes'!B:I,8,0)+VLOOKUP(D435,'Species Codes'!B:J,9,0)*((E435*2.54)^2)*(I435*0.3048),IF(OR(D435="MD",D435="BM",D435="GA")=TRUE,((VLOOKUP(D435,'Species Codes'!B:I,8,0)*(((((E435*2.54)+VLOOKUP(D435,'Species Codes'!B:J,9,0))/VLOOKUP(D435,'Species Codes'!B:K,10,0))^VLOOKUP(D435,'Species Codes'!B:L,11,0))*((I435*0.3048)^VLOOKUP(D435,'Species Codes'!B:M,12,0))))-(VLOOKUP(D435,'Species Codes'!B:I,8,0)*((((E435*2.54)^VLOOKUP(D435,'Species Codes'!B:L,11,0))*((I435*0.3048)^VLOOKUP(D435,'Species Codes'!B:M,12,0))))))*35.3*VLOOKUP(D435,'Species Codes'!B:G,6,0)/2.2046,VLOOKUP(D435,'Species Codes'!B:I,8,0)+VLOOKUP(D435,'Species Codes'!B:J,9,0)*(((E435*2.54)/100)^2)*(I435*0.3048)))))*0.0011023),0)</f>
        <v>#N/A</v>
      </c>
      <c r="AC435" s="104" t="e">
        <f>IF(Z435&gt;0,((IF(OR(D435="RA",D435="OA",D435="OT",D435="UN",D435="PC"),EXP(VLOOKUP(D435,'Species Codes'!B:O,14,0)+VLOOKUP(D435,'Species Codes'!B:P,15,0)*LN((E435*2.54)))-EXP(VLOOKUP(D435,'Species Codes'!B:O,14,0)+VLOOKUP(D435,'Species Codes'!B:P,15,0)*LN((E435*2.54)))*(1/(VLOOKUP(D435,'Species Codes'!B:Q,16,0)+VLOOKUP(D435,'Species Codes'!B:R,17,0)*((E435*2.54)^VLOOKUP(D435,'Species Codes'!B:S,18,0)))),IF(OR(D435="BM",D435="MD",D435="OA"),EXP(VLOOKUP(D435,'Species Codes'!B:O,14,0)+VLOOKUP(D435,'Species Codes'!B:P,15,0)*LN((E435*2.54)))*(1-(1/(VLOOKUP(D435,'Species Codes'!B:Q,16,0)+VLOOKUP(D435,'Species Codes'!B:R,17,0)*((E435*2.54)^VLOOKUP(D435,'Species Codes'!B:S,18,0)))))/1000,IF(D435="DF",EXP(VLOOKUP(D435,'Species Codes'!B:O,14,0)+VLOOKUP(D435,'Species Codes'!B:P,15,0)*LN((E435*2.54))),VLOOKUP(D435,'Species Codes'!B:O,14,0)+VLOOKUP(D435,'Species Codes'!B:P,15,0)*(((E435*2.54)/100)^2)*(I435*0.3048)))))*0.0011023),0)</f>
        <v>#N/A</v>
      </c>
      <c r="AD435" s="104" t="e">
        <f t="shared" si="220"/>
        <v>#N/A</v>
      </c>
      <c r="AE435" s="104" t="e">
        <f t="shared" si="221"/>
        <v>#N/A</v>
      </c>
      <c r="AF435" s="104" t="e">
        <f>IF(AND(VLOOKUP($D435,Merchantability!$B:$C,2,0)="Yes",$E435&gt;=VLOOKUP($D435,Merchantability!$B:$D,3,0),$E435&lt;=VLOOKUP($D435,Merchantability!$B:$E,4,0)),AA435,0)</f>
        <v>#N/A</v>
      </c>
      <c r="AG435" s="104" t="e">
        <f>IF(AND(VLOOKUP($D435,Merchantability!$B:$C,2,0)="Yes",$E435&gt;=VLOOKUP($D435,Merchantability!$B:$D,3,0),$E435&lt;=VLOOKUP($D435,Merchantability!$B:$E,4,0)),AB435,0)</f>
        <v>#N/A</v>
      </c>
      <c r="AH435" s="104" t="e">
        <f>IF(AND(VLOOKUP($D435,Merchantability!$B:$C,2,0)="Yes",$E435&gt;=VLOOKUP($D435,Merchantability!$B:$D,3,0),$E435&lt;=VLOOKUP($D435,Merchantability!$B:$E,4,0)),AC435,0)</f>
        <v>#N/A</v>
      </c>
      <c r="AI435" s="104" t="e">
        <f t="shared" si="222"/>
        <v>#N/A</v>
      </c>
      <c r="AJ435" s="104" t="e">
        <f t="shared" si="223"/>
        <v>#VALUE!</v>
      </c>
      <c r="AK435" s="104" t="e">
        <f t="shared" si="224"/>
        <v>#N/A</v>
      </c>
      <c r="AL435" s="104" t="e">
        <f t="shared" si="225"/>
        <v>#N/A</v>
      </c>
      <c r="AM435" s="104" t="e">
        <f t="shared" si="226"/>
        <v>#N/A</v>
      </c>
      <c r="AN435" s="104" t="e">
        <f t="shared" si="210"/>
        <v>#N/A</v>
      </c>
      <c r="AO435" s="104" t="e">
        <f t="shared" si="211"/>
        <v>#N/A</v>
      </c>
      <c r="AP435" s="104" t="e">
        <f t="shared" si="212"/>
        <v>#N/A</v>
      </c>
      <c r="AQ435" s="104" t="e">
        <f t="shared" si="213"/>
        <v>#N/A</v>
      </c>
      <c r="AR435" s="105" t="str">
        <f t="shared" si="205"/>
        <v/>
      </c>
      <c r="AS435" s="105" t="str">
        <f t="shared" si="206"/>
        <v/>
      </c>
      <c r="AT435" s="108" t="str">
        <f t="shared" si="207"/>
        <v/>
      </c>
      <c r="AU435" s="108" t="str">
        <f t="shared" si="208"/>
        <v/>
      </c>
      <c r="AV435" s="107" t="str">
        <f>IF(ISNUMBER(O435),IF(VLOOKUP($A435,Stand!C:J,8,FALSE)="Short",AT435,AU435),"")</f>
        <v/>
      </c>
      <c r="AW435" s="109" t="str">
        <f t="shared" si="214"/>
        <v/>
      </c>
      <c r="AX435" s="109" t="str">
        <f t="shared" si="215"/>
        <v/>
      </c>
      <c r="AY435" s="112" t="str">
        <f>IF(ISNUMBER(O435),IF(AND(VLOOKUP($D435,Merchantability!$B:$C,2,0)="Yes",$E435&gt;=VLOOKUP($D435,Merchantability!$B:$D,3,0),$E435&lt;=VLOOKUP($D435,Merchantability!$B:$E,4,0)),(AV435*O435)*(1-$H435/100),""),"")</f>
        <v/>
      </c>
      <c r="AZ435" s="116"/>
      <c r="BA435" s="116"/>
      <c r="BB435" s="116"/>
      <c r="BE435" s="62"/>
      <c r="BF435" s="63"/>
    </row>
    <row r="436" spans="1:58" ht="12.75" customHeight="1" x14ac:dyDescent="0.25">
      <c r="A436" s="313"/>
      <c r="B436" s="328"/>
      <c r="C436" s="329"/>
      <c r="D436" s="328"/>
      <c r="E436" s="330"/>
      <c r="F436" s="331"/>
      <c r="G436" s="329"/>
      <c r="H436" s="329"/>
      <c r="I436" s="328"/>
      <c r="J436" s="329"/>
      <c r="K436" s="329"/>
      <c r="L436" s="329"/>
      <c r="M436" s="76"/>
      <c r="N436" s="103" t="str">
        <f>IF(A436="","",VLOOKUP(A436,Stand!C:K,9,0))</f>
        <v/>
      </c>
      <c r="O436" s="104" t="str">
        <f t="shared" si="200"/>
        <v/>
      </c>
      <c r="P436" s="105" t="str">
        <f t="shared" si="201"/>
        <v/>
      </c>
      <c r="Q436" s="105" t="str">
        <f t="shared" si="216"/>
        <v/>
      </c>
      <c r="R436" s="103" t="str">
        <f t="shared" si="202"/>
        <v/>
      </c>
      <c r="S436" s="103" t="str">
        <f t="shared" si="203"/>
        <v/>
      </c>
      <c r="T436" s="106" t="str">
        <f t="shared" si="217"/>
        <v/>
      </c>
      <c r="U436" s="106" t="str">
        <f t="shared" si="218"/>
        <v/>
      </c>
      <c r="V436" s="106" t="str">
        <f t="shared" si="219"/>
        <v/>
      </c>
      <c r="W436" s="105" t="str">
        <f t="shared" si="204"/>
        <v/>
      </c>
      <c r="X436" s="104" t="str">
        <f t="shared" si="209"/>
        <v/>
      </c>
      <c r="Y436" s="104" t="str">
        <f t="array" ref="Y436">IFERROR(IF(ISNUMBER(O436),IF(COUNT(IF(A436=$A$2:$A$2427,IF(D436=$D$2:$D$2427,IF($X$2:$X$2427&gt;0,1))))&gt;0,SUM(IF(A436=$A$2:$A$2427,IF(D436=$D$2:$D$2427,$X$2:$X$2427)))/COUNT(IF(A436=$A$2:$A$2427,IF(D436=$D$2:$D$2427,IF(ISNUMBER($X$2:$X$2427),1)))),0),""),0)</f>
        <v/>
      </c>
      <c r="Z436" s="104" t="str">
        <f>IF(ISNUMBER(O436),IF(I436&gt;0,(10^(VLOOKUP(D436,'Species Codes'!B:C,2,0)+VLOOKUP(D436,'Species Codes'!B:D,3,0)*LOG(E436)+VLOOKUP(D436,'Species Codes'!B:E,4,0)*LOG(I436))),0),"")</f>
        <v/>
      </c>
      <c r="AA436" s="104" t="str">
        <f>IFERROR((VLOOKUP(D436,'Species Codes'!B:G,6,0)*Z436)/2000,"")</f>
        <v/>
      </c>
      <c r="AB436" s="104" t="e">
        <f>IF(Z436&gt;0,((IF(OR(D436="DF",D436="RA")=TRUE,EXP(VLOOKUP(D436,'Species Codes'!B:I,8,0)+VLOOKUP(D436,'Species Codes'!B:J,9,0)*(LN((E436*2.54)))),IF(OR(D436="PY",D436="RC",D436="WH",D436="NF")=TRUE,VLOOKUP(D436,'Species Codes'!B:I,8,0)+VLOOKUP(D436,'Species Codes'!B:J,9,0)*((E436*2.54)^2)*(I436*0.3048),IF(OR(D436="MD",D436="BM",D436="GA")=TRUE,((VLOOKUP(D436,'Species Codes'!B:I,8,0)*(((((E436*2.54)+VLOOKUP(D436,'Species Codes'!B:J,9,0))/VLOOKUP(D436,'Species Codes'!B:K,10,0))^VLOOKUP(D436,'Species Codes'!B:L,11,0))*((I436*0.3048)^VLOOKUP(D436,'Species Codes'!B:M,12,0))))-(VLOOKUP(D436,'Species Codes'!B:I,8,0)*((((E436*2.54)^VLOOKUP(D436,'Species Codes'!B:L,11,0))*((I436*0.3048)^VLOOKUP(D436,'Species Codes'!B:M,12,0))))))*35.3*VLOOKUP(D436,'Species Codes'!B:G,6,0)/2.2046,VLOOKUP(D436,'Species Codes'!B:I,8,0)+VLOOKUP(D436,'Species Codes'!B:J,9,0)*(((E436*2.54)/100)^2)*(I436*0.3048)))))*0.0011023),0)</f>
        <v>#N/A</v>
      </c>
      <c r="AC436" s="104" t="e">
        <f>IF(Z436&gt;0,((IF(OR(D436="RA",D436="OA",D436="OT",D436="UN",D436="PC"),EXP(VLOOKUP(D436,'Species Codes'!B:O,14,0)+VLOOKUP(D436,'Species Codes'!B:P,15,0)*LN((E436*2.54)))-EXP(VLOOKUP(D436,'Species Codes'!B:O,14,0)+VLOOKUP(D436,'Species Codes'!B:P,15,0)*LN((E436*2.54)))*(1/(VLOOKUP(D436,'Species Codes'!B:Q,16,0)+VLOOKUP(D436,'Species Codes'!B:R,17,0)*((E436*2.54)^VLOOKUP(D436,'Species Codes'!B:S,18,0)))),IF(OR(D436="BM",D436="MD",D436="OA"),EXP(VLOOKUP(D436,'Species Codes'!B:O,14,0)+VLOOKUP(D436,'Species Codes'!B:P,15,0)*LN((E436*2.54)))*(1-(1/(VLOOKUP(D436,'Species Codes'!B:Q,16,0)+VLOOKUP(D436,'Species Codes'!B:R,17,0)*((E436*2.54)^VLOOKUP(D436,'Species Codes'!B:S,18,0)))))/1000,IF(D436="DF",EXP(VLOOKUP(D436,'Species Codes'!B:O,14,0)+VLOOKUP(D436,'Species Codes'!B:P,15,0)*LN((E436*2.54))),VLOOKUP(D436,'Species Codes'!B:O,14,0)+VLOOKUP(D436,'Species Codes'!B:P,15,0)*(((E436*2.54)/100)^2)*(I436*0.3048)))))*0.0011023),0)</f>
        <v>#N/A</v>
      </c>
      <c r="AD436" s="104" t="e">
        <f t="shared" si="220"/>
        <v>#N/A</v>
      </c>
      <c r="AE436" s="104" t="e">
        <f t="shared" si="221"/>
        <v>#N/A</v>
      </c>
      <c r="AF436" s="104" t="e">
        <f>IF(AND(VLOOKUP($D436,Merchantability!$B:$C,2,0)="Yes",$E436&gt;=VLOOKUP($D436,Merchantability!$B:$D,3,0),$E436&lt;=VLOOKUP($D436,Merchantability!$B:$E,4,0)),AA436,0)</f>
        <v>#N/A</v>
      </c>
      <c r="AG436" s="104" t="e">
        <f>IF(AND(VLOOKUP($D436,Merchantability!$B:$C,2,0)="Yes",$E436&gt;=VLOOKUP($D436,Merchantability!$B:$D,3,0),$E436&lt;=VLOOKUP($D436,Merchantability!$B:$E,4,0)),AB436,0)</f>
        <v>#N/A</v>
      </c>
      <c r="AH436" s="104" t="e">
        <f>IF(AND(VLOOKUP($D436,Merchantability!$B:$C,2,0)="Yes",$E436&gt;=VLOOKUP($D436,Merchantability!$B:$D,3,0),$E436&lt;=VLOOKUP($D436,Merchantability!$B:$E,4,0)),AC436,0)</f>
        <v>#N/A</v>
      </c>
      <c r="AI436" s="104" t="e">
        <f t="shared" si="222"/>
        <v>#N/A</v>
      </c>
      <c r="AJ436" s="104" t="e">
        <f t="shared" si="223"/>
        <v>#VALUE!</v>
      </c>
      <c r="AK436" s="104" t="e">
        <f t="shared" si="224"/>
        <v>#N/A</v>
      </c>
      <c r="AL436" s="104" t="e">
        <f t="shared" si="225"/>
        <v>#N/A</v>
      </c>
      <c r="AM436" s="104" t="e">
        <f t="shared" si="226"/>
        <v>#N/A</v>
      </c>
      <c r="AN436" s="104" t="e">
        <f t="shared" si="210"/>
        <v>#N/A</v>
      </c>
      <c r="AO436" s="104" t="e">
        <f t="shared" si="211"/>
        <v>#N/A</v>
      </c>
      <c r="AP436" s="104" t="e">
        <f t="shared" si="212"/>
        <v>#N/A</v>
      </c>
      <c r="AQ436" s="104" t="e">
        <f t="shared" si="213"/>
        <v>#N/A</v>
      </c>
      <c r="AR436" s="105" t="str">
        <f t="shared" si="205"/>
        <v/>
      </c>
      <c r="AS436" s="105" t="str">
        <f t="shared" si="206"/>
        <v/>
      </c>
      <c r="AT436" s="108" t="str">
        <f t="shared" si="207"/>
        <v/>
      </c>
      <c r="AU436" s="108" t="str">
        <f t="shared" si="208"/>
        <v/>
      </c>
      <c r="AV436" s="107" t="str">
        <f>IF(ISNUMBER(O436),IF(VLOOKUP($A436,Stand!C:J,8,FALSE)="Short",AT436,AU436),"")</f>
        <v/>
      </c>
      <c r="AW436" s="109" t="str">
        <f t="shared" si="214"/>
        <v/>
      </c>
      <c r="AX436" s="109" t="str">
        <f t="shared" si="215"/>
        <v/>
      </c>
      <c r="AY436" s="112" t="str">
        <f>IF(ISNUMBER(O436),IF(AND(VLOOKUP($D436,Merchantability!$B:$C,2,0)="Yes",$E436&gt;=VLOOKUP($D436,Merchantability!$B:$D,3,0),$E436&lt;=VLOOKUP($D436,Merchantability!$B:$E,4,0)),(AV436*O436)*(1-$H436/100),""),"")</f>
        <v/>
      </c>
      <c r="AZ436" s="116"/>
      <c r="BA436" s="116"/>
      <c r="BB436" s="116"/>
      <c r="BE436" s="62"/>
      <c r="BF436" s="63"/>
    </row>
    <row r="437" spans="1:58" ht="12.75" customHeight="1" x14ac:dyDescent="0.25">
      <c r="A437" s="313"/>
      <c r="B437" s="328"/>
      <c r="C437" s="329"/>
      <c r="D437" s="328"/>
      <c r="E437" s="330"/>
      <c r="F437" s="331"/>
      <c r="G437" s="329"/>
      <c r="H437" s="329"/>
      <c r="I437" s="328"/>
      <c r="J437" s="329"/>
      <c r="K437" s="329"/>
      <c r="L437" s="329"/>
      <c r="M437" s="76"/>
      <c r="N437" s="103" t="str">
        <f>IF(A437="","",VLOOKUP(A437,Stand!C:K,9,0))</f>
        <v/>
      </c>
      <c r="O437" s="104" t="str">
        <f t="shared" si="200"/>
        <v/>
      </c>
      <c r="P437" s="105" t="str">
        <f t="shared" si="201"/>
        <v/>
      </c>
      <c r="Q437" s="105" t="str">
        <f t="shared" si="216"/>
        <v/>
      </c>
      <c r="R437" s="103" t="str">
        <f t="shared" si="202"/>
        <v/>
      </c>
      <c r="S437" s="103" t="str">
        <f t="shared" si="203"/>
        <v/>
      </c>
      <c r="T437" s="106" t="str">
        <f t="shared" si="217"/>
        <v/>
      </c>
      <c r="U437" s="106" t="str">
        <f t="shared" si="218"/>
        <v/>
      </c>
      <c r="V437" s="106" t="str">
        <f t="shared" si="219"/>
        <v/>
      </c>
      <c r="W437" s="105" t="str">
        <f t="shared" si="204"/>
        <v/>
      </c>
      <c r="X437" s="104" t="str">
        <f t="shared" si="209"/>
        <v/>
      </c>
      <c r="Y437" s="104" t="str">
        <f t="array" ref="Y437">IFERROR(IF(ISNUMBER(O437),IF(COUNT(IF(A437=$A$2:$A$2427,IF(D437=$D$2:$D$2427,IF($X$2:$X$2427&gt;0,1))))&gt;0,SUM(IF(A437=$A$2:$A$2427,IF(D437=$D$2:$D$2427,$X$2:$X$2427)))/COUNT(IF(A437=$A$2:$A$2427,IF(D437=$D$2:$D$2427,IF(ISNUMBER($X$2:$X$2427),1)))),0),""),0)</f>
        <v/>
      </c>
      <c r="Z437" s="104" t="str">
        <f>IF(ISNUMBER(O437),IF(I437&gt;0,(10^(VLOOKUP(D437,'Species Codes'!B:C,2,0)+VLOOKUP(D437,'Species Codes'!B:D,3,0)*LOG(E437)+VLOOKUP(D437,'Species Codes'!B:E,4,0)*LOG(I437))),0),"")</f>
        <v/>
      </c>
      <c r="AA437" s="104" t="str">
        <f>IFERROR((VLOOKUP(D437,'Species Codes'!B:G,6,0)*Z437)/2000,"")</f>
        <v/>
      </c>
      <c r="AB437" s="104" t="e">
        <f>IF(Z437&gt;0,((IF(OR(D437="DF",D437="RA")=TRUE,EXP(VLOOKUP(D437,'Species Codes'!B:I,8,0)+VLOOKUP(D437,'Species Codes'!B:J,9,0)*(LN((E437*2.54)))),IF(OR(D437="PY",D437="RC",D437="WH",D437="NF")=TRUE,VLOOKUP(D437,'Species Codes'!B:I,8,0)+VLOOKUP(D437,'Species Codes'!B:J,9,0)*((E437*2.54)^2)*(I437*0.3048),IF(OR(D437="MD",D437="BM",D437="GA")=TRUE,((VLOOKUP(D437,'Species Codes'!B:I,8,0)*(((((E437*2.54)+VLOOKUP(D437,'Species Codes'!B:J,9,0))/VLOOKUP(D437,'Species Codes'!B:K,10,0))^VLOOKUP(D437,'Species Codes'!B:L,11,0))*((I437*0.3048)^VLOOKUP(D437,'Species Codes'!B:M,12,0))))-(VLOOKUP(D437,'Species Codes'!B:I,8,0)*((((E437*2.54)^VLOOKUP(D437,'Species Codes'!B:L,11,0))*((I437*0.3048)^VLOOKUP(D437,'Species Codes'!B:M,12,0))))))*35.3*VLOOKUP(D437,'Species Codes'!B:G,6,0)/2.2046,VLOOKUP(D437,'Species Codes'!B:I,8,0)+VLOOKUP(D437,'Species Codes'!B:J,9,0)*(((E437*2.54)/100)^2)*(I437*0.3048)))))*0.0011023),0)</f>
        <v>#N/A</v>
      </c>
      <c r="AC437" s="104" t="e">
        <f>IF(Z437&gt;0,((IF(OR(D437="RA",D437="OA",D437="OT",D437="UN",D437="PC"),EXP(VLOOKUP(D437,'Species Codes'!B:O,14,0)+VLOOKUP(D437,'Species Codes'!B:P,15,0)*LN((E437*2.54)))-EXP(VLOOKUP(D437,'Species Codes'!B:O,14,0)+VLOOKUP(D437,'Species Codes'!B:P,15,0)*LN((E437*2.54)))*(1/(VLOOKUP(D437,'Species Codes'!B:Q,16,0)+VLOOKUP(D437,'Species Codes'!B:R,17,0)*((E437*2.54)^VLOOKUP(D437,'Species Codes'!B:S,18,0)))),IF(OR(D437="BM",D437="MD",D437="OA"),EXP(VLOOKUP(D437,'Species Codes'!B:O,14,0)+VLOOKUP(D437,'Species Codes'!B:P,15,0)*LN((E437*2.54)))*(1-(1/(VLOOKUP(D437,'Species Codes'!B:Q,16,0)+VLOOKUP(D437,'Species Codes'!B:R,17,0)*((E437*2.54)^VLOOKUP(D437,'Species Codes'!B:S,18,0)))))/1000,IF(D437="DF",EXP(VLOOKUP(D437,'Species Codes'!B:O,14,0)+VLOOKUP(D437,'Species Codes'!B:P,15,0)*LN((E437*2.54))),VLOOKUP(D437,'Species Codes'!B:O,14,0)+VLOOKUP(D437,'Species Codes'!B:P,15,0)*(((E437*2.54)/100)^2)*(I437*0.3048)))))*0.0011023),0)</f>
        <v>#N/A</v>
      </c>
      <c r="AD437" s="104" t="e">
        <f t="shared" si="220"/>
        <v>#N/A</v>
      </c>
      <c r="AE437" s="104" t="e">
        <f t="shared" si="221"/>
        <v>#N/A</v>
      </c>
      <c r="AF437" s="104" t="e">
        <f>IF(AND(VLOOKUP($D437,Merchantability!$B:$C,2,0)="Yes",$E437&gt;=VLOOKUP($D437,Merchantability!$B:$D,3,0),$E437&lt;=VLOOKUP($D437,Merchantability!$B:$E,4,0)),AA437,0)</f>
        <v>#N/A</v>
      </c>
      <c r="AG437" s="104" t="e">
        <f>IF(AND(VLOOKUP($D437,Merchantability!$B:$C,2,0)="Yes",$E437&gt;=VLOOKUP($D437,Merchantability!$B:$D,3,0),$E437&lt;=VLOOKUP($D437,Merchantability!$B:$E,4,0)),AB437,0)</f>
        <v>#N/A</v>
      </c>
      <c r="AH437" s="104" t="e">
        <f>IF(AND(VLOOKUP($D437,Merchantability!$B:$C,2,0)="Yes",$E437&gt;=VLOOKUP($D437,Merchantability!$B:$D,3,0),$E437&lt;=VLOOKUP($D437,Merchantability!$B:$E,4,0)),AC437,0)</f>
        <v>#N/A</v>
      </c>
      <c r="AI437" s="104" t="e">
        <f t="shared" si="222"/>
        <v>#N/A</v>
      </c>
      <c r="AJ437" s="104" t="e">
        <f t="shared" si="223"/>
        <v>#VALUE!</v>
      </c>
      <c r="AK437" s="104" t="e">
        <f t="shared" si="224"/>
        <v>#N/A</v>
      </c>
      <c r="AL437" s="104" t="e">
        <f t="shared" si="225"/>
        <v>#N/A</v>
      </c>
      <c r="AM437" s="104" t="e">
        <f t="shared" si="226"/>
        <v>#N/A</v>
      </c>
      <c r="AN437" s="104" t="e">
        <f t="shared" si="210"/>
        <v>#N/A</v>
      </c>
      <c r="AO437" s="104" t="e">
        <f t="shared" si="211"/>
        <v>#N/A</v>
      </c>
      <c r="AP437" s="104" t="e">
        <f t="shared" si="212"/>
        <v>#N/A</v>
      </c>
      <c r="AQ437" s="104" t="e">
        <f t="shared" si="213"/>
        <v>#N/A</v>
      </c>
      <c r="AR437" s="105" t="str">
        <f t="shared" si="205"/>
        <v/>
      </c>
      <c r="AS437" s="105" t="str">
        <f t="shared" si="206"/>
        <v/>
      </c>
      <c r="AT437" s="108" t="str">
        <f t="shared" si="207"/>
        <v/>
      </c>
      <c r="AU437" s="108" t="str">
        <f t="shared" si="208"/>
        <v/>
      </c>
      <c r="AV437" s="107" t="str">
        <f>IF(ISNUMBER(O437),IF(VLOOKUP($A437,Stand!C:J,8,FALSE)="Short",AT437,AU437),"")</f>
        <v/>
      </c>
      <c r="AW437" s="109" t="str">
        <f t="shared" si="214"/>
        <v/>
      </c>
      <c r="AX437" s="109" t="str">
        <f t="shared" si="215"/>
        <v/>
      </c>
      <c r="AY437" s="112" t="str">
        <f>IF(ISNUMBER(O437),IF(AND(VLOOKUP($D437,Merchantability!$B:$C,2,0)="Yes",$E437&gt;=VLOOKUP($D437,Merchantability!$B:$D,3,0),$E437&lt;=VLOOKUP($D437,Merchantability!$B:$E,4,0)),(AV437*O437)*(1-$H437/100),""),"")</f>
        <v/>
      </c>
      <c r="AZ437" s="116"/>
      <c r="BA437" s="116"/>
      <c r="BB437" s="116"/>
      <c r="BE437" s="62"/>
      <c r="BF437" s="63"/>
    </row>
    <row r="438" spans="1:58" ht="12.75" customHeight="1" x14ac:dyDescent="0.25">
      <c r="A438" s="313"/>
      <c r="B438" s="328"/>
      <c r="C438" s="329"/>
      <c r="D438" s="328"/>
      <c r="E438" s="330"/>
      <c r="F438" s="331"/>
      <c r="G438" s="329"/>
      <c r="H438" s="329"/>
      <c r="I438" s="328"/>
      <c r="J438" s="329"/>
      <c r="K438" s="329"/>
      <c r="L438" s="329"/>
      <c r="M438" s="76"/>
      <c r="N438" s="103" t="str">
        <f>IF(A438="","",VLOOKUP(A438,Stand!C:K,9,0))</f>
        <v/>
      </c>
      <c r="O438" s="104" t="str">
        <f t="shared" si="200"/>
        <v/>
      </c>
      <c r="P438" s="105" t="str">
        <f t="shared" si="201"/>
        <v/>
      </c>
      <c r="Q438" s="105" t="str">
        <f t="shared" si="216"/>
        <v/>
      </c>
      <c r="R438" s="103" t="str">
        <f t="shared" si="202"/>
        <v/>
      </c>
      <c r="S438" s="103" t="str">
        <f t="shared" si="203"/>
        <v/>
      </c>
      <c r="T438" s="106" t="str">
        <f t="shared" si="217"/>
        <v/>
      </c>
      <c r="U438" s="106" t="str">
        <f t="shared" si="218"/>
        <v/>
      </c>
      <c r="V438" s="106" t="str">
        <f t="shared" si="219"/>
        <v/>
      </c>
      <c r="W438" s="105" t="str">
        <f t="shared" si="204"/>
        <v/>
      </c>
      <c r="X438" s="104" t="str">
        <f t="shared" si="209"/>
        <v/>
      </c>
      <c r="Y438" s="104" t="str">
        <f t="array" ref="Y438">IFERROR(IF(ISNUMBER(O438),IF(COUNT(IF(A438=$A$2:$A$2427,IF(D438=$D$2:$D$2427,IF($X$2:$X$2427&gt;0,1))))&gt;0,SUM(IF(A438=$A$2:$A$2427,IF(D438=$D$2:$D$2427,$X$2:$X$2427)))/COUNT(IF(A438=$A$2:$A$2427,IF(D438=$D$2:$D$2427,IF(ISNUMBER($X$2:$X$2427),1)))),0),""),0)</f>
        <v/>
      </c>
      <c r="Z438" s="104" t="str">
        <f>IF(ISNUMBER(O438),IF(I438&gt;0,(10^(VLOOKUP(D438,'Species Codes'!B:C,2,0)+VLOOKUP(D438,'Species Codes'!B:D,3,0)*LOG(E438)+VLOOKUP(D438,'Species Codes'!B:E,4,0)*LOG(I438))),0),"")</f>
        <v/>
      </c>
      <c r="AA438" s="104" t="str">
        <f>IFERROR((VLOOKUP(D438,'Species Codes'!B:G,6,0)*Z438)/2000,"")</f>
        <v/>
      </c>
      <c r="AB438" s="104" t="e">
        <f>IF(Z438&gt;0,((IF(OR(D438="DF",D438="RA")=TRUE,EXP(VLOOKUP(D438,'Species Codes'!B:I,8,0)+VLOOKUP(D438,'Species Codes'!B:J,9,0)*(LN((E438*2.54)))),IF(OR(D438="PY",D438="RC",D438="WH",D438="NF")=TRUE,VLOOKUP(D438,'Species Codes'!B:I,8,0)+VLOOKUP(D438,'Species Codes'!B:J,9,0)*((E438*2.54)^2)*(I438*0.3048),IF(OR(D438="MD",D438="BM",D438="GA")=TRUE,((VLOOKUP(D438,'Species Codes'!B:I,8,0)*(((((E438*2.54)+VLOOKUP(D438,'Species Codes'!B:J,9,0))/VLOOKUP(D438,'Species Codes'!B:K,10,0))^VLOOKUP(D438,'Species Codes'!B:L,11,0))*((I438*0.3048)^VLOOKUP(D438,'Species Codes'!B:M,12,0))))-(VLOOKUP(D438,'Species Codes'!B:I,8,0)*((((E438*2.54)^VLOOKUP(D438,'Species Codes'!B:L,11,0))*((I438*0.3048)^VLOOKUP(D438,'Species Codes'!B:M,12,0))))))*35.3*VLOOKUP(D438,'Species Codes'!B:G,6,0)/2.2046,VLOOKUP(D438,'Species Codes'!B:I,8,0)+VLOOKUP(D438,'Species Codes'!B:J,9,0)*(((E438*2.54)/100)^2)*(I438*0.3048)))))*0.0011023),0)</f>
        <v>#N/A</v>
      </c>
      <c r="AC438" s="104" t="e">
        <f>IF(Z438&gt;0,((IF(OR(D438="RA",D438="OA",D438="OT",D438="UN",D438="PC"),EXP(VLOOKUP(D438,'Species Codes'!B:O,14,0)+VLOOKUP(D438,'Species Codes'!B:P,15,0)*LN((E438*2.54)))-EXP(VLOOKUP(D438,'Species Codes'!B:O,14,0)+VLOOKUP(D438,'Species Codes'!B:P,15,0)*LN((E438*2.54)))*(1/(VLOOKUP(D438,'Species Codes'!B:Q,16,0)+VLOOKUP(D438,'Species Codes'!B:R,17,0)*((E438*2.54)^VLOOKUP(D438,'Species Codes'!B:S,18,0)))),IF(OR(D438="BM",D438="MD",D438="OA"),EXP(VLOOKUP(D438,'Species Codes'!B:O,14,0)+VLOOKUP(D438,'Species Codes'!B:P,15,0)*LN((E438*2.54)))*(1-(1/(VLOOKUP(D438,'Species Codes'!B:Q,16,0)+VLOOKUP(D438,'Species Codes'!B:R,17,0)*((E438*2.54)^VLOOKUP(D438,'Species Codes'!B:S,18,0)))))/1000,IF(D438="DF",EXP(VLOOKUP(D438,'Species Codes'!B:O,14,0)+VLOOKUP(D438,'Species Codes'!B:P,15,0)*LN((E438*2.54))),VLOOKUP(D438,'Species Codes'!B:O,14,0)+VLOOKUP(D438,'Species Codes'!B:P,15,0)*(((E438*2.54)/100)^2)*(I438*0.3048)))))*0.0011023),0)</f>
        <v>#N/A</v>
      </c>
      <c r="AD438" s="104" t="e">
        <f t="shared" si="220"/>
        <v>#N/A</v>
      </c>
      <c r="AE438" s="104" t="e">
        <f t="shared" si="221"/>
        <v>#N/A</v>
      </c>
      <c r="AF438" s="104" t="e">
        <f>IF(AND(VLOOKUP($D438,Merchantability!$B:$C,2,0)="Yes",$E438&gt;=VLOOKUP($D438,Merchantability!$B:$D,3,0),$E438&lt;=VLOOKUP($D438,Merchantability!$B:$E,4,0)),AA438,0)</f>
        <v>#N/A</v>
      </c>
      <c r="AG438" s="104" t="e">
        <f>IF(AND(VLOOKUP($D438,Merchantability!$B:$C,2,0)="Yes",$E438&gt;=VLOOKUP($D438,Merchantability!$B:$D,3,0),$E438&lt;=VLOOKUP($D438,Merchantability!$B:$E,4,0)),AB438,0)</f>
        <v>#N/A</v>
      </c>
      <c r="AH438" s="104" t="e">
        <f>IF(AND(VLOOKUP($D438,Merchantability!$B:$C,2,0)="Yes",$E438&gt;=VLOOKUP($D438,Merchantability!$B:$D,3,0),$E438&lt;=VLOOKUP($D438,Merchantability!$B:$E,4,0)),AC438,0)</f>
        <v>#N/A</v>
      </c>
      <c r="AI438" s="104" t="e">
        <f t="shared" si="222"/>
        <v>#N/A</v>
      </c>
      <c r="AJ438" s="104" t="e">
        <f t="shared" si="223"/>
        <v>#VALUE!</v>
      </c>
      <c r="AK438" s="104" t="e">
        <f t="shared" si="224"/>
        <v>#N/A</v>
      </c>
      <c r="AL438" s="104" t="e">
        <f t="shared" si="225"/>
        <v>#N/A</v>
      </c>
      <c r="AM438" s="104" t="e">
        <f t="shared" si="226"/>
        <v>#N/A</v>
      </c>
      <c r="AN438" s="104" t="e">
        <f t="shared" si="210"/>
        <v>#N/A</v>
      </c>
      <c r="AO438" s="104" t="e">
        <f t="shared" si="211"/>
        <v>#N/A</v>
      </c>
      <c r="AP438" s="104" t="e">
        <f t="shared" si="212"/>
        <v>#N/A</v>
      </c>
      <c r="AQ438" s="104" t="e">
        <f t="shared" si="213"/>
        <v>#N/A</v>
      </c>
      <c r="AR438" s="105" t="str">
        <f t="shared" si="205"/>
        <v/>
      </c>
      <c r="AS438" s="105" t="str">
        <f t="shared" si="206"/>
        <v/>
      </c>
      <c r="AT438" s="108" t="str">
        <f t="shared" si="207"/>
        <v/>
      </c>
      <c r="AU438" s="108" t="str">
        <f t="shared" si="208"/>
        <v/>
      </c>
      <c r="AV438" s="107" t="str">
        <f>IF(ISNUMBER(O438),IF(VLOOKUP($A438,Stand!C:J,8,FALSE)="Short",AT438,AU438),"")</f>
        <v/>
      </c>
      <c r="AW438" s="109" t="str">
        <f t="shared" si="214"/>
        <v/>
      </c>
      <c r="AX438" s="109" t="str">
        <f t="shared" si="215"/>
        <v/>
      </c>
      <c r="AY438" s="112" t="str">
        <f>IF(ISNUMBER(O438),IF(AND(VLOOKUP($D438,Merchantability!$B:$C,2,0)="Yes",$E438&gt;=VLOOKUP($D438,Merchantability!$B:$D,3,0),$E438&lt;=VLOOKUP($D438,Merchantability!$B:$E,4,0)),(AV438*O438)*(1-$H438/100),""),"")</f>
        <v/>
      </c>
      <c r="AZ438" s="116"/>
      <c r="BA438" s="116"/>
      <c r="BB438" s="116"/>
      <c r="BE438" s="62"/>
      <c r="BF438" s="63"/>
    </row>
    <row r="439" spans="1:58" ht="12.75" customHeight="1" x14ac:dyDescent="0.25">
      <c r="A439" s="313"/>
      <c r="B439" s="328"/>
      <c r="C439" s="329"/>
      <c r="D439" s="328"/>
      <c r="E439" s="330"/>
      <c r="F439" s="331"/>
      <c r="G439" s="329"/>
      <c r="H439" s="329"/>
      <c r="I439" s="328"/>
      <c r="J439" s="329"/>
      <c r="K439" s="329"/>
      <c r="L439" s="329"/>
      <c r="M439" s="76"/>
      <c r="N439" s="103" t="str">
        <f>IF(A439="","",VLOOKUP(A439,Stand!C:K,9,0))</f>
        <v/>
      </c>
      <c r="O439" s="104" t="str">
        <f t="shared" si="200"/>
        <v/>
      </c>
      <c r="P439" s="105" t="str">
        <f t="shared" si="201"/>
        <v/>
      </c>
      <c r="Q439" s="105" t="str">
        <f t="shared" si="216"/>
        <v/>
      </c>
      <c r="R439" s="103" t="str">
        <f t="shared" si="202"/>
        <v/>
      </c>
      <c r="S439" s="103" t="str">
        <f t="shared" si="203"/>
        <v/>
      </c>
      <c r="T439" s="106" t="str">
        <f t="shared" si="217"/>
        <v/>
      </c>
      <c r="U439" s="106" t="str">
        <f t="shared" si="218"/>
        <v/>
      </c>
      <c r="V439" s="106" t="str">
        <f t="shared" si="219"/>
        <v/>
      </c>
      <c r="W439" s="105" t="str">
        <f t="shared" si="204"/>
        <v/>
      </c>
      <c r="X439" s="104" t="str">
        <f t="shared" si="209"/>
        <v/>
      </c>
      <c r="Y439" s="104" t="str">
        <f t="array" ref="Y439">IFERROR(IF(ISNUMBER(O439),IF(COUNT(IF(A439=$A$2:$A$2427,IF(D439=$D$2:$D$2427,IF($X$2:$X$2427&gt;0,1))))&gt;0,SUM(IF(A439=$A$2:$A$2427,IF(D439=$D$2:$D$2427,$X$2:$X$2427)))/COUNT(IF(A439=$A$2:$A$2427,IF(D439=$D$2:$D$2427,IF(ISNUMBER($X$2:$X$2427),1)))),0),""),0)</f>
        <v/>
      </c>
      <c r="Z439" s="104" t="str">
        <f>IF(ISNUMBER(O439),IF(I439&gt;0,(10^(VLOOKUP(D439,'Species Codes'!B:C,2,0)+VLOOKUP(D439,'Species Codes'!B:D,3,0)*LOG(E439)+VLOOKUP(D439,'Species Codes'!B:E,4,0)*LOG(I439))),0),"")</f>
        <v/>
      </c>
      <c r="AA439" s="104" t="str">
        <f>IFERROR((VLOOKUP(D439,'Species Codes'!B:G,6,0)*Z439)/2000,"")</f>
        <v/>
      </c>
      <c r="AB439" s="104" t="e">
        <f>IF(Z439&gt;0,((IF(OR(D439="DF",D439="RA")=TRUE,EXP(VLOOKUP(D439,'Species Codes'!B:I,8,0)+VLOOKUP(D439,'Species Codes'!B:J,9,0)*(LN((E439*2.54)))),IF(OR(D439="PY",D439="RC",D439="WH",D439="NF")=TRUE,VLOOKUP(D439,'Species Codes'!B:I,8,0)+VLOOKUP(D439,'Species Codes'!B:J,9,0)*((E439*2.54)^2)*(I439*0.3048),IF(OR(D439="MD",D439="BM",D439="GA")=TRUE,((VLOOKUP(D439,'Species Codes'!B:I,8,0)*(((((E439*2.54)+VLOOKUP(D439,'Species Codes'!B:J,9,0))/VLOOKUP(D439,'Species Codes'!B:K,10,0))^VLOOKUP(D439,'Species Codes'!B:L,11,0))*((I439*0.3048)^VLOOKUP(D439,'Species Codes'!B:M,12,0))))-(VLOOKUP(D439,'Species Codes'!B:I,8,0)*((((E439*2.54)^VLOOKUP(D439,'Species Codes'!B:L,11,0))*((I439*0.3048)^VLOOKUP(D439,'Species Codes'!B:M,12,0))))))*35.3*VLOOKUP(D439,'Species Codes'!B:G,6,0)/2.2046,VLOOKUP(D439,'Species Codes'!B:I,8,0)+VLOOKUP(D439,'Species Codes'!B:J,9,0)*(((E439*2.54)/100)^2)*(I439*0.3048)))))*0.0011023),0)</f>
        <v>#N/A</v>
      </c>
      <c r="AC439" s="104" t="e">
        <f>IF(Z439&gt;0,((IF(OR(D439="RA",D439="OA",D439="OT",D439="UN",D439="PC"),EXP(VLOOKUP(D439,'Species Codes'!B:O,14,0)+VLOOKUP(D439,'Species Codes'!B:P,15,0)*LN((E439*2.54)))-EXP(VLOOKUP(D439,'Species Codes'!B:O,14,0)+VLOOKUP(D439,'Species Codes'!B:P,15,0)*LN((E439*2.54)))*(1/(VLOOKUP(D439,'Species Codes'!B:Q,16,0)+VLOOKUP(D439,'Species Codes'!B:R,17,0)*((E439*2.54)^VLOOKUP(D439,'Species Codes'!B:S,18,0)))),IF(OR(D439="BM",D439="MD",D439="OA"),EXP(VLOOKUP(D439,'Species Codes'!B:O,14,0)+VLOOKUP(D439,'Species Codes'!B:P,15,0)*LN((E439*2.54)))*(1-(1/(VLOOKUP(D439,'Species Codes'!B:Q,16,0)+VLOOKUP(D439,'Species Codes'!B:R,17,0)*((E439*2.54)^VLOOKUP(D439,'Species Codes'!B:S,18,0)))))/1000,IF(D439="DF",EXP(VLOOKUP(D439,'Species Codes'!B:O,14,0)+VLOOKUP(D439,'Species Codes'!B:P,15,0)*LN((E439*2.54))),VLOOKUP(D439,'Species Codes'!B:O,14,0)+VLOOKUP(D439,'Species Codes'!B:P,15,0)*(((E439*2.54)/100)^2)*(I439*0.3048)))))*0.0011023),0)</f>
        <v>#N/A</v>
      </c>
      <c r="AD439" s="104" t="e">
        <f t="shared" si="220"/>
        <v>#N/A</v>
      </c>
      <c r="AE439" s="104" t="e">
        <f t="shared" si="221"/>
        <v>#N/A</v>
      </c>
      <c r="AF439" s="104" t="e">
        <f>IF(AND(VLOOKUP($D439,Merchantability!$B:$C,2,0)="Yes",$E439&gt;=VLOOKUP($D439,Merchantability!$B:$D,3,0),$E439&lt;=VLOOKUP($D439,Merchantability!$B:$E,4,0)),AA439,0)</f>
        <v>#N/A</v>
      </c>
      <c r="AG439" s="104" t="e">
        <f>IF(AND(VLOOKUP($D439,Merchantability!$B:$C,2,0)="Yes",$E439&gt;=VLOOKUP($D439,Merchantability!$B:$D,3,0),$E439&lt;=VLOOKUP($D439,Merchantability!$B:$E,4,0)),AB439,0)</f>
        <v>#N/A</v>
      </c>
      <c r="AH439" s="104" t="e">
        <f>IF(AND(VLOOKUP($D439,Merchantability!$B:$C,2,0)="Yes",$E439&gt;=VLOOKUP($D439,Merchantability!$B:$D,3,0),$E439&lt;=VLOOKUP($D439,Merchantability!$B:$E,4,0)),AC439,0)</f>
        <v>#N/A</v>
      </c>
      <c r="AI439" s="104" t="e">
        <f t="shared" si="222"/>
        <v>#N/A</v>
      </c>
      <c r="AJ439" s="104" t="e">
        <f t="shared" si="223"/>
        <v>#VALUE!</v>
      </c>
      <c r="AK439" s="104" t="e">
        <f t="shared" si="224"/>
        <v>#N/A</v>
      </c>
      <c r="AL439" s="104" t="e">
        <f t="shared" si="225"/>
        <v>#N/A</v>
      </c>
      <c r="AM439" s="104" t="e">
        <f t="shared" si="226"/>
        <v>#N/A</v>
      </c>
      <c r="AN439" s="104" t="e">
        <f t="shared" si="210"/>
        <v>#N/A</v>
      </c>
      <c r="AO439" s="104" t="e">
        <f t="shared" si="211"/>
        <v>#N/A</v>
      </c>
      <c r="AP439" s="104" t="e">
        <f t="shared" si="212"/>
        <v>#N/A</v>
      </c>
      <c r="AQ439" s="104" t="e">
        <f t="shared" si="213"/>
        <v>#N/A</v>
      </c>
      <c r="AR439" s="105" t="str">
        <f t="shared" si="205"/>
        <v/>
      </c>
      <c r="AS439" s="105" t="str">
        <f t="shared" si="206"/>
        <v/>
      </c>
      <c r="AT439" s="108" t="str">
        <f t="shared" si="207"/>
        <v/>
      </c>
      <c r="AU439" s="108" t="str">
        <f t="shared" si="208"/>
        <v/>
      </c>
      <c r="AV439" s="107" t="str">
        <f>IF(ISNUMBER(O439),IF(VLOOKUP($A439,Stand!C:J,8,FALSE)="Short",AT439,AU439),"")</f>
        <v/>
      </c>
      <c r="AW439" s="109" t="str">
        <f t="shared" si="214"/>
        <v/>
      </c>
      <c r="AX439" s="109" t="str">
        <f t="shared" si="215"/>
        <v/>
      </c>
      <c r="AY439" s="112" t="str">
        <f>IF(ISNUMBER(O439),IF(AND(VLOOKUP($D439,Merchantability!$B:$C,2,0)="Yes",$E439&gt;=VLOOKUP($D439,Merchantability!$B:$D,3,0),$E439&lt;=VLOOKUP($D439,Merchantability!$B:$E,4,0)),(AV439*O439)*(1-$H439/100),""),"")</f>
        <v/>
      </c>
      <c r="AZ439" s="116"/>
      <c r="BA439" s="116"/>
      <c r="BB439" s="116"/>
      <c r="BE439" s="62"/>
      <c r="BF439" s="63"/>
    </row>
    <row r="440" spans="1:58" ht="12.75" customHeight="1" x14ac:dyDescent="0.25">
      <c r="A440" s="313"/>
      <c r="B440" s="328"/>
      <c r="C440" s="329"/>
      <c r="D440" s="328"/>
      <c r="E440" s="330"/>
      <c r="F440" s="331"/>
      <c r="G440" s="329"/>
      <c r="H440" s="329"/>
      <c r="I440" s="328"/>
      <c r="J440" s="329"/>
      <c r="K440" s="329"/>
      <c r="L440" s="329"/>
      <c r="M440" s="76"/>
      <c r="N440" s="103" t="str">
        <f>IF(A440="","",VLOOKUP(A440,Stand!C:K,9,0))</f>
        <v/>
      </c>
      <c r="O440" s="104" t="str">
        <f t="shared" si="200"/>
        <v/>
      </c>
      <c r="P440" s="105" t="str">
        <f t="shared" si="201"/>
        <v/>
      </c>
      <c r="Q440" s="105" t="str">
        <f t="shared" si="216"/>
        <v/>
      </c>
      <c r="R440" s="103" t="str">
        <f t="shared" si="202"/>
        <v/>
      </c>
      <c r="S440" s="103" t="str">
        <f t="shared" si="203"/>
        <v/>
      </c>
      <c r="T440" s="106" t="str">
        <f t="shared" si="217"/>
        <v/>
      </c>
      <c r="U440" s="106" t="str">
        <f t="shared" si="218"/>
        <v/>
      </c>
      <c r="V440" s="106" t="str">
        <f t="shared" si="219"/>
        <v/>
      </c>
      <c r="W440" s="105" t="str">
        <f t="shared" si="204"/>
        <v/>
      </c>
      <c r="X440" s="104" t="str">
        <f t="shared" si="209"/>
        <v/>
      </c>
      <c r="Y440" s="104" t="str">
        <f t="array" ref="Y440">IFERROR(IF(ISNUMBER(O440),IF(COUNT(IF(A440=$A$2:$A$2427,IF(D440=$D$2:$D$2427,IF($X$2:$X$2427&gt;0,1))))&gt;0,SUM(IF(A440=$A$2:$A$2427,IF(D440=$D$2:$D$2427,$X$2:$X$2427)))/COUNT(IF(A440=$A$2:$A$2427,IF(D440=$D$2:$D$2427,IF(ISNUMBER($X$2:$X$2427),1)))),0),""),0)</f>
        <v/>
      </c>
      <c r="Z440" s="104" t="str">
        <f>IF(ISNUMBER(O440),IF(I440&gt;0,(10^(VLOOKUP(D440,'Species Codes'!B:C,2,0)+VLOOKUP(D440,'Species Codes'!B:D,3,0)*LOG(E440)+VLOOKUP(D440,'Species Codes'!B:E,4,0)*LOG(I440))),0),"")</f>
        <v/>
      </c>
      <c r="AA440" s="104" t="str">
        <f>IFERROR((VLOOKUP(D440,'Species Codes'!B:G,6,0)*Z440)/2000,"")</f>
        <v/>
      </c>
      <c r="AB440" s="104" t="e">
        <f>IF(Z440&gt;0,((IF(OR(D440="DF",D440="RA")=TRUE,EXP(VLOOKUP(D440,'Species Codes'!B:I,8,0)+VLOOKUP(D440,'Species Codes'!B:J,9,0)*(LN((E440*2.54)))),IF(OR(D440="PY",D440="RC",D440="WH",D440="NF")=TRUE,VLOOKUP(D440,'Species Codes'!B:I,8,0)+VLOOKUP(D440,'Species Codes'!B:J,9,0)*((E440*2.54)^2)*(I440*0.3048),IF(OR(D440="MD",D440="BM",D440="GA")=TRUE,((VLOOKUP(D440,'Species Codes'!B:I,8,0)*(((((E440*2.54)+VLOOKUP(D440,'Species Codes'!B:J,9,0))/VLOOKUP(D440,'Species Codes'!B:K,10,0))^VLOOKUP(D440,'Species Codes'!B:L,11,0))*((I440*0.3048)^VLOOKUP(D440,'Species Codes'!B:M,12,0))))-(VLOOKUP(D440,'Species Codes'!B:I,8,0)*((((E440*2.54)^VLOOKUP(D440,'Species Codes'!B:L,11,0))*((I440*0.3048)^VLOOKUP(D440,'Species Codes'!B:M,12,0))))))*35.3*VLOOKUP(D440,'Species Codes'!B:G,6,0)/2.2046,VLOOKUP(D440,'Species Codes'!B:I,8,0)+VLOOKUP(D440,'Species Codes'!B:J,9,0)*(((E440*2.54)/100)^2)*(I440*0.3048)))))*0.0011023),0)</f>
        <v>#N/A</v>
      </c>
      <c r="AC440" s="104" t="e">
        <f>IF(Z440&gt;0,((IF(OR(D440="RA",D440="OA",D440="OT",D440="UN",D440="PC"),EXP(VLOOKUP(D440,'Species Codes'!B:O,14,0)+VLOOKUP(D440,'Species Codes'!B:P,15,0)*LN((E440*2.54)))-EXP(VLOOKUP(D440,'Species Codes'!B:O,14,0)+VLOOKUP(D440,'Species Codes'!B:P,15,0)*LN((E440*2.54)))*(1/(VLOOKUP(D440,'Species Codes'!B:Q,16,0)+VLOOKUP(D440,'Species Codes'!B:R,17,0)*((E440*2.54)^VLOOKUP(D440,'Species Codes'!B:S,18,0)))),IF(OR(D440="BM",D440="MD",D440="OA"),EXP(VLOOKUP(D440,'Species Codes'!B:O,14,0)+VLOOKUP(D440,'Species Codes'!B:P,15,0)*LN((E440*2.54)))*(1-(1/(VLOOKUP(D440,'Species Codes'!B:Q,16,0)+VLOOKUP(D440,'Species Codes'!B:R,17,0)*((E440*2.54)^VLOOKUP(D440,'Species Codes'!B:S,18,0)))))/1000,IF(D440="DF",EXP(VLOOKUP(D440,'Species Codes'!B:O,14,0)+VLOOKUP(D440,'Species Codes'!B:P,15,0)*LN((E440*2.54))),VLOOKUP(D440,'Species Codes'!B:O,14,0)+VLOOKUP(D440,'Species Codes'!B:P,15,0)*(((E440*2.54)/100)^2)*(I440*0.3048)))))*0.0011023),0)</f>
        <v>#N/A</v>
      </c>
      <c r="AD440" s="104" t="e">
        <f t="shared" si="220"/>
        <v>#N/A</v>
      </c>
      <c r="AE440" s="104" t="e">
        <f t="shared" si="221"/>
        <v>#N/A</v>
      </c>
      <c r="AF440" s="104" t="e">
        <f>IF(AND(VLOOKUP($D440,Merchantability!$B:$C,2,0)="Yes",$E440&gt;=VLOOKUP($D440,Merchantability!$B:$D,3,0),$E440&lt;=VLOOKUP($D440,Merchantability!$B:$E,4,0)),AA440,0)</f>
        <v>#N/A</v>
      </c>
      <c r="AG440" s="104" t="e">
        <f>IF(AND(VLOOKUP($D440,Merchantability!$B:$C,2,0)="Yes",$E440&gt;=VLOOKUP($D440,Merchantability!$B:$D,3,0),$E440&lt;=VLOOKUP($D440,Merchantability!$B:$E,4,0)),AB440,0)</f>
        <v>#N/A</v>
      </c>
      <c r="AH440" s="104" t="e">
        <f>IF(AND(VLOOKUP($D440,Merchantability!$B:$C,2,0)="Yes",$E440&gt;=VLOOKUP($D440,Merchantability!$B:$D,3,0),$E440&lt;=VLOOKUP($D440,Merchantability!$B:$E,4,0)),AC440,0)</f>
        <v>#N/A</v>
      </c>
      <c r="AI440" s="104" t="e">
        <f t="shared" si="222"/>
        <v>#N/A</v>
      </c>
      <c r="AJ440" s="104" t="e">
        <f t="shared" si="223"/>
        <v>#VALUE!</v>
      </c>
      <c r="AK440" s="104" t="e">
        <f t="shared" si="224"/>
        <v>#N/A</v>
      </c>
      <c r="AL440" s="104" t="e">
        <f t="shared" si="225"/>
        <v>#N/A</v>
      </c>
      <c r="AM440" s="104" t="e">
        <f t="shared" si="226"/>
        <v>#N/A</v>
      </c>
      <c r="AN440" s="104" t="e">
        <f t="shared" si="210"/>
        <v>#N/A</v>
      </c>
      <c r="AO440" s="104" t="e">
        <f t="shared" si="211"/>
        <v>#N/A</v>
      </c>
      <c r="AP440" s="104" t="e">
        <f t="shared" si="212"/>
        <v>#N/A</v>
      </c>
      <c r="AQ440" s="104" t="e">
        <f t="shared" si="213"/>
        <v>#N/A</v>
      </c>
      <c r="AR440" s="105" t="str">
        <f t="shared" si="205"/>
        <v/>
      </c>
      <c r="AS440" s="105" t="str">
        <f t="shared" si="206"/>
        <v/>
      </c>
      <c r="AT440" s="108" t="str">
        <f t="shared" si="207"/>
        <v/>
      </c>
      <c r="AU440" s="108" t="str">
        <f t="shared" si="208"/>
        <v/>
      </c>
      <c r="AV440" s="107" t="str">
        <f>IF(ISNUMBER(O440),IF(VLOOKUP($A440,Stand!C:J,8,FALSE)="Short",AT440,AU440),"")</f>
        <v/>
      </c>
      <c r="AW440" s="109" t="str">
        <f t="shared" si="214"/>
        <v/>
      </c>
      <c r="AX440" s="109" t="str">
        <f t="shared" si="215"/>
        <v/>
      </c>
      <c r="AY440" s="112" t="str">
        <f>IF(ISNUMBER(O440),IF(AND(VLOOKUP($D440,Merchantability!$B:$C,2,0)="Yes",$E440&gt;=VLOOKUP($D440,Merchantability!$B:$D,3,0),$E440&lt;=VLOOKUP($D440,Merchantability!$B:$E,4,0)),(AV440*O440)*(1-$H440/100),""),"")</f>
        <v/>
      </c>
      <c r="AZ440" s="116"/>
      <c r="BA440" s="116"/>
      <c r="BB440" s="116"/>
      <c r="BE440" s="62"/>
      <c r="BF440" s="63"/>
    </row>
    <row r="441" spans="1:58" ht="12.75" customHeight="1" x14ac:dyDescent="0.25">
      <c r="A441" s="313"/>
      <c r="B441" s="328"/>
      <c r="C441" s="329"/>
      <c r="D441" s="328"/>
      <c r="E441" s="330"/>
      <c r="F441" s="331"/>
      <c r="G441" s="329"/>
      <c r="H441" s="329"/>
      <c r="I441" s="328"/>
      <c r="J441" s="329"/>
      <c r="K441" s="329"/>
      <c r="L441" s="329"/>
      <c r="M441" s="76"/>
      <c r="N441" s="103" t="str">
        <f>IF(A441="","",VLOOKUP(A441,Stand!C:K,9,0))</f>
        <v/>
      </c>
      <c r="O441" s="104" t="str">
        <f t="shared" si="200"/>
        <v/>
      </c>
      <c r="P441" s="105" t="str">
        <f t="shared" si="201"/>
        <v/>
      </c>
      <c r="Q441" s="105" t="str">
        <f t="shared" si="216"/>
        <v/>
      </c>
      <c r="R441" s="103" t="str">
        <f t="shared" si="202"/>
        <v/>
      </c>
      <c r="S441" s="103" t="str">
        <f t="shared" si="203"/>
        <v/>
      </c>
      <c r="T441" s="106" t="str">
        <f t="shared" si="217"/>
        <v/>
      </c>
      <c r="U441" s="106" t="str">
        <f t="shared" si="218"/>
        <v/>
      </c>
      <c r="V441" s="106" t="str">
        <f t="shared" si="219"/>
        <v/>
      </c>
      <c r="W441" s="105" t="str">
        <f t="shared" si="204"/>
        <v/>
      </c>
      <c r="X441" s="104" t="str">
        <f t="shared" si="209"/>
        <v/>
      </c>
      <c r="Y441" s="104" t="str">
        <f t="array" ref="Y441">IFERROR(IF(ISNUMBER(O441),IF(COUNT(IF(A441=$A$2:$A$2427,IF(D441=$D$2:$D$2427,IF($X$2:$X$2427&gt;0,1))))&gt;0,SUM(IF(A441=$A$2:$A$2427,IF(D441=$D$2:$D$2427,$X$2:$X$2427)))/COUNT(IF(A441=$A$2:$A$2427,IF(D441=$D$2:$D$2427,IF(ISNUMBER($X$2:$X$2427),1)))),0),""),0)</f>
        <v/>
      </c>
      <c r="Z441" s="104" t="str">
        <f>IF(ISNUMBER(O441),IF(I441&gt;0,(10^(VLOOKUP(D441,'Species Codes'!B:C,2,0)+VLOOKUP(D441,'Species Codes'!B:D,3,0)*LOG(E441)+VLOOKUP(D441,'Species Codes'!B:E,4,0)*LOG(I441))),0),"")</f>
        <v/>
      </c>
      <c r="AA441" s="104" t="str">
        <f>IFERROR((VLOOKUP(D441,'Species Codes'!B:G,6,0)*Z441)/2000,"")</f>
        <v/>
      </c>
      <c r="AB441" s="104" t="e">
        <f>IF(Z441&gt;0,((IF(OR(D441="DF",D441="RA")=TRUE,EXP(VLOOKUP(D441,'Species Codes'!B:I,8,0)+VLOOKUP(D441,'Species Codes'!B:J,9,0)*(LN((E441*2.54)))),IF(OR(D441="PY",D441="RC",D441="WH",D441="NF")=TRUE,VLOOKUP(D441,'Species Codes'!B:I,8,0)+VLOOKUP(D441,'Species Codes'!B:J,9,0)*((E441*2.54)^2)*(I441*0.3048),IF(OR(D441="MD",D441="BM",D441="GA")=TRUE,((VLOOKUP(D441,'Species Codes'!B:I,8,0)*(((((E441*2.54)+VLOOKUP(D441,'Species Codes'!B:J,9,0))/VLOOKUP(D441,'Species Codes'!B:K,10,0))^VLOOKUP(D441,'Species Codes'!B:L,11,0))*((I441*0.3048)^VLOOKUP(D441,'Species Codes'!B:M,12,0))))-(VLOOKUP(D441,'Species Codes'!B:I,8,0)*((((E441*2.54)^VLOOKUP(D441,'Species Codes'!B:L,11,0))*((I441*0.3048)^VLOOKUP(D441,'Species Codes'!B:M,12,0))))))*35.3*VLOOKUP(D441,'Species Codes'!B:G,6,0)/2.2046,VLOOKUP(D441,'Species Codes'!B:I,8,0)+VLOOKUP(D441,'Species Codes'!B:J,9,0)*(((E441*2.54)/100)^2)*(I441*0.3048)))))*0.0011023),0)</f>
        <v>#N/A</v>
      </c>
      <c r="AC441" s="104" t="e">
        <f>IF(Z441&gt;0,((IF(OR(D441="RA",D441="OA",D441="OT",D441="UN",D441="PC"),EXP(VLOOKUP(D441,'Species Codes'!B:O,14,0)+VLOOKUP(D441,'Species Codes'!B:P,15,0)*LN((E441*2.54)))-EXP(VLOOKUP(D441,'Species Codes'!B:O,14,0)+VLOOKUP(D441,'Species Codes'!B:P,15,0)*LN((E441*2.54)))*(1/(VLOOKUP(D441,'Species Codes'!B:Q,16,0)+VLOOKUP(D441,'Species Codes'!B:R,17,0)*((E441*2.54)^VLOOKUP(D441,'Species Codes'!B:S,18,0)))),IF(OR(D441="BM",D441="MD",D441="OA"),EXP(VLOOKUP(D441,'Species Codes'!B:O,14,0)+VLOOKUP(D441,'Species Codes'!B:P,15,0)*LN((E441*2.54)))*(1-(1/(VLOOKUP(D441,'Species Codes'!B:Q,16,0)+VLOOKUP(D441,'Species Codes'!B:R,17,0)*((E441*2.54)^VLOOKUP(D441,'Species Codes'!B:S,18,0)))))/1000,IF(D441="DF",EXP(VLOOKUP(D441,'Species Codes'!B:O,14,0)+VLOOKUP(D441,'Species Codes'!B:P,15,0)*LN((E441*2.54))),VLOOKUP(D441,'Species Codes'!B:O,14,0)+VLOOKUP(D441,'Species Codes'!B:P,15,0)*(((E441*2.54)/100)^2)*(I441*0.3048)))))*0.0011023),0)</f>
        <v>#N/A</v>
      </c>
      <c r="AD441" s="104" t="e">
        <f t="shared" si="220"/>
        <v>#N/A</v>
      </c>
      <c r="AE441" s="104" t="e">
        <f t="shared" si="221"/>
        <v>#N/A</v>
      </c>
      <c r="AF441" s="104" t="e">
        <f>IF(AND(VLOOKUP($D441,Merchantability!$B:$C,2,0)="Yes",$E441&gt;=VLOOKUP($D441,Merchantability!$B:$D,3,0),$E441&lt;=VLOOKUP($D441,Merchantability!$B:$E,4,0)),AA441,0)</f>
        <v>#N/A</v>
      </c>
      <c r="AG441" s="104" t="e">
        <f>IF(AND(VLOOKUP($D441,Merchantability!$B:$C,2,0)="Yes",$E441&gt;=VLOOKUP($D441,Merchantability!$B:$D,3,0),$E441&lt;=VLOOKUP($D441,Merchantability!$B:$E,4,0)),AB441,0)</f>
        <v>#N/A</v>
      </c>
      <c r="AH441" s="104" t="e">
        <f>IF(AND(VLOOKUP($D441,Merchantability!$B:$C,2,0)="Yes",$E441&gt;=VLOOKUP($D441,Merchantability!$B:$D,3,0),$E441&lt;=VLOOKUP($D441,Merchantability!$B:$E,4,0)),AC441,0)</f>
        <v>#N/A</v>
      </c>
      <c r="AI441" s="104" t="e">
        <f t="shared" si="222"/>
        <v>#N/A</v>
      </c>
      <c r="AJ441" s="104" t="e">
        <f t="shared" si="223"/>
        <v>#VALUE!</v>
      </c>
      <c r="AK441" s="104" t="e">
        <f t="shared" si="224"/>
        <v>#N/A</v>
      </c>
      <c r="AL441" s="104" t="e">
        <f t="shared" si="225"/>
        <v>#N/A</v>
      </c>
      <c r="AM441" s="104" t="e">
        <f t="shared" si="226"/>
        <v>#N/A</v>
      </c>
      <c r="AN441" s="104" t="e">
        <f t="shared" si="210"/>
        <v>#N/A</v>
      </c>
      <c r="AO441" s="104" t="e">
        <f t="shared" si="211"/>
        <v>#N/A</v>
      </c>
      <c r="AP441" s="104" t="e">
        <f t="shared" si="212"/>
        <v>#N/A</v>
      </c>
      <c r="AQ441" s="104" t="e">
        <f t="shared" si="213"/>
        <v>#N/A</v>
      </c>
      <c r="AR441" s="105" t="str">
        <f t="shared" si="205"/>
        <v/>
      </c>
      <c r="AS441" s="105" t="str">
        <f t="shared" si="206"/>
        <v/>
      </c>
      <c r="AT441" s="108" t="str">
        <f t="shared" si="207"/>
        <v/>
      </c>
      <c r="AU441" s="108" t="str">
        <f t="shared" si="208"/>
        <v/>
      </c>
      <c r="AV441" s="107" t="str">
        <f>IF(ISNUMBER(O441),IF(VLOOKUP($A441,Stand!C:J,8,FALSE)="Short",AT441,AU441),"")</f>
        <v/>
      </c>
      <c r="AW441" s="109" t="str">
        <f t="shared" si="214"/>
        <v/>
      </c>
      <c r="AX441" s="109" t="str">
        <f t="shared" si="215"/>
        <v/>
      </c>
      <c r="AY441" s="112" t="str">
        <f>IF(ISNUMBER(O441),IF(AND(VLOOKUP($D441,Merchantability!$B:$C,2,0)="Yes",$E441&gt;=VLOOKUP($D441,Merchantability!$B:$D,3,0),$E441&lt;=VLOOKUP($D441,Merchantability!$B:$E,4,0)),(AV441*O441)*(1-$H441/100),""),"")</f>
        <v/>
      </c>
      <c r="AZ441" s="116"/>
      <c r="BA441" s="116"/>
      <c r="BB441" s="116"/>
      <c r="BE441" s="62"/>
      <c r="BF441" s="63"/>
    </row>
    <row r="442" spans="1:58" ht="12.75" customHeight="1" x14ac:dyDescent="0.25">
      <c r="A442" s="313"/>
      <c r="B442" s="328"/>
      <c r="C442" s="329"/>
      <c r="D442" s="328"/>
      <c r="E442" s="330"/>
      <c r="F442" s="331"/>
      <c r="G442" s="329"/>
      <c r="H442" s="329"/>
      <c r="I442" s="328"/>
      <c r="J442" s="329"/>
      <c r="K442" s="329"/>
      <c r="L442" s="329"/>
      <c r="M442" s="76"/>
      <c r="N442" s="103" t="str">
        <f>IF(A442="","",VLOOKUP(A442,Stand!C:K,9,0))</f>
        <v/>
      </c>
      <c r="O442" s="104" t="str">
        <f t="shared" si="200"/>
        <v/>
      </c>
      <c r="P442" s="105" t="str">
        <f t="shared" si="201"/>
        <v/>
      </c>
      <c r="Q442" s="105" t="str">
        <f t="shared" si="216"/>
        <v/>
      </c>
      <c r="R442" s="103" t="str">
        <f t="shared" si="202"/>
        <v/>
      </c>
      <c r="S442" s="103" t="str">
        <f t="shared" si="203"/>
        <v/>
      </c>
      <c r="T442" s="106" t="str">
        <f t="shared" si="217"/>
        <v/>
      </c>
      <c r="U442" s="106" t="str">
        <f t="shared" si="218"/>
        <v/>
      </c>
      <c r="V442" s="106" t="str">
        <f t="shared" si="219"/>
        <v/>
      </c>
      <c r="W442" s="105" t="str">
        <f t="shared" si="204"/>
        <v/>
      </c>
      <c r="X442" s="104" t="str">
        <f t="shared" si="209"/>
        <v/>
      </c>
      <c r="Y442" s="104" t="str">
        <f t="array" ref="Y442">IFERROR(IF(ISNUMBER(O442),IF(COUNT(IF(A442=$A$2:$A$2427,IF(D442=$D$2:$D$2427,IF($X$2:$X$2427&gt;0,1))))&gt;0,SUM(IF(A442=$A$2:$A$2427,IF(D442=$D$2:$D$2427,$X$2:$X$2427)))/COUNT(IF(A442=$A$2:$A$2427,IF(D442=$D$2:$D$2427,IF(ISNUMBER($X$2:$X$2427),1)))),0),""),0)</f>
        <v/>
      </c>
      <c r="Z442" s="104" t="str">
        <f>IF(ISNUMBER(O442),IF(I442&gt;0,(10^(VLOOKUP(D442,'Species Codes'!B:C,2,0)+VLOOKUP(D442,'Species Codes'!B:D,3,0)*LOG(E442)+VLOOKUP(D442,'Species Codes'!B:E,4,0)*LOG(I442))),0),"")</f>
        <v/>
      </c>
      <c r="AA442" s="104" t="str">
        <f>IFERROR((VLOOKUP(D442,'Species Codes'!B:G,6,0)*Z442)/2000,"")</f>
        <v/>
      </c>
      <c r="AB442" s="104" t="e">
        <f>IF(Z442&gt;0,((IF(OR(D442="DF",D442="RA")=TRUE,EXP(VLOOKUP(D442,'Species Codes'!B:I,8,0)+VLOOKUP(D442,'Species Codes'!B:J,9,0)*(LN((E442*2.54)))),IF(OR(D442="PY",D442="RC",D442="WH",D442="NF")=TRUE,VLOOKUP(D442,'Species Codes'!B:I,8,0)+VLOOKUP(D442,'Species Codes'!B:J,9,0)*((E442*2.54)^2)*(I442*0.3048),IF(OR(D442="MD",D442="BM",D442="GA")=TRUE,((VLOOKUP(D442,'Species Codes'!B:I,8,0)*(((((E442*2.54)+VLOOKUP(D442,'Species Codes'!B:J,9,0))/VLOOKUP(D442,'Species Codes'!B:K,10,0))^VLOOKUP(D442,'Species Codes'!B:L,11,0))*((I442*0.3048)^VLOOKUP(D442,'Species Codes'!B:M,12,0))))-(VLOOKUP(D442,'Species Codes'!B:I,8,0)*((((E442*2.54)^VLOOKUP(D442,'Species Codes'!B:L,11,0))*((I442*0.3048)^VLOOKUP(D442,'Species Codes'!B:M,12,0))))))*35.3*VLOOKUP(D442,'Species Codes'!B:G,6,0)/2.2046,VLOOKUP(D442,'Species Codes'!B:I,8,0)+VLOOKUP(D442,'Species Codes'!B:J,9,0)*(((E442*2.54)/100)^2)*(I442*0.3048)))))*0.0011023),0)</f>
        <v>#N/A</v>
      </c>
      <c r="AC442" s="104" t="e">
        <f>IF(Z442&gt;0,((IF(OR(D442="RA",D442="OA",D442="OT",D442="UN",D442="PC"),EXP(VLOOKUP(D442,'Species Codes'!B:O,14,0)+VLOOKUP(D442,'Species Codes'!B:P,15,0)*LN((E442*2.54)))-EXP(VLOOKUP(D442,'Species Codes'!B:O,14,0)+VLOOKUP(D442,'Species Codes'!B:P,15,0)*LN((E442*2.54)))*(1/(VLOOKUP(D442,'Species Codes'!B:Q,16,0)+VLOOKUP(D442,'Species Codes'!B:R,17,0)*((E442*2.54)^VLOOKUP(D442,'Species Codes'!B:S,18,0)))),IF(OR(D442="BM",D442="MD",D442="OA"),EXP(VLOOKUP(D442,'Species Codes'!B:O,14,0)+VLOOKUP(D442,'Species Codes'!B:P,15,0)*LN((E442*2.54)))*(1-(1/(VLOOKUP(D442,'Species Codes'!B:Q,16,0)+VLOOKUP(D442,'Species Codes'!B:R,17,0)*((E442*2.54)^VLOOKUP(D442,'Species Codes'!B:S,18,0)))))/1000,IF(D442="DF",EXP(VLOOKUP(D442,'Species Codes'!B:O,14,0)+VLOOKUP(D442,'Species Codes'!B:P,15,0)*LN((E442*2.54))),VLOOKUP(D442,'Species Codes'!B:O,14,0)+VLOOKUP(D442,'Species Codes'!B:P,15,0)*(((E442*2.54)/100)^2)*(I442*0.3048)))))*0.0011023),0)</f>
        <v>#N/A</v>
      </c>
      <c r="AD442" s="104" t="e">
        <f t="shared" si="220"/>
        <v>#N/A</v>
      </c>
      <c r="AE442" s="104" t="e">
        <f t="shared" si="221"/>
        <v>#N/A</v>
      </c>
      <c r="AF442" s="104" t="e">
        <f>IF(AND(VLOOKUP($D442,Merchantability!$B:$C,2,0)="Yes",$E442&gt;=VLOOKUP($D442,Merchantability!$B:$D,3,0),$E442&lt;=VLOOKUP($D442,Merchantability!$B:$E,4,0)),AA442,0)</f>
        <v>#N/A</v>
      </c>
      <c r="AG442" s="104" t="e">
        <f>IF(AND(VLOOKUP($D442,Merchantability!$B:$C,2,0)="Yes",$E442&gt;=VLOOKUP($D442,Merchantability!$B:$D,3,0),$E442&lt;=VLOOKUP($D442,Merchantability!$B:$E,4,0)),AB442,0)</f>
        <v>#N/A</v>
      </c>
      <c r="AH442" s="104" t="e">
        <f>IF(AND(VLOOKUP($D442,Merchantability!$B:$C,2,0)="Yes",$E442&gt;=VLOOKUP($D442,Merchantability!$B:$D,3,0),$E442&lt;=VLOOKUP($D442,Merchantability!$B:$E,4,0)),AC442,0)</f>
        <v>#N/A</v>
      </c>
      <c r="AI442" s="104" t="e">
        <f t="shared" si="222"/>
        <v>#N/A</v>
      </c>
      <c r="AJ442" s="104" t="e">
        <f t="shared" si="223"/>
        <v>#VALUE!</v>
      </c>
      <c r="AK442" s="104" t="e">
        <f t="shared" si="224"/>
        <v>#N/A</v>
      </c>
      <c r="AL442" s="104" t="e">
        <f t="shared" si="225"/>
        <v>#N/A</v>
      </c>
      <c r="AM442" s="104" t="e">
        <f t="shared" si="226"/>
        <v>#N/A</v>
      </c>
      <c r="AN442" s="104" t="e">
        <f t="shared" si="210"/>
        <v>#N/A</v>
      </c>
      <c r="AO442" s="104" t="e">
        <f t="shared" si="211"/>
        <v>#N/A</v>
      </c>
      <c r="AP442" s="104" t="e">
        <f t="shared" si="212"/>
        <v>#N/A</v>
      </c>
      <c r="AQ442" s="104" t="e">
        <f t="shared" si="213"/>
        <v>#N/A</v>
      </c>
      <c r="AR442" s="105" t="str">
        <f t="shared" si="205"/>
        <v/>
      </c>
      <c r="AS442" s="105" t="str">
        <f t="shared" si="206"/>
        <v/>
      </c>
      <c r="AT442" s="108" t="str">
        <f t="shared" si="207"/>
        <v/>
      </c>
      <c r="AU442" s="108" t="str">
        <f t="shared" si="208"/>
        <v/>
      </c>
      <c r="AV442" s="107" t="str">
        <f>IF(ISNUMBER(O442),IF(VLOOKUP($A442,Stand!C:J,8,FALSE)="Short",AT442,AU442),"")</f>
        <v/>
      </c>
      <c r="AW442" s="109" t="str">
        <f t="shared" si="214"/>
        <v/>
      </c>
      <c r="AX442" s="109" t="str">
        <f t="shared" si="215"/>
        <v/>
      </c>
      <c r="AY442" s="112" t="str">
        <f>IF(ISNUMBER(O442),IF(AND(VLOOKUP($D442,Merchantability!$B:$C,2,0)="Yes",$E442&gt;=VLOOKUP($D442,Merchantability!$B:$D,3,0),$E442&lt;=VLOOKUP($D442,Merchantability!$B:$E,4,0)),(AV442*O442)*(1-$H442/100),""),"")</f>
        <v/>
      </c>
      <c r="AZ442" s="116"/>
      <c r="BA442" s="116"/>
      <c r="BB442" s="116"/>
      <c r="BE442" s="62"/>
      <c r="BF442" s="63"/>
    </row>
    <row r="443" spans="1:58" ht="12.75" customHeight="1" x14ac:dyDescent="0.25">
      <c r="A443" s="313"/>
      <c r="B443" s="328"/>
      <c r="C443" s="329"/>
      <c r="D443" s="328"/>
      <c r="E443" s="330"/>
      <c r="F443" s="331"/>
      <c r="G443" s="329"/>
      <c r="H443" s="329"/>
      <c r="I443" s="328"/>
      <c r="J443" s="329"/>
      <c r="K443" s="329"/>
      <c r="L443" s="329"/>
      <c r="M443" s="76"/>
      <c r="N443" s="103" t="str">
        <f>IF(A443="","",VLOOKUP(A443,Stand!C:K,9,0))</f>
        <v/>
      </c>
      <c r="O443" s="104" t="str">
        <f t="shared" si="200"/>
        <v/>
      </c>
      <c r="P443" s="105" t="str">
        <f t="shared" si="201"/>
        <v/>
      </c>
      <c r="Q443" s="105" t="str">
        <f t="shared" si="216"/>
        <v/>
      </c>
      <c r="R443" s="103" t="str">
        <f t="shared" si="202"/>
        <v/>
      </c>
      <c r="S443" s="103" t="str">
        <f t="shared" si="203"/>
        <v/>
      </c>
      <c r="T443" s="106" t="str">
        <f t="shared" si="217"/>
        <v/>
      </c>
      <c r="U443" s="106" t="str">
        <f t="shared" si="218"/>
        <v/>
      </c>
      <c r="V443" s="106" t="str">
        <f t="shared" si="219"/>
        <v/>
      </c>
      <c r="W443" s="105" t="str">
        <f t="shared" si="204"/>
        <v/>
      </c>
      <c r="X443" s="104" t="str">
        <f t="shared" si="209"/>
        <v/>
      </c>
      <c r="Y443" s="104" t="str">
        <f t="array" ref="Y443">IFERROR(IF(ISNUMBER(O443),IF(COUNT(IF(A443=$A$2:$A$2427,IF(D443=$D$2:$D$2427,IF($X$2:$X$2427&gt;0,1))))&gt;0,SUM(IF(A443=$A$2:$A$2427,IF(D443=$D$2:$D$2427,$X$2:$X$2427)))/COUNT(IF(A443=$A$2:$A$2427,IF(D443=$D$2:$D$2427,IF(ISNUMBER($X$2:$X$2427),1)))),0),""),0)</f>
        <v/>
      </c>
      <c r="Z443" s="104" t="str">
        <f>IF(ISNUMBER(O443),IF(I443&gt;0,(10^(VLOOKUP(D443,'Species Codes'!B:C,2,0)+VLOOKUP(D443,'Species Codes'!B:D,3,0)*LOG(E443)+VLOOKUP(D443,'Species Codes'!B:E,4,0)*LOG(I443))),0),"")</f>
        <v/>
      </c>
      <c r="AA443" s="104" t="str">
        <f>IFERROR((VLOOKUP(D443,'Species Codes'!B:G,6,0)*Z443)/2000,"")</f>
        <v/>
      </c>
      <c r="AB443" s="104" t="e">
        <f>IF(Z443&gt;0,((IF(OR(D443="DF",D443="RA")=TRUE,EXP(VLOOKUP(D443,'Species Codes'!B:I,8,0)+VLOOKUP(D443,'Species Codes'!B:J,9,0)*(LN((E443*2.54)))),IF(OR(D443="PY",D443="RC",D443="WH",D443="NF")=TRUE,VLOOKUP(D443,'Species Codes'!B:I,8,0)+VLOOKUP(D443,'Species Codes'!B:J,9,0)*((E443*2.54)^2)*(I443*0.3048),IF(OR(D443="MD",D443="BM",D443="GA")=TRUE,((VLOOKUP(D443,'Species Codes'!B:I,8,0)*(((((E443*2.54)+VLOOKUP(D443,'Species Codes'!B:J,9,0))/VLOOKUP(D443,'Species Codes'!B:K,10,0))^VLOOKUP(D443,'Species Codes'!B:L,11,0))*((I443*0.3048)^VLOOKUP(D443,'Species Codes'!B:M,12,0))))-(VLOOKUP(D443,'Species Codes'!B:I,8,0)*((((E443*2.54)^VLOOKUP(D443,'Species Codes'!B:L,11,0))*((I443*0.3048)^VLOOKUP(D443,'Species Codes'!B:M,12,0))))))*35.3*VLOOKUP(D443,'Species Codes'!B:G,6,0)/2.2046,VLOOKUP(D443,'Species Codes'!B:I,8,0)+VLOOKUP(D443,'Species Codes'!B:J,9,0)*(((E443*2.54)/100)^2)*(I443*0.3048)))))*0.0011023),0)</f>
        <v>#N/A</v>
      </c>
      <c r="AC443" s="104" t="e">
        <f>IF(Z443&gt;0,((IF(OR(D443="RA",D443="OA",D443="OT",D443="UN",D443="PC"),EXP(VLOOKUP(D443,'Species Codes'!B:O,14,0)+VLOOKUP(D443,'Species Codes'!B:P,15,0)*LN((E443*2.54)))-EXP(VLOOKUP(D443,'Species Codes'!B:O,14,0)+VLOOKUP(D443,'Species Codes'!B:P,15,0)*LN((E443*2.54)))*(1/(VLOOKUP(D443,'Species Codes'!B:Q,16,0)+VLOOKUP(D443,'Species Codes'!B:R,17,0)*((E443*2.54)^VLOOKUP(D443,'Species Codes'!B:S,18,0)))),IF(OR(D443="BM",D443="MD",D443="OA"),EXP(VLOOKUP(D443,'Species Codes'!B:O,14,0)+VLOOKUP(D443,'Species Codes'!B:P,15,0)*LN((E443*2.54)))*(1-(1/(VLOOKUP(D443,'Species Codes'!B:Q,16,0)+VLOOKUP(D443,'Species Codes'!B:R,17,0)*((E443*2.54)^VLOOKUP(D443,'Species Codes'!B:S,18,0)))))/1000,IF(D443="DF",EXP(VLOOKUP(D443,'Species Codes'!B:O,14,0)+VLOOKUP(D443,'Species Codes'!B:P,15,0)*LN((E443*2.54))),VLOOKUP(D443,'Species Codes'!B:O,14,0)+VLOOKUP(D443,'Species Codes'!B:P,15,0)*(((E443*2.54)/100)^2)*(I443*0.3048)))))*0.0011023),0)</f>
        <v>#N/A</v>
      </c>
      <c r="AD443" s="104" t="e">
        <f t="shared" si="220"/>
        <v>#N/A</v>
      </c>
      <c r="AE443" s="104" t="e">
        <f t="shared" si="221"/>
        <v>#N/A</v>
      </c>
      <c r="AF443" s="104" t="e">
        <f>IF(AND(VLOOKUP($D443,Merchantability!$B:$C,2,0)="Yes",$E443&gt;=VLOOKUP($D443,Merchantability!$B:$D,3,0),$E443&lt;=VLOOKUP($D443,Merchantability!$B:$E,4,0)),AA443,0)</f>
        <v>#N/A</v>
      </c>
      <c r="AG443" s="104" t="e">
        <f>IF(AND(VLOOKUP($D443,Merchantability!$B:$C,2,0)="Yes",$E443&gt;=VLOOKUP($D443,Merchantability!$B:$D,3,0),$E443&lt;=VLOOKUP($D443,Merchantability!$B:$E,4,0)),AB443,0)</f>
        <v>#N/A</v>
      </c>
      <c r="AH443" s="104" t="e">
        <f>IF(AND(VLOOKUP($D443,Merchantability!$B:$C,2,0)="Yes",$E443&gt;=VLOOKUP($D443,Merchantability!$B:$D,3,0),$E443&lt;=VLOOKUP($D443,Merchantability!$B:$E,4,0)),AC443,0)</f>
        <v>#N/A</v>
      </c>
      <c r="AI443" s="104" t="e">
        <f t="shared" si="222"/>
        <v>#N/A</v>
      </c>
      <c r="AJ443" s="104" t="e">
        <f t="shared" si="223"/>
        <v>#VALUE!</v>
      </c>
      <c r="AK443" s="104" t="e">
        <f t="shared" si="224"/>
        <v>#N/A</v>
      </c>
      <c r="AL443" s="104" t="e">
        <f t="shared" si="225"/>
        <v>#N/A</v>
      </c>
      <c r="AM443" s="104" t="e">
        <f t="shared" si="226"/>
        <v>#N/A</v>
      </c>
      <c r="AN443" s="104" t="e">
        <f t="shared" si="210"/>
        <v>#N/A</v>
      </c>
      <c r="AO443" s="104" t="e">
        <f t="shared" si="211"/>
        <v>#N/A</v>
      </c>
      <c r="AP443" s="104" t="e">
        <f t="shared" si="212"/>
        <v>#N/A</v>
      </c>
      <c r="AQ443" s="104" t="e">
        <f t="shared" si="213"/>
        <v>#N/A</v>
      </c>
      <c r="AR443" s="105" t="str">
        <f t="shared" si="205"/>
        <v/>
      </c>
      <c r="AS443" s="105" t="str">
        <f t="shared" si="206"/>
        <v/>
      </c>
      <c r="AT443" s="108" t="str">
        <f t="shared" si="207"/>
        <v/>
      </c>
      <c r="AU443" s="108" t="str">
        <f t="shared" si="208"/>
        <v/>
      </c>
      <c r="AV443" s="107" t="str">
        <f>IF(ISNUMBER(O443),IF(VLOOKUP($A443,Stand!C:J,8,FALSE)="Short",AT443,AU443),"")</f>
        <v/>
      </c>
      <c r="AW443" s="109" t="str">
        <f t="shared" si="214"/>
        <v/>
      </c>
      <c r="AX443" s="109" t="str">
        <f t="shared" si="215"/>
        <v/>
      </c>
      <c r="AY443" s="112" t="str">
        <f>IF(ISNUMBER(O443),IF(AND(VLOOKUP($D443,Merchantability!$B:$C,2,0)="Yes",$E443&gt;=VLOOKUP($D443,Merchantability!$B:$D,3,0),$E443&lt;=VLOOKUP($D443,Merchantability!$B:$E,4,0)),(AV443*O443)*(1-$H443/100),""),"")</f>
        <v/>
      </c>
      <c r="AZ443" s="116"/>
      <c r="BA443" s="116"/>
      <c r="BB443" s="116"/>
      <c r="BE443" s="62"/>
      <c r="BF443" s="63"/>
    </row>
    <row r="444" spans="1:58" ht="12.75" customHeight="1" x14ac:dyDescent="0.25">
      <c r="A444" s="313"/>
      <c r="B444" s="328"/>
      <c r="C444" s="329"/>
      <c r="D444" s="328"/>
      <c r="E444" s="330"/>
      <c r="F444" s="331"/>
      <c r="G444" s="329"/>
      <c r="H444" s="329"/>
      <c r="I444" s="328"/>
      <c r="J444" s="329"/>
      <c r="K444" s="329"/>
      <c r="L444" s="329"/>
      <c r="M444" s="76"/>
      <c r="N444" s="103" t="str">
        <f>IF(A444="","",VLOOKUP(A444,Stand!C:K,9,0))</f>
        <v/>
      </c>
      <c r="O444" s="104" t="str">
        <f t="shared" si="200"/>
        <v/>
      </c>
      <c r="P444" s="105" t="str">
        <f t="shared" si="201"/>
        <v/>
      </c>
      <c r="Q444" s="105" t="str">
        <f t="shared" si="216"/>
        <v/>
      </c>
      <c r="R444" s="103" t="str">
        <f t="shared" si="202"/>
        <v/>
      </c>
      <c r="S444" s="103" t="str">
        <f t="shared" si="203"/>
        <v/>
      </c>
      <c r="T444" s="106" t="str">
        <f t="shared" si="217"/>
        <v/>
      </c>
      <c r="U444" s="106" t="str">
        <f t="shared" si="218"/>
        <v/>
      </c>
      <c r="V444" s="106" t="str">
        <f t="shared" si="219"/>
        <v/>
      </c>
      <c r="W444" s="105" t="str">
        <f t="shared" si="204"/>
        <v/>
      </c>
      <c r="X444" s="104" t="str">
        <f t="shared" si="209"/>
        <v/>
      </c>
      <c r="Y444" s="104" t="str">
        <f t="array" ref="Y444">IFERROR(IF(ISNUMBER(O444),IF(COUNT(IF(A444=$A$2:$A$2427,IF(D444=$D$2:$D$2427,IF($X$2:$X$2427&gt;0,1))))&gt;0,SUM(IF(A444=$A$2:$A$2427,IF(D444=$D$2:$D$2427,$X$2:$X$2427)))/COUNT(IF(A444=$A$2:$A$2427,IF(D444=$D$2:$D$2427,IF(ISNUMBER($X$2:$X$2427),1)))),0),""),0)</f>
        <v/>
      </c>
      <c r="Z444" s="104" t="str">
        <f>IF(ISNUMBER(O444),IF(I444&gt;0,(10^(VLOOKUP(D444,'Species Codes'!B:C,2,0)+VLOOKUP(D444,'Species Codes'!B:D,3,0)*LOG(E444)+VLOOKUP(D444,'Species Codes'!B:E,4,0)*LOG(I444))),0),"")</f>
        <v/>
      </c>
      <c r="AA444" s="104" t="str">
        <f>IFERROR((VLOOKUP(D444,'Species Codes'!B:G,6,0)*Z444)/2000,"")</f>
        <v/>
      </c>
      <c r="AB444" s="104" t="e">
        <f>IF(Z444&gt;0,((IF(OR(D444="DF",D444="RA")=TRUE,EXP(VLOOKUP(D444,'Species Codes'!B:I,8,0)+VLOOKUP(D444,'Species Codes'!B:J,9,0)*(LN((E444*2.54)))),IF(OR(D444="PY",D444="RC",D444="WH",D444="NF")=TRUE,VLOOKUP(D444,'Species Codes'!B:I,8,0)+VLOOKUP(D444,'Species Codes'!B:J,9,0)*((E444*2.54)^2)*(I444*0.3048),IF(OR(D444="MD",D444="BM",D444="GA")=TRUE,((VLOOKUP(D444,'Species Codes'!B:I,8,0)*(((((E444*2.54)+VLOOKUP(D444,'Species Codes'!B:J,9,0))/VLOOKUP(D444,'Species Codes'!B:K,10,0))^VLOOKUP(D444,'Species Codes'!B:L,11,0))*((I444*0.3048)^VLOOKUP(D444,'Species Codes'!B:M,12,0))))-(VLOOKUP(D444,'Species Codes'!B:I,8,0)*((((E444*2.54)^VLOOKUP(D444,'Species Codes'!B:L,11,0))*((I444*0.3048)^VLOOKUP(D444,'Species Codes'!B:M,12,0))))))*35.3*VLOOKUP(D444,'Species Codes'!B:G,6,0)/2.2046,VLOOKUP(D444,'Species Codes'!B:I,8,0)+VLOOKUP(D444,'Species Codes'!B:J,9,0)*(((E444*2.54)/100)^2)*(I444*0.3048)))))*0.0011023),0)</f>
        <v>#N/A</v>
      </c>
      <c r="AC444" s="104" t="e">
        <f>IF(Z444&gt;0,((IF(OR(D444="RA",D444="OA",D444="OT",D444="UN",D444="PC"),EXP(VLOOKUP(D444,'Species Codes'!B:O,14,0)+VLOOKUP(D444,'Species Codes'!B:P,15,0)*LN((E444*2.54)))-EXP(VLOOKUP(D444,'Species Codes'!B:O,14,0)+VLOOKUP(D444,'Species Codes'!B:P,15,0)*LN((E444*2.54)))*(1/(VLOOKUP(D444,'Species Codes'!B:Q,16,0)+VLOOKUP(D444,'Species Codes'!B:R,17,0)*((E444*2.54)^VLOOKUP(D444,'Species Codes'!B:S,18,0)))),IF(OR(D444="BM",D444="MD",D444="OA"),EXP(VLOOKUP(D444,'Species Codes'!B:O,14,0)+VLOOKUP(D444,'Species Codes'!B:P,15,0)*LN((E444*2.54)))*(1-(1/(VLOOKUP(D444,'Species Codes'!B:Q,16,0)+VLOOKUP(D444,'Species Codes'!B:R,17,0)*((E444*2.54)^VLOOKUP(D444,'Species Codes'!B:S,18,0)))))/1000,IF(D444="DF",EXP(VLOOKUP(D444,'Species Codes'!B:O,14,0)+VLOOKUP(D444,'Species Codes'!B:P,15,0)*LN((E444*2.54))),VLOOKUP(D444,'Species Codes'!B:O,14,0)+VLOOKUP(D444,'Species Codes'!B:P,15,0)*(((E444*2.54)/100)^2)*(I444*0.3048)))))*0.0011023),0)</f>
        <v>#N/A</v>
      </c>
      <c r="AD444" s="104" t="e">
        <f t="shared" si="220"/>
        <v>#N/A</v>
      </c>
      <c r="AE444" s="104" t="e">
        <f t="shared" si="221"/>
        <v>#N/A</v>
      </c>
      <c r="AF444" s="104" t="e">
        <f>IF(AND(VLOOKUP($D444,Merchantability!$B:$C,2,0)="Yes",$E444&gt;=VLOOKUP($D444,Merchantability!$B:$D,3,0),$E444&lt;=VLOOKUP($D444,Merchantability!$B:$E,4,0)),AA444,0)</f>
        <v>#N/A</v>
      </c>
      <c r="AG444" s="104" t="e">
        <f>IF(AND(VLOOKUP($D444,Merchantability!$B:$C,2,0)="Yes",$E444&gt;=VLOOKUP($D444,Merchantability!$B:$D,3,0),$E444&lt;=VLOOKUP($D444,Merchantability!$B:$E,4,0)),AB444,0)</f>
        <v>#N/A</v>
      </c>
      <c r="AH444" s="104" t="e">
        <f>IF(AND(VLOOKUP($D444,Merchantability!$B:$C,2,0)="Yes",$E444&gt;=VLOOKUP($D444,Merchantability!$B:$D,3,0),$E444&lt;=VLOOKUP($D444,Merchantability!$B:$E,4,0)),AC444,0)</f>
        <v>#N/A</v>
      </c>
      <c r="AI444" s="104" t="e">
        <f t="shared" si="222"/>
        <v>#N/A</v>
      </c>
      <c r="AJ444" s="104" t="e">
        <f t="shared" si="223"/>
        <v>#VALUE!</v>
      </c>
      <c r="AK444" s="104" t="e">
        <f t="shared" si="224"/>
        <v>#N/A</v>
      </c>
      <c r="AL444" s="104" t="e">
        <f t="shared" si="225"/>
        <v>#N/A</v>
      </c>
      <c r="AM444" s="104" t="e">
        <f t="shared" si="226"/>
        <v>#N/A</v>
      </c>
      <c r="AN444" s="104" t="e">
        <f t="shared" si="210"/>
        <v>#N/A</v>
      </c>
      <c r="AO444" s="104" t="e">
        <f t="shared" si="211"/>
        <v>#N/A</v>
      </c>
      <c r="AP444" s="104" t="e">
        <f t="shared" si="212"/>
        <v>#N/A</v>
      </c>
      <c r="AQ444" s="104" t="e">
        <f t="shared" si="213"/>
        <v>#N/A</v>
      </c>
      <c r="AR444" s="105" t="str">
        <f t="shared" si="205"/>
        <v/>
      </c>
      <c r="AS444" s="105" t="str">
        <f t="shared" si="206"/>
        <v/>
      </c>
      <c r="AT444" s="108" t="str">
        <f t="shared" si="207"/>
        <v/>
      </c>
      <c r="AU444" s="108" t="str">
        <f t="shared" si="208"/>
        <v/>
      </c>
      <c r="AV444" s="107" t="str">
        <f>IF(ISNUMBER(O444),IF(VLOOKUP($A444,Stand!C:J,8,FALSE)="Short",AT444,AU444),"")</f>
        <v/>
      </c>
      <c r="AW444" s="109" t="str">
        <f t="shared" si="214"/>
        <v/>
      </c>
      <c r="AX444" s="109" t="str">
        <f t="shared" si="215"/>
        <v/>
      </c>
      <c r="AY444" s="112" t="str">
        <f>IF(ISNUMBER(O444),IF(AND(VLOOKUP($D444,Merchantability!$B:$C,2,0)="Yes",$E444&gt;=VLOOKUP($D444,Merchantability!$B:$D,3,0),$E444&lt;=VLOOKUP($D444,Merchantability!$B:$E,4,0)),(AV444*O444)*(1-$H444/100),""),"")</f>
        <v/>
      </c>
      <c r="AZ444" s="116"/>
      <c r="BA444" s="116"/>
      <c r="BB444" s="116"/>
      <c r="BE444" s="62"/>
      <c r="BF444" s="63"/>
    </row>
    <row r="445" spans="1:58" ht="12.75" customHeight="1" x14ac:dyDescent="0.25">
      <c r="A445" s="313"/>
      <c r="B445" s="328"/>
      <c r="C445" s="329"/>
      <c r="D445" s="328"/>
      <c r="E445" s="330"/>
      <c r="F445" s="331"/>
      <c r="G445" s="329"/>
      <c r="H445" s="329"/>
      <c r="I445" s="328"/>
      <c r="J445" s="329"/>
      <c r="K445" s="329"/>
      <c r="L445" s="329"/>
      <c r="M445" s="76"/>
      <c r="N445" s="103" t="str">
        <f>IF(A445="","",VLOOKUP(A445,Stand!C:K,9,0))</f>
        <v/>
      </c>
      <c r="O445" s="104" t="str">
        <f t="shared" si="200"/>
        <v/>
      </c>
      <c r="P445" s="105" t="str">
        <f t="shared" si="201"/>
        <v/>
      </c>
      <c r="Q445" s="105" t="str">
        <f t="shared" si="216"/>
        <v/>
      </c>
      <c r="R445" s="103" t="str">
        <f t="shared" si="202"/>
        <v/>
      </c>
      <c r="S445" s="103" t="str">
        <f t="shared" si="203"/>
        <v/>
      </c>
      <c r="T445" s="106" t="str">
        <f t="shared" si="217"/>
        <v/>
      </c>
      <c r="U445" s="106" t="str">
        <f t="shared" si="218"/>
        <v/>
      </c>
      <c r="V445" s="106" t="str">
        <f t="shared" si="219"/>
        <v/>
      </c>
      <c r="W445" s="105" t="str">
        <f t="shared" si="204"/>
        <v/>
      </c>
      <c r="X445" s="104" t="str">
        <f t="shared" si="209"/>
        <v/>
      </c>
      <c r="Y445" s="104" t="str">
        <f t="array" ref="Y445">IFERROR(IF(ISNUMBER(O445),IF(COUNT(IF(A445=$A$2:$A$2427,IF(D445=$D$2:$D$2427,IF($X$2:$X$2427&gt;0,1))))&gt;0,SUM(IF(A445=$A$2:$A$2427,IF(D445=$D$2:$D$2427,$X$2:$X$2427)))/COUNT(IF(A445=$A$2:$A$2427,IF(D445=$D$2:$D$2427,IF(ISNUMBER($X$2:$X$2427),1)))),0),""),0)</f>
        <v/>
      </c>
      <c r="Z445" s="104" t="str">
        <f>IF(ISNUMBER(O445),IF(I445&gt;0,(10^(VLOOKUP(D445,'Species Codes'!B:C,2,0)+VLOOKUP(D445,'Species Codes'!B:D,3,0)*LOG(E445)+VLOOKUP(D445,'Species Codes'!B:E,4,0)*LOG(I445))),0),"")</f>
        <v/>
      </c>
      <c r="AA445" s="104" t="str">
        <f>IFERROR((VLOOKUP(D445,'Species Codes'!B:G,6,0)*Z445)/2000,"")</f>
        <v/>
      </c>
      <c r="AB445" s="104" t="e">
        <f>IF(Z445&gt;0,((IF(OR(D445="DF",D445="RA")=TRUE,EXP(VLOOKUP(D445,'Species Codes'!B:I,8,0)+VLOOKUP(D445,'Species Codes'!B:J,9,0)*(LN((E445*2.54)))),IF(OR(D445="PY",D445="RC",D445="WH",D445="NF")=TRUE,VLOOKUP(D445,'Species Codes'!B:I,8,0)+VLOOKUP(D445,'Species Codes'!B:J,9,0)*((E445*2.54)^2)*(I445*0.3048),IF(OR(D445="MD",D445="BM",D445="GA")=TRUE,((VLOOKUP(D445,'Species Codes'!B:I,8,0)*(((((E445*2.54)+VLOOKUP(D445,'Species Codes'!B:J,9,0))/VLOOKUP(D445,'Species Codes'!B:K,10,0))^VLOOKUP(D445,'Species Codes'!B:L,11,0))*((I445*0.3048)^VLOOKUP(D445,'Species Codes'!B:M,12,0))))-(VLOOKUP(D445,'Species Codes'!B:I,8,0)*((((E445*2.54)^VLOOKUP(D445,'Species Codes'!B:L,11,0))*((I445*0.3048)^VLOOKUP(D445,'Species Codes'!B:M,12,0))))))*35.3*VLOOKUP(D445,'Species Codes'!B:G,6,0)/2.2046,VLOOKUP(D445,'Species Codes'!B:I,8,0)+VLOOKUP(D445,'Species Codes'!B:J,9,0)*(((E445*2.54)/100)^2)*(I445*0.3048)))))*0.0011023),0)</f>
        <v>#N/A</v>
      </c>
      <c r="AC445" s="104" t="e">
        <f>IF(Z445&gt;0,((IF(OR(D445="RA",D445="OA",D445="OT",D445="UN",D445="PC"),EXP(VLOOKUP(D445,'Species Codes'!B:O,14,0)+VLOOKUP(D445,'Species Codes'!B:P,15,0)*LN((E445*2.54)))-EXP(VLOOKUP(D445,'Species Codes'!B:O,14,0)+VLOOKUP(D445,'Species Codes'!B:P,15,0)*LN((E445*2.54)))*(1/(VLOOKUP(D445,'Species Codes'!B:Q,16,0)+VLOOKUP(D445,'Species Codes'!B:R,17,0)*((E445*2.54)^VLOOKUP(D445,'Species Codes'!B:S,18,0)))),IF(OR(D445="BM",D445="MD",D445="OA"),EXP(VLOOKUP(D445,'Species Codes'!B:O,14,0)+VLOOKUP(D445,'Species Codes'!B:P,15,0)*LN((E445*2.54)))*(1-(1/(VLOOKUP(D445,'Species Codes'!B:Q,16,0)+VLOOKUP(D445,'Species Codes'!B:R,17,0)*((E445*2.54)^VLOOKUP(D445,'Species Codes'!B:S,18,0)))))/1000,IF(D445="DF",EXP(VLOOKUP(D445,'Species Codes'!B:O,14,0)+VLOOKUP(D445,'Species Codes'!B:P,15,0)*LN((E445*2.54))),VLOOKUP(D445,'Species Codes'!B:O,14,0)+VLOOKUP(D445,'Species Codes'!B:P,15,0)*(((E445*2.54)/100)^2)*(I445*0.3048)))))*0.0011023),0)</f>
        <v>#N/A</v>
      </c>
      <c r="AD445" s="104" t="e">
        <f t="shared" si="220"/>
        <v>#N/A</v>
      </c>
      <c r="AE445" s="104" t="e">
        <f t="shared" si="221"/>
        <v>#N/A</v>
      </c>
      <c r="AF445" s="104" t="e">
        <f>IF(AND(VLOOKUP($D445,Merchantability!$B:$C,2,0)="Yes",$E445&gt;=VLOOKUP($D445,Merchantability!$B:$D,3,0),$E445&lt;=VLOOKUP($D445,Merchantability!$B:$E,4,0)),AA445,0)</f>
        <v>#N/A</v>
      </c>
      <c r="AG445" s="104" t="e">
        <f>IF(AND(VLOOKUP($D445,Merchantability!$B:$C,2,0)="Yes",$E445&gt;=VLOOKUP($D445,Merchantability!$B:$D,3,0),$E445&lt;=VLOOKUP($D445,Merchantability!$B:$E,4,0)),AB445,0)</f>
        <v>#N/A</v>
      </c>
      <c r="AH445" s="104" t="e">
        <f>IF(AND(VLOOKUP($D445,Merchantability!$B:$C,2,0)="Yes",$E445&gt;=VLOOKUP($D445,Merchantability!$B:$D,3,0),$E445&lt;=VLOOKUP($D445,Merchantability!$B:$E,4,0)),AC445,0)</f>
        <v>#N/A</v>
      </c>
      <c r="AI445" s="104" t="e">
        <f t="shared" si="222"/>
        <v>#N/A</v>
      </c>
      <c r="AJ445" s="104" t="e">
        <f t="shared" si="223"/>
        <v>#VALUE!</v>
      </c>
      <c r="AK445" s="104" t="e">
        <f t="shared" si="224"/>
        <v>#N/A</v>
      </c>
      <c r="AL445" s="104" t="e">
        <f t="shared" si="225"/>
        <v>#N/A</v>
      </c>
      <c r="AM445" s="104" t="e">
        <f t="shared" si="226"/>
        <v>#N/A</v>
      </c>
      <c r="AN445" s="104" t="e">
        <f t="shared" si="210"/>
        <v>#N/A</v>
      </c>
      <c r="AO445" s="104" t="e">
        <f t="shared" si="211"/>
        <v>#N/A</v>
      </c>
      <c r="AP445" s="104" t="e">
        <f t="shared" si="212"/>
        <v>#N/A</v>
      </c>
      <c r="AQ445" s="104" t="e">
        <f t="shared" si="213"/>
        <v>#N/A</v>
      </c>
      <c r="AR445" s="105" t="str">
        <f t="shared" si="205"/>
        <v/>
      </c>
      <c r="AS445" s="105" t="str">
        <f t="shared" si="206"/>
        <v/>
      </c>
      <c r="AT445" s="108" t="str">
        <f t="shared" si="207"/>
        <v/>
      </c>
      <c r="AU445" s="108" t="str">
        <f t="shared" si="208"/>
        <v/>
      </c>
      <c r="AV445" s="107" t="str">
        <f>IF(ISNUMBER(O445),IF(VLOOKUP($A445,Stand!C:J,8,FALSE)="Short",AT445,AU445),"")</f>
        <v/>
      </c>
      <c r="AW445" s="109" t="str">
        <f t="shared" si="214"/>
        <v/>
      </c>
      <c r="AX445" s="109" t="str">
        <f t="shared" si="215"/>
        <v/>
      </c>
      <c r="AY445" s="112" t="str">
        <f>IF(ISNUMBER(O445),IF(AND(VLOOKUP($D445,Merchantability!$B:$C,2,0)="Yes",$E445&gt;=VLOOKUP($D445,Merchantability!$B:$D,3,0),$E445&lt;=VLOOKUP($D445,Merchantability!$B:$E,4,0)),(AV445*O445)*(1-$H445/100),""),"")</f>
        <v/>
      </c>
      <c r="AZ445" s="116"/>
      <c r="BA445" s="116"/>
      <c r="BB445" s="116"/>
      <c r="BE445" s="62"/>
      <c r="BF445" s="63"/>
    </row>
    <row r="446" spans="1:58" ht="12.75" customHeight="1" x14ac:dyDescent="0.25">
      <c r="A446" s="313"/>
      <c r="B446" s="328"/>
      <c r="C446" s="329"/>
      <c r="D446" s="328"/>
      <c r="E446" s="330"/>
      <c r="F446" s="331"/>
      <c r="G446" s="329"/>
      <c r="H446" s="329"/>
      <c r="I446" s="328"/>
      <c r="J446" s="329"/>
      <c r="K446" s="329"/>
      <c r="L446" s="329"/>
      <c r="M446" s="76"/>
      <c r="N446" s="103" t="str">
        <f>IF(A446="","",VLOOKUP(A446,Stand!C:K,9,0))</f>
        <v/>
      </c>
      <c r="O446" s="104" t="str">
        <f t="shared" si="200"/>
        <v/>
      </c>
      <c r="P446" s="105" t="str">
        <f t="shared" si="201"/>
        <v/>
      </c>
      <c r="Q446" s="105" t="str">
        <f t="shared" si="216"/>
        <v/>
      </c>
      <c r="R446" s="103" t="str">
        <f t="shared" si="202"/>
        <v/>
      </c>
      <c r="S446" s="103" t="str">
        <f t="shared" si="203"/>
        <v/>
      </c>
      <c r="T446" s="106" t="str">
        <f t="shared" si="217"/>
        <v/>
      </c>
      <c r="U446" s="106" t="str">
        <f t="shared" si="218"/>
        <v/>
      </c>
      <c r="V446" s="106" t="str">
        <f t="shared" si="219"/>
        <v/>
      </c>
      <c r="W446" s="105" t="str">
        <f t="shared" si="204"/>
        <v/>
      </c>
      <c r="X446" s="104" t="str">
        <f t="shared" si="209"/>
        <v/>
      </c>
      <c r="Y446" s="104" t="str">
        <f t="array" ref="Y446">IFERROR(IF(ISNUMBER(O446),IF(COUNT(IF(A446=$A$2:$A$2427,IF(D446=$D$2:$D$2427,IF($X$2:$X$2427&gt;0,1))))&gt;0,SUM(IF(A446=$A$2:$A$2427,IF(D446=$D$2:$D$2427,$X$2:$X$2427)))/COUNT(IF(A446=$A$2:$A$2427,IF(D446=$D$2:$D$2427,IF(ISNUMBER($X$2:$X$2427),1)))),0),""),0)</f>
        <v/>
      </c>
      <c r="Z446" s="104" t="str">
        <f>IF(ISNUMBER(O446),IF(I446&gt;0,(10^(VLOOKUP(D446,'Species Codes'!B:C,2,0)+VLOOKUP(D446,'Species Codes'!B:D,3,0)*LOG(E446)+VLOOKUP(D446,'Species Codes'!B:E,4,0)*LOG(I446))),0),"")</f>
        <v/>
      </c>
      <c r="AA446" s="104" t="str">
        <f>IFERROR((VLOOKUP(D446,'Species Codes'!B:G,6,0)*Z446)/2000,"")</f>
        <v/>
      </c>
      <c r="AB446" s="104" t="e">
        <f>IF(Z446&gt;0,((IF(OR(D446="DF",D446="RA")=TRUE,EXP(VLOOKUP(D446,'Species Codes'!B:I,8,0)+VLOOKUP(D446,'Species Codes'!B:J,9,0)*(LN((E446*2.54)))),IF(OR(D446="PY",D446="RC",D446="WH",D446="NF")=TRUE,VLOOKUP(D446,'Species Codes'!B:I,8,0)+VLOOKUP(D446,'Species Codes'!B:J,9,0)*((E446*2.54)^2)*(I446*0.3048),IF(OR(D446="MD",D446="BM",D446="GA")=TRUE,((VLOOKUP(D446,'Species Codes'!B:I,8,0)*(((((E446*2.54)+VLOOKUP(D446,'Species Codes'!B:J,9,0))/VLOOKUP(D446,'Species Codes'!B:K,10,0))^VLOOKUP(D446,'Species Codes'!B:L,11,0))*((I446*0.3048)^VLOOKUP(D446,'Species Codes'!B:M,12,0))))-(VLOOKUP(D446,'Species Codes'!B:I,8,0)*((((E446*2.54)^VLOOKUP(D446,'Species Codes'!B:L,11,0))*((I446*0.3048)^VLOOKUP(D446,'Species Codes'!B:M,12,0))))))*35.3*VLOOKUP(D446,'Species Codes'!B:G,6,0)/2.2046,VLOOKUP(D446,'Species Codes'!B:I,8,0)+VLOOKUP(D446,'Species Codes'!B:J,9,0)*(((E446*2.54)/100)^2)*(I446*0.3048)))))*0.0011023),0)</f>
        <v>#N/A</v>
      </c>
      <c r="AC446" s="104" t="e">
        <f>IF(Z446&gt;0,((IF(OR(D446="RA",D446="OA",D446="OT",D446="UN",D446="PC"),EXP(VLOOKUP(D446,'Species Codes'!B:O,14,0)+VLOOKUP(D446,'Species Codes'!B:P,15,0)*LN((E446*2.54)))-EXP(VLOOKUP(D446,'Species Codes'!B:O,14,0)+VLOOKUP(D446,'Species Codes'!B:P,15,0)*LN((E446*2.54)))*(1/(VLOOKUP(D446,'Species Codes'!B:Q,16,0)+VLOOKUP(D446,'Species Codes'!B:R,17,0)*((E446*2.54)^VLOOKUP(D446,'Species Codes'!B:S,18,0)))),IF(OR(D446="BM",D446="MD",D446="OA"),EXP(VLOOKUP(D446,'Species Codes'!B:O,14,0)+VLOOKUP(D446,'Species Codes'!B:P,15,0)*LN((E446*2.54)))*(1-(1/(VLOOKUP(D446,'Species Codes'!B:Q,16,0)+VLOOKUP(D446,'Species Codes'!B:R,17,0)*((E446*2.54)^VLOOKUP(D446,'Species Codes'!B:S,18,0)))))/1000,IF(D446="DF",EXP(VLOOKUP(D446,'Species Codes'!B:O,14,0)+VLOOKUP(D446,'Species Codes'!B:P,15,0)*LN((E446*2.54))),VLOOKUP(D446,'Species Codes'!B:O,14,0)+VLOOKUP(D446,'Species Codes'!B:P,15,0)*(((E446*2.54)/100)^2)*(I446*0.3048)))))*0.0011023),0)</f>
        <v>#N/A</v>
      </c>
      <c r="AD446" s="104" t="e">
        <f t="shared" si="220"/>
        <v>#N/A</v>
      </c>
      <c r="AE446" s="104" t="e">
        <f t="shared" si="221"/>
        <v>#N/A</v>
      </c>
      <c r="AF446" s="104" t="e">
        <f>IF(AND(VLOOKUP($D446,Merchantability!$B:$C,2,0)="Yes",$E446&gt;=VLOOKUP($D446,Merchantability!$B:$D,3,0),$E446&lt;=VLOOKUP($D446,Merchantability!$B:$E,4,0)),AA446,0)</f>
        <v>#N/A</v>
      </c>
      <c r="AG446" s="104" t="e">
        <f>IF(AND(VLOOKUP($D446,Merchantability!$B:$C,2,0)="Yes",$E446&gt;=VLOOKUP($D446,Merchantability!$B:$D,3,0),$E446&lt;=VLOOKUP($D446,Merchantability!$B:$E,4,0)),AB446,0)</f>
        <v>#N/A</v>
      </c>
      <c r="AH446" s="104" t="e">
        <f>IF(AND(VLOOKUP($D446,Merchantability!$B:$C,2,0)="Yes",$E446&gt;=VLOOKUP($D446,Merchantability!$B:$D,3,0),$E446&lt;=VLOOKUP($D446,Merchantability!$B:$E,4,0)),AC446,0)</f>
        <v>#N/A</v>
      </c>
      <c r="AI446" s="104" t="e">
        <f t="shared" si="222"/>
        <v>#N/A</v>
      </c>
      <c r="AJ446" s="104" t="e">
        <f t="shared" si="223"/>
        <v>#VALUE!</v>
      </c>
      <c r="AK446" s="104" t="e">
        <f t="shared" si="224"/>
        <v>#N/A</v>
      </c>
      <c r="AL446" s="104" t="e">
        <f t="shared" si="225"/>
        <v>#N/A</v>
      </c>
      <c r="AM446" s="104" t="e">
        <f t="shared" si="226"/>
        <v>#N/A</v>
      </c>
      <c r="AN446" s="104" t="e">
        <f t="shared" si="210"/>
        <v>#N/A</v>
      </c>
      <c r="AO446" s="104" t="e">
        <f t="shared" si="211"/>
        <v>#N/A</v>
      </c>
      <c r="AP446" s="104" t="e">
        <f t="shared" si="212"/>
        <v>#N/A</v>
      </c>
      <c r="AQ446" s="104" t="e">
        <f t="shared" si="213"/>
        <v>#N/A</v>
      </c>
      <c r="AR446" s="105" t="str">
        <f t="shared" si="205"/>
        <v/>
      </c>
      <c r="AS446" s="105" t="str">
        <f t="shared" si="206"/>
        <v/>
      </c>
      <c r="AT446" s="108" t="str">
        <f t="shared" si="207"/>
        <v/>
      </c>
      <c r="AU446" s="108" t="str">
        <f t="shared" si="208"/>
        <v/>
      </c>
      <c r="AV446" s="107" t="str">
        <f>IF(ISNUMBER(O446),IF(VLOOKUP($A446,Stand!C:J,8,FALSE)="Short",AT446,AU446),"")</f>
        <v/>
      </c>
      <c r="AW446" s="109" t="str">
        <f t="shared" si="214"/>
        <v/>
      </c>
      <c r="AX446" s="109" t="str">
        <f t="shared" si="215"/>
        <v/>
      </c>
      <c r="AY446" s="112" t="str">
        <f>IF(ISNUMBER(O446),IF(AND(VLOOKUP($D446,Merchantability!$B:$C,2,0)="Yes",$E446&gt;=VLOOKUP($D446,Merchantability!$B:$D,3,0),$E446&lt;=VLOOKUP($D446,Merchantability!$B:$E,4,0)),(AV446*O446)*(1-$H446/100),""),"")</f>
        <v/>
      </c>
      <c r="AZ446" s="116"/>
      <c r="BA446" s="116"/>
      <c r="BB446" s="116"/>
      <c r="BE446" s="62"/>
      <c r="BF446" s="63"/>
    </row>
    <row r="447" spans="1:58" ht="12.75" customHeight="1" x14ac:dyDescent="0.25">
      <c r="A447" s="313"/>
      <c r="B447" s="328"/>
      <c r="C447" s="329"/>
      <c r="D447" s="328"/>
      <c r="E447" s="330"/>
      <c r="F447" s="331"/>
      <c r="G447" s="329"/>
      <c r="H447" s="329"/>
      <c r="I447" s="328"/>
      <c r="J447" s="329"/>
      <c r="K447" s="329"/>
      <c r="L447" s="329"/>
      <c r="M447" s="76"/>
      <c r="N447" s="103" t="str">
        <f>IF(A447="","",VLOOKUP(A447,Stand!C:K,9,0))</f>
        <v/>
      </c>
      <c r="O447" s="104" t="str">
        <f t="shared" si="200"/>
        <v/>
      </c>
      <c r="P447" s="105" t="str">
        <f t="shared" si="201"/>
        <v/>
      </c>
      <c r="Q447" s="105" t="str">
        <f t="shared" si="216"/>
        <v/>
      </c>
      <c r="R447" s="103" t="str">
        <f t="shared" si="202"/>
        <v/>
      </c>
      <c r="S447" s="103" t="str">
        <f t="shared" si="203"/>
        <v/>
      </c>
      <c r="T447" s="106" t="str">
        <f t="shared" si="217"/>
        <v/>
      </c>
      <c r="U447" s="106" t="str">
        <f t="shared" si="218"/>
        <v/>
      </c>
      <c r="V447" s="106" t="str">
        <f t="shared" si="219"/>
        <v/>
      </c>
      <c r="W447" s="105" t="str">
        <f t="shared" si="204"/>
        <v/>
      </c>
      <c r="X447" s="104" t="str">
        <f t="shared" si="209"/>
        <v/>
      </c>
      <c r="Y447" s="104" t="str">
        <f t="array" ref="Y447">IFERROR(IF(ISNUMBER(O447),IF(COUNT(IF(A447=$A$2:$A$2427,IF(D447=$D$2:$D$2427,IF($X$2:$X$2427&gt;0,1))))&gt;0,SUM(IF(A447=$A$2:$A$2427,IF(D447=$D$2:$D$2427,$X$2:$X$2427)))/COUNT(IF(A447=$A$2:$A$2427,IF(D447=$D$2:$D$2427,IF(ISNUMBER($X$2:$X$2427),1)))),0),""),0)</f>
        <v/>
      </c>
      <c r="Z447" s="104" t="str">
        <f>IF(ISNUMBER(O447),IF(I447&gt;0,(10^(VLOOKUP(D447,'Species Codes'!B:C,2,0)+VLOOKUP(D447,'Species Codes'!B:D,3,0)*LOG(E447)+VLOOKUP(D447,'Species Codes'!B:E,4,0)*LOG(I447))),0),"")</f>
        <v/>
      </c>
      <c r="AA447" s="104" t="str">
        <f>IFERROR((VLOOKUP(D447,'Species Codes'!B:G,6,0)*Z447)/2000,"")</f>
        <v/>
      </c>
      <c r="AB447" s="104" t="e">
        <f>IF(Z447&gt;0,((IF(OR(D447="DF",D447="RA")=TRUE,EXP(VLOOKUP(D447,'Species Codes'!B:I,8,0)+VLOOKUP(D447,'Species Codes'!B:J,9,0)*(LN((E447*2.54)))),IF(OR(D447="PY",D447="RC",D447="WH",D447="NF")=TRUE,VLOOKUP(D447,'Species Codes'!B:I,8,0)+VLOOKUP(D447,'Species Codes'!B:J,9,0)*((E447*2.54)^2)*(I447*0.3048),IF(OR(D447="MD",D447="BM",D447="GA")=TRUE,((VLOOKUP(D447,'Species Codes'!B:I,8,0)*(((((E447*2.54)+VLOOKUP(D447,'Species Codes'!B:J,9,0))/VLOOKUP(D447,'Species Codes'!B:K,10,0))^VLOOKUP(D447,'Species Codes'!B:L,11,0))*((I447*0.3048)^VLOOKUP(D447,'Species Codes'!B:M,12,0))))-(VLOOKUP(D447,'Species Codes'!B:I,8,0)*((((E447*2.54)^VLOOKUP(D447,'Species Codes'!B:L,11,0))*((I447*0.3048)^VLOOKUP(D447,'Species Codes'!B:M,12,0))))))*35.3*VLOOKUP(D447,'Species Codes'!B:G,6,0)/2.2046,VLOOKUP(D447,'Species Codes'!B:I,8,0)+VLOOKUP(D447,'Species Codes'!B:J,9,0)*(((E447*2.54)/100)^2)*(I447*0.3048)))))*0.0011023),0)</f>
        <v>#N/A</v>
      </c>
      <c r="AC447" s="104" t="e">
        <f>IF(Z447&gt;0,((IF(OR(D447="RA",D447="OA",D447="OT",D447="UN",D447="PC"),EXP(VLOOKUP(D447,'Species Codes'!B:O,14,0)+VLOOKUP(D447,'Species Codes'!B:P,15,0)*LN((E447*2.54)))-EXP(VLOOKUP(D447,'Species Codes'!B:O,14,0)+VLOOKUP(D447,'Species Codes'!B:P,15,0)*LN((E447*2.54)))*(1/(VLOOKUP(D447,'Species Codes'!B:Q,16,0)+VLOOKUP(D447,'Species Codes'!B:R,17,0)*((E447*2.54)^VLOOKUP(D447,'Species Codes'!B:S,18,0)))),IF(OR(D447="BM",D447="MD",D447="OA"),EXP(VLOOKUP(D447,'Species Codes'!B:O,14,0)+VLOOKUP(D447,'Species Codes'!B:P,15,0)*LN((E447*2.54)))*(1-(1/(VLOOKUP(D447,'Species Codes'!B:Q,16,0)+VLOOKUP(D447,'Species Codes'!B:R,17,0)*((E447*2.54)^VLOOKUP(D447,'Species Codes'!B:S,18,0)))))/1000,IF(D447="DF",EXP(VLOOKUP(D447,'Species Codes'!B:O,14,0)+VLOOKUP(D447,'Species Codes'!B:P,15,0)*LN((E447*2.54))),VLOOKUP(D447,'Species Codes'!B:O,14,0)+VLOOKUP(D447,'Species Codes'!B:P,15,0)*(((E447*2.54)/100)^2)*(I447*0.3048)))))*0.0011023),0)</f>
        <v>#N/A</v>
      </c>
      <c r="AD447" s="104" t="e">
        <f t="shared" si="220"/>
        <v>#N/A</v>
      </c>
      <c r="AE447" s="104" t="e">
        <f t="shared" si="221"/>
        <v>#N/A</v>
      </c>
      <c r="AF447" s="104" t="e">
        <f>IF(AND(VLOOKUP($D447,Merchantability!$B:$C,2,0)="Yes",$E447&gt;=VLOOKUP($D447,Merchantability!$B:$D,3,0),$E447&lt;=VLOOKUP($D447,Merchantability!$B:$E,4,0)),AA447,0)</f>
        <v>#N/A</v>
      </c>
      <c r="AG447" s="104" t="e">
        <f>IF(AND(VLOOKUP($D447,Merchantability!$B:$C,2,0)="Yes",$E447&gt;=VLOOKUP($D447,Merchantability!$B:$D,3,0),$E447&lt;=VLOOKUP($D447,Merchantability!$B:$E,4,0)),AB447,0)</f>
        <v>#N/A</v>
      </c>
      <c r="AH447" s="104" t="e">
        <f>IF(AND(VLOOKUP($D447,Merchantability!$B:$C,2,0)="Yes",$E447&gt;=VLOOKUP($D447,Merchantability!$B:$D,3,0),$E447&lt;=VLOOKUP($D447,Merchantability!$B:$E,4,0)),AC447,0)</f>
        <v>#N/A</v>
      </c>
      <c r="AI447" s="104" t="e">
        <f t="shared" si="222"/>
        <v>#N/A</v>
      </c>
      <c r="AJ447" s="104" t="e">
        <f t="shared" si="223"/>
        <v>#VALUE!</v>
      </c>
      <c r="AK447" s="104" t="e">
        <f t="shared" si="224"/>
        <v>#N/A</v>
      </c>
      <c r="AL447" s="104" t="e">
        <f t="shared" si="225"/>
        <v>#N/A</v>
      </c>
      <c r="AM447" s="104" t="e">
        <f t="shared" si="226"/>
        <v>#N/A</v>
      </c>
      <c r="AN447" s="104" t="e">
        <f t="shared" si="210"/>
        <v>#N/A</v>
      </c>
      <c r="AO447" s="104" t="e">
        <f t="shared" si="211"/>
        <v>#N/A</v>
      </c>
      <c r="AP447" s="104" t="e">
        <f t="shared" si="212"/>
        <v>#N/A</v>
      </c>
      <c r="AQ447" s="104" t="e">
        <f t="shared" si="213"/>
        <v>#N/A</v>
      </c>
      <c r="AR447" s="105" t="str">
        <f t="shared" si="205"/>
        <v/>
      </c>
      <c r="AS447" s="105" t="str">
        <f t="shared" si="206"/>
        <v/>
      </c>
      <c r="AT447" s="108" t="str">
        <f t="shared" si="207"/>
        <v/>
      </c>
      <c r="AU447" s="108" t="str">
        <f t="shared" si="208"/>
        <v/>
      </c>
      <c r="AV447" s="107" t="str">
        <f>IF(ISNUMBER(O447),IF(VLOOKUP($A447,Stand!C:J,8,FALSE)="Short",AT447,AU447),"")</f>
        <v/>
      </c>
      <c r="AW447" s="109" t="str">
        <f t="shared" si="214"/>
        <v/>
      </c>
      <c r="AX447" s="109" t="str">
        <f t="shared" si="215"/>
        <v/>
      </c>
      <c r="AY447" s="112" t="str">
        <f>IF(ISNUMBER(O447),IF(AND(VLOOKUP($D447,Merchantability!$B:$C,2,0)="Yes",$E447&gt;=VLOOKUP($D447,Merchantability!$B:$D,3,0),$E447&lt;=VLOOKUP($D447,Merchantability!$B:$E,4,0)),(AV447*O447)*(1-$H447/100),""),"")</f>
        <v/>
      </c>
      <c r="AZ447" s="116"/>
      <c r="BA447" s="116"/>
      <c r="BB447" s="116"/>
      <c r="BE447" s="62"/>
      <c r="BF447" s="63"/>
    </row>
    <row r="448" spans="1:58" ht="12.75" customHeight="1" x14ac:dyDescent="0.25">
      <c r="A448" s="313"/>
      <c r="B448" s="328"/>
      <c r="C448" s="329"/>
      <c r="D448" s="328"/>
      <c r="E448" s="330"/>
      <c r="F448" s="331"/>
      <c r="G448" s="329"/>
      <c r="H448" s="329"/>
      <c r="I448" s="328"/>
      <c r="J448" s="329"/>
      <c r="K448" s="329"/>
      <c r="L448" s="329"/>
      <c r="M448" s="76"/>
      <c r="N448" s="103" t="str">
        <f>IF(A448="","",VLOOKUP(A448,Stand!C:K,9,0))</f>
        <v/>
      </c>
      <c r="O448" s="104" t="str">
        <f t="shared" si="200"/>
        <v/>
      </c>
      <c r="P448" s="105" t="str">
        <f t="shared" si="201"/>
        <v/>
      </c>
      <c r="Q448" s="105" t="str">
        <f t="shared" si="216"/>
        <v/>
      </c>
      <c r="R448" s="103" t="str">
        <f t="shared" si="202"/>
        <v/>
      </c>
      <c r="S448" s="103" t="str">
        <f t="shared" si="203"/>
        <v/>
      </c>
      <c r="T448" s="106" t="str">
        <f t="shared" si="217"/>
        <v/>
      </c>
      <c r="U448" s="106" t="str">
        <f t="shared" si="218"/>
        <v/>
      </c>
      <c r="V448" s="106" t="str">
        <f t="shared" si="219"/>
        <v/>
      </c>
      <c r="W448" s="105" t="str">
        <f t="shared" si="204"/>
        <v/>
      </c>
      <c r="X448" s="104" t="str">
        <f t="shared" si="209"/>
        <v/>
      </c>
      <c r="Y448" s="104" t="str">
        <f t="array" ref="Y448">IFERROR(IF(ISNUMBER(O448),IF(COUNT(IF(A448=$A$2:$A$2427,IF(D448=$D$2:$D$2427,IF($X$2:$X$2427&gt;0,1))))&gt;0,SUM(IF(A448=$A$2:$A$2427,IF(D448=$D$2:$D$2427,$X$2:$X$2427)))/COUNT(IF(A448=$A$2:$A$2427,IF(D448=$D$2:$D$2427,IF(ISNUMBER($X$2:$X$2427),1)))),0),""),0)</f>
        <v/>
      </c>
      <c r="Z448" s="104" t="str">
        <f>IF(ISNUMBER(O448),IF(I448&gt;0,(10^(VLOOKUP(D448,'Species Codes'!B:C,2,0)+VLOOKUP(D448,'Species Codes'!B:D,3,0)*LOG(E448)+VLOOKUP(D448,'Species Codes'!B:E,4,0)*LOG(I448))),0),"")</f>
        <v/>
      </c>
      <c r="AA448" s="104" t="str">
        <f>IFERROR((VLOOKUP(D448,'Species Codes'!B:G,6,0)*Z448)/2000,"")</f>
        <v/>
      </c>
      <c r="AB448" s="104" t="e">
        <f>IF(Z448&gt;0,((IF(OR(D448="DF",D448="RA")=TRUE,EXP(VLOOKUP(D448,'Species Codes'!B:I,8,0)+VLOOKUP(D448,'Species Codes'!B:J,9,0)*(LN((E448*2.54)))),IF(OR(D448="PY",D448="RC",D448="WH",D448="NF")=TRUE,VLOOKUP(D448,'Species Codes'!B:I,8,0)+VLOOKUP(D448,'Species Codes'!B:J,9,0)*((E448*2.54)^2)*(I448*0.3048),IF(OR(D448="MD",D448="BM",D448="GA")=TRUE,((VLOOKUP(D448,'Species Codes'!B:I,8,0)*(((((E448*2.54)+VLOOKUP(D448,'Species Codes'!B:J,9,0))/VLOOKUP(D448,'Species Codes'!B:K,10,0))^VLOOKUP(D448,'Species Codes'!B:L,11,0))*((I448*0.3048)^VLOOKUP(D448,'Species Codes'!B:M,12,0))))-(VLOOKUP(D448,'Species Codes'!B:I,8,0)*((((E448*2.54)^VLOOKUP(D448,'Species Codes'!B:L,11,0))*((I448*0.3048)^VLOOKUP(D448,'Species Codes'!B:M,12,0))))))*35.3*VLOOKUP(D448,'Species Codes'!B:G,6,0)/2.2046,VLOOKUP(D448,'Species Codes'!B:I,8,0)+VLOOKUP(D448,'Species Codes'!B:J,9,0)*(((E448*2.54)/100)^2)*(I448*0.3048)))))*0.0011023),0)</f>
        <v>#N/A</v>
      </c>
      <c r="AC448" s="104" t="e">
        <f>IF(Z448&gt;0,((IF(OR(D448="RA",D448="OA",D448="OT",D448="UN",D448="PC"),EXP(VLOOKUP(D448,'Species Codes'!B:O,14,0)+VLOOKUP(D448,'Species Codes'!B:P,15,0)*LN((E448*2.54)))-EXP(VLOOKUP(D448,'Species Codes'!B:O,14,0)+VLOOKUP(D448,'Species Codes'!B:P,15,0)*LN((E448*2.54)))*(1/(VLOOKUP(D448,'Species Codes'!B:Q,16,0)+VLOOKUP(D448,'Species Codes'!B:R,17,0)*((E448*2.54)^VLOOKUP(D448,'Species Codes'!B:S,18,0)))),IF(OR(D448="BM",D448="MD",D448="OA"),EXP(VLOOKUP(D448,'Species Codes'!B:O,14,0)+VLOOKUP(D448,'Species Codes'!B:P,15,0)*LN((E448*2.54)))*(1-(1/(VLOOKUP(D448,'Species Codes'!B:Q,16,0)+VLOOKUP(D448,'Species Codes'!B:R,17,0)*((E448*2.54)^VLOOKUP(D448,'Species Codes'!B:S,18,0)))))/1000,IF(D448="DF",EXP(VLOOKUP(D448,'Species Codes'!B:O,14,0)+VLOOKUP(D448,'Species Codes'!B:P,15,0)*LN((E448*2.54))),VLOOKUP(D448,'Species Codes'!B:O,14,0)+VLOOKUP(D448,'Species Codes'!B:P,15,0)*(((E448*2.54)/100)^2)*(I448*0.3048)))))*0.0011023),0)</f>
        <v>#N/A</v>
      </c>
      <c r="AD448" s="104" t="e">
        <f t="shared" si="220"/>
        <v>#N/A</v>
      </c>
      <c r="AE448" s="104" t="e">
        <f t="shared" si="221"/>
        <v>#N/A</v>
      </c>
      <c r="AF448" s="104" t="e">
        <f>IF(AND(VLOOKUP($D448,Merchantability!$B:$C,2,0)="Yes",$E448&gt;=VLOOKUP($D448,Merchantability!$B:$D,3,0),$E448&lt;=VLOOKUP($D448,Merchantability!$B:$E,4,0)),AA448,0)</f>
        <v>#N/A</v>
      </c>
      <c r="AG448" s="104" t="e">
        <f>IF(AND(VLOOKUP($D448,Merchantability!$B:$C,2,0)="Yes",$E448&gt;=VLOOKUP($D448,Merchantability!$B:$D,3,0),$E448&lt;=VLOOKUP($D448,Merchantability!$B:$E,4,0)),AB448,0)</f>
        <v>#N/A</v>
      </c>
      <c r="AH448" s="104" t="e">
        <f>IF(AND(VLOOKUP($D448,Merchantability!$B:$C,2,0)="Yes",$E448&gt;=VLOOKUP($D448,Merchantability!$B:$D,3,0),$E448&lt;=VLOOKUP($D448,Merchantability!$B:$E,4,0)),AC448,0)</f>
        <v>#N/A</v>
      </c>
      <c r="AI448" s="104" t="e">
        <f t="shared" si="222"/>
        <v>#N/A</v>
      </c>
      <c r="AJ448" s="104" t="e">
        <f t="shared" si="223"/>
        <v>#VALUE!</v>
      </c>
      <c r="AK448" s="104" t="e">
        <f t="shared" si="224"/>
        <v>#N/A</v>
      </c>
      <c r="AL448" s="104" t="e">
        <f t="shared" si="225"/>
        <v>#N/A</v>
      </c>
      <c r="AM448" s="104" t="e">
        <f t="shared" si="226"/>
        <v>#N/A</v>
      </c>
      <c r="AN448" s="104" t="e">
        <f t="shared" si="210"/>
        <v>#N/A</v>
      </c>
      <c r="AO448" s="104" t="e">
        <f t="shared" si="211"/>
        <v>#N/A</v>
      </c>
      <c r="AP448" s="104" t="e">
        <f t="shared" si="212"/>
        <v>#N/A</v>
      </c>
      <c r="AQ448" s="104" t="e">
        <f t="shared" si="213"/>
        <v>#N/A</v>
      </c>
      <c r="AR448" s="105" t="str">
        <f t="shared" si="205"/>
        <v/>
      </c>
      <c r="AS448" s="105" t="str">
        <f t="shared" si="206"/>
        <v/>
      </c>
      <c r="AT448" s="108" t="str">
        <f t="shared" si="207"/>
        <v/>
      </c>
      <c r="AU448" s="108" t="str">
        <f t="shared" si="208"/>
        <v/>
      </c>
      <c r="AV448" s="107" t="str">
        <f>IF(ISNUMBER(O448),IF(VLOOKUP($A448,Stand!C:J,8,FALSE)="Short",AT448,AU448),"")</f>
        <v/>
      </c>
      <c r="AW448" s="109" t="str">
        <f t="shared" si="214"/>
        <v/>
      </c>
      <c r="AX448" s="109" t="str">
        <f t="shared" si="215"/>
        <v/>
      </c>
      <c r="AY448" s="112" t="str">
        <f>IF(ISNUMBER(O448),IF(AND(VLOOKUP($D448,Merchantability!$B:$C,2,0)="Yes",$E448&gt;=VLOOKUP($D448,Merchantability!$B:$D,3,0),$E448&lt;=VLOOKUP($D448,Merchantability!$B:$E,4,0)),(AV448*O448)*(1-$H448/100),""),"")</f>
        <v/>
      </c>
      <c r="AZ448" s="116"/>
      <c r="BA448" s="116"/>
      <c r="BB448" s="116"/>
      <c r="BE448" s="62"/>
      <c r="BF448" s="63"/>
    </row>
    <row r="449" spans="1:58" ht="12.75" customHeight="1" x14ac:dyDescent="0.25">
      <c r="A449" s="313"/>
      <c r="B449" s="328"/>
      <c r="C449" s="329"/>
      <c r="D449" s="328"/>
      <c r="E449" s="330"/>
      <c r="F449" s="331"/>
      <c r="G449" s="329"/>
      <c r="H449" s="329"/>
      <c r="I449" s="328"/>
      <c r="J449" s="329"/>
      <c r="K449" s="329"/>
      <c r="L449" s="329"/>
      <c r="M449" s="76"/>
      <c r="N449" s="103" t="str">
        <f>IF(A449="","",VLOOKUP(A449,Stand!C:K,9,0))</f>
        <v/>
      </c>
      <c r="O449" s="104" t="str">
        <f t="shared" si="200"/>
        <v/>
      </c>
      <c r="P449" s="105" t="str">
        <f t="shared" si="201"/>
        <v/>
      </c>
      <c r="Q449" s="105" t="str">
        <f t="shared" si="216"/>
        <v/>
      </c>
      <c r="R449" s="103" t="str">
        <f t="shared" si="202"/>
        <v/>
      </c>
      <c r="S449" s="103" t="str">
        <f t="shared" si="203"/>
        <v/>
      </c>
      <c r="T449" s="106" t="str">
        <f t="shared" si="217"/>
        <v/>
      </c>
      <c r="U449" s="106" t="str">
        <f t="shared" si="218"/>
        <v/>
      </c>
      <c r="V449" s="106" t="str">
        <f t="shared" si="219"/>
        <v/>
      </c>
      <c r="W449" s="105" t="str">
        <f t="shared" si="204"/>
        <v/>
      </c>
      <c r="X449" s="104" t="str">
        <f t="shared" si="209"/>
        <v/>
      </c>
      <c r="Y449" s="104" t="str">
        <f t="array" ref="Y449">IFERROR(IF(ISNUMBER(O449),IF(COUNT(IF(A449=$A$2:$A$2427,IF(D449=$D$2:$D$2427,IF($X$2:$X$2427&gt;0,1))))&gt;0,SUM(IF(A449=$A$2:$A$2427,IF(D449=$D$2:$D$2427,$X$2:$X$2427)))/COUNT(IF(A449=$A$2:$A$2427,IF(D449=$D$2:$D$2427,IF(ISNUMBER($X$2:$X$2427),1)))),0),""),0)</f>
        <v/>
      </c>
      <c r="Z449" s="104" t="str">
        <f>IF(ISNUMBER(O449),IF(I449&gt;0,(10^(VLOOKUP(D449,'Species Codes'!B:C,2,0)+VLOOKUP(D449,'Species Codes'!B:D,3,0)*LOG(E449)+VLOOKUP(D449,'Species Codes'!B:E,4,0)*LOG(I449))),0),"")</f>
        <v/>
      </c>
      <c r="AA449" s="104" t="str">
        <f>IFERROR((VLOOKUP(D449,'Species Codes'!B:G,6,0)*Z449)/2000,"")</f>
        <v/>
      </c>
      <c r="AB449" s="104" t="e">
        <f>IF(Z449&gt;0,((IF(OR(D449="DF",D449="RA")=TRUE,EXP(VLOOKUP(D449,'Species Codes'!B:I,8,0)+VLOOKUP(D449,'Species Codes'!B:J,9,0)*(LN((E449*2.54)))),IF(OR(D449="PY",D449="RC",D449="WH",D449="NF")=TRUE,VLOOKUP(D449,'Species Codes'!B:I,8,0)+VLOOKUP(D449,'Species Codes'!B:J,9,0)*((E449*2.54)^2)*(I449*0.3048),IF(OR(D449="MD",D449="BM",D449="GA")=TRUE,((VLOOKUP(D449,'Species Codes'!B:I,8,0)*(((((E449*2.54)+VLOOKUP(D449,'Species Codes'!B:J,9,0))/VLOOKUP(D449,'Species Codes'!B:K,10,0))^VLOOKUP(D449,'Species Codes'!B:L,11,0))*((I449*0.3048)^VLOOKUP(D449,'Species Codes'!B:M,12,0))))-(VLOOKUP(D449,'Species Codes'!B:I,8,0)*((((E449*2.54)^VLOOKUP(D449,'Species Codes'!B:L,11,0))*((I449*0.3048)^VLOOKUP(D449,'Species Codes'!B:M,12,0))))))*35.3*VLOOKUP(D449,'Species Codes'!B:G,6,0)/2.2046,VLOOKUP(D449,'Species Codes'!B:I,8,0)+VLOOKUP(D449,'Species Codes'!B:J,9,0)*(((E449*2.54)/100)^2)*(I449*0.3048)))))*0.0011023),0)</f>
        <v>#N/A</v>
      </c>
      <c r="AC449" s="104" t="e">
        <f>IF(Z449&gt;0,((IF(OR(D449="RA",D449="OA",D449="OT",D449="UN",D449="PC"),EXP(VLOOKUP(D449,'Species Codes'!B:O,14,0)+VLOOKUP(D449,'Species Codes'!B:P,15,0)*LN((E449*2.54)))-EXP(VLOOKUP(D449,'Species Codes'!B:O,14,0)+VLOOKUP(D449,'Species Codes'!B:P,15,0)*LN((E449*2.54)))*(1/(VLOOKUP(D449,'Species Codes'!B:Q,16,0)+VLOOKUP(D449,'Species Codes'!B:R,17,0)*((E449*2.54)^VLOOKUP(D449,'Species Codes'!B:S,18,0)))),IF(OR(D449="BM",D449="MD",D449="OA"),EXP(VLOOKUP(D449,'Species Codes'!B:O,14,0)+VLOOKUP(D449,'Species Codes'!B:P,15,0)*LN((E449*2.54)))*(1-(1/(VLOOKUP(D449,'Species Codes'!B:Q,16,0)+VLOOKUP(D449,'Species Codes'!B:R,17,0)*((E449*2.54)^VLOOKUP(D449,'Species Codes'!B:S,18,0)))))/1000,IF(D449="DF",EXP(VLOOKUP(D449,'Species Codes'!B:O,14,0)+VLOOKUP(D449,'Species Codes'!B:P,15,0)*LN((E449*2.54))),VLOOKUP(D449,'Species Codes'!B:O,14,0)+VLOOKUP(D449,'Species Codes'!B:P,15,0)*(((E449*2.54)/100)^2)*(I449*0.3048)))))*0.0011023),0)</f>
        <v>#N/A</v>
      </c>
      <c r="AD449" s="104" t="e">
        <f t="shared" si="220"/>
        <v>#N/A</v>
      </c>
      <c r="AE449" s="104" t="e">
        <f t="shared" si="221"/>
        <v>#N/A</v>
      </c>
      <c r="AF449" s="104" t="e">
        <f>IF(AND(VLOOKUP($D449,Merchantability!$B:$C,2,0)="Yes",$E449&gt;=VLOOKUP($D449,Merchantability!$B:$D,3,0),$E449&lt;=VLOOKUP($D449,Merchantability!$B:$E,4,0)),AA449,0)</f>
        <v>#N/A</v>
      </c>
      <c r="AG449" s="104" t="e">
        <f>IF(AND(VLOOKUP($D449,Merchantability!$B:$C,2,0)="Yes",$E449&gt;=VLOOKUP($D449,Merchantability!$B:$D,3,0),$E449&lt;=VLOOKUP($D449,Merchantability!$B:$E,4,0)),AB449,0)</f>
        <v>#N/A</v>
      </c>
      <c r="AH449" s="104" t="e">
        <f>IF(AND(VLOOKUP($D449,Merchantability!$B:$C,2,0)="Yes",$E449&gt;=VLOOKUP($D449,Merchantability!$B:$D,3,0),$E449&lt;=VLOOKUP($D449,Merchantability!$B:$E,4,0)),AC449,0)</f>
        <v>#N/A</v>
      </c>
      <c r="AI449" s="104" t="e">
        <f t="shared" si="222"/>
        <v>#N/A</v>
      </c>
      <c r="AJ449" s="104" t="e">
        <f t="shared" si="223"/>
        <v>#VALUE!</v>
      </c>
      <c r="AK449" s="104" t="e">
        <f t="shared" si="224"/>
        <v>#N/A</v>
      </c>
      <c r="AL449" s="104" t="e">
        <f t="shared" si="225"/>
        <v>#N/A</v>
      </c>
      <c r="AM449" s="104" t="e">
        <f t="shared" si="226"/>
        <v>#N/A</v>
      </c>
      <c r="AN449" s="104" t="e">
        <f t="shared" si="210"/>
        <v>#N/A</v>
      </c>
      <c r="AO449" s="104" t="e">
        <f t="shared" si="211"/>
        <v>#N/A</v>
      </c>
      <c r="AP449" s="104" t="e">
        <f t="shared" si="212"/>
        <v>#N/A</v>
      </c>
      <c r="AQ449" s="104" t="e">
        <f t="shared" si="213"/>
        <v>#N/A</v>
      </c>
      <c r="AR449" s="105" t="str">
        <f t="shared" si="205"/>
        <v/>
      </c>
      <c r="AS449" s="105" t="str">
        <f t="shared" si="206"/>
        <v/>
      </c>
      <c r="AT449" s="108" t="str">
        <f t="shared" si="207"/>
        <v/>
      </c>
      <c r="AU449" s="108" t="str">
        <f t="shared" si="208"/>
        <v/>
      </c>
      <c r="AV449" s="107" t="str">
        <f>IF(ISNUMBER(O449),IF(VLOOKUP($A449,Stand!C:J,8,FALSE)="Short",AT449,AU449),"")</f>
        <v/>
      </c>
      <c r="AW449" s="109" t="str">
        <f t="shared" si="214"/>
        <v/>
      </c>
      <c r="AX449" s="109" t="str">
        <f t="shared" si="215"/>
        <v/>
      </c>
      <c r="AY449" s="112" t="str">
        <f>IF(ISNUMBER(O449),IF(AND(VLOOKUP($D449,Merchantability!$B:$C,2,0)="Yes",$E449&gt;=VLOOKUP($D449,Merchantability!$B:$D,3,0),$E449&lt;=VLOOKUP($D449,Merchantability!$B:$E,4,0)),(AV449*O449)*(1-$H449/100),""),"")</f>
        <v/>
      </c>
      <c r="AZ449" s="116"/>
      <c r="BA449" s="116"/>
      <c r="BB449" s="116"/>
      <c r="BE449" s="62"/>
      <c r="BF449" s="63"/>
    </row>
    <row r="450" spans="1:58" ht="12.75" customHeight="1" x14ac:dyDescent="0.25">
      <c r="A450" s="313"/>
      <c r="B450" s="328"/>
      <c r="C450" s="329"/>
      <c r="D450" s="328"/>
      <c r="E450" s="330"/>
      <c r="F450" s="331"/>
      <c r="G450" s="329"/>
      <c r="H450" s="329"/>
      <c r="I450" s="328"/>
      <c r="J450" s="329"/>
      <c r="K450" s="329"/>
      <c r="L450" s="329"/>
      <c r="M450" s="76"/>
      <c r="N450" s="103" t="str">
        <f>IF(A450="","",VLOOKUP(A450,Stand!C:K,9,0))</f>
        <v/>
      </c>
      <c r="O450" s="104" t="str">
        <f t="shared" ref="O450:O513" si="227">IF(E450&gt;0,IF(G450&gt;1,G450*(43560/(N450^2*3.14)),43560/(N450^2*3.14)),"")</f>
        <v/>
      </c>
      <c r="P450" s="105" t="str">
        <f t="shared" ref="P450:P513" si="228">IF(ISNUMBER(O450),E450*O450,"")</f>
        <v/>
      </c>
      <c r="Q450" s="105" t="str">
        <f t="shared" si="216"/>
        <v/>
      </c>
      <c r="R450" s="103" t="str">
        <f t="shared" ref="R450:R513" si="229">IF(ISNUMBER(O450),E450^2*0.005454*O450,"")</f>
        <v/>
      </c>
      <c r="S450" s="103" t="str">
        <f t="shared" ref="S450:S513" si="230">IF(ISNUMBER(O450),(E450/10)^1.7*O450,"")</f>
        <v/>
      </c>
      <c r="T450" s="106" t="str">
        <f t="shared" si="217"/>
        <v/>
      </c>
      <c r="U450" s="106" t="str">
        <f t="shared" si="218"/>
        <v/>
      </c>
      <c r="V450" s="106" t="str">
        <f t="shared" si="219"/>
        <v/>
      </c>
      <c r="W450" s="105" t="str">
        <f t="shared" ref="W450:W513" si="231">IF(AND(ISNUMBER(O450),I450&gt;0),I450/(E450/12),"")</f>
        <v/>
      </c>
      <c r="X450" s="104" t="str">
        <f t="shared" si="209"/>
        <v/>
      </c>
      <c r="Y450" s="104" t="str">
        <f t="array" ref="Y450">IFERROR(IF(ISNUMBER(O450),IF(COUNT(IF(A450=$A$2:$A$2427,IF(D450=$D$2:$D$2427,IF($X$2:$X$2427&gt;0,1))))&gt;0,SUM(IF(A450=$A$2:$A$2427,IF(D450=$D$2:$D$2427,$X$2:$X$2427)))/COUNT(IF(A450=$A$2:$A$2427,IF(D450=$D$2:$D$2427,IF(ISNUMBER($X$2:$X$2427),1)))),0),""),0)</f>
        <v/>
      </c>
      <c r="Z450" s="104" t="str">
        <f>IF(ISNUMBER(O450),IF(I450&gt;0,(10^(VLOOKUP(D450,'Species Codes'!B:C,2,0)+VLOOKUP(D450,'Species Codes'!B:D,3,0)*LOG(E450)+VLOOKUP(D450,'Species Codes'!B:E,4,0)*LOG(I450))),0),"")</f>
        <v/>
      </c>
      <c r="AA450" s="104" t="str">
        <f>IFERROR((VLOOKUP(D450,'Species Codes'!B:G,6,0)*Z450)/2000,"")</f>
        <v/>
      </c>
      <c r="AB450" s="104" t="e">
        <f>IF(Z450&gt;0,((IF(OR(D450="DF",D450="RA")=TRUE,EXP(VLOOKUP(D450,'Species Codes'!B:I,8,0)+VLOOKUP(D450,'Species Codes'!B:J,9,0)*(LN((E450*2.54)))),IF(OR(D450="PY",D450="RC",D450="WH",D450="NF")=TRUE,VLOOKUP(D450,'Species Codes'!B:I,8,0)+VLOOKUP(D450,'Species Codes'!B:J,9,0)*((E450*2.54)^2)*(I450*0.3048),IF(OR(D450="MD",D450="BM",D450="GA")=TRUE,((VLOOKUP(D450,'Species Codes'!B:I,8,0)*(((((E450*2.54)+VLOOKUP(D450,'Species Codes'!B:J,9,0))/VLOOKUP(D450,'Species Codes'!B:K,10,0))^VLOOKUP(D450,'Species Codes'!B:L,11,0))*((I450*0.3048)^VLOOKUP(D450,'Species Codes'!B:M,12,0))))-(VLOOKUP(D450,'Species Codes'!B:I,8,0)*((((E450*2.54)^VLOOKUP(D450,'Species Codes'!B:L,11,0))*((I450*0.3048)^VLOOKUP(D450,'Species Codes'!B:M,12,0))))))*35.3*VLOOKUP(D450,'Species Codes'!B:G,6,0)/2.2046,VLOOKUP(D450,'Species Codes'!B:I,8,0)+VLOOKUP(D450,'Species Codes'!B:J,9,0)*(((E450*2.54)/100)^2)*(I450*0.3048)))))*0.0011023),0)</f>
        <v>#N/A</v>
      </c>
      <c r="AC450" s="104" t="e">
        <f>IF(Z450&gt;0,((IF(OR(D450="RA",D450="OA",D450="OT",D450="UN",D450="PC"),EXP(VLOOKUP(D450,'Species Codes'!B:O,14,0)+VLOOKUP(D450,'Species Codes'!B:P,15,0)*LN((E450*2.54)))-EXP(VLOOKUP(D450,'Species Codes'!B:O,14,0)+VLOOKUP(D450,'Species Codes'!B:P,15,0)*LN((E450*2.54)))*(1/(VLOOKUP(D450,'Species Codes'!B:Q,16,0)+VLOOKUP(D450,'Species Codes'!B:R,17,0)*((E450*2.54)^VLOOKUP(D450,'Species Codes'!B:S,18,0)))),IF(OR(D450="BM",D450="MD",D450="OA"),EXP(VLOOKUP(D450,'Species Codes'!B:O,14,0)+VLOOKUP(D450,'Species Codes'!B:P,15,0)*LN((E450*2.54)))*(1-(1/(VLOOKUP(D450,'Species Codes'!B:Q,16,0)+VLOOKUP(D450,'Species Codes'!B:R,17,0)*((E450*2.54)^VLOOKUP(D450,'Species Codes'!B:S,18,0)))))/1000,IF(D450="DF",EXP(VLOOKUP(D450,'Species Codes'!B:O,14,0)+VLOOKUP(D450,'Species Codes'!B:P,15,0)*LN((E450*2.54))),VLOOKUP(D450,'Species Codes'!B:O,14,0)+VLOOKUP(D450,'Species Codes'!B:P,15,0)*(((E450*2.54)/100)^2)*(I450*0.3048)))))*0.0011023),0)</f>
        <v>#N/A</v>
      </c>
      <c r="AD450" s="104" t="e">
        <f t="shared" si="220"/>
        <v>#N/A</v>
      </c>
      <c r="AE450" s="104" t="e">
        <f t="shared" si="221"/>
        <v>#N/A</v>
      </c>
      <c r="AF450" s="104" t="e">
        <f>IF(AND(VLOOKUP($D450,Merchantability!$B:$C,2,0)="Yes",$E450&gt;=VLOOKUP($D450,Merchantability!$B:$D,3,0),$E450&lt;=VLOOKUP($D450,Merchantability!$B:$E,4,0)),AA450,0)</f>
        <v>#N/A</v>
      </c>
      <c r="AG450" s="104" t="e">
        <f>IF(AND(VLOOKUP($D450,Merchantability!$B:$C,2,0)="Yes",$E450&gt;=VLOOKUP($D450,Merchantability!$B:$D,3,0),$E450&lt;=VLOOKUP($D450,Merchantability!$B:$E,4,0)),AB450,0)</f>
        <v>#N/A</v>
      </c>
      <c r="AH450" s="104" t="e">
        <f>IF(AND(VLOOKUP($D450,Merchantability!$B:$C,2,0)="Yes",$E450&gt;=VLOOKUP($D450,Merchantability!$B:$D,3,0),$E450&lt;=VLOOKUP($D450,Merchantability!$B:$E,4,0)),AC450,0)</f>
        <v>#N/A</v>
      </c>
      <c r="AI450" s="104" t="e">
        <f t="shared" si="222"/>
        <v>#N/A</v>
      </c>
      <c r="AJ450" s="104" t="e">
        <f t="shared" si="223"/>
        <v>#VALUE!</v>
      </c>
      <c r="AK450" s="104" t="e">
        <f t="shared" si="224"/>
        <v>#N/A</v>
      </c>
      <c r="AL450" s="104" t="e">
        <f t="shared" si="225"/>
        <v>#N/A</v>
      </c>
      <c r="AM450" s="104" t="e">
        <f t="shared" si="226"/>
        <v>#N/A</v>
      </c>
      <c r="AN450" s="104" t="e">
        <f t="shared" si="210"/>
        <v>#N/A</v>
      </c>
      <c r="AO450" s="104" t="e">
        <f t="shared" si="211"/>
        <v>#N/A</v>
      </c>
      <c r="AP450" s="104" t="e">
        <f t="shared" si="212"/>
        <v>#N/A</v>
      </c>
      <c r="AQ450" s="104" t="e">
        <f t="shared" si="213"/>
        <v>#N/A</v>
      </c>
      <c r="AR450" s="105" t="str">
        <f t="shared" ref="AR450:AR513" si="232">IF(ISNUMBER(O450),IF(Y450&gt;0,((Y450*(E450^2*0.005454-0.087266))/0.912733),0),"")</f>
        <v/>
      </c>
      <c r="AS450" s="105" t="str">
        <f t="shared" ref="AS450:AS513" si="233">IF(ISNUMBER(O450),AR450*(0.993-0.993*(0.62^(E450-6))),"")</f>
        <v/>
      </c>
      <c r="AT450" s="108" t="str">
        <f t="shared" ref="AT450:AT513" si="234">IF(ISNUMBER(O450),IF(AS450&gt;0,IF(Y450&gt;0,(AS450*10^(0.174439+0.117594*(LOG(E450,10))*(LOG(Y450/0.912733,10))-8.210585/E450^2+0.236693*(LOG(Y450/0.912733,10))-0.00001345*(Y450/0.912733)^2-0.00001937*E450^2)),0),0),"")</f>
        <v/>
      </c>
      <c r="AU450" s="108" t="str">
        <f t="shared" ref="AU450:AU513" si="235">IF(ISNUMBER(O450),IF(AS450&gt;0,IF(Y450&gt;0,AT450*(1.001491-(6.92497/Y450)+(0.00001351*(E450^2))),0),0),"")</f>
        <v/>
      </c>
      <c r="AV450" s="107" t="str">
        <f>IF(ISNUMBER(O450),IF(VLOOKUP($A450,Stand!C:J,8,FALSE)="Short",AT450,AU450),"")</f>
        <v/>
      </c>
      <c r="AW450" s="109" t="str">
        <f t="shared" si="214"/>
        <v/>
      </c>
      <c r="AX450" s="109" t="str">
        <f t="shared" si="215"/>
        <v/>
      </c>
      <c r="AY450" s="112" t="str">
        <f>IF(ISNUMBER(O450),IF(AND(VLOOKUP($D450,Merchantability!$B:$C,2,0)="Yes",$E450&gt;=VLOOKUP($D450,Merchantability!$B:$D,3,0),$E450&lt;=VLOOKUP($D450,Merchantability!$B:$E,4,0)),(AV450*O450)*(1-$H450/100),""),"")</f>
        <v/>
      </c>
      <c r="AZ450" s="116"/>
      <c r="BA450" s="116"/>
      <c r="BB450" s="116"/>
      <c r="BE450" s="62"/>
      <c r="BF450" s="63"/>
    </row>
    <row r="451" spans="1:58" ht="12.75" customHeight="1" x14ac:dyDescent="0.25">
      <c r="A451" s="313"/>
      <c r="B451" s="328"/>
      <c r="C451" s="329"/>
      <c r="D451" s="328"/>
      <c r="E451" s="330"/>
      <c r="F451" s="331"/>
      <c r="G451" s="329"/>
      <c r="H451" s="329"/>
      <c r="I451" s="328"/>
      <c r="J451" s="329"/>
      <c r="K451" s="329"/>
      <c r="L451" s="329"/>
      <c r="M451" s="76"/>
      <c r="N451" s="103" t="str">
        <f>IF(A451="","",VLOOKUP(A451,Stand!C:K,9,0))</f>
        <v/>
      </c>
      <c r="O451" s="104" t="str">
        <f t="shared" si="227"/>
        <v/>
      </c>
      <c r="P451" s="105" t="str">
        <f t="shared" si="228"/>
        <v/>
      </c>
      <c r="Q451" s="105" t="str">
        <f t="shared" si="216"/>
        <v/>
      </c>
      <c r="R451" s="103" t="str">
        <f t="shared" si="229"/>
        <v/>
      </c>
      <c r="S451" s="103" t="str">
        <f t="shared" si="230"/>
        <v/>
      </c>
      <c r="T451" s="106" t="str">
        <f t="shared" si="217"/>
        <v/>
      </c>
      <c r="U451" s="106" t="str">
        <f t="shared" si="218"/>
        <v/>
      </c>
      <c r="V451" s="106" t="str">
        <f t="shared" si="219"/>
        <v/>
      </c>
      <c r="W451" s="105" t="str">
        <f t="shared" si="231"/>
        <v/>
      </c>
      <c r="X451" s="104" t="str">
        <f t="shared" ref="X451:X514" si="236">IF(ISNUMBER(O451),IF(I451&gt;0,IF(E451&gt;0,(0.912733*Z451)/(1.033*(1+1.382937*EXP(-4.015292*E451/10))*((E451^2)*0.005454+0.087266)-0.174533),""),""),"")</f>
        <v/>
      </c>
      <c r="Y451" s="104" t="str">
        <f t="array" ref="Y451">IFERROR(IF(ISNUMBER(O451),IF(COUNT(IF(A451=$A$2:$A$2427,IF(D451=$D$2:$D$2427,IF($X$2:$X$2427&gt;0,1))))&gt;0,SUM(IF(A451=$A$2:$A$2427,IF(D451=$D$2:$D$2427,$X$2:$X$2427)))/COUNT(IF(A451=$A$2:$A$2427,IF(D451=$D$2:$D$2427,IF(ISNUMBER($X$2:$X$2427),1)))),0),""),0)</f>
        <v/>
      </c>
      <c r="Z451" s="104" t="str">
        <f>IF(ISNUMBER(O451),IF(I451&gt;0,(10^(VLOOKUP(D451,'Species Codes'!B:C,2,0)+VLOOKUP(D451,'Species Codes'!B:D,3,0)*LOG(E451)+VLOOKUP(D451,'Species Codes'!B:E,4,0)*LOG(I451))),0),"")</f>
        <v/>
      </c>
      <c r="AA451" s="104" t="str">
        <f>IFERROR((VLOOKUP(D451,'Species Codes'!B:G,6,0)*Z451)/2000,"")</f>
        <v/>
      </c>
      <c r="AB451" s="104" t="e">
        <f>IF(Z451&gt;0,((IF(OR(D451="DF",D451="RA")=TRUE,EXP(VLOOKUP(D451,'Species Codes'!B:I,8,0)+VLOOKUP(D451,'Species Codes'!B:J,9,0)*(LN((E451*2.54)))),IF(OR(D451="PY",D451="RC",D451="WH",D451="NF")=TRUE,VLOOKUP(D451,'Species Codes'!B:I,8,0)+VLOOKUP(D451,'Species Codes'!B:J,9,0)*((E451*2.54)^2)*(I451*0.3048),IF(OR(D451="MD",D451="BM",D451="GA")=TRUE,((VLOOKUP(D451,'Species Codes'!B:I,8,0)*(((((E451*2.54)+VLOOKUP(D451,'Species Codes'!B:J,9,0))/VLOOKUP(D451,'Species Codes'!B:K,10,0))^VLOOKUP(D451,'Species Codes'!B:L,11,0))*((I451*0.3048)^VLOOKUP(D451,'Species Codes'!B:M,12,0))))-(VLOOKUP(D451,'Species Codes'!B:I,8,0)*((((E451*2.54)^VLOOKUP(D451,'Species Codes'!B:L,11,0))*((I451*0.3048)^VLOOKUP(D451,'Species Codes'!B:M,12,0))))))*35.3*VLOOKUP(D451,'Species Codes'!B:G,6,0)/2.2046,VLOOKUP(D451,'Species Codes'!B:I,8,0)+VLOOKUP(D451,'Species Codes'!B:J,9,0)*(((E451*2.54)/100)^2)*(I451*0.3048)))))*0.0011023),0)</f>
        <v>#N/A</v>
      </c>
      <c r="AC451" s="104" t="e">
        <f>IF(Z451&gt;0,((IF(OR(D451="RA",D451="OA",D451="OT",D451="UN",D451="PC"),EXP(VLOOKUP(D451,'Species Codes'!B:O,14,0)+VLOOKUP(D451,'Species Codes'!B:P,15,0)*LN((E451*2.54)))-EXP(VLOOKUP(D451,'Species Codes'!B:O,14,0)+VLOOKUP(D451,'Species Codes'!B:P,15,0)*LN((E451*2.54)))*(1/(VLOOKUP(D451,'Species Codes'!B:Q,16,0)+VLOOKUP(D451,'Species Codes'!B:R,17,0)*((E451*2.54)^VLOOKUP(D451,'Species Codes'!B:S,18,0)))),IF(OR(D451="BM",D451="MD",D451="OA"),EXP(VLOOKUP(D451,'Species Codes'!B:O,14,0)+VLOOKUP(D451,'Species Codes'!B:P,15,0)*LN((E451*2.54)))*(1-(1/(VLOOKUP(D451,'Species Codes'!B:Q,16,0)+VLOOKUP(D451,'Species Codes'!B:R,17,0)*((E451*2.54)^VLOOKUP(D451,'Species Codes'!B:S,18,0)))))/1000,IF(D451="DF",EXP(VLOOKUP(D451,'Species Codes'!B:O,14,0)+VLOOKUP(D451,'Species Codes'!B:P,15,0)*LN((E451*2.54))),VLOOKUP(D451,'Species Codes'!B:O,14,0)+VLOOKUP(D451,'Species Codes'!B:P,15,0)*(((E451*2.54)/100)^2)*(I451*0.3048)))))*0.0011023),0)</f>
        <v>#N/A</v>
      </c>
      <c r="AD451" s="104" t="e">
        <f t="shared" si="220"/>
        <v>#N/A</v>
      </c>
      <c r="AE451" s="104" t="e">
        <f t="shared" si="221"/>
        <v>#N/A</v>
      </c>
      <c r="AF451" s="104" t="e">
        <f>IF(AND(VLOOKUP($D451,Merchantability!$B:$C,2,0)="Yes",$E451&gt;=VLOOKUP($D451,Merchantability!$B:$D,3,0),$E451&lt;=VLOOKUP($D451,Merchantability!$B:$E,4,0)),AA451,0)</f>
        <v>#N/A</v>
      </c>
      <c r="AG451" s="104" t="e">
        <f>IF(AND(VLOOKUP($D451,Merchantability!$B:$C,2,0)="Yes",$E451&gt;=VLOOKUP($D451,Merchantability!$B:$D,3,0),$E451&lt;=VLOOKUP($D451,Merchantability!$B:$E,4,0)),AB451,0)</f>
        <v>#N/A</v>
      </c>
      <c r="AH451" s="104" t="e">
        <f>IF(AND(VLOOKUP($D451,Merchantability!$B:$C,2,0)="Yes",$E451&gt;=VLOOKUP($D451,Merchantability!$B:$D,3,0),$E451&lt;=VLOOKUP($D451,Merchantability!$B:$E,4,0)),AC451,0)</f>
        <v>#N/A</v>
      </c>
      <c r="AI451" s="104" t="e">
        <f t="shared" si="222"/>
        <v>#N/A</v>
      </c>
      <c r="AJ451" s="104" t="e">
        <f t="shared" si="223"/>
        <v>#VALUE!</v>
      </c>
      <c r="AK451" s="104" t="e">
        <f t="shared" si="224"/>
        <v>#N/A</v>
      </c>
      <c r="AL451" s="104" t="e">
        <f t="shared" si="225"/>
        <v>#N/A</v>
      </c>
      <c r="AM451" s="104" t="e">
        <f t="shared" si="226"/>
        <v>#N/A</v>
      </c>
      <c r="AN451" s="104" t="e">
        <f t="shared" ref="AN451:AN514" si="237">AF451*$O451</f>
        <v>#N/A</v>
      </c>
      <c r="AO451" s="104" t="e">
        <f t="shared" ref="AO451:AO514" si="238">AG451*$O451</f>
        <v>#N/A</v>
      </c>
      <c r="AP451" s="104" t="e">
        <f t="shared" ref="AP451:AP514" si="239">AH451*$O451</f>
        <v>#N/A</v>
      </c>
      <c r="AQ451" s="104" t="e">
        <f t="shared" ref="AQ451:AQ514" si="240">SUM(AN451:AP451)</f>
        <v>#N/A</v>
      </c>
      <c r="AR451" s="105" t="str">
        <f t="shared" si="232"/>
        <v/>
      </c>
      <c r="AS451" s="105" t="str">
        <f t="shared" si="233"/>
        <v/>
      </c>
      <c r="AT451" s="108" t="str">
        <f t="shared" si="234"/>
        <v/>
      </c>
      <c r="AU451" s="108" t="str">
        <f t="shared" si="235"/>
        <v/>
      </c>
      <c r="AV451" s="107" t="str">
        <f>IF(ISNUMBER(O451),IF(VLOOKUP($A451,Stand!C:J,8,FALSE)="Short",AT451,AU451),"")</f>
        <v/>
      </c>
      <c r="AW451" s="109" t="str">
        <f t="shared" ref="AW451:AW514" si="241">IF(ISNUMBER(O451),AV451*O451,"")</f>
        <v/>
      </c>
      <c r="AX451" s="109" t="str">
        <f t="shared" ref="AX451:AX514" si="242">IF(ISNUMBER(O451),AW451*(1-$H451/100),"")</f>
        <v/>
      </c>
      <c r="AY451" s="112" t="str">
        <f>IF(ISNUMBER(O451),IF(AND(VLOOKUP($D451,Merchantability!$B:$C,2,0)="Yes",$E451&gt;=VLOOKUP($D451,Merchantability!$B:$D,3,0),$E451&lt;=VLOOKUP($D451,Merchantability!$B:$E,4,0)),(AV451*O451)*(1-$H451/100),""),"")</f>
        <v/>
      </c>
      <c r="AZ451" s="116"/>
      <c r="BA451" s="116"/>
      <c r="BB451" s="116"/>
      <c r="BE451" s="62"/>
      <c r="BF451" s="63"/>
    </row>
    <row r="452" spans="1:58" ht="12.75" customHeight="1" x14ac:dyDescent="0.25">
      <c r="A452" s="313"/>
      <c r="B452" s="328"/>
      <c r="C452" s="329"/>
      <c r="D452" s="328"/>
      <c r="E452" s="330"/>
      <c r="F452" s="331"/>
      <c r="G452" s="329"/>
      <c r="H452" s="329"/>
      <c r="I452" s="328"/>
      <c r="J452" s="329"/>
      <c r="K452" s="329"/>
      <c r="L452" s="329"/>
      <c r="M452" s="76"/>
      <c r="N452" s="103" t="str">
        <f>IF(A452="","",VLOOKUP(A452,Stand!C:K,9,0))</f>
        <v/>
      </c>
      <c r="O452" s="104" t="str">
        <f t="shared" si="227"/>
        <v/>
      </c>
      <c r="P452" s="105" t="str">
        <f t="shared" si="228"/>
        <v/>
      </c>
      <c r="Q452" s="105" t="str">
        <f t="shared" si="216"/>
        <v/>
      </c>
      <c r="R452" s="103" t="str">
        <f t="shared" si="229"/>
        <v/>
      </c>
      <c r="S452" s="103" t="str">
        <f t="shared" si="230"/>
        <v/>
      </c>
      <c r="T452" s="106" t="str">
        <f t="shared" si="217"/>
        <v/>
      </c>
      <c r="U452" s="106" t="str">
        <f t="shared" si="218"/>
        <v/>
      </c>
      <c r="V452" s="106" t="str">
        <f t="shared" si="219"/>
        <v/>
      </c>
      <c r="W452" s="105" t="str">
        <f t="shared" si="231"/>
        <v/>
      </c>
      <c r="X452" s="104" t="str">
        <f t="shared" si="236"/>
        <v/>
      </c>
      <c r="Y452" s="104" t="str">
        <f t="array" ref="Y452">IFERROR(IF(ISNUMBER(O452),IF(COUNT(IF(A452=$A$2:$A$2427,IF(D452=$D$2:$D$2427,IF($X$2:$X$2427&gt;0,1))))&gt;0,SUM(IF(A452=$A$2:$A$2427,IF(D452=$D$2:$D$2427,$X$2:$X$2427)))/COUNT(IF(A452=$A$2:$A$2427,IF(D452=$D$2:$D$2427,IF(ISNUMBER($X$2:$X$2427),1)))),0),""),0)</f>
        <v/>
      </c>
      <c r="Z452" s="104" t="str">
        <f>IF(ISNUMBER(O452),IF(I452&gt;0,(10^(VLOOKUP(D452,'Species Codes'!B:C,2,0)+VLOOKUP(D452,'Species Codes'!B:D,3,0)*LOG(E452)+VLOOKUP(D452,'Species Codes'!B:E,4,0)*LOG(I452))),0),"")</f>
        <v/>
      </c>
      <c r="AA452" s="104" t="str">
        <f>IFERROR((VLOOKUP(D452,'Species Codes'!B:G,6,0)*Z452)/2000,"")</f>
        <v/>
      </c>
      <c r="AB452" s="104" t="e">
        <f>IF(Z452&gt;0,((IF(OR(D452="DF",D452="RA")=TRUE,EXP(VLOOKUP(D452,'Species Codes'!B:I,8,0)+VLOOKUP(D452,'Species Codes'!B:J,9,0)*(LN((E452*2.54)))),IF(OR(D452="PY",D452="RC",D452="WH",D452="NF")=TRUE,VLOOKUP(D452,'Species Codes'!B:I,8,0)+VLOOKUP(D452,'Species Codes'!B:J,9,0)*((E452*2.54)^2)*(I452*0.3048),IF(OR(D452="MD",D452="BM",D452="GA")=TRUE,((VLOOKUP(D452,'Species Codes'!B:I,8,0)*(((((E452*2.54)+VLOOKUP(D452,'Species Codes'!B:J,9,0))/VLOOKUP(D452,'Species Codes'!B:K,10,0))^VLOOKUP(D452,'Species Codes'!B:L,11,0))*((I452*0.3048)^VLOOKUP(D452,'Species Codes'!B:M,12,0))))-(VLOOKUP(D452,'Species Codes'!B:I,8,0)*((((E452*2.54)^VLOOKUP(D452,'Species Codes'!B:L,11,0))*((I452*0.3048)^VLOOKUP(D452,'Species Codes'!B:M,12,0))))))*35.3*VLOOKUP(D452,'Species Codes'!B:G,6,0)/2.2046,VLOOKUP(D452,'Species Codes'!B:I,8,0)+VLOOKUP(D452,'Species Codes'!B:J,9,0)*(((E452*2.54)/100)^2)*(I452*0.3048)))))*0.0011023),0)</f>
        <v>#N/A</v>
      </c>
      <c r="AC452" s="104" t="e">
        <f>IF(Z452&gt;0,((IF(OR(D452="RA",D452="OA",D452="OT",D452="UN",D452="PC"),EXP(VLOOKUP(D452,'Species Codes'!B:O,14,0)+VLOOKUP(D452,'Species Codes'!B:P,15,0)*LN((E452*2.54)))-EXP(VLOOKUP(D452,'Species Codes'!B:O,14,0)+VLOOKUP(D452,'Species Codes'!B:P,15,0)*LN((E452*2.54)))*(1/(VLOOKUP(D452,'Species Codes'!B:Q,16,0)+VLOOKUP(D452,'Species Codes'!B:R,17,0)*((E452*2.54)^VLOOKUP(D452,'Species Codes'!B:S,18,0)))),IF(OR(D452="BM",D452="MD",D452="OA"),EXP(VLOOKUP(D452,'Species Codes'!B:O,14,0)+VLOOKUP(D452,'Species Codes'!B:P,15,0)*LN((E452*2.54)))*(1-(1/(VLOOKUP(D452,'Species Codes'!B:Q,16,0)+VLOOKUP(D452,'Species Codes'!B:R,17,0)*((E452*2.54)^VLOOKUP(D452,'Species Codes'!B:S,18,0)))))/1000,IF(D452="DF",EXP(VLOOKUP(D452,'Species Codes'!B:O,14,0)+VLOOKUP(D452,'Species Codes'!B:P,15,0)*LN((E452*2.54))),VLOOKUP(D452,'Species Codes'!B:O,14,0)+VLOOKUP(D452,'Species Codes'!B:P,15,0)*(((E452*2.54)/100)^2)*(I452*0.3048)))))*0.0011023),0)</f>
        <v>#N/A</v>
      </c>
      <c r="AD452" s="104" t="e">
        <f t="shared" si="220"/>
        <v>#N/A</v>
      </c>
      <c r="AE452" s="104" t="e">
        <f t="shared" si="221"/>
        <v>#N/A</v>
      </c>
      <c r="AF452" s="104" t="e">
        <f>IF(AND(VLOOKUP($D452,Merchantability!$B:$C,2,0)="Yes",$E452&gt;=VLOOKUP($D452,Merchantability!$B:$D,3,0),$E452&lt;=VLOOKUP($D452,Merchantability!$B:$E,4,0)),AA452,0)</f>
        <v>#N/A</v>
      </c>
      <c r="AG452" s="104" t="e">
        <f>IF(AND(VLOOKUP($D452,Merchantability!$B:$C,2,0)="Yes",$E452&gt;=VLOOKUP($D452,Merchantability!$B:$D,3,0),$E452&lt;=VLOOKUP($D452,Merchantability!$B:$E,4,0)),AB452,0)</f>
        <v>#N/A</v>
      </c>
      <c r="AH452" s="104" t="e">
        <f>IF(AND(VLOOKUP($D452,Merchantability!$B:$C,2,0)="Yes",$E452&gt;=VLOOKUP($D452,Merchantability!$B:$D,3,0),$E452&lt;=VLOOKUP($D452,Merchantability!$B:$E,4,0)),AC452,0)</f>
        <v>#N/A</v>
      </c>
      <c r="AI452" s="104" t="e">
        <f t="shared" si="222"/>
        <v>#N/A</v>
      </c>
      <c r="AJ452" s="104" t="e">
        <f t="shared" si="223"/>
        <v>#VALUE!</v>
      </c>
      <c r="AK452" s="104" t="e">
        <f t="shared" si="224"/>
        <v>#N/A</v>
      </c>
      <c r="AL452" s="104" t="e">
        <f t="shared" si="225"/>
        <v>#N/A</v>
      </c>
      <c r="AM452" s="104" t="e">
        <f t="shared" si="226"/>
        <v>#N/A</v>
      </c>
      <c r="AN452" s="104" t="e">
        <f t="shared" si="237"/>
        <v>#N/A</v>
      </c>
      <c r="AO452" s="104" t="e">
        <f t="shared" si="238"/>
        <v>#N/A</v>
      </c>
      <c r="AP452" s="104" t="e">
        <f t="shared" si="239"/>
        <v>#N/A</v>
      </c>
      <c r="AQ452" s="104" t="e">
        <f t="shared" si="240"/>
        <v>#N/A</v>
      </c>
      <c r="AR452" s="105" t="str">
        <f t="shared" si="232"/>
        <v/>
      </c>
      <c r="AS452" s="105" t="str">
        <f t="shared" si="233"/>
        <v/>
      </c>
      <c r="AT452" s="108" t="str">
        <f t="shared" si="234"/>
        <v/>
      </c>
      <c r="AU452" s="108" t="str">
        <f t="shared" si="235"/>
        <v/>
      </c>
      <c r="AV452" s="107" t="str">
        <f>IF(ISNUMBER(O452),IF(VLOOKUP($A452,Stand!C:J,8,FALSE)="Short",AT452,AU452),"")</f>
        <v/>
      </c>
      <c r="AW452" s="109" t="str">
        <f t="shared" si="241"/>
        <v/>
      </c>
      <c r="AX452" s="109" t="str">
        <f t="shared" si="242"/>
        <v/>
      </c>
      <c r="AY452" s="112" t="str">
        <f>IF(ISNUMBER(O452),IF(AND(VLOOKUP($D452,Merchantability!$B:$C,2,0)="Yes",$E452&gt;=VLOOKUP($D452,Merchantability!$B:$D,3,0),$E452&lt;=VLOOKUP($D452,Merchantability!$B:$E,4,0)),(AV452*O452)*(1-$H452/100),""),"")</f>
        <v/>
      </c>
      <c r="AZ452" s="116"/>
      <c r="BA452" s="116"/>
      <c r="BB452" s="116"/>
      <c r="BE452" s="62"/>
      <c r="BF452" s="63"/>
    </row>
    <row r="453" spans="1:58" ht="12.75" customHeight="1" x14ac:dyDescent="0.25">
      <c r="A453" s="313"/>
      <c r="B453" s="328"/>
      <c r="C453" s="329"/>
      <c r="D453" s="328"/>
      <c r="E453" s="330"/>
      <c r="F453" s="331"/>
      <c r="G453" s="329"/>
      <c r="H453" s="329"/>
      <c r="I453" s="328"/>
      <c r="J453" s="329"/>
      <c r="K453" s="329"/>
      <c r="L453" s="329"/>
      <c r="M453" s="76"/>
      <c r="N453" s="103" t="str">
        <f>IF(A453="","",VLOOKUP(A453,Stand!C:K,9,0))</f>
        <v/>
      </c>
      <c r="O453" s="104" t="str">
        <f t="shared" si="227"/>
        <v/>
      </c>
      <c r="P453" s="105" t="str">
        <f t="shared" si="228"/>
        <v/>
      </c>
      <c r="Q453" s="105" t="str">
        <f t="shared" si="216"/>
        <v/>
      </c>
      <c r="R453" s="103" t="str">
        <f t="shared" si="229"/>
        <v/>
      </c>
      <c r="S453" s="103" t="str">
        <f t="shared" si="230"/>
        <v/>
      </c>
      <c r="T453" s="106" t="str">
        <f t="shared" si="217"/>
        <v/>
      </c>
      <c r="U453" s="106" t="str">
        <f t="shared" si="218"/>
        <v/>
      </c>
      <c r="V453" s="106" t="str">
        <f t="shared" si="219"/>
        <v/>
      </c>
      <c r="W453" s="105" t="str">
        <f t="shared" si="231"/>
        <v/>
      </c>
      <c r="X453" s="104" t="str">
        <f t="shared" si="236"/>
        <v/>
      </c>
      <c r="Y453" s="104" t="str">
        <f t="array" ref="Y453">IFERROR(IF(ISNUMBER(O453),IF(COUNT(IF(A453=$A$2:$A$2427,IF(D453=$D$2:$D$2427,IF($X$2:$X$2427&gt;0,1))))&gt;0,SUM(IF(A453=$A$2:$A$2427,IF(D453=$D$2:$D$2427,$X$2:$X$2427)))/COUNT(IF(A453=$A$2:$A$2427,IF(D453=$D$2:$D$2427,IF(ISNUMBER($X$2:$X$2427),1)))),0),""),0)</f>
        <v/>
      </c>
      <c r="Z453" s="104" t="str">
        <f>IF(ISNUMBER(O453),IF(I453&gt;0,(10^(VLOOKUP(D453,'Species Codes'!B:C,2,0)+VLOOKUP(D453,'Species Codes'!B:D,3,0)*LOG(E453)+VLOOKUP(D453,'Species Codes'!B:E,4,0)*LOG(I453))),0),"")</f>
        <v/>
      </c>
      <c r="AA453" s="104" t="str">
        <f>IFERROR((VLOOKUP(D453,'Species Codes'!B:G,6,0)*Z453)/2000,"")</f>
        <v/>
      </c>
      <c r="AB453" s="104" t="e">
        <f>IF(Z453&gt;0,((IF(OR(D453="DF",D453="RA")=TRUE,EXP(VLOOKUP(D453,'Species Codes'!B:I,8,0)+VLOOKUP(D453,'Species Codes'!B:J,9,0)*(LN((E453*2.54)))),IF(OR(D453="PY",D453="RC",D453="WH",D453="NF")=TRUE,VLOOKUP(D453,'Species Codes'!B:I,8,0)+VLOOKUP(D453,'Species Codes'!B:J,9,0)*((E453*2.54)^2)*(I453*0.3048),IF(OR(D453="MD",D453="BM",D453="GA")=TRUE,((VLOOKUP(D453,'Species Codes'!B:I,8,0)*(((((E453*2.54)+VLOOKUP(D453,'Species Codes'!B:J,9,0))/VLOOKUP(D453,'Species Codes'!B:K,10,0))^VLOOKUP(D453,'Species Codes'!B:L,11,0))*((I453*0.3048)^VLOOKUP(D453,'Species Codes'!B:M,12,0))))-(VLOOKUP(D453,'Species Codes'!B:I,8,0)*((((E453*2.54)^VLOOKUP(D453,'Species Codes'!B:L,11,0))*((I453*0.3048)^VLOOKUP(D453,'Species Codes'!B:M,12,0))))))*35.3*VLOOKUP(D453,'Species Codes'!B:G,6,0)/2.2046,VLOOKUP(D453,'Species Codes'!B:I,8,0)+VLOOKUP(D453,'Species Codes'!B:J,9,0)*(((E453*2.54)/100)^2)*(I453*0.3048)))))*0.0011023),0)</f>
        <v>#N/A</v>
      </c>
      <c r="AC453" s="104" t="e">
        <f>IF(Z453&gt;0,((IF(OR(D453="RA",D453="OA",D453="OT",D453="UN",D453="PC"),EXP(VLOOKUP(D453,'Species Codes'!B:O,14,0)+VLOOKUP(D453,'Species Codes'!B:P,15,0)*LN((E453*2.54)))-EXP(VLOOKUP(D453,'Species Codes'!B:O,14,0)+VLOOKUP(D453,'Species Codes'!B:P,15,0)*LN((E453*2.54)))*(1/(VLOOKUP(D453,'Species Codes'!B:Q,16,0)+VLOOKUP(D453,'Species Codes'!B:R,17,0)*((E453*2.54)^VLOOKUP(D453,'Species Codes'!B:S,18,0)))),IF(OR(D453="BM",D453="MD",D453="OA"),EXP(VLOOKUP(D453,'Species Codes'!B:O,14,0)+VLOOKUP(D453,'Species Codes'!B:P,15,0)*LN((E453*2.54)))*(1-(1/(VLOOKUP(D453,'Species Codes'!B:Q,16,0)+VLOOKUP(D453,'Species Codes'!B:R,17,0)*((E453*2.54)^VLOOKUP(D453,'Species Codes'!B:S,18,0)))))/1000,IF(D453="DF",EXP(VLOOKUP(D453,'Species Codes'!B:O,14,0)+VLOOKUP(D453,'Species Codes'!B:P,15,0)*LN((E453*2.54))),VLOOKUP(D453,'Species Codes'!B:O,14,0)+VLOOKUP(D453,'Species Codes'!B:P,15,0)*(((E453*2.54)/100)^2)*(I453*0.3048)))))*0.0011023),0)</f>
        <v>#N/A</v>
      </c>
      <c r="AD453" s="104" t="e">
        <f t="shared" si="220"/>
        <v>#N/A</v>
      </c>
      <c r="AE453" s="104" t="e">
        <f t="shared" si="221"/>
        <v>#N/A</v>
      </c>
      <c r="AF453" s="104" t="e">
        <f>IF(AND(VLOOKUP($D453,Merchantability!$B:$C,2,0)="Yes",$E453&gt;=VLOOKUP($D453,Merchantability!$B:$D,3,0),$E453&lt;=VLOOKUP($D453,Merchantability!$B:$E,4,0)),AA453,0)</f>
        <v>#N/A</v>
      </c>
      <c r="AG453" s="104" t="e">
        <f>IF(AND(VLOOKUP($D453,Merchantability!$B:$C,2,0)="Yes",$E453&gt;=VLOOKUP($D453,Merchantability!$B:$D,3,0),$E453&lt;=VLOOKUP($D453,Merchantability!$B:$E,4,0)),AB453,0)</f>
        <v>#N/A</v>
      </c>
      <c r="AH453" s="104" t="e">
        <f>IF(AND(VLOOKUP($D453,Merchantability!$B:$C,2,0)="Yes",$E453&gt;=VLOOKUP($D453,Merchantability!$B:$D,3,0),$E453&lt;=VLOOKUP($D453,Merchantability!$B:$E,4,0)),AC453,0)</f>
        <v>#N/A</v>
      </c>
      <c r="AI453" s="104" t="e">
        <f t="shared" si="222"/>
        <v>#N/A</v>
      </c>
      <c r="AJ453" s="104" t="e">
        <f t="shared" si="223"/>
        <v>#VALUE!</v>
      </c>
      <c r="AK453" s="104" t="e">
        <f t="shared" si="224"/>
        <v>#N/A</v>
      </c>
      <c r="AL453" s="104" t="e">
        <f t="shared" si="225"/>
        <v>#N/A</v>
      </c>
      <c r="AM453" s="104" t="e">
        <f t="shared" si="226"/>
        <v>#N/A</v>
      </c>
      <c r="AN453" s="104" t="e">
        <f t="shared" si="237"/>
        <v>#N/A</v>
      </c>
      <c r="AO453" s="104" t="e">
        <f t="shared" si="238"/>
        <v>#N/A</v>
      </c>
      <c r="AP453" s="104" t="e">
        <f t="shared" si="239"/>
        <v>#N/A</v>
      </c>
      <c r="AQ453" s="104" t="e">
        <f t="shared" si="240"/>
        <v>#N/A</v>
      </c>
      <c r="AR453" s="105" t="str">
        <f t="shared" si="232"/>
        <v/>
      </c>
      <c r="AS453" s="105" t="str">
        <f t="shared" si="233"/>
        <v/>
      </c>
      <c r="AT453" s="108" t="str">
        <f t="shared" si="234"/>
        <v/>
      </c>
      <c r="AU453" s="108" t="str">
        <f t="shared" si="235"/>
        <v/>
      </c>
      <c r="AV453" s="107" t="str">
        <f>IF(ISNUMBER(O453),IF(VLOOKUP($A453,Stand!C:J,8,FALSE)="Short",AT453,AU453),"")</f>
        <v/>
      </c>
      <c r="AW453" s="109" t="str">
        <f t="shared" si="241"/>
        <v/>
      </c>
      <c r="AX453" s="109" t="str">
        <f t="shared" si="242"/>
        <v/>
      </c>
      <c r="AY453" s="112" t="str">
        <f>IF(ISNUMBER(O453),IF(AND(VLOOKUP($D453,Merchantability!$B:$C,2,0)="Yes",$E453&gt;=VLOOKUP($D453,Merchantability!$B:$D,3,0),$E453&lt;=VLOOKUP($D453,Merchantability!$B:$E,4,0)),(AV453*O453)*(1-$H453/100),""),"")</f>
        <v/>
      </c>
      <c r="AZ453" s="116"/>
      <c r="BA453" s="116"/>
      <c r="BB453" s="116"/>
      <c r="BE453" s="62"/>
      <c r="BF453" s="63"/>
    </row>
    <row r="454" spans="1:58" ht="12.75" customHeight="1" x14ac:dyDescent="0.25">
      <c r="A454" s="313"/>
      <c r="B454" s="328"/>
      <c r="C454" s="329"/>
      <c r="D454" s="328"/>
      <c r="E454" s="330"/>
      <c r="F454" s="331"/>
      <c r="G454" s="329"/>
      <c r="H454" s="329"/>
      <c r="I454" s="328"/>
      <c r="J454" s="329"/>
      <c r="K454" s="329"/>
      <c r="L454" s="329"/>
      <c r="M454" s="76"/>
      <c r="N454" s="103" t="str">
        <f>IF(A454="","",VLOOKUP(A454,Stand!C:K,9,0))</f>
        <v/>
      </c>
      <c r="O454" s="104" t="str">
        <f t="shared" si="227"/>
        <v/>
      </c>
      <c r="P454" s="105" t="str">
        <f t="shared" si="228"/>
        <v/>
      </c>
      <c r="Q454" s="105" t="str">
        <f t="shared" si="216"/>
        <v/>
      </c>
      <c r="R454" s="103" t="str">
        <f t="shared" si="229"/>
        <v/>
      </c>
      <c r="S454" s="103" t="str">
        <f t="shared" si="230"/>
        <v/>
      </c>
      <c r="T454" s="106" t="str">
        <f t="shared" si="217"/>
        <v/>
      </c>
      <c r="U454" s="106" t="str">
        <f t="shared" si="218"/>
        <v/>
      </c>
      <c r="V454" s="106" t="str">
        <f t="shared" si="219"/>
        <v/>
      </c>
      <c r="W454" s="105" t="str">
        <f t="shared" si="231"/>
        <v/>
      </c>
      <c r="X454" s="104" t="str">
        <f t="shared" si="236"/>
        <v/>
      </c>
      <c r="Y454" s="104" t="str">
        <f t="array" ref="Y454">IFERROR(IF(ISNUMBER(O454),IF(COUNT(IF(A454=$A$2:$A$2427,IF(D454=$D$2:$D$2427,IF($X$2:$X$2427&gt;0,1))))&gt;0,SUM(IF(A454=$A$2:$A$2427,IF(D454=$D$2:$D$2427,$X$2:$X$2427)))/COUNT(IF(A454=$A$2:$A$2427,IF(D454=$D$2:$D$2427,IF(ISNUMBER($X$2:$X$2427),1)))),0),""),0)</f>
        <v/>
      </c>
      <c r="Z454" s="104" t="str">
        <f>IF(ISNUMBER(O454),IF(I454&gt;0,(10^(VLOOKUP(D454,'Species Codes'!B:C,2,0)+VLOOKUP(D454,'Species Codes'!B:D,3,0)*LOG(E454)+VLOOKUP(D454,'Species Codes'!B:E,4,0)*LOG(I454))),0),"")</f>
        <v/>
      </c>
      <c r="AA454" s="104" t="str">
        <f>IFERROR((VLOOKUP(D454,'Species Codes'!B:G,6,0)*Z454)/2000,"")</f>
        <v/>
      </c>
      <c r="AB454" s="104" t="e">
        <f>IF(Z454&gt;0,((IF(OR(D454="DF",D454="RA")=TRUE,EXP(VLOOKUP(D454,'Species Codes'!B:I,8,0)+VLOOKUP(D454,'Species Codes'!B:J,9,0)*(LN((E454*2.54)))),IF(OR(D454="PY",D454="RC",D454="WH",D454="NF")=TRUE,VLOOKUP(D454,'Species Codes'!B:I,8,0)+VLOOKUP(D454,'Species Codes'!B:J,9,0)*((E454*2.54)^2)*(I454*0.3048),IF(OR(D454="MD",D454="BM",D454="GA")=TRUE,((VLOOKUP(D454,'Species Codes'!B:I,8,0)*(((((E454*2.54)+VLOOKUP(D454,'Species Codes'!B:J,9,0))/VLOOKUP(D454,'Species Codes'!B:K,10,0))^VLOOKUP(D454,'Species Codes'!B:L,11,0))*((I454*0.3048)^VLOOKUP(D454,'Species Codes'!B:M,12,0))))-(VLOOKUP(D454,'Species Codes'!B:I,8,0)*((((E454*2.54)^VLOOKUP(D454,'Species Codes'!B:L,11,0))*((I454*0.3048)^VLOOKUP(D454,'Species Codes'!B:M,12,0))))))*35.3*VLOOKUP(D454,'Species Codes'!B:G,6,0)/2.2046,VLOOKUP(D454,'Species Codes'!B:I,8,0)+VLOOKUP(D454,'Species Codes'!B:J,9,0)*(((E454*2.54)/100)^2)*(I454*0.3048)))))*0.0011023),0)</f>
        <v>#N/A</v>
      </c>
      <c r="AC454" s="104" t="e">
        <f>IF(Z454&gt;0,((IF(OR(D454="RA",D454="OA",D454="OT",D454="UN",D454="PC"),EXP(VLOOKUP(D454,'Species Codes'!B:O,14,0)+VLOOKUP(D454,'Species Codes'!B:P,15,0)*LN((E454*2.54)))-EXP(VLOOKUP(D454,'Species Codes'!B:O,14,0)+VLOOKUP(D454,'Species Codes'!B:P,15,0)*LN((E454*2.54)))*(1/(VLOOKUP(D454,'Species Codes'!B:Q,16,0)+VLOOKUP(D454,'Species Codes'!B:R,17,0)*((E454*2.54)^VLOOKUP(D454,'Species Codes'!B:S,18,0)))),IF(OR(D454="BM",D454="MD",D454="OA"),EXP(VLOOKUP(D454,'Species Codes'!B:O,14,0)+VLOOKUP(D454,'Species Codes'!B:P,15,0)*LN((E454*2.54)))*(1-(1/(VLOOKUP(D454,'Species Codes'!B:Q,16,0)+VLOOKUP(D454,'Species Codes'!B:R,17,0)*((E454*2.54)^VLOOKUP(D454,'Species Codes'!B:S,18,0)))))/1000,IF(D454="DF",EXP(VLOOKUP(D454,'Species Codes'!B:O,14,0)+VLOOKUP(D454,'Species Codes'!B:P,15,0)*LN((E454*2.54))),VLOOKUP(D454,'Species Codes'!B:O,14,0)+VLOOKUP(D454,'Species Codes'!B:P,15,0)*(((E454*2.54)/100)^2)*(I454*0.3048)))))*0.0011023),0)</f>
        <v>#N/A</v>
      </c>
      <c r="AD454" s="104" t="e">
        <f t="shared" si="220"/>
        <v>#N/A</v>
      </c>
      <c r="AE454" s="104" t="e">
        <f t="shared" si="221"/>
        <v>#N/A</v>
      </c>
      <c r="AF454" s="104" t="e">
        <f>IF(AND(VLOOKUP($D454,Merchantability!$B:$C,2,0)="Yes",$E454&gt;=VLOOKUP($D454,Merchantability!$B:$D,3,0),$E454&lt;=VLOOKUP($D454,Merchantability!$B:$E,4,0)),AA454,0)</f>
        <v>#N/A</v>
      </c>
      <c r="AG454" s="104" t="e">
        <f>IF(AND(VLOOKUP($D454,Merchantability!$B:$C,2,0)="Yes",$E454&gt;=VLOOKUP($D454,Merchantability!$B:$D,3,0),$E454&lt;=VLOOKUP($D454,Merchantability!$B:$E,4,0)),AB454,0)</f>
        <v>#N/A</v>
      </c>
      <c r="AH454" s="104" t="e">
        <f>IF(AND(VLOOKUP($D454,Merchantability!$B:$C,2,0)="Yes",$E454&gt;=VLOOKUP($D454,Merchantability!$B:$D,3,0),$E454&lt;=VLOOKUP($D454,Merchantability!$B:$E,4,0)),AC454,0)</f>
        <v>#N/A</v>
      </c>
      <c r="AI454" s="104" t="e">
        <f t="shared" si="222"/>
        <v>#N/A</v>
      </c>
      <c r="AJ454" s="104" t="e">
        <f t="shared" si="223"/>
        <v>#VALUE!</v>
      </c>
      <c r="AK454" s="104" t="e">
        <f t="shared" si="224"/>
        <v>#N/A</v>
      </c>
      <c r="AL454" s="104" t="e">
        <f t="shared" si="225"/>
        <v>#N/A</v>
      </c>
      <c r="AM454" s="104" t="e">
        <f t="shared" si="226"/>
        <v>#N/A</v>
      </c>
      <c r="AN454" s="104" t="e">
        <f t="shared" si="237"/>
        <v>#N/A</v>
      </c>
      <c r="AO454" s="104" t="e">
        <f t="shared" si="238"/>
        <v>#N/A</v>
      </c>
      <c r="AP454" s="104" t="e">
        <f t="shared" si="239"/>
        <v>#N/A</v>
      </c>
      <c r="AQ454" s="104" t="e">
        <f t="shared" si="240"/>
        <v>#N/A</v>
      </c>
      <c r="AR454" s="105" t="str">
        <f t="shared" si="232"/>
        <v/>
      </c>
      <c r="AS454" s="105" t="str">
        <f t="shared" si="233"/>
        <v/>
      </c>
      <c r="AT454" s="108" t="str">
        <f t="shared" si="234"/>
        <v/>
      </c>
      <c r="AU454" s="108" t="str">
        <f t="shared" si="235"/>
        <v/>
      </c>
      <c r="AV454" s="107" t="str">
        <f>IF(ISNUMBER(O454),IF(VLOOKUP($A454,Stand!C:J,8,FALSE)="Short",AT454,AU454),"")</f>
        <v/>
      </c>
      <c r="AW454" s="109" t="str">
        <f t="shared" si="241"/>
        <v/>
      </c>
      <c r="AX454" s="109" t="str">
        <f t="shared" si="242"/>
        <v/>
      </c>
      <c r="AY454" s="112" t="str">
        <f>IF(ISNUMBER(O454),IF(AND(VLOOKUP($D454,Merchantability!$B:$C,2,0)="Yes",$E454&gt;=VLOOKUP($D454,Merchantability!$B:$D,3,0),$E454&lt;=VLOOKUP($D454,Merchantability!$B:$E,4,0)),(AV454*O454)*(1-$H454/100),""),"")</f>
        <v/>
      </c>
      <c r="AZ454" s="116"/>
      <c r="BA454" s="116"/>
      <c r="BB454" s="116"/>
      <c r="BE454" s="62"/>
      <c r="BF454" s="63"/>
    </row>
    <row r="455" spans="1:58" ht="12.75" customHeight="1" x14ac:dyDescent="0.25">
      <c r="A455" s="313"/>
      <c r="B455" s="328"/>
      <c r="C455" s="329"/>
      <c r="D455" s="328"/>
      <c r="E455" s="330"/>
      <c r="F455" s="331"/>
      <c r="G455" s="329"/>
      <c r="H455" s="329"/>
      <c r="I455" s="328"/>
      <c r="J455" s="329"/>
      <c r="K455" s="329"/>
      <c r="L455" s="329"/>
      <c r="M455" s="76"/>
      <c r="N455" s="103" t="str">
        <f>IF(A455="","",VLOOKUP(A455,Stand!C:K,9,0))</f>
        <v/>
      </c>
      <c r="O455" s="104" t="str">
        <f t="shared" si="227"/>
        <v/>
      </c>
      <c r="P455" s="105" t="str">
        <f t="shared" si="228"/>
        <v/>
      </c>
      <c r="Q455" s="105" t="str">
        <f t="shared" si="216"/>
        <v/>
      </c>
      <c r="R455" s="103" t="str">
        <f t="shared" si="229"/>
        <v/>
      </c>
      <c r="S455" s="103" t="str">
        <f t="shared" si="230"/>
        <v/>
      </c>
      <c r="T455" s="106" t="str">
        <f t="shared" si="217"/>
        <v/>
      </c>
      <c r="U455" s="106" t="str">
        <f t="shared" si="218"/>
        <v/>
      </c>
      <c r="V455" s="106" t="str">
        <f t="shared" si="219"/>
        <v/>
      </c>
      <c r="W455" s="105" t="str">
        <f t="shared" si="231"/>
        <v/>
      </c>
      <c r="X455" s="104" t="str">
        <f t="shared" si="236"/>
        <v/>
      </c>
      <c r="Y455" s="104" t="str">
        <f t="array" ref="Y455">IFERROR(IF(ISNUMBER(O455),IF(COUNT(IF(A455=$A$2:$A$2427,IF(D455=$D$2:$D$2427,IF($X$2:$X$2427&gt;0,1))))&gt;0,SUM(IF(A455=$A$2:$A$2427,IF(D455=$D$2:$D$2427,$X$2:$X$2427)))/COUNT(IF(A455=$A$2:$A$2427,IF(D455=$D$2:$D$2427,IF(ISNUMBER($X$2:$X$2427),1)))),0),""),0)</f>
        <v/>
      </c>
      <c r="Z455" s="104" t="str">
        <f>IF(ISNUMBER(O455),IF(I455&gt;0,(10^(VLOOKUP(D455,'Species Codes'!B:C,2,0)+VLOOKUP(D455,'Species Codes'!B:D,3,0)*LOG(E455)+VLOOKUP(D455,'Species Codes'!B:E,4,0)*LOG(I455))),0),"")</f>
        <v/>
      </c>
      <c r="AA455" s="104" t="str">
        <f>IFERROR((VLOOKUP(D455,'Species Codes'!B:G,6,0)*Z455)/2000,"")</f>
        <v/>
      </c>
      <c r="AB455" s="104" t="e">
        <f>IF(Z455&gt;0,((IF(OR(D455="DF",D455="RA")=TRUE,EXP(VLOOKUP(D455,'Species Codes'!B:I,8,0)+VLOOKUP(D455,'Species Codes'!B:J,9,0)*(LN((E455*2.54)))),IF(OR(D455="PY",D455="RC",D455="WH",D455="NF")=TRUE,VLOOKUP(D455,'Species Codes'!B:I,8,0)+VLOOKUP(D455,'Species Codes'!B:J,9,0)*((E455*2.54)^2)*(I455*0.3048),IF(OR(D455="MD",D455="BM",D455="GA")=TRUE,((VLOOKUP(D455,'Species Codes'!B:I,8,0)*(((((E455*2.54)+VLOOKUP(D455,'Species Codes'!B:J,9,0))/VLOOKUP(D455,'Species Codes'!B:K,10,0))^VLOOKUP(D455,'Species Codes'!B:L,11,0))*((I455*0.3048)^VLOOKUP(D455,'Species Codes'!B:M,12,0))))-(VLOOKUP(D455,'Species Codes'!B:I,8,0)*((((E455*2.54)^VLOOKUP(D455,'Species Codes'!B:L,11,0))*((I455*0.3048)^VLOOKUP(D455,'Species Codes'!B:M,12,0))))))*35.3*VLOOKUP(D455,'Species Codes'!B:G,6,0)/2.2046,VLOOKUP(D455,'Species Codes'!B:I,8,0)+VLOOKUP(D455,'Species Codes'!B:J,9,0)*(((E455*2.54)/100)^2)*(I455*0.3048)))))*0.0011023),0)</f>
        <v>#N/A</v>
      </c>
      <c r="AC455" s="104" t="e">
        <f>IF(Z455&gt;0,((IF(OR(D455="RA",D455="OA",D455="OT",D455="UN",D455="PC"),EXP(VLOOKUP(D455,'Species Codes'!B:O,14,0)+VLOOKUP(D455,'Species Codes'!B:P,15,0)*LN((E455*2.54)))-EXP(VLOOKUP(D455,'Species Codes'!B:O,14,0)+VLOOKUP(D455,'Species Codes'!B:P,15,0)*LN((E455*2.54)))*(1/(VLOOKUP(D455,'Species Codes'!B:Q,16,0)+VLOOKUP(D455,'Species Codes'!B:R,17,0)*((E455*2.54)^VLOOKUP(D455,'Species Codes'!B:S,18,0)))),IF(OR(D455="BM",D455="MD",D455="OA"),EXP(VLOOKUP(D455,'Species Codes'!B:O,14,0)+VLOOKUP(D455,'Species Codes'!B:P,15,0)*LN((E455*2.54)))*(1-(1/(VLOOKUP(D455,'Species Codes'!B:Q,16,0)+VLOOKUP(D455,'Species Codes'!B:R,17,0)*((E455*2.54)^VLOOKUP(D455,'Species Codes'!B:S,18,0)))))/1000,IF(D455="DF",EXP(VLOOKUP(D455,'Species Codes'!B:O,14,0)+VLOOKUP(D455,'Species Codes'!B:P,15,0)*LN((E455*2.54))),VLOOKUP(D455,'Species Codes'!B:O,14,0)+VLOOKUP(D455,'Species Codes'!B:P,15,0)*(((E455*2.54)/100)^2)*(I455*0.3048)))))*0.0011023),0)</f>
        <v>#N/A</v>
      </c>
      <c r="AD455" s="104" t="e">
        <f t="shared" si="220"/>
        <v>#N/A</v>
      </c>
      <c r="AE455" s="104" t="e">
        <f t="shared" si="221"/>
        <v>#N/A</v>
      </c>
      <c r="AF455" s="104" t="e">
        <f>IF(AND(VLOOKUP($D455,Merchantability!$B:$C,2,0)="Yes",$E455&gt;=VLOOKUP($D455,Merchantability!$B:$D,3,0),$E455&lt;=VLOOKUP($D455,Merchantability!$B:$E,4,0)),AA455,0)</f>
        <v>#N/A</v>
      </c>
      <c r="AG455" s="104" t="e">
        <f>IF(AND(VLOOKUP($D455,Merchantability!$B:$C,2,0)="Yes",$E455&gt;=VLOOKUP($D455,Merchantability!$B:$D,3,0),$E455&lt;=VLOOKUP($D455,Merchantability!$B:$E,4,0)),AB455,0)</f>
        <v>#N/A</v>
      </c>
      <c r="AH455" s="104" t="e">
        <f>IF(AND(VLOOKUP($D455,Merchantability!$B:$C,2,0)="Yes",$E455&gt;=VLOOKUP($D455,Merchantability!$B:$D,3,0),$E455&lt;=VLOOKUP($D455,Merchantability!$B:$E,4,0)),AC455,0)</f>
        <v>#N/A</v>
      </c>
      <c r="AI455" s="104" t="e">
        <f t="shared" si="222"/>
        <v>#N/A</v>
      </c>
      <c r="AJ455" s="104" t="e">
        <f t="shared" si="223"/>
        <v>#VALUE!</v>
      </c>
      <c r="AK455" s="104" t="e">
        <f t="shared" si="224"/>
        <v>#N/A</v>
      </c>
      <c r="AL455" s="104" t="e">
        <f t="shared" si="225"/>
        <v>#N/A</v>
      </c>
      <c r="AM455" s="104" t="e">
        <f t="shared" si="226"/>
        <v>#N/A</v>
      </c>
      <c r="AN455" s="104" t="e">
        <f t="shared" si="237"/>
        <v>#N/A</v>
      </c>
      <c r="AO455" s="104" t="e">
        <f t="shared" si="238"/>
        <v>#N/A</v>
      </c>
      <c r="AP455" s="104" t="e">
        <f t="shared" si="239"/>
        <v>#N/A</v>
      </c>
      <c r="AQ455" s="104" t="e">
        <f t="shared" si="240"/>
        <v>#N/A</v>
      </c>
      <c r="AR455" s="105" t="str">
        <f t="shared" si="232"/>
        <v/>
      </c>
      <c r="AS455" s="105" t="str">
        <f t="shared" si="233"/>
        <v/>
      </c>
      <c r="AT455" s="108" t="str">
        <f t="shared" si="234"/>
        <v/>
      </c>
      <c r="AU455" s="108" t="str">
        <f t="shared" si="235"/>
        <v/>
      </c>
      <c r="AV455" s="107" t="str">
        <f>IF(ISNUMBER(O455),IF(VLOOKUP($A455,Stand!C:J,8,FALSE)="Short",AT455,AU455),"")</f>
        <v/>
      </c>
      <c r="AW455" s="109" t="str">
        <f t="shared" si="241"/>
        <v/>
      </c>
      <c r="AX455" s="109" t="str">
        <f t="shared" si="242"/>
        <v/>
      </c>
      <c r="AY455" s="112" t="str">
        <f>IF(ISNUMBER(O455),IF(AND(VLOOKUP($D455,Merchantability!$B:$C,2,0)="Yes",$E455&gt;=VLOOKUP($D455,Merchantability!$B:$D,3,0),$E455&lt;=VLOOKUP($D455,Merchantability!$B:$E,4,0)),(AV455*O455)*(1-$H455/100),""),"")</f>
        <v/>
      </c>
      <c r="AZ455" s="116"/>
      <c r="BA455" s="116"/>
      <c r="BB455" s="116"/>
      <c r="BE455" s="62"/>
      <c r="BF455" s="63"/>
    </row>
    <row r="456" spans="1:58" ht="12.75" customHeight="1" x14ac:dyDescent="0.25">
      <c r="A456" s="313"/>
      <c r="B456" s="328"/>
      <c r="C456" s="329"/>
      <c r="D456" s="328"/>
      <c r="E456" s="330"/>
      <c r="F456" s="331"/>
      <c r="G456" s="329"/>
      <c r="H456" s="329"/>
      <c r="I456" s="328"/>
      <c r="J456" s="329"/>
      <c r="K456" s="329"/>
      <c r="L456" s="329"/>
      <c r="M456" s="76"/>
      <c r="N456" s="103" t="str">
        <f>IF(A456="","",VLOOKUP(A456,Stand!C:K,9,0))</f>
        <v/>
      </c>
      <c r="O456" s="104" t="str">
        <f t="shared" si="227"/>
        <v/>
      </c>
      <c r="P456" s="105" t="str">
        <f t="shared" si="228"/>
        <v/>
      </c>
      <c r="Q456" s="105" t="str">
        <f t="shared" si="216"/>
        <v/>
      </c>
      <c r="R456" s="103" t="str">
        <f t="shared" si="229"/>
        <v/>
      </c>
      <c r="S456" s="103" t="str">
        <f t="shared" si="230"/>
        <v/>
      </c>
      <c r="T456" s="106" t="str">
        <f t="shared" si="217"/>
        <v/>
      </c>
      <c r="U456" s="106" t="str">
        <f t="shared" si="218"/>
        <v/>
      </c>
      <c r="V456" s="106" t="str">
        <f t="shared" si="219"/>
        <v/>
      </c>
      <c r="W456" s="105" t="str">
        <f t="shared" si="231"/>
        <v/>
      </c>
      <c r="X456" s="104" t="str">
        <f t="shared" si="236"/>
        <v/>
      </c>
      <c r="Y456" s="104" t="str">
        <f t="array" ref="Y456">IFERROR(IF(ISNUMBER(O456),IF(COUNT(IF(A456=$A$2:$A$2427,IF(D456=$D$2:$D$2427,IF($X$2:$X$2427&gt;0,1))))&gt;0,SUM(IF(A456=$A$2:$A$2427,IF(D456=$D$2:$D$2427,$X$2:$X$2427)))/COUNT(IF(A456=$A$2:$A$2427,IF(D456=$D$2:$D$2427,IF(ISNUMBER($X$2:$X$2427),1)))),0),""),0)</f>
        <v/>
      </c>
      <c r="Z456" s="104" t="str">
        <f>IF(ISNUMBER(O456),IF(I456&gt;0,(10^(VLOOKUP(D456,'Species Codes'!B:C,2,0)+VLOOKUP(D456,'Species Codes'!B:D,3,0)*LOG(E456)+VLOOKUP(D456,'Species Codes'!B:E,4,0)*LOG(I456))),0),"")</f>
        <v/>
      </c>
      <c r="AA456" s="104" t="str">
        <f>IFERROR((VLOOKUP(D456,'Species Codes'!B:G,6,0)*Z456)/2000,"")</f>
        <v/>
      </c>
      <c r="AB456" s="104" t="e">
        <f>IF(Z456&gt;0,((IF(OR(D456="DF",D456="RA")=TRUE,EXP(VLOOKUP(D456,'Species Codes'!B:I,8,0)+VLOOKUP(D456,'Species Codes'!B:J,9,0)*(LN((E456*2.54)))),IF(OR(D456="PY",D456="RC",D456="WH",D456="NF")=TRUE,VLOOKUP(D456,'Species Codes'!B:I,8,0)+VLOOKUP(D456,'Species Codes'!B:J,9,0)*((E456*2.54)^2)*(I456*0.3048),IF(OR(D456="MD",D456="BM",D456="GA")=TRUE,((VLOOKUP(D456,'Species Codes'!B:I,8,0)*(((((E456*2.54)+VLOOKUP(D456,'Species Codes'!B:J,9,0))/VLOOKUP(D456,'Species Codes'!B:K,10,0))^VLOOKUP(D456,'Species Codes'!B:L,11,0))*((I456*0.3048)^VLOOKUP(D456,'Species Codes'!B:M,12,0))))-(VLOOKUP(D456,'Species Codes'!B:I,8,0)*((((E456*2.54)^VLOOKUP(D456,'Species Codes'!B:L,11,0))*((I456*0.3048)^VLOOKUP(D456,'Species Codes'!B:M,12,0))))))*35.3*VLOOKUP(D456,'Species Codes'!B:G,6,0)/2.2046,VLOOKUP(D456,'Species Codes'!B:I,8,0)+VLOOKUP(D456,'Species Codes'!B:J,9,0)*(((E456*2.54)/100)^2)*(I456*0.3048)))))*0.0011023),0)</f>
        <v>#N/A</v>
      </c>
      <c r="AC456" s="104" t="e">
        <f>IF(Z456&gt;0,((IF(OR(D456="RA",D456="OA",D456="OT",D456="UN",D456="PC"),EXP(VLOOKUP(D456,'Species Codes'!B:O,14,0)+VLOOKUP(D456,'Species Codes'!B:P,15,0)*LN((E456*2.54)))-EXP(VLOOKUP(D456,'Species Codes'!B:O,14,0)+VLOOKUP(D456,'Species Codes'!B:P,15,0)*LN((E456*2.54)))*(1/(VLOOKUP(D456,'Species Codes'!B:Q,16,0)+VLOOKUP(D456,'Species Codes'!B:R,17,0)*((E456*2.54)^VLOOKUP(D456,'Species Codes'!B:S,18,0)))),IF(OR(D456="BM",D456="MD",D456="OA"),EXP(VLOOKUP(D456,'Species Codes'!B:O,14,0)+VLOOKUP(D456,'Species Codes'!B:P,15,0)*LN((E456*2.54)))*(1-(1/(VLOOKUP(D456,'Species Codes'!B:Q,16,0)+VLOOKUP(D456,'Species Codes'!B:R,17,0)*((E456*2.54)^VLOOKUP(D456,'Species Codes'!B:S,18,0)))))/1000,IF(D456="DF",EXP(VLOOKUP(D456,'Species Codes'!B:O,14,0)+VLOOKUP(D456,'Species Codes'!B:P,15,0)*LN((E456*2.54))),VLOOKUP(D456,'Species Codes'!B:O,14,0)+VLOOKUP(D456,'Species Codes'!B:P,15,0)*(((E456*2.54)/100)^2)*(I456*0.3048)))))*0.0011023),0)</f>
        <v>#N/A</v>
      </c>
      <c r="AD456" s="104" t="e">
        <f t="shared" si="220"/>
        <v>#N/A</v>
      </c>
      <c r="AE456" s="104" t="e">
        <f t="shared" si="221"/>
        <v>#N/A</v>
      </c>
      <c r="AF456" s="104" t="e">
        <f>IF(AND(VLOOKUP($D456,Merchantability!$B:$C,2,0)="Yes",$E456&gt;=VLOOKUP($D456,Merchantability!$B:$D,3,0),$E456&lt;=VLOOKUP($D456,Merchantability!$B:$E,4,0)),AA456,0)</f>
        <v>#N/A</v>
      </c>
      <c r="AG456" s="104" t="e">
        <f>IF(AND(VLOOKUP($D456,Merchantability!$B:$C,2,0)="Yes",$E456&gt;=VLOOKUP($D456,Merchantability!$B:$D,3,0),$E456&lt;=VLOOKUP($D456,Merchantability!$B:$E,4,0)),AB456,0)</f>
        <v>#N/A</v>
      </c>
      <c r="AH456" s="104" t="e">
        <f>IF(AND(VLOOKUP($D456,Merchantability!$B:$C,2,0)="Yes",$E456&gt;=VLOOKUP($D456,Merchantability!$B:$D,3,0),$E456&lt;=VLOOKUP($D456,Merchantability!$B:$E,4,0)),AC456,0)</f>
        <v>#N/A</v>
      </c>
      <c r="AI456" s="104" t="e">
        <f t="shared" si="222"/>
        <v>#N/A</v>
      </c>
      <c r="AJ456" s="104" t="e">
        <f t="shared" si="223"/>
        <v>#VALUE!</v>
      </c>
      <c r="AK456" s="104" t="e">
        <f t="shared" si="224"/>
        <v>#N/A</v>
      </c>
      <c r="AL456" s="104" t="e">
        <f t="shared" si="225"/>
        <v>#N/A</v>
      </c>
      <c r="AM456" s="104" t="e">
        <f t="shared" si="226"/>
        <v>#N/A</v>
      </c>
      <c r="AN456" s="104" t="e">
        <f t="shared" si="237"/>
        <v>#N/A</v>
      </c>
      <c r="AO456" s="104" t="e">
        <f t="shared" si="238"/>
        <v>#N/A</v>
      </c>
      <c r="AP456" s="104" t="e">
        <f t="shared" si="239"/>
        <v>#N/A</v>
      </c>
      <c r="AQ456" s="104" t="e">
        <f t="shared" si="240"/>
        <v>#N/A</v>
      </c>
      <c r="AR456" s="105" t="str">
        <f t="shared" si="232"/>
        <v/>
      </c>
      <c r="AS456" s="105" t="str">
        <f t="shared" si="233"/>
        <v/>
      </c>
      <c r="AT456" s="108" t="str">
        <f t="shared" si="234"/>
        <v/>
      </c>
      <c r="AU456" s="108" t="str">
        <f t="shared" si="235"/>
        <v/>
      </c>
      <c r="AV456" s="107" t="str">
        <f>IF(ISNUMBER(O456),IF(VLOOKUP($A456,Stand!C:J,8,FALSE)="Short",AT456,AU456),"")</f>
        <v/>
      </c>
      <c r="AW456" s="109" t="str">
        <f t="shared" si="241"/>
        <v/>
      </c>
      <c r="AX456" s="109" t="str">
        <f t="shared" si="242"/>
        <v/>
      </c>
      <c r="AY456" s="112" t="str">
        <f>IF(ISNUMBER(O456),IF(AND(VLOOKUP($D456,Merchantability!$B:$C,2,0)="Yes",$E456&gt;=VLOOKUP($D456,Merchantability!$B:$D,3,0),$E456&lt;=VLOOKUP($D456,Merchantability!$B:$E,4,0)),(AV456*O456)*(1-$H456/100),""),"")</f>
        <v/>
      </c>
      <c r="AZ456" s="116"/>
      <c r="BA456" s="116"/>
      <c r="BB456" s="116"/>
      <c r="BE456" s="62"/>
      <c r="BF456" s="63"/>
    </row>
    <row r="457" spans="1:58" ht="12.75" customHeight="1" x14ac:dyDescent="0.25">
      <c r="A457" s="313"/>
      <c r="B457" s="328"/>
      <c r="C457" s="329"/>
      <c r="D457" s="328"/>
      <c r="E457" s="330"/>
      <c r="F457" s="331"/>
      <c r="G457" s="329"/>
      <c r="H457" s="329"/>
      <c r="I457" s="328"/>
      <c r="J457" s="329"/>
      <c r="K457" s="329"/>
      <c r="L457" s="329"/>
      <c r="M457" s="76"/>
      <c r="N457" s="103" t="str">
        <f>IF(A457="","",VLOOKUP(A457,Stand!C:K,9,0))</f>
        <v/>
      </c>
      <c r="O457" s="104" t="str">
        <f t="shared" si="227"/>
        <v/>
      </c>
      <c r="P457" s="105" t="str">
        <f t="shared" si="228"/>
        <v/>
      </c>
      <c r="Q457" s="105" t="str">
        <f t="shared" si="216"/>
        <v/>
      </c>
      <c r="R457" s="103" t="str">
        <f t="shared" si="229"/>
        <v/>
      </c>
      <c r="S457" s="103" t="str">
        <f t="shared" si="230"/>
        <v/>
      </c>
      <c r="T457" s="106" t="str">
        <f t="shared" si="217"/>
        <v/>
      </c>
      <c r="U457" s="106" t="str">
        <f t="shared" si="218"/>
        <v/>
      </c>
      <c r="V457" s="106" t="str">
        <f t="shared" si="219"/>
        <v/>
      </c>
      <c r="W457" s="105" t="str">
        <f t="shared" si="231"/>
        <v/>
      </c>
      <c r="X457" s="104" t="str">
        <f t="shared" si="236"/>
        <v/>
      </c>
      <c r="Y457" s="104" t="str">
        <f t="array" ref="Y457">IFERROR(IF(ISNUMBER(O457),IF(COUNT(IF(A457=$A$2:$A$2427,IF(D457=$D$2:$D$2427,IF($X$2:$X$2427&gt;0,1))))&gt;0,SUM(IF(A457=$A$2:$A$2427,IF(D457=$D$2:$D$2427,$X$2:$X$2427)))/COUNT(IF(A457=$A$2:$A$2427,IF(D457=$D$2:$D$2427,IF(ISNUMBER($X$2:$X$2427),1)))),0),""),0)</f>
        <v/>
      </c>
      <c r="Z457" s="104" t="str">
        <f>IF(ISNUMBER(O457),IF(I457&gt;0,(10^(VLOOKUP(D457,'Species Codes'!B:C,2,0)+VLOOKUP(D457,'Species Codes'!B:D,3,0)*LOG(E457)+VLOOKUP(D457,'Species Codes'!B:E,4,0)*LOG(I457))),0),"")</f>
        <v/>
      </c>
      <c r="AA457" s="104" t="str">
        <f>IFERROR((VLOOKUP(D457,'Species Codes'!B:G,6,0)*Z457)/2000,"")</f>
        <v/>
      </c>
      <c r="AB457" s="104" t="e">
        <f>IF(Z457&gt;0,((IF(OR(D457="DF",D457="RA")=TRUE,EXP(VLOOKUP(D457,'Species Codes'!B:I,8,0)+VLOOKUP(D457,'Species Codes'!B:J,9,0)*(LN((E457*2.54)))),IF(OR(D457="PY",D457="RC",D457="WH",D457="NF")=TRUE,VLOOKUP(D457,'Species Codes'!B:I,8,0)+VLOOKUP(D457,'Species Codes'!B:J,9,0)*((E457*2.54)^2)*(I457*0.3048),IF(OR(D457="MD",D457="BM",D457="GA")=TRUE,((VLOOKUP(D457,'Species Codes'!B:I,8,0)*(((((E457*2.54)+VLOOKUP(D457,'Species Codes'!B:J,9,0))/VLOOKUP(D457,'Species Codes'!B:K,10,0))^VLOOKUP(D457,'Species Codes'!B:L,11,0))*((I457*0.3048)^VLOOKUP(D457,'Species Codes'!B:M,12,0))))-(VLOOKUP(D457,'Species Codes'!B:I,8,0)*((((E457*2.54)^VLOOKUP(D457,'Species Codes'!B:L,11,0))*((I457*0.3048)^VLOOKUP(D457,'Species Codes'!B:M,12,0))))))*35.3*VLOOKUP(D457,'Species Codes'!B:G,6,0)/2.2046,VLOOKUP(D457,'Species Codes'!B:I,8,0)+VLOOKUP(D457,'Species Codes'!B:J,9,0)*(((E457*2.54)/100)^2)*(I457*0.3048)))))*0.0011023),0)</f>
        <v>#N/A</v>
      </c>
      <c r="AC457" s="104" t="e">
        <f>IF(Z457&gt;0,((IF(OR(D457="RA",D457="OA",D457="OT",D457="UN",D457="PC"),EXP(VLOOKUP(D457,'Species Codes'!B:O,14,0)+VLOOKUP(D457,'Species Codes'!B:P,15,0)*LN((E457*2.54)))-EXP(VLOOKUP(D457,'Species Codes'!B:O,14,0)+VLOOKUP(D457,'Species Codes'!B:P,15,0)*LN((E457*2.54)))*(1/(VLOOKUP(D457,'Species Codes'!B:Q,16,0)+VLOOKUP(D457,'Species Codes'!B:R,17,0)*((E457*2.54)^VLOOKUP(D457,'Species Codes'!B:S,18,0)))),IF(OR(D457="BM",D457="MD",D457="OA"),EXP(VLOOKUP(D457,'Species Codes'!B:O,14,0)+VLOOKUP(D457,'Species Codes'!B:P,15,0)*LN((E457*2.54)))*(1-(1/(VLOOKUP(D457,'Species Codes'!B:Q,16,0)+VLOOKUP(D457,'Species Codes'!B:R,17,0)*((E457*2.54)^VLOOKUP(D457,'Species Codes'!B:S,18,0)))))/1000,IF(D457="DF",EXP(VLOOKUP(D457,'Species Codes'!B:O,14,0)+VLOOKUP(D457,'Species Codes'!B:P,15,0)*LN((E457*2.54))),VLOOKUP(D457,'Species Codes'!B:O,14,0)+VLOOKUP(D457,'Species Codes'!B:P,15,0)*(((E457*2.54)/100)^2)*(I457*0.3048)))))*0.0011023),0)</f>
        <v>#N/A</v>
      </c>
      <c r="AD457" s="104" t="e">
        <f t="shared" si="220"/>
        <v>#N/A</v>
      </c>
      <c r="AE457" s="104" t="e">
        <f t="shared" si="221"/>
        <v>#N/A</v>
      </c>
      <c r="AF457" s="104" t="e">
        <f>IF(AND(VLOOKUP($D457,Merchantability!$B:$C,2,0)="Yes",$E457&gt;=VLOOKUP($D457,Merchantability!$B:$D,3,0),$E457&lt;=VLOOKUP($D457,Merchantability!$B:$E,4,0)),AA457,0)</f>
        <v>#N/A</v>
      </c>
      <c r="AG457" s="104" t="e">
        <f>IF(AND(VLOOKUP($D457,Merchantability!$B:$C,2,0)="Yes",$E457&gt;=VLOOKUP($D457,Merchantability!$B:$D,3,0),$E457&lt;=VLOOKUP($D457,Merchantability!$B:$E,4,0)),AB457,0)</f>
        <v>#N/A</v>
      </c>
      <c r="AH457" s="104" t="e">
        <f>IF(AND(VLOOKUP($D457,Merchantability!$B:$C,2,0)="Yes",$E457&gt;=VLOOKUP($D457,Merchantability!$B:$D,3,0),$E457&lt;=VLOOKUP($D457,Merchantability!$B:$E,4,0)),AC457,0)</f>
        <v>#N/A</v>
      </c>
      <c r="AI457" s="104" t="e">
        <f t="shared" si="222"/>
        <v>#N/A</v>
      </c>
      <c r="AJ457" s="104" t="e">
        <f t="shared" si="223"/>
        <v>#VALUE!</v>
      </c>
      <c r="AK457" s="104" t="e">
        <f t="shared" si="224"/>
        <v>#N/A</v>
      </c>
      <c r="AL457" s="104" t="e">
        <f t="shared" si="225"/>
        <v>#N/A</v>
      </c>
      <c r="AM457" s="104" t="e">
        <f t="shared" si="226"/>
        <v>#N/A</v>
      </c>
      <c r="AN457" s="104" t="e">
        <f t="shared" si="237"/>
        <v>#N/A</v>
      </c>
      <c r="AO457" s="104" t="e">
        <f t="shared" si="238"/>
        <v>#N/A</v>
      </c>
      <c r="AP457" s="104" t="e">
        <f t="shared" si="239"/>
        <v>#N/A</v>
      </c>
      <c r="AQ457" s="104" t="e">
        <f t="shared" si="240"/>
        <v>#N/A</v>
      </c>
      <c r="AR457" s="105" t="str">
        <f t="shared" si="232"/>
        <v/>
      </c>
      <c r="AS457" s="105" t="str">
        <f t="shared" si="233"/>
        <v/>
      </c>
      <c r="AT457" s="108" t="str">
        <f t="shared" si="234"/>
        <v/>
      </c>
      <c r="AU457" s="108" t="str">
        <f t="shared" si="235"/>
        <v/>
      </c>
      <c r="AV457" s="107" t="str">
        <f>IF(ISNUMBER(O457),IF(VLOOKUP($A457,Stand!C:J,8,FALSE)="Short",AT457,AU457),"")</f>
        <v/>
      </c>
      <c r="AW457" s="109" t="str">
        <f t="shared" si="241"/>
        <v/>
      </c>
      <c r="AX457" s="109" t="str">
        <f t="shared" si="242"/>
        <v/>
      </c>
      <c r="AY457" s="112" t="str">
        <f>IF(ISNUMBER(O457),IF(AND(VLOOKUP($D457,Merchantability!$B:$C,2,0)="Yes",$E457&gt;=VLOOKUP($D457,Merchantability!$B:$D,3,0),$E457&lt;=VLOOKUP($D457,Merchantability!$B:$E,4,0)),(AV457*O457)*(1-$H457/100),""),"")</f>
        <v/>
      </c>
      <c r="AZ457" s="116"/>
      <c r="BA457" s="116"/>
      <c r="BB457" s="116"/>
      <c r="BE457" s="62"/>
      <c r="BF457" s="63"/>
    </row>
    <row r="458" spans="1:58" ht="12.75" customHeight="1" x14ac:dyDescent="0.25">
      <c r="A458" s="313"/>
      <c r="B458" s="328"/>
      <c r="C458" s="329"/>
      <c r="D458" s="328"/>
      <c r="E458" s="330"/>
      <c r="F458" s="331"/>
      <c r="G458" s="329"/>
      <c r="H458" s="329"/>
      <c r="I458" s="328"/>
      <c r="J458" s="329"/>
      <c r="K458" s="329"/>
      <c r="L458" s="329"/>
      <c r="M458" s="76"/>
      <c r="N458" s="103" t="str">
        <f>IF(A458="","",VLOOKUP(A458,Stand!C:K,9,0))</f>
        <v/>
      </c>
      <c r="O458" s="104" t="str">
        <f t="shared" si="227"/>
        <v/>
      </c>
      <c r="P458" s="105" t="str">
        <f t="shared" si="228"/>
        <v/>
      </c>
      <c r="Q458" s="105" t="str">
        <f t="shared" si="216"/>
        <v/>
      </c>
      <c r="R458" s="103" t="str">
        <f t="shared" si="229"/>
        <v/>
      </c>
      <c r="S458" s="103" t="str">
        <f t="shared" si="230"/>
        <v/>
      </c>
      <c r="T458" s="106" t="str">
        <f t="shared" si="217"/>
        <v/>
      </c>
      <c r="U458" s="106" t="str">
        <f t="shared" si="218"/>
        <v/>
      </c>
      <c r="V458" s="106" t="str">
        <f t="shared" si="219"/>
        <v/>
      </c>
      <c r="W458" s="105" t="str">
        <f t="shared" si="231"/>
        <v/>
      </c>
      <c r="X458" s="104" t="str">
        <f t="shared" si="236"/>
        <v/>
      </c>
      <c r="Y458" s="104" t="str">
        <f t="array" ref="Y458">IFERROR(IF(ISNUMBER(O458),IF(COUNT(IF(A458=$A$2:$A$2427,IF(D458=$D$2:$D$2427,IF($X$2:$X$2427&gt;0,1))))&gt;0,SUM(IF(A458=$A$2:$A$2427,IF(D458=$D$2:$D$2427,$X$2:$X$2427)))/COUNT(IF(A458=$A$2:$A$2427,IF(D458=$D$2:$D$2427,IF(ISNUMBER($X$2:$X$2427),1)))),0),""),0)</f>
        <v/>
      </c>
      <c r="Z458" s="104" t="str">
        <f>IF(ISNUMBER(O458),IF(I458&gt;0,(10^(VLOOKUP(D458,'Species Codes'!B:C,2,0)+VLOOKUP(D458,'Species Codes'!B:D,3,0)*LOG(E458)+VLOOKUP(D458,'Species Codes'!B:E,4,0)*LOG(I458))),0),"")</f>
        <v/>
      </c>
      <c r="AA458" s="104" t="str">
        <f>IFERROR((VLOOKUP(D458,'Species Codes'!B:G,6,0)*Z458)/2000,"")</f>
        <v/>
      </c>
      <c r="AB458" s="104" t="e">
        <f>IF(Z458&gt;0,((IF(OR(D458="DF",D458="RA")=TRUE,EXP(VLOOKUP(D458,'Species Codes'!B:I,8,0)+VLOOKUP(D458,'Species Codes'!B:J,9,0)*(LN((E458*2.54)))),IF(OR(D458="PY",D458="RC",D458="WH",D458="NF")=TRUE,VLOOKUP(D458,'Species Codes'!B:I,8,0)+VLOOKUP(D458,'Species Codes'!B:J,9,0)*((E458*2.54)^2)*(I458*0.3048),IF(OR(D458="MD",D458="BM",D458="GA")=TRUE,((VLOOKUP(D458,'Species Codes'!B:I,8,0)*(((((E458*2.54)+VLOOKUP(D458,'Species Codes'!B:J,9,0))/VLOOKUP(D458,'Species Codes'!B:K,10,0))^VLOOKUP(D458,'Species Codes'!B:L,11,0))*((I458*0.3048)^VLOOKUP(D458,'Species Codes'!B:M,12,0))))-(VLOOKUP(D458,'Species Codes'!B:I,8,0)*((((E458*2.54)^VLOOKUP(D458,'Species Codes'!B:L,11,0))*((I458*0.3048)^VLOOKUP(D458,'Species Codes'!B:M,12,0))))))*35.3*VLOOKUP(D458,'Species Codes'!B:G,6,0)/2.2046,VLOOKUP(D458,'Species Codes'!B:I,8,0)+VLOOKUP(D458,'Species Codes'!B:J,9,0)*(((E458*2.54)/100)^2)*(I458*0.3048)))))*0.0011023),0)</f>
        <v>#N/A</v>
      </c>
      <c r="AC458" s="104" t="e">
        <f>IF(Z458&gt;0,((IF(OR(D458="RA",D458="OA",D458="OT",D458="UN",D458="PC"),EXP(VLOOKUP(D458,'Species Codes'!B:O,14,0)+VLOOKUP(D458,'Species Codes'!B:P,15,0)*LN((E458*2.54)))-EXP(VLOOKUP(D458,'Species Codes'!B:O,14,0)+VLOOKUP(D458,'Species Codes'!B:P,15,0)*LN((E458*2.54)))*(1/(VLOOKUP(D458,'Species Codes'!B:Q,16,0)+VLOOKUP(D458,'Species Codes'!B:R,17,0)*((E458*2.54)^VLOOKUP(D458,'Species Codes'!B:S,18,0)))),IF(OR(D458="BM",D458="MD",D458="OA"),EXP(VLOOKUP(D458,'Species Codes'!B:O,14,0)+VLOOKUP(D458,'Species Codes'!B:P,15,0)*LN((E458*2.54)))*(1-(1/(VLOOKUP(D458,'Species Codes'!B:Q,16,0)+VLOOKUP(D458,'Species Codes'!B:R,17,0)*((E458*2.54)^VLOOKUP(D458,'Species Codes'!B:S,18,0)))))/1000,IF(D458="DF",EXP(VLOOKUP(D458,'Species Codes'!B:O,14,0)+VLOOKUP(D458,'Species Codes'!B:P,15,0)*LN((E458*2.54))),VLOOKUP(D458,'Species Codes'!B:O,14,0)+VLOOKUP(D458,'Species Codes'!B:P,15,0)*(((E458*2.54)/100)^2)*(I458*0.3048)))))*0.0011023),0)</f>
        <v>#N/A</v>
      </c>
      <c r="AD458" s="104" t="e">
        <f t="shared" si="220"/>
        <v>#N/A</v>
      </c>
      <c r="AE458" s="104" t="e">
        <f t="shared" si="221"/>
        <v>#N/A</v>
      </c>
      <c r="AF458" s="104" t="e">
        <f>IF(AND(VLOOKUP($D458,Merchantability!$B:$C,2,0)="Yes",$E458&gt;=VLOOKUP($D458,Merchantability!$B:$D,3,0),$E458&lt;=VLOOKUP($D458,Merchantability!$B:$E,4,0)),AA458,0)</f>
        <v>#N/A</v>
      </c>
      <c r="AG458" s="104" t="e">
        <f>IF(AND(VLOOKUP($D458,Merchantability!$B:$C,2,0)="Yes",$E458&gt;=VLOOKUP($D458,Merchantability!$B:$D,3,0),$E458&lt;=VLOOKUP($D458,Merchantability!$B:$E,4,0)),AB458,0)</f>
        <v>#N/A</v>
      </c>
      <c r="AH458" s="104" t="e">
        <f>IF(AND(VLOOKUP($D458,Merchantability!$B:$C,2,0)="Yes",$E458&gt;=VLOOKUP($D458,Merchantability!$B:$D,3,0),$E458&lt;=VLOOKUP($D458,Merchantability!$B:$E,4,0)),AC458,0)</f>
        <v>#N/A</v>
      </c>
      <c r="AI458" s="104" t="e">
        <f t="shared" si="222"/>
        <v>#N/A</v>
      </c>
      <c r="AJ458" s="104" t="e">
        <f t="shared" si="223"/>
        <v>#VALUE!</v>
      </c>
      <c r="AK458" s="104" t="e">
        <f t="shared" si="224"/>
        <v>#N/A</v>
      </c>
      <c r="AL458" s="104" t="e">
        <f t="shared" si="225"/>
        <v>#N/A</v>
      </c>
      <c r="AM458" s="104" t="e">
        <f t="shared" si="226"/>
        <v>#N/A</v>
      </c>
      <c r="AN458" s="104" t="e">
        <f t="shared" si="237"/>
        <v>#N/A</v>
      </c>
      <c r="AO458" s="104" t="e">
        <f t="shared" si="238"/>
        <v>#N/A</v>
      </c>
      <c r="AP458" s="104" t="e">
        <f t="shared" si="239"/>
        <v>#N/A</v>
      </c>
      <c r="AQ458" s="104" t="e">
        <f t="shared" si="240"/>
        <v>#N/A</v>
      </c>
      <c r="AR458" s="105" t="str">
        <f t="shared" si="232"/>
        <v/>
      </c>
      <c r="AS458" s="105" t="str">
        <f t="shared" si="233"/>
        <v/>
      </c>
      <c r="AT458" s="108" t="str">
        <f t="shared" si="234"/>
        <v/>
      </c>
      <c r="AU458" s="108" t="str">
        <f t="shared" si="235"/>
        <v/>
      </c>
      <c r="AV458" s="107" t="str">
        <f>IF(ISNUMBER(O458),IF(VLOOKUP($A458,Stand!C:J,8,FALSE)="Short",AT458,AU458),"")</f>
        <v/>
      </c>
      <c r="AW458" s="109" t="str">
        <f t="shared" si="241"/>
        <v/>
      </c>
      <c r="AX458" s="109" t="str">
        <f t="shared" si="242"/>
        <v/>
      </c>
      <c r="AY458" s="112" t="str">
        <f>IF(ISNUMBER(O458),IF(AND(VLOOKUP($D458,Merchantability!$B:$C,2,0)="Yes",$E458&gt;=VLOOKUP($D458,Merchantability!$B:$D,3,0),$E458&lt;=VLOOKUP($D458,Merchantability!$B:$E,4,0)),(AV458*O458)*(1-$H458/100),""),"")</f>
        <v/>
      </c>
      <c r="AZ458" s="116"/>
      <c r="BA458" s="116"/>
      <c r="BB458" s="116"/>
      <c r="BE458" s="62"/>
      <c r="BF458" s="63"/>
    </row>
    <row r="459" spans="1:58" ht="12.75" customHeight="1" x14ac:dyDescent="0.25">
      <c r="A459" s="313"/>
      <c r="B459" s="328"/>
      <c r="C459" s="329"/>
      <c r="D459" s="328"/>
      <c r="E459" s="330"/>
      <c r="F459" s="331"/>
      <c r="G459" s="329"/>
      <c r="H459" s="329"/>
      <c r="I459" s="328"/>
      <c r="J459" s="329"/>
      <c r="K459" s="329"/>
      <c r="L459" s="329"/>
      <c r="M459" s="76"/>
      <c r="N459" s="103" t="str">
        <f>IF(A459="","",VLOOKUP(A459,Stand!C:K,9,0))</f>
        <v/>
      </c>
      <c r="O459" s="104" t="str">
        <f t="shared" si="227"/>
        <v/>
      </c>
      <c r="P459" s="105" t="str">
        <f t="shared" si="228"/>
        <v/>
      </c>
      <c r="Q459" s="105" t="str">
        <f t="shared" si="216"/>
        <v/>
      </c>
      <c r="R459" s="103" t="str">
        <f t="shared" si="229"/>
        <v/>
      </c>
      <c r="S459" s="103" t="str">
        <f t="shared" si="230"/>
        <v/>
      </c>
      <c r="T459" s="106" t="str">
        <f t="shared" si="217"/>
        <v/>
      </c>
      <c r="U459" s="106" t="str">
        <f t="shared" si="218"/>
        <v/>
      </c>
      <c r="V459" s="106" t="str">
        <f t="shared" si="219"/>
        <v/>
      </c>
      <c r="W459" s="105" t="str">
        <f t="shared" si="231"/>
        <v/>
      </c>
      <c r="X459" s="104" t="str">
        <f t="shared" si="236"/>
        <v/>
      </c>
      <c r="Y459" s="104" t="str">
        <f t="array" ref="Y459">IFERROR(IF(ISNUMBER(O459),IF(COUNT(IF(A459=$A$2:$A$2427,IF(D459=$D$2:$D$2427,IF($X$2:$X$2427&gt;0,1))))&gt;0,SUM(IF(A459=$A$2:$A$2427,IF(D459=$D$2:$D$2427,$X$2:$X$2427)))/COUNT(IF(A459=$A$2:$A$2427,IF(D459=$D$2:$D$2427,IF(ISNUMBER($X$2:$X$2427),1)))),0),""),0)</f>
        <v/>
      </c>
      <c r="Z459" s="104" t="str">
        <f>IF(ISNUMBER(O459),IF(I459&gt;0,(10^(VLOOKUP(D459,'Species Codes'!B:C,2,0)+VLOOKUP(D459,'Species Codes'!B:D,3,0)*LOG(E459)+VLOOKUP(D459,'Species Codes'!B:E,4,0)*LOG(I459))),0),"")</f>
        <v/>
      </c>
      <c r="AA459" s="104" t="str">
        <f>IFERROR((VLOOKUP(D459,'Species Codes'!B:G,6,0)*Z459)/2000,"")</f>
        <v/>
      </c>
      <c r="AB459" s="104" t="e">
        <f>IF(Z459&gt;0,((IF(OR(D459="DF",D459="RA")=TRUE,EXP(VLOOKUP(D459,'Species Codes'!B:I,8,0)+VLOOKUP(D459,'Species Codes'!B:J,9,0)*(LN((E459*2.54)))),IF(OR(D459="PY",D459="RC",D459="WH",D459="NF")=TRUE,VLOOKUP(D459,'Species Codes'!B:I,8,0)+VLOOKUP(D459,'Species Codes'!B:J,9,0)*((E459*2.54)^2)*(I459*0.3048),IF(OR(D459="MD",D459="BM",D459="GA")=TRUE,((VLOOKUP(D459,'Species Codes'!B:I,8,0)*(((((E459*2.54)+VLOOKUP(D459,'Species Codes'!B:J,9,0))/VLOOKUP(D459,'Species Codes'!B:K,10,0))^VLOOKUP(D459,'Species Codes'!B:L,11,0))*((I459*0.3048)^VLOOKUP(D459,'Species Codes'!B:M,12,0))))-(VLOOKUP(D459,'Species Codes'!B:I,8,0)*((((E459*2.54)^VLOOKUP(D459,'Species Codes'!B:L,11,0))*((I459*0.3048)^VLOOKUP(D459,'Species Codes'!B:M,12,0))))))*35.3*VLOOKUP(D459,'Species Codes'!B:G,6,0)/2.2046,VLOOKUP(D459,'Species Codes'!B:I,8,0)+VLOOKUP(D459,'Species Codes'!B:J,9,0)*(((E459*2.54)/100)^2)*(I459*0.3048)))))*0.0011023),0)</f>
        <v>#N/A</v>
      </c>
      <c r="AC459" s="104" t="e">
        <f>IF(Z459&gt;0,((IF(OR(D459="RA",D459="OA",D459="OT",D459="UN",D459="PC"),EXP(VLOOKUP(D459,'Species Codes'!B:O,14,0)+VLOOKUP(D459,'Species Codes'!B:P,15,0)*LN((E459*2.54)))-EXP(VLOOKUP(D459,'Species Codes'!B:O,14,0)+VLOOKUP(D459,'Species Codes'!B:P,15,0)*LN((E459*2.54)))*(1/(VLOOKUP(D459,'Species Codes'!B:Q,16,0)+VLOOKUP(D459,'Species Codes'!B:R,17,0)*((E459*2.54)^VLOOKUP(D459,'Species Codes'!B:S,18,0)))),IF(OR(D459="BM",D459="MD",D459="OA"),EXP(VLOOKUP(D459,'Species Codes'!B:O,14,0)+VLOOKUP(D459,'Species Codes'!B:P,15,0)*LN((E459*2.54)))*(1-(1/(VLOOKUP(D459,'Species Codes'!B:Q,16,0)+VLOOKUP(D459,'Species Codes'!B:R,17,0)*((E459*2.54)^VLOOKUP(D459,'Species Codes'!B:S,18,0)))))/1000,IF(D459="DF",EXP(VLOOKUP(D459,'Species Codes'!B:O,14,0)+VLOOKUP(D459,'Species Codes'!B:P,15,0)*LN((E459*2.54))),VLOOKUP(D459,'Species Codes'!B:O,14,0)+VLOOKUP(D459,'Species Codes'!B:P,15,0)*(((E459*2.54)/100)^2)*(I459*0.3048)))))*0.0011023),0)</f>
        <v>#N/A</v>
      </c>
      <c r="AD459" s="104" t="e">
        <f t="shared" si="220"/>
        <v>#N/A</v>
      </c>
      <c r="AE459" s="104" t="e">
        <f t="shared" si="221"/>
        <v>#N/A</v>
      </c>
      <c r="AF459" s="104" t="e">
        <f>IF(AND(VLOOKUP($D459,Merchantability!$B:$C,2,0)="Yes",$E459&gt;=VLOOKUP($D459,Merchantability!$B:$D,3,0),$E459&lt;=VLOOKUP($D459,Merchantability!$B:$E,4,0)),AA459,0)</f>
        <v>#N/A</v>
      </c>
      <c r="AG459" s="104" t="e">
        <f>IF(AND(VLOOKUP($D459,Merchantability!$B:$C,2,0)="Yes",$E459&gt;=VLOOKUP($D459,Merchantability!$B:$D,3,0),$E459&lt;=VLOOKUP($D459,Merchantability!$B:$E,4,0)),AB459,0)</f>
        <v>#N/A</v>
      </c>
      <c r="AH459" s="104" t="e">
        <f>IF(AND(VLOOKUP($D459,Merchantability!$B:$C,2,0)="Yes",$E459&gt;=VLOOKUP($D459,Merchantability!$B:$D,3,0),$E459&lt;=VLOOKUP($D459,Merchantability!$B:$E,4,0)),AC459,0)</f>
        <v>#N/A</v>
      </c>
      <c r="AI459" s="104" t="e">
        <f t="shared" si="222"/>
        <v>#N/A</v>
      </c>
      <c r="AJ459" s="104" t="e">
        <f t="shared" si="223"/>
        <v>#VALUE!</v>
      </c>
      <c r="AK459" s="104" t="e">
        <f t="shared" si="224"/>
        <v>#N/A</v>
      </c>
      <c r="AL459" s="104" t="e">
        <f t="shared" si="225"/>
        <v>#N/A</v>
      </c>
      <c r="AM459" s="104" t="e">
        <f t="shared" si="226"/>
        <v>#N/A</v>
      </c>
      <c r="AN459" s="104" t="e">
        <f t="shared" si="237"/>
        <v>#N/A</v>
      </c>
      <c r="AO459" s="104" t="e">
        <f t="shared" si="238"/>
        <v>#N/A</v>
      </c>
      <c r="AP459" s="104" t="e">
        <f t="shared" si="239"/>
        <v>#N/A</v>
      </c>
      <c r="AQ459" s="104" t="e">
        <f t="shared" si="240"/>
        <v>#N/A</v>
      </c>
      <c r="AR459" s="105" t="str">
        <f t="shared" si="232"/>
        <v/>
      </c>
      <c r="AS459" s="105" t="str">
        <f t="shared" si="233"/>
        <v/>
      </c>
      <c r="AT459" s="108" t="str">
        <f t="shared" si="234"/>
        <v/>
      </c>
      <c r="AU459" s="108" t="str">
        <f t="shared" si="235"/>
        <v/>
      </c>
      <c r="AV459" s="107" t="str">
        <f>IF(ISNUMBER(O459),IF(VLOOKUP($A459,Stand!C:J,8,FALSE)="Short",AT459,AU459),"")</f>
        <v/>
      </c>
      <c r="AW459" s="109" t="str">
        <f t="shared" si="241"/>
        <v/>
      </c>
      <c r="AX459" s="109" t="str">
        <f t="shared" si="242"/>
        <v/>
      </c>
      <c r="AY459" s="112" t="str">
        <f>IF(ISNUMBER(O459),IF(AND(VLOOKUP($D459,Merchantability!$B:$C,2,0)="Yes",$E459&gt;=VLOOKUP($D459,Merchantability!$B:$D,3,0),$E459&lt;=VLOOKUP($D459,Merchantability!$B:$E,4,0)),(AV459*O459)*(1-$H459/100),""),"")</f>
        <v/>
      </c>
      <c r="AZ459" s="116"/>
      <c r="BA459" s="116"/>
      <c r="BB459" s="116"/>
      <c r="BE459" s="62"/>
      <c r="BF459" s="63"/>
    </row>
    <row r="460" spans="1:58" ht="12.75" customHeight="1" x14ac:dyDescent="0.25">
      <c r="A460" s="313"/>
      <c r="B460" s="328"/>
      <c r="C460" s="329"/>
      <c r="D460" s="328"/>
      <c r="E460" s="330"/>
      <c r="F460" s="331"/>
      <c r="G460" s="329"/>
      <c r="H460" s="329"/>
      <c r="I460" s="328"/>
      <c r="J460" s="329"/>
      <c r="K460" s="329"/>
      <c r="L460" s="329"/>
      <c r="M460" s="76"/>
      <c r="N460" s="103" t="str">
        <f>IF(A460="","",VLOOKUP(A460,Stand!C:K,9,0))</f>
        <v/>
      </c>
      <c r="O460" s="104" t="str">
        <f t="shared" si="227"/>
        <v/>
      </c>
      <c r="P460" s="105" t="str">
        <f t="shared" si="228"/>
        <v/>
      </c>
      <c r="Q460" s="105" t="str">
        <f t="shared" si="216"/>
        <v/>
      </c>
      <c r="R460" s="103" t="str">
        <f t="shared" si="229"/>
        <v/>
      </c>
      <c r="S460" s="103" t="str">
        <f t="shared" si="230"/>
        <v/>
      </c>
      <c r="T460" s="106" t="str">
        <f t="shared" si="217"/>
        <v/>
      </c>
      <c r="U460" s="106" t="str">
        <f t="shared" si="218"/>
        <v/>
      </c>
      <c r="V460" s="106" t="str">
        <f t="shared" si="219"/>
        <v/>
      </c>
      <c r="W460" s="105" t="str">
        <f t="shared" si="231"/>
        <v/>
      </c>
      <c r="X460" s="104" t="str">
        <f t="shared" si="236"/>
        <v/>
      </c>
      <c r="Y460" s="104" t="str">
        <f t="array" ref="Y460">IFERROR(IF(ISNUMBER(O460),IF(COUNT(IF(A460=$A$2:$A$2427,IF(D460=$D$2:$D$2427,IF($X$2:$X$2427&gt;0,1))))&gt;0,SUM(IF(A460=$A$2:$A$2427,IF(D460=$D$2:$D$2427,$X$2:$X$2427)))/COUNT(IF(A460=$A$2:$A$2427,IF(D460=$D$2:$D$2427,IF(ISNUMBER($X$2:$X$2427),1)))),0),""),0)</f>
        <v/>
      </c>
      <c r="Z460" s="104" t="str">
        <f>IF(ISNUMBER(O460),IF(I460&gt;0,(10^(VLOOKUP(D460,'Species Codes'!B:C,2,0)+VLOOKUP(D460,'Species Codes'!B:D,3,0)*LOG(E460)+VLOOKUP(D460,'Species Codes'!B:E,4,0)*LOG(I460))),0),"")</f>
        <v/>
      </c>
      <c r="AA460" s="104" t="str">
        <f>IFERROR((VLOOKUP(D460,'Species Codes'!B:G,6,0)*Z460)/2000,"")</f>
        <v/>
      </c>
      <c r="AB460" s="104" t="e">
        <f>IF(Z460&gt;0,((IF(OR(D460="DF",D460="RA")=TRUE,EXP(VLOOKUP(D460,'Species Codes'!B:I,8,0)+VLOOKUP(D460,'Species Codes'!B:J,9,0)*(LN((E460*2.54)))),IF(OR(D460="PY",D460="RC",D460="WH",D460="NF")=TRUE,VLOOKUP(D460,'Species Codes'!B:I,8,0)+VLOOKUP(D460,'Species Codes'!B:J,9,0)*((E460*2.54)^2)*(I460*0.3048),IF(OR(D460="MD",D460="BM",D460="GA")=TRUE,((VLOOKUP(D460,'Species Codes'!B:I,8,0)*(((((E460*2.54)+VLOOKUP(D460,'Species Codes'!B:J,9,0))/VLOOKUP(D460,'Species Codes'!B:K,10,0))^VLOOKUP(D460,'Species Codes'!B:L,11,0))*((I460*0.3048)^VLOOKUP(D460,'Species Codes'!B:M,12,0))))-(VLOOKUP(D460,'Species Codes'!B:I,8,0)*((((E460*2.54)^VLOOKUP(D460,'Species Codes'!B:L,11,0))*((I460*0.3048)^VLOOKUP(D460,'Species Codes'!B:M,12,0))))))*35.3*VLOOKUP(D460,'Species Codes'!B:G,6,0)/2.2046,VLOOKUP(D460,'Species Codes'!B:I,8,0)+VLOOKUP(D460,'Species Codes'!B:J,9,0)*(((E460*2.54)/100)^2)*(I460*0.3048)))))*0.0011023),0)</f>
        <v>#N/A</v>
      </c>
      <c r="AC460" s="104" t="e">
        <f>IF(Z460&gt;0,((IF(OR(D460="RA",D460="OA",D460="OT",D460="UN",D460="PC"),EXP(VLOOKUP(D460,'Species Codes'!B:O,14,0)+VLOOKUP(D460,'Species Codes'!B:P,15,0)*LN((E460*2.54)))-EXP(VLOOKUP(D460,'Species Codes'!B:O,14,0)+VLOOKUP(D460,'Species Codes'!B:P,15,0)*LN((E460*2.54)))*(1/(VLOOKUP(D460,'Species Codes'!B:Q,16,0)+VLOOKUP(D460,'Species Codes'!B:R,17,0)*((E460*2.54)^VLOOKUP(D460,'Species Codes'!B:S,18,0)))),IF(OR(D460="BM",D460="MD",D460="OA"),EXP(VLOOKUP(D460,'Species Codes'!B:O,14,0)+VLOOKUP(D460,'Species Codes'!B:P,15,0)*LN((E460*2.54)))*(1-(1/(VLOOKUP(D460,'Species Codes'!B:Q,16,0)+VLOOKUP(D460,'Species Codes'!B:R,17,0)*((E460*2.54)^VLOOKUP(D460,'Species Codes'!B:S,18,0)))))/1000,IF(D460="DF",EXP(VLOOKUP(D460,'Species Codes'!B:O,14,0)+VLOOKUP(D460,'Species Codes'!B:P,15,0)*LN((E460*2.54))),VLOOKUP(D460,'Species Codes'!B:O,14,0)+VLOOKUP(D460,'Species Codes'!B:P,15,0)*(((E460*2.54)/100)^2)*(I460*0.3048)))))*0.0011023),0)</f>
        <v>#N/A</v>
      </c>
      <c r="AD460" s="104" t="e">
        <f t="shared" si="220"/>
        <v>#N/A</v>
      </c>
      <c r="AE460" s="104" t="e">
        <f t="shared" si="221"/>
        <v>#N/A</v>
      </c>
      <c r="AF460" s="104" t="e">
        <f>IF(AND(VLOOKUP($D460,Merchantability!$B:$C,2,0)="Yes",$E460&gt;=VLOOKUP($D460,Merchantability!$B:$D,3,0),$E460&lt;=VLOOKUP($D460,Merchantability!$B:$E,4,0)),AA460,0)</f>
        <v>#N/A</v>
      </c>
      <c r="AG460" s="104" t="e">
        <f>IF(AND(VLOOKUP($D460,Merchantability!$B:$C,2,0)="Yes",$E460&gt;=VLOOKUP($D460,Merchantability!$B:$D,3,0),$E460&lt;=VLOOKUP($D460,Merchantability!$B:$E,4,0)),AB460,0)</f>
        <v>#N/A</v>
      </c>
      <c r="AH460" s="104" t="e">
        <f>IF(AND(VLOOKUP($D460,Merchantability!$B:$C,2,0)="Yes",$E460&gt;=VLOOKUP($D460,Merchantability!$B:$D,3,0),$E460&lt;=VLOOKUP($D460,Merchantability!$B:$E,4,0)),AC460,0)</f>
        <v>#N/A</v>
      </c>
      <c r="AI460" s="104" t="e">
        <f t="shared" si="222"/>
        <v>#N/A</v>
      </c>
      <c r="AJ460" s="104" t="e">
        <f t="shared" si="223"/>
        <v>#VALUE!</v>
      </c>
      <c r="AK460" s="104" t="e">
        <f t="shared" si="224"/>
        <v>#N/A</v>
      </c>
      <c r="AL460" s="104" t="e">
        <f t="shared" si="225"/>
        <v>#N/A</v>
      </c>
      <c r="AM460" s="104" t="e">
        <f t="shared" si="226"/>
        <v>#N/A</v>
      </c>
      <c r="AN460" s="104" t="e">
        <f t="shared" si="237"/>
        <v>#N/A</v>
      </c>
      <c r="AO460" s="104" t="e">
        <f t="shared" si="238"/>
        <v>#N/A</v>
      </c>
      <c r="AP460" s="104" t="e">
        <f t="shared" si="239"/>
        <v>#N/A</v>
      </c>
      <c r="AQ460" s="104" t="e">
        <f t="shared" si="240"/>
        <v>#N/A</v>
      </c>
      <c r="AR460" s="105" t="str">
        <f t="shared" si="232"/>
        <v/>
      </c>
      <c r="AS460" s="105" t="str">
        <f t="shared" si="233"/>
        <v/>
      </c>
      <c r="AT460" s="108" t="str">
        <f t="shared" si="234"/>
        <v/>
      </c>
      <c r="AU460" s="108" t="str">
        <f t="shared" si="235"/>
        <v/>
      </c>
      <c r="AV460" s="107" t="str">
        <f>IF(ISNUMBER(O460),IF(VLOOKUP($A460,Stand!C:J,8,FALSE)="Short",AT460,AU460),"")</f>
        <v/>
      </c>
      <c r="AW460" s="109" t="str">
        <f t="shared" si="241"/>
        <v/>
      </c>
      <c r="AX460" s="109" t="str">
        <f t="shared" si="242"/>
        <v/>
      </c>
      <c r="AY460" s="112" t="str">
        <f>IF(ISNUMBER(O460),IF(AND(VLOOKUP($D460,Merchantability!$B:$C,2,0)="Yes",$E460&gt;=VLOOKUP($D460,Merchantability!$B:$D,3,0),$E460&lt;=VLOOKUP($D460,Merchantability!$B:$E,4,0)),(AV460*O460)*(1-$H460/100),""),"")</f>
        <v/>
      </c>
      <c r="AZ460" s="116"/>
      <c r="BA460" s="116"/>
      <c r="BB460" s="116"/>
      <c r="BE460" s="62"/>
      <c r="BF460" s="63"/>
    </row>
    <row r="461" spans="1:58" ht="12.75" customHeight="1" x14ac:dyDescent="0.25">
      <c r="A461" s="313"/>
      <c r="B461" s="328"/>
      <c r="C461" s="329"/>
      <c r="D461" s="328"/>
      <c r="E461" s="330"/>
      <c r="F461" s="331"/>
      <c r="G461" s="329"/>
      <c r="H461" s="329"/>
      <c r="I461" s="328"/>
      <c r="J461" s="329"/>
      <c r="K461" s="329"/>
      <c r="L461" s="329"/>
      <c r="M461" s="76"/>
      <c r="N461" s="103" t="str">
        <f>IF(A461="","",VLOOKUP(A461,Stand!C:K,9,0))</f>
        <v/>
      </c>
      <c r="O461" s="104" t="str">
        <f t="shared" si="227"/>
        <v/>
      </c>
      <c r="P461" s="105" t="str">
        <f t="shared" si="228"/>
        <v/>
      </c>
      <c r="Q461" s="105" t="str">
        <f t="shared" si="216"/>
        <v/>
      </c>
      <c r="R461" s="103" t="str">
        <f t="shared" si="229"/>
        <v/>
      </c>
      <c r="S461" s="103" t="str">
        <f t="shared" si="230"/>
        <v/>
      </c>
      <c r="T461" s="106" t="str">
        <f t="shared" si="217"/>
        <v/>
      </c>
      <c r="U461" s="106" t="str">
        <f t="shared" si="218"/>
        <v/>
      </c>
      <c r="V461" s="106" t="str">
        <f t="shared" si="219"/>
        <v/>
      </c>
      <c r="W461" s="105" t="str">
        <f t="shared" si="231"/>
        <v/>
      </c>
      <c r="X461" s="104" t="str">
        <f t="shared" si="236"/>
        <v/>
      </c>
      <c r="Y461" s="104" t="str">
        <f t="array" ref="Y461">IFERROR(IF(ISNUMBER(O461),IF(COUNT(IF(A461=$A$2:$A$2427,IF(D461=$D$2:$D$2427,IF($X$2:$X$2427&gt;0,1))))&gt;0,SUM(IF(A461=$A$2:$A$2427,IF(D461=$D$2:$D$2427,$X$2:$X$2427)))/COUNT(IF(A461=$A$2:$A$2427,IF(D461=$D$2:$D$2427,IF(ISNUMBER($X$2:$X$2427),1)))),0),""),0)</f>
        <v/>
      </c>
      <c r="Z461" s="104" t="str">
        <f>IF(ISNUMBER(O461),IF(I461&gt;0,(10^(VLOOKUP(D461,'Species Codes'!B:C,2,0)+VLOOKUP(D461,'Species Codes'!B:D,3,0)*LOG(E461)+VLOOKUP(D461,'Species Codes'!B:E,4,0)*LOG(I461))),0),"")</f>
        <v/>
      </c>
      <c r="AA461" s="104" t="str">
        <f>IFERROR((VLOOKUP(D461,'Species Codes'!B:G,6,0)*Z461)/2000,"")</f>
        <v/>
      </c>
      <c r="AB461" s="104" t="e">
        <f>IF(Z461&gt;0,((IF(OR(D461="DF",D461="RA")=TRUE,EXP(VLOOKUP(D461,'Species Codes'!B:I,8,0)+VLOOKUP(D461,'Species Codes'!B:J,9,0)*(LN((E461*2.54)))),IF(OR(D461="PY",D461="RC",D461="WH",D461="NF")=TRUE,VLOOKUP(D461,'Species Codes'!B:I,8,0)+VLOOKUP(D461,'Species Codes'!B:J,9,0)*((E461*2.54)^2)*(I461*0.3048),IF(OR(D461="MD",D461="BM",D461="GA")=TRUE,((VLOOKUP(D461,'Species Codes'!B:I,8,0)*(((((E461*2.54)+VLOOKUP(D461,'Species Codes'!B:J,9,0))/VLOOKUP(D461,'Species Codes'!B:K,10,0))^VLOOKUP(D461,'Species Codes'!B:L,11,0))*((I461*0.3048)^VLOOKUP(D461,'Species Codes'!B:M,12,0))))-(VLOOKUP(D461,'Species Codes'!B:I,8,0)*((((E461*2.54)^VLOOKUP(D461,'Species Codes'!B:L,11,0))*((I461*0.3048)^VLOOKUP(D461,'Species Codes'!B:M,12,0))))))*35.3*VLOOKUP(D461,'Species Codes'!B:G,6,0)/2.2046,VLOOKUP(D461,'Species Codes'!B:I,8,0)+VLOOKUP(D461,'Species Codes'!B:J,9,0)*(((E461*2.54)/100)^2)*(I461*0.3048)))))*0.0011023),0)</f>
        <v>#N/A</v>
      </c>
      <c r="AC461" s="104" t="e">
        <f>IF(Z461&gt;0,((IF(OR(D461="RA",D461="OA",D461="OT",D461="UN",D461="PC"),EXP(VLOOKUP(D461,'Species Codes'!B:O,14,0)+VLOOKUP(D461,'Species Codes'!B:P,15,0)*LN((E461*2.54)))-EXP(VLOOKUP(D461,'Species Codes'!B:O,14,0)+VLOOKUP(D461,'Species Codes'!B:P,15,0)*LN((E461*2.54)))*(1/(VLOOKUP(D461,'Species Codes'!B:Q,16,0)+VLOOKUP(D461,'Species Codes'!B:R,17,0)*((E461*2.54)^VLOOKUP(D461,'Species Codes'!B:S,18,0)))),IF(OR(D461="BM",D461="MD",D461="OA"),EXP(VLOOKUP(D461,'Species Codes'!B:O,14,0)+VLOOKUP(D461,'Species Codes'!B:P,15,0)*LN((E461*2.54)))*(1-(1/(VLOOKUP(D461,'Species Codes'!B:Q,16,0)+VLOOKUP(D461,'Species Codes'!B:R,17,0)*((E461*2.54)^VLOOKUP(D461,'Species Codes'!B:S,18,0)))))/1000,IF(D461="DF",EXP(VLOOKUP(D461,'Species Codes'!B:O,14,0)+VLOOKUP(D461,'Species Codes'!B:P,15,0)*LN((E461*2.54))),VLOOKUP(D461,'Species Codes'!B:O,14,0)+VLOOKUP(D461,'Species Codes'!B:P,15,0)*(((E461*2.54)/100)^2)*(I461*0.3048)))))*0.0011023),0)</f>
        <v>#N/A</v>
      </c>
      <c r="AD461" s="104" t="e">
        <f t="shared" si="220"/>
        <v>#N/A</v>
      </c>
      <c r="AE461" s="104" t="e">
        <f t="shared" si="221"/>
        <v>#N/A</v>
      </c>
      <c r="AF461" s="104" t="e">
        <f>IF(AND(VLOOKUP($D461,Merchantability!$B:$C,2,0)="Yes",$E461&gt;=VLOOKUP($D461,Merchantability!$B:$D,3,0),$E461&lt;=VLOOKUP($D461,Merchantability!$B:$E,4,0)),AA461,0)</f>
        <v>#N/A</v>
      </c>
      <c r="AG461" s="104" t="e">
        <f>IF(AND(VLOOKUP($D461,Merchantability!$B:$C,2,0)="Yes",$E461&gt;=VLOOKUP($D461,Merchantability!$B:$D,3,0),$E461&lt;=VLOOKUP($D461,Merchantability!$B:$E,4,0)),AB461,0)</f>
        <v>#N/A</v>
      </c>
      <c r="AH461" s="104" t="e">
        <f>IF(AND(VLOOKUP($D461,Merchantability!$B:$C,2,0)="Yes",$E461&gt;=VLOOKUP($D461,Merchantability!$B:$D,3,0),$E461&lt;=VLOOKUP($D461,Merchantability!$B:$E,4,0)),AC461,0)</f>
        <v>#N/A</v>
      </c>
      <c r="AI461" s="104" t="e">
        <f t="shared" si="222"/>
        <v>#N/A</v>
      </c>
      <c r="AJ461" s="104" t="e">
        <f t="shared" si="223"/>
        <v>#VALUE!</v>
      </c>
      <c r="AK461" s="104" t="e">
        <f t="shared" si="224"/>
        <v>#N/A</v>
      </c>
      <c r="AL461" s="104" t="e">
        <f t="shared" si="225"/>
        <v>#N/A</v>
      </c>
      <c r="AM461" s="104" t="e">
        <f t="shared" si="226"/>
        <v>#N/A</v>
      </c>
      <c r="AN461" s="104" t="e">
        <f t="shared" si="237"/>
        <v>#N/A</v>
      </c>
      <c r="AO461" s="104" t="e">
        <f t="shared" si="238"/>
        <v>#N/A</v>
      </c>
      <c r="AP461" s="104" t="e">
        <f t="shared" si="239"/>
        <v>#N/A</v>
      </c>
      <c r="AQ461" s="104" t="e">
        <f t="shared" si="240"/>
        <v>#N/A</v>
      </c>
      <c r="AR461" s="105" t="str">
        <f t="shared" si="232"/>
        <v/>
      </c>
      <c r="AS461" s="105" t="str">
        <f t="shared" si="233"/>
        <v/>
      </c>
      <c r="AT461" s="108" t="str">
        <f t="shared" si="234"/>
        <v/>
      </c>
      <c r="AU461" s="108" t="str">
        <f t="shared" si="235"/>
        <v/>
      </c>
      <c r="AV461" s="107" t="str">
        <f>IF(ISNUMBER(O461),IF(VLOOKUP($A461,Stand!C:J,8,FALSE)="Short",AT461,AU461),"")</f>
        <v/>
      </c>
      <c r="AW461" s="109" t="str">
        <f t="shared" si="241"/>
        <v/>
      </c>
      <c r="AX461" s="109" t="str">
        <f t="shared" si="242"/>
        <v/>
      </c>
      <c r="AY461" s="112" t="str">
        <f>IF(ISNUMBER(O461),IF(AND(VLOOKUP($D461,Merchantability!$B:$C,2,0)="Yes",$E461&gt;=VLOOKUP($D461,Merchantability!$B:$D,3,0),$E461&lt;=VLOOKUP($D461,Merchantability!$B:$E,4,0)),(AV461*O461)*(1-$H461/100),""),"")</f>
        <v/>
      </c>
      <c r="AZ461" s="116"/>
      <c r="BA461" s="116"/>
      <c r="BB461" s="116"/>
      <c r="BE461" s="62"/>
      <c r="BF461" s="63"/>
    </row>
    <row r="462" spans="1:58" ht="12.75" customHeight="1" x14ac:dyDescent="0.25">
      <c r="A462" s="313"/>
      <c r="B462" s="328"/>
      <c r="C462" s="329"/>
      <c r="D462" s="328"/>
      <c r="E462" s="330"/>
      <c r="F462" s="331"/>
      <c r="G462" s="329"/>
      <c r="H462" s="329"/>
      <c r="I462" s="328"/>
      <c r="J462" s="329"/>
      <c r="K462" s="329"/>
      <c r="L462" s="329"/>
      <c r="M462" s="76"/>
      <c r="N462" s="103" t="str">
        <f>IF(A462="","",VLOOKUP(A462,Stand!C:K,9,0))</f>
        <v/>
      </c>
      <c r="O462" s="104" t="str">
        <f t="shared" si="227"/>
        <v/>
      </c>
      <c r="P462" s="105" t="str">
        <f t="shared" si="228"/>
        <v/>
      </c>
      <c r="Q462" s="105" t="str">
        <f t="shared" si="216"/>
        <v/>
      </c>
      <c r="R462" s="103" t="str">
        <f t="shared" si="229"/>
        <v/>
      </c>
      <c r="S462" s="103" t="str">
        <f t="shared" si="230"/>
        <v/>
      </c>
      <c r="T462" s="106" t="str">
        <f t="shared" si="217"/>
        <v/>
      </c>
      <c r="U462" s="106" t="str">
        <f t="shared" si="218"/>
        <v/>
      </c>
      <c r="V462" s="106" t="str">
        <f t="shared" si="219"/>
        <v/>
      </c>
      <c r="W462" s="105" t="str">
        <f t="shared" si="231"/>
        <v/>
      </c>
      <c r="X462" s="104" t="str">
        <f t="shared" si="236"/>
        <v/>
      </c>
      <c r="Y462" s="104" t="str">
        <f t="array" ref="Y462">IFERROR(IF(ISNUMBER(O462),IF(COUNT(IF(A462=$A$2:$A$2427,IF(D462=$D$2:$D$2427,IF($X$2:$X$2427&gt;0,1))))&gt;0,SUM(IF(A462=$A$2:$A$2427,IF(D462=$D$2:$D$2427,$X$2:$X$2427)))/COUNT(IF(A462=$A$2:$A$2427,IF(D462=$D$2:$D$2427,IF(ISNUMBER($X$2:$X$2427),1)))),0),""),0)</f>
        <v/>
      </c>
      <c r="Z462" s="104" t="str">
        <f>IF(ISNUMBER(O462),IF(I462&gt;0,(10^(VLOOKUP(D462,'Species Codes'!B:C,2,0)+VLOOKUP(D462,'Species Codes'!B:D,3,0)*LOG(E462)+VLOOKUP(D462,'Species Codes'!B:E,4,0)*LOG(I462))),0),"")</f>
        <v/>
      </c>
      <c r="AA462" s="104" t="str">
        <f>IFERROR((VLOOKUP(D462,'Species Codes'!B:G,6,0)*Z462)/2000,"")</f>
        <v/>
      </c>
      <c r="AB462" s="104" t="e">
        <f>IF(Z462&gt;0,((IF(OR(D462="DF",D462="RA")=TRUE,EXP(VLOOKUP(D462,'Species Codes'!B:I,8,0)+VLOOKUP(D462,'Species Codes'!B:J,9,0)*(LN((E462*2.54)))),IF(OR(D462="PY",D462="RC",D462="WH",D462="NF")=TRUE,VLOOKUP(D462,'Species Codes'!B:I,8,0)+VLOOKUP(D462,'Species Codes'!B:J,9,0)*((E462*2.54)^2)*(I462*0.3048),IF(OR(D462="MD",D462="BM",D462="GA")=TRUE,((VLOOKUP(D462,'Species Codes'!B:I,8,0)*(((((E462*2.54)+VLOOKUP(D462,'Species Codes'!B:J,9,0))/VLOOKUP(D462,'Species Codes'!B:K,10,0))^VLOOKUP(D462,'Species Codes'!B:L,11,0))*((I462*0.3048)^VLOOKUP(D462,'Species Codes'!B:M,12,0))))-(VLOOKUP(D462,'Species Codes'!B:I,8,0)*((((E462*2.54)^VLOOKUP(D462,'Species Codes'!B:L,11,0))*((I462*0.3048)^VLOOKUP(D462,'Species Codes'!B:M,12,0))))))*35.3*VLOOKUP(D462,'Species Codes'!B:G,6,0)/2.2046,VLOOKUP(D462,'Species Codes'!B:I,8,0)+VLOOKUP(D462,'Species Codes'!B:J,9,0)*(((E462*2.54)/100)^2)*(I462*0.3048)))))*0.0011023),0)</f>
        <v>#N/A</v>
      </c>
      <c r="AC462" s="104" t="e">
        <f>IF(Z462&gt;0,((IF(OR(D462="RA",D462="OA",D462="OT",D462="UN",D462="PC"),EXP(VLOOKUP(D462,'Species Codes'!B:O,14,0)+VLOOKUP(D462,'Species Codes'!B:P,15,0)*LN((E462*2.54)))-EXP(VLOOKUP(D462,'Species Codes'!B:O,14,0)+VLOOKUP(D462,'Species Codes'!B:P,15,0)*LN((E462*2.54)))*(1/(VLOOKUP(D462,'Species Codes'!B:Q,16,0)+VLOOKUP(D462,'Species Codes'!B:R,17,0)*((E462*2.54)^VLOOKUP(D462,'Species Codes'!B:S,18,0)))),IF(OR(D462="BM",D462="MD",D462="OA"),EXP(VLOOKUP(D462,'Species Codes'!B:O,14,0)+VLOOKUP(D462,'Species Codes'!B:P,15,0)*LN((E462*2.54)))*(1-(1/(VLOOKUP(D462,'Species Codes'!B:Q,16,0)+VLOOKUP(D462,'Species Codes'!B:R,17,0)*((E462*2.54)^VLOOKUP(D462,'Species Codes'!B:S,18,0)))))/1000,IF(D462="DF",EXP(VLOOKUP(D462,'Species Codes'!B:O,14,0)+VLOOKUP(D462,'Species Codes'!B:P,15,0)*LN((E462*2.54))),VLOOKUP(D462,'Species Codes'!B:O,14,0)+VLOOKUP(D462,'Species Codes'!B:P,15,0)*(((E462*2.54)/100)^2)*(I462*0.3048)))))*0.0011023),0)</f>
        <v>#N/A</v>
      </c>
      <c r="AD462" s="104" t="e">
        <f t="shared" si="220"/>
        <v>#N/A</v>
      </c>
      <c r="AE462" s="104" t="e">
        <f t="shared" si="221"/>
        <v>#N/A</v>
      </c>
      <c r="AF462" s="104" t="e">
        <f>IF(AND(VLOOKUP($D462,Merchantability!$B:$C,2,0)="Yes",$E462&gt;=VLOOKUP($D462,Merchantability!$B:$D,3,0),$E462&lt;=VLOOKUP($D462,Merchantability!$B:$E,4,0)),AA462,0)</f>
        <v>#N/A</v>
      </c>
      <c r="AG462" s="104" t="e">
        <f>IF(AND(VLOOKUP($D462,Merchantability!$B:$C,2,0)="Yes",$E462&gt;=VLOOKUP($D462,Merchantability!$B:$D,3,0),$E462&lt;=VLOOKUP($D462,Merchantability!$B:$E,4,0)),AB462,0)</f>
        <v>#N/A</v>
      </c>
      <c r="AH462" s="104" t="e">
        <f>IF(AND(VLOOKUP($D462,Merchantability!$B:$C,2,0)="Yes",$E462&gt;=VLOOKUP($D462,Merchantability!$B:$D,3,0),$E462&lt;=VLOOKUP($D462,Merchantability!$B:$E,4,0)),AC462,0)</f>
        <v>#N/A</v>
      </c>
      <c r="AI462" s="104" t="e">
        <f t="shared" si="222"/>
        <v>#N/A</v>
      </c>
      <c r="AJ462" s="104" t="e">
        <f t="shared" si="223"/>
        <v>#VALUE!</v>
      </c>
      <c r="AK462" s="104" t="e">
        <f t="shared" si="224"/>
        <v>#N/A</v>
      </c>
      <c r="AL462" s="104" t="e">
        <f t="shared" si="225"/>
        <v>#N/A</v>
      </c>
      <c r="AM462" s="104" t="e">
        <f t="shared" si="226"/>
        <v>#N/A</v>
      </c>
      <c r="AN462" s="104" t="e">
        <f t="shared" si="237"/>
        <v>#N/A</v>
      </c>
      <c r="AO462" s="104" t="e">
        <f t="shared" si="238"/>
        <v>#N/A</v>
      </c>
      <c r="AP462" s="104" t="e">
        <f t="shared" si="239"/>
        <v>#N/A</v>
      </c>
      <c r="AQ462" s="104" t="e">
        <f t="shared" si="240"/>
        <v>#N/A</v>
      </c>
      <c r="AR462" s="105" t="str">
        <f t="shared" si="232"/>
        <v/>
      </c>
      <c r="AS462" s="105" t="str">
        <f t="shared" si="233"/>
        <v/>
      </c>
      <c r="AT462" s="108" t="str">
        <f t="shared" si="234"/>
        <v/>
      </c>
      <c r="AU462" s="108" t="str">
        <f t="shared" si="235"/>
        <v/>
      </c>
      <c r="AV462" s="107" t="str">
        <f>IF(ISNUMBER(O462),IF(VLOOKUP($A462,Stand!C:J,8,FALSE)="Short",AT462,AU462),"")</f>
        <v/>
      </c>
      <c r="AW462" s="109" t="str">
        <f t="shared" si="241"/>
        <v/>
      </c>
      <c r="AX462" s="109" t="str">
        <f t="shared" si="242"/>
        <v/>
      </c>
      <c r="AY462" s="112" t="str">
        <f>IF(ISNUMBER(O462),IF(AND(VLOOKUP($D462,Merchantability!$B:$C,2,0)="Yes",$E462&gt;=VLOOKUP($D462,Merchantability!$B:$D,3,0),$E462&lt;=VLOOKUP($D462,Merchantability!$B:$E,4,0)),(AV462*O462)*(1-$H462/100),""),"")</f>
        <v/>
      </c>
      <c r="AZ462" s="116"/>
      <c r="BA462" s="116"/>
      <c r="BB462" s="116"/>
      <c r="BE462" s="62"/>
      <c r="BF462" s="63"/>
    </row>
    <row r="463" spans="1:58" ht="12.75" customHeight="1" x14ac:dyDescent="0.25">
      <c r="A463" s="313"/>
      <c r="B463" s="328"/>
      <c r="C463" s="329"/>
      <c r="D463" s="328"/>
      <c r="E463" s="330"/>
      <c r="F463" s="331"/>
      <c r="G463" s="329"/>
      <c r="H463" s="329"/>
      <c r="I463" s="328"/>
      <c r="J463" s="329"/>
      <c r="K463" s="329"/>
      <c r="L463" s="329"/>
      <c r="M463" s="76"/>
      <c r="N463" s="103" t="str">
        <f>IF(A463="","",VLOOKUP(A463,Stand!C:K,9,0))</f>
        <v/>
      </c>
      <c r="O463" s="104" t="str">
        <f t="shared" si="227"/>
        <v/>
      </c>
      <c r="P463" s="105" t="str">
        <f t="shared" si="228"/>
        <v/>
      </c>
      <c r="Q463" s="105" t="str">
        <f t="shared" si="216"/>
        <v/>
      </c>
      <c r="R463" s="103" t="str">
        <f t="shared" si="229"/>
        <v/>
      </c>
      <c r="S463" s="103" t="str">
        <f t="shared" si="230"/>
        <v/>
      </c>
      <c r="T463" s="106" t="str">
        <f t="shared" si="217"/>
        <v/>
      </c>
      <c r="U463" s="106" t="str">
        <f t="shared" si="218"/>
        <v/>
      </c>
      <c r="V463" s="106" t="str">
        <f t="shared" si="219"/>
        <v/>
      </c>
      <c r="W463" s="105" t="str">
        <f t="shared" si="231"/>
        <v/>
      </c>
      <c r="X463" s="104" t="str">
        <f t="shared" si="236"/>
        <v/>
      </c>
      <c r="Y463" s="104" t="str">
        <f t="array" ref="Y463">IFERROR(IF(ISNUMBER(O463),IF(COUNT(IF(A463=$A$2:$A$2427,IF(D463=$D$2:$D$2427,IF($X$2:$X$2427&gt;0,1))))&gt;0,SUM(IF(A463=$A$2:$A$2427,IF(D463=$D$2:$D$2427,$X$2:$X$2427)))/COUNT(IF(A463=$A$2:$A$2427,IF(D463=$D$2:$D$2427,IF(ISNUMBER($X$2:$X$2427),1)))),0),""),0)</f>
        <v/>
      </c>
      <c r="Z463" s="104" t="str">
        <f>IF(ISNUMBER(O463),IF(I463&gt;0,(10^(VLOOKUP(D463,'Species Codes'!B:C,2,0)+VLOOKUP(D463,'Species Codes'!B:D,3,0)*LOG(E463)+VLOOKUP(D463,'Species Codes'!B:E,4,0)*LOG(I463))),0),"")</f>
        <v/>
      </c>
      <c r="AA463" s="104" t="str">
        <f>IFERROR((VLOOKUP(D463,'Species Codes'!B:G,6,0)*Z463)/2000,"")</f>
        <v/>
      </c>
      <c r="AB463" s="104" t="e">
        <f>IF(Z463&gt;0,((IF(OR(D463="DF",D463="RA")=TRUE,EXP(VLOOKUP(D463,'Species Codes'!B:I,8,0)+VLOOKUP(D463,'Species Codes'!B:J,9,0)*(LN((E463*2.54)))),IF(OR(D463="PY",D463="RC",D463="WH",D463="NF")=TRUE,VLOOKUP(D463,'Species Codes'!B:I,8,0)+VLOOKUP(D463,'Species Codes'!B:J,9,0)*((E463*2.54)^2)*(I463*0.3048),IF(OR(D463="MD",D463="BM",D463="GA")=TRUE,((VLOOKUP(D463,'Species Codes'!B:I,8,0)*(((((E463*2.54)+VLOOKUP(D463,'Species Codes'!B:J,9,0))/VLOOKUP(D463,'Species Codes'!B:K,10,0))^VLOOKUP(D463,'Species Codes'!B:L,11,0))*((I463*0.3048)^VLOOKUP(D463,'Species Codes'!B:M,12,0))))-(VLOOKUP(D463,'Species Codes'!B:I,8,0)*((((E463*2.54)^VLOOKUP(D463,'Species Codes'!B:L,11,0))*((I463*0.3048)^VLOOKUP(D463,'Species Codes'!B:M,12,0))))))*35.3*VLOOKUP(D463,'Species Codes'!B:G,6,0)/2.2046,VLOOKUP(D463,'Species Codes'!B:I,8,0)+VLOOKUP(D463,'Species Codes'!B:J,9,0)*(((E463*2.54)/100)^2)*(I463*0.3048)))))*0.0011023),0)</f>
        <v>#N/A</v>
      </c>
      <c r="AC463" s="104" t="e">
        <f>IF(Z463&gt;0,((IF(OR(D463="RA",D463="OA",D463="OT",D463="UN",D463="PC"),EXP(VLOOKUP(D463,'Species Codes'!B:O,14,0)+VLOOKUP(D463,'Species Codes'!B:P,15,0)*LN((E463*2.54)))-EXP(VLOOKUP(D463,'Species Codes'!B:O,14,0)+VLOOKUP(D463,'Species Codes'!B:P,15,0)*LN((E463*2.54)))*(1/(VLOOKUP(D463,'Species Codes'!B:Q,16,0)+VLOOKUP(D463,'Species Codes'!B:R,17,0)*((E463*2.54)^VLOOKUP(D463,'Species Codes'!B:S,18,0)))),IF(OR(D463="BM",D463="MD",D463="OA"),EXP(VLOOKUP(D463,'Species Codes'!B:O,14,0)+VLOOKUP(D463,'Species Codes'!B:P,15,0)*LN((E463*2.54)))*(1-(1/(VLOOKUP(D463,'Species Codes'!B:Q,16,0)+VLOOKUP(D463,'Species Codes'!B:R,17,0)*((E463*2.54)^VLOOKUP(D463,'Species Codes'!B:S,18,0)))))/1000,IF(D463="DF",EXP(VLOOKUP(D463,'Species Codes'!B:O,14,0)+VLOOKUP(D463,'Species Codes'!B:P,15,0)*LN((E463*2.54))),VLOOKUP(D463,'Species Codes'!B:O,14,0)+VLOOKUP(D463,'Species Codes'!B:P,15,0)*(((E463*2.54)/100)^2)*(I463*0.3048)))))*0.0011023),0)</f>
        <v>#N/A</v>
      </c>
      <c r="AD463" s="104" t="e">
        <f t="shared" si="220"/>
        <v>#N/A</v>
      </c>
      <c r="AE463" s="104" t="e">
        <f t="shared" si="221"/>
        <v>#N/A</v>
      </c>
      <c r="AF463" s="104" t="e">
        <f>IF(AND(VLOOKUP($D463,Merchantability!$B:$C,2,0)="Yes",$E463&gt;=VLOOKUP($D463,Merchantability!$B:$D,3,0),$E463&lt;=VLOOKUP($D463,Merchantability!$B:$E,4,0)),AA463,0)</f>
        <v>#N/A</v>
      </c>
      <c r="AG463" s="104" t="e">
        <f>IF(AND(VLOOKUP($D463,Merchantability!$B:$C,2,0)="Yes",$E463&gt;=VLOOKUP($D463,Merchantability!$B:$D,3,0),$E463&lt;=VLOOKUP($D463,Merchantability!$B:$E,4,0)),AB463,0)</f>
        <v>#N/A</v>
      </c>
      <c r="AH463" s="104" t="e">
        <f>IF(AND(VLOOKUP($D463,Merchantability!$B:$C,2,0)="Yes",$E463&gt;=VLOOKUP($D463,Merchantability!$B:$D,3,0),$E463&lt;=VLOOKUP($D463,Merchantability!$B:$E,4,0)),AC463,0)</f>
        <v>#N/A</v>
      </c>
      <c r="AI463" s="104" t="e">
        <f t="shared" si="222"/>
        <v>#N/A</v>
      </c>
      <c r="AJ463" s="104" t="e">
        <f t="shared" si="223"/>
        <v>#VALUE!</v>
      </c>
      <c r="AK463" s="104" t="e">
        <f t="shared" si="224"/>
        <v>#N/A</v>
      </c>
      <c r="AL463" s="104" t="e">
        <f t="shared" si="225"/>
        <v>#N/A</v>
      </c>
      <c r="AM463" s="104" t="e">
        <f t="shared" si="226"/>
        <v>#N/A</v>
      </c>
      <c r="AN463" s="104" t="e">
        <f t="shared" si="237"/>
        <v>#N/A</v>
      </c>
      <c r="AO463" s="104" t="e">
        <f t="shared" si="238"/>
        <v>#N/A</v>
      </c>
      <c r="AP463" s="104" t="e">
        <f t="shared" si="239"/>
        <v>#N/A</v>
      </c>
      <c r="AQ463" s="104" t="e">
        <f t="shared" si="240"/>
        <v>#N/A</v>
      </c>
      <c r="AR463" s="105" t="str">
        <f t="shared" si="232"/>
        <v/>
      </c>
      <c r="AS463" s="105" t="str">
        <f t="shared" si="233"/>
        <v/>
      </c>
      <c r="AT463" s="108" t="str">
        <f t="shared" si="234"/>
        <v/>
      </c>
      <c r="AU463" s="108" t="str">
        <f t="shared" si="235"/>
        <v/>
      </c>
      <c r="AV463" s="107" t="str">
        <f>IF(ISNUMBER(O463),IF(VLOOKUP($A463,Stand!C:J,8,FALSE)="Short",AT463,AU463),"")</f>
        <v/>
      </c>
      <c r="AW463" s="109" t="str">
        <f t="shared" si="241"/>
        <v/>
      </c>
      <c r="AX463" s="109" t="str">
        <f t="shared" si="242"/>
        <v/>
      </c>
      <c r="AY463" s="112" t="str">
        <f>IF(ISNUMBER(O463),IF(AND(VLOOKUP($D463,Merchantability!$B:$C,2,0)="Yes",$E463&gt;=VLOOKUP($D463,Merchantability!$B:$D,3,0),$E463&lt;=VLOOKUP($D463,Merchantability!$B:$E,4,0)),(AV463*O463)*(1-$H463/100),""),"")</f>
        <v/>
      </c>
      <c r="AZ463" s="116"/>
      <c r="BA463" s="116"/>
      <c r="BB463" s="116"/>
      <c r="BE463" s="62"/>
      <c r="BF463" s="63"/>
    </row>
    <row r="464" spans="1:58" ht="12.75" customHeight="1" x14ac:dyDescent="0.25">
      <c r="A464" s="313"/>
      <c r="B464" s="328"/>
      <c r="C464" s="329"/>
      <c r="D464" s="328"/>
      <c r="E464" s="330"/>
      <c r="F464" s="331"/>
      <c r="G464" s="329"/>
      <c r="H464" s="329"/>
      <c r="I464" s="328"/>
      <c r="J464" s="329"/>
      <c r="K464" s="329"/>
      <c r="L464" s="329"/>
      <c r="M464" s="76"/>
      <c r="N464" s="103" t="str">
        <f>IF(A464="","",VLOOKUP(A464,Stand!C:K,9,0))</f>
        <v/>
      </c>
      <c r="O464" s="104" t="str">
        <f t="shared" si="227"/>
        <v/>
      </c>
      <c r="P464" s="105" t="str">
        <f t="shared" si="228"/>
        <v/>
      </c>
      <c r="Q464" s="105" t="str">
        <f t="shared" si="216"/>
        <v/>
      </c>
      <c r="R464" s="103" t="str">
        <f t="shared" si="229"/>
        <v/>
      </c>
      <c r="S464" s="103" t="str">
        <f t="shared" si="230"/>
        <v/>
      </c>
      <c r="T464" s="106" t="str">
        <f t="shared" si="217"/>
        <v/>
      </c>
      <c r="U464" s="106" t="str">
        <f t="shared" si="218"/>
        <v/>
      </c>
      <c r="V464" s="106" t="str">
        <f t="shared" si="219"/>
        <v/>
      </c>
      <c r="W464" s="105" t="str">
        <f t="shared" si="231"/>
        <v/>
      </c>
      <c r="X464" s="104" t="str">
        <f t="shared" si="236"/>
        <v/>
      </c>
      <c r="Y464" s="104" t="str">
        <f t="array" ref="Y464">IFERROR(IF(ISNUMBER(O464),IF(COUNT(IF(A464=$A$2:$A$2427,IF(D464=$D$2:$D$2427,IF($X$2:$X$2427&gt;0,1))))&gt;0,SUM(IF(A464=$A$2:$A$2427,IF(D464=$D$2:$D$2427,$X$2:$X$2427)))/COUNT(IF(A464=$A$2:$A$2427,IF(D464=$D$2:$D$2427,IF(ISNUMBER($X$2:$X$2427),1)))),0),""),0)</f>
        <v/>
      </c>
      <c r="Z464" s="104" t="str">
        <f>IF(ISNUMBER(O464),IF(I464&gt;0,(10^(VLOOKUP(D464,'Species Codes'!B:C,2,0)+VLOOKUP(D464,'Species Codes'!B:D,3,0)*LOG(E464)+VLOOKUP(D464,'Species Codes'!B:E,4,0)*LOG(I464))),0),"")</f>
        <v/>
      </c>
      <c r="AA464" s="104" t="str">
        <f>IFERROR((VLOOKUP(D464,'Species Codes'!B:G,6,0)*Z464)/2000,"")</f>
        <v/>
      </c>
      <c r="AB464" s="104" t="e">
        <f>IF(Z464&gt;0,((IF(OR(D464="DF",D464="RA")=TRUE,EXP(VLOOKUP(D464,'Species Codes'!B:I,8,0)+VLOOKUP(D464,'Species Codes'!B:J,9,0)*(LN((E464*2.54)))),IF(OR(D464="PY",D464="RC",D464="WH",D464="NF")=TRUE,VLOOKUP(D464,'Species Codes'!B:I,8,0)+VLOOKUP(D464,'Species Codes'!B:J,9,0)*((E464*2.54)^2)*(I464*0.3048),IF(OR(D464="MD",D464="BM",D464="GA")=TRUE,((VLOOKUP(D464,'Species Codes'!B:I,8,0)*(((((E464*2.54)+VLOOKUP(D464,'Species Codes'!B:J,9,0))/VLOOKUP(D464,'Species Codes'!B:K,10,0))^VLOOKUP(D464,'Species Codes'!B:L,11,0))*((I464*0.3048)^VLOOKUP(D464,'Species Codes'!B:M,12,0))))-(VLOOKUP(D464,'Species Codes'!B:I,8,0)*((((E464*2.54)^VLOOKUP(D464,'Species Codes'!B:L,11,0))*((I464*0.3048)^VLOOKUP(D464,'Species Codes'!B:M,12,0))))))*35.3*VLOOKUP(D464,'Species Codes'!B:G,6,0)/2.2046,VLOOKUP(D464,'Species Codes'!B:I,8,0)+VLOOKUP(D464,'Species Codes'!B:J,9,0)*(((E464*2.54)/100)^2)*(I464*0.3048)))))*0.0011023),0)</f>
        <v>#N/A</v>
      </c>
      <c r="AC464" s="104" t="e">
        <f>IF(Z464&gt;0,((IF(OR(D464="RA",D464="OA",D464="OT",D464="UN",D464="PC"),EXP(VLOOKUP(D464,'Species Codes'!B:O,14,0)+VLOOKUP(D464,'Species Codes'!B:P,15,0)*LN((E464*2.54)))-EXP(VLOOKUP(D464,'Species Codes'!B:O,14,0)+VLOOKUP(D464,'Species Codes'!B:P,15,0)*LN((E464*2.54)))*(1/(VLOOKUP(D464,'Species Codes'!B:Q,16,0)+VLOOKUP(D464,'Species Codes'!B:R,17,0)*((E464*2.54)^VLOOKUP(D464,'Species Codes'!B:S,18,0)))),IF(OR(D464="BM",D464="MD",D464="OA"),EXP(VLOOKUP(D464,'Species Codes'!B:O,14,0)+VLOOKUP(D464,'Species Codes'!B:P,15,0)*LN((E464*2.54)))*(1-(1/(VLOOKUP(D464,'Species Codes'!B:Q,16,0)+VLOOKUP(D464,'Species Codes'!B:R,17,0)*((E464*2.54)^VLOOKUP(D464,'Species Codes'!B:S,18,0)))))/1000,IF(D464="DF",EXP(VLOOKUP(D464,'Species Codes'!B:O,14,0)+VLOOKUP(D464,'Species Codes'!B:P,15,0)*LN((E464*2.54))),VLOOKUP(D464,'Species Codes'!B:O,14,0)+VLOOKUP(D464,'Species Codes'!B:P,15,0)*(((E464*2.54)/100)^2)*(I464*0.3048)))))*0.0011023),0)</f>
        <v>#N/A</v>
      </c>
      <c r="AD464" s="104" t="e">
        <f t="shared" si="220"/>
        <v>#N/A</v>
      </c>
      <c r="AE464" s="104" t="e">
        <f t="shared" si="221"/>
        <v>#N/A</v>
      </c>
      <c r="AF464" s="104" t="e">
        <f>IF(AND(VLOOKUP($D464,Merchantability!$B:$C,2,0)="Yes",$E464&gt;=VLOOKUP($D464,Merchantability!$B:$D,3,0),$E464&lt;=VLOOKUP($D464,Merchantability!$B:$E,4,0)),AA464,0)</f>
        <v>#N/A</v>
      </c>
      <c r="AG464" s="104" t="e">
        <f>IF(AND(VLOOKUP($D464,Merchantability!$B:$C,2,0)="Yes",$E464&gt;=VLOOKUP($D464,Merchantability!$B:$D,3,0),$E464&lt;=VLOOKUP($D464,Merchantability!$B:$E,4,0)),AB464,0)</f>
        <v>#N/A</v>
      </c>
      <c r="AH464" s="104" t="e">
        <f>IF(AND(VLOOKUP($D464,Merchantability!$B:$C,2,0)="Yes",$E464&gt;=VLOOKUP($D464,Merchantability!$B:$D,3,0),$E464&lt;=VLOOKUP($D464,Merchantability!$B:$E,4,0)),AC464,0)</f>
        <v>#N/A</v>
      </c>
      <c r="AI464" s="104" t="e">
        <f t="shared" si="222"/>
        <v>#N/A</v>
      </c>
      <c r="AJ464" s="104" t="e">
        <f t="shared" si="223"/>
        <v>#VALUE!</v>
      </c>
      <c r="AK464" s="104" t="e">
        <f t="shared" si="224"/>
        <v>#N/A</v>
      </c>
      <c r="AL464" s="104" t="e">
        <f t="shared" si="225"/>
        <v>#N/A</v>
      </c>
      <c r="AM464" s="104" t="e">
        <f t="shared" si="226"/>
        <v>#N/A</v>
      </c>
      <c r="AN464" s="104" t="e">
        <f t="shared" si="237"/>
        <v>#N/A</v>
      </c>
      <c r="AO464" s="104" t="e">
        <f t="shared" si="238"/>
        <v>#N/A</v>
      </c>
      <c r="AP464" s="104" t="e">
        <f t="shared" si="239"/>
        <v>#N/A</v>
      </c>
      <c r="AQ464" s="104" t="e">
        <f t="shared" si="240"/>
        <v>#N/A</v>
      </c>
      <c r="AR464" s="105" t="str">
        <f t="shared" si="232"/>
        <v/>
      </c>
      <c r="AS464" s="105" t="str">
        <f t="shared" si="233"/>
        <v/>
      </c>
      <c r="AT464" s="108" t="str">
        <f t="shared" si="234"/>
        <v/>
      </c>
      <c r="AU464" s="108" t="str">
        <f t="shared" si="235"/>
        <v/>
      </c>
      <c r="AV464" s="107" t="str">
        <f>IF(ISNUMBER(O464),IF(VLOOKUP($A464,Stand!C:J,8,FALSE)="Short",AT464,AU464),"")</f>
        <v/>
      </c>
      <c r="AW464" s="109" t="str">
        <f t="shared" si="241"/>
        <v/>
      </c>
      <c r="AX464" s="109" t="str">
        <f t="shared" si="242"/>
        <v/>
      </c>
      <c r="AY464" s="112" t="str">
        <f>IF(ISNUMBER(O464),IF(AND(VLOOKUP($D464,Merchantability!$B:$C,2,0)="Yes",$E464&gt;=VLOOKUP($D464,Merchantability!$B:$D,3,0),$E464&lt;=VLOOKUP($D464,Merchantability!$B:$E,4,0)),(AV464*O464)*(1-$H464/100),""),"")</f>
        <v/>
      </c>
      <c r="AZ464" s="116"/>
      <c r="BA464" s="116"/>
      <c r="BB464" s="116"/>
      <c r="BE464" s="62"/>
      <c r="BF464" s="63"/>
    </row>
    <row r="465" spans="1:58" ht="12.75" customHeight="1" x14ac:dyDescent="0.25">
      <c r="A465" s="313"/>
      <c r="B465" s="328"/>
      <c r="C465" s="329"/>
      <c r="D465" s="328"/>
      <c r="E465" s="330"/>
      <c r="F465" s="331"/>
      <c r="G465" s="329"/>
      <c r="H465" s="329"/>
      <c r="I465" s="328"/>
      <c r="J465" s="329"/>
      <c r="K465" s="329"/>
      <c r="L465" s="329"/>
      <c r="M465" s="76"/>
      <c r="N465" s="103" t="str">
        <f>IF(A465="","",VLOOKUP(A465,Stand!C:K,9,0))</f>
        <v/>
      </c>
      <c r="O465" s="104" t="str">
        <f t="shared" si="227"/>
        <v/>
      </c>
      <c r="P465" s="105" t="str">
        <f t="shared" si="228"/>
        <v/>
      </c>
      <c r="Q465" s="105" t="str">
        <f t="shared" si="216"/>
        <v/>
      </c>
      <c r="R465" s="103" t="str">
        <f t="shared" si="229"/>
        <v/>
      </c>
      <c r="S465" s="103" t="str">
        <f t="shared" si="230"/>
        <v/>
      </c>
      <c r="T465" s="106" t="str">
        <f t="shared" si="217"/>
        <v/>
      </c>
      <c r="U465" s="106" t="str">
        <f t="shared" si="218"/>
        <v/>
      </c>
      <c r="V465" s="106" t="str">
        <f t="shared" si="219"/>
        <v/>
      </c>
      <c r="W465" s="105" t="str">
        <f t="shared" si="231"/>
        <v/>
      </c>
      <c r="X465" s="104" t="str">
        <f t="shared" si="236"/>
        <v/>
      </c>
      <c r="Y465" s="104" t="str">
        <f t="array" ref="Y465">IFERROR(IF(ISNUMBER(O465),IF(COUNT(IF(A465=$A$2:$A$2427,IF(D465=$D$2:$D$2427,IF($X$2:$X$2427&gt;0,1))))&gt;0,SUM(IF(A465=$A$2:$A$2427,IF(D465=$D$2:$D$2427,$X$2:$X$2427)))/COUNT(IF(A465=$A$2:$A$2427,IF(D465=$D$2:$D$2427,IF(ISNUMBER($X$2:$X$2427),1)))),0),""),0)</f>
        <v/>
      </c>
      <c r="Z465" s="104" t="str">
        <f>IF(ISNUMBER(O465),IF(I465&gt;0,(10^(VLOOKUP(D465,'Species Codes'!B:C,2,0)+VLOOKUP(D465,'Species Codes'!B:D,3,0)*LOG(E465)+VLOOKUP(D465,'Species Codes'!B:E,4,0)*LOG(I465))),0),"")</f>
        <v/>
      </c>
      <c r="AA465" s="104" t="str">
        <f>IFERROR((VLOOKUP(D465,'Species Codes'!B:G,6,0)*Z465)/2000,"")</f>
        <v/>
      </c>
      <c r="AB465" s="104" t="e">
        <f>IF(Z465&gt;0,((IF(OR(D465="DF",D465="RA")=TRUE,EXP(VLOOKUP(D465,'Species Codes'!B:I,8,0)+VLOOKUP(D465,'Species Codes'!B:J,9,0)*(LN((E465*2.54)))),IF(OR(D465="PY",D465="RC",D465="WH",D465="NF")=TRUE,VLOOKUP(D465,'Species Codes'!B:I,8,0)+VLOOKUP(D465,'Species Codes'!B:J,9,0)*((E465*2.54)^2)*(I465*0.3048),IF(OR(D465="MD",D465="BM",D465="GA")=TRUE,((VLOOKUP(D465,'Species Codes'!B:I,8,0)*(((((E465*2.54)+VLOOKUP(D465,'Species Codes'!B:J,9,0))/VLOOKUP(D465,'Species Codes'!B:K,10,0))^VLOOKUP(D465,'Species Codes'!B:L,11,0))*((I465*0.3048)^VLOOKUP(D465,'Species Codes'!B:M,12,0))))-(VLOOKUP(D465,'Species Codes'!B:I,8,0)*((((E465*2.54)^VLOOKUP(D465,'Species Codes'!B:L,11,0))*((I465*0.3048)^VLOOKUP(D465,'Species Codes'!B:M,12,0))))))*35.3*VLOOKUP(D465,'Species Codes'!B:G,6,0)/2.2046,VLOOKUP(D465,'Species Codes'!B:I,8,0)+VLOOKUP(D465,'Species Codes'!B:J,9,0)*(((E465*2.54)/100)^2)*(I465*0.3048)))))*0.0011023),0)</f>
        <v>#N/A</v>
      </c>
      <c r="AC465" s="104" t="e">
        <f>IF(Z465&gt;0,((IF(OR(D465="RA",D465="OA",D465="OT",D465="UN",D465="PC"),EXP(VLOOKUP(D465,'Species Codes'!B:O,14,0)+VLOOKUP(D465,'Species Codes'!B:P,15,0)*LN((E465*2.54)))-EXP(VLOOKUP(D465,'Species Codes'!B:O,14,0)+VLOOKUP(D465,'Species Codes'!B:P,15,0)*LN((E465*2.54)))*(1/(VLOOKUP(D465,'Species Codes'!B:Q,16,0)+VLOOKUP(D465,'Species Codes'!B:R,17,0)*((E465*2.54)^VLOOKUP(D465,'Species Codes'!B:S,18,0)))),IF(OR(D465="BM",D465="MD",D465="OA"),EXP(VLOOKUP(D465,'Species Codes'!B:O,14,0)+VLOOKUP(D465,'Species Codes'!B:P,15,0)*LN((E465*2.54)))*(1-(1/(VLOOKUP(D465,'Species Codes'!B:Q,16,0)+VLOOKUP(D465,'Species Codes'!B:R,17,0)*((E465*2.54)^VLOOKUP(D465,'Species Codes'!B:S,18,0)))))/1000,IF(D465="DF",EXP(VLOOKUP(D465,'Species Codes'!B:O,14,0)+VLOOKUP(D465,'Species Codes'!B:P,15,0)*LN((E465*2.54))),VLOOKUP(D465,'Species Codes'!B:O,14,0)+VLOOKUP(D465,'Species Codes'!B:P,15,0)*(((E465*2.54)/100)^2)*(I465*0.3048)))))*0.0011023),0)</f>
        <v>#N/A</v>
      </c>
      <c r="AD465" s="104" t="e">
        <f t="shared" si="220"/>
        <v>#N/A</v>
      </c>
      <c r="AE465" s="104" t="e">
        <f t="shared" si="221"/>
        <v>#N/A</v>
      </c>
      <c r="AF465" s="104" t="e">
        <f>IF(AND(VLOOKUP($D465,Merchantability!$B:$C,2,0)="Yes",$E465&gt;=VLOOKUP($D465,Merchantability!$B:$D,3,0),$E465&lt;=VLOOKUP($D465,Merchantability!$B:$E,4,0)),AA465,0)</f>
        <v>#N/A</v>
      </c>
      <c r="AG465" s="104" t="e">
        <f>IF(AND(VLOOKUP($D465,Merchantability!$B:$C,2,0)="Yes",$E465&gt;=VLOOKUP($D465,Merchantability!$B:$D,3,0),$E465&lt;=VLOOKUP($D465,Merchantability!$B:$E,4,0)),AB465,0)</f>
        <v>#N/A</v>
      </c>
      <c r="AH465" s="104" t="e">
        <f>IF(AND(VLOOKUP($D465,Merchantability!$B:$C,2,0)="Yes",$E465&gt;=VLOOKUP($D465,Merchantability!$B:$D,3,0),$E465&lt;=VLOOKUP($D465,Merchantability!$B:$E,4,0)),AC465,0)</f>
        <v>#N/A</v>
      </c>
      <c r="AI465" s="104" t="e">
        <f t="shared" si="222"/>
        <v>#N/A</v>
      </c>
      <c r="AJ465" s="104" t="e">
        <f t="shared" si="223"/>
        <v>#VALUE!</v>
      </c>
      <c r="AK465" s="104" t="e">
        <f t="shared" si="224"/>
        <v>#N/A</v>
      </c>
      <c r="AL465" s="104" t="e">
        <f t="shared" si="225"/>
        <v>#N/A</v>
      </c>
      <c r="AM465" s="104" t="e">
        <f t="shared" si="226"/>
        <v>#N/A</v>
      </c>
      <c r="AN465" s="104" t="e">
        <f t="shared" si="237"/>
        <v>#N/A</v>
      </c>
      <c r="AO465" s="104" t="e">
        <f t="shared" si="238"/>
        <v>#N/A</v>
      </c>
      <c r="AP465" s="104" t="e">
        <f t="shared" si="239"/>
        <v>#N/A</v>
      </c>
      <c r="AQ465" s="104" t="e">
        <f t="shared" si="240"/>
        <v>#N/A</v>
      </c>
      <c r="AR465" s="105" t="str">
        <f t="shared" si="232"/>
        <v/>
      </c>
      <c r="AS465" s="105" t="str">
        <f t="shared" si="233"/>
        <v/>
      </c>
      <c r="AT465" s="108" t="str">
        <f t="shared" si="234"/>
        <v/>
      </c>
      <c r="AU465" s="108" t="str">
        <f t="shared" si="235"/>
        <v/>
      </c>
      <c r="AV465" s="107" t="str">
        <f>IF(ISNUMBER(O465),IF(VLOOKUP($A465,Stand!C:J,8,FALSE)="Short",AT465,AU465),"")</f>
        <v/>
      </c>
      <c r="AW465" s="109" t="str">
        <f t="shared" si="241"/>
        <v/>
      </c>
      <c r="AX465" s="109" t="str">
        <f t="shared" si="242"/>
        <v/>
      </c>
      <c r="AY465" s="112" t="str">
        <f>IF(ISNUMBER(O465),IF(AND(VLOOKUP($D465,Merchantability!$B:$C,2,0)="Yes",$E465&gt;=VLOOKUP($D465,Merchantability!$B:$D,3,0),$E465&lt;=VLOOKUP($D465,Merchantability!$B:$E,4,0)),(AV465*O465)*(1-$H465/100),""),"")</f>
        <v/>
      </c>
      <c r="AZ465" s="116"/>
      <c r="BA465" s="116"/>
      <c r="BB465" s="116"/>
      <c r="BE465" s="62"/>
      <c r="BF465" s="63"/>
    </row>
    <row r="466" spans="1:58" ht="12.75" customHeight="1" x14ac:dyDescent="0.25">
      <c r="A466" s="313"/>
      <c r="B466" s="328"/>
      <c r="C466" s="329"/>
      <c r="D466" s="328"/>
      <c r="E466" s="330"/>
      <c r="F466" s="331"/>
      <c r="G466" s="329"/>
      <c r="H466" s="329"/>
      <c r="I466" s="328"/>
      <c r="J466" s="329"/>
      <c r="K466" s="329"/>
      <c r="L466" s="329"/>
      <c r="M466" s="76"/>
      <c r="N466" s="103" t="str">
        <f>IF(A466="","",VLOOKUP(A466,Stand!C:K,9,0))</f>
        <v/>
      </c>
      <c r="O466" s="104" t="str">
        <f t="shared" si="227"/>
        <v/>
      </c>
      <c r="P466" s="105" t="str">
        <f t="shared" si="228"/>
        <v/>
      </c>
      <c r="Q466" s="105" t="str">
        <f t="shared" si="216"/>
        <v/>
      </c>
      <c r="R466" s="103" t="str">
        <f t="shared" si="229"/>
        <v/>
      </c>
      <c r="S466" s="103" t="str">
        <f t="shared" si="230"/>
        <v/>
      </c>
      <c r="T466" s="106" t="str">
        <f t="shared" si="217"/>
        <v/>
      </c>
      <c r="U466" s="106" t="str">
        <f t="shared" si="218"/>
        <v/>
      </c>
      <c r="V466" s="106" t="str">
        <f t="shared" si="219"/>
        <v/>
      </c>
      <c r="W466" s="105" t="str">
        <f t="shared" si="231"/>
        <v/>
      </c>
      <c r="X466" s="104" t="str">
        <f t="shared" si="236"/>
        <v/>
      </c>
      <c r="Y466" s="104" t="str">
        <f t="array" ref="Y466">IFERROR(IF(ISNUMBER(O466),IF(COUNT(IF(A466=$A$2:$A$2427,IF(D466=$D$2:$D$2427,IF($X$2:$X$2427&gt;0,1))))&gt;0,SUM(IF(A466=$A$2:$A$2427,IF(D466=$D$2:$D$2427,$X$2:$X$2427)))/COUNT(IF(A466=$A$2:$A$2427,IF(D466=$D$2:$D$2427,IF(ISNUMBER($X$2:$X$2427),1)))),0),""),0)</f>
        <v/>
      </c>
      <c r="Z466" s="104" t="str">
        <f>IF(ISNUMBER(O466),IF(I466&gt;0,(10^(VLOOKUP(D466,'Species Codes'!B:C,2,0)+VLOOKUP(D466,'Species Codes'!B:D,3,0)*LOG(E466)+VLOOKUP(D466,'Species Codes'!B:E,4,0)*LOG(I466))),0),"")</f>
        <v/>
      </c>
      <c r="AA466" s="104" t="str">
        <f>IFERROR((VLOOKUP(D466,'Species Codes'!B:G,6,0)*Z466)/2000,"")</f>
        <v/>
      </c>
      <c r="AB466" s="104" t="e">
        <f>IF(Z466&gt;0,((IF(OR(D466="DF",D466="RA")=TRUE,EXP(VLOOKUP(D466,'Species Codes'!B:I,8,0)+VLOOKUP(D466,'Species Codes'!B:J,9,0)*(LN((E466*2.54)))),IF(OR(D466="PY",D466="RC",D466="WH",D466="NF")=TRUE,VLOOKUP(D466,'Species Codes'!B:I,8,0)+VLOOKUP(D466,'Species Codes'!B:J,9,0)*((E466*2.54)^2)*(I466*0.3048),IF(OR(D466="MD",D466="BM",D466="GA")=TRUE,((VLOOKUP(D466,'Species Codes'!B:I,8,0)*(((((E466*2.54)+VLOOKUP(D466,'Species Codes'!B:J,9,0))/VLOOKUP(D466,'Species Codes'!B:K,10,0))^VLOOKUP(D466,'Species Codes'!B:L,11,0))*((I466*0.3048)^VLOOKUP(D466,'Species Codes'!B:M,12,0))))-(VLOOKUP(D466,'Species Codes'!B:I,8,0)*((((E466*2.54)^VLOOKUP(D466,'Species Codes'!B:L,11,0))*((I466*0.3048)^VLOOKUP(D466,'Species Codes'!B:M,12,0))))))*35.3*VLOOKUP(D466,'Species Codes'!B:G,6,0)/2.2046,VLOOKUP(D466,'Species Codes'!B:I,8,0)+VLOOKUP(D466,'Species Codes'!B:J,9,0)*(((E466*2.54)/100)^2)*(I466*0.3048)))))*0.0011023),0)</f>
        <v>#N/A</v>
      </c>
      <c r="AC466" s="104" t="e">
        <f>IF(Z466&gt;0,((IF(OR(D466="RA",D466="OA",D466="OT",D466="UN",D466="PC"),EXP(VLOOKUP(D466,'Species Codes'!B:O,14,0)+VLOOKUP(D466,'Species Codes'!B:P,15,0)*LN((E466*2.54)))-EXP(VLOOKUP(D466,'Species Codes'!B:O,14,0)+VLOOKUP(D466,'Species Codes'!B:P,15,0)*LN((E466*2.54)))*(1/(VLOOKUP(D466,'Species Codes'!B:Q,16,0)+VLOOKUP(D466,'Species Codes'!B:R,17,0)*((E466*2.54)^VLOOKUP(D466,'Species Codes'!B:S,18,0)))),IF(OR(D466="BM",D466="MD",D466="OA"),EXP(VLOOKUP(D466,'Species Codes'!B:O,14,0)+VLOOKUP(D466,'Species Codes'!B:P,15,0)*LN((E466*2.54)))*(1-(1/(VLOOKUP(D466,'Species Codes'!B:Q,16,0)+VLOOKUP(D466,'Species Codes'!B:R,17,0)*((E466*2.54)^VLOOKUP(D466,'Species Codes'!B:S,18,0)))))/1000,IF(D466="DF",EXP(VLOOKUP(D466,'Species Codes'!B:O,14,0)+VLOOKUP(D466,'Species Codes'!B:P,15,0)*LN((E466*2.54))),VLOOKUP(D466,'Species Codes'!B:O,14,0)+VLOOKUP(D466,'Species Codes'!B:P,15,0)*(((E466*2.54)/100)^2)*(I466*0.3048)))))*0.0011023),0)</f>
        <v>#N/A</v>
      </c>
      <c r="AD466" s="104" t="e">
        <f t="shared" si="220"/>
        <v>#N/A</v>
      </c>
      <c r="AE466" s="104" t="e">
        <f t="shared" si="221"/>
        <v>#N/A</v>
      </c>
      <c r="AF466" s="104" t="e">
        <f>IF(AND(VLOOKUP($D466,Merchantability!$B:$C,2,0)="Yes",$E466&gt;=VLOOKUP($D466,Merchantability!$B:$D,3,0),$E466&lt;=VLOOKUP($D466,Merchantability!$B:$E,4,0)),AA466,0)</f>
        <v>#N/A</v>
      </c>
      <c r="AG466" s="104" t="e">
        <f>IF(AND(VLOOKUP($D466,Merchantability!$B:$C,2,0)="Yes",$E466&gt;=VLOOKUP($D466,Merchantability!$B:$D,3,0),$E466&lt;=VLOOKUP($D466,Merchantability!$B:$E,4,0)),AB466,0)</f>
        <v>#N/A</v>
      </c>
      <c r="AH466" s="104" t="e">
        <f>IF(AND(VLOOKUP($D466,Merchantability!$B:$C,2,0)="Yes",$E466&gt;=VLOOKUP($D466,Merchantability!$B:$D,3,0),$E466&lt;=VLOOKUP($D466,Merchantability!$B:$E,4,0)),AC466,0)</f>
        <v>#N/A</v>
      </c>
      <c r="AI466" s="104" t="e">
        <f t="shared" si="222"/>
        <v>#N/A</v>
      </c>
      <c r="AJ466" s="104" t="e">
        <f t="shared" si="223"/>
        <v>#VALUE!</v>
      </c>
      <c r="AK466" s="104" t="e">
        <f t="shared" si="224"/>
        <v>#N/A</v>
      </c>
      <c r="AL466" s="104" t="e">
        <f t="shared" si="225"/>
        <v>#N/A</v>
      </c>
      <c r="AM466" s="104" t="e">
        <f t="shared" si="226"/>
        <v>#N/A</v>
      </c>
      <c r="AN466" s="104" t="e">
        <f t="shared" si="237"/>
        <v>#N/A</v>
      </c>
      <c r="AO466" s="104" t="e">
        <f t="shared" si="238"/>
        <v>#N/A</v>
      </c>
      <c r="AP466" s="104" t="e">
        <f t="shared" si="239"/>
        <v>#N/A</v>
      </c>
      <c r="AQ466" s="104" t="e">
        <f t="shared" si="240"/>
        <v>#N/A</v>
      </c>
      <c r="AR466" s="105" t="str">
        <f t="shared" si="232"/>
        <v/>
      </c>
      <c r="AS466" s="105" t="str">
        <f t="shared" si="233"/>
        <v/>
      </c>
      <c r="AT466" s="108" t="str">
        <f t="shared" si="234"/>
        <v/>
      </c>
      <c r="AU466" s="108" t="str">
        <f t="shared" si="235"/>
        <v/>
      </c>
      <c r="AV466" s="107" t="str">
        <f>IF(ISNUMBER(O466),IF(VLOOKUP($A466,Stand!C:J,8,FALSE)="Short",AT466,AU466),"")</f>
        <v/>
      </c>
      <c r="AW466" s="109" t="str">
        <f t="shared" si="241"/>
        <v/>
      </c>
      <c r="AX466" s="109" t="str">
        <f t="shared" si="242"/>
        <v/>
      </c>
      <c r="AY466" s="112" t="str">
        <f>IF(ISNUMBER(O466),IF(AND(VLOOKUP($D466,Merchantability!$B:$C,2,0)="Yes",$E466&gt;=VLOOKUP($D466,Merchantability!$B:$D,3,0),$E466&lt;=VLOOKUP($D466,Merchantability!$B:$E,4,0)),(AV466*O466)*(1-$H466/100),""),"")</f>
        <v/>
      </c>
      <c r="AZ466" s="116"/>
      <c r="BA466" s="116"/>
      <c r="BB466" s="116"/>
      <c r="BE466" s="62"/>
      <c r="BF466" s="63"/>
    </row>
    <row r="467" spans="1:58" ht="12.75" customHeight="1" x14ac:dyDescent="0.25">
      <c r="A467" s="313"/>
      <c r="B467" s="328"/>
      <c r="C467" s="329"/>
      <c r="D467" s="328"/>
      <c r="E467" s="330"/>
      <c r="F467" s="331"/>
      <c r="G467" s="329"/>
      <c r="H467" s="329"/>
      <c r="I467" s="328"/>
      <c r="J467" s="329"/>
      <c r="K467" s="329"/>
      <c r="L467" s="329"/>
      <c r="M467" s="76"/>
      <c r="N467" s="103" t="str">
        <f>IF(A467="","",VLOOKUP(A467,Stand!C:K,9,0))</f>
        <v/>
      </c>
      <c r="O467" s="104" t="str">
        <f t="shared" si="227"/>
        <v/>
      </c>
      <c r="P467" s="105" t="str">
        <f t="shared" si="228"/>
        <v/>
      </c>
      <c r="Q467" s="105" t="str">
        <f t="shared" si="216"/>
        <v/>
      </c>
      <c r="R467" s="103" t="str">
        <f t="shared" si="229"/>
        <v/>
      </c>
      <c r="S467" s="103" t="str">
        <f t="shared" si="230"/>
        <v/>
      </c>
      <c r="T467" s="106" t="str">
        <f t="shared" si="217"/>
        <v/>
      </c>
      <c r="U467" s="106" t="str">
        <f t="shared" si="218"/>
        <v/>
      </c>
      <c r="V467" s="106" t="str">
        <f t="shared" si="219"/>
        <v/>
      </c>
      <c r="W467" s="105" t="str">
        <f t="shared" si="231"/>
        <v/>
      </c>
      <c r="X467" s="104" t="str">
        <f t="shared" si="236"/>
        <v/>
      </c>
      <c r="Y467" s="104" t="str">
        <f t="array" ref="Y467">IFERROR(IF(ISNUMBER(O467),IF(COUNT(IF(A467=$A$2:$A$2427,IF(D467=$D$2:$D$2427,IF($X$2:$X$2427&gt;0,1))))&gt;0,SUM(IF(A467=$A$2:$A$2427,IF(D467=$D$2:$D$2427,$X$2:$X$2427)))/COUNT(IF(A467=$A$2:$A$2427,IF(D467=$D$2:$D$2427,IF(ISNUMBER($X$2:$X$2427),1)))),0),""),0)</f>
        <v/>
      </c>
      <c r="Z467" s="104" t="str">
        <f>IF(ISNUMBER(O467),IF(I467&gt;0,(10^(VLOOKUP(D467,'Species Codes'!B:C,2,0)+VLOOKUP(D467,'Species Codes'!B:D,3,0)*LOG(E467)+VLOOKUP(D467,'Species Codes'!B:E,4,0)*LOG(I467))),0),"")</f>
        <v/>
      </c>
      <c r="AA467" s="104" t="str">
        <f>IFERROR((VLOOKUP(D467,'Species Codes'!B:G,6,0)*Z467)/2000,"")</f>
        <v/>
      </c>
      <c r="AB467" s="104" t="e">
        <f>IF(Z467&gt;0,((IF(OR(D467="DF",D467="RA")=TRUE,EXP(VLOOKUP(D467,'Species Codes'!B:I,8,0)+VLOOKUP(D467,'Species Codes'!B:J,9,0)*(LN((E467*2.54)))),IF(OR(D467="PY",D467="RC",D467="WH",D467="NF")=TRUE,VLOOKUP(D467,'Species Codes'!B:I,8,0)+VLOOKUP(D467,'Species Codes'!B:J,9,0)*((E467*2.54)^2)*(I467*0.3048),IF(OR(D467="MD",D467="BM",D467="GA")=TRUE,((VLOOKUP(D467,'Species Codes'!B:I,8,0)*(((((E467*2.54)+VLOOKUP(D467,'Species Codes'!B:J,9,0))/VLOOKUP(D467,'Species Codes'!B:K,10,0))^VLOOKUP(D467,'Species Codes'!B:L,11,0))*((I467*0.3048)^VLOOKUP(D467,'Species Codes'!B:M,12,0))))-(VLOOKUP(D467,'Species Codes'!B:I,8,0)*((((E467*2.54)^VLOOKUP(D467,'Species Codes'!B:L,11,0))*((I467*0.3048)^VLOOKUP(D467,'Species Codes'!B:M,12,0))))))*35.3*VLOOKUP(D467,'Species Codes'!B:G,6,0)/2.2046,VLOOKUP(D467,'Species Codes'!B:I,8,0)+VLOOKUP(D467,'Species Codes'!B:J,9,0)*(((E467*2.54)/100)^2)*(I467*0.3048)))))*0.0011023),0)</f>
        <v>#N/A</v>
      </c>
      <c r="AC467" s="104" t="e">
        <f>IF(Z467&gt;0,((IF(OR(D467="RA",D467="OA",D467="OT",D467="UN",D467="PC"),EXP(VLOOKUP(D467,'Species Codes'!B:O,14,0)+VLOOKUP(D467,'Species Codes'!B:P,15,0)*LN((E467*2.54)))-EXP(VLOOKUP(D467,'Species Codes'!B:O,14,0)+VLOOKUP(D467,'Species Codes'!B:P,15,0)*LN((E467*2.54)))*(1/(VLOOKUP(D467,'Species Codes'!B:Q,16,0)+VLOOKUP(D467,'Species Codes'!B:R,17,0)*((E467*2.54)^VLOOKUP(D467,'Species Codes'!B:S,18,0)))),IF(OR(D467="BM",D467="MD",D467="OA"),EXP(VLOOKUP(D467,'Species Codes'!B:O,14,0)+VLOOKUP(D467,'Species Codes'!B:P,15,0)*LN((E467*2.54)))*(1-(1/(VLOOKUP(D467,'Species Codes'!B:Q,16,0)+VLOOKUP(D467,'Species Codes'!B:R,17,0)*((E467*2.54)^VLOOKUP(D467,'Species Codes'!B:S,18,0)))))/1000,IF(D467="DF",EXP(VLOOKUP(D467,'Species Codes'!B:O,14,0)+VLOOKUP(D467,'Species Codes'!B:P,15,0)*LN((E467*2.54))),VLOOKUP(D467,'Species Codes'!B:O,14,0)+VLOOKUP(D467,'Species Codes'!B:P,15,0)*(((E467*2.54)/100)^2)*(I467*0.3048)))))*0.0011023),0)</f>
        <v>#N/A</v>
      </c>
      <c r="AD467" s="104" t="e">
        <f t="shared" si="220"/>
        <v>#N/A</v>
      </c>
      <c r="AE467" s="104" t="e">
        <f t="shared" si="221"/>
        <v>#N/A</v>
      </c>
      <c r="AF467" s="104" t="e">
        <f>IF(AND(VLOOKUP($D467,Merchantability!$B:$C,2,0)="Yes",$E467&gt;=VLOOKUP($D467,Merchantability!$B:$D,3,0),$E467&lt;=VLOOKUP($D467,Merchantability!$B:$E,4,0)),AA467,0)</f>
        <v>#N/A</v>
      </c>
      <c r="AG467" s="104" t="e">
        <f>IF(AND(VLOOKUP($D467,Merchantability!$B:$C,2,0)="Yes",$E467&gt;=VLOOKUP($D467,Merchantability!$B:$D,3,0),$E467&lt;=VLOOKUP($D467,Merchantability!$B:$E,4,0)),AB467,0)</f>
        <v>#N/A</v>
      </c>
      <c r="AH467" s="104" t="e">
        <f>IF(AND(VLOOKUP($D467,Merchantability!$B:$C,2,0)="Yes",$E467&gt;=VLOOKUP($D467,Merchantability!$B:$D,3,0),$E467&lt;=VLOOKUP($D467,Merchantability!$B:$E,4,0)),AC467,0)</f>
        <v>#N/A</v>
      </c>
      <c r="AI467" s="104" t="e">
        <f t="shared" si="222"/>
        <v>#N/A</v>
      </c>
      <c r="AJ467" s="104" t="e">
        <f t="shared" si="223"/>
        <v>#VALUE!</v>
      </c>
      <c r="AK467" s="104" t="e">
        <f t="shared" si="224"/>
        <v>#N/A</v>
      </c>
      <c r="AL467" s="104" t="e">
        <f t="shared" si="225"/>
        <v>#N/A</v>
      </c>
      <c r="AM467" s="104" t="e">
        <f t="shared" si="226"/>
        <v>#N/A</v>
      </c>
      <c r="AN467" s="104" t="e">
        <f t="shared" si="237"/>
        <v>#N/A</v>
      </c>
      <c r="AO467" s="104" t="e">
        <f t="shared" si="238"/>
        <v>#N/A</v>
      </c>
      <c r="AP467" s="104" t="e">
        <f t="shared" si="239"/>
        <v>#N/A</v>
      </c>
      <c r="AQ467" s="104" t="e">
        <f t="shared" si="240"/>
        <v>#N/A</v>
      </c>
      <c r="AR467" s="105" t="str">
        <f t="shared" si="232"/>
        <v/>
      </c>
      <c r="AS467" s="105" t="str">
        <f t="shared" si="233"/>
        <v/>
      </c>
      <c r="AT467" s="108" t="str">
        <f t="shared" si="234"/>
        <v/>
      </c>
      <c r="AU467" s="108" t="str">
        <f t="shared" si="235"/>
        <v/>
      </c>
      <c r="AV467" s="107" t="str">
        <f>IF(ISNUMBER(O467),IF(VLOOKUP($A467,Stand!C:J,8,FALSE)="Short",AT467,AU467),"")</f>
        <v/>
      </c>
      <c r="AW467" s="109" t="str">
        <f t="shared" si="241"/>
        <v/>
      </c>
      <c r="AX467" s="109" t="str">
        <f t="shared" si="242"/>
        <v/>
      </c>
      <c r="AY467" s="112" t="str">
        <f>IF(ISNUMBER(O467),IF(AND(VLOOKUP($D467,Merchantability!$B:$C,2,0)="Yes",$E467&gt;=VLOOKUP($D467,Merchantability!$B:$D,3,0),$E467&lt;=VLOOKUP($D467,Merchantability!$B:$E,4,0)),(AV467*O467)*(1-$H467/100),""),"")</f>
        <v/>
      </c>
      <c r="AZ467" s="116"/>
      <c r="BA467" s="116"/>
      <c r="BB467" s="116"/>
      <c r="BE467" s="62"/>
      <c r="BF467" s="63"/>
    </row>
    <row r="468" spans="1:58" ht="12.75" customHeight="1" x14ac:dyDescent="0.25">
      <c r="A468" s="313"/>
      <c r="B468" s="328"/>
      <c r="C468" s="329"/>
      <c r="D468" s="328"/>
      <c r="E468" s="330"/>
      <c r="F468" s="331"/>
      <c r="G468" s="329"/>
      <c r="H468" s="329"/>
      <c r="I468" s="328"/>
      <c r="J468" s="329"/>
      <c r="K468" s="329"/>
      <c r="L468" s="329"/>
      <c r="M468" s="76"/>
      <c r="N468" s="103" t="str">
        <f>IF(A468="","",VLOOKUP(A468,Stand!C:K,9,0))</f>
        <v/>
      </c>
      <c r="O468" s="104" t="str">
        <f t="shared" si="227"/>
        <v/>
      </c>
      <c r="P468" s="105" t="str">
        <f t="shared" si="228"/>
        <v/>
      </c>
      <c r="Q468" s="105" t="str">
        <f t="shared" si="216"/>
        <v/>
      </c>
      <c r="R468" s="103" t="str">
        <f t="shared" si="229"/>
        <v/>
      </c>
      <c r="S468" s="103" t="str">
        <f t="shared" si="230"/>
        <v/>
      </c>
      <c r="T468" s="106" t="str">
        <f t="shared" si="217"/>
        <v/>
      </c>
      <c r="U468" s="106" t="str">
        <f t="shared" si="218"/>
        <v/>
      </c>
      <c r="V468" s="106" t="str">
        <f t="shared" si="219"/>
        <v/>
      </c>
      <c r="W468" s="105" t="str">
        <f t="shared" si="231"/>
        <v/>
      </c>
      <c r="X468" s="104" t="str">
        <f t="shared" si="236"/>
        <v/>
      </c>
      <c r="Y468" s="104" t="str">
        <f t="array" ref="Y468">IFERROR(IF(ISNUMBER(O468),IF(COUNT(IF(A468=$A$2:$A$2427,IF(D468=$D$2:$D$2427,IF($X$2:$X$2427&gt;0,1))))&gt;0,SUM(IF(A468=$A$2:$A$2427,IF(D468=$D$2:$D$2427,$X$2:$X$2427)))/COUNT(IF(A468=$A$2:$A$2427,IF(D468=$D$2:$D$2427,IF(ISNUMBER($X$2:$X$2427),1)))),0),""),0)</f>
        <v/>
      </c>
      <c r="Z468" s="104" t="str">
        <f>IF(ISNUMBER(O468),IF(I468&gt;0,(10^(VLOOKUP(D468,'Species Codes'!B:C,2,0)+VLOOKUP(D468,'Species Codes'!B:D,3,0)*LOG(E468)+VLOOKUP(D468,'Species Codes'!B:E,4,0)*LOG(I468))),0),"")</f>
        <v/>
      </c>
      <c r="AA468" s="104" t="str">
        <f>IFERROR((VLOOKUP(D468,'Species Codes'!B:G,6,0)*Z468)/2000,"")</f>
        <v/>
      </c>
      <c r="AB468" s="104" t="e">
        <f>IF(Z468&gt;0,((IF(OR(D468="DF",D468="RA")=TRUE,EXP(VLOOKUP(D468,'Species Codes'!B:I,8,0)+VLOOKUP(D468,'Species Codes'!B:J,9,0)*(LN((E468*2.54)))),IF(OR(D468="PY",D468="RC",D468="WH",D468="NF")=TRUE,VLOOKUP(D468,'Species Codes'!B:I,8,0)+VLOOKUP(D468,'Species Codes'!B:J,9,0)*((E468*2.54)^2)*(I468*0.3048),IF(OR(D468="MD",D468="BM",D468="GA")=TRUE,((VLOOKUP(D468,'Species Codes'!B:I,8,0)*(((((E468*2.54)+VLOOKUP(D468,'Species Codes'!B:J,9,0))/VLOOKUP(D468,'Species Codes'!B:K,10,0))^VLOOKUP(D468,'Species Codes'!B:L,11,0))*((I468*0.3048)^VLOOKUP(D468,'Species Codes'!B:M,12,0))))-(VLOOKUP(D468,'Species Codes'!B:I,8,0)*((((E468*2.54)^VLOOKUP(D468,'Species Codes'!B:L,11,0))*((I468*0.3048)^VLOOKUP(D468,'Species Codes'!B:M,12,0))))))*35.3*VLOOKUP(D468,'Species Codes'!B:G,6,0)/2.2046,VLOOKUP(D468,'Species Codes'!B:I,8,0)+VLOOKUP(D468,'Species Codes'!B:J,9,0)*(((E468*2.54)/100)^2)*(I468*0.3048)))))*0.0011023),0)</f>
        <v>#N/A</v>
      </c>
      <c r="AC468" s="104" t="e">
        <f>IF(Z468&gt;0,((IF(OR(D468="RA",D468="OA",D468="OT",D468="UN",D468="PC"),EXP(VLOOKUP(D468,'Species Codes'!B:O,14,0)+VLOOKUP(D468,'Species Codes'!B:P,15,0)*LN((E468*2.54)))-EXP(VLOOKUP(D468,'Species Codes'!B:O,14,0)+VLOOKUP(D468,'Species Codes'!B:P,15,0)*LN((E468*2.54)))*(1/(VLOOKUP(D468,'Species Codes'!B:Q,16,0)+VLOOKUP(D468,'Species Codes'!B:R,17,0)*((E468*2.54)^VLOOKUP(D468,'Species Codes'!B:S,18,0)))),IF(OR(D468="BM",D468="MD",D468="OA"),EXP(VLOOKUP(D468,'Species Codes'!B:O,14,0)+VLOOKUP(D468,'Species Codes'!B:P,15,0)*LN((E468*2.54)))*(1-(1/(VLOOKUP(D468,'Species Codes'!B:Q,16,0)+VLOOKUP(D468,'Species Codes'!B:R,17,0)*((E468*2.54)^VLOOKUP(D468,'Species Codes'!B:S,18,0)))))/1000,IF(D468="DF",EXP(VLOOKUP(D468,'Species Codes'!B:O,14,0)+VLOOKUP(D468,'Species Codes'!B:P,15,0)*LN((E468*2.54))),VLOOKUP(D468,'Species Codes'!B:O,14,0)+VLOOKUP(D468,'Species Codes'!B:P,15,0)*(((E468*2.54)/100)^2)*(I468*0.3048)))))*0.0011023),0)</f>
        <v>#N/A</v>
      </c>
      <c r="AD468" s="104" t="e">
        <f t="shared" si="220"/>
        <v>#N/A</v>
      </c>
      <c r="AE468" s="104" t="e">
        <f t="shared" si="221"/>
        <v>#N/A</v>
      </c>
      <c r="AF468" s="104" t="e">
        <f>IF(AND(VLOOKUP($D468,Merchantability!$B:$C,2,0)="Yes",$E468&gt;=VLOOKUP($D468,Merchantability!$B:$D,3,0),$E468&lt;=VLOOKUP($D468,Merchantability!$B:$E,4,0)),AA468,0)</f>
        <v>#N/A</v>
      </c>
      <c r="AG468" s="104" t="e">
        <f>IF(AND(VLOOKUP($D468,Merchantability!$B:$C,2,0)="Yes",$E468&gt;=VLOOKUP($D468,Merchantability!$B:$D,3,0),$E468&lt;=VLOOKUP($D468,Merchantability!$B:$E,4,0)),AB468,0)</f>
        <v>#N/A</v>
      </c>
      <c r="AH468" s="104" t="e">
        <f>IF(AND(VLOOKUP($D468,Merchantability!$B:$C,2,0)="Yes",$E468&gt;=VLOOKUP($D468,Merchantability!$B:$D,3,0),$E468&lt;=VLOOKUP($D468,Merchantability!$B:$E,4,0)),AC468,0)</f>
        <v>#N/A</v>
      </c>
      <c r="AI468" s="104" t="e">
        <f t="shared" si="222"/>
        <v>#N/A</v>
      </c>
      <c r="AJ468" s="104" t="e">
        <f t="shared" si="223"/>
        <v>#VALUE!</v>
      </c>
      <c r="AK468" s="104" t="e">
        <f t="shared" si="224"/>
        <v>#N/A</v>
      </c>
      <c r="AL468" s="104" t="e">
        <f t="shared" si="225"/>
        <v>#N/A</v>
      </c>
      <c r="AM468" s="104" t="e">
        <f t="shared" si="226"/>
        <v>#N/A</v>
      </c>
      <c r="AN468" s="104" t="e">
        <f t="shared" si="237"/>
        <v>#N/A</v>
      </c>
      <c r="AO468" s="104" t="e">
        <f t="shared" si="238"/>
        <v>#N/A</v>
      </c>
      <c r="AP468" s="104" t="e">
        <f t="shared" si="239"/>
        <v>#N/A</v>
      </c>
      <c r="AQ468" s="104" t="e">
        <f t="shared" si="240"/>
        <v>#N/A</v>
      </c>
      <c r="AR468" s="105" t="str">
        <f t="shared" si="232"/>
        <v/>
      </c>
      <c r="AS468" s="105" t="str">
        <f t="shared" si="233"/>
        <v/>
      </c>
      <c r="AT468" s="108" t="str">
        <f t="shared" si="234"/>
        <v/>
      </c>
      <c r="AU468" s="108" t="str">
        <f t="shared" si="235"/>
        <v/>
      </c>
      <c r="AV468" s="107" t="str">
        <f>IF(ISNUMBER(O468),IF(VLOOKUP($A468,Stand!C:J,8,FALSE)="Short",AT468,AU468),"")</f>
        <v/>
      </c>
      <c r="AW468" s="109" t="str">
        <f t="shared" si="241"/>
        <v/>
      </c>
      <c r="AX468" s="109" t="str">
        <f t="shared" si="242"/>
        <v/>
      </c>
      <c r="AY468" s="112" t="str">
        <f>IF(ISNUMBER(O468),IF(AND(VLOOKUP($D468,Merchantability!$B:$C,2,0)="Yes",$E468&gt;=VLOOKUP($D468,Merchantability!$B:$D,3,0),$E468&lt;=VLOOKUP($D468,Merchantability!$B:$E,4,0)),(AV468*O468)*(1-$H468/100),""),"")</f>
        <v/>
      </c>
      <c r="AZ468" s="116"/>
      <c r="BA468" s="116"/>
      <c r="BB468" s="116"/>
      <c r="BE468" s="62"/>
      <c r="BF468" s="63"/>
    </row>
    <row r="469" spans="1:58" ht="12.75" customHeight="1" x14ac:dyDescent="0.25">
      <c r="A469" s="313"/>
      <c r="B469" s="328"/>
      <c r="C469" s="329"/>
      <c r="D469" s="328"/>
      <c r="E469" s="330"/>
      <c r="F469" s="331"/>
      <c r="G469" s="329"/>
      <c r="H469" s="329"/>
      <c r="I469" s="328"/>
      <c r="J469" s="329"/>
      <c r="K469" s="329"/>
      <c r="L469" s="329"/>
      <c r="M469" s="76"/>
      <c r="N469" s="103" t="str">
        <f>IF(A469="","",VLOOKUP(A469,Stand!C:K,9,0))</f>
        <v/>
      </c>
      <c r="O469" s="104" t="str">
        <f t="shared" si="227"/>
        <v/>
      </c>
      <c r="P469" s="105" t="str">
        <f t="shared" si="228"/>
        <v/>
      </c>
      <c r="Q469" s="105" t="str">
        <f t="shared" si="216"/>
        <v/>
      </c>
      <c r="R469" s="103" t="str">
        <f t="shared" si="229"/>
        <v/>
      </c>
      <c r="S469" s="103" t="str">
        <f t="shared" si="230"/>
        <v/>
      </c>
      <c r="T469" s="106" t="str">
        <f t="shared" si="217"/>
        <v/>
      </c>
      <c r="U469" s="106" t="str">
        <f t="shared" si="218"/>
        <v/>
      </c>
      <c r="V469" s="106" t="str">
        <f t="shared" si="219"/>
        <v/>
      </c>
      <c r="W469" s="105" t="str">
        <f t="shared" si="231"/>
        <v/>
      </c>
      <c r="X469" s="104" t="str">
        <f t="shared" si="236"/>
        <v/>
      </c>
      <c r="Y469" s="104" t="str">
        <f t="array" ref="Y469">IFERROR(IF(ISNUMBER(O469),IF(COUNT(IF(A469=$A$2:$A$2427,IF(D469=$D$2:$D$2427,IF($X$2:$X$2427&gt;0,1))))&gt;0,SUM(IF(A469=$A$2:$A$2427,IF(D469=$D$2:$D$2427,$X$2:$X$2427)))/COUNT(IF(A469=$A$2:$A$2427,IF(D469=$D$2:$D$2427,IF(ISNUMBER($X$2:$X$2427),1)))),0),""),0)</f>
        <v/>
      </c>
      <c r="Z469" s="104" t="str">
        <f>IF(ISNUMBER(O469),IF(I469&gt;0,(10^(VLOOKUP(D469,'Species Codes'!B:C,2,0)+VLOOKUP(D469,'Species Codes'!B:D,3,0)*LOG(E469)+VLOOKUP(D469,'Species Codes'!B:E,4,0)*LOG(I469))),0),"")</f>
        <v/>
      </c>
      <c r="AA469" s="104" t="str">
        <f>IFERROR((VLOOKUP(D469,'Species Codes'!B:G,6,0)*Z469)/2000,"")</f>
        <v/>
      </c>
      <c r="AB469" s="104" t="e">
        <f>IF(Z469&gt;0,((IF(OR(D469="DF",D469="RA")=TRUE,EXP(VLOOKUP(D469,'Species Codes'!B:I,8,0)+VLOOKUP(D469,'Species Codes'!B:J,9,0)*(LN((E469*2.54)))),IF(OR(D469="PY",D469="RC",D469="WH",D469="NF")=TRUE,VLOOKUP(D469,'Species Codes'!B:I,8,0)+VLOOKUP(D469,'Species Codes'!B:J,9,0)*((E469*2.54)^2)*(I469*0.3048),IF(OR(D469="MD",D469="BM",D469="GA")=TRUE,((VLOOKUP(D469,'Species Codes'!B:I,8,0)*(((((E469*2.54)+VLOOKUP(D469,'Species Codes'!B:J,9,0))/VLOOKUP(D469,'Species Codes'!B:K,10,0))^VLOOKUP(D469,'Species Codes'!B:L,11,0))*((I469*0.3048)^VLOOKUP(D469,'Species Codes'!B:M,12,0))))-(VLOOKUP(D469,'Species Codes'!B:I,8,0)*((((E469*2.54)^VLOOKUP(D469,'Species Codes'!B:L,11,0))*((I469*0.3048)^VLOOKUP(D469,'Species Codes'!B:M,12,0))))))*35.3*VLOOKUP(D469,'Species Codes'!B:G,6,0)/2.2046,VLOOKUP(D469,'Species Codes'!B:I,8,0)+VLOOKUP(D469,'Species Codes'!B:J,9,0)*(((E469*2.54)/100)^2)*(I469*0.3048)))))*0.0011023),0)</f>
        <v>#N/A</v>
      </c>
      <c r="AC469" s="104" t="e">
        <f>IF(Z469&gt;0,((IF(OR(D469="RA",D469="OA",D469="OT",D469="UN",D469="PC"),EXP(VLOOKUP(D469,'Species Codes'!B:O,14,0)+VLOOKUP(D469,'Species Codes'!B:P,15,0)*LN((E469*2.54)))-EXP(VLOOKUP(D469,'Species Codes'!B:O,14,0)+VLOOKUP(D469,'Species Codes'!B:P,15,0)*LN((E469*2.54)))*(1/(VLOOKUP(D469,'Species Codes'!B:Q,16,0)+VLOOKUP(D469,'Species Codes'!B:R,17,0)*((E469*2.54)^VLOOKUP(D469,'Species Codes'!B:S,18,0)))),IF(OR(D469="BM",D469="MD",D469="OA"),EXP(VLOOKUP(D469,'Species Codes'!B:O,14,0)+VLOOKUP(D469,'Species Codes'!B:P,15,0)*LN((E469*2.54)))*(1-(1/(VLOOKUP(D469,'Species Codes'!B:Q,16,0)+VLOOKUP(D469,'Species Codes'!B:R,17,0)*((E469*2.54)^VLOOKUP(D469,'Species Codes'!B:S,18,0)))))/1000,IF(D469="DF",EXP(VLOOKUP(D469,'Species Codes'!B:O,14,0)+VLOOKUP(D469,'Species Codes'!B:P,15,0)*LN((E469*2.54))),VLOOKUP(D469,'Species Codes'!B:O,14,0)+VLOOKUP(D469,'Species Codes'!B:P,15,0)*(((E469*2.54)/100)^2)*(I469*0.3048)))))*0.0011023),0)</f>
        <v>#N/A</v>
      </c>
      <c r="AD469" s="104" t="e">
        <f t="shared" si="220"/>
        <v>#N/A</v>
      </c>
      <c r="AE469" s="104" t="e">
        <f t="shared" si="221"/>
        <v>#N/A</v>
      </c>
      <c r="AF469" s="104" t="e">
        <f>IF(AND(VLOOKUP($D469,Merchantability!$B:$C,2,0)="Yes",$E469&gt;=VLOOKUP($D469,Merchantability!$B:$D,3,0),$E469&lt;=VLOOKUP($D469,Merchantability!$B:$E,4,0)),AA469,0)</f>
        <v>#N/A</v>
      </c>
      <c r="AG469" s="104" t="e">
        <f>IF(AND(VLOOKUP($D469,Merchantability!$B:$C,2,0)="Yes",$E469&gt;=VLOOKUP($D469,Merchantability!$B:$D,3,0),$E469&lt;=VLOOKUP($D469,Merchantability!$B:$E,4,0)),AB469,0)</f>
        <v>#N/A</v>
      </c>
      <c r="AH469" s="104" t="e">
        <f>IF(AND(VLOOKUP($D469,Merchantability!$B:$C,2,0)="Yes",$E469&gt;=VLOOKUP($D469,Merchantability!$B:$D,3,0),$E469&lt;=VLOOKUP($D469,Merchantability!$B:$E,4,0)),AC469,0)</f>
        <v>#N/A</v>
      </c>
      <c r="AI469" s="104" t="e">
        <f t="shared" si="222"/>
        <v>#N/A</v>
      </c>
      <c r="AJ469" s="104" t="e">
        <f t="shared" si="223"/>
        <v>#VALUE!</v>
      </c>
      <c r="AK469" s="104" t="e">
        <f t="shared" si="224"/>
        <v>#N/A</v>
      </c>
      <c r="AL469" s="104" t="e">
        <f t="shared" si="225"/>
        <v>#N/A</v>
      </c>
      <c r="AM469" s="104" t="e">
        <f t="shared" si="226"/>
        <v>#N/A</v>
      </c>
      <c r="AN469" s="104" t="e">
        <f t="shared" si="237"/>
        <v>#N/A</v>
      </c>
      <c r="AO469" s="104" t="e">
        <f t="shared" si="238"/>
        <v>#N/A</v>
      </c>
      <c r="AP469" s="104" t="e">
        <f t="shared" si="239"/>
        <v>#N/A</v>
      </c>
      <c r="AQ469" s="104" t="e">
        <f t="shared" si="240"/>
        <v>#N/A</v>
      </c>
      <c r="AR469" s="105" t="str">
        <f t="shared" si="232"/>
        <v/>
      </c>
      <c r="AS469" s="105" t="str">
        <f t="shared" si="233"/>
        <v/>
      </c>
      <c r="AT469" s="108" t="str">
        <f t="shared" si="234"/>
        <v/>
      </c>
      <c r="AU469" s="108" t="str">
        <f t="shared" si="235"/>
        <v/>
      </c>
      <c r="AV469" s="107" t="str">
        <f>IF(ISNUMBER(O469),IF(VLOOKUP($A469,Stand!C:J,8,FALSE)="Short",AT469,AU469),"")</f>
        <v/>
      </c>
      <c r="AW469" s="109" t="str">
        <f t="shared" si="241"/>
        <v/>
      </c>
      <c r="AX469" s="109" t="str">
        <f t="shared" si="242"/>
        <v/>
      </c>
      <c r="AY469" s="112" t="str">
        <f>IF(ISNUMBER(O469),IF(AND(VLOOKUP($D469,Merchantability!$B:$C,2,0)="Yes",$E469&gt;=VLOOKUP($D469,Merchantability!$B:$D,3,0),$E469&lt;=VLOOKUP($D469,Merchantability!$B:$E,4,0)),(AV469*O469)*(1-$H469/100),""),"")</f>
        <v/>
      </c>
      <c r="AZ469" s="116"/>
      <c r="BA469" s="116"/>
      <c r="BB469" s="116"/>
      <c r="BE469" s="62"/>
      <c r="BF469" s="63"/>
    </row>
    <row r="470" spans="1:58" ht="12.75" customHeight="1" x14ac:dyDescent="0.25">
      <c r="A470" s="313"/>
      <c r="B470" s="328"/>
      <c r="C470" s="329"/>
      <c r="D470" s="328"/>
      <c r="E470" s="330"/>
      <c r="F470" s="331"/>
      <c r="G470" s="329"/>
      <c r="H470" s="329"/>
      <c r="I470" s="328"/>
      <c r="J470" s="329"/>
      <c r="K470" s="329"/>
      <c r="L470" s="329"/>
      <c r="M470" s="76"/>
      <c r="N470" s="103" t="str">
        <f>IF(A470="","",VLOOKUP(A470,Stand!C:K,9,0))</f>
        <v/>
      </c>
      <c r="O470" s="104" t="str">
        <f t="shared" si="227"/>
        <v/>
      </c>
      <c r="P470" s="105" t="str">
        <f t="shared" si="228"/>
        <v/>
      </c>
      <c r="Q470" s="105" t="str">
        <f t="shared" si="216"/>
        <v/>
      </c>
      <c r="R470" s="103" t="str">
        <f t="shared" si="229"/>
        <v/>
      </c>
      <c r="S470" s="103" t="str">
        <f t="shared" si="230"/>
        <v/>
      </c>
      <c r="T470" s="106" t="str">
        <f t="shared" si="217"/>
        <v/>
      </c>
      <c r="U470" s="106" t="str">
        <f t="shared" si="218"/>
        <v/>
      </c>
      <c r="V470" s="106" t="str">
        <f t="shared" si="219"/>
        <v/>
      </c>
      <c r="W470" s="105" t="str">
        <f t="shared" si="231"/>
        <v/>
      </c>
      <c r="X470" s="104" t="str">
        <f t="shared" si="236"/>
        <v/>
      </c>
      <c r="Y470" s="104" t="str">
        <f t="array" ref="Y470">IFERROR(IF(ISNUMBER(O470),IF(COUNT(IF(A470=$A$2:$A$2427,IF(D470=$D$2:$D$2427,IF($X$2:$X$2427&gt;0,1))))&gt;0,SUM(IF(A470=$A$2:$A$2427,IF(D470=$D$2:$D$2427,$X$2:$X$2427)))/COUNT(IF(A470=$A$2:$A$2427,IF(D470=$D$2:$D$2427,IF(ISNUMBER($X$2:$X$2427),1)))),0),""),0)</f>
        <v/>
      </c>
      <c r="Z470" s="104" t="str">
        <f>IF(ISNUMBER(O470),IF(I470&gt;0,(10^(VLOOKUP(D470,'Species Codes'!B:C,2,0)+VLOOKUP(D470,'Species Codes'!B:D,3,0)*LOG(E470)+VLOOKUP(D470,'Species Codes'!B:E,4,0)*LOG(I470))),0),"")</f>
        <v/>
      </c>
      <c r="AA470" s="104" t="str">
        <f>IFERROR((VLOOKUP(D470,'Species Codes'!B:G,6,0)*Z470)/2000,"")</f>
        <v/>
      </c>
      <c r="AB470" s="104" t="e">
        <f>IF(Z470&gt;0,((IF(OR(D470="DF",D470="RA")=TRUE,EXP(VLOOKUP(D470,'Species Codes'!B:I,8,0)+VLOOKUP(D470,'Species Codes'!B:J,9,0)*(LN((E470*2.54)))),IF(OR(D470="PY",D470="RC",D470="WH",D470="NF")=TRUE,VLOOKUP(D470,'Species Codes'!B:I,8,0)+VLOOKUP(D470,'Species Codes'!B:J,9,0)*((E470*2.54)^2)*(I470*0.3048),IF(OR(D470="MD",D470="BM",D470="GA")=TRUE,((VLOOKUP(D470,'Species Codes'!B:I,8,0)*(((((E470*2.54)+VLOOKUP(D470,'Species Codes'!B:J,9,0))/VLOOKUP(D470,'Species Codes'!B:K,10,0))^VLOOKUP(D470,'Species Codes'!B:L,11,0))*((I470*0.3048)^VLOOKUP(D470,'Species Codes'!B:M,12,0))))-(VLOOKUP(D470,'Species Codes'!B:I,8,0)*((((E470*2.54)^VLOOKUP(D470,'Species Codes'!B:L,11,0))*((I470*0.3048)^VLOOKUP(D470,'Species Codes'!B:M,12,0))))))*35.3*VLOOKUP(D470,'Species Codes'!B:G,6,0)/2.2046,VLOOKUP(D470,'Species Codes'!B:I,8,0)+VLOOKUP(D470,'Species Codes'!B:J,9,0)*(((E470*2.54)/100)^2)*(I470*0.3048)))))*0.0011023),0)</f>
        <v>#N/A</v>
      </c>
      <c r="AC470" s="104" t="e">
        <f>IF(Z470&gt;0,((IF(OR(D470="RA",D470="OA",D470="OT",D470="UN",D470="PC"),EXP(VLOOKUP(D470,'Species Codes'!B:O,14,0)+VLOOKUP(D470,'Species Codes'!B:P,15,0)*LN((E470*2.54)))-EXP(VLOOKUP(D470,'Species Codes'!B:O,14,0)+VLOOKUP(D470,'Species Codes'!B:P,15,0)*LN((E470*2.54)))*(1/(VLOOKUP(D470,'Species Codes'!B:Q,16,0)+VLOOKUP(D470,'Species Codes'!B:R,17,0)*((E470*2.54)^VLOOKUP(D470,'Species Codes'!B:S,18,0)))),IF(OR(D470="BM",D470="MD",D470="OA"),EXP(VLOOKUP(D470,'Species Codes'!B:O,14,0)+VLOOKUP(D470,'Species Codes'!B:P,15,0)*LN((E470*2.54)))*(1-(1/(VLOOKUP(D470,'Species Codes'!B:Q,16,0)+VLOOKUP(D470,'Species Codes'!B:R,17,0)*((E470*2.54)^VLOOKUP(D470,'Species Codes'!B:S,18,0)))))/1000,IF(D470="DF",EXP(VLOOKUP(D470,'Species Codes'!B:O,14,0)+VLOOKUP(D470,'Species Codes'!B:P,15,0)*LN((E470*2.54))),VLOOKUP(D470,'Species Codes'!B:O,14,0)+VLOOKUP(D470,'Species Codes'!B:P,15,0)*(((E470*2.54)/100)^2)*(I470*0.3048)))))*0.0011023),0)</f>
        <v>#N/A</v>
      </c>
      <c r="AD470" s="104" t="e">
        <f t="shared" si="220"/>
        <v>#N/A</v>
      </c>
      <c r="AE470" s="104" t="e">
        <f t="shared" si="221"/>
        <v>#N/A</v>
      </c>
      <c r="AF470" s="104" t="e">
        <f>IF(AND(VLOOKUP($D470,Merchantability!$B:$C,2,0)="Yes",$E470&gt;=VLOOKUP($D470,Merchantability!$B:$D,3,0),$E470&lt;=VLOOKUP($D470,Merchantability!$B:$E,4,0)),AA470,0)</f>
        <v>#N/A</v>
      </c>
      <c r="AG470" s="104" t="e">
        <f>IF(AND(VLOOKUP($D470,Merchantability!$B:$C,2,0)="Yes",$E470&gt;=VLOOKUP($D470,Merchantability!$B:$D,3,0),$E470&lt;=VLOOKUP($D470,Merchantability!$B:$E,4,0)),AB470,0)</f>
        <v>#N/A</v>
      </c>
      <c r="AH470" s="104" t="e">
        <f>IF(AND(VLOOKUP($D470,Merchantability!$B:$C,2,0)="Yes",$E470&gt;=VLOOKUP($D470,Merchantability!$B:$D,3,0),$E470&lt;=VLOOKUP($D470,Merchantability!$B:$E,4,0)),AC470,0)</f>
        <v>#N/A</v>
      </c>
      <c r="AI470" s="104" t="e">
        <f t="shared" si="222"/>
        <v>#N/A</v>
      </c>
      <c r="AJ470" s="104" t="e">
        <f t="shared" si="223"/>
        <v>#VALUE!</v>
      </c>
      <c r="AK470" s="104" t="e">
        <f t="shared" si="224"/>
        <v>#N/A</v>
      </c>
      <c r="AL470" s="104" t="e">
        <f t="shared" si="225"/>
        <v>#N/A</v>
      </c>
      <c r="AM470" s="104" t="e">
        <f t="shared" si="226"/>
        <v>#N/A</v>
      </c>
      <c r="AN470" s="104" t="e">
        <f t="shared" si="237"/>
        <v>#N/A</v>
      </c>
      <c r="AO470" s="104" t="e">
        <f t="shared" si="238"/>
        <v>#N/A</v>
      </c>
      <c r="AP470" s="104" t="e">
        <f t="shared" si="239"/>
        <v>#N/A</v>
      </c>
      <c r="AQ470" s="104" t="e">
        <f t="shared" si="240"/>
        <v>#N/A</v>
      </c>
      <c r="AR470" s="105" t="str">
        <f t="shared" si="232"/>
        <v/>
      </c>
      <c r="AS470" s="105" t="str">
        <f t="shared" si="233"/>
        <v/>
      </c>
      <c r="AT470" s="108" t="str">
        <f t="shared" si="234"/>
        <v/>
      </c>
      <c r="AU470" s="108" t="str">
        <f t="shared" si="235"/>
        <v/>
      </c>
      <c r="AV470" s="107" t="str">
        <f>IF(ISNUMBER(O470),IF(VLOOKUP($A470,Stand!C:J,8,FALSE)="Short",AT470,AU470),"")</f>
        <v/>
      </c>
      <c r="AW470" s="109" t="str">
        <f t="shared" si="241"/>
        <v/>
      </c>
      <c r="AX470" s="109" t="str">
        <f t="shared" si="242"/>
        <v/>
      </c>
      <c r="AY470" s="112" t="str">
        <f>IF(ISNUMBER(O470),IF(AND(VLOOKUP($D470,Merchantability!$B:$C,2,0)="Yes",$E470&gt;=VLOOKUP($D470,Merchantability!$B:$D,3,0),$E470&lt;=VLOOKUP($D470,Merchantability!$B:$E,4,0)),(AV470*O470)*(1-$H470/100),""),"")</f>
        <v/>
      </c>
      <c r="AZ470" s="116"/>
      <c r="BA470" s="116"/>
      <c r="BB470" s="116"/>
      <c r="BE470" s="62"/>
      <c r="BF470" s="63"/>
    </row>
    <row r="471" spans="1:58" ht="12.75" customHeight="1" x14ac:dyDescent="0.25">
      <c r="A471" s="313"/>
      <c r="B471" s="328"/>
      <c r="C471" s="329"/>
      <c r="D471" s="328"/>
      <c r="E471" s="330"/>
      <c r="F471" s="331"/>
      <c r="G471" s="329"/>
      <c r="H471" s="329"/>
      <c r="I471" s="328"/>
      <c r="J471" s="329"/>
      <c r="K471" s="329"/>
      <c r="L471" s="329"/>
      <c r="M471" s="76"/>
      <c r="N471" s="103" t="str">
        <f>IF(A471="","",VLOOKUP(A471,Stand!C:K,9,0))</f>
        <v/>
      </c>
      <c r="O471" s="104" t="str">
        <f t="shared" si="227"/>
        <v/>
      </c>
      <c r="P471" s="105" t="str">
        <f t="shared" si="228"/>
        <v/>
      </c>
      <c r="Q471" s="105" t="str">
        <f t="shared" si="216"/>
        <v/>
      </c>
      <c r="R471" s="103" t="str">
        <f t="shared" si="229"/>
        <v/>
      </c>
      <c r="S471" s="103" t="str">
        <f t="shared" si="230"/>
        <v/>
      </c>
      <c r="T471" s="106" t="str">
        <f t="shared" si="217"/>
        <v/>
      </c>
      <c r="U471" s="106" t="str">
        <f t="shared" si="218"/>
        <v/>
      </c>
      <c r="V471" s="106" t="str">
        <f t="shared" si="219"/>
        <v/>
      </c>
      <c r="W471" s="105" t="str">
        <f t="shared" si="231"/>
        <v/>
      </c>
      <c r="X471" s="104" t="str">
        <f t="shared" si="236"/>
        <v/>
      </c>
      <c r="Y471" s="104" t="str">
        <f t="array" ref="Y471">IFERROR(IF(ISNUMBER(O471),IF(COUNT(IF(A471=$A$2:$A$2427,IF(D471=$D$2:$D$2427,IF($X$2:$X$2427&gt;0,1))))&gt;0,SUM(IF(A471=$A$2:$A$2427,IF(D471=$D$2:$D$2427,$X$2:$X$2427)))/COUNT(IF(A471=$A$2:$A$2427,IF(D471=$D$2:$D$2427,IF(ISNUMBER($X$2:$X$2427),1)))),0),""),0)</f>
        <v/>
      </c>
      <c r="Z471" s="104" t="str">
        <f>IF(ISNUMBER(O471),IF(I471&gt;0,(10^(VLOOKUP(D471,'Species Codes'!B:C,2,0)+VLOOKUP(D471,'Species Codes'!B:D,3,0)*LOG(E471)+VLOOKUP(D471,'Species Codes'!B:E,4,0)*LOG(I471))),0),"")</f>
        <v/>
      </c>
      <c r="AA471" s="104" t="str">
        <f>IFERROR((VLOOKUP(D471,'Species Codes'!B:G,6,0)*Z471)/2000,"")</f>
        <v/>
      </c>
      <c r="AB471" s="104" t="e">
        <f>IF(Z471&gt;0,((IF(OR(D471="DF",D471="RA")=TRUE,EXP(VLOOKUP(D471,'Species Codes'!B:I,8,0)+VLOOKUP(D471,'Species Codes'!B:J,9,0)*(LN((E471*2.54)))),IF(OR(D471="PY",D471="RC",D471="WH",D471="NF")=TRUE,VLOOKUP(D471,'Species Codes'!B:I,8,0)+VLOOKUP(D471,'Species Codes'!B:J,9,0)*((E471*2.54)^2)*(I471*0.3048),IF(OR(D471="MD",D471="BM",D471="GA")=TRUE,((VLOOKUP(D471,'Species Codes'!B:I,8,0)*(((((E471*2.54)+VLOOKUP(D471,'Species Codes'!B:J,9,0))/VLOOKUP(D471,'Species Codes'!B:K,10,0))^VLOOKUP(D471,'Species Codes'!B:L,11,0))*((I471*0.3048)^VLOOKUP(D471,'Species Codes'!B:M,12,0))))-(VLOOKUP(D471,'Species Codes'!B:I,8,0)*((((E471*2.54)^VLOOKUP(D471,'Species Codes'!B:L,11,0))*((I471*0.3048)^VLOOKUP(D471,'Species Codes'!B:M,12,0))))))*35.3*VLOOKUP(D471,'Species Codes'!B:G,6,0)/2.2046,VLOOKUP(D471,'Species Codes'!B:I,8,0)+VLOOKUP(D471,'Species Codes'!B:J,9,0)*(((E471*2.54)/100)^2)*(I471*0.3048)))))*0.0011023),0)</f>
        <v>#N/A</v>
      </c>
      <c r="AC471" s="104" t="e">
        <f>IF(Z471&gt;0,((IF(OR(D471="RA",D471="OA",D471="OT",D471="UN",D471="PC"),EXP(VLOOKUP(D471,'Species Codes'!B:O,14,0)+VLOOKUP(D471,'Species Codes'!B:P,15,0)*LN((E471*2.54)))-EXP(VLOOKUP(D471,'Species Codes'!B:O,14,0)+VLOOKUP(D471,'Species Codes'!B:P,15,0)*LN((E471*2.54)))*(1/(VLOOKUP(D471,'Species Codes'!B:Q,16,0)+VLOOKUP(D471,'Species Codes'!B:R,17,0)*((E471*2.54)^VLOOKUP(D471,'Species Codes'!B:S,18,0)))),IF(OR(D471="BM",D471="MD",D471="OA"),EXP(VLOOKUP(D471,'Species Codes'!B:O,14,0)+VLOOKUP(D471,'Species Codes'!B:P,15,0)*LN((E471*2.54)))*(1-(1/(VLOOKUP(D471,'Species Codes'!B:Q,16,0)+VLOOKUP(D471,'Species Codes'!B:R,17,0)*((E471*2.54)^VLOOKUP(D471,'Species Codes'!B:S,18,0)))))/1000,IF(D471="DF",EXP(VLOOKUP(D471,'Species Codes'!B:O,14,0)+VLOOKUP(D471,'Species Codes'!B:P,15,0)*LN((E471*2.54))),VLOOKUP(D471,'Species Codes'!B:O,14,0)+VLOOKUP(D471,'Species Codes'!B:P,15,0)*(((E471*2.54)/100)^2)*(I471*0.3048)))))*0.0011023),0)</f>
        <v>#N/A</v>
      </c>
      <c r="AD471" s="104" t="e">
        <f t="shared" si="220"/>
        <v>#N/A</v>
      </c>
      <c r="AE471" s="104" t="e">
        <f t="shared" si="221"/>
        <v>#N/A</v>
      </c>
      <c r="AF471" s="104" t="e">
        <f>IF(AND(VLOOKUP($D471,Merchantability!$B:$C,2,0)="Yes",$E471&gt;=VLOOKUP($D471,Merchantability!$B:$D,3,0),$E471&lt;=VLOOKUP($D471,Merchantability!$B:$E,4,0)),AA471,0)</f>
        <v>#N/A</v>
      </c>
      <c r="AG471" s="104" t="e">
        <f>IF(AND(VLOOKUP($D471,Merchantability!$B:$C,2,0)="Yes",$E471&gt;=VLOOKUP($D471,Merchantability!$B:$D,3,0),$E471&lt;=VLOOKUP($D471,Merchantability!$B:$E,4,0)),AB471,0)</f>
        <v>#N/A</v>
      </c>
      <c r="AH471" s="104" t="e">
        <f>IF(AND(VLOOKUP($D471,Merchantability!$B:$C,2,0)="Yes",$E471&gt;=VLOOKUP($D471,Merchantability!$B:$D,3,0),$E471&lt;=VLOOKUP($D471,Merchantability!$B:$E,4,0)),AC471,0)</f>
        <v>#N/A</v>
      </c>
      <c r="AI471" s="104" t="e">
        <f t="shared" si="222"/>
        <v>#N/A</v>
      </c>
      <c r="AJ471" s="104" t="e">
        <f t="shared" si="223"/>
        <v>#VALUE!</v>
      </c>
      <c r="AK471" s="104" t="e">
        <f t="shared" si="224"/>
        <v>#N/A</v>
      </c>
      <c r="AL471" s="104" t="e">
        <f t="shared" si="225"/>
        <v>#N/A</v>
      </c>
      <c r="AM471" s="104" t="e">
        <f t="shared" si="226"/>
        <v>#N/A</v>
      </c>
      <c r="AN471" s="104" t="e">
        <f t="shared" si="237"/>
        <v>#N/A</v>
      </c>
      <c r="AO471" s="104" t="e">
        <f t="shared" si="238"/>
        <v>#N/A</v>
      </c>
      <c r="AP471" s="104" t="e">
        <f t="shared" si="239"/>
        <v>#N/A</v>
      </c>
      <c r="AQ471" s="104" t="e">
        <f t="shared" si="240"/>
        <v>#N/A</v>
      </c>
      <c r="AR471" s="105" t="str">
        <f t="shared" si="232"/>
        <v/>
      </c>
      <c r="AS471" s="105" t="str">
        <f t="shared" si="233"/>
        <v/>
      </c>
      <c r="AT471" s="108" t="str">
        <f t="shared" si="234"/>
        <v/>
      </c>
      <c r="AU471" s="108" t="str">
        <f t="shared" si="235"/>
        <v/>
      </c>
      <c r="AV471" s="107" t="str">
        <f>IF(ISNUMBER(O471),IF(VLOOKUP($A471,Stand!C:J,8,FALSE)="Short",AT471,AU471),"")</f>
        <v/>
      </c>
      <c r="AW471" s="109" t="str">
        <f t="shared" si="241"/>
        <v/>
      </c>
      <c r="AX471" s="109" t="str">
        <f t="shared" si="242"/>
        <v/>
      </c>
      <c r="AY471" s="112" t="str">
        <f>IF(ISNUMBER(O471),IF(AND(VLOOKUP($D471,Merchantability!$B:$C,2,0)="Yes",$E471&gt;=VLOOKUP($D471,Merchantability!$B:$D,3,0),$E471&lt;=VLOOKUP($D471,Merchantability!$B:$E,4,0)),(AV471*O471)*(1-$H471/100),""),"")</f>
        <v/>
      </c>
      <c r="AZ471" s="116"/>
      <c r="BA471" s="116"/>
      <c r="BB471" s="116"/>
      <c r="BE471" s="62"/>
      <c r="BF471" s="63"/>
    </row>
    <row r="472" spans="1:58" ht="12.75" customHeight="1" x14ac:dyDescent="0.25">
      <c r="A472" s="313"/>
      <c r="B472" s="328"/>
      <c r="C472" s="329"/>
      <c r="D472" s="328"/>
      <c r="E472" s="330"/>
      <c r="F472" s="328"/>
      <c r="G472" s="329"/>
      <c r="H472" s="329"/>
      <c r="I472" s="328"/>
      <c r="J472" s="383"/>
      <c r="K472" s="329"/>
      <c r="L472" s="329"/>
      <c r="M472" s="76"/>
      <c r="N472" s="103" t="str">
        <f>IF(A472="","",VLOOKUP(A472,Stand!C:K,9,0))</f>
        <v/>
      </c>
      <c r="O472" s="104" t="str">
        <f t="shared" si="227"/>
        <v/>
      </c>
      <c r="P472" s="105" t="str">
        <f t="shared" si="228"/>
        <v/>
      </c>
      <c r="Q472" s="105" t="str">
        <f t="shared" si="216"/>
        <v/>
      </c>
      <c r="R472" s="103" t="str">
        <f t="shared" si="229"/>
        <v/>
      </c>
      <c r="S472" s="103" t="str">
        <f t="shared" si="230"/>
        <v/>
      </c>
      <c r="T472" s="106" t="str">
        <f t="shared" si="217"/>
        <v/>
      </c>
      <c r="U472" s="106" t="str">
        <f t="shared" si="218"/>
        <v/>
      </c>
      <c r="V472" s="106" t="str">
        <f t="shared" si="219"/>
        <v/>
      </c>
      <c r="W472" s="105" t="str">
        <f t="shared" si="231"/>
        <v/>
      </c>
      <c r="X472" s="104" t="str">
        <f t="shared" si="236"/>
        <v/>
      </c>
      <c r="Y472" s="104" t="str">
        <f t="array" ref="Y472">IFERROR(IF(ISNUMBER(O472),IF(COUNT(IF(A472=$A$2:$A$2427,IF(D472=$D$2:$D$2427,IF($X$2:$X$2427&gt;0,1))))&gt;0,SUM(IF(A472=$A$2:$A$2427,IF(D472=$D$2:$D$2427,$X$2:$X$2427)))/COUNT(IF(A472=$A$2:$A$2427,IF(D472=$D$2:$D$2427,IF(ISNUMBER($X$2:$X$2427),1)))),0),""),0)</f>
        <v/>
      </c>
      <c r="Z472" s="104" t="str">
        <f>IF(ISNUMBER(O472),IF(I472&gt;0,(10^(VLOOKUP(D472,'Species Codes'!B:C,2,0)+VLOOKUP(D472,'Species Codes'!B:D,3,0)*LOG(E472)+VLOOKUP(D472,'Species Codes'!B:E,4,0)*LOG(I472))),0),"")</f>
        <v/>
      </c>
      <c r="AA472" s="104" t="str">
        <f>IFERROR((VLOOKUP(D472,'Species Codes'!B:G,6,0)*Z472)/2000,"")</f>
        <v/>
      </c>
      <c r="AB472" s="104" t="e">
        <f>IF(Z472&gt;0,((IF(OR(D472="DF",D472="RA")=TRUE,EXP(VLOOKUP(D472,'Species Codes'!B:I,8,0)+VLOOKUP(D472,'Species Codes'!B:J,9,0)*(LN((E472*2.54)))),IF(OR(D472="PY",D472="RC",D472="WH",D472="NF")=TRUE,VLOOKUP(D472,'Species Codes'!B:I,8,0)+VLOOKUP(D472,'Species Codes'!B:J,9,0)*((E472*2.54)^2)*(I472*0.3048),IF(OR(D472="MD",D472="BM",D472="GA")=TRUE,((VLOOKUP(D472,'Species Codes'!B:I,8,0)*(((((E472*2.54)+VLOOKUP(D472,'Species Codes'!B:J,9,0))/VLOOKUP(D472,'Species Codes'!B:K,10,0))^VLOOKUP(D472,'Species Codes'!B:L,11,0))*((I472*0.3048)^VLOOKUP(D472,'Species Codes'!B:M,12,0))))-(VLOOKUP(D472,'Species Codes'!B:I,8,0)*((((E472*2.54)^VLOOKUP(D472,'Species Codes'!B:L,11,0))*((I472*0.3048)^VLOOKUP(D472,'Species Codes'!B:M,12,0))))))*35.3*VLOOKUP(D472,'Species Codes'!B:G,6,0)/2.2046,VLOOKUP(D472,'Species Codes'!B:I,8,0)+VLOOKUP(D472,'Species Codes'!B:J,9,0)*(((E472*2.54)/100)^2)*(I472*0.3048)))))*0.0011023),0)</f>
        <v>#N/A</v>
      </c>
      <c r="AC472" s="104" t="e">
        <f>IF(Z472&gt;0,((IF(OR(D472="RA",D472="OA",D472="OT",D472="UN",D472="PC"),EXP(VLOOKUP(D472,'Species Codes'!B:O,14,0)+VLOOKUP(D472,'Species Codes'!B:P,15,0)*LN((E472*2.54)))-EXP(VLOOKUP(D472,'Species Codes'!B:O,14,0)+VLOOKUP(D472,'Species Codes'!B:P,15,0)*LN((E472*2.54)))*(1/(VLOOKUP(D472,'Species Codes'!B:Q,16,0)+VLOOKUP(D472,'Species Codes'!B:R,17,0)*((E472*2.54)^VLOOKUP(D472,'Species Codes'!B:S,18,0)))),IF(OR(D472="BM",D472="MD",D472="OA"),EXP(VLOOKUP(D472,'Species Codes'!B:O,14,0)+VLOOKUP(D472,'Species Codes'!B:P,15,0)*LN((E472*2.54)))*(1-(1/(VLOOKUP(D472,'Species Codes'!B:Q,16,0)+VLOOKUP(D472,'Species Codes'!B:R,17,0)*((E472*2.54)^VLOOKUP(D472,'Species Codes'!B:S,18,0)))))/1000,IF(D472="DF",EXP(VLOOKUP(D472,'Species Codes'!B:O,14,0)+VLOOKUP(D472,'Species Codes'!B:P,15,0)*LN((E472*2.54))),VLOOKUP(D472,'Species Codes'!B:O,14,0)+VLOOKUP(D472,'Species Codes'!B:P,15,0)*(((E472*2.54)/100)^2)*(I472*0.3048)))))*0.0011023),0)</f>
        <v>#N/A</v>
      </c>
      <c r="AD472" s="104" t="e">
        <f t="shared" si="220"/>
        <v>#N/A</v>
      </c>
      <c r="AE472" s="104" t="e">
        <f t="shared" si="221"/>
        <v>#N/A</v>
      </c>
      <c r="AF472" s="104" t="e">
        <f>IF(AND(VLOOKUP($D472,Merchantability!$B:$C,2,0)="Yes",$E472&gt;=VLOOKUP($D472,Merchantability!$B:$D,3,0),$E472&lt;=VLOOKUP($D472,Merchantability!$B:$E,4,0)),AA472,0)</f>
        <v>#N/A</v>
      </c>
      <c r="AG472" s="104" t="e">
        <f>IF(AND(VLOOKUP($D472,Merchantability!$B:$C,2,0)="Yes",$E472&gt;=VLOOKUP($D472,Merchantability!$B:$D,3,0),$E472&lt;=VLOOKUP($D472,Merchantability!$B:$E,4,0)),AB472,0)</f>
        <v>#N/A</v>
      </c>
      <c r="AH472" s="104" t="e">
        <f>IF(AND(VLOOKUP($D472,Merchantability!$B:$C,2,0)="Yes",$E472&gt;=VLOOKUP($D472,Merchantability!$B:$D,3,0),$E472&lt;=VLOOKUP($D472,Merchantability!$B:$E,4,0)),AC472,0)</f>
        <v>#N/A</v>
      </c>
      <c r="AI472" s="104" t="e">
        <f t="shared" si="222"/>
        <v>#N/A</v>
      </c>
      <c r="AJ472" s="104" t="e">
        <f t="shared" si="223"/>
        <v>#VALUE!</v>
      </c>
      <c r="AK472" s="104" t="e">
        <f t="shared" si="224"/>
        <v>#N/A</v>
      </c>
      <c r="AL472" s="104" t="e">
        <f t="shared" si="225"/>
        <v>#N/A</v>
      </c>
      <c r="AM472" s="104" t="e">
        <f t="shared" si="226"/>
        <v>#N/A</v>
      </c>
      <c r="AN472" s="104" t="e">
        <f t="shared" si="237"/>
        <v>#N/A</v>
      </c>
      <c r="AO472" s="104" t="e">
        <f t="shared" si="238"/>
        <v>#N/A</v>
      </c>
      <c r="AP472" s="104" t="e">
        <f t="shared" si="239"/>
        <v>#N/A</v>
      </c>
      <c r="AQ472" s="104" t="e">
        <f t="shared" si="240"/>
        <v>#N/A</v>
      </c>
      <c r="AR472" s="105" t="str">
        <f t="shared" si="232"/>
        <v/>
      </c>
      <c r="AS472" s="105" t="str">
        <f t="shared" si="233"/>
        <v/>
      </c>
      <c r="AT472" s="108" t="str">
        <f t="shared" si="234"/>
        <v/>
      </c>
      <c r="AU472" s="108" t="str">
        <f t="shared" si="235"/>
        <v/>
      </c>
      <c r="AV472" s="107" t="str">
        <f>IF(ISNUMBER(O472),IF(VLOOKUP($A472,Stand!C:J,8,FALSE)="Short",AT472,AU472),"")</f>
        <v/>
      </c>
      <c r="AW472" s="109" t="str">
        <f t="shared" si="241"/>
        <v/>
      </c>
      <c r="AX472" s="109" t="str">
        <f t="shared" si="242"/>
        <v/>
      </c>
      <c r="AY472" s="112" t="str">
        <f>IF(ISNUMBER(O472),IF(AND(VLOOKUP($D472,Merchantability!$B:$C,2,0)="Yes",$E472&gt;=VLOOKUP($D472,Merchantability!$B:$D,3,0),$E472&lt;=VLOOKUP($D472,Merchantability!$B:$E,4,0)),(AV472*O472)*(1-$H472/100),""),"")</f>
        <v/>
      </c>
      <c r="AZ472" s="116"/>
      <c r="BA472" s="116"/>
      <c r="BB472" s="116"/>
      <c r="BE472" s="62"/>
      <c r="BF472" s="63"/>
    </row>
    <row r="473" spans="1:58" ht="12.75" customHeight="1" x14ac:dyDescent="0.25">
      <c r="A473" s="313"/>
      <c r="B473" s="328"/>
      <c r="C473" s="329"/>
      <c r="D473" s="328"/>
      <c r="E473" s="330"/>
      <c r="F473" s="328"/>
      <c r="G473" s="329"/>
      <c r="H473" s="329"/>
      <c r="I473" s="328"/>
      <c r="J473" s="383"/>
      <c r="K473" s="329"/>
      <c r="L473" s="329"/>
      <c r="M473" s="76"/>
      <c r="N473" s="103" t="str">
        <f>IF(A473="","",VLOOKUP(A473,Stand!C:K,9,0))</f>
        <v/>
      </c>
      <c r="O473" s="104" t="str">
        <f t="shared" si="227"/>
        <v/>
      </c>
      <c r="P473" s="105" t="str">
        <f t="shared" si="228"/>
        <v/>
      </c>
      <c r="Q473" s="105" t="str">
        <f t="shared" si="216"/>
        <v/>
      </c>
      <c r="R473" s="103" t="str">
        <f t="shared" si="229"/>
        <v/>
      </c>
      <c r="S473" s="103" t="str">
        <f t="shared" si="230"/>
        <v/>
      </c>
      <c r="T473" s="106" t="str">
        <f t="shared" si="217"/>
        <v/>
      </c>
      <c r="U473" s="106" t="str">
        <f t="shared" si="218"/>
        <v/>
      </c>
      <c r="V473" s="106" t="str">
        <f t="shared" si="219"/>
        <v/>
      </c>
      <c r="W473" s="105" t="str">
        <f t="shared" si="231"/>
        <v/>
      </c>
      <c r="X473" s="104" t="str">
        <f t="shared" si="236"/>
        <v/>
      </c>
      <c r="Y473" s="104" t="str">
        <f t="array" ref="Y473">IFERROR(IF(ISNUMBER(O473),IF(COUNT(IF(A473=$A$2:$A$2427,IF(D473=$D$2:$D$2427,IF($X$2:$X$2427&gt;0,1))))&gt;0,SUM(IF(A473=$A$2:$A$2427,IF(D473=$D$2:$D$2427,$X$2:$X$2427)))/COUNT(IF(A473=$A$2:$A$2427,IF(D473=$D$2:$D$2427,IF(ISNUMBER($X$2:$X$2427),1)))),0),""),0)</f>
        <v/>
      </c>
      <c r="Z473" s="104" t="str">
        <f>IF(ISNUMBER(O473),IF(I473&gt;0,(10^(VLOOKUP(D473,'Species Codes'!B:C,2,0)+VLOOKUP(D473,'Species Codes'!B:D,3,0)*LOG(E473)+VLOOKUP(D473,'Species Codes'!B:E,4,0)*LOG(I473))),0),"")</f>
        <v/>
      </c>
      <c r="AA473" s="104" t="str">
        <f>IFERROR((VLOOKUP(D473,'Species Codes'!B:G,6,0)*Z473)/2000,"")</f>
        <v/>
      </c>
      <c r="AB473" s="104" t="e">
        <f>IF(Z473&gt;0,((IF(OR(D473="DF",D473="RA")=TRUE,EXP(VLOOKUP(D473,'Species Codes'!B:I,8,0)+VLOOKUP(D473,'Species Codes'!B:J,9,0)*(LN((E473*2.54)))),IF(OR(D473="PY",D473="RC",D473="WH",D473="NF")=TRUE,VLOOKUP(D473,'Species Codes'!B:I,8,0)+VLOOKUP(D473,'Species Codes'!B:J,9,0)*((E473*2.54)^2)*(I473*0.3048),IF(OR(D473="MD",D473="BM",D473="GA")=TRUE,((VLOOKUP(D473,'Species Codes'!B:I,8,0)*(((((E473*2.54)+VLOOKUP(D473,'Species Codes'!B:J,9,0))/VLOOKUP(D473,'Species Codes'!B:K,10,0))^VLOOKUP(D473,'Species Codes'!B:L,11,0))*((I473*0.3048)^VLOOKUP(D473,'Species Codes'!B:M,12,0))))-(VLOOKUP(D473,'Species Codes'!B:I,8,0)*((((E473*2.54)^VLOOKUP(D473,'Species Codes'!B:L,11,0))*((I473*0.3048)^VLOOKUP(D473,'Species Codes'!B:M,12,0))))))*35.3*VLOOKUP(D473,'Species Codes'!B:G,6,0)/2.2046,VLOOKUP(D473,'Species Codes'!B:I,8,0)+VLOOKUP(D473,'Species Codes'!B:J,9,0)*(((E473*2.54)/100)^2)*(I473*0.3048)))))*0.0011023),0)</f>
        <v>#N/A</v>
      </c>
      <c r="AC473" s="104" t="e">
        <f>IF(Z473&gt;0,((IF(OR(D473="RA",D473="OA",D473="OT",D473="UN",D473="PC"),EXP(VLOOKUP(D473,'Species Codes'!B:O,14,0)+VLOOKUP(D473,'Species Codes'!B:P,15,0)*LN((E473*2.54)))-EXP(VLOOKUP(D473,'Species Codes'!B:O,14,0)+VLOOKUP(D473,'Species Codes'!B:P,15,0)*LN((E473*2.54)))*(1/(VLOOKUP(D473,'Species Codes'!B:Q,16,0)+VLOOKUP(D473,'Species Codes'!B:R,17,0)*((E473*2.54)^VLOOKUP(D473,'Species Codes'!B:S,18,0)))),IF(OR(D473="BM",D473="MD",D473="OA"),EXP(VLOOKUP(D473,'Species Codes'!B:O,14,0)+VLOOKUP(D473,'Species Codes'!B:P,15,0)*LN((E473*2.54)))*(1-(1/(VLOOKUP(D473,'Species Codes'!B:Q,16,0)+VLOOKUP(D473,'Species Codes'!B:R,17,0)*((E473*2.54)^VLOOKUP(D473,'Species Codes'!B:S,18,0)))))/1000,IF(D473="DF",EXP(VLOOKUP(D473,'Species Codes'!B:O,14,0)+VLOOKUP(D473,'Species Codes'!B:P,15,0)*LN((E473*2.54))),VLOOKUP(D473,'Species Codes'!B:O,14,0)+VLOOKUP(D473,'Species Codes'!B:P,15,0)*(((E473*2.54)/100)^2)*(I473*0.3048)))))*0.0011023),0)</f>
        <v>#N/A</v>
      </c>
      <c r="AD473" s="104" t="e">
        <f t="shared" si="220"/>
        <v>#N/A</v>
      </c>
      <c r="AE473" s="104" t="e">
        <f t="shared" si="221"/>
        <v>#N/A</v>
      </c>
      <c r="AF473" s="104" t="e">
        <f>IF(AND(VLOOKUP($D473,Merchantability!$B:$C,2,0)="Yes",$E473&gt;=VLOOKUP($D473,Merchantability!$B:$D,3,0),$E473&lt;=VLOOKUP($D473,Merchantability!$B:$E,4,0)),AA473,0)</f>
        <v>#N/A</v>
      </c>
      <c r="AG473" s="104" t="e">
        <f>IF(AND(VLOOKUP($D473,Merchantability!$B:$C,2,0)="Yes",$E473&gt;=VLOOKUP($D473,Merchantability!$B:$D,3,0),$E473&lt;=VLOOKUP($D473,Merchantability!$B:$E,4,0)),AB473,0)</f>
        <v>#N/A</v>
      </c>
      <c r="AH473" s="104" t="e">
        <f>IF(AND(VLOOKUP($D473,Merchantability!$B:$C,2,0)="Yes",$E473&gt;=VLOOKUP($D473,Merchantability!$B:$D,3,0),$E473&lt;=VLOOKUP($D473,Merchantability!$B:$E,4,0)),AC473,0)</f>
        <v>#N/A</v>
      </c>
      <c r="AI473" s="104" t="e">
        <f t="shared" si="222"/>
        <v>#N/A</v>
      </c>
      <c r="AJ473" s="104" t="e">
        <f t="shared" si="223"/>
        <v>#VALUE!</v>
      </c>
      <c r="AK473" s="104" t="e">
        <f t="shared" si="224"/>
        <v>#N/A</v>
      </c>
      <c r="AL473" s="104" t="e">
        <f t="shared" si="225"/>
        <v>#N/A</v>
      </c>
      <c r="AM473" s="104" t="e">
        <f t="shared" si="226"/>
        <v>#N/A</v>
      </c>
      <c r="AN473" s="104" t="e">
        <f t="shared" si="237"/>
        <v>#N/A</v>
      </c>
      <c r="AO473" s="104" t="e">
        <f t="shared" si="238"/>
        <v>#N/A</v>
      </c>
      <c r="AP473" s="104" t="e">
        <f t="shared" si="239"/>
        <v>#N/A</v>
      </c>
      <c r="AQ473" s="104" t="e">
        <f t="shared" si="240"/>
        <v>#N/A</v>
      </c>
      <c r="AR473" s="105" t="str">
        <f t="shared" si="232"/>
        <v/>
      </c>
      <c r="AS473" s="105" t="str">
        <f t="shared" si="233"/>
        <v/>
      </c>
      <c r="AT473" s="108" t="str">
        <f t="shared" si="234"/>
        <v/>
      </c>
      <c r="AU473" s="108" t="str">
        <f t="shared" si="235"/>
        <v/>
      </c>
      <c r="AV473" s="107" t="str">
        <f>IF(ISNUMBER(O473),IF(VLOOKUP($A473,Stand!C:J,8,FALSE)="Short",AT473,AU473),"")</f>
        <v/>
      </c>
      <c r="AW473" s="109" t="str">
        <f t="shared" si="241"/>
        <v/>
      </c>
      <c r="AX473" s="109" t="str">
        <f t="shared" si="242"/>
        <v/>
      </c>
      <c r="AY473" s="112" t="str">
        <f>IF(ISNUMBER(O473),IF(AND(VLOOKUP($D473,Merchantability!$B:$C,2,0)="Yes",$E473&gt;=VLOOKUP($D473,Merchantability!$B:$D,3,0),$E473&lt;=VLOOKUP($D473,Merchantability!$B:$E,4,0)),(AV473*O473)*(1-$H473/100),""),"")</f>
        <v/>
      </c>
      <c r="AZ473" s="116"/>
      <c r="BA473" s="116"/>
      <c r="BB473" s="116"/>
      <c r="BE473" s="62"/>
      <c r="BF473" s="63"/>
    </row>
    <row r="474" spans="1:58" ht="12.75" customHeight="1" x14ac:dyDescent="0.25">
      <c r="A474" s="313"/>
      <c r="B474" s="328"/>
      <c r="C474" s="329"/>
      <c r="D474" s="328"/>
      <c r="E474" s="330"/>
      <c r="F474" s="328"/>
      <c r="G474" s="329"/>
      <c r="H474" s="329"/>
      <c r="I474" s="328"/>
      <c r="J474" s="383"/>
      <c r="K474" s="329"/>
      <c r="L474" s="329"/>
      <c r="M474" s="76"/>
      <c r="N474" s="103" t="str">
        <f>IF(A474="","",VLOOKUP(A474,Stand!C:K,9,0))</f>
        <v/>
      </c>
      <c r="O474" s="104" t="str">
        <f t="shared" si="227"/>
        <v/>
      </c>
      <c r="P474" s="105" t="str">
        <f t="shared" si="228"/>
        <v/>
      </c>
      <c r="Q474" s="105" t="str">
        <f t="shared" si="216"/>
        <v/>
      </c>
      <c r="R474" s="103" t="str">
        <f t="shared" si="229"/>
        <v/>
      </c>
      <c r="S474" s="103" t="str">
        <f t="shared" si="230"/>
        <v/>
      </c>
      <c r="T474" s="106" t="str">
        <f t="shared" si="217"/>
        <v/>
      </c>
      <c r="U474" s="106" t="str">
        <f t="shared" si="218"/>
        <v/>
      </c>
      <c r="V474" s="106" t="str">
        <f t="shared" si="219"/>
        <v/>
      </c>
      <c r="W474" s="105" t="str">
        <f t="shared" si="231"/>
        <v/>
      </c>
      <c r="X474" s="104" t="str">
        <f t="shared" si="236"/>
        <v/>
      </c>
      <c r="Y474" s="104" t="str">
        <f t="array" ref="Y474">IFERROR(IF(ISNUMBER(O474),IF(COUNT(IF(A474=$A$2:$A$2427,IF(D474=$D$2:$D$2427,IF($X$2:$X$2427&gt;0,1))))&gt;0,SUM(IF(A474=$A$2:$A$2427,IF(D474=$D$2:$D$2427,$X$2:$X$2427)))/COUNT(IF(A474=$A$2:$A$2427,IF(D474=$D$2:$D$2427,IF(ISNUMBER($X$2:$X$2427),1)))),0),""),0)</f>
        <v/>
      </c>
      <c r="Z474" s="104" t="str">
        <f>IF(ISNUMBER(O474),IF(I474&gt;0,(10^(VLOOKUP(D474,'Species Codes'!B:C,2,0)+VLOOKUP(D474,'Species Codes'!B:D,3,0)*LOG(E474)+VLOOKUP(D474,'Species Codes'!B:E,4,0)*LOG(I474))),0),"")</f>
        <v/>
      </c>
      <c r="AA474" s="104" t="str">
        <f>IFERROR((VLOOKUP(D474,'Species Codes'!B:G,6,0)*Z474)/2000,"")</f>
        <v/>
      </c>
      <c r="AB474" s="104" t="e">
        <f>IF(Z474&gt;0,((IF(OR(D474="DF",D474="RA")=TRUE,EXP(VLOOKUP(D474,'Species Codes'!B:I,8,0)+VLOOKUP(D474,'Species Codes'!B:J,9,0)*(LN((E474*2.54)))),IF(OR(D474="PY",D474="RC",D474="WH",D474="NF")=TRUE,VLOOKUP(D474,'Species Codes'!B:I,8,0)+VLOOKUP(D474,'Species Codes'!B:J,9,0)*((E474*2.54)^2)*(I474*0.3048),IF(OR(D474="MD",D474="BM",D474="GA")=TRUE,((VLOOKUP(D474,'Species Codes'!B:I,8,0)*(((((E474*2.54)+VLOOKUP(D474,'Species Codes'!B:J,9,0))/VLOOKUP(D474,'Species Codes'!B:K,10,0))^VLOOKUP(D474,'Species Codes'!B:L,11,0))*((I474*0.3048)^VLOOKUP(D474,'Species Codes'!B:M,12,0))))-(VLOOKUP(D474,'Species Codes'!B:I,8,0)*((((E474*2.54)^VLOOKUP(D474,'Species Codes'!B:L,11,0))*((I474*0.3048)^VLOOKUP(D474,'Species Codes'!B:M,12,0))))))*35.3*VLOOKUP(D474,'Species Codes'!B:G,6,0)/2.2046,VLOOKUP(D474,'Species Codes'!B:I,8,0)+VLOOKUP(D474,'Species Codes'!B:J,9,0)*(((E474*2.54)/100)^2)*(I474*0.3048)))))*0.0011023),0)</f>
        <v>#N/A</v>
      </c>
      <c r="AC474" s="104" t="e">
        <f>IF(Z474&gt;0,((IF(OR(D474="RA",D474="OA",D474="OT",D474="UN",D474="PC"),EXP(VLOOKUP(D474,'Species Codes'!B:O,14,0)+VLOOKUP(D474,'Species Codes'!B:P,15,0)*LN((E474*2.54)))-EXP(VLOOKUP(D474,'Species Codes'!B:O,14,0)+VLOOKUP(D474,'Species Codes'!B:P,15,0)*LN((E474*2.54)))*(1/(VLOOKUP(D474,'Species Codes'!B:Q,16,0)+VLOOKUP(D474,'Species Codes'!B:R,17,0)*((E474*2.54)^VLOOKUP(D474,'Species Codes'!B:S,18,0)))),IF(OR(D474="BM",D474="MD",D474="OA"),EXP(VLOOKUP(D474,'Species Codes'!B:O,14,0)+VLOOKUP(D474,'Species Codes'!B:P,15,0)*LN((E474*2.54)))*(1-(1/(VLOOKUP(D474,'Species Codes'!B:Q,16,0)+VLOOKUP(D474,'Species Codes'!B:R,17,0)*((E474*2.54)^VLOOKUP(D474,'Species Codes'!B:S,18,0)))))/1000,IF(D474="DF",EXP(VLOOKUP(D474,'Species Codes'!B:O,14,0)+VLOOKUP(D474,'Species Codes'!B:P,15,0)*LN((E474*2.54))),VLOOKUP(D474,'Species Codes'!B:O,14,0)+VLOOKUP(D474,'Species Codes'!B:P,15,0)*(((E474*2.54)/100)^2)*(I474*0.3048)))))*0.0011023),0)</f>
        <v>#N/A</v>
      </c>
      <c r="AD474" s="104" t="e">
        <f t="shared" si="220"/>
        <v>#N/A</v>
      </c>
      <c r="AE474" s="104" t="e">
        <f t="shared" si="221"/>
        <v>#N/A</v>
      </c>
      <c r="AF474" s="104" t="e">
        <f>IF(AND(VLOOKUP($D474,Merchantability!$B:$C,2,0)="Yes",$E474&gt;=VLOOKUP($D474,Merchantability!$B:$D,3,0),$E474&lt;=VLOOKUP($D474,Merchantability!$B:$E,4,0)),AA474,0)</f>
        <v>#N/A</v>
      </c>
      <c r="AG474" s="104" t="e">
        <f>IF(AND(VLOOKUP($D474,Merchantability!$B:$C,2,0)="Yes",$E474&gt;=VLOOKUP($D474,Merchantability!$B:$D,3,0),$E474&lt;=VLOOKUP($D474,Merchantability!$B:$E,4,0)),AB474,0)</f>
        <v>#N/A</v>
      </c>
      <c r="AH474" s="104" t="e">
        <f>IF(AND(VLOOKUP($D474,Merchantability!$B:$C,2,0)="Yes",$E474&gt;=VLOOKUP($D474,Merchantability!$B:$D,3,0),$E474&lt;=VLOOKUP($D474,Merchantability!$B:$E,4,0)),AC474,0)</f>
        <v>#N/A</v>
      </c>
      <c r="AI474" s="104" t="e">
        <f t="shared" si="222"/>
        <v>#N/A</v>
      </c>
      <c r="AJ474" s="104" t="e">
        <f t="shared" si="223"/>
        <v>#VALUE!</v>
      </c>
      <c r="AK474" s="104" t="e">
        <f t="shared" si="224"/>
        <v>#N/A</v>
      </c>
      <c r="AL474" s="104" t="e">
        <f t="shared" si="225"/>
        <v>#N/A</v>
      </c>
      <c r="AM474" s="104" t="e">
        <f t="shared" si="226"/>
        <v>#N/A</v>
      </c>
      <c r="AN474" s="104" t="e">
        <f t="shared" si="237"/>
        <v>#N/A</v>
      </c>
      <c r="AO474" s="104" t="e">
        <f t="shared" si="238"/>
        <v>#N/A</v>
      </c>
      <c r="AP474" s="104" t="e">
        <f t="shared" si="239"/>
        <v>#N/A</v>
      </c>
      <c r="AQ474" s="104" t="e">
        <f t="shared" si="240"/>
        <v>#N/A</v>
      </c>
      <c r="AR474" s="105" t="str">
        <f t="shared" si="232"/>
        <v/>
      </c>
      <c r="AS474" s="105" t="str">
        <f t="shared" si="233"/>
        <v/>
      </c>
      <c r="AT474" s="108" t="str">
        <f t="shared" si="234"/>
        <v/>
      </c>
      <c r="AU474" s="108" t="str">
        <f t="shared" si="235"/>
        <v/>
      </c>
      <c r="AV474" s="107" t="str">
        <f>IF(ISNUMBER(O474),IF(VLOOKUP($A474,Stand!C:J,8,FALSE)="Short",AT474,AU474),"")</f>
        <v/>
      </c>
      <c r="AW474" s="109" t="str">
        <f t="shared" si="241"/>
        <v/>
      </c>
      <c r="AX474" s="109" t="str">
        <f t="shared" si="242"/>
        <v/>
      </c>
      <c r="AY474" s="112" t="str">
        <f>IF(ISNUMBER(O474),IF(AND(VLOOKUP($D474,Merchantability!$B:$C,2,0)="Yes",$E474&gt;=VLOOKUP($D474,Merchantability!$B:$D,3,0),$E474&lt;=VLOOKUP($D474,Merchantability!$B:$E,4,0)),(AV474*O474)*(1-$H474/100),""),"")</f>
        <v/>
      </c>
      <c r="AZ474" s="116"/>
      <c r="BA474" s="116"/>
      <c r="BB474" s="116"/>
      <c r="BE474" s="62"/>
      <c r="BF474" s="63"/>
    </row>
    <row r="475" spans="1:58" ht="12.75" customHeight="1" x14ac:dyDescent="0.25">
      <c r="A475" s="313"/>
      <c r="B475" s="328"/>
      <c r="C475" s="329"/>
      <c r="D475" s="328"/>
      <c r="E475" s="330"/>
      <c r="F475" s="328"/>
      <c r="G475" s="329"/>
      <c r="H475" s="329"/>
      <c r="I475" s="328"/>
      <c r="J475" s="383"/>
      <c r="K475" s="329"/>
      <c r="L475" s="329"/>
      <c r="M475" s="76"/>
      <c r="N475" s="103" t="str">
        <f>IF(A475="","",VLOOKUP(A475,Stand!C:K,9,0))</f>
        <v/>
      </c>
      <c r="O475" s="104" t="str">
        <f t="shared" si="227"/>
        <v/>
      </c>
      <c r="P475" s="105" t="str">
        <f t="shared" si="228"/>
        <v/>
      </c>
      <c r="Q475" s="105" t="str">
        <f t="shared" si="216"/>
        <v/>
      </c>
      <c r="R475" s="103" t="str">
        <f t="shared" si="229"/>
        <v/>
      </c>
      <c r="S475" s="103" t="str">
        <f t="shared" si="230"/>
        <v/>
      </c>
      <c r="T475" s="106" t="str">
        <f t="shared" si="217"/>
        <v/>
      </c>
      <c r="U475" s="106" t="str">
        <f t="shared" si="218"/>
        <v/>
      </c>
      <c r="V475" s="106" t="str">
        <f t="shared" si="219"/>
        <v/>
      </c>
      <c r="W475" s="105" t="str">
        <f t="shared" si="231"/>
        <v/>
      </c>
      <c r="X475" s="104" t="str">
        <f t="shared" si="236"/>
        <v/>
      </c>
      <c r="Y475" s="104" t="str">
        <f t="array" ref="Y475">IFERROR(IF(ISNUMBER(O475),IF(COUNT(IF(A475=$A$2:$A$2427,IF(D475=$D$2:$D$2427,IF($X$2:$X$2427&gt;0,1))))&gt;0,SUM(IF(A475=$A$2:$A$2427,IF(D475=$D$2:$D$2427,$X$2:$X$2427)))/COUNT(IF(A475=$A$2:$A$2427,IF(D475=$D$2:$D$2427,IF(ISNUMBER($X$2:$X$2427),1)))),0),""),0)</f>
        <v/>
      </c>
      <c r="Z475" s="104" t="str">
        <f>IF(ISNUMBER(O475),IF(I475&gt;0,(10^(VLOOKUP(D475,'Species Codes'!B:C,2,0)+VLOOKUP(D475,'Species Codes'!B:D,3,0)*LOG(E475)+VLOOKUP(D475,'Species Codes'!B:E,4,0)*LOG(I475))),0),"")</f>
        <v/>
      </c>
      <c r="AA475" s="104" t="str">
        <f>IFERROR((VLOOKUP(D475,'Species Codes'!B:G,6,0)*Z475)/2000,"")</f>
        <v/>
      </c>
      <c r="AB475" s="104" t="e">
        <f>IF(Z475&gt;0,((IF(OR(D475="DF",D475="RA")=TRUE,EXP(VLOOKUP(D475,'Species Codes'!B:I,8,0)+VLOOKUP(D475,'Species Codes'!B:J,9,0)*(LN((E475*2.54)))),IF(OR(D475="PY",D475="RC",D475="WH",D475="NF")=TRUE,VLOOKUP(D475,'Species Codes'!B:I,8,0)+VLOOKUP(D475,'Species Codes'!B:J,9,0)*((E475*2.54)^2)*(I475*0.3048),IF(OR(D475="MD",D475="BM",D475="GA")=TRUE,((VLOOKUP(D475,'Species Codes'!B:I,8,0)*(((((E475*2.54)+VLOOKUP(D475,'Species Codes'!B:J,9,0))/VLOOKUP(D475,'Species Codes'!B:K,10,0))^VLOOKUP(D475,'Species Codes'!B:L,11,0))*((I475*0.3048)^VLOOKUP(D475,'Species Codes'!B:M,12,0))))-(VLOOKUP(D475,'Species Codes'!B:I,8,0)*((((E475*2.54)^VLOOKUP(D475,'Species Codes'!B:L,11,0))*((I475*0.3048)^VLOOKUP(D475,'Species Codes'!B:M,12,0))))))*35.3*VLOOKUP(D475,'Species Codes'!B:G,6,0)/2.2046,VLOOKUP(D475,'Species Codes'!B:I,8,0)+VLOOKUP(D475,'Species Codes'!B:J,9,0)*(((E475*2.54)/100)^2)*(I475*0.3048)))))*0.0011023),0)</f>
        <v>#N/A</v>
      </c>
      <c r="AC475" s="104" t="e">
        <f>IF(Z475&gt;0,((IF(OR(D475="RA",D475="OA",D475="OT",D475="UN",D475="PC"),EXP(VLOOKUP(D475,'Species Codes'!B:O,14,0)+VLOOKUP(D475,'Species Codes'!B:P,15,0)*LN((E475*2.54)))-EXP(VLOOKUP(D475,'Species Codes'!B:O,14,0)+VLOOKUP(D475,'Species Codes'!B:P,15,0)*LN((E475*2.54)))*(1/(VLOOKUP(D475,'Species Codes'!B:Q,16,0)+VLOOKUP(D475,'Species Codes'!B:R,17,0)*((E475*2.54)^VLOOKUP(D475,'Species Codes'!B:S,18,0)))),IF(OR(D475="BM",D475="MD",D475="OA"),EXP(VLOOKUP(D475,'Species Codes'!B:O,14,0)+VLOOKUP(D475,'Species Codes'!B:P,15,0)*LN((E475*2.54)))*(1-(1/(VLOOKUP(D475,'Species Codes'!B:Q,16,0)+VLOOKUP(D475,'Species Codes'!B:R,17,0)*((E475*2.54)^VLOOKUP(D475,'Species Codes'!B:S,18,0)))))/1000,IF(D475="DF",EXP(VLOOKUP(D475,'Species Codes'!B:O,14,0)+VLOOKUP(D475,'Species Codes'!B:P,15,0)*LN((E475*2.54))),VLOOKUP(D475,'Species Codes'!B:O,14,0)+VLOOKUP(D475,'Species Codes'!B:P,15,0)*(((E475*2.54)/100)^2)*(I475*0.3048)))))*0.0011023),0)</f>
        <v>#N/A</v>
      </c>
      <c r="AD475" s="104" t="e">
        <f t="shared" si="220"/>
        <v>#N/A</v>
      </c>
      <c r="AE475" s="104" t="e">
        <f t="shared" si="221"/>
        <v>#N/A</v>
      </c>
      <c r="AF475" s="104" t="e">
        <f>IF(AND(VLOOKUP($D475,Merchantability!$B:$C,2,0)="Yes",$E475&gt;=VLOOKUP($D475,Merchantability!$B:$D,3,0),$E475&lt;=VLOOKUP($D475,Merchantability!$B:$E,4,0)),AA475,0)</f>
        <v>#N/A</v>
      </c>
      <c r="AG475" s="104" t="e">
        <f>IF(AND(VLOOKUP($D475,Merchantability!$B:$C,2,0)="Yes",$E475&gt;=VLOOKUP($D475,Merchantability!$B:$D,3,0),$E475&lt;=VLOOKUP($D475,Merchantability!$B:$E,4,0)),AB475,0)</f>
        <v>#N/A</v>
      </c>
      <c r="AH475" s="104" t="e">
        <f>IF(AND(VLOOKUP($D475,Merchantability!$B:$C,2,0)="Yes",$E475&gt;=VLOOKUP($D475,Merchantability!$B:$D,3,0),$E475&lt;=VLOOKUP($D475,Merchantability!$B:$E,4,0)),AC475,0)</f>
        <v>#N/A</v>
      </c>
      <c r="AI475" s="104" t="e">
        <f t="shared" si="222"/>
        <v>#N/A</v>
      </c>
      <c r="AJ475" s="104" t="e">
        <f t="shared" si="223"/>
        <v>#VALUE!</v>
      </c>
      <c r="AK475" s="104" t="e">
        <f t="shared" si="224"/>
        <v>#N/A</v>
      </c>
      <c r="AL475" s="104" t="e">
        <f t="shared" si="225"/>
        <v>#N/A</v>
      </c>
      <c r="AM475" s="104" t="e">
        <f t="shared" si="226"/>
        <v>#N/A</v>
      </c>
      <c r="AN475" s="104" t="e">
        <f t="shared" si="237"/>
        <v>#N/A</v>
      </c>
      <c r="AO475" s="104" t="e">
        <f t="shared" si="238"/>
        <v>#N/A</v>
      </c>
      <c r="AP475" s="104" t="e">
        <f t="shared" si="239"/>
        <v>#N/A</v>
      </c>
      <c r="AQ475" s="104" t="e">
        <f t="shared" si="240"/>
        <v>#N/A</v>
      </c>
      <c r="AR475" s="105" t="str">
        <f t="shared" si="232"/>
        <v/>
      </c>
      <c r="AS475" s="105" t="str">
        <f t="shared" si="233"/>
        <v/>
      </c>
      <c r="AT475" s="108" t="str">
        <f t="shared" si="234"/>
        <v/>
      </c>
      <c r="AU475" s="108" t="str">
        <f t="shared" si="235"/>
        <v/>
      </c>
      <c r="AV475" s="107" t="str">
        <f>IF(ISNUMBER(O475),IF(VLOOKUP($A475,Stand!C:J,8,FALSE)="Short",AT475,AU475),"")</f>
        <v/>
      </c>
      <c r="AW475" s="109" t="str">
        <f t="shared" si="241"/>
        <v/>
      </c>
      <c r="AX475" s="109" t="str">
        <f t="shared" si="242"/>
        <v/>
      </c>
      <c r="AY475" s="112" t="str">
        <f>IF(ISNUMBER(O475),IF(AND(VLOOKUP($D475,Merchantability!$B:$C,2,0)="Yes",$E475&gt;=VLOOKUP($D475,Merchantability!$B:$D,3,0),$E475&lt;=VLOOKUP($D475,Merchantability!$B:$E,4,0)),(AV475*O475)*(1-$H475/100),""),"")</f>
        <v/>
      </c>
      <c r="AZ475" s="116"/>
      <c r="BA475" s="116"/>
      <c r="BB475" s="116"/>
      <c r="BE475" s="62"/>
      <c r="BF475" s="63"/>
    </row>
    <row r="476" spans="1:58" ht="12.75" customHeight="1" x14ac:dyDescent="0.25">
      <c r="A476" s="313"/>
      <c r="B476" s="328"/>
      <c r="C476" s="329"/>
      <c r="D476" s="328"/>
      <c r="E476" s="330"/>
      <c r="F476" s="328"/>
      <c r="G476" s="329"/>
      <c r="H476" s="329"/>
      <c r="I476" s="328"/>
      <c r="J476" s="383"/>
      <c r="K476" s="329"/>
      <c r="L476" s="329"/>
      <c r="M476" s="76"/>
      <c r="N476" s="103" t="str">
        <f>IF(A476="","",VLOOKUP(A476,Stand!C:K,9,0))</f>
        <v/>
      </c>
      <c r="O476" s="104" t="str">
        <f t="shared" si="227"/>
        <v/>
      </c>
      <c r="P476" s="105" t="str">
        <f t="shared" si="228"/>
        <v/>
      </c>
      <c r="Q476" s="105" t="str">
        <f t="shared" si="216"/>
        <v/>
      </c>
      <c r="R476" s="103" t="str">
        <f t="shared" si="229"/>
        <v/>
      </c>
      <c r="S476" s="103" t="str">
        <f t="shared" si="230"/>
        <v/>
      </c>
      <c r="T476" s="106" t="str">
        <f t="shared" si="217"/>
        <v/>
      </c>
      <c r="U476" s="106" t="str">
        <f t="shared" si="218"/>
        <v/>
      </c>
      <c r="V476" s="106" t="str">
        <f t="shared" si="219"/>
        <v/>
      </c>
      <c r="W476" s="105" t="str">
        <f t="shared" si="231"/>
        <v/>
      </c>
      <c r="X476" s="104" t="str">
        <f t="shared" si="236"/>
        <v/>
      </c>
      <c r="Y476" s="104" t="str">
        <f t="array" ref="Y476">IFERROR(IF(ISNUMBER(O476),IF(COUNT(IF(A476=$A$2:$A$2427,IF(D476=$D$2:$D$2427,IF($X$2:$X$2427&gt;0,1))))&gt;0,SUM(IF(A476=$A$2:$A$2427,IF(D476=$D$2:$D$2427,$X$2:$X$2427)))/COUNT(IF(A476=$A$2:$A$2427,IF(D476=$D$2:$D$2427,IF(ISNUMBER($X$2:$X$2427),1)))),0),""),0)</f>
        <v/>
      </c>
      <c r="Z476" s="104" t="str">
        <f>IF(ISNUMBER(O476),IF(I476&gt;0,(10^(VLOOKUP(D476,'Species Codes'!B:C,2,0)+VLOOKUP(D476,'Species Codes'!B:D,3,0)*LOG(E476)+VLOOKUP(D476,'Species Codes'!B:E,4,0)*LOG(I476))),0),"")</f>
        <v/>
      </c>
      <c r="AA476" s="104" t="str">
        <f>IFERROR((VLOOKUP(D476,'Species Codes'!B:G,6,0)*Z476)/2000,"")</f>
        <v/>
      </c>
      <c r="AB476" s="104" t="e">
        <f>IF(Z476&gt;0,((IF(OR(D476="DF",D476="RA")=TRUE,EXP(VLOOKUP(D476,'Species Codes'!B:I,8,0)+VLOOKUP(D476,'Species Codes'!B:J,9,0)*(LN((E476*2.54)))),IF(OR(D476="PY",D476="RC",D476="WH",D476="NF")=TRUE,VLOOKUP(D476,'Species Codes'!B:I,8,0)+VLOOKUP(D476,'Species Codes'!B:J,9,0)*((E476*2.54)^2)*(I476*0.3048),IF(OR(D476="MD",D476="BM",D476="GA")=TRUE,((VLOOKUP(D476,'Species Codes'!B:I,8,0)*(((((E476*2.54)+VLOOKUP(D476,'Species Codes'!B:J,9,0))/VLOOKUP(D476,'Species Codes'!B:K,10,0))^VLOOKUP(D476,'Species Codes'!B:L,11,0))*((I476*0.3048)^VLOOKUP(D476,'Species Codes'!B:M,12,0))))-(VLOOKUP(D476,'Species Codes'!B:I,8,0)*((((E476*2.54)^VLOOKUP(D476,'Species Codes'!B:L,11,0))*((I476*0.3048)^VLOOKUP(D476,'Species Codes'!B:M,12,0))))))*35.3*VLOOKUP(D476,'Species Codes'!B:G,6,0)/2.2046,VLOOKUP(D476,'Species Codes'!B:I,8,0)+VLOOKUP(D476,'Species Codes'!B:J,9,0)*(((E476*2.54)/100)^2)*(I476*0.3048)))))*0.0011023),0)</f>
        <v>#N/A</v>
      </c>
      <c r="AC476" s="104" t="e">
        <f>IF(Z476&gt;0,((IF(OR(D476="RA",D476="OA",D476="OT",D476="UN",D476="PC"),EXP(VLOOKUP(D476,'Species Codes'!B:O,14,0)+VLOOKUP(D476,'Species Codes'!B:P,15,0)*LN((E476*2.54)))-EXP(VLOOKUP(D476,'Species Codes'!B:O,14,0)+VLOOKUP(D476,'Species Codes'!B:P,15,0)*LN((E476*2.54)))*(1/(VLOOKUP(D476,'Species Codes'!B:Q,16,0)+VLOOKUP(D476,'Species Codes'!B:R,17,0)*((E476*2.54)^VLOOKUP(D476,'Species Codes'!B:S,18,0)))),IF(OR(D476="BM",D476="MD",D476="OA"),EXP(VLOOKUP(D476,'Species Codes'!B:O,14,0)+VLOOKUP(D476,'Species Codes'!B:P,15,0)*LN((E476*2.54)))*(1-(1/(VLOOKUP(D476,'Species Codes'!B:Q,16,0)+VLOOKUP(D476,'Species Codes'!B:R,17,0)*((E476*2.54)^VLOOKUP(D476,'Species Codes'!B:S,18,0)))))/1000,IF(D476="DF",EXP(VLOOKUP(D476,'Species Codes'!B:O,14,0)+VLOOKUP(D476,'Species Codes'!B:P,15,0)*LN((E476*2.54))),VLOOKUP(D476,'Species Codes'!B:O,14,0)+VLOOKUP(D476,'Species Codes'!B:P,15,0)*(((E476*2.54)/100)^2)*(I476*0.3048)))))*0.0011023),0)</f>
        <v>#N/A</v>
      </c>
      <c r="AD476" s="104" t="e">
        <f t="shared" si="220"/>
        <v>#N/A</v>
      </c>
      <c r="AE476" s="104" t="e">
        <f t="shared" si="221"/>
        <v>#N/A</v>
      </c>
      <c r="AF476" s="104" t="e">
        <f>IF(AND(VLOOKUP($D476,Merchantability!$B:$C,2,0)="Yes",$E476&gt;=VLOOKUP($D476,Merchantability!$B:$D,3,0),$E476&lt;=VLOOKUP($D476,Merchantability!$B:$E,4,0)),AA476,0)</f>
        <v>#N/A</v>
      </c>
      <c r="AG476" s="104" t="e">
        <f>IF(AND(VLOOKUP($D476,Merchantability!$B:$C,2,0)="Yes",$E476&gt;=VLOOKUP($D476,Merchantability!$B:$D,3,0),$E476&lt;=VLOOKUP($D476,Merchantability!$B:$E,4,0)),AB476,0)</f>
        <v>#N/A</v>
      </c>
      <c r="AH476" s="104" t="e">
        <f>IF(AND(VLOOKUP($D476,Merchantability!$B:$C,2,0)="Yes",$E476&gt;=VLOOKUP($D476,Merchantability!$B:$D,3,0),$E476&lt;=VLOOKUP($D476,Merchantability!$B:$E,4,0)),AC476,0)</f>
        <v>#N/A</v>
      </c>
      <c r="AI476" s="104" t="e">
        <f t="shared" si="222"/>
        <v>#N/A</v>
      </c>
      <c r="AJ476" s="104" t="e">
        <f t="shared" si="223"/>
        <v>#VALUE!</v>
      </c>
      <c r="AK476" s="104" t="e">
        <f t="shared" si="224"/>
        <v>#N/A</v>
      </c>
      <c r="AL476" s="104" t="e">
        <f t="shared" si="225"/>
        <v>#N/A</v>
      </c>
      <c r="AM476" s="104" t="e">
        <f t="shared" si="226"/>
        <v>#N/A</v>
      </c>
      <c r="AN476" s="104" t="e">
        <f t="shared" si="237"/>
        <v>#N/A</v>
      </c>
      <c r="AO476" s="104" t="e">
        <f t="shared" si="238"/>
        <v>#N/A</v>
      </c>
      <c r="AP476" s="104" t="e">
        <f t="shared" si="239"/>
        <v>#N/A</v>
      </c>
      <c r="AQ476" s="104" t="e">
        <f t="shared" si="240"/>
        <v>#N/A</v>
      </c>
      <c r="AR476" s="105" t="str">
        <f t="shared" si="232"/>
        <v/>
      </c>
      <c r="AS476" s="105" t="str">
        <f t="shared" si="233"/>
        <v/>
      </c>
      <c r="AT476" s="108" t="str">
        <f t="shared" si="234"/>
        <v/>
      </c>
      <c r="AU476" s="108" t="str">
        <f t="shared" si="235"/>
        <v/>
      </c>
      <c r="AV476" s="107" t="str">
        <f>IF(ISNUMBER(O476),IF(VLOOKUP($A476,Stand!C:J,8,FALSE)="Short",AT476,AU476),"")</f>
        <v/>
      </c>
      <c r="AW476" s="109" t="str">
        <f t="shared" si="241"/>
        <v/>
      </c>
      <c r="AX476" s="109" t="str">
        <f t="shared" si="242"/>
        <v/>
      </c>
      <c r="AY476" s="112" t="str">
        <f>IF(ISNUMBER(O476),IF(AND(VLOOKUP($D476,Merchantability!$B:$C,2,0)="Yes",$E476&gt;=VLOOKUP($D476,Merchantability!$B:$D,3,0),$E476&lt;=VLOOKUP($D476,Merchantability!$B:$E,4,0)),(AV476*O476)*(1-$H476/100),""),"")</f>
        <v/>
      </c>
      <c r="AZ476" s="116"/>
      <c r="BA476" s="116"/>
      <c r="BB476" s="116"/>
      <c r="BE476" s="62"/>
      <c r="BF476" s="63"/>
    </row>
    <row r="477" spans="1:58" ht="12.75" customHeight="1" x14ac:dyDescent="0.25">
      <c r="A477" s="313"/>
      <c r="B477" s="328"/>
      <c r="C477" s="329"/>
      <c r="D477" s="328"/>
      <c r="E477" s="330"/>
      <c r="F477" s="328"/>
      <c r="G477" s="329"/>
      <c r="H477" s="329"/>
      <c r="I477" s="328"/>
      <c r="J477" s="383"/>
      <c r="K477" s="329"/>
      <c r="L477" s="329"/>
      <c r="M477" s="76"/>
      <c r="N477" s="103" t="str">
        <f>IF(A477="","",VLOOKUP(A477,Stand!C:K,9,0))</f>
        <v/>
      </c>
      <c r="O477" s="104" t="str">
        <f t="shared" si="227"/>
        <v/>
      </c>
      <c r="P477" s="105" t="str">
        <f t="shared" si="228"/>
        <v/>
      </c>
      <c r="Q477" s="105" t="str">
        <f t="shared" ref="Q477:Q540" si="243">IF(AND(ISNUMBER(O477),I477&gt;0),I477*O477,"")</f>
        <v/>
      </c>
      <c r="R477" s="103" t="str">
        <f t="shared" si="229"/>
        <v/>
      </c>
      <c r="S477" s="103" t="str">
        <f t="shared" si="230"/>
        <v/>
      </c>
      <c r="T477" s="106" t="str">
        <f t="shared" ref="T477:T540" si="244">IF(AND(ISNUMBER(O477),J477&gt;0),J477/100,"")</f>
        <v/>
      </c>
      <c r="U477" s="106" t="str">
        <f t="shared" ref="U477:U540" si="245">IF(AND(ISNUMBER(O477),J477&gt;0),T477*O477,"")</f>
        <v/>
      </c>
      <c r="V477" s="106" t="str">
        <f t="shared" ref="V477:V540" si="246">IF(AND(ISNUMBER(O477),I477&gt;0),W477*O477,"")</f>
        <v/>
      </c>
      <c r="W477" s="105" t="str">
        <f t="shared" si="231"/>
        <v/>
      </c>
      <c r="X477" s="104" t="str">
        <f t="shared" si="236"/>
        <v/>
      </c>
      <c r="Y477" s="104" t="str">
        <f t="array" ref="Y477">IFERROR(IF(ISNUMBER(O477),IF(COUNT(IF(A477=$A$2:$A$2427,IF(D477=$D$2:$D$2427,IF($X$2:$X$2427&gt;0,1))))&gt;0,SUM(IF(A477=$A$2:$A$2427,IF(D477=$D$2:$D$2427,$X$2:$X$2427)))/COUNT(IF(A477=$A$2:$A$2427,IF(D477=$D$2:$D$2427,IF(ISNUMBER($X$2:$X$2427),1)))),0),""),0)</f>
        <v/>
      </c>
      <c r="Z477" s="104" t="str">
        <f>IF(ISNUMBER(O477),IF(I477&gt;0,(10^(VLOOKUP(D477,'Species Codes'!B:C,2,0)+VLOOKUP(D477,'Species Codes'!B:D,3,0)*LOG(E477)+VLOOKUP(D477,'Species Codes'!B:E,4,0)*LOG(I477))),0),"")</f>
        <v/>
      </c>
      <c r="AA477" s="104" t="str">
        <f>IFERROR((VLOOKUP(D477,'Species Codes'!B:G,6,0)*Z477)/2000,"")</f>
        <v/>
      </c>
      <c r="AB477" s="104" t="e">
        <f>IF(Z477&gt;0,((IF(OR(D477="DF",D477="RA")=TRUE,EXP(VLOOKUP(D477,'Species Codes'!B:I,8,0)+VLOOKUP(D477,'Species Codes'!B:J,9,0)*(LN((E477*2.54)))),IF(OR(D477="PY",D477="RC",D477="WH",D477="NF")=TRUE,VLOOKUP(D477,'Species Codes'!B:I,8,0)+VLOOKUP(D477,'Species Codes'!B:J,9,0)*((E477*2.54)^2)*(I477*0.3048),IF(OR(D477="MD",D477="BM",D477="GA")=TRUE,((VLOOKUP(D477,'Species Codes'!B:I,8,0)*(((((E477*2.54)+VLOOKUP(D477,'Species Codes'!B:J,9,0))/VLOOKUP(D477,'Species Codes'!B:K,10,0))^VLOOKUP(D477,'Species Codes'!B:L,11,0))*((I477*0.3048)^VLOOKUP(D477,'Species Codes'!B:M,12,0))))-(VLOOKUP(D477,'Species Codes'!B:I,8,0)*((((E477*2.54)^VLOOKUP(D477,'Species Codes'!B:L,11,0))*((I477*0.3048)^VLOOKUP(D477,'Species Codes'!B:M,12,0))))))*35.3*VLOOKUP(D477,'Species Codes'!B:G,6,0)/2.2046,VLOOKUP(D477,'Species Codes'!B:I,8,0)+VLOOKUP(D477,'Species Codes'!B:J,9,0)*(((E477*2.54)/100)^2)*(I477*0.3048)))))*0.0011023),0)</f>
        <v>#N/A</v>
      </c>
      <c r="AC477" s="104" t="e">
        <f>IF(Z477&gt;0,((IF(OR(D477="RA",D477="OA",D477="OT",D477="UN",D477="PC"),EXP(VLOOKUP(D477,'Species Codes'!B:O,14,0)+VLOOKUP(D477,'Species Codes'!B:P,15,0)*LN((E477*2.54)))-EXP(VLOOKUP(D477,'Species Codes'!B:O,14,0)+VLOOKUP(D477,'Species Codes'!B:P,15,0)*LN((E477*2.54)))*(1/(VLOOKUP(D477,'Species Codes'!B:Q,16,0)+VLOOKUP(D477,'Species Codes'!B:R,17,0)*((E477*2.54)^VLOOKUP(D477,'Species Codes'!B:S,18,0)))),IF(OR(D477="BM",D477="MD",D477="OA"),EXP(VLOOKUP(D477,'Species Codes'!B:O,14,0)+VLOOKUP(D477,'Species Codes'!B:P,15,0)*LN((E477*2.54)))*(1-(1/(VLOOKUP(D477,'Species Codes'!B:Q,16,0)+VLOOKUP(D477,'Species Codes'!B:R,17,0)*((E477*2.54)^VLOOKUP(D477,'Species Codes'!B:S,18,0)))))/1000,IF(D477="DF",EXP(VLOOKUP(D477,'Species Codes'!B:O,14,0)+VLOOKUP(D477,'Species Codes'!B:P,15,0)*LN((E477*2.54))),VLOOKUP(D477,'Species Codes'!B:O,14,0)+VLOOKUP(D477,'Species Codes'!B:P,15,0)*(((E477*2.54)/100)^2)*(I477*0.3048)))))*0.0011023),0)</f>
        <v>#N/A</v>
      </c>
      <c r="AD477" s="104" t="e">
        <f t="shared" ref="AD477:AD540" si="247">SUM(AA477:AC477)</f>
        <v>#N/A</v>
      </c>
      <c r="AE477" s="104" t="e">
        <f t="shared" ref="AE477:AE540" si="248">AD477*O477</f>
        <v>#N/A</v>
      </c>
      <c r="AF477" s="104" t="e">
        <f>IF(AND(VLOOKUP($D477,Merchantability!$B:$C,2,0)="Yes",$E477&gt;=VLOOKUP($D477,Merchantability!$B:$D,3,0),$E477&lt;=VLOOKUP($D477,Merchantability!$B:$E,4,0)),AA477,0)</f>
        <v>#N/A</v>
      </c>
      <c r="AG477" s="104" t="e">
        <f>IF(AND(VLOOKUP($D477,Merchantability!$B:$C,2,0)="Yes",$E477&gt;=VLOOKUP($D477,Merchantability!$B:$D,3,0),$E477&lt;=VLOOKUP($D477,Merchantability!$B:$E,4,0)),AB477,0)</f>
        <v>#N/A</v>
      </c>
      <c r="AH477" s="104" t="e">
        <f>IF(AND(VLOOKUP($D477,Merchantability!$B:$C,2,0)="Yes",$E477&gt;=VLOOKUP($D477,Merchantability!$B:$D,3,0),$E477&lt;=VLOOKUP($D477,Merchantability!$B:$E,4,0)),AC477,0)</f>
        <v>#N/A</v>
      </c>
      <c r="AI477" s="104" t="e">
        <f t="shared" ref="AI477:AI540" si="249">SUM(AF477:AH477)</f>
        <v>#N/A</v>
      </c>
      <c r="AJ477" s="104" t="e">
        <f t="shared" ref="AJ477:AJ540" si="250">AA477*$O477</f>
        <v>#VALUE!</v>
      </c>
      <c r="AK477" s="104" t="e">
        <f t="shared" ref="AK477:AK540" si="251">AB477*$O477</f>
        <v>#N/A</v>
      </c>
      <c r="AL477" s="104" t="e">
        <f t="shared" ref="AL477:AL540" si="252">AC477*$O477</f>
        <v>#N/A</v>
      </c>
      <c r="AM477" s="104" t="e">
        <f t="shared" ref="AM477:AM540" si="253">AD477*$O477</f>
        <v>#N/A</v>
      </c>
      <c r="AN477" s="104" t="e">
        <f t="shared" si="237"/>
        <v>#N/A</v>
      </c>
      <c r="AO477" s="104" t="e">
        <f t="shared" si="238"/>
        <v>#N/A</v>
      </c>
      <c r="AP477" s="104" t="e">
        <f t="shared" si="239"/>
        <v>#N/A</v>
      </c>
      <c r="AQ477" s="104" t="e">
        <f t="shared" si="240"/>
        <v>#N/A</v>
      </c>
      <c r="AR477" s="105" t="str">
        <f t="shared" si="232"/>
        <v/>
      </c>
      <c r="AS477" s="105" t="str">
        <f t="shared" si="233"/>
        <v/>
      </c>
      <c r="AT477" s="108" t="str">
        <f t="shared" si="234"/>
        <v/>
      </c>
      <c r="AU477" s="108" t="str">
        <f t="shared" si="235"/>
        <v/>
      </c>
      <c r="AV477" s="107" t="str">
        <f>IF(ISNUMBER(O477),IF(VLOOKUP($A477,Stand!C:J,8,FALSE)="Short",AT477,AU477),"")</f>
        <v/>
      </c>
      <c r="AW477" s="109" t="str">
        <f t="shared" si="241"/>
        <v/>
      </c>
      <c r="AX477" s="109" t="str">
        <f t="shared" si="242"/>
        <v/>
      </c>
      <c r="AY477" s="112" t="str">
        <f>IF(ISNUMBER(O477),IF(AND(VLOOKUP($D477,Merchantability!$B:$C,2,0)="Yes",$E477&gt;=VLOOKUP($D477,Merchantability!$B:$D,3,0),$E477&lt;=VLOOKUP($D477,Merchantability!$B:$E,4,0)),(AV477*O477)*(1-$H477/100),""),"")</f>
        <v/>
      </c>
      <c r="AZ477" s="116"/>
      <c r="BA477" s="116"/>
      <c r="BB477" s="116"/>
      <c r="BE477" s="62"/>
      <c r="BF477" s="63"/>
    </row>
    <row r="478" spans="1:58" ht="12.75" customHeight="1" x14ac:dyDescent="0.25">
      <c r="A478" s="313"/>
      <c r="B478" s="328"/>
      <c r="C478" s="329"/>
      <c r="D478" s="328"/>
      <c r="E478" s="330"/>
      <c r="F478" s="328"/>
      <c r="G478" s="329"/>
      <c r="H478" s="329"/>
      <c r="I478" s="328"/>
      <c r="J478" s="383"/>
      <c r="K478" s="329"/>
      <c r="L478" s="329"/>
      <c r="M478" s="76"/>
      <c r="N478" s="103" t="str">
        <f>IF(A478="","",VLOOKUP(A478,Stand!C:K,9,0))</f>
        <v/>
      </c>
      <c r="O478" s="104" t="str">
        <f t="shared" si="227"/>
        <v/>
      </c>
      <c r="P478" s="105" t="str">
        <f t="shared" si="228"/>
        <v/>
      </c>
      <c r="Q478" s="105" t="str">
        <f t="shared" si="243"/>
        <v/>
      </c>
      <c r="R478" s="103" t="str">
        <f t="shared" si="229"/>
        <v/>
      </c>
      <c r="S478" s="103" t="str">
        <f t="shared" si="230"/>
        <v/>
      </c>
      <c r="T478" s="106" t="str">
        <f t="shared" si="244"/>
        <v/>
      </c>
      <c r="U478" s="106" t="str">
        <f t="shared" si="245"/>
        <v/>
      </c>
      <c r="V478" s="106" t="str">
        <f t="shared" si="246"/>
        <v/>
      </c>
      <c r="W478" s="105" t="str">
        <f t="shared" si="231"/>
        <v/>
      </c>
      <c r="X478" s="104" t="str">
        <f t="shared" si="236"/>
        <v/>
      </c>
      <c r="Y478" s="104" t="str">
        <f t="array" ref="Y478">IFERROR(IF(ISNUMBER(O478),IF(COUNT(IF(A478=$A$2:$A$2427,IF(D478=$D$2:$D$2427,IF($X$2:$X$2427&gt;0,1))))&gt;0,SUM(IF(A478=$A$2:$A$2427,IF(D478=$D$2:$D$2427,$X$2:$X$2427)))/COUNT(IF(A478=$A$2:$A$2427,IF(D478=$D$2:$D$2427,IF(ISNUMBER($X$2:$X$2427),1)))),0),""),0)</f>
        <v/>
      </c>
      <c r="Z478" s="104" t="str">
        <f>IF(ISNUMBER(O478),IF(I478&gt;0,(10^(VLOOKUP(D478,'Species Codes'!B:C,2,0)+VLOOKUP(D478,'Species Codes'!B:D,3,0)*LOG(E478)+VLOOKUP(D478,'Species Codes'!B:E,4,0)*LOG(I478))),0),"")</f>
        <v/>
      </c>
      <c r="AA478" s="104" t="str">
        <f>IFERROR((VLOOKUP(D478,'Species Codes'!B:G,6,0)*Z478)/2000,"")</f>
        <v/>
      </c>
      <c r="AB478" s="104" t="e">
        <f>IF(Z478&gt;0,((IF(OR(D478="DF",D478="RA")=TRUE,EXP(VLOOKUP(D478,'Species Codes'!B:I,8,0)+VLOOKUP(D478,'Species Codes'!B:J,9,0)*(LN((E478*2.54)))),IF(OR(D478="PY",D478="RC",D478="WH",D478="NF")=TRUE,VLOOKUP(D478,'Species Codes'!B:I,8,0)+VLOOKUP(D478,'Species Codes'!B:J,9,0)*((E478*2.54)^2)*(I478*0.3048),IF(OR(D478="MD",D478="BM",D478="GA")=TRUE,((VLOOKUP(D478,'Species Codes'!B:I,8,0)*(((((E478*2.54)+VLOOKUP(D478,'Species Codes'!B:J,9,0))/VLOOKUP(D478,'Species Codes'!B:K,10,0))^VLOOKUP(D478,'Species Codes'!B:L,11,0))*((I478*0.3048)^VLOOKUP(D478,'Species Codes'!B:M,12,0))))-(VLOOKUP(D478,'Species Codes'!B:I,8,0)*((((E478*2.54)^VLOOKUP(D478,'Species Codes'!B:L,11,0))*((I478*0.3048)^VLOOKUP(D478,'Species Codes'!B:M,12,0))))))*35.3*VLOOKUP(D478,'Species Codes'!B:G,6,0)/2.2046,VLOOKUP(D478,'Species Codes'!B:I,8,0)+VLOOKUP(D478,'Species Codes'!B:J,9,0)*(((E478*2.54)/100)^2)*(I478*0.3048)))))*0.0011023),0)</f>
        <v>#N/A</v>
      </c>
      <c r="AC478" s="104" t="e">
        <f>IF(Z478&gt;0,((IF(OR(D478="RA",D478="OA",D478="OT",D478="UN",D478="PC"),EXP(VLOOKUP(D478,'Species Codes'!B:O,14,0)+VLOOKUP(D478,'Species Codes'!B:P,15,0)*LN((E478*2.54)))-EXP(VLOOKUP(D478,'Species Codes'!B:O,14,0)+VLOOKUP(D478,'Species Codes'!B:P,15,0)*LN((E478*2.54)))*(1/(VLOOKUP(D478,'Species Codes'!B:Q,16,0)+VLOOKUP(D478,'Species Codes'!B:R,17,0)*((E478*2.54)^VLOOKUP(D478,'Species Codes'!B:S,18,0)))),IF(OR(D478="BM",D478="MD",D478="OA"),EXP(VLOOKUP(D478,'Species Codes'!B:O,14,0)+VLOOKUP(D478,'Species Codes'!B:P,15,0)*LN((E478*2.54)))*(1-(1/(VLOOKUP(D478,'Species Codes'!B:Q,16,0)+VLOOKUP(D478,'Species Codes'!B:R,17,0)*((E478*2.54)^VLOOKUP(D478,'Species Codes'!B:S,18,0)))))/1000,IF(D478="DF",EXP(VLOOKUP(D478,'Species Codes'!B:O,14,0)+VLOOKUP(D478,'Species Codes'!B:P,15,0)*LN((E478*2.54))),VLOOKUP(D478,'Species Codes'!B:O,14,0)+VLOOKUP(D478,'Species Codes'!B:P,15,0)*(((E478*2.54)/100)^2)*(I478*0.3048)))))*0.0011023),0)</f>
        <v>#N/A</v>
      </c>
      <c r="AD478" s="104" t="e">
        <f t="shared" si="247"/>
        <v>#N/A</v>
      </c>
      <c r="AE478" s="104" t="e">
        <f t="shared" si="248"/>
        <v>#N/A</v>
      </c>
      <c r="AF478" s="104" t="e">
        <f>IF(AND(VLOOKUP($D478,Merchantability!$B:$C,2,0)="Yes",$E478&gt;=VLOOKUP($D478,Merchantability!$B:$D,3,0),$E478&lt;=VLOOKUP($D478,Merchantability!$B:$E,4,0)),AA478,0)</f>
        <v>#N/A</v>
      </c>
      <c r="AG478" s="104" t="e">
        <f>IF(AND(VLOOKUP($D478,Merchantability!$B:$C,2,0)="Yes",$E478&gt;=VLOOKUP($D478,Merchantability!$B:$D,3,0),$E478&lt;=VLOOKUP($D478,Merchantability!$B:$E,4,0)),AB478,0)</f>
        <v>#N/A</v>
      </c>
      <c r="AH478" s="104" t="e">
        <f>IF(AND(VLOOKUP($D478,Merchantability!$B:$C,2,0)="Yes",$E478&gt;=VLOOKUP($D478,Merchantability!$B:$D,3,0),$E478&lt;=VLOOKUP($D478,Merchantability!$B:$E,4,0)),AC478,0)</f>
        <v>#N/A</v>
      </c>
      <c r="AI478" s="104" t="e">
        <f t="shared" si="249"/>
        <v>#N/A</v>
      </c>
      <c r="AJ478" s="104" t="e">
        <f t="shared" si="250"/>
        <v>#VALUE!</v>
      </c>
      <c r="AK478" s="104" t="e">
        <f t="shared" si="251"/>
        <v>#N/A</v>
      </c>
      <c r="AL478" s="104" t="e">
        <f t="shared" si="252"/>
        <v>#N/A</v>
      </c>
      <c r="AM478" s="104" t="e">
        <f t="shared" si="253"/>
        <v>#N/A</v>
      </c>
      <c r="AN478" s="104" t="e">
        <f t="shared" si="237"/>
        <v>#N/A</v>
      </c>
      <c r="AO478" s="104" t="e">
        <f t="shared" si="238"/>
        <v>#N/A</v>
      </c>
      <c r="AP478" s="104" t="e">
        <f t="shared" si="239"/>
        <v>#N/A</v>
      </c>
      <c r="AQ478" s="104" t="e">
        <f t="shared" si="240"/>
        <v>#N/A</v>
      </c>
      <c r="AR478" s="105" t="str">
        <f t="shared" si="232"/>
        <v/>
      </c>
      <c r="AS478" s="105" t="str">
        <f t="shared" si="233"/>
        <v/>
      </c>
      <c r="AT478" s="108" t="str">
        <f t="shared" si="234"/>
        <v/>
      </c>
      <c r="AU478" s="108" t="str">
        <f t="shared" si="235"/>
        <v/>
      </c>
      <c r="AV478" s="107" t="str">
        <f>IF(ISNUMBER(O478),IF(VLOOKUP($A478,Stand!C:J,8,FALSE)="Short",AT478,AU478),"")</f>
        <v/>
      </c>
      <c r="AW478" s="109" t="str">
        <f t="shared" si="241"/>
        <v/>
      </c>
      <c r="AX478" s="109" t="str">
        <f t="shared" si="242"/>
        <v/>
      </c>
      <c r="AY478" s="112" t="str">
        <f>IF(ISNUMBER(O478),IF(AND(VLOOKUP($D478,Merchantability!$B:$C,2,0)="Yes",$E478&gt;=VLOOKUP($D478,Merchantability!$B:$D,3,0),$E478&lt;=VLOOKUP($D478,Merchantability!$B:$E,4,0)),(AV478*O478)*(1-$H478/100),""),"")</f>
        <v/>
      </c>
      <c r="AZ478" s="116"/>
      <c r="BA478" s="116"/>
      <c r="BB478" s="116"/>
      <c r="BE478" s="62"/>
      <c r="BF478" s="63"/>
    </row>
    <row r="479" spans="1:58" ht="12.75" customHeight="1" x14ac:dyDescent="0.25">
      <c r="A479" s="313"/>
      <c r="B479" s="328"/>
      <c r="C479" s="329"/>
      <c r="D479" s="328"/>
      <c r="E479" s="330"/>
      <c r="F479" s="328"/>
      <c r="G479" s="329"/>
      <c r="H479" s="329"/>
      <c r="I479" s="328"/>
      <c r="J479" s="383"/>
      <c r="K479" s="329"/>
      <c r="L479" s="329"/>
      <c r="M479" s="76"/>
      <c r="N479" s="103" t="str">
        <f>IF(A479="","",VLOOKUP(A479,Stand!C:K,9,0))</f>
        <v/>
      </c>
      <c r="O479" s="104" t="str">
        <f t="shared" si="227"/>
        <v/>
      </c>
      <c r="P479" s="105" t="str">
        <f t="shared" si="228"/>
        <v/>
      </c>
      <c r="Q479" s="105" t="str">
        <f t="shared" si="243"/>
        <v/>
      </c>
      <c r="R479" s="103" t="str">
        <f t="shared" si="229"/>
        <v/>
      </c>
      <c r="S479" s="103" t="str">
        <f t="shared" si="230"/>
        <v/>
      </c>
      <c r="T479" s="106" t="str">
        <f t="shared" si="244"/>
        <v/>
      </c>
      <c r="U479" s="106" t="str">
        <f t="shared" si="245"/>
        <v/>
      </c>
      <c r="V479" s="106" t="str">
        <f t="shared" si="246"/>
        <v/>
      </c>
      <c r="W479" s="105" t="str">
        <f t="shared" si="231"/>
        <v/>
      </c>
      <c r="X479" s="104" t="str">
        <f t="shared" si="236"/>
        <v/>
      </c>
      <c r="Y479" s="104" t="str">
        <f t="array" ref="Y479">IFERROR(IF(ISNUMBER(O479),IF(COUNT(IF(A479=$A$2:$A$2427,IF(D479=$D$2:$D$2427,IF($X$2:$X$2427&gt;0,1))))&gt;0,SUM(IF(A479=$A$2:$A$2427,IF(D479=$D$2:$D$2427,$X$2:$X$2427)))/COUNT(IF(A479=$A$2:$A$2427,IF(D479=$D$2:$D$2427,IF(ISNUMBER($X$2:$X$2427),1)))),0),""),0)</f>
        <v/>
      </c>
      <c r="Z479" s="104" t="str">
        <f>IF(ISNUMBER(O479),IF(I479&gt;0,(10^(VLOOKUP(D479,'Species Codes'!B:C,2,0)+VLOOKUP(D479,'Species Codes'!B:D,3,0)*LOG(E479)+VLOOKUP(D479,'Species Codes'!B:E,4,0)*LOG(I479))),0),"")</f>
        <v/>
      </c>
      <c r="AA479" s="104" t="str">
        <f>IFERROR((VLOOKUP(D479,'Species Codes'!B:G,6,0)*Z479)/2000,"")</f>
        <v/>
      </c>
      <c r="AB479" s="104" t="e">
        <f>IF(Z479&gt;0,((IF(OR(D479="DF",D479="RA")=TRUE,EXP(VLOOKUP(D479,'Species Codes'!B:I,8,0)+VLOOKUP(D479,'Species Codes'!B:J,9,0)*(LN((E479*2.54)))),IF(OR(D479="PY",D479="RC",D479="WH",D479="NF")=TRUE,VLOOKUP(D479,'Species Codes'!B:I,8,0)+VLOOKUP(D479,'Species Codes'!B:J,9,0)*((E479*2.54)^2)*(I479*0.3048),IF(OR(D479="MD",D479="BM",D479="GA")=TRUE,((VLOOKUP(D479,'Species Codes'!B:I,8,0)*(((((E479*2.54)+VLOOKUP(D479,'Species Codes'!B:J,9,0))/VLOOKUP(D479,'Species Codes'!B:K,10,0))^VLOOKUP(D479,'Species Codes'!B:L,11,0))*((I479*0.3048)^VLOOKUP(D479,'Species Codes'!B:M,12,0))))-(VLOOKUP(D479,'Species Codes'!B:I,8,0)*((((E479*2.54)^VLOOKUP(D479,'Species Codes'!B:L,11,0))*((I479*0.3048)^VLOOKUP(D479,'Species Codes'!B:M,12,0))))))*35.3*VLOOKUP(D479,'Species Codes'!B:G,6,0)/2.2046,VLOOKUP(D479,'Species Codes'!B:I,8,0)+VLOOKUP(D479,'Species Codes'!B:J,9,0)*(((E479*2.54)/100)^2)*(I479*0.3048)))))*0.0011023),0)</f>
        <v>#N/A</v>
      </c>
      <c r="AC479" s="104" t="e">
        <f>IF(Z479&gt;0,((IF(OR(D479="RA",D479="OA",D479="OT",D479="UN",D479="PC"),EXP(VLOOKUP(D479,'Species Codes'!B:O,14,0)+VLOOKUP(D479,'Species Codes'!B:P,15,0)*LN((E479*2.54)))-EXP(VLOOKUP(D479,'Species Codes'!B:O,14,0)+VLOOKUP(D479,'Species Codes'!B:P,15,0)*LN((E479*2.54)))*(1/(VLOOKUP(D479,'Species Codes'!B:Q,16,0)+VLOOKUP(D479,'Species Codes'!B:R,17,0)*((E479*2.54)^VLOOKUP(D479,'Species Codes'!B:S,18,0)))),IF(OR(D479="BM",D479="MD",D479="OA"),EXP(VLOOKUP(D479,'Species Codes'!B:O,14,0)+VLOOKUP(D479,'Species Codes'!B:P,15,0)*LN((E479*2.54)))*(1-(1/(VLOOKUP(D479,'Species Codes'!B:Q,16,0)+VLOOKUP(D479,'Species Codes'!B:R,17,0)*((E479*2.54)^VLOOKUP(D479,'Species Codes'!B:S,18,0)))))/1000,IF(D479="DF",EXP(VLOOKUP(D479,'Species Codes'!B:O,14,0)+VLOOKUP(D479,'Species Codes'!B:P,15,0)*LN((E479*2.54))),VLOOKUP(D479,'Species Codes'!B:O,14,0)+VLOOKUP(D479,'Species Codes'!B:P,15,0)*(((E479*2.54)/100)^2)*(I479*0.3048)))))*0.0011023),0)</f>
        <v>#N/A</v>
      </c>
      <c r="AD479" s="104" t="e">
        <f t="shared" si="247"/>
        <v>#N/A</v>
      </c>
      <c r="AE479" s="104" t="e">
        <f t="shared" si="248"/>
        <v>#N/A</v>
      </c>
      <c r="AF479" s="104" t="e">
        <f>IF(AND(VLOOKUP($D479,Merchantability!$B:$C,2,0)="Yes",$E479&gt;=VLOOKUP($D479,Merchantability!$B:$D,3,0),$E479&lt;=VLOOKUP($D479,Merchantability!$B:$E,4,0)),AA479,0)</f>
        <v>#N/A</v>
      </c>
      <c r="AG479" s="104" t="e">
        <f>IF(AND(VLOOKUP($D479,Merchantability!$B:$C,2,0)="Yes",$E479&gt;=VLOOKUP($D479,Merchantability!$B:$D,3,0),$E479&lt;=VLOOKUP($D479,Merchantability!$B:$E,4,0)),AB479,0)</f>
        <v>#N/A</v>
      </c>
      <c r="AH479" s="104" t="e">
        <f>IF(AND(VLOOKUP($D479,Merchantability!$B:$C,2,0)="Yes",$E479&gt;=VLOOKUP($D479,Merchantability!$B:$D,3,0),$E479&lt;=VLOOKUP($D479,Merchantability!$B:$E,4,0)),AC479,0)</f>
        <v>#N/A</v>
      </c>
      <c r="AI479" s="104" t="e">
        <f t="shared" si="249"/>
        <v>#N/A</v>
      </c>
      <c r="AJ479" s="104" t="e">
        <f t="shared" si="250"/>
        <v>#VALUE!</v>
      </c>
      <c r="AK479" s="104" t="e">
        <f t="shared" si="251"/>
        <v>#N/A</v>
      </c>
      <c r="AL479" s="104" t="e">
        <f t="shared" si="252"/>
        <v>#N/A</v>
      </c>
      <c r="AM479" s="104" t="e">
        <f t="shared" si="253"/>
        <v>#N/A</v>
      </c>
      <c r="AN479" s="104" t="e">
        <f t="shared" si="237"/>
        <v>#N/A</v>
      </c>
      <c r="AO479" s="104" t="e">
        <f t="shared" si="238"/>
        <v>#N/A</v>
      </c>
      <c r="AP479" s="104" t="e">
        <f t="shared" si="239"/>
        <v>#N/A</v>
      </c>
      <c r="AQ479" s="104" t="e">
        <f t="shared" si="240"/>
        <v>#N/A</v>
      </c>
      <c r="AR479" s="105" t="str">
        <f t="shared" si="232"/>
        <v/>
      </c>
      <c r="AS479" s="105" t="str">
        <f t="shared" si="233"/>
        <v/>
      </c>
      <c r="AT479" s="108" t="str">
        <f t="shared" si="234"/>
        <v/>
      </c>
      <c r="AU479" s="108" t="str">
        <f t="shared" si="235"/>
        <v/>
      </c>
      <c r="AV479" s="107" t="str">
        <f>IF(ISNUMBER(O479),IF(VLOOKUP($A479,Stand!C:J,8,FALSE)="Short",AT479,AU479),"")</f>
        <v/>
      </c>
      <c r="AW479" s="109" t="str">
        <f t="shared" si="241"/>
        <v/>
      </c>
      <c r="AX479" s="109" t="str">
        <f t="shared" si="242"/>
        <v/>
      </c>
      <c r="AY479" s="112" t="str">
        <f>IF(ISNUMBER(O479),IF(AND(VLOOKUP($D479,Merchantability!$B:$C,2,0)="Yes",$E479&gt;=VLOOKUP($D479,Merchantability!$B:$D,3,0),$E479&lt;=VLOOKUP($D479,Merchantability!$B:$E,4,0)),(AV479*O479)*(1-$H479/100),""),"")</f>
        <v/>
      </c>
      <c r="AZ479" s="116"/>
      <c r="BA479" s="116"/>
      <c r="BB479" s="116"/>
      <c r="BE479" s="62"/>
      <c r="BF479" s="63"/>
    </row>
    <row r="480" spans="1:58" ht="12.75" customHeight="1" x14ac:dyDescent="0.25">
      <c r="A480" s="313"/>
      <c r="B480" s="328"/>
      <c r="C480" s="329"/>
      <c r="D480" s="328"/>
      <c r="E480" s="330"/>
      <c r="F480" s="328"/>
      <c r="G480" s="329"/>
      <c r="H480" s="329"/>
      <c r="I480" s="328"/>
      <c r="J480" s="383"/>
      <c r="K480" s="329"/>
      <c r="L480" s="329"/>
      <c r="M480" s="76"/>
      <c r="N480" s="103" t="str">
        <f>IF(A480="","",VLOOKUP(A480,Stand!C:K,9,0))</f>
        <v/>
      </c>
      <c r="O480" s="104" t="str">
        <f t="shared" si="227"/>
        <v/>
      </c>
      <c r="P480" s="105" t="str">
        <f t="shared" si="228"/>
        <v/>
      </c>
      <c r="Q480" s="105" t="str">
        <f t="shared" si="243"/>
        <v/>
      </c>
      <c r="R480" s="103" t="str">
        <f t="shared" si="229"/>
        <v/>
      </c>
      <c r="S480" s="103" t="str">
        <f t="shared" si="230"/>
        <v/>
      </c>
      <c r="T480" s="106" t="str">
        <f t="shared" si="244"/>
        <v/>
      </c>
      <c r="U480" s="106" t="str">
        <f t="shared" si="245"/>
        <v/>
      </c>
      <c r="V480" s="106" t="str">
        <f t="shared" si="246"/>
        <v/>
      </c>
      <c r="W480" s="105" t="str">
        <f t="shared" si="231"/>
        <v/>
      </c>
      <c r="X480" s="104" t="str">
        <f t="shared" si="236"/>
        <v/>
      </c>
      <c r="Y480" s="104" t="str">
        <f t="array" ref="Y480">IFERROR(IF(ISNUMBER(O480),IF(COUNT(IF(A480=$A$2:$A$2427,IF(D480=$D$2:$D$2427,IF($X$2:$X$2427&gt;0,1))))&gt;0,SUM(IF(A480=$A$2:$A$2427,IF(D480=$D$2:$D$2427,$X$2:$X$2427)))/COUNT(IF(A480=$A$2:$A$2427,IF(D480=$D$2:$D$2427,IF(ISNUMBER($X$2:$X$2427),1)))),0),""),0)</f>
        <v/>
      </c>
      <c r="Z480" s="104" t="str">
        <f>IF(ISNUMBER(O480),IF(I480&gt;0,(10^(VLOOKUP(D480,'Species Codes'!B:C,2,0)+VLOOKUP(D480,'Species Codes'!B:D,3,0)*LOG(E480)+VLOOKUP(D480,'Species Codes'!B:E,4,0)*LOG(I480))),0),"")</f>
        <v/>
      </c>
      <c r="AA480" s="104" t="str">
        <f>IFERROR((VLOOKUP(D480,'Species Codes'!B:G,6,0)*Z480)/2000,"")</f>
        <v/>
      </c>
      <c r="AB480" s="104" t="e">
        <f>IF(Z480&gt;0,((IF(OR(D480="DF",D480="RA")=TRUE,EXP(VLOOKUP(D480,'Species Codes'!B:I,8,0)+VLOOKUP(D480,'Species Codes'!B:J,9,0)*(LN((E480*2.54)))),IF(OR(D480="PY",D480="RC",D480="WH",D480="NF")=TRUE,VLOOKUP(D480,'Species Codes'!B:I,8,0)+VLOOKUP(D480,'Species Codes'!B:J,9,0)*((E480*2.54)^2)*(I480*0.3048),IF(OR(D480="MD",D480="BM",D480="GA")=TRUE,((VLOOKUP(D480,'Species Codes'!B:I,8,0)*(((((E480*2.54)+VLOOKUP(D480,'Species Codes'!B:J,9,0))/VLOOKUP(D480,'Species Codes'!B:K,10,0))^VLOOKUP(D480,'Species Codes'!B:L,11,0))*((I480*0.3048)^VLOOKUP(D480,'Species Codes'!B:M,12,0))))-(VLOOKUP(D480,'Species Codes'!B:I,8,0)*((((E480*2.54)^VLOOKUP(D480,'Species Codes'!B:L,11,0))*((I480*0.3048)^VLOOKUP(D480,'Species Codes'!B:M,12,0))))))*35.3*VLOOKUP(D480,'Species Codes'!B:G,6,0)/2.2046,VLOOKUP(D480,'Species Codes'!B:I,8,0)+VLOOKUP(D480,'Species Codes'!B:J,9,0)*(((E480*2.54)/100)^2)*(I480*0.3048)))))*0.0011023),0)</f>
        <v>#N/A</v>
      </c>
      <c r="AC480" s="104" t="e">
        <f>IF(Z480&gt;0,((IF(OR(D480="RA",D480="OA",D480="OT",D480="UN",D480="PC"),EXP(VLOOKUP(D480,'Species Codes'!B:O,14,0)+VLOOKUP(D480,'Species Codes'!B:P,15,0)*LN((E480*2.54)))-EXP(VLOOKUP(D480,'Species Codes'!B:O,14,0)+VLOOKUP(D480,'Species Codes'!B:P,15,0)*LN((E480*2.54)))*(1/(VLOOKUP(D480,'Species Codes'!B:Q,16,0)+VLOOKUP(D480,'Species Codes'!B:R,17,0)*((E480*2.54)^VLOOKUP(D480,'Species Codes'!B:S,18,0)))),IF(OR(D480="BM",D480="MD",D480="OA"),EXP(VLOOKUP(D480,'Species Codes'!B:O,14,0)+VLOOKUP(D480,'Species Codes'!B:P,15,0)*LN((E480*2.54)))*(1-(1/(VLOOKUP(D480,'Species Codes'!B:Q,16,0)+VLOOKUP(D480,'Species Codes'!B:R,17,0)*((E480*2.54)^VLOOKUP(D480,'Species Codes'!B:S,18,0)))))/1000,IF(D480="DF",EXP(VLOOKUP(D480,'Species Codes'!B:O,14,0)+VLOOKUP(D480,'Species Codes'!B:P,15,0)*LN((E480*2.54))),VLOOKUP(D480,'Species Codes'!B:O,14,0)+VLOOKUP(D480,'Species Codes'!B:P,15,0)*(((E480*2.54)/100)^2)*(I480*0.3048)))))*0.0011023),0)</f>
        <v>#N/A</v>
      </c>
      <c r="AD480" s="104" t="e">
        <f t="shared" si="247"/>
        <v>#N/A</v>
      </c>
      <c r="AE480" s="104" t="e">
        <f t="shared" si="248"/>
        <v>#N/A</v>
      </c>
      <c r="AF480" s="104" t="e">
        <f>IF(AND(VLOOKUP($D480,Merchantability!$B:$C,2,0)="Yes",$E480&gt;=VLOOKUP($D480,Merchantability!$B:$D,3,0),$E480&lt;=VLOOKUP($D480,Merchantability!$B:$E,4,0)),AA480,0)</f>
        <v>#N/A</v>
      </c>
      <c r="AG480" s="104" t="e">
        <f>IF(AND(VLOOKUP($D480,Merchantability!$B:$C,2,0)="Yes",$E480&gt;=VLOOKUP($D480,Merchantability!$B:$D,3,0),$E480&lt;=VLOOKUP($D480,Merchantability!$B:$E,4,0)),AB480,0)</f>
        <v>#N/A</v>
      </c>
      <c r="AH480" s="104" t="e">
        <f>IF(AND(VLOOKUP($D480,Merchantability!$B:$C,2,0)="Yes",$E480&gt;=VLOOKUP($D480,Merchantability!$B:$D,3,0),$E480&lt;=VLOOKUP($D480,Merchantability!$B:$E,4,0)),AC480,0)</f>
        <v>#N/A</v>
      </c>
      <c r="AI480" s="104" t="e">
        <f t="shared" si="249"/>
        <v>#N/A</v>
      </c>
      <c r="AJ480" s="104" t="e">
        <f t="shared" si="250"/>
        <v>#VALUE!</v>
      </c>
      <c r="AK480" s="104" t="e">
        <f t="shared" si="251"/>
        <v>#N/A</v>
      </c>
      <c r="AL480" s="104" t="e">
        <f t="shared" si="252"/>
        <v>#N/A</v>
      </c>
      <c r="AM480" s="104" t="e">
        <f t="shared" si="253"/>
        <v>#N/A</v>
      </c>
      <c r="AN480" s="104" t="e">
        <f t="shared" si="237"/>
        <v>#N/A</v>
      </c>
      <c r="AO480" s="104" t="e">
        <f t="shared" si="238"/>
        <v>#N/A</v>
      </c>
      <c r="AP480" s="104" t="e">
        <f t="shared" si="239"/>
        <v>#N/A</v>
      </c>
      <c r="AQ480" s="104" t="e">
        <f t="shared" si="240"/>
        <v>#N/A</v>
      </c>
      <c r="AR480" s="105" t="str">
        <f t="shared" si="232"/>
        <v/>
      </c>
      <c r="AS480" s="105" t="str">
        <f t="shared" si="233"/>
        <v/>
      </c>
      <c r="AT480" s="108" t="str">
        <f t="shared" si="234"/>
        <v/>
      </c>
      <c r="AU480" s="108" t="str">
        <f t="shared" si="235"/>
        <v/>
      </c>
      <c r="AV480" s="107" t="str">
        <f>IF(ISNUMBER(O480),IF(VLOOKUP($A480,Stand!C:J,8,FALSE)="Short",AT480,AU480),"")</f>
        <v/>
      </c>
      <c r="AW480" s="109" t="str">
        <f t="shared" si="241"/>
        <v/>
      </c>
      <c r="AX480" s="109" t="str">
        <f t="shared" si="242"/>
        <v/>
      </c>
      <c r="AY480" s="112" t="str">
        <f>IF(ISNUMBER(O480),IF(AND(VLOOKUP($D480,Merchantability!$B:$C,2,0)="Yes",$E480&gt;=VLOOKUP($D480,Merchantability!$B:$D,3,0),$E480&lt;=VLOOKUP($D480,Merchantability!$B:$E,4,0)),(AV480*O480)*(1-$H480/100),""),"")</f>
        <v/>
      </c>
      <c r="AZ480" s="116"/>
      <c r="BA480" s="116"/>
      <c r="BB480" s="116"/>
      <c r="BE480" s="62"/>
      <c r="BF480" s="63"/>
    </row>
    <row r="481" spans="1:58" ht="12.75" customHeight="1" x14ac:dyDescent="0.25">
      <c r="A481" s="313"/>
      <c r="B481" s="328"/>
      <c r="C481" s="329"/>
      <c r="D481" s="328"/>
      <c r="E481" s="330"/>
      <c r="F481" s="328"/>
      <c r="G481" s="329"/>
      <c r="H481" s="329"/>
      <c r="I481" s="328"/>
      <c r="J481" s="383"/>
      <c r="K481" s="329"/>
      <c r="L481" s="329"/>
      <c r="M481" s="76"/>
      <c r="N481" s="103" t="str">
        <f>IF(A481="","",VLOOKUP(A481,Stand!C:K,9,0))</f>
        <v/>
      </c>
      <c r="O481" s="104" t="str">
        <f t="shared" si="227"/>
        <v/>
      </c>
      <c r="P481" s="105" t="str">
        <f t="shared" si="228"/>
        <v/>
      </c>
      <c r="Q481" s="105" t="str">
        <f t="shared" si="243"/>
        <v/>
      </c>
      <c r="R481" s="103" t="str">
        <f t="shared" si="229"/>
        <v/>
      </c>
      <c r="S481" s="103" t="str">
        <f t="shared" si="230"/>
        <v/>
      </c>
      <c r="T481" s="106" t="str">
        <f t="shared" si="244"/>
        <v/>
      </c>
      <c r="U481" s="106" t="str">
        <f t="shared" si="245"/>
        <v/>
      </c>
      <c r="V481" s="106" t="str">
        <f t="shared" si="246"/>
        <v/>
      </c>
      <c r="W481" s="105" t="str">
        <f t="shared" si="231"/>
        <v/>
      </c>
      <c r="X481" s="104" t="str">
        <f t="shared" si="236"/>
        <v/>
      </c>
      <c r="Y481" s="104" t="str">
        <f t="array" ref="Y481">IFERROR(IF(ISNUMBER(O481),IF(COUNT(IF(A481=$A$2:$A$2427,IF(D481=$D$2:$D$2427,IF($X$2:$X$2427&gt;0,1))))&gt;0,SUM(IF(A481=$A$2:$A$2427,IF(D481=$D$2:$D$2427,$X$2:$X$2427)))/COUNT(IF(A481=$A$2:$A$2427,IF(D481=$D$2:$D$2427,IF(ISNUMBER($X$2:$X$2427),1)))),0),""),0)</f>
        <v/>
      </c>
      <c r="Z481" s="104" t="str">
        <f>IF(ISNUMBER(O481),IF(I481&gt;0,(10^(VLOOKUP(D481,'Species Codes'!B:C,2,0)+VLOOKUP(D481,'Species Codes'!B:D,3,0)*LOG(E481)+VLOOKUP(D481,'Species Codes'!B:E,4,0)*LOG(I481))),0),"")</f>
        <v/>
      </c>
      <c r="AA481" s="104" t="str">
        <f>IFERROR((VLOOKUP(D481,'Species Codes'!B:G,6,0)*Z481)/2000,"")</f>
        <v/>
      </c>
      <c r="AB481" s="104" t="e">
        <f>IF(Z481&gt;0,((IF(OR(D481="DF",D481="RA")=TRUE,EXP(VLOOKUP(D481,'Species Codes'!B:I,8,0)+VLOOKUP(D481,'Species Codes'!B:J,9,0)*(LN((E481*2.54)))),IF(OR(D481="PY",D481="RC",D481="WH",D481="NF")=TRUE,VLOOKUP(D481,'Species Codes'!B:I,8,0)+VLOOKUP(D481,'Species Codes'!B:J,9,0)*((E481*2.54)^2)*(I481*0.3048),IF(OR(D481="MD",D481="BM",D481="GA")=TRUE,((VLOOKUP(D481,'Species Codes'!B:I,8,0)*(((((E481*2.54)+VLOOKUP(D481,'Species Codes'!B:J,9,0))/VLOOKUP(D481,'Species Codes'!B:K,10,0))^VLOOKUP(D481,'Species Codes'!B:L,11,0))*((I481*0.3048)^VLOOKUP(D481,'Species Codes'!B:M,12,0))))-(VLOOKUP(D481,'Species Codes'!B:I,8,0)*((((E481*2.54)^VLOOKUP(D481,'Species Codes'!B:L,11,0))*((I481*0.3048)^VLOOKUP(D481,'Species Codes'!B:M,12,0))))))*35.3*VLOOKUP(D481,'Species Codes'!B:G,6,0)/2.2046,VLOOKUP(D481,'Species Codes'!B:I,8,0)+VLOOKUP(D481,'Species Codes'!B:J,9,0)*(((E481*2.54)/100)^2)*(I481*0.3048)))))*0.0011023),0)</f>
        <v>#N/A</v>
      </c>
      <c r="AC481" s="104" t="e">
        <f>IF(Z481&gt;0,((IF(OR(D481="RA",D481="OA",D481="OT",D481="UN",D481="PC"),EXP(VLOOKUP(D481,'Species Codes'!B:O,14,0)+VLOOKUP(D481,'Species Codes'!B:P,15,0)*LN((E481*2.54)))-EXP(VLOOKUP(D481,'Species Codes'!B:O,14,0)+VLOOKUP(D481,'Species Codes'!B:P,15,0)*LN((E481*2.54)))*(1/(VLOOKUP(D481,'Species Codes'!B:Q,16,0)+VLOOKUP(D481,'Species Codes'!B:R,17,0)*((E481*2.54)^VLOOKUP(D481,'Species Codes'!B:S,18,0)))),IF(OR(D481="BM",D481="MD",D481="OA"),EXP(VLOOKUP(D481,'Species Codes'!B:O,14,0)+VLOOKUP(D481,'Species Codes'!B:P,15,0)*LN((E481*2.54)))*(1-(1/(VLOOKUP(D481,'Species Codes'!B:Q,16,0)+VLOOKUP(D481,'Species Codes'!B:R,17,0)*((E481*2.54)^VLOOKUP(D481,'Species Codes'!B:S,18,0)))))/1000,IF(D481="DF",EXP(VLOOKUP(D481,'Species Codes'!B:O,14,0)+VLOOKUP(D481,'Species Codes'!B:P,15,0)*LN((E481*2.54))),VLOOKUP(D481,'Species Codes'!B:O,14,0)+VLOOKUP(D481,'Species Codes'!B:P,15,0)*(((E481*2.54)/100)^2)*(I481*0.3048)))))*0.0011023),0)</f>
        <v>#N/A</v>
      </c>
      <c r="AD481" s="104" t="e">
        <f t="shared" si="247"/>
        <v>#N/A</v>
      </c>
      <c r="AE481" s="104" t="e">
        <f t="shared" si="248"/>
        <v>#N/A</v>
      </c>
      <c r="AF481" s="104" t="e">
        <f>IF(AND(VLOOKUP($D481,Merchantability!$B:$C,2,0)="Yes",$E481&gt;=VLOOKUP($D481,Merchantability!$B:$D,3,0),$E481&lt;=VLOOKUP($D481,Merchantability!$B:$E,4,0)),AA481,0)</f>
        <v>#N/A</v>
      </c>
      <c r="AG481" s="104" t="e">
        <f>IF(AND(VLOOKUP($D481,Merchantability!$B:$C,2,0)="Yes",$E481&gt;=VLOOKUP($D481,Merchantability!$B:$D,3,0),$E481&lt;=VLOOKUP($D481,Merchantability!$B:$E,4,0)),AB481,0)</f>
        <v>#N/A</v>
      </c>
      <c r="AH481" s="104" t="e">
        <f>IF(AND(VLOOKUP($D481,Merchantability!$B:$C,2,0)="Yes",$E481&gt;=VLOOKUP($D481,Merchantability!$B:$D,3,0),$E481&lt;=VLOOKUP($D481,Merchantability!$B:$E,4,0)),AC481,0)</f>
        <v>#N/A</v>
      </c>
      <c r="AI481" s="104" t="e">
        <f t="shared" si="249"/>
        <v>#N/A</v>
      </c>
      <c r="AJ481" s="104" t="e">
        <f t="shared" si="250"/>
        <v>#VALUE!</v>
      </c>
      <c r="AK481" s="104" t="e">
        <f t="shared" si="251"/>
        <v>#N/A</v>
      </c>
      <c r="AL481" s="104" t="e">
        <f t="shared" si="252"/>
        <v>#N/A</v>
      </c>
      <c r="AM481" s="104" t="e">
        <f t="shared" si="253"/>
        <v>#N/A</v>
      </c>
      <c r="AN481" s="104" t="e">
        <f t="shared" si="237"/>
        <v>#N/A</v>
      </c>
      <c r="AO481" s="104" t="e">
        <f t="shared" si="238"/>
        <v>#N/A</v>
      </c>
      <c r="AP481" s="104" t="e">
        <f t="shared" si="239"/>
        <v>#N/A</v>
      </c>
      <c r="AQ481" s="104" t="e">
        <f t="shared" si="240"/>
        <v>#N/A</v>
      </c>
      <c r="AR481" s="105" t="str">
        <f t="shared" si="232"/>
        <v/>
      </c>
      <c r="AS481" s="105" t="str">
        <f t="shared" si="233"/>
        <v/>
      </c>
      <c r="AT481" s="108" t="str">
        <f t="shared" si="234"/>
        <v/>
      </c>
      <c r="AU481" s="108" t="str">
        <f t="shared" si="235"/>
        <v/>
      </c>
      <c r="AV481" s="107" t="str">
        <f>IF(ISNUMBER(O481),IF(VLOOKUP($A481,Stand!C:J,8,FALSE)="Short",AT481,AU481),"")</f>
        <v/>
      </c>
      <c r="AW481" s="109" t="str">
        <f t="shared" si="241"/>
        <v/>
      </c>
      <c r="AX481" s="109" t="str">
        <f t="shared" si="242"/>
        <v/>
      </c>
      <c r="AY481" s="112" t="str">
        <f>IF(ISNUMBER(O481),IF(AND(VLOOKUP($D481,Merchantability!$B:$C,2,0)="Yes",$E481&gt;=VLOOKUP($D481,Merchantability!$B:$D,3,0),$E481&lt;=VLOOKUP($D481,Merchantability!$B:$E,4,0)),(AV481*O481)*(1-$H481/100),""),"")</f>
        <v/>
      </c>
      <c r="AZ481" s="116"/>
      <c r="BA481" s="116"/>
      <c r="BB481" s="116"/>
      <c r="BE481" s="62"/>
      <c r="BF481" s="63"/>
    </row>
    <row r="482" spans="1:58" ht="12.75" customHeight="1" x14ac:dyDescent="0.25">
      <c r="A482" s="313"/>
      <c r="B482" s="328"/>
      <c r="C482" s="329"/>
      <c r="D482" s="328"/>
      <c r="E482" s="330"/>
      <c r="F482" s="328"/>
      <c r="G482" s="329"/>
      <c r="H482" s="329"/>
      <c r="I482" s="328"/>
      <c r="J482" s="383"/>
      <c r="K482" s="329"/>
      <c r="L482" s="329"/>
      <c r="M482" s="76"/>
      <c r="N482" s="103" t="str">
        <f>IF(A482="","",VLOOKUP(A482,Stand!C:K,9,0))</f>
        <v/>
      </c>
      <c r="O482" s="104" t="str">
        <f t="shared" si="227"/>
        <v/>
      </c>
      <c r="P482" s="105" t="str">
        <f t="shared" si="228"/>
        <v/>
      </c>
      <c r="Q482" s="105" t="str">
        <f t="shared" si="243"/>
        <v/>
      </c>
      <c r="R482" s="103" t="str">
        <f t="shared" si="229"/>
        <v/>
      </c>
      <c r="S482" s="103" t="str">
        <f t="shared" si="230"/>
        <v/>
      </c>
      <c r="T482" s="106" t="str">
        <f t="shared" si="244"/>
        <v/>
      </c>
      <c r="U482" s="106" t="str">
        <f t="shared" si="245"/>
        <v/>
      </c>
      <c r="V482" s="106" t="str">
        <f t="shared" si="246"/>
        <v/>
      </c>
      <c r="W482" s="105" t="str">
        <f t="shared" si="231"/>
        <v/>
      </c>
      <c r="X482" s="104" t="str">
        <f t="shared" si="236"/>
        <v/>
      </c>
      <c r="Y482" s="104" t="str">
        <f t="array" ref="Y482">IFERROR(IF(ISNUMBER(O482),IF(COUNT(IF(A482=$A$2:$A$2427,IF(D482=$D$2:$D$2427,IF($X$2:$X$2427&gt;0,1))))&gt;0,SUM(IF(A482=$A$2:$A$2427,IF(D482=$D$2:$D$2427,$X$2:$X$2427)))/COUNT(IF(A482=$A$2:$A$2427,IF(D482=$D$2:$D$2427,IF(ISNUMBER($X$2:$X$2427),1)))),0),""),0)</f>
        <v/>
      </c>
      <c r="Z482" s="104" t="str">
        <f>IF(ISNUMBER(O482),IF(I482&gt;0,(10^(VLOOKUP(D482,'Species Codes'!B:C,2,0)+VLOOKUP(D482,'Species Codes'!B:D,3,0)*LOG(E482)+VLOOKUP(D482,'Species Codes'!B:E,4,0)*LOG(I482))),0),"")</f>
        <v/>
      </c>
      <c r="AA482" s="104" t="str">
        <f>IFERROR((VLOOKUP(D482,'Species Codes'!B:G,6,0)*Z482)/2000,"")</f>
        <v/>
      </c>
      <c r="AB482" s="104" t="e">
        <f>IF(Z482&gt;0,((IF(OR(D482="DF",D482="RA")=TRUE,EXP(VLOOKUP(D482,'Species Codes'!B:I,8,0)+VLOOKUP(D482,'Species Codes'!B:J,9,0)*(LN((E482*2.54)))),IF(OR(D482="PY",D482="RC",D482="WH",D482="NF")=TRUE,VLOOKUP(D482,'Species Codes'!B:I,8,0)+VLOOKUP(D482,'Species Codes'!B:J,9,0)*((E482*2.54)^2)*(I482*0.3048),IF(OR(D482="MD",D482="BM",D482="GA")=TRUE,((VLOOKUP(D482,'Species Codes'!B:I,8,0)*(((((E482*2.54)+VLOOKUP(D482,'Species Codes'!B:J,9,0))/VLOOKUP(D482,'Species Codes'!B:K,10,0))^VLOOKUP(D482,'Species Codes'!B:L,11,0))*((I482*0.3048)^VLOOKUP(D482,'Species Codes'!B:M,12,0))))-(VLOOKUP(D482,'Species Codes'!B:I,8,0)*((((E482*2.54)^VLOOKUP(D482,'Species Codes'!B:L,11,0))*((I482*0.3048)^VLOOKUP(D482,'Species Codes'!B:M,12,0))))))*35.3*VLOOKUP(D482,'Species Codes'!B:G,6,0)/2.2046,VLOOKUP(D482,'Species Codes'!B:I,8,0)+VLOOKUP(D482,'Species Codes'!B:J,9,0)*(((E482*2.54)/100)^2)*(I482*0.3048)))))*0.0011023),0)</f>
        <v>#N/A</v>
      </c>
      <c r="AC482" s="104" t="e">
        <f>IF(Z482&gt;0,((IF(OR(D482="RA",D482="OA",D482="OT",D482="UN",D482="PC"),EXP(VLOOKUP(D482,'Species Codes'!B:O,14,0)+VLOOKUP(D482,'Species Codes'!B:P,15,0)*LN((E482*2.54)))-EXP(VLOOKUP(D482,'Species Codes'!B:O,14,0)+VLOOKUP(D482,'Species Codes'!B:P,15,0)*LN((E482*2.54)))*(1/(VLOOKUP(D482,'Species Codes'!B:Q,16,0)+VLOOKUP(D482,'Species Codes'!B:R,17,0)*((E482*2.54)^VLOOKUP(D482,'Species Codes'!B:S,18,0)))),IF(OR(D482="BM",D482="MD",D482="OA"),EXP(VLOOKUP(D482,'Species Codes'!B:O,14,0)+VLOOKUP(D482,'Species Codes'!B:P,15,0)*LN((E482*2.54)))*(1-(1/(VLOOKUP(D482,'Species Codes'!B:Q,16,0)+VLOOKUP(D482,'Species Codes'!B:R,17,0)*((E482*2.54)^VLOOKUP(D482,'Species Codes'!B:S,18,0)))))/1000,IF(D482="DF",EXP(VLOOKUP(D482,'Species Codes'!B:O,14,0)+VLOOKUP(D482,'Species Codes'!B:P,15,0)*LN((E482*2.54))),VLOOKUP(D482,'Species Codes'!B:O,14,0)+VLOOKUP(D482,'Species Codes'!B:P,15,0)*(((E482*2.54)/100)^2)*(I482*0.3048)))))*0.0011023),0)</f>
        <v>#N/A</v>
      </c>
      <c r="AD482" s="104" t="e">
        <f t="shared" si="247"/>
        <v>#N/A</v>
      </c>
      <c r="AE482" s="104" t="e">
        <f t="shared" si="248"/>
        <v>#N/A</v>
      </c>
      <c r="AF482" s="104" t="e">
        <f>IF(AND(VLOOKUP($D482,Merchantability!$B:$C,2,0)="Yes",$E482&gt;=VLOOKUP($D482,Merchantability!$B:$D,3,0),$E482&lt;=VLOOKUP($D482,Merchantability!$B:$E,4,0)),AA482,0)</f>
        <v>#N/A</v>
      </c>
      <c r="AG482" s="104" t="e">
        <f>IF(AND(VLOOKUP($D482,Merchantability!$B:$C,2,0)="Yes",$E482&gt;=VLOOKUP($D482,Merchantability!$B:$D,3,0),$E482&lt;=VLOOKUP($D482,Merchantability!$B:$E,4,0)),AB482,0)</f>
        <v>#N/A</v>
      </c>
      <c r="AH482" s="104" t="e">
        <f>IF(AND(VLOOKUP($D482,Merchantability!$B:$C,2,0)="Yes",$E482&gt;=VLOOKUP($D482,Merchantability!$B:$D,3,0),$E482&lt;=VLOOKUP($D482,Merchantability!$B:$E,4,0)),AC482,0)</f>
        <v>#N/A</v>
      </c>
      <c r="AI482" s="104" t="e">
        <f t="shared" si="249"/>
        <v>#N/A</v>
      </c>
      <c r="AJ482" s="104" t="e">
        <f t="shared" si="250"/>
        <v>#VALUE!</v>
      </c>
      <c r="AK482" s="104" t="e">
        <f t="shared" si="251"/>
        <v>#N/A</v>
      </c>
      <c r="AL482" s="104" t="e">
        <f t="shared" si="252"/>
        <v>#N/A</v>
      </c>
      <c r="AM482" s="104" t="e">
        <f t="shared" si="253"/>
        <v>#N/A</v>
      </c>
      <c r="AN482" s="104" t="e">
        <f t="shared" si="237"/>
        <v>#N/A</v>
      </c>
      <c r="AO482" s="104" t="e">
        <f t="shared" si="238"/>
        <v>#N/A</v>
      </c>
      <c r="AP482" s="104" t="e">
        <f t="shared" si="239"/>
        <v>#N/A</v>
      </c>
      <c r="AQ482" s="104" t="e">
        <f t="shared" si="240"/>
        <v>#N/A</v>
      </c>
      <c r="AR482" s="105" t="str">
        <f t="shared" si="232"/>
        <v/>
      </c>
      <c r="AS482" s="105" t="str">
        <f t="shared" si="233"/>
        <v/>
      </c>
      <c r="AT482" s="108" t="str">
        <f t="shared" si="234"/>
        <v/>
      </c>
      <c r="AU482" s="108" t="str">
        <f t="shared" si="235"/>
        <v/>
      </c>
      <c r="AV482" s="107" t="str">
        <f>IF(ISNUMBER(O482),IF(VLOOKUP($A482,Stand!C:J,8,FALSE)="Short",AT482,AU482),"")</f>
        <v/>
      </c>
      <c r="AW482" s="109" t="str">
        <f t="shared" si="241"/>
        <v/>
      </c>
      <c r="AX482" s="109" t="str">
        <f t="shared" si="242"/>
        <v/>
      </c>
      <c r="AY482" s="112" t="str">
        <f>IF(ISNUMBER(O482),IF(AND(VLOOKUP($D482,Merchantability!$B:$C,2,0)="Yes",$E482&gt;=VLOOKUP($D482,Merchantability!$B:$D,3,0),$E482&lt;=VLOOKUP($D482,Merchantability!$B:$E,4,0)),(AV482*O482)*(1-$H482/100),""),"")</f>
        <v/>
      </c>
      <c r="AZ482" s="116"/>
      <c r="BA482" s="116"/>
      <c r="BB482" s="116"/>
      <c r="BE482" s="62"/>
      <c r="BF482" s="63"/>
    </row>
    <row r="483" spans="1:58" ht="12.75" customHeight="1" x14ac:dyDescent="0.25">
      <c r="A483" s="313"/>
      <c r="B483" s="328"/>
      <c r="C483" s="329"/>
      <c r="D483" s="328"/>
      <c r="E483" s="330"/>
      <c r="F483" s="328"/>
      <c r="G483" s="329"/>
      <c r="H483" s="329"/>
      <c r="I483" s="328"/>
      <c r="J483" s="383"/>
      <c r="K483" s="329"/>
      <c r="L483" s="329"/>
      <c r="M483" s="76"/>
      <c r="N483" s="103" t="str">
        <f>IF(A483="","",VLOOKUP(A483,Stand!C:K,9,0))</f>
        <v/>
      </c>
      <c r="O483" s="104" t="str">
        <f t="shared" si="227"/>
        <v/>
      </c>
      <c r="P483" s="105" t="str">
        <f t="shared" si="228"/>
        <v/>
      </c>
      <c r="Q483" s="105" t="str">
        <f t="shared" si="243"/>
        <v/>
      </c>
      <c r="R483" s="103" t="str">
        <f t="shared" si="229"/>
        <v/>
      </c>
      <c r="S483" s="103" t="str">
        <f t="shared" si="230"/>
        <v/>
      </c>
      <c r="T483" s="106" t="str">
        <f t="shared" si="244"/>
        <v/>
      </c>
      <c r="U483" s="106" t="str">
        <f t="shared" si="245"/>
        <v/>
      </c>
      <c r="V483" s="106" t="str">
        <f t="shared" si="246"/>
        <v/>
      </c>
      <c r="W483" s="105" t="str">
        <f t="shared" si="231"/>
        <v/>
      </c>
      <c r="X483" s="104" t="str">
        <f t="shared" si="236"/>
        <v/>
      </c>
      <c r="Y483" s="104" t="str">
        <f t="array" ref="Y483">IFERROR(IF(ISNUMBER(O483),IF(COUNT(IF(A483=$A$2:$A$2427,IF(D483=$D$2:$D$2427,IF($X$2:$X$2427&gt;0,1))))&gt;0,SUM(IF(A483=$A$2:$A$2427,IF(D483=$D$2:$D$2427,$X$2:$X$2427)))/COUNT(IF(A483=$A$2:$A$2427,IF(D483=$D$2:$D$2427,IF(ISNUMBER($X$2:$X$2427),1)))),0),""),0)</f>
        <v/>
      </c>
      <c r="Z483" s="104" t="str">
        <f>IF(ISNUMBER(O483),IF(I483&gt;0,(10^(VLOOKUP(D483,'Species Codes'!B:C,2,0)+VLOOKUP(D483,'Species Codes'!B:D,3,0)*LOG(E483)+VLOOKUP(D483,'Species Codes'!B:E,4,0)*LOG(I483))),0),"")</f>
        <v/>
      </c>
      <c r="AA483" s="104" t="str">
        <f>IFERROR((VLOOKUP(D483,'Species Codes'!B:G,6,0)*Z483)/2000,"")</f>
        <v/>
      </c>
      <c r="AB483" s="104" t="e">
        <f>IF(Z483&gt;0,((IF(OR(D483="DF",D483="RA")=TRUE,EXP(VLOOKUP(D483,'Species Codes'!B:I,8,0)+VLOOKUP(D483,'Species Codes'!B:J,9,0)*(LN((E483*2.54)))),IF(OR(D483="PY",D483="RC",D483="WH",D483="NF")=TRUE,VLOOKUP(D483,'Species Codes'!B:I,8,0)+VLOOKUP(D483,'Species Codes'!B:J,9,0)*((E483*2.54)^2)*(I483*0.3048),IF(OR(D483="MD",D483="BM",D483="GA")=TRUE,((VLOOKUP(D483,'Species Codes'!B:I,8,0)*(((((E483*2.54)+VLOOKUP(D483,'Species Codes'!B:J,9,0))/VLOOKUP(D483,'Species Codes'!B:K,10,0))^VLOOKUP(D483,'Species Codes'!B:L,11,0))*((I483*0.3048)^VLOOKUP(D483,'Species Codes'!B:M,12,0))))-(VLOOKUP(D483,'Species Codes'!B:I,8,0)*((((E483*2.54)^VLOOKUP(D483,'Species Codes'!B:L,11,0))*((I483*0.3048)^VLOOKUP(D483,'Species Codes'!B:M,12,0))))))*35.3*VLOOKUP(D483,'Species Codes'!B:G,6,0)/2.2046,VLOOKUP(D483,'Species Codes'!B:I,8,0)+VLOOKUP(D483,'Species Codes'!B:J,9,0)*(((E483*2.54)/100)^2)*(I483*0.3048)))))*0.0011023),0)</f>
        <v>#N/A</v>
      </c>
      <c r="AC483" s="104" t="e">
        <f>IF(Z483&gt;0,((IF(OR(D483="RA",D483="OA",D483="OT",D483="UN",D483="PC"),EXP(VLOOKUP(D483,'Species Codes'!B:O,14,0)+VLOOKUP(D483,'Species Codes'!B:P,15,0)*LN((E483*2.54)))-EXP(VLOOKUP(D483,'Species Codes'!B:O,14,0)+VLOOKUP(D483,'Species Codes'!B:P,15,0)*LN((E483*2.54)))*(1/(VLOOKUP(D483,'Species Codes'!B:Q,16,0)+VLOOKUP(D483,'Species Codes'!B:R,17,0)*((E483*2.54)^VLOOKUP(D483,'Species Codes'!B:S,18,0)))),IF(OR(D483="BM",D483="MD",D483="OA"),EXP(VLOOKUP(D483,'Species Codes'!B:O,14,0)+VLOOKUP(D483,'Species Codes'!B:P,15,0)*LN((E483*2.54)))*(1-(1/(VLOOKUP(D483,'Species Codes'!B:Q,16,0)+VLOOKUP(D483,'Species Codes'!B:R,17,0)*((E483*2.54)^VLOOKUP(D483,'Species Codes'!B:S,18,0)))))/1000,IF(D483="DF",EXP(VLOOKUP(D483,'Species Codes'!B:O,14,0)+VLOOKUP(D483,'Species Codes'!B:P,15,0)*LN((E483*2.54))),VLOOKUP(D483,'Species Codes'!B:O,14,0)+VLOOKUP(D483,'Species Codes'!B:P,15,0)*(((E483*2.54)/100)^2)*(I483*0.3048)))))*0.0011023),0)</f>
        <v>#N/A</v>
      </c>
      <c r="AD483" s="104" t="e">
        <f t="shared" si="247"/>
        <v>#N/A</v>
      </c>
      <c r="AE483" s="104" t="e">
        <f t="shared" si="248"/>
        <v>#N/A</v>
      </c>
      <c r="AF483" s="104" t="e">
        <f>IF(AND(VLOOKUP($D483,Merchantability!$B:$C,2,0)="Yes",$E483&gt;=VLOOKUP($D483,Merchantability!$B:$D,3,0),$E483&lt;=VLOOKUP($D483,Merchantability!$B:$E,4,0)),AA483,0)</f>
        <v>#N/A</v>
      </c>
      <c r="AG483" s="104" t="e">
        <f>IF(AND(VLOOKUP($D483,Merchantability!$B:$C,2,0)="Yes",$E483&gt;=VLOOKUP($D483,Merchantability!$B:$D,3,0),$E483&lt;=VLOOKUP($D483,Merchantability!$B:$E,4,0)),AB483,0)</f>
        <v>#N/A</v>
      </c>
      <c r="AH483" s="104" t="e">
        <f>IF(AND(VLOOKUP($D483,Merchantability!$B:$C,2,0)="Yes",$E483&gt;=VLOOKUP($D483,Merchantability!$B:$D,3,0),$E483&lt;=VLOOKUP($D483,Merchantability!$B:$E,4,0)),AC483,0)</f>
        <v>#N/A</v>
      </c>
      <c r="AI483" s="104" t="e">
        <f t="shared" si="249"/>
        <v>#N/A</v>
      </c>
      <c r="AJ483" s="104" t="e">
        <f t="shared" si="250"/>
        <v>#VALUE!</v>
      </c>
      <c r="AK483" s="104" t="e">
        <f t="shared" si="251"/>
        <v>#N/A</v>
      </c>
      <c r="AL483" s="104" t="e">
        <f t="shared" si="252"/>
        <v>#N/A</v>
      </c>
      <c r="AM483" s="104" t="e">
        <f t="shared" si="253"/>
        <v>#N/A</v>
      </c>
      <c r="AN483" s="104" t="e">
        <f t="shared" si="237"/>
        <v>#N/A</v>
      </c>
      <c r="AO483" s="104" t="e">
        <f t="shared" si="238"/>
        <v>#N/A</v>
      </c>
      <c r="AP483" s="104" t="e">
        <f t="shared" si="239"/>
        <v>#N/A</v>
      </c>
      <c r="AQ483" s="104" t="e">
        <f t="shared" si="240"/>
        <v>#N/A</v>
      </c>
      <c r="AR483" s="105" t="str">
        <f t="shared" si="232"/>
        <v/>
      </c>
      <c r="AS483" s="105" t="str">
        <f t="shared" si="233"/>
        <v/>
      </c>
      <c r="AT483" s="108" t="str">
        <f t="shared" si="234"/>
        <v/>
      </c>
      <c r="AU483" s="108" t="str">
        <f t="shared" si="235"/>
        <v/>
      </c>
      <c r="AV483" s="107" t="str">
        <f>IF(ISNUMBER(O483),IF(VLOOKUP($A483,Stand!C:J,8,FALSE)="Short",AT483,AU483),"")</f>
        <v/>
      </c>
      <c r="AW483" s="109" t="str">
        <f t="shared" si="241"/>
        <v/>
      </c>
      <c r="AX483" s="109" t="str">
        <f t="shared" si="242"/>
        <v/>
      </c>
      <c r="AY483" s="112" t="str">
        <f>IF(ISNUMBER(O483),IF(AND(VLOOKUP($D483,Merchantability!$B:$C,2,0)="Yes",$E483&gt;=VLOOKUP($D483,Merchantability!$B:$D,3,0),$E483&lt;=VLOOKUP($D483,Merchantability!$B:$E,4,0)),(AV483*O483)*(1-$H483/100),""),"")</f>
        <v/>
      </c>
      <c r="AZ483" s="116"/>
      <c r="BA483" s="116"/>
      <c r="BB483" s="116"/>
      <c r="BE483" s="62"/>
      <c r="BF483" s="63"/>
    </row>
    <row r="484" spans="1:58" ht="12.75" customHeight="1" x14ac:dyDescent="0.25">
      <c r="A484" s="313"/>
      <c r="B484" s="328"/>
      <c r="C484" s="329"/>
      <c r="D484" s="328"/>
      <c r="E484" s="330"/>
      <c r="F484" s="328"/>
      <c r="G484" s="329"/>
      <c r="H484" s="329"/>
      <c r="I484" s="328"/>
      <c r="J484" s="383"/>
      <c r="K484" s="329"/>
      <c r="L484" s="329"/>
      <c r="M484" s="76"/>
      <c r="N484" s="103" t="str">
        <f>IF(A484="","",VLOOKUP(A484,Stand!C:K,9,0))</f>
        <v/>
      </c>
      <c r="O484" s="104" t="str">
        <f t="shared" si="227"/>
        <v/>
      </c>
      <c r="P484" s="105" t="str">
        <f t="shared" si="228"/>
        <v/>
      </c>
      <c r="Q484" s="105" t="str">
        <f t="shared" si="243"/>
        <v/>
      </c>
      <c r="R484" s="103" t="str">
        <f t="shared" si="229"/>
        <v/>
      </c>
      <c r="S484" s="103" t="str">
        <f t="shared" si="230"/>
        <v/>
      </c>
      <c r="T484" s="106" t="str">
        <f t="shared" si="244"/>
        <v/>
      </c>
      <c r="U484" s="106" t="str">
        <f t="shared" si="245"/>
        <v/>
      </c>
      <c r="V484" s="106" t="str">
        <f t="shared" si="246"/>
        <v/>
      </c>
      <c r="W484" s="105" t="str">
        <f t="shared" si="231"/>
        <v/>
      </c>
      <c r="X484" s="104" t="str">
        <f t="shared" si="236"/>
        <v/>
      </c>
      <c r="Y484" s="104" t="str">
        <f t="array" ref="Y484">IFERROR(IF(ISNUMBER(O484),IF(COUNT(IF(A484=$A$2:$A$2427,IF(D484=$D$2:$D$2427,IF($X$2:$X$2427&gt;0,1))))&gt;0,SUM(IF(A484=$A$2:$A$2427,IF(D484=$D$2:$D$2427,$X$2:$X$2427)))/COUNT(IF(A484=$A$2:$A$2427,IF(D484=$D$2:$D$2427,IF(ISNUMBER($X$2:$X$2427),1)))),0),""),0)</f>
        <v/>
      </c>
      <c r="Z484" s="104" t="str">
        <f>IF(ISNUMBER(O484),IF(I484&gt;0,(10^(VLOOKUP(D484,'Species Codes'!B:C,2,0)+VLOOKUP(D484,'Species Codes'!B:D,3,0)*LOG(E484)+VLOOKUP(D484,'Species Codes'!B:E,4,0)*LOG(I484))),0),"")</f>
        <v/>
      </c>
      <c r="AA484" s="104" t="str">
        <f>IFERROR((VLOOKUP(D484,'Species Codes'!B:G,6,0)*Z484)/2000,"")</f>
        <v/>
      </c>
      <c r="AB484" s="104" t="e">
        <f>IF(Z484&gt;0,((IF(OR(D484="DF",D484="RA")=TRUE,EXP(VLOOKUP(D484,'Species Codes'!B:I,8,0)+VLOOKUP(D484,'Species Codes'!B:J,9,0)*(LN((E484*2.54)))),IF(OR(D484="PY",D484="RC",D484="WH",D484="NF")=TRUE,VLOOKUP(D484,'Species Codes'!B:I,8,0)+VLOOKUP(D484,'Species Codes'!B:J,9,0)*((E484*2.54)^2)*(I484*0.3048),IF(OR(D484="MD",D484="BM",D484="GA")=TRUE,((VLOOKUP(D484,'Species Codes'!B:I,8,0)*(((((E484*2.54)+VLOOKUP(D484,'Species Codes'!B:J,9,0))/VLOOKUP(D484,'Species Codes'!B:K,10,0))^VLOOKUP(D484,'Species Codes'!B:L,11,0))*((I484*0.3048)^VLOOKUP(D484,'Species Codes'!B:M,12,0))))-(VLOOKUP(D484,'Species Codes'!B:I,8,0)*((((E484*2.54)^VLOOKUP(D484,'Species Codes'!B:L,11,0))*((I484*0.3048)^VLOOKUP(D484,'Species Codes'!B:M,12,0))))))*35.3*VLOOKUP(D484,'Species Codes'!B:G,6,0)/2.2046,VLOOKUP(D484,'Species Codes'!B:I,8,0)+VLOOKUP(D484,'Species Codes'!B:J,9,0)*(((E484*2.54)/100)^2)*(I484*0.3048)))))*0.0011023),0)</f>
        <v>#N/A</v>
      </c>
      <c r="AC484" s="104" t="e">
        <f>IF(Z484&gt;0,((IF(OR(D484="RA",D484="OA",D484="OT",D484="UN",D484="PC"),EXP(VLOOKUP(D484,'Species Codes'!B:O,14,0)+VLOOKUP(D484,'Species Codes'!B:P,15,0)*LN((E484*2.54)))-EXP(VLOOKUP(D484,'Species Codes'!B:O,14,0)+VLOOKUP(D484,'Species Codes'!B:P,15,0)*LN((E484*2.54)))*(1/(VLOOKUP(D484,'Species Codes'!B:Q,16,0)+VLOOKUP(D484,'Species Codes'!B:R,17,0)*((E484*2.54)^VLOOKUP(D484,'Species Codes'!B:S,18,0)))),IF(OR(D484="BM",D484="MD",D484="OA"),EXP(VLOOKUP(D484,'Species Codes'!B:O,14,0)+VLOOKUP(D484,'Species Codes'!B:P,15,0)*LN((E484*2.54)))*(1-(1/(VLOOKUP(D484,'Species Codes'!B:Q,16,0)+VLOOKUP(D484,'Species Codes'!B:R,17,0)*((E484*2.54)^VLOOKUP(D484,'Species Codes'!B:S,18,0)))))/1000,IF(D484="DF",EXP(VLOOKUP(D484,'Species Codes'!B:O,14,0)+VLOOKUP(D484,'Species Codes'!B:P,15,0)*LN((E484*2.54))),VLOOKUP(D484,'Species Codes'!B:O,14,0)+VLOOKUP(D484,'Species Codes'!B:P,15,0)*(((E484*2.54)/100)^2)*(I484*0.3048)))))*0.0011023),0)</f>
        <v>#N/A</v>
      </c>
      <c r="AD484" s="104" t="e">
        <f t="shared" si="247"/>
        <v>#N/A</v>
      </c>
      <c r="AE484" s="104" t="e">
        <f t="shared" si="248"/>
        <v>#N/A</v>
      </c>
      <c r="AF484" s="104" t="e">
        <f>IF(AND(VLOOKUP($D484,Merchantability!$B:$C,2,0)="Yes",$E484&gt;=VLOOKUP($D484,Merchantability!$B:$D,3,0),$E484&lt;=VLOOKUP($D484,Merchantability!$B:$E,4,0)),AA484,0)</f>
        <v>#N/A</v>
      </c>
      <c r="AG484" s="104" t="e">
        <f>IF(AND(VLOOKUP($D484,Merchantability!$B:$C,2,0)="Yes",$E484&gt;=VLOOKUP($D484,Merchantability!$B:$D,3,0),$E484&lt;=VLOOKUP($D484,Merchantability!$B:$E,4,0)),AB484,0)</f>
        <v>#N/A</v>
      </c>
      <c r="AH484" s="104" t="e">
        <f>IF(AND(VLOOKUP($D484,Merchantability!$B:$C,2,0)="Yes",$E484&gt;=VLOOKUP($D484,Merchantability!$B:$D,3,0),$E484&lt;=VLOOKUP($D484,Merchantability!$B:$E,4,0)),AC484,0)</f>
        <v>#N/A</v>
      </c>
      <c r="AI484" s="104" t="e">
        <f t="shared" si="249"/>
        <v>#N/A</v>
      </c>
      <c r="AJ484" s="104" t="e">
        <f t="shared" si="250"/>
        <v>#VALUE!</v>
      </c>
      <c r="AK484" s="104" t="e">
        <f t="shared" si="251"/>
        <v>#N/A</v>
      </c>
      <c r="AL484" s="104" t="e">
        <f t="shared" si="252"/>
        <v>#N/A</v>
      </c>
      <c r="AM484" s="104" t="e">
        <f t="shared" si="253"/>
        <v>#N/A</v>
      </c>
      <c r="AN484" s="104" t="e">
        <f t="shared" si="237"/>
        <v>#N/A</v>
      </c>
      <c r="AO484" s="104" t="e">
        <f t="shared" si="238"/>
        <v>#N/A</v>
      </c>
      <c r="AP484" s="104" t="e">
        <f t="shared" si="239"/>
        <v>#N/A</v>
      </c>
      <c r="AQ484" s="104" t="e">
        <f t="shared" si="240"/>
        <v>#N/A</v>
      </c>
      <c r="AR484" s="105" t="str">
        <f t="shared" si="232"/>
        <v/>
      </c>
      <c r="AS484" s="105" t="str">
        <f t="shared" si="233"/>
        <v/>
      </c>
      <c r="AT484" s="108" t="str">
        <f t="shared" si="234"/>
        <v/>
      </c>
      <c r="AU484" s="108" t="str">
        <f t="shared" si="235"/>
        <v/>
      </c>
      <c r="AV484" s="107" t="str">
        <f>IF(ISNUMBER(O484),IF(VLOOKUP($A484,Stand!C:J,8,FALSE)="Short",AT484,AU484),"")</f>
        <v/>
      </c>
      <c r="AW484" s="109" t="str">
        <f t="shared" si="241"/>
        <v/>
      </c>
      <c r="AX484" s="109" t="str">
        <f t="shared" si="242"/>
        <v/>
      </c>
      <c r="AY484" s="112" t="str">
        <f>IF(ISNUMBER(O484),IF(AND(VLOOKUP($D484,Merchantability!$B:$C,2,0)="Yes",$E484&gt;=VLOOKUP($D484,Merchantability!$B:$D,3,0),$E484&lt;=VLOOKUP($D484,Merchantability!$B:$E,4,0)),(AV484*O484)*(1-$H484/100),""),"")</f>
        <v/>
      </c>
      <c r="AZ484" s="116"/>
      <c r="BA484" s="116"/>
      <c r="BB484" s="116"/>
      <c r="BE484" s="62"/>
      <c r="BF484" s="63"/>
    </row>
    <row r="485" spans="1:58" ht="12.75" customHeight="1" x14ac:dyDescent="0.25">
      <c r="A485" s="313"/>
      <c r="B485" s="328"/>
      <c r="C485" s="329"/>
      <c r="D485" s="328"/>
      <c r="E485" s="330"/>
      <c r="F485" s="328"/>
      <c r="G485" s="329"/>
      <c r="H485" s="329"/>
      <c r="I485" s="328"/>
      <c r="J485" s="383"/>
      <c r="K485" s="329"/>
      <c r="L485" s="329"/>
      <c r="M485" s="76"/>
      <c r="N485" s="103" t="str">
        <f>IF(A485="","",VLOOKUP(A485,Stand!C:K,9,0))</f>
        <v/>
      </c>
      <c r="O485" s="104" t="str">
        <f t="shared" si="227"/>
        <v/>
      </c>
      <c r="P485" s="105" t="str">
        <f t="shared" si="228"/>
        <v/>
      </c>
      <c r="Q485" s="105" t="str">
        <f t="shared" si="243"/>
        <v/>
      </c>
      <c r="R485" s="103" t="str">
        <f t="shared" si="229"/>
        <v/>
      </c>
      <c r="S485" s="103" t="str">
        <f t="shared" si="230"/>
        <v/>
      </c>
      <c r="T485" s="106" t="str">
        <f t="shared" si="244"/>
        <v/>
      </c>
      <c r="U485" s="106" t="str">
        <f t="shared" si="245"/>
        <v/>
      </c>
      <c r="V485" s="106" t="str">
        <f t="shared" si="246"/>
        <v/>
      </c>
      <c r="W485" s="105" t="str">
        <f t="shared" si="231"/>
        <v/>
      </c>
      <c r="X485" s="104" t="str">
        <f t="shared" si="236"/>
        <v/>
      </c>
      <c r="Y485" s="104" t="str">
        <f t="array" ref="Y485">IFERROR(IF(ISNUMBER(O485),IF(COUNT(IF(A485=$A$2:$A$2427,IF(D485=$D$2:$D$2427,IF($X$2:$X$2427&gt;0,1))))&gt;0,SUM(IF(A485=$A$2:$A$2427,IF(D485=$D$2:$D$2427,$X$2:$X$2427)))/COUNT(IF(A485=$A$2:$A$2427,IF(D485=$D$2:$D$2427,IF(ISNUMBER($X$2:$X$2427),1)))),0),""),0)</f>
        <v/>
      </c>
      <c r="Z485" s="104" t="str">
        <f>IF(ISNUMBER(O485),IF(I485&gt;0,(10^(VLOOKUP(D485,'Species Codes'!B:C,2,0)+VLOOKUP(D485,'Species Codes'!B:D,3,0)*LOG(E485)+VLOOKUP(D485,'Species Codes'!B:E,4,0)*LOG(I485))),0),"")</f>
        <v/>
      </c>
      <c r="AA485" s="104" t="str">
        <f>IFERROR((VLOOKUP(D485,'Species Codes'!B:G,6,0)*Z485)/2000,"")</f>
        <v/>
      </c>
      <c r="AB485" s="104" t="e">
        <f>IF(Z485&gt;0,((IF(OR(D485="DF",D485="RA")=TRUE,EXP(VLOOKUP(D485,'Species Codes'!B:I,8,0)+VLOOKUP(D485,'Species Codes'!B:J,9,0)*(LN((E485*2.54)))),IF(OR(D485="PY",D485="RC",D485="WH",D485="NF")=TRUE,VLOOKUP(D485,'Species Codes'!B:I,8,0)+VLOOKUP(D485,'Species Codes'!B:J,9,0)*((E485*2.54)^2)*(I485*0.3048),IF(OR(D485="MD",D485="BM",D485="GA")=TRUE,((VLOOKUP(D485,'Species Codes'!B:I,8,0)*(((((E485*2.54)+VLOOKUP(D485,'Species Codes'!B:J,9,0))/VLOOKUP(D485,'Species Codes'!B:K,10,0))^VLOOKUP(D485,'Species Codes'!B:L,11,0))*((I485*0.3048)^VLOOKUP(D485,'Species Codes'!B:M,12,0))))-(VLOOKUP(D485,'Species Codes'!B:I,8,0)*((((E485*2.54)^VLOOKUP(D485,'Species Codes'!B:L,11,0))*((I485*0.3048)^VLOOKUP(D485,'Species Codes'!B:M,12,0))))))*35.3*VLOOKUP(D485,'Species Codes'!B:G,6,0)/2.2046,VLOOKUP(D485,'Species Codes'!B:I,8,0)+VLOOKUP(D485,'Species Codes'!B:J,9,0)*(((E485*2.54)/100)^2)*(I485*0.3048)))))*0.0011023),0)</f>
        <v>#N/A</v>
      </c>
      <c r="AC485" s="104" t="e">
        <f>IF(Z485&gt;0,((IF(OR(D485="RA",D485="OA",D485="OT",D485="UN",D485="PC"),EXP(VLOOKUP(D485,'Species Codes'!B:O,14,0)+VLOOKUP(D485,'Species Codes'!B:P,15,0)*LN((E485*2.54)))-EXP(VLOOKUP(D485,'Species Codes'!B:O,14,0)+VLOOKUP(D485,'Species Codes'!B:P,15,0)*LN((E485*2.54)))*(1/(VLOOKUP(D485,'Species Codes'!B:Q,16,0)+VLOOKUP(D485,'Species Codes'!B:R,17,0)*((E485*2.54)^VLOOKUP(D485,'Species Codes'!B:S,18,0)))),IF(OR(D485="BM",D485="MD",D485="OA"),EXP(VLOOKUP(D485,'Species Codes'!B:O,14,0)+VLOOKUP(D485,'Species Codes'!B:P,15,0)*LN((E485*2.54)))*(1-(1/(VLOOKUP(D485,'Species Codes'!B:Q,16,0)+VLOOKUP(D485,'Species Codes'!B:R,17,0)*((E485*2.54)^VLOOKUP(D485,'Species Codes'!B:S,18,0)))))/1000,IF(D485="DF",EXP(VLOOKUP(D485,'Species Codes'!B:O,14,0)+VLOOKUP(D485,'Species Codes'!B:P,15,0)*LN((E485*2.54))),VLOOKUP(D485,'Species Codes'!B:O,14,0)+VLOOKUP(D485,'Species Codes'!B:P,15,0)*(((E485*2.54)/100)^2)*(I485*0.3048)))))*0.0011023),0)</f>
        <v>#N/A</v>
      </c>
      <c r="AD485" s="104" t="e">
        <f t="shared" si="247"/>
        <v>#N/A</v>
      </c>
      <c r="AE485" s="104" t="e">
        <f t="shared" si="248"/>
        <v>#N/A</v>
      </c>
      <c r="AF485" s="104" t="e">
        <f>IF(AND(VLOOKUP($D485,Merchantability!$B:$C,2,0)="Yes",$E485&gt;=VLOOKUP($D485,Merchantability!$B:$D,3,0),$E485&lt;=VLOOKUP($D485,Merchantability!$B:$E,4,0)),AA485,0)</f>
        <v>#N/A</v>
      </c>
      <c r="AG485" s="104" t="e">
        <f>IF(AND(VLOOKUP($D485,Merchantability!$B:$C,2,0)="Yes",$E485&gt;=VLOOKUP($D485,Merchantability!$B:$D,3,0),$E485&lt;=VLOOKUP($D485,Merchantability!$B:$E,4,0)),AB485,0)</f>
        <v>#N/A</v>
      </c>
      <c r="AH485" s="104" t="e">
        <f>IF(AND(VLOOKUP($D485,Merchantability!$B:$C,2,0)="Yes",$E485&gt;=VLOOKUP($D485,Merchantability!$B:$D,3,0),$E485&lt;=VLOOKUP($D485,Merchantability!$B:$E,4,0)),AC485,0)</f>
        <v>#N/A</v>
      </c>
      <c r="AI485" s="104" t="e">
        <f t="shared" si="249"/>
        <v>#N/A</v>
      </c>
      <c r="AJ485" s="104" t="e">
        <f t="shared" si="250"/>
        <v>#VALUE!</v>
      </c>
      <c r="AK485" s="104" t="e">
        <f t="shared" si="251"/>
        <v>#N/A</v>
      </c>
      <c r="AL485" s="104" t="e">
        <f t="shared" si="252"/>
        <v>#N/A</v>
      </c>
      <c r="AM485" s="104" t="e">
        <f t="shared" si="253"/>
        <v>#N/A</v>
      </c>
      <c r="AN485" s="104" t="e">
        <f t="shared" si="237"/>
        <v>#N/A</v>
      </c>
      <c r="AO485" s="104" t="e">
        <f t="shared" si="238"/>
        <v>#N/A</v>
      </c>
      <c r="AP485" s="104" t="e">
        <f t="shared" si="239"/>
        <v>#N/A</v>
      </c>
      <c r="AQ485" s="104" t="e">
        <f t="shared" si="240"/>
        <v>#N/A</v>
      </c>
      <c r="AR485" s="105" t="str">
        <f t="shared" si="232"/>
        <v/>
      </c>
      <c r="AS485" s="105" t="str">
        <f t="shared" si="233"/>
        <v/>
      </c>
      <c r="AT485" s="108" t="str">
        <f t="shared" si="234"/>
        <v/>
      </c>
      <c r="AU485" s="108" t="str">
        <f t="shared" si="235"/>
        <v/>
      </c>
      <c r="AV485" s="107" t="str">
        <f>IF(ISNUMBER(O485),IF(VLOOKUP($A485,Stand!C:J,8,FALSE)="Short",AT485,AU485),"")</f>
        <v/>
      </c>
      <c r="AW485" s="109" t="str">
        <f t="shared" si="241"/>
        <v/>
      </c>
      <c r="AX485" s="109" t="str">
        <f t="shared" si="242"/>
        <v/>
      </c>
      <c r="AY485" s="112" t="str">
        <f>IF(ISNUMBER(O485),IF(AND(VLOOKUP($D485,Merchantability!$B:$C,2,0)="Yes",$E485&gt;=VLOOKUP($D485,Merchantability!$B:$D,3,0),$E485&lt;=VLOOKUP($D485,Merchantability!$B:$E,4,0)),(AV485*O485)*(1-$H485/100),""),"")</f>
        <v/>
      </c>
      <c r="AZ485" s="116"/>
      <c r="BA485" s="116"/>
      <c r="BB485" s="116"/>
      <c r="BE485" s="62"/>
      <c r="BF485" s="63"/>
    </row>
    <row r="486" spans="1:58" ht="12.75" customHeight="1" x14ac:dyDescent="0.25">
      <c r="A486" s="313"/>
      <c r="B486" s="328"/>
      <c r="C486" s="329"/>
      <c r="D486" s="328"/>
      <c r="E486" s="330"/>
      <c r="F486" s="328"/>
      <c r="G486" s="329"/>
      <c r="H486" s="329"/>
      <c r="I486" s="328"/>
      <c r="J486" s="383"/>
      <c r="K486" s="329"/>
      <c r="L486" s="329"/>
      <c r="M486" s="76"/>
      <c r="N486" s="103" t="str">
        <f>IF(A486="","",VLOOKUP(A486,Stand!C:K,9,0))</f>
        <v/>
      </c>
      <c r="O486" s="104" t="str">
        <f t="shared" si="227"/>
        <v/>
      </c>
      <c r="P486" s="105" t="str">
        <f t="shared" si="228"/>
        <v/>
      </c>
      <c r="Q486" s="105" t="str">
        <f t="shared" si="243"/>
        <v/>
      </c>
      <c r="R486" s="103" t="str">
        <f t="shared" si="229"/>
        <v/>
      </c>
      <c r="S486" s="103" t="str">
        <f t="shared" si="230"/>
        <v/>
      </c>
      <c r="T486" s="106" t="str">
        <f t="shared" si="244"/>
        <v/>
      </c>
      <c r="U486" s="106" t="str">
        <f t="shared" si="245"/>
        <v/>
      </c>
      <c r="V486" s="106" t="str">
        <f t="shared" si="246"/>
        <v/>
      </c>
      <c r="W486" s="105" t="str">
        <f t="shared" si="231"/>
        <v/>
      </c>
      <c r="X486" s="104" t="str">
        <f t="shared" si="236"/>
        <v/>
      </c>
      <c r="Y486" s="104" t="str">
        <f t="array" ref="Y486">IFERROR(IF(ISNUMBER(O486),IF(COUNT(IF(A486=$A$2:$A$2427,IF(D486=$D$2:$D$2427,IF($X$2:$X$2427&gt;0,1))))&gt;0,SUM(IF(A486=$A$2:$A$2427,IF(D486=$D$2:$D$2427,$X$2:$X$2427)))/COUNT(IF(A486=$A$2:$A$2427,IF(D486=$D$2:$D$2427,IF(ISNUMBER($X$2:$X$2427),1)))),0),""),0)</f>
        <v/>
      </c>
      <c r="Z486" s="104" t="str">
        <f>IF(ISNUMBER(O486),IF(I486&gt;0,(10^(VLOOKUP(D486,'Species Codes'!B:C,2,0)+VLOOKUP(D486,'Species Codes'!B:D,3,0)*LOG(E486)+VLOOKUP(D486,'Species Codes'!B:E,4,0)*LOG(I486))),0),"")</f>
        <v/>
      </c>
      <c r="AA486" s="104" t="str">
        <f>IFERROR((VLOOKUP(D486,'Species Codes'!B:G,6,0)*Z486)/2000,"")</f>
        <v/>
      </c>
      <c r="AB486" s="104" t="e">
        <f>IF(Z486&gt;0,((IF(OR(D486="DF",D486="RA")=TRUE,EXP(VLOOKUP(D486,'Species Codes'!B:I,8,0)+VLOOKUP(D486,'Species Codes'!B:J,9,0)*(LN((E486*2.54)))),IF(OR(D486="PY",D486="RC",D486="WH",D486="NF")=TRUE,VLOOKUP(D486,'Species Codes'!B:I,8,0)+VLOOKUP(D486,'Species Codes'!B:J,9,0)*((E486*2.54)^2)*(I486*0.3048),IF(OR(D486="MD",D486="BM",D486="GA")=TRUE,((VLOOKUP(D486,'Species Codes'!B:I,8,0)*(((((E486*2.54)+VLOOKUP(D486,'Species Codes'!B:J,9,0))/VLOOKUP(D486,'Species Codes'!B:K,10,0))^VLOOKUP(D486,'Species Codes'!B:L,11,0))*((I486*0.3048)^VLOOKUP(D486,'Species Codes'!B:M,12,0))))-(VLOOKUP(D486,'Species Codes'!B:I,8,0)*((((E486*2.54)^VLOOKUP(D486,'Species Codes'!B:L,11,0))*((I486*0.3048)^VLOOKUP(D486,'Species Codes'!B:M,12,0))))))*35.3*VLOOKUP(D486,'Species Codes'!B:G,6,0)/2.2046,VLOOKUP(D486,'Species Codes'!B:I,8,0)+VLOOKUP(D486,'Species Codes'!B:J,9,0)*(((E486*2.54)/100)^2)*(I486*0.3048)))))*0.0011023),0)</f>
        <v>#N/A</v>
      </c>
      <c r="AC486" s="104" t="e">
        <f>IF(Z486&gt;0,((IF(OR(D486="RA",D486="OA",D486="OT",D486="UN",D486="PC"),EXP(VLOOKUP(D486,'Species Codes'!B:O,14,0)+VLOOKUP(D486,'Species Codes'!B:P,15,0)*LN((E486*2.54)))-EXP(VLOOKUP(D486,'Species Codes'!B:O,14,0)+VLOOKUP(D486,'Species Codes'!B:P,15,0)*LN((E486*2.54)))*(1/(VLOOKUP(D486,'Species Codes'!B:Q,16,0)+VLOOKUP(D486,'Species Codes'!B:R,17,0)*((E486*2.54)^VLOOKUP(D486,'Species Codes'!B:S,18,0)))),IF(OR(D486="BM",D486="MD",D486="OA"),EXP(VLOOKUP(D486,'Species Codes'!B:O,14,0)+VLOOKUP(D486,'Species Codes'!B:P,15,0)*LN((E486*2.54)))*(1-(1/(VLOOKUP(D486,'Species Codes'!B:Q,16,0)+VLOOKUP(D486,'Species Codes'!B:R,17,0)*((E486*2.54)^VLOOKUP(D486,'Species Codes'!B:S,18,0)))))/1000,IF(D486="DF",EXP(VLOOKUP(D486,'Species Codes'!B:O,14,0)+VLOOKUP(D486,'Species Codes'!B:P,15,0)*LN((E486*2.54))),VLOOKUP(D486,'Species Codes'!B:O,14,0)+VLOOKUP(D486,'Species Codes'!B:P,15,0)*(((E486*2.54)/100)^2)*(I486*0.3048)))))*0.0011023),0)</f>
        <v>#N/A</v>
      </c>
      <c r="AD486" s="104" t="e">
        <f t="shared" si="247"/>
        <v>#N/A</v>
      </c>
      <c r="AE486" s="104" t="e">
        <f t="shared" si="248"/>
        <v>#N/A</v>
      </c>
      <c r="AF486" s="104" t="e">
        <f>IF(AND(VLOOKUP($D486,Merchantability!$B:$C,2,0)="Yes",$E486&gt;=VLOOKUP($D486,Merchantability!$B:$D,3,0),$E486&lt;=VLOOKUP($D486,Merchantability!$B:$E,4,0)),AA486,0)</f>
        <v>#N/A</v>
      </c>
      <c r="AG486" s="104" t="e">
        <f>IF(AND(VLOOKUP($D486,Merchantability!$B:$C,2,0)="Yes",$E486&gt;=VLOOKUP($D486,Merchantability!$B:$D,3,0),$E486&lt;=VLOOKUP($D486,Merchantability!$B:$E,4,0)),AB486,0)</f>
        <v>#N/A</v>
      </c>
      <c r="AH486" s="104" t="e">
        <f>IF(AND(VLOOKUP($D486,Merchantability!$B:$C,2,0)="Yes",$E486&gt;=VLOOKUP($D486,Merchantability!$B:$D,3,0),$E486&lt;=VLOOKUP($D486,Merchantability!$B:$E,4,0)),AC486,0)</f>
        <v>#N/A</v>
      </c>
      <c r="AI486" s="104" t="e">
        <f t="shared" si="249"/>
        <v>#N/A</v>
      </c>
      <c r="AJ486" s="104" t="e">
        <f t="shared" si="250"/>
        <v>#VALUE!</v>
      </c>
      <c r="AK486" s="104" t="e">
        <f t="shared" si="251"/>
        <v>#N/A</v>
      </c>
      <c r="AL486" s="104" t="e">
        <f t="shared" si="252"/>
        <v>#N/A</v>
      </c>
      <c r="AM486" s="104" t="e">
        <f t="shared" si="253"/>
        <v>#N/A</v>
      </c>
      <c r="AN486" s="104" t="e">
        <f t="shared" si="237"/>
        <v>#N/A</v>
      </c>
      <c r="AO486" s="104" t="e">
        <f t="shared" si="238"/>
        <v>#N/A</v>
      </c>
      <c r="AP486" s="104" t="e">
        <f t="shared" si="239"/>
        <v>#N/A</v>
      </c>
      <c r="AQ486" s="104" t="e">
        <f t="shared" si="240"/>
        <v>#N/A</v>
      </c>
      <c r="AR486" s="105" t="str">
        <f t="shared" si="232"/>
        <v/>
      </c>
      <c r="AS486" s="105" t="str">
        <f t="shared" si="233"/>
        <v/>
      </c>
      <c r="AT486" s="108" t="str">
        <f t="shared" si="234"/>
        <v/>
      </c>
      <c r="AU486" s="108" t="str">
        <f t="shared" si="235"/>
        <v/>
      </c>
      <c r="AV486" s="107" t="str">
        <f>IF(ISNUMBER(O486),IF(VLOOKUP($A486,Stand!C:J,8,FALSE)="Short",AT486,AU486),"")</f>
        <v/>
      </c>
      <c r="AW486" s="109" t="str">
        <f t="shared" si="241"/>
        <v/>
      </c>
      <c r="AX486" s="109" t="str">
        <f t="shared" si="242"/>
        <v/>
      </c>
      <c r="AY486" s="112" t="str">
        <f>IF(ISNUMBER(O486),IF(AND(VLOOKUP($D486,Merchantability!$B:$C,2,0)="Yes",$E486&gt;=VLOOKUP($D486,Merchantability!$B:$D,3,0),$E486&lt;=VLOOKUP($D486,Merchantability!$B:$E,4,0)),(AV486*O486)*(1-$H486/100),""),"")</f>
        <v/>
      </c>
      <c r="AZ486" s="116"/>
      <c r="BA486" s="116"/>
      <c r="BB486" s="116"/>
      <c r="BE486" s="62"/>
      <c r="BF486" s="63"/>
    </row>
    <row r="487" spans="1:58" ht="12.75" customHeight="1" x14ac:dyDescent="0.25">
      <c r="A487" s="313"/>
      <c r="B487" s="328"/>
      <c r="C487" s="329"/>
      <c r="D487" s="328"/>
      <c r="E487" s="330"/>
      <c r="F487" s="328"/>
      <c r="G487" s="329"/>
      <c r="H487" s="329"/>
      <c r="I487" s="328"/>
      <c r="J487" s="383"/>
      <c r="K487" s="329"/>
      <c r="L487" s="329"/>
      <c r="M487" s="76"/>
      <c r="N487" s="103" t="str">
        <f>IF(A487="","",VLOOKUP(A487,Stand!C:K,9,0))</f>
        <v/>
      </c>
      <c r="O487" s="104" t="str">
        <f t="shared" si="227"/>
        <v/>
      </c>
      <c r="P487" s="105" t="str">
        <f t="shared" si="228"/>
        <v/>
      </c>
      <c r="Q487" s="105" t="str">
        <f t="shared" si="243"/>
        <v/>
      </c>
      <c r="R487" s="103" t="str">
        <f t="shared" si="229"/>
        <v/>
      </c>
      <c r="S487" s="103" t="str">
        <f t="shared" si="230"/>
        <v/>
      </c>
      <c r="T487" s="106" t="str">
        <f t="shared" si="244"/>
        <v/>
      </c>
      <c r="U487" s="106" t="str">
        <f t="shared" si="245"/>
        <v/>
      </c>
      <c r="V487" s="106" t="str">
        <f t="shared" si="246"/>
        <v/>
      </c>
      <c r="W487" s="105" t="str">
        <f t="shared" si="231"/>
        <v/>
      </c>
      <c r="X487" s="104" t="str">
        <f t="shared" si="236"/>
        <v/>
      </c>
      <c r="Y487" s="104" t="str">
        <f t="array" ref="Y487">IFERROR(IF(ISNUMBER(O487),IF(COUNT(IF(A487=$A$2:$A$2427,IF(D487=$D$2:$D$2427,IF($X$2:$X$2427&gt;0,1))))&gt;0,SUM(IF(A487=$A$2:$A$2427,IF(D487=$D$2:$D$2427,$X$2:$X$2427)))/COUNT(IF(A487=$A$2:$A$2427,IF(D487=$D$2:$D$2427,IF(ISNUMBER($X$2:$X$2427),1)))),0),""),0)</f>
        <v/>
      </c>
      <c r="Z487" s="104" t="str">
        <f>IF(ISNUMBER(O487),IF(I487&gt;0,(10^(VLOOKUP(D487,'Species Codes'!B:C,2,0)+VLOOKUP(D487,'Species Codes'!B:D,3,0)*LOG(E487)+VLOOKUP(D487,'Species Codes'!B:E,4,0)*LOG(I487))),0),"")</f>
        <v/>
      </c>
      <c r="AA487" s="104" t="str">
        <f>IFERROR((VLOOKUP(D487,'Species Codes'!B:G,6,0)*Z487)/2000,"")</f>
        <v/>
      </c>
      <c r="AB487" s="104" t="e">
        <f>IF(Z487&gt;0,((IF(OR(D487="DF",D487="RA")=TRUE,EXP(VLOOKUP(D487,'Species Codes'!B:I,8,0)+VLOOKUP(D487,'Species Codes'!B:J,9,0)*(LN((E487*2.54)))),IF(OR(D487="PY",D487="RC",D487="WH",D487="NF")=TRUE,VLOOKUP(D487,'Species Codes'!B:I,8,0)+VLOOKUP(D487,'Species Codes'!B:J,9,0)*((E487*2.54)^2)*(I487*0.3048),IF(OR(D487="MD",D487="BM",D487="GA")=TRUE,((VLOOKUP(D487,'Species Codes'!B:I,8,0)*(((((E487*2.54)+VLOOKUP(D487,'Species Codes'!B:J,9,0))/VLOOKUP(D487,'Species Codes'!B:K,10,0))^VLOOKUP(D487,'Species Codes'!B:L,11,0))*((I487*0.3048)^VLOOKUP(D487,'Species Codes'!B:M,12,0))))-(VLOOKUP(D487,'Species Codes'!B:I,8,0)*((((E487*2.54)^VLOOKUP(D487,'Species Codes'!B:L,11,0))*((I487*0.3048)^VLOOKUP(D487,'Species Codes'!B:M,12,0))))))*35.3*VLOOKUP(D487,'Species Codes'!B:G,6,0)/2.2046,VLOOKUP(D487,'Species Codes'!B:I,8,0)+VLOOKUP(D487,'Species Codes'!B:J,9,0)*(((E487*2.54)/100)^2)*(I487*0.3048)))))*0.0011023),0)</f>
        <v>#N/A</v>
      </c>
      <c r="AC487" s="104" t="e">
        <f>IF(Z487&gt;0,((IF(OR(D487="RA",D487="OA",D487="OT",D487="UN",D487="PC"),EXP(VLOOKUP(D487,'Species Codes'!B:O,14,0)+VLOOKUP(D487,'Species Codes'!B:P,15,0)*LN((E487*2.54)))-EXP(VLOOKUP(D487,'Species Codes'!B:O,14,0)+VLOOKUP(D487,'Species Codes'!B:P,15,0)*LN((E487*2.54)))*(1/(VLOOKUP(D487,'Species Codes'!B:Q,16,0)+VLOOKUP(D487,'Species Codes'!B:R,17,0)*((E487*2.54)^VLOOKUP(D487,'Species Codes'!B:S,18,0)))),IF(OR(D487="BM",D487="MD",D487="OA"),EXP(VLOOKUP(D487,'Species Codes'!B:O,14,0)+VLOOKUP(D487,'Species Codes'!B:P,15,0)*LN((E487*2.54)))*(1-(1/(VLOOKUP(D487,'Species Codes'!B:Q,16,0)+VLOOKUP(D487,'Species Codes'!B:R,17,0)*((E487*2.54)^VLOOKUP(D487,'Species Codes'!B:S,18,0)))))/1000,IF(D487="DF",EXP(VLOOKUP(D487,'Species Codes'!B:O,14,0)+VLOOKUP(D487,'Species Codes'!B:P,15,0)*LN((E487*2.54))),VLOOKUP(D487,'Species Codes'!B:O,14,0)+VLOOKUP(D487,'Species Codes'!B:P,15,0)*(((E487*2.54)/100)^2)*(I487*0.3048)))))*0.0011023),0)</f>
        <v>#N/A</v>
      </c>
      <c r="AD487" s="104" t="e">
        <f t="shared" si="247"/>
        <v>#N/A</v>
      </c>
      <c r="AE487" s="104" t="e">
        <f t="shared" si="248"/>
        <v>#N/A</v>
      </c>
      <c r="AF487" s="104" t="e">
        <f>IF(AND(VLOOKUP($D487,Merchantability!$B:$C,2,0)="Yes",$E487&gt;=VLOOKUP($D487,Merchantability!$B:$D,3,0),$E487&lt;=VLOOKUP($D487,Merchantability!$B:$E,4,0)),AA487,0)</f>
        <v>#N/A</v>
      </c>
      <c r="AG487" s="104" t="e">
        <f>IF(AND(VLOOKUP($D487,Merchantability!$B:$C,2,0)="Yes",$E487&gt;=VLOOKUP($D487,Merchantability!$B:$D,3,0),$E487&lt;=VLOOKUP($D487,Merchantability!$B:$E,4,0)),AB487,0)</f>
        <v>#N/A</v>
      </c>
      <c r="AH487" s="104" t="e">
        <f>IF(AND(VLOOKUP($D487,Merchantability!$B:$C,2,0)="Yes",$E487&gt;=VLOOKUP($D487,Merchantability!$B:$D,3,0),$E487&lt;=VLOOKUP($D487,Merchantability!$B:$E,4,0)),AC487,0)</f>
        <v>#N/A</v>
      </c>
      <c r="AI487" s="104" t="e">
        <f t="shared" si="249"/>
        <v>#N/A</v>
      </c>
      <c r="AJ487" s="104" t="e">
        <f t="shared" si="250"/>
        <v>#VALUE!</v>
      </c>
      <c r="AK487" s="104" t="e">
        <f t="shared" si="251"/>
        <v>#N/A</v>
      </c>
      <c r="AL487" s="104" t="e">
        <f t="shared" si="252"/>
        <v>#N/A</v>
      </c>
      <c r="AM487" s="104" t="e">
        <f t="shared" si="253"/>
        <v>#N/A</v>
      </c>
      <c r="AN487" s="104" t="e">
        <f t="shared" si="237"/>
        <v>#N/A</v>
      </c>
      <c r="AO487" s="104" t="e">
        <f t="shared" si="238"/>
        <v>#N/A</v>
      </c>
      <c r="AP487" s="104" t="e">
        <f t="shared" si="239"/>
        <v>#N/A</v>
      </c>
      <c r="AQ487" s="104" t="e">
        <f t="shared" si="240"/>
        <v>#N/A</v>
      </c>
      <c r="AR487" s="105" t="str">
        <f t="shared" si="232"/>
        <v/>
      </c>
      <c r="AS487" s="105" t="str">
        <f t="shared" si="233"/>
        <v/>
      </c>
      <c r="AT487" s="108" t="str">
        <f t="shared" si="234"/>
        <v/>
      </c>
      <c r="AU487" s="108" t="str">
        <f t="shared" si="235"/>
        <v/>
      </c>
      <c r="AV487" s="107" t="str">
        <f>IF(ISNUMBER(O487),IF(VLOOKUP($A487,Stand!C:J,8,FALSE)="Short",AT487,AU487),"")</f>
        <v/>
      </c>
      <c r="AW487" s="109" t="str">
        <f t="shared" si="241"/>
        <v/>
      </c>
      <c r="AX487" s="109" t="str">
        <f t="shared" si="242"/>
        <v/>
      </c>
      <c r="AY487" s="112" t="str">
        <f>IF(ISNUMBER(O487),IF(AND(VLOOKUP($D487,Merchantability!$B:$C,2,0)="Yes",$E487&gt;=VLOOKUP($D487,Merchantability!$B:$D,3,0),$E487&lt;=VLOOKUP($D487,Merchantability!$B:$E,4,0)),(AV487*O487)*(1-$H487/100),""),"")</f>
        <v/>
      </c>
      <c r="AZ487" s="116"/>
      <c r="BA487" s="116"/>
      <c r="BB487" s="116"/>
      <c r="BE487" s="62"/>
      <c r="BF487" s="63"/>
    </row>
    <row r="488" spans="1:58" ht="12.75" customHeight="1" x14ac:dyDescent="0.25">
      <c r="A488" s="313"/>
      <c r="B488" s="328"/>
      <c r="C488" s="329"/>
      <c r="D488" s="328"/>
      <c r="E488" s="330"/>
      <c r="F488" s="328"/>
      <c r="G488" s="329"/>
      <c r="H488" s="329"/>
      <c r="I488" s="328"/>
      <c r="J488" s="383"/>
      <c r="K488" s="329"/>
      <c r="L488" s="329"/>
      <c r="M488" s="76"/>
      <c r="N488" s="103" t="str">
        <f>IF(A488="","",VLOOKUP(A488,Stand!C:K,9,0))</f>
        <v/>
      </c>
      <c r="O488" s="104" t="str">
        <f t="shared" si="227"/>
        <v/>
      </c>
      <c r="P488" s="105" t="str">
        <f t="shared" si="228"/>
        <v/>
      </c>
      <c r="Q488" s="105" t="str">
        <f t="shared" si="243"/>
        <v/>
      </c>
      <c r="R488" s="103" t="str">
        <f t="shared" si="229"/>
        <v/>
      </c>
      <c r="S488" s="103" t="str">
        <f t="shared" si="230"/>
        <v/>
      </c>
      <c r="T488" s="106" t="str">
        <f t="shared" si="244"/>
        <v/>
      </c>
      <c r="U488" s="106" t="str">
        <f t="shared" si="245"/>
        <v/>
      </c>
      <c r="V488" s="106" t="str">
        <f t="shared" si="246"/>
        <v/>
      </c>
      <c r="W488" s="105" t="str">
        <f t="shared" si="231"/>
        <v/>
      </c>
      <c r="X488" s="104" t="str">
        <f t="shared" si="236"/>
        <v/>
      </c>
      <c r="Y488" s="104" t="str">
        <f t="array" ref="Y488">IFERROR(IF(ISNUMBER(O488),IF(COUNT(IF(A488=$A$2:$A$2427,IF(D488=$D$2:$D$2427,IF($X$2:$X$2427&gt;0,1))))&gt;0,SUM(IF(A488=$A$2:$A$2427,IF(D488=$D$2:$D$2427,$X$2:$X$2427)))/COUNT(IF(A488=$A$2:$A$2427,IF(D488=$D$2:$D$2427,IF(ISNUMBER($X$2:$X$2427),1)))),0),""),0)</f>
        <v/>
      </c>
      <c r="Z488" s="104" t="str">
        <f>IF(ISNUMBER(O488),IF(I488&gt;0,(10^(VLOOKUP(D488,'Species Codes'!B:C,2,0)+VLOOKUP(D488,'Species Codes'!B:D,3,0)*LOG(E488)+VLOOKUP(D488,'Species Codes'!B:E,4,0)*LOG(I488))),0),"")</f>
        <v/>
      </c>
      <c r="AA488" s="104" t="str">
        <f>IFERROR((VLOOKUP(D488,'Species Codes'!B:G,6,0)*Z488)/2000,"")</f>
        <v/>
      </c>
      <c r="AB488" s="104" t="e">
        <f>IF(Z488&gt;0,((IF(OR(D488="DF",D488="RA")=TRUE,EXP(VLOOKUP(D488,'Species Codes'!B:I,8,0)+VLOOKUP(D488,'Species Codes'!B:J,9,0)*(LN((E488*2.54)))),IF(OR(D488="PY",D488="RC",D488="WH",D488="NF")=TRUE,VLOOKUP(D488,'Species Codes'!B:I,8,0)+VLOOKUP(D488,'Species Codes'!B:J,9,0)*((E488*2.54)^2)*(I488*0.3048),IF(OR(D488="MD",D488="BM",D488="GA")=TRUE,((VLOOKUP(D488,'Species Codes'!B:I,8,0)*(((((E488*2.54)+VLOOKUP(D488,'Species Codes'!B:J,9,0))/VLOOKUP(D488,'Species Codes'!B:K,10,0))^VLOOKUP(D488,'Species Codes'!B:L,11,0))*((I488*0.3048)^VLOOKUP(D488,'Species Codes'!B:M,12,0))))-(VLOOKUP(D488,'Species Codes'!B:I,8,0)*((((E488*2.54)^VLOOKUP(D488,'Species Codes'!B:L,11,0))*((I488*0.3048)^VLOOKUP(D488,'Species Codes'!B:M,12,0))))))*35.3*VLOOKUP(D488,'Species Codes'!B:G,6,0)/2.2046,VLOOKUP(D488,'Species Codes'!B:I,8,0)+VLOOKUP(D488,'Species Codes'!B:J,9,0)*(((E488*2.54)/100)^2)*(I488*0.3048)))))*0.0011023),0)</f>
        <v>#N/A</v>
      </c>
      <c r="AC488" s="104" t="e">
        <f>IF(Z488&gt;0,((IF(OR(D488="RA",D488="OA",D488="OT",D488="UN",D488="PC"),EXP(VLOOKUP(D488,'Species Codes'!B:O,14,0)+VLOOKUP(D488,'Species Codes'!B:P,15,0)*LN((E488*2.54)))-EXP(VLOOKUP(D488,'Species Codes'!B:O,14,0)+VLOOKUP(D488,'Species Codes'!B:P,15,0)*LN((E488*2.54)))*(1/(VLOOKUP(D488,'Species Codes'!B:Q,16,0)+VLOOKUP(D488,'Species Codes'!B:R,17,0)*((E488*2.54)^VLOOKUP(D488,'Species Codes'!B:S,18,0)))),IF(OR(D488="BM",D488="MD",D488="OA"),EXP(VLOOKUP(D488,'Species Codes'!B:O,14,0)+VLOOKUP(D488,'Species Codes'!B:P,15,0)*LN((E488*2.54)))*(1-(1/(VLOOKUP(D488,'Species Codes'!B:Q,16,0)+VLOOKUP(D488,'Species Codes'!B:R,17,0)*((E488*2.54)^VLOOKUP(D488,'Species Codes'!B:S,18,0)))))/1000,IF(D488="DF",EXP(VLOOKUP(D488,'Species Codes'!B:O,14,0)+VLOOKUP(D488,'Species Codes'!B:P,15,0)*LN((E488*2.54))),VLOOKUP(D488,'Species Codes'!B:O,14,0)+VLOOKUP(D488,'Species Codes'!B:P,15,0)*(((E488*2.54)/100)^2)*(I488*0.3048)))))*0.0011023),0)</f>
        <v>#N/A</v>
      </c>
      <c r="AD488" s="104" t="e">
        <f t="shared" si="247"/>
        <v>#N/A</v>
      </c>
      <c r="AE488" s="104" t="e">
        <f t="shared" si="248"/>
        <v>#N/A</v>
      </c>
      <c r="AF488" s="104" t="e">
        <f>IF(AND(VLOOKUP($D488,Merchantability!$B:$C,2,0)="Yes",$E488&gt;=VLOOKUP($D488,Merchantability!$B:$D,3,0),$E488&lt;=VLOOKUP($D488,Merchantability!$B:$E,4,0)),AA488,0)</f>
        <v>#N/A</v>
      </c>
      <c r="AG488" s="104" t="e">
        <f>IF(AND(VLOOKUP($D488,Merchantability!$B:$C,2,0)="Yes",$E488&gt;=VLOOKUP($D488,Merchantability!$B:$D,3,0),$E488&lt;=VLOOKUP($D488,Merchantability!$B:$E,4,0)),AB488,0)</f>
        <v>#N/A</v>
      </c>
      <c r="AH488" s="104" t="e">
        <f>IF(AND(VLOOKUP($D488,Merchantability!$B:$C,2,0)="Yes",$E488&gt;=VLOOKUP($D488,Merchantability!$B:$D,3,0),$E488&lt;=VLOOKUP($D488,Merchantability!$B:$E,4,0)),AC488,0)</f>
        <v>#N/A</v>
      </c>
      <c r="AI488" s="104" t="e">
        <f t="shared" si="249"/>
        <v>#N/A</v>
      </c>
      <c r="AJ488" s="104" t="e">
        <f t="shared" si="250"/>
        <v>#VALUE!</v>
      </c>
      <c r="AK488" s="104" t="e">
        <f t="shared" si="251"/>
        <v>#N/A</v>
      </c>
      <c r="AL488" s="104" t="e">
        <f t="shared" si="252"/>
        <v>#N/A</v>
      </c>
      <c r="AM488" s="104" t="e">
        <f t="shared" si="253"/>
        <v>#N/A</v>
      </c>
      <c r="AN488" s="104" t="e">
        <f t="shared" si="237"/>
        <v>#N/A</v>
      </c>
      <c r="AO488" s="104" t="e">
        <f t="shared" si="238"/>
        <v>#N/A</v>
      </c>
      <c r="AP488" s="104" t="e">
        <f t="shared" si="239"/>
        <v>#N/A</v>
      </c>
      <c r="AQ488" s="104" t="e">
        <f t="shared" si="240"/>
        <v>#N/A</v>
      </c>
      <c r="AR488" s="105" t="str">
        <f t="shared" si="232"/>
        <v/>
      </c>
      <c r="AS488" s="105" t="str">
        <f t="shared" si="233"/>
        <v/>
      </c>
      <c r="AT488" s="108" t="str">
        <f t="shared" si="234"/>
        <v/>
      </c>
      <c r="AU488" s="108" t="str">
        <f t="shared" si="235"/>
        <v/>
      </c>
      <c r="AV488" s="107" t="str">
        <f>IF(ISNUMBER(O488),IF(VLOOKUP($A488,Stand!C:J,8,FALSE)="Short",AT488,AU488),"")</f>
        <v/>
      </c>
      <c r="AW488" s="109" t="str">
        <f t="shared" si="241"/>
        <v/>
      </c>
      <c r="AX488" s="109" t="str">
        <f t="shared" si="242"/>
        <v/>
      </c>
      <c r="AY488" s="112" t="str">
        <f>IF(ISNUMBER(O488),IF(AND(VLOOKUP($D488,Merchantability!$B:$C,2,0)="Yes",$E488&gt;=VLOOKUP($D488,Merchantability!$B:$D,3,0),$E488&lt;=VLOOKUP($D488,Merchantability!$B:$E,4,0)),(AV488*O488)*(1-$H488/100),""),"")</f>
        <v/>
      </c>
      <c r="AZ488" s="116"/>
      <c r="BA488" s="116"/>
      <c r="BB488" s="116"/>
      <c r="BE488" s="62"/>
      <c r="BF488" s="63"/>
    </row>
    <row r="489" spans="1:58" ht="12.75" customHeight="1" x14ac:dyDescent="0.25">
      <c r="A489" s="313"/>
      <c r="B489" s="328"/>
      <c r="C489" s="329"/>
      <c r="D489" s="328"/>
      <c r="E489" s="330"/>
      <c r="F489" s="328"/>
      <c r="G489" s="329"/>
      <c r="H489" s="329"/>
      <c r="I489" s="328"/>
      <c r="J489" s="383"/>
      <c r="K489" s="329"/>
      <c r="L489" s="329"/>
      <c r="M489" s="76"/>
      <c r="N489" s="103" t="str">
        <f>IF(A489="","",VLOOKUP(A489,Stand!C:K,9,0))</f>
        <v/>
      </c>
      <c r="O489" s="104" t="str">
        <f t="shared" si="227"/>
        <v/>
      </c>
      <c r="P489" s="105" t="str">
        <f t="shared" si="228"/>
        <v/>
      </c>
      <c r="Q489" s="105" t="str">
        <f t="shared" si="243"/>
        <v/>
      </c>
      <c r="R489" s="103" t="str">
        <f t="shared" si="229"/>
        <v/>
      </c>
      <c r="S489" s="103" t="str">
        <f t="shared" si="230"/>
        <v/>
      </c>
      <c r="T489" s="106" t="str">
        <f t="shared" si="244"/>
        <v/>
      </c>
      <c r="U489" s="106" t="str">
        <f t="shared" si="245"/>
        <v/>
      </c>
      <c r="V489" s="106" t="str">
        <f t="shared" si="246"/>
        <v/>
      </c>
      <c r="W489" s="105" t="str">
        <f t="shared" si="231"/>
        <v/>
      </c>
      <c r="X489" s="104" t="str">
        <f t="shared" si="236"/>
        <v/>
      </c>
      <c r="Y489" s="104" t="str">
        <f t="array" ref="Y489">IFERROR(IF(ISNUMBER(O489),IF(COUNT(IF(A489=$A$2:$A$2427,IF(D489=$D$2:$D$2427,IF($X$2:$X$2427&gt;0,1))))&gt;0,SUM(IF(A489=$A$2:$A$2427,IF(D489=$D$2:$D$2427,$X$2:$X$2427)))/COUNT(IF(A489=$A$2:$A$2427,IF(D489=$D$2:$D$2427,IF(ISNUMBER($X$2:$X$2427),1)))),0),""),0)</f>
        <v/>
      </c>
      <c r="Z489" s="104" t="str">
        <f>IF(ISNUMBER(O489),IF(I489&gt;0,(10^(VLOOKUP(D489,'Species Codes'!B:C,2,0)+VLOOKUP(D489,'Species Codes'!B:D,3,0)*LOG(E489)+VLOOKUP(D489,'Species Codes'!B:E,4,0)*LOG(I489))),0),"")</f>
        <v/>
      </c>
      <c r="AA489" s="104" t="str">
        <f>IFERROR((VLOOKUP(D489,'Species Codes'!B:G,6,0)*Z489)/2000,"")</f>
        <v/>
      </c>
      <c r="AB489" s="104" t="e">
        <f>IF(Z489&gt;0,((IF(OR(D489="DF",D489="RA")=TRUE,EXP(VLOOKUP(D489,'Species Codes'!B:I,8,0)+VLOOKUP(D489,'Species Codes'!B:J,9,0)*(LN((E489*2.54)))),IF(OR(D489="PY",D489="RC",D489="WH",D489="NF")=TRUE,VLOOKUP(D489,'Species Codes'!B:I,8,0)+VLOOKUP(D489,'Species Codes'!B:J,9,0)*((E489*2.54)^2)*(I489*0.3048),IF(OR(D489="MD",D489="BM",D489="GA")=TRUE,((VLOOKUP(D489,'Species Codes'!B:I,8,0)*(((((E489*2.54)+VLOOKUP(D489,'Species Codes'!B:J,9,0))/VLOOKUP(D489,'Species Codes'!B:K,10,0))^VLOOKUP(D489,'Species Codes'!B:L,11,0))*((I489*0.3048)^VLOOKUP(D489,'Species Codes'!B:M,12,0))))-(VLOOKUP(D489,'Species Codes'!B:I,8,0)*((((E489*2.54)^VLOOKUP(D489,'Species Codes'!B:L,11,0))*((I489*0.3048)^VLOOKUP(D489,'Species Codes'!B:M,12,0))))))*35.3*VLOOKUP(D489,'Species Codes'!B:G,6,0)/2.2046,VLOOKUP(D489,'Species Codes'!B:I,8,0)+VLOOKUP(D489,'Species Codes'!B:J,9,0)*(((E489*2.54)/100)^2)*(I489*0.3048)))))*0.0011023),0)</f>
        <v>#N/A</v>
      </c>
      <c r="AC489" s="104" t="e">
        <f>IF(Z489&gt;0,((IF(OR(D489="RA",D489="OA",D489="OT",D489="UN",D489="PC"),EXP(VLOOKUP(D489,'Species Codes'!B:O,14,0)+VLOOKUP(D489,'Species Codes'!B:P,15,0)*LN((E489*2.54)))-EXP(VLOOKUP(D489,'Species Codes'!B:O,14,0)+VLOOKUP(D489,'Species Codes'!B:P,15,0)*LN((E489*2.54)))*(1/(VLOOKUP(D489,'Species Codes'!B:Q,16,0)+VLOOKUP(D489,'Species Codes'!B:R,17,0)*((E489*2.54)^VLOOKUP(D489,'Species Codes'!B:S,18,0)))),IF(OR(D489="BM",D489="MD",D489="OA"),EXP(VLOOKUP(D489,'Species Codes'!B:O,14,0)+VLOOKUP(D489,'Species Codes'!B:P,15,0)*LN((E489*2.54)))*(1-(1/(VLOOKUP(D489,'Species Codes'!B:Q,16,0)+VLOOKUP(D489,'Species Codes'!B:R,17,0)*((E489*2.54)^VLOOKUP(D489,'Species Codes'!B:S,18,0)))))/1000,IF(D489="DF",EXP(VLOOKUP(D489,'Species Codes'!B:O,14,0)+VLOOKUP(D489,'Species Codes'!B:P,15,0)*LN((E489*2.54))),VLOOKUP(D489,'Species Codes'!B:O,14,0)+VLOOKUP(D489,'Species Codes'!B:P,15,0)*(((E489*2.54)/100)^2)*(I489*0.3048)))))*0.0011023),0)</f>
        <v>#N/A</v>
      </c>
      <c r="AD489" s="104" t="e">
        <f t="shared" si="247"/>
        <v>#N/A</v>
      </c>
      <c r="AE489" s="104" t="e">
        <f t="shared" si="248"/>
        <v>#N/A</v>
      </c>
      <c r="AF489" s="104" t="e">
        <f>IF(AND(VLOOKUP($D489,Merchantability!$B:$C,2,0)="Yes",$E489&gt;=VLOOKUP($D489,Merchantability!$B:$D,3,0),$E489&lt;=VLOOKUP($D489,Merchantability!$B:$E,4,0)),AA489,0)</f>
        <v>#N/A</v>
      </c>
      <c r="AG489" s="104" t="e">
        <f>IF(AND(VLOOKUP($D489,Merchantability!$B:$C,2,0)="Yes",$E489&gt;=VLOOKUP($D489,Merchantability!$B:$D,3,0),$E489&lt;=VLOOKUP($D489,Merchantability!$B:$E,4,0)),AB489,0)</f>
        <v>#N/A</v>
      </c>
      <c r="AH489" s="104" t="e">
        <f>IF(AND(VLOOKUP($D489,Merchantability!$B:$C,2,0)="Yes",$E489&gt;=VLOOKUP($D489,Merchantability!$B:$D,3,0),$E489&lt;=VLOOKUP($D489,Merchantability!$B:$E,4,0)),AC489,0)</f>
        <v>#N/A</v>
      </c>
      <c r="AI489" s="104" t="e">
        <f t="shared" si="249"/>
        <v>#N/A</v>
      </c>
      <c r="AJ489" s="104" t="e">
        <f t="shared" si="250"/>
        <v>#VALUE!</v>
      </c>
      <c r="AK489" s="104" t="e">
        <f t="shared" si="251"/>
        <v>#N/A</v>
      </c>
      <c r="AL489" s="104" t="e">
        <f t="shared" si="252"/>
        <v>#N/A</v>
      </c>
      <c r="AM489" s="104" t="e">
        <f t="shared" si="253"/>
        <v>#N/A</v>
      </c>
      <c r="AN489" s="104" t="e">
        <f t="shared" si="237"/>
        <v>#N/A</v>
      </c>
      <c r="AO489" s="104" t="e">
        <f t="shared" si="238"/>
        <v>#N/A</v>
      </c>
      <c r="AP489" s="104" t="e">
        <f t="shared" si="239"/>
        <v>#N/A</v>
      </c>
      <c r="AQ489" s="104" t="e">
        <f t="shared" si="240"/>
        <v>#N/A</v>
      </c>
      <c r="AR489" s="105" t="str">
        <f t="shared" si="232"/>
        <v/>
      </c>
      <c r="AS489" s="105" t="str">
        <f t="shared" si="233"/>
        <v/>
      </c>
      <c r="AT489" s="108" t="str">
        <f t="shared" si="234"/>
        <v/>
      </c>
      <c r="AU489" s="108" t="str">
        <f t="shared" si="235"/>
        <v/>
      </c>
      <c r="AV489" s="107" t="str">
        <f>IF(ISNUMBER(O489),IF(VLOOKUP($A489,Stand!C:J,8,FALSE)="Short",AT489,AU489),"")</f>
        <v/>
      </c>
      <c r="AW489" s="109" t="str">
        <f t="shared" si="241"/>
        <v/>
      </c>
      <c r="AX489" s="109" t="str">
        <f t="shared" si="242"/>
        <v/>
      </c>
      <c r="AY489" s="112" t="str">
        <f>IF(ISNUMBER(O489),IF(AND(VLOOKUP($D489,Merchantability!$B:$C,2,0)="Yes",$E489&gt;=VLOOKUP($D489,Merchantability!$B:$D,3,0),$E489&lt;=VLOOKUP($D489,Merchantability!$B:$E,4,0)),(AV489*O489)*(1-$H489/100),""),"")</f>
        <v/>
      </c>
      <c r="AZ489" s="116"/>
      <c r="BA489" s="116"/>
      <c r="BB489" s="116"/>
      <c r="BE489" s="62"/>
      <c r="BF489" s="63"/>
    </row>
    <row r="490" spans="1:58" ht="12.75" customHeight="1" x14ac:dyDescent="0.25">
      <c r="A490" s="313"/>
      <c r="B490" s="328"/>
      <c r="C490" s="329"/>
      <c r="D490" s="328"/>
      <c r="E490" s="330"/>
      <c r="F490" s="328"/>
      <c r="G490" s="329"/>
      <c r="H490" s="329"/>
      <c r="I490" s="328"/>
      <c r="J490" s="383"/>
      <c r="K490" s="329"/>
      <c r="L490" s="329"/>
      <c r="M490" s="76"/>
      <c r="N490" s="103" t="str">
        <f>IF(A490="","",VLOOKUP(A490,Stand!C:K,9,0))</f>
        <v/>
      </c>
      <c r="O490" s="104" t="str">
        <f t="shared" si="227"/>
        <v/>
      </c>
      <c r="P490" s="105" t="str">
        <f t="shared" si="228"/>
        <v/>
      </c>
      <c r="Q490" s="105" t="str">
        <f t="shared" si="243"/>
        <v/>
      </c>
      <c r="R490" s="103" t="str">
        <f t="shared" si="229"/>
        <v/>
      </c>
      <c r="S490" s="103" t="str">
        <f t="shared" si="230"/>
        <v/>
      </c>
      <c r="T490" s="106" t="str">
        <f t="shared" si="244"/>
        <v/>
      </c>
      <c r="U490" s="106" t="str">
        <f t="shared" si="245"/>
        <v/>
      </c>
      <c r="V490" s="106" t="str">
        <f t="shared" si="246"/>
        <v/>
      </c>
      <c r="W490" s="105" t="str">
        <f t="shared" si="231"/>
        <v/>
      </c>
      <c r="X490" s="104" t="str">
        <f t="shared" si="236"/>
        <v/>
      </c>
      <c r="Y490" s="104" t="str">
        <f t="array" ref="Y490">IFERROR(IF(ISNUMBER(O490),IF(COUNT(IF(A490=$A$2:$A$2427,IF(D490=$D$2:$D$2427,IF($X$2:$X$2427&gt;0,1))))&gt;0,SUM(IF(A490=$A$2:$A$2427,IF(D490=$D$2:$D$2427,$X$2:$X$2427)))/COUNT(IF(A490=$A$2:$A$2427,IF(D490=$D$2:$D$2427,IF(ISNUMBER($X$2:$X$2427),1)))),0),""),0)</f>
        <v/>
      </c>
      <c r="Z490" s="104" t="str">
        <f>IF(ISNUMBER(O490),IF(I490&gt;0,(10^(VLOOKUP(D490,'Species Codes'!B:C,2,0)+VLOOKUP(D490,'Species Codes'!B:D,3,0)*LOG(E490)+VLOOKUP(D490,'Species Codes'!B:E,4,0)*LOG(I490))),0),"")</f>
        <v/>
      </c>
      <c r="AA490" s="104" t="str">
        <f>IFERROR((VLOOKUP(D490,'Species Codes'!B:G,6,0)*Z490)/2000,"")</f>
        <v/>
      </c>
      <c r="AB490" s="104" t="e">
        <f>IF(Z490&gt;0,((IF(OR(D490="DF",D490="RA")=TRUE,EXP(VLOOKUP(D490,'Species Codes'!B:I,8,0)+VLOOKUP(D490,'Species Codes'!B:J,9,0)*(LN((E490*2.54)))),IF(OR(D490="PY",D490="RC",D490="WH",D490="NF")=TRUE,VLOOKUP(D490,'Species Codes'!B:I,8,0)+VLOOKUP(D490,'Species Codes'!B:J,9,0)*((E490*2.54)^2)*(I490*0.3048),IF(OR(D490="MD",D490="BM",D490="GA")=TRUE,((VLOOKUP(D490,'Species Codes'!B:I,8,0)*(((((E490*2.54)+VLOOKUP(D490,'Species Codes'!B:J,9,0))/VLOOKUP(D490,'Species Codes'!B:K,10,0))^VLOOKUP(D490,'Species Codes'!B:L,11,0))*((I490*0.3048)^VLOOKUP(D490,'Species Codes'!B:M,12,0))))-(VLOOKUP(D490,'Species Codes'!B:I,8,0)*((((E490*2.54)^VLOOKUP(D490,'Species Codes'!B:L,11,0))*((I490*0.3048)^VLOOKUP(D490,'Species Codes'!B:M,12,0))))))*35.3*VLOOKUP(D490,'Species Codes'!B:G,6,0)/2.2046,VLOOKUP(D490,'Species Codes'!B:I,8,0)+VLOOKUP(D490,'Species Codes'!B:J,9,0)*(((E490*2.54)/100)^2)*(I490*0.3048)))))*0.0011023),0)</f>
        <v>#N/A</v>
      </c>
      <c r="AC490" s="104" t="e">
        <f>IF(Z490&gt;0,((IF(OR(D490="RA",D490="OA",D490="OT",D490="UN",D490="PC"),EXP(VLOOKUP(D490,'Species Codes'!B:O,14,0)+VLOOKUP(D490,'Species Codes'!B:P,15,0)*LN((E490*2.54)))-EXP(VLOOKUP(D490,'Species Codes'!B:O,14,0)+VLOOKUP(D490,'Species Codes'!B:P,15,0)*LN((E490*2.54)))*(1/(VLOOKUP(D490,'Species Codes'!B:Q,16,0)+VLOOKUP(D490,'Species Codes'!B:R,17,0)*((E490*2.54)^VLOOKUP(D490,'Species Codes'!B:S,18,0)))),IF(OR(D490="BM",D490="MD",D490="OA"),EXP(VLOOKUP(D490,'Species Codes'!B:O,14,0)+VLOOKUP(D490,'Species Codes'!B:P,15,0)*LN((E490*2.54)))*(1-(1/(VLOOKUP(D490,'Species Codes'!B:Q,16,0)+VLOOKUP(D490,'Species Codes'!B:R,17,0)*((E490*2.54)^VLOOKUP(D490,'Species Codes'!B:S,18,0)))))/1000,IF(D490="DF",EXP(VLOOKUP(D490,'Species Codes'!B:O,14,0)+VLOOKUP(D490,'Species Codes'!B:P,15,0)*LN((E490*2.54))),VLOOKUP(D490,'Species Codes'!B:O,14,0)+VLOOKUP(D490,'Species Codes'!B:P,15,0)*(((E490*2.54)/100)^2)*(I490*0.3048)))))*0.0011023),0)</f>
        <v>#N/A</v>
      </c>
      <c r="AD490" s="104" t="e">
        <f t="shared" si="247"/>
        <v>#N/A</v>
      </c>
      <c r="AE490" s="104" t="e">
        <f t="shared" si="248"/>
        <v>#N/A</v>
      </c>
      <c r="AF490" s="104" t="e">
        <f>IF(AND(VLOOKUP($D490,Merchantability!$B:$C,2,0)="Yes",$E490&gt;=VLOOKUP($D490,Merchantability!$B:$D,3,0),$E490&lt;=VLOOKUP($D490,Merchantability!$B:$E,4,0)),AA490,0)</f>
        <v>#N/A</v>
      </c>
      <c r="AG490" s="104" t="e">
        <f>IF(AND(VLOOKUP($D490,Merchantability!$B:$C,2,0)="Yes",$E490&gt;=VLOOKUP($D490,Merchantability!$B:$D,3,0),$E490&lt;=VLOOKUP($D490,Merchantability!$B:$E,4,0)),AB490,0)</f>
        <v>#N/A</v>
      </c>
      <c r="AH490" s="104" t="e">
        <f>IF(AND(VLOOKUP($D490,Merchantability!$B:$C,2,0)="Yes",$E490&gt;=VLOOKUP($D490,Merchantability!$B:$D,3,0),$E490&lt;=VLOOKUP($D490,Merchantability!$B:$E,4,0)),AC490,0)</f>
        <v>#N/A</v>
      </c>
      <c r="AI490" s="104" t="e">
        <f t="shared" si="249"/>
        <v>#N/A</v>
      </c>
      <c r="AJ490" s="104" t="e">
        <f t="shared" si="250"/>
        <v>#VALUE!</v>
      </c>
      <c r="AK490" s="104" t="e">
        <f t="shared" si="251"/>
        <v>#N/A</v>
      </c>
      <c r="AL490" s="104" t="e">
        <f t="shared" si="252"/>
        <v>#N/A</v>
      </c>
      <c r="AM490" s="104" t="e">
        <f t="shared" si="253"/>
        <v>#N/A</v>
      </c>
      <c r="AN490" s="104" t="e">
        <f t="shared" si="237"/>
        <v>#N/A</v>
      </c>
      <c r="AO490" s="104" t="e">
        <f t="shared" si="238"/>
        <v>#N/A</v>
      </c>
      <c r="AP490" s="104" t="e">
        <f t="shared" si="239"/>
        <v>#N/A</v>
      </c>
      <c r="AQ490" s="104" t="e">
        <f t="shared" si="240"/>
        <v>#N/A</v>
      </c>
      <c r="AR490" s="105" t="str">
        <f t="shared" si="232"/>
        <v/>
      </c>
      <c r="AS490" s="105" t="str">
        <f t="shared" si="233"/>
        <v/>
      </c>
      <c r="AT490" s="108" t="str">
        <f t="shared" si="234"/>
        <v/>
      </c>
      <c r="AU490" s="108" t="str">
        <f t="shared" si="235"/>
        <v/>
      </c>
      <c r="AV490" s="107" t="str">
        <f>IF(ISNUMBER(O490),IF(VLOOKUP($A490,Stand!C:J,8,FALSE)="Short",AT490,AU490),"")</f>
        <v/>
      </c>
      <c r="AW490" s="109" t="str">
        <f t="shared" si="241"/>
        <v/>
      </c>
      <c r="AX490" s="109" t="str">
        <f t="shared" si="242"/>
        <v/>
      </c>
      <c r="AY490" s="112" t="str">
        <f>IF(ISNUMBER(O490),IF(AND(VLOOKUP($D490,Merchantability!$B:$C,2,0)="Yes",$E490&gt;=VLOOKUP($D490,Merchantability!$B:$D,3,0),$E490&lt;=VLOOKUP($D490,Merchantability!$B:$E,4,0)),(AV490*O490)*(1-$H490/100),""),"")</f>
        <v/>
      </c>
      <c r="AZ490" s="116"/>
      <c r="BA490" s="116"/>
      <c r="BB490" s="116"/>
      <c r="BE490" s="62"/>
      <c r="BF490" s="63"/>
    </row>
    <row r="491" spans="1:58" ht="12.75" customHeight="1" x14ac:dyDescent="0.25">
      <c r="A491" s="313"/>
      <c r="B491" s="328"/>
      <c r="C491" s="329"/>
      <c r="D491" s="328"/>
      <c r="E491" s="330"/>
      <c r="F491" s="328"/>
      <c r="G491" s="329"/>
      <c r="H491" s="329"/>
      <c r="I491" s="328"/>
      <c r="J491" s="383"/>
      <c r="K491" s="329"/>
      <c r="L491" s="329"/>
      <c r="M491" s="76"/>
      <c r="N491" s="103" t="str">
        <f>IF(A491="","",VLOOKUP(A491,Stand!C:K,9,0))</f>
        <v/>
      </c>
      <c r="O491" s="104" t="str">
        <f t="shared" si="227"/>
        <v/>
      </c>
      <c r="P491" s="105" t="str">
        <f t="shared" si="228"/>
        <v/>
      </c>
      <c r="Q491" s="105" t="str">
        <f t="shared" si="243"/>
        <v/>
      </c>
      <c r="R491" s="103" t="str">
        <f t="shared" si="229"/>
        <v/>
      </c>
      <c r="S491" s="103" t="str">
        <f t="shared" si="230"/>
        <v/>
      </c>
      <c r="T491" s="106" t="str">
        <f t="shared" si="244"/>
        <v/>
      </c>
      <c r="U491" s="106" t="str">
        <f t="shared" si="245"/>
        <v/>
      </c>
      <c r="V491" s="106" t="str">
        <f t="shared" si="246"/>
        <v/>
      </c>
      <c r="W491" s="105" t="str">
        <f t="shared" si="231"/>
        <v/>
      </c>
      <c r="X491" s="104" t="str">
        <f t="shared" si="236"/>
        <v/>
      </c>
      <c r="Y491" s="104" t="str">
        <f t="array" ref="Y491">IFERROR(IF(ISNUMBER(O491),IF(COUNT(IF(A491=$A$2:$A$2427,IF(D491=$D$2:$D$2427,IF($X$2:$X$2427&gt;0,1))))&gt;0,SUM(IF(A491=$A$2:$A$2427,IF(D491=$D$2:$D$2427,$X$2:$X$2427)))/COUNT(IF(A491=$A$2:$A$2427,IF(D491=$D$2:$D$2427,IF(ISNUMBER($X$2:$X$2427),1)))),0),""),0)</f>
        <v/>
      </c>
      <c r="Z491" s="104" t="str">
        <f>IF(ISNUMBER(O491),IF(I491&gt;0,(10^(VLOOKUP(D491,'Species Codes'!B:C,2,0)+VLOOKUP(D491,'Species Codes'!B:D,3,0)*LOG(E491)+VLOOKUP(D491,'Species Codes'!B:E,4,0)*LOG(I491))),0),"")</f>
        <v/>
      </c>
      <c r="AA491" s="104" t="str">
        <f>IFERROR((VLOOKUP(D491,'Species Codes'!B:G,6,0)*Z491)/2000,"")</f>
        <v/>
      </c>
      <c r="AB491" s="104" t="e">
        <f>IF(Z491&gt;0,((IF(OR(D491="DF",D491="RA")=TRUE,EXP(VLOOKUP(D491,'Species Codes'!B:I,8,0)+VLOOKUP(D491,'Species Codes'!B:J,9,0)*(LN((E491*2.54)))),IF(OR(D491="PY",D491="RC",D491="WH",D491="NF")=TRUE,VLOOKUP(D491,'Species Codes'!B:I,8,0)+VLOOKUP(D491,'Species Codes'!B:J,9,0)*((E491*2.54)^2)*(I491*0.3048),IF(OR(D491="MD",D491="BM",D491="GA")=TRUE,((VLOOKUP(D491,'Species Codes'!B:I,8,0)*(((((E491*2.54)+VLOOKUP(D491,'Species Codes'!B:J,9,0))/VLOOKUP(D491,'Species Codes'!B:K,10,0))^VLOOKUP(D491,'Species Codes'!B:L,11,0))*((I491*0.3048)^VLOOKUP(D491,'Species Codes'!B:M,12,0))))-(VLOOKUP(D491,'Species Codes'!B:I,8,0)*((((E491*2.54)^VLOOKUP(D491,'Species Codes'!B:L,11,0))*((I491*0.3048)^VLOOKUP(D491,'Species Codes'!B:M,12,0))))))*35.3*VLOOKUP(D491,'Species Codes'!B:G,6,0)/2.2046,VLOOKUP(D491,'Species Codes'!B:I,8,0)+VLOOKUP(D491,'Species Codes'!B:J,9,0)*(((E491*2.54)/100)^2)*(I491*0.3048)))))*0.0011023),0)</f>
        <v>#N/A</v>
      </c>
      <c r="AC491" s="104" t="e">
        <f>IF(Z491&gt;0,((IF(OR(D491="RA",D491="OA",D491="OT",D491="UN",D491="PC"),EXP(VLOOKUP(D491,'Species Codes'!B:O,14,0)+VLOOKUP(D491,'Species Codes'!B:P,15,0)*LN((E491*2.54)))-EXP(VLOOKUP(D491,'Species Codes'!B:O,14,0)+VLOOKUP(D491,'Species Codes'!B:P,15,0)*LN((E491*2.54)))*(1/(VLOOKUP(D491,'Species Codes'!B:Q,16,0)+VLOOKUP(D491,'Species Codes'!B:R,17,0)*((E491*2.54)^VLOOKUP(D491,'Species Codes'!B:S,18,0)))),IF(OR(D491="BM",D491="MD",D491="OA"),EXP(VLOOKUP(D491,'Species Codes'!B:O,14,0)+VLOOKUP(D491,'Species Codes'!B:P,15,0)*LN((E491*2.54)))*(1-(1/(VLOOKUP(D491,'Species Codes'!B:Q,16,0)+VLOOKUP(D491,'Species Codes'!B:R,17,0)*((E491*2.54)^VLOOKUP(D491,'Species Codes'!B:S,18,0)))))/1000,IF(D491="DF",EXP(VLOOKUP(D491,'Species Codes'!B:O,14,0)+VLOOKUP(D491,'Species Codes'!B:P,15,0)*LN((E491*2.54))),VLOOKUP(D491,'Species Codes'!B:O,14,0)+VLOOKUP(D491,'Species Codes'!B:P,15,0)*(((E491*2.54)/100)^2)*(I491*0.3048)))))*0.0011023),0)</f>
        <v>#N/A</v>
      </c>
      <c r="AD491" s="104" t="e">
        <f t="shared" si="247"/>
        <v>#N/A</v>
      </c>
      <c r="AE491" s="104" t="e">
        <f t="shared" si="248"/>
        <v>#N/A</v>
      </c>
      <c r="AF491" s="104" t="e">
        <f>IF(AND(VLOOKUP($D491,Merchantability!$B:$C,2,0)="Yes",$E491&gt;=VLOOKUP($D491,Merchantability!$B:$D,3,0),$E491&lt;=VLOOKUP($D491,Merchantability!$B:$E,4,0)),AA491,0)</f>
        <v>#N/A</v>
      </c>
      <c r="AG491" s="104" t="e">
        <f>IF(AND(VLOOKUP($D491,Merchantability!$B:$C,2,0)="Yes",$E491&gt;=VLOOKUP($D491,Merchantability!$B:$D,3,0),$E491&lt;=VLOOKUP($D491,Merchantability!$B:$E,4,0)),AB491,0)</f>
        <v>#N/A</v>
      </c>
      <c r="AH491" s="104" t="e">
        <f>IF(AND(VLOOKUP($D491,Merchantability!$B:$C,2,0)="Yes",$E491&gt;=VLOOKUP($D491,Merchantability!$B:$D,3,0),$E491&lt;=VLOOKUP($D491,Merchantability!$B:$E,4,0)),AC491,0)</f>
        <v>#N/A</v>
      </c>
      <c r="AI491" s="104" t="e">
        <f t="shared" si="249"/>
        <v>#N/A</v>
      </c>
      <c r="AJ491" s="104" t="e">
        <f t="shared" si="250"/>
        <v>#VALUE!</v>
      </c>
      <c r="AK491" s="104" t="e">
        <f t="shared" si="251"/>
        <v>#N/A</v>
      </c>
      <c r="AL491" s="104" t="e">
        <f t="shared" si="252"/>
        <v>#N/A</v>
      </c>
      <c r="AM491" s="104" t="e">
        <f t="shared" si="253"/>
        <v>#N/A</v>
      </c>
      <c r="AN491" s="104" t="e">
        <f t="shared" si="237"/>
        <v>#N/A</v>
      </c>
      <c r="AO491" s="104" t="e">
        <f t="shared" si="238"/>
        <v>#N/A</v>
      </c>
      <c r="AP491" s="104" t="e">
        <f t="shared" si="239"/>
        <v>#N/A</v>
      </c>
      <c r="AQ491" s="104" t="e">
        <f t="shared" si="240"/>
        <v>#N/A</v>
      </c>
      <c r="AR491" s="105" t="str">
        <f t="shared" si="232"/>
        <v/>
      </c>
      <c r="AS491" s="105" t="str">
        <f t="shared" si="233"/>
        <v/>
      </c>
      <c r="AT491" s="108" t="str">
        <f t="shared" si="234"/>
        <v/>
      </c>
      <c r="AU491" s="108" t="str">
        <f t="shared" si="235"/>
        <v/>
      </c>
      <c r="AV491" s="107" t="str">
        <f>IF(ISNUMBER(O491),IF(VLOOKUP($A491,Stand!C:J,8,FALSE)="Short",AT491,AU491),"")</f>
        <v/>
      </c>
      <c r="AW491" s="109" t="str">
        <f t="shared" si="241"/>
        <v/>
      </c>
      <c r="AX491" s="109" t="str">
        <f t="shared" si="242"/>
        <v/>
      </c>
      <c r="AY491" s="112" t="str">
        <f>IF(ISNUMBER(O491),IF(AND(VLOOKUP($D491,Merchantability!$B:$C,2,0)="Yes",$E491&gt;=VLOOKUP($D491,Merchantability!$B:$D,3,0),$E491&lt;=VLOOKUP($D491,Merchantability!$B:$E,4,0)),(AV491*O491)*(1-$H491/100),""),"")</f>
        <v/>
      </c>
      <c r="AZ491" s="116"/>
      <c r="BA491" s="116"/>
      <c r="BB491" s="116"/>
      <c r="BE491" s="62"/>
      <c r="BF491" s="63"/>
    </row>
    <row r="492" spans="1:58" ht="12.75" customHeight="1" x14ac:dyDescent="0.25">
      <c r="A492" s="313"/>
      <c r="B492" s="328"/>
      <c r="C492" s="329"/>
      <c r="D492" s="328"/>
      <c r="E492" s="330"/>
      <c r="F492" s="328"/>
      <c r="G492" s="329"/>
      <c r="H492" s="329"/>
      <c r="I492" s="328"/>
      <c r="J492" s="383"/>
      <c r="K492" s="329"/>
      <c r="L492" s="329"/>
      <c r="M492" s="76"/>
      <c r="N492" s="103" t="str">
        <f>IF(A492="","",VLOOKUP(A492,Stand!C:K,9,0))</f>
        <v/>
      </c>
      <c r="O492" s="104" t="str">
        <f t="shared" si="227"/>
        <v/>
      </c>
      <c r="P492" s="105" t="str">
        <f t="shared" si="228"/>
        <v/>
      </c>
      <c r="Q492" s="105" t="str">
        <f t="shared" si="243"/>
        <v/>
      </c>
      <c r="R492" s="103" t="str">
        <f t="shared" si="229"/>
        <v/>
      </c>
      <c r="S492" s="103" t="str">
        <f t="shared" si="230"/>
        <v/>
      </c>
      <c r="T492" s="106" t="str">
        <f t="shared" si="244"/>
        <v/>
      </c>
      <c r="U492" s="106" t="str">
        <f t="shared" si="245"/>
        <v/>
      </c>
      <c r="V492" s="106" t="str">
        <f t="shared" si="246"/>
        <v/>
      </c>
      <c r="W492" s="105" t="str">
        <f t="shared" si="231"/>
        <v/>
      </c>
      <c r="X492" s="104" t="str">
        <f t="shared" si="236"/>
        <v/>
      </c>
      <c r="Y492" s="104" t="str">
        <f t="array" ref="Y492">IFERROR(IF(ISNUMBER(O492),IF(COUNT(IF(A492=$A$2:$A$2427,IF(D492=$D$2:$D$2427,IF($X$2:$X$2427&gt;0,1))))&gt;0,SUM(IF(A492=$A$2:$A$2427,IF(D492=$D$2:$D$2427,$X$2:$X$2427)))/COUNT(IF(A492=$A$2:$A$2427,IF(D492=$D$2:$D$2427,IF(ISNUMBER($X$2:$X$2427),1)))),0),""),0)</f>
        <v/>
      </c>
      <c r="Z492" s="104" t="str">
        <f>IF(ISNUMBER(O492),IF(I492&gt;0,(10^(VLOOKUP(D492,'Species Codes'!B:C,2,0)+VLOOKUP(D492,'Species Codes'!B:D,3,0)*LOG(E492)+VLOOKUP(D492,'Species Codes'!B:E,4,0)*LOG(I492))),0),"")</f>
        <v/>
      </c>
      <c r="AA492" s="104" t="str">
        <f>IFERROR((VLOOKUP(D492,'Species Codes'!B:G,6,0)*Z492)/2000,"")</f>
        <v/>
      </c>
      <c r="AB492" s="104" t="e">
        <f>IF(Z492&gt;0,((IF(OR(D492="DF",D492="RA")=TRUE,EXP(VLOOKUP(D492,'Species Codes'!B:I,8,0)+VLOOKUP(D492,'Species Codes'!B:J,9,0)*(LN((E492*2.54)))),IF(OR(D492="PY",D492="RC",D492="WH",D492="NF")=TRUE,VLOOKUP(D492,'Species Codes'!B:I,8,0)+VLOOKUP(D492,'Species Codes'!B:J,9,0)*((E492*2.54)^2)*(I492*0.3048),IF(OR(D492="MD",D492="BM",D492="GA")=TRUE,((VLOOKUP(D492,'Species Codes'!B:I,8,0)*(((((E492*2.54)+VLOOKUP(D492,'Species Codes'!B:J,9,0))/VLOOKUP(D492,'Species Codes'!B:K,10,0))^VLOOKUP(D492,'Species Codes'!B:L,11,0))*((I492*0.3048)^VLOOKUP(D492,'Species Codes'!B:M,12,0))))-(VLOOKUP(D492,'Species Codes'!B:I,8,0)*((((E492*2.54)^VLOOKUP(D492,'Species Codes'!B:L,11,0))*((I492*0.3048)^VLOOKUP(D492,'Species Codes'!B:M,12,0))))))*35.3*VLOOKUP(D492,'Species Codes'!B:G,6,0)/2.2046,VLOOKUP(D492,'Species Codes'!B:I,8,0)+VLOOKUP(D492,'Species Codes'!B:J,9,0)*(((E492*2.54)/100)^2)*(I492*0.3048)))))*0.0011023),0)</f>
        <v>#N/A</v>
      </c>
      <c r="AC492" s="104" t="e">
        <f>IF(Z492&gt;0,((IF(OR(D492="RA",D492="OA",D492="OT",D492="UN",D492="PC"),EXP(VLOOKUP(D492,'Species Codes'!B:O,14,0)+VLOOKUP(D492,'Species Codes'!B:P,15,0)*LN((E492*2.54)))-EXP(VLOOKUP(D492,'Species Codes'!B:O,14,0)+VLOOKUP(D492,'Species Codes'!B:P,15,0)*LN((E492*2.54)))*(1/(VLOOKUP(D492,'Species Codes'!B:Q,16,0)+VLOOKUP(D492,'Species Codes'!B:R,17,0)*((E492*2.54)^VLOOKUP(D492,'Species Codes'!B:S,18,0)))),IF(OR(D492="BM",D492="MD",D492="OA"),EXP(VLOOKUP(D492,'Species Codes'!B:O,14,0)+VLOOKUP(D492,'Species Codes'!B:P,15,0)*LN((E492*2.54)))*(1-(1/(VLOOKUP(D492,'Species Codes'!B:Q,16,0)+VLOOKUP(D492,'Species Codes'!B:R,17,0)*((E492*2.54)^VLOOKUP(D492,'Species Codes'!B:S,18,0)))))/1000,IF(D492="DF",EXP(VLOOKUP(D492,'Species Codes'!B:O,14,0)+VLOOKUP(D492,'Species Codes'!B:P,15,0)*LN((E492*2.54))),VLOOKUP(D492,'Species Codes'!B:O,14,0)+VLOOKUP(D492,'Species Codes'!B:P,15,0)*(((E492*2.54)/100)^2)*(I492*0.3048)))))*0.0011023),0)</f>
        <v>#N/A</v>
      </c>
      <c r="AD492" s="104" t="e">
        <f t="shared" si="247"/>
        <v>#N/A</v>
      </c>
      <c r="AE492" s="104" t="e">
        <f t="shared" si="248"/>
        <v>#N/A</v>
      </c>
      <c r="AF492" s="104" t="e">
        <f>IF(AND(VLOOKUP($D492,Merchantability!$B:$C,2,0)="Yes",$E492&gt;=VLOOKUP($D492,Merchantability!$B:$D,3,0),$E492&lt;=VLOOKUP($D492,Merchantability!$B:$E,4,0)),AA492,0)</f>
        <v>#N/A</v>
      </c>
      <c r="AG492" s="104" t="e">
        <f>IF(AND(VLOOKUP($D492,Merchantability!$B:$C,2,0)="Yes",$E492&gt;=VLOOKUP($D492,Merchantability!$B:$D,3,0),$E492&lt;=VLOOKUP($D492,Merchantability!$B:$E,4,0)),AB492,0)</f>
        <v>#N/A</v>
      </c>
      <c r="AH492" s="104" t="e">
        <f>IF(AND(VLOOKUP($D492,Merchantability!$B:$C,2,0)="Yes",$E492&gt;=VLOOKUP($D492,Merchantability!$B:$D,3,0),$E492&lt;=VLOOKUP($D492,Merchantability!$B:$E,4,0)),AC492,0)</f>
        <v>#N/A</v>
      </c>
      <c r="AI492" s="104" t="e">
        <f t="shared" si="249"/>
        <v>#N/A</v>
      </c>
      <c r="AJ492" s="104" t="e">
        <f t="shared" si="250"/>
        <v>#VALUE!</v>
      </c>
      <c r="AK492" s="104" t="e">
        <f t="shared" si="251"/>
        <v>#N/A</v>
      </c>
      <c r="AL492" s="104" t="e">
        <f t="shared" si="252"/>
        <v>#N/A</v>
      </c>
      <c r="AM492" s="104" t="e">
        <f t="shared" si="253"/>
        <v>#N/A</v>
      </c>
      <c r="AN492" s="104" t="e">
        <f t="shared" si="237"/>
        <v>#N/A</v>
      </c>
      <c r="AO492" s="104" t="e">
        <f t="shared" si="238"/>
        <v>#N/A</v>
      </c>
      <c r="AP492" s="104" t="e">
        <f t="shared" si="239"/>
        <v>#N/A</v>
      </c>
      <c r="AQ492" s="104" t="e">
        <f t="shared" si="240"/>
        <v>#N/A</v>
      </c>
      <c r="AR492" s="105" t="str">
        <f t="shared" si="232"/>
        <v/>
      </c>
      <c r="AS492" s="105" t="str">
        <f t="shared" si="233"/>
        <v/>
      </c>
      <c r="AT492" s="108" t="str">
        <f t="shared" si="234"/>
        <v/>
      </c>
      <c r="AU492" s="108" t="str">
        <f t="shared" si="235"/>
        <v/>
      </c>
      <c r="AV492" s="107" t="str">
        <f>IF(ISNUMBER(O492),IF(VLOOKUP($A492,Stand!C:J,8,FALSE)="Short",AT492,AU492),"")</f>
        <v/>
      </c>
      <c r="AW492" s="109" t="str">
        <f t="shared" si="241"/>
        <v/>
      </c>
      <c r="AX492" s="109" t="str">
        <f t="shared" si="242"/>
        <v/>
      </c>
      <c r="AY492" s="112" t="str">
        <f>IF(ISNUMBER(O492),IF(AND(VLOOKUP($D492,Merchantability!$B:$C,2,0)="Yes",$E492&gt;=VLOOKUP($D492,Merchantability!$B:$D,3,0),$E492&lt;=VLOOKUP($D492,Merchantability!$B:$E,4,0)),(AV492*O492)*(1-$H492/100),""),"")</f>
        <v/>
      </c>
      <c r="AZ492" s="116"/>
      <c r="BA492" s="116"/>
      <c r="BB492" s="116"/>
      <c r="BE492" s="62"/>
      <c r="BF492" s="63"/>
    </row>
    <row r="493" spans="1:58" ht="12.75" customHeight="1" x14ac:dyDescent="0.25">
      <c r="A493" s="313"/>
      <c r="B493" s="328"/>
      <c r="C493" s="329"/>
      <c r="D493" s="328"/>
      <c r="E493" s="330"/>
      <c r="F493" s="328"/>
      <c r="G493" s="329"/>
      <c r="H493" s="329"/>
      <c r="I493" s="328"/>
      <c r="J493" s="383"/>
      <c r="K493" s="329"/>
      <c r="L493" s="329"/>
      <c r="M493" s="76"/>
      <c r="N493" s="103" t="str">
        <f>IF(A493="","",VLOOKUP(A493,Stand!C:K,9,0))</f>
        <v/>
      </c>
      <c r="O493" s="104" t="str">
        <f t="shared" si="227"/>
        <v/>
      </c>
      <c r="P493" s="105" t="str">
        <f t="shared" si="228"/>
        <v/>
      </c>
      <c r="Q493" s="105" t="str">
        <f t="shared" si="243"/>
        <v/>
      </c>
      <c r="R493" s="103" t="str">
        <f t="shared" si="229"/>
        <v/>
      </c>
      <c r="S493" s="103" t="str">
        <f t="shared" si="230"/>
        <v/>
      </c>
      <c r="T493" s="106" t="str">
        <f t="shared" si="244"/>
        <v/>
      </c>
      <c r="U493" s="106" t="str">
        <f t="shared" si="245"/>
        <v/>
      </c>
      <c r="V493" s="106" t="str">
        <f t="shared" si="246"/>
        <v/>
      </c>
      <c r="W493" s="105" t="str">
        <f t="shared" si="231"/>
        <v/>
      </c>
      <c r="X493" s="104" t="str">
        <f t="shared" si="236"/>
        <v/>
      </c>
      <c r="Y493" s="104" t="str">
        <f t="array" ref="Y493">IFERROR(IF(ISNUMBER(O493),IF(COUNT(IF(A493=$A$2:$A$2427,IF(D493=$D$2:$D$2427,IF($X$2:$X$2427&gt;0,1))))&gt;0,SUM(IF(A493=$A$2:$A$2427,IF(D493=$D$2:$D$2427,$X$2:$X$2427)))/COUNT(IF(A493=$A$2:$A$2427,IF(D493=$D$2:$D$2427,IF(ISNUMBER($X$2:$X$2427),1)))),0),""),0)</f>
        <v/>
      </c>
      <c r="Z493" s="104" t="str">
        <f>IF(ISNUMBER(O493),IF(I493&gt;0,(10^(VLOOKUP(D493,'Species Codes'!B:C,2,0)+VLOOKUP(D493,'Species Codes'!B:D,3,0)*LOG(E493)+VLOOKUP(D493,'Species Codes'!B:E,4,0)*LOG(I493))),0),"")</f>
        <v/>
      </c>
      <c r="AA493" s="104" t="str">
        <f>IFERROR((VLOOKUP(D493,'Species Codes'!B:G,6,0)*Z493)/2000,"")</f>
        <v/>
      </c>
      <c r="AB493" s="104" t="e">
        <f>IF(Z493&gt;0,((IF(OR(D493="DF",D493="RA")=TRUE,EXP(VLOOKUP(D493,'Species Codes'!B:I,8,0)+VLOOKUP(D493,'Species Codes'!B:J,9,0)*(LN((E493*2.54)))),IF(OR(D493="PY",D493="RC",D493="WH",D493="NF")=TRUE,VLOOKUP(D493,'Species Codes'!B:I,8,0)+VLOOKUP(D493,'Species Codes'!B:J,9,0)*((E493*2.54)^2)*(I493*0.3048),IF(OR(D493="MD",D493="BM",D493="GA")=TRUE,((VLOOKUP(D493,'Species Codes'!B:I,8,0)*(((((E493*2.54)+VLOOKUP(D493,'Species Codes'!B:J,9,0))/VLOOKUP(D493,'Species Codes'!B:K,10,0))^VLOOKUP(D493,'Species Codes'!B:L,11,0))*((I493*0.3048)^VLOOKUP(D493,'Species Codes'!B:M,12,0))))-(VLOOKUP(D493,'Species Codes'!B:I,8,0)*((((E493*2.54)^VLOOKUP(D493,'Species Codes'!B:L,11,0))*((I493*0.3048)^VLOOKUP(D493,'Species Codes'!B:M,12,0))))))*35.3*VLOOKUP(D493,'Species Codes'!B:G,6,0)/2.2046,VLOOKUP(D493,'Species Codes'!B:I,8,0)+VLOOKUP(D493,'Species Codes'!B:J,9,0)*(((E493*2.54)/100)^2)*(I493*0.3048)))))*0.0011023),0)</f>
        <v>#N/A</v>
      </c>
      <c r="AC493" s="104" t="e">
        <f>IF(Z493&gt;0,((IF(OR(D493="RA",D493="OA",D493="OT",D493="UN",D493="PC"),EXP(VLOOKUP(D493,'Species Codes'!B:O,14,0)+VLOOKUP(D493,'Species Codes'!B:P,15,0)*LN((E493*2.54)))-EXP(VLOOKUP(D493,'Species Codes'!B:O,14,0)+VLOOKUP(D493,'Species Codes'!B:P,15,0)*LN((E493*2.54)))*(1/(VLOOKUP(D493,'Species Codes'!B:Q,16,0)+VLOOKUP(D493,'Species Codes'!B:R,17,0)*((E493*2.54)^VLOOKUP(D493,'Species Codes'!B:S,18,0)))),IF(OR(D493="BM",D493="MD",D493="OA"),EXP(VLOOKUP(D493,'Species Codes'!B:O,14,0)+VLOOKUP(D493,'Species Codes'!B:P,15,0)*LN((E493*2.54)))*(1-(1/(VLOOKUP(D493,'Species Codes'!B:Q,16,0)+VLOOKUP(D493,'Species Codes'!B:R,17,0)*((E493*2.54)^VLOOKUP(D493,'Species Codes'!B:S,18,0)))))/1000,IF(D493="DF",EXP(VLOOKUP(D493,'Species Codes'!B:O,14,0)+VLOOKUP(D493,'Species Codes'!B:P,15,0)*LN((E493*2.54))),VLOOKUP(D493,'Species Codes'!B:O,14,0)+VLOOKUP(D493,'Species Codes'!B:P,15,0)*(((E493*2.54)/100)^2)*(I493*0.3048)))))*0.0011023),0)</f>
        <v>#N/A</v>
      </c>
      <c r="AD493" s="104" t="e">
        <f t="shared" si="247"/>
        <v>#N/A</v>
      </c>
      <c r="AE493" s="104" t="e">
        <f t="shared" si="248"/>
        <v>#N/A</v>
      </c>
      <c r="AF493" s="104" t="e">
        <f>IF(AND(VLOOKUP($D493,Merchantability!$B:$C,2,0)="Yes",$E493&gt;=VLOOKUP($D493,Merchantability!$B:$D,3,0),$E493&lt;=VLOOKUP($D493,Merchantability!$B:$E,4,0)),AA493,0)</f>
        <v>#N/A</v>
      </c>
      <c r="AG493" s="104" t="e">
        <f>IF(AND(VLOOKUP($D493,Merchantability!$B:$C,2,0)="Yes",$E493&gt;=VLOOKUP($D493,Merchantability!$B:$D,3,0),$E493&lt;=VLOOKUP($D493,Merchantability!$B:$E,4,0)),AB493,0)</f>
        <v>#N/A</v>
      </c>
      <c r="AH493" s="104" t="e">
        <f>IF(AND(VLOOKUP($D493,Merchantability!$B:$C,2,0)="Yes",$E493&gt;=VLOOKUP($D493,Merchantability!$B:$D,3,0),$E493&lt;=VLOOKUP($D493,Merchantability!$B:$E,4,0)),AC493,0)</f>
        <v>#N/A</v>
      </c>
      <c r="AI493" s="104" t="e">
        <f t="shared" si="249"/>
        <v>#N/A</v>
      </c>
      <c r="AJ493" s="104" t="e">
        <f t="shared" si="250"/>
        <v>#VALUE!</v>
      </c>
      <c r="AK493" s="104" t="e">
        <f t="shared" si="251"/>
        <v>#N/A</v>
      </c>
      <c r="AL493" s="104" t="e">
        <f t="shared" si="252"/>
        <v>#N/A</v>
      </c>
      <c r="AM493" s="104" t="e">
        <f t="shared" si="253"/>
        <v>#N/A</v>
      </c>
      <c r="AN493" s="104" t="e">
        <f t="shared" si="237"/>
        <v>#N/A</v>
      </c>
      <c r="AO493" s="104" t="e">
        <f t="shared" si="238"/>
        <v>#N/A</v>
      </c>
      <c r="AP493" s="104" t="e">
        <f t="shared" si="239"/>
        <v>#N/A</v>
      </c>
      <c r="AQ493" s="104" t="e">
        <f t="shared" si="240"/>
        <v>#N/A</v>
      </c>
      <c r="AR493" s="105" t="str">
        <f t="shared" si="232"/>
        <v/>
      </c>
      <c r="AS493" s="105" t="str">
        <f t="shared" si="233"/>
        <v/>
      </c>
      <c r="AT493" s="108" t="str">
        <f t="shared" si="234"/>
        <v/>
      </c>
      <c r="AU493" s="108" t="str">
        <f t="shared" si="235"/>
        <v/>
      </c>
      <c r="AV493" s="107" t="str">
        <f>IF(ISNUMBER(O493),IF(VLOOKUP($A493,Stand!C:J,8,FALSE)="Short",AT493,AU493),"")</f>
        <v/>
      </c>
      <c r="AW493" s="109" t="str">
        <f t="shared" si="241"/>
        <v/>
      </c>
      <c r="AX493" s="109" t="str">
        <f t="shared" si="242"/>
        <v/>
      </c>
      <c r="AY493" s="112" t="str">
        <f>IF(ISNUMBER(O493),IF(AND(VLOOKUP($D493,Merchantability!$B:$C,2,0)="Yes",$E493&gt;=VLOOKUP($D493,Merchantability!$B:$D,3,0),$E493&lt;=VLOOKUP($D493,Merchantability!$B:$E,4,0)),(AV493*O493)*(1-$H493/100),""),"")</f>
        <v/>
      </c>
      <c r="AZ493" s="116"/>
      <c r="BA493" s="116"/>
      <c r="BB493" s="116"/>
      <c r="BE493" s="62"/>
      <c r="BF493" s="63"/>
    </row>
    <row r="494" spans="1:58" ht="12.75" customHeight="1" x14ac:dyDescent="0.25">
      <c r="A494" s="313"/>
      <c r="B494" s="328"/>
      <c r="C494" s="329"/>
      <c r="D494" s="328"/>
      <c r="E494" s="330"/>
      <c r="F494" s="328"/>
      <c r="G494" s="329"/>
      <c r="H494" s="329"/>
      <c r="I494" s="328"/>
      <c r="J494" s="383"/>
      <c r="K494" s="329"/>
      <c r="L494" s="329"/>
      <c r="M494" s="76"/>
      <c r="N494" s="103" t="str">
        <f>IF(A494="","",VLOOKUP(A494,Stand!C:K,9,0))</f>
        <v/>
      </c>
      <c r="O494" s="104" t="str">
        <f t="shared" si="227"/>
        <v/>
      </c>
      <c r="P494" s="105" t="str">
        <f t="shared" si="228"/>
        <v/>
      </c>
      <c r="Q494" s="105" t="str">
        <f t="shared" si="243"/>
        <v/>
      </c>
      <c r="R494" s="103" t="str">
        <f t="shared" si="229"/>
        <v/>
      </c>
      <c r="S494" s="103" t="str">
        <f t="shared" si="230"/>
        <v/>
      </c>
      <c r="T494" s="106" t="str">
        <f t="shared" si="244"/>
        <v/>
      </c>
      <c r="U494" s="106" t="str">
        <f t="shared" si="245"/>
        <v/>
      </c>
      <c r="V494" s="106" t="str">
        <f t="shared" si="246"/>
        <v/>
      </c>
      <c r="W494" s="105" t="str">
        <f t="shared" si="231"/>
        <v/>
      </c>
      <c r="X494" s="104" t="str">
        <f t="shared" si="236"/>
        <v/>
      </c>
      <c r="Y494" s="104" t="str">
        <f t="array" ref="Y494">IFERROR(IF(ISNUMBER(O494),IF(COUNT(IF(A494=$A$2:$A$2427,IF(D494=$D$2:$D$2427,IF($X$2:$X$2427&gt;0,1))))&gt;0,SUM(IF(A494=$A$2:$A$2427,IF(D494=$D$2:$D$2427,$X$2:$X$2427)))/COUNT(IF(A494=$A$2:$A$2427,IF(D494=$D$2:$D$2427,IF(ISNUMBER($X$2:$X$2427),1)))),0),""),0)</f>
        <v/>
      </c>
      <c r="Z494" s="104" t="str">
        <f>IF(ISNUMBER(O494),IF(I494&gt;0,(10^(VLOOKUP(D494,'Species Codes'!B:C,2,0)+VLOOKUP(D494,'Species Codes'!B:D,3,0)*LOG(E494)+VLOOKUP(D494,'Species Codes'!B:E,4,0)*LOG(I494))),0),"")</f>
        <v/>
      </c>
      <c r="AA494" s="104" t="str">
        <f>IFERROR((VLOOKUP(D494,'Species Codes'!B:G,6,0)*Z494)/2000,"")</f>
        <v/>
      </c>
      <c r="AB494" s="104" t="e">
        <f>IF(Z494&gt;0,((IF(OR(D494="DF",D494="RA")=TRUE,EXP(VLOOKUP(D494,'Species Codes'!B:I,8,0)+VLOOKUP(D494,'Species Codes'!B:J,9,0)*(LN((E494*2.54)))),IF(OR(D494="PY",D494="RC",D494="WH",D494="NF")=TRUE,VLOOKUP(D494,'Species Codes'!B:I,8,0)+VLOOKUP(D494,'Species Codes'!B:J,9,0)*((E494*2.54)^2)*(I494*0.3048),IF(OR(D494="MD",D494="BM",D494="GA")=TRUE,((VLOOKUP(D494,'Species Codes'!B:I,8,0)*(((((E494*2.54)+VLOOKUP(D494,'Species Codes'!B:J,9,0))/VLOOKUP(D494,'Species Codes'!B:K,10,0))^VLOOKUP(D494,'Species Codes'!B:L,11,0))*((I494*0.3048)^VLOOKUP(D494,'Species Codes'!B:M,12,0))))-(VLOOKUP(D494,'Species Codes'!B:I,8,0)*((((E494*2.54)^VLOOKUP(D494,'Species Codes'!B:L,11,0))*((I494*0.3048)^VLOOKUP(D494,'Species Codes'!B:M,12,0))))))*35.3*VLOOKUP(D494,'Species Codes'!B:G,6,0)/2.2046,VLOOKUP(D494,'Species Codes'!B:I,8,0)+VLOOKUP(D494,'Species Codes'!B:J,9,0)*(((E494*2.54)/100)^2)*(I494*0.3048)))))*0.0011023),0)</f>
        <v>#N/A</v>
      </c>
      <c r="AC494" s="104" t="e">
        <f>IF(Z494&gt;0,((IF(OR(D494="RA",D494="OA",D494="OT",D494="UN",D494="PC"),EXP(VLOOKUP(D494,'Species Codes'!B:O,14,0)+VLOOKUP(D494,'Species Codes'!B:P,15,0)*LN((E494*2.54)))-EXP(VLOOKUP(D494,'Species Codes'!B:O,14,0)+VLOOKUP(D494,'Species Codes'!B:P,15,0)*LN((E494*2.54)))*(1/(VLOOKUP(D494,'Species Codes'!B:Q,16,0)+VLOOKUP(D494,'Species Codes'!B:R,17,0)*((E494*2.54)^VLOOKUP(D494,'Species Codes'!B:S,18,0)))),IF(OR(D494="BM",D494="MD",D494="OA"),EXP(VLOOKUP(D494,'Species Codes'!B:O,14,0)+VLOOKUP(D494,'Species Codes'!B:P,15,0)*LN((E494*2.54)))*(1-(1/(VLOOKUP(D494,'Species Codes'!B:Q,16,0)+VLOOKUP(D494,'Species Codes'!B:R,17,0)*((E494*2.54)^VLOOKUP(D494,'Species Codes'!B:S,18,0)))))/1000,IF(D494="DF",EXP(VLOOKUP(D494,'Species Codes'!B:O,14,0)+VLOOKUP(D494,'Species Codes'!B:P,15,0)*LN((E494*2.54))),VLOOKUP(D494,'Species Codes'!B:O,14,0)+VLOOKUP(D494,'Species Codes'!B:P,15,0)*(((E494*2.54)/100)^2)*(I494*0.3048)))))*0.0011023),0)</f>
        <v>#N/A</v>
      </c>
      <c r="AD494" s="104" t="e">
        <f t="shared" si="247"/>
        <v>#N/A</v>
      </c>
      <c r="AE494" s="104" t="e">
        <f t="shared" si="248"/>
        <v>#N/A</v>
      </c>
      <c r="AF494" s="104" t="e">
        <f>IF(AND(VLOOKUP($D494,Merchantability!$B:$C,2,0)="Yes",$E494&gt;=VLOOKUP($D494,Merchantability!$B:$D,3,0),$E494&lt;=VLOOKUP($D494,Merchantability!$B:$E,4,0)),AA494,0)</f>
        <v>#N/A</v>
      </c>
      <c r="AG494" s="104" t="e">
        <f>IF(AND(VLOOKUP($D494,Merchantability!$B:$C,2,0)="Yes",$E494&gt;=VLOOKUP($D494,Merchantability!$B:$D,3,0),$E494&lt;=VLOOKUP($D494,Merchantability!$B:$E,4,0)),AB494,0)</f>
        <v>#N/A</v>
      </c>
      <c r="AH494" s="104" t="e">
        <f>IF(AND(VLOOKUP($D494,Merchantability!$B:$C,2,0)="Yes",$E494&gt;=VLOOKUP($D494,Merchantability!$B:$D,3,0),$E494&lt;=VLOOKUP($D494,Merchantability!$B:$E,4,0)),AC494,0)</f>
        <v>#N/A</v>
      </c>
      <c r="AI494" s="104" t="e">
        <f t="shared" si="249"/>
        <v>#N/A</v>
      </c>
      <c r="AJ494" s="104" t="e">
        <f t="shared" si="250"/>
        <v>#VALUE!</v>
      </c>
      <c r="AK494" s="104" t="e">
        <f t="shared" si="251"/>
        <v>#N/A</v>
      </c>
      <c r="AL494" s="104" t="e">
        <f t="shared" si="252"/>
        <v>#N/A</v>
      </c>
      <c r="AM494" s="104" t="e">
        <f t="shared" si="253"/>
        <v>#N/A</v>
      </c>
      <c r="AN494" s="104" t="e">
        <f t="shared" si="237"/>
        <v>#N/A</v>
      </c>
      <c r="AO494" s="104" t="e">
        <f t="shared" si="238"/>
        <v>#N/A</v>
      </c>
      <c r="AP494" s="104" t="e">
        <f t="shared" si="239"/>
        <v>#N/A</v>
      </c>
      <c r="AQ494" s="104" t="e">
        <f t="shared" si="240"/>
        <v>#N/A</v>
      </c>
      <c r="AR494" s="105" t="str">
        <f t="shared" si="232"/>
        <v/>
      </c>
      <c r="AS494" s="105" t="str">
        <f t="shared" si="233"/>
        <v/>
      </c>
      <c r="AT494" s="108" t="str">
        <f t="shared" si="234"/>
        <v/>
      </c>
      <c r="AU494" s="108" t="str">
        <f t="shared" si="235"/>
        <v/>
      </c>
      <c r="AV494" s="107" t="str">
        <f>IF(ISNUMBER(O494),IF(VLOOKUP($A494,Stand!C:J,8,FALSE)="Short",AT494,AU494),"")</f>
        <v/>
      </c>
      <c r="AW494" s="109" t="str">
        <f t="shared" si="241"/>
        <v/>
      </c>
      <c r="AX494" s="109" t="str">
        <f t="shared" si="242"/>
        <v/>
      </c>
      <c r="AY494" s="112" t="str">
        <f>IF(ISNUMBER(O494),IF(AND(VLOOKUP($D494,Merchantability!$B:$C,2,0)="Yes",$E494&gt;=VLOOKUP($D494,Merchantability!$B:$D,3,0),$E494&lt;=VLOOKUP($D494,Merchantability!$B:$E,4,0)),(AV494*O494)*(1-$H494/100),""),"")</f>
        <v/>
      </c>
      <c r="AZ494" s="116"/>
      <c r="BA494" s="116"/>
      <c r="BB494" s="116"/>
      <c r="BE494" s="62"/>
      <c r="BF494" s="63"/>
    </row>
    <row r="495" spans="1:58" ht="12.75" customHeight="1" x14ac:dyDescent="0.25">
      <c r="A495" s="313"/>
      <c r="B495" s="328"/>
      <c r="C495" s="329"/>
      <c r="D495" s="328"/>
      <c r="E495" s="330"/>
      <c r="F495" s="328"/>
      <c r="G495" s="329"/>
      <c r="H495" s="329"/>
      <c r="I495" s="328"/>
      <c r="J495" s="383"/>
      <c r="K495" s="329"/>
      <c r="L495" s="329"/>
      <c r="M495" s="76"/>
      <c r="N495" s="103" t="str">
        <f>IF(A495="","",VLOOKUP(A495,Stand!C:K,9,0))</f>
        <v/>
      </c>
      <c r="O495" s="104" t="str">
        <f t="shared" si="227"/>
        <v/>
      </c>
      <c r="P495" s="105" t="str">
        <f t="shared" si="228"/>
        <v/>
      </c>
      <c r="Q495" s="105" t="str">
        <f t="shared" si="243"/>
        <v/>
      </c>
      <c r="R495" s="103" t="str">
        <f t="shared" si="229"/>
        <v/>
      </c>
      <c r="S495" s="103" t="str">
        <f t="shared" si="230"/>
        <v/>
      </c>
      <c r="T495" s="106" t="str">
        <f t="shared" si="244"/>
        <v/>
      </c>
      <c r="U495" s="106" t="str">
        <f t="shared" si="245"/>
        <v/>
      </c>
      <c r="V495" s="106" t="str">
        <f t="shared" si="246"/>
        <v/>
      </c>
      <c r="W495" s="105" t="str">
        <f t="shared" si="231"/>
        <v/>
      </c>
      <c r="X495" s="104" t="str">
        <f t="shared" si="236"/>
        <v/>
      </c>
      <c r="Y495" s="104" t="str">
        <f t="array" ref="Y495">IFERROR(IF(ISNUMBER(O495),IF(COUNT(IF(A495=$A$2:$A$2427,IF(D495=$D$2:$D$2427,IF($X$2:$X$2427&gt;0,1))))&gt;0,SUM(IF(A495=$A$2:$A$2427,IF(D495=$D$2:$D$2427,$X$2:$X$2427)))/COUNT(IF(A495=$A$2:$A$2427,IF(D495=$D$2:$D$2427,IF(ISNUMBER($X$2:$X$2427),1)))),0),""),0)</f>
        <v/>
      </c>
      <c r="Z495" s="104" t="str">
        <f>IF(ISNUMBER(O495),IF(I495&gt;0,(10^(VLOOKUP(D495,'Species Codes'!B:C,2,0)+VLOOKUP(D495,'Species Codes'!B:D,3,0)*LOG(E495)+VLOOKUP(D495,'Species Codes'!B:E,4,0)*LOG(I495))),0),"")</f>
        <v/>
      </c>
      <c r="AA495" s="104" t="str">
        <f>IFERROR((VLOOKUP(D495,'Species Codes'!B:G,6,0)*Z495)/2000,"")</f>
        <v/>
      </c>
      <c r="AB495" s="104" t="e">
        <f>IF(Z495&gt;0,((IF(OR(D495="DF",D495="RA")=TRUE,EXP(VLOOKUP(D495,'Species Codes'!B:I,8,0)+VLOOKUP(D495,'Species Codes'!B:J,9,0)*(LN((E495*2.54)))),IF(OR(D495="PY",D495="RC",D495="WH",D495="NF")=TRUE,VLOOKUP(D495,'Species Codes'!B:I,8,0)+VLOOKUP(D495,'Species Codes'!B:J,9,0)*((E495*2.54)^2)*(I495*0.3048),IF(OR(D495="MD",D495="BM",D495="GA")=TRUE,((VLOOKUP(D495,'Species Codes'!B:I,8,0)*(((((E495*2.54)+VLOOKUP(D495,'Species Codes'!B:J,9,0))/VLOOKUP(D495,'Species Codes'!B:K,10,0))^VLOOKUP(D495,'Species Codes'!B:L,11,0))*((I495*0.3048)^VLOOKUP(D495,'Species Codes'!B:M,12,0))))-(VLOOKUP(D495,'Species Codes'!B:I,8,0)*((((E495*2.54)^VLOOKUP(D495,'Species Codes'!B:L,11,0))*((I495*0.3048)^VLOOKUP(D495,'Species Codes'!B:M,12,0))))))*35.3*VLOOKUP(D495,'Species Codes'!B:G,6,0)/2.2046,VLOOKUP(D495,'Species Codes'!B:I,8,0)+VLOOKUP(D495,'Species Codes'!B:J,9,0)*(((E495*2.54)/100)^2)*(I495*0.3048)))))*0.0011023),0)</f>
        <v>#N/A</v>
      </c>
      <c r="AC495" s="104" t="e">
        <f>IF(Z495&gt;0,((IF(OR(D495="RA",D495="OA",D495="OT",D495="UN",D495="PC"),EXP(VLOOKUP(D495,'Species Codes'!B:O,14,0)+VLOOKUP(D495,'Species Codes'!B:P,15,0)*LN((E495*2.54)))-EXP(VLOOKUP(D495,'Species Codes'!B:O,14,0)+VLOOKUP(D495,'Species Codes'!B:P,15,0)*LN((E495*2.54)))*(1/(VLOOKUP(D495,'Species Codes'!B:Q,16,0)+VLOOKUP(D495,'Species Codes'!B:R,17,0)*((E495*2.54)^VLOOKUP(D495,'Species Codes'!B:S,18,0)))),IF(OR(D495="BM",D495="MD",D495="OA"),EXP(VLOOKUP(D495,'Species Codes'!B:O,14,0)+VLOOKUP(D495,'Species Codes'!B:P,15,0)*LN((E495*2.54)))*(1-(1/(VLOOKUP(D495,'Species Codes'!B:Q,16,0)+VLOOKUP(D495,'Species Codes'!B:R,17,0)*((E495*2.54)^VLOOKUP(D495,'Species Codes'!B:S,18,0)))))/1000,IF(D495="DF",EXP(VLOOKUP(D495,'Species Codes'!B:O,14,0)+VLOOKUP(D495,'Species Codes'!B:P,15,0)*LN((E495*2.54))),VLOOKUP(D495,'Species Codes'!B:O,14,0)+VLOOKUP(D495,'Species Codes'!B:P,15,0)*(((E495*2.54)/100)^2)*(I495*0.3048)))))*0.0011023),0)</f>
        <v>#N/A</v>
      </c>
      <c r="AD495" s="104" t="e">
        <f t="shared" si="247"/>
        <v>#N/A</v>
      </c>
      <c r="AE495" s="104" t="e">
        <f t="shared" si="248"/>
        <v>#N/A</v>
      </c>
      <c r="AF495" s="104" t="e">
        <f>IF(AND(VLOOKUP($D495,Merchantability!$B:$C,2,0)="Yes",$E495&gt;=VLOOKUP($D495,Merchantability!$B:$D,3,0),$E495&lt;=VLOOKUP($D495,Merchantability!$B:$E,4,0)),AA495,0)</f>
        <v>#N/A</v>
      </c>
      <c r="AG495" s="104" t="e">
        <f>IF(AND(VLOOKUP($D495,Merchantability!$B:$C,2,0)="Yes",$E495&gt;=VLOOKUP($D495,Merchantability!$B:$D,3,0),$E495&lt;=VLOOKUP($D495,Merchantability!$B:$E,4,0)),AB495,0)</f>
        <v>#N/A</v>
      </c>
      <c r="AH495" s="104" t="e">
        <f>IF(AND(VLOOKUP($D495,Merchantability!$B:$C,2,0)="Yes",$E495&gt;=VLOOKUP($D495,Merchantability!$B:$D,3,0),$E495&lt;=VLOOKUP($D495,Merchantability!$B:$E,4,0)),AC495,0)</f>
        <v>#N/A</v>
      </c>
      <c r="AI495" s="104" t="e">
        <f t="shared" si="249"/>
        <v>#N/A</v>
      </c>
      <c r="AJ495" s="104" t="e">
        <f t="shared" si="250"/>
        <v>#VALUE!</v>
      </c>
      <c r="AK495" s="104" t="e">
        <f t="shared" si="251"/>
        <v>#N/A</v>
      </c>
      <c r="AL495" s="104" t="e">
        <f t="shared" si="252"/>
        <v>#N/A</v>
      </c>
      <c r="AM495" s="104" t="e">
        <f t="shared" si="253"/>
        <v>#N/A</v>
      </c>
      <c r="AN495" s="104" t="e">
        <f t="shared" si="237"/>
        <v>#N/A</v>
      </c>
      <c r="AO495" s="104" t="e">
        <f t="shared" si="238"/>
        <v>#N/A</v>
      </c>
      <c r="AP495" s="104" t="e">
        <f t="shared" si="239"/>
        <v>#N/A</v>
      </c>
      <c r="AQ495" s="104" t="e">
        <f t="shared" si="240"/>
        <v>#N/A</v>
      </c>
      <c r="AR495" s="105" t="str">
        <f t="shared" si="232"/>
        <v/>
      </c>
      <c r="AS495" s="105" t="str">
        <f t="shared" si="233"/>
        <v/>
      </c>
      <c r="AT495" s="108" t="str">
        <f t="shared" si="234"/>
        <v/>
      </c>
      <c r="AU495" s="108" t="str">
        <f t="shared" si="235"/>
        <v/>
      </c>
      <c r="AV495" s="107" t="str">
        <f>IF(ISNUMBER(O495),IF(VLOOKUP($A495,Stand!C:J,8,FALSE)="Short",AT495,AU495),"")</f>
        <v/>
      </c>
      <c r="AW495" s="109" t="str">
        <f t="shared" si="241"/>
        <v/>
      </c>
      <c r="AX495" s="109" t="str">
        <f t="shared" si="242"/>
        <v/>
      </c>
      <c r="AY495" s="112" t="str">
        <f>IF(ISNUMBER(O495),IF(AND(VLOOKUP($D495,Merchantability!$B:$C,2,0)="Yes",$E495&gt;=VLOOKUP($D495,Merchantability!$B:$D,3,0),$E495&lt;=VLOOKUP($D495,Merchantability!$B:$E,4,0)),(AV495*O495)*(1-$H495/100),""),"")</f>
        <v/>
      </c>
      <c r="AZ495" s="116"/>
      <c r="BA495" s="116"/>
      <c r="BB495" s="116"/>
      <c r="BE495" s="62"/>
      <c r="BF495" s="63"/>
    </row>
    <row r="496" spans="1:58" ht="12.75" customHeight="1" x14ac:dyDescent="0.25">
      <c r="A496" s="313"/>
      <c r="B496" s="328"/>
      <c r="C496" s="329"/>
      <c r="D496" s="328"/>
      <c r="E496" s="330"/>
      <c r="F496" s="328"/>
      <c r="G496" s="329"/>
      <c r="H496" s="329"/>
      <c r="I496" s="328"/>
      <c r="J496" s="383"/>
      <c r="K496" s="329"/>
      <c r="L496" s="329"/>
      <c r="M496" s="76"/>
      <c r="N496" s="103" t="str">
        <f>IF(A496="","",VLOOKUP(A496,Stand!C:K,9,0))</f>
        <v/>
      </c>
      <c r="O496" s="104" t="str">
        <f t="shared" si="227"/>
        <v/>
      </c>
      <c r="P496" s="105" t="str">
        <f t="shared" si="228"/>
        <v/>
      </c>
      <c r="Q496" s="105" t="str">
        <f t="shared" si="243"/>
        <v/>
      </c>
      <c r="R496" s="103" t="str">
        <f t="shared" si="229"/>
        <v/>
      </c>
      <c r="S496" s="103" t="str">
        <f t="shared" si="230"/>
        <v/>
      </c>
      <c r="T496" s="106" t="str">
        <f t="shared" si="244"/>
        <v/>
      </c>
      <c r="U496" s="106" t="str">
        <f t="shared" si="245"/>
        <v/>
      </c>
      <c r="V496" s="106" t="str">
        <f t="shared" si="246"/>
        <v/>
      </c>
      <c r="W496" s="105" t="str">
        <f t="shared" si="231"/>
        <v/>
      </c>
      <c r="X496" s="104" t="str">
        <f t="shared" si="236"/>
        <v/>
      </c>
      <c r="Y496" s="104" t="str">
        <f t="array" ref="Y496">IFERROR(IF(ISNUMBER(O496),IF(COUNT(IF(A496=$A$2:$A$2427,IF(D496=$D$2:$D$2427,IF($X$2:$X$2427&gt;0,1))))&gt;0,SUM(IF(A496=$A$2:$A$2427,IF(D496=$D$2:$D$2427,$X$2:$X$2427)))/COUNT(IF(A496=$A$2:$A$2427,IF(D496=$D$2:$D$2427,IF(ISNUMBER($X$2:$X$2427),1)))),0),""),0)</f>
        <v/>
      </c>
      <c r="Z496" s="104" t="str">
        <f>IF(ISNUMBER(O496),IF(I496&gt;0,(10^(VLOOKUP(D496,'Species Codes'!B:C,2,0)+VLOOKUP(D496,'Species Codes'!B:D,3,0)*LOG(E496)+VLOOKUP(D496,'Species Codes'!B:E,4,0)*LOG(I496))),0),"")</f>
        <v/>
      </c>
      <c r="AA496" s="104" t="str">
        <f>IFERROR((VLOOKUP(D496,'Species Codes'!B:G,6,0)*Z496)/2000,"")</f>
        <v/>
      </c>
      <c r="AB496" s="104" t="e">
        <f>IF(Z496&gt;0,((IF(OR(D496="DF",D496="RA")=TRUE,EXP(VLOOKUP(D496,'Species Codes'!B:I,8,0)+VLOOKUP(D496,'Species Codes'!B:J,9,0)*(LN((E496*2.54)))),IF(OR(D496="PY",D496="RC",D496="WH",D496="NF")=TRUE,VLOOKUP(D496,'Species Codes'!B:I,8,0)+VLOOKUP(D496,'Species Codes'!B:J,9,0)*((E496*2.54)^2)*(I496*0.3048),IF(OR(D496="MD",D496="BM",D496="GA")=TRUE,((VLOOKUP(D496,'Species Codes'!B:I,8,0)*(((((E496*2.54)+VLOOKUP(D496,'Species Codes'!B:J,9,0))/VLOOKUP(D496,'Species Codes'!B:K,10,0))^VLOOKUP(D496,'Species Codes'!B:L,11,0))*((I496*0.3048)^VLOOKUP(D496,'Species Codes'!B:M,12,0))))-(VLOOKUP(D496,'Species Codes'!B:I,8,0)*((((E496*2.54)^VLOOKUP(D496,'Species Codes'!B:L,11,0))*((I496*0.3048)^VLOOKUP(D496,'Species Codes'!B:M,12,0))))))*35.3*VLOOKUP(D496,'Species Codes'!B:G,6,0)/2.2046,VLOOKUP(D496,'Species Codes'!B:I,8,0)+VLOOKUP(D496,'Species Codes'!B:J,9,0)*(((E496*2.54)/100)^2)*(I496*0.3048)))))*0.0011023),0)</f>
        <v>#N/A</v>
      </c>
      <c r="AC496" s="104" t="e">
        <f>IF(Z496&gt;0,((IF(OR(D496="RA",D496="OA",D496="OT",D496="UN",D496="PC"),EXP(VLOOKUP(D496,'Species Codes'!B:O,14,0)+VLOOKUP(D496,'Species Codes'!B:P,15,0)*LN((E496*2.54)))-EXP(VLOOKUP(D496,'Species Codes'!B:O,14,0)+VLOOKUP(D496,'Species Codes'!B:P,15,0)*LN((E496*2.54)))*(1/(VLOOKUP(D496,'Species Codes'!B:Q,16,0)+VLOOKUP(D496,'Species Codes'!B:R,17,0)*((E496*2.54)^VLOOKUP(D496,'Species Codes'!B:S,18,0)))),IF(OR(D496="BM",D496="MD",D496="OA"),EXP(VLOOKUP(D496,'Species Codes'!B:O,14,0)+VLOOKUP(D496,'Species Codes'!B:P,15,0)*LN((E496*2.54)))*(1-(1/(VLOOKUP(D496,'Species Codes'!B:Q,16,0)+VLOOKUP(D496,'Species Codes'!B:R,17,0)*((E496*2.54)^VLOOKUP(D496,'Species Codes'!B:S,18,0)))))/1000,IF(D496="DF",EXP(VLOOKUP(D496,'Species Codes'!B:O,14,0)+VLOOKUP(D496,'Species Codes'!B:P,15,0)*LN((E496*2.54))),VLOOKUP(D496,'Species Codes'!B:O,14,0)+VLOOKUP(D496,'Species Codes'!B:P,15,0)*(((E496*2.54)/100)^2)*(I496*0.3048)))))*0.0011023),0)</f>
        <v>#N/A</v>
      </c>
      <c r="AD496" s="104" t="e">
        <f t="shared" si="247"/>
        <v>#N/A</v>
      </c>
      <c r="AE496" s="104" t="e">
        <f t="shared" si="248"/>
        <v>#N/A</v>
      </c>
      <c r="AF496" s="104" t="e">
        <f>IF(AND(VLOOKUP($D496,Merchantability!$B:$C,2,0)="Yes",$E496&gt;=VLOOKUP($D496,Merchantability!$B:$D,3,0),$E496&lt;=VLOOKUP($D496,Merchantability!$B:$E,4,0)),AA496,0)</f>
        <v>#N/A</v>
      </c>
      <c r="AG496" s="104" t="e">
        <f>IF(AND(VLOOKUP($D496,Merchantability!$B:$C,2,0)="Yes",$E496&gt;=VLOOKUP($D496,Merchantability!$B:$D,3,0),$E496&lt;=VLOOKUP($D496,Merchantability!$B:$E,4,0)),AB496,0)</f>
        <v>#N/A</v>
      </c>
      <c r="AH496" s="104" t="e">
        <f>IF(AND(VLOOKUP($D496,Merchantability!$B:$C,2,0)="Yes",$E496&gt;=VLOOKUP($D496,Merchantability!$B:$D,3,0),$E496&lt;=VLOOKUP($D496,Merchantability!$B:$E,4,0)),AC496,0)</f>
        <v>#N/A</v>
      </c>
      <c r="AI496" s="104" t="e">
        <f t="shared" si="249"/>
        <v>#N/A</v>
      </c>
      <c r="AJ496" s="104" t="e">
        <f t="shared" si="250"/>
        <v>#VALUE!</v>
      </c>
      <c r="AK496" s="104" t="e">
        <f t="shared" si="251"/>
        <v>#N/A</v>
      </c>
      <c r="AL496" s="104" t="e">
        <f t="shared" si="252"/>
        <v>#N/A</v>
      </c>
      <c r="AM496" s="104" t="e">
        <f t="shared" si="253"/>
        <v>#N/A</v>
      </c>
      <c r="AN496" s="104" t="e">
        <f t="shared" si="237"/>
        <v>#N/A</v>
      </c>
      <c r="AO496" s="104" t="e">
        <f t="shared" si="238"/>
        <v>#N/A</v>
      </c>
      <c r="AP496" s="104" t="e">
        <f t="shared" si="239"/>
        <v>#N/A</v>
      </c>
      <c r="AQ496" s="104" t="e">
        <f t="shared" si="240"/>
        <v>#N/A</v>
      </c>
      <c r="AR496" s="105" t="str">
        <f t="shared" si="232"/>
        <v/>
      </c>
      <c r="AS496" s="105" t="str">
        <f t="shared" si="233"/>
        <v/>
      </c>
      <c r="AT496" s="108" t="str">
        <f t="shared" si="234"/>
        <v/>
      </c>
      <c r="AU496" s="108" t="str">
        <f t="shared" si="235"/>
        <v/>
      </c>
      <c r="AV496" s="107" t="str">
        <f>IF(ISNUMBER(O496),IF(VLOOKUP($A496,Stand!C:J,8,FALSE)="Short",AT496,AU496),"")</f>
        <v/>
      </c>
      <c r="AW496" s="109" t="str">
        <f t="shared" si="241"/>
        <v/>
      </c>
      <c r="AX496" s="109" t="str">
        <f t="shared" si="242"/>
        <v/>
      </c>
      <c r="AY496" s="112" t="str">
        <f>IF(ISNUMBER(O496),IF(AND(VLOOKUP($D496,Merchantability!$B:$C,2,0)="Yes",$E496&gt;=VLOOKUP($D496,Merchantability!$B:$D,3,0),$E496&lt;=VLOOKUP($D496,Merchantability!$B:$E,4,0)),(AV496*O496)*(1-$H496/100),""),"")</f>
        <v/>
      </c>
      <c r="AZ496" s="116"/>
      <c r="BA496" s="116"/>
      <c r="BB496" s="116"/>
      <c r="BE496" s="62"/>
      <c r="BF496" s="63"/>
    </row>
    <row r="497" spans="1:58" ht="12.75" customHeight="1" x14ac:dyDescent="0.25">
      <c r="A497" s="313"/>
      <c r="B497" s="328"/>
      <c r="C497" s="329"/>
      <c r="D497" s="328"/>
      <c r="E497" s="330"/>
      <c r="F497" s="328"/>
      <c r="G497" s="329"/>
      <c r="H497" s="329"/>
      <c r="I497" s="328"/>
      <c r="J497" s="383"/>
      <c r="K497" s="329"/>
      <c r="L497" s="329"/>
      <c r="M497" s="76"/>
      <c r="N497" s="103" t="str">
        <f>IF(A497="","",VLOOKUP(A497,Stand!C:K,9,0))</f>
        <v/>
      </c>
      <c r="O497" s="104" t="str">
        <f t="shared" si="227"/>
        <v/>
      </c>
      <c r="P497" s="105" t="str">
        <f t="shared" si="228"/>
        <v/>
      </c>
      <c r="Q497" s="105" t="str">
        <f t="shared" si="243"/>
        <v/>
      </c>
      <c r="R497" s="103" t="str">
        <f t="shared" si="229"/>
        <v/>
      </c>
      <c r="S497" s="103" t="str">
        <f t="shared" si="230"/>
        <v/>
      </c>
      <c r="T497" s="106" t="str">
        <f t="shared" si="244"/>
        <v/>
      </c>
      <c r="U497" s="106" t="str">
        <f t="shared" si="245"/>
        <v/>
      </c>
      <c r="V497" s="106" t="str">
        <f t="shared" si="246"/>
        <v/>
      </c>
      <c r="W497" s="105" t="str">
        <f t="shared" si="231"/>
        <v/>
      </c>
      <c r="X497" s="104" t="str">
        <f t="shared" si="236"/>
        <v/>
      </c>
      <c r="Y497" s="104" t="str">
        <f t="array" ref="Y497">IFERROR(IF(ISNUMBER(O497),IF(COUNT(IF(A497=$A$2:$A$2427,IF(D497=$D$2:$D$2427,IF($X$2:$X$2427&gt;0,1))))&gt;0,SUM(IF(A497=$A$2:$A$2427,IF(D497=$D$2:$D$2427,$X$2:$X$2427)))/COUNT(IF(A497=$A$2:$A$2427,IF(D497=$D$2:$D$2427,IF(ISNUMBER($X$2:$X$2427),1)))),0),""),0)</f>
        <v/>
      </c>
      <c r="Z497" s="104" t="str">
        <f>IF(ISNUMBER(O497),IF(I497&gt;0,(10^(VLOOKUP(D497,'Species Codes'!B:C,2,0)+VLOOKUP(D497,'Species Codes'!B:D,3,0)*LOG(E497)+VLOOKUP(D497,'Species Codes'!B:E,4,0)*LOG(I497))),0),"")</f>
        <v/>
      </c>
      <c r="AA497" s="104" t="str">
        <f>IFERROR((VLOOKUP(D497,'Species Codes'!B:G,6,0)*Z497)/2000,"")</f>
        <v/>
      </c>
      <c r="AB497" s="104" t="e">
        <f>IF(Z497&gt;0,((IF(OR(D497="DF",D497="RA")=TRUE,EXP(VLOOKUP(D497,'Species Codes'!B:I,8,0)+VLOOKUP(D497,'Species Codes'!B:J,9,0)*(LN((E497*2.54)))),IF(OR(D497="PY",D497="RC",D497="WH",D497="NF")=TRUE,VLOOKUP(D497,'Species Codes'!B:I,8,0)+VLOOKUP(D497,'Species Codes'!B:J,9,0)*((E497*2.54)^2)*(I497*0.3048),IF(OR(D497="MD",D497="BM",D497="GA")=TRUE,((VLOOKUP(D497,'Species Codes'!B:I,8,0)*(((((E497*2.54)+VLOOKUP(D497,'Species Codes'!B:J,9,0))/VLOOKUP(D497,'Species Codes'!B:K,10,0))^VLOOKUP(D497,'Species Codes'!B:L,11,0))*((I497*0.3048)^VLOOKUP(D497,'Species Codes'!B:M,12,0))))-(VLOOKUP(D497,'Species Codes'!B:I,8,0)*((((E497*2.54)^VLOOKUP(D497,'Species Codes'!B:L,11,0))*((I497*0.3048)^VLOOKUP(D497,'Species Codes'!B:M,12,0))))))*35.3*VLOOKUP(D497,'Species Codes'!B:G,6,0)/2.2046,VLOOKUP(D497,'Species Codes'!B:I,8,0)+VLOOKUP(D497,'Species Codes'!B:J,9,0)*(((E497*2.54)/100)^2)*(I497*0.3048)))))*0.0011023),0)</f>
        <v>#N/A</v>
      </c>
      <c r="AC497" s="104" t="e">
        <f>IF(Z497&gt;0,((IF(OR(D497="RA",D497="OA",D497="OT",D497="UN",D497="PC"),EXP(VLOOKUP(D497,'Species Codes'!B:O,14,0)+VLOOKUP(D497,'Species Codes'!B:P,15,0)*LN((E497*2.54)))-EXP(VLOOKUP(D497,'Species Codes'!B:O,14,0)+VLOOKUP(D497,'Species Codes'!B:P,15,0)*LN((E497*2.54)))*(1/(VLOOKUP(D497,'Species Codes'!B:Q,16,0)+VLOOKUP(D497,'Species Codes'!B:R,17,0)*((E497*2.54)^VLOOKUP(D497,'Species Codes'!B:S,18,0)))),IF(OR(D497="BM",D497="MD",D497="OA"),EXP(VLOOKUP(D497,'Species Codes'!B:O,14,0)+VLOOKUP(D497,'Species Codes'!B:P,15,0)*LN((E497*2.54)))*(1-(1/(VLOOKUP(D497,'Species Codes'!B:Q,16,0)+VLOOKUP(D497,'Species Codes'!B:R,17,0)*((E497*2.54)^VLOOKUP(D497,'Species Codes'!B:S,18,0)))))/1000,IF(D497="DF",EXP(VLOOKUP(D497,'Species Codes'!B:O,14,0)+VLOOKUP(D497,'Species Codes'!B:P,15,0)*LN((E497*2.54))),VLOOKUP(D497,'Species Codes'!B:O,14,0)+VLOOKUP(D497,'Species Codes'!B:P,15,0)*(((E497*2.54)/100)^2)*(I497*0.3048)))))*0.0011023),0)</f>
        <v>#N/A</v>
      </c>
      <c r="AD497" s="104" t="e">
        <f t="shared" si="247"/>
        <v>#N/A</v>
      </c>
      <c r="AE497" s="104" t="e">
        <f t="shared" si="248"/>
        <v>#N/A</v>
      </c>
      <c r="AF497" s="104" t="e">
        <f>IF(AND(VLOOKUP($D497,Merchantability!$B:$C,2,0)="Yes",$E497&gt;=VLOOKUP($D497,Merchantability!$B:$D,3,0),$E497&lt;=VLOOKUP($D497,Merchantability!$B:$E,4,0)),AA497,0)</f>
        <v>#N/A</v>
      </c>
      <c r="AG497" s="104" t="e">
        <f>IF(AND(VLOOKUP($D497,Merchantability!$B:$C,2,0)="Yes",$E497&gt;=VLOOKUP($D497,Merchantability!$B:$D,3,0),$E497&lt;=VLOOKUP($D497,Merchantability!$B:$E,4,0)),AB497,0)</f>
        <v>#N/A</v>
      </c>
      <c r="AH497" s="104" t="e">
        <f>IF(AND(VLOOKUP($D497,Merchantability!$B:$C,2,0)="Yes",$E497&gt;=VLOOKUP($D497,Merchantability!$B:$D,3,0),$E497&lt;=VLOOKUP($D497,Merchantability!$B:$E,4,0)),AC497,0)</f>
        <v>#N/A</v>
      </c>
      <c r="AI497" s="104" t="e">
        <f t="shared" si="249"/>
        <v>#N/A</v>
      </c>
      <c r="AJ497" s="104" t="e">
        <f t="shared" si="250"/>
        <v>#VALUE!</v>
      </c>
      <c r="AK497" s="104" t="e">
        <f t="shared" si="251"/>
        <v>#N/A</v>
      </c>
      <c r="AL497" s="104" t="e">
        <f t="shared" si="252"/>
        <v>#N/A</v>
      </c>
      <c r="AM497" s="104" t="e">
        <f t="shared" si="253"/>
        <v>#N/A</v>
      </c>
      <c r="AN497" s="104" t="e">
        <f t="shared" si="237"/>
        <v>#N/A</v>
      </c>
      <c r="AO497" s="104" t="e">
        <f t="shared" si="238"/>
        <v>#N/A</v>
      </c>
      <c r="AP497" s="104" t="e">
        <f t="shared" si="239"/>
        <v>#N/A</v>
      </c>
      <c r="AQ497" s="104" t="e">
        <f t="shared" si="240"/>
        <v>#N/A</v>
      </c>
      <c r="AR497" s="105" t="str">
        <f t="shared" si="232"/>
        <v/>
      </c>
      <c r="AS497" s="105" t="str">
        <f t="shared" si="233"/>
        <v/>
      </c>
      <c r="AT497" s="108" t="str">
        <f t="shared" si="234"/>
        <v/>
      </c>
      <c r="AU497" s="108" t="str">
        <f t="shared" si="235"/>
        <v/>
      </c>
      <c r="AV497" s="107" t="str">
        <f>IF(ISNUMBER(O497),IF(VLOOKUP($A497,Stand!C:J,8,FALSE)="Short",AT497,AU497),"")</f>
        <v/>
      </c>
      <c r="AW497" s="109" t="str">
        <f t="shared" si="241"/>
        <v/>
      </c>
      <c r="AX497" s="109" t="str">
        <f t="shared" si="242"/>
        <v/>
      </c>
      <c r="AY497" s="112" t="str">
        <f>IF(ISNUMBER(O497),IF(AND(VLOOKUP($D497,Merchantability!$B:$C,2,0)="Yes",$E497&gt;=VLOOKUP($D497,Merchantability!$B:$D,3,0),$E497&lt;=VLOOKUP($D497,Merchantability!$B:$E,4,0)),(AV497*O497)*(1-$H497/100),""),"")</f>
        <v/>
      </c>
      <c r="AZ497" s="116"/>
      <c r="BA497" s="116"/>
      <c r="BB497" s="116"/>
      <c r="BE497" s="62"/>
      <c r="BF497" s="63"/>
    </row>
    <row r="498" spans="1:58" ht="12.75" customHeight="1" x14ac:dyDescent="0.25">
      <c r="A498" s="313"/>
      <c r="B498" s="328"/>
      <c r="C498" s="329"/>
      <c r="D498" s="328"/>
      <c r="E498" s="330"/>
      <c r="F498" s="328"/>
      <c r="G498" s="329"/>
      <c r="H498" s="329"/>
      <c r="I498" s="328"/>
      <c r="J498" s="383"/>
      <c r="K498" s="329"/>
      <c r="L498" s="329"/>
      <c r="M498" s="78"/>
      <c r="N498" s="103" t="str">
        <f>IF(A498="","",VLOOKUP(A498,Stand!C:K,9,0))</f>
        <v/>
      </c>
      <c r="O498" s="104" t="str">
        <f t="shared" si="227"/>
        <v/>
      </c>
      <c r="P498" s="105" t="str">
        <f t="shared" si="228"/>
        <v/>
      </c>
      <c r="Q498" s="105" t="str">
        <f t="shared" si="243"/>
        <v/>
      </c>
      <c r="R498" s="103" t="str">
        <f t="shared" si="229"/>
        <v/>
      </c>
      <c r="S498" s="103" t="str">
        <f t="shared" si="230"/>
        <v/>
      </c>
      <c r="T498" s="106" t="str">
        <f t="shared" si="244"/>
        <v/>
      </c>
      <c r="U498" s="106" t="str">
        <f t="shared" si="245"/>
        <v/>
      </c>
      <c r="V498" s="106" t="str">
        <f t="shared" si="246"/>
        <v/>
      </c>
      <c r="W498" s="105" t="str">
        <f t="shared" si="231"/>
        <v/>
      </c>
      <c r="X498" s="104" t="str">
        <f t="shared" si="236"/>
        <v/>
      </c>
      <c r="Y498" s="104" t="str">
        <f t="array" ref="Y498">IFERROR(IF(ISNUMBER(O498),IF(COUNT(IF(A498=$A$2:$A$2427,IF(D498=$D$2:$D$2427,IF($X$2:$X$2427&gt;0,1))))&gt;0,SUM(IF(A498=$A$2:$A$2427,IF(D498=$D$2:$D$2427,$X$2:$X$2427)))/COUNT(IF(A498=$A$2:$A$2427,IF(D498=$D$2:$D$2427,IF(ISNUMBER($X$2:$X$2427),1)))),0),""),0)</f>
        <v/>
      </c>
      <c r="Z498" s="104" t="str">
        <f>IF(ISNUMBER(O498),IF(I498&gt;0,(10^(VLOOKUP(D498,'Species Codes'!B:C,2,0)+VLOOKUP(D498,'Species Codes'!B:D,3,0)*LOG(E498)+VLOOKUP(D498,'Species Codes'!B:E,4,0)*LOG(I498))),0),"")</f>
        <v/>
      </c>
      <c r="AA498" s="104" t="str">
        <f>IFERROR((VLOOKUP(D498,'Species Codes'!B:G,6,0)*Z498)/2000,"")</f>
        <v/>
      </c>
      <c r="AB498" s="104" t="e">
        <f>IF(Z498&gt;0,((IF(OR(D498="DF",D498="RA")=TRUE,EXP(VLOOKUP(D498,'Species Codes'!B:I,8,0)+VLOOKUP(D498,'Species Codes'!B:J,9,0)*(LN((E498*2.54)))),IF(OR(D498="PY",D498="RC",D498="WH",D498="NF")=TRUE,VLOOKUP(D498,'Species Codes'!B:I,8,0)+VLOOKUP(D498,'Species Codes'!B:J,9,0)*((E498*2.54)^2)*(I498*0.3048),IF(OR(D498="MD",D498="BM",D498="GA")=TRUE,((VLOOKUP(D498,'Species Codes'!B:I,8,0)*(((((E498*2.54)+VLOOKUP(D498,'Species Codes'!B:J,9,0))/VLOOKUP(D498,'Species Codes'!B:K,10,0))^VLOOKUP(D498,'Species Codes'!B:L,11,0))*((I498*0.3048)^VLOOKUP(D498,'Species Codes'!B:M,12,0))))-(VLOOKUP(D498,'Species Codes'!B:I,8,0)*((((E498*2.54)^VLOOKUP(D498,'Species Codes'!B:L,11,0))*((I498*0.3048)^VLOOKUP(D498,'Species Codes'!B:M,12,0))))))*35.3*VLOOKUP(D498,'Species Codes'!B:G,6,0)/2.2046,VLOOKUP(D498,'Species Codes'!B:I,8,0)+VLOOKUP(D498,'Species Codes'!B:J,9,0)*(((E498*2.54)/100)^2)*(I498*0.3048)))))*0.0011023),0)</f>
        <v>#N/A</v>
      </c>
      <c r="AC498" s="104" t="e">
        <f>IF(Z498&gt;0,((IF(OR(D498="RA",D498="OA",D498="OT",D498="UN",D498="PC"),EXP(VLOOKUP(D498,'Species Codes'!B:O,14,0)+VLOOKUP(D498,'Species Codes'!B:P,15,0)*LN((E498*2.54)))-EXP(VLOOKUP(D498,'Species Codes'!B:O,14,0)+VLOOKUP(D498,'Species Codes'!B:P,15,0)*LN((E498*2.54)))*(1/(VLOOKUP(D498,'Species Codes'!B:Q,16,0)+VLOOKUP(D498,'Species Codes'!B:R,17,0)*((E498*2.54)^VLOOKUP(D498,'Species Codes'!B:S,18,0)))),IF(OR(D498="BM",D498="MD",D498="OA"),EXP(VLOOKUP(D498,'Species Codes'!B:O,14,0)+VLOOKUP(D498,'Species Codes'!B:P,15,0)*LN((E498*2.54)))*(1-(1/(VLOOKUP(D498,'Species Codes'!B:Q,16,0)+VLOOKUP(D498,'Species Codes'!B:R,17,0)*((E498*2.54)^VLOOKUP(D498,'Species Codes'!B:S,18,0)))))/1000,IF(D498="DF",EXP(VLOOKUP(D498,'Species Codes'!B:O,14,0)+VLOOKUP(D498,'Species Codes'!B:P,15,0)*LN((E498*2.54))),VLOOKUP(D498,'Species Codes'!B:O,14,0)+VLOOKUP(D498,'Species Codes'!B:P,15,0)*(((E498*2.54)/100)^2)*(I498*0.3048)))))*0.0011023),0)</f>
        <v>#N/A</v>
      </c>
      <c r="AD498" s="104" t="e">
        <f t="shared" si="247"/>
        <v>#N/A</v>
      </c>
      <c r="AE498" s="104" t="e">
        <f t="shared" si="248"/>
        <v>#N/A</v>
      </c>
      <c r="AF498" s="104" t="e">
        <f>IF(AND(VLOOKUP($D498,Merchantability!$B:$C,2,0)="Yes",$E498&gt;=VLOOKUP($D498,Merchantability!$B:$D,3,0),$E498&lt;=VLOOKUP($D498,Merchantability!$B:$E,4,0)),AA498,0)</f>
        <v>#N/A</v>
      </c>
      <c r="AG498" s="104" t="e">
        <f>IF(AND(VLOOKUP($D498,Merchantability!$B:$C,2,0)="Yes",$E498&gt;=VLOOKUP($D498,Merchantability!$B:$D,3,0),$E498&lt;=VLOOKUP($D498,Merchantability!$B:$E,4,0)),AB498,0)</f>
        <v>#N/A</v>
      </c>
      <c r="AH498" s="104" t="e">
        <f>IF(AND(VLOOKUP($D498,Merchantability!$B:$C,2,0)="Yes",$E498&gt;=VLOOKUP($D498,Merchantability!$B:$D,3,0),$E498&lt;=VLOOKUP($D498,Merchantability!$B:$E,4,0)),AC498,0)</f>
        <v>#N/A</v>
      </c>
      <c r="AI498" s="104" t="e">
        <f t="shared" si="249"/>
        <v>#N/A</v>
      </c>
      <c r="AJ498" s="104" t="e">
        <f t="shared" si="250"/>
        <v>#VALUE!</v>
      </c>
      <c r="AK498" s="104" t="e">
        <f t="shared" si="251"/>
        <v>#N/A</v>
      </c>
      <c r="AL498" s="104" t="e">
        <f t="shared" si="252"/>
        <v>#N/A</v>
      </c>
      <c r="AM498" s="104" t="e">
        <f t="shared" si="253"/>
        <v>#N/A</v>
      </c>
      <c r="AN498" s="104" t="e">
        <f t="shared" si="237"/>
        <v>#N/A</v>
      </c>
      <c r="AO498" s="104" t="e">
        <f t="shared" si="238"/>
        <v>#N/A</v>
      </c>
      <c r="AP498" s="104" t="e">
        <f t="shared" si="239"/>
        <v>#N/A</v>
      </c>
      <c r="AQ498" s="104" t="e">
        <f t="shared" si="240"/>
        <v>#N/A</v>
      </c>
      <c r="AR498" s="105" t="str">
        <f t="shared" si="232"/>
        <v/>
      </c>
      <c r="AS498" s="105" t="str">
        <f t="shared" si="233"/>
        <v/>
      </c>
      <c r="AT498" s="108" t="str">
        <f t="shared" si="234"/>
        <v/>
      </c>
      <c r="AU498" s="108" t="str">
        <f t="shared" si="235"/>
        <v/>
      </c>
      <c r="AV498" s="107" t="str">
        <f>IF(ISNUMBER(O498),IF(VLOOKUP($A498,Stand!C:J,8,FALSE)="Short",AT498,AU498),"")</f>
        <v/>
      </c>
      <c r="AW498" s="109" t="str">
        <f t="shared" si="241"/>
        <v/>
      </c>
      <c r="AX498" s="109" t="str">
        <f t="shared" si="242"/>
        <v/>
      </c>
      <c r="AY498" s="112" t="str">
        <f>IF(ISNUMBER(O498),IF(AND(VLOOKUP($D498,Merchantability!$B:$C,2,0)="Yes",$E498&gt;=VLOOKUP($D498,Merchantability!$B:$D,3,0),$E498&lt;=VLOOKUP($D498,Merchantability!$B:$E,4,0)),(AV498*O498)*(1-$H498/100),""),"")</f>
        <v/>
      </c>
      <c r="AZ498" s="116"/>
      <c r="BA498" s="116"/>
      <c r="BB498" s="116"/>
      <c r="BE498" s="62"/>
      <c r="BF498" s="63"/>
    </row>
    <row r="499" spans="1:58" ht="12.75" customHeight="1" x14ac:dyDescent="0.25">
      <c r="A499" s="313"/>
      <c r="B499" s="328"/>
      <c r="C499" s="329"/>
      <c r="D499" s="328"/>
      <c r="E499" s="330"/>
      <c r="F499" s="328"/>
      <c r="G499" s="329"/>
      <c r="H499" s="329"/>
      <c r="I499" s="328"/>
      <c r="J499" s="383"/>
      <c r="K499" s="329"/>
      <c r="L499" s="329"/>
      <c r="M499" s="78"/>
      <c r="N499" s="103" t="str">
        <f>IF(A499="","",VLOOKUP(A499,Stand!C:K,9,0))</f>
        <v/>
      </c>
      <c r="O499" s="104" t="str">
        <f t="shared" si="227"/>
        <v/>
      </c>
      <c r="P499" s="105" t="str">
        <f t="shared" si="228"/>
        <v/>
      </c>
      <c r="Q499" s="105" t="str">
        <f t="shared" si="243"/>
        <v/>
      </c>
      <c r="R499" s="103" t="str">
        <f t="shared" si="229"/>
        <v/>
      </c>
      <c r="S499" s="103" t="str">
        <f t="shared" si="230"/>
        <v/>
      </c>
      <c r="T499" s="106" t="str">
        <f t="shared" si="244"/>
        <v/>
      </c>
      <c r="U499" s="106" t="str">
        <f t="shared" si="245"/>
        <v/>
      </c>
      <c r="V499" s="106" t="str">
        <f t="shared" si="246"/>
        <v/>
      </c>
      <c r="W499" s="105" t="str">
        <f t="shared" si="231"/>
        <v/>
      </c>
      <c r="X499" s="104" t="str">
        <f t="shared" si="236"/>
        <v/>
      </c>
      <c r="Y499" s="104" t="str">
        <f t="array" ref="Y499">IFERROR(IF(ISNUMBER(O499),IF(COUNT(IF(A499=$A$2:$A$2427,IF(D499=$D$2:$D$2427,IF($X$2:$X$2427&gt;0,1))))&gt;0,SUM(IF(A499=$A$2:$A$2427,IF(D499=$D$2:$D$2427,$X$2:$X$2427)))/COUNT(IF(A499=$A$2:$A$2427,IF(D499=$D$2:$D$2427,IF(ISNUMBER($X$2:$X$2427),1)))),0),""),0)</f>
        <v/>
      </c>
      <c r="Z499" s="104" t="str">
        <f>IF(ISNUMBER(O499),IF(I499&gt;0,(10^(VLOOKUP(D499,'Species Codes'!B:C,2,0)+VLOOKUP(D499,'Species Codes'!B:D,3,0)*LOG(E499)+VLOOKUP(D499,'Species Codes'!B:E,4,0)*LOG(I499))),0),"")</f>
        <v/>
      </c>
      <c r="AA499" s="104" t="str">
        <f>IFERROR((VLOOKUP(D499,'Species Codes'!B:G,6,0)*Z499)/2000,"")</f>
        <v/>
      </c>
      <c r="AB499" s="104" t="e">
        <f>IF(Z499&gt;0,((IF(OR(D499="DF",D499="RA")=TRUE,EXP(VLOOKUP(D499,'Species Codes'!B:I,8,0)+VLOOKUP(D499,'Species Codes'!B:J,9,0)*(LN((E499*2.54)))),IF(OR(D499="PY",D499="RC",D499="WH",D499="NF")=TRUE,VLOOKUP(D499,'Species Codes'!B:I,8,0)+VLOOKUP(D499,'Species Codes'!B:J,9,0)*((E499*2.54)^2)*(I499*0.3048),IF(OR(D499="MD",D499="BM",D499="GA")=TRUE,((VLOOKUP(D499,'Species Codes'!B:I,8,0)*(((((E499*2.54)+VLOOKUP(D499,'Species Codes'!B:J,9,0))/VLOOKUP(D499,'Species Codes'!B:K,10,0))^VLOOKUP(D499,'Species Codes'!B:L,11,0))*((I499*0.3048)^VLOOKUP(D499,'Species Codes'!B:M,12,0))))-(VLOOKUP(D499,'Species Codes'!B:I,8,0)*((((E499*2.54)^VLOOKUP(D499,'Species Codes'!B:L,11,0))*((I499*0.3048)^VLOOKUP(D499,'Species Codes'!B:M,12,0))))))*35.3*VLOOKUP(D499,'Species Codes'!B:G,6,0)/2.2046,VLOOKUP(D499,'Species Codes'!B:I,8,0)+VLOOKUP(D499,'Species Codes'!B:J,9,0)*(((E499*2.54)/100)^2)*(I499*0.3048)))))*0.0011023),0)</f>
        <v>#N/A</v>
      </c>
      <c r="AC499" s="104" t="e">
        <f>IF(Z499&gt;0,((IF(OR(D499="RA",D499="OA",D499="OT",D499="UN",D499="PC"),EXP(VLOOKUP(D499,'Species Codes'!B:O,14,0)+VLOOKUP(D499,'Species Codes'!B:P,15,0)*LN((E499*2.54)))-EXP(VLOOKUP(D499,'Species Codes'!B:O,14,0)+VLOOKUP(D499,'Species Codes'!B:P,15,0)*LN((E499*2.54)))*(1/(VLOOKUP(D499,'Species Codes'!B:Q,16,0)+VLOOKUP(D499,'Species Codes'!B:R,17,0)*((E499*2.54)^VLOOKUP(D499,'Species Codes'!B:S,18,0)))),IF(OR(D499="BM",D499="MD",D499="OA"),EXP(VLOOKUP(D499,'Species Codes'!B:O,14,0)+VLOOKUP(D499,'Species Codes'!B:P,15,0)*LN((E499*2.54)))*(1-(1/(VLOOKUP(D499,'Species Codes'!B:Q,16,0)+VLOOKUP(D499,'Species Codes'!B:R,17,0)*((E499*2.54)^VLOOKUP(D499,'Species Codes'!B:S,18,0)))))/1000,IF(D499="DF",EXP(VLOOKUP(D499,'Species Codes'!B:O,14,0)+VLOOKUP(D499,'Species Codes'!B:P,15,0)*LN((E499*2.54))),VLOOKUP(D499,'Species Codes'!B:O,14,0)+VLOOKUP(D499,'Species Codes'!B:P,15,0)*(((E499*2.54)/100)^2)*(I499*0.3048)))))*0.0011023),0)</f>
        <v>#N/A</v>
      </c>
      <c r="AD499" s="104" t="e">
        <f t="shared" si="247"/>
        <v>#N/A</v>
      </c>
      <c r="AE499" s="104" t="e">
        <f t="shared" si="248"/>
        <v>#N/A</v>
      </c>
      <c r="AF499" s="104" t="e">
        <f>IF(AND(VLOOKUP($D499,Merchantability!$B:$C,2,0)="Yes",$E499&gt;=VLOOKUP($D499,Merchantability!$B:$D,3,0),$E499&lt;=VLOOKUP($D499,Merchantability!$B:$E,4,0)),AA499,0)</f>
        <v>#N/A</v>
      </c>
      <c r="AG499" s="104" t="e">
        <f>IF(AND(VLOOKUP($D499,Merchantability!$B:$C,2,0)="Yes",$E499&gt;=VLOOKUP($D499,Merchantability!$B:$D,3,0),$E499&lt;=VLOOKUP($D499,Merchantability!$B:$E,4,0)),AB499,0)</f>
        <v>#N/A</v>
      </c>
      <c r="AH499" s="104" t="e">
        <f>IF(AND(VLOOKUP($D499,Merchantability!$B:$C,2,0)="Yes",$E499&gt;=VLOOKUP($D499,Merchantability!$B:$D,3,0),$E499&lt;=VLOOKUP($D499,Merchantability!$B:$E,4,0)),AC499,0)</f>
        <v>#N/A</v>
      </c>
      <c r="AI499" s="104" t="e">
        <f t="shared" si="249"/>
        <v>#N/A</v>
      </c>
      <c r="AJ499" s="104" t="e">
        <f t="shared" si="250"/>
        <v>#VALUE!</v>
      </c>
      <c r="AK499" s="104" t="e">
        <f t="shared" si="251"/>
        <v>#N/A</v>
      </c>
      <c r="AL499" s="104" t="e">
        <f t="shared" si="252"/>
        <v>#N/A</v>
      </c>
      <c r="AM499" s="104" t="e">
        <f t="shared" si="253"/>
        <v>#N/A</v>
      </c>
      <c r="AN499" s="104" t="e">
        <f t="shared" si="237"/>
        <v>#N/A</v>
      </c>
      <c r="AO499" s="104" t="e">
        <f t="shared" si="238"/>
        <v>#N/A</v>
      </c>
      <c r="AP499" s="104" t="e">
        <f t="shared" si="239"/>
        <v>#N/A</v>
      </c>
      <c r="AQ499" s="104" t="e">
        <f t="shared" si="240"/>
        <v>#N/A</v>
      </c>
      <c r="AR499" s="105" t="str">
        <f t="shared" si="232"/>
        <v/>
      </c>
      <c r="AS499" s="105" t="str">
        <f t="shared" si="233"/>
        <v/>
      </c>
      <c r="AT499" s="108" t="str">
        <f t="shared" si="234"/>
        <v/>
      </c>
      <c r="AU499" s="108" t="str">
        <f t="shared" si="235"/>
        <v/>
      </c>
      <c r="AV499" s="107" t="str">
        <f>IF(ISNUMBER(O499),IF(VLOOKUP($A499,Stand!C:J,8,FALSE)="Short",AT499,AU499),"")</f>
        <v/>
      </c>
      <c r="AW499" s="109" t="str">
        <f t="shared" si="241"/>
        <v/>
      </c>
      <c r="AX499" s="109" t="str">
        <f t="shared" si="242"/>
        <v/>
      </c>
      <c r="AY499" s="112" t="str">
        <f>IF(ISNUMBER(O499),IF(AND(VLOOKUP($D499,Merchantability!$B:$C,2,0)="Yes",$E499&gt;=VLOOKUP($D499,Merchantability!$B:$D,3,0),$E499&lt;=VLOOKUP($D499,Merchantability!$B:$E,4,0)),(AV499*O499)*(1-$H499/100),""),"")</f>
        <v/>
      </c>
      <c r="AZ499" s="116"/>
      <c r="BA499" s="116"/>
      <c r="BB499" s="116"/>
      <c r="BE499" s="62"/>
      <c r="BF499" s="63"/>
    </row>
    <row r="500" spans="1:58" ht="12.75" customHeight="1" x14ac:dyDescent="0.25">
      <c r="A500" s="313"/>
      <c r="B500" s="328"/>
      <c r="C500" s="329"/>
      <c r="D500" s="328"/>
      <c r="E500" s="330"/>
      <c r="F500" s="328"/>
      <c r="G500" s="329"/>
      <c r="H500" s="329"/>
      <c r="I500" s="328"/>
      <c r="J500" s="383"/>
      <c r="K500" s="329"/>
      <c r="L500" s="329"/>
      <c r="M500" s="78"/>
      <c r="N500" s="103" t="str">
        <f>IF(A500="","",VLOOKUP(A500,Stand!C:K,9,0))</f>
        <v/>
      </c>
      <c r="O500" s="104" t="str">
        <f t="shared" si="227"/>
        <v/>
      </c>
      <c r="P500" s="105" t="str">
        <f t="shared" si="228"/>
        <v/>
      </c>
      <c r="Q500" s="105" t="str">
        <f t="shared" si="243"/>
        <v/>
      </c>
      <c r="R500" s="103" t="str">
        <f t="shared" si="229"/>
        <v/>
      </c>
      <c r="S500" s="103" t="str">
        <f t="shared" si="230"/>
        <v/>
      </c>
      <c r="T500" s="106" t="str">
        <f t="shared" si="244"/>
        <v/>
      </c>
      <c r="U500" s="106" t="str">
        <f t="shared" si="245"/>
        <v/>
      </c>
      <c r="V500" s="106" t="str">
        <f t="shared" si="246"/>
        <v/>
      </c>
      <c r="W500" s="105" t="str">
        <f t="shared" si="231"/>
        <v/>
      </c>
      <c r="X500" s="104" t="str">
        <f t="shared" si="236"/>
        <v/>
      </c>
      <c r="Y500" s="104" t="str">
        <f t="array" ref="Y500">IFERROR(IF(ISNUMBER(O500),IF(COUNT(IF(A500=$A$2:$A$2427,IF(D500=$D$2:$D$2427,IF($X$2:$X$2427&gt;0,1))))&gt;0,SUM(IF(A500=$A$2:$A$2427,IF(D500=$D$2:$D$2427,$X$2:$X$2427)))/COUNT(IF(A500=$A$2:$A$2427,IF(D500=$D$2:$D$2427,IF(ISNUMBER($X$2:$X$2427),1)))),0),""),0)</f>
        <v/>
      </c>
      <c r="Z500" s="104" t="str">
        <f>IF(ISNUMBER(O500),IF(I500&gt;0,(10^(VLOOKUP(D500,'Species Codes'!B:C,2,0)+VLOOKUP(D500,'Species Codes'!B:D,3,0)*LOG(E500)+VLOOKUP(D500,'Species Codes'!B:E,4,0)*LOG(I500))),0),"")</f>
        <v/>
      </c>
      <c r="AA500" s="104" t="str">
        <f>IFERROR((VLOOKUP(D500,'Species Codes'!B:G,6,0)*Z500)/2000,"")</f>
        <v/>
      </c>
      <c r="AB500" s="104" t="e">
        <f>IF(Z500&gt;0,((IF(OR(D500="DF",D500="RA")=TRUE,EXP(VLOOKUP(D500,'Species Codes'!B:I,8,0)+VLOOKUP(D500,'Species Codes'!B:J,9,0)*(LN((E500*2.54)))),IF(OR(D500="PY",D500="RC",D500="WH",D500="NF")=TRUE,VLOOKUP(D500,'Species Codes'!B:I,8,0)+VLOOKUP(D500,'Species Codes'!B:J,9,0)*((E500*2.54)^2)*(I500*0.3048),IF(OR(D500="MD",D500="BM",D500="GA")=TRUE,((VLOOKUP(D500,'Species Codes'!B:I,8,0)*(((((E500*2.54)+VLOOKUP(D500,'Species Codes'!B:J,9,0))/VLOOKUP(D500,'Species Codes'!B:K,10,0))^VLOOKUP(D500,'Species Codes'!B:L,11,0))*((I500*0.3048)^VLOOKUP(D500,'Species Codes'!B:M,12,0))))-(VLOOKUP(D500,'Species Codes'!B:I,8,0)*((((E500*2.54)^VLOOKUP(D500,'Species Codes'!B:L,11,0))*((I500*0.3048)^VLOOKUP(D500,'Species Codes'!B:M,12,0))))))*35.3*VLOOKUP(D500,'Species Codes'!B:G,6,0)/2.2046,VLOOKUP(D500,'Species Codes'!B:I,8,0)+VLOOKUP(D500,'Species Codes'!B:J,9,0)*(((E500*2.54)/100)^2)*(I500*0.3048)))))*0.0011023),0)</f>
        <v>#N/A</v>
      </c>
      <c r="AC500" s="104" t="e">
        <f>IF(Z500&gt;0,((IF(OR(D500="RA",D500="OA",D500="OT",D500="UN",D500="PC"),EXP(VLOOKUP(D500,'Species Codes'!B:O,14,0)+VLOOKUP(D500,'Species Codes'!B:P,15,0)*LN((E500*2.54)))-EXP(VLOOKUP(D500,'Species Codes'!B:O,14,0)+VLOOKUP(D500,'Species Codes'!B:P,15,0)*LN((E500*2.54)))*(1/(VLOOKUP(D500,'Species Codes'!B:Q,16,0)+VLOOKUP(D500,'Species Codes'!B:R,17,0)*((E500*2.54)^VLOOKUP(D500,'Species Codes'!B:S,18,0)))),IF(OR(D500="BM",D500="MD",D500="OA"),EXP(VLOOKUP(D500,'Species Codes'!B:O,14,0)+VLOOKUP(D500,'Species Codes'!B:P,15,0)*LN((E500*2.54)))*(1-(1/(VLOOKUP(D500,'Species Codes'!B:Q,16,0)+VLOOKUP(D500,'Species Codes'!B:R,17,0)*((E500*2.54)^VLOOKUP(D500,'Species Codes'!B:S,18,0)))))/1000,IF(D500="DF",EXP(VLOOKUP(D500,'Species Codes'!B:O,14,0)+VLOOKUP(D500,'Species Codes'!B:P,15,0)*LN((E500*2.54))),VLOOKUP(D500,'Species Codes'!B:O,14,0)+VLOOKUP(D500,'Species Codes'!B:P,15,0)*(((E500*2.54)/100)^2)*(I500*0.3048)))))*0.0011023),0)</f>
        <v>#N/A</v>
      </c>
      <c r="AD500" s="104" t="e">
        <f t="shared" si="247"/>
        <v>#N/A</v>
      </c>
      <c r="AE500" s="104" t="e">
        <f t="shared" si="248"/>
        <v>#N/A</v>
      </c>
      <c r="AF500" s="104" t="e">
        <f>IF(AND(VLOOKUP($D500,Merchantability!$B:$C,2,0)="Yes",$E500&gt;=VLOOKUP($D500,Merchantability!$B:$D,3,0),$E500&lt;=VLOOKUP($D500,Merchantability!$B:$E,4,0)),AA500,0)</f>
        <v>#N/A</v>
      </c>
      <c r="AG500" s="104" t="e">
        <f>IF(AND(VLOOKUP($D500,Merchantability!$B:$C,2,0)="Yes",$E500&gt;=VLOOKUP($D500,Merchantability!$B:$D,3,0),$E500&lt;=VLOOKUP($D500,Merchantability!$B:$E,4,0)),AB500,0)</f>
        <v>#N/A</v>
      </c>
      <c r="AH500" s="104" t="e">
        <f>IF(AND(VLOOKUP($D500,Merchantability!$B:$C,2,0)="Yes",$E500&gt;=VLOOKUP($D500,Merchantability!$B:$D,3,0),$E500&lt;=VLOOKUP($D500,Merchantability!$B:$E,4,0)),AC500,0)</f>
        <v>#N/A</v>
      </c>
      <c r="AI500" s="104" t="e">
        <f t="shared" si="249"/>
        <v>#N/A</v>
      </c>
      <c r="AJ500" s="104" t="e">
        <f t="shared" si="250"/>
        <v>#VALUE!</v>
      </c>
      <c r="AK500" s="104" t="e">
        <f t="shared" si="251"/>
        <v>#N/A</v>
      </c>
      <c r="AL500" s="104" t="e">
        <f t="shared" si="252"/>
        <v>#N/A</v>
      </c>
      <c r="AM500" s="104" t="e">
        <f t="shared" si="253"/>
        <v>#N/A</v>
      </c>
      <c r="AN500" s="104" t="e">
        <f t="shared" si="237"/>
        <v>#N/A</v>
      </c>
      <c r="AO500" s="104" t="e">
        <f t="shared" si="238"/>
        <v>#N/A</v>
      </c>
      <c r="AP500" s="104" t="e">
        <f t="shared" si="239"/>
        <v>#N/A</v>
      </c>
      <c r="AQ500" s="104" t="e">
        <f t="shared" si="240"/>
        <v>#N/A</v>
      </c>
      <c r="AR500" s="105" t="str">
        <f t="shared" si="232"/>
        <v/>
      </c>
      <c r="AS500" s="105" t="str">
        <f t="shared" si="233"/>
        <v/>
      </c>
      <c r="AT500" s="108" t="str">
        <f t="shared" si="234"/>
        <v/>
      </c>
      <c r="AU500" s="108" t="str">
        <f t="shared" si="235"/>
        <v/>
      </c>
      <c r="AV500" s="107" t="str">
        <f>IF(ISNUMBER(O500),IF(VLOOKUP($A500,Stand!C:J,8,FALSE)="Short",AT500,AU500),"")</f>
        <v/>
      </c>
      <c r="AW500" s="109" t="str">
        <f t="shared" si="241"/>
        <v/>
      </c>
      <c r="AX500" s="109" t="str">
        <f t="shared" si="242"/>
        <v/>
      </c>
      <c r="AY500" s="112" t="str">
        <f>IF(ISNUMBER(O500),IF(AND(VLOOKUP($D500,Merchantability!$B:$C,2,0)="Yes",$E500&gt;=VLOOKUP($D500,Merchantability!$B:$D,3,0),$E500&lt;=VLOOKUP($D500,Merchantability!$B:$E,4,0)),(AV500*O500)*(1-$H500/100),""),"")</f>
        <v/>
      </c>
      <c r="AZ500" s="116"/>
      <c r="BA500" s="116"/>
      <c r="BB500" s="116"/>
      <c r="BE500" s="62"/>
      <c r="BF500" s="63"/>
    </row>
    <row r="501" spans="1:58" ht="12.75" customHeight="1" x14ac:dyDescent="0.25">
      <c r="A501" s="313"/>
      <c r="B501" s="328"/>
      <c r="C501" s="329"/>
      <c r="D501" s="328"/>
      <c r="E501" s="330"/>
      <c r="F501" s="328"/>
      <c r="G501" s="329"/>
      <c r="H501" s="329"/>
      <c r="I501" s="328"/>
      <c r="J501" s="383"/>
      <c r="K501" s="329"/>
      <c r="L501" s="329"/>
      <c r="M501" s="78"/>
      <c r="N501" s="103" t="str">
        <f>IF(A501="","",VLOOKUP(A501,Stand!C:K,9,0))</f>
        <v/>
      </c>
      <c r="O501" s="104" t="str">
        <f t="shared" si="227"/>
        <v/>
      </c>
      <c r="P501" s="105" t="str">
        <f t="shared" si="228"/>
        <v/>
      </c>
      <c r="Q501" s="105" t="str">
        <f t="shared" si="243"/>
        <v/>
      </c>
      <c r="R501" s="103" t="str">
        <f t="shared" si="229"/>
        <v/>
      </c>
      <c r="S501" s="103" t="str">
        <f t="shared" si="230"/>
        <v/>
      </c>
      <c r="T501" s="106" t="str">
        <f t="shared" si="244"/>
        <v/>
      </c>
      <c r="U501" s="106" t="str">
        <f t="shared" si="245"/>
        <v/>
      </c>
      <c r="V501" s="106" t="str">
        <f t="shared" si="246"/>
        <v/>
      </c>
      <c r="W501" s="105" t="str">
        <f t="shared" si="231"/>
        <v/>
      </c>
      <c r="X501" s="104" t="str">
        <f t="shared" si="236"/>
        <v/>
      </c>
      <c r="Y501" s="104" t="str">
        <f t="array" ref="Y501">IFERROR(IF(ISNUMBER(O501),IF(COUNT(IF(A501=$A$2:$A$2427,IF(D501=$D$2:$D$2427,IF($X$2:$X$2427&gt;0,1))))&gt;0,SUM(IF(A501=$A$2:$A$2427,IF(D501=$D$2:$D$2427,$X$2:$X$2427)))/COUNT(IF(A501=$A$2:$A$2427,IF(D501=$D$2:$D$2427,IF(ISNUMBER($X$2:$X$2427),1)))),0),""),0)</f>
        <v/>
      </c>
      <c r="Z501" s="104" t="str">
        <f>IF(ISNUMBER(O501),IF(I501&gt;0,(10^(VLOOKUP(D501,'Species Codes'!B:C,2,0)+VLOOKUP(D501,'Species Codes'!B:D,3,0)*LOG(E501)+VLOOKUP(D501,'Species Codes'!B:E,4,0)*LOG(I501))),0),"")</f>
        <v/>
      </c>
      <c r="AA501" s="104" t="str">
        <f>IFERROR((VLOOKUP(D501,'Species Codes'!B:G,6,0)*Z501)/2000,"")</f>
        <v/>
      </c>
      <c r="AB501" s="104" t="e">
        <f>IF(Z501&gt;0,((IF(OR(D501="DF",D501="RA")=TRUE,EXP(VLOOKUP(D501,'Species Codes'!B:I,8,0)+VLOOKUP(D501,'Species Codes'!B:J,9,0)*(LN((E501*2.54)))),IF(OR(D501="PY",D501="RC",D501="WH",D501="NF")=TRUE,VLOOKUP(D501,'Species Codes'!B:I,8,0)+VLOOKUP(D501,'Species Codes'!B:J,9,0)*((E501*2.54)^2)*(I501*0.3048),IF(OR(D501="MD",D501="BM",D501="GA")=TRUE,((VLOOKUP(D501,'Species Codes'!B:I,8,0)*(((((E501*2.54)+VLOOKUP(D501,'Species Codes'!B:J,9,0))/VLOOKUP(D501,'Species Codes'!B:K,10,0))^VLOOKUP(D501,'Species Codes'!B:L,11,0))*((I501*0.3048)^VLOOKUP(D501,'Species Codes'!B:M,12,0))))-(VLOOKUP(D501,'Species Codes'!B:I,8,0)*((((E501*2.54)^VLOOKUP(D501,'Species Codes'!B:L,11,0))*((I501*0.3048)^VLOOKUP(D501,'Species Codes'!B:M,12,0))))))*35.3*VLOOKUP(D501,'Species Codes'!B:G,6,0)/2.2046,VLOOKUP(D501,'Species Codes'!B:I,8,0)+VLOOKUP(D501,'Species Codes'!B:J,9,0)*(((E501*2.54)/100)^2)*(I501*0.3048)))))*0.0011023),0)</f>
        <v>#N/A</v>
      </c>
      <c r="AC501" s="104" t="e">
        <f>IF(Z501&gt;0,((IF(OR(D501="RA",D501="OA",D501="OT",D501="UN",D501="PC"),EXP(VLOOKUP(D501,'Species Codes'!B:O,14,0)+VLOOKUP(D501,'Species Codes'!B:P,15,0)*LN((E501*2.54)))-EXP(VLOOKUP(D501,'Species Codes'!B:O,14,0)+VLOOKUP(D501,'Species Codes'!B:P,15,0)*LN((E501*2.54)))*(1/(VLOOKUP(D501,'Species Codes'!B:Q,16,0)+VLOOKUP(D501,'Species Codes'!B:R,17,0)*((E501*2.54)^VLOOKUP(D501,'Species Codes'!B:S,18,0)))),IF(OR(D501="BM",D501="MD",D501="OA"),EXP(VLOOKUP(D501,'Species Codes'!B:O,14,0)+VLOOKUP(D501,'Species Codes'!B:P,15,0)*LN((E501*2.54)))*(1-(1/(VLOOKUP(D501,'Species Codes'!B:Q,16,0)+VLOOKUP(D501,'Species Codes'!B:R,17,0)*((E501*2.54)^VLOOKUP(D501,'Species Codes'!B:S,18,0)))))/1000,IF(D501="DF",EXP(VLOOKUP(D501,'Species Codes'!B:O,14,0)+VLOOKUP(D501,'Species Codes'!B:P,15,0)*LN((E501*2.54))),VLOOKUP(D501,'Species Codes'!B:O,14,0)+VLOOKUP(D501,'Species Codes'!B:P,15,0)*(((E501*2.54)/100)^2)*(I501*0.3048)))))*0.0011023),0)</f>
        <v>#N/A</v>
      </c>
      <c r="AD501" s="104" t="e">
        <f t="shared" si="247"/>
        <v>#N/A</v>
      </c>
      <c r="AE501" s="104" t="e">
        <f t="shared" si="248"/>
        <v>#N/A</v>
      </c>
      <c r="AF501" s="104" t="e">
        <f>IF(AND(VLOOKUP($D501,Merchantability!$B:$C,2,0)="Yes",$E501&gt;=VLOOKUP($D501,Merchantability!$B:$D,3,0),$E501&lt;=VLOOKUP($D501,Merchantability!$B:$E,4,0)),AA501,0)</f>
        <v>#N/A</v>
      </c>
      <c r="AG501" s="104" t="e">
        <f>IF(AND(VLOOKUP($D501,Merchantability!$B:$C,2,0)="Yes",$E501&gt;=VLOOKUP($D501,Merchantability!$B:$D,3,0),$E501&lt;=VLOOKUP($D501,Merchantability!$B:$E,4,0)),AB501,0)</f>
        <v>#N/A</v>
      </c>
      <c r="AH501" s="104" t="e">
        <f>IF(AND(VLOOKUP($D501,Merchantability!$B:$C,2,0)="Yes",$E501&gt;=VLOOKUP($D501,Merchantability!$B:$D,3,0),$E501&lt;=VLOOKUP($D501,Merchantability!$B:$E,4,0)),AC501,0)</f>
        <v>#N/A</v>
      </c>
      <c r="AI501" s="104" t="e">
        <f t="shared" si="249"/>
        <v>#N/A</v>
      </c>
      <c r="AJ501" s="104" t="e">
        <f t="shared" si="250"/>
        <v>#VALUE!</v>
      </c>
      <c r="AK501" s="104" t="e">
        <f t="shared" si="251"/>
        <v>#N/A</v>
      </c>
      <c r="AL501" s="104" t="e">
        <f t="shared" si="252"/>
        <v>#N/A</v>
      </c>
      <c r="AM501" s="104" t="e">
        <f t="shared" si="253"/>
        <v>#N/A</v>
      </c>
      <c r="AN501" s="104" t="e">
        <f t="shared" si="237"/>
        <v>#N/A</v>
      </c>
      <c r="AO501" s="104" t="e">
        <f t="shared" si="238"/>
        <v>#N/A</v>
      </c>
      <c r="AP501" s="104" t="e">
        <f t="shared" si="239"/>
        <v>#N/A</v>
      </c>
      <c r="AQ501" s="104" t="e">
        <f t="shared" si="240"/>
        <v>#N/A</v>
      </c>
      <c r="AR501" s="105" t="str">
        <f t="shared" si="232"/>
        <v/>
      </c>
      <c r="AS501" s="105" t="str">
        <f t="shared" si="233"/>
        <v/>
      </c>
      <c r="AT501" s="108" t="str">
        <f t="shared" si="234"/>
        <v/>
      </c>
      <c r="AU501" s="108" t="str">
        <f t="shared" si="235"/>
        <v/>
      </c>
      <c r="AV501" s="107" t="str">
        <f>IF(ISNUMBER(O501),IF(VLOOKUP($A501,Stand!C:J,8,FALSE)="Short",AT501,AU501),"")</f>
        <v/>
      </c>
      <c r="AW501" s="109" t="str">
        <f t="shared" si="241"/>
        <v/>
      </c>
      <c r="AX501" s="109" t="str">
        <f t="shared" si="242"/>
        <v/>
      </c>
      <c r="AY501" s="112" t="str">
        <f>IF(ISNUMBER(O501),IF(AND(VLOOKUP($D501,Merchantability!$B:$C,2,0)="Yes",$E501&gt;=VLOOKUP($D501,Merchantability!$B:$D,3,0),$E501&lt;=VLOOKUP($D501,Merchantability!$B:$E,4,0)),(AV501*O501)*(1-$H501/100),""),"")</f>
        <v/>
      </c>
      <c r="AZ501" s="116"/>
      <c r="BA501" s="116"/>
      <c r="BB501" s="116"/>
      <c r="BE501" s="62"/>
      <c r="BF501" s="63"/>
    </row>
    <row r="502" spans="1:58" ht="12.75" customHeight="1" x14ac:dyDescent="0.25">
      <c r="A502" s="313"/>
      <c r="B502" s="328"/>
      <c r="C502" s="329"/>
      <c r="D502" s="328"/>
      <c r="E502" s="330"/>
      <c r="F502" s="328"/>
      <c r="G502" s="329"/>
      <c r="H502" s="329"/>
      <c r="I502" s="328"/>
      <c r="J502" s="383"/>
      <c r="K502" s="329"/>
      <c r="L502" s="329"/>
      <c r="M502" s="78"/>
      <c r="N502" s="103" t="str">
        <f>IF(A502="","",VLOOKUP(A502,Stand!C:K,9,0))</f>
        <v/>
      </c>
      <c r="O502" s="104" t="str">
        <f t="shared" si="227"/>
        <v/>
      </c>
      <c r="P502" s="105" t="str">
        <f t="shared" si="228"/>
        <v/>
      </c>
      <c r="Q502" s="105" t="str">
        <f t="shared" si="243"/>
        <v/>
      </c>
      <c r="R502" s="103" t="str">
        <f t="shared" si="229"/>
        <v/>
      </c>
      <c r="S502" s="103" t="str">
        <f t="shared" si="230"/>
        <v/>
      </c>
      <c r="T502" s="106" t="str">
        <f t="shared" si="244"/>
        <v/>
      </c>
      <c r="U502" s="106" t="str">
        <f t="shared" si="245"/>
        <v/>
      </c>
      <c r="V502" s="106" t="str">
        <f t="shared" si="246"/>
        <v/>
      </c>
      <c r="W502" s="105" t="str">
        <f t="shared" si="231"/>
        <v/>
      </c>
      <c r="X502" s="104" t="str">
        <f t="shared" si="236"/>
        <v/>
      </c>
      <c r="Y502" s="104" t="str">
        <f t="array" ref="Y502">IFERROR(IF(ISNUMBER(O502),IF(COUNT(IF(A502=$A$2:$A$2427,IF(D502=$D$2:$D$2427,IF($X$2:$X$2427&gt;0,1))))&gt;0,SUM(IF(A502=$A$2:$A$2427,IF(D502=$D$2:$D$2427,$X$2:$X$2427)))/COUNT(IF(A502=$A$2:$A$2427,IF(D502=$D$2:$D$2427,IF(ISNUMBER($X$2:$X$2427),1)))),0),""),0)</f>
        <v/>
      </c>
      <c r="Z502" s="104" t="str">
        <f>IF(ISNUMBER(O502),IF(I502&gt;0,(10^(VLOOKUP(D502,'Species Codes'!B:C,2,0)+VLOOKUP(D502,'Species Codes'!B:D,3,0)*LOG(E502)+VLOOKUP(D502,'Species Codes'!B:E,4,0)*LOG(I502))),0),"")</f>
        <v/>
      </c>
      <c r="AA502" s="104" t="str">
        <f>IFERROR((VLOOKUP(D502,'Species Codes'!B:G,6,0)*Z502)/2000,"")</f>
        <v/>
      </c>
      <c r="AB502" s="104" t="e">
        <f>IF(Z502&gt;0,((IF(OR(D502="DF",D502="RA")=TRUE,EXP(VLOOKUP(D502,'Species Codes'!B:I,8,0)+VLOOKUP(D502,'Species Codes'!B:J,9,0)*(LN((E502*2.54)))),IF(OR(D502="PY",D502="RC",D502="WH",D502="NF")=TRUE,VLOOKUP(D502,'Species Codes'!B:I,8,0)+VLOOKUP(D502,'Species Codes'!B:J,9,0)*((E502*2.54)^2)*(I502*0.3048),IF(OR(D502="MD",D502="BM",D502="GA")=TRUE,((VLOOKUP(D502,'Species Codes'!B:I,8,0)*(((((E502*2.54)+VLOOKUP(D502,'Species Codes'!B:J,9,0))/VLOOKUP(D502,'Species Codes'!B:K,10,0))^VLOOKUP(D502,'Species Codes'!B:L,11,0))*((I502*0.3048)^VLOOKUP(D502,'Species Codes'!B:M,12,0))))-(VLOOKUP(D502,'Species Codes'!B:I,8,0)*((((E502*2.54)^VLOOKUP(D502,'Species Codes'!B:L,11,0))*((I502*0.3048)^VLOOKUP(D502,'Species Codes'!B:M,12,0))))))*35.3*VLOOKUP(D502,'Species Codes'!B:G,6,0)/2.2046,VLOOKUP(D502,'Species Codes'!B:I,8,0)+VLOOKUP(D502,'Species Codes'!B:J,9,0)*(((E502*2.54)/100)^2)*(I502*0.3048)))))*0.0011023),0)</f>
        <v>#N/A</v>
      </c>
      <c r="AC502" s="104" t="e">
        <f>IF(Z502&gt;0,((IF(OR(D502="RA",D502="OA",D502="OT",D502="UN",D502="PC"),EXP(VLOOKUP(D502,'Species Codes'!B:O,14,0)+VLOOKUP(D502,'Species Codes'!B:P,15,0)*LN((E502*2.54)))-EXP(VLOOKUP(D502,'Species Codes'!B:O,14,0)+VLOOKUP(D502,'Species Codes'!B:P,15,0)*LN((E502*2.54)))*(1/(VLOOKUP(D502,'Species Codes'!B:Q,16,0)+VLOOKUP(D502,'Species Codes'!B:R,17,0)*((E502*2.54)^VLOOKUP(D502,'Species Codes'!B:S,18,0)))),IF(OR(D502="BM",D502="MD",D502="OA"),EXP(VLOOKUP(D502,'Species Codes'!B:O,14,0)+VLOOKUP(D502,'Species Codes'!B:P,15,0)*LN((E502*2.54)))*(1-(1/(VLOOKUP(D502,'Species Codes'!B:Q,16,0)+VLOOKUP(D502,'Species Codes'!B:R,17,0)*((E502*2.54)^VLOOKUP(D502,'Species Codes'!B:S,18,0)))))/1000,IF(D502="DF",EXP(VLOOKUP(D502,'Species Codes'!B:O,14,0)+VLOOKUP(D502,'Species Codes'!B:P,15,0)*LN((E502*2.54))),VLOOKUP(D502,'Species Codes'!B:O,14,0)+VLOOKUP(D502,'Species Codes'!B:P,15,0)*(((E502*2.54)/100)^2)*(I502*0.3048)))))*0.0011023),0)</f>
        <v>#N/A</v>
      </c>
      <c r="AD502" s="104" t="e">
        <f t="shared" si="247"/>
        <v>#N/A</v>
      </c>
      <c r="AE502" s="104" t="e">
        <f t="shared" si="248"/>
        <v>#N/A</v>
      </c>
      <c r="AF502" s="104" t="e">
        <f>IF(AND(VLOOKUP($D502,Merchantability!$B:$C,2,0)="Yes",$E502&gt;=VLOOKUP($D502,Merchantability!$B:$D,3,0),$E502&lt;=VLOOKUP($D502,Merchantability!$B:$E,4,0)),AA502,0)</f>
        <v>#N/A</v>
      </c>
      <c r="AG502" s="104" t="e">
        <f>IF(AND(VLOOKUP($D502,Merchantability!$B:$C,2,0)="Yes",$E502&gt;=VLOOKUP($D502,Merchantability!$B:$D,3,0),$E502&lt;=VLOOKUP($D502,Merchantability!$B:$E,4,0)),AB502,0)</f>
        <v>#N/A</v>
      </c>
      <c r="AH502" s="104" t="e">
        <f>IF(AND(VLOOKUP($D502,Merchantability!$B:$C,2,0)="Yes",$E502&gt;=VLOOKUP($D502,Merchantability!$B:$D,3,0),$E502&lt;=VLOOKUP($D502,Merchantability!$B:$E,4,0)),AC502,0)</f>
        <v>#N/A</v>
      </c>
      <c r="AI502" s="104" t="e">
        <f t="shared" si="249"/>
        <v>#N/A</v>
      </c>
      <c r="AJ502" s="104" t="e">
        <f t="shared" si="250"/>
        <v>#VALUE!</v>
      </c>
      <c r="AK502" s="104" t="e">
        <f t="shared" si="251"/>
        <v>#N/A</v>
      </c>
      <c r="AL502" s="104" t="e">
        <f t="shared" si="252"/>
        <v>#N/A</v>
      </c>
      <c r="AM502" s="104" t="e">
        <f t="shared" si="253"/>
        <v>#N/A</v>
      </c>
      <c r="AN502" s="104" t="e">
        <f t="shared" si="237"/>
        <v>#N/A</v>
      </c>
      <c r="AO502" s="104" t="e">
        <f t="shared" si="238"/>
        <v>#N/A</v>
      </c>
      <c r="AP502" s="104" t="e">
        <f t="shared" si="239"/>
        <v>#N/A</v>
      </c>
      <c r="AQ502" s="104" t="e">
        <f t="shared" si="240"/>
        <v>#N/A</v>
      </c>
      <c r="AR502" s="105" t="str">
        <f t="shared" si="232"/>
        <v/>
      </c>
      <c r="AS502" s="105" t="str">
        <f t="shared" si="233"/>
        <v/>
      </c>
      <c r="AT502" s="108" t="str">
        <f t="shared" si="234"/>
        <v/>
      </c>
      <c r="AU502" s="108" t="str">
        <f t="shared" si="235"/>
        <v/>
      </c>
      <c r="AV502" s="107" t="str">
        <f>IF(ISNUMBER(O502),IF(VLOOKUP($A502,Stand!C:J,8,FALSE)="Short",AT502,AU502),"")</f>
        <v/>
      </c>
      <c r="AW502" s="109" t="str">
        <f t="shared" si="241"/>
        <v/>
      </c>
      <c r="AX502" s="109" t="str">
        <f t="shared" si="242"/>
        <v/>
      </c>
      <c r="AY502" s="112" t="str">
        <f>IF(ISNUMBER(O502),IF(AND(VLOOKUP($D502,Merchantability!$B:$C,2,0)="Yes",$E502&gt;=VLOOKUP($D502,Merchantability!$B:$D,3,0),$E502&lt;=VLOOKUP($D502,Merchantability!$B:$E,4,0)),(AV502*O502)*(1-$H502/100),""),"")</f>
        <v/>
      </c>
      <c r="AZ502" s="116"/>
      <c r="BA502" s="116"/>
      <c r="BB502" s="116"/>
      <c r="BE502" s="62"/>
      <c r="BF502" s="63"/>
    </row>
    <row r="503" spans="1:58" ht="12.75" customHeight="1" x14ac:dyDescent="0.25">
      <c r="A503" s="313"/>
      <c r="B503" s="328"/>
      <c r="C503" s="329"/>
      <c r="D503" s="328"/>
      <c r="E503" s="330"/>
      <c r="F503" s="328"/>
      <c r="G503" s="329"/>
      <c r="H503" s="329"/>
      <c r="I503" s="328"/>
      <c r="J503" s="383"/>
      <c r="K503" s="329"/>
      <c r="L503" s="329"/>
      <c r="M503" s="78"/>
      <c r="N503" s="103" t="str">
        <f>IF(A503="","",VLOOKUP(A503,Stand!C:K,9,0))</f>
        <v/>
      </c>
      <c r="O503" s="104" t="str">
        <f t="shared" si="227"/>
        <v/>
      </c>
      <c r="P503" s="105" t="str">
        <f t="shared" si="228"/>
        <v/>
      </c>
      <c r="Q503" s="105" t="str">
        <f t="shared" si="243"/>
        <v/>
      </c>
      <c r="R503" s="103" t="str">
        <f t="shared" si="229"/>
        <v/>
      </c>
      <c r="S503" s="103" t="str">
        <f t="shared" si="230"/>
        <v/>
      </c>
      <c r="T503" s="106" t="str">
        <f t="shared" si="244"/>
        <v/>
      </c>
      <c r="U503" s="106" t="str">
        <f t="shared" si="245"/>
        <v/>
      </c>
      <c r="V503" s="106" t="str">
        <f t="shared" si="246"/>
        <v/>
      </c>
      <c r="W503" s="105" t="str">
        <f t="shared" si="231"/>
        <v/>
      </c>
      <c r="X503" s="104" t="str">
        <f t="shared" si="236"/>
        <v/>
      </c>
      <c r="Y503" s="104" t="str">
        <f t="array" ref="Y503">IFERROR(IF(ISNUMBER(O503),IF(COUNT(IF(A503=$A$2:$A$2427,IF(D503=$D$2:$D$2427,IF($X$2:$X$2427&gt;0,1))))&gt;0,SUM(IF(A503=$A$2:$A$2427,IF(D503=$D$2:$D$2427,$X$2:$X$2427)))/COUNT(IF(A503=$A$2:$A$2427,IF(D503=$D$2:$D$2427,IF(ISNUMBER($X$2:$X$2427),1)))),0),""),0)</f>
        <v/>
      </c>
      <c r="Z503" s="104" t="str">
        <f>IF(ISNUMBER(O503),IF(I503&gt;0,(10^(VLOOKUP(D503,'Species Codes'!B:C,2,0)+VLOOKUP(D503,'Species Codes'!B:D,3,0)*LOG(E503)+VLOOKUP(D503,'Species Codes'!B:E,4,0)*LOG(I503))),0),"")</f>
        <v/>
      </c>
      <c r="AA503" s="104" t="str">
        <f>IFERROR((VLOOKUP(D503,'Species Codes'!B:G,6,0)*Z503)/2000,"")</f>
        <v/>
      </c>
      <c r="AB503" s="104" t="e">
        <f>IF(Z503&gt;0,((IF(OR(D503="DF",D503="RA")=TRUE,EXP(VLOOKUP(D503,'Species Codes'!B:I,8,0)+VLOOKUP(D503,'Species Codes'!B:J,9,0)*(LN((E503*2.54)))),IF(OR(D503="PY",D503="RC",D503="WH",D503="NF")=TRUE,VLOOKUP(D503,'Species Codes'!B:I,8,0)+VLOOKUP(D503,'Species Codes'!B:J,9,0)*((E503*2.54)^2)*(I503*0.3048),IF(OR(D503="MD",D503="BM",D503="GA")=TRUE,((VLOOKUP(D503,'Species Codes'!B:I,8,0)*(((((E503*2.54)+VLOOKUP(D503,'Species Codes'!B:J,9,0))/VLOOKUP(D503,'Species Codes'!B:K,10,0))^VLOOKUP(D503,'Species Codes'!B:L,11,0))*((I503*0.3048)^VLOOKUP(D503,'Species Codes'!B:M,12,0))))-(VLOOKUP(D503,'Species Codes'!B:I,8,0)*((((E503*2.54)^VLOOKUP(D503,'Species Codes'!B:L,11,0))*((I503*0.3048)^VLOOKUP(D503,'Species Codes'!B:M,12,0))))))*35.3*VLOOKUP(D503,'Species Codes'!B:G,6,0)/2.2046,VLOOKUP(D503,'Species Codes'!B:I,8,0)+VLOOKUP(D503,'Species Codes'!B:J,9,0)*(((E503*2.54)/100)^2)*(I503*0.3048)))))*0.0011023),0)</f>
        <v>#N/A</v>
      </c>
      <c r="AC503" s="104" t="e">
        <f>IF(Z503&gt;0,((IF(OR(D503="RA",D503="OA",D503="OT",D503="UN",D503="PC"),EXP(VLOOKUP(D503,'Species Codes'!B:O,14,0)+VLOOKUP(D503,'Species Codes'!B:P,15,0)*LN((E503*2.54)))-EXP(VLOOKUP(D503,'Species Codes'!B:O,14,0)+VLOOKUP(D503,'Species Codes'!B:P,15,0)*LN((E503*2.54)))*(1/(VLOOKUP(D503,'Species Codes'!B:Q,16,0)+VLOOKUP(D503,'Species Codes'!B:R,17,0)*((E503*2.54)^VLOOKUP(D503,'Species Codes'!B:S,18,0)))),IF(OR(D503="BM",D503="MD",D503="OA"),EXP(VLOOKUP(D503,'Species Codes'!B:O,14,0)+VLOOKUP(D503,'Species Codes'!B:P,15,0)*LN((E503*2.54)))*(1-(1/(VLOOKUP(D503,'Species Codes'!B:Q,16,0)+VLOOKUP(D503,'Species Codes'!B:R,17,0)*((E503*2.54)^VLOOKUP(D503,'Species Codes'!B:S,18,0)))))/1000,IF(D503="DF",EXP(VLOOKUP(D503,'Species Codes'!B:O,14,0)+VLOOKUP(D503,'Species Codes'!B:P,15,0)*LN((E503*2.54))),VLOOKUP(D503,'Species Codes'!B:O,14,0)+VLOOKUP(D503,'Species Codes'!B:P,15,0)*(((E503*2.54)/100)^2)*(I503*0.3048)))))*0.0011023),0)</f>
        <v>#N/A</v>
      </c>
      <c r="AD503" s="104" t="e">
        <f t="shared" si="247"/>
        <v>#N/A</v>
      </c>
      <c r="AE503" s="104" t="e">
        <f t="shared" si="248"/>
        <v>#N/A</v>
      </c>
      <c r="AF503" s="104" t="e">
        <f>IF(AND(VLOOKUP($D503,Merchantability!$B:$C,2,0)="Yes",$E503&gt;=VLOOKUP($D503,Merchantability!$B:$D,3,0),$E503&lt;=VLOOKUP($D503,Merchantability!$B:$E,4,0)),AA503,0)</f>
        <v>#N/A</v>
      </c>
      <c r="AG503" s="104" t="e">
        <f>IF(AND(VLOOKUP($D503,Merchantability!$B:$C,2,0)="Yes",$E503&gt;=VLOOKUP($D503,Merchantability!$B:$D,3,0),$E503&lt;=VLOOKUP($D503,Merchantability!$B:$E,4,0)),AB503,0)</f>
        <v>#N/A</v>
      </c>
      <c r="AH503" s="104" t="e">
        <f>IF(AND(VLOOKUP($D503,Merchantability!$B:$C,2,0)="Yes",$E503&gt;=VLOOKUP($D503,Merchantability!$B:$D,3,0),$E503&lt;=VLOOKUP($D503,Merchantability!$B:$E,4,0)),AC503,0)</f>
        <v>#N/A</v>
      </c>
      <c r="AI503" s="104" t="e">
        <f t="shared" si="249"/>
        <v>#N/A</v>
      </c>
      <c r="AJ503" s="104" t="e">
        <f t="shared" si="250"/>
        <v>#VALUE!</v>
      </c>
      <c r="AK503" s="104" t="e">
        <f t="shared" si="251"/>
        <v>#N/A</v>
      </c>
      <c r="AL503" s="104" t="e">
        <f t="shared" si="252"/>
        <v>#N/A</v>
      </c>
      <c r="AM503" s="104" t="e">
        <f t="shared" si="253"/>
        <v>#N/A</v>
      </c>
      <c r="AN503" s="104" t="e">
        <f t="shared" si="237"/>
        <v>#N/A</v>
      </c>
      <c r="AO503" s="104" t="e">
        <f t="shared" si="238"/>
        <v>#N/A</v>
      </c>
      <c r="AP503" s="104" t="e">
        <f t="shared" si="239"/>
        <v>#N/A</v>
      </c>
      <c r="AQ503" s="104" t="e">
        <f t="shared" si="240"/>
        <v>#N/A</v>
      </c>
      <c r="AR503" s="105" t="str">
        <f t="shared" si="232"/>
        <v/>
      </c>
      <c r="AS503" s="105" t="str">
        <f t="shared" si="233"/>
        <v/>
      </c>
      <c r="AT503" s="108" t="str">
        <f t="shared" si="234"/>
        <v/>
      </c>
      <c r="AU503" s="108" t="str">
        <f t="shared" si="235"/>
        <v/>
      </c>
      <c r="AV503" s="107" t="str">
        <f>IF(ISNUMBER(O503),IF(VLOOKUP($A503,Stand!C:J,8,FALSE)="Short",AT503,AU503),"")</f>
        <v/>
      </c>
      <c r="AW503" s="109" t="str">
        <f t="shared" si="241"/>
        <v/>
      </c>
      <c r="AX503" s="109" t="str">
        <f t="shared" si="242"/>
        <v/>
      </c>
      <c r="AY503" s="112" t="str">
        <f>IF(ISNUMBER(O503),IF(AND(VLOOKUP($D503,Merchantability!$B:$C,2,0)="Yes",$E503&gt;=VLOOKUP($D503,Merchantability!$B:$D,3,0),$E503&lt;=VLOOKUP($D503,Merchantability!$B:$E,4,0)),(AV503*O503)*(1-$H503/100),""),"")</f>
        <v/>
      </c>
      <c r="AZ503" s="116"/>
      <c r="BA503" s="116"/>
      <c r="BB503" s="116"/>
      <c r="BE503" s="62"/>
      <c r="BF503" s="63"/>
    </row>
    <row r="504" spans="1:58" ht="12.75" customHeight="1" x14ac:dyDescent="0.25">
      <c r="A504" s="313"/>
      <c r="B504" s="328"/>
      <c r="C504" s="329"/>
      <c r="D504" s="328"/>
      <c r="E504" s="330"/>
      <c r="F504" s="328"/>
      <c r="G504" s="329"/>
      <c r="H504" s="329"/>
      <c r="I504" s="328"/>
      <c r="J504" s="383"/>
      <c r="K504" s="329"/>
      <c r="L504" s="329"/>
      <c r="M504" s="78"/>
      <c r="N504" s="103" t="str">
        <f>IF(A504="","",VLOOKUP(A504,Stand!C:K,9,0))</f>
        <v/>
      </c>
      <c r="O504" s="104" t="str">
        <f t="shared" si="227"/>
        <v/>
      </c>
      <c r="P504" s="105" t="str">
        <f t="shared" si="228"/>
        <v/>
      </c>
      <c r="Q504" s="105" t="str">
        <f t="shared" si="243"/>
        <v/>
      </c>
      <c r="R504" s="103" t="str">
        <f t="shared" si="229"/>
        <v/>
      </c>
      <c r="S504" s="103" t="str">
        <f t="shared" si="230"/>
        <v/>
      </c>
      <c r="T504" s="106" t="str">
        <f t="shared" si="244"/>
        <v/>
      </c>
      <c r="U504" s="106" t="str">
        <f t="shared" si="245"/>
        <v/>
      </c>
      <c r="V504" s="106" t="str">
        <f t="shared" si="246"/>
        <v/>
      </c>
      <c r="W504" s="105" t="str">
        <f t="shared" si="231"/>
        <v/>
      </c>
      <c r="X504" s="104" t="str">
        <f t="shared" si="236"/>
        <v/>
      </c>
      <c r="Y504" s="104" t="str">
        <f t="array" ref="Y504">IFERROR(IF(ISNUMBER(O504),IF(COUNT(IF(A504=$A$2:$A$2427,IF(D504=$D$2:$D$2427,IF($X$2:$X$2427&gt;0,1))))&gt;0,SUM(IF(A504=$A$2:$A$2427,IF(D504=$D$2:$D$2427,$X$2:$X$2427)))/COUNT(IF(A504=$A$2:$A$2427,IF(D504=$D$2:$D$2427,IF(ISNUMBER($X$2:$X$2427),1)))),0),""),0)</f>
        <v/>
      </c>
      <c r="Z504" s="104" t="str">
        <f>IF(ISNUMBER(O504),IF(I504&gt;0,(10^(VLOOKUP(D504,'Species Codes'!B:C,2,0)+VLOOKUP(D504,'Species Codes'!B:D,3,0)*LOG(E504)+VLOOKUP(D504,'Species Codes'!B:E,4,0)*LOG(I504))),0),"")</f>
        <v/>
      </c>
      <c r="AA504" s="104" t="str">
        <f>IFERROR((VLOOKUP(D504,'Species Codes'!B:G,6,0)*Z504)/2000,"")</f>
        <v/>
      </c>
      <c r="AB504" s="104" t="e">
        <f>IF(Z504&gt;0,((IF(OR(D504="DF",D504="RA")=TRUE,EXP(VLOOKUP(D504,'Species Codes'!B:I,8,0)+VLOOKUP(D504,'Species Codes'!B:J,9,0)*(LN((E504*2.54)))),IF(OR(D504="PY",D504="RC",D504="WH",D504="NF")=TRUE,VLOOKUP(D504,'Species Codes'!B:I,8,0)+VLOOKUP(D504,'Species Codes'!B:J,9,0)*((E504*2.54)^2)*(I504*0.3048),IF(OR(D504="MD",D504="BM",D504="GA")=TRUE,((VLOOKUP(D504,'Species Codes'!B:I,8,0)*(((((E504*2.54)+VLOOKUP(D504,'Species Codes'!B:J,9,0))/VLOOKUP(D504,'Species Codes'!B:K,10,0))^VLOOKUP(D504,'Species Codes'!B:L,11,0))*((I504*0.3048)^VLOOKUP(D504,'Species Codes'!B:M,12,0))))-(VLOOKUP(D504,'Species Codes'!B:I,8,0)*((((E504*2.54)^VLOOKUP(D504,'Species Codes'!B:L,11,0))*((I504*0.3048)^VLOOKUP(D504,'Species Codes'!B:M,12,0))))))*35.3*VLOOKUP(D504,'Species Codes'!B:G,6,0)/2.2046,VLOOKUP(D504,'Species Codes'!B:I,8,0)+VLOOKUP(D504,'Species Codes'!B:J,9,0)*(((E504*2.54)/100)^2)*(I504*0.3048)))))*0.0011023),0)</f>
        <v>#N/A</v>
      </c>
      <c r="AC504" s="104" t="e">
        <f>IF(Z504&gt;0,((IF(OR(D504="RA",D504="OA",D504="OT",D504="UN",D504="PC"),EXP(VLOOKUP(D504,'Species Codes'!B:O,14,0)+VLOOKUP(D504,'Species Codes'!B:P,15,0)*LN((E504*2.54)))-EXP(VLOOKUP(D504,'Species Codes'!B:O,14,0)+VLOOKUP(D504,'Species Codes'!B:P,15,0)*LN((E504*2.54)))*(1/(VLOOKUP(D504,'Species Codes'!B:Q,16,0)+VLOOKUP(D504,'Species Codes'!B:R,17,0)*((E504*2.54)^VLOOKUP(D504,'Species Codes'!B:S,18,0)))),IF(OR(D504="BM",D504="MD",D504="OA"),EXP(VLOOKUP(D504,'Species Codes'!B:O,14,0)+VLOOKUP(D504,'Species Codes'!B:P,15,0)*LN((E504*2.54)))*(1-(1/(VLOOKUP(D504,'Species Codes'!B:Q,16,0)+VLOOKUP(D504,'Species Codes'!B:R,17,0)*((E504*2.54)^VLOOKUP(D504,'Species Codes'!B:S,18,0)))))/1000,IF(D504="DF",EXP(VLOOKUP(D504,'Species Codes'!B:O,14,0)+VLOOKUP(D504,'Species Codes'!B:P,15,0)*LN((E504*2.54))),VLOOKUP(D504,'Species Codes'!B:O,14,0)+VLOOKUP(D504,'Species Codes'!B:P,15,0)*(((E504*2.54)/100)^2)*(I504*0.3048)))))*0.0011023),0)</f>
        <v>#N/A</v>
      </c>
      <c r="AD504" s="104" t="e">
        <f t="shared" si="247"/>
        <v>#N/A</v>
      </c>
      <c r="AE504" s="104" t="e">
        <f t="shared" si="248"/>
        <v>#N/A</v>
      </c>
      <c r="AF504" s="104" t="e">
        <f>IF(AND(VLOOKUP($D504,Merchantability!$B:$C,2,0)="Yes",$E504&gt;=VLOOKUP($D504,Merchantability!$B:$D,3,0),$E504&lt;=VLOOKUP($D504,Merchantability!$B:$E,4,0)),AA504,0)</f>
        <v>#N/A</v>
      </c>
      <c r="AG504" s="104" t="e">
        <f>IF(AND(VLOOKUP($D504,Merchantability!$B:$C,2,0)="Yes",$E504&gt;=VLOOKUP($D504,Merchantability!$B:$D,3,0),$E504&lt;=VLOOKUP($D504,Merchantability!$B:$E,4,0)),AB504,0)</f>
        <v>#N/A</v>
      </c>
      <c r="AH504" s="104" t="e">
        <f>IF(AND(VLOOKUP($D504,Merchantability!$B:$C,2,0)="Yes",$E504&gt;=VLOOKUP($D504,Merchantability!$B:$D,3,0),$E504&lt;=VLOOKUP($D504,Merchantability!$B:$E,4,0)),AC504,0)</f>
        <v>#N/A</v>
      </c>
      <c r="AI504" s="104" t="e">
        <f t="shared" si="249"/>
        <v>#N/A</v>
      </c>
      <c r="AJ504" s="104" t="e">
        <f t="shared" si="250"/>
        <v>#VALUE!</v>
      </c>
      <c r="AK504" s="104" t="e">
        <f t="shared" si="251"/>
        <v>#N/A</v>
      </c>
      <c r="AL504" s="104" t="e">
        <f t="shared" si="252"/>
        <v>#N/A</v>
      </c>
      <c r="AM504" s="104" t="e">
        <f t="shared" si="253"/>
        <v>#N/A</v>
      </c>
      <c r="AN504" s="104" t="e">
        <f t="shared" si="237"/>
        <v>#N/A</v>
      </c>
      <c r="AO504" s="104" t="e">
        <f t="shared" si="238"/>
        <v>#N/A</v>
      </c>
      <c r="AP504" s="104" t="e">
        <f t="shared" si="239"/>
        <v>#N/A</v>
      </c>
      <c r="AQ504" s="104" t="e">
        <f t="shared" si="240"/>
        <v>#N/A</v>
      </c>
      <c r="AR504" s="105" t="str">
        <f t="shared" si="232"/>
        <v/>
      </c>
      <c r="AS504" s="105" t="str">
        <f t="shared" si="233"/>
        <v/>
      </c>
      <c r="AT504" s="108" t="str">
        <f t="shared" si="234"/>
        <v/>
      </c>
      <c r="AU504" s="108" t="str">
        <f t="shared" si="235"/>
        <v/>
      </c>
      <c r="AV504" s="107" t="str">
        <f>IF(ISNUMBER(O504),IF(VLOOKUP($A504,Stand!C:J,8,FALSE)="Short",AT504,AU504),"")</f>
        <v/>
      </c>
      <c r="AW504" s="109" t="str">
        <f t="shared" si="241"/>
        <v/>
      </c>
      <c r="AX504" s="109" t="str">
        <f t="shared" si="242"/>
        <v/>
      </c>
      <c r="AY504" s="112" t="str">
        <f>IF(ISNUMBER(O504),IF(AND(VLOOKUP($D504,Merchantability!$B:$C,2,0)="Yes",$E504&gt;=VLOOKUP($D504,Merchantability!$B:$D,3,0),$E504&lt;=VLOOKUP($D504,Merchantability!$B:$E,4,0)),(AV504*O504)*(1-$H504/100),""),"")</f>
        <v/>
      </c>
      <c r="AZ504" s="116"/>
      <c r="BA504" s="116"/>
      <c r="BB504" s="116"/>
      <c r="BE504" s="62"/>
      <c r="BF504" s="63"/>
    </row>
    <row r="505" spans="1:58" ht="12.75" customHeight="1" x14ac:dyDescent="0.25">
      <c r="A505" s="313"/>
      <c r="B505" s="328"/>
      <c r="C505" s="329"/>
      <c r="D505" s="328"/>
      <c r="E505" s="330"/>
      <c r="F505" s="328"/>
      <c r="G505" s="329"/>
      <c r="H505" s="329"/>
      <c r="I505" s="328"/>
      <c r="J505" s="383"/>
      <c r="K505" s="329"/>
      <c r="L505" s="329"/>
      <c r="M505" s="78"/>
      <c r="N505" s="103" t="str">
        <f>IF(A505="","",VLOOKUP(A505,Stand!C:K,9,0))</f>
        <v/>
      </c>
      <c r="O505" s="104" t="str">
        <f t="shared" si="227"/>
        <v/>
      </c>
      <c r="P505" s="105" t="str">
        <f t="shared" si="228"/>
        <v/>
      </c>
      <c r="Q505" s="105" t="str">
        <f t="shared" si="243"/>
        <v/>
      </c>
      <c r="R505" s="103" t="str">
        <f t="shared" si="229"/>
        <v/>
      </c>
      <c r="S505" s="103" t="str">
        <f t="shared" si="230"/>
        <v/>
      </c>
      <c r="T505" s="106" t="str">
        <f t="shared" si="244"/>
        <v/>
      </c>
      <c r="U505" s="106" t="str">
        <f t="shared" si="245"/>
        <v/>
      </c>
      <c r="V505" s="106" t="str">
        <f t="shared" si="246"/>
        <v/>
      </c>
      <c r="W505" s="105" t="str">
        <f t="shared" si="231"/>
        <v/>
      </c>
      <c r="X505" s="104" t="str">
        <f t="shared" si="236"/>
        <v/>
      </c>
      <c r="Y505" s="104" t="str">
        <f t="array" ref="Y505">IFERROR(IF(ISNUMBER(O505),IF(COUNT(IF(A505=$A$2:$A$2427,IF(D505=$D$2:$D$2427,IF($X$2:$X$2427&gt;0,1))))&gt;0,SUM(IF(A505=$A$2:$A$2427,IF(D505=$D$2:$D$2427,$X$2:$X$2427)))/COUNT(IF(A505=$A$2:$A$2427,IF(D505=$D$2:$D$2427,IF(ISNUMBER($X$2:$X$2427),1)))),0),""),0)</f>
        <v/>
      </c>
      <c r="Z505" s="104" t="str">
        <f>IF(ISNUMBER(O505),IF(I505&gt;0,(10^(VLOOKUP(D505,'Species Codes'!B:C,2,0)+VLOOKUP(D505,'Species Codes'!B:D,3,0)*LOG(E505)+VLOOKUP(D505,'Species Codes'!B:E,4,0)*LOG(I505))),0),"")</f>
        <v/>
      </c>
      <c r="AA505" s="104" t="str">
        <f>IFERROR((VLOOKUP(D505,'Species Codes'!B:G,6,0)*Z505)/2000,"")</f>
        <v/>
      </c>
      <c r="AB505" s="104" t="e">
        <f>IF(Z505&gt;0,((IF(OR(D505="DF",D505="RA")=TRUE,EXP(VLOOKUP(D505,'Species Codes'!B:I,8,0)+VLOOKUP(D505,'Species Codes'!B:J,9,0)*(LN((E505*2.54)))),IF(OR(D505="PY",D505="RC",D505="WH",D505="NF")=TRUE,VLOOKUP(D505,'Species Codes'!B:I,8,0)+VLOOKUP(D505,'Species Codes'!B:J,9,0)*((E505*2.54)^2)*(I505*0.3048),IF(OR(D505="MD",D505="BM",D505="GA")=TRUE,((VLOOKUP(D505,'Species Codes'!B:I,8,0)*(((((E505*2.54)+VLOOKUP(D505,'Species Codes'!B:J,9,0))/VLOOKUP(D505,'Species Codes'!B:K,10,0))^VLOOKUP(D505,'Species Codes'!B:L,11,0))*((I505*0.3048)^VLOOKUP(D505,'Species Codes'!B:M,12,0))))-(VLOOKUP(D505,'Species Codes'!B:I,8,0)*((((E505*2.54)^VLOOKUP(D505,'Species Codes'!B:L,11,0))*((I505*0.3048)^VLOOKUP(D505,'Species Codes'!B:M,12,0))))))*35.3*VLOOKUP(D505,'Species Codes'!B:G,6,0)/2.2046,VLOOKUP(D505,'Species Codes'!B:I,8,0)+VLOOKUP(D505,'Species Codes'!B:J,9,0)*(((E505*2.54)/100)^2)*(I505*0.3048)))))*0.0011023),0)</f>
        <v>#N/A</v>
      </c>
      <c r="AC505" s="104" t="e">
        <f>IF(Z505&gt;0,((IF(OR(D505="RA",D505="OA",D505="OT",D505="UN",D505="PC"),EXP(VLOOKUP(D505,'Species Codes'!B:O,14,0)+VLOOKUP(D505,'Species Codes'!B:P,15,0)*LN((E505*2.54)))-EXP(VLOOKUP(D505,'Species Codes'!B:O,14,0)+VLOOKUP(D505,'Species Codes'!B:P,15,0)*LN((E505*2.54)))*(1/(VLOOKUP(D505,'Species Codes'!B:Q,16,0)+VLOOKUP(D505,'Species Codes'!B:R,17,0)*((E505*2.54)^VLOOKUP(D505,'Species Codes'!B:S,18,0)))),IF(OR(D505="BM",D505="MD",D505="OA"),EXP(VLOOKUP(D505,'Species Codes'!B:O,14,0)+VLOOKUP(D505,'Species Codes'!B:P,15,0)*LN((E505*2.54)))*(1-(1/(VLOOKUP(D505,'Species Codes'!B:Q,16,0)+VLOOKUP(D505,'Species Codes'!B:R,17,0)*((E505*2.54)^VLOOKUP(D505,'Species Codes'!B:S,18,0)))))/1000,IF(D505="DF",EXP(VLOOKUP(D505,'Species Codes'!B:O,14,0)+VLOOKUP(D505,'Species Codes'!B:P,15,0)*LN((E505*2.54))),VLOOKUP(D505,'Species Codes'!B:O,14,0)+VLOOKUP(D505,'Species Codes'!B:P,15,0)*(((E505*2.54)/100)^2)*(I505*0.3048)))))*0.0011023),0)</f>
        <v>#N/A</v>
      </c>
      <c r="AD505" s="104" t="e">
        <f t="shared" si="247"/>
        <v>#N/A</v>
      </c>
      <c r="AE505" s="104" t="e">
        <f t="shared" si="248"/>
        <v>#N/A</v>
      </c>
      <c r="AF505" s="104" t="e">
        <f>IF(AND(VLOOKUP($D505,Merchantability!$B:$C,2,0)="Yes",$E505&gt;=VLOOKUP($D505,Merchantability!$B:$D,3,0),$E505&lt;=VLOOKUP($D505,Merchantability!$B:$E,4,0)),AA505,0)</f>
        <v>#N/A</v>
      </c>
      <c r="AG505" s="104" t="e">
        <f>IF(AND(VLOOKUP($D505,Merchantability!$B:$C,2,0)="Yes",$E505&gt;=VLOOKUP($D505,Merchantability!$B:$D,3,0),$E505&lt;=VLOOKUP($D505,Merchantability!$B:$E,4,0)),AB505,0)</f>
        <v>#N/A</v>
      </c>
      <c r="AH505" s="104" t="e">
        <f>IF(AND(VLOOKUP($D505,Merchantability!$B:$C,2,0)="Yes",$E505&gt;=VLOOKUP($D505,Merchantability!$B:$D,3,0),$E505&lt;=VLOOKUP($D505,Merchantability!$B:$E,4,0)),AC505,0)</f>
        <v>#N/A</v>
      </c>
      <c r="AI505" s="104" t="e">
        <f t="shared" si="249"/>
        <v>#N/A</v>
      </c>
      <c r="AJ505" s="104" t="e">
        <f t="shared" si="250"/>
        <v>#VALUE!</v>
      </c>
      <c r="AK505" s="104" t="e">
        <f t="shared" si="251"/>
        <v>#N/A</v>
      </c>
      <c r="AL505" s="104" t="e">
        <f t="shared" si="252"/>
        <v>#N/A</v>
      </c>
      <c r="AM505" s="104" t="e">
        <f t="shared" si="253"/>
        <v>#N/A</v>
      </c>
      <c r="AN505" s="104" t="e">
        <f t="shared" si="237"/>
        <v>#N/A</v>
      </c>
      <c r="AO505" s="104" t="e">
        <f t="shared" si="238"/>
        <v>#N/A</v>
      </c>
      <c r="AP505" s="104" t="e">
        <f t="shared" si="239"/>
        <v>#N/A</v>
      </c>
      <c r="AQ505" s="104" t="e">
        <f t="shared" si="240"/>
        <v>#N/A</v>
      </c>
      <c r="AR505" s="105" t="str">
        <f t="shared" si="232"/>
        <v/>
      </c>
      <c r="AS505" s="105" t="str">
        <f t="shared" si="233"/>
        <v/>
      </c>
      <c r="AT505" s="108" t="str">
        <f t="shared" si="234"/>
        <v/>
      </c>
      <c r="AU505" s="108" t="str">
        <f t="shared" si="235"/>
        <v/>
      </c>
      <c r="AV505" s="107" t="str">
        <f>IF(ISNUMBER(O505),IF(VLOOKUP($A505,Stand!C:J,8,FALSE)="Short",AT505,AU505),"")</f>
        <v/>
      </c>
      <c r="AW505" s="109" t="str">
        <f t="shared" si="241"/>
        <v/>
      </c>
      <c r="AX505" s="109" t="str">
        <f t="shared" si="242"/>
        <v/>
      </c>
      <c r="AY505" s="112" t="str">
        <f>IF(ISNUMBER(O505),IF(AND(VLOOKUP($D505,Merchantability!$B:$C,2,0)="Yes",$E505&gt;=VLOOKUP($D505,Merchantability!$B:$D,3,0),$E505&lt;=VLOOKUP($D505,Merchantability!$B:$E,4,0)),(AV505*O505)*(1-$H505/100),""),"")</f>
        <v/>
      </c>
      <c r="AZ505" s="116"/>
      <c r="BA505" s="116"/>
      <c r="BB505" s="116"/>
      <c r="BE505" s="62"/>
      <c r="BF505" s="63"/>
    </row>
    <row r="506" spans="1:58" ht="12.75" customHeight="1" x14ac:dyDescent="0.25">
      <c r="A506" s="313"/>
      <c r="B506" s="328"/>
      <c r="C506" s="329"/>
      <c r="D506" s="328"/>
      <c r="E506" s="330"/>
      <c r="F506" s="328"/>
      <c r="G506" s="329"/>
      <c r="H506" s="329"/>
      <c r="I506" s="328"/>
      <c r="J506" s="383"/>
      <c r="K506" s="329"/>
      <c r="L506" s="329"/>
      <c r="M506" s="78"/>
      <c r="N506" s="103" t="str">
        <f>IF(A506="","",VLOOKUP(A506,Stand!C:K,9,0))</f>
        <v/>
      </c>
      <c r="O506" s="104" t="str">
        <f t="shared" si="227"/>
        <v/>
      </c>
      <c r="P506" s="105" t="str">
        <f t="shared" si="228"/>
        <v/>
      </c>
      <c r="Q506" s="105" t="str">
        <f t="shared" si="243"/>
        <v/>
      </c>
      <c r="R506" s="103" t="str">
        <f t="shared" si="229"/>
        <v/>
      </c>
      <c r="S506" s="103" t="str">
        <f t="shared" si="230"/>
        <v/>
      </c>
      <c r="T506" s="106" t="str">
        <f t="shared" si="244"/>
        <v/>
      </c>
      <c r="U506" s="106" t="str">
        <f t="shared" si="245"/>
        <v/>
      </c>
      <c r="V506" s="106" t="str">
        <f t="shared" si="246"/>
        <v/>
      </c>
      <c r="W506" s="105" t="str">
        <f t="shared" si="231"/>
        <v/>
      </c>
      <c r="X506" s="104" t="str">
        <f t="shared" si="236"/>
        <v/>
      </c>
      <c r="Y506" s="104" t="str">
        <f t="array" ref="Y506">IFERROR(IF(ISNUMBER(O506),IF(COUNT(IF(A506=$A$2:$A$2427,IF(D506=$D$2:$D$2427,IF($X$2:$X$2427&gt;0,1))))&gt;0,SUM(IF(A506=$A$2:$A$2427,IF(D506=$D$2:$D$2427,$X$2:$X$2427)))/COUNT(IF(A506=$A$2:$A$2427,IF(D506=$D$2:$D$2427,IF(ISNUMBER($X$2:$X$2427),1)))),0),""),0)</f>
        <v/>
      </c>
      <c r="Z506" s="104" t="str">
        <f>IF(ISNUMBER(O506),IF(I506&gt;0,(10^(VLOOKUP(D506,'Species Codes'!B:C,2,0)+VLOOKUP(D506,'Species Codes'!B:D,3,0)*LOG(E506)+VLOOKUP(D506,'Species Codes'!B:E,4,0)*LOG(I506))),0),"")</f>
        <v/>
      </c>
      <c r="AA506" s="104" t="str">
        <f>IFERROR((VLOOKUP(D506,'Species Codes'!B:G,6,0)*Z506)/2000,"")</f>
        <v/>
      </c>
      <c r="AB506" s="104" t="e">
        <f>IF(Z506&gt;0,((IF(OR(D506="DF",D506="RA")=TRUE,EXP(VLOOKUP(D506,'Species Codes'!B:I,8,0)+VLOOKUP(D506,'Species Codes'!B:J,9,0)*(LN((E506*2.54)))),IF(OR(D506="PY",D506="RC",D506="WH",D506="NF")=TRUE,VLOOKUP(D506,'Species Codes'!B:I,8,0)+VLOOKUP(D506,'Species Codes'!B:J,9,0)*((E506*2.54)^2)*(I506*0.3048),IF(OR(D506="MD",D506="BM",D506="GA")=TRUE,((VLOOKUP(D506,'Species Codes'!B:I,8,0)*(((((E506*2.54)+VLOOKUP(D506,'Species Codes'!B:J,9,0))/VLOOKUP(D506,'Species Codes'!B:K,10,0))^VLOOKUP(D506,'Species Codes'!B:L,11,0))*((I506*0.3048)^VLOOKUP(D506,'Species Codes'!B:M,12,0))))-(VLOOKUP(D506,'Species Codes'!B:I,8,0)*((((E506*2.54)^VLOOKUP(D506,'Species Codes'!B:L,11,0))*((I506*0.3048)^VLOOKUP(D506,'Species Codes'!B:M,12,0))))))*35.3*VLOOKUP(D506,'Species Codes'!B:G,6,0)/2.2046,VLOOKUP(D506,'Species Codes'!B:I,8,0)+VLOOKUP(D506,'Species Codes'!B:J,9,0)*(((E506*2.54)/100)^2)*(I506*0.3048)))))*0.0011023),0)</f>
        <v>#N/A</v>
      </c>
      <c r="AC506" s="104" t="e">
        <f>IF(Z506&gt;0,((IF(OR(D506="RA",D506="OA",D506="OT",D506="UN",D506="PC"),EXP(VLOOKUP(D506,'Species Codes'!B:O,14,0)+VLOOKUP(D506,'Species Codes'!B:P,15,0)*LN((E506*2.54)))-EXP(VLOOKUP(D506,'Species Codes'!B:O,14,0)+VLOOKUP(D506,'Species Codes'!B:P,15,0)*LN((E506*2.54)))*(1/(VLOOKUP(D506,'Species Codes'!B:Q,16,0)+VLOOKUP(D506,'Species Codes'!B:R,17,0)*((E506*2.54)^VLOOKUP(D506,'Species Codes'!B:S,18,0)))),IF(OR(D506="BM",D506="MD",D506="OA"),EXP(VLOOKUP(D506,'Species Codes'!B:O,14,0)+VLOOKUP(D506,'Species Codes'!B:P,15,0)*LN((E506*2.54)))*(1-(1/(VLOOKUP(D506,'Species Codes'!B:Q,16,0)+VLOOKUP(D506,'Species Codes'!B:R,17,0)*((E506*2.54)^VLOOKUP(D506,'Species Codes'!B:S,18,0)))))/1000,IF(D506="DF",EXP(VLOOKUP(D506,'Species Codes'!B:O,14,0)+VLOOKUP(D506,'Species Codes'!B:P,15,0)*LN((E506*2.54))),VLOOKUP(D506,'Species Codes'!B:O,14,0)+VLOOKUP(D506,'Species Codes'!B:P,15,0)*(((E506*2.54)/100)^2)*(I506*0.3048)))))*0.0011023),0)</f>
        <v>#N/A</v>
      </c>
      <c r="AD506" s="104" t="e">
        <f t="shared" si="247"/>
        <v>#N/A</v>
      </c>
      <c r="AE506" s="104" t="e">
        <f t="shared" si="248"/>
        <v>#N/A</v>
      </c>
      <c r="AF506" s="104" t="e">
        <f>IF(AND(VLOOKUP($D506,Merchantability!$B:$C,2,0)="Yes",$E506&gt;=VLOOKUP($D506,Merchantability!$B:$D,3,0),$E506&lt;=VLOOKUP($D506,Merchantability!$B:$E,4,0)),AA506,0)</f>
        <v>#N/A</v>
      </c>
      <c r="AG506" s="104" t="e">
        <f>IF(AND(VLOOKUP($D506,Merchantability!$B:$C,2,0)="Yes",$E506&gt;=VLOOKUP($D506,Merchantability!$B:$D,3,0),$E506&lt;=VLOOKUP($D506,Merchantability!$B:$E,4,0)),AB506,0)</f>
        <v>#N/A</v>
      </c>
      <c r="AH506" s="104" t="e">
        <f>IF(AND(VLOOKUP($D506,Merchantability!$B:$C,2,0)="Yes",$E506&gt;=VLOOKUP($D506,Merchantability!$B:$D,3,0),$E506&lt;=VLOOKUP($D506,Merchantability!$B:$E,4,0)),AC506,0)</f>
        <v>#N/A</v>
      </c>
      <c r="AI506" s="104" t="e">
        <f t="shared" si="249"/>
        <v>#N/A</v>
      </c>
      <c r="AJ506" s="104" t="e">
        <f t="shared" si="250"/>
        <v>#VALUE!</v>
      </c>
      <c r="AK506" s="104" t="e">
        <f t="shared" si="251"/>
        <v>#N/A</v>
      </c>
      <c r="AL506" s="104" t="e">
        <f t="shared" si="252"/>
        <v>#N/A</v>
      </c>
      <c r="AM506" s="104" t="e">
        <f t="shared" si="253"/>
        <v>#N/A</v>
      </c>
      <c r="AN506" s="104" t="e">
        <f t="shared" si="237"/>
        <v>#N/A</v>
      </c>
      <c r="AO506" s="104" t="e">
        <f t="shared" si="238"/>
        <v>#N/A</v>
      </c>
      <c r="AP506" s="104" t="e">
        <f t="shared" si="239"/>
        <v>#N/A</v>
      </c>
      <c r="AQ506" s="104" t="e">
        <f t="shared" si="240"/>
        <v>#N/A</v>
      </c>
      <c r="AR506" s="105" t="str">
        <f t="shared" si="232"/>
        <v/>
      </c>
      <c r="AS506" s="105" t="str">
        <f t="shared" si="233"/>
        <v/>
      </c>
      <c r="AT506" s="108" t="str">
        <f t="shared" si="234"/>
        <v/>
      </c>
      <c r="AU506" s="108" t="str">
        <f t="shared" si="235"/>
        <v/>
      </c>
      <c r="AV506" s="107" t="str">
        <f>IF(ISNUMBER(O506),IF(VLOOKUP($A506,Stand!C:J,8,FALSE)="Short",AT506,AU506),"")</f>
        <v/>
      </c>
      <c r="AW506" s="109" t="str">
        <f t="shared" si="241"/>
        <v/>
      </c>
      <c r="AX506" s="109" t="str">
        <f t="shared" si="242"/>
        <v/>
      </c>
      <c r="AY506" s="112" t="str">
        <f>IF(ISNUMBER(O506),IF(AND(VLOOKUP($D506,Merchantability!$B:$C,2,0)="Yes",$E506&gt;=VLOOKUP($D506,Merchantability!$B:$D,3,0),$E506&lt;=VLOOKUP($D506,Merchantability!$B:$E,4,0)),(AV506*O506)*(1-$H506/100),""),"")</f>
        <v/>
      </c>
      <c r="AZ506" s="116"/>
      <c r="BA506" s="116"/>
      <c r="BB506" s="116"/>
      <c r="BE506" s="62"/>
      <c r="BF506" s="63"/>
    </row>
    <row r="507" spans="1:58" ht="12.75" customHeight="1" x14ac:dyDescent="0.25">
      <c r="A507" s="313"/>
      <c r="B507" s="328"/>
      <c r="C507" s="329"/>
      <c r="D507" s="328"/>
      <c r="E507" s="330"/>
      <c r="F507" s="328"/>
      <c r="G507" s="329"/>
      <c r="H507" s="329"/>
      <c r="I507" s="328"/>
      <c r="J507" s="383"/>
      <c r="K507" s="329"/>
      <c r="L507" s="329"/>
      <c r="M507" s="78"/>
      <c r="N507" s="103" t="str">
        <f>IF(A507="","",VLOOKUP(A507,Stand!C:K,9,0))</f>
        <v/>
      </c>
      <c r="O507" s="104" t="str">
        <f t="shared" si="227"/>
        <v/>
      </c>
      <c r="P507" s="105" t="str">
        <f t="shared" si="228"/>
        <v/>
      </c>
      <c r="Q507" s="105" t="str">
        <f t="shared" si="243"/>
        <v/>
      </c>
      <c r="R507" s="103" t="str">
        <f t="shared" si="229"/>
        <v/>
      </c>
      <c r="S507" s="103" t="str">
        <f t="shared" si="230"/>
        <v/>
      </c>
      <c r="T507" s="106" t="str">
        <f t="shared" si="244"/>
        <v/>
      </c>
      <c r="U507" s="106" t="str">
        <f t="shared" si="245"/>
        <v/>
      </c>
      <c r="V507" s="106" t="str">
        <f t="shared" si="246"/>
        <v/>
      </c>
      <c r="W507" s="105" t="str">
        <f t="shared" si="231"/>
        <v/>
      </c>
      <c r="X507" s="104" t="str">
        <f t="shared" si="236"/>
        <v/>
      </c>
      <c r="Y507" s="104" t="str">
        <f t="array" ref="Y507">IFERROR(IF(ISNUMBER(O507),IF(COUNT(IF(A507=$A$2:$A$2427,IF(D507=$D$2:$D$2427,IF($X$2:$X$2427&gt;0,1))))&gt;0,SUM(IF(A507=$A$2:$A$2427,IF(D507=$D$2:$D$2427,$X$2:$X$2427)))/COUNT(IF(A507=$A$2:$A$2427,IF(D507=$D$2:$D$2427,IF(ISNUMBER($X$2:$X$2427),1)))),0),""),0)</f>
        <v/>
      </c>
      <c r="Z507" s="104" t="str">
        <f>IF(ISNUMBER(O507),IF(I507&gt;0,(10^(VLOOKUP(D507,'Species Codes'!B:C,2,0)+VLOOKUP(D507,'Species Codes'!B:D,3,0)*LOG(E507)+VLOOKUP(D507,'Species Codes'!B:E,4,0)*LOG(I507))),0),"")</f>
        <v/>
      </c>
      <c r="AA507" s="104" t="str">
        <f>IFERROR((VLOOKUP(D507,'Species Codes'!B:G,6,0)*Z507)/2000,"")</f>
        <v/>
      </c>
      <c r="AB507" s="104" t="e">
        <f>IF(Z507&gt;0,((IF(OR(D507="DF",D507="RA")=TRUE,EXP(VLOOKUP(D507,'Species Codes'!B:I,8,0)+VLOOKUP(D507,'Species Codes'!B:J,9,0)*(LN((E507*2.54)))),IF(OR(D507="PY",D507="RC",D507="WH",D507="NF")=TRUE,VLOOKUP(D507,'Species Codes'!B:I,8,0)+VLOOKUP(D507,'Species Codes'!B:J,9,0)*((E507*2.54)^2)*(I507*0.3048),IF(OR(D507="MD",D507="BM",D507="GA")=TRUE,((VLOOKUP(D507,'Species Codes'!B:I,8,0)*(((((E507*2.54)+VLOOKUP(D507,'Species Codes'!B:J,9,0))/VLOOKUP(D507,'Species Codes'!B:K,10,0))^VLOOKUP(D507,'Species Codes'!B:L,11,0))*((I507*0.3048)^VLOOKUP(D507,'Species Codes'!B:M,12,0))))-(VLOOKUP(D507,'Species Codes'!B:I,8,0)*((((E507*2.54)^VLOOKUP(D507,'Species Codes'!B:L,11,0))*((I507*0.3048)^VLOOKUP(D507,'Species Codes'!B:M,12,0))))))*35.3*VLOOKUP(D507,'Species Codes'!B:G,6,0)/2.2046,VLOOKUP(D507,'Species Codes'!B:I,8,0)+VLOOKUP(D507,'Species Codes'!B:J,9,0)*(((E507*2.54)/100)^2)*(I507*0.3048)))))*0.0011023),0)</f>
        <v>#N/A</v>
      </c>
      <c r="AC507" s="104" t="e">
        <f>IF(Z507&gt;0,((IF(OR(D507="RA",D507="OA",D507="OT",D507="UN",D507="PC"),EXP(VLOOKUP(D507,'Species Codes'!B:O,14,0)+VLOOKUP(D507,'Species Codes'!B:P,15,0)*LN((E507*2.54)))-EXP(VLOOKUP(D507,'Species Codes'!B:O,14,0)+VLOOKUP(D507,'Species Codes'!B:P,15,0)*LN((E507*2.54)))*(1/(VLOOKUP(D507,'Species Codes'!B:Q,16,0)+VLOOKUP(D507,'Species Codes'!B:R,17,0)*((E507*2.54)^VLOOKUP(D507,'Species Codes'!B:S,18,0)))),IF(OR(D507="BM",D507="MD",D507="OA"),EXP(VLOOKUP(D507,'Species Codes'!B:O,14,0)+VLOOKUP(D507,'Species Codes'!B:P,15,0)*LN((E507*2.54)))*(1-(1/(VLOOKUP(D507,'Species Codes'!B:Q,16,0)+VLOOKUP(D507,'Species Codes'!B:R,17,0)*((E507*2.54)^VLOOKUP(D507,'Species Codes'!B:S,18,0)))))/1000,IF(D507="DF",EXP(VLOOKUP(D507,'Species Codes'!B:O,14,0)+VLOOKUP(D507,'Species Codes'!B:P,15,0)*LN((E507*2.54))),VLOOKUP(D507,'Species Codes'!B:O,14,0)+VLOOKUP(D507,'Species Codes'!B:P,15,0)*(((E507*2.54)/100)^2)*(I507*0.3048)))))*0.0011023),0)</f>
        <v>#N/A</v>
      </c>
      <c r="AD507" s="104" t="e">
        <f t="shared" si="247"/>
        <v>#N/A</v>
      </c>
      <c r="AE507" s="104" t="e">
        <f t="shared" si="248"/>
        <v>#N/A</v>
      </c>
      <c r="AF507" s="104" t="e">
        <f>IF(AND(VLOOKUP($D507,Merchantability!$B:$C,2,0)="Yes",$E507&gt;=VLOOKUP($D507,Merchantability!$B:$D,3,0),$E507&lt;=VLOOKUP($D507,Merchantability!$B:$E,4,0)),AA507,0)</f>
        <v>#N/A</v>
      </c>
      <c r="AG507" s="104" t="e">
        <f>IF(AND(VLOOKUP($D507,Merchantability!$B:$C,2,0)="Yes",$E507&gt;=VLOOKUP($D507,Merchantability!$B:$D,3,0),$E507&lt;=VLOOKUP($D507,Merchantability!$B:$E,4,0)),AB507,0)</f>
        <v>#N/A</v>
      </c>
      <c r="AH507" s="104" t="e">
        <f>IF(AND(VLOOKUP($D507,Merchantability!$B:$C,2,0)="Yes",$E507&gt;=VLOOKUP($D507,Merchantability!$B:$D,3,0),$E507&lt;=VLOOKUP($D507,Merchantability!$B:$E,4,0)),AC507,0)</f>
        <v>#N/A</v>
      </c>
      <c r="AI507" s="104" t="e">
        <f t="shared" si="249"/>
        <v>#N/A</v>
      </c>
      <c r="AJ507" s="104" t="e">
        <f t="shared" si="250"/>
        <v>#VALUE!</v>
      </c>
      <c r="AK507" s="104" t="e">
        <f t="shared" si="251"/>
        <v>#N/A</v>
      </c>
      <c r="AL507" s="104" t="e">
        <f t="shared" si="252"/>
        <v>#N/A</v>
      </c>
      <c r="AM507" s="104" t="e">
        <f t="shared" si="253"/>
        <v>#N/A</v>
      </c>
      <c r="AN507" s="104" t="e">
        <f t="shared" si="237"/>
        <v>#N/A</v>
      </c>
      <c r="AO507" s="104" t="e">
        <f t="shared" si="238"/>
        <v>#N/A</v>
      </c>
      <c r="AP507" s="104" t="e">
        <f t="shared" si="239"/>
        <v>#N/A</v>
      </c>
      <c r="AQ507" s="104" t="e">
        <f t="shared" si="240"/>
        <v>#N/A</v>
      </c>
      <c r="AR507" s="105" t="str">
        <f t="shared" si="232"/>
        <v/>
      </c>
      <c r="AS507" s="105" t="str">
        <f t="shared" si="233"/>
        <v/>
      </c>
      <c r="AT507" s="108" t="str">
        <f t="shared" si="234"/>
        <v/>
      </c>
      <c r="AU507" s="108" t="str">
        <f t="shared" si="235"/>
        <v/>
      </c>
      <c r="AV507" s="107" t="str">
        <f>IF(ISNUMBER(O507),IF(VLOOKUP($A507,Stand!C:J,8,FALSE)="Short",AT507,AU507),"")</f>
        <v/>
      </c>
      <c r="AW507" s="109" t="str">
        <f t="shared" si="241"/>
        <v/>
      </c>
      <c r="AX507" s="109" t="str">
        <f t="shared" si="242"/>
        <v/>
      </c>
      <c r="AY507" s="112" t="str">
        <f>IF(ISNUMBER(O507),IF(AND(VLOOKUP($D507,Merchantability!$B:$C,2,0)="Yes",$E507&gt;=VLOOKUP($D507,Merchantability!$B:$D,3,0),$E507&lt;=VLOOKUP($D507,Merchantability!$B:$E,4,0)),(AV507*O507)*(1-$H507/100),""),"")</f>
        <v/>
      </c>
      <c r="AZ507" s="116"/>
      <c r="BA507" s="116"/>
      <c r="BB507" s="116"/>
      <c r="BE507" s="62"/>
      <c r="BF507" s="63"/>
    </row>
    <row r="508" spans="1:58" ht="12.75" customHeight="1" x14ac:dyDescent="0.25">
      <c r="A508" s="313"/>
      <c r="B508" s="328"/>
      <c r="C508" s="329"/>
      <c r="D508" s="328"/>
      <c r="E508" s="330"/>
      <c r="F508" s="328"/>
      <c r="G508" s="329"/>
      <c r="H508" s="329"/>
      <c r="I508" s="328"/>
      <c r="J508" s="383"/>
      <c r="K508" s="329"/>
      <c r="L508" s="329"/>
      <c r="M508" s="78"/>
      <c r="N508" s="103" t="str">
        <f>IF(A508="","",VLOOKUP(A508,Stand!C:K,9,0))</f>
        <v/>
      </c>
      <c r="O508" s="104" t="str">
        <f t="shared" si="227"/>
        <v/>
      </c>
      <c r="P508" s="105" t="str">
        <f t="shared" si="228"/>
        <v/>
      </c>
      <c r="Q508" s="105" t="str">
        <f t="shared" si="243"/>
        <v/>
      </c>
      <c r="R508" s="103" t="str">
        <f t="shared" si="229"/>
        <v/>
      </c>
      <c r="S508" s="103" t="str">
        <f t="shared" si="230"/>
        <v/>
      </c>
      <c r="T508" s="106" t="str">
        <f t="shared" si="244"/>
        <v/>
      </c>
      <c r="U508" s="106" t="str">
        <f t="shared" si="245"/>
        <v/>
      </c>
      <c r="V508" s="106" t="str">
        <f t="shared" si="246"/>
        <v/>
      </c>
      <c r="W508" s="105" t="str">
        <f t="shared" si="231"/>
        <v/>
      </c>
      <c r="X508" s="104" t="str">
        <f t="shared" si="236"/>
        <v/>
      </c>
      <c r="Y508" s="104" t="str">
        <f t="array" ref="Y508">IFERROR(IF(ISNUMBER(O508),IF(COUNT(IF(A508=$A$2:$A$2427,IF(D508=$D$2:$D$2427,IF($X$2:$X$2427&gt;0,1))))&gt;0,SUM(IF(A508=$A$2:$A$2427,IF(D508=$D$2:$D$2427,$X$2:$X$2427)))/COUNT(IF(A508=$A$2:$A$2427,IF(D508=$D$2:$D$2427,IF(ISNUMBER($X$2:$X$2427),1)))),0),""),0)</f>
        <v/>
      </c>
      <c r="Z508" s="104" t="str">
        <f>IF(ISNUMBER(O508),IF(I508&gt;0,(10^(VLOOKUP(D508,'Species Codes'!B:C,2,0)+VLOOKUP(D508,'Species Codes'!B:D,3,0)*LOG(E508)+VLOOKUP(D508,'Species Codes'!B:E,4,0)*LOG(I508))),0),"")</f>
        <v/>
      </c>
      <c r="AA508" s="104" t="str">
        <f>IFERROR((VLOOKUP(D508,'Species Codes'!B:G,6,0)*Z508)/2000,"")</f>
        <v/>
      </c>
      <c r="AB508" s="104" t="e">
        <f>IF(Z508&gt;0,((IF(OR(D508="DF",D508="RA")=TRUE,EXP(VLOOKUP(D508,'Species Codes'!B:I,8,0)+VLOOKUP(D508,'Species Codes'!B:J,9,0)*(LN((E508*2.54)))),IF(OR(D508="PY",D508="RC",D508="WH",D508="NF")=TRUE,VLOOKUP(D508,'Species Codes'!B:I,8,0)+VLOOKUP(D508,'Species Codes'!B:J,9,0)*((E508*2.54)^2)*(I508*0.3048),IF(OR(D508="MD",D508="BM",D508="GA")=TRUE,((VLOOKUP(D508,'Species Codes'!B:I,8,0)*(((((E508*2.54)+VLOOKUP(D508,'Species Codes'!B:J,9,0))/VLOOKUP(D508,'Species Codes'!B:K,10,0))^VLOOKUP(D508,'Species Codes'!B:L,11,0))*((I508*0.3048)^VLOOKUP(D508,'Species Codes'!B:M,12,0))))-(VLOOKUP(D508,'Species Codes'!B:I,8,0)*((((E508*2.54)^VLOOKUP(D508,'Species Codes'!B:L,11,0))*((I508*0.3048)^VLOOKUP(D508,'Species Codes'!B:M,12,0))))))*35.3*VLOOKUP(D508,'Species Codes'!B:G,6,0)/2.2046,VLOOKUP(D508,'Species Codes'!B:I,8,0)+VLOOKUP(D508,'Species Codes'!B:J,9,0)*(((E508*2.54)/100)^2)*(I508*0.3048)))))*0.0011023),0)</f>
        <v>#N/A</v>
      </c>
      <c r="AC508" s="104" t="e">
        <f>IF(Z508&gt;0,((IF(OR(D508="RA",D508="OA",D508="OT",D508="UN",D508="PC"),EXP(VLOOKUP(D508,'Species Codes'!B:O,14,0)+VLOOKUP(D508,'Species Codes'!B:P,15,0)*LN((E508*2.54)))-EXP(VLOOKUP(D508,'Species Codes'!B:O,14,0)+VLOOKUP(D508,'Species Codes'!B:P,15,0)*LN((E508*2.54)))*(1/(VLOOKUP(D508,'Species Codes'!B:Q,16,0)+VLOOKUP(D508,'Species Codes'!B:R,17,0)*((E508*2.54)^VLOOKUP(D508,'Species Codes'!B:S,18,0)))),IF(OR(D508="BM",D508="MD",D508="OA"),EXP(VLOOKUP(D508,'Species Codes'!B:O,14,0)+VLOOKUP(D508,'Species Codes'!B:P,15,0)*LN((E508*2.54)))*(1-(1/(VLOOKUP(D508,'Species Codes'!B:Q,16,0)+VLOOKUP(D508,'Species Codes'!B:R,17,0)*((E508*2.54)^VLOOKUP(D508,'Species Codes'!B:S,18,0)))))/1000,IF(D508="DF",EXP(VLOOKUP(D508,'Species Codes'!B:O,14,0)+VLOOKUP(D508,'Species Codes'!B:P,15,0)*LN((E508*2.54))),VLOOKUP(D508,'Species Codes'!B:O,14,0)+VLOOKUP(D508,'Species Codes'!B:P,15,0)*(((E508*2.54)/100)^2)*(I508*0.3048)))))*0.0011023),0)</f>
        <v>#N/A</v>
      </c>
      <c r="AD508" s="104" t="e">
        <f t="shared" si="247"/>
        <v>#N/A</v>
      </c>
      <c r="AE508" s="104" t="e">
        <f t="shared" si="248"/>
        <v>#N/A</v>
      </c>
      <c r="AF508" s="104" t="e">
        <f>IF(AND(VLOOKUP($D508,Merchantability!$B:$C,2,0)="Yes",$E508&gt;=VLOOKUP($D508,Merchantability!$B:$D,3,0),$E508&lt;=VLOOKUP($D508,Merchantability!$B:$E,4,0)),AA508,0)</f>
        <v>#N/A</v>
      </c>
      <c r="AG508" s="104" t="e">
        <f>IF(AND(VLOOKUP($D508,Merchantability!$B:$C,2,0)="Yes",$E508&gt;=VLOOKUP($D508,Merchantability!$B:$D,3,0),$E508&lt;=VLOOKUP($D508,Merchantability!$B:$E,4,0)),AB508,0)</f>
        <v>#N/A</v>
      </c>
      <c r="AH508" s="104" t="e">
        <f>IF(AND(VLOOKUP($D508,Merchantability!$B:$C,2,0)="Yes",$E508&gt;=VLOOKUP($D508,Merchantability!$B:$D,3,0),$E508&lt;=VLOOKUP($D508,Merchantability!$B:$E,4,0)),AC508,0)</f>
        <v>#N/A</v>
      </c>
      <c r="AI508" s="104" t="e">
        <f t="shared" si="249"/>
        <v>#N/A</v>
      </c>
      <c r="AJ508" s="104" t="e">
        <f t="shared" si="250"/>
        <v>#VALUE!</v>
      </c>
      <c r="AK508" s="104" t="e">
        <f t="shared" si="251"/>
        <v>#N/A</v>
      </c>
      <c r="AL508" s="104" t="e">
        <f t="shared" si="252"/>
        <v>#N/A</v>
      </c>
      <c r="AM508" s="104" t="e">
        <f t="shared" si="253"/>
        <v>#N/A</v>
      </c>
      <c r="AN508" s="104" t="e">
        <f t="shared" si="237"/>
        <v>#N/A</v>
      </c>
      <c r="AO508" s="104" t="e">
        <f t="shared" si="238"/>
        <v>#N/A</v>
      </c>
      <c r="AP508" s="104" t="e">
        <f t="shared" si="239"/>
        <v>#N/A</v>
      </c>
      <c r="AQ508" s="104" t="e">
        <f t="shared" si="240"/>
        <v>#N/A</v>
      </c>
      <c r="AR508" s="105" t="str">
        <f t="shared" si="232"/>
        <v/>
      </c>
      <c r="AS508" s="105" t="str">
        <f t="shared" si="233"/>
        <v/>
      </c>
      <c r="AT508" s="108" t="str">
        <f t="shared" si="234"/>
        <v/>
      </c>
      <c r="AU508" s="108" t="str">
        <f t="shared" si="235"/>
        <v/>
      </c>
      <c r="AV508" s="107" t="str">
        <f>IF(ISNUMBER(O508),IF(VLOOKUP($A508,Stand!C:J,8,FALSE)="Short",AT508,AU508),"")</f>
        <v/>
      </c>
      <c r="AW508" s="109" t="str">
        <f t="shared" si="241"/>
        <v/>
      </c>
      <c r="AX508" s="109" t="str">
        <f t="shared" si="242"/>
        <v/>
      </c>
      <c r="AY508" s="112" t="str">
        <f>IF(ISNUMBER(O508),IF(AND(VLOOKUP($D508,Merchantability!$B:$C,2,0)="Yes",$E508&gt;=VLOOKUP($D508,Merchantability!$B:$D,3,0),$E508&lt;=VLOOKUP($D508,Merchantability!$B:$E,4,0)),(AV508*O508)*(1-$H508/100),""),"")</f>
        <v/>
      </c>
      <c r="AZ508" s="116"/>
      <c r="BA508" s="116"/>
      <c r="BB508" s="116"/>
      <c r="BE508" s="62"/>
      <c r="BF508" s="63"/>
    </row>
    <row r="509" spans="1:58" ht="12.75" customHeight="1" x14ac:dyDescent="0.25">
      <c r="A509" s="313"/>
      <c r="B509" s="328"/>
      <c r="C509" s="329"/>
      <c r="D509" s="328"/>
      <c r="E509" s="330"/>
      <c r="F509" s="328"/>
      <c r="G509" s="329"/>
      <c r="H509" s="329"/>
      <c r="I509" s="328"/>
      <c r="J509" s="383"/>
      <c r="K509" s="329"/>
      <c r="L509" s="329"/>
      <c r="M509" s="78"/>
      <c r="N509" s="103" t="str">
        <f>IF(A509="","",VLOOKUP(A509,Stand!C:K,9,0))</f>
        <v/>
      </c>
      <c r="O509" s="104" t="str">
        <f t="shared" si="227"/>
        <v/>
      </c>
      <c r="P509" s="105" t="str">
        <f t="shared" si="228"/>
        <v/>
      </c>
      <c r="Q509" s="105" t="str">
        <f t="shared" si="243"/>
        <v/>
      </c>
      <c r="R509" s="103" t="str">
        <f t="shared" si="229"/>
        <v/>
      </c>
      <c r="S509" s="103" t="str">
        <f t="shared" si="230"/>
        <v/>
      </c>
      <c r="T509" s="106" t="str">
        <f t="shared" si="244"/>
        <v/>
      </c>
      <c r="U509" s="106" t="str">
        <f t="shared" si="245"/>
        <v/>
      </c>
      <c r="V509" s="106" t="str">
        <f t="shared" si="246"/>
        <v/>
      </c>
      <c r="W509" s="105" t="str">
        <f t="shared" si="231"/>
        <v/>
      </c>
      <c r="X509" s="104" t="str">
        <f t="shared" si="236"/>
        <v/>
      </c>
      <c r="Y509" s="104" t="str">
        <f t="array" ref="Y509">IFERROR(IF(ISNUMBER(O509),IF(COUNT(IF(A509=$A$2:$A$2427,IF(D509=$D$2:$D$2427,IF($X$2:$X$2427&gt;0,1))))&gt;0,SUM(IF(A509=$A$2:$A$2427,IF(D509=$D$2:$D$2427,$X$2:$X$2427)))/COUNT(IF(A509=$A$2:$A$2427,IF(D509=$D$2:$D$2427,IF(ISNUMBER($X$2:$X$2427),1)))),0),""),0)</f>
        <v/>
      </c>
      <c r="Z509" s="104" t="str">
        <f>IF(ISNUMBER(O509),IF(I509&gt;0,(10^(VLOOKUP(D509,'Species Codes'!B:C,2,0)+VLOOKUP(D509,'Species Codes'!B:D,3,0)*LOG(E509)+VLOOKUP(D509,'Species Codes'!B:E,4,0)*LOG(I509))),0),"")</f>
        <v/>
      </c>
      <c r="AA509" s="104" t="str">
        <f>IFERROR((VLOOKUP(D509,'Species Codes'!B:G,6,0)*Z509)/2000,"")</f>
        <v/>
      </c>
      <c r="AB509" s="104" t="e">
        <f>IF(Z509&gt;0,((IF(OR(D509="DF",D509="RA")=TRUE,EXP(VLOOKUP(D509,'Species Codes'!B:I,8,0)+VLOOKUP(D509,'Species Codes'!B:J,9,0)*(LN((E509*2.54)))),IF(OR(D509="PY",D509="RC",D509="WH",D509="NF")=TRUE,VLOOKUP(D509,'Species Codes'!B:I,8,0)+VLOOKUP(D509,'Species Codes'!B:J,9,0)*((E509*2.54)^2)*(I509*0.3048),IF(OR(D509="MD",D509="BM",D509="GA")=TRUE,((VLOOKUP(D509,'Species Codes'!B:I,8,0)*(((((E509*2.54)+VLOOKUP(D509,'Species Codes'!B:J,9,0))/VLOOKUP(D509,'Species Codes'!B:K,10,0))^VLOOKUP(D509,'Species Codes'!B:L,11,0))*((I509*0.3048)^VLOOKUP(D509,'Species Codes'!B:M,12,0))))-(VLOOKUP(D509,'Species Codes'!B:I,8,0)*((((E509*2.54)^VLOOKUP(D509,'Species Codes'!B:L,11,0))*((I509*0.3048)^VLOOKUP(D509,'Species Codes'!B:M,12,0))))))*35.3*VLOOKUP(D509,'Species Codes'!B:G,6,0)/2.2046,VLOOKUP(D509,'Species Codes'!B:I,8,0)+VLOOKUP(D509,'Species Codes'!B:J,9,0)*(((E509*2.54)/100)^2)*(I509*0.3048)))))*0.0011023),0)</f>
        <v>#N/A</v>
      </c>
      <c r="AC509" s="104" t="e">
        <f>IF(Z509&gt;0,((IF(OR(D509="RA",D509="OA",D509="OT",D509="UN",D509="PC"),EXP(VLOOKUP(D509,'Species Codes'!B:O,14,0)+VLOOKUP(D509,'Species Codes'!B:P,15,0)*LN((E509*2.54)))-EXP(VLOOKUP(D509,'Species Codes'!B:O,14,0)+VLOOKUP(D509,'Species Codes'!B:P,15,0)*LN((E509*2.54)))*(1/(VLOOKUP(D509,'Species Codes'!B:Q,16,0)+VLOOKUP(D509,'Species Codes'!B:R,17,0)*((E509*2.54)^VLOOKUP(D509,'Species Codes'!B:S,18,0)))),IF(OR(D509="BM",D509="MD",D509="OA"),EXP(VLOOKUP(D509,'Species Codes'!B:O,14,0)+VLOOKUP(D509,'Species Codes'!B:P,15,0)*LN((E509*2.54)))*(1-(1/(VLOOKUP(D509,'Species Codes'!B:Q,16,0)+VLOOKUP(D509,'Species Codes'!B:R,17,0)*((E509*2.54)^VLOOKUP(D509,'Species Codes'!B:S,18,0)))))/1000,IF(D509="DF",EXP(VLOOKUP(D509,'Species Codes'!B:O,14,0)+VLOOKUP(D509,'Species Codes'!B:P,15,0)*LN((E509*2.54))),VLOOKUP(D509,'Species Codes'!B:O,14,0)+VLOOKUP(D509,'Species Codes'!B:P,15,0)*(((E509*2.54)/100)^2)*(I509*0.3048)))))*0.0011023),0)</f>
        <v>#N/A</v>
      </c>
      <c r="AD509" s="104" t="e">
        <f t="shared" si="247"/>
        <v>#N/A</v>
      </c>
      <c r="AE509" s="104" t="e">
        <f t="shared" si="248"/>
        <v>#N/A</v>
      </c>
      <c r="AF509" s="104" t="e">
        <f>IF(AND(VLOOKUP($D509,Merchantability!$B:$C,2,0)="Yes",$E509&gt;=VLOOKUP($D509,Merchantability!$B:$D,3,0),$E509&lt;=VLOOKUP($D509,Merchantability!$B:$E,4,0)),AA509,0)</f>
        <v>#N/A</v>
      </c>
      <c r="AG509" s="104" t="e">
        <f>IF(AND(VLOOKUP($D509,Merchantability!$B:$C,2,0)="Yes",$E509&gt;=VLOOKUP($D509,Merchantability!$B:$D,3,0),$E509&lt;=VLOOKUP($D509,Merchantability!$B:$E,4,0)),AB509,0)</f>
        <v>#N/A</v>
      </c>
      <c r="AH509" s="104" t="e">
        <f>IF(AND(VLOOKUP($D509,Merchantability!$B:$C,2,0)="Yes",$E509&gt;=VLOOKUP($D509,Merchantability!$B:$D,3,0),$E509&lt;=VLOOKUP($D509,Merchantability!$B:$E,4,0)),AC509,0)</f>
        <v>#N/A</v>
      </c>
      <c r="AI509" s="104" t="e">
        <f t="shared" si="249"/>
        <v>#N/A</v>
      </c>
      <c r="AJ509" s="104" t="e">
        <f t="shared" si="250"/>
        <v>#VALUE!</v>
      </c>
      <c r="AK509" s="104" t="e">
        <f t="shared" si="251"/>
        <v>#N/A</v>
      </c>
      <c r="AL509" s="104" t="e">
        <f t="shared" si="252"/>
        <v>#N/A</v>
      </c>
      <c r="AM509" s="104" t="e">
        <f t="shared" si="253"/>
        <v>#N/A</v>
      </c>
      <c r="AN509" s="104" t="e">
        <f t="shared" si="237"/>
        <v>#N/A</v>
      </c>
      <c r="AO509" s="104" t="e">
        <f t="shared" si="238"/>
        <v>#N/A</v>
      </c>
      <c r="AP509" s="104" t="e">
        <f t="shared" si="239"/>
        <v>#N/A</v>
      </c>
      <c r="AQ509" s="104" t="e">
        <f t="shared" si="240"/>
        <v>#N/A</v>
      </c>
      <c r="AR509" s="105" t="str">
        <f t="shared" si="232"/>
        <v/>
      </c>
      <c r="AS509" s="105" t="str">
        <f t="shared" si="233"/>
        <v/>
      </c>
      <c r="AT509" s="108" t="str">
        <f t="shared" si="234"/>
        <v/>
      </c>
      <c r="AU509" s="108" t="str">
        <f t="shared" si="235"/>
        <v/>
      </c>
      <c r="AV509" s="107" t="str">
        <f>IF(ISNUMBER(O509),IF(VLOOKUP($A509,Stand!C:J,8,FALSE)="Short",AT509,AU509),"")</f>
        <v/>
      </c>
      <c r="AW509" s="109" t="str">
        <f t="shared" si="241"/>
        <v/>
      </c>
      <c r="AX509" s="109" t="str">
        <f t="shared" si="242"/>
        <v/>
      </c>
      <c r="AY509" s="112" t="str">
        <f>IF(ISNUMBER(O509),IF(AND(VLOOKUP($D509,Merchantability!$B:$C,2,0)="Yes",$E509&gt;=VLOOKUP($D509,Merchantability!$B:$D,3,0),$E509&lt;=VLOOKUP($D509,Merchantability!$B:$E,4,0)),(AV509*O509)*(1-$H509/100),""),"")</f>
        <v/>
      </c>
      <c r="AZ509" s="116"/>
      <c r="BA509" s="116"/>
      <c r="BB509" s="116"/>
      <c r="BE509" s="62"/>
      <c r="BF509" s="63"/>
    </row>
    <row r="510" spans="1:58" ht="12.75" customHeight="1" x14ac:dyDescent="0.25">
      <c r="A510" s="313"/>
      <c r="B510" s="328"/>
      <c r="C510" s="329"/>
      <c r="D510" s="328"/>
      <c r="E510" s="330"/>
      <c r="F510" s="328"/>
      <c r="G510" s="329"/>
      <c r="H510" s="329"/>
      <c r="I510" s="328"/>
      <c r="J510" s="383"/>
      <c r="K510" s="329"/>
      <c r="L510" s="329"/>
      <c r="M510" s="78"/>
      <c r="N510" s="103" t="str">
        <f>IF(A510="","",VLOOKUP(A510,Stand!C:K,9,0))</f>
        <v/>
      </c>
      <c r="O510" s="104" t="str">
        <f t="shared" si="227"/>
        <v/>
      </c>
      <c r="P510" s="105" t="str">
        <f t="shared" si="228"/>
        <v/>
      </c>
      <c r="Q510" s="105" t="str">
        <f t="shared" si="243"/>
        <v/>
      </c>
      <c r="R510" s="103" t="str">
        <f t="shared" si="229"/>
        <v/>
      </c>
      <c r="S510" s="103" t="str">
        <f t="shared" si="230"/>
        <v/>
      </c>
      <c r="T510" s="106" t="str">
        <f t="shared" si="244"/>
        <v/>
      </c>
      <c r="U510" s="106" t="str">
        <f t="shared" si="245"/>
        <v/>
      </c>
      <c r="V510" s="106" t="str">
        <f t="shared" si="246"/>
        <v/>
      </c>
      <c r="W510" s="105" t="str">
        <f t="shared" si="231"/>
        <v/>
      </c>
      <c r="X510" s="104" t="str">
        <f t="shared" si="236"/>
        <v/>
      </c>
      <c r="Y510" s="104" t="str">
        <f t="array" ref="Y510">IFERROR(IF(ISNUMBER(O510),IF(COUNT(IF(A510=$A$2:$A$2427,IF(D510=$D$2:$D$2427,IF($X$2:$X$2427&gt;0,1))))&gt;0,SUM(IF(A510=$A$2:$A$2427,IF(D510=$D$2:$D$2427,$X$2:$X$2427)))/COUNT(IF(A510=$A$2:$A$2427,IF(D510=$D$2:$D$2427,IF(ISNUMBER($X$2:$X$2427),1)))),0),""),0)</f>
        <v/>
      </c>
      <c r="Z510" s="104" t="str">
        <f>IF(ISNUMBER(O510),IF(I510&gt;0,(10^(VLOOKUP(D510,'Species Codes'!B:C,2,0)+VLOOKUP(D510,'Species Codes'!B:D,3,0)*LOG(E510)+VLOOKUP(D510,'Species Codes'!B:E,4,0)*LOG(I510))),0),"")</f>
        <v/>
      </c>
      <c r="AA510" s="104" t="str">
        <f>IFERROR((VLOOKUP(D510,'Species Codes'!B:G,6,0)*Z510)/2000,"")</f>
        <v/>
      </c>
      <c r="AB510" s="104" t="e">
        <f>IF(Z510&gt;0,((IF(OR(D510="DF",D510="RA")=TRUE,EXP(VLOOKUP(D510,'Species Codes'!B:I,8,0)+VLOOKUP(D510,'Species Codes'!B:J,9,0)*(LN((E510*2.54)))),IF(OR(D510="PY",D510="RC",D510="WH",D510="NF")=TRUE,VLOOKUP(D510,'Species Codes'!B:I,8,0)+VLOOKUP(D510,'Species Codes'!B:J,9,0)*((E510*2.54)^2)*(I510*0.3048),IF(OR(D510="MD",D510="BM",D510="GA")=TRUE,((VLOOKUP(D510,'Species Codes'!B:I,8,0)*(((((E510*2.54)+VLOOKUP(D510,'Species Codes'!B:J,9,0))/VLOOKUP(D510,'Species Codes'!B:K,10,0))^VLOOKUP(D510,'Species Codes'!B:L,11,0))*((I510*0.3048)^VLOOKUP(D510,'Species Codes'!B:M,12,0))))-(VLOOKUP(D510,'Species Codes'!B:I,8,0)*((((E510*2.54)^VLOOKUP(D510,'Species Codes'!B:L,11,0))*((I510*0.3048)^VLOOKUP(D510,'Species Codes'!B:M,12,0))))))*35.3*VLOOKUP(D510,'Species Codes'!B:G,6,0)/2.2046,VLOOKUP(D510,'Species Codes'!B:I,8,0)+VLOOKUP(D510,'Species Codes'!B:J,9,0)*(((E510*2.54)/100)^2)*(I510*0.3048)))))*0.0011023),0)</f>
        <v>#N/A</v>
      </c>
      <c r="AC510" s="104" t="e">
        <f>IF(Z510&gt;0,((IF(OR(D510="RA",D510="OA",D510="OT",D510="UN",D510="PC"),EXP(VLOOKUP(D510,'Species Codes'!B:O,14,0)+VLOOKUP(D510,'Species Codes'!B:P,15,0)*LN((E510*2.54)))-EXP(VLOOKUP(D510,'Species Codes'!B:O,14,0)+VLOOKUP(D510,'Species Codes'!B:P,15,0)*LN((E510*2.54)))*(1/(VLOOKUP(D510,'Species Codes'!B:Q,16,0)+VLOOKUP(D510,'Species Codes'!B:R,17,0)*((E510*2.54)^VLOOKUP(D510,'Species Codes'!B:S,18,0)))),IF(OR(D510="BM",D510="MD",D510="OA"),EXP(VLOOKUP(D510,'Species Codes'!B:O,14,0)+VLOOKUP(D510,'Species Codes'!B:P,15,0)*LN((E510*2.54)))*(1-(1/(VLOOKUP(D510,'Species Codes'!B:Q,16,0)+VLOOKUP(D510,'Species Codes'!B:R,17,0)*((E510*2.54)^VLOOKUP(D510,'Species Codes'!B:S,18,0)))))/1000,IF(D510="DF",EXP(VLOOKUP(D510,'Species Codes'!B:O,14,0)+VLOOKUP(D510,'Species Codes'!B:P,15,0)*LN((E510*2.54))),VLOOKUP(D510,'Species Codes'!B:O,14,0)+VLOOKUP(D510,'Species Codes'!B:P,15,0)*(((E510*2.54)/100)^2)*(I510*0.3048)))))*0.0011023),0)</f>
        <v>#N/A</v>
      </c>
      <c r="AD510" s="104" t="e">
        <f t="shared" si="247"/>
        <v>#N/A</v>
      </c>
      <c r="AE510" s="104" t="e">
        <f t="shared" si="248"/>
        <v>#N/A</v>
      </c>
      <c r="AF510" s="104" t="e">
        <f>IF(AND(VLOOKUP($D510,Merchantability!$B:$C,2,0)="Yes",$E510&gt;=VLOOKUP($D510,Merchantability!$B:$D,3,0),$E510&lt;=VLOOKUP($D510,Merchantability!$B:$E,4,0)),AA510,0)</f>
        <v>#N/A</v>
      </c>
      <c r="AG510" s="104" t="e">
        <f>IF(AND(VLOOKUP($D510,Merchantability!$B:$C,2,0)="Yes",$E510&gt;=VLOOKUP($D510,Merchantability!$B:$D,3,0),$E510&lt;=VLOOKUP($D510,Merchantability!$B:$E,4,0)),AB510,0)</f>
        <v>#N/A</v>
      </c>
      <c r="AH510" s="104" t="e">
        <f>IF(AND(VLOOKUP($D510,Merchantability!$B:$C,2,0)="Yes",$E510&gt;=VLOOKUP($D510,Merchantability!$B:$D,3,0),$E510&lt;=VLOOKUP($D510,Merchantability!$B:$E,4,0)),AC510,0)</f>
        <v>#N/A</v>
      </c>
      <c r="AI510" s="104" t="e">
        <f t="shared" si="249"/>
        <v>#N/A</v>
      </c>
      <c r="AJ510" s="104" t="e">
        <f t="shared" si="250"/>
        <v>#VALUE!</v>
      </c>
      <c r="AK510" s="104" t="e">
        <f t="shared" si="251"/>
        <v>#N/A</v>
      </c>
      <c r="AL510" s="104" t="e">
        <f t="shared" si="252"/>
        <v>#N/A</v>
      </c>
      <c r="AM510" s="104" t="e">
        <f t="shared" si="253"/>
        <v>#N/A</v>
      </c>
      <c r="AN510" s="104" t="e">
        <f t="shared" si="237"/>
        <v>#N/A</v>
      </c>
      <c r="AO510" s="104" t="e">
        <f t="shared" si="238"/>
        <v>#N/A</v>
      </c>
      <c r="AP510" s="104" t="e">
        <f t="shared" si="239"/>
        <v>#N/A</v>
      </c>
      <c r="AQ510" s="104" t="e">
        <f t="shared" si="240"/>
        <v>#N/A</v>
      </c>
      <c r="AR510" s="105" t="str">
        <f t="shared" si="232"/>
        <v/>
      </c>
      <c r="AS510" s="105" t="str">
        <f t="shared" si="233"/>
        <v/>
      </c>
      <c r="AT510" s="108" t="str">
        <f t="shared" si="234"/>
        <v/>
      </c>
      <c r="AU510" s="108" t="str">
        <f t="shared" si="235"/>
        <v/>
      </c>
      <c r="AV510" s="107" t="str">
        <f>IF(ISNUMBER(O510),IF(VLOOKUP($A510,Stand!C:J,8,FALSE)="Short",AT510,AU510),"")</f>
        <v/>
      </c>
      <c r="AW510" s="109" t="str">
        <f t="shared" si="241"/>
        <v/>
      </c>
      <c r="AX510" s="109" t="str">
        <f t="shared" si="242"/>
        <v/>
      </c>
      <c r="AY510" s="112" t="str">
        <f>IF(ISNUMBER(O510),IF(AND(VLOOKUP($D510,Merchantability!$B:$C,2,0)="Yes",$E510&gt;=VLOOKUP($D510,Merchantability!$B:$D,3,0),$E510&lt;=VLOOKUP($D510,Merchantability!$B:$E,4,0)),(AV510*O510)*(1-$H510/100),""),"")</f>
        <v/>
      </c>
      <c r="AZ510" s="116"/>
      <c r="BA510" s="116"/>
      <c r="BB510" s="116"/>
      <c r="BE510" s="62"/>
      <c r="BF510" s="63"/>
    </row>
    <row r="511" spans="1:58" ht="12.75" customHeight="1" x14ac:dyDescent="0.25">
      <c r="A511" s="313"/>
      <c r="B511" s="328"/>
      <c r="C511" s="329"/>
      <c r="D511" s="328"/>
      <c r="E511" s="330"/>
      <c r="F511" s="328"/>
      <c r="G511" s="329"/>
      <c r="H511" s="329"/>
      <c r="I511" s="328"/>
      <c r="J511" s="383"/>
      <c r="K511" s="329"/>
      <c r="L511" s="329"/>
      <c r="M511" s="78"/>
      <c r="N511" s="103" t="str">
        <f>IF(A511="","",VLOOKUP(A511,Stand!C:K,9,0))</f>
        <v/>
      </c>
      <c r="O511" s="104" t="str">
        <f t="shared" si="227"/>
        <v/>
      </c>
      <c r="P511" s="105" t="str">
        <f t="shared" si="228"/>
        <v/>
      </c>
      <c r="Q511" s="105" t="str">
        <f t="shared" si="243"/>
        <v/>
      </c>
      <c r="R511" s="103" t="str">
        <f t="shared" si="229"/>
        <v/>
      </c>
      <c r="S511" s="103" t="str">
        <f t="shared" si="230"/>
        <v/>
      </c>
      <c r="T511" s="106" t="str">
        <f t="shared" si="244"/>
        <v/>
      </c>
      <c r="U511" s="106" t="str">
        <f t="shared" si="245"/>
        <v/>
      </c>
      <c r="V511" s="106" t="str">
        <f t="shared" si="246"/>
        <v/>
      </c>
      <c r="W511" s="105" t="str">
        <f t="shared" si="231"/>
        <v/>
      </c>
      <c r="X511" s="104" t="str">
        <f t="shared" si="236"/>
        <v/>
      </c>
      <c r="Y511" s="104" t="str">
        <f t="array" ref="Y511">IFERROR(IF(ISNUMBER(O511),IF(COUNT(IF(A511=$A$2:$A$2427,IF(D511=$D$2:$D$2427,IF($X$2:$X$2427&gt;0,1))))&gt;0,SUM(IF(A511=$A$2:$A$2427,IF(D511=$D$2:$D$2427,$X$2:$X$2427)))/COUNT(IF(A511=$A$2:$A$2427,IF(D511=$D$2:$D$2427,IF(ISNUMBER($X$2:$X$2427),1)))),0),""),0)</f>
        <v/>
      </c>
      <c r="Z511" s="104" t="str">
        <f>IF(ISNUMBER(O511),IF(I511&gt;0,(10^(VLOOKUP(D511,'Species Codes'!B:C,2,0)+VLOOKUP(D511,'Species Codes'!B:D,3,0)*LOG(E511)+VLOOKUP(D511,'Species Codes'!B:E,4,0)*LOG(I511))),0),"")</f>
        <v/>
      </c>
      <c r="AA511" s="104" t="str">
        <f>IFERROR((VLOOKUP(D511,'Species Codes'!B:G,6,0)*Z511)/2000,"")</f>
        <v/>
      </c>
      <c r="AB511" s="104" t="e">
        <f>IF(Z511&gt;0,((IF(OR(D511="DF",D511="RA")=TRUE,EXP(VLOOKUP(D511,'Species Codes'!B:I,8,0)+VLOOKUP(D511,'Species Codes'!B:J,9,0)*(LN((E511*2.54)))),IF(OR(D511="PY",D511="RC",D511="WH",D511="NF")=TRUE,VLOOKUP(D511,'Species Codes'!B:I,8,0)+VLOOKUP(D511,'Species Codes'!B:J,9,0)*((E511*2.54)^2)*(I511*0.3048),IF(OR(D511="MD",D511="BM",D511="GA")=TRUE,((VLOOKUP(D511,'Species Codes'!B:I,8,0)*(((((E511*2.54)+VLOOKUP(D511,'Species Codes'!B:J,9,0))/VLOOKUP(D511,'Species Codes'!B:K,10,0))^VLOOKUP(D511,'Species Codes'!B:L,11,0))*((I511*0.3048)^VLOOKUP(D511,'Species Codes'!B:M,12,0))))-(VLOOKUP(D511,'Species Codes'!B:I,8,0)*((((E511*2.54)^VLOOKUP(D511,'Species Codes'!B:L,11,0))*((I511*0.3048)^VLOOKUP(D511,'Species Codes'!B:M,12,0))))))*35.3*VLOOKUP(D511,'Species Codes'!B:G,6,0)/2.2046,VLOOKUP(D511,'Species Codes'!B:I,8,0)+VLOOKUP(D511,'Species Codes'!B:J,9,0)*(((E511*2.54)/100)^2)*(I511*0.3048)))))*0.0011023),0)</f>
        <v>#N/A</v>
      </c>
      <c r="AC511" s="104" t="e">
        <f>IF(Z511&gt;0,((IF(OR(D511="RA",D511="OA",D511="OT",D511="UN",D511="PC"),EXP(VLOOKUP(D511,'Species Codes'!B:O,14,0)+VLOOKUP(D511,'Species Codes'!B:P,15,0)*LN((E511*2.54)))-EXP(VLOOKUP(D511,'Species Codes'!B:O,14,0)+VLOOKUP(D511,'Species Codes'!B:P,15,0)*LN((E511*2.54)))*(1/(VLOOKUP(D511,'Species Codes'!B:Q,16,0)+VLOOKUP(D511,'Species Codes'!B:R,17,0)*((E511*2.54)^VLOOKUP(D511,'Species Codes'!B:S,18,0)))),IF(OR(D511="BM",D511="MD",D511="OA"),EXP(VLOOKUP(D511,'Species Codes'!B:O,14,0)+VLOOKUP(D511,'Species Codes'!B:P,15,0)*LN((E511*2.54)))*(1-(1/(VLOOKUP(D511,'Species Codes'!B:Q,16,0)+VLOOKUP(D511,'Species Codes'!B:R,17,0)*((E511*2.54)^VLOOKUP(D511,'Species Codes'!B:S,18,0)))))/1000,IF(D511="DF",EXP(VLOOKUP(D511,'Species Codes'!B:O,14,0)+VLOOKUP(D511,'Species Codes'!B:P,15,0)*LN((E511*2.54))),VLOOKUP(D511,'Species Codes'!B:O,14,0)+VLOOKUP(D511,'Species Codes'!B:P,15,0)*(((E511*2.54)/100)^2)*(I511*0.3048)))))*0.0011023),0)</f>
        <v>#N/A</v>
      </c>
      <c r="AD511" s="104" t="e">
        <f t="shared" si="247"/>
        <v>#N/A</v>
      </c>
      <c r="AE511" s="104" t="e">
        <f t="shared" si="248"/>
        <v>#N/A</v>
      </c>
      <c r="AF511" s="104" t="e">
        <f>IF(AND(VLOOKUP($D511,Merchantability!$B:$C,2,0)="Yes",$E511&gt;=VLOOKUP($D511,Merchantability!$B:$D,3,0),$E511&lt;=VLOOKUP($D511,Merchantability!$B:$E,4,0)),AA511,0)</f>
        <v>#N/A</v>
      </c>
      <c r="AG511" s="104" t="e">
        <f>IF(AND(VLOOKUP($D511,Merchantability!$B:$C,2,0)="Yes",$E511&gt;=VLOOKUP($D511,Merchantability!$B:$D,3,0),$E511&lt;=VLOOKUP($D511,Merchantability!$B:$E,4,0)),AB511,0)</f>
        <v>#N/A</v>
      </c>
      <c r="AH511" s="104" t="e">
        <f>IF(AND(VLOOKUP($D511,Merchantability!$B:$C,2,0)="Yes",$E511&gt;=VLOOKUP($D511,Merchantability!$B:$D,3,0),$E511&lt;=VLOOKUP($D511,Merchantability!$B:$E,4,0)),AC511,0)</f>
        <v>#N/A</v>
      </c>
      <c r="AI511" s="104" t="e">
        <f t="shared" si="249"/>
        <v>#N/A</v>
      </c>
      <c r="AJ511" s="104" t="e">
        <f t="shared" si="250"/>
        <v>#VALUE!</v>
      </c>
      <c r="AK511" s="104" t="e">
        <f t="shared" si="251"/>
        <v>#N/A</v>
      </c>
      <c r="AL511" s="104" t="e">
        <f t="shared" si="252"/>
        <v>#N/A</v>
      </c>
      <c r="AM511" s="104" t="e">
        <f t="shared" si="253"/>
        <v>#N/A</v>
      </c>
      <c r="AN511" s="104" t="e">
        <f t="shared" si="237"/>
        <v>#N/A</v>
      </c>
      <c r="AO511" s="104" t="e">
        <f t="shared" si="238"/>
        <v>#N/A</v>
      </c>
      <c r="AP511" s="104" t="e">
        <f t="shared" si="239"/>
        <v>#N/A</v>
      </c>
      <c r="AQ511" s="104" t="e">
        <f t="shared" si="240"/>
        <v>#N/A</v>
      </c>
      <c r="AR511" s="105" t="str">
        <f t="shared" si="232"/>
        <v/>
      </c>
      <c r="AS511" s="105" t="str">
        <f t="shared" si="233"/>
        <v/>
      </c>
      <c r="AT511" s="108" t="str">
        <f t="shared" si="234"/>
        <v/>
      </c>
      <c r="AU511" s="108" t="str">
        <f t="shared" si="235"/>
        <v/>
      </c>
      <c r="AV511" s="107" t="str">
        <f>IF(ISNUMBER(O511),IF(VLOOKUP($A511,Stand!C:J,8,FALSE)="Short",AT511,AU511),"")</f>
        <v/>
      </c>
      <c r="AW511" s="109" t="str">
        <f t="shared" si="241"/>
        <v/>
      </c>
      <c r="AX511" s="109" t="str">
        <f t="shared" si="242"/>
        <v/>
      </c>
      <c r="AY511" s="112" t="str">
        <f>IF(ISNUMBER(O511),IF(AND(VLOOKUP($D511,Merchantability!$B:$C,2,0)="Yes",$E511&gt;=VLOOKUP($D511,Merchantability!$B:$D,3,0),$E511&lt;=VLOOKUP($D511,Merchantability!$B:$E,4,0)),(AV511*O511)*(1-$H511/100),""),"")</f>
        <v/>
      </c>
      <c r="AZ511" s="116"/>
      <c r="BA511" s="116"/>
      <c r="BB511" s="116"/>
      <c r="BE511" s="62"/>
      <c r="BF511" s="63"/>
    </row>
    <row r="512" spans="1:58" ht="12.75" customHeight="1" x14ac:dyDescent="0.25">
      <c r="A512" s="313"/>
      <c r="B512" s="328"/>
      <c r="C512" s="329"/>
      <c r="D512" s="328"/>
      <c r="E512" s="330"/>
      <c r="F512" s="328"/>
      <c r="G512" s="329"/>
      <c r="H512" s="329"/>
      <c r="I512" s="328"/>
      <c r="J512" s="383"/>
      <c r="K512" s="329"/>
      <c r="L512" s="329"/>
      <c r="M512" s="78"/>
      <c r="N512" s="103" t="str">
        <f>IF(A512="","",VLOOKUP(A512,Stand!C:K,9,0))</f>
        <v/>
      </c>
      <c r="O512" s="104" t="str">
        <f t="shared" si="227"/>
        <v/>
      </c>
      <c r="P512" s="105" t="str">
        <f t="shared" si="228"/>
        <v/>
      </c>
      <c r="Q512" s="105" t="str">
        <f t="shared" si="243"/>
        <v/>
      </c>
      <c r="R512" s="103" t="str">
        <f t="shared" si="229"/>
        <v/>
      </c>
      <c r="S512" s="103" t="str">
        <f t="shared" si="230"/>
        <v/>
      </c>
      <c r="T512" s="106" t="str">
        <f t="shared" si="244"/>
        <v/>
      </c>
      <c r="U512" s="106" t="str">
        <f t="shared" si="245"/>
        <v/>
      </c>
      <c r="V512" s="106" t="str">
        <f t="shared" si="246"/>
        <v/>
      </c>
      <c r="W512" s="105" t="str">
        <f t="shared" si="231"/>
        <v/>
      </c>
      <c r="X512" s="104" t="str">
        <f t="shared" si="236"/>
        <v/>
      </c>
      <c r="Y512" s="104" t="str">
        <f t="array" ref="Y512">IFERROR(IF(ISNUMBER(O512),IF(COUNT(IF(A512=$A$2:$A$2427,IF(D512=$D$2:$D$2427,IF($X$2:$X$2427&gt;0,1))))&gt;0,SUM(IF(A512=$A$2:$A$2427,IF(D512=$D$2:$D$2427,$X$2:$X$2427)))/COUNT(IF(A512=$A$2:$A$2427,IF(D512=$D$2:$D$2427,IF(ISNUMBER($X$2:$X$2427),1)))),0),""),0)</f>
        <v/>
      </c>
      <c r="Z512" s="104" t="str">
        <f>IF(ISNUMBER(O512),IF(I512&gt;0,(10^(VLOOKUP(D512,'Species Codes'!B:C,2,0)+VLOOKUP(D512,'Species Codes'!B:D,3,0)*LOG(E512)+VLOOKUP(D512,'Species Codes'!B:E,4,0)*LOG(I512))),0),"")</f>
        <v/>
      </c>
      <c r="AA512" s="104" t="str">
        <f>IFERROR((VLOOKUP(D512,'Species Codes'!B:G,6,0)*Z512)/2000,"")</f>
        <v/>
      </c>
      <c r="AB512" s="104" t="e">
        <f>IF(Z512&gt;0,((IF(OR(D512="DF",D512="RA")=TRUE,EXP(VLOOKUP(D512,'Species Codes'!B:I,8,0)+VLOOKUP(D512,'Species Codes'!B:J,9,0)*(LN((E512*2.54)))),IF(OR(D512="PY",D512="RC",D512="WH",D512="NF")=TRUE,VLOOKUP(D512,'Species Codes'!B:I,8,0)+VLOOKUP(D512,'Species Codes'!B:J,9,0)*((E512*2.54)^2)*(I512*0.3048),IF(OR(D512="MD",D512="BM",D512="GA")=TRUE,((VLOOKUP(D512,'Species Codes'!B:I,8,0)*(((((E512*2.54)+VLOOKUP(D512,'Species Codes'!B:J,9,0))/VLOOKUP(D512,'Species Codes'!B:K,10,0))^VLOOKUP(D512,'Species Codes'!B:L,11,0))*((I512*0.3048)^VLOOKUP(D512,'Species Codes'!B:M,12,0))))-(VLOOKUP(D512,'Species Codes'!B:I,8,0)*((((E512*2.54)^VLOOKUP(D512,'Species Codes'!B:L,11,0))*((I512*0.3048)^VLOOKUP(D512,'Species Codes'!B:M,12,0))))))*35.3*VLOOKUP(D512,'Species Codes'!B:G,6,0)/2.2046,VLOOKUP(D512,'Species Codes'!B:I,8,0)+VLOOKUP(D512,'Species Codes'!B:J,9,0)*(((E512*2.54)/100)^2)*(I512*0.3048)))))*0.0011023),0)</f>
        <v>#N/A</v>
      </c>
      <c r="AC512" s="104" t="e">
        <f>IF(Z512&gt;0,((IF(OR(D512="RA",D512="OA",D512="OT",D512="UN",D512="PC"),EXP(VLOOKUP(D512,'Species Codes'!B:O,14,0)+VLOOKUP(D512,'Species Codes'!B:P,15,0)*LN((E512*2.54)))-EXP(VLOOKUP(D512,'Species Codes'!B:O,14,0)+VLOOKUP(D512,'Species Codes'!B:P,15,0)*LN((E512*2.54)))*(1/(VLOOKUP(D512,'Species Codes'!B:Q,16,0)+VLOOKUP(D512,'Species Codes'!B:R,17,0)*((E512*2.54)^VLOOKUP(D512,'Species Codes'!B:S,18,0)))),IF(OR(D512="BM",D512="MD",D512="OA"),EXP(VLOOKUP(D512,'Species Codes'!B:O,14,0)+VLOOKUP(D512,'Species Codes'!B:P,15,0)*LN((E512*2.54)))*(1-(1/(VLOOKUP(D512,'Species Codes'!B:Q,16,0)+VLOOKUP(D512,'Species Codes'!B:R,17,0)*((E512*2.54)^VLOOKUP(D512,'Species Codes'!B:S,18,0)))))/1000,IF(D512="DF",EXP(VLOOKUP(D512,'Species Codes'!B:O,14,0)+VLOOKUP(D512,'Species Codes'!B:P,15,0)*LN((E512*2.54))),VLOOKUP(D512,'Species Codes'!B:O,14,0)+VLOOKUP(D512,'Species Codes'!B:P,15,0)*(((E512*2.54)/100)^2)*(I512*0.3048)))))*0.0011023),0)</f>
        <v>#N/A</v>
      </c>
      <c r="AD512" s="104" t="e">
        <f t="shared" si="247"/>
        <v>#N/A</v>
      </c>
      <c r="AE512" s="104" t="e">
        <f t="shared" si="248"/>
        <v>#N/A</v>
      </c>
      <c r="AF512" s="104" t="e">
        <f>IF(AND(VLOOKUP($D512,Merchantability!$B:$C,2,0)="Yes",$E512&gt;=VLOOKUP($D512,Merchantability!$B:$D,3,0),$E512&lt;=VLOOKUP($D512,Merchantability!$B:$E,4,0)),AA512,0)</f>
        <v>#N/A</v>
      </c>
      <c r="AG512" s="104" t="e">
        <f>IF(AND(VLOOKUP($D512,Merchantability!$B:$C,2,0)="Yes",$E512&gt;=VLOOKUP($D512,Merchantability!$B:$D,3,0),$E512&lt;=VLOOKUP($D512,Merchantability!$B:$E,4,0)),AB512,0)</f>
        <v>#N/A</v>
      </c>
      <c r="AH512" s="104" t="e">
        <f>IF(AND(VLOOKUP($D512,Merchantability!$B:$C,2,0)="Yes",$E512&gt;=VLOOKUP($D512,Merchantability!$B:$D,3,0),$E512&lt;=VLOOKUP($D512,Merchantability!$B:$E,4,0)),AC512,0)</f>
        <v>#N/A</v>
      </c>
      <c r="AI512" s="104" t="e">
        <f t="shared" si="249"/>
        <v>#N/A</v>
      </c>
      <c r="AJ512" s="104" t="e">
        <f t="shared" si="250"/>
        <v>#VALUE!</v>
      </c>
      <c r="AK512" s="104" t="e">
        <f t="shared" si="251"/>
        <v>#N/A</v>
      </c>
      <c r="AL512" s="104" t="e">
        <f t="shared" si="252"/>
        <v>#N/A</v>
      </c>
      <c r="AM512" s="104" t="e">
        <f t="shared" si="253"/>
        <v>#N/A</v>
      </c>
      <c r="AN512" s="104" t="e">
        <f t="shared" si="237"/>
        <v>#N/A</v>
      </c>
      <c r="AO512" s="104" t="e">
        <f t="shared" si="238"/>
        <v>#N/A</v>
      </c>
      <c r="AP512" s="104" t="e">
        <f t="shared" si="239"/>
        <v>#N/A</v>
      </c>
      <c r="AQ512" s="104" t="e">
        <f t="shared" si="240"/>
        <v>#N/A</v>
      </c>
      <c r="AR512" s="105" t="str">
        <f t="shared" si="232"/>
        <v/>
      </c>
      <c r="AS512" s="105" t="str">
        <f t="shared" si="233"/>
        <v/>
      </c>
      <c r="AT512" s="108" t="str">
        <f t="shared" si="234"/>
        <v/>
      </c>
      <c r="AU512" s="108" t="str">
        <f t="shared" si="235"/>
        <v/>
      </c>
      <c r="AV512" s="107" t="str">
        <f>IF(ISNUMBER(O512),IF(VLOOKUP($A512,Stand!C:J,8,FALSE)="Short",AT512,AU512),"")</f>
        <v/>
      </c>
      <c r="AW512" s="109" t="str">
        <f t="shared" si="241"/>
        <v/>
      </c>
      <c r="AX512" s="109" t="str">
        <f t="shared" si="242"/>
        <v/>
      </c>
      <c r="AY512" s="112" t="str">
        <f>IF(ISNUMBER(O512),IF(AND(VLOOKUP($D512,Merchantability!$B:$C,2,0)="Yes",$E512&gt;=VLOOKUP($D512,Merchantability!$B:$D,3,0),$E512&lt;=VLOOKUP($D512,Merchantability!$B:$E,4,0)),(AV512*O512)*(1-$H512/100),""),"")</f>
        <v/>
      </c>
      <c r="AZ512" s="116"/>
      <c r="BA512" s="116"/>
      <c r="BB512" s="116"/>
      <c r="BE512" s="62"/>
      <c r="BF512" s="63"/>
    </row>
    <row r="513" spans="1:58" ht="12.75" customHeight="1" x14ac:dyDescent="0.25">
      <c r="A513" s="313"/>
      <c r="B513" s="328"/>
      <c r="C513" s="329"/>
      <c r="D513" s="328"/>
      <c r="E513" s="330"/>
      <c r="F513" s="328"/>
      <c r="G513" s="329"/>
      <c r="H513" s="329"/>
      <c r="I513" s="328"/>
      <c r="J513" s="383"/>
      <c r="K513" s="329"/>
      <c r="L513" s="329"/>
      <c r="M513" s="78"/>
      <c r="N513" s="103" t="str">
        <f>IF(A513="","",VLOOKUP(A513,Stand!C:K,9,0))</f>
        <v/>
      </c>
      <c r="O513" s="104" t="str">
        <f t="shared" si="227"/>
        <v/>
      </c>
      <c r="P513" s="105" t="str">
        <f t="shared" si="228"/>
        <v/>
      </c>
      <c r="Q513" s="105" t="str">
        <f t="shared" si="243"/>
        <v/>
      </c>
      <c r="R513" s="103" t="str">
        <f t="shared" si="229"/>
        <v/>
      </c>
      <c r="S513" s="103" t="str">
        <f t="shared" si="230"/>
        <v/>
      </c>
      <c r="T513" s="106" t="str">
        <f t="shared" si="244"/>
        <v/>
      </c>
      <c r="U513" s="106" t="str">
        <f t="shared" si="245"/>
        <v/>
      </c>
      <c r="V513" s="106" t="str">
        <f t="shared" si="246"/>
        <v/>
      </c>
      <c r="W513" s="105" t="str">
        <f t="shared" si="231"/>
        <v/>
      </c>
      <c r="X513" s="104" t="str">
        <f t="shared" si="236"/>
        <v/>
      </c>
      <c r="Y513" s="104" t="str">
        <f t="array" ref="Y513">IFERROR(IF(ISNUMBER(O513),IF(COUNT(IF(A513=$A$2:$A$2427,IF(D513=$D$2:$D$2427,IF($X$2:$X$2427&gt;0,1))))&gt;0,SUM(IF(A513=$A$2:$A$2427,IF(D513=$D$2:$D$2427,$X$2:$X$2427)))/COUNT(IF(A513=$A$2:$A$2427,IF(D513=$D$2:$D$2427,IF(ISNUMBER($X$2:$X$2427),1)))),0),""),0)</f>
        <v/>
      </c>
      <c r="Z513" s="104" t="str">
        <f>IF(ISNUMBER(O513),IF(I513&gt;0,(10^(VLOOKUP(D513,'Species Codes'!B:C,2,0)+VLOOKUP(D513,'Species Codes'!B:D,3,0)*LOG(E513)+VLOOKUP(D513,'Species Codes'!B:E,4,0)*LOG(I513))),0),"")</f>
        <v/>
      </c>
      <c r="AA513" s="104" t="str">
        <f>IFERROR((VLOOKUP(D513,'Species Codes'!B:G,6,0)*Z513)/2000,"")</f>
        <v/>
      </c>
      <c r="AB513" s="104" t="e">
        <f>IF(Z513&gt;0,((IF(OR(D513="DF",D513="RA")=TRUE,EXP(VLOOKUP(D513,'Species Codes'!B:I,8,0)+VLOOKUP(D513,'Species Codes'!B:J,9,0)*(LN((E513*2.54)))),IF(OR(D513="PY",D513="RC",D513="WH",D513="NF")=TRUE,VLOOKUP(D513,'Species Codes'!B:I,8,0)+VLOOKUP(D513,'Species Codes'!B:J,9,0)*((E513*2.54)^2)*(I513*0.3048),IF(OR(D513="MD",D513="BM",D513="GA")=TRUE,((VLOOKUP(D513,'Species Codes'!B:I,8,0)*(((((E513*2.54)+VLOOKUP(D513,'Species Codes'!B:J,9,0))/VLOOKUP(D513,'Species Codes'!B:K,10,0))^VLOOKUP(D513,'Species Codes'!B:L,11,0))*((I513*0.3048)^VLOOKUP(D513,'Species Codes'!B:M,12,0))))-(VLOOKUP(D513,'Species Codes'!B:I,8,0)*((((E513*2.54)^VLOOKUP(D513,'Species Codes'!B:L,11,0))*((I513*0.3048)^VLOOKUP(D513,'Species Codes'!B:M,12,0))))))*35.3*VLOOKUP(D513,'Species Codes'!B:G,6,0)/2.2046,VLOOKUP(D513,'Species Codes'!B:I,8,0)+VLOOKUP(D513,'Species Codes'!B:J,9,0)*(((E513*2.54)/100)^2)*(I513*0.3048)))))*0.0011023),0)</f>
        <v>#N/A</v>
      </c>
      <c r="AC513" s="104" t="e">
        <f>IF(Z513&gt;0,((IF(OR(D513="RA",D513="OA",D513="OT",D513="UN",D513="PC"),EXP(VLOOKUP(D513,'Species Codes'!B:O,14,0)+VLOOKUP(D513,'Species Codes'!B:P,15,0)*LN((E513*2.54)))-EXP(VLOOKUP(D513,'Species Codes'!B:O,14,0)+VLOOKUP(D513,'Species Codes'!B:P,15,0)*LN((E513*2.54)))*(1/(VLOOKUP(D513,'Species Codes'!B:Q,16,0)+VLOOKUP(D513,'Species Codes'!B:R,17,0)*((E513*2.54)^VLOOKUP(D513,'Species Codes'!B:S,18,0)))),IF(OR(D513="BM",D513="MD",D513="OA"),EXP(VLOOKUP(D513,'Species Codes'!B:O,14,0)+VLOOKUP(D513,'Species Codes'!B:P,15,0)*LN((E513*2.54)))*(1-(1/(VLOOKUP(D513,'Species Codes'!B:Q,16,0)+VLOOKUP(D513,'Species Codes'!B:R,17,0)*((E513*2.54)^VLOOKUP(D513,'Species Codes'!B:S,18,0)))))/1000,IF(D513="DF",EXP(VLOOKUP(D513,'Species Codes'!B:O,14,0)+VLOOKUP(D513,'Species Codes'!B:P,15,0)*LN((E513*2.54))),VLOOKUP(D513,'Species Codes'!B:O,14,0)+VLOOKUP(D513,'Species Codes'!B:P,15,0)*(((E513*2.54)/100)^2)*(I513*0.3048)))))*0.0011023),0)</f>
        <v>#N/A</v>
      </c>
      <c r="AD513" s="104" t="e">
        <f t="shared" si="247"/>
        <v>#N/A</v>
      </c>
      <c r="AE513" s="104" t="e">
        <f t="shared" si="248"/>
        <v>#N/A</v>
      </c>
      <c r="AF513" s="104" t="e">
        <f>IF(AND(VLOOKUP($D513,Merchantability!$B:$C,2,0)="Yes",$E513&gt;=VLOOKUP($D513,Merchantability!$B:$D,3,0),$E513&lt;=VLOOKUP($D513,Merchantability!$B:$E,4,0)),AA513,0)</f>
        <v>#N/A</v>
      </c>
      <c r="AG513" s="104" t="e">
        <f>IF(AND(VLOOKUP($D513,Merchantability!$B:$C,2,0)="Yes",$E513&gt;=VLOOKUP($D513,Merchantability!$B:$D,3,0),$E513&lt;=VLOOKUP($D513,Merchantability!$B:$E,4,0)),AB513,0)</f>
        <v>#N/A</v>
      </c>
      <c r="AH513" s="104" t="e">
        <f>IF(AND(VLOOKUP($D513,Merchantability!$B:$C,2,0)="Yes",$E513&gt;=VLOOKUP($D513,Merchantability!$B:$D,3,0),$E513&lt;=VLOOKUP($D513,Merchantability!$B:$E,4,0)),AC513,0)</f>
        <v>#N/A</v>
      </c>
      <c r="AI513" s="104" t="e">
        <f t="shared" si="249"/>
        <v>#N/A</v>
      </c>
      <c r="AJ513" s="104" t="e">
        <f t="shared" si="250"/>
        <v>#VALUE!</v>
      </c>
      <c r="AK513" s="104" t="e">
        <f t="shared" si="251"/>
        <v>#N/A</v>
      </c>
      <c r="AL513" s="104" t="e">
        <f t="shared" si="252"/>
        <v>#N/A</v>
      </c>
      <c r="AM513" s="104" t="e">
        <f t="shared" si="253"/>
        <v>#N/A</v>
      </c>
      <c r="AN513" s="104" t="e">
        <f t="shared" si="237"/>
        <v>#N/A</v>
      </c>
      <c r="AO513" s="104" t="e">
        <f t="shared" si="238"/>
        <v>#N/A</v>
      </c>
      <c r="AP513" s="104" t="e">
        <f t="shared" si="239"/>
        <v>#N/A</v>
      </c>
      <c r="AQ513" s="104" t="e">
        <f t="shared" si="240"/>
        <v>#N/A</v>
      </c>
      <c r="AR513" s="105" t="str">
        <f t="shared" si="232"/>
        <v/>
      </c>
      <c r="AS513" s="105" t="str">
        <f t="shared" si="233"/>
        <v/>
      </c>
      <c r="AT513" s="108" t="str">
        <f t="shared" si="234"/>
        <v/>
      </c>
      <c r="AU513" s="108" t="str">
        <f t="shared" si="235"/>
        <v/>
      </c>
      <c r="AV513" s="107" t="str">
        <f>IF(ISNUMBER(O513),IF(VLOOKUP($A513,Stand!C:J,8,FALSE)="Short",AT513,AU513),"")</f>
        <v/>
      </c>
      <c r="AW513" s="109" t="str">
        <f t="shared" si="241"/>
        <v/>
      </c>
      <c r="AX513" s="109" t="str">
        <f t="shared" si="242"/>
        <v/>
      </c>
      <c r="AY513" s="112" t="str">
        <f>IF(ISNUMBER(O513),IF(AND(VLOOKUP($D513,Merchantability!$B:$C,2,0)="Yes",$E513&gt;=VLOOKUP($D513,Merchantability!$B:$D,3,0),$E513&lt;=VLOOKUP($D513,Merchantability!$B:$E,4,0)),(AV513*O513)*(1-$H513/100),""),"")</f>
        <v/>
      </c>
      <c r="AZ513" s="116"/>
      <c r="BA513" s="116"/>
      <c r="BB513" s="116"/>
      <c r="BE513" s="62"/>
      <c r="BF513" s="63"/>
    </row>
    <row r="514" spans="1:58" ht="12.75" customHeight="1" x14ac:dyDescent="0.25">
      <c r="A514" s="313"/>
      <c r="B514" s="328"/>
      <c r="C514" s="329"/>
      <c r="D514" s="328"/>
      <c r="E514" s="330"/>
      <c r="F514" s="328"/>
      <c r="G514" s="329"/>
      <c r="H514" s="329"/>
      <c r="I514" s="328"/>
      <c r="J514" s="383"/>
      <c r="K514" s="329"/>
      <c r="L514" s="329"/>
      <c r="M514" s="78"/>
      <c r="N514" s="103" t="str">
        <f>IF(A514="","",VLOOKUP(A514,Stand!C:K,9,0))</f>
        <v/>
      </c>
      <c r="O514" s="104" t="str">
        <f t="shared" ref="O514:O577" si="254">IF(E514&gt;0,IF(G514&gt;1,G514*(43560/(N514^2*3.14)),43560/(N514^2*3.14)),"")</f>
        <v/>
      </c>
      <c r="P514" s="105" t="str">
        <f t="shared" ref="P514:P577" si="255">IF(ISNUMBER(O514),E514*O514,"")</f>
        <v/>
      </c>
      <c r="Q514" s="105" t="str">
        <f t="shared" si="243"/>
        <v/>
      </c>
      <c r="R514" s="103" t="str">
        <f t="shared" ref="R514:R577" si="256">IF(ISNUMBER(O514),E514^2*0.005454*O514,"")</f>
        <v/>
      </c>
      <c r="S514" s="103" t="str">
        <f t="shared" ref="S514:S577" si="257">IF(ISNUMBER(O514),(E514/10)^1.7*O514,"")</f>
        <v/>
      </c>
      <c r="T514" s="106" t="str">
        <f t="shared" si="244"/>
        <v/>
      </c>
      <c r="U514" s="106" t="str">
        <f t="shared" si="245"/>
        <v/>
      </c>
      <c r="V514" s="106" t="str">
        <f t="shared" si="246"/>
        <v/>
      </c>
      <c r="W514" s="105" t="str">
        <f t="shared" ref="W514:W577" si="258">IF(AND(ISNUMBER(O514),I514&gt;0),I514/(E514/12),"")</f>
        <v/>
      </c>
      <c r="X514" s="104" t="str">
        <f t="shared" si="236"/>
        <v/>
      </c>
      <c r="Y514" s="104" t="str">
        <f t="array" ref="Y514">IFERROR(IF(ISNUMBER(O514),IF(COUNT(IF(A514=$A$2:$A$2427,IF(D514=$D$2:$D$2427,IF($X$2:$X$2427&gt;0,1))))&gt;0,SUM(IF(A514=$A$2:$A$2427,IF(D514=$D$2:$D$2427,$X$2:$X$2427)))/COUNT(IF(A514=$A$2:$A$2427,IF(D514=$D$2:$D$2427,IF(ISNUMBER($X$2:$X$2427),1)))),0),""),0)</f>
        <v/>
      </c>
      <c r="Z514" s="104" t="str">
        <f>IF(ISNUMBER(O514),IF(I514&gt;0,(10^(VLOOKUP(D514,'Species Codes'!B:C,2,0)+VLOOKUP(D514,'Species Codes'!B:D,3,0)*LOG(E514)+VLOOKUP(D514,'Species Codes'!B:E,4,0)*LOG(I514))),0),"")</f>
        <v/>
      </c>
      <c r="AA514" s="104" t="str">
        <f>IFERROR((VLOOKUP(D514,'Species Codes'!B:G,6,0)*Z514)/2000,"")</f>
        <v/>
      </c>
      <c r="AB514" s="104" t="e">
        <f>IF(Z514&gt;0,((IF(OR(D514="DF",D514="RA")=TRUE,EXP(VLOOKUP(D514,'Species Codes'!B:I,8,0)+VLOOKUP(D514,'Species Codes'!B:J,9,0)*(LN((E514*2.54)))),IF(OR(D514="PY",D514="RC",D514="WH",D514="NF")=TRUE,VLOOKUP(D514,'Species Codes'!B:I,8,0)+VLOOKUP(D514,'Species Codes'!B:J,9,0)*((E514*2.54)^2)*(I514*0.3048),IF(OR(D514="MD",D514="BM",D514="GA")=TRUE,((VLOOKUP(D514,'Species Codes'!B:I,8,0)*(((((E514*2.54)+VLOOKUP(D514,'Species Codes'!B:J,9,0))/VLOOKUP(D514,'Species Codes'!B:K,10,0))^VLOOKUP(D514,'Species Codes'!B:L,11,0))*((I514*0.3048)^VLOOKUP(D514,'Species Codes'!B:M,12,0))))-(VLOOKUP(D514,'Species Codes'!B:I,8,0)*((((E514*2.54)^VLOOKUP(D514,'Species Codes'!B:L,11,0))*((I514*0.3048)^VLOOKUP(D514,'Species Codes'!B:M,12,0))))))*35.3*VLOOKUP(D514,'Species Codes'!B:G,6,0)/2.2046,VLOOKUP(D514,'Species Codes'!B:I,8,0)+VLOOKUP(D514,'Species Codes'!B:J,9,0)*(((E514*2.54)/100)^2)*(I514*0.3048)))))*0.0011023),0)</f>
        <v>#N/A</v>
      </c>
      <c r="AC514" s="104" t="e">
        <f>IF(Z514&gt;0,((IF(OR(D514="RA",D514="OA",D514="OT",D514="UN",D514="PC"),EXP(VLOOKUP(D514,'Species Codes'!B:O,14,0)+VLOOKUP(D514,'Species Codes'!B:P,15,0)*LN((E514*2.54)))-EXP(VLOOKUP(D514,'Species Codes'!B:O,14,0)+VLOOKUP(D514,'Species Codes'!B:P,15,0)*LN((E514*2.54)))*(1/(VLOOKUP(D514,'Species Codes'!B:Q,16,0)+VLOOKUP(D514,'Species Codes'!B:R,17,0)*((E514*2.54)^VLOOKUP(D514,'Species Codes'!B:S,18,0)))),IF(OR(D514="BM",D514="MD",D514="OA"),EXP(VLOOKUP(D514,'Species Codes'!B:O,14,0)+VLOOKUP(D514,'Species Codes'!B:P,15,0)*LN((E514*2.54)))*(1-(1/(VLOOKUP(D514,'Species Codes'!B:Q,16,0)+VLOOKUP(D514,'Species Codes'!B:R,17,0)*((E514*2.54)^VLOOKUP(D514,'Species Codes'!B:S,18,0)))))/1000,IF(D514="DF",EXP(VLOOKUP(D514,'Species Codes'!B:O,14,0)+VLOOKUP(D514,'Species Codes'!B:P,15,0)*LN((E514*2.54))),VLOOKUP(D514,'Species Codes'!B:O,14,0)+VLOOKUP(D514,'Species Codes'!B:P,15,0)*(((E514*2.54)/100)^2)*(I514*0.3048)))))*0.0011023),0)</f>
        <v>#N/A</v>
      </c>
      <c r="AD514" s="104" t="e">
        <f t="shared" si="247"/>
        <v>#N/A</v>
      </c>
      <c r="AE514" s="104" t="e">
        <f t="shared" si="248"/>
        <v>#N/A</v>
      </c>
      <c r="AF514" s="104" t="e">
        <f>IF(AND(VLOOKUP($D514,Merchantability!$B:$C,2,0)="Yes",$E514&gt;=VLOOKUP($D514,Merchantability!$B:$D,3,0),$E514&lt;=VLOOKUP($D514,Merchantability!$B:$E,4,0)),AA514,0)</f>
        <v>#N/A</v>
      </c>
      <c r="AG514" s="104" t="e">
        <f>IF(AND(VLOOKUP($D514,Merchantability!$B:$C,2,0)="Yes",$E514&gt;=VLOOKUP($D514,Merchantability!$B:$D,3,0),$E514&lt;=VLOOKUP($D514,Merchantability!$B:$E,4,0)),AB514,0)</f>
        <v>#N/A</v>
      </c>
      <c r="AH514" s="104" t="e">
        <f>IF(AND(VLOOKUP($D514,Merchantability!$B:$C,2,0)="Yes",$E514&gt;=VLOOKUP($D514,Merchantability!$B:$D,3,0),$E514&lt;=VLOOKUP($D514,Merchantability!$B:$E,4,0)),AC514,0)</f>
        <v>#N/A</v>
      </c>
      <c r="AI514" s="104" t="e">
        <f t="shared" si="249"/>
        <v>#N/A</v>
      </c>
      <c r="AJ514" s="104" t="e">
        <f t="shared" si="250"/>
        <v>#VALUE!</v>
      </c>
      <c r="AK514" s="104" t="e">
        <f t="shared" si="251"/>
        <v>#N/A</v>
      </c>
      <c r="AL514" s="104" t="e">
        <f t="shared" si="252"/>
        <v>#N/A</v>
      </c>
      <c r="AM514" s="104" t="e">
        <f t="shared" si="253"/>
        <v>#N/A</v>
      </c>
      <c r="AN514" s="104" t="e">
        <f t="shared" si="237"/>
        <v>#N/A</v>
      </c>
      <c r="AO514" s="104" t="e">
        <f t="shared" si="238"/>
        <v>#N/A</v>
      </c>
      <c r="AP514" s="104" t="e">
        <f t="shared" si="239"/>
        <v>#N/A</v>
      </c>
      <c r="AQ514" s="104" t="e">
        <f t="shared" si="240"/>
        <v>#N/A</v>
      </c>
      <c r="AR514" s="105" t="str">
        <f t="shared" ref="AR514:AR577" si="259">IF(ISNUMBER(O514),IF(Y514&gt;0,((Y514*(E514^2*0.005454-0.087266))/0.912733),0),"")</f>
        <v/>
      </c>
      <c r="AS514" s="105" t="str">
        <f t="shared" ref="AS514:AS577" si="260">IF(ISNUMBER(O514),AR514*(0.993-0.993*(0.62^(E514-6))),"")</f>
        <v/>
      </c>
      <c r="AT514" s="108" t="str">
        <f t="shared" ref="AT514:AT577" si="261">IF(ISNUMBER(O514),IF(AS514&gt;0,IF(Y514&gt;0,(AS514*10^(0.174439+0.117594*(LOG(E514,10))*(LOG(Y514/0.912733,10))-8.210585/E514^2+0.236693*(LOG(Y514/0.912733,10))-0.00001345*(Y514/0.912733)^2-0.00001937*E514^2)),0),0),"")</f>
        <v/>
      </c>
      <c r="AU514" s="108" t="str">
        <f t="shared" ref="AU514:AU577" si="262">IF(ISNUMBER(O514),IF(AS514&gt;0,IF(Y514&gt;0,AT514*(1.001491-(6.92497/Y514)+(0.00001351*(E514^2))),0),0),"")</f>
        <v/>
      </c>
      <c r="AV514" s="107" t="str">
        <f>IF(ISNUMBER(O514),IF(VLOOKUP($A514,Stand!C:J,8,FALSE)="Short",AT514,AU514),"")</f>
        <v/>
      </c>
      <c r="AW514" s="109" t="str">
        <f t="shared" si="241"/>
        <v/>
      </c>
      <c r="AX514" s="109" t="str">
        <f t="shared" si="242"/>
        <v/>
      </c>
      <c r="AY514" s="112" t="str">
        <f>IF(ISNUMBER(O514),IF(AND(VLOOKUP($D514,Merchantability!$B:$C,2,0)="Yes",$E514&gt;=VLOOKUP($D514,Merchantability!$B:$D,3,0),$E514&lt;=VLOOKUP($D514,Merchantability!$B:$E,4,0)),(AV514*O514)*(1-$H514/100),""),"")</f>
        <v/>
      </c>
      <c r="AZ514" s="116"/>
      <c r="BA514" s="116"/>
      <c r="BB514" s="116"/>
      <c r="BE514" s="62"/>
      <c r="BF514" s="63"/>
    </row>
    <row r="515" spans="1:58" ht="12.75" customHeight="1" x14ac:dyDescent="0.25">
      <c r="A515" s="313"/>
      <c r="B515" s="328"/>
      <c r="C515" s="329"/>
      <c r="D515" s="328"/>
      <c r="E515" s="330"/>
      <c r="F515" s="328"/>
      <c r="G515" s="329"/>
      <c r="H515" s="329"/>
      <c r="I515" s="328"/>
      <c r="J515" s="383"/>
      <c r="K515" s="329"/>
      <c r="L515" s="329"/>
      <c r="M515" s="78"/>
      <c r="N515" s="103" t="str">
        <f>IF(A515="","",VLOOKUP(A515,Stand!C:K,9,0))</f>
        <v/>
      </c>
      <c r="O515" s="104" t="str">
        <f t="shared" si="254"/>
        <v/>
      </c>
      <c r="P515" s="105" t="str">
        <f t="shared" si="255"/>
        <v/>
      </c>
      <c r="Q515" s="105" t="str">
        <f t="shared" si="243"/>
        <v/>
      </c>
      <c r="R515" s="103" t="str">
        <f t="shared" si="256"/>
        <v/>
      </c>
      <c r="S515" s="103" t="str">
        <f t="shared" si="257"/>
        <v/>
      </c>
      <c r="T515" s="106" t="str">
        <f t="shared" si="244"/>
        <v/>
      </c>
      <c r="U515" s="106" t="str">
        <f t="shared" si="245"/>
        <v/>
      </c>
      <c r="V515" s="106" t="str">
        <f t="shared" si="246"/>
        <v/>
      </c>
      <c r="W515" s="105" t="str">
        <f t="shared" si="258"/>
        <v/>
      </c>
      <c r="X515" s="104" t="str">
        <f t="shared" ref="X515:X578" si="263">IF(ISNUMBER(O515),IF(I515&gt;0,IF(E515&gt;0,(0.912733*Z515)/(1.033*(1+1.382937*EXP(-4.015292*E515/10))*((E515^2)*0.005454+0.087266)-0.174533),""),""),"")</f>
        <v/>
      </c>
      <c r="Y515" s="104" t="str">
        <f t="array" ref="Y515">IFERROR(IF(ISNUMBER(O515),IF(COUNT(IF(A515=$A$2:$A$2427,IF(D515=$D$2:$D$2427,IF($X$2:$X$2427&gt;0,1))))&gt;0,SUM(IF(A515=$A$2:$A$2427,IF(D515=$D$2:$D$2427,$X$2:$X$2427)))/COUNT(IF(A515=$A$2:$A$2427,IF(D515=$D$2:$D$2427,IF(ISNUMBER($X$2:$X$2427),1)))),0),""),0)</f>
        <v/>
      </c>
      <c r="Z515" s="104" t="str">
        <f>IF(ISNUMBER(O515),IF(I515&gt;0,(10^(VLOOKUP(D515,'Species Codes'!B:C,2,0)+VLOOKUP(D515,'Species Codes'!B:D,3,0)*LOG(E515)+VLOOKUP(D515,'Species Codes'!B:E,4,0)*LOG(I515))),0),"")</f>
        <v/>
      </c>
      <c r="AA515" s="104" t="str">
        <f>IFERROR((VLOOKUP(D515,'Species Codes'!B:G,6,0)*Z515)/2000,"")</f>
        <v/>
      </c>
      <c r="AB515" s="104" t="e">
        <f>IF(Z515&gt;0,((IF(OR(D515="DF",D515="RA")=TRUE,EXP(VLOOKUP(D515,'Species Codes'!B:I,8,0)+VLOOKUP(D515,'Species Codes'!B:J,9,0)*(LN((E515*2.54)))),IF(OR(D515="PY",D515="RC",D515="WH",D515="NF")=TRUE,VLOOKUP(D515,'Species Codes'!B:I,8,0)+VLOOKUP(D515,'Species Codes'!B:J,9,0)*((E515*2.54)^2)*(I515*0.3048),IF(OR(D515="MD",D515="BM",D515="GA")=TRUE,((VLOOKUP(D515,'Species Codes'!B:I,8,0)*(((((E515*2.54)+VLOOKUP(D515,'Species Codes'!B:J,9,0))/VLOOKUP(D515,'Species Codes'!B:K,10,0))^VLOOKUP(D515,'Species Codes'!B:L,11,0))*((I515*0.3048)^VLOOKUP(D515,'Species Codes'!B:M,12,0))))-(VLOOKUP(D515,'Species Codes'!B:I,8,0)*((((E515*2.54)^VLOOKUP(D515,'Species Codes'!B:L,11,0))*((I515*0.3048)^VLOOKUP(D515,'Species Codes'!B:M,12,0))))))*35.3*VLOOKUP(D515,'Species Codes'!B:G,6,0)/2.2046,VLOOKUP(D515,'Species Codes'!B:I,8,0)+VLOOKUP(D515,'Species Codes'!B:J,9,0)*(((E515*2.54)/100)^2)*(I515*0.3048)))))*0.0011023),0)</f>
        <v>#N/A</v>
      </c>
      <c r="AC515" s="104" t="e">
        <f>IF(Z515&gt;0,((IF(OR(D515="RA",D515="OA",D515="OT",D515="UN",D515="PC"),EXP(VLOOKUP(D515,'Species Codes'!B:O,14,0)+VLOOKUP(D515,'Species Codes'!B:P,15,0)*LN((E515*2.54)))-EXP(VLOOKUP(D515,'Species Codes'!B:O,14,0)+VLOOKUP(D515,'Species Codes'!B:P,15,0)*LN((E515*2.54)))*(1/(VLOOKUP(D515,'Species Codes'!B:Q,16,0)+VLOOKUP(D515,'Species Codes'!B:R,17,0)*((E515*2.54)^VLOOKUP(D515,'Species Codes'!B:S,18,0)))),IF(OR(D515="BM",D515="MD",D515="OA"),EXP(VLOOKUP(D515,'Species Codes'!B:O,14,0)+VLOOKUP(D515,'Species Codes'!B:P,15,0)*LN((E515*2.54)))*(1-(1/(VLOOKUP(D515,'Species Codes'!B:Q,16,0)+VLOOKUP(D515,'Species Codes'!B:R,17,0)*((E515*2.54)^VLOOKUP(D515,'Species Codes'!B:S,18,0)))))/1000,IF(D515="DF",EXP(VLOOKUP(D515,'Species Codes'!B:O,14,0)+VLOOKUP(D515,'Species Codes'!B:P,15,0)*LN((E515*2.54))),VLOOKUP(D515,'Species Codes'!B:O,14,0)+VLOOKUP(D515,'Species Codes'!B:P,15,0)*(((E515*2.54)/100)^2)*(I515*0.3048)))))*0.0011023),0)</f>
        <v>#N/A</v>
      </c>
      <c r="AD515" s="104" t="e">
        <f t="shared" si="247"/>
        <v>#N/A</v>
      </c>
      <c r="AE515" s="104" t="e">
        <f t="shared" si="248"/>
        <v>#N/A</v>
      </c>
      <c r="AF515" s="104" t="e">
        <f>IF(AND(VLOOKUP($D515,Merchantability!$B:$C,2,0)="Yes",$E515&gt;=VLOOKUP($D515,Merchantability!$B:$D,3,0),$E515&lt;=VLOOKUP($D515,Merchantability!$B:$E,4,0)),AA515,0)</f>
        <v>#N/A</v>
      </c>
      <c r="AG515" s="104" t="e">
        <f>IF(AND(VLOOKUP($D515,Merchantability!$B:$C,2,0)="Yes",$E515&gt;=VLOOKUP($D515,Merchantability!$B:$D,3,0),$E515&lt;=VLOOKUP($D515,Merchantability!$B:$E,4,0)),AB515,0)</f>
        <v>#N/A</v>
      </c>
      <c r="AH515" s="104" t="e">
        <f>IF(AND(VLOOKUP($D515,Merchantability!$B:$C,2,0)="Yes",$E515&gt;=VLOOKUP($D515,Merchantability!$B:$D,3,0),$E515&lt;=VLOOKUP($D515,Merchantability!$B:$E,4,0)),AC515,0)</f>
        <v>#N/A</v>
      </c>
      <c r="AI515" s="104" t="e">
        <f t="shared" si="249"/>
        <v>#N/A</v>
      </c>
      <c r="AJ515" s="104" t="e">
        <f t="shared" si="250"/>
        <v>#VALUE!</v>
      </c>
      <c r="AK515" s="104" t="e">
        <f t="shared" si="251"/>
        <v>#N/A</v>
      </c>
      <c r="AL515" s="104" t="e">
        <f t="shared" si="252"/>
        <v>#N/A</v>
      </c>
      <c r="AM515" s="104" t="e">
        <f t="shared" si="253"/>
        <v>#N/A</v>
      </c>
      <c r="AN515" s="104" t="e">
        <f t="shared" ref="AN515:AN578" si="264">AF515*$O515</f>
        <v>#N/A</v>
      </c>
      <c r="AO515" s="104" t="e">
        <f t="shared" ref="AO515:AO578" si="265">AG515*$O515</f>
        <v>#N/A</v>
      </c>
      <c r="AP515" s="104" t="e">
        <f t="shared" ref="AP515:AP578" si="266">AH515*$O515</f>
        <v>#N/A</v>
      </c>
      <c r="AQ515" s="104" t="e">
        <f t="shared" ref="AQ515:AQ578" si="267">SUM(AN515:AP515)</f>
        <v>#N/A</v>
      </c>
      <c r="AR515" s="105" t="str">
        <f t="shared" si="259"/>
        <v/>
      </c>
      <c r="AS515" s="105" t="str">
        <f t="shared" si="260"/>
        <v/>
      </c>
      <c r="AT515" s="108" t="str">
        <f t="shared" si="261"/>
        <v/>
      </c>
      <c r="AU515" s="108" t="str">
        <f t="shared" si="262"/>
        <v/>
      </c>
      <c r="AV515" s="107" t="str">
        <f>IF(ISNUMBER(O515),IF(VLOOKUP($A515,Stand!C:J,8,FALSE)="Short",AT515,AU515),"")</f>
        <v/>
      </c>
      <c r="AW515" s="109" t="str">
        <f t="shared" ref="AW515:AW578" si="268">IF(ISNUMBER(O515),AV515*O515,"")</f>
        <v/>
      </c>
      <c r="AX515" s="109" t="str">
        <f t="shared" ref="AX515:AX578" si="269">IF(ISNUMBER(O515),AW515*(1-$H515/100),"")</f>
        <v/>
      </c>
      <c r="AY515" s="112" t="str">
        <f>IF(ISNUMBER(O515),IF(AND(VLOOKUP($D515,Merchantability!$B:$C,2,0)="Yes",$E515&gt;=VLOOKUP($D515,Merchantability!$B:$D,3,0),$E515&lt;=VLOOKUP($D515,Merchantability!$B:$E,4,0)),(AV515*O515)*(1-$H515/100),""),"")</f>
        <v/>
      </c>
      <c r="AZ515" s="116"/>
      <c r="BA515" s="116"/>
      <c r="BB515" s="116"/>
      <c r="BE515" s="62"/>
      <c r="BF515" s="63"/>
    </row>
    <row r="516" spans="1:58" ht="12.75" customHeight="1" x14ac:dyDescent="0.25">
      <c r="A516" s="313"/>
      <c r="B516" s="328"/>
      <c r="C516" s="329"/>
      <c r="D516" s="328"/>
      <c r="E516" s="330"/>
      <c r="F516" s="328"/>
      <c r="G516" s="329"/>
      <c r="H516" s="329"/>
      <c r="I516" s="328"/>
      <c r="J516" s="383"/>
      <c r="K516" s="329"/>
      <c r="L516" s="329"/>
      <c r="M516" s="78"/>
      <c r="N516" s="103" t="str">
        <f>IF(A516="","",VLOOKUP(A516,Stand!C:K,9,0))</f>
        <v/>
      </c>
      <c r="O516" s="104" t="str">
        <f t="shared" si="254"/>
        <v/>
      </c>
      <c r="P516" s="105" t="str">
        <f t="shared" si="255"/>
        <v/>
      </c>
      <c r="Q516" s="105" t="str">
        <f t="shared" si="243"/>
        <v/>
      </c>
      <c r="R516" s="103" t="str">
        <f t="shared" si="256"/>
        <v/>
      </c>
      <c r="S516" s="103" t="str">
        <f t="shared" si="257"/>
        <v/>
      </c>
      <c r="T516" s="106" t="str">
        <f t="shared" si="244"/>
        <v/>
      </c>
      <c r="U516" s="106" t="str">
        <f t="shared" si="245"/>
        <v/>
      </c>
      <c r="V516" s="106" t="str">
        <f t="shared" si="246"/>
        <v/>
      </c>
      <c r="W516" s="105" t="str">
        <f t="shared" si="258"/>
        <v/>
      </c>
      <c r="X516" s="104" t="str">
        <f t="shared" si="263"/>
        <v/>
      </c>
      <c r="Y516" s="104" t="str">
        <f t="array" ref="Y516">IFERROR(IF(ISNUMBER(O516),IF(COUNT(IF(A516=$A$2:$A$2427,IF(D516=$D$2:$D$2427,IF($X$2:$X$2427&gt;0,1))))&gt;0,SUM(IF(A516=$A$2:$A$2427,IF(D516=$D$2:$D$2427,$X$2:$X$2427)))/COUNT(IF(A516=$A$2:$A$2427,IF(D516=$D$2:$D$2427,IF(ISNUMBER($X$2:$X$2427),1)))),0),""),0)</f>
        <v/>
      </c>
      <c r="Z516" s="104" t="str">
        <f>IF(ISNUMBER(O516),IF(I516&gt;0,(10^(VLOOKUP(D516,'Species Codes'!B:C,2,0)+VLOOKUP(D516,'Species Codes'!B:D,3,0)*LOG(E516)+VLOOKUP(D516,'Species Codes'!B:E,4,0)*LOG(I516))),0),"")</f>
        <v/>
      </c>
      <c r="AA516" s="104" t="str">
        <f>IFERROR((VLOOKUP(D516,'Species Codes'!B:G,6,0)*Z516)/2000,"")</f>
        <v/>
      </c>
      <c r="AB516" s="104" t="e">
        <f>IF(Z516&gt;0,((IF(OR(D516="DF",D516="RA")=TRUE,EXP(VLOOKUP(D516,'Species Codes'!B:I,8,0)+VLOOKUP(D516,'Species Codes'!B:J,9,0)*(LN((E516*2.54)))),IF(OR(D516="PY",D516="RC",D516="WH",D516="NF")=TRUE,VLOOKUP(D516,'Species Codes'!B:I,8,0)+VLOOKUP(D516,'Species Codes'!B:J,9,0)*((E516*2.54)^2)*(I516*0.3048),IF(OR(D516="MD",D516="BM",D516="GA")=TRUE,((VLOOKUP(D516,'Species Codes'!B:I,8,0)*(((((E516*2.54)+VLOOKUP(D516,'Species Codes'!B:J,9,0))/VLOOKUP(D516,'Species Codes'!B:K,10,0))^VLOOKUP(D516,'Species Codes'!B:L,11,0))*((I516*0.3048)^VLOOKUP(D516,'Species Codes'!B:M,12,0))))-(VLOOKUP(D516,'Species Codes'!B:I,8,0)*((((E516*2.54)^VLOOKUP(D516,'Species Codes'!B:L,11,0))*((I516*0.3048)^VLOOKUP(D516,'Species Codes'!B:M,12,0))))))*35.3*VLOOKUP(D516,'Species Codes'!B:G,6,0)/2.2046,VLOOKUP(D516,'Species Codes'!B:I,8,0)+VLOOKUP(D516,'Species Codes'!B:J,9,0)*(((E516*2.54)/100)^2)*(I516*0.3048)))))*0.0011023),0)</f>
        <v>#N/A</v>
      </c>
      <c r="AC516" s="104" t="e">
        <f>IF(Z516&gt;0,((IF(OR(D516="RA",D516="OA",D516="OT",D516="UN",D516="PC"),EXP(VLOOKUP(D516,'Species Codes'!B:O,14,0)+VLOOKUP(D516,'Species Codes'!B:P,15,0)*LN((E516*2.54)))-EXP(VLOOKUP(D516,'Species Codes'!B:O,14,0)+VLOOKUP(D516,'Species Codes'!B:P,15,0)*LN((E516*2.54)))*(1/(VLOOKUP(D516,'Species Codes'!B:Q,16,0)+VLOOKUP(D516,'Species Codes'!B:R,17,0)*((E516*2.54)^VLOOKUP(D516,'Species Codes'!B:S,18,0)))),IF(OR(D516="BM",D516="MD",D516="OA"),EXP(VLOOKUP(D516,'Species Codes'!B:O,14,0)+VLOOKUP(D516,'Species Codes'!B:P,15,0)*LN((E516*2.54)))*(1-(1/(VLOOKUP(D516,'Species Codes'!B:Q,16,0)+VLOOKUP(D516,'Species Codes'!B:R,17,0)*((E516*2.54)^VLOOKUP(D516,'Species Codes'!B:S,18,0)))))/1000,IF(D516="DF",EXP(VLOOKUP(D516,'Species Codes'!B:O,14,0)+VLOOKUP(D516,'Species Codes'!B:P,15,0)*LN((E516*2.54))),VLOOKUP(D516,'Species Codes'!B:O,14,0)+VLOOKUP(D516,'Species Codes'!B:P,15,0)*(((E516*2.54)/100)^2)*(I516*0.3048)))))*0.0011023),0)</f>
        <v>#N/A</v>
      </c>
      <c r="AD516" s="104" t="e">
        <f t="shared" si="247"/>
        <v>#N/A</v>
      </c>
      <c r="AE516" s="104" t="e">
        <f t="shared" si="248"/>
        <v>#N/A</v>
      </c>
      <c r="AF516" s="104" t="e">
        <f>IF(AND(VLOOKUP($D516,Merchantability!$B:$C,2,0)="Yes",$E516&gt;=VLOOKUP($D516,Merchantability!$B:$D,3,0),$E516&lt;=VLOOKUP($D516,Merchantability!$B:$E,4,0)),AA516,0)</f>
        <v>#N/A</v>
      </c>
      <c r="AG516" s="104" t="e">
        <f>IF(AND(VLOOKUP($D516,Merchantability!$B:$C,2,0)="Yes",$E516&gt;=VLOOKUP($D516,Merchantability!$B:$D,3,0),$E516&lt;=VLOOKUP($D516,Merchantability!$B:$E,4,0)),AB516,0)</f>
        <v>#N/A</v>
      </c>
      <c r="AH516" s="104" t="e">
        <f>IF(AND(VLOOKUP($D516,Merchantability!$B:$C,2,0)="Yes",$E516&gt;=VLOOKUP($D516,Merchantability!$B:$D,3,0),$E516&lt;=VLOOKUP($D516,Merchantability!$B:$E,4,0)),AC516,0)</f>
        <v>#N/A</v>
      </c>
      <c r="AI516" s="104" t="e">
        <f t="shared" si="249"/>
        <v>#N/A</v>
      </c>
      <c r="AJ516" s="104" t="e">
        <f t="shared" si="250"/>
        <v>#VALUE!</v>
      </c>
      <c r="AK516" s="104" t="e">
        <f t="shared" si="251"/>
        <v>#N/A</v>
      </c>
      <c r="AL516" s="104" t="e">
        <f t="shared" si="252"/>
        <v>#N/A</v>
      </c>
      <c r="AM516" s="104" t="e">
        <f t="shared" si="253"/>
        <v>#N/A</v>
      </c>
      <c r="AN516" s="104" t="e">
        <f t="shared" si="264"/>
        <v>#N/A</v>
      </c>
      <c r="AO516" s="104" t="e">
        <f t="shared" si="265"/>
        <v>#N/A</v>
      </c>
      <c r="AP516" s="104" t="e">
        <f t="shared" si="266"/>
        <v>#N/A</v>
      </c>
      <c r="AQ516" s="104" t="e">
        <f t="shared" si="267"/>
        <v>#N/A</v>
      </c>
      <c r="AR516" s="105" t="str">
        <f t="shared" si="259"/>
        <v/>
      </c>
      <c r="AS516" s="105" t="str">
        <f t="shared" si="260"/>
        <v/>
      </c>
      <c r="AT516" s="108" t="str">
        <f t="shared" si="261"/>
        <v/>
      </c>
      <c r="AU516" s="108" t="str">
        <f t="shared" si="262"/>
        <v/>
      </c>
      <c r="AV516" s="107" t="str">
        <f>IF(ISNUMBER(O516),IF(VLOOKUP($A516,Stand!C:J,8,FALSE)="Short",AT516,AU516),"")</f>
        <v/>
      </c>
      <c r="AW516" s="109" t="str">
        <f t="shared" si="268"/>
        <v/>
      </c>
      <c r="AX516" s="109" t="str">
        <f t="shared" si="269"/>
        <v/>
      </c>
      <c r="AY516" s="112" t="str">
        <f>IF(ISNUMBER(O516),IF(AND(VLOOKUP($D516,Merchantability!$B:$C,2,0)="Yes",$E516&gt;=VLOOKUP($D516,Merchantability!$B:$D,3,0),$E516&lt;=VLOOKUP($D516,Merchantability!$B:$E,4,0)),(AV516*O516)*(1-$H516/100),""),"")</f>
        <v/>
      </c>
      <c r="AZ516" s="116"/>
      <c r="BA516" s="116"/>
      <c r="BB516" s="116"/>
      <c r="BE516" s="62"/>
      <c r="BF516" s="63"/>
    </row>
    <row r="517" spans="1:58" ht="12.75" customHeight="1" x14ac:dyDescent="0.25">
      <c r="A517" s="313"/>
      <c r="B517" s="328"/>
      <c r="C517" s="329"/>
      <c r="D517" s="328"/>
      <c r="E517" s="330"/>
      <c r="F517" s="328"/>
      <c r="G517" s="329"/>
      <c r="H517" s="329"/>
      <c r="I517" s="328"/>
      <c r="J517" s="383"/>
      <c r="K517" s="329"/>
      <c r="L517" s="329"/>
      <c r="M517" s="78"/>
      <c r="N517" s="103" t="str">
        <f>IF(A517="","",VLOOKUP(A517,Stand!C:K,9,0))</f>
        <v/>
      </c>
      <c r="O517" s="104" t="str">
        <f t="shared" si="254"/>
        <v/>
      </c>
      <c r="P517" s="105" t="str">
        <f t="shared" si="255"/>
        <v/>
      </c>
      <c r="Q517" s="105" t="str">
        <f t="shared" si="243"/>
        <v/>
      </c>
      <c r="R517" s="103" t="str">
        <f t="shared" si="256"/>
        <v/>
      </c>
      <c r="S517" s="103" t="str">
        <f t="shared" si="257"/>
        <v/>
      </c>
      <c r="T517" s="106" t="str">
        <f t="shared" si="244"/>
        <v/>
      </c>
      <c r="U517" s="106" t="str">
        <f t="shared" si="245"/>
        <v/>
      </c>
      <c r="V517" s="106" t="str">
        <f t="shared" si="246"/>
        <v/>
      </c>
      <c r="W517" s="105" t="str">
        <f t="shared" si="258"/>
        <v/>
      </c>
      <c r="X517" s="104" t="str">
        <f t="shared" si="263"/>
        <v/>
      </c>
      <c r="Y517" s="104" t="str">
        <f t="array" ref="Y517">IFERROR(IF(ISNUMBER(O517),IF(COUNT(IF(A517=$A$2:$A$2427,IF(D517=$D$2:$D$2427,IF($X$2:$X$2427&gt;0,1))))&gt;0,SUM(IF(A517=$A$2:$A$2427,IF(D517=$D$2:$D$2427,$X$2:$X$2427)))/COUNT(IF(A517=$A$2:$A$2427,IF(D517=$D$2:$D$2427,IF(ISNUMBER($X$2:$X$2427),1)))),0),""),0)</f>
        <v/>
      </c>
      <c r="Z517" s="104" t="str">
        <f>IF(ISNUMBER(O517),IF(I517&gt;0,(10^(VLOOKUP(D517,'Species Codes'!B:C,2,0)+VLOOKUP(D517,'Species Codes'!B:D,3,0)*LOG(E517)+VLOOKUP(D517,'Species Codes'!B:E,4,0)*LOG(I517))),0),"")</f>
        <v/>
      </c>
      <c r="AA517" s="104" t="str">
        <f>IFERROR((VLOOKUP(D517,'Species Codes'!B:G,6,0)*Z517)/2000,"")</f>
        <v/>
      </c>
      <c r="AB517" s="104" t="e">
        <f>IF(Z517&gt;0,((IF(OR(D517="DF",D517="RA")=TRUE,EXP(VLOOKUP(D517,'Species Codes'!B:I,8,0)+VLOOKUP(D517,'Species Codes'!B:J,9,0)*(LN((E517*2.54)))),IF(OR(D517="PY",D517="RC",D517="WH",D517="NF")=TRUE,VLOOKUP(D517,'Species Codes'!B:I,8,0)+VLOOKUP(D517,'Species Codes'!B:J,9,0)*((E517*2.54)^2)*(I517*0.3048),IF(OR(D517="MD",D517="BM",D517="GA")=TRUE,((VLOOKUP(D517,'Species Codes'!B:I,8,0)*(((((E517*2.54)+VLOOKUP(D517,'Species Codes'!B:J,9,0))/VLOOKUP(D517,'Species Codes'!B:K,10,0))^VLOOKUP(D517,'Species Codes'!B:L,11,0))*((I517*0.3048)^VLOOKUP(D517,'Species Codes'!B:M,12,0))))-(VLOOKUP(D517,'Species Codes'!B:I,8,0)*((((E517*2.54)^VLOOKUP(D517,'Species Codes'!B:L,11,0))*((I517*0.3048)^VLOOKUP(D517,'Species Codes'!B:M,12,0))))))*35.3*VLOOKUP(D517,'Species Codes'!B:G,6,0)/2.2046,VLOOKUP(D517,'Species Codes'!B:I,8,0)+VLOOKUP(D517,'Species Codes'!B:J,9,0)*(((E517*2.54)/100)^2)*(I517*0.3048)))))*0.0011023),0)</f>
        <v>#N/A</v>
      </c>
      <c r="AC517" s="104" t="e">
        <f>IF(Z517&gt;0,((IF(OR(D517="RA",D517="OA",D517="OT",D517="UN",D517="PC"),EXP(VLOOKUP(D517,'Species Codes'!B:O,14,0)+VLOOKUP(D517,'Species Codes'!B:P,15,0)*LN((E517*2.54)))-EXP(VLOOKUP(D517,'Species Codes'!B:O,14,0)+VLOOKUP(D517,'Species Codes'!B:P,15,0)*LN((E517*2.54)))*(1/(VLOOKUP(D517,'Species Codes'!B:Q,16,0)+VLOOKUP(D517,'Species Codes'!B:R,17,0)*((E517*2.54)^VLOOKUP(D517,'Species Codes'!B:S,18,0)))),IF(OR(D517="BM",D517="MD",D517="OA"),EXP(VLOOKUP(D517,'Species Codes'!B:O,14,0)+VLOOKUP(D517,'Species Codes'!B:P,15,0)*LN((E517*2.54)))*(1-(1/(VLOOKUP(D517,'Species Codes'!B:Q,16,0)+VLOOKUP(D517,'Species Codes'!B:R,17,0)*((E517*2.54)^VLOOKUP(D517,'Species Codes'!B:S,18,0)))))/1000,IF(D517="DF",EXP(VLOOKUP(D517,'Species Codes'!B:O,14,0)+VLOOKUP(D517,'Species Codes'!B:P,15,0)*LN((E517*2.54))),VLOOKUP(D517,'Species Codes'!B:O,14,0)+VLOOKUP(D517,'Species Codes'!B:P,15,0)*(((E517*2.54)/100)^2)*(I517*0.3048)))))*0.0011023),0)</f>
        <v>#N/A</v>
      </c>
      <c r="AD517" s="104" t="e">
        <f t="shared" si="247"/>
        <v>#N/A</v>
      </c>
      <c r="AE517" s="104" t="e">
        <f t="shared" si="248"/>
        <v>#N/A</v>
      </c>
      <c r="AF517" s="104" t="e">
        <f>IF(AND(VLOOKUP($D517,Merchantability!$B:$C,2,0)="Yes",$E517&gt;=VLOOKUP($D517,Merchantability!$B:$D,3,0),$E517&lt;=VLOOKUP($D517,Merchantability!$B:$E,4,0)),AA517,0)</f>
        <v>#N/A</v>
      </c>
      <c r="AG517" s="104" t="e">
        <f>IF(AND(VLOOKUP($D517,Merchantability!$B:$C,2,0)="Yes",$E517&gt;=VLOOKUP($D517,Merchantability!$B:$D,3,0),$E517&lt;=VLOOKUP($D517,Merchantability!$B:$E,4,0)),AB517,0)</f>
        <v>#N/A</v>
      </c>
      <c r="AH517" s="104" t="e">
        <f>IF(AND(VLOOKUP($D517,Merchantability!$B:$C,2,0)="Yes",$E517&gt;=VLOOKUP($D517,Merchantability!$B:$D,3,0),$E517&lt;=VLOOKUP($D517,Merchantability!$B:$E,4,0)),AC517,0)</f>
        <v>#N/A</v>
      </c>
      <c r="AI517" s="104" t="e">
        <f t="shared" si="249"/>
        <v>#N/A</v>
      </c>
      <c r="AJ517" s="104" t="e">
        <f t="shared" si="250"/>
        <v>#VALUE!</v>
      </c>
      <c r="AK517" s="104" t="e">
        <f t="shared" si="251"/>
        <v>#N/A</v>
      </c>
      <c r="AL517" s="104" t="e">
        <f t="shared" si="252"/>
        <v>#N/A</v>
      </c>
      <c r="AM517" s="104" t="e">
        <f t="shared" si="253"/>
        <v>#N/A</v>
      </c>
      <c r="AN517" s="104" t="e">
        <f t="shared" si="264"/>
        <v>#N/A</v>
      </c>
      <c r="AO517" s="104" t="e">
        <f t="shared" si="265"/>
        <v>#N/A</v>
      </c>
      <c r="AP517" s="104" t="e">
        <f t="shared" si="266"/>
        <v>#N/A</v>
      </c>
      <c r="AQ517" s="104" t="e">
        <f t="shared" si="267"/>
        <v>#N/A</v>
      </c>
      <c r="AR517" s="105" t="str">
        <f t="shared" si="259"/>
        <v/>
      </c>
      <c r="AS517" s="105" t="str">
        <f t="shared" si="260"/>
        <v/>
      </c>
      <c r="AT517" s="108" t="str">
        <f t="shared" si="261"/>
        <v/>
      </c>
      <c r="AU517" s="108" t="str">
        <f t="shared" si="262"/>
        <v/>
      </c>
      <c r="AV517" s="107" t="str">
        <f>IF(ISNUMBER(O517),IF(VLOOKUP($A517,Stand!C:J,8,FALSE)="Short",AT517,AU517),"")</f>
        <v/>
      </c>
      <c r="AW517" s="109" t="str">
        <f t="shared" si="268"/>
        <v/>
      </c>
      <c r="AX517" s="109" t="str">
        <f t="shared" si="269"/>
        <v/>
      </c>
      <c r="AY517" s="112" t="str">
        <f>IF(ISNUMBER(O517),IF(AND(VLOOKUP($D517,Merchantability!$B:$C,2,0)="Yes",$E517&gt;=VLOOKUP($D517,Merchantability!$B:$D,3,0),$E517&lt;=VLOOKUP($D517,Merchantability!$B:$E,4,0)),(AV517*O517)*(1-$H517/100),""),"")</f>
        <v/>
      </c>
      <c r="AZ517" s="116"/>
      <c r="BA517" s="116"/>
      <c r="BB517" s="116"/>
      <c r="BE517" s="62"/>
      <c r="BF517" s="63"/>
    </row>
    <row r="518" spans="1:58" ht="12.75" customHeight="1" x14ac:dyDescent="0.25">
      <c r="A518" s="313"/>
      <c r="B518" s="328"/>
      <c r="C518" s="329"/>
      <c r="D518" s="328"/>
      <c r="E518" s="330"/>
      <c r="F518" s="328"/>
      <c r="G518" s="329"/>
      <c r="H518" s="329"/>
      <c r="I518" s="328"/>
      <c r="J518" s="383"/>
      <c r="K518" s="329"/>
      <c r="L518" s="329"/>
      <c r="M518" s="78"/>
      <c r="N518" s="103" t="str">
        <f>IF(A518="","",VLOOKUP(A518,Stand!C:K,9,0))</f>
        <v/>
      </c>
      <c r="O518" s="104" t="str">
        <f t="shared" si="254"/>
        <v/>
      </c>
      <c r="P518" s="105" t="str">
        <f t="shared" si="255"/>
        <v/>
      </c>
      <c r="Q518" s="105" t="str">
        <f t="shared" si="243"/>
        <v/>
      </c>
      <c r="R518" s="103" t="str">
        <f t="shared" si="256"/>
        <v/>
      </c>
      <c r="S518" s="103" t="str">
        <f t="shared" si="257"/>
        <v/>
      </c>
      <c r="T518" s="106" t="str">
        <f t="shared" si="244"/>
        <v/>
      </c>
      <c r="U518" s="106" t="str">
        <f t="shared" si="245"/>
        <v/>
      </c>
      <c r="V518" s="106" t="str">
        <f t="shared" si="246"/>
        <v/>
      </c>
      <c r="W518" s="105" t="str">
        <f t="shared" si="258"/>
        <v/>
      </c>
      <c r="X518" s="104" t="str">
        <f t="shared" si="263"/>
        <v/>
      </c>
      <c r="Y518" s="104" t="str">
        <f t="array" ref="Y518">IFERROR(IF(ISNUMBER(O518),IF(COUNT(IF(A518=$A$2:$A$2427,IF(D518=$D$2:$D$2427,IF($X$2:$X$2427&gt;0,1))))&gt;0,SUM(IF(A518=$A$2:$A$2427,IF(D518=$D$2:$D$2427,$X$2:$X$2427)))/COUNT(IF(A518=$A$2:$A$2427,IF(D518=$D$2:$D$2427,IF(ISNUMBER($X$2:$X$2427),1)))),0),""),0)</f>
        <v/>
      </c>
      <c r="Z518" s="104" t="str">
        <f>IF(ISNUMBER(O518),IF(I518&gt;0,(10^(VLOOKUP(D518,'Species Codes'!B:C,2,0)+VLOOKUP(D518,'Species Codes'!B:D,3,0)*LOG(E518)+VLOOKUP(D518,'Species Codes'!B:E,4,0)*LOG(I518))),0),"")</f>
        <v/>
      </c>
      <c r="AA518" s="104" t="str">
        <f>IFERROR((VLOOKUP(D518,'Species Codes'!B:G,6,0)*Z518)/2000,"")</f>
        <v/>
      </c>
      <c r="AB518" s="104" t="e">
        <f>IF(Z518&gt;0,((IF(OR(D518="DF",D518="RA")=TRUE,EXP(VLOOKUP(D518,'Species Codes'!B:I,8,0)+VLOOKUP(D518,'Species Codes'!B:J,9,0)*(LN((E518*2.54)))),IF(OR(D518="PY",D518="RC",D518="WH",D518="NF")=TRUE,VLOOKUP(D518,'Species Codes'!B:I,8,0)+VLOOKUP(D518,'Species Codes'!B:J,9,0)*((E518*2.54)^2)*(I518*0.3048),IF(OR(D518="MD",D518="BM",D518="GA")=TRUE,((VLOOKUP(D518,'Species Codes'!B:I,8,0)*(((((E518*2.54)+VLOOKUP(D518,'Species Codes'!B:J,9,0))/VLOOKUP(D518,'Species Codes'!B:K,10,0))^VLOOKUP(D518,'Species Codes'!B:L,11,0))*((I518*0.3048)^VLOOKUP(D518,'Species Codes'!B:M,12,0))))-(VLOOKUP(D518,'Species Codes'!B:I,8,0)*((((E518*2.54)^VLOOKUP(D518,'Species Codes'!B:L,11,0))*((I518*0.3048)^VLOOKUP(D518,'Species Codes'!B:M,12,0))))))*35.3*VLOOKUP(D518,'Species Codes'!B:G,6,0)/2.2046,VLOOKUP(D518,'Species Codes'!B:I,8,0)+VLOOKUP(D518,'Species Codes'!B:J,9,0)*(((E518*2.54)/100)^2)*(I518*0.3048)))))*0.0011023),0)</f>
        <v>#N/A</v>
      </c>
      <c r="AC518" s="104" t="e">
        <f>IF(Z518&gt;0,((IF(OR(D518="RA",D518="OA",D518="OT",D518="UN",D518="PC"),EXP(VLOOKUP(D518,'Species Codes'!B:O,14,0)+VLOOKUP(D518,'Species Codes'!B:P,15,0)*LN((E518*2.54)))-EXP(VLOOKUP(D518,'Species Codes'!B:O,14,0)+VLOOKUP(D518,'Species Codes'!B:P,15,0)*LN((E518*2.54)))*(1/(VLOOKUP(D518,'Species Codes'!B:Q,16,0)+VLOOKUP(D518,'Species Codes'!B:R,17,0)*((E518*2.54)^VLOOKUP(D518,'Species Codes'!B:S,18,0)))),IF(OR(D518="BM",D518="MD",D518="OA"),EXP(VLOOKUP(D518,'Species Codes'!B:O,14,0)+VLOOKUP(D518,'Species Codes'!B:P,15,0)*LN((E518*2.54)))*(1-(1/(VLOOKUP(D518,'Species Codes'!B:Q,16,0)+VLOOKUP(D518,'Species Codes'!B:R,17,0)*((E518*2.54)^VLOOKUP(D518,'Species Codes'!B:S,18,0)))))/1000,IF(D518="DF",EXP(VLOOKUP(D518,'Species Codes'!B:O,14,0)+VLOOKUP(D518,'Species Codes'!B:P,15,0)*LN((E518*2.54))),VLOOKUP(D518,'Species Codes'!B:O,14,0)+VLOOKUP(D518,'Species Codes'!B:P,15,0)*(((E518*2.54)/100)^2)*(I518*0.3048)))))*0.0011023),0)</f>
        <v>#N/A</v>
      </c>
      <c r="AD518" s="104" t="e">
        <f t="shared" si="247"/>
        <v>#N/A</v>
      </c>
      <c r="AE518" s="104" t="e">
        <f t="shared" si="248"/>
        <v>#N/A</v>
      </c>
      <c r="AF518" s="104" t="e">
        <f>IF(AND(VLOOKUP($D518,Merchantability!$B:$C,2,0)="Yes",$E518&gt;=VLOOKUP($D518,Merchantability!$B:$D,3,0),$E518&lt;=VLOOKUP($D518,Merchantability!$B:$E,4,0)),AA518,0)</f>
        <v>#N/A</v>
      </c>
      <c r="AG518" s="104" t="e">
        <f>IF(AND(VLOOKUP($D518,Merchantability!$B:$C,2,0)="Yes",$E518&gt;=VLOOKUP($D518,Merchantability!$B:$D,3,0),$E518&lt;=VLOOKUP($D518,Merchantability!$B:$E,4,0)),AB518,0)</f>
        <v>#N/A</v>
      </c>
      <c r="AH518" s="104" t="e">
        <f>IF(AND(VLOOKUP($D518,Merchantability!$B:$C,2,0)="Yes",$E518&gt;=VLOOKUP($D518,Merchantability!$B:$D,3,0),$E518&lt;=VLOOKUP($D518,Merchantability!$B:$E,4,0)),AC518,0)</f>
        <v>#N/A</v>
      </c>
      <c r="AI518" s="104" t="e">
        <f t="shared" si="249"/>
        <v>#N/A</v>
      </c>
      <c r="AJ518" s="104" t="e">
        <f t="shared" si="250"/>
        <v>#VALUE!</v>
      </c>
      <c r="AK518" s="104" t="e">
        <f t="shared" si="251"/>
        <v>#N/A</v>
      </c>
      <c r="AL518" s="104" t="e">
        <f t="shared" si="252"/>
        <v>#N/A</v>
      </c>
      <c r="AM518" s="104" t="e">
        <f t="shared" si="253"/>
        <v>#N/A</v>
      </c>
      <c r="AN518" s="104" t="e">
        <f t="shared" si="264"/>
        <v>#N/A</v>
      </c>
      <c r="AO518" s="104" t="e">
        <f t="shared" si="265"/>
        <v>#N/A</v>
      </c>
      <c r="AP518" s="104" t="e">
        <f t="shared" si="266"/>
        <v>#N/A</v>
      </c>
      <c r="AQ518" s="104" t="e">
        <f t="shared" si="267"/>
        <v>#N/A</v>
      </c>
      <c r="AR518" s="105" t="str">
        <f t="shared" si="259"/>
        <v/>
      </c>
      <c r="AS518" s="105" t="str">
        <f t="shared" si="260"/>
        <v/>
      </c>
      <c r="AT518" s="108" t="str">
        <f t="shared" si="261"/>
        <v/>
      </c>
      <c r="AU518" s="108" t="str">
        <f t="shared" si="262"/>
        <v/>
      </c>
      <c r="AV518" s="107" t="str">
        <f>IF(ISNUMBER(O518),IF(VLOOKUP($A518,Stand!C:J,8,FALSE)="Short",AT518,AU518),"")</f>
        <v/>
      </c>
      <c r="AW518" s="109" t="str">
        <f t="shared" si="268"/>
        <v/>
      </c>
      <c r="AX518" s="109" t="str">
        <f t="shared" si="269"/>
        <v/>
      </c>
      <c r="AY518" s="112" t="str">
        <f>IF(ISNUMBER(O518),IF(AND(VLOOKUP($D518,Merchantability!$B:$C,2,0)="Yes",$E518&gt;=VLOOKUP($D518,Merchantability!$B:$D,3,0),$E518&lt;=VLOOKUP($D518,Merchantability!$B:$E,4,0)),(AV518*O518)*(1-$H518/100),""),"")</f>
        <v/>
      </c>
      <c r="AZ518" s="116"/>
      <c r="BA518" s="116"/>
      <c r="BB518" s="116"/>
      <c r="BE518" s="62"/>
      <c r="BF518" s="63"/>
    </row>
    <row r="519" spans="1:58" ht="12.75" customHeight="1" x14ac:dyDescent="0.25">
      <c r="A519" s="313"/>
      <c r="B519" s="328"/>
      <c r="C519" s="329"/>
      <c r="D519" s="328"/>
      <c r="E519" s="330"/>
      <c r="F519" s="328"/>
      <c r="G519" s="329"/>
      <c r="H519" s="329"/>
      <c r="I519" s="328"/>
      <c r="J519" s="383"/>
      <c r="K519" s="329"/>
      <c r="L519" s="329"/>
      <c r="M519" s="78"/>
      <c r="N519" s="103" t="str">
        <f>IF(A519="","",VLOOKUP(A519,Stand!C:K,9,0))</f>
        <v/>
      </c>
      <c r="O519" s="104" t="str">
        <f t="shared" si="254"/>
        <v/>
      </c>
      <c r="P519" s="105" t="str">
        <f t="shared" si="255"/>
        <v/>
      </c>
      <c r="Q519" s="105" t="str">
        <f t="shared" si="243"/>
        <v/>
      </c>
      <c r="R519" s="103" t="str">
        <f t="shared" si="256"/>
        <v/>
      </c>
      <c r="S519" s="103" t="str">
        <f t="shared" si="257"/>
        <v/>
      </c>
      <c r="T519" s="106" t="str">
        <f t="shared" si="244"/>
        <v/>
      </c>
      <c r="U519" s="106" t="str">
        <f t="shared" si="245"/>
        <v/>
      </c>
      <c r="V519" s="106" t="str">
        <f t="shared" si="246"/>
        <v/>
      </c>
      <c r="W519" s="105" t="str">
        <f t="shared" si="258"/>
        <v/>
      </c>
      <c r="X519" s="104" t="str">
        <f t="shared" si="263"/>
        <v/>
      </c>
      <c r="Y519" s="104" t="str">
        <f t="array" ref="Y519">IFERROR(IF(ISNUMBER(O519),IF(COUNT(IF(A519=$A$2:$A$2427,IF(D519=$D$2:$D$2427,IF($X$2:$X$2427&gt;0,1))))&gt;0,SUM(IF(A519=$A$2:$A$2427,IF(D519=$D$2:$D$2427,$X$2:$X$2427)))/COUNT(IF(A519=$A$2:$A$2427,IF(D519=$D$2:$D$2427,IF(ISNUMBER($X$2:$X$2427),1)))),0),""),0)</f>
        <v/>
      </c>
      <c r="Z519" s="104" t="str">
        <f>IF(ISNUMBER(O519),IF(I519&gt;0,(10^(VLOOKUP(D519,'Species Codes'!B:C,2,0)+VLOOKUP(D519,'Species Codes'!B:D,3,0)*LOG(E519)+VLOOKUP(D519,'Species Codes'!B:E,4,0)*LOG(I519))),0),"")</f>
        <v/>
      </c>
      <c r="AA519" s="104" t="str">
        <f>IFERROR((VLOOKUP(D519,'Species Codes'!B:G,6,0)*Z519)/2000,"")</f>
        <v/>
      </c>
      <c r="AB519" s="104" t="e">
        <f>IF(Z519&gt;0,((IF(OR(D519="DF",D519="RA")=TRUE,EXP(VLOOKUP(D519,'Species Codes'!B:I,8,0)+VLOOKUP(D519,'Species Codes'!B:J,9,0)*(LN((E519*2.54)))),IF(OR(D519="PY",D519="RC",D519="WH",D519="NF")=TRUE,VLOOKUP(D519,'Species Codes'!B:I,8,0)+VLOOKUP(D519,'Species Codes'!B:J,9,0)*((E519*2.54)^2)*(I519*0.3048),IF(OR(D519="MD",D519="BM",D519="GA")=TRUE,((VLOOKUP(D519,'Species Codes'!B:I,8,0)*(((((E519*2.54)+VLOOKUP(D519,'Species Codes'!B:J,9,0))/VLOOKUP(D519,'Species Codes'!B:K,10,0))^VLOOKUP(D519,'Species Codes'!B:L,11,0))*((I519*0.3048)^VLOOKUP(D519,'Species Codes'!B:M,12,0))))-(VLOOKUP(D519,'Species Codes'!B:I,8,0)*((((E519*2.54)^VLOOKUP(D519,'Species Codes'!B:L,11,0))*((I519*0.3048)^VLOOKUP(D519,'Species Codes'!B:M,12,0))))))*35.3*VLOOKUP(D519,'Species Codes'!B:G,6,0)/2.2046,VLOOKUP(D519,'Species Codes'!B:I,8,0)+VLOOKUP(D519,'Species Codes'!B:J,9,0)*(((E519*2.54)/100)^2)*(I519*0.3048)))))*0.0011023),0)</f>
        <v>#N/A</v>
      </c>
      <c r="AC519" s="104" t="e">
        <f>IF(Z519&gt;0,((IF(OR(D519="RA",D519="OA",D519="OT",D519="UN",D519="PC"),EXP(VLOOKUP(D519,'Species Codes'!B:O,14,0)+VLOOKUP(D519,'Species Codes'!B:P,15,0)*LN((E519*2.54)))-EXP(VLOOKUP(D519,'Species Codes'!B:O,14,0)+VLOOKUP(D519,'Species Codes'!B:P,15,0)*LN((E519*2.54)))*(1/(VLOOKUP(D519,'Species Codes'!B:Q,16,0)+VLOOKUP(D519,'Species Codes'!B:R,17,0)*((E519*2.54)^VLOOKUP(D519,'Species Codes'!B:S,18,0)))),IF(OR(D519="BM",D519="MD",D519="OA"),EXP(VLOOKUP(D519,'Species Codes'!B:O,14,0)+VLOOKUP(D519,'Species Codes'!B:P,15,0)*LN((E519*2.54)))*(1-(1/(VLOOKUP(D519,'Species Codes'!B:Q,16,0)+VLOOKUP(D519,'Species Codes'!B:R,17,0)*((E519*2.54)^VLOOKUP(D519,'Species Codes'!B:S,18,0)))))/1000,IF(D519="DF",EXP(VLOOKUP(D519,'Species Codes'!B:O,14,0)+VLOOKUP(D519,'Species Codes'!B:P,15,0)*LN((E519*2.54))),VLOOKUP(D519,'Species Codes'!B:O,14,0)+VLOOKUP(D519,'Species Codes'!B:P,15,0)*(((E519*2.54)/100)^2)*(I519*0.3048)))))*0.0011023),0)</f>
        <v>#N/A</v>
      </c>
      <c r="AD519" s="104" t="e">
        <f t="shared" si="247"/>
        <v>#N/A</v>
      </c>
      <c r="AE519" s="104" t="e">
        <f t="shared" si="248"/>
        <v>#N/A</v>
      </c>
      <c r="AF519" s="104" t="e">
        <f>IF(AND(VLOOKUP($D519,Merchantability!$B:$C,2,0)="Yes",$E519&gt;=VLOOKUP($D519,Merchantability!$B:$D,3,0),$E519&lt;=VLOOKUP($D519,Merchantability!$B:$E,4,0)),AA519,0)</f>
        <v>#N/A</v>
      </c>
      <c r="AG519" s="104" t="e">
        <f>IF(AND(VLOOKUP($D519,Merchantability!$B:$C,2,0)="Yes",$E519&gt;=VLOOKUP($D519,Merchantability!$B:$D,3,0),$E519&lt;=VLOOKUP($D519,Merchantability!$B:$E,4,0)),AB519,0)</f>
        <v>#N/A</v>
      </c>
      <c r="AH519" s="104" t="e">
        <f>IF(AND(VLOOKUP($D519,Merchantability!$B:$C,2,0)="Yes",$E519&gt;=VLOOKUP($D519,Merchantability!$B:$D,3,0),$E519&lt;=VLOOKUP($D519,Merchantability!$B:$E,4,0)),AC519,0)</f>
        <v>#N/A</v>
      </c>
      <c r="AI519" s="104" t="e">
        <f t="shared" si="249"/>
        <v>#N/A</v>
      </c>
      <c r="AJ519" s="104" t="e">
        <f t="shared" si="250"/>
        <v>#VALUE!</v>
      </c>
      <c r="AK519" s="104" t="e">
        <f t="shared" si="251"/>
        <v>#N/A</v>
      </c>
      <c r="AL519" s="104" t="e">
        <f t="shared" si="252"/>
        <v>#N/A</v>
      </c>
      <c r="AM519" s="104" t="e">
        <f t="shared" si="253"/>
        <v>#N/A</v>
      </c>
      <c r="AN519" s="104" t="e">
        <f t="shared" si="264"/>
        <v>#N/A</v>
      </c>
      <c r="AO519" s="104" t="e">
        <f t="shared" si="265"/>
        <v>#N/A</v>
      </c>
      <c r="AP519" s="104" t="e">
        <f t="shared" si="266"/>
        <v>#N/A</v>
      </c>
      <c r="AQ519" s="104" t="e">
        <f t="shared" si="267"/>
        <v>#N/A</v>
      </c>
      <c r="AR519" s="105" t="str">
        <f t="shared" si="259"/>
        <v/>
      </c>
      <c r="AS519" s="105" t="str">
        <f t="shared" si="260"/>
        <v/>
      </c>
      <c r="AT519" s="108" t="str">
        <f t="shared" si="261"/>
        <v/>
      </c>
      <c r="AU519" s="108" t="str">
        <f t="shared" si="262"/>
        <v/>
      </c>
      <c r="AV519" s="107" t="str">
        <f>IF(ISNUMBER(O519),IF(VLOOKUP($A519,Stand!C:J,8,FALSE)="Short",AT519,AU519),"")</f>
        <v/>
      </c>
      <c r="AW519" s="109" t="str">
        <f t="shared" si="268"/>
        <v/>
      </c>
      <c r="AX519" s="109" t="str">
        <f t="shared" si="269"/>
        <v/>
      </c>
      <c r="AY519" s="112" t="str">
        <f>IF(ISNUMBER(O519),IF(AND(VLOOKUP($D519,Merchantability!$B:$C,2,0)="Yes",$E519&gt;=VLOOKUP($D519,Merchantability!$B:$D,3,0),$E519&lt;=VLOOKUP($D519,Merchantability!$B:$E,4,0)),(AV519*O519)*(1-$H519/100),""),"")</f>
        <v/>
      </c>
      <c r="AZ519" s="116"/>
      <c r="BA519" s="116"/>
      <c r="BB519" s="116"/>
      <c r="BE519" s="62"/>
      <c r="BF519" s="63"/>
    </row>
    <row r="520" spans="1:58" ht="12.75" customHeight="1" x14ac:dyDescent="0.25">
      <c r="A520" s="313"/>
      <c r="B520" s="328"/>
      <c r="C520" s="329"/>
      <c r="D520" s="328"/>
      <c r="E520" s="330"/>
      <c r="F520" s="328"/>
      <c r="G520" s="329"/>
      <c r="H520" s="329"/>
      <c r="I520" s="328"/>
      <c r="J520" s="383"/>
      <c r="K520" s="329"/>
      <c r="L520" s="329"/>
      <c r="M520" s="78"/>
      <c r="N520" s="103" t="str">
        <f>IF(A520="","",VLOOKUP(A520,Stand!C:K,9,0))</f>
        <v/>
      </c>
      <c r="O520" s="104" t="str">
        <f t="shared" si="254"/>
        <v/>
      </c>
      <c r="P520" s="105" t="str">
        <f t="shared" si="255"/>
        <v/>
      </c>
      <c r="Q520" s="105" t="str">
        <f t="shared" si="243"/>
        <v/>
      </c>
      <c r="R520" s="103" t="str">
        <f t="shared" si="256"/>
        <v/>
      </c>
      <c r="S520" s="103" t="str">
        <f t="shared" si="257"/>
        <v/>
      </c>
      <c r="T520" s="106" t="str">
        <f t="shared" si="244"/>
        <v/>
      </c>
      <c r="U520" s="106" t="str">
        <f t="shared" si="245"/>
        <v/>
      </c>
      <c r="V520" s="106" t="str">
        <f t="shared" si="246"/>
        <v/>
      </c>
      <c r="W520" s="105" t="str">
        <f t="shared" si="258"/>
        <v/>
      </c>
      <c r="X520" s="104" t="str">
        <f t="shared" si="263"/>
        <v/>
      </c>
      <c r="Y520" s="104" t="str">
        <f t="array" ref="Y520">IFERROR(IF(ISNUMBER(O520),IF(COUNT(IF(A520=$A$2:$A$2427,IF(D520=$D$2:$D$2427,IF($X$2:$X$2427&gt;0,1))))&gt;0,SUM(IF(A520=$A$2:$A$2427,IF(D520=$D$2:$D$2427,$X$2:$X$2427)))/COUNT(IF(A520=$A$2:$A$2427,IF(D520=$D$2:$D$2427,IF(ISNUMBER($X$2:$X$2427),1)))),0),""),0)</f>
        <v/>
      </c>
      <c r="Z520" s="104" t="str">
        <f>IF(ISNUMBER(O520),IF(I520&gt;0,(10^(VLOOKUP(D520,'Species Codes'!B:C,2,0)+VLOOKUP(D520,'Species Codes'!B:D,3,0)*LOG(E520)+VLOOKUP(D520,'Species Codes'!B:E,4,0)*LOG(I520))),0),"")</f>
        <v/>
      </c>
      <c r="AA520" s="104" t="str">
        <f>IFERROR((VLOOKUP(D520,'Species Codes'!B:G,6,0)*Z520)/2000,"")</f>
        <v/>
      </c>
      <c r="AB520" s="104" t="e">
        <f>IF(Z520&gt;0,((IF(OR(D520="DF",D520="RA")=TRUE,EXP(VLOOKUP(D520,'Species Codes'!B:I,8,0)+VLOOKUP(D520,'Species Codes'!B:J,9,0)*(LN((E520*2.54)))),IF(OR(D520="PY",D520="RC",D520="WH",D520="NF")=TRUE,VLOOKUP(D520,'Species Codes'!B:I,8,0)+VLOOKUP(D520,'Species Codes'!B:J,9,0)*((E520*2.54)^2)*(I520*0.3048),IF(OR(D520="MD",D520="BM",D520="GA")=TRUE,((VLOOKUP(D520,'Species Codes'!B:I,8,0)*(((((E520*2.54)+VLOOKUP(D520,'Species Codes'!B:J,9,0))/VLOOKUP(D520,'Species Codes'!B:K,10,0))^VLOOKUP(D520,'Species Codes'!B:L,11,0))*((I520*0.3048)^VLOOKUP(D520,'Species Codes'!B:M,12,0))))-(VLOOKUP(D520,'Species Codes'!B:I,8,0)*((((E520*2.54)^VLOOKUP(D520,'Species Codes'!B:L,11,0))*((I520*0.3048)^VLOOKUP(D520,'Species Codes'!B:M,12,0))))))*35.3*VLOOKUP(D520,'Species Codes'!B:G,6,0)/2.2046,VLOOKUP(D520,'Species Codes'!B:I,8,0)+VLOOKUP(D520,'Species Codes'!B:J,9,0)*(((E520*2.54)/100)^2)*(I520*0.3048)))))*0.0011023),0)</f>
        <v>#N/A</v>
      </c>
      <c r="AC520" s="104" t="e">
        <f>IF(Z520&gt;0,((IF(OR(D520="RA",D520="OA",D520="OT",D520="UN",D520="PC"),EXP(VLOOKUP(D520,'Species Codes'!B:O,14,0)+VLOOKUP(D520,'Species Codes'!B:P,15,0)*LN((E520*2.54)))-EXP(VLOOKUP(D520,'Species Codes'!B:O,14,0)+VLOOKUP(D520,'Species Codes'!B:P,15,0)*LN((E520*2.54)))*(1/(VLOOKUP(D520,'Species Codes'!B:Q,16,0)+VLOOKUP(D520,'Species Codes'!B:R,17,0)*((E520*2.54)^VLOOKUP(D520,'Species Codes'!B:S,18,0)))),IF(OR(D520="BM",D520="MD",D520="OA"),EXP(VLOOKUP(D520,'Species Codes'!B:O,14,0)+VLOOKUP(D520,'Species Codes'!B:P,15,0)*LN((E520*2.54)))*(1-(1/(VLOOKUP(D520,'Species Codes'!B:Q,16,0)+VLOOKUP(D520,'Species Codes'!B:R,17,0)*((E520*2.54)^VLOOKUP(D520,'Species Codes'!B:S,18,0)))))/1000,IF(D520="DF",EXP(VLOOKUP(D520,'Species Codes'!B:O,14,0)+VLOOKUP(D520,'Species Codes'!B:P,15,0)*LN((E520*2.54))),VLOOKUP(D520,'Species Codes'!B:O,14,0)+VLOOKUP(D520,'Species Codes'!B:P,15,0)*(((E520*2.54)/100)^2)*(I520*0.3048)))))*0.0011023),0)</f>
        <v>#N/A</v>
      </c>
      <c r="AD520" s="104" t="e">
        <f t="shared" si="247"/>
        <v>#N/A</v>
      </c>
      <c r="AE520" s="104" t="e">
        <f t="shared" si="248"/>
        <v>#N/A</v>
      </c>
      <c r="AF520" s="104" t="e">
        <f>IF(AND(VLOOKUP($D520,Merchantability!$B:$C,2,0)="Yes",$E520&gt;=VLOOKUP($D520,Merchantability!$B:$D,3,0),$E520&lt;=VLOOKUP($D520,Merchantability!$B:$E,4,0)),AA520,0)</f>
        <v>#N/A</v>
      </c>
      <c r="AG520" s="104" t="e">
        <f>IF(AND(VLOOKUP($D520,Merchantability!$B:$C,2,0)="Yes",$E520&gt;=VLOOKUP($D520,Merchantability!$B:$D,3,0),$E520&lt;=VLOOKUP($D520,Merchantability!$B:$E,4,0)),AB520,0)</f>
        <v>#N/A</v>
      </c>
      <c r="AH520" s="104" t="e">
        <f>IF(AND(VLOOKUP($D520,Merchantability!$B:$C,2,0)="Yes",$E520&gt;=VLOOKUP($D520,Merchantability!$B:$D,3,0),$E520&lt;=VLOOKUP($D520,Merchantability!$B:$E,4,0)),AC520,0)</f>
        <v>#N/A</v>
      </c>
      <c r="AI520" s="104" t="e">
        <f t="shared" si="249"/>
        <v>#N/A</v>
      </c>
      <c r="AJ520" s="104" t="e">
        <f t="shared" si="250"/>
        <v>#VALUE!</v>
      </c>
      <c r="AK520" s="104" t="e">
        <f t="shared" si="251"/>
        <v>#N/A</v>
      </c>
      <c r="AL520" s="104" t="e">
        <f t="shared" si="252"/>
        <v>#N/A</v>
      </c>
      <c r="AM520" s="104" t="e">
        <f t="shared" si="253"/>
        <v>#N/A</v>
      </c>
      <c r="AN520" s="104" t="e">
        <f t="shared" si="264"/>
        <v>#N/A</v>
      </c>
      <c r="AO520" s="104" t="e">
        <f t="shared" si="265"/>
        <v>#N/A</v>
      </c>
      <c r="AP520" s="104" t="e">
        <f t="shared" si="266"/>
        <v>#N/A</v>
      </c>
      <c r="AQ520" s="104" t="e">
        <f t="shared" si="267"/>
        <v>#N/A</v>
      </c>
      <c r="AR520" s="105" t="str">
        <f t="shared" si="259"/>
        <v/>
      </c>
      <c r="AS520" s="105" t="str">
        <f t="shared" si="260"/>
        <v/>
      </c>
      <c r="AT520" s="108" t="str">
        <f t="shared" si="261"/>
        <v/>
      </c>
      <c r="AU520" s="108" t="str">
        <f t="shared" si="262"/>
        <v/>
      </c>
      <c r="AV520" s="107" t="str">
        <f>IF(ISNUMBER(O520),IF(VLOOKUP($A520,Stand!C:J,8,FALSE)="Short",AT520,AU520),"")</f>
        <v/>
      </c>
      <c r="AW520" s="109" t="str">
        <f t="shared" si="268"/>
        <v/>
      </c>
      <c r="AX520" s="109" t="str">
        <f t="shared" si="269"/>
        <v/>
      </c>
      <c r="AY520" s="112" t="str">
        <f>IF(ISNUMBER(O520),IF(AND(VLOOKUP($D520,Merchantability!$B:$C,2,0)="Yes",$E520&gt;=VLOOKUP($D520,Merchantability!$B:$D,3,0),$E520&lt;=VLOOKUP($D520,Merchantability!$B:$E,4,0)),(AV520*O520)*(1-$H520/100),""),"")</f>
        <v/>
      </c>
      <c r="AZ520" s="116"/>
      <c r="BA520" s="116"/>
      <c r="BB520" s="116"/>
      <c r="BE520" s="62"/>
      <c r="BF520" s="63"/>
    </row>
    <row r="521" spans="1:58" ht="12.75" customHeight="1" x14ac:dyDescent="0.25">
      <c r="A521" s="313"/>
      <c r="B521" s="328"/>
      <c r="C521" s="329"/>
      <c r="D521" s="328"/>
      <c r="E521" s="330"/>
      <c r="F521" s="328"/>
      <c r="G521" s="329"/>
      <c r="H521" s="329"/>
      <c r="I521" s="328"/>
      <c r="J521" s="383"/>
      <c r="K521" s="329"/>
      <c r="L521" s="329"/>
      <c r="M521" s="78"/>
      <c r="N521" s="103" t="str">
        <f>IF(A521="","",VLOOKUP(A521,Stand!C:K,9,0))</f>
        <v/>
      </c>
      <c r="O521" s="104" t="str">
        <f t="shared" si="254"/>
        <v/>
      </c>
      <c r="P521" s="105" t="str">
        <f t="shared" si="255"/>
        <v/>
      </c>
      <c r="Q521" s="105" t="str">
        <f t="shared" si="243"/>
        <v/>
      </c>
      <c r="R521" s="103" t="str">
        <f t="shared" si="256"/>
        <v/>
      </c>
      <c r="S521" s="103" t="str">
        <f t="shared" si="257"/>
        <v/>
      </c>
      <c r="T521" s="106" t="str">
        <f t="shared" si="244"/>
        <v/>
      </c>
      <c r="U521" s="106" t="str">
        <f t="shared" si="245"/>
        <v/>
      </c>
      <c r="V521" s="106" t="str">
        <f t="shared" si="246"/>
        <v/>
      </c>
      <c r="W521" s="105" t="str">
        <f t="shared" si="258"/>
        <v/>
      </c>
      <c r="X521" s="104" t="str">
        <f t="shared" si="263"/>
        <v/>
      </c>
      <c r="Y521" s="104" t="str">
        <f t="array" ref="Y521">IFERROR(IF(ISNUMBER(O521),IF(COUNT(IF(A521=$A$2:$A$2427,IF(D521=$D$2:$D$2427,IF($X$2:$X$2427&gt;0,1))))&gt;0,SUM(IF(A521=$A$2:$A$2427,IF(D521=$D$2:$D$2427,$X$2:$X$2427)))/COUNT(IF(A521=$A$2:$A$2427,IF(D521=$D$2:$D$2427,IF(ISNUMBER($X$2:$X$2427),1)))),0),""),0)</f>
        <v/>
      </c>
      <c r="Z521" s="104" t="str">
        <f>IF(ISNUMBER(O521),IF(I521&gt;0,(10^(VLOOKUP(D521,'Species Codes'!B:C,2,0)+VLOOKUP(D521,'Species Codes'!B:D,3,0)*LOG(E521)+VLOOKUP(D521,'Species Codes'!B:E,4,0)*LOG(I521))),0),"")</f>
        <v/>
      </c>
      <c r="AA521" s="104" t="str">
        <f>IFERROR((VLOOKUP(D521,'Species Codes'!B:G,6,0)*Z521)/2000,"")</f>
        <v/>
      </c>
      <c r="AB521" s="104" t="e">
        <f>IF(Z521&gt;0,((IF(OR(D521="DF",D521="RA")=TRUE,EXP(VLOOKUP(D521,'Species Codes'!B:I,8,0)+VLOOKUP(D521,'Species Codes'!B:J,9,0)*(LN((E521*2.54)))),IF(OR(D521="PY",D521="RC",D521="WH",D521="NF")=TRUE,VLOOKUP(D521,'Species Codes'!B:I,8,0)+VLOOKUP(D521,'Species Codes'!B:J,9,0)*((E521*2.54)^2)*(I521*0.3048),IF(OR(D521="MD",D521="BM",D521="GA")=TRUE,((VLOOKUP(D521,'Species Codes'!B:I,8,0)*(((((E521*2.54)+VLOOKUP(D521,'Species Codes'!B:J,9,0))/VLOOKUP(D521,'Species Codes'!B:K,10,0))^VLOOKUP(D521,'Species Codes'!B:L,11,0))*((I521*0.3048)^VLOOKUP(D521,'Species Codes'!B:M,12,0))))-(VLOOKUP(D521,'Species Codes'!B:I,8,0)*((((E521*2.54)^VLOOKUP(D521,'Species Codes'!B:L,11,0))*((I521*0.3048)^VLOOKUP(D521,'Species Codes'!B:M,12,0))))))*35.3*VLOOKUP(D521,'Species Codes'!B:G,6,0)/2.2046,VLOOKUP(D521,'Species Codes'!B:I,8,0)+VLOOKUP(D521,'Species Codes'!B:J,9,0)*(((E521*2.54)/100)^2)*(I521*0.3048)))))*0.0011023),0)</f>
        <v>#N/A</v>
      </c>
      <c r="AC521" s="104" t="e">
        <f>IF(Z521&gt;0,((IF(OR(D521="RA",D521="OA",D521="OT",D521="UN",D521="PC"),EXP(VLOOKUP(D521,'Species Codes'!B:O,14,0)+VLOOKUP(D521,'Species Codes'!B:P,15,0)*LN((E521*2.54)))-EXP(VLOOKUP(D521,'Species Codes'!B:O,14,0)+VLOOKUP(D521,'Species Codes'!B:P,15,0)*LN((E521*2.54)))*(1/(VLOOKUP(D521,'Species Codes'!B:Q,16,0)+VLOOKUP(D521,'Species Codes'!B:R,17,0)*((E521*2.54)^VLOOKUP(D521,'Species Codes'!B:S,18,0)))),IF(OR(D521="BM",D521="MD",D521="OA"),EXP(VLOOKUP(D521,'Species Codes'!B:O,14,0)+VLOOKUP(D521,'Species Codes'!B:P,15,0)*LN((E521*2.54)))*(1-(1/(VLOOKUP(D521,'Species Codes'!B:Q,16,0)+VLOOKUP(D521,'Species Codes'!B:R,17,0)*((E521*2.54)^VLOOKUP(D521,'Species Codes'!B:S,18,0)))))/1000,IF(D521="DF",EXP(VLOOKUP(D521,'Species Codes'!B:O,14,0)+VLOOKUP(D521,'Species Codes'!B:P,15,0)*LN((E521*2.54))),VLOOKUP(D521,'Species Codes'!B:O,14,0)+VLOOKUP(D521,'Species Codes'!B:P,15,0)*(((E521*2.54)/100)^2)*(I521*0.3048)))))*0.0011023),0)</f>
        <v>#N/A</v>
      </c>
      <c r="AD521" s="104" t="e">
        <f t="shared" si="247"/>
        <v>#N/A</v>
      </c>
      <c r="AE521" s="104" t="e">
        <f t="shared" si="248"/>
        <v>#N/A</v>
      </c>
      <c r="AF521" s="104" t="e">
        <f>IF(AND(VLOOKUP($D521,Merchantability!$B:$C,2,0)="Yes",$E521&gt;=VLOOKUP($D521,Merchantability!$B:$D,3,0),$E521&lt;=VLOOKUP($D521,Merchantability!$B:$E,4,0)),AA521,0)</f>
        <v>#N/A</v>
      </c>
      <c r="AG521" s="104" t="e">
        <f>IF(AND(VLOOKUP($D521,Merchantability!$B:$C,2,0)="Yes",$E521&gt;=VLOOKUP($D521,Merchantability!$B:$D,3,0),$E521&lt;=VLOOKUP($D521,Merchantability!$B:$E,4,0)),AB521,0)</f>
        <v>#N/A</v>
      </c>
      <c r="AH521" s="104" t="e">
        <f>IF(AND(VLOOKUP($D521,Merchantability!$B:$C,2,0)="Yes",$E521&gt;=VLOOKUP($D521,Merchantability!$B:$D,3,0),$E521&lt;=VLOOKUP($D521,Merchantability!$B:$E,4,0)),AC521,0)</f>
        <v>#N/A</v>
      </c>
      <c r="AI521" s="104" t="e">
        <f t="shared" si="249"/>
        <v>#N/A</v>
      </c>
      <c r="AJ521" s="104" t="e">
        <f t="shared" si="250"/>
        <v>#VALUE!</v>
      </c>
      <c r="AK521" s="104" t="e">
        <f t="shared" si="251"/>
        <v>#N/A</v>
      </c>
      <c r="AL521" s="104" t="e">
        <f t="shared" si="252"/>
        <v>#N/A</v>
      </c>
      <c r="AM521" s="104" t="e">
        <f t="shared" si="253"/>
        <v>#N/A</v>
      </c>
      <c r="AN521" s="104" t="e">
        <f t="shared" si="264"/>
        <v>#N/A</v>
      </c>
      <c r="AO521" s="104" t="e">
        <f t="shared" si="265"/>
        <v>#N/A</v>
      </c>
      <c r="AP521" s="104" t="e">
        <f t="shared" si="266"/>
        <v>#N/A</v>
      </c>
      <c r="AQ521" s="104" t="e">
        <f t="shared" si="267"/>
        <v>#N/A</v>
      </c>
      <c r="AR521" s="105" t="str">
        <f t="shared" si="259"/>
        <v/>
      </c>
      <c r="AS521" s="105" t="str">
        <f t="shared" si="260"/>
        <v/>
      </c>
      <c r="AT521" s="108" t="str">
        <f t="shared" si="261"/>
        <v/>
      </c>
      <c r="AU521" s="108" t="str">
        <f t="shared" si="262"/>
        <v/>
      </c>
      <c r="AV521" s="107" t="str">
        <f>IF(ISNUMBER(O521),IF(VLOOKUP($A521,Stand!C:J,8,FALSE)="Short",AT521,AU521),"")</f>
        <v/>
      </c>
      <c r="AW521" s="109" t="str">
        <f t="shared" si="268"/>
        <v/>
      </c>
      <c r="AX521" s="109" t="str">
        <f t="shared" si="269"/>
        <v/>
      </c>
      <c r="AY521" s="112" t="str">
        <f>IF(ISNUMBER(O521),IF(AND(VLOOKUP($D521,Merchantability!$B:$C,2,0)="Yes",$E521&gt;=VLOOKUP($D521,Merchantability!$B:$D,3,0),$E521&lt;=VLOOKUP($D521,Merchantability!$B:$E,4,0)),(AV521*O521)*(1-$H521/100),""),"")</f>
        <v/>
      </c>
      <c r="AZ521" s="116"/>
      <c r="BA521" s="116"/>
      <c r="BB521" s="116"/>
      <c r="BE521" s="62"/>
      <c r="BF521" s="63"/>
    </row>
    <row r="522" spans="1:58" ht="12.75" customHeight="1" x14ac:dyDescent="0.25">
      <c r="A522" s="313"/>
      <c r="B522" s="328"/>
      <c r="C522" s="329"/>
      <c r="D522" s="328"/>
      <c r="E522" s="330"/>
      <c r="F522" s="328"/>
      <c r="G522" s="329"/>
      <c r="H522" s="329"/>
      <c r="I522" s="328"/>
      <c r="J522" s="383"/>
      <c r="K522" s="329"/>
      <c r="L522" s="329"/>
      <c r="M522" s="78"/>
      <c r="N522" s="103" t="str">
        <f>IF(A522="","",VLOOKUP(A522,Stand!C:K,9,0))</f>
        <v/>
      </c>
      <c r="O522" s="104" t="str">
        <f t="shared" si="254"/>
        <v/>
      </c>
      <c r="P522" s="105" t="str">
        <f t="shared" si="255"/>
        <v/>
      </c>
      <c r="Q522" s="105" t="str">
        <f t="shared" si="243"/>
        <v/>
      </c>
      <c r="R522" s="103" t="str">
        <f t="shared" si="256"/>
        <v/>
      </c>
      <c r="S522" s="103" t="str">
        <f t="shared" si="257"/>
        <v/>
      </c>
      <c r="T522" s="106" t="str">
        <f t="shared" si="244"/>
        <v/>
      </c>
      <c r="U522" s="106" t="str">
        <f t="shared" si="245"/>
        <v/>
      </c>
      <c r="V522" s="106" t="str">
        <f t="shared" si="246"/>
        <v/>
      </c>
      <c r="W522" s="105" t="str">
        <f t="shared" si="258"/>
        <v/>
      </c>
      <c r="X522" s="104" t="str">
        <f t="shared" si="263"/>
        <v/>
      </c>
      <c r="Y522" s="104" t="str">
        <f t="array" ref="Y522">IFERROR(IF(ISNUMBER(O522),IF(COUNT(IF(A522=$A$2:$A$2427,IF(D522=$D$2:$D$2427,IF($X$2:$X$2427&gt;0,1))))&gt;0,SUM(IF(A522=$A$2:$A$2427,IF(D522=$D$2:$D$2427,$X$2:$X$2427)))/COUNT(IF(A522=$A$2:$A$2427,IF(D522=$D$2:$D$2427,IF(ISNUMBER($X$2:$X$2427),1)))),0),""),0)</f>
        <v/>
      </c>
      <c r="Z522" s="104" t="str">
        <f>IF(ISNUMBER(O522),IF(I522&gt;0,(10^(VLOOKUP(D522,'Species Codes'!B:C,2,0)+VLOOKUP(D522,'Species Codes'!B:D,3,0)*LOG(E522)+VLOOKUP(D522,'Species Codes'!B:E,4,0)*LOG(I522))),0),"")</f>
        <v/>
      </c>
      <c r="AA522" s="104" t="str">
        <f>IFERROR((VLOOKUP(D522,'Species Codes'!B:G,6,0)*Z522)/2000,"")</f>
        <v/>
      </c>
      <c r="AB522" s="104" t="e">
        <f>IF(Z522&gt;0,((IF(OR(D522="DF",D522="RA")=TRUE,EXP(VLOOKUP(D522,'Species Codes'!B:I,8,0)+VLOOKUP(D522,'Species Codes'!B:J,9,0)*(LN((E522*2.54)))),IF(OR(D522="PY",D522="RC",D522="WH",D522="NF")=TRUE,VLOOKUP(D522,'Species Codes'!B:I,8,0)+VLOOKUP(D522,'Species Codes'!B:J,9,0)*((E522*2.54)^2)*(I522*0.3048),IF(OR(D522="MD",D522="BM",D522="GA")=TRUE,((VLOOKUP(D522,'Species Codes'!B:I,8,0)*(((((E522*2.54)+VLOOKUP(D522,'Species Codes'!B:J,9,0))/VLOOKUP(D522,'Species Codes'!B:K,10,0))^VLOOKUP(D522,'Species Codes'!B:L,11,0))*((I522*0.3048)^VLOOKUP(D522,'Species Codes'!B:M,12,0))))-(VLOOKUP(D522,'Species Codes'!B:I,8,0)*((((E522*2.54)^VLOOKUP(D522,'Species Codes'!B:L,11,0))*((I522*0.3048)^VLOOKUP(D522,'Species Codes'!B:M,12,0))))))*35.3*VLOOKUP(D522,'Species Codes'!B:G,6,0)/2.2046,VLOOKUP(D522,'Species Codes'!B:I,8,0)+VLOOKUP(D522,'Species Codes'!B:J,9,0)*(((E522*2.54)/100)^2)*(I522*0.3048)))))*0.0011023),0)</f>
        <v>#N/A</v>
      </c>
      <c r="AC522" s="104" t="e">
        <f>IF(Z522&gt;0,((IF(OR(D522="RA",D522="OA",D522="OT",D522="UN",D522="PC"),EXP(VLOOKUP(D522,'Species Codes'!B:O,14,0)+VLOOKUP(D522,'Species Codes'!B:P,15,0)*LN((E522*2.54)))-EXP(VLOOKUP(D522,'Species Codes'!B:O,14,0)+VLOOKUP(D522,'Species Codes'!B:P,15,0)*LN((E522*2.54)))*(1/(VLOOKUP(D522,'Species Codes'!B:Q,16,0)+VLOOKUP(D522,'Species Codes'!B:R,17,0)*((E522*2.54)^VLOOKUP(D522,'Species Codes'!B:S,18,0)))),IF(OR(D522="BM",D522="MD",D522="OA"),EXP(VLOOKUP(D522,'Species Codes'!B:O,14,0)+VLOOKUP(D522,'Species Codes'!B:P,15,0)*LN((E522*2.54)))*(1-(1/(VLOOKUP(D522,'Species Codes'!B:Q,16,0)+VLOOKUP(D522,'Species Codes'!B:R,17,0)*((E522*2.54)^VLOOKUP(D522,'Species Codes'!B:S,18,0)))))/1000,IF(D522="DF",EXP(VLOOKUP(D522,'Species Codes'!B:O,14,0)+VLOOKUP(D522,'Species Codes'!B:P,15,0)*LN((E522*2.54))),VLOOKUP(D522,'Species Codes'!B:O,14,0)+VLOOKUP(D522,'Species Codes'!B:P,15,0)*(((E522*2.54)/100)^2)*(I522*0.3048)))))*0.0011023),0)</f>
        <v>#N/A</v>
      </c>
      <c r="AD522" s="104" t="e">
        <f t="shared" si="247"/>
        <v>#N/A</v>
      </c>
      <c r="AE522" s="104" t="e">
        <f t="shared" si="248"/>
        <v>#N/A</v>
      </c>
      <c r="AF522" s="104" t="e">
        <f>IF(AND(VLOOKUP($D522,Merchantability!$B:$C,2,0)="Yes",$E522&gt;=VLOOKUP($D522,Merchantability!$B:$D,3,0),$E522&lt;=VLOOKUP($D522,Merchantability!$B:$E,4,0)),AA522,0)</f>
        <v>#N/A</v>
      </c>
      <c r="AG522" s="104" t="e">
        <f>IF(AND(VLOOKUP($D522,Merchantability!$B:$C,2,0)="Yes",$E522&gt;=VLOOKUP($D522,Merchantability!$B:$D,3,0),$E522&lt;=VLOOKUP($D522,Merchantability!$B:$E,4,0)),AB522,0)</f>
        <v>#N/A</v>
      </c>
      <c r="AH522" s="104" t="e">
        <f>IF(AND(VLOOKUP($D522,Merchantability!$B:$C,2,0)="Yes",$E522&gt;=VLOOKUP($D522,Merchantability!$B:$D,3,0),$E522&lt;=VLOOKUP($D522,Merchantability!$B:$E,4,0)),AC522,0)</f>
        <v>#N/A</v>
      </c>
      <c r="AI522" s="104" t="e">
        <f t="shared" si="249"/>
        <v>#N/A</v>
      </c>
      <c r="AJ522" s="104" t="e">
        <f t="shared" si="250"/>
        <v>#VALUE!</v>
      </c>
      <c r="AK522" s="104" t="e">
        <f t="shared" si="251"/>
        <v>#N/A</v>
      </c>
      <c r="AL522" s="104" t="e">
        <f t="shared" si="252"/>
        <v>#N/A</v>
      </c>
      <c r="AM522" s="104" t="e">
        <f t="shared" si="253"/>
        <v>#N/A</v>
      </c>
      <c r="AN522" s="104" t="e">
        <f t="shared" si="264"/>
        <v>#N/A</v>
      </c>
      <c r="AO522" s="104" t="e">
        <f t="shared" si="265"/>
        <v>#N/A</v>
      </c>
      <c r="AP522" s="104" t="e">
        <f t="shared" si="266"/>
        <v>#N/A</v>
      </c>
      <c r="AQ522" s="104" t="e">
        <f t="shared" si="267"/>
        <v>#N/A</v>
      </c>
      <c r="AR522" s="105" t="str">
        <f t="shared" si="259"/>
        <v/>
      </c>
      <c r="AS522" s="105" t="str">
        <f t="shared" si="260"/>
        <v/>
      </c>
      <c r="AT522" s="108" t="str">
        <f t="shared" si="261"/>
        <v/>
      </c>
      <c r="AU522" s="108" t="str">
        <f t="shared" si="262"/>
        <v/>
      </c>
      <c r="AV522" s="107" t="str">
        <f>IF(ISNUMBER(O522),IF(VLOOKUP($A522,Stand!C:J,8,FALSE)="Short",AT522,AU522),"")</f>
        <v/>
      </c>
      <c r="AW522" s="109" t="str">
        <f t="shared" si="268"/>
        <v/>
      </c>
      <c r="AX522" s="109" t="str">
        <f t="shared" si="269"/>
        <v/>
      </c>
      <c r="AY522" s="112" t="str">
        <f>IF(ISNUMBER(O522),IF(AND(VLOOKUP($D522,Merchantability!$B:$C,2,0)="Yes",$E522&gt;=VLOOKUP($D522,Merchantability!$B:$D,3,0),$E522&lt;=VLOOKUP($D522,Merchantability!$B:$E,4,0)),(AV522*O522)*(1-$H522/100),""),"")</f>
        <v/>
      </c>
      <c r="AZ522" s="116"/>
      <c r="BA522" s="116"/>
      <c r="BB522" s="116"/>
      <c r="BE522" s="62"/>
      <c r="BF522" s="63"/>
    </row>
    <row r="523" spans="1:58" ht="12.75" customHeight="1" x14ac:dyDescent="0.25">
      <c r="A523" s="313"/>
      <c r="B523" s="328"/>
      <c r="C523" s="329"/>
      <c r="D523" s="328"/>
      <c r="E523" s="330"/>
      <c r="F523" s="328"/>
      <c r="G523" s="329"/>
      <c r="H523" s="329"/>
      <c r="I523" s="328"/>
      <c r="J523" s="383"/>
      <c r="K523" s="329"/>
      <c r="L523" s="329"/>
      <c r="M523" s="78"/>
      <c r="N523" s="103" t="str">
        <f>IF(A523="","",VLOOKUP(A523,Stand!C:K,9,0))</f>
        <v/>
      </c>
      <c r="O523" s="104" t="str">
        <f t="shared" si="254"/>
        <v/>
      </c>
      <c r="P523" s="105" t="str">
        <f t="shared" si="255"/>
        <v/>
      </c>
      <c r="Q523" s="105" t="str">
        <f t="shared" si="243"/>
        <v/>
      </c>
      <c r="R523" s="103" t="str">
        <f t="shared" si="256"/>
        <v/>
      </c>
      <c r="S523" s="103" t="str">
        <f t="shared" si="257"/>
        <v/>
      </c>
      <c r="T523" s="106" t="str">
        <f t="shared" si="244"/>
        <v/>
      </c>
      <c r="U523" s="106" t="str">
        <f t="shared" si="245"/>
        <v/>
      </c>
      <c r="V523" s="106" t="str">
        <f t="shared" si="246"/>
        <v/>
      </c>
      <c r="W523" s="105" t="str">
        <f t="shared" si="258"/>
        <v/>
      </c>
      <c r="X523" s="104" t="str">
        <f t="shared" si="263"/>
        <v/>
      </c>
      <c r="Y523" s="104" t="str">
        <f t="array" ref="Y523">IFERROR(IF(ISNUMBER(O523),IF(COUNT(IF(A523=$A$2:$A$2427,IF(D523=$D$2:$D$2427,IF($X$2:$X$2427&gt;0,1))))&gt;0,SUM(IF(A523=$A$2:$A$2427,IF(D523=$D$2:$D$2427,$X$2:$X$2427)))/COUNT(IF(A523=$A$2:$A$2427,IF(D523=$D$2:$D$2427,IF(ISNUMBER($X$2:$X$2427),1)))),0),""),0)</f>
        <v/>
      </c>
      <c r="Z523" s="104" t="str">
        <f>IF(ISNUMBER(O523),IF(I523&gt;0,(10^(VLOOKUP(D523,'Species Codes'!B:C,2,0)+VLOOKUP(D523,'Species Codes'!B:D,3,0)*LOG(E523)+VLOOKUP(D523,'Species Codes'!B:E,4,0)*LOG(I523))),0),"")</f>
        <v/>
      </c>
      <c r="AA523" s="104" t="str">
        <f>IFERROR((VLOOKUP(D523,'Species Codes'!B:G,6,0)*Z523)/2000,"")</f>
        <v/>
      </c>
      <c r="AB523" s="104" t="e">
        <f>IF(Z523&gt;0,((IF(OR(D523="DF",D523="RA")=TRUE,EXP(VLOOKUP(D523,'Species Codes'!B:I,8,0)+VLOOKUP(D523,'Species Codes'!B:J,9,0)*(LN((E523*2.54)))),IF(OR(D523="PY",D523="RC",D523="WH",D523="NF")=TRUE,VLOOKUP(D523,'Species Codes'!B:I,8,0)+VLOOKUP(D523,'Species Codes'!B:J,9,0)*((E523*2.54)^2)*(I523*0.3048),IF(OR(D523="MD",D523="BM",D523="GA")=TRUE,((VLOOKUP(D523,'Species Codes'!B:I,8,0)*(((((E523*2.54)+VLOOKUP(D523,'Species Codes'!B:J,9,0))/VLOOKUP(D523,'Species Codes'!B:K,10,0))^VLOOKUP(D523,'Species Codes'!B:L,11,0))*((I523*0.3048)^VLOOKUP(D523,'Species Codes'!B:M,12,0))))-(VLOOKUP(D523,'Species Codes'!B:I,8,0)*((((E523*2.54)^VLOOKUP(D523,'Species Codes'!B:L,11,0))*((I523*0.3048)^VLOOKUP(D523,'Species Codes'!B:M,12,0))))))*35.3*VLOOKUP(D523,'Species Codes'!B:G,6,0)/2.2046,VLOOKUP(D523,'Species Codes'!B:I,8,0)+VLOOKUP(D523,'Species Codes'!B:J,9,0)*(((E523*2.54)/100)^2)*(I523*0.3048)))))*0.0011023),0)</f>
        <v>#N/A</v>
      </c>
      <c r="AC523" s="104" t="e">
        <f>IF(Z523&gt;0,((IF(OR(D523="RA",D523="OA",D523="OT",D523="UN",D523="PC"),EXP(VLOOKUP(D523,'Species Codes'!B:O,14,0)+VLOOKUP(D523,'Species Codes'!B:P,15,0)*LN((E523*2.54)))-EXP(VLOOKUP(D523,'Species Codes'!B:O,14,0)+VLOOKUP(D523,'Species Codes'!B:P,15,0)*LN((E523*2.54)))*(1/(VLOOKUP(D523,'Species Codes'!B:Q,16,0)+VLOOKUP(D523,'Species Codes'!B:R,17,0)*((E523*2.54)^VLOOKUP(D523,'Species Codes'!B:S,18,0)))),IF(OR(D523="BM",D523="MD",D523="OA"),EXP(VLOOKUP(D523,'Species Codes'!B:O,14,0)+VLOOKUP(D523,'Species Codes'!B:P,15,0)*LN((E523*2.54)))*(1-(1/(VLOOKUP(D523,'Species Codes'!B:Q,16,0)+VLOOKUP(D523,'Species Codes'!B:R,17,0)*((E523*2.54)^VLOOKUP(D523,'Species Codes'!B:S,18,0)))))/1000,IF(D523="DF",EXP(VLOOKUP(D523,'Species Codes'!B:O,14,0)+VLOOKUP(D523,'Species Codes'!B:P,15,0)*LN((E523*2.54))),VLOOKUP(D523,'Species Codes'!B:O,14,0)+VLOOKUP(D523,'Species Codes'!B:P,15,0)*(((E523*2.54)/100)^2)*(I523*0.3048)))))*0.0011023),0)</f>
        <v>#N/A</v>
      </c>
      <c r="AD523" s="104" t="e">
        <f t="shared" si="247"/>
        <v>#N/A</v>
      </c>
      <c r="AE523" s="104" t="e">
        <f t="shared" si="248"/>
        <v>#N/A</v>
      </c>
      <c r="AF523" s="104" t="e">
        <f>IF(AND(VLOOKUP($D523,Merchantability!$B:$C,2,0)="Yes",$E523&gt;=VLOOKUP($D523,Merchantability!$B:$D,3,0),$E523&lt;=VLOOKUP($D523,Merchantability!$B:$E,4,0)),AA523,0)</f>
        <v>#N/A</v>
      </c>
      <c r="AG523" s="104" t="e">
        <f>IF(AND(VLOOKUP($D523,Merchantability!$B:$C,2,0)="Yes",$E523&gt;=VLOOKUP($D523,Merchantability!$B:$D,3,0),$E523&lt;=VLOOKUP($D523,Merchantability!$B:$E,4,0)),AB523,0)</f>
        <v>#N/A</v>
      </c>
      <c r="AH523" s="104" t="e">
        <f>IF(AND(VLOOKUP($D523,Merchantability!$B:$C,2,0)="Yes",$E523&gt;=VLOOKUP($D523,Merchantability!$B:$D,3,0),$E523&lt;=VLOOKUP($D523,Merchantability!$B:$E,4,0)),AC523,0)</f>
        <v>#N/A</v>
      </c>
      <c r="AI523" s="104" t="e">
        <f t="shared" si="249"/>
        <v>#N/A</v>
      </c>
      <c r="AJ523" s="104" t="e">
        <f t="shared" si="250"/>
        <v>#VALUE!</v>
      </c>
      <c r="AK523" s="104" t="e">
        <f t="shared" si="251"/>
        <v>#N/A</v>
      </c>
      <c r="AL523" s="104" t="e">
        <f t="shared" si="252"/>
        <v>#N/A</v>
      </c>
      <c r="AM523" s="104" t="e">
        <f t="shared" si="253"/>
        <v>#N/A</v>
      </c>
      <c r="AN523" s="104" t="e">
        <f t="shared" si="264"/>
        <v>#N/A</v>
      </c>
      <c r="AO523" s="104" t="e">
        <f t="shared" si="265"/>
        <v>#N/A</v>
      </c>
      <c r="AP523" s="104" t="e">
        <f t="shared" si="266"/>
        <v>#N/A</v>
      </c>
      <c r="AQ523" s="104" t="e">
        <f t="shared" si="267"/>
        <v>#N/A</v>
      </c>
      <c r="AR523" s="105" t="str">
        <f t="shared" si="259"/>
        <v/>
      </c>
      <c r="AS523" s="105" t="str">
        <f t="shared" si="260"/>
        <v/>
      </c>
      <c r="AT523" s="108" t="str">
        <f t="shared" si="261"/>
        <v/>
      </c>
      <c r="AU523" s="108" t="str">
        <f t="shared" si="262"/>
        <v/>
      </c>
      <c r="AV523" s="107" t="str">
        <f>IF(ISNUMBER(O523),IF(VLOOKUP($A523,Stand!C:J,8,FALSE)="Short",AT523,AU523),"")</f>
        <v/>
      </c>
      <c r="AW523" s="109" t="str">
        <f t="shared" si="268"/>
        <v/>
      </c>
      <c r="AX523" s="109" t="str">
        <f t="shared" si="269"/>
        <v/>
      </c>
      <c r="AY523" s="112" t="str">
        <f>IF(ISNUMBER(O523),IF(AND(VLOOKUP($D523,Merchantability!$B:$C,2,0)="Yes",$E523&gt;=VLOOKUP($D523,Merchantability!$B:$D,3,0),$E523&lt;=VLOOKUP($D523,Merchantability!$B:$E,4,0)),(AV523*O523)*(1-$H523/100),""),"")</f>
        <v/>
      </c>
      <c r="AZ523" s="116"/>
      <c r="BA523" s="116"/>
      <c r="BB523" s="116"/>
      <c r="BE523" s="62"/>
      <c r="BF523" s="63"/>
    </row>
    <row r="524" spans="1:58" ht="12.75" customHeight="1" x14ac:dyDescent="0.25">
      <c r="A524" s="313"/>
      <c r="B524" s="328"/>
      <c r="C524" s="329"/>
      <c r="D524" s="328"/>
      <c r="E524" s="330"/>
      <c r="F524" s="328"/>
      <c r="G524" s="329"/>
      <c r="H524" s="329"/>
      <c r="I524" s="328"/>
      <c r="J524" s="383"/>
      <c r="K524" s="329"/>
      <c r="L524" s="329"/>
      <c r="M524" s="78"/>
      <c r="N524" s="103" t="str">
        <f>IF(A524="","",VLOOKUP(A524,Stand!C:K,9,0))</f>
        <v/>
      </c>
      <c r="O524" s="104" t="str">
        <f t="shared" si="254"/>
        <v/>
      </c>
      <c r="P524" s="105" t="str">
        <f t="shared" si="255"/>
        <v/>
      </c>
      <c r="Q524" s="105" t="str">
        <f t="shared" si="243"/>
        <v/>
      </c>
      <c r="R524" s="103" t="str">
        <f t="shared" si="256"/>
        <v/>
      </c>
      <c r="S524" s="103" t="str">
        <f t="shared" si="257"/>
        <v/>
      </c>
      <c r="T524" s="106" t="str">
        <f t="shared" si="244"/>
        <v/>
      </c>
      <c r="U524" s="106" t="str">
        <f t="shared" si="245"/>
        <v/>
      </c>
      <c r="V524" s="106" t="str">
        <f t="shared" si="246"/>
        <v/>
      </c>
      <c r="W524" s="105" t="str">
        <f t="shared" si="258"/>
        <v/>
      </c>
      <c r="X524" s="104" t="str">
        <f t="shared" si="263"/>
        <v/>
      </c>
      <c r="Y524" s="104" t="str">
        <f t="array" ref="Y524">IFERROR(IF(ISNUMBER(O524),IF(COUNT(IF(A524=$A$2:$A$2427,IF(D524=$D$2:$D$2427,IF($X$2:$X$2427&gt;0,1))))&gt;0,SUM(IF(A524=$A$2:$A$2427,IF(D524=$D$2:$D$2427,$X$2:$X$2427)))/COUNT(IF(A524=$A$2:$A$2427,IF(D524=$D$2:$D$2427,IF(ISNUMBER($X$2:$X$2427),1)))),0),""),0)</f>
        <v/>
      </c>
      <c r="Z524" s="104" t="str">
        <f>IF(ISNUMBER(O524),IF(I524&gt;0,(10^(VLOOKUP(D524,'Species Codes'!B:C,2,0)+VLOOKUP(D524,'Species Codes'!B:D,3,0)*LOG(E524)+VLOOKUP(D524,'Species Codes'!B:E,4,0)*LOG(I524))),0),"")</f>
        <v/>
      </c>
      <c r="AA524" s="104" t="str">
        <f>IFERROR((VLOOKUP(D524,'Species Codes'!B:G,6,0)*Z524)/2000,"")</f>
        <v/>
      </c>
      <c r="AB524" s="104" t="e">
        <f>IF(Z524&gt;0,((IF(OR(D524="DF",D524="RA")=TRUE,EXP(VLOOKUP(D524,'Species Codes'!B:I,8,0)+VLOOKUP(D524,'Species Codes'!B:J,9,0)*(LN((E524*2.54)))),IF(OR(D524="PY",D524="RC",D524="WH",D524="NF")=TRUE,VLOOKUP(D524,'Species Codes'!B:I,8,0)+VLOOKUP(D524,'Species Codes'!B:J,9,0)*((E524*2.54)^2)*(I524*0.3048),IF(OR(D524="MD",D524="BM",D524="GA")=TRUE,((VLOOKUP(D524,'Species Codes'!B:I,8,0)*(((((E524*2.54)+VLOOKUP(D524,'Species Codes'!B:J,9,0))/VLOOKUP(D524,'Species Codes'!B:K,10,0))^VLOOKUP(D524,'Species Codes'!B:L,11,0))*((I524*0.3048)^VLOOKUP(D524,'Species Codes'!B:M,12,0))))-(VLOOKUP(D524,'Species Codes'!B:I,8,0)*((((E524*2.54)^VLOOKUP(D524,'Species Codes'!B:L,11,0))*((I524*0.3048)^VLOOKUP(D524,'Species Codes'!B:M,12,0))))))*35.3*VLOOKUP(D524,'Species Codes'!B:G,6,0)/2.2046,VLOOKUP(D524,'Species Codes'!B:I,8,0)+VLOOKUP(D524,'Species Codes'!B:J,9,0)*(((E524*2.54)/100)^2)*(I524*0.3048)))))*0.0011023),0)</f>
        <v>#N/A</v>
      </c>
      <c r="AC524" s="104" t="e">
        <f>IF(Z524&gt;0,((IF(OR(D524="RA",D524="OA",D524="OT",D524="UN",D524="PC"),EXP(VLOOKUP(D524,'Species Codes'!B:O,14,0)+VLOOKUP(D524,'Species Codes'!B:P,15,0)*LN((E524*2.54)))-EXP(VLOOKUP(D524,'Species Codes'!B:O,14,0)+VLOOKUP(D524,'Species Codes'!B:P,15,0)*LN((E524*2.54)))*(1/(VLOOKUP(D524,'Species Codes'!B:Q,16,0)+VLOOKUP(D524,'Species Codes'!B:R,17,0)*((E524*2.54)^VLOOKUP(D524,'Species Codes'!B:S,18,0)))),IF(OR(D524="BM",D524="MD",D524="OA"),EXP(VLOOKUP(D524,'Species Codes'!B:O,14,0)+VLOOKUP(D524,'Species Codes'!B:P,15,0)*LN((E524*2.54)))*(1-(1/(VLOOKUP(D524,'Species Codes'!B:Q,16,0)+VLOOKUP(D524,'Species Codes'!B:R,17,0)*((E524*2.54)^VLOOKUP(D524,'Species Codes'!B:S,18,0)))))/1000,IF(D524="DF",EXP(VLOOKUP(D524,'Species Codes'!B:O,14,0)+VLOOKUP(D524,'Species Codes'!B:P,15,0)*LN((E524*2.54))),VLOOKUP(D524,'Species Codes'!B:O,14,0)+VLOOKUP(D524,'Species Codes'!B:P,15,0)*(((E524*2.54)/100)^2)*(I524*0.3048)))))*0.0011023),0)</f>
        <v>#N/A</v>
      </c>
      <c r="AD524" s="104" t="e">
        <f t="shared" si="247"/>
        <v>#N/A</v>
      </c>
      <c r="AE524" s="104" t="e">
        <f t="shared" si="248"/>
        <v>#N/A</v>
      </c>
      <c r="AF524" s="104" t="e">
        <f>IF(AND(VLOOKUP($D524,Merchantability!$B:$C,2,0)="Yes",$E524&gt;=VLOOKUP($D524,Merchantability!$B:$D,3,0),$E524&lt;=VLOOKUP($D524,Merchantability!$B:$E,4,0)),AA524,0)</f>
        <v>#N/A</v>
      </c>
      <c r="AG524" s="104" t="e">
        <f>IF(AND(VLOOKUP($D524,Merchantability!$B:$C,2,0)="Yes",$E524&gt;=VLOOKUP($D524,Merchantability!$B:$D,3,0),$E524&lt;=VLOOKUP($D524,Merchantability!$B:$E,4,0)),AB524,0)</f>
        <v>#N/A</v>
      </c>
      <c r="AH524" s="104" t="e">
        <f>IF(AND(VLOOKUP($D524,Merchantability!$B:$C,2,0)="Yes",$E524&gt;=VLOOKUP($D524,Merchantability!$B:$D,3,0),$E524&lt;=VLOOKUP($D524,Merchantability!$B:$E,4,0)),AC524,0)</f>
        <v>#N/A</v>
      </c>
      <c r="AI524" s="104" t="e">
        <f t="shared" si="249"/>
        <v>#N/A</v>
      </c>
      <c r="AJ524" s="104" t="e">
        <f t="shared" si="250"/>
        <v>#VALUE!</v>
      </c>
      <c r="AK524" s="104" t="e">
        <f t="shared" si="251"/>
        <v>#N/A</v>
      </c>
      <c r="AL524" s="104" t="e">
        <f t="shared" si="252"/>
        <v>#N/A</v>
      </c>
      <c r="AM524" s="104" t="e">
        <f t="shared" si="253"/>
        <v>#N/A</v>
      </c>
      <c r="AN524" s="104" t="e">
        <f t="shared" si="264"/>
        <v>#N/A</v>
      </c>
      <c r="AO524" s="104" t="e">
        <f t="shared" si="265"/>
        <v>#N/A</v>
      </c>
      <c r="AP524" s="104" t="e">
        <f t="shared" si="266"/>
        <v>#N/A</v>
      </c>
      <c r="AQ524" s="104" t="e">
        <f t="shared" si="267"/>
        <v>#N/A</v>
      </c>
      <c r="AR524" s="105" t="str">
        <f t="shared" si="259"/>
        <v/>
      </c>
      <c r="AS524" s="105" t="str">
        <f t="shared" si="260"/>
        <v/>
      </c>
      <c r="AT524" s="108" t="str">
        <f t="shared" si="261"/>
        <v/>
      </c>
      <c r="AU524" s="108" t="str">
        <f t="shared" si="262"/>
        <v/>
      </c>
      <c r="AV524" s="107" t="str">
        <f>IF(ISNUMBER(O524),IF(VLOOKUP($A524,Stand!C:J,8,FALSE)="Short",AT524,AU524),"")</f>
        <v/>
      </c>
      <c r="AW524" s="109" t="str">
        <f t="shared" si="268"/>
        <v/>
      </c>
      <c r="AX524" s="109" t="str">
        <f t="shared" si="269"/>
        <v/>
      </c>
      <c r="AY524" s="112" t="str">
        <f>IF(ISNUMBER(O524),IF(AND(VLOOKUP($D524,Merchantability!$B:$C,2,0)="Yes",$E524&gt;=VLOOKUP($D524,Merchantability!$B:$D,3,0),$E524&lt;=VLOOKUP($D524,Merchantability!$B:$E,4,0)),(AV524*O524)*(1-$H524/100),""),"")</f>
        <v/>
      </c>
      <c r="AZ524" s="116"/>
      <c r="BA524" s="116"/>
      <c r="BB524" s="116"/>
      <c r="BE524" s="62"/>
      <c r="BF524" s="63"/>
    </row>
    <row r="525" spans="1:58" ht="12.75" customHeight="1" x14ac:dyDescent="0.25">
      <c r="A525" s="313"/>
      <c r="B525" s="328"/>
      <c r="C525" s="329"/>
      <c r="D525" s="328"/>
      <c r="E525" s="330"/>
      <c r="F525" s="328"/>
      <c r="G525" s="329"/>
      <c r="H525" s="329"/>
      <c r="I525" s="328"/>
      <c r="J525" s="383"/>
      <c r="K525" s="329"/>
      <c r="L525" s="329"/>
      <c r="M525" s="78"/>
      <c r="N525" s="103" t="str">
        <f>IF(A525="","",VLOOKUP(A525,Stand!C:K,9,0))</f>
        <v/>
      </c>
      <c r="O525" s="104" t="str">
        <f t="shared" si="254"/>
        <v/>
      </c>
      <c r="P525" s="105" t="str">
        <f t="shared" si="255"/>
        <v/>
      </c>
      <c r="Q525" s="105" t="str">
        <f t="shared" si="243"/>
        <v/>
      </c>
      <c r="R525" s="103" t="str">
        <f t="shared" si="256"/>
        <v/>
      </c>
      <c r="S525" s="103" t="str">
        <f t="shared" si="257"/>
        <v/>
      </c>
      <c r="T525" s="106" t="str">
        <f t="shared" si="244"/>
        <v/>
      </c>
      <c r="U525" s="106" t="str">
        <f t="shared" si="245"/>
        <v/>
      </c>
      <c r="V525" s="106" t="str">
        <f t="shared" si="246"/>
        <v/>
      </c>
      <c r="W525" s="105" t="str">
        <f t="shared" si="258"/>
        <v/>
      </c>
      <c r="X525" s="104" t="str">
        <f t="shared" si="263"/>
        <v/>
      </c>
      <c r="Y525" s="104" t="str">
        <f t="array" ref="Y525">IFERROR(IF(ISNUMBER(O525),IF(COUNT(IF(A525=$A$2:$A$2427,IF(D525=$D$2:$D$2427,IF($X$2:$X$2427&gt;0,1))))&gt;0,SUM(IF(A525=$A$2:$A$2427,IF(D525=$D$2:$D$2427,$X$2:$X$2427)))/COUNT(IF(A525=$A$2:$A$2427,IF(D525=$D$2:$D$2427,IF(ISNUMBER($X$2:$X$2427),1)))),0),""),0)</f>
        <v/>
      </c>
      <c r="Z525" s="104" t="str">
        <f>IF(ISNUMBER(O525),IF(I525&gt;0,(10^(VLOOKUP(D525,'Species Codes'!B:C,2,0)+VLOOKUP(D525,'Species Codes'!B:D,3,0)*LOG(E525)+VLOOKUP(D525,'Species Codes'!B:E,4,0)*LOG(I525))),0),"")</f>
        <v/>
      </c>
      <c r="AA525" s="104" t="str">
        <f>IFERROR((VLOOKUP(D525,'Species Codes'!B:G,6,0)*Z525)/2000,"")</f>
        <v/>
      </c>
      <c r="AB525" s="104" t="e">
        <f>IF(Z525&gt;0,((IF(OR(D525="DF",D525="RA")=TRUE,EXP(VLOOKUP(D525,'Species Codes'!B:I,8,0)+VLOOKUP(D525,'Species Codes'!B:J,9,0)*(LN((E525*2.54)))),IF(OR(D525="PY",D525="RC",D525="WH",D525="NF")=TRUE,VLOOKUP(D525,'Species Codes'!B:I,8,0)+VLOOKUP(D525,'Species Codes'!B:J,9,0)*((E525*2.54)^2)*(I525*0.3048),IF(OR(D525="MD",D525="BM",D525="GA")=TRUE,((VLOOKUP(D525,'Species Codes'!B:I,8,0)*(((((E525*2.54)+VLOOKUP(D525,'Species Codes'!B:J,9,0))/VLOOKUP(D525,'Species Codes'!B:K,10,0))^VLOOKUP(D525,'Species Codes'!B:L,11,0))*((I525*0.3048)^VLOOKUP(D525,'Species Codes'!B:M,12,0))))-(VLOOKUP(D525,'Species Codes'!B:I,8,0)*((((E525*2.54)^VLOOKUP(D525,'Species Codes'!B:L,11,0))*((I525*0.3048)^VLOOKUP(D525,'Species Codes'!B:M,12,0))))))*35.3*VLOOKUP(D525,'Species Codes'!B:G,6,0)/2.2046,VLOOKUP(D525,'Species Codes'!B:I,8,0)+VLOOKUP(D525,'Species Codes'!B:J,9,0)*(((E525*2.54)/100)^2)*(I525*0.3048)))))*0.0011023),0)</f>
        <v>#N/A</v>
      </c>
      <c r="AC525" s="104" t="e">
        <f>IF(Z525&gt;0,((IF(OR(D525="RA",D525="OA",D525="OT",D525="UN",D525="PC"),EXP(VLOOKUP(D525,'Species Codes'!B:O,14,0)+VLOOKUP(D525,'Species Codes'!B:P,15,0)*LN((E525*2.54)))-EXP(VLOOKUP(D525,'Species Codes'!B:O,14,0)+VLOOKUP(D525,'Species Codes'!B:P,15,0)*LN((E525*2.54)))*(1/(VLOOKUP(D525,'Species Codes'!B:Q,16,0)+VLOOKUP(D525,'Species Codes'!B:R,17,0)*((E525*2.54)^VLOOKUP(D525,'Species Codes'!B:S,18,0)))),IF(OR(D525="BM",D525="MD",D525="OA"),EXP(VLOOKUP(D525,'Species Codes'!B:O,14,0)+VLOOKUP(D525,'Species Codes'!B:P,15,0)*LN((E525*2.54)))*(1-(1/(VLOOKUP(D525,'Species Codes'!B:Q,16,0)+VLOOKUP(D525,'Species Codes'!B:R,17,0)*((E525*2.54)^VLOOKUP(D525,'Species Codes'!B:S,18,0)))))/1000,IF(D525="DF",EXP(VLOOKUP(D525,'Species Codes'!B:O,14,0)+VLOOKUP(D525,'Species Codes'!B:P,15,0)*LN((E525*2.54))),VLOOKUP(D525,'Species Codes'!B:O,14,0)+VLOOKUP(D525,'Species Codes'!B:P,15,0)*(((E525*2.54)/100)^2)*(I525*0.3048)))))*0.0011023),0)</f>
        <v>#N/A</v>
      </c>
      <c r="AD525" s="104" t="e">
        <f t="shared" si="247"/>
        <v>#N/A</v>
      </c>
      <c r="AE525" s="104" t="e">
        <f t="shared" si="248"/>
        <v>#N/A</v>
      </c>
      <c r="AF525" s="104" t="e">
        <f>IF(AND(VLOOKUP($D525,Merchantability!$B:$C,2,0)="Yes",$E525&gt;=VLOOKUP($D525,Merchantability!$B:$D,3,0),$E525&lt;=VLOOKUP($D525,Merchantability!$B:$E,4,0)),AA525,0)</f>
        <v>#N/A</v>
      </c>
      <c r="AG525" s="104" t="e">
        <f>IF(AND(VLOOKUP($D525,Merchantability!$B:$C,2,0)="Yes",$E525&gt;=VLOOKUP($D525,Merchantability!$B:$D,3,0),$E525&lt;=VLOOKUP($D525,Merchantability!$B:$E,4,0)),AB525,0)</f>
        <v>#N/A</v>
      </c>
      <c r="AH525" s="104" t="e">
        <f>IF(AND(VLOOKUP($D525,Merchantability!$B:$C,2,0)="Yes",$E525&gt;=VLOOKUP($D525,Merchantability!$B:$D,3,0),$E525&lt;=VLOOKUP($D525,Merchantability!$B:$E,4,0)),AC525,0)</f>
        <v>#N/A</v>
      </c>
      <c r="AI525" s="104" t="e">
        <f t="shared" si="249"/>
        <v>#N/A</v>
      </c>
      <c r="AJ525" s="104" t="e">
        <f t="shared" si="250"/>
        <v>#VALUE!</v>
      </c>
      <c r="AK525" s="104" t="e">
        <f t="shared" si="251"/>
        <v>#N/A</v>
      </c>
      <c r="AL525" s="104" t="e">
        <f t="shared" si="252"/>
        <v>#N/A</v>
      </c>
      <c r="AM525" s="104" t="e">
        <f t="shared" si="253"/>
        <v>#N/A</v>
      </c>
      <c r="AN525" s="104" t="e">
        <f t="shared" si="264"/>
        <v>#N/A</v>
      </c>
      <c r="AO525" s="104" t="e">
        <f t="shared" si="265"/>
        <v>#N/A</v>
      </c>
      <c r="AP525" s="104" t="e">
        <f t="shared" si="266"/>
        <v>#N/A</v>
      </c>
      <c r="AQ525" s="104" t="e">
        <f t="shared" si="267"/>
        <v>#N/A</v>
      </c>
      <c r="AR525" s="105" t="str">
        <f t="shared" si="259"/>
        <v/>
      </c>
      <c r="AS525" s="105" t="str">
        <f t="shared" si="260"/>
        <v/>
      </c>
      <c r="AT525" s="108" t="str">
        <f t="shared" si="261"/>
        <v/>
      </c>
      <c r="AU525" s="108" t="str">
        <f t="shared" si="262"/>
        <v/>
      </c>
      <c r="AV525" s="107" t="str">
        <f>IF(ISNUMBER(O525),IF(VLOOKUP($A525,Stand!C:J,8,FALSE)="Short",AT525,AU525),"")</f>
        <v/>
      </c>
      <c r="AW525" s="109" t="str">
        <f t="shared" si="268"/>
        <v/>
      </c>
      <c r="AX525" s="109" t="str">
        <f t="shared" si="269"/>
        <v/>
      </c>
      <c r="AY525" s="112" t="str">
        <f>IF(ISNUMBER(O525),IF(AND(VLOOKUP($D525,Merchantability!$B:$C,2,0)="Yes",$E525&gt;=VLOOKUP($D525,Merchantability!$B:$D,3,0),$E525&lt;=VLOOKUP($D525,Merchantability!$B:$E,4,0)),(AV525*O525)*(1-$H525/100),""),"")</f>
        <v/>
      </c>
      <c r="AZ525" s="116"/>
      <c r="BA525" s="116"/>
      <c r="BB525" s="116"/>
      <c r="BE525" s="62"/>
      <c r="BF525" s="63"/>
    </row>
    <row r="526" spans="1:58" ht="12.75" customHeight="1" x14ac:dyDescent="0.25">
      <c r="A526" s="313"/>
      <c r="B526" s="328"/>
      <c r="C526" s="329"/>
      <c r="D526" s="328"/>
      <c r="E526" s="330"/>
      <c r="F526" s="328"/>
      <c r="G526" s="329"/>
      <c r="H526" s="329"/>
      <c r="I526" s="328"/>
      <c r="J526" s="383"/>
      <c r="K526" s="329"/>
      <c r="L526" s="329"/>
      <c r="M526" s="78"/>
      <c r="N526" s="103" t="str">
        <f>IF(A526="","",VLOOKUP(A526,Stand!C:K,9,0))</f>
        <v/>
      </c>
      <c r="O526" s="104" t="str">
        <f t="shared" si="254"/>
        <v/>
      </c>
      <c r="P526" s="105" t="str">
        <f t="shared" si="255"/>
        <v/>
      </c>
      <c r="Q526" s="105" t="str">
        <f t="shared" si="243"/>
        <v/>
      </c>
      <c r="R526" s="103" t="str">
        <f t="shared" si="256"/>
        <v/>
      </c>
      <c r="S526" s="103" t="str">
        <f t="shared" si="257"/>
        <v/>
      </c>
      <c r="T526" s="106" t="str">
        <f t="shared" si="244"/>
        <v/>
      </c>
      <c r="U526" s="106" t="str">
        <f t="shared" si="245"/>
        <v/>
      </c>
      <c r="V526" s="106" t="str">
        <f t="shared" si="246"/>
        <v/>
      </c>
      <c r="W526" s="105" t="str">
        <f t="shared" si="258"/>
        <v/>
      </c>
      <c r="X526" s="104" t="str">
        <f t="shared" si="263"/>
        <v/>
      </c>
      <c r="Y526" s="104" t="str">
        <f t="array" ref="Y526">IFERROR(IF(ISNUMBER(O526),IF(COUNT(IF(A526=$A$2:$A$2427,IF(D526=$D$2:$D$2427,IF($X$2:$X$2427&gt;0,1))))&gt;0,SUM(IF(A526=$A$2:$A$2427,IF(D526=$D$2:$D$2427,$X$2:$X$2427)))/COUNT(IF(A526=$A$2:$A$2427,IF(D526=$D$2:$D$2427,IF(ISNUMBER($X$2:$X$2427),1)))),0),""),0)</f>
        <v/>
      </c>
      <c r="Z526" s="104" t="str">
        <f>IF(ISNUMBER(O526),IF(I526&gt;0,(10^(VLOOKUP(D526,'Species Codes'!B:C,2,0)+VLOOKUP(D526,'Species Codes'!B:D,3,0)*LOG(E526)+VLOOKUP(D526,'Species Codes'!B:E,4,0)*LOG(I526))),0),"")</f>
        <v/>
      </c>
      <c r="AA526" s="104" t="str">
        <f>IFERROR((VLOOKUP(D526,'Species Codes'!B:G,6,0)*Z526)/2000,"")</f>
        <v/>
      </c>
      <c r="AB526" s="104" t="e">
        <f>IF(Z526&gt;0,((IF(OR(D526="DF",D526="RA")=TRUE,EXP(VLOOKUP(D526,'Species Codes'!B:I,8,0)+VLOOKUP(D526,'Species Codes'!B:J,9,0)*(LN((E526*2.54)))),IF(OR(D526="PY",D526="RC",D526="WH",D526="NF")=TRUE,VLOOKUP(D526,'Species Codes'!B:I,8,0)+VLOOKUP(D526,'Species Codes'!B:J,9,0)*((E526*2.54)^2)*(I526*0.3048),IF(OR(D526="MD",D526="BM",D526="GA")=TRUE,((VLOOKUP(D526,'Species Codes'!B:I,8,0)*(((((E526*2.54)+VLOOKUP(D526,'Species Codes'!B:J,9,0))/VLOOKUP(D526,'Species Codes'!B:K,10,0))^VLOOKUP(D526,'Species Codes'!B:L,11,0))*((I526*0.3048)^VLOOKUP(D526,'Species Codes'!B:M,12,0))))-(VLOOKUP(D526,'Species Codes'!B:I,8,0)*((((E526*2.54)^VLOOKUP(D526,'Species Codes'!B:L,11,0))*((I526*0.3048)^VLOOKUP(D526,'Species Codes'!B:M,12,0))))))*35.3*VLOOKUP(D526,'Species Codes'!B:G,6,0)/2.2046,VLOOKUP(D526,'Species Codes'!B:I,8,0)+VLOOKUP(D526,'Species Codes'!B:J,9,0)*(((E526*2.54)/100)^2)*(I526*0.3048)))))*0.0011023),0)</f>
        <v>#N/A</v>
      </c>
      <c r="AC526" s="104" t="e">
        <f>IF(Z526&gt;0,((IF(OR(D526="RA",D526="OA",D526="OT",D526="UN",D526="PC"),EXP(VLOOKUP(D526,'Species Codes'!B:O,14,0)+VLOOKUP(D526,'Species Codes'!B:P,15,0)*LN((E526*2.54)))-EXP(VLOOKUP(D526,'Species Codes'!B:O,14,0)+VLOOKUP(D526,'Species Codes'!B:P,15,0)*LN((E526*2.54)))*(1/(VLOOKUP(D526,'Species Codes'!B:Q,16,0)+VLOOKUP(D526,'Species Codes'!B:R,17,0)*((E526*2.54)^VLOOKUP(D526,'Species Codes'!B:S,18,0)))),IF(OR(D526="BM",D526="MD",D526="OA"),EXP(VLOOKUP(D526,'Species Codes'!B:O,14,0)+VLOOKUP(D526,'Species Codes'!B:P,15,0)*LN((E526*2.54)))*(1-(1/(VLOOKUP(D526,'Species Codes'!B:Q,16,0)+VLOOKUP(D526,'Species Codes'!B:R,17,0)*((E526*2.54)^VLOOKUP(D526,'Species Codes'!B:S,18,0)))))/1000,IF(D526="DF",EXP(VLOOKUP(D526,'Species Codes'!B:O,14,0)+VLOOKUP(D526,'Species Codes'!B:P,15,0)*LN((E526*2.54))),VLOOKUP(D526,'Species Codes'!B:O,14,0)+VLOOKUP(D526,'Species Codes'!B:P,15,0)*(((E526*2.54)/100)^2)*(I526*0.3048)))))*0.0011023),0)</f>
        <v>#N/A</v>
      </c>
      <c r="AD526" s="104" t="e">
        <f t="shared" si="247"/>
        <v>#N/A</v>
      </c>
      <c r="AE526" s="104" t="e">
        <f t="shared" si="248"/>
        <v>#N/A</v>
      </c>
      <c r="AF526" s="104" t="e">
        <f>IF(AND(VLOOKUP($D526,Merchantability!$B:$C,2,0)="Yes",$E526&gt;=VLOOKUP($D526,Merchantability!$B:$D,3,0),$E526&lt;=VLOOKUP($D526,Merchantability!$B:$E,4,0)),AA526,0)</f>
        <v>#N/A</v>
      </c>
      <c r="AG526" s="104" t="e">
        <f>IF(AND(VLOOKUP($D526,Merchantability!$B:$C,2,0)="Yes",$E526&gt;=VLOOKUP($D526,Merchantability!$B:$D,3,0),$E526&lt;=VLOOKUP($D526,Merchantability!$B:$E,4,0)),AB526,0)</f>
        <v>#N/A</v>
      </c>
      <c r="AH526" s="104" t="e">
        <f>IF(AND(VLOOKUP($D526,Merchantability!$B:$C,2,0)="Yes",$E526&gt;=VLOOKUP($D526,Merchantability!$B:$D,3,0),$E526&lt;=VLOOKUP($D526,Merchantability!$B:$E,4,0)),AC526,0)</f>
        <v>#N/A</v>
      </c>
      <c r="AI526" s="104" t="e">
        <f t="shared" si="249"/>
        <v>#N/A</v>
      </c>
      <c r="AJ526" s="104" t="e">
        <f t="shared" si="250"/>
        <v>#VALUE!</v>
      </c>
      <c r="AK526" s="104" t="e">
        <f t="shared" si="251"/>
        <v>#N/A</v>
      </c>
      <c r="AL526" s="104" t="e">
        <f t="shared" si="252"/>
        <v>#N/A</v>
      </c>
      <c r="AM526" s="104" t="e">
        <f t="shared" si="253"/>
        <v>#N/A</v>
      </c>
      <c r="AN526" s="104" t="e">
        <f t="shared" si="264"/>
        <v>#N/A</v>
      </c>
      <c r="AO526" s="104" t="e">
        <f t="shared" si="265"/>
        <v>#N/A</v>
      </c>
      <c r="AP526" s="104" t="e">
        <f t="shared" si="266"/>
        <v>#N/A</v>
      </c>
      <c r="AQ526" s="104" t="e">
        <f t="shared" si="267"/>
        <v>#N/A</v>
      </c>
      <c r="AR526" s="105" t="str">
        <f t="shared" si="259"/>
        <v/>
      </c>
      <c r="AS526" s="105" t="str">
        <f t="shared" si="260"/>
        <v/>
      </c>
      <c r="AT526" s="108" t="str">
        <f t="shared" si="261"/>
        <v/>
      </c>
      <c r="AU526" s="108" t="str">
        <f t="shared" si="262"/>
        <v/>
      </c>
      <c r="AV526" s="107" t="str">
        <f>IF(ISNUMBER(O526),IF(VLOOKUP($A526,Stand!C:J,8,FALSE)="Short",AT526,AU526),"")</f>
        <v/>
      </c>
      <c r="AW526" s="109" t="str">
        <f t="shared" si="268"/>
        <v/>
      </c>
      <c r="AX526" s="109" t="str">
        <f t="shared" si="269"/>
        <v/>
      </c>
      <c r="AY526" s="112" t="str">
        <f>IF(ISNUMBER(O526),IF(AND(VLOOKUP($D526,Merchantability!$B:$C,2,0)="Yes",$E526&gt;=VLOOKUP($D526,Merchantability!$B:$D,3,0),$E526&lt;=VLOOKUP($D526,Merchantability!$B:$E,4,0)),(AV526*O526)*(1-$H526/100),""),"")</f>
        <v/>
      </c>
      <c r="AZ526" s="116"/>
      <c r="BA526" s="116"/>
      <c r="BB526" s="116"/>
      <c r="BE526" s="62"/>
      <c r="BF526" s="63"/>
    </row>
    <row r="527" spans="1:58" ht="12.75" customHeight="1" x14ac:dyDescent="0.25">
      <c r="A527" s="313"/>
      <c r="B527" s="328"/>
      <c r="C527" s="329"/>
      <c r="D527" s="328"/>
      <c r="E527" s="330"/>
      <c r="F527" s="328"/>
      <c r="G527" s="329"/>
      <c r="H527" s="329"/>
      <c r="I527" s="328"/>
      <c r="J527" s="383"/>
      <c r="K527" s="329"/>
      <c r="L527" s="329"/>
      <c r="M527" s="78"/>
      <c r="N527" s="103" t="str">
        <f>IF(A527="","",VLOOKUP(A527,Stand!C:K,9,0))</f>
        <v/>
      </c>
      <c r="O527" s="104" t="str">
        <f t="shared" si="254"/>
        <v/>
      </c>
      <c r="P527" s="105" t="str">
        <f t="shared" si="255"/>
        <v/>
      </c>
      <c r="Q527" s="105" t="str">
        <f t="shared" si="243"/>
        <v/>
      </c>
      <c r="R527" s="103" t="str">
        <f t="shared" si="256"/>
        <v/>
      </c>
      <c r="S527" s="103" t="str">
        <f t="shared" si="257"/>
        <v/>
      </c>
      <c r="T527" s="106" t="str">
        <f t="shared" si="244"/>
        <v/>
      </c>
      <c r="U527" s="106" t="str">
        <f t="shared" si="245"/>
        <v/>
      </c>
      <c r="V527" s="106" t="str">
        <f t="shared" si="246"/>
        <v/>
      </c>
      <c r="W527" s="105" t="str">
        <f t="shared" si="258"/>
        <v/>
      </c>
      <c r="X527" s="104" t="str">
        <f t="shared" si="263"/>
        <v/>
      </c>
      <c r="Y527" s="104" t="str">
        <f t="array" ref="Y527">IFERROR(IF(ISNUMBER(O527),IF(COUNT(IF(A527=$A$2:$A$2427,IF(D527=$D$2:$D$2427,IF($X$2:$X$2427&gt;0,1))))&gt;0,SUM(IF(A527=$A$2:$A$2427,IF(D527=$D$2:$D$2427,$X$2:$X$2427)))/COUNT(IF(A527=$A$2:$A$2427,IF(D527=$D$2:$D$2427,IF(ISNUMBER($X$2:$X$2427),1)))),0),""),0)</f>
        <v/>
      </c>
      <c r="Z527" s="104" t="str">
        <f>IF(ISNUMBER(O527),IF(I527&gt;0,(10^(VLOOKUP(D527,'Species Codes'!B:C,2,0)+VLOOKUP(D527,'Species Codes'!B:D,3,0)*LOG(E527)+VLOOKUP(D527,'Species Codes'!B:E,4,0)*LOG(I527))),0),"")</f>
        <v/>
      </c>
      <c r="AA527" s="104" t="str">
        <f>IFERROR((VLOOKUP(D527,'Species Codes'!B:G,6,0)*Z527)/2000,"")</f>
        <v/>
      </c>
      <c r="AB527" s="104" t="e">
        <f>IF(Z527&gt;0,((IF(OR(D527="DF",D527="RA")=TRUE,EXP(VLOOKUP(D527,'Species Codes'!B:I,8,0)+VLOOKUP(D527,'Species Codes'!B:J,9,0)*(LN((E527*2.54)))),IF(OR(D527="PY",D527="RC",D527="WH",D527="NF")=TRUE,VLOOKUP(D527,'Species Codes'!B:I,8,0)+VLOOKUP(D527,'Species Codes'!B:J,9,0)*((E527*2.54)^2)*(I527*0.3048),IF(OR(D527="MD",D527="BM",D527="GA")=TRUE,((VLOOKUP(D527,'Species Codes'!B:I,8,0)*(((((E527*2.54)+VLOOKUP(D527,'Species Codes'!B:J,9,0))/VLOOKUP(D527,'Species Codes'!B:K,10,0))^VLOOKUP(D527,'Species Codes'!B:L,11,0))*((I527*0.3048)^VLOOKUP(D527,'Species Codes'!B:M,12,0))))-(VLOOKUP(D527,'Species Codes'!B:I,8,0)*((((E527*2.54)^VLOOKUP(D527,'Species Codes'!B:L,11,0))*((I527*0.3048)^VLOOKUP(D527,'Species Codes'!B:M,12,0))))))*35.3*VLOOKUP(D527,'Species Codes'!B:G,6,0)/2.2046,VLOOKUP(D527,'Species Codes'!B:I,8,0)+VLOOKUP(D527,'Species Codes'!B:J,9,0)*(((E527*2.54)/100)^2)*(I527*0.3048)))))*0.0011023),0)</f>
        <v>#N/A</v>
      </c>
      <c r="AC527" s="104" t="e">
        <f>IF(Z527&gt;0,((IF(OR(D527="RA",D527="OA",D527="OT",D527="UN",D527="PC"),EXP(VLOOKUP(D527,'Species Codes'!B:O,14,0)+VLOOKUP(D527,'Species Codes'!B:P,15,0)*LN((E527*2.54)))-EXP(VLOOKUP(D527,'Species Codes'!B:O,14,0)+VLOOKUP(D527,'Species Codes'!B:P,15,0)*LN((E527*2.54)))*(1/(VLOOKUP(D527,'Species Codes'!B:Q,16,0)+VLOOKUP(D527,'Species Codes'!B:R,17,0)*((E527*2.54)^VLOOKUP(D527,'Species Codes'!B:S,18,0)))),IF(OR(D527="BM",D527="MD",D527="OA"),EXP(VLOOKUP(D527,'Species Codes'!B:O,14,0)+VLOOKUP(D527,'Species Codes'!B:P,15,0)*LN((E527*2.54)))*(1-(1/(VLOOKUP(D527,'Species Codes'!B:Q,16,0)+VLOOKUP(D527,'Species Codes'!B:R,17,0)*((E527*2.54)^VLOOKUP(D527,'Species Codes'!B:S,18,0)))))/1000,IF(D527="DF",EXP(VLOOKUP(D527,'Species Codes'!B:O,14,0)+VLOOKUP(D527,'Species Codes'!B:P,15,0)*LN((E527*2.54))),VLOOKUP(D527,'Species Codes'!B:O,14,0)+VLOOKUP(D527,'Species Codes'!B:P,15,0)*(((E527*2.54)/100)^2)*(I527*0.3048)))))*0.0011023),0)</f>
        <v>#N/A</v>
      </c>
      <c r="AD527" s="104" t="e">
        <f t="shared" si="247"/>
        <v>#N/A</v>
      </c>
      <c r="AE527" s="104" t="e">
        <f t="shared" si="248"/>
        <v>#N/A</v>
      </c>
      <c r="AF527" s="104" t="e">
        <f>IF(AND(VLOOKUP($D527,Merchantability!$B:$C,2,0)="Yes",$E527&gt;=VLOOKUP($D527,Merchantability!$B:$D,3,0),$E527&lt;=VLOOKUP($D527,Merchantability!$B:$E,4,0)),AA527,0)</f>
        <v>#N/A</v>
      </c>
      <c r="AG527" s="104" t="e">
        <f>IF(AND(VLOOKUP($D527,Merchantability!$B:$C,2,0)="Yes",$E527&gt;=VLOOKUP($D527,Merchantability!$B:$D,3,0),$E527&lt;=VLOOKUP($D527,Merchantability!$B:$E,4,0)),AB527,0)</f>
        <v>#N/A</v>
      </c>
      <c r="AH527" s="104" t="e">
        <f>IF(AND(VLOOKUP($D527,Merchantability!$B:$C,2,0)="Yes",$E527&gt;=VLOOKUP($D527,Merchantability!$B:$D,3,0),$E527&lt;=VLOOKUP($D527,Merchantability!$B:$E,4,0)),AC527,0)</f>
        <v>#N/A</v>
      </c>
      <c r="AI527" s="104" t="e">
        <f t="shared" si="249"/>
        <v>#N/A</v>
      </c>
      <c r="AJ527" s="104" t="e">
        <f t="shared" si="250"/>
        <v>#VALUE!</v>
      </c>
      <c r="AK527" s="104" t="e">
        <f t="shared" si="251"/>
        <v>#N/A</v>
      </c>
      <c r="AL527" s="104" t="e">
        <f t="shared" si="252"/>
        <v>#N/A</v>
      </c>
      <c r="AM527" s="104" t="e">
        <f t="shared" si="253"/>
        <v>#N/A</v>
      </c>
      <c r="AN527" s="104" t="e">
        <f t="shared" si="264"/>
        <v>#N/A</v>
      </c>
      <c r="AO527" s="104" t="e">
        <f t="shared" si="265"/>
        <v>#N/A</v>
      </c>
      <c r="AP527" s="104" t="e">
        <f t="shared" si="266"/>
        <v>#N/A</v>
      </c>
      <c r="AQ527" s="104" t="e">
        <f t="shared" si="267"/>
        <v>#N/A</v>
      </c>
      <c r="AR527" s="105" t="str">
        <f t="shared" si="259"/>
        <v/>
      </c>
      <c r="AS527" s="105" t="str">
        <f t="shared" si="260"/>
        <v/>
      </c>
      <c r="AT527" s="108" t="str">
        <f t="shared" si="261"/>
        <v/>
      </c>
      <c r="AU527" s="108" t="str">
        <f t="shared" si="262"/>
        <v/>
      </c>
      <c r="AV527" s="107" t="str">
        <f>IF(ISNUMBER(O527),IF(VLOOKUP($A527,Stand!C:J,8,FALSE)="Short",AT527,AU527),"")</f>
        <v/>
      </c>
      <c r="AW527" s="109" t="str">
        <f t="shared" si="268"/>
        <v/>
      </c>
      <c r="AX527" s="109" t="str">
        <f t="shared" si="269"/>
        <v/>
      </c>
      <c r="AY527" s="112" t="str">
        <f>IF(ISNUMBER(O527),IF(AND(VLOOKUP($D527,Merchantability!$B:$C,2,0)="Yes",$E527&gt;=VLOOKUP($D527,Merchantability!$B:$D,3,0),$E527&lt;=VLOOKUP($D527,Merchantability!$B:$E,4,0)),(AV527*O527)*(1-$H527/100),""),"")</f>
        <v/>
      </c>
      <c r="AZ527" s="116"/>
      <c r="BA527" s="116"/>
      <c r="BB527" s="116"/>
      <c r="BE527" s="62"/>
      <c r="BF527" s="63"/>
    </row>
    <row r="528" spans="1:58" ht="12.75" customHeight="1" x14ac:dyDescent="0.25">
      <c r="A528" s="313"/>
      <c r="B528" s="328"/>
      <c r="C528" s="329"/>
      <c r="D528" s="328"/>
      <c r="E528" s="330"/>
      <c r="F528" s="328"/>
      <c r="G528" s="329"/>
      <c r="H528" s="329"/>
      <c r="I528" s="328"/>
      <c r="J528" s="383"/>
      <c r="K528" s="329"/>
      <c r="L528" s="329"/>
      <c r="M528" s="78"/>
      <c r="N528" s="103" t="str">
        <f>IF(A528="","",VLOOKUP(A528,Stand!C:K,9,0))</f>
        <v/>
      </c>
      <c r="O528" s="104" t="str">
        <f t="shared" si="254"/>
        <v/>
      </c>
      <c r="P528" s="105" t="str">
        <f t="shared" si="255"/>
        <v/>
      </c>
      <c r="Q528" s="105" t="str">
        <f t="shared" si="243"/>
        <v/>
      </c>
      <c r="R528" s="103" t="str">
        <f t="shared" si="256"/>
        <v/>
      </c>
      <c r="S528" s="103" t="str">
        <f t="shared" si="257"/>
        <v/>
      </c>
      <c r="T528" s="106" t="str">
        <f t="shared" si="244"/>
        <v/>
      </c>
      <c r="U528" s="106" t="str">
        <f t="shared" si="245"/>
        <v/>
      </c>
      <c r="V528" s="106" t="str">
        <f t="shared" si="246"/>
        <v/>
      </c>
      <c r="W528" s="105" t="str">
        <f t="shared" si="258"/>
        <v/>
      </c>
      <c r="X528" s="104" t="str">
        <f t="shared" si="263"/>
        <v/>
      </c>
      <c r="Y528" s="104" t="str">
        <f t="array" ref="Y528">IFERROR(IF(ISNUMBER(O528),IF(COUNT(IF(A528=$A$2:$A$2427,IF(D528=$D$2:$D$2427,IF($X$2:$X$2427&gt;0,1))))&gt;0,SUM(IF(A528=$A$2:$A$2427,IF(D528=$D$2:$D$2427,$X$2:$X$2427)))/COUNT(IF(A528=$A$2:$A$2427,IF(D528=$D$2:$D$2427,IF(ISNUMBER($X$2:$X$2427),1)))),0),""),0)</f>
        <v/>
      </c>
      <c r="Z528" s="104" t="str">
        <f>IF(ISNUMBER(O528),IF(I528&gt;0,(10^(VLOOKUP(D528,'Species Codes'!B:C,2,0)+VLOOKUP(D528,'Species Codes'!B:D,3,0)*LOG(E528)+VLOOKUP(D528,'Species Codes'!B:E,4,0)*LOG(I528))),0),"")</f>
        <v/>
      </c>
      <c r="AA528" s="104" t="str">
        <f>IFERROR((VLOOKUP(D528,'Species Codes'!B:G,6,0)*Z528)/2000,"")</f>
        <v/>
      </c>
      <c r="AB528" s="104" t="e">
        <f>IF(Z528&gt;0,((IF(OR(D528="DF",D528="RA")=TRUE,EXP(VLOOKUP(D528,'Species Codes'!B:I,8,0)+VLOOKUP(D528,'Species Codes'!B:J,9,0)*(LN((E528*2.54)))),IF(OR(D528="PY",D528="RC",D528="WH",D528="NF")=TRUE,VLOOKUP(D528,'Species Codes'!B:I,8,0)+VLOOKUP(D528,'Species Codes'!B:J,9,0)*((E528*2.54)^2)*(I528*0.3048),IF(OR(D528="MD",D528="BM",D528="GA")=TRUE,((VLOOKUP(D528,'Species Codes'!B:I,8,0)*(((((E528*2.54)+VLOOKUP(D528,'Species Codes'!B:J,9,0))/VLOOKUP(D528,'Species Codes'!B:K,10,0))^VLOOKUP(D528,'Species Codes'!B:L,11,0))*((I528*0.3048)^VLOOKUP(D528,'Species Codes'!B:M,12,0))))-(VLOOKUP(D528,'Species Codes'!B:I,8,0)*((((E528*2.54)^VLOOKUP(D528,'Species Codes'!B:L,11,0))*((I528*0.3048)^VLOOKUP(D528,'Species Codes'!B:M,12,0))))))*35.3*VLOOKUP(D528,'Species Codes'!B:G,6,0)/2.2046,VLOOKUP(D528,'Species Codes'!B:I,8,0)+VLOOKUP(D528,'Species Codes'!B:J,9,0)*(((E528*2.54)/100)^2)*(I528*0.3048)))))*0.0011023),0)</f>
        <v>#N/A</v>
      </c>
      <c r="AC528" s="104" t="e">
        <f>IF(Z528&gt;0,((IF(OR(D528="RA",D528="OA",D528="OT",D528="UN",D528="PC"),EXP(VLOOKUP(D528,'Species Codes'!B:O,14,0)+VLOOKUP(D528,'Species Codes'!B:P,15,0)*LN((E528*2.54)))-EXP(VLOOKUP(D528,'Species Codes'!B:O,14,0)+VLOOKUP(D528,'Species Codes'!B:P,15,0)*LN((E528*2.54)))*(1/(VLOOKUP(D528,'Species Codes'!B:Q,16,0)+VLOOKUP(D528,'Species Codes'!B:R,17,0)*((E528*2.54)^VLOOKUP(D528,'Species Codes'!B:S,18,0)))),IF(OR(D528="BM",D528="MD",D528="OA"),EXP(VLOOKUP(D528,'Species Codes'!B:O,14,0)+VLOOKUP(D528,'Species Codes'!B:P,15,0)*LN((E528*2.54)))*(1-(1/(VLOOKUP(D528,'Species Codes'!B:Q,16,0)+VLOOKUP(D528,'Species Codes'!B:R,17,0)*((E528*2.54)^VLOOKUP(D528,'Species Codes'!B:S,18,0)))))/1000,IF(D528="DF",EXP(VLOOKUP(D528,'Species Codes'!B:O,14,0)+VLOOKUP(D528,'Species Codes'!B:P,15,0)*LN((E528*2.54))),VLOOKUP(D528,'Species Codes'!B:O,14,0)+VLOOKUP(D528,'Species Codes'!B:P,15,0)*(((E528*2.54)/100)^2)*(I528*0.3048)))))*0.0011023),0)</f>
        <v>#N/A</v>
      </c>
      <c r="AD528" s="104" t="e">
        <f t="shared" si="247"/>
        <v>#N/A</v>
      </c>
      <c r="AE528" s="104" t="e">
        <f t="shared" si="248"/>
        <v>#N/A</v>
      </c>
      <c r="AF528" s="104" t="e">
        <f>IF(AND(VLOOKUP($D528,Merchantability!$B:$C,2,0)="Yes",$E528&gt;=VLOOKUP($D528,Merchantability!$B:$D,3,0),$E528&lt;=VLOOKUP($D528,Merchantability!$B:$E,4,0)),AA528,0)</f>
        <v>#N/A</v>
      </c>
      <c r="AG528" s="104" t="e">
        <f>IF(AND(VLOOKUP($D528,Merchantability!$B:$C,2,0)="Yes",$E528&gt;=VLOOKUP($D528,Merchantability!$B:$D,3,0),$E528&lt;=VLOOKUP($D528,Merchantability!$B:$E,4,0)),AB528,0)</f>
        <v>#N/A</v>
      </c>
      <c r="AH528" s="104" t="e">
        <f>IF(AND(VLOOKUP($D528,Merchantability!$B:$C,2,0)="Yes",$E528&gt;=VLOOKUP($D528,Merchantability!$B:$D,3,0),$E528&lt;=VLOOKUP($D528,Merchantability!$B:$E,4,0)),AC528,0)</f>
        <v>#N/A</v>
      </c>
      <c r="AI528" s="104" t="e">
        <f t="shared" si="249"/>
        <v>#N/A</v>
      </c>
      <c r="AJ528" s="104" t="e">
        <f t="shared" si="250"/>
        <v>#VALUE!</v>
      </c>
      <c r="AK528" s="104" t="e">
        <f t="shared" si="251"/>
        <v>#N/A</v>
      </c>
      <c r="AL528" s="104" t="e">
        <f t="shared" si="252"/>
        <v>#N/A</v>
      </c>
      <c r="AM528" s="104" t="e">
        <f t="shared" si="253"/>
        <v>#N/A</v>
      </c>
      <c r="AN528" s="104" t="e">
        <f t="shared" si="264"/>
        <v>#N/A</v>
      </c>
      <c r="AO528" s="104" t="e">
        <f t="shared" si="265"/>
        <v>#N/A</v>
      </c>
      <c r="AP528" s="104" t="e">
        <f t="shared" si="266"/>
        <v>#N/A</v>
      </c>
      <c r="AQ528" s="104" t="e">
        <f t="shared" si="267"/>
        <v>#N/A</v>
      </c>
      <c r="AR528" s="105" t="str">
        <f t="shared" si="259"/>
        <v/>
      </c>
      <c r="AS528" s="105" t="str">
        <f t="shared" si="260"/>
        <v/>
      </c>
      <c r="AT528" s="108" t="str">
        <f t="shared" si="261"/>
        <v/>
      </c>
      <c r="AU528" s="108" t="str">
        <f t="shared" si="262"/>
        <v/>
      </c>
      <c r="AV528" s="107" t="str">
        <f>IF(ISNUMBER(O528),IF(VLOOKUP($A528,Stand!C:J,8,FALSE)="Short",AT528,AU528),"")</f>
        <v/>
      </c>
      <c r="AW528" s="109" t="str">
        <f t="shared" si="268"/>
        <v/>
      </c>
      <c r="AX528" s="109" t="str">
        <f t="shared" si="269"/>
        <v/>
      </c>
      <c r="AY528" s="112" t="str">
        <f>IF(ISNUMBER(O528),IF(AND(VLOOKUP($D528,Merchantability!$B:$C,2,0)="Yes",$E528&gt;=VLOOKUP($D528,Merchantability!$B:$D,3,0),$E528&lt;=VLOOKUP($D528,Merchantability!$B:$E,4,0)),(AV528*O528)*(1-$H528/100),""),"")</f>
        <v/>
      </c>
      <c r="AZ528" s="116"/>
      <c r="BA528" s="116"/>
      <c r="BB528" s="116"/>
      <c r="BE528" s="62"/>
      <c r="BF528" s="63"/>
    </row>
    <row r="529" spans="1:58" ht="12.75" customHeight="1" x14ac:dyDescent="0.25">
      <c r="A529" s="313"/>
      <c r="B529" s="328"/>
      <c r="C529" s="329"/>
      <c r="D529" s="328"/>
      <c r="E529" s="330"/>
      <c r="F529" s="328"/>
      <c r="G529" s="329"/>
      <c r="H529" s="329"/>
      <c r="I529" s="328"/>
      <c r="J529" s="383"/>
      <c r="K529" s="329"/>
      <c r="L529" s="329"/>
      <c r="M529" s="78"/>
      <c r="N529" s="103" t="str">
        <f>IF(A529="","",VLOOKUP(A529,Stand!C:K,9,0))</f>
        <v/>
      </c>
      <c r="O529" s="104" t="str">
        <f t="shared" si="254"/>
        <v/>
      </c>
      <c r="P529" s="105" t="str">
        <f t="shared" si="255"/>
        <v/>
      </c>
      <c r="Q529" s="105" t="str">
        <f t="shared" si="243"/>
        <v/>
      </c>
      <c r="R529" s="103" t="str">
        <f t="shared" si="256"/>
        <v/>
      </c>
      <c r="S529" s="103" t="str">
        <f t="shared" si="257"/>
        <v/>
      </c>
      <c r="T529" s="106" t="str">
        <f t="shared" si="244"/>
        <v/>
      </c>
      <c r="U529" s="106" t="str">
        <f t="shared" si="245"/>
        <v/>
      </c>
      <c r="V529" s="106" t="str">
        <f t="shared" si="246"/>
        <v/>
      </c>
      <c r="W529" s="105" t="str">
        <f t="shared" si="258"/>
        <v/>
      </c>
      <c r="X529" s="104" t="str">
        <f t="shared" si="263"/>
        <v/>
      </c>
      <c r="Y529" s="104" t="str">
        <f t="array" ref="Y529">IFERROR(IF(ISNUMBER(O529),IF(COUNT(IF(A529=$A$2:$A$2427,IF(D529=$D$2:$D$2427,IF($X$2:$X$2427&gt;0,1))))&gt;0,SUM(IF(A529=$A$2:$A$2427,IF(D529=$D$2:$D$2427,$X$2:$X$2427)))/COUNT(IF(A529=$A$2:$A$2427,IF(D529=$D$2:$D$2427,IF(ISNUMBER($X$2:$X$2427),1)))),0),""),0)</f>
        <v/>
      </c>
      <c r="Z529" s="104" t="str">
        <f>IF(ISNUMBER(O529),IF(I529&gt;0,(10^(VLOOKUP(D529,'Species Codes'!B:C,2,0)+VLOOKUP(D529,'Species Codes'!B:D,3,0)*LOG(E529)+VLOOKUP(D529,'Species Codes'!B:E,4,0)*LOG(I529))),0),"")</f>
        <v/>
      </c>
      <c r="AA529" s="104" t="str">
        <f>IFERROR((VLOOKUP(D529,'Species Codes'!B:G,6,0)*Z529)/2000,"")</f>
        <v/>
      </c>
      <c r="AB529" s="104" t="e">
        <f>IF(Z529&gt;0,((IF(OR(D529="DF",D529="RA")=TRUE,EXP(VLOOKUP(D529,'Species Codes'!B:I,8,0)+VLOOKUP(D529,'Species Codes'!B:J,9,0)*(LN((E529*2.54)))),IF(OR(D529="PY",D529="RC",D529="WH",D529="NF")=TRUE,VLOOKUP(D529,'Species Codes'!B:I,8,0)+VLOOKUP(D529,'Species Codes'!B:J,9,0)*((E529*2.54)^2)*(I529*0.3048),IF(OR(D529="MD",D529="BM",D529="GA")=TRUE,((VLOOKUP(D529,'Species Codes'!B:I,8,0)*(((((E529*2.54)+VLOOKUP(D529,'Species Codes'!B:J,9,0))/VLOOKUP(D529,'Species Codes'!B:K,10,0))^VLOOKUP(D529,'Species Codes'!B:L,11,0))*((I529*0.3048)^VLOOKUP(D529,'Species Codes'!B:M,12,0))))-(VLOOKUP(D529,'Species Codes'!B:I,8,0)*((((E529*2.54)^VLOOKUP(D529,'Species Codes'!B:L,11,0))*((I529*0.3048)^VLOOKUP(D529,'Species Codes'!B:M,12,0))))))*35.3*VLOOKUP(D529,'Species Codes'!B:G,6,0)/2.2046,VLOOKUP(D529,'Species Codes'!B:I,8,0)+VLOOKUP(D529,'Species Codes'!B:J,9,0)*(((E529*2.54)/100)^2)*(I529*0.3048)))))*0.0011023),0)</f>
        <v>#N/A</v>
      </c>
      <c r="AC529" s="104" t="e">
        <f>IF(Z529&gt;0,((IF(OR(D529="RA",D529="OA",D529="OT",D529="UN",D529="PC"),EXP(VLOOKUP(D529,'Species Codes'!B:O,14,0)+VLOOKUP(D529,'Species Codes'!B:P,15,0)*LN((E529*2.54)))-EXP(VLOOKUP(D529,'Species Codes'!B:O,14,0)+VLOOKUP(D529,'Species Codes'!B:P,15,0)*LN((E529*2.54)))*(1/(VLOOKUP(D529,'Species Codes'!B:Q,16,0)+VLOOKUP(D529,'Species Codes'!B:R,17,0)*((E529*2.54)^VLOOKUP(D529,'Species Codes'!B:S,18,0)))),IF(OR(D529="BM",D529="MD",D529="OA"),EXP(VLOOKUP(D529,'Species Codes'!B:O,14,0)+VLOOKUP(D529,'Species Codes'!B:P,15,0)*LN((E529*2.54)))*(1-(1/(VLOOKUP(D529,'Species Codes'!B:Q,16,0)+VLOOKUP(D529,'Species Codes'!B:R,17,0)*((E529*2.54)^VLOOKUP(D529,'Species Codes'!B:S,18,0)))))/1000,IF(D529="DF",EXP(VLOOKUP(D529,'Species Codes'!B:O,14,0)+VLOOKUP(D529,'Species Codes'!B:P,15,0)*LN((E529*2.54))),VLOOKUP(D529,'Species Codes'!B:O,14,0)+VLOOKUP(D529,'Species Codes'!B:P,15,0)*(((E529*2.54)/100)^2)*(I529*0.3048)))))*0.0011023),0)</f>
        <v>#N/A</v>
      </c>
      <c r="AD529" s="104" t="e">
        <f t="shared" si="247"/>
        <v>#N/A</v>
      </c>
      <c r="AE529" s="104" t="e">
        <f t="shared" si="248"/>
        <v>#N/A</v>
      </c>
      <c r="AF529" s="104" t="e">
        <f>IF(AND(VLOOKUP($D529,Merchantability!$B:$C,2,0)="Yes",$E529&gt;=VLOOKUP($D529,Merchantability!$B:$D,3,0),$E529&lt;=VLOOKUP($D529,Merchantability!$B:$E,4,0)),AA529,0)</f>
        <v>#N/A</v>
      </c>
      <c r="AG529" s="104" t="e">
        <f>IF(AND(VLOOKUP($D529,Merchantability!$B:$C,2,0)="Yes",$E529&gt;=VLOOKUP($D529,Merchantability!$B:$D,3,0),$E529&lt;=VLOOKUP($D529,Merchantability!$B:$E,4,0)),AB529,0)</f>
        <v>#N/A</v>
      </c>
      <c r="AH529" s="104" t="e">
        <f>IF(AND(VLOOKUP($D529,Merchantability!$B:$C,2,0)="Yes",$E529&gt;=VLOOKUP($D529,Merchantability!$B:$D,3,0),$E529&lt;=VLOOKUP($D529,Merchantability!$B:$E,4,0)),AC529,0)</f>
        <v>#N/A</v>
      </c>
      <c r="AI529" s="104" t="e">
        <f t="shared" si="249"/>
        <v>#N/A</v>
      </c>
      <c r="AJ529" s="104" t="e">
        <f t="shared" si="250"/>
        <v>#VALUE!</v>
      </c>
      <c r="AK529" s="104" t="e">
        <f t="shared" si="251"/>
        <v>#N/A</v>
      </c>
      <c r="AL529" s="104" t="e">
        <f t="shared" si="252"/>
        <v>#N/A</v>
      </c>
      <c r="AM529" s="104" t="e">
        <f t="shared" si="253"/>
        <v>#N/A</v>
      </c>
      <c r="AN529" s="104" t="e">
        <f t="shared" si="264"/>
        <v>#N/A</v>
      </c>
      <c r="AO529" s="104" t="e">
        <f t="shared" si="265"/>
        <v>#N/A</v>
      </c>
      <c r="AP529" s="104" t="e">
        <f t="shared" si="266"/>
        <v>#N/A</v>
      </c>
      <c r="AQ529" s="104" t="e">
        <f t="shared" si="267"/>
        <v>#N/A</v>
      </c>
      <c r="AR529" s="105" t="str">
        <f t="shared" si="259"/>
        <v/>
      </c>
      <c r="AS529" s="105" t="str">
        <f t="shared" si="260"/>
        <v/>
      </c>
      <c r="AT529" s="108" t="str">
        <f t="shared" si="261"/>
        <v/>
      </c>
      <c r="AU529" s="108" t="str">
        <f t="shared" si="262"/>
        <v/>
      </c>
      <c r="AV529" s="107" t="str">
        <f>IF(ISNUMBER(O529),IF(VLOOKUP($A529,Stand!C:J,8,FALSE)="Short",AT529,AU529),"")</f>
        <v/>
      </c>
      <c r="AW529" s="109" t="str">
        <f t="shared" si="268"/>
        <v/>
      </c>
      <c r="AX529" s="109" t="str">
        <f t="shared" si="269"/>
        <v/>
      </c>
      <c r="AY529" s="112" t="str">
        <f>IF(ISNUMBER(O529),IF(AND(VLOOKUP($D529,Merchantability!$B:$C,2,0)="Yes",$E529&gt;=VLOOKUP($D529,Merchantability!$B:$D,3,0),$E529&lt;=VLOOKUP($D529,Merchantability!$B:$E,4,0)),(AV529*O529)*(1-$H529/100),""),"")</f>
        <v/>
      </c>
      <c r="AZ529" s="116"/>
      <c r="BA529" s="116"/>
      <c r="BB529" s="116"/>
      <c r="BE529" s="62"/>
      <c r="BF529" s="63"/>
    </row>
    <row r="530" spans="1:58" ht="12.75" customHeight="1" x14ac:dyDescent="0.25">
      <c r="A530" s="313"/>
      <c r="B530" s="328"/>
      <c r="C530" s="329"/>
      <c r="D530" s="328"/>
      <c r="E530" s="330"/>
      <c r="F530" s="328"/>
      <c r="G530" s="329"/>
      <c r="H530" s="329"/>
      <c r="I530" s="328"/>
      <c r="J530" s="383"/>
      <c r="K530" s="329"/>
      <c r="L530" s="329"/>
      <c r="M530" s="78"/>
      <c r="N530" s="103" t="str">
        <f>IF(A530="","",VLOOKUP(A530,Stand!C:K,9,0))</f>
        <v/>
      </c>
      <c r="O530" s="104" t="str">
        <f t="shared" si="254"/>
        <v/>
      </c>
      <c r="P530" s="105" t="str">
        <f t="shared" si="255"/>
        <v/>
      </c>
      <c r="Q530" s="105" t="str">
        <f t="shared" si="243"/>
        <v/>
      </c>
      <c r="R530" s="103" t="str">
        <f t="shared" si="256"/>
        <v/>
      </c>
      <c r="S530" s="103" t="str">
        <f t="shared" si="257"/>
        <v/>
      </c>
      <c r="T530" s="106" t="str">
        <f t="shared" si="244"/>
        <v/>
      </c>
      <c r="U530" s="106" t="str">
        <f t="shared" si="245"/>
        <v/>
      </c>
      <c r="V530" s="106" t="str">
        <f t="shared" si="246"/>
        <v/>
      </c>
      <c r="W530" s="105" t="str">
        <f t="shared" si="258"/>
        <v/>
      </c>
      <c r="X530" s="104" t="str">
        <f t="shared" si="263"/>
        <v/>
      </c>
      <c r="Y530" s="104" t="str">
        <f t="array" ref="Y530">IFERROR(IF(ISNUMBER(O530),IF(COUNT(IF(A530=$A$2:$A$2427,IF(D530=$D$2:$D$2427,IF($X$2:$X$2427&gt;0,1))))&gt;0,SUM(IF(A530=$A$2:$A$2427,IF(D530=$D$2:$D$2427,$X$2:$X$2427)))/COUNT(IF(A530=$A$2:$A$2427,IF(D530=$D$2:$D$2427,IF(ISNUMBER($X$2:$X$2427),1)))),0),""),0)</f>
        <v/>
      </c>
      <c r="Z530" s="104" t="str">
        <f>IF(ISNUMBER(O530),IF(I530&gt;0,(10^(VLOOKUP(D530,'Species Codes'!B:C,2,0)+VLOOKUP(D530,'Species Codes'!B:D,3,0)*LOG(E530)+VLOOKUP(D530,'Species Codes'!B:E,4,0)*LOG(I530))),0),"")</f>
        <v/>
      </c>
      <c r="AA530" s="104" t="str">
        <f>IFERROR((VLOOKUP(D530,'Species Codes'!B:G,6,0)*Z530)/2000,"")</f>
        <v/>
      </c>
      <c r="AB530" s="104" t="e">
        <f>IF(Z530&gt;0,((IF(OR(D530="DF",D530="RA")=TRUE,EXP(VLOOKUP(D530,'Species Codes'!B:I,8,0)+VLOOKUP(D530,'Species Codes'!B:J,9,0)*(LN((E530*2.54)))),IF(OR(D530="PY",D530="RC",D530="WH",D530="NF")=TRUE,VLOOKUP(D530,'Species Codes'!B:I,8,0)+VLOOKUP(D530,'Species Codes'!B:J,9,0)*((E530*2.54)^2)*(I530*0.3048),IF(OR(D530="MD",D530="BM",D530="GA")=TRUE,((VLOOKUP(D530,'Species Codes'!B:I,8,0)*(((((E530*2.54)+VLOOKUP(D530,'Species Codes'!B:J,9,0))/VLOOKUP(D530,'Species Codes'!B:K,10,0))^VLOOKUP(D530,'Species Codes'!B:L,11,0))*((I530*0.3048)^VLOOKUP(D530,'Species Codes'!B:M,12,0))))-(VLOOKUP(D530,'Species Codes'!B:I,8,0)*((((E530*2.54)^VLOOKUP(D530,'Species Codes'!B:L,11,0))*((I530*0.3048)^VLOOKUP(D530,'Species Codes'!B:M,12,0))))))*35.3*VLOOKUP(D530,'Species Codes'!B:G,6,0)/2.2046,VLOOKUP(D530,'Species Codes'!B:I,8,0)+VLOOKUP(D530,'Species Codes'!B:J,9,0)*(((E530*2.54)/100)^2)*(I530*0.3048)))))*0.0011023),0)</f>
        <v>#N/A</v>
      </c>
      <c r="AC530" s="104" t="e">
        <f>IF(Z530&gt;0,((IF(OR(D530="RA",D530="OA",D530="OT",D530="UN",D530="PC"),EXP(VLOOKUP(D530,'Species Codes'!B:O,14,0)+VLOOKUP(D530,'Species Codes'!B:P,15,0)*LN((E530*2.54)))-EXP(VLOOKUP(D530,'Species Codes'!B:O,14,0)+VLOOKUP(D530,'Species Codes'!B:P,15,0)*LN((E530*2.54)))*(1/(VLOOKUP(D530,'Species Codes'!B:Q,16,0)+VLOOKUP(D530,'Species Codes'!B:R,17,0)*((E530*2.54)^VLOOKUP(D530,'Species Codes'!B:S,18,0)))),IF(OR(D530="BM",D530="MD",D530="OA"),EXP(VLOOKUP(D530,'Species Codes'!B:O,14,0)+VLOOKUP(D530,'Species Codes'!B:P,15,0)*LN((E530*2.54)))*(1-(1/(VLOOKUP(D530,'Species Codes'!B:Q,16,0)+VLOOKUP(D530,'Species Codes'!B:R,17,0)*((E530*2.54)^VLOOKUP(D530,'Species Codes'!B:S,18,0)))))/1000,IF(D530="DF",EXP(VLOOKUP(D530,'Species Codes'!B:O,14,0)+VLOOKUP(D530,'Species Codes'!B:P,15,0)*LN((E530*2.54))),VLOOKUP(D530,'Species Codes'!B:O,14,0)+VLOOKUP(D530,'Species Codes'!B:P,15,0)*(((E530*2.54)/100)^2)*(I530*0.3048)))))*0.0011023),0)</f>
        <v>#N/A</v>
      </c>
      <c r="AD530" s="104" t="e">
        <f t="shared" si="247"/>
        <v>#N/A</v>
      </c>
      <c r="AE530" s="104" t="e">
        <f t="shared" si="248"/>
        <v>#N/A</v>
      </c>
      <c r="AF530" s="104" t="e">
        <f>IF(AND(VLOOKUP($D530,Merchantability!$B:$C,2,0)="Yes",$E530&gt;=VLOOKUP($D530,Merchantability!$B:$D,3,0),$E530&lt;=VLOOKUP($D530,Merchantability!$B:$E,4,0)),AA530,0)</f>
        <v>#N/A</v>
      </c>
      <c r="AG530" s="104" t="e">
        <f>IF(AND(VLOOKUP($D530,Merchantability!$B:$C,2,0)="Yes",$E530&gt;=VLOOKUP($D530,Merchantability!$B:$D,3,0),$E530&lt;=VLOOKUP($D530,Merchantability!$B:$E,4,0)),AB530,0)</f>
        <v>#N/A</v>
      </c>
      <c r="AH530" s="104" t="e">
        <f>IF(AND(VLOOKUP($D530,Merchantability!$B:$C,2,0)="Yes",$E530&gt;=VLOOKUP($D530,Merchantability!$B:$D,3,0),$E530&lt;=VLOOKUP($D530,Merchantability!$B:$E,4,0)),AC530,0)</f>
        <v>#N/A</v>
      </c>
      <c r="AI530" s="104" t="e">
        <f t="shared" si="249"/>
        <v>#N/A</v>
      </c>
      <c r="AJ530" s="104" t="e">
        <f t="shared" si="250"/>
        <v>#VALUE!</v>
      </c>
      <c r="AK530" s="104" t="e">
        <f t="shared" si="251"/>
        <v>#N/A</v>
      </c>
      <c r="AL530" s="104" t="e">
        <f t="shared" si="252"/>
        <v>#N/A</v>
      </c>
      <c r="AM530" s="104" t="e">
        <f t="shared" si="253"/>
        <v>#N/A</v>
      </c>
      <c r="AN530" s="104" t="e">
        <f t="shared" si="264"/>
        <v>#N/A</v>
      </c>
      <c r="AO530" s="104" t="e">
        <f t="shared" si="265"/>
        <v>#N/A</v>
      </c>
      <c r="AP530" s="104" t="e">
        <f t="shared" si="266"/>
        <v>#N/A</v>
      </c>
      <c r="AQ530" s="104" t="e">
        <f t="shared" si="267"/>
        <v>#N/A</v>
      </c>
      <c r="AR530" s="105" t="str">
        <f t="shared" si="259"/>
        <v/>
      </c>
      <c r="AS530" s="105" t="str">
        <f t="shared" si="260"/>
        <v/>
      </c>
      <c r="AT530" s="108" t="str">
        <f t="shared" si="261"/>
        <v/>
      </c>
      <c r="AU530" s="108" t="str">
        <f t="shared" si="262"/>
        <v/>
      </c>
      <c r="AV530" s="107" t="str">
        <f>IF(ISNUMBER(O530),IF(VLOOKUP($A530,Stand!C:J,8,FALSE)="Short",AT530,AU530),"")</f>
        <v/>
      </c>
      <c r="AW530" s="109" t="str">
        <f t="shared" si="268"/>
        <v/>
      </c>
      <c r="AX530" s="109" t="str">
        <f t="shared" si="269"/>
        <v/>
      </c>
      <c r="AY530" s="112" t="str">
        <f>IF(ISNUMBER(O530),IF(AND(VLOOKUP($D530,Merchantability!$B:$C,2,0)="Yes",$E530&gt;=VLOOKUP($D530,Merchantability!$B:$D,3,0),$E530&lt;=VLOOKUP($D530,Merchantability!$B:$E,4,0)),(AV530*O530)*(1-$H530/100),""),"")</f>
        <v/>
      </c>
      <c r="AZ530" s="116"/>
      <c r="BA530" s="116"/>
      <c r="BB530" s="116"/>
      <c r="BE530" s="62"/>
      <c r="BF530" s="63"/>
    </row>
    <row r="531" spans="1:58" ht="12.75" customHeight="1" x14ac:dyDescent="0.25">
      <c r="A531" s="313"/>
      <c r="B531" s="328"/>
      <c r="C531" s="329"/>
      <c r="D531" s="328"/>
      <c r="E531" s="330"/>
      <c r="F531" s="328"/>
      <c r="G531" s="329"/>
      <c r="H531" s="329"/>
      <c r="I531" s="328"/>
      <c r="J531" s="383"/>
      <c r="K531" s="329"/>
      <c r="L531" s="329"/>
      <c r="M531" s="78"/>
      <c r="N531" s="103" t="str">
        <f>IF(A531="","",VLOOKUP(A531,Stand!C:K,9,0))</f>
        <v/>
      </c>
      <c r="O531" s="104" t="str">
        <f t="shared" si="254"/>
        <v/>
      </c>
      <c r="P531" s="105" t="str">
        <f t="shared" si="255"/>
        <v/>
      </c>
      <c r="Q531" s="105" t="str">
        <f t="shared" si="243"/>
        <v/>
      </c>
      <c r="R531" s="103" t="str">
        <f t="shared" si="256"/>
        <v/>
      </c>
      <c r="S531" s="103" t="str">
        <f t="shared" si="257"/>
        <v/>
      </c>
      <c r="T531" s="106" t="str">
        <f t="shared" si="244"/>
        <v/>
      </c>
      <c r="U531" s="106" t="str">
        <f t="shared" si="245"/>
        <v/>
      </c>
      <c r="V531" s="106" t="str">
        <f t="shared" si="246"/>
        <v/>
      </c>
      <c r="W531" s="105" t="str">
        <f t="shared" si="258"/>
        <v/>
      </c>
      <c r="X531" s="104" t="str">
        <f t="shared" si="263"/>
        <v/>
      </c>
      <c r="Y531" s="104" t="str">
        <f t="array" ref="Y531">IFERROR(IF(ISNUMBER(O531),IF(COUNT(IF(A531=$A$2:$A$2427,IF(D531=$D$2:$D$2427,IF($X$2:$X$2427&gt;0,1))))&gt;0,SUM(IF(A531=$A$2:$A$2427,IF(D531=$D$2:$D$2427,$X$2:$X$2427)))/COUNT(IF(A531=$A$2:$A$2427,IF(D531=$D$2:$D$2427,IF(ISNUMBER($X$2:$X$2427),1)))),0),""),0)</f>
        <v/>
      </c>
      <c r="Z531" s="104" t="str">
        <f>IF(ISNUMBER(O531),IF(I531&gt;0,(10^(VLOOKUP(D531,'Species Codes'!B:C,2,0)+VLOOKUP(D531,'Species Codes'!B:D,3,0)*LOG(E531)+VLOOKUP(D531,'Species Codes'!B:E,4,0)*LOG(I531))),0),"")</f>
        <v/>
      </c>
      <c r="AA531" s="104" t="str">
        <f>IFERROR((VLOOKUP(D531,'Species Codes'!B:G,6,0)*Z531)/2000,"")</f>
        <v/>
      </c>
      <c r="AB531" s="104" t="e">
        <f>IF(Z531&gt;0,((IF(OR(D531="DF",D531="RA")=TRUE,EXP(VLOOKUP(D531,'Species Codes'!B:I,8,0)+VLOOKUP(D531,'Species Codes'!B:J,9,0)*(LN((E531*2.54)))),IF(OR(D531="PY",D531="RC",D531="WH",D531="NF")=TRUE,VLOOKUP(D531,'Species Codes'!B:I,8,0)+VLOOKUP(D531,'Species Codes'!B:J,9,0)*((E531*2.54)^2)*(I531*0.3048),IF(OR(D531="MD",D531="BM",D531="GA")=TRUE,((VLOOKUP(D531,'Species Codes'!B:I,8,0)*(((((E531*2.54)+VLOOKUP(D531,'Species Codes'!B:J,9,0))/VLOOKUP(D531,'Species Codes'!B:K,10,0))^VLOOKUP(D531,'Species Codes'!B:L,11,0))*((I531*0.3048)^VLOOKUP(D531,'Species Codes'!B:M,12,0))))-(VLOOKUP(D531,'Species Codes'!B:I,8,0)*((((E531*2.54)^VLOOKUP(D531,'Species Codes'!B:L,11,0))*((I531*0.3048)^VLOOKUP(D531,'Species Codes'!B:M,12,0))))))*35.3*VLOOKUP(D531,'Species Codes'!B:G,6,0)/2.2046,VLOOKUP(D531,'Species Codes'!B:I,8,0)+VLOOKUP(D531,'Species Codes'!B:J,9,0)*(((E531*2.54)/100)^2)*(I531*0.3048)))))*0.0011023),0)</f>
        <v>#N/A</v>
      </c>
      <c r="AC531" s="104" t="e">
        <f>IF(Z531&gt;0,((IF(OR(D531="RA",D531="OA",D531="OT",D531="UN",D531="PC"),EXP(VLOOKUP(D531,'Species Codes'!B:O,14,0)+VLOOKUP(D531,'Species Codes'!B:P,15,0)*LN((E531*2.54)))-EXP(VLOOKUP(D531,'Species Codes'!B:O,14,0)+VLOOKUP(D531,'Species Codes'!B:P,15,0)*LN((E531*2.54)))*(1/(VLOOKUP(D531,'Species Codes'!B:Q,16,0)+VLOOKUP(D531,'Species Codes'!B:R,17,0)*((E531*2.54)^VLOOKUP(D531,'Species Codes'!B:S,18,0)))),IF(OR(D531="BM",D531="MD",D531="OA"),EXP(VLOOKUP(D531,'Species Codes'!B:O,14,0)+VLOOKUP(D531,'Species Codes'!B:P,15,0)*LN((E531*2.54)))*(1-(1/(VLOOKUP(D531,'Species Codes'!B:Q,16,0)+VLOOKUP(D531,'Species Codes'!B:R,17,0)*((E531*2.54)^VLOOKUP(D531,'Species Codes'!B:S,18,0)))))/1000,IF(D531="DF",EXP(VLOOKUP(D531,'Species Codes'!B:O,14,0)+VLOOKUP(D531,'Species Codes'!B:P,15,0)*LN((E531*2.54))),VLOOKUP(D531,'Species Codes'!B:O,14,0)+VLOOKUP(D531,'Species Codes'!B:P,15,0)*(((E531*2.54)/100)^2)*(I531*0.3048)))))*0.0011023),0)</f>
        <v>#N/A</v>
      </c>
      <c r="AD531" s="104" t="e">
        <f t="shared" si="247"/>
        <v>#N/A</v>
      </c>
      <c r="AE531" s="104" t="e">
        <f t="shared" si="248"/>
        <v>#N/A</v>
      </c>
      <c r="AF531" s="104" t="e">
        <f>IF(AND(VLOOKUP($D531,Merchantability!$B:$C,2,0)="Yes",$E531&gt;=VLOOKUP($D531,Merchantability!$B:$D,3,0),$E531&lt;=VLOOKUP($D531,Merchantability!$B:$E,4,0)),AA531,0)</f>
        <v>#N/A</v>
      </c>
      <c r="AG531" s="104" t="e">
        <f>IF(AND(VLOOKUP($D531,Merchantability!$B:$C,2,0)="Yes",$E531&gt;=VLOOKUP($D531,Merchantability!$B:$D,3,0),$E531&lt;=VLOOKUP($D531,Merchantability!$B:$E,4,0)),AB531,0)</f>
        <v>#N/A</v>
      </c>
      <c r="AH531" s="104" t="e">
        <f>IF(AND(VLOOKUP($D531,Merchantability!$B:$C,2,0)="Yes",$E531&gt;=VLOOKUP($D531,Merchantability!$B:$D,3,0),$E531&lt;=VLOOKUP($D531,Merchantability!$B:$E,4,0)),AC531,0)</f>
        <v>#N/A</v>
      </c>
      <c r="AI531" s="104" t="e">
        <f t="shared" si="249"/>
        <v>#N/A</v>
      </c>
      <c r="AJ531" s="104" t="e">
        <f t="shared" si="250"/>
        <v>#VALUE!</v>
      </c>
      <c r="AK531" s="104" t="e">
        <f t="shared" si="251"/>
        <v>#N/A</v>
      </c>
      <c r="AL531" s="104" t="e">
        <f t="shared" si="252"/>
        <v>#N/A</v>
      </c>
      <c r="AM531" s="104" t="e">
        <f t="shared" si="253"/>
        <v>#N/A</v>
      </c>
      <c r="AN531" s="104" t="e">
        <f t="shared" si="264"/>
        <v>#N/A</v>
      </c>
      <c r="AO531" s="104" t="e">
        <f t="shared" si="265"/>
        <v>#N/A</v>
      </c>
      <c r="AP531" s="104" t="e">
        <f t="shared" si="266"/>
        <v>#N/A</v>
      </c>
      <c r="AQ531" s="104" t="e">
        <f t="shared" si="267"/>
        <v>#N/A</v>
      </c>
      <c r="AR531" s="105" t="str">
        <f t="shared" si="259"/>
        <v/>
      </c>
      <c r="AS531" s="105" t="str">
        <f t="shared" si="260"/>
        <v/>
      </c>
      <c r="AT531" s="108" t="str">
        <f t="shared" si="261"/>
        <v/>
      </c>
      <c r="AU531" s="108" t="str">
        <f t="shared" si="262"/>
        <v/>
      </c>
      <c r="AV531" s="107" t="str">
        <f>IF(ISNUMBER(O531),IF(VLOOKUP($A531,Stand!C:J,8,FALSE)="Short",AT531,AU531),"")</f>
        <v/>
      </c>
      <c r="AW531" s="109" t="str">
        <f t="shared" si="268"/>
        <v/>
      </c>
      <c r="AX531" s="109" t="str">
        <f t="shared" si="269"/>
        <v/>
      </c>
      <c r="AY531" s="112" t="str">
        <f>IF(ISNUMBER(O531),IF(AND(VLOOKUP($D531,Merchantability!$B:$C,2,0)="Yes",$E531&gt;=VLOOKUP($D531,Merchantability!$B:$D,3,0),$E531&lt;=VLOOKUP($D531,Merchantability!$B:$E,4,0)),(AV531*O531)*(1-$H531/100),""),"")</f>
        <v/>
      </c>
      <c r="AZ531" s="116"/>
      <c r="BA531" s="116"/>
      <c r="BB531" s="116"/>
      <c r="BE531" s="62"/>
      <c r="BF531" s="63"/>
    </row>
    <row r="532" spans="1:58" ht="12.75" customHeight="1" x14ac:dyDescent="0.25">
      <c r="A532" s="313"/>
      <c r="B532" s="328"/>
      <c r="C532" s="329"/>
      <c r="D532" s="328"/>
      <c r="E532" s="330"/>
      <c r="F532" s="328"/>
      <c r="G532" s="329"/>
      <c r="H532" s="329"/>
      <c r="I532" s="328"/>
      <c r="J532" s="383"/>
      <c r="K532" s="329"/>
      <c r="L532" s="329"/>
      <c r="M532" s="78"/>
      <c r="N532" s="103" t="str">
        <f>IF(A532="","",VLOOKUP(A532,Stand!C:K,9,0))</f>
        <v/>
      </c>
      <c r="O532" s="104" t="str">
        <f t="shared" si="254"/>
        <v/>
      </c>
      <c r="P532" s="105" t="str">
        <f t="shared" si="255"/>
        <v/>
      </c>
      <c r="Q532" s="105" t="str">
        <f t="shared" si="243"/>
        <v/>
      </c>
      <c r="R532" s="103" t="str">
        <f t="shared" si="256"/>
        <v/>
      </c>
      <c r="S532" s="103" t="str">
        <f t="shared" si="257"/>
        <v/>
      </c>
      <c r="T532" s="106" t="str">
        <f t="shared" si="244"/>
        <v/>
      </c>
      <c r="U532" s="106" t="str">
        <f t="shared" si="245"/>
        <v/>
      </c>
      <c r="V532" s="106" t="str">
        <f t="shared" si="246"/>
        <v/>
      </c>
      <c r="W532" s="105" t="str">
        <f t="shared" si="258"/>
        <v/>
      </c>
      <c r="X532" s="104" t="str">
        <f t="shared" si="263"/>
        <v/>
      </c>
      <c r="Y532" s="104" t="str">
        <f t="array" ref="Y532">IFERROR(IF(ISNUMBER(O532),IF(COUNT(IF(A532=$A$2:$A$2427,IF(D532=$D$2:$D$2427,IF($X$2:$X$2427&gt;0,1))))&gt;0,SUM(IF(A532=$A$2:$A$2427,IF(D532=$D$2:$D$2427,$X$2:$X$2427)))/COUNT(IF(A532=$A$2:$A$2427,IF(D532=$D$2:$D$2427,IF(ISNUMBER($X$2:$X$2427),1)))),0),""),0)</f>
        <v/>
      </c>
      <c r="Z532" s="104" t="str">
        <f>IF(ISNUMBER(O532),IF(I532&gt;0,(10^(VLOOKUP(D532,'Species Codes'!B:C,2,0)+VLOOKUP(D532,'Species Codes'!B:D,3,0)*LOG(E532)+VLOOKUP(D532,'Species Codes'!B:E,4,0)*LOG(I532))),0),"")</f>
        <v/>
      </c>
      <c r="AA532" s="104" t="str">
        <f>IFERROR((VLOOKUP(D532,'Species Codes'!B:G,6,0)*Z532)/2000,"")</f>
        <v/>
      </c>
      <c r="AB532" s="104" t="e">
        <f>IF(Z532&gt;0,((IF(OR(D532="DF",D532="RA")=TRUE,EXP(VLOOKUP(D532,'Species Codes'!B:I,8,0)+VLOOKUP(D532,'Species Codes'!B:J,9,0)*(LN((E532*2.54)))),IF(OR(D532="PY",D532="RC",D532="WH",D532="NF")=TRUE,VLOOKUP(D532,'Species Codes'!B:I,8,0)+VLOOKUP(D532,'Species Codes'!B:J,9,0)*((E532*2.54)^2)*(I532*0.3048),IF(OR(D532="MD",D532="BM",D532="GA")=TRUE,((VLOOKUP(D532,'Species Codes'!B:I,8,0)*(((((E532*2.54)+VLOOKUP(D532,'Species Codes'!B:J,9,0))/VLOOKUP(D532,'Species Codes'!B:K,10,0))^VLOOKUP(D532,'Species Codes'!B:L,11,0))*((I532*0.3048)^VLOOKUP(D532,'Species Codes'!B:M,12,0))))-(VLOOKUP(D532,'Species Codes'!B:I,8,0)*((((E532*2.54)^VLOOKUP(D532,'Species Codes'!B:L,11,0))*((I532*0.3048)^VLOOKUP(D532,'Species Codes'!B:M,12,0))))))*35.3*VLOOKUP(D532,'Species Codes'!B:G,6,0)/2.2046,VLOOKUP(D532,'Species Codes'!B:I,8,0)+VLOOKUP(D532,'Species Codes'!B:J,9,0)*(((E532*2.54)/100)^2)*(I532*0.3048)))))*0.0011023),0)</f>
        <v>#N/A</v>
      </c>
      <c r="AC532" s="104" t="e">
        <f>IF(Z532&gt;0,((IF(OR(D532="RA",D532="OA",D532="OT",D532="UN",D532="PC"),EXP(VLOOKUP(D532,'Species Codes'!B:O,14,0)+VLOOKUP(D532,'Species Codes'!B:P,15,0)*LN((E532*2.54)))-EXP(VLOOKUP(D532,'Species Codes'!B:O,14,0)+VLOOKUP(D532,'Species Codes'!B:P,15,0)*LN((E532*2.54)))*(1/(VLOOKUP(D532,'Species Codes'!B:Q,16,0)+VLOOKUP(D532,'Species Codes'!B:R,17,0)*((E532*2.54)^VLOOKUP(D532,'Species Codes'!B:S,18,0)))),IF(OR(D532="BM",D532="MD",D532="OA"),EXP(VLOOKUP(D532,'Species Codes'!B:O,14,0)+VLOOKUP(D532,'Species Codes'!B:P,15,0)*LN((E532*2.54)))*(1-(1/(VLOOKUP(D532,'Species Codes'!B:Q,16,0)+VLOOKUP(D532,'Species Codes'!B:R,17,0)*((E532*2.54)^VLOOKUP(D532,'Species Codes'!B:S,18,0)))))/1000,IF(D532="DF",EXP(VLOOKUP(D532,'Species Codes'!B:O,14,0)+VLOOKUP(D532,'Species Codes'!B:P,15,0)*LN((E532*2.54))),VLOOKUP(D532,'Species Codes'!B:O,14,0)+VLOOKUP(D532,'Species Codes'!B:P,15,0)*(((E532*2.54)/100)^2)*(I532*0.3048)))))*0.0011023),0)</f>
        <v>#N/A</v>
      </c>
      <c r="AD532" s="104" t="e">
        <f t="shared" si="247"/>
        <v>#N/A</v>
      </c>
      <c r="AE532" s="104" t="e">
        <f t="shared" si="248"/>
        <v>#N/A</v>
      </c>
      <c r="AF532" s="104" t="e">
        <f>IF(AND(VLOOKUP($D532,Merchantability!$B:$C,2,0)="Yes",$E532&gt;=VLOOKUP($D532,Merchantability!$B:$D,3,0),$E532&lt;=VLOOKUP($D532,Merchantability!$B:$E,4,0)),AA532,0)</f>
        <v>#N/A</v>
      </c>
      <c r="AG532" s="104" t="e">
        <f>IF(AND(VLOOKUP($D532,Merchantability!$B:$C,2,0)="Yes",$E532&gt;=VLOOKUP($D532,Merchantability!$B:$D,3,0),$E532&lt;=VLOOKUP($D532,Merchantability!$B:$E,4,0)),AB532,0)</f>
        <v>#N/A</v>
      </c>
      <c r="AH532" s="104" t="e">
        <f>IF(AND(VLOOKUP($D532,Merchantability!$B:$C,2,0)="Yes",$E532&gt;=VLOOKUP($D532,Merchantability!$B:$D,3,0),$E532&lt;=VLOOKUP($D532,Merchantability!$B:$E,4,0)),AC532,0)</f>
        <v>#N/A</v>
      </c>
      <c r="AI532" s="104" t="e">
        <f t="shared" si="249"/>
        <v>#N/A</v>
      </c>
      <c r="AJ532" s="104" t="e">
        <f t="shared" si="250"/>
        <v>#VALUE!</v>
      </c>
      <c r="AK532" s="104" t="e">
        <f t="shared" si="251"/>
        <v>#N/A</v>
      </c>
      <c r="AL532" s="104" t="e">
        <f t="shared" si="252"/>
        <v>#N/A</v>
      </c>
      <c r="AM532" s="104" t="e">
        <f t="shared" si="253"/>
        <v>#N/A</v>
      </c>
      <c r="AN532" s="104" t="e">
        <f t="shared" si="264"/>
        <v>#N/A</v>
      </c>
      <c r="AO532" s="104" t="e">
        <f t="shared" si="265"/>
        <v>#N/A</v>
      </c>
      <c r="AP532" s="104" t="e">
        <f t="shared" si="266"/>
        <v>#N/A</v>
      </c>
      <c r="AQ532" s="104" t="e">
        <f t="shared" si="267"/>
        <v>#N/A</v>
      </c>
      <c r="AR532" s="105" t="str">
        <f t="shared" si="259"/>
        <v/>
      </c>
      <c r="AS532" s="105" t="str">
        <f t="shared" si="260"/>
        <v/>
      </c>
      <c r="AT532" s="108" t="str">
        <f t="shared" si="261"/>
        <v/>
      </c>
      <c r="AU532" s="108" t="str">
        <f t="shared" si="262"/>
        <v/>
      </c>
      <c r="AV532" s="107" t="str">
        <f>IF(ISNUMBER(O532),IF(VLOOKUP($A532,Stand!C:J,8,FALSE)="Short",AT532,AU532),"")</f>
        <v/>
      </c>
      <c r="AW532" s="109" t="str">
        <f t="shared" si="268"/>
        <v/>
      </c>
      <c r="AX532" s="109" t="str">
        <f t="shared" si="269"/>
        <v/>
      </c>
      <c r="AY532" s="112" t="str">
        <f>IF(ISNUMBER(O532),IF(AND(VLOOKUP($D532,Merchantability!$B:$C,2,0)="Yes",$E532&gt;=VLOOKUP($D532,Merchantability!$B:$D,3,0),$E532&lt;=VLOOKUP($D532,Merchantability!$B:$E,4,0)),(AV532*O532)*(1-$H532/100),""),"")</f>
        <v/>
      </c>
      <c r="AZ532" s="116"/>
      <c r="BA532" s="116"/>
      <c r="BB532" s="116"/>
      <c r="BE532" s="62"/>
      <c r="BF532" s="63"/>
    </row>
    <row r="533" spans="1:58" ht="12.75" customHeight="1" x14ac:dyDescent="0.25">
      <c r="A533" s="313"/>
      <c r="B533" s="328"/>
      <c r="C533" s="329"/>
      <c r="D533" s="328"/>
      <c r="E533" s="330"/>
      <c r="F533" s="328"/>
      <c r="G533" s="329"/>
      <c r="H533" s="329"/>
      <c r="I533" s="328"/>
      <c r="J533" s="383"/>
      <c r="K533" s="329"/>
      <c r="L533" s="329"/>
      <c r="M533" s="78"/>
      <c r="N533" s="103" t="str">
        <f>IF(A533="","",VLOOKUP(A533,Stand!C:K,9,0))</f>
        <v/>
      </c>
      <c r="O533" s="104" t="str">
        <f t="shared" si="254"/>
        <v/>
      </c>
      <c r="P533" s="105" t="str">
        <f t="shared" si="255"/>
        <v/>
      </c>
      <c r="Q533" s="105" t="str">
        <f t="shared" si="243"/>
        <v/>
      </c>
      <c r="R533" s="103" t="str">
        <f t="shared" si="256"/>
        <v/>
      </c>
      <c r="S533" s="103" t="str">
        <f t="shared" si="257"/>
        <v/>
      </c>
      <c r="T533" s="106" t="str">
        <f t="shared" si="244"/>
        <v/>
      </c>
      <c r="U533" s="106" t="str">
        <f t="shared" si="245"/>
        <v/>
      </c>
      <c r="V533" s="106" t="str">
        <f t="shared" si="246"/>
        <v/>
      </c>
      <c r="W533" s="105" t="str">
        <f t="shared" si="258"/>
        <v/>
      </c>
      <c r="X533" s="104" t="str">
        <f t="shared" si="263"/>
        <v/>
      </c>
      <c r="Y533" s="104" t="str">
        <f t="array" ref="Y533">IFERROR(IF(ISNUMBER(O533),IF(COUNT(IF(A533=$A$2:$A$2427,IF(D533=$D$2:$D$2427,IF($X$2:$X$2427&gt;0,1))))&gt;0,SUM(IF(A533=$A$2:$A$2427,IF(D533=$D$2:$D$2427,$X$2:$X$2427)))/COUNT(IF(A533=$A$2:$A$2427,IF(D533=$D$2:$D$2427,IF(ISNUMBER($X$2:$X$2427),1)))),0),""),0)</f>
        <v/>
      </c>
      <c r="Z533" s="104" t="str">
        <f>IF(ISNUMBER(O533),IF(I533&gt;0,(10^(VLOOKUP(D533,'Species Codes'!B:C,2,0)+VLOOKUP(D533,'Species Codes'!B:D,3,0)*LOG(E533)+VLOOKUP(D533,'Species Codes'!B:E,4,0)*LOG(I533))),0),"")</f>
        <v/>
      </c>
      <c r="AA533" s="104" t="str">
        <f>IFERROR((VLOOKUP(D533,'Species Codes'!B:G,6,0)*Z533)/2000,"")</f>
        <v/>
      </c>
      <c r="AB533" s="104" t="e">
        <f>IF(Z533&gt;0,((IF(OR(D533="DF",D533="RA")=TRUE,EXP(VLOOKUP(D533,'Species Codes'!B:I,8,0)+VLOOKUP(D533,'Species Codes'!B:J,9,0)*(LN((E533*2.54)))),IF(OR(D533="PY",D533="RC",D533="WH",D533="NF")=TRUE,VLOOKUP(D533,'Species Codes'!B:I,8,0)+VLOOKUP(D533,'Species Codes'!B:J,9,0)*((E533*2.54)^2)*(I533*0.3048),IF(OR(D533="MD",D533="BM",D533="GA")=TRUE,((VLOOKUP(D533,'Species Codes'!B:I,8,0)*(((((E533*2.54)+VLOOKUP(D533,'Species Codes'!B:J,9,0))/VLOOKUP(D533,'Species Codes'!B:K,10,0))^VLOOKUP(D533,'Species Codes'!B:L,11,0))*((I533*0.3048)^VLOOKUP(D533,'Species Codes'!B:M,12,0))))-(VLOOKUP(D533,'Species Codes'!B:I,8,0)*((((E533*2.54)^VLOOKUP(D533,'Species Codes'!B:L,11,0))*((I533*0.3048)^VLOOKUP(D533,'Species Codes'!B:M,12,0))))))*35.3*VLOOKUP(D533,'Species Codes'!B:G,6,0)/2.2046,VLOOKUP(D533,'Species Codes'!B:I,8,0)+VLOOKUP(D533,'Species Codes'!B:J,9,0)*(((E533*2.54)/100)^2)*(I533*0.3048)))))*0.0011023),0)</f>
        <v>#N/A</v>
      </c>
      <c r="AC533" s="104" t="e">
        <f>IF(Z533&gt;0,((IF(OR(D533="RA",D533="OA",D533="OT",D533="UN",D533="PC"),EXP(VLOOKUP(D533,'Species Codes'!B:O,14,0)+VLOOKUP(D533,'Species Codes'!B:P,15,0)*LN((E533*2.54)))-EXP(VLOOKUP(D533,'Species Codes'!B:O,14,0)+VLOOKUP(D533,'Species Codes'!B:P,15,0)*LN((E533*2.54)))*(1/(VLOOKUP(D533,'Species Codes'!B:Q,16,0)+VLOOKUP(D533,'Species Codes'!B:R,17,0)*((E533*2.54)^VLOOKUP(D533,'Species Codes'!B:S,18,0)))),IF(OR(D533="BM",D533="MD",D533="OA"),EXP(VLOOKUP(D533,'Species Codes'!B:O,14,0)+VLOOKUP(D533,'Species Codes'!B:P,15,0)*LN((E533*2.54)))*(1-(1/(VLOOKUP(D533,'Species Codes'!B:Q,16,0)+VLOOKUP(D533,'Species Codes'!B:R,17,0)*((E533*2.54)^VLOOKUP(D533,'Species Codes'!B:S,18,0)))))/1000,IF(D533="DF",EXP(VLOOKUP(D533,'Species Codes'!B:O,14,0)+VLOOKUP(D533,'Species Codes'!B:P,15,0)*LN((E533*2.54))),VLOOKUP(D533,'Species Codes'!B:O,14,0)+VLOOKUP(D533,'Species Codes'!B:P,15,0)*(((E533*2.54)/100)^2)*(I533*0.3048)))))*0.0011023),0)</f>
        <v>#N/A</v>
      </c>
      <c r="AD533" s="104" t="e">
        <f t="shared" si="247"/>
        <v>#N/A</v>
      </c>
      <c r="AE533" s="104" t="e">
        <f t="shared" si="248"/>
        <v>#N/A</v>
      </c>
      <c r="AF533" s="104" t="e">
        <f>IF(AND(VLOOKUP($D533,Merchantability!$B:$C,2,0)="Yes",$E533&gt;=VLOOKUP($D533,Merchantability!$B:$D,3,0),$E533&lt;=VLOOKUP($D533,Merchantability!$B:$E,4,0)),AA533,0)</f>
        <v>#N/A</v>
      </c>
      <c r="AG533" s="104" t="e">
        <f>IF(AND(VLOOKUP($D533,Merchantability!$B:$C,2,0)="Yes",$E533&gt;=VLOOKUP($D533,Merchantability!$B:$D,3,0),$E533&lt;=VLOOKUP($D533,Merchantability!$B:$E,4,0)),AB533,0)</f>
        <v>#N/A</v>
      </c>
      <c r="AH533" s="104" t="e">
        <f>IF(AND(VLOOKUP($D533,Merchantability!$B:$C,2,0)="Yes",$E533&gt;=VLOOKUP($D533,Merchantability!$B:$D,3,0),$E533&lt;=VLOOKUP($D533,Merchantability!$B:$E,4,0)),AC533,0)</f>
        <v>#N/A</v>
      </c>
      <c r="AI533" s="104" t="e">
        <f t="shared" si="249"/>
        <v>#N/A</v>
      </c>
      <c r="AJ533" s="104" t="e">
        <f t="shared" si="250"/>
        <v>#VALUE!</v>
      </c>
      <c r="AK533" s="104" t="e">
        <f t="shared" si="251"/>
        <v>#N/A</v>
      </c>
      <c r="AL533" s="104" t="e">
        <f t="shared" si="252"/>
        <v>#N/A</v>
      </c>
      <c r="AM533" s="104" t="e">
        <f t="shared" si="253"/>
        <v>#N/A</v>
      </c>
      <c r="AN533" s="104" t="e">
        <f t="shared" si="264"/>
        <v>#N/A</v>
      </c>
      <c r="AO533" s="104" t="e">
        <f t="shared" si="265"/>
        <v>#N/A</v>
      </c>
      <c r="AP533" s="104" t="e">
        <f t="shared" si="266"/>
        <v>#N/A</v>
      </c>
      <c r="AQ533" s="104" t="e">
        <f t="shared" si="267"/>
        <v>#N/A</v>
      </c>
      <c r="AR533" s="105" t="str">
        <f t="shared" si="259"/>
        <v/>
      </c>
      <c r="AS533" s="105" t="str">
        <f t="shared" si="260"/>
        <v/>
      </c>
      <c r="AT533" s="108" t="str">
        <f t="shared" si="261"/>
        <v/>
      </c>
      <c r="AU533" s="108" t="str">
        <f t="shared" si="262"/>
        <v/>
      </c>
      <c r="AV533" s="107" t="str">
        <f>IF(ISNUMBER(O533),IF(VLOOKUP($A533,Stand!C:J,8,FALSE)="Short",AT533,AU533),"")</f>
        <v/>
      </c>
      <c r="AW533" s="109" t="str">
        <f t="shared" si="268"/>
        <v/>
      </c>
      <c r="AX533" s="109" t="str">
        <f t="shared" si="269"/>
        <v/>
      </c>
      <c r="AY533" s="112" t="str">
        <f>IF(ISNUMBER(O533),IF(AND(VLOOKUP($D533,Merchantability!$B:$C,2,0)="Yes",$E533&gt;=VLOOKUP($D533,Merchantability!$B:$D,3,0),$E533&lt;=VLOOKUP($D533,Merchantability!$B:$E,4,0)),(AV533*O533)*(1-$H533/100),""),"")</f>
        <v/>
      </c>
      <c r="AZ533" s="116"/>
      <c r="BA533" s="116"/>
      <c r="BB533" s="116"/>
      <c r="BE533" s="62"/>
      <c r="BF533" s="63"/>
    </row>
    <row r="534" spans="1:58" ht="12.75" customHeight="1" x14ac:dyDescent="0.25">
      <c r="A534" s="313"/>
      <c r="B534" s="328"/>
      <c r="C534" s="329"/>
      <c r="D534" s="328"/>
      <c r="E534" s="330"/>
      <c r="F534" s="328"/>
      <c r="G534" s="329"/>
      <c r="H534" s="329"/>
      <c r="I534" s="328"/>
      <c r="J534" s="383"/>
      <c r="K534" s="329"/>
      <c r="L534" s="329"/>
      <c r="M534" s="78"/>
      <c r="N534" s="103" t="str">
        <f>IF(A534="","",VLOOKUP(A534,Stand!C:K,9,0))</f>
        <v/>
      </c>
      <c r="O534" s="104" t="str">
        <f t="shared" si="254"/>
        <v/>
      </c>
      <c r="P534" s="105" t="str">
        <f t="shared" si="255"/>
        <v/>
      </c>
      <c r="Q534" s="105" t="str">
        <f t="shared" si="243"/>
        <v/>
      </c>
      <c r="R534" s="103" t="str">
        <f t="shared" si="256"/>
        <v/>
      </c>
      <c r="S534" s="103" t="str">
        <f t="shared" si="257"/>
        <v/>
      </c>
      <c r="T534" s="106" t="str">
        <f t="shared" si="244"/>
        <v/>
      </c>
      <c r="U534" s="106" t="str">
        <f t="shared" si="245"/>
        <v/>
      </c>
      <c r="V534" s="106" t="str">
        <f t="shared" si="246"/>
        <v/>
      </c>
      <c r="W534" s="105" t="str">
        <f t="shared" si="258"/>
        <v/>
      </c>
      <c r="X534" s="104" t="str">
        <f t="shared" si="263"/>
        <v/>
      </c>
      <c r="Y534" s="104" t="str">
        <f t="array" ref="Y534">IFERROR(IF(ISNUMBER(O534),IF(COUNT(IF(A534=$A$2:$A$2427,IF(D534=$D$2:$D$2427,IF($X$2:$X$2427&gt;0,1))))&gt;0,SUM(IF(A534=$A$2:$A$2427,IF(D534=$D$2:$D$2427,$X$2:$X$2427)))/COUNT(IF(A534=$A$2:$A$2427,IF(D534=$D$2:$D$2427,IF(ISNUMBER($X$2:$X$2427),1)))),0),""),0)</f>
        <v/>
      </c>
      <c r="Z534" s="104" t="str">
        <f>IF(ISNUMBER(O534),IF(I534&gt;0,(10^(VLOOKUP(D534,'Species Codes'!B:C,2,0)+VLOOKUP(D534,'Species Codes'!B:D,3,0)*LOG(E534)+VLOOKUP(D534,'Species Codes'!B:E,4,0)*LOG(I534))),0),"")</f>
        <v/>
      </c>
      <c r="AA534" s="104" t="str">
        <f>IFERROR((VLOOKUP(D534,'Species Codes'!B:G,6,0)*Z534)/2000,"")</f>
        <v/>
      </c>
      <c r="AB534" s="104" t="e">
        <f>IF(Z534&gt;0,((IF(OR(D534="DF",D534="RA")=TRUE,EXP(VLOOKUP(D534,'Species Codes'!B:I,8,0)+VLOOKUP(D534,'Species Codes'!B:J,9,0)*(LN((E534*2.54)))),IF(OR(D534="PY",D534="RC",D534="WH",D534="NF")=TRUE,VLOOKUP(D534,'Species Codes'!B:I,8,0)+VLOOKUP(D534,'Species Codes'!B:J,9,0)*((E534*2.54)^2)*(I534*0.3048),IF(OR(D534="MD",D534="BM",D534="GA")=TRUE,((VLOOKUP(D534,'Species Codes'!B:I,8,0)*(((((E534*2.54)+VLOOKUP(D534,'Species Codes'!B:J,9,0))/VLOOKUP(D534,'Species Codes'!B:K,10,0))^VLOOKUP(D534,'Species Codes'!B:L,11,0))*((I534*0.3048)^VLOOKUP(D534,'Species Codes'!B:M,12,0))))-(VLOOKUP(D534,'Species Codes'!B:I,8,0)*((((E534*2.54)^VLOOKUP(D534,'Species Codes'!B:L,11,0))*((I534*0.3048)^VLOOKUP(D534,'Species Codes'!B:M,12,0))))))*35.3*VLOOKUP(D534,'Species Codes'!B:G,6,0)/2.2046,VLOOKUP(D534,'Species Codes'!B:I,8,0)+VLOOKUP(D534,'Species Codes'!B:J,9,0)*(((E534*2.54)/100)^2)*(I534*0.3048)))))*0.0011023),0)</f>
        <v>#N/A</v>
      </c>
      <c r="AC534" s="104" t="e">
        <f>IF(Z534&gt;0,((IF(OR(D534="RA",D534="OA",D534="OT",D534="UN",D534="PC"),EXP(VLOOKUP(D534,'Species Codes'!B:O,14,0)+VLOOKUP(D534,'Species Codes'!B:P,15,0)*LN((E534*2.54)))-EXP(VLOOKUP(D534,'Species Codes'!B:O,14,0)+VLOOKUP(D534,'Species Codes'!B:P,15,0)*LN((E534*2.54)))*(1/(VLOOKUP(D534,'Species Codes'!B:Q,16,0)+VLOOKUP(D534,'Species Codes'!B:R,17,0)*((E534*2.54)^VLOOKUP(D534,'Species Codes'!B:S,18,0)))),IF(OR(D534="BM",D534="MD",D534="OA"),EXP(VLOOKUP(D534,'Species Codes'!B:O,14,0)+VLOOKUP(D534,'Species Codes'!B:P,15,0)*LN((E534*2.54)))*(1-(1/(VLOOKUP(D534,'Species Codes'!B:Q,16,0)+VLOOKUP(D534,'Species Codes'!B:R,17,0)*((E534*2.54)^VLOOKUP(D534,'Species Codes'!B:S,18,0)))))/1000,IF(D534="DF",EXP(VLOOKUP(D534,'Species Codes'!B:O,14,0)+VLOOKUP(D534,'Species Codes'!B:P,15,0)*LN((E534*2.54))),VLOOKUP(D534,'Species Codes'!B:O,14,0)+VLOOKUP(D534,'Species Codes'!B:P,15,0)*(((E534*2.54)/100)^2)*(I534*0.3048)))))*0.0011023),0)</f>
        <v>#N/A</v>
      </c>
      <c r="AD534" s="104" t="e">
        <f t="shared" si="247"/>
        <v>#N/A</v>
      </c>
      <c r="AE534" s="104" t="e">
        <f t="shared" si="248"/>
        <v>#N/A</v>
      </c>
      <c r="AF534" s="104" t="e">
        <f>IF(AND(VLOOKUP($D534,Merchantability!$B:$C,2,0)="Yes",$E534&gt;=VLOOKUP($D534,Merchantability!$B:$D,3,0),$E534&lt;=VLOOKUP($D534,Merchantability!$B:$E,4,0)),AA534,0)</f>
        <v>#N/A</v>
      </c>
      <c r="AG534" s="104" t="e">
        <f>IF(AND(VLOOKUP($D534,Merchantability!$B:$C,2,0)="Yes",$E534&gt;=VLOOKUP($D534,Merchantability!$B:$D,3,0),$E534&lt;=VLOOKUP($D534,Merchantability!$B:$E,4,0)),AB534,0)</f>
        <v>#N/A</v>
      </c>
      <c r="AH534" s="104" t="e">
        <f>IF(AND(VLOOKUP($D534,Merchantability!$B:$C,2,0)="Yes",$E534&gt;=VLOOKUP($D534,Merchantability!$B:$D,3,0),$E534&lt;=VLOOKUP($D534,Merchantability!$B:$E,4,0)),AC534,0)</f>
        <v>#N/A</v>
      </c>
      <c r="AI534" s="104" t="e">
        <f t="shared" si="249"/>
        <v>#N/A</v>
      </c>
      <c r="AJ534" s="104" t="e">
        <f t="shared" si="250"/>
        <v>#VALUE!</v>
      </c>
      <c r="AK534" s="104" t="e">
        <f t="shared" si="251"/>
        <v>#N/A</v>
      </c>
      <c r="AL534" s="104" t="e">
        <f t="shared" si="252"/>
        <v>#N/A</v>
      </c>
      <c r="AM534" s="104" t="e">
        <f t="shared" si="253"/>
        <v>#N/A</v>
      </c>
      <c r="AN534" s="104" t="e">
        <f t="shared" si="264"/>
        <v>#N/A</v>
      </c>
      <c r="AO534" s="104" t="e">
        <f t="shared" si="265"/>
        <v>#N/A</v>
      </c>
      <c r="AP534" s="104" t="e">
        <f t="shared" si="266"/>
        <v>#N/A</v>
      </c>
      <c r="AQ534" s="104" t="e">
        <f t="shared" si="267"/>
        <v>#N/A</v>
      </c>
      <c r="AR534" s="105" t="str">
        <f t="shared" si="259"/>
        <v/>
      </c>
      <c r="AS534" s="105" t="str">
        <f t="shared" si="260"/>
        <v/>
      </c>
      <c r="AT534" s="108" t="str">
        <f t="shared" si="261"/>
        <v/>
      </c>
      <c r="AU534" s="108" t="str">
        <f t="shared" si="262"/>
        <v/>
      </c>
      <c r="AV534" s="107" t="str">
        <f>IF(ISNUMBER(O534),IF(VLOOKUP($A534,Stand!C:J,8,FALSE)="Short",AT534,AU534),"")</f>
        <v/>
      </c>
      <c r="AW534" s="109" t="str">
        <f t="shared" si="268"/>
        <v/>
      </c>
      <c r="AX534" s="109" t="str">
        <f t="shared" si="269"/>
        <v/>
      </c>
      <c r="AY534" s="112" t="str">
        <f>IF(ISNUMBER(O534),IF(AND(VLOOKUP($D534,Merchantability!$B:$C,2,0)="Yes",$E534&gt;=VLOOKUP($D534,Merchantability!$B:$D,3,0),$E534&lt;=VLOOKUP($D534,Merchantability!$B:$E,4,0)),(AV534*O534)*(1-$H534/100),""),"")</f>
        <v/>
      </c>
      <c r="AZ534" s="116"/>
      <c r="BA534" s="116"/>
      <c r="BB534" s="116"/>
      <c r="BE534" s="62"/>
      <c r="BF534" s="63"/>
    </row>
    <row r="535" spans="1:58" ht="12.75" customHeight="1" x14ac:dyDescent="0.25">
      <c r="A535" s="313"/>
      <c r="B535" s="328"/>
      <c r="C535" s="329"/>
      <c r="D535" s="328"/>
      <c r="E535" s="330"/>
      <c r="F535" s="328"/>
      <c r="G535" s="329"/>
      <c r="H535" s="329"/>
      <c r="I535" s="328"/>
      <c r="J535" s="383"/>
      <c r="K535" s="329"/>
      <c r="L535" s="329"/>
      <c r="M535" s="78"/>
      <c r="N535" s="103" t="str">
        <f>IF(A535="","",VLOOKUP(A535,Stand!C:K,9,0))</f>
        <v/>
      </c>
      <c r="O535" s="104" t="str">
        <f t="shared" si="254"/>
        <v/>
      </c>
      <c r="P535" s="105" t="str">
        <f t="shared" si="255"/>
        <v/>
      </c>
      <c r="Q535" s="105" t="str">
        <f t="shared" si="243"/>
        <v/>
      </c>
      <c r="R535" s="103" t="str">
        <f t="shared" si="256"/>
        <v/>
      </c>
      <c r="S535" s="103" t="str">
        <f t="shared" si="257"/>
        <v/>
      </c>
      <c r="T535" s="106" t="str">
        <f t="shared" si="244"/>
        <v/>
      </c>
      <c r="U535" s="106" t="str">
        <f t="shared" si="245"/>
        <v/>
      </c>
      <c r="V535" s="106" t="str">
        <f t="shared" si="246"/>
        <v/>
      </c>
      <c r="W535" s="105" t="str">
        <f t="shared" si="258"/>
        <v/>
      </c>
      <c r="X535" s="104" t="str">
        <f t="shared" si="263"/>
        <v/>
      </c>
      <c r="Y535" s="104" t="str">
        <f t="array" ref="Y535">IFERROR(IF(ISNUMBER(O535),IF(COUNT(IF(A535=$A$2:$A$2427,IF(D535=$D$2:$D$2427,IF($X$2:$X$2427&gt;0,1))))&gt;0,SUM(IF(A535=$A$2:$A$2427,IF(D535=$D$2:$D$2427,$X$2:$X$2427)))/COUNT(IF(A535=$A$2:$A$2427,IF(D535=$D$2:$D$2427,IF(ISNUMBER($X$2:$X$2427),1)))),0),""),0)</f>
        <v/>
      </c>
      <c r="Z535" s="104" t="str">
        <f>IF(ISNUMBER(O535),IF(I535&gt;0,(10^(VLOOKUP(D535,'Species Codes'!B:C,2,0)+VLOOKUP(D535,'Species Codes'!B:D,3,0)*LOG(E535)+VLOOKUP(D535,'Species Codes'!B:E,4,0)*LOG(I535))),0),"")</f>
        <v/>
      </c>
      <c r="AA535" s="104" t="str">
        <f>IFERROR((VLOOKUP(D535,'Species Codes'!B:G,6,0)*Z535)/2000,"")</f>
        <v/>
      </c>
      <c r="AB535" s="104" t="e">
        <f>IF(Z535&gt;0,((IF(OR(D535="DF",D535="RA")=TRUE,EXP(VLOOKUP(D535,'Species Codes'!B:I,8,0)+VLOOKUP(D535,'Species Codes'!B:J,9,0)*(LN((E535*2.54)))),IF(OR(D535="PY",D535="RC",D535="WH",D535="NF")=TRUE,VLOOKUP(D535,'Species Codes'!B:I,8,0)+VLOOKUP(D535,'Species Codes'!B:J,9,0)*((E535*2.54)^2)*(I535*0.3048),IF(OR(D535="MD",D535="BM",D535="GA")=TRUE,((VLOOKUP(D535,'Species Codes'!B:I,8,0)*(((((E535*2.54)+VLOOKUP(D535,'Species Codes'!B:J,9,0))/VLOOKUP(D535,'Species Codes'!B:K,10,0))^VLOOKUP(D535,'Species Codes'!B:L,11,0))*((I535*0.3048)^VLOOKUP(D535,'Species Codes'!B:M,12,0))))-(VLOOKUP(D535,'Species Codes'!B:I,8,0)*((((E535*2.54)^VLOOKUP(D535,'Species Codes'!B:L,11,0))*((I535*0.3048)^VLOOKUP(D535,'Species Codes'!B:M,12,0))))))*35.3*VLOOKUP(D535,'Species Codes'!B:G,6,0)/2.2046,VLOOKUP(D535,'Species Codes'!B:I,8,0)+VLOOKUP(D535,'Species Codes'!B:J,9,0)*(((E535*2.54)/100)^2)*(I535*0.3048)))))*0.0011023),0)</f>
        <v>#N/A</v>
      </c>
      <c r="AC535" s="104" t="e">
        <f>IF(Z535&gt;0,((IF(OR(D535="RA",D535="OA",D535="OT",D535="UN",D535="PC"),EXP(VLOOKUP(D535,'Species Codes'!B:O,14,0)+VLOOKUP(D535,'Species Codes'!B:P,15,0)*LN((E535*2.54)))-EXP(VLOOKUP(D535,'Species Codes'!B:O,14,0)+VLOOKUP(D535,'Species Codes'!B:P,15,0)*LN((E535*2.54)))*(1/(VLOOKUP(D535,'Species Codes'!B:Q,16,0)+VLOOKUP(D535,'Species Codes'!B:R,17,0)*((E535*2.54)^VLOOKUP(D535,'Species Codes'!B:S,18,0)))),IF(OR(D535="BM",D535="MD",D535="OA"),EXP(VLOOKUP(D535,'Species Codes'!B:O,14,0)+VLOOKUP(D535,'Species Codes'!B:P,15,0)*LN((E535*2.54)))*(1-(1/(VLOOKUP(D535,'Species Codes'!B:Q,16,0)+VLOOKUP(D535,'Species Codes'!B:R,17,0)*((E535*2.54)^VLOOKUP(D535,'Species Codes'!B:S,18,0)))))/1000,IF(D535="DF",EXP(VLOOKUP(D535,'Species Codes'!B:O,14,0)+VLOOKUP(D535,'Species Codes'!B:P,15,0)*LN((E535*2.54))),VLOOKUP(D535,'Species Codes'!B:O,14,0)+VLOOKUP(D535,'Species Codes'!B:P,15,0)*(((E535*2.54)/100)^2)*(I535*0.3048)))))*0.0011023),0)</f>
        <v>#N/A</v>
      </c>
      <c r="AD535" s="104" t="e">
        <f t="shared" si="247"/>
        <v>#N/A</v>
      </c>
      <c r="AE535" s="104" t="e">
        <f t="shared" si="248"/>
        <v>#N/A</v>
      </c>
      <c r="AF535" s="104" t="e">
        <f>IF(AND(VLOOKUP($D535,Merchantability!$B:$C,2,0)="Yes",$E535&gt;=VLOOKUP($D535,Merchantability!$B:$D,3,0),$E535&lt;=VLOOKUP($D535,Merchantability!$B:$E,4,0)),AA535,0)</f>
        <v>#N/A</v>
      </c>
      <c r="AG535" s="104" t="e">
        <f>IF(AND(VLOOKUP($D535,Merchantability!$B:$C,2,0)="Yes",$E535&gt;=VLOOKUP($D535,Merchantability!$B:$D,3,0),$E535&lt;=VLOOKUP($D535,Merchantability!$B:$E,4,0)),AB535,0)</f>
        <v>#N/A</v>
      </c>
      <c r="AH535" s="104" t="e">
        <f>IF(AND(VLOOKUP($D535,Merchantability!$B:$C,2,0)="Yes",$E535&gt;=VLOOKUP($D535,Merchantability!$B:$D,3,0),$E535&lt;=VLOOKUP($D535,Merchantability!$B:$E,4,0)),AC535,0)</f>
        <v>#N/A</v>
      </c>
      <c r="AI535" s="104" t="e">
        <f t="shared" si="249"/>
        <v>#N/A</v>
      </c>
      <c r="AJ535" s="104" t="e">
        <f t="shared" si="250"/>
        <v>#VALUE!</v>
      </c>
      <c r="AK535" s="104" t="e">
        <f t="shared" si="251"/>
        <v>#N/A</v>
      </c>
      <c r="AL535" s="104" t="e">
        <f t="shared" si="252"/>
        <v>#N/A</v>
      </c>
      <c r="AM535" s="104" t="e">
        <f t="shared" si="253"/>
        <v>#N/A</v>
      </c>
      <c r="AN535" s="104" t="e">
        <f t="shared" si="264"/>
        <v>#N/A</v>
      </c>
      <c r="AO535" s="104" t="e">
        <f t="shared" si="265"/>
        <v>#N/A</v>
      </c>
      <c r="AP535" s="104" t="e">
        <f t="shared" si="266"/>
        <v>#N/A</v>
      </c>
      <c r="AQ535" s="104" t="e">
        <f t="shared" si="267"/>
        <v>#N/A</v>
      </c>
      <c r="AR535" s="105" t="str">
        <f t="shared" si="259"/>
        <v/>
      </c>
      <c r="AS535" s="105" t="str">
        <f t="shared" si="260"/>
        <v/>
      </c>
      <c r="AT535" s="108" t="str">
        <f t="shared" si="261"/>
        <v/>
      </c>
      <c r="AU535" s="108" t="str">
        <f t="shared" si="262"/>
        <v/>
      </c>
      <c r="AV535" s="107" t="str">
        <f>IF(ISNUMBER(O535),IF(VLOOKUP($A535,Stand!C:J,8,FALSE)="Short",AT535,AU535),"")</f>
        <v/>
      </c>
      <c r="AW535" s="109" t="str">
        <f t="shared" si="268"/>
        <v/>
      </c>
      <c r="AX535" s="109" t="str">
        <f t="shared" si="269"/>
        <v/>
      </c>
      <c r="AY535" s="112" t="str">
        <f>IF(ISNUMBER(O535),IF(AND(VLOOKUP($D535,Merchantability!$B:$C,2,0)="Yes",$E535&gt;=VLOOKUP($D535,Merchantability!$B:$D,3,0),$E535&lt;=VLOOKUP($D535,Merchantability!$B:$E,4,0)),(AV535*O535)*(1-$H535/100),""),"")</f>
        <v/>
      </c>
      <c r="AZ535" s="116"/>
      <c r="BA535" s="116"/>
      <c r="BB535" s="116"/>
      <c r="BE535" s="62"/>
      <c r="BF535" s="63"/>
    </row>
    <row r="536" spans="1:58" ht="12.75" customHeight="1" x14ac:dyDescent="0.25">
      <c r="A536" s="313"/>
      <c r="B536" s="328"/>
      <c r="C536" s="329"/>
      <c r="D536" s="328"/>
      <c r="E536" s="330"/>
      <c r="F536" s="328"/>
      <c r="G536" s="329"/>
      <c r="H536" s="329"/>
      <c r="I536" s="328"/>
      <c r="J536" s="383"/>
      <c r="K536" s="329"/>
      <c r="L536" s="329"/>
      <c r="M536" s="78"/>
      <c r="N536" s="103" t="str">
        <f>IF(A536="","",VLOOKUP(A536,Stand!C:K,9,0))</f>
        <v/>
      </c>
      <c r="O536" s="104" t="str">
        <f t="shared" si="254"/>
        <v/>
      </c>
      <c r="P536" s="105" t="str">
        <f t="shared" si="255"/>
        <v/>
      </c>
      <c r="Q536" s="105" t="str">
        <f t="shared" si="243"/>
        <v/>
      </c>
      <c r="R536" s="103" t="str">
        <f t="shared" si="256"/>
        <v/>
      </c>
      <c r="S536" s="103" t="str">
        <f t="shared" si="257"/>
        <v/>
      </c>
      <c r="T536" s="106" t="str">
        <f t="shared" si="244"/>
        <v/>
      </c>
      <c r="U536" s="106" t="str">
        <f t="shared" si="245"/>
        <v/>
      </c>
      <c r="V536" s="106" t="str">
        <f t="shared" si="246"/>
        <v/>
      </c>
      <c r="W536" s="105" t="str">
        <f t="shared" si="258"/>
        <v/>
      </c>
      <c r="X536" s="104" t="str">
        <f t="shared" si="263"/>
        <v/>
      </c>
      <c r="Y536" s="104" t="str">
        <f t="array" ref="Y536">IFERROR(IF(ISNUMBER(O536),IF(COUNT(IF(A536=$A$2:$A$2427,IF(D536=$D$2:$D$2427,IF($X$2:$X$2427&gt;0,1))))&gt;0,SUM(IF(A536=$A$2:$A$2427,IF(D536=$D$2:$D$2427,$X$2:$X$2427)))/COUNT(IF(A536=$A$2:$A$2427,IF(D536=$D$2:$D$2427,IF(ISNUMBER($X$2:$X$2427),1)))),0),""),0)</f>
        <v/>
      </c>
      <c r="Z536" s="104" t="str">
        <f>IF(ISNUMBER(O536),IF(I536&gt;0,(10^(VLOOKUP(D536,'Species Codes'!B:C,2,0)+VLOOKUP(D536,'Species Codes'!B:D,3,0)*LOG(E536)+VLOOKUP(D536,'Species Codes'!B:E,4,0)*LOG(I536))),0),"")</f>
        <v/>
      </c>
      <c r="AA536" s="104" t="str">
        <f>IFERROR((VLOOKUP(D536,'Species Codes'!B:G,6,0)*Z536)/2000,"")</f>
        <v/>
      </c>
      <c r="AB536" s="104" t="e">
        <f>IF(Z536&gt;0,((IF(OR(D536="DF",D536="RA")=TRUE,EXP(VLOOKUP(D536,'Species Codes'!B:I,8,0)+VLOOKUP(D536,'Species Codes'!B:J,9,0)*(LN((E536*2.54)))),IF(OR(D536="PY",D536="RC",D536="WH",D536="NF")=TRUE,VLOOKUP(D536,'Species Codes'!B:I,8,0)+VLOOKUP(D536,'Species Codes'!B:J,9,0)*((E536*2.54)^2)*(I536*0.3048),IF(OR(D536="MD",D536="BM",D536="GA")=TRUE,((VLOOKUP(D536,'Species Codes'!B:I,8,0)*(((((E536*2.54)+VLOOKUP(D536,'Species Codes'!B:J,9,0))/VLOOKUP(D536,'Species Codes'!B:K,10,0))^VLOOKUP(D536,'Species Codes'!B:L,11,0))*((I536*0.3048)^VLOOKUP(D536,'Species Codes'!B:M,12,0))))-(VLOOKUP(D536,'Species Codes'!B:I,8,0)*((((E536*2.54)^VLOOKUP(D536,'Species Codes'!B:L,11,0))*((I536*0.3048)^VLOOKUP(D536,'Species Codes'!B:M,12,0))))))*35.3*VLOOKUP(D536,'Species Codes'!B:G,6,0)/2.2046,VLOOKUP(D536,'Species Codes'!B:I,8,0)+VLOOKUP(D536,'Species Codes'!B:J,9,0)*(((E536*2.54)/100)^2)*(I536*0.3048)))))*0.0011023),0)</f>
        <v>#N/A</v>
      </c>
      <c r="AC536" s="104" t="e">
        <f>IF(Z536&gt;0,((IF(OR(D536="RA",D536="OA",D536="OT",D536="UN",D536="PC"),EXP(VLOOKUP(D536,'Species Codes'!B:O,14,0)+VLOOKUP(D536,'Species Codes'!B:P,15,0)*LN((E536*2.54)))-EXP(VLOOKUP(D536,'Species Codes'!B:O,14,0)+VLOOKUP(D536,'Species Codes'!B:P,15,0)*LN((E536*2.54)))*(1/(VLOOKUP(D536,'Species Codes'!B:Q,16,0)+VLOOKUP(D536,'Species Codes'!B:R,17,0)*((E536*2.54)^VLOOKUP(D536,'Species Codes'!B:S,18,0)))),IF(OR(D536="BM",D536="MD",D536="OA"),EXP(VLOOKUP(D536,'Species Codes'!B:O,14,0)+VLOOKUP(D536,'Species Codes'!B:P,15,0)*LN((E536*2.54)))*(1-(1/(VLOOKUP(D536,'Species Codes'!B:Q,16,0)+VLOOKUP(D536,'Species Codes'!B:R,17,0)*((E536*2.54)^VLOOKUP(D536,'Species Codes'!B:S,18,0)))))/1000,IF(D536="DF",EXP(VLOOKUP(D536,'Species Codes'!B:O,14,0)+VLOOKUP(D536,'Species Codes'!B:P,15,0)*LN((E536*2.54))),VLOOKUP(D536,'Species Codes'!B:O,14,0)+VLOOKUP(D536,'Species Codes'!B:P,15,0)*(((E536*2.54)/100)^2)*(I536*0.3048)))))*0.0011023),0)</f>
        <v>#N/A</v>
      </c>
      <c r="AD536" s="104" t="e">
        <f t="shared" si="247"/>
        <v>#N/A</v>
      </c>
      <c r="AE536" s="104" t="e">
        <f t="shared" si="248"/>
        <v>#N/A</v>
      </c>
      <c r="AF536" s="104" t="e">
        <f>IF(AND(VLOOKUP($D536,Merchantability!$B:$C,2,0)="Yes",$E536&gt;=VLOOKUP($D536,Merchantability!$B:$D,3,0),$E536&lt;=VLOOKUP($D536,Merchantability!$B:$E,4,0)),AA536,0)</f>
        <v>#N/A</v>
      </c>
      <c r="AG536" s="104" t="e">
        <f>IF(AND(VLOOKUP($D536,Merchantability!$B:$C,2,0)="Yes",$E536&gt;=VLOOKUP($D536,Merchantability!$B:$D,3,0),$E536&lt;=VLOOKUP($D536,Merchantability!$B:$E,4,0)),AB536,0)</f>
        <v>#N/A</v>
      </c>
      <c r="AH536" s="104" t="e">
        <f>IF(AND(VLOOKUP($D536,Merchantability!$B:$C,2,0)="Yes",$E536&gt;=VLOOKUP($D536,Merchantability!$B:$D,3,0),$E536&lt;=VLOOKUP($D536,Merchantability!$B:$E,4,0)),AC536,0)</f>
        <v>#N/A</v>
      </c>
      <c r="AI536" s="104" t="e">
        <f t="shared" si="249"/>
        <v>#N/A</v>
      </c>
      <c r="AJ536" s="104" t="e">
        <f t="shared" si="250"/>
        <v>#VALUE!</v>
      </c>
      <c r="AK536" s="104" t="e">
        <f t="shared" si="251"/>
        <v>#N/A</v>
      </c>
      <c r="AL536" s="104" t="e">
        <f t="shared" si="252"/>
        <v>#N/A</v>
      </c>
      <c r="AM536" s="104" t="e">
        <f t="shared" si="253"/>
        <v>#N/A</v>
      </c>
      <c r="AN536" s="104" t="e">
        <f t="shared" si="264"/>
        <v>#N/A</v>
      </c>
      <c r="AO536" s="104" t="e">
        <f t="shared" si="265"/>
        <v>#N/A</v>
      </c>
      <c r="AP536" s="104" t="e">
        <f t="shared" si="266"/>
        <v>#N/A</v>
      </c>
      <c r="AQ536" s="104" t="e">
        <f t="shared" si="267"/>
        <v>#N/A</v>
      </c>
      <c r="AR536" s="105" t="str">
        <f t="shared" si="259"/>
        <v/>
      </c>
      <c r="AS536" s="105" t="str">
        <f t="shared" si="260"/>
        <v/>
      </c>
      <c r="AT536" s="108" t="str">
        <f t="shared" si="261"/>
        <v/>
      </c>
      <c r="AU536" s="108" t="str">
        <f t="shared" si="262"/>
        <v/>
      </c>
      <c r="AV536" s="107" t="str">
        <f>IF(ISNUMBER(O536),IF(VLOOKUP($A536,Stand!C:J,8,FALSE)="Short",AT536,AU536),"")</f>
        <v/>
      </c>
      <c r="AW536" s="109" t="str">
        <f t="shared" si="268"/>
        <v/>
      </c>
      <c r="AX536" s="109" t="str">
        <f t="shared" si="269"/>
        <v/>
      </c>
      <c r="AY536" s="112" t="str">
        <f>IF(ISNUMBER(O536),IF(AND(VLOOKUP($D536,Merchantability!$B:$C,2,0)="Yes",$E536&gt;=VLOOKUP($D536,Merchantability!$B:$D,3,0),$E536&lt;=VLOOKUP($D536,Merchantability!$B:$E,4,0)),(AV536*O536)*(1-$H536/100),""),"")</f>
        <v/>
      </c>
      <c r="AZ536" s="116"/>
      <c r="BA536" s="116"/>
      <c r="BB536" s="116"/>
      <c r="BE536" s="62"/>
      <c r="BF536" s="63"/>
    </row>
    <row r="537" spans="1:58" ht="12.75" customHeight="1" x14ac:dyDescent="0.25">
      <c r="A537" s="313"/>
      <c r="B537" s="328"/>
      <c r="C537" s="329"/>
      <c r="D537" s="328"/>
      <c r="E537" s="330"/>
      <c r="F537" s="328"/>
      <c r="G537" s="329"/>
      <c r="H537" s="329"/>
      <c r="I537" s="328"/>
      <c r="J537" s="383"/>
      <c r="K537" s="329"/>
      <c r="L537" s="329"/>
      <c r="M537" s="78"/>
      <c r="N537" s="103" t="str">
        <f>IF(A537="","",VLOOKUP(A537,Stand!C:K,9,0))</f>
        <v/>
      </c>
      <c r="O537" s="104" t="str">
        <f t="shared" si="254"/>
        <v/>
      </c>
      <c r="P537" s="105" t="str">
        <f t="shared" si="255"/>
        <v/>
      </c>
      <c r="Q537" s="105" t="str">
        <f t="shared" si="243"/>
        <v/>
      </c>
      <c r="R537" s="103" t="str">
        <f t="shared" si="256"/>
        <v/>
      </c>
      <c r="S537" s="103" t="str">
        <f t="shared" si="257"/>
        <v/>
      </c>
      <c r="T537" s="106" t="str">
        <f t="shared" si="244"/>
        <v/>
      </c>
      <c r="U537" s="106" t="str">
        <f t="shared" si="245"/>
        <v/>
      </c>
      <c r="V537" s="106" t="str">
        <f t="shared" si="246"/>
        <v/>
      </c>
      <c r="W537" s="105" t="str">
        <f t="shared" si="258"/>
        <v/>
      </c>
      <c r="X537" s="104" t="str">
        <f t="shared" si="263"/>
        <v/>
      </c>
      <c r="Y537" s="104" t="str">
        <f t="array" ref="Y537">IFERROR(IF(ISNUMBER(O537),IF(COUNT(IF(A537=$A$2:$A$2427,IF(D537=$D$2:$D$2427,IF($X$2:$X$2427&gt;0,1))))&gt;0,SUM(IF(A537=$A$2:$A$2427,IF(D537=$D$2:$D$2427,$X$2:$X$2427)))/COUNT(IF(A537=$A$2:$A$2427,IF(D537=$D$2:$D$2427,IF(ISNUMBER($X$2:$X$2427),1)))),0),""),0)</f>
        <v/>
      </c>
      <c r="Z537" s="104" t="str">
        <f>IF(ISNUMBER(O537),IF(I537&gt;0,(10^(VLOOKUP(D537,'Species Codes'!B:C,2,0)+VLOOKUP(D537,'Species Codes'!B:D,3,0)*LOG(E537)+VLOOKUP(D537,'Species Codes'!B:E,4,0)*LOG(I537))),0),"")</f>
        <v/>
      </c>
      <c r="AA537" s="104" t="str">
        <f>IFERROR((VLOOKUP(D537,'Species Codes'!B:G,6,0)*Z537)/2000,"")</f>
        <v/>
      </c>
      <c r="AB537" s="104" t="e">
        <f>IF(Z537&gt;0,((IF(OR(D537="DF",D537="RA")=TRUE,EXP(VLOOKUP(D537,'Species Codes'!B:I,8,0)+VLOOKUP(D537,'Species Codes'!B:J,9,0)*(LN((E537*2.54)))),IF(OR(D537="PY",D537="RC",D537="WH",D537="NF")=TRUE,VLOOKUP(D537,'Species Codes'!B:I,8,0)+VLOOKUP(D537,'Species Codes'!B:J,9,0)*((E537*2.54)^2)*(I537*0.3048),IF(OR(D537="MD",D537="BM",D537="GA")=TRUE,((VLOOKUP(D537,'Species Codes'!B:I,8,0)*(((((E537*2.54)+VLOOKUP(D537,'Species Codes'!B:J,9,0))/VLOOKUP(D537,'Species Codes'!B:K,10,0))^VLOOKUP(D537,'Species Codes'!B:L,11,0))*((I537*0.3048)^VLOOKUP(D537,'Species Codes'!B:M,12,0))))-(VLOOKUP(D537,'Species Codes'!B:I,8,0)*((((E537*2.54)^VLOOKUP(D537,'Species Codes'!B:L,11,0))*((I537*0.3048)^VLOOKUP(D537,'Species Codes'!B:M,12,0))))))*35.3*VLOOKUP(D537,'Species Codes'!B:G,6,0)/2.2046,VLOOKUP(D537,'Species Codes'!B:I,8,0)+VLOOKUP(D537,'Species Codes'!B:J,9,0)*(((E537*2.54)/100)^2)*(I537*0.3048)))))*0.0011023),0)</f>
        <v>#N/A</v>
      </c>
      <c r="AC537" s="104" t="e">
        <f>IF(Z537&gt;0,((IF(OR(D537="RA",D537="OA",D537="OT",D537="UN",D537="PC"),EXP(VLOOKUP(D537,'Species Codes'!B:O,14,0)+VLOOKUP(D537,'Species Codes'!B:P,15,0)*LN((E537*2.54)))-EXP(VLOOKUP(D537,'Species Codes'!B:O,14,0)+VLOOKUP(D537,'Species Codes'!B:P,15,0)*LN((E537*2.54)))*(1/(VLOOKUP(D537,'Species Codes'!B:Q,16,0)+VLOOKUP(D537,'Species Codes'!B:R,17,0)*((E537*2.54)^VLOOKUP(D537,'Species Codes'!B:S,18,0)))),IF(OR(D537="BM",D537="MD",D537="OA"),EXP(VLOOKUP(D537,'Species Codes'!B:O,14,0)+VLOOKUP(D537,'Species Codes'!B:P,15,0)*LN((E537*2.54)))*(1-(1/(VLOOKUP(D537,'Species Codes'!B:Q,16,0)+VLOOKUP(D537,'Species Codes'!B:R,17,0)*((E537*2.54)^VLOOKUP(D537,'Species Codes'!B:S,18,0)))))/1000,IF(D537="DF",EXP(VLOOKUP(D537,'Species Codes'!B:O,14,0)+VLOOKUP(D537,'Species Codes'!B:P,15,0)*LN((E537*2.54))),VLOOKUP(D537,'Species Codes'!B:O,14,0)+VLOOKUP(D537,'Species Codes'!B:P,15,0)*(((E537*2.54)/100)^2)*(I537*0.3048)))))*0.0011023),0)</f>
        <v>#N/A</v>
      </c>
      <c r="AD537" s="104" t="e">
        <f t="shared" si="247"/>
        <v>#N/A</v>
      </c>
      <c r="AE537" s="104" t="e">
        <f t="shared" si="248"/>
        <v>#N/A</v>
      </c>
      <c r="AF537" s="104" t="e">
        <f>IF(AND(VLOOKUP($D537,Merchantability!$B:$C,2,0)="Yes",$E537&gt;=VLOOKUP($D537,Merchantability!$B:$D,3,0),$E537&lt;=VLOOKUP($D537,Merchantability!$B:$E,4,0)),AA537,0)</f>
        <v>#N/A</v>
      </c>
      <c r="AG537" s="104" t="e">
        <f>IF(AND(VLOOKUP($D537,Merchantability!$B:$C,2,0)="Yes",$E537&gt;=VLOOKUP($D537,Merchantability!$B:$D,3,0),$E537&lt;=VLOOKUP($D537,Merchantability!$B:$E,4,0)),AB537,0)</f>
        <v>#N/A</v>
      </c>
      <c r="AH537" s="104" t="e">
        <f>IF(AND(VLOOKUP($D537,Merchantability!$B:$C,2,0)="Yes",$E537&gt;=VLOOKUP($D537,Merchantability!$B:$D,3,0),$E537&lt;=VLOOKUP($D537,Merchantability!$B:$E,4,0)),AC537,0)</f>
        <v>#N/A</v>
      </c>
      <c r="AI537" s="104" t="e">
        <f t="shared" si="249"/>
        <v>#N/A</v>
      </c>
      <c r="AJ537" s="104" t="e">
        <f t="shared" si="250"/>
        <v>#VALUE!</v>
      </c>
      <c r="AK537" s="104" t="e">
        <f t="shared" si="251"/>
        <v>#N/A</v>
      </c>
      <c r="AL537" s="104" t="e">
        <f t="shared" si="252"/>
        <v>#N/A</v>
      </c>
      <c r="AM537" s="104" t="e">
        <f t="shared" si="253"/>
        <v>#N/A</v>
      </c>
      <c r="AN537" s="104" t="e">
        <f t="shared" si="264"/>
        <v>#N/A</v>
      </c>
      <c r="AO537" s="104" t="e">
        <f t="shared" si="265"/>
        <v>#N/A</v>
      </c>
      <c r="AP537" s="104" t="e">
        <f t="shared" si="266"/>
        <v>#N/A</v>
      </c>
      <c r="AQ537" s="104" t="e">
        <f t="shared" si="267"/>
        <v>#N/A</v>
      </c>
      <c r="AR537" s="105" t="str">
        <f t="shared" si="259"/>
        <v/>
      </c>
      <c r="AS537" s="105" t="str">
        <f t="shared" si="260"/>
        <v/>
      </c>
      <c r="AT537" s="108" t="str">
        <f t="shared" si="261"/>
        <v/>
      </c>
      <c r="AU537" s="108" t="str">
        <f t="shared" si="262"/>
        <v/>
      </c>
      <c r="AV537" s="107" t="str">
        <f>IF(ISNUMBER(O537),IF(VLOOKUP($A537,Stand!C:J,8,FALSE)="Short",AT537,AU537),"")</f>
        <v/>
      </c>
      <c r="AW537" s="109" t="str">
        <f t="shared" si="268"/>
        <v/>
      </c>
      <c r="AX537" s="109" t="str">
        <f t="shared" si="269"/>
        <v/>
      </c>
      <c r="AY537" s="112" t="str">
        <f>IF(ISNUMBER(O537),IF(AND(VLOOKUP($D537,Merchantability!$B:$C,2,0)="Yes",$E537&gt;=VLOOKUP($D537,Merchantability!$B:$D,3,0),$E537&lt;=VLOOKUP($D537,Merchantability!$B:$E,4,0)),(AV537*O537)*(1-$H537/100),""),"")</f>
        <v/>
      </c>
      <c r="AZ537" s="116"/>
      <c r="BA537" s="116"/>
      <c r="BB537" s="116"/>
      <c r="BE537" s="62"/>
      <c r="BF537" s="63"/>
    </row>
    <row r="538" spans="1:58" ht="12.75" customHeight="1" x14ac:dyDescent="0.25">
      <c r="A538" s="313"/>
      <c r="B538" s="328"/>
      <c r="C538" s="329"/>
      <c r="D538" s="328"/>
      <c r="E538" s="330"/>
      <c r="F538" s="328"/>
      <c r="G538" s="329"/>
      <c r="H538" s="329"/>
      <c r="I538" s="328"/>
      <c r="J538" s="383"/>
      <c r="K538" s="329"/>
      <c r="L538" s="329"/>
      <c r="M538" s="78"/>
      <c r="N538" s="103" t="str">
        <f>IF(A538="","",VLOOKUP(A538,Stand!C:K,9,0))</f>
        <v/>
      </c>
      <c r="O538" s="104" t="str">
        <f t="shared" si="254"/>
        <v/>
      </c>
      <c r="P538" s="105" t="str">
        <f t="shared" si="255"/>
        <v/>
      </c>
      <c r="Q538" s="105" t="str">
        <f t="shared" si="243"/>
        <v/>
      </c>
      <c r="R538" s="103" t="str">
        <f t="shared" si="256"/>
        <v/>
      </c>
      <c r="S538" s="103" t="str">
        <f t="shared" si="257"/>
        <v/>
      </c>
      <c r="T538" s="106" t="str">
        <f t="shared" si="244"/>
        <v/>
      </c>
      <c r="U538" s="106" t="str">
        <f t="shared" si="245"/>
        <v/>
      </c>
      <c r="V538" s="106" t="str">
        <f t="shared" si="246"/>
        <v/>
      </c>
      <c r="W538" s="105" t="str">
        <f t="shared" si="258"/>
        <v/>
      </c>
      <c r="X538" s="104" t="str">
        <f t="shared" si="263"/>
        <v/>
      </c>
      <c r="Y538" s="104" t="str">
        <f t="array" ref="Y538">IFERROR(IF(ISNUMBER(O538),IF(COUNT(IF(A538=$A$2:$A$2427,IF(D538=$D$2:$D$2427,IF($X$2:$X$2427&gt;0,1))))&gt;0,SUM(IF(A538=$A$2:$A$2427,IF(D538=$D$2:$D$2427,$X$2:$X$2427)))/COUNT(IF(A538=$A$2:$A$2427,IF(D538=$D$2:$D$2427,IF(ISNUMBER($X$2:$X$2427),1)))),0),""),0)</f>
        <v/>
      </c>
      <c r="Z538" s="104" t="str">
        <f>IF(ISNUMBER(O538),IF(I538&gt;0,(10^(VLOOKUP(D538,'Species Codes'!B:C,2,0)+VLOOKUP(D538,'Species Codes'!B:D,3,0)*LOG(E538)+VLOOKUP(D538,'Species Codes'!B:E,4,0)*LOG(I538))),0),"")</f>
        <v/>
      </c>
      <c r="AA538" s="104" t="str">
        <f>IFERROR((VLOOKUP(D538,'Species Codes'!B:G,6,0)*Z538)/2000,"")</f>
        <v/>
      </c>
      <c r="AB538" s="104" t="e">
        <f>IF(Z538&gt;0,((IF(OR(D538="DF",D538="RA")=TRUE,EXP(VLOOKUP(D538,'Species Codes'!B:I,8,0)+VLOOKUP(D538,'Species Codes'!B:J,9,0)*(LN((E538*2.54)))),IF(OR(D538="PY",D538="RC",D538="WH",D538="NF")=TRUE,VLOOKUP(D538,'Species Codes'!B:I,8,0)+VLOOKUP(D538,'Species Codes'!B:J,9,0)*((E538*2.54)^2)*(I538*0.3048),IF(OR(D538="MD",D538="BM",D538="GA")=TRUE,((VLOOKUP(D538,'Species Codes'!B:I,8,0)*(((((E538*2.54)+VLOOKUP(D538,'Species Codes'!B:J,9,0))/VLOOKUP(D538,'Species Codes'!B:K,10,0))^VLOOKUP(D538,'Species Codes'!B:L,11,0))*((I538*0.3048)^VLOOKUP(D538,'Species Codes'!B:M,12,0))))-(VLOOKUP(D538,'Species Codes'!B:I,8,0)*((((E538*2.54)^VLOOKUP(D538,'Species Codes'!B:L,11,0))*((I538*0.3048)^VLOOKUP(D538,'Species Codes'!B:M,12,0))))))*35.3*VLOOKUP(D538,'Species Codes'!B:G,6,0)/2.2046,VLOOKUP(D538,'Species Codes'!B:I,8,0)+VLOOKUP(D538,'Species Codes'!B:J,9,0)*(((E538*2.54)/100)^2)*(I538*0.3048)))))*0.0011023),0)</f>
        <v>#N/A</v>
      </c>
      <c r="AC538" s="104" t="e">
        <f>IF(Z538&gt;0,((IF(OR(D538="RA",D538="OA",D538="OT",D538="UN",D538="PC"),EXP(VLOOKUP(D538,'Species Codes'!B:O,14,0)+VLOOKUP(D538,'Species Codes'!B:P,15,0)*LN((E538*2.54)))-EXP(VLOOKUP(D538,'Species Codes'!B:O,14,0)+VLOOKUP(D538,'Species Codes'!B:P,15,0)*LN((E538*2.54)))*(1/(VLOOKUP(D538,'Species Codes'!B:Q,16,0)+VLOOKUP(D538,'Species Codes'!B:R,17,0)*((E538*2.54)^VLOOKUP(D538,'Species Codes'!B:S,18,0)))),IF(OR(D538="BM",D538="MD",D538="OA"),EXP(VLOOKUP(D538,'Species Codes'!B:O,14,0)+VLOOKUP(D538,'Species Codes'!B:P,15,0)*LN((E538*2.54)))*(1-(1/(VLOOKUP(D538,'Species Codes'!B:Q,16,0)+VLOOKUP(D538,'Species Codes'!B:R,17,0)*((E538*2.54)^VLOOKUP(D538,'Species Codes'!B:S,18,0)))))/1000,IF(D538="DF",EXP(VLOOKUP(D538,'Species Codes'!B:O,14,0)+VLOOKUP(D538,'Species Codes'!B:P,15,0)*LN((E538*2.54))),VLOOKUP(D538,'Species Codes'!B:O,14,0)+VLOOKUP(D538,'Species Codes'!B:P,15,0)*(((E538*2.54)/100)^2)*(I538*0.3048)))))*0.0011023),0)</f>
        <v>#N/A</v>
      </c>
      <c r="AD538" s="104" t="e">
        <f t="shared" si="247"/>
        <v>#N/A</v>
      </c>
      <c r="AE538" s="104" t="e">
        <f t="shared" si="248"/>
        <v>#N/A</v>
      </c>
      <c r="AF538" s="104" t="e">
        <f>IF(AND(VLOOKUP($D538,Merchantability!$B:$C,2,0)="Yes",$E538&gt;=VLOOKUP($D538,Merchantability!$B:$D,3,0),$E538&lt;=VLOOKUP($D538,Merchantability!$B:$E,4,0)),AA538,0)</f>
        <v>#N/A</v>
      </c>
      <c r="AG538" s="104" t="e">
        <f>IF(AND(VLOOKUP($D538,Merchantability!$B:$C,2,0)="Yes",$E538&gt;=VLOOKUP($D538,Merchantability!$B:$D,3,0),$E538&lt;=VLOOKUP($D538,Merchantability!$B:$E,4,0)),AB538,0)</f>
        <v>#N/A</v>
      </c>
      <c r="AH538" s="104" t="e">
        <f>IF(AND(VLOOKUP($D538,Merchantability!$B:$C,2,0)="Yes",$E538&gt;=VLOOKUP($D538,Merchantability!$B:$D,3,0),$E538&lt;=VLOOKUP($D538,Merchantability!$B:$E,4,0)),AC538,0)</f>
        <v>#N/A</v>
      </c>
      <c r="AI538" s="104" t="e">
        <f t="shared" si="249"/>
        <v>#N/A</v>
      </c>
      <c r="AJ538" s="104" t="e">
        <f t="shared" si="250"/>
        <v>#VALUE!</v>
      </c>
      <c r="AK538" s="104" t="e">
        <f t="shared" si="251"/>
        <v>#N/A</v>
      </c>
      <c r="AL538" s="104" t="e">
        <f t="shared" si="252"/>
        <v>#N/A</v>
      </c>
      <c r="AM538" s="104" t="e">
        <f t="shared" si="253"/>
        <v>#N/A</v>
      </c>
      <c r="AN538" s="104" t="e">
        <f t="shared" si="264"/>
        <v>#N/A</v>
      </c>
      <c r="AO538" s="104" t="e">
        <f t="shared" si="265"/>
        <v>#N/A</v>
      </c>
      <c r="AP538" s="104" t="e">
        <f t="shared" si="266"/>
        <v>#N/A</v>
      </c>
      <c r="AQ538" s="104" t="e">
        <f t="shared" si="267"/>
        <v>#N/A</v>
      </c>
      <c r="AR538" s="105" t="str">
        <f t="shared" si="259"/>
        <v/>
      </c>
      <c r="AS538" s="105" t="str">
        <f t="shared" si="260"/>
        <v/>
      </c>
      <c r="AT538" s="108" t="str">
        <f t="shared" si="261"/>
        <v/>
      </c>
      <c r="AU538" s="108" t="str">
        <f t="shared" si="262"/>
        <v/>
      </c>
      <c r="AV538" s="107" t="str">
        <f>IF(ISNUMBER(O538),IF(VLOOKUP($A538,Stand!C:J,8,FALSE)="Short",AT538,AU538),"")</f>
        <v/>
      </c>
      <c r="AW538" s="109" t="str">
        <f t="shared" si="268"/>
        <v/>
      </c>
      <c r="AX538" s="109" t="str">
        <f t="shared" si="269"/>
        <v/>
      </c>
      <c r="AY538" s="112" t="str">
        <f>IF(ISNUMBER(O538),IF(AND(VLOOKUP($D538,Merchantability!$B:$C,2,0)="Yes",$E538&gt;=VLOOKUP($D538,Merchantability!$B:$D,3,0),$E538&lt;=VLOOKUP($D538,Merchantability!$B:$E,4,0)),(AV538*O538)*(1-$H538/100),""),"")</f>
        <v/>
      </c>
      <c r="AZ538" s="116"/>
      <c r="BA538" s="116"/>
      <c r="BB538" s="116"/>
      <c r="BE538" s="62"/>
      <c r="BF538" s="63"/>
    </row>
    <row r="539" spans="1:58" ht="12.75" customHeight="1" x14ac:dyDescent="0.25">
      <c r="A539" s="313"/>
      <c r="B539" s="328"/>
      <c r="C539" s="329"/>
      <c r="D539" s="328"/>
      <c r="E539" s="330"/>
      <c r="F539" s="328"/>
      <c r="G539" s="329"/>
      <c r="H539" s="329"/>
      <c r="I539" s="328"/>
      <c r="J539" s="383"/>
      <c r="K539" s="329"/>
      <c r="L539" s="329"/>
      <c r="M539" s="78"/>
      <c r="N539" s="103" t="str">
        <f>IF(A539="","",VLOOKUP(A539,Stand!C:K,9,0))</f>
        <v/>
      </c>
      <c r="O539" s="104" t="str">
        <f t="shared" si="254"/>
        <v/>
      </c>
      <c r="P539" s="105" t="str">
        <f t="shared" si="255"/>
        <v/>
      </c>
      <c r="Q539" s="105" t="str">
        <f t="shared" si="243"/>
        <v/>
      </c>
      <c r="R539" s="103" t="str">
        <f t="shared" si="256"/>
        <v/>
      </c>
      <c r="S539" s="103" t="str">
        <f t="shared" si="257"/>
        <v/>
      </c>
      <c r="T539" s="106" t="str">
        <f t="shared" si="244"/>
        <v/>
      </c>
      <c r="U539" s="106" t="str">
        <f t="shared" si="245"/>
        <v/>
      </c>
      <c r="V539" s="106" t="str">
        <f t="shared" si="246"/>
        <v/>
      </c>
      <c r="W539" s="105" t="str">
        <f t="shared" si="258"/>
        <v/>
      </c>
      <c r="X539" s="104" t="str">
        <f t="shared" si="263"/>
        <v/>
      </c>
      <c r="Y539" s="104" t="str">
        <f t="array" ref="Y539">IFERROR(IF(ISNUMBER(O539),IF(COUNT(IF(A539=$A$2:$A$2427,IF(D539=$D$2:$D$2427,IF($X$2:$X$2427&gt;0,1))))&gt;0,SUM(IF(A539=$A$2:$A$2427,IF(D539=$D$2:$D$2427,$X$2:$X$2427)))/COUNT(IF(A539=$A$2:$A$2427,IF(D539=$D$2:$D$2427,IF(ISNUMBER($X$2:$X$2427),1)))),0),""),0)</f>
        <v/>
      </c>
      <c r="Z539" s="104" t="str">
        <f>IF(ISNUMBER(O539),IF(I539&gt;0,(10^(VLOOKUP(D539,'Species Codes'!B:C,2,0)+VLOOKUP(D539,'Species Codes'!B:D,3,0)*LOG(E539)+VLOOKUP(D539,'Species Codes'!B:E,4,0)*LOG(I539))),0),"")</f>
        <v/>
      </c>
      <c r="AA539" s="104" t="str">
        <f>IFERROR((VLOOKUP(D539,'Species Codes'!B:G,6,0)*Z539)/2000,"")</f>
        <v/>
      </c>
      <c r="AB539" s="104" t="e">
        <f>IF(Z539&gt;0,((IF(OR(D539="DF",D539="RA")=TRUE,EXP(VLOOKUP(D539,'Species Codes'!B:I,8,0)+VLOOKUP(D539,'Species Codes'!B:J,9,0)*(LN((E539*2.54)))),IF(OR(D539="PY",D539="RC",D539="WH",D539="NF")=TRUE,VLOOKUP(D539,'Species Codes'!B:I,8,0)+VLOOKUP(D539,'Species Codes'!B:J,9,0)*((E539*2.54)^2)*(I539*0.3048),IF(OR(D539="MD",D539="BM",D539="GA")=TRUE,((VLOOKUP(D539,'Species Codes'!B:I,8,0)*(((((E539*2.54)+VLOOKUP(D539,'Species Codes'!B:J,9,0))/VLOOKUP(D539,'Species Codes'!B:K,10,0))^VLOOKUP(D539,'Species Codes'!B:L,11,0))*((I539*0.3048)^VLOOKUP(D539,'Species Codes'!B:M,12,0))))-(VLOOKUP(D539,'Species Codes'!B:I,8,0)*((((E539*2.54)^VLOOKUP(D539,'Species Codes'!B:L,11,0))*((I539*0.3048)^VLOOKUP(D539,'Species Codes'!B:M,12,0))))))*35.3*VLOOKUP(D539,'Species Codes'!B:G,6,0)/2.2046,VLOOKUP(D539,'Species Codes'!B:I,8,0)+VLOOKUP(D539,'Species Codes'!B:J,9,0)*(((E539*2.54)/100)^2)*(I539*0.3048)))))*0.0011023),0)</f>
        <v>#N/A</v>
      </c>
      <c r="AC539" s="104" t="e">
        <f>IF(Z539&gt;0,((IF(OR(D539="RA",D539="OA",D539="OT",D539="UN",D539="PC"),EXP(VLOOKUP(D539,'Species Codes'!B:O,14,0)+VLOOKUP(D539,'Species Codes'!B:P,15,0)*LN((E539*2.54)))-EXP(VLOOKUP(D539,'Species Codes'!B:O,14,0)+VLOOKUP(D539,'Species Codes'!B:P,15,0)*LN((E539*2.54)))*(1/(VLOOKUP(D539,'Species Codes'!B:Q,16,0)+VLOOKUP(D539,'Species Codes'!B:R,17,0)*((E539*2.54)^VLOOKUP(D539,'Species Codes'!B:S,18,0)))),IF(OR(D539="BM",D539="MD",D539="OA"),EXP(VLOOKUP(D539,'Species Codes'!B:O,14,0)+VLOOKUP(D539,'Species Codes'!B:P,15,0)*LN((E539*2.54)))*(1-(1/(VLOOKUP(D539,'Species Codes'!B:Q,16,0)+VLOOKUP(D539,'Species Codes'!B:R,17,0)*((E539*2.54)^VLOOKUP(D539,'Species Codes'!B:S,18,0)))))/1000,IF(D539="DF",EXP(VLOOKUP(D539,'Species Codes'!B:O,14,0)+VLOOKUP(D539,'Species Codes'!B:P,15,0)*LN((E539*2.54))),VLOOKUP(D539,'Species Codes'!B:O,14,0)+VLOOKUP(D539,'Species Codes'!B:P,15,0)*(((E539*2.54)/100)^2)*(I539*0.3048)))))*0.0011023),0)</f>
        <v>#N/A</v>
      </c>
      <c r="AD539" s="104" t="e">
        <f t="shared" si="247"/>
        <v>#N/A</v>
      </c>
      <c r="AE539" s="104" t="e">
        <f t="shared" si="248"/>
        <v>#N/A</v>
      </c>
      <c r="AF539" s="104" t="e">
        <f>IF(AND(VLOOKUP($D539,Merchantability!$B:$C,2,0)="Yes",$E539&gt;=VLOOKUP($D539,Merchantability!$B:$D,3,0),$E539&lt;=VLOOKUP($D539,Merchantability!$B:$E,4,0)),AA539,0)</f>
        <v>#N/A</v>
      </c>
      <c r="AG539" s="104" t="e">
        <f>IF(AND(VLOOKUP($D539,Merchantability!$B:$C,2,0)="Yes",$E539&gt;=VLOOKUP($D539,Merchantability!$B:$D,3,0),$E539&lt;=VLOOKUP($D539,Merchantability!$B:$E,4,0)),AB539,0)</f>
        <v>#N/A</v>
      </c>
      <c r="AH539" s="104" t="e">
        <f>IF(AND(VLOOKUP($D539,Merchantability!$B:$C,2,0)="Yes",$E539&gt;=VLOOKUP($D539,Merchantability!$B:$D,3,0),$E539&lt;=VLOOKUP($D539,Merchantability!$B:$E,4,0)),AC539,0)</f>
        <v>#N/A</v>
      </c>
      <c r="AI539" s="104" t="e">
        <f t="shared" si="249"/>
        <v>#N/A</v>
      </c>
      <c r="AJ539" s="104" t="e">
        <f t="shared" si="250"/>
        <v>#VALUE!</v>
      </c>
      <c r="AK539" s="104" t="e">
        <f t="shared" si="251"/>
        <v>#N/A</v>
      </c>
      <c r="AL539" s="104" t="e">
        <f t="shared" si="252"/>
        <v>#N/A</v>
      </c>
      <c r="AM539" s="104" t="e">
        <f t="shared" si="253"/>
        <v>#N/A</v>
      </c>
      <c r="AN539" s="104" t="e">
        <f t="shared" si="264"/>
        <v>#N/A</v>
      </c>
      <c r="AO539" s="104" t="e">
        <f t="shared" si="265"/>
        <v>#N/A</v>
      </c>
      <c r="AP539" s="104" t="e">
        <f t="shared" si="266"/>
        <v>#N/A</v>
      </c>
      <c r="AQ539" s="104" t="e">
        <f t="shared" si="267"/>
        <v>#N/A</v>
      </c>
      <c r="AR539" s="105" t="str">
        <f t="shared" si="259"/>
        <v/>
      </c>
      <c r="AS539" s="105" t="str">
        <f t="shared" si="260"/>
        <v/>
      </c>
      <c r="AT539" s="108" t="str">
        <f t="shared" si="261"/>
        <v/>
      </c>
      <c r="AU539" s="108" t="str">
        <f t="shared" si="262"/>
        <v/>
      </c>
      <c r="AV539" s="107" t="str">
        <f>IF(ISNUMBER(O539),IF(VLOOKUP($A539,Stand!C:J,8,FALSE)="Short",AT539,AU539),"")</f>
        <v/>
      </c>
      <c r="AW539" s="109" t="str">
        <f t="shared" si="268"/>
        <v/>
      </c>
      <c r="AX539" s="109" t="str">
        <f t="shared" si="269"/>
        <v/>
      </c>
      <c r="AY539" s="112" t="str">
        <f>IF(ISNUMBER(O539),IF(AND(VLOOKUP($D539,Merchantability!$B:$C,2,0)="Yes",$E539&gt;=VLOOKUP($D539,Merchantability!$B:$D,3,0),$E539&lt;=VLOOKUP($D539,Merchantability!$B:$E,4,0)),(AV539*O539)*(1-$H539/100),""),"")</f>
        <v/>
      </c>
      <c r="AZ539" s="116"/>
      <c r="BA539" s="116"/>
      <c r="BB539" s="116"/>
      <c r="BE539" s="62"/>
      <c r="BF539" s="63"/>
    </row>
    <row r="540" spans="1:58" ht="12.75" customHeight="1" x14ac:dyDescent="0.25">
      <c r="A540" s="313"/>
      <c r="B540" s="328"/>
      <c r="C540" s="329"/>
      <c r="D540" s="328"/>
      <c r="E540" s="330"/>
      <c r="F540" s="328"/>
      <c r="G540" s="329"/>
      <c r="H540" s="329"/>
      <c r="I540" s="328"/>
      <c r="J540" s="383"/>
      <c r="K540" s="329"/>
      <c r="L540" s="329"/>
      <c r="M540" s="78"/>
      <c r="N540" s="103" t="str">
        <f>IF(A540="","",VLOOKUP(A540,Stand!C:K,9,0))</f>
        <v/>
      </c>
      <c r="O540" s="104" t="str">
        <f t="shared" si="254"/>
        <v/>
      </c>
      <c r="P540" s="105" t="str">
        <f t="shared" si="255"/>
        <v/>
      </c>
      <c r="Q540" s="105" t="str">
        <f t="shared" si="243"/>
        <v/>
      </c>
      <c r="R540" s="103" t="str">
        <f t="shared" si="256"/>
        <v/>
      </c>
      <c r="S540" s="103" t="str">
        <f t="shared" si="257"/>
        <v/>
      </c>
      <c r="T540" s="106" t="str">
        <f t="shared" si="244"/>
        <v/>
      </c>
      <c r="U540" s="106" t="str">
        <f t="shared" si="245"/>
        <v/>
      </c>
      <c r="V540" s="106" t="str">
        <f t="shared" si="246"/>
        <v/>
      </c>
      <c r="W540" s="105" t="str">
        <f t="shared" si="258"/>
        <v/>
      </c>
      <c r="X540" s="104" t="str">
        <f t="shared" si="263"/>
        <v/>
      </c>
      <c r="Y540" s="104" t="str">
        <f t="array" ref="Y540">IFERROR(IF(ISNUMBER(O540),IF(COUNT(IF(A540=$A$2:$A$2427,IF(D540=$D$2:$D$2427,IF($X$2:$X$2427&gt;0,1))))&gt;0,SUM(IF(A540=$A$2:$A$2427,IF(D540=$D$2:$D$2427,$X$2:$X$2427)))/COUNT(IF(A540=$A$2:$A$2427,IF(D540=$D$2:$D$2427,IF(ISNUMBER($X$2:$X$2427),1)))),0),""),0)</f>
        <v/>
      </c>
      <c r="Z540" s="104" t="str">
        <f>IF(ISNUMBER(O540),IF(I540&gt;0,(10^(VLOOKUP(D540,'Species Codes'!B:C,2,0)+VLOOKUP(D540,'Species Codes'!B:D,3,0)*LOG(E540)+VLOOKUP(D540,'Species Codes'!B:E,4,0)*LOG(I540))),0),"")</f>
        <v/>
      </c>
      <c r="AA540" s="104" t="str">
        <f>IFERROR((VLOOKUP(D540,'Species Codes'!B:G,6,0)*Z540)/2000,"")</f>
        <v/>
      </c>
      <c r="AB540" s="104" t="e">
        <f>IF(Z540&gt;0,((IF(OR(D540="DF",D540="RA")=TRUE,EXP(VLOOKUP(D540,'Species Codes'!B:I,8,0)+VLOOKUP(D540,'Species Codes'!B:J,9,0)*(LN((E540*2.54)))),IF(OR(D540="PY",D540="RC",D540="WH",D540="NF")=TRUE,VLOOKUP(D540,'Species Codes'!B:I,8,0)+VLOOKUP(D540,'Species Codes'!B:J,9,0)*((E540*2.54)^2)*(I540*0.3048),IF(OR(D540="MD",D540="BM",D540="GA")=TRUE,((VLOOKUP(D540,'Species Codes'!B:I,8,0)*(((((E540*2.54)+VLOOKUP(D540,'Species Codes'!B:J,9,0))/VLOOKUP(D540,'Species Codes'!B:K,10,0))^VLOOKUP(D540,'Species Codes'!B:L,11,0))*((I540*0.3048)^VLOOKUP(D540,'Species Codes'!B:M,12,0))))-(VLOOKUP(D540,'Species Codes'!B:I,8,0)*((((E540*2.54)^VLOOKUP(D540,'Species Codes'!B:L,11,0))*((I540*0.3048)^VLOOKUP(D540,'Species Codes'!B:M,12,0))))))*35.3*VLOOKUP(D540,'Species Codes'!B:G,6,0)/2.2046,VLOOKUP(D540,'Species Codes'!B:I,8,0)+VLOOKUP(D540,'Species Codes'!B:J,9,0)*(((E540*2.54)/100)^2)*(I540*0.3048)))))*0.0011023),0)</f>
        <v>#N/A</v>
      </c>
      <c r="AC540" s="104" t="e">
        <f>IF(Z540&gt;0,((IF(OR(D540="RA",D540="OA",D540="OT",D540="UN",D540="PC"),EXP(VLOOKUP(D540,'Species Codes'!B:O,14,0)+VLOOKUP(D540,'Species Codes'!B:P,15,0)*LN((E540*2.54)))-EXP(VLOOKUP(D540,'Species Codes'!B:O,14,0)+VLOOKUP(D540,'Species Codes'!B:P,15,0)*LN((E540*2.54)))*(1/(VLOOKUP(D540,'Species Codes'!B:Q,16,0)+VLOOKUP(D540,'Species Codes'!B:R,17,0)*((E540*2.54)^VLOOKUP(D540,'Species Codes'!B:S,18,0)))),IF(OR(D540="BM",D540="MD",D540="OA"),EXP(VLOOKUP(D540,'Species Codes'!B:O,14,0)+VLOOKUP(D540,'Species Codes'!B:P,15,0)*LN((E540*2.54)))*(1-(1/(VLOOKUP(D540,'Species Codes'!B:Q,16,0)+VLOOKUP(D540,'Species Codes'!B:R,17,0)*((E540*2.54)^VLOOKUP(D540,'Species Codes'!B:S,18,0)))))/1000,IF(D540="DF",EXP(VLOOKUP(D540,'Species Codes'!B:O,14,0)+VLOOKUP(D540,'Species Codes'!B:P,15,0)*LN((E540*2.54))),VLOOKUP(D540,'Species Codes'!B:O,14,0)+VLOOKUP(D540,'Species Codes'!B:P,15,0)*(((E540*2.54)/100)^2)*(I540*0.3048)))))*0.0011023),0)</f>
        <v>#N/A</v>
      </c>
      <c r="AD540" s="104" t="e">
        <f t="shared" si="247"/>
        <v>#N/A</v>
      </c>
      <c r="AE540" s="104" t="e">
        <f t="shared" si="248"/>
        <v>#N/A</v>
      </c>
      <c r="AF540" s="104" t="e">
        <f>IF(AND(VLOOKUP($D540,Merchantability!$B:$C,2,0)="Yes",$E540&gt;=VLOOKUP($D540,Merchantability!$B:$D,3,0),$E540&lt;=VLOOKUP($D540,Merchantability!$B:$E,4,0)),AA540,0)</f>
        <v>#N/A</v>
      </c>
      <c r="AG540" s="104" t="e">
        <f>IF(AND(VLOOKUP($D540,Merchantability!$B:$C,2,0)="Yes",$E540&gt;=VLOOKUP($D540,Merchantability!$B:$D,3,0),$E540&lt;=VLOOKUP($D540,Merchantability!$B:$E,4,0)),AB540,0)</f>
        <v>#N/A</v>
      </c>
      <c r="AH540" s="104" t="e">
        <f>IF(AND(VLOOKUP($D540,Merchantability!$B:$C,2,0)="Yes",$E540&gt;=VLOOKUP($D540,Merchantability!$B:$D,3,0),$E540&lt;=VLOOKUP($D540,Merchantability!$B:$E,4,0)),AC540,0)</f>
        <v>#N/A</v>
      </c>
      <c r="AI540" s="104" t="e">
        <f t="shared" si="249"/>
        <v>#N/A</v>
      </c>
      <c r="AJ540" s="104" t="e">
        <f t="shared" si="250"/>
        <v>#VALUE!</v>
      </c>
      <c r="AK540" s="104" t="e">
        <f t="shared" si="251"/>
        <v>#N/A</v>
      </c>
      <c r="AL540" s="104" t="e">
        <f t="shared" si="252"/>
        <v>#N/A</v>
      </c>
      <c r="AM540" s="104" t="e">
        <f t="shared" si="253"/>
        <v>#N/A</v>
      </c>
      <c r="AN540" s="104" t="e">
        <f t="shared" si="264"/>
        <v>#N/A</v>
      </c>
      <c r="AO540" s="104" t="e">
        <f t="shared" si="265"/>
        <v>#N/A</v>
      </c>
      <c r="AP540" s="104" t="e">
        <f t="shared" si="266"/>
        <v>#N/A</v>
      </c>
      <c r="AQ540" s="104" t="e">
        <f t="shared" si="267"/>
        <v>#N/A</v>
      </c>
      <c r="AR540" s="105" t="str">
        <f t="shared" si="259"/>
        <v/>
      </c>
      <c r="AS540" s="105" t="str">
        <f t="shared" si="260"/>
        <v/>
      </c>
      <c r="AT540" s="108" t="str">
        <f t="shared" si="261"/>
        <v/>
      </c>
      <c r="AU540" s="108" t="str">
        <f t="shared" si="262"/>
        <v/>
      </c>
      <c r="AV540" s="107" t="str">
        <f>IF(ISNUMBER(O540),IF(VLOOKUP($A540,Stand!C:J,8,FALSE)="Short",AT540,AU540),"")</f>
        <v/>
      </c>
      <c r="AW540" s="109" t="str">
        <f t="shared" si="268"/>
        <v/>
      </c>
      <c r="AX540" s="109" t="str">
        <f t="shared" si="269"/>
        <v/>
      </c>
      <c r="AY540" s="112" t="str">
        <f>IF(ISNUMBER(O540),IF(AND(VLOOKUP($D540,Merchantability!$B:$C,2,0)="Yes",$E540&gt;=VLOOKUP($D540,Merchantability!$B:$D,3,0),$E540&lt;=VLOOKUP($D540,Merchantability!$B:$E,4,0)),(AV540*O540)*(1-$H540/100),""),"")</f>
        <v/>
      </c>
      <c r="AZ540" s="116"/>
      <c r="BA540" s="116"/>
      <c r="BB540" s="116"/>
      <c r="BE540" s="62"/>
      <c r="BF540" s="63"/>
    </row>
    <row r="541" spans="1:58" ht="12.75" customHeight="1" x14ac:dyDescent="0.25">
      <c r="A541" s="313"/>
      <c r="B541" s="328"/>
      <c r="C541" s="329"/>
      <c r="D541" s="328"/>
      <c r="E541" s="330"/>
      <c r="F541" s="328"/>
      <c r="G541" s="329"/>
      <c r="H541" s="329"/>
      <c r="I541" s="328"/>
      <c r="J541" s="383"/>
      <c r="K541" s="329"/>
      <c r="L541" s="329"/>
      <c r="M541" s="78"/>
      <c r="N541" s="103" t="str">
        <f>IF(A541="","",VLOOKUP(A541,Stand!C:K,9,0))</f>
        <v/>
      </c>
      <c r="O541" s="104" t="str">
        <f t="shared" si="254"/>
        <v/>
      </c>
      <c r="P541" s="105" t="str">
        <f t="shared" si="255"/>
        <v/>
      </c>
      <c r="Q541" s="105" t="str">
        <f t="shared" ref="Q541:Q604" si="270">IF(AND(ISNUMBER(O541),I541&gt;0),I541*O541,"")</f>
        <v/>
      </c>
      <c r="R541" s="103" t="str">
        <f t="shared" si="256"/>
        <v/>
      </c>
      <c r="S541" s="103" t="str">
        <f t="shared" si="257"/>
        <v/>
      </c>
      <c r="T541" s="106" t="str">
        <f t="shared" ref="T541:T604" si="271">IF(AND(ISNUMBER(O541),J541&gt;0),J541/100,"")</f>
        <v/>
      </c>
      <c r="U541" s="106" t="str">
        <f t="shared" ref="U541:U604" si="272">IF(AND(ISNUMBER(O541),J541&gt;0),T541*O541,"")</f>
        <v/>
      </c>
      <c r="V541" s="106" t="str">
        <f t="shared" ref="V541:V604" si="273">IF(AND(ISNUMBER(O541),I541&gt;0),W541*O541,"")</f>
        <v/>
      </c>
      <c r="W541" s="105" t="str">
        <f t="shared" si="258"/>
        <v/>
      </c>
      <c r="X541" s="104" t="str">
        <f t="shared" si="263"/>
        <v/>
      </c>
      <c r="Y541" s="104" t="str">
        <f t="array" ref="Y541">IFERROR(IF(ISNUMBER(O541),IF(COUNT(IF(A541=$A$2:$A$2427,IF(D541=$D$2:$D$2427,IF($X$2:$X$2427&gt;0,1))))&gt;0,SUM(IF(A541=$A$2:$A$2427,IF(D541=$D$2:$D$2427,$X$2:$X$2427)))/COUNT(IF(A541=$A$2:$A$2427,IF(D541=$D$2:$D$2427,IF(ISNUMBER($X$2:$X$2427),1)))),0),""),0)</f>
        <v/>
      </c>
      <c r="Z541" s="104" t="str">
        <f>IF(ISNUMBER(O541),IF(I541&gt;0,(10^(VLOOKUP(D541,'Species Codes'!B:C,2,0)+VLOOKUP(D541,'Species Codes'!B:D,3,0)*LOG(E541)+VLOOKUP(D541,'Species Codes'!B:E,4,0)*LOG(I541))),0),"")</f>
        <v/>
      </c>
      <c r="AA541" s="104" t="str">
        <f>IFERROR((VLOOKUP(D541,'Species Codes'!B:G,6,0)*Z541)/2000,"")</f>
        <v/>
      </c>
      <c r="AB541" s="104" t="e">
        <f>IF(Z541&gt;0,((IF(OR(D541="DF",D541="RA")=TRUE,EXP(VLOOKUP(D541,'Species Codes'!B:I,8,0)+VLOOKUP(D541,'Species Codes'!B:J,9,0)*(LN((E541*2.54)))),IF(OR(D541="PY",D541="RC",D541="WH",D541="NF")=TRUE,VLOOKUP(D541,'Species Codes'!B:I,8,0)+VLOOKUP(D541,'Species Codes'!B:J,9,0)*((E541*2.54)^2)*(I541*0.3048),IF(OR(D541="MD",D541="BM",D541="GA")=TRUE,((VLOOKUP(D541,'Species Codes'!B:I,8,0)*(((((E541*2.54)+VLOOKUP(D541,'Species Codes'!B:J,9,0))/VLOOKUP(D541,'Species Codes'!B:K,10,0))^VLOOKUP(D541,'Species Codes'!B:L,11,0))*((I541*0.3048)^VLOOKUP(D541,'Species Codes'!B:M,12,0))))-(VLOOKUP(D541,'Species Codes'!B:I,8,0)*((((E541*2.54)^VLOOKUP(D541,'Species Codes'!B:L,11,0))*((I541*0.3048)^VLOOKUP(D541,'Species Codes'!B:M,12,0))))))*35.3*VLOOKUP(D541,'Species Codes'!B:G,6,0)/2.2046,VLOOKUP(D541,'Species Codes'!B:I,8,0)+VLOOKUP(D541,'Species Codes'!B:J,9,0)*(((E541*2.54)/100)^2)*(I541*0.3048)))))*0.0011023),0)</f>
        <v>#N/A</v>
      </c>
      <c r="AC541" s="104" t="e">
        <f>IF(Z541&gt;0,((IF(OR(D541="RA",D541="OA",D541="OT",D541="UN",D541="PC"),EXP(VLOOKUP(D541,'Species Codes'!B:O,14,0)+VLOOKUP(D541,'Species Codes'!B:P,15,0)*LN((E541*2.54)))-EXP(VLOOKUP(D541,'Species Codes'!B:O,14,0)+VLOOKUP(D541,'Species Codes'!B:P,15,0)*LN((E541*2.54)))*(1/(VLOOKUP(D541,'Species Codes'!B:Q,16,0)+VLOOKUP(D541,'Species Codes'!B:R,17,0)*((E541*2.54)^VLOOKUP(D541,'Species Codes'!B:S,18,0)))),IF(OR(D541="BM",D541="MD",D541="OA"),EXP(VLOOKUP(D541,'Species Codes'!B:O,14,0)+VLOOKUP(D541,'Species Codes'!B:P,15,0)*LN((E541*2.54)))*(1-(1/(VLOOKUP(D541,'Species Codes'!B:Q,16,0)+VLOOKUP(D541,'Species Codes'!B:R,17,0)*((E541*2.54)^VLOOKUP(D541,'Species Codes'!B:S,18,0)))))/1000,IF(D541="DF",EXP(VLOOKUP(D541,'Species Codes'!B:O,14,0)+VLOOKUP(D541,'Species Codes'!B:P,15,0)*LN((E541*2.54))),VLOOKUP(D541,'Species Codes'!B:O,14,0)+VLOOKUP(D541,'Species Codes'!B:P,15,0)*(((E541*2.54)/100)^2)*(I541*0.3048)))))*0.0011023),0)</f>
        <v>#N/A</v>
      </c>
      <c r="AD541" s="104" t="e">
        <f t="shared" ref="AD541:AD604" si="274">SUM(AA541:AC541)</f>
        <v>#N/A</v>
      </c>
      <c r="AE541" s="104" t="e">
        <f t="shared" ref="AE541:AE604" si="275">AD541*O541</f>
        <v>#N/A</v>
      </c>
      <c r="AF541" s="104" t="e">
        <f>IF(AND(VLOOKUP($D541,Merchantability!$B:$C,2,0)="Yes",$E541&gt;=VLOOKUP($D541,Merchantability!$B:$D,3,0),$E541&lt;=VLOOKUP($D541,Merchantability!$B:$E,4,0)),AA541,0)</f>
        <v>#N/A</v>
      </c>
      <c r="AG541" s="104" t="e">
        <f>IF(AND(VLOOKUP($D541,Merchantability!$B:$C,2,0)="Yes",$E541&gt;=VLOOKUP($D541,Merchantability!$B:$D,3,0),$E541&lt;=VLOOKUP($D541,Merchantability!$B:$E,4,0)),AB541,0)</f>
        <v>#N/A</v>
      </c>
      <c r="AH541" s="104" t="e">
        <f>IF(AND(VLOOKUP($D541,Merchantability!$B:$C,2,0)="Yes",$E541&gt;=VLOOKUP($D541,Merchantability!$B:$D,3,0),$E541&lt;=VLOOKUP($D541,Merchantability!$B:$E,4,0)),AC541,0)</f>
        <v>#N/A</v>
      </c>
      <c r="AI541" s="104" t="e">
        <f t="shared" ref="AI541:AI604" si="276">SUM(AF541:AH541)</f>
        <v>#N/A</v>
      </c>
      <c r="AJ541" s="104" t="e">
        <f t="shared" ref="AJ541:AJ604" si="277">AA541*$O541</f>
        <v>#VALUE!</v>
      </c>
      <c r="AK541" s="104" t="e">
        <f t="shared" ref="AK541:AK604" si="278">AB541*$O541</f>
        <v>#N/A</v>
      </c>
      <c r="AL541" s="104" t="e">
        <f t="shared" ref="AL541:AL604" si="279">AC541*$O541</f>
        <v>#N/A</v>
      </c>
      <c r="AM541" s="104" t="e">
        <f t="shared" ref="AM541:AM604" si="280">AD541*$O541</f>
        <v>#N/A</v>
      </c>
      <c r="AN541" s="104" t="e">
        <f t="shared" si="264"/>
        <v>#N/A</v>
      </c>
      <c r="AO541" s="104" t="e">
        <f t="shared" si="265"/>
        <v>#N/A</v>
      </c>
      <c r="AP541" s="104" t="e">
        <f t="shared" si="266"/>
        <v>#N/A</v>
      </c>
      <c r="AQ541" s="104" t="e">
        <f t="shared" si="267"/>
        <v>#N/A</v>
      </c>
      <c r="AR541" s="105" t="str">
        <f t="shared" si="259"/>
        <v/>
      </c>
      <c r="AS541" s="105" t="str">
        <f t="shared" si="260"/>
        <v/>
      </c>
      <c r="AT541" s="108" t="str">
        <f t="shared" si="261"/>
        <v/>
      </c>
      <c r="AU541" s="108" t="str">
        <f t="shared" si="262"/>
        <v/>
      </c>
      <c r="AV541" s="107" t="str">
        <f>IF(ISNUMBER(O541),IF(VLOOKUP($A541,Stand!C:J,8,FALSE)="Short",AT541,AU541),"")</f>
        <v/>
      </c>
      <c r="AW541" s="109" t="str">
        <f t="shared" si="268"/>
        <v/>
      </c>
      <c r="AX541" s="109" t="str">
        <f t="shared" si="269"/>
        <v/>
      </c>
      <c r="AY541" s="112" t="str">
        <f>IF(ISNUMBER(O541),IF(AND(VLOOKUP($D541,Merchantability!$B:$C,2,0)="Yes",$E541&gt;=VLOOKUP($D541,Merchantability!$B:$D,3,0),$E541&lt;=VLOOKUP($D541,Merchantability!$B:$E,4,0)),(AV541*O541)*(1-$H541/100),""),"")</f>
        <v/>
      </c>
      <c r="AZ541" s="116"/>
      <c r="BA541" s="116"/>
      <c r="BB541" s="116"/>
      <c r="BE541" s="62"/>
      <c r="BF541" s="63"/>
    </row>
    <row r="542" spans="1:58" ht="12.75" customHeight="1" x14ac:dyDescent="0.25">
      <c r="A542" s="313"/>
      <c r="B542" s="328"/>
      <c r="C542" s="329"/>
      <c r="D542" s="328"/>
      <c r="E542" s="330"/>
      <c r="F542" s="328"/>
      <c r="G542" s="329"/>
      <c r="H542" s="329"/>
      <c r="I542" s="328"/>
      <c r="J542" s="383"/>
      <c r="K542" s="329"/>
      <c r="L542" s="329"/>
      <c r="M542" s="78"/>
      <c r="N542" s="103" t="str">
        <f>IF(A542="","",VLOOKUP(A542,Stand!C:K,9,0))</f>
        <v/>
      </c>
      <c r="O542" s="104" t="str">
        <f t="shared" si="254"/>
        <v/>
      </c>
      <c r="P542" s="105" t="str">
        <f t="shared" si="255"/>
        <v/>
      </c>
      <c r="Q542" s="105" t="str">
        <f t="shared" si="270"/>
        <v/>
      </c>
      <c r="R542" s="103" t="str">
        <f t="shared" si="256"/>
        <v/>
      </c>
      <c r="S542" s="103" t="str">
        <f t="shared" si="257"/>
        <v/>
      </c>
      <c r="T542" s="106" t="str">
        <f t="shared" si="271"/>
        <v/>
      </c>
      <c r="U542" s="106" t="str">
        <f t="shared" si="272"/>
        <v/>
      </c>
      <c r="V542" s="106" t="str">
        <f t="shared" si="273"/>
        <v/>
      </c>
      <c r="W542" s="105" t="str">
        <f t="shared" si="258"/>
        <v/>
      </c>
      <c r="X542" s="104" t="str">
        <f t="shared" si="263"/>
        <v/>
      </c>
      <c r="Y542" s="104" t="str">
        <f t="array" ref="Y542">IFERROR(IF(ISNUMBER(O542),IF(COUNT(IF(A542=$A$2:$A$2427,IF(D542=$D$2:$D$2427,IF($X$2:$X$2427&gt;0,1))))&gt;0,SUM(IF(A542=$A$2:$A$2427,IF(D542=$D$2:$D$2427,$X$2:$X$2427)))/COUNT(IF(A542=$A$2:$A$2427,IF(D542=$D$2:$D$2427,IF(ISNUMBER($X$2:$X$2427),1)))),0),""),0)</f>
        <v/>
      </c>
      <c r="Z542" s="104" t="str">
        <f>IF(ISNUMBER(O542),IF(I542&gt;0,(10^(VLOOKUP(D542,'Species Codes'!B:C,2,0)+VLOOKUP(D542,'Species Codes'!B:D,3,0)*LOG(E542)+VLOOKUP(D542,'Species Codes'!B:E,4,0)*LOG(I542))),0),"")</f>
        <v/>
      </c>
      <c r="AA542" s="104" t="str">
        <f>IFERROR((VLOOKUP(D542,'Species Codes'!B:G,6,0)*Z542)/2000,"")</f>
        <v/>
      </c>
      <c r="AB542" s="104" t="e">
        <f>IF(Z542&gt;0,((IF(OR(D542="DF",D542="RA")=TRUE,EXP(VLOOKUP(D542,'Species Codes'!B:I,8,0)+VLOOKUP(D542,'Species Codes'!B:J,9,0)*(LN((E542*2.54)))),IF(OR(D542="PY",D542="RC",D542="WH",D542="NF")=TRUE,VLOOKUP(D542,'Species Codes'!B:I,8,0)+VLOOKUP(D542,'Species Codes'!B:J,9,0)*((E542*2.54)^2)*(I542*0.3048),IF(OR(D542="MD",D542="BM",D542="GA")=TRUE,((VLOOKUP(D542,'Species Codes'!B:I,8,0)*(((((E542*2.54)+VLOOKUP(D542,'Species Codes'!B:J,9,0))/VLOOKUP(D542,'Species Codes'!B:K,10,0))^VLOOKUP(D542,'Species Codes'!B:L,11,0))*((I542*0.3048)^VLOOKUP(D542,'Species Codes'!B:M,12,0))))-(VLOOKUP(D542,'Species Codes'!B:I,8,0)*((((E542*2.54)^VLOOKUP(D542,'Species Codes'!B:L,11,0))*((I542*0.3048)^VLOOKUP(D542,'Species Codes'!B:M,12,0))))))*35.3*VLOOKUP(D542,'Species Codes'!B:G,6,0)/2.2046,VLOOKUP(D542,'Species Codes'!B:I,8,0)+VLOOKUP(D542,'Species Codes'!B:J,9,0)*(((E542*2.54)/100)^2)*(I542*0.3048)))))*0.0011023),0)</f>
        <v>#N/A</v>
      </c>
      <c r="AC542" s="104" t="e">
        <f>IF(Z542&gt;0,((IF(OR(D542="RA",D542="OA",D542="OT",D542="UN",D542="PC"),EXP(VLOOKUP(D542,'Species Codes'!B:O,14,0)+VLOOKUP(D542,'Species Codes'!B:P,15,0)*LN((E542*2.54)))-EXP(VLOOKUP(D542,'Species Codes'!B:O,14,0)+VLOOKUP(D542,'Species Codes'!B:P,15,0)*LN((E542*2.54)))*(1/(VLOOKUP(D542,'Species Codes'!B:Q,16,0)+VLOOKUP(D542,'Species Codes'!B:R,17,0)*((E542*2.54)^VLOOKUP(D542,'Species Codes'!B:S,18,0)))),IF(OR(D542="BM",D542="MD",D542="OA"),EXP(VLOOKUP(D542,'Species Codes'!B:O,14,0)+VLOOKUP(D542,'Species Codes'!B:P,15,0)*LN((E542*2.54)))*(1-(1/(VLOOKUP(D542,'Species Codes'!B:Q,16,0)+VLOOKUP(D542,'Species Codes'!B:R,17,0)*((E542*2.54)^VLOOKUP(D542,'Species Codes'!B:S,18,0)))))/1000,IF(D542="DF",EXP(VLOOKUP(D542,'Species Codes'!B:O,14,0)+VLOOKUP(D542,'Species Codes'!B:P,15,0)*LN((E542*2.54))),VLOOKUP(D542,'Species Codes'!B:O,14,0)+VLOOKUP(D542,'Species Codes'!B:P,15,0)*(((E542*2.54)/100)^2)*(I542*0.3048)))))*0.0011023),0)</f>
        <v>#N/A</v>
      </c>
      <c r="AD542" s="104" t="e">
        <f t="shared" si="274"/>
        <v>#N/A</v>
      </c>
      <c r="AE542" s="104" t="e">
        <f t="shared" si="275"/>
        <v>#N/A</v>
      </c>
      <c r="AF542" s="104" t="e">
        <f>IF(AND(VLOOKUP($D542,Merchantability!$B:$C,2,0)="Yes",$E542&gt;=VLOOKUP($D542,Merchantability!$B:$D,3,0),$E542&lt;=VLOOKUP($D542,Merchantability!$B:$E,4,0)),AA542,0)</f>
        <v>#N/A</v>
      </c>
      <c r="AG542" s="104" t="e">
        <f>IF(AND(VLOOKUP($D542,Merchantability!$B:$C,2,0)="Yes",$E542&gt;=VLOOKUP($D542,Merchantability!$B:$D,3,0),$E542&lt;=VLOOKUP($D542,Merchantability!$B:$E,4,0)),AB542,0)</f>
        <v>#N/A</v>
      </c>
      <c r="AH542" s="104" t="e">
        <f>IF(AND(VLOOKUP($D542,Merchantability!$B:$C,2,0)="Yes",$E542&gt;=VLOOKUP($D542,Merchantability!$B:$D,3,0),$E542&lt;=VLOOKUP($D542,Merchantability!$B:$E,4,0)),AC542,0)</f>
        <v>#N/A</v>
      </c>
      <c r="AI542" s="104" t="e">
        <f t="shared" si="276"/>
        <v>#N/A</v>
      </c>
      <c r="AJ542" s="104" t="e">
        <f t="shared" si="277"/>
        <v>#VALUE!</v>
      </c>
      <c r="AK542" s="104" t="e">
        <f t="shared" si="278"/>
        <v>#N/A</v>
      </c>
      <c r="AL542" s="104" t="e">
        <f t="shared" si="279"/>
        <v>#N/A</v>
      </c>
      <c r="AM542" s="104" t="e">
        <f t="shared" si="280"/>
        <v>#N/A</v>
      </c>
      <c r="AN542" s="104" t="e">
        <f t="shared" si="264"/>
        <v>#N/A</v>
      </c>
      <c r="AO542" s="104" t="e">
        <f t="shared" si="265"/>
        <v>#N/A</v>
      </c>
      <c r="AP542" s="104" t="e">
        <f t="shared" si="266"/>
        <v>#N/A</v>
      </c>
      <c r="AQ542" s="104" t="e">
        <f t="shared" si="267"/>
        <v>#N/A</v>
      </c>
      <c r="AR542" s="105" t="str">
        <f t="shared" si="259"/>
        <v/>
      </c>
      <c r="AS542" s="105" t="str">
        <f t="shared" si="260"/>
        <v/>
      </c>
      <c r="AT542" s="108" t="str">
        <f t="shared" si="261"/>
        <v/>
      </c>
      <c r="AU542" s="108" t="str">
        <f t="shared" si="262"/>
        <v/>
      </c>
      <c r="AV542" s="107" t="str">
        <f>IF(ISNUMBER(O542),IF(VLOOKUP($A542,Stand!C:J,8,FALSE)="Short",AT542,AU542),"")</f>
        <v/>
      </c>
      <c r="AW542" s="109" t="str">
        <f t="shared" si="268"/>
        <v/>
      </c>
      <c r="AX542" s="109" t="str">
        <f t="shared" si="269"/>
        <v/>
      </c>
      <c r="AY542" s="112" t="str">
        <f>IF(ISNUMBER(O542),IF(AND(VLOOKUP($D542,Merchantability!$B:$C,2,0)="Yes",$E542&gt;=VLOOKUP($D542,Merchantability!$B:$D,3,0),$E542&lt;=VLOOKUP($D542,Merchantability!$B:$E,4,0)),(AV542*O542)*(1-$H542/100),""),"")</f>
        <v/>
      </c>
      <c r="AZ542" s="116"/>
      <c r="BA542" s="116"/>
      <c r="BB542" s="116"/>
      <c r="BE542" s="62"/>
      <c r="BF542" s="63"/>
    </row>
    <row r="543" spans="1:58" ht="12.75" customHeight="1" x14ac:dyDescent="0.25">
      <c r="A543" s="313"/>
      <c r="B543" s="328"/>
      <c r="C543" s="329"/>
      <c r="D543" s="328"/>
      <c r="E543" s="330"/>
      <c r="F543" s="328"/>
      <c r="G543" s="329"/>
      <c r="H543" s="329"/>
      <c r="I543" s="328"/>
      <c r="J543" s="383"/>
      <c r="K543" s="329"/>
      <c r="L543" s="329"/>
      <c r="M543" s="78"/>
      <c r="N543" s="103" t="str">
        <f>IF(A543="","",VLOOKUP(A543,Stand!C:K,9,0))</f>
        <v/>
      </c>
      <c r="O543" s="104" t="str">
        <f t="shared" si="254"/>
        <v/>
      </c>
      <c r="P543" s="105" t="str">
        <f t="shared" si="255"/>
        <v/>
      </c>
      <c r="Q543" s="105" t="str">
        <f t="shared" si="270"/>
        <v/>
      </c>
      <c r="R543" s="103" t="str">
        <f t="shared" si="256"/>
        <v/>
      </c>
      <c r="S543" s="103" t="str">
        <f t="shared" si="257"/>
        <v/>
      </c>
      <c r="T543" s="106" t="str">
        <f t="shared" si="271"/>
        <v/>
      </c>
      <c r="U543" s="106" t="str">
        <f t="shared" si="272"/>
        <v/>
      </c>
      <c r="V543" s="106" t="str">
        <f t="shared" si="273"/>
        <v/>
      </c>
      <c r="W543" s="105" t="str">
        <f t="shared" si="258"/>
        <v/>
      </c>
      <c r="X543" s="104" t="str">
        <f t="shared" si="263"/>
        <v/>
      </c>
      <c r="Y543" s="104" t="str">
        <f t="array" ref="Y543">IFERROR(IF(ISNUMBER(O543),IF(COUNT(IF(A543=$A$2:$A$2427,IF(D543=$D$2:$D$2427,IF($X$2:$X$2427&gt;0,1))))&gt;0,SUM(IF(A543=$A$2:$A$2427,IF(D543=$D$2:$D$2427,$X$2:$X$2427)))/COUNT(IF(A543=$A$2:$A$2427,IF(D543=$D$2:$D$2427,IF(ISNUMBER($X$2:$X$2427),1)))),0),""),0)</f>
        <v/>
      </c>
      <c r="Z543" s="104" t="str">
        <f>IF(ISNUMBER(O543),IF(I543&gt;0,(10^(VLOOKUP(D543,'Species Codes'!B:C,2,0)+VLOOKUP(D543,'Species Codes'!B:D,3,0)*LOG(E543)+VLOOKUP(D543,'Species Codes'!B:E,4,0)*LOG(I543))),0),"")</f>
        <v/>
      </c>
      <c r="AA543" s="104" t="str">
        <f>IFERROR((VLOOKUP(D543,'Species Codes'!B:G,6,0)*Z543)/2000,"")</f>
        <v/>
      </c>
      <c r="AB543" s="104" t="e">
        <f>IF(Z543&gt;0,((IF(OR(D543="DF",D543="RA")=TRUE,EXP(VLOOKUP(D543,'Species Codes'!B:I,8,0)+VLOOKUP(D543,'Species Codes'!B:J,9,0)*(LN((E543*2.54)))),IF(OR(D543="PY",D543="RC",D543="WH",D543="NF")=TRUE,VLOOKUP(D543,'Species Codes'!B:I,8,0)+VLOOKUP(D543,'Species Codes'!B:J,9,0)*((E543*2.54)^2)*(I543*0.3048),IF(OR(D543="MD",D543="BM",D543="GA")=TRUE,((VLOOKUP(D543,'Species Codes'!B:I,8,0)*(((((E543*2.54)+VLOOKUP(D543,'Species Codes'!B:J,9,0))/VLOOKUP(D543,'Species Codes'!B:K,10,0))^VLOOKUP(D543,'Species Codes'!B:L,11,0))*((I543*0.3048)^VLOOKUP(D543,'Species Codes'!B:M,12,0))))-(VLOOKUP(D543,'Species Codes'!B:I,8,0)*((((E543*2.54)^VLOOKUP(D543,'Species Codes'!B:L,11,0))*((I543*0.3048)^VLOOKUP(D543,'Species Codes'!B:M,12,0))))))*35.3*VLOOKUP(D543,'Species Codes'!B:G,6,0)/2.2046,VLOOKUP(D543,'Species Codes'!B:I,8,0)+VLOOKUP(D543,'Species Codes'!B:J,9,0)*(((E543*2.54)/100)^2)*(I543*0.3048)))))*0.0011023),0)</f>
        <v>#N/A</v>
      </c>
      <c r="AC543" s="104" t="e">
        <f>IF(Z543&gt;0,((IF(OR(D543="RA",D543="OA",D543="OT",D543="UN",D543="PC"),EXP(VLOOKUP(D543,'Species Codes'!B:O,14,0)+VLOOKUP(D543,'Species Codes'!B:P,15,0)*LN((E543*2.54)))-EXP(VLOOKUP(D543,'Species Codes'!B:O,14,0)+VLOOKUP(D543,'Species Codes'!B:P,15,0)*LN((E543*2.54)))*(1/(VLOOKUP(D543,'Species Codes'!B:Q,16,0)+VLOOKUP(D543,'Species Codes'!B:R,17,0)*((E543*2.54)^VLOOKUP(D543,'Species Codes'!B:S,18,0)))),IF(OR(D543="BM",D543="MD",D543="OA"),EXP(VLOOKUP(D543,'Species Codes'!B:O,14,0)+VLOOKUP(D543,'Species Codes'!B:P,15,0)*LN((E543*2.54)))*(1-(1/(VLOOKUP(D543,'Species Codes'!B:Q,16,0)+VLOOKUP(D543,'Species Codes'!B:R,17,0)*((E543*2.54)^VLOOKUP(D543,'Species Codes'!B:S,18,0)))))/1000,IF(D543="DF",EXP(VLOOKUP(D543,'Species Codes'!B:O,14,0)+VLOOKUP(D543,'Species Codes'!B:P,15,0)*LN((E543*2.54))),VLOOKUP(D543,'Species Codes'!B:O,14,0)+VLOOKUP(D543,'Species Codes'!B:P,15,0)*(((E543*2.54)/100)^2)*(I543*0.3048)))))*0.0011023),0)</f>
        <v>#N/A</v>
      </c>
      <c r="AD543" s="104" t="e">
        <f t="shared" si="274"/>
        <v>#N/A</v>
      </c>
      <c r="AE543" s="104" t="e">
        <f t="shared" si="275"/>
        <v>#N/A</v>
      </c>
      <c r="AF543" s="104" t="e">
        <f>IF(AND(VLOOKUP($D543,Merchantability!$B:$C,2,0)="Yes",$E543&gt;=VLOOKUP($D543,Merchantability!$B:$D,3,0),$E543&lt;=VLOOKUP($D543,Merchantability!$B:$E,4,0)),AA543,0)</f>
        <v>#N/A</v>
      </c>
      <c r="AG543" s="104" t="e">
        <f>IF(AND(VLOOKUP($D543,Merchantability!$B:$C,2,0)="Yes",$E543&gt;=VLOOKUP($D543,Merchantability!$B:$D,3,0),$E543&lt;=VLOOKUP($D543,Merchantability!$B:$E,4,0)),AB543,0)</f>
        <v>#N/A</v>
      </c>
      <c r="AH543" s="104" t="e">
        <f>IF(AND(VLOOKUP($D543,Merchantability!$B:$C,2,0)="Yes",$E543&gt;=VLOOKUP($D543,Merchantability!$B:$D,3,0),$E543&lt;=VLOOKUP($D543,Merchantability!$B:$E,4,0)),AC543,0)</f>
        <v>#N/A</v>
      </c>
      <c r="AI543" s="104" t="e">
        <f t="shared" si="276"/>
        <v>#N/A</v>
      </c>
      <c r="AJ543" s="104" t="e">
        <f t="shared" si="277"/>
        <v>#VALUE!</v>
      </c>
      <c r="AK543" s="104" t="e">
        <f t="shared" si="278"/>
        <v>#N/A</v>
      </c>
      <c r="AL543" s="104" t="e">
        <f t="shared" si="279"/>
        <v>#N/A</v>
      </c>
      <c r="AM543" s="104" t="e">
        <f t="shared" si="280"/>
        <v>#N/A</v>
      </c>
      <c r="AN543" s="104" t="e">
        <f t="shared" si="264"/>
        <v>#N/A</v>
      </c>
      <c r="AO543" s="104" t="e">
        <f t="shared" si="265"/>
        <v>#N/A</v>
      </c>
      <c r="AP543" s="104" t="e">
        <f t="shared" si="266"/>
        <v>#N/A</v>
      </c>
      <c r="AQ543" s="104" t="e">
        <f t="shared" si="267"/>
        <v>#N/A</v>
      </c>
      <c r="AR543" s="105" t="str">
        <f t="shared" si="259"/>
        <v/>
      </c>
      <c r="AS543" s="105" t="str">
        <f t="shared" si="260"/>
        <v/>
      </c>
      <c r="AT543" s="108" t="str">
        <f t="shared" si="261"/>
        <v/>
      </c>
      <c r="AU543" s="108" t="str">
        <f t="shared" si="262"/>
        <v/>
      </c>
      <c r="AV543" s="107" t="str">
        <f>IF(ISNUMBER(O543),IF(VLOOKUP($A543,Stand!C:J,8,FALSE)="Short",AT543,AU543),"")</f>
        <v/>
      </c>
      <c r="AW543" s="109" t="str">
        <f t="shared" si="268"/>
        <v/>
      </c>
      <c r="AX543" s="109" t="str">
        <f t="shared" si="269"/>
        <v/>
      </c>
      <c r="AY543" s="112" t="str">
        <f>IF(ISNUMBER(O543),IF(AND(VLOOKUP($D543,Merchantability!$B:$C,2,0)="Yes",$E543&gt;=VLOOKUP($D543,Merchantability!$B:$D,3,0),$E543&lt;=VLOOKUP($D543,Merchantability!$B:$E,4,0)),(AV543*O543)*(1-$H543/100),""),"")</f>
        <v/>
      </c>
      <c r="AZ543" s="116"/>
      <c r="BA543" s="116"/>
      <c r="BB543" s="116"/>
      <c r="BE543" s="62"/>
      <c r="BF543" s="63"/>
    </row>
    <row r="544" spans="1:58" ht="12.75" customHeight="1" x14ac:dyDescent="0.25">
      <c r="A544" s="313"/>
      <c r="B544" s="328"/>
      <c r="C544" s="329"/>
      <c r="D544" s="328"/>
      <c r="E544" s="330"/>
      <c r="F544" s="328"/>
      <c r="G544" s="329"/>
      <c r="H544" s="329"/>
      <c r="I544" s="328"/>
      <c r="J544" s="383"/>
      <c r="K544" s="329"/>
      <c r="L544" s="329"/>
      <c r="M544" s="78"/>
      <c r="N544" s="103" t="str">
        <f>IF(A544="","",VLOOKUP(A544,Stand!C:K,9,0))</f>
        <v/>
      </c>
      <c r="O544" s="104" t="str">
        <f t="shared" si="254"/>
        <v/>
      </c>
      <c r="P544" s="105" t="str">
        <f t="shared" si="255"/>
        <v/>
      </c>
      <c r="Q544" s="105" t="str">
        <f t="shared" si="270"/>
        <v/>
      </c>
      <c r="R544" s="103" t="str">
        <f t="shared" si="256"/>
        <v/>
      </c>
      <c r="S544" s="103" t="str">
        <f t="shared" si="257"/>
        <v/>
      </c>
      <c r="T544" s="106" t="str">
        <f t="shared" si="271"/>
        <v/>
      </c>
      <c r="U544" s="106" t="str">
        <f t="shared" si="272"/>
        <v/>
      </c>
      <c r="V544" s="106" t="str">
        <f t="shared" si="273"/>
        <v/>
      </c>
      <c r="W544" s="105" t="str">
        <f t="shared" si="258"/>
        <v/>
      </c>
      <c r="X544" s="104" t="str">
        <f t="shared" si="263"/>
        <v/>
      </c>
      <c r="Y544" s="104" t="str">
        <f t="array" ref="Y544">IFERROR(IF(ISNUMBER(O544),IF(COUNT(IF(A544=$A$2:$A$2427,IF(D544=$D$2:$D$2427,IF($X$2:$X$2427&gt;0,1))))&gt;0,SUM(IF(A544=$A$2:$A$2427,IF(D544=$D$2:$D$2427,$X$2:$X$2427)))/COUNT(IF(A544=$A$2:$A$2427,IF(D544=$D$2:$D$2427,IF(ISNUMBER($X$2:$X$2427),1)))),0),""),0)</f>
        <v/>
      </c>
      <c r="Z544" s="104" t="str">
        <f>IF(ISNUMBER(O544),IF(I544&gt;0,(10^(VLOOKUP(D544,'Species Codes'!B:C,2,0)+VLOOKUP(D544,'Species Codes'!B:D,3,0)*LOG(E544)+VLOOKUP(D544,'Species Codes'!B:E,4,0)*LOG(I544))),0),"")</f>
        <v/>
      </c>
      <c r="AA544" s="104" t="str">
        <f>IFERROR((VLOOKUP(D544,'Species Codes'!B:G,6,0)*Z544)/2000,"")</f>
        <v/>
      </c>
      <c r="AB544" s="104" t="e">
        <f>IF(Z544&gt;0,((IF(OR(D544="DF",D544="RA")=TRUE,EXP(VLOOKUP(D544,'Species Codes'!B:I,8,0)+VLOOKUP(D544,'Species Codes'!B:J,9,0)*(LN((E544*2.54)))),IF(OR(D544="PY",D544="RC",D544="WH",D544="NF")=TRUE,VLOOKUP(D544,'Species Codes'!B:I,8,0)+VLOOKUP(D544,'Species Codes'!B:J,9,0)*((E544*2.54)^2)*(I544*0.3048),IF(OR(D544="MD",D544="BM",D544="GA")=TRUE,((VLOOKUP(D544,'Species Codes'!B:I,8,0)*(((((E544*2.54)+VLOOKUP(D544,'Species Codes'!B:J,9,0))/VLOOKUP(D544,'Species Codes'!B:K,10,0))^VLOOKUP(D544,'Species Codes'!B:L,11,0))*((I544*0.3048)^VLOOKUP(D544,'Species Codes'!B:M,12,0))))-(VLOOKUP(D544,'Species Codes'!B:I,8,0)*((((E544*2.54)^VLOOKUP(D544,'Species Codes'!B:L,11,0))*((I544*0.3048)^VLOOKUP(D544,'Species Codes'!B:M,12,0))))))*35.3*VLOOKUP(D544,'Species Codes'!B:G,6,0)/2.2046,VLOOKUP(D544,'Species Codes'!B:I,8,0)+VLOOKUP(D544,'Species Codes'!B:J,9,0)*(((E544*2.54)/100)^2)*(I544*0.3048)))))*0.0011023),0)</f>
        <v>#N/A</v>
      </c>
      <c r="AC544" s="104" t="e">
        <f>IF(Z544&gt;0,((IF(OR(D544="RA",D544="OA",D544="OT",D544="UN",D544="PC"),EXP(VLOOKUP(D544,'Species Codes'!B:O,14,0)+VLOOKUP(D544,'Species Codes'!B:P,15,0)*LN((E544*2.54)))-EXP(VLOOKUP(D544,'Species Codes'!B:O,14,0)+VLOOKUP(D544,'Species Codes'!B:P,15,0)*LN((E544*2.54)))*(1/(VLOOKUP(D544,'Species Codes'!B:Q,16,0)+VLOOKUP(D544,'Species Codes'!B:R,17,0)*((E544*2.54)^VLOOKUP(D544,'Species Codes'!B:S,18,0)))),IF(OR(D544="BM",D544="MD",D544="OA"),EXP(VLOOKUP(D544,'Species Codes'!B:O,14,0)+VLOOKUP(D544,'Species Codes'!B:P,15,0)*LN((E544*2.54)))*(1-(1/(VLOOKUP(D544,'Species Codes'!B:Q,16,0)+VLOOKUP(D544,'Species Codes'!B:R,17,0)*((E544*2.54)^VLOOKUP(D544,'Species Codes'!B:S,18,0)))))/1000,IF(D544="DF",EXP(VLOOKUP(D544,'Species Codes'!B:O,14,0)+VLOOKUP(D544,'Species Codes'!B:P,15,0)*LN((E544*2.54))),VLOOKUP(D544,'Species Codes'!B:O,14,0)+VLOOKUP(D544,'Species Codes'!B:P,15,0)*(((E544*2.54)/100)^2)*(I544*0.3048)))))*0.0011023),0)</f>
        <v>#N/A</v>
      </c>
      <c r="AD544" s="104" t="e">
        <f t="shared" si="274"/>
        <v>#N/A</v>
      </c>
      <c r="AE544" s="104" t="e">
        <f t="shared" si="275"/>
        <v>#N/A</v>
      </c>
      <c r="AF544" s="104" t="e">
        <f>IF(AND(VLOOKUP($D544,Merchantability!$B:$C,2,0)="Yes",$E544&gt;=VLOOKUP($D544,Merchantability!$B:$D,3,0),$E544&lt;=VLOOKUP($D544,Merchantability!$B:$E,4,0)),AA544,0)</f>
        <v>#N/A</v>
      </c>
      <c r="AG544" s="104" t="e">
        <f>IF(AND(VLOOKUP($D544,Merchantability!$B:$C,2,0)="Yes",$E544&gt;=VLOOKUP($D544,Merchantability!$B:$D,3,0),$E544&lt;=VLOOKUP($D544,Merchantability!$B:$E,4,0)),AB544,0)</f>
        <v>#N/A</v>
      </c>
      <c r="AH544" s="104" t="e">
        <f>IF(AND(VLOOKUP($D544,Merchantability!$B:$C,2,0)="Yes",$E544&gt;=VLOOKUP($D544,Merchantability!$B:$D,3,0),$E544&lt;=VLOOKUP($D544,Merchantability!$B:$E,4,0)),AC544,0)</f>
        <v>#N/A</v>
      </c>
      <c r="AI544" s="104" t="e">
        <f t="shared" si="276"/>
        <v>#N/A</v>
      </c>
      <c r="AJ544" s="104" t="e">
        <f t="shared" si="277"/>
        <v>#VALUE!</v>
      </c>
      <c r="AK544" s="104" t="e">
        <f t="shared" si="278"/>
        <v>#N/A</v>
      </c>
      <c r="AL544" s="104" t="e">
        <f t="shared" si="279"/>
        <v>#N/A</v>
      </c>
      <c r="AM544" s="104" t="e">
        <f t="shared" si="280"/>
        <v>#N/A</v>
      </c>
      <c r="AN544" s="104" t="e">
        <f t="shared" si="264"/>
        <v>#N/A</v>
      </c>
      <c r="AO544" s="104" t="e">
        <f t="shared" si="265"/>
        <v>#N/A</v>
      </c>
      <c r="AP544" s="104" t="e">
        <f t="shared" si="266"/>
        <v>#N/A</v>
      </c>
      <c r="AQ544" s="104" t="e">
        <f t="shared" si="267"/>
        <v>#N/A</v>
      </c>
      <c r="AR544" s="105" t="str">
        <f t="shared" si="259"/>
        <v/>
      </c>
      <c r="AS544" s="105" t="str">
        <f t="shared" si="260"/>
        <v/>
      </c>
      <c r="AT544" s="108" t="str">
        <f t="shared" si="261"/>
        <v/>
      </c>
      <c r="AU544" s="108" t="str">
        <f t="shared" si="262"/>
        <v/>
      </c>
      <c r="AV544" s="107" t="str">
        <f>IF(ISNUMBER(O544),IF(VLOOKUP($A544,Stand!C:J,8,FALSE)="Short",AT544,AU544),"")</f>
        <v/>
      </c>
      <c r="AW544" s="109" t="str">
        <f t="shared" si="268"/>
        <v/>
      </c>
      <c r="AX544" s="109" t="str">
        <f t="shared" si="269"/>
        <v/>
      </c>
      <c r="AY544" s="112" t="str">
        <f>IF(ISNUMBER(O544),IF(AND(VLOOKUP($D544,Merchantability!$B:$C,2,0)="Yes",$E544&gt;=VLOOKUP($D544,Merchantability!$B:$D,3,0),$E544&lt;=VLOOKUP($D544,Merchantability!$B:$E,4,0)),(AV544*O544)*(1-$H544/100),""),"")</f>
        <v/>
      </c>
      <c r="AZ544" s="116"/>
      <c r="BA544" s="116"/>
      <c r="BB544" s="116"/>
      <c r="BE544" s="62"/>
      <c r="BF544" s="63"/>
    </row>
    <row r="545" spans="1:58" ht="12.75" customHeight="1" x14ac:dyDescent="0.25">
      <c r="A545" s="313"/>
      <c r="B545" s="328"/>
      <c r="C545" s="329"/>
      <c r="D545" s="328"/>
      <c r="E545" s="330"/>
      <c r="F545" s="328"/>
      <c r="G545" s="329"/>
      <c r="H545" s="329"/>
      <c r="I545" s="328"/>
      <c r="J545" s="383"/>
      <c r="K545" s="329"/>
      <c r="L545" s="329"/>
      <c r="M545" s="78"/>
      <c r="N545" s="103" t="str">
        <f>IF(A545="","",VLOOKUP(A545,Stand!C:K,9,0))</f>
        <v/>
      </c>
      <c r="O545" s="104" t="str">
        <f t="shared" si="254"/>
        <v/>
      </c>
      <c r="P545" s="105" t="str">
        <f t="shared" si="255"/>
        <v/>
      </c>
      <c r="Q545" s="105" t="str">
        <f t="shared" si="270"/>
        <v/>
      </c>
      <c r="R545" s="103" t="str">
        <f t="shared" si="256"/>
        <v/>
      </c>
      <c r="S545" s="103" t="str">
        <f t="shared" si="257"/>
        <v/>
      </c>
      <c r="T545" s="106" t="str">
        <f t="shared" si="271"/>
        <v/>
      </c>
      <c r="U545" s="106" t="str">
        <f t="shared" si="272"/>
        <v/>
      </c>
      <c r="V545" s="106" t="str">
        <f t="shared" si="273"/>
        <v/>
      </c>
      <c r="W545" s="105" t="str">
        <f t="shared" si="258"/>
        <v/>
      </c>
      <c r="X545" s="104" t="str">
        <f t="shared" si="263"/>
        <v/>
      </c>
      <c r="Y545" s="104" t="str">
        <f t="array" ref="Y545">IFERROR(IF(ISNUMBER(O545),IF(COUNT(IF(A545=$A$2:$A$2427,IF(D545=$D$2:$D$2427,IF($X$2:$X$2427&gt;0,1))))&gt;0,SUM(IF(A545=$A$2:$A$2427,IF(D545=$D$2:$D$2427,$X$2:$X$2427)))/COUNT(IF(A545=$A$2:$A$2427,IF(D545=$D$2:$D$2427,IF(ISNUMBER($X$2:$X$2427),1)))),0),""),0)</f>
        <v/>
      </c>
      <c r="Z545" s="104" t="str">
        <f>IF(ISNUMBER(O545),IF(I545&gt;0,(10^(VLOOKUP(D545,'Species Codes'!B:C,2,0)+VLOOKUP(D545,'Species Codes'!B:D,3,0)*LOG(E545)+VLOOKUP(D545,'Species Codes'!B:E,4,0)*LOG(I545))),0),"")</f>
        <v/>
      </c>
      <c r="AA545" s="104" t="str">
        <f>IFERROR((VLOOKUP(D545,'Species Codes'!B:G,6,0)*Z545)/2000,"")</f>
        <v/>
      </c>
      <c r="AB545" s="104" t="e">
        <f>IF(Z545&gt;0,((IF(OR(D545="DF",D545="RA")=TRUE,EXP(VLOOKUP(D545,'Species Codes'!B:I,8,0)+VLOOKUP(D545,'Species Codes'!B:J,9,0)*(LN((E545*2.54)))),IF(OR(D545="PY",D545="RC",D545="WH",D545="NF")=TRUE,VLOOKUP(D545,'Species Codes'!B:I,8,0)+VLOOKUP(D545,'Species Codes'!B:J,9,0)*((E545*2.54)^2)*(I545*0.3048),IF(OR(D545="MD",D545="BM",D545="GA")=TRUE,((VLOOKUP(D545,'Species Codes'!B:I,8,0)*(((((E545*2.54)+VLOOKUP(D545,'Species Codes'!B:J,9,0))/VLOOKUP(D545,'Species Codes'!B:K,10,0))^VLOOKUP(D545,'Species Codes'!B:L,11,0))*((I545*0.3048)^VLOOKUP(D545,'Species Codes'!B:M,12,0))))-(VLOOKUP(D545,'Species Codes'!B:I,8,0)*((((E545*2.54)^VLOOKUP(D545,'Species Codes'!B:L,11,0))*((I545*0.3048)^VLOOKUP(D545,'Species Codes'!B:M,12,0))))))*35.3*VLOOKUP(D545,'Species Codes'!B:G,6,0)/2.2046,VLOOKUP(D545,'Species Codes'!B:I,8,0)+VLOOKUP(D545,'Species Codes'!B:J,9,0)*(((E545*2.54)/100)^2)*(I545*0.3048)))))*0.0011023),0)</f>
        <v>#N/A</v>
      </c>
      <c r="AC545" s="104" t="e">
        <f>IF(Z545&gt;0,((IF(OR(D545="RA",D545="OA",D545="OT",D545="UN",D545="PC"),EXP(VLOOKUP(D545,'Species Codes'!B:O,14,0)+VLOOKUP(D545,'Species Codes'!B:P,15,0)*LN((E545*2.54)))-EXP(VLOOKUP(D545,'Species Codes'!B:O,14,0)+VLOOKUP(D545,'Species Codes'!B:P,15,0)*LN((E545*2.54)))*(1/(VLOOKUP(D545,'Species Codes'!B:Q,16,0)+VLOOKUP(D545,'Species Codes'!B:R,17,0)*((E545*2.54)^VLOOKUP(D545,'Species Codes'!B:S,18,0)))),IF(OR(D545="BM",D545="MD",D545="OA"),EXP(VLOOKUP(D545,'Species Codes'!B:O,14,0)+VLOOKUP(D545,'Species Codes'!B:P,15,0)*LN((E545*2.54)))*(1-(1/(VLOOKUP(D545,'Species Codes'!B:Q,16,0)+VLOOKUP(D545,'Species Codes'!B:R,17,0)*((E545*2.54)^VLOOKUP(D545,'Species Codes'!B:S,18,0)))))/1000,IF(D545="DF",EXP(VLOOKUP(D545,'Species Codes'!B:O,14,0)+VLOOKUP(D545,'Species Codes'!B:P,15,0)*LN((E545*2.54))),VLOOKUP(D545,'Species Codes'!B:O,14,0)+VLOOKUP(D545,'Species Codes'!B:P,15,0)*(((E545*2.54)/100)^2)*(I545*0.3048)))))*0.0011023),0)</f>
        <v>#N/A</v>
      </c>
      <c r="AD545" s="104" t="e">
        <f t="shared" si="274"/>
        <v>#N/A</v>
      </c>
      <c r="AE545" s="104" t="e">
        <f t="shared" si="275"/>
        <v>#N/A</v>
      </c>
      <c r="AF545" s="104" t="e">
        <f>IF(AND(VLOOKUP($D545,Merchantability!$B:$C,2,0)="Yes",$E545&gt;=VLOOKUP($D545,Merchantability!$B:$D,3,0),$E545&lt;=VLOOKUP($D545,Merchantability!$B:$E,4,0)),AA545,0)</f>
        <v>#N/A</v>
      </c>
      <c r="AG545" s="104" t="e">
        <f>IF(AND(VLOOKUP($D545,Merchantability!$B:$C,2,0)="Yes",$E545&gt;=VLOOKUP($D545,Merchantability!$B:$D,3,0),$E545&lt;=VLOOKUP($D545,Merchantability!$B:$E,4,0)),AB545,0)</f>
        <v>#N/A</v>
      </c>
      <c r="AH545" s="104" t="e">
        <f>IF(AND(VLOOKUP($D545,Merchantability!$B:$C,2,0)="Yes",$E545&gt;=VLOOKUP($D545,Merchantability!$B:$D,3,0),$E545&lt;=VLOOKUP($D545,Merchantability!$B:$E,4,0)),AC545,0)</f>
        <v>#N/A</v>
      </c>
      <c r="AI545" s="104" t="e">
        <f t="shared" si="276"/>
        <v>#N/A</v>
      </c>
      <c r="AJ545" s="104" t="e">
        <f t="shared" si="277"/>
        <v>#VALUE!</v>
      </c>
      <c r="AK545" s="104" t="e">
        <f t="shared" si="278"/>
        <v>#N/A</v>
      </c>
      <c r="AL545" s="104" t="e">
        <f t="shared" si="279"/>
        <v>#N/A</v>
      </c>
      <c r="AM545" s="104" t="e">
        <f t="shared" si="280"/>
        <v>#N/A</v>
      </c>
      <c r="AN545" s="104" t="e">
        <f t="shared" si="264"/>
        <v>#N/A</v>
      </c>
      <c r="AO545" s="104" t="e">
        <f t="shared" si="265"/>
        <v>#N/A</v>
      </c>
      <c r="AP545" s="104" t="e">
        <f t="shared" si="266"/>
        <v>#N/A</v>
      </c>
      <c r="AQ545" s="104" t="e">
        <f t="shared" si="267"/>
        <v>#N/A</v>
      </c>
      <c r="AR545" s="105" t="str">
        <f t="shared" si="259"/>
        <v/>
      </c>
      <c r="AS545" s="105" t="str">
        <f t="shared" si="260"/>
        <v/>
      </c>
      <c r="AT545" s="108" t="str">
        <f t="shared" si="261"/>
        <v/>
      </c>
      <c r="AU545" s="108" t="str">
        <f t="shared" si="262"/>
        <v/>
      </c>
      <c r="AV545" s="107" t="str">
        <f>IF(ISNUMBER(O545),IF(VLOOKUP($A545,Stand!C:J,8,FALSE)="Short",AT545,AU545),"")</f>
        <v/>
      </c>
      <c r="AW545" s="109" t="str">
        <f t="shared" si="268"/>
        <v/>
      </c>
      <c r="AX545" s="109" t="str">
        <f t="shared" si="269"/>
        <v/>
      </c>
      <c r="AY545" s="112" t="str">
        <f>IF(ISNUMBER(O545),IF(AND(VLOOKUP($D545,Merchantability!$B:$C,2,0)="Yes",$E545&gt;=VLOOKUP($D545,Merchantability!$B:$D,3,0),$E545&lt;=VLOOKUP($D545,Merchantability!$B:$E,4,0)),(AV545*O545)*(1-$H545/100),""),"")</f>
        <v/>
      </c>
      <c r="AZ545" s="116"/>
      <c r="BA545" s="116"/>
      <c r="BB545" s="116"/>
      <c r="BE545" s="62"/>
      <c r="BF545" s="63"/>
    </row>
    <row r="546" spans="1:58" ht="12.75" customHeight="1" x14ac:dyDescent="0.25">
      <c r="A546" s="313"/>
      <c r="B546" s="328"/>
      <c r="C546" s="329"/>
      <c r="D546" s="328"/>
      <c r="E546" s="330"/>
      <c r="F546" s="328"/>
      <c r="G546" s="329"/>
      <c r="H546" s="329"/>
      <c r="I546" s="328"/>
      <c r="J546" s="383"/>
      <c r="K546" s="329"/>
      <c r="L546" s="329"/>
      <c r="M546" s="78"/>
      <c r="N546" s="103" t="str">
        <f>IF(A546="","",VLOOKUP(A546,Stand!C:K,9,0))</f>
        <v/>
      </c>
      <c r="O546" s="104" t="str">
        <f t="shared" si="254"/>
        <v/>
      </c>
      <c r="P546" s="105" t="str">
        <f t="shared" si="255"/>
        <v/>
      </c>
      <c r="Q546" s="105" t="str">
        <f t="shared" si="270"/>
        <v/>
      </c>
      <c r="R546" s="103" t="str">
        <f t="shared" si="256"/>
        <v/>
      </c>
      <c r="S546" s="103" t="str">
        <f t="shared" si="257"/>
        <v/>
      </c>
      <c r="T546" s="106" t="str">
        <f t="shared" si="271"/>
        <v/>
      </c>
      <c r="U546" s="106" t="str">
        <f t="shared" si="272"/>
        <v/>
      </c>
      <c r="V546" s="106" t="str">
        <f t="shared" si="273"/>
        <v/>
      </c>
      <c r="W546" s="105" t="str">
        <f t="shared" si="258"/>
        <v/>
      </c>
      <c r="X546" s="104" t="str">
        <f t="shared" si="263"/>
        <v/>
      </c>
      <c r="Y546" s="104" t="str">
        <f t="array" ref="Y546">IFERROR(IF(ISNUMBER(O546),IF(COUNT(IF(A546=$A$2:$A$2427,IF(D546=$D$2:$D$2427,IF($X$2:$X$2427&gt;0,1))))&gt;0,SUM(IF(A546=$A$2:$A$2427,IF(D546=$D$2:$D$2427,$X$2:$X$2427)))/COUNT(IF(A546=$A$2:$A$2427,IF(D546=$D$2:$D$2427,IF(ISNUMBER($X$2:$X$2427),1)))),0),""),0)</f>
        <v/>
      </c>
      <c r="Z546" s="104" t="str">
        <f>IF(ISNUMBER(O546),IF(I546&gt;0,(10^(VLOOKUP(D546,'Species Codes'!B:C,2,0)+VLOOKUP(D546,'Species Codes'!B:D,3,0)*LOG(E546)+VLOOKUP(D546,'Species Codes'!B:E,4,0)*LOG(I546))),0),"")</f>
        <v/>
      </c>
      <c r="AA546" s="104" t="str">
        <f>IFERROR((VLOOKUP(D546,'Species Codes'!B:G,6,0)*Z546)/2000,"")</f>
        <v/>
      </c>
      <c r="AB546" s="104" t="e">
        <f>IF(Z546&gt;0,((IF(OR(D546="DF",D546="RA")=TRUE,EXP(VLOOKUP(D546,'Species Codes'!B:I,8,0)+VLOOKUP(D546,'Species Codes'!B:J,9,0)*(LN((E546*2.54)))),IF(OR(D546="PY",D546="RC",D546="WH",D546="NF")=TRUE,VLOOKUP(D546,'Species Codes'!B:I,8,0)+VLOOKUP(D546,'Species Codes'!B:J,9,0)*((E546*2.54)^2)*(I546*0.3048),IF(OR(D546="MD",D546="BM",D546="GA")=TRUE,((VLOOKUP(D546,'Species Codes'!B:I,8,0)*(((((E546*2.54)+VLOOKUP(D546,'Species Codes'!B:J,9,0))/VLOOKUP(D546,'Species Codes'!B:K,10,0))^VLOOKUP(D546,'Species Codes'!B:L,11,0))*((I546*0.3048)^VLOOKUP(D546,'Species Codes'!B:M,12,0))))-(VLOOKUP(D546,'Species Codes'!B:I,8,0)*((((E546*2.54)^VLOOKUP(D546,'Species Codes'!B:L,11,0))*((I546*0.3048)^VLOOKUP(D546,'Species Codes'!B:M,12,0))))))*35.3*VLOOKUP(D546,'Species Codes'!B:G,6,0)/2.2046,VLOOKUP(D546,'Species Codes'!B:I,8,0)+VLOOKUP(D546,'Species Codes'!B:J,9,0)*(((E546*2.54)/100)^2)*(I546*0.3048)))))*0.0011023),0)</f>
        <v>#N/A</v>
      </c>
      <c r="AC546" s="104" t="e">
        <f>IF(Z546&gt;0,((IF(OR(D546="RA",D546="OA",D546="OT",D546="UN",D546="PC"),EXP(VLOOKUP(D546,'Species Codes'!B:O,14,0)+VLOOKUP(D546,'Species Codes'!B:P,15,0)*LN((E546*2.54)))-EXP(VLOOKUP(D546,'Species Codes'!B:O,14,0)+VLOOKUP(D546,'Species Codes'!B:P,15,0)*LN((E546*2.54)))*(1/(VLOOKUP(D546,'Species Codes'!B:Q,16,0)+VLOOKUP(D546,'Species Codes'!B:R,17,0)*((E546*2.54)^VLOOKUP(D546,'Species Codes'!B:S,18,0)))),IF(OR(D546="BM",D546="MD",D546="OA"),EXP(VLOOKUP(D546,'Species Codes'!B:O,14,0)+VLOOKUP(D546,'Species Codes'!B:P,15,0)*LN((E546*2.54)))*(1-(1/(VLOOKUP(D546,'Species Codes'!B:Q,16,0)+VLOOKUP(D546,'Species Codes'!B:R,17,0)*((E546*2.54)^VLOOKUP(D546,'Species Codes'!B:S,18,0)))))/1000,IF(D546="DF",EXP(VLOOKUP(D546,'Species Codes'!B:O,14,0)+VLOOKUP(D546,'Species Codes'!B:P,15,0)*LN((E546*2.54))),VLOOKUP(D546,'Species Codes'!B:O,14,0)+VLOOKUP(D546,'Species Codes'!B:P,15,0)*(((E546*2.54)/100)^2)*(I546*0.3048)))))*0.0011023),0)</f>
        <v>#N/A</v>
      </c>
      <c r="AD546" s="104" t="e">
        <f t="shared" si="274"/>
        <v>#N/A</v>
      </c>
      <c r="AE546" s="104" t="e">
        <f t="shared" si="275"/>
        <v>#N/A</v>
      </c>
      <c r="AF546" s="104" t="e">
        <f>IF(AND(VLOOKUP($D546,Merchantability!$B:$C,2,0)="Yes",$E546&gt;=VLOOKUP($D546,Merchantability!$B:$D,3,0),$E546&lt;=VLOOKUP($D546,Merchantability!$B:$E,4,0)),AA546,0)</f>
        <v>#N/A</v>
      </c>
      <c r="AG546" s="104" t="e">
        <f>IF(AND(VLOOKUP($D546,Merchantability!$B:$C,2,0)="Yes",$E546&gt;=VLOOKUP($D546,Merchantability!$B:$D,3,0),$E546&lt;=VLOOKUP($D546,Merchantability!$B:$E,4,0)),AB546,0)</f>
        <v>#N/A</v>
      </c>
      <c r="AH546" s="104" t="e">
        <f>IF(AND(VLOOKUP($D546,Merchantability!$B:$C,2,0)="Yes",$E546&gt;=VLOOKUP($D546,Merchantability!$B:$D,3,0),$E546&lt;=VLOOKUP($D546,Merchantability!$B:$E,4,0)),AC546,0)</f>
        <v>#N/A</v>
      </c>
      <c r="AI546" s="104" t="e">
        <f t="shared" si="276"/>
        <v>#N/A</v>
      </c>
      <c r="AJ546" s="104" t="e">
        <f t="shared" si="277"/>
        <v>#VALUE!</v>
      </c>
      <c r="AK546" s="104" t="e">
        <f t="shared" si="278"/>
        <v>#N/A</v>
      </c>
      <c r="AL546" s="104" t="e">
        <f t="shared" si="279"/>
        <v>#N/A</v>
      </c>
      <c r="AM546" s="104" t="e">
        <f t="shared" si="280"/>
        <v>#N/A</v>
      </c>
      <c r="AN546" s="104" t="e">
        <f t="shared" si="264"/>
        <v>#N/A</v>
      </c>
      <c r="AO546" s="104" t="e">
        <f t="shared" si="265"/>
        <v>#N/A</v>
      </c>
      <c r="AP546" s="104" t="e">
        <f t="shared" si="266"/>
        <v>#N/A</v>
      </c>
      <c r="AQ546" s="104" t="e">
        <f t="shared" si="267"/>
        <v>#N/A</v>
      </c>
      <c r="AR546" s="105" t="str">
        <f t="shared" si="259"/>
        <v/>
      </c>
      <c r="AS546" s="105" t="str">
        <f t="shared" si="260"/>
        <v/>
      </c>
      <c r="AT546" s="108" t="str">
        <f t="shared" si="261"/>
        <v/>
      </c>
      <c r="AU546" s="108" t="str">
        <f t="shared" si="262"/>
        <v/>
      </c>
      <c r="AV546" s="107" t="str">
        <f>IF(ISNUMBER(O546),IF(VLOOKUP($A546,Stand!C:J,8,FALSE)="Short",AT546,AU546),"")</f>
        <v/>
      </c>
      <c r="AW546" s="109" t="str">
        <f t="shared" si="268"/>
        <v/>
      </c>
      <c r="AX546" s="109" t="str">
        <f t="shared" si="269"/>
        <v/>
      </c>
      <c r="AY546" s="112" t="str">
        <f>IF(ISNUMBER(O546),IF(AND(VLOOKUP($D546,Merchantability!$B:$C,2,0)="Yes",$E546&gt;=VLOOKUP($D546,Merchantability!$B:$D,3,0),$E546&lt;=VLOOKUP($D546,Merchantability!$B:$E,4,0)),(AV546*O546)*(1-$H546/100),""),"")</f>
        <v/>
      </c>
      <c r="AZ546" s="116"/>
      <c r="BA546" s="116"/>
      <c r="BB546" s="116"/>
      <c r="BE546" s="62"/>
      <c r="BF546" s="63"/>
    </row>
    <row r="547" spans="1:58" ht="12.75" customHeight="1" x14ac:dyDescent="0.25">
      <c r="A547" s="313"/>
      <c r="B547" s="328"/>
      <c r="C547" s="329"/>
      <c r="D547" s="328"/>
      <c r="E547" s="330"/>
      <c r="F547" s="328"/>
      <c r="G547" s="329"/>
      <c r="H547" s="329"/>
      <c r="I547" s="328"/>
      <c r="J547" s="383"/>
      <c r="K547" s="329"/>
      <c r="L547" s="329"/>
      <c r="M547" s="78"/>
      <c r="N547" s="103" t="str">
        <f>IF(A547="","",VLOOKUP(A547,Stand!C:K,9,0))</f>
        <v/>
      </c>
      <c r="O547" s="104" t="str">
        <f t="shared" si="254"/>
        <v/>
      </c>
      <c r="P547" s="105" t="str">
        <f t="shared" si="255"/>
        <v/>
      </c>
      <c r="Q547" s="105" t="str">
        <f t="shared" si="270"/>
        <v/>
      </c>
      <c r="R547" s="103" t="str">
        <f t="shared" si="256"/>
        <v/>
      </c>
      <c r="S547" s="103" t="str">
        <f t="shared" si="257"/>
        <v/>
      </c>
      <c r="T547" s="106" t="str">
        <f t="shared" si="271"/>
        <v/>
      </c>
      <c r="U547" s="106" t="str">
        <f t="shared" si="272"/>
        <v/>
      </c>
      <c r="V547" s="106" t="str">
        <f t="shared" si="273"/>
        <v/>
      </c>
      <c r="W547" s="105" t="str">
        <f t="shared" si="258"/>
        <v/>
      </c>
      <c r="X547" s="104" t="str">
        <f t="shared" si="263"/>
        <v/>
      </c>
      <c r="Y547" s="104" t="str">
        <f t="array" ref="Y547">IFERROR(IF(ISNUMBER(O547),IF(COUNT(IF(A547=$A$2:$A$2427,IF(D547=$D$2:$D$2427,IF($X$2:$X$2427&gt;0,1))))&gt;0,SUM(IF(A547=$A$2:$A$2427,IF(D547=$D$2:$D$2427,$X$2:$X$2427)))/COUNT(IF(A547=$A$2:$A$2427,IF(D547=$D$2:$D$2427,IF(ISNUMBER($X$2:$X$2427),1)))),0),""),0)</f>
        <v/>
      </c>
      <c r="Z547" s="104" t="str">
        <f>IF(ISNUMBER(O547),IF(I547&gt;0,(10^(VLOOKUP(D547,'Species Codes'!B:C,2,0)+VLOOKUP(D547,'Species Codes'!B:D,3,0)*LOG(E547)+VLOOKUP(D547,'Species Codes'!B:E,4,0)*LOG(I547))),0),"")</f>
        <v/>
      </c>
      <c r="AA547" s="104" t="str">
        <f>IFERROR((VLOOKUP(D547,'Species Codes'!B:G,6,0)*Z547)/2000,"")</f>
        <v/>
      </c>
      <c r="AB547" s="104" t="e">
        <f>IF(Z547&gt;0,((IF(OR(D547="DF",D547="RA")=TRUE,EXP(VLOOKUP(D547,'Species Codes'!B:I,8,0)+VLOOKUP(D547,'Species Codes'!B:J,9,0)*(LN((E547*2.54)))),IF(OR(D547="PY",D547="RC",D547="WH",D547="NF")=TRUE,VLOOKUP(D547,'Species Codes'!B:I,8,0)+VLOOKUP(D547,'Species Codes'!B:J,9,0)*((E547*2.54)^2)*(I547*0.3048),IF(OR(D547="MD",D547="BM",D547="GA")=TRUE,((VLOOKUP(D547,'Species Codes'!B:I,8,0)*(((((E547*2.54)+VLOOKUP(D547,'Species Codes'!B:J,9,0))/VLOOKUP(D547,'Species Codes'!B:K,10,0))^VLOOKUP(D547,'Species Codes'!B:L,11,0))*((I547*0.3048)^VLOOKUP(D547,'Species Codes'!B:M,12,0))))-(VLOOKUP(D547,'Species Codes'!B:I,8,0)*((((E547*2.54)^VLOOKUP(D547,'Species Codes'!B:L,11,0))*((I547*0.3048)^VLOOKUP(D547,'Species Codes'!B:M,12,0))))))*35.3*VLOOKUP(D547,'Species Codes'!B:G,6,0)/2.2046,VLOOKUP(D547,'Species Codes'!B:I,8,0)+VLOOKUP(D547,'Species Codes'!B:J,9,0)*(((E547*2.54)/100)^2)*(I547*0.3048)))))*0.0011023),0)</f>
        <v>#N/A</v>
      </c>
      <c r="AC547" s="104" t="e">
        <f>IF(Z547&gt;0,((IF(OR(D547="RA",D547="OA",D547="OT",D547="UN",D547="PC"),EXP(VLOOKUP(D547,'Species Codes'!B:O,14,0)+VLOOKUP(D547,'Species Codes'!B:P,15,0)*LN((E547*2.54)))-EXP(VLOOKUP(D547,'Species Codes'!B:O,14,0)+VLOOKUP(D547,'Species Codes'!B:P,15,0)*LN((E547*2.54)))*(1/(VLOOKUP(D547,'Species Codes'!B:Q,16,0)+VLOOKUP(D547,'Species Codes'!B:R,17,0)*((E547*2.54)^VLOOKUP(D547,'Species Codes'!B:S,18,0)))),IF(OR(D547="BM",D547="MD",D547="OA"),EXP(VLOOKUP(D547,'Species Codes'!B:O,14,0)+VLOOKUP(D547,'Species Codes'!B:P,15,0)*LN((E547*2.54)))*(1-(1/(VLOOKUP(D547,'Species Codes'!B:Q,16,0)+VLOOKUP(D547,'Species Codes'!B:R,17,0)*((E547*2.54)^VLOOKUP(D547,'Species Codes'!B:S,18,0)))))/1000,IF(D547="DF",EXP(VLOOKUP(D547,'Species Codes'!B:O,14,0)+VLOOKUP(D547,'Species Codes'!B:P,15,0)*LN((E547*2.54))),VLOOKUP(D547,'Species Codes'!B:O,14,0)+VLOOKUP(D547,'Species Codes'!B:P,15,0)*(((E547*2.54)/100)^2)*(I547*0.3048)))))*0.0011023),0)</f>
        <v>#N/A</v>
      </c>
      <c r="AD547" s="104" t="e">
        <f t="shared" si="274"/>
        <v>#N/A</v>
      </c>
      <c r="AE547" s="104" t="e">
        <f t="shared" si="275"/>
        <v>#N/A</v>
      </c>
      <c r="AF547" s="104" t="e">
        <f>IF(AND(VLOOKUP($D547,Merchantability!$B:$C,2,0)="Yes",$E547&gt;=VLOOKUP($D547,Merchantability!$B:$D,3,0),$E547&lt;=VLOOKUP($D547,Merchantability!$B:$E,4,0)),AA547,0)</f>
        <v>#N/A</v>
      </c>
      <c r="AG547" s="104" t="e">
        <f>IF(AND(VLOOKUP($D547,Merchantability!$B:$C,2,0)="Yes",$E547&gt;=VLOOKUP($D547,Merchantability!$B:$D,3,0),$E547&lt;=VLOOKUP($D547,Merchantability!$B:$E,4,0)),AB547,0)</f>
        <v>#N/A</v>
      </c>
      <c r="AH547" s="104" t="e">
        <f>IF(AND(VLOOKUP($D547,Merchantability!$B:$C,2,0)="Yes",$E547&gt;=VLOOKUP($D547,Merchantability!$B:$D,3,0),$E547&lt;=VLOOKUP($D547,Merchantability!$B:$E,4,0)),AC547,0)</f>
        <v>#N/A</v>
      </c>
      <c r="AI547" s="104" t="e">
        <f t="shared" si="276"/>
        <v>#N/A</v>
      </c>
      <c r="AJ547" s="104" t="e">
        <f t="shared" si="277"/>
        <v>#VALUE!</v>
      </c>
      <c r="AK547" s="104" t="e">
        <f t="shared" si="278"/>
        <v>#N/A</v>
      </c>
      <c r="AL547" s="104" t="e">
        <f t="shared" si="279"/>
        <v>#N/A</v>
      </c>
      <c r="AM547" s="104" t="e">
        <f t="shared" si="280"/>
        <v>#N/A</v>
      </c>
      <c r="AN547" s="104" t="e">
        <f t="shared" si="264"/>
        <v>#N/A</v>
      </c>
      <c r="AO547" s="104" t="e">
        <f t="shared" si="265"/>
        <v>#N/A</v>
      </c>
      <c r="AP547" s="104" t="e">
        <f t="shared" si="266"/>
        <v>#N/A</v>
      </c>
      <c r="AQ547" s="104" t="e">
        <f t="shared" si="267"/>
        <v>#N/A</v>
      </c>
      <c r="AR547" s="105" t="str">
        <f t="shared" si="259"/>
        <v/>
      </c>
      <c r="AS547" s="105" t="str">
        <f t="shared" si="260"/>
        <v/>
      </c>
      <c r="AT547" s="108" t="str">
        <f t="shared" si="261"/>
        <v/>
      </c>
      <c r="AU547" s="108" t="str">
        <f t="shared" si="262"/>
        <v/>
      </c>
      <c r="AV547" s="107" t="str">
        <f>IF(ISNUMBER(O547),IF(VLOOKUP($A547,Stand!C:J,8,FALSE)="Short",AT547,AU547),"")</f>
        <v/>
      </c>
      <c r="AW547" s="109" t="str">
        <f t="shared" si="268"/>
        <v/>
      </c>
      <c r="AX547" s="109" t="str">
        <f t="shared" si="269"/>
        <v/>
      </c>
      <c r="AY547" s="112" t="str">
        <f>IF(ISNUMBER(O547),IF(AND(VLOOKUP($D547,Merchantability!$B:$C,2,0)="Yes",$E547&gt;=VLOOKUP($D547,Merchantability!$B:$D,3,0),$E547&lt;=VLOOKUP($D547,Merchantability!$B:$E,4,0)),(AV547*O547)*(1-$H547/100),""),"")</f>
        <v/>
      </c>
      <c r="AZ547" s="116"/>
      <c r="BA547" s="116"/>
      <c r="BB547" s="116"/>
      <c r="BE547" s="62"/>
      <c r="BF547" s="63"/>
    </row>
    <row r="548" spans="1:58" ht="12.75" customHeight="1" x14ac:dyDescent="0.25">
      <c r="A548" s="313"/>
      <c r="B548" s="328"/>
      <c r="C548" s="329"/>
      <c r="D548" s="328"/>
      <c r="E548" s="330"/>
      <c r="F548" s="328"/>
      <c r="G548" s="329"/>
      <c r="H548" s="329"/>
      <c r="I548" s="328"/>
      <c r="J548" s="383"/>
      <c r="K548" s="329"/>
      <c r="L548" s="329"/>
      <c r="M548" s="78"/>
      <c r="N548" s="103" t="str">
        <f>IF(A548="","",VLOOKUP(A548,Stand!C:K,9,0))</f>
        <v/>
      </c>
      <c r="O548" s="104" t="str">
        <f t="shared" si="254"/>
        <v/>
      </c>
      <c r="P548" s="105" t="str">
        <f t="shared" si="255"/>
        <v/>
      </c>
      <c r="Q548" s="105" t="str">
        <f t="shared" si="270"/>
        <v/>
      </c>
      <c r="R548" s="103" t="str">
        <f t="shared" si="256"/>
        <v/>
      </c>
      <c r="S548" s="103" t="str">
        <f t="shared" si="257"/>
        <v/>
      </c>
      <c r="T548" s="106" t="str">
        <f t="shared" si="271"/>
        <v/>
      </c>
      <c r="U548" s="106" t="str">
        <f t="shared" si="272"/>
        <v/>
      </c>
      <c r="V548" s="106" t="str">
        <f t="shared" si="273"/>
        <v/>
      </c>
      <c r="W548" s="105" t="str">
        <f t="shared" si="258"/>
        <v/>
      </c>
      <c r="X548" s="104" t="str">
        <f t="shared" si="263"/>
        <v/>
      </c>
      <c r="Y548" s="104" t="str">
        <f t="array" ref="Y548">IFERROR(IF(ISNUMBER(O548),IF(COUNT(IF(A548=$A$2:$A$2427,IF(D548=$D$2:$D$2427,IF($X$2:$X$2427&gt;0,1))))&gt;0,SUM(IF(A548=$A$2:$A$2427,IF(D548=$D$2:$D$2427,$X$2:$X$2427)))/COUNT(IF(A548=$A$2:$A$2427,IF(D548=$D$2:$D$2427,IF(ISNUMBER($X$2:$X$2427),1)))),0),""),0)</f>
        <v/>
      </c>
      <c r="Z548" s="104" t="str">
        <f>IF(ISNUMBER(O548),IF(I548&gt;0,(10^(VLOOKUP(D548,'Species Codes'!B:C,2,0)+VLOOKUP(D548,'Species Codes'!B:D,3,0)*LOG(E548)+VLOOKUP(D548,'Species Codes'!B:E,4,0)*LOG(I548))),0),"")</f>
        <v/>
      </c>
      <c r="AA548" s="104" t="str">
        <f>IFERROR((VLOOKUP(D548,'Species Codes'!B:G,6,0)*Z548)/2000,"")</f>
        <v/>
      </c>
      <c r="AB548" s="104" t="e">
        <f>IF(Z548&gt;0,((IF(OR(D548="DF",D548="RA")=TRUE,EXP(VLOOKUP(D548,'Species Codes'!B:I,8,0)+VLOOKUP(D548,'Species Codes'!B:J,9,0)*(LN((E548*2.54)))),IF(OR(D548="PY",D548="RC",D548="WH",D548="NF")=TRUE,VLOOKUP(D548,'Species Codes'!B:I,8,0)+VLOOKUP(D548,'Species Codes'!B:J,9,0)*((E548*2.54)^2)*(I548*0.3048),IF(OR(D548="MD",D548="BM",D548="GA")=TRUE,((VLOOKUP(D548,'Species Codes'!B:I,8,0)*(((((E548*2.54)+VLOOKUP(D548,'Species Codes'!B:J,9,0))/VLOOKUP(D548,'Species Codes'!B:K,10,0))^VLOOKUP(D548,'Species Codes'!B:L,11,0))*((I548*0.3048)^VLOOKUP(D548,'Species Codes'!B:M,12,0))))-(VLOOKUP(D548,'Species Codes'!B:I,8,0)*((((E548*2.54)^VLOOKUP(D548,'Species Codes'!B:L,11,0))*((I548*0.3048)^VLOOKUP(D548,'Species Codes'!B:M,12,0))))))*35.3*VLOOKUP(D548,'Species Codes'!B:G,6,0)/2.2046,VLOOKUP(D548,'Species Codes'!B:I,8,0)+VLOOKUP(D548,'Species Codes'!B:J,9,0)*(((E548*2.54)/100)^2)*(I548*0.3048)))))*0.0011023),0)</f>
        <v>#N/A</v>
      </c>
      <c r="AC548" s="104" t="e">
        <f>IF(Z548&gt;0,((IF(OR(D548="RA",D548="OA",D548="OT",D548="UN",D548="PC"),EXP(VLOOKUP(D548,'Species Codes'!B:O,14,0)+VLOOKUP(D548,'Species Codes'!B:P,15,0)*LN((E548*2.54)))-EXP(VLOOKUP(D548,'Species Codes'!B:O,14,0)+VLOOKUP(D548,'Species Codes'!B:P,15,0)*LN((E548*2.54)))*(1/(VLOOKUP(D548,'Species Codes'!B:Q,16,0)+VLOOKUP(D548,'Species Codes'!B:R,17,0)*((E548*2.54)^VLOOKUP(D548,'Species Codes'!B:S,18,0)))),IF(OR(D548="BM",D548="MD",D548="OA"),EXP(VLOOKUP(D548,'Species Codes'!B:O,14,0)+VLOOKUP(D548,'Species Codes'!B:P,15,0)*LN((E548*2.54)))*(1-(1/(VLOOKUP(D548,'Species Codes'!B:Q,16,0)+VLOOKUP(D548,'Species Codes'!B:R,17,0)*((E548*2.54)^VLOOKUP(D548,'Species Codes'!B:S,18,0)))))/1000,IF(D548="DF",EXP(VLOOKUP(D548,'Species Codes'!B:O,14,0)+VLOOKUP(D548,'Species Codes'!B:P,15,0)*LN((E548*2.54))),VLOOKUP(D548,'Species Codes'!B:O,14,0)+VLOOKUP(D548,'Species Codes'!B:P,15,0)*(((E548*2.54)/100)^2)*(I548*0.3048)))))*0.0011023),0)</f>
        <v>#N/A</v>
      </c>
      <c r="AD548" s="104" t="e">
        <f t="shared" si="274"/>
        <v>#N/A</v>
      </c>
      <c r="AE548" s="104" t="e">
        <f t="shared" si="275"/>
        <v>#N/A</v>
      </c>
      <c r="AF548" s="104" t="e">
        <f>IF(AND(VLOOKUP($D548,Merchantability!$B:$C,2,0)="Yes",$E548&gt;=VLOOKUP($D548,Merchantability!$B:$D,3,0),$E548&lt;=VLOOKUP($D548,Merchantability!$B:$E,4,0)),AA548,0)</f>
        <v>#N/A</v>
      </c>
      <c r="AG548" s="104" t="e">
        <f>IF(AND(VLOOKUP($D548,Merchantability!$B:$C,2,0)="Yes",$E548&gt;=VLOOKUP($D548,Merchantability!$B:$D,3,0),$E548&lt;=VLOOKUP($D548,Merchantability!$B:$E,4,0)),AB548,0)</f>
        <v>#N/A</v>
      </c>
      <c r="AH548" s="104" t="e">
        <f>IF(AND(VLOOKUP($D548,Merchantability!$B:$C,2,0)="Yes",$E548&gt;=VLOOKUP($D548,Merchantability!$B:$D,3,0),$E548&lt;=VLOOKUP($D548,Merchantability!$B:$E,4,0)),AC548,0)</f>
        <v>#N/A</v>
      </c>
      <c r="AI548" s="104" t="e">
        <f t="shared" si="276"/>
        <v>#N/A</v>
      </c>
      <c r="AJ548" s="104" t="e">
        <f t="shared" si="277"/>
        <v>#VALUE!</v>
      </c>
      <c r="AK548" s="104" t="e">
        <f t="shared" si="278"/>
        <v>#N/A</v>
      </c>
      <c r="AL548" s="104" t="e">
        <f t="shared" si="279"/>
        <v>#N/A</v>
      </c>
      <c r="AM548" s="104" t="e">
        <f t="shared" si="280"/>
        <v>#N/A</v>
      </c>
      <c r="AN548" s="104" t="e">
        <f t="shared" si="264"/>
        <v>#N/A</v>
      </c>
      <c r="AO548" s="104" t="e">
        <f t="shared" si="265"/>
        <v>#N/A</v>
      </c>
      <c r="AP548" s="104" t="e">
        <f t="shared" si="266"/>
        <v>#N/A</v>
      </c>
      <c r="AQ548" s="104" t="e">
        <f t="shared" si="267"/>
        <v>#N/A</v>
      </c>
      <c r="AR548" s="105" t="str">
        <f t="shared" si="259"/>
        <v/>
      </c>
      <c r="AS548" s="105" t="str">
        <f t="shared" si="260"/>
        <v/>
      </c>
      <c r="AT548" s="108" t="str">
        <f t="shared" si="261"/>
        <v/>
      </c>
      <c r="AU548" s="108" t="str">
        <f t="shared" si="262"/>
        <v/>
      </c>
      <c r="AV548" s="107" t="str">
        <f>IF(ISNUMBER(O548),IF(VLOOKUP($A548,Stand!C:J,8,FALSE)="Short",AT548,AU548),"")</f>
        <v/>
      </c>
      <c r="AW548" s="109" t="str">
        <f t="shared" si="268"/>
        <v/>
      </c>
      <c r="AX548" s="109" t="str">
        <f t="shared" si="269"/>
        <v/>
      </c>
      <c r="AY548" s="112" t="str">
        <f>IF(ISNUMBER(O548),IF(AND(VLOOKUP($D548,Merchantability!$B:$C,2,0)="Yes",$E548&gt;=VLOOKUP($D548,Merchantability!$B:$D,3,0),$E548&lt;=VLOOKUP($D548,Merchantability!$B:$E,4,0)),(AV548*O548)*(1-$H548/100),""),"")</f>
        <v/>
      </c>
      <c r="AZ548" s="116"/>
      <c r="BA548" s="116"/>
      <c r="BB548" s="116"/>
      <c r="BE548" s="62"/>
      <c r="BF548" s="63"/>
    </row>
    <row r="549" spans="1:58" ht="12.75" customHeight="1" x14ac:dyDescent="0.25">
      <c r="A549" s="313"/>
      <c r="B549" s="328"/>
      <c r="C549" s="329"/>
      <c r="D549" s="328"/>
      <c r="E549" s="330"/>
      <c r="F549" s="328"/>
      <c r="G549" s="329"/>
      <c r="H549" s="329"/>
      <c r="I549" s="328"/>
      <c r="J549" s="383"/>
      <c r="K549" s="329"/>
      <c r="L549" s="329"/>
      <c r="M549" s="78"/>
      <c r="N549" s="103" t="str">
        <f>IF(A549="","",VLOOKUP(A549,Stand!C:K,9,0))</f>
        <v/>
      </c>
      <c r="O549" s="104" t="str">
        <f t="shared" si="254"/>
        <v/>
      </c>
      <c r="P549" s="105" t="str">
        <f t="shared" si="255"/>
        <v/>
      </c>
      <c r="Q549" s="105" t="str">
        <f t="shared" si="270"/>
        <v/>
      </c>
      <c r="R549" s="103" t="str">
        <f t="shared" si="256"/>
        <v/>
      </c>
      <c r="S549" s="103" t="str">
        <f t="shared" si="257"/>
        <v/>
      </c>
      <c r="T549" s="106" t="str">
        <f t="shared" si="271"/>
        <v/>
      </c>
      <c r="U549" s="106" t="str">
        <f t="shared" si="272"/>
        <v/>
      </c>
      <c r="V549" s="106" t="str">
        <f t="shared" si="273"/>
        <v/>
      </c>
      <c r="W549" s="105" t="str">
        <f t="shared" si="258"/>
        <v/>
      </c>
      <c r="X549" s="104" t="str">
        <f t="shared" si="263"/>
        <v/>
      </c>
      <c r="Y549" s="104" t="str">
        <f t="array" ref="Y549">IFERROR(IF(ISNUMBER(O549),IF(COUNT(IF(A549=$A$2:$A$2427,IF(D549=$D$2:$D$2427,IF($X$2:$X$2427&gt;0,1))))&gt;0,SUM(IF(A549=$A$2:$A$2427,IF(D549=$D$2:$D$2427,$X$2:$X$2427)))/COUNT(IF(A549=$A$2:$A$2427,IF(D549=$D$2:$D$2427,IF(ISNUMBER($X$2:$X$2427),1)))),0),""),0)</f>
        <v/>
      </c>
      <c r="Z549" s="104" t="str">
        <f>IF(ISNUMBER(O549),IF(I549&gt;0,(10^(VLOOKUP(D549,'Species Codes'!B:C,2,0)+VLOOKUP(D549,'Species Codes'!B:D,3,0)*LOG(E549)+VLOOKUP(D549,'Species Codes'!B:E,4,0)*LOG(I549))),0),"")</f>
        <v/>
      </c>
      <c r="AA549" s="104" t="str">
        <f>IFERROR((VLOOKUP(D549,'Species Codes'!B:G,6,0)*Z549)/2000,"")</f>
        <v/>
      </c>
      <c r="AB549" s="104" t="e">
        <f>IF(Z549&gt;0,((IF(OR(D549="DF",D549="RA")=TRUE,EXP(VLOOKUP(D549,'Species Codes'!B:I,8,0)+VLOOKUP(D549,'Species Codes'!B:J,9,0)*(LN((E549*2.54)))),IF(OR(D549="PY",D549="RC",D549="WH",D549="NF")=TRUE,VLOOKUP(D549,'Species Codes'!B:I,8,0)+VLOOKUP(D549,'Species Codes'!B:J,9,0)*((E549*2.54)^2)*(I549*0.3048),IF(OR(D549="MD",D549="BM",D549="GA")=TRUE,((VLOOKUP(D549,'Species Codes'!B:I,8,0)*(((((E549*2.54)+VLOOKUP(D549,'Species Codes'!B:J,9,0))/VLOOKUP(D549,'Species Codes'!B:K,10,0))^VLOOKUP(D549,'Species Codes'!B:L,11,0))*((I549*0.3048)^VLOOKUP(D549,'Species Codes'!B:M,12,0))))-(VLOOKUP(D549,'Species Codes'!B:I,8,0)*((((E549*2.54)^VLOOKUP(D549,'Species Codes'!B:L,11,0))*((I549*0.3048)^VLOOKUP(D549,'Species Codes'!B:M,12,0))))))*35.3*VLOOKUP(D549,'Species Codes'!B:G,6,0)/2.2046,VLOOKUP(D549,'Species Codes'!B:I,8,0)+VLOOKUP(D549,'Species Codes'!B:J,9,0)*(((E549*2.54)/100)^2)*(I549*0.3048)))))*0.0011023),0)</f>
        <v>#N/A</v>
      </c>
      <c r="AC549" s="104" t="e">
        <f>IF(Z549&gt;0,((IF(OR(D549="RA",D549="OA",D549="OT",D549="UN",D549="PC"),EXP(VLOOKUP(D549,'Species Codes'!B:O,14,0)+VLOOKUP(D549,'Species Codes'!B:P,15,0)*LN((E549*2.54)))-EXP(VLOOKUP(D549,'Species Codes'!B:O,14,0)+VLOOKUP(D549,'Species Codes'!B:P,15,0)*LN((E549*2.54)))*(1/(VLOOKUP(D549,'Species Codes'!B:Q,16,0)+VLOOKUP(D549,'Species Codes'!B:R,17,0)*((E549*2.54)^VLOOKUP(D549,'Species Codes'!B:S,18,0)))),IF(OR(D549="BM",D549="MD",D549="OA"),EXP(VLOOKUP(D549,'Species Codes'!B:O,14,0)+VLOOKUP(D549,'Species Codes'!B:P,15,0)*LN((E549*2.54)))*(1-(1/(VLOOKUP(D549,'Species Codes'!B:Q,16,0)+VLOOKUP(D549,'Species Codes'!B:R,17,0)*((E549*2.54)^VLOOKUP(D549,'Species Codes'!B:S,18,0)))))/1000,IF(D549="DF",EXP(VLOOKUP(D549,'Species Codes'!B:O,14,0)+VLOOKUP(D549,'Species Codes'!B:P,15,0)*LN((E549*2.54))),VLOOKUP(D549,'Species Codes'!B:O,14,0)+VLOOKUP(D549,'Species Codes'!B:P,15,0)*(((E549*2.54)/100)^2)*(I549*0.3048)))))*0.0011023),0)</f>
        <v>#N/A</v>
      </c>
      <c r="AD549" s="104" t="e">
        <f t="shared" si="274"/>
        <v>#N/A</v>
      </c>
      <c r="AE549" s="104" t="e">
        <f t="shared" si="275"/>
        <v>#N/A</v>
      </c>
      <c r="AF549" s="104" t="e">
        <f>IF(AND(VLOOKUP($D549,Merchantability!$B:$C,2,0)="Yes",$E549&gt;=VLOOKUP($D549,Merchantability!$B:$D,3,0),$E549&lt;=VLOOKUP($D549,Merchantability!$B:$E,4,0)),AA549,0)</f>
        <v>#N/A</v>
      </c>
      <c r="AG549" s="104" t="e">
        <f>IF(AND(VLOOKUP($D549,Merchantability!$B:$C,2,0)="Yes",$E549&gt;=VLOOKUP($D549,Merchantability!$B:$D,3,0),$E549&lt;=VLOOKUP($D549,Merchantability!$B:$E,4,0)),AB549,0)</f>
        <v>#N/A</v>
      </c>
      <c r="AH549" s="104" t="e">
        <f>IF(AND(VLOOKUP($D549,Merchantability!$B:$C,2,0)="Yes",$E549&gt;=VLOOKUP($D549,Merchantability!$B:$D,3,0),$E549&lt;=VLOOKUP($D549,Merchantability!$B:$E,4,0)),AC549,0)</f>
        <v>#N/A</v>
      </c>
      <c r="AI549" s="104" t="e">
        <f t="shared" si="276"/>
        <v>#N/A</v>
      </c>
      <c r="AJ549" s="104" t="e">
        <f t="shared" si="277"/>
        <v>#VALUE!</v>
      </c>
      <c r="AK549" s="104" t="e">
        <f t="shared" si="278"/>
        <v>#N/A</v>
      </c>
      <c r="AL549" s="104" t="e">
        <f t="shared" si="279"/>
        <v>#N/A</v>
      </c>
      <c r="AM549" s="104" t="e">
        <f t="shared" si="280"/>
        <v>#N/A</v>
      </c>
      <c r="AN549" s="104" t="e">
        <f t="shared" si="264"/>
        <v>#N/A</v>
      </c>
      <c r="AO549" s="104" t="e">
        <f t="shared" si="265"/>
        <v>#N/A</v>
      </c>
      <c r="AP549" s="104" t="e">
        <f t="shared" si="266"/>
        <v>#N/A</v>
      </c>
      <c r="AQ549" s="104" t="e">
        <f t="shared" si="267"/>
        <v>#N/A</v>
      </c>
      <c r="AR549" s="105" t="str">
        <f t="shared" si="259"/>
        <v/>
      </c>
      <c r="AS549" s="105" t="str">
        <f t="shared" si="260"/>
        <v/>
      </c>
      <c r="AT549" s="108" t="str">
        <f t="shared" si="261"/>
        <v/>
      </c>
      <c r="AU549" s="108" t="str">
        <f t="shared" si="262"/>
        <v/>
      </c>
      <c r="AV549" s="107" t="str">
        <f>IF(ISNUMBER(O549),IF(VLOOKUP($A549,Stand!C:J,8,FALSE)="Short",AT549,AU549),"")</f>
        <v/>
      </c>
      <c r="AW549" s="109" t="str">
        <f t="shared" si="268"/>
        <v/>
      </c>
      <c r="AX549" s="109" t="str">
        <f t="shared" si="269"/>
        <v/>
      </c>
      <c r="AY549" s="112" t="str">
        <f>IF(ISNUMBER(O549),IF(AND(VLOOKUP($D549,Merchantability!$B:$C,2,0)="Yes",$E549&gt;=VLOOKUP($D549,Merchantability!$B:$D,3,0),$E549&lt;=VLOOKUP($D549,Merchantability!$B:$E,4,0)),(AV549*O549)*(1-$H549/100),""),"")</f>
        <v/>
      </c>
      <c r="AZ549" s="116"/>
      <c r="BA549" s="116"/>
      <c r="BB549" s="116"/>
      <c r="BE549" s="62"/>
      <c r="BF549" s="63"/>
    </row>
    <row r="550" spans="1:58" ht="12.75" customHeight="1" x14ac:dyDescent="0.25">
      <c r="A550" s="313"/>
      <c r="B550" s="328"/>
      <c r="C550" s="329"/>
      <c r="D550" s="328"/>
      <c r="E550" s="330"/>
      <c r="F550" s="328"/>
      <c r="G550" s="329"/>
      <c r="H550" s="329"/>
      <c r="I550" s="328"/>
      <c r="J550" s="383"/>
      <c r="K550" s="329"/>
      <c r="L550" s="329"/>
      <c r="M550" s="78"/>
      <c r="N550" s="103" t="str">
        <f>IF(A550="","",VLOOKUP(A550,Stand!C:K,9,0))</f>
        <v/>
      </c>
      <c r="O550" s="104" t="str">
        <f t="shared" si="254"/>
        <v/>
      </c>
      <c r="P550" s="105" t="str">
        <f t="shared" si="255"/>
        <v/>
      </c>
      <c r="Q550" s="105" t="str">
        <f t="shared" si="270"/>
        <v/>
      </c>
      <c r="R550" s="103" t="str">
        <f t="shared" si="256"/>
        <v/>
      </c>
      <c r="S550" s="103" t="str">
        <f t="shared" si="257"/>
        <v/>
      </c>
      <c r="T550" s="106" t="str">
        <f t="shared" si="271"/>
        <v/>
      </c>
      <c r="U550" s="106" t="str">
        <f t="shared" si="272"/>
        <v/>
      </c>
      <c r="V550" s="106" t="str">
        <f t="shared" si="273"/>
        <v/>
      </c>
      <c r="W550" s="105" t="str">
        <f t="shared" si="258"/>
        <v/>
      </c>
      <c r="X550" s="104" t="str">
        <f t="shared" si="263"/>
        <v/>
      </c>
      <c r="Y550" s="104" t="str">
        <f t="array" ref="Y550">IFERROR(IF(ISNUMBER(O550),IF(COUNT(IF(A550=$A$2:$A$2427,IF(D550=$D$2:$D$2427,IF($X$2:$X$2427&gt;0,1))))&gt;0,SUM(IF(A550=$A$2:$A$2427,IF(D550=$D$2:$D$2427,$X$2:$X$2427)))/COUNT(IF(A550=$A$2:$A$2427,IF(D550=$D$2:$D$2427,IF(ISNUMBER($X$2:$X$2427),1)))),0),""),0)</f>
        <v/>
      </c>
      <c r="Z550" s="104" t="str">
        <f>IF(ISNUMBER(O550),IF(I550&gt;0,(10^(VLOOKUP(D550,'Species Codes'!B:C,2,0)+VLOOKUP(D550,'Species Codes'!B:D,3,0)*LOG(E550)+VLOOKUP(D550,'Species Codes'!B:E,4,0)*LOG(I550))),0),"")</f>
        <v/>
      </c>
      <c r="AA550" s="104" t="str">
        <f>IFERROR((VLOOKUP(D550,'Species Codes'!B:G,6,0)*Z550)/2000,"")</f>
        <v/>
      </c>
      <c r="AB550" s="104" t="e">
        <f>IF(Z550&gt;0,((IF(OR(D550="DF",D550="RA")=TRUE,EXP(VLOOKUP(D550,'Species Codes'!B:I,8,0)+VLOOKUP(D550,'Species Codes'!B:J,9,0)*(LN((E550*2.54)))),IF(OR(D550="PY",D550="RC",D550="WH",D550="NF")=TRUE,VLOOKUP(D550,'Species Codes'!B:I,8,0)+VLOOKUP(D550,'Species Codes'!B:J,9,0)*((E550*2.54)^2)*(I550*0.3048),IF(OR(D550="MD",D550="BM",D550="GA")=TRUE,((VLOOKUP(D550,'Species Codes'!B:I,8,0)*(((((E550*2.54)+VLOOKUP(D550,'Species Codes'!B:J,9,0))/VLOOKUP(D550,'Species Codes'!B:K,10,0))^VLOOKUP(D550,'Species Codes'!B:L,11,0))*((I550*0.3048)^VLOOKUP(D550,'Species Codes'!B:M,12,0))))-(VLOOKUP(D550,'Species Codes'!B:I,8,0)*((((E550*2.54)^VLOOKUP(D550,'Species Codes'!B:L,11,0))*((I550*0.3048)^VLOOKUP(D550,'Species Codes'!B:M,12,0))))))*35.3*VLOOKUP(D550,'Species Codes'!B:G,6,0)/2.2046,VLOOKUP(D550,'Species Codes'!B:I,8,0)+VLOOKUP(D550,'Species Codes'!B:J,9,0)*(((E550*2.54)/100)^2)*(I550*0.3048)))))*0.0011023),0)</f>
        <v>#N/A</v>
      </c>
      <c r="AC550" s="104" t="e">
        <f>IF(Z550&gt;0,((IF(OR(D550="RA",D550="OA",D550="OT",D550="UN",D550="PC"),EXP(VLOOKUP(D550,'Species Codes'!B:O,14,0)+VLOOKUP(D550,'Species Codes'!B:P,15,0)*LN((E550*2.54)))-EXP(VLOOKUP(D550,'Species Codes'!B:O,14,0)+VLOOKUP(D550,'Species Codes'!B:P,15,0)*LN((E550*2.54)))*(1/(VLOOKUP(D550,'Species Codes'!B:Q,16,0)+VLOOKUP(D550,'Species Codes'!B:R,17,0)*((E550*2.54)^VLOOKUP(D550,'Species Codes'!B:S,18,0)))),IF(OR(D550="BM",D550="MD",D550="OA"),EXP(VLOOKUP(D550,'Species Codes'!B:O,14,0)+VLOOKUP(D550,'Species Codes'!B:P,15,0)*LN((E550*2.54)))*(1-(1/(VLOOKUP(D550,'Species Codes'!B:Q,16,0)+VLOOKUP(D550,'Species Codes'!B:R,17,0)*((E550*2.54)^VLOOKUP(D550,'Species Codes'!B:S,18,0)))))/1000,IF(D550="DF",EXP(VLOOKUP(D550,'Species Codes'!B:O,14,0)+VLOOKUP(D550,'Species Codes'!B:P,15,0)*LN((E550*2.54))),VLOOKUP(D550,'Species Codes'!B:O,14,0)+VLOOKUP(D550,'Species Codes'!B:P,15,0)*(((E550*2.54)/100)^2)*(I550*0.3048)))))*0.0011023),0)</f>
        <v>#N/A</v>
      </c>
      <c r="AD550" s="104" t="e">
        <f t="shared" si="274"/>
        <v>#N/A</v>
      </c>
      <c r="AE550" s="104" t="e">
        <f t="shared" si="275"/>
        <v>#N/A</v>
      </c>
      <c r="AF550" s="104" t="e">
        <f>IF(AND(VLOOKUP($D550,Merchantability!$B:$C,2,0)="Yes",$E550&gt;=VLOOKUP($D550,Merchantability!$B:$D,3,0),$E550&lt;=VLOOKUP($D550,Merchantability!$B:$E,4,0)),AA550,0)</f>
        <v>#N/A</v>
      </c>
      <c r="AG550" s="104" t="e">
        <f>IF(AND(VLOOKUP($D550,Merchantability!$B:$C,2,0)="Yes",$E550&gt;=VLOOKUP($D550,Merchantability!$B:$D,3,0),$E550&lt;=VLOOKUP($D550,Merchantability!$B:$E,4,0)),AB550,0)</f>
        <v>#N/A</v>
      </c>
      <c r="AH550" s="104" t="e">
        <f>IF(AND(VLOOKUP($D550,Merchantability!$B:$C,2,0)="Yes",$E550&gt;=VLOOKUP($D550,Merchantability!$B:$D,3,0),$E550&lt;=VLOOKUP($D550,Merchantability!$B:$E,4,0)),AC550,0)</f>
        <v>#N/A</v>
      </c>
      <c r="AI550" s="104" t="e">
        <f t="shared" si="276"/>
        <v>#N/A</v>
      </c>
      <c r="AJ550" s="104" t="e">
        <f t="shared" si="277"/>
        <v>#VALUE!</v>
      </c>
      <c r="AK550" s="104" t="e">
        <f t="shared" si="278"/>
        <v>#N/A</v>
      </c>
      <c r="AL550" s="104" t="e">
        <f t="shared" si="279"/>
        <v>#N/A</v>
      </c>
      <c r="AM550" s="104" t="e">
        <f t="shared" si="280"/>
        <v>#N/A</v>
      </c>
      <c r="AN550" s="104" t="e">
        <f t="shared" si="264"/>
        <v>#N/A</v>
      </c>
      <c r="AO550" s="104" t="e">
        <f t="shared" si="265"/>
        <v>#N/A</v>
      </c>
      <c r="AP550" s="104" t="e">
        <f t="shared" si="266"/>
        <v>#N/A</v>
      </c>
      <c r="AQ550" s="104" t="e">
        <f t="shared" si="267"/>
        <v>#N/A</v>
      </c>
      <c r="AR550" s="105" t="str">
        <f t="shared" si="259"/>
        <v/>
      </c>
      <c r="AS550" s="105" t="str">
        <f t="shared" si="260"/>
        <v/>
      </c>
      <c r="AT550" s="108" t="str">
        <f t="shared" si="261"/>
        <v/>
      </c>
      <c r="AU550" s="108" t="str">
        <f t="shared" si="262"/>
        <v/>
      </c>
      <c r="AV550" s="107" t="str">
        <f>IF(ISNUMBER(O550),IF(VLOOKUP($A550,Stand!C:J,8,FALSE)="Short",AT550,AU550),"")</f>
        <v/>
      </c>
      <c r="AW550" s="109" t="str">
        <f t="shared" si="268"/>
        <v/>
      </c>
      <c r="AX550" s="109" t="str">
        <f t="shared" si="269"/>
        <v/>
      </c>
      <c r="AY550" s="112" t="str">
        <f>IF(ISNUMBER(O550),IF(AND(VLOOKUP($D550,Merchantability!$B:$C,2,0)="Yes",$E550&gt;=VLOOKUP($D550,Merchantability!$B:$D,3,0),$E550&lt;=VLOOKUP($D550,Merchantability!$B:$E,4,0)),(AV550*O550)*(1-$H550/100),""),"")</f>
        <v/>
      </c>
      <c r="AZ550" s="116"/>
      <c r="BA550" s="116"/>
      <c r="BB550" s="116"/>
      <c r="BE550" s="62"/>
      <c r="BF550" s="63"/>
    </row>
    <row r="551" spans="1:58" ht="12.75" customHeight="1" x14ac:dyDescent="0.25">
      <c r="A551" s="313"/>
      <c r="B551" s="328"/>
      <c r="C551" s="329"/>
      <c r="D551" s="328"/>
      <c r="E551" s="330"/>
      <c r="F551" s="328"/>
      <c r="G551" s="329"/>
      <c r="H551" s="329"/>
      <c r="I551" s="328"/>
      <c r="J551" s="383"/>
      <c r="K551" s="329"/>
      <c r="L551" s="329"/>
      <c r="M551" s="78"/>
      <c r="N551" s="103" t="str">
        <f>IF(A551="","",VLOOKUP(A551,Stand!C:K,9,0))</f>
        <v/>
      </c>
      <c r="O551" s="104" t="str">
        <f t="shared" si="254"/>
        <v/>
      </c>
      <c r="P551" s="105" t="str">
        <f t="shared" si="255"/>
        <v/>
      </c>
      <c r="Q551" s="105" t="str">
        <f t="shared" si="270"/>
        <v/>
      </c>
      <c r="R551" s="103" t="str">
        <f t="shared" si="256"/>
        <v/>
      </c>
      <c r="S551" s="103" t="str">
        <f t="shared" si="257"/>
        <v/>
      </c>
      <c r="T551" s="106" t="str">
        <f t="shared" si="271"/>
        <v/>
      </c>
      <c r="U551" s="106" t="str">
        <f t="shared" si="272"/>
        <v/>
      </c>
      <c r="V551" s="106" t="str">
        <f t="shared" si="273"/>
        <v/>
      </c>
      <c r="W551" s="105" t="str">
        <f t="shared" si="258"/>
        <v/>
      </c>
      <c r="X551" s="104" t="str">
        <f t="shared" si="263"/>
        <v/>
      </c>
      <c r="Y551" s="104" t="str">
        <f t="array" ref="Y551">IFERROR(IF(ISNUMBER(O551),IF(COUNT(IF(A551=$A$2:$A$2427,IF(D551=$D$2:$D$2427,IF($X$2:$X$2427&gt;0,1))))&gt;0,SUM(IF(A551=$A$2:$A$2427,IF(D551=$D$2:$D$2427,$X$2:$X$2427)))/COUNT(IF(A551=$A$2:$A$2427,IF(D551=$D$2:$D$2427,IF(ISNUMBER($X$2:$X$2427),1)))),0),""),0)</f>
        <v/>
      </c>
      <c r="Z551" s="104" t="str">
        <f>IF(ISNUMBER(O551),IF(I551&gt;0,(10^(VLOOKUP(D551,'Species Codes'!B:C,2,0)+VLOOKUP(D551,'Species Codes'!B:D,3,0)*LOG(E551)+VLOOKUP(D551,'Species Codes'!B:E,4,0)*LOG(I551))),0),"")</f>
        <v/>
      </c>
      <c r="AA551" s="104" t="str">
        <f>IFERROR((VLOOKUP(D551,'Species Codes'!B:G,6,0)*Z551)/2000,"")</f>
        <v/>
      </c>
      <c r="AB551" s="104" t="e">
        <f>IF(Z551&gt;0,((IF(OR(D551="DF",D551="RA")=TRUE,EXP(VLOOKUP(D551,'Species Codes'!B:I,8,0)+VLOOKUP(D551,'Species Codes'!B:J,9,0)*(LN((E551*2.54)))),IF(OR(D551="PY",D551="RC",D551="WH",D551="NF")=TRUE,VLOOKUP(D551,'Species Codes'!B:I,8,0)+VLOOKUP(D551,'Species Codes'!B:J,9,0)*((E551*2.54)^2)*(I551*0.3048),IF(OR(D551="MD",D551="BM",D551="GA")=TRUE,((VLOOKUP(D551,'Species Codes'!B:I,8,0)*(((((E551*2.54)+VLOOKUP(D551,'Species Codes'!B:J,9,0))/VLOOKUP(D551,'Species Codes'!B:K,10,0))^VLOOKUP(D551,'Species Codes'!B:L,11,0))*((I551*0.3048)^VLOOKUP(D551,'Species Codes'!B:M,12,0))))-(VLOOKUP(D551,'Species Codes'!B:I,8,0)*((((E551*2.54)^VLOOKUP(D551,'Species Codes'!B:L,11,0))*((I551*0.3048)^VLOOKUP(D551,'Species Codes'!B:M,12,0))))))*35.3*VLOOKUP(D551,'Species Codes'!B:G,6,0)/2.2046,VLOOKUP(D551,'Species Codes'!B:I,8,0)+VLOOKUP(D551,'Species Codes'!B:J,9,0)*(((E551*2.54)/100)^2)*(I551*0.3048)))))*0.0011023),0)</f>
        <v>#N/A</v>
      </c>
      <c r="AC551" s="104" t="e">
        <f>IF(Z551&gt;0,((IF(OR(D551="RA",D551="OA",D551="OT",D551="UN",D551="PC"),EXP(VLOOKUP(D551,'Species Codes'!B:O,14,0)+VLOOKUP(D551,'Species Codes'!B:P,15,0)*LN((E551*2.54)))-EXP(VLOOKUP(D551,'Species Codes'!B:O,14,0)+VLOOKUP(D551,'Species Codes'!B:P,15,0)*LN((E551*2.54)))*(1/(VLOOKUP(D551,'Species Codes'!B:Q,16,0)+VLOOKUP(D551,'Species Codes'!B:R,17,0)*((E551*2.54)^VLOOKUP(D551,'Species Codes'!B:S,18,0)))),IF(OR(D551="BM",D551="MD",D551="OA"),EXP(VLOOKUP(D551,'Species Codes'!B:O,14,0)+VLOOKUP(D551,'Species Codes'!B:P,15,0)*LN((E551*2.54)))*(1-(1/(VLOOKUP(D551,'Species Codes'!B:Q,16,0)+VLOOKUP(D551,'Species Codes'!B:R,17,0)*((E551*2.54)^VLOOKUP(D551,'Species Codes'!B:S,18,0)))))/1000,IF(D551="DF",EXP(VLOOKUP(D551,'Species Codes'!B:O,14,0)+VLOOKUP(D551,'Species Codes'!B:P,15,0)*LN((E551*2.54))),VLOOKUP(D551,'Species Codes'!B:O,14,0)+VLOOKUP(D551,'Species Codes'!B:P,15,0)*(((E551*2.54)/100)^2)*(I551*0.3048)))))*0.0011023),0)</f>
        <v>#N/A</v>
      </c>
      <c r="AD551" s="104" t="e">
        <f t="shared" si="274"/>
        <v>#N/A</v>
      </c>
      <c r="AE551" s="104" t="e">
        <f t="shared" si="275"/>
        <v>#N/A</v>
      </c>
      <c r="AF551" s="104" t="e">
        <f>IF(AND(VLOOKUP($D551,Merchantability!$B:$C,2,0)="Yes",$E551&gt;=VLOOKUP($D551,Merchantability!$B:$D,3,0),$E551&lt;=VLOOKUP($D551,Merchantability!$B:$E,4,0)),AA551,0)</f>
        <v>#N/A</v>
      </c>
      <c r="AG551" s="104" t="e">
        <f>IF(AND(VLOOKUP($D551,Merchantability!$B:$C,2,0)="Yes",$E551&gt;=VLOOKUP($D551,Merchantability!$B:$D,3,0),$E551&lt;=VLOOKUP($D551,Merchantability!$B:$E,4,0)),AB551,0)</f>
        <v>#N/A</v>
      </c>
      <c r="AH551" s="104" t="e">
        <f>IF(AND(VLOOKUP($D551,Merchantability!$B:$C,2,0)="Yes",$E551&gt;=VLOOKUP($D551,Merchantability!$B:$D,3,0),$E551&lt;=VLOOKUP($D551,Merchantability!$B:$E,4,0)),AC551,0)</f>
        <v>#N/A</v>
      </c>
      <c r="AI551" s="104" t="e">
        <f t="shared" si="276"/>
        <v>#N/A</v>
      </c>
      <c r="AJ551" s="104" t="e">
        <f t="shared" si="277"/>
        <v>#VALUE!</v>
      </c>
      <c r="AK551" s="104" t="e">
        <f t="shared" si="278"/>
        <v>#N/A</v>
      </c>
      <c r="AL551" s="104" t="e">
        <f t="shared" si="279"/>
        <v>#N/A</v>
      </c>
      <c r="AM551" s="104" t="e">
        <f t="shared" si="280"/>
        <v>#N/A</v>
      </c>
      <c r="AN551" s="104" t="e">
        <f t="shared" si="264"/>
        <v>#N/A</v>
      </c>
      <c r="AO551" s="104" t="e">
        <f t="shared" si="265"/>
        <v>#N/A</v>
      </c>
      <c r="AP551" s="104" t="e">
        <f t="shared" si="266"/>
        <v>#N/A</v>
      </c>
      <c r="AQ551" s="104" t="e">
        <f t="shared" si="267"/>
        <v>#N/A</v>
      </c>
      <c r="AR551" s="105" t="str">
        <f t="shared" si="259"/>
        <v/>
      </c>
      <c r="AS551" s="105" t="str">
        <f t="shared" si="260"/>
        <v/>
      </c>
      <c r="AT551" s="108" t="str">
        <f t="shared" si="261"/>
        <v/>
      </c>
      <c r="AU551" s="108" t="str">
        <f t="shared" si="262"/>
        <v/>
      </c>
      <c r="AV551" s="107" t="str">
        <f>IF(ISNUMBER(O551),IF(VLOOKUP($A551,Stand!C:J,8,FALSE)="Short",AT551,AU551),"")</f>
        <v/>
      </c>
      <c r="AW551" s="109" t="str">
        <f t="shared" si="268"/>
        <v/>
      </c>
      <c r="AX551" s="109" t="str">
        <f t="shared" si="269"/>
        <v/>
      </c>
      <c r="AY551" s="112" t="str">
        <f>IF(ISNUMBER(O551),IF(AND(VLOOKUP($D551,Merchantability!$B:$C,2,0)="Yes",$E551&gt;=VLOOKUP($D551,Merchantability!$B:$D,3,0),$E551&lt;=VLOOKUP($D551,Merchantability!$B:$E,4,0)),(AV551*O551)*(1-$H551/100),""),"")</f>
        <v/>
      </c>
      <c r="AZ551" s="116"/>
      <c r="BA551" s="116"/>
      <c r="BB551" s="116"/>
      <c r="BE551" s="62"/>
      <c r="BF551" s="63"/>
    </row>
    <row r="552" spans="1:58" ht="12.75" customHeight="1" x14ac:dyDescent="0.25">
      <c r="A552" s="313"/>
      <c r="B552" s="328"/>
      <c r="C552" s="329"/>
      <c r="D552" s="328"/>
      <c r="E552" s="330"/>
      <c r="F552" s="328"/>
      <c r="G552" s="329"/>
      <c r="H552" s="329"/>
      <c r="I552" s="328"/>
      <c r="J552" s="383"/>
      <c r="K552" s="329"/>
      <c r="L552" s="329"/>
      <c r="M552" s="78"/>
      <c r="N552" s="103" t="str">
        <f>IF(A552="","",VLOOKUP(A552,Stand!C:K,9,0))</f>
        <v/>
      </c>
      <c r="O552" s="104" t="str">
        <f t="shared" si="254"/>
        <v/>
      </c>
      <c r="P552" s="105" t="str">
        <f t="shared" si="255"/>
        <v/>
      </c>
      <c r="Q552" s="105" t="str">
        <f t="shared" si="270"/>
        <v/>
      </c>
      <c r="R552" s="103" t="str">
        <f t="shared" si="256"/>
        <v/>
      </c>
      <c r="S552" s="103" t="str">
        <f t="shared" si="257"/>
        <v/>
      </c>
      <c r="T552" s="106" t="str">
        <f t="shared" si="271"/>
        <v/>
      </c>
      <c r="U552" s="106" t="str">
        <f t="shared" si="272"/>
        <v/>
      </c>
      <c r="V552" s="106" t="str">
        <f t="shared" si="273"/>
        <v/>
      </c>
      <c r="W552" s="105" t="str">
        <f t="shared" si="258"/>
        <v/>
      </c>
      <c r="X552" s="104" t="str">
        <f t="shared" si="263"/>
        <v/>
      </c>
      <c r="Y552" s="104" t="str">
        <f t="array" ref="Y552">IFERROR(IF(ISNUMBER(O552),IF(COUNT(IF(A552=$A$2:$A$2427,IF(D552=$D$2:$D$2427,IF($X$2:$X$2427&gt;0,1))))&gt;0,SUM(IF(A552=$A$2:$A$2427,IF(D552=$D$2:$D$2427,$X$2:$X$2427)))/COUNT(IF(A552=$A$2:$A$2427,IF(D552=$D$2:$D$2427,IF(ISNUMBER($X$2:$X$2427),1)))),0),""),0)</f>
        <v/>
      </c>
      <c r="Z552" s="104" t="str">
        <f>IF(ISNUMBER(O552),IF(I552&gt;0,(10^(VLOOKUP(D552,'Species Codes'!B:C,2,0)+VLOOKUP(D552,'Species Codes'!B:D,3,0)*LOG(E552)+VLOOKUP(D552,'Species Codes'!B:E,4,0)*LOG(I552))),0),"")</f>
        <v/>
      </c>
      <c r="AA552" s="104" t="str">
        <f>IFERROR((VLOOKUP(D552,'Species Codes'!B:G,6,0)*Z552)/2000,"")</f>
        <v/>
      </c>
      <c r="AB552" s="104" t="e">
        <f>IF(Z552&gt;0,((IF(OR(D552="DF",D552="RA")=TRUE,EXP(VLOOKUP(D552,'Species Codes'!B:I,8,0)+VLOOKUP(D552,'Species Codes'!B:J,9,0)*(LN((E552*2.54)))),IF(OR(D552="PY",D552="RC",D552="WH",D552="NF")=TRUE,VLOOKUP(D552,'Species Codes'!B:I,8,0)+VLOOKUP(D552,'Species Codes'!B:J,9,0)*((E552*2.54)^2)*(I552*0.3048),IF(OR(D552="MD",D552="BM",D552="GA")=TRUE,((VLOOKUP(D552,'Species Codes'!B:I,8,0)*(((((E552*2.54)+VLOOKUP(D552,'Species Codes'!B:J,9,0))/VLOOKUP(D552,'Species Codes'!B:K,10,0))^VLOOKUP(D552,'Species Codes'!B:L,11,0))*((I552*0.3048)^VLOOKUP(D552,'Species Codes'!B:M,12,0))))-(VLOOKUP(D552,'Species Codes'!B:I,8,0)*((((E552*2.54)^VLOOKUP(D552,'Species Codes'!B:L,11,0))*((I552*0.3048)^VLOOKUP(D552,'Species Codes'!B:M,12,0))))))*35.3*VLOOKUP(D552,'Species Codes'!B:G,6,0)/2.2046,VLOOKUP(D552,'Species Codes'!B:I,8,0)+VLOOKUP(D552,'Species Codes'!B:J,9,0)*(((E552*2.54)/100)^2)*(I552*0.3048)))))*0.0011023),0)</f>
        <v>#N/A</v>
      </c>
      <c r="AC552" s="104" t="e">
        <f>IF(Z552&gt;0,((IF(OR(D552="RA",D552="OA",D552="OT",D552="UN",D552="PC"),EXP(VLOOKUP(D552,'Species Codes'!B:O,14,0)+VLOOKUP(D552,'Species Codes'!B:P,15,0)*LN((E552*2.54)))-EXP(VLOOKUP(D552,'Species Codes'!B:O,14,0)+VLOOKUP(D552,'Species Codes'!B:P,15,0)*LN((E552*2.54)))*(1/(VLOOKUP(D552,'Species Codes'!B:Q,16,0)+VLOOKUP(D552,'Species Codes'!B:R,17,0)*((E552*2.54)^VLOOKUP(D552,'Species Codes'!B:S,18,0)))),IF(OR(D552="BM",D552="MD",D552="OA"),EXP(VLOOKUP(D552,'Species Codes'!B:O,14,0)+VLOOKUP(D552,'Species Codes'!B:P,15,0)*LN((E552*2.54)))*(1-(1/(VLOOKUP(D552,'Species Codes'!B:Q,16,0)+VLOOKUP(D552,'Species Codes'!B:R,17,0)*((E552*2.54)^VLOOKUP(D552,'Species Codes'!B:S,18,0)))))/1000,IF(D552="DF",EXP(VLOOKUP(D552,'Species Codes'!B:O,14,0)+VLOOKUP(D552,'Species Codes'!B:P,15,0)*LN((E552*2.54))),VLOOKUP(D552,'Species Codes'!B:O,14,0)+VLOOKUP(D552,'Species Codes'!B:P,15,0)*(((E552*2.54)/100)^2)*(I552*0.3048)))))*0.0011023),0)</f>
        <v>#N/A</v>
      </c>
      <c r="AD552" s="104" t="e">
        <f t="shared" si="274"/>
        <v>#N/A</v>
      </c>
      <c r="AE552" s="104" t="e">
        <f t="shared" si="275"/>
        <v>#N/A</v>
      </c>
      <c r="AF552" s="104" t="e">
        <f>IF(AND(VLOOKUP($D552,Merchantability!$B:$C,2,0)="Yes",$E552&gt;=VLOOKUP($D552,Merchantability!$B:$D,3,0),$E552&lt;=VLOOKUP($D552,Merchantability!$B:$E,4,0)),AA552,0)</f>
        <v>#N/A</v>
      </c>
      <c r="AG552" s="104" t="e">
        <f>IF(AND(VLOOKUP($D552,Merchantability!$B:$C,2,0)="Yes",$E552&gt;=VLOOKUP($D552,Merchantability!$B:$D,3,0),$E552&lt;=VLOOKUP($D552,Merchantability!$B:$E,4,0)),AB552,0)</f>
        <v>#N/A</v>
      </c>
      <c r="AH552" s="104" t="e">
        <f>IF(AND(VLOOKUP($D552,Merchantability!$B:$C,2,0)="Yes",$E552&gt;=VLOOKUP($D552,Merchantability!$B:$D,3,0),$E552&lt;=VLOOKUP($D552,Merchantability!$B:$E,4,0)),AC552,0)</f>
        <v>#N/A</v>
      </c>
      <c r="AI552" s="104" t="e">
        <f t="shared" si="276"/>
        <v>#N/A</v>
      </c>
      <c r="AJ552" s="104" t="e">
        <f t="shared" si="277"/>
        <v>#VALUE!</v>
      </c>
      <c r="AK552" s="104" t="e">
        <f t="shared" si="278"/>
        <v>#N/A</v>
      </c>
      <c r="AL552" s="104" t="e">
        <f t="shared" si="279"/>
        <v>#N/A</v>
      </c>
      <c r="AM552" s="104" t="e">
        <f t="shared" si="280"/>
        <v>#N/A</v>
      </c>
      <c r="AN552" s="104" t="e">
        <f t="shared" si="264"/>
        <v>#N/A</v>
      </c>
      <c r="AO552" s="104" t="e">
        <f t="shared" si="265"/>
        <v>#N/A</v>
      </c>
      <c r="AP552" s="104" t="e">
        <f t="shared" si="266"/>
        <v>#N/A</v>
      </c>
      <c r="AQ552" s="104" t="e">
        <f t="shared" si="267"/>
        <v>#N/A</v>
      </c>
      <c r="AR552" s="105" t="str">
        <f t="shared" si="259"/>
        <v/>
      </c>
      <c r="AS552" s="105" t="str">
        <f t="shared" si="260"/>
        <v/>
      </c>
      <c r="AT552" s="108" t="str">
        <f t="shared" si="261"/>
        <v/>
      </c>
      <c r="AU552" s="108" t="str">
        <f t="shared" si="262"/>
        <v/>
      </c>
      <c r="AV552" s="107" t="str">
        <f>IF(ISNUMBER(O552),IF(VLOOKUP($A552,Stand!C:J,8,FALSE)="Short",AT552,AU552),"")</f>
        <v/>
      </c>
      <c r="AW552" s="109" t="str">
        <f t="shared" si="268"/>
        <v/>
      </c>
      <c r="AX552" s="109" t="str">
        <f t="shared" si="269"/>
        <v/>
      </c>
      <c r="AY552" s="112" t="str">
        <f>IF(ISNUMBER(O552),IF(AND(VLOOKUP($D552,Merchantability!$B:$C,2,0)="Yes",$E552&gt;=VLOOKUP($D552,Merchantability!$B:$D,3,0),$E552&lt;=VLOOKUP($D552,Merchantability!$B:$E,4,0)),(AV552*O552)*(1-$H552/100),""),"")</f>
        <v/>
      </c>
      <c r="AZ552" s="116"/>
      <c r="BA552" s="116"/>
      <c r="BB552" s="116"/>
      <c r="BE552" s="62"/>
      <c r="BF552" s="63"/>
    </row>
    <row r="553" spans="1:58" ht="12.75" customHeight="1" x14ac:dyDescent="0.25">
      <c r="A553" s="313"/>
      <c r="B553" s="328"/>
      <c r="C553" s="329"/>
      <c r="D553" s="328"/>
      <c r="E553" s="330"/>
      <c r="F553" s="328"/>
      <c r="G553" s="329"/>
      <c r="H553" s="329"/>
      <c r="I553" s="328"/>
      <c r="J553" s="383"/>
      <c r="K553" s="329"/>
      <c r="L553" s="329"/>
      <c r="M553" s="78"/>
      <c r="N553" s="103" t="str">
        <f>IF(A553="","",VLOOKUP(A553,Stand!C:K,9,0))</f>
        <v/>
      </c>
      <c r="O553" s="104" t="str">
        <f t="shared" si="254"/>
        <v/>
      </c>
      <c r="P553" s="105" t="str">
        <f t="shared" si="255"/>
        <v/>
      </c>
      <c r="Q553" s="105" t="str">
        <f t="shared" si="270"/>
        <v/>
      </c>
      <c r="R553" s="103" t="str">
        <f t="shared" si="256"/>
        <v/>
      </c>
      <c r="S553" s="103" t="str">
        <f t="shared" si="257"/>
        <v/>
      </c>
      <c r="T553" s="106" t="str">
        <f t="shared" si="271"/>
        <v/>
      </c>
      <c r="U553" s="106" t="str">
        <f t="shared" si="272"/>
        <v/>
      </c>
      <c r="V553" s="106" t="str">
        <f t="shared" si="273"/>
        <v/>
      </c>
      <c r="W553" s="105" t="str">
        <f t="shared" si="258"/>
        <v/>
      </c>
      <c r="X553" s="104" t="str">
        <f t="shared" si="263"/>
        <v/>
      </c>
      <c r="Y553" s="104" t="str">
        <f t="array" ref="Y553">IFERROR(IF(ISNUMBER(O553),IF(COUNT(IF(A553=$A$2:$A$2427,IF(D553=$D$2:$D$2427,IF($X$2:$X$2427&gt;0,1))))&gt;0,SUM(IF(A553=$A$2:$A$2427,IF(D553=$D$2:$D$2427,$X$2:$X$2427)))/COUNT(IF(A553=$A$2:$A$2427,IF(D553=$D$2:$D$2427,IF(ISNUMBER($X$2:$X$2427),1)))),0),""),0)</f>
        <v/>
      </c>
      <c r="Z553" s="104" t="str">
        <f>IF(ISNUMBER(O553),IF(I553&gt;0,(10^(VLOOKUP(D553,'Species Codes'!B:C,2,0)+VLOOKUP(D553,'Species Codes'!B:D,3,0)*LOG(E553)+VLOOKUP(D553,'Species Codes'!B:E,4,0)*LOG(I553))),0),"")</f>
        <v/>
      </c>
      <c r="AA553" s="104" t="str">
        <f>IFERROR((VLOOKUP(D553,'Species Codes'!B:G,6,0)*Z553)/2000,"")</f>
        <v/>
      </c>
      <c r="AB553" s="104" t="e">
        <f>IF(Z553&gt;0,((IF(OR(D553="DF",D553="RA")=TRUE,EXP(VLOOKUP(D553,'Species Codes'!B:I,8,0)+VLOOKUP(D553,'Species Codes'!B:J,9,0)*(LN((E553*2.54)))),IF(OR(D553="PY",D553="RC",D553="WH",D553="NF")=TRUE,VLOOKUP(D553,'Species Codes'!B:I,8,0)+VLOOKUP(D553,'Species Codes'!B:J,9,0)*((E553*2.54)^2)*(I553*0.3048),IF(OR(D553="MD",D553="BM",D553="GA")=TRUE,((VLOOKUP(D553,'Species Codes'!B:I,8,0)*(((((E553*2.54)+VLOOKUP(D553,'Species Codes'!B:J,9,0))/VLOOKUP(D553,'Species Codes'!B:K,10,0))^VLOOKUP(D553,'Species Codes'!B:L,11,0))*((I553*0.3048)^VLOOKUP(D553,'Species Codes'!B:M,12,0))))-(VLOOKUP(D553,'Species Codes'!B:I,8,0)*((((E553*2.54)^VLOOKUP(D553,'Species Codes'!B:L,11,0))*((I553*0.3048)^VLOOKUP(D553,'Species Codes'!B:M,12,0))))))*35.3*VLOOKUP(D553,'Species Codes'!B:G,6,0)/2.2046,VLOOKUP(D553,'Species Codes'!B:I,8,0)+VLOOKUP(D553,'Species Codes'!B:J,9,0)*(((E553*2.54)/100)^2)*(I553*0.3048)))))*0.0011023),0)</f>
        <v>#N/A</v>
      </c>
      <c r="AC553" s="104" t="e">
        <f>IF(Z553&gt;0,((IF(OR(D553="RA",D553="OA",D553="OT",D553="UN",D553="PC"),EXP(VLOOKUP(D553,'Species Codes'!B:O,14,0)+VLOOKUP(D553,'Species Codes'!B:P,15,0)*LN((E553*2.54)))-EXP(VLOOKUP(D553,'Species Codes'!B:O,14,0)+VLOOKUP(D553,'Species Codes'!B:P,15,0)*LN((E553*2.54)))*(1/(VLOOKUP(D553,'Species Codes'!B:Q,16,0)+VLOOKUP(D553,'Species Codes'!B:R,17,0)*((E553*2.54)^VLOOKUP(D553,'Species Codes'!B:S,18,0)))),IF(OR(D553="BM",D553="MD",D553="OA"),EXP(VLOOKUP(D553,'Species Codes'!B:O,14,0)+VLOOKUP(D553,'Species Codes'!B:P,15,0)*LN((E553*2.54)))*(1-(1/(VLOOKUP(D553,'Species Codes'!B:Q,16,0)+VLOOKUP(D553,'Species Codes'!B:R,17,0)*((E553*2.54)^VLOOKUP(D553,'Species Codes'!B:S,18,0)))))/1000,IF(D553="DF",EXP(VLOOKUP(D553,'Species Codes'!B:O,14,0)+VLOOKUP(D553,'Species Codes'!B:P,15,0)*LN((E553*2.54))),VLOOKUP(D553,'Species Codes'!B:O,14,0)+VLOOKUP(D553,'Species Codes'!B:P,15,0)*(((E553*2.54)/100)^2)*(I553*0.3048)))))*0.0011023),0)</f>
        <v>#N/A</v>
      </c>
      <c r="AD553" s="104" t="e">
        <f t="shared" si="274"/>
        <v>#N/A</v>
      </c>
      <c r="AE553" s="104" t="e">
        <f t="shared" si="275"/>
        <v>#N/A</v>
      </c>
      <c r="AF553" s="104" t="e">
        <f>IF(AND(VLOOKUP($D553,Merchantability!$B:$C,2,0)="Yes",$E553&gt;=VLOOKUP($D553,Merchantability!$B:$D,3,0),$E553&lt;=VLOOKUP($D553,Merchantability!$B:$E,4,0)),AA553,0)</f>
        <v>#N/A</v>
      </c>
      <c r="AG553" s="104" t="e">
        <f>IF(AND(VLOOKUP($D553,Merchantability!$B:$C,2,0)="Yes",$E553&gt;=VLOOKUP($D553,Merchantability!$B:$D,3,0),$E553&lt;=VLOOKUP($D553,Merchantability!$B:$E,4,0)),AB553,0)</f>
        <v>#N/A</v>
      </c>
      <c r="AH553" s="104" t="e">
        <f>IF(AND(VLOOKUP($D553,Merchantability!$B:$C,2,0)="Yes",$E553&gt;=VLOOKUP($D553,Merchantability!$B:$D,3,0),$E553&lt;=VLOOKUP($D553,Merchantability!$B:$E,4,0)),AC553,0)</f>
        <v>#N/A</v>
      </c>
      <c r="AI553" s="104" t="e">
        <f t="shared" si="276"/>
        <v>#N/A</v>
      </c>
      <c r="AJ553" s="104" t="e">
        <f t="shared" si="277"/>
        <v>#VALUE!</v>
      </c>
      <c r="AK553" s="104" t="e">
        <f t="shared" si="278"/>
        <v>#N/A</v>
      </c>
      <c r="AL553" s="104" t="e">
        <f t="shared" si="279"/>
        <v>#N/A</v>
      </c>
      <c r="AM553" s="104" t="e">
        <f t="shared" si="280"/>
        <v>#N/A</v>
      </c>
      <c r="AN553" s="104" t="e">
        <f t="shared" si="264"/>
        <v>#N/A</v>
      </c>
      <c r="AO553" s="104" t="e">
        <f t="shared" si="265"/>
        <v>#N/A</v>
      </c>
      <c r="AP553" s="104" t="e">
        <f t="shared" si="266"/>
        <v>#N/A</v>
      </c>
      <c r="AQ553" s="104" t="e">
        <f t="shared" si="267"/>
        <v>#N/A</v>
      </c>
      <c r="AR553" s="105" t="str">
        <f t="shared" si="259"/>
        <v/>
      </c>
      <c r="AS553" s="105" t="str">
        <f t="shared" si="260"/>
        <v/>
      </c>
      <c r="AT553" s="108" t="str">
        <f t="shared" si="261"/>
        <v/>
      </c>
      <c r="AU553" s="108" t="str">
        <f t="shared" si="262"/>
        <v/>
      </c>
      <c r="AV553" s="107" t="str">
        <f>IF(ISNUMBER(O553),IF(VLOOKUP($A553,Stand!C:J,8,FALSE)="Short",AT553,AU553),"")</f>
        <v/>
      </c>
      <c r="AW553" s="109" t="str">
        <f t="shared" si="268"/>
        <v/>
      </c>
      <c r="AX553" s="109" t="str">
        <f t="shared" si="269"/>
        <v/>
      </c>
      <c r="AY553" s="112" t="str">
        <f>IF(ISNUMBER(O553),IF(AND(VLOOKUP($D553,Merchantability!$B:$C,2,0)="Yes",$E553&gt;=VLOOKUP($D553,Merchantability!$B:$D,3,0),$E553&lt;=VLOOKUP($D553,Merchantability!$B:$E,4,0)),(AV553*O553)*(1-$H553/100),""),"")</f>
        <v/>
      </c>
      <c r="AZ553" s="116"/>
      <c r="BA553" s="116"/>
      <c r="BB553" s="116"/>
      <c r="BE553" s="62"/>
      <c r="BF553" s="63"/>
    </row>
    <row r="554" spans="1:58" ht="12.75" customHeight="1" x14ac:dyDescent="0.25">
      <c r="A554" s="313"/>
      <c r="B554" s="328"/>
      <c r="C554" s="329"/>
      <c r="D554" s="328"/>
      <c r="E554" s="330"/>
      <c r="F554" s="328"/>
      <c r="G554" s="329"/>
      <c r="H554" s="329"/>
      <c r="I554" s="328"/>
      <c r="J554" s="383"/>
      <c r="K554" s="329"/>
      <c r="L554" s="329"/>
      <c r="M554" s="78"/>
      <c r="N554" s="103" t="str">
        <f>IF(A554="","",VLOOKUP(A554,Stand!C:K,9,0))</f>
        <v/>
      </c>
      <c r="O554" s="104" t="str">
        <f t="shared" si="254"/>
        <v/>
      </c>
      <c r="P554" s="105" t="str">
        <f t="shared" si="255"/>
        <v/>
      </c>
      <c r="Q554" s="105" t="str">
        <f t="shared" si="270"/>
        <v/>
      </c>
      <c r="R554" s="103" t="str">
        <f t="shared" si="256"/>
        <v/>
      </c>
      <c r="S554" s="103" t="str">
        <f t="shared" si="257"/>
        <v/>
      </c>
      <c r="T554" s="106" t="str">
        <f t="shared" si="271"/>
        <v/>
      </c>
      <c r="U554" s="106" t="str">
        <f t="shared" si="272"/>
        <v/>
      </c>
      <c r="V554" s="106" t="str">
        <f t="shared" si="273"/>
        <v/>
      </c>
      <c r="W554" s="105" t="str">
        <f t="shared" si="258"/>
        <v/>
      </c>
      <c r="X554" s="104" t="str">
        <f t="shared" si="263"/>
        <v/>
      </c>
      <c r="Y554" s="104" t="str">
        <f t="array" ref="Y554">IFERROR(IF(ISNUMBER(O554),IF(COUNT(IF(A554=$A$2:$A$2427,IF(D554=$D$2:$D$2427,IF($X$2:$X$2427&gt;0,1))))&gt;0,SUM(IF(A554=$A$2:$A$2427,IF(D554=$D$2:$D$2427,$X$2:$X$2427)))/COUNT(IF(A554=$A$2:$A$2427,IF(D554=$D$2:$D$2427,IF(ISNUMBER($X$2:$X$2427),1)))),0),""),0)</f>
        <v/>
      </c>
      <c r="Z554" s="104" t="str">
        <f>IF(ISNUMBER(O554),IF(I554&gt;0,(10^(VLOOKUP(D554,'Species Codes'!B:C,2,0)+VLOOKUP(D554,'Species Codes'!B:D,3,0)*LOG(E554)+VLOOKUP(D554,'Species Codes'!B:E,4,0)*LOG(I554))),0),"")</f>
        <v/>
      </c>
      <c r="AA554" s="104" t="str">
        <f>IFERROR((VLOOKUP(D554,'Species Codes'!B:G,6,0)*Z554)/2000,"")</f>
        <v/>
      </c>
      <c r="AB554" s="104" t="e">
        <f>IF(Z554&gt;0,((IF(OR(D554="DF",D554="RA")=TRUE,EXP(VLOOKUP(D554,'Species Codes'!B:I,8,0)+VLOOKUP(D554,'Species Codes'!B:J,9,0)*(LN((E554*2.54)))),IF(OR(D554="PY",D554="RC",D554="WH",D554="NF")=TRUE,VLOOKUP(D554,'Species Codes'!B:I,8,0)+VLOOKUP(D554,'Species Codes'!B:J,9,0)*((E554*2.54)^2)*(I554*0.3048),IF(OR(D554="MD",D554="BM",D554="GA")=TRUE,((VLOOKUP(D554,'Species Codes'!B:I,8,0)*(((((E554*2.54)+VLOOKUP(D554,'Species Codes'!B:J,9,0))/VLOOKUP(D554,'Species Codes'!B:K,10,0))^VLOOKUP(D554,'Species Codes'!B:L,11,0))*((I554*0.3048)^VLOOKUP(D554,'Species Codes'!B:M,12,0))))-(VLOOKUP(D554,'Species Codes'!B:I,8,0)*((((E554*2.54)^VLOOKUP(D554,'Species Codes'!B:L,11,0))*((I554*0.3048)^VLOOKUP(D554,'Species Codes'!B:M,12,0))))))*35.3*VLOOKUP(D554,'Species Codes'!B:G,6,0)/2.2046,VLOOKUP(D554,'Species Codes'!B:I,8,0)+VLOOKUP(D554,'Species Codes'!B:J,9,0)*(((E554*2.54)/100)^2)*(I554*0.3048)))))*0.0011023),0)</f>
        <v>#N/A</v>
      </c>
      <c r="AC554" s="104" t="e">
        <f>IF(Z554&gt;0,((IF(OR(D554="RA",D554="OA",D554="OT",D554="UN",D554="PC"),EXP(VLOOKUP(D554,'Species Codes'!B:O,14,0)+VLOOKUP(D554,'Species Codes'!B:P,15,0)*LN((E554*2.54)))-EXP(VLOOKUP(D554,'Species Codes'!B:O,14,0)+VLOOKUP(D554,'Species Codes'!B:P,15,0)*LN((E554*2.54)))*(1/(VLOOKUP(D554,'Species Codes'!B:Q,16,0)+VLOOKUP(D554,'Species Codes'!B:R,17,0)*((E554*2.54)^VLOOKUP(D554,'Species Codes'!B:S,18,0)))),IF(OR(D554="BM",D554="MD",D554="OA"),EXP(VLOOKUP(D554,'Species Codes'!B:O,14,0)+VLOOKUP(D554,'Species Codes'!B:P,15,0)*LN((E554*2.54)))*(1-(1/(VLOOKUP(D554,'Species Codes'!B:Q,16,0)+VLOOKUP(D554,'Species Codes'!B:R,17,0)*((E554*2.54)^VLOOKUP(D554,'Species Codes'!B:S,18,0)))))/1000,IF(D554="DF",EXP(VLOOKUP(D554,'Species Codes'!B:O,14,0)+VLOOKUP(D554,'Species Codes'!B:P,15,0)*LN((E554*2.54))),VLOOKUP(D554,'Species Codes'!B:O,14,0)+VLOOKUP(D554,'Species Codes'!B:P,15,0)*(((E554*2.54)/100)^2)*(I554*0.3048)))))*0.0011023),0)</f>
        <v>#N/A</v>
      </c>
      <c r="AD554" s="104" t="e">
        <f t="shared" si="274"/>
        <v>#N/A</v>
      </c>
      <c r="AE554" s="104" t="e">
        <f t="shared" si="275"/>
        <v>#N/A</v>
      </c>
      <c r="AF554" s="104" t="e">
        <f>IF(AND(VLOOKUP($D554,Merchantability!$B:$C,2,0)="Yes",$E554&gt;=VLOOKUP($D554,Merchantability!$B:$D,3,0),$E554&lt;=VLOOKUP($D554,Merchantability!$B:$E,4,0)),AA554,0)</f>
        <v>#N/A</v>
      </c>
      <c r="AG554" s="104" t="e">
        <f>IF(AND(VLOOKUP($D554,Merchantability!$B:$C,2,0)="Yes",$E554&gt;=VLOOKUP($D554,Merchantability!$B:$D,3,0),$E554&lt;=VLOOKUP($D554,Merchantability!$B:$E,4,0)),AB554,0)</f>
        <v>#N/A</v>
      </c>
      <c r="AH554" s="104" t="e">
        <f>IF(AND(VLOOKUP($D554,Merchantability!$B:$C,2,0)="Yes",$E554&gt;=VLOOKUP($D554,Merchantability!$B:$D,3,0),$E554&lt;=VLOOKUP($D554,Merchantability!$B:$E,4,0)),AC554,0)</f>
        <v>#N/A</v>
      </c>
      <c r="AI554" s="104" t="e">
        <f t="shared" si="276"/>
        <v>#N/A</v>
      </c>
      <c r="AJ554" s="104" t="e">
        <f t="shared" si="277"/>
        <v>#VALUE!</v>
      </c>
      <c r="AK554" s="104" t="e">
        <f t="shared" si="278"/>
        <v>#N/A</v>
      </c>
      <c r="AL554" s="104" t="e">
        <f t="shared" si="279"/>
        <v>#N/A</v>
      </c>
      <c r="AM554" s="104" t="e">
        <f t="shared" si="280"/>
        <v>#N/A</v>
      </c>
      <c r="AN554" s="104" t="e">
        <f t="shared" si="264"/>
        <v>#N/A</v>
      </c>
      <c r="AO554" s="104" t="e">
        <f t="shared" si="265"/>
        <v>#N/A</v>
      </c>
      <c r="AP554" s="104" t="e">
        <f t="shared" si="266"/>
        <v>#N/A</v>
      </c>
      <c r="AQ554" s="104" t="e">
        <f t="shared" si="267"/>
        <v>#N/A</v>
      </c>
      <c r="AR554" s="105" t="str">
        <f t="shared" si="259"/>
        <v/>
      </c>
      <c r="AS554" s="105" t="str">
        <f t="shared" si="260"/>
        <v/>
      </c>
      <c r="AT554" s="108" t="str">
        <f t="shared" si="261"/>
        <v/>
      </c>
      <c r="AU554" s="108" t="str">
        <f t="shared" si="262"/>
        <v/>
      </c>
      <c r="AV554" s="107" t="str">
        <f>IF(ISNUMBER(O554),IF(VLOOKUP($A554,Stand!C:J,8,FALSE)="Short",AT554,AU554),"")</f>
        <v/>
      </c>
      <c r="AW554" s="109" t="str">
        <f t="shared" si="268"/>
        <v/>
      </c>
      <c r="AX554" s="109" t="str">
        <f t="shared" si="269"/>
        <v/>
      </c>
      <c r="AY554" s="112" t="str">
        <f>IF(ISNUMBER(O554),IF(AND(VLOOKUP($D554,Merchantability!$B:$C,2,0)="Yes",$E554&gt;=VLOOKUP($D554,Merchantability!$B:$D,3,0),$E554&lt;=VLOOKUP($D554,Merchantability!$B:$E,4,0)),(AV554*O554)*(1-$H554/100),""),"")</f>
        <v/>
      </c>
      <c r="AZ554" s="116"/>
      <c r="BA554" s="116"/>
      <c r="BB554" s="116"/>
      <c r="BE554" s="62"/>
      <c r="BF554" s="63"/>
    </row>
    <row r="555" spans="1:58" ht="12.75" customHeight="1" x14ac:dyDescent="0.25">
      <c r="A555" s="313"/>
      <c r="B555" s="328"/>
      <c r="C555" s="329"/>
      <c r="D555" s="328"/>
      <c r="E555" s="330"/>
      <c r="F555" s="328"/>
      <c r="G555" s="329"/>
      <c r="H555" s="329"/>
      <c r="I555" s="328"/>
      <c r="J555" s="383"/>
      <c r="K555" s="329"/>
      <c r="L555" s="329"/>
      <c r="M555" s="78"/>
      <c r="N555" s="103" t="str">
        <f>IF(A555="","",VLOOKUP(A555,Stand!C:K,9,0))</f>
        <v/>
      </c>
      <c r="O555" s="104" t="str">
        <f t="shared" si="254"/>
        <v/>
      </c>
      <c r="P555" s="105" t="str">
        <f t="shared" si="255"/>
        <v/>
      </c>
      <c r="Q555" s="105" t="str">
        <f t="shared" si="270"/>
        <v/>
      </c>
      <c r="R555" s="103" t="str">
        <f t="shared" si="256"/>
        <v/>
      </c>
      <c r="S555" s="103" t="str">
        <f t="shared" si="257"/>
        <v/>
      </c>
      <c r="T555" s="106" t="str">
        <f t="shared" si="271"/>
        <v/>
      </c>
      <c r="U555" s="106" t="str">
        <f t="shared" si="272"/>
        <v/>
      </c>
      <c r="V555" s="106" t="str">
        <f t="shared" si="273"/>
        <v/>
      </c>
      <c r="W555" s="105" t="str">
        <f t="shared" si="258"/>
        <v/>
      </c>
      <c r="X555" s="104" t="str">
        <f t="shared" si="263"/>
        <v/>
      </c>
      <c r="Y555" s="104" t="str">
        <f t="array" ref="Y555">IFERROR(IF(ISNUMBER(O555),IF(COUNT(IF(A555=$A$2:$A$2427,IF(D555=$D$2:$D$2427,IF($X$2:$X$2427&gt;0,1))))&gt;0,SUM(IF(A555=$A$2:$A$2427,IF(D555=$D$2:$D$2427,$X$2:$X$2427)))/COUNT(IF(A555=$A$2:$A$2427,IF(D555=$D$2:$D$2427,IF(ISNUMBER($X$2:$X$2427),1)))),0),""),0)</f>
        <v/>
      </c>
      <c r="Z555" s="104" t="str">
        <f>IF(ISNUMBER(O555),IF(I555&gt;0,(10^(VLOOKUP(D555,'Species Codes'!B:C,2,0)+VLOOKUP(D555,'Species Codes'!B:D,3,0)*LOG(E555)+VLOOKUP(D555,'Species Codes'!B:E,4,0)*LOG(I555))),0),"")</f>
        <v/>
      </c>
      <c r="AA555" s="104" t="str">
        <f>IFERROR((VLOOKUP(D555,'Species Codes'!B:G,6,0)*Z555)/2000,"")</f>
        <v/>
      </c>
      <c r="AB555" s="104" t="e">
        <f>IF(Z555&gt;0,((IF(OR(D555="DF",D555="RA")=TRUE,EXP(VLOOKUP(D555,'Species Codes'!B:I,8,0)+VLOOKUP(D555,'Species Codes'!B:J,9,0)*(LN((E555*2.54)))),IF(OR(D555="PY",D555="RC",D555="WH",D555="NF")=TRUE,VLOOKUP(D555,'Species Codes'!B:I,8,0)+VLOOKUP(D555,'Species Codes'!B:J,9,0)*((E555*2.54)^2)*(I555*0.3048),IF(OR(D555="MD",D555="BM",D555="GA")=TRUE,((VLOOKUP(D555,'Species Codes'!B:I,8,0)*(((((E555*2.54)+VLOOKUP(D555,'Species Codes'!B:J,9,0))/VLOOKUP(D555,'Species Codes'!B:K,10,0))^VLOOKUP(D555,'Species Codes'!B:L,11,0))*((I555*0.3048)^VLOOKUP(D555,'Species Codes'!B:M,12,0))))-(VLOOKUP(D555,'Species Codes'!B:I,8,0)*((((E555*2.54)^VLOOKUP(D555,'Species Codes'!B:L,11,0))*((I555*0.3048)^VLOOKUP(D555,'Species Codes'!B:M,12,0))))))*35.3*VLOOKUP(D555,'Species Codes'!B:G,6,0)/2.2046,VLOOKUP(D555,'Species Codes'!B:I,8,0)+VLOOKUP(D555,'Species Codes'!B:J,9,0)*(((E555*2.54)/100)^2)*(I555*0.3048)))))*0.0011023),0)</f>
        <v>#N/A</v>
      </c>
      <c r="AC555" s="104" t="e">
        <f>IF(Z555&gt;0,((IF(OR(D555="RA",D555="OA",D555="OT",D555="UN",D555="PC"),EXP(VLOOKUP(D555,'Species Codes'!B:O,14,0)+VLOOKUP(D555,'Species Codes'!B:P,15,0)*LN((E555*2.54)))-EXP(VLOOKUP(D555,'Species Codes'!B:O,14,0)+VLOOKUP(D555,'Species Codes'!B:P,15,0)*LN((E555*2.54)))*(1/(VLOOKUP(D555,'Species Codes'!B:Q,16,0)+VLOOKUP(D555,'Species Codes'!B:R,17,0)*((E555*2.54)^VLOOKUP(D555,'Species Codes'!B:S,18,0)))),IF(OR(D555="BM",D555="MD",D555="OA"),EXP(VLOOKUP(D555,'Species Codes'!B:O,14,0)+VLOOKUP(D555,'Species Codes'!B:P,15,0)*LN((E555*2.54)))*(1-(1/(VLOOKUP(D555,'Species Codes'!B:Q,16,0)+VLOOKUP(D555,'Species Codes'!B:R,17,0)*((E555*2.54)^VLOOKUP(D555,'Species Codes'!B:S,18,0)))))/1000,IF(D555="DF",EXP(VLOOKUP(D555,'Species Codes'!B:O,14,0)+VLOOKUP(D555,'Species Codes'!B:P,15,0)*LN((E555*2.54))),VLOOKUP(D555,'Species Codes'!B:O,14,0)+VLOOKUP(D555,'Species Codes'!B:P,15,0)*(((E555*2.54)/100)^2)*(I555*0.3048)))))*0.0011023),0)</f>
        <v>#N/A</v>
      </c>
      <c r="AD555" s="104" t="e">
        <f t="shared" si="274"/>
        <v>#N/A</v>
      </c>
      <c r="AE555" s="104" t="e">
        <f t="shared" si="275"/>
        <v>#N/A</v>
      </c>
      <c r="AF555" s="104" t="e">
        <f>IF(AND(VLOOKUP($D555,Merchantability!$B:$C,2,0)="Yes",$E555&gt;=VLOOKUP($D555,Merchantability!$B:$D,3,0),$E555&lt;=VLOOKUP($D555,Merchantability!$B:$E,4,0)),AA555,0)</f>
        <v>#N/A</v>
      </c>
      <c r="AG555" s="104" t="e">
        <f>IF(AND(VLOOKUP($D555,Merchantability!$B:$C,2,0)="Yes",$E555&gt;=VLOOKUP($D555,Merchantability!$B:$D,3,0),$E555&lt;=VLOOKUP($D555,Merchantability!$B:$E,4,0)),AB555,0)</f>
        <v>#N/A</v>
      </c>
      <c r="AH555" s="104" t="e">
        <f>IF(AND(VLOOKUP($D555,Merchantability!$B:$C,2,0)="Yes",$E555&gt;=VLOOKUP($D555,Merchantability!$B:$D,3,0),$E555&lt;=VLOOKUP($D555,Merchantability!$B:$E,4,0)),AC555,0)</f>
        <v>#N/A</v>
      </c>
      <c r="AI555" s="104" t="e">
        <f t="shared" si="276"/>
        <v>#N/A</v>
      </c>
      <c r="AJ555" s="104" t="e">
        <f t="shared" si="277"/>
        <v>#VALUE!</v>
      </c>
      <c r="AK555" s="104" t="e">
        <f t="shared" si="278"/>
        <v>#N/A</v>
      </c>
      <c r="AL555" s="104" t="e">
        <f t="shared" si="279"/>
        <v>#N/A</v>
      </c>
      <c r="AM555" s="104" t="e">
        <f t="shared" si="280"/>
        <v>#N/A</v>
      </c>
      <c r="AN555" s="104" t="e">
        <f t="shared" si="264"/>
        <v>#N/A</v>
      </c>
      <c r="AO555" s="104" t="e">
        <f t="shared" si="265"/>
        <v>#N/A</v>
      </c>
      <c r="AP555" s="104" t="e">
        <f t="shared" si="266"/>
        <v>#N/A</v>
      </c>
      <c r="AQ555" s="104" t="e">
        <f t="shared" si="267"/>
        <v>#N/A</v>
      </c>
      <c r="AR555" s="105" t="str">
        <f t="shared" si="259"/>
        <v/>
      </c>
      <c r="AS555" s="105" t="str">
        <f t="shared" si="260"/>
        <v/>
      </c>
      <c r="AT555" s="108" t="str">
        <f t="shared" si="261"/>
        <v/>
      </c>
      <c r="AU555" s="108" t="str">
        <f t="shared" si="262"/>
        <v/>
      </c>
      <c r="AV555" s="107" t="str">
        <f>IF(ISNUMBER(O555),IF(VLOOKUP($A555,Stand!C:J,8,FALSE)="Short",AT555,AU555),"")</f>
        <v/>
      </c>
      <c r="AW555" s="109" t="str">
        <f t="shared" si="268"/>
        <v/>
      </c>
      <c r="AX555" s="109" t="str">
        <f t="shared" si="269"/>
        <v/>
      </c>
      <c r="AY555" s="112" t="str">
        <f>IF(ISNUMBER(O555),IF(AND(VLOOKUP($D555,Merchantability!$B:$C,2,0)="Yes",$E555&gt;=VLOOKUP($D555,Merchantability!$B:$D,3,0),$E555&lt;=VLOOKUP($D555,Merchantability!$B:$E,4,0)),(AV555*O555)*(1-$H555/100),""),"")</f>
        <v/>
      </c>
      <c r="AZ555" s="116"/>
      <c r="BA555" s="116"/>
      <c r="BB555" s="116"/>
      <c r="BE555" s="62"/>
      <c r="BF555" s="63"/>
    </row>
    <row r="556" spans="1:58" ht="12.75" customHeight="1" x14ac:dyDescent="0.25">
      <c r="A556" s="313"/>
      <c r="B556" s="328"/>
      <c r="C556" s="329"/>
      <c r="D556" s="328"/>
      <c r="E556" s="330"/>
      <c r="F556" s="328"/>
      <c r="G556" s="329"/>
      <c r="H556" s="329"/>
      <c r="I556" s="328"/>
      <c r="J556" s="383"/>
      <c r="K556" s="329"/>
      <c r="L556" s="329"/>
      <c r="M556" s="78"/>
      <c r="N556" s="103" t="str">
        <f>IF(A556="","",VLOOKUP(A556,Stand!C:K,9,0))</f>
        <v/>
      </c>
      <c r="O556" s="104" t="str">
        <f t="shared" si="254"/>
        <v/>
      </c>
      <c r="P556" s="105" t="str">
        <f t="shared" si="255"/>
        <v/>
      </c>
      <c r="Q556" s="105" t="str">
        <f t="shared" si="270"/>
        <v/>
      </c>
      <c r="R556" s="103" t="str">
        <f t="shared" si="256"/>
        <v/>
      </c>
      <c r="S556" s="103" t="str">
        <f t="shared" si="257"/>
        <v/>
      </c>
      <c r="T556" s="106" t="str">
        <f t="shared" si="271"/>
        <v/>
      </c>
      <c r="U556" s="106" t="str">
        <f t="shared" si="272"/>
        <v/>
      </c>
      <c r="V556" s="106" t="str">
        <f t="shared" si="273"/>
        <v/>
      </c>
      <c r="W556" s="105" t="str">
        <f t="shared" si="258"/>
        <v/>
      </c>
      <c r="X556" s="104" t="str">
        <f t="shared" si="263"/>
        <v/>
      </c>
      <c r="Y556" s="104" t="str">
        <f t="array" ref="Y556">IFERROR(IF(ISNUMBER(O556),IF(COUNT(IF(A556=$A$2:$A$2427,IF(D556=$D$2:$D$2427,IF($X$2:$X$2427&gt;0,1))))&gt;0,SUM(IF(A556=$A$2:$A$2427,IF(D556=$D$2:$D$2427,$X$2:$X$2427)))/COUNT(IF(A556=$A$2:$A$2427,IF(D556=$D$2:$D$2427,IF(ISNUMBER($X$2:$X$2427),1)))),0),""),0)</f>
        <v/>
      </c>
      <c r="Z556" s="104" t="str">
        <f>IF(ISNUMBER(O556),IF(I556&gt;0,(10^(VLOOKUP(D556,'Species Codes'!B:C,2,0)+VLOOKUP(D556,'Species Codes'!B:D,3,0)*LOG(E556)+VLOOKUP(D556,'Species Codes'!B:E,4,0)*LOG(I556))),0),"")</f>
        <v/>
      </c>
      <c r="AA556" s="104" t="str">
        <f>IFERROR((VLOOKUP(D556,'Species Codes'!B:G,6,0)*Z556)/2000,"")</f>
        <v/>
      </c>
      <c r="AB556" s="104" t="e">
        <f>IF(Z556&gt;0,((IF(OR(D556="DF",D556="RA")=TRUE,EXP(VLOOKUP(D556,'Species Codes'!B:I,8,0)+VLOOKUP(D556,'Species Codes'!B:J,9,0)*(LN((E556*2.54)))),IF(OR(D556="PY",D556="RC",D556="WH",D556="NF")=TRUE,VLOOKUP(D556,'Species Codes'!B:I,8,0)+VLOOKUP(D556,'Species Codes'!B:J,9,0)*((E556*2.54)^2)*(I556*0.3048),IF(OR(D556="MD",D556="BM",D556="GA")=TRUE,((VLOOKUP(D556,'Species Codes'!B:I,8,0)*(((((E556*2.54)+VLOOKUP(D556,'Species Codes'!B:J,9,0))/VLOOKUP(D556,'Species Codes'!B:K,10,0))^VLOOKUP(D556,'Species Codes'!B:L,11,0))*((I556*0.3048)^VLOOKUP(D556,'Species Codes'!B:M,12,0))))-(VLOOKUP(D556,'Species Codes'!B:I,8,0)*((((E556*2.54)^VLOOKUP(D556,'Species Codes'!B:L,11,0))*((I556*0.3048)^VLOOKUP(D556,'Species Codes'!B:M,12,0))))))*35.3*VLOOKUP(D556,'Species Codes'!B:G,6,0)/2.2046,VLOOKUP(D556,'Species Codes'!B:I,8,0)+VLOOKUP(D556,'Species Codes'!B:J,9,0)*(((E556*2.54)/100)^2)*(I556*0.3048)))))*0.0011023),0)</f>
        <v>#N/A</v>
      </c>
      <c r="AC556" s="104" t="e">
        <f>IF(Z556&gt;0,((IF(OR(D556="RA",D556="OA",D556="OT",D556="UN",D556="PC"),EXP(VLOOKUP(D556,'Species Codes'!B:O,14,0)+VLOOKUP(D556,'Species Codes'!B:P,15,0)*LN((E556*2.54)))-EXP(VLOOKUP(D556,'Species Codes'!B:O,14,0)+VLOOKUP(D556,'Species Codes'!B:P,15,0)*LN((E556*2.54)))*(1/(VLOOKUP(D556,'Species Codes'!B:Q,16,0)+VLOOKUP(D556,'Species Codes'!B:R,17,0)*((E556*2.54)^VLOOKUP(D556,'Species Codes'!B:S,18,0)))),IF(OR(D556="BM",D556="MD",D556="OA"),EXP(VLOOKUP(D556,'Species Codes'!B:O,14,0)+VLOOKUP(D556,'Species Codes'!B:P,15,0)*LN((E556*2.54)))*(1-(1/(VLOOKUP(D556,'Species Codes'!B:Q,16,0)+VLOOKUP(D556,'Species Codes'!B:R,17,0)*((E556*2.54)^VLOOKUP(D556,'Species Codes'!B:S,18,0)))))/1000,IF(D556="DF",EXP(VLOOKUP(D556,'Species Codes'!B:O,14,0)+VLOOKUP(D556,'Species Codes'!B:P,15,0)*LN((E556*2.54))),VLOOKUP(D556,'Species Codes'!B:O,14,0)+VLOOKUP(D556,'Species Codes'!B:P,15,0)*(((E556*2.54)/100)^2)*(I556*0.3048)))))*0.0011023),0)</f>
        <v>#N/A</v>
      </c>
      <c r="AD556" s="104" t="e">
        <f t="shared" si="274"/>
        <v>#N/A</v>
      </c>
      <c r="AE556" s="104" t="e">
        <f t="shared" si="275"/>
        <v>#N/A</v>
      </c>
      <c r="AF556" s="104" t="e">
        <f>IF(AND(VLOOKUP($D556,Merchantability!$B:$C,2,0)="Yes",$E556&gt;=VLOOKUP($D556,Merchantability!$B:$D,3,0),$E556&lt;=VLOOKUP($D556,Merchantability!$B:$E,4,0)),AA556,0)</f>
        <v>#N/A</v>
      </c>
      <c r="AG556" s="104" t="e">
        <f>IF(AND(VLOOKUP($D556,Merchantability!$B:$C,2,0)="Yes",$E556&gt;=VLOOKUP($D556,Merchantability!$B:$D,3,0),$E556&lt;=VLOOKUP($D556,Merchantability!$B:$E,4,0)),AB556,0)</f>
        <v>#N/A</v>
      </c>
      <c r="AH556" s="104" t="e">
        <f>IF(AND(VLOOKUP($D556,Merchantability!$B:$C,2,0)="Yes",$E556&gt;=VLOOKUP($D556,Merchantability!$B:$D,3,0),$E556&lt;=VLOOKUP($D556,Merchantability!$B:$E,4,0)),AC556,0)</f>
        <v>#N/A</v>
      </c>
      <c r="AI556" s="104" t="e">
        <f t="shared" si="276"/>
        <v>#N/A</v>
      </c>
      <c r="AJ556" s="104" t="e">
        <f t="shared" si="277"/>
        <v>#VALUE!</v>
      </c>
      <c r="AK556" s="104" t="e">
        <f t="shared" si="278"/>
        <v>#N/A</v>
      </c>
      <c r="AL556" s="104" t="e">
        <f t="shared" si="279"/>
        <v>#N/A</v>
      </c>
      <c r="AM556" s="104" t="e">
        <f t="shared" si="280"/>
        <v>#N/A</v>
      </c>
      <c r="AN556" s="104" t="e">
        <f t="shared" si="264"/>
        <v>#N/A</v>
      </c>
      <c r="AO556" s="104" t="e">
        <f t="shared" si="265"/>
        <v>#N/A</v>
      </c>
      <c r="AP556" s="104" t="e">
        <f t="shared" si="266"/>
        <v>#N/A</v>
      </c>
      <c r="AQ556" s="104" t="e">
        <f t="shared" si="267"/>
        <v>#N/A</v>
      </c>
      <c r="AR556" s="105" t="str">
        <f t="shared" si="259"/>
        <v/>
      </c>
      <c r="AS556" s="105" t="str">
        <f t="shared" si="260"/>
        <v/>
      </c>
      <c r="AT556" s="108" t="str">
        <f t="shared" si="261"/>
        <v/>
      </c>
      <c r="AU556" s="108" t="str">
        <f t="shared" si="262"/>
        <v/>
      </c>
      <c r="AV556" s="107" t="str">
        <f>IF(ISNUMBER(O556),IF(VLOOKUP($A556,Stand!C:J,8,FALSE)="Short",AT556,AU556),"")</f>
        <v/>
      </c>
      <c r="AW556" s="109" t="str">
        <f t="shared" si="268"/>
        <v/>
      </c>
      <c r="AX556" s="109" t="str">
        <f t="shared" si="269"/>
        <v/>
      </c>
      <c r="AY556" s="112" t="str">
        <f>IF(ISNUMBER(O556),IF(AND(VLOOKUP($D556,Merchantability!$B:$C,2,0)="Yes",$E556&gt;=VLOOKUP($D556,Merchantability!$B:$D,3,0),$E556&lt;=VLOOKUP($D556,Merchantability!$B:$E,4,0)),(AV556*O556)*(1-$H556/100),""),"")</f>
        <v/>
      </c>
      <c r="AZ556" s="116"/>
      <c r="BA556" s="116"/>
      <c r="BB556" s="116"/>
      <c r="BE556" s="62"/>
      <c r="BF556" s="63"/>
    </row>
    <row r="557" spans="1:58" ht="12.75" customHeight="1" x14ac:dyDescent="0.25">
      <c r="A557" s="313"/>
      <c r="B557" s="328"/>
      <c r="C557" s="329"/>
      <c r="D557" s="328"/>
      <c r="E557" s="330"/>
      <c r="F557" s="328"/>
      <c r="G557" s="329"/>
      <c r="H557" s="329"/>
      <c r="I557" s="328"/>
      <c r="J557" s="383"/>
      <c r="K557" s="329"/>
      <c r="L557" s="329"/>
      <c r="M557" s="78"/>
      <c r="N557" s="103" t="str">
        <f>IF(A557="","",VLOOKUP(A557,Stand!C:K,9,0))</f>
        <v/>
      </c>
      <c r="O557" s="104" t="str">
        <f t="shared" si="254"/>
        <v/>
      </c>
      <c r="P557" s="105" t="str">
        <f t="shared" si="255"/>
        <v/>
      </c>
      <c r="Q557" s="105" t="str">
        <f t="shared" si="270"/>
        <v/>
      </c>
      <c r="R557" s="103" t="str">
        <f t="shared" si="256"/>
        <v/>
      </c>
      <c r="S557" s="103" t="str">
        <f t="shared" si="257"/>
        <v/>
      </c>
      <c r="T557" s="106" t="str">
        <f t="shared" si="271"/>
        <v/>
      </c>
      <c r="U557" s="106" t="str">
        <f t="shared" si="272"/>
        <v/>
      </c>
      <c r="V557" s="106" t="str">
        <f t="shared" si="273"/>
        <v/>
      </c>
      <c r="W557" s="105" t="str">
        <f t="shared" si="258"/>
        <v/>
      </c>
      <c r="X557" s="104" t="str">
        <f t="shared" si="263"/>
        <v/>
      </c>
      <c r="Y557" s="104" t="str">
        <f t="array" ref="Y557">IFERROR(IF(ISNUMBER(O557),IF(COUNT(IF(A557=$A$2:$A$2427,IF(D557=$D$2:$D$2427,IF($X$2:$X$2427&gt;0,1))))&gt;0,SUM(IF(A557=$A$2:$A$2427,IF(D557=$D$2:$D$2427,$X$2:$X$2427)))/COUNT(IF(A557=$A$2:$A$2427,IF(D557=$D$2:$D$2427,IF(ISNUMBER($X$2:$X$2427),1)))),0),""),0)</f>
        <v/>
      </c>
      <c r="Z557" s="104" t="str">
        <f>IF(ISNUMBER(O557),IF(I557&gt;0,(10^(VLOOKUP(D557,'Species Codes'!B:C,2,0)+VLOOKUP(D557,'Species Codes'!B:D,3,0)*LOG(E557)+VLOOKUP(D557,'Species Codes'!B:E,4,0)*LOG(I557))),0),"")</f>
        <v/>
      </c>
      <c r="AA557" s="104" t="str">
        <f>IFERROR((VLOOKUP(D557,'Species Codes'!B:G,6,0)*Z557)/2000,"")</f>
        <v/>
      </c>
      <c r="AB557" s="104" t="e">
        <f>IF(Z557&gt;0,((IF(OR(D557="DF",D557="RA")=TRUE,EXP(VLOOKUP(D557,'Species Codes'!B:I,8,0)+VLOOKUP(D557,'Species Codes'!B:J,9,0)*(LN((E557*2.54)))),IF(OR(D557="PY",D557="RC",D557="WH",D557="NF")=TRUE,VLOOKUP(D557,'Species Codes'!B:I,8,0)+VLOOKUP(D557,'Species Codes'!B:J,9,0)*((E557*2.54)^2)*(I557*0.3048),IF(OR(D557="MD",D557="BM",D557="GA")=TRUE,((VLOOKUP(D557,'Species Codes'!B:I,8,0)*(((((E557*2.54)+VLOOKUP(D557,'Species Codes'!B:J,9,0))/VLOOKUP(D557,'Species Codes'!B:K,10,0))^VLOOKUP(D557,'Species Codes'!B:L,11,0))*((I557*0.3048)^VLOOKUP(D557,'Species Codes'!B:M,12,0))))-(VLOOKUP(D557,'Species Codes'!B:I,8,0)*((((E557*2.54)^VLOOKUP(D557,'Species Codes'!B:L,11,0))*((I557*0.3048)^VLOOKUP(D557,'Species Codes'!B:M,12,0))))))*35.3*VLOOKUP(D557,'Species Codes'!B:G,6,0)/2.2046,VLOOKUP(D557,'Species Codes'!B:I,8,0)+VLOOKUP(D557,'Species Codes'!B:J,9,0)*(((E557*2.54)/100)^2)*(I557*0.3048)))))*0.0011023),0)</f>
        <v>#N/A</v>
      </c>
      <c r="AC557" s="104" t="e">
        <f>IF(Z557&gt;0,((IF(OR(D557="RA",D557="OA",D557="OT",D557="UN",D557="PC"),EXP(VLOOKUP(D557,'Species Codes'!B:O,14,0)+VLOOKUP(D557,'Species Codes'!B:P,15,0)*LN((E557*2.54)))-EXP(VLOOKUP(D557,'Species Codes'!B:O,14,0)+VLOOKUP(D557,'Species Codes'!B:P,15,0)*LN((E557*2.54)))*(1/(VLOOKUP(D557,'Species Codes'!B:Q,16,0)+VLOOKUP(D557,'Species Codes'!B:R,17,0)*((E557*2.54)^VLOOKUP(D557,'Species Codes'!B:S,18,0)))),IF(OR(D557="BM",D557="MD",D557="OA"),EXP(VLOOKUP(D557,'Species Codes'!B:O,14,0)+VLOOKUP(D557,'Species Codes'!B:P,15,0)*LN((E557*2.54)))*(1-(1/(VLOOKUP(D557,'Species Codes'!B:Q,16,0)+VLOOKUP(D557,'Species Codes'!B:R,17,0)*((E557*2.54)^VLOOKUP(D557,'Species Codes'!B:S,18,0)))))/1000,IF(D557="DF",EXP(VLOOKUP(D557,'Species Codes'!B:O,14,0)+VLOOKUP(D557,'Species Codes'!B:P,15,0)*LN((E557*2.54))),VLOOKUP(D557,'Species Codes'!B:O,14,0)+VLOOKUP(D557,'Species Codes'!B:P,15,0)*(((E557*2.54)/100)^2)*(I557*0.3048)))))*0.0011023),0)</f>
        <v>#N/A</v>
      </c>
      <c r="AD557" s="104" t="e">
        <f t="shared" si="274"/>
        <v>#N/A</v>
      </c>
      <c r="AE557" s="104" t="e">
        <f t="shared" si="275"/>
        <v>#N/A</v>
      </c>
      <c r="AF557" s="104" t="e">
        <f>IF(AND(VLOOKUP($D557,Merchantability!$B:$C,2,0)="Yes",$E557&gt;=VLOOKUP($D557,Merchantability!$B:$D,3,0),$E557&lt;=VLOOKUP($D557,Merchantability!$B:$E,4,0)),AA557,0)</f>
        <v>#N/A</v>
      </c>
      <c r="AG557" s="104" t="e">
        <f>IF(AND(VLOOKUP($D557,Merchantability!$B:$C,2,0)="Yes",$E557&gt;=VLOOKUP($D557,Merchantability!$B:$D,3,0),$E557&lt;=VLOOKUP($D557,Merchantability!$B:$E,4,0)),AB557,0)</f>
        <v>#N/A</v>
      </c>
      <c r="AH557" s="104" t="e">
        <f>IF(AND(VLOOKUP($D557,Merchantability!$B:$C,2,0)="Yes",$E557&gt;=VLOOKUP($D557,Merchantability!$B:$D,3,0),$E557&lt;=VLOOKUP($D557,Merchantability!$B:$E,4,0)),AC557,0)</f>
        <v>#N/A</v>
      </c>
      <c r="AI557" s="104" t="e">
        <f t="shared" si="276"/>
        <v>#N/A</v>
      </c>
      <c r="AJ557" s="104" t="e">
        <f t="shared" si="277"/>
        <v>#VALUE!</v>
      </c>
      <c r="AK557" s="104" t="e">
        <f t="shared" si="278"/>
        <v>#N/A</v>
      </c>
      <c r="AL557" s="104" t="e">
        <f t="shared" si="279"/>
        <v>#N/A</v>
      </c>
      <c r="AM557" s="104" t="e">
        <f t="shared" si="280"/>
        <v>#N/A</v>
      </c>
      <c r="AN557" s="104" t="e">
        <f t="shared" si="264"/>
        <v>#N/A</v>
      </c>
      <c r="AO557" s="104" t="e">
        <f t="shared" si="265"/>
        <v>#N/A</v>
      </c>
      <c r="AP557" s="104" t="e">
        <f t="shared" si="266"/>
        <v>#N/A</v>
      </c>
      <c r="AQ557" s="104" t="e">
        <f t="shared" si="267"/>
        <v>#N/A</v>
      </c>
      <c r="AR557" s="105" t="str">
        <f t="shared" si="259"/>
        <v/>
      </c>
      <c r="AS557" s="105" t="str">
        <f t="shared" si="260"/>
        <v/>
      </c>
      <c r="AT557" s="108" t="str">
        <f t="shared" si="261"/>
        <v/>
      </c>
      <c r="AU557" s="108" t="str">
        <f t="shared" si="262"/>
        <v/>
      </c>
      <c r="AV557" s="107" t="str">
        <f>IF(ISNUMBER(O557),IF(VLOOKUP($A557,Stand!C:J,8,FALSE)="Short",AT557,AU557),"")</f>
        <v/>
      </c>
      <c r="AW557" s="109" t="str">
        <f t="shared" si="268"/>
        <v/>
      </c>
      <c r="AX557" s="109" t="str">
        <f t="shared" si="269"/>
        <v/>
      </c>
      <c r="AY557" s="112" t="str">
        <f>IF(ISNUMBER(O557),IF(AND(VLOOKUP($D557,Merchantability!$B:$C,2,0)="Yes",$E557&gt;=VLOOKUP($D557,Merchantability!$B:$D,3,0),$E557&lt;=VLOOKUP($D557,Merchantability!$B:$E,4,0)),(AV557*O557)*(1-$H557/100),""),"")</f>
        <v/>
      </c>
      <c r="AZ557" s="116"/>
      <c r="BA557" s="116"/>
      <c r="BB557" s="116"/>
      <c r="BE557" s="62"/>
      <c r="BF557" s="63"/>
    </row>
    <row r="558" spans="1:58" ht="12.75" customHeight="1" x14ac:dyDescent="0.25">
      <c r="A558" s="313"/>
      <c r="B558" s="328"/>
      <c r="C558" s="329"/>
      <c r="D558" s="328"/>
      <c r="E558" s="330"/>
      <c r="F558" s="328"/>
      <c r="G558" s="329"/>
      <c r="H558" s="329"/>
      <c r="I558" s="328"/>
      <c r="J558" s="383"/>
      <c r="K558" s="329"/>
      <c r="L558" s="329"/>
      <c r="M558" s="78"/>
      <c r="N558" s="103" t="str">
        <f>IF(A558="","",VLOOKUP(A558,Stand!C:K,9,0))</f>
        <v/>
      </c>
      <c r="O558" s="104" t="str">
        <f t="shared" si="254"/>
        <v/>
      </c>
      <c r="P558" s="105" t="str">
        <f t="shared" si="255"/>
        <v/>
      </c>
      <c r="Q558" s="105" t="str">
        <f t="shared" si="270"/>
        <v/>
      </c>
      <c r="R558" s="103" t="str">
        <f t="shared" si="256"/>
        <v/>
      </c>
      <c r="S558" s="103" t="str">
        <f t="shared" si="257"/>
        <v/>
      </c>
      <c r="T558" s="106" t="str">
        <f t="shared" si="271"/>
        <v/>
      </c>
      <c r="U558" s="106" t="str">
        <f t="shared" si="272"/>
        <v/>
      </c>
      <c r="V558" s="106" t="str">
        <f t="shared" si="273"/>
        <v/>
      </c>
      <c r="W558" s="105" t="str">
        <f t="shared" si="258"/>
        <v/>
      </c>
      <c r="X558" s="104" t="str">
        <f t="shared" si="263"/>
        <v/>
      </c>
      <c r="Y558" s="104" t="str">
        <f t="array" ref="Y558">IFERROR(IF(ISNUMBER(O558),IF(COUNT(IF(A558=$A$2:$A$2427,IF(D558=$D$2:$D$2427,IF($X$2:$X$2427&gt;0,1))))&gt;0,SUM(IF(A558=$A$2:$A$2427,IF(D558=$D$2:$D$2427,$X$2:$X$2427)))/COUNT(IF(A558=$A$2:$A$2427,IF(D558=$D$2:$D$2427,IF(ISNUMBER($X$2:$X$2427),1)))),0),""),0)</f>
        <v/>
      </c>
      <c r="Z558" s="104" t="str">
        <f>IF(ISNUMBER(O558),IF(I558&gt;0,(10^(VLOOKUP(D558,'Species Codes'!B:C,2,0)+VLOOKUP(D558,'Species Codes'!B:D,3,0)*LOG(E558)+VLOOKUP(D558,'Species Codes'!B:E,4,0)*LOG(I558))),0),"")</f>
        <v/>
      </c>
      <c r="AA558" s="104" t="str">
        <f>IFERROR((VLOOKUP(D558,'Species Codes'!B:G,6,0)*Z558)/2000,"")</f>
        <v/>
      </c>
      <c r="AB558" s="104" t="e">
        <f>IF(Z558&gt;0,((IF(OR(D558="DF",D558="RA")=TRUE,EXP(VLOOKUP(D558,'Species Codes'!B:I,8,0)+VLOOKUP(D558,'Species Codes'!B:J,9,0)*(LN((E558*2.54)))),IF(OR(D558="PY",D558="RC",D558="WH",D558="NF")=TRUE,VLOOKUP(D558,'Species Codes'!B:I,8,0)+VLOOKUP(D558,'Species Codes'!B:J,9,0)*((E558*2.54)^2)*(I558*0.3048),IF(OR(D558="MD",D558="BM",D558="GA")=TRUE,((VLOOKUP(D558,'Species Codes'!B:I,8,0)*(((((E558*2.54)+VLOOKUP(D558,'Species Codes'!B:J,9,0))/VLOOKUP(D558,'Species Codes'!B:K,10,0))^VLOOKUP(D558,'Species Codes'!B:L,11,0))*((I558*0.3048)^VLOOKUP(D558,'Species Codes'!B:M,12,0))))-(VLOOKUP(D558,'Species Codes'!B:I,8,0)*((((E558*2.54)^VLOOKUP(D558,'Species Codes'!B:L,11,0))*((I558*0.3048)^VLOOKUP(D558,'Species Codes'!B:M,12,0))))))*35.3*VLOOKUP(D558,'Species Codes'!B:G,6,0)/2.2046,VLOOKUP(D558,'Species Codes'!B:I,8,0)+VLOOKUP(D558,'Species Codes'!B:J,9,0)*(((E558*2.54)/100)^2)*(I558*0.3048)))))*0.0011023),0)</f>
        <v>#N/A</v>
      </c>
      <c r="AC558" s="104" t="e">
        <f>IF(Z558&gt;0,((IF(OR(D558="RA",D558="OA",D558="OT",D558="UN",D558="PC"),EXP(VLOOKUP(D558,'Species Codes'!B:O,14,0)+VLOOKUP(D558,'Species Codes'!B:P,15,0)*LN((E558*2.54)))-EXP(VLOOKUP(D558,'Species Codes'!B:O,14,0)+VLOOKUP(D558,'Species Codes'!B:P,15,0)*LN((E558*2.54)))*(1/(VLOOKUP(D558,'Species Codes'!B:Q,16,0)+VLOOKUP(D558,'Species Codes'!B:R,17,0)*((E558*2.54)^VLOOKUP(D558,'Species Codes'!B:S,18,0)))),IF(OR(D558="BM",D558="MD",D558="OA"),EXP(VLOOKUP(D558,'Species Codes'!B:O,14,0)+VLOOKUP(D558,'Species Codes'!B:P,15,0)*LN((E558*2.54)))*(1-(1/(VLOOKUP(D558,'Species Codes'!B:Q,16,0)+VLOOKUP(D558,'Species Codes'!B:R,17,0)*((E558*2.54)^VLOOKUP(D558,'Species Codes'!B:S,18,0)))))/1000,IF(D558="DF",EXP(VLOOKUP(D558,'Species Codes'!B:O,14,0)+VLOOKUP(D558,'Species Codes'!B:P,15,0)*LN((E558*2.54))),VLOOKUP(D558,'Species Codes'!B:O,14,0)+VLOOKUP(D558,'Species Codes'!B:P,15,0)*(((E558*2.54)/100)^2)*(I558*0.3048)))))*0.0011023),0)</f>
        <v>#N/A</v>
      </c>
      <c r="AD558" s="104" t="e">
        <f t="shared" si="274"/>
        <v>#N/A</v>
      </c>
      <c r="AE558" s="104" t="e">
        <f t="shared" si="275"/>
        <v>#N/A</v>
      </c>
      <c r="AF558" s="104" t="e">
        <f>IF(AND(VLOOKUP($D558,Merchantability!$B:$C,2,0)="Yes",$E558&gt;=VLOOKUP($D558,Merchantability!$B:$D,3,0),$E558&lt;=VLOOKUP($D558,Merchantability!$B:$E,4,0)),AA558,0)</f>
        <v>#N/A</v>
      </c>
      <c r="AG558" s="104" t="e">
        <f>IF(AND(VLOOKUP($D558,Merchantability!$B:$C,2,0)="Yes",$E558&gt;=VLOOKUP($D558,Merchantability!$B:$D,3,0),$E558&lt;=VLOOKUP($D558,Merchantability!$B:$E,4,0)),AB558,0)</f>
        <v>#N/A</v>
      </c>
      <c r="AH558" s="104" t="e">
        <f>IF(AND(VLOOKUP($D558,Merchantability!$B:$C,2,0)="Yes",$E558&gt;=VLOOKUP($D558,Merchantability!$B:$D,3,0),$E558&lt;=VLOOKUP($D558,Merchantability!$B:$E,4,0)),AC558,0)</f>
        <v>#N/A</v>
      </c>
      <c r="AI558" s="104" t="e">
        <f t="shared" si="276"/>
        <v>#N/A</v>
      </c>
      <c r="AJ558" s="104" t="e">
        <f t="shared" si="277"/>
        <v>#VALUE!</v>
      </c>
      <c r="AK558" s="104" t="e">
        <f t="shared" si="278"/>
        <v>#N/A</v>
      </c>
      <c r="AL558" s="104" t="e">
        <f t="shared" si="279"/>
        <v>#N/A</v>
      </c>
      <c r="AM558" s="104" t="e">
        <f t="shared" si="280"/>
        <v>#N/A</v>
      </c>
      <c r="AN558" s="104" t="e">
        <f t="shared" si="264"/>
        <v>#N/A</v>
      </c>
      <c r="AO558" s="104" t="e">
        <f t="shared" si="265"/>
        <v>#N/A</v>
      </c>
      <c r="AP558" s="104" t="e">
        <f t="shared" si="266"/>
        <v>#N/A</v>
      </c>
      <c r="AQ558" s="104" t="e">
        <f t="shared" si="267"/>
        <v>#N/A</v>
      </c>
      <c r="AR558" s="105" t="str">
        <f t="shared" si="259"/>
        <v/>
      </c>
      <c r="AS558" s="105" t="str">
        <f t="shared" si="260"/>
        <v/>
      </c>
      <c r="AT558" s="108" t="str">
        <f t="shared" si="261"/>
        <v/>
      </c>
      <c r="AU558" s="108" t="str">
        <f t="shared" si="262"/>
        <v/>
      </c>
      <c r="AV558" s="107" t="str">
        <f>IF(ISNUMBER(O558),IF(VLOOKUP($A558,Stand!C:J,8,FALSE)="Short",AT558,AU558),"")</f>
        <v/>
      </c>
      <c r="AW558" s="109" t="str">
        <f t="shared" si="268"/>
        <v/>
      </c>
      <c r="AX558" s="109" t="str">
        <f t="shared" si="269"/>
        <v/>
      </c>
      <c r="AY558" s="112" t="str">
        <f>IF(ISNUMBER(O558),IF(AND(VLOOKUP($D558,Merchantability!$B:$C,2,0)="Yes",$E558&gt;=VLOOKUP($D558,Merchantability!$B:$D,3,0),$E558&lt;=VLOOKUP($D558,Merchantability!$B:$E,4,0)),(AV558*O558)*(1-$H558/100),""),"")</f>
        <v/>
      </c>
      <c r="AZ558" s="116"/>
      <c r="BA558" s="116"/>
      <c r="BB558" s="116"/>
      <c r="BE558" s="62"/>
      <c r="BF558" s="63"/>
    </row>
    <row r="559" spans="1:58" ht="12.75" customHeight="1" x14ac:dyDescent="0.25">
      <c r="A559" s="313"/>
      <c r="B559" s="328"/>
      <c r="C559" s="329"/>
      <c r="D559" s="328"/>
      <c r="E559" s="330"/>
      <c r="F559" s="328"/>
      <c r="G559" s="329"/>
      <c r="H559" s="329"/>
      <c r="I559" s="328"/>
      <c r="J559" s="383"/>
      <c r="K559" s="329"/>
      <c r="L559" s="329"/>
      <c r="M559" s="78"/>
      <c r="N559" s="103" t="str">
        <f>IF(A559="","",VLOOKUP(A559,Stand!C:K,9,0))</f>
        <v/>
      </c>
      <c r="O559" s="104" t="str">
        <f t="shared" si="254"/>
        <v/>
      </c>
      <c r="P559" s="105" t="str">
        <f t="shared" si="255"/>
        <v/>
      </c>
      <c r="Q559" s="105" t="str">
        <f t="shared" si="270"/>
        <v/>
      </c>
      <c r="R559" s="103" t="str">
        <f t="shared" si="256"/>
        <v/>
      </c>
      <c r="S559" s="103" t="str">
        <f t="shared" si="257"/>
        <v/>
      </c>
      <c r="T559" s="106" t="str">
        <f t="shared" si="271"/>
        <v/>
      </c>
      <c r="U559" s="106" t="str">
        <f t="shared" si="272"/>
        <v/>
      </c>
      <c r="V559" s="106" t="str">
        <f t="shared" si="273"/>
        <v/>
      </c>
      <c r="W559" s="105" t="str">
        <f t="shared" si="258"/>
        <v/>
      </c>
      <c r="X559" s="104" t="str">
        <f t="shared" si="263"/>
        <v/>
      </c>
      <c r="Y559" s="104" t="str">
        <f t="array" ref="Y559">IFERROR(IF(ISNUMBER(O559),IF(COUNT(IF(A559=$A$2:$A$2427,IF(D559=$D$2:$D$2427,IF($X$2:$X$2427&gt;0,1))))&gt;0,SUM(IF(A559=$A$2:$A$2427,IF(D559=$D$2:$D$2427,$X$2:$X$2427)))/COUNT(IF(A559=$A$2:$A$2427,IF(D559=$D$2:$D$2427,IF(ISNUMBER($X$2:$X$2427),1)))),0),""),0)</f>
        <v/>
      </c>
      <c r="Z559" s="104" t="str">
        <f>IF(ISNUMBER(O559),IF(I559&gt;0,(10^(VLOOKUP(D559,'Species Codes'!B:C,2,0)+VLOOKUP(D559,'Species Codes'!B:D,3,0)*LOG(E559)+VLOOKUP(D559,'Species Codes'!B:E,4,0)*LOG(I559))),0),"")</f>
        <v/>
      </c>
      <c r="AA559" s="104" t="str">
        <f>IFERROR((VLOOKUP(D559,'Species Codes'!B:G,6,0)*Z559)/2000,"")</f>
        <v/>
      </c>
      <c r="AB559" s="104" t="e">
        <f>IF(Z559&gt;0,((IF(OR(D559="DF",D559="RA")=TRUE,EXP(VLOOKUP(D559,'Species Codes'!B:I,8,0)+VLOOKUP(D559,'Species Codes'!B:J,9,0)*(LN((E559*2.54)))),IF(OR(D559="PY",D559="RC",D559="WH",D559="NF")=TRUE,VLOOKUP(D559,'Species Codes'!B:I,8,0)+VLOOKUP(D559,'Species Codes'!B:J,9,0)*((E559*2.54)^2)*(I559*0.3048),IF(OR(D559="MD",D559="BM",D559="GA")=TRUE,((VLOOKUP(D559,'Species Codes'!B:I,8,0)*(((((E559*2.54)+VLOOKUP(D559,'Species Codes'!B:J,9,0))/VLOOKUP(D559,'Species Codes'!B:K,10,0))^VLOOKUP(D559,'Species Codes'!B:L,11,0))*((I559*0.3048)^VLOOKUP(D559,'Species Codes'!B:M,12,0))))-(VLOOKUP(D559,'Species Codes'!B:I,8,0)*((((E559*2.54)^VLOOKUP(D559,'Species Codes'!B:L,11,0))*((I559*0.3048)^VLOOKUP(D559,'Species Codes'!B:M,12,0))))))*35.3*VLOOKUP(D559,'Species Codes'!B:G,6,0)/2.2046,VLOOKUP(D559,'Species Codes'!B:I,8,0)+VLOOKUP(D559,'Species Codes'!B:J,9,0)*(((E559*2.54)/100)^2)*(I559*0.3048)))))*0.0011023),0)</f>
        <v>#N/A</v>
      </c>
      <c r="AC559" s="104" t="e">
        <f>IF(Z559&gt;0,((IF(OR(D559="RA",D559="OA",D559="OT",D559="UN",D559="PC"),EXP(VLOOKUP(D559,'Species Codes'!B:O,14,0)+VLOOKUP(D559,'Species Codes'!B:P,15,0)*LN((E559*2.54)))-EXP(VLOOKUP(D559,'Species Codes'!B:O,14,0)+VLOOKUP(D559,'Species Codes'!B:P,15,0)*LN((E559*2.54)))*(1/(VLOOKUP(D559,'Species Codes'!B:Q,16,0)+VLOOKUP(D559,'Species Codes'!B:R,17,0)*((E559*2.54)^VLOOKUP(D559,'Species Codes'!B:S,18,0)))),IF(OR(D559="BM",D559="MD",D559="OA"),EXP(VLOOKUP(D559,'Species Codes'!B:O,14,0)+VLOOKUP(D559,'Species Codes'!B:P,15,0)*LN((E559*2.54)))*(1-(1/(VLOOKUP(D559,'Species Codes'!B:Q,16,0)+VLOOKUP(D559,'Species Codes'!B:R,17,0)*((E559*2.54)^VLOOKUP(D559,'Species Codes'!B:S,18,0)))))/1000,IF(D559="DF",EXP(VLOOKUP(D559,'Species Codes'!B:O,14,0)+VLOOKUP(D559,'Species Codes'!B:P,15,0)*LN((E559*2.54))),VLOOKUP(D559,'Species Codes'!B:O,14,0)+VLOOKUP(D559,'Species Codes'!B:P,15,0)*(((E559*2.54)/100)^2)*(I559*0.3048)))))*0.0011023),0)</f>
        <v>#N/A</v>
      </c>
      <c r="AD559" s="104" t="e">
        <f t="shared" si="274"/>
        <v>#N/A</v>
      </c>
      <c r="AE559" s="104" t="e">
        <f t="shared" si="275"/>
        <v>#N/A</v>
      </c>
      <c r="AF559" s="104" t="e">
        <f>IF(AND(VLOOKUP($D559,Merchantability!$B:$C,2,0)="Yes",$E559&gt;=VLOOKUP($D559,Merchantability!$B:$D,3,0),$E559&lt;=VLOOKUP($D559,Merchantability!$B:$E,4,0)),AA559,0)</f>
        <v>#N/A</v>
      </c>
      <c r="AG559" s="104" t="e">
        <f>IF(AND(VLOOKUP($D559,Merchantability!$B:$C,2,0)="Yes",$E559&gt;=VLOOKUP($D559,Merchantability!$B:$D,3,0),$E559&lt;=VLOOKUP($D559,Merchantability!$B:$E,4,0)),AB559,0)</f>
        <v>#N/A</v>
      </c>
      <c r="AH559" s="104" t="e">
        <f>IF(AND(VLOOKUP($D559,Merchantability!$B:$C,2,0)="Yes",$E559&gt;=VLOOKUP($D559,Merchantability!$B:$D,3,0),$E559&lt;=VLOOKUP($D559,Merchantability!$B:$E,4,0)),AC559,0)</f>
        <v>#N/A</v>
      </c>
      <c r="AI559" s="104" t="e">
        <f t="shared" si="276"/>
        <v>#N/A</v>
      </c>
      <c r="AJ559" s="104" t="e">
        <f t="shared" si="277"/>
        <v>#VALUE!</v>
      </c>
      <c r="AK559" s="104" t="e">
        <f t="shared" si="278"/>
        <v>#N/A</v>
      </c>
      <c r="AL559" s="104" t="e">
        <f t="shared" si="279"/>
        <v>#N/A</v>
      </c>
      <c r="AM559" s="104" t="e">
        <f t="shared" si="280"/>
        <v>#N/A</v>
      </c>
      <c r="AN559" s="104" t="e">
        <f t="shared" si="264"/>
        <v>#N/A</v>
      </c>
      <c r="AO559" s="104" t="e">
        <f t="shared" si="265"/>
        <v>#N/A</v>
      </c>
      <c r="AP559" s="104" t="e">
        <f t="shared" si="266"/>
        <v>#N/A</v>
      </c>
      <c r="AQ559" s="104" t="e">
        <f t="shared" si="267"/>
        <v>#N/A</v>
      </c>
      <c r="AR559" s="105" t="str">
        <f t="shared" si="259"/>
        <v/>
      </c>
      <c r="AS559" s="105" t="str">
        <f t="shared" si="260"/>
        <v/>
      </c>
      <c r="AT559" s="108" t="str">
        <f t="shared" si="261"/>
        <v/>
      </c>
      <c r="AU559" s="108" t="str">
        <f t="shared" si="262"/>
        <v/>
      </c>
      <c r="AV559" s="107" t="str">
        <f>IF(ISNUMBER(O559),IF(VLOOKUP($A559,Stand!C:J,8,FALSE)="Short",AT559,AU559),"")</f>
        <v/>
      </c>
      <c r="AW559" s="109" t="str">
        <f t="shared" si="268"/>
        <v/>
      </c>
      <c r="AX559" s="109" t="str">
        <f t="shared" si="269"/>
        <v/>
      </c>
      <c r="AY559" s="112" t="str">
        <f>IF(ISNUMBER(O559),IF(AND(VLOOKUP($D559,Merchantability!$B:$C,2,0)="Yes",$E559&gt;=VLOOKUP($D559,Merchantability!$B:$D,3,0),$E559&lt;=VLOOKUP($D559,Merchantability!$B:$E,4,0)),(AV559*O559)*(1-$H559/100),""),"")</f>
        <v/>
      </c>
      <c r="AZ559" s="116"/>
      <c r="BA559" s="116"/>
      <c r="BB559" s="116"/>
      <c r="BE559" s="62"/>
      <c r="BF559" s="63"/>
    </row>
    <row r="560" spans="1:58" ht="12.75" customHeight="1" x14ac:dyDescent="0.25">
      <c r="A560" s="313"/>
      <c r="B560" s="328"/>
      <c r="C560" s="329"/>
      <c r="D560" s="328"/>
      <c r="E560" s="330"/>
      <c r="F560" s="328"/>
      <c r="G560" s="329"/>
      <c r="H560" s="329"/>
      <c r="I560" s="328"/>
      <c r="J560" s="383"/>
      <c r="K560" s="329"/>
      <c r="L560" s="329"/>
      <c r="M560" s="78"/>
      <c r="N560" s="103" t="str">
        <f>IF(A560="","",VLOOKUP(A560,Stand!C:K,9,0))</f>
        <v/>
      </c>
      <c r="O560" s="104" t="str">
        <f t="shared" si="254"/>
        <v/>
      </c>
      <c r="P560" s="105" t="str">
        <f t="shared" si="255"/>
        <v/>
      </c>
      <c r="Q560" s="105" t="str">
        <f t="shared" si="270"/>
        <v/>
      </c>
      <c r="R560" s="103" t="str">
        <f t="shared" si="256"/>
        <v/>
      </c>
      <c r="S560" s="103" t="str">
        <f t="shared" si="257"/>
        <v/>
      </c>
      <c r="T560" s="106" t="str">
        <f t="shared" si="271"/>
        <v/>
      </c>
      <c r="U560" s="106" t="str">
        <f t="shared" si="272"/>
        <v/>
      </c>
      <c r="V560" s="106" t="str">
        <f t="shared" si="273"/>
        <v/>
      </c>
      <c r="W560" s="105" t="str">
        <f t="shared" si="258"/>
        <v/>
      </c>
      <c r="X560" s="104" t="str">
        <f t="shared" si="263"/>
        <v/>
      </c>
      <c r="Y560" s="104" t="str">
        <f t="array" ref="Y560">IFERROR(IF(ISNUMBER(O560),IF(COUNT(IF(A560=$A$2:$A$2427,IF(D560=$D$2:$D$2427,IF($X$2:$X$2427&gt;0,1))))&gt;0,SUM(IF(A560=$A$2:$A$2427,IF(D560=$D$2:$D$2427,$X$2:$X$2427)))/COUNT(IF(A560=$A$2:$A$2427,IF(D560=$D$2:$D$2427,IF(ISNUMBER($X$2:$X$2427),1)))),0),""),0)</f>
        <v/>
      </c>
      <c r="Z560" s="104" t="str">
        <f>IF(ISNUMBER(O560),IF(I560&gt;0,(10^(VLOOKUP(D560,'Species Codes'!B:C,2,0)+VLOOKUP(D560,'Species Codes'!B:D,3,0)*LOG(E560)+VLOOKUP(D560,'Species Codes'!B:E,4,0)*LOG(I560))),0),"")</f>
        <v/>
      </c>
      <c r="AA560" s="104" t="str">
        <f>IFERROR((VLOOKUP(D560,'Species Codes'!B:G,6,0)*Z560)/2000,"")</f>
        <v/>
      </c>
      <c r="AB560" s="104" t="e">
        <f>IF(Z560&gt;0,((IF(OR(D560="DF",D560="RA")=TRUE,EXP(VLOOKUP(D560,'Species Codes'!B:I,8,0)+VLOOKUP(D560,'Species Codes'!B:J,9,0)*(LN((E560*2.54)))),IF(OR(D560="PY",D560="RC",D560="WH",D560="NF")=TRUE,VLOOKUP(D560,'Species Codes'!B:I,8,0)+VLOOKUP(D560,'Species Codes'!B:J,9,0)*((E560*2.54)^2)*(I560*0.3048),IF(OR(D560="MD",D560="BM",D560="GA")=TRUE,((VLOOKUP(D560,'Species Codes'!B:I,8,0)*(((((E560*2.54)+VLOOKUP(D560,'Species Codes'!B:J,9,0))/VLOOKUP(D560,'Species Codes'!B:K,10,0))^VLOOKUP(D560,'Species Codes'!B:L,11,0))*((I560*0.3048)^VLOOKUP(D560,'Species Codes'!B:M,12,0))))-(VLOOKUP(D560,'Species Codes'!B:I,8,0)*((((E560*2.54)^VLOOKUP(D560,'Species Codes'!B:L,11,0))*((I560*0.3048)^VLOOKUP(D560,'Species Codes'!B:M,12,0))))))*35.3*VLOOKUP(D560,'Species Codes'!B:G,6,0)/2.2046,VLOOKUP(D560,'Species Codes'!B:I,8,0)+VLOOKUP(D560,'Species Codes'!B:J,9,0)*(((E560*2.54)/100)^2)*(I560*0.3048)))))*0.0011023),0)</f>
        <v>#N/A</v>
      </c>
      <c r="AC560" s="104" t="e">
        <f>IF(Z560&gt;0,((IF(OR(D560="RA",D560="OA",D560="OT",D560="UN",D560="PC"),EXP(VLOOKUP(D560,'Species Codes'!B:O,14,0)+VLOOKUP(D560,'Species Codes'!B:P,15,0)*LN((E560*2.54)))-EXP(VLOOKUP(D560,'Species Codes'!B:O,14,0)+VLOOKUP(D560,'Species Codes'!B:P,15,0)*LN((E560*2.54)))*(1/(VLOOKUP(D560,'Species Codes'!B:Q,16,0)+VLOOKUP(D560,'Species Codes'!B:R,17,0)*((E560*2.54)^VLOOKUP(D560,'Species Codes'!B:S,18,0)))),IF(OR(D560="BM",D560="MD",D560="OA"),EXP(VLOOKUP(D560,'Species Codes'!B:O,14,0)+VLOOKUP(D560,'Species Codes'!B:P,15,0)*LN((E560*2.54)))*(1-(1/(VLOOKUP(D560,'Species Codes'!B:Q,16,0)+VLOOKUP(D560,'Species Codes'!B:R,17,0)*((E560*2.54)^VLOOKUP(D560,'Species Codes'!B:S,18,0)))))/1000,IF(D560="DF",EXP(VLOOKUP(D560,'Species Codes'!B:O,14,0)+VLOOKUP(D560,'Species Codes'!B:P,15,0)*LN((E560*2.54))),VLOOKUP(D560,'Species Codes'!B:O,14,0)+VLOOKUP(D560,'Species Codes'!B:P,15,0)*(((E560*2.54)/100)^2)*(I560*0.3048)))))*0.0011023),0)</f>
        <v>#N/A</v>
      </c>
      <c r="AD560" s="104" t="e">
        <f t="shared" si="274"/>
        <v>#N/A</v>
      </c>
      <c r="AE560" s="104" t="e">
        <f t="shared" si="275"/>
        <v>#N/A</v>
      </c>
      <c r="AF560" s="104" t="e">
        <f>IF(AND(VLOOKUP($D560,Merchantability!$B:$C,2,0)="Yes",$E560&gt;=VLOOKUP($D560,Merchantability!$B:$D,3,0),$E560&lt;=VLOOKUP($D560,Merchantability!$B:$E,4,0)),AA560,0)</f>
        <v>#N/A</v>
      </c>
      <c r="AG560" s="104" t="e">
        <f>IF(AND(VLOOKUP($D560,Merchantability!$B:$C,2,0)="Yes",$E560&gt;=VLOOKUP($D560,Merchantability!$B:$D,3,0),$E560&lt;=VLOOKUP($D560,Merchantability!$B:$E,4,0)),AB560,0)</f>
        <v>#N/A</v>
      </c>
      <c r="AH560" s="104" t="e">
        <f>IF(AND(VLOOKUP($D560,Merchantability!$B:$C,2,0)="Yes",$E560&gt;=VLOOKUP($D560,Merchantability!$B:$D,3,0),$E560&lt;=VLOOKUP($D560,Merchantability!$B:$E,4,0)),AC560,0)</f>
        <v>#N/A</v>
      </c>
      <c r="AI560" s="104" t="e">
        <f t="shared" si="276"/>
        <v>#N/A</v>
      </c>
      <c r="AJ560" s="104" t="e">
        <f t="shared" si="277"/>
        <v>#VALUE!</v>
      </c>
      <c r="AK560" s="104" t="e">
        <f t="shared" si="278"/>
        <v>#N/A</v>
      </c>
      <c r="AL560" s="104" t="e">
        <f t="shared" si="279"/>
        <v>#N/A</v>
      </c>
      <c r="AM560" s="104" t="e">
        <f t="shared" si="280"/>
        <v>#N/A</v>
      </c>
      <c r="AN560" s="104" t="e">
        <f t="shared" si="264"/>
        <v>#N/A</v>
      </c>
      <c r="AO560" s="104" t="e">
        <f t="shared" si="265"/>
        <v>#N/A</v>
      </c>
      <c r="AP560" s="104" t="e">
        <f t="shared" si="266"/>
        <v>#N/A</v>
      </c>
      <c r="AQ560" s="104" t="e">
        <f t="shared" si="267"/>
        <v>#N/A</v>
      </c>
      <c r="AR560" s="105" t="str">
        <f t="shared" si="259"/>
        <v/>
      </c>
      <c r="AS560" s="105" t="str">
        <f t="shared" si="260"/>
        <v/>
      </c>
      <c r="AT560" s="108" t="str">
        <f t="shared" si="261"/>
        <v/>
      </c>
      <c r="AU560" s="108" t="str">
        <f t="shared" si="262"/>
        <v/>
      </c>
      <c r="AV560" s="107" t="str">
        <f>IF(ISNUMBER(O560),IF(VLOOKUP($A560,Stand!C:J,8,FALSE)="Short",AT560,AU560),"")</f>
        <v/>
      </c>
      <c r="AW560" s="109" t="str">
        <f t="shared" si="268"/>
        <v/>
      </c>
      <c r="AX560" s="109" t="str">
        <f t="shared" si="269"/>
        <v/>
      </c>
      <c r="AY560" s="112" t="str">
        <f>IF(ISNUMBER(O560),IF(AND(VLOOKUP($D560,Merchantability!$B:$C,2,0)="Yes",$E560&gt;=VLOOKUP($D560,Merchantability!$B:$D,3,0),$E560&lt;=VLOOKUP($D560,Merchantability!$B:$E,4,0)),(AV560*O560)*(1-$H560/100),""),"")</f>
        <v/>
      </c>
      <c r="AZ560" s="116"/>
      <c r="BA560" s="116"/>
      <c r="BB560" s="116"/>
      <c r="BE560" s="62"/>
      <c r="BF560" s="63"/>
    </row>
    <row r="561" spans="1:58" ht="12.75" customHeight="1" x14ac:dyDescent="0.25">
      <c r="A561" s="313"/>
      <c r="B561" s="328"/>
      <c r="C561" s="329"/>
      <c r="D561" s="328"/>
      <c r="E561" s="330"/>
      <c r="F561" s="328"/>
      <c r="G561" s="329"/>
      <c r="H561" s="329"/>
      <c r="I561" s="328"/>
      <c r="J561" s="383"/>
      <c r="K561" s="329"/>
      <c r="L561" s="329"/>
      <c r="M561" s="78"/>
      <c r="N561" s="103" t="str">
        <f>IF(A561="","",VLOOKUP(A561,Stand!C:K,9,0))</f>
        <v/>
      </c>
      <c r="O561" s="104" t="str">
        <f t="shared" si="254"/>
        <v/>
      </c>
      <c r="P561" s="105" t="str">
        <f t="shared" si="255"/>
        <v/>
      </c>
      <c r="Q561" s="105" t="str">
        <f t="shared" si="270"/>
        <v/>
      </c>
      <c r="R561" s="103" t="str">
        <f t="shared" si="256"/>
        <v/>
      </c>
      <c r="S561" s="103" t="str">
        <f t="shared" si="257"/>
        <v/>
      </c>
      <c r="T561" s="106" t="str">
        <f t="shared" si="271"/>
        <v/>
      </c>
      <c r="U561" s="106" t="str">
        <f t="shared" si="272"/>
        <v/>
      </c>
      <c r="V561" s="106" t="str">
        <f t="shared" si="273"/>
        <v/>
      </c>
      <c r="W561" s="105" t="str">
        <f t="shared" si="258"/>
        <v/>
      </c>
      <c r="X561" s="104" t="str">
        <f t="shared" si="263"/>
        <v/>
      </c>
      <c r="Y561" s="104" t="str">
        <f t="array" ref="Y561">IFERROR(IF(ISNUMBER(O561),IF(COUNT(IF(A561=$A$2:$A$2427,IF(D561=$D$2:$D$2427,IF($X$2:$X$2427&gt;0,1))))&gt;0,SUM(IF(A561=$A$2:$A$2427,IF(D561=$D$2:$D$2427,$X$2:$X$2427)))/COUNT(IF(A561=$A$2:$A$2427,IF(D561=$D$2:$D$2427,IF(ISNUMBER($X$2:$X$2427),1)))),0),""),0)</f>
        <v/>
      </c>
      <c r="Z561" s="104" t="str">
        <f>IF(ISNUMBER(O561),IF(I561&gt;0,(10^(VLOOKUP(D561,'Species Codes'!B:C,2,0)+VLOOKUP(D561,'Species Codes'!B:D,3,0)*LOG(E561)+VLOOKUP(D561,'Species Codes'!B:E,4,0)*LOG(I561))),0),"")</f>
        <v/>
      </c>
      <c r="AA561" s="104" t="str">
        <f>IFERROR((VLOOKUP(D561,'Species Codes'!B:G,6,0)*Z561)/2000,"")</f>
        <v/>
      </c>
      <c r="AB561" s="104" t="e">
        <f>IF(Z561&gt;0,((IF(OR(D561="DF",D561="RA")=TRUE,EXP(VLOOKUP(D561,'Species Codes'!B:I,8,0)+VLOOKUP(D561,'Species Codes'!B:J,9,0)*(LN((E561*2.54)))),IF(OR(D561="PY",D561="RC",D561="WH",D561="NF")=TRUE,VLOOKUP(D561,'Species Codes'!B:I,8,0)+VLOOKUP(D561,'Species Codes'!B:J,9,0)*((E561*2.54)^2)*(I561*0.3048),IF(OR(D561="MD",D561="BM",D561="GA")=TRUE,((VLOOKUP(D561,'Species Codes'!B:I,8,0)*(((((E561*2.54)+VLOOKUP(D561,'Species Codes'!B:J,9,0))/VLOOKUP(D561,'Species Codes'!B:K,10,0))^VLOOKUP(D561,'Species Codes'!B:L,11,0))*((I561*0.3048)^VLOOKUP(D561,'Species Codes'!B:M,12,0))))-(VLOOKUP(D561,'Species Codes'!B:I,8,0)*((((E561*2.54)^VLOOKUP(D561,'Species Codes'!B:L,11,0))*((I561*0.3048)^VLOOKUP(D561,'Species Codes'!B:M,12,0))))))*35.3*VLOOKUP(D561,'Species Codes'!B:G,6,0)/2.2046,VLOOKUP(D561,'Species Codes'!B:I,8,0)+VLOOKUP(D561,'Species Codes'!B:J,9,0)*(((E561*2.54)/100)^2)*(I561*0.3048)))))*0.0011023),0)</f>
        <v>#N/A</v>
      </c>
      <c r="AC561" s="104" t="e">
        <f>IF(Z561&gt;0,((IF(OR(D561="RA",D561="OA",D561="OT",D561="UN",D561="PC"),EXP(VLOOKUP(D561,'Species Codes'!B:O,14,0)+VLOOKUP(D561,'Species Codes'!B:P,15,0)*LN((E561*2.54)))-EXP(VLOOKUP(D561,'Species Codes'!B:O,14,0)+VLOOKUP(D561,'Species Codes'!B:P,15,0)*LN((E561*2.54)))*(1/(VLOOKUP(D561,'Species Codes'!B:Q,16,0)+VLOOKUP(D561,'Species Codes'!B:R,17,0)*((E561*2.54)^VLOOKUP(D561,'Species Codes'!B:S,18,0)))),IF(OR(D561="BM",D561="MD",D561="OA"),EXP(VLOOKUP(D561,'Species Codes'!B:O,14,0)+VLOOKUP(D561,'Species Codes'!B:P,15,0)*LN((E561*2.54)))*(1-(1/(VLOOKUP(D561,'Species Codes'!B:Q,16,0)+VLOOKUP(D561,'Species Codes'!B:R,17,0)*((E561*2.54)^VLOOKUP(D561,'Species Codes'!B:S,18,0)))))/1000,IF(D561="DF",EXP(VLOOKUP(D561,'Species Codes'!B:O,14,0)+VLOOKUP(D561,'Species Codes'!B:P,15,0)*LN((E561*2.54))),VLOOKUP(D561,'Species Codes'!B:O,14,0)+VLOOKUP(D561,'Species Codes'!B:P,15,0)*(((E561*2.54)/100)^2)*(I561*0.3048)))))*0.0011023),0)</f>
        <v>#N/A</v>
      </c>
      <c r="AD561" s="104" t="e">
        <f t="shared" si="274"/>
        <v>#N/A</v>
      </c>
      <c r="AE561" s="104" t="e">
        <f t="shared" si="275"/>
        <v>#N/A</v>
      </c>
      <c r="AF561" s="104" t="e">
        <f>IF(AND(VLOOKUP($D561,Merchantability!$B:$C,2,0)="Yes",$E561&gt;=VLOOKUP($D561,Merchantability!$B:$D,3,0),$E561&lt;=VLOOKUP($D561,Merchantability!$B:$E,4,0)),AA561,0)</f>
        <v>#N/A</v>
      </c>
      <c r="AG561" s="104" t="e">
        <f>IF(AND(VLOOKUP($D561,Merchantability!$B:$C,2,0)="Yes",$E561&gt;=VLOOKUP($D561,Merchantability!$B:$D,3,0),$E561&lt;=VLOOKUP($D561,Merchantability!$B:$E,4,0)),AB561,0)</f>
        <v>#N/A</v>
      </c>
      <c r="AH561" s="104" t="e">
        <f>IF(AND(VLOOKUP($D561,Merchantability!$B:$C,2,0)="Yes",$E561&gt;=VLOOKUP($D561,Merchantability!$B:$D,3,0),$E561&lt;=VLOOKUP($D561,Merchantability!$B:$E,4,0)),AC561,0)</f>
        <v>#N/A</v>
      </c>
      <c r="AI561" s="104" t="e">
        <f t="shared" si="276"/>
        <v>#N/A</v>
      </c>
      <c r="AJ561" s="104" t="e">
        <f t="shared" si="277"/>
        <v>#VALUE!</v>
      </c>
      <c r="AK561" s="104" t="e">
        <f t="shared" si="278"/>
        <v>#N/A</v>
      </c>
      <c r="AL561" s="104" t="e">
        <f t="shared" si="279"/>
        <v>#N/A</v>
      </c>
      <c r="AM561" s="104" t="e">
        <f t="shared" si="280"/>
        <v>#N/A</v>
      </c>
      <c r="AN561" s="104" t="e">
        <f t="shared" si="264"/>
        <v>#N/A</v>
      </c>
      <c r="AO561" s="104" t="e">
        <f t="shared" si="265"/>
        <v>#N/A</v>
      </c>
      <c r="AP561" s="104" t="e">
        <f t="shared" si="266"/>
        <v>#N/A</v>
      </c>
      <c r="AQ561" s="104" t="e">
        <f t="shared" si="267"/>
        <v>#N/A</v>
      </c>
      <c r="AR561" s="105" t="str">
        <f t="shared" si="259"/>
        <v/>
      </c>
      <c r="AS561" s="105" t="str">
        <f t="shared" si="260"/>
        <v/>
      </c>
      <c r="AT561" s="108" t="str">
        <f t="shared" si="261"/>
        <v/>
      </c>
      <c r="AU561" s="108" t="str">
        <f t="shared" si="262"/>
        <v/>
      </c>
      <c r="AV561" s="107" t="str">
        <f>IF(ISNUMBER(O561),IF(VLOOKUP($A561,Stand!C:J,8,FALSE)="Short",AT561,AU561),"")</f>
        <v/>
      </c>
      <c r="AW561" s="109" t="str">
        <f t="shared" si="268"/>
        <v/>
      </c>
      <c r="AX561" s="109" t="str">
        <f t="shared" si="269"/>
        <v/>
      </c>
      <c r="AY561" s="112" t="str">
        <f>IF(ISNUMBER(O561),IF(AND(VLOOKUP($D561,Merchantability!$B:$C,2,0)="Yes",$E561&gt;=VLOOKUP($D561,Merchantability!$B:$D,3,0),$E561&lt;=VLOOKUP($D561,Merchantability!$B:$E,4,0)),(AV561*O561)*(1-$H561/100),""),"")</f>
        <v/>
      </c>
      <c r="AZ561" s="116"/>
      <c r="BA561" s="116"/>
      <c r="BB561" s="116"/>
      <c r="BE561" s="62"/>
      <c r="BF561" s="63"/>
    </row>
    <row r="562" spans="1:58" ht="12.75" customHeight="1" x14ac:dyDescent="0.25">
      <c r="A562" s="313"/>
      <c r="B562" s="328"/>
      <c r="C562" s="329"/>
      <c r="D562" s="328"/>
      <c r="E562" s="330"/>
      <c r="F562" s="328"/>
      <c r="G562" s="329"/>
      <c r="H562" s="329"/>
      <c r="I562" s="328"/>
      <c r="J562" s="383"/>
      <c r="K562" s="329"/>
      <c r="L562" s="329"/>
      <c r="M562" s="78"/>
      <c r="N562" s="103" t="str">
        <f>IF(A562="","",VLOOKUP(A562,Stand!C:K,9,0))</f>
        <v/>
      </c>
      <c r="O562" s="104" t="str">
        <f t="shared" si="254"/>
        <v/>
      </c>
      <c r="P562" s="105" t="str">
        <f t="shared" si="255"/>
        <v/>
      </c>
      <c r="Q562" s="105" t="str">
        <f t="shared" si="270"/>
        <v/>
      </c>
      <c r="R562" s="103" t="str">
        <f t="shared" si="256"/>
        <v/>
      </c>
      <c r="S562" s="103" t="str">
        <f t="shared" si="257"/>
        <v/>
      </c>
      <c r="T562" s="106" t="str">
        <f t="shared" si="271"/>
        <v/>
      </c>
      <c r="U562" s="106" t="str">
        <f t="shared" si="272"/>
        <v/>
      </c>
      <c r="V562" s="106" t="str">
        <f t="shared" si="273"/>
        <v/>
      </c>
      <c r="W562" s="105" t="str">
        <f t="shared" si="258"/>
        <v/>
      </c>
      <c r="X562" s="104" t="str">
        <f t="shared" si="263"/>
        <v/>
      </c>
      <c r="Y562" s="104" t="str">
        <f t="array" ref="Y562">IFERROR(IF(ISNUMBER(O562),IF(COUNT(IF(A562=$A$2:$A$2427,IF(D562=$D$2:$D$2427,IF($X$2:$X$2427&gt;0,1))))&gt;0,SUM(IF(A562=$A$2:$A$2427,IF(D562=$D$2:$D$2427,$X$2:$X$2427)))/COUNT(IF(A562=$A$2:$A$2427,IF(D562=$D$2:$D$2427,IF(ISNUMBER($X$2:$X$2427),1)))),0),""),0)</f>
        <v/>
      </c>
      <c r="Z562" s="104" t="str">
        <f>IF(ISNUMBER(O562),IF(I562&gt;0,(10^(VLOOKUP(D562,'Species Codes'!B:C,2,0)+VLOOKUP(D562,'Species Codes'!B:D,3,0)*LOG(E562)+VLOOKUP(D562,'Species Codes'!B:E,4,0)*LOG(I562))),0),"")</f>
        <v/>
      </c>
      <c r="AA562" s="104" t="str">
        <f>IFERROR((VLOOKUP(D562,'Species Codes'!B:G,6,0)*Z562)/2000,"")</f>
        <v/>
      </c>
      <c r="AB562" s="104" t="e">
        <f>IF(Z562&gt;0,((IF(OR(D562="DF",D562="RA")=TRUE,EXP(VLOOKUP(D562,'Species Codes'!B:I,8,0)+VLOOKUP(D562,'Species Codes'!B:J,9,0)*(LN((E562*2.54)))),IF(OR(D562="PY",D562="RC",D562="WH",D562="NF")=TRUE,VLOOKUP(D562,'Species Codes'!B:I,8,0)+VLOOKUP(D562,'Species Codes'!B:J,9,0)*((E562*2.54)^2)*(I562*0.3048),IF(OR(D562="MD",D562="BM",D562="GA")=TRUE,((VLOOKUP(D562,'Species Codes'!B:I,8,0)*(((((E562*2.54)+VLOOKUP(D562,'Species Codes'!B:J,9,0))/VLOOKUP(D562,'Species Codes'!B:K,10,0))^VLOOKUP(D562,'Species Codes'!B:L,11,0))*((I562*0.3048)^VLOOKUP(D562,'Species Codes'!B:M,12,0))))-(VLOOKUP(D562,'Species Codes'!B:I,8,0)*((((E562*2.54)^VLOOKUP(D562,'Species Codes'!B:L,11,0))*((I562*0.3048)^VLOOKUP(D562,'Species Codes'!B:M,12,0))))))*35.3*VLOOKUP(D562,'Species Codes'!B:G,6,0)/2.2046,VLOOKUP(D562,'Species Codes'!B:I,8,0)+VLOOKUP(D562,'Species Codes'!B:J,9,0)*(((E562*2.54)/100)^2)*(I562*0.3048)))))*0.0011023),0)</f>
        <v>#N/A</v>
      </c>
      <c r="AC562" s="104" t="e">
        <f>IF(Z562&gt;0,((IF(OR(D562="RA",D562="OA",D562="OT",D562="UN",D562="PC"),EXP(VLOOKUP(D562,'Species Codes'!B:O,14,0)+VLOOKUP(D562,'Species Codes'!B:P,15,0)*LN((E562*2.54)))-EXP(VLOOKUP(D562,'Species Codes'!B:O,14,0)+VLOOKUP(D562,'Species Codes'!B:P,15,0)*LN((E562*2.54)))*(1/(VLOOKUP(D562,'Species Codes'!B:Q,16,0)+VLOOKUP(D562,'Species Codes'!B:R,17,0)*((E562*2.54)^VLOOKUP(D562,'Species Codes'!B:S,18,0)))),IF(OR(D562="BM",D562="MD",D562="OA"),EXP(VLOOKUP(D562,'Species Codes'!B:O,14,0)+VLOOKUP(D562,'Species Codes'!B:P,15,0)*LN((E562*2.54)))*(1-(1/(VLOOKUP(D562,'Species Codes'!B:Q,16,0)+VLOOKUP(D562,'Species Codes'!B:R,17,0)*((E562*2.54)^VLOOKUP(D562,'Species Codes'!B:S,18,0)))))/1000,IF(D562="DF",EXP(VLOOKUP(D562,'Species Codes'!B:O,14,0)+VLOOKUP(D562,'Species Codes'!B:P,15,0)*LN((E562*2.54))),VLOOKUP(D562,'Species Codes'!B:O,14,0)+VLOOKUP(D562,'Species Codes'!B:P,15,0)*(((E562*2.54)/100)^2)*(I562*0.3048)))))*0.0011023),0)</f>
        <v>#N/A</v>
      </c>
      <c r="AD562" s="104" t="e">
        <f t="shared" si="274"/>
        <v>#N/A</v>
      </c>
      <c r="AE562" s="104" t="e">
        <f t="shared" si="275"/>
        <v>#N/A</v>
      </c>
      <c r="AF562" s="104" t="e">
        <f>IF(AND(VLOOKUP($D562,Merchantability!$B:$C,2,0)="Yes",$E562&gt;=VLOOKUP($D562,Merchantability!$B:$D,3,0),$E562&lt;=VLOOKUP($D562,Merchantability!$B:$E,4,0)),AA562,0)</f>
        <v>#N/A</v>
      </c>
      <c r="AG562" s="104" t="e">
        <f>IF(AND(VLOOKUP($D562,Merchantability!$B:$C,2,0)="Yes",$E562&gt;=VLOOKUP($D562,Merchantability!$B:$D,3,0),$E562&lt;=VLOOKUP($D562,Merchantability!$B:$E,4,0)),AB562,0)</f>
        <v>#N/A</v>
      </c>
      <c r="AH562" s="104" t="e">
        <f>IF(AND(VLOOKUP($D562,Merchantability!$B:$C,2,0)="Yes",$E562&gt;=VLOOKUP($D562,Merchantability!$B:$D,3,0),$E562&lt;=VLOOKUP($D562,Merchantability!$B:$E,4,0)),AC562,0)</f>
        <v>#N/A</v>
      </c>
      <c r="AI562" s="104" t="e">
        <f t="shared" si="276"/>
        <v>#N/A</v>
      </c>
      <c r="AJ562" s="104" t="e">
        <f t="shared" si="277"/>
        <v>#VALUE!</v>
      </c>
      <c r="AK562" s="104" t="e">
        <f t="shared" si="278"/>
        <v>#N/A</v>
      </c>
      <c r="AL562" s="104" t="e">
        <f t="shared" si="279"/>
        <v>#N/A</v>
      </c>
      <c r="AM562" s="104" t="e">
        <f t="shared" si="280"/>
        <v>#N/A</v>
      </c>
      <c r="AN562" s="104" t="e">
        <f t="shared" si="264"/>
        <v>#N/A</v>
      </c>
      <c r="AO562" s="104" t="e">
        <f t="shared" si="265"/>
        <v>#N/A</v>
      </c>
      <c r="AP562" s="104" t="e">
        <f t="shared" si="266"/>
        <v>#N/A</v>
      </c>
      <c r="AQ562" s="104" t="e">
        <f t="shared" si="267"/>
        <v>#N/A</v>
      </c>
      <c r="AR562" s="105" t="str">
        <f t="shared" si="259"/>
        <v/>
      </c>
      <c r="AS562" s="105" t="str">
        <f t="shared" si="260"/>
        <v/>
      </c>
      <c r="AT562" s="108" t="str">
        <f t="shared" si="261"/>
        <v/>
      </c>
      <c r="AU562" s="108" t="str">
        <f t="shared" si="262"/>
        <v/>
      </c>
      <c r="AV562" s="107" t="str">
        <f>IF(ISNUMBER(O562),IF(VLOOKUP($A562,Stand!C:J,8,FALSE)="Short",AT562,AU562),"")</f>
        <v/>
      </c>
      <c r="AW562" s="109" t="str">
        <f t="shared" si="268"/>
        <v/>
      </c>
      <c r="AX562" s="109" t="str">
        <f t="shared" si="269"/>
        <v/>
      </c>
      <c r="AY562" s="112" t="str">
        <f>IF(ISNUMBER(O562),IF(AND(VLOOKUP($D562,Merchantability!$B:$C,2,0)="Yes",$E562&gt;=VLOOKUP($D562,Merchantability!$B:$D,3,0),$E562&lt;=VLOOKUP($D562,Merchantability!$B:$E,4,0)),(AV562*O562)*(1-$H562/100),""),"")</f>
        <v/>
      </c>
      <c r="AZ562" s="116"/>
      <c r="BA562" s="116"/>
      <c r="BB562" s="116"/>
      <c r="BE562" s="62"/>
      <c r="BF562" s="63"/>
    </row>
    <row r="563" spans="1:58" ht="12.75" customHeight="1" x14ac:dyDescent="0.25">
      <c r="A563" s="313"/>
      <c r="B563" s="328"/>
      <c r="C563" s="329"/>
      <c r="D563" s="328"/>
      <c r="E563" s="330"/>
      <c r="F563" s="328"/>
      <c r="G563" s="329"/>
      <c r="H563" s="329"/>
      <c r="I563" s="328"/>
      <c r="J563" s="383"/>
      <c r="K563" s="329"/>
      <c r="L563" s="329"/>
      <c r="M563" s="78"/>
      <c r="N563" s="103" t="str">
        <f>IF(A563="","",VLOOKUP(A563,Stand!C:K,9,0))</f>
        <v/>
      </c>
      <c r="O563" s="104" t="str">
        <f t="shared" si="254"/>
        <v/>
      </c>
      <c r="P563" s="105" t="str">
        <f t="shared" si="255"/>
        <v/>
      </c>
      <c r="Q563" s="105" t="str">
        <f t="shared" si="270"/>
        <v/>
      </c>
      <c r="R563" s="103" t="str">
        <f t="shared" si="256"/>
        <v/>
      </c>
      <c r="S563" s="103" t="str">
        <f t="shared" si="257"/>
        <v/>
      </c>
      <c r="T563" s="106" t="str">
        <f t="shared" si="271"/>
        <v/>
      </c>
      <c r="U563" s="106" t="str">
        <f t="shared" si="272"/>
        <v/>
      </c>
      <c r="V563" s="106" t="str">
        <f t="shared" si="273"/>
        <v/>
      </c>
      <c r="W563" s="105" t="str">
        <f t="shared" si="258"/>
        <v/>
      </c>
      <c r="X563" s="104" t="str">
        <f t="shared" si="263"/>
        <v/>
      </c>
      <c r="Y563" s="104" t="str">
        <f t="array" ref="Y563">IFERROR(IF(ISNUMBER(O563),IF(COUNT(IF(A563=$A$2:$A$2427,IF(D563=$D$2:$D$2427,IF($X$2:$X$2427&gt;0,1))))&gt;0,SUM(IF(A563=$A$2:$A$2427,IF(D563=$D$2:$D$2427,$X$2:$X$2427)))/COUNT(IF(A563=$A$2:$A$2427,IF(D563=$D$2:$D$2427,IF(ISNUMBER($X$2:$X$2427),1)))),0),""),0)</f>
        <v/>
      </c>
      <c r="Z563" s="104" t="str">
        <f>IF(ISNUMBER(O563),IF(I563&gt;0,(10^(VLOOKUP(D563,'Species Codes'!B:C,2,0)+VLOOKUP(D563,'Species Codes'!B:D,3,0)*LOG(E563)+VLOOKUP(D563,'Species Codes'!B:E,4,0)*LOG(I563))),0),"")</f>
        <v/>
      </c>
      <c r="AA563" s="104" t="str">
        <f>IFERROR((VLOOKUP(D563,'Species Codes'!B:G,6,0)*Z563)/2000,"")</f>
        <v/>
      </c>
      <c r="AB563" s="104" t="e">
        <f>IF(Z563&gt;0,((IF(OR(D563="DF",D563="RA")=TRUE,EXP(VLOOKUP(D563,'Species Codes'!B:I,8,0)+VLOOKUP(D563,'Species Codes'!B:J,9,0)*(LN((E563*2.54)))),IF(OR(D563="PY",D563="RC",D563="WH",D563="NF")=TRUE,VLOOKUP(D563,'Species Codes'!B:I,8,0)+VLOOKUP(D563,'Species Codes'!B:J,9,0)*((E563*2.54)^2)*(I563*0.3048),IF(OR(D563="MD",D563="BM",D563="GA")=TRUE,((VLOOKUP(D563,'Species Codes'!B:I,8,0)*(((((E563*2.54)+VLOOKUP(D563,'Species Codes'!B:J,9,0))/VLOOKUP(D563,'Species Codes'!B:K,10,0))^VLOOKUP(D563,'Species Codes'!B:L,11,0))*((I563*0.3048)^VLOOKUP(D563,'Species Codes'!B:M,12,0))))-(VLOOKUP(D563,'Species Codes'!B:I,8,0)*((((E563*2.54)^VLOOKUP(D563,'Species Codes'!B:L,11,0))*((I563*0.3048)^VLOOKUP(D563,'Species Codes'!B:M,12,0))))))*35.3*VLOOKUP(D563,'Species Codes'!B:G,6,0)/2.2046,VLOOKUP(D563,'Species Codes'!B:I,8,0)+VLOOKUP(D563,'Species Codes'!B:J,9,0)*(((E563*2.54)/100)^2)*(I563*0.3048)))))*0.0011023),0)</f>
        <v>#N/A</v>
      </c>
      <c r="AC563" s="104" t="e">
        <f>IF(Z563&gt;0,((IF(OR(D563="RA",D563="OA",D563="OT",D563="UN",D563="PC"),EXP(VLOOKUP(D563,'Species Codes'!B:O,14,0)+VLOOKUP(D563,'Species Codes'!B:P,15,0)*LN((E563*2.54)))-EXP(VLOOKUP(D563,'Species Codes'!B:O,14,0)+VLOOKUP(D563,'Species Codes'!B:P,15,0)*LN((E563*2.54)))*(1/(VLOOKUP(D563,'Species Codes'!B:Q,16,0)+VLOOKUP(D563,'Species Codes'!B:R,17,0)*((E563*2.54)^VLOOKUP(D563,'Species Codes'!B:S,18,0)))),IF(OR(D563="BM",D563="MD",D563="OA"),EXP(VLOOKUP(D563,'Species Codes'!B:O,14,0)+VLOOKUP(D563,'Species Codes'!B:P,15,0)*LN((E563*2.54)))*(1-(1/(VLOOKUP(D563,'Species Codes'!B:Q,16,0)+VLOOKUP(D563,'Species Codes'!B:R,17,0)*((E563*2.54)^VLOOKUP(D563,'Species Codes'!B:S,18,0)))))/1000,IF(D563="DF",EXP(VLOOKUP(D563,'Species Codes'!B:O,14,0)+VLOOKUP(D563,'Species Codes'!B:P,15,0)*LN((E563*2.54))),VLOOKUP(D563,'Species Codes'!B:O,14,0)+VLOOKUP(D563,'Species Codes'!B:P,15,0)*(((E563*2.54)/100)^2)*(I563*0.3048)))))*0.0011023),0)</f>
        <v>#N/A</v>
      </c>
      <c r="AD563" s="104" t="e">
        <f t="shared" si="274"/>
        <v>#N/A</v>
      </c>
      <c r="AE563" s="104" t="e">
        <f t="shared" si="275"/>
        <v>#N/A</v>
      </c>
      <c r="AF563" s="104" t="e">
        <f>IF(AND(VLOOKUP($D563,Merchantability!$B:$C,2,0)="Yes",$E563&gt;=VLOOKUP($D563,Merchantability!$B:$D,3,0),$E563&lt;=VLOOKUP($D563,Merchantability!$B:$E,4,0)),AA563,0)</f>
        <v>#N/A</v>
      </c>
      <c r="AG563" s="104" t="e">
        <f>IF(AND(VLOOKUP($D563,Merchantability!$B:$C,2,0)="Yes",$E563&gt;=VLOOKUP($D563,Merchantability!$B:$D,3,0),$E563&lt;=VLOOKUP($D563,Merchantability!$B:$E,4,0)),AB563,0)</f>
        <v>#N/A</v>
      </c>
      <c r="AH563" s="104" t="e">
        <f>IF(AND(VLOOKUP($D563,Merchantability!$B:$C,2,0)="Yes",$E563&gt;=VLOOKUP($D563,Merchantability!$B:$D,3,0),$E563&lt;=VLOOKUP($D563,Merchantability!$B:$E,4,0)),AC563,0)</f>
        <v>#N/A</v>
      </c>
      <c r="AI563" s="104" t="e">
        <f t="shared" si="276"/>
        <v>#N/A</v>
      </c>
      <c r="AJ563" s="104" t="e">
        <f t="shared" si="277"/>
        <v>#VALUE!</v>
      </c>
      <c r="AK563" s="104" t="e">
        <f t="shared" si="278"/>
        <v>#N/A</v>
      </c>
      <c r="AL563" s="104" t="e">
        <f t="shared" si="279"/>
        <v>#N/A</v>
      </c>
      <c r="AM563" s="104" t="e">
        <f t="shared" si="280"/>
        <v>#N/A</v>
      </c>
      <c r="AN563" s="104" t="e">
        <f t="shared" si="264"/>
        <v>#N/A</v>
      </c>
      <c r="AO563" s="104" t="e">
        <f t="shared" si="265"/>
        <v>#N/A</v>
      </c>
      <c r="AP563" s="104" t="e">
        <f t="shared" si="266"/>
        <v>#N/A</v>
      </c>
      <c r="AQ563" s="104" t="e">
        <f t="shared" si="267"/>
        <v>#N/A</v>
      </c>
      <c r="AR563" s="105" t="str">
        <f t="shared" si="259"/>
        <v/>
      </c>
      <c r="AS563" s="105" t="str">
        <f t="shared" si="260"/>
        <v/>
      </c>
      <c r="AT563" s="108" t="str">
        <f t="shared" si="261"/>
        <v/>
      </c>
      <c r="AU563" s="108" t="str">
        <f t="shared" si="262"/>
        <v/>
      </c>
      <c r="AV563" s="107" t="str">
        <f>IF(ISNUMBER(O563),IF(VLOOKUP($A563,Stand!C:J,8,FALSE)="Short",AT563,AU563),"")</f>
        <v/>
      </c>
      <c r="AW563" s="109" t="str">
        <f t="shared" si="268"/>
        <v/>
      </c>
      <c r="AX563" s="109" t="str">
        <f t="shared" si="269"/>
        <v/>
      </c>
      <c r="AY563" s="112" t="str">
        <f>IF(ISNUMBER(O563),IF(AND(VLOOKUP($D563,Merchantability!$B:$C,2,0)="Yes",$E563&gt;=VLOOKUP($D563,Merchantability!$B:$D,3,0),$E563&lt;=VLOOKUP($D563,Merchantability!$B:$E,4,0)),(AV563*O563)*(1-$H563/100),""),"")</f>
        <v/>
      </c>
      <c r="AZ563" s="116"/>
      <c r="BA563" s="116"/>
      <c r="BB563" s="116"/>
      <c r="BE563" s="62"/>
      <c r="BF563" s="63"/>
    </row>
    <row r="564" spans="1:58" ht="12.75" customHeight="1" x14ac:dyDescent="0.25">
      <c r="A564" s="313"/>
      <c r="B564" s="328"/>
      <c r="C564" s="329"/>
      <c r="D564" s="328"/>
      <c r="E564" s="330"/>
      <c r="F564" s="328"/>
      <c r="G564" s="329"/>
      <c r="H564" s="329"/>
      <c r="I564" s="328"/>
      <c r="J564" s="383"/>
      <c r="K564" s="329"/>
      <c r="L564" s="329"/>
      <c r="M564" s="78"/>
      <c r="N564" s="103" t="str">
        <f>IF(A564="","",VLOOKUP(A564,Stand!C:K,9,0))</f>
        <v/>
      </c>
      <c r="O564" s="104" t="str">
        <f t="shared" si="254"/>
        <v/>
      </c>
      <c r="P564" s="105" t="str">
        <f t="shared" si="255"/>
        <v/>
      </c>
      <c r="Q564" s="105" t="str">
        <f t="shared" si="270"/>
        <v/>
      </c>
      <c r="R564" s="103" t="str">
        <f t="shared" si="256"/>
        <v/>
      </c>
      <c r="S564" s="103" t="str">
        <f t="shared" si="257"/>
        <v/>
      </c>
      <c r="T564" s="106" t="str">
        <f t="shared" si="271"/>
        <v/>
      </c>
      <c r="U564" s="106" t="str">
        <f t="shared" si="272"/>
        <v/>
      </c>
      <c r="V564" s="106" t="str">
        <f t="shared" si="273"/>
        <v/>
      </c>
      <c r="W564" s="105" t="str">
        <f t="shared" si="258"/>
        <v/>
      </c>
      <c r="X564" s="104" t="str">
        <f t="shared" si="263"/>
        <v/>
      </c>
      <c r="Y564" s="104" t="str">
        <f t="array" ref="Y564">IFERROR(IF(ISNUMBER(O564),IF(COUNT(IF(A564=$A$2:$A$2427,IF(D564=$D$2:$D$2427,IF($X$2:$X$2427&gt;0,1))))&gt;0,SUM(IF(A564=$A$2:$A$2427,IF(D564=$D$2:$D$2427,$X$2:$X$2427)))/COUNT(IF(A564=$A$2:$A$2427,IF(D564=$D$2:$D$2427,IF(ISNUMBER($X$2:$X$2427),1)))),0),""),0)</f>
        <v/>
      </c>
      <c r="Z564" s="104" t="str">
        <f>IF(ISNUMBER(O564),IF(I564&gt;0,(10^(VLOOKUP(D564,'Species Codes'!B:C,2,0)+VLOOKUP(D564,'Species Codes'!B:D,3,0)*LOG(E564)+VLOOKUP(D564,'Species Codes'!B:E,4,0)*LOG(I564))),0),"")</f>
        <v/>
      </c>
      <c r="AA564" s="104" t="str">
        <f>IFERROR((VLOOKUP(D564,'Species Codes'!B:G,6,0)*Z564)/2000,"")</f>
        <v/>
      </c>
      <c r="AB564" s="104" t="e">
        <f>IF(Z564&gt;0,((IF(OR(D564="DF",D564="RA")=TRUE,EXP(VLOOKUP(D564,'Species Codes'!B:I,8,0)+VLOOKUP(D564,'Species Codes'!B:J,9,0)*(LN((E564*2.54)))),IF(OR(D564="PY",D564="RC",D564="WH",D564="NF")=TRUE,VLOOKUP(D564,'Species Codes'!B:I,8,0)+VLOOKUP(D564,'Species Codes'!B:J,9,0)*((E564*2.54)^2)*(I564*0.3048),IF(OR(D564="MD",D564="BM",D564="GA")=TRUE,((VLOOKUP(D564,'Species Codes'!B:I,8,0)*(((((E564*2.54)+VLOOKUP(D564,'Species Codes'!B:J,9,0))/VLOOKUP(D564,'Species Codes'!B:K,10,0))^VLOOKUP(D564,'Species Codes'!B:L,11,0))*((I564*0.3048)^VLOOKUP(D564,'Species Codes'!B:M,12,0))))-(VLOOKUP(D564,'Species Codes'!B:I,8,0)*((((E564*2.54)^VLOOKUP(D564,'Species Codes'!B:L,11,0))*((I564*0.3048)^VLOOKUP(D564,'Species Codes'!B:M,12,0))))))*35.3*VLOOKUP(D564,'Species Codes'!B:G,6,0)/2.2046,VLOOKUP(D564,'Species Codes'!B:I,8,0)+VLOOKUP(D564,'Species Codes'!B:J,9,0)*(((E564*2.54)/100)^2)*(I564*0.3048)))))*0.0011023),0)</f>
        <v>#N/A</v>
      </c>
      <c r="AC564" s="104" t="e">
        <f>IF(Z564&gt;0,((IF(OR(D564="RA",D564="OA",D564="OT",D564="UN",D564="PC"),EXP(VLOOKUP(D564,'Species Codes'!B:O,14,0)+VLOOKUP(D564,'Species Codes'!B:P,15,0)*LN((E564*2.54)))-EXP(VLOOKUP(D564,'Species Codes'!B:O,14,0)+VLOOKUP(D564,'Species Codes'!B:P,15,0)*LN((E564*2.54)))*(1/(VLOOKUP(D564,'Species Codes'!B:Q,16,0)+VLOOKUP(D564,'Species Codes'!B:R,17,0)*((E564*2.54)^VLOOKUP(D564,'Species Codes'!B:S,18,0)))),IF(OR(D564="BM",D564="MD",D564="OA"),EXP(VLOOKUP(D564,'Species Codes'!B:O,14,0)+VLOOKUP(D564,'Species Codes'!B:P,15,0)*LN((E564*2.54)))*(1-(1/(VLOOKUP(D564,'Species Codes'!B:Q,16,0)+VLOOKUP(D564,'Species Codes'!B:R,17,0)*((E564*2.54)^VLOOKUP(D564,'Species Codes'!B:S,18,0)))))/1000,IF(D564="DF",EXP(VLOOKUP(D564,'Species Codes'!B:O,14,0)+VLOOKUP(D564,'Species Codes'!B:P,15,0)*LN((E564*2.54))),VLOOKUP(D564,'Species Codes'!B:O,14,0)+VLOOKUP(D564,'Species Codes'!B:P,15,0)*(((E564*2.54)/100)^2)*(I564*0.3048)))))*0.0011023),0)</f>
        <v>#N/A</v>
      </c>
      <c r="AD564" s="104" t="e">
        <f t="shared" si="274"/>
        <v>#N/A</v>
      </c>
      <c r="AE564" s="104" t="e">
        <f t="shared" si="275"/>
        <v>#N/A</v>
      </c>
      <c r="AF564" s="104" t="e">
        <f>IF(AND(VLOOKUP($D564,Merchantability!$B:$C,2,0)="Yes",$E564&gt;=VLOOKUP($D564,Merchantability!$B:$D,3,0),$E564&lt;=VLOOKUP($D564,Merchantability!$B:$E,4,0)),AA564,0)</f>
        <v>#N/A</v>
      </c>
      <c r="AG564" s="104" t="e">
        <f>IF(AND(VLOOKUP($D564,Merchantability!$B:$C,2,0)="Yes",$E564&gt;=VLOOKUP($D564,Merchantability!$B:$D,3,0),$E564&lt;=VLOOKUP($D564,Merchantability!$B:$E,4,0)),AB564,0)</f>
        <v>#N/A</v>
      </c>
      <c r="AH564" s="104" t="e">
        <f>IF(AND(VLOOKUP($D564,Merchantability!$B:$C,2,0)="Yes",$E564&gt;=VLOOKUP($D564,Merchantability!$B:$D,3,0),$E564&lt;=VLOOKUP($D564,Merchantability!$B:$E,4,0)),AC564,0)</f>
        <v>#N/A</v>
      </c>
      <c r="AI564" s="104" t="e">
        <f t="shared" si="276"/>
        <v>#N/A</v>
      </c>
      <c r="AJ564" s="104" t="e">
        <f t="shared" si="277"/>
        <v>#VALUE!</v>
      </c>
      <c r="AK564" s="104" t="e">
        <f t="shared" si="278"/>
        <v>#N/A</v>
      </c>
      <c r="AL564" s="104" t="e">
        <f t="shared" si="279"/>
        <v>#N/A</v>
      </c>
      <c r="AM564" s="104" t="e">
        <f t="shared" si="280"/>
        <v>#N/A</v>
      </c>
      <c r="AN564" s="104" t="e">
        <f t="shared" si="264"/>
        <v>#N/A</v>
      </c>
      <c r="AO564" s="104" t="e">
        <f t="shared" si="265"/>
        <v>#N/A</v>
      </c>
      <c r="AP564" s="104" t="e">
        <f t="shared" si="266"/>
        <v>#N/A</v>
      </c>
      <c r="AQ564" s="104" t="e">
        <f t="shared" si="267"/>
        <v>#N/A</v>
      </c>
      <c r="AR564" s="105" t="str">
        <f t="shared" si="259"/>
        <v/>
      </c>
      <c r="AS564" s="105" t="str">
        <f t="shared" si="260"/>
        <v/>
      </c>
      <c r="AT564" s="108" t="str">
        <f t="shared" si="261"/>
        <v/>
      </c>
      <c r="AU564" s="108" t="str">
        <f t="shared" si="262"/>
        <v/>
      </c>
      <c r="AV564" s="107" t="str">
        <f>IF(ISNUMBER(O564),IF(VLOOKUP($A564,Stand!C:J,8,FALSE)="Short",AT564,AU564),"")</f>
        <v/>
      </c>
      <c r="AW564" s="109" t="str">
        <f t="shared" si="268"/>
        <v/>
      </c>
      <c r="AX564" s="109" t="str">
        <f t="shared" si="269"/>
        <v/>
      </c>
      <c r="AY564" s="112" t="str">
        <f>IF(ISNUMBER(O564),IF(AND(VLOOKUP($D564,Merchantability!$B:$C,2,0)="Yes",$E564&gt;=VLOOKUP($D564,Merchantability!$B:$D,3,0),$E564&lt;=VLOOKUP($D564,Merchantability!$B:$E,4,0)),(AV564*O564)*(1-$H564/100),""),"")</f>
        <v/>
      </c>
      <c r="AZ564" s="116"/>
      <c r="BA564" s="116"/>
      <c r="BB564" s="116"/>
      <c r="BE564" s="62"/>
      <c r="BF564" s="63"/>
    </row>
    <row r="565" spans="1:58" ht="12.75" customHeight="1" x14ac:dyDescent="0.25">
      <c r="A565" s="313"/>
      <c r="B565" s="328"/>
      <c r="C565" s="329"/>
      <c r="D565" s="328"/>
      <c r="E565" s="330"/>
      <c r="F565" s="328"/>
      <c r="G565" s="329"/>
      <c r="H565" s="329"/>
      <c r="I565" s="328"/>
      <c r="J565" s="383"/>
      <c r="K565" s="329"/>
      <c r="L565" s="329"/>
      <c r="M565" s="78"/>
      <c r="N565" s="103" t="str">
        <f>IF(A565="","",VLOOKUP(A565,Stand!C:K,9,0))</f>
        <v/>
      </c>
      <c r="O565" s="104" t="str">
        <f t="shared" si="254"/>
        <v/>
      </c>
      <c r="P565" s="105" t="str">
        <f t="shared" si="255"/>
        <v/>
      </c>
      <c r="Q565" s="105" t="str">
        <f t="shared" si="270"/>
        <v/>
      </c>
      <c r="R565" s="103" t="str">
        <f t="shared" si="256"/>
        <v/>
      </c>
      <c r="S565" s="103" t="str">
        <f t="shared" si="257"/>
        <v/>
      </c>
      <c r="T565" s="106" t="str">
        <f t="shared" si="271"/>
        <v/>
      </c>
      <c r="U565" s="106" t="str">
        <f t="shared" si="272"/>
        <v/>
      </c>
      <c r="V565" s="106" t="str">
        <f t="shared" si="273"/>
        <v/>
      </c>
      <c r="W565" s="105" t="str">
        <f t="shared" si="258"/>
        <v/>
      </c>
      <c r="X565" s="104" t="str">
        <f t="shared" si="263"/>
        <v/>
      </c>
      <c r="Y565" s="104" t="str">
        <f t="array" ref="Y565">IFERROR(IF(ISNUMBER(O565),IF(COUNT(IF(A565=$A$2:$A$2427,IF(D565=$D$2:$D$2427,IF($X$2:$X$2427&gt;0,1))))&gt;0,SUM(IF(A565=$A$2:$A$2427,IF(D565=$D$2:$D$2427,$X$2:$X$2427)))/COUNT(IF(A565=$A$2:$A$2427,IF(D565=$D$2:$D$2427,IF(ISNUMBER($X$2:$X$2427),1)))),0),""),0)</f>
        <v/>
      </c>
      <c r="Z565" s="104" t="str">
        <f>IF(ISNUMBER(O565),IF(I565&gt;0,(10^(VLOOKUP(D565,'Species Codes'!B:C,2,0)+VLOOKUP(D565,'Species Codes'!B:D,3,0)*LOG(E565)+VLOOKUP(D565,'Species Codes'!B:E,4,0)*LOG(I565))),0),"")</f>
        <v/>
      </c>
      <c r="AA565" s="104" t="str">
        <f>IFERROR((VLOOKUP(D565,'Species Codes'!B:G,6,0)*Z565)/2000,"")</f>
        <v/>
      </c>
      <c r="AB565" s="104" t="e">
        <f>IF(Z565&gt;0,((IF(OR(D565="DF",D565="RA")=TRUE,EXP(VLOOKUP(D565,'Species Codes'!B:I,8,0)+VLOOKUP(D565,'Species Codes'!B:J,9,0)*(LN((E565*2.54)))),IF(OR(D565="PY",D565="RC",D565="WH",D565="NF")=TRUE,VLOOKUP(D565,'Species Codes'!B:I,8,0)+VLOOKUP(D565,'Species Codes'!B:J,9,0)*((E565*2.54)^2)*(I565*0.3048),IF(OR(D565="MD",D565="BM",D565="GA")=TRUE,((VLOOKUP(D565,'Species Codes'!B:I,8,0)*(((((E565*2.54)+VLOOKUP(D565,'Species Codes'!B:J,9,0))/VLOOKUP(D565,'Species Codes'!B:K,10,0))^VLOOKUP(D565,'Species Codes'!B:L,11,0))*((I565*0.3048)^VLOOKUP(D565,'Species Codes'!B:M,12,0))))-(VLOOKUP(D565,'Species Codes'!B:I,8,0)*((((E565*2.54)^VLOOKUP(D565,'Species Codes'!B:L,11,0))*((I565*0.3048)^VLOOKUP(D565,'Species Codes'!B:M,12,0))))))*35.3*VLOOKUP(D565,'Species Codes'!B:G,6,0)/2.2046,VLOOKUP(D565,'Species Codes'!B:I,8,0)+VLOOKUP(D565,'Species Codes'!B:J,9,0)*(((E565*2.54)/100)^2)*(I565*0.3048)))))*0.0011023),0)</f>
        <v>#N/A</v>
      </c>
      <c r="AC565" s="104" t="e">
        <f>IF(Z565&gt;0,((IF(OR(D565="RA",D565="OA",D565="OT",D565="UN",D565="PC"),EXP(VLOOKUP(D565,'Species Codes'!B:O,14,0)+VLOOKUP(D565,'Species Codes'!B:P,15,0)*LN((E565*2.54)))-EXP(VLOOKUP(D565,'Species Codes'!B:O,14,0)+VLOOKUP(D565,'Species Codes'!B:P,15,0)*LN((E565*2.54)))*(1/(VLOOKUP(D565,'Species Codes'!B:Q,16,0)+VLOOKUP(D565,'Species Codes'!B:R,17,0)*((E565*2.54)^VLOOKUP(D565,'Species Codes'!B:S,18,0)))),IF(OR(D565="BM",D565="MD",D565="OA"),EXP(VLOOKUP(D565,'Species Codes'!B:O,14,0)+VLOOKUP(D565,'Species Codes'!B:P,15,0)*LN((E565*2.54)))*(1-(1/(VLOOKUP(D565,'Species Codes'!B:Q,16,0)+VLOOKUP(D565,'Species Codes'!B:R,17,0)*((E565*2.54)^VLOOKUP(D565,'Species Codes'!B:S,18,0)))))/1000,IF(D565="DF",EXP(VLOOKUP(D565,'Species Codes'!B:O,14,0)+VLOOKUP(D565,'Species Codes'!B:P,15,0)*LN((E565*2.54))),VLOOKUP(D565,'Species Codes'!B:O,14,0)+VLOOKUP(D565,'Species Codes'!B:P,15,0)*(((E565*2.54)/100)^2)*(I565*0.3048)))))*0.0011023),0)</f>
        <v>#N/A</v>
      </c>
      <c r="AD565" s="104" t="e">
        <f t="shared" si="274"/>
        <v>#N/A</v>
      </c>
      <c r="AE565" s="104" t="e">
        <f t="shared" si="275"/>
        <v>#N/A</v>
      </c>
      <c r="AF565" s="104" t="e">
        <f>IF(AND(VLOOKUP($D565,Merchantability!$B:$C,2,0)="Yes",$E565&gt;=VLOOKUP($D565,Merchantability!$B:$D,3,0),$E565&lt;=VLOOKUP($D565,Merchantability!$B:$E,4,0)),AA565,0)</f>
        <v>#N/A</v>
      </c>
      <c r="AG565" s="104" t="e">
        <f>IF(AND(VLOOKUP($D565,Merchantability!$B:$C,2,0)="Yes",$E565&gt;=VLOOKUP($D565,Merchantability!$B:$D,3,0),$E565&lt;=VLOOKUP($D565,Merchantability!$B:$E,4,0)),AB565,0)</f>
        <v>#N/A</v>
      </c>
      <c r="AH565" s="104" t="e">
        <f>IF(AND(VLOOKUP($D565,Merchantability!$B:$C,2,0)="Yes",$E565&gt;=VLOOKUP($D565,Merchantability!$B:$D,3,0),$E565&lt;=VLOOKUP($D565,Merchantability!$B:$E,4,0)),AC565,0)</f>
        <v>#N/A</v>
      </c>
      <c r="AI565" s="104" t="e">
        <f t="shared" si="276"/>
        <v>#N/A</v>
      </c>
      <c r="AJ565" s="104" t="e">
        <f t="shared" si="277"/>
        <v>#VALUE!</v>
      </c>
      <c r="AK565" s="104" t="e">
        <f t="shared" si="278"/>
        <v>#N/A</v>
      </c>
      <c r="AL565" s="104" t="e">
        <f t="shared" si="279"/>
        <v>#N/A</v>
      </c>
      <c r="AM565" s="104" t="e">
        <f t="shared" si="280"/>
        <v>#N/A</v>
      </c>
      <c r="AN565" s="104" t="e">
        <f t="shared" si="264"/>
        <v>#N/A</v>
      </c>
      <c r="AO565" s="104" t="e">
        <f t="shared" si="265"/>
        <v>#N/A</v>
      </c>
      <c r="AP565" s="104" t="e">
        <f t="shared" si="266"/>
        <v>#N/A</v>
      </c>
      <c r="AQ565" s="104" t="e">
        <f t="shared" si="267"/>
        <v>#N/A</v>
      </c>
      <c r="AR565" s="105" t="str">
        <f t="shared" si="259"/>
        <v/>
      </c>
      <c r="AS565" s="105" t="str">
        <f t="shared" si="260"/>
        <v/>
      </c>
      <c r="AT565" s="108" t="str">
        <f t="shared" si="261"/>
        <v/>
      </c>
      <c r="AU565" s="108" t="str">
        <f t="shared" si="262"/>
        <v/>
      </c>
      <c r="AV565" s="107" t="str">
        <f>IF(ISNUMBER(O565),IF(VLOOKUP($A565,Stand!C:J,8,FALSE)="Short",AT565,AU565),"")</f>
        <v/>
      </c>
      <c r="AW565" s="109" t="str">
        <f t="shared" si="268"/>
        <v/>
      </c>
      <c r="AX565" s="109" t="str">
        <f t="shared" si="269"/>
        <v/>
      </c>
      <c r="AY565" s="112" t="str">
        <f>IF(ISNUMBER(O565),IF(AND(VLOOKUP($D565,Merchantability!$B:$C,2,0)="Yes",$E565&gt;=VLOOKUP($D565,Merchantability!$B:$D,3,0),$E565&lt;=VLOOKUP($D565,Merchantability!$B:$E,4,0)),(AV565*O565)*(1-$H565/100),""),"")</f>
        <v/>
      </c>
      <c r="AZ565" s="116"/>
      <c r="BA565" s="116"/>
      <c r="BB565" s="116"/>
      <c r="BE565" s="62"/>
      <c r="BF565" s="63"/>
    </row>
    <row r="566" spans="1:58" ht="12.75" customHeight="1" x14ac:dyDescent="0.25">
      <c r="A566" s="313"/>
      <c r="B566" s="328"/>
      <c r="C566" s="329"/>
      <c r="D566" s="328"/>
      <c r="E566" s="330"/>
      <c r="F566" s="328"/>
      <c r="G566" s="329"/>
      <c r="H566" s="329"/>
      <c r="I566" s="328"/>
      <c r="J566" s="383"/>
      <c r="K566" s="329"/>
      <c r="L566" s="329"/>
      <c r="M566" s="78"/>
      <c r="N566" s="103" t="str">
        <f>IF(A566="","",VLOOKUP(A566,Stand!C:K,9,0))</f>
        <v/>
      </c>
      <c r="O566" s="104" t="str">
        <f t="shared" si="254"/>
        <v/>
      </c>
      <c r="P566" s="105" t="str">
        <f t="shared" si="255"/>
        <v/>
      </c>
      <c r="Q566" s="105" t="str">
        <f t="shared" si="270"/>
        <v/>
      </c>
      <c r="R566" s="103" t="str">
        <f t="shared" si="256"/>
        <v/>
      </c>
      <c r="S566" s="103" t="str">
        <f t="shared" si="257"/>
        <v/>
      </c>
      <c r="T566" s="106" t="str">
        <f t="shared" si="271"/>
        <v/>
      </c>
      <c r="U566" s="106" t="str">
        <f t="shared" si="272"/>
        <v/>
      </c>
      <c r="V566" s="106" t="str">
        <f t="shared" si="273"/>
        <v/>
      </c>
      <c r="W566" s="105" t="str">
        <f t="shared" si="258"/>
        <v/>
      </c>
      <c r="X566" s="104" t="str">
        <f t="shared" si="263"/>
        <v/>
      </c>
      <c r="Y566" s="104" t="str">
        <f t="array" ref="Y566">IFERROR(IF(ISNUMBER(O566),IF(COUNT(IF(A566=$A$2:$A$2427,IF(D566=$D$2:$D$2427,IF($X$2:$X$2427&gt;0,1))))&gt;0,SUM(IF(A566=$A$2:$A$2427,IF(D566=$D$2:$D$2427,$X$2:$X$2427)))/COUNT(IF(A566=$A$2:$A$2427,IF(D566=$D$2:$D$2427,IF(ISNUMBER($X$2:$X$2427),1)))),0),""),0)</f>
        <v/>
      </c>
      <c r="Z566" s="104" t="str">
        <f>IF(ISNUMBER(O566),IF(I566&gt;0,(10^(VLOOKUP(D566,'Species Codes'!B:C,2,0)+VLOOKUP(D566,'Species Codes'!B:D,3,0)*LOG(E566)+VLOOKUP(D566,'Species Codes'!B:E,4,0)*LOG(I566))),0),"")</f>
        <v/>
      </c>
      <c r="AA566" s="104" t="str">
        <f>IFERROR((VLOOKUP(D566,'Species Codes'!B:G,6,0)*Z566)/2000,"")</f>
        <v/>
      </c>
      <c r="AB566" s="104" t="e">
        <f>IF(Z566&gt;0,((IF(OR(D566="DF",D566="RA")=TRUE,EXP(VLOOKUP(D566,'Species Codes'!B:I,8,0)+VLOOKUP(D566,'Species Codes'!B:J,9,0)*(LN((E566*2.54)))),IF(OR(D566="PY",D566="RC",D566="WH",D566="NF")=TRUE,VLOOKUP(D566,'Species Codes'!B:I,8,0)+VLOOKUP(D566,'Species Codes'!B:J,9,0)*((E566*2.54)^2)*(I566*0.3048),IF(OR(D566="MD",D566="BM",D566="GA")=TRUE,((VLOOKUP(D566,'Species Codes'!B:I,8,0)*(((((E566*2.54)+VLOOKUP(D566,'Species Codes'!B:J,9,0))/VLOOKUP(D566,'Species Codes'!B:K,10,0))^VLOOKUP(D566,'Species Codes'!B:L,11,0))*((I566*0.3048)^VLOOKUP(D566,'Species Codes'!B:M,12,0))))-(VLOOKUP(D566,'Species Codes'!B:I,8,0)*((((E566*2.54)^VLOOKUP(D566,'Species Codes'!B:L,11,0))*((I566*0.3048)^VLOOKUP(D566,'Species Codes'!B:M,12,0))))))*35.3*VLOOKUP(D566,'Species Codes'!B:G,6,0)/2.2046,VLOOKUP(D566,'Species Codes'!B:I,8,0)+VLOOKUP(D566,'Species Codes'!B:J,9,0)*(((E566*2.54)/100)^2)*(I566*0.3048)))))*0.0011023),0)</f>
        <v>#N/A</v>
      </c>
      <c r="AC566" s="104" t="e">
        <f>IF(Z566&gt;0,((IF(OR(D566="RA",D566="OA",D566="OT",D566="UN",D566="PC"),EXP(VLOOKUP(D566,'Species Codes'!B:O,14,0)+VLOOKUP(D566,'Species Codes'!B:P,15,0)*LN((E566*2.54)))-EXP(VLOOKUP(D566,'Species Codes'!B:O,14,0)+VLOOKUP(D566,'Species Codes'!B:P,15,0)*LN((E566*2.54)))*(1/(VLOOKUP(D566,'Species Codes'!B:Q,16,0)+VLOOKUP(D566,'Species Codes'!B:R,17,0)*((E566*2.54)^VLOOKUP(D566,'Species Codes'!B:S,18,0)))),IF(OR(D566="BM",D566="MD",D566="OA"),EXP(VLOOKUP(D566,'Species Codes'!B:O,14,0)+VLOOKUP(D566,'Species Codes'!B:P,15,0)*LN((E566*2.54)))*(1-(1/(VLOOKUP(D566,'Species Codes'!B:Q,16,0)+VLOOKUP(D566,'Species Codes'!B:R,17,0)*((E566*2.54)^VLOOKUP(D566,'Species Codes'!B:S,18,0)))))/1000,IF(D566="DF",EXP(VLOOKUP(D566,'Species Codes'!B:O,14,0)+VLOOKUP(D566,'Species Codes'!B:P,15,0)*LN((E566*2.54))),VLOOKUP(D566,'Species Codes'!B:O,14,0)+VLOOKUP(D566,'Species Codes'!B:P,15,0)*(((E566*2.54)/100)^2)*(I566*0.3048)))))*0.0011023),0)</f>
        <v>#N/A</v>
      </c>
      <c r="AD566" s="104" t="e">
        <f t="shared" si="274"/>
        <v>#N/A</v>
      </c>
      <c r="AE566" s="104" t="e">
        <f t="shared" si="275"/>
        <v>#N/A</v>
      </c>
      <c r="AF566" s="104" t="e">
        <f>IF(AND(VLOOKUP($D566,Merchantability!$B:$C,2,0)="Yes",$E566&gt;=VLOOKUP($D566,Merchantability!$B:$D,3,0),$E566&lt;=VLOOKUP($D566,Merchantability!$B:$E,4,0)),AA566,0)</f>
        <v>#N/A</v>
      </c>
      <c r="AG566" s="104" t="e">
        <f>IF(AND(VLOOKUP($D566,Merchantability!$B:$C,2,0)="Yes",$E566&gt;=VLOOKUP($D566,Merchantability!$B:$D,3,0),$E566&lt;=VLOOKUP($D566,Merchantability!$B:$E,4,0)),AB566,0)</f>
        <v>#N/A</v>
      </c>
      <c r="AH566" s="104" t="e">
        <f>IF(AND(VLOOKUP($D566,Merchantability!$B:$C,2,0)="Yes",$E566&gt;=VLOOKUP($D566,Merchantability!$B:$D,3,0),$E566&lt;=VLOOKUP($D566,Merchantability!$B:$E,4,0)),AC566,0)</f>
        <v>#N/A</v>
      </c>
      <c r="AI566" s="104" t="e">
        <f t="shared" si="276"/>
        <v>#N/A</v>
      </c>
      <c r="AJ566" s="104" t="e">
        <f t="shared" si="277"/>
        <v>#VALUE!</v>
      </c>
      <c r="AK566" s="104" t="e">
        <f t="shared" si="278"/>
        <v>#N/A</v>
      </c>
      <c r="AL566" s="104" t="e">
        <f t="shared" si="279"/>
        <v>#N/A</v>
      </c>
      <c r="AM566" s="104" t="e">
        <f t="shared" si="280"/>
        <v>#N/A</v>
      </c>
      <c r="AN566" s="104" t="e">
        <f t="shared" si="264"/>
        <v>#N/A</v>
      </c>
      <c r="AO566" s="104" t="e">
        <f t="shared" si="265"/>
        <v>#N/A</v>
      </c>
      <c r="AP566" s="104" t="e">
        <f t="shared" si="266"/>
        <v>#N/A</v>
      </c>
      <c r="AQ566" s="104" t="e">
        <f t="shared" si="267"/>
        <v>#N/A</v>
      </c>
      <c r="AR566" s="105" t="str">
        <f t="shared" si="259"/>
        <v/>
      </c>
      <c r="AS566" s="105" t="str">
        <f t="shared" si="260"/>
        <v/>
      </c>
      <c r="AT566" s="108" t="str">
        <f t="shared" si="261"/>
        <v/>
      </c>
      <c r="AU566" s="108" t="str">
        <f t="shared" si="262"/>
        <v/>
      </c>
      <c r="AV566" s="107" t="str">
        <f>IF(ISNUMBER(O566),IF(VLOOKUP($A566,Stand!C:J,8,FALSE)="Short",AT566,AU566),"")</f>
        <v/>
      </c>
      <c r="AW566" s="109" t="str">
        <f t="shared" si="268"/>
        <v/>
      </c>
      <c r="AX566" s="109" t="str">
        <f t="shared" si="269"/>
        <v/>
      </c>
      <c r="AY566" s="112" t="str">
        <f>IF(ISNUMBER(O566),IF(AND(VLOOKUP($D566,Merchantability!$B:$C,2,0)="Yes",$E566&gt;=VLOOKUP($D566,Merchantability!$B:$D,3,0),$E566&lt;=VLOOKUP($D566,Merchantability!$B:$E,4,0)),(AV566*O566)*(1-$H566/100),""),"")</f>
        <v/>
      </c>
      <c r="AZ566" s="116"/>
      <c r="BA566" s="116"/>
      <c r="BB566" s="116"/>
      <c r="BE566" s="62"/>
      <c r="BF566" s="63"/>
    </row>
    <row r="567" spans="1:58" ht="12.75" customHeight="1" x14ac:dyDescent="0.25">
      <c r="A567" s="313"/>
      <c r="B567" s="328"/>
      <c r="C567" s="329"/>
      <c r="D567" s="328"/>
      <c r="E567" s="330"/>
      <c r="F567" s="328"/>
      <c r="G567" s="329"/>
      <c r="H567" s="329"/>
      <c r="I567" s="328"/>
      <c r="J567" s="383"/>
      <c r="K567" s="329"/>
      <c r="L567" s="329"/>
      <c r="M567" s="78"/>
      <c r="N567" s="103" t="str">
        <f>IF(A567="","",VLOOKUP(A567,Stand!C:K,9,0))</f>
        <v/>
      </c>
      <c r="O567" s="104" t="str">
        <f t="shared" si="254"/>
        <v/>
      </c>
      <c r="P567" s="105" t="str">
        <f t="shared" si="255"/>
        <v/>
      </c>
      <c r="Q567" s="105" t="str">
        <f t="shared" si="270"/>
        <v/>
      </c>
      <c r="R567" s="103" t="str">
        <f t="shared" si="256"/>
        <v/>
      </c>
      <c r="S567" s="103" t="str">
        <f t="shared" si="257"/>
        <v/>
      </c>
      <c r="T567" s="106" t="str">
        <f t="shared" si="271"/>
        <v/>
      </c>
      <c r="U567" s="106" t="str">
        <f t="shared" si="272"/>
        <v/>
      </c>
      <c r="V567" s="106" t="str">
        <f t="shared" si="273"/>
        <v/>
      </c>
      <c r="W567" s="105" t="str">
        <f t="shared" si="258"/>
        <v/>
      </c>
      <c r="X567" s="104" t="str">
        <f t="shared" si="263"/>
        <v/>
      </c>
      <c r="Y567" s="104" t="str">
        <f t="array" ref="Y567">IFERROR(IF(ISNUMBER(O567),IF(COUNT(IF(A567=$A$2:$A$2427,IF(D567=$D$2:$D$2427,IF($X$2:$X$2427&gt;0,1))))&gt;0,SUM(IF(A567=$A$2:$A$2427,IF(D567=$D$2:$D$2427,$X$2:$X$2427)))/COUNT(IF(A567=$A$2:$A$2427,IF(D567=$D$2:$D$2427,IF(ISNUMBER($X$2:$X$2427),1)))),0),""),0)</f>
        <v/>
      </c>
      <c r="Z567" s="104" t="str">
        <f>IF(ISNUMBER(O567),IF(I567&gt;0,(10^(VLOOKUP(D567,'Species Codes'!B:C,2,0)+VLOOKUP(D567,'Species Codes'!B:D,3,0)*LOG(E567)+VLOOKUP(D567,'Species Codes'!B:E,4,0)*LOG(I567))),0),"")</f>
        <v/>
      </c>
      <c r="AA567" s="104" t="str">
        <f>IFERROR((VLOOKUP(D567,'Species Codes'!B:G,6,0)*Z567)/2000,"")</f>
        <v/>
      </c>
      <c r="AB567" s="104" t="e">
        <f>IF(Z567&gt;0,((IF(OR(D567="DF",D567="RA")=TRUE,EXP(VLOOKUP(D567,'Species Codes'!B:I,8,0)+VLOOKUP(D567,'Species Codes'!B:J,9,0)*(LN((E567*2.54)))),IF(OR(D567="PY",D567="RC",D567="WH",D567="NF")=TRUE,VLOOKUP(D567,'Species Codes'!B:I,8,0)+VLOOKUP(D567,'Species Codes'!B:J,9,0)*((E567*2.54)^2)*(I567*0.3048),IF(OR(D567="MD",D567="BM",D567="GA")=TRUE,((VLOOKUP(D567,'Species Codes'!B:I,8,0)*(((((E567*2.54)+VLOOKUP(D567,'Species Codes'!B:J,9,0))/VLOOKUP(D567,'Species Codes'!B:K,10,0))^VLOOKUP(D567,'Species Codes'!B:L,11,0))*((I567*0.3048)^VLOOKUP(D567,'Species Codes'!B:M,12,0))))-(VLOOKUP(D567,'Species Codes'!B:I,8,0)*((((E567*2.54)^VLOOKUP(D567,'Species Codes'!B:L,11,0))*((I567*0.3048)^VLOOKUP(D567,'Species Codes'!B:M,12,0))))))*35.3*VLOOKUP(D567,'Species Codes'!B:G,6,0)/2.2046,VLOOKUP(D567,'Species Codes'!B:I,8,0)+VLOOKUP(D567,'Species Codes'!B:J,9,0)*(((E567*2.54)/100)^2)*(I567*0.3048)))))*0.0011023),0)</f>
        <v>#N/A</v>
      </c>
      <c r="AC567" s="104" t="e">
        <f>IF(Z567&gt;0,((IF(OR(D567="RA",D567="OA",D567="OT",D567="UN",D567="PC"),EXP(VLOOKUP(D567,'Species Codes'!B:O,14,0)+VLOOKUP(D567,'Species Codes'!B:P,15,0)*LN((E567*2.54)))-EXP(VLOOKUP(D567,'Species Codes'!B:O,14,0)+VLOOKUP(D567,'Species Codes'!B:P,15,0)*LN((E567*2.54)))*(1/(VLOOKUP(D567,'Species Codes'!B:Q,16,0)+VLOOKUP(D567,'Species Codes'!B:R,17,0)*((E567*2.54)^VLOOKUP(D567,'Species Codes'!B:S,18,0)))),IF(OR(D567="BM",D567="MD",D567="OA"),EXP(VLOOKUP(D567,'Species Codes'!B:O,14,0)+VLOOKUP(D567,'Species Codes'!B:P,15,0)*LN((E567*2.54)))*(1-(1/(VLOOKUP(D567,'Species Codes'!B:Q,16,0)+VLOOKUP(D567,'Species Codes'!B:R,17,0)*((E567*2.54)^VLOOKUP(D567,'Species Codes'!B:S,18,0)))))/1000,IF(D567="DF",EXP(VLOOKUP(D567,'Species Codes'!B:O,14,0)+VLOOKUP(D567,'Species Codes'!B:P,15,0)*LN((E567*2.54))),VLOOKUP(D567,'Species Codes'!B:O,14,0)+VLOOKUP(D567,'Species Codes'!B:P,15,0)*(((E567*2.54)/100)^2)*(I567*0.3048)))))*0.0011023),0)</f>
        <v>#N/A</v>
      </c>
      <c r="AD567" s="104" t="e">
        <f t="shared" si="274"/>
        <v>#N/A</v>
      </c>
      <c r="AE567" s="104" t="e">
        <f t="shared" si="275"/>
        <v>#N/A</v>
      </c>
      <c r="AF567" s="104" t="e">
        <f>IF(AND(VLOOKUP($D567,Merchantability!$B:$C,2,0)="Yes",$E567&gt;=VLOOKUP($D567,Merchantability!$B:$D,3,0),$E567&lt;=VLOOKUP($D567,Merchantability!$B:$E,4,0)),AA567,0)</f>
        <v>#N/A</v>
      </c>
      <c r="AG567" s="104" t="e">
        <f>IF(AND(VLOOKUP($D567,Merchantability!$B:$C,2,0)="Yes",$E567&gt;=VLOOKUP($D567,Merchantability!$B:$D,3,0),$E567&lt;=VLOOKUP($D567,Merchantability!$B:$E,4,0)),AB567,0)</f>
        <v>#N/A</v>
      </c>
      <c r="AH567" s="104" t="e">
        <f>IF(AND(VLOOKUP($D567,Merchantability!$B:$C,2,0)="Yes",$E567&gt;=VLOOKUP($D567,Merchantability!$B:$D,3,0),$E567&lt;=VLOOKUP($D567,Merchantability!$B:$E,4,0)),AC567,0)</f>
        <v>#N/A</v>
      </c>
      <c r="AI567" s="104" t="e">
        <f t="shared" si="276"/>
        <v>#N/A</v>
      </c>
      <c r="AJ567" s="104" t="e">
        <f t="shared" si="277"/>
        <v>#VALUE!</v>
      </c>
      <c r="AK567" s="104" t="e">
        <f t="shared" si="278"/>
        <v>#N/A</v>
      </c>
      <c r="AL567" s="104" t="e">
        <f t="shared" si="279"/>
        <v>#N/A</v>
      </c>
      <c r="AM567" s="104" t="e">
        <f t="shared" si="280"/>
        <v>#N/A</v>
      </c>
      <c r="AN567" s="104" t="e">
        <f t="shared" si="264"/>
        <v>#N/A</v>
      </c>
      <c r="AO567" s="104" t="e">
        <f t="shared" si="265"/>
        <v>#N/A</v>
      </c>
      <c r="AP567" s="104" t="e">
        <f t="shared" si="266"/>
        <v>#N/A</v>
      </c>
      <c r="AQ567" s="104" t="e">
        <f t="shared" si="267"/>
        <v>#N/A</v>
      </c>
      <c r="AR567" s="105" t="str">
        <f t="shared" si="259"/>
        <v/>
      </c>
      <c r="AS567" s="105" t="str">
        <f t="shared" si="260"/>
        <v/>
      </c>
      <c r="AT567" s="108" t="str">
        <f t="shared" si="261"/>
        <v/>
      </c>
      <c r="AU567" s="108" t="str">
        <f t="shared" si="262"/>
        <v/>
      </c>
      <c r="AV567" s="107" t="str">
        <f>IF(ISNUMBER(O567),IF(VLOOKUP($A567,Stand!C:J,8,FALSE)="Short",AT567,AU567),"")</f>
        <v/>
      </c>
      <c r="AW567" s="109" t="str">
        <f t="shared" si="268"/>
        <v/>
      </c>
      <c r="AX567" s="109" t="str">
        <f t="shared" si="269"/>
        <v/>
      </c>
      <c r="AY567" s="112" t="str">
        <f>IF(ISNUMBER(O567),IF(AND(VLOOKUP($D567,Merchantability!$B:$C,2,0)="Yes",$E567&gt;=VLOOKUP($D567,Merchantability!$B:$D,3,0),$E567&lt;=VLOOKUP($D567,Merchantability!$B:$E,4,0)),(AV567*O567)*(1-$H567/100),""),"")</f>
        <v/>
      </c>
      <c r="AZ567" s="116"/>
      <c r="BA567" s="116"/>
      <c r="BB567" s="116"/>
      <c r="BE567" s="62"/>
      <c r="BF567" s="63"/>
    </row>
    <row r="568" spans="1:58" ht="12.75" customHeight="1" x14ac:dyDescent="0.25">
      <c r="A568" s="313"/>
      <c r="B568" s="328"/>
      <c r="C568" s="329"/>
      <c r="D568" s="328"/>
      <c r="E568" s="330"/>
      <c r="F568" s="328"/>
      <c r="G568" s="329"/>
      <c r="H568" s="329"/>
      <c r="I568" s="328"/>
      <c r="J568" s="383"/>
      <c r="K568" s="329"/>
      <c r="L568" s="329"/>
      <c r="M568" s="78"/>
      <c r="N568" s="103" t="str">
        <f>IF(A568="","",VLOOKUP(A568,Stand!C:K,9,0))</f>
        <v/>
      </c>
      <c r="O568" s="104" t="str">
        <f t="shared" si="254"/>
        <v/>
      </c>
      <c r="P568" s="105" t="str">
        <f t="shared" si="255"/>
        <v/>
      </c>
      <c r="Q568" s="105" t="str">
        <f t="shared" si="270"/>
        <v/>
      </c>
      <c r="R568" s="103" t="str">
        <f t="shared" si="256"/>
        <v/>
      </c>
      <c r="S568" s="103" t="str">
        <f t="shared" si="257"/>
        <v/>
      </c>
      <c r="T568" s="106" t="str">
        <f t="shared" si="271"/>
        <v/>
      </c>
      <c r="U568" s="106" t="str">
        <f t="shared" si="272"/>
        <v/>
      </c>
      <c r="V568" s="106" t="str">
        <f t="shared" si="273"/>
        <v/>
      </c>
      <c r="W568" s="105" t="str">
        <f t="shared" si="258"/>
        <v/>
      </c>
      <c r="X568" s="104" t="str">
        <f t="shared" si="263"/>
        <v/>
      </c>
      <c r="Y568" s="104" t="str">
        <f t="array" ref="Y568">IFERROR(IF(ISNUMBER(O568),IF(COUNT(IF(A568=$A$2:$A$2427,IF(D568=$D$2:$D$2427,IF($X$2:$X$2427&gt;0,1))))&gt;0,SUM(IF(A568=$A$2:$A$2427,IF(D568=$D$2:$D$2427,$X$2:$X$2427)))/COUNT(IF(A568=$A$2:$A$2427,IF(D568=$D$2:$D$2427,IF(ISNUMBER($X$2:$X$2427),1)))),0),""),0)</f>
        <v/>
      </c>
      <c r="Z568" s="104" t="str">
        <f>IF(ISNUMBER(O568),IF(I568&gt;0,(10^(VLOOKUP(D568,'Species Codes'!B:C,2,0)+VLOOKUP(D568,'Species Codes'!B:D,3,0)*LOG(E568)+VLOOKUP(D568,'Species Codes'!B:E,4,0)*LOG(I568))),0),"")</f>
        <v/>
      </c>
      <c r="AA568" s="104" t="str">
        <f>IFERROR((VLOOKUP(D568,'Species Codes'!B:G,6,0)*Z568)/2000,"")</f>
        <v/>
      </c>
      <c r="AB568" s="104" t="e">
        <f>IF(Z568&gt;0,((IF(OR(D568="DF",D568="RA")=TRUE,EXP(VLOOKUP(D568,'Species Codes'!B:I,8,0)+VLOOKUP(D568,'Species Codes'!B:J,9,0)*(LN((E568*2.54)))),IF(OR(D568="PY",D568="RC",D568="WH",D568="NF")=TRUE,VLOOKUP(D568,'Species Codes'!B:I,8,0)+VLOOKUP(D568,'Species Codes'!B:J,9,0)*((E568*2.54)^2)*(I568*0.3048),IF(OR(D568="MD",D568="BM",D568="GA")=TRUE,((VLOOKUP(D568,'Species Codes'!B:I,8,0)*(((((E568*2.54)+VLOOKUP(D568,'Species Codes'!B:J,9,0))/VLOOKUP(D568,'Species Codes'!B:K,10,0))^VLOOKUP(D568,'Species Codes'!B:L,11,0))*((I568*0.3048)^VLOOKUP(D568,'Species Codes'!B:M,12,0))))-(VLOOKUP(D568,'Species Codes'!B:I,8,0)*((((E568*2.54)^VLOOKUP(D568,'Species Codes'!B:L,11,0))*((I568*0.3048)^VLOOKUP(D568,'Species Codes'!B:M,12,0))))))*35.3*VLOOKUP(D568,'Species Codes'!B:G,6,0)/2.2046,VLOOKUP(D568,'Species Codes'!B:I,8,0)+VLOOKUP(D568,'Species Codes'!B:J,9,0)*(((E568*2.54)/100)^2)*(I568*0.3048)))))*0.0011023),0)</f>
        <v>#N/A</v>
      </c>
      <c r="AC568" s="104" t="e">
        <f>IF(Z568&gt;0,((IF(OR(D568="RA",D568="OA",D568="OT",D568="UN",D568="PC"),EXP(VLOOKUP(D568,'Species Codes'!B:O,14,0)+VLOOKUP(D568,'Species Codes'!B:P,15,0)*LN((E568*2.54)))-EXP(VLOOKUP(D568,'Species Codes'!B:O,14,0)+VLOOKUP(D568,'Species Codes'!B:P,15,0)*LN((E568*2.54)))*(1/(VLOOKUP(D568,'Species Codes'!B:Q,16,0)+VLOOKUP(D568,'Species Codes'!B:R,17,0)*((E568*2.54)^VLOOKUP(D568,'Species Codes'!B:S,18,0)))),IF(OR(D568="BM",D568="MD",D568="OA"),EXP(VLOOKUP(D568,'Species Codes'!B:O,14,0)+VLOOKUP(D568,'Species Codes'!B:P,15,0)*LN((E568*2.54)))*(1-(1/(VLOOKUP(D568,'Species Codes'!B:Q,16,0)+VLOOKUP(D568,'Species Codes'!B:R,17,0)*((E568*2.54)^VLOOKUP(D568,'Species Codes'!B:S,18,0)))))/1000,IF(D568="DF",EXP(VLOOKUP(D568,'Species Codes'!B:O,14,0)+VLOOKUP(D568,'Species Codes'!B:P,15,0)*LN((E568*2.54))),VLOOKUP(D568,'Species Codes'!B:O,14,0)+VLOOKUP(D568,'Species Codes'!B:P,15,0)*(((E568*2.54)/100)^2)*(I568*0.3048)))))*0.0011023),0)</f>
        <v>#N/A</v>
      </c>
      <c r="AD568" s="104" t="e">
        <f t="shared" si="274"/>
        <v>#N/A</v>
      </c>
      <c r="AE568" s="104" t="e">
        <f t="shared" si="275"/>
        <v>#N/A</v>
      </c>
      <c r="AF568" s="104" t="e">
        <f>IF(AND(VLOOKUP($D568,Merchantability!$B:$C,2,0)="Yes",$E568&gt;=VLOOKUP($D568,Merchantability!$B:$D,3,0),$E568&lt;=VLOOKUP($D568,Merchantability!$B:$E,4,0)),AA568,0)</f>
        <v>#N/A</v>
      </c>
      <c r="AG568" s="104" t="e">
        <f>IF(AND(VLOOKUP($D568,Merchantability!$B:$C,2,0)="Yes",$E568&gt;=VLOOKUP($D568,Merchantability!$B:$D,3,0),$E568&lt;=VLOOKUP($D568,Merchantability!$B:$E,4,0)),AB568,0)</f>
        <v>#N/A</v>
      </c>
      <c r="AH568" s="104" t="e">
        <f>IF(AND(VLOOKUP($D568,Merchantability!$B:$C,2,0)="Yes",$E568&gt;=VLOOKUP($D568,Merchantability!$B:$D,3,0),$E568&lt;=VLOOKUP($D568,Merchantability!$B:$E,4,0)),AC568,0)</f>
        <v>#N/A</v>
      </c>
      <c r="AI568" s="104" t="e">
        <f t="shared" si="276"/>
        <v>#N/A</v>
      </c>
      <c r="AJ568" s="104" t="e">
        <f t="shared" si="277"/>
        <v>#VALUE!</v>
      </c>
      <c r="AK568" s="104" t="e">
        <f t="shared" si="278"/>
        <v>#N/A</v>
      </c>
      <c r="AL568" s="104" t="e">
        <f t="shared" si="279"/>
        <v>#N/A</v>
      </c>
      <c r="AM568" s="104" t="e">
        <f t="shared" si="280"/>
        <v>#N/A</v>
      </c>
      <c r="AN568" s="104" t="e">
        <f t="shared" si="264"/>
        <v>#N/A</v>
      </c>
      <c r="AO568" s="104" t="e">
        <f t="shared" si="265"/>
        <v>#N/A</v>
      </c>
      <c r="AP568" s="104" t="e">
        <f t="shared" si="266"/>
        <v>#N/A</v>
      </c>
      <c r="AQ568" s="104" t="e">
        <f t="shared" si="267"/>
        <v>#N/A</v>
      </c>
      <c r="AR568" s="105" t="str">
        <f t="shared" si="259"/>
        <v/>
      </c>
      <c r="AS568" s="105" t="str">
        <f t="shared" si="260"/>
        <v/>
      </c>
      <c r="AT568" s="108" t="str">
        <f t="shared" si="261"/>
        <v/>
      </c>
      <c r="AU568" s="108" t="str">
        <f t="shared" si="262"/>
        <v/>
      </c>
      <c r="AV568" s="107" t="str">
        <f>IF(ISNUMBER(O568),IF(VLOOKUP($A568,Stand!C:J,8,FALSE)="Short",AT568,AU568),"")</f>
        <v/>
      </c>
      <c r="AW568" s="109" t="str">
        <f t="shared" si="268"/>
        <v/>
      </c>
      <c r="AX568" s="109" t="str">
        <f t="shared" si="269"/>
        <v/>
      </c>
      <c r="AY568" s="112" t="str">
        <f>IF(ISNUMBER(O568),IF(AND(VLOOKUP($D568,Merchantability!$B:$C,2,0)="Yes",$E568&gt;=VLOOKUP($D568,Merchantability!$B:$D,3,0),$E568&lt;=VLOOKUP($D568,Merchantability!$B:$E,4,0)),(AV568*O568)*(1-$H568/100),""),"")</f>
        <v/>
      </c>
      <c r="AZ568" s="116"/>
      <c r="BA568" s="116"/>
      <c r="BB568" s="116"/>
      <c r="BE568" s="62"/>
      <c r="BF568" s="63"/>
    </row>
    <row r="569" spans="1:58" ht="12.75" customHeight="1" x14ac:dyDescent="0.25">
      <c r="A569" s="313"/>
      <c r="B569" s="328"/>
      <c r="C569" s="329"/>
      <c r="D569" s="328"/>
      <c r="E569" s="330"/>
      <c r="F569" s="328"/>
      <c r="G569" s="329"/>
      <c r="H569" s="329"/>
      <c r="I569" s="328"/>
      <c r="J569" s="383"/>
      <c r="K569" s="329"/>
      <c r="L569" s="329"/>
      <c r="M569" s="78"/>
      <c r="N569" s="103" t="str">
        <f>IF(A569="","",VLOOKUP(A569,Stand!C:K,9,0))</f>
        <v/>
      </c>
      <c r="O569" s="104" t="str">
        <f t="shared" si="254"/>
        <v/>
      </c>
      <c r="P569" s="105" t="str">
        <f t="shared" si="255"/>
        <v/>
      </c>
      <c r="Q569" s="105" t="str">
        <f t="shared" si="270"/>
        <v/>
      </c>
      <c r="R569" s="103" t="str">
        <f t="shared" si="256"/>
        <v/>
      </c>
      <c r="S569" s="103" t="str">
        <f t="shared" si="257"/>
        <v/>
      </c>
      <c r="T569" s="106" t="str">
        <f t="shared" si="271"/>
        <v/>
      </c>
      <c r="U569" s="106" t="str">
        <f t="shared" si="272"/>
        <v/>
      </c>
      <c r="V569" s="106" t="str">
        <f t="shared" si="273"/>
        <v/>
      </c>
      <c r="W569" s="105" t="str">
        <f t="shared" si="258"/>
        <v/>
      </c>
      <c r="X569" s="104" t="str">
        <f t="shared" si="263"/>
        <v/>
      </c>
      <c r="Y569" s="104" t="str">
        <f t="array" ref="Y569">IFERROR(IF(ISNUMBER(O569),IF(COUNT(IF(A569=$A$2:$A$2427,IF(D569=$D$2:$D$2427,IF($X$2:$X$2427&gt;0,1))))&gt;0,SUM(IF(A569=$A$2:$A$2427,IF(D569=$D$2:$D$2427,$X$2:$X$2427)))/COUNT(IF(A569=$A$2:$A$2427,IF(D569=$D$2:$D$2427,IF(ISNUMBER($X$2:$X$2427),1)))),0),""),0)</f>
        <v/>
      </c>
      <c r="Z569" s="104" t="str">
        <f>IF(ISNUMBER(O569),IF(I569&gt;0,(10^(VLOOKUP(D569,'Species Codes'!B:C,2,0)+VLOOKUP(D569,'Species Codes'!B:D,3,0)*LOG(E569)+VLOOKUP(D569,'Species Codes'!B:E,4,0)*LOG(I569))),0),"")</f>
        <v/>
      </c>
      <c r="AA569" s="104" t="str">
        <f>IFERROR((VLOOKUP(D569,'Species Codes'!B:G,6,0)*Z569)/2000,"")</f>
        <v/>
      </c>
      <c r="AB569" s="104" t="e">
        <f>IF(Z569&gt;0,((IF(OR(D569="DF",D569="RA")=TRUE,EXP(VLOOKUP(D569,'Species Codes'!B:I,8,0)+VLOOKUP(D569,'Species Codes'!B:J,9,0)*(LN((E569*2.54)))),IF(OR(D569="PY",D569="RC",D569="WH",D569="NF")=TRUE,VLOOKUP(D569,'Species Codes'!B:I,8,0)+VLOOKUP(D569,'Species Codes'!B:J,9,0)*((E569*2.54)^2)*(I569*0.3048),IF(OR(D569="MD",D569="BM",D569="GA")=TRUE,((VLOOKUP(D569,'Species Codes'!B:I,8,0)*(((((E569*2.54)+VLOOKUP(D569,'Species Codes'!B:J,9,0))/VLOOKUP(D569,'Species Codes'!B:K,10,0))^VLOOKUP(D569,'Species Codes'!B:L,11,0))*((I569*0.3048)^VLOOKUP(D569,'Species Codes'!B:M,12,0))))-(VLOOKUP(D569,'Species Codes'!B:I,8,0)*((((E569*2.54)^VLOOKUP(D569,'Species Codes'!B:L,11,0))*((I569*0.3048)^VLOOKUP(D569,'Species Codes'!B:M,12,0))))))*35.3*VLOOKUP(D569,'Species Codes'!B:G,6,0)/2.2046,VLOOKUP(D569,'Species Codes'!B:I,8,0)+VLOOKUP(D569,'Species Codes'!B:J,9,0)*(((E569*2.54)/100)^2)*(I569*0.3048)))))*0.0011023),0)</f>
        <v>#N/A</v>
      </c>
      <c r="AC569" s="104" t="e">
        <f>IF(Z569&gt;0,((IF(OR(D569="RA",D569="OA",D569="OT",D569="UN",D569="PC"),EXP(VLOOKUP(D569,'Species Codes'!B:O,14,0)+VLOOKUP(D569,'Species Codes'!B:P,15,0)*LN((E569*2.54)))-EXP(VLOOKUP(D569,'Species Codes'!B:O,14,0)+VLOOKUP(D569,'Species Codes'!B:P,15,0)*LN((E569*2.54)))*(1/(VLOOKUP(D569,'Species Codes'!B:Q,16,0)+VLOOKUP(D569,'Species Codes'!B:R,17,0)*((E569*2.54)^VLOOKUP(D569,'Species Codes'!B:S,18,0)))),IF(OR(D569="BM",D569="MD",D569="OA"),EXP(VLOOKUP(D569,'Species Codes'!B:O,14,0)+VLOOKUP(D569,'Species Codes'!B:P,15,0)*LN((E569*2.54)))*(1-(1/(VLOOKUP(D569,'Species Codes'!B:Q,16,0)+VLOOKUP(D569,'Species Codes'!B:R,17,0)*((E569*2.54)^VLOOKUP(D569,'Species Codes'!B:S,18,0)))))/1000,IF(D569="DF",EXP(VLOOKUP(D569,'Species Codes'!B:O,14,0)+VLOOKUP(D569,'Species Codes'!B:P,15,0)*LN((E569*2.54))),VLOOKUP(D569,'Species Codes'!B:O,14,0)+VLOOKUP(D569,'Species Codes'!B:P,15,0)*(((E569*2.54)/100)^2)*(I569*0.3048)))))*0.0011023),0)</f>
        <v>#N/A</v>
      </c>
      <c r="AD569" s="104" t="e">
        <f t="shared" si="274"/>
        <v>#N/A</v>
      </c>
      <c r="AE569" s="104" t="e">
        <f t="shared" si="275"/>
        <v>#N/A</v>
      </c>
      <c r="AF569" s="104" t="e">
        <f>IF(AND(VLOOKUP($D569,Merchantability!$B:$C,2,0)="Yes",$E569&gt;=VLOOKUP($D569,Merchantability!$B:$D,3,0),$E569&lt;=VLOOKUP($D569,Merchantability!$B:$E,4,0)),AA569,0)</f>
        <v>#N/A</v>
      </c>
      <c r="AG569" s="104" t="e">
        <f>IF(AND(VLOOKUP($D569,Merchantability!$B:$C,2,0)="Yes",$E569&gt;=VLOOKUP($D569,Merchantability!$B:$D,3,0),$E569&lt;=VLOOKUP($D569,Merchantability!$B:$E,4,0)),AB569,0)</f>
        <v>#N/A</v>
      </c>
      <c r="AH569" s="104" t="e">
        <f>IF(AND(VLOOKUP($D569,Merchantability!$B:$C,2,0)="Yes",$E569&gt;=VLOOKUP($D569,Merchantability!$B:$D,3,0),$E569&lt;=VLOOKUP($D569,Merchantability!$B:$E,4,0)),AC569,0)</f>
        <v>#N/A</v>
      </c>
      <c r="AI569" s="104" t="e">
        <f t="shared" si="276"/>
        <v>#N/A</v>
      </c>
      <c r="AJ569" s="104" t="e">
        <f t="shared" si="277"/>
        <v>#VALUE!</v>
      </c>
      <c r="AK569" s="104" t="e">
        <f t="shared" si="278"/>
        <v>#N/A</v>
      </c>
      <c r="AL569" s="104" t="e">
        <f t="shared" si="279"/>
        <v>#N/A</v>
      </c>
      <c r="AM569" s="104" t="e">
        <f t="shared" si="280"/>
        <v>#N/A</v>
      </c>
      <c r="AN569" s="104" t="e">
        <f t="shared" si="264"/>
        <v>#N/A</v>
      </c>
      <c r="AO569" s="104" t="e">
        <f t="shared" si="265"/>
        <v>#N/A</v>
      </c>
      <c r="AP569" s="104" t="e">
        <f t="shared" si="266"/>
        <v>#N/A</v>
      </c>
      <c r="AQ569" s="104" t="e">
        <f t="shared" si="267"/>
        <v>#N/A</v>
      </c>
      <c r="AR569" s="105" t="str">
        <f t="shared" si="259"/>
        <v/>
      </c>
      <c r="AS569" s="105" t="str">
        <f t="shared" si="260"/>
        <v/>
      </c>
      <c r="AT569" s="108" t="str">
        <f t="shared" si="261"/>
        <v/>
      </c>
      <c r="AU569" s="108" t="str">
        <f t="shared" si="262"/>
        <v/>
      </c>
      <c r="AV569" s="107" t="str">
        <f>IF(ISNUMBER(O569),IF(VLOOKUP($A569,Stand!C:J,8,FALSE)="Short",AT569,AU569),"")</f>
        <v/>
      </c>
      <c r="AW569" s="109" t="str">
        <f t="shared" si="268"/>
        <v/>
      </c>
      <c r="AX569" s="109" t="str">
        <f t="shared" si="269"/>
        <v/>
      </c>
      <c r="AY569" s="112" t="str">
        <f>IF(ISNUMBER(O569),IF(AND(VLOOKUP($D569,Merchantability!$B:$C,2,0)="Yes",$E569&gt;=VLOOKUP($D569,Merchantability!$B:$D,3,0),$E569&lt;=VLOOKUP($D569,Merchantability!$B:$E,4,0)),(AV569*O569)*(1-$H569/100),""),"")</f>
        <v/>
      </c>
      <c r="AZ569" s="116"/>
      <c r="BA569" s="116"/>
      <c r="BB569" s="116"/>
      <c r="BE569" s="62"/>
      <c r="BF569" s="63"/>
    </row>
    <row r="570" spans="1:58" ht="12.75" customHeight="1" x14ac:dyDescent="0.25">
      <c r="A570" s="313"/>
      <c r="B570" s="328"/>
      <c r="C570" s="329"/>
      <c r="D570" s="328"/>
      <c r="E570" s="330"/>
      <c r="F570" s="328"/>
      <c r="G570" s="329"/>
      <c r="H570" s="329"/>
      <c r="I570" s="328"/>
      <c r="J570" s="383"/>
      <c r="K570" s="329"/>
      <c r="L570" s="329"/>
      <c r="M570" s="78"/>
      <c r="N570" s="103" t="str">
        <f>IF(A570="","",VLOOKUP(A570,Stand!C:K,9,0))</f>
        <v/>
      </c>
      <c r="O570" s="104" t="str">
        <f t="shared" si="254"/>
        <v/>
      </c>
      <c r="P570" s="105" t="str">
        <f t="shared" si="255"/>
        <v/>
      </c>
      <c r="Q570" s="105" t="str">
        <f t="shared" si="270"/>
        <v/>
      </c>
      <c r="R570" s="103" t="str">
        <f t="shared" si="256"/>
        <v/>
      </c>
      <c r="S570" s="103" t="str">
        <f t="shared" si="257"/>
        <v/>
      </c>
      <c r="T570" s="106" t="str">
        <f t="shared" si="271"/>
        <v/>
      </c>
      <c r="U570" s="106" t="str">
        <f t="shared" si="272"/>
        <v/>
      </c>
      <c r="V570" s="106" t="str">
        <f t="shared" si="273"/>
        <v/>
      </c>
      <c r="W570" s="105" t="str">
        <f t="shared" si="258"/>
        <v/>
      </c>
      <c r="X570" s="104" t="str">
        <f t="shared" si="263"/>
        <v/>
      </c>
      <c r="Y570" s="104" t="str">
        <f t="array" ref="Y570">IFERROR(IF(ISNUMBER(O570),IF(COUNT(IF(A570=$A$2:$A$2427,IF(D570=$D$2:$D$2427,IF($X$2:$X$2427&gt;0,1))))&gt;0,SUM(IF(A570=$A$2:$A$2427,IF(D570=$D$2:$D$2427,$X$2:$X$2427)))/COUNT(IF(A570=$A$2:$A$2427,IF(D570=$D$2:$D$2427,IF(ISNUMBER($X$2:$X$2427),1)))),0),""),0)</f>
        <v/>
      </c>
      <c r="Z570" s="104" t="str">
        <f>IF(ISNUMBER(O570),IF(I570&gt;0,(10^(VLOOKUP(D570,'Species Codes'!B:C,2,0)+VLOOKUP(D570,'Species Codes'!B:D,3,0)*LOG(E570)+VLOOKUP(D570,'Species Codes'!B:E,4,0)*LOG(I570))),0),"")</f>
        <v/>
      </c>
      <c r="AA570" s="104" t="str">
        <f>IFERROR((VLOOKUP(D570,'Species Codes'!B:G,6,0)*Z570)/2000,"")</f>
        <v/>
      </c>
      <c r="AB570" s="104" t="e">
        <f>IF(Z570&gt;0,((IF(OR(D570="DF",D570="RA")=TRUE,EXP(VLOOKUP(D570,'Species Codes'!B:I,8,0)+VLOOKUP(D570,'Species Codes'!B:J,9,0)*(LN((E570*2.54)))),IF(OR(D570="PY",D570="RC",D570="WH",D570="NF")=TRUE,VLOOKUP(D570,'Species Codes'!B:I,8,0)+VLOOKUP(D570,'Species Codes'!B:J,9,0)*((E570*2.54)^2)*(I570*0.3048),IF(OR(D570="MD",D570="BM",D570="GA")=TRUE,((VLOOKUP(D570,'Species Codes'!B:I,8,0)*(((((E570*2.54)+VLOOKUP(D570,'Species Codes'!B:J,9,0))/VLOOKUP(D570,'Species Codes'!B:K,10,0))^VLOOKUP(D570,'Species Codes'!B:L,11,0))*((I570*0.3048)^VLOOKUP(D570,'Species Codes'!B:M,12,0))))-(VLOOKUP(D570,'Species Codes'!B:I,8,0)*((((E570*2.54)^VLOOKUP(D570,'Species Codes'!B:L,11,0))*((I570*0.3048)^VLOOKUP(D570,'Species Codes'!B:M,12,0))))))*35.3*VLOOKUP(D570,'Species Codes'!B:G,6,0)/2.2046,VLOOKUP(D570,'Species Codes'!B:I,8,0)+VLOOKUP(D570,'Species Codes'!B:J,9,0)*(((E570*2.54)/100)^2)*(I570*0.3048)))))*0.0011023),0)</f>
        <v>#N/A</v>
      </c>
      <c r="AC570" s="104" t="e">
        <f>IF(Z570&gt;0,((IF(OR(D570="RA",D570="OA",D570="OT",D570="UN",D570="PC"),EXP(VLOOKUP(D570,'Species Codes'!B:O,14,0)+VLOOKUP(D570,'Species Codes'!B:P,15,0)*LN((E570*2.54)))-EXP(VLOOKUP(D570,'Species Codes'!B:O,14,0)+VLOOKUP(D570,'Species Codes'!B:P,15,0)*LN((E570*2.54)))*(1/(VLOOKUP(D570,'Species Codes'!B:Q,16,0)+VLOOKUP(D570,'Species Codes'!B:R,17,0)*((E570*2.54)^VLOOKUP(D570,'Species Codes'!B:S,18,0)))),IF(OR(D570="BM",D570="MD",D570="OA"),EXP(VLOOKUP(D570,'Species Codes'!B:O,14,0)+VLOOKUP(D570,'Species Codes'!B:P,15,0)*LN((E570*2.54)))*(1-(1/(VLOOKUP(D570,'Species Codes'!B:Q,16,0)+VLOOKUP(D570,'Species Codes'!B:R,17,0)*((E570*2.54)^VLOOKUP(D570,'Species Codes'!B:S,18,0)))))/1000,IF(D570="DF",EXP(VLOOKUP(D570,'Species Codes'!B:O,14,0)+VLOOKUP(D570,'Species Codes'!B:P,15,0)*LN((E570*2.54))),VLOOKUP(D570,'Species Codes'!B:O,14,0)+VLOOKUP(D570,'Species Codes'!B:P,15,0)*(((E570*2.54)/100)^2)*(I570*0.3048)))))*0.0011023),0)</f>
        <v>#N/A</v>
      </c>
      <c r="AD570" s="104" t="e">
        <f t="shared" si="274"/>
        <v>#N/A</v>
      </c>
      <c r="AE570" s="104" t="e">
        <f t="shared" si="275"/>
        <v>#N/A</v>
      </c>
      <c r="AF570" s="104" t="e">
        <f>IF(AND(VLOOKUP($D570,Merchantability!$B:$C,2,0)="Yes",$E570&gt;=VLOOKUP($D570,Merchantability!$B:$D,3,0),$E570&lt;=VLOOKUP($D570,Merchantability!$B:$E,4,0)),AA570,0)</f>
        <v>#N/A</v>
      </c>
      <c r="AG570" s="104" t="e">
        <f>IF(AND(VLOOKUP($D570,Merchantability!$B:$C,2,0)="Yes",$E570&gt;=VLOOKUP($D570,Merchantability!$B:$D,3,0),$E570&lt;=VLOOKUP($D570,Merchantability!$B:$E,4,0)),AB570,0)</f>
        <v>#N/A</v>
      </c>
      <c r="AH570" s="104" t="e">
        <f>IF(AND(VLOOKUP($D570,Merchantability!$B:$C,2,0)="Yes",$E570&gt;=VLOOKUP($D570,Merchantability!$B:$D,3,0),$E570&lt;=VLOOKUP($D570,Merchantability!$B:$E,4,0)),AC570,0)</f>
        <v>#N/A</v>
      </c>
      <c r="AI570" s="104" t="e">
        <f t="shared" si="276"/>
        <v>#N/A</v>
      </c>
      <c r="AJ570" s="104" t="e">
        <f t="shared" si="277"/>
        <v>#VALUE!</v>
      </c>
      <c r="AK570" s="104" t="e">
        <f t="shared" si="278"/>
        <v>#N/A</v>
      </c>
      <c r="AL570" s="104" t="e">
        <f t="shared" si="279"/>
        <v>#N/A</v>
      </c>
      <c r="AM570" s="104" t="e">
        <f t="shared" si="280"/>
        <v>#N/A</v>
      </c>
      <c r="AN570" s="104" t="e">
        <f t="shared" si="264"/>
        <v>#N/A</v>
      </c>
      <c r="AO570" s="104" t="e">
        <f t="shared" si="265"/>
        <v>#N/A</v>
      </c>
      <c r="AP570" s="104" t="e">
        <f t="shared" si="266"/>
        <v>#N/A</v>
      </c>
      <c r="AQ570" s="104" t="e">
        <f t="shared" si="267"/>
        <v>#N/A</v>
      </c>
      <c r="AR570" s="105" t="str">
        <f t="shared" si="259"/>
        <v/>
      </c>
      <c r="AS570" s="105" t="str">
        <f t="shared" si="260"/>
        <v/>
      </c>
      <c r="AT570" s="108" t="str">
        <f t="shared" si="261"/>
        <v/>
      </c>
      <c r="AU570" s="108" t="str">
        <f t="shared" si="262"/>
        <v/>
      </c>
      <c r="AV570" s="107" t="str">
        <f>IF(ISNUMBER(O570),IF(VLOOKUP($A570,Stand!C:J,8,FALSE)="Short",AT570,AU570),"")</f>
        <v/>
      </c>
      <c r="AW570" s="109" t="str">
        <f t="shared" si="268"/>
        <v/>
      </c>
      <c r="AX570" s="109" t="str">
        <f t="shared" si="269"/>
        <v/>
      </c>
      <c r="AY570" s="112" t="str">
        <f>IF(ISNUMBER(O570),IF(AND(VLOOKUP($D570,Merchantability!$B:$C,2,0)="Yes",$E570&gt;=VLOOKUP($D570,Merchantability!$B:$D,3,0),$E570&lt;=VLOOKUP($D570,Merchantability!$B:$E,4,0)),(AV570*O570)*(1-$H570/100),""),"")</f>
        <v/>
      </c>
      <c r="AZ570" s="116"/>
      <c r="BA570" s="116"/>
      <c r="BB570" s="116"/>
      <c r="BE570" s="62"/>
      <c r="BF570" s="63"/>
    </row>
    <row r="571" spans="1:58" ht="12.75" customHeight="1" x14ac:dyDescent="0.25">
      <c r="A571" s="313"/>
      <c r="B571" s="328"/>
      <c r="C571" s="329"/>
      <c r="D571" s="328"/>
      <c r="E571" s="330"/>
      <c r="F571" s="328"/>
      <c r="G571" s="329"/>
      <c r="H571" s="329"/>
      <c r="I571" s="328"/>
      <c r="J571" s="383"/>
      <c r="K571" s="329"/>
      <c r="L571" s="329"/>
      <c r="M571" s="78"/>
      <c r="N571" s="103" t="str">
        <f>IF(A571="","",VLOOKUP(A571,Stand!C:K,9,0))</f>
        <v/>
      </c>
      <c r="O571" s="104" t="str">
        <f t="shared" si="254"/>
        <v/>
      </c>
      <c r="P571" s="105" t="str">
        <f t="shared" si="255"/>
        <v/>
      </c>
      <c r="Q571" s="105" t="str">
        <f t="shared" si="270"/>
        <v/>
      </c>
      <c r="R571" s="103" t="str">
        <f t="shared" si="256"/>
        <v/>
      </c>
      <c r="S571" s="103" t="str">
        <f t="shared" si="257"/>
        <v/>
      </c>
      <c r="T571" s="106" t="str">
        <f t="shared" si="271"/>
        <v/>
      </c>
      <c r="U571" s="106" t="str">
        <f t="shared" si="272"/>
        <v/>
      </c>
      <c r="V571" s="106" t="str">
        <f t="shared" si="273"/>
        <v/>
      </c>
      <c r="W571" s="105" t="str">
        <f t="shared" si="258"/>
        <v/>
      </c>
      <c r="X571" s="104" t="str">
        <f t="shared" si="263"/>
        <v/>
      </c>
      <c r="Y571" s="104" t="str">
        <f t="array" ref="Y571">IFERROR(IF(ISNUMBER(O571),IF(COUNT(IF(A571=$A$2:$A$2427,IF(D571=$D$2:$D$2427,IF($X$2:$X$2427&gt;0,1))))&gt;0,SUM(IF(A571=$A$2:$A$2427,IF(D571=$D$2:$D$2427,$X$2:$X$2427)))/COUNT(IF(A571=$A$2:$A$2427,IF(D571=$D$2:$D$2427,IF(ISNUMBER($X$2:$X$2427),1)))),0),""),0)</f>
        <v/>
      </c>
      <c r="Z571" s="104" t="str">
        <f>IF(ISNUMBER(O571),IF(I571&gt;0,(10^(VLOOKUP(D571,'Species Codes'!B:C,2,0)+VLOOKUP(D571,'Species Codes'!B:D,3,0)*LOG(E571)+VLOOKUP(D571,'Species Codes'!B:E,4,0)*LOG(I571))),0),"")</f>
        <v/>
      </c>
      <c r="AA571" s="104" t="str">
        <f>IFERROR((VLOOKUP(D571,'Species Codes'!B:G,6,0)*Z571)/2000,"")</f>
        <v/>
      </c>
      <c r="AB571" s="104" t="e">
        <f>IF(Z571&gt;0,((IF(OR(D571="DF",D571="RA")=TRUE,EXP(VLOOKUP(D571,'Species Codes'!B:I,8,0)+VLOOKUP(D571,'Species Codes'!B:J,9,0)*(LN((E571*2.54)))),IF(OR(D571="PY",D571="RC",D571="WH",D571="NF")=TRUE,VLOOKUP(D571,'Species Codes'!B:I,8,0)+VLOOKUP(D571,'Species Codes'!B:J,9,0)*((E571*2.54)^2)*(I571*0.3048),IF(OR(D571="MD",D571="BM",D571="GA")=TRUE,((VLOOKUP(D571,'Species Codes'!B:I,8,0)*(((((E571*2.54)+VLOOKUP(D571,'Species Codes'!B:J,9,0))/VLOOKUP(D571,'Species Codes'!B:K,10,0))^VLOOKUP(D571,'Species Codes'!B:L,11,0))*((I571*0.3048)^VLOOKUP(D571,'Species Codes'!B:M,12,0))))-(VLOOKUP(D571,'Species Codes'!B:I,8,0)*((((E571*2.54)^VLOOKUP(D571,'Species Codes'!B:L,11,0))*((I571*0.3048)^VLOOKUP(D571,'Species Codes'!B:M,12,0))))))*35.3*VLOOKUP(D571,'Species Codes'!B:G,6,0)/2.2046,VLOOKUP(D571,'Species Codes'!B:I,8,0)+VLOOKUP(D571,'Species Codes'!B:J,9,0)*(((E571*2.54)/100)^2)*(I571*0.3048)))))*0.0011023),0)</f>
        <v>#N/A</v>
      </c>
      <c r="AC571" s="104" t="e">
        <f>IF(Z571&gt;0,((IF(OR(D571="RA",D571="OA",D571="OT",D571="UN",D571="PC"),EXP(VLOOKUP(D571,'Species Codes'!B:O,14,0)+VLOOKUP(D571,'Species Codes'!B:P,15,0)*LN((E571*2.54)))-EXP(VLOOKUP(D571,'Species Codes'!B:O,14,0)+VLOOKUP(D571,'Species Codes'!B:P,15,0)*LN((E571*2.54)))*(1/(VLOOKUP(D571,'Species Codes'!B:Q,16,0)+VLOOKUP(D571,'Species Codes'!B:R,17,0)*((E571*2.54)^VLOOKUP(D571,'Species Codes'!B:S,18,0)))),IF(OR(D571="BM",D571="MD",D571="OA"),EXP(VLOOKUP(D571,'Species Codes'!B:O,14,0)+VLOOKUP(D571,'Species Codes'!B:P,15,0)*LN((E571*2.54)))*(1-(1/(VLOOKUP(D571,'Species Codes'!B:Q,16,0)+VLOOKUP(D571,'Species Codes'!B:R,17,0)*((E571*2.54)^VLOOKUP(D571,'Species Codes'!B:S,18,0)))))/1000,IF(D571="DF",EXP(VLOOKUP(D571,'Species Codes'!B:O,14,0)+VLOOKUP(D571,'Species Codes'!B:P,15,0)*LN((E571*2.54))),VLOOKUP(D571,'Species Codes'!B:O,14,0)+VLOOKUP(D571,'Species Codes'!B:P,15,0)*(((E571*2.54)/100)^2)*(I571*0.3048)))))*0.0011023),0)</f>
        <v>#N/A</v>
      </c>
      <c r="AD571" s="104" t="e">
        <f t="shared" si="274"/>
        <v>#N/A</v>
      </c>
      <c r="AE571" s="104" t="e">
        <f t="shared" si="275"/>
        <v>#N/A</v>
      </c>
      <c r="AF571" s="104" t="e">
        <f>IF(AND(VLOOKUP($D571,Merchantability!$B:$C,2,0)="Yes",$E571&gt;=VLOOKUP($D571,Merchantability!$B:$D,3,0),$E571&lt;=VLOOKUP($D571,Merchantability!$B:$E,4,0)),AA571,0)</f>
        <v>#N/A</v>
      </c>
      <c r="AG571" s="104" t="e">
        <f>IF(AND(VLOOKUP($D571,Merchantability!$B:$C,2,0)="Yes",$E571&gt;=VLOOKUP($D571,Merchantability!$B:$D,3,0),$E571&lt;=VLOOKUP($D571,Merchantability!$B:$E,4,0)),AB571,0)</f>
        <v>#N/A</v>
      </c>
      <c r="AH571" s="104" t="e">
        <f>IF(AND(VLOOKUP($D571,Merchantability!$B:$C,2,0)="Yes",$E571&gt;=VLOOKUP($D571,Merchantability!$B:$D,3,0),$E571&lt;=VLOOKUP($D571,Merchantability!$B:$E,4,0)),AC571,0)</f>
        <v>#N/A</v>
      </c>
      <c r="AI571" s="104" t="e">
        <f t="shared" si="276"/>
        <v>#N/A</v>
      </c>
      <c r="AJ571" s="104" t="e">
        <f t="shared" si="277"/>
        <v>#VALUE!</v>
      </c>
      <c r="AK571" s="104" t="e">
        <f t="shared" si="278"/>
        <v>#N/A</v>
      </c>
      <c r="AL571" s="104" t="e">
        <f t="shared" si="279"/>
        <v>#N/A</v>
      </c>
      <c r="AM571" s="104" t="e">
        <f t="shared" si="280"/>
        <v>#N/A</v>
      </c>
      <c r="AN571" s="104" t="e">
        <f t="shared" si="264"/>
        <v>#N/A</v>
      </c>
      <c r="AO571" s="104" t="e">
        <f t="shared" si="265"/>
        <v>#N/A</v>
      </c>
      <c r="AP571" s="104" t="e">
        <f t="shared" si="266"/>
        <v>#N/A</v>
      </c>
      <c r="AQ571" s="104" t="e">
        <f t="shared" si="267"/>
        <v>#N/A</v>
      </c>
      <c r="AR571" s="105" t="str">
        <f t="shared" si="259"/>
        <v/>
      </c>
      <c r="AS571" s="105" t="str">
        <f t="shared" si="260"/>
        <v/>
      </c>
      <c r="AT571" s="108" t="str">
        <f t="shared" si="261"/>
        <v/>
      </c>
      <c r="AU571" s="108" t="str">
        <f t="shared" si="262"/>
        <v/>
      </c>
      <c r="AV571" s="107" t="str">
        <f>IF(ISNUMBER(O571),IF(VLOOKUP($A571,Stand!C:J,8,FALSE)="Short",AT571,AU571),"")</f>
        <v/>
      </c>
      <c r="AW571" s="109" t="str">
        <f t="shared" si="268"/>
        <v/>
      </c>
      <c r="AX571" s="109" t="str">
        <f t="shared" si="269"/>
        <v/>
      </c>
      <c r="AY571" s="112" t="str">
        <f>IF(ISNUMBER(O571),IF(AND(VLOOKUP($D571,Merchantability!$B:$C,2,0)="Yes",$E571&gt;=VLOOKUP($D571,Merchantability!$B:$D,3,0),$E571&lt;=VLOOKUP($D571,Merchantability!$B:$E,4,0)),(AV571*O571)*(1-$H571/100),""),"")</f>
        <v/>
      </c>
      <c r="AZ571" s="116"/>
      <c r="BA571" s="116"/>
      <c r="BB571" s="116"/>
      <c r="BE571" s="62"/>
      <c r="BF571" s="63"/>
    </row>
    <row r="572" spans="1:58" ht="12.75" customHeight="1" x14ac:dyDescent="0.25">
      <c r="A572" s="313"/>
      <c r="B572" s="328"/>
      <c r="C572" s="329"/>
      <c r="D572" s="328"/>
      <c r="E572" s="330"/>
      <c r="F572" s="328"/>
      <c r="G572" s="329"/>
      <c r="H572" s="329"/>
      <c r="I572" s="328"/>
      <c r="J572" s="383"/>
      <c r="K572" s="329"/>
      <c r="L572" s="329"/>
      <c r="M572" s="78"/>
      <c r="N572" s="103" t="str">
        <f>IF(A572="","",VLOOKUP(A572,Stand!C:K,9,0))</f>
        <v/>
      </c>
      <c r="O572" s="104" t="str">
        <f t="shared" si="254"/>
        <v/>
      </c>
      <c r="P572" s="105" t="str">
        <f t="shared" si="255"/>
        <v/>
      </c>
      <c r="Q572" s="105" t="str">
        <f t="shared" si="270"/>
        <v/>
      </c>
      <c r="R572" s="103" t="str">
        <f t="shared" si="256"/>
        <v/>
      </c>
      <c r="S572" s="103" t="str">
        <f t="shared" si="257"/>
        <v/>
      </c>
      <c r="T572" s="106" t="str">
        <f t="shared" si="271"/>
        <v/>
      </c>
      <c r="U572" s="106" t="str">
        <f t="shared" si="272"/>
        <v/>
      </c>
      <c r="V572" s="106" t="str">
        <f t="shared" si="273"/>
        <v/>
      </c>
      <c r="W572" s="105" t="str">
        <f t="shared" si="258"/>
        <v/>
      </c>
      <c r="X572" s="104" t="str">
        <f t="shared" si="263"/>
        <v/>
      </c>
      <c r="Y572" s="104" t="str">
        <f t="array" ref="Y572">IFERROR(IF(ISNUMBER(O572),IF(COUNT(IF(A572=$A$2:$A$2427,IF(D572=$D$2:$D$2427,IF($X$2:$X$2427&gt;0,1))))&gt;0,SUM(IF(A572=$A$2:$A$2427,IF(D572=$D$2:$D$2427,$X$2:$X$2427)))/COUNT(IF(A572=$A$2:$A$2427,IF(D572=$D$2:$D$2427,IF(ISNUMBER($X$2:$X$2427),1)))),0),""),0)</f>
        <v/>
      </c>
      <c r="Z572" s="104" t="str">
        <f>IF(ISNUMBER(O572),IF(I572&gt;0,(10^(VLOOKUP(D572,'Species Codes'!B:C,2,0)+VLOOKUP(D572,'Species Codes'!B:D,3,0)*LOG(E572)+VLOOKUP(D572,'Species Codes'!B:E,4,0)*LOG(I572))),0),"")</f>
        <v/>
      </c>
      <c r="AA572" s="104" t="str">
        <f>IFERROR((VLOOKUP(D572,'Species Codes'!B:G,6,0)*Z572)/2000,"")</f>
        <v/>
      </c>
      <c r="AB572" s="104" t="e">
        <f>IF(Z572&gt;0,((IF(OR(D572="DF",D572="RA")=TRUE,EXP(VLOOKUP(D572,'Species Codes'!B:I,8,0)+VLOOKUP(D572,'Species Codes'!B:J,9,0)*(LN((E572*2.54)))),IF(OR(D572="PY",D572="RC",D572="WH",D572="NF")=TRUE,VLOOKUP(D572,'Species Codes'!B:I,8,0)+VLOOKUP(D572,'Species Codes'!B:J,9,0)*((E572*2.54)^2)*(I572*0.3048),IF(OR(D572="MD",D572="BM",D572="GA")=TRUE,((VLOOKUP(D572,'Species Codes'!B:I,8,0)*(((((E572*2.54)+VLOOKUP(D572,'Species Codes'!B:J,9,0))/VLOOKUP(D572,'Species Codes'!B:K,10,0))^VLOOKUP(D572,'Species Codes'!B:L,11,0))*((I572*0.3048)^VLOOKUP(D572,'Species Codes'!B:M,12,0))))-(VLOOKUP(D572,'Species Codes'!B:I,8,0)*((((E572*2.54)^VLOOKUP(D572,'Species Codes'!B:L,11,0))*((I572*0.3048)^VLOOKUP(D572,'Species Codes'!B:M,12,0))))))*35.3*VLOOKUP(D572,'Species Codes'!B:G,6,0)/2.2046,VLOOKUP(D572,'Species Codes'!B:I,8,0)+VLOOKUP(D572,'Species Codes'!B:J,9,0)*(((E572*2.54)/100)^2)*(I572*0.3048)))))*0.0011023),0)</f>
        <v>#N/A</v>
      </c>
      <c r="AC572" s="104" t="e">
        <f>IF(Z572&gt;0,((IF(OR(D572="RA",D572="OA",D572="OT",D572="UN",D572="PC"),EXP(VLOOKUP(D572,'Species Codes'!B:O,14,0)+VLOOKUP(D572,'Species Codes'!B:P,15,0)*LN((E572*2.54)))-EXP(VLOOKUP(D572,'Species Codes'!B:O,14,0)+VLOOKUP(D572,'Species Codes'!B:P,15,0)*LN((E572*2.54)))*(1/(VLOOKUP(D572,'Species Codes'!B:Q,16,0)+VLOOKUP(D572,'Species Codes'!B:R,17,0)*((E572*2.54)^VLOOKUP(D572,'Species Codes'!B:S,18,0)))),IF(OR(D572="BM",D572="MD",D572="OA"),EXP(VLOOKUP(D572,'Species Codes'!B:O,14,0)+VLOOKUP(D572,'Species Codes'!B:P,15,0)*LN((E572*2.54)))*(1-(1/(VLOOKUP(D572,'Species Codes'!B:Q,16,0)+VLOOKUP(D572,'Species Codes'!B:R,17,0)*((E572*2.54)^VLOOKUP(D572,'Species Codes'!B:S,18,0)))))/1000,IF(D572="DF",EXP(VLOOKUP(D572,'Species Codes'!B:O,14,0)+VLOOKUP(D572,'Species Codes'!B:P,15,0)*LN((E572*2.54))),VLOOKUP(D572,'Species Codes'!B:O,14,0)+VLOOKUP(D572,'Species Codes'!B:P,15,0)*(((E572*2.54)/100)^2)*(I572*0.3048)))))*0.0011023),0)</f>
        <v>#N/A</v>
      </c>
      <c r="AD572" s="104" t="e">
        <f t="shared" si="274"/>
        <v>#N/A</v>
      </c>
      <c r="AE572" s="104" t="e">
        <f t="shared" si="275"/>
        <v>#N/A</v>
      </c>
      <c r="AF572" s="104" t="e">
        <f>IF(AND(VLOOKUP($D572,Merchantability!$B:$C,2,0)="Yes",$E572&gt;=VLOOKUP($D572,Merchantability!$B:$D,3,0),$E572&lt;=VLOOKUP($D572,Merchantability!$B:$E,4,0)),AA572,0)</f>
        <v>#N/A</v>
      </c>
      <c r="AG572" s="104" t="e">
        <f>IF(AND(VLOOKUP($D572,Merchantability!$B:$C,2,0)="Yes",$E572&gt;=VLOOKUP($D572,Merchantability!$B:$D,3,0),$E572&lt;=VLOOKUP($D572,Merchantability!$B:$E,4,0)),AB572,0)</f>
        <v>#N/A</v>
      </c>
      <c r="AH572" s="104" t="e">
        <f>IF(AND(VLOOKUP($D572,Merchantability!$B:$C,2,0)="Yes",$E572&gt;=VLOOKUP($D572,Merchantability!$B:$D,3,0),$E572&lt;=VLOOKUP($D572,Merchantability!$B:$E,4,0)),AC572,0)</f>
        <v>#N/A</v>
      </c>
      <c r="AI572" s="104" t="e">
        <f t="shared" si="276"/>
        <v>#N/A</v>
      </c>
      <c r="AJ572" s="104" t="e">
        <f t="shared" si="277"/>
        <v>#VALUE!</v>
      </c>
      <c r="AK572" s="104" t="e">
        <f t="shared" si="278"/>
        <v>#N/A</v>
      </c>
      <c r="AL572" s="104" t="e">
        <f t="shared" si="279"/>
        <v>#N/A</v>
      </c>
      <c r="AM572" s="104" t="e">
        <f t="shared" si="280"/>
        <v>#N/A</v>
      </c>
      <c r="AN572" s="104" t="e">
        <f t="shared" si="264"/>
        <v>#N/A</v>
      </c>
      <c r="AO572" s="104" t="e">
        <f t="shared" si="265"/>
        <v>#N/A</v>
      </c>
      <c r="AP572" s="104" t="e">
        <f t="shared" si="266"/>
        <v>#N/A</v>
      </c>
      <c r="AQ572" s="104" t="e">
        <f t="shared" si="267"/>
        <v>#N/A</v>
      </c>
      <c r="AR572" s="105" t="str">
        <f t="shared" si="259"/>
        <v/>
      </c>
      <c r="AS572" s="105" t="str">
        <f t="shared" si="260"/>
        <v/>
      </c>
      <c r="AT572" s="108" t="str">
        <f t="shared" si="261"/>
        <v/>
      </c>
      <c r="AU572" s="108" t="str">
        <f t="shared" si="262"/>
        <v/>
      </c>
      <c r="AV572" s="107" t="str">
        <f>IF(ISNUMBER(O572),IF(VLOOKUP($A572,Stand!C:J,8,FALSE)="Short",AT572,AU572),"")</f>
        <v/>
      </c>
      <c r="AW572" s="109" t="str">
        <f t="shared" si="268"/>
        <v/>
      </c>
      <c r="AX572" s="109" t="str">
        <f t="shared" si="269"/>
        <v/>
      </c>
      <c r="AY572" s="112" t="str">
        <f>IF(ISNUMBER(O572),IF(AND(VLOOKUP($D572,Merchantability!$B:$C,2,0)="Yes",$E572&gt;=VLOOKUP($D572,Merchantability!$B:$D,3,0),$E572&lt;=VLOOKUP($D572,Merchantability!$B:$E,4,0)),(AV572*O572)*(1-$H572/100),""),"")</f>
        <v/>
      </c>
      <c r="AZ572" s="116"/>
      <c r="BA572" s="116"/>
      <c r="BB572" s="116"/>
      <c r="BE572" s="62"/>
      <c r="BF572" s="63"/>
    </row>
    <row r="573" spans="1:58" ht="12.75" customHeight="1" x14ac:dyDescent="0.25">
      <c r="A573" s="313"/>
      <c r="B573" s="328"/>
      <c r="C573" s="329"/>
      <c r="D573" s="328"/>
      <c r="E573" s="330"/>
      <c r="F573" s="328"/>
      <c r="G573" s="329"/>
      <c r="H573" s="329"/>
      <c r="I573" s="328"/>
      <c r="J573" s="383"/>
      <c r="K573" s="329"/>
      <c r="L573" s="329"/>
      <c r="M573" s="78"/>
      <c r="N573" s="103" t="str">
        <f>IF(A573="","",VLOOKUP(A573,Stand!C:K,9,0))</f>
        <v/>
      </c>
      <c r="O573" s="104" t="str">
        <f t="shared" si="254"/>
        <v/>
      </c>
      <c r="P573" s="105" t="str">
        <f t="shared" si="255"/>
        <v/>
      </c>
      <c r="Q573" s="105" t="str">
        <f t="shared" si="270"/>
        <v/>
      </c>
      <c r="R573" s="103" t="str">
        <f t="shared" si="256"/>
        <v/>
      </c>
      <c r="S573" s="103" t="str">
        <f t="shared" si="257"/>
        <v/>
      </c>
      <c r="T573" s="106" t="str">
        <f t="shared" si="271"/>
        <v/>
      </c>
      <c r="U573" s="106" t="str">
        <f t="shared" si="272"/>
        <v/>
      </c>
      <c r="V573" s="106" t="str">
        <f t="shared" si="273"/>
        <v/>
      </c>
      <c r="W573" s="105" t="str">
        <f t="shared" si="258"/>
        <v/>
      </c>
      <c r="X573" s="104" t="str">
        <f t="shared" si="263"/>
        <v/>
      </c>
      <c r="Y573" s="104" t="str">
        <f t="array" ref="Y573">IFERROR(IF(ISNUMBER(O573),IF(COUNT(IF(A573=$A$2:$A$2427,IF(D573=$D$2:$D$2427,IF($X$2:$X$2427&gt;0,1))))&gt;0,SUM(IF(A573=$A$2:$A$2427,IF(D573=$D$2:$D$2427,$X$2:$X$2427)))/COUNT(IF(A573=$A$2:$A$2427,IF(D573=$D$2:$D$2427,IF(ISNUMBER($X$2:$X$2427),1)))),0),""),0)</f>
        <v/>
      </c>
      <c r="Z573" s="104" t="str">
        <f>IF(ISNUMBER(O573),IF(I573&gt;0,(10^(VLOOKUP(D573,'Species Codes'!B:C,2,0)+VLOOKUP(D573,'Species Codes'!B:D,3,0)*LOG(E573)+VLOOKUP(D573,'Species Codes'!B:E,4,0)*LOG(I573))),0),"")</f>
        <v/>
      </c>
      <c r="AA573" s="104" t="str">
        <f>IFERROR((VLOOKUP(D573,'Species Codes'!B:G,6,0)*Z573)/2000,"")</f>
        <v/>
      </c>
      <c r="AB573" s="104" t="e">
        <f>IF(Z573&gt;0,((IF(OR(D573="DF",D573="RA")=TRUE,EXP(VLOOKUP(D573,'Species Codes'!B:I,8,0)+VLOOKUP(D573,'Species Codes'!B:J,9,0)*(LN((E573*2.54)))),IF(OR(D573="PY",D573="RC",D573="WH",D573="NF")=TRUE,VLOOKUP(D573,'Species Codes'!B:I,8,0)+VLOOKUP(D573,'Species Codes'!B:J,9,0)*((E573*2.54)^2)*(I573*0.3048),IF(OR(D573="MD",D573="BM",D573="GA")=TRUE,((VLOOKUP(D573,'Species Codes'!B:I,8,0)*(((((E573*2.54)+VLOOKUP(D573,'Species Codes'!B:J,9,0))/VLOOKUP(D573,'Species Codes'!B:K,10,0))^VLOOKUP(D573,'Species Codes'!B:L,11,0))*((I573*0.3048)^VLOOKUP(D573,'Species Codes'!B:M,12,0))))-(VLOOKUP(D573,'Species Codes'!B:I,8,0)*((((E573*2.54)^VLOOKUP(D573,'Species Codes'!B:L,11,0))*((I573*0.3048)^VLOOKUP(D573,'Species Codes'!B:M,12,0))))))*35.3*VLOOKUP(D573,'Species Codes'!B:G,6,0)/2.2046,VLOOKUP(D573,'Species Codes'!B:I,8,0)+VLOOKUP(D573,'Species Codes'!B:J,9,0)*(((E573*2.54)/100)^2)*(I573*0.3048)))))*0.0011023),0)</f>
        <v>#N/A</v>
      </c>
      <c r="AC573" s="104" t="e">
        <f>IF(Z573&gt;0,((IF(OR(D573="RA",D573="OA",D573="OT",D573="UN",D573="PC"),EXP(VLOOKUP(D573,'Species Codes'!B:O,14,0)+VLOOKUP(D573,'Species Codes'!B:P,15,0)*LN((E573*2.54)))-EXP(VLOOKUP(D573,'Species Codes'!B:O,14,0)+VLOOKUP(D573,'Species Codes'!B:P,15,0)*LN((E573*2.54)))*(1/(VLOOKUP(D573,'Species Codes'!B:Q,16,0)+VLOOKUP(D573,'Species Codes'!B:R,17,0)*((E573*2.54)^VLOOKUP(D573,'Species Codes'!B:S,18,0)))),IF(OR(D573="BM",D573="MD",D573="OA"),EXP(VLOOKUP(D573,'Species Codes'!B:O,14,0)+VLOOKUP(D573,'Species Codes'!B:P,15,0)*LN((E573*2.54)))*(1-(1/(VLOOKUP(D573,'Species Codes'!B:Q,16,0)+VLOOKUP(D573,'Species Codes'!B:R,17,0)*((E573*2.54)^VLOOKUP(D573,'Species Codes'!B:S,18,0)))))/1000,IF(D573="DF",EXP(VLOOKUP(D573,'Species Codes'!B:O,14,0)+VLOOKUP(D573,'Species Codes'!B:P,15,0)*LN((E573*2.54))),VLOOKUP(D573,'Species Codes'!B:O,14,0)+VLOOKUP(D573,'Species Codes'!B:P,15,0)*(((E573*2.54)/100)^2)*(I573*0.3048)))))*0.0011023),0)</f>
        <v>#N/A</v>
      </c>
      <c r="AD573" s="104" t="e">
        <f t="shared" si="274"/>
        <v>#N/A</v>
      </c>
      <c r="AE573" s="104" t="e">
        <f t="shared" si="275"/>
        <v>#N/A</v>
      </c>
      <c r="AF573" s="104" t="e">
        <f>IF(AND(VLOOKUP($D573,Merchantability!$B:$C,2,0)="Yes",$E573&gt;=VLOOKUP($D573,Merchantability!$B:$D,3,0),$E573&lt;=VLOOKUP($D573,Merchantability!$B:$E,4,0)),AA573,0)</f>
        <v>#N/A</v>
      </c>
      <c r="AG573" s="104" t="e">
        <f>IF(AND(VLOOKUP($D573,Merchantability!$B:$C,2,0)="Yes",$E573&gt;=VLOOKUP($D573,Merchantability!$B:$D,3,0),$E573&lt;=VLOOKUP($D573,Merchantability!$B:$E,4,0)),AB573,0)</f>
        <v>#N/A</v>
      </c>
      <c r="AH573" s="104" t="e">
        <f>IF(AND(VLOOKUP($D573,Merchantability!$B:$C,2,0)="Yes",$E573&gt;=VLOOKUP($D573,Merchantability!$B:$D,3,0),$E573&lt;=VLOOKUP($D573,Merchantability!$B:$E,4,0)),AC573,0)</f>
        <v>#N/A</v>
      </c>
      <c r="AI573" s="104" t="e">
        <f t="shared" si="276"/>
        <v>#N/A</v>
      </c>
      <c r="AJ573" s="104" t="e">
        <f t="shared" si="277"/>
        <v>#VALUE!</v>
      </c>
      <c r="AK573" s="104" t="e">
        <f t="shared" si="278"/>
        <v>#N/A</v>
      </c>
      <c r="AL573" s="104" t="e">
        <f t="shared" si="279"/>
        <v>#N/A</v>
      </c>
      <c r="AM573" s="104" t="e">
        <f t="shared" si="280"/>
        <v>#N/A</v>
      </c>
      <c r="AN573" s="104" t="e">
        <f t="shared" si="264"/>
        <v>#N/A</v>
      </c>
      <c r="AO573" s="104" t="e">
        <f t="shared" si="265"/>
        <v>#N/A</v>
      </c>
      <c r="AP573" s="104" t="e">
        <f t="shared" si="266"/>
        <v>#N/A</v>
      </c>
      <c r="AQ573" s="104" t="e">
        <f t="shared" si="267"/>
        <v>#N/A</v>
      </c>
      <c r="AR573" s="105" t="str">
        <f t="shared" si="259"/>
        <v/>
      </c>
      <c r="AS573" s="105" t="str">
        <f t="shared" si="260"/>
        <v/>
      </c>
      <c r="AT573" s="108" t="str">
        <f t="shared" si="261"/>
        <v/>
      </c>
      <c r="AU573" s="108" t="str">
        <f t="shared" si="262"/>
        <v/>
      </c>
      <c r="AV573" s="107" t="str">
        <f>IF(ISNUMBER(O573),IF(VLOOKUP($A573,Stand!C:J,8,FALSE)="Short",AT573,AU573),"")</f>
        <v/>
      </c>
      <c r="AW573" s="109" t="str">
        <f t="shared" si="268"/>
        <v/>
      </c>
      <c r="AX573" s="109" t="str">
        <f t="shared" si="269"/>
        <v/>
      </c>
      <c r="AY573" s="112" t="str">
        <f>IF(ISNUMBER(O573),IF(AND(VLOOKUP($D573,Merchantability!$B:$C,2,0)="Yes",$E573&gt;=VLOOKUP($D573,Merchantability!$B:$D,3,0),$E573&lt;=VLOOKUP($D573,Merchantability!$B:$E,4,0)),(AV573*O573)*(1-$H573/100),""),"")</f>
        <v/>
      </c>
      <c r="AZ573" s="116"/>
      <c r="BA573" s="116"/>
      <c r="BB573" s="116"/>
      <c r="BE573" s="62"/>
      <c r="BF573" s="63"/>
    </row>
    <row r="574" spans="1:58" ht="12.75" customHeight="1" x14ac:dyDescent="0.25">
      <c r="A574" s="313"/>
      <c r="B574" s="328"/>
      <c r="C574" s="329"/>
      <c r="D574" s="328"/>
      <c r="E574" s="330"/>
      <c r="F574" s="328"/>
      <c r="G574" s="329"/>
      <c r="H574" s="329"/>
      <c r="I574" s="328"/>
      <c r="J574" s="383"/>
      <c r="K574" s="329"/>
      <c r="L574" s="329"/>
      <c r="M574" s="78"/>
      <c r="N574" s="103" t="str">
        <f>IF(A574="","",VLOOKUP(A574,Stand!C:K,9,0))</f>
        <v/>
      </c>
      <c r="O574" s="104" t="str">
        <f t="shared" si="254"/>
        <v/>
      </c>
      <c r="P574" s="105" t="str">
        <f t="shared" si="255"/>
        <v/>
      </c>
      <c r="Q574" s="105" t="str">
        <f t="shared" si="270"/>
        <v/>
      </c>
      <c r="R574" s="103" t="str">
        <f t="shared" si="256"/>
        <v/>
      </c>
      <c r="S574" s="103" t="str">
        <f t="shared" si="257"/>
        <v/>
      </c>
      <c r="T574" s="106" t="str">
        <f t="shared" si="271"/>
        <v/>
      </c>
      <c r="U574" s="106" t="str">
        <f t="shared" si="272"/>
        <v/>
      </c>
      <c r="V574" s="106" t="str">
        <f t="shared" si="273"/>
        <v/>
      </c>
      <c r="W574" s="105" t="str">
        <f t="shared" si="258"/>
        <v/>
      </c>
      <c r="X574" s="104" t="str">
        <f t="shared" si="263"/>
        <v/>
      </c>
      <c r="Y574" s="104" t="str">
        <f t="array" ref="Y574">IFERROR(IF(ISNUMBER(O574),IF(COUNT(IF(A574=$A$2:$A$2427,IF(D574=$D$2:$D$2427,IF($X$2:$X$2427&gt;0,1))))&gt;0,SUM(IF(A574=$A$2:$A$2427,IF(D574=$D$2:$D$2427,$X$2:$X$2427)))/COUNT(IF(A574=$A$2:$A$2427,IF(D574=$D$2:$D$2427,IF(ISNUMBER($X$2:$X$2427),1)))),0),""),0)</f>
        <v/>
      </c>
      <c r="Z574" s="104" t="str">
        <f>IF(ISNUMBER(O574),IF(I574&gt;0,(10^(VLOOKUP(D574,'Species Codes'!B:C,2,0)+VLOOKUP(D574,'Species Codes'!B:D,3,0)*LOG(E574)+VLOOKUP(D574,'Species Codes'!B:E,4,0)*LOG(I574))),0),"")</f>
        <v/>
      </c>
      <c r="AA574" s="104" t="str">
        <f>IFERROR((VLOOKUP(D574,'Species Codes'!B:G,6,0)*Z574)/2000,"")</f>
        <v/>
      </c>
      <c r="AB574" s="104" t="e">
        <f>IF(Z574&gt;0,((IF(OR(D574="DF",D574="RA")=TRUE,EXP(VLOOKUP(D574,'Species Codes'!B:I,8,0)+VLOOKUP(D574,'Species Codes'!B:J,9,0)*(LN((E574*2.54)))),IF(OR(D574="PY",D574="RC",D574="WH",D574="NF")=TRUE,VLOOKUP(D574,'Species Codes'!B:I,8,0)+VLOOKUP(D574,'Species Codes'!B:J,9,0)*((E574*2.54)^2)*(I574*0.3048),IF(OR(D574="MD",D574="BM",D574="GA")=TRUE,((VLOOKUP(D574,'Species Codes'!B:I,8,0)*(((((E574*2.54)+VLOOKUP(D574,'Species Codes'!B:J,9,0))/VLOOKUP(D574,'Species Codes'!B:K,10,0))^VLOOKUP(D574,'Species Codes'!B:L,11,0))*((I574*0.3048)^VLOOKUP(D574,'Species Codes'!B:M,12,0))))-(VLOOKUP(D574,'Species Codes'!B:I,8,0)*((((E574*2.54)^VLOOKUP(D574,'Species Codes'!B:L,11,0))*((I574*0.3048)^VLOOKUP(D574,'Species Codes'!B:M,12,0))))))*35.3*VLOOKUP(D574,'Species Codes'!B:G,6,0)/2.2046,VLOOKUP(D574,'Species Codes'!B:I,8,0)+VLOOKUP(D574,'Species Codes'!B:J,9,0)*(((E574*2.54)/100)^2)*(I574*0.3048)))))*0.0011023),0)</f>
        <v>#N/A</v>
      </c>
      <c r="AC574" s="104" t="e">
        <f>IF(Z574&gt;0,((IF(OR(D574="RA",D574="OA",D574="OT",D574="UN",D574="PC"),EXP(VLOOKUP(D574,'Species Codes'!B:O,14,0)+VLOOKUP(D574,'Species Codes'!B:P,15,0)*LN((E574*2.54)))-EXP(VLOOKUP(D574,'Species Codes'!B:O,14,0)+VLOOKUP(D574,'Species Codes'!B:P,15,0)*LN((E574*2.54)))*(1/(VLOOKUP(D574,'Species Codes'!B:Q,16,0)+VLOOKUP(D574,'Species Codes'!B:R,17,0)*((E574*2.54)^VLOOKUP(D574,'Species Codes'!B:S,18,0)))),IF(OR(D574="BM",D574="MD",D574="OA"),EXP(VLOOKUP(D574,'Species Codes'!B:O,14,0)+VLOOKUP(D574,'Species Codes'!B:P,15,0)*LN((E574*2.54)))*(1-(1/(VLOOKUP(D574,'Species Codes'!B:Q,16,0)+VLOOKUP(D574,'Species Codes'!B:R,17,0)*((E574*2.54)^VLOOKUP(D574,'Species Codes'!B:S,18,0)))))/1000,IF(D574="DF",EXP(VLOOKUP(D574,'Species Codes'!B:O,14,0)+VLOOKUP(D574,'Species Codes'!B:P,15,0)*LN((E574*2.54))),VLOOKUP(D574,'Species Codes'!B:O,14,0)+VLOOKUP(D574,'Species Codes'!B:P,15,0)*(((E574*2.54)/100)^2)*(I574*0.3048)))))*0.0011023),0)</f>
        <v>#N/A</v>
      </c>
      <c r="AD574" s="104" t="e">
        <f t="shared" si="274"/>
        <v>#N/A</v>
      </c>
      <c r="AE574" s="104" t="e">
        <f t="shared" si="275"/>
        <v>#N/A</v>
      </c>
      <c r="AF574" s="104" t="e">
        <f>IF(AND(VLOOKUP($D574,Merchantability!$B:$C,2,0)="Yes",$E574&gt;=VLOOKUP($D574,Merchantability!$B:$D,3,0),$E574&lt;=VLOOKUP($D574,Merchantability!$B:$E,4,0)),AA574,0)</f>
        <v>#N/A</v>
      </c>
      <c r="AG574" s="104" t="e">
        <f>IF(AND(VLOOKUP($D574,Merchantability!$B:$C,2,0)="Yes",$E574&gt;=VLOOKUP($D574,Merchantability!$B:$D,3,0),$E574&lt;=VLOOKUP($D574,Merchantability!$B:$E,4,0)),AB574,0)</f>
        <v>#N/A</v>
      </c>
      <c r="AH574" s="104" t="e">
        <f>IF(AND(VLOOKUP($D574,Merchantability!$B:$C,2,0)="Yes",$E574&gt;=VLOOKUP($D574,Merchantability!$B:$D,3,0),$E574&lt;=VLOOKUP($D574,Merchantability!$B:$E,4,0)),AC574,0)</f>
        <v>#N/A</v>
      </c>
      <c r="AI574" s="104" t="e">
        <f t="shared" si="276"/>
        <v>#N/A</v>
      </c>
      <c r="AJ574" s="104" t="e">
        <f t="shared" si="277"/>
        <v>#VALUE!</v>
      </c>
      <c r="AK574" s="104" t="e">
        <f t="shared" si="278"/>
        <v>#N/A</v>
      </c>
      <c r="AL574" s="104" t="e">
        <f t="shared" si="279"/>
        <v>#N/A</v>
      </c>
      <c r="AM574" s="104" t="e">
        <f t="shared" si="280"/>
        <v>#N/A</v>
      </c>
      <c r="AN574" s="104" t="e">
        <f t="shared" si="264"/>
        <v>#N/A</v>
      </c>
      <c r="AO574" s="104" t="e">
        <f t="shared" si="265"/>
        <v>#N/A</v>
      </c>
      <c r="AP574" s="104" t="e">
        <f t="shared" si="266"/>
        <v>#N/A</v>
      </c>
      <c r="AQ574" s="104" t="e">
        <f t="shared" si="267"/>
        <v>#N/A</v>
      </c>
      <c r="AR574" s="105" t="str">
        <f t="shared" si="259"/>
        <v/>
      </c>
      <c r="AS574" s="105" t="str">
        <f t="shared" si="260"/>
        <v/>
      </c>
      <c r="AT574" s="108" t="str">
        <f t="shared" si="261"/>
        <v/>
      </c>
      <c r="AU574" s="108" t="str">
        <f t="shared" si="262"/>
        <v/>
      </c>
      <c r="AV574" s="107" t="str">
        <f>IF(ISNUMBER(O574),IF(VLOOKUP($A574,Stand!C:J,8,FALSE)="Short",AT574,AU574),"")</f>
        <v/>
      </c>
      <c r="AW574" s="109" t="str">
        <f t="shared" si="268"/>
        <v/>
      </c>
      <c r="AX574" s="109" t="str">
        <f t="shared" si="269"/>
        <v/>
      </c>
      <c r="AY574" s="112" t="str">
        <f>IF(ISNUMBER(O574),IF(AND(VLOOKUP($D574,Merchantability!$B:$C,2,0)="Yes",$E574&gt;=VLOOKUP($D574,Merchantability!$B:$D,3,0),$E574&lt;=VLOOKUP($D574,Merchantability!$B:$E,4,0)),(AV574*O574)*(1-$H574/100),""),"")</f>
        <v/>
      </c>
      <c r="AZ574" s="116"/>
      <c r="BA574" s="116"/>
      <c r="BB574" s="116"/>
      <c r="BE574" s="62"/>
      <c r="BF574" s="63"/>
    </row>
    <row r="575" spans="1:58" ht="12.75" customHeight="1" x14ac:dyDescent="0.25">
      <c r="A575" s="313"/>
      <c r="B575" s="328"/>
      <c r="C575" s="329"/>
      <c r="D575" s="328"/>
      <c r="E575" s="330"/>
      <c r="F575" s="328"/>
      <c r="G575" s="329"/>
      <c r="H575" s="329"/>
      <c r="I575" s="328"/>
      <c r="J575" s="383"/>
      <c r="K575" s="329"/>
      <c r="L575" s="329"/>
      <c r="M575" s="78"/>
      <c r="N575" s="103" t="str">
        <f>IF(A575="","",VLOOKUP(A575,Stand!C:K,9,0))</f>
        <v/>
      </c>
      <c r="O575" s="104" t="str">
        <f t="shared" si="254"/>
        <v/>
      </c>
      <c r="P575" s="105" t="str">
        <f t="shared" si="255"/>
        <v/>
      </c>
      <c r="Q575" s="105" t="str">
        <f t="shared" si="270"/>
        <v/>
      </c>
      <c r="R575" s="103" t="str">
        <f t="shared" si="256"/>
        <v/>
      </c>
      <c r="S575" s="103" t="str">
        <f t="shared" si="257"/>
        <v/>
      </c>
      <c r="T575" s="106" t="str">
        <f t="shared" si="271"/>
        <v/>
      </c>
      <c r="U575" s="106" t="str">
        <f t="shared" si="272"/>
        <v/>
      </c>
      <c r="V575" s="106" t="str">
        <f t="shared" si="273"/>
        <v/>
      </c>
      <c r="W575" s="105" t="str">
        <f t="shared" si="258"/>
        <v/>
      </c>
      <c r="X575" s="104" t="str">
        <f t="shared" si="263"/>
        <v/>
      </c>
      <c r="Y575" s="104" t="str">
        <f t="array" ref="Y575">IFERROR(IF(ISNUMBER(O575),IF(COUNT(IF(A575=$A$2:$A$2427,IF(D575=$D$2:$D$2427,IF($X$2:$X$2427&gt;0,1))))&gt;0,SUM(IF(A575=$A$2:$A$2427,IF(D575=$D$2:$D$2427,$X$2:$X$2427)))/COUNT(IF(A575=$A$2:$A$2427,IF(D575=$D$2:$D$2427,IF(ISNUMBER($X$2:$X$2427),1)))),0),""),0)</f>
        <v/>
      </c>
      <c r="Z575" s="104" t="str">
        <f>IF(ISNUMBER(O575),IF(I575&gt;0,(10^(VLOOKUP(D575,'Species Codes'!B:C,2,0)+VLOOKUP(D575,'Species Codes'!B:D,3,0)*LOG(E575)+VLOOKUP(D575,'Species Codes'!B:E,4,0)*LOG(I575))),0),"")</f>
        <v/>
      </c>
      <c r="AA575" s="104" t="str">
        <f>IFERROR((VLOOKUP(D575,'Species Codes'!B:G,6,0)*Z575)/2000,"")</f>
        <v/>
      </c>
      <c r="AB575" s="104" t="e">
        <f>IF(Z575&gt;0,((IF(OR(D575="DF",D575="RA")=TRUE,EXP(VLOOKUP(D575,'Species Codes'!B:I,8,0)+VLOOKUP(D575,'Species Codes'!B:J,9,0)*(LN((E575*2.54)))),IF(OR(D575="PY",D575="RC",D575="WH",D575="NF")=TRUE,VLOOKUP(D575,'Species Codes'!B:I,8,0)+VLOOKUP(D575,'Species Codes'!B:J,9,0)*((E575*2.54)^2)*(I575*0.3048),IF(OR(D575="MD",D575="BM",D575="GA")=TRUE,((VLOOKUP(D575,'Species Codes'!B:I,8,0)*(((((E575*2.54)+VLOOKUP(D575,'Species Codes'!B:J,9,0))/VLOOKUP(D575,'Species Codes'!B:K,10,0))^VLOOKUP(D575,'Species Codes'!B:L,11,0))*((I575*0.3048)^VLOOKUP(D575,'Species Codes'!B:M,12,0))))-(VLOOKUP(D575,'Species Codes'!B:I,8,0)*((((E575*2.54)^VLOOKUP(D575,'Species Codes'!B:L,11,0))*((I575*0.3048)^VLOOKUP(D575,'Species Codes'!B:M,12,0))))))*35.3*VLOOKUP(D575,'Species Codes'!B:G,6,0)/2.2046,VLOOKUP(D575,'Species Codes'!B:I,8,0)+VLOOKUP(D575,'Species Codes'!B:J,9,0)*(((E575*2.54)/100)^2)*(I575*0.3048)))))*0.0011023),0)</f>
        <v>#N/A</v>
      </c>
      <c r="AC575" s="104" t="e">
        <f>IF(Z575&gt;0,((IF(OR(D575="RA",D575="OA",D575="OT",D575="UN",D575="PC"),EXP(VLOOKUP(D575,'Species Codes'!B:O,14,0)+VLOOKUP(D575,'Species Codes'!B:P,15,0)*LN((E575*2.54)))-EXP(VLOOKUP(D575,'Species Codes'!B:O,14,0)+VLOOKUP(D575,'Species Codes'!B:P,15,0)*LN((E575*2.54)))*(1/(VLOOKUP(D575,'Species Codes'!B:Q,16,0)+VLOOKUP(D575,'Species Codes'!B:R,17,0)*((E575*2.54)^VLOOKUP(D575,'Species Codes'!B:S,18,0)))),IF(OR(D575="BM",D575="MD",D575="OA"),EXP(VLOOKUP(D575,'Species Codes'!B:O,14,0)+VLOOKUP(D575,'Species Codes'!B:P,15,0)*LN((E575*2.54)))*(1-(1/(VLOOKUP(D575,'Species Codes'!B:Q,16,0)+VLOOKUP(D575,'Species Codes'!B:R,17,0)*((E575*2.54)^VLOOKUP(D575,'Species Codes'!B:S,18,0)))))/1000,IF(D575="DF",EXP(VLOOKUP(D575,'Species Codes'!B:O,14,0)+VLOOKUP(D575,'Species Codes'!B:P,15,0)*LN((E575*2.54))),VLOOKUP(D575,'Species Codes'!B:O,14,0)+VLOOKUP(D575,'Species Codes'!B:P,15,0)*(((E575*2.54)/100)^2)*(I575*0.3048)))))*0.0011023),0)</f>
        <v>#N/A</v>
      </c>
      <c r="AD575" s="104" t="e">
        <f t="shared" si="274"/>
        <v>#N/A</v>
      </c>
      <c r="AE575" s="104" t="e">
        <f t="shared" si="275"/>
        <v>#N/A</v>
      </c>
      <c r="AF575" s="104" t="e">
        <f>IF(AND(VLOOKUP($D575,Merchantability!$B:$C,2,0)="Yes",$E575&gt;=VLOOKUP($D575,Merchantability!$B:$D,3,0),$E575&lt;=VLOOKUP($D575,Merchantability!$B:$E,4,0)),AA575,0)</f>
        <v>#N/A</v>
      </c>
      <c r="AG575" s="104" t="e">
        <f>IF(AND(VLOOKUP($D575,Merchantability!$B:$C,2,0)="Yes",$E575&gt;=VLOOKUP($D575,Merchantability!$B:$D,3,0),$E575&lt;=VLOOKUP($D575,Merchantability!$B:$E,4,0)),AB575,0)</f>
        <v>#N/A</v>
      </c>
      <c r="AH575" s="104" t="e">
        <f>IF(AND(VLOOKUP($D575,Merchantability!$B:$C,2,0)="Yes",$E575&gt;=VLOOKUP($D575,Merchantability!$B:$D,3,0),$E575&lt;=VLOOKUP($D575,Merchantability!$B:$E,4,0)),AC575,0)</f>
        <v>#N/A</v>
      </c>
      <c r="AI575" s="104" t="e">
        <f t="shared" si="276"/>
        <v>#N/A</v>
      </c>
      <c r="AJ575" s="104" t="e">
        <f t="shared" si="277"/>
        <v>#VALUE!</v>
      </c>
      <c r="AK575" s="104" t="e">
        <f t="shared" si="278"/>
        <v>#N/A</v>
      </c>
      <c r="AL575" s="104" t="e">
        <f t="shared" si="279"/>
        <v>#N/A</v>
      </c>
      <c r="AM575" s="104" t="e">
        <f t="shared" si="280"/>
        <v>#N/A</v>
      </c>
      <c r="AN575" s="104" t="e">
        <f t="shared" si="264"/>
        <v>#N/A</v>
      </c>
      <c r="AO575" s="104" t="e">
        <f t="shared" si="265"/>
        <v>#N/A</v>
      </c>
      <c r="AP575" s="104" t="e">
        <f t="shared" si="266"/>
        <v>#N/A</v>
      </c>
      <c r="AQ575" s="104" t="e">
        <f t="shared" si="267"/>
        <v>#N/A</v>
      </c>
      <c r="AR575" s="105" t="str">
        <f t="shared" si="259"/>
        <v/>
      </c>
      <c r="AS575" s="105" t="str">
        <f t="shared" si="260"/>
        <v/>
      </c>
      <c r="AT575" s="108" t="str">
        <f t="shared" si="261"/>
        <v/>
      </c>
      <c r="AU575" s="108" t="str">
        <f t="shared" si="262"/>
        <v/>
      </c>
      <c r="AV575" s="107" t="str">
        <f>IF(ISNUMBER(O575),IF(VLOOKUP($A575,Stand!C:J,8,FALSE)="Short",AT575,AU575),"")</f>
        <v/>
      </c>
      <c r="AW575" s="109" t="str">
        <f t="shared" si="268"/>
        <v/>
      </c>
      <c r="AX575" s="109" t="str">
        <f t="shared" si="269"/>
        <v/>
      </c>
      <c r="AY575" s="112" t="str">
        <f>IF(ISNUMBER(O575),IF(AND(VLOOKUP($D575,Merchantability!$B:$C,2,0)="Yes",$E575&gt;=VLOOKUP($D575,Merchantability!$B:$D,3,0),$E575&lt;=VLOOKUP($D575,Merchantability!$B:$E,4,0)),(AV575*O575)*(1-$H575/100),""),"")</f>
        <v/>
      </c>
      <c r="AZ575" s="116"/>
      <c r="BA575" s="116"/>
      <c r="BB575" s="116"/>
      <c r="BE575" s="62"/>
      <c r="BF575" s="63"/>
    </row>
    <row r="576" spans="1:58" ht="12.75" customHeight="1" x14ac:dyDescent="0.25">
      <c r="A576" s="313"/>
      <c r="B576" s="328"/>
      <c r="C576" s="329"/>
      <c r="D576" s="328"/>
      <c r="E576" s="330"/>
      <c r="F576" s="328"/>
      <c r="G576" s="329"/>
      <c r="H576" s="329"/>
      <c r="I576" s="328"/>
      <c r="J576" s="383"/>
      <c r="K576" s="329"/>
      <c r="L576" s="329"/>
      <c r="M576" s="78"/>
      <c r="N576" s="103" t="str">
        <f>IF(A576="","",VLOOKUP(A576,Stand!C:K,9,0))</f>
        <v/>
      </c>
      <c r="O576" s="104" t="str">
        <f t="shared" si="254"/>
        <v/>
      </c>
      <c r="P576" s="105" t="str">
        <f t="shared" si="255"/>
        <v/>
      </c>
      <c r="Q576" s="105" t="str">
        <f t="shared" si="270"/>
        <v/>
      </c>
      <c r="R576" s="103" t="str">
        <f t="shared" si="256"/>
        <v/>
      </c>
      <c r="S576" s="103" t="str">
        <f t="shared" si="257"/>
        <v/>
      </c>
      <c r="T576" s="106" t="str">
        <f t="shared" si="271"/>
        <v/>
      </c>
      <c r="U576" s="106" t="str">
        <f t="shared" si="272"/>
        <v/>
      </c>
      <c r="V576" s="106" t="str">
        <f t="shared" si="273"/>
        <v/>
      </c>
      <c r="W576" s="105" t="str">
        <f t="shared" si="258"/>
        <v/>
      </c>
      <c r="X576" s="104" t="str">
        <f t="shared" si="263"/>
        <v/>
      </c>
      <c r="Y576" s="104" t="str">
        <f t="array" ref="Y576">IFERROR(IF(ISNUMBER(O576),IF(COUNT(IF(A576=$A$2:$A$2427,IF(D576=$D$2:$D$2427,IF($X$2:$X$2427&gt;0,1))))&gt;0,SUM(IF(A576=$A$2:$A$2427,IF(D576=$D$2:$D$2427,$X$2:$X$2427)))/COUNT(IF(A576=$A$2:$A$2427,IF(D576=$D$2:$D$2427,IF(ISNUMBER($X$2:$X$2427),1)))),0),""),0)</f>
        <v/>
      </c>
      <c r="Z576" s="104" t="str">
        <f>IF(ISNUMBER(O576),IF(I576&gt;0,(10^(VLOOKUP(D576,'Species Codes'!B:C,2,0)+VLOOKUP(D576,'Species Codes'!B:D,3,0)*LOG(E576)+VLOOKUP(D576,'Species Codes'!B:E,4,0)*LOG(I576))),0),"")</f>
        <v/>
      </c>
      <c r="AA576" s="104" t="str">
        <f>IFERROR((VLOOKUP(D576,'Species Codes'!B:G,6,0)*Z576)/2000,"")</f>
        <v/>
      </c>
      <c r="AB576" s="104" t="e">
        <f>IF(Z576&gt;0,((IF(OR(D576="DF",D576="RA")=TRUE,EXP(VLOOKUP(D576,'Species Codes'!B:I,8,0)+VLOOKUP(D576,'Species Codes'!B:J,9,0)*(LN((E576*2.54)))),IF(OR(D576="PY",D576="RC",D576="WH",D576="NF")=TRUE,VLOOKUP(D576,'Species Codes'!B:I,8,0)+VLOOKUP(D576,'Species Codes'!B:J,9,0)*((E576*2.54)^2)*(I576*0.3048),IF(OR(D576="MD",D576="BM",D576="GA")=TRUE,((VLOOKUP(D576,'Species Codes'!B:I,8,0)*(((((E576*2.54)+VLOOKUP(D576,'Species Codes'!B:J,9,0))/VLOOKUP(D576,'Species Codes'!B:K,10,0))^VLOOKUP(D576,'Species Codes'!B:L,11,0))*((I576*0.3048)^VLOOKUP(D576,'Species Codes'!B:M,12,0))))-(VLOOKUP(D576,'Species Codes'!B:I,8,0)*((((E576*2.54)^VLOOKUP(D576,'Species Codes'!B:L,11,0))*((I576*0.3048)^VLOOKUP(D576,'Species Codes'!B:M,12,0))))))*35.3*VLOOKUP(D576,'Species Codes'!B:G,6,0)/2.2046,VLOOKUP(D576,'Species Codes'!B:I,8,0)+VLOOKUP(D576,'Species Codes'!B:J,9,0)*(((E576*2.54)/100)^2)*(I576*0.3048)))))*0.0011023),0)</f>
        <v>#N/A</v>
      </c>
      <c r="AC576" s="104" t="e">
        <f>IF(Z576&gt;0,((IF(OR(D576="RA",D576="OA",D576="OT",D576="UN",D576="PC"),EXP(VLOOKUP(D576,'Species Codes'!B:O,14,0)+VLOOKUP(D576,'Species Codes'!B:P,15,0)*LN((E576*2.54)))-EXP(VLOOKUP(D576,'Species Codes'!B:O,14,0)+VLOOKUP(D576,'Species Codes'!B:P,15,0)*LN((E576*2.54)))*(1/(VLOOKUP(D576,'Species Codes'!B:Q,16,0)+VLOOKUP(D576,'Species Codes'!B:R,17,0)*((E576*2.54)^VLOOKUP(D576,'Species Codes'!B:S,18,0)))),IF(OR(D576="BM",D576="MD",D576="OA"),EXP(VLOOKUP(D576,'Species Codes'!B:O,14,0)+VLOOKUP(D576,'Species Codes'!B:P,15,0)*LN((E576*2.54)))*(1-(1/(VLOOKUP(D576,'Species Codes'!B:Q,16,0)+VLOOKUP(D576,'Species Codes'!B:R,17,0)*((E576*2.54)^VLOOKUP(D576,'Species Codes'!B:S,18,0)))))/1000,IF(D576="DF",EXP(VLOOKUP(D576,'Species Codes'!B:O,14,0)+VLOOKUP(D576,'Species Codes'!B:P,15,0)*LN((E576*2.54))),VLOOKUP(D576,'Species Codes'!B:O,14,0)+VLOOKUP(D576,'Species Codes'!B:P,15,0)*(((E576*2.54)/100)^2)*(I576*0.3048)))))*0.0011023),0)</f>
        <v>#N/A</v>
      </c>
      <c r="AD576" s="104" t="e">
        <f t="shared" si="274"/>
        <v>#N/A</v>
      </c>
      <c r="AE576" s="104" t="e">
        <f t="shared" si="275"/>
        <v>#N/A</v>
      </c>
      <c r="AF576" s="104" t="e">
        <f>IF(AND(VLOOKUP($D576,Merchantability!$B:$C,2,0)="Yes",$E576&gt;=VLOOKUP($D576,Merchantability!$B:$D,3,0),$E576&lt;=VLOOKUP($D576,Merchantability!$B:$E,4,0)),AA576,0)</f>
        <v>#N/A</v>
      </c>
      <c r="AG576" s="104" t="e">
        <f>IF(AND(VLOOKUP($D576,Merchantability!$B:$C,2,0)="Yes",$E576&gt;=VLOOKUP($D576,Merchantability!$B:$D,3,0),$E576&lt;=VLOOKUP($D576,Merchantability!$B:$E,4,0)),AB576,0)</f>
        <v>#N/A</v>
      </c>
      <c r="AH576" s="104" t="e">
        <f>IF(AND(VLOOKUP($D576,Merchantability!$B:$C,2,0)="Yes",$E576&gt;=VLOOKUP($D576,Merchantability!$B:$D,3,0),$E576&lt;=VLOOKUP($D576,Merchantability!$B:$E,4,0)),AC576,0)</f>
        <v>#N/A</v>
      </c>
      <c r="AI576" s="104" t="e">
        <f t="shared" si="276"/>
        <v>#N/A</v>
      </c>
      <c r="AJ576" s="104" t="e">
        <f t="shared" si="277"/>
        <v>#VALUE!</v>
      </c>
      <c r="AK576" s="104" t="e">
        <f t="shared" si="278"/>
        <v>#N/A</v>
      </c>
      <c r="AL576" s="104" t="e">
        <f t="shared" si="279"/>
        <v>#N/A</v>
      </c>
      <c r="AM576" s="104" t="e">
        <f t="shared" si="280"/>
        <v>#N/A</v>
      </c>
      <c r="AN576" s="104" t="e">
        <f t="shared" si="264"/>
        <v>#N/A</v>
      </c>
      <c r="AO576" s="104" t="e">
        <f t="shared" si="265"/>
        <v>#N/A</v>
      </c>
      <c r="AP576" s="104" t="e">
        <f t="shared" si="266"/>
        <v>#N/A</v>
      </c>
      <c r="AQ576" s="104" t="e">
        <f t="shared" si="267"/>
        <v>#N/A</v>
      </c>
      <c r="AR576" s="105" t="str">
        <f t="shared" si="259"/>
        <v/>
      </c>
      <c r="AS576" s="105" t="str">
        <f t="shared" si="260"/>
        <v/>
      </c>
      <c r="AT576" s="108" t="str">
        <f t="shared" si="261"/>
        <v/>
      </c>
      <c r="AU576" s="108" t="str">
        <f t="shared" si="262"/>
        <v/>
      </c>
      <c r="AV576" s="107" t="str">
        <f>IF(ISNUMBER(O576),IF(VLOOKUP($A576,Stand!C:J,8,FALSE)="Short",AT576,AU576),"")</f>
        <v/>
      </c>
      <c r="AW576" s="109" t="str">
        <f t="shared" si="268"/>
        <v/>
      </c>
      <c r="AX576" s="109" t="str">
        <f t="shared" si="269"/>
        <v/>
      </c>
      <c r="AY576" s="112" t="str">
        <f>IF(ISNUMBER(O576),IF(AND(VLOOKUP($D576,Merchantability!$B:$C,2,0)="Yes",$E576&gt;=VLOOKUP($D576,Merchantability!$B:$D,3,0),$E576&lt;=VLOOKUP($D576,Merchantability!$B:$E,4,0)),(AV576*O576)*(1-$H576/100),""),"")</f>
        <v/>
      </c>
      <c r="AZ576" s="116"/>
      <c r="BA576" s="116"/>
      <c r="BB576" s="116"/>
      <c r="BE576" s="62"/>
      <c r="BF576" s="63"/>
    </row>
    <row r="577" spans="1:58" ht="12.75" customHeight="1" x14ac:dyDescent="0.25">
      <c r="A577" s="313"/>
      <c r="B577" s="328"/>
      <c r="C577" s="329"/>
      <c r="D577" s="328"/>
      <c r="E577" s="330"/>
      <c r="F577" s="328"/>
      <c r="G577" s="329"/>
      <c r="H577" s="329"/>
      <c r="I577" s="328"/>
      <c r="J577" s="383"/>
      <c r="K577" s="329"/>
      <c r="L577" s="329"/>
      <c r="M577" s="78"/>
      <c r="N577" s="103" t="str">
        <f>IF(A577="","",VLOOKUP(A577,Stand!C:K,9,0))</f>
        <v/>
      </c>
      <c r="O577" s="104" t="str">
        <f t="shared" si="254"/>
        <v/>
      </c>
      <c r="P577" s="105" t="str">
        <f t="shared" si="255"/>
        <v/>
      </c>
      <c r="Q577" s="105" t="str">
        <f t="shared" si="270"/>
        <v/>
      </c>
      <c r="R577" s="103" t="str">
        <f t="shared" si="256"/>
        <v/>
      </c>
      <c r="S577" s="103" t="str">
        <f t="shared" si="257"/>
        <v/>
      </c>
      <c r="T577" s="106" t="str">
        <f t="shared" si="271"/>
        <v/>
      </c>
      <c r="U577" s="106" t="str">
        <f t="shared" si="272"/>
        <v/>
      </c>
      <c r="V577" s="106" t="str">
        <f t="shared" si="273"/>
        <v/>
      </c>
      <c r="W577" s="105" t="str">
        <f t="shared" si="258"/>
        <v/>
      </c>
      <c r="X577" s="104" t="str">
        <f t="shared" si="263"/>
        <v/>
      </c>
      <c r="Y577" s="104" t="str">
        <f t="array" ref="Y577">IFERROR(IF(ISNUMBER(O577),IF(COUNT(IF(A577=$A$2:$A$2427,IF(D577=$D$2:$D$2427,IF($X$2:$X$2427&gt;0,1))))&gt;0,SUM(IF(A577=$A$2:$A$2427,IF(D577=$D$2:$D$2427,$X$2:$X$2427)))/COUNT(IF(A577=$A$2:$A$2427,IF(D577=$D$2:$D$2427,IF(ISNUMBER($X$2:$X$2427),1)))),0),""),0)</f>
        <v/>
      </c>
      <c r="Z577" s="104" t="str">
        <f>IF(ISNUMBER(O577),IF(I577&gt;0,(10^(VLOOKUP(D577,'Species Codes'!B:C,2,0)+VLOOKUP(D577,'Species Codes'!B:D,3,0)*LOG(E577)+VLOOKUP(D577,'Species Codes'!B:E,4,0)*LOG(I577))),0),"")</f>
        <v/>
      </c>
      <c r="AA577" s="104" t="str">
        <f>IFERROR((VLOOKUP(D577,'Species Codes'!B:G,6,0)*Z577)/2000,"")</f>
        <v/>
      </c>
      <c r="AB577" s="104" t="e">
        <f>IF(Z577&gt;0,((IF(OR(D577="DF",D577="RA")=TRUE,EXP(VLOOKUP(D577,'Species Codes'!B:I,8,0)+VLOOKUP(D577,'Species Codes'!B:J,9,0)*(LN((E577*2.54)))),IF(OR(D577="PY",D577="RC",D577="WH",D577="NF")=TRUE,VLOOKUP(D577,'Species Codes'!B:I,8,0)+VLOOKUP(D577,'Species Codes'!B:J,9,0)*((E577*2.54)^2)*(I577*0.3048),IF(OR(D577="MD",D577="BM",D577="GA")=TRUE,((VLOOKUP(D577,'Species Codes'!B:I,8,0)*(((((E577*2.54)+VLOOKUP(D577,'Species Codes'!B:J,9,0))/VLOOKUP(D577,'Species Codes'!B:K,10,0))^VLOOKUP(D577,'Species Codes'!B:L,11,0))*((I577*0.3048)^VLOOKUP(D577,'Species Codes'!B:M,12,0))))-(VLOOKUP(D577,'Species Codes'!B:I,8,0)*((((E577*2.54)^VLOOKUP(D577,'Species Codes'!B:L,11,0))*((I577*0.3048)^VLOOKUP(D577,'Species Codes'!B:M,12,0))))))*35.3*VLOOKUP(D577,'Species Codes'!B:G,6,0)/2.2046,VLOOKUP(D577,'Species Codes'!B:I,8,0)+VLOOKUP(D577,'Species Codes'!B:J,9,0)*(((E577*2.54)/100)^2)*(I577*0.3048)))))*0.0011023),0)</f>
        <v>#N/A</v>
      </c>
      <c r="AC577" s="104" t="e">
        <f>IF(Z577&gt;0,((IF(OR(D577="RA",D577="OA",D577="OT",D577="UN",D577="PC"),EXP(VLOOKUP(D577,'Species Codes'!B:O,14,0)+VLOOKUP(D577,'Species Codes'!B:P,15,0)*LN((E577*2.54)))-EXP(VLOOKUP(D577,'Species Codes'!B:O,14,0)+VLOOKUP(D577,'Species Codes'!B:P,15,0)*LN((E577*2.54)))*(1/(VLOOKUP(D577,'Species Codes'!B:Q,16,0)+VLOOKUP(D577,'Species Codes'!B:R,17,0)*((E577*2.54)^VLOOKUP(D577,'Species Codes'!B:S,18,0)))),IF(OR(D577="BM",D577="MD",D577="OA"),EXP(VLOOKUP(D577,'Species Codes'!B:O,14,0)+VLOOKUP(D577,'Species Codes'!B:P,15,0)*LN((E577*2.54)))*(1-(1/(VLOOKUP(D577,'Species Codes'!B:Q,16,0)+VLOOKUP(D577,'Species Codes'!B:R,17,0)*((E577*2.54)^VLOOKUP(D577,'Species Codes'!B:S,18,0)))))/1000,IF(D577="DF",EXP(VLOOKUP(D577,'Species Codes'!B:O,14,0)+VLOOKUP(D577,'Species Codes'!B:P,15,0)*LN((E577*2.54))),VLOOKUP(D577,'Species Codes'!B:O,14,0)+VLOOKUP(D577,'Species Codes'!B:P,15,0)*(((E577*2.54)/100)^2)*(I577*0.3048)))))*0.0011023),0)</f>
        <v>#N/A</v>
      </c>
      <c r="AD577" s="104" t="e">
        <f t="shared" si="274"/>
        <v>#N/A</v>
      </c>
      <c r="AE577" s="104" t="e">
        <f t="shared" si="275"/>
        <v>#N/A</v>
      </c>
      <c r="AF577" s="104" t="e">
        <f>IF(AND(VLOOKUP($D577,Merchantability!$B:$C,2,0)="Yes",$E577&gt;=VLOOKUP($D577,Merchantability!$B:$D,3,0),$E577&lt;=VLOOKUP($D577,Merchantability!$B:$E,4,0)),AA577,0)</f>
        <v>#N/A</v>
      </c>
      <c r="AG577" s="104" t="e">
        <f>IF(AND(VLOOKUP($D577,Merchantability!$B:$C,2,0)="Yes",$E577&gt;=VLOOKUP($D577,Merchantability!$B:$D,3,0),$E577&lt;=VLOOKUP($D577,Merchantability!$B:$E,4,0)),AB577,0)</f>
        <v>#N/A</v>
      </c>
      <c r="AH577" s="104" t="e">
        <f>IF(AND(VLOOKUP($D577,Merchantability!$B:$C,2,0)="Yes",$E577&gt;=VLOOKUP($D577,Merchantability!$B:$D,3,0),$E577&lt;=VLOOKUP($D577,Merchantability!$B:$E,4,0)),AC577,0)</f>
        <v>#N/A</v>
      </c>
      <c r="AI577" s="104" t="e">
        <f t="shared" si="276"/>
        <v>#N/A</v>
      </c>
      <c r="AJ577" s="104" t="e">
        <f t="shared" si="277"/>
        <v>#VALUE!</v>
      </c>
      <c r="AK577" s="104" t="e">
        <f t="shared" si="278"/>
        <v>#N/A</v>
      </c>
      <c r="AL577" s="104" t="e">
        <f t="shared" si="279"/>
        <v>#N/A</v>
      </c>
      <c r="AM577" s="104" t="e">
        <f t="shared" si="280"/>
        <v>#N/A</v>
      </c>
      <c r="AN577" s="104" t="e">
        <f t="shared" si="264"/>
        <v>#N/A</v>
      </c>
      <c r="AO577" s="104" t="e">
        <f t="shared" si="265"/>
        <v>#N/A</v>
      </c>
      <c r="AP577" s="104" t="e">
        <f t="shared" si="266"/>
        <v>#N/A</v>
      </c>
      <c r="AQ577" s="104" t="e">
        <f t="shared" si="267"/>
        <v>#N/A</v>
      </c>
      <c r="AR577" s="105" t="str">
        <f t="shared" si="259"/>
        <v/>
      </c>
      <c r="AS577" s="105" t="str">
        <f t="shared" si="260"/>
        <v/>
      </c>
      <c r="AT577" s="108" t="str">
        <f t="shared" si="261"/>
        <v/>
      </c>
      <c r="AU577" s="108" t="str">
        <f t="shared" si="262"/>
        <v/>
      </c>
      <c r="AV577" s="107" t="str">
        <f>IF(ISNUMBER(O577),IF(VLOOKUP($A577,Stand!C:J,8,FALSE)="Short",AT577,AU577),"")</f>
        <v/>
      </c>
      <c r="AW577" s="109" t="str">
        <f t="shared" si="268"/>
        <v/>
      </c>
      <c r="AX577" s="109" t="str">
        <f t="shared" si="269"/>
        <v/>
      </c>
      <c r="AY577" s="112" t="str">
        <f>IF(ISNUMBER(O577),IF(AND(VLOOKUP($D577,Merchantability!$B:$C,2,0)="Yes",$E577&gt;=VLOOKUP($D577,Merchantability!$B:$D,3,0),$E577&lt;=VLOOKUP($D577,Merchantability!$B:$E,4,0)),(AV577*O577)*(1-$H577/100),""),"")</f>
        <v/>
      </c>
      <c r="AZ577" s="116"/>
      <c r="BA577" s="116"/>
      <c r="BB577" s="116"/>
      <c r="BE577" s="62"/>
      <c r="BF577" s="63"/>
    </row>
    <row r="578" spans="1:58" ht="12.75" customHeight="1" x14ac:dyDescent="0.25">
      <c r="A578" s="313"/>
      <c r="B578" s="328"/>
      <c r="C578" s="329"/>
      <c r="D578" s="328"/>
      <c r="E578" s="330"/>
      <c r="F578" s="328"/>
      <c r="G578" s="329"/>
      <c r="H578" s="329"/>
      <c r="I578" s="328"/>
      <c r="J578" s="383"/>
      <c r="K578" s="329"/>
      <c r="L578" s="329"/>
      <c r="M578" s="78"/>
      <c r="N578" s="103" t="str">
        <f>IF(A578="","",VLOOKUP(A578,Stand!C:K,9,0))</f>
        <v/>
      </c>
      <c r="O578" s="104" t="str">
        <f t="shared" ref="O578:O641" si="281">IF(E578&gt;0,IF(G578&gt;1,G578*(43560/(N578^2*3.14)),43560/(N578^2*3.14)),"")</f>
        <v/>
      </c>
      <c r="P578" s="105" t="str">
        <f t="shared" ref="P578:P641" si="282">IF(ISNUMBER(O578),E578*O578,"")</f>
        <v/>
      </c>
      <c r="Q578" s="105" t="str">
        <f t="shared" si="270"/>
        <v/>
      </c>
      <c r="R578" s="103" t="str">
        <f t="shared" ref="R578:R641" si="283">IF(ISNUMBER(O578),E578^2*0.005454*O578,"")</f>
        <v/>
      </c>
      <c r="S578" s="103" t="str">
        <f t="shared" ref="S578:S641" si="284">IF(ISNUMBER(O578),(E578/10)^1.7*O578,"")</f>
        <v/>
      </c>
      <c r="T578" s="106" t="str">
        <f t="shared" si="271"/>
        <v/>
      </c>
      <c r="U578" s="106" t="str">
        <f t="shared" si="272"/>
        <v/>
      </c>
      <c r="V578" s="106" t="str">
        <f t="shared" si="273"/>
        <v/>
      </c>
      <c r="W578" s="105" t="str">
        <f t="shared" ref="W578:W641" si="285">IF(AND(ISNUMBER(O578),I578&gt;0),I578/(E578/12),"")</f>
        <v/>
      </c>
      <c r="X578" s="104" t="str">
        <f t="shared" si="263"/>
        <v/>
      </c>
      <c r="Y578" s="104" t="str">
        <f t="array" ref="Y578">IFERROR(IF(ISNUMBER(O578),IF(COUNT(IF(A578=$A$2:$A$2427,IF(D578=$D$2:$D$2427,IF($X$2:$X$2427&gt;0,1))))&gt;0,SUM(IF(A578=$A$2:$A$2427,IF(D578=$D$2:$D$2427,$X$2:$X$2427)))/COUNT(IF(A578=$A$2:$A$2427,IF(D578=$D$2:$D$2427,IF(ISNUMBER($X$2:$X$2427),1)))),0),""),0)</f>
        <v/>
      </c>
      <c r="Z578" s="104" t="str">
        <f>IF(ISNUMBER(O578),IF(I578&gt;0,(10^(VLOOKUP(D578,'Species Codes'!B:C,2,0)+VLOOKUP(D578,'Species Codes'!B:D,3,0)*LOG(E578)+VLOOKUP(D578,'Species Codes'!B:E,4,0)*LOG(I578))),0),"")</f>
        <v/>
      </c>
      <c r="AA578" s="104" t="str">
        <f>IFERROR((VLOOKUP(D578,'Species Codes'!B:G,6,0)*Z578)/2000,"")</f>
        <v/>
      </c>
      <c r="AB578" s="104" t="e">
        <f>IF(Z578&gt;0,((IF(OR(D578="DF",D578="RA")=TRUE,EXP(VLOOKUP(D578,'Species Codes'!B:I,8,0)+VLOOKUP(D578,'Species Codes'!B:J,9,0)*(LN((E578*2.54)))),IF(OR(D578="PY",D578="RC",D578="WH",D578="NF")=TRUE,VLOOKUP(D578,'Species Codes'!B:I,8,0)+VLOOKUP(D578,'Species Codes'!B:J,9,0)*((E578*2.54)^2)*(I578*0.3048),IF(OR(D578="MD",D578="BM",D578="GA")=TRUE,((VLOOKUP(D578,'Species Codes'!B:I,8,0)*(((((E578*2.54)+VLOOKUP(D578,'Species Codes'!B:J,9,0))/VLOOKUP(D578,'Species Codes'!B:K,10,0))^VLOOKUP(D578,'Species Codes'!B:L,11,0))*((I578*0.3048)^VLOOKUP(D578,'Species Codes'!B:M,12,0))))-(VLOOKUP(D578,'Species Codes'!B:I,8,0)*((((E578*2.54)^VLOOKUP(D578,'Species Codes'!B:L,11,0))*((I578*0.3048)^VLOOKUP(D578,'Species Codes'!B:M,12,0))))))*35.3*VLOOKUP(D578,'Species Codes'!B:G,6,0)/2.2046,VLOOKUP(D578,'Species Codes'!B:I,8,0)+VLOOKUP(D578,'Species Codes'!B:J,9,0)*(((E578*2.54)/100)^2)*(I578*0.3048)))))*0.0011023),0)</f>
        <v>#N/A</v>
      </c>
      <c r="AC578" s="104" t="e">
        <f>IF(Z578&gt;0,((IF(OR(D578="RA",D578="OA",D578="OT",D578="UN",D578="PC"),EXP(VLOOKUP(D578,'Species Codes'!B:O,14,0)+VLOOKUP(D578,'Species Codes'!B:P,15,0)*LN((E578*2.54)))-EXP(VLOOKUP(D578,'Species Codes'!B:O,14,0)+VLOOKUP(D578,'Species Codes'!B:P,15,0)*LN((E578*2.54)))*(1/(VLOOKUP(D578,'Species Codes'!B:Q,16,0)+VLOOKUP(D578,'Species Codes'!B:R,17,0)*((E578*2.54)^VLOOKUP(D578,'Species Codes'!B:S,18,0)))),IF(OR(D578="BM",D578="MD",D578="OA"),EXP(VLOOKUP(D578,'Species Codes'!B:O,14,0)+VLOOKUP(D578,'Species Codes'!B:P,15,0)*LN((E578*2.54)))*(1-(1/(VLOOKUP(D578,'Species Codes'!B:Q,16,0)+VLOOKUP(D578,'Species Codes'!B:R,17,0)*((E578*2.54)^VLOOKUP(D578,'Species Codes'!B:S,18,0)))))/1000,IF(D578="DF",EXP(VLOOKUP(D578,'Species Codes'!B:O,14,0)+VLOOKUP(D578,'Species Codes'!B:P,15,0)*LN((E578*2.54))),VLOOKUP(D578,'Species Codes'!B:O,14,0)+VLOOKUP(D578,'Species Codes'!B:P,15,0)*(((E578*2.54)/100)^2)*(I578*0.3048)))))*0.0011023),0)</f>
        <v>#N/A</v>
      </c>
      <c r="AD578" s="104" t="e">
        <f t="shared" si="274"/>
        <v>#N/A</v>
      </c>
      <c r="AE578" s="104" t="e">
        <f t="shared" si="275"/>
        <v>#N/A</v>
      </c>
      <c r="AF578" s="104" t="e">
        <f>IF(AND(VLOOKUP($D578,Merchantability!$B:$C,2,0)="Yes",$E578&gt;=VLOOKUP($D578,Merchantability!$B:$D,3,0),$E578&lt;=VLOOKUP($D578,Merchantability!$B:$E,4,0)),AA578,0)</f>
        <v>#N/A</v>
      </c>
      <c r="AG578" s="104" t="e">
        <f>IF(AND(VLOOKUP($D578,Merchantability!$B:$C,2,0)="Yes",$E578&gt;=VLOOKUP($D578,Merchantability!$B:$D,3,0),$E578&lt;=VLOOKUP($D578,Merchantability!$B:$E,4,0)),AB578,0)</f>
        <v>#N/A</v>
      </c>
      <c r="AH578" s="104" t="e">
        <f>IF(AND(VLOOKUP($D578,Merchantability!$B:$C,2,0)="Yes",$E578&gt;=VLOOKUP($D578,Merchantability!$B:$D,3,0),$E578&lt;=VLOOKUP($D578,Merchantability!$B:$E,4,0)),AC578,0)</f>
        <v>#N/A</v>
      </c>
      <c r="AI578" s="104" t="e">
        <f t="shared" si="276"/>
        <v>#N/A</v>
      </c>
      <c r="AJ578" s="104" t="e">
        <f t="shared" si="277"/>
        <v>#VALUE!</v>
      </c>
      <c r="AK578" s="104" t="e">
        <f t="shared" si="278"/>
        <v>#N/A</v>
      </c>
      <c r="AL578" s="104" t="e">
        <f t="shared" si="279"/>
        <v>#N/A</v>
      </c>
      <c r="AM578" s="104" t="e">
        <f t="shared" si="280"/>
        <v>#N/A</v>
      </c>
      <c r="AN578" s="104" t="e">
        <f t="shared" si="264"/>
        <v>#N/A</v>
      </c>
      <c r="AO578" s="104" t="e">
        <f t="shared" si="265"/>
        <v>#N/A</v>
      </c>
      <c r="AP578" s="104" t="e">
        <f t="shared" si="266"/>
        <v>#N/A</v>
      </c>
      <c r="AQ578" s="104" t="e">
        <f t="shared" si="267"/>
        <v>#N/A</v>
      </c>
      <c r="AR578" s="105" t="str">
        <f t="shared" ref="AR578:AR641" si="286">IF(ISNUMBER(O578),IF(Y578&gt;0,((Y578*(E578^2*0.005454-0.087266))/0.912733),0),"")</f>
        <v/>
      </c>
      <c r="AS578" s="105" t="str">
        <f t="shared" ref="AS578:AS641" si="287">IF(ISNUMBER(O578),AR578*(0.993-0.993*(0.62^(E578-6))),"")</f>
        <v/>
      </c>
      <c r="AT578" s="108" t="str">
        <f t="shared" ref="AT578:AT641" si="288">IF(ISNUMBER(O578),IF(AS578&gt;0,IF(Y578&gt;0,(AS578*10^(0.174439+0.117594*(LOG(E578,10))*(LOG(Y578/0.912733,10))-8.210585/E578^2+0.236693*(LOG(Y578/0.912733,10))-0.00001345*(Y578/0.912733)^2-0.00001937*E578^2)),0),0),"")</f>
        <v/>
      </c>
      <c r="AU578" s="108" t="str">
        <f t="shared" ref="AU578:AU641" si="289">IF(ISNUMBER(O578),IF(AS578&gt;0,IF(Y578&gt;0,AT578*(1.001491-(6.92497/Y578)+(0.00001351*(E578^2))),0),0),"")</f>
        <v/>
      </c>
      <c r="AV578" s="107" t="str">
        <f>IF(ISNUMBER(O578),IF(VLOOKUP($A578,Stand!C:J,8,FALSE)="Short",AT578,AU578),"")</f>
        <v/>
      </c>
      <c r="AW578" s="109" t="str">
        <f t="shared" si="268"/>
        <v/>
      </c>
      <c r="AX578" s="109" t="str">
        <f t="shared" si="269"/>
        <v/>
      </c>
      <c r="AY578" s="112" t="str">
        <f>IF(ISNUMBER(O578),IF(AND(VLOOKUP($D578,Merchantability!$B:$C,2,0)="Yes",$E578&gt;=VLOOKUP($D578,Merchantability!$B:$D,3,0),$E578&lt;=VLOOKUP($D578,Merchantability!$B:$E,4,0)),(AV578*O578)*(1-$H578/100),""),"")</f>
        <v/>
      </c>
      <c r="AZ578" s="116"/>
      <c r="BA578" s="116"/>
      <c r="BB578" s="116"/>
      <c r="BE578" s="62"/>
      <c r="BF578" s="63"/>
    </row>
    <row r="579" spans="1:58" ht="12.75" customHeight="1" x14ac:dyDescent="0.25">
      <c r="A579" s="313"/>
      <c r="B579" s="328"/>
      <c r="C579" s="329"/>
      <c r="D579" s="328"/>
      <c r="E579" s="330"/>
      <c r="F579" s="328"/>
      <c r="G579" s="329"/>
      <c r="H579" s="329"/>
      <c r="I579" s="328"/>
      <c r="J579" s="383"/>
      <c r="K579" s="329"/>
      <c r="L579" s="329"/>
      <c r="M579" s="78"/>
      <c r="N579" s="103" t="str">
        <f>IF(A579="","",VLOOKUP(A579,Stand!C:K,9,0))</f>
        <v/>
      </c>
      <c r="O579" s="104" t="str">
        <f t="shared" si="281"/>
        <v/>
      </c>
      <c r="P579" s="105" t="str">
        <f t="shared" si="282"/>
        <v/>
      </c>
      <c r="Q579" s="105" t="str">
        <f t="shared" si="270"/>
        <v/>
      </c>
      <c r="R579" s="103" t="str">
        <f t="shared" si="283"/>
        <v/>
      </c>
      <c r="S579" s="103" t="str">
        <f t="shared" si="284"/>
        <v/>
      </c>
      <c r="T579" s="106" t="str">
        <f t="shared" si="271"/>
        <v/>
      </c>
      <c r="U579" s="106" t="str">
        <f t="shared" si="272"/>
        <v/>
      </c>
      <c r="V579" s="106" t="str">
        <f t="shared" si="273"/>
        <v/>
      </c>
      <c r="W579" s="105" t="str">
        <f t="shared" si="285"/>
        <v/>
      </c>
      <c r="X579" s="104" t="str">
        <f t="shared" ref="X579:X642" si="290">IF(ISNUMBER(O579),IF(I579&gt;0,IF(E579&gt;0,(0.912733*Z579)/(1.033*(1+1.382937*EXP(-4.015292*E579/10))*((E579^2)*0.005454+0.087266)-0.174533),""),""),"")</f>
        <v/>
      </c>
      <c r="Y579" s="104" t="str">
        <f t="array" ref="Y579">IFERROR(IF(ISNUMBER(O579),IF(COUNT(IF(A579=$A$2:$A$2427,IF(D579=$D$2:$D$2427,IF($X$2:$X$2427&gt;0,1))))&gt;0,SUM(IF(A579=$A$2:$A$2427,IF(D579=$D$2:$D$2427,$X$2:$X$2427)))/COUNT(IF(A579=$A$2:$A$2427,IF(D579=$D$2:$D$2427,IF(ISNUMBER($X$2:$X$2427),1)))),0),""),0)</f>
        <v/>
      </c>
      <c r="Z579" s="104" t="str">
        <f>IF(ISNUMBER(O579),IF(I579&gt;0,(10^(VLOOKUP(D579,'Species Codes'!B:C,2,0)+VLOOKUP(D579,'Species Codes'!B:D,3,0)*LOG(E579)+VLOOKUP(D579,'Species Codes'!B:E,4,0)*LOG(I579))),0),"")</f>
        <v/>
      </c>
      <c r="AA579" s="104" t="str">
        <f>IFERROR((VLOOKUP(D579,'Species Codes'!B:G,6,0)*Z579)/2000,"")</f>
        <v/>
      </c>
      <c r="AB579" s="104" t="e">
        <f>IF(Z579&gt;0,((IF(OR(D579="DF",D579="RA")=TRUE,EXP(VLOOKUP(D579,'Species Codes'!B:I,8,0)+VLOOKUP(D579,'Species Codes'!B:J,9,0)*(LN((E579*2.54)))),IF(OR(D579="PY",D579="RC",D579="WH",D579="NF")=TRUE,VLOOKUP(D579,'Species Codes'!B:I,8,0)+VLOOKUP(D579,'Species Codes'!B:J,9,0)*((E579*2.54)^2)*(I579*0.3048),IF(OR(D579="MD",D579="BM",D579="GA")=TRUE,((VLOOKUP(D579,'Species Codes'!B:I,8,0)*(((((E579*2.54)+VLOOKUP(D579,'Species Codes'!B:J,9,0))/VLOOKUP(D579,'Species Codes'!B:K,10,0))^VLOOKUP(D579,'Species Codes'!B:L,11,0))*((I579*0.3048)^VLOOKUP(D579,'Species Codes'!B:M,12,0))))-(VLOOKUP(D579,'Species Codes'!B:I,8,0)*((((E579*2.54)^VLOOKUP(D579,'Species Codes'!B:L,11,0))*((I579*0.3048)^VLOOKUP(D579,'Species Codes'!B:M,12,0))))))*35.3*VLOOKUP(D579,'Species Codes'!B:G,6,0)/2.2046,VLOOKUP(D579,'Species Codes'!B:I,8,0)+VLOOKUP(D579,'Species Codes'!B:J,9,0)*(((E579*2.54)/100)^2)*(I579*0.3048)))))*0.0011023),0)</f>
        <v>#N/A</v>
      </c>
      <c r="AC579" s="104" t="e">
        <f>IF(Z579&gt;0,((IF(OR(D579="RA",D579="OA",D579="OT",D579="UN",D579="PC"),EXP(VLOOKUP(D579,'Species Codes'!B:O,14,0)+VLOOKUP(D579,'Species Codes'!B:P,15,0)*LN((E579*2.54)))-EXP(VLOOKUP(D579,'Species Codes'!B:O,14,0)+VLOOKUP(D579,'Species Codes'!B:P,15,0)*LN((E579*2.54)))*(1/(VLOOKUP(D579,'Species Codes'!B:Q,16,0)+VLOOKUP(D579,'Species Codes'!B:R,17,0)*((E579*2.54)^VLOOKUP(D579,'Species Codes'!B:S,18,0)))),IF(OR(D579="BM",D579="MD",D579="OA"),EXP(VLOOKUP(D579,'Species Codes'!B:O,14,0)+VLOOKUP(D579,'Species Codes'!B:P,15,0)*LN((E579*2.54)))*(1-(1/(VLOOKUP(D579,'Species Codes'!B:Q,16,0)+VLOOKUP(D579,'Species Codes'!B:R,17,0)*((E579*2.54)^VLOOKUP(D579,'Species Codes'!B:S,18,0)))))/1000,IF(D579="DF",EXP(VLOOKUP(D579,'Species Codes'!B:O,14,0)+VLOOKUP(D579,'Species Codes'!B:P,15,0)*LN((E579*2.54))),VLOOKUP(D579,'Species Codes'!B:O,14,0)+VLOOKUP(D579,'Species Codes'!B:P,15,0)*(((E579*2.54)/100)^2)*(I579*0.3048)))))*0.0011023),0)</f>
        <v>#N/A</v>
      </c>
      <c r="AD579" s="104" t="e">
        <f t="shared" si="274"/>
        <v>#N/A</v>
      </c>
      <c r="AE579" s="104" t="e">
        <f t="shared" si="275"/>
        <v>#N/A</v>
      </c>
      <c r="AF579" s="104" t="e">
        <f>IF(AND(VLOOKUP($D579,Merchantability!$B:$C,2,0)="Yes",$E579&gt;=VLOOKUP($D579,Merchantability!$B:$D,3,0),$E579&lt;=VLOOKUP($D579,Merchantability!$B:$E,4,0)),AA579,0)</f>
        <v>#N/A</v>
      </c>
      <c r="AG579" s="104" t="e">
        <f>IF(AND(VLOOKUP($D579,Merchantability!$B:$C,2,0)="Yes",$E579&gt;=VLOOKUP($D579,Merchantability!$B:$D,3,0),$E579&lt;=VLOOKUP($D579,Merchantability!$B:$E,4,0)),AB579,0)</f>
        <v>#N/A</v>
      </c>
      <c r="AH579" s="104" t="e">
        <f>IF(AND(VLOOKUP($D579,Merchantability!$B:$C,2,0)="Yes",$E579&gt;=VLOOKUP($D579,Merchantability!$B:$D,3,0),$E579&lt;=VLOOKUP($D579,Merchantability!$B:$E,4,0)),AC579,0)</f>
        <v>#N/A</v>
      </c>
      <c r="AI579" s="104" t="e">
        <f t="shared" si="276"/>
        <v>#N/A</v>
      </c>
      <c r="AJ579" s="104" t="e">
        <f t="shared" si="277"/>
        <v>#VALUE!</v>
      </c>
      <c r="AK579" s="104" t="e">
        <f t="shared" si="278"/>
        <v>#N/A</v>
      </c>
      <c r="AL579" s="104" t="e">
        <f t="shared" si="279"/>
        <v>#N/A</v>
      </c>
      <c r="AM579" s="104" t="e">
        <f t="shared" si="280"/>
        <v>#N/A</v>
      </c>
      <c r="AN579" s="104" t="e">
        <f t="shared" ref="AN579:AN642" si="291">AF579*$O579</f>
        <v>#N/A</v>
      </c>
      <c r="AO579" s="104" t="e">
        <f t="shared" ref="AO579:AO642" si="292">AG579*$O579</f>
        <v>#N/A</v>
      </c>
      <c r="AP579" s="104" t="e">
        <f t="shared" ref="AP579:AP642" si="293">AH579*$O579</f>
        <v>#N/A</v>
      </c>
      <c r="AQ579" s="104" t="e">
        <f t="shared" ref="AQ579:AQ642" si="294">SUM(AN579:AP579)</f>
        <v>#N/A</v>
      </c>
      <c r="AR579" s="105" t="str">
        <f t="shared" si="286"/>
        <v/>
      </c>
      <c r="AS579" s="105" t="str">
        <f t="shared" si="287"/>
        <v/>
      </c>
      <c r="AT579" s="108" t="str">
        <f t="shared" si="288"/>
        <v/>
      </c>
      <c r="AU579" s="108" t="str">
        <f t="shared" si="289"/>
        <v/>
      </c>
      <c r="AV579" s="107" t="str">
        <f>IF(ISNUMBER(O579),IF(VLOOKUP($A579,Stand!C:J,8,FALSE)="Short",AT579,AU579),"")</f>
        <v/>
      </c>
      <c r="AW579" s="109" t="str">
        <f t="shared" ref="AW579:AW642" si="295">IF(ISNUMBER(O579),AV579*O579,"")</f>
        <v/>
      </c>
      <c r="AX579" s="109" t="str">
        <f t="shared" ref="AX579:AX642" si="296">IF(ISNUMBER(O579),AW579*(1-$H579/100),"")</f>
        <v/>
      </c>
      <c r="AY579" s="112" t="str">
        <f>IF(ISNUMBER(O579),IF(AND(VLOOKUP($D579,Merchantability!$B:$C,2,0)="Yes",$E579&gt;=VLOOKUP($D579,Merchantability!$B:$D,3,0),$E579&lt;=VLOOKUP($D579,Merchantability!$B:$E,4,0)),(AV579*O579)*(1-$H579/100),""),"")</f>
        <v/>
      </c>
      <c r="AZ579" s="116"/>
      <c r="BA579" s="116"/>
      <c r="BB579" s="116"/>
      <c r="BE579" s="62"/>
      <c r="BF579" s="63"/>
    </row>
    <row r="580" spans="1:58" ht="12.75" customHeight="1" x14ac:dyDescent="0.25">
      <c r="A580" s="313"/>
      <c r="B580" s="328"/>
      <c r="C580" s="329"/>
      <c r="D580" s="328"/>
      <c r="E580" s="330"/>
      <c r="F580" s="328"/>
      <c r="G580" s="329"/>
      <c r="H580" s="329"/>
      <c r="I580" s="328"/>
      <c r="J580" s="383"/>
      <c r="K580" s="329"/>
      <c r="L580" s="329"/>
      <c r="M580" s="78"/>
      <c r="N580" s="103" t="str">
        <f>IF(A580="","",VLOOKUP(A580,Stand!C:K,9,0))</f>
        <v/>
      </c>
      <c r="O580" s="104" t="str">
        <f t="shared" si="281"/>
        <v/>
      </c>
      <c r="P580" s="105" t="str">
        <f t="shared" si="282"/>
        <v/>
      </c>
      <c r="Q580" s="105" t="str">
        <f t="shared" si="270"/>
        <v/>
      </c>
      <c r="R580" s="103" t="str">
        <f t="shared" si="283"/>
        <v/>
      </c>
      <c r="S580" s="103" t="str">
        <f t="shared" si="284"/>
        <v/>
      </c>
      <c r="T580" s="106" t="str">
        <f t="shared" si="271"/>
        <v/>
      </c>
      <c r="U580" s="106" t="str">
        <f t="shared" si="272"/>
        <v/>
      </c>
      <c r="V580" s="106" t="str">
        <f t="shared" si="273"/>
        <v/>
      </c>
      <c r="W580" s="105" t="str">
        <f t="shared" si="285"/>
        <v/>
      </c>
      <c r="X580" s="104" t="str">
        <f t="shared" si="290"/>
        <v/>
      </c>
      <c r="Y580" s="104" t="str">
        <f t="array" ref="Y580">IFERROR(IF(ISNUMBER(O580),IF(COUNT(IF(A580=$A$2:$A$2427,IF(D580=$D$2:$D$2427,IF($X$2:$X$2427&gt;0,1))))&gt;0,SUM(IF(A580=$A$2:$A$2427,IF(D580=$D$2:$D$2427,$X$2:$X$2427)))/COUNT(IF(A580=$A$2:$A$2427,IF(D580=$D$2:$D$2427,IF(ISNUMBER($X$2:$X$2427),1)))),0),""),0)</f>
        <v/>
      </c>
      <c r="Z580" s="104" t="str">
        <f>IF(ISNUMBER(O580),IF(I580&gt;0,(10^(VLOOKUP(D580,'Species Codes'!B:C,2,0)+VLOOKUP(D580,'Species Codes'!B:D,3,0)*LOG(E580)+VLOOKUP(D580,'Species Codes'!B:E,4,0)*LOG(I580))),0),"")</f>
        <v/>
      </c>
      <c r="AA580" s="104" t="str">
        <f>IFERROR((VLOOKUP(D580,'Species Codes'!B:G,6,0)*Z580)/2000,"")</f>
        <v/>
      </c>
      <c r="AB580" s="104" t="e">
        <f>IF(Z580&gt;0,((IF(OR(D580="DF",D580="RA")=TRUE,EXP(VLOOKUP(D580,'Species Codes'!B:I,8,0)+VLOOKUP(D580,'Species Codes'!B:J,9,0)*(LN((E580*2.54)))),IF(OR(D580="PY",D580="RC",D580="WH",D580="NF")=TRUE,VLOOKUP(D580,'Species Codes'!B:I,8,0)+VLOOKUP(D580,'Species Codes'!B:J,9,0)*((E580*2.54)^2)*(I580*0.3048),IF(OR(D580="MD",D580="BM",D580="GA")=TRUE,((VLOOKUP(D580,'Species Codes'!B:I,8,0)*(((((E580*2.54)+VLOOKUP(D580,'Species Codes'!B:J,9,0))/VLOOKUP(D580,'Species Codes'!B:K,10,0))^VLOOKUP(D580,'Species Codes'!B:L,11,0))*((I580*0.3048)^VLOOKUP(D580,'Species Codes'!B:M,12,0))))-(VLOOKUP(D580,'Species Codes'!B:I,8,0)*((((E580*2.54)^VLOOKUP(D580,'Species Codes'!B:L,11,0))*((I580*0.3048)^VLOOKUP(D580,'Species Codes'!B:M,12,0))))))*35.3*VLOOKUP(D580,'Species Codes'!B:G,6,0)/2.2046,VLOOKUP(D580,'Species Codes'!B:I,8,0)+VLOOKUP(D580,'Species Codes'!B:J,9,0)*(((E580*2.54)/100)^2)*(I580*0.3048)))))*0.0011023),0)</f>
        <v>#N/A</v>
      </c>
      <c r="AC580" s="104" t="e">
        <f>IF(Z580&gt;0,((IF(OR(D580="RA",D580="OA",D580="OT",D580="UN",D580="PC"),EXP(VLOOKUP(D580,'Species Codes'!B:O,14,0)+VLOOKUP(D580,'Species Codes'!B:P,15,0)*LN((E580*2.54)))-EXP(VLOOKUP(D580,'Species Codes'!B:O,14,0)+VLOOKUP(D580,'Species Codes'!B:P,15,0)*LN((E580*2.54)))*(1/(VLOOKUP(D580,'Species Codes'!B:Q,16,0)+VLOOKUP(D580,'Species Codes'!B:R,17,0)*((E580*2.54)^VLOOKUP(D580,'Species Codes'!B:S,18,0)))),IF(OR(D580="BM",D580="MD",D580="OA"),EXP(VLOOKUP(D580,'Species Codes'!B:O,14,0)+VLOOKUP(D580,'Species Codes'!B:P,15,0)*LN((E580*2.54)))*(1-(1/(VLOOKUP(D580,'Species Codes'!B:Q,16,0)+VLOOKUP(D580,'Species Codes'!B:R,17,0)*((E580*2.54)^VLOOKUP(D580,'Species Codes'!B:S,18,0)))))/1000,IF(D580="DF",EXP(VLOOKUP(D580,'Species Codes'!B:O,14,0)+VLOOKUP(D580,'Species Codes'!B:P,15,0)*LN((E580*2.54))),VLOOKUP(D580,'Species Codes'!B:O,14,0)+VLOOKUP(D580,'Species Codes'!B:P,15,0)*(((E580*2.54)/100)^2)*(I580*0.3048)))))*0.0011023),0)</f>
        <v>#N/A</v>
      </c>
      <c r="AD580" s="104" t="e">
        <f t="shared" si="274"/>
        <v>#N/A</v>
      </c>
      <c r="AE580" s="104" t="e">
        <f t="shared" si="275"/>
        <v>#N/A</v>
      </c>
      <c r="AF580" s="104" t="e">
        <f>IF(AND(VLOOKUP($D580,Merchantability!$B:$C,2,0)="Yes",$E580&gt;=VLOOKUP($D580,Merchantability!$B:$D,3,0),$E580&lt;=VLOOKUP($D580,Merchantability!$B:$E,4,0)),AA580,0)</f>
        <v>#N/A</v>
      </c>
      <c r="AG580" s="104" t="e">
        <f>IF(AND(VLOOKUP($D580,Merchantability!$B:$C,2,0)="Yes",$E580&gt;=VLOOKUP($D580,Merchantability!$B:$D,3,0),$E580&lt;=VLOOKUP($D580,Merchantability!$B:$E,4,0)),AB580,0)</f>
        <v>#N/A</v>
      </c>
      <c r="AH580" s="104" t="e">
        <f>IF(AND(VLOOKUP($D580,Merchantability!$B:$C,2,0)="Yes",$E580&gt;=VLOOKUP($D580,Merchantability!$B:$D,3,0),$E580&lt;=VLOOKUP($D580,Merchantability!$B:$E,4,0)),AC580,0)</f>
        <v>#N/A</v>
      </c>
      <c r="AI580" s="104" t="e">
        <f t="shared" si="276"/>
        <v>#N/A</v>
      </c>
      <c r="AJ580" s="104" t="e">
        <f t="shared" si="277"/>
        <v>#VALUE!</v>
      </c>
      <c r="AK580" s="104" t="e">
        <f t="shared" si="278"/>
        <v>#N/A</v>
      </c>
      <c r="AL580" s="104" t="e">
        <f t="shared" si="279"/>
        <v>#N/A</v>
      </c>
      <c r="AM580" s="104" t="e">
        <f t="shared" si="280"/>
        <v>#N/A</v>
      </c>
      <c r="AN580" s="104" t="e">
        <f t="shared" si="291"/>
        <v>#N/A</v>
      </c>
      <c r="AO580" s="104" t="e">
        <f t="shared" si="292"/>
        <v>#N/A</v>
      </c>
      <c r="AP580" s="104" t="e">
        <f t="shared" si="293"/>
        <v>#N/A</v>
      </c>
      <c r="AQ580" s="104" t="e">
        <f t="shared" si="294"/>
        <v>#N/A</v>
      </c>
      <c r="AR580" s="105" t="str">
        <f t="shared" si="286"/>
        <v/>
      </c>
      <c r="AS580" s="105" t="str">
        <f t="shared" si="287"/>
        <v/>
      </c>
      <c r="AT580" s="108" t="str">
        <f t="shared" si="288"/>
        <v/>
      </c>
      <c r="AU580" s="108" t="str">
        <f t="shared" si="289"/>
        <v/>
      </c>
      <c r="AV580" s="107" t="str">
        <f>IF(ISNUMBER(O580),IF(VLOOKUP($A580,Stand!C:J,8,FALSE)="Short",AT580,AU580),"")</f>
        <v/>
      </c>
      <c r="AW580" s="109" t="str">
        <f t="shared" si="295"/>
        <v/>
      </c>
      <c r="AX580" s="109" t="str">
        <f t="shared" si="296"/>
        <v/>
      </c>
      <c r="AY580" s="112" t="str">
        <f>IF(ISNUMBER(O580),IF(AND(VLOOKUP($D580,Merchantability!$B:$C,2,0)="Yes",$E580&gt;=VLOOKUP($D580,Merchantability!$B:$D,3,0),$E580&lt;=VLOOKUP($D580,Merchantability!$B:$E,4,0)),(AV580*O580)*(1-$H580/100),""),"")</f>
        <v/>
      </c>
      <c r="AZ580" s="116"/>
      <c r="BA580" s="116"/>
      <c r="BB580" s="116"/>
      <c r="BE580" s="62"/>
      <c r="BF580" s="63"/>
    </row>
    <row r="581" spans="1:58" ht="12.75" customHeight="1" x14ac:dyDescent="0.25">
      <c r="A581" s="313"/>
      <c r="B581" s="328"/>
      <c r="C581" s="329"/>
      <c r="D581" s="328"/>
      <c r="E581" s="330"/>
      <c r="F581" s="328"/>
      <c r="G581" s="329"/>
      <c r="H581" s="329"/>
      <c r="I581" s="328"/>
      <c r="J581" s="383"/>
      <c r="K581" s="329"/>
      <c r="L581" s="329"/>
      <c r="M581" s="78"/>
      <c r="N581" s="103" t="str">
        <f>IF(A581="","",VLOOKUP(A581,Stand!C:K,9,0))</f>
        <v/>
      </c>
      <c r="O581" s="104" t="str">
        <f t="shared" si="281"/>
        <v/>
      </c>
      <c r="P581" s="105" t="str">
        <f t="shared" si="282"/>
        <v/>
      </c>
      <c r="Q581" s="105" t="str">
        <f t="shared" si="270"/>
        <v/>
      </c>
      <c r="R581" s="103" t="str">
        <f t="shared" si="283"/>
        <v/>
      </c>
      <c r="S581" s="103" t="str">
        <f t="shared" si="284"/>
        <v/>
      </c>
      <c r="T581" s="106" t="str">
        <f t="shared" si="271"/>
        <v/>
      </c>
      <c r="U581" s="106" t="str">
        <f t="shared" si="272"/>
        <v/>
      </c>
      <c r="V581" s="106" t="str">
        <f t="shared" si="273"/>
        <v/>
      </c>
      <c r="W581" s="105" t="str">
        <f t="shared" si="285"/>
        <v/>
      </c>
      <c r="X581" s="104" t="str">
        <f t="shared" si="290"/>
        <v/>
      </c>
      <c r="Y581" s="104" t="str">
        <f t="array" ref="Y581">IFERROR(IF(ISNUMBER(O581),IF(COUNT(IF(A581=$A$2:$A$2427,IF(D581=$D$2:$D$2427,IF($X$2:$X$2427&gt;0,1))))&gt;0,SUM(IF(A581=$A$2:$A$2427,IF(D581=$D$2:$D$2427,$X$2:$X$2427)))/COUNT(IF(A581=$A$2:$A$2427,IF(D581=$D$2:$D$2427,IF(ISNUMBER($X$2:$X$2427),1)))),0),""),0)</f>
        <v/>
      </c>
      <c r="Z581" s="104" t="str">
        <f>IF(ISNUMBER(O581),IF(I581&gt;0,(10^(VLOOKUP(D581,'Species Codes'!B:C,2,0)+VLOOKUP(D581,'Species Codes'!B:D,3,0)*LOG(E581)+VLOOKUP(D581,'Species Codes'!B:E,4,0)*LOG(I581))),0),"")</f>
        <v/>
      </c>
      <c r="AA581" s="104" t="str">
        <f>IFERROR((VLOOKUP(D581,'Species Codes'!B:G,6,0)*Z581)/2000,"")</f>
        <v/>
      </c>
      <c r="AB581" s="104" t="e">
        <f>IF(Z581&gt;0,((IF(OR(D581="DF",D581="RA")=TRUE,EXP(VLOOKUP(D581,'Species Codes'!B:I,8,0)+VLOOKUP(D581,'Species Codes'!B:J,9,0)*(LN((E581*2.54)))),IF(OR(D581="PY",D581="RC",D581="WH",D581="NF")=TRUE,VLOOKUP(D581,'Species Codes'!B:I,8,0)+VLOOKUP(D581,'Species Codes'!B:J,9,0)*((E581*2.54)^2)*(I581*0.3048),IF(OR(D581="MD",D581="BM",D581="GA")=TRUE,((VLOOKUP(D581,'Species Codes'!B:I,8,0)*(((((E581*2.54)+VLOOKUP(D581,'Species Codes'!B:J,9,0))/VLOOKUP(D581,'Species Codes'!B:K,10,0))^VLOOKUP(D581,'Species Codes'!B:L,11,0))*((I581*0.3048)^VLOOKUP(D581,'Species Codes'!B:M,12,0))))-(VLOOKUP(D581,'Species Codes'!B:I,8,0)*((((E581*2.54)^VLOOKUP(D581,'Species Codes'!B:L,11,0))*((I581*0.3048)^VLOOKUP(D581,'Species Codes'!B:M,12,0))))))*35.3*VLOOKUP(D581,'Species Codes'!B:G,6,0)/2.2046,VLOOKUP(D581,'Species Codes'!B:I,8,0)+VLOOKUP(D581,'Species Codes'!B:J,9,0)*(((E581*2.54)/100)^2)*(I581*0.3048)))))*0.0011023),0)</f>
        <v>#N/A</v>
      </c>
      <c r="AC581" s="104" t="e">
        <f>IF(Z581&gt;0,((IF(OR(D581="RA",D581="OA",D581="OT",D581="UN",D581="PC"),EXP(VLOOKUP(D581,'Species Codes'!B:O,14,0)+VLOOKUP(D581,'Species Codes'!B:P,15,0)*LN((E581*2.54)))-EXP(VLOOKUP(D581,'Species Codes'!B:O,14,0)+VLOOKUP(D581,'Species Codes'!B:P,15,0)*LN((E581*2.54)))*(1/(VLOOKUP(D581,'Species Codes'!B:Q,16,0)+VLOOKUP(D581,'Species Codes'!B:R,17,0)*((E581*2.54)^VLOOKUP(D581,'Species Codes'!B:S,18,0)))),IF(OR(D581="BM",D581="MD",D581="OA"),EXP(VLOOKUP(D581,'Species Codes'!B:O,14,0)+VLOOKUP(D581,'Species Codes'!B:P,15,0)*LN((E581*2.54)))*(1-(1/(VLOOKUP(D581,'Species Codes'!B:Q,16,0)+VLOOKUP(D581,'Species Codes'!B:R,17,0)*((E581*2.54)^VLOOKUP(D581,'Species Codes'!B:S,18,0)))))/1000,IF(D581="DF",EXP(VLOOKUP(D581,'Species Codes'!B:O,14,0)+VLOOKUP(D581,'Species Codes'!B:P,15,0)*LN((E581*2.54))),VLOOKUP(D581,'Species Codes'!B:O,14,0)+VLOOKUP(D581,'Species Codes'!B:P,15,0)*(((E581*2.54)/100)^2)*(I581*0.3048)))))*0.0011023),0)</f>
        <v>#N/A</v>
      </c>
      <c r="AD581" s="104" t="e">
        <f t="shared" si="274"/>
        <v>#N/A</v>
      </c>
      <c r="AE581" s="104" t="e">
        <f t="shared" si="275"/>
        <v>#N/A</v>
      </c>
      <c r="AF581" s="104" t="e">
        <f>IF(AND(VLOOKUP($D581,Merchantability!$B:$C,2,0)="Yes",$E581&gt;=VLOOKUP($D581,Merchantability!$B:$D,3,0),$E581&lt;=VLOOKUP($D581,Merchantability!$B:$E,4,0)),AA581,0)</f>
        <v>#N/A</v>
      </c>
      <c r="AG581" s="104" t="e">
        <f>IF(AND(VLOOKUP($D581,Merchantability!$B:$C,2,0)="Yes",$E581&gt;=VLOOKUP($D581,Merchantability!$B:$D,3,0),$E581&lt;=VLOOKUP($D581,Merchantability!$B:$E,4,0)),AB581,0)</f>
        <v>#N/A</v>
      </c>
      <c r="AH581" s="104" t="e">
        <f>IF(AND(VLOOKUP($D581,Merchantability!$B:$C,2,0)="Yes",$E581&gt;=VLOOKUP($D581,Merchantability!$B:$D,3,0),$E581&lt;=VLOOKUP($D581,Merchantability!$B:$E,4,0)),AC581,0)</f>
        <v>#N/A</v>
      </c>
      <c r="AI581" s="104" t="e">
        <f t="shared" si="276"/>
        <v>#N/A</v>
      </c>
      <c r="AJ581" s="104" t="e">
        <f t="shared" si="277"/>
        <v>#VALUE!</v>
      </c>
      <c r="AK581" s="104" t="e">
        <f t="shared" si="278"/>
        <v>#N/A</v>
      </c>
      <c r="AL581" s="104" t="e">
        <f t="shared" si="279"/>
        <v>#N/A</v>
      </c>
      <c r="AM581" s="104" t="e">
        <f t="shared" si="280"/>
        <v>#N/A</v>
      </c>
      <c r="AN581" s="104" t="e">
        <f t="shared" si="291"/>
        <v>#N/A</v>
      </c>
      <c r="AO581" s="104" t="e">
        <f t="shared" si="292"/>
        <v>#N/A</v>
      </c>
      <c r="AP581" s="104" t="e">
        <f t="shared" si="293"/>
        <v>#N/A</v>
      </c>
      <c r="AQ581" s="104" t="e">
        <f t="shared" si="294"/>
        <v>#N/A</v>
      </c>
      <c r="AR581" s="105" t="str">
        <f t="shared" si="286"/>
        <v/>
      </c>
      <c r="AS581" s="105" t="str">
        <f t="shared" si="287"/>
        <v/>
      </c>
      <c r="AT581" s="108" t="str">
        <f t="shared" si="288"/>
        <v/>
      </c>
      <c r="AU581" s="108" t="str">
        <f t="shared" si="289"/>
        <v/>
      </c>
      <c r="AV581" s="107" t="str">
        <f>IF(ISNUMBER(O581),IF(VLOOKUP($A581,Stand!C:J,8,FALSE)="Short",AT581,AU581),"")</f>
        <v/>
      </c>
      <c r="AW581" s="109" t="str">
        <f t="shared" si="295"/>
        <v/>
      </c>
      <c r="AX581" s="109" t="str">
        <f t="shared" si="296"/>
        <v/>
      </c>
      <c r="AY581" s="112" t="str">
        <f>IF(ISNUMBER(O581),IF(AND(VLOOKUP($D581,Merchantability!$B:$C,2,0)="Yes",$E581&gt;=VLOOKUP($D581,Merchantability!$B:$D,3,0),$E581&lt;=VLOOKUP($D581,Merchantability!$B:$E,4,0)),(AV581*O581)*(1-$H581/100),""),"")</f>
        <v/>
      </c>
      <c r="AZ581" s="116"/>
      <c r="BA581" s="116"/>
      <c r="BB581" s="116"/>
      <c r="BE581" s="62"/>
      <c r="BF581" s="63"/>
    </row>
    <row r="582" spans="1:58" ht="12.75" customHeight="1" x14ac:dyDescent="0.25">
      <c r="A582" s="313"/>
      <c r="B582" s="328"/>
      <c r="C582" s="329"/>
      <c r="D582" s="328"/>
      <c r="E582" s="330"/>
      <c r="F582" s="328"/>
      <c r="G582" s="329"/>
      <c r="H582" s="329"/>
      <c r="I582" s="328"/>
      <c r="J582" s="383"/>
      <c r="K582" s="329"/>
      <c r="L582" s="329"/>
      <c r="M582" s="78"/>
      <c r="N582" s="103" t="str">
        <f>IF(A582="","",VLOOKUP(A582,Stand!C:K,9,0))</f>
        <v/>
      </c>
      <c r="O582" s="104" t="str">
        <f t="shared" si="281"/>
        <v/>
      </c>
      <c r="P582" s="105" t="str">
        <f t="shared" si="282"/>
        <v/>
      </c>
      <c r="Q582" s="105" t="str">
        <f t="shared" si="270"/>
        <v/>
      </c>
      <c r="R582" s="103" t="str">
        <f t="shared" si="283"/>
        <v/>
      </c>
      <c r="S582" s="103" t="str">
        <f t="shared" si="284"/>
        <v/>
      </c>
      <c r="T582" s="106" t="str">
        <f t="shared" si="271"/>
        <v/>
      </c>
      <c r="U582" s="106" t="str">
        <f t="shared" si="272"/>
        <v/>
      </c>
      <c r="V582" s="106" t="str">
        <f t="shared" si="273"/>
        <v/>
      </c>
      <c r="W582" s="105" t="str">
        <f t="shared" si="285"/>
        <v/>
      </c>
      <c r="X582" s="104" t="str">
        <f t="shared" si="290"/>
        <v/>
      </c>
      <c r="Y582" s="104" t="str">
        <f t="array" ref="Y582">IFERROR(IF(ISNUMBER(O582),IF(COUNT(IF(A582=$A$2:$A$2427,IF(D582=$D$2:$D$2427,IF($X$2:$X$2427&gt;0,1))))&gt;0,SUM(IF(A582=$A$2:$A$2427,IF(D582=$D$2:$D$2427,$X$2:$X$2427)))/COUNT(IF(A582=$A$2:$A$2427,IF(D582=$D$2:$D$2427,IF(ISNUMBER($X$2:$X$2427),1)))),0),""),0)</f>
        <v/>
      </c>
      <c r="Z582" s="104" t="str">
        <f>IF(ISNUMBER(O582),IF(I582&gt;0,(10^(VLOOKUP(D582,'Species Codes'!B:C,2,0)+VLOOKUP(D582,'Species Codes'!B:D,3,0)*LOG(E582)+VLOOKUP(D582,'Species Codes'!B:E,4,0)*LOG(I582))),0),"")</f>
        <v/>
      </c>
      <c r="AA582" s="104" t="str">
        <f>IFERROR((VLOOKUP(D582,'Species Codes'!B:G,6,0)*Z582)/2000,"")</f>
        <v/>
      </c>
      <c r="AB582" s="104" t="e">
        <f>IF(Z582&gt;0,((IF(OR(D582="DF",D582="RA")=TRUE,EXP(VLOOKUP(D582,'Species Codes'!B:I,8,0)+VLOOKUP(D582,'Species Codes'!B:J,9,0)*(LN((E582*2.54)))),IF(OR(D582="PY",D582="RC",D582="WH",D582="NF")=TRUE,VLOOKUP(D582,'Species Codes'!B:I,8,0)+VLOOKUP(D582,'Species Codes'!B:J,9,0)*((E582*2.54)^2)*(I582*0.3048),IF(OR(D582="MD",D582="BM",D582="GA")=TRUE,((VLOOKUP(D582,'Species Codes'!B:I,8,0)*(((((E582*2.54)+VLOOKUP(D582,'Species Codes'!B:J,9,0))/VLOOKUP(D582,'Species Codes'!B:K,10,0))^VLOOKUP(D582,'Species Codes'!B:L,11,0))*((I582*0.3048)^VLOOKUP(D582,'Species Codes'!B:M,12,0))))-(VLOOKUP(D582,'Species Codes'!B:I,8,0)*((((E582*2.54)^VLOOKUP(D582,'Species Codes'!B:L,11,0))*((I582*0.3048)^VLOOKUP(D582,'Species Codes'!B:M,12,0))))))*35.3*VLOOKUP(D582,'Species Codes'!B:G,6,0)/2.2046,VLOOKUP(D582,'Species Codes'!B:I,8,0)+VLOOKUP(D582,'Species Codes'!B:J,9,0)*(((E582*2.54)/100)^2)*(I582*0.3048)))))*0.0011023),0)</f>
        <v>#N/A</v>
      </c>
      <c r="AC582" s="104" t="e">
        <f>IF(Z582&gt;0,((IF(OR(D582="RA",D582="OA",D582="OT",D582="UN",D582="PC"),EXP(VLOOKUP(D582,'Species Codes'!B:O,14,0)+VLOOKUP(D582,'Species Codes'!B:P,15,0)*LN((E582*2.54)))-EXP(VLOOKUP(D582,'Species Codes'!B:O,14,0)+VLOOKUP(D582,'Species Codes'!B:P,15,0)*LN((E582*2.54)))*(1/(VLOOKUP(D582,'Species Codes'!B:Q,16,0)+VLOOKUP(D582,'Species Codes'!B:R,17,0)*((E582*2.54)^VLOOKUP(D582,'Species Codes'!B:S,18,0)))),IF(OR(D582="BM",D582="MD",D582="OA"),EXP(VLOOKUP(D582,'Species Codes'!B:O,14,0)+VLOOKUP(D582,'Species Codes'!B:P,15,0)*LN((E582*2.54)))*(1-(1/(VLOOKUP(D582,'Species Codes'!B:Q,16,0)+VLOOKUP(D582,'Species Codes'!B:R,17,0)*((E582*2.54)^VLOOKUP(D582,'Species Codes'!B:S,18,0)))))/1000,IF(D582="DF",EXP(VLOOKUP(D582,'Species Codes'!B:O,14,0)+VLOOKUP(D582,'Species Codes'!B:P,15,0)*LN((E582*2.54))),VLOOKUP(D582,'Species Codes'!B:O,14,0)+VLOOKUP(D582,'Species Codes'!B:P,15,0)*(((E582*2.54)/100)^2)*(I582*0.3048)))))*0.0011023),0)</f>
        <v>#N/A</v>
      </c>
      <c r="AD582" s="104" t="e">
        <f t="shared" si="274"/>
        <v>#N/A</v>
      </c>
      <c r="AE582" s="104" t="e">
        <f t="shared" si="275"/>
        <v>#N/A</v>
      </c>
      <c r="AF582" s="104" t="e">
        <f>IF(AND(VLOOKUP($D582,Merchantability!$B:$C,2,0)="Yes",$E582&gt;=VLOOKUP($D582,Merchantability!$B:$D,3,0),$E582&lt;=VLOOKUP($D582,Merchantability!$B:$E,4,0)),AA582,0)</f>
        <v>#N/A</v>
      </c>
      <c r="AG582" s="104" t="e">
        <f>IF(AND(VLOOKUP($D582,Merchantability!$B:$C,2,0)="Yes",$E582&gt;=VLOOKUP($D582,Merchantability!$B:$D,3,0),$E582&lt;=VLOOKUP($D582,Merchantability!$B:$E,4,0)),AB582,0)</f>
        <v>#N/A</v>
      </c>
      <c r="AH582" s="104" t="e">
        <f>IF(AND(VLOOKUP($D582,Merchantability!$B:$C,2,0)="Yes",$E582&gt;=VLOOKUP($D582,Merchantability!$B:$D,3,0),$E582&lt;=VLOOKUP($D582,Merchantability!$B:$E,4,0)),AC582,0)</f>
        <v>#N/A</v>
      </c>
      <c r="AI582" s="104" t="e">
        <f t="shared" si="276"/>
        <v>#N/A</v>
      </c>
      <c r="AJ582" s="104" t="e">
        <f t="shared" si="277"/>
        <v>#VALUE!</v>
      </c>
      <c r="AK582" s="104" t="e">
        <f t="shared" si="278"/>
        <v>#N/A</v>
      </c>
      <c r="AL582" s="104" t="e">
        <f t="shared" si="279"/>
        <v>#N/A</v>
      </c>
      <c r="AM582" s="104" t="e">
        <f t="shared" si="280"/>
        <v>#N/A</v>
      </c>
      <c r="AN582" s="104" t="e">
        <f t="shared" si="291"/>
        <v>#N/A</v>
      </c>
      <c r="AO582" s="104" t="e">
        <f t="shared" si="292"/>
        <v>#N/A</v>
      </c>
      <c r="AP582" s="104" t="e">
        <f t="shared" si="293"/>
        <v>#N/A</v>
      </c>
      <c r="AQ582" s="104" t="e">
        <f t="shared" si="294"/>
        <v>#N/A</v>
      </c>
      <c r="AR582" s="105" t="str">
        <f t="shared" si="286"/>
        <v/>
      </c>
      <c r="AS582" s="105" t="str">
        <f t="shared" si="287"/>
        <v/>
      </c>
      <c r="AT582" s="108" t="str">
        <f t="shared" si="288"/>
        <v/>
      </c>
      <c r="AU582" s="108" t="str">
        <f t="shared" si="289"/>
        <v/>
      </c>
      <c r="AV582" s="107" t="str">
        <f>IF(ISNUMBER(O582),IF(VLOOKUP($A582,Stand!C:J,8,FALSE)="Short",AT582,AU582),"")</f>
        <v/>
      </c>
      <c r="AW582" s="109" t="str">
        <f t="shared" si="295"/>
        <v/>
      </c>
      <c r="AX582" s="109" t="str">
        <f t="shared" si="296"/>
        <v/>
      </c>
      <c r="AY582" s="112" t="str">
        <f>IF(ISNUMBER(O582),IF(AND(VLOOKUP($D582,Merchantability!$B:$C,2,0)="Yes",$E582&gt;=VLOOKUP($D582,Merchantability!$B:$D,3,0),$E582&lt;=VLOOKUP($D582,Merchantability!$B:$E,4,0)),(AV582*O582)*(1-$H582/100),""),"")</f>
        <v/>
      </c>
      <c r="AZ582" s="116"/>
      <c r="BA582" s="116"/>
      <c r="BB582" s="116"/>
      <c r="BE582" s="62"/>
      <c r="BF582" s="63"/>
    </row>
    <row r="583" spans="1:58" ht="12.75" customHeight="1" x14ac:dyDescent="0.25">
      <c r="A583" s="313"/>
      <c r="B583" s="328"/>
      <c r="C583" s="329"/>
      <c r="D583" s="328"/>
      <c r="E583" s="330"/>
      <c r="F583" s="328"/>
      <c r="G583" s="329"/>
      <c r="H583" s="329"/>
      <c r="I583" s="328"/>
      <c r="J583" s="383"/>
      <c r="K583" s="329"/>
      <c r="L583" s="329"/>
      <c r="M583" s="78"/>
      <c r="N583" s="103" t="str">
        <f>IF(A583="","",VLOOKUP(A583,Stand!C:K,9,0))</f>
        <v/>
      </c>
      <c r="O583" s="104" t="str">
        <f t="shared" si="281"/>
        <v/>
      </c>
      <c r="P583" s="105" t="str">
        <f t="shared" si="282"/>
        <v/>
      </c>
      <c r="Q583" s="105" t="str">
        <f t="shared" si="270"/>
        <v/>
      </c>
      <c r="R583" s="103" t="str">
        <f t="shared" si="283"/>
        <v/>
      </c>
      <c r="S583" s="103" t="str">
        <f t="shared" si="284"/>
        <v/>
      </c>
      <c r="T583" s="106" t="str">
        <f t="shared" si="271"/>
        <v/>
      </c>
      <c r="U583" s="106" t="str">
        <f t="shared" si="272"/>
        <v/>
      </c>
      <c r="V583" s="106" t="str">
        <f t="shared" si="273"/>
        <v/>
      </c>
      <c r="W583" s="105" t="str">
        <f t="shared" si="285"/>
        <v/>
      </c>
      <c r="X583" s="104" t="str">
        <f t="shared" si="290"/>
        <v/>
      </c>
      <c r="Y583" s="104" t="str">
        <f t="array" ref="Y583">IFERROR(IF(ISNUMBER(O583),IF(COUNT(IF(A583=$A$2:$A$2427,IF(D583=$D$2:$D$2427,IF($X$2:$X$2427&gt;0,1))))&gt;0,SUM(IF(A583=$A$2:$A$2427,IF(D583=$D$2:$D$2427,$X$2:$X$2427)))/COUNT(IF(A583=$A$2:$A$2427,IF(D583=$D$2:$D$2427,IF(ISNUMBER($X$2:$X$2427),1)))),0),""),0)</f>
        <v/>
      </c>
      <c r="Z583" s="104" t="str">
        <f>IF(ISNUMBER(O583),IF(I583&gt;0,(10^(VLOOKUP(D583,'Species Codes'!B:C,2,0)+VLOOKUP(D583,'Species Codes'!B:D,3,0)*LOG(E583)+VLOOKUP(D583,'Species Codes'!B:E,4,0)*LOG(I583))),0),"")</f>
        <v/>
      </c>
      <c r="AA583" s="104" t="str">
        <f>IFERROR((VLOOKUP(D583,'Species Codes'!B:G,6,0)*Z583)/2000,"")</f>
        <v/>
      </c>
      <c r="AB583" s="104" t="e">
        <f>IF(Z583&gt;0,((IF(OR(D583="DF",D583="RA")=TRUE,EXP(VLOOKUP(D583,'Species Codes'!B:I,8,0)+VLOOKUP(D583,'Species Codes'!B:J,9,0)*(LN((E583*2.54)))),IF(OR(D583="PY",D583="RC",D583="WH",D583="NF")=TRUE,VLOOKUP(D583,'Species Codes'!B:I,8,0)+VLOOKUP(D583,'Species Codes'!B:J,9,0)*((E583*2.54)^2)*(I583*0.3048),IF(OR(D583="MD",D583="BM",D583="GA")=TRUE,((VLOOKUP(D583,'Species Codes'!B:I,8,0)*(((((E583*2.54)+VLOOKUP(D583,'Species Codes'!B:J,9,0))/VLOOKUP(D583,'Species Codes'!B:K,10,0))^VLOOKUP(D583,'Species Codes'!B:L,11,0))*((I583*0.3048)^VLOOKUP(D583,'Species Codes'!B:M,12,0))))-(VLOOKUP(D583,'Species Codes'!B:I,8,0)*((((E583*2.54)^VLOOKUP(D583,'Species Codes'!B:L,11,0))*((I583*0.3048)^VLOOKUP(D583,'Species Codes'!B:M,12,0))))))*35.3*VLOOKUP(D583,'Species Codes'!B:G,6,0)/2.2046,VLOOKUP(D583,'Species Codes'!B:I,8,0)+VLOOKUP(D583,'Species Codes'!B:J,9,0)*(((E583*2.54)/100)^2)*(I583*0.3048)))))*0.0011023),0)</f>
        <v>#N/A</v>
      </c>
      <c r="AC583" s="104" t="e">
        <f>IF(Z583&gt;0,((IF(OR(D583="RA",D583="OA",D583="OT",D583="UN",D583="PC"),EXP(VLOOKUP(D583,'Species Codes'!B:O,14,0)+VLOOKUP(D583,'Species Codes'!B:P,15,0)*LN((E583*2.54)))-EXP(VLOOKUP(D583,'Species Codes'!B:O,14,0)+VLOOKUP(D583,'Species Codes'!B:P,15,0)*LN((E583*2.54)))*(1/(VLOOKUP(D583,'Species Codes'!B:Q,16,0)+VLOOKUP(D583,'Species Codes'!B:R,17,0)*((E583*2.54)^VLOOKUP(D583,'Species Codes'!B:S,18,0)))),IF(OR(D583="BM",D583="MD",D583="OA"),EXP(VLOOKUP(D583,'Species Codes'!B:O,14,0)+VLOOKUP(D583,'Species Codes'!B:P,15,0)*LN((E583*2.54)))*(1-(1/(VLOOKUP(D583,'Species Codes'!B:Q,16,0)+VLOOKUP(D583,'Species Codes'!B:R,17,0)*((E583*2.54)^VLOOKUP(D583,'Species Codes'!B:S,18,0)))))/1000,IF(D583="DF",EXP(VLOOKUP(D583,'Species Codes'!B:O,14,0)+VLOOKUP(D583,'Species Codes'!B:P,15,0)*LN((E583*2.54))),VLOOKUP(D583,'Species Codes'!B:O,14,0)+VLOOKUP(D583,'Species Codes'!B:P,15,0)*(((E583*2.54)/100)^2)*(I583*0.3048)))))*0.0011023),0)</f>
        <v>#N/A</v>
      </c>
      <c r="AD583" s="104" t="e">
        <f t="shared" si="274"/>
        <v>#N/A</v>
      </c>
      <c r="AE583" s="104" t="e">
        <f t="shared" si="275"/>
        <v>#N/A</v>
      </c>
      <c r="AF583" s="104" t="e">
        <f>IF(AND(VLOOKUP($D583,Merchantability!$B:$C,2,0)="Yes",$E583&gt;=VLOOKUP($D583,Merchantability!$B:$D,3,0),$E583&lt;=VLOOKUP($D583,Merchantability!$B:$E,4,0)),AA583,0)</f>
        <v>#N/A</v>
      </c>
      <c r="AG583" s="104" t="e">
        <f>IF(AND(VLOOKUP($D583,Merchantability!$B:$C,2,0)="Yes",$E583&gt;=VLOOKUP($D583,Merchantability!$B:$D,3,0),$E583&lt;=VLOOKUP($D583,Merchantability!$B:$E,4,0)),AB583,0)</f>
        <v>#N/A</v>
      </c>
      <c r="AH583" s="104" t="e">
        <f>IF(AND(VLOOKUP($D583,Merchantability!$B:$C,2,0)="Yes",$E583&gt;=VLOOKUP($D583,Merchantability!$B:$D,3,0),$E583&lt;=VLOOKUP($D583,Merchantability!$B:$E,4,0)),AC583,0)</f>
        <v>#N/A</v>
      </c>
      <c r="AI583" s="104" t="e">
        <f t="shared" si="276"/>
        <v>#N/A</v>
      </c>
      <c r="AJ583" s="104" t="e">
        <f t="shared" si="277"/>
        <v>#VALUE!</v>
      </c>
      <c r="AK583" s="104" t="e">
        <f t="shared" si="278"/>
        <v>#N/A</v>
      </c>
      <c r="AL583" s="104" t="e">
        <f t="shared" si="279"/>
        <v>#N/A</v>
      </c>
      <c r="AM583" s="104" t="e">
        <f t="shared" si="280"/>
        <v>#N/A</v>
      </c>
      <c r="AN583" s="104" t="e">
        <f t="shared" si="291"/>
        <v>#N/A</v>
      </c>
      <c r="AO583" s="104" t="e">
        <f t="shared" si="292"/>
        <v>#N/A</v>
      </c>
      <c r="AP583" s="104" t="e">
        <f t="shared" si="293"/>
        <v>#N/A</v>
      </c>
      <c r="AQ583" s="104" t="e">
        <f t="shared" si="294"/>
        <v>#N/A</v>
      </c>
      <c r="AR583" s="105" t="str">
        <f t="shared" si="286"/>
        <v/>
      </c>
      <c r="AS583" s="105" t="str">
        <f t="shared" si="287"/>
        <v/>
      </c>
      <c r="AT583" s="108" t="str">
        <f t="shared" si="288"/>
        <v/>
      </c>
      <c r="AU583" s="108" t="str">
        <f t="shared" si="289"/>
        <v/>
      </c>
      <c r="AV583" s="107" t="str">
        <f>IF(ISNUMBER(O583),IF(VLOOKUP($A583,Stand!C:J,8,FALSE)="Short",AT583,AU583),"")</f>
        <v/>
      </c>
      <c r="AW583" s="109" t="str">
        <f t="shared" si="295"/>
        <v/>
      </c>
      <c r="AX583" s="109" t="str">
        <f t="shared" si="296"/>
        <v/>
      </c>
      <c r="AY583" s="112" t="str">
        <f>IF(ISNUMBER(O583),IF(AND(VLOOKUP($D583,Merchantability!$B:$C,2,0)="Yes",$E583&gt;=VLOOKUP($D583,Merchantability!$B:$D,3,0),$E583&lt;=VLOOKUP($D583,Merchantability!$B:$E,4,0)),(AV583*O583)*(1-$H583/100),""),"")</f>
        <v/>
      </c>
      <c r="AZ583" s="116"/>
      <c r="BA583" s="116"/>
      <c r="BB583" s="116"/>
      <c r="BE583" s="62"/>
      <c r="BF583" s="63"/>
    </row>
    <row r="584" spans="1:58" ht="12.75" customHeight="1" x14ac:dyDescent="0.25">
      <c r="A584" s="313"/>
      <c r="B584" s="328"/>
      <c r="C584" s="329"/>
      <c r="D584" s="328"/>
      <c r="E584" s="330"/>
      <c r="F584" s="328"/>
      <c r="G584" s="329"/>
      <c r="H584" s="329"/>
      <c r="I584" s="328"/>
      <c r="J584" s="383"/>
      <c r="K584" s="329"/>
      <c r="L584" s="329"/>
      <c r="M584" s="78"/>
      <c r="N584" s="103" t="str">
        <f>IF(A584="","",VLOOKUP(A584,Stand!C:K,9,0))</f>
        <v/>
      </c>
      <c r="O584" s="104" t="str">
        <f t="shared" si="281"/>
        <v/>
      </c>
      <c r="P584" s="105" t="str">
        <f t="shared" si="282"/>
        <v/>
      </c>
      <c r="Q584" s="105" t="str">
        <f t="shared" si="270"/>
        <v/>
      </c>
      <c r="R584" s="103" t="str">
        <f t="shared" si="283"/>
        <v/>
      </c>
      <c r="S584" s="103" t="str">
        <f t="shared" si="284"/>
        <v/>
      </c>
      <c r="T584" s="106" t="str">
        <f t="shared" si="271"/>
        <v/>
      </c>
      <c r="U584" s="106" t="str">
        <f t="shared" si="272"/>
        <v/>
      </c>
      <c r="V584" s="106" t="str">
        <f t="shared" si="273"/>
        <v/>
      </c>
      <c r="W584" s="105" t="str">
        <f t="shared" si="285"/>
        <v/>
      </c>
      <c r="X584" s="104" t="str">
        <f t="shared" si="290"/>
        <v/>
      </c>
      <c r="Y584" s="104" t="str">
        <f t="array" ref="Y584">IFERROR(IF(ISNUMBER(O584),IF(COUNT(IF(A584=$A$2:$A$2427,IF(D584=$D$2:$D$2427,IF($X$2:$X$2427&gt;0,1))))&gt;0,SUM(IF(A584=$A$2:$A$2427,IF(D584=$D$2:$D$2427,$X$2:$X$2427)))/COUNT(IF(A584=$A$2:$A$2427,IF(D584=$D$2:$D$2427,IF(ISNUMBER($X$2:$X$2427),1)))),0),""),0)</f>
        <v/>
      </c>
      <c r="Z584" s="104" t="str">
        <f>IF(ISNUMBER(O584),IF(I584&gt;0,(10^(VLOOKUP(D584,'Species Codes'!B:C,2,0)+VLOOKUP(D584,'Species Codes'!B:D,3,0)*LOG(E584)+VLOOKUP(D584,'Species Codes'!B:E,4,0)*LOG(I584))),0),"")</f>
        <v/>
      </c>
      <c r="AA584" s="104" t="str">
        <f>IFERROR((VLOOKUP(D584,'Species Codes'!B:G,6,0)*Z584)/2000,"")</f>
        <v/>
      </c>
      <c r="AB584" s="104" t="e">
        <f>IF(Z584&gt;0,((IF(OR(D584="DF",D584="RA")=TRUE,EXP(VLOOKUP(D584,'Species Codes'!B:I,8,0)+VLOOKUP(D584,'Species Codes'!B:J,9,0)*(LN((E584*2.54)))),IF(OR(D584="PY",D584="RC",D584="WH",D584="NF")=TRUE,VLOOKUP(D584,'Species Codes'!B:I,8,0)+VLOOKUP(D584,'Species Codes'!B:J,9,0)*((E584*2.54)^2)*(I584*0.3048),IF(OR(D584="MD",D584="BM",D584="GA")=TRUE,((VLOOKUP(D584,'Species Codes'!B:I,8,0)*(((((E584*2.54)+VLOOKUP(D584,'Species Codes'!B:J,9,0))/VLOOKUP(D584,'Species Codes'!B:K,10,0))^VLOOKUP(D584,'Species Codes'!B:L,11,0))*((I584*0.3048)^VLOOKUP(D584,'Species Codes'!B:M,12,0))))-(VLOOKUP(D584,'Species Codes'!B:I,8,0)*((((E584*2.54)^VLOOKUP(D584,'Species Codes'!B:L,11,0))*((I584*0.3048)^VLOOKUP(D584,'Species Codes'!B:M,12,0))))))*35.3*VLOOKUP(D584,'Species Codes'!B:G,6,0)/2.2046,VLOOKUP(D584,'Species Codes'!B:I,8,0)+VLOOKUP(D584,'Species Codes'!B:J,9,0)*(((E584*2.54)/100)^2)*(I584*0.3048)))))*0.0011023),0)</f>
        <v>#N/A</v>
      </c>
      <c r="AC584" s="104" t="e">
        <f>IF(Z584&gt;0,((IF(OR(D584="RA",D584="OA",D584="OT",D584="UN",D584="PC"),EXP(VLOOKUP(D584,'Species Codes'!B:O,14,0)+VLOOKUP(D584,'Species Codes'!B:P,15,0)*LN((E584*2.54)))-EXP(VLOOKUP(D584,'Species Codes'!B:O,14,0)+VLOOKUP(D584,'Species Codes'!B:P,15,0)*LN((E584*2.54)))*(1/(VLOOKUP(D584,'Species Codes'!B:Q,16,0)+VLOOKUP(D584,'Species Codes'!B:R,17,0)*((E584*2.54)^VLOOKUP(D584,'Species Codes'!B:S,18,0)))),IF(OR(D584="BM",D584="MD",D584="OA"),EXP(VLOOKUP(D584,'Species Codes'!B:O,14,0)+VLOOKUP(D584,'Species Codes'!B:P,15,0)*LN((E584*2.54)))*(1-(1/(VLOOKUP(D584,'Species Codes'!B:Q,16,0)+VLOOKUP(D584,'Species Codes'!B:R,17,0)*((E584*2.54)^VLOOKUP(D584,'Species Codes'!B:S,18,0)))))/1000,IF(D584="DF",EXP(VLOOKUP(D584,'Species Codes'!B:O,14,0)+VLOOKUP(D584,'Species Codes'!B:P,15,0)*LN((E584*2.54))),VLOOKUP(D584,'Species Codes'!B:O,14,0)+VLOOKUP(D584,'Species Codes'!B:P,15,0)*(((E584*2.54)/100)^2)*(I584*0.3048)))))*0.0011023),0)</f>
        <v>#N/A</v>
      </c>
      <c r="AD584" s="104" t="e">
        <f t="shared" si="274"/>
        <v>#N/A</v>
      </c>
      <c r="AE584" s="104" t="e">
        <f t="shared" si="275"/>
        <v>#N/A</v>
      </c>
      <c r="AF584" s="104" t="e">
        <f>IF(AND(VLOOKUP($D584,Merchantability!$B:$C,2,0)="Yes",$E584&gt;=VLOOKUP($D584,Merchantability!$B:$D,3,0),$E584&lt;=VLOOKUP($D584,Merchantability!$B:$E,4,0)),AA584,0)</f>
        <v>#N/A</v>
      </c>
      <c r="AG584" s="104" t="e">
        <f>IF(AND(VLOOKUP($D584,Merchantability!$B:$C,2,0)="Yes",$E584&gt;=VLOOKUP($D584,Merchantability!$B:$D,3,0),$E584&lt;=VLOOKUP($D584,Merchantability!$B:$E,4,0)),AB584,0)</f>
        <v>#N/A</v>
      </c>
      <c r="AH584" s="104" t="e">
        <f>IF(AND(VLOOKUP($D584,Merchantability!$B:$C,2,0)="Yes",$E584&gt;=VLOOKUP($D584,Merchantability!$B:$D,3,0),$E584&lt;=VLOOKUP($D584,Merchantability!$B:$E,4,0)),AC584,0)</f>
        <v>#N/A</v>
      </c>
      <c r="AI584" s="104" t="e">
        <f t="shared" si="276"/>
        <v>#N/A</v>
      </c>
      <c r="AJ584" s="104" t="e">
        <f t="shared" si="277"/>
        <v>#VALUE!</v>
      </c>
      <c r="AK584" s="104" t="e">
        <f t="shared" si="278"/>
        <v>#N/A</v>
      </c>
      <c r="AL584" s="104" t="e">
        <f t="shared" si="279"/>
        <v>#N/A</v>
      </c>
      <c r="AM584" s="104" t="e">
        <f t="shared" si="280"/>
        <v>#N/A</v>
      </c>
      <c r="AN584" s="104" t="e">
        <f t="shared" si="291"/>
        <v>#N/A</v>
      </c>
      <c r="AO584" s="104" t="e">
        <f t="shared" si="292"/>
        <v>#N/A</v>
      </c>
      <c r="AP584" s="104" t="e">
        <f t="shared" si="293"/>
        <v>#N/A</v>
      </c>
      <c r="AQ584" s="104" t="e">
        <f t="shared" si="294"/>
        <v>#N/A</v>
      </c>
      <c r="AR584" s="105" t="str">
        <f t="shared" si="286"/>
        <v/>
      </c>
      <c r="AS584" s="105" t="str">
        <f t="shared" si="287"/>
        <v/>
      </c>
      <c r="AT584" s="108" t="str">
        <f t="shared" si="288"/>
        <v/>
      </c>
      <c r="AU584" s="108" t="str">
        <f t="shared" si="289"/>
        <v/>
      </c>
      <c r="AV584" s="107" t="str">
        <f>IF(ISNUMBER(O584),IF(VLOOKUP($A584,Stand!C:J,8,FALSE)="Short",AT584,AU584),"")</f>
        <v/>
      </c>
      <c r="AW584" s="109" t="str">
        <f t="shared" si="295"/>
        <v/>
      </c>
      <c r="AX584" s="109" t="str">
        <f t="shared" si="296"/>
        <v/>
      </c>
      <c r="AY584" s="112" t="str">
        <f>IF(ISNUMBER(O584),IF(AND(VLOOKUP($D584,Merchantability!$B:$C,2,0)="Yes",$E584&gt;=VLOOKUP($D584,Merchantability!$B:$D,3,0),$E584&lt;=VLOOKUP($D584,Merchantability!$B:$E,4,0)),(AV584*O584)*(1-$H584/100),""),"")</f>
        <v/>
      </c>
      <c r="AZ584" s="116"/>
      <c r="BA584" s="116"/>
      <c r="BB584" s="116"/>
      <c r="BE584" s="62"/>
      <c r="BF584" s="63"/>
    </row>
    <row r="585" spans="1:58" ht="12.75" customHeight="1" x14ac:dyDescent="0.25">
      <c r="A585" s="313"/>
      <c r="B585" s="328"/>
      <c r="C585" s="329"/>
      <c r="D585" s="328"/>
      <c r="E585" s="330"/>
      <c r="F585" s="328"/>
      <c r="G585" s="329"/>
      <c r="H585" s="329"/>
      <c r="I585" s="328"/>
      <c r="J585" s="383"/>
      <c r="K585" s="329"/>
      <c r="L585" s="329"/>
      <c r="M585" s="78"/>
      <c r="N585" s="103" t="str">
        <f>IF(A585="","",VLOOKUP(A585,Stand!C:K,9,0))</f>
        <v/>
      </c>
      <c r="O585" s="104" t="str">
        <f t="shared" si="281"/>
        <v/>
      </c>
      <c r="P585" s="105" t="str">
        <f t="shared" si="282"/>
        <v/>
      </c>
      <c r="Q585" s="105" t="str">
        <f t="shared" si="270"/>
        <v/>
      </c>
      <c r="R585" s="103" t="str">
        <f t="shared" si="283"/>
        <v/>
      </c>
      <c r="S585" s="103" t="str">
        <f t="shared" si="284"/>
        <v/>
      </c>
      <c r="T585" s="106" t="str">
        <f t="shared" si="271"/>
        <v/>
      </c>
      <c r="U585" s="106" t="str">
        <f t="shared" si="272"/>
        <v/>
      </c>
      <c r="V585" s="106" t="str">
        <f t="shared" si="273"/>
        <v/>
      </c>
      <c r="W585" s="105" t="str">
        <f t="shared" si="285"/>
        <v/>
      </c>
      <c r="X585" s="104" t="str">
        <f t="shared" si="290"/>
        <v/>
      </c>
      <c r="Y585" s="104" t="str">
        <f t="array" ref="Y585">IFERROR(IF(ISNUMBER(O585),IF(COUNT(IF(A585=$A$2:$A$2427,IF(D585=$D$2:$D$2427,IF($X$2:$X$2427&gt;0,1))))&gt;0,SUM(IF(A585=$A$2:$A$2427,IF(D585=$D$2:$D$2427,$X$2:$X$2427)))/COUNT(IF(A585=$A$2:$A$2427,IF(D585=$D$2:$D$2427,IF(ISNUMBER($X$2:$X$2427),1)))),0),""),0)</f>
        <v/>
      </c>
      <c r="Z585" s="104" t="str">
        <f>IF(ISNUMBER(O585),IF(I585&gt;0,(10^(VLOOKUP(D585,'Species Codes'!B:C,2,0)+VLOOKUP(D585,'Species Codes'!B:D,3,0)*LOG(E585)+VLOOKUP(D585,'Species Codes'!B:E,4,0)*LOG(I585))),0),"")</f>
        <v/>
      </c>
      <c r="AA585" s="104" t="str">
        <f>IFERROR((VLOOKUP(D585,'Species Codes'!B:G,6,0)*Z585)/2000,"")</f>
        <v/>
      </c>
      <c r="AB585" s="104" t="e">
        <f>IF(Z585&gt;0,((IF(OR(D585="DF",D585="RA")=TRUE,EXP(VLOOKUP(D585,'Species Codes'!B:I,8,0)+VLOOKUP(D585,'Species Codes'!B:J,9,0)*(LN((E585*2.54)))),IF(OR(D585="PY",D585="RC",D585="WH",D585="NF")=TRUE,VLOOKUP(D585,'Species Codes'!B:I,8,0)+VLOOKUP(D585,'Species Codes'!B:J,9,0)*((E585*2.54)^2)*(I585*0.3048),IF(OR(D585="MD",D585="BM",D585="GA")=TRUE,((VLOOKUP(D585,'Species Codes'!B:I,8,0)*(((((E585*2.54)+VLOOKUP(D585,'Species Codes'!B:J,9,0))/VLOOKUP(D585,'Species Codes'!B:K,10,0))^VLOOKUP(D585,'Species Codes'!B:L,11,0))*((I585*0.3048)^VLOOKUP(D585,'Species Codes'!B:M,12,0))))-(VLOOKUP(D585,'Species Codes'!B:I,8,0)*((((E585*2.54)^VLOOKUP(D585,'Species Codes'!B:L,11,0))*((I585*0.3048)^VLOOKUP(D585,'Species Codes'!B:M,12,0))))))*35.3*VLOOKUP(D585,'Species Codes'!B:G,6,0)/2.2046,VLOOKUP(D585,'Species Codes'!B:I,8,0)+VLOOKUP(D585,'Species Codes'!B:J,9,0)*(((E585*2.54)/100)^2)*(I585*0.3048)))))*0.0011023),0)</f>
        <v>#N/A</v>
      </c>
      <c r="AC585" s="104" t="e">
        <f>IF(Z585&gt;0,((IF(OR(D585="RA",D585="OA",D585="OT",D585="UN",D585="PC"),EXP(VLOOKUP(D585,'Species Codes'!B:O,14,0)+VLOOKUP(D585,'Species Codes'!B:P,15,0)*LN((E585*2.54)))-EXP(VLOOKUP(D585,'Species Codes'!B:O,14,0)+VLOOKUP(D585,'Species Codes'!B:P,15,0)*LN((E585*2.54)))*(1/(VLOOKUP(D585,'Species Codes'!B:Q,16,0)+VLOOKUP(D585,'Species Codes'!B:R,17,0)*((E585*2.54)^VLOOKUP(D585,'Species Codes'!B:S,18,0)))),IF(OR(D585="BM",D585="MD",D585="OA"),EXP(VLOOKUP(D585,'Species Codes'!B:O,14,0)+VLOOKUP(D585,'Species Codes'!B:P,15,0)*LN((E585*2.54)))*(1-(1/(VLOOKUP(D585,'Species Codes'!B:Q,16,0)+VLOOKUP(D585,'Species Codes'!B:R,17,0)*((E585*2.54)^VLOOKUP(D585,'Species Codes'!B:S,18,0)))))/1000,IF(D585="DF",EXP(VLOOKUP(D585,'Species Codes'!B:O,14,0)+VLOOKUP(D585,'Species Codes'!B:P,15,0)*LN((E585*2.54))),VLOOKUP(D585,'Species Codes'!B:O,14,0)+VLOOKUP(D585,'Species Codes'!B:P,15,0)*(((E585*2.54)/100)^2)*(I585*0.3048)))))*0.0011023),0)</f>
        <v>#N/A</v>
      </c>
      <c r="AD585" s="104" t="e">
        <f t="shared" si="274"/>
        <v>#N/A</v>
      </c>
      <c r="AE585" s="104" t="e">
        <f t="shared" si="275"/>
        <v>#N/A</v>
      </c>
      <c r="AF585" s="104" t="e">
        <f>IF(AND(VLOOKUP($D585,Merchantability!$B:$C,2,0)="Yes",$E585&gt;=VLOOKUP($D585,Merchantability!$B:$D,3,0),$E585&lt;=VLOOKUP($D585,Merchantability!$B:$E,4,0)),AA585,0)</f>
        <v>#N/A</v>
      </c>
      <c r="AG585" s="104" t="e">
        <f>IF(AND(VLOOKUP($D585,Merchantability!$B:$C,2,0)="Yes",$E585&gt;=VLOOKUP($D585,Merchantability!$B:$D,3,0),$E585&lt;=VLOOKUP($D585,Merchantability!$B:$E,4,0)),AB585,0)</f>
        <v>#N/A</v>
      </c>
      <c r="AH585" s="104" t="e">
        <f>IF(AND(VLOOKUP($D585,Merchantability!$B:$C,2,0)="Yes",$E585&gt;=VLOOKUP($D585,Merchantability!$B:$D,3,0),$E585&lt;=VLOOKUP($D585,Merchantability!$B:$E,4,0)),AC585,0)</f>
        <v>#N/A</v>
      </c>
      <c r="AI585" s="104" t="e">
        <f t="shared" si="276"/>
        <v>#N/A</v>
      </c>
      <c r="AJ585" s="104" t="e">
        <f t="shared" si="277"/>
        <v>#VALUE!</v>
      </c>
      <c r="AK585" s="104" t="e">
        <f t="shared" si="278"/>
        <v>#N/A</v>
      </c>
      <c r="AL585" s="104" t="e">
        <f t="shared" si="279"/>
        <v>#N/A</v>
      </c>
      <c r="AM585" s="104" t="e">
        <f t="shared" si="280"/>
        <v>#N/A</v>
      </c>
      <c r="AN585" s="104" t="e">
        <f t="shared" si="291"/>
        <v>#N/A</v>
      </c>
      <c r="AO585" s="104" t="e">
        <f t="shared" si="292"/>
        <v>#N/A</v>
      </c>
      <c r="AP585" s="104" t="e">
        <f t="shared" si="293"/>
        <v>#N/A</v>
      </c>
      <c r="AQ585" s="104" t="e">
        <f t="shared" si="294"/>
        <v>#N/A</v>
      </c>
      <c r="AR585" s="105" t="str">
        <f t="shared" si="286"/>
        <v/>
      </c>
      <c r="AS585" s="105" t="str">
        <f t="shared" si="287"/>
        <v/>
      </c>
      <c r="AT585" s="108" t="str">
        <f t="shared" si="288"/>
        <v/>
      </c>
      <c r="AU585" s="108" t="str">
        <f t="shared" si="289"/>
        <v/>
      </c>
      <c r="AV585" s="107" t="str">
        <f>IF(ISNUMBER(O585),IF(VLOOKUP($A585,Stand!C:J,8,FALSE)="Short",AT585,AU585),"")</f>
        <v/>
      </c>
      <c r="AW585" s="109" t="str">
        <f t="shared" si="295"/>
        <v/>
      </c>
      <c r="AX585" s="109" t="str">
        <f t="shared" si="296"/>
        <v/>
      </c>
      <c r="AY585" s="112" t="str">
        <f>IF(ISNUMBER(O585),IF(AND(VLOOKUP($D585,Merchantability!$B:$C,2,0)="Yes",$E585&gt;=VLOOKUP($D585,Merchantability!$B:$D,3,0),$E585&lt;=VLOOKUP($D585,Merchantability!$B:$E,4,0)),(AV585*O585)*(1-$H585/100),""),"")</f>
        <v/>
      </c>
      <c r="AZ585" s="116"/>
      <c r="BA585" s="116"/>
      <c r="BB585" s="116"/>
      <c r="BE585" s="62"/>
      <c r="BF585" s="63"/>
    </row>
    <row r="586" spans="1:58" ht="12.75" customHeight="1" x14ac:dyDescent="0.25">
      <c r="A586" s="313"/>
      <c r="B586" s="328"/>
      <c r="C586" s="329"/>
      <c r="D586" s="328"/>
      <c r="E586" s="330"/>
      <c r="F586" s="328"/>
      <c r="G586" s="329"/>
      <c r="H586" s="329"/>
      <c r="I586" s="328"/>
      <c r="J586" s="383"/>
      <c r="K586" s="329"/>
      <c r="L586" s="329"/>
      <c r="M586" s="78"/>
      <c r="N586" s="103" t="str">
        <f>IF(A586="","",VLOOKUP(A586,Stand!C:K,9,0))</f>
        <v/>
      </c>
      <c r="O586" s="104" t="str">
        <f t="shared" si="281"/>
        <v/>
      </c>
      <c r="P586" s="105" t="str">
        <f t="shared" si="282"/>
        <v/>
      </c>
      <c r="Q586" s="105" t="str">
        <f t="shared" si="270"/>
        <v/>
      </c>
      <c r="R586" s="103" t="str">
        <f t="shared" si="283"/>
        <v/>
      </c>
      <c r="S586" s="103" t="str">
        <f t="shared" si="284"/>
        <v/>
      </c>
      <c r="T586" s="106" t="str">
        <f t="shared" si="271"/>
        <v/>
      </c>
      <c r="U586" s="106" t="str">
        <f t="shared" si="272"/>
        <v/>
      </c>
      <c r="V586" s="106" t="str">
        <f t="shared" si="273"/>
        <v/>
      </c>
      <c r="W586" s="105" t="str">
        <f t="shared" si="285"/>
        <v/>
      </c>
      <c r="X586" s="104" t="str">
        <f t="shared" si="290"/>
        <v/>
      </c>
      <c r="Y586" s="104" t="str">
        <f t="array" ref="Y586">IFERROR(IF(ISNUMBER(O586),IF(COUNT(IF(A586=$A$2:$A$2427,IF(D586=$D$2:$D$2427,IF($X$2:$X$2427&gt;0,1))))&gt;0,SUM(IF(A586=$A$2:$A$2427,IF(D586=$D$2:$D$2427,$X$2:$X$2427)))/COUNT(IF(A586=$A$2:$A$2427,IF(D586=$D$2:$D$2427,IF(ISNUMBER($X$2:$X$2427),1)))),0),""),0)</f>
        <v/>
      </c>
      <c r="Z586" s="104" t="str">
        <f>IF(ISNUMBER(O586),IF(I586&gt;0,(10^(VLOOKUP(D586,'Species Codes'!B:C,2,0)+VLOOKUP(D586,'Species Codes'!B:D,3,0)*LOG(E586)+VLOOKUP(D586,'Species Codes'!B:E,4,0)*LOG(I586))),0),"")</f>
        <v/>
      </c>
      <c r="AA586" s="104" t="str">
        <f>IFERROR((VLOOKUP(D586,'Species Codes'!B:G,6,0)*Z586)/2000,"")</f>
        <v/>
      </c>
      <c r="AB586" s="104" t="e">
        <f>IF(Z586&gt;0,((IF(OR(D586="DF",D586="RA")=TRUE,EXP(VLOOKUP(D586,'Species Codes'!B:I,8,0)+VLOOKUP(D586,'Species Codes'!B:J,9,0)*(LN((E586*2.54)))),IF(OR(D586="PY",D586="RC",D586="WH",D586="NF")=TRUE,VLOOKUP(D586,'Species Codes'!B:I,8,0)+VLOOKUP(D586,'Species Codes'!B:J,9,0)*((E586*2.54)^2)*(I586*0.3048),IF(OR(D586="MD",D586="BM",D586="GA")=TRUE,((VLOOKUP(D586,'Species Codes'!B:I,8,0)*(((((E586*2.54)+VLOOKUP(D586,'Species Codes'!B:J,9,0))/VLOOKUP(D586,'Species Codes'!B:K,10,0))^VLOOKUP(D586,'Species Codes'!B:L,11,0))*((I586*0.3048)^VLOOKUP(D586,'Species Codes'!B:M,12,0))))-(VLOOKUP(D586,'Species Codes'!B:I,8,0)*((((E586*2.54)^VLOOKUP(D586,'Species Codes'!B:L,11,0))*((I586*0.3048)^VLOOKUP(D586,'Species Codes'!B:M,12,0))))))*35.3*VLOOKUP(D586,'Species Codes'!B:G,6,0)/2.2046,VLOOKUP(D586,'Species Codes'!B:I,8,0)+VLOOKUP(D586,'Species Codes'!B:J,9,0)*(((E586*2.54)/100)^2)*(I586*0.3048)))))*0.0011023),0)</f>
        <v>#N/A</v>
      </c>
      <c r="AC586" s="104" t="e">
        <f>IF(Z586&gt;0,((IF(OR(D586="RA",D586="OA",D586="OT",D586="UN",D586="PC"),EXP(VLOOKUP(D586,'Species Codes'!B:O,14,0)+VLOOKUP(D586,'Species Codes'!B:P,15,0)*LN((E586*2.54)))-EXP(VLOOKUP(D586,'Species Codes'!B:O,14,0)+VLOOKUP(D586,'Species Codes'!B:P,15,0)*LN((E586*2.54)))*(1/(VLOOKUP(D586,'Species Codes'!B:Q,16,0)+VLOOKUP(D586,'Species Codes'!B:R,17,0)*((E586*2.54)^VLOOKUP(D586,'Species Codes'!B:S,18,0)))),IF(OR(D586="BM",D586="MD",D586="OA"),EXP(VLOOKUP(D586,'Species Codes'!B:O,14,0)+VLOOKUP(D586,'Species Codes'!B:P,15,0)*LN((E586*2.54)))*(1-(1/(VLOOKUP(D586,'Species Codes'!B:Q,16,0)+VLOOKUP(D586,'Species Codes'!B:R,17,0)*((E586*2.54)^VLOOKUP(D586,'Species Codes'!B:S,18,0)))))/1000,IF(D586="DF",EXP(VLOOKUP(D586,'Species Codes'!B:O,14,0)+VLOOKUP(D586,'Species Codes'!B:P,15,0)*LN((E586*2.54))),VLOOKUP(D586,'Species Codes'!B:O,14,0)+VLOOKUP(D586,'Species Codes'!B:P,15,0)*(((E586*2.54)/100)^2)*(I586*0.3048)))))*0.0011023),0)</f>
        <v>#N/A</v>
      </c>
      <c r="AD586" s="104" t="e">
        <f t="shared" si="274"/>
        <v>#N/A</v>
      </c>
      <c r="AE586" s="104" t="e">
        <f t="shared" si="275"/>
        <v>#N/A</v>
      </c>
      <c r="AF586" s="104" t="e">
        <f>IF(AND(VLOOKUP($D586,Merchantability!$B:$C,2,0)="Yes",$E586&gt;=VLOOKUP($D586,Merchantability!$B:$D,3,0),$E586&lt;=VLOOKUP($D586,Merchantability!$B:$E,4,0)),AA586,0)</f>
        <v>#N/A</v>
      </c>
      <c r="AG586" s="104" t="e">
        <f>IF(AND(VLOOKUP($D586,Merchantability!$B:$C,2,0)="Yes",$E586&gt;=VLOOKUP($D586,Merchantability!$B:$D,3,0),$E586&lt;=VLOOKUP($D586,Merchantability!$B:$E,4,0)),AB586,0)</f>
        <v>#N/A</v>
      </c>
      <c r="AH586" s="104" t="e">
        <f>IF(AND(VLOOKUP($D586,Merchantability!$B:$C,2,0)="Yes",$E586&gt;=VLOOKUP($D586,Merchantability!$B:$D,3,0),$E586&lt;=VLOOKUP($D586,Merchantability!$B:$E,4,0)),AC586,0)</f>
        <v>#N/A</v>
      </c>
      <c r="AI586" s="104" t="e">
        <f t="shared" si="276"/>
        <v>#N/A</v>
      </c>
      <c r="AJ586" s="104" t="e">
        <f t="shared" si="277"/>
        <v>#VALUE!</v>
      </c>
      <c r="AK586" s="104" t="e">
        <f t="shared" si="278"/>
        <v>#N/A</v>
      </c>
      <c r="AL586" s="104" t="e">
        <f t="shared" si="279"/>
        <v>#N/A</v>
      </c>
      <c r="AM586" s="104" t="e">
        <f t="shared" si="280"/>
        <v>#N/A</v>
      </c>
      <c r="AN586" s="104" t="e">
        <f t="shared" si="291"/>
        <v>#N/A</v>
      </c>
      <c r="AO586" s="104" t="e">
        <f t="shared" si="292"/>
        <v>#N/A</v>
      </c>
      <c r="AP586" s="104" t="e">
        <f t="shared" si="293"/>
        <v>#N/A</v>
      </c>
      <c r="AQ586" s="104" t="e">
        <f t="shared" si="294"/>
        <v>#N/A</v>
      </c>
      <c r="AR586" s="105" t="str">
        <f t="shared" si="286"/>
        <v/>
      </c>
      <c r="AS586" s="105" t="str">
        <f t="shared" si="287"/>
        <v/>
      </c>
      <c r="AT586" s="108" t="str">
        <f t="shared" si="288"/>
        <v/>
      </c>
      <c r="AU586" s="108" t="str">
        <f t="shared" si="289"/>
        <v/>
      </c>
      <c r="AV586" s="107" t="str">
        <f>IF(ISNUMBER(O586),IF(VLOOKUP($A586,Stand!C:J,8,FALSE)="Short",AT586,AU586),"")</f>
        <v/>
      </c>
      <c r="AW586" s="109" t="str">
        <f t="shared" si="295"/>
        <v/>
      </c>
      <c r="AX586" s="109" t="str">
        <f t="shared" si="296"/>
        <v/>
      </c>
      <c r="AY586" s="112" t="str">
        <f>IF(ISNUMBER(O586),IF(AND(VLOOKUP($D586,Merchantability!$B:$C,2,0)="Yes",$E586&gt;=VLOOKUP($D586,Merchantability!$B:$D,3,0),$E586&lt;=VLOOKUP($D586,Merchantability!$B:$E,4,0)),(AV586*O586)*(1-$H586/100),""),"")</f>
        <v/>
      </c>
      <c r="AZ586" s="116"/>
      <c r="BA586" s="116"/>
      <c r="BB586" s="116"/>
      <c r="BE586" s="62"/>
      <c r="BF586" s="63"/>
    </row>
    <row r="587" spans="1:58" ht="12.75" customHeight="1" x14ac:dyDescent="0.25">
      <c r="A587" s="313"/>
      <c r="B587" s="328"/>
      <c r="C587" s="329"/>
      <c r="D587" s="328"/>
      <c r="E587" s="330"/>
      <c r="F587" s="328"/>
      <c r="G587" s="329"/>
      <c r="H587" s="329"/>
      <c r="I587" s="328"/>
      <c r="J587" s="383"/>
      <c r="K587" s="329"/>
      <c r="L587" s="329"/>
      <c r="M587" s="78"/>
      <c r="N587" s="103" t="str">
        <f>IF(A587="","",VLOOKUP(A587,Stand!C:K,9,0))</f>
        <v/>
      </c>
      <c r="O587" s="104" t="str">
        <f t="shared" si="281"/>
        <v/>
      </c>
      <c r="P587" s="105" t="str">
        <f t="shared" si="282"/>
        <v/>
      </c>
      <c r="Q587" s="105" t="str">
        <f t="shared" si="270"/>
        <v/>
      </c>
      <c r="R587" s="103" t="str">
        <f t="shared" si="283"/>
        <v/>
      </c>
      <c r="S587" s="103" t="str">
        <f t="shared" si="284"/>
        <v/>
      </c>
      <c r="T587" s="106" t="str">
        <f t="shared" si="271"/>
        <v/>
      </c>
      <c r="U587" s="106" t="str">
        <f t="shared" si="272"/>
        <v/>
      </c>
      <c r="V587" s="106" t="str">
        <f t="shared" si="273"/>
        <v/>
      </c>
      <c r="W587" s="105" t="str">
        <f t="shared" si="285"/>
        <v/>
      </c>
      <c r="X587" s="104" t="str">
        <f t="shared" si="290"/>
        <v/>
      </c>
      <c r="Y587" s="104" t="str">
        <f t="array" ref="Y587">IFERROR(IF(ISNUMBER(O587),IF(COUNT(IF(A587=$A$2:$A$2427,IF(D587=$D$2:$D$2427,IF($X$2:$X$2427&gt;0,1))))&gt;0,SUM(IF(A587=$A$2:$A$2427,IF(D587=$D$2:$D$2427,$X$2:$X$2427)))/COUNT(IF(A587=$A$2:$A$2427,IF(D587=$D$2:$D$2427,IF(ISNUMBER($X$2:$X$2427),1)))),0),""),0)</f>
        <v/>
      </c>
      <c r="Z587" s="104" t="str">
        <f>IF(ISNUMBER(O587),IF(I587&gt;0,(10^(VLOOKUP(D587,'Species Codes'!B:C,2,0)+VLOOKUP(D587,'Species Codes'!B:D,3,0)*LOG(E587)+VLOOKUP(D587,'Species Codes'!B:E,4,0)*LOG(I587))),0),"")</f>
        <v/>
      </c>
      <c r="AA587" s="104" t="str">
        <f>IFERROR((VLOOKUP(D587,'Species Codes'!B:G,6,0)*Z587)/2000,"")</f>
        <v/>
      </c>
      <c r="AB587" s="104" t="e">
        <f>IF(Z587&gt;0,((IF(OR(D587="DF",D587="RA")=TRUE,EXP(VLOOKUP(D587,'Species Codes'!B:I,8,0)+VLOOKUP(D587,'Species Codes'!B:J,9,0)*(LN((E587*2.54)))),IF(OR(D587="PY",D587="RC",D587="WH",D587="NF")=TRUE,VLOOKUP(D587,'Species Codes'!B:I,8,0)+VLOOKUP(D587,'Species Codes'!B:J,9,0)*((E587*2.54)^2)*(I587*0.3048),IF(OR(D587="MD",D587="BM",D587="GA")=TRUE,((VLOOKUP(D587,'Species Codes'!B:I,8,0)*(((((E587*2.54)+VLOOKUP(D587,'Species Codes'!B:J,9,0))/VLOOKUP(D587,'Species Codes'!B:K,10,0))^VLOOKUP(D587,'Species Codes'!B:L,11,0))*((I587*0.3048)^VLOOKUP(D587,'Species Codes'!B:M,12,0))))-(VLOOKUP(D587,'Species Codes'!B:I,8,0)*((((E587*2.54)^VLOOKUP(D587,'Species Codes'!B:L,11,0))*((I587*0.3048)^VLOOKUP(D587,'Species Codes'!B:M,12,0))))))*35.3*VLOOKUP(D587,'Species Codes'!B:G,6,0)/2.2046,VLOOKUP(D587,'Species Codes'!B:I,8,0)+VLOOKUP(D587,'Species Codes'!B:J,9,0)*(((E587*2.54)/100)^2)*(I587*0.3048)))))*0.0011023),0)</f>
        <v>#N/A</v>
      </c>
      <c r="AC587" s="104" t="e">
        <f>IF(Z587&gt;0,((IF(OR(D587="RA",D587="OA",D587="OT",D587="UN",D587="PC"),EXP(VLOOKUP(D587,'Species Codes'!B:O,14,0)+VLOOKUP(D587,'Species Codes'!B:P,15,0)*LN((E587*2.54)))-EXP(VLOOKUP(D587,'Species Codes'!B:O,14,0)+VLOOKUP(D587,'Species Codes'!B:P,15,0)*LN((E587*2.54)))*(1/(VLOOKUP(D587,'Species Codes'!B:Q,16,0)+VLOOKUP(D587,'Species Codes'!B:R,17,0)*((E587*2.54)^VLOOKUP(D587,'Species Codes'!B:S,18,0)))),IF(OR(D587="BM",D587="MD",D587="OA"),EXP(VLOOKUP(D587,'Species Codes'!B:O,14,0)+VLOOKUP(D587,'Species Codes'!B:P,15,0)*LN((E587*2.54)))*(1-(1/(VLOOKUP(D587,'Species Codes'!B:Q,16,0)+VLOOKUP(D587,'Species Codes'!B:R,17,0)*((E587*2.54)^VLOOKUP(D587,'Species Codes'!B:S,18,0)))))/1000,IF(D587="DF",EXP(VLOOKUP(D587,'Species Codes'!B:O,14,0)+VLOOKUP(D587,'Species Codes'!B:P,15,0)*LN((E587*2.54))),VLOOKUP(D587,'Species Codes'!B:O,14,0)+VLOOKUP(D587,'Species Codes'!B:P,15,0)*(((E587*2.54)/100)^2)*(I587*0.3048)))))*0.0011023),0)</f>
        <v>#N/A</v>
      </c>
      <c r="AD587" s="104" t="e">
        <f t="shared" si="274"/>
        <v>#N/A</v>
      </c>
      <c r="AE587" s="104" t="e">
        <f t="shared" si="275"/>
        <v>#N/A</v>
      </c>
      <c r="AF587" s="104" t="e">
        <f>IF(AND(VLOOKUP($D587,Merchantability!$B:$C,2,0)="Yes",$E587&gt;=VLOOKUP($D587,Merchantability!$B:$D,3,0),$E587&lt;=VLOOKUP($D587,Merchantability!$B:$E,4,0)),AA587,0)</f>
        <v>#N/A</v>
      </c>
      <c r="AG587" s="104" t="e">
        <f>IF(AND(VLOOKUP($D587,Merchantability!$B:$C,2,0)="Yes",$E587&gt;=VLOOKUP($D587,Merchantability!$B:$D,3,0),$E587&lt;=VLOOKUP($D587,Merchantability!$B:$E,4,0)),AB587,0)</f>
        <v>#N/A</v>
      </c>
      <c r="AH587" s="104" t="e">
        <f>IF(AND(VLOOKUP($D587,Merchantability!$B:$C,2,0)="Yes",$E587&gt;=VLOOKUP($D587,Merchantability!$B:$D,3,0),$E587&lt;=VLOOKUP($D587,Merchantability!$B:$E,4,0)),AC587,0)</f>
        <v>#N/A</v>
      </c>
      <c r="AI587" s="104" t="e">
        <f t="shared" si="276"/>
        <v>#N/A</v>
      </c>
      <c r="AJ587" s="104" t="e">
        <f t="shared" si="277"/>
        <v>#VALUE!</v>
      </c>
      <c r="AK587" s="104" t="e">
        <f t="shared" si="278"/>
        <v>#N/A</v>
      </c>
      <c r="AL587" s="104" t="e">
        <f t="shared" si="279"/>
        <v>#N/A</v>
      </c>
      <c r="AM587" s="104" t="e">
        <f t="shared" si="280"/>
        <v>#N/A</v>
      </c>
      <c r="AN587" s="104" t="e">
        <f t="shared" si="291"/>
        <v>#N/A</v>
      </c>
      <c r="AO587" s="104" t="e">
        <f t="shared" si="292"/>
        <v>#N/A</v>
      </c>
      <c r="AP587" s="104" t="e">
        <f t="shared" si="293"/>
        <v>#N/A</v>
      </c>
      <c r="AQ587" s="104" t="e">
        <f t="shared" si="294"/>
        <v>#N/A</v>
      </c>
      <c r="AR587" s="105" t="str">
        <f t="shared" si="286"/>
        <v/>
      </c>
      <c r="AS587" s="105" t="str">
        <f t="shared" si="287"/>
        <v/>
      </c>
      <c r="AT587" s="108" t="str">
        <f t="shared" si="288"/>
        <v/>
      </c>
      <c r="AU587" s="108" t="str">
        <f t="shared" si="289"/>
        <v/>
      </c>
      <c r="AV587" s="107" t="str">
        <f>IF(ISNUMBER(O587),IF(VLOOKUP($A587,Stand!C:J,8,FALSE)="Short",AT587,AU587),"")</f>
        <v/>
      </c>
      <c r="AW587" s="109" t="str">
        <f t="shared" si="295"/>
        <v/>
      </c>
      <c r="AX587" s="109" t="str">
        <f t="shared" si="296"/>
        <v/>
      </c>
      <c r="AY587" s="112" t="str">
        <f>IF(ISNUMBER(O587),IF(AND(VLOOKUP($D587,Merchantability!$B:$C,2,0)="Yes",$E587&gt;=VLOOKUP($D587,Merchantability!$B:$D,3,0),$E587&lt;=VLOOKUP($D587,Merchantability!$B:$E,4,0)),(AV587*O587)*(1-$H587/100),""),"")</f>
        <v/>
      </c>
      <c r="AZ587" s="116"/>
      <c r="BA587" s="116"/>
      <c r="BB587" s="116"/>
      <c r="BE587" s="62"/>
      <c r="BF587" s="63"/>
    </row>
    <row r="588" spans="1:58" ht="12.75" customHeight="1" x14ac:dyDescent="0.25">
      <c r="A588" s="313"/>
      <c r="B588" s="328"/>
      <c r="C588" s="329"/>
      <c r="D588" s="328"/>
      <c r="E588" s="330"/>
      <c r="F588" s="328"/>
      <c r="G588" s="329"/>
      <c r="H588" s="329"/>
      <c r="I588" s="328"/>
      <c r="J588" s="383"/>
      <c r="K588" s="329"/>
      <c r="L588" s="329"/>
      <c r="M588" s="78"/>
      <c r="N588" s="103" t="str">
        <f>IF(A588="","",VLOOKUP(A588,Stand!C:K,9,0))</f>
        <v/>
      </c>
      <c r="O588" s="104" t="str">
        <f t="shared" si="281"/>
        <v/>
      </c>
      <c r="P588" s="105" t="str">
        <f t="shared" si="282"/>
        <v/>
      </c>
      <c r="Q588" s="105" t="str">
        <f t="shared" si="270"/>
        <v/>
      </c>
      <c r="R588" s="103" t="str">
        <f t="shared" si="283"/>
        <v/>
      </c>
      <c r="S588" s="103" t="str">
        <f t="shared" si="284"/>
        <v/>
      </c>
      <c r="T588" s="106" t="str">
        <f t="shared" si="271"/>
        <v/>
      </c>
      <c r="U588" s="106" t="str">
        <f t="shared" si="272"/>
        <v/>
      </c>
      <c r="V588" s="106" t="str">
        <f t="shared" si="273"/>
        <v/>
      </c>
      <c r="W588" s="105" t="str">
        <f t="shared" si="285"/>
        <v/>
      </c>
      <c r="X588" s="104" t="str">
        <f t="shared" si="290"/>
        <v/>
      </c>
      <c r="Y588" s="104" t="str">
        <f t="array" ref="Y588">IFERROR(IF(ISNUMBER(O588),IF(COUNT(IF(A588=$A$2:$A$2427,IF(D588=$D$2:$D$2427,IF($X$2:$X$2427&gt;0,1))))&gt;0,SUM(IF(A588=$A$2:$A$2427,IF(D588=$D$2:$D$2427,$X$2:$X$2427)))/COUNT(IF(A588=$A$2:$A$2427,IF(D588=$D$2:$D$2427,IF(ISNUMBER($X$2:$X$2427),1)))),0),""),0)</f>
        <v/>
      </c>
      <c r="Z588" s="104" t="str">
        <f>IF(ISNUMBER(O588),IF(I588&gt;0,(10^(VLOOKUP(D588,'Species Codes'!B:C,2,0)+VLOOKUP(D588,'Species Codes'!B:D,3,0)*LOG(E588)+VLOOKUP(D588,'Species Codes'!B:E,4,0)*LOG(I588))),0),"")</f>
        <v/>
      </c>
      <c r="AA588" s="104" t="str">
        <f>IFERROR((VLOOKUP(D588,'Species Codes'!B:G,6,0)*Z588)/2000,"")</f>
        <v/>
      </c>
      <c r="AB588" s="104" t="e">
        <f>IF(Z588&gt;0,((IF(OR(D588="DF",D588="RA")=TRUE,EXP(VLOOKUP(D588,'Species Codes'!B:I,8,0)+VLOOKUP(D588,'Species Codes'!B:J,9,0)*(LN((E588*2.54)))),IF(OR(D588="PY",D588="RC",D588="WH",D588="NF")=TRUE,VLOOKUP(D588,'Species Codes'!B:I,8,0)+VLOOKUP(D588,'Species Codes'!B:J,9,0)*((E588*2.54)^2)*(I588*0.3048),IF(OR(D588="MD",D588="BM",D588="GA")=TRUE,((VLOOKUP(D588,'Species Codes'!B:I,8,0)*(((((E588*2.54)+VLOOKUP(D588,'Species Codes'!B:J,9,0))/VLOOKUP(D588,'Species Codes'!B:K,10,0))^VLOOKUP(D588,'Species Codes'!B:L,11,0))*((I588*0.3048)^VLOOKUP(D588,'Species Codes'!B:M,12,0))))-(VLOOKUP(D588,'Species Codes'!B:I,8,0)*((((E588*2.54)^VLOOKUP(D588,'Species Codes'!B:L,11,0))*((I588*0.3048)^VLOOKUP(D588,'Species Codes'!B:M,12,0))))))*35.3*VLOOKUP(D588,'Species Codes'!B:G,6,0)/2.2046,VLOOKUP(D588,'Species Codes'!B:I,8,0)+VLOOKUP(D588,'Species Codes'!B:J,9,0)*(((E588*2.54)/100)^2)*(I588*0.3048)))))*0.0011023),0)</f>
        <v>#N/A</v>
      </c>
      <c r="AC588" s="104" t="e">
        <f>IF(Z588&gt;0,((IF(OR(D588="RA",D588="OA",D588="OT",D588="UN",D588="PC"),EXP(VLOOKUP(D588,'Species Codes'!B:O,14,0)+VLOOKUP(D588,'Species Codes'!B:P,15,0)*LN((E588*2.54)))-EXP(VLOOKUP(D588,'Species Codes'!B:O,14,0)+VLOOKUP(D588,'Species Codes'!B:P,15,0)*LN((E588*2.54)))*(1/(VLOOKUP(D588,'Species Codes'!B:Q,16,0)+VLOOKUP(D588,'Species Codes'!B:R,17,0)*((E588*2.54)^VLOOKUP(D588,'Species Codes'!B:S,18,0)))),IF(OR(D588="BM",D588="MD",D588="OA"),EXP(VLOOKUP(D588,'Species Codes'!B:O,14,0)+VLOOKUP(D588,'Species Codes'!B:P,15,0)*LN((E588*2.54)))*(1-(1/(VLOOKUP(D588,'Species Codes'!B:Q,16,0)+VLOOKUP(D588,'Species Codes'!B:R,17,0)*((E588*2.54)^VLOOKUP(D588,'Species Codes'!B:S,18,0)))))/1000,IF(D588="DF",EXP(VLOOKUP(D588,'Species Codes'!B:O,14,0)+VLOOKUP(D588,'Species Codes'!B:P,15,0)*LN((E588*2.54))),VLOOKUP(D588,'Species Codes'!B:O,14,0)+VLOOKUP(D588,'Species Codes'!B:P,15,0)*(((E588*2.54)/100)^2)*(I588*0.3048)))))*0.0011023),0)</f>
        <v>#N/A</v>
      </c>
      <c r="AD588" s="104" t="e">
        <f t="shared" si="274"/>
        <v>#N/A</v>
      </c>
      <c r="AE588" s="104" t="e">
        <f t="shared" si="275"/>
        <v>#N/A</v>
      </c>
      <c r="AF588" s="104" t="e">
        <f>IF(AND(VLOOKUP($D588,Merchantability!$B:$C,2,0)="Yes",$E588&gt;=VLOOKUP($D588,Merchantability!$B:$D,3,0),$E588&lt;=VLOOKUP($D588,Merchantability!$B:$E,4,0)),AA588,0)</f>
        <v>#N/A</v>
      </c>
      <c r="AG588" s="104" t="e">
        <f>IF(AND(VLOOKUP($D588,Merchantability!$B:$C,2,0)="Yes",$E588&gt;=VLOOKUP($D588,Merchantability!$B:$D,3,0),$E588&lt;=VLOOKUP($D588,Merchantability!$B:$E,4,0)),AB588,0)</f>
        <v>#N/A</v>
      </c>
      <c r="AH588" s="104" t="e">
        <f>IF(AND(VLOOKUP($D588,Merchantability!$B:$C,2,0)="Yes",$E588&gt;=VLOOKUP($D588,Merchantability!$B:$D,3,0),$E588&lt;=VLOOKUP($D588,Merchantability!$B:$E,4,0)),AC588,0)</f>
        <v>#N/A</v>
      </c>
      <c r="AI588" s="104" t="e">
        <f t="shared" si="276"/>
        <v>#N/A</v>
      </c>
      <c r="AJ588" s="104" t="e">
        <f t="shared" si="277"/>
        <v>#VALUE!</v>
      </c>
      <c r="AK588" s="104" t="e">
        <f t="shared" si="278"/>
        <v>#N/A</v>
      </c>
      <c r="AL588" s="104" t="e">
        <f t="shared" si="279"/>
        <v>#N/A</v>
      </c>
      <c r="AM588" s="104" t="e">
        <f t="shared" si="280"/>
        <v>#N/A</v>
      </c>
      <c r="AN588" s="104" t="e">
        <f t="shared" si="291"/>
        <v>#N/A</v>
      </c>
      <c r="AO588" s="104" t="e">
        <f t="shared" si="292"/>
        <v>#N/A</v>
      </c>
      <c r="AP588" s="104" t="e">
        <f t="shared" si="293"/>
        <v>#N/A</v>
      </c>
      <c r="AQ588" s="104" t="e">
        <f t="shared" si="294"/>
        <v>#N/A</v>
      </c>
      <c r="AR588" s="105" t="str">
        <f t="shared" si="286"/>
        <v/>
      </c>
      <c r="AS588" s="105" t="str">
        <f t="shared" si="287"/>
        <v/>
      </c>
      <c r="AT588" s="108" t="str">
        <f t="shared" si="288"/>
        <v/>
      </c>
      <c r="AU588" s="108" t="str">
        <f t="shared" si="289"/>
        <v/>
      </c>
      <c r="AV588" s="107" t="str">
        <f>IF(ISNUMBER(O588),IF(VLOOKUP($A588,Stand!C:J,8,FALSE)="Short",AT588,AU588),"")</f>
        <v/>
      </c>
      <c r="AW588" s="109" t="str">
        <f t="shared" si="295"/>
        <v/>
      </c>
      <c r="AX588" s="109" t="str">
        <f t="shared" si="296"/>
        <v/>
      </c>
      <c r="AY588" s="112" t="str">
        <f>IF(ISNUMBER(O588),IF(AND(VLOOKUP($D588,Merchantability!$B:$C,2,0)="Yes",$E588&gt;=VLOOKUP($D588,Merchantability!$B:$D,3,0),$E588&lt;=VLOOKUP($D588,Merchantability!$B:$E,4,0)),(AV588*O588)*(1-$H588/100),""),"")</f>
        <v/>
      </c>
      <c r="AZ588" s="116"/>
      <c r="BA588" s="116"/>
      <c r="BB588" s="116"/>
      <c r="BE588" s="62"/>
      <c r="BF588" s="63"/>
    </row>
    <row r="589" spans="1:58" ht="12.75" customHeight="1" x14ac:dyDescent="0.25">
      <c r="A589" s="313"/>
      <c r="B589" s="328"/>
      <c r="C589" s="329"/>
      <c r="D589" s="328"/>
      <c r="E589" s="330"/>
      <c r="F589" s="328"/>
      <c r="G589" s="329"/>
      <c r="H589" s="329"/>
      <c r="I589" s="328"/>
      <c r="J589" s="383"/>
      <c r="K589" s="329"/>
      <c r="L589" s="329"/>
      <c r="M589" s="78"/>
      <c r="N589" s="103" t="str">
        <f>IF(A589="","",VLOOKUP(A589,Stand!C:K,9,0))</f>
        <v/>
      </c>
      <c r="O589" s="104" t="str">
        <f t="shared" si="281"/>
        <v/>
      </c>
      <c r="P589" s="105" t="str">
        <f t="shared" si="282"/>
        <v/>
      </c>
      <c r="Q589" s="105" t="str">
        <f t="shared" si="270"/>
        <v/>
      </c>
      <c r="R589" s="103" t="str">
        <f t="shared" si="283"/>
        <v/>
      </c>
      <c r="S589" s="103" t="str">
        <f t="shared" si="284"/>
        <v/>
      </c>
      <c r="T589" s="106" t="str">
        <f t="shared" si="271"/>
        <v/>
      </c>
      <c r="U589" s="106" t="str">
        <f t="shared" si="272"/>
        <v/>
      </c>
      <c r="V589" s="106" t="str">
        <f t="shared" si="273"/>
        <v/>
      </c>
      <c r="W589" s="105" t="str">
        <f t="shared" si="285"/>
        <v/>
      </c>
      <c r="X589" s="104" t="str">
        <f t="shared" si="290"/>
        <v/>
      </c>
      <c r="Y589" s="104" t="str">
        <f t="array" ref="Y589">IFERROR(IF(ISNUMBER(O589),IF(COUNT(IF(A589=$A$2:$A$2427,IF(D589=$D$2:$D$2427,IF($X$2:$X$2427&gt;0,1))))&gt;0,SUM(IF(A589=$A$2:$A$2427,IF(D589=$D$2:$D$2427,$X$2:$X$2427)))/COUNT(IF(A589=$A$2:$A$2427,IF(D589=$D$2:$D$2427,IF(ISNUMBER($X$2:$X$2427),1)))),0),""),0)</f>
        <v/>
      </c>
      <c r="Z589" s="104" t="str">
        <f>IF(ISNUMBER(O589),IF(I589&gt;0,(10^(VLOOKUP(D589,'Species Codes'!B:C,2,0)+VLOOKUP(D589,'Species Codes'!B:D,3,0)*LOG(E589)+VLOOKUP(D589,'Species Codes'!B:E,4,0)*LOG(I589))),0),"")</f>
        <v/>
      </c>
      <c r="AA589" s="104" t="str">
        <f>IFERROR((VLOOKUP(D589,'Species Codes'!B:G,6,0)*Z589)/2000,"")</f>
        <v/>
      </c>
      <c r="AB589" s="104" t="e">
        <f>IF(Z589&gt;0,((IF(OR(D589="DF",D589="RA")=TRUE,EXP(VLOOKUP(D589,'Species Codes'!B:I,8,0)+VLOOKUP(D589,'Species Codes'!B:J,9,0)*(LN((E589*2.54)))),IF(OR(D589="PY",D589="RC",D589="WH",D589="NF")=TRUE,VLOOKUP(D589,'Species Codes'!B:I,8,0)+VLOOKUP(D589,'Species Codes'!B:J,9,0)*((E589*2.54)^2)*(I589*0.3048),IF(OR(D589="MD",D589="BM",D589="GA")=TRUE,((VLOOKUP(D589,'Species Codes'!B:I,8,0)*(((((E589*2.54)+VLOOKUP(D589,'Species Codes'!B:J,9,0))/VLOOKUP(D589,'Species Codes'!B:K,10,0))^VLOOKUP(D589,'Species Codes'!B:L,11,0))*((I589*0.3048)^VLOOKUP(D589,'Species Codes'!B:M,12,0))))-(VLOOKUP(D589,'Species Codes'!B:I,8,0)*((((E589*2.54)^VLOOKUP(D589,'Species Codes'!B:L,11,0))*((I589*0.3048)^VLOOKUP(D589,'Species Codes'!B:M,12,0))))))*35.3*VLOOKUP(D589,'Species Codes'!B:G,6,0)/2.2046,VLOOKUP(D589,'Species Codes'!B:I,8,0)+VLOOKUP(D589,'Species Codes'!B:J,9,0)*(((E589*2.54)/100)^2)*(I589*0.3048)))))*0.0011023),0)</f>
        <v>#N/A</v>
      </c>
      <c r="AC589" s="104" t="e">
        <f>IF(Z589&gt;0,((IF(OR(D589="RA",D589="OA",D589="OT",D589="UN",D589="PC"),EXP(VLOOKUP(D589,'Species Codes'!B:O,14,0)+VLOOKUP(D589,'Species Codes'!B:P,15,0)*LN((E589*2.54)))-EXP(VLOOKUP(D589,'Species Codes'!B:O,14,0)+VLOOKUP(D589,'Species Codes'!B:P,15,0)*LN((E589*2.54)))*(1/(VLOOKUP(D589,'Species Codes'!B:Q,16,0)+VLOOKUP(D589,'Species Codes'!B:R,17,0)*((E589*2.54)^VLOOKUP(D589,'Species Codes'!B:S,18,0)))),IF(OR(D589="BM",D589="MD",D589="OA"),EXP(VLOOKUP(D589,'Species Codes'!B:O,14,0)+VLOOKUP(D589,'Species Codes'!B:P,15,0)*LN((E589*2.54)))*(1-(1/(VLOOKUP(D589,'Species Codes'!B:Q,16,0)+VLOOKUP(D589,'Species Codes'!B:R,17,0)*((E589*2.54)^VLOOKUP(D589,'Species Codes'!B:S,18,0)))))/1000,IF(D589="DF",EXP(VLOOKUP(D589,'Species Codes'!B:O,14,0)+VLOOKUP(D589,'Species Codes'!B:P,15,0)*LN((E589*2.54))),VLOOKUP(D589,'Species Codes'!B:O,14,0)+VLOOKUP(D589,'Species Codes'!B:P,15,0)*(((E589*2.54)/100)^2)*(I589*0.3048)))))*0.0011023),0)</f>
        <v>#N/A</v>
      </c>
      <c r="AD589" s="104" t="e">
        <f t="shared" si="274"/>
        <v>#N/A</v>
      </c>
      <c r="AE589" s="104" t="e">
        <f t="shared" si="275"/>
        <v>#N/A</v>
      </c>
      <c r="AF589" s="104" t="e">
        <f>IF(AND(VLOOKUP($D589,Merchantability!$B:$C,2,0)="Yes",$E589&gt;=VLOOKUP($D589,Merchantability!$B:$D,3,0),$E589&lt;=VLOOKUP($D589,Merchantability!$B:$E,4,0)),AA589,0)</f>
        <v>#N/A</v>
      </c>
      <c r="AG589" s="104" t="e">
        <f>IF(AND(VLOOKUP($D589,Merchantability!$B:$C,2,0)="Yes",$E589&gt;=VLOOKUP($D589,Merchantability!$B:$D,3,0),$E589&lt;=VLOOKUP($D589,Merchantability!$B:$E,4,0)),AB589,0)</f>
        <v>#N/A</v>
      </c>
      <c r="AH589" s="104" t="e">
        <f>IF(AND(VLOOKUP($D589,Merchantability!$B:$C,2,0)="Yes",$E589&gt;=VLOOKUP($D589,Merchantability!$B:$D,3,0),$E589&lt;=VLOOKUP($D589,Merchantability!$B:$E,4,0)),AC589,0)</f>
        <v>#N/A</v>
      </c>
      <c r="AI589" s="104" t="e">
        <f t="shared" si="276"/>
        <v>#N/A</v>
      </c>
      <c r="AJ589" s="104" t="e">
        <f t="shared" si="277"/>
        <v>#VALUE!</v>
      </c>
      <c r="AK589" s="104" t="e">
        <f t="shared" si="278"/>
        <v>#N/A</v>
      </c>
      <c r="AL589" s="104" t="e">
        <f t="shared" si="279"/>
        <v>#N/A</v>
      </c>
      <c r="AM589" s="104" t="e">
        <f t="shared" si="280"/>
        <v>#N/A</v>
      </c>
      <c r="AN589" s="104" t="e">
        <f t="shared" si="291"/>
        <v>#N/A</v>
      </c>
      <c r="AO589" s="104" t="e">
        <f t="shared" si="292"/>
        <v>#N/A</v>
      </c>
      <c r="AP589" s="104" t="e">
        <f t="shared" si="293"/>
        <v>#N/A</v>
      </c>
      <c r="AQ589" s="104" t="e">
        <f t="shared" si="294"/>
        <v>#N/A</v>
      </c>
      <c r="AR589" s="105" t="str">
        <f t="shared" si="286"/>
        <v/>
      </c>
      <c r="AS589" s="105" t="str">
        <f t="shared" si="287"/>
        <v/>
      </c>
      <c r="AT589" s="108" t="str">
        <f t="shared" si="288"/>
        <v/>
      </c>
      <c r="AU589" s="108" t="str">
        <f t="shared" si="289"/>
        <v/>
      </c>
      <c r="AV589" s="107" t="str">
        <f>IF(ISNUMBER(O589),IF(VLOOKUP($A589,Stand!C:J,8,FALSE)="Short",AT589,AU589),"")</f>
        <v/>
      </c>
      <c r="AW589" s="109" t="str">
        <f t="shared" si="295"/>
        <v/>
      </c>
      <c r="AX589" s="109" t="str">
        <f t="shared" si="296"/>
        <v/>
      </c>
      <c r="AY589" s="112" t="str">
        <f>IF(ISNUMBER(O589),IF(AND(VLOOKUP($D589,Merchantability!$B:$C,2,0)="Yes",$E589&gt;=VLOOKUP($D589,Merchantability!$B:$D,3,0),$E589&lt;=VLOOKUP($D589,Merchantability!$B:$E,4,0)),(AV589*O589)*(1-$H589/100),""),"")</f>
        <v/>
      </c>
      <c r="AZ589" s="116"/>
      <c r="BA589" s="116"/>
      <c r="BB589" s="116"/>
      <c r="BE589" s="62"/>
      <c r="BF589" s="63"/>
    </row>
    <row r="590" spans="1:58" ht="12.75" customHeight="1" x14ac:dyDescent="0.25">
      <c r="A590" s="313"/>
      <c r="B590" s="328"/>
      <c r="C590" s="329"/>
      <c r="D590" s="328"/>
      <c r="E590" s="330"/>
      <c r="F590" s="328"/>
      <c r="G590" s="329"/>
      <c r="H590" s="329"/>
      <c r="I590" s="328"/>
      <c r="J590" s="383"/>
      <c r="K590" s="329"/>
      <c r="L590" s="329"/>
      <c r="M590" s="78"/>
      <c r="N590" s="103" t="str">
        <f>IF(A590="","",VLOOKUP(A590,Stand!C:K,9,0))</f>
        <v/>
      </c>
      <c r="O590" s="104" t="str">
        <f t="shared" si="281"/>
        <v/>
      </c>
      <c r="P590" s="105" t="str">
        <f t="shared" si="282"/>
        <v/>
      </c>
      <c r="Q590" s="105" t="str">
        <f t="shared" si="270"/>
        <v/>
      </c>
      <c r="R590" s="103" t="str">
        <f t="shared" si="283"/>
        <v/>
      </c>
      <c r="S590" s="103" t="str">
        <f t="shared" si="284"/>
        <v/>
      </c>
      <c r="T590" s="106" t="str">
        <f t="shared" si="271"/>
        <v/>
      </c>
      <c r="U590" s="106" t="str">
        <f t="shared" si="272"/>
        <v/>
      </c>
      <c r="V590" s="106" t="str">
        <f t="shared" si="273"/>
        <v/>
      </c>
      <c r="W590" s="105" t="str">
        <f t="shared" si="285"/>
        <v/>
      </c>
      <c r="X590" s="104" t="str">
        <f t="shared" si="290"/>
        <v/>
      </c>
      <c r="Y590" s="104" t="str">
        <f t="array" ref="Y590">IFERROR(IF(ISNUMBER(O590),IF(COUNT(IF(A590=$A$2:$A$2427,IF(D590=$D$2:$D$2427,IF($X$2:$X$2427&gt;0,1))))&gt;0,SUM(IF(A590=$A$2:$A$2427,IF(D590=$D$2:$D$2427,$X$2:$X$2427)))/COUNT(IF(A590=$A$2:$A$2427,IF(D590=$D$2:$D$2427,IF(ISNUMBER($X$2:$X$2427),1)))),0),""),0)</f>
        <v/>
      </c>
      <c r="Z590" s="104" t="str">
        <f>IF(ISNUMBER(O590),IF(I590&gt;0,(10^(VLOOKUP(D590,'Species Codes'!B:C,2,0)+VLOOKUP(D590,'Species Codes'!B:D,3,0)*LOG(E590)+VLOOKUP(D590,'Species Codes'!B:E,4,0)*LOG(I590))),0),"")</f>
        <v/>
      </c>
      <c r="AA590" s="104" t="str">
        <f>IFERROR((VLOOKUP(D590,'Species Codes'!B:G,6,0)*Z590)/2000,"")</f>
        <v/>
      </c>
      <c r="AB590" s="104" t="e">
        <f>IF(Z590&gt;0,((IF(OR(D590="DF",D590="RA")=TRUE,EXP(VLOOKUP(D590,'Species Codes'!B:I,8,0)+VLOOKUP(D590,'Species Codes'!B:J,9,0)*(LN((E590*2.54)))),IF(OR(D590="PY",D590="RC",D590="WH",D590="NF")=TRUE,VLOOKUP(D590,'Species Codes'!B:I,8,0)+VLOOKUP(D590,'Species Codes'!B:J,9,0)*((E590*2.54)^2)*(I590*0.3048),IF(OR(D590="MD",D590="BM",D590="GA")=TRUE,((VLOOKUP(D590,'Species Codes'!B:I,8,0)*(((((E590*2.54)+VLOOKUP(D590,'Species Codes'!B:J,9,0))/VLOOKUP(D590,'Species Codes'!B:K,10,0))^VLOOKUP(D590,'Species Codes'!B:L,11,0))*((I590*0.3048)^VLOOKUP(D590,'Species Codes'!B:M,12,0))))-(VLOOKUP(D590,'Species Codes'!B:I,8,0)*((((E590*2.54)^VLOOKUP(D590,'Species Codes'!B:L,11,0))*((I590*0.3048)^VLOOKUP(D590,'Species Codes'!B:M,12,0))))))*35.3*VLOOKUP(D590,'Species Codes'!B:G,6,0)/2.2046,VLOOKUP(D590,'Species Codes'!B:I,8,0)+VLOOKUP(D590,'Species Codes'!B:J,9,0)*(((E590*2.54)/100)^2)*(I590*0.3048)))))*0.0011023),0)</f>
        <v>#N/A</v>
      </c>
      <c r="AC590" s="104" t="e">
        <f>IF(Z590&gt;0,((IF(OR(D590="RA",D590="OA",D590="OT",D590="UN",D590="PC"),EXP(VLOOKUP(D590,'Species Codes'!B:O,14,0)+VLOOKUP(D590,'Species Codes'!B:P,15,0)*LN((E590*2.54)))-EXP(VLOOKUP(D590,'Species Codes'!B:O,14,0)+VLOOKUP(D590,'Species Codes'!B:P,15,0)*LN((E590*2.54)))*(1/(VLOOKUP(D590,'Species Codes'!B:Q,16,0)+VLOOKUP(D590,'Species Codes'!B:R,17,0)*((E590*2.54)^VLOOKUP(D590,'Species Codes'!B:S,18,0)))),IF(OR(D590="BM",D590="MD",D590="OA"),EXP(VLOOKUP(D590,'Species Codes'!B:O,14,0)+VLOOKUP(D590,'Species Codes'!B:P,15,0)*LN((E590*2.54)))*(1-(1/(VLOOKUP(D590,'Species Codes'!B:Q,16,0)+VLOOKUP(D590,'Species Codes'!B:R,17,0)*((E590*2.54)^VLOOKUP(D590,'Species Codes'!B:S,18,0)))))/1000,IF(D590="DF",EXP(VLOOKUP(D590,'Species Codes'!B:O,14,0)+VLOOKUP(D590,'Species Codes'!B:P,15,0)*LN((E590*2.54))),VLOOKUP(D590,'Species Codes'!B:O,14,0)+VLOOKUP(D590,'Species Codes'!B:P,15,0)*(((E590*2.54)/100)^2)*(I590*0.3048)))))*0.0011023),0)</f>
        <v>#N/A</v>
      </c>
      <c r="AD590" s="104" t="e">
        <f t="shared" si="274"/>
        <v>#N/A</v>
      </c>
      <c r="AE590" s="104" t="e">
        <f t="shared" si="275"/>
        <v>#N/A</v>
      </c>
      <c r="AF590" s="104" t="e">
        <f>IF(AND(VLOOKUP($D590,Merchantability!$B:$C,2,0)="Yes",$E590&gt;=VLOOKUP($D590,Merchantability!$B:$D,3,0),$E590&lt;=VLOOKUP($D590,Merchantability!$B:$E,4,0)),AA590,0)</f>
        <v>#N/A</v>
      </c>
      <c r="AG590" s="104" t="e">
        <f>IF(AND(VLOOKUP($D590,Merchantability!$B:$C,2,0)="Yes",$E590&gt;=VLOOKUP($D590,Merchantability!$B:$D,3,0),$E590&lt;=VLOOKUP($D590,Merchantability!$B:$E,4,0)),AB590,0)</f>
        <v>#N/A</v>
      </c>
      <c r="AH590" s="104" t="e">
        <f>IF(AND(VLOOKUP($D590,Merchantability!$B:$C,2,0)="Yes",$E590&gt;=VLOOKUP($D590,Merchantability!$B:$D,3,0),$E590&lt;=VLOOKUP($D590,Merchantability!$B:$E,4,0)),AC590,0)</f>
        <v>#N/A</v>
      </c>
      <c r="AI590" s="104" t="e">
        <f t="shared" si="276"/>
        <v>#N/A</v>
      </c>
      <c r="AJ590" s="104" t="e">
        <f t="shared" si="277"/>
        <v>#VALUE!</v>
      </c>
      <c r="AK590" s="104" t="e">
        <f t="shared" si="278"/>
        <v>#N/A</v>
      </c>
      <c r="AL590" s="104" t="e">
        <f t="shared" si="279"/>
        <v>#N/A</v>
      </c>
      <c r="AM590" s="104" t="e">
        <f t="shared" si="280"/>
        <v>#N/A</v>
      </c>
      <c r="AN590" s="104" t="e">
        <f t="shared" si="291"/>
        <v>#N/A</v>
      </c>
      <c r="AO590" s="104" t="e">
        <f t="shared" si="292"/>
        <v>#N/A</v>
      </c>
      <c r="AP590" s="104" t="e">
        <f t="shared" si="293"/>
        <v>#N/A</v>
      </c>
      <c r="AQ590" s="104" t="e">
        <f t="shared" si="294"/>
        <v>#N/A</v>
      </c>
      <c r="AR590" s="105" t="str">
        <f t="shared" si="286"/>
        <v/>
      </c>
      <c r="AS590" s="105" t="str">
        <f t="shared" si="287"/>
        <v/>
      </c>
      <c r="AT590" s="108" t="str">
        <f t="shared" si="288"/>
        <v/>
      </c>
      <c r="AU590" s="108" t="str">
        <f t="shared" si="289"/>
        <v/>
      </c>
      <c r="AV590" s="107" t="str">
        <f>IF(ISNUMBER(O590),IF(VLOOKUP($A590,Stand!C:J,8,FALSE)="Short",AT590,AU590),"")</f>
        <v/>
      </c>
      <c r="AW590" s="109" t="str">
        <f t="shared" si="295"/>
        <v/>
      </c>
      <c r="AX590" s="109" t="str">
        <f t="shared" si="296"/>
        <v/>
      </c>
      <c r="AY590" s="112" t="str">
        <f>IF(ISNUMBER(O590),IF(AND(VLOOKUP($D590,Merchantability!$B:$C,2,0)="Yes",$E590&gt;=VLOOKUP($D590,Merchantability!$B:$D,3,0),$E590&lt;=VLOOKUP($D590,Merchantability!$B:$E,4,0)),(AV590*O590)*(1-$H590/100),""),"")</f>
        <v/>
      </c>
      <c r="AZ590" s="116"/>
      <c r="BA590" s="116"/>
      <c r="BB590" s="116"/>
      <c r="BE590" s="62"/>
      <c r="BF590" s="63"/>
    </row>
    <row r="591" spans="1:58" ht="12.75" customHeight="1" x14ac:dyDescent="0.25">
      <c r="A591" s="313"/>
      <c r="B591" s="328"/>
      <c r="C591" s="329"/>
      <c r="D591" s="328"/>
      <c r="E591" s="330"/>
      <c r="F591" s="328"/>
      <c r="G591" s="329"/>
      <c r="H591" s="329"/>
      <c r="I591" s="328"/>
      <c r="J591" s="383"/>
      <c r="K591" s="329"/>
      <c r="L591" s="329"/>
      <c r="M591" s="78"/>
      <c r="N591" s="103" t="str">
        <f>IF(A591="","",VLOOKUP(A591,Stand!C:K,9,0))</f>
        <v/>
      </c>
      <c r="O591" s="104" t="str">
        <f t="shared" si="281"/>
        <v/>
      </c>
      <c r="P591" s="105" t="str">
        <f t="shared" si="282"/>
        <v/>
      </c>
      <c r="Q591" s="105" t="str">
        <f t="shared" si="270"/>
        <v/>
      </c>
      <c r="R591" s="103" t="str">
        <f t="shared" si="283"/>
        <v/>
      </c>
      <c r="S591" s="103" t="str">
        <f t="shared" si="284"/>
        <v/>
      </c>
      <c r="T591" s="106" t="str">
        <f t="shared" si="271"/>
        <v/>
      </c>
      <c r="U591" s="106" t="str">
        <f t="shared" si="272"/>
        <v/>
      </c>
      <c r="V591" s="106" t="str">
        <f t="shared" si="273"/>
        <v/>
      </c>
      <c r="W591" s="105" t="str">
        <f t="shared" si="285"/>
        <v/>
      </c>
      <c r="X591" s="104" t="str">
        <f t="shared" si="290"/>
        <v/>
      </c>
      <c r="Y591" s="104" t="str">
        <f t="array" ref="Y591">IFERROR(IF(ISNUMBER(O591),IF(COUNT(IF(A591=$A$2:$A$2427,IF(D591=$D$2:$D$2427,IF($X$2:$X$2427&gt;0,1))))&gt;0,SUM(IF(A591=$A$2:$A$2427,IF(D591=$D$2:$D$2427,$X$2:$X$2427)))/COUNT(IF(A591=$A$2:$A$2427,IF(D591=$D$2:$D$2427,IF(ISNUMBER($X$2:$X$2427),1)))),0),""),0)</f>
        <v/>
      </c>
      <c r="Z591" s="104" t="str">
        <f>IF(ISNUMBER(O591),IF(I591&gt;0,(10^(VLOOKUP(D591,'Species Codes'!B:C,2,0)+VLOOKUP(D591,'Species Codes'!B:D,3,0)*LOG(E591)+VLOOKUP(D591,'Species Codes'!B:E,4,0)*LOG(I591))),0),"")</f>
        <v/>
      </c>
      <c r="AA591" s="104" t="str">
        <f>IFERROR((VLOOKUP(D591,'Species Codes'!B:G,6,0)*Z591)/2000,"")</f>
        <v/>
      </c>
      <c r="AB591" s="104" t="e">
        <f>IF(Z591&gt;0,((IF(OR(D591="DF",D591="RA")=TRUE,EXP(VLOOKUP(D591,'Species Codes'!B:I,8,0)+VLOOKUP(D591,'Species Codes'!B:J,9,0)*(LN((E591*2.54)))),IF(OR(D591="PY",D591="RC",D591="WH",D591="NF")=TRUE,VLOOKUP(D591,'Species Codes'!B:I,8,0)+VLOOKUP(D591,'Species Codes'!B:J,9,0)*((E591*2.54)^2)*(I591*0.3048),IF(OR(D591="MD",D591="BM",D591="GA")=TRUE,((VLOOKUP(D591,'Species Codes'!B:I,8,0)*(((((E591*2.54)+VLOOKUP(D591,'Species Codes'!B:J,9,0))/VLOOKUP(D591,'Species Codes'!B:K,10,0))^VLOOKUP(D591,'Species Codes'!B:L,11,0))*((I591*0.3048)^VLOOKUP(D591,'Species Codes'!B:M,12,0))))-(VLOOKUP(D591,'Species Codes'!B:I,8,0)*((((E591*2.54)^VLOOKUP(D591,'Species Codes'!B:L,11,0))*((I591*0.3048)^VLOOKUP(D591,'Species Codes'!B:M,12,0))))))*35.3*VLOOKUP(D591,'Species Codes'!B:G,6,0)/2.2046,VLOOKUP(D591,'Species Codes'!B:I,8,0)+VLOOKUP(D591,'Species Codes'!B:J,9,0)*(((E591*2.54)/100)^2)*(I591*0.3048)))))*0.0011023),0)</f>
        <v>#N/A</v>
      </c>
      <c r="AC591" s="104" t="e">
        <f>IF(Z591&gt;0,((IF(OR(D591="RA",D591="OA",D591="OT",D591="UN",D591="PC"),EXP(VLOOKUP(D591,'Species Codes'!B:O,14,0)+VLOOKUP(D591,'Species Codes'!B:P,15,0)*LN((E591*2.54)))-EXP(VLOOKUP(D591,'Species Codes'!B:O,14,0)+VLOOKUP(D591,'Species Codes'!B:P,15,0)*LN((E591*2.54)))*(1/(VLOOKUP(D591,'Species Codes'!B:Q,16,0)+VLOOKUP(D591,'Species Codes'!B:R,17,0)*((E591*2.54)^VLOOKUP(D591,'Species Codes'!B:S,18,0)))),IF(OR(D591="BM",D591="MD",D591="OA"),EXP(VLOOKUP(D591,'Species Codes'!B:O,14,0)+VLOOKUP(D591,'Species Codes'!B:P,15,0)*LN((E591*2.54)))*(1-(1/(VLOOKUP(D591,'Species Codes'!B:Q,16,0)+VLOOKUP(D591,'Species Codes'!B:R,17,0)*((E591*2.54)^VLOOKUP(D591,'Species Codes'!B:S,18,0)))))/1000,IF(D591="DF",EXP(VLOOKUP(D591,'Species Codes'!B:O,14,0)+VLOOKUP(D591,'Species Codes'!B:P,15,0)*LN((E591*2.54))),VLOOKUP(D591,'Species Codes'!B:O,14,0)+VLOOKUP(D591,'Species Codes'!B:P,15,0)*(((E591*2.54)/100)^2)*(I591*0.3048)))))*0.0011023),0)</f>
        <v>#N/A</v>
      </c>
      <c r="AD591" s="104" t="e">
        <f t="shared" si="274"/>
        <v>#N/A</v>
      </c>
      <c r="AE591" s="104" t="e">
        <f t="shared" si="275"/>
        <v>#N/A</v>
      </c>
      <c r="AF591" s="104" t="e">
        <f>IF(AND(VLOOKUP($D591,Merchantability!$B:$C,2,0)="Yes",$E591&gt;=VLOOKUP($D591,Merchantability!$B:$D,3,0),$E591&lt;=VLOOKUP($D591,Merchantability!$B:$E,4,0)),AA591,0)</f>
        <v>#N/A</v>
      </c>
      <c r="AG591" s="104" t="e">
        <f>IF(AND(VLOOKUP($D591,Merchantability!$B:$C,2,0)="Yes",$E591&gt;=VLOOKUP($D591,Merchantability!$B:$D,3,0),$E591&lt;=VLOOKUP($D591,Merchantability!$B:$E,4,0)),AB591,0)</f>
        <v>#N/A</v>
      </c>
      <c r="AH591" s="104" t="e">
        <f>IF(AND(VLOOKUP($D591,Merchantability!$B:$C,2,0)="Yes",$E591&gt;=VLOOKUP($D591,Merchantability!$B:$D,3,0),$E591&lt;=VLOOKUP($D591,Merchantability!$B:$E,4,0)),AC591,0)</f>
        <v>#N/A</v>
      </c>
      <c r="AI591" s="104" t="e">
        <f t="shared" si="276"/>
        <v>#N/A</v>
      </c>
      <c r="AJ591" s="104" t="e">
        <f t="shared" si="277"/>
        <v>#VALUE!</v>
      </c>
      <c r="AK591" s="104" t="e">
        <f t="shared" si="278"/>
        <v>#N/A</v>
      </c>
      <c r="AL591" s="104" t="e">
        <f t="shared" si="279"/>
        <v>#N/A</v>
      </c>
      <c r="AM591" s="104" t="e">
        <f t="shared" si="280"/>
        <v>#N/A</v>
      </c>
      <c r="AN591" s="104" t="e">
        <f t="shared" si="291"/>
        <v>#N/A</v>
      </c>
      <c r="AO591" s="104" t="e">
        <f t="shared" si="292"/>
        <v>#N/A</v>
      </c>
      <c r="AP591" s="104" t="e">
        <f t="shared" si="293"/>
        <v>#N/A</v>
      </c>
      <c r="AQ591" s="104" t="e">
        <f t="shared" si="294"/>
        <v>#N/A</v>
      </c>
      <c r="AR591" s="105" t="str">
        <f t="shared" si="286"/>
        <v/>
      </c>
      <c r="AS591" s="105" t="str">
        <f t="shared" si="287"/>
        <v/>
      </c>
      <c r="AT591" s="108" t="str">
        <f t="shared" si="288"/>
        <v/>
      </c>
      <c r="AU591" s="108" t="str">
        <f t="shared" si="289"/>
        <v/>
      </c>
      <c r="AV591" s="107" t="str">
        <f>IF(ISNUMBER(O591),IF(VLOOKUP($A591,Stand!C:J,8,FALSE)="Short",AT591,AU591),"")</f>
        <v/>
      </c>
      <c r="AW591" s="109" t="str">
        <f t="shared" si="295"/>
        <v/>
      </c>
      <c r="AX591" s="109" t="str">
        <f t="shared" si="296"/>
        <v/>
      </c>
      <c r="AY591" s="112" t="str">
        <f>IF(ISNUMBER(O591),IF(AND(VLOOKUP($D591,Merchantability!$B:$C,2,0)="Yes",$E591&gt;=VLOOKUP($D591,Merchantability!$B:$D,3,0),$E591&lt;=VLOOKUP($D591,Merchantability!$B:$E,4,0)),(AV591*O591)*(1-$H591/100),""),"")</f>
        <v/>
      </c>
      <c r="AZ591" s="116"/>
      <c r="BA591" s="116"/>
      <c r="BB591" s="116"/>
      <c r="BE591" s="62"/>
      <c r="BF591" s="63"/>
    </row>
    <row r="592" spans="1:58" ht="12.75" customHeight="1" x14ac:dyDescent="0.25">
      <c r="A592" s="313"/>
      <c r="B592" s="328"/>
      <c r="C592" s="329"/>
      <c r="D592" s="328"/>
      <c r="E592" s="330"/>
      <c r="F592" s="328"/>
      <c r="G592" s="329"/>
      <c r="H592" s="329"/>
      <c r="I592" s="328"/>
      <c r="J592" s="383"/>
      <c r="K592" s="329"/>
      <c r="L592" s="329"/>
      <c r="M592" s="78"/>
      <c r="N592" s="103" t="str">
        <f>IF(A592="","",VLOOKUP(A592,Stand!C:K,9,0))</f>
        <v/>
      </c>
      <c r="O592" s="104" t="str">
        <f t="shared" si="281"/>
        <v/>
      </c>
      <c r="P592" s="105" t="str">
        <f t="shared" si="282"/>
        <v/>
      </c>
      <c r="Q592" s="105" t="str">
        <f t="shared" si="270"/>
        <v/>
      </c>
      <c r="R592" s="103" t="str">
        <f t="shared" si="283"/>
        <v/>
      </c>
      <c r="S592" s="103" t="str">
        <f t="shared" si="284"/>
        <v/>
      </c>
      <c r="T592" s="106" t="str">
        <f t="shared" si="271"/>
        <v/>
      </c>
      <c r="U592" s="106" t="str">
        <f t="shared" si="272"/>
        <v/>
      </c>
      <c r="V592" s="106" t="str">
        <f t="shared" si="273"/>
        <v/>
      </c>
      <c r="W592" s="105" t="str">
        <f t="shared" si="285"/>
        <v/>
      </c>
      <c r="X592" s="104" t="str">
        <f t="shared" si="290"/>
        <v/>
      </c>
      <c r="Y592" s="104" t="str">
        <f t="array" ref="Y592">IFERROR(IF(ISNUMBER(O592),IF(COUNT(IF(A592=$A$2:$A$2427,IF(D592=$D$2:$D$2427,IF($X$2:$X$2427&gt;0,1))))&gt;0,SUM(IF(A592=$A$2:$A$2427,IF(D592=$D$2:$D$2427,$X$2:$X$2427)))/COUNT(IF(A592=$A$2:$A$2427,IF(D592=$D$2:$D$2427,IF(ISNUMBER($X$2:$X$2427),1)))),0),""),0)</f>
        <v/>
      </c>
      <c r="Z592" s="104" t="str">
        <f>IF(ISNUMBER(O592),IF(I592&gt;0,(10^(VLOOKUP(D592,'Species Codes'!B:C,2,0)+VLOOKUP(D592,'Species Codes'!B:D,3,0)*LOG(E592)+VLOOKUP(D592,'Species Codes'!B:E,4,0)*LOG(I592))),0),"")</f>
        <v/>
      </c>
      <c r="AA592" s="104" t="str">
        <f>IFERROR((VLOOKUP(D592,'Species Codes'!B:G,6,0)*Z592)/2000,"")</f>
        <v/>
      </c>
      <c r="AB592" s="104" t="e">
        <f>IF(Z592&gt;0,((IF(OR(D592="DF",D592="RA")=TRUE,EXP(VLOOKUP(D592,'Species Codes'!B:I,8,0)+VLOOKUP(D592,'Species Codes'!B:J,9,0)*(LN((E592*2.54)))),IF(OR(D592="PY",D592="RC",D592="WH",D592="NF")=TRUE,VLOOKUP(D592,'Species Codes'!B:I,8,0)+VLOOKUP(D592,'Species Codes'!B:J,9,0)*((E592*2.54)^2)*(I592*0.3048),IF(OR(D592="MD",D592="BM",D592="GA")=TRUE,((VLOOKUP(D592,'Species Codes'!B:I,8,0)*(((((E592*2.54)+VLOOKUP(D592,'Species Codes'!B:J,9,0))/VLOOKUP(D592,'Species Codes'!B:K,10,0))^VLOOKUP(D592,'Species Codes'!B:L,11,0))*((I592*0.3048)^VLOOKUP(D592,'Species Codes'!B:M,12,0))))-(VLOOKUP(D592,'Species Codes'!B:I,8,0)*((((E592*2.54)^VLOOKUP(D592,'Species Codes'!B:L,11,0))*((I592*0.3048)^VLOOKUP(D592,'Species Codes'!B:M,12,0))))))*35.3*VLOOKUP(D592,'Species Codes'!B:G,6,0)/2.2046,VLOOKUP(D592,'Species Codes'!B:I,8,0)+VLOOKUP(D592,'Species Codes'!B:J,9,0)*(((E592*2.54)/100)^2)*(I592*0.3048)))))*0.0011023),0)</f>
        <v>#N/A</v>
      </c>
      <c r="AC592" s="104" t="e">
        <f>IF(Z592&gt;0,((IF(OR(D592="RA",D592="OA",D592="OT",D592="UN",D592="PC"),EXP(VLOOKUP(D592,'Species Codes'!B:O,14,0)+VLOOKUP(D592,'Species Codes'!B:P,15,0)*LN((E592*2.54)))-EXP(VLOOKUP(D592,'Species Codes'!B:O,14,0)+VLOOKUP(D592,'Species Codes'!B:P,15,0)*LN((E592*2.54)))*(1/(VLOOKUP(D592,'Species Codes'!B:Q,16,0)+VLOOKUP(D592,'Species Codes'!B:R,17,0)*((E592*2.54)^VLOOKUP(D592,'Species Codes'!B:S,18,0)))),IF(OR(D592="BM",D592="MD",D592="OA"),EXP(VLOOKUP(D592,'Species Codes'!B:O,14,0)+VLOOKUP(D592,'Species Codes'!B:P,15,0)*LN((E592*2.54)))*(1-(1/(VLOOKUP(D592,'Species Codes'!B:Q,16,0)+VLOOKUP(D592,'Species Codes'!B:R,17,0)*((E592*2.54)^VLOOKUP(D592,'Species Codes'!B:S,18,0)))))/1000,IF(D592="DF",EXP(VLOOKUP(D592,'Species Codes'!B:O,14,0)+VLOOKUP(D592,'Species Codes'!B:P,15,0)*LN((E592*2.54))),VLOOKUP(D592,'Species Codes'!B:O,14,0)+VLOOKUP(D592,'Species Codes'!B:P,15,0)*(((E592*2.54)/100)^2)*(I592*0.3048)))))*0.0011023),0)</f>
        <v>#N/A</v>
      </c>
      <c r="AD592" s="104" t="e">
        <f t="shared" si="274"/>
        <v>#N/A</v>
      </c>
      <c r="AE592" s="104" t="e">
        <f t="shared" si="275"/>
        <v>#N/A</v>
      </c>
      <c r="AF592" s="104" t="e">
        <f>IF(AND(VLOOKUP($D592,Merchantability!$B:$C,2,0)="Yes",$E592&gt;=VLOOKUP($D592,Merchantability!$B:$D,3,0),$E592&lt;=VLOOKUP($D592,Merchantability!$B:$E,4,0)),AA592,0)</f>
        <v>#N/A</v>
      </c>
      <c r="AG592" s="104" t="e">
        <f>IF(AND(VLOOKUP($D592,Merchantability!$B:$C,2,0)="Yes",$E592&gt;=VLOOKUP($D592,Merchantability!$B:$D,3,0),$E592&lt;=VLOOKUP($D592,Merchantability!$B:$E,4,0)),AB592,0)</f>
        <v>#N/A</v>
      </c>
      <c r="AH592" s="104" t="e">
        <f>IF(AND(VLOOKUP($D592,Merchantability!$B:$C,2,0)="Yes",$E592&gt;=VLOOKUP($D592,Merchantability!$B:$D,3,0),$E592&lt;=VLOOKUP($D592,Merchantability!$B:$E,4,0)),AC592,0)</f>
        <v>#N/A</v>
      </c>
      <c r="AI592" s="104" t="e">
        <f t="shared" si="276"/>
        <v>#N/A</v>
      </c>
      <c r="AJ592" s="104" t="e">
        <f t="shared" si="277"/>
        <v>#VALUE!</v>
      </c>
      <c r="AK592" s="104" t="e">
        <f t="shared" si="278"/>
        <v>#N/A</v>
      </c>
      <c r="AL592" s="104" t="e">
        <f t="shared" si="279"/>
        <v>#N/A</v>
      </c>
      <c r="AM592" s="104" t="e">
        <f t="shared" si="280"/>
        <v>#N/A</v>
      </c>
      <c r="AN592" s="104" t="e">
        <f t="shared" si="291"/>
        <v>#N/A</v>
      </c>
      <c r="AO592" s="104" t="e">
        <f t="shared" si="292"/>
        <v>#N/A</v>
      </c>
      <c r="AP592" s="104" t="e">
        <f t="shared" si="293"/>
        <v>#N/A</v>
      </c>
      <c r="AQ592" s="104" t="e">
        <f t="shared" si="294"/>
        <v>#N/A</v>
      </c>
      <c r="AR592" s="105" t="str">
        <f t="shared" si="286"/>
        <v/>
      </c>
      <c r="AS592" s="105" t="str">
        <f t="shared" si="287"/>
        <v/>
      </c>
      <c r="AT592" s="108" t="str">
        <f t="shared" si="288"/>
        <v/>
      </c>
      <c r="AU592" s="108" t="str">
        <f t="shared" si="289"/>
        <v/>
      </c>
      <c r="AV592" s="107" t="str">
        <f>IF(ISNUMBER(O592),IF(VLOOKUP($A592,Stand!C:J,8,FALSE)="Short",AT592,AU592),"")</f>
        <v/>
      </c>
      <c r="AW592" s="109" t="str">
        <f t="shared" si="295"/>
        <v/>
      </c>
      <c r="AX592" s="109" t="str">
        <f t="shared" si="296"/>
        <v/>
      </c>
      <c r="AY592" s="112" t="str">
        <f>IF(ISNUMBER(O592),IF(AND(VLOOKUP($D592,Merchantability!$B:$C,2,0)="Yes",$E592&gt;=VLOOKUP($D592,Merchantability!$B:$D,3,0),$E592&lt;=VLOOKUP($D592,Merchantability!$B:$E,4,0)),(AV592*O592)*(1-$H592/100),""),"")</f>
        <v/>
      </c>
      <c r="AZ592" s="116"/>
      <c r="BA592" s="116"/>
      <c r="BB592" s="116"/>
      <c r="BE592" s="62"/>
      <c r="BF592" s="63"/>
    </row>
    <row r="593" spans="1:58" ht="12.75" customHeight="1" x14ac:dyDescent="0.25">
      <c r="A593" s="313"/>
      <c r="B593" s="328"/>
      <c r="C593" s="329"/>
      <c r="D593" s="328"/>
      <c r="E593" s="330"/>
      <c r="F593" s="328"/>
      <c r="G593" s="329"/>
      <c r="H593" s="329"/>
      <c r="I593" s="328"/>
      <c r="J593" s="383"/>
      <c r="K593" s="329"/>
      <c r="L593" s="329"/>
      <c r="M593" s="78"/>
      <c r="N593" s="103" t="str">
        <f>IF(A593="","",VLOOKUP(A593,Stand!C:K,9,0))</f>
        <v/>
      </c>
      <c r="O593" s="104" t="str">
        <f t="shared" si="281"/>
        <v/>
      </c>
      <c r="P593" s="105" t="str">
        <f t="shared" si="282"/>
        <v/>
      </c>
      <c r="Q593" s="105" t="str">
        <f t="shared" si="270"/>
        <v/>
      </c>
      <c r="R593" s="103" t="str">
        <f t="shared" si="283"/>
        <v/>
      </c>
      <c r="S593" s="103" t="str">
        <f t="shared" si="284"/>
        <v/>
      </c>
      <c r="T593" s="106" t="str">
        <f t="shared" si="271"/>
        <v/>
      </c>
      <c r="U593" s="106" t="str">
        <f t="shared" si="272"/>
        <v/>
      </c>
      <c r="V593" s="106" t="str">
        <f t="shared" si="273"/>
        <v/>
      </c>
      <c r="W593" s="105" t="str">
        <f t="shared" si="285"/>
        <v/>
      </c>
      <c r="X593" s="104" t="str">
        <f t="shared" si="290"/>
        <v/>
      </c>
      <c r="Y593" s="104" t="str">
        <f t="array" ref="Y593">IFERROR(IF(ISNUMBER(O593),IF(COUNT(IF(A593=$A$2:$A$2427,IF(D593=$D$2:$D$2427,IF($X$2:$X$2427&gt;0,1))))&gt;0,SUM(IF(A593=$A$2:$A$2427,IF(D593=$D$2:$D$2427,$X$2:$X$2427)))/COUNT(IF(A593=$A$2:$A$2427,IF(D593=$D$2:$D$2427,IF(ISNUMBER($X$2:$X$2427),1)))),0),""),0)</f>
        <v/>
      </c>
      <c r="Z593" s="104" t="str">
        <f>IF(ISNUMBER(O593),IF(I593&gt;0,(10^(VLOOKUP(D593,'Species Codes'!B:C,2,0)+VLOOKUP(D593,'Species Codes'!B:D,3,0)*LOG(E593)+VLOOKUP(D593,'Species Codes'!B:E,4,0)*LOG(I593))),0),"")</f>
        <v/>
      </c>
      <c r="AA593" s="104" t="str">
        <f>IFERROR((VLOOKUP(D593,'Species Codes'!B:G,6,0)*Z593)/2000,"")</f>
        <v/>
      </c>
      <c r="AB593" s="104" t="e">
        <f>IF(Z593&gt;0,((IF(OR(D593="DF",D593="RA")=TRUE,EXP(VLOOKUP(D593,'Species Codes'!B:I,8,0)+VLOOKUP(D593,'Species Codes'!B:J,9,0)*(LN((E593*2.54)))),IF(OR(D593="PY",D593="RC",D593="WH",D593="NF")=TRUE,VLOOKUP(D593,'Species Codes'!B:I,8,0)+VLOOKUP(D593,'Species Codes'!B:J,9,0)*((E593*2.54)^2)*(I593*0.3048),IF(OR(D593="MD",D593="BM",D593="GA")=TRUE,((VLOOKUP(D593,'Species Codes'!B:I,8,0)*(((((E593*2.54)+VLOOKUP(D593,'Species Codes'!B:J,9,0))/VLOOKUP(D593,'Species Codes'!B:K,10,0))^VLOOKUP(D593,'Species Codes'!B:L,11,0))*((I593*0.3048)^VLOOKUP(D593,'Species Codes'!B:M,12,0))))-(VLOOKUP(D593,'Species Codes'!B:I,8,0)*((((E593*2.54)^VLOOKUP(D593,'Species Codes'!B:L,11,0))*((I593*0.3048)^VLOOKUP(D593,'Species Codes'!B:M,12,0))))))*35.3*VLOOKUP(D593,'Species Codes'!B:G,6,0)/2.2046,VLOOKUP(D593,'Species Codes'!B:I,8,0)+VLOOKUP(D593,'Species Codes'!B:J,9,0)*(((E593*2.54)/100)^2)*(I593*0.3048)))))*0.0011023),0)</f>
        <v>#N/A</v>
      </c>
      <c r="AC593" s="104" t="e">
        <f>IF(Z593&gt;0,((IF(OR(D593="RA",D593="OA",D593="OT",D593="UN",D593="PC"),EXP(VLOOKUP(D593,'Species Codes'!B:O,14,0)+VLOOKUP(D593,'Species Codes'!B:P,15,0)*LN((E593*2.54)))-EXP(VLOOKUP(D593,'Species Codes'!B:O,14,0)+VLOOKUP(D593,'Species Codes'!B:P,15,0)*LN((E593*2.54)))*(1/(VLOOKUP(D593,'Species Codes'!B:Q,16,0)+VLOOKUP(D593,'Species Codes'!B:R,17,0)*((E593*2.54)^VLOOKUP(D593,'Species Codes'!B:S,18,0)))),IF(OR(D593="BM",D593="MD",D593="OA"),EXP(VLOOKUP(D593,'Species Codes'!B:O,14,0)+VLOOKUP(D593,'Species Codes'!B:P,15,0)*LN((E593*2.54)))*(1-(1/(VLOOKUP(D593,'Species Codes'!B:Q,16,0)+VLOOKUP(D593,'Species Codes'!B:R,17,0)*((E593*2.54)^VLOOKUP(D593,'Species Codes'!B:S,18,0)))))/1000,IF(D593="DF",EXP(VLOOKUP(D593,'Species Codes'!B:O,14,0)+VLOOKUP(D593,'Species Codes'!B:P,15,0)*LN((E593*2.54))),VLOOKUP(D593,'Species Codes'!B:O,14,0)+VLOOKUP(D593,'Species Codes'!B:P,15,0)*(((E593*2.54)/100)^2)*(I593*0.3048)))))*0.0011023),0)</f>
        <v>#N/A</v>
      </c>
      <c r="AD593" s="104" t="e">
        <f t="shared" si="274"/>
        <v>#N/A</v>
      </c>
      <c r="AE593" s="104" t="e">
        <f t="shared" si="275"/>
        <v>#N/A</v>
      </c>
      <c r="AF593" s="104" t="e">
        <f>IF(AND(VLOOKUP($D593,Merchantability!$B:$C,2,0)="Yes",$E593&gt;=VLOOKUP($D593,Merchantability!$B:$D,3,0),$E593&lt;=VLOOKUP($D593,Merchantability!$B:$E,4,0)),AA593,0)</f>
        <v>#N/A</v>
      </c>
      <c r="AG593" s="104" t="e">
        <f>IF(AND(VLOOKUP($D593,Merchantability!$B:$C,2,0)="Yes",$E593&gt;=VLOOKUP($D593,Merchantability!$B:$D,3,0),$E593&lt;=VLOOKUP($D593,Merchantability!$B:$E,4,0)),AB593,0)</f>
        <v>#N/A</v>
      </c>
      <c r="AH593" s="104" t="e">
        <f>IF(AND(VLOOKUP($D593,Merchantability!$B:$C,2,0)="Yes",$E593&gt;=VLOOKUP($D593,Merchantability!$B:$D,3,0),$E593&lt;=VLOOKUP($D593,Merchantability!$B:$E,4,0)),AC593,0)</f>
        <v>#N/A</v>
      </c>
      <c r="AI593" s="104" t="e">
        <f t="shared" si="276"/>
        <v>#N/A</v>
      </c>
      <c r="AJ593" s="104" t="e">
        <f t="shared" si="277"/>
        <v>#VALUE!</v>
      </c>
      <c r="AK593" s="104" t="e">
        <f t="shared" si="278"/>
        <v>#N/A</v>
      </c>
      <c r="AL593" s="104" t="e">
        <f t="shared" si="279"/>
        <v>#N/A</v>
      </c>
      <c r="AM593" s="104" t="e">
        <f t="shared" si="280"/>
        <v>#N/A</v>
      </c>
      <c r="AN593" s="104" t="e">
        <f t="shared" si="291"/>
        <v>#N/A</v>
      </c>
      <c r="AO593" s="104" t="e">
        <f t="shared" si="292"/>
        <v>#N/A</v>
      </c>
      <c r="AP593" s="104" t="e">
        <f t="shared" si="293"/>
        <v>#N/A</v>
      </c>
      <c r="AQ593" s="104" t="e">
        <f t="shared" si="294"/>
        <v>#N/A</v>
      </c>
      <c r="AR593" s="105" t="str">
        <f t="shared" si="286"/>
        <v/>
      </c>
      <c r="AS593" s="105" t="str">
        <f t="shared" si="287"/>
        <v/>
      </c>
      <c r="AT593" s="108" t="str">
        <f t="shared" si="288"/>
        <v/>
      </c>
      <c r="AU593" s="108" t="str">
        <f t="shared" si="289"/>
        <v/>
      </c>
      <c r="AV593" s="107" t="str">
        <f>IF(ISNUMBER(O593),IF(VLOOKUP($A593,Stand!C:J,8,FALSE)="Short",AT593,AU593),"")</f>
        <v/>
      </c>
      <c r="AW593" s="109" t="str">
        <f t="shared" si="295"/>
        <v/>
      </c>
      <c r="AX593" s="109" t="str">
        <f t="shared" si="296"/>
        <v/>
      </c>
      <c r="AY593" s="112" t="str">
        <f>IF(ISNUMBER(O593),IF(AND(VLOOKUP($D593,Merchantability!$B:$C,2,0)="Yes",$E593&gt;=VLOOKUP($D593,Merchantability!$B:$D,3,0),$E593&lt;=VLOOKUP($D593,Merchantability!$B:$E,4,0)),(AV593*O593)*(1-$H593/100),""),"")</f>
        <v/>
      </c>
      <c r="AZ593" s="116"/>
      <c r="BA593" s="116"/>
      <c r="BB593" s="116"/>
      <c r="BE593" s="62"/>
      <c r="BF593" s="63"/>
    </row>
    <row r="594" spans="1:58" ht="12.75" customHeight="1" x14ac:dyDescent="0.25">
      <c r="A594" s="313"/>
      <c r="B594" s="328"/>
      <c r="C594" s="329"/>
      <c r="D594" s="328"/>
      <c r="E594" s="330"/>
      <c r="F594" s="328"/>
      <c r="G594" s="329"/>
      <c r="H594" s="329"/>
      <c r="I594" s="328"/>
      <c r="J594" s="383"/>
      <c r="K594" s="329"/>
      <c r="L594" s="329"/>
      <c r="M594" s="78"/>
      <c r="N594" s="103" t="str">
        <f>IF(A594="","",VLOOKUP(A594,Stand!C:K,9,0))</f>
        <v/>
      </c>
      <c r="O594" s="104" t="str">
        <f t="shared" si="281"/>
        <v/>
      </c>
      <c r="P594" s="105" t="str">
        <f t="shared" si="282"/>
        <v/>
      </c>
      <c r="Q594" s="105" t="str">
        <f t="shared" si="270"/>
        <v/>
      </c>
      <c r="R594" s="103" t="str">
        <f t="shared" si="283"/>
        <v/>
      </c>
      <c r="S594" s="103" t="str">
        <f t="shared" si="284"/>
        <v/>
      </c>
      <c r="T594" s="106" t="str">
        <f t="shared" si="271"/>
        <v/>
      </c>
      <c r="U594" s="106" t="str">
        <f t="shared" si="272"/>
        <v/>
      </c>
      <c r="V594" s="106" t="str">
        <f t="shared" si="273"/>
        <v/>
      </c>
      <c r="W594" s="105" t="str">
        <f t="shared" si="285"/>
        <v/>
      </c>
      <c r="X594" s="104" t="str">
        <f t="shared" si="290"/>
        <v/>
      </c>
      <c r="Y594" s="104" t="str">
        <f t="array" ref="Y594">IFERROR(IF(ISNUMBER(O594),IF(COUNT(IF(A594=$A$2:$A$2427,IF(D594=$D$2:$D$2427,IF($X$2:$X$2427&gt;0,1))))&gt;0,SUM(IF(A594=$A$2:$A$2427,IF(D594=$D$2:$D$2427,$X$2:$X$2427)))/COUNT(IF(A594=$A$2:$A$2427,IF(D594=$D$2:$D$2427,IF(ISNUMBER($X$2:$X$2427),1)))),0),""),0)</f>
        <v/>
      </c>
      <c r="Z594" s="104" t="str">
        <f>IF(ISNUMBER(O594),IF(I594&gt;0,(10^(VLOOKUP(D594,'Species Codes'!B:C,2,0)+VLOOKUP(D594,'Species Codes'!B:D,3,0)*LOG(E594)+VLOOKUP(D594,'Species Codes'!B:E,4,0)*LOG(I594))),0),"")</f>
        <v/>
      </c>
      <c r="AA594" s="104" t="str">
        <f>IFERROR((VLOOKUP(D594,'Species Codes'!B:G,6,0)*Z594)/2000,"")</f>
        <v/>
      </c>
      <c r="AB594" s="104" t="e">
        <f>IF(Z594&gt;0,((IF(OR(D594="DF",D594="RA")=TRUE,EXP(VLOOKUP(D594,'Species Codes'!B:I,8,0)+VLOOKUP(D594,'Species Codes'!B:J,9,0)*(LN((E594*2.54)))),IF(OR(D594="PY",D594="RC",D594="WH",D594="NF")=TRUE,VLOOKUP(D594,'Species Codes'!B:I,8,0)+VLOOKUP(D594,'Species Codes'!B:J,9,0)*((E594*2.54)^2)*(I594*0.3048),IF(OR(D594="MD",D594="BM",D594="GA")=TRUE,((VLOOKUP(D594,'Species Codes'!B:I,8,0)*(((((E594*2.54)+VLOOKUP(D594,'Species Codes'!B:J,9,0))/VLOOKUP(D594,'Species Codes'!B:K,10,0))^VLOOKUP(D594,'Species Codes'!B:L,11,0))*((I594*0.3048)^VLOOKUP(D594,'Species Codes'!B:M,12,0))))-(VLOOKUP(D594,'Species Codes'!B:I,8,0)*((((E594*2.54)^VLOOKUP(D594,'Species Codes'!B:L,11,0))*((I594*0.3048)^VLOOKUP(D594,'Species Codes'!B:M,12,0))))))*35.3*VLOOKUP(D594,'Species Codes'!B:G,6,0)/2.2046,VLOOKUP(D594,'Species Codes'!B:I,8,0)+VLOOKUP(D594,'Species Codes'!B:J,9,0)*(((E594*2.54)/100)^2)*(I594*0.3048)))))*0.0011023),0)</f>
        <v>#N/A</v>
      </c>
      <c r="AC594" s="104" t="e">
        <f>IF(Z594&gt;0,((IF(OR(D594="RA",D594="OA",D594="OT",D594="UN",D594="PC"),EXP(VLOOKUP(D594,'Species Codes'!B:O,14,0)+VLOOKUP(D594,'Species Codes'!B:P,15,0)*LN((E594*2.54)))-EXP(VLOOKUP(D594,'Species Codes'!B:O,14,0)+VLOOKUP(D594,'Species Codes'!B:P,15,0)*LN((E594*2.54)))*(1/(VLOOKUP(D594,'Species Codes'!B:Q,16,0)+VLOOKUP(D594,'Species Codes'!B:R,17,0)*((E594*2.54)^VLOOKUP(D594,'Species Codes'!B:S,18,0)))),IF(OR(D594="BM",D594="MD",D594="OA"),EXP(VLOOKUP(D594,'Species Codes'!B:O,14,0)+VLOOKUP(D594,'Species Codes'!B:P,15,0)*LN((E594*2.54)))*(1-(1/(VLOOKUP(D594,'Species Codes'!B:Q,16,0)+VLOOKUP(D594,'Species Codes'!B:R,17,0)*((E594*2.54)^VLOOKUP(D594,'Species Codes'!B:S,18,0)))))/1000,IF(D594="DF",EXP(VLOOKUP(D594,'Species Codes'!B:O,14,0)+VLOOKUP(D594,'Species Codes'!B:P,15,0)*LN((E594*2.54))),VLOOKUP(D594,'Species Codes'!B:O,14,0)+VLOOKUP(D594,'Species Codes'!B:P,15,0)*(((E594*2.54)/100)^2)*(I594*0.3048)))))*0.0011023),0)</f>
        <v>#N/A</v>
      </c>
      <c r="AD594" s="104" t="e">
        <f t="shared" si="274"/>
        <v>#N/A</v>
      </c>
      <c r="AE594" s="104" t="e">
        <f t="shared" si="275"/>
        <v>#N/A</v>
      </c>
      <c r="AF594" s="104" t="e">
        <f>IF(AND(VLOOKUP($D594,Merchantability!$B:$C,2,0)="Yes",$E594&gt;=VLOOKUP($D594,Merchantability!$B:$D,3,0),$E594&lt;=VLOOKUP($D594,Merchantability!$B:$E,4,0)),AA594,0)</f>
        <v>#N/A</v>
      </c>
      <c r="AG594" s="104" t="e">
        <f>IF(AND(VLOOKUP($D594,Merchantability!$B:$C,2,0)="Yes",$E594&gt;=VLOOKUP($D594,Merchantability!$B:$D,3,0),$E594&lt;=VLOOKUP($D594,Merchantability!$B:$E,4,0)),AB594,0)</f>
        <v>#N/A</v>
      </c>
      <c r="AH594" s="104" t="e">
        <f>IF(AND(VLOOKUP($D594,Merchantability!$B:$C,2,0)="Yes",$E594&gt;=VLOOKUP($D594,Merchantability!$B:$D,3,0),$E594&lt;=VLOOKUP($D594,Merchantability!$B:$E,4,0)),AC594,0)</f>
        <v>#N/A</v>
      </c>
      <c r="AI594" s="104" t="e">
        <f t="shared" si="276"/>
        <v>#N/A</v>
      </c>
      <c r="AJ594" s="104" t="e">
        <f t="shared" si="277"/>
        <v>#VALUE!</v>
      </c>
      <c r="AK594" s="104" t="e">
        <f t="shared" si="278"/>
        <v>#N/A</v>
      </c>
      <c r="AL594" s="104" t="e">
        <f t="shared" si="279"/>
        <v>#N/A</v>
      </c>
      <c r="AM594" s="104" t="e">
        <f t="shared" si="280"/>
        <v>#N/A</v>
      </c>
      <c r="AN594" s="104" t="e">
        <f t="shared" si="291"/>
        <v>#N/A</v>
      </c>
      <c r="AO594" s="104" t="e">
        <f t="shared" si="292"/>
        <v>#N/A</v>
      </c>
      <c r="AP594" s="104" t="e">
        <f t="shared" si="293"/>
        <v>#N/A</v>
      </c>
      <c r="AQ594" s="104" t="e">
        <f t="shared" si="294"/>
        <v>#N/A</v>
      </c>
      <c r="AR594" s="105" t="str">
        <f t="shared" si="286"/>
        <v/>
      </c>
      <c r="AS594" s="105" t="str">
        <f t="shared" si="287"/>
        <v/>
      </c>
      <c r="AT594" s="108" t="str">
        <f t="shared" si="288"/>
        <v/>
      </c>
      <c r="AU594" s="108" t="str">
        <f t="shared" si="289"/>
        <v/>
      </c>
      <c r="AV594" s="107" t="str">
        <f>IF(ISNUMBER(O594),IF(VLOOKUP($A594,Stand!C:J,8,FALSE)="Short",AT594,AU594),"")</f>
        <v/>
      </c>
      <c r="AW594" s="109" t="str">
        <f t="shared" si="295"/>
        <v/>
      </c>
      <c r="AX594" s="109" t="str">
        <f t="shared" si="296"/>
        <v/>
      </c>
      <c r="AY594" s="112" t="str">
        <f>IF(ISNUMBER(O594),IF(AND(VLOOKUP($D594,Merchantability!$B:$C,2,0)="Yes",$E594&gt;=VLOOKUP($D594,Merchantability!$B:$D,3,0),$E594&lt;=VLOOKUP($D594,Merchantability!$B:$E,4,0)),(AV594*O594)*(1-$H594/100),""),"")</f>
        <v/>
      </c>
      <c r="AZ594" s="116"/>
      <c r="BA594" s="116"/>
      <c r="BB594" s="116"/>
      <c r="BE594" s="62"/>
      <c r="BF594" s="63"/>
    </row>
    <row r="595" spans="1:58" ht="12.75" customHeight="1" x14ac:dyDescent="0.25">
      <c r="A595" s="313"/>
      <c r="B595" s="328"/>
      <c r="C595" s="329"/>
      <c r="D595" s="328"/>
      <c r="E595" s="330"/>
      <c r="F595" s="328"/>
      <c r="G595" s="329"/>
      <c r="H595" s="329"/>
      <c r="I595" s="328"/>
      <c r="J595" s="383"/>
      <c r="K595" s="329"/>
      <c r="L595" s="329"/>
      <c r="M595" s="78"/>
      <c r="N595" s="103" t="str">
        <f>IF(A595="","",VLOOKUP(A595,Stand!C:K,9,0))</f>
        <v/>
      </c>
      <c r="O595" s="104" t="str">
        <f t="shared" si="281"/>
        <v/>
      </c>
      <c r="P595" s="105" t="str">
        <f t="shared" si="282"/>
        <v/>
      </c>
      <c r="Q595" s="105" t="str">
        <f t="shared" si="270"/>
        <v/>
      </c>
      <c r="R595" s="103" t="str">
        <f t="shared" si="283"/>
        <v/>
      </c>
      <c r="S595" s="103" t="str">
        <f t="shared" si="284"/>
        <v/>
      </c>
      <c r="T595" s="106" t="str">
        <f t="shared" si="271"/>
        <v/>
      </c>
      <c r="U595" s="106" t="str">
        <f t="shared" si="272"/>
        <v/>
      </c>
      <c r="V595" s="106" t="str">
        <f t="shared" si="273"/>
        <v/>
      </c>
      <c r="W595" s="105" t="str">
        <f t="shared" si="285"/>
        <v/>
      </c>
      <c r="X595" s="104" t="str">
        <f t="shared" si="290"/>
        <v/>
      </c>
      <c r="Y595" s="104" t="str">
        <f t="array" ref="Y595">IFERROR(IF(ISNUMBER(O595),IF(COUNT(IF(A595=$A$2:$A$2427,IF(D595=$D$2:$D$2427,IF($X$2:$X$2427&gt;0,1))))&gt;0,SUM(IF(A595=$A$2:$A$2427,IF(D595=$D$2:$D$2427,$X$2:$X$2427)))/COUNT(IF(A595=$A$2:$A$2427,IF(D595=$D$2:$D$2427,IF(ISNUMBER($X$2:$X$2427),1)))),0),""),0)</f>
        <v/>
      </c>
      <c r="Z595" s="104" t="str">
        <f>IF(ISNUMBER(O595),IF(I595&gt;0,(10^(VLOOKUP(D595,'Species Codes'!B:C,2,0)+VLOOKUP(D595,'Species Codes'!B:D,3,0)*LOG(E595)+VLOOKUP(D595,'Species Codes'!B:E,4,0)*LOG(I595))),0),"")</f>
        <v/>
      </c>
      <c r="AA595" s="104" t="str">
        <f>IFERROR((VLOOKUP(D595,'Species Codes'!B:G,6,0)*Z595)/2000,"")</f>
        <v/>
      </c>
      <c r="AB595" s="104" t="e">
        <f>IF(Z595&gt;0,((IF(OR(D595="DF",D595="RA")=TRUE,EXP(VLOOKUP(D595,'Species Codes'!B:I,8,0)+VLOOKUP(D595,'Species Codes'!B:J,9,0)*(LN((E595*2.54)))),IF(OR(D595="PY",D595="RC",D595="WH",D595="NF")=TRUE,VLOOKUP(D595,'Species Codes'!B:I,8,0)+VLOOKUP(D595,'Species Codes'!B:J,9,0)*((E595*2.54)^2)*(I595*0.3048),IF(OR(D595="MD",D595="BM",D595="GA")=TRUE,((VLOOKUP(D595,'Species Codes'!B:I,8,0)*(((((E595*2.54)+VLOOKUP(D595,'Species Codes'!B:J,9,0))/VLOOKUP(D595,'Species Codes'!B:K,10,0))^VLOOKUP(D595,'Species Codes'!B:L,11,0))*((I595*0.3048)^VLOOKUP(D595,'Species Codes'!B:M,12,0))))-(VLOOKUP(D595,'Species Codes'!B:I,8,0)*((((E595*2.54)^VLOOKUP(D595,'Species Codes'!B:L,11,0))*((I595*0.3048)^VLOOKUP(D595,'Species Codes'!B:M,12,0))))))*35.3*VLOOKUP(D595,'Species Codes'!B:G,6,0)/2.2046,VLOOKUP(D595,'Species Codes'!B:I,8,0)+VLOOKUP(D595,'Species Codes'!B:J,9,0)*(((E595*2.54)/100)^2)*(I595*0.3048)))))*0.0011023),0)</f>
        <v>#N/A</v>
      </c>
      <c r="AC595" s="104" t="e">
        <f>IF(Z595&gt;0,((IF(OR(D595="RA",D595="OA",D595="OT",D595="UN",D595="PC"),EXP(VLOOKUP(D595,'Species Codes'!B:O,14,0)+VLOOKUP(D595,'Species Codes'!B:P,15,0)*LN((E595*2.54)))-EXP(VLOOKUP(D595,'Species Codes'!B:O,14,0)+VLOOKUP(D595,'Species Codes'!B:P,15,0)*LN((E595*2.54)))*(1/(VLOOKUP(D595,'Species Codes'!B:Q,16,0)+VLOOKUP(D595,'Species Codes'!B:R,17,0)*((E595*2.54)^VLOOKUP(D595,'Species Codes'!B:S,18,0)))),IF(OR(D595="BM",D595="MD",D595="OA"),EXP(VLOOKUP(D595,'Species Codes'!B:O,14,0)+VLOOKUP(D595,'Species Codes'!B:P,15,0)*LN((E595*2.54)))*(1-(1/(VLOOKUP(D595,'Species Codes'!B:Q,16,0)+VLOOKUP(D595,'Species Codes'!B:R,17,0)*((E595*2.54)^VLOOKUP(D595,'Species Codes'!B:S,18,0)))))/1000,IF(D595="DF",EXP(VLOOKUP(D595,'Species Codes'!B:O,14,0)+VLOOKUP(D595,'Species Codes'!B:P,15,0)*LN((E595*2.54))),VLOOKUP(D595,'Species Codes'!B:O,14,0)+VLOOKUP(D595,'Species Codes'!B:P,15,0)*(((E595*2.54)/100)^2)*(I595*0.3048)))))*0.0011023),0)</f>
        <v>#N/A</v>
      </c>
      <c r="AD595" s="104" t="e">
        <f t="shared" si="274"/>
        <v>#N/A</v>
      </c>
      <c r="AE595" s="104" t="e">
        <f t="shared" si="275"/>
        <v>#N/A</v>
      </c>
      <c r="AF595" s="104" t="e">
        <f>IF(AND(VLOOKUP($D595,Merchantability!$B:$C,2,0)="Yes",$E595&gt;=VLOOKUP($D595,Merchantability!$B:$D,3,0),$E595&lt;=VLOOKUP($D595,Merchantability!$B:$E,4,0)),AA595,0)</f>
        <v>#N/A</v>
      </c>
      <c r="AG595" s="104" t="e">
        <f>IF(AND(VLOOKUP($D595,Merchantability!$B:$C,2,0)="Yes",$E595&gt;=VLOOKUP($D595,Merchantability!$B:$D,3,0),$E595&lt;=VLOOKUP($D595,Merchantability!$B:$E,4,0)),AB595,0)</f>
        <v>#N/A</v>
      </c>
      <c r="AH595" s="104" t="e">
        <f>IF(AND(VLOOKUP($D595,Merchantability!$B:$C,2,0)="Yes",$E595&gt;=VLOOKUP($D595,Merchantability!$B:$D,3,0),$E595&lt;=VLOOKUP($D595,Merchantability!$B:$E,4,0)),AC595,0)</f>
        <v>#N/A</v>
      </c>
      <c r="AI595" s="104" t="e">
        <f t="shared" si="276"/>
        <v>#N/A</v>
      </c>
      <c r="AJ595" s="104" t="e">
        <f t="shared" si="277"/>
        <v>#VALUE!</v>
      </c>
      <c r="AK595" s="104" t="e">
        <f t="shared" si="278"/>
        <v>#N/A</v>
      </c>
      <c r="AL595" s="104" t="e">
        <f t="shared" si="279"/>
        <v>#N/A</v>
      </c>
      <c r="AM595" s="104" t="e">
        <f t="shared" si="280"/>
        <v>#N/A</v>
      </c>
      <c r="AN595" s="104" t="e">
        <f t="shared" si="291"/>
        <v>#N/A</v>
      </c>
      <c r="AO595" s="104" t="e">
        <f t="shared" si="292"/>
        <v>#N/A</v>
      </c>
      <c r="AP595" s="104" t="e">
        <f t="shared" si="293"/>
        <v>#N/A</v>
      </c>
      <c r="AQ595" s="104" t="e">
        <f t="shared" si="294"/>
        <v>#N/A</v>
      </c>
      <c r="AR595" s="105" t="str">
        <f t="shared" si="286"/>
        <v/>
      </c>
      <c r="AS595" s="105" t="str">
        <f t="shared" si="287"/>
        <v/>
      </c>
      <c r="AT595" s="108" t="str">
        <f t="shared" si="288"/>
        <v/>
      </c>
      <c r="AU595" s="108" t="str">
        <f t="shared" si="289"/>
        <v/>
      </c>
      <c r="AV595" s="107" t="str">
        <f>IF(ISNUMBER(O595),IF(VLOOKUP($A595,Stand!C:J,8,FALSE)="Short",AT595,AU595),"")</f>
        <v/>
      </c>
      <c r="AW595" s="109" t="str">
        <f t="shared" si="295"/>
        <v/>
      </c>
      <c r="AX595" s="109" t="str">
        <f t="shared" si="296"/>
        <v/>
      </c>
      <c r="AY595" s="112" t="str">
        <f>IF(ISNUMBER(O595),IF(AND(VLOOKUP($D595,Merchantability!$B:$C,2,0)="Yes",$E595&gt;=VLOOKUP($D595,Merchantability!$B:$D,3,0),$E595&lt;=VLOOKUP($D595,Merchantability!$B:$E,4,0)),(AV595*O595)*(1-$H595/100),""),"")</f>
        <v/>
      </c>
      <c r="AZ595" s="116"/>
      <c r="BA595" s="116"/>
      <c r="BB595" s="116"/>
      <c r="BE595" s="62"/>
      <c r="BF595" s="63"/>
    </row>
    <row r="596" spans="1:58" ht="12.75" customHeight="1" x14ac:dyDescent="0.25">
      <c r="A596" s="313"/>
      <c r="B596" s="328"/>
      <c r="C596" s="329"/>
      <c r="D596" s="328"/>
      <c r="E596" s="330"/>
      <c r="F596" s="328"/>
      <c r="G596" s="329"/>
      <c r="H596" s="329"/>
      <c r="I596" s="328"/>
      <c r="J596" s="383"/>
      <c r="K596" s="329"/>
      <c r="L596" s="329"/>
      <c r="M596" s="78"/>
      <c r="N596" s="103" t="str">
        <f>IF(A596="","",VLOOKUP(A596,Stand!C:K,9,0))</f>
        <v/>
      </c>
      <c r="O596" s="104" t="str">
        <f t="shared" si="281"/>
        <v/>
      </c>
      <c r="P596" s="105" t="str">
        <f t="shared" si="282"/>
        <v/>
      </c>
      <c r="Q596" s="105" t="str">
        <f t="shared" si="270"/>
        <v/>
      </c>
      <c r="R596" s="103" t="str">
        <f t="shared" si="283"/>
        <v/>
      </c>
      <c r="S596" s="103" t="str">
        <f t="shared" si="284"/>
        <v/>
      </c>
      <c r="T596" s="106" t="str">
        <f t="shared" si="271"/>
        <v/>
      </c>
      <c r="U596" s="106" t="str">
        <f t="shared" si="272"/>
        <v/>
      </c>
      <c r="V596" s="106" t="str">
        <f t="shared" si="273"/>
        <v/>
      </c>
      <c r="W596" s="105" t="str">
        <f t="shared" si="285"/>
        <v/>
      </c>
      <c r="X596" s="104" t="str">
        <f t="shared" si="290"/>
        <v/>
      </c>
      <c r="Y596" s="104" t="str">
        <f t="array" ref="Y596">IFERROR(IF(ISNUMBER(O596),IF(COUNT(IF(A596=$A$2:$A$2427,IF(D596=$D$2:$D$2427,IF($X$2:$X$2427&gt;0,1))))&gt;0,SUM(IF(A596=$A$2:$A$2427,IF(D596=$D$2:$D$2427,$X$2:$X$2427)))/COUNT(IF(A596=$A$2:$A$2427,IF(D596=$D$2:$D$2427,IF(ISNUMBER($X$2:$X$2427),1)))),0),""),0)</f>
        <v/>
      </c>
      <c r="Z596" s="104" t="str">
        <f>IF(ISNUMBER(O596),IF(I596&gt;0,(10^(VLOOKUP(D596,'Species Codes'!B:C,2,0)+VLOOKUP(D596,'Species Codes'!B:D,3,0)*LOG(E596)+VLOOKUP(D596,'Species Codes'!B:E,4,0)*LOG(I596))),0),"")</f>
        <v/>
      </c>
      <c r="AA596" s="104" t="str">
        <f>IFERROR((VLOOKUP(D596,'Species Codes'!B:G,6,0)*Z596)/2000,"")</f>
        <v/>
      </c>
      <c r="AB596" s="104" t="e">
        <f>IF(Z596&gt;0,((IF(OR(D596="DF",D596="RA")=TRUE,EXP(VLOOKUP(D596,'Species Codes'!B:I,8,0)+VLOOKUP(D596,'Species Codes'!B:J,9,0)*(LN((E596*2.54)))),IF(OR(D596="PY",D596="RC",D596="WH",D596="NF")=TRUE,VLOOKUP(D596,'Species Codes'!B:I,8,0)+VLOOKUP(D596,'Species Codes'!B:J,9,0)*((E596*2.54)^2)*(I596*0.3048),IF(OR(D596="MD",D596="BM",D596="GA")=TRUE,((VLOOKUP(D596,'Species Codes'!B:I,8,0)*(((((E596*2.54)+VLOOKUP(D596,'Species Codes'!B:J,9,0))/VLOOKUP(D596,'Species Codes'!B:K,10,0))^VLOOKUP(D596,'Species Codes'!B:L,11,0))*((I596*0.3048)^VLOOKUP(D596,'Species Codes'!B:M,12,0))))-(VLOOKUP(D596,'Species Codes'!B:I,8,0)*((((E596*2.54)^VLOOKUP(D596,'Species Codes'!B:L,11,0))*((I596*0.3048)^VLOOKUP(D596,'Species Codes'!B:M,12,0))))))*35.3*VLOOKUP(D596,'Species Codes'!B:G,6,0)/2.2046,VLOOKUP(D596,'Species Codes'!B:I,8,0)+VLOOKUP(D596,'Species Codes'!B:J,9,0)*(((E596*2.54)/100)^2)*(I596*0.3048)))))*0.0011023),0)</f>
        <v>#N/A</v>
      </c>
      <c r="AC596" s="104" t="e">
        <f>IF(Z596&gt;0,((IF(OR(D596="RA",D596="OA",D596="OT",D596="UN",D596="PC"),EXP(VLOOKUP(D596,'Species Codes'!B:O,14,0)+VLOOKUP(D596,'Species Codes'!B:P,15,0)*LN((E596*2.54)))-EXP(VLOOKUP(D596,'Species Codes'!B:O,14,0)+VLOOKUP(D596,'Species Codes'!B:P,15,0)*LN((E596*2.54)))*(1/(VLOOKUP(D596,'Species Codes'!B:Q,16,0)+VLOOKUP(D596,'Species Codes'!B:R,17,0)*((E596*2.54)^VLOOKUP(D596,'Species Codes'!B:S,18,0)))),IF(OR(D596="BM",D596="MD",D596="OA"),EXP(VLOOKUP(D596,'Species Codes'!B:O,14,0)+VLOOKUP(D596,'Species Codes'!B:P,15,0)*LN((E596*2.54)))*(1-(1/(VLOOKUP(D596,'Species Codes'!B:Q,16,0)+VLOOKUP(D596,'Species Codes'!B:R,17,0)*((E596*2.54)^VLOOKUP(D596,'Species Codes'!B:S,18,0)))))/1000,IF(D596="DF",EXP(VLOOKUP(D596,'Species Codes'!B:O,14,0)+VLOOKUP(D596,'Species Codes'!B:P,15,0)*LN((E596*2.54))),VLOOKUP(D596,'Species Codes'!B:O,14,0)+VLOOKUP(D596,'Species Codes'!B:P,15,0)*(((E596*2.54)/100)^2)*(I596*0.3048)))))*0.0011023),0)</f>
        <v>#N/A</v>
      </c>
      <c r="AD596" s="104" t="e">
        <f t="shared" si="274"/>
        <v>#N/A</v>
      </c>
      <c r="AE596" s="104" t="e">
        <f t="shared" si="275"/>
        <v>#N/A</v>
      </c>
      <c r="AF596" s="104" t="e">
        <f>IF(AND(VLOOKUP($D596,Merchantability!$B:$C,2,0)="Yes",$E596&gt;=VLOOKUP($D596,Merchantability!$B:$D,3,0),$E596&lt;=VLOOKUP($D596,Merchantability!$B:$E,4,0)),AA596,0)</f>
        <v>#N/A</v>
      </c>
      <c r="AG596" s="104" t="e">
        <f>IF(AND(VLOOKUP($D596,Merchantability!$B:$C,2,0)="Yes",$E596&gt;=VLOOKUP($D596,Merchantability!$B:$D,3,0),$E596&lt;=VLOOKUP($D596,Merchantability!$B:$E,4,0)),AB596,0)</f>
        <v>#N/A</v>
      </c>
      <c r="AH596" s="104" t="e">
        <f>IF(AND(VLOOKUP($D596,Merchantability!$B:$C,2,0)="Yes",$E596&gt;=VLOOKUP($D596,Merchantability!$B:$D,3,0),$E596&lt;=VLOOKUP($D596,Merchantability!$B:$E,4,0)),AC596,0)</f>
        <v>#N/A</v>
      </c>
      <c r="AI596" s="104" t="e">
        <f t="shared" si="276"/>
        <v>#N/A</v>
      </c>
      <c r="AJ596" s="104" t="e">
        <f t="shared" si="277"/>
        <v>#VALUE!</v>
      </c>
      <c r="AK596" s="104" t="e">
        <f t="shared" si="278"/>
        <v>#N/A</v>
      </c>
      <c r="AL596" s="104" t="e">
        <f t="shared" si="279"/>
        <v>#N/A</v>
      </c>
      <c r="AM596" s="104" t="e">
        <f t="shared" si="280"/>
        <v>#N/A</v>
      </c>
      <c r="AN596" s="104" t="e">
        <f t="shared" si="291"/>
        <v>#N/A</v>
      </c>
      <c r="AO596" s="104" t="e">
        <f t="shared" si="292"/>
        <v>#N/A</v>
      </c>
      <c r="AP596" s="104" t="e">
        <f t="shared" si="293"/>
        <v>#N/A</v>
      </c>
      <c r="AQ596" s="104" t="e">
        <f t="shared" si="294"/>
        <v>#N/A</v>
      </c>
      <c r="AR596" s="105" t="str">
        <f t="shared" si="286"/>
        <v/>
      </c>
      <c r="AS596" s="105" t="str">
        <f t="shared" si="287"/>
        <v/>
      </c>
      <c r="AT596" s="108" t="str">
        <f t="shared" si="288"/>
        <v/>
      </c>
      <c r="AU596" s="108" t="str">
        <f t="shared" si="289"/>
        <v/>
      </c>
      <c r="AV596" s="107" t="str">
        <f>IF(ISNUMBER(O596),IF(VLOOKUP($A596,Stand!C:J,8,FALSE)="Short",AT596,AU596),"")</f>
        <v/>
      </c>
      <c r="AW596" s="109" t="str">
        <f t="shared" si="295"/>
        <v/>
      </c>
      <c r="AX596" s="109" t="str">
        <f t="shared" si="296"/>
        <v/>
      </c>
      <c r="AY596" s="112" t="str">
        <f>IF(ISNUMBER(O596),IF(AND(VLOOKUP($D596,Merchantability!$B:$C,2,0)="Yes",$E596&gt;=VLOOKUP($D596,Merchantability!$B:$D,3,0),$E596&lt;=VLOOKUP($D596,Merchantability!$B:$E,4,0)),(AV596*O596)*(1-$H596/100),""),"")</f>
        <v/>
      </c>
      <c r="AZ596" s="116"/>
      <c r="BA596" s="116"/>
      <c r="BB596" s="116"/>
      <c r="BE596" s="62"/>
      <c r="BF596" s="63"/>
    </row>
    <row r="597" spans="1:58" ht="12.75" customHeight="1" x14ac:dyDescent="0.25">
      <c r="A597" s="313"/>
      <c r="B597" s="328"/>
      <c r="C597" s="329"/>
      <c r="D597" s="328"/>
      <c r="E597" s="330"/>
      <c r="F597" s="328"/>
      <c r="G597" s="329"/>
      <c r="H597" s="329"/>
      <c r="I597" s="328"/>
      <c r="J597" s="383"/>
      <c r="K597" s="329"/>
      <c r="L597" s="329"/>
      <c r="M597" s="78"/>
      <c r="N597" s="103" t="str">
        <f>IF(A597="","",VLOOKUP(A597,Stand!C:K,9,0))</f>
        <v/>
      </c>
      <c r="O597" s="104" t="str">
        <f t="shared" si="281"/>
        <v/>
      </c>
      <c r="P597" s="105" t="str">
        <f t="shared" si="282"/>
        <v/>
      </c>
      <c r="Q597" s="105" t="str">
        <f t="shared" si="270"/>
        <v/>
      </c>
      <c r="R597" s="103" t="str">
        <f t="shared" si="283"/>
        <v/>
      </c>
      <c r="S597" s="103" t="str">
        <f t="shared" si="284"/>
        <v/>
      </c>
      <c r="T597" s="106" t="str">
        <f t="shared" si="271"/>
        <v/>
      </c>
      <c r="U597" s="106" t="str">
        <f t="shared" si="272"/>
        <v/>
      </c>
      <c r="V597" s="106" t="str">
        <f t="shared" si="273"/>
        <v/>
      </c>
      <c r="W597" s="105" t="str">
        <f t="shared" si="285"/>
        <v/>
      </c>
      <c r="X597" s="104" t="str">
        <f t="shared" si="290"/>
        <v/>
      </c>
      <c r="Y597" s="104" t="str">
        <f t="array" ref="Y597">IFERROR(IF(ISNUMBER(O597),IF(COUNT(IF(A597=$A$2:$A$2427,IF(D597=$D$2:$D$2427,IF($X$2:$X$2427&gt;0,1))))&gt;0,SUM(IF(A597=$A$2:$A$2427,IF(D597=$D$2:$D$2427,$X$2:$X$2427)))/COUNT(IF(A597=$A$2:$A$2427,IF(D597=$D$2:$D$2427,IF(ISNUMBER($X$2:$X$2427),1)))),0),""),0)</f>
        <v/>
      </c>
      <c r="Z597" s="104" t="str">
        <f>IF(ISNUMBER(O597),IF(I597&gt;0,(10^(VLOOKUP(D597,'Species Codes'!B:C,2,0)+VLOOKUP(D597,'Species Codes'!B:D,3,0)*LOG(E597)+VLOOKUP(D597,'Species Codes'!B:E,4,0)*LOG(I597))),0),"")</f>
        <v/>
      </c>
      <c r="AA597" s="104" t="str">
        <f>IFERROR((VLOOKUP(D597,'Species Codes'!B:G,6,0)*Z597)/2000,"")</f>
        <v/>
      </c>
      <c r="AB597" s="104" t="e">
        <f>IF(Z597&gt;0,((IF(OR(D597="DF",D597="RA")=TRUE,EXP(VLOOKUP(D597,'Species Codes'!B:I,8,0)+VLOOKUP(D597,'Species Codes'!B:J,9,0)*(LN((E597*2.54)))),IF(OR(D597="PY",D597="RC",D597="WH",D597="NF")=TRUE,VLOOKUP(D597,'Species Codes'!B:I,8,0)+VLOOKUP(D597,'Species Codes'!B:J,9,0)*((E597*2.54)^2)*(I597*0.3048),IF(OR(D597="MD",D597="BM",D597="GA")=TRUE,((VLOOKUP(D597,'Species Codes'!B:I,8,0)*(((((E597*2.54)+VLOOKUP(D597,'Species Codes'!B:J,9,0))/VLOOKUP(D597,'Species Codes'!B:K,10,0))^VLOOKUP(D597,'Species Codes'!B:L,11,0))*((I597*0.3048)^VLOOKUP(D597,'Species Codes'!B:M,12,0))))-(VLOOKUP(D597,'Species Codes'!B:I,8,0)*((((E597*2.54)^VLOOKUP(D597,'Species Codes'!B:L,11,0))*((I597*0.3048)^VLOOKUP(D597,'Species Codes'!B:M,12,0))))))*35.3*VLOOKUP(D597,'Species Codes'!B:G,6,0)/2.2046,VLOOKUP(D597,'Species Codes'!B:I,8,0)+VLOOKUP(D597,'Species Codes'!B:J,9,0)*(((E597*2.54)/100)^2)*(I597*0.3048)))))*0.0011023),0)</f>
        <v>#N/A</v>
      </c>
      <c r="AC597" s="104" t="e">
        <f>IF(Z597&gt;0,((IF(OR(D597="RA",D597="OA",D597="OT",D597="UN",D597="PC"),EXP(VLOOKUP(D597,'Species Codes'!B:O,14,0)+VLOOKUP(D597,'Species Codes'!B:P,15,0)*LN((E597*2.54)))-EXP(VLOOKUP(D597,'Species Codes'!B:O,14,0)+VLOOKUP(D597,'Species Codes'!B:P,15,0)*LN((E597*2.54)))*(1/(VLOOKUP(D597,'Species Codes'!B:Q,16,0)+VLOOKUP(D597,'Species Codes'!B:R,17,0)*((E597*2.54)^VLOOKUP(D597,'Species Codes'!B:S,18,0)))),IF(OR(D597="BM",D597="MD",D597="OA"),EXP(VLOOKUP(D597,'Species Codes'!B:O,14,0)+VLOOKUP(D597,'Species Codes'!B:P,15,0)*LN((E597*2.54)))*(1-(1/(VLOOKUP(D597,'Species Codes'!B:Q,16,0)+VLOOKUP(D597,'Species Codes'!B:R,17,0)*((E597*2.54)^VLOOKUP(D597,'Species Codes'!B:S,18,0)))))/1000,IF(D597="DF",EXP(VLOOKUP(D597,'Species Codes'!B:O,14,0)+VLOOKUP(D597,'Species Codes'!B:P,15,0)*LN((E597*2.54))),VLOOKUP(D597,'Species Codes'!B:O,14,0)+VLOOKUP(D597,'Species Codes'!B:P,15,0)*(((E597*2.54)/100)^2)*(I597*0.3048)))))*0.0011023),0)</f>
        <v>#N/A</v>
      </c>
      <c r="AD597" s="104" t="e">
        <f t="shared" si="274"/>
        <v>#N/A</v>
      </c>
      <c r="AE597" s="104" t="e">
        <f t="shared" si="275"/>
        <v>#N/A</v>
      </c>
      <c r="AF597" s="104" t="e">
        <f>IF(AND(VLOOKUP($D597,Merchantability!$B:$C,2,0)="Yes",$E597&gt;=VLOOKUP($D597,Merchantability!$B:$D,3,0),$E597&lt;=VLOOKUP($D597,Merchantability!$B:$E,4,0)),AA597,0)</f>
        <v>#N/A</v>
      </c>
      <c r="AG597" s="104" t="e">
        <f>IF(AND(VLOOKUP($D597,Merchantability!$B:$C,2,0)="Yes",$E597&gt;=VLOOKUP($D597,Merchantability!$B:$D,3,0),$E597&lt;=VLOOKUP($D597,Merchantability!$B:$E,4,0)),AB597,0)</f>
        <v>#N/A</v>
      </c>
      <c r="AH597" s="104" t="e">
        <f>IF(AND(VLOOKUP($D597,Merchantability!$B:$C,2,0)="Yes",$E597&gt;=VLOOKUP($D597,Merchantability!$B:$D,3,0),$E597&lt;=VLOOKUP($D597,Merchantability!$B:$E,4,0)),AC597,0)</f>
        <v>#N/A</v>
      </c>
      <c r="AI597" s="104" t="e">
        <f t="shared" si="276"/>
        <v>#N/A</v>
      </c>
      <c r="AJ597" s="104" t="e">
        <f t="shared" si="277"/>
        <v>#VALUE!</v>
      </c>
      <c r="AK597" s="104" t="e">
        <f t="shared" si="278"/>
        <v>#N/A</v>
      </c>
      <c r="AL597" s="104" t="e">
        <f t="shared" si="279"/>
        <v>#N/A</v>
      </c>
      <c r="AM597" s="104" t="e">
        <f t="shared" si="280"/>
        <v>#N/A</v>
      </c>
      <c r="AN597" s="104" t="e">
        <f t="shared" si="291"/>
        <v>#N/A</v>
      </c>
      <c r="AO597" s="104" t="e">
        <f t="shared" si="292"/>
        <v>#N/A</v>
      </c>
      <c r="AP597" s="104" t="e">
        <f t="shared" si="293"/>
        <v>#N/A</v>
      </c>
      <c r="AQ597" s="104" t="e">
        <f t="shared" si="294"/>
        <v>#N/A</v>
      </c>
      <c r="AR597" s="105" t="str">
        <f t="shared" si="286"/>
        <v/>
      </c>
      <c r="AS597" s="105" t="str">
        <f t="shared" si="287"/>
        <v/>
      </c>
      <c r="AT597" s="108" t="str">
        <f t="shared" si="288"/>
        <v/>
      </c>
      <c r="AU597" s="108" t="str">
        <f t="shared" si="289"/>
        <v/>
      </c>
      <c r="AV597" s="107" t="str">
        <f>IF(ISNUMBER(O597),IF(VLOOKUP($A597,Stand!C:J,8,FALSE)="Short",AT597,AU597),"")</f>
        <v/>
      </c>
      <c r="AW597" s="109" t="str">
        <f t="shared" si="295"/>
        <v/>
      </c>
      <c r="AX597" s="109" t="str">
        <f t="shared" si="296"/>
        <v/>
      </c>
      <c r="AY597" s="112" t="str">
        <f>IF(ISNUMBER(O597),IF(AND(VLOOKUP($D597,Merchantability!$B:$C,2,0)="Yes",$E597&gt;=VLOOKUP($D597,Merchantability!$B:$D,3,0),$E597&lt;=VLOOKUP($D597,Merchantability!$B:$E,4,0)),(AV597*O597)*(1-$H597/100),""),"")</f>
        <v/>
      </c>
      <c r="AZ597" s="116"/>
      <c r="BA597" s="116"/>
      <c r="BB597" s="116"/>
      <c r="BE597" s="62"/>
      <c r="BF597" s="63"/>
    </row>
    <row r="598" spans="1:58" ht="12.75" customHeight="1" x14ac:dyDescent="0.25">
      <c r="A598" s="313"/>
      <c r="B598" s="328"/>
      <c r="C598" s="329"/>
      <c r="D598" s="328"/>
      <c r="E598" s="330"/>
      <c r="F598" s="328"/>
      <c r="G598" s="329"/>
      <c r="H598" s="329"/>
      <c r="I598" s="328"/>
      <c r="J598" s="383"/>
      <c r="K598" s="329"/>
      <c r="L598" s="329"/>
      <c r="M598" s="78"/>
      <c r="N598" s="103" t="str">
        <f>IF(A598="","",VLOOKUP(A598,Stand!C:K,9,0))</f>
        <v/>
      </c>
      <c r="O598" s="104" t="str">
        <f t="shared" si="281"/>
        <v/>
      </c>
      <c r="P598" s="105" t="str">
        <f t="shared" si="282"/>
        <v/>
      </c>
      <c r="Q598" s="105" t="str">
        <f t="shared" si="270"/>
        <v/>
      </c>
      <c r="R598" s="103" t="str">
        <f t="shared" si="283"/>
        <v/>
      </c>
      <c r="S598" s="103" t="str">
        <f t="shared" si="284"/>
        <v/>
      </c>
      <c r="T598" s="106" t="str">
        <f t="shared" si="271"/>
        <v/>
      </c>
      <c r="U598" s="106" t="str">
        <f t="shared" si="272"/>
        <v/>
      </c>
      <c r="V598" s="106" t="str">
        <f t="shared" si="273"/>
        <v/>
      </c>
      <c r="W598" s="105" t="str">
        <f t="shared" si="285"/>
        <v/>
      </c>
      <c r="X598" s="104" t="str">
        <f t="shared" si="290"/>
        <v/>
      </c>
      <c r="Y598" s="104" t="str">
        <f t="array" ref="Y598">IFERROR(IF(ISNUMBER(O598),IF(COUNT(IF(A598=$A$2:$A$2427,IF(D598=$D$2:$D$2427,IF($X$2:$X$2427&gt;0,1))))&gt;0,SUM(IF(A598=$A$2:$A$2427,IF(D598=$D$2:$D$2427,$X$2:$X$2427)))/COUNT(IF(A598=$A$2:$A$2427,IF(D598=$D$2:$D$2427,IF(ISNUMBER($X$2:$X$2427),1)))),0),""),0)</f>
        <v/>
      </c>
      <c r="Z598" s="104" t="str">
        <f>IF(ISNUMBER(O598),IF(I598&gt;0,(10^(VLOOKUP(D598,'Species Codes'!B:C,2,0)+VLOOKUP(D598,'Species Codes'!B:D,3,0)*LOG(E598)+VLOOKUP(D598,'Species Codes'!B:E,4,0)*LOG(I598))),0),"")</f>
        <v/>
      </c>
      <c r="AA598" s="104" t="str">
        <f>IFERROR((VLOOKUP(D598,'Species Codes'!B:G,6,0)*Z598)/2000,"")</f>
        <v/>
      </c>
      <c r="AB598" s="104" t="e">
        <f>IF(Z598&gt;0,((IF(OR(D598="DF",D598="RA")=TRUE,EXP(VLOOKUP(D598,'Species Codes'!B:I,8,0)+VLOOKUP(D598,'Species Codes'!B:J,9,0)*(LN((E598*2.54)))),IF(OR(D598="PY",D598="RC",D598="WH",D598="NF")=TRUE,VLOOKUP(D598,'Species Codes'!B:I,8,0)+VLOOKUP(D598,'Species Codes'!B:J,9,0)*((E598*2.54)^2)*(I598*0.3048),IF(OR(D598="MD",D598="BM",D598="GA")=TRUE,((VLOOKUP(D598,'Species Codes'!B:I,8,0)*(((((E598*2.54)+VLOOKUP(D598,'Species Codes'!B:J,9,0))/VLOOKUP(D598,'Species Codes'!B:K,10,0))^VLOOKUP(D598,'Species Codes'!B:L,11,0))*((I598*0.3048)^VLOOKUP(D598,'Species Codes'!B:M,12,0))))-(VLOOKUP(D598,'Species Codes'!B:I,8,0)*((((E598*2.54)^VLOOKUP(D598,'Species Codes'!B:L,11,0))*((I598*0.3048)^VLOOKUP(D598,'Species Codes'!B:M,12,0))))))*35.3*VLOOKUP(D598,'Species Codes'!B:G,6,0)/2.2046,VLOOKUP(D598,'Species Codes'!B:I,8,0)+VLOOKUP(D598,'Species Codes'!B:J,9,0)*(((E598*2.54)/100)^2)*(I598*0.3048)))))*0.0011023),0)</f>
        <v>#N/A</v>
      </c>
      <c r="AC598" s="104" t="e">
        <f>IF(Z598&gt;0,((IF(OR(D598="RA",D598="OA",D598="OT",D598="UN",D598="PC"),EXP(VLOOKUP(D598,'Species Codes'!B:O,14,0)+VLOOKUP(D598,'Species Codes'!B:P,15,0)*LN((E598*2.54)))-EXP(VLOOKUP(D598,'Species Codes'!B:O,14,0)+VLOOKUP(D598,'Species Codes'!B:P,15,0)*LN((E598*2.54)))*(1/(VLOOKUP(D598,'Species Codes'!B:Q,16,0)+VLOOKUP(D598,'Species Codes'!B:R,17,0)*((E598*2.54)^VLOOKUP(D598,'Species Codes'!B:S,18,0)))),IF(OR(D598="BM",D598="MD",D598="OA"),EXP(VLOOKUP(D598,'Species Codes'!B:O,14,0)+VLOOKUP(D598,'Species Codes'!B:P,15,0)*LN((E598*2.54)))*(1-(1/(VLOOKUP(D598,'Species Codes'!B:Q,16,0)+VLOOKUP(D598,'Species Codes'!B:R,17,0)*((E598*2.54)^VLOOKUP(D598,'Species Codes'!B:S,18,0)))))/1000,IF(D598="DF",EXP(VLOOKUP(D598,'Species Codes'!B:O,14,0)+VLOOKUP(D598,'Species Codes'!B:P,15,0)*LN((E598*2.54))),VLOOKUP(D598,'Species Codes'!B:O,14,0)+VLOOKUP(D598,'Species Codes'!B:P,15,0)*(((E598*2.54)/100)^2)*(I598*0.3048)))))*0.0011023),0)</f>
        <v>#N/A</v>
      </c>
      <c r="AD598" s="104" t="e">
        <f t="shared" si="274"/>
        <v>#N/A</v>
      </c>
      <c r="AE598" s="104" t="e">
        <f t="shared" si="275"/>
        <v>#N/A</v>
      </c>
      <c r="AF598" s="104" t="e">
        <f>IF(AND(VLOOKUP($D598,Merchantability!$B:$C,2,0)="Yes",$E598&gt;=VLOOKUP($D598,Merchantability!$B:$D,3,0),$E598&lt;=VLOOKUP($D598,Merchantability!$B:$E,4,0)),AA598,0)</f>
        <v>#N/A</v>
      </c>
      <c r="AG598" s="104" t="e">
        <f>IF(AND(VLOOKUP($D598,Merchantability!$B:$C,2,0)="Yes",$E598&gt;=VLOOKUP($D598,Merchantability!$B:$D,3,0),$E598&lt;=VLOOKUP($D598,Merchantability!$B:$E,4,0)),AB598,0)</f>
        <v>#N/A</v>
      </c>
      <c r="AH598" s="104" t="e">
        <f>IF(AND(VLOOKUP($D598,Merchantability!$B:$C,2,0)="Yes",$E598&gt;=VLOOKUP($D598,Merchantability!$B:$D,3,0),$E598&lt;=VLOOKUP($D598,Merchantability!$B:$E,4,0)),AC598,0)</f>
        <v>#N/A</v>
      </c>
      <c r="AI598" s="104" t="e">
        <f t="shared" si="276"/>
        <v>#N/A</v>
      </c>
      <c r="AJ598" s="104" t="e">
        <f t="shared" si="277"/>
        <v>#VALUE!</v>
      </c>
      <c r="AK598" s="104" t="e">
        <f t="shared" si="278"/>
        <v>#N/A</v>
      </c>
      <c r="AL598" s="104" t="e">
        <f t="shared" si="279"/>
        <v>#N/A</v>
      </c>
      <c r="AM598" s="104" t="e">
        <f t="shared" si="280"/>
        <v>#N/A</v>
      </c>
      <c r="AN598" s="104" t="e">
        <f t="shared" si="291"/>
        <v>#N/A</v>
      </c>
      <c r="AO598" s="104" t="e">
        <f t="shared" si="292"/>
        <v>#N/A</v>
      </c>
      <c r="AP598" s="104" t="e">
        <f t="shared" si="293"/>
        <v>#N/A</v>
      </c>
      <c r="AQ598" s="104" t="e">
        <f t="shared" si="294"/>
        <v>#N/A</v>
      </c>
      <c r="AR598" s="105" t="str">
        <f t="shared" si="286"/>
        <v/>
      </c>
      <c r="AS598" s="105" t="str">
        <f t="shared" si="287"/>
        <v/>
      </c>
      <c r="AT598" s="108" t="str">
        <f t="shared" si="288"/>
        <v/>
      </c>
      <c r="AU598" s="108" t="str">
        <f t="shared" si="289"/>
        <v/>
      </c>
      <c r="AV598" s="107" t="str">
        <f>IF(ISNUMBER(O598),IF(VLOOKUP($A598,Stand!C:J,8,FALSE)="Short",AT598,AU598),"")</f>
        <v/>
      </c>
      <c r="AW598" s="109" t="str">
        <f t="shared" si="295"/>
        <v/>
      </c>
      <c r="AX598" s="109" t="str">
        <f t="shared" si="296"/>
        <v/>
      </c>
      <c r="AY598" s="112" t="str">
        <f>IF(ISNUMBER(O598),IF(AND(VLOOKUP($D598,Merchantability!$B:$C,2,0)="Yes",$E598&gt;=VLOOKUP($D598,Merchantability!$B:$D,3,0),$E598&lt;=VLOOKUP($D598,Merchantability!$B:$E,4,0)),(AV598*O598)*(1-$H598/100),""),"")</f>
        <v/>
      </c>
      <c r="AZ598" s="116"/>
      <c r="BA598" s="116"/>
      <c r="BB598" s="116"/>
      <c r="BE598" s="62"/>
      <c r="BF598" s="63"/>
    </row>
    <row r="599" spans="1:58" ht="12.75" customHeight="1" x14ac:dyDescent="0.25">
      <c r="A599" s="313"/>
      <c r="B599" s="328"/>
      <c r="C599" s="329"/>
      <c r="D599" s="328"/>
      <c r="E599" s="330"/>
      <c r="F599" s="328"/>
      <c r="G599" s="329"/>
      <c r="H599" s="329"/>
      <c r="I599" s="328"/>
      <c r="J599" s="383"/>
      <c r="K599" s="329"/>
      <c r="L599" s="329"/>
      <c r="M599" s="78"/>
      <c r="N599" s="103" t="str">
        <f>IF(A599="","",VLOOKUP(A599,Stand!C:K,9,0))</f>
        <v/>
      </c>
      <c r="O599" s="104" t="str">
        <f t="shared" si="281"/>
        <v/>
      </c>
      <c r="P599" s="105" t="str">
        <f t="shared" si="282"/>
        <v/>
      </c>
      <c r="Q599" s="105" t="str">
        <f t="shared" si="270"/>
        <v/>
      </c>
      <c r="R599" s="103" t="str">
        <f t="shared" si="283"/>
        <v/>
      </c>
      <c r="S599" s="103" t="str">
        <f t="shared" si="284"/>
        <v/>
      </c>
      <c r="T599" s="106" t="str">
        <f t="shared" si="271"/>
        <v/>
      </c>
      <c r="U599" s="106" t="str">
        <f t="shared" si="272"/>
        <v/>
      </c>
      <c r="V599" s="106" t="str">
        <f t="shared" si="273"/>
        <v/>
      </c>
      <c r="W599" s="105" t="str">
        <f t="shared" si="285"/>
        <v/>
      </c>
      <c r="X599" s="104" t="str">
        <f t="shared" si="290"/>
        <v/>
      </c>
      <c r="Y599" s="104" t="str">
        <f t="array" ref="Y599">IFERROR(IF(ISNUMBER(O599),IF(COUNT(IF(A599=$A$2:$A$2427,IF(D599=$D$2:$D$2427,IF($X$2:$X$2427&gt;0,1))))&gt;0,SUM(IF(A599=$A$2:$A$2427,IF(D599=$D$2:$D$2427,$X$2:$X$2427)))/COUNT(IF(A599=$A$2:$A$2427,IF(D599=$D$2:$D$2427,IF(ISNUMBER($X$2:$X$2427),1)))),0),""),0)</f>
        <v/>
      </c>
      <c r="Z599" s="104" t="str">
        <f>IF(ISNUMBER(O599),IF(I599&gt;0,(10^(VLOOKUP(D599,'Species Codes'!B:C,2,0)+VLOOKUP(D599,'Species Codes'!B:D,3,0)*LOG(E599)+VLOOKUP(D599,'Species Codes'!B:E,4,0)*LOG(I599))),0),"")</f>
        <v/>
      </c>
      <c r="AA599" s="104" t="str">
        <f>IFERROR((VLOOKUP(D599,'Species Codes'!B:G,6,0)*Z599)/2000,"")</f>
        <v/>
      </c>
      <c r="AB599" s="104" t="e">
        <f>IF(Z599&gt;0,((IF(OR(D599="DF",D599="RA")=TRUE,EXP(VLOOKUP(D599,'Species Codes'!B:I,8,0)+VLOOKUP(D599,'Species Codes'!B:J,9,0)*(LN((E599*2.54)))),IF(OR(D599="PY",D599="RC",D599="WH",D599="NF")=TRUE,VLOOKUP(D599,'Species Codes'!B:I,8,0)+VLOOKUP(D599,'Species Codes'!B:J,9,0)*((E599*2.54)^2)*(I599*0.3048),IF(OR(D599="MD",D599="BM",D599="GA")=TRUE,((VLOOKUP(D599,'Species Codes'!B:I,8,0)*(((((E599*2.54)+VLOOKUP(D599,'Species Codes'!B:J,9,0))/VLOOKUP(D599,'Species Codes'!B:K,10,0))^VLOOKUP(D599,'Species Codes'!B:L,11,0))*((I599*0.3048)^VLOOKUP(D599,'Species Codes'!B:M,12,0))))-(VLOOKUP(D599,'Species Codes'!B:I,8,0)*((((E599*2.54)^VLOOKUP(D599,'Species Codes'!B:L,11,0))*((I599*0.3048)^VLOOKUP(D599,'Species Codes'!B:M,12,0))))))*35.3*VLOOKUP(D599,'Species Codes'!B:G,6,0)/2.2046,VLOOKUP(D599,'Species Codes'!B:I,8,0)+VLOOKUP(D599,'Species Codes'!B:J,9,0)*(((E599*2.54)/100)^2)*(I599*0.3048)))))*0.0011023),0)</f>
        <v>#N/A</v>
      </c>
      <c r="AC599" s="104" t="e">
        <f>IF(Z599&gt;0,((IF(OR(D599="RA",D599="OA",D599="OT",D599="UN",D599="PC"),EXP(VLOOKUP(D599,'Species Codes'!B:O,14,0)+VLOOKUP(D599,'Species Codes'!B:P,15,0)*LN((E599*2.54)))-EXP(VLOOKUP(D599,'Species Codes'!B:O,14,0)+VLOOKUP(D599,'Species Codes'!B:P,15,0)*LN((E599*2.54)))*(1/(VLOOKUP(D599,'Species Codes'!B:Q,16,0)+VLOOKUP(D599,'Species Codes'!B:R,17,0)*((E599*2.54)^VLOOKUP(D599,'Species Codes'!B:S,18,0)))),IF(OR(D599="BM",D599="MD",D599="OA"),EXP(VLOOKUP(D599,'Species Codes'!B:O,14,0)+VLOOKUP(D599,'Species Codes'!B:P,15,0)*LN((E599*2.54)))*(1-(1/(VLOOKUP(D599,'Species Codes'!B:Q,16,0)+VLOOKUP(D599,'Species Codes'!B:R,17,0)*((E599*2.54)^VLOOKUP(D599,'Species Codes'!B:S,18,0)))))/1000,IF(D599="DF",EXP(VLOOKUP(D599,'Species Codes'!B:O,14,0)+VLOOKUP(D599,'Species Codes'!B:P,15,0)*LN((E599*2.54))),VLOOKUP(D599,'Species Codes'!B:O,14,0)+VLOOKUP(D599,'Species Codes'!B:P,15,0)*(((E599*2.54)/100)^2)*(I599*0.3048)))))*0.0011023),0)</f>
        <v>#N/A</v>
      </c>
      <c r="AD599" s="104" t="e">
        <f t="shared" si="274"/>
        <v>#N/A</v>
      </c>
      <c r="AE599" s="104" t="e">
        <f t="shared" si="275"/>
        <v>#N/A</v>
      </c>
      <c r="AF599" s="104" t="e">
        <f>IF(AND(VLOOKUP($D599,Merchantability!$B:$C,2,0)="Yes",$E599&gt;=VLOOKUP($D599,Merchantability!$B:$D,3,0),$E599&lt;=VLOOKUP($D599,Merchantability!$B:$E,4,0)),AA599,0)</f>
        <v>#N/A</v>
      </c>
      <c r="AG599" s="104" t="e">
        <f>IF(AND(VLOOKUP($D599,Merchantability!$B:$C,2,0)="Yes",$E599&gt;=VLOOKUP($D599,Merchantability!$B:$D,3,0),$E599&lt;=VLOOKUP($D599,Merchantability!$B:$E,4,0)),AB599,0)</f>
        <v>#N/A</v>
      </c>
      <c r="AH599" s="104" t="e">
        <f>IF(AND(VLOOKUP($D599,Merchantability!$B:$C,2,0)="Yes",$E599&gt;=VLOOKUP($D599,Merchantability!$B:$D,3,0),$E599&lt;=VLOOKUP($D599,Merchantability!$B:$E,4,0)),AC599,0)</f>
        <v>#N/A</v>
      </c>
      <c r="AI599" s="104" t="e">
        <f t="shared" si="276"/>
        <v>#N/A</v>
      </c>
      <c r="AJ599" s="104" t="e">
        <f t="shared" si="277"/>
        <v>#VALUE!</v>
      </c>
      <c r="AK599" s="104" t="e">
        <f t="shared" si="278"/>
        <v>#N/A</v>
      </c>
      <c r="AL599" s="104" t="e">
        <f t="shared" si="279"/>
        <v>#N/A</v>
      </c>
      <c r="AM599" s="104" t="e">
        <f t="shared" si="280"/>
        <v>#N/A</v>
      </c>
      <c r="AN599" s="104" t="e">
        <f t="shared" si="291"/>
        <v>#N/A</v>
      </c>
      <c r="AO599" s="104" t="e">
        <f t="shared" si="292"/>
        <v>#N/A</v>
      </c>
      <c r="AP599" s="104" t="e">
        <f t="shared" si="293"/>
        <v>#N/A</v>
      </c>
      <c r="AQ599" s="104" t="e">
        <f t="shared" si="294"/>
        <v>#N/A</v>
      </c>
      <c r="AR599" s="105" t="str">
        <f t="shared" si="286"/>
        <v/>
      </c>
      <c r="AS599" s="105" t="str">
        <f t="shared" si="287"/>
        <v/>
      </c>
      <c r="AT599" s="108" t="str">
        <f t="shared" si="288"/>
        <v/>
      </c>
      <c r="AU599" s="108" t="str">
        <f t="shared" si="289"/>
        <v/>
      </c>
      <c r="AV599" s="107" t="str">
        <f>IF(ISNUMBER(O599),IF(VLOOKUP($A599,Stand!C:J,8,FALSE)="Short",AT599,AU599),"")</f>
        <v/>
      </c>
      <c r="AW599" s="109" t="str">
        <f t="shared" si="295"/>
        <v/>
      </c>
      <c r="AX599" s="109" t="str">
        <f t="shared" si="296"/>
        <v/>
      </c>
      <c r="AY599" s="112" t="str">
        <f>IF(ISNUMBER(O599),IF(AND(VLOOKUP($D599,Merchantability!$B:$C,2,0)="Yes",$E599&gt;=VLOOKUP($D599,Merchantability!$B:$D,3,0),$E599&lt;=VLOOKUP($D599,Merchantability!$B:$E,4,0)),(AV599*O599)*(1-$H599/100),""),"")</f>
        <v/>
      </c>
      <c r="AZ599" s="116"/>
      <c r="BA599" s="116"/>
      <c r="BB599" s="116"/>
      <c r="BE599" s="62"/>
      <c r="BF599" s="63"/>
    </row>
    <row r="600" spans="1:58" ht="12.75" customHeight="1" x14ac:dyDescent="0.25">
      <c r="A600" s="313"/>
      <c r="B600" s="328"/>
      <c r="C600" s="329"/>
      <c r="D600" s="328"/>
      <c r="E600" s="330"/>
      <c r="F600" s="328"/>
      <c r="G600" s="329"/>
      <c r="H600" s="329"/>
      <c r="I600" s="328"/>
      <c r="J600" s="383"/>
      <c r="K600" s="329"/>
      <c r="L600" s="329"/>
      <c r="M600" s="78"/>
      <c r="N600" s="103" t="str">
        <f>IF(A600="","",VLOOKUP(A600,Stand!C:K,9,0))</f>
        <v/>
      </c>
      <c r="O600" s="104" t="str">
        <f t="shared" si="281"/>
        <v/>
      </c>
      <c r="P600" s="105" t="str">
        <f t="shared" si="282"/>
        <v/>
      </c>
      <c r="Q600" s="105" t="str">
        <f t="shared" si="270"/>
        <v/>
      </c>
      <c r="R600" s="103" t="str">
        <f t="shared" si="283"/>
        <v/>
      </c>
      <c r="S600" s="103" t="str">
        <f t="shared" si="284"/>
        <v/>
      </c>
      <c r="T600" s="106" t="str">
        <f t="shared" si="271"/>
        <v/>
      </c>
      <c r="U600" s="106" t="str">
        <f t="shared" si="272"/>
        <v/>
      </c>
      <c r="V600" s="106" t="str">
        <f t="shared" si="273"/>
        <v/>
      </c>
      <c r="W600" s="105" t="str">
        <f t="shared" si="285"/>
        <v/>
      </c>
      <c r="X600" s="104" t="str">
        <f t="shared" si="290"/>
        <v/>
      </c>
      <c r="Y600" s="104" t="str">
        <f t="array" ref="Y600">IFERROR(IF(ISNUMBER(O600),IF(COUNT(IF(A600=$A$2:$A$2427,IF(D600=$D$2:$D$2427,IF($X$2:$X$2427&gt;0,1))))&gt;0,SUM(IF(A600=$A$2:$A$2427,IF(D600=$D$2:$D$2427,$X$2:$X$2427)))/COUNT(IF(A600=$A$2:$A$2427,IF(D600=$D$2:$D$2427,IF(ISNUMBER($X$2:$X$2427),1)))),0),""),0)</f>
        <v/>
      </c>
      <c r="Z600" s="104" t="str">
        <f>IF(ISNUMBER(O600),IF(I600&gt;0,(10^(VLOOKUP(D600,'Species Codes'!B:C,2,0)+VLOOKUP(D600,'Species Codes'!B:D,3,0)*LOG(E600)+VLOOKUP(D600,'Species Codes'!B:E,4,0)*LOG(I600))),0),"")</f>
        <v/>
      </c>
      <c r="AA600" s="104" t="str">
        <f>IFERROR((VLOOKUP(D600,'Species Codes'!B:G,6,0)*Z600)/2000,"")</f>
        <v/>
      </c>
      <c r="AB600" s="104" t="e">
        <f>IF(Z600&gt;0,((IF(OR(D600="DF",D600="RA")=TRUE,EXP(VLOOKUP(D600,'Species Codes'!B:I,8,0)+VLOOKUP(D600,'Species Codes'!B:J,9,0)*(LN((E600*2.54)))),IF(OR(D600="PY",D600="RC",D600="WH",D600="NF")=TRUE,VLOOKUP(D600,'Species Codes'!B:I,8,0)+VLOOKUP(D600,'Species Codes'!B:J,9,0)*((E600*2.54)^2)*(I600*0.3048),IF(OR(D600="MD",D600="BM",D600="GA")=TRUE,((VLOOKUP(D600,'Species Codes'!B:I,8,0)*(((((E600*2.54)+VLOOKUP(D600,'Species Codes'!B:J,9,0))/VLOOKUP(D600,'Species Codes'!B:K,10,0))^VLOOKUP(D600,'Species Codes'!B:L,11,0))*((I600*0.3048)^VLOOKUP(D600,'Species Codes'!B:M,12,0))))-(VLOOKUP(D600,'Species Codes'!B:I,8,0)*((((E600*2.54)^VLOOKUP(D600,'Species Codes'!B:L,11,0))*((I600*0.3048)^VLOOKUP(D600,'Species Codes'!B:M,12,0))))))*35.3*VLOOKUP(D600,'Species Codes'!B:G,6,0)/2.2046,VLOOKUP(D600,'Species Codes'!B:I,8,0)+VLOOKUP(D600,'Species Codes'!B:J,9,0)*(((E600*2.54)/100)^2)*(I600*0.3048)))))*0.0011023),0)</f>
        <v>#N/A</v>
      </c>
      <c r="AC600" s="104" t="e">
        <f>IF(Z600&gt;0,((IF(OR(D600="RA",D600="OA",D600="OT",D600="UN",D600="PC"),EXP(VLOOKUP(D600,'Species Codes'!B:O,14,0)+VLOOKUP(D600,'Species Codes'!B:P,15,0)*LN((E600*2.54)))-EXP(VLOOKUP(D600,'Species Codes'!B:O,14,0)+VLOOKUP(D600,'Species Codes'!B:P,15,0)*LN((E600*2.54)))*(1/(VLOOKUP(D600,'Species Codes'!B:Q,16,0)+VLOOKUP(D600,'Species Codes'!B:R,17,0)*((E600*2.54)^VLOOKUP(D600,'Species Codes'!B:S,18,0)))),IF(OR(D600="BM",D600="MD",D600="OA"),EXP(VLOOKUP(D600,'Species Codes'!B:O,14,0)+VLOOKUP(D600,'Species Codes'!B:P,15,0)*LN((E600*2.54)))*(1-(1/(VLOOKUP(D600,'Species Codes'!B:Q,16,0)+VLOOKUP(D600,'Species Codes'!B:R,17,0)*((E600*2.54)^VLOOKUP(D600,'Species Codes'!B:S,18,0)))))/1000,IF(D600="DF",EXP(VLOOKUP(D600,'Species Codes'!B:O,14,0)+VLOOKUP(D600,'Species Codes'!B:P,15,0)*LN((E600*2.54))),VLOOKUP(D600,'Species Codes'!B:O,14,0)+VLOOKUP(D600,'Species Codes'!B:P,15,0)*(((E600*2.54)/100)^2)*(I600*0.3048)))))*0.0011023),0)</f>
        <v>#N/A</v>
      </c>
      <c r="AD600" s="104" t="e">
        <f t="shared" si="274"/>
        <v>#N/A</v>
      </c>
      <c r="AE600" s="104" t="e">
        <f t="shared" si="275"/>
        <v>#N/A</v>
      </c>
      <c r="AF600" s="104" t="e">
        <f>IF(AND(VLOOKUP($D600,Merchantability!$B:$C,2,0)="Yes",$E600&gt;=VLOOKUP($D600,Merchantability!$B:$D,3,0),$E600&lt;=VLOOKUP($D600,Merchantability!$B:$E,4,0)),AA600,0)</f>
        <v>#N/A</v>
      </c>
      <c r="AG600" s="104" t="e">
        <f>IF(AND(VLOOKUP($D600,Merchantability!$B:$C,2,0)="Yes",$E600&gt;=VLOOKUP($D600,Merchantability!$B:$D,3,0),$E600&lt;=VLOOKUP($D600,Merchantability!$B:$E,4,0)),AB600,0)</f>
        <v>#N/A</v>
      </c>
      <c r="AH600" s="104" t="e">
        <f>IF(AND(VLOOKUP($D600,Merchantability!$B:$C,2,0)="Yes",$E600&gt;=VLOOKUP($D600,Merchantability!$B:$D,3,0),$E600&lt;=VLOOKUP($D600,Merchantability!$B:$E,4,0)),AC600,0)</f>
        <v>#N/A</v>
      </c>
      <c r="AI600" s="104" t="e">
        <f t="shared" si="276"/>
        <v>#N/A</v>
      </c>
      <c r="AJ600" s="104" t="e">
        <f t="shared" si="277"/>
        <v>#VALUE!</v>
      </c>
      <c r="AK600" s="104" t="e">
        <f t="shared" si="278"/>
        <v>#N/A</v>
      </c>
      <c r="AL600" s="104" t="e">
        <f t="shared" si="279"/>
        <v>#N/A</v>
      </c>
      <c r="AM600" s="104" t="e">
        <f t="shared" si="280"/>
        <v>#N/A</v>
      </c>
      <c r="AN600" s="104" t="e">
        <f t="shared" si="291"/>
        <v>#N/A</v>
      </c>
      <c r="AO600" s="104" t="e">
        <f t="shared" si="292"/>
        <v>#N/A</v>
      </c>
      <c r="AP600" s="104" t="e">
        <f t="shared" si="293"/>
        <v>#N/A</v>
      </c>
      <c r="AQ600" s="104" t="e">
        <f t="shared" si="294"/>
        <v>#N/A</v>
      </c>
      <c r="AR600" s="105" t="str">
        <f t="shared" si="286"/>
        <v/>
      </c>
      <c r="AS600" s="105" t="str">
        <f t="shared" si="287"/>
        <v/>
      </c>
      <c r="AT600" s="108" t="str">
        <f t="shared" si="288"/>
        <v/>
      </c>
      <c r="AU600" s="108" t="str">
        <f t="shared" si="289"/>
        <v/>
      </c>
      <c r="AV600" s="107" t="str">
        <f>IF(ISNUMBER(O600),IF(VLOOKUP($A600,Stand!C:J,8,FALSE)="Short",AT600,AU600),"")</f>
        <v/>
      </c>
      <c r="AW600" s="109" t="str">
        <f t="shared" si="295"/>
        <v/>
      </c>
      <c r="AX600" s="109" t="str">
        <f t="shared" si="296"/>
        <v/>
      </c>
      <c r="AY600" s="112" t="str">
        <f>IF(ISNUMBER(O600),IF(AND(VLOOKUP($D600,Merchantability!$B:$C,2,0)="Yes",$E600&gt;=VLOOKUP($D600,Merchantability!$B:$D,3,0),$E600&lt;=VLOOKUP($D600,Merchantability!$B:$E,4,0)),(AV600*O600)*(1-$H600/100),""),"")</f>
        <v/>
      </c>
      <c r="AZ600" s="116"/>
      <c r="BA600" s="116"/>
      <c r="BB600" s="116"/>
      <c r="BE600" s="62"/>
      <c r="BF600" s="63"/>
    </row>
    <row r="601" spans="1:58" ht="12.75" customHeight="1" x14ac:dyDescent="0.25">
      <c r="A601" s="313"/>
      <c r="B601" s="328"/>
      <c r="C601" s="329"/>
      <c r="D601" s="328"/>
      <c r="E601" s="330"/>
      <c r="F601" s="328"/>
      <c r="G601" s="329"/>
      <c r="H601" s="329"/>
      <c r="I601" s="328"/>
      <c r="J601" s="383"/>
      <c r="K601" s="329"/>
      <c r="L601" s="329"/>
      <c r="M601" s="78"/>
      <c r="N601" s="103" t="str">
        <f>IF(A601="","",VLOOKUP(A601,Stand!C:K,9,0))</f>
        <v/>
      </c>
      <c r="O601" s="104" t="str">
        <f t="shared" si="281"/>
        <v/>
      </c>
      <c r="P601" s="105" t="str">
        <f t="shared" si="282"/>
        <v/>
      </c>
      <c r="Q601" s="105" t="str">
        <f t="shared" si="270"/>
        <v/>
      </c>
      <c r="R601" s="103" t="str">
        <f t="shared" si="283"/>
        <v/>
      </c>
      <c r="S601" s="103" t="str">
        <f t="shared" si="284"/>
        <v/>
      </c>
      <c r="T601" s="106" t="str">
        <f t="shared" si="271"/>
        <v/>
      </c>
      <c r="U601" s="106" t="str">
        <f t="shared" si="272"/>
        <v/>
      </c>
      <c r="V601" s="106" t="str">
        <f t="shared" si="273"/>
        <v/>
      </c>
      <c r="W601" s="105" t="str">
        <f t="shared" si="285"/>
        <v/>
      </c>
      <c r="X601" s="104" t="str">
        <f t="shared" si="290"/>
        <v/>
      </c>
      <c r="Y601" s="104" t="str">
        <f t="array" ref="Y601">IFERROR(IF(ISNUMBER(O601),IF(COUNT(IF(A601=$A$2:$A$2427,IF(D601=$D$2:$D$2427,IF($X$2:$X$2427&gt;0,1))))&gt;0,SUM(IF(A601=$A$2:$A$2427,IF(D601=$D$2:$D$2427,$X$2:$X$2427)))/COUNT(IF(A601=$A$2:$A$2427,IF(D601=$D$2:$D$2427,IF(ISNUMBER($X$2:$X$2427),1)))),0),""),0)</f>
        <v/>
      </c>
      <c r="Z601" s="104" t="str">
        <f>IF(ISNUMBER(O601),IF(I601&gt;0,(10^(VLOOKUP(D601,'Species Codes'!B:C,2,0)+VLOOKUP(D601,'Species Codes'!B:D,3,0)*LOG(E601)+VLOOKUP(D601,'Species Codes'!B:E,4,0)*LOG(I601))),0),"")</f>
        <v/>
      </c>
      <c r="AA601" s="104" t="str">
        <f>IFERROR((VLOOKUP(D601,'Species Codes'!B:G,6,0)*Z601)/2000,"")</f>
        <v/>
      </c>
      <c r="AB601" s="104" t="e">
        <f>IF(Z601&gt;0,((IF(OR(D601="DF",D601="RA")=TRUE,EXP(VLOOKUP(D601,'Species Codes'!B:I,8,0)+VLOOKUP(D601,'Species Codes'!B:J,9,0)*(LN((E601*2.54)))),IF(OR(D601="PY",D601="RC",D601="WH",D601="NF")=TRUE,VLOOKUP(D601,'Species Codes'!B:I,8,0)+VLOOKUP(D601,'Species Codes'!B:J,9,0)*((E601*2.54)^2)*(I601*0.3048),IF(OR(D601="MD",D601="BM",D601="GA")=TRUE,((VLOOKUP(D601,'Species Codes'!B:I,8,0)*(((((E601*2.54)+VLOOKUP(D601,'Species Codes'!B:J,9,0))/VLOOKUP(D601,'Species Codes'!B:K,10,0))^VLOOKUP(D601,'Species Codes'!B:L,11,0))*((I601*0.3048)^VLOOKUP(D601,'Species Codes'!B:M,12,0))))-(VLOOKUP(D601,'Species Codes'!B:I,8,0)*((((E601*2.54)^VLOOKUP(D601,'Species Codes'!B:L,11,0))*((I601*0.3048)^VLOOKUP(D601,'Species Codes'!B:M,12,0))))))*35.3*VLOOKUP(D601,'Species Codes'!B:G,6,0)/2.2046,VLOOKUP(D601,'Species Codes'!B:I,8,0)+VLOOKUP(D601,'Species Codes'!B:J,9,0)*(((E601*2.54)/100)^2)*(I601*0.3048)))))*0.0011023),0)</f>
        <v>#N/A</v>
      </c>
      <c r="AC601" s="104" t="e">
        <f>IF(Z601&gt;0,((IF(OR(D601="RA",D601="OA",D601="OT",D601="UN",D601="PC"),EXP(VLOOKUP(D601,'Species Codes'!B:O,14,0)+VLOOKUP(D601,'Species Codes'!B:P,15,0)*LN((E601*2.54)))-EXP(VLOOKUP(D601,'Species Codes'!B:O,14,0)+VLOOKUP(D601,'Species Codes'!B:P,15,0)*LN((E601*2.54)))*(1/(VLOOKUP(D601,'Species Codes'!B:Q,16,0)+VLOOKUP(D601,'Species Codes'!B:R,17,0)*((E601*2.54)^VLOOKUP(D601,'Species Codes'!B:S,18,0)))),IF(OR(D601="BM",D601="MD",D601="OA"),EXP(VLOOKUP(D601,'Species Codes'!B:O,14,0)+VLOOKUP(D601,'Species Codes'!B:P,15,0)*LN((E601*2.54)))*(1-(1/(VLOOKUP(D601,'Species Codes'!B:Q,16,0)+VLOOKUP(D601,'Species Codes'!B:R,17,0)*((E601*2.54)^VLOOKUP(D601,'Species Codes'!B:S,18,0)))))/1000,IF(D601="DF",EXP(VLOOKUP(D601,'Species Codes'!B:O,14,0)+VLOOKUP(D601,'Species Codes'!B:P,15,0)*LN((E601*2.54))),VLOOKUP(D601,'Species Codes'!B:O,14,0)+VLOOKUP(D601,'Species Codes'!B:P,15,0)*(((E601*2.54)/100)^2)*(I601*0.3048)))))*0.0011023),0)</f>
        <v>#N/A</v>
      </c>
      <c r="AD601" s="104" t="e">
        <f t="shared" si="274"/>
        <v>#N/A</v>
      </c>
      <c r="AE601" s="104" t="e">
        <f t="shared" si="275"/>
        <v>#N/A</v>
      </c>
      <c r="AF601" s="104" t="e">
        <f>IF(AND(VLOOKUP($D601,Merchantability!$B:$C,2,0)="Yes",$E601&gt;=VLOOKUP($D601,Merchantability!$B:$D,3,0),$E601&lt;=VLOOKUP($D601,Merchantability!$B:$E,4,0)),AA601,0)</f>
        <v>#N/A</v>
      </c>
      <c r="AG601" s="104" t="e">
        <f>IF(AND(VLOOKUP($D601,Merchantability!$B:$C,2,0)="Yes",$E601&gt;=VLOOKUP($D601,Merchantability!$B:$D,3,0),$E601&lt;=VLOOKUP($D601,Merchantability!$B:$E,4,0)),AB601,0)</f>
        <v>#N/A</v>
      </c>
      <c r="AH601" s="104" t="e">
        <f>IF(AND(VLOOKUP($D601,Merchantability!$B:$C,2,0)="Yes",$E601&gt;=VLOOKUP($D601,Merchantability!$B:$D,3,0),$E601&lt;=VLOOKUP($D601,Merchantability!$B:$E,4,0)),AC601,0)</f>
        <v>#N/A</v>
      </c>
      <c r="AI601" s="104" t="e">
        <f t="shared" si="276"/>
        <v>#N/A</v>
      </c>
      <c r="AJ601" s="104" t="e">
        <f t="shared" si="277"/>
        <v>#VALUE!</v>
      </c>
      <c r="AK601" s="104" t="e">
        <f t="shared" si="278"/>
        <v>#N/A</v>
      </c>
      <c r="AL601" s="104" t="e">
        <f t="shared" si="279"/>
        <v>#N/A</v>
      </c>
      <c r="AM601" s="104" t="e">
        <f t="shared" si="280"/>
        <v>#N/A</v>
      </c>
      <c r="AN601" s="104" t="e">
        <f t="shared" si="291"/>
        <v>#N/A</v>
      </c>
      <c r="AO601" s="104" t="e">
        <f t="shared" si="292"/>
        <v>#N/A</v>
      </c>
      <c r="AP601" s="104" t="e">
        <f t="shared" si="293"/>
        <v>#N/A</v>
      </c>
      <c r="AQ601" s="104" t="e">
        <f t="shared" si="294"/>
        <v>#N/A</v>
      </c>
      <c r="AR601" s="105" t="str">
        <f t="shared" si="286"/>
        <v/>
      </c>
      <c r="AS601" s="105" t="str">
        <f t="shared" si="287"/>
        <v/>
      </c>
      <c r="AT601" s="108" t="str">
        <f t="shared" si="288"/>
        <v/>
      </c>
      <c r="AU601" s="108" t="str">
        <f t="shared" si="289"/>
        <v/>
      </c>
      <c r="AV601" s="107" t="str">
        <f>IF(ISNUMBER(O601),IF(VLOOKUP($A601,Stand!C:J,8,FALSE)="Short",AT601,AU601),"")</f>
        <v/>
      </c>
      <c r="AW601" s="109" t="str">
        <f t="shared" si="295"/>
        <v/>
      </c>
      <c r="AX601" s="109" t="str">
        <f t="shared" si="296"/>
        <v/>
      </c>
      <c r="AY601" s="112" t="str">
        <f>IF(ISNUMBER(O601),IF(AND(VLOOKUP($D601,Merchantability!$B:$C,2,0)="Yes",$E601&gt;=VLOOKUP($D601,Merchantability!$B:$D,3,0),$E601&lt;=VLOOKUP($D601,Merchantability!$B:$E,4,0)),(AV601*O601)*(1-$H601/100),""),"")</f>
        <v/>
      </c>
      <c r="AZ601" s="116"/>
      <c r="BA601" s="116"/>
      <c r="BB601" s="116"/>
      <c r="BE601" s="62"/>
      <c r="BF601" s="63"/>
    </row>
    <row r="602" spans="1:58" ht="12.75" customHeight="1" x14ac:dyDescent="0.25">
      <c r="A602" s="313"/>
      <c r="B602" s="328"/>
      <c r="C602" s="329"/>
      <c r="D602" s="328"/>
      <c r="E602" s="330"/>
      <c r="F602" s="328"/>
      <c r="G602" s="329"/>
      <c r="H602" s="329"/>
      <c r="I602" s="328"/>
      <c r="J602" s="383"/>
      <c r="K602" s="329"/>
      <c r="L602" s="329"/>
      <c r="M602" s="78"/>
      <c r="N602" s="103" t="str">
        <f>IF(A602="","",VLOOKUP(A602,Stand!C:K,9,0))</f>
        <v/>
      </c>
      <c r="O602" s="104" t="str">
        <f t="shared" si="281"/>
        <v/>
      </c>
      <c r="P602" s="105" t="str">
        <f t="shared" si="282"/>
        <v/>
      </c>
      <c r="Q602" s="105" t="str">
        <f t="shared" si="270"/>
        <v/>
      </c>
      <c r="R602" s="103" t="str">
        <f t="shared" si="283"/>
        <v/>
      </c>
      <c r="S602" s="103" t="str">
        <f t="shared" si="284"/>
        <v/>
      </c>
      <c r="T602" s="106" t="str">
        <f t="shared" si="271"/>
        <v/>
      </c>
      <c r="U602" s="106" t="str">
        <f t="shared" si="272"/>
        <v/>
      </c>
      <c r="V602" s="106" t="str">
        <f t="shared" si="273"/>
        <v/>
      </c>
      <c r="W602" s="105" t="str">
        <f t="shared" si="285"/>
        <v/>
      </c>
      <c r="X602" s="104" t="str">
        <f t="shared" si="290"/>
        <v/>
      </c>
      <c r="Y602" s="104" t="str">
        <f t="array" ref="Y602">IFERROR(IF(ISNUMBER(O602),IF(COUNT(IF(A602=$A$2:$A$2427,IF(D602=$D$2:$D$2427,IF($X$2:$X$2427&gt;0,1))))&gt;0,SUM(IF(A602=$A$2:$A$2427,IF(D602=$D$2:$D$2427,$X$2:$X$2427)))/COUNT(IF(A602=$A$2:$A$2427,IF(D602=$D$2:$D$2427,IF(ISNUMBER($X$2:$X$2427),1)))),0),""),0)</f>
        <v/>
      </c>
      <c r="Z602" s="104" t="str">
        <f>IF(ISNUMBER(O602),IF(I602&gt;0,(10^(VLOOKUP(D602,'Species Codes'!B:C,2,0)+VLOOKUP(D602,'Species Codes'!B:D,3,0)*LOG(E602)+VLOOKUP(D602,'Species Codes'!B:E,4,0)*LOG(I602))),0),"")</f>
        <v/>
      </c>
      <c r="AA602" s="104" t="str">
        <f>IFERROR((VLOOKUP(D602,'Species Codes'!B:G,6,0)*Z602)/2000,"")</f>
        <v/>
      </c>
      <c r="AB602" s="104" t="e">
        <f>IF(Z602&gt;0,((IF(OR(D602="DF",D602="RA")=TRUE,EXP(VLOOKUP(D602,'Species Codes'!B:I,8,0)+VLOOKUP(D602,'Species Codes'!B:J,9,0)*(LN((E602*2.54)))),IF(OR(D602="PY",D602="RC",D602="WH",D602="NF")=TRUE,VLOOKUP(D602,'Species Codes'!B:I,8,0)+VLOOKUP(D602,'Species Codes'!B:J,9,0)*((E602*2.54)^2)*(I602*0.3048),IF(OR(D602="MD",D602="BM",D602="GA")=TRUE,((VLOOKUP(D602,'Species Codes'!B:I,8,0)*(((((E602*2.54)+VLOOKUP(D602,'Species Codes'!B:J,9,0))/VLOOKUP(D602,'Species Codes'!B:K,10,0))^VLOOKUP(D602,'Species Codes'!B:L,11,0))*((I602*0.3048)^VLOOKUP(D602,'Species Codes'!B:M,12,0))))-(VLOOKUP(D602,'Species Codes'!B:I,8,0)*((((E602*2.54)^VLOOKUP(D602,'Species Codes'!B:L,11,0))*((I602*0.3048)^VLOOKUP(D602,'Species Codes'!B:M,12,0))))))*35.3*VLOOKUP(D602,'Species Codes'!B:G,6,0)/2.2046,VLOOKUP(D602,'Species Codes'!B:I,8,0)+VLOOKUP(D602,'Species Codes'!B:J,9,0)*(((E602*2.54)/100)^2)*(I602*0.3048)))))*0.0011023),0)</f>
        <v>#N/A</v>
      </c>
      <c r="AC602" s="104" t="e">
        <f>IF(Z602&gt;0,((IF(OR(D602="RA",D602="OA",D602="OT",D602="UN",D602="PC"),EXP(VLOOKUP(D602,'Species Codes'!B:O,14,0)+VLOOKUP(D602,'Species Codes'!B:P,15,0)*LN((E602*2.54)))-EXP(VLOOKUP(D602,'Species Codes'!B:O,14,0)+VLOOKUP(D602,'Species Codes'!B:P,15,0)*LN((E602*2.54)))*(1/(VLOOKUP(D602,'Species Codes'!B:Q,16,0)+VLOOKUP(D602,'Species Codes'!B:R,17,0)*((E602*2.54)^VLOOKUP(D602,'Species Codes'!B:S,18,0)))),IF(OR(D602="BM",D602="MD",D602="OA"),EXP(VLOOKUP(D602,'Species Codes'!B:O,14,0)+VLOOKUP(D602,'Species Codes'!B:P,15,0)*LN((E602*2.54)))*(1-(1/(VLOOKUP(D602,'Species Codes'!B:Q,16,0)+VLOOKUP(D602,'Species Codes'!B:R,17,0)*((E602*2.54)^VLOOKUP(D602,'Species Codes'!B:S,18,0)))))/1000,IF(D602="DF",EXP(VLOOKUP(D602,'Species Codes'!B:O,14,0)+VLOOKUP(D602,'Species Codes'!B:P,15,0)*LN((E602*2.54))),VLOOKUP(D602,'Species Codes'!B:O,14,0)+VLOOKUP(D602,'Species Codes'!B:P,15,0)*(((E602*2.54)/100)^2)*(I602*0.3048)))))*0.0011023),0)</f>
        <v>#N/A</v>
      </c>
      <c r="AD602" s="104" t="e">
        <f t="shared" si="274"/>
        <v>#N/A</v>
      </c>
      <c r="AE602" s="104" t="e">
        <f t="shared" si="275"/>
        <v>#N/A</v>
      </c>
      <c r="AF602" s="104" t="e">
        <f>IF(AND(VLOOKUP($D602,Merchantability!$B:$C,2,0)="Yes",$E602&gt;=VLOOKUP($D602,Merchantability!$B:$D,3,0),$E602&lt;=VLOOKUP($D602,Merchantability!$B:$E,4,0)),AA602,0)</f>
        <v>#N/A</v>
      </c>
      <c r="AG602" s="104" t="e">
        <f>IF(AND(VLOOKUP($D602,Merchantability!$B:$C,2,0)="Yes",$E602&gt;=VLOOKUP($D602,Merchantability!$B:$D,3,0),$E602&lt;=VLOOKUP($D602,Merchantability!$B:$E,4,0)),AB602,0)</f>
        <v>#N/A</v>
      </c>
      <c r="AH602" s="104" t="e">
        <f>IF(AND(VLOOKUP($D602,Merchantability!$B:$C,2,0)="Yes",$E602&gt;=VLOOKUP($D602,Merchantability!$B:$D,3,0),$E602&lt;=VLOOKUP($D602,Merchantability!$B:$E,4,0)),AC602,0)</f>
        <v>#N/A</v>
      </c>
      <c r="AI602" s="104" t="e">
        <f t="shared" si="276"/>
        <v>#N/A</v>
      </c>
      <c r="AJ602" s="104" t="e">
        <f t="shared" si="277"/>
        <v>#VALUE!</v>
      </c>
      <c r="AK602" s="104" t="e">
        <f t="shared" si="278"/>
        <v>#N/A</v>
      </c>
      <c r="AL602" s="104" t="e">
        <f t="shared" si="279"/>
        <v>#N/A</v>
      </c>
      <c r="AM602" s="104" t="e">
        <f t="shared" si="280"/>
        <v>#N/A</v>
      </c>
      <c r="AN602" s="104" t="e">
        <f t="shared" si="291"/>
        <v>#N/A</v>
      </c>
      <c r="AO602" s="104" t="e">
        <f t="shared" si="292"/>
        <v>#N/A</v>
      </c>
      <c r="AP602" s="104" t="e">
        <f t="shared" si="293"/>
        <v>#N/A</v>
      </c>
      <c r="AQ602" s="104" t="e">
        <f t="shared" si="294"/>
        <v>#N/A</v>
      </c>
      <c r="AR602" s="105" t="str">
        <f t="shared" si="286"/>
        <v/>
      </c>
      <c r="AS602" s="105" t="str">
        <f t="shared" si="287"/>
        <v/>
      </c>
      <c r="AT602" s="108" t="str">
        <f t="shared" si="288"/>
        <v/>
      </c>
      <c r="AU602" s="108" t="str">
        <f t="shared" si="289"/>
        <v/>
      </c>
      <c r="AV602" s="107" t="str">
        <f>IF(ISNUMBER(O602),IF(VLOOKUP($A602,Stand!C:J,8,FALSE)="Short",AT602,AU602),"")</f>
        <v/>
      </c>
      <c r="AW602" s="109" t="str">
        <f t="shared" si="295"/>
        <v/>
      </c>
      <c r="AX602" s="109" t="str">
        <f t="shared" si="296"/>
        <v/>
      </c>
      <c r="AY602" s="112" t="str">
        <f>IF(ISNUMBER(O602),IF(AND(VLOOKUP($D602,Merchantability!$B:$C,2,0)="Yes",$E602&gt;=VLOOKUP($D602,Merchantability!$B:$D,3,0),$E602&lt;=VLOOKUP($D602,Merchantability!$B:$E,4,0)),(AV602*O602)*(1-$H602/100),""),"")</f>
        <v/>
      </c>
      <c r="AZ602" s="116"/>
      <c r="BA602" s="116"/>
      <c r="BB602" s="116"/>
      <c r="BE602" s="62"/>
      <c r="BF602" s="63"/>
    </row>
    <row r="603" spans="1:58" ht="12.75" customHeight="1" x14ac:dyDescent="0.25">
      <c r="A603" s="313"/>
      <c r="B603" s="328"/>
      <c r="C603" s="329"/>
      <c r="D603" s="328"/>
      <c r="E603" s="330"/>
      <c r="F603" s="328"/>
      <c r="G603" s="329"/>
      <c r="H603" s="329"/>
      <c r="I603" s="328"/>
      <c r="J603" s="383"/>
      <c r="K603" s="329"/>
      <c r="L603" s="329"/>
      <c r="M603" s="78"/>
      <c r="N603" s="103" t="str">
        <f>IF(A603="","",VLOOKUP(A603,Stand!C:K,9,0))</f>
        <v/>
      </c>
      <c r="O603" s="104" t="str">
        <f t="shared" si="281"/>
        <v/>
      </c>
      <c r="P603" s="105" t="str">
        <f t="shared" si="282"/>
        <v/>
      </c>
      <c r="Q603" s="105" t="str">
        <f t="shared" si="270"/>
        <v/>
      </c>
      <c r="R603" s="103" t="str">
        <f t="shared" si="283"/>
        <v/>
      </c>
      <c r="S603" s="103" t="str">
        <f t="shared" si="284"/>
        <v/>
      </c>
      <c r="T603" s="106" t="str">
        <f t="shared" si="271"/>
        <v/>
      </c>
      <c r="U603" s="106" t="str">
        <f t="shared" si="272"/>
        <v/>
      </c>
      <c r="V603" s="106" t="str">
        <f t="shared" si="273"/>
        <v/>
      </c>
      <c r="W603" s="105" t="str">
        <f t="shared" si="285"/>
        <v/>
      </c>
      <c r="X603" s="104" t="str">
        <f t="shared" si="290"/>
        <v/>
      </c>
      <c r="Y603" s="104" t="str">
        <f t="array" ref="Y603">IFERROR(IF(ISNUMBER(O603),IF(COUNT(IF(A603=$A$2:$A$2427,IF(D603=$D$2:$D$2427,IF($X$2:$X$2427&gt;0,1))))&gt;0,SUM(IF(A603=$A$2:$A$2427,IF(D603=$D$2:$D$2427,$X$2:$X$2427)))/COUNT(IF(A603=$A$2:$A$2427,IF(D603=$D$2:$D$2427,IF(ISNUMBER($X$2:$X$2427),1)))),0),""),0)</f>
        <v/>
      </c>
      <c r="Z603" s="104" t="str">
        <f>IF(ISNUMBER(O603),IF(I603&gt;0,(10^(VLOOKUP(D603,'Species Codes'!B:C,2,0)+VLOOKUP(D603,'Species Codes'!B:D,3,0)*LOG(E603)+VLOOKUP(D603,'Species Codes'!B:E,4,0)*LOG(I603))),0),"")</f>
        <v/>
      </c>
      <c r="AA603" s="104" t="str">
        <f>IFERROR((VLOOKUP(D603,'Species Codes'!B:G,6,0)*Z603)/2000,"")</f>
        <v/>
      </c>
      <c r="AB603" s="104" t="e">
        <f>IF(Z603&gt;0,((IF(OR(D603="DF",D603="RA")=TRUE,EXP(VLOOKUP(D603,'Species Codes'!B:I,8,0)+VLOOKUP(D603,'Species Codes'!B:J,9,0)*(LN((E603*2.54)))),IF(OR(D603="PY",D603="RC",D603="WH",D603="NF")=TRUE,VLOOKUP(D603,'Species Codes'!B:I,8,0)+VLOOKUP(D603,'Species Codes'!B:J,9,0)*((E603*2.54)^2)*(I603*0.3048),IF(OR(D603="MD",D603="BM",D603="GA")=TRUE,((VLOOKUP(D603,'Species Codes'!B:I,8,0)*(((((E603*2.54)+VLOOKUP(D603,'Species Codes'!B:J,9,0))/VLOOKUP(D603,'Species Codes'!B:K,10,0))^VLOOKUP(D603,'Species Codes'!B:L,11,0))*((I603*0.3048)^VLOOKUP(D603,'Species Codes'!B:M,12,0))))-(VLOOKUP(D603,'Species Codes'!B:I,8,0)*((((E603*2.54)^VLOOKUP(D603,'Species Codes'!B:L,11,0))*((I603*0.3048)^VLOOKUP(D603,'Species Codes'!B:M,12,0))))))*35.3*VLOOKUP(D603,'Species Codes'!B:G,6,0)/2.2046,VLOOKUP(D603,'Species Codes'!B:I,8,0)+VLOOKUP(D603,'Species Codes'!B:J,9,0)*(((E603*2.54)/100)^2)*(I603*0.3048)))))*0.0011023),0)</f>
        <v>#N/A</v>
      </c>
      <c r="AC603" s="104" t="e">
        <f>IF(Z603&gt;0,((IF(OR(D603="RA",D603="OA",D603="OT",D603="UN",D603="PC"),EXP(VLOOKUP(D603,'Species Codes'!B:O,14,0)+VLOOKUP(D603,'Species Codes'!B:P,15,0)*LN((E603*2.54)))-EXP(VLOOKUP(D603,'Species Codes'!B:O,14,0)+VLOOKUP(D603,'Species Codes'!B:P,15,0)*LN((E603*2.54)))*(1/(VLOOKUP(D603,'Species Codes'!B:Q,16,0)+VLOOKUP(D603,'Species Codes'!B:R,17,0)*((E603*2.54)^VLOOKUP(D603,'Species Codes'!B:S,18,0)))),IF(OR(D603="BM",D603="MD",D603="OA"),EXP(VLOOKUP(D603,'Species Codes'!B:O,14,0)+VLOOKUP(D603,'Species Codes'!B:P,15,0)*LN((E603*2.54)))*(1-(1/(VLOOKUP(D603,'Species Codes'!B:Q,16,0)+VLOOKUP(D603,'Species Codes'!B:R,17,0)*((E603*2.54)^VLOOKUP(D603,'Species Codes'!B:S,18,0)))))/1000,IF(D603="DF",EXP(VLOOKUP(D603,'Species Codes'!B:O,14,0)+VLOOKUP(D603,'Species Codes'!B:P,15,0)*LN((E603*2.54))),VLOOKUP(D603,'Species Codes'!B:O,14,0)+VLOOKUP(D603,'Species Codes'!B:P,15,0)*(((E603*2.54)/100)^2)*(I603*0.3048)))))*0.0011023),0)</f>
        <v>#N/A</v>
      </c>
      <c r="AD603" s="104" t="e">
        <f t="shared" si="274"/>
        <v>#N/A</v>
      </c>
      <c r="AE603" s="104" t="e">
        <f t="shared" si="275"/>
        <v>#N/A</v>
      </c>
      <c r="AF603" s="104" t="e">
        <f>IF(AND(VLOOKUP($D603,Merchantability!$B:$C,2,0)="Yes",$E603&gt;=VLOOKUP($D603,Merchantability!$B:$D,3,0),$E603&lt;=VLOOKUP($D603,Merchantability!$B:$E,4,0)),AA603,0)</f>
        <v>#N/A</v>
      </c>
      <c r="AG603" s="104" t="e">
        <f>IF(AND(VLOOKUP($D603,Merchantability!$B:$C,2,0)="Yes",$E603&gt;=VLOOKUP($D603,Merchantability!$B:$D,3,0),$E603&lt;=VLOOKUP($D603,Merchantability!$B:$E,4,0)),AB603,0)</f>
        <v>#N/A</v>
      </c>
      <c r="AH603" s="104" t="e">
        <f>IF(AND(VLOOKUP($D603,Merchantability!$B:$C,2,0)="Yes",$E603&gt;=VLOOKUP($D603,Merchantability!$B:$D,3,0),$E603&lt;=VLOOKUP($D603,Merchantability!$B:$E,4,0)),AC603,0)</f>
        <v>#N/A</v>
      </c>
      <c r="AI603" s="104" t="e">
        <f t="shared" si="276"/>
        <v>#N/A</v>
      </c>
      <c r="AJ603" s="104" t="e">
        <f t="shared" si="277"/>
        <v>#VALUE!</v>
      </c>
      <c r="AK603" s="104" t="e">
        <f t="shared" si="278"/>
        <v>#N/A</v>
      </c>
      <c r="AL603" s="104" t="e">
        <f t="shared" si="279"/>
        <v>#N/A</v>
      </c>
      <c r="AM603" s="104" t="e">
        <f t="shared" si="280"/>
        <v>#N/A</v>
      </c>
      <c r="AN603" s="104" t="e">
        <f t="shared" si="291"/>
        <v>#N/A</v>
      </c>
      <c r="AO603" s="104" t="e">
        <f t="shared" si="292"/>
        <v>#N/A</v>
      </c>
      <c r="AP603" s="104" t="e">
        <f t="shared" si="293"/>
        <v>#N/A</v>
      </c>
      <c r="AQ603" s="104" t="e">
        <f t="shared" si="294"/>
        <v>#N/A</v>
      </c>
      <c r="AR603" s="105" t="str">
        <f t="shared" si="286"/>
        <v/>
      </c>
      <c r="AS603" s="105" t="str">
        <f t="shared" si="287"/>
        <v/>
      </c>
      <c r="AT603" s="108" t="str">
        <f t="shared" si="288"/>
        <v/>
      </c>
      <c r="AU603" s="108" t="str">
        <f t="shared" si="289"/>
        <v/>
      </c>
      <c r="AV603" s="107" t="str">
        <f>IF(ISNUMBER(O603),IF(VLOOKUP($A603,Stand!C:J,8,FALSE)="Short",AT603,AU603),"")</f>
        <v/>
      </c>
      <c r="AW603" s="109" t="str">
        <f t="shared" si="295"/>
        <v/>
      </c>
      <c r="AX603" s="109" t="str">
        <f t="shared" si="296"/>
        <v/>
      </c>
      <c r="AY603" s="112" t="str">
        <f>IF(ISNUMBER(O603),IF(AND(VLOOKUP($D603,Merchantability!$B:$C,2,0)="Yes",$E603&gt;=VLOOKUP($D603,Merchantability!$B:$D,3,0),$E603&lt;=VLOOKUP($D603,Merchantability!$B:$E,4,0)),(AV603*O603)*(1-$H603/100),""),"")</f>
        <v/>
      </c>
      <c r="AZ603" s="116"/>
      <c r="BA603" s="116"/>
      <c r="BB603" s="116"/>
      <c r="BE603" s="62"/>
      <c r="BF603" s="63"/>
    </row>
    <row r="604" spans="1:58" ht="12.75" customHeight="1" x14ac:dyDescent="0.25">
      <c r="A604" s="313"/>
      <c r="B604" s="328"/>
      <c r="C604" s="329"/>
      <c r="D604" s="328"/>
      <c r="E604" s="330"/>
      <c r="F604" s="328"/>
      <c r="G604" s="329"/>
      <c r="H604" s="329"/>
      <c r="I604" s="328"/>
      <c r="J604" s="383"/>
      <c r="K604" s="329"/>
      <c r="L604" s="329"/>
      <c r="M604" s="78"/>
      <c r="N604" s="103" t="str">
        <f>IF(A604="","",VLOOKUP(A604,Stand!C:K,9,0))</f>
        <v/>
      </c>
      <c r="O604" s="104" t="str">
        <f t="shared" si="281"/>
        <v/>
      </c>
      <c r="P604" s="105" t="str">
        <f t="shared" si="282"/>
        <v/>
      </c>
      <c r="Q604" s="105" t="str">
        <f t="shared" si="270"/>
        <v/>
      </c>
      <c r="R604" s="103" t="str">
        <f t="shared" si="283"/>
        <v/>
      </c>
      <c r="S604" s="103" t="str">
        <f t="shared" si="284"/>
        <v/>
      </c>
      <c r="T604" s="106" t="str">
        <f t="shared" si="271"/>
        <v/>
      </c>
      <c r="U604" s="106" t="str">
        <f t="shared" si="272"/>
        <v/>
      </c>
      <c r="V604" s="106" t="str">
        <f t="shared" si="273"/>
        <v/>
      </c>
      <c r="W604" s="105" t="str">
        <f t="shared" si="285"/>
        <v/>
      </c>
      <c r="X604" s="104" t="str">
        <f t="shared" si="290"/>
        <v/>
      </c>
      <c r="Y604" s="104" t="str">
        <f t="array" ref="Y604">IFERROR(IF(ISNUMBER(O604),IF(COUNT(IF(A604=$A$2:$A$2427,IF(D604=$D$2:$D$2427,IF($X$2:$X$2427&gt;0,1))))&gt;0,SUM(IF(A604=$A$2:$A$2427,IF(D604=$D$2:$D$2427,$X$2:$X$2427)))/COUNT(IF(A604=$A$2:$A$2427,IF(D604=$D$2:$D$2427,IF(ISNUMBER($X$2:$X$2427),1)))),0),""),0)</f>
        <v/>
      </c>
      <c r="Z604" s="104" t="str">
        <f>IF(ISNUMBER(O604),IF(I604&gt;0,(10^(VLOOKUP(D604,'Species Codes'!B:C,2,0)+VLOOKUP(D604,'Species Codes'!B:D,3,0)*LOG(E604)+VLOOKUP(D604,'Species Codes'!B:E,4,0)*LOG(I604))),0),"")</f>
        <v/>
      </c>
      <c r="AA604" s="104" t="str">
        <f>IFERROR((VLOOKUP(D604,'Species Codes'!B:G,6,0)*Z604)/2000,"")</f>
        <v/>
      </c>
      <c r="AB604" s="104" t="e">
        <f>IF(Z604&gt;0,((IF(OR(D604="DF",D604="RA")=TRUE,EXP(VLOOKUP(D604,'Species Codes'!B:I,8,0)+VLOOKUP(D604,'Species Codes'!B:J,9,0)*(LN((E604*2.54)))),IF(OR(D604="PY",D604="RC",D604="WH",D604="NF")=TRUE,VLOOKUP(D604,'Species Codes'!B:I,8,0)+VLOOKUP(D604,'Species Codes'!B:J,9,0)*((E604*2.54)^2)*(I604*0.3048),IF(OR(D604="MD",D604="BM",D604="GA")=TRUE,((VLOOKUP(D604,'Species Codes'!B:I,8,0)*(((((E604*2.54)+VLOOKUP(D604,'Species Codes'!B:J,9,0))/VLOOKUP(D604,'Species Codes'!B:K,10,0))^VLOOKUP(D604,'Species Codes'!B:L,11,0))*((I604*0.3048)^VLOOKUP(D604,'Species Codes'!B:M,12,0))))-(VLOOKUP(D604,'Species Codes'!B:I,8,0)*((((E604*2.54)^VLOOKUP(D604,'Species Codes'!B:L,11,0))*((I604*0.3048)^VLOOKUP(D604,'Species Codes'!B:M,12,0))))))*35.3*VLOOKUP(D604,'Species Codes'!B:G,6,0)/2.2046,VLOOKUP(D604,'Species Codes'!B:I,8,0)+VLOOKUP(D604,'Species Codes'!B:J,9,0)*(((E604*2.54)/100)^2)*(I604*0.3048)))))*0.0011023),0)</f>
        <v>#N/A</v>
      </c>
      <c r="AC604" s="104" t="e">
        <f>IF(Z604&gt;0,((IF(OR(D604="RA",D604="OA",D604="OT",D604="UN",D604="PC"),EXP(VLOOKUP(D604,'Species Codes'!B:O,14,0)+VLOOKUP(D604,'Species Codes'!B:P,15,0)*LN((E604*2.54)))-EXP(VLOOKUP(D604,'Species Codes'!B:O,14,0)+VLOOKUP(D604,'Species Codes'!B:P,15,0)*LN((E604*2.54)))*(1/(VLOOKUP(D604,'Species Codes'!B:Q,16,0)+VLOOKUP(D604,'Species Codes'!B:R,17,0)*((E604*2.54)^VLOOKUP(D604,'Species Codes'!B:S,18,0)))),IF(OR(D604="BM",D604="MD",D604="OA"),EXP(VLOOKUP(D604,'Species Codes'!B:O,14,0)+VLOOKUP(D604,'Species Codes'!B:P,15,0)*LN((E604*2.54)))*(1-(1/(VLOOKUP(D604,'Species Codes'!B:Q,16,0)+VLOOKUP(D604,'Species Codes'!B:R,17,0)*((E604*2.54)^VLOOKUP(D604,'Species Codes'!B:S,18,0)))))/1000,IF(D604="DF",EXP(VLOOKUP(D604,'Species Codes'!B:O,14,0)+VLOOKUP(D604,'Species Codes'!B:P,15,0)*LN((E604*2.54))),VLOOKUP(D604,'Species Codes'!B:O,14,0)+VLOOKUP(D604,'Species Codes'!B:P,15,0)*(((E604*2.54)/100)^2)*(I604*0.3048)))))*0.0011023),0)</f>
        <v>#N/A</v>
      </c>
      <c r="AD604" s="104" t="e">
        <f t="shared" si="274"/>
        <v>#N/A</v>
      </c>
      <c r="AE604" s="104" t="e">
        <f t="shared" si="275"/>
        <v>#N/A</v>
      </c>
      <c r="AF604" s="104" t="e">
        <f>IF(AND(VLOOKUP($D604,Merchantability!$B:$C,2,0)="Yes",$E604&gt;=VLOOKUP($D604,Merchantability!$B:$D,3,0),$E604&lt;=VLOOKUP($D604,Merchantability!$B:$E,4,0)),AA604,0)</f>
        <v>#N/A</v>
      </c>
      <c r="AG604" s="104" t="e">
        <f>IF(AND(VLOOKUP($D604,Merchantability!$B:$C,2,0)="Yes",$E604&gt;=VLOOKUP($D604,Merchantability!$B:$D,3,0),$E604&lt;=VLOOKUP($D604,Merchantability!$B:$E,4,0)),AB604,0)</f>
        <v>#N/A</v>
      </c>
      <c r="AH604" s="104" t="e">
        <f>IF(AND(VLOOKUP($D604,Merchantability!$B:$C,2,0)="Yes",$E604&gt;=VLOOKUP($D604,Merchantability!$B:$D,3,0),$E604&lt;=VLOOKUP($D604,Merchantability!$B:$E,4,0)),AC604,0)</f>
        <v>#N/A</v>
      </c>
      <c r="AI604" s="104" t="e">
        <f t="shared" si="276"/>
        <v>#N/A</v>
      </c>
      <c r="AJ604" s="104" t="e">
        <f t="shared" si="277"/>
        <v>#VALUE!</v>
      </c>
      <c r="AK604" s="104" t="e">
        <f t="shared" si="278"/>
        <v>#N/A</v>
      </c>
      <c r="AL604" s="104" t="e">
        <f t="shared" si="279"/>
        <v>#N/A</v>
      </c>
      <c r="AM604" s="104" t="e">
        <f t="shared" si="280"/>
        <v>#N/A</v>
      </c>
      <c r="AN604" s="104" t="e">
        <f t="shared" si="291"/>
        <v>#N/A</v>
      </c>
      <c r="AO604" s="104" t="e">
        <f t="shared" si="292"/>
        <v>#N/A</v>
      </c>
      <c r="AP604" s="104" t="e">
        <f t="shared" si="293"/>
        <v>#N/A</v>
      </c>
      <c r="AQ604" s="104" t="e">
        <f t="shared" si="294"/>
        <v>#N/A</v>
      </c>
      <c r="AR604" s="105" t="str">
        <f t="shared" si="286"/>
        <v/>
      </c>
      <c r="AS604" s="105" t="str">
        <f t="shared" si="287"/>
        <v/>
      </c>
      <c r="AT604" s="108" t="str">
        <f t="shared" si="288"/>
        <v/>
      </c>
      <c r="AU604" s="108" t="str">
        <f t="shared" si="289"/>
        <v/>
      </c>
      <c r="AV604" s="107" t="str">
        <f>IF(ISNUMBER(O604),IF(VLOOKUP($A604,Stand!C:J,8,FALSE)="Short",AT604,AU604),"")</f>
        <v/>
      </c>
      <c r="AW604" s="109" t="str">
        <f t="shared" si="295"/>
        <v/>
      </c>
      <c r="AX604" s="109" t="str">
        <f t="shared" si="296"/>
        <v/>
      </c>
      <c r="AY604" s="112" t="str">
        <f>IF(ISNUMBER(O604),IF(AND(VLOOKUP($D604,Merchantability!$B:$C,2,0)="Yes",$E604&gt;=VLOOKUP($D604,Merchantability!$B:$D,3,0),$E604&lt;=VLOOKUP($D604,Merchantability!$B:$E,4,0)),(AV604*O604)*(1-$H604/100),""),"")</f>
        <v/>
      </c>
      <c r="AZ604" s="116"/>
      <c r="BA604" s="116"/>
      <c r="BB604" s="116"/>
      <c r="BE604" s="62"/>
      <c r="BF604" s="63"/>
    </row>
    <row r="605" spans="1:58" ht="12.75" customHeight="1" x14ac:dyDescent="0.25">
      <c r="A605" s="313"/>
      <c r="B605" s="328"/>
      <c r="C605" s="329"/>
      <c r="D605" s="328"/>
      <c r="E605" s="330"/>
      <c r="F605" s="328"/>
      <c r="G605" s="329"/>
      <c r="H605" s="329"/>
      <c r="I605" s="328"/>
      <c r="J605" s="383"/>
      <c r="K605" s="329"/>
      <c r="L605" s="329"/>
      <c r="M605" s="78"/>
      <c r="N605" s="103" t="str">
        <f>IF(A605="","",VLOOKUP(A605,Stand!C:K,9,0))</f>
        <v/>
      </c>
      <c r="O605" s="104" t="str">
        <f t="shared" si="281"/>
        <v/>
      </c>
      <c r="P605" s="105" t="str">
        <f t="shared" si="282"/>
        <v/>
      </c>
      <c r="Q605" s="105" t="str">
        <f t="shared" ref="Q605:Q668" si="297">IF(AND(ISNUMBER(O605),I605&gt;0),I605*O605,"")</f>
        <v/>
      </c>
      <c r="R605" s="103" t="str">
        <f t="shared" si="283"/>
        <v/>
      </c>
      <c r="S605" s="103" t="str">
        <f t="shared" si="284"/>
        <v/>
      </c>
      <c r="T605" s="106" t="str">
        <f t="shared" ref="T605:T668" si="298">IF(AND(ISNUMBER(O605),J605&gt;0),J605/100,"")</f>
        <v/>
      </c>
      <c r="U605" s="106" t="str">
        <f t="shared" ref="U605:U668" si="299">IF(AND(ISNUMBER(O605),J605&gt;0),T605*O605,"")</f>
        <v/>
      </c>
      <c r="V605" s="106" t="str">
        <f t="shared" ref="V605:V668" si="300">IF(AND(ISNUMBER(O605),I605&gt;0),W605*O605,"")</f>
        <v/>
      </c>
      <c r="W605" s="105" t="str">
        <f t="shared" si="285"/>
        <v/>
      </c>
      <c r="X605" s="104" t="str">
        <f t="shared" si="290"/>
        <v/>
      </c>
      <c r="Y605" s="104" t="str">
        <f t="array" ref="Y605">IFERROR(IF(ISNUMBER(O605),IF(COUNT(IF(A605=$A$2:$A$2427,IF(D605=$D$2:$D$2427,IF($X$2:$X$2427&gt;0,1))))&gt;0,SUM(IF(A605=$A$2:$A$2427,IF(D605=$D$2:$D$2427,$X$2:$X$2427)))/COUNT(IF(A605=$A$2:$A$2427,IF(D605=$D$2:$D$2427,IF(ISNUMBER($X$2:$X$2427),1)))),0),""),0)</f>
        <v/>
      </c>
      <c r="Z605" s="104" t="str">
        <f>IF(ISNUMBER(O605),IF(I605&gt;0,(10^(VLOOKUP(D605,'Species Codes'!B:C,2,0)+VLOOKUP(D605,'Species Codes'!B:D,3,0)*LOG(E605)+VLOOKUP(D605,'Species Codes'!B:E,4,0)*LOG(I605))),0),"")</f>
        <v/>
      </c>
      <c r="AA605" s="104" t="str">
        <f>IFERROR((VLOOKUP(D605,'Species Codes'!B:G,6,0)*Z605)/2000,"")</f>
        <v/>
      </c>
      <c r="AB605" s="104" t="e">
        <f>IF(Z605&gt;0,((IF(OR(D605="DF",D605="RA")=TRUE,EXP(VLOOKUP(D605,'Species Codes'!B:I,8,0)+VLOOKUP(D605,'Species Codes'!B:J,9,0)*(LN((E605*2.54)))),IF(OR(D605="PY",D605="RC",D605="WH",D605="NF")=TRUE,VLOOKUP(D605,'Species Codes'!B:I,8,0)+VLOOKUP(D605,'Species Codes'!B:J,9,0)*((E605*2.54)^2)*(I605*0.3048),IF(OR(D605="MD",D605="BM",D605="GA")=TRUE,((VLOOKUP(D605,'Species Codes'!B:I,8,0)*(((((E605*2.54)+VLOOKUP(D605,'Species Codes'!B:J,9,0))/VLOOKUP(D605,'Species Codes'!B:K,10,0))^VLOOKUP(D605,'Species Codes'!B:L,11,0))*((I605*0.3048)^VLOOKUP(D605,'Species Codes'!B:M,12,0))))-(VLOOKUP(D605,'Species Codes'!B:I,8,0)*((((E605*2.54)^VLOOKUP(D605,'Species Codes'!B:L,11,0))*((I605*0.3048)^VLOOKUP(D605,'Species Codes'!B:M,12,0))))))*35.3*VLOOKUP(D605,'Species Codes'!B:G,6,0)/2.2046,VLOOKUP(D605,'Species Codes'!B:I,8,0)+VLOOKUP(D605,'Species Codes'!B:J,9,0)*(((E605*2.54)/100)^2)*(I605*0.3048)))))*0.0011023),0)</f>
        <v>#N/A</v>
      </c>
      <c r="AC605" s="104" t="e">
        <f>IF(Z605&gt;0,((IF(OR(D605="RA",D605="OA",D605="OT",D605="UN",D605="PC"),EXP(VLOOKUP(D605,'Species Codes'!B:O,14,0)+VLOOKUP(D605,'Species Codes'!B:P,15,0)*LN((E605*2.54)))-EXP(VLOOKUP(D605,'Species Codes'!B:O,14,0)+VLOOKUP(D605,'Species Codes'!B:P,15,0)*LN((E605*2.54)))*(1/(VLOOKUP(D605,'Species Codes'!B:Q,16,0)+VLOOKUP(D605,'Species Codes'!B:R,17,0)*((E605*2.54)^VLOOKUP(D605,'Species Codes'!B:S,18,0)))),IF(OR(D605="BM",D605="MD",D605="OA"),EXP(VLOOKUP(D605,'Species Codes'!B:O,14,0)+VLOOKUP(D605,'Species Codes'!B:P,15,0)*LN((E605*2.54)))*(1-(1/(VLOOKUP(D605,'Species Codes'!B:Q,16,0)+VLOOKUP(D605,'Species Codes'!B:R,17,0)*((E605*2.54)^VLOOKUP(D605,'Species Codes'!B:S,18,0)))))/1000,IF(D605="DF",EXP(VLOOKUP(D605,'Species Codes'!B:O,14,0)+VLOOKUP(D605,'Species Codes'!B:P,15,0)*LN((E605*2.54))),VLOOKUP(D605,'Species Codes'!B:O,14,0)+VLOOKUP(D605,'Species Codes'!B:P,15,0)*(((E605*2.54)/100)^2)*(I605*0.3048)))))*0.0011023),0)</f>
        <v>#N/A</v>
      </c>
      <c r="AD605" s="104" t="e">
        <f t="shared" ref="AD605:AD668" si="301">SUM(AA605:AC605)</f>
        <v>#N/A</v>
      </c>
      <c r="AE605" s="104" t="e">
        <f t="shared" ref="AE605:AE668" si="302">AD605*O605</f>
        <v>#N/A</v>
      </c>
      <c r="AF605" s="104" t="e">
        <f>IF(AND(VLOOKUP($D605,Merchantability!$B:$C,2,0)="Yes",$E605&gt;=VLOOKUP($D605,Merchantability!$B:$D,3,0),$E605&lt;=VLOOKUP($D605,Merchantability!$B:$E,4,0)),AA605,0)</f>
        <v>#N/A</v>
      </c>
      <c r="AG605" s="104" t="e">
        <f>IF(AND(VLOOKUP($D605,Merchantability!$B:$C,2,0)="Yes",$E605&gt;=VLOOKUP($D605,Merchantability!$B:$D,3,0),$E605&lt;=VLOOKUP($D605,Merchantability!$B:$E,4,0)),AB605,0)</f>
        <v>#N/A</v>
      </c>
      <c r="AH605" s="104" t="e">
        <f>IF(AND(VLOOKUP($D605,Merchantability!$B:$C,2,0)="Yes",$E605&gt;=VLOOKUP($D605,Merchantability!$B:$D,3,0),$E605&lt;=VLOOKUP($D605,Merchantability!$B:$E,4,0)),AC605,0)</f>
        <v>#N/A</v>
      </c>
      <c r="AI605" s="104" t="e">
        <f t="shared" ref="AI605:AI668" si="303">SUM(AF605:AH605)</f>
        <v>#N/A</v>
      </c>
      <c r="AJ605" s="104" t="e">
        <f t="shared" ref="AJ605:AJ668" si="304">AA605*$O605</f>
        <v>#VALUE!</v>
      </c>
      <c r="AK605" s="104" t="e">
        <f t="shared" ref="AK605:AK668" si="305">AB605*$O605</f>
        <v>#N/A</v>
      </c>
      <c r="AL605" s="104" t="e">
        <f t="shared" ref="AL605:AL668" si="306">AC605*$O605</f>
        <v>#N/A</v>
      </c>
      <c r="AM605" s="104" t="e">
        <f t="shared" ref="AM605:AM668" si="307">AD605*$O605</f>
        <v>#N/A</v>
      </c>
      <c r="AN605" s="104" t="e">
        <f t="shared" si="291"/>
        <v>#N/A</v>
      </c>
      <c r="AO605" s="104" t="e">
        <f t="shared" si="292"/>
        <v>#N/A</v>
      </c>
      <c r="AP605" s="104" t="e">
        <f t="shared" si="293"/>
        <v>#N/A</v>
      </c>
      <c r="AQ605" s="104" t="e">
        <f t="shared" si="294"/>
        <v>#N/A</v>
      </c>
      <c r="AR605" s="105" t="str">
        <f t="shared" si="286"/>
        <v/>
      </c>
      <c r="AS605" s="105" t="str">
        <f t="shared" si="287"/>
        <v/>
      </c>
      <c r="AT605" s="108" t="str">
        <f t="shared" si="288"/>
        <v/>
      </c>
      <c r="AU605" s="108" t="str">
        <f t="shared" si="289"/>
        <v/>
      </c>
      <c r="AV605" s="107" t="str">
        <f>IF(ISNUMBER(O605),IF(VLOOKUP($A605,Stand!C:J,8,FALSE)="Short",AT605,AU605),"")</f>
        <v/>
      </c>
      <c r="AW605" s="109" t="str">
        <f t="shared" si="295"/>
        <v/>
      </c>
      <c r="AX605" s="109" t="str">
        <f t="shared" si="296"/>
        <v/>
      </c>
      <c r="AY605" s="112" t="str">
        <f>IF(ISNUMBER(O605),IF(AND(VLOOKUP($D605,Merchantability!$B:$C,2,0)="Yes",$E605&gt;=VLOOKUP($D605,Merchantability!$B:$D,3,0),$E605&lt;=VLOOKUP($D605,Merchantability!$B:$E,4,0)),(AV605*O605)*(1-$H605/100),""),"")</f>
        <v/>
      </c>
      <c r="AZ605" s="116"/>
      <c r="BA605" s="116"/>
      <c r="BB605" s="116"/>
      <c r="BE605" s="62"/>
      <c r="BF605" s="63"/>
    </row>
    <row r="606" spans="1:58" ht="12.75" customHeight="1" x14ac:dyDescent="0.25">
      <c r="A606" s="313"/>
      <c r="B606" s="328"/>
      <c r="C606" s="329"/>
      <c r="D606" s="328"/>
      <c r="E606" s="330"/>
      <c r="F606" s="328"/>
      <c r="G606" s="329"/>
      <c r="H606" s="329"/>
      <c r="I606" s="328"/>
      <c r="J606" s="383"/>
      <c r="K606" s="329"/>
      <c r="L606" s="329"/>
      <c r="M606" s="78"/>
      <c r="N606" s="103" t="str">
        <f>IF(A606="","",VLOOKUP(A606,Stand!C:K,9,0))</f>
        <v/>
      </c>
      <c r="O606" s="104" t="str">
        <f t="shared" si="281"/>
        <v/>
      </c>
      <c r="P606" s="105" t="str">
        <f t="shared" si="282"/>
        <v/>
      </c>
      <c r="Q606" s="105" t="str">
        <f t="shared" si="297"/>
        <v/>
      </c>
      <c r="R606" s="103" t="str">
        <f t="shared" si="283"/>
        <v/>
      </c>
      <c r="S606" s="103" t="str">
        <f t="shared" si="284"/>
        <v/>
      </c>
      <c r="T606" s="106" t="str">
        <f t="shared" si="298"/>
        <v/>
      </c>
      <c r="U606" s="106" t="str">
        <f t="shared" si="299"/>
        <v/>
      </c>
      <c r="V606" s="106" t="str">
        <f t="shared" si="300"/>
        <v/>
      </c>
      <c r="W606" s="105" t="str">
        <f t="shared" si="285"/>
        <v/>
      </c>
      <c r="X606" s="104" t="str">
        <f t="shared" si="290"/>
        <v/>
      </c>
      <c r="Y606" s="104" t="str">
        <f t="array" ref="Y606">IFERROR(IF(ISNUMBER(O606),IF(COUNT(IF(A606=$A$2:$A$2427,IF(D606=$D$2:$D$2427,IF($X$2:$X$2427&gt;0,1))))&gt;0,SUM(IF(A606=$A$2:$A$2427,IF(D606=$D$2:$D$2427,$X$2:$X$2427)))/COUNT(IF(A606=$A$2:$A$2427,IF(D606=$D$2:$D$2427,IF(ISNUMBER($X$2:$X$2427),1)))),0),""),0)</f>
        <v/>
      </c>
      <c r="Z606" s="104" t="str">
        <f>IF(ISNUMBER(O606),IF(I606&gt;0,(10^(VLOOKUP(D606,'Species Codes'!B:C,2,0)+VLOOKUP(D606,'Species Codes'!B:D,3,0)*LOG(E606)+VLOOKUP(D606,'Species Codes'!B:E,4,0)*LOG(I606))),0),"")</f>
        <v/>
      </c>
      <c r="AA606" s="104" t="str">
        <f>IFERROR((VLOOKUP(D606,'Species Codes'!B:G,6,0)*Z606)/2000,"")</f>
        <v/>
      </c>
      <c r="AB606" s="104" t="e">
        <f>IF(Z606&gt;0,((IF(OR(D606="DF",D606="RA")=TRUE,EXP(VLOOKUP(D606,'Species Codes'!B:I,8,0)+VLOOKUP(D606,'Species Codes'!B:J,9,0)*(LN((E606*2.54)))),IF(OR(D606="PY",D606="RC",D606="WH",D606="NF")=TRUE,VLOOKUP(D606,'Species Codes'!B:I,8,0)+VLOOKUP(D606,'Species Codes'!B:J,9,0)*((E606*2.54)^2)*(I606*0.3048),IF(OR(D606="MD",D606="BM",D606="GA")=TRUE,((VLOOKUP(D606,'Species Codes'!B:I,8,0)*(((((E606*2.54)+VLOOKUP(D606,'Species Codes'!B:J,9,0))/VLOOKUP(D606,'Species Codes'!B:K,10,0))^VLOOKUP(D606,'Species Codes'!B:L,11,0))*((I606*0.3048)^VLOOKUP(D606,'Species Codes'!B:M,12,0))))-(VLOOKUP(D606,'Species Codes'!B:I,8,0)*((((E606*2.54)^VLOOKUP(D606,'Species Codes'!B:L,11,0))*((I606*0.3048)^VLOOKUP(D606,'Species Codes'!B:M,12,0))))))*35.3*VLOOKUP(D606,'Species Codes'!B:G,6,0)/2.2046,VLOOKUP(D606,'Species Codes'!B:I,8,0)+VLOOKUP(D606,'Species Codes'!B:J,9,0)*(((E606*2.54)/100)^2)*(I606*0.3048)))))*0.0011023),0)</f>
        <v>#N/A</v>
      </c>
      <c r="AC606" s="104" t="e">
        <f>IF(Z606&gt;0,((IF(OR(D606="RA",D606="OA",D606="OT",D606="UN",D606="PC"),EXP(VLOOKUP(D606,'Species Codes'!B:O,14,0)+VLOOKUP(D606,'Species Codes'!B:P,15,0)*LN((E606*2.54)))-EXP(VLOOKUP(D606,'Species Codes'!B:O,14,0)+VLOOKUP(D606,'Species Codes'!B:P,15,0)*LN((E606*2.54)))*(1/(VLOOKUP(D606,'Species Codes'!B:Q,16,0)+VLOOKUP(D606,'Species Codes'!B:R,17,0)*((E606*2.54)^VLOOKUP(D606,'Species Codes'!B:S,18,0)))),IF(OR(D606="BM",D606="MD",D606="OA"),EXP(VLOOKUP(D606,'Species Codes'!B:O,14,0)+VLOOKUP(D606,'Species Codes'!B:P,15,0)*LN((E606*2.54)))*(1-(1/(VLOOKUP(D606,'Species Codes'!B:Q,16,0)+VLOOKUP(D606,'Species Codes'!B:R,17,0)*((E606*2.54)^VLOOKUP(D606,'Species Codes'!B:S,18,0)))))/1000,IF(D606="DF",EXP(VLOOKUP(D606,'Species Codes'!B:O,14,0)+VLOOKUP(D606,'Species Codes'!B:P,15,0)*LN((E606*2.54))),VLOOKUP(D606,'Species Codes'!B:O,14,0)+VLOOKUP(D606,'Species Codes'!B:P,15,0)*(((E606*2.54)/100)^2)*(I606*0.3048)))))*0.0011023),0)</f>
        <v>#N/A</v>
      </c>
      <c r="AD606" s="104" t="e">
        <f t="shared" si="301"/>
        <v>#N/A</v>
      </c>
      <c r="AE606" s="104" t="e">
        <f t="shared" si="302"/>
        <v>#N/A</v>
      </c>
      <c r="AF606" s="104" t="e">
        <f>IF(AND(VLOOKUP($D606,Merchantability!$B:$C,2,0)="Yes",$E606&gt;=VLOOKUP($D606,Merchantability!$B:$D,3,0),$E606&lt;=VLOOKUP($D606,Merchantability!$B:$E,4,0)),AA606,0)</f>
        <v>#N/A</v>
      </c>
      <c r="AG606" s="104" t="e">
        <f>IF(AND(VLOOKUP($D606,Merchantability!$B:$C,2,0)="Yes",$E606&gt;=VLOOKUP($D606,Merchantability!$B:$D,3,0),$E606&lt;=VLOOKUP($D606,Merchantability!$B:$E,4,0)),AB606,0)</f>
        <v>#N/A</v>
      </c>
      <c r="AH606" s="104" t="e">
        <f>IF(AND(VLOOKUP($D606,Merchantability!$B:$C,2,0)="Yes",$E606&gt;=VLOOKUP($D606,Merchantability!$B:$D,3,0),$E606&lt;=VLOOKUP($D606,Merchantability!$B:$E,4,0)),AC606,0)</f>
        <v>#N/A</v>
      </c>
      <c r="AI606" s="104" t="e">
        <f t="shared" si="303"/>
        <v>#N/A</v>
      </c>
      <c r="AJ606" s="104" t="e">
        <f t="shared" si="304"/>
        <v>#VALUE!</v>
      </c>
      <c r="AK606" s="104" t="e">
        <f t="shared" si="305"/>
        <v>#N/A</v>
      </c>
      <c r="AL606" s="104" t="e">
        <f t="shared" si="306"/>
        <v>#N/A</v>
      </c>
      <c r="AM606" s="104" t="e">
        <f t="shared" si="307"/>
        <v>#N/A</v>
      </c>
      <c r="AN606" s="104" t="e">
        <f t="shared" si="291"/>
        <v>#N/A</v>
      </c>
      <c r="AO606" s="104" t="e">
        <f t="shared" si="292"/>
        <v>#N/A</v>
      </c>
      <c r="AP606" s="104" t="e">
        <f t="shared" si="293"/>
        <v>#N/A</v>
      </c>
      <c r="AQ606" s="104" t="e">
        <f t="shared" si="294"/>
        <v>#N/A</v>
      </c>
      <c r="AR606" s="105" t="str">
        <f t="shared" si="286"/>
        <v/>
      </c>
      <c r="AS606" s="105" t="str">
        <f t="shared" si="287"/>
        <v/>
      </c>
      <c r="AT606" s="108" t="str">
        <f t="shared" si="288"/>
        <v/>
      </c>
      <c r="AU606" s="108" t="str">
        <f t="shared" si="289"/>
        <v/>
      </c>
      <c r="AV606" s="107" t="str">
        <f>IF(ISNUMBER(O606),IF(VLOOKUP($A606,Stand!C:J,8,FALSE)="Short",AT606,AU606),"")</f>
        <v/>
      </c>
      <c r="AW606" s="109" t="str">
        <f t="shared" si="295"/>
        <v/>
      </c>
      <c r="AX606" s="109" t="str">
        <f t="shared" si="296"/>
        <v/>
      </c>
      <c r="AY606" s="112" t="str">
        <f>IF(ISNUMBER(O606),IF(AND(VLOOKUP($D606,Merchantability!$B:$C,2,0)="Yes",$E606&gt;=VLOOKUP($D606,Merchantability!$B:$D,3,0),$E606&lt;=VLOOKUP($D606,Merchantability!$B:$E,4,0)),(AV606*O606)*(1-$H606/100),""),"")</f>
        <v/>
      </c>
      <c r="AZ606" s="116"/>
      <c r="BA606" s="116"/>
      <c r="BB606" s="116"/>
      <c r="BE606" s="62"/>
      <c r="BF606" s="63"/>
    </row>
    <row r="607" spans="1:58" ht="12.75" customHeight="1" x14ac:dyDescent="0.25">
      <c r="A607" s="313"/>
      <c r="B607" s="328"/>
      <c r="C607" s="329"/>
      <c r="D607" s="328"/>
      <c r="E607" s="330"/>
      <c r="F607" s="328"/>
      <c r="G607" s="329"/>
      <c r="H607" s="329"/>
      <c r="I607" s="328"/>
      <c r="J607" s="383"/>
      <c r="K607" s="329"/>
      <c r="L607" s="329"/>
      <c r="M607" s="78"/>
      <c r="N607" s="103" t="str">
        <f>IF(A607="","",VLOOKUP(A607,Stand!C:K,9,0))</f>
        <v/>
      </c>
      <c r="O607" s="104" t="str">
        <f t="shared" si="281"/>
        <v/>
      </c>
      <c r="P607" s="105" t="str">
        <f t="shared" si="282"/>
        <v/>
      </c>
      <c r="Q607" s="105" t="str">
        <f t="shared" si="297"/>
        <v/>
      </c>
      <c r="R607" s="103" t="str">
        <f t="shared" si="283"/>
        <v/>
      </c>
      <c r="S607" s="103" t="str">
        <f t="shared" si="284"/>
        <v/>
      </c>
      <c r="T607" s="106" t="str">
        <f t="shared" si="298"/>
        <v/>
      </c>
      <c r="U607" s="106" t="str">
        <f t="shared" si="299"/>
        <v/>
      </c>
      <c r="V607" s="106" t="str">
        <f t="shared" si="300"/>
        <v/>
      </c>
      <c r="W607" s="105" t="str">
        <f t="shared" si="285"/>
        <v/>
      </c>
      <c r="X607" s="104" t="str">
        <f t="shared" si="290"/>
        <v/>
      </c>
      <c r="Y607" s="104" t="str">
        <f t="array" ref="Y607">IFERROR(IF(ISNUMBER(O607),IF(COUNT(IF(A607=$A$2:$A$2427,IF(D607=$D$2:$D$2427,IF($X$2:$X$2427&gt;0,1))))&gt;0,SUM(IF(A607=$A$2:$A$2427,IF(D607=$D$2:$D$2427,$X$2:$X$2427)))/COUNT(IF(A607=$A$2:$A$2427,IF(D607=$D$2:$D$2427,IF(ISNUMBER($X$2:$X$2427),1)))),0),""),0)</f>
        <v/>
      </c>
      <c r="Z607" s="104" t="str">
        <f>IF(ISNUMBER(O607),IF(I607&gt;0,(10^(VLOOKUP(D607,'Species Codes'!B:C,2,0)+VLOOKUP(D607,'Species Codes'!B:D,3,0)*LOG(E607)+VLOOKUP(D607,'Species Codes'!B:E,4,0)*LOG(I607))),0),"")</f>
        <v/>
      </c>
      <c r="AA607" s="104" t="str">
        <f>IFERROR((VLOOKUP(D607,'Species Codes'!B:G,6,0)*Z607)/2000,"")</f>
        <v/>
      </c>
      <c r="AB607" s="104" t="e">
        <f>IF(Z607&gt;0,((IF(OR(D607="DF",D607="RA")=TRUE,EXP(VLOOKUP(D607,'Species Codes'!B:I,8,0)+VLOOKUP(D607,'Species Codes'!B:J,9,0)*(LN((E607*2.54)))),IF(OR(D607="PY",D607="RC",D607="WH",D607="NF")=TRUE,VLOOKUP(D607,'Species Codes'!B:I,8,0)+VLOOKUP(D607,'Species Codes'!B:J,9,0)*((E607*2.54)^2)*(I607*0.3048),IF(OR(D607="MD",D607="BM",D607="GA")=TRUE,((VLOOKUP(D607,'Species Codes'!B:I,8,0)*(((((E607*2.54)+VLOOKUP(D607,'Species Codes'!B:J,9,0))/VLOOKUP(D607,'Species Codes'!B:K,10,0))^VLOOKUP(D607,'Species Codes'!B:L,11,0))*((I607*0.3048)^VLOOKUP(D607,'Species Codes'!B:M,12,0))))-(VLOOKUP(D607,'Species Codes'!B:I,8,0)*((((E607*2.54)^VLOOKUP(D607,'Species Codes'!B:L,11,0))*((I607*0.3048)^VLOOKUP(D607,'Species Codes'!B:M,12,0))))))*35.3*VLOOKUP(D607,'Species Codes'!B:G,6,0)/2.2046,VLOOKUP(D607,'Species Codes'!B:I,8,0)+VLOOKUP(D607,'Species Codes'!B:J,9,0)*(((E607*2.54)/100)^2)*(I607*0.3048)))))*0.0011023),0)</f>
        <v>#N/A</v>
      </c>
      <c r="AC607" s="104" t="e">
        <f>IF(Z607&gt;0,((IF(OR(D607="RA",D607="OA",D607="OT",D607="UN",D607="PC"),EXP(VLOOKUP(D607,'Species Codes'!B:O,14,0)+VLOOKUP(D607,'Species Codes'!B:P,15,0)*LN((E607*2.54)))-EXP(VLOOKUP(D607,'Species Codes'!B:O,14,0)+VLOOKUP(D607,'Species Codes'!B:P,15,0)*LN((E607*2.54)))*(1/(VLOOKUP(D607,'Species Codes'!B:Q,16,0)+VLOOKUP(D607,'Species Codes'!B:R,17,0)*((E607*2.54)^VLOOKUP(D607,'Species Codes'!B:S,18,0)))),IF(OR(D607="BM",D607="MD",D607="OA"),EXP(VLOOKUP(D607,'Species Codes'!B:O,14,0)+VLOOKUP(D607,'Species Codes'!B:P,15,0)*LN((E607*2.54)))*(1-(1/(VLOOKUP(D607,'Species Codes'!B:Q,16,0)+VLOOKUP(D607,'Species Codes'!B:R,17,0)*((E607*2.54)^VLOOKUP(D607,'Species Codes'!B:S,18,0)))))/1000,IF(D607="DF",EXP(VLOOKUP(D607,'Species Codes'!B:O,14,0)+VLOOKUP(D607,'Species Codes'!B:P,15,0)*LN((E607*2.54))),VLOOKUP(D607,'Species Codes'!B:O,14,0)+VLOOKUP(D607,'Species Codes'!B:P,15,0)*(((E607*2.54)/100)^2)*(I607*0.3048)))))*0.0011023),0)</f>
        <v>#N/A</v>
      </c>
      <c r="AD607" s="104" t="e">
        <f t="shared" si="301"/>
        <v>#N/A</v>
      </c>
      <c r="AE607" s="104" t="e">
        <f t="shared" si="302"/>
        <v>#N/A</v>
      </c>
      <c r="AF607" s="104" t="e">
        <f>IF(AND(VLOOKUP($D607,Merchantability!$B:$C,2,0)="Yes",$E607&gt;=VLOOKUP($D607,Merchantability!$B:$D,3,0),$E607&lt;=VLOOKUP($D607,Merchantability!$B:$E,4,0)),AA607,0)</f>
        <v>#N/A</v>
      </c>
      <c r="AG607" s="104" t="e">
        <f>IF(AND(VLOOKUP($D607,Merchantability!$B:$C,2,0)="Yes",$E607&gt;=VLOOKUP($D607,Merchantability!$B:$D,3,0),$E607&lt;=VLOOKUP($D607,Merchantability!$B:$E,4,0)),AB607,0)</f>
        <v>#N/A</v>
      </c>
      <c r="AH607" s="104" t="e">
        <f>IF(AND(VLOOKUP($D607,Merchantability!$B:$C,2,0)="Yes",$E607&gt;=VLOOKUP($D607,Merchantability!$B:$D,3,0),$E607&lt;=VLOOKUP($D607,Merchantability!$B:$E,4,0)),AC607,0)</f>
        <v>#N/A</v>
      </c>
      <c r="AI607" s="104" t="e">
        <f t="shared" si="303"/>
        <v>#N/A</v>
      </c>
      <c r="AJ607" s="104" t="e">
        <f t="shared" si="304"/>
        <v>#VALUE!</v>
      </c>
      <c r="AK607" s="104" t="e">
        <f t="shared" si="305"/>
        <v>#N/A</v>
      </c>
      <c r="AL607" s="104" t="e">
        <f t="shared" si="306"/>
        <v>#N/A</v>
      </c>
      <c r="AM607" s="104" t="e">
        <f t="shared" si="307"/>
        <v>#N/A</v>
      </c>
      <c r="AN607" s="104" t="e">
        <f t="shared" si="291"/>
        <v>#N/A</v>
      </c>
      <c r="AO607" s="104" t="e">
        <f t="shared" si="292"/>
        <v>#N/A</v>
      </c>
      <c r="AP607" s="104" t="e">
        <f t="shared" si="293"/>
        <v>#N/A</v>
      </c>
      <c r="AQ607" s="104" t="e">
        <f t="shared" si="294"/>
        <v>#N/A</v>
      </c>
      <c r="AR607" s="105" t="str">
        <f t="shared" si="286"/>
        <v/>
      </c>
      <c r="AS607" s="105" t="str">
        <f t="shared" si="287"/>
        <v/>
      </c>
      <c r="AT607" s="108" t="str">
        <f t="shared" si="288"/>
        <v/>
      </c>
      <c r="AU607" s="108" t="str">
        <f t="shared" si="289"/>
        <v/>
      </c>
      <c r="AV607" s="107" t="str">
        <f>IF(ISNUMBER(O607),IF(VLOOKUP($A607,Stand!C:J,8,FALSE)="Short",AT607,AU607),"")</f>
        <v/>
      </c>
      <c r="AW607" s="109" t="str">
        <f t="shared" si="295"/>
        <v/>
      </c>
      <c r="AX607" s="109" t="str">
        <f t="shared" si="296"/>
        <v/>
      </c>
      <c r="AY607" s="112" t="str">
        <f>IF(ISNUMBER(O607),IF(AND(VLOOKUP($D607,Merchantability!$B:$C,2,0)="Yes",$E607&gt;=VLOOKUP($D607,Merchantability!$B:$D,3,0),$E607&lt;=VLOOKUP($D607,Merchantability!$B:$E,4,0)),(AV607*O607)*(1-$H607/100),""),"")</f>
        <v/>
      </c>
      <c r="AZ607" s="116"/>
      <c r="BA607" s="116"/>
      <c r="BB607" s="116"/>
      <c r="BE607" s="62"/>
      <c r="BF607" s="63"/>
    </row>
    <row r="608" spans="1:58" ht="12.75" customHeight="1" x14ac:dyDescent="0.25">
      <c r="A608" s="313"/>
      <c r="B608" s="328"/>
      <c r="C608" s="329"/>
      <c r="D608" s="328"/>
      <c r="E608" s="330"/>
      <c r="F608" s="328"/>
      <c r="G608" s="329"/>
      <c r="H608" s="329"/>
      <c r="I608" s="328"/>
      <c r="J608" s="383"/>
      <c r="K608" s="329"/>
      <c r="L608" s="329"/>
      <c r="M608" s="78"/>
      <c r="N608" s="103" t="str">
        <f>IF(A608="","",VLOOKUP(A608,Stand!C:K,9,0))</f>
        <v/>
      </c>
      <c r="O608" s="104" t="str">
        <f t="shared" si="281"/>
        <v/>
      </c>
      <c r="P608" s="105" t="str">
        <f t="shared" si="282"/>
        <v/>
      </c>
      <c r="Q608" s="105" t="str">
        <f t="shared" si="297"/>
        <v/>
      </c>
      <c r="R608" s="103" t="str">
        <f t="shared" si="283"/>
        <v/>
      </c>
      <c r="S608" s="103" t="str">
        <f t="shared" si="284"/>
        <v/>
      </c>
      <c r="T608" s="106" t="str">
        <f t="shared" si="298"/>
        <v/>
      </c>
      <c r="U608" s="106" t="str">
        <f t="shared" si="299"/>
        <v/>
      </c>
      <c r="V608" s="106" t="str">
        <f t="shared" si="300"/>
        <v/>
      </c>
      <c r="W608" s="105" t="str">
        <f t="shared" si="285"/>
        <v/>
      </c>
      <c r="X608" s="104" t="str">
        <f t="shared" si="290"/>
        <v/>
      </c>
      <c r="Y608" s="104" t="str">
        <f t="array" ref="Y608">IFERROR(IF(ISNUMBER(O608),IF(COUNT(IF(A608=$A$2:$A$2427,IF(D608=$D$2:$D$2427,IF($X$2:$X$2427&gt;0,1))))&gt;0,SUM(IF(A608=$A$2:$A$2427,IF(D608=$D$2:$D$2427,$X$2:$X$2427)))/COUNT(IF(A608=$A$2:$A$2427,IF(D608=$D$2:$D$2427,IF(ISNUMBER($X$2:$X$2427),1)))),0),""),0)</f>
        <v/>
      </c>
      <c r="Z608" s="104" t="str">
        <f>IF(ISNUMBER(O608),IF(I608&gt;0,(10^(VLOOKUP(D608,'Species Codes'!B:C,2,0)+VLOOKUP(D608,'Species Codes'!B:D,3,0)*LOG(E608)+VLOOKUP(D608,'Species Codes'!B:E,4,0)*LOG(I608))),0),"")</f>
        <v/>
      </c>
      <c r="AA608" s="104" t="str">
        <f>IFERROR((VLOOKUP(D608,'Species Codes'!B:G,6,0)*Z608)/2000,"")</f>
        <v/>
      </c>
      <c r="AB608" s="104" t="e">
        <f>IF(Z608&gt;0,((IF(OR(D608="DF",D608="RA")=TRUE,EXP(VLOOKUP(D608,'Species Codes'!B:I,8,0)+VLOOKUP(D608,'Species Codes'!B:J,9,0)*(LN((E608*2.54)))),IF(OR(D608="PY",D608="RC",D608="WH",D608="NF")=TRUE,VLOOKUP(D608,'Species Codes'!B:I,8,0)+VLOOKUP(D608,'Species Codes'!B:J,9,0)*((E608*2.54)^2)*(I608*0.3048),IF(OR(D608="MD",D608="BM",D608="GA")=TRUE,((VLOOKUP(D608,'Species Codes'!B:I,8,0)*(((((E608*2.54)+VLOOKUP(D608,'Species Codes'!B:J,9,0))/VLOOKUP(D608,'Species Codes'!B:K,10,0))^VLOOKUP(D608,'Species Codes'!B:L,11,0))*((I608*0.3048)^VLOOKUP(D608,'Species Codes'!B:M,12,0))))-(VLOOKUP(D608,'Species Codes'!B:I,8,0)*((((E608*2.54)^VLOOKUP(D608,'Species Codes'!B:L,11,0))*((I608*0.3048)^VLOOKUP(D608,'Species Codes'!B:M,12,0))))))*35.3*VLOOKUP(D608,'Species Codes'!B:G,6,0)/2.2046,VLOOKUP(D608,'Species Codes'!B:I,8,0)+VLOOKUP(D608,'Species Codes'!B:J,9,0)*(((E608*2.54)/100)^2)*(I608*0.3048)))))*0.0011023),0)</f>
        <v>#N/A</v>
      </c>
      <c r="AC608" s="104" t="e">
        <f>IF(Z608&gt;0,((IF(OR(D608="RA",D608="OA",D608="OT",D608="UN",D608="PC"),EXP(VLOOKUP(D608,'Species Codes'!B:O,14,0)+VLOOKUP(D608,'Species Codes'!B:P,15,0)*LN((E608*2.54)))-EXP(VLOOKUP(D608,'Species Codes'!B:O,14,0)+VLOOKUP(D608,'Species Codes'!B:P,15,0)*LN((E608*2.54)))*(1/(VLOOKUP(D608,'Species Codes'!B:Q,16,0)+VLOOKUP(D608,'Species Codes'!B:R,17,0)*((E608*2.54)^VLOOKUP(D608,'Species Codes'!B:S,18,0)))),IF(OR(D608="BM",D608="MD",D608="OA"),EXP(VLOOKUP(D608,'Species Codes'!B:O,14,0)+VLOOKUP(D608,'Species Codes'!B:P,15,0)*LN((E608*2.54)))*(1-(1/(VLOOKUP(D608,'Species Codes'!B:Q,16,0)+VLOOKUP(D608,'Species Codes'!B:R,17,0)*((E608*2.54)^VLOOKUP(D608,'Species Codes'!B:S,18,0)))))/1000,IF(D608="DF",EXP(VLOOKUP(D608,'Species Codes'!B:O,14,0)+VLOOKUP(D608,'Species Codes'!B:P,15,0)*LN((E608*2.54))),VLOOKUP(D608,'Species Codes'!B:O,14,0)+VLOOKUP(D608,'Species Codes'!B:P,15,0)*(((E608*2.54)/100)^2)*(I608*0.3048)))))*0.0011023),0)</f>
        <v>#N/A</v>
      </c>
      <c r="AD608" s="104" t="e">
        <f t="shared" si="301"/>
        <v>#N/A</v>
      </c>
      <c r="AE608" s="104" t="e">
        <f t="shared" si="302"/>
        <v>#N/A</v>
      </c>
      <c r="AF608" s="104" t="e">
        <f>IF(AND(VLOOKUP($D608,Merchantability!$B:$C,2,0)="Yes",$E608&gt;=VLOOKUP($D608,Merchantability!$B:$D,3,0),$E608&lt;=VLOOKUP($D608,Merchantability!$B:$E,4,0)),AA608,0)</f>
        <v>#N/A</v>
      </c>
      <c r="AG608" s="104" t="e">
        <f>IF(AND(VLOOKUP($D608,Merchantability!$B:$C,2,0)="Yes",$E608&gt;=VLOOKUP($D608,Merchantability!$B:$D,3,0),$E608&lt;=VLOOKUP($D608,Merchantability!$B:$E,4,0)),AB608,0)</f>
        <v>#N/A</v>
      </c>
      <c r="AH608" s="104" t="e">
        <f>IF(AND(VLOOKUP($D608,Merchantability!$B:$C,2,0)="Yes",$E608&gt;=VLOOKUP($D608,Merchantability!$B:$D,3,0),$E608&lt;=VLOOKUP($D608,Merchantability!$B:$E,4,0)),AC608,0)</f>
        <v>#N/A</v>
      </c>
      <c r="AI608" s="104" t="e">
        <f t="shared" si="303"/>
        <v>#N/A</v>
      </c>
      <c r="AJ608" s="104" t="e">
        <f t="shared" si="304"/>
        <v>#VALUE!</v>
      </c>
      <c r="AK608" s="104" t="e">
        <f t="shared" si="305"/>
        <v>#N/A</v>
      </c>
      <c r="AL608" s="104" t="e">
        <f t="shared" si="306"/>
        <v>#N/A</v>
      </c>
      <c r="AM608" s="104" t="e">
        <f t="shared" si="307"/>
        <v>#N/A</v>
      </c>
      <c r="AN608" s="104" t="e">
        <f t="shared" si="291"/>
        <v>#N/A</v>
      </c>
      <c r="AO608" s="104" t="e">
        <f t="shared" si="292"/>
        <v>#N/A</v>
      </c>
      <c r="AP608" s="104" t="e">
        <f t="shared" si="293"/>
        <v>#N/A</v>
      </c>
      <c r="AQ608" s="104" t="e">
        <f t="shared" si="294"/>
        <v>#N/A</v>
      </c>
      <c r="AR608" s="105" t="str">
        <f t="shared" si="286"/>
        <v/>
      </c>
      <c r="AS608" s="105" t="str">
        <f t="shared" si="287"/>
        <v/>
      </c>
      <c r="AT608" s="108" t="str">
        <f t="shared" si="288"/>
        <v/>
      </c>
      <c r="AU608" s="108" t="str">
        <f t="shared" si="289"/>
        <v/>
      </c>
      <c r="AV608" s="107" t="str">
        <f>IF(ISNUMBER(O608),IF(VLOOKUP($A608,Stand!C:J,8,FALSE)="Short",AT608,AU608),"")</f>
        <v/>
      </c>
      <c r="AW608" s="109" t="str">
        <f t="shared" si="295"/>
        <v/>
      </c>
      <c r="AX608" s="109" t="str">
        <f t="shared" si="296"/>
        <v/>
      </c>
      <c r="AY608" s="112" t="str">
        <f>IF(ISNUMBER(O608),IF(AND(VLOOKUP($D608,Merchantability!$B:$C,2,0)="Yes",$E608&gt;=VLOOKUP($D608,Merchantability!$B:$D,3,0),$E608&lt;=VLOOKUP($D608,Merchantability!$B:$E,4,0)),(AV608*O608)*(1-$H608/100),""),"")</f>
        <v/>
      </c>
      <c r="AZ608" s="116"/>
      <c r="BA608" s="116"/>
      <c r="BB608" s="116"/>
      <c r="BE608" s="62"/>
      <c r="BF608" s="63"/>
    </row>
    <row r="609" spans="1:16379" ht="12.75" customHeight="1" x14ac:dyDescent="0.25">
      <c r="A609" s="313"/>
      <c r="B609" s="328"/>
      <c r="C609" s="329"/>
      <c r="D609" s="328"/>
      <c r="E609" s="330"/>
      <c r="F609" s="328"/>
      <c r="G609" s="329"/>
      <c r="H609" s="329"/>
      <c r="I609" s="328"/>
      <c r="J609" s="383"/>
      <c r="K609" s="329"/>
      <c r="L609" s="329"/>
      <c r="M609" s="78"/>
      <c r="N609" s="103" t="str">
        <f>IF(A609="","",VLOOKUP(A609,Stand!C:K,9,0))</f>
        <v/>
      </c>
      <c r="O609" s="104" t="str">
        <f t="shared" si="281"/>
        <v/>
      </c>
      <c r="P609" s="105" t="str">
        <f t="shared" si="282"/>
        <v/>
      </c>
      <c r="Q609" s="105" t="str">
        <f t="shared" si="297"/>
        <v/>
      </c>
      <c r="R609" s="103" t="str">
        <f t="shared" si="283"/>
        <v/>
      </c>
      <c r="S609" s="103" t="str">
        <f t="shared" si="284"/>
        <v/>
      </c>
      <c r="T609" s="106" t="str">
        <f t="shared" si="298"/>
        <v/>
      </c>
      <c r="U609" s="106" t="str">
        <f t="shared" si="299"/>
        <v/>
      </c>
      <c r="V609" s="106" t="str">
        <f t="shared" si="300"/>
        <v/>
      </c>
      <c r="W609" s="105" t="str">
        <f t="shared" si="285"/>
        <v/>
      </c>
      <c r="X609" s="104" t="str">
        <f t="shared" si="290"/>
        <v/>
      </c>
      <c r="Y609" s="104" t="str">
        <f t="array" ref="Y609">IFERROR(IF(ISNUMBER(O609),IF(COUNT(IF(A609=$A$2:$A$2427,IF(D609=$D$2:$D$2427,IF($X$2:$X$2427&gt;0,1))))&gt;0,SUM(IF(A609=$A$2:$A$2427,IF(D609=$D$2:$D$2427,$X$2:$X$2427)))/COUNT(IF(A609=$A$2:$A$2427,IF(D609=$D$2:$D$2427,IF(ISNUMBER($X$2:$X$2427),1)))),0),""),0)</f>
        <v/>
      </c>
      <c r="Z609" s="104" t="str">
        <f>IF(ISNUMBER(O609),IF(I609&gt;0,(10^(VLOOKUP(D609,'Species Codes'!B:C,2,0)+VLOOKUP(D609,'Species Codes'!B:D,3,0)*LOG(E609)+VLOOKUP(D609,'Species Codes'!B:E,4,0)*LOG(I609))),0),"")</f>
        <v/>
      </c>
      <c r="AA609" s="104" t="str">
        <f>IFERROR((VLOOKUP(D609,'Species Codes'!B:G,6,0)*Z609)/2000,"")</f>
        <v/>
      </c>
      <c r="AB609" s="104" t="e">
        <f>IF(Z609&gt;0,((IF(OR(D609="DF",D609="RA")=TRUE,EXP(VLOOKUP(D609,'Species Codes'!B:I,8,0)+VLOOKUP(D609,'Species Codes'!B:J,9,0)*(LN((E609*2.54)))),IF(OR(D609="PY",D609="RC",D609="WH",D609="NF")=TRUE,VLOOKUP(D609,'Species Codes'!B:I,8,0)+VLOOKUP(D609,'Species Codes'!B:J,9,0)*((E609*2.54)^2)*(I609*0.3048),IF(OR(D609="MD",D609="BM",D609="GA")=TRUE,((VLOOKUP(D609,'Species Codes'!B:I,8,0)*(((((E609*2.54)+VLOOKUP(D609,'Species Codes'!B:J,9,0))/VLOOKUP(D609,'Species Codes'!B:K,10,0))^VLOOKUP(D609,'Species Codes'!B:L,11,0))*((I609*0.3048)^VLOOKUP(D609,'Species Codes'!B:M,12,0))))-(VLOOKUP(D609,'Species Codes'!B:I,8,0)*((((E609*2.54)^VLOOKUP(D609,'Species Codes'!B:L,11,0))*((I609*0.3048)^VLOOKUP(D609,'Species Codes'!B:M,12,0))))))*35.3*VLOOKUP(D609,'Species Codes'!B:G,6,0)/2.2046,VLOOKUP(D609,'Species Codes'!B:I,8,0)+VLOOKUP(D609,'Species Codes'!B:J,9,0)*(((E609*2.54)/100)^2)*(I609*0.3048)))))*0.0011023),0)</f>
        <v>#N/A</v>
      </c>
      <c r="AC609" s="104" t="e">
        <f>IF(Z609&gt;0,((IF(OR(D609="RA",D609="OA",D609="OT",D609="UN",D609="PC"),EXP(VLOOKUP(D609,'Species Codes'!B:O,14,0)+VLOOKUP(D609,'Species Codes'!B:P,15,0)*LN((E609*2.54)))-EXP(VLOOKUP(D609,'Species Codes'!B:O,14,0)+VLOOKUP(D609,'Species Codes'!B:P,15,0)*LN((E609*2.54)))*(1/(VLOOKUP(D609,'Species Codes'!B:Q,16,0)+VLOOKUP(D609,'Species Codes'!B:R,17,0)*((E609*2.54)^VLOOKUP(D609,'Species Codes'!B:S,18,0)))),IF(OR(D609="BM",D609="MD",D609="OA"),EXP(VLOOKUP(D609,'Species Codes'!B:O,14,0)+VLOOKUP(D609,'Species Codes'!B:P,15,0)*LN((E609*2.54)))*(1-(1/(VLOOKUP(D609,'Species Codes'!B:Q,16,0)+VLOOKUP(D609,'Species Codes'!B:R,17,0)*((E609*2.54)^VLOOKUP(D609,'Species Codes'!B:S,18,0)))))/1000,IF(D609="DF",EXP(VLOOKUP(D609,'Species Codes'!B:O,14,0)+VLOOKUP(D609,'Species Codes'!B:P,15,0)*LN((E609*2.54))),VLOOKUP(D609,'Species Codes'!B:O,14,0)+VLOOKUP(D609,'Species Codes'!B:P,15,0)*(((E609*2.54)/100)^2)*(I609*0.3048)))))*0.0011023),0)</f>
        <v>#N/A</v>
      </c>
      <c r="AD609" s="104" t="e">
        <f t="shared" si="301"/>
        <v>#N/A</v>
      </c>
      <c r="AE609" s="104" t="e">
        <f t="shared" si="302"/>
        <v>#N/A</v>
      </c>
      <c r="AF609" s="104" t="e">
        <f>IF(AND(VLOOKUP($D609,Merchantability!$B:$C,2,0)="Yes",$E609&gt;=VLOOKUP($D609,Merchantability!$B:$D,3,0),$E609&lt;=VLOOKUP($D609,Merchantability!$B:$E,4,0)),AA609,0)</f>
        <v>#N/A</v>
      </c>
      <c r="AG609" s="104" t="e">
        <f>IF(AND(VLOOKUP($D609,Merchantability!$B:$C,2,0)="Yes",$E609&gt;=VLOOKUP($D609,Merchantability!$B:$D,3,0),$E609&lt;=VLOOKUP($D609,Merchantability!$B:$E,4,0)),AB609,0)</f>
        <v>#N/A</v>
      </c>
      <c r="AH609" s="104" t="e">
        <f>IF(AND(VLOOKUP($D609,Merchantability!$B:$C,2,0)="Yes",$E609&gt;=VLOOKUP($D609,Merchantability!$B:$D,3,0),$E609&lt;=VLOOKUP($D609,Merchantability!$B:$E,4,0)),AC609,0)</f>
        <v>#N/A</v>
      </c>
      <c r="AI609" s="104" t="e">
        <f t="shared" si="303"/>
        <v>#N/A</v>
      </c>
      <c r="AJ609" s="104" t="e">
        <f t="shared" si="304"/>
        <v>#VALUE!</v>
      </c>
      <c r="AK609" s="104" t="e">
        <f t="shared" si="305"/>
        <v>#N/A</v>
      </c>
      <c r="AL609" s="104" t="e">
        <f t="shared" si="306"/>
        <v>#N/A</v>
      </c>
      <c r="AM609" s="104" t="e">
        <f t="shared" si="307"/>
        <v>#N/A</v>
      </c>
      <c r="AN609" s="104" t="e">
        <f t="shared" si="291"/>
        <v>#N/A</v>
      </c>
      <c r="AO609" s="104" t="e">
        <f t="shared" si="292"/>
        <v>#N/A</v>
      </c>
      <c r="AP609" s="104" t="e">
        <f t="shared" si="293"/>
        <v>#N/A</v>
      </c>
      <c r="AQ609" s="104" t="e">
        <f t="shared" si="294"/>
        <v>#N/A</v>
      </c>
      <c r="AR609" s="105" t="str">
        <f t="shared" si="286"/>
        <v/>
      </c>
      <c r="AS609" s="105" t="str">
        <f t="shared" si="287"/>
        <v/>
      </c>
      <c r="AT609" s="108" t="str">
        <f t="shared" si="288"/>
        <v/>
      </c>
      <c r="AU609" s="108" t="str">
        <f t="shared" si="289"/>
        <v/>
      </c>
      <c r="AV609" s="107" t="str">
        <f>IF(ISNUMBER(O609),IF(VLOOKUP($A609,Stand!C:J,8,FALSE)="Short",AT609,AU609),"")</f>
        <v/>
      </c>
      <c r="AW609" s="109" t="str">
        <f t="shared" si="295"/>
        <v/>
      </c>
      <c r="AX609" s="109" t="str">
        <f t="shared" si="296"/>
        <v/>
      </c>
      <c r="AY609" s="112" t="str">
        <f>IF(ISNUMBER(O609),IF(AND(VLOOKUP($D609,Merchantability!$B:$C,2,0)="Yes",$E609&gt;=VLOOKUP($D609,Merchantability!$B:$D,3,0),$E609&lt;=VLOOKUP($D609,Merchantability!$B:$E,4,0)),(AV609*O609)*(1-$H609/100),""),"")</f>
        <v/>
      </c>
      <c r="AZ609" s="116"/>
      <c r="BA609" s="116"/>
      <c r="BB609" s="116"/>
      <c r="BE609" s="62"/>
      <c r="BF609" s="63"/>
    </row>
    <row r="610" spans="1:16379" ht="12.75" customHeight="1" x14ac:dyDescent="0.25">
      <c r="A610" s="313"/>
      <c r="B610" s="328"/>
      <c r="C610" s="329"/>
      <c r="D610" s="328"/>
      <c r="E610" s="330"/>
      <c r="F610" s="328"/>
      <c r="G610" s="329"/>
      <c r="H610" s="329"/>
      <c r="I610" s="328"/>
      <c r="J610" s="383"/>
      <c r="K610" s="329"/>
      <c r="L610" s="329"/>
      <c r="M610" s="78"/>
      <c r="N610" s="103" t="str">
        <f>IF(A610="","",VLOOKUP(A610,Stand!C:K,9,0))</f>
        <v/>
      </c>
      <c r="O610" s="104" t="str">
        <f t="shared" si="281"/>
        <v/>
      </c>
      <c r="P610" s="105" t="str">
        <f t="shared" si="282"/>
        <v/>
      </c>
      <c r="Q610" s="105" t="str">
        <f t="shared" si="297"/>
        <v/>
      </c>
      <c r="R610" s="103" t="str">
        <f t="shared" si="283"/>
        <v/>
      </c>
      <c r="S610" s="103" t="str">
        <f t="shared" si="284"/>
        <v/>
      </c>
      <c r="T610" s="106" t="str">
        <f t="shared" si="298"/>
        <v/>
      </c>
      <c r="U610" s="106" t="str">
        <f t="shared" si="299"/>
        <v/>
      </c>
      <c r="V610" s="106" t="str">
        <f t="shared" si="300"/>
        <v/>
      </c>
      <c r="W610" s="105" t="str">
        <f t="shared" si="285"/>
        <v/>
      </c>
      <c r="X610" s="104" t="str">
        <f t="shared" si="290"/>
        <v/>
      </c>
      <c r="Y610" s="104" t="str">
        <f t="array" ref="Y610">IFERROR(IF(ISNUMBER(O610),IF(COUNT(IF(A610=$A$2:$A$2427,IF(D610=$D$2:$D$2427,IF($X$2:$X$2427&gt;0,1))))&gt;0,SUM(IF(A610=$A$2:$A$2427,IF(D610=$D$2:$D$2427,$X$2:$X$2427)))/COUNT(IF(A610=$A$2:$A$2427,IF(D610=$D$2:$D$2427,IF(ISNUMBER($X$2:$X$2427),1)))),0),""),0)</f>
        <v/>
      </c>
      <c r="Z610" s="104" t="str">
        <f>IF(ISNUMBER(O610),IF(I610&gt;0,(10^(VLOOKUP(D610,'Species Codes'!B:C,2,0)+VLOOKUP(D610,'Species Codes'!B:D,3,0)*LOG(E610)+VLOOKUP(D610,'Species Codes'!B:E,4,0)*LOG(I610))),0),"")</f>
        <v/>
      </c>
      <c r="AA610" s="104" t="str">
        <f>IFERROR((VLOOKUP(D610,'Species Codes'!B:G,6,0)*Z610)/2000,"")</f>
        <v/>
      </c>
      <c r="AB610" s="104" t="e">
        <f>IF(Z610&gt;0,((IF(OR(D610="DF",D610="RA")=TRUE,EXP(VLOOKUP(D610,'Species Codes'!B:I,8,0)+VLOOKUP(D610,'Species Codes'!B:J,9,0)*(LN((E610*2.54)))),IF(OR(D610="PY",D610="RC",D610="WH",D610="NF")=TRUE,VLOOKUP(D610,'Species Codes'!B:I,8,0)+VLOOKUP(D610,'Species Codes'!B:J,9,0)*((E610*2.54)^2)*(I610*0.3048),IF(OR(D610="MD",D610="BM",D610="GA")=TRUE,((VLOOKUP(D610,'Species Codes'!B:I,8,0)*(((((E610*2.54)+VLOOKUP(D610,'Species Codes'!B:J,9,0))/VLOOKUP(D610,'Species Codes'!B:K,10,0))^VLOOKUP(D610,'Species Codes'!B:L,11,0))*((I610*0.3048)^VLOOKUP(D610,'Species Codes'!B:M,12,0))))-(VLOOKUP(D610,'Species Codes'!B:I,8,0)*((((E610*2.54)^VLOOKUP(D610,'Species Codes'!B:L,11,0))*((I610*0.3048)^VLOOKUP(D610,'Species Codes'!B:M,12,0))))))*35.3*VLOOKUP(D610,'Species Codes'!B:G,6,0)/2.2046,VLOOKUP(D610,'Species Codes'!B:I,8,0)+VLOOKUP(D610,'Species Codes'!B:J,9,0)*(((E610*2.54)/100)^2)*(I610*0.3048)))))*0.0011023),0)</f>
        <v>#N/A</v>
      </c>
      <c r="AC610" s="104" t="e">
        <f>IF(Z610&gt;0,((IF(OR(D610="RA",D610="OA",D610="OT",D610="UN",D610="PC"),EXP(VLOOKUP(D610,'Species Codes'!B:O,14,0)+VLOOKUP(D610,'Species Codes'!B:P,15,0)*LN((E610*2.54)))-EXP(VLOOKUP(D610,'Species Codes'!B:O,14,0)+VLOOKUP(D610,'Species Codes'!B:P,15,0)*LN((E610*2.54)))*(1/(VLOOKUP(D610,'Species Codes'!B:Q,16,0)+VLOOKUP(D610,'Species Codes'!B:R,17,0)*((E610*2.54)^VLOOKUP(D610,'Species Codes'!B:S,18,0)))),IF(OR(D610="BM",D610="MD",D610="OA"),EXP(VLOOKUP(D610,'Species Codes'!B:O,14,0)+VLOOKUP(D610,'Species Codes'!B:P,15,0)*LN((E610*2.54)))*(1-(1/(VLOOKUP(D610,'Species Codes'!B:Q,16,0)+VLOOKUP(D610,'Species Codes'!B:R,17,0)*((E610*2.54)^VLOOKUP(D610,'Species Codes'!B:S,18,0)))))/1000,IF(D610="DF",EXP(VLOOKUP(D610,'Species Codes'!B:O,14,0)+VLOOKUP(D610,'Species Codes'!B:P,15,0)*LN((E610*2.54))),VLOOKUP(D610,'Species Codes'!B:O,14,0)+VLOOKUP(D610,'Species Codes'!B:P,15,0)*(((E610*2.54)/100)^2)*(I610*0.3048)))))*0.0011023),0)</f>
        <v>#N/A</v>
      </c>
      <c r="AD610" s="104" t="e">
        <f t="shared" si="301"/>
        <v>#N/A</v>
      </c>
      <c r="AE610" s="104" t="e">
        <f t="shared" si="302"/>
        <v>#N/A</v>
      </c>
      <c r="AF610" s="104" t="e">
        <f>IF(AND(VLOOKUP($D610,Merchantability!$B:$C,2,0)="Yes",$E610&gt;=VLOOKUP($D610,Merchantability!$B:$D,3,0),$E610&lt;=VLOOKUP($D610,Merchantability!$B:$E,4,0)),AA610,0)</f>
        <v>#N/A</v>
      </c>
      <c r="AG610" s="104" t="e">
        <f>IF(AND(VLOOKUP($D610,Merchantability!$B:$C,2,0)="Yes",$E610&gt;=VLOOKUP($D610,Merchantability!$B:$D,3,0),$E610&lt;=VLOOKUP($D610,Merchantability!$B:$E,4,0)),AB610,0)</f>
        <v>#N/A</v>
      </c>
      <c r="AH610" s="104" t="e">
        <f>IF(AND(VLOOKUP($D610,Merchantability!$B:$C,2,0)="Yes",$E610&gt;=VLOOKUP($D610,Merchantability!$B:$D,3,0),$E610&lt;=VLOOKUP($D610,Merchantability!$B:$E,4,0)),AC610,0)</f>
        <v>#N/A</v>
      </c>
      <c r="AI610" s="104" t="e">
        <f t="shared" si="303"/>
        <v>#N/A</v>
      </c>
      <c r="AJ610" s="104" t="e">
        <f t="shared" si="304"/>
        <v>#VALUE!</v>
      </c>
      <c r="AK610" s="104" t="e">
        <f t="shared" si="305"/>
        <v>#N/A</v>
      </c>
      <c r="AL610" s="104" t="e">
        <f t="shared" si="306"/>
        <v>#N/A</v>
      </c>
      <c r="AM610" s="104" t="e">
        <f t="shared" si="307"/>
        <v>#N/A</v>
      </c>
      <c r="AN610" s="104" t="e">
        <f t="shared" si="291"/>
        <v>#N/A</v>
      </c>
      <c r="AO610" s="104" t="e">
        <f t="shared" si="292"/>
        <v>#N/A</v>
      </c>
      <c r="AP610" s="104" t="e">
        <f t="shared" si="293"/>
        <v>#N/A</v>
      </c>
      <c r="AQ610" s="104" t="e">
        <f t="shared" si="294"/>
        <v>#N/A</v>
      </c>
      <c r="AR610" s="105" t="str">
        <f t="shared" si="286"/>
        <v/>
      </c>
      <c r="AS610" s="105" t="str">
        <f t="shared" si="287"/>
        <v/>
      </c>
      <c r="AT610" s="108" t="str">
        <f t="shared" si="288"/>
        <v/>
      </c>
      <c r="AU610" s="108" t="str">
        <f t="shared" si="289"/>
        <v/>
      </c>
      <c r="AV610" s="107" t="str">
        <f>IF(ISNUMBER(O610),IF(VLOOKUP($A610,Stand!C:J,8,FALSE)="Short",AT610,AU610),"")</f>
        <v/>
      </c>
      <c r="AW610" s="109" t="str">
        <f t="shared" si="295"/>
        <v/>
      </c>
      <c r="AX610" s="109" t="str">
        <f t="shared" si="296"/>
        <v/>
      </c>
      <c r="AY610" s="112" t="str">
        <f>IF(ISNUMBER(O610),IF(AND(VLOOKUP($D610,Merchantability!$B:$C,2,0)="Yes",$E610&gt;=VLOOKUP($D610,Merchantability!$B:$D,3,0),$E610&lt;=VLOOKUP($D610,Merchantability!$B:$E,4,0)),(AV610*O610)*(1-$H610/100),""),"")</f>
        <v/>
      </c>
      <c r="AZ610" s="116"/>
      <c r="BA610" s="116"/>
      <c r="BB610" s="116"/>
      <c r="BE610" s="62"/>
      <c r="BF610" s="63"/>
    </row>
    <row r="611" spans="1:16379" ht="12.75" customHeight="1" x14ac:dyDescent="0.25">
      <c r="A611" s="313"/>
      <c r="B611" s="328"/>
      <c r="C611" s="329"/>
      <c r="D611" s="328"/>
      <c r="E611" s="330"/>
      <c r="F611" s="328"/>
      <c r="G611" s="329"/>
      <c r="H611" s="329"/>
      <c r="I611" s="328"/>
      <c r="J611" s="383"/>
      <c r="K611" s="329"/>
      <c r="L611" s="329"/>
      <c r="M611" s="78"/>
      <c r="N611" s="103" t="str">
        <f>IF(A611="","",VLOOKUP(A611,Stand!C:K,9,0))</f>
        <v/>
      </c>
      <c r="O611" s="104" t="str">
        <f t="shared" si="281"/>
        <v/>
      </c>
      <c r="P611" s="105" t="str">
        <f t="shared" si="282"/>
        <v/>
      </c>
      <c r="Q611" s="105" t="str">
        <f t="shared" si="297"/>
        <v/>
      </c>
      <c r="R611" s="103" t="str">
        <f t="shared" si="283"/>
        <v/>
      </c>
      <c r="S611" s="103" t="str">
        <f t="shared" si="284"/>
        <v/>
      </c>
      <c r="T611" s="106" t="str">
        <f t="shared" si="298"/>
        <v/>
      </c>
      <c r="U611" s="106" t="str">
        <f t="shared" si="299"/>
        <v/>
      </c>
      <c r="V611" s="106" t="str">
        <f t="shared" si="300"/>
        <v/>
      </c>
      <c r="W611" s="105" t="str">
        <f t="shared" si="285"/>
        <v/>
      </c>
      <c r="X611" s="104" t="str">
        <f t="shared" si="290"/>
        <v/>
      </c>
      <c r="Y611" s="104" t="str">
        <f t="array" ref="Y611">IFERROR(IF(ISNUMBER(O611),IF(COUNT(IF(A611=$A$2:$A$2427,IF(D611=$D$2:$D$2427,IF($X$2:$X$2427&gt;0,1))))&gt;0,SUM(IF(A611=$A$2:$A$2427,IF(D611=$D$2:$D$2427,$X$2:$X$2427)))/COUNT(IF(A611=$A$2:$A$2427,IF(D611=$D$2:$D$2427,IF(ISNUMBER($X$2:$X$2427),1)))),0),""),0)</f>
        <v/>
      </c>
      <c r="Z611" s="104" t="str">
        <f>IF(ISNUMBER(O611),IF(I611&gt;0,(10^(VLOOKUP(D611,'Species Codes'!B:C,2,0)+VLOOKUP(D611,'Species Codes'!B:D,3,0)*LOG(E611)+VLOOKUP(D611,'Species Codes'!B:E,4,0)*LOG(I611))),0),"")</f>
        <v/>
      </c>
      <c r="AA611" s="104" t="str">
        <f>IFERROR((VLOOKUP(D611,'Species Codes'!B:G,6,0)*Z611)/2000,"")</f>
        <v/>
      </c>
      <c r="AB611" s="104" t="e">
        <f>IF(Z611&gt;0,((IF(OR(D611="DF",D611="RA")=TRUE,EXP(VLOOKUP(D611,'Species Codes'!B:I,8,0)+VLOOKUP(D611,'Species Codes'!B:J,9,0)*(LN((E611*2.54)))),IF(OR(D611="PY",D611="RC",D611="WH",D611="NF")=TRUE,VLOOKUP(D611,'Species Codes'!B:I,8,0)+VLOOKUP(D611,'Species Codes'!B:J,9,0)*((E611*2.54)^2)*(I611*0.3048),IF(OR(D611="MD",D611="BM",D611="GA")=TRUE,((VLOOKUP(D611,'Species Codes'!B:I,8,0)*(((((E611*2.54)+VLOOKUP(D611,'Species Codes'!B:J,9,0))/VLOOKUP(D611,'Species Codes'!B:K,10,0))^VLOOKUP(D611,'Species Codes'!B:L,11,0))*((I611*0.3048)^VLOOKUP(D611,'Species Codes'!B:M,12,0))))-(VLOOKUP(D611,'Species Codes'!B:I,8,0)*((((E611*2.54)^VLOOKUP(D611,'Species Codes'!B:L,11,0))*((I611*0.3048)^VLOOKUP(D611,'Species Codes'!B:M,12,0))))))*35.3*VLOOKUP(D611,'Species Codes'!B:G,6,0)/2.2046,VLOOKUP(D611,'Species Codes'!B:I,8,0)+VLOOKUP(D611,'Species Codes'!B:J,9,0)*(((E611*2.54)/100)^2)*(I611*0.3048)))))*0.0011023),0)</f>
        <v>#N/A</v>
      </c>
      <c r="AC611" s="104" t="e">
        <f>IF(Z611&gt;0,((IF(OR(D611="RA",D611="OA",D611="OT",D611="UN",D611="PC"),EXP(VLOOKUP(D611,'Species Codes'!B:O,14,0)+VLOOKUP(D611,'Species Codes'!B:P,15,0)*LN((E611*2.54)))-EXP(VLOOKUP(D611,'Species Codes'!B:O,14,0)+VLOOKUP(D611,'Species Codes'!B:P,15,0)*LN((E611*2.54)))*(1/(VLOOKUP(D611,'Species Codes'!B:Q,16,0)+VLOOKUP(D611,'Species Codes'!B:R,17,0)*((E611*2.54)^VLOOKUP(D611,'Species Codes'!B:S,18,0)))),IF(OR(D611="BM",D611="MD",D611="OA"),EXP(VLOOKUP(D611,'Species Codes'!B:O,14,0)+VLOOKUP(D611,'Species Codes'!B:P,15,0)*LN((E611*2.54)))*(1-(1/(VLOOKUP(D611,'Species Codes'!B:Q,16,0)+VLOOKUP(D611,'Species Codes'!B:R,17,0)*((E611*2.54)^VLOOKUP(D611,'Species Codes'!B:S,18,0)))))/1000,IF(D611="DF",EXP(VLOOKUP(D611,'Species Codes'!B:O,14,0)+VLOOKUP(D611,'Species Codes'!B:P,15,0)*LN((E611*2.54))),VLOOKUP(D611,'Species Codes'!B:O,14,0)+VLOOKUP(D611,'Species Codes'!B:P,15,0)*(((E611*2.54)/100)^2)*(I611*0.3048)))))*0.0011023),0)</f>
        <v>#N/A</v>
      </c>
      <c r="AD611" s="104" t="e">
        <f t="shared" si="301"/>
        <v>#N/A</v>
      </c>
      <c r="AE611" s="104" t="e">
        <f t="shared" si="302"/>
        <v>#N/A</v>
      </c>
      <c r="AF611" s="104" t="e">
        <f>IF(AND(VLOOKUP($D611,Merchantability!$B:$C,2,0)="Yes",$E611&gt;=VLOOKUP($D611,Merchantability!$B:$D,3,0),$E611&lt;=VLOOKUP($D611,Merchantability!$B:$E,4,0)),AA611,0)</f>
        <v>#N/A</v>
      </c>
      <c r="AG611" s="104" t="e">
        <f>IF(AND(VLOOKUP($D611,Merchantability!$B:$C,2,0)="Yes",$E611&gt;=VLOOKUP($D611,Merchantability!$B:$D,3,0),$E611&lt;=VLOOKUP($D611,Merchantability!$B:$E,4,0)),AB611,0)</f>
        <v>#N/A</v>
      </c>
      <c r="AH611" s="104" t="e">
        <f>IF(AND(VLOOKUP($D611,Merchantability!$B:$C,2,0)="Yes",$E611&gt;=VLOOKUP($D611,Merchantability!$B:$D,3,0),$E611&lt;=VLOOKUP($D611,Merchantability!$B:$E,4,0)),AC611,0)</f>
        <v>#N/A</v>
      </c>
      <c r="AI611" s="104" t="e">
        <f t="shared" si="303"/>
        <v>#N/A</v>
      </c>
      <c r="AJ611" s="104" t="e">
        <f t="shared" si="304"/>
        <v>#VALUE!</v>
      </c>
      <c r="AK611" s="104" t="e">
        <f t="shared" si="305"/>
        <v>#N/A</v>
      </c>
      <c r="AL611" s="104" t="e">
        <f t="shared" si="306"/>
        <v>#N/A</v>
      </c>
      <c r="AM611" s="104" t="e">
        <f t="shared" si="307"/>
        <v>#N/A</v>
      </c>
      <c r="AN611" s="104" t="e">
        <f t="shared" si="291"/>
        <v>#N/A</v>
      </c>
      <c r="AO611" s="104" t="e">
        <f t="shared" si="292"/>
        <v>#N/A</v>
      </c>
      <c r="AP611" s="104" t="e">
        <f t="shared" si="293"/>
        <v>#N/A</v>
      </c>
      <c r="AQ611" s="104" t="e">
        <f t="shared" si="294"/>
        <v>#N/A</v>
      </c>
      <c r="AR611" s="105" t="str">
        <f t="shared" si="286"/>
        <v/>
      </c>
      <c r="AS611" s="105" t="str">
        <f t="shared" si="287"/>
        <v/>
      </c>
      <c r="AT611" s="108" t="str">
        <f t="shared" si="288"/>
        <v/>
      </c>
      <c r="AU611" s="108" t="str">
        <f t="shared" si="289"/>
        <v/>
      </c>
      <c r="AV611" s="107" t="str">
        <f>IF(ISNUMBER(O611),IF(VLOOKUP($A611,Stand!C:J,8,FALSE)="Short",AT611,AU611),"")</f>
        <v/>
      </c>
      <c r="AW611" s="109" t="str">
        <f t="shared" si="295"/>
        <v/>
      </c>
      <c r="AX611" s="109" t="str">
        <f t="shared" si="296"/>
        <v/>
      </c>
      <c r="AY611" s="112" t="str">
        <f>IF(ISNUMBER(O611),IF(AND(VLOOKUP($D611,Merchantability!$B:$C,2,0)="Yes",$E611&gt;=VLOOKUP($D611,Merchantability!$B:$D,3,0),$E611&lt;=VLOOKUP($D611,Merchantability!$B:$E,4,0)),(AV611*O611)*(1-$H611/100),""),"")</f>
        <v/>
      </c>
      <c r="AZ611" s="116"/>
      <c r="BA611" s="116"/>
      <c r="BB611" s="116"/>
      <c r="BE611" s="62"/>
      <c r="BF611" s="63"/>
    </row>
    <row r="612" spans="1:16379" ht="12.75" customHeight="1" x14ac:dyDescent="0.25">
      <c r="A612" s="313"/>
      <c r="B612" s="328"/>
      <c r="C612" s="329"/>
      <c r="D612" s="328"/>
      <c r="E612" s="330"/>
      <c r="F612" s="328"/>
      <c r="G612" s="329"/>
      <c r="H612" s="329"/>
      <c r="I612" s="328"/>
      <c r="J612" s="383"/>
      <c r="K612" s="329"/>
      <c r="L612" s="329"/>
      <c r="M612" s="78"/>
      <c r="N612" s="103" t="str">
        <f>IF(A612="","",VLOOKUP(A612,Stand!C:K,9,0))</f>
        <v/>
      </c>
      <c r="O612" s="104" t="str">
        <f t="shared" si="281"/>
        <v/>
      </c>
      <c r="P612" s="105" t="str">
        <f t="shared" si="282"/>
        <v/>
      </c>
      <c r="Q612" s="105" t="str">
        <f t="shared" si="297"/>
        <v/>
      </c>
      <c r="R612" s="103" t="str">
        <f t="shared" si="283"/>
        <v/>
      </c>
      <c r="S612" s="103" t="str">
        <f t="shared" si="284"/>
        <v/>
      </c>
      <c r="T612" s="106" t="str">
        <f t="shared" si="298"/>
        <v/>
      </c>
      <c r="U612" s="106" t="str">
        <f t="shared" si="299"/>
        <v/>
      </c>
      <c r="V612" s="106" t="str">
        <f t="shared" si="300"/>
        <v/>
      </c>
      <c r="W612" s="105" t="str">
        <f t="shared" si="285"/>
        <v/>
      </c>
      <c r="X612" s="104" t="str">
        <f t="shared" si="290"/>
        <v/>
      </c>
      <c r="Y612" s="104" t="str">
        <f t="array" ref="Y612">IFERROR(IF(ISNUMBER(O612),IF(COUNT(IF(A612=$A$2:$A$2427,IF(D612=$D$2:$D$2427,IF($X$2:$X$2427&gt;0,1))))&gt;0,SUM(IF(A612=$A$2:$A$2427,IF(D612=$D$2:$D$2427,$X$2:$X$2427)))/COUNT(IF(A612=$A$2:$A$2427,IF(D612=$D$2:$D$2427,IF(ISNUMBER($X$2:$X$2427),1)))),0),""),0)</f>
        <v/>
      </c>
      <c r="Z612" s="104" t="str">
        <f>IF(ISNUMBER(O612),IF(I612&gt;0,(10^(VLOOKUP(D612,'Species Codes'!B:C,2,0)+VLOOKUP(D612,'Species Codes'!B:D,3,0)*LOG(E612)+VLOOKUP(D612,'Species Codes'!B:E,4,0)*LOG(I612))),0),"")</f>
        <v/>
      </c>
      <c r="AA612" s="104" t="str">
        <f>IFERROR((VLOOKUP(D612,'Species Codes'!B:G,6,0)*Z612)/2000,"")</f>
        <v/>
      </c>
      <c r="AB612" s="104" t="e">
        <f>IF(Z612&gt;0,((IF(OR(D612="DF",D612="RA")=TRUE,EXP(VLOOKUP(D612,'Species Codes'!B:I,8,0)+VLOOKUP(D612,'Species Codes'!B:J,9,0)*(LN((E612*2.54)))),IF(OR(D612="PY",D612="RC",D612="WH",D612="NF")=TRUE,VLOOKUP(D612,'Species Codes'!B:I,8,0)+VLOOKUP(D612,'Species Codes'!B:J,9,0)*((E612*2.54)^2)*(I612*0.3048),IF(OR(D612="MD",D612="BM",D612="GA")=TRUE,((VLOOKUP(D612,'Species Codes'!B:I,8,0)*(((((E612*2.54)+VLOOKUP(D612,'Species Codes'!B:J,9,0))/VLOOKUP(D612,'Species Codes'!B:K,10,0))^VLOOKUP(D612,'Species Codes'!B:L,11,0))*((I612*0.3048)^VLOOKUP(D612,'Species Codes'!B:M,12,0))))-(VLOOKUP(D612,'Species Codes'!B:I,8,0)*((((E612*2.54)^VLOOKUP(D612,'Species Codes'!B:L,11,0))*((I612*0.3048)^VLOOKUP(D612,'Species Codes'!B:M,12,0))))))*35.3*VLOOKUP(D612,'Species Codes'!B:G,6,0)/2.2046,VLOOKUP(D612,'Species Codes'!B:I,8,0)+VLOOKUP(D612,'Species Codes'!B:J,9,0)*(((E612*2.54)/100)^2)*(I612*0.3048)))))*0.0011023),0)</f>
        <v>#N/A</v>
      </c>
      <c r="AC612" s="104" t="e">
        <f>IF(Z612&gt;0,((IF(OR(D612="RA",D612="OA",D612="OT",D612="UN",D612="PC"),EXP(VLOOKUP(D612,'Species Codes'!B:O,14,0)+VLOOKUP(D612,'Species Codes'!B:P,15,0)*LN((E612*2.54)))-EXP(VLOOKUP(D612,'Species Codes'!B:O,14,0)+VLOOKUP(D612,'Species Codes'!B:P,15,0)*LN((E612*2.54)))*(1/(VLOOKUP(D612,'Species Codes'!B:Q,16,0)+VLOOKUP(D612,'Species Codes'!B:R,17,0)*((E612*2.54)^VLOOKUP(D612,'Species Codes'!B:S,18,0)))),IF(OR(D612="BM",D612="MD",D612="OA"),EXP(VLOOKUP(D612,'Species Codes'!B:O,14,0)+VLOOKUP(D612,'Species Codes'!B:P,15,0)*LN((E612*2.54)))*(1-(1/(VLOOKUP(D612,'Species Codes'!B:Q,16,0)+VLOOKUP(D612,'Species Codes'!B:R,17,0)*((E612*2.54)^VLOOKUP(D612,'Species Codes'!B:S,18,0)))))/1000,IF(D612="DF",EXP(VLOOKUP(D612,'Species Codes'!B:O,14,0)+VLOOKUP(D612,'Species Codes'!B:P,15,0)*LN((E612*2.54))),VLOOKUP(D612,'Species Codes'!B:O,14,0)+VLOOKUP(D612,'Species Codes'!B:P,15,0)*(((E612*2.54)/100)^2)*(I612*0.3048)))))*0.0011023),0)</f>
        <v>#N/A</v>
      </c>
      <c r="AD612" s="104" t="e">
        <f t="shared" si="301"/>
        <v>#N/A</v>
      </c>
      <c r="AE612" s="104" t="e">
        <f t="shared" si="302"/>
        <v>#N/A</v>
      </c>
      <c r="AF612" s="104" t="e">
        <f>IF(AND(VLOOKUP($D612,Merchantability!$B:$C,2,0)="Yes",$E612&gt;=VLOOKUP($D612,Merchantability!$B:$D,3,0),$E612&lt;=VLOOKUP($D612,Merchantability!$B:$E,4,0)),AA612,0)</f>
        <v>#N/A</v>
      </c>
      <c r="AG612" s="104" t="e">
        <f>IF(AND(VLOOKUP($D612,Merchantability!$B:$C,2,0)="Yes",$E612&gt;=VLOOKUP($D612,Merchantability!$B:$D,3,0),$E612&lt;=VLOOKUP($D612,Merchantability!$B:$E,4,0)),AB612,0)</f>
        <v>#N/A</v>
      </c>
      <c r="AH612" s="104" t="e">
        <f>IF(AND(VLOOKUP($D612,Merchantability!$B:$C,2,0)="Yes",$E612&gt;=VLOOKUP($D612,Merchantability!$B:$D,3,0),$E612&lt;=VLOOKUP($D612,Merchantability!$B:$E,4,0)),AC612,0)</f>
        <v>#N/A</v>
      </c>
      <c r="AI612" s="104" t="e">
        <f t="shared" si="303"/>
        <v>#N/A</v>
      </c>
      <c r="AJ612" s="104" t="e">
        <f t="shared" si="304"/>
        <v>#VALUE!</v>
      </c>
      <c r="AK612" s="104" t="e">
        <f t="shared" si="305"/>
        <v>#N/A</v>
      </c>
      <c r="AL612" s="104" t="e">
        <f t="shared" si="306"/>
        <v>#N/A</v>
      </c>
      <c r="AM612" s="104" t="e">
        <f t="shared" si="307"/>
        <v>#N/A</v>
      </c>
      <c r="AN612" s="104" t="e">
        <f t="shared" si="291"/>
        <v>#N/A</v>
      </c>
      <c r="AO612" s="104" t="e">
        <f t="shared" si="292"/>
        <v>#N/A</v>
      </c>
      <c r="AP612" s="104" t="e">
        <f t="shared" si="293"/>
        <v>#N/A</v>
      </c>
      <c r="AQ612" s="104" t="e">
        <f t="shared" si="294"/>
        <v>#N/A</v>
      </c>
      <c r="AR612" s="105" t="str">
        <f t="shared" si="286"/>
        <v/>
      </c>
      <c r="AS612" s="105" t="str">
        <f t="shared" si="287"/>
        <v/>
      </c>
      <c r="AT612" s="108" t="str">
        <f t="shared" si="288"/>
        <v/>
      </c>
      <c r="AU612" s="108" t="str">
        <f t="shared" si="289"/>
        <v/>
      </c>
      <c r="AV612" s="107" t="str">
        <f>IF(ISNUMBER(O612),IF(VLOOKUP($A612,Stand!C:J,8,FALSE)="Short",AT612,AU612),"")</f>
        <v/>
      </c>
      <c r="AW612" s="109" t="str">
        <f t="shared" si="295"/>
        <v/>
      </c>
      <c r="AX612" s="109" t="str">
        <f t="shared" si="296"/>
        <v/>
      </c>
      <c r="AY612" s="112" t="str">
        <f>IF(ISNUMBER(O612),IF(AND(VLOOKUP($D612,Merchantability!$B:$C,2,0)="Yes",$E612&gt;=VLOOKUP($D612,Merchantability!$B:$D,3,0),$E612&lt;=VLOOKUP($D612,Merchantability!$B:$E,4,0)),(AV612*O612)*(1-$H612/100),""),"")</f>
        <v/>
      </c>
      <c r="AZ612" s="116"/>
      <c r="BA612" s="116"/>
      <c r="BB612" s="116"/>
      <c r="BE612" s="62"/>
      <c r="BF612" s="63"/>
    </row>
    <row r="613" spans="1:16379" ht="12.75" customHeight="1" x14ac:dyDescent="0.25">
      <c r="A613" s="313"/>
      <c r="B613" s="328"/>
      <c r="C613" s="329"/>
      <c r="D613" s="328"/>
      <c r="E613" s="330"/>
      <c r="F613" s="328"/>
      <c r="G613" s="329"/>
      <c r="H613" s="329"/>
      <c r="I613" s="328"/>
      <c r="J613" s="383"/>
      <c r="K613" s="329"/>
      <c r="L613" s="329"/>
      <c r="M613" s="78"/>
      <c r="N613" s="103" t="str">
        <f>IF(A613="","",VLOOKUP(A613,Stand!C:K,9,0))</f>
        <v/>
      </c>
      <c r="O613" s="104" t="str">
        <f t="shared" si="281"/>
        <v/>
      </c>
      <c r="P613" s="105" t="str">
        <f t="shared" si="282"/>
        <v/>
      </c>
      <c r="Q613" s="105" t="str">
        <f t="shared" si="297"/>
        <v/>
      </c>
      <c r="R613" s="103" t="str">
        <f t="shared" si="283"/>
        <v/>
      </c>
      <c r="S613" s="103" t="str">
        <f t="shared" si="284"/>
        <v/>
      </c>
      <c r="T613" s="106" t="str">
        <f t="shared" si="298"/>
        <v/>
      </c>
      <c r="U613" s="106" t="str">
        <f t="shared" si="299"/>
        <v/>
      </c>
      <c r="V613" s="106" t="str">
        <f t="shared" si="300"/>
        <v/>
      </c>
      <c r="W613" s="105" t="str">
        <f t="shared" si="285"/>
        <v/>
      </c>
      <c r="X613" s="104" t="str">
        <f t="shared" si="290"/>
        <v/>
      </c>
      <c r="Y613" s="104" t="str">
        <f t="array" ref="Y613">IFERROR(IF(ISNUMBER(O613),IF(COUNT(IF(A613=$A$2:$A$2427,IF(D613=$D$2:$D$2427,IF($X$2:$X$2427&gt;0,1))))&gt;0,SUM(IF(A613=$A$2:$A$2427,IF(D613=$D$2:$D$2427,$X$2:$X$2427)))/COUNT(IF(A613=$A$2:$A$2427,IF(D613=$D$2:$D$2427,IF(ISNUMBER($X$2:$X$2427),1)))),0),""),0)</f>
        <v/>
      </c>
      <c r="Z613" s="104" t="str">
        <f>IF(ISNUMBER(O613),IF(I613&gt;0,(10^(VLOOKUP(D613,'Species Codes'!B:C,2,0)+VLOOKUP(D613,'Species Codes'!B:D,3,0)*LOG(E613)+VLOOKUP(D613,'Species Codes'!B:E,4,0)*LOG(I613))),0),"")</f>
        <v/>
      </c>
      <c r="AA613" s="104" t="str">
        <f>IFERROR((VLOOKUP(D613,'Species Codes'!B:G,6,0)*Z613)/2000,"")</f>
        <v/>
      </c>
      <c r="AB613" s="104" t="e">
        <f>IF(Z613&gt;0,((IF(OR(D613="DF",D613="RA")=TRUE,EXP(VLOOKUP(D613,'Species Codes'!B:I,8,0)+VLOOKUP(D613,'Species Codes'!B:J,9,0)*(LN((E613*2.54)))),IF(OR(D613="PY",D613="RC",D613="WH",D613="NF")=TRUE,VLOOKUP(D613,'Species Codes'!B:I,8,0)+VLOOKUP(D613,'Species Codes'!B:J,9,0)*((E613*2.54)^2)*(I613*0.3048),IF(OR(D613="MD",D613="BM",D613="GA")=TRUE,((VLOOKUP(D613,'Species Codes'!B:I,8,0)*(((((E613*2.54)+VLOOKUP(D613,'Species Codes'!B:J,9,0))/VLOOKUP(D613,'Species Codes'!B:K,10,0))^VLOOKUP(D613,'Species Codes'!B:L,11,0))*((I613*0.3048)^VLOOKUP(D613,'Species Codes'!B:M,12,0))))-(VLOOKUP(D613,'Species Codes'!B:I,8,0)*((((E613*2.54)^VLOOKUP(D613,'Species Codes'!B:L,11,0))*((I613*0.3048)^VLOOKUP(D613,'Species Codes'!B:M,12,0))))))*35.3*VLOOKUP(D613,'Species Codes'!B:G,6,0)/2.2046,VLOOKUP(D613,'Species Codes'!B:I,8,0)+VLOOKUP(D613,'Species Codes'!B:J,9,0)*(((E613*2.54)/100)^2)*(I613*0.3048)))))*0.0011023),0)</f>
        <v>#N/A</v>
      </c>
      <c r="AC613" s="104" t="e">
        <f>IF(Z613&gt;0,((IF(OR(D613="RA",D613="OA",D613="OT",D613="UN",D613="PC"),EXP(VLOOKUP(D613,'Species Codes'!B:O,14,0)+VLOOKUP(D613,'Species Codes'!B:P,15,0)*LN((E613*2.54)))-EXP(VLOOKUP(D613,'Species Codes'!B:O,14,0)+VLOOKUP(D613,'Species Codes'!B:P,15,0)*LN((E613*2.54)))*(1/(VLOOKUP(D613,'Species Codes'!B:Q,16,0)+VLOOKUP(D613,'Species Codes'!B:R,17,0)*((E613*2.54)^VLOOKUP(D613,'Species Codes'!B:S,18,0)))),IF(OR(D613="BM",D613="MD",D613="OA"),EXP(VLOOKUP(D613,'Species Codes'!B:O,14,0)+VLOOKUP(D613,'Species Codes'!B:P,15,0)*LN((E613*2.54)))*(1-(1/(VLOOKUP(D613,'Species Codes'!B:Q,16,0)+VLOOKUP(D613,'Species Codes'!B:R,17,0)*((E613*2.54)^VLOOKUP(D613,'Species Codes'!B:S,18,0)))))/1000,IF(D613="DF",EXP(VLOOKUP(D613,'Species Codes'!B:O,14,0)+VLOOKUP(D613,'Species Codes'!B:P,15,0)*LN((E613*2.54))),VLOOKUP(D613,'Species Codes'!B:O,14,0)+VLOOKUP(D613,'Species Codes'!B:P,15,0)*(((E613*2.54)/100)^2)*(I613*0.3048)))))*0.0011023),0)</f>
        <v>#N/A</v>
      </c>
      <c r="AD613" s="104" t="e">
        <f t="shared" si="301"/>
        <v>#N/A</v>
      </c>
      <c r="AE613" s="104" t="e">
        <f t="shared" si="302"/>
        <v>#N/A</v>
      </c>
      <c r="AF613" s="104" t="e">
        <f>IF(AND(VLOOKUP($D613,Merchantability!$B:$C,2,0)="Yes",$E613&gt;=VLOOKUP($D613,Merchantability!$B:$D,3,0),$E613&lt;=VLOOKUP($D613,Merchantability!$B:$E,4,0)),AA613,0)</f>
        <v>#N/A</v>
      </c>
      <c r="AG613" s="104" t="e">
        <f>IF(AND(VLOOKUP($D613,Merchantability!$B:$C,2,0)="Yes",$E613&gt;=VLOOKUP($D613,Merchantability!$B:$D,3,0),$E613&lt;=VLOOKUP($D613,Merchantability!$B:$E,4,0)),AB613,0)</f>
        <v>#N/A</v>
      </c>
      <c r="AH613" s="104" t="e">
        <f>IF(AND(VLOOKUP($D613,Merchantability!$B:$C,2,0)="Yes",$E613&gt;=VLOOKUP($D613,Merchantability!$B:$D,3,0),$E613&lt;=VLOOKUP($D613,Merchantability!$B:$E,4,0)),AC613,0)</f>
        <v>#N/A</v>
      </c>
      <c r="AI613" s="104" t="e">
        <f t="shared" si="303"/>
        <v>#N/A</v>
      </c>
      <c r="AJ613" s="104" t="e">
        <f t="shared" si="304"/>
        <v>#VALUE!</v>
      </c>
      <c r="AK613" s="104" t="e">
        <f t="shared" si="305"/>
        <v>#N/A</v>
      </c>
      <c r="AL613" s="104" t="e">
        <f t="shared" si="306"/>
        <v>#N/A</v>
      </c>
      <c r="AM613" s="104" t="e">
        <f t="shared" si="307"/>
        <v>#N/A</v>
      </c>
      <c r="AN613" s="104" t="e">
        <f t="shared" si="291"/>
        <v>#N/A</v>
      </c>
      <c r="AO613" s="104" t="e">
        <f t="shared" si="292"/>
        <v>#N/A</v>
      </c>
      <c r="AP613" s="104" t="e">
        <f t="shared" si="293"/>
        <v>#N/A</v>
      </c>
      <c r="AQ613" s="104" t="e">
        <f t="shared" si="294"/>
        <v>#N/A</v>
      </c>
      <c r="AR613" s="105" t="str">
        <f t="shared" si="286"/>
        <v/>
      </c>
      <c r="AS613" s="105" t="str">
        <f t="shared" si="287"/>
        <v/>
      </c>
      <c r="AT613" s="108" t="str">
        <f t="shared" si="288"/>
        <v/>
      </c>
      <c r="AU613" s="108" t="str">
        <f t="shared" si="289"/>
        <v/>
      </c>
      <c r="AV613" s="107" t="str">
        <f>IF(ISNUMBER(O613),IF(VLOOKUP($A613,Stand!C:J,8,FALSE)="Short",AT613,AU613),"")</f>
        <v/>
      </c>
      <c r="AW613" s="109" t="str">
        <f t="shared" si="295"/>
        <v/>
      </c>
      <c r="AX613" s="109" t="str">
        <f t="shared" si="296"/>
        <v/>
      </c>
      <c r="AY613" s="112" t="str">
        <f>IF(ISNUMBER(O613),IF(AND(VLOOKUP($D613,Merchantability!$B:$C,2,0)="Yes",$E613&gt;=VLOOKUP($D613,Merchantability!$B:$D,3,0),$E613&lt;=VLOOKUP($D613,Merchantability!$B:$E,4,0)),(AV613*O613)*(1-$H613/100),""),"")</f>
        <v/>
      </c>
      <c r="AZ613" s="116"/>
      <c r="BA613" s="116"/>
      <c r="BB613" s="116"/>
      <c r="BE613" s="62"/>
      <c r="BF613" s="63"/>
    </row>
    <row r="614" spans="1:16379" ht="12.75" customHeight="1" x14ac:dyDescent="0.25">
      <c r="A614" s="313"/>
      <c r="B614" s="328"/>
      <c r="C614" s="329"/>
      <c r="D614" s="328"/>
      <c r="E614" s="330"/>
      <c r="F614" s="328"/>
      <c r="G614" s="329"/>
      <c r="H614" s="329"/>
      <c r="I614" s="328"/>
      <c r="J614" s="383"/>
      <c r="K614" s="329"/>
      <c r="L614" s="329"/>
      <c r="M614" s="78"/>
      <c r="N614" s="103" t="str">
        <f>IF(A614="","",VLOOKUP(A614,Stand!C:K,9,0))</f>
        <v/>
      </c>
      <c r="O614" s="104" t="str">
        <f t="shared" si="281"/>
        <v/>
      </c>
      <c r="P614" s="105" t="str">
        <f t="shared" si="282"/>
        <v/>
      </c>
      <c r="Q614" s="105" t="str">
        <f t="shared" si="297"/>
        <v/>
      </c>
      <c r="R614" s="103" t="str">
        <f t="shared" si="283"/>
        <v/>
      </c>
      <c r="S614" s="103" t="str">
        <f t="shared" si="284"/>
        <v/>
      </c>
      <c r="T614" s="106" t="str">
        <f t="shared" si="298"/>
        <v/>
      </c>
      <c r="U614" s="106" t="str">
        <f t="shared" si="299"/>
        <v/>
      </c>
      <c r="V614" s="106" t="str">
        <f t="shared" si="300"/>
        <v/>
      </c>
      <c r="W614" s="105" t="str">
        <f t="shared" si="285"/>
        <v/>
      </c>
      <c r="X614" s="104" t="str">
        <f t="shared" si="290"/>
        <v/>
      </c>
      <c r="Y614" s="104" t="str">
        <f t="array" ref="Y614">IFERROR(IF(ISNUMBER(O614),IF(COUNT(IF(A614=$A$2:$A$2427,IF(D614=$D$2:$D$2427,IF($X$2:$X$2427&gt;0,1))))&gt;0,SUM(IF(A614=$A$2:$A$2427,IF(D614=$D$2:$D$2427,$X$2:$X$2427)))/COUNT(IF(A614=$A$2:$A$2427,IF(D614=$D$2:$D$2427,IF(ISNUMBER($X$2:$X$2427),1)))),0),""),0)</f>
        <v/>
      </c>
      <c r="Z614" s="104" t="str">
        <f>IF(ISNUMBER(O614),IF(I614&gt;0,(10^(VLOOKUP(D614,'Species Codes'!B:C,2,0)+VLOOKUP(D614,'Species Codes'!B:D,3,0)*LOG(E614)+VLOOKUP(D614,'Species Codes'!B:E,4,0)*LOG(I614))),0),"")</f>
        <v/>
      </c>
      <c r="AA614" s="104" t="str">
        <f>IFERROR((VLOOKUP(D614,'Species Codes'!B:G,6,0)*Z614)/2000,"")</f>
        <v/>
      </c>
      <c r="AB614" s="104" t="e">
        <f>IF(Z614&gt;0,((IF(OR(D614="DF",D614="RA")=TRUE,EXP(VLOOKUP(D614,'Species Codes'!B:I,8,0)+VLOOKUP(D614,'Species Codes'!B:J,9,0)*(LN((E614*2.54)))),IF(OR(D614="PY",D614="RC",D614="WH",D614="NF")=TRUE,VLOOKUP(D614,'Species Codes'!B:I,8,0)+VLOOKUP(D614,'Species Codes'!B:J,9,0)*((E614*2.54)^2)*(I614*0.3048),IF(OR(D614="MD",D614="BM",D614="GA")=TRUE,((VLOOKUP(D614,'Species Codes'!B:I,8,0)*(((((E614*2.54)+VLOOKUP(D614,'Species Codes'!B:J,9,0))/VLOOKUP(D614,'Species Codes'!B:K,10,0))^VLOOKUP(D614,'Species Codes'!B:L,11,0))*((I614*0.3048)^VLOOKUP(D614,'Species Codes'!B:M,12,0))))-(VLOOKUP(D614,'Species Codes'!B:I,8,0)*((((E614*2.54)^VLOOKUP(D614,'Species Codes'!B:L,11,0))*((I614*0.3048)^VLOOKUP(D614,'Species Codes'!B:M,12,0))))))*35.3*VLOOKUP(D614,'Species Codes'!B:G,6,0)/2.2046,VLOOKUP(D614,'Species Codes'!B:I,8,0)+VLOOKUP(D614,'Species Codes'!B:J,9,0)*(((E614*2.54)/100)^2)*(I614*0.3048)))))*0.0011023),0)</f>
        <v>#N/A</v>
      </c>
      <c r="AC614" s="104" t="e">
        <f>IF(Z614&gt;0,((IF(OR(D614="RA",D614="OA",D614="OT",D614="UN",D614="PC"),EXP(VLOOKUP(D614,'Species Codes'!B:O,14,0)+VLOOKUP(D614,'Species Codes'!B:P,15,0)*LN((E614*2.54)))-EXP(VLOOKUP(D614,'Species Codes'!B:O,14,0)+VLOOKUP(D614,'Species Codes'!B:P,15,0)*LN((E614*2.54)))*(1/(VLOOKUP(D614,'Species Codes'!B:Q,16,0)+VLOOKUP(D614,'Species Codes'!B:R,17,0)*((E614*2.54)^VLOOKUP(D614,'Species Codes'!B:S,18,0)))),IF(OR(D614="BM",D614="MD",D614="OA"),EXP(VLOOKUP(D614,'Species Codes'!B:O,14,0)+VLOOKUP(D614,'Species Codes'!B:P,15,0)*LN((E614*2.54)))*(1-(1/(VLOOKUP(D614,'Species Codes'!B:Q,16,0)+VLOOKUP(D614,'Species Codes'!B:R,17,0)*((E614*2.54)^VLOOKUP(D614,'Species Codes'!B:S,18,0)))))/1000,IF(D614="DF",EXP(VLOOKUP(D614,'Species Codes'!B:O,14,0)+VLOOKUP(D614,'Species Codes'!B:P,15,0)*LN((E614*2.54))),VLOOKUP(D614,'Species Codes'!B:O,14,0)+VLOOKUP(D614,'Species Codes'!B:P,15,0)*(((E614*2.54)/100)^2)*(I614*0.3048)))))*0.0011023),0)</f>
        <v>#N/A</v>
      </c>
      <c r="AD614" s="104" t="e">
        <f t="shared" si="301"/>
        <v>#N/A</v>
      </c>
      <c r="AE614" s="104" t="e">
        <f t="shared" si="302"/>
        <v>#N/A</v>
      </c>
      <c r="AF614" s="104" t="e">
        <f>IF(AND(VLOOKUP($D614,Merchantability!$B:$C,2,0)="Yes",$E614&gt;=VLOOKUP($D614,Merchantability!$B:$D,3,0),$E614&lt;=VLOOKUP($D614,Merchantability!$B:$E,4,0)),AA614,0)</f>
        <v>#N/A</v>
      </c>
      <c r="AG614" s="104" t="e">
        <f>IF(AND(VLOOKUP($D614,Merchantability!$B:$C,2,0)="Yes",$E614&gt;=VLOOKUP($D614,Merchantability!$B:$D,3,0),$E614&lt;=VLOOKUP($D614,Merchantability!$B:$E,4,0)),AB614,0)</f>
        <v>#N/A</v>
      </c>
      <c r="AH614" s="104" t="e">
        <f>IF(AND(VLOOKUP($D614,Merchantability!$B:$C,2,0)="Yes",$E614&gt;=VLOOKUP($D614,Merchantability!$B:$D,3,0),$E614&lt;=VLOOKUP($D614,Merchantability!$B:$E,4,0)),AC614,0)</f>
        <v>#N/A</v>
      </c>
      <c r="AI614" s="104" t="e">
        <f t="shared" si="303"/>
        <v>#N/A</v>
      </c>
      <c r="AJ614" s="104" t="e">
        <f t="shared" si="304"/>
        <v>#VALUE!</v>
      </c>
      <c r="AK614" s="104" t="e">
        <f t="shared" si="305"/>
        <v>#N/A</v>
      </c>
      <c r="AL614" s="104" t="e">
        <f t="shared" si="306"/>
        <v>#N/A</v>
      </c>
      <c r="AM614" s="104" t="e">
        <f t="shared" si="307"/>
        <v>#N/A</v>
      </c>
      <c r="AN614" s="104" t="e">
        <f t="shared" si="291"/>
        <v>#N/A</v>
      </c>
      <c r="AO614" s="104" t="e">
        <f t="shared" si="292"/>
        <v>#N/A</v>
      </c>
      <c r="AP614" s="104" t="e">
        <f t="shared" si="293"/>
        <v>#N/A</v>
      </c>
      <c r="AQ614" s="104" t="e">
        <f t="shared" si="294"/>
        <v>#N/A</v>
      </c>
      <c r="AR614" s="105" t="str">
        <f t="shared" si="286"/>
        <v/>
      </c>
      <c r="AS614" s="105" t="str">
        <f t="shared" si="287"/>
        <v/>
      </c>
      <c r="AT614" s="108" t="str">
        <f t="shared" si="288"/>
        <v/>
      </c>
      <c r="AU614" s="108" t="str">
        <f t="shared" si="289"/>
        <v/>
      </c>
      <c r="AV614" s="107" t="str">
        <f>IF(ISNUMBER(O614),IF(VLOOKUP($A614,Stand!C:J,8,FALSE)="Short",AT614,AU614),"")</f>
        <v/>
      </c>
      <c r="AW614" s="109" t="str">
        <f t="shared" si="295"/>
        <v/>
      </c>
      <c r="AX614" s="109" t="str">
        <f t="shared" si="296"/>
        <v/>
      </c>
      <c r="AY614" s="112" t="str">
        <f>IF(ISNUMBER(O614),IF(AND(VLOOKUP($D614,Merchantability!$B:$C,2,0)="Yes",$E614&gt;=VLOOKUP($D614,Merchantability!$B:$D,3,0),$E614&lt;=VLOOKUP($D614,Merchantability!$B:$E,4,0)),(AV614*O614)*(1-$H614/100),""),"")</f>
        <v/>
      </c>
      <c r="AZ614" s="116"/>
      <c r="BA614" s="116"/>
      <c r="BB614" s="116"/>
      <c r="BE614" s="62"/>
      <c r="BF614" s="63"/>
    </row>
    <row r="615" spans="1:16379" ht="12.75" customHeight="1" x14ac:dyDescent="0.25">
      <c r="A615" s="313"/>
      <c r="B615" s="328"/>
      <c r="C615" s="329"/>
      <c r="D615" s="328"/>
      <c r="E615" s="330"/>
      <c r="F615" s="328"/>
      <c r="G615" s="329"/>
      <c r="H615" s="329"/>
      <c r="I615" s="328"/>
      <c r="J615" s="383"/>
      <c r="K615" s="329"/>
      <c r="L615" s="329"/>
      <c r="M615" s="78"/>
      <c r="N615" s="103" t="str">
        <f>IF(A615="","",VLOOKUP(A615,Stand!C:K,9,0))</f>
        <v/>
      </c>
      <c r="O615" s="104" t="str">
        <f t="shared" si="281"/>
        <v/>
      </c>
      <c r="P615" s="105" t="str">
        <f t="shared" si="282"/>
        <v/>
      </c>
      <c r="Q615" s="105" t="str">
        <f t="shared" si="297"/>
        <v/>
      </c>
      <c r="R615" s="103" t="str">
        <f t="shared" si="283"/>
        <v/>
      </c>
      <c r="S615" s="103" t="str">
        <f t="shared" si="284"/>
        <v/>
      </c>
      <c r="T615" s="106" t="str">
        <f t="shared" si="298"/>
        <v/>
      </c>
      <c r="U615" s="106" t="str">
        <f t="shared" si="299"/>
        <v/>
      </c>
      <c r="V615" s="106" t="str">
        <f t="shared" si="300"/>
        <v/>
      </c>
      <c r="W615" s="105" t="str">
        <f t="shared" si="285"/>
        <v/>
      </c>
      <c r="X615" s="104" t="str">
        <f t="shared" si="290"/>
        <v/>
      </c>
      <c r="Y615" s="104" t="str">
        <f t="array" ref="Y615">IFERROR(IF(ISNUMBER(O615),IF(COUNT(IF(A615=$A$2:$A$2427,IF(D615=$D$2:$D$2427,IF($X$2:$X$2427&gt;0,1))))&gt;0,SUM(IF(A615=$A$2:$A$2427,IF(D615=$D$2:$D$2427,$X$2:$X$2427)))/COUNT(IF(A615=$A$2:$A$2427,IF(D615=$D$2:$D$2427,IF(ISNUMBER($X$2:$X$2427),1)))),0),""),0)</f>
        <v/>
      </c>
      <c r="Z615" s="104" t="str">
        <f>IF(ISNUMBER(O615),IF(I615&gt;0,(10^(VLOOKUP(D615,'Species Codes'!B:C,2,0)+VLOOKUP(D615,'Species Codes'!B:D,3,0)*LOG(E615)+VLOOKUP(D615,'Species Codes'!B:E,4,0)*LOG(I615))),0),"")</f>
        <v/>
      </c>
      <c r="AA615" s="104" t="str">
        <f>IFERROR((VLOOKUP(D615,'Species Codes'!B:G,6,0)*Z615)/2000,"")</f>
        <v/>
      </c>
      <c r="AB615" s="104" t="e">
        <f>IF(Z615&gt;0,((IF(OR(D615="DF",D615="RA")=TRUE,EXP(VLOOKUP(D615,'Species Codes'!B:I,8,0)+VLOOKUP(D615,'Species Codes'!B:J,9,0)*(LN((E615*2.54)))),IF(OR(D615="PY",D615="RC",D615="WH",D615="NF")=TRUE,VLOOKUP(D615,'Species Codes'!B:I,8,0)+VLOOKUP(D615,'Species Codes'!B:J,9,0)*((E615*2.54)^2)*(I615*0.3048),IF(OR(D615="MD",D615="BM",D615="GA")=TRUE,((VLOOKUP(D615,'Species Codes'!B:I,8,0)*(((((E615*2.54)+VLOOKUP(D615,'Species Codes'!B:J,9,0))/VLOOKUP(D615,'Species Codes'!B:K,10,0))^VLOOKUP(D615,'Species Codes'!B:L,11,0))*((I615*0.3048)^VLOOKUP(D615,'Species Codes'!B:M,12,0))))-(VLOOKUP(D615,'Species Codes'!B:I,8,0)*((((E615*2.54)^VLOOKUP(D615,'Species Codes'!B:L,11,0))*((I615*0.3048)^VLOOKUP(D615,'Species Codes'!B:M,12,0))))))*35.3*VLOOKUP(D615,'Species Codes'!B:G,6,0)/2.2046,VLOOKUP(D615,'Species Codes'!B:I,8,0)+VLOOKUP(D615,'Species Codes'!B:J,9,0)*(((E615*2.54)/100)^2)*(I615*0.3048)))))*0.0011023),0)</f>
        <v>#N/A</v>
      </c>
      <c r="AC615" s="104" t="e">
        <f>IF(Z615&gt;0,((IF(OR(D615="RA",D615="OA",D615="OT",D615="UN",D615="PC"),EXP(VLOOKUP(D615,'Species Codes'!B:O,14,0)+VLOOKUP(D615,'Species Codes'!B:P,15,0)*LN((E615*2.54)))-EXP(VLOOKUP(D615,'Species Codes'!B:O,14,0)+VLOOKUP(D615,'Species Codes'!B:P,15,0)*LN((E615*2.54)))*(1/(VLOOKUP(D615,'Species Codes'!B:Q,16,0)+VLOOKUP(D615,'Species Codes'!B:R,17,0)*((E615*2.54)^VLOOKUP(D615,'Species Codes'!B:S,18,0)))),IF(OR(D615="BM",D615="MD",D615="OA"),EXP(VLOOKUP(D615,'Species Codes'!B:O,14,0)+VLOOKUP(D615,'Species Codes'!B:P,15,0)*LN((E615*2.54)))*(1-(1/(VLOOKUP(D615,'Species Codes'!B:Q,16,0)+VLOOKUP(D615,'Species Codes'!B:R,17,0)*((E615*2.54)^VLOOKUP(D615,'Species Codes'!B:S,18,0)))))/1000,IF(D615="DF",EXP(VLOOKUP(D615,'Species Codes'!B:O,14,0)+VLOOKUP(D615,'Species Codes'!B:P,15,0)*LN((E615*2.54))),VLOOKUP(D615,'Species Codes'!B:O,14,0)+VLOOKUP(D615,'Species Codes'!B:P,15,0)*(((E615*2.54)/100)^2)*(I615*0.3048)))))*0.0011023),0)</f>
        <v>#N/A</v>
      </c>
      <c r="AD615" s="104" t="e">
        <f t="shared" si="301"/>
        <v>#N/A</v>
      </c>
      <c r="AE615" s="104" t="e">
        <f t="shared" si="302"/>
        <v>#N/A</v>
      </c>
      <c r="AF615" s="104" t="e">
        <f>IF(AND(VLOOKUP($D615,Merchantability!$B:$C,2,0)="Yes",$E615&gt;=VLOOKUP($D615,Merchantability!$B:$D,3,0),$E615&lt;=VLOOKUP($D615,Merchantability!$B:$E,4,0)),AA615,0)</f>
        <v>#N/A</v>
      </c>
      <c r="AG615" s="104" t="e">
        <f>IF(AND(VLOOKUP($D615,Merchantability!$B:$C,2,0)="Yes",$E615&gt;=VLOOKUP($D615,Merchantability!$B:$D,3,0),$E615&lt;=VLOOKUP($D615,Merchantability!$B:$E,4,0)),AB615,0)</f>
        <v>#N/A</v>
      </c>
      <c r="AH615" s="104" t="e">
        <f>IF(AND(VLOOKUP($D615,Merchantability!$B:$C,2,0)="Yes",$E615&gt;=VLOOKUP($D615,Merchantability!$B:$D,3,0),$E615&lt;=VLOOKUP($D615,Merchantability!$B:$E,4,0)),AC615,0)</f>
        <v>#N/A</v>
      </c>
      <c r="AI615" s="104" t="e">
        <f t="shared" si="303"/>
        <v>#N/A</v>
      </c>
      <c r="AJ615" s="104" t="e">
        <f t="shared" si="304"/>
        <v>#VALUE!</v>
      </c>
      <c r="AK615" s="104" t="e">
        <f t="shared" si="305"/>
        <v>#N/A</v>
      </c>
      <c r="AL615" s="104" t="e">
        <f t="shared" si="306"/>
        <v>#N/A</v>
      </c>
      <c r="AM615" s="104" t="e">
        <f t="shared" si="307"/>
        <v>#N/A</v>
      </c>
      <c r="AN615" s="104" t="e">
        <f t="shared" si="291"/>
        <v>#N/A</v>
      </c>
      <c r="AO615" s="104" t="e">
        <f t="shared" si="292"/>
        <v>#N/A</v>
      </c>
      <c r="AP615" s="104" t="e">
        <f t="shared" si="293"/>
        <v>#N/A</v>
      </c>
      <c r="AQ615" s="104" t="e">
        <f t="shared" si="294"/>
        <v>#N/A</v>
      </c>
      <c r="AR615" s="105" t="str">
        <f t="shared" si="286"/>
        <v/>
      </c>
      <c r="AS615" s="105" t="str">
        <f t="shared" si="287"/>
        <v/>
      </c>
      <c r="AT615" s="108" t="str">
        <f t="shared" si="288"/>
        <v/>
      </c>
      <c r="AU615" s="108" t="str">
        <f t="shared" si="289"/>
        <v/>
      </c>
      <c r="AV615" s="107" t="str">
        <f>IF(ISNUMBER(O615),IF(VLOOKUP($A615,Stand!C:J,8,FALSE)="Short",AT615,AU615),"")</f>
        <v/>
      </c>
      <c r="AW615" s="109" t="str">
        <f t="shared" si="295"/>
        <v/>
      </c>
      <c r="AX615" s="109" t="str">
        <f t="shared" si="296"/>
        <v/>
      </c>
      <c r="AY615" s="112" t="str">
        <f>IF(ISNUMBER(O615),IF(AND(VLOOKUP($D615,Merchantability!$B:$C,2,0)="Yes",$E615&gt;=VLOOKUP($D615,Merchantability!$B:$D,3,0),$E615&lt;=VLOOKUP($D615,Merchantability!$B:$E,4,0)),(AV615*O615)*(1-$H615/100),""),"")</f>
        <v/>
      </c>
      <c r="AZ615" s="116"/>
      <c r="BA615" s="116"/>
      <c r="BB615" s="116"/>
      <c r="BE615" s="62"/>
      <c r="BF615" s="63"/>
    </row>
    <row r="616" spans="1:16379" ht="12.75" customHeight="1" x14ac:dyDescent="0.25">
      <c r="A616" s="313"/>
      <c r="B616" s="328"/>
      <c r="C616" s="329"/>
      <c r="D616" s="328"/>
      <c r="E616" s="330"/>
      <c r="F616" s="328"/>
      <c r="G616" s="329"/>
      <c r="H616" s="329"/>
      <c r="I616" s="328"/>
      <c r="J616" s="383"/>
      <c r="K616" s="329"/>
      <c r="L616" s="329"/>
      <c r="M616" s="78"/>
      <c r="N616" s="103" t="str">
        <f>IF(A616="","",VLOOKUP(A616,Stand!C:K,9,0))</f>
        <v/>
      </c>
      <c r="O616" s="104" t="str">
        <f t="shared" si="281"/>
        <v/>
      </c>
      <c r="P616" s="105" t="str">
        <f t="shared" si="282"/>
        <v/>
      </c>
      <c r="Q616" s="105" t="str">
        <f t="shared" si="297"/>
        <v/>
      </c>
      <c r="R616" s="103" t="str">
        <f t="shared" si="283"/>
        <v/>
      </c>
      <c r="S616" s="103" t="str">
        <f t="shared" si="284"/>
        <v/>
      </c>
      <c r="T616" s="106" t="str">
        <f t="shared" si="298"/>
        <v/>
      </c>
      <c r="U616" s="106" t="str">
        <f t="shared" si="299"/>
        <v/>
      </c>
      <c r="V616" s="106" t="str">
        <f t="shared" si="300"/>
        <v/>
      </c>
      <c r="W616" s="105" t="str">
        <f t="shared" si="285"/>
        <v/>
      </c>
      <c r="X616" s="104" t="str">
        <f t="shared" si="290"/>
        <v/>
      </c>
      <c r="Y616" s="104" t="str">
        <f t="array" ref="Y616">IFERROR(IF(ISNUMBER(O616),IF(COUNT(IF(A616=$A$2:$A$2427,IF(D616=$D$2:$D$2427,IF($X$2:$X$2427&gt;0,1))))&gt;0,SUM(IF(A616=$A$2:$A$2427,IF(D616=$D$2:$D$2427,$X$2:$X$2427)))/COUNT(IF(A616=$A$2:$A$2427,IF(D616=$D$2:$D$2427,IF(ISNUMBER($X$2:$X$2427),1)))),0),""),0)</f>
        <v/>
      </c>
      <c r="Z616" s="104" t="str">
        <f>IF(ISNUMBER(O616),IF(I616&gt;0,(10^(VLOOKUP(D616,'Species Codes'!B:C,2,0)+VLOOKUP(D616,'Species Codes'!B:D,3,0)*LOG(E616)+VLOOKUP(D616,'Species Codes'!B:E,4,0)*LOG(I616))),0),"")</f>
        <v/>
      </c>
      <c r="AA616" s="104" t="str">
        <f>IFERROR((VLOOKUP(D616,'Species Codes'!B:G,6,0)*Z616)/2000,"")</f>
        <v/>
      </c>
      <c r="AB616" s="104" t="e">
        <f>IF(Z616&gt;0,((IF(OR(D616="DF",D616="RA")=TRUE,EXP(VLOOKUP(D616,'Species Codes'!B:I,8,0)+VLOOKUP(D616,'Species Codes'!B:J,9,0)*(LN((E616*2.54)))),IF(OR(D616="PY",D616="RC",D616="WH",D616="NF")=TRUE,VLOOKUP(D616,'Species Codes'!B:I,8,0)+VLOOKUP(D616,'Species Codes'!B:J,9,0)*((E616*2.54)^2)*(I616*0.3048),IF(OR(D616="MD",D616="BM",D616="GA")=TRUE,((VLOOKUP(D616,'Species Codes'!B:I,8,0)*(((((E616*2.54)+VLOOKUP(D616,'Species Codes'!B:J,9,0))/VLOOKUP(D616,'Species Codes'!B:K,10,0))^VLOOKUP(D616,'Species Codes'!B:L,11,0))*((I616*0.3048)^VLOOKUP(D616,'Species Codes'!B:M,12,0))))-(VLOOKUP(D616,'Species Codes'!B:I,8,0)*((((E616*2.54)^VLOOKUP(D616,'Species Codes'!B:L,11,0))*((I616*0.3048)^VLOOKUP(D616,'Species Codes'!B:M,12,0))))))*35.3*VLOOKUP(D616,'Species Codes'!B:G,6,0)/2.2046,VLOOKUP(D616,'Species Codes'!B:I,8,0)+VLOOKUP(D616,'Species Codes'!B:J,9,0)*(((E616*2.54)/100)^2)*(I616*0.3048)))))*0.0011023),0)</f>
        <v>#N/A</v>
      </c>
      <c r="AC616" s="104" t="e">
        <f>IF(Z616&gt;0,((IF(OR(D616="RA",D616="OA",D616="OT",D616="UN",D616="PC"),EXP(VLOOKUP(D616,'Species Codes'!B:O,14,0)+VLOOKUP(D616,'Species Codes'!B:P,15,0)*LN((E616*2.54)))-EXP(VLOOKUP(D616,'Species Codes'!B:O,14,0)+VLOOKUP(D616,'Species Codes'!B:P,15,0)*LN((E616*2.54)))*(1/(VLOOKUP(D616,'Species Codes'!B:Q,16,0)+VLOOKUP(D616,'Species Codes'!B:R,17,0)*((E616*2.54)^VLOOKUP(D616,'Species Codes'!B:S,18,0)))),IF(OR(D616="BM",D616="MD",D616="OA"),EXP(VLOOKUP(D616,'Species Codes'!B:O,14,0)+VLOOKUP(D616,'Species Codes'!B:P,15,0)*LN((E616*2.54)))*(1-(1/(VLOOKUP(D616,'Species Codes'!B:Q,16,0)+VLOOKUP(D616,'Species Codes'!B:R,17,0)*((E616*2.54)^VLOOKUP(D616,'Species Codes'!B:S,18,0)))))/1000,IF(D616="DF",EXP(VLOOKUP(D616,'Species Codes'!B:O,14,0)+VLOOKUP(D616,'Species Codes'!B:P,15,0)*LN((E616*2.54))),VLOOKUP(D616,'Species Codes'!B:O,14,0)+VLOOKUP(D616,'Species Codes'!B:P,15,0)*(((E616*2.54)/100)^2)*(I616*0.3048)))))*0.0011023),0)</f>
        <v>#N/A</v>
      </c>
      <c r="AD616" s="104" t="e">
        <f t="shared" si="301"/>
        <v>#N/A</v>
      </c>
      <c r="AE616" s="104" t="e">
        <f t="shared" si="302"/>
        <v>#N/A</v>
      </c>
      <c r="AF616" s="104" t="e">
        <f>IF(AND(VLOOKUP($D616,Merchantability!$B:$C,2,0)="Yes",$E616&gt;=VLOOKUP($D616,Merchantability!$B:$D,3,0),$E616&lt;=VLOOKUP($D616,Merchantability!$B:$E,4,0)),AA616,0)</f>
        <v>#N/A</v>
      </c>
      <c r="AG616" s="104" t="e">
        <f>IF(AND(VLOOKUP($D616,Merchantability!$B:$C,2,0)="Yes",$E616&gt;=VLOOKUP($D616,Merchantability!$B:$D,3,0),$E616&lt;=VLOOKUP($D616,Merchantability!$B:$E,4,0)),AB616,0)</f>
        <v>#N/A</v>
      </c>
      <c r="AH616" s="104" t="e">
        <f>IF(AND(VLOOKUP($D616,Merchantability!$B:$C,2,0)="Yes",$E616&gt;=VLOOKUP($D616,Merchantability!$B:$D,3,0),$E616&lt;=VLOOKUP($D616,Merchantability!$B:$E,4,0)),AC616,0)</f>
        <v>#N/A</v>
      </c>
      <c r="AI616" s="104" t="e">
        <f t="shared" si="303"/>
        <v>#N/A</v>
      </c>
      <c r="AJ616" s="104" t="e">
        <f t="shared" si="304"/>
        <v>#VALUE!</v>
      </c>
      <c r="AK616" s="104" t="e">
        <f t="shared" si="305"/>
        <v>#N/A</v>
      </c>
      <c r="AL616" s="104" t="e">
        <f t="shared" si="306"/>
        <v>#N/A</v>
      </c>
      <c r="AM616" s="104" t="e">
        <f t="shared" si="307"/>
        <v>#N/A</v>
      </c>
      <c r="AN616" s="104" t="e">
        <f t="shared" si="291"/>
        <v>#N/A</v>
      </c>
      <c r="AO616" s="104" t="e">
        <f t="shared" si="292"/>
        <v>#N/A</v>
      </c>
      <c r="AP616" s="104" t="e">
        <f t="shared" si="293"/>
        <v>#N/A</v>
      </c>
      <c r="AQ616" s="104" t="e">
        <f t="shared" si="294"/>
        <v>#N/A</v>
      </c>
      <c r="AR616" s="105" t="str">
        <f t="shared" si="286"/>
        <v/>
      </c>
      <c r="AS616" s="105" t="str">
        <f t="shared" si="287"/>
        <v/>
      </c>
      <c r="AT616" s="108" t="str">
        <f t="shared" si="288"/>
        <v/>
      </c>
      <c r="AU616" s="108" t="str">
        <f t="shared" si="289"/>
        <v/>
      </c>
      <c r="AV616" s="107" t="str">
        <f>IF(ISNUMBER(O616),IF(VLOOKUP($A616,Stand!C:J,8,FALSE)="Short",AT616,AU616),"")</f>
        <v/>
      </c>
      <c r="AW616" s="109" t="str">
        <f t="shared" si="295"/>
        <v/>
      </c>
      <c r="AX616" s="109" t="str">
        <f t="shared" si="296"/>
        <v/>
      </c>
      <c r="AY616" s="112" t="str">
        <f>IF(ISNUMBER(O616),IF(AND(VLOOKUP($D616,Merchantability!$B:$C,2,0)="Yes",$E616&gt;=VLOOKUP($D616,Merchantability!$B:$D,3,0),$E616&lt;=VLOOKUP($D616,Merchantability!$B:$E,4,0)),(AV616*O616)*(1-$H616/100),""),"")</f>
        <v/>
      </c>
      <c r="AZ616" s="116"/>
      <c r="BA616" s="116"/>
      <c r="BB616" s="116"/>
      <c r="BE616" s="62"/>
      <c r="BF616" s="63"/>
    </row>
    <row r="617" spans="1:16379" ht="12.75" customHeight="1" x14ac:dyDescent="0.25">
      <c r="A617" s="313"/>
      <c r="B617" s="328"/>
      <c r="C617" s="329"/>
      <c r="D617" s="328"/>
      <c r="E617" s="330"/>
      <c r="F617" s="328"/>
      <c r="G617" s="329"/>
      <c r="H617" s="329"/>
      <c r="I617" s="328"/>
      <c r="J617" s="383"/>
      <c r="K617" s="329"/>
      <c r="L617" s="329"/>
      <c r="M617" s="78"/>
      <c r="N617" s="103" t="str">
        <f>IF(A617="","",VLOOKUP(A617,Stand!C:K,9,0))</f>
        <v/>
      </c>
      <c r="O617" s="104" t="str">
        <f t="shared" si="281"/>
        <v/>
      </c>
      <c r="P617" s="105" t="str">
        <f t="shared" si="282"/>
        <v/>
      </c>
      <c r="Q617" s="105" t="str">
        <f t="shared" si="297"/>
        <v/>
      </c>
      <c r="R617" s="103" t="str">
        <f t="shared" si="283"/>
        <v/>
      </c>
      <c r="S617" s="103" t="str">
        <f t="shared" si="284"/>
        <v/>
      </c>
      <c r="T617" s="106" t="str">
        <f t="shared" si="298"/>
        <v/>
      </c>
      <c r="U617" s="106" t="str">
        <f t="shared" si="299"/>
        <v/>
      </c>
      <c r="V617" s="106" t="str">
        <f t="shared" si="300"/>
        <v/>
      </c>
      <c r="W617" s="105" t="str">
        <f t="shared" si="285"/>
        <v/>
      </c>
      <c r="X617" s="104" t="str">
        <f t="shared" si="290"/>
        <v/>
      </c>
      <c r="Y617" s="104" t="str">
        <f t="array" ref="Y617">IFERROR(IF(ISNUMBER(O617),IF(COUNT(IF(A617=$A$2:$A$2427,IF(D617=$D$2:$D$2427,IF($X$2:$X$2427&gt;0,1))))&gt;0,SUM(IF(A617=$A$2:$A$2427,IF(D617=$D$2:$D$2427,$X$2:$X$2427)))/COUNT(IF(A617=$A$2:$A$2427,IF(D617=$D$2:$D$2427,IF(ISNUMBER($X$2:$X$2427),1)))),0),""),0)</f>
        <v/>
      </c>
      <c r="Z617" s="104" t="str">
        <f>IF(ISNUMBER(O617),IF(I617&gt;0,(10^(VLOOKUP(D617,'Species Codes'!B:C,2,0)+VLOOKUP(D617,'Species Codes'!B:D,3,0)*LOG(E617)+VLOOKUP(D617,'Species Codes'!B:E,4,0)*LOG(I617))),0),"")</f>
        <v/>
      </c>
      <c r="AA617" s="104" t="str">
        <f>IFERROR((VLOOKUP(D617,'Species Codes'!B:G,6,0)*Z617)/2000,"")</f>
        <v/>
      </c>
      <c r="AB617" s="104" t="e">
        <f>IF(Z617&gt;0,((IF(OR(D617="DF",D617="RA")=TRUE,EXP(VLOOKUP(D617,'Species Codes'!B:I,8,0)+VLOOKUP(D617,'Species Codes'!B:J,9,0)*(LN((E617*2.54)))),IF(OR(D617="PY",D617="RC",D617="WH",D617="NF")=TRUE,VLOOKUP(D617,'Species Codes'!B:I,8,0)+VLOOKUP(D617,'Species Codes'!B:J,9,0)*((E617*2.54)^2)*(I617*0.3048),IF(OR(D617="MD",D617="BM",D617="GA")=TRUE,((VLOOKUP(D617,'Species Codes'!B:I,8,0)*(((((E617*2.54)+VLOOKUP(D617,'Species Codes'!B:J,9,0))/VLOOKUP(D617,'Species Codes'!B:K,10,0))^VLOOKUP(D617,'Species Codes'!B:L,11,0))*((I617*0.3048)^VLOOKUP(D617,'Species Codes'!B:M,12,0))))-(VLOOKUP(D617,'Species Codes'!B:I,8,0)*((((E617*2.54)^VLOOKUP(D617,'Species Codes'!B:L,11,0))*((I617*0.3048)^VLOOKUP(D617,'Species Codes'!B:M,12,0))))))*35.3*VLOOKUP(D617,'Species Codes'!B:G,6,0)/2.2046,VLOOKUP(D617,'Species Codes'!B:I,8,0)+VLOOKUP(D617,'Species Codes'!B:J,9,0)*(((E617*2.54)/100)^2)*(I617*0.3048)))))*0.0011023),0)</f>
        <v>#N/A</v>
      </c>
      <c r="AC617" s="104" t="e">
        <f>IF(Z617&gt;0,((IF(OR(D617="RA",D617="OA",D617="OT",D617="UN",D617="PC"),EXP(VLOOKUP(D617,'Species Codes'!B:O,14,0)+VLOOKUP(D617,'Species Codes'!B:P,15,0)*LN((E617*2.54)))-EXP(VLOOKUP(D617,'Species Codes'!B:O,14,0)+VLOOKUP(D617,'Species Codes'!B:P,15,0)*LN((E617*2.54)))*(1/(VLOOKUP(D617,'Species Codes'!B:Q,16,0)+VLOOKUP(D617,'Species Codes'!B:R,17,0)*((E617*2.54)^VLOOKUP(D617,'Species Codes'!B:S,18,0)))),IF(OR(D617="BM",D617="MD",D617="OA"),EXP(VLOOKUP(D617,'Species Codes'!B:O,14,0)+VLOOKUP(D617,'Species Codes'!B:P,15,0)*LN((E617*2.54)))*(1-(1/(VLOOKUP(D617,'Species Codes'!B:Q,16,0)+VLOOKUP(D617,'Species Codes'!B:R,17,0)*((E617*2.54)^VLOOKUP(D617,'Species Codes'!B:S,18,0)))))/1000,IF(D617="DF",EXP(VLOOKUP(D617,'Species Codes'!B:O,14,0)+VLOOKUP(D617,'Species Codes'!B:P,15,0)*LN((E617*2.54))),VLOOKUP(D617,'Species Codes'!B:O,14,0)+VLOOKUP(D617,'Species Codes'!B:P,15,0)*(((E617*2.54)/100)^2)*(I617*0.3048)))))*0.0011023),0)</f>
        <v>#N/A</v>
      </c>
      <c r="AD617" s="104" t="e">
        <f t="shared" si="301"/>
        <v>#N/A</v>
      </c>
      <c r="AE617" s="104" t="e">
        <f t="shared" si="302"/>
        <v>#N/A</v>
      </c>
      <c r="AF617" s="104" t="e">
        <f>IF(AND(VLOOKUP($D617,Merchantability!$B:$C,2,0)="Yes",$E617&gt;=VLOOKUP($D617,Merchantability!$B:$D,3,0),$E617&lt;=VLOOKUP($D617,Merchantability!$B:$E,4,0)),AA617,0)</f>
        <v>#N/A</v>
      </c>
      <c r="AG617" s="104" t="e">
        <f>IF(AND(VLOOKUP($D617,Merchantability!$B:$C,2,0)="Yes",$E617&gt;=VLOOKUP($D617,Merchantability!$B:$D,3,0),$E617&lt;=VLOOKUP($D617,Merchantability!$B:$E,4,0)),AB617,0)</f>
        <v>#N/A</v>
      </c>
      <c r="AH617" s="104" t="e">
        <f>IF(AND(VLOOKUP($D617,Merchantability!$B:$C,2,0)="Yes",$E617&gt;=VLOOKUP($D617,Merchantability!$B:$D,3,0),$E617&lt;=VLOOKUP($D617,Merchantability!$B:$E,4,0)),AC617,0)</f>
        <v>#N/A</v>
      </c>
      <c r="AI617" s="104" t="e">
        <f t="shared" si="303"/>
        <v>#N/A</v>
      </c>
      <c r="AJ617" s="104" t="e">
        <f t="shared" si="304"/>
        <v>#VALUE!</v>
      </c>
      <c r="AK617" s="104" t="e">
        <f t="shared" si="305"/>
        <v>#N/A</v>
      </c>
      <c r="AL617" s="104" t="e">
        <f t="shared" si="306"/>
        <v>#N/A</v>
      </c>
      <c r="AM617" s="104" t="e">
        <f t="shared" si="307"/>
        <v>#N/A</v>
      </c>
      <c r="AN617" s="104" t="e">
        <f t="shared" si="291"/>
        <v>#N/A</v>
      </c>
      <c r="AO617" s="104" t="e">
        <f t="shared" si="292"/>
        <v>#N/A</v>
      </c>
      <c r="AP617" s="104" t="e">
        <f t="shared" si="293"/>
        <v>#N/A</v>
      </c>
      <c r="AQ617" s="104" t="e">
        <f t="shared" si="294"/>
        <v>#N/A</v>
      </c>
      <c r="AR617" s="105" t="str">
        <f t="shared" si="286"/>
        <v/>
      </c>
      <c r="AS617" s="105" t="str">
        <f t="shared" si="287"/>
        <v/>
      </c>
      <c r="AT617" s="108" t="str">
        <f t="shared" si="288"/>
        <v/>
      </c>
      <c r="AU617" s="108" t="str">
        <f t="shared" si="289"/>
        <v/>
      </c>
      <c r="AV617" s="107" t="str">
        <f>IF(ISNUMBER(O617),IF(VLOOKUP($A617,Stand!C:J,8,FALSE)="Short",AT617,AU617),"")</f>
        <v/>
      </c>
      <c r="AW617" s="109" t="str">
        <f t="shared" si="295"/>
        <v/>
      </c>
      <c r="AX617" s="109" t="str">
        <f t="shared" si="296"/>
        <v/>
      </c>
      <c r="AY617" s="112" t="str">
        <f>IF(ISNUMBER(O617),IF(AND(VLOOKUP($D617,Merchantability!$B:$C,2,0)="Yes",$E617&gt;=VLOOKUP($D617,Merchantability!$B:$D,3,0),$E617&lt;=VLOOKUP($D617,Merchantability!$B:$E,4,0)),(AV617*O617)*(1-$H617/100),""),"")</f>
        <v/>
      </c>
      <c r="AZ617" s="116"/>
      <c r="BA617" s="116"/>
      <c r="BB617" s="116"/>
      <c r="BD617" s="30"/>
      <c r="BE617" s="62"/>
      <c r="BF617" s="63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  <c r="QN617" s="30"/>
      <c r="QO617" s="30"/>
      <c r="QP617" s="30"/>
      <c r="QQ617" s="30"/>
      <c r="QR617" s="30"/>
      <c r="QS617" s="30"/>
      <c r="QT617" s="30"/>
      <c r="QU617" s="30"/>
      <c r="QV617" s="30"/>
      <c r="QW617" s="30"/>
      <c r="QX617" s="30"/>
      <c r="QY617" s="30"/>
      <c r="QZ617" s="30"/>
      <c r="RA617" s="30"/>
      <c r="RB617" s="30"/>
      <c r="RC617" s="30"/>
      <c r="RD617" s="30"/>
      <c r="RE617" s="30"/>
      <c r="RF617" s="30"/>
      <c r="RG617" s="30"/>
      <c r="RH617" s="30"/>
      <c r="RI617" s="30"/>
      <c r="RJ617" s="30"/>
      <c r="RK617" s="30"/>
      <c r="RL617" s="30"/>
      <c r="RM617" s="30"/>
      <c r="RN617" s="30"/>
      <c r="RO617" s="30"/>
      <c r="RP617" s="30"/>
      <c r="RQ617" s="30"/>
      <c r="RR617" s="30"/>
      <c r="RS617" s="30"/>
      <c r="RT617" s="30"/>
      <c r="RU617" s="30"/>
      <c r="RV617" s="30"/>
      <c r="RW617" s="30"/>
      <c r="RX617" s="30"/>
      <c r="RY617" s="30"/>
      <c r="RZ617" s="30"/>
      <c r="SA617" s="30"/>
      <c r="SB617" s="30"/>
      <c r="SC617" s="30"/>
      <c r="SD617" s="30"/>
      <c r="SE617" s="30"/>
      <c r="SF617" s="30"/>
      <c r="SG617" s="30"/>
      <c r="SH617" s="30"/>
      <c r="SI617" s="30"/>
      <c r="SJ617" s="30"/>
      <c r="SK617" s="30"/>
      <c r="SL617" s="30"/>
      <c r="SM617" s="30"/>
      <c r="SN617" s="30"/>
      <c r="SO617" s="30"/>
      <c r="SP617" s="30"/>
      <c r="SQ617" s="30"/>
      <c r="SR617" s="30"/>
      <c r="SS617" s="30"/>
      <c r="ST617" s="30"/>
      <c r="SU617" s="30"/>
      <c r="SV617" s="30"/>
      <c r="SW617" s="30"/>
      <c r="SX617" s="30"/>
      <c r="SY617" s="30"/>
      <c r="SZ617" s="30"/>
      <c r="TA617" s="30"/>
      <c r="TB617" s="30"/>
      <c r="TC617" s="30"/>
      <c r="TD617" s="30"/>
      <c r="TE617" s="30"/>
      <c r="TF617" s="30"/>
      <c r="TG617" s="30"/>
      <c r="TH617" s="30"/>
      <c r="TI617" s="30"/>
      <c r="TJ617" s="30"/>
      <c r="TK617" s="30"/>
      <c r="TL617" s="30"/>
      <c r="TM617" s="30"/>
      <c r="TN617" s="30"/>
      <c r="TO617" s="30"/>
      <c r="TP617" s="30"/>
      <c r="TQ617" s="30"/>
      <c r="TR617" s="30"/>
      <c r="TS617" s="30"/>
      <c r="TT617" s="30"/>
      <c r="TU617" s="30"/>
      <c r="TV617" s="30"/>
      <c r="TW617" s="30"/>
      <c r="TX617" s="30"/>
      <c r="TY617" s="30"/>
      <c r="TZ617" s="30"/>
      <c r="UA617" s="30"/>
      <c r="UB617" s="30"/>
      <c r="UC617" s="30"/>
      <c r="UD617" s="30"/>
      <c r="UE617" s="30"/>
      <c r="UF617" s="30"/>
      <c r="UG617" s="30"/>
      <c r="UH617" s="30"/>
      <c r="UI617" s="30"/>
      <c r="UJ617" s="30"/>
      <c r="UK617" s="30"/>
      <c r="UL617" s="30"/>
      <c r="UM617" s="30"/>
      <c r="UN617" s="30"/>
      <c r="UO617" s="30"/>
      <c r="UP617" s="30"/>
      <c r="UQ617" s="30"/>
      <c r="UR617" s="30"/>
      <c r="US617" s="30"/>
      <c r="UT617" s="30"/>
      <c r="UU617" s="30"/>
      <c r="UV617" s="30"/>
      <c r="UW617" s="30"/>
      <c r="UX617" s="30"/>
      <c r="UY617" s="30"/>
      <c r="UZ617" s="30"/>
      <c r="VA617" s="30"/>
      <c r="VB617" s="30"/>
      <c r="VC617" s="30"/>
      <c r="VD617" s="30"/>
      <c r="VE617" s="30"/>
      <c r="VF617" s="30"/>
      <c r="VG617" s="30"/>
      <c r="VH617" s="30"/>
      <c r="VI617" s="30"/>
      <c r="VJ617" s="30"/>
      <c r="VK617" s="30"/>
      <c r="VL617" s="30"/>
      <c r="VM617" s="30"/>
      <c r="VN617" s="30"/>
      <c r="VO617" s="30"/>
      <c r="VP617" s="30"/>
      <c r="VQ617" s="30"/>
      <c r="VR617" s="30"/>
      <c r="VS617" s="30"/>
      <c r="VT617" s="30"/>
      <c r="VU617" s="30"/>
      <c r="VV617" s="30"/>
      <c r="VW617" s="30"/>
      <c r="VX617" s="30"/>
      <c r="VY617" s="30"/>
      <c r="VZ617" s="30"/>
      <c r="WA617" s="30"/>
      <c r="WB617" s="30"/>
      <c r="WC617" s="30"/>
      <c r="WD617" s="30"/>
      <c r="WE617" s="30"/>
      <c r="WF617" s="30"/>
      <c r="WG617" s="30"/>
      <c r="WH617" s="30"/>
      <c r="WI617" s="30"/>
      <c r="WJ617" s="30"/>
      <c r="WK617" s="30"/>
      <c r="WL617" s="30"/>
      <c r="WM617" s="30"/>
      <c r="WN617" s="30"/>
      <c r="WO617" s="30"/>
      <c r="WP617" s="30"/>
      <c r="WQ617" s="30"/>
      <c r="WR617" s="30"/>
      <c r="WS617" s="30"/>
      <c r="WT617" s="30"/>
      <c r="WU617" s="30"/>
      <c r="WV617" s="30"/>
      <c r="WW617" s="30"/>
      <c r="WX617" s="30"/>
      <c r="WY617" s="30"/>
      <c r="WZ617" s="30"/>
      <c r="XA617" s="30"/>
      <c r="XB617" s="30"/>
      <c r="XC617" s="30"/>
      <c r="XD617" s="30"/>
      <c r="XE617" s="30"/>
      <c r="XF617" s="30"/>
      <c r="XG617" s="30"/>
      <c r="XH617" s="30"/>
      <c r="XI617" s="30"/>
      <c r="XJ617" s="30"/>
      <c r="XK617" s="30"/>
      <c r="XL617" s="30"/>
      <c r="XM617" s="30"/>
      <c r="XN617" s="30"/>
      <c r="XO617" s="30"/>
      <c r="XP617" s="30"/>
      <c r="XQ617" s="30"/>
      <c r="XR617" s="30"/>
      <c r="XS617" s="30"/>
      <c r="XT617" s="30"/>
      <c r="XU617" s="30"/>
      <c r="XV617" s="30"/>
      <c r="XW617" s="30"/>
      <c r="XX617" s="30"/>
      <c r="XY617" s="30"/>
      <c r="XZ617" s="30"/>
      <c r="YA617" s="30"/>
      <c r="YB617" s="30"/>
      <c r="YC617" s="30"/>
      <c r="YD617" s="30"/>
      <c r="YE617" s="30"/>
      <c r="YF617" s="30"/>
      <c r="YG617" s="30"/>
      <c r="YH617" s="30"/>
      <c r="YI617" s="30"/>
      <c r="YJ617" s="30"/>
      <c r="YK617" s="30"/>
      <c r="YL617" s="30"/>
      <c r="YM617" s="30"/>
      <c r="YN617" s="30"/>
      <c r="YO617" s="30"/>
      <c r="YP617" s="30"/>
      <c r="YQ617" s="30"/>
      <c r="YR617" s="30"/>
      <c r="YS617" s="30"/>
      <c r="YT617" s="30"/>
      <c r="YU617" s="30"/>
      <c r="YV617" s="30"/>
      <c r="YW617" s="30"/>
      <c r="YX617" s="30"/>
      <c r="YY617" s="30"/>
      <c r="YZ617" s="30"/>
      <c r="ZA617" s="30"/>
      <c r="ZB617" s="30"/>
      <c r="ZC617" s="30"/>
      <c r="ZD617" s="30"/>
      <c r="ZE617" s="30"/>
      <c r="ZF617" s="30"/>
      <c r="ZG617" s="30"/>
      <c r="ZH617" s="30"/>
      <c r="ZI617" s="30"/>
      <c r="ZJ617" s="30"/>
      <c r="ZK617" s="30"/>
      <c r="ZL617" s="30"/>
      <c r="ZM617" s="30"/>
      <c r="ZN617" s="30"/>
      <c r="ZO617" s="30"/>
      <c r="ZP617" s="30"/>
      <c r="ZQ617" s="30"/>
      <c r="ZR617" s="30"/>
      <c r="ZS617" s="30"/>
      <c r="ZT617" s="30"/>
      <c r="ZU617" s="30"/>
      <c r="ZV617" s="30"/>
      <c r="ZW617" s="30"/>
      <c r="ZX617" s="30"/>
      <c r="ZY617" s="30"/>
      <c r="ZZ617" s="30"/>
      <c r="AAA617" s="30"/>
      <c r="AAB617" s="30"/>
      <c r="AAC617" s="30"/>
      <c r="AAD617" s="30"/>
      <c r="AAE617" s="30"/>
      <c r="AAF617" s="30"/>
      <c r="AAG617" s="30"/>
      <c r="AAH617" s="30"/>
      <c r="AAI617" s="30"/>
      <c r="AAJ617" s="30"/>
      <c r="AAK617" s="30"/>
      <c r="AAL617" s="30"/>
      <c r="AAM617" s="30"/>
      <c r="AAN617" s="30"/>
      <c r="AAO617" s="30"/>
      <c r="AAP617" s="30"/>
      <c r="AAQ617" s="30"/>
      <c r="AAR617" s="30"/>
      <c r="AAS617" s="30"/>
      <c r="AAT617" s="30"/>
      <c r="AAU617" s="30"/>
      <c r="AAV617" s="30"/>
      <c r="AAW617" s="30"/>
      <c r="AAX617" s="30"/>
      <c r="AAY617" s="30"/>
      <c r="AAZ617" s="30"/>
      <c r="ABA617" s="30"/>
      <c r="ABB617" s="30"/>
      <c r="ABC617" s="30"/>
      <c r="ABD617" s="30"/>
      <c r="ABE617" s="30"/>
      <c r="ABF617" s="30"/>
      <c r="ABG617" s="30"/>
      <c r="ABH617" s="30"/>
      <c r="ABI617" s="30"/>
      <c r="ABJ617" s="30"/>
      <c r="ABK617" s="30"/>
      <c r="ABL617" s="30"/>
      <c r="ABM617" s="30"/>
      <c r="ABN617" s="30"/>
      <c r="ABO617" s="30"/>
      <c r="ABP617" s="30"/>
      <c r="ABQ617" s="30"/>
      <c r="ABR617" s="30"/>
      <c r="ABS617" s="30"/>
      <c r="ABT617" s="30"/>
      <c r="ABU617" s="30"/>
      <c r="ABV617" s="30"/>
      <c r="ABW617" s="30"/>
      <c r="ABX617" s="30"/>
      <c r="ABY617" s="30"/>
      <c r="ABZ617" s="30"/>
      <c r="ACA617" s="30"/>
      <c r="ACB617" s="30"/>
      <c r="ACC617" s="30"/>
      <c r="ACD617" s="30"/>
      <c r="ACE617" s="30"/>
      <c r="ACF617" s="30"/>
      <c r="ACG617" s="30"/>
      <c r="ACH617" s="30"/>
      <c r="ACI617" s="30"/>
      <c r="ACJ617" s="30"/>
      <c r="ACK617" s="30"/>
      <c r="ACL617" s="30"/>
      <c r="ACM617" s="30"/>
      <c r="ACN617" s="30"/>
      <c r="ACO617" s="30"/>
      <c r="ACP617" s="30"/>
      <c r="ACQ617" s="30"/>
      <c r="ACR617" s="30"/>
      <c r="ACS617" s="30"/>
      <c r="ACT617" s="30"/>
      <c r="ACU617" s="30"/>
      <c r="ACV617" s="30"/>
      <c r="ACW617" s="30"/>
      <c r="ACX617" s="30"/>
      <c r="ACY617" s="30"/>
      <c r="ACZ617" s="30"/>
      <c r="ADA617" s="30"/>
      <c r="ADB617" s="30"/>
      <c r="ADC617" s="30"/>
      <c r="ADD617" s="30"/>
      <c r="ADE617" s="30"/>
      <c r="ADF617" s="30"/>
      <c r="ADG617" s="30"/>
      <c r="ADH617" s="30"/>
      <c r="ADI617" s="30"/>
      <c r="ADJ617" s="30"/>
      <c r="ADK617" s="30"/>
      <c r="ADL617" s="30"/>
      <c r="ADM617" s="30"/>
      <c r="ADN617" s="30"/>
      <c r="ADO617" s="30"/>
      <c r="ADP617" s="30"/>
      <c r="ADQ617" s="30"/>
      <c r="ADR617" s="30"/>
      <c r="ADS617" s="30"/>
      <c r="ADT617" s="30"/>
      <c r="ADU617" s="30"/>
      <c r="ADV617" s="30"/>
      <c r="ADW617" s="30"/>
      <c r="ADX617" s="30"/>
      <c r="ADY617" s="30"/>
      <c r="ADZ617" s="30"/>
      <c r="AEA617" s="30"/>
      <c r="AEB617" s="30"/>
      <c r="AEC617" s="30"/>
      <c r="AED617" s="30"/>
      <c r="AEE617" s="30"/>
      <c r="AEF617" s="30"/>
      <c r="AEG617" s="30"/>
      <c r="AEH617" s="30"/>
      <c r="AEI617" s="30"/>
      <c r="AEJ617" s="30"/>
      <c r="AEK617" s="30"/>
      <c r="AEL617" s="30"/>
      <c r="AEM617" s="30"/>
      <c r="AEN617" s="30"/>
      <c r="AEO617" s="30"/>
      <c r="AEP617" s="30"/>
      <c r="AEQ617" s="30"/>
      <c r="AER617" s="30"/>
      <c r="AES617" s="30"/>
      <c r="AET617" s="30"/>
      <c r="AEU617" s="30"/>
      <c r="AEV617" s="30"/>
      <c r="AEW617" s="30"/>
      <c r="AEX617" s="30"/>
      <c r="AEY617" s="30"/>
      <c r="AEZ617" s="30"/>
      <c r="AFA617" s="30"/>
      <c r="AFB617" s="30"/>
      <c r="AFC617" s="30"/>
      <c r="AFD617" s="30"/>
      <c r="AFE617" s="30"/>
      <c r="AFF617" s="30"/>
      <c r="AFG617" s="30"/>
      <c r="AFH617" s="30"/>
      <c r="AFI617" s="30"/>
      <c r="AFJ617" s="30"/>
      <c r="AFK617" s="30"/>
      <c r="AFL617" s="30"/>
      <c r="AFM617" s="30"/>
      <c r="AFN617" s="30"/>
      <c r="AFO617" s="30"/>
      <c r="AFP617" s="30"/>
      <c r="AFQ617" s="30"/>
      <c r="AFR617" s="30"/>
      <c r="AFS617" s="30"/>
      <c r="AFT617" s="30"/>
      <c r="AFU617" s="30"/>
      <c r="AFV617" s="30"/>
      <c r="AFW617" s="30"/>
      <c r="AFX617" s="30"/>
      <c r="AFY617" s="30"/>
      <c r="AFZ617" s="30"/>
      <c r="AGA617" s="30"/>
      <c r="AGB617" s="30"/>
      <c r="AGC617" s="30"/>
      <c r="AGD617" s="30"/>
      <c r="AGE617" s="30"/>
      <c r="AGF617" s="30"/>
      <c r="AGG617" s="30"/>
      <c r="AGH617" s="30"/>
      <c r="AGI617" s="30"/>
      <c r="AGJ617" s="30"/>
      <c r="AGK617" s="30"/>
      <c r="AGL617" s="30"/>
      <c r="AGM617" s="30"/>
      <c r="AGN617" s="30"/>
      <c r="AGO617" s="30"/>
      <c r="AGP617" s="30"/>
      <c r="AGQ617" s="30"/>
      <c r="AGR617" s="30"/>
      <c r="AGS617" s="30"/>
      <c r="AGT617" s="30"/>
      <c r="AGU617" s="30"/>
      <c r="AGV617" s="30"/>
      <c r="AGW617" s="30"/>
      <c r="AGX617" s="30"/>
      <c r="AGY617" s="30"/>
      <c r="AGZ617" s="30"/>
      <c r="AHA617" s="30"/>
      <c r="AHB617" s="30"/>
      <c r="AHC617" s="30"/>
      <c r="AHD617" s="30"/>
      <c r="AHE617" s="30"/>
      <c r="AHF617" s="30"/>
      <c r="AHG617" s="30"/>
      <c r="AHH617" s="30"/>
      <c r="AHI617" s="30"/>
      <c r="AHJ617" s="30"/>
      <c r="AHK617" s="30"/>
      <c r="AHL617" s="30"/>
      <c r="AHM617" s="30"/>
      <c r="AHN617" s="30"/>
      <c r="AHO617" s="30"/>
      <c r="AHP617" s="30"/>
      <c r="AHQ617" s="30"/>
      <c r="AHR617" s="30"/>
      <c r="AHS617" s="30"/>
      <c r="AHT617" s="30"/>
      <c r="AHU617" s="30"/>
      <c r="AHV617" s="30"/>
      <c r="AHW617" s="30"/>
      <c r="AHX617" s="30"/>
      <c r="AHY617" s="30"/>
      <c r="AHZ617" s="30"/>
      <c r="AIA617" s="30"/>
      <c r="AIB617" s="30"/>
      <c r="AIC617" s="30"/>
      <c r="AID617" s="30"/>
      <c r="AIE617" s="30"/>
      <c r="AIF617" s="30"/>
      <c r="AIG617" s="30"/>
      <c r="AIH617" s="30"/>
      <c r="AII617" s="30"/>
      <c r="AIJ617" s="30"/>
      <c r="AIK617" s="30"/>
      <c r="AIL617" s="30"/>
      <c r="AIM617" s="30"/>
      <c r="AIN617" s="30"/>
      <c r="AIO617" s="30"/>
      <c r="AIP617" s="30"/>
      <c r="AIQ617" s="30"/>
      <c r="AIR617" s="30"/>
      <c r="AIS617" s="30"/>
      <c r="AIT617" s="30"/>
      <c r="AIU617" s="30"/>
      <c r="AIV617" s="30"/>
      <c r="AIW617" s="30"/>
      <c r="AIX617" s="30"/>
      <c r="AIY617" s="30"/>
      <c r="AIZ617" s="30"/>
      <c r="AJA617" s="30"/>
      <c r="AJB617" s="30"/>
      <c r="AJC617" s="30"/>
      <c r="AJD617" s="30"/>
      <c r="AJE617" s="30"/>
      <c r="AJF617" s="30"/>
      <c r="AJG617" s="30"/>
      <c r="AJH617" s="30"/>
      <c r="AJI617" s="30"/>
      <c r="AJJ617" s="30"/>
      <c r="AJK617" s="30"/>
      <c r="AJL617" s="30"/>
      <c r="AJM617" s="30"/>
      <c r="AJN617" s="30"/>
      <c r="AJO617" s="30"/>
      <c r="AJP617" s="30"/>
      <c r="AJQ617" s="30"/>
      <c r="AJR617" s="30"/>
      <c r="AJS617" s="30"/>
      <c r="AJT617" s="30"/>
      <c r="AJU617" s="30"/>
      <c r="AJV617" s="30"/>
      <c r="AJW617" s="30"/>
      <c r="AJX617" s="30"/>
      <c r="AJY617" s="30"/>
      <c r="AJZ617" s="30"/>
      <c r="AKA617" s="30"/>
      <c r="AKB617" s="30"/>
      <c r="AKC617" s="30"/>
      <c r="AKD617" s="30"/>
      <c r="AKE617" s="30"/>
      <c r="AKF617" s="30"/>
      <c r="AKG617" s="30"/>
      <c r="AKH617" s="30"/>
      <c r="AKI617" s="30"/>
      <c r="AKJ617" s="30"/>
      <c r="AKK617" s="30"/>
      <c r="AKL617" s="30"/>
      <c r="AKM617" s="30"/>
      <c r="AKN617" s="30"/>
      <c r="AKO617" s="30"/>
      <c r="AKP617" s="30"/>
      <c r="AKQ617" s="30"/>
      <c r="AKR617" s="30"/>
      <c r="AKS617" s="30"/>
      <c r="AKT617" s="30"/>
      <c r="AKU617" s="30"/>
      <c r="AKV617" s="30"/>
      <c r="AKW617" s="30"/>
      <c r="AKX617" s="30"/>
      <c r="AKY617" s="30"/>
      <c r="AKZ617" s="30"/>
      <c r="ALA617" s="30"/>
      <c r="ALB617" s="30"/>
      <c r="ALC617" s="30"/>
      <c r="ALD617" s="30"/>
      <c r="ALE617" s="30"/>
      <c r="ALF617" s="30"/>
      <c r="ALG617" s="30"/>
      <c r="ALH617" s="30"/>
      <c r="ALI617" s="30"/>
      <c r="ALJ617" s="30"/>
      <c r="ALK617" s="30"/>
      <c r="ALL617" s="30"/>
      <c r="ALM617" s="30"/>
      <c r="ALN617" s="30"/>
      <c r="ALO617" s="30"/>
      <c r="ALP617" s="30"/>
      <c r="ALQ617" s="30"/>
      <c r="ALR617" s="30"/>
      <c r="ALS617" s="30"/>
      <c r="ALT617" s="30"/>
      <c r="ALU617" s="30"/>
      <c r="ALV617" s="30"/>
      <c r="ALW617" s="30"/>
      <c r="ALX617" s="30"/>
      <c r="ALY617" s="30"/>
      <c r="ALZ617" s="30"/>
      <c r="AMA617" s="30"/>
      <c r="AMB617" s="30"/>
      <c r="AMC617" s="30"/>
      <c r="AMD617" s="30"/>
      <c r="AME617" s="30"/>
      <c r="AMF617" s="30"/>
      <c r="AMG617" s="30"/>
      <c r="AMH617" s="30"/>
      <c r="AMI617" s="30"/>
      <c r="AMJ617" s="30"/>
      <c r="AMK617" s="30"/>
      <c r="AML617" s="30"/>
      <c r="AMM617" s="30"/>
      <c r="AMN617" s="30"/>
      <c r="AMO617" s="30"/>
      <c r="AMP617" s="30"/>
      <c r="AMQ617" s="30"/>
      <c r="AMR617" s="30"/>
      <c r="AMS617" s="30"/>
      <c r="AMT617" s="30"/>
      <c r="AMU617" s="30"/>
      <c r="AMV617" s="30"/>
      <c r="AMW617" s="30"/>
      <c r="AMX617" s="30"/>
      <c r="AMY617" s="30"/>
      <c r="AMZ617" s="30"/>
      <c r="ANA617" s="30"/>
      <c r="ANB617" s="30"/>
      <c r="ANC617" s="30"/>
      <c r="AND617" s="30"/>
      <c r="ANE617" s="30"/>
      <c r="ANF617" s="30"/>
      <c r="ANG617" s="30"/>
      <c r="ANH617" s="30"/>
      <c r="ANI617" s="30"/>
      <c r="ANJ617" s="30"/>
      <c r="ANK617" s="30"/>
      <c r="ANL617" s="30"/>
      <c r="ANM617" s="30"/>
      <c r="ANN617" s="30"/>
      <c r="ANO617" s="30"/>
      <c r="ANP617" s="30"/>
      <c r="ANQ617" s="30"/>
      <c r="ANR617" s="30"/>
      <c r="ANS617" s="30"/>
      <c r="ANT617" s="30"/>
      <c r="ANU617" s="30"/>
      <c r="ANV617" s="30"/>
      <c r="ANW617" s="30"/>
      <c r="ANX617" s="30"/>
      <c r="ANY617" s="30"/>
      <c r="ANZ617" s="30"/>
      <c r="AOA617" s="30"/>
      <c r="AOB617" s="30"/>
      <c r="AOC617" s="30"/>
      <c r="AOD617" s="30"/>
      <c r="AOE617" s="30"/>
      <c r="AOF617" s="30"/>
      <c r="AOG617" s="30"/>
      <c r="AOH617" s="30"/>
      <c r="AOI617" s="30"/>
      <c r="AOJ617" s="30"/>
      <c r="AOK617" s="30"/>
      <c r="AOL617" s="30"/>
      <c r="AOM617" s="30"/>
      <c r="AON617" s="30"/>
      <c r="AOO617" s="30"/>
      <c r="AOP617" s="30"/>
      <c r="AOQ617" s="30"/>
      <c r="AOR617" s="30"/>
      <c r="AOS617" s="30"/>
      <c r="AOT617" s="30"/>
      <c r="AOU617" s="30"/>
      <c r="AOV617" s="30"/>
      <c r="AOW617" s="30"/>
      <c r="AOX617" s="30"/>
      <c r="AOY617" s="30"/>
      <c r="AOZ617" s="30"/>
      <c r="APA617" s="30"/>
      <c r="APB617" s="30"/>
      <c r="APC617" s="30"/>
      <c r="APD617" s="30"/>
      <c r="APE617" s="30"/>
      <c r="APF617" s="30"/>
      <c r="APG617" s="30"/>
      <c r="APH617" s="30"/>
      <c r="API617" s="30"/>
      <c r="APJ617" s="30"/>
      <c r="APK617" s="30"/>
      <c r="APL617" s="30"/>
      <c r="APM617" s="30"/>
      <c r="APN617" s="30"/>
      <c r="APO617" s="30"/>
      <c r="APP617" s="30"/>
      <c r="APQ617" s="30"/>
      <c r="APR617" s="30"/>
      <c r="APS617" s="30"/>
      <c r="APT617" s="30"/>
      <c r="APU617" s="30"/>
      <c r="APV617" s="30"/>
      <c r="APW617" s="30"/>
      <c r="APX617" s="30"/>
      <c r="APY617" s="30"/>
      <c r="APZ617" s="30"/>
      <c r="AQA617" s="30"/>
      <c r="AQB617" s="30"/>
      <c r="AQC617" s="30"/>
      <c r="AQD617" s="30"/>
      <c r="AQE617" s="30"/>
      <c r="AQF617" s="30"/>
      <c r="AQG617" s="30"/>
      <c r="AQH617" s="30"/>
      <c r="AQI617" s="30"/>
      <c r="AQJ617" s="30"/>
      <c r="AQK617" s="30"/>
      <c r="AQL617" s="30"/>
      <c r="AQM617" s="30"/>
      <c r="AQN617" s="30"/>
      <c r="AQO617" s="30"/>
      <c r="AQP617" s="30"/>
      <c r="AQQ617" s="30"/>
      <c r="AQR617" s="30"/>
      <c r="AQS617" s="30"/>
      <c r="AQT617" s="30"/>
      <c r="AQU617" s="30"/>
      <c r="AQV617" s="30"/>
      <c r="AQW617" s="30"/>
      <c r="AQX617" s="30"/>
      <c r="AQY617" s="30"/>
      <c r="AQZ617" s="30"/>
      <c r="ARA617" s="30"/>
      <c r="ARB617" s="30"/>
      <c r="ARC617" s="30"/>
      <c r="ARD617" s="30"/>
      <c r="ARE617" s="30"/>
      <c r="ARF617" s="30"/>
      <c r="ARG617" s="30"/>
      <c r="ARH617" s="30"/>
      <c r="ARI617" s="30"/>
      <c r="ARJ617" s="30"/>
      <c r="ARK617" s="30"/>
      <c r="ARL617" s="30"/>
      <c r="ARM617" s="30"/>
      <c r="ARN617" s="30"/>
      <c r="ARO617" s="30"/>
      <c r="ARP617" s="30"/>
      <c r="ARQ617" s="30"/>
      <c r="ARR617" s="30"/>
      <c r="ARS617" s="30"/>
      <c r="ART617" s="30"/>
      <c r="ARU617" s="30"/>
      <c r="ARV617" s="30"/>
      <c r="ARW617" s="30"/>
      <c r="ARX617" s="30"/>
      <c r="ARY617" s="30"/>
      <c r="ARZ617" s="30"/>
      <c r="ASA617" s="30"/>
      <c r="ASB617" s="30"/>
      <c r="ASC617" s="30"/>
      <c r="ASD617" s="30"/>
      <c r="ASE617" s="30"/>
      <c r="ASF617" s="30"/>
      <c r="ASG617" s="30"/>
      <c r="ASH617" s="30"/>
      <c r="ASI617" s="30"/>
      <c r="ASJ617" s="30"/>
      <c r="ASK617" s="30"/>
      <c r="ASL617" s="30"/>
      <c r="ASM617" s="30"/>
      <c r="ASN617" s="30"/>
      <c r="ASO617" s="30"/>
      <c r="ASP617" s="30"/>
      <c r="ASQ617" s="30"/>
      <c r="ASR617" s="30"/>
      <c r="ASS617" s="30"/>
      <c r="AST617" s="30"/>
      <c r="ASU617" s="30"/>
      <c r="ASV617" s="30"/>
      <c r="ASW617" s="30"/>
      <c r="ASX617" s="30"/>
      <c r="ASY617" s="30"/>
      <c r="ASZ617" s="30"/>
      <c r="ATA617" s="30"/>
      <c r="ATB617" s="30"/>
      <c r="ATC617" s="30"/>
      <c r="ATD617" s="30"/>
      <c r="ATE617" s="30"/>
      <c r="ATF617" s="30"/>
      <c r="ATG617" s="30"/>
      <c r="ATH617" s="30"/>
      <c r="ATI617" s="30"/>
      <c r="ATJ617" s="30"/>
      <c r="ATK617" s="30"/>
      <c r="ATL617" s="30"/>
      <c r="ATM617" s="30"/>
      <c r="ATN617" s="30"/>
      <c r="ATO617" s="30"/>
      <c r="ATP617" s="30"/>
      <c r="ATQ617" s="30"/>
      <c r="ATR617" s="30"/>
      <c r="ATS617" s="30"/>
      <c r="ATT617" s="30"/>
      <c r="ATU617" s="30"/>
      <c r="ATV617" s="30"/>
      <c r="ATW617" s="30"/>
      <c r="ATX617" s="30"/>
      <c r="ATY617" s="30"/>
      <c r="ATZ617" s="30"/>
      <c r="AUA617" s="30"/>
      <c r="AUB617" s="30"/>
      <c r="AUC617" s="30"/>
      <c r="AUD617" s="30"/>
      <c r="AUE617" s="30"/>
      <c r="AUF617" s="30"/>
      <c r="AUG617" s="30"/>
      <c r="AUH617" s="30"/>
      <c r="AUI617" s="30"/>
      <c r="AUJ617" s="30"/>
      <c r="AUK617" s="30"/>
      <c r="AUL617" s="30"/>
      <c r="AUM617" s="30"/>
      <c r="AUN617" s="30"/>
      <c r="AUO617" s="30"/>
      <c r="AUP617" s="30"/>
      <c r="AUQ617" s="30"/>
      <c r="AUR617" s="30"/>
      <c r="AUS617" s="30"/>
      <c r="AUT617" s="30"/>
      <c r="AUU617" s="30"/>
      <c r="AUV617" s="30"/>
      <c r="AUW617" s="30"/>
      <c r="AUX617" s="30"/>
      <c r="AUY617" s="30"/>
      <c r="AUZ617" s="30"/>
      <c r="AVA617" s="30"/>
      <c r="AVB617" s="30"/>
      <c r="AVC617" s="30"/>
      <c r="AVD617" s="30"/>
      <c r="AVE617" s="30"/>
      <c r="AVF617" s="30"/>
      <c r="AVG617" s="30"/>
      <c r="AVH617" s="30"/>
      <c r="AVI617" s="30"/>
      <c r="AVJ617" s="30"/>
      <c r="AVK617" s="30"/>
      <c r="AVL617" s="30"/>
      <c r="AVM617" s="30"/>
      <c r="AVN617" s="30"/>
      <c r="AVO617" s="30"/>
      <c r="AVP617" s="30"/>
      <c r="AVQ617" s="30"/>
      <c r="AVR617" s="30"/>
      <c r="AVS617" s="30"/>
      <c r="AVT617" s="30"/>
      <c r="AVU617" s="30"/>
      <c r="AVV617" s="30"/>
      <c r="AVW617" s="30"/>
      <c r="AVX617" s="30"/>
      <c r="AVY617" s="30"/>
      <c r="AVZ617" s="30"/>
      <c r="AWA617" s="30"/>
      <c r="AWB617" s="30"/>
      <c r="AWC617" s="30"/>
      <c r="AWD617" s="30"/>
      <c r="AWE617" s="30"/>
      <c r="AWF617" s="30"/>
      <c r="AWG617" s="30"/>
      <c r="AWH617" s="30"/>
      <c r="AWI617" s="30"/>
      <c r="AWJ617" s="30"/>
      <c r="AWK617" s="30"/>
      <c r="AWL617" s="30"/>
      <c r="AWM617" s="30"/>
      <c r="AWN617" s="30"/>
      <c r="AWO617" s="30"/>
      <c r="AWP617" s="30"/>
      <c r="AWQ617" s="30"/>
      <c r="AWR617" s="30"/>
      <c r="AWS617" s="30"/>
      <c r="AWT617" s="30"/>
      <c r="AWU617" s="30"/>
      <c r="AWV617" s="30"/>
      <c r="AWW617" s="30"/>
      <c r="AWX617" s="30"/>
      <c r="AWY617" s="30"/>
      <c r="AWZ617" s="30"/>
      <c r="AXA617" s="30"/>
      <c r="AXB617" s="30"/>
      <c r="AXC617" s="30"/>
      <c r="AXD617" s="30"/>
      <c r="AXE617" s="30"/>
      <c r="AXF617" s="30"/>
      <c r="AXG617" s="30"/>
      <c r="AXH617" s="30"/>
      <c r="AXI617" s="30"/>
      <c r="AXJ617" s="30"/>
      <c r="AXK617" s="30"/>
      <c r="AXL617" s="30"/>
      <c r="AXM617" s="30"/>
      <c r="AXN617" s="30"/>
      <c r="AXO617" s="30"/>
      <c r="AXP617" s="30"/>
      <c r="AXQ617" s="30"/>
      <c r="AXR617" s="30"/>
      <c r="AXS617" s="30"/>
      <c r="AXT617" s="30"/>
      <c r="AXU617" s="30"/>
      <c r="AXV617" s="30"/>
      <c r="AXW617" s="30"/>
      <c r="AXX617" s="30"/>
      <c r="AXY617" s="30"/>
      <c r="AXZ617" s="30"/>
      <c r="AYA617" s="30"/>
      <c r="AYB617" s="30"/>
      <c r="AYC617" s="30"/>
      <c r="AYD617" s="30"/>
      <c r="AYE617" s="30"/>
      <c r="AYF617" s="30"/>
      <c r="AYG617" s="30"/>
      <c r="AYH617" s="30"/>
      <c r="AYI617" s="30"/>
      <c r="AYJ617" s="30"/>
      <c r="AYK617" s="30"/>
      <c r="AYL617" s="30"/>
      <c r="AYM617" s="30"/>
      <c r="AYN617" s="30"/>
      <c r="AYO617" s="30"/>
      <c r="AYP617" s="30"/>
      <c r="AYQ617" s="30"/>
      <c r="AYR617" s="30"/>
      <c r="AYS617" s="30"/>
      <c r="AYT617" s="30"/>
      <c r="AYU617" s="30"/>
      <c r="AYV617" s="30"/>
      <c r="AYW617" s="30"/>
      <c r="AYX617" s="30"/>
      <c r="AYY617" s="30"/>
      <c r="AYZ617" s="30"/>
      <c r="AZA617" s="30"/>
      <c r="AZB617" s="30"/>
      <c r="AZC617" s="30"/>
      <c r="AZD617" s="30"/>
      <c r="AZE617" s="30"/>
      <c r="AZF617" s="30"/>
      <c r="AZG617" s="30"/>
      <c r="AZH617" s="30"/>
      <c r="AZI617" s="30"/>
      <c r="AZJ617" s="30"/>
      <c r="AZK617" s="30"/>
      <c r="AZL617" s="30"/>
      <c r="AZM617" s="30"/>
      <c r="AZN617" s="30"/>
      <c r="AZO617" s="30"/>
      <c r="AZP617" s="30"/>
      <c r="AZQ617" s="30"/>
      <c r="AZR617" s="30"/>
      <c r="AZS617" s="30"/>
      <c r="AZT617" s="30"/>
      <c r="AZU617" s="30"/>
      <c r="AZV617" s="30"/>
      <c r="AZW617" s="30"/>
      <c r="AZX617" s="30"/>
      <c r="AZY617" s="30"/>
      <c r="AZZ617" s="30"/>
      <c r="BAA617" s="30"/>
      <c r="BAB617" s="30"/>
      <c r="BAC617" s="30"/>
      <c r="BAD617" s="30"/>
      <c r="BAE617" s="30"/>
      <c r="BAF617" s="30"/>
      <c r="BAG617" s="30"/>
      <c r="BAH617" s="30"/>
      <c r="BAI617" s="30"/>
      <c r="BAJ617" s="30"/>
      <c r="BAK617" s="30"/>
      <c r="BAL617" s="30"/>
      <c r="BAM617" s="30"/>
      <c r="BAN617" s="30"/>
      <c r="BAO617" s="30"/>
      <c r="BAP617" s="30"/>
      <c r="BAQ617" s="30"/>
      <c r="BAR617" s="30"/>
      <c r="BAS617" s="30"/>
      <c r="BAT617" s="30"/>
      <c r="BAU617" s="30"/>
      <c r="BAV617" s="30"/>
      <c r="BAW617" s="30"/>
      <c r="BAX617" s="30"/>
      <c r="BAY617" s="30"/>
      <c r="BAZ617" s="30"/>
      <c r="BBA617" s="30"/>
      <c r="BBB617" s="30"/>
      <c r="BBC617" s="30"/>
      <c r="BBD617" s="30"/>
      <c r="BBE617" s="30"/>
      <c r="BBF617" s="30"/>
      <c r="BBG617" s="30"/>
      <c r="BBH617" s="30"/>
      <c r="BBI617" s="30"/>
      <c r="BBJ617" s="30"/>
      <c r="BBK617" s="30"/>
      <c r="BBL617" s="30"/>
      <c r="BBM617" s="30"/>
      <c r="BBN617" s="30"/>
      <c r="BBO617" s="30"/>
      <c r="BBP617" s="30"/>
      <c r="BBQ617" s="30"/>
      <c r="BBR617" s="30"/>
      <c r="BBS617" s="30"/>
      <c r="BBT617" s="30"/>
      <c r="BBU617" s="30"/>
      <c r="BBV617" s="30"/>
      <c r="BBW617" s="30"/>
      <c r="BBX617" s="30"/>
      <c r="BBY617" s="30"/>
      <c r="BBZ617" s="30"/>
      <c r="BCA617" s="30"/>
      <c r="BCB617" s="30"/>
      <c r="BCC617" s="30"/>
      <c r="BCD617" s="30"/>
      <c r="BCE617" s="30"/>
      <c r="BCF617" s="30"/>
      <c r="BCG617" s="30"/>
      <c r="BCH617" s="30"/>
      <c r="BCI617" s="30"/>
      <c r="BCJ617" s="30"/>
      <c r="BCK617" s="30"/>
      <c r="BCL617" s="30"/>
      <c r="BCM617" s="30"/>
      <c r="BCN617" s="30"/>
      <c r="BCO617" s="30"/>
      <c r="BCP617" s="30"/>
      <c r="BCQ617" s="30"/>
      <c r="BCR617" s="30"/>
      <c r="BCS617" s="30"/>
      <c r="BCT617" s="30"/>
      <c r="BCU617" s="30"/>
      <c r="BCV617" s="30"/>
      <c r="BCW617" s="30"/>
      <c r="BCX617" s="30"/>
      <c r="BCY617" s="30"/>
      <c r="BCZ617" s="30"/>
      <c r="BDA617" s="30"/>
      <c r="BDB617" s="30"/>
      <c r="BDC617" s="30"/>
      <c r="BDD617" s="30"/>
      <c r="BDE617" s="30"/>
      <c r="BDF617" s="30"/>
      <c r="BDG617" s="30"/>
      <c r="BDH617" s="30"/>
      <c r="BDI617" s="30"/>
      <c r="BDJ617" s="30"/>
      <c r="BDK617" s="30"/>
      <c r="BDL617" s="30"/>
      <c r="BDM617" s="30"/>
      <c r="BDN617" s="30"/>
      <c r="BDO617" s="30"/>
      <c r="BDP617" s="30"/>
      <c r="BDQ617" s="30"/>
      <c r="BDR617" s="30"/>
      <c r="BDS617" s="30"/>
      <c r="BDT617" s="30"/>
      <c r="BDU617" s="30"/>
      <c r="BDV617" s="30"/>
      <c r="BDW617" s="30"/>
      <c r="BDX617" s="30"/>
      <c r="BDY617" s="30"/>
      <c r="BDZ617" s="30"/>
      <c r="BEA617" s="30"/>
      <c r="BEB617" s="30"/>
      <c r="BEC617" s="30"/>
      <c r="BED617" s="30"/>
      <c r="BEE617" s="30"/>
      <c r="BEF617" s="30"/>
      <c r="BEG617" s="30"/>
      <c r="BEH617" s="30"/>
      <c r="BEI617" s="30"/>
      <c r="BEJ617" s="30"/>
      <c r="BEK617" s="30"/>
      <c r="BEL617" s="30"/>
      <c r="BEM617" s="30"/>
      <c r="BEN617" s="30"/>
      <c r="BEO617" s="30"/>
      <c r="BEP617" s="30"/>
      <c r="BEQ617" s="30"/>
      <c r="BER617" s="30"/>
      <c r="BES617" s="30"/>
      <c r="BET617" s="30"/>
      <c r="BEU617" s="30"/>
      <c r="BEV617" s="30"/>
      <c r="BEW617" s="30"/>
      <c r="BEX617" s="30"/>
      <c r="BEY617" s="30"/>
      <c r="BEZ617" s="30"/>
      <c r="BFA617" s="30"/>
      <c r="BFB617" s="30"/>
      <c r="BFC617" s="30"/>
      <c r="BFD617" s="30"/>
      <c r="BFE617" s="30"/>
      <c r="BFF617" s="30"/>
      <c r="BFG617" s="30"/>
      <c r="BFH617" s="30"/>
      <c r="BFI617" s="30"/>
      <c r="BFJ617" s="30"/>
      <c r="BFK617" s="30"/>
      <c r="BFL617" s="30"/>
      <c r="BFM617" s="30"/>
      <c r="BFN617" s="30"/>
      <c r="BFO617" s="30"/>
      <c r="BFP617" s="30"/>
      <c r="BFQ617" s="30"/>
      <c r="BFR617" s="30"/>
      <c r="BFS617" s="30"/>
      <c r="BFT617" s="30"/>
      <c r="BFU617" s="30"/>
      <c r="BFV617" s="30"/>
      <c r="BFW617" s="30"/>
      <c r="BFX617" s="30"/>
      <c r="BFY617" s="30"/>
      <c r="BFZ617" s="30"/>
      <c r="BGA617" s="30"/>
      <c r="BGB617" s="30"/>
      <c r="BGC617" s="30"/>
      <c r="BGD617" s="30"/>
      <c r="BGE617" s="30"/>
      <c r="BGF617" s="30"/>
      <c r="BGG617" s="30"/>
      <c r="BGH617" s="30"/>
      <c r="BGI617" s="30"/>
      <c r="BGJ617" s="30"/>
      <c r="BGK617" s="30"/>
      <c r="BGL617" s="30"/>
      <c r="BGM617" s="30"/>
      <c r="BGN617" s="30"/>
      <c r="BGO617" s="30"/>
      <c r="BGP617" s="30"/>
      <c r="BGQ617" s="30"/>
      <c r="BGR617" s="30"/>
      <c r="BGS617" s="30"/>
      <c r="BGT617" s="30"/>
      <c r="BGU617" s="30"/>
      <c r="BGV617" s="30"/>
      <c r="BGW617" s="30"/>
      <c r="BGX617" s="30"/>
      <c r="BGY617" s="30"/>
      <c r="BGZ617" s="30"/>
      <c r="BHA617" s="30"/>
      <c r="BHB617" s="30"/>
      <c r="BHC617" s="30"/>
      <c r="BHD617" s="30"/>
      <c r="BHE617" s="30"/>
      <c r="BHF617" s="30"/>
      <c r="BHG617" s="30"/>
      <c r="BHH617" s="30"/>
      <c r="BHI617" s="30"/>
      <c r="BHJ617" s="30"/>
      <c r="BHK617" s="30"/>
      <c r="BHL617" s="30"/>
      <c r="BHM617" s="30"/>
      <c r="BHN617" s="30"/>
      <c r="BHO617" s="30"/>
      <c r="BHP617" s="30"/>
      <c r="BHQ617" s="30"/>
      <c r="BHR617" s="30"/>
      <c r="BHS617" s="30"/>
      <c r="BHT617" s="30"/>
      <c r="BHU617" s="30"/>
      <c r="BHV617" s="30"/>
      <c r="BHW617" s="30"/>
      <c r="BHX617" s="30"/>
      <c r="BHY617" s="30"/>
      <c r="BHZ617" s="30"/>
      <c r="BIA617" s="30"/>
      <c r="BIB617" s="30"/>
      <c r="BIC617" s="30"/>
      <c r="BID617" s="30"/>
      <c r="BIE617" s="30"/>
      <c r="BIF617" s="30"/>
      <c r="BIG617" s="30"/>
      <c r="BIH617" s="30"/>
      <c r="BII617" s="30"/>
      <c r="BIJ617" s="30"/>
      <c r="BIK617" s="30"/>
      <c r="BIL617" s="30"/>
      <c r="BIM617" s="30"/>
      <c r="BIN617" s="30"/>
      <c r="BIO617" s="30"/>
      <c r="BIP617" s="30"/>
      <c r="BIQ617" s="30"/>
      <c r="BIR617" s="30"/>
      <c r="BIS617" s="30"/>
      <c r="BIT617" s="30"/>
      <c r="BIU617" s="30"/>
      <c r="BIV617" s="30"/>
      <c r="BIW617" s="30"/>
      <c r="BIX617" s="30"/>
      <c r="BIY617" s="30"/>
      <c r="BIZ617" s="30"/>
      <c r="BJA617" s="30"/>
      <c r="BJB617" s="30"/>
      <c r="BJC617" s="30"/>
      <c r="BJD617" s="30"/>
      <c r="BJE617" s="30"/>
      <c r="BJF617" s="30"/>
      <c r="BJG617" s="30"/>
      <c r="BJH617" s="30"/>
      <c r="BJI617" s="30"/>
      <c r="BJJ617" s="30"/>
      <c r="BJK617" s="30"/>
      <c r="BJL617" s="30"/>
      <c r="BJM617" s="30"/>
      <c r="BJN617" s="30"/>
      <c r="BJO617" s="30"/>
      <c r="BJP617" s="30"/>
      <c r="BJQ617" s="30"/>
      <c r="BJR617" s="30"/>
      <c r="BJS617" s="30"/>
      <c r="BJT617" s="30"/>
      <c r="BJU617" s="30"/>
      <c r="BJV617" s="30"/>
      <c r="BJW617" s="30"/>
      <c r="BJX617" s="30"/>
      <c r="BJY617" s="30"/>
      <c r="BJZ617" s="30"/>
      <c r="BKA617" s="30"/>
      <c r="BKB617" s="30"/>
      <c r="BKC617" s="30"/>
      <c r="BKD617" s="30"/>
      <c r="BKE617" s="30"/>
      <c r="BKF617" s="30"/>
      <c r="BKG617" s="30"/>
      <c r="BKH617" s="30"/>
      <c r="BKI617" s="30"/>
      <c r="BKJ617" s="30"/>
      <c r="BKK617" s="30"/>
      <c r="BKL617" s="30"/>
      <c r="BKM617" s="30"/>
      <c r="BKN617" s="30"/>
      <c r="BKO617" s="30"/>
      <c r="BKP617" s="30"/>
      <c r="BKQ617" s="30"/>
      <c r="BKR617" s="30"/>
      <c r="BKS617" s="30"/>
      <c r="BKT617" s="30"/>
      <c r="BKU617" s="30"/>
      <c r="BKV617" s="30"/>
      <c r="BKW617" s="30"/>
      <c r="BKX617" s="30"/>
      <c r="BKY617" s="30"/>
      <c r="BKZ617" s="30"/>
      <c r="BLA617" s="30"/>
      <c r="BLB617" s="30"/>
      <c r="BLC617" s="30"/>
      <c r="BLD617" s="30"/>
      <c r="BLE617" s="30"/>
      <c r="BLF617" s="30"/>
      <c r="BLG617" s="30"/>
      <c r="BLH617" s="30"/>
      <c r="BLI617" s="30"/>
      <c r="BLJ617" s="30"/>
      <c r="BLK617" s="30"/>
      <c r="BLL617" s="30"/>
      <c r="BLM617" s="30"/>
      <c r="BLN617" s="30"/>
      <c r="BLO617" s="30"/>
      <c r="BLP617" s="30"/>
      <c r="BLQ617" s="30"/>
      <c r="BLR617" s="30"/>
      <c r="BLS617" s="30"/>
      <c r="BLT617" s="30"/>
      <c r="BLU617" s="30"/>
      <c r="BLV617" s="30"/>
      <c r="BLW617" s="30"/>
      <c r="BLX617" s="30"/>
      <c r="BLY617" s="30"/>
      <c r="BLZ617" s="30"/>
      <c r="BMA617" s="30"/>
      <c r="BMB617" s="30"/>
      <c r="BMC617" s="30"/>
      <c r="BMD617" s="30"/>
      <c r="BME617" s="30"/>
      <c r="BMF617" s="30"/>
      <c r="BMG617" s="30"/>
      <c r="BMH617" s="30"/>
      <c r="BMI617" s="30"/>
      <c r="BMJ617" s="30"/>
      <c r="BMK617" s="30"/>
      <c r="BML617" s="30"/>
      <c r="BMM617" s="30"/>
      <c r="BMN617" s="30"/>
      <c r="BMO617" s="30"/>
      <c r="BMP617" s="30"/>
      <c r="BMQ617" s="30"/>
      <c r="BMR617" s="30"/>
      <c r="BMS617" s="30"/>
      <c r="BMT617" s="30"/>
      <c r="BMU617" s="30"/>
      <c r="BMV617" s="30"/>
      <c r="BMW617" s="30"/>
      <c r="BMX617" s="30"/>
      <c r="BMY617" s="30"/>
      <c r="BMZ617" s="30"/>
      <c r="BNA617" s="30"/>
      <c r="BNB617" s="30"/>
      <c r="BNC617" s="30"/>
      <c r="BND617" s="30"/>
      <c r="BNE617" s="30"/>
      <c r="BNF617" s="30"/>
      <c r="BNG617" s="30"/>
      <c r="BNH617" s="30"/>
      <c r="BNI617" s="30"/>
      <c r="BNJ617" s="30"/>
      <c r="BNK617" s="30"/>
      <c r="BNL617" s="30"/>
      <c r="BNM617" s="30"/>
      <c r="BNN617" s="30"/>
      <c r="BNO617" s="30"/>
      <c r="BNP617" s="30"/>
      <c r="BNQ617" s="30"/>
      <c r="BNR617" s="30"/>
      <c r="BNS617" s="30"/>
      <c r="BNT617" s="30"/>
      <c r="BNU617" s="30"/>
      <c r="BNV617" s="30"/>
      <c r="BNW617" s="30"/>
      <c r="BNX617" s="30"/>
      <c r="BNY617" s="30"/>
      <c r="BNZ617" s="30"/>
      <c r="BOA617" s="30"/>
      <c r="BOB617" s="30"/>
      <c r="BOC617" s="30"/>
      <c r="BOD617" s="30"/>
      <c r="BOE617" s="30"/>
      <c r="BOF617" s="30"/>
      <c r="BOG617" s="30"/>
      <c r="BOH617" s="30"/>
      <c r="BOI617" s="30"/>
      <c r="BOJ617" s="30"/>
      <c r="BOK617" s="30"/>
      <c r="BOL617" s="30"/>
      <c r="BOM617" s="30"/>
      <c r="BON617" s="30"/>
      <c r="BOO617" s="30"/>
      <c r="BOP617" s="30"/>
      <c r="BOQ617" s="30"/>
      <c r="BOR617" s="30"/>
      <c r="BOS617" s="30"/>
      <c r="BOT617" s="30"/>
      <c r="BOU617" s="30"/>
      <c r="BOV617" s="30"/>
      <c r="BOW617" s="30"/>
      <c r="BOX617" s="30"/>
      <c r="BOY617" s="30"/>
      <c r="BOZ617" s="30"/>
      <c r="BPA617" s="30"/>
      <c r="BPB617" s="30"/>
      <c r="BPC617" s="30"/>
      <c r="BPD617" s="30"/>
      <c r="BPE617" s="30"/>
      <c r="BPF617" s="30"/>
      <c r="BPG617" s="30"/>
      <c r="BPH617" s="30"/>
      <c r="BPI617" s="30"/>
      <c r="BPJ617" s="30"/>
      <c r="BPK617" s="30"/>
      <c r="BPL617" s="30"/>
      <c r="BPM617" s="30"/>
      <c r="BPN617" s="30"/>
      <c r="BPO617" s="30"/>
      <c r="BPP617" s="30"/>
      <c r="BPQ617" s="30"/>
      <c r="BPR617" s="30"/>
      <c r="BPS617" s="30"/>
      <c r="BPT617" s="30"/>
      <c r="BPU617" s="30"/>
      <c r="BPV617" s="30"/>
      <c r="BPW617" s="30"/>
      <c r="BPX617" s="30"/>
      <c r="BPY617" s="30"/>
      <c r="BPZ617" s="30"/>
      <c r="BQA617" s="30"/>
      <c r="BQB617" s="30"/>
      <c r="BQC617" s="30"/>
      <c r="BQD617" s="30"/>
      <c r="BQE617" s="30"/>
      <c r="BQF617" s="30"/>
      <c r="BQG617" s="30"/>
      <c r="BQH617" s="30"/>
      <c r="BQI617" s="30"/>
      <c r="BQJ617" s="30"/>
      <c r="BQK617" s="30"/>
      <c r="BQL617" s="30"/>
      <c r="BQM617" s="30"/>
      <c r="BQN617" s="30"/>
      <c r="BQO617" s="30"/>
      <c r="BQP617" s="30"/>
      <c r="BQQ617" s="30"/>
      <c r="BQR617" s="30"/>
      <c r="BQS617" s="30"/>
      <c r="BQT617" s="30"/>
      <c r="BQU617" s="30"/>
      <c r="BQV617" s="30"/>
      <c r="BQW617" s="30"/>
      <c r="BQX617" s="30"/>
      <c r="BQY617" s="30"/>
      <c r="BQZ617" s="30"/>
      <c r="BRA617" s="30"/>
      <c r="BRB617" s="30"/>
      <c r="BRC617" s="30"/>
      <c r="BRD617" s="30"/>
      <c r="BRE617" s="30"/>
      <c r="BRF617" s="30"/>
      <c r="BRG617" s="30"/>
      <c r="BRH617" s="30"/>
      <c r="BRI617" s="30"/>
      <c r="BRJ617" s="30"/>
      <c r="BRK617" s="30"/>
      <c r="BRL617" s="30"/>
      <c r="BRM617" s="30"/>
      <c r="BRN617" s="30"/>
      <c r="BRO617" s="30"/>
      <c r="BRP617" s="30"/>
      <c r="BRQ617" s="30"/>
      <c r="BRR617" s="30"/>
      <c r="BRS617" s="30"/>
      <c r="BRT617" s="30"/>
      <c r="BRU617" s="30"/>
      <c r="BRV617" s="30"/>
      <c r="BRW617" s="30"/>
      <c r="BRX617" s="30"/>
      <c r="BRY617" s="30"/>
      <c r="BRZ617" s="30"/>
      <c r="BSA617" s="30"/>
      <c r="BSB617" s="30"/>
      <c r="BSC617" s="30"/>
      <c r="BSD617" s="30"/>
      <c r="BSE617" s="30"/>
      <c r="BSF617" s="30"/>
      <c r="BSG617" s="30"/>
      <c r="BSH617" s="30"/>
      <c r="BSI617" s="30"/>
      <c r="BSJ617" s="30"/>
      <c r="BSK617" s="30"/>
      <c r="BSL617" s="30"/>
      <c r="BSM617" s="30"/>
      <c r="BSN617" s="30"/>
      <c r="BSO617" s="30"/>
      <c r="BSP617" s="30"/>
      <c r="BSQ617" s="30"/>
      <c r="BSR617" s="30"/>
      <c r="BSS617" s="30"/>
      <c r="BST617" s="30"/>
      <c r="BSU617" s="30"/>
      <c r="BSV617" s="30"/>
      <c r="BSW617" s="30"/>
      <c r="BSX617" s="30"/>
      <c r="BSY617" s="30"/>
      <c r="BSZ617" s="30"/>
      <c r="BTA617" s="30"/>
      <c r="BTB617" s="30"/>
      <c r="BTC617" s="30"/>
      <c r="BTD617" s="30"/>
      <c r="BTE617" s="30"/>
      <c r="BTF617" s="30"/>
      <c r="BTG617" s="30"/>
      <c r="BTH617" s="30"/>
      <c r="BTI617" s="30"/>
      <c r="BTJ617" s="30"/>
      <c r="BTK617" s="30"/>
      <c r="BTL617" s="30"/>
      <c r="BTM617" s="30"/>
      <c r="BTN617" s="30"/>
      <c r="BTO617" s="30"/>
      <c r="BTP617" s="30"/>
      <c r="BTQ617" s="30"/>
      <c r="BTR617" s="30"/>
      <c r="BTS617" s="30"/>
      <c r="BTT617" s="30"/>
      <c r="BTU617" s="30"/>
      <c r="BTV617" s="30"/>
      <c r="BTW617" s="30"/>
      <c r="BTX617" s="30"/>
      <c r="BTY617" s="30"/>
      <c r="BTZ617" s="30"/>
      <c r="BUA617" s="30"/>
      <c r="BUB617" s="30"/>
      <c r="BUC617" s="30"/>
      <c r="BUD617" s="30"/>
      <c r="BUE617" s="30"/>
      <c r="BUF617" s="30"/>
      <c r="BUG617" s="30"/>
      <c r="BUH617" s="30"/>
      <c r="BUI617" s="30"/>
      <c r="BUJ617" s="30"/>
      <c r="BUK617" s="30"/>
      <c r="BUL617" s="30"/>
      <c r="BUM617" s="30"/>
      <c r="BUN617" s="30"/>
      <c r="BUO617" s="30"/>
      <c r="BUP617" s="30"/>
      <c r="BUQ617" s="30"/>
      <c r="BUR617" s="30"/>
      <c r="BUS617" s="30"/>
      <c r="BUT617" s="30"/>
      <c r="BUU617" s="30"/>
      <c r="BUV617" s="30"/>
      <c r="BUW617" s="30"/>
      <c r="BUX617" s="30"/>
      <c r="BUY617" s="30"/>
      <c r="BUZ617" s="30"/>
      <c r="BVA617" s="30"/>
      <c r="BVB617" s="30"/>
      <c r="BVC617" s="30"/>
      <c r="BVD617" s="30"/>
      <c r="BVE617" s="30"/>
      <c r="BVF617" s="30"/>
      <c r="BVG617" s="30"/>
      <c r="BVH617" s="30"/>
      <c r="BVI617" s="30"/>
      <c r="BVJ617" s="30"/>
      <c r="BVK617" s="30"/>
      <c r="BVL617" s="30"/>
      <c r="BVM617" s="30"/>
      <c r="BVN617" s="30"/>
      <c r="BVO617" s="30"/>
      <c r="BVP617" s="30"/>
      <c r="BVQ617" s="30"/>
      <c r="BVR617" s="30"/>
      <c r="BVS617" s="30"/>
      <c r="BVT617" s="30"/>
      <c r="BVU617" s="30"/>
      <c r="BVV617" s="30"/>
      <c r="BVW617" s="30"/>
      <c r="BVX617" s="30"/>
      <c r="BVY617" s="30"/>
      <c r="BVZ617" s="30"/>
      <c r="BWA617" s="30"/>
      <c r="BWB617" s="30"/>
      <c r="BWC617" s="30"/>
      <c r="BWD617" s="30"/>
      <c r="BWE617" s="30"/>
      <c r="BWF617" s="30"/>
      <c r="BWG617" s="30"/>
      <c r="BWH617" s="30"/>
      <c r="BWI617" s="30"/>
      <c r="BWJ617" s="30"/>
      <c r="BWK617" s="30"/>
      <c r="BWL617" s="30"/>
      <c r="BWM617" s="30"/>
      <c r="BWN617" s="30"/>
      <c r="BWO617" s="30"/>
      <c r="BWP617" s="30"/>
      <c r="BWQ617" s="30"/>
      <c r="BWR617" s="30"/>
      <c r="BWS617" s="30"/>
      <c r="BWT617" s="30"/>
      <c r="BWU617" s="30"/>
      <c r="BWV617" s="30"/>
      <c r="BWW617" s="30"/>
      <c r="BWX617" s="30"/>
      <c r="BWY617" s="30"/>
      <c r="BWZ617" s="30"/>
      <c r="BXA617" s="30"/>
      <c r="BXB617" s="30"/>
      <c r="BXC617" s="30"/>
      <c r="BXD617" s="30"/>
      <c r="BXE617" s="30"/>
      <c r="BXF617" s="30"/>
      <c r="BXG617" s="30"/>
      <c r="BXH617" s="30"/>
      <c r="BXI617" s="30"/>
      <c r="BXJ617" s="30"/>
      <c r="BXK617" s="30"/>
      <c r="BXL617" s="30"/>
      <c r="BXM617" s="30"/>
      <c r="BXN617" s="30"/>
      <c r="BXO617" s="30"/>
      <c r="BXP617" s="30"/>
      <c r="BXQ617" s="30"/>
      <c r="BXR617" s="30"/>
      <c r="BXS617" s="30"/>
      <c r="BXT617" s="30"/>
      <c r="BXU617" s="30"/>
      <c r="BXV617" s="30"/>
      <c r="BXW617" s="30"/>
      <c r="BXX617" s="30"/>
      <c r="BXY617" s="30"/>
      <c r="BXZ617" s="30"/>
      <c r="BYA617" s="30"/>
      <c r="BYB617" s="30"/>
      <c r="BYC617" s="30"/>
      <c r="BYD617" s="30"/>
      <c r="BYE617" s="30"/>
      <c r="BYF617" s="30"/>
      <c r="BYG617" s="30"/>
      <c r="BYH617" s="30"/>
      <c r="BYI617" s="30"/>
      <c r="BYJ617" s="30"/>
      <c r="BYK617" s="30"/>
      <c r="BYL617" s="30"/>
      <c r="BYM617" s="30"/>
      <c r="BYN617" s="30"/>
      <c r="BYO617" s="30"/>
      <c r="BYP617" s="30"/>
      <c r="BYQ617" s="30"/>
      <c r="BYR617" s="30"/>
      <c r="BYS617" s="30"/>
      <c r="BYT617" s="30"/>
      <c r="BYU617" s="30"/>
      <c r="BYV617" s="30"/>
      <c r="BYW617" s="30"/>
      <c r="BYX617" s="30"/>
      <c r="BYY617" s="30"/>
      <c r="BYZ617" s="30"/>
      <c r="BZA617" s="30"/>
      <c r="BZB617" s="30"/>
      <c r="BZC617" s="30"/>
      <c r="BZD617" s="30"/>
      <c r="BZE617" s="30"/>
      <c r="BZF617" s="30"/>
      <c r="BZG617" s="30"/>
      <c r="BZH617" s="30"/>
      <c r="BZI617" s="30"/>
      <c r="BZJ617" s="30"/>
      <c r="BZK617" s="30"/>
      <c r="BZL617" s="30"/>
      <c r="BZM617" s="30"/>
      <c r="BZN617" s="30"/>
      <c r="BZO617" s="30"/>
      <c r="BZP617" s="30"/>
      <c r="BZQ617" s="30"/>
      <c r="BZR617" s="30"/>
      <c r="BZS617" s="30"/>
      <c r="BZT617" s="30"/>
      <c r="BZU617" s="30"/>
      <c r="BZV617" s="30"/>
      <c r="BZW617" s="30"/>
      <c r="BZX617" s="30"/>
      <c r="BZY617" s="30"/>
      <c r="BZZ617" s="30"/>
      <c r="CAA617" s="30"/>
      <c r="CAB617" s="30"/>
      <c r="CAC617" s="30"/>
      <c r="CAD617" s="30"/>
      <c r="CAE617" s="30"/>
      <c r="CAF617" s="30"/>
      <c r="CAG617" s="30"/>
      <c r="CAH617" s="30"/>
      <c r="CAI617" s="30"/>
      <c r="CAJ617" s="30"/>
      <c r="CAK617" s="30"/>
      <c r="CAL617" s="30"/>
      <c r="CAM617" s="30"/>
      <c r="CAN617" s="30"/>
      <c r="CAO617" s="30"/>
      <c r="CAP617" s="30"/>
      <c r="CAQ617" s="30"/>
      <c r="CAR617" s="30"/>
      <c r="CAS617" s="30"/>
      <c r="CAT617" s="30"/>
      <c r="CAU617" s="30"/>
      <c r="CAV617" s="30"/>
      <c r="CAW617" s="30"/>
      <c r="CAX617" s="30"/>
      <c r="CAY617" s="30"/>
      <c r="CAZ617" s="30"/>
      <c r="CBA617" s="30"/>
      <c r="CBB617" s="30"/>
      <c r="CBC617" s="30"/>
      <c r="CBD617" s="30"/>
      <c r="CBE617" s="30"/>
      <c r="CBF617" s="30"/>
      <c r="CBG617" s="30"/>
      <c r="CBH617" s="30"/>
      <c r="CBI617" s="30"/>
      <c r="CBJ617" s="30"/>
      <c r="CBK617" s="30"/>
      <c r="CBL617" s="30"/>
      <c r="CBM617" s="30"/>
      <c r="CBN617" s="30"/>
      <c r="CBO617" s="30"/>
      <c r="CBP617" s="30"/>
      <c r="CBQ617" s="30"/>
      <c r="CBR617" s="30"/>
      <c r="CBS617" s="30"/>
      <c r="CBT617" s="30"/>
      <c r="CBU617" s="30"/>
      <c r="CBV617" s="30"/>
      <c r="CBW617" s="30"/>
      <c r="CBX617" s="30"/>
      <c r="CBY617" s="30"/>
      <c r="CBZ617" s="30"/>
      <c r="CCA617" s="30"/>
      <c r="CCB617" s="30"/>
      <c r="CCC617" s="30"/>
      <c r="CCD617" s="30"/>
      <c r="CCE617" s="30"/>
      <c r="CCF617" s="30"/>
      <c r="CCG617" s="30"/>
      <c r="CCH617" s="30"/>
      <c r="CCI617" s="30"/>
      <c r="CCJ617" s="30"/>
      <c r="CCK617" s="30"/>
      <c r="CCL617" s="30"/>
      <c r="CCM617" s="30"/>
      <c r="CCN617" s="30"/>
      <c r="CCO617" s="30"/>
      <c r="CCP617" s="30"/>
      <c r="CCQ617" s="30"/>
      <c r="CCR617" s="30"/>
      <c r="CCS617" s="30"/>
      <c r="CCT617" s="30"/>
      <c r="CCU617" s="30"/>
      <c r="CCV617" s="30"/>
      <c r="CCW617" s="30"/>
      <c r="CCX617" s="30"/>
      <c r="CCY617" s="30"/>
      <c r="CCZ617" s="30"/>
      <c r="CDA617" s="30"/>
      <c r="CDB617" s="30"/>
      <c r="CDC617" s="30"/>
      <c r="CDD617" s="30"/>
      <c r="CDE617" s="30"/>
      <c r="CDF617" s="30"/>
      <c r="CDG617" s="30"/>
      <c r="CDH617" s="30"/>
      <c r="CDI617" s="30"/>
      <c r="CDJ617" s="30"/>
      <c r="CDK617" s="30"/>
      <c r="CDL617" s="30"/>
      <c r="CDM617" s="30"/>
      <c r="CDN617" s="30"/>
      <c r="CDO617" s="30"/>
      <c r="CDP617" s="30"/>
      <c r="CDQ617" s="30"/>
      <c r="CDR617" s="30"/>
      <c r="CDS617" s="30"/>
      <c r="CDT617" s="30"/>
      <c r="CDU617" s="30"/>
      <c r="CDV617" s="30"/>
      <c r="CDW617" s="30"/>
      <c r="CDX617" s="30"/>
      <c r="CDY617" s="30"/>
      <c r="CDZ617" s="30"/>
      <c r="CEA617" s="30"/>
      <c r="CEB617" s="30"/>
      <c r="CEC617" s="30"/>
      <c r="CED617" s="30"/>
      <c r="CEE617" s="30"/>
      <c r="CEF617" s="30"/>
      <c r="CEG617" s="30"/>
      <c r="CEH617" s="30"/>
      <c r="CEI617" s="30"/>
      <c r="CEJ617" s="30"/>
      <c r="CEK617" s="30"/>
      <c r="CEL617" s="30"/>
      <c r="CEM617" s="30"/>
      <c r="CEN617" s="30"/>
      <c r="CEO617" s="30"/>
      <c r="CEP617" s="30"/>
      <c r="CEQ617" s="30"/>
      <c r="CER617" s="30"/>
      <c r="CES617" s="30"/>
      <c r="CET617" s="30"/>
      <c r="CEU617" s="30"/>
      <c r="CEV617" s="30"/>
      <c r="CEW617" s="30"/>
      <c r="CEX617" s="30"/>
      <c r="CEY617" s="30"/>
      <c r="CEZ617" s="30"/>
      <c r="CFA617" s="30"/>
      <c r="CFB617" s="30"/>
      <c r="CFC617" s="30"/>
      <c r="CFD617" s="30"/>
      <c r="CFE617" s="30"/>
      <c r="CFF617" s="30"/>
      <c r="CFG617" s="30"/>
      <c r="CFH617" s="30"/>
      <c r="CFI617" s="30"/>
      <c r="CFJ617" s="30"/>
      <c r="CFK617" s="30"/>
      <c r="CFL617" s="30"/>
      <c r="CFM617" s="30"/>
      <c r="CFN617" s="30"/>
      <c r="CFO617" s="30"/>
      <c r="CFP617" s="30"/>
      <c r="CFQ617" s="30"/>
      <c r="CFR617" s="30"/>
      <c r="CFS617" s="30"/>
      <c r="CFT617" s="30"/>
      <c r="CFU617" s="30"/>
      <c r="CFV617" s="30"/>
      <c r="CFW617" s="30"/>
      <c r="CFX617" s="30"/>
      <c r="CFY617" s="30"/>
      <c r="CFZ617" s="30"/>
      <c r="CGA617" s="30"/>
      <c r="CGB617" s="30"/>
      <c r="CGC617" s="30"/>
      <c r="CGD617" s="30"/>
      <c r="CGE617" s="30"/>
      <c r="CGF617" s="30"/>
      <c r="CGG617" s="30"/>
      <c r="CGH617" s="30"/>
      <c r="CGI617" s="30"/>
      <c r="CGJ617" s="30"/>
      <c r="CGK617" s="30"/>
      <c r="CGL617" s="30"/>
      <c r="CGM617" s="30"/>
      <c r="CGN617" s="30"/>
      <c r="CGO617" s="30"/>
      <c r="CGP617" s="30"/>
      <c r="CGQ617" s="30"/>
      <c r="CGR617" s="30"/>
      <c r="CGS617" s="30"/>
      <c r="CGT617" s="30"/>
      <c r="CGU617" s="30"/>
      <c r="CGV617" s="30"/>
      <c r="CGW617" s="30"/>
      <c r="CGX617" s="30"/>
      <c r="CGY617" s="30"/>
      <c r="CGZ617" s="30"/>
      <c r="CHA617" s="30"/>
      <c r="CHB617" s="30"/>
      <c r="CHC617" s="30"/>
      <c r="CHD617" s="30"/>
      <c r="CHE617" s="30"/>
      <c r="CHF617" s="30"/>
      <c r="CHG617" s="30"/>
      <c r="CHH617" s="30"/>
      <c r="CHI617" s="30"/>
      <c r="CHJ617" s="30"/>
      <c r="CHK617" s="30"/>
      <c r="CHL617" s="30"/>
      <c r="CHM617" s="30"/>
      <c r="CHN617" s="30"/>
      <c r="CHO617" s="30"/>
      <c r="CHP617" s="30"/>
      <c r="CHQ617" s="30"/>
      <c r="CHR617" s="30"/>
      <c r="CHS617" s="30"/>
      <c r="CHT617" s="30"/>
      <c r="CHU617" s="30"/>
      <c r="CHV617" s="30"/>
      <c r="CHW617" s="30"/>
      <c r="CHX617" s="30"/>
      <c r="CHY617" s="30"/>
      <c r="CHZ617" s="30"/>
      <c r="CIA617" s="30"/>
      <c r="CIB617" s="30"/>
      <c r="CIC617" s="30"/>
      <c r="CID617" s="30"/>
      <c r="CIE617" s="30"/>
      <c r="CIF617" s="30"/>
      <c r="CIG617" s="30"/>
      <c r="CIH617" s="30"/>
      <c r="CII617" s="30"/>
      <c r="CIJ617" s="30"/>
      <c r="CIK617" s="30"/>
      <c r="CIL617" s="30"/>
      <c r="CIM617" s="30"/>
      <c r="CIN617" s="30"/>
      <c r="CIO617" s="30"/>
      <c r="CIP617" s="30"/>
      <c r="CIQ617" s="30"/>
      <c r="CIR617" s="30"/>
      <c r="CIS617" s="30"/>
      <c r="CIT617" s="30"/>
      <c r="CIU617" s="30"/>
      <c r="CIV617" s="30"/>
      <c r="CIW617" s="30"/>
      <c r="CIX617" s="30"/>
      <c r="CIY617" s="30"/>
      <c r="CIZ617" s="30"/>
      <c r="CJA617" s="30"/>
      <c r="CJB617" s="30"/>
      <c r="CJC617" s="30"/>
      <c r="CJD617" s="30"/>
      <c r="CJE617" s="30"/>
      <c r="CJF617" s="30"/>
      <c r="CJG617" s="30"/>
      <c r="CJH617" s="30"/>
      <c r="CJI617" s="30"/>
      <c r="CJJ617" s="30"/>
      <c r="CJK617" s="30"/>
      <c r="CJL617" s="30"/>
      <c r="CJM617" s="30"/>
      <c r="CJN617" s="30"/>
      <c r="CJO617" s="30"/>
      <c r="CJP617" s="30"/>
      <c r="CJQ617" s="30"/>
      <c r="CJR617" s="30"/>
      <c r="CJS617" s="30"/>
      <c r="CJT617" s="30"/>
      <c r="CJU617" s="30"/>
      <c r="CJV617" s="30"/>
      <c r="CJW617" s="30"/>
      <c r="CJX617" s="30"/>
      <c r="CJY617" s="30"/>
      <c r="CJZ617" s="30"/>
      <c r="CKA617" s="30"/>
      <c r="CKB617" s="30"/>
      <c r="CKC617" s="30"/>
      <c r="CKD617" s="30"/>
      <c r="CKE617" s="30"/>
      <c r="CKF617" s="30"/>
      <c r="CKG617" s="30"/>
      <c r="CKH617" s="30"/>
      <c r="CKI617" s="30"/>
      <c r="CKJ617" s="30"/>
      <c r="CKK617" s="30"/>
      <c r="CKL617" s="30"/>
      <c r="CKM617" s="30"/>
      <c r="CKN617" s="30"/>
      <c r="CKO617" s="30"/>
      <c r="CKP617" s="30"/>
      <c r="CKQ617" s="30"/>
      <c r="CKR617" s="30"/>
      <c r="CKS617" s="30"/>
      <c r="CKT617" s="30"/>
      <c r="CKU617" s="30"/>
      <c r="CKV617" s="30"/>
      <c r="CKW617" s="30"/>
      <c r="CKX617" s="30"/>
      <c r="CKY617" s="30"/>
      <c r="CKZ617" s="30"/>
      <c r="CLA617" s="30"/>
      <c r="CLB617" s="30"/>
      <c r="CLC617" s="30"/>
      <c r="CLD617" s="30"/>
      <c r="CLE617" s="30"/>
      <c r="CLF617" s="30"/>
      <c r="CLG617" s="30"/>
      <c r="CLH617" s="30"/>
      <c r="CLI617" s="30"/>
      <c r="CLJ617" s="30"/>
      <c r="CLK617" s="30"/>
      <c r="CLL617" s="30"/>
      <c r="CLM617" s="30"/>
      <c r="CLN617" s="30"/>
      <c r="CLO617" s="30"/>
      <c r="CLP617" s="30"/>
      <c r="CLQ617" s="30"/>
      <c r="CLR617" s="30"/>
      <c r="CLS617" s="30"/>
      <c r="CLT617" s="30"/>
      <c r="CLU617" s="30"/>
      <c r="CLV617" s="30"/>
      <c r="CLW617" s="30"/>
      <c r="CLX617" s="30"/>
      <c r="CLY617" s="30"/>
      <c r="CLZ617" s="30"/>
      <c r="CMA617" s="30"/>
      <c r="CMB617" s="30"/>
      <c r="CMC617" s="30"/>
      <c r="CMD617" s="30"/>
      <c r="CME617" s="30"/>
      <c r="CMF617" s="30"/>
      <c r="CMG617" s="30"/>
      <c r="CMH617" s="30"/>
      <c r="CMI617" s="30"/>
      <c r="CMJ617" s="30"/>
      <c r="CMK617" s="30"/>
      <c r="CML617" s="30"/>
      <c r="CMM617" s="30"/>
      <c r="CMN617" s="30"/>
      <c r="CMO617" s="30"/>
      <c r="CMP617" s="30"/>
      <c r="CMQ617" s="30"/>
      <c r="CMR617" s="30"/>
      <c r="CMS617" s="30"/>
      <c r="CMT617" s="30"/>
      <c r="CMU617" s="30"/>
      <c r="CMV617" s="30"/>
      <c r="CMW617" s="30"/>
      <c r="CMX617" s="30"/>
      <c r="CMY617" s="30"/>
      <c r="CMZ617" s="30"/>
      <c r="CNA617" s="30"/>
      <c r="CNB617" s="30"/>
      <c r="CNC617" s="30"/>
      <c r="CND617" s="30"/>
      <c r="CNE617" s="30"/>
      <c r="CNF617" s="30"/>
      <c r="CNG617" s="30"/>
      <c r="CNH617" s="30"/>
      <c r="CNI617" s="30"/>
      <c r="CNJ617" s="30"/>
      <c r="CNK617" s="30"/>
      <c r="CNL617" s="30"/>
      <c r="CNM617" s="30"/>
      <c r="CNN617" s="30"/>
      <c r="CNO617" s="30"/>
      <c r="CNP617" s="30"/>
      <c r="CNQ617" s="30"/>
      <c r="CNR617" s="30"/>
      <c r="CNS617" s="30"/>
      <c r="CNT617" s="30"/>
      <c r="CNU617" s="30"/>
      <c r="CNV617" s="30"/>
      <c r="CNW617" s="30"/>
      <c r="CNX617" s="30"/>
      <c r="CNY617" s="30"/>
      <c r="CNZ617" s="30"/>
      <c r="COA617" s="30"/>
      <c r="COB617" s="30"/>
      <c r="COC617" s="30"/>
      <c r="COD617" s="30"/>
      <c r="COE617" s="30"/>
      <c r="COF617" s="30"/>
      <c r="COG617" s="30"/>
      <c r="COH617" s="30"/>
      <c r="COI617" s="30"/>
      <c r="COJ617" s="30"/>
      <c r="COK617" s="30"/>
      <c r="COL617" s="30"/>
      <c r="COM617" s="30"/>
      <c r="CON617" s="30"/>
      <c r="COO617" s="30"/>
      <c r="COP617" s="30"/>
      <c r="COQ617" s="30"/>
      <c r="COR617" s="30"/>
      <c r="COS617" s="30"/>
      <c r="COT617" s="30"/>
      <c r="COU617" s="30"/>
      <c r="COV617" s="30"/>
      <c r="COW617" s="30"/>
      <c r="COX617" s="30"/>
      <c r="COY617" s="30"/>
      <c r="COZ617" s="30"/>
      <c r="CPA617" s="30"/>
      <c r="CPB617" s="30"/>
      <c r="CPC617" s="30"/>
      <c r="CPD617" s="30"/>
      <c r="CPE617" s="30"/>
      <c r="CPF617" s="30"/>
      <c r="CPG617" s="30"/>
      <c r="CPH617" s="30"/>
      <c r="CPI617" s="30"/>
      <c r="CPJ617" s="30"/>
      <c r="CPK617" s="30"/>
      <c r="CPL617" s="30"/>
      <c r="CPM617" s="30"/>
      <c r="CPN617" s="30"/>
      <c r="CPO617" s="30"/>
      <c r="CPP617" s="30"/>
      <c r="CPQ617" s="30"/>
      <c r="CPR617" s="30"/>
      <c r="CPS617" s="30"/>
      <c r="CPT617" s="30"/>
      <c r="CPU617" s="30"/>
      <c r="CPV617" s="30"/>
      <c r="CPW617" s="30"/>
      <c r="CPX617" s="30"/>
      <c r="CPY617" s="30"/>
      <c r="CPZ617" s="30"/>
      <c r="CQA617" s="30"/>
      <c r="CQB617" s="30"/>
      <c r="CQC617" s="30"/>
      <c r="CQD617" s="30"/>
      <c r="CQE617" s="30"/>
      <c r="CQF617" s="30"/>
      <c r="CQG617" s="30"/>
      <c r="CQH617" s="30"/>
      <c r="CQI617" s="30"/>
      <c r="CQJ617" s="30"/>
      <c r="CQK617" s="30"/>
      <c r="CQL617" s="30"/>
      <c r="CQM617" s="30"/>
      <c r="CQN617" s="30"/>
      <c r="CQO617" s="30"/>
      <c r="CQP617" s="30"/>
      <c r="CQQ617" s="30"/>
      <c r="CQR617" s="30"/>
      <c r="CQS617" s="30"/>
      <c r="CQT617" s="30"/>
      <c r="CQU617" s="30"/>
      <c r="CQV617" s="30"/>
      <c r="CQW617" s="30"/>
      <c r="CQX617" s="30"/>
      <c r="CQY617" s="30"/>
      <c r="CQZ617" s="30"/>
      <c r="CRA617" s="30"/>
      <c r="CRB617" s="30"/>
      <c r="CRC617" s="30"/>
      <c r="CRD617" s="30"/>
      <c r="CRE617" s="30"/>
      <c r="CRF617" s="30"/>
      <c r="CRG617" s="30"/>
      <c r="CRH617" s="30"/>
      <c r="CRI617" s="30"/>
      <c r="CRJ617" s="30"/>
      <c r="CRK617" s="30"/>
      <c r="CRL617" s="30"/>
      <c r="CRM617" s="30"/>
      <c r="CRN617" s="30"/>
      <c r="CRO617" s="30"/>
      <c r="CRP617" s="30"/>
      <c r="CRQ617" s="30"/>
      <c r="CRR617" s="30"/>
      <c r="CRS617" s="30"/>
      <c r="CRT617" s="30"/>
      <c r="CRU617" s="30"/>
      <c r="CRV617" s="30"/>
      <c r="CRW617" s="30"/>
      <c r="CRX617" s="30"/>
      <c r="CRY617" s="30"/>
      <c r="CRZ617" s="30"/>
      <c r="CSA617" s="30"/>
      <c r="CSB617" s="30"/>
      <c r="CSC617" s="30"/>
      <c r="CSD617" s="30"/>
      <c r="CSE617" s="30"/>
      <c r="CSF617" s="30"/>
      <c r="CSG617" s="30"/>
      <c r="CSH617" s="30"/>
      <c r="CSI617" s="30"/>
      <c r="CSJ617" s="30"/>
      <c r="CSK617" s="30"/>
      <c r="CSL617" s="30"/>
      <c r="CSM617" s="30"/>
      <c r="CSN617" s="30"/>
      <c r="CSO617" s="30"/>
      <c r="CSP617" s="30"/>
      <c r="CSQ617" s="30"/>
      <c r="CSR617" s="30"/>
      <c r="CSS617" s="30"/>
      <c r="CST617" s="30"/>
      <c r="CSU617" s="30"/>
      <c r="CSV617" s="30"/>
      <c r="CSW617" s="30"/>
      <c r="CSX617" s="30"/>
      <c r="CSY617" s="30"/>
      <c r="CSZ617" s="30"/>
      <c r="CTA617" s="30"/>
      <c r="CTB617" s="30"/>
      <c r="CTC617" s="30"/>
      <c r="CTD617" s="30"/>
      <c r="CTE617" s="30"/>
      <c r="CTF617" s="30"/>
      <c r="CTG617" s="30"/>
      <c r="CTH617" s="30"/>
      <c r="CTI617" s="30"/>
      <c r="CTJ617" s="30"/>
      <c r="CTK617" s="30"/>
      <c r="CTL617" s="30"/>
      <c r="CTM617" s="30"/>
      <c r="CTN617" s="30"/>
      <c r="CTO617" s="30"/>
      <c r="CTP617" s="30"/>
      <c r="CTQ617" s="30"/>
      <c r="CTR617" s="30"/>
      <c r="CTS617" s="30"/>
      <c r="CTT617" s="30"/>
      <c r="CTU617" s="30"/>
      <c r="CTV617" s="30"/>
      <c r="CTW617" s="30"/>
      <c r="CTX617" s="30"/>
      <c r="CTY617" s="30"/>
      <c r="CTZ617" s="30"/>
      <c r="CUA617" s="30"/>
      <c r="CUB617" s="30"/>
      <c r="CUC617" s="30"/>
      <c r="CUD617" s="30"/>
      <c r="CUE617" s="30"/>
      <c r="CUF617" s="30"/>
      <c r="CUG617" s="30"/>
      <c r="CUH617" s="30"/>
      <c r="CUI617" s="30"/>
      <c r="CUJ617" s="30"/>
      <c r="CUK617" s="30"/>
      <c r="CUL617" s="30"/>
      <c r="CUM617" s="30"/>
      <c r="CUN617" s="30"/>
      <c r="CUO617" s="30"/>
      <c r="CUP617" s="30"/>
      <c r="CUQ617" s="30"/>
      <c r="CUR617" s="30"/>
      <c r="CUS617" s="30"/>
      <c r="CUT617" s="30"/>
      <c r="CUU617" s="30"/>
      <c r="CUV617" s="30"/>
      <c r="CUW617" s="30"/>
      <c r="CUX617" s="30"/>
      <c r="CUY617" s="30"/>
      <c r="CUZ617" s="30"/>
      <c r="CVA617" s="30"/>
      <c r="CVB617" s="30"/>
      <c r="CVC617" s="30"/>
      <c r="CVD617" s="30"/>
      <c r="CVE617" s="30"/>
      <c r="CVF617" s="30"/>
      <c r="CVG617" s="30"/>
      <c r="CVH617" s="30"/>
      <c r="CVI617" s="30"/>
      <c r="CVJ617" s="30"/>
      <c r="CVK617" s="30"/>
      <c r="CVL617" s="30"/>
      <c r="CVM617" s="30"/>
      <c r="CVN617" s="30"/>
      <c r="CVO617" s="30"/>
      <c r="CVP617" s="30"/>
      <c r="CVQ617" s="30"/>
      <c r="CVR617" s="30"/>
      <c r="CVS617" s="30"/>
      <c r="CVT617" s="30"/>
      <c r="CVU617" s="30"/>
      <c r="CVV617" s="30"/>
      <c r="CVW617" s="30"/>
      <c r="CVX617" s="30"/>
      <c r="CVY617" s="30"/>
      <c r="CVZ617" s="30"/>
      <c r="CWA617" s="30"/>
      <c r="CWB617" s="30"/>
      <c r="CWC617" s="30"/>
      <c r="CWD617" s="30"/>
      <c r="CWE617" s="30"/>
      <c r="CWF617" s="30"/>
      <c r="CWG617" s="30"/>
      <c r="CWH617" s="30"/>
      <c r="CWI617" s="30"/>
      <c r="CWJ617" s="30"/>
      <c r="CWK617" s="30"/>
      <c r="CWL617" s="30"/>
      <c r="CWM617" s="30"/>
      <c r="CWN617" s="30"/>
      <c r="CWO617" s="30"/>
      <c r="CWP617" s="30"/>
      <c r="CWQ617" s="30"/>
      <c r="CWR617" s="30"/>
      <c r="CWS617" s="30"/>
      <c r="CWT617" s="30"/>
      <c r="CWU617" s="30"/>
      <c r="CWV617" s="30"/>
      <c r="CWW617" s="30"/>
      <c r="CWX617" s="30"/>
      <c r="CWY617" s="30"/>
      <c r="CWZ617" s="30"/>
      <c r="CXA617" s="30"/>
      <c r="CXB617" s="30"/>
      <c r="CXC617" s="30"/>
      <c r="CXD617" s="30"/>
      <c r="CXE617" s="30"/>
      <c r="CXF617" s="30"/>
      <c r="CXG617" s="30"/>
      <c r="CXH617" s="30"/>
      <c r="CXI617" s="30"/>
      <c r="CXJ617" s="30"/>
      <c r="CXK617" s="30"/>
      <c r="CXL617" s="30"/>
      <c r="CXM617" s="30"/>
      <c r="CXN617" s="30"/>
      <c r="CXO617" s="30"/>
      <c r="CXP617" s="30"/>
      <c r="CXQ617" s="30"/>
      <c r="CXR617" s="30"/>
      <c r="CXS617" s="30"/>
      <c r="CXT617" s="30"/>
      <c r="CXU617" s="30"/>
      <c r="CXV617" s="30"/>
      <c r="CXW617" s="30"/>
      <c r="CXX617" s="30"/>
      <c r="CXY617" s="30"/>
      <c r="CXZ617" s="30"/>
      <c r="CYA617" s="30"/>
      <c r="CYB617" s="30"/>
      <c r="CYC617" s="30"/>
      <c r="CYD617" s="30"/>
      <c r="CYE617" s="30"/>
      <c r="CYF617" s="30"/>
      <c r="CYG617" s="30"/>
      <c r="CYH617" s="30"/>
      <c r="CYI617" s="30"/>
      <c r="CYJ617" s="30"/>
      <c r="CYK617" s="30"/>
      <c r="CYL617" s="30"/>
      <c r="CYM617" s="30"/>
      <c r="CYN617" s="30"/>
      <c r="CYO617" s="30"/>
      <c r="CYP617" s="30"/>
      <c r="CYQ617" s="30"/>
      <c r="CYR617" s="30"/>
      <c r="CYS617" s="30"/>
      <c r="CYT617" s="30"/>
      <c r="CYU617" s="30"/>
      <c r="CYV617" s="30"/>
      <c r="CYW617" s="30"/>
      <c r="CYX617" s="30"/>
      <c r="CYY617" s="30"/>
      <c r="CYZ617" s="30"/>
      <c r="CZA617" s="30"/>
      <c r="CZB617" s="30"/>
      <c r="CZC617" s="30"/>
      <c r="CZD617" s="30"/>
      <c r="CZE617" s="30"/>
      <c r="CZF617" s="30"/>
      <c r="CZG617" s="30"/>
      <c r="CZH617" s="30"/>
      <c r="CZI617" s="30"/>
      <c r="CZJ617" s="30"/>
      <c r="CZK617" s="30"/>
      <c r="CZL617" s="30"/>
      <c r="CZM617" s="30"/>
      <c r="CZN617" s="30"/>
      <c r="CZO617" s="30"/>
      <c r="CZP617" s="30"/>
      <c r="CZQ617" s="30"/>
      <c r="CZR617" s="30"/>
      <c r="CZS617" s="30"/>
      <c r="CZT617" s="30"/>
      <c r="CZU617" s="30"/>
      <c r="CZV617" s="30"/>
      <c r="CZW617" s="30"/>
      <c r="CZX617" s="30"/>
      <c r="CZY617" s="30"/>
      <c r="CZZ617" s="30"/>
      <c r="DAA617" s="30"/>
      <c r="DAB617" s="30"/>
      <c r="DAC617" s="30"/>
      <c r="DAD617" s="30"/>
      <c r="DAE617" s="30"/>
      <c r="DAF617" s="30"/>
      <c r="DAG617" s="30"/>
      <c r="DAH617" s="30"/>
      <c r="DAI617" s="30"/>
      <c r="DAJ617" s="30"/>
      <c r="DAK617" s="30"/>
      <c r="DAL617" s="30"/>
      <c r="DAM617" s="30"/>
      <c r="DAN617" s="30"/>
      <c r="DAO617" s="30"/>
      <c r="DAP617" s="30"/>
      <c r="DAQ617" s="30"/>
      <c r="DAR617" s="30"/>
      <c r="DAS617" s="30"/>
      <c r="DAT617" s="30"/>
      <c r="DAU617" s="30"/>
      <c r="DAV617" s="30"/>
      <c r="DAW617" s="30"/>
      <c r="DAX617" s="30"/>
      <c r="DAY617" s="30"/>
      <c r="DAZ617" s="30"/>
      <c r="DBA617" s="30"/>
      <c r="DBB617" s="30"/>
      <c r="DBC617" s="30"/>
      <c r="DBD617" s="30"/>
      <c r="DBE617" s="30"/>
      <c r="DBF617" s="30"/>
      <c r="DBG617" s="30"/>
      <c r="DBH617" s="30"/>
      <c r="DBI617" s="30"/>
      <c r="DBJ617" s="30"/>
      <c r="DBK617" s="30"/>
      <c r="DBL617" s="30"/>
      <c r="DBM617" s="30"/>
      <c r="DBN617" s="30"/>
      <c r="DBO617" s="30"/>
      <c r="DBP617" s="30"/>
      <c r="DBQ617" s="30"/>
      <c r="DBR617" s="30"/>
      <c r="DBS617" s="30"/>
      <c r="DBT617" s="30"/>
      <c r="DBU617" s="30"/>
      <c r="DBV617" s="30"/>
      <c r="DBW617" s="30"/>
      <c r="DBX617" s="30"/>
      <c r="DBY617" s="30"/>
      <c r="DBZ617" s="30"/>
      <c r="DCA617" s="30"/>
      <c r="DCB617" s="30"/>
      <c r="DCC617" s="30"/>
      <c r="DCD617" s="30"/>
      <c r="DCE617" s="30"/>
      <c r="DCF617" s="30"/>
      <c r="DCG617" s="30"/>
      <c r="DCH617" s="30"/>
      <c r="DCI617" s="30"/>
      <c r="DCJ617" s="30"/>
      <c r="DCK617" s="30"/>
      <c r="DCL617" s="30"/>
      <c r="DCM617" s="30"/>
      <c r="DCN617" s="30"/>
      <c r="DCO617" s="30"/>
      <c r="DCP617" s="30"/>
      <c r="DCQ617" s="30"/>
      <c r="DCR617" s="30"/>
      <c r="DCS617" s="30"/>
      <c r="DCT617" s="30"/>
      <c r="DCU617" s="30"/>
      <c r="DCV617" s="30"/>
      <c r="DCW617" s="30"/>
      <c r="DCX617" s="30"/>
      <c r="DCY617" s="30"/>
      <c r="DCZ617" s="30"/>
      <c r="DDA617" s="30"/>
      <c r="DDB617" s="30"/>
      <c r="DDC617" s="30"/>
      <c r="DDD617" s="30"/>
      <c r="DDE617" s="30"/>
      <c r="DDF617" s="30"/>
      <c r="DDG617" s="30"/>
      <c r="DDH617" s="30"/>
      <c r="DDI617" s="30"/>
      <c r="DDJ617" s="30"/>
      <c r="DDK617" s="30"/>
      <c r="DDL617" s="30"/>
      <c r="DDM617" s="30"/>
      <c r="DDN617" s="30"/>
      <c r="DDO617" s="30"/>
      <c r="DDP617" s="30"/>
      <c r="DDQ617" s="30"/>
      <c r="DDR617" s="30"/>
      <c r="DDS617" s="30"/>
      <c r="DDT617" s="30"/>
      <c r="DDU617" s="30"/>
      <c r="DDV617" s="30"/>
      <c r="DDW617" s="30"/>
      <c r="DDX617" s="30"/>
      <c r="DDY617" s="30"/>
      <c r="DDZ617" s="30"/>
      <c r="DEA617" s="30"/>
      <c r="DEB617" s="30"/>
      <c r="DEC617" s="30"/>
      <c r="DED617" s="30"/>
      <c r="DEE617" s="30"/>
      <c r="DEF617" s="30"/>
      <c r="DEG617" s="30"/>
      <c r="DEH617" s="30"/>
      <c r="DEI617" s="30"/>
      <c r="DEJ617" s="30"/>
      <c r="DEK617" s="30"/>
      <c r="DEL617" s="30"/>
      <c r="DEM617" s="30"/>
      <c r="DEN617" s="30"/>
      <c r="DEO617" s="30"/>
      <c r="DEP617" s="30"/>
      <c r="DEQ617" s="30"/>
      <c r="DER617" s="30"/>
      <c r="DES617" s="30"/>
      <c r="DET617" s="30"/>
      <c r="DEU617" s="30"/>
      <c r="DEV617" s="30"/>
      <c r="DEW617" s="30"/>
      <c r="DEX617" s="30"/>
      <c r="DEY617" s="30"/>
      <c r="DEZ617" s="30"/>
      <c r="DFA617" s="30"/>
      <c r="DFB617" s="30"/>
      <c r="DFC617" s="30"/>
      <c r="DFD617" s="30"/>
      <c r="DFE617" s="30"/>
      <c r="DFF617" s="30"/>
      <c r="DFG617" s="30"/>
      <c r="DFH617" s="30"/>
      <c r="DFI617" s="30"/>
      <c r="DFJ617" s="30"/>
      <c r="DFK617" s="30"/>
      <c r="DFL617" s="30"/>
      <c r="DFM617" s="30"/>
      <c r="DFN617" s="30"/>
      <c r="DFO617" s="30"/>
      <c r="DFP617" s="30"/>
      <c r="DFQ617" s="30"/>
      <c r="DFR617" s="30"/>
      <c r="DFS617" s="30"/>
      <c r="DFT617" s="30"/>
      <c r="DFU617" s="30"/>
      <c r="DFV617" s="30"/>
      <c r="DFW617" s="30"/>
      <c r="DFX617" s="30"/>
      <c r="DFY617" s="30"/>
      <c r="DFZ617" s="30"/>
      <c r="DGA617" s="30"/>
      <c r="DGB617" s="30"/>
      <c r="DGC617" s="30"/>
      <c r="DGD617" s="30"/>
      <c r="DGE617" s="30"/>
      <c r="DGF617" s="30"/>
      <c r="DGG617" s="30"/>
      <c r="DGH617" s="30"/>
      <c r="DGI617" s="30"/>
      <c r="DGJ617" s="30"/>
      <c r="DGK617" s="30"/>
      <c r="DGL617" s="30"/>
      <c r="DGM617" s="30"/>
      <c r="DGN617" s="30"/>
      <c r="DGO617" s="30"/>
      <c r="DGP617" s="30"/>
      <c r="DGQ617" s="30"/>
      <c r="DGR617" s="30"/>
      <c r="DGS617" s="30"/>
      <c r="DGT617" s="30"/>
      <c r="DGU617" s="30"/>
      <c r="DGV617" s="30"/>
      <c r="DGW617" s="30"/>
      <c r="DGX617" s="30"/>
      <c r="DGY617" s="30"/>
      <c r="DGZ617" s="30"/>
      <c r="DHA617" s="30"/>
      <c r="DHB617" s="30"/>
      <c r="DHC617" s="30"/>
      <c r="DHD617" s="30"/>
      <c r="DHE617" s="30"/>
      <c r="DHF617" s="30"/>
      <c r="DHG617" s="30"/>
      <c r="DHH617" s="30"/>
      <c r="DHI617" s="30"/>
      <c r="DHJ617" s="30"/>
      <c r="DHK617" s="30"/>
      <c r="DHL617" s="30"/>
      <c r="DHM617" s="30"/>
      <c r="DHN617" s="30"/>
      <c r="DHO617" s="30"/>
      <c r="DHP617" s="30"/>
      <c r="DHQ617" s="30"/>
      <c r="DHR617" s="30"/>
      <c r="DHS617" s="30"/>
      <c r="DHT617" s="30"/>
      <c r="DHU617" s="30"/>
      <c r="DHV617" s="30"/>
      <c r="DHW617" s="30"/>
      <c r="DHX617" s="30"/>
      <c r="DHY617" s="30"/>
      <c r="DHZ617" s="30"/>
      <c r="DIA617" s="30"/>
      <c r="DIB617" s="30"/>
      <c r="DIC617" s="30"/>
      <c r="DID617" s="30"/>
      <c r="DIE617" s="30"/>
      <c r="DIF617" s="30"/>
      <c r="DIG617" s="30"/>
      <c r="DIH617" s="30"/>
      <c r="DII617" s="30"/>
      <c r="DIJ617" s="30"/>
      <c r="DIK617" s="30"/>
      <c r="DIL617" s="30"/>
      <c r="DIM617" s="30"/>
      <c r="DIN617" s="30"/>
      <c r="DIO617" s="30"/>
      <c r="DIP617" s="30"/>
      <c r="DIQ617" s="30"/>
      <c r="DIR617" s="30"/>
      <c r="DIS617" s="30"/>
      <c r="DIT617" s="30"/>
      <c r="DIU617" s="30"/>
      <c r="DIV617" s="30"/>
      <c r="DIW617" s="30"/>
      <c r="DIX617" s="30"/>
      <c r="DIY617" s="30"/>
      <c r="DIZ617" s="30"/>
      <c r="DJA617" s="30"/>
      <c r="DJB617" s="30"/>
      <c r="DJC617" s="30"/>
      <c r="DJD617" s="30"/>
      <c r="DJE617" s="30"/>
      <c r="DJF617" s="30"/>
      <c r="DJG617" s="30"/>
      <c r="DJH617" s="30"/>
      <c r="DJI617" s="30"/>
      <c r="DJJ617" s="30"/>
      <c r="DJK617" s="30"/>
      <c r="DJL617" s="30"/>
      <c r="DJM617" s="30"/>
      <c r="DJN617" s="30"/>
      <c r="DJO617" s="30"/>
      <c r="DJP617" s="30"/>
      <c r="DJQ617" s="30"/>
      <c r="DJR617" s="30"/>
      <c r="DJS617" s="30"/>
      <c r="DJT617" s="30"/>
      <c r="DJU617" s="30"/>
      <c r="DJV617" s="30"/>
      <c r="DJW617" s="30"/>
      <c r="DJX617" s="30"/>
      <c r="DJY617" s="30"/>
      <c r="DJZ617" s="30"/>
      <c r="DKA617" s="30"/>
      <c r="DKB617" s="30"/>
      <c r="DKC617" s="30"/>
      <c r="DKD617" s="30"/>
      <c r="DKE617" s="30"/>
      <c r="DKF617" s="30"/>
      <c r="DKG617" s="30"/>
      <c r="DKH617" s="30"/>
      <c r="DKI617" s="30"/>
      <c r="DKJ617" s="30"/>
      <c r="DKK617" s="30"/>
      <c r="DKL617" s="30"/>
      <c r="DKM617" s="30"/>
      <c r="DKN617" s="30"/>
      <c r="DKO617" s="30"/>
      <c r="DKP617" s="30"/>
      <c r="DKQ617" s="30"/>
      <c r="DKR617" s="30"/>
      <c r="DKS617" s="30"/>
      <c r="DKT617" s="30"/>
      <c r="DKU617" s="30"/>
      <c r="DKV617" s="30"/>
      <c r="DKW617" s="30"/>
      <c r="DKX617" s="30"/>
      <c r="DKY617" s="30"/>
      <c r="DKZ617" s="30"/>
      <c r="DLA617" s="30"/>
      <c r="DLB617" s="30"/>
      <c r="DLC617" s="30"/>
      <c r="DLD617" s="30"/>
      <c r="DLE617" s="30"/>
      <c r="DLF617" s="30"/>
      <c r="DLG617" s="30"/>
      <c r="DLH617" s="30"/>
      <c r="DLI617" s="30"/>
      <c r="DLJ617" s="30"/>
      <c r="DLK617" s="30"/>
      <c r="DLL617" s="30"/>
      <c r="DLM617" s="30"/>
      <c r="DLN617" s="30"/>
      <c r="DLO617" s="30"/>
      <c r="DLP617" s="30"/>
      <c r="DLQ617" s="30"/>
      <c r="DLR617" s="30"/>
      <c r="DLS617" s="30"/>
      <c r="DLT617" s="30"/>
      <c r="DLU617" s="30"/>
      <c r="DLV617" s="30"/>
      <c r="DLW617" s="30"/>
      <c r="DLX617" s="30"/>
      <c r="DLY617" s="30"/>
      <c r="DLZ617" s="30"/>
      <c r="DMA617" s="30"/>
      <c r="DMB617" s="30"/>
      <c r="DMC617" s="30"/>
      <c r="DMD617" s="30"/>
      <c r="DME617" s="30"/>
      <c r="DMF617" s="30"/>
      <c r="DMG617" s="30"/>
      <c r="DMH617" s="30"/>
      <c r="DMI617" s="30"/>
      <c r="DMJ617" s="30"/>
      <c r="DMK617" s="30"/>
      <c r="DML617" s="30"/>
      <c r="DMM617" s="30"/>
      <c r="DMN617" s="30"/>
      <c r="DMO617" s="30"/>
      <c r="DMP617" s="30"/>
      <c r="DMQ617" s="30"/>
      <c r="DMR617" s="30"/>
      <c r="DMS617" s="30"/>
      <c r="DMT617" s="30"/>
      <c r="DMU617" s="30"/>
      <c r="DMV617" s="30"/>
      <c r="DMW617" s="30"/>
      <c r="DMX617" s="30"/>
      <c r="DMY617" s="30"/>
      <c r="DMZ617" s="30"/>
      <c r="DNA617" s="30"/>
      <c r="DNB617" s="30"/>
      <c r="DNC617" s="30"/>
      <c r="DND617" s="30"/>
      <c r="DNE617" s="30"/>
      <c r="DNF617" s="30"/>
      <c r="DNG617" s="30"/>
      <c r="DNH617" s="30"/>
      <c r="DNI617" s="30"/>
      <c r="DNJ617" s="30"/>
      <c r="DNK617" s="30"/>
      <c r="DNL617" s="30"/>
      <c r="DNM617" s="30"/>
      <c r="DNN617" s="30"/>
      <c r="DNO617" s="30"/>
      <c r="DNP617" s="30"/>
      <c r="DNQ617" s="30"/>
      <c r="DNR617" s="30"/>
      <c r="DNS617" s="30"/>
      <c r="DNT617" s="30"/>
      <c r="DNU617" s="30"/>
      <c r="DNV617" s="30"/>
      <c r="DNW617" s="30"/>
      <c r="DNX617" s="30"/>
      <c r="DNY617" s="30"/>
      <c r="DNZ617" s="30"/>
      <c r="DOA617" s="30"/>
      <c r="DOB617" s="30"/>
      <c r="DOC617" s="30"/>
      <c r="DOD617" s="30"/>
      <c r="DOE617" s="30"/>
      <c r="DOF617" s="30"/>
      <c r="DOG617" s="30"/>
      <c r="DOH617" s="30"/>
      <c r="DOI617" s="30"/>
      <c r="DOJ617" s="30"/>
      <c r="DOK617" s="30"/>
      <c r="DOL617" s="30"/>
      <c r="DOM617" s="30"/>
      <c r="DON617" s="30"/>
      <c r="DOO617" s="30"/>
      <c r="DOP617" s="30"/>
      <c r="DOQ617" s="30"/>
      <c r="DOR617" s="30"/>
      <c r="DOS617" s="30"/>
      <c r="DOT617" s="30"/>
      <c r="DOU617" s="30"/>
      <c r="DOV617" s="30"/>
      <c r="DOW617" s="30"/>
      <c r="DOX617" s="30"/>
      <c r="DOY617" s="30"/>
      <c r="DOZ617" s="30"/>
      <c r="DPA617" s="30"/>
      <c r="DPB617" s="30"/>
      <c r="DPC617" s="30"/>
      <c r="DPD617" s="30"/>
      <c r="DPE617" s="30"/>
      <c r="DPF617" s="30"/>
      <c r="DPG617" s="30"/>
      <c r="DPH617" s="30"/>
      <c r="DPI617" s="30"/>
      <c r="DPJ617" s="30"/>
      <c r="DPK617" s="30"/>
      <c r="DPL617" s="30"/>
      <c r="DPM617" s="30"/>
      <c r="DPN617" s="30"/>
      <c r="DPO617" s="30"/>
      <c r="DPP617" s="30"/>
      <c r="DPQ617" s="30"/>
      <c r="DPR617" s="30"/>
      <c r="DPS617" s="30"/>
      <c r="DPT617" s="30"/>
      <c r="DPU617" s="30"/>
      <c r="DPV617" s="30"/>
      <c r="DPW617" s="30"/>
      <c r="DPX617" s="30"/>
      <c r="DPY617" s="30"/>
      <c r="DPZ617" s="30"/>
      <c r="DQA617" s="30"/>
      <c r="DQB617" s="30"/>
      <c r="DQC617" s="30"/>
      <c r="DQD617" s="30"/>
      <c r="DQE617" s="30"/>
      <c r="DQF617" s="30"/>
      <c r="DQG617" s="30"/>
      <c r="DQH617" s="30"/>
      <c r="DQI617" s="30"/>
      <c r="DQJ617" s="30"/>
      <c r="DQK617" s="30"/>
      <c r="DQL617" s="30"/>
      <c r="DQM617" s="30"/>
      <c r="DQN617" s="30"/>
      <c r="DQO617" s="30"/>
      <c r="DQP617" s="30"/>
      <c r="DQQ617" s="30"/>
      <c r="DQR617" s="30"/>
      <c r="DQS617" s="30"/>
      <c r="DQT617" s="30"/>
      <c r="DQU617" s="30"/>
      <c r="DQV617" s="30"/>
      <c r="DQW617" s="30"/>
      <c r="DQX617" s="30"/>
      <c r="DQY617" s="30"/>
      <c r="DQZ617" s="30"/>
      <c r="DRA617" s="30"/>
      <c r="DRB617" s="30"/>
      <c r="DRC617" s="30"/>
      <c r="DRD617" s="30"/>
      <c r="DRE617" s="30"/>
      <c r="DRF617" s="30"/>
      <c r="DRG617" s="30"/>
      <c r="DRH617" s="30"/>
      <c r="DRI617" s="30"/>
      <c r="DRJ617" s="30"/>
      <c r="DRK617" s="30"/>
      <c r="DRL617" s="30"/>
      <c r="DRM617" s="30"/>
      <c r="DRN617" s="30"/>
      <c r="DRO617" s="30"/>
      <c r="DRP617" s="30"/>
      <c r="DRQ617" s="30"/>
      <c r="DRR617" s="30"/>
      <c r="DRS617" s="30"/>
      <c r="DRT617" s="30"/>
      <c r="DRU617" s="30"/>
      <c r="DRV617" s="30"/>
      <c r="DRW617" s="30"/>
      <c r="DRX617" s="30"/>
      <c r="DRY617" s="30"/>
      <c r="DRZ617" s="30"/>
      <c r="DSA617" s="30"/>
      <c r="DSB617" s="30"/>
      <c r="DSC617" s="30"/>
      <c r="DSD617" s="30"/>
      <c r="DSE617" s="30"/>
      <c r="DSF617" s="30"/>
      <c r="DSG617" s="30"/>
      <c r="DSH617" s="30"/>
      <c r="DSI617" s="30"/>
      <c r="DSJ617" s="30"/>
      <c r="DSK617" s="30"/>
      <c r="DSL617" s="30"/>
      <c r="DSM617" s="30"/>
      <c r="DSN617" s="30"/>
      <c r="DSO617" s="30"/>
      <c r="DSP617" s="30"/>
      <c r="DSQ617" s="30"/>
      <c r="DSR617" s="30"/>
      <c r="DSS617" s="30"/>
      <c r="DST617" s="30"/>
      <c r="DSU617" s="30"/>
      <c r="DSV617" s="30"/>
      <c r="DSW617" s="30"/>
      <c r="DSX617" s="30"/>
      <c r="DSY617" s="30"/>
      <c r="DSZ617" s="30"/>
      <c r="DTA617" s="30"/>
      <c r="DTB617" s="30"/>
      <c r="DTC617" s="30"/>
      <c r="DTD617" s="30"/>
      <c r="DTE617" s="30"/>
      <c r="DTF617" s="30"/>
      <c r="DTG617" s="30"/>
      <c r="DTH617" s="30"/>
      <c r="DTI617" s="30"/>
      <c r="DTJ617" s="30"/>
      <c r="DTK617" s="30"/>
      <c r="DTL617" s="30"/>
      <c r="DTM617" s="30"/>
      <c r="DTN617" s="30"/>
      <c r="DTO617" s="30"/>
      <c r="DTP617" s="30"/>
      <c r="DTQ617" s="30"/>
      <c r="DTR617" s="30"/>
      <c r="DTS617" s="30"/>
      <c r="DTT617" s="30"/>
      <c r="DTU617" s="30"/>
      <c r="DTV617" s="30"/>
      <c r="DTW617" s="30"/>
      <c r="DTX617" s="30"/>
      <c r="DTY617" s="30"/>
      <c r="DTZ617" s="30"/>
      <c r="DUA617" s="30"/>
      <c r="DUB617" s="30"/>
      <c r="DUC617" s="30"/>
      <c r="DUD617" s="30"/>
      <c r="DUE617" s="30"/>
      <c r="DUF617" s="30"/>
      <c r="DUG617" s="30"/>
      <c r="DUH617" s="30"/>
      <c r="DUI617" s="30"/>
      <c r="DUJ617" s="30"/>
      <c r="DUK617" s="30"/>
      <c r="DUL617" s="30"/>
      <c r="DUM617" s="30"/>
      <c r="DUN617" s="30"/>
      <c r="DUO617" s="30"/>
      <c r="DUP617" s="30"/>
      <c r="DUQ617" s="30"/>
      <c r="DUR617" s="30"/>
      <c r="DUS617" s="30"/>
      <c r="DUT617" s="30"/>
      <c r="DUU617" s="30"/>
      <c r="DUV617" s="30"/>
      <c r="DUW617" s="30"/>
      <c r="DUX617" s="30"/>
      <c r="DUY617" s="30"/>
      <c r="DUZ617" s="30"/>
      <c r="DVA617" s="30"/>
      <c r="DVB617" s="30"/>
      <c r="DVC617" s="30"/>
      <c r="DVD617" s="30"/>
      <c r="DVE617" s="30"/>
      <c r="DVF617" s="30"/>
      <c r="DVG617" s="30"/>
      <c r="DVH617" s="30"/>
      <c r="DVI617" s="30"/>
      <c r="DVJ617" s="30"/>
      <c r="DVK617" s="30"/>
      <c r="DVL617" s="30"/>
      <c r="DVM617" s="30"/>
      <c r="DVN617" s="30"/>
      <c r="DVO617" s="30"/>
      <c r="DVP617" s="30"/>
      <c r="DVQ617" s="30"/>
      <c r="DVR617" s="30"/>
      <c r="DVS617" s="30"/>
      <c r="DVT617" s="30"/>
      <c r="DVU617" s="30"/>
      <c r="DVV617" s="30"/>
      <c r="DVW617" s="30"/>
      <c r="DVX617" s="30"/>
      <c r="DVY617" s="30"/>
      <c r="DVZ617" s="30"/>
      <c r="DWA617" s="30"/>
      <c r="DWB617" s="30"/>
      <c r="DWC617" s="30"/>
      <c r="DWD617" s="30"/>
      <c r="DWE617" s="30"/>
      <c r="DWF617" s="30"/>
      <c r="DWG617" s="30"/>
      <c r="DWH617" s="30"/>
      <c r="DWI617" s="30"/>
      <c r="DWJ617" s="30"/>
      <c r="DWK617" s="30"/>
      <c r="DWL617" s="30"/>
      <c r="DWM617" s="30"/>
      <c r="DWN617" s="30"/>
      <c r="DWO617" s="30"/>
      <c r="DWP617" s="30"/>
      <c r="DWQ617" s="30"/>
      <c r="DWR617" s="30"/>
      <c r="DWS617" s="30"/>
      <c r="DWT617" s="30"/>
      <c r="DWU617" s="30"/>
      <c r="DWV617" s="30"/>
      <c r="DWW617" s="30"/>
      <c r="DWX617" s="30"/>
      <c r="DWY617" s="30"/>
      <c r="DWZ617" s="30"/>
      <c r="DXA617" s="30"/>
      <c r="DXB617" s="30"/>
      <c r="DXC617" s="30"/>
      <c r="DXD617" s="30"/>
      <c r="DXE617" s="30"/>
      <c r="DXF617" s="30"/>
      <c r="DXG617" s="30"/>
      <c r="DXH617" s="30"/>
      <c r="DXI617" s="30"/>
      <c r="DXJ617" s="30"/>
      <c r="DXK617" s="30"/>
      <c r="DXL617" s="30"/>
      <c r="DXM617" s="30"/>
      <c r="DXN617" s="30"/>
      <c r="DXO617" s="30"/>
      <c r="DXP617" s="30"/>
      <c r="DXQ617" s="30"/>
      <c r="DXR617" s="30"/>
      <c r="DXS617" s="30"/>
      <c r="DXT617" s="30"/>
      <c r="DXU617" s="30"/>
      <c r="DXV617" s="30"/>
      <c r="DXW617" s="30"/>
      <c r="DXX617" s="30"/>
      <c r="DXY617" s="30"/>
      <c r="DXZ617" s="30"/>
      <c r="DYA617" s="30"/>
      <c r="DYB617" s="30"/>
      <c r="DYC617" s="30"/>
      <c r="DYD617" s="30"/>
      <c r="DYE617" s="30"/>
      <c r="DYF617" s="30"/>
      <c r="DYG617" s="30"/>
      <c r="DYH617" s="30"/>
      <c r="DYI617" s="30"/>
      <c r="DYJ617" s="30"/>
      <c r="DYK617" s="30"/>
      <c r="DYL617" s="30"/>
      <c r="DYM617" s="30"/>
      <c r="DYN617" s="30"/>
      <c r="DYO617" s="30"/>
      <c r="DYP617" s="30"/>
      <c r="DYQ617" s="30"/>
      <c r="DYR617" s="30"/>
      <c r="DYS617" s="30"/>
      <c r="DYT617" s="30"/>
      <c r="DYU617" s="30"/>
      <c r="DYV617" s="30"/>
      <c r="DYW617" s="30"/>
      <c r="DYX617" s="30"/>
      <c r="DYY617" s="30"/>
      <c r="DYZ617" s="30"/>
      <c r="DZA617" s="30"/>
      <c r="DZB617" s="30"/>
      <c r="DZC617" s="30"/>
      <c r="DZD617" s="30"/>
      <c r="DZE617" s="30"/>
      <c r="DZF617" s="30"/>
      <c r="DZG617" s="30"/>
      <c r="DZH617" s="30"/>
      <c r="DZI617" s="30"/>
      <c r="DZJ617" s="30"/>
      <c r="DZK617" s="30"/>
      <c r="DZL617" s="30"/>
      <c r="DZM617" s="30"/>
      <c r="DZN617" s="30"/>
      <c r="DZO617" s="30"/>
      <c r="DZP617" s="30"/>
      <c r="DZQ617" s="30"/>
      <c r="DZR617" s="30"/>
      <c r="DZS617" s="30"/>
      <c r="DZT617" s="30"/>
      <c r="DZU617" s="30"/>
      <c r="DZV617" s="30"/>
      <c r="DZW617" s="30"/>
      <c r="DZX617" s="30"/>
      <c r="DZY617" s="30"/>
      <c r="DZZ617" s="30"/>
      <c r="EAA617" s="30"/>
      <c r="EAB617" s="30"/>
      <c r="EAC617" s="30"/>
      <c r="EAD617" s="30"/>
      <c r="EAE617" s="30"/>
      <c r="EAF617" s="30"/>
      <c r="EAG617" s="30"/>
      <c r="EAH617" s="30"/>
      <c r="EAI617" s="30"/>
      <c r="EAJ617" s="30"/>
      <c r="EAK617" s="30"/>
      <c r="EAL617" s="30"/>
      <c r="EAM617" s="30"/>
      <c r="EAN617" s="30"/>
      <c r="EAO617" s="30"/>
      <c r="EAP617" s="30"/>
      <c r="EAQ617" s="30"/>
      <c r="EAR617" s="30"/>
      <c r="EAS617" s="30"/>
      <c r="EAT617" s="30"/>
      <c r="EAU617" s="30"/>
      <c r="EAV617" s="30"/>
      <c r="EAW617" s="30"/>
      <c r="EAX617" s="30"/>
      <c r="EAY617" s="30"/>
      <c r="EAZ617" s="30"/>
      <c r="EBA617" s="30"/>
      <c r="EBB617" s="30"/>
      <c r="EBC617" s="30"/>
      <c r="EBD617" s="30"/>
      <c r="EBE617" s="30"/>
      <c r="EBF617" s="30"/>
      <c r="EBG617" s="30"/>
      <c r="EBH617" s="30"/>
      <c r="EBI617" s="30"/>
      <c r="EBJ617" s="30"/>
      <c r="EBK617" s="30"/>
      <c r="EBL617" s="30"/>
      <c r="EBM617" s="30"/>
      <c r="EBN617" s="30"/>
      <c r="EBO617" s="30"/>
      <c r="EBP617" s="30"/>
      <c r="EBQ617" s="30"/>
      <c r="EBR617" s="30"/>
      <c r="EBS617" s="30"/>
      <c r="EBT617" s="30"/>
      <c r="EBU617" s="30"/>
      <c r="EBV617" s="30"/>
      <c r="EBW617" s="30"/>
      <c r="EBX617" s="30"/>
      <c r="EBY617" s="30"/>
      <c r="EBZ617" s="30"/>
      <c r="ECA617" s="30"/>
      <c r="ECB617" s="30"/>
      <c r="ECC617" s="30"/>
      <c r="ECD617" s="30"/>
      <c r="ECE617" s="30"/>
      <c r="ECF617" s="30"/>
      <c r="ECG617" s="30"/>
      <c r="ECH617" s="30"/>
      <c r="ECI617" s="30"/>
      <c r="ECJ617" s="30"/>
      <c r="ECK617" s="30"/>
      <c r="ECL617" s="30"/>
      <c r="ECM617" s="30"/>
      <c r="ECN617" s="30"/>
      <c r="ECO617" s="30"/>
      <c r="ECP617" s="30"/>
      <c r="ECQ617" s="30"/>
      <c r="ECR617" s="30"/>
      <c r="ECS617" s="30"/>
      <c r="ECT617" s="30"/>
      <c r="ECU617" s="30"/>
      <c r="ECV617" s="30"/>
      <c r="ECW617" s="30"/>
      <c r="ECX617" s="30"/>
      <c r="ECY617" s="30"/>
      <c r="ECZ617" s="30"/>
      <c r="EDA617" s="30"/>
      <c r="EDB617" s="30"/>
      <c r="EDC617" s="30"/>
      <c r="EDD617" s="30"/>
      <c r="EDE617" s="30"/>
      <c r="EDF617" s="30"/>
      <c r="EDG617" s="30"/>
      <c r="EDH617" s="30"/>
      <c r="EDI617" s="30"/>
      <c r="EDJ617" s="30"/>
      <c r="EDK617" s="30"/>
      <c r="EDL617" s="30"/>
      <c r="EDM617" s="30"/>
      <c r="EDN617" s="30"/>
      <c r="EDO617" s="30"/>
      <c r="EDP617" s="30"/>
      <c r="EDQ617" s="30"/>
      <c r="EDR617" s="30"/>
      <c r="EDS617" s="30"/>
      <c r="EDT617" s="30"/>
      <c r="EDU617" s="30"/>
      <c r="EDV617" s="30"/>
      <c r="EDW617" s="30"/>
      <c r="EDX617" s="30"/>
      <c r="EDY617" s="30"/>
      <c r="EDZ617" s="30"/>
      <c r="EEA617" s="30"/>
      <c r="EEB617" s="30"/>
      <c r="EEC617" s="30"/>
      <c r="EED617" s="30"/>
      <c r="EEE617" s="30"/>
      <c r="EEF617" s="30"/>
      <c r="EEG617" s="30"/>
      <c r="EEH617" s="30"/>
      <c r="EEI617" s="30"/>
      <c r="EEJ617" s="30"/>
      <c r="EEK617" s="30"/>
      <c r="EEL617" s="30"/>
      <c r="EEM617" s="30"/>
      <c r="EEN617" s="30"/>
      <c r="EEO617" s="30"/>
      <c r="EEP617" s="30"/>
      <c r="EEQ617" s="30"/>
      <c r="EER617" s="30"/>
      <c r="EES617" s="30"/>
      <c r="EET617" s="30"/>
      <c r="EEU617" s="30"/>
      <c r="EEV617" s="30"/>
      <c r="EEW617" s="30"/>
      <c r="EEX617" s="30"/>
      <c r="EEY617" s="30"/>
      <c r="EEZ617" s="30"/>
      <c r="EFA617" s="30"/>
      <c r="EFB617" s="30"/>
      <c r="EFC617" s="30"/>
      <c r="EFD617" s="30"/>
      <c r="EFE617" s="30"/>
      <c r="EFF617" s="30"/>
      <c r="EFG617" s="30"/>
      <c r="EFH617" s="30"/>
      <c r="EFI617" s="30"/>
      <c r="EFJ617" s="30"/>
      <c r="EFK617" s="30"/>
      <c r="EFL617" s="30"/>
      <c r="EFM617" s="30"/>
      <c r="EFN617" s="30"/>
      <c r="EFO617" s="30"/>
      <c r="EFP617" s="30"/>
      <c r="EFQ617" s="30"/>
      <c r="EFR617" s="30"/>
      <c r="EFS617" s="30"/>
      <c r="EFT617" s="30"/>
      <c r="EFU617" s="30"/>
      <c r="EFV617" s="30"/>
      <c r="EFW617" s="30"/>
      <c r="EFX617" s="30"/>
      <c r="EFY617" s="30"/>
      <c r="EFZ617" s="30"/>
      <c r="EGA617" s="30"/>
      <c r="EGB617" s="30"/>
      <c r="EGC617" s="30"/>
      <c r="EGD617" s="30"/>
      <c r="EGE617" s="30"/>
      <c r="EGF617" s="30"/>
      <c r="EGG617" s="30"/>
      <c r="EGH617" s="30"/>
      <c r="EGI617" s="30"/>
      <c r="EGJ617" s="30"/>
      <c r="EGK617" s="30"/>
      <c r="EGL617" s="30"/>
      <c r="EGM617" s="30"/>
      <c r="EGN617" s="30"/>
      <c r="EGO617" s="30"/>
      <c r="EGP617" s="30"/>
      <c r="EGQ617" s="30"/>
      <c r="EGR617" s="30"/>
      <c r="EGS617" s="30"/>
      <c r="EGT617" s="30"/>
      <c r="EGU617" s="30"/>
      <c r="EGV617" s="30"/>
      <c r="EGW617" s="30"/>
      <c r="EGX617" s="30"/>
      <c r="EGY617" s="30"/>
      <c r="EGZ617" s="30"/>
      <c r="EHA617" s="30"/>
      <c r="EHB617" s="30"/>
      <c r="EHC617" s="30"/>
      <c r="EHD617" s="30"/>
      <c r="EHE617" s="30"/>
      <c r="EHF617" s="30"/>
      <c r="EHG617" s="30"/>
      <c r="EHH617" s="30"/>
      <c r="EHI617" s="30"/>
      <c r="EHJ617" s="30"/>
      <c r="EHK617" s="30"/>
      <c r="EHL617" s="30"/>
      <c r="EHM617" s="30"/>
      <c r="EHN617" s="30"/>
      <c r="EHO617" s="30"/>
      <c r="EHP617" s="30"/>
      <c r="EHQ617" s="30"/>
      <c r="EHR617" s="30"/>
      <c r="EHS617" s="30"/>
      <c r="EHT617" s="30"/>
      <c r="EHU617" s="30"/>
      <c r="EHV617" s="30"/>
      <c r="EHW617" s="30"/>
      <c r="EHX617" s="30"/>
      <c r="EHY617" s="30"/>
      <c r="EHZ617" s="30"/>
      <c r="EIA617" s="30"/>
      <c r="EIB617" s="30"/>
      <c r="EIC617" s="30"/>
      <c r="EID617" s="30"/>
      <c r="EIE617" s="30"/>
      <c r="EIF617" s="30"/>
      <c r="EIG617" s="30"/>
      <c r="EIH617" s="30"/>
      <c r="EII617" s="30"/>
      <c r="EIJ617" s="30"/>
      <c r="EIK617" s="30"/>
      <c r="EIL617" s="30"/>
      <c r="EIM617" s="30"/>
      <c r="EIN617" s="30"/>
      <c r="EIO617" s="30"/>
      <c r="EIP617" s="30"/>
      <c r="EIQ617" s="30"/>
      <c r="EIR617" s="30"/>
      <c r="EIS617" s="30"/>
      <c r="EIT617" s="30"/>
      <c r="EIU617" s="30"/>
      <c r="EIV617" s="30"/>
      <c r="EIW617" s="30"/>
      <c r="EIX617" s="30"/>
      <c r="EIY617" s="30"/>
      <c r="EIZ617" s="30"/>
      <c r="EJA617" s="30"/>
      <c r="EJB617" s="30"/>
      <c r="EJC617" s="30"/>
      <c r="EJD617" s="30"/>
      <c r="EJE617" s="30"/>
      <c r="EJF617" s="30"/>
      <c r="EJG617" s="30"/>
      <c r="EJH617" s="30"/>
      <c r="EJI617" s="30"/>
      <c r="EJJ617" s="30"/>
      <c r="EJK617" s="30"/>
      <c r="EJL617" s="30"/>
      <c r="EJM617" s="30"/>
      <c r="EJN617" s="30"/>
      <c r="EJO617" s="30"/>
      <c r="EJP617" s="30"/>
      <c r="EJQ617" s="30"/>
      <c r="EJR617" s="30"/>
      <c r="EJS617" s="30"/>
      <c r="EJT617" s="30"/>
      <c r="EJU617" s="30"/>
      <c r="EJV617" s="30"/>
      <c r="EJW617" s="30"/>
      <c r="EJX617" s="30"/>
      <c r="EJY617" s="30"/>
      <c r="EJZ617" s="30"/>
      <c r="EKA617" s="30"/>
      <c r="EKB617" s="30"/>
      <c r="EKC617" s="30"/>
      <c r="EKD617" s="30"/>
      <c r="EKE617" s="30"/>
      <c r="EKF617" s="30"/>
      <c r="EKG617" s="30"/>
      <c r="EKH617" s="30"/>
      <c r="EKI617" s="30"/>
      <c r="EKJ617" s="30"/>
      <c r="EKK617" s="30"/>
      <c r="EKL617" s="30"/>
      <c r="EKM617" s="30"/>
      <c r="EKN617" s="30"/>
      <c r="EKO617" s="30"/>
      <c r="EKP617" s="30"/>
      <c r="EKQ617" s="30"/>
      <c r="EKR617" s="30"/>
      <c r="EKS617" s="30"/>
      <c r="EKT617" s="30"/>
      <c r="EKU617" s="30"/>
      <c r="EKV617" s="30"/>
      <c r="EKW617" s="30"/>
      <c r="EKX617" s="30"/>
      <c r="EKY617" s="30"/>
      <c r="EKZ617" s="30"/>
      <c r="ELA617" s="30"/>
      <c r="ELB617" s="30"/>
      <c r="ELC617" s="30"/>
      <c r="ELD617" s="30"/>
      <c r="ELE617" s="30"/>
      <c r="ELF617" s="30"/>
      <c r="ELG617" s="30"/>
      <c r="ELH617" s="30"/>
      <c r="ELI617" s="30"/>
      <c r="ELJ617" s="30"/>
      <c r="ELK617" s="30"/>
      <c r="ELL617" s="30"/>
      <c r="ELM617" s="30"/>
      <c r="ELN617" s="30"/>
      <c r="ELO617" s="30"/>
      <c r="ELP617" s="30"/>
      <c r="ELQ617" s="30"/>
      <c r="ELR617" s="30"/>
      <c r="ELS617" s="30"/>
      <c r="ELT617" s="30"/>
      <c r="ELU617" s="30"/>
      <c r="ELV617" s="30"/>
      <c r="ELW617" s="30"/>
      <c r="ELX617" s="30"/>
      <c r="ELY617" s="30"/>
      <c r="ELZ617" s="30"/>
      <c r="EMA617" s="30"/>
      <c r="EMB617" s="30"/>
      <c r="EMC617" s="30"/>
      <c r="EMD617" s="30"/>
      <c r="EME617" s="30"/>
      <c r="EMF617" s="30"/>
      <c r="EMG617" s="30"/>
      <c r="EMH617" s="30"/>
      <c r="EMI617" s="30"/>
      <c r="EMJ617" s="30"/>
      <c r="EMK617" s="30"/>
      <c r="EML617" s="30"/>
      <c r="EMM617" s="30"/>
      <c r="EMN617" s="30"/>
      <c r="EMO617" s="30"/>
      <c r="EMP617" s="30"/>
      <c r="EMQ617" s="30"/>
      <c r="EMR617" s="30"/>
      <c r="EMS617" s="30"/>
      <c r="EMT617" s="30"/>
      <c r="EMU617" s="30"/>
      <c r="EMV617" s="30"/>
      <c r="EMW617" s="30"/>
      <c r="EMX617" s="30"/>
      <c r="EMY617" s="30"/>
      <c r="EMZ617" s="30"/>
      <c r="ENA617" s="30"/>
      <c r="ENB617" s="30"/>
      <c r="ENC617" s="30"/>
      <c r="END617" s="30"/>
      <c r="ENE617" s="30"/>
      <c r="ENF617" s="30"/>
      <c r="ENG617" s="30"/>
      <c r="ENH617" s="30"/>
      <c r="ENI617" s="30"/>
      <c r="ENJ617" s="30"/>
      <c r="ENK617" s="30"/>
      <c r="ENL617" s="30"/>
      <c r="ENM617" s="30"/>
      <c r="ENN617" s="30"/>
      <c r="ENO617" s="30"/>
      <c r="ENP617" s="30"/>
      <c r="ENQ617" s="30"/>
      <c r="ENR617" s="30"/>
      <c r="ENS617" s="30"/>
      <c r="ENT617" s="30"/>
      <c r="ENU617" s="30"/>
      <c r="ENV617" s="30"/>
      <c r="ENW617" s="30"/>
      <c r="ENX617" s="30"/>
      <c r="ENY617" s="30"/>
      <c r="ENZ617" s="30"/>
      <c r="EOA617" s="30"/>
      <c r="EOB617" s="30"/>
      <c r="EOC617" s="30"/>
      <c r="EOD617" s="30"/>
      <c r="EOE617" s="30"/>
      <c r="EOF617" s="30"/>
      <c r="EOG617" s="30"/>
      <c r="EOH617" s="30"/>
      <c r="EOI617" s="30"/>
      <c r="EOJ617" s="30"/>
      <c r="EOK617" s="30"/>
      <c r="EOL617" s="30"/>
      <c r="EOM617" s="30"/>
      <c r="EON617" s="30"/>
      <c r="EOO617" s="30"/>
      <c r="EOP617" s="30"/>
      <c r="EOQ617" s="30"/>
      <c r="EOR617" s="30"/>
      <c r="EOS617" s="30"/>
      <c r="EOT617" s="30"/>
      <c r="EOU617" s="30"/>
      <c r="EOV617" s="30"/>
      <c r="EOW617" s="30"/>
      <c r="EOX617" s="30"/>
      <c r="EOY617" s="30"/>
      <c r="EOZ617" s="30"/>
      <c r="EPA617" s="30"/>
      <c r="EPB617" s="30"/>
      <c r="EPC617" s="30"/>
      <c r="EPD617" s="30"/>
      <c r="EPE617" s="30"/>
      <c r="EPF617" s="30"/>
      <c r="EPG617" s="30"/>
      <c r="EPH617" s="30"/>
      <c r="EPI617" s="30"/>
      <c r="EPJ617" s="30"/>
      <c r="EPK617" s="30"/>
      <c r="EPL617" s="30"/>
      <c r="EPM617" s="30"/>
      <c r="EPN617" s="30"/>
      <c r="EPO617" s="30"/>
      <c r="EPP617" s="30"/>
      <c r="EPQ617" s="30"/>
      <c r="EPR617" s="30"/>
      <c r="EPS617" s="30"/>
      <c r="EPT617" s="30"/>
      <c r="EPU617" s="30"/>
      <c r="EPV617" s="30"/>
      <c r="EPW617" s="30"/>
      <c r="EPX617" s="30"/>
      <c r="EPY617" s="30"/>
      <c r="EPZ617" s="30"/>
      <c r="EQA617" s="30"/>
      <c r="EQB617" s="30"/>
      <c r="EQC617" s="30"/>
      <c r="EQD617" s="30"/>
      <c r="EQE617" s="30"/>
      <c r="EQF617" s="30"/>
      <c r="EQG617" s="30"/>
      <c r="EQH617" s="30"/>
      <c r="EQI617" s="30"/>
      <c r="EQJ617" s="30"/>
      <c r="EQK617" s="30"/>
      <c r="EQL617" s="30"/>
      <c r="EQM617" s="30"/>
      <c r="EQN617" s="30"/>
      <c r="EQO617" s="30"/>
      <c r="EQP617" s="30"/>
      <c r="EQQ617" s="30"/>
      <c r="EQR617" s="30"/>
      <c r="EQS617" s="30"/>
      <c r="EQT617" s="30"/>
      <c r="EQU617" s="30"/>
      <c r="EQV617" s="30"/>
      <c r="EQW617" s="30"/>
      <c r="EQX617" s="30"/>
      <c r="EQY617" s="30"/>
      <c r="EQZ617" s="30"/>
      <c r="ERA617" s="30"/>
      <c r="ERB617" s="30"/>
      <c r="ERC617" s="30"/>
      <c r="ERD617" s="30"/>
      <c r="ERE617" s="30"/>
      <c r="ERF617" s="30"/>
      <c r="ERG617" s="30"/>
      <c r="ERH617" s="30"/>
      <c r="ERI617" s="30"/>
      <c r="ERJ617" s="30"/>
      <c r="ERK617" s="30"/>
      <c r="ERL617" s="30"/>
      <c r="ERM617" s="30"/>
      <c r="ERN617" s="30"/>
      <c r="ERO617" s="30"/>
      <c r="ERP617" s="30"/>
      <c r="ERQ617" s="30"/>
      <c r="ERR617" s="30"/>
      <c r="ERS617" s="30"/>
      <c r="ERT617" s="30"/>
      <c r="ERU617" s="30"/>
      <c r="ERV617" s="30"/>
      <c r="ERW617" s="30"/>
      <c r="ERX617" s="30"/>
      <c r="ERY617" s="30"/>
      <c r="ERZ617" s="30"/>
      <c r="ESA617" s="30"/>
      <c r="ESB617" s="30"/>
      <c r="ESC617" s="30"/>
      <c r="ESD617" s="30"/>
      <c r="ESE617" s="30"/>
      <c r="ESF617" s="30"/>
      <c r="ESG617" s="30"/>
      <c r="ESH617" s="30"/>
      <c r="ESI617" s="30"/>
      <c r="ESJ617" s="30"/>
      <c r="ESK617" s="30"/>
      <c r="ESL617" s="30"/>
      <c r="ESM617" s="30"/>
      <c r="ESN617" s="30"/>
      <c r="ESO617" s="30"/>
      <c r="ESP617" s="30"/>
      <c r="ESQ617" s="30"/>
      <c r="ESR617" s="30"/>
      <c r="ESS617" s="30"/>
      <c r="EST617" s="30"/>
      <c r="ESU617" s="30"/>
      <c r="ESV617" s="30"/>
      <c r="ESW617" s="30"/>
      <c r="ESX617" s="30"/>
      <c r="ESY617" s="30"/>
      <c r="ESZ617" s="30"/>
      <c r="ETA617" s="30"/>
      <c r="ETB617" s="30"/>
      <c r="ETC617" s="30"/>
      <c r="ETD617" s="30"/>
      <c r="ETE617" s="30"/>
      <c r="ETF617" s="30"/>
      <c r="ETG617" s="30"/>
      <c r="ETH617" s="30"/>
      <c r="ETI617" s="30"/>
      <c r="ETJ617" s="30"/>
      <c r="ETK617" s="30"/>
      <c r="ETL617" s="30"/>
      <c r="ETM617" s="30"/>
      <c r="ETN617" s="30"/>
      <c r="ETO617" s="30"/>
      <c r="ETP617" s="30"/>
      <c r="ETQ617" s="30"/>
      <c r="ETR617" s="30"/>
      <c r="ETS617" s="30"/>
      <c r="ETT617" s="30"/>
      <c r="ETU617" s="30"/>
      <c r="ETV617" s="30"/>
      <c r="ETW617" s="30"/>
      <c r="ETX617" s="30"/>
      <c r="ETY617" s="30"/>
      <c r="ETZ617" s="30"/>
      <c r="EUA617" s="30"/>
      <c r="EUB617" s="30"/>
      <c r="EUC617" s="30"/>
      <c r="EUD617" s="30"/>
      <c r="EUE617" s="30"/>
      <c r="EUF617" s="30"/>
      <c r="EUG617" s="30"/>
      <c r="EUH617" s="30"/>
      <c r="EUI617" s="30"/>
      <c r="EUJ617" s="30"/>
      <c r="EUK617" s="30"/>
      <c r="EUL617" s="30"/>
      <c r="EUM617" s="30"/>
      <c r="EUN617" s="30"/>
      <c r="EUO617" s="30"/>
      <c r="EUP617" s="30"/>
      <c r="EUQ617" s="30"/>
      <c r="EUR617" s="30"/>
      <c r="EUS617" s="30"/>
      <c r="EUT617" s="30"/>
      <c r="EUU617" s="30"/>
      <c r="EUV617" s="30"/>
      <c r="EUW617" s="30"/>
      <c r="EUX617" s="30"/>
      <c r="EUY617" s="30"/>
      <c r="EUZ617" s="30"/>
      <c r="EVA617" s="30"/>
      <c r="EVB617" s="30"/>
      <c r="EVC617" s="30"/>
      <c r="EVD617" s="30"/>
      <c r="EVE617" s="30"/>
      <c r="EVF617" s="30"/>
      <c r="EVG617" s="30"/>
      <c r="EVH617" s="30"/>
      <c r="EVI617" s="30"/>
      <c r="EVJ617" s="30"/>
      <c r="EVK617" s="30"/>
      <c r="EVL617" s="30"/>
      <c r="EVM617" s="30"/>
      <c r="EVN617" s="30"/>
      <c r="EVO617" s="30"/>
      <c r="EVP617" s="30"/>
      <c r="EVQ617" s="30"/>
      <c r="EVR617" s="30"/>
      <c r="EVS617" s="30"/>
      <c r="EVT617" s="30"/>
      <c r="EVU617" s="30"/>
      <c r="EVV617" s="30"/>
      <c r="EVW617" s="30"/>
      <c r="EVX617" s="30"/>
      <c r="EVY617" s="30"/>
      <c r="EVZ617" s="30"/>
      <c r="EWA617" s="30"/>
      <c r="EWB617" s="30"/>
      <c r="EWC617" s="30"/>
      <c r="EWD617" s="30"/>
      <c r="EWE617" s="30"/>
      <c r="EWF617" s="30"/>
      <c r="EWG617" s="30"/>
      <c r="EWH617" s="30"/>
      <c r="EWI617" s="30"/>
      <c r="EWJ617" s="30"/>
      <c r="EWK617" s="30"/>
      <c r="EWL617" s="30"/>
      <c r="EWM617" s="30"/>
      <c r="EWN617" s="30"/>
      <c r="EWO617" s="30"/>
      <c r="EWP617" s="30"/>
      <c r="EWQ617" s="30"/>
      <c r="EWR617" s="30"/>
      <c r="EWS617" s="30"/>
      <c r="EWT617" s="30"/>
      <c r="EWU617" s="30"/>
      <c r="EWV617" s="30"/>
      <c r="EWW617" s="30"/>
      <c r="EWX617" s="30"/>
      <c r="EWY617" s="30"/>
      <c r="EWZ617" s="30"/>
      <c r="EXA617" s="30"/>
      <c r="EXB617" s="30"/>
      <c r="EXC617" s="30"/>
      <c r="EXD617" s="30"/>
      <c r="EXE617" s="30"/>
      <c r="EXF617" s="30"/>
      <c r="EXG617" s="30"/>
      <c r="EXH617" s="30"/>
      <c r="EXI617" s="30"/>
      <c r="EXJ617" s="30"/>
      <c r="EXK617" s="30"/>
      <c r="EXL617" s="30"/>
      <c r="EXM617" s="30"/>
      <c r="EXN617" s="30"/>
      <c r="EXO617" s="30"/>
      <c r="EXP617" s="30"/>
      <c r="EXQ617" s="30"/>
      <c r="EXR617" s="30"/>
      <c r="EXS617" s="30"/>
      <c r="EXT617" s="30"/>
      <c r="EXU617" s="30"/>
      <c r="EXV617" s="30"/>
      <c r="EXW617" s="30"/>
      <c r="EXX617" s="30"/>
      <c r="EXY617" s="30"/>
      <c r="EXZ617" s="30"/>
      <c r="EYA617" s="30"/>
      <c r="EYB617" s="30"/>
      <c r="EYC617" s="30"/>
      <c r="EYD617" s="30"/>
      <c r="EYE617" s="30"/>
      <c r="EYF617" s="30"/>
      <c r="EYG617" s="30"/>
      <c r="EYH617" s="30"/>
      <c r="EYI617" s="30"/>
      <c r="EYJ617" s="30"/>
      <c r="EYK617" s="30"/>
      <c r="EYL617" s="30"/>
      <c r="EYM617" s="30"/>
      <c r="EYN617" s="30"/>
      <c r="EYO617" s="30"/>
      <c r="EYP617" s="30"/>
      <c r="EYQ617" s="30"/>
      <c r="EYR617" s="30"/>
      <c r="EYS617" s="30"/>
      <c r="EYT617" s="30"/>
      <c r="EYU617" s="30"/>
      <c r="EYV617" s="30"/>
      <c r="EYW617" s="30"/>
      <c r="EYX617" s="30"/>
      <c r="EYY617" s="30"/>
      <c r="EYZ617" s="30"/>
      <c r="EZA617" s="30"/>
      <c r="EZB617" s="30"/>
      <c r="EZC617" s="30"/>
      <c r="EZD617" s="30"/>
      <c r="EZE617" s="30"/>
      <c r="EZF617" s="30"/>
      <c r="EZG617" s="30"/>
      <c r="EZH617" s="30"/>
      <c r="EZI617" s="30"/>
      <c r="EZJ617" s="30"/>
      <c r="EZK617" s="30"/>
      <c r="EZL617" s="30"/>
      <c r="EZM617" s="30"/>
      <c r="EZN617" s="30"/>
      <c r="EZO617" s="30"/>
      <c r="EZP617" s="30"/>
      <c r="EZQ617" s="30"/>
      <c r="EZR617" s="30"/>
      <c r="EZS617" s="30"/>
      <c r="EZT617" s="30"/>
      <c r="EZU617" s="30"/>
      <c r="EZV617" s="30"/>
      <c r="EZW617" s="30"/>
      <c r="EZX617" s="30"/>
      <c r="EZY617" s="30"/>
      <c r="EZZ617" s="30"/>
      <c r="FAA617" s="30"/>
      <c r="FAB617" s="30"/>
      <c r="FAC617" s="30"/>
      <c r="FAD617" s="30"/>
      <c r="FAE617" s="30"/>
      <c r="FAF617" s="30"/>
      <c r="FAG617" s="30"/>
      <c r="FAH617" s="30"/>
      <c r="FAI617" s="30"/>
      <c r="FAJ617" s="30"/>
      <c r="FAK617" s="30"/>
      <c r="FAL617" s="30"/>
      <c r="FAM617" s="30"/>
      <c r="FAN617" s="30"/>
      <c r="FAO617" s="30"/>
      <c r="FAP617" s="30"/>
      <c r="FAQ617" s="30"/>
      <c r="FAR617" s="30"/>
      <c r="FAS617" s="30"/>
      <c r="FAT617" s="30"/>
      <c r="FAU617" s="30"/>
      <c r="FAV617" s="30"/>
      <c r="FAW617" s="30"/>
      <c r="FAX617" s="30"/>
      <c r="FAY617" s="30"/>
      <c r="FAZ617" s="30"/>
      <c r="FBA617" s="30"/>
      <c r="FBB617" s="30"/>
      <c r="FBC617" s="30"/>
      <c r="FBD617" s="30"/>
      <c r="FBE617" s="30"/>
      <c r="FBF617" s="30"/>
      <c r="FBG617" s="30"/>
      <c r="FBH617" s="30"/>
      <c r="FBI617" s="30"/>
      <c r="FBJ617" s="30"/>
      <c r="FBK617" s="30"/>
      <c r="FBL617" s="30"/>
      <c r="FBM617" s="30"/>
      <c r="FBN617" s="30"/>
      <c r="FBO617" s="30"/>
      <c r="FBP617" s="30"/>
      <c r="FBQ617" s="30"/>
      <c r="FBR617" s="30"/>
      <c r="FBS617" s="30"/>
      <c r="FBT617" s="30"/>
      <c r="FBU617" s="30"/>
      <c r="FBV617" s="30"/>
      <c r="FBW617" s="30"/>
      <c r="FBX617" s="30"/>
      <c r="FBY617" s="30"/>
      <c r="FBZ617" s="30"/>
      <c r="FCA617" s="30"/>
      <c r="FCB617" s="30"/>
      <c r="FCC617" s="30"/>
      <c r="FCD617" s="30"/>
      <c r="FCE617" s="30"/>
      <c r="FCF617" s="30"/>
      <c r="FCG617" s="30"/>
      <c r="FCH617" s="30"/>
      <c r="FCI617" s="30"/>
      <c r="FCJ617" s="30"/>
      <c r="FCK617" s="30"/>
      <c r="FCL617" s="30"/>
      <c r="FCM617" s="30"/>
      <c r="FCN617" s="30"/>
      <c r="FCO617" s="30"/>
      <c r="FCP617" s="30"/>
      <c r="FCQ617" s="30"/>
      <c r="FCR617" s="30"/>
      <c r="FCS617" s="30"/>
      <c r="FCT617" s="30"/>
      <c r="FCU617" s="30"/>
      <c r="FCV617" s="30"/>
      <c r="FCW617" s="30"/>
      <c r="FCX617" s="30"/>
      <c r="FCY617" s="30"/>
      <c r="FCZ617" s="30"/>
      <c r="FDA617" s="30"/>
      <c r="FDB617" s="30"/>
      <c r="FDC617" s="30"/>
      <c r="FDD617" s="30"/>
      <c r="FDE617" s="30"/>
      <c r="FDF617" s="30"/>
      <c r="FDG617" s="30"/>
      <c r="FDH617" s="30"/>
      <c r="FDI617" s="30"/>
      <c r="FDJ617" s="30"/>
      <c r="FDK617" s="30"/>
      <c r="FDL617" s="30"/>
      <c r="FDM617" s="30"/>
      <c r="FDN617" s="30"/>
      <c r="FDO617" s="30"/>
      <c r="FDP617" s="30"/>
      <c r="FDQ617" s="30"/>
      <c r="FDR617" s="30"/>
      <c r="FDS617" s="30"/>
      <c r="FDT617" s="30"/>
      <c r="FDU617" s="30"/>
      <c r="FDV617" s="30"/>
      <c r="FDW617" s="30"/>
      <c r="FDX617" s="30"/>
      <c r="FDY617" s="30"/>
      <c r="FDZ617" s="30"/>
      <c r="FEA617" s="30"/>
      <c r="FEB617" s="30"/>
      <c r="FEC617" s="30"/>
      <c r="FED617" s="30"/>
      <c r="FEE617" s="30"/>
      <c r="FEF617" s="30"/>
      <c r="FEG617" s="30"/>
      <c r="FEH617" s="30"/>
      <c r="FEI617" s="30"/>
      <c r="FEJ617" s="30"/>
      <c r="FEK617" s="30"/>
      <c r="FEL617" s="30"/>
      <c r="FEM617" s="30"/>
      <c r="FEN617" s="30"/>
      <c r="FEO617" s="30"/>
      <c r="FEP617" s="30"/>
      <c r="FEQ617" s="30"/>
      <c r="FER617" s="30"/>
      <c r="FES617" s="30"/>
      <c r="FET617" s="30"/>
      <c r="FEU617" s="30"/>
      <c r="FEV617" s="30"/>
      <c r="FEW617" s="30"/>
      <c r="FEX617" s="30"/>
      <c r="FEY617" s="30"/>
      <c r="FEZ617" s="30"/>
      <c r="FFA617" s="30"/>
      <c r="FFB617" s="30"/>
      <c r="FFC617" s="30"/>
      <c r="FFD617" s="30"/>
      <c r="FFE617" s="30"/>
      <c r="FFF617" s="30"/>
      <c r="FFG617" s="30"/>
      <c r="FFH617" s="30"/>
      <c r="FFI617" s="30"/>
      <c r="FFJ617" s="30"/>
      <c r="FFK617" s="30"/>
      <c r="FFL617" s="30"/>
      <c r="FFM617" s="30"/>
      <c r="FFN617" s="30"/>
      <c r="FFO617" s="30"/>
      <c r="FFP617" s="30"/>
      <c r="FFQ617" s="30"/>
      <c r="FFR617" s="30"/>
      <c r="FFS617" s="30"/>
      <c r="FFT617" s="30"/>
      <c r="FFU617" s="30"/>
      <c r="FFV617" s="30"/>
      <c r="FFW617" s="30"/>
      <c r="FFX617" s="30"/>
      <c r="FFY617" s="30"/>
      <c r="FFZ617" s="30"/>
      <c r="FGA617" s="30"/>
      <c r="FGB617" s="30"/>
      <c r="FGC617" s="30"/>
      <c r="FGD617" s="30"/>
      <c r="FGE617" s="30"/>
      <c r="FGF617" s="30"/>
      <c r="FGG617" s="30"/>
      <c r="FGH617" s="30"/>
      <c r="FGI617" s="30"/>
      <c r="FGJ617" s="30"/>
      <c r="FGK617" s="30"/>
      <c r="FGL617" s="30"/>
      <c r="FGM617" s="30"/>
      <c r="FGN617" s="30"/>
      <c r="FGO617" s="30"/>
      <c r="FGP617" s="30"/>
      <c r="FGQ617" s="30"/>
      <c r="FGR617" s="30"/>
      <c r="FGS617" s="30"/>
      <c r="FGT617" s="30"/>
      <c r="FGU617" s="30"/>
      <c r="FGV617" s="30"/>
      <c r="FGW617" s="30"/>
      <c r="FGX617" s="30"/>
      <c r="FGY617" s="30"/>
      <c r="FGZ617" s="30"/>
      <c r="FHA617" s="30"/>
      <c r="FHB617" s="30"/>
      <c r="FHC617" s="30"/>
      <c r="FHD617" s="30"/>
      <c r="FHE617" s="30"/>
      <c r="FHF617" s="30"/>
      <c r="FHG617" s="30"/>
      <c r="FHH617" s="30"/>
      <c r="FHI617" s="30"/>
      <c r="FHJ617" s="30"/>
      <c r="FHK617" s="30"/>
      <c r="FHL617" s="30"/>
      <c r="FHM617" s="30"/>
      <c r="FHN617" s="30"/>
      <c r="FHO617" s="30"/>
      <c r="FHP617" s="30"/>
      <c r="FHQ617" s="30"/>
      <c r="FHR617" s="30"/>
      <c r="FHS617" s="30"/>
      <c r="FHT617" s="30"/>
      <c r="FHU617" s="30"/>
      <c r="FHV617" s="30"/>
      <c r="FHW617" s="30"/>
      <c r="FHX617" s="30"/>
      <c r="FHY617" s="30"/>
      <c r="FHZ617" s="30"/>
      <c r="FIA617" s="30"/>
      <c r="FIB617" s="30"/>
      <c r="FIC617" s="30"/>
      <c r="FID617" s="30"/>
      <c r="FIE617" s="30"/>
      <c r="FIF617" s="30"/>
      <c r="FIG617" s="30"/>
      <c r="FIH617" s="30"/>
      <c r="FII617" s="30"/>
      <c r="FIJ617" s="30"/>
      <c r="FIK617" s="30"/>
      <c r="FIL617" s="30"/>
      <c r="FIM617" s="30"/>
      <c r="FIN617" s="30"/>
      <c r="FIO617" s="30"/>
      <c r="FIP617" s="30"/>
      <c r="FIQ617" s="30"/>
      <c r="FIR617" s="30"/>
      <c r="FIS617" s="30"/>
      <c r="FIT617" s="30"/>
      <c r="FIU617" s="30"/>
      <c r="FIV617" s="30"/>
      <c r="FIW617" s="30"/>
      <c r="FIX617" s="30"/>
      <c r="FIY617" s="30"/>
      <c r="FIZ617" s="30"/>
      <c r="FJA617" s="30"/>
      <c r="FJB617" s="30"/>
      <c r="FJC617" s="30"/>
      <c r="FJD617" s="30"/>
      <c r="FJE617" s="30"/>
      <c r="FJF617" s="30"/>
      <c r="FJG617" s="30"/>
      <c r="FJH617" s="30"/>
      <c r="FJI617" s="30"/>
      <c r="FJJ617" s="30"/>
      <c r="FJK617" s="30"/>
      <c r="FJL617" s="30"/>
      <c r="FJM617" s="30"/>
      <c r="FJN617" s="30"/>
      <c r="FJO617" s="30"/>
      <c r="FJP617" s="30"/>
      <c r="FJQ617" s="30"/>
      <c r="FJR617" s="30"/>
      <c r="FJS617" s="30"/>
      <c r="FJT617" s="30"/>
      <c r="FJU617" s="30"/>
      <c r="FJV617" s="30"/>
      <c r="FJW617" s="30"/>
      <c r="FJX617" s="30"/>
      <c r="FJY617" s="30"/>
      <c r="FJZ617" s="30"/>
      <c r="FKA617" s="30"/>
      <c r="FKB617" s="30"/>
      <c r="FKC617" s="30"/>
      <c r="FKD617" s="30"/>
      <c r="FKE617" s="30"/>
      <c r="FKF617" s="30"/>
      <c r="FKG617" s="30"/>
      <c r="FKH617" s="30"/>
      <c r="FKI617" s="30"/>
      <c r="FKJ617" s="30"/>
      <c r="FKK617" s="30"/>
      <c r="FKL617" s="30"/>
      <c r="FKM617" s="30"/>
      <c r="FKN617" s="30"/>
      <c r="FKO617" s="30"/>
      <c r="FKP617" s="30"/>
      <c r="FKQ617" s="30"/>
      <c r="FKR617" s="30"/>
      <c r="FKS617" s="30"/>
      <c r="FKT617" s="30"/>
      <c r="FKU617" s="30"/>
      <c r="FKV617" s="30"/>
      <c r="FKW617" s="30"/>
      <c r="FKX617" s="30"/>
      <c r="FKY617" s="30"/>
      <c r="FKZ617" s="30"/>
      <c r="FLA617" s="30"/>
      <c r="FLB617" s="30"/>
      <c r="FLC617" s="30"/>
      <c r="FLD617" s="30"/>
      <c r="FLE617" s="30"/>
      <c r="FLF617" s="30"/>
      <c r="FLG617" s="30"/>
      <c r="FLH617" s="30"/>
      <c r="FLI617" s="30"/>
      <c r="FLJ617" s="30"/>
      <c r="FLK617" s="30"/>
      <c r="FLL617" s="30"/>
      <c r="FLM617" s="30"/>
      <c r="FLN617" s="30"/>
      <c r="FLO617" s="30"/>
      <c r="FLP617" s="30"/>
      <c r="FLQ617" s="30"/>
      <c r="FLR617" s="30"/>
      <c r="FLS617" s="30"/>
      <c r="FLT617" s="30"/>
      <c r="FLU617" s="30"/>
      <c r="FLV617" s="30"/>
      <c r="FLW617" s="30"/>
      <c r="FLX617" s="30"/>
      <c r="FLY617" s="30"/>
      <c r="FLZ617" s="30"/>
      <c r="FMA617" s="30"/>
      <c r="FMB617" s="30"/>
      <c r="FMC617" s="30"/>
      <c r="FMD617" s="30"/>
      <c r="FME617" s="30"/>
      <c r="FMF617" s="30"/>
      <c r="FMG617" s="30"/>
      <c r="FMH617" s="30"/>
      <c r="FMI617" s="30"/>
      <c r="FMJ617" s="30"/>
      <c r="FMK617" s="30"/>
      <c r="FML617" s="30"/>
      <c r="FMM617" s="30"/>
      <c r="FMN617" s="30"/>
      <c r="FMO617" s="30"/>
      <c r="FMP617" s="30"/>
      <c r="FMQ617" s="30"/>
      <c r="FMR617" s="30"/>
      <c r="FMS617" s="30"/>
      <c r="FMT617" s="30"/>
      <c r="FMU617" s="30"/>
      <c r="FMV617" s="30"/>
      <c r="FMW617" s="30"/>
      <c r="FMX617" s="30"/>
      <c r="FMY617" s="30"/>
      <c r="FMZ617" s="30"/>
      <c r="FNA617" s="30"/>
      <c r="FNB617" s="30"/>
      <c r="FNC617" s="30"/>
      <c r="FND617" s="30"/>
      <c r="FNE617" s="30"/>
      <c r="FNF617" s="30"/>
      <c r="FNG617" s="30"/>
      <c r="FNH617" s="30"/>
      <c r="FNI617" s="30"/>
      <c r="FNJ617" s="30"/>
      <c r="FNK617" s="30"/>
      <c r="FNL617" s="30"/>
      <c r="FNM617" s="30"/>
      <c r="FNN617" s="30"/>
      <c r="FNO617" s="30"/>
      <c r="FNP617" s="30"/>
      <c r="FNQ617" s="30"/>
      <c r="FNR617" s="30"/>
      <c r="FNS617" s="30"/>
      <c r="FNT617" s="30"/>
      <c r="FNU617" s="30"/>
      <c r="FNV617" s="30"/>
      <c r="FNW617" s="30"/>
      <c r="FNX617" s="30"/>
      <c r="FNY617" s="30"/>
      <c r="FNZ617" s="30"/>
      <c r="FOA617" s="30"/>
      <c r="FOB617" s="30"/>
      <c r="FOC617" s="30"/>
      <c r="FOD617" s="30"/>
      <c r="FOE617" s="30"/>
      <c r="FOF617" s="30"/>
      <c r="FOG617" s="30"/>
      <c r="FOH617" s="30"/>
      <c r="FOI617" s="30"/>
      <c r="FOJ617" s="30"/>
      <c r="FOK617" s="30"/>
      <c r="FOL617" s="30"/>
      <c r="FOM617" s="30"/>
      <c r="FON617" s="30"/>
      <c r="FOO617" s="30"/>
      <c r="FOP617" s="30"/>
      <c r="FOQ617" s="30"/>
      <c r="FOR617" s="30"/>
      <c r="FOS617" s="30"/>
      <c r="FOT617" s="30"/>
      <c r="FOU617" s="30"/>
      <c r="FOV617" s="30"/>
      <c r="FOW617" s="30"/>
      <c r="FOX617" s="30"/>
      <c r="FOY617" s="30"/>
      <c r="FOZ617" s="30"/>
      <c r="FPA617" s="30"/>
      <c r="FPB617" s="30"/>
      <c r="FPC617" s="30"/>
      <c r="FPD617" s="30"/>
      <c r="FPE617" s="30"/>
      <c r="FPF617" s="30"/>
      <c r="FPG617" s="30"/>
      <c r="FPH617" s="30"/>
      <c r="FPI617" s="30"/>
      <c r="FPJ617" s="30"/>
      <c r="FPK617" s="30"/>
      <c r="FPL617" s="30"/>
      <c r="FPM617" s="30"/>
      <c r="FPN617" s="30"/>
      <c r="FPO617" s="30"/>
      <c r="FPP617" s="30"/>
      <c r="FPQ617" s="30"/>
      <c r="FPR617" s="30"/>
      <c r="FPS617" s="30"/>
      <c r="FPT617" s="30"/>
      <c r="FPU617" s="30"/>
      <c r="FPV617" s="30"/>
      <c r="FPW617" s="30"/>
      <c r="FPX617" s="30"/>
      <c r="FPY617" s="30"/>
      <c r="FPZ617" s="30"/>
      <c r="FQA617" s="30"/>
      <c r="FQB617" s="30"/>
      <c r="FQC617" s="30"/>
      <c r="FQD617" s="30"/>
      <c r="FQE617" s="30"/>
      <c r="FQF617" s="30"/>
      <c r="FQG617" s="30"/>
      <c r="FQH617" s="30"/>
      <c r="FQI617" s="30"/>
      <c r="FQJ617" s="30"/>
      <c r="FQK617" s="30"/>
      <c r="FQL617" s="30"/>
      <c r="FQM617" s="30"/>
      <c r="FQN617" s="30"/>
      <c r="FQO617" s="30"/>
      <c r="FQP617" s="30"/>
      <c r="FQQ617" s="30"/>
      <c r="FQR617" s="30"/>
      <c r="FQS617" s="30"/>
      <c r="FQT617" s="30"/>
      <c r="FQU617" s="30"/>
      <c r="FQV617" s="30"/>
      <c r="FQW617" s="30"/>
      <c r="FQX617" s="30"/>
      <c r="FQY617" s="30"/>
      <c r="FQZ617" s="30"/>
      <c r="FRA617" s="30"/>
      <c r="FRB617" s="30"/>
      <c r="FRC617" s="30"/>
      <c r="FRD617" s="30"/>
      <c r="FRE617" s="30"/>
      <c r="FRF617" s="30"/>
      <c r="FRG617" s="30"/>
      <c r="FRH617" s="30"/>
      <c r="FRI617" s="30"/>
      <c r="FRJ617" s="30"/>
      <c r="FRK617" s="30"/>
      <c r="FRL617" s="30"/>
      <c r="FRM617" s="30"/>
      <c r="FRN617" s="30"/>
      <c r="FRO617" s="30"/>
      <c r="FRP617" s="30"/>
      <c r="FRQ617" s="30"/>
      <c r="FRR617" s="30"/>
      <c r="FRS617" s="30"/>
      <c r="FRT617" s="30"/>
      <c r="FRU617" s="30"/>
      <c r="FRV617" s="30"/>
      <c r="FRW617" s="30"/>
      <c r="FRX617" s="30"/>
      <c r="FRY617" s="30"/>
      <c r="FRZ617" s="30"/>
      <c r="FSA617" s="30"/>
      <c r="FSB617" s="30"/>
      <c r="FSC617" s="30"/>
      <c r="FSD617" s="30"/>
      <c r="FSE617" s="30"/>
      <c r="FSF617" s="30"/>
      <c r="FSG617" s="30"/>
      <c r="FSH617" s="30"/>
      <c r="FSI617" s="30"/>
      <c r="FSJ617" s="30"/>
      <c r="FSK617" s="30"/>
      <c r="FSL617" s="30"/>
      <c r="FSM617" s="30"/>
      <c r="FSN617" s="30"/>
      <c r="FSO617" s="30"/>
      <c r="FSP617" s="30"/>
      <c r="FSQ617" s="30"/>
      <c r="FSR617" s="30"/>
      <c r="FSS617" s="30"/>
      <c r="FST617" s="30"/>
      <c r="FSU617" s="30"/>
      <c r="FSV617" s="30"/>
      <c r="FSW617" s="30"/>
      <c r="FSX617" s="30"/>
      <c r="FSY617" s="30"/>
      <c r="FSZ617" s="30"/>
      <c r="FTA617" s="30"/>
      <c r="FTB617" s="30"/>
      <c r="FTC617" s="30"/>
      <c r="FTD617" s="30"/>
      <c r="FTE617" s="30"/>
      <c r="FTF617" s="30"/>
      <c r="FTG617" s="30"/>
      <c r="FTH617" s="30"/>
      <c r="FTI617" s="30"/>
      <c r="FTJ617" s="30"/>
      <c r="FTK617" s="30"/>
      <c r="FTL617" s="30"/>
      <c r="FTM617" s="30"/>
      <c r="FTN617" s="30"/>
      <c r="FTO617" s="30"/>
      <c r="FTP617" s="30"/>
      <c r="FTQ617" s="30"/>
      <c r="FTR617" s="30"/>
      <c r="FTS617" s="30"/>
      <c r="FTT617" s="30"/>
      <c r="FTU617" s="30"/>
      <c r="FTV617" s="30"/>
      <c r="FTW617" s="30"/>
      <c r="FTX617" s="30"/>
      <c r="FTY617" s="30"/>
      <c r="FTZ617" s="30"/>
      <c r="FUA617" s="30"/>
      <c r="FUB617" s="30"/>
      <c r="FUC617" s="30"/>
      <c r="FUD617" s="30"/>
      <c r="FUE617" s="30"/>
      <c r="FUF617" s="30"/>
      <c r="FUG617" s="30"/>
      <c r="FUH617" s="30"/>
      <c r="FUI617" s="30"/>
      <c r="FUJ617" s="30"/>
      <c r="FUK617" s="30"/>
      <c r="FUL617" s="30"/>
      <c r="FUM617" s="30"/>
      <c r="FUN617" s="30"/>
      <c r="FUO617" s="30"/>
      <c r="FUP617" s="30"/>
      <c r="FUQ617" s="30"/>
      <c r="FUR617" s="30"/>
      <c r="FUS617" s="30"/>
      <c r="FUT617" s="30"/>
      <c r="FUU617" s="30"/>
      <c r="FUV617" s="30"/>
      <c r="FUW617" s="30"/>
      <c r="FUX617" s="30"/>
      <c r="FUY617" s="30"/>
      <c r="FUZ617" s="30"/>
      <c r="FVA617" s="30"/>
      <c r="FVB617" s="30"/>
      <c r="FVC617" s="30"/>
      <c r="FVD617" s="30"/>
      <c r="FVE617" s="30"/>
      <c r="FVF617" s="30"/>
      <c r="FVG617" s="30"/>
      <c r="FVH617" s="30"/>
      <c r="FVI617" s="30"/>
      <c r="FVJ617" s="30"/>
      <c r="FVK617" s="30"/>
      <c r="FVL617" s="30"/>
      <c r="FVM617" s="30"/>
      <c r="FVN617" s="30"/>
      <c r="FVO617" s="30"/>
      <c r="FVP617" s="30"/>
      <c r="FVQ617" s="30"/>
      <c r="FVR617" s="30"/>
      <c r="FVS617" s="30"/>
      <c r="FVT617" s="30"/>
      <c r="FVU617" s="30"/>
      <c r="FVV617" s="30"/>
      <c r="FVW617" s="30"/>
      <c r="FVX617" s="30"/>
      <c r="FVY617" s="30"/>
      <c r="FVZ617" s="30"/>
      <c r="FWA617" s="30"/>
      <c r="FWB617" s="30"/>
      <c r="FWC617" s="30"/>
      <c r="FWD617" s="30"/>
      <c r="FWE617" s="30"/>
      <c r="FWF617" s="30"/>
      <c r="FWG617" s="30"/>
      <c r="FWH617" s="30"/>
      <c r="FWI617" s="30"/>
      <c r="FWJ617" s="30"/>
      <c r="FWK617" s="30"/>
      <c r="FWL617" s="30"/>
      <c r="FWM617" s="30"/>
      <c r="FWN617" s="30"/>
      <c r="FWO617" s="30"/>
      <c r="FWP617" s="30"/>
      <c r="FWQ617" s="30"/>
      <c r="FWR617" s="30"/>
      <c r="FWS617" s="30"/>
      <c r="FWT617" s="30"/>
      <c r="FWU617" s="30"/>
      <c r="FWV617" s="30"/>
      <c r="FWW617" s="30"/>
      <c r="FWX617" s="30"/>
      <c r="FWY617" s="30"/>
      <c r="FWZ617" s="30"/>
      <c r="FXA617" s="30"/>
      <c r="FXB617" s="30"/>
      <c r="FXC617" s="30"/>
      <c r="FXD617" s="30"/>
      <c r="FXE617" s="30"/>
      <c r="FXF617" s="30"/>
      <c r="FXG617" s="30"/>
      <c r="FXH617" s="30"/>
      <c r="FXI617" s="30"/>
      <c r="FXJ617" s="30"/>
      <c r="FXK617" s="30"/>
      <c r="FXL617" s="30"/>
      <c r="FXM617" s="30"/>
      <c r="FXN617" s="30"/>
      <c r="FXO617" s="30"/>
      <c r="FXP617" s="30"/>
      <c r="FXQ617" s="30"/>
      <c r="FXR617" s="30"/>
      <c r="FXS617" s="30"/>
      <c r="FXT617" s="30"/>
      <c r="FXU617" s="30"/>
      <c r="FXV617" s="30"/>
      <c r="FXW617" s="30"/>
      <c r="FXX617" s="30"/>
      <c r="FXY617" s="30"/>
      <c r="FXZ617" s="30"/>
      <c r="FYA617" s="30"/>
      <c r="FYB617" s="30"/>
      <c r="FYC617" s="30"/>
      <c r="FYD617" s="30"/>
      <c r="FYE617" s="30"/>
      <c r="FYF617" s="30"/>
      <c r="FYG617" s="30"/>
      <c r="FYH617" s="30"/>
      <c r="FYI617" s="30"/>
      <c r="FYJ617" s="30"/>
      <c r="FYK617" s="30"/>
      <c r="FYL617" s="30"/>
      <c r="FYM617" s="30"/>
      <c r="FYN617" s="30"/>
      <c r="FYO617" s="30"/>
      <c r="FYP617" s="30"/>
      <c r="FYQ617" s="30"/>
      <c r="FYR617" s="30"/>
      <c r="FYS617" s="30"/>
      <c r="FYT617" s="30"/>
      <c r="FYU617" s="30"/>
      <c r="FYV617" s="30"/>
      <c r="FYW617" s="30"/>
      <c r="FYX617" s="30"/>
      <c r="FYY617" s="30"/>
      <c r="FYZ617" s="30"/>
      <c r="FZA617" s="30"/>
      <c r="FZB617" s="30"/>
      <c r="FZC617" s="30"/>
      <c r="FZD617" s="30"/>
      <c r="FZE617" s="30"/>
      <c r="FZF617" s="30"/>
      <c r="FZG617" s="30"/>
      <c r="FZH617" s="30"/>
      <c r="FZI617" s="30"/>
      <c r="FZJ617" s="30"/>
      <c r="FZK617" s="30"/>
      <c r="FZL617" s="30"/>
      <c r="FZM617" s="30"/>
      <c r="FZN617" s="30"/>
      <c r="FZO617" s="30"/>
      <c r="FZP617" s="30"/>
      <c r="FZQ617" s="30"/>
      <c r="FZR617" s="30"/>
      <c r="FZS617" s="30"/>
      <c r="FZT617" s="30"/>
      <c r="FZU617" s="30"/>
      <c r="FZV617" s="30"/>
      <c r="FZW617" s="30"/>
      <c r="FZX617" s="30"/>
      <c r="FZY617" s="30"/>
      <c r="FZZ617" s="30"/>
      <c r="GAA617" s="30"/>
      <c r="GAB617" s="30"/>
      <c r="GAC617" s="30"/>
      <c r="GAD617" s="30"/>
      <c r="GAE617" s="30"/>
      <c r="GAF617" s="30"/>
      <c r="GAG617" s="30"/>
      <c r="GAH617" s="30"/>
      <c r="GAI617" s="30"/>
      <c r="GAJ617" s="30"/>
      <c r="GAK617" s="30"/>
      <c r="GAL617" s="30"/>
      <c r="GAM617" s="30"/>
      <c r="GAN617" s="30"/>
      <c r="GAO617" s="30"/>
      <c r="GAP617" s="30"/>
      <c r="GAQ617" s="30"/>
      <c r="GAR617" s="30"/>
      <c r="GAS617" s="30"/>
      <c r="GAT617" s="30"/>
      <c r="GAU617" s="30"/>
      <c r="GAV617" s="30"/>
      <c r="GAW617" s="30"/>
      <c r="GAX617" s="30"/>
      <c r="GAY617" s="30"/>
      <c r="GAZ617" s="30"/>
      <c r="GBA617" s="30"/>
      <c r="GBB617" s="30"/>
      <c r="GBC617" s="30"/>
      <c r="GBD617" s="30"/>
      <c r="GBE617" s="30"/>
      <c r="GBF617" s="30"/>
      <c r="GBG617" s="30"/>
      <c r="GBH617" s="30"/>
      <c r="GBI617" s="30"/>
      <c r="GBJ617" s="30"/>
      <c r="GBK617" s="30"/>
      <c r="GBL617" s="30"/>
      <c r="GBM617" s="30"/>
      <c r="GBN617" s="30"/>
      <c r="GBO617" s="30"/>
      <c r="GBP617" s="30"/>
      <c r="GBQ617" s="30"/>
      <c r="GBR617" s="30"/>
      <c r="GBS617" s="30"/>
      <c r="GBT617" s="30"/>
      <c r="GBU617" s="30"/>
      <c r="GBV617" s="30"/>
      <c r="GBW617" s="30"/>
      <c r="GBX617" s="30"/>
      <c r="GBY617" s="30"/>
      <c r="GBZ617" s="30"/>
      <c r="GCA617" s="30"/>
      <c r="GCB617" s="30"/>
      <c r="GCC617" s="30"/>
      <c r="GCD617" s="30"/>
      <c r="GCE617" s="30"/>
      <c r="GCF617" s="30"/>
      <c r="GCG617" s="30"/>
      <c r="GCH617" s="30"/>
      <c r="GCI617" s="30"/>
      <c r="GCJ617" s="30"/>
      <c r="GCK617" s="30"/>
      <c r="GCL617" s="30"/>
      <c r="GCM617" s="30"/>
      <c r="GCN617" s="30"/>
      <c r="GCO617" s="30"/>
      <c r="GCP617" s="30"/>
      <c r="GCQ617" s="30"/>
      <c r="GCR617" s="30"/>
      <c r="GCS617" s="30"/>
      <c r="GCT617" s="30"/>
      <c r="GCU617" s="30"/>
      <c r="GCV617" s="30"/>
      <c r="GCW617" s="30"/>
      <c r="GCX617" s="30"/>
      <c r="GCY617" s="30"/>
      <c r="GCZ617" s="30"/>
      <c r="GDA617" s="30"/>
      <c r="GDB617" s="30"/>
      <c r="GDC617" s="30"/>
      <c r="GDD617" s="30"/>
      <c r="GDE617" s="30"/>
      <c r="GDF617" s="30"/>
      <c r="GDG617" s="30"/>
      <c r="GDH617" s="30"/>
      <c r="GDI617" s="30"/>
      <c r="GDJ617" s="30"/>
      <c r="GDK617" s="30"/>
      <c r="GDL617" s="30"/>
      <c r="GDM617" s="30"/>
      <c r="GDN617" s="30"/>
      <c r="GDO617" s="30"/>
      <c r="GDP617" s="30"/>
      <c r="GDQ617" s="30"/>
      <c r="GDR617" s="30"/>
      <c r="GDS617" s="30"/>
      <c r="GDT617" s="30"/>
      <c r="GDU617" s="30"/>
      <c r="GDV617" s="30"/>
      <c r="GDW617" s="30"/>
      <c r="GDX617" s="30"/>
      <c r="GDY617" s="30"/>
      <c r="GDZ617" s="30"/>
      <c r="GEA617" s="30"/>
      <c r="GEB617" s="30"/>
      <c r="GEC617" s="30"/>
      <c r="GED617" s="30"/>
      <c r="GEE617" s="30"/>
      <c r="GEF617" s="30"/>
      <c r="GEG617" s="30"/>
      <c r="GEH617" s="30"/>
      <c r="GEI617" s="30"/>
      <c r="GEJ617" s="30"/>
      <c r="GEK617" s="30"/>
      <c r="GEL617" s="30"/>
      <c r="GEM617" s="30"/>
      <c r="GEN617" s="30"/>
      <c r="GEO617" s="30"/>
      <c r="GEP617" s="30"/>
      <c r="GEQ617" s="30"/>
      <c r="GER617" s="30"/>
      <c r="GES617" s="30"/>
      <c r="GET617" s="30"/>
      <c r="GEU617" s="30"/>
      <c r="GEV617" s="30"/>
      <c r="GEW617" s="30"/>
      <c r="GEX617" s="30"/>
      <c r="GEY617" s="30"/>
      <c r="GEZ617" s="30"/>
      <c r="GFA617" s="30"/>
      <c r="GFB617" s="30"/>
      <c r="GFC617" s="30"/>
      <c r="GFD617" s="30"/>
      <c r="GFE617" s="30"/>
      <c r="GFF617" s="30"/>
      <c r="GFG617" s="30"/>
      <c r="GFH617" s="30"/>
      <c r="GFI617" s="30"/>
      <c r="GFJ617" s="30"/>
      <c r="GFK617" s="30"/>
      <c r="GFL617" s="30"/>
      <c r="GFM617" s="30"/>
      <c r="GFN617" s="30"/>
      <c r="GFO617" s="30"/>
      <c r="GFP617" s="30"/>
      <c r="GFQ617" s="30"/>
      <c r="GFR617" s="30"/>
      <c r="GFS617" s="30"/>
      <c r="GFT617" s="30"/>
      <c r="GFU617" s="30"/>
      <c r="GFV617" s="30"/>
      <c r="GFW617" s="30"/>
      <c r="GFX617" s="30"/>
      <c r="GFY617" s="30"/>
      <c r="GFZ617" s="30"/>
      <c r="GGA617" s="30"/>
      <c r="GGB617" s="30"/>
      <c r="GGC617" s="30"/>
      <c r="GGD617" s="30"/>
      <c r="GGE617" s="30"/>
      <c r="GGF617" s="30"/>
      <c r="GGG617" s="30"/>
      <c r="GGH617" s="30"/>
      <c r="GGI617" s="30"/>
      <c r="GGJ617" s="30"/>
      <c r="GGK617" s="30"/>
      <c r="GGL617" s="30"/>
      <c r="GGM617" s="30"/>
      <c r="GGN617" s="30"/>
      <c r="GGO617" s="30"/>
      <c r="GGP617" s="30"/>
      <c r="GGQ617" s="30"/>
      <c r="GGR617" s="30"/>
      <c r="GGS617" s="30"/>
      <c r="GGT617" s="30"/>
      <c r="GGU617" s="30"/>
      <c r="GGV617" s="30"/>
      <c r="GGW617" s="30"/>
      <c r="GGX617" s="30"/>
      <c r="GGY617" s="30"/>
      <c r="GGZ617" s="30"/>
      <c r="GHA617" s="30"/>
      <c r="GHB617" s="30"/>
      <c r="GHC617" s="30"/>
      <c r="GHD617" s="30"/>
      <c r="GHE617" s="30"/>
      <c r="GHF617" s="30"/>
      <c r="GHG617" s="30"/>
      <c r="GHH617" s="30"/>
      <c r="GHI617" s="30"/>
      <c r="GHJ617" s="30"/>
      <c r="GHK617" s="30"/>
      <c r="GHL617" s="30"/>
      <c r="GHM617" s="30"/>
      <c r="GHN617" s="30"/>
      <c r="GHO617" s="30"/>
      <c r="GHP617" s="30"/>
      <c r="GHQ617" s="30"/>
      <c r="GHR617" s="30"/>
      <c r="GHS617" s="30"/>
      <c r="GHT617" s="30"/>
      <c r="GHU617" s="30"/>
      <c r="GHV617" s="30"/>
      <c r="GHW617" s="30"/>
      <c r="GHX617" s="30"/>
      <c r="GHY617" s="30"/>
      <c r="GHZ617" s="30"/>
      <c r="GIA617" s="30"/>
      <c r="GIB617" s="30"/>
      <c r="GIC617" s="30"/>
      <c r="GID617" s="30"/>
      <c r="GIE617" s="30"/>
      <c r="GIF617" s="30"/>
      <c r="GIG617" s="30"/>
      <c r="GIH617" s="30"/>
      <c r="GII617" s="30"/>
      <c r="GIJ617" s="30"/>
      <c r="GIK617" s="30"/>
      <c r="GIL617" s="30"/>
      <c r="GIM617" s="30"/>
      <c r="GIN617" s="30"/>
      <c r="GIO617" s="30"/>
      <c r="GIP617" s="30"/>
      <c r="GIQ617" s="30"/>
      <c r="GIR617" s="30"/>
      <c r="GIS617" s="30"/>
      <c r="GIT617" s="30"/>
      <c r="GIU617" s="30"/>
      <c r="GIV617" s="30"/>
      <c r="GIW617" s="30"/>
      <c r="GIX617" s="30"/>
      <c r="GIY617" s="30"/>
      <c r="GIZ617" s="30"/>
      <c r="GJA617" s="30"/>
      <c r="GJB617" s="30"/>
      <c r="GJC617" s="30"/>
      <c r="GJD617" s="30"/>
      <c r="GJE617" s="30"/>
      <c r="GJF617" s="30"/>
      <c r="GJG617" s="30"/>
      <c r="GJH617" s="30"/>
      <c r="GJI617" s="30"/>
      <c r="GJJ617" s="30"/>
      <c r="GJK617" s="30"/>
      <c r="GJL617" s="30"/>
      <c r="GJM617" s="30"/>
      <c r="GJN617" s="30"/>
      <c r="GJO617" s="30"/>
      <c r="GJP617" s="30"/>
      <c r="GJQ617" s="30"/>
      <c r="GJR617" s="30"/>
      <c r="GJS617" s="30"/>
      <c r="GJT617" s="30"/>
      <c r="GJU617" s="30"/>
      <c r="GJV617" s="30"/>
      <c r="GJW617" s="30"/>
      <c r="GJX617" s="30"/>
      <c r="GJY617" s="30"/>
      <c r="GJZ617" s="30"/>
      <c r="GKA617" s="30"/>
      <c r="GKB617" s="30"/>
      <c r="GKC617" s="30"/>
      <c r="GKD617" s="30"/>
      <c r="GKE617" s="30"/>
      <c r="GKF617" s="30"/>
      <c r="GKG617" s="30"/>
      <c r="GKH617" s="30"/>
      <c r="GKI617" s="30"/>
      <c r="GKJ617" s="30"/>
      <c r="GKK617" s="30"/>
      <c r="GKL617" s="30"/>
      <c r="GKM617" s="30"/>
      <c r="GKN617" s="30"/>
      <c r="GKO617" s="30"/>
      <c r="GKP617" s="30"/>
      <c r="GKQ617" s="30"/>
      <c r="GKR617" s="30"/>
      <c r="GKS617" s="30"/>
      <c r="GKT617" s="30"/>
      <c r="GKU617" s="30"/>
      <c r="GKV617" s="30"/>
      <c r="GKW617" s="30"/>
      <c r="GKX617" s="30"/>
      <c r="GKY617" s="30"/>
      <c r="GKZ617" s="30"/>
      <c r="GLA617" s="30"/>
      <c r="GLB617" s="30"/>
      <c r="GLC617" s="30"/>
      <c r="GLD617" s="30"/>
      <c r="GLE617" s="30"/>
      <c r="GLF617" s="30"/>
      <c r="GLG617" s="30"/>
      <c r="GLH617" s="30"/>
      <c r="GLI617" s="30"/>
      <c r="GLJ617" s="30"/>
      <c r="GLK617" s="30"/>
      <c r="GLL617" s="30"/>
      <c r="GLM617" s="30"/>
      <c r="GLN617" s="30"/>
      <c r="GLO617" s="30"/>
      <c r="GLP617" s="30"/>
      <c r="GLQ617" s="30"/>
      <c r="GLR617" s="30"/>
      <c r="GLS617" s="30"/>
      <c r="GLT617" s="30"/>
      <c r="GLU617" s="30"/>
      <c r="GLV617" s="30"/>
      <c r="GLW617" s="30"/>
      <c r="GLX617" s="30"/>
      <c r="GLY617" s="30"/>
      <c r="GLZ617" s="30"/>
      <c r="GMA617" s="30"/>
      <c r="GMB617" s="30"/>
      <c r="GMC617" s="30"/>
      <c r="GMD617" s="30"/>
      <c r="GME617" s="30"/>
      <c r="GMF617" s="30"/>
      <c r="GMG617" s="30"/>
      <c r="GMH617" s="30"/>
      <c r="GMI617" s="30"/>
      <c r="GMJ617" s="30"/>
      <c r="GMK617" s="30"/>
      <c r="GML617" s="30"/>
      <c r="GMM617" s="30"/>
      <c r="GMN617" s="30"/>
      <c r="GMO617" s="30"/>
      <c r="GMP617" s="30"/>
      <c r="GMQ617" s="30"/>
      <c r="GMR617" s="30"/>
      <c r="GMS617" s="30"/>
      <c r="GMT617" s="30"/>
      <c r="GMU617" s="30"/>
      <c r="GMV617" s="30"/>
      <c r="GMW617" s="30"/>
      <c r="GMX617" s="30"/>
      <c r="GMY617" s="30"/>
      <c r="GMZ617" s="30"/>
      <c r="GNA617" s="30"/>
      <c r="GNB617" s="30"/>
      <c r="GNC617" s="30"/>
      <c r="GND617" s="30"/>
      <c r="GNE617" s="30"/>
      <c r="GNF617" s="30"/>
      <c r="GNG617" s="30"/>
      <c r="GNH617" s="30"/>
      <c r="GNI617" s="30"/>
      <c r="GNJ617" s="30"/>
      <c r="GNK617" s="30"/>
      <c r="GNL617" s="30"/>
      <c r="GNM617" s="30"/>
      <c r="GNN617" s="30"/>
      <c r="GNO617" s="30"/>
      <c r="GNP617" s="30"/>
      <c r="GNQ617" s="30"/>
      <c r="GNR617" s="30"/>
      <c r="GNS617" s="30"/>
      <c r="GNT617" s="30"/>
      <c r="GNU617" s="30"/>
      <c r="GNV617" s="30"/>
      <c r="GNW617" s="30"/>
      <c r="GNX617" s="30"/>
      <c r="GNY617" s="30"/>
      <c r="GNZ617" s="30"/>
      <c r="GOA617" s="30"/>
      <c r="GOB617" s="30"/>
      <c r="GOC617" s="30"/>
      <c r="GOD617" s="30"/>
      <c r="GOE617" s="30"/>
      <c r="GOF617" s="30"/>
      <c r="GOG617" s="30"/>
      <c r="GOH617" s="30"/>
      <c r="GOI617" s="30"/>
      <c r="GOJ617" s="30"/>
      <c r="GOK617" s="30"/>
      <c r="GOL617" s="30"/>
      <c r="GOM617" s="30"/>
      <c r="GON617" s="30"/>
      <c r="GOO617" s="30"/>
      <c r="GOP617" s="30"/>
      <c r="GOQ617" s="30"/>
      <c r="GOR617" s="30"/>
      <c r="GOS617" s="30"/>
      <c r="GOT617" s="30"/>
      <c r="GOU617" s="30"/>
      <c r="GOV617" s="30"/>
      <c r="GOW617" s="30"/>
      <c r="GOX617" s="30"/>
      <c r="GOY617" s="30"/>
      <c r="GOZ617" s="30"/>
      <c r="GPA617" s="30"/>
      <c r="GPB617" s="30"/>
      <c r="GPC617" s="30"/>
      <c r="GPD617" s="30"/>
      <c r="GPE617" s="30"/>
      <c r="GPF617" s="30"/>
      <c r="GPG617" s="30"/>
      <c r="GPH617" s="30"/>
      <c r="GPI617" s="30"/>
      <c r="GPJ617" s="30"/>
      <c r="GPK617" s="30"/>
      <c r="GPL617" s="30"/>
      <c r="GPM617" s="30"/>
      <c r="GPN617" s="30"/>
      <c r="GPO617" s="30"/>
      <c r="GPP617" s="30"/>
      <c r="GPQ617" s="30"/>
      <c r="GPR617" s="30"/>
      <c r="GPS617" s="30"/>
      <c r="GPT617" s="30"/>
      <c r="GPU617" s="30"/>
      <c r="GPV617" s="30"/>
      <c r="GPW617" s="30"/>
      <c r="GPX617" s="30"/>
      <c r="GPY617" s="30"/>
      <c r="GPZ617" s="30"/>
      <c r="GQA617" s="30"/>
      <c r="GQB617" s="30"/>
      <c r="GQC617" s="30"/>
      <c r="GQD617" s="30"/>
      <c r="GQE617" s="30"/>
      <c r="GQF617" s="30"/>
      <c r="GQG617" s="30"/>
      <c r="GQH617" s="30"/>
      <c r="GQI617" s="30"/>
      <c r="GQJ617" s="30"/>
      <c r="GQK617" s="30"/>
      <c r="GQL617" s="30"/>
      <c r="GQM617" s="30"/>
      <c r="GQN617" s="30"/>
      <c r="GQO617" s="30"/>
      <c r="GQP617" s="30"/>
      <c r="GQQ617" s="30"/>
      <c r="GQR617" s="30"/>
      <c r="GQS617" s="30"/>
      <c r="GQT617" s="30"/>
      <c r="GQU617" s="30"/>
      <c r="GQV617" s="30"/>
      <c r="GQW617" s="30"/>
      <c r="GQX617" s="30"/>
      <c r="GQY617" s="30"/>
      <c r="GQZ617" s="30"/>
      <c r="GRA617" s="30"/>
      <c r="GRB617" s="30"/>
      <c r="GRC617" s="30"/>
      <c r="GRD617" s="30"/>
      <c r="GRE617" s="30"/>
      <c r="GRF617" s="30"/>
      <c r="GRG617" s="30"/>
      <c r="GRH617" s="30"/>
      <c r="GRI617" s="30"/>
      <c r="GRJ617" s="30"/>
      <c r="GRK617" s="30"/>
      <c r="GRL617" s="30"/>
      <c r="GRM617" s="30"/>
      <c r="GRN617" s="30"/>
      <c r="GRO617" s="30"/>
      <c r="GRP617" s="30"/>
      <c r="GRQ617" s="30"/>
      <c r="GRR617" s="30"/>
      <c r="GRS617" s="30"/>
      <c r="GRT617" s="30"/>
      <c r="GRU617" s="30"/>
      <c r="GRV617" s="30"/>
      <c r="GRW617" s="30"/>
      <c r="GRX617" s="30"/>
      <c r="GRY617" s="30"/>
      <c r="GRZ617" s="30"/>
      <c r="GSA617" s="30"/>
      <c r="GSB617" s="30"/>
      <c r="GSC617" s="30"/>
      <c r="GSD617" s="30"/>
      <c r="GSE617" s="30"/>
      <c r="GSF617" s="30"/>
      <c r="GSG617" s="30"/>
      <c r="GSH617" s="30"/>
      <c r="GSI617" s="30"/>
      <c r="GSJ617" s="30"/>
      <c r="GSK617" s="30"/>
      <c r="GSL617" s="30"/>
      <c r="GSM617" s="30"/>
      <c r="GSN617" s="30"/>
      <c r="GSO617" s="30"/>
      <c r="GSP617" s="30"/>
      <c r="GSQ617" s="30"/>
      <c r="GSR617" s="30"/>
      <c r="GSS617" s="30"/>
      <c r="GST617" s="30"/>
      <c r="GSU617" s="30"/>
      <c r="GSV617" s="30"/>
      <c r="GSW617" s="30"/>
      <c r="GSX617" s="30"/>
      <c r="GSY617" s="30"/>
      <c r="GSZ617" s="30"/>
      <c r="GTA617" s="30"/>
      <c r="GTB617" s="30"/>
      <c r="GTC617" s="30"/>
      <c r="GTD617" s="30"/>
      <c r="GTE617" s="30"/>
      <c r="GTF617" s="30"/>
      <c r="GTG617" s="30"/>
      <c r="GTH617" s="30"/>
      <c r="GTI617" s="30"/>
      <c r="GTJ617" s="30"/>
      <c r="GTK617" s="30"/>
      <c r="GTL617" s="30"/>
      <c r="GTM617" s="30"/>
      <c r="GTN617" s="30"/>
      <c r="GTO617" s="30"/>
      <c r="GTP617" s="30"/>
      <c r="GTQ617" s="30"/>
      <c r="GTR617" s="30"/>
      <c r="GTS617" s="30"/>
      <c r="GTT617" s="30"/>
      <c r="GTU617" s="30"/>
      <c r="GTV617" s="30"/>
      <c r="GTW617" s="30"/>
      <c r="GTX617" s="30"/>
      <c r="GTY617" s="30"/>
      <c r="GTZ617" s="30"/>
      <c r="GUA617" s="30"/>
      <c r="GUB617" s="30"/>
      <c r="GUC617" s="30"/>
      <c r="GUD617" s="30"/>
      <c r="GUE617" s="30"/>
      <c r="GUF617" s="30"/>
      <c r="GUG617" s="30"/>
      <c r="GUH617" s="30"/>
      <c r="GUI617" s="30"/>
      <c r="GUJ617" s="30"/>
      <c r="GUK617" s="30"/>
      <c r="GUL617" s="30"/>
      <c r="GUM617" s="30"/>
      <c r="GUN617" s="30"/>
      <c r="GUO617" s="30"/>
      <c r="GUP617" s="30"/>
      <c r="GUQ617" s="30"/>
      <c r="GUR617" s="30"/>
      <c r="GUS617" s="30"/>
      <c r="GUT617" s="30"/>
      <c r="GUU617" s="30"/>
      <c r="GUV617" s="30"/>
      <c r="GUW617" s="30"/>
      <c r="GUX617" s="30"/>
      <c r="GUY617" s="30"/>
      <c r="GUZ617" s="30"/>
      <c r="GVA617" s="30"/>
      <c r="GVB617" s="30"/>
      <c r="GVC617" s="30"/>
      <c r="GVD617" s="30"/>
      <c r="GVE617" s="30"/>
      <c r="GVF617" s="30"/>
      <c r="GVG617" s="30"/>
      <c r="GVH617" s="30"/>
      <c r="GVI617" s="30"/>
      <c r="GVJ617" s="30"/>
      <c r="GVK617" s="30"/>
      <c r="GVL617" s="30"/>
      <c r="GVM617" s="30"/>
      <c r="GVN617" s="30"/>
      <c r="GVO617" s="30"/>
      <c r="GVP617" s="30"/>
      <c r="GVQ617" s="30"/>
      <c r="GVR617" s="30"/>
      <c r="GVS617" s="30"/>
      <c r="GVT617" s="30"/>
      <c r="GVU617" s="30"/>
      <c r="GVV617" s="30"/>
      <c r="GVW617" s="30"/>
      <c r="GVX617" s="30"/>
      <c r="GVY617" s="30"/>
      <c r="GVZ617" s="30"/>
      <c r="GWA617" s="30"/>
      <c r="GWB617" s="30"/>
      <c r="GWC617" s="30"/>
      <c r="GWD617" s="30"/>
      <c r="GWE617" s="30"/>
      <c r="GWF617" s="30"/>
      <c r="GWG617" s="30"/>
      <c r="GWH617" s="30"/>
      <c r="GWI617" s="30"/>
      <c r="GWJ617" s="30"/>
      <c r="GWK617" s="30"/>
      <c r="GWL617" s="30"/>
      <c r="GWM617" s="30"/>
      <c r="GWN617" s="30"/>
      <c r="GWO617" s="30"/>
      <c r="GWP617" s="30"/>
      <c r="GWQ617" s="30"/>
      <c r="GWR617" s="30"/>
      <c r="GWS617" s="30"/>
      <c r="GWT617" s="30"/>
      <c r="GWU617" s="30"/>
      <c r="GWV617" s="30"/>
      <c r="GWW617" s="30"/>
      <c r="GWX617" s="30"/>
      <c r="GWY617" s="30"/>
      <c r="GWZ617" s="30"/>
      <c r="GXA617" s="30"/>
      <c r="GXB617" s="30"/>
      <c r="GXC617" s="30"/>
      <c r="GXD617" s="30"/>
      <c r="GXE617" s="30"/>
      <c r="GXF617" s="30"/>
      <c r="GXG617" s="30"/>
      <c r="GXH617" s="30"/>
      <c r="GXI617" s="30"/>
      <c r="GXJ617" s="30"/>
      <c r="GXK617" s="30"/>
      <c r="GXL617" s="30"/>
      <c r="GXM617" s="30"/>
      <c r="GXN617" s="30"/>
      <c r="GXO617" s="30"/>
      <c r="GXP617" s="30"/>
      <c r="GXQ617" s="30"/>
      <c r="GXR617" s="30"/>
      <c r="GXS617" s="30"/>
      <c r="GXT617" s="30"/>
      <c r="GXU617" s="30"/>
      <c r="GXV617" s="30"/>
      <c r="GXW617" s="30"/>
      <c r="GXX617" s="30"/>
      <c r="GXY617" s="30"/>
      <c r="GXZ617" s="30"/>
      <c r="GYA617" s="30"/>
      <c r="GYB617" s="30"/>
      <c r="GYC617" s="30"/>
      <c r="GYD617" s="30"/>
      <c r="GYE617" s="30"/>
      <c r="GYF617" s="30"/>
      <c r="GYG617" s="30"/>
      <c r="GYH617" s="30"/>
      <c r="GYI617" s="30"/>
      <c r="GYJ617" s="30"/>
      <c r="GYK617" s="30"/>
      <c r="GYL617" s="30"/>
      <c r="GYM617" s="30"/>
      <c r="GYN617" s="30"/>
      <c r="GYO617" s="30"/>
      <c r="GYP617" s="30"/>
      <c r="GYQ617" s="30"/>
      <c r="GYR617" s="30"/>
      <c r="GYS617" s="30"/>
      <c r="GYT617" s="30"/>
      <c r="GYU617" s="30"/>
      <c r="GYV617" s="30"/>
      <c r="GYW617" s="30"/>
      <c r="GYX617" s="30"/>
      <c r="GYY617" s="30"/>
      <c r="GYZ617" s="30"/>
      <c r="GZA617" s="30"/>
      <c r="GZB617" s="30"/>
      <c r="GZC617" s="30"/>
      <c r="GZD617" s="30"/>
      <c r="GZE617" s="30"/>
      <c r="GZF617" s="30"/>
      <c r="GZG617" s="30"/>
      <c r="GZH617" s="30"/>
      <c r="GZI617" s="30"/>
      <c r="GZJ617" s="30"/>
      <c r="GZK617" s="30"/>
      <c r="GZL617" s="30"/>
      <c r="GZM617" s="30"/>
      <c r="GZN617" s="30"/>
      <c r="GZO617" s="30"/>
      <c r="GZP617" s="30"/>
      <c r="GZQ617" s="30"/>
      <c r="GZR617" s="30"/>
      <c r="GZS617" s="30"/>
      <c r="GZT617" s="30"/>
      <c r="GZU617" s="30"/>
      <c r="GZV617" s="30"/>
      <c r="GZW617" s="30"/>
      <c r="GZX617" s="30"/>
      <c r="GZY617" s="30"/>
      <c r="GZZ617" s="30"/>
      <c r="HAA617" s="30"/>
      <c r="HAB617" s="30"/>
      <c r="HAC617" s="30"/>
      <c r="HAD617" s="30"/>
      <c r="HAE617" s="30"/>
      <c r="HAF617" s="30"/>
      <c r="HAG617" s="30"/>
      <c r="HAH617" s="30"/>
      <c r="HAI617" s="30"/>
      <c r="HAJ617" s="30"/>
      <c r="HAK617" s="30"/>
      <c r="HAL617" s="30"/>
      <c r="HAM617" s="30"/>
      <c r="HAN617" s="30"/>
      <c r="HAO617" s="30"/>
      <c r="HAP617" s="30"/>
      <c r="HAQ617" s="30"/>
      <c r="HAR617" s="30"/>
      <c r="HAS617" s="30"/>
      <c r="HAT617" s="30"/>
      <c r="HAU617" s="30"/>
      <c r="HAV617" s="30"/>
      <c r="HAW617" s="30"/>
      <c r="HAX617" s="30"/>
      <c r="HAY617" s="30"/>
      <c r="HAZ617" s="30"/>
      <c r="HBA617" s="30"/>
      <c r="HBB617" s="30"/>
      <c r="HBC617" s="30"/>
      <c r="HBD617" s="30"/>
      <c r="HBE617" s="30"/>
      <c r="HBF617" s="30"/>
      <c r="HBG617" s="30"/>
      <c r="HBH617" s="30"/>
      <c r="HBI617" s="30"/>
      <c r="HBJ617" s="30"/>
      <c r="HBK617" s="30"/>
      <c r="HBL617" s="30"/>
      <c r="HBM617" s="30"/>
      <c r="HBN617" s="30"/>
      <c r="HBO617" s="30"/>
      <c r="HBP617" s="30"/>
      <c r="HBQ617" s="30"/>
      <c r="HBR617" s="30"/>
      <c r="HBS617" s="30"/>
      <c r="HBT617" s="30"/>
      <c r="HBU617" s="30"/>
      <c r="HBV617" s="30"/>
      <c r="HBW617" s="30"/>
      <c r="HBX617" s="30"/>
      <c r="HBY617" s="30"/>
      <c r="HBZ617" s="30"/>
      <c r="HCA617" s="30"/>
      <c r="HCB617" s="30"/>
      <c r="HCC617" s="30"/>
      <c r="HCD617" s="30"/>
      <c r="HCE617" s="30"/>
      <c r="HCF617" s="30"/>
      <c r="HCG617" s="30"/>
      <c r="HCH617" s="30"/>
      <c r="HCI617" s="30"/>
      <c r="HCJ617" s="30"/>
      <c r="HCK617" s="30"/>
      <c r="HCL617" s="30"/>
      <c r="HCM617" s="30"/>
      <c r="HCN617" s="30"/>
      <c r="HCO617" s="30"/>
      <c r="HCP617" s="30"/>
      <c r="HCQ617" s="30"/>
      <c r="HCR617" s="30"/>
      <c r="HCS617" s="30"/>
      <c r="HCT617" s="30"/>
      <c r="HCU617" s="30"/>
      <c r="HCV617" s="30"/>
      <c r="HCW617" s="30"/>
      <c r="HCX617" s="30"/>
      <c r="HCY617" s="30"/>
      <c r="HCZ617" s="30"/>
      <c r="HDA617" s="30"/>
      <c r="HDB617" s="30"/>
      <c r="HDC617" s="30"/>
      <c r="HDD617" s="30"/>
      <c r="HDE617" s="30"/>
      <c r="HDF617" s="30"/>
      <c r="HDG617" s="30"/>
      <c r="HDH617" s="30"/>
      <c r="HDI617" s="30"/>
      <c r="HDJ617" s="30"/>
      <c r="HDK617" s="30"/>
      <c r="HDL617" s="30"/>
      <c r="HDM617" s="30"/>
      <c r="HDN617" s="30"/>
      <c r="HDO617" s="30"/>
      <c r="HDP617" s="30"/>
      <c r="HDQ617" s="30"/>
      <c r="HDR617" s="30"/>
      <c r="HDS617" s="30"/>
      <c r="HDT617" s="30"/>
      <c r="HDU617" s="30"/>
      <c r="HDV617" s="30"/>
      <c r="HDW617" s="30"/>
      <c r="HDX617" s="30"/>
      <c r="HDY617" s="30"/>
      <c r="HDZ617" s="30"/>
      <c r="HEA617" s="30"/>
      <c r="HEB617" s="30"/>
      <c r="HEC617" s="30"/>
      <c r="HED617" s="30"/>
      <c r="HEE617" s="30"/>
      <c r="HEF617" s="30"/>
      <c r="HEG617" s="30"/>
      <c r="HEH617" s="30"/>
      <c r="HEI617" s="30"/>
      <c r="HEJ617" s="30"/>
      <c r="HEK617" s="30"/>
      <c r="HEL617" s="30"/>
      <c r="HEM617" s="30"/>
      <c r="HEN617" s="30"/>
      <c r="HEO617" s="30"/>
      <c r="HEP617" s="30"/>
      <c r="HEQ617" s="30"/>
      <c r="HER617" s="30"/>
      <c r="HES617" s="30"/>
      <c r="HET617" s="30"/>
      <c r="HEU617" s="30"/>
      <c r="HEV617" s="30"/>
      <c r="HEW617" s="30"/>
      <c r="HEX617" s="30"/>
      <c r="HEY617" s="30"/>
      <c r="HEZ617" s="30"/>
      <c r="HFA617" s="30"/>
      <c r="HFB617" s="30"/>
      <c r="HFC617" s="30"/>
      <c r="HFD617" s="30"/>
      <c r="HFE617" s="30"/>
      <c r="HFF617" s="30"/>
      <c r="HFG617" s="30"/>
      <c r="HFH617" s="30"/>
      <c r="HFI617" s="30"/>
      <c r="HFJ617" s="30"/>
      <c r="HFK617" s="30"/>
      <c r="HFL617" s="30"/>
      <c r="HFM617" s="30"/>
      <c r="HFN617" s="30"/>
      <c r="HFO617" s="30"/>
      <c r="HFP617" s="30"/>
      <c r="HFQ617" s="30"/>
      <c r="HFR617" s="30"/>
      <c r="HFS617" s="30"/>
      <c r="HFT617" s="30"/>
      <c r="HFU617" s="30"/>
      <c r="HFV617" s="30"/>
      <c r="HFW617" s="30"/>
      <c r="HFX617" s="30"/>
      <c r="HFY617" s="30"/>
      <c r="HFZ617" s="30"/>
      <c r="HGA617" s="30"/>
      <c r="HGB617" s="30"/>
      <c r="HGC617" s="30"/>
      <c r="HGD617" s="30"/>
      <c r="HGE617" s="30"/>
      <c r="HGF617" s="30"/>
      <c r="HGG617" s="30"/>
      <c r="HGH617" s="30"/>
      <c r="HGI617" s="30"/>
      <c r="HGJ617" s="30"/>
      <c r="HGK617" s="30"/>
      <c r="HGL617" s="30"/>
      <c r="HGM617" s="30"/>
      <c r="HGN617" s="30"/>
      <c r="HGO617" s="30"/>
      <c r="HGP617" s="30"/>
      <c r="HGQ617" s="30"/>
      <c r="HGR617" s="30"/>
      <c r="HGS617" s="30"/>
      <c r="HGT617" s="30"/>
      <c r="HGU617" s="30"/>
      <c r="HGV617" s="30"/>
      <c r="HGW617" s="30"/>
      <c r="HGX617" s="30"/>
      <c r="HGY617" s="30"/>
      <c r="HGZ617" s="30"/>
      <c r="HHA617" s="30"/>
      <c r="HHB617" s="30"/>
      <c r="HHC617" s="30"/>
      <c r="HHD617" s="30"/>
      <c r="HHE617" s="30"/>
      <c r="HHF617" s="30"/>
      <c r="HHG617" s="30"/>
      <c r="HHH617" s="30"/>
      <c r="HHI617" s="30"/>
      <c r="HHJ617" s="30"/>
      <c r="HHK617" s="30"/>
      <c r="HHL617" s="30"/>
      <c r="HHM617" s="30"/>
      <c r="HHN617" s="30"/>
      <c r="HHO617" s="30"/>
      <c r="HHP617" s="30"/>
      <c r="HHQ617" s="30"/>
      <c r="HHR617" s="30"/>
      <c r="HHS617" s="30"/>
      <c r="HHT617" s="30"/>
      <c r="HHU617" s="30"/>
      <c r="HHV617" s="30"/>
      <c r="HHW617" s="30"/>
      <c r="HHX617" s="30"/>
      <c r="HHY617" s="30"/>
      <c r="HHZ617" s="30"/>
      <c r="HIA617" s="30"/>
      <c r="HIB617" s="30"/>
      <c r="HIC617" s="30"/>
      <c r="HID617" s="30"/>
      <c r="HIE617" s="30"/>
      <c r="HIF617" s="30"/>
      <c r="HIG617" s="30"/>
      <c r="HIH617" s="30"/>
      <c r="HII617" s="30"/>
      <c r="HIJ617" s="30"/>
      <c r="HIK617" s="30"/>
      <c r="HIL617" s="30"/>
      <c r="HIM617" s="30"/>
      <c r="HIN617" s="30"/>
      <c r="HIO617" s="30"/>
      <c r="HIP617" s="30"/>
      <c r="HIQ617" s="30"/>
      <c r="HIR617" s="30"/>
      <c r="HIS617" s="30"/>
      <c r="HIT617" s="30"/>
      <c r="HIU617" s="30"/>
      <c r="HIV617" s="30"/>
      <c r="HIW617" s="30"/>
      <c r="HIX617" s="30"/>
      <c r="HIY617" s="30"/>
      <c r="HIZ617" s="30"/>
      <c r="HJA617" s="30"/>
      <c r="HJB617" s="30"/>
      <c r="HJC617" s="30"/>
      <c r="HJD617" s="30"/>
      <c r="HJE617" s="30"/>
      <c r="HJF617" s="30"/>
      <c r="HJG617" s="30"/>
      <c r="HJH617" s="30"/>
      <c r="HJI617" s="30"/>
      <c r="HJJ617" s="30"/>
      <c r="HJK617" s="30"/>
      <c r="HJL617" s="30"/>
      <c r="HJM617" s="30"/>
      <c r="HJN617" s="30"/>
      <c r="HJO617" s="30"/>
      <c r="HJP617" s="30"/>
      <c r="HJQ617" s="30"/>
      <c r="HJR617" s="30"/>
      <c r="HJS617" s="30"/>
      <c r="HJT617" s="30"/>
      <c r="HJU617" s="30"/>
      <c r="HJV617" s="30"/>
      <c r="HJW617" s="30"/>
      <c r="HJX617" s="30"/>
      <c r="HJY617" s="30"/>
      <c r="HJZ617" s="30"/>
      <c r="HKA617" s="30"/>
      <c r="HKB617" s="30"/>
      <c r="HKC617" s="30"/>
      <c r="HKD617" s="30"/>
      <c r="HKE617" s="30"/>
      <c r="HKF617" s="30"/>
      <c r="HKG617" s="30"/>
      <c r="HKH617" s="30"/>
      <c r="HKI617" s="30"/>
      <c r="HKJ617" s="30"/>
      <c r="HKK617" s="30"/>
      <c r="HKL617" s="30"/>
      <c r="HKM617" s="30"/>
      <c r="HKN617" s="30"/>
      <c r="HKO617" s="30"/>
      <c r="HKP617" s="30"/>
      <c r="HKQ617" s="30"/>
      <c r="HKR617" s="30"/>
      <c r="HKS617" s="30"/>
      <c r="HKT617" s="30"/>
      <c r="HKU617" s="30"/>
      <c r="HKV617" s="30"/>
      <c r="HKW617" s="30"/>
      <c r="HKX617" s="30"/>
      <c r="HKY617" s="30"/>
      <c r="HKZ617" s="30"/>
      <c r="HLA617" s="30"/>
      <c r="HLB617" s="30"/>
      <c r="HLC617" s="30"/>
      <c r="HLD617" s="30"/>
      <c r="HLE617" s="30"/>
      <c r="HLF617" s="30"/>
      <c r="HLG617" s="30"/>
      <c r="HLH617" s="30"/>
      <c r="HLI617" s="30"/>
      <c r="HLJ617" s="30"/>
      <c r="HLK617" s="30"/>
      <c r="HLL617" s="30"/>
      <c r="HLM617" s="30"/>
      <c r="HLN617" s="30"/>
      <c r="HLO617" s="30"/>
      <c r="HLP617" s="30"/>
      <c r="HLQ617" s="30"/>
      <c r="HLR617" s="30"/>
      <c r="HLS617" s="30"/>
      <c r="HLT617" s="30"/>
      <c r="HLU617" s="30"/>
      <c r="HLV617" s="30"/>
      <c r="HLW617" s="30"/>
      <c r="HLX617" s="30"/>
      <c r="HLY617" s="30"/>
      <c r="HLZ617" s="30"/>
      <c r="HMA617" s="30"/>
      <c r="HMB617" s="30"/>
      <c r="HMC617" s="30"/>
      <c r="HMD617" s="30"/>
      <c r="HME617" s="30"/>
      <c r="HMF617" s="30"/>
      <c r="HMG617" s="30"/>
      <c r="HMH617" s="30"/>
      <c r="HMI617" s="30"/>
      <c r="HMJ617" s="30"/>
      <c r="HMK617" s="30"/>
      <c r="HML617" s="30"/>
      <c r="HMM617" s="30"/>
      <c r="HMN617" s="30"/>
      <c r="HMO617" s="30"/>
      <c r="HMP617" s="30"/>
      <c r="HMQ617" s="30"/>
      <c r="HMR617" s="30"/>
      <c r="HMS617" s="30"/>
      <c r="HMT617" s="30"/>
      <c r="HMU617" s="30"/>
      <c r="HMV617" s="30"/>
      <c r="HMW617" s="30"/>
      <c r="HMX617" s="30"/>
      <c r="HMY617" s="30"/>
      <c r="HMZ617" s="30"/>
      <c r="HNA617" s="30"/>
      <c r="HNB617" s="30"/>
      <c r="HNC617" s="30"/>
      <c r="HND617" s="30"/>
      <c r="HNE617" s="30"/>
      <c r="HNF617" s="30"/>
      <c r="HNG617" s="30"/>
      <c r="HNH617" s="30"/>
      <c r="HNI617" s="30"/>
      <c r="HNJ617" s="30"/>
      <c r="HNK617" s="30"/>
      <c r="HNL617" s="30"/>
      <c r="HNM617" s="30"/>
      <c r="HNN617" s="30"/>
      <c r="HNO617" s="30"/>
      <c r="HNP617" s="30"/>
      <c r="HNQ617" s="30"/>
      <c r="HNR617" s="30"/>
      <c r="HNS617" s="30"/>
      <c r="HNT617" s="30"/>
      <c r="HNU617" s="30"/>
      <c r="HNV617" s="30"/>
      <c r="HNW617" s="30"/>
      <c r="HNX617" s="30"/>
      <c r="HNY617" s="30"/>
      <c r="HNZ617" s="30"/>
      <c r="HOA617" s="30"/>
      <c r="HOB617" s="30"/>
      <c r="HOC617" s="30"/>
      <c r="HOD617" s="30"/>
      <c r="HOE617" s="30"/>
      <c r="HOF617" s="30"/>
      <c r="HOG617" s="30"/>
      <c r="HOH617" s="30"/>
      <c r="HOI617" s="30"/>
      <c r="HOJ617" s="30"/>
      <c r="HOK617" s="30"/>
      <c r="HOL617" s="30"/>
      <c r="HOM617" s="30"/>
      <c r="HON617" s="30"/>
      <c r="HOO617" s="30"/>
      <c r="HOP617" s="30"/>
      <c r="HOQ617" s="30"/>
      <c r="HOR617" s="30"/>
      <c r="HOS617" s="30"/>
      <c r="HOT617" s="30"/>
      <c r="HOU617" s="30"/>
      <c r="HOV617" s="30"/>
      <c r="HOW617" s="30"/>
      <c r="HOX617" s="30"/>
      <c r="HOY617" s="30"/>
      <c r="HOZ617" s="30"/>
      <c r="HPA617" s="30"/>
      <c r="HPB617" s="30"/>
      <c r="HPC617" s="30"/>
      <c r="HPD617" s="30"/>
      <c r="HPE617" s="30"/>
      <c r="HPF617" s="30"/>
      <c r="HPG617" s="30"/>
      <c r="HPH617" s="30"/>
      <c r="HPI617" s="30"/>
      <c r="HPJ617" s="30"/>
      <c r="HPK617" s="30"/>
      <c r="HPL617" s="30"/>
      <c r="HPM617" s="30"/>
      <c r="HPN617" s="30"/>
      <c r="HPO617" s="30"/>
      <c r="HPP617" s="30"/>
      <c r="HPQ617" s="30"/>
      <c r="HPR617" s="30"/>
      <c r="HPS617" s="30"/>
      <c r="HPT617" s="30"/>
      <c r="HPU617" s="30"/>
      <c r="HPV617" s="30"/>
      <c r="HPW617" s="30"/>
      <c r="HPX617" s="30"/>
      <c r="HPY617" s="30"/>
      <c r="HPZ617" s="30"/>
      <c r="HQA617" s="30"/>
      <c r="HQB617" s="30"/>
      <c r="HQC617" s="30"/>
      <c r="HQD617" s="30"/>
      <c r="HQE617" s="30"/>
      <c r="HQF617" s="30"/>
      <c r="HQG617" s="30"/>
      <c r="HQH617" s="30"/>
      <c r="HQI617" s="30"/>
      <c r="HQJ617" s="30"/>
      <c r="HQK617" s="30"/>
      <c r="HQL617" s="30"/>
      <c r="HQM617" s="30"/>
      <c r="HQN617" s="30"/>
      <c r="HQO617" s="30"/>
      <c r="HQP617" s="30"/>
      <c r="HQQ617" s="30"/>
      <c r="HQR617" s="30"/>
      <c r="HQS617" s="30"/>
      <c r="HQT617" s="30"/>
      <c r="HQU617" s="30"/>
      <c r="HQV617" s="30"/>
      <c r="HQW617" s="30"/>
      <c r="HQX617" s="30"/>
      <c r="HQY617" s="30"/>
      <c r="HQZ617" s="30"/>
      <c r="HRA617" s="30"/>
      <c r="HRB617" s="30"/>
      <c r="HRC617" s="30"/>
      <c r="HRD617" s="30"/>
      <c r="HRE617" s="30"/>
      <c r="HRF617" s="30"/>
      <c r="HRG617" s="30"/>
      <c r="HRH617" s="30"/>
      <c r="HRI617" s="30"/>
      <c r="HRJ617" s="30"/>
      <c r="HRK617" s="30"/>
      <c r="HRL617" s="30"/>
      <c r="HRM617" s="30"/>
      <c r="HRN617" s="30"/>
      <c r="HRO617" s="30"/>
      <c r="HRP617" s="30"/>
      <c r="HRQ617" s="30"/>
      <c r="HRR617" s="30"/>
      <c r="HRS617" s="30"/>
      <c r="HRT617" s="30"/>
      <c r="HRU617" s="30"/>
      <c r="HRV617" s="30"/>
      <c r="HRW617" s="30"/>
      <c r="HRX617" s="30"/>
      <c r="HRY617" s="30"/>
      <c r="HRZ617" s="30"/>
      <c r="HSA617" s="30"/>
      <c r="HSB617" s="30"/>
      <c r="HSC617" s="30"/>
      <c r="HSD617" s="30"/>
      <c r="HSE617" s="30"/>
      <c r="HSF617" s="30"/>
      <c r="HSG617" s="30"/>
      <c r="HSH617" s="30"/>
      <c r="HSI617" s="30"/>
      <c r="HSJ617" s="30"/>
      <c r="HSK617" s="30"/>
      <c r="HSL617" s="30"/>
      <c r="HSM617" s="30"/>
      <c r="HSN617" s="30"/>
      <c r="HSO617" s="30"/>
      <c r="HSP617" s="30"/>
      <c r="HSQ617" s="30"/>
      <c r="HSR617" s="30"/>
      <c r="HSS617" s="30"/>
      <c r="HST617" s="30"/>
      <c r="HSU617" s="30"/>
      <c r="HSV617" s="30"/>
      <c r="HSW617" s="30"/>
      <c r="HSX617" s="30"/>
      <c r="HSY617" s="30"/>
      <c r="HSZ617" s="30"/>
      <c r="HTA617" s="30"/>
      <c r="HTB617" s="30"/>
      <c r="HTC617" s="30"/>
      <c r="HTD617" s="30"/>
      <c r="HTE617" s="30"/>
      <c r="HTF617" s="30"/>
      <c r="HTG617" s="30"/>
      <c r="HTH617" s="30"/>
      <c r="HTI617" s="30"/>
      <c r="HTJ617" s="30"/>
      <c r="HTK617" s="30"/>
      <c r="HTL617" s="30"/>
      <c r="HTM617" s="30"/>
      <c r="HTN617" s="30"/>
      <c r="HTO617" s="30"/>
      <c r="HTP617" s="30"/>
      <c r="HTQ617" s="30"/>
      <c r="HTR617" s="30"/>
      <c r="HTS617" s="30"/>
      <c r="HTT617" s="30"/>
      <c r="HTU617" s="30"/>
      <c r="HTV617" s="30"/>
      <c r="HTW617" s="30"/>
      <c r="HTX617" s="30"/>
      <c r="HTY617" s="30"/>
      <c r="HTZ617" s="30"/>
      <c r="HUA617" s="30"/>
      <c r="HUB617" s="30"/>
      <c r="HUC617" s="30"/>
      <c r="HUD617" s="30"/>
      <c r="HUE617" s="30"/>
      <c r="HUF617" s="30"/>
      <c r="HUG617" s="30"/>
      <c r="HUH617" s="30"/>
      <c r="HUI617" s="30"/>
      <c r="HUJ617" s="30"/>
      <c r="HUK617" s="30"/>
      <c r="HUL617" s="30"/>
      <c r="HUM617" s="30"/>
      <c r="HUN617" s="30"/>
      <c r="HUO617" s="30"/>
      <c r="HUP617" s="30"/>
      <c r="HUQ617" s="30"/>
      <c r="HUR617" s="30"/>
      <c r="HUS617" s="30"/>
      <c r="HUT617" s="30"/>
      <c r="HUU617" s="30"/>
      <c r="HUV617" s="30"/>
      <c r="HUW617" s="30"/>
      <c r="HUX617" s="30"/>
      <c r="HUY617" s="30"/>
      <c r="HUZ617" s="30"/>
      <c r="HVA617" s="30"/>
      <c r="HVB617" s="30"/>
      <c r="HVC617" s="30"/>
      <c r="HVD617" s="30"/>
      <c r="HVE617" s="30"/>
      <c r="HVF617" s="30"/>
      <c r="HVG617" s="30"/>
      <c r="HVH617" s="30"/>
      <c r="HVI617" s="30"/>
      <c r="HVJ617" s="30"/>
      <c r="HVK617" s="30"/>
      <c r="HVL617" s="30"/>
      <c r="HVM617" s="30"/>
      <c r="HVN617" s="30"/>
      <c r="HVO617" s="30"/>
      <c r="HVP617" s="30"/>
      <c r="HVQ617" s="30"/>
      <c r="HVR617" s="30"/>
      <c r="HVS617" s="30"/>
      <c r="HVT617" s="30"/>
      <c r="HVU617" s="30"/>
      <c r="HVV617" s="30"/>
      <c r="HVW617" s="30"/>
      <c r="HVX617" s="30"/>
      <c r="HVY617" s="30"/>
      <c r="HVZ617" s="30"/>
      <c r="HWA617" s="30"/>
      <c r="HWB617" s="30"/>
      <c r="HWC617" s="30"/>
      <c r="HWD617" s="30"/>
      <c r="HWE617" s="30"/>
      <c r="HWF617" s="30"/>
      <c r="HWG617" s="30"/>
      <c r="HWH617" s="30"/>
      <c r="HWI617" s="30"/>
      <c r="HWJ617" s="30"/>
      <c r="HWK617" s="30"/>
      <c r="HWL617" s="30"/>
      <c r="HWM617" s="30"/>
      <c r="HWN617" s="30"/>
      <c r="HWO617" s="30"/>
      <c r="HWP617" s="30"/>
      <c r="HWQ617" s="30"/>
      <c r="HWR617" s="30"/>
      <c r="HWS617" s="30"/>
      <c r="HWT617" s="30"/>
      <c r="HWU617" s="30"/>
      <c r="HWV617" s="30"/>
      <c r="HWW617" s="30"/>
      <c r="HWX617" s="30"/>
      <c r="HWY617" s="30"/>
      <c r="HWZ617" s="30"/>
      <c r="HXA617" s="30"/>
      <c r="HXB617" s="30"/>
      <c r="HXC617" s="30"/>
      <c r="HXD617" s="30"/>
      <c r="HXE617" s="30"/>
      <c r="HXF617" s="30"/>
      <c r="HXG617" s="30"/>
      <c r="HXH617" s="30"/>
      <c r="HXI617" s="30"/>
      <c r="HXJ617" s="30"/>
      <c r="HXK617" s="30"/>
      <c r="HXL617" s="30"/>
      <c r="HXM617" s="30"/>
      <c r="HXN617" s="30"/>
      <c r="HXO617" s="30"/>
      <c r="HXP617" s="30"/>
      <c r="HXQ617" s="30"/>
      <c r="HXR617" s="30"/>
      <c r="HXS617" s="30"/>
      <c r="HXT617" s="30"/>
      <c r="HXU617" s="30"/>
      <c r="HXV617" s="30"/>
      <c r="HXW617" s="30"/>
      <c r="HXX617" s="30"/>
      <c r="HXY617" s="30"/>
      <c r="HXZ617" s="30"/>
      <c r="HYA617" s="30"/>
      <c r="HYB617" s="30"/>
      <c r="HYC617" s="30"/>
      <c r="HYD617" s="30"/>
      <c r="HYE617" s="30"/>
      <c r="HYF617" s="30"/>
      <c r="HYG617" s="30"/>
      <c r="HYH617" s="30"/>
      <c r="HYI617" s="30"/>
      <c r="HYJ617" s="30"/>
      <c r="HYK617" s="30"/>
      <c r="HYL617" s="30"/>
      <c r="HYM617" s="30"/>
      <c r="HYN617" s="30"/>
      <c r="HYO617" s="30"/>
      <c r="HYP617" s="30"/>
      <c r="HYQ617" s="30"/>
      <c r="HYR617" s="30"/>
      <c r="HYS617" s="30"/>
      <c r="HYT617" s="30"/>
      <c r="HYU617" s="30"/>
      <c r="HYV617" s="30"/>
      <c r="HYW617" s="30"/>
      <c r="HYX617" s="30"/>
      <c r="HYY617" s="30"/>
      <c r="HYZ617" s="30"/>
      <c r="HZA617" s="30"/>
      <c r="HZB617" s="30"/>
      <c r="HZC617" s="30"/>
      <c r="HZD617" s="30"/>
      <c r="HZE617" s="30"/>
      <c r="HZF617" s="30"/>
      <c r="HZG617" s="30"/>
      <c r="HZH617" s="30"/>
      <c r="HZI617" s="30"/>
      <c r="HZJ617" s="30"/>
      <c r="HZK617" s="30"/>
      <c r="HZL617" s="30"/>
      <c r="HZM617" s="30"/>
      <c r="HZN617" s="30"/>
      <c r="HZO617" s="30"/>
      <c r="HZP617" s="30"/>
      <c r="HZQ617" s="30"/>
      <c r="HZR617" s="30"/>
      <c r="HZS617" s="30"/>
      <c r="HZT617" s="30"/>
      <c r="HZU617" s="30"/>
      <c r="HZV617" s="30"/>
      <c r="HZW617" s="30"/>
      <c r="HZX617" s="30"/>
      <c r="HZY617" s="30"/>
      <c r="HZZ617" s="30"/>
      <c r="IAA617" s="30"/>
      <c r="IAB617" s="30"/>
      <c r="IAC617" s="30"/>
      <c r="IAD617" s="30"/>
      <c r="IAE617" s="30"/>
      <c r="IAF617" s="30"/>
      <c r="IAG617" s="30"/>
      <c r="IAH617" s="30"/>
      <c r="IAI617" s="30"/>
      <c r="IAJ617" s="30"/>
      <c r="IAK617" s="30"/>
      <c r="IAL617" s="30"/>
      <c r="IAM617" s="30"/>
      <c r="IAN617" s="30"/>
      <c r="IAO617" s="30"/>
      <c r="IAP617" s="30"/>
      <c r="IAQ617" s="30"/>
      <c r="IAR617" s="30"/>
      <c r="IAS617" s="30"/>
      <c r="IAT617" s="30"/>
      <c r="IAU617" s="30"/>
      <c r="IAV617" s="30"/>
      <c r="IAW617" s="30"/>
      <c r="IAX617" s="30"/>
      <c r="IAY617" s="30"/>
      <c r="IAZ617" s="30"/>
      <c r="IBA617" s="30"/>
      <c r="IBB617" s="30"/>
      <c r="IBC617" s="30"/>
      <c r="IBD617" s="30"/>
      <c r="IBE617" s="30"/>
      <c r="IBF617" s="30"/>
      <c r="IBG617" s="30"/>
      <c r="IBH617" s="30"/>
      <c r="IBI617" s="30"/>
      <c r="IBJ617" s="30"/>
      <c r="IBK617" s="30"/>
      <c r="IBL617" s="30"/>
      <c r="IBM617" s="30"/>
      <c r="IBN617" s="30"/>
      <c r="IBO617" s="30"/>
      <c r="IBP617" s="30"/>
      <c r="IBQ617" s="30"/>
      <c r="IBR617" s="30"/>
      <c r="IBS617" s="30"/>
      <c r="IBT617" s="30"/>
      <c r="IBU617" s="30"/>
      <c r="IBV617" s="30"/>
      <c r="IBW617" s="30"/>
      <c r="IBX617" s="30"/>
      <c r="IBY617" s="30"/>
      <c r="IBZ617" s="30"/>
      <c r="ICA617" s="30"/>
      <c r="ICB617" s="30"/>
      <c r="ICC617" s="30"/>
      <c r="ICD617" s="30"/>
      <c r="ICE617" s="30"/>
      <c r="ICF617" s="30"/>
      <c r="ICG617" s="30"/>
      <c r="ICH617" s="30"/>
      <c r="ICI617" s="30"/>
      <c r="ICJ617" s="30"/>
      <c r="ICK617" s="30"/>
      <c r="ICL617" s="30"/>
      <c r="ICM617" s="30"/>
      <c r="ICN617" s="30"/>
      <c r="ICO617" s="30"/>
      <c r="ICP617" s="30"/>
      <c r="ICQ617" s="30"/>
      <c r="ICR617" s="30"/>
      <c r="ICS617" s="30"/>
      <c r="ICT617" s="30"/>
      <c r="ICU617" s="30"/>
      <c r="ICV617" s="30"/>
      <c r="ICW617" s="30"/>
      <c r="ICX617" s="30"/>
      <c r="ICY617" s="30"/>
      <c r="ICZ617" s="30"/>
      <c r="IDA617" s="30"/>
      <c r="IDB617" s="30"/>
      <c r="IDC617" s="30"/>
      <c r="IDD617" s="30"/>
      <c r="IDE617" s="30"/>
      <c r="IDF617" s="30"/>
      <c r="IDG617" s="30"/>
      <c r="IDH617" s="30"/>
      <c r="IDI617" s="30"/>
      <c r="IDJ617" s="30"/>
      <c r="IDK617" s="30"/>
      <c r="IDL617" s="30"/>
      <c r="IDM617" s="30"/>
      <c r="IDN617" s="30"/>
      <c r="IDO617" s="30"/>
      <c r="IDP617" s="30"/>
      <c r="IDQ617" s="30"/>
      <c r="IDR617" s="30"/>
      <c r="IDS617" s="30"/>
      <c r="IDT617" s="30"/>
      <c r="IDU617" s="30"/>
      <c r="IDV617" s="30"/>
      <c r="IDW617" s="30"/>
      <c r="IDX617" s="30"/>
      <c r="IDY617" s="30"/>
      <c r="IDZ617" s="30"/>
      <c r="IEA617" s="30"/>
      <c r="IEB617" s="30"/>
      <c r="IEC617" s="30"/>
      <c r="IED617" s="30"/>
      <c r="IEE617" s="30"/>
      <c r="IEF617" s="30"/>
      <c r="IEG617" s="30"/>
      <c r="IEH617" s="30"/>
      <c r="IEI617" s="30"/>
      <c r="IEJ617" s="30"/>
      <c r="IEK617" s="30"/>
      <c r="IEL617" s="30"/>
      <c r="IEM617" s="30"/>
      <c r="IEN617" s="30"/>
      <c r="IEO617" s="30"/>
      <c r="IEP617" s="30"/>
      <c r="IEQ617" s="30"/>
      <c r="IER617" s="30"/>
      <c r="IES617" s="30"/>
      <c r="IET617" s="30"/>
      <c r="IEU617" s="30"/>
      <c r="IEV617" s="30"/>
      <c r="IEW617" s="30"/>
      <c r="IEX617" s="30"/>
      <c r="IEY617" s="30"/>
      <c r="IEZ617" s="30"/>
      <c r="IFA617" s="30"/>
      <c r="IFB617" s="30"/>
      <c r="IFC617" s="30"/>
      <c r="IFD617" s="30"/>
      <c r="IFE617" s="30"/>
      <c r="IFF617" s="30"/>
      <c r="IFG617" s="30"/>
      <c r="IFH617" s="30"/>
      <c r="IFI617" s="30"/>
      <c r="IFJ617" s="30"/>
      <c r="IFK617" s="30"/>
      <c r="IFL617" s="30"/>
      <c r="IFM617" s="30"/>
      <c r="IFN617" s="30"/>
      <c r="IFO617" s="30"/>
      <c r="IFP617" s="30"/>
      <c r="IFQ617" s="30"/>
      <c r="IFR617" s="30"/>
      <c r="IFS617" s="30"/>
      <c r="IFT617" s="30"/>
      <c r="IFU617" s="30"/>
      <c r="IFV617" s="30"/>
      <c r="IFW617" s="30"/>
      <c r="IFX617" s="30"/>
      <c r="IFY617" s="30"/>
      <c r="IFZ617" s="30"/>
      <c r="IGA617" s="30"/>
      <c r="IGB617" s="30"/>
      <c r="IGC617" s="30"/>
      <c r="IGD617" s="30"/>
      <c r="IGE617" s="30"/>
      <c r="IGF617" s="30"/>
      <c r="IGG617" s="30"/>
      <c r="IGH617" s="30"/>
      <c r="IGI617" s="30"/>
      <c r="IGJ617" s="30"/>
      <c r="IGK617" s="30"/>
      <c r="IGL617" s="30"/>
      <c r="IGM617" s="30"/>
      <c r="IGN617" s="30"/>
      <c r="IGO617" s="30"/>
      <c r="IGP617" s="30"/>
      <c r="IGQ617" s="30"/>
      <c r="IGR617" s="30"/>
      <c r="IGS617" s="30"/>
      <c r="IGT617" s="30"/>
      <c r="IGU617" s="30"/>
      <c r="IGV617" s="30"/>
      <c r="IGW617" s="30"/>
      <c r="IGX617" s="30"/>
      <c r="IGY617" s="30"/>
      <c r="IGZ617" s="30"/>
      <c r="IHA617" s="30"/>
      <c r="IHB617" s="30"/>
      <c r="IHC617" s="30"/>
      <c r="IHD617" s="30"/>
      <c r="IHE617" s="30"/>
      <c r="IHF617" s="30"/>
      <c r="IHG617" s="30"/>
      <c r="IHH617" s="30"/>
      <c r="IHI617" s="30"/>
      <c r="IHJ617" s="30"/>
      <c r="IHK617" s="30"/>
      <c r="IHL617" s="30"/>
      <c r="IHM617" s="30"/>
      <c r="IHN617" s="30"/>
      <c r="IHO617" s="30"/>
      <c r="IHP617" s="30"/>
      <c r="IHQ617" s="30"/>
      <c r="IHR617" s="30"/>
      <c r="IHS617" s="30"/>
      <c r="IHT617" s="30"/>
      <c r="IHU617" s="30"/>
      <c r="IHV617" s="30"/>
      <c r="IHW617" s="30"/>
      <c r="IHX617" s="30"/>
      <c r="IHY617" s="30"/>
      <c r="IHZ617" s="30"/>
      <c r="IIA617" s="30"/>
      <c r="IIB617" s="30"/>
      <c r="IIC617" s="30"/>
      <c r="IID617" s="30"/>
      <c r="IIE617" s="30"/>
      <c r="IIF617" s="30"/>
      <c r="IIG617" s="30"/>
      <c r="IIH617" s="30"/>
      <c r="III617" s="30"/>
      <c r="IIJ617" s="30"/>
      <c r="IIK617" s="30"/>
      <c r="IIL617" s="30"/>
      <c r="IIM617" s="30"/>
      <c r="IIN617" s="30"/>
      <c r="IIO617" s="30"/>
      <c r="IIP617" s="30"/>
      <c r="IIQ617" s="30"/>
      <c r="IIR617" s="30"/>
      <c r="IIS617" s="30"/>
      <c r="IIT617" s="30"/>
      <c r="IIU617" s="30"/>
      <c r="IIV617" s="30"/>
      <c r="IIW617" s="30"/>
      <c r="IIX617" s="30"/>
      <c r="IIY617" s="30"/>
      <c r="IIZ617" s="30"/>
      <c r="IJA617" s="30"/>
      <c r="IJB617" s="30"/>
      <c r="IJC617" s="30"/>
      <c r="IJD617" s="30"/>
      <c r="IJE617" s="30"/>
      <c r="IJF617" s="30"/>
      <c r="IJG617" s="30"/>
      <c r="IJH617" s="30"/>
      <c r="IJI617" s="30"/>
      <c r="IJJ617" s="30"/>
      <c r="IJK617" s="30"/>
      <c r="IJL617" s="30"/>
      <c r="IJM617" s="30"/>
      <c r="IJN617" s="30"/>
      <c r="IJO617" s="30"/>
      <c r="IJP617" s="30"/>
      <c r="IJQ617" s="30"/>
      <c r="IJR617" s="30"/>
      <c r="IJS617" s="30"/>
      <c r="IJT617" s="30"/>
      <c r="IJU617" s="30"/>
      <c r="IJV617" s="30"/>
      <c r="IJW617" s="30"/>
      <c r="IJX617" s="30"/>
      <c r="IJY617" s="30"/>
      <c r="IJZ617" s="30"/>
      <c r="IKA617" s="30"/>
      <c r="IKB617" s="30"/>
      <c r="IKC617" s="30"/>
      <c r="IKD617" s="30"/>
      <c r="IKE617" s="30"/>
      <c r="IKF617" s="30"/>
      <c r="IKG617" s="30"/>
      <c r="IKH617" s="30"/>
      <c r="IKI617" s="30"/>
      <c r="IKJ617" s="30"/>
      <c r="IKK617" s="30"/>
      <c r="IKL617" s="30"/>
      <c r="IKM617" s="30"/>
      <c r="IKN617" s="30"/>
      <c r="IKO617" s="30"/>
      <c r="IKP617" s="30"/>
      <c r="IKQ617" s="30"/>
      <c r="IKR617" s="30"/>
      <c r="IKS617" s="30"/>
      <c r="IKT617" s="30"/>
      <c r="IKU617" s="30"/>
      <c r="IKV617" s="30"/>
      <c r="IKW617" s="30"/>
      <c r="IKX617" s="30"/>
      <c r="IKY617" s="30"/>
      <c r="IKZ617" s="30"/>
      <c r="ILA617" s="30"/>
      <c r="ILB617" s="30"/>
      <c r="ILC617" s="30"/>
      <c r="ILD617" s="30"/>
      <c r="ILE617" s="30"/>
      <c r="ILF617" s="30"/>
      <c r="ILG617" s="30"/>
      <c r="ILH617" s="30"/>
      <c r="ILI617" s="30"/>
      <c r="ILJ617" s="30"/>
      <c r="ILK617" s="30"/>
      <c r="ILL617" s="30"/>
      <c r="ILM617" s="30"/>
      <c r="ILN617" s="30"/>
      <c r="ILO617" s="30"/>
      <c r="ILP617" s="30"/>
      <c r="ILQ617" s="30"/>
      <c r="ILR617" s="30"/>
      <c r="ILS617" s="30"/>
      <c r="ILT617" s="30"/>
      <c r="ILU617" s="30"/>
      <c r="ILV617" s="30"/>
      <c r="ILW617" s="30"/>
      <c r="ILX617" s="30"/>
      <c r="ILY617" s="30"/>
      <c r="ILZ617" s="30"/>
      <c r="IMA617" s="30"/>
      <c r="IMB617" s="30"/>
      <c r="IMC617" s="30"/>
      <c r="IMD617" s="30"/>
      <c r="IME617" s="30"/>
      <c r="IMF617" s="30"/>
      <c r="IMG617" s="30"/>
      <c r="IMH617" s="30"/>
      <c r="IMI617" s="30"/>
      <c r="IMJ617" s="30"/>
      <c r="IMK617" s="30"/>
      <c r="IML617" s="30"/>
      <c r="IMM617" s="30"/>
      <c r="IMN617" s="30"/>
      <c r="IMO617" s="30"/>
      <c r="IMP617" s="30"/>
      <c r="IMQ617" s="30"/>
      <c r="IMR617" s="30"/>
      <c r="IMS617" s="30"/>
      <c r="IMT617" s="30"/>
      <c r="IMU617" s="30"/>
      <c r="IMV617" s="30"/>
      <c r="IMW617" s="30"/>
      <c r="IMX617" s="30"/>
      <c r="IMY617" s="30"/>
      <c r="IMZ617" s="30"/>
      <c r="INA617" s="30"/>
      <c r="INB617" s="30"/>
      <c r="INC617" s="30"/>
      <c r="IND617" s="30"/>
      <c r="INE617" s="30"/>
      <c r="INF617" s="30"/>
      <c r="ING617" s="30"/>
      <c r="INH617" s="30"/>
      <c r="INI617" s="30"/>
      <c r="INJ617" s="30"/>
      <c r="INK617" s="30"/>
      <c r="INL617" s="30"/>
      <c r="INM617" s="30"/>
      <c r="INN617" s="30"/>
      <c r="INO617" s="30"/>
      <c r="INP617" s="30"/>
      <c r="INQ617" s="30"/>
      <c r="INR617" s="30"/>
      <c r="INS617" s="30"/>
      <c r="INT617" s="30"/>
      <c r="INU617" s="30"/>
      <c r="INV617" s="30"/>
      <c r="INW617" s="30"/>
      <c r="INX617" s="30"/>
      <c r="INY617" s="30"/>
      <c r="INZ617" s="30"/>
      <c r="IOA617" s="30"/>
      <c r="IOB617" s="30"/>
      <c r="IOC617" s="30"/>
      <c r="IOD617" s="30"/>
      <c r="IOE617" s="30"/>
      <c r="IOF617" s="30"/>
      <c r="IOG617" s="30"/>
      <c r="IOH617" s="30"/>
      <c r="IOI617" s="30"/>
      <c r="IOJ617" s="30"/>
      <c r="IOK617" s="30"/>
      <c r="IOL617" s="30"/>
      <c r="IOM617" s="30"/>
      <c r="ION617" s="30"/>
      <c r="IOO617" s="30"/>
      <c r="IOP617" s="30"/>
      <c r="IOQ617" s="30"/>
      <c r="IOR617" s="30"/>
      <c r="IOS617" s="30"/>
      <c r="IOT617" s="30"/>
      <c r="IOU617" s="30"/>
      <c r="IOV617" s="30"/>
      <c r="IOW617" s="30"/>
      <c r="IOX617" s="30"/>
      <c r="IOY617" s="30"/>
      <c r="IOZ617" s="30"/>
      <c r="IPA617" s="30"/>
      <c r="IPB617" s="30"/>
      <c r="IPC617" s="30"/>
      <c r="IPD617" s="30"/>
      <c r="IPE617" s="30"/>
      <c r="IPF617" s="30"/>
      <c r="IPG617" s="30"/>
      <c r="IPH617" s="30"/>
      <c r="IPI617" s="30"/>
      <c r="IPJ617" s="30"/>
      <c r="IPK617" s="30"/>
      <c r="IPL617" s="30"/>
      <c r="IPM617" s="30"/>
      <c r="IPN617" s="30"/>
      <c r="IPO617" s="30"/>
      <c r="IPP617" s="30"/>
      <c r="IPQ617" s="30"/>
      <c r="IPR617" s="30"/>
      <c r="IPS617" s="30"/>
      <c r="IPT617" s="30"/>
      <c r="IPU617" s="30"/>
      <c r="IPV617" s="30"/>
      <c r="IPW617" s="30"/>
      <c r="IPX617" s="30"/>
      <c r="IPY617" s="30"/>
      <c r="IPZ617" s="30"/>
      <c r="IQA617" s="30"/>
      <c r="IQB617" s="30"/>
      <c r="IQC617" s="30"/>
      <c r="IQD617" s="30"/>
      <c r="IQE617" s="30"/>
      <c r="IQF617" s="30"/>
      <c r="IQG617" s="30"/>
      <c r="IQH617" s="30"/>
      <c r="IQI617" s="30"/>
      <c r="IQJ617" s="30"/>
      <c r="IQK617" s="30"/>
      <c r="IQL617" s="30"/>
      <c r="IQM617" s="30"/>
      <c r="IQN617" s="30"/>
      <c r="IQO617" s="30"/>
      <c r="IQP617" s="30"/>
      <c r="IQQ617" s="30"/>
      <c r="IQR617" s="30"/>
      <c r="IQS617" s="30"/>
      <c r="IQT617" s="30"/>
      <c r="IQU617" s="30"/>
      <c r="IQV617" s="30"/>
      <c r="IQW617" s="30"/>
      <c r="IQX617" s="30"/>
      <c r="IQY617" s="30"/>
      <c r="IQZ617" s="30"/>
      <c r="IRA617" s="30"/>
      <c r="IRB617" s="30"/>
      <c r="IRC617" s="30"/>
      <c r="IRD617" s="30"/>
      <c r="IRE617" s="30"/>
      <c r="IRF617" s="30"/>
      <c r="IRG617" s="30"/>
      <c r="IRH617" s="30"/>
      <c r="IRI617" s="30"/>
      <c r="IRJ617" s="30"/>
      <c r="IRK617" s="30"/>
      <c r="IRL617" s="30"/>
      <c r="IRM617" s="30"/>
      <c r="IRN617" s="30"/>
      <c r="IRO617" s="30"/>
      <c r="IRP617" s="30"/>
      <c r="IRQ617" s="30"/>
      <c r="IRR617" s="30"/>
      <c r="IRS617" s="30"/>
      <c r="IRT617" s="30"/>
      <c r="IRU617" s="30"/>
      <c r="IRV617" s="30"/>
      <c r="IRW617" s="30"/>
      <c r="IRX617" s="30"/>
      <c r="IRY617" s="30"/>
      <c r="IRZ617" s="30"/>
      <c r="ISA617" s="30"/>
      <c r="ISB617" s="30"/>
      <c r="ISC617" s="30"/>
      <c r="ISD617" s="30"/>
      <c r="ISE617" s="30"/>
      <c r="ISF617" s="30"/>
      <c r="ISG617" s="30"/>
      <c r="ISH617" s="30"/>
      <c r="ISI617" s="30"/>
      <c r="ISJ617" s="30"/>
      <c r="ISK617" s="30"/>
      <c r="ISL617" s="30"/>
      <c r="ISM617" s="30"/>
      <c r="ISN617" s="30"/>
      <c r="ISO617" s="30"/>
      <c r="ISP617" s="30"/>
      <c r="ISQ617" s="30"/>
      <c r="ISR617" s="30"/>
      <c r="ISS617" s="30"/>
      <c r="IST617" s="30"/>
      <c r="ISU617" s="30"/>
      <c r="ISV617" s="30"/>
      <c r="ISW617" s="30"/>
      <c r="ISX617" s="30"/>
      <c r="ISY617" s="30"/>
      <c r="ISZ617" s="30"/>
      <c r="ITA617" s="30"/>
      <c r="ITB617" s="30"/>
      <c r="ITC617" s="30"/>
      <c r="ITD617" s="30"/>
      <c r="ITE617" s="30"/>
      <c r="ITF617" s="30"/>
      <c r="ITG617" s="30"/>
      <c r="ITH617" s="30"/>
      <c r="ITI617" s="30"/>
      <c r="ITJ617" s="30"/>
      <c r="ITK617" s="30"/>
      <c r="ITL617" s="30"/>
      <c r="ITM617" s="30"/>
      <c r="ITN617" s="30"/>
      <c r="ITO617" s="30"/>
      <c r="ITP617" s="30"/>
      <c r="ITQ617" s="30"/>
      <c r="ITR617" s="30"/>
      <c r="ITS617" s="30"/>
      <c r="ITT617" s="30"/>
      <c r="ITU617" s="30"/>
      <c r="ITV617" s="30"/>
      <c r="ITW617" s="30"/>
      <c r="ITX617" s="30"/>
      <c r="ITY617" s="30"/>
      <c r="ITZ617" s="30"/>
      <c r="IUA617" s="30"/>
      <c r="IUB617" s="30"/>
      <c r="IUC617" s="30"/>
      <c r="IUD617" s="30"/>
      <c r="IUE617" s="30"/>
      <c r="IUF617" s="30"/>
      <c r="IUG617" s="30"/>
      <c r="IUH617" s="30"/>
      <c r="IUI617" s="30"/>
      <c r="IUJ617" s="30"/>
      <c r="IUK617" s="30"/>
      <c r="IUL617" s="30"/>
      <c r="IUM617" s="30"/>
      <c r="IUN617" s="30"/>
      <c r="IUO617" s="30"/>
      <c r="IUP617" s="30"/>
      <c r="IUQ617" s="30"/>
      <c r="IUR617" s="30"/>
      <c r="IUS617" s="30"/>
      <c r="IUT617" s="30"/>
      <c r="IUU617" s="30"/>
      <c r="IUV617" s="30"/>
      <c r="IUW617" s="30"/>
      <c r="IUX617" s="30"/>
      <c r="IUY617" s="30"/>
      <c r="IUZ617" s="30"/>
      <c r="IVA617" s="30"/>
      <c r="IVB617" s="30"/>
      <c r="IVC617" s="30"/>
      <c r="IVD617" s="30"/>
      <c r="IVE617" s="30"/>
      <c r="IVF617" s="30"/>
      <c r="IVG617" s="30"/>
      <c r="IVH617" s="30"/>
      <c r="IVI617" s="30"/>
      <c r="IVJ617" s="30"/>
      <c r="IVK617" s="30"/>
      <c r="IVL617" s="30"/>
      <c r="IVM617" s="30"/>
      <c r="IVN617" s="30"/>
      <c r="IVO617" s="30"/>
      <c r="IVP617" s="30"/>
      <c r="IVQ617" s="30"/>
      <c r="IVR617" s="30"/>
      <c r="IVS617" s="30"/>
      <c r="IVT617" s="30"/>
      <c r="IVU617" s="30"/>
      <c r="IVV617" s="30"/>
      <c r="IVW617" s="30"/>
      <c r="IVX617" s="30"/>
      <c r="IVY617" s="30"/>
      <c r="IVZ617" s="30"/>
      <c r="IWA617" s="30"/>
      <c r="IWB617" s="30"/>
      <c r="IWC617" s="30"/>
      <c r="IWD617" s="30"/>
      <c r="IWE617" s="30"/>
      <c r="IWF617" s="30"/>
      <c r="IWG617" s="30"/>
      <c r="IWH617" s="30"/>
      <c r="IWI617" s="30"/>
      <c r="IWJ617" s="30"/>
      <c r="IWK617" s="30"/>
      <c r="IWL617" s="30"/>
      <c r="IWM617" s="30"/>
      <c r="IWN617" s="30"/>
      <c r="IWO617" s="30"/>
      <c r="IWP617" s="30"/>
      <c r="IWQ617" s="30"/>
      <c r="IWR617" s="30"/>
      <c r="IWS617" s="30"/>
      <c r="IWT617" s="30"/>
      <c r="IWU617" s="30"/>
      <c r="IWV617" s="30"/>
      <c r="IWW617" s="30"/>
      <c r="IWX617" s="30"/>
      <c r="IWY617" s="30"/>
      <c r="IWZ617" s="30"/>
      <c r="IXA617" s="30"/>
      <c r="IXB617" s="30"/>
      <c r="IXC617" s="30"/>
      <c r="IXD617" s="30"/>
      <c r="IXE617" s="30"/>
      <c r="IXF617" s="30"/>
      <c r="IXG617" s="30"/>
      <c r="IXH617" s="30"/>
      <c r="IXI617" s="30"/>
      <c r="IXJ617" s="30"/>
      <c r="IXK617" s="30"/>
      <c r="IXL617" s="30"/>
      <c r="IXM617" s="30"/>
      <c r="IXN617" s="30"/>
      <c r="IXO617" s="30"/>
      <c r="IXP617" s="30"/>
      <c r="IXQ617" s="30"/>
      <c r="IXR617" s="30"/>
      <c r="IXS617" s="30"/>
      <c r="IXT617" s="30"/>
      <c r="IXU617" s="30"/>
      <c r="IXV617" s="30"/>
      <c r="IXW617" s="30"/>
      <c r="IXX617" s="30"/>
      <c r="IXY617" s="30"/>
      <c r="IXZ617" s="30"/>
      <c r="IYA617" s="30"/>
      <c r="IYB617" s="30"/>
      <c r="IYC617" s="30"/>
      <c r="IYD617" s="30"/>
      <c r="IYE617" s="30"/>
      <c r="IYF617" s="30"/>
      <c r="IYG617" s="30"/>
      <c r="IYH617" s="30"/>
      <c r="IYI617" s="30"/>
      <c r="IYJ617" s="30"/>
      <c r="IYK617" s="30"/>
      <c r="IYL617" s="30"/>
      <c r="IYM617" s="30"/>
      <c r="IYN617" s="30"/>
      <c r="IYO617" s="30"/>
      <c r="IYP617" s="30"/>
      <c r="IYQ617" s="30"/>
      <c r="IYR617" s="30"/>
      <c r="IYS617" s="30"/>
      <c r="IYT617" s="30"/>
      <c r="IYU617" s="30"/>
      <c r="IYV617" s="30"/>
      <c r="IYW617" s="30"/>
      <c r="IYX617" s="30"/>
      <c r="IYY617" s="30"/>
      <c r="IYZ617" s="30"/>
      <c r="IZA617" s="30"/>
      <c r="IZB617" s="30"/>
      <c r="IZC617" s="30"/>
      <c r="IZD617" s="30"/>
      <c r="IZE617" s="30"/>
      <c r="IZF617" s="30"/>
      <c r="IZG617" s="30"/>
      <c r="IZH617" s="30"/>
      <c r="IZI617" s="30"/>
      <c r="IZJ617" s="30"/>
      <c r="IZK617" s="30"/>
      <c r="IZL617" s="30"/>
      <c r="IZM617" s="30"/>
      <c r="IZN617" s="30"/>
      <c r="IZO617" s="30"/>
      <c r="IZP617" s="30"/>
      <c r="IZQ617" s="30"/>
      <c r="IZR617" s="30"/>
      <c r="IZS617" s="30"/>
      <c r="IZT617" s="30"/>
      <c r="IZU617" s="30"/>
      <c r="IZV617" s="30"/>
      <c r="IZW617" s="30"/>
      <c r="IZX617" s="30"/>
      <c r="IZY617" s="30"/>
      <c r="IZZ617" s="30"/>
      <c r="JAA617" s="30"/>
      <c r="JAB617" s="30"/>
      <c r="JAC617" s="30"/>
      <c r="JAD617" s="30"/>
      <c r="JAE617" s="30"/>
      <c r="JAF617" s="30"/>
      <c r="JAG617" s="30"/>
      <c r="JAH617" s="30"/>
      <c r="JAI617" s="30"/>
      <c r="JAJ617" s="30"/>
      <c r="JAK617" s="30"/>
      <c r="JAL617" s="30"/>
      <c r="JAM617" s="30"/>
      <c r="JAN617" s="30"/>
      <c r="JAO617" s="30"/>
      <c r="JAP617" s="30"/>
      <c r="JAQ617" s="30"/>
      <c r="JAR617" s="30"/>
      <c r="JAS617" s="30"/>
      <c r="JAT617" s="30"/>
      <c r="JAU617" s="30"/>
      <c r="JAV617" s="30"/>
      <c r="JAW617" s="30"/>
      <c r="JAX617" s="30"/>
      <c r="JAY617" s="30"/>
      <c r="JAZ617" s="30"/>
      <c r="JBA617" s="30"/>
      <c r="JBB617" s="30"/>
      <c r="JBC617" s="30"/>
      <c r="JBD617" s="30"/>
      <c r="JBE617" s="30"/>
      <c r="JBF617" s="30"/>
      <c r="JBG617" s="30"/>
      <c r="JBH617" s="30"/>
      <c r="JBI617" s="30"/>
      <c r="JBJ617" s="30"/>
      <c r="JBK617" s="30"/>
      <c r="JBL617" s="30"/>
      <c r="JBM617" s="30"/>
      <c r="JBN617" s="30"/>
      <c r="JBO617" s="30"/>
      <c r="JBP617" s="30"/>
      <c r="JBQ617" s="30"/>
      <c r="JBR617" s="30"/>
      <c r="JBS617" s="30"/>
      <c r="JBT617" s="30"/>
      <c r="JBU617" s="30"/>
      <c r="JBV617" s="30"/>
      <c r="JBW617" s="30"/>
      <c r="JBX617" s="30"/>
      <c r="JBY617" s="30"/>
      <c r="JBZ617" s="30"/>
      <c r="JCA617" s="30"/>
      <c r="JCB617" s="30"/>
      <c r="JCC617" s="30"/>
      <c r="JCD617" s="30"/>
      <c r="JCE617" s="30"/>
      <c r="JCF617" s="30"/>
      <c r="JCG617" s="30"/>
      <c r="JCH617" s="30"/>
      <c r="JCI617" s="30"/>
      <c r="JCJ617" s="30"/>
      <c r="JCK617" s="30"/>
      <c r="JCL617" s="30"/>
      <c r="JCM617" s="30"/>
      <c r="JCN617" s="30"/>
      <c r="JCO617" s="30"/>
      <c r="JCP617" s="30"/>
      <c r="JCQ617" s="30"/>
      <c r="JCR617" s="30"/>
      <c r="JCS617" s="30"/>
      <c r="JCT617" s="30"/>
      <c r="JCU617" s="30"/>
      <c r="JCV617" s="30"/>
      <c r="JCW617" s="30"/>
      <c r="JCX617" s="30"/>
      <c r="JCY617" s="30"/>
      <c r="JCZ617" s="30"/>
      <c r="JDA617" s="30"/>
      <c r="JDB617" s="30"/>
      <c r="JDC617" s="30"/>
      <c r="JDD617" s="30"/>
      <c r="JDE617" s="30"/>
      <c r="JDF617" s="30"/>
      <c r="JDG617" s="30"/>
      <c r="JDH617" s="30"/>
      <c r="JDI617" s="30"/>
      <c r="JDJ617" s="30"/>
      <c r="JDK617" s="30"/>
      <c r="JDL617" s="30"/>
      <c r="JDM617" s="30"/>
      <c r="JDN617" s="30"/>
      <c r="JDO617" s="30"/>
      <c r="JDP617" s="30"/>
      <c r="JDQ617" s="30"/>
      <c r="JDR617" s="30"/>
      <c r="JDS617" s="30"/>
      <c r="JDT617" s="30"/>
      <c r="JDU617" s="30"/>
      <c r="JDV617" s="30"/>
      <c r="JDW617" s="30"/>
      <c r="JDX617" s="30"/>
      <c r="JDY617" s="30"/>
      <c r="JDZ617" s="30"/>
      <c r="JEA617" s="30"/>
      <c r="JEB617" s="30"/>
      <c r="JEC617" s="30"/>
      <c r="JED617" s="30"/>
      <c r="JEE617" s="30"/>
      <c r="JEF617" s="30"/>
      <c r="JEG617" s="30"/>
      <c r="JEH617" s="30"/>
      <c r="JEI617" s="30"/>
      <c r="JEJ617" s="30"/>
      <c r="JEK617" s="30"/>
      <c r="JEL617" s="30"/>
      <c r="JEM617" s="30"/>
      <c r="JEN617" s="30"/>
      <c r="JEO617" s="30"/>
      <c r="JEP617" s="30"/>
      <c r="JEQ617" s="30"/>
      <c r="JER617" s="30"/>
      <c r="JES617" s="30"/>
      <c r="JET617" s="30"/>
      <c r="JEU617" s="30"/>
      <c r="JEV617" s="30"/>
      <c r="JEW617" s="30"/>
      <c r="JEX617" s="30"/>
      <c r="JEY617" s="30"/>
      <c r="JEZ617" s="30"/>
      <c r="JFA617" s="30"/>
      <c r="JFB617" s="30"/>
      <c r="JFC617" s="30"/>
      <c r="JFD617" s="30"/>
      <c r="JFE617" s="30"/>
      <c r="JFF617" s="30"/>
      <c r="JFG617" s="30"/>
      <c r="JFH617" s="30"/>
      <c r="JFI617" s="30"/>
      <c r="JFJ617" s="30"/>
      <c r="JFK617" s="30"/>
      <c r="JFL617" s="30"/>
      <c r="JFM617" s="30"/>
      <c r="JFN617" s="30"/>
      <c r="JFO617" s="30"/>
      <c r="JFP617" s="30"/>
      <c r="JFQ617" s="30"/>
      <c r="JFR617" s="30"/>
      <c r="JFS617" s="30"/>
      <c r="JFT617" s="30"/>
      <c r="JFU617" s="30"/>
      <c r="JFV617" s="30"/>
      <c r="JFW617" s="30"/>
      <c r="JFX617" s="30"/>
      <c r="JFY617" s="30"/>
      <c r="JFZ617" s="30"/>
      <c r="JGA617" s="30"/>
      <c r="JGB617" s="30"/>
      <c r="JGC617" s="30"/>
      <c r="JGD617" s="30"/>
      <c r="JGE617" s="30"/>
      <c r="JGF617" s="30"/>
      <c r="JGG617" s="30"/>
      <c r="JGH617" s="30"/>
      <c r="JGI617" s="30"/>
      <c r="JGJ617" s="30"/>
      <c r="JGK617" s="30"/>
      <c r="JGL617" s="30"/>
      <c r="JGM617" s="30"/>
      <c r="JGN617" s="30"/>
      <c r="JGO617" s="30"/>
      <c r="JGP617" s="30"/>
      <c r="JGQ617" s="30"/>
      <c r="JGR617" s="30"/>
      <c r="JGS617" s="30"/>
      <c r="JGT617" s="30"/>
      <c r="JGU617" s="30"/>
      <c r="JGV617" s="30"/>
      <c r="JGW617" s="30"/>
      <c r="JGX617" s="30"/>
      <c r="JGY617" s="30"/>
      <c r="JGZ617" s="30"/>
      <c r="JHA617" s="30"/>
      <c r="JHB617" s="30"/>
      <c r="JHC617" s="30"/>
      <c r="JHD617" s="30"/>
      <c r="JHE617" s="30"/>
      <c r="JHF617" s="30"/>
      <c r="JHG617" s="30"/>
      <c r="JHH617" s="30"/>
      <c r="JHI617" s="30"/>
      <c r="JHJ617" s="30"/>
      <c r="JHK617" s="30"/>
      <c r="JHL617" s="30"/>
      <c r="JHM617" s="30"/>
      <c r="JHN617" s="30"/>
      <c r="JHO617" s="30"/>
      <c r="JHP617" s="30"/>
      <c r="JHQ617" s="30"/>
      <c r="JHR617" s="30"/>
      <c r="JHS617" s="30"/>
      <c r="JHT617" s="30"/>
      <c r="JHU617" s="30"/>
      <c r="JHV617" s="30"/>
      <c r="JHW617" s="30"/>
      <c r="JHX617" s="30"/>
      <c r="JHY617" s="30"/>
      <c r="JHZ617" s="30"/>
      <c r="JIA617" s="30"/>
      <c r="JIB617" s="30"/>
      <c r="JIC617" s="30"/>
      <c r="JID617" s="30"/>
      <c r="JIE617" s="30"/>
      <c r="JIF617" s="30"/>
      <c r="JIG617" s="30"/>
      <c r="JIH617" s="30"/>
      <c r="JII617" s="30"/>
      <c r="JIJ617" s="30"/>
      <c r="JIK617" s="30"/>
      <c r="JIL617" s="30"/>
      <c r="JIM617" s="30"/>
      <c r="JIN617" s="30"/>
      <c r="JIO617" s="30"/>
      <c r="JIP617" s="30"/>
      <c r="JIQ617" s="30"/>
      <c r="JIR617" s="30"/>
      <c r="JIS617" s="30"/>
      <c r="JIT617" s="30"/>
      <c r="JIU617" s="30"/>
      <c r="JIV617" s="30"/>
      <c r="JIW617" s="30"/>
      <c r="JIX617" s="30"/>
      <c r="JIY617" s="30"/>
      <c r="JIZ617" s="30"/>
      <c r="JJA617" s="30"/>
      <c r="JJB617" s="30"/>
      <c r="JJC617" s="30"/>
      <c r="JJD617" s="30"/>
      <c r="JJE617" s="30"/>
      <c r="JJF617" s="30"/>
      <c r="JJG617" s="30"/>
      <c r="JJH617" s="30"/>
      <c r="JJI617" s="30"/>
      <c r="JJJ617" s="30"/>
      <c r="JJK617" s="30"/>
      <c r="JJL617" s="30"/>
      <c r="JJM617" s="30"/>
      <c r="JJN617" s="30"/>
      <c r="JJO617" s="30"/>
      <c r="JJP617" s="30"/>
      <c r="JJQ617" s="30"/>
      <c r="JJR617" s="30"/>
      <c r="JJS617" s="30"/>
      <c r="JJT617" s="30"/>
      <c r="JJU617" s="30"/>
      <c r="JJV617" s="30"/>
      <c r="JJW617" s="30"/>
      <c r="JJX617" s="30"/>
      <c r="JJY617" s="30"/>
      <c r="JJZ617" s="30"/>
      <c r="JKA617" s="30"/>
      <c r="JKB617" s="30"/>
      <c r="JKC617" s="30"/>
      <c r="JKD617" s="30"/>
      <c r="JKE617" s="30"/>
      <c r="JKF617" s="30"/>
      <c r="JKG617" s="30"/>
      <c r="JKH617" s="30"/>
      <c r="JKI617" s="30"/>
      <c r="JKJ617" s="30"/>
      <c r="JKK617" s="30"/>
      <c r="JKL617" s="30"/>
      <c r="JKM617" s="30"/>
      <c r="JKN617" s="30"/>
      <c r="JKO617" s="30"/>
      <c r="JKP617" s="30"/>
      <c r="JKQ617" s="30"/>
      <c r="JKR617" s="30"/>
      <c r="JKS617" s="30"/>
      <c r="JKT617" s="30"/>
      <c r="JKU617" s="30"/>
      <c r="JKV617" s="30"/>
      <c r="JKW617" s="30"/>
      <c r="JKX617" s="30"/>
      <c r="JKY617" s="30"/>
      <c r="JKZ617" s="30"/>
      <c r="JLA617" s="30"/>
      <c r="JLB617" s="30"/>
      <c r="JLC617" s="30"/>
      <c r="JLD617" s="30"/>
      <c r="JLE617" s="30"/>
      <c r="JLF617" s="30"/>
      <c r="JLG617" s="30"/>
      <c r="JLH617" s="30"/>
      <c r="JLI617" s="30"/>
      <c r="JLJ617" s="30"/>
      <c r="JLK617" s="30"/>
      <c r="JLL617" s="30"/>
      <c r="JLM617" s="30"/>
      <c r="JLN617" s="30"/>
      <c r="JLO617" s="30"/>
      <c r="JLP617" s="30"/>
      <c r="JLQ617" s="30"/>
      <c r="JLR617" s="30"/>
      <c r="JLS617" s="30"/>
      <c r="JLT617" s="30"/>
      <c r="JLU617" s="30"/>
      <c r="JLV617" s="30"/>
      <c r="JLW617" s="30"/>
      <c r="JLX617" s="30"/>
      <c r="JLY617" s="30"/>
      <c r="JLZ617" s="30"/>
      <c r="JMA617" s="30"/>
      <c r="JMB617" s="30"/>
      <c r="JMC617" s="30"/>
      <c r="JMD617" s="30"/>
      <c r="JME617" s="30"/>
      <c r="JMF617" s="30"/>
      <c r="JMG617" s="30"/>
      <c r="JMH617" s="30"/>
      <c r="JMI617" s="30"/>
      <c r="JMJ617" s="30"/>
      <c r="JMK617" s="30"/>
      <c r="JML617" s="30"/>
      <c r="JMM617" s="30"/>
      <c r="JMN617" s="30"/>
      <c r="JMO617" s="30"/>
      <c r="JMP617" s="30"/>
      <c r="JMQ617" s="30"/>
      <c r="JMR617" s="30"/>
      <c r="JMS617" s="30"/>
      <c r="JMT617" s="30"/>
      <c r="JMU617" s="30"/>
      <c r="JMV617" s="30"/>
      <c r="JMW617" s="30"/>
      <c r="JMX617" s="30"/>
      <c r="JMY617" s="30"/>
      <c r="JMZ617" s="30"/>
      <c r="JNA617" s="30"/>
      <c r="JNB617" s="30"/>
      <c r="JNC617" s="30"/>
      <c r="JND617" s="30"/>
      <c r="JNE617" s="30"/>
      <c r="JNF617" s="30"/>
      <c r="JNG617" s="30"/>
      <c r="JNH617" s="30"/>
      <c r="JNI617" s="30"/>
      <c r="JNJ617" s="30"/>
      <c r="JNK617" s="30"/>
      <c r="JNL617" s="30"/>
      <c r="JNM617" s="30"/>
      <c r="JNN617" s="30"/>
      <c r="JNO617" s="30"/>
      <c r="JNP617" s="30"/>
      <c r="JNQ617" s="30"/>
      <c r="JNR617" s="30"/>
      <c r="JNS617" s="30"/>
      <c r="JNT617" s="30"/>
      <c r="JNU617" s="30"/>
      <c r="JNV617" s="30"/>
      <c r="JNW617" s="30"/>
      <c r="JNX617" s="30"/>
      <c r="JNY617" s="30"/>
      <c r="JNZ617" s="30"/>
      <c r="JOA617" s="30"/>
      <c r="JOB617" s="30"/>
      <c r="JOC617" s="30"/>
      <c r="JOD617" s="30"/>
      <c r="JOE617" s="30"/>
      <c r="JOF617" s="30"/>
      <c r="JOG617" s="30"/>
      <c r="JOH617" s="30"/>
      <c r="JOI617" s="30"/>
      <c r="JOJ617" s="30"/>
      <c r="JOK617" s="30"/>
      <c r="JOL617" s="30"/>
      <c r="JOM617" s="30"/>
      <c r="JON617" s="30"/>
      <c r="JOO617" s="30"/>
      <c r="JOP617" s="30"/>
      <c r="JOQ617" s="30"/>
      <c r="JOR617" s="30"/>
      <c r="JOS617" s="30"/>
      <c r="JOT617" s="30"/>
      <c r="JOU617" s="30"/>
      <c r="JOV617" s="30"/>
      <c r="JOW617" s="30"/>
      <c r="JOX617" s="30"/>
      <c r="JOY617" s="30"/>
      <c r="JOZ617" s="30"/>
      <c r="JPA617" s="30"/>
      <c r="JPB617" s="30"/>
      <c r="JPC617" s="30"/>
      <c r="JPD617" s="30"/>
      <c r="JPE617" s="30"/>
      <c r="JPF617" s="30"/>
      <c r="JPG617" s="30"/>
      <c r="JPH617" s="30"/>
      <c r="JPI617" s="30"/>
      <c r="JPJ617" s="30"/>
      <c r="JPK617" s="30"/>
      <c r="JPL617" s="30"/>
      <c r="JPM617" s="30"/>
      <c r="JPN617" s="30"/>
      <c r="JPO617" s="30"/>
      <c r="JPP617" s="30"/>
      <c r="JPQ617" s="30"/>
      <c r="JPR617" s="30"/>
      <c r="JPS617" s="30"/>
      <c r="JPT617" s="30"/>
      <c r="JPU617" s="30"/>
      <c r="JPV617" s="30"/>
      <c r="JPW617" s="30"/>
      <c r="JPX617" s="30"/>
      <c r="JPY617" s="30"/>
      <c r="JPZ617" s="30"/>
      <c r="JQA617" s="30"/>
      <c r="JQB617" s="30"/>
      <c r="JQC617" s="30"/>
      <c r="JQD617" s="30"/>
      <c r="JQE617" s="30"/>
      <c r="JQF617" s="30"/>
      <c r="JQG617" s="30"/>
      <c r="JQH617" s="30"/>
      <c r="JQI617" s="30"/>
      <c r="JQJ617" s="30"/>
      <c r="JQK617" s="30"/>
      <c r="JQL617" s="30"/>
      <c r="JQM617" s="30"/>
      <c r="JQN617" s="30"/>
      <c r="JQO617" s="30"/>
      <c r="JQP617" s="30"/>
      <c r="JQQ617" s="30"/>
      <c r="JQR617" s="30"/>
      <c r="JQS617" s="30"/>
      <c r="JQT617" s="30"/>
      <c r="JQU617" s="30"/>
      <c r="JQV617" s="30"/>
      <c r="JQW617" s="30"/>
      <c r="JQX617" s="30"/>
      <c r="JQY617" s="30"/>
      <c r="JQZ617" s="30"/>
      <c r="JRA617" s="30"/>
      <c r="JRB617" s="30"/>
      <c r="JRC617" s="30"/>
      <c r="JRD617" s="30"/>
      <c r="JRE617" s="30"/>
      <c r="JRF617" s="30"/>
      <c r="JRG617" s="30"/>
      <c r="JRH617" s="30"/>
      <c r="JRI617" s="30"/>
      <c r="JRJ617" s="30"/>
      <c r="JRK617" s="30"/>
      <c r="JRL617" s="30"/>
      <c r="JRM617" s="30"/>
      <c r="JRN617" s="30"/>
      <c r="JRO617" s="30"/>
      <c r="JRP617" s="30"/>
      <c r="JRQ617" s="30"/>
      <c r="JRR617" s="30"/>
      <c r="JRS617" s="30"/>
      <c r="JRT617" s="30"/>
      <c r="JRU617" s="30"/>
      <c r="JRV617" s="30"/>
      <c r="JRW617" s="30"/>
      <c r="JRX617" s="30"/>
      <c r="JRY617" s="30"/>
      <c r="JRZ617" s="30"/>
      <c r="JSA617" s="30"/>
      <c r="JSB617" s="30"/>
      <c r="JSC617" s="30"/>
      <c r="JSD617" s="30"/>
      <c r="JSE617" s="30"/>
      <c r="JSF617" s="30"/>
      <c r="JSG617" s="30"/>
      <c r="JSH617" s="30"/>
      <c r="JSI617" s="30"/>
      <c r="JSJ617" s="30"/>
      <c r="JSK617" s="30"/>
      <c r="JSL617" s="30"/>
      <c r="JSM617" s="30"/>
      <c r="JSN617" s="30"/>
      <c r="JSO617" s="30"/>
      <c r="JSP617" s="30"/>
      <c r="JSQ617" s="30"/>
      <c r="JSR617" s="30"/>
      <c r="JSS617" s="30"/>
      <c r="JST617" s="30"/>
      <c r="JSU617" s="30"/>
      <c r="JSV617" s="30"/>
      <c r="JSW617" s="30"/>
      <c r="JSX617" s="30"/>
      <c r="JSY617" s="30"/>
      <c r="JSZ617" s="30"/>
      <c r="JTA617" s="30"/>
      <c r="JTB617" s="30"/>
      <c r="JTC617" s="30"/>
      <c r="JTD617" s="30"/>
      <c r="JTE617" s="30"/>
      <c r="JTF617" s="30"/>
      <c r="JTG617" s="30"/>
      <c r="JTH617" s="30"/>
      <c r="JTI617" s="30"/>
      <c r="JTJ617" s="30"/>
      <c r="JTK617" s="30"/>
      <c r="JTL617" s="30"/>
      <c r="JTM617" s="30"/>
      <c r="JTN617" s="30"/>
      <c r="JTO617" s="30"/>
      <c r="JTP617" s="30"/>
      <c r="JTQ617" s="30"/>
      <c r="JTR617" s="30"/>
      <c r="JTS617" s="30"/>
      <c r="JTT617" s="30"/>
      <c r="JTU617" s="30"/>
      <c r="JTV617" s="30"/>
      <c r="JTW617" s="30"/>
      <c r="JTX617" s="30"/>
      <c r="JTY617" s="30"/>
      <c r="JTZ617" s="30"/>
      <c r="JUA617" s="30"/>
      <c r="JUB617" s="30"/>
      <c r="JUC617" s="30"/>
      <c r="JUD617" s="30"/>
      <c r="JUE617" s="30"/>
      <c r="JUF617" s="30"/>
      <c r="JUG617" s="30"/>
      <c r="JUH617" s="30"/>
      <c r="JUI617" s="30"/>
      <c r="JUJ617" s="30"/>
      <c r="JUK617" s="30"/>
      <c r="JUL617" s="30"/>
      <c r="JUM617" s="30"/>
      <c r="JUN617" s="30"/>
      <c r="JUO617" s="30"/>
      <c r="JUP617" s="30"/>
      <c r="JUQ617" s="30"/>
      <c r="JUR617" s="30"/>
      <c r="JUS617" s="30"/>
      <c r="JUT617" s="30"/>
      <c r="JUU617" s="30"/>
      <c r="JUV617" s="30"/>
      <c r="JUW617" s="30"/>
      <c r="JUX617" s="30"/>
      <c r="JUY617" s="30"/>
      <c r="JUZ617" s="30"/>
      <c r="JVA617" s="30"/>
      <c r="JVB617" s="30"/>
      <c r="JVC617" s="30"/>
      <c r="JVD617" s="30"/>
      <c r="JVE617" s="30"/>
      <c r="JVF617" s="30"/>
      <c r="JVG617" s="30"/>
      <c r="JVH617" s="30"/>
      <c r="JVI617" s="30"/>
      <c r="JVJ617" s="30"/>
      <c r="JVK617" s="30"/>
      <c r="JVL617" s="30"/>
      <c r="JVM617" s="30"/>
      <c r="JVN617" s="30"/>
      <c r="JVO617" s="30"/>
      <c r="JVP617" s="30"/>
      <c r="JVQ617" s="30"/>
      <c r="JVR617" s="30"/>
      <c r="JVS617" s="30"/>
      <c r="JVT617" s="30"/>
      <c r="JVU617" s="30"/>
      <c r="JVV617" s="30"/>
      <c r="JVW617" s="30"/>
      <c r="JVX617" s="30"/>
      <c r="JVY617" s="30"/>
      <c r="JVZ617" s="30"/>
      <c r="JWA617" s="30"/>
      <c r="JWB617" s="30"/>
      <c r="JWC617" s="30"/>
      <c r="JWD617" s="30"/>
      <c r="JWE617" s="30"/>
      <c r="JWF617" s="30"/>
      <c r="JWG617" s="30"/>
      <c r="JWH617" s="30"/>
      <c r="JWI617" s="30"/>
      <c r="JWJ617" s="30"/>
      <c r="JWK617" s="30"/>
      <c r="JWL617" s="30"/>
      <c r="JWM617" s="30"/>
      <c r="JWN617" s="30"/>
      <c r="JWO617" s="30"/>
      <c r="JWP617" s="30"/>
      <c r="JWQ617" s="30"/>
      <c r="JWR617" s="30"/>
      <c r="JWS617" s="30"/>
      <c r="JWT617" s="30"/>
      <c r="JWU617" s="30"/>
      <c r="JWV617" s="30"/>
      <c r="JWW617" s="30"/>
      <c r="JWX617" s="30"/>
      <c r="JWY617" s="30"/>
      <c r="JWZ617" s="30"/>
      <c r="JXA617" s="30"/>
      <c r="JXB617" s="30"/>
      <c r="JXC617" s="30"/>
      <c r="JXD617" s="30"/>
      <c r="JXE617" s="30"/>
      <c r="JXF617" s="30"/>
      <c r="JXG617" s="30"/>
      <c r="JXH617" s="30"/>
      <c r="JXI617" s="30"/>
      <c r="JXJ617" s="30"/>
      <c r="JXK617" s="30"/>
      <c r="JXL617" s="30"/>
      <c r="JXM617" s="30"/>
      <c r="JXN617" s="30"/>
      <c r="JXO617" s="30"/>
      <c r="JXP617" s="30"/>
      <c r="JXQ617" s="30"/>
      <c r="JXR617" s="30"/>
      <c r="JXS617" s="30"/>
      <c r="JXT617" s="30"/>
      <c r="JXU617" s="30"/>
      <c r="JXV617" s="30"/>
      <c r="JXW617" s="30"/>
      <c r="JXX617" s="30"/>
      <c r="JXY617" s="30"/>
      <c r="JXZ617" s="30"/>
      <c r="JYA617" s="30"/>
      <c r="JYB617" s="30"/>
      <c r="JYC617" s="30"/>
      <c r="JYD617" s="30"/>
      <c r="JYE617" s="30"/>
      <c r="JYF617" s="30"/>
      <c r="JYG617" s="30"/>
      <c r="JYH617" s="30"/>
      <c r="JYI617" s="30"/>
      <c r="JYJ617" s="30"/>
      <c r="JYK617" s="30"/>
      <c r="JYL617" s="30"/>
      <c r="JYM617" s="30"/>
      <c r="JYN617" s="30"/>
      <c r="JYO617" s="30"/>
      <c r="JYP617" s="30"/>
      <c r="JYQ617" s="30"/>
      <c r="JYR617" s="30"/>
      <c r="JYS617" s="30"/>
      <c r="JYT617" s="30"/>
      <c r="JYU617" s="30"/>
      <c r="JYV617" s="30"/>
      <c r="JYW617" s="30"/>
      <c r="JYX617" s="30"/>
      <c r="JYY617" s="30"/>
      <c r="JYZ617" s="30"/>
      <c r="JZA617" s="30"/>
      <c r="JZB617" s="30"/>
      <c r="JZC617" s="30"/>
      <c r="JZD617" s="30"/>
      <c r="JZE617" s="30"/>
      <c r="JZF617" s="30"/>
      <c r="JZG617" s="30"/>
      <c r="JZH617" s="30"/>
      <c r="JZI617" s="30"/>
      <c r="JZJ617" s="30"/>
      <c r="JZK617" s="30"/>
      <c r="JZL617" s="30"/>
      <c r="JZM617" s="30"/>
      <c r="JZN617" s="30"/>
      <c r="JZO617" s="30"/>
      <c r="JZP617" s="30"/>
      <c r="JZQ617" s="30"/>
      <c r="JZR617" s="30"/>
      <c r="JZS617" s="30"/>
      <c r="JZT617" s="30"/>
      <c r="JZU617" s="30"/>
      <c r="JZV617" s="30"/>
      <c r="JZW617" s="30"/>
      <c r="JZX617" s="30"/>
      <c r="JZY617" s="30"/>
      <c r="JZZ617" s="30"/>
      <c r="KAA617" s="30"/>
      <c r="KAB617" s="30"/>
      <c r="KAC617" s="30"/>
      <c r="KAD617" s="30"/>
      <c r="KAE617" s="30"/>
      <c r="KAF617" s="30"/>
      <c r="KAG617" s="30"/>
      <c r="KAH617" s="30"/>
      <c r="KAI617" s="30"/>
      <c r="KAJ617" s="30"/>
      <c r="KAK617" s="30"/>
      <c r="KAL617" s="30"/>
      <c r="KAM617" s="30"/>
      <c r="KAN617" s="30"/>
      <c r="KAO617" s="30"/>
      <c r="KAP617" s="30"/>
      <c r="KAQ617" s="30"/>
      <c r="KAR617" s="30"/>
      <c r="KAS617" s="30"/>
      <c r="KAT617" s="30"/>
      <c r="KAU617" s="30"/>
      <c r="KAV617" s="30"/>
      <c r="KAW617" s="30"/>
      <c r="KAX617" s="30"/>
      <c r="KAY617" s="30"/>
      <c r="KAZ617" s="30"/>
      <c r="KBA617" s="30"/>
      <c r="KBB617" s="30"/>
      <c r="KBC617" s="30"/>
      <c r="KBD617" s="30"/>
      <c r="KBE617" s="30"/>
      <c r="KBF617" s="30"/>
      <c r="KBG617" s="30"/>
      <c r="KBH617" s="30"/>
      <c r="KBI617" s="30"/>
      <c r="KBJ617" s="30"/>
      <c r="KBK617" s="30"/>
      <c r="KBL617" s="30"/>
      <c r="KBM617" s="30"/>
      <c r="KBN617" s="30"/>
      <c r="KBO617" s="30"/>
      <c r="KBP617" s="30"/>
      <c r="KBQ617" s="30"/>
      <c r="KBR617" s="30"/>
      <c r="KBS617" s="30"/>
      <c r="KBT617" s="30"/>
      <c r="KBU617" s="30"/>
      <c r="KBV617" s="30"/>
      <c r="KBW617" s="30"/>
      <c r="KBX617" s="30"/>
      <c r="KBY617" s="30"/>
      <c r="KBZ617" s="30"/>
      <c r="KCA617" s="30"/>
      <c r="KCB617" s="30"/>
      <c r="KCC617" s="30"/>
      <c r="KCD617" s="30"/>
      <c r="KCE617" s="30"/>
      <c r="KCF617" s="30"/>
      <c r="KCG617" s="30"/>
      <c r="KCH617" s="30"/>
      <c r="KCI617" s="30"/>
      <c r="KCJ617" s="30"/>
      <c r="KCK617" s="30"/>
      <c r="KCL617" s="30"/>
      <c r="KCM617" s="30"/>
      <c r="KCN617" s="30"/>
      <c r="KCO617" s="30"/>
      <c r="KCP617" s="30"/>
      <c r="KCQ617" s="30"/>
      <c r="KCR617" s="30"/>
      <c r="KCS617" s="30"/>
      <c r="KCT617" s="30"/>
      <c r="KCU617" s="30"/>
      <c r="KCV617" s="30"/>
      <c r="KCW617" s="30"/>
      <c r="KCX617" s="30"/>
      <c r="KCY617" s="30"/>
      <c r="KCZ617" s="30"/>
      <c r="KDA617" s="30"/>
      <c r="KDB617" s="30"/>
      <c r="KDC617" s="30"/>
      <c r="KDD617" s="30"/>
      <c r="KDE617" s="30"/>
      <c r="KDF617" s="30"/>
      <c r="KDG617" s="30"/>
      <c r="KDH617" s="30"/>
      <c r="KDI617" s="30"/>
      <c r="KDJ617" s="30"/>
      <c r="KDK617" s="30"/>
      <c r="KDL617" s="30"/>
      <c r="KDM617" s="30"/>
      <c r="KDN617" s="30"/>
      <c r="KDO617" s="30"/>
      <c r="KDP617" s="30"/>
      <c r="KDQ617" s="30"/>
      <c r="KDR617" s="30"/>
      <c r="KDS617" s="30"/>
      <c r="KDT617" s="30"/>
      <c r="KDU617" s="30"/>
      <c r="KDV617" s="30"/>
      <c r="KDW617" s="30"/>
      <c r="KDX617" s="30"/>
      <c r="KDY617" s="30"/>
      <c r="KDZ617" s="30"/>
      <c r="KEA617" s="30"/>
      <c r="KEB617" s="30"/>
      <c r="KEC617" s="30"/>
      <c r="KED617" s="30"/>
      <c r="KEE617" s="30"/>
      <c r="KEF617" s="30"/>
      <c r="KEG617" s="30"/>
      <c r="KEH617" s="30"/>
      <c r="KEI617" s="30"/>
      <c r="KEJ617" s="30"/>
      <c r="KEK617" s="30"/>
      <c r="KEL617" s="30"/>
      <c r="KEM617" s="30"/>
      <c r="KEN617" s="30"/>
      <c r="KEO617" s="30"/>
      <c r="KEP617" s="30"/>
      <c r="KEQ617" s="30"/>
      <c r="KER617" s="30"/>
      <c r="KES617" s="30"/>
      <c r="KET617" s="30"/>
      <c r="KEU617" s="30"/>
      <c r="KEV617" s="30"/>
      <c r="KEW617" s="30"/>
      <c r="KEX617" s="30"/>
      <c r="KEY617" s="30"/>
      <c r="KEZ617" s="30"/>
      <c r="KFA617" s="30"/>
      <c r="KFB617" s="30"/>
      <c r="KFC617" s="30"/>
      <c r="KFD617" s="30"/>
      <c r="KFE617" s="30"/>
      <c r="KFF617" s="30"/>
      <c r="KFG617" s="30"/>
      <c r="KFH617" s="30"/>
      <c r="KFI617" s="30"/>
      <c r="KFJ617" s="30"/>
      <c r="KFK617" s="30"/>
      <c r="KFL617" s="30"/>
      <c r="KFM617" s="30"/>
      <c r="KFN617" s="30"/>
      <c r="KFO617" s="30"/>
      <c r="KFP617" s="30"/>
      <c r="KFQ617" s="30"/>
      <c r="KFR617" s="30"/>
      <c r="KFS617" s="30"/>
      <c r="KFT617" s="30"/>
      <c r="KFU617" s="30"/>
      <c r="KFV617" s="30"/>
      <c r="KFW617" s="30"/>
      <c r="KFX617" s="30"/>
      <c r="KFY617" s="30"/>
      <c r="KFZ617" s="30"/>
      <c r="KGA617" s="30"/>
      <c r="KGB617" s="30"/>
      <c r="KGC617" s="30"/>
      <c r="KGD617" s="30"/>
      <c r="KGE617" s="30"/>
      <c r="KGF617" s="30"/>
      <c r="KGG617" s="30"/>
      <c r="KGH617" s="30"/>
      <c r="KGI617" s="30"/>
      <c r="KGJ617" s="30"/>
      <c r="KGK617" s="30"/>
      <c r="KGL617" s="30"/>
      <c r="KGM617" s="30"/>
      <c r="KGN617" s="30"/>
      <c r="KGO617" s="30"/>
      <c r="KGP617" s="30"/>
      <c r="KGQ617" s="30"/>
      <c r="KGR617" s="30"/>
      <c r="KGS617" s="30"/>
      <c r="KGT617" s="30"/>
      <c r="KGU617" s="30"/>
      <c r="KGV617" s="30"/>
      <c r="KGW617" s="30"/>
      <c r="KGX617" s="30"/>
      <c r="KGY617" s="30"/>
      <c r="KGZ617" s="30"/>
      <c r="KHA617" s="30"/>
      <c r="KHB617" s="30"/>
      <c r="KHC617" s="30"/>
      <c r="KHD617" s="30"/>
      <c r="KHE617" s="30"/>
      <c r="KHF617" s="30"/>
      <c r="KHG617" s="30"/>
      <c r="KHH617" s="30"/>
      <c r="KHI617" s="30"/>
      <c r="KHJ617" s="30"/>
      <c r="KHK617" s="30"/>
      <c r="KHL617" s="30"/>
      <c r="KHM617" s="30"/>
      <c r="KHN617" s="30"/>
      <c r="KHO617" s="30"/>
      <c r="KHP617" s="30"/>
      <c r="KHQ617" s="30"/>
      <c r="KHR617" s="30"/>
      <c r="KHS617" s="30"/>
      <c r="KHT617" s="30"/>
      <c r="KHU617" s="30"/>
      <c r="KHV617" s="30"/>
      <c r="KHW617" s="30"/>
      <c r="KHX617" s="30"/>
      <c r="KHY617" s="30"/>
      <c r="KHZ617" s="30"/>
      <c r="KIA617" s="30"/>
      <c r="KIB617" s="30"/>
      <c r="KIC617" s="30"/>
      <c r="KID617" s="30"/>
      <c r="KIE617" s="30"/>
      <c r="KIF617" s="30"/>
      <c r="KIG617" s="30"/>
      <c r="KIH617" s="30"/>
      <c r="KII617" s="30"/>
      <c r="KIJ617" s="30"/>
      <c r="KIK617" s="30"/>
      <c r="KIL617" s="30"/>
      <c r="KIM617" s="30"/>
      <c r="KIN617" s="30"/>
      <c r="KIO617" s="30"/>
      <c r="KIP617" s="30"/>
      <c r="KIQ617" s="30"/>
      <c r="KIR617" s="30"/>
      <c r="KIS617" s="30"/>
      <c r="KIT617" s="30"/>
      <c r="KIU617" s="30"/>
      <c r="KIV617" s="30"/>
      <c r="KIW617" s="30"/>
      <c r="KIX617" s="30"/>
      <c r="KIY617" s="30"/>
      <c r="KIZ617" s="30"/>
      <c r="KJA617" s="30"/>
      <c r="KJB617" s="30"/>
      <c r="KJC617" s="30"/>
      <c r="KJD617" s="30"/>
      <c r="KJE617" s="30"/>
      <c r="KJF617" s="30"/>
      <c r="KJG617" s="30"/>
      <c r="KJH617" s="30"/>
      <c r="KJI617" s="30"/>
      <c r="KJJ617" s="30"/>
      <c r="KJK617" s="30"/>
      <c r="KJL617" s="30"/>
      <c r="KJM617" s="30"/>
      <c r="KJN617" s="30"/>
      <c r="KJO617" s="30"/>
      <c r="KJP617" s="30"/>
      <c r="KJQ617" s="30"/>
      <c r="KJR617" s="30"/>
      <c r="KJS617" s="30"/>
      <c r="KJT617" s="30"/>
      <c r="KJU617" s="30"/>
      <c r="KJV617" s="30"/>
      <c r="KJW617" s="30"/>
      <c r="KJX617" s="30"/>
      <c r="KJY617" s="30"/>
      <c r="KJZ617" s="30"/>
      <c r="KKA617" s="30"/>
      <c r="KKB617" s="30"/>
      <c r="KKC617" s="30"/>
      <c r="KKD617" s="30"/>
      <c r="KKE617" s="30"/>
      <c r="KKF617" s="30"/>
      <c r="KKG617" s="30"/>
      <c r="KKH617" s="30"/>
      <c r="KKI617" s="30"/>
      <c r="KKJ617" s="30"/>
      <c r="KKK617" s="30"/>
      <c r="KKL617" s="30"/>
      <c r="KKM617" s="30"/>
      <c r="KKN617" s="30"/>
      <c r="KKO617" s="30"/>
      <c r="KKP617" s="30"/>
      <c r="KKQ617" s="30"/>
      <c r="KKR617" s="30"/>
      <c r="KKS617" s="30"/>
      <c r="KKT617" s="30"/>
      <c r="KKU617" s="30"/>
      <c r="KKV617" s="30"/>
      <c r="KKW617" s="30"/>
      <c r="KKX617" s="30"/>
      <c r="KKY617" s="30"/>
      <c r="KKZ617" s="30"/>
      <c r="KLA617" s="30"/>
      <c r="KLB617" s="30"/>
      <c r="KLC617" s="30"/>
      <c r="KLD617" s="30"/>
      <c r="KLE617" s="30"/>
      <c r="KLF617" s="30"/>
      <c r="KLG617" s="30"/>
      <c r="KLH617" s="30"/>
      <c r="KLI617" s="30"/>
      <c r="KLJ617" s="30"/>
      <c r="KLK617" s="30"/>
      <c r="KLL617" s="30"/>
      <c r="KLM617" s="30"/>
      <c r="KLN617" s="30"/>
      <c r="KLO617" s="30"/>
      <c r="KLP617" s="30"/>
      <c r="KLQ617" s="30"/>
      <c r="KLR617" s="30"/>
      <c r="KLS617" s="30"/>
      <c r="KLT617" s="30"/>
      <c r="KLU617" s="30"/>
      <c r="KLV617" s="30"/>
      <c r="KLW617" s="30"/>
      <c r="KLX617" s="30"/>
      <c r="KLY617" s="30"/>
      <c r="KLZ617" s="30"/>
      <c r="KMA617" s="30"/>
      <c r="KMB617" s="30"/>
      <c r="KMC617" s="30"/>
      <c r="KMD617" s="30"/>
      <c r="KME617" s="30"/>
      <c r="KMF617" s="30"/>
      <c r="KMG617" s="30"/>
      <c r="KMH617" s="30"/>
      <c r="KMI617" s="30"/>
      <c r="KMJ617" s="30"/>
      <c r="KMK617" s="30"/>
      <c r="KML617" s="30"/>
      <c r="KMM617" s="30"/>
      <c r="KMN617" s="30"/>
      <c r="KMO617" s="30"/>
      <c r="KMP617" s="30"/>
      <c r="KMQ617" s="30"/>
      <c r="KMR617" s="30"/>
      <c r="KMS617" s="30"/>
      <c r="KMT617" s="30"/>
      <c r="KMU617" s="30"/>
      <c r="KMV617" s="30"/>
      <c r="KMW617" s="30"/>
      <c r="KMX617" s="30"/>
      <c r="KMY617" s="30"/>
      <c r="KMZ617" s="30"/>
      <c r="KNA617" s="30"/>
      <c r="KNB617" s="30"/>
      <c r="KNC617" s="30"/>
      <c r="KND617" s="30"/>
      <c r="KNE617" s="30"/>
      <c r="KNF617" s="30"/>
      <c r="KNG617" s="30"/>
      <c r="KNH617" s="30"/>
      <c r="KNI617" s="30"/>
      <c r="KNJ617" s="30"/>
      <c r="KNK617" s="30"/>
      <c r="KNL617" s="30"/>
      <c r="KNM617" s="30"/>
      <c r="KNN617" s="30"/>
      <c r="KNO617" s="30"/>
      <c r="KNP617" s="30"/>
      <c r="KNQ617" s="30"/>
      <c r="KNR617" s="30"/>
      <c r="KNS617" s="30"/>
      <c r="KNT617" s="30"/>
      <c r="KNU617" s="30"/>
      <c r="KNV617" s="30"/>
      <c r="KNW617" s="30"/>
      <c r="KNX617" s="30"/>
      <c r="KNY617" s="30"/>
      <c r="KNZ617" s="30"/>
      <c r="KOA617" s="30"/>
      <c r="KOB617" s="30"/>
      <c r="KOC617" s="30"/>
      <c r="KOD617" s="30"/>
      <c r="KOE617" s="30"/>
      <c r="KOF617" s="30"/>
      <c r="KOG617" s="30"/>
      <c r="KOH617" s="30"/>
      <c r="KOI617" s="30"/>
      <c r="KOJ617" s="30"/>
      <c r="KOK617" s="30"/>
      <c r="KOL617" s="30"/>
      <c r="KOM617" s="30"/>
      <c r="KON617" s="30"/>
      <c r="KOO617" s="30"/>
      <c r="KOP617" s="30"/>
      <c r="KOQ617" s="30"/>
      <c r="KOR617" s="30"/>
      <c r="KOS617" s="30"/>
      <c r="KOT617" s="30"/>
      <c r="KOU617" s="30"/>
      <c r="KOV617" s="30"/>
      <c r="KOW617" s="30"/>
      <c r="KOX617" s="30"/>
      <c r="KOY617" s="30"/>
      <c r="KOZ617" s="30"/>
      <c r="KPA617" s="30"/>
      <c r="KPB617" s="30"/>
      <c r="KPC617" s="30"/>
      <c r="KPD617" s="30"/>
      <c r="KPE617" s="30"/>
      <c r="KPF617" s="30"/>
      <c r="KPG617" s="30"/>
      <c r="KPH617" s="30"/>
      <c r="KPI617" s="30"/>
      <c r="KPJ617" s="30"/>
      <c r="KPK617" s="30"/>
      <c r="KPL617" s="30"/>
      <c r="KPM617" s="30"/>
      <c r="KPN617" s="30"/>
      <c r="KPO617" s="30"/>
      <c r="KPP617" s="30"/>
      <c r="KPQ617" s="30"/>
      <c r="KPR617" s="30"/>
      <c r="KPS617" s="30"/>
      <c r="KPT617" s="30"/>
      <c r="KPU617" s="30"/>
      <c r="KPV617" s="30"/>
      <c r="KPW617" s="30"/>
      <c r="KPX617" s="30"/>
      <c r="KPY617" s="30"/>
      <c r="KPZ617" s="30"/>
      <c r="KQA617" s="30"/>
      <c r="KQB617" s="30"/>
      <c r="KQC617" s="30"/>
      <c r="KQD617" s="30"/>
      <c r="KQE617" s="30"/>
      <c r="KQF617" s="30"/>
      <c r="KQG617" s="30"/>
      <c r="KQH617" s="30"/>
      <c r="KQI617" s="30"/>
      <c r="KQJ617" s="30"/>
      <c r="KQK617" s="30"/>
      <c r="KQL617" s="30"/>
      <c r="KQM617" s="30"/>
      <c r="KQN617" s="30"/>
      <c r="KQO617" s="30"/>
      <c r="KQP617" s="30"/>
      <c r="KQQ617" s="30"/>
      <c r="KQR617" s="30"/>
      <c r="KQS617" s="30"/>
      <c r="KQT617" s="30"/>
      <c r="KQU617" s="30"/>
      <c r="KQV617" s="30"/>
      <c r="KQW617" s="30"/>
      <c r="KQX617" s="30"/>
      <c r="KQY617" s="30"/>
      <c r="KQZ617" s="30"/>
      <c r="KRA617" s="30"/>
      <c r="KRB617" s="30"/>
      <c r="KRC617" s="30"/>
      <c r="KRD617" s="30"/>
      <c r="KRE617" s="30"/>
      <c r="KRF617" s="30"/>
      <c r="KRG617" s="30"/>
      <c r="KRH617" s="30"/>
      <c r="KRI617" s="30"/>
      <c r="KRJ617" s="30"/>
      <c r="KRK617" s="30"/>
      <c r="KRL617" s="30"/>
      <c r="KRM617" s="30"/>
      <c r="KRN617" s="30"/>
      <c r="KRO617" s="30"/>
      <c r="KRP617" s="30"/>
      <c r="KRQ617" s="30"/>
      <c r="KRR617" s="30"/>
      <c r="KRS617" s="30"/>
      <c r="KRT617" s="30"/>
      <c r="KRU617" s="30"/>
      <c r="KRV617" s="30"/>
      <c r="KRW617" s="30"/>
      <c r="KRX617" s="30"/>
      <c r="KRY617" s="30"/>
      <c r="KRZ617" s="30"/>
      <c r="KSA617" s="30"/>
      <c r="KSB617" s="30"/>
      <c r="KSC617" s="30"/>
      <c r="KSD617" s="30"/>
      <c r="KSE617" s="30"/>
      <c r="KSF617" s="30"/>
      <c r="KSG617" s="30"/>
      <c r="KSH617" s="30"/>
      <c r="KSI617" s="30"/>
      <c r="KSJ617" s="30"/>
      <c r="KSK617" s="30"/>
      <c r="KSL617" s="30"/>
      <c r="KSM617" s="30"/>
      <c r="KSN617" s="30"/>
      <c r="KSO617" s="30"/>
      <c r="KSP617" s="30"/>
      <c r="KSQ617" s="30"/>
      <c r="KSR617" s="30"/>
      <c r="KSS617" s="30"/>
      <c r="KST617" s="30"/>
      <c r="KSU617" s="30"/>
      <c r="KSV617" s="30"/>
      <c r="KSW617" s="30"/>
      <c r="KSX617" s="30"/>
      <c r="KSY617" s="30"/>
      <c r="KSZ617" s="30"/>
      <c r="KTA617" s="30"/>
      <c r="KTB617" s="30"/>
      <c r="KTC617" s="30"/>
      <c r="KTD617" s="30"/>
      <c r="KTE617" s="30"/>
      <c r="KTF617" s="30"/>
      <c r="KTG617" s="30"/>
      <c r="KTH617" s="30"/>
      <c r="KTI617" s="30"/>
      <c r="KTJ617" s="30"/>
      <c r="KTK617" s="30"/>
      <c r="KTL617" s="30"/>
      <c r="KTM617" s="30"/>
      <c r="KTN617" s="30"/>
      <c r="KTO617" s="30"/>
      <c r="KTP617" s="30"/>
      <c r="KTQ617" s="30"/>
      <c r="KTR617" s="30"/>
      <c r="KTS617" s="30"/>
      <c r="KTT617" s="30"/>
      <c r="KTU617" s="30"/>
      <c r="KTV617" s="30"/>
      <c r="KTW617" s="30"/>
      <c r="KTX617" s="30"/>
      <c r="KTY617" s="30"/>
      <c r="KTZ617" s="30"/>
      <c r="KUA617" s="30"/>
      <c r="KUB617" s="30"/>
      <c r="KUC617" s="30"/>
      <c r="KUD617" s="30"/>
      <c r="KUE617" s="30"/>
      <c r="KUF617" s="30"/>
      <c r="KUG617" s="30"/>
      <c r="KUH617" s="30"/>
      <c r="KUI617" s="30"/>
      <c r="KUJ617" s="30"/>
      <c r="KUK617" s="30"/>
      <c r="KUL617" s="30"/>
      <c r="KUM617" s="30"/>
      <c r="KUN617" s="30"/>
      <c r="KUO617" s="30"/>
      <c r="KUP617" s="30"/>
      <c r="KUQ617" s="30"/>
      <c r="KUR617" s="30"/>
      <c r="KUS617" s="30"/>
      <c r="KUT617" s="30"/>
      <c r="KUU617" s="30"/>
      <c r="KUV617" s="30"/>
      <c r="KUW617" s="30"/>
      <c r="KUX617" s="30"/>
      <c r="KUY617" s="30"/>
      <c r="KUZ617" s="30"/>
      <c r="KVA617" s="30"/>
      <c r="KVB617" s="30"/>
      <c r="KVC617" s="30"/>
      <c r="KVD617" s="30"/>
      <c r="KVE617" s="30"/>
      <c r="KVF617" s="30"/>
      <c r="KVG617" s="30"/>
      <c r="KVH617" s="30"/>
      <c r="KVI617" s="30"/>
      <c r="KVJ617" s="30"/>
      <c r="KVK617" s="30"/>
      <c r="KVL617" s="30"/>
      <c r="KVM617" s="30"/>
      <c r="KVN617" s="30"/>
      <c r="KVO617" s="30"/>
      <c r="KVP617" s="30"/>
      <c r="KVQ617" s="30"/>
      <c r="KVR617" s="30"/>
      <c r="KVS617" s="30"/>
      <c r="KVT617" s="30"/>
      <c r="KVU617" s="30"/>
      <c r="KVV617" s="30"/>
      <c r="KVW617" s="30"/>
      <c r="KVX617" s="30"/>
      <c r="KVY617" s="30"/>
      <c r="KVZ617" s="30"/>
      <c r="KWA617" s="30"/>
      <c r="KWB617" s="30"/>
      <c r="KWC617" s="30"/>
      <c r="KWD617" s="30"/>
      <c r="KWE617" s="30"/>
      <c r="KWF617" s="30"/>
      <c r="KWG617" s="30"/>
      <c r="KWH617" s="30"/>
      <c r="KWI617" s="30"/>
      <c r="KWJ617" s="30"/>
      <c r="KWK617" s="30"/>
      <c r="KWL617" s="30"/>
      <c r="KWM617" s="30"/>
      <c r="KWN617" s="30"/>
      <c r="KWO617" s="30"/>
      <c r="KWP617" s="30"/>
      <c r="KWQ617" s="30"/>
      <c r="KWR617" s="30"/>
      <c r="KWS617" s="30"/>
      <c r="KWT617" s="30"/>
      <c r="KWU617" s="30"/>
      <c r="KWV617" s="30"/>
      <c r="KWW617" s="30"/>
      <c r="KWX617" s="30"/>
      <c r="KWY617" s="30"/>
      <c r="KWZ617" s="30"/>
      <c r="KXA617" s="30"/>
      <c r="KXB617" s="30"/>
      <c r="KXC617" s="30"/>
      <c r="KXD617" s="30"/>
      <c r="KXE617" s="30"/>
      <c r="KXF617" s="30"/>
      <c r="KXG617" s="30"/>
      <c r="KXH617" s="30"/>
      <c r="KXI617" s="30"/>
      <c r="KXJ617" s="30"/>
      <c r="KXK617" s="30"/>
      <c r="KXL617" s="30"/>
      <c r="KXM617" s="30"/>
      <c r="KXN617" s="30"/>
      <c r="KXO617" s="30"/>
      <c r="KXP617" s="30"/>
      <c r="KXQ617" s="30"/>
      <c r="KXR617" s="30"/>
      <c r="KXS617" s="30"/>
      <c r="KXT617" s="30"/>
      <c r="KXU617" s="30"/>
      <c r="KXV617" s="30"/>
      <c r="KXW617" s="30"/>
      <c r="KXX617" s="30"/>
      <c r="KXY617" s="30"/>
      <c r="KXZ617" s="30"/>
      <c r="KYA617" s="30"/>
      <c r="KYB617" s="30"/>
      <c r="KYC617" s="30"/>
      <c r="KYD617" s="30"/>
      <c r="KYE617" s="30"/>
      <c r="KYF617" s="30"/>
      <c r="KYG617" s="30"/>
      <c r="KYH617" s="30"/>
      <c r="KYI617" s="30"/>
      <c r="KYJ617" s="30"/>
      <c r="KYK617" s="30"/>
      <c r="KYL617" s="30"/>
      <c r="KYM617" s="30"/>
      <c r="KYN617" s="30"/>
      <c r="KYO617" s="30"/>
      <c r="KYP617" s="30"/>
      <c r="KYQ617" s="30"/>
      <c r="KYR617" s="30"/>
      <c r="KYS617" s="30"/>
      <c r="KYT617" s="30"/>
      <c r="KYU617" s="30"/>
      <c r="KYV617" s="30"/>
      <c r="KYW617" s="30"/>
      <c r="KYX617" s="30"/>
      <c r="KYY617" s="30"/>
      <c r="KYZ617" s="30"/>
      <c r="KZA617" s="30"/>
      <c r="KZB617" s="30"/>
      <c r="KZC617" s="30"/>
      <c r="KZD617" s="30"/>
      <c r="KZE617" s="30"/>
      <c r="KZF617" s="30"/>
      <c r="KZG617" s="30"/>
      <c r="KZH617" s="30"/>
      <c r="KZI617" s="30"/>
      <c r="KZJ617" s="30"/>
      <c r="KZK617" s="30"/>
      <c r="KZL617" s="30"/>
      <c r="KZM617" s="30"/>
      <c r="KZN617" s="30"/>
      <c r="KZO617" s="30"/>
      <c r="KZP617" s="30"/>
      <c r="KZQ617" s="30"/>
      <c r="KZR617" s="30"/>
      <c r="KZS617" s="30"/>
      <c r="KZT617" s="30"/>
      <c r="KZU617" s="30"/>
      <c r="KZV617" s="30"/>
      <c r="KZW617" s="30"/>
      <c r="KZX617" s="30"/>
      <c r="KZY617" s="30"/>
      <c r="KZZ617" s="30"/>
      <c r="LAA617" s="30"/>
      <c r="LAB617" s="30"/>
      <c r="LAC617" s="30"/>
      <c r="LAD617" s="30"/>
      <c r="LAE617" s="30"/>
      <c r="LAF617" s="30"/>
      <c r="LAG617" s="30"/>
      <c r="LAH617" s="30"/>
      <c r="LAI617" s="30"/>
      <c r="LAJ617" s="30"/>
      <c r="LAK617" s="30"/>
      <c r="LAL617" s="30"/>
      <c r="LAM617" s="30"/>
      <c r="LAN617" s="30"/>
      <c r="LAO617" s="30"/>
      <c r="LAP617" s="30"/>
      <c r="LAQ617" s="30"/>
      <c r="LAR617" s="30"/>
      <c r="LAS617" s="30"/>
      <c r="LAT617" s="30"/>
      <c r="LAU617" s="30"/>
      <c r="LAV617" s="30"/>
      <c r="LAW617" s="30"/>
      <c r="LAX617" s="30"/>
      <c r="LAY617" s="30"/>
      <c r="LAZ617" s="30"/>
      <c r="LBA617" s="30"/>
      <c r="LBB617" s="30"/>
      <c r="LBC617" s="30"/>
      <c r="LBD617" s="30"/>
      <c r="LBE617" s="30"/>
      <c r="LBF617" s="30"/>
      <c r="LBG617" s="30"/>
      <c r="LBH617" s="30"/>
      <c r="LBI617" s="30"/>
      <c r="LBJ617" s="30"/>
      <c r="LBK617" s="30"/>
      <c r="LBL617" s="30"/>
      <c r="LBM617" s="30"/>
      <c r="LBN617" s="30"/>
      <c r="LBO617" s="30"/>
      <c r="LBP617" s="30"/>
      <c r="LBQ617" s="30"/>
      <c r="LBR617" s="30"/>
      <c r="LBS617" s="30"/>
      <c r="LBT617" s="30"/>
      <c r="LBU617" s="30"/>
      <c r="LBV617" s="30"/>
      <c r="LBW617" s="30"/>
      <c r="LBX617" s="30"/>
      <c r="LBY617" s="30"/>
      <c r="LBZ617" s="30"/>
      <c r="LCA617" s="30"/>
      <c r="LCB617" s="30"/>
      <c r="LCC617" s="30"/>
      <c r="LCD617" s="30"/>
      <c r="LCE617" s="30"/>
      <c r="LCF617" s="30"/>
      <c r="LCG617" s="30"/>
      <c r="LCH617" s="30"/>
      <c r="LCI617" s="30"/>
      <c r="LCJ617" s="30"/>
      <c r="LCK617" s="30"/>
      <c r="LCL617" s="30"/>
      <c r="LCM617" s="30"/>
      <c r="LCN617" s="30"/>
      <c r="LCO617" s="30"/>
      <c r="LCP617" s="30"/>
      <c r="LCQ617" s="30"/>
      <c r="LCR617" s="30"/>
      <c r="LCS617" s="30"/>
      <c r="LCT617" s="30"/>
      <c r="LCU617" s="30"/>
      <c r="LCV617" s="30"/>
      <c r="LCW617" s="30"/>
      <c r="LCX617" s="30"/>
      <c r="LCY617" s="30"/>
      <c r="LCZ617" s="30"/>
      <c r="LDA617" s="30"/>
      <c r="LDB617" s="30"/>
      <c r="LDC617" s="30"/>
      <c r="LDD617" s="30"/>
      <c r="LDE617" s="30"/>
      <c r="LDF617" s="30"/>
      <c r="LDG617" s="30"/>
      <c r="LDH617" s="30"/>
      <c r="LDI617" s="30"/>
      <c r="LDJ617" s="30"/>
      <c r="LDK617" s="30"/>
      <c r="LDL617" s="30"/>
      <c r="LDM617" s="30"/>
      <c r="LDN617" s="30"/>
      <c r="LDO617" s="30"/>
      <c r="LDP617" s="30"/>
      <c r="LDQ617" s="30"/>
      <c r="LDR617" s="30"/>
      <c r="LDS617" s="30"/>
      <c r="LDT617" s="30"/>
      <c r="LDU617" s="30"/>
      <c r="LDV617" s="30"/>
      <c r="LDW617" s="30"/>
      <c r="LDX617" s="30"/>
      <c r="LDY617" s="30"/>
      <c r="LDZ617" s="30"/>
      <c r="LEA617" s="30"/>
      <c r="LEB617" s="30"/>
      <c r="LEC617" s="30"/>
      <c r="LED617" s="30"/>
      <c r="LEE617" s="30"/>
      <c r="LEF617" s="30"/>
      <c r="LEG617" s="30"/>
      <c r="LEH617" s="30"/>
      <c r="LEI617" s="30"/>
      <c r="LEJ617" s="30"/>
      <c r="LEK617" s="30"/>
      <c r="LEL617" s="30"/>
      <c r="LEM617" s="30"/>
      <c r="LEN617" s="30"/>
      <c r="LEO617" s="30"/>
      <c r="LEP617" s="30"/>
      <c r="LEQ617" s="30"/>
      <c r="LER617" s="30"/>
      <c r="LES617" s="30"/>
      <c r="LET617" s="30"/>
      <c r="LEU617" s="30"/>
      <c r="LEV617" s="30"/>
      <c r="LEW617" s="30"/>
      <c r="LEX617" s="30"/>
      <c r="LEY617" s="30"/>
      <c r="LEZ617" s="30"/>
      <c r="LFA617" s="30"/>
      <c r="LFB617" s="30"/>
      <c r="LFC617" s="30"/>
      <c r="LFD617" s="30"/>
      <c r="LFE617" s="30"/>
      <c r="LFF617" s="30"/>
      <c r="LFG617" s="30"/>
      <c r="LFH617" s="30"/>
      <c r="LFI617" s="30"/>
      <c r="LFJ617" s="30"/>
      <c r="LFK617" s="30"/>
      <c r="LFL617" s="30"/>
      <c r="LFM617" s="30"/>
      <c r="LFN617" s="30"/>
      <c r="LFO617" s="30"/>
      <c r="LFP617" s="30"/>
      <c r="LFQ617" s="30"/>
      <c r="LFR617" s="30"/>
      <c r="LFS617" s="30"/>
      <c r="LFT617" s="30"/>
      <c r="LFU617" s="30"/>
      <c r="LFV617" s="30"/>
      <c r="LFW617" s="30"/>
      <c r="LFX617" s="30"/>
      <c r="LFY617" s="30"/>
      <c r="LFZ617" s="30"/>
      <c r="LGA617" s="30"/>
      <c r="LGB617" s="30"/>
      <c r="LGC617" s="30"/>
      <c r="LGD617" s="30"/>
      <c r="LGE617" s="30"/>
      <c r="LGF617" s="30"/>
      <c r="LGG617" s="30"/>
      <c r="LGH617" s="30"/>
      <c r="LGI617" s="30"/>
      <c r="LGJ617" s="30"/>
      <c r="LGK617" s="30"/>
      <c r="LGL617" s="30"/>
      <c r="LGM617" s="30"/>
      <c r="LGN617" s="30"/>
      <c r="LGO617" s="30"/>
      <c r="LGP617" s="30"/>
      <c r="LGQ617" s="30"/>
      <c r="LGR617" s="30"/>
      <c r="LGS617" s="30"/>
      <c r="LGT617" s="30"/>
      <c r="LGU617" s="30"/>
      <c r="LGV617" s="30"/>
      <c r="LGW617" s="30"/>
      <c r="LGX617" s="30"/>
      <c r="LGY617" s="30"/>
      <c r="LGZ617" s="30"/>
      <c r="LHA617" s="30"/>
      <c r="LHB617" s="30"/>
      <c r="LHC617" s="30"/>
      <c r="LHD617" s="30"/>
      <c r="LHE617" s="30"/>
      <c r="LHF617" s="30"/>
      <c r="LHG617" s="30"/>
      <c r="LHH617" s="30"/>
      <c r="LHI617" s="30"/>
      <c r="LHJ617" s="30"/>
      <c r="LHK617" s="30"/>
      <c r="LHL617" s="30"/>
      <c r="LHM617" s="30"/>
      <c r="LHN617" s="30"/>
      <c r="LHO617" s="30"/>
      <c r="LHP617" s="30"/>
      <c r="LHQ617" s="30"/>
      <c r="LHR617" s="30"/>
      <c r="LHS617" s="30"/>
      <c r="LHT617" s="30"/>
      <c r="LHU617" s="30"/>
      <c r="LHV617" s="30"/>
      <c r="LHW617" s="30"/>
      <c r="LHX617" s="30"/>
      <c r="LHY617" s="30"/>
      <c r="LHZ617" s="30"/>
      <c r="LIA617" s="30"/>
      <c r="LIB617" s="30"/>
      <c r="LIC617" s="30"/>
      <c r="LID617" s="30"/>
      <c r="LIE617" s="30"/>
      <c r="LIF617" s="30"/>
      <c r="LIG617" s="30"/>
      <c r="LIH617" s="30"/>
      <c r="LII617" s="30"/>
      <c r="LIJ617" s="30"/>
      <c r="LIK617" s="30"/>
      <c r="LIL617" s="30"/>
      <c r="LIM617" s="30"/>
      <c r="LIN617" s="30"/>
      <c r="LIO617" s="30"/>
      <c r="LIP617" s="30"/>
      <c r="LIQ617" s="30"/>
      <c r="LIR617" s="30"/>
      <c r="LIS617" s="30"/>
      <c r="LIT617" s="30"/>
      <c r="LIU617" s="30"/>
      <c r="LIV617" s="30"/>
      <c r="LIW617" s="30"/>
      <c r="LIX617" s="30"/>
      <c r="LIY617" s="30"/>
      <c r="LIZ617" s="30"/>
      <c r="LJA617" s="30"/>
      <c r="LJB617" s="30"/>
      <c r="LJC617" s="30"/>
      <c r="LJD617" s="30"/>
      <c r="LJE617" s="30"/>
      <c r="LJF617" s="30"/>
      <c r="LJG617" s="30"/>
      <c r="LJH617" s="30"/>
      <c r="LJI617" s="30"/>
      <c r="LJJ617" s="30"/>
      <c r="LJK617" s="30"/>
      <c r="LJL617" s="30"/>
      <c r="LJM617" s="30"/>
      <c r="LJN617" s="30"/>
      <c r="LJO617" s="30"/>
      <c r="LJP617" s="30"/>
      <c r="LJQ617" s="30"/>
      <c r="LJR617" s="30"/>
      <c r="LJS617" s="30"/>
      <c r="LJT617" s="30"/>
      <c r="LJU617" s="30"/>
      <c r="LJV617" s="30"/>
      <c r="LJW617" s="30"/>
      <c r="LJX617" s="30"/>
      <c r="LJY617" s="30"/>
      <c r="LJZ617" s="30"/>
      <c r="LKA617" s="30"/>
      <c r="LKB617" s="30"/>
      <c r="LKC617" s="30"/>
      <c r="LKD617" s="30"/>
      <c r="LKE617" s="30"/>
      <c r="LKF617" s="30"/>
      <c r="LKG617" s="30"/>
      <c r="LKH617" s="30"/>
      <c r="LKI617" s="30"/>
      <c r="LKJ617" s="30"/>
      <c r="LKK617" s="30"/>
      <c r="LKL617" s="30"/>
      <c r="LKM617" s="30"/>
      <c r="LKN617" s="30"/>
      <c r="LKO617" s="30"/>
      <c r="LKP617" s="30"/>
      <c r="LKQ617" s="30"/>
      <c r="LKR617" s="30"/>
      <c r="LKS617" s="30"/>
      <c r="LKT617" s="30"/>
      <c r="LKU617" s="30"/>
      <c r="LKV617" s="30"/>
      <c r="LKW617" s="30"/>
      <c r="LKX617" s="30"/>
      <c r="LKY617" s="30"/>
      <c r="LKZ617" s="30"/>
      <c r="LLA617" s="30"/>
      <c r="LLB617" s="30"/>
      <c r="LLC617" s="30"/>
      <c r="LLD617" s="30"/>
      <c r="LLE617" s="30"/>
      <c r="LLF617" s="30"/>
      <c r="LLG617" s="30"/>
      <c r="LLH617" s="30"/>
      <c r="LLI617" s="30"/>
      <c r="LLJ617" s="30"/>
      <c r="LLK617" s="30"/>
      <c r="LLL617" s="30"/>
      <c r="LLM617" s="30"/>
      <c r="LLN617" s="30"/>
      <c r="LLO617" s="30"/>
      <c r="LLP617" s="30"/>
      <c r="LLQ617" s="30"/>
      <c r="LLR617" s="30"/>
      <c r="LLS617" s="30"/>
      <c r="LLT617" s="30"/>
      <c r="LLU617" s="30"/>
      <c r="LLV617" s="30"/>
      <c r="LLW617" s="30"/>
      <c r="LLX617" s="30"/>
      <c r="LLY617" s="30"/>
      <c r="LLZ617" s="30"/>
      <c r="LMA617" s="30"/>
      <c r="LMB617" s="30"/>
      <c r="LMC617" s="30"/>
      <c r="LMD617" s="30"/>
      <c r="LME617" s="30"/>
      <c r="LMF617" s="30"/>
      <c r="LMG617" s="30"/>
      <c r="LMH617" s="30"/>
      <c r="LMI617" s="30"/>
      <c r="LMJ617" s="30"/>
      <c r="LMK617" s="30"/>
      <c r="LML617" s="30"/>
      <c r="LMM617" s="30"/>
      <c r="LMN617" s="30"/>
      <c r="LMO617" s="30"/>
      <c r="LMP617" s="30"/>
      <c r="LMQ617" s="30"/>
      <c r="LMR617" s="30"/>
      <c r="LMS617" s="30"/>
      <c r="LMT617" s="30"/>
      <c r="LMU617" s="30"/>
      <c r="LMV617" s="30"/>
      <c r="LMW617" s="30"/>
      <c r="LMX617" s="30"/>
      <c r="LMY617" s="30"/>
      <c r="LMZ617" s="30"/>
      <c r="LNA617" s="30"/>
      <c r="LNB617" s="30"/>
      <c r="LNC617" s="30"/>
      <c r="LND617" s="30"/>
      <c r="LNE617" s="30"/>
      <c r="LNF617" s="30"/>
      <c r="LNG617" s="30"/>
      <c r="LNH617" s="30"/>
      <c r="LNI617" s="30"/>
      <c r="LNJ617" s="30"/>
      <c r="LNK617" s="30"/>
      <c r="LNL617" s="30"/>
      <c r="LNM617" s="30"/>
      <c r="LNN617" s="30"/>
      <c r="LNO617" s="30"/>
      <c r="LNP617" s="30"/>
      <c r="LNQ617" s="30"/>
      <c r="LNR617" s="30"/>
      <c r="LNS617" s="30"/>
      <c r="LNT617" s="30"/>
      <c r="LNU617" s="30"/>
      <c r="LNV617" s="30"/>
      <c r="LNW617" s="30"/>
      <c r="LNX617" s="30"/>
      <c r="LNY617" s="30"/>
      <c r="LNZ617" s="30"/>
      <c r="LOA617" s="30"/>
      <c r="LOB617" s="30"/>
      <c r="LOC617" s="30"/>
      <c r="LOD617" s="30"/>
      <c r="LOE617" s="30"/>
      <c r="LOF617" s="30"/>
      <c r="LOG617" s="30"/>
      <c r="LOH617" s="30"/>
      <c r="LOI617" s="30"/>
      <c r="LOJ617" s="30"/>
      <c r="LOK617" s="30"/>
      <c r="LOL617" s="30"/>
      <c r="LOM617" s="30"/>
      <c r="LON617" s="30"/>
      <c r="LOO617" s="30"/>
      <c r="LOP617" s="30"/>
      <c r="LOQ617" s="30"/>
      <c r="LOR617" s="30"/>
      <c r="LOS617" s="30"/>
      <c r="LOT617" s="30"/>
      <c r="LOU617" s="30"/>
      <c r="LOV617" s="30"/>
      <c r="LOW617" s="30"/>
      <c r="LOX617" s="30"/>
      <c r="LOY617" s="30"/>
      <c r="LOZ617" s="30"/>
      <c r="LPA617" s="30"/>
      <c r="LPB617" s="30"/>
      <c r="LPC617" s="30"/>
      <c r="LPD617" s="30"/>
      <c r="LPE617" s="30"/>
      <c r="LPF617" s="30"/>
      <c r="LPG617" s="30"/>
      <c r="LPH617" s="30"/>
      <c r="LPI617" s="30"/>
      <c r="LPJ617" s="30"/>
      <c r="LPK617" s="30"/>
      <c r="LPL617" s="30"/>
      <c r="LPM617" s="30"/>
      <c r="LPN617" s="30"/>
      <c r="LPO617" s="30"/>
      <c r="LPP617" s="30"/>
      <c r="LPQ617" s="30"/>
      <c r="LPR617" s="30"/>
      <c r="LPS617" s="30"/>
      <c r="LPT617" s="30"/>
      <c r="LPU617" s="30"/>
      <c r="LPV617" s="30"/>
      <c r="LPW617" s="30"/>
      <c r="LPX617" s="30"/>
      <c r="LPY617" s="30"/>
      <c r="LPZ617" s="30"/>
      <c r="LQA617" s="30"/>
      <c r="LQB617" s="30"/>
      <c r="LQC617" s="30"/>
      <c r="LQD617" s="30"/>
      <c r="LQE617" s="30"/>
      <c r="LQF617" s="30"/>
      <c r="LQG617" s="30"/>
      <c r="LQH617" s="30"/>
      <c r="LQI617" s="30"/>
      <c r="LQJ617" s="30"/>
      <c r="LQK617" s="30"/>
      <c r="LQL617" s="30"/>
      <c r="LQM617" s="30"/>
      <c r="LQN617" s="30"/>
      <c r="LQO617" s="30"/>
      <c r="LQP617" s="30"/>
      <c r="LQQ617" s="30"/>
      <c r="LQR617" s="30"/>
      <c r="LQS617" s="30"/>
      <c r="LQT617" s="30"/>
      <c r="LQU617" s="30"/>
      <c r="LQV617" s="30"/>
      <c r="LQW617" s="30"/>
      <c r="LQX617" s="30"/>
      <c r="LQY617" s="30"/>
      <c r="LQZ617" s="30"/>
      <c r="LRA617" s="30"/>
      <c r="LRB617" s="30"/>
      <c r="LRC617" s="30"/>
      <c r="LRD617" s="30"/>
      <c r="LRE617" s="30"/>
      <c r="LRF617" s="30"/>
      <c r="LRG617" s="30"/>
      <c r="LRH617" s="30"/>
      <c r="LRI617" s="30"/>
      <c r="LRJ617" s="30"/>
      <c r="LRK617" s="30"/>
      <c r="LRL617" s="30"/>
      <c r="LRM617" s="30"/>
      <c r="LRN617" s="30"/>
      <c r="LRO617" s="30"/>
      <c r="LRP617" s="30"/>
      <c r="LRQ617" s="30"/>
      <c r="LRR617" s="30"/>
      <c r="LRS617" s="30"/>
      <c r="LRT617" s="30"/>
      <c r="LRU617" s="30"/>
      <c r="LRV617" s="30"/>
      <c r="LRW617" s="30"/>
      <c r="LRX617" s="30"/>
      <c r="LRY617" s="30"/>
      <c r="LRZ617" s="30"/>
      <c r="LSA617" s="30"/>
      <c r="LSB617" s="30"/>
      <c r="LSC617" s="30"/>
      <c r="LSD617" s="30"/>
      <c r="LSE617" s="30"/>
      <c r="LSF617" s="30"/>
      <c r="LSG617" s="30"/>
      <c r="LSH617" s="30"/>
      <c r="LSI617" s="30"/>
      <c r="LSJ617" s="30"/>
      <c r="LSK617" s="30"/>
      <c r="LSL617" s="30"/>
      <c r="LSM617" s="30"/>
      <c r="LSN617" s="30"/>
      <c r="LSO617" s="30"/>
      <c r="LSP617" s="30"/>
      <c r="LSQ617" s="30"/>
      <c r="LSR617" s="30"/>
      <c r="LSS617" s="30"/>
      <c r="LST617" s="30"/>
      <c r="LSU617" s="30"/>
      <c r="LSV617" s="30"/>
      <c r="LSW617" s="30"/>
      <c r="LSX617" s="30"/>
      <c r="LSY617" s="30"/>
      <c r="LSZ617" s="30"/>
      <c r="LTA617" s="30"/>
      <c r="LTB617" s="30"/>
      <c r="LTC617" s="30"/>
      <c r="LTD617" s="30"/>
      <c r="LTE617" s="30"/>
      <c r="LTF617" s="30"/>
      <c r="LTG617" s="30"/>
      <c r="LTH617" s="30"/>
      <c r="LTI617" s="30"/>
      <c r="LTJ617" s="30"/>
      <c r="LTK617" s="30"/>
      <c r="LTL617" s="30"/>
      <c r="LTM617" s="30"/>
      <c r="LTN617" s="30"/>
      <c r="LTO617" s="30"/>
      <c r="LTP617" s="30"/>
      <c r="LTQ617" s="30"/>
      <c r="LTR617" s="30"/>
      <c r="LTS617" s="30"/>
      <c r="LTT617" s="30"/>
      <c r="LTU617" s="30"/>
      <c r="LTV617" s="30"/>
      <c r="LTW617" s="30"/>
      <c r="LTX617" s="30"/>
      <c r="LTY617" s="30"/>
      <c r="LTZ617" s="30"/>
      <c r="LUA617" s="30"/>
      <c r="LUB617" s="30"/>
      <c r="LUC617" s="30"/>
      <c r="LUD617" s="30"/>
      <c r="LUE617" s="30"/>
      <c r="LUF617" s="30"/>
      <c r="LUG617" s="30"/>
      <c r="LUH617" s="30"/>
      <c r="LUI617" s="30"/>
      <c r="LUJ617" s="30"/>
      <c r="LUK617" s="30"/>
      <c r="LUL617" s="30"/>
      <c r="LUM617" s="30"/>
      <c r="LUN617" s="30"/>
      <c r="LUO617" s="30"/>
      <c r="LUP617" s="30"/>
      <c r="LUQ617" s="30"/>
      <c r="LUR617" s="30"/>
      <c r="LUS617" s="30"/>
      <c r="LUT617" s="30"/>
      <c r="LUU617" s="30"/>
      <c r="LUV617" s="30"/>
      <c r="LUW617" s="30"/>
      <c r="LUX617" s="30"/>
      <c r="LUY617" s="30"/>
      <c r="LUZ617" s="30"/>
      <c r="LVA617" s="30"/>
      <c r="LVB617" s="30"/>
      <c r="LVC617" s="30"/>
      <c r="LVD617" s="30"/>
      <c r="LVE617" s="30"/>
      <c r="LVF617" s="30"/>
      <c r="LVG617" s="30"/>
      <c r="LVH617" s="30"/>
      <c r="LVI617" s="30"/>
      <c r="LVJ617" s="30"/>
      <c r="LVK617" s="30"/>
      <c r="LVL617" s="30"/>
      <c r="LVM617" s="30"/>
      <c r="LVN617" s="30"/>
      <c r="LVO617" s="30"/>
      <c r="LVP617" s="30"/>
      <c r="LVQ617" s="30"/>
      <c r="LVR617" s="30"/>
      <c r="LVS617" s="30"/>
      <c r="LVT617" s="30"/>
      <c r="LVU617" s="30"/>
      <c r="LVV617" s="30"/>
      <c r="LVW617" s="30"/>
      <c r="LVX617" s="30"/>
      <c r="LVY617" s="30"/>
      <c r="LVZ617" s="30"/>
      <c r="LWA617" s="30"/>
      <c r="LWB617" s="30"/>
      <c r="LWC617" s="30"/>
      <c r="LWD617" s="30"/>
      <c r="LWE617" s="30"/>
      <c r="LWF617" s="30"/>
      <c r="LWG617" s="30"/>
      <c r="LWH617" s="30"/>
      <c r="LWI617" s="30"/>
      <c r="LWJ617" s="30"/>
      <c r="LWK617" s="30"/>
      <c r="LWL617" s="30"/>
      <c r="LWM617" s="30"/>
      <c r="LWN617" s="30"/>
      <c r="LWO617" s="30"/>
      <c r="LWP617" s="30"/>
      <c r="LWQ617" s="30"/>
      <c r="LWR617" s="30"/>
      <c r="LWS617" s="30"/>
      <c r="LWT617" s="30"/>
      <c r="LWU617" s="30"/>
      <c r="LWV617" s="30"/>
      <c r="LWW617" s="30"/>
      <c r="LWX617" s="30"/>
      <c r="LWY617" s="30"/>
      <c r="LWZ617" s="30"/>
      <c r="LXA617" s="30"/>
      <c r="LXB617" s="30"/>
      <c r="LXC617" s="30"/>
      <c r="LXD617" s="30"/>
      <c r="LXE617" s="30"/>
      <c r="LXF617" s="30"/>
      <c r="LXG617" s="30"/>
      <c r="LXH617" s="30"/>
      <c r="LXI617" s="30"/>
      <c r="LXJ617" s="30"/>
      <c r="LXK617" s="30"/>
      <c r="LXL617" s="30"/>
      <c r="LXM617" s="30"/>
      <c r="LXN617" s="30"/>
      <c r="LXO617" s="30"/>
      <c r="LXP617" s="30"/>
      <c r="LXQ617" s="30"/>
      <c r="LXR617" s="30"/>
      <c r="LXS617" s="30"/>
      <c r="LXT617" s="30"/>
      <c r="LXU617" s="30"/>
      <c r="LXV617" s="30"/>
      <c r="LXW617" s="30"/>
      <c r="LXX617" s="30"/>
      <c r="LXY617" s="30"/>
      <c r="LXZ617" s="30"/>
      <c r="LYA617" s="30"/>
      <c r="LYB617" s="30"/>
      <c r="LYC617" s="30"/>
      <c r="LYD617" s="30"/>
      <c r="LYE617" s="30"/>
      <c r="LYF617" s="30"/>
      <c r="LYG617" s="30"/>
      <c r="LYH617" s="30"/>
      <c r="LYI617" s="30"/>
      <c r="LYJ617" s="30"/>
      <c r="LYK617" s="30"/>
      <c r="LYL617" s="30"/>
      <c r="LYM617" s="30"/>
      <c r="LYN617" s="30"/>
      <c r="LYO617" s="30"/>
      <c r="LYP617" s="30"/>
      <c r="LYQ617" s="30"/>
      <c r="LYR617" s="30"/>
      <c r="LYS617" s="30"/>
      <c r="LYT617" s="30"/>
      <c r="LYU617" s="30"/>
      <c r="LYV617" s="30"/>
      <c r="LYW617" s="30"/>
      <c r="LYX617" s="30"/>
      <c r="LYY617" s="30"/>
      <c r="LYZ617" s="30"/>
      <c r="LZA617" s="30"/>
      <c r="LZB617" s="30"/>
      <c r="LZC617" s="30"/>
      <c r="LZD617" s="30"/>
      <c r="LZE617" s="30"/>
      <c r="LZF617" s="30"/>
      <c r="LZG617" s="30"/>
      <c r="LZH617" s="30"/>
      <c r="LZI617" s="30"/>
      <c r="LZJ617" s="30"/>
      <c r="LZK617" s="30"/>
      <c r="LZL617" s="30"/>
      <c r="LZM617" s="30"/>
      <c r="LZN617" s="30"/>
      <c r="LZO617" s="30"/>
      <c r="LZP617" s="30"/>
      <c r="LZQ617" s="30"/>
      <c r="LZR617" s="30"/>
      <c r="LZS617" s="30"/>
      <c r="LZT617" s="30"/>
      <c r="LZU617" s="30"/>
      <c r="LZV617" s="30"/>
      <c r="LZW617" s="30"/>
      <c r="LZX617" s="30"/>
      <c r="LZY617" s="30"/>
      <c r="LZZ617" s="30"/>
      <c r="MAA617" s="30"/>
      <c r="MAB617" s="30"/>
      <c r="MAC617" s="30"/>
      <c r="MAD617" s="30"/>
      <c r="MAE617" s="30"/>
      <c r="MAF617" s="30"/>
      <c r="MAG617" s="30"/>
      <c r="MAH617" s="30"/>
      <c r="MAI617" s="30"/>
      <c r="MAJ617" s="30"/>
      <c r="MAK617" s="30"/>
      <c r="MAL617" s="30"/>
      <c r="MAM617" s="30"/>
      <c r="MAN617" s="30"/>
      <c r="MAO617" s="30"/>
      <c r="MAP617" s="30"/>
      <c r="MAQ617" s="30"/>
      <c r="MAR617" s="30"/>
      <c r="MAS617" s="30"/>
      <c r="MAT617" s="30"/>
      <c r="MAU617" s="30"/>
      <c r="MAV617" s="30"/>
      <c r="MAW617" s="30"/>
      <c r="MAX617" s="30"/>
      <c r="MAY617" s="30"/>
      <c r="MAZ617" s="30"/>
      <c r="MBA617" s="30"/>
      <c r="MBB617" s="30"/>
      <c r="MBC617" s="30"/>
      <c r="MBD617" s="30"/>
      <c r="MBE617" s="30"/>
      <c r="MBF617" s="30"/>
      <c r="MBG617" s="30"/>
      <c r="MBH617" s="30"/>
      <c r="MBI617" s="30"/>
      <c r="MBJ617" s="30"/>
      <c r="MBK617" s="30"/>
      <c r="MBL617" s="30"/>
      <c r="MBM617" s="30"/>
      <c r="MBN617" s="30"/>
      <c r="MBO617" s="30"/>
      <c r="MBP617" s="30"/>
      <c r="MBQ617" s="30"/>
      <c r="MBR617" s="30"/>
      <c r="MBS617" s="30"/>
      <c r="MBT617" s="30"/>
      <c r="MBU617" s="30"/>
      <c r="MBV617" s="30"/>
      <c r="MBW617" s="30"/>
      <c r="MBX617" s="30"/>
      <c r="MBY617" s="30"/>
      <c r="MBZ617" s="30"/>
      <c r="MCA617" s="30"/>
      <c r="MCB617" s="30"/>
      <c r="MCC617" s="30"/>
      <c r="MCD617" s="30"/>
      <c r="MCE617" s="30"/>
      <c r="MCF617" s="30"/>
      <c r="MCG617" s="30"/>
      <c r="MCH617" s="30"/>
      <c r="MCI617" s="30"/>
      <c r="MCJ617" s="30"/>
      <c r="MCK617" s="30"/>
      <c r="MCL617" s="30"/>
      <c r="MCM617" s="30"/>
      <c r="MCN617" s="30"/>
      <c r="MCO617" s="30"/>
      <c r="MCP617" s="30"/>
      <c r="MCQ617" s="30"/>
      <c r="MCR617" s="30"/>
      <c r="MCS617" s="30"/>
      <c r="MCT617" s="30"/>
      <c r="MCU617" s="30"/>
      <c r="MCV617" s="30"/>
      <c r="MCW617" s="30"/>
      <c r="MCX617" s="30"/>
      <c r="MCY617" s="30"/>
      <c r="MCZ617" s="30"/>
      <c r="MDA617" s="30"/>
      <c r="MDB617" s="30"/>
      <c r="MDC617" s="30"/>
      <c r="MDD617" s="30"/>
      <c r="MDE617" s="30"/>
      <c r="MDF617" s="30"/>
      <c r="MDG617" s="30"/>
      <c r="MDH617" s="30"/>
      <c r="MDI617" s="30"/>
      <c r="MDJ617" s="30"/>
      <c r="MDK617" s="30"/>
      <c r="MDL617" s="30"/>
      <c r="MDM617" s="30"/>
      <c r="MDN617" s="30"/>
      <c r="MDO617" s="30"/>
      <c r="MDP617" s="30"/>
      <c r="MDQ617" s="30"/>
      <c r="MDR617" s="30"/>
      <c r="MDS617" s="30"/>
      <c r="MDT617" s="30"/>
      <c r="MDU617" s="30"/>
      <c r="MDV617" s="30"/>
      <c r="MDW617" s="30"/>
      <c r="MDX617" s="30"/>
      <c r="MDY617" s="30"/>
      <c r="MDZ617" s="30"/>
      <c r="MEA617" s="30"/>
      <c r="MEB617" s="30"/>
      <c r="MEC617" s="30"/>
      <c r="MED617" s="30"/>
      <c r="MEE617" s="30"/>
      <c r="MEF617" s="30"/>
      <c r="MEG617" s="30"/>
      <c r="MEH617" s="30"/>
      <c r="MEI617" s="30"/>
      <c r="MEJ617" s="30"/>
      <c r="MEK617" s="30"/>
      <c r="MEL617" s="30"/>
      <c r="MEM617" s="30"/>
      <c r="MEN617" s="30"/>
      <c r="MEO617" s="30"/>
      <c r="MEP617" s="30"/>
      <c r="MEQ617" s="30"/>
      <c r="MER617" s="30"/>
      <c r="MES617" s="30"/>
      <c r="MET617" s="30"/>
      <c r="MEU617" s="30"/>
      <c r="MEV617" s="30"/>
      <c r="MEW617" s="30"/>
      <c r="MEX617" s="30"/>
      <c r="MEY617" s="30"/>
      <c r="MEZ617" s="30"/>
      <c r="MFA617" s="30"/>
      <c r="MFB617" s="30"/>
      <c r="MFC617" s="30"/>
      <c r="MFD617" s="30"/>
      <c r="MFE617" s="30"/>
      <c r="MFF617" s="30"/>
      <c r="MFG617" s="30"/>
      <c r="MFH617" s="30"/>
      <c r="MFI617" s="30"/>
      <c r="MFJ617" s="30"/>
      <c r="MFK617" s="30"/>
      <c r="MFL617" s="30"/>
      <c r="MFM617" s="30"/>
      <c r="MFN617" s="30"/>
      <c r="MFO617" s="30"/>
      <c r="MFP617" s="30"/>
      <c r="MFQ617" s="30"/>
      <c r="MFR617" s="30"/>
      <c r="MFS617" s="30"/>
      <c r="MFT617" s="30"/>
      <c r="MFU617" s="30"/>
      <c r="MFV617" s="30"/>
      <c r="MFW617" s="30"/>
      <c r="MFX617" s="30"/>
      <c r="MFY617" s="30"/>
      <c r="MFZ617" s="30"/>
      <c r="MGA617" s="30"/>
      <c r="MGB617" s="30"/>
      <c r="MGC617" s="30"/>
      <c r="MGD617" s="30"/>
      <c r="MGE617" s="30"/>
      <c r="MGF617" s="30"/>
      <c r="MGG617" s="30"/>
      <c r="MGH617" s="30"/>
      <c r="MGI617" s="30"/>
      <c r="MGJ617" s="30"/>
      <c r="MGK617" s="30"/>
      <c r="MGL617" s="30"/>
      <c r="MGM617" s="30"/>
      <c r="MGN617" s="30"/>
      <c r="MGO617" s="30"/>
      <c r="MGP617" s="30"/>
      <c r="MGQ617" s="30"/>
      <c r="MGR617" s="30"/>
      <c r="MGS617" s="30"/>
      <c r="MGT617" s="30"/>
      <c r="MGU617" s="30"/>
      <c r="MGV617" s="30"/>
      <c r="MGW617" s="30"/>
      <c r="MGX617" s="30"/>
      <c r="MGY617" s="30"/>
      <c r="MGZ617" s="30"/>
      <c r="MHA617" s="30"/>
      <c r="MHB617" s="30"/>
      <c r="MHC617" s="30"/>
      <c r="MHD617" s="30"/>
      <c r="MHE617" s="30"/>
      <c r="MHF617" s="30"/>
      <c r="MHG617" s="30"/>
      <c r="MHH617" s="30"/>
      <c r="MHI617" s="30"/>
      <c r="MHJ617" s="30"/>
      <c r="MHK617" s="30"/>
      <c r="MHL617" s="30"/>
      <c r="MHM617" s="30"/>
      <c r="MHN617" s="30"/>
      <c r="MHO617" s="30"/>
      <c r="MHP617" s="30"/>
      <c r="MHQ617" s="30"/>
      <c r="MHR617" s="30"/>
      <c r="MHS617" s="30"/>
      <c r="MHT617" s="30"/>
      <c r="MHU617" s="30"/>
      <c r="MHV617" s="30"/>
      <c r="MHW617" s="30"/>
      <c r="MHX617" s="30"/>
      <c r="MHY617" s="30"/>
      <c r="MHZ617" s="30"/>
      <c r="MIA617" s="30"/>
      <c r="MIB617" s="30"/>
      <c r="MIC617" s="30"/>
      <c r="MID617" s="30"/>
      <c r="MIE617" s="30"/>
      <c r="MIF617" s="30"/>
      <c r="MIG617" s="30"/>
      <c r="MIH617" s="30"/>
      <c r="MII617" s="30"/>
      <c r="MIJ617" s="30"/>
      <c r="MIK617" s="30"/>
      <c r="MIL617" s="30"/>
      <c r="MIM617" s="30"/>
      <c r="MIN617" s="30"/>
      <c r="MIO617" s="30"/>
      <c r="MIP617" s="30"/>
      <c r="MIQ617" s="30"/>
      <c r="MIR617" s="30"/>
      <c r="MIS617" s="30"/>
      <c r="MIT617" s="30"/>
      <c r="MIU617" s="30"/>
      <c r="MIV617" s="30"/>
      <c r="MIW617" s="30"/>
      <c r="MIX617" s="30"/>
      <c r="MIY617" s="30"/>
      <c r="MIZ617" s="30"/>
      <c r="MJA617" s="30"/>
      <c r="MJB617" s="30"/>
      <c r="MJC617" s="30"/>
      <c r="MJD617" s="30"/>
      <c r="MJE617" s="30"/>
      <c r="MJF617" s="30"/>
      <c r="MJG617" s="30"/>
      <c r="MJH617" s="30"/>
      <c r="MJI617" s="30"/>
      <c r="MJJ617" s="30"/>
      <c r="MJK617" s="30"/>
      <c r="MJL617" s="30"/>
      <c r="MJM617" s="30"/>
      <c r="MJN617" s="30"/>
      <c r="MJO617" s="30"/>
      <c r="MJP617" s="30"/>
      <c r="MJQ617" s="30"/>
      <c r="MJR617" s="30"/>
      <c r="MJS617" s="30"/>
      <c r="MJT617" s="30"/>
      <c r="MJU617" s="30"/>
      <c r="MJV617" s="30"/>
      <c r="MJW617" s="30"/>
      <c r="MJX617" s="30"/>
      <c r="MJY617" s="30"/>
      <c r="MJZ617" s="30"/>
      <c r="MKA617" s="30"/>
      <c r="MKB617" s="30"/>
      <c r="MKC617" s="30"/>
      <c r="MKD617" s="30"/>
      <c r="MKE617" s="30"/>
      <c r="MKF617" s="30"/>
      <c r="MKG617" s="30"/>
      <c r="MKH617" s="30"/>
      <c r="MKI617" s="30"/>
      <c r="MKJ617" s="30"/>
      <c r="MKK617" s="30"/>
      <c r="MKL617" s="30"/>
      <c r="MKM617" s="30"/>
      <c r="MKN617" s="30"/>
      <c r="MKO617" s="30"/>
      <c r="MKP617" s="30"/>
      <c r="MKQ617" s="30"/>
      <c r="MKR617" s="30"/>
      <c r="MKS617" s="30"/>
      <c r="MKT617" s="30"/>
      <c r="MKU617" s="30"/>
      <c r="MKV617" s="30"/>
      <c r="MKW617" s="30"/>
      <c r="MKX617" s="30"/>
      <c r="MKY617" s="30"/>
      <c r="MKZ617" s="30"/>
      <c r="MLA617" s="30"/>
      <c r="MLB617" s="30"/>
      <c r="MLC617" s="30"/>
      <c r="MLD617" s="30"/>
      <c r="MLE617" s="30"/>
      <c r="MLF617" s="30"/>
      <c r="MLG617" s="30"/>
      <c r="MLH617" s="30"/>
      <c r="MLI617" s="30"/>
      <c r="MLJ617" s="30"/>
      <c r="MLK617" s="30"/>
      <c r="MLL617" s="30"/>
      <c r="MLM617" s="30"/>
      <c r="MLN617" s="30"/>
      <c r="MLO617" s="30"/>
      <c r="MLP617" s="30"/>
      <c r="MLQ617" s="30"/>
      <c r="MLR617" s="30"/>
      <c r="MLS617" s="30"/>
      <c r="MLT617" s="30"/>
      <c r="MLU617" s="30"/>
      <c r="MLV617" s="30"/>
      <c r="MLW617" s="30"/>
      <c r="MLX617" s="30"/>
      <c r="MLY617" s="30"/>
      <c r="MLZ617" s="30"/>
      <c r="MMA617" s="30"/>
      <c r="MMB617" s="30"/>
      <c r="MMC617" s="30"/>
      <c r="MMD617" s="30"/>
      <c r="MME617" s="30"/>
      <c r="MMF617" s="30"/>
      <c r="MMG617" s="30"/>
      <c r="MMH617" s="30"/>
      <c r="MMI617" s="30"/>
      <c r="MMJ617" s="30"/>
      <c r="MMK617" s="30"/>
      <c r="MML617" s="30"/>
      <c r="MMM617" s="30"/>
      <c r="MMN617" s="30"/>
      <c r="MMO617" s="30"/>
      <c r="MMP617" s="30"/>
      <c r="MMQ617" s="30"/>
      <c r="MMR617" s="30"/>
      <c r="MMS617" s="30"/>
      <c r="MMT617" s="30"/>
      <c r="MMU617" s="30"/>
      <c r="MMV617" s="30"/>
      <c r="MMW617" s="30"/>
      <c r="MMX617" s="30"/>
      <c r="MMY617" s="30"/>
      <c r="MMZ617" s="30"/>
      <c r="MNA617" s="30"/>
      <c r="MNB617" s="30"/>
      <c r="MNC617" s="30"/>
      <c r="MND617" s="30"/>
      <c r="MNE617" s="30"/>
      <c r="MNF617" s="30"/>
      <c r="MNG617" s="30"/>
      <c r="MNH617" s="30"/>
      <c r="MNI617" s="30"/>
      <c r="MNJ617" s="30"/>
      <c r="MNK617" s="30"/>
      <c r="MNL617" s="30"/>
      <c r="MNM617" s="30"/>
      <c r="MNN617" s="30"/>
      <c r="MNO617" s="30"/>
      <c r="MNP617" s="30"/>
      <c r="MNQ617" s="30"/>
      <c r="MNR617" s="30"/>
      <c r="MNS617" s="30"/>
      <c r="MNT617" s="30"/>
      <c r="MNU617" s="30"/>
      <c r="MNV617" s="30"/>
      <c r="MNW617" s="30"/>
      <c r="MNX617" s="30"/>
      <c r="MNY617" s="30"/>
      <c r="MNZ617" s="30"/>
      <c r="MOA617" s="30"/>
      <c r="MOB617" s="30"/>
      <c r="MOC617" s="30"/>
      <c r="MOD617" s="30"/>
      <c r="MOE617" s="30"/>
      <c r="MOF617" s="30"/>
      <c r="MOG617" s="30"/>
      <c r="MOH617" s="30"/>
      <c r="MOI617" s="30"/>
      <c r="MOJ617" s="30"/>
      <c r="MOK617" s="30"/>
      <c r="MOL617" s="30"/>
      <c r="MOM617" s="30"/>
      <c r="MON617" s="30"/>
      <c r="MOO617" s="30"/>
      <c r="MOP617" s="30"/>
      <c r="MOQ617" s="30"/>
      <c r="MOR617" s="30"/>
      <c r="MOS617" s="30"/>
      <c r="MOT617" s="30"/>
      <c r="MOU617" s="30"/>
      <c r="MOV617" s="30"/>
      <c r="MOW617" s="30"/>
      <c r="MOX617" s="30"/>
      <c r="MOY617" s="30"/>
      <c r="MOZ617" s="30"/>
      <c r="MPA617" s="30"/>
      <c r="MPB617" s="30"/>
      <c r="MPC617" s="30"/>
      <c r="MPD617" s="30"/>
      <c r="MPE617" s="30"/>
      <c r="MPF617" s="30"/>
      <c r="MPG617" s="30"/>
      <c r="MPH617" s="30"/>
      <c r="MPI617" s="30"/>
      <c r="MPJ617" s="30"/>
      <c r="MPK617" s="30"/>
      <c r="MPL617" s="30"/>
      <c r="MPM617" s="30"/>
      <c r="MPN617" s="30"/>
      <c r="MPO617" s="30"/>
      <c r="MPP617" s="30"/>
      <c r="MPQ617" s="30"/>
      <c r="MPR617" s="30"/>
      <c r="MPS617" s="30"/>
      <c r="MPT617" s="30"/>
      <c r="MPU617" s="30"/>
      <c r="MPV617" s="30"/>
      <c r="MPW617" s="30"/>
      <c r="MPX617" s="30"/>
      <c r="MPY617" s="30"/>
      <c r="MPZ617" s="30"/>
      <c r="MQA617" s="30"/>
      <c r="MQB617" s="30"/>
      <c r="MQC617" s="30"/>
      <c r="MQD617" s="30"/>
      <c r="MQE617" s="30"/>
      <c r="MQF617" s="30"/>
      <c r="MQG617" s="30"/>
      <c r="MQH617" s="30"/>
      <c r="MQI617" s="30"/>
      <c r="MQJ617" s="30"/>
      <c r="MQK617" s="30"/>
      <c r="MQL617" s="30"/>
      <c r="MQM617" s="30"/>
      <c r="MQN617" s="30"/>
      <c r="MQO617" s="30"/>
      <c r="MQP617" s="30"/>
      <c r="MQQ617" s="30"/>
      <c r="MQR617" s="30"/>
      <c r="MQS617" s="30"/>
      <c r="MQT617" s="30"/>
      <c r="MQU617" s="30"/>
      <c r="MQV617" s="30"/>
      <c r="MQW617" s="30"/>
      <c r="MQX617" s="30"/>
      <c r="MQY617" s="30"/>
      <c r="MQZ617" s="30"/>
      <c r="MRA617" s="30"/>
      <c r="MRB617" s="30"/>
      <c r="MRC617" s="30"/>
      <c r="MRD617" s="30"/>
      <c r="MRE617" s="30"/>
      <c r="MRF617" s="30"/>
      <c r="MRG617" s="30"/>
      <c r="MRH617" s="30"/>
      <c r="MRI617" s="30"/>
      <c r="MRJ617" s="30"/>
      <c r="MRK617" s="30"/>
      <c r="MRL617" s="30"/>
      <c r="MRM617" s="30"/>
      <c r="MRN617" s="30"/>
      <c r="MRO617" s="30"/>
      <c r="MRP617" s="30"/>
      <c r="MRQ617" s="30"/>
      <c r="MRR617" s="30"/>
      <c r="MRS617" s="30"/>
      <c r="MRT617" s="30"/>
      <c r="MRU617" s="30"/>
      <c r="MRV617" s="30"/>
      <c r="MRW617" s="30"/>
      <c r="MRX617" s="30"/>
      <c r="MRY617" s="30"/>
      <c r="MRZ617" s="30"/>
      <c r="MSA617" s="30"/>
      <c r="MSB617" s="30"/>
      <c r="MSC617" s="30"/>
      <c r="MSD617" s="30"/>
      <c r="MSE617" s="30"/>
      <c r="MSF617" s="30"/>
      <c r="MSG617" s="30"/>
      <c r="MSH617" s="30"/>
      <c r="MSI617" s="30"/>
      <c r="MSJ617" s="30"/>
      <c r="MSK617" s="30"/>
      <c r="MSL617" s="30"/>
      <c r="MSM617" s="30"/>
      <c r="MSN617" s="30"/>
      <c r="MSO617" s="30"/>
      <c r="MSP617" s="30"/>
      <c r="MSQ617" s="30"/>
      <c r="MSR617" s="30"/>
      <c r="MSS617" s="30"/>
      <c r="MST617" s="30"/>
      <c r="MSU617" s="30"/>
      <c r="MSV617" s="30"/>
      <c r="MSW617" s="30"/>
      <c r="MSX617" s="30"/>
      <c r="MSY617" s="30"/>
      <c r="MSZ617" s="30"/>
      <c r="MTA617" s="30"/>
      <c r="MTB617" s="30"/>
      <c r="MTC617" s="30"/>
      <c r="MTD617" s="30"/>
      <c r="MTE617" s="30"/>
      <c r="MTF617" s="30"/>
      <c r="MTG617" s="30"/>
      <c r="MTH617" s="30"/>
      <c r="MTI617" s="30"/>
      <c r="MTJ617" s="30"/>
      <c r="MTK617" s="30"/>
      <c r="MTL617" s="30"/>
      <c r="MTM617" s="30"/>
      <c r="MTN617" s="30"/>
      <c r="MTO617" s="30"/>
      <c r="MTP617" s="30"/>
      <c r="MTQ617" s="30"/>
      <c r="MTR617" s="30"/>
      <c r="MTS617" s="30"/>
      <c r="MTT617" s="30"/>
      <c r="MTU617" s="30"/>
      <c r="MTV617" s="30"/>
      <c r="MTW617" s="30"/>
      <c r="MTX617" s="30"/>
      <c r="MTY617" s="30"/>
      <c r="MTZ617" s="30"/>
      <c r="MUA617" s="30"/>
      <c r="MUB617" s="30"/>
      <c r="MUC617" s="30"/>
      <c r="MUD617" s="30"/>
      <c r="MUE617" s="30"/>
      <c r="MUF617" s="30"/>
      <c r="MUG617" s="30"/>
      <c r="MUH617" s="30"/>
      <c r="MUI617" s="30"/>
      <c r="MUJ617" s="30"/>
      <c r="MUK617" s="30"/>
      <c r="MUL617" s="30"/>
      <c r="MUM617" s="30"/>
      <c r="MUN617" s="30"/>
      <c r="MUO617" s="30"/>
      <c r="MUP617" s="30"/>
      <c r="MUQ617" s="30"/>
      <c r="MUR617" s="30"/>
      <c r="MUS617" s="30"/>
      <c r="MUT617" s="30"/>
      <c r="MUU617" s="30"/>
      <c r="MUV617" s="30"/>
      <c r="MUW617" s="30"/>
      <c r="MUX617" s="30"/>
      <c r="MUY617" s="30"/>
      <c r="MUZ617" s="30"/>
      <c r="MVA617" s="30"/>
      <c r="MVB617" s="30"/>
      <c r="MVC617" s="30"/>
      <c r="MVD617" s="30"/>
      <c r="MVE617" s="30"/>
      <c r="MVF617" s="30"/>
      <c r="MVG617" s="30"/>
      <c r="MVH617" s="30"/>
      <c r="MVI617" s="30"/>
      <c r="MVJ617" s="30"/>
      <c r="MVK617" s="30"/>
      <c r="MVL617" s="30"/>
      <c r="MVM617" s="30"/>
      <c r="MVN617" s="30"/>
      <c r="MVO617" s="30"/>
      <c r="MVP617" s="30"/>
      <c r="MVQ617" s="30"/>
      <c r="MVR617" s="30"/>
      <c r="MVS617" s="30"/>
      <c r="MVT617" s="30"/>
      <c r="MVU617" s="30"/>
      <c r="MVV617" s="30"/>
      <c r="MVW617" s="30"/>
      <c r="MVX617" s="30"/>
      <c r="MVY617" s="30"/>
      <c r="MVZ617" s="30"/>
      <c r="MWA617" s="30"/>
      <c r="MWB617" s="30"/>
      <c r="MWC617" s="30"/>
      <c r="MWD617" s="30"/>
      <c r="MWE617" s="30"/>
      <c r="MWF617" s="30"/>
      <c r="MWG617" s="30"/>
      <c r="MWH617" s="30"/>
      <c r="MWI617" s="30"/>
      <c r="MWJ617" s="30"/>
      <c r="MWK617" s="30"/>
      <c r="MWL617" s="30"/>
      <c r="MWM617" s="30"/>
      <c r="MWN617" s="30"/>
      <c r="MWO617" s="30"/>
      <c r="MWP617" s="30"/>
      <c r="MWQ617" s="30"/>
      <c r="MWR617" s="30"/>
      <c r="MWS617" s="30"/>
      <c r="MWT617" s="30"/>
      <c r="MWU617" s="30"/>
      <c r="MWV617" s="30"/>
      <c r="MWW617" s="30"/>
      <c r="MWX617" s="30"/>
      <c r="MWY617" s="30"/>
      <c r="MWZ617" s="30"/>
      <c r="MXA617" s="30"/>
      <c r="MXB617" s="30"/>
      <c r="MXC617" s="30"/>
      <c r="MXD617" s="30"/>
      <c r="MXE617" s="30"/>
      <c r="MXF617" s="30"/>
      <c r="MXG617" s="30"/>
      <c r="MXH617" s="30"/>
      <c r="MXI617" s="30"/>
      <c r="MXJ617" s="30"/>
      <c r="MXK617" s="30"/>
      <c r="MXL617" s="30"/>
      <c r="MXM617" s="30"/>
      <c r="MXN617" s="30"/>
      <c r="MXO617" s="30"/>
      <c r="MXP617" s="30"/>
      <c r="MXQ617" s="30"/>
      <c r="MXR617" s="30"/>
      <c r="MXS617" s="30"/>
      <c r="MXT617" s="30"/>
      <c r="MXU617" s="30"/>
      <c r="MXV617" s="30"/>
      <c r="MXW617" s="30"/>
      <c r="MXX617" s="30"/>
      <c r="MXY617" s="30"/>
      <c r="MXZ617" s="30"/>
      <c r="MYA617" s="30"/>
      <c r="MYB617" s="30"/>
      <c r="MYC617" s="30"/>
      <c r="MYD617" s="30"/>
      <c r="MYE617" s="30"/>
      <c r="MYF617" s="30"/>
      <c r="MYG617" s="30"/>
      <c r="MYH617" s="30"/>
      <c r="MYI617" s="30"/>
      <c r="MYJ617" s="30"/>
      <c r="MYK617" s="30"/>
      <c r="MYL617" s="30"/>
      <c r="MYM617" s="30"/>
      <c r="MYN617" s="30"/>
      <c r="MYO617" s="30"/>
      <c r="MYP617" s="30"/>
      <c r="MYQ617" s="30"/>
      <c r="MYR617" s="30"/>
      <c r="MYS617" s="30"/>
      <c r="MYT617" s="30"/>
      <c r="MYU617" s="30"/>
      <c r="MYV617" s="30"/>
      <c r="MYW617" s="30"/>
      <c r="MYX617" s="30"/>
      <c r="MYY617" s="30"/>
      <c r="MYZ617" s="30"/>
      <c r="MZA617" s="30"/>
      <c r="MZB617" s="30"/>
      <c r="MZC617" s="30"/>
      <c r="MZD617" s="30"/>
      <c r="MZE617" s="30"/>
      <c r="MZF617" s="30"/>
      <c r="MZG617" s="30"/>
      <c r="MZH617" s="30"/>
      <c r="MZI617" s="30"/>
      <c r="MZJ617" s="30"/>
      <c r="MZK617" s="30"/>
      <c r="MZL617" s="30"/>
      <c r="MZM617" s="30"/>
      <c r="MZN617" s="30"/>
      <c r="MZO617" s="30"/>
      <c r="MZP617" s="30"/>
      <c r="MZQ617" s="30"/>
      <c r="MZR617" s="30"/>
      <c r="MZS617" s="30"/>
      <c r="MZT617" s="30"/>
      <c r="MZU617" s="30"/>
      <c r="MZV617" s="30"/>
      <c r="MZW617" s="30"/>
      <c r="MZX617" s="30"/>
      <c r="MZY617" s="30"/>
      <c r="MZZ617" s="30"/>
      <c r="NAA617" s="30"/>
      <c r="NAB617" s="30"/>
      <c r="NAC617" s="30"/>
      <c r="NAD617" s="30"/>
      <c r="NAE617" s="30"/>
      <c r="NAF617" s="30"/>
      <c r="NAG617" s="30"/>
      <c r="NAH617" s="30"/>
      <c r="NAI617" s="30"/>
      <c r="NAJ617" s="30"/>
      <c r="NAK617" s="30"/>
      <c r="NAL617" s="30"/>
      <c r="NAM617" s="30"/>
      <c r="NAN617" s="30"/>
      <c r="NAO617" s="30"/>
      <c r="NAP617" s="30"/>
      <c r="NAQ617" s="30"/>
      <c r="NAR617" s="30"/>
      <c r="NAS617" s="30"/>
      <c r="NAT617" s="30"/>
      <c r="NAU617" s="30"/>
      <c r="NAV617" s="30"/>
      <c r="NAW617" s="30"/>
      <c r="NAX617" s="30"/>
      <c r="NAY617" s="30"/>
      <c r="NAZ617" s="30"/>
      <c r="NBA617" s="30"/>
      <c r="NBB617" s="30"/>
      <c r="NBC617" s="30"/>
      <c r="NBD617" s="30"/>
      <c r="NBE617" s="30"/>
      <c r="NBF617" s="30"/>
      <c r="NBG617" s="30"/>
      <c r="NBH617" s="30"/>
      <c r="NBI617" s="30"/>
      <c r="NBJ617" s="30"/>
      <c r="NBK617" s="30"/>
      <c r="NBL617" s="30"/>
      <c r="NBM617" s="30"/>
      <c r="NBN617" s="30"/>
      <c r="NBO617" s="30"/>
      <c r="NBP617" s="30"/>
      <c r="NBQ617" s="30"/>
      <c r="NBR617" s="30"/>
      <c r="NBS617" s="30"/>
      <c r="NBT617" s="30"/>
      <c r="NBU617" s="30"/>
      <c r="NBV617" s="30"/>
      <c r="NBW617" s="30"/>
      <c r="NBX617" s="30"/>
      <c r="NBY617" s="30"/>
      <c r="NBZ617" s="30"/>
      <c r="NCA617" s="30"/>
      <c r="NCB617" s="30"/>
      <c r="NCC617" s="30"/>
      <c r="NCD617" s="30"/>
      <c r="NCE617" s="30"/>
      <c r="NCF617" s="30"/>
      <c r="NCG617" s="30"/>
      <c r="NCH617" s="30"/>
      <c r="NCI617" s="30"/>
      <c r="NCJ617" s="30"/>
      <c r="NCK617" s="30"/>
      <c r="NCL617" s="30"/>
      <c r="NCM617" s="30"/>
      <c r="NCN617" s="30"/>
      <c r="NCO617" s="30"/>
      <c r="NCP617" s="30"/>
      <c r="NCQ617" s="30"/>
      <c r="NCR617" s="30"/>
      <c r="NCS617" s="30"/>
      <c r="NCT617" s="30"/>
      <c r="NCU617" s="30"/>
      <c r="NCV617" s="30"/>
      <c r="NCW617" s="30"/>
      <c r="NCX617" s="30"/>
      <c r="NCY617" s="30"/>
      <c r="NCZ617" s="30"/>
      <c r="NDA617" s="30"/>
      <c r="NDB617" s="30"/>
      <c r="NDC617" s="30"/>
      <c r="NDD617" s="30"/>
      <c r="NDE617" s="30"/>
      <c r="NDF617" s="30"/>
      <c r="NDG617" s="30"/>
      <c r="NDH617" s="30"/>
      <c r="NDI617" s="30"/>
      <c r="NDJ617" s="30"/>
      <c r="NDK617" s="30"/>
      <c r="NDL617" s="30"/>
      <c r="NDM617" s="30"/>
      <c r="NDN617" s="30"/>
      <c r="NDO617" s="30"/>
      <c r="NDP617" s="30"/>
      <c r="NDQ617" s="30"/>
      <c r="NDR617" s="30"/>
      <c r="NDS617" s="30"/>
      <c r="NDT617" s="30"/>
      <c r="NDU617" s="30"/>
      <c r="NDV617" s="30"/>
      <c r="NDW617" s="30"/>
      <c r="NDX617" s="30"/>
      <c r="NDY617" s="30"/>
      <c r="NDZ617" s="30"/>
      <c r="NEA617" s="30"/>
      <c r="NEB617" s="30"/>
      <c r="NEC617" s="30"/>
      <c r="NED617" s="30"/>
      <c r="NEE617" s="30"/>
      <c r="NEF617" s="30"/>
      <c r="NEG617" s="30"/>
      <c r="NEH617" s="30"/>
      <c r="NEI617" s="30"/>
      <c r="NEJ617" s="30"/>
      <c r="NEK617" s="30"/>
      <c r="NEL617" s="30"/>
      <c r="NEM617" s="30"/>
      <c r="NEN617" s="30"/>
      <c r="NEO617" s="30"/>
      <c r="NEP617" s="30"/>
      <c r="NEQ617" s="30"/>
      <c r="NER617" s="30"/>
      <c r="NES617" s="30"/>
      <c r="NET617" s="30"/>
      <c r="NEU617" s="30"/>
      <c r="NEV617" s="30"/>
      <c r="NEW617" s="30"/>
      <c r="NEX617" s="30"/>
      <c r="NEY617" s="30"/>
      <c r="NEZ617" s="30"/>
      <c r="NFA617" s="30"/>
      <c r="NFB617" s="30"/>
      <c r="NFC617" s="30"/>
      <c r="NFD617" s="30"/>
      <c r="NFE617" s="30"/>
      <c r="NFF617" s="30"/>
      <c r="NFG617" s="30"/>
      <c r="NFH617" s="30"/>
      <c r="NFI617" s="30"/>
      <c r="NFJ617" s="30"/>
      <c r="NFK617" s="30"/>
      <c r="NFL617" s="30"/>
      <c r="NFM617" s="30"/>
      <c r="NFN617" s="30"/>
      <c r="NFO617" s="30"/>
      <c r="NFP617" s="30"/>
      <c r="NFQ617" s="30"/>
      <c r="NFR617" s="30"/>
      <c r="NFS617" s="30"/>
      <c r="NFT617" s="30"/>
      <c r="NFU617" s="30"/>
      <c r="NFV617" s="30"/>
      <c r="NFW617" s="30"/>
      <c r="NFX617" s="30"/>
      <c r="NFY617" s="30"/>
      <c r="NFZ617" s="30"/>
      <c r="NGA617" s="30"/>
      <c r="NGB617" s="30"/>
      <c r="NGC617" s="30"/>
      <c r="NGD617" s="30"/>
      <c r="NGE617" s="30"/>
      <c r="NGF617" s="30"/>
      <c r="NGG617" s="30"/>
      <c r="NGH617" s="30"/>
      <c r="NGI617" s="30"/>
      <c r="NGJ617" s="30"/>
      <c r="NGK617" s="30"/>
      <c r="NGL617" s="30"/>
      <c r="NGM617" s="30"/>
      <c r="NGN617" s="30"/>
      <c r="NGO617" s="30"/>
      <c r="NGP617" s="30"/>
      <c r="NGQ617" s="30"/>
      <c r="NGR617" s="30"/>
      <c r="NGS617" s="30"/>
      <c r="NGT617" s="30"/>
      <c r="NGU617" s="30"/>
      <c r="NGV617" s="30"/>
      <c r="NGW617" s="30"/>
      <c r="NGX617" s="30"/>
      <c r="NGY617" s="30"/>
      <c r="NGZ617" s="30"/>
      <c r="NHA617" s="30"/>
      <c r="NHB617" s="30"/>
      <c r="NHC617" s="30"/>
      <c r="NHD617" s="30"/>
      <c r="NHE617" s="30"/>
      <c r="NHF617" s="30"/>
      <c r="NHG617" s="30"/>
      <c r="NHH617" s="30"/>
      <c r="NHI617" s="30"/>
      <c r="NHJ617" s="30"/>
      <c r="NHK617" s="30"/>
      <c r="NHL617" s="30"/>
      <c r="NHM617" s="30"/>
      <c r="NHN617" s="30"/>
      <c r="NHO617" s="30"/>
      <c r="NHP617" s="30"/>
      <c r="NHQ617" s="30"/>
      <c r="NHR617" s="30"/>
      <c r="NHS617" s="30"/>
      <c r="NHT617" s="30"/>
      <c r="NHU617" s="30"/>
      <c r="NHV617" s="30"/>
      <c r="NHW617" s="30"/>
      <c r="NHX617" s="30"/>
      <c r="NHY617" s="30"/>
      <c r="NHZ617" s="30"/>
      <c r="NIA617" s="30"/>
      <c r="NIB617" s="30"/>
      <c r="NIC617" s="30"/>
      <c r="NID617" s="30"/>
      <c r="NIE617" s="30"/>
      <c r="NIF617" s="30"/>
      <c r="NIG617" s="30"/>
      <c r="NIH617" s="30"/>
      <c r="NII617" s="30"/>
      <c r="NIJ617" s="30"/>
      <c r="NIK617" s="30"/>
      <c r="NIL617" s="30"/>
      <c r="NIM617" s="30"/>
      <c r="NIN617" s="30"/>
      <c r="NIO617" s="30"/>
      <c r="NIP617" s="30"/>
      <c r="NIQ617" s="30"/>
      <c r="NIR617" s="30"/>
      <c r="NIS617" s="30"/>
      <c r="NIT617" s="30"/>
      <c r="NIU617" s="30"/>
      <c r="NIV617" s="30"/>
      <c r="NIW617" s="30"/>
      <c r="NIX617" s="30"/>
      <c r="NIY617" s="30"/>
      <c r="NIZ617" s="30"/>
      <c r="NJA617" s="30"/>
      <c r="NJB617" s="30"/>
      <c r="NJC617" s="30"/>
      <c r="NJD617" s="30"/>
      <c r="NJE617" s="30"/>
      <c r="NJF617" s="30"/>
      <c r="NJG617" s="30"/>
      <c r="NJH617" s="30"/>
      <c r="NJI617" s="30"/>
      <c r="NJJ617" s="30"/>
      <c r="NJK617" s="30"/>
      <c r="NJL617" s="30"/>
      <c r="NJM617" s="30"/>
      <c r="NJN617" s="30"/>
      <c r="NJO617" s="30"/>
      <c r="NJP617" s="30"/>
      <c r="NJQ617" s="30"/>
      <c r="NJR617" s="30"/>
      <c r="NJS617" s="30"/>
      <c r="NJT617" s="30"/>
      <c r="NJU617" s="30"/>
      <c r="NJV617" s="30"/>
      <c r="NJW617" s="30"/>
      <c r="NJX617" s="30"/>
      <c r="NJY617" s="30"/>
      <c r="NJZ617" s="30"/>
      <c r="NKA617" s="30"/>
      <c r="NKB617" s="30"/>
      <c r="NKC617" s="30"/>
      <c r="NKD617" s="30"/>
      <c r="NKE617" s="30"/>
      <c r="NKF617" s="30"/>
      <c r="NKG617" s="30"/>
      <c r="NKH617" s="30"/>
      <c r="NKI617" s="30"/>
      <c r="NKJ617" s="30"/>
      <c r="NKK617" s="30"/>
      <c r="NKL617" s="30"/>
      <c r="NKM617" s="30"/>
      <c r="NKN617" s="30"/>
      <c r="NKO617" s="30"/>
      <c r="NKP617" s="30"/>
      <c r="NKQ617" s="30"/>
      <c r="NKR617" s="30"/>
      <c r="NKS617" s="30"/>
      <c r="NKT617" s="30"/>
      <c r="NKU617" s="30"/>
      <c r="NKV617" s="30"/>
      <c r="NKW617" s="30"/>
      <c r="NKX617" s="30"/>
      <c r="NKY617" s="30"/>
      <c r="NKZ617" s="30"/>
      <c r="NLA617" s="30"/>
      <c r="NLB617" s="30"/>
      <c r="NLC617" s="30"/>
      <c r="NLD617" s="30"/>
      <c r="NLE617" s="30"/>
      <c r="NLF617" s="30"/>
      <c r="NLG617" s="30"/>
      <c r="NLH617" s="30"/>
      <c r="NLI617" s="30"/>
      <c r="NLJ617" s="30"/>
      <c r="NLK617" s="30"/>
      <c r="NLL617" s="30"/>
      <c r="NLM617" s="30"/>
      <c r="NLN617" s="30"/>
      <c r="NLO617" s="30"/>
      <c r="NLP617" s="30"/>
      <c r="NLQ617" s="30"/>
      <c r="NLR617" s="30"/>
      <c r="NLS617" s="30"/>
      <c r="NLT617" s="30"/>
      <c r="NLU617" s="30"/>
      <c r="NLV617" s="30"/>
      <c r="NLW617" s="30"/>
      <c r="NLX617" s="30"/>
      <c r="NLY617" s="30"/>
      <c r="NLZ617" s="30"/>
      <c r="NMA617" s="30"/>
      <c r="NMB617" s="30"/>
      <c r="NMC617" s="30"/>
      <c r="NMD617" s="30"/>
      <c r="NME617" s="30"/>
      <c r="NMF617" s="30"/>
      <c r="NMG617" s="30"/>
      <c r="NMH617" s="30"/>
      <c r="NMI617" s="30"/>
      <c r="NMJ617" s="30"/>
      <c r="NMK617" s="30"/>
      <c r="NML617" s="30"/>
      <c r="NMM617" s="30"/>
      <c r="NMN617" s="30"/>
      <c r="NMO617" s="30"/>
      <c r="NMP617" s="30"/>
      <c r="NMQ617" s="30"/>
      <c r="NMR617" s="30"/>
      <c r="NMS617" s="30"/>
      <c r="NMT617" s="30"/>
      <c r="NMU617" s="30"/>
      <c r="NMV617" s="30"/>
      <c r="NMW617" s="30"/>
      <c r="NMX617" s="30"/>
      <c r="NMY617" s="30"/>
      <c r="NMZ617" s="30"/>
      <c r="NNA617" s="30"/>
      <c r="NNB617" s="30"/>
      <c r="NNC617" s="30"/>
      <c r="NND617" s="30"/>
      <c r="NNE617" s="30"/>
      <c r="NNF617" s="30"/>
      <c r="NNG617" s="30"/>
      <c r="NNH617" s="30"/>
      <c r="NNI617" s="30"/>
      <c r="NNJ617" s="30"/>
      <c r="NNK617" s="30"/>
      <c r="NNL617" s="30"/>
      <c r="NNM617" s="30"/>
      <c r="NNN617" s="30"/>
      <c r="NNO617" s="30"/>
      <c r="NNP617" s="30"/>
      <c r="NNQ617" s="30"/>
      <c r="NNR617" s="30"/>
      <c r="NNS617" s="30"/>
      <c r="NNT617" s="30"/>
      <c r="NNU617" s="30"/>
      <c r="NNV617" s="30"/>
      <c r="NNW617" s="30"/>
      <c r="NNX617" s="30"/>
      <c r="NNY617" s="30"/>
      <c r="NNZ617" s="30"/>
      <c r="NOA617" s="30"/>
      <c r="NOB617" s="30"/>
      <c r="NOC617" s="30"/>
      <c r="NOD617" s="30"/>
      <c r="NOE617" s="30"/>
      <c r="NOF617" s="30"/>
      <c r="NOG617" s="30"/>
      <c r="NOH617" s="30"/>
      <c r="NOI617" s="30"/>
      <c r="NOJ617" s="30"/>
      <c r="NOK617" s="30"/>
      <c r="NOL617" s="30"/>
      <c r="NOM617" s="30"/>
      <c r="NON617" s="30"/>
      <c r="NOO617" s="30"/>
      <c r="NOP617" s="30"/>
      <c r="NOQ617" s="30"/>
      <c r="NOR617" s="30"/>
      <c r="NOS617" s="30"/>
      <c r="NOT617" s="30"/>
      <c r="NOU617" s="30"/>
      <c r="NOV617" s="30"/>
      <c r="NOW617" s="30"/>
      <c r="NOX617" s="30"/>
      <c r="NOY617" s="30"/>
      <c r="NOZ617" s="30"/>
      <c r="NPA617" s="30"/>
      <c r="NPB617" s="30"/>
      <c r="NPC617" s="30"/>
      <c r="NPD617" s="30"/>
      <c r="NPE617" s="30"/>
      <c r="NPF617" s="30"/>
      <c r="NPG617" s="30"/>
      <c r="NPH617" s="30"/>
      <c r="NPI617" s="30"/>
      <c r="NPJ617" s="30"/>
      <c r="NPK617" s="30"/>
      <c r="NPL617" s="30"/>
      <c r="NPM617" s="30"/>
      <c r="NPN617" s="30"/>
      <c r="NPO617" s="30"/>
      <c r="NPP617" s="30"/>
      <c r="NPQ617" s="30"/>
      <c r="NPR617" s="30"/>
      <c r="NPS617" s="30"/>
      <c r="NPT617" s="30"/>
      <c r="NPU617" s="30"/>
      <c r="NPV617" s="30"/>
      <c r="NPW617" s="30"/>
      <c r="NPX617" s="30"/>
      <c r="NPY617" s="30"/>
      <c r="NPZ617" s="30"/>
      <c r="NQA617" s="30"/>
      <c r="NQB617" s="30"/>
      <c r="NQC617" s="30"/>
      <c r="NQD617" s="30"/>
      <c r="NQE617" s="30"/>
      <c r="NQF617" s="30"/>
      <c r="NQG617" s="30"/>
      <c r="NQH617" s="30"/>
      <c r="NQI617" s="30"/>
      <c r="NQJ617" s="30"/>
      <c r="NQK617" s="30"/>
      <c r="NQL617" s="30"/>
      <c r="NQM617" s="30"/>
      <c r="NQN617" s="30"/>
      <c r="NQO617" s="30"/>
      <c r="NQP617" s="30"/>
      <c r="NQQ617" s="30"/>
      <c r="NQR617" s="30"/>
      <c r="NQS617" s="30"/>
      <c r="NQT617" s="30"/>
      <c r="NQU617" s="30"/>
      <c r="NQV617" s="30"/>
      <c r="NQW617" s="30"/>
      <c r="NQX617" s="30"/>
      <c r="NQY617" s="30"/>
      <c r="NQZ617" s="30"/>
      <c r="NRA617" s="30"/>
      <c r="NRB617" s="30"/>
      <c r="NRC617" s="30"/>
      <c r="NRD617" s="30"/>
      <c r="NRE617" s="30"/>
      <c r="NRF617" s="30"/>
      <c r="NRG617" s="30"/>
      <c r="NRH617" s="30"/>
      <c r="NRI617" s="30"/>
      <c r="NRJ617" s="30"/>
      <c r="NRK617" s="30"/>
      <c r="NRL617" s="30"/>
      <c r="NRM617" s="30"/>
      <c r="NRN617" s="30"/>
      <c r="NRO617" s="30"/>
      <c r="NRP617" s="30"/>
      <c r="NRQ617" s="30"/>
      <c r="NRR617" s="30"/>
      <c r="NRS617" s="30"/>
      <c r="NRT617" s="30"/>
      <c r="NRU617" s="30"/>
      <c r="NRV617" s="30"/>
      <c r="NRW617" s="30"/>
      <c r="NRX617" s="30"/>
      <c r="NRY617" s="30"/>
      <c r="NRZ617" s="30"/>
      <c r="NSA617" s="30"/>
      <c r="NSB617" s="30"/>
      <c r="NSC617" s="30"/>
      <c r="NSD617" s="30"/>
      <c r="NSE617" s="30"/>
      <c r="NSF617" s="30"/>
      <c r="NSG617" s="30"/>
      <c r="NSH617" s="30"/>
      <c r="NSI617" s="30"/>
      <c r="NSJ617" s="30"/>
      <c r="NSK617" s="30"/>
      <c r="NSL617" s="30"/>
      <c r="NSM617" s="30"/>
      <c r="NSN617" s="30"/>
      <c r="NSO617" s="30"/>
      <c r="NSP617" s="30"/>
      <c r="NSQ617" s="30"/>
      <c r="NSR617" s="30"/>
      <c r="NSS617" s="30"/>
      <c r="NST617" s="30"/>
      <c r="NSU617" s="30"/>
      <c r="NSV617" s="30"/>
      <c r="NSW617" s="30"/>
      <c r="NSX617" s="30"/>
      <c r="NSY617" s="30"/>
      <c r="NSZ617" s="30"/>
      <c r="NTA617" s="30"/>
      <c r="NTB617" s="30"/>
      <c r="NTC617" s="30"/>
      <c r="NTD617" s="30"/>
      <c r="NTE617" s="30"/>
      <c r="NTF617" s="30"/>
      <c r="NTG617" s="30"/>
      <c r="NTH617" s="30"/>
      <c r="NTI617" s="30"/>
      <c r="NTJ617" s="30"/>
      <c r="NTK617" s="30"/>
      <c r="NTL617" s="30"/>
      <c r="NTM617" s="30"/>
      <c r="NTN617" s="30"/>
      <c r="NTO617" s="30"/>
      <c r="NTP617" s="30"/>
      <c r="NTQ617" s="30"/>
      <c r="NTR617" s="30"/>
      <c r="NTS617" s="30"/>
      <c r="NTT617" s="30"/>
      <c r="NTU617" s="30"/>
      <c r="NTV617" s="30"/>
      <c r="NTW617" s="30"/>
      <c r="NTX617" s="30"/>
      <c r="NTY617" s="30"/>
      <c r="NTZ617" s="30"/>
      <c r="NUA617" s="30"/>
      <c r="NUB617" s="30"/>
      <c r="NUC617" s="30"/>
      <c r="NUD617" s="30"/>
      <c r="NUE617" s="30"/>
      <c r="NUF617" s="30"/>
      <c r="NUG617" s="30"/>
      <c r="NUH617" s="30"/>
      <c r="NUI617" s="30"/>
      <c r="NUJ617" s="30"/>
      <c r="NUK617" s="30"/>
      <c r="NUL617" s="30"/>
      <c r="NUM617" s="30"/>
      <c r="NUN617" s="30"/>
      <c r="NUO617" s="30"/>
      <c r="NUP617" s="30"/>
      <c r="NUQ617" s="30"/>
      <c r="NUR617" s="30"/>
      <c r="NUS617" s="30"/>
      <c r="NUT617" s="30"/>
      <c r="NUU617" s="30"/>
      <c r="NUV617" s="30"/>
      <c r="NUW617" s="30"/>
      <c r="NUX617" s="30"/>
      <c r="NUY617" s="30"/>
      <c r="NUZ617" s="30"/>
      <c r="NVA617" s="30"/>
      <c r="NVB617" s="30"/>
      <c r="NVC617" s="30"/>
      <c r="NVD617" s="30"/>
      <c r="NVE617" s="30"/>
      <c r="NVF617" s="30"/>
      <c r="NVG617" s="30"/>
      <c r="NVH617" s="30"/>
      <c r="NVI617" s="30"/>
      <c r="NVJ617" s="30"/>
      <c r="NVK617" s="30"/>
      <c r="NVL617" s="30"/>
      <c r="NVM617" s="30"/>
      <c r="NVN617" s="30"/>
      <c r="NVO617" s="30"/>
      <c r="NVP617" s="30"/>
      <c r="NVQ617" s="30"/>
      <c r="NVR617" s="30"/>
      <c r="NVS617" s="30"/>
      <c r="NVT617" s="30"/>
      <c r="NVU617" s="30"/>
      <c r="NVV617" s="30"/>
      <c r="NVW617" s="30"/>
      <c r="NVX617" s="30"/>
      <c r="NVY617" s="30"/>
      <c r="NVZ617" s="30"/>
      <c r="NWA617" s="30"/>
      <c r="NWB617" s="30"/>
      <c r="NWC617" s="30"/>
      <c r="NWD617" s="30"/>
      <c r="NWE617" s="30"/>
      <c r="NWF617" s="30"/>
      <c r="NWG617" s="30"/>
      <c r="NWH617" s="30"/>
      <c r="NWI617" s="30"/>
      <c r="NWJ617" s="30"/>
      <c r="NWK617" s="30"/>
      <c r="NWL617" s="30"/>
      <c r="NWM617" s="30"/>
      <c r="NWN617" s="30"/>
      <c r="NWO617" s="30"/>
      <c r="NWP617" s="30"/>
      <c r="NWQ617" s="30"/>
      <c r="NWR617" s="30"/>
      <c r="NWS617" s="30"/>
      <c r="NWT617" s="30"/>
      <c r="NWU617" s="30"/>
      <c r="NWV617" s="30"/>
      <c r="NWW617" s="30"/>
      <c r="NWX617" s="30"/>
      <c r="NWY617" s="30"/>
      <c r="NWZ617" s="30"/>
      <c r="NXA617" s="30"/>
      <c r="NXB617" s="30"/>
      <c r="NXC617" s="30"/>
      <c r="NXD617" s="30"/>
      <c r="NXE617" s="30"/>
      <c r="NXF617" s="30"/>
      <c r="NXG617" s="30"/>
      <c r="NXH617" s="30"/>
      <c r="NXI617" s="30"/>
      <c r="NXJ617" s="30"/>
      <c r="NXK617" s="30"/>
      <c r="NXL617" s="30"/>
      <c r="NXM617" s="30"/>
      <c r="NXN617" s="30"/>
      <c r="NXO617" s="30"/>
      <c r="NXP617" s="30"/>
      <c r="NXQ617" s="30"/>
      <c r="NXR617" s="30"/>
      <c r="NXS617" s="30"/>
      <c r="NXT617" s="30"/>
      <c r="NXU617" s="30"/>
      <c r="NXV617" s="30"/>
      <c r="NXW617" s="30"/>
      <c r="NXX617" s="30"/>
      <c r="NXY617" s="30"/>
      <c r="NXZ617" s="30"/>
      <c r="NYA617" s="30"/>
      <c r="NYB617" s="30"/>
      <c r="NYC617" s="30"/>
      <c r="NYD617" s="30"/>
      <c r="NYE617" s="30"/>
      <c r="NYF617" s="30"/>
      <c r="NYG617" s="30"/>
      <c r="NYH617" s="30"/>
      <c r="NYI617" s="30"/>
      <c r="NYJ617" s="30"/>
      <c r="NYK617" s="30"/>
      <c r="NYL617" s="30"/>
      <c r="NYM617" s="30"/>
      <c r="NYN617" s="30"/>
      <c r="NYO617" s="30"/>
      <c r="NYP617" s="30"/>
      <c r="NYQ617" s="30"/>
      <c r="NYR617" s="30"/>
      <c r="NYS617" s="30"/>
      <c r="NYT617" s="30"/>
      <c r="NYU617" s="30"/>
      <c r="NYV617" s="30"/>
      <c r="NYW617" s="30"/>
      <c r="NYX617" s="30"/>
      <c r="NYY617" s="30"/>
      <c r="NYZ617" s="30"/>
      <c r="NZA617" s="30"/>
      <c r="NZB617" s="30"/>
      <c r="NZC617" s="30"/>
      <c r="NZD617" s="30"/>
      <c r="NZE617" s="30"/>
      <c r="NZF617" s="30"/>
      <c r="NZG617" s="30"/>
      <c r="NZH617" s="30"/>
      <c r="NZI617" s="30"/>
      <c r="NZJ617" s="30"/>
      <c r="NZK617" s="30"/>
      <c r="NZL617" s="30"/>
      <c r="NZM617" s="30"/>
      <c r="NZN617" s="30"/>
      <c r="NZO617" s="30"/>
      <c r="NZP617" s="30"/>
      <c r="NZQ617" s="30"/>
      <c r="NZR617" s="30"/>
      <c r="NZS617" s="30"/>
      <c r="NZT617" s="30"/>
      <c r="NZU617" s="30"/>
      <c r="NZV617" s="30"/>
      <c r="NZW617" s="30"/>
      <c r="NZX617" s="30"/>
      <c r="NZY617" s="30"/>
      <c r="NZZ617" s="30"/>
      <c r="OAA617" s="30"/>
      <c r="OAB617" s="30"/>
      <c r="OAC617" s="30"/>
      <c r="OAD617" s="30"/>
      <c r="OAE617" s="30"/>
      <c r="OAF617" s="30"/>
      <c r="OAG617" s="30"/>
      <c r="OAH617" s="30"/>
      <c r="OAI617" s="30"/>
      <c r="OAJ617" s="30"/>
      <c r="OAK617" s="30"/>
      <c r="OAL617" s="30"/>
      <c r="OAM617" s="30"/>
      <c r="OAN617" s="30"/>
      <c r="OAO617" s="30"/>
      <c r="OAP617" s="30"/>
      <c r="OAQ617" s="30"/>
      <c r="OAR617" s="30"/>
      <c r="OAS617" s="30"/>
      <c r="OAT617" s="30"/>
      <c r="OAU617" s="30"/>
      <c r="OAV617" s="30"/>
      <c r="OAW617" s="30"/>
      <c r="OAX617" s="30"/>
      <c r="OAY617" s="30"/>
      <c r="OAZ617" s="30"/>
      <c r="OBA617" s="30"/>
      <c r="OBB617" s="30"/>
      <c r="OBC617" s="30"/>
      <c r="OBD617" s="30"/>
      <c r="OBE617" s="30"/>
      <c r="OBF617" s="30"/>
      <c r="OBG617" s="30"/>
      <c r="OBH617" s="30"/>
      <c r="OBI617" s="30"/>
      <c r="OBJ617" s="30"/>
      <c r="OBK617" s="30"/>
      <c r="OBL617" s="30"/>
      <c r="OBM617" s="30"/>
      <c r="OBN617" s="30"/>
      <c r="OBO617" s="30"/>
      <c r="OBP617" s="30"/>
      <c r="OBQ617" s="30"/>
      <c r="OBR617" s="30"/>
      <c r="OBS617" s="30"/>
      <c r="OBT617" s="30"/>
      <c r="OBU617" s="30"/>
      <c r="OBV617" s="30"/>
      <c r="OBW617" s="30"/>
      <c r="OBX617" s="30"/>
      <c r="OBY617" s="30"/>
      <c r="OBZ617" s="30"/>
      <c r="OCA617" s="30"/>
      <c r="OCB617" s="30"/>
      <c r="OCC617" s="30"/>
      <c r="OCD617" s="30"/>
      <c r="OCE617" s="30"/>
      <c r="OCF617" s="30"/>
      <c r="OCG617" s="30"/>
      <c r="OCH617" s="30"/>
      <c r="OCI617" s="30"/>
      <c r="OCJ617" s="30"/>
      <c r="OCK617" s="30"/>
      <c r="OCL617" s="30"/>
      <c r="OCM617" s="30"/>
      <c r="OCN617" s="30"/>
      <c r="OCO617" s="30"/>
      <c r="OCP617" s="30"/>
      <c r="OCQ617" s="30"/>
      <c r="OCR617" s="30"/>
      <c r="OCS617" s="30"/>
      <c r="OCT617" s="30"/>
      <c r="OCU617" s="30"/>
      <c r="OCV617" s="30"/>
      <c r="OCW617" s="30"/>
      <c r="OCX617" s="30"/>
      <c r="OCY617" s="30"/>
      <c r="OCZ617" s="30"/>
      <c r="ODA617" s="30"/>
      <c r="ODB617" s="30"/>
      <c r="ODC617" s="30"/>
      <c r="ODD617" s="30"/>
      <c r="ODE617" s="30"/>
      <c r="ODF617" s="30"/>
      <c r="ODG617" s="30"/>
      <c r="ODH617" s="30"/>
      <c r="ODI617" s="30"/>
      <c r="ODJ617" s="30"/>
      <c r="ODK617" s="30"/>
      <c r="ODL617" s="30"/>
      <c r="ODM617" s="30"/>
      <c r="ODN617" s="30"/>
      <c r="ODO617" s="30"/>
      <c r="ODP617" s="30"/>
      <c r="ODQ617" s="30"/>
      <c r="ODR617" s="30"/>
      <c r="ODS617" s="30"/>
      <c r="ODT617" s="30"/>
      <c r="ODU617" s="30"/>
      <c r="ODV617" s="30"/>
      <c r="ODW617" s="30"/>
      <c r="ODX617" s="30"/>
      <c r="ODY617" s="30"/>
      <c r="ODZ617" s="30"/>
      <c r="OEA617" s="30"/>
      <c r="OEB617" s="30"/>
      <c r="OEC617" s="30"/>
      <c r="OED617" s="30"/>
      <c r="OEE617" s="30"/>
      <c r="OEF617" s="30"/>
      <c r="OEG617" s="30"/>
      <c r="OEH617" s="30"/>
      <c r="OEI617" s="30"/>
      <c r="OEJ617" s="30"/>
      <c r="OEK617" s="30"/>
      <c r="OEL617" s="30"/>
      <c r="OEM617" s="30"/>
      <c r="OEN617" s="30"/>
      <c r="OEO617" s="30"/>
      <c r="OEP617" s="30"/>
      <c r="OEQ617" s="30"/>
      <c r="OER617" s="30"/>
      <c r="OES617" s="30"/>
      <c r="OET617" s="30"/>
      <c r="OEU617" s="30"/>
      <c r="OEV617" s="30"/>
      <c r="OEW617" s="30"/>
      <c r="OEX617" s="30"/>
      <c r="OEY617" s="30"/>
      <c r="OEZ617" s="30"/>
      <c r="OFA617" s="30"/>
      <c r="OFB617" s="30"/>
      <c r="OFC617" s="30"/>
      <c r="OFD617" s="30"/>
      <c r="OFE617" s="30"/>
      <c r="OFF617" s="30"/>
      <c r="OFG617" s="30"/>
      <c r="OFH617" s="30"/>
      <c r="OFI617" s="30"/>
      <c r="OFJ617" s="30"/>
      <c r="OFK617" s="30"/>
      <c r="OFL617" s="30"/>
      <c r="OFM617" s="30"/>
      <c r="OFN617" s="30"/>
      <c r="OFO617" s="30"/>
      <c r="OFP617" s="30"/>
      <c r="OFQ617" s="30"/>
      <c r="OFR617" s="30"/>
      <c r="OFS617" s="30"/>
      <c r="OFT617" s="30"/>
      <c r="OFU617" s="30"/>
      <c r="OFV617" s="30"/>
      <c r="OFW617" s="30"/>
      <c r="OFX617" s="30"/>
      <c r="OFY617" s="30"/>
      <c r="OFZ617" s="30"/>
      <c r="OGA617" s="30"/>
      <c r="OGB617" s="30"/>
      <c r="OGC617" s="30"/>
      <c r="OGD617" s="30"/>
      <c r="OGE617" s="30"/>
      <c r="OGF617" s="30"/>
      <c r="OGG617" s="30"/>
      <c r="OGH617" s="30"/>
      <c r="OGI617" s="30"/>
      <c r="OGJ617" s="30"/>
      <c r="OGK617" s="30"/>
      <c r="OGL617" s="30"/>
      <c r="OGM617" s="30"/>
      <c r="OGN617" s="30"/>
      <c r="OGO617" s="30"/>
      <c r="OGP617" s="30"/>
      <c r="OGQ617" s="30"/>
      <c r="OGR617" s="30"/>
      <c r="OGS617" s="30"/>
      <c r="OGT617" s="30"/>
      <c r="OGU617" s="30"/>
      <c r="OGV617" s="30"/>
      <c r="OGW617" s="30"/>
      <c r="OGX617" s="30"/>
      <c r="OGY617" s="30"/>
      <c r="OGZ617" s="30"/>
      <c r="OHA617" s="30"/>
      <c r="OHB617" s="30"/>
      <c r="OHC617" s="30"/>
      <c r="OHD617" s="30"/>
      <c r="OHE617" s="30"/>
      <c r="OHF617" s="30"/>
      <c r="OHG617" s="30"/>
      <c r="OHH617" s="30"/>
      <c r="OHI617" s="30"/>
      <c r="OHJ617" s="30"/>
      <c r="OHK617" s="30"/>
      <c r="OHL617" s="30"/>
      <c r="OHM617" s="30"/>
      <c r="OHN617" s="30"/>
      <c r="OHO617" s="30"/>
      <c r="OHP617" s="30"/>
      <c r="OHQ617" s="30"/>
      <c r="OHR617" s="30"/>
      <c r="OHS617" s="30"/>
      <c r="OHT617" s="30"/>
      <c r="OHU617" s="30"/>
      <c r="OHV617" s="30"/>
      <c r="OHW617" s="30"/>
      <c r="OHX617" s="30"/>
      <c r="OHY617" s="30"/>
      <c r="OHZ617" s="30"/>
      <c r="OIA617" s="30"/>
      <c r="OIB617" s="30"/>
      <c r="OIC617" s="30"/>
      <c r="OID617" s="30"/>
      <c r="OIE617" s="30"/>
      <c r="OIF617" s="30"/>
      <c r="OIG617" s="30"/>
      <c r="OIH617" s="30"/>
      <c r="OII617" s="30"/>
      <c r="OIJ617" s="30"/>
      <c r="OIK617" s="30"/>
      <c r="OIL617" s="30"/>
      <c r="OIM617" s="30"/>
      <c r="OIN617" s="30"/>
      <c r="OIO617" s="30"/>
      <c r="OIP617" s="30"/>
      <c r="OIQ617" s="30"/>
      <c r="OIR617" s="30"/>
      <c r="OIS617" s="30"/>
      <c r="OIT617" s="30"/>
      <c r="OIU617" s="30"/>
      <c r="OIV617" s="30"/>
      <c r="OIW617" s="30"/>
      <c r="OIX617" s="30"/>
      <c r="OIY617" s="30"/>
      <c r="OIZ617" s="30"/>
      <c r="OJA617" s="30"/>
      <c r="OJB617" s="30"/>
      <c r="OJC617" s="30"/>
      <c r="OJD617" s="30"/>
      <c r="OJE617" s="30"/>
      <c r="OJF617" s="30"/>
      <c r="OJG617" s="30"/>
      <c r="OJH617" s="30"/>
      <c r="OJI617" s="30"/>
      <c r="OJJ617" s="30"/>
      <c r="OJK617" s="30"/>
      <c r="OJL617" s="30"/>
      <c r="OJM617" s="30"/>
      <c r="OJN617" s="30"/>
      <c r="OJO617" s="30"/>
      <c r="OJP617" s="30"/>
      <c r="OJQ617" s="30"/>
      <c r="OJR617" s="30"/>
      <c r="OJS617" s="30"/>
      <c r="OJT617" s="30"/>
      <c r="OJU617" s="30"/>
      <c r="OJV617" s="30"/>
      <c r="OJW617" s="30"/>
      <c r="OJX617" s="30"/>
      <c r="OJY617" s="30"/>
      <c r="OJZ617" s="30"/>
      <c r="OKA617" s="30"/>
      <c r="OKB617" s="30"/>
      <c r="OKC617" s="30"/>
      <c r="OKD617" s="30"/>
      <c r="OKE617" s="30"/>
      <c r="OKF617" s="30"/>
      <c r="OKG617" s="30"/>
      <c r="OKH617" s="30"/>
      <c r="OKI617" s="30"/>
      <c r="OKJ617" s="30"/>
      <c r="OKK617" s="30"/>
      <c r="OKL617" s="30"/>
      <c r="OKM617" s="30"/>
      <c r="OKN617" s="30"/>
      <c r="OKO617" s="30"/>
      <c r="OKP617" s="30"/>
      <c r="OKQ617" s="30"/>
      <c r="OKR617" s="30"/>
      <c r="OKS617" s="30"/>
      <c r="OKT617" s="30"/>
      <c r="OKU617" s="30"/>
      <c r="OKV617" s="30"/>
      <c r="OKW617" s="30"/>
      <c r="OKX617" s="30"/>
      <c r="OKY617" s="30"/>
      <c r="OKZ617" s="30"/>
      <c r="OLA617" s="30"/>
      <c r="OLB617" s="30"/>
      <c r="OLC617" s="30"/>
      <c r="OLD617" s="30"/>
      <c r="OLE617" s="30"/>
      <c r="OLF617" s="30"/>
      <c r="OLG617" s="30"/>
      <c r="OLH617" s="30"/>
      <c r="OLI617" s="30"/>
      <c r="OLJ617" s="30"/>
      <c r="OLK617" s="30"/>
      <c r="OLL617" s="30"/>
      <c r="OLM617" s="30"/>
      <c r="OLN617" s="30"/>
      <c r="OLO617" s="30"/>
      <c r="OLP617" s="30"/>
      <c r="OLQ617" s="30"/>
      <c r="OLR617" s="30"/>
      <c r="OLS617" s="30"/>
      <c r="OLT617" s="30"/>
      <c r="OLU617" s="30"/>
      <c r="OLV617" s="30"/>
      <c r="OLW617" s="30"/>
      <c r="OLX617" s="30"/>
      <c r="OLY617" s="30"/>
      <c r="OLZ617" s="30"/>
      <c r="OMA617" s="30"/>
      <c r="OMB617" s="30"/>
      <c r="OMC617" s="30"/>
      <c r="OMD617" s="30"/>
      <c r="OME617" s="30"/>
      <c r="OMF617" s="30"/>
      <c r="OMG617" s="30"/>
      <c r="OMH617" s="30"/>
      <c r="OMI617" s="30"/>
      <c r="OMJ617" s="30"/>
      <c r="OMK617" s="30"/>
      <c r="OML617" s="30"/>
      <c r="OMM617" s="30"/>
      <c r="OMN617" s="30"/>
      <c r="OMO617" s="30"/>
      <c r="OMP617" s="30"/>
      <c r="OMQ617" s="30"/>
      <c r="OMR617" s="30"/>
      <c r="OMS617" s="30"/>
      <c r="OMT617" s="30"/>
      <c r="OMU617" s="30"/>
      <c r="OMV617" s="30"/>
      <c r="OMW617" s="30"/>
      <c r="OMX617" s="30"/>
      <c r="OMY617" s="30"/>
      <c r="OMZ617" s="30"/>
      <c r="ONA617" s="30"/>
      <c r="ONB617" s="30"/>
      <c r="ONC617" s="30"/>
      <c r="OND617" s="30"/>
      <c r="ONE617" s="30"/>
      <c r="ONF617" s="30"/>
      <c r="ONG617" s="30"/>
      <c r="ONH617" s="30"/>
      <c r="ONI617" s="30"/>
      <c r="ONJ617" s="30"/>
      <c r="ONK617" s="30"/>
      <c r="ONL617" s="30"/>
      <c r="ONM617" s="30"/>
      <c r="ONN617" s="30"/>
      <c r="ONO617" s="30"/>
      <c r="ONP617" s="30"/>
      <c r="ONQ617" s="30"/>
      <c r="ONR617" s="30"/>
      <c r="ONS617" s="30"/>
      <c r="ONT617" s="30"/>
      <c r="ONU617" s="30"/>
      <c r="ONV617" s="30"/>
      <c r="ONW617" s="30"/>
      <c r="ONX617" s="30"/>
      <c r="ONY617" s="30"/>
      <c r="ONZ617" s="30"/>
      <c r="OOA617" s="30"/>
      <c r="OOB617" s="30"/>
      <c r="OOC617" s="30"/>
      <c r="OOD617" s="30"/>
      <c r="OOE617" s="30"/>
      <c r="OOF617" s="30"/>
      <c r="OOG617" s="30"/>
      <c r="OOH617" s="30"/>
      <c r="OOI617" s="30"/>
      <c r="OOJ617" s="30"/>
      <c r="OOK617" s="30"/>
      <c r="OOL617" s="30"/>
      <c r="OOM617" s="30"/>
      <c r="OON617" s="30"/>
      <c r="OOO617" s="30"/>
      <c r="OOP617" s="30"/>
      <c r="OOQ617" s="30"/>
      <c r="OOR617" s="30"/>
      <c r="OOS617" s="30"/>
      <c r="OOT617" s="30"/>
      <c r="OOU617" s="30"/>
      <c r="OOV617" s="30"/>
      <c r="OOW617" s="30"/>
      <c r="OOX617" s="30"/>
      <c r="OOY617" s="30"/>
      <c r="OOZ617" s="30"/>
      <c r="OPA617" s="30"/>
      <c r="OPB617" s="30"/>
      <c r="OPC617" s="30"/>
      <c r="OPD617" s="30"/>
      <c r="OPE617" s="30"/>
      <c r="OPF617" s="30"/>
      <c r="OPG617" s="30"/>
      <c r="OPH617" s="30"/>
      <c r="OPI617" s="30"/>
      <c r="OPJ617" s="30"/>
      <c r="OPK617" s="30"/>
      <c r="OPL617" s="30"/>
      <c r="OPM617" s="30"/>
      <c r="OPN617" s="30"/>
      <c r="OPO617" s="30"/>
      <c r="OPP617" s="30"/>
      <c r="OPQ617" s="30"/>
      <c r="OPR617" s="30"/>
      <c r="OPS617" s="30"/>
      <c r="OPT617" s="30"/>
      <c r="OPU617" s="30"/>
      <c r="OPV617" s="30"/>
      <c r="OPW617" s="30"/>
      <c r="OPX617" s="30"/>
      <c r="OPY617" s="30"/>
      <c r="OPZ617" s="30"/>
      <c r="OQA617" s="30"/>
      <c r="OQB617" s="30"/>
      <c r="OQC617" s="30"/>
      <c r="OQD617" s="30"/>
      <c r="OQE617" s="30"/>
      <c r="OQF617" s="30"/>
      <c r="OQG617" s="30"/>
      <c r="OQH617" s="30"/>
      <c r="OQI617" s="30"/>
      <c r="OQJ617" s="30"/>
      <c r="OQK617" s="30"/>
      <c r="OQL617" s="30"/>
      <c r="OQM617" s="30"/>
      <c r="OQN617" s="30"/>
      <c r="OQO617" s="30"/>
      <c r="OQP617" s="30"/>
      <c r="OQQ617" s="30"/>
      <c r="OQR617" s="30"/>
      <c r="OQS617" s="30"/>
      <c r="OQT617" s="30"/>
      <c r="OQU617" s="30"/>
      <c r="OQV617" s="30"/>
      <c r="OQW617" s="30"/>
      <c r="OQX617" s="30"/>
      <c r="OQY617" s="30"/>
      <c r="OQZ617" s="30"/>
      <c r="ORA617" s="30"/>
      <c r="ORB617" s="30"/>
      <c r="ORC617" s="30"/>
      <c r="ORD617" s="30"/>
      <c r="ORE617" s="30"/>
      <c r="ORF617" s="30"/>
      <c r="ORG617" s="30"/>
      <c r="ORH617" s="30"/>
      <c r="ORI617" s="30"/>
      <c r="ORJ617" s="30"/>
      <c r="ORK617" s="30"/>
      <c r="ORL617" s="30"/>
      <c r="ORM617" s="30"/>
      <c r="ORN617" s="30"/>
      <c r="ORO617" s="30"/>
      <c r="ORP617" s="30"/>
      <c r="ORQ617" s="30"/>
      <c r="ORR617" s="30"/>
      <c r="ORS617" s="30"/>
      <c r="ORT617" s="30"/>
      <c r="ORU617" s="30"/>
      <c r="ORV617" s="30"/>
      <c r="ORW617" s="30"/>
      <c r="ORX617" s="30"/>
      <c r="ORY617" s="30"/>
      <c r="ORZ617" s="30"/>
      <c r="OSA617" s="30"/>
      <c r="OSB617" s="30"/>
      <c r="OSC617" s="30"/>
      <c r="OSD617" s="30"/>
      <c r="OSE617" s="30"/>
      <c r="OSF617" s="30"/>
      <c r="OSG617" s="30"/>
      <c r="OSH617" s="30"/>
      <c r="OSI617" s="30"/>
      <c r="OSJ617" s="30"/>
      <c r="OSK617" s="30"/>
      <c r="OSL617" s="30"/>
      <c r="OSM617" s="30"/>
      <c r="OSN617" s="30"/>
      <c r="OSO617" s="30"/>
      <c r="OSP617" s="30"/>
      <c r="OSQ617" s="30"/>
      <c r="OSR617" s="30"/>
      <c r="OSS617" s="30"/>
      <c r="OST617" s="30"/>
      <c r="OSU617" s="30"/>
      <c r="OSV617" s="30"/>
      <c r="OSW617" s="30"/>
      <c r="OSX617" s="30"/>
      <c r="OSY617" s="30"/>
      <c r="OSZ617" s="30"/>
      <c r="OTA617" s="30"/>
      <c r="OTB617" s="30"/>
      <c r="OTC617" s="30"/>
      <c r="OTD617" s="30"/>
      <c r="OTE617" s="30"/>
      <c r="OTF617" s="30"/>
      <c r="OTG617" s="30"/>
      <c r="OTH617" s="30"/>
      <c r="OTI617" s="30"/>
      <c r="OTJ617" s="30"/>
      <c r="OTK617" s="30"/>
      <c r="OTL617" s="30"/>
      <c r="OTM617" s="30"/>
      <c r="OTN617" s="30"/>
      <c r="OTO617" s="30"/>
      <c r="OTP617" s="30"/>
      <c r="OTQ617" s="30"/>
      <c r="OTR617" s="30"/>
      <c r="OTS617" s="30"/>
      <c r="OTT617" s="30"/>
      <c r="OTU617" s="30"/>
      <c r="OTV617" s="30"/>
      <c r="OTW617" s="30"/>
      <c r="OTX617" s="30"/>
      <c r="OTY617" s="30"/>
      <c r="OTZ617" s="30"/>
      <c r="OUA617" s="30"/>
      <c r="OUB617" s="30"/>
      <c r="OUC617" s="30"/>
      <c r="OUD617" s="30"/>
      <c r="OUE617" s="30"/>
      <c r="OUF617" s="30"/>
      <c r="OUG617" s="30"/>
      <c r="OUH617" s="30"/>
      <c r="OUI617" s="30"/>
      <c r="OUJ617" s="30"/>
      <c r="OUK617" s="30"/>
      <c r="OUL617" s="30"/>
      <c r="OUM617" s="30"/>
      <c r="OUN617" s="30"/>
      <c r="OUO617" s="30"/>
      <c r="OUP617" s="30"/>
      <c r="OUQ617" s="30"/>
      <c r="OUR617" s="30"/>
      <c r="OUS617" s="30"/>
      <c r="OUT617" s="30"/>
      <c r="OUU617" s="30"/>
      <c r="OUV617" s="30"/>
      <c r="OUW617" s="30"/>
      <c r="OUX617" s="30"/>
      <c r="OUY617" s="30"/>
      <c r="OUZ617" s="30"/>
      <c r="OVA617" s="30"/>
      <c r="OVB617" s="30"/>
      <c r="OVC617" s="30"/>
      <c r="OVD617" s="30"/>
      <c r="OVE617" s="30"/>
      <c r="OVF617" s="30"/>
      <c r="OVG617" s="30"/>
      <c r="OVH617" s="30"/>
      <c r="OVI617" s="30"/>
      <c r="OVJ617" s="30"/>
      <c r="OVK617" s="30"/>
      <c r="OVL617" s="30"/>
      <c r="OVM617" s="30"/>
      <c r="OVN617" s="30"/>
      <c r="OVO617" s="30"/>
      <c r="OVP617" s="30"/>
      <c r="OVQ617" s="30"/>
      <c r="OVR617" s="30"/>
      <c r="OVS617" s="30"/>
      <c r="OVT617" s="30"/>
      <c r="OVU617" s="30"/>
      <c r="OVV617" s="30"/>
      <c r="OVW617" s="30"/>
      <c r="OVX617" s="30"/>
      <c r="OVY617" s="30"/>
      <c r="OVZ617" s="30"/>
      <c r="OWA617" s="30"/>
      <c r="OWB617" s="30"/>
      <c r="OWC617" s="30"/>
      <c r="OWD617" s="30"/>
      <c r="OWE617" s="30"/>
      <c r="OWF617" s="30"/>
      <c r="OWG617" s="30"/>
      <c r="OWH617" s="30"/>
      <c r="OWI617" s="30"/>
      <c r="OWJ617" s="30"/>
      <c r="OWK617" s="30"/>
      <c r="OWL617" s="30"/>
      <c r="OWM617" s="30"/>
      <c r="OWN617" s="30"/>
      <c r="OWO617" s="30"/>
      <c r="OWP617" s="30"/>
      <c r="OWQ617" s="30"/>
      <c r="OWR617" s="30"/>
      <c r="OWS617" s="30"/>
      <c r="OWT617" s="30"/>
      <c r="OWU617" s="30"/>
      <c r="OWV617" s="30"/>
      <c r="OWW617" s="30"/>
      <c r="OWX617" s="30"/>
      <c r="OWY617" s="30"/>
      <c r="OWZ617" s="30"/>
      <c r="OXA617" s="30"/>
      <c r="OXB617" s="30"/>
      <c r="OXC617" s="30"/>
      <c r="OXD617" s="30"/>
      <c r="OXE617" s="30"/>
      <c r="OXF617" s="30"/>
      <c r="OXG617" s="30"/>
      <c r="OXH617" s="30"/>
      <c r="OXI617" s="30"/>
      <c r="OXJ617" s="30"/>
      <c r="OXK617" s="30"/>
      <c r="OXL617" s="30"/>
      <c r="OXM617" s="30"/>
      <c r="OXN617" s="30"/>
      <c r="OXO617" s="30"/>
      <c r="OXP617" s="30"/>
      <c r="OXQ617" s="30"/>
      <c r="OXR617" s="30"/>
      <c r="OXS617" s="30"/>
      <c r="OXT617" s="30"/>
      <c r="OXU617" s="30"/>
      <c r="OXV617" s="30"/>
      <c r="OXW617" s="30"/>
      <c r="OXX617" s="30"/>
      <c r="OXY617" s="30"/>
      <c r="OXZ617" s="30"/>
      <c r="OYA617" s="30"/>
      <c r="OYB617" s="30"/>
      <c r="OYC617" s="30"/>
      <c r="OYD617" s="30"/>
      <c r="OYE617" s="30"/>
      <c r="OYF617" s="30"/>
      <c r="OYG617" s="30"/>
      <c r="OYH617" s="30"/>
      <c r="OYI617" s="30"/>
      <c r="OYJ617" s="30"/>
      <c r="OYK617" s="30"/>
      <c r="OYL617" s="30"/>
      <c r="OYM617" s="30"/>
      <c r="OYN617" s="30"/>
      <c r="OYO617" s="30"/>
      <c r="OYP617" s="30"/>
      <c r="OYQ617" s="30"/>
      <c r="OYR617" s="30"/>
      <c r="OYS617" s="30"/>
      <c r="OYT617" s="30"/>
      <c r="OYU617" s="30"/>
      <c r="OYV617" s="30"/>
      <c r="OYW617" s="30"/>
      <c r="OYX617" s="30"/>
      <c r="OYY617" s="30"/>
      <c r="OYZ617" s="30"/>
      <c r="OZA617" s="30"/>
      <c r="OZB617" s="30"/>
      <c r="OZC617" s="30"/>
      <c r="OZD617" s="30"/>
      <c r="OZE617" s="30"/>
      <c r="OZF617" s="30"/>
      <c r="OZG617" s="30"/>
      <c r="OZH617" s="30"/>
      <c r="OZI617" s="30"/>
      <c r="OZJ617" s="30"/>
      <c r="OZK617" s="30"/>
      <c r="OZL617" s="30"/>
      <c r="OZM617" s="30"/>
      <c r="OZN617" s="30"/>
      <c r="OZO617" s="30"/>
      <c r="OZP617" s="30"/>
      <c r="OZQ617" s="30"/>
      <c r="OZR617" s="30"/>
      <c r="OZS617" s="30"/>
      <c r="OZT617" s="30"/>
      <c r="OZU617" s="30"/>
      <c r="OZV617" s="30"/>
      <c r="OZW617" s="30"/>
      <c r="OZX617" s="30"/>
      <c r="OZY617" s="30"/>
      <c r="OZZ617" s="30"/>
      <c r="PAA617" s="30"/>
      <c r="PAB617" s="30"/>
      <c r="PAC617" s="30"/>
      <c r="PAD617" s="30"/>
      <c r="PAE617" s="30"/>
      <c r="PAF617" s="30"/>
      <c r="PAG617" s="30"/>
      <c r="PAH617" s="30"/>
      <c r="PAI617" s="30"/>
      <c r="PAJ617" s="30"/>
      <c r="PAK617" s="30"/>
      <c r="PAL617" s="30"/>
      <c r="PAM617" s="30"/>
      <c r="PAN617" s="30"/>
      <c r="PAO617" s="30"/>
      <c r="PAP617" s="30"/>
      <c r="PAQ617" s="30"/>
      <c r="PAR617" s="30"/>
      <c r="PAS617" s="30"/>
      <c r="PAT617" s="30"/>
      <c r="PAU617" s="30"/>
      <c r="PAV617" s="30"/>
      <c r="PAW617" s="30"/>
      <c r="PAX617" s="30"/>
      <c r="PAY617" s="30"/>
      <c r="PAZ617" s="30"/>
      <c r="PBA617" s="30"/>
      <c r="PBB617" s="30"/>
      <c r="PBC617" s="30"/>
      <c r="PBD617" s="30"/>
      <c r="PBE617" s="30"/>
      <c r="PBF617" s="30"/>
      <c r="PBG617" s="30"/>
      <c r="PBH617" s="30"/>
      <c r="PBI617" s="30"/>
      <c r="PBJ617" s="30"/>
      <c r="PBK617" s="30"/>
      <c r="PBL617" s="30"/>
      <c r="PBM617" s="30"/>
      <c r="PBN617" s="30"/>
      <c r="PBO617" s="30"/>
      <c r="PBP617" s="30"/>
      <c r="PBQ617" s="30"/>
      <c r="PBR617" s="30"/>
      <c r="PBS617" s="30"/>
      <c r="PBT617" s="30"/>
      <c r="PBU617" s="30"/>
      <c r="PBV617" s="30"/>
      <c r="PBW617" s="30"/>
      <c r="PBX617" s="30"/>
      <c r="PBY617" s="30"/>
      <c r="PBZ617" s="30"/>
      <c r="PCA617" s="30"/>
      <c r="PCB617" s="30"/>
      <c r="PCC617" s="30"/>
      <c r="PCD617" s="30"/>
      <c r="PCE617" s="30"/>
      <c r="PCF617" s="30"/>
      <c r="PCG617" s="30"/>
      <c r="PCH617" s="30"/>
      <c r="PCI617" s="30"/>
      <c r="PCJ617" s="30"/>
      <c r="PCK617" s="30"/>
      <c r="PCL617" s="30"/>
      <c r="PCM617" s="30"/>
      <c r="PCN617" s="30"/>
      <c r="PCO617" s="30"/>
      <c r="PCP617" s="30"/>
      <c r="PCQ617" s="30"/>
      <c r="PCR617" s="30"/>
      <c r="PCS617" s="30"/>
      <c r="PCT617" s="30"/>
      <c r="PCU617" s="30"/>
      <c r="PCV617" s="30"/>
      <c r="PCW617" s="30"/>
      <c r="PCX617" s="30"/>
      <c r="PCY617" s="30"/>
      <c r="PCZ617" s="30"/>
      <c r="PDA617" s="30"/>
      <c r="PDB617" s="30"/>
      <c r="PDC617" s="30"/>
      <c r="PDD617" s="30"/>
      <c r="PDE617" s="30"/>
      <c r="PDF617" s="30"/>
      <c r="PDG617" s="30"/>
      <c r="PDH617" s="30"/>
      <c r="PDI617" s="30"/>
      <c r="PDJ617" s="30"/>
      <c r="PDK617" s="30"/>
      <c r="PDL617" s="30"/>
      <c r="PDM617" s="30"/>
      <c r="PDN617" s="30"/>
      <c r="PDO617" s="30"/>
      <c r="PDP617" s="30"/>
      <c r="PDQ617" s="30"/>
      <c r="PDR617" s="30"/>
      <c r="PDS617" s="30"/>
      <c r="PDT617" s="30"/>
      <c r="PDU617" s="30"/>
      <c r="PDV617" s="30"/>
      <c r="PDW617" s="30"/>
      <c r="PDX617" s="30"/>
      <c r="PDY617" s="30"/>
      <c r="PDZ617" s="30"/>
      <c r="PEA617" s="30"/>
      <c r="PEB617" s="30"/>
      <c r="PEC617" s="30"/>
      <c r="PED617" s="30"/>
      <c r="PEE617" s="30"/>
      <c r="PEF617" s="30"/>
      <c r="PEG617" s="30"/>
      <c r="PEH617" s="30"/>
      <c r="PEI617" s="30"/>
      <c r="PEJ617" s="30"/>
      <c r="PEK617" s="30"/>
      <c r="PEL617" s="30"/>
      <c r="PEM617" s="30"/>
      <c r="PEN617" s="30"/>
      <c r="PEO617" s="30"/>
      <c r="PEP617" s="30"/>
      <c r="PEQ617" s="30"/>
      <c r="PER617" s="30"/>
      <c r="PES617" s="30"/>
      <c r="PET617" s="30"/>
      <c r="PEU617" s="30"/>
      <c r="PEV617" s="30"/>
      <c r="PEW617" s="30"/>
      <c r="PEX617" s="30"/>
      <c r="PEY617" s="30"/>
      <c r="PEZ617" s="30"/>
      <c r="PFA617" s="30"/>
      <c r="PFB617" s="30"/>
      <c r="PFC617" s="30"/>
      <c r="PFD617" s="30"/>
      <c r="PFE617" s="30"/>
      <c r="PFF617" s="30"/>
      <c r="PFG617" s="30"/>
      <c r="PFH617" s="30"/>
      <c r="PFI617" s="30"/>
      <c r="PFJ617" s="30"/>
      <c r="PFK617" s="30"/>
      <c r="PFL617" s="30"/>
      <c r="PFM617" s="30"/>
      <c r="PFN617" s="30"/>
      <c r="PFO617" s="30"/>
      <c r="PFP617" s="30"/>
      <c r="PFQ617" s="30"/>
      <c r="PFR617" s="30"/>
      <c r="PFS617" s="30"/>
      <c r="PFT617" s="30"/>
      <c r="PFU617" s="30"/>
      <c r="PFV617" s="30"/>
      <c r="PFW617" s="30"/>
      <c r="PFX617" s="30"/>
      <c r="PFY617" s="30"/>
      <c r="PFZ617" s="30"/>
      <c r="PGA617" s="30"/>
      <c r="PGB617" s="30"/>
      <c r="PGC617" s="30"/>
      <c r="PGD617" s="30"/>
      <c r="PGE617" s="30"/>
      <c r="PGF617" s="30"/>
      <c r="PGG617" s="30"/>
      <c r="PGH617" s="30"/>
      <c r="PGI617" s="30"/>
      <c r="PGJ617" s="30"/>
      <c r="PGK617" s="30"/>
      <c r="PGL617" s="30"/>
      <c r="PGM617" s="30"/>
      <c r="PGN617" s="30"/>
      <c r="PGO617" s="30"/>
      <c r="PGP617" s="30"/>
      <c r="PGQ617" s="30"/>
      <c r="PGR617" s="30"/>
      <c r="PGS617" s="30"/>
      <c r="PGT617" s="30"/>
      <c r="PGU617" s="30"/>
      <c r="PGV617" s="30"/>
      <c r="PGW617" s="30"/>
      <c r="PGX617" s="30"/>
      <c r="PGY617" s="30"/>
      <c r="PGZ617" s="30"/>
      <c r="PHA617" s="30"/>
      <c r="PHB617" s="30"/>
      <c r="PHC617" s="30"/>
      <c r="PHD617" s="30"/>
      <c r="PHE617" s="30"/>
      <c r="PHF617" s="30"/>
      <c r="PHG617" s="30"/>
      <c r="PHH617" s="30"/>
      <c r="PHI617" s="30"/>
      <c r="PHJ617" s="30"/>
      <c r="PHK617" s="30"/>
      <c r="PHL617" s="30"/>
      <c r="PHM617" s="30"/>
      <c r="PHN617" s="30"/>
      <c r="PHO617" s="30"/>
      <c r="PHP617" s="30"/>
      <c r="PHQ617" s="30"/>
      <c r="PHR617" s="30"/>
      <c r="PHS617" s="30"/>
      <c r="PHT617" s="30"/>
      <c r="PHU617" s="30"/>
      <c r="PHV617" s="30"/>
      <c r="PHW617" s="30"/>
      <c r="PHX617" s="30"/>
      <c r="PHY617" s="30"/>
      <c r="PHZ617" s="30"/>
      <c r="PIA617" s="30"/>
      <c r="PIB617" s="30"/>
      <c r="PIC617" s="30"/>
      <c r="PID617" s="30"/>
      <c r="PIE617" s="30"/>
      <c r="PIF617" s="30"/>
      <c r="PIG617" s="30"/>
      <c r="PIH617" s="30"/>
      <c r="PII617" s="30"/>
      <c r="PIJ617" s="30"/>
      <c r="PIK617" s="30"/>
      <c r="PIL617" s="30"/>
      <c r="PIM617" s="30"/>
      <c r="PIN617" s="30"/>
      <c r="PIO617" s="30"/>
      <c r="PIP617" s="30"/>
      <c r="PIQ617" s="30"/>
      <c r="PIR617" s="30"/>
      <c r="PIS617" s="30"/>
      <c r="PIT617" s="30"/>
      <c r="PIU617" s="30"/>
      <c r="PIV617" s="30"/>
      <c r="PIW617" s="30"/>
      <c r="PIX617" s="30"/>
      <c r="PIY617" s="30"/>
      <c r="PIZ617" s="30"/>
      <c r="PJA617" s="30"/>
      <c r="PJB617" s="30"/>
      <c r="PJC617" s="30"/>
      <c r="PJD617" s="30"/>
      <c r="PJE617" s="30"/>
      <c r="PJF617" s="30"/>
      <c r="PJG617" s="30"/>
      <c r="PJH617" s="30"/>
      <c r="PJI617" s="30"/>
      <c r="PJJ617" s="30"/>
      <c r="PJK617" s="30"/>
      <c r="PJL617" s="30"/>
      <c r="PJM617" s="30"/>
      <c r="PJN617" s="30"/>
      <c r="PJO617" s="30"/>
      <c r="PJP617" s="30"/>
      <c r="PJQ617" s="30"/>
      <c r="PJR617" s="30"/>
      <c r="PJS617" s="30"/>
      <c r="PJT617" s="30"/>
      <c r="PJU617" s="30"/>
      <c r="PJV617" s="30"/>
      <c r="PJW617" s="30"/>
      <c r="PJX617" s="30"/>
      <c r="PJY617" s="30"/>
      <c r="PJZ617" s="30"/>
      <c r="PKA617" s="30"/>
      <c r="PKB617" s="30"/>
      <c r="PKC617" s="30"/>
      <c r="PKD617" s="30"/>
      <c r="PKE617" s="30"/>
      <c r="PKF617" s="30"/>
      <c r="PKG617" s="30"/>
      <c r="PKH617" s="30"/>
      <c r="PKI617" s="30"/>
      <c r="PKJ617" s="30"/>
      <c r="PKK617" s="30"/>
      <c r="PKL617" s="30"/>
      <c r="PKM617" s="30"/>
      <c r="PKN617" s="30"/>
      <c r="PKO617" s="30"/>
      <c r="PKP617" s="30"/>
      <c r="PKQ617" s="30"/>
      <c r="PKR617" s="30"/>
      <c r="PKS617" s="30"/>
      <c r="PKT617" s="30"/>
      <c r="PKU617" s="30"/>
      <c r="PKV617" s="30"/>
      <c r="PKW617" s="30"/>
      <c r="PKX617" s="30"/>
      <c r="PKY617" s="30"/>
      <c r="PKZ617" s="30"/>
      <c r="PLA617" s="30"/>
      <c r="PLB617" s="30"/>
      <c r="PLC617" s="30"/>
      <c r="PLD617" s="30"/>
      <c r="PLE617" s="30"/>
      <c r="PLF617" s="30"/>
      <c r="PLG617" s="30"/>
      <c r="PLH617" s="30"/>
      <c r="PLI617" s="30"/>
      <c r="PLJ617" s="30"/>
      <c r="PLK617" s="30"/>
      <c r="PLL617" s="30"/>
      <c r="PLM617" s="30"/>
      <c r="PLN617" s="30"/>
      <c r="PLO617" s="30"/>
      <c r="PLP617" s="30"/>
      <c r="PLQ617" s="30"/>
      <c r="PLR617" s="30"/>
      <c r="PLS617" s="30"/>
      <c r="PLT617" s="30"/>
      <c r="PLU617" s="30"/>
      <c r="PLV617" s="30"/>
      <c r="PLW617" s="30"/>
      <c r="PLX617" s="30"/>
      <c r="PLY617" s="30"/>
      <c r="PLZ617" s="30"/>
      <c r="PMA617" s="30"/>
      <c r="PMB617" s="30"/>
      <c r="PMC617" s="30"/>
      <c r="PMD617" s="30"/>
      <c r="PME617" s="30"/>
      <c r="PMF617" s="30"/>
      <c r="PMG617" s="30"/>
      <c r="PMH617" s="30"/>
      <c r="PMI617" s="30"/>
      <c r="PMJ617" s="30"/>
      <c r="PMK617" s="30"/>
      <c r="PML617" s="30"/>
      <c r="PMM617" s="30"/>
      <c r="PMN617" s="30"/>
      <c r="PMO617" s="30"/>
      <c r="PMP617" s="30"/>
      <c r="PMQ617" s="30"/>
      <c r="PMR617" s="30"/>
      <c r="PMS617" s="30"/>
      <c r="PMT617" s="30"/>
      <c r="PMU617" s="30"/>
      <c r="PMV617" s="30"/>
      <c r="PMW617" s="30"/>
      <c r="PMX617" s="30"/>
      <c r="PMY617" s="30"/>
      <c r="PMZ617" s="30"/>
      <c r="PNA617" s="30"/>
      <c r="PNB617" s="30"/>
      <c r="PNC617" s="30"/>
      <c r="PND617" s="30"/>
      <c r="PNE617" s="30"/>
      <c r="PNF617" s="30"/>
      <c r="PNG617" s="30"/>
      <c r="PNH617" s="30"/>
      <c r="PNI617" s="30"/>
      <c r="PNJ617" s="30"/>
      <c r="PNK617" s="30"/>
      <c r="PNL617" s="30"/>
      <c r="PNM617" s="30"/>
      <c r="PNN617" s="30"/>
      <c r="PNO617" s="30"/>
      <c r="PNP617" s="30"/>
      <c r="PNQ617" s="30"/>
      <c r="PNR617" s="30"/>
      <c r="PNS617" s="30"/>
      <c r="PNT617" s="30"/>
      <c r="PNU617" s="30"/>
      <c r="PNV617" s="30"/>
      <c r="PNW617" s="30"/>
      <c r="PNX617" s="30"/>
      <c r="PNY617" s="30"/>
      <c r="PNZ617" s="30"/>
      <c r="POA617" s="30"/>
      <c r="POB617" s="30"/>
      <c r="POC617" s="30"/>
      <c r="POD617" s="30"/>
      <c r="POE617" s="30"/>
      <c r="POF617" s="30"/>
      <c r="POG617" s="30"/>
      <c r="POH617" s="30"/>
      <c r="POI617" s="30"/>
      <c r="POJ617" s="30"/>
      <c r="POK617" s="30"/>
      <c r="POL617" s="30"/>
      <c r="POM617" s="30"/>
      <c r="PON617" s="30"/>
      <c r="POO617" s="30"/>
      <c r="POP617" s="30"/>
      <c r="POQ617" s="30"/>
      <c r="POR617" s="30"/>
      <c r="POS617" s="30"/>
      <c r="POT617" s="30"/>
      <c r="POU617" s="30"/>
      <c r="POV617" s="30"/>
      <c r="POW617" s="30"/>
      <c r="POX617" s="30"/>
      <c r="POY617" s="30"/>
      <c r="POZ617" s="30"/>
      <c r="PPA617" s="30"/>
      <c r="PPB617" s="30"/>
      <c r="PPC617" s="30"/>
      <c r="PPD617" s="30"/>
      <c r="PPE617" s="30"/>
      <c r="PPF617" s="30"/>
      <c r="PPG617" s="30"/>
      <c r="PPH617" s="30"/>
      <c r="PPI617" s="30"/>
      <c r="PPJ617" s="30"/>
      <c r="PPK617" s="30"/>
      <c r="PPL617" s="30"/>
      <c r="PPM617" s="30"/>
      <c r="PPN617" s="30"/>
      <c r="PPO617" s="30"/>
      <c r="PPP617" s="30"/>
      <c r="PPQ617" s="30"/>
      <c r="PPR617" s="30"/>
      <c r="PPS617" s="30"/>
      <c r="PPT617" s="30"/>
      <c r="PPU617" s="30"/>
      <c r="PPV617" s="30"/>
      <c r="PPW617" s="30"/>
      <c r="PPX617" s="30"/>
      <c r="PPY617" s="30"/>
      <c r="PPZ617" s="30"/>
      <c r="PQA617" s="30"/>
      <c r="PQB617" s="30"/>
      <c r="PQC617" s="30"/>
      <c r="PQD617" s="30"/>
      <c r="PQE617" s="30"/>
      <c r="PQF617" s="30"/>
      <c r="PQG617" s="30"/>
      <c r="PQH617" s="30"/>
      <c r="PQI617" s="30"/>
      <c r="PQJ617" s="30"/>
      <c r="PQK617" s="30"/>
      <c r="PQL617" s="30"/>
      <c r="PQM617" s="30"/>
      <c r="PQN617" s="30"/>
      <c r="PQO617" s="30"/>
      <c r="PQP617" s="30"/>
      <c r="PQQ617" s="30"/>
      <c r="PQR617" s="30"/>
      <c r="PQS617" s="30"/>
      <c r="PQT617" s="30"/>
      <c r="PQU617" s="30"/>
      <c r="PQV617" s="30"/>
      <c r="PQW617" s="30"/>
      <c r="PQX617" s="30"/>
      <c r="PQY617" s="30"/>
      <c r="PQZ617" s="30"/>
      <c r="PRA617" s="30"/>
      <c r="PRB617" s="30"/>
      <c r="PRC617" s="30"/>
      <c r="PRD617" s="30"/>
      <c r="PRE617" s="30"/>
      <c r="PRF617" s="30"/>
      <c r="PRG617" s="30"/>
      <c r="PRH617" s="30"/>
      <c r="PRI617" s="30"/>
      <c r="PRJ617" s="30"/>
      <c r="PRK617" s="30"/>
      <c r="PRL617" s="30"/>
      <c r="PRM617" s="30"/>
      <c r="PRN617" s="30"/>
      <c r="PRO617" s="30"/>
      <c r="PRP617" s="30"/>
      <c r="PRQ617" s="30"/>
      <c r="PRR617" s="30"/>
      <c r="PRS617" s="30"/>
      <c r="PRT617" s="30"/>
      <c r="PRU617" s="30"/>
      <c r="PRV617" s="30"/>
      <c r="PRW617" s="30"/>
      <c r="PRX617" s="30"/>
      <c r="PRY617" s="30"/>
      <c r="PRZ617" s="30"/>
      <c r="PSA617" s="30"/>
      <c r="PSB617" s="30"/>
      <c r="PSC617" s="30"/>
      <c r="PSD617" s="30"/>
      <c r="PSE617" s="30"/>
      <c r="PSF617" s="30"/>
      <c r="PSG617" s="30"/>
      <c r="PSH617" s="30"/>
      <c r="PSI617" s="30"/>
      <c r="PSJ617" s="30"/>
      <c r="PSK617" s="30"/>
      <c r="PSL617" s="30"/>
      <c r="PSM617" s="30"/>
      <c r="PSN617" s="30"/>
      <c r="PSO617" s="30"/>
      <c r="PSP617" s="30"/>
      <c r="PSQ617" s="30"/>
      <c r="PSR617" s="30"/>
      <c r="PSS617" s="30"/>
      <c r="PST617" s="30"/>
      <c r="PSU617" s="30"/>
      <c r="PSV617" s="30"/>
      <c r="PSW617" s="30"/>
      <c r="PSX617" s="30"/>
      <c r="PSY617" s="30"/>
      <c r="PSZ617" s="30"/>
      <c r="PTA617" s="30"/>
      <c r="PTB617" s="30"/>
      <c r="PTC617" s="30"/>
      <c r="PTD617" s="30"/>
      <c r="PTE617" s="30"/>
      <c r="PTF617" s="30"/>
      <c r="PTG617" s="30"/>
      <c r="PTH617" s="30"/>
      <c r="PTI617" s="30"/>
      <c r="PTJ617" s="30"/>
      <c r="PTK617" s="30"/>
      <c r="PTL617" s="30"/>
      <c r="PTM617" s="30"/>
      <c r="PTN617" s="30"/>
      <c r="PTO617" s="30"/>
      <c r="PTP617" s="30"/>
      <c r="PTQ617" s="30"/>
      <c r="PTR617" s="30"/>
      <c r="PTS617" s="30"/>
      <c r="PTT617" s="30"/>
      <c r="PTU617" s="30"/>
      <c r="PTV617" s="30"/>
      <c r="PTW617" s="30"/>
      <c r="PTX617" s="30"/>
      <c r="PTY617" s="30"/>
      <c r="PTZ617" s="30"/>
      <c r="PUA617" s="30"/>
      <c r="PUB617" s="30"/>
      <c r="PUC617" s="30"/>
      <c r="PUD617" s="30"/>
      <c r="PUE617" s="30"/>
      <c r="PUF617" s="30"/>
      <c r="PUG617" s="30"/>
      <c r="PUH617" s="30"/>
      <c r="PUI617" s="30"/>
      <c r="PUJ617" s="30"/>
      <c r="PUK617" s="30"/>
      <c r="PUL617" s="30"/>
      <c r="PUM617" s="30"/>
      <c r="PUN617" s="30"/>
      <c r="PUO617" s="30"/>
      <c r="PUP617" s="30"/>
      <c r="PUQ617" s="30"/>
      <c r="PUR617" s="30"/>
      <c r="PUS617" s="30"/>
      <c r="PUT617" s="30"/>
      <c r="PUU617" s="30"/>
      <c r="PUV617" s="30"/>
      <c r="PUW617" s="30"/>
      <c r="PUX617" s="30"/>
      <c r="PUY617" s="30"/>
      <c r="PUZ617" s="30"/>
      <c r="PVA617" s="30"/>
      <c r="PVB617" s="30"/>
      <c r="PVC617" s="30"/>
      <c r="PVD617" s="30"/>
      <c r="PVE617" s="30"/>
      <c r="PVF617" s="30"/>
      <c r="PVG617" s="30"/>
      <c r="PVH617" s="30"/>
      <c r="PVI617" s="30"/>
      <c r="PVJ617" s="30"/>
      <c r="PVK617" s="30"/>
      <c r="PVL617" s="30"/>
      <c r="PVM617" s="30"/>
      <c r="PVN617" s="30"/>
      <c r="PVO617" s="30"/>
      <c r="PVP617" s="30"/>
      <c r="PVQ617" s="30"/>
      <c r="PVR617" s="30"/>
      <c r="PVS617" s="30"/>
      <c r="PVT617" s="30"/>
      <c r="PVU617" s="30"/>
      <c r="PVV617" s="30"/>
      <c r="PVW617" s="30"/>
      <c r="PVX617" s="30"/>
      <c r="PVY617" s="30"/>
      <c r="PVZ617" s="30"/>
      <c r="PWA617" s="30"/>
      <c r="PWB617" s="30"/>
      <c r="PWC617" s="30"/>
      <c r="PWD617" s="30"/>
      <c r="PWE617" s="30"/>
      <c r="PWF617" s="30"/>
      <c r="PWG617" s="30"/>
      <c r="PWH617" s="30"/>
      <c r="PWI617" s="30"/>
      <c r="PWJ617" s="30"/>
      <c r="PWK617" s="30"/>
      <c r="PWL617" s="30"/>
      <c r="PWM617" s="30"/>
      <c r="PWN617" s="30"/>
      <c r="PWO617" s="30"/>
      <c r="PWP617" s="30"/>
      <c r="PWQ617" s="30"/>
      <c r="PWR617" s="30"/>
      <c r="PWS617" s="30"/>
      <c r="PWT617" s="30"/>
      <c r="PWU617" s="30"/>
      <c r="PWV617" s="30"/>
      <c r="PWW617" s="30"/>
      <c r="PWX617" s="30"/>
      <c r="PWY617" s="30"/>
      <c r="PWZ617" s="30"/>
      <c r="PXA617" s="30"/>
      <c r="PXB617" s="30"/>
      <c r="PXC617" s="30"/>
      <c r="PXD617" s="30"/>
      <c r="PXE617" s="30"/>
      <c r="PXF617" s="30"/>
      <c r="PXG617" s="30"/>
      <c r="PXH617" s="30"/>
      <c r="PXI617" s="30"/>
      <c r="PXJ617" s="30"/>
      <c r="PXK617" s="30"/>
      <c r="PXL617" s="30"/>
      <c r="PXM617" s="30"/>
      <c r="PXN617" s="30"/>
      <c r="PXO617" s="30"/>
      <c r="PXP617" s="30"/>
      <c r="PXQ617" s="30"/>
      <c r="PXR617" s="30"/>
      <c r="PXS617" s="30"/>
      <c r="PXT617" s="30"/>
      <c r="PXU617" s="30"/>
      <c r="PXV617" s="30"/>
      <c r="PXW617" s="30"/>
      <c r="PXX617" s="30"/>
      <c r="PXY617" s="30"/>
      <c r="PXZ617" s="30"/>
      <c r="PYA617" s="30"/>
      <c r="PYB617" s="30"/>
      <c r="PYC617" s="30"/>
      <c r="PYD617" s="30"/>
      <c r="PYE617" s="30"/>
      <c r="PYF617" s="30"/>
      <c r="PYG617" s="30"/>
      <c r="PYH617" s="30"/>
      <c r="PYI617" s="30"/>
      <c r="PYJ617" s="30"/>
      <c r="PYK617" s="30"/>
      <c r="PYL617" s="30"/>
      <c r="PYM617" s="30"/>
      <c r="PYN617" s="30"/>
      <c r="PYO617" s="30"/>
      <c r="PYP617" s="30"/>
      <c r="PYQ617" s="30"/>
      <c r="PYR617" s="30"/>
      <c r="PYS617" s="30"/>
      <c r="PYT617" s="30"/>
      <c r="PYU617" s="30"/>
      <c r="PYV617" s="30"/>
      <c r="PYW617" s="30"/>
      <c r="PYX617" s="30"/>
      <c r="PYY617" s="30"/>
      <c r="PYZ617" s="30"/>
      <c r="PZA617" s="30"/>
      <c r="PZB617" s="30"/>
      <c r="PZC617" s="30"/>
      <c r="PZD617" s="30"/>
      <c r="PZE617" s="30"/>
      <c r="PZF617" s="30"/>
      <c r="PZG617" s="30"/>
      <c r="PZH617" s="30"/>
      <c r="PZI617" s="30"/>
      <c r="PZJ617" s="30"/>
      <c r="PZK617" s="30"/>
      <c r="PZL617" s="30"/>
      <c r="PZM617" s="30"/>
      <c r="PZN617" s="30"/>
      <c r="PZO617" s="30"/>
      <c r="PZP617" s="30"/>
      <c r="PZQ617" s="30"/>
      <c r="PZR617" s="30"/>
      <c r="PZS617" s="30"/>
      <c r="PZT617" s="30"/>
      <c r="PZU617" s="30"/>
      <c r="PZV617" s="30"/>
      <c r="PZW617" s="30"/>
      <c r="PZX617" s="30"/>
      <c r="PZY617" s="30"/>
      <c r="PZZ617" s="30"/>
      <c r="QAA617" s="30"/>
      <c r="QAB617" s="30"/>
      <c r="QAC617" s="30"/>
      <c r="QAD617" s="30"/>
      <c r="QAE617" s="30"/>
      <c r="QAF617" s="30"/>
      <c r="QAG617" s="30"/>
      <c r="QAH617" s="30"/>
      <c r="QAI617" s="30"/>
      <c r="QAJ617" s="30"/>
      <c r="QAK617" s="30"/>
      <c r="QAL617" s="30"/>
      <c r="QAM617" s="30"/>
      <c r="QAN617" s="30"/>
      <c r="QAO617" s="30"/>
      <c r="QAP617" s="30"/>
      <c r="QAQ617" s="30"/>
      <c r="QAR617" s="30"/>
      <c r="QAS617" s="30"/>
      <c r="QAT617" s="30"/>
      <c r="QAU617" s="30"/>
      <c r="QAV617" s="30"/>
      <c r="QAW617" s="30"/>
      <c r="QAX617" s="30"/>
      <c r="QAY617" s="30"/>
      <c r="QAZ617" s="30"/>
      <c r="QBA617" s="30"/>
      <c r="QBB617" s="30"/>
      <c r="QBC617" s="30"/>
      <c r="QBD617" s="30"/>
      <c r="QBE617" s="30"/>
      <c r="QBF617" s="30"/>
      <c r="QBG617" s="30"/>
      <c r="QBH617" s="30"/>
      <c r="QBI617" s="30"/>
      <c r="QBJ617" s="30"/>
      <c r="QBK617" s="30"/>
      <c r="QBL617" s="30"/>
      <c r="QBM617" s="30"/>
      <c r="QBN617" s="30"/>
      <c r="QBO617" s="30"/>
      <c r="QBP617" s="30"/>
      <c r="QBQ617" s="30"/>
      <c r="QBR617" s="30"/>
      <c r="QBS617" s="30"/>
      <c r="QBT617" s="30"/>
      <c r="QBU617" s="30"/>
      <c r="QBV617" s="30"/>
      <c r="QBW617" s="30"/>
      <c r="QBX617" s="30"/>
      <c r="QBY617" s="30"/>
      <c r="QBZ617" s="30"/>
      <c r="QCA617" s="30"/>
      <c r="QCB617" s="30"/>
      <c r="QCC617" s="30"/>
      <c r="QCD617" s="30"/>
      <c r="QCE617" s="30"/>
      <c r="QCF617" s="30"/>
      <c r="QCG617" s="30"/>
      <c r="QCH617" s="30"/>
      <c r="QCI617" s="30"/>
      <c r="QCJ617" s="30"/>
      <c r="QCK617" s="30"/>
      <c r="QCL617" s="30"/>
      <c r="QCM617" s="30"/>
      <c r="QCN617" s="30"/>
      <c r="QCO617" s="30"/>
      <c r="QCP617" s="30"/>
      <c r="QCQ617" s="30"/>
      <c r="QCR617" s="30"/>
      <c r="QCS617" s="30"/>
      <c r="QCT617" s="30"/>
      <c r="QCU617" s="30"/>
      <c r="QCV617" s="30"/>
      <c r="QCW617" s="30"/>
      <c r="QCX617" s="30"/>
      <c r="QCY617" s="30"/>
      <c r="QCZ617" s="30"/>
      <c r="QDA617" s="30"/>
      <c r="QDB617" s="30"/>
      <c r="QDC617" s="30"/>
      <c r="QDD617" s="30"/>
      <c r="QDE617" s="30"/>
      <c r="QDF617" s="30"/>
      <c r="QDG617" s="30"/>
      <c r="QDH617" s="30"/>
      <c r="QDI617" s="30"/>
      <c r="QDJ617" s="30"/>
      <c r="QDK617" s="30"/>
      <c r="QDL617" s="30"/>
      <c r="QDM617" s="30"/>
      <c r="QDN617" s="30"/>
      <c r="QDO617" s="30"/>
      <c r="QDP617" s="30"/>
      <c r="QDQ617" s="30"/>
      <c r="QDR617" s="30"/>
      <c r="QDS617" s="30"/>
      <c r="QDT617" s="30"/>
      <c r="QDU617" s="30"/>
      <c r="QDV617" s="30"/>
      <c r="QDW617" s="30"/>
      <c r="QDX617" s="30"/>
      <c r="QDY617" s="30"/>
      <c r="QDZ617" s="30"/>
      <c r="QEA617" s="30"/>
      <c r="QEB617" s="30"/>
      <c r="QEC617" s="30"/>
      <c r="QED617" s="30"/>
      <c r="QEE617" s="30"/>
      <c r="QEF617" s="30"/>
      <c r="QEG617" s="30"/>
      <c r="QEH617" s="30"/>
      <c r="QEI617" s="30"/>
      <c r="QEJ617" s="30"/>
      <c r="QEK617" s="30"/>
      <c r="QEL617" s="30"/>
      <c r="QEM617" s="30"/>
      <c r="QEN617" s="30"/>
      <c r="QEO617" s="30"/>
      <c r="QEP617" s="30"/>
      <c r="QEQ617" s="30"/>
      <c r="QER617" s="30"/>
      <c r="QES617" s="30"/>
      <c r="QET617" s="30"/>
      <c r="QEU617" s="30"/>
      <c r="QEV617" s="30"/>
      <c r="QEW617" s="30"/>
      <c r="QEX617" s="30"/>
      <c r="QEY617" s="30"/>
      <c r="QEZ617" s="30"/>
      <c r="QFA617" s="30"/>
      <c r="QFB617" s="30"/>
      <c r="QFC617" s="30"/>
      <c r="QFD617" s="30"/>
      <c r="QFE617" s="30"/>
      <c r="QFF617" s="30"/>
      <c r="QFG617" s="30"/>
      <c r="QFH617" s="30"/>
      <c r="QFI617" s="30"/>
      <c r="QFJ617" s="30"/>
      <c r="QFK617" s="30"/>
      <c r="QFL617" s="30"/>
      <c r="QFM617" s="30"/>
      <c r="QFN617" s="30"/>
      <c r="QFO617" s="30"/>
      <c r="QFP617" s="30"/>
      <c r="QFQ617" s="30"/>
      <c r="QFR617" s="30"/>
      <c r="QFS617" s="30"/>
      <c r="QFT617" s="30"/>
      <c r="QFU617" s="30"/>
      <c r="QFV617" s="30"/>
      <c r="QFW617" s="30"/>
      <c r="QFX617" s="30"/>
      <c r="QFY617" s="30"/>
      <c r="QFZ617" s="30"/>
      <c r="QGA617" s="30"/>
      <c r="QGB617" s="30"/>
      <c r="QGC617" s="30"/>
      <c r="QGD617" s="30"/>
      <c r="QGE617" s="30"/>
      <c r="QGF617" s="30"/>
      <c r="QGG617" s="30"/>
      <c r="QGH617" s="30"/>
      <c r="QGI617" s="30"/>
      <c r="QGJ617" s="30"/>
      <c r="QGK617" s="30"/>
      <c r="QGL617" s="30"/>
      <c r="QGM617" s="30"/>
      <c r="QGN617" s="30"/>
      <c r="QGO617" s="30"/>
      <c r="QGP617" s="30"/>
      <c r="QGQ617" s="30"/>
      <c r="QGR617" s="30"/>
      <c r="QGS617" s="30"/>
      <c r="QGT617" s="30"/>
      <c r="QGU617" s="30"/>
      <c r="QGV617" s="30"/>
      <c r="QGW617" s="30"/>
      <c r="QGX617" s="30"/>
      <c r="QGY617" s="30"/>
      <c r="QGZ617" s="30"/>
      <c r="QHA617" s="30"/>
      <c r="QHB617" s="30"/>
      <c r="QHC617" s="30"/>
      <c r="QHD617" s="30"/>
      <c r="QHE617" s="30"/>
      <c r="QHF617" s="30"/>
      <c r="QHG617" s="30"/>
      <c r="QHH617" s="30"/>
      <c r="QHI617" s="30"/>
      <c r="QHJ617" s="30"/>
      <c r="QHK617" s="30"/>
      <c r="QHL617" s="30"/>
      <c r="QHM617" s="30"/>
      <c r="QHN617" s="30"/>
      <c r="QHO617" s="30"/>
      <c r="QHP617" s="30"/>
      <c r="QHQ617" s="30"/>
      <c r="QHR617" s="30"/>
      <c r="QHS617" s="30"/>
      <c r="QHT617" s="30"/>
      <c r="QHU617" s="30"/>
      <c r="QHV617" s="30"/>
      <c r="QHW617" s="30"/>
      <c r="QHX617" s="30"/>
      <c r="QHY617" s="30"/>
      <c r="QHZ617" s="30"/>
      <c r="QIA617" s="30"/>
      <c r="QIB617" s="30"/>
      <c r="QIC617" s="30"/>
      <c r="QID617" s="30"/>
      <c r="QIE617" s="30"/>
      <c r="QIF617" s="30"/>
      <c r="QIG617" s="30"/>
      <c r="QIH617" s="30"/>
      <c r="QII617" s="30"/>
      <c r="QIJ617" s="30"/>
      <c r="QIK617" s="30"/>
      <c r="QIL617" s="30"/>
      <c r="QIM617" s="30"/>
      <c r="QIN617" s="30"/>
      <c r="QIO617" s="30"/>
      <c r="QIP617" s="30"/>
      <c r="QIQ617" s="30"/>
      <c r="QIR617" s="30"/>
      <c r="QIS617" s="30"/>
      <c r="QIT617" s="30"/>
      <c r="QIU617" s="30"/>
      <c r="QIV617" s="30"/>
      <c r="QIW617" s="30"/>
      <c r="QIX617" s="30"/>
      <c r="QIY617" s="30"/>
      <c r="QIZ617" s="30"/>
      <c r="QJA617" s="30"/>
      <c r="QJB617" s="30"/>
      <c r="QJC617" s="30"/>
      <c r="QJD617" s="30"/>
      <c r="QJE617" s="30"/>
      <c r="QJF617" s="30"/>
      <c r="QJG617" s="30"/>
      <c r="QJH617" s="30"/>
      <c r="QJI617" s="30"/>
      <c r="QJJ617" s="30"/>
      <c r="QJK617" s="30"/>
      <c r="QJL617" s="30"/>
      <c r="QJM617" s="30"/>
      <c r="QJN617" s="30"/>
      <c r="QJO617" s="30"/>
      <c r="QJP617" s="30"/>
      <c r="QJQ617" s="30"/>
      <c r="QJR617" s="30"/>
      <c r="QJS617" s="30"/>
      <c r="QJT617" s="30"/>
      <c r="QJU617" s="30"/>
      <c r="QJV617" s="30"/>
      <c r="QJW617" s="30"/>
      <c r="QJX617" s="30"/>
      <c r="QJY617" s="30"/>
      <c r="QJZ617" s="30"/>
      <c r="QKA617" s="30"/>
      <c r="QKB617" s="30"/>
      <c r="QKC617" s="30"/>
      <c r="QKD617" s="30"/>
      <c r="QKE617" s="30"/>
      <c r="QKF617" s="30"/>
      <c r="QKG617" s="30"/>
      <c r="QKH617" s="30"/>
      <c r="QKI617" s="30"/>
      <c r="QKJ617" s="30"/>
      <c r="QKK617" s="30"/>
      <c r="QKL617" s="30"/>
      <c r="QKM617" s="30"/>
      <c r="QKN617" s="30"/>
      <c r="QKO617" s="30"/>
      <c r="QKP617" s="30"/>
      <c r="QKQ617" s="30"/>
      <c r="QKR617" s="30"/>
      <c r="QKS617" s="30"/>
      <c r="QKT617" s="30"/>
      <c r="QKU617" s="30"/>
      <c r="QKV617" s="30"/>
      <c r="QKW617" s="30"/>
      <c r="QKX617" s="30"/>
      <c r="QKY617" s="30"/>
      <c r="QKZ617" s="30"/>
      <c r="QLA617" s="30"/>
      <c r="QLB617" s="30"/>
      <c r="QLC617" s="30"/>
      <c r="QLD617" s="30"/>
      <c r="QLE617" s="30"/>
      <c r="QLF617" s="30"/>
      <c r="QLG617" s="30"/>
      <c r="QLH617" s="30"/>
      <c r="QLI617" s="30"/>
      <c r="QLJ617" s="30"/>
      <c r="QLK617" s="30"/>
      <c r="QLL617" s="30"/>
      <c r="QLM617" s="30"/>
      <c r="QLN617" s="30"/>
      <c r="QLO617" s="30"/>
      <c r="QLP617" s="30"/>
      <c r="QLQ617" s="30"/>
      <c r="QLR617" s="30"/>
      <c r="QLS617" s="30"/>
      <c r="QLT617" s="30"/>
      <c r="QLU617" s="30"/>
      <c r="QLV617" s="30"/>
      <c r="QLW617" s="30"/>
      <c r="QLX617" s="30"/>
      <c r="QLY617" s="30"/>
      <c r="QLZ617" s="30"/>
      <c r="QMA617" s="30"/>
      <c r="QMB617" s="30"/>
      <c r="QMC617" s="30"/>
      <c r="QMD617" s="30"/>
      <c r="QME617" s="30"/>
      <c r="QMF617" s="30"/>
      <c r="QMG617" s="30"/>
      <c r="QMH617" s="30"/>
      <c r="QMI617" s="30"/>
      <c r="QMJ617" s="30"/>
      <c r="QMK617" s="30"/>
      <c r="QML617" s="30"/>
      <c r="QMM617" s="30"/>
      <c r="QMN617" s="30"/>
      <c r="QMO617" s="30"/>
      <c r="QMP617" s="30"/>
      <c r="QMQ617" s="30"/>
      <c r="QMR617" s="30"/>
      <c r="QMS617" s="30"/>
      <c r="QMT617" s="30"/>
      <c r="QMU617" s="30"/>
      <c r="QMV617" s="30"/>
      <c r="QMW617" s="30"/>
      <c r="QMX617" s="30"/>
      <c r="QMY617" s="30"/>
      <c r="QMZ617" s="30"/>
      <c r="QNA617" s="30"/>
      <c r="QNB617" s="30"/>
      <c r="QNC617" s="30"/>
      <c r="QND617" s="30"/>
      <c r="QNE617" s="30"/>
      <c r="QNF617" s="30"/>
      <c r="QNG617" s="30"/>
      <c r="QNH617" s="30"/>
      <c r="QNI617" s="30"/>
      <c r="QNJ617" s="30"/>
      <c r="QNK617" s="30"/>
      <c r="QNL617" s="30"/>
      <c r="QNM617" s="30"/>
      <c r="QNN617" s="30"/>
      <c r="QNO617" s="30"/>
      <c r="QNP617" s="30"/>
      <c r="QNQ617" s="30"/>
      <c r="QNR617" s="30"/>
      <c r="QNS617" s="30"/>
      <c r="QNT617" s="30"/>
      <c r="QNU617" s="30"/>
      <c r="QNV617" s="30"/>
      <c r="QNW617" s="30"/>
      <c r="QNX617" s="30"/>
      <c r="QNY617" s="30"/>
      <c r="QNZ617" s="30"/>
      <c r="QOA617" s="30"/>
      <c r="QOB617" s="30"/>
      <c r="QOC617" s="30"/>
      <c r="QOD617" s="30"/>
      <c r="QOE617" s="30"/>
      <c r="QOF617" s="30"/>
      <c r="QOG617" s="30"/>
      <c r="QOH617" s="30"/>
      <c r="QOI617" s="30"/>
      <c r="QOJ617" s="30"/>
      <c r="QOK617" s="30"/>
      <c r="QOL617" s="30"/>
      <c r="QOM617" s="30"/>
      <c r="QON617" s="30"/>
      <c r="QOO617" s="30"/>
      <c r="QOP617" s="30"/>
      <c r="QOQ617" s="30"/>
      <c r="QOR617" s="30"/>
      <c r="QOS617" s="30"/>
      <c r="QOT617" s="30"/>
      <c r="QOU617" s="30"/>
      <c r="QOV617" s="30"/>
      <c r="QOW617" s="30"/>
      <c r="QOX617" s="30"/>
      <c r="QOY617" s="30"/>
      <c r="QOZ617" s="30"/>
      <c r="QPA617" s="30"/>
      <c r="QPB617" s="30"/>
      <c r="QPC617" s="30"/>
      <c r="QPD617" s="30"/>
      <c r="QPE617" s="30"/>
      <c r="QPF617" s="30"/>
      <c r="QPG617" s="30"/>
      <c r="QPH617" s="30"/>
      <c r="QPI617" s="30"/>
      <c r="QPJ617" s="30"/>
      <c r="QPK617" s="30"/>
      <c r="QPL617" s="30"/>
      <c r="QPM617" s="30"/>
      <c r="QPN617" s="30"/>
      <c r="QPO617" s="30"/>
      <c r="QPP617" s="30"/>
      <c r="QPQ617" s="30"/>
      <c r="QPR617" s="30"/>
      <c r="QPS617" s="30"/>
      <c r="QPT617" s="30"/>
      <c r="QPU617" s="30"/>
      <c r="QPV617" s="30"/>
      <c r="QPW617" s="30"/>
      <c r="QPX617" s="30"/>
      <c r="QPY617" s="30"/>
      <c r="QPZ617" s="30"/>
      <c r="QQA617" s="30"/>
      <c r="QQB617" s="30"/>
      <c r="QQC617" s="30"/>
      <c r="QQD617" s="30"/>
      <c r="QQE617" s="30"/>
      <c r="QQF617" s="30"/>
      <c r="QQG617" s="30"/>
      <c r="QQH617" s="30"/>
      <c r="QQI617" s="30"/>
      <c r="QQJ617" s="30"/>
      <c r="QQK617" s="30"/>
      <c r="QQL617" s="30"/>
      <c r="QQM617" s="30"/>
      <c r="QQN617" s="30"/>
      <c r="QQO617" s="30"/>
      <c r="QQP617" s="30"/>
      <c r="QQQ617" s="30"/>
      <c r="QQR617" s="30"/>
      <c r="QQS617" s="30"/>
      <c r="QQT617" s="30"/>
      <c r="QQU617" s="30"/>
      <c r="QQV617" s="30"/>
      <c r="QQW617" s="30"/>
      <c r="QQX617" s="30"/>
      <c r="QQY617" s="30"/>
      <c r="QQZ617" s="30"/>
      <c r="QRA617" s="30"/>
      <c r="QRB617" s="30"/>
      <c r="QRC617" s="30"/>
      <c r="QRD617" s="30"/>
      <c r="QRE617" s="30"/>
      <c r="QRF617" s="30"/>
      <c r="QRG617" s="30"/>
      <c r="QRH617" s="30"/>
      <c r="QRI617" s="30"/>
      <c r="QRJ617" s="30"/>
      <c r="QRK617" s="30"/>
      <c r="QRL617" s="30"/>
      <c r="QRM617" s="30"/>
      <c r="QRN617" s="30"/>
      <c r="QRO617" s="30"/>
      <c r="QRP617" s="30"/>
      <c r="QRQ617" s="30"/>
      <c r="QRR617" s="30"/>
      <c r="QRS617" s="30"/>
      <c r="QRT617" s="30"/>
      <c r="QRU617" s="30"/>
      <c r="QRV617" s="30"/>
      <c r="QRW617" s="30"/>
      <c r="QRX617" s="30"/>
      <c r="QRY617" s="30"/>
      <c r="QRZ617" s="30"/>
      <c r="QSA617" s="30"/>
      <c r="QSB617" s="30"/>
      <c r="QSC617" s="30"/>
      <c r="QSD617" s="30"/>
      <c r="QSE617" s="30"/>
      <c r="QSF617" s="30"/>
      <c r="QSG617" s="30"/>
      <c r="QSH617" s="30"/>
      <c r="QSI617" s="30"/>
      <c r="QSJ617" s="30"/>
      <c r="QSK617" s="30"/>
      <c r="QSL617" s="30"/>
      <c r="QSM617" s="30"/>
      <c r="QSN617" s="30"/>
      <c r="QSO617" s="30"/>
      <c r="QSP617" s="30"/>
      <c r="QSQ617" s="30"/>
      <c r="QSR617" s="30"/>
      <c r="QSS617" s="30"/>
      <c r="QST617" s="30"/>
      <c r="QSU617" s="30"/>
      <c r="QSV617" s="30"/>
      <c r="QSW617" s="30"/>
      <c r="QSX617" s="30"/>
      <c r="QSY617" s="30"/>
      <c r="QSZ617" s="30"/>
      <c r="QTA617" s="30"/>
      <c r="QTB617" s="30"/>
      <c r="QTC617" s="30"/>
      <c r="QTD617" s="30"/>
      <c r="QTE617" s="30"/>
      <c r="QTF617" s="30"/>
      <c r="QTG617" s="30"/>
      <c r="QTH617" s="30"/>
      <c r="QTI617" s="30"/>
      <c r="QTJ617" s="30"/>
      <c r="QTK617" s="30"/>
      <c r="QTL617" s="30"/>
      <c r="QTM617" s="30"/>
      <c r="QTN617" s="30"/>
      <c r="QTO617" s="30"/>
      <c r="QTP617" s="30"/>
      <c r="QTQ617" s="30"/>
      <c r="QTR617" s="30"/>
      <c r="QTS617" s="30"/>
      <c r="QTT617" s="30"/>
      <c r="QTU617" s="30"/>
      <c r="QTV617" s="30"/>
      <c r="QTW617" s="30"/>
      <c r="QTX617" s="30"/>
      <c r="QTY617" s="30"/>
      <c r="QTZ617" s="30"/>
      <c r="QUA617" s="30"/>
      <c r="QUB617" s="30"/>
      <c r="QUC617" s="30"/>
      <c r="QUD617" s="30"/>
      <c r="QUE617" s="30"/>
      <c r="QUF617" s="30"/>
      <c r="QUG617" s="30"/>
      <c r="QUH617" s="30"/>
      <c r="QUI617" s="30"/>
      <c r="QUJ617" s="30"/>
      <c r="QUK617" s="30"/>
      <c r="QUL617" s="30"/>
      <c r="QUM617" s="30"/>
      <c r="QUN617" s="30"/>
      <c r="QUO617" s="30"/>
      <c r="QUP617" s="30"/>
      <c r="QUQ617" s="30"/>
      <c r="QUR617" s="30"/>
      <c r="QUS617" s="30"/>
      <c r="QUT617" s="30"/>
      <c r="QUU617" s="30"/>
      <c r="QUV617" s="30"/>
      <c r="QUW617" s="30"/>
      <c r="QUX617" s="30"/>
      <c r="QUY617" s="30"/>
      <c r="QUZ617" s="30"/>
      <c r="QVA617" s="30"/>
      <c r="QVB617" s="30"/>
      <c r="QVC617" s="30"/>
      <c r="QVD617" s="30"/>
      <c r="QVE617" s="30"/>
      <c r="QVF617" s="30"/>
      <c r="QVG617" s="30"/>
      <c r="QVH617" s="30"/>
      <c r="QVI617" s="30"/>
      <c r="QVJ617" s="30"/>
      <c r="QVK617" s="30"/>
      <c r="QVL617" s="30"/>
      <c r="QVM617" s="30"/>
      <c r="QVN617" s="30"/>
      <c r="QVO617" s="30"/>
      <c r="QVP617" s="30"/>
      <c r="QVQ617" s="30"/>
      <c r="QVR617" s="30"/>
      <c r="QVS617" s="30"/>
      <c r="QVT617" s="30"/>
      <c r="QVU617" s="30"/>
      <c r="QVV617" s="30"/>
      <c r="QVW617" s="30"/>
      <c r="QVX617" s="30"/>
      <c r="QVY617" s="30"/>
      <c r="QVZ617" s="30"/>
      <c r="QWA617" s="30"/>
      <c r="QWB617" s="30"/>
      <c r="QWC617" s="30"/>
      <c r="QWD617" s="30"/>
      <c r="QWE617" s="30"/>
      <c r="QWF617" s="30"/>
      <c r="QWG617" s="30"/>
      <c r="QWH617" s="30"/>
      <c r="QWI617" s="30"/>
      <c r="QWJ617" s="30"/>
      <c r="QWK617" s="30"/>
      <c r="QWL617" s="30"/>
      <c r="QWM617" s="30"/>
      <c r="QWN617" s="30"/>
      <c r="QWO617" s="30"/>
      <c r="QWP617" s="30"/>
      <c r="QWQ617" s="30"/>
      <c r="QWR617" s="30"/>
      <c r="QWS617" s="30"/>
      <c r="QWT617" s="30"/>
      <c r="QWU617" s="30"/>
      <c r="QWV617" s="30"/>
      <c r="QWW617" s="30"/>
      <c r="QWX617" s="30"/>
      <c r="QWY617" s="30"/>
      <c r="QWZ617" s="30"/>
      <c r="QXA617" s="30"/>
      <c r="QXB617" s="30"/>
      <c r="QXC617" s="30"/>
      <c r="QXD617" s="30"/>
      <c r="QXE617" s="30"/>
      <c r="QXF617" s="30"/>
      <c r="QXG617" s="30"/>
      <c r="QXH617" s="30"/>
      <c r="QXI617" s="30"/>
      <c r="QXJ617" s="30"/>
      <c r="QXK617" s="30"/>
      <c r="QXL617" s="30"/>
      <c r="QXM617" s="30"/>
      <c r="QXN617" s="30"/>
      <c r="QXO617" s="30"/>
      <c r="QXP617" s="30"/>
      <c r="QXQ617" s="30"/>
      <c r="QXR617" s="30"/>
      <c r="QXS617" s="30"/>
      <c r="QXT617" s="30"/>
      <c r="QXU617" s="30"/>
      <c r="QXV617" s="30"/>
      <c r="QXW617" s="30"/>
      <c r="QXX617" s="30"/>
      <c r="QXY617" s="30"/>
      <c r="QXZ617" s="30"/>
      <c r="QYA617" s="30"/>
      <c r="QYB617" s="30"/>
      <c r="QYC617" s="30"/>
      <c r="QYD617" s="30"/>
      <c r="QYE617" s="30"/>
      <c r="QYF617" s="30"/>
      <c r="QYG617" s="30"/>
      <c r="QYH617" s="30"/>
      <c r="QYI617" s="30"/>
      <c r="QYJ617" s="30"/>
      <c r="QYK617" s="30"/>
      <c r="QYL617" s="30"/>
      <c r="QYM617" s="30"/>
      <c r="QYN617" s="30"/>
      <c r="QYO617" s="30"/>
      <c r="QYP617" s="30"/>
      <c r="QYQ617" s="30"/>
      <c r="QYR617" s="30"/>
      <c r="QYS617" s="30"/>
      <c r="QYT617" s="30"/>
      <c r="QYU617" s="30"/>
      <c r="QYV617" s="30"/>
      <c r="QYW617" s="30"/>
      <c r="QYX617" s="30"/>
      <c r="QYY617" s="30"/>
      <c r="QYZ617" s="30"/>
      <c r="QZA617" s="30"/>
      <c r="QZB617" s="30"/>
      <c r="QZC617" s="30"/>
      <c r="QZD617" s="30"/>
      <c r="QZE617" s="30"/>
      <c r="QZF617" s="30"/>
      <c r="QZG617" s="30"/>
      <c r="QZH617" s="30"/>
      <c r="QZI617" s="30"/>
      <c r="QZJ617" s="30"/>
      <c r="QZK617" s="30"/>
      <c r="QZL617" s="30"/>
      <c r="QZM617" s="30"/>
      <c r="QZN617" s="30"/>
      <c r="QZO617" s="30"/>
      <c r="QZP617" s="30"/>
      <c r="QZQ617" s="30"/>
      <c r="QZR617" s="30"/>
      <c r="QZS617" s="30"/>
      <c r="QZT617" s="30"/>
      <c r="QZU617" s="30"/>
      <c r="QZV617" s="30"/>
      <c r="QZW617" s="30"/>
      <c r="QZX617" s="30"/>
      <c r="QZY617" s="30"/>
      <c r="QZZ617" s="30"/>
      <c r="RAA617" s="30"/>
      <c r="RAB617" s="30"/>
      <c r="RAC617" s="30"/>
      <c r="RAD617" s="30"/>
      <c r="RAE617" s="30"/>
      <c r="RAF617" s="30"/>
      <c r="RAG617" s="30"/>
      <c r="RAH617" s="30"/>
      <c r="RAI617" s="30"/>
      <c r="RAJ617" s="30"/>
      <c r="RAK617" s="30"/>
      <c r="RAL617" s="30"/>
      <c r="RAM617" s="30"/>
      <c r="RAN617" s="30"/>
      <c r="RAO617" s="30"/>
      <c r="RAP617" s="30"/>
      <c r="RAQ617" s="30"/>
      <c r="RAR617" s="30"/>
      <c r="RAS617" s="30"/>
      <c r="RAT617" s="30"/>
      <c r="RAU617" s="30"/>
      <c r="RAV617" s="30"/>
      <c r="RAW617" s="30"/>
      <c r="RAX617" s="30"/>
      <c r="RAY617" s="30"/>
      <c r="RAZ617" s="30"/>
      <c r="RBA617" s="30"/>
      <c r="RBB617" s="30"/>
      <c r="RBC617" s="30"/>
      <c r="RBD617" s="30"/>
      <c r="RBE617" s="30"/>
      <c r="RBF617" s="30"/>
      <c r="RBG617" s="30"/>
      <c r="RBH617" s="30"/>
      <c r="RBI617" s="30"/>
      <c r="RBJ617" s="30"/>
      <c r="RBK617" s="30"/>
      <c r="RBL617" s="30"/>
      <c r="RBM617" s="30"/>
      <c r="RBN617" s="30"/>
      <c r="RBO617" s="30"/>
      <c r="RBP617" s="30"/>
      <c r="RBQ617" s="30"/>
      <c r="RBR617" s="30"/>
      <c r="RBS617" s="30"/>
      <c r="RBT617" s="30"/>
      <c r="RBU617" s="30"/>
      <c r="RBV617" s="30"/>
      <c r="RBW617" s="30"/>
      <c r="RBX617" s="30"/>
      <c r="RBY617" s="30"/>
      <c r="RBZ617" s="30"/>
      <c r="RCA617" s="30"/>
      <c r="RCB617" s="30"/>
      <c r="RCC617" s="30"/>
      <c r="RCD617" s="30"/>
      <c r="RCE617" s="30"/>
      <c r="RCF617" s="30"/>
      <c r="RCG617" s="30"/>
      <c r="RCH617" s="30"/>
      <c r="RCI617" s="30"/>
      <c r="RCJ617" s="30"/>
      <c r="RCK617" s="30"/>
      <c r="RCL617" s="30"/>
      <c r="RCM617" s="30"/>
      <c r="RCN617" s="30"/>
      <c r="RCO617" s="30"/>
      <c r="RCP617" s="30"/>
      <c r="RCQ617" s="30"/>
      <c r="RCR617" s="30"/>
      <c r="RCS617" s="30"/>
      <c r="RCT617" s="30"/>
      <c r="RCU617" s="30"/>
      <c r="RCV617" s="30"/>
      <c r="RCW617" s="30"/>
      <c r="RCX617" s="30"/>
      <c r="RCY617" s="30"/>
      <c r="RCZ617" s="30"/>
      <c r="RDA617" s="30"/>
      <c r="RDB617" s="30"/>
      <c r="RDC617" s="30"/>
      <c r="RDD617" s="30"/>
      <c r="RDE617" s="30"/>
      <c r="RDF617" s="30"/>
      <c r="RDG617" s="30"/>
      <c r="RDH617" s="30"/>
      <c r="RDI617" s="30"/>
      <c r="RDJ617" s="30"/>
      <c r="RDK617" s="30"/>
      <c r="RDL617" s="30"/>
      <c r="RDM617" s="30"/>
      <c r="RDN617" s="30"/>
      <c r="RDO617" s="30"/>
      <c r="RDP617" s="30"/>
      <c r="RDQ617" s="30"/>
      <c r="RDR617" s="30"/>
      <c r="RDS617" s="30"/>
      <c r="RDT617" s="30"/>
      <c r="RDU617" s="30"/>
      <c r="RDV617" s="30"/>
      <c r="RDW617" s="30"/>
      <c r="RDX617" s="30"/>
      <c r="RDY617" s="30"/>
      <c r="RDZ617" s="30"/>
      <c r="REA617" s="30"/>
      <c r="REB617" s="30"/>
      <c r="REC617" s="30"/>
      <c r="RED617" s="30"/>
      <c r="REE617" s="30"/>
      <c r="REF617" s="30"/>
      <c r="REG617" s="30"/>
      <c r="REH617" s="30"/>
      <c r="REI617" s="30"/>
      <c r="REJ617" s="30"/>
      <c r="REK617" s="30"/>
      <c r="REL617" s="30"/>
      <c r="REM617" s="30"/>
      <c r="REN617" s="30"/>
      <c r="REO617" s="30"/>
      <c r="REP617" s="30"/>
      <c r="REQ617" s="30"/>
      <c r="RER617" s="30"/>
      <c r="RES617" s="30"/>
      <c r="RET617" s="30"/>
      <c r="REU617" s="30"/>
      <c r="REV617" s="30"/>
      <c r="REW617" s="30"/>
      <c r="REX617" s="30"/>
      <c r="REY617" s="30"/>
      <c r="REZ617" s="30"/>
      <c r="RFA617" s="30"/>
      <c r="RFB617" s="30"/>
      <c r="RFC617" s="30"/>
      <c r="RFD617" s="30"/>
      <c r="RFE617" s="30"/>
      <c r="RFF617" s="30"/>
      <c r="RFG617" s="30"/>
      <c r="RFH617" s="30"/>
      <c r="RFI617" s="30"/>
      <c r="RFJ617" s="30"/>
      <c r="RFK617" s="30"/>
      <c r="RFL617" s="30"/>
      <c r="RFM617" s="30"/>
      <c r="RFN617" s="30"/>
      <c r="RFO617" s="30"/>
      <c r="RFP617" s="30"/>
      <c r="RFQ617" s="30"/>
      <c r="RFR617" s="30"/>
      <c r="RFS617" s="30"/>
      <c r="RFT617" s="30"/>
      <c r="RFU617" s="30"/>
      <c r="RFV617" s="30"/>
      <c r="RFW617" s="30"/>
      <c r="RFX617" s="30"/>
      <c r="RFY617" s="30"/>
      <c r="RFZ617" s="30"/>
      <c r="RGA617" s="30"/>
      <c r="RGB617" s="30"/>
      <c r="RGC617" s="30"/>
      <c r="RGD617" s="30"/>
      <c r="RGE617" s="30"/>
      <c r="RGF617" s="30"/>
      <c r="RGG617" s="30"/>
      <c r="RGH617" s="30"/>
      <c r="RGI617" s="30"/>
      <c r="RGJ617" s="30"/>
      <c r="RGK617" s="30"/>
      <c r="RGL617" s="30"/>
      <c r="RGM617" s="30"/>
      <c r="RGN617" s="30"/>
      <c r="RGO617" s="30"/>
      <c r="RGP617" s="30"/>
      <c r="RGQ617" s="30"/>
      <c r="RGR617" s="30"/>
      <c r="RGS617" s="30"/>
      <c r="RGT617" s="30"/>
      <c r="RGU617" s="30"/>
      <c r="RGV617" s="30"/>
      <c r="RGW617" s="30"/>
      <c r="RGX617" s="30"/>
      <c r="RGY617" s="30"/>
      <c r="RGZ617" s="30"/>
      <c r="RHA617" s="30"/>
      <c r="RHB617" s="30"/>
      <c r="RHC617" s="30"/>
      <c r="RHD617" s="30"/>
      <c r="RHE617" s="30"/>
      <c r="RHF617" s="30"/>
      <c r="RHG617" s="30"/>
      <c r="RHH617" s="30"/>
      <c r="RHI617" s="30"/>
      <c r="RHJ617" s="30"/>
      <c r="RHK617" s="30"/>
      <c r="RHL617" s="30"/>
      <c r="RHM617" s="30"/>
      <c r="RHN617" s="30"/>
      <c r="RHO617" s="30"/>
      <c r="RHP617" s="30"/>
      <c r="RHQ617" s="30"/>
      <c r="RHR617" s="30"/>
      <c r="RHS617" s="30"/>
      <c r="RHT617" s="30"/>
      <c r="RHU617" s="30"/>
      <c r="RHV617" s="30"/>
      <c r="RHW617" s="30"/>
      <c r="RHX617" s="30"/>
      <c r="RHY617" s="30"/>
      <c r="RHZ617" s="30"/>
      <c r="RIA617" s="30"/>
      <c r="RIB617" s="30"/>
      <c r="RIC617" s="30"/>
      <c r="RID617" s="30"/>
      <c r="RIE617" s="30"/>
      <c r="RIF617" s="30"/>
      <c r="RIG617" s="30"/>
      <c r="RIH617" s="30"/>
      <c r="RII617" s="30"/>
      <c r="RIJ617" s="30"/>
      <c r="RIK617" s="30"/>
      <c r="RIL617" s="30"/>
      <c r="RIM617" s="30"/>
      <c r="RIN617" s="30"/>
      <c r="RIO617" s="30"/>
      <c r="RIP617" s="30"/>
      <c r="RIQ617" s="30"/>
      <c r="RIR617" s="30"/>
      <c r="RIS617" s="30"/>
      <c r="RIT617" s="30"/>
      <c r="RIU617" s="30"/>
      <c r="RIV617" s="30"/>
      <c r="RIW617" s="30"/>
      <c r="RIX617" s="30"/>
      <c r="RIY617" s="30"/>
      <c r="RIZ617" s="30"/>
      <c r="RJA617" s="30"/>
      <c r="RJB617" s="30"/>
      <c r="RJC617" s="30"/>
      <c r="RJD617" s="30"/>
      <c r="RJE617" s="30"/>
      <c r="RJF617" s="30"/>
      <c r="RJG617" s="30"/>
      <c r="RJH617" s="30"/>
      <c r="RJI617" s="30"/>
      <c r="RJJ617" s="30"/>
      <c r="RJK617" s="30"/>
      <c r="RJL617" s="30"/>
      <c r="RJM617" s="30"/>
      <c r="RJN617" s="30"/>
      <c r="RJO617" s="30"/>
      <c r="RJP617" s="30"/>
      <c r="RJQ617" s="30"/>
      <c r="RJR617" s="30"/>
      <c r="RJS617" s="30"/>
      <c r="RJT617" s="30"/>
      <c r="RJU617" s="30"/>
      <c r="RJV617" s="30"/>
      <c r="RJW617" s="30"/>
      <c r="RJX617" s="30"/>
      <c r="RJY617" s="30"/>
      <c r="RJZ617" s="30"/>
      <c r="RKA617" s="30"/>
      <c r="RKB617" s="30"/>
      <c r="RKC617" s="30"/>
      <c r="RKD617" s="30"/>
      <c r="RKE617" s="30"/>
      <c r="RKF617" s="30"/>
      <c r="RKG617" s="30"/>
      <c r="RKH617" s="30"/>
      <c r="RKI617" s="30"/>
      <c r="RKJ617" s="30"/>
      <c r="RKK617" s="30"/>
      <c r="RKL617" s="30"/>
      <c r="RKM617" s="30"/>
      <c r="RKN617" s="30"/>
      <c r="RKO617" s="30"/>
      <c r="RKP617" s="30"/>
      <c r="RKQ617" s="30"/>
      <c r="RKR617" s="30"/>
      <c r="RKS617" s="30"/>
      <c r="RKT617" s="30"/>
      <c r="RKU617" s="30"/>
      <c r="RKV617" s="30"/>
      <c r="RKW617" s="30"/>
      <c r="RKX617" s="30"/>
      <c r="RKY617" s="30"/>
      <c r="RKZ617" s="30"/>
      <c r="RLA617" s="30"/>
      <c r="RLB617" s="30"/>
      <c r="RLC617" s="30"/>
      <c r="RLD617" s="30"/>
      <c r="RLE617" s="30"/>
      <c r="RLF617" s="30"/>
      <c r="RLG617" s="30"/>
      <c r="RLH617" s="30"/>
      <c r="RLI617" s="30"/>
      <c r="RLJ617" s="30"/>
      <c r="RLK617" s="30"/>
      <c r="RLL617" s="30"/>
      <c r="RLM617" s="30"/>
      <c r="RLN617" s="30"/>
      <c r="RLO617" s="30"/>
      <c r="RLP617" s="30"/>
      <c r="RLQ617" s="30"/>
      <c r="RLR617" s="30"/>
      <c r="RLS617" s="30"/>
      <c r="RLT617" s="30"/>
      <c r="RLU617" s="30"/>
      <c r="RLV617" s="30"/>
      <c r="RLW617" s="30"/>
      <c r="RLX617" s="30"/>
      <c r="RLY617" s="30"/>
      <c r="RLZ617" s="30"/>
      <c r="RMA617" s="30"/>
      <c r="RMB617" s="30"/>
      <c r="RMC617" s="30"/>
      <c r="RMD617" s="30"/>
      <c r="RME617" s="30"/>
      <c r="RMF617" s="30"/>
      <c r="RMG617" s="30"/>
      <c r="RMH617" s="30"/>
      <c r="RMI617" s="30"/>
      <c r="RMJ617" s="30"/>
      <c r="RMK617" s="30"/>
      <c r="RML617" s="30"/>
      <c r="RMM617" s="30"/>
      <c r="RMN617" s="30"/>
      <c r="RMO617" s="30"/>
      <c r="RMP617" s="30"/>
      <c r="RMQ617" s="30"/>
      <c r="RMR617" s="30"/>
      <c r="RMS617" s="30"/>
      <c r="RMT617" s="30"/>
      <c r="RMU617" s="30"/>
      <c r="RMV617" s="30"/>
      <c r="RMW617" s="30"/>
      <c r="RMX617" s="30"/>
      <c r="RMY617" s="30"/>
      <c r="RMZ617" s="30"/>
      <c r="RNA617" s="30"/>
      <c r="RNB617" s="30"/>
      <c r="RNC617" s="30"/>
      <c r="RND617" s="30"/>
      <c r="RNE617" s="30"/>
      <c r="RNF617" s="30"/>
      <c r="RNG617" s="30"/>
      <c r="RNH617" s="30"/>
      <c r="RNI617" s="30"/>
      <c r="RNJ617" s="30"/>
      <c r="RNK617" s="30"/>
      <c r="RNL617" s="30"/>
      <c r="RNM617" s="30"/>
      <c r="RNN617" s="30"/>
      <c r="RNO617" s="30"/>
      <c r="RNP617" s="30"/>
      <c r="RNQ617" s="30"/>
      <c r="RNR617" s="30"/>
      <c r="RNS617" s="30"/>
      <c r="RNT617" s="30"/>
      <c r="RNU617" s="30"/>
      <c r="RNV617" s="30"/>
      <c r="RNW617" s="30"/>
      <c r="RNX617" s="30"/>
      <c r="RNY617" s="30"/>
      <c r="RNZ617" s="30"/>
      <c r="ROA617" s="30"/>
      <c r="ROB617" s="30"/>
      <c r="ROC617" s="30"/>
      <c r="ROD617" s="30"/>
      <c r="ROE617" s="30"/>
      <c r="ROF617" s="30"/>
      <c r="ROG617" s="30"/>
      <c r="ROH617" s="30"/>
      <c r="ROI617" s="30"/>
      <c r="ROJ617" s="30"/>
      <c r="ROK617" s="30"/>
      <c r="ROL617" s="30"/>
      <c r="ROM617" s="30"/>
      <c r="RON617" s="30"/>
      <c r="ROO617" s="30"/>
      <c r="ROP617" s="30"/>
      <c r="ROQ617" s="30"/>
      <c r="ROR617" s="30"/>
      <c r="ROS617" s="30"/>
      <c r="ROT617" s="30"/>
      <c r="ROU617" s="30"/>
      <c r="ROV617" s="30"/>
      <c r="ROW617" s="30"/>
      <c r="ROX617" s="30"/>
      <c r="ROY617" s="30"/>
      <c r="ROZ617" s="30"/>
      <c r="RPA617" s="30"/>
      <c r="RPB617" s="30"/>
      <c r="RPC617" s="30"/>
      <c r="RPD617" s="30"/>
      <c r="RPE617" s="30"/>
      <c r="RPF617" s="30"/>
      <c r="RPG617" s="30"/>
      <c r="RPH617" s="30"/>
      <c r="RPI617" s="30"/>
      <c r="RPJ617" s="30"/>
      <c r="RPK617" s="30"/>
      <c r="RPL617" s="30"/>
      <c r="RPM617" s="30"/>
      <c r="RPN617" s="30"/>
      <c r="RPO617" s="30"/>
      <c r="RPP617" s="30"/>
      <c r="RPQ617" s="30"/>
      <c r="RPR617" s="30"/>
      <c r="RPS617" s="30"/>
      <c r="RPT617" s="30"/>
      <c r="RPU617" s="30"/>
      <c r="RPV617" s="30"/>
      <c r="RPW617" s="30"/>
      <c r="RPX617" s="30"/>
      <c r="RPY617" s="30"/>
      <c r="RPZ617" s="30"/>
      <c r="RQA617" s="30"/>
      <c r="RQB617" s="30"/>
      <c r="RQC617" s="30"/>
      <c r="RQD617" s="30"/>
      <c r="RQE617" s="30"/>
      <c r="RQF617" s="30"/>
      <c r="RQG617" s="30"/>
      <c r="RQH617" s="30"/>
      <c r="RQI617" s="30"/>
      <c r="RQJ617" s="30"/>
      <c r="RQK617" s="30"/>
      <c r="RQL617" s="30"/>
      <c r="RQM617" s="30"/>
      <c r="RQN617" s="30"/>
      <c r="RQO617" s="30"/>
      <c r="RQP617" s="30"/>
      <c r="RQQ617" s="30"/>
      <c r="RQR617" s="30"/>
      <c r="RQS617" s="30"/>
      <c r="RQT617" s="30"/>
      <c r="RQU617" s="30"/>
      <c r="RQV617" s="30"/>
      <c r="RQW617" s="30"/>
      <c r="RQX617" s="30"/>
      <c r="RQY617" s="30"/>
      <c r="RQZ617" s="30"/>
      <c r="RRA617" s="30"/>
      <c r="RRB617" s="30"/>
      <c r="RRC617" s="30"/>
      <c r="RRD617" s="30"/>
      <c r="RRE617" s="30"/>
      <c r="RRF617" s="30"/>
      <c r="RRG617" s="30"/>
      <c r="RRH617" s="30"/>
      <c r="RRI617" s="30"/>
      <c r="RRJ617" s="30"/>
      <c r="RRK617" s="30"/>
      <c r="RRL617" s="30"/>
      <c r="RRM617" s="30"/>
      <c r="RRN617" s="30"/>
      <c r="RRO617" s="30"/>
      <c r="RRP617" s="30"/>
      <c r="RRQ617" s="30"/>
      <c r="RRR617" s="30"/>
      <c r="RRS617" s="30"/>
      <c r="RRT617" s="30"/>
      <c r="RRU617" s="30"/>
      <c r="RRV617" s="30"/>
      <c r="RRW617" s="30"/>
      <c r="RRX617" s="30"/>
      <c r="RRY617" s="30"/>
      <c r="RRZ617" s="30"/>
      <c r="RSA617" s="30"/>
      <c r="RSB617" s="30"/>
      <c r="RSC617" s="30"/>
      <c r="RSD617" s="30"/>
      <c r="RSE617" s="30"/>
      <c r="RSF617" s="30"/>
      <c r="RSG617" s="30"/>
      <c r="RSH617" s="30"/>
      <c r="RSI617" s="30"/>
      <c r="RSJ617" s="30"/>
      <c r="RSK617" s="30"/>
      <c r="RSL617" s="30"/>
      <c r="RSM617" s="30"/>
      <c r="RSN617" s="30"/>
      <c r="RSO617" s="30"/>
      <c r="RSP617" s="30"/>
      <c r="RSQ617" s="30"/>
      <c r="RSR617" s="30"/>
      <c r="RSS617" s="30"/>
      <c r="RST617" s="30"/>
      <c r="RSU617" s="30"/>
      <c r="RSV617" s="30"/>
      <c r="RSW617" s="30"/>
      <c r="RSX617" s="30"/>
      <c r="RSY617" s="30"/>
      <c r="RSZ617" s="30"/>
      <c r="RTA617" s="30"/>
      <c r="RTB617" s="30"/>
      <c r="RTC617" s="30"/>
      <c r="RTD617" s="30"/>
      <c r="RTE617" s="30"/>
      <c r="RTF617" s="30"/>
      <c r="RTG617" s="30"/>
      <c r="RTH617" s="30"/>
      <c r="RTI617" s="30"/>
      <c r="RTJ617" s="30"/>
      <c r="RTK617" s="30"/>
      <c r="RTL617" s="30"/>
      <c r="RTM617" s="30"/>
      <c r="RTN617" s="30"/>
      <c r="RTO617" s="30"/>
      <c r="RTP617" s="30"/>
      <c r="RTQ617" s="30"/>
      <c r="RTR617" s="30"/>
      <c r="RTS617" s="30"/>
      <c r="RTT617" s="30"/>
      <c r="RTU617" s="30"/>
      <c r="RTV617" s="30"/>
      <c r="RTW617" s="30"/>
      <c r="RTX617" s="30"/>
      <c r="RTY617" s="30"/>
      <c r="RTZ617" s="30"/>
      <c r="RUA617" s="30"/>
      <c r="RUB617" s="30"/>
      <c r="RUC617" s="30"/>
      <c r="RUD617" s="30"/>
      <c r="RUE617" s="30"/>
      <c r="RUF617" s="30"/>
      <c r="RUG617" s="30"/>
      <c r="RUH617" s="30"/>
      <c r="RUI617" s="30"/>
      <c r="RUJ617" s="30"/>
      <c r="RUK617" s="30"/>
      <c r="RUL617" s="30"/>
      <c r="RUM617" s="30"/>
      <c r="RUN617" s="30"/>
      <c r="RUO617" s="30"/>
      <c r="RUP617" s="30"/>
      <c r="RUQ617" s="30"/>
      <c r="RUR617" s="30"/>
      <c r="RUS617" s="30"/>
      <c r="RUT617" s="30"/>
      <c r="RUU617" s="30"/>
      <c r="RUV617" s="30"/>
      <c r="RUW617" s="30"/>
      <c r="RUX617" s="30"/>
      <c r="RUY617" s="30"/>
      <c r="RUZ617" s="30"/>
      <c r="RVA617" s="30"/>
      <c r="RVB617" s="30"/>
      <c r="RVC617" s="30"/>
      <c r="RVD617" s="30"/>
      <c r="RVE617" s="30"/>
      <c r="RVF617" s="30"/>
      <c r="RVG617" s="30"/>
      <c r="RVH617" s="30"/>
      <c r="RVI617" s="30"/>
      <c r="RVJ617" s="30"/>
      <c r="RVK617" s="30"/>
      <c r="RVL617" s="30"/>
      <c r="RVM617" s="30"/>
      <c r="RVN617" s="30"/>
      <c r="RVO617" s="30"/>
      <c r="RVP617" s="30"/>
      <c r="RVQ617" s="30"/>
      <c r="RVR617" s="30"/>
      <c r="RVS617" s="30"/>
      <c r="RVT617" s="30"/>
      <c r="RVU617" s="30"/>
      <c r="RVV617" s="30"/>
      <c r="RVW617" s="30"/>
      <c r="RVX617" s="30"/>
      <c r="RVY617" s="30"/>
      <c r="RVZ617" s="30"/>
      <c r="RWA617" s="30"/>
      <c r="RWB617" s="30"/>
      <c r="RWC617" s="30"/>
      <c r="RWD617" s="30"/>
      <c r="RWE617" s="30"/>
      <c r="RWF617" s="30"/>
      <c r="RWG617" s="30"/>
      <c r="RWH617" s="30"/>
      <c r="RWI617" s="30"/>
      <c r="RWJ617" s="30"/>
      <c r="RWK617" s="30"/>
      <c r="RWL617" s="30"/>
      <c r="RWM617" s="30"/>
      <c r="RWN617" s="30"/>
      <c r="RWO617" s="30"/>
      <c r="RWP617" s="30"/>
      <c r="RWQ617" s="30"/>
      <c r="RWR617" s="30"/>
      <c r="RWS617" s="30"/>
      <c r="RWT617" s="30"/>
      <c r="RWU617" s="30"/>
      <c r="RWV617" s="30"/>
      <c r="RWW617" s="30"/>
      <c r="RWX617" s="30"/>
      <c r="RWY617" s="30"/>
      <c r="RWZ617" s="30"/>
      <c r="RXA617" s="30"/>
      <c r="RXB617" s="30"/>
      <c r="RXC617" s="30"/>
      <c r="RXD617" s="30"/>
      <c r="RXE617" s="30"/>
      <c r="RXF617" s="30"/>
      <c r="RXG617" s="30"/>
      <c r="RXH617" s="30"/>
      <c r="RXI617" s="30"/>
      <c r="RXJ617" s="30"/>
      <c r="RXK617" s="30"/>
      <c r="RXL617" s="30"/>
      <c r="RXM617" s="30"/>
      <c r="RXN617" s="30"/>
      <c r="RXO617" s="30"/>
      <c r="RXP617" s="30"/>
      <c r="RXQ617" s="30"/>
      <c r="RXR617" s="30"/>
      <c r="RXS617" s="30"/>
      <c r="RXT617" s="30"/>
      <c r="RXU617" s="30"/>
      <c r="RXV617" s="30"/>
      <c r="RXW617" s="30"/>
      <c r="RXX617" s="30"/>
      <c r="RXY617" s="30"/>
      <c r="RXZ617" s="30"/>
      <c r="RYA617" s="30"/>
      <c r="RYB617" s="30"/>
      <c r="RYC617" s="30"/>
      <c r="RYD617" s="30"/>
      <c r="RYE617" s="30"/>
      <c r="RYF617" s="30"/>
      <c r="RYG617" s="30"/>
      <c r="RYH617" s="30"/>
      <c r="RYI617" s="30"/>
      <c r="RYJ617" s="30"/>
      <c r="RYK617" s="30"/>
      <c r="RYL617" s="30"/>
      <c r="RYM617" s="30"/>
      <c r="RYN617" s="30"/>
      <c r="RYO617" s="30"/>
      <c r="RYP617" s="30"/>
      <c r="RYQ617" s="30"/>
      <c r="RYR617" s="30"/>
      <c r="RYS617" s="30"/>
      <c r="RYT617" s="30"/>
      <c r="RYU617" s="30"/>
      <c r="RYV617" s="30"/>
      <c r="RYW617" s="30"/>
      <c r="RYX617" s="30"/>
      <c r="RYY617" s="30"/>
      <c r="RYZ617" s="30"/>
      <c r="RZA617" s="30"/>
      <c r="RZB617" s="30"/>
      <c r="RZC617" s="30"/>
      <c r="RZD617" s="30"/>
      <c r="RZE617" s="30"/>
      <c r="RZF617" s="30"/>
      <c r="RZG617" s="30"/>
      <c r="RZH617" s="30"/>
      <c r="RZI617" s="30"/>
      <c r="RZJ617" s="30"/>
      <c r="RZK617" s="30"/>
      <c r="RZL617" s="30"/>
      <c r="RZM617" s="30"/>
      <c r="RZN617" s="30"/>
      <c r="RZO617" s="30"/>
      <c r="RZP617" s="30"/>
      <c r="RZQ617" s="30"/>
      <c r="RZR617" s="30"/>
      <c r="RZS617" s="30"/>
      <c r="RZT617" s="30"/>
      <c r="RZU617" s="30"/>
      <c r="RZV617" s="30"/>
      <c r="RZW617" s="30"/>
      <c r="RZX617" s="30"/>
      <c r="RZY617" s="30"/>
      <c r="RZZ617" s="30"/>
      <c r="SAA617" s="30"/>
      <c r="SAB617" s="30"/>
      <c r="SAC617" s="30"/>
      <c r="SAD617" s="30"/>
      <c r="SAE617" s="30"/>
      <c r="SAF617" s="30"/>
      <c r="SAG617" s="30"/>
      <c r="SAH617" s="30"/>
      <c r="SAI617" s="30"/>
      <c r="SAJ617" s="30"/>
      <c r="SAK617" s="30"/>
      <c r="SAL617" s="30"/>
      <c r="SAM617" s="30"/>
      <c r="SAN617" s="30"/>
      <c r="SAO617" s="30"/>
      <c r="SAP617" s="30"/>
      <c r="SAQ617" s="30"/>
      <c r="SAR617" s="30"/>
      <c r="SAS617" s="30"/>
      <c r="SAT617" s="30"/>
      <c r="SAU617" s="30"/>
      <c r="SAV617" s="30"/>
      <c r="SAW617" s="30"/>
      <c r="SAX617" s="30"/>
      <c r="SAY617" s="30"/>
      <c r="SAZ617" s="30"/>
      <c r="SBA617" s="30"/>
      <c r="SBB617" s="30"/>
      <c r="SBC617" s="30"/>
      <c r="SBD617" s="30"/>
      <c r="SBE617" s="30"/>
      <c r="SBF617" s="30"/>
      <c r="SBG617" s="30"/>
      <c r="SBH617" s="30"/>
      <c r="SBI617" s="30"/>
      <c r="SBJ617" s="30"/>
      <c r="SBK617" s="30"/>
      <c r="SBL617" s="30"/>
      <c r="SBM617" s="30"/>
      <c r="SBN617" s="30"/>
      <c r="SBO617" s="30"/>
      <c r="SBP617" s="30"/>
      <c r="SBQ617" s="30"/>
      <c r="SBR617" s="30"/>
      <c r="SBS617" s="30"/>
      <c r="SBT617" s="30"/>
      <c r="SBU617" s="30"/>
      <c r="SBV617" s="30"/>
      <c r="SBW617" s="30"/>
      <c r="SBX617" s="30"/>
      <c r="SBY617" s="30"/>
      <c r="SBZ617" s="30"/>
      <c r="SCA617" s="30"/>
      <c r="SCB617" s="30"/>
      <c r="SCC617" s="30"/>
      <c r="SCD617" s="30"/>
      <c r="SCE617" s="30"/>
      <c r="SCF617" s="30"/>
      <c r="SCG617" s="30"/>
      <c r="SCH617" s="30"/>
      <c r="SCI617" s="30"/>
      <c r="SCJ617" s="30"/>
      <c r="SCK617" s="30"/>
      <c r="SCL617" s="30"/>
      <c r="SCM617" s="30"/>
      <c r="SCN617" s="30"/>
      <c r="SCO617" s="30"/>
      <c r="SCP617" s="30"/>
      <c r="SCQ617" s="30"/>
      <c r="SCR617" s="30"/>
      <c r="SCS617" s="30"/>
      <c r="SCT617" s="30"/>
      <c r="SCU617" s="30"/>
      <c r="SCV617" s="30"/>
      <c r="SCW617" s="30"/>
      <c r="SCX617" s="30"/>
      <c r="SCY617" s="30"/>
      <c r="SCZ617" s="30"/>
      <c r="SDA617" s="30"/>
      <c r="SDB617" s="30"/>
      <c r="SDC617" s="30"/>
      <c r="SDD617" s="30"/>
      <c r="SDE617" s="30"/>
      <c r="SDF617" s="30"/>
      <c r="SDG617" s="30"/>
      <c r="SDH617" s="30"/>
      <c r="SDI617" s="30"/>
      <c r="SDJ617" s="30"/>
      <c r="SDK617" s="30"/>
      <c r="SDL617" s="30"/>
      <c r="SDM617" s="30"/>
      <c r="SDN617" s="30"/>
      <c r="SDO617" s="30"/>
      <c r="SDP617" s="30"/>
      <c r="SDQ617" s="30"/>
      <c r="SDR617" s="30"/>
      <c r="SDS617" s="30"/>
      <c r="SDT617" s="30"/>
      <c r="SDU617" s="30"/>
      <c r="SDV617" s="30"/>
      <c r="SDW617" s="30"/>
      <c r="SDX617" s="30"/>
      <c r="SDY617" s="30"/>
      <c r="SDZ617" s="30"/>
      <c r="SEA617" s="30"/>
      <c r="SEB617" s="30"/>
      <c r="SEC617" s="30"/>
      <c r="SED617" s="30"/>
      <c r="SEE617" s="30"/>
      <c r="SEF617" s="30"/>
      <c r="SEG617" s="30"/>
      <c r="SEH617" s="30"/>
      <c r="SEI617" s="30"/>
      <c r="SEJ617" s="30"/>
      <c r="SEK617" s="30"/>
      <c r="SEL617" s="30"/>
      <c r="SEM617" s="30"/>
      <c r="SEN617" s="30"/>
      <c r="SEO617" s="30"/>
      <c r="SEP617" s="30"/>
      <c r="SEQ617" s="30"/>
      <c r="SER617" s="30"/>
      <c r="SES617" s="30"/>
      <c r="SET617" s="30"/>
      <c r="SEU617" s="30"/>
      <c r="SEV617" s="30"/>
      <c r="SEW617" s="30"/>
      <c r="SEX617" s="30"/>
      <c r="SEY617" s="30"/>
      <c r="SEZ617" s="30"/>
      <c r="SFA617" s="30"/>
      <c r="SFB617" s="30"/>
      <c r="SFC617" s="30"/>
      <c r="SFD617" s="30"/>
      <c r="SFE617" s="30"/>
      <c r="SFF617" s="30"/>
      <c r="SFG617" s="30"/>
      <c r="SFH617" s="30"/>
      <c r="SFI617" s="30"/>
      <c r="SFJ617" s="30"/>
      <c r="SFK617" s="30"/>
      <c r="SFL617" s="30"/>
      <c r="SFM617" s="30"/>
      <c r="SFN617" s="30"/>
      <c r="SFO617" s="30"/>
      <c r="SFP617" s="30"/>
      <c r="SFQ617" s="30"/>
      <c r="SFR617" s="30"/>
      <c r="SFS617" s="30"/>
      <c r="SFT617" s="30"/>
      <c r="SFU617" s="30"/>
      <c r="SFV617" s="30"/>
      <c r="SFW617" s="30"/>
      <c r="SFX617" s="30"/>
      <c r="SFY617" s="30"/>
      <c r="SFZ617" s="30"/>
      <c r="SGA617" s="30"/>
      <c r="SGB617" s="30"/>
      <c r="SGC617" s="30"/>
      <c r="SGD617" s="30"/>
      <c r="SGE617" s="30"/>
      <c r="SGF617" s="30"/>
      <c r="SGG617" s="30"/>
      <c r="SGH617" s="30"/>
      <c r="SGI617" s="30"/>
      <c r="SGJ617" s="30"/>
      <c r="SGK617" s="30"/>
      <c r="SGL617" s="30"/>
      <c r="SGM617" s="30"/>
      <c r="SGN617" s="30"/>
      <c r="SGO617" s="30"/>
      <c r="SGP617" s="30"/>
      <c r="SGQ617" s="30"/>
      <c r="SGR617" s="30"/>
      <c r="SGS617" s="30"/>
      <c r="SGT617" s="30"/>
      <c r="SGU617" s="30"/>
      <c r="SGV617" s="30"/>
      <c r="SGW617" s="30"/>
      <c r="SGX617" s="30"/>
      <c r="SGY617" s="30"/>
      <c r="SGZ617" s="30"/>
      <c r="SHA617" s="30"/>
      <c r="SHB617" s="30"/>
      <c r="SHC617" s="30"/>
      <c r="SHD617" s="30"/>
      <c r="SHE617" s="30"/>
      <c r="SHF617" s="30"/>
      <c r="SHG617" s="30"/>
      <c r="SHH617" s="30"/>
      <c r="SHI617" s="30"/>
      <c r="SHJ617" s="30"/>
      <c r="SHK617" s="30"/>
      <c r="SHL617" s="30"/>
      <c r="SHM617" s="30"/>
      <c r="SHN617" s="30"/>
      <c r="SHO617" s="30"/>
      <c r="SHP617" s="30"/>
      <c r="SHQ617" s="30"/>
      <c r="SHR617" s="30"/>
      <c r="SHS617" s="30"/>
      <c r="SHT617" s="30"/>
      <c r="SHU617" s="30"/>
      <c r="SHV617" s="30"/>
      <c r="SHW617" s="30"/>
      <c r="SHX617" s="30"/>
      <c r="SHY617" s="30"/>
      <c r="SHZ617" s="30"/>
      <c r="SIA617" s="30"/>
      <c r="SIB617" s="30"/>
      <c r="SIC617" s="30"/>
      <c r="SID617" s="30"/>
      <c r="SIE617" s="30"/>
      <c r="SIF617" s="30"/>
      <c r="SIG617" s="30"/>
      <c r="SIH617" s="30"/>
      <c r="SII617" s="30"/>
      <c r="SIJ617" s="30"/>
      <c r="SIK617" s="30"/>
      <c r="SIL617" s="30"/>
      <c r="SIM617" s="30"/>
      <c r="SIN617" s="30"/>
      <c r="SIO617" s="30"/>
      <c r="SIP617" s="30"/>
      <c r="SIQ617" s="30"/>
      <c r="SIR617" s="30"/>
      <c r="SIS617" s="30"/>
      <c r="SIT617" s="30"/>
      <c r="SIU617" s="30"/>
      <c r="SIV617" s="30"/>
      <c r="SIW617" s="30"/>
      <c r="SIX617" s="30"/>
      <c r="SIY617" s="30"/>
      <c r="SIZ617" s="30"/>
      <c r="SJA617" s="30"/>
      <c r="SJB617" s="30"/>
      <c r="SJC617" s="30"/>
      <c r="SJD617" s="30"/>
      <c r="SJE617" s="30"/>
      <c r="SJF617" s="30"/>
      <c r="SJG617" s="30"/>
      <c r="SJH617" s="30"/>
      <c r="SJI617" s="30"/>
      <c r="SJJ617" s="30"/>
      <c r="SJK617" s="30"/>
      <c r="SJL617" s="30"/>
      <c r="SJM617" s="30"/>
      <c r="SJN617" s="30"/>
      <c r="SJO617" s="30"/>
      <c r="SJP617" s="30"/>
      <c r="SJQ617" s="30"/>
      <c r="SJR617" s="30"/>
      <c r="SJS617" s="30"/>
      <c r="SJT617" s="30"/>
      <c r="SJU617" s="30"/>
      <c r="SJV617" s="30"/>
      <c r="SJW617" s="30"/>
      <c r="SJX617" s="30"/>
      <c r="SJY617" s="30"/>
      <c r="SJZ617" s="30"/>
      <c r="SKA617" s="30"/>
      <c r="SKB617" s="30"/>
      <c r="SKC617" s="30"/>
      <c r="SKD617" s="30"/>
      <c r="SKE617" s="30"/>
      <c r="SKF617" s="30"/>
      <c r="SKG617" s="30"/>
      <c r="SKH617" s="30"/>
      <c r="SKI617" s="30"/>
      <c r="SKJ617" s="30"/>
      <c r="SKK617" s="30"/>
      <c r="SKL617" s="30"/>
      <c r="SKM617" s="30"/>
      <c r="SKN617" s="30"/>
      <c r="SKO617" s="30"/>
      <c r="SKP617" s="30"/>
      <c r="SKQ617" s="30"/>
      <c r="SKR617" s="30"/>
      <c r="SKS617" s="30"/>
      <c r="SKT617" s="30"/>
      <c r="SKU617" s="30"/>
      <c r="SKV617" s="30"/>
      <c r="SKW617" s="30"/>
      <c r="SKX617" s="30"/>
      <c r="SKY617" s="30"/>
      <c r="SKZ617" s="30"/>
      <c r="SLA617" s="30"/>
      <c r="SLB617" s="30"/>
      <c r="SLC617" s="30"/>
      <c r="SLD617" s="30"/>
      <c r="SLE617" s="30"/>
      <c r="SLF617" s="30"/>
      <c r="SLG617" s="30"/>
      <c r="SLH617" s="30"/>
      <c r="SLI617" s="30"/>
      <c r="SLJ617" s="30"/>
      <c r="SLK617" s="30"/>
      <c r="SLL617" s="30"/>
      <c r="SLM617" s="30"/>
      <c r="SLN617" s="30"/>
      <c r="SLO617" s="30"/>
      <c r="SLP617" s="30"/>
      <c r="SLQ617" s="30"/>
      <c r="SLR617" s="30"/>
      <c r="SLS617" s="30"/>
      <c r="SLT617" s="30"/>
      <c r="SLU617" s="30"/>
      <c r="SLV617" s="30"/>
      <c r="SLW617" s="30"/>
      <c r="SLX617" s="30"/>
      <c r="SLY617" s="30"/>
      <c r="SLZ617" s="30"/>
      <c r="SMA617" s="30"/>
      <c r="SMB617" s="30"/>
      <c r="SMC617" s="30"/>
      <c r="SMD617" s="30"/>
      <c r="SME617" s="30"/>
      <c r="SMF617" s="30"/>
      <c r="SMG617" s="30"/>
      <c r="SMH617" s="30"/>
      <c r="SMI617" s="30"/>
      <c r="SMJ617" s="30"/>
      <c r="SMK617" s="30"/>
      <c r="SML617" s="30"/>
      <c r="SMM617" s="30"/>
      <c r="SMN617" s="30"/>
      <c r="SMO617" s="30"/>
      <c r="SMP617" s="30"/>
      <c r="SMQ617" s="30"/>
      <c r="SMR617" s="30"/>
      <c r="SMS617" s="30"/>
      <c r="SMT617" s="30"/>
      <c r="SMU617" s="30"/>
      <c r="SMV617" s="30"/>
      <c r="SMW617" s="30"/>
      <c r="SMX617" s="30"/>
      <c r="SMY617" s="30"/>
      <c r="SMZ617" s="30"/>
      <c r="SNA617" s="30"/>
      <c r="SNB617" s="30"/>
      <c r="SNC617" s="30"/>
      <c r="SND617" s="30"/>
      <c r="SNE617" s="30"/>
      <c r="SNF617" s="30"/>
      <c r="SNG617" s="30"/>
      <c r="SNH617" s="30"/>
      <c r="SNI617" s="30"/>
      <c r="SNJ617" s="30"/>
      <c r="SNK617" s="30"/>
      <c r="SNL617" s="30"/>
      <c r="SNM617" s="30"/>
      <c r="SNN617" s="30"/>
      <c r="SNO617" s="30"/>
      <c r="SNP617" s="30"/>
      <c r="SNQ617" s="30"/>
      <c r="SNR617" s="30"/>
      <c r="SNS617" s="30"/>
      <c r="SNT617" s="30"/>
      <c r="SNU617" s="30"/>
      <c r="SNV617" s="30"/>
      <c r="SNW617" s="30"/>
      <c r="SNX617" s="30"/>
      <c r="SNY617" s="30"/>
      <c r="SNZ617" s="30"/>
      <c r="SOA617" s="30"/>
      <c r="SOB617" s="30"/>
      <c r="SOC617" s="30"/>
      <c r="SOD617" s="30"/>
      <c r="SOE617" s="30"/>
      <c r="SOF617" s="30"/>
      <c r="SOG617" s="30"/>
      <c r="SOH617" s="30"/>
      <c r="SOI617" s="30"/>
      <c r="SOJ617" s="30"/>
      <c r="SOK617" s="30"/>
      <c r="SOL617" s="30"/>
      <c r="SOM617" s="30"/>
      <c r="SON617" s="30"/>
      <c r="SOO617" s="30"/>
      <c r="SOP617" s="30"/>
      <c r="SOQ617" s="30"/>
      <c r="SOR617" s="30"/>
      <c r="SOS617" s="30"/>
      <c r="SOT617" s="30"/>
      <c r="SOU617" s="30"/>
      <c r="SOV617" s="30"/>
      <c r="SOW617" s="30"/>
      <c r="SOX617" s="30"/>
      <c r="SOY617" s="30"/>
      <c r="SOZ617" s="30"/>
      <c r="SPA617" s="30"/>
      <c r="SPB617" s="30"/>
      <c r="SPC617" s="30"/>
      <c r="SPD617" s="30"/>
      <c r="SPE617" s="30"/>
      <c r="SPF617" s="30"/>
      <c r="SPG617" s="30"/>
      <c r="SPH617" s="30"/>
      <c r="SPI617" s="30"/>
      <c r="SPJ617" s="30"/>
      <c r="SPK617" s="30"/>
      <c r="SPL617" s="30"/>
      <c r="SPM617" s="30"/>
      <c r="SPN617" s="30"/>
      <c r="SPO617" s="30"/>
      <c r="SPP617" s="30"/>
      <c r="SPQ617" s="30"/>
      <c r="SPR617" s="30"/>
      <c r="SPS617" s="30"/>
      <c r="SPT617" s="30"/>
      <c r="SPU617" s="30"/>
      <c r="SPV617" s="30"/>
      <c r="SPW617" s="30"/>
      <c r="SPX617" s="30"/>
      <c r="SPY617" s="30"/>
      <c r="SPZ617" s="30"/>
      <c r="SQA617" s="30"/>
      <c r="SQB617" s="30"/>
      <c r="SQC617" s="30"/>
      <c r="SQD617" s="30"/>
      <c r="SQE617" s="30"/>
      <c r="SQF617" s="30"/>
      <c r="SQG617" s="30"/>
      <c r="SQH617" s="30"/>
      <c r="SQI617" s="30"/>
      <c r="SQJ617" s="30"/>
      <c r="SQK617" s="30"/>
      <c r="SQL617" s="30"/>
      <c r="SQM617" s="30"/>
      <c r="SQN617" s="30"/>
      <c r="SQO617" s="30"/>
      <c r="SQP617" s="30"/>
      <c r="SQQ617" s="30"/>
      <c r="SQR617" s="30"/>
      <c r="SQS617" s="30"/>
      <c r="SQT617" s="30"/>
      <c r="SQU617" s="30"/>
      <c r="SQV617" s="30"/>
      <c r="SQW617" s="30"/>
      <c r="SQX617" s="30"/>
      <c r="SQY617" s="30"/>
      <c r="SQZ617" s="30"/>
      <c r="SRA617" s="30"/>
      <c r="SRB617" s="30"/>
      <c r="SRC617" s="30"/>
      <c r="SRD617" s="30"/>
      <c r="SRE617" s="30"/>
      <c r="SRF617" s="30"/>
      <c r="SRG617" s="30"/>
      <c r="SRH617" s="30"/>
      <c r="SRI617" s="30"/>
      <c r="SRJ617" s="30"/>
      <c r="SRK617" s="30"/>
      <c r="SRL617" s="30"/>
      <c r="SRM617" s="30"/>
      <c r="SRN617" s="30"/>
      <c r="SRO617" s="30"/>
      <c r="SRP617" s="30"/>
      <c r="SRQ617" s="30"/>
      <c r="SRR617" s="30"/>
      <c r="SRS617" s="30"/>
      <c r="SRT617" s="30"/>
      <c r="SRU617" s="30"/>
      <c r="SRV617" s="30"/>
      <c r="SRW617" s="30"/>
      <c r="SRX617" s="30"/>
      <c r="SRY617" s="30"/>
      <c r="SRZ617" s="30"/>
      <c r="SSA617" s="30"/>
      <c r="SSB617" s="30"/>
      <c r="SSC617" s="30"/>
      <c r="SSD617" s="30"/>
      <c r="SSE617" s="30"/>
      <c r="SSF617" s="30"/>
      <c r="SSG617" s="30"/>
      <c r="SSH617" s="30"/>
      <c r="SSI617" s="30"/>
      <c r="SSJ617" s="30"/>
      <c r="SSK617" s="30"/>
      <c r="SSL617" s="30"/>
      <c r="SSM617" s="30"/>
      <c r="SSN617" s="30"/>
      <c r="SSO617" s="30"/>
      <c r="SSP617" s="30"/>
      <c r="SSQ617" s="30"/>
      <c r="SSR617" s="30"/>
      <c r="SSS617" s="30"/>
      <c r="SST617" s="30"/>
      <c r="SSU617" s="30"/>
      <c r="SSV617" s="30"/>
      <c r="SSW617" s="30"/>
      <c r="SSX617" s="30"/>
      <c r="SSY617" s="30"/>
      <c r="SSZ617" s="30"/>
      <c r="STA617" s="30"/>
      <c r="STB617" s="30"/>
      <c r="STC617" s="30"/>
      <c r="STD617" s="30"/>
      <c r="STE617" s="30"/>
      <c r="STF617" s="30"/>
      <c r="STG617" s="30"/>
      <c r="STH617" s="30"/>
      <c r="STI617" s="30"/>
      <c r="STJ617" s="30"/>
      <c r="STK617" s="30"/>
      <c r="STL617" s="30"/>
      <c r="STM617" s="30"/>
      <c r="STN617" s="30"/>
      <c r="STO617" s="30"/>
      <c r="STP617" s="30"/>
      <c r="STQ617" s="30"/>
      <c r="STR617" s="30"/>
      <c r="STS617" s="30"/>
      <c r="STT617" s="30"/>
      <c r="STU617" s="30"/>
      <c r="STV617" s="30"/>
      <c r="STW617" s="30"/>
      <c r="STX617" s="30"/>
      <c r="STY617" s="30"/>
      <c r="STZ617" s="30"/>
      <c r="SUA617" s="30"/>
      <c r="SUB617" s="30"/>
      <c r="SUC617" s="30"/>
      <c r="SUD617" s="30"/>
      <c r="SUE617" s="30"/>
      <c r="SUF617" s="30"/>
      <c r="SUG617" s="30"/>
      <c r="SUH617" s="30"/>
      <c r="SUI617" s="30"/>
      <c r="SUJ617" s="30"/>
      <c r="SUK617" s="30"/>
      <c r="SUL617" s="30"/>
      <c r="SUM617" s="30"/>
      <c r="SUN617" s="30"/>
      <c r="SUO617" s="30"/>
      <c r="SUP617" s="30"/>
      <c r="SUQ617" s="30"/>
      <c r="SUR617" s="30"/>
      <c r="SUS617" s="30"/>
      <c r="SUT617" s="30"/>
      <c r="SUU617" s="30"/>
      <c r="SUV617" s="30"/>
      <c r="SUW617" s="30"/>
      <c r="SUX617" s="30"/>
      <c r="SUY617" s="30"/>
      <c r="SUZ617" s="30"/>
      <c r="SVA617" s="30"/>
      <c r="SVB617" s="30"/>
      <c r="SVC617" s="30"/>
      <c r="SVD617" s="30"/>
      <c r="SVE617" s="30"/>
      <c r="SVF617" s="30"/>
      <c r="SVG617" s="30"/>
      <c r="SVH617" s="30"/>
      <c r="SVI617" s="30"/>
      <c r="SVJ617" s="30"/>
      <c r="SVK617" s="30"/>
      <c r="SVL617" s="30"/>
      <c r="SVM617" s="30"/>
      <c r="SVN617" s="30"/>
      <c r="SVO617" s="30"/>
      <c r="SVP617" s="30"/>
      <c r="SVQ617" s="30"/>
      <c r="SVR617" s="30"/>
      <c r="SVS617" s="30"/>
      <c r="SVT617" s="30"/>
      <c r="SVU617" s="30"/>
      <c r="SVV617" s="30"/>
      <c r="SVW617" s="30"/>
      <c r="SVX617" s="30"/>
      <c r="SVY617" s="30"/>
      <c r="SVZ617" s="30"/>
      <c r="SWA617" s="30"/>
      <c r="SWB617" s="30"/>
      <c r="SWC617" s="30"/>
      <c r="SWD617" s="30"/>
      <c r="SWE617" s="30"/>
      <c r="SWF617" s="30"/>
      <c r="SWG617" s="30"/>
      <c r="SWH617" s="30"/>
      <c r="SWI617" s="30"/>
      <c r="SWJ617" s="30"/>
      <c r="SWK617" s="30"/>
      <c r="SWL617" s="30"/>
      <c r="SWM617" s="30"/>
      <c r="SWN617" s="30"/>
      <c r="SWO617" s="30"/>
      <c r="SWP617" s="30"/>
      <c r="SWQ617" s="30"/>
      <c r="SWR617" s="30"/>
      <c r="SWS617" s="30"/>
      <c r="SWT617" s="30"/>
      <c r="SWU617" s="30"/>
      <c r="SWV617" s="30"/>
      <c r="SWW617" s="30"/>
      <c r="SWX617" s="30"/>
      <c r="SWY617" s="30"/>
      <c r="SWZ617" s="30"/>
      <c r="SXA617" s="30"/>
      <c r="SXB617" s="30"/>
      <c r="SXC617" s="30"/>
      <c r="SXD617" s="30"/>
      <c r="SXE617" s="30"/>
      <c r="SXF617" s="30"/>
      <c r="SXG617" s="30"/>
      <c r="SXH617" s="30"/>
      <c r="SXI617" s="30"/>
      <c r="SXJ617" s="30"/>
      <c r="SXK617" s="30"/>
      <c r="SXL617" s="30"/>
      <c r="SXM617" s="30"/>
      <c r="SXN617" s="30"/>
      <c r="SXO617" s="30"/>
      <c r="SXP617" s="30"/>
      <c r="SXQ617" s="30"/>
      <c r="SXR617" s="30"/>
      <c r="SXS617" s="30"/>
      <c r="SXT617" s="30"/>
      <c r="SXU617" s="30"/>
      <c r="SXV617" s="30"/>
      <c r="SXW617" s="30"/>
      <c r="SXX617" s="30"/>
      <c r="SXY617" s="30"/>
      <c r="SXZ617" s="30"/>
      <c r="SYA617" s="30"/>
      <c r="SYB617" s="30"/>
      <c r="SYC617" s="30"/>
      <c r="SYD617" s="30"/>
      <c r="SYE617" s="30"/>
      <c r="SYF617" s="30"/>
      <c r="SYG617" s="30"/>
      <c r="SYH617" s="30"/>
      <c r="SYI617" s="30"/>
      <c r="SYJ617" s="30"/>
      <c r="SYK617" s="30"/>
      <c r="SYL617" s="30"/>
      <c r="SYM617" s="30"/>
      <c r="SYN617" s="30"/>
      <c r="SYO617" s="30"/>
      <c r="SYP617" s="30"/>
      <c r="SYQ617" s="30"/>
      <c r="SYR617" s="30"/>
      <c r="SYS617" s="30"/>
      <c r="SYT617" s="30"/>
      <c r="SYU617" s="30"/>
      <c r="SYV617" s="30"/>
      <c r="SYW617" s="30"/>
      <c r="SYX617" s="30"/>
      <c r="SYY617" s="30"/>
      <c r="SYZ617" s="30"/>
      <c r="SZA617" s="30"/>
      <c r="SZB617" s="30"/>
      <c r="SZC617" s="30"/>
      <c r="SZD617" s="30"/>
      <c r="SZE617" s="30"/>
      <c r="SZF617" s="30"/>
      <c r="SZG617" s="30"/>
      <c r="SZH617" s="30"/>
      <c r="SZI617" s="30"/>
      <c r="SZJ617" s="30"/>
      <c r="SZK617" s="30"/>
      <c r="SZL617" s="30"/>
      <c r="SZM617" s="30"/>
      <c r="SZN617" s="30"/>
      <c r="SZO617" s="30"/>
      <c r="SZP617" s="30"/>
      <c r="SZQ617" s="30"/>
      <c r="SZR617" s="30"/>
      <c r="SZS617" s="30"/>
      <c r="SZT617" s="30"/>
      <c r="SZU617" s="30"/>
      <c r="SZV617" s="30"/>
      <c r="SZW617" s="30"/>
      <c r="SZX617" s="30"/>
      <c r="SZY617" s="30"/>
      <c r="SZZ617" s="30"/>
      <c r="TAA617" s="30"/>
      <c r="TAB617" s="30"/>
      <c r="TAC617" s="30"/>
      <c r="TAD617" s="30"/>
      <c r="TAE617" s="30"/>
      <c r="TAF617" s="30"/>
      <c r="TAG617" s="30"/>
      <c r="TAH617" s="30"/>
      <c r="TAI617" s="30"/>
      <c r="TAJ617" s="30"/>
      <c r="TAK617" s="30"/>
      <c r="TAL617" s="30"/>
      <c r="TAM617" s="30"/>
      <c r="TAN617" s="30"/>
      <c r="TAO617" s="30"/>
      <c r="TAP617" s="30"/>
      <c r="TAQ617" s="30"/>
      <c r="TAR617" s="30"/>
      <c r="TAS617" s="30"/>
      <c r="TAT617" s="30"/>
      <c r="TAU617" s="30"/>
      <c r="TAV617" s="30"/>
      <c r="TAW617" s="30"/>
      <c r="TAX617" s="30"/>
      <c r="TAY617" s="30"/>
      <c r="TAZ617" s="30"/>
      <c r="TBA617" s="30"/>
      <c r="TBB617" s="30"/>
      <c r="TBC617" s="30"/>
      <c r="TBD617" s="30"/>
      <c r="TBE617" s="30"/>
      <c r="TBF617" s="30"/>
      <c r="TBG617" s="30"/>
      <c r="TBH617" s="30"/>
      <c r="TBI617" s="30"/>
      <c r="TBJ617" s="30"/>
      <c r="TBK617" s="30"/>
      <c r="TBL617" s="30"/>
      <c r="TBM617" s="30"/>
      <c r="TBN617" s="30"/>
      <c r="TBO617" s="30"/>
      <c r="TBP617" s="30"/>
      <c r="TBQ617" s="30"/>
      <c r="TBR617" s="30"/>
      <c r="TBS617" s="30"/>
      <c r="TBT617" s="30"/>
      <c r="TBU617" s="30"/>
      <c r="TBV617" s="30"/>
      <c r="TBW617" s="30"/>
      <c r="TBX617" s="30"/>
      <c r="TBY617" s="30"/>
      <c r="TBZ617" s="30"/>
      <c r="TCA617" s="30"/>
      <c r="TCB617" s="30"/>
      <c r="TCC617" s="30"/>
      <c r="TCD617" s="30"/>
      <c r="TCE617" s="30"/>
      <c r="TCF617" s="30"/>
      <c r="TCG617" s="30"/>
      <c r="TCH617" s="30"/>
      <c r="TCI617" s="30"/>
      <c r="TCJ617" s="30"/>
      <c r="TCK617" s="30"/>
      <c r="TCL617" s="30"/>
      <c r="TCM617" s="30"/>
      <c r="TCN617" s="30"/>
      <c r="TCO617" s="30"/>
      <c r="TCP617" s="30"/>
      <c r="TCQ617" s="30"/>
      <c r="TCR617" s="30"/>
      <c r="TCS617" s="30"/>
      <c r="TCT617" s="30"/>
      <c r="TCU617" s="30"/>
      <c r="TCV617" s="30"/>
      <c r="TCW617" s="30"/>
      <c r="TCX617" s="30"/>
      <c r="TCY617" s="30"/>
      <c r="TCZ617" s="30"/>
      <c r="TDA617" s="30"/>
      <c r="TDB617" s="30"/>
      <c r="TDC617" s="30"/>
      <c r="TDD617" s="30"/>
      <c r="TDE617" s="30"/>
      <c r="TDF617" s="30"/>
      <c r="TDG617" s="30"/>
      <c r="TDH617" s="30"/>
      <c r="TDI617" s="30"/>
      <c r="TDJ617" s="30"/>
      <c r="TDK617" s="30"/>
      <c r="TDL617" s="30"/>
      <c r="TDM617" s="30"/>
      <c r="TDN617" s="30"/>
      <c r="TDO617" s="30"/>
      <c r="TDP617" s="30"/>
      <c r="TDQ617" s="30"/>
      <c r="TDR617" s="30"/>
      <c r="TDS617" s="30"/>
      <c r="TDT617" s="30"/>
      <c r="TDU617" s="30"/>
      <c r="TDV617" s="30"/>
      <c r="TDW617" s="30"/>
      <c r="TDX617" s="30"/>
      <c r="TDY617" s="30"/>
      <c r="TDZ617" s="30"/>
      <c r="TEA617" s="30"/>
      <c r="TEB617" s="30"/>
      <c r="TEC617" s="30"/>
      <c r="TED617" s="30"/>
      <c r="TEE617" s="30"/>
      <c r="TEF617" s="30"/>
      <c r="TEG617" s="30"/>
      <c r="TEH617" s="30"/>
      <c r="TEI617" s="30"/>
      <c r="TEJ617" s="30"/>
      <c r="TEK617" s="30"/>
      <c r="TEL617" s="30"/>
      <c r="TEM617" s="30"/>
      <c r="TEN617" s="30"/>
      <c r="TEO617" s="30"/>
      <c r="TEP617" s="30"/>
      <c r="TEQ617" s="30"/>
      <c r="TER617" s="30"/>
      <c r="TES617" s="30"/>
      <c r="TET617" s="30"/>
      <c r="TEU617" s="30"/>
      <c r="TEV617" s="30"/>
      <c r="TEW617" s="30"/>
      <c r="TEX617" s="30"/>
      <c r="TEY617" s="30"/>
      <c r="TEZ617" s="30"/>
      <c r="TFA617" s="30"/>
      <c r="TFB617" s="30"/>
      <c r="TFC617" s="30"/>
      <c r="TFD617" s="30"/>
      <c r="TFE617" s="30"/>
      <c r="TFF617" s="30"/>
      <c r="TFG617" s="30"/>
      <c r="TFH617" s="30"/>
      <c r="TFI617" s="30"/>
      <c r="TFJ617" s="30"/>
      <c r="TFK617" s="30"/>
      <c r="TFL617" s="30"/>
      <c r="TFM617" s="30"/>
      <c r="TFN617" s="30"/>
      <c r="TFO617" s="30"/>
      <c r="TFP617" s="30"/>
      <c r="TFQ617" s="30"/>
      <c r="TFR617" s="30"/>
      <c r="TFS617" s="30"/>
      <c r="TFT617" s="30"/>
      <c r="TFU617" s="30"/>
      <c r="TFV617" s="30"/>
      <c r="TFW617" s="30"/>
      <c r="TFX617" s="30"/>
      <c r="TFY617" s="30"/>
      <c r="TFZ617" s="30"/>
      <c r="TGA617" s="30"/>
      <c r="TGB617" s="30"/>
      <c r="TGC617" s="30"/>
      <c r="TGD617" s="30"/>
      <c r="TGE617" s="30"/>
      <c r="TGF617" s="30"/>
      <c r="TGG617" s="30"/>
      <c r="TGH617" s="30"/>
      <c r="TGI617" s="30"/>
      <c r="TGJ617" s="30"/>
      <c r="TGK617" s="30"/>
      <c r="TGL617" s="30"/>
      <c r="TGM617" s="30"/>
      <c r="TGN617" s="30"/>
      <c r="TGO617" s="30"/>
      <c r="TGP617" s="30"/>
      <c r="TGQ617" s="30"/>
      <c r="TGR617" s="30"/>
      <c r="TGS617" s="30"/>
      <c r="TGT617" s="30"/>
      <c r="TGU617" s="30"/>
      <c r="TGV617" s="30"/>
      <c r="TGW617" s="30"/>
      <c r="TGX617" s="30"/>
      <c r="TGY617" s="30"/>
      <c r="TGZ617" s="30"/>
      <c r="THA617" s="30"/>
      <c r="THB617" s="30"/>
      <c r="THC617" s="30"/>
      <c r="THD617" s="30"/>
      <c r="THE617" s="30"/>
      <c r="THF617" s="30"/>
      <c r="THG617" s="30"/>
      <c r="THH617" s="30"/>
      <c r="THI617" s="30"/>
      <c r="THJ617" s="30"/>
      <c r="THK617" s="30"/>
      <c r="THL617" s="30"/>
      <c r="THM617" s="30"/>
      <c r="THN617" s="30"/>
      <c r="THO617" s="30"/>
      <c r="THP617" s="30"/>
      <c r="THQ617" s="30"/>
      <c r="THR617" s="30"/>
      <c r="THS617" s="30"/>
      <c r="THT617" s="30"/>
      <c r="THU617" s="30"/>
      <c r="THV617" s="30"/>
      <c r="THW617" s="30"/>
      <c r="THX617" s="30"/>
      <c r="THY617" s="30"/>
      <c r="THZ617" s="30"/>
      <c r="TIA617" s="30"/>
      <c r="TIB617" s="30"/>
      <c r="TIC617" s="30"/>
      <c r="TID617" s="30"/>
      <c r="TIE617" s="30"/>
      <c r="TIF617" s="30"/>
      <c r="TIG617" s="30"/>
      <c r="TIH617" s="30"/>
      <c r="TII617" s="30"/>
      <c r="TIJ617" s="30"/>
      <c r="TIK617" s="30"/>
      <c r="TIL617" s="30"/>
      <c r="TIM617" s="30"/>
      <c r="TIN617" s="30"/>
      <c r="TIO617" s="30"/>
      <c r="TIP617" s="30"/>
      <c r="TIQ617" s="30"/>
      <c r="TIR617" s="30"/>
      <c r="TIS617" s="30"/>
      <c r="TIT617" s="30"/>
      <c r="TIU617" s="30"/>
      <c r="TIV617" s="30"/>
      <c r="TIW617" s="30"/>
      <c r="TIX617" s="30"/>
      <c r="TIY617" s="30"/>
      <c r="TIZ617" s="30"/>
      <c r="TJA617" s="30"/>
      <c r="TJB617" s="30"/>
      <c r="TJC617" s="30"/>
      <c r="TJD617" s="30"/>
      <c r="TJE617" s="30"/>
      <c r="TJF617" s="30"/>
      <c r="TJG617" s="30"/>
      <c r="TJH617" s="30"/>
      <c r="TJI617" s="30"/>
      <c r="TJJ617" s="30"/>
      <c r="TJK617" s="30"/>
      <c r="TJL617" s="30"/>
      <c r="TJM617" s="30"/>
      <c r="TJN617" s="30"/>
      <c r="TJO617" s="30"/>
      <c r="TJP617" s="30"/>
      <c r="TJQ617" s="30"/>
      <c r="TJR617" s="30"/>
      <c r="TJS617" s="30"/>
      <c r="TJT617" s="30"/>
      <c r="TJU617" s="30"/>
      <c r="TJV617" s="30"/>
      <c r="TJW617" s="30"/>
      <c r="TJX617" s="30"/>
      <c r="TJY617" s="30"/>
      <c r="TJZ617" s="30"/>
      <c r="TKA617" s="30"/>
      <c r="TKB617" s="30"/>
      <c r="TKC617" s="30"/>
      <c r="TKD617" s="30"/>
      <c r="TKE617" s="30"/>
      <c r="TKF617" s="30"/>
      <c r="TKG617" s="30"/>
      <c r="TKH617" s="30"/>
      <c r="TKI617" s="30"/>
      <c r="TKJ617" s="30"/>
      <c r="TKK617" s="30"/>
      <c r="TKL617" s="30"/>
      <c r="TKM617" s="30"/>
      <c r="TKN617" s="30"/>
      <c r="TKO617" s="30"/>
      <c r="TKP617" s="30"/>
      <c r="TKQ617" s="30"/>
      <c r="TKR617" s="30"/>
      <c r="TKS617" s="30"/>
      <c r="TKT617" s="30"/>
      <c r="TKU617" s="30"/>
      <c r="TKV617" s="30"/>
      <c r="TKW617" s="30"/>
      <c r="TKX617" s="30"/>
      <c r="TKY617" s="30"/>
      <c r="TKZ617" s="30"/>
      <c r="TLA617" s="30"/>
      <c r="TLB617" s="30"/>
      <c r="TLC617" s="30"/>
      <c r="TLD617" s="30"/>
      <c r="TLE617" s="30"/>
      <c r="TLF617" s="30"/>
      <c r="TLG617" s="30"/>
      <c r="TLH617" s="30"/>
      <c r="TLI617" s="30"/>
      <c r="TLJ617" s="30"/>
      <c r="TLK617" s="30"/>
      <c r="TLL617" s="30"/>
      <c r="TLM617" s="30"/>
      <c r="TLN617" s="30"/>
      <c r="TLO617" s="30"/>
      <c r="TLP617" s="30"/>
      <c r="TLQ617" s="30"/>
      <c r="TLR617" s="30"/>
      <c r="TLS617" s="30"/>
      <c r="TLT617" s="30"/>
      <c r="TLU617" s="30"/>
      <c r="TLV617" s="30"/>
      <c r="TLW617" s="30"/>
      <c r="TLX617" s="30"/>
      <c r="TLY617" s="30"/>
      <c r="TLZ617" s="30"/>
      <c r="TMA617" s="30"/>
      <c r="TMB617" s="30"/>
      <c r="TMC617" s="30"/>
      <c r="TMD617" s="30"/>
      <c r="TME617" s="30"/>
      <c r="TMF617" s="30"/>
      <c r="TMG617" s="30"/>
      <c r="TMH617" s="30"/>
      <c r="TMI617" s="30"/>
      <c r="TMJ617" s="30"/>
      <c r="TMK617" s="30"/>
      <c r="TML617" s="30"/>
      <c r="TMM617" s="30"/>
      <c r="TMN617" s="30"/>
      <c r="TMO617" s="30"/>
      <c r="TMP617" s="30"/>
      <c r="TMQ617" s="30"/>
      <c r="TMR617" s="30"/>
      <c r="TMS617" s="30"/>
      <c r="TMT617" s="30"/>
      <c r="TMU617" s="30"/>
      <c r="TMV617" s="30"/>
      <c r="TMW617" s="30"/>
      <c r="TMX617" s="30"/>
      <c r="TMY617" s="30"/>
      <c r="TMZ617" s="30"/>
      <c r="TNA617" s="30"/>
      <c r="TNB617" s="30"/>
      <c r="TNC617" s="30"/>
      <c r="TND617" s="30"/>
      <c r="TNE617" s="30"/>
      <c r="TNF617" s="30"/>
      <c r="TNG617" s="30"/>
      <c r="TNH617" s="30"/>
      <c r="TNI617" s="30"/>
      <c r="TNJ617" s="30"/>
      <c r="TNK617" s="30"/>
      <c r="TNL617" s="30"/>
      <c r="TNM617" s="30"/>
      <c r="TNN617" s="30"/>
      <c r="TNO617" s="30"/>
      <c r="TNP617" s="30"/>
      <c r="TNQ617" s="30"/>
      <c r="TNR617" s="30"/>
      <c r="TNS617" s="30"/>
      <c r="TNT617" s="30"/>
      <c r="TNU617" s="30"/>
      <c r="TNV617" s="30"/>
      <c r="TNW617" s="30"/>
      <c r="TNX617" s="30"/>
      <c r="TNY617" s="30"/>
      <c r="TNZ617" s="30"/>
      <c r="TOA617" s="30"/>
      <c r="TOB617" s="30"/>
      <c r="TOC617" s="30"/>
      <c r="TOD617" s="30"/>
      <c r="TOE617" s="30"/>
      <c r="TOF617" s="30"/>
      <c r="TOG617" s="30"/>
      <c r="TOH617" s="30"/>
      <c r="TOI617" s="30"/>
      <c r="TOJ617" s="30"/>
      <c r="TOK617" s="30"/>
      <c r="TOL617" s="30"/>
      <c r="TOM617" s="30"/>
      <c r="TON617" s="30"/>
      <c r="TOO617" s="30"/>
      <c r="TOP617" s="30"/>
      <c r="TOQ617" s="30"/>
      <c r="TOR617" s="30"/>
      <c r="TOS617" s="30"/>
      <c r="TOT617" s="30"/>
      <c r="TOU617" s="30"/>
      <c r="TOV617" s="30"/>
      <c r="TOW617" s="30"/>
      <c r="TOX617" s="30"/>
      <c r="TOY617" s="30"/>
      <c r="TOZ617" s="30"/>
      <c r="TPA617" s="30"/>
      <c r="TPB617" s="30"/>
      <c r="TPC617" s="30"/>
      <c r="TPD617" s="30"/>
      <c r="TPE617" s="30"/>
      <c r="TPF617" s="30"/>
      <c r="TPG617" s="30"/>
      <c r="TPH617" s="30"/>
      <c r="TPI617" s="30"/>
      <c r="TPJ617" s="30"/>
      <c r="TPK617" s="30"/>
      <c r="TPL617" s="30"/>
      <c r="TPM617" s="30"/>
      <c r="TPN617" s="30"/>
      <c r="TPO617" s="30"/>
      <c r="TPP617" s="30"/>
      <c r="TPQ617" s="30"/>
      <c r="TPR617" s="30"/>
      <c r="TPS617" s="30"/>
      <c r="TPT617" s="30"/>
      <c r="TPU617" s="30"/>
      <c r="TPV617" s="30"/>
      <c r="TPW617" s="30"/>
      <c r="TPX617" s="30"/>
      <c r="TPY617" s="30"/>
      <c r="TPZ617" s="30"/>
      <c r="TQA617" s="30"/>
      <c r="TQB617" s="30"/>
      <c r="TQC617" s="30"/>
      <c r="TQD617" s="30"/>
      <c r="TQE617" s="30"/>
      <c r="TQF617" s="30"/>
      <c r="TQG617" s="30"/>
      <c r="TQH617" s="30"/>
      <c r="TQI617" s="30"/>
      <c r="TQJ617" s="30"/>
      <c r="TQK617" s="30"/>
      <c r="TQL617" s="30"/>
      <c r="TQM617" s="30"/>
      <c r="TQN617" s="30"/>
      <c r="TQO617" s="30"/>
      <c r="TQP617" s="30"/>
      <c r="TQQ617" s="30"/>
      <c r="TQR617" s="30"/>
      <c r="TQS617" s="30"/>
      <c r="TQT617" s="30"/>
      <c r="TQU617" s="30"/>
      <c r="TQV617" s="30"/>
      <c r="TQW617" s="30"/>
      <c r="TQX617" s="30"/>
      <c r="TQY617" s="30"/>
      <c r="TQZ617" s="30"/>
      <c r="TRA617" s="30"/>
      <c r="TRB617" s="30"/>
      <c r="TRC617" s="30"/>
      <c r="TRD617" s="30"/>
      <c r="TRE617" s="30"/>
      <c r="TRF617" s="30"/>
      <c r="TRG617" s="30"/>
      <c r="TRH617" s="30"/>
      <c r="TRI617" s="30"/>
      <c r="TRJ617" s="30"/>
      <c r="TRK617" s="30"/>
      <c r="TRL617" s="30"/>
      <c r="TRM617" s="30"/>
      <c r="TRN617" s="30"/>
      <c r="TRO617" s="30"/>
      <c r="TRP617" s="30"/>
      <c r="TRQ617" s="30"/>
      <c r="TRR617" s="30"/>
      <c r="TRS617" s="30"/>
      <c r="TRT617" s="30"/>
      <c r="TRU617" s="30"/>
      <c r="TRV617" s="30"/>
      <c r="TRW617" s="30"/>
      <c r="TRX617" s="30"/>
      <c r="TRY617" s="30"/>
      <c r="TRZ617" s="30"/>
      <c r="TSA617" s="30"/>
      <c r="TSB617" s="30"/>
      <c r="TSC617" s="30"/>
      <c r="TSD617" s="30"/>
      <c r="TSE617" s="30"/>
      <c r="TSF617" s="30"/>
      <c r="TSG617" s="30"/>
      <c r="TSH617" s="30"/>
      <c r="TSI617" s="30"/>
      <c r="TSJ617" s="30"/>
      <c r="TSK617" s="30"/>
      <c r="TSL617" s="30"/>
      <c r="TSM617" s="30"/>
      <c r="TSN617" s="30"/>
      <c r="TSO617" s="30"/>
      <c r="TSP617" s="30"/>
      <c r="TSQ617" s="30"/>
      <c r="TSR617" s="30"/>
      <c r="TSS617" s="30"/>
      <c r="TST617" s="30"/>
      <c r="TSU617" s="30"/>
      <c r="TSV617" s="30"/>
      <c r="TSW617" s="30"/>
      <c r="TSX617" s="30"/>
      <c r="TSY617" s="30"/>
      <c r="TSZ617" s="30"/>
      <c r="TTA617" s="30"/>
      <c r="TTB617" s="30"/>
      <c r="TTC617" s="30"/>
      <c r="TTD617" s="30"/>
      <c r="TTE617" s="30"/>
      <c r="TTF617" s="30"/>
      <c r="TTG617" s="30"/>
      <c r="TTH617" s="30"/>
      <c r="TTI617" s="30"/>
      <c r="TTJ617" s="30"/>
      <c r="TTK617" s="30"/>
      <c r="TTL617" s="30"/>
      <c r="TTM617" s="30"/>
      <c r="TTN617" s="30"/>
      <c r="TTO617" s="30"/>
      <c r="TTP617" s="30"/>
      <c r="TTQ617" s="30"/>
      <c r="TTR617" s="30"/>
      <c r="TTS617" s="30"/>
      <c r="TTT617" s="30"/>
      <c r="TTU617" s="30"/>
      <c r="TTV617" s="30"/>
      <c r="TTW617" s="30"/>
      <c r="TTX617" s="30"/>
      <c r="TTY617" s="30"/>
      <c r="TTZ617" s="30"/>
      <c r="TUA617" s="30"/>
      <c r="TUB617" s="30"/>
      <c r="TUC617" s="30"/>
      <c r="TUD617" s="30"/>
      <c r="TUE617" s="30"/>
      <c r="TUF617" s="30"/>
      <c r="TUG617" s="30"/>
      <c r="TUH617" s="30"/>
      <c r="TUI617" s="30"/>
      <c r="TUJ617" s="30"/>
      <c r="TUK617" s="30"/>
      <c r="TUL617" s="30"/>
      <c r="TUM617" s="30"/>
      <c r="TUN617" s="30"/>
      <c r="TUO617" s="30"/>
      <c r="TUP617" s="30"/>
      <c r="TUQ617" s="30"/>
      <c r="TUR617" s="30"/>
      <c r="TUS617" s="30"/>
      <c r="TUT617" s="30"/>
      <c r="TUU617" s="30"/>
      <c r="TUV617" s="30"/>
      <c r="TUW617" s="30"/>
      <c r="TUX617" s="30"/>
      <c r="TUY617" s="30"/>
      <c r="TUZ617" s="30"/>
      <c r="TVA617" s="30"/>
      <c r="TVB617" s="30"/>
      <c r="TVC617" s="30"/>
      <c r="TVD617" s="30"/>
      <c r="TVE617" s="30"/>
      <c r="TVF617" s="30"/>
      <c r="TVG617" s="30"/>
      <c r="TVH617" s="30"/>
      <c r="TVI617" s="30"/>
      <c r="TVJ617" s="30"/>
      <c r="TVK617" s="30"/>
      <c r="TVL617" s="30"/>
      <c r="TVM617" s="30"/>
      <c r="TVN617" s="30"/>
      <c r="TVO617" s="30"/>
      <c r="TVP617" s="30"/>
      <c r="TVQ617" s="30"/>
      <c r="TVR617" s="30"/>
      <c r="TVS617" s="30"/>
      <c r="TVT617" s="30"/>
      <c r="TVU617" s="30"/>
      <c r="TVV617" s="30"/>
      <c r="TVW617" s="30"/>
      <c r="TVX617" s="30"/>
      <c r="TVY617" s="30"/>
      <c r="TVZ617" s="30"/>
      <c r="TWA617" s="30"/>
      <c r="TWB617" s="30"/>
      <c r="TWC617" s="30"/>
      <c r="TWD617" s="30"/>
      <c r="TWE617" s="30"/>
      <c r="TWF617" s="30"/>
      <c r="TWG617" s="30"/>
      <c r="TWH617" s="30"/>
      <c r="TWI617" s="30"/>
      <c r="TWJ617" s="30"/>
      <c r="TWK617" s="30"/>
      <c r="TWL617" s="30"/>
      <c r="TWM617" s="30"/>
      <c r="TWN617" s="30"/>
      <c r="TWO617" s="30"/>
      <c r="TWP617" s="30"/>
      <c r="TWQ617" s="30"/>
      <c r="TWR617" s="30"/>
      <c r="TWS617" s="30"/>
      <c r="TWT617" s="30"/>
      <c r="TWU617" s="30"/>
      <c r="TWV617" s="30"/>
      <c r="TWW617" s="30"/>
      <c r="TWX617" s="30"/>
      <c r="TWY617" s="30"/>
      <c r="TWZ617" s="30"/>
      <c r="TXA617" s="30"/>
      <c r="TXB617" s="30"/>
      <c r="TXC617" s="30"/>
      <c r="TXD617" s="30"/>
      <c r="TXE617" s="30"/>
      <c r="TXF617" s="30"/>
      <c r="TXG617" s="30"/>
      <c r="TXH617" s="30"/>
      <c r="TXI617" s="30"/>
      <c r="TXJ617" s="30"/>
      <c r="TXK617" s="30"/>
      <c r="TXL617" s="30"/>
      <c r="TXM617" s="30"/>
      <c r="TXN617" s="30"/>
      <c r="TXO617" s="30"/>
      <c r="TXP617" s="30"/>
      <c r="TXQ617" s="30"/>
      <c r="TXR617" s="30"/>
      <c r="TXS617" s="30"/>
      <c r="TXT617" s="30"/>
      <c r="TXU617" s="30"/>
      <c r="TXV617" s="30"/>
      <c r="TXW617" s="30"/>
      <c r="TXX617" s="30"/>
      <c r="TXY617" s="30"/>
      <c r="TXZ617" s="30"/>
      <c r="TYA617" s="30"/>
      <c r="TYB617" s="30"/>
      <c r="TYC617" s="30"/>
      <c r="TYD617" s="30"/>
      <c r="TYE617" s="30"/>
      <c r="TYF617" s="30"/>
      <c r="TYG617" s="30"/>
      <c r="TYH617" s="30"/>
      <c r="TYI617" s="30"/>
      <c r="TYJ617" s="30"/>
      <c r="TYK617" s="30"/>
      <c r="TYL617" s="30"/>
      <c r="TYM617" s="30"/>
      <c r="TYN617" s="30"/>
      <c r="TYO617" s="30"/>
      <c r="TYP617" s="30"/>
      <c r="TYQ617" s="30"/>
      <c r="TYR617" s="30"/>
      <c r="TYS617" s="30"/>
      <c r="TYT617" s="30"/>
      <c r="TYU617" s="30"/>
      <c r="TYV617" s="30"/>
      <c r="TYW617" s="30"/>
      <c r="TYX617" s="30"/>
      <c r="TYY617" s="30"/>
      <c r="TYZ617" s="30"/>
      <c r="TZA617" s="30"/>
      <c r="TZB617" s="30"/>
      <c r="TZC617" s="30"/>
      <c r="TZD617" s="30"/>
      <c r="TZE617" s="30"/>
      <c r="TZF617" s="30"/>
      <c r="TZG617" s="30"/>
      <c r="TZH617" s="30"/>
      <c r="TZI617" s="30"/>
      <c r="TZJ617" s="30"/>
      <c r="TZK617" s="30"/>
      <c r="TZL617" s="30"/>
      <c r="TZM617" s="30"/>
      <c r="TZN617" s="30"/>
      <c r="TZO617" s="30"/>
      <c r="TZP617" s="30"/>
      <c r="TZQ617" s="30"/>
      <c r="TZR617" s="30"/>
      <c r="TZS617" s="30"/>
      <c r="TZT617" s="30"/>
      <c r="TZU617" s="30"/>
      <c r="TZV617" s="30"/>
      <c r="TZW617" s="30"/>
      <c r="TZX617" s="30"/>
      <c r="TZY617" s="30"/>
      <c r="TZZ617" s="30"/>
      <c r="UAA617" s="30"/>
      <c r="UAB617" s="30"/>
      <c r="UAC617" s="30"/>
      <c r="UAD617" s="30"/>
      <c r="UAE617" s="30"/>
      <c r="UAF617" s="30"/>
      <c r="UAG617" s="30"/>
      <c r="UAH617" s="30"/>
      <c r="UAI617" s="30"/>
      <c r="UAJ617" s="30"/>
      <c r="UAK617" s="30"/>
      <c r="UAL617" s="30"/>
      <c r="UAM617" s="30"/>
      <c r="UAN617" s="30"/>
      <c r="UAO617" s="30"/>
      <c r="UAP617" s="30"/>
      <c r="UAQ617" s="30"/>
      <c r="UAR617" s="30"/>
      <c r="UAS617" s="30"/>
      <c r="UAT617" s="30"/>
      <c r="UAU617" s="30"/>
      <c r="UAV617" s="30"/>
      <c r="UAW617" s="30"/>
      <c r="UAX617" s="30"/>
      <c r="UAY617" s="30"/>
      <c r="UAZ617" s="30"/>
      <c r="UBA617" s="30"/>
      <c r="UBB617" s="30"/>
      <c r="UBC617" s="30"/>
      <c r="UBD617" s="30"/>
      <c r="UBE617" s="30"/>
      <c r="UBF617" s="30"/>
      <c r="UBG617" s="30"/>
      <c r="UBH617" s="30"/>
      <c r="UBI617" s="30"/>
      <c r="UBJ617" s="30"/>
      <c r="UBK617" s="30"/>
      <c r="UBL617" s="30"/>
      <c r="UBM617" s="30"/>
      <c r="UBN617" s="30"/>
      <c r="UBO617" s="30"/>
      <c r="UBP617" s="30"/>
      <c r="UBQ617" s="30"/>
      <c r="UBR617" s="30"/>
      <c r="UBS617" s="30"/>
      <c r="UBT617" s="30"/>
      <c r="UBU617" s="30"/>
      <c r="UBV617" s="30"/>
      <c r="UBW617" s="30"/>
      <c r="UBX617" s="30"/>
      <c r="UBY617" s="30"/>
      <c r="UBZ617" s="30"/>
      <c r="UCA617" s="30"/>
      <c r="UCB617" s="30"/>
      <c r="UCC617" s="30"/>
      <c r="UCD617" s="30"/>
      <c r="UCE617" s="30"/>
      <c r="UCF617" s="30"/>
      <c r="UCG617" s="30"/>
      <c r="UCH617" s="30"/>
      <c r="UCI617" s="30"/>
      <c r="UCJ617" s="30"/>
      <c r="UCK617" s="30"/>
      <c r="UCL617" s="30"/>
      <c r="UCM617" s="30"/>
      <c r="UCN617" s="30"/>
      <c r="UCO617" s="30"/>
      <c r="UCP617" s="30"/>
      <c r="UCQ617" s="30"/>
      <c r="UCR617" s="30"/>
      <c r="UCS617" s="30"/>
      <c r="UCT617" s="30"/>
      <c r="UCU617" s="30"/>
      <c r="UCV617" s="30"/>
      <c r="UCW617" s="30"/>
      <c r="UCX617" s="30"/>
      <c r="UCY617" s="30"/>
      <c r="UCZ617" s="30"/>
      <c r="UDA617" s="30"/>
      <c r="UDB617" s="30"/>
      <c r="UDC617" s="30"/>
      <c r="UDD617" s="30"/>
      <c r="UDE617" s="30"/>
      <c r="UDF617" s="30"/>
      <c r="UDG617" s="30"/>
      <c r="UDH617" s="30"/>
      <c r="UDI617" s="30"/>
      <c r="UDJ617" s="30"/>
      <c r="UDK617" s="30"/>
      <c r="UDL617" s="30"/>
      <c r="UDM617" s="30"/>
      <c r="UDN617" s="30"/>
      <c r="UDO617" s="30"/>
      <c r="UDP617" s="30"/>
      <c r="UDQ617" s="30"/>
      <c r="UDR617" s="30"/>
      <c r="UDS617" s="30"/>
      <c r="UDT617" s="30"/>
      <c r="UDU617" s="30"/>
      <c r="UDV617" s="30"/>
      <c r="UDW617" s="30"/>
      <c r="UDX617" s="30"/>
      <c r="UDY617" s="30"/>
      <c r="UDZ617" s="30"/>
      <c r="UEA617" s="30"/>
      <c r="UEB617" s="30"/>
      <c r="UEC617" s="30"/>
      <c r="UED617" s="30"/>
      <c r="UEE617" s="30"/>
      <c r="UEF617" s="30"/>
      <c r="UEG617" s="30"/>
      <c r="UEH617" s="30"/>
      <c r="UEI617" s="30"/>
      <c r="UEJ617" s="30"/>
      <c r="UEK617" s="30"/>
      <c r="UEL617" s="30"/>
      <c r="UEM617" s="30"/>
      <c r="UEN617" s="30"/>
      <c r="UEO617" s="30"/>
      <c r="UEP617" s="30"/>
      <c r="UEQ617" s="30"/>
      <c r="UER617" s="30"/>
      <c r="UES617" s="30"/>
      <c r="UET617" s="30"/>
      <c r="UEU617" s="30"/>
      <c r="UEV617" s="30"/>
      <c r="UEW617" s="30"/>
      <c r="UEX617" s="30"/>
      <c r="UEY617" s="30"/>
      <c r="UEZ617" s="30"/>
      <c r="UFA617" s="30"/>
      <c r="UFB617" s="30"/>
      <c r="UFC617" s="30"/>
      <c r="UFD617" s="30"/>
      <c r="UFE617" s="30"/>
      <c r="UFF617" s="30"/>
      <c r="UFG617" s="30"/>
      <c r="UFH617" s="30"/>
      <c r="UFI617" s="30"/>
      <c r="UFJ617" s="30"/>
      <c r="UFK617" s="30"/>
      <c r="UFL617" s="30"/>
      <c r="UFM617" s="30"/>
      <c r="UFN617" s="30"/>
      <c r="UFO617" s="30"/>
      <c r="UFP617" s="30"/>
      <c r="UFQ617" s="30"/>
      <c r="UFR617" s="30"/>
      <c r="UFS617" s="30"/>
      <c r="UFT617" s="30"/>
      <c r="UFU617" s="30"/>
      <c r="UFV617" s="30"/>
      <c r="UFW617" s="30"/>
      <c r="UFX617" s="30"/>
      <c r="UFY617" s="30"/>
      <c r="UFZ617" s="30"/>
      <c r="UGA617" s="30"/>
      <c r="UGB617" s="30"/>
      <c r="UGC617" s="30"/>
      <c r="UGD617" s="30"/>
      <c r="UGE617" s="30"/>
      <c r="UGF617" s="30"/>
      <c r="UGG617" s="30"/>
      <c r="UGH617" s="30"/>
      <c r="UGI617" s="30"/>
      <c r="UGJ617" s="30"/>
      <c r="UGK617" s="30"/>
      <c r="UGL617" s="30"/>
      <c r="UGM617" s="30"/>
      <c r="UGN617" s="30"/>
      <c r="UGO617" s="30"/>
      <c r="UGP617" s="30"/>
      <c r="UGQ617" s="30"/>
      <c r="UGR617" s="30"/>
      <c r="UGS617" s="30"/>
      <c r="UGT617" s="30"/>
      <c r="UGU617" s="30"/>
      <c r="UGV617" s="30"/>
      <c r="UGW617" s="30"/>
      <c r="UGX617" s="30"/>
      <c r="UGY617" s="30"/>
      <c r="UGZ617" s="30"/>
      <c r="UHA617" s="30"/>
      <c r="UHB617" s="30"/>
      <c r="UHC617" s="30"/>
      <c r="UHD617" s="30"/>
      <c r="UHE617" s="30"/>
      <c r="UHF617" s="30"/>
      <c r="UHG617" s="30"/>
      <c r="UHH617" s="30"/>
      <c r="UHI617" s="30"/>
      <c r="UHJ617" s="30"/>
      <c r="UHK617" s="30"/>
      <c r="UHL617" s="30"/>
      <c r="UHM617" s="30"/>
      <c r="UHN617" s="30"/>
      <c r="UHO617" s="30"/>
      <c r="UHP617" s="30"/>
      <c r="UHQ617" s="30"/>
      <c r="UHR617" s="30"/>
      <c r="UHS617" s="30"/>
      <c r="UHT617" s="30"/>
      <c r="UHU617" s="30"/>
      <c r="UHV617" s="30"/>
      <c r="UHW617" s="30"/>
      <c r="UHX617" s="30"/>
      <c r="UHY617" s="30"/>
      <c r="UHZ617" s="30"/>
      <c r="UIA617" s="30"/>
      <c r="UIB617" s="30"/>
      <c r="UIC617" s="30"/>
      <c r="UID617" s="30"/>
      <c r="UIE617" s="30"/>
      <c r="UIF617" s="30"/>
      <c r="UIG617" s="30"/>
      <c r="UIH617" s="30"/>
      <c r="UII617" s="30"/>
      <c r="UIJ617" s="30"/>
      <c r="UIK617" s="30"/>
      <c r="UIL617" s="30"/>
      <c r="UIM617" s="30"/>
      <c r="UIN617" s="30"/>
      <c r="UIO617" s="30"/>
      <c r="UIP617" s="30"/>
      <c r="UIQ617" s="30"/>
      <c r="UIR617" s="30"/>
      <c r="UIS617" s="30"/>
      <c r="UIT617" s="30"/>
      <c r="UIU617" s="30"/>
      <c r="UIV617" s="30"/>
      <c r="UIW617" s="30"/>
      <c r="UIX617" s="30"/>
      <c r="UIY617" s="30"/>
      <c r="UIZ617" s="30"/>
      <c r="UJA617" s="30"/>
      <c r="UJB617" s="30"/>
      <c r="UJC617" s="30"/>
      <c r="UJD617" s="30"/>
      <c r="UJE617" s="30"/>
      <c r="UJF617" s="30"/>
      <c r="UJG617" s="30"/>
      <c r="UJH617" s="30"/>
      <c r="UJI617" s="30"/>
      <c r="UJJ617" s="30"/>
      <c r="UJK617" s="30"/>
      <c r="UJL617" s="30"/>
      <c r="UJM617" s="30"/>
      <c r="UJN617" s="30"/>
      <c r="UJO617" s="30"/>
      <c r="UJP617" s="30"/>
      <c r="UJQ617" s="30"/>
      <c r="UJR617" s="30"/>
      <c r="UJS617" s="30"/>
      <c r="UJT617" s="30"/>
      <c r="UJU617" s="30"/>
      <c r="UJV617" s="30"/>
      <c r="UJW617" s="30"/>
      <c r="UJX617" s="30"/>
      <c r="UJY617" s="30"/>
      <c r="UJZ617" s="30"/>
      <c r="UKA617" s="30"/>
      <c r="UKB617" s="30"/>
      <c r="UKC617" s="30"/>
      <c r="UKD617" s="30"/>
      <c r="UKE617" s="30"/>
      <c r="UKF617" s="30"/>
      <c r="UKG617" s="30"/>
      <c r="UKH617" s="30"/>
      <c r="UKI617" s="30"/>
      <c r="UKJ617" s="30"/>
      <c r="UKK617" s="30"/>
      <c r="UKL617" s="30"/>
      <c r="UKM617" s="30"/>
      <c r="UKN617" s="30"/>
      <c r="UKO617" s="30"/>
      <c r="UKP617" s="30"/>
      <c r="UKQ617" s="30"/>
      <c r="UKR617" s="30"/>
      <c r="UKS617" s="30"/>
      <c r="UKT617" s="30"/>
      <c r="UKU617" s="30"/>
      <c r="UKV617" s="30"/>
      <c r="UKW617" s="30"/>
      <c r="UKX617" s="30"/>
      <c r="UKY617" s="30"/>
      <c r="UKZ617" s="30"/>
      <c r="ULA617" s="30"/>
      <c r="ULB617" s="30"/>
      <c r="ULC617" s="30"/>
      <c r="ULD617" s="30"/>
      <c r="ULE617" s="30"/>
      <c r="ULF617" s="30"/>
      <c r="ULG617" s="30"/>
      <c r="ULH617" s="30"/>
      <c r="ULI617" s="30"/>
      <c r="ULJ617" s="30"/>
      <c r="ULK617" s="30"/>
      <c r="ULL617" s="30"/>
      <c r="ULM617" s="30"/>
      <c r="ULN617" s="30"/>
      <c r="ULO617" s="30"/>
      <c r="ULP617" s="30"/>
      <c r="ULQ617" s="30"/>
      <c r="ULR617" s="30"/>
      <c r="ULS617" s="30"/>
      <c r="ULT617" s="30"/>
      <c r="ULU617" s="30"/>
      <c r="ULV617" s="30"/>
      <c r="ULW617" s="30"/>
      <c r="ULX617" s="30"/>
      <c r="ULY617" s="30"/>
      <c r="ULZ617" s="30"/>
      <c r="UMA617" s="30"/>
      <c r="UMB617" s="30"/>
      <c r="UMC617" s="30"/>
      <c r="UMD617" s="30"/>
      <c r="UME617" s="30"/>
      <c r="UMF617" s="30"/>
      <c r="UMG617" s="30"/>
      <c r="UMH617" s="30"/>
      <c r="UMI617" s="30"/>
      <c r="UMJ617" s="30"/>
      <c r="UMK617" s="30"/>
      <c r="UML617" s="30"/>
      <c r="UMM617" s="30"/>
      <c r="UMN617" s="30"/>
      <c r="UMO617" s="30"/>
      <c r="UMP617" s="30"/>
      <c r="UMQ617" s="30"/>
      <c r="UMR617" s="30"/>
      <c r="UMS617" s="30"/>
      <c r="UMT617" s="30"/>
      <c r="UMU617" s="30"/>
      <c r="UMV617" s="30"/>
      <c r="UMW617" s="30"/>
      <c r="UMX617" s="30"/>
      <c r="UMY617" s="30"/>
      <c r="UMZ617" s="30"/>
      <c r="UNA617" s="30"/>
      <c r="UNB617" s="30"/>
      <c r="UNC617" s="30"/>
      <c r="UND617" s="30"/>
      <c r="UNE617" s="30"/>
      <c r="UNF617" s="30"/>
      <c r="UNG617" s="30"/>
      <c r="UNH617" s="30"/>
      <c r="UNI617" s="30"/>
      <c r="UNJ617" s="30"/>
      <c r="UNK617" s="30"/>
      <c r="UNL617" s="30"/>
      <c r="UNM617" s="30"/>
      <c r="UNN617" s="30"/>
      <c r="UNO617" s="30"/>
      <c r="UNP617" s="30"/>
      <c r="UNQ617" s="30"/>
      <c r="UNR617" s="30"/>
      <c r="UNS617" s="30"/>
      <c r="UNT617" s="30"/>
      <c r="UNU617" s="30"/>
      <c r="UNV617" s="30"/>
      <c r="UNW617" s="30"/>
      <c r="UNX617" s="30"/>
      <c r="UNY617" s="30"/>
      <c r="UNZ617" s="30"/>
      <c r="UOA617" s="30"/>
      <c r="UOB617" s="30"/>
      <c r="UOC617" s="30"/>
      <c r="UOD617" s="30"/>
      <c r="UOE617" s="30"/>
      <c r="UOF617" s="30"/>
      <c r="UOG617" s="30"/>
      <c r="UOH617" s="30"/>
      <c r="UOI617" s="30"/>
      <c r="UOJ617" s="30"/>
      <c r="UOK617" s="30"/>
      <c r="UOL617" s="30"/>
      <c r="UOM617" s="30"/>
      <c r="UON617" s="30"/>
      <c r="UOO617" s="30"/>
      <c r="UOP617" s="30"/>
      <c r="UOQ617" s="30"/>
      <c r="UOR617" s="30"/>
      <c r="UOS617" s="30"/>
      <c r="UOT617" s="30"/>
      <c r="UOU617" s="30"/>
      <c r="UOV617" s="30"/>
      <c r="UOW617" s="30"/>
      <c r="UOX617" s="30"/>
      <c r="UOY617" s="30"/>
      <c r="UOZ617" s="30"/>
      <c r="UPA617" s="30"/>
      <c r="UPB617" s="30"/>
      <c r="UPC617" s="30"/>
      <c r="UPD617" s="30"/>
      <c r="UPE617" s="30"/>
      <c r="UPF617" s="30"/>
      <c r="UPG617" s="30"/>
      <c r="UPH617" s="30"/>
      <c r="UPI617" s="30"/>
      <c r="UPJ617" s="30"/>
      <c r="UPK617" s="30"/>
      <c r="UPL617" s="30"/>
      <c r="UPM617" s="30"/>
      <c r="UPN617" s="30"/>
      <c r="UPO617" s="30"/>
      <c r="UPP617" s="30"/>
      <c r="UPQ617" s="30"/>
      <c r="UPR617" s="30"/>
      <c r="UPS617" s="30"/>
      <c r="UPT617" s="30"/>
      <c r="UPU617" s="30"/>
      <c r="UPV617" s="30"/>
      <c r="UPW617" s="30"/>
      <c r="UPX617" s="30"/>
      <c r="UPY617" s="30"/>
      <c r="UPZ617" s="30"/>
      <c r="UQA617" s="30"/>
      <c r="UQB617" s="30"/>
      <c r="UQC617" s="30"/>
      <c r="UQD617" s="30"/>
      <c r="UQE617" s="30"/>
      <c r="UQF617" s="30"/>
      <c r="UQG617" s="30"/>
      <c r="UQH617" s="30"/>
      <c r="UQI617" s="30"/>
      <c r="UQJ617" s="30"/>
      <c r="UQK617" s="30"/>
      <c r="UQL617" s="30"/>
      <c r="UQM617" s="30"/>
      <c r="UQN617" s="30"/>
      <c r="UQO617" s="30"/>
      <c r="UQP617" s="30"/>
      <c r="UQQ617" s="30"/>
      <c r="UQR617" s="30"/>
      <c r="UQS617" s="30"/>
      <c r="UQT617" s="30"/>
      <c r="UQU617" s="30"/>
      <c r="UQV617" s="30"/>
      <c r="UQW617" s="30"/>
      <c r="UQX617" s="30"/>
      <c r="UQY617" s="30"/>
      <c r="UQZ617" s="30"/>
      <c r="URA617" s="30"/>
      <c r="URB617" s="30"/>
      <c r="URC617" s="30"/>
      <c r="URD617" s="30"/>
      <c r="URE617" s="30"/>
      <c r="URF617" s="30"/>
      <c r="URG617" s="30"/>
      <c r="URH617" s="30"/>
      <c r="URI617" s="30"/>
      <c r="URJ617" s="30"/>
      <c r="URK617" s="30"/>
      <c r="URL617" s="30"/>
      <c r="URM617" s="30"/>
      <c r="URN617" s="30"/>
      <c r="URO617" s="30"/>
      <c r="URP617" s="30"/>
      <c r="URQ617" s="30"/>
      <c r="URR617" s="30"/>
      <c r="URS617" s="30"/>
      <c r="URT617" s="30"/>
      <c r="URU617" s="30"/>
      <c r="URV617" s="30"/>
      <c r="URW617" s="30"/>
      <c r="URX617" s="30"/>
      <c r="URY617" s="30"/>
      <c r="URZ617" s="30"/>
      <c r="USA617" s="30"/>
      <c r="USB617" s="30"/>
      <c r="USC617" s="30"/>
      <c r="USD617" s="30"/>
      <c r="USE617" s="30"/>
      <c r="USF617" s="30"/>
      <c r="USG617" s="30"/>
      <c r="USH617" s="30"/>
      <c r="USI617" s="30"/>
      <c r="USJ617" s="30"/>
      <c r="USK617" s="30"/>
      <c r="USL617" s="30"/>
      <c r="USM617" s="30"/>
      <c r="USN617" s="30"/>
      <c r="USO617" s="30"/>
      <c r="USP617" s="30"/>
      <c r="USQ617" s="30"/>
      <c r="USR617" s="30"/>
      <c r="USS617" s="30"/>
      <c r="UST617" s="30"/>
      <c r="USU617" s="30"/>
      <c r="USV617" s="30"/>
      <c r="USW617" s="30"/>
      <c r="USX617" s="30"/>
      <c r="USY617" s="30"/>
      <c r="USZ617" s="30"/>
      <c r="UTA617" s="30"/>
      <c r="UTB617" s="30"/>
      <c r="UTC617" s="30"/>
      <c r="UTD617" s="30"/>
      <c r="UTE617" s="30"/>
      <c r="UTF617" s="30"/>
      <c r="UTG617" s="30"/>
      <c r="UTH617" s="30"/>
      <c r="UTI617" s="30"/>
      <c r="UTJ617" s="30"/>
      <c r="UTK617" s="30"/>
      <c r="UTL617" s="30"/>
      <c r="UTM617" s="30"/>
      <c r="UTN617" s="30"/>
      <c r="UTO617" s="30"/>
      <c r="UTP617" s="30"/>
      <c r="UTQ617" s="30"/>
      <c r="UTR617" s="30"/>
      <c r="UTS617" s="30"/>
      <c r="UTT617" s="30"/>
      <c r="UTU617" s="30"/>
      <c r="UTV617" s="30"/>
      <c r="UTW617" s="30"/>
      <c r="UTX617" s="30"/>
      <c r="UTY617" s="30"/>
      <c r="UTZ617" s="30"/>
      <c r="UUA617" s="30"/>
      <c r="UUB617" s="30"/>
      <c r="UUC617" s="30"/>
      <c r="UUD617" s="30"/>
      <c r="UUE617" s="30"/>
      <c r="UUF617" s="30"/>
      <c r="UUG617" s="30"/>
      <c r="UUH617" s="30"/>
      <c r="UUI617" s="30"/>
      <c r="UUJ617" s="30"/>
      <c r="UUK617" s="30"/>
      <c r="UUL617" s="30"/>
      <c r="UUM617" s="30"/>
      <c r="UUN617" s="30"/>
      <c r="UUO617" s="30"/>
      <c r="UUP617" s="30"/>
      <c r="UUQ617" s="30"/>
      <c r="UUR617" s="30"/>
      <c r="UUS617" s="30"/>
      <c r="UUT617" s="30"/>
      <c r="UUU617" s="30"/>
      <c r="UUV617" s="30"/>
      <c r="UUW617" s="30"/>
      <c r="UUX617" s="30"/>
      <c r="UUY617" s="30"/>
      <c r="UUZ617" s="30"/>
      <c r="UVA617" s="30"/>
      <c r="UVB617" s="30"/>
      <c r="UVC617" s="30"/>
      <c r="UVD617" s="30"/>
      <c r="UVE617" s="30"/>
      <c r="UVF617" s="30"/>
      <c r="UVG617" s="30"/>
      <c r="UVH617" s="30"/>
      <c r="UVI617" s="30"/>
      <c r="UVJ617" s="30"/>
      <c r="UVK617" s="30"/>
      <c r="UVL617" s="30"/>
      <c r="UVM617" s="30"/>
      <c r="UVN617" s="30"/>
      <c r="UVO617" s="30"/>
      <c r="UVP617" s="30"/>
      <c r="UVQ617" s="30"/>
      <c r="UVR617" s="30"/>
      <c r="UVS617" s="30"/>
      <c r="UVT617" s="30"/>
      <c r="UVU617" s="30"/>
      <c r="UVV617" s="30"/>
      <c r="UVW617" s="30"/>
      <c r="UVX617" s="30"/>
      <c r="UVY617" s="30"/>
      <c r="UVZ617" s="30"/>
      <c r="UWA617" s="30"/>
      <c r="UWB617" s="30"/>
      <c r="UWC617" s="30"/>
      <c r="UWD617" s="30"/>
      <c r="UWE617" s="30"/>
      <c r="UWF617" s="30"/>
      <c r="UWG617" s="30"/>
      <c r="UWH617" s="30"/>
      <c r="UWI617" s="30"/>
      <c r="UWJ617" s="30"/>
      <c r="UWK617" s="30"/>
      <c r="UWL617" s="30"/>
      <c r="UWM617" s="30"/>
      <c r="UWN617" s="30"/>
      <c r="UWO617" s="30"/>
      <c r="UWP617" s="30"/>
      <c r="UWQ617" s="30"/>
      <c r="UWR617" s="30"/>
      <c r="UWS617" s="30"/>
      <c r="UWT617" s="30"/>
      <c r="UWU617" s="30"/>
      <c r="UWV617" s="30"/>
      <c r="UWW617" s="30"/>
      <c r="UWX617" s="30"/>
      <c r="UWY617" s="30"/>
      <c r="UWZ617" s="30"/>
      <c r="UXA617" s="30"/>
      <c r="UXB617" s="30"/>
      <c r="UXC617" s="30"/>
      <c r="UXD617" s="30"/>
      <c r="UXE617" s="30"/>
      <c r="UXF617" s="30"/>
      <c r="UXG617" s="30"/>
      <c r="UXH617" s="30"/>
      <c r="UXI617" s="30"/>
      <c r="UXJ617" s="30"/>
      <c r="UXK617" s="30"/>
      <c r="UXL617" s="30"/>
      <c r="UXM617" s="30"/>
      <c r="UXN617" s="30"/>
      <c r="UXO617" s="30"/>
      <c r="UXP617" s="30"/>
      <c r="UXQ617" s="30"/>
      <c r="UXR617" s="30"/>
      <c r="UXS617" s="30"/>
      <c r="UXT617" s="30"/>
      <c r="UXU617" s="30"/>
      <c r="UXV617" s="30"/>
      <c r="UXW617" s="30"/>
      <c r="UXX617" s="30"/>
      <c r="UXY617" s="30"/>
      <c r="UXZ617" s="30"/>
      <c r="UYA617" s="30"/>
      <c r="UYB617" s="30"/>
      <c r="UYC617" s="30"/>
      <c r="UYD617" s="30"/>
      <c r="UYE617" s="30"/>
      <c r="UYF617" s="30"/>
      <c r="UYG617" s="30"/>
      <c r="UYH617" s="30"/>
      <c r="UYI617" s="30"/>
      <c r="UYJ617" s="30"/>
      <c r="UYK617" s="30"/>
      <c r="UYL617" s="30"/>
      <c r="UYM617" s="30"/>
      <c r="UYN617" s="30"/>
      <c r="UYO617" s="30"/>
      <c r="UYP617" s="30"/>
      <c r="UYQ617" s="30"/>
      <c r="UYR617" s="30"/>
      <c r="UYS617" s="30"/>
      <c r="UYT617" s="30"/>
      <c r="UYU617" s="30"/>
      <c r="UYV617" s="30"/>
      <c r="UYW617" s="30"/>
      <c r="UYX617" s="30"/>
      <c r="UYY617" s="30"/>
      <c r="UYZ617" s="30"/>
      <c r="UZA617" s="30"/>
      <c r="UZB617" s="30"/>
      <c r="UZC617" s="30"/>
      <c r="UZD617" s="30"/>
      <c r="UZE617" s="30"/>
      <c r="UZF617" s="30"/>
      <c r="UZG617" s="30"/>
      <c r="UZH617" s="30"/>
      <c r="UZI617" s="30"/>
      <c r="UZJ617" s="30"/>
      <c r="UZK617" s="30"/>
      <c r="UZL617" s="30"/>
      <c r="UZM617" s="30"/>
      <c r="UZN617" s="30"/>
      <c r="UZO617" s="30"/>
      <c r="UZP617" s="30"/>
      <c r="UZQ617" s="30"/>
      <c r="UZR617" s="30"/>
      <c r="UZS617" s="30"/>
      <c r="UZT617" s="30"/>
      <c r="UZU617" s="30"/>
      <c r="UZV617" s="30"/>
      <c r="UZW617" s="30"/>
      <c r="UZX617" s="30"/>
      <c r="UZY617" s="30"/>
      <c r="UZZ617" s="30"/>
      <c r="VAA617" s="30"/>
      <c r="VAB617" s="30"/>
      <c r="VAC617" s="30"/>
      <c r="VAD617" s="30"/>
      <c r="VAE617" s="30"/>
      <c r="VAF617" s="30"/>
      <c r="VAG617" s="30"/>
      <c r="VAH617" s="30"/>
      <c r="VAI617" s="30"/>
      <c r="VAJ617" s="30"/>
      <c r="VAK617" s="30"/>
      <c r="VAL617" s="30"/>
      <c r="VAM617" s="30"/>
      <c r="VAN617" s="30"/>
      <c r="VAO617" s="30"/>
      <c r="VAP617" s="30"/>
      <c r="VAQ617" s="30"/>
      <c r="VAR617" s="30"/>
      <c r="VAS617" s="30"/>
      <c r="VAT617" s="30"/>
      <c r="VAU617" s="30"/>
      <c r="VAV617" s="30"/>
      <c r="VAW617" s="30"/>
      <c r="VAX617" s="30"/>
      <c r="VAY617" s="30"/>
      <c r="VAZ617" s="30"/>
      <c r="VBA617" s="30"/>
      <c r="VBB617" s="30"/>
      <c r="VBC617" s="30"/>
      <c r="VBD617" s="30"/>
      <c r="VBE617" s="30"/>
      <c r="VBF617" s="30"/>
      <c r="VBG617" s="30"/>
      <c r="VBH617" s="30"/>
      <c r="VBI617" s="30"/>
      <c r="VBJ617" s="30"/>
      <c r="VBK617" s="30"/>
      <c r="VBL617" s="30"/>
      <c r="VBM617" s="30"/>
      <c r="VBN617" s="30"/>
      <c r="VBO617" s="30"/>
      <c r="VBP617" s="30"/>
      <c r="VBQ617" s="30"/>
      <c r="VBR617" s="30"/>
      <c r="VBS617" s="30"/>
      <c r="VBT617" s="30"/>
      <c r="VBU617" s="30"/>
      <c r="VBV617" s="30"/>
      <c r="VBW617" s="30"/>
      <c r="VBX617" s="30"/>
      <c r="VBY617" s="30"/>
      <c r="VBZ617" s="30"/>
      <c r="VCA617" s="30"/>
      <c r="VCB617" s="30"/>
      <c r="VCC617" s="30"/>
      <c r="VCD617" s="30"/>
      <c r="VCE617" s="30"/>
      <c r="VCF617" s="30"/>
      <c r="VCG617" s="30"/>
      <c r="VCH617" s="30"/>
      <c r="VCI617" s="30"/>
      <c r="VCJ617" s="30"/>
      <c r="VCK617" s="30"/>
      <c r="VCL617" s="30"/>
      <c r="VCM617" s="30"/>
      <c r="VCN617" s="30"/>
      <c r="VCO617" s="30"/>
      <c r="VCP617" s="30"/>
      <c r="VCQ617" s="30"/>
      <c r="VCR617" s="30"/>
      <c r="VCS617" s="30"/>
      <c r="VCT617" s="30"/>
      <c r="VCU617" s="30"/>
      <c r="VCV617" s="30"/>
      <c r="VCW617" s="30"/>
      <c r="VCX617" s="30"/>
      <c r="VCY617" s="30"/>
      <c r="VCZ617" s="30"/>
      <c r="VDA617" s="30"/>
      <c r="VDB617" s="30"/>
      <c r="VDC617" s="30"/>
      <c r="VDD617" s="30"/>
      <c r="VDE617" s="30"/>
      <c r="VDF617" s="30"/>
      <c r="VDG617" s="30"/>
      <c r="VDH617" s="30"/>
      <c r="VDI617" s="30"/>
      <c r="VDJ617" s="30"/>
      <c r="VDK617" s="30"/>
      <c r="VDL617" s="30"/>
      <c r="VDM617" s="30"/>
      <c r="VDN617" s="30"/>
      <c r="VDO617" s="30"/>
      <c r="VDP617" s="30"/>
      <c r="VDQ617" s="30"/>
      <c r="VDR617" s="30"/>
      <c r="VDS617" s="30"/>
      <c r="VDT617" s="30"/>
      <c r="VDU617" s="30"/>
      <c r="VDV617" s="30"/>
      <c r="VDW617" s="30"/>
      <c r="VDX617" s="30"/>
      <c r="VDY617" s="30"/>
      <c r="VDZ617" s="30"/>
      <c r="VEA617" s="30"/>
      <c r="VEB617" s="30"/>
      <c r="VEC617" s="30"/>
      <c r="VED617" s="30"/>
      <c r="VEE617" s="30"/>
      <c r="VEF617" s="30"/>
      <c r="VEG617" s="30"/>
      <c r="VEH617" s="30"/>
      <c r="VEI617" s="30"/>
      <c r="VEJ617" s="30"/>
      <c r="VEK617" s="30"/>
      <c r="VEL617" s="30"/>
      <c r="VEM617" s="30"/>
      <c r="VEN617" s="30"/>
      <c r="VEO617" s="30"/>
      <c r="VEP617" s="30"/>
      <c r="VEQ617" s="30"/>
      <c r="VER617" s="30"/>
      <c r="VES617" s="30"/>
      <c r="VET617" s="30"/>
      <c r="VEU617" s="30"/>
      <c r="VEV617" s="30"/>
      <c r="VEW617" s="30"/>
      <c r="VEX617" s="30"/>
      <c r="VEY617" s="30"/>
      <c r="VEZ617" s="30"/>
      <c r="VFA617" s="30"/>
      <c r="VFB617" s="30"/>
      <c r="VFC617" s="30"/>
      <c r="VFD617" s="30"/>
      <c r="VFE617" s="30"/>
      <c r="VFF617" s="30"/>
      <c r="VFG617" s="30"/>
      <c r="VFH617" s="30"/>
      <c r="VFI617" s="30"/>
      <c r="VFJ617" s="30"/>
      <c r="VFK617" s="30"/>
      <c r="VFL617" s="30"/>
      <c r="VFM617" s="30"/>
      <c r="VFN617" s="30"/>
      <c r="VFO617" s="30"/>
      <c r="VFP617" s="30"/>
      <c r="VFQ617" s="30"/>
      <c r="VFR617" s="30"/>
      <c r="VFS617" s="30"/>
      <c r="VFT617" s="30"/>
      <c r="VFU617" s="30"/>
      <c r="VFV617" s="30"/>
      <c r="VFW617" s="30"/>
      <c r="VFX617" s="30"/>
      <c r="VFY617" s="30"/>
      <c r="VFZ617" s="30"/>
      <c r="VGA617" s="30"/>
      <c r="VGB617" s="30"/>
      <c r="VGC617" s="30"/>
      <c r="VGD617" s="30"/>
      <c r="VGE617" s="30"/>
      <c r="VGF617" s="30"/>
      <c r="VGG617" s="30"/>
      <c r="VGH617" s="30"/>
      <c r="VGI617" s="30"/>
      <c r="VGJ617" s="30"/>
      <c r="VGK617" s="30"/>
      <c r="VGL617" s="30"/>
      <c r="VGM617" s="30"/>
      <c r="VGN617" s="30"/>
      <c r="VGO617" s="30"/>
      <c r="VGP617" s="30"/>
      <c r="VGQ617" s="30"/>
      <c r="VGR617" s="30"/>
      <c r="VGS617" s="30"/>
      <c r="VGT617" s="30"/>
      <c r="VGU617" s="30"/>
      <c r="VGV617" s="30"/>
      <c r="VGW617" s="30"/>
      <c r="VGX617" s="30"/>
      <c r="VGY617" s="30"/>
      <c r="VGZ617" s="30"/>
      <c r="VHA617" s="30"/>
      <c r="VHB617" s="30"/>
      <c r="VHC617" s="30"/>
      <c r="VHD617" s="30"/>
      <c r="VHE617" s="30"/>
      <c r="VHF617" s="30"/>
      <c r="VHG617" s="30"/>
      <c r="VHH617" s="30"/>
      <c r="VHI617" s="30"/>
      <c r="VHJ617" s="30"/>
      <c r="VHK617" s="30"/>
      <c r="VHL617" s="30"/>
      <c r="VHM617" s="30"/>
      <c r="VHN617" s="30"/>
      <c r="VHO617" s="30"/>
      <c r="VHP617" s="30"/>
      <c r="VHQ617" s="30"/>
      <c r="VHR617" s="30"/>
      <c r="VHS617" s="30"/>
      <c r="VHT617" s="30"/>
      <c r="VHU617" s="30"/>
      <c r="VHV617" s="30"/>
      <c r="VHW617" s="30"/>
      <c r="VHX617" s="30"/>
      <c r="VHY617" s="30"/>
      <c r="VHZ617" s="30"/>
      <c r="VIA617" s="30"/>
      <c r="VIB617" s="30"/>
      <c r="VIC617" s="30"/>
      <c r="VID617" s="30"/>
      <c r="VIE617" s="30"/>
      <c r="VIF617" s="30"/>
      <c r="VIG617" s="30"/>
      <c r="VIH617" s="30"/>
      <c r="VII617" s="30"/>
      <c r="VIJ617" s="30"/>
      <c r="VIK617" s="30"/>
      <c r="VIL617" s="30"/>
      <c r="VIM617" s="30"/>
      <c r="VIN617" s="30"/>
      <c r="VIO617" s="30"/>
      <c r="VIP617" s="30"/>
      <c r="VIQ617" s="30"/>
      <c r="VIR617" s="30"/>
      <c r="VIS617" s="30"/>
      <c r="VIT617" s="30"/>
      <c r="VIU617" s="30"/>
      <c r="VIV617" s="30"/>
      <c r="VIW617" s="30"/>
      <c r="VIX617" s="30"/>
      <c r="VIY617" s="30"/>
      <c r="VIZ617" s="30"/>
      <c r="VJA617" s="30"/>
      <c r="VJB617" s="30"/>
      <c r="VJC617" s="30"/>
      <c r="VJD617" s="30"/>
      <c r="VJE617" s="30"/>
      <c r="VJF617" s="30"/>
      <c r="VJG617" s="30"/>
      <c r="VJH617" s="30"/>
      <c r="VJI617" s="30"/>
      <c r="VJJ617" s="30"/>
      <c r="VJK617" s="30"/>
      <c r="VJL617" s="30"/>
      <c r="VJM617" s="30"/>
      <c r="VJN617" s="30"/>
      <c r="VJO617" s="30"/>
      <c r="VJP617" s="30"/>
      <c r="VJQ617" s="30"/>
      <c r="VJR617" s="30"/>
      <c r="VJS617" s="30"/>
      <c r="VJT617" s="30"/>
      <c r="VJU617" s="30"/>
      <c r="VJV617" s="30"/>
      <c r="VJW617" s="30"/>
      <c r="VJX617" s="30"/>
      <c r="VJY617" s="30"/>
      <c r="VJZ617" s="30"/>
      <c r="VKA617" s="30"/>
      <c r="VKB617" s="30"/>
      <c r="VKC617" s="30"/>
      <c r="VKD617" s="30"/>
      <c r="VKE617" s="30"/>
      <c r="VKF617" s="30"/>
      <c r="VKG617" s="30"/>
      <c r="VKH617" s="30"/>
      <c r="VKI617" s="30"/>
      <c r="VKJ617" s="30"/>
      <c r="VKK617" s="30"/>
      <c r="VKL617" s="30"/>
      <c r="VKM617" s="30"/>
      <c r="VKN617" s="30"/>
      <c r="VKO617" s="30"/>
      <c r="VKP617" s="30"/>
      <c r="VKQ617" s="30"/>
      <c r="VKR617" s="30"/>
      <c r="VKS617" s="30"/>
      <c r="VKT617" s="30"/>
      <c r="VKU617" s="30"/>
      <c r="VKV617" s="30"/>
      <c r="VKW617" s="30"/>
      <c r="VKX617" s="30"/>
      <c r="VKY617" s="30"/>
      <c r="VKZ617" s="30"/>
      <c r="VLA617" s="30"/>
      <c r="VLB617" s="30"/>
      <c r="VLC617" s="30"/>
      <c r="VLD617" s="30"/>
      <c r="VLE617" s="30"/>
      <c r="VLF617" s="30"/>
      <c r="VLG617" s="30"/>
      <c r="VLH617" s="30"/>
      <c r="VLI617" s="30"/>
      <c r="VLJ617" s="30"/>
      <c r="VLK617" s="30"/>
      <c r="VLL617" s="30"/>
      <c r="VLM617" s="30"/>
      <c r="VLN617" s="30"/>
      <c r="VLO617" s="30"/>
      <c r="VLP617" s="30"/>
      <c r="VLQ617" s="30"/>
      <c r="VLR617" s="30"/>
      <c r="VLS617" s="30"/>
      <c r="VLT617" s="30"/>
      <c r="VLU617" s="30"/>
      <c r="VLV617" s="30"/>
      <c r="VLW617" s="30"/>
      <c r="VLX617" s="30"/>
      <c r="VLY617" s="30"/>
      <c r="VLZ617" s="30"/>
      <c r="VMA617" s="30"/>
      <c r="VMB617" s="30"/>
      <c r="VMC617" s="30"/>
      <c r="VMD617" s="30"/>
      <c r="VME617" s="30"/>
      <c r="VMF617" s="30"/>
      <c r="VMG617" s="30"/>
      <c r="VMH617" s="30"/>
      <c r="VMI617" s="30"/>
      <c r="VMJ617" s="30"/>
      <c r="VMK617" s="30"/>
      <c r="VML617" s="30"/>
      <c r="VMM617" s="30"/>
      <c r="VMN617" s="30"/>
      <c r="VMO617" s="30"/>
      <c r="VMP617" s="30"/>
      <c r="VMQ617" s="30"/>
      <c r="VMR617" s="30"/>
      <c r="VMS617" s="30"/>
      <c r="VMT617" s="30"/>
      <c r="VMU617" s="30"/>
      <c r="VMV617" s="30"/>
      <c r="VMW617" s="30"/>
      <c r="VMX617" s="30"/>
      <c r="VMY617" s="30"/>
      <c r="VMZ617" s="30"/>
      <c r="VNA617" s="30"/>
      <c r="VNB617" s="30"/>
      <c r="VNC617" s="30"/>
      <c r="VND617" s="30"/>
      <c r="VNE617" s="30"/>
      <c r="VNF617" s="30"/>
      <c r="VNG617" s="30"/>
      <c r="VNH617" s="30"/>
      <c r="VNI617" s="30"/>
      <c r="VNJ617" s="30"/>
      <c r="VNK617" s="30"/>
      <c r="VNL617" s="30"/>
      <c r="VNM617" s="30"/>
      <c r="VNN617" s="30"/>
      <c r="VNO617" s="30"/>
      <c r="VNP617" s="30"/>
      <c r="VNQ617" s="30"/>
      <c r="VNR617" s="30"/>
      <c r="VNS617" s="30"/>
      <c r="VNT617" s="30"/>
      <c r="VNU617" s="30"/>
      <c r="VNV617" s="30"/>
      <c r="VNW617" s="30"/>
      <c r="VNX617" s="30"/>
      <c r="VNY617" s="30"/>
      <c r="VNZ617" s="30"/>
      <c r="VOA617" s="30"/>
      <c r="VOB617" s="30"/>
      <c r="VOC617" s="30"/>
      <c r="VOD617" s="30"/>
      <c r="VOE617" s="30"/>
      <c r="VOF617" s="30"/>
      <c r="VOG617" s="30"/>
      <c r="VOH617" s="30"/>
      <c r="VOI617" s="30"/>
      <c r="VOJ617" s="30"/>
      <c r="VOK617" s="30"/>
      <c r="VOL617" s="30"/>
      <c r="VOM617" s="30"/>
      <c r="VON617" s="30"/>
      <c r="VOO617" s="30"/>
      <c r="VOP617" s="30"/>
      <c r="VOQ617" s="30"/>
      <c r="VOR617" s="30"/>
      <c r="VOS617" s="30"/>
      <c r="VOT617" s="30"/>
      <c r="VOU617" s="30"/>
      <c r="VOV617" s="30"/>
      <c r="VOW617" s="30"/>
      <c r="VOX617" s="30"/>
      <c r="VOY617" s="30"/>
      <c r="VOZ617" s="30"/>
      <c r="VPA617" s="30"/>
      <c r="VPB617" s="30"/>
      <c r="VPC617" s="30"/>
      <c r="VPD617" s="30"/>
      <c r="VPE617" s="30"/>
      <c r="VPF617" s="30"/>
      <c r="VPG617" s="30"/>
      <c r="VPH617" s="30"/>
      <c r="VPI617" s="30"/>
      <c r="VPJ617" s="30"/>
      <c r="VPK617" s="30"/>
      <c r="VPL617" s="30"/>
      <c r="VPM617" s="30"/>
      <c r="VPN617" s="30"/>
      <c r="VPO617" s="30"/>
      <c r="VPP617" s="30"/>
      <c r="VPQ617" s="30"/>
      <c r="VPR617" s="30"/>
      <c r="VPS617" s="30"/>
      <c r="VPT617" s="30"/>
      <c r="VPU617" s="30"/>
      <c r="VPV617" s="30"/>
      <c r="VPW617" s="30"/>
      <c r="VPX617" s="30"/>
      <c r="VPY617" s="30"/>
      <c r="VPZ617" s="30"/>
      <c r="VQA617" s="30"/>
      <c r="VQB617" s="30"/>
      <c r="VQC617" s="30"/>
      <c r="VQD617" s="30"/>
      <c r="VQE617" s="30"/>
      <c r="VQF617" s="30"/>
      <c r="VQG617" s="30"/>
      <c r="VQH617" s="30"/>
      <c r="VQI617" s="30"/>
      <c r="VQJ617" s="30"/>
      <c r="VQK617" s="30"/>
      <c r="VQL617" s="30"/>
      <c r="VQM617" s="30"/>
      <c r="VQN617" s="30"/>
      <c r="VQO617" s="30"/>
      <c r="VQP617" s="30"/>
      <c r="VQQ617" s="30"/>
      <c r="VQR617" s="30"/>
      <c r="VQS617" s="30"/>
      <c r="VQT617" s="30"/>
      <c r="VQU617" s="30"/>
      <c r="VQV617" s="30"/>
      <c r="VQW617" s="30"/>
      <c r="VQX617" s="30"/>
      <c r="VQY617" s="30"/>
      <c r="VQZ617" s="30"/>
      <c r="VRA617" s="30"/>
      <c r="VRB617" s="30"/>
      <c r="VRC617" s="30"/>
      <c r="VRD617" s="30"/>
      <c r="VRE617" s="30"/>
      <c r="VRF617" s="30"/>
      <c r="VRG617" s="30"/>
      <c r="VRH617" s="30"/>
      <c r="VRI617" s="30"/>
      <c r="VRJ617" s="30"/>
      <c r="VRK617" s="30"/>
      <c r="VRL617" s="30"/>
      <c r="VRM617" s="30"/>
      <c r="VRN617" s="30"/>
      <c r="VRO617" s="30"/>
      <c r="VRP617" s="30"/>
      <c r="VRQ617" s="30"/>
      <c r="VRR617" s="30"/>
      <c r="VRS617" s="30"/>
      <c r="VRT617" s="30"/>
      <c r="VRU617" s="30"/>
      <c r="VRV617" s="30"/>
      <c r="VRW617" s="30"/>
      <c r="VRX617" s="30"/>
      <c r="VRY617" s="30"/>
      <c r="VRZ617" s="30"/>
      <c r="VSA617" s="30"/>
      <c r="VSB617" s="30"/>
      <c r="VSC617" s="30"/>
      <c r="VSD617" s="30"/>
      <c r="VSE617" s="30"/>
      <c r="VSF617" s="30"/>
      <c r="VSG617" s="30"/>
      <c r="VSH617" s="30"/>
      <c r="VSI617" s="30"/>
      <c r="VSJ617" s="30"/>
      <c r="VSK617" s="30"/>
      <c r="VSL617" s="30"/>
      <c r="VSM617" s="30"/>
      <c r="VSN617" s="30"/>
      <c r="VSO617" s="30"/>
      <c r="VSP617" s="30"/>
      <c r="VSQ617" s="30"/>
      <c r="VSR617" s="30"/>
      <c r="VSS617" s="30"/>
      <c r="VST617" s="30"/>
      <c r="VSU617" s="30"/>
      <c r="VSV617" s="30"/>
      <c r="VSW617" s="30"/>
      <c r="VSX617" s="30"/>
      <c r="VSY617" s="30"/>
      <c r="VSZ617" s="30"/>
      <c r="VTA617" s="30"/>
      <c r="VTB617" s="30"/>
      <c r="VTC617" s="30"/>
      <c r="VTD617" s="30"/>
      <c r="VTE617" s="30"/>
      <c r="VTF617" s="30"/>
      <c r="VTG617" s="30"/>
      <c r="VTH617" s="30"/>
      <c r="VTI617" s="30"/>
      <c r="VTJ617" s="30"/>
      <c r="VTK617" s="30"/>
      <c r="VTL617" s="30"/>
      <c r="VTM617" s="30"/>
      <c r="VTN617" s="30"/>
      <c r="VTO617" s="30"/>
      <c r="VTP617" s="30"/>
      <c r="VTQ617" s="30"/>
      <c r="VTR617" s="30"/>
      <c r="VTS617" s="30"/>
      <c r="VTT617" s="30"/>
      <c r="VTU617" s="30"/>
      <c r="VTV617" s="30"/>
      <c r="VTW617" s="30"/>
      <c r="VTX617" s="30"/>
      <c r="VTY617" s="30"/>
      <c r="VTZ617" s="30"/>
      <c r="VUA617" s="30"/>
      <c r="VUB617" s="30"/>
      <c r="VUC617" s="30"/>
      <c r="VUD617" s="30"/>
      <c r="VUE617" s="30"/>
      <c r="VUF617" s="30"/>
      <c r="VUG617" s="30"/>
      <c r="VUH617" s="30"/>
      <c r="VUI617" s="30"/>
      <c r="VUJ617" s="30"/>
      <c r="VUK617" s="30"/>
      <c r="VUL617" s="30"/>
      <c r="VUM617" s="30"/>
      <c r="VUN617" s="30"/>
      <c r="VUO617" s="30"/>
      <c r="VUP617" s="30"/>
      <c r="VUQ617" s="30"/>
      <c r="VUR617" s="30"/>
      <c r="VUS617" s="30"/>
      <c r="VUT617" s="30"/>
      <c r="VUU617" s="30"/>
      <c r="VUV617" s="30"/>
      <c r="VUW617" s="30"/>
      <c r="VUX617" s="30"/>
      <c r="VUY617" s="30"/>
      <c r="VUZ617" s="30"/>
      <c r="VVA617" s="30"/>
      <c r="VVB617" s="30"/>
      <c r="VVC617" s="30"/>
      <c r="VVD617" s="30"/>
      <c r="VVE617" s="30"/>
      <c r="VVF617" s="30"/>
      <c r="VVG617" s="30"/>
      <c r="VVH617" s="30"/>
      <c r="VVI617" s="30"/>
      <c r="VVJ617" s="30"/>
      <c r="VVK617" s="30"/>
      <c r="VVL617" s="30"/>
      <c r="VVM617" s="30"/>
      <c r="VVN617" s="30"/>
      <c r="VVO617" s="30"/>
      <c r="VVP617" s="30"/>
      <c r="VVQ617" s="30"/>
      <c r="VVR617" s="30"/>
      <c r="VVS617" s="30"/>
      <c r="VVT617" s="30"/>
      <c r="VVU617" s="30"/>
      <c r="VVV617" s="30"/>
      <c r="VVW617" s="30"/>
      <c r="VVX617" s="30"/>
      <c r="VVY617" s="30"/>
      <c r="VVZ617" s="30"/>
      <c r="VWA617" s="30"/>
      <c r="VWB617" s="30"/>
      <c r="VWC617" s="30"/>
      <c r="VWD617" s="30"/>
      <c r="VWE617" s="30"/>
      <c r="VWF617" s="30"/>
      <c r="VWG617" s="30"/>
      <c r="VWH617" s="30"/>
      <c r="VWI617" s="30"/>
      <c r="VWJ617" s="30"/>
      <c r="VWK617" s="30"/>
      <c r="VWL617" s="30"/>
      <c r="VWM617" s="30"/>
      <c r="VWN617" s="30"/>
      <c r="VWO617" s="30"/>
      <c r="VWP617" s="30"/>
      <c r="VWQ617" s="30"/>
      <c r="VWR617" s="30"/>
      <c r="VWS617" s="30"/>
      <c r="VWT617" s="30"/>
      <c r="VWU617" s="30"/>
      <c r="VWV617" s="30"/>
      <c r="VWW617" s="30"/>
      <c r="VWX617" s="30"/>
      <c r="VWY617" s="30"/>
      <c r="VWZ617" s="30"/>
      <c r="VXA617" s="30"/>
      <c r="VXB617" s="30"/>
      <c r="VXC617" s="30"/>
      <c r="VXD617" s="30"/>
      <c r="VXE617" s="30"/>
      <c r="VXF617" s="30"/>
      <c r="VXG617" s="30"/>
      <c r="VXH617" s="30"/>
      <c r="VXI617" s="30"/>
      <c r="VXJ617" s="30"/>
      <c r="VXK617" s="30"/>
      <c r="VXL617" s="30"/>
      <c r="VXM617" s="30"/>
      <c r="VXN617" s="30"/>
      <c r="VXO617" s="30"/>
      <c r="VXP617" s="30"/>
      <c r="VXQ617" s="30"/>
      <c r="VXR617" s="30"/>
      <c r="VXS617" s="30"/>
      <c r="VXT617" s="30"/>
      <c r="VXU617" s="30"/>
      <c r="VXV617" s="30"/>
      <c r="VXW617" s="30"/>
      <c r="VXX617" s="30"/>
      <c r="VXY617" s="30"/>
      <c r="VXZ617" s="30"/>
      <c r="VYA617" s="30"/>
      <c r="VYB617" s="30"/>
      <c r="VYC617" s="30"/>
      <c r="VYD617" s="30"/>
      <c r="VYE617" s="30"/>
      <c r="VYF617" s="30"/>
      <c r="VYG617" s="30"/>
      <c r="VYH617" s="30"/>
      <c r="VYI617" s="30"/>
      <c r="VYJ617" s="30"/>
      <c r="VYK617" s="30"/>
      <c r="VYL617" s="30"/>
      <c r="VYM617" s="30"/>
      <c r="VYN617" s="30"/>
      <c r="VYO617" s="30"/>
      <c r="VYP617" s="30"/>
      <c r="VYQ617" s="30"/>
      <c r="VYR617" s="30"/>
      <c r="VYS617" s="30"/>
      <c r="VYT617" s="30"/>
      <c r="VYU617" s="30"/>
      <c r="VYV617" s="30"/>
      <c r="VYW617" s="30"/>
      <c r="VYX617" s="30"/>
      <c r="VYY617" s="30"/>
      <c r="VYZ617" s="30"/>
      <c r="VZA617" s="30"/>
      <c r="VZB617" s="30"/>
      <c r="VZC617" s="30"/>
      <c r="VZD617" s="30"/>
      <c r="VZE617" s="30"/>
      <c r="VZF617" s="30"/>
      <c r="VZG617" s="30"/>
      <c r="VZH617" s="30"/>
      <c r="VZI617" s="30"/>
      <c r="VZJ617" s="30"/>
      <c r="VZK617" s="30"/>
      <c r="VZL617" s="30"/>
      <c r="VZM617" s="30"/>
      <c r="VZN617" s="30"/>
      <c r="VZO617" s="30"/>
      <c r="VZP617" s="30"/>
      <c r="VZQ617" s="30"/>
      <c r="VZR617" s="30"/>
      <c r="VZS617" s="30"/>
      <c r="VZT617" s="30"/>
      <c r="VZU617" s="30"/>
      <c r="VZV617" s="30"/>
      <c r="VZW617" s="30"/>
      <c r="VZX617" s="30"/>
      <c r="VZY617" s="30"/>
      <c r="VZZ617" s="30"/>
      <c r="WAA617" s="30"/>
      <c r="WAB617" s="30"/>
      <c r="WAC617" s="30"/>
      <c r="WAD617" s="30"/>
      <c r="WAE617" s="30"/>
      <c r="WAF617" s="30"/>
      <c r="WAG617" s="30"/>
      <c r="WAH617" s="30"/>
      <c r="WAI617" s="30"/>
      <c r="WAJ617" s="30"/>
      <c r="WAK617" s="30"/>
      <c r="WAL617" s="30"/>
      <c r="WAM617" s="30"/>
      <c r="WAN617" s="30"/>
      <c r="WAO617" s="30"/>
      <c r="WAP617" s="30"/>
      <c r="WAQ617" s="30"/>
      <c r="WAR617" s="30"/>
      <c r="WAS617" s="30"/>
      <c r="WAT617" s="30"/>
      <c r="WAU617" s="30"/>
      <c r="WAV617" s="30"/>
      <c r="WAW617" s="30"/>
      <c r="WAX617" s="30"/>
      <c r="WAY617" s="30"/>
      <c r="WAZ617" s="30"/>
      <c r="WBA617" s="30"/>
      <c r="WBB617" s="30"/>
      <c r="WBC617" s="30"/>
      <c r="WBD617" s="30"/>
      <c r="WBE617" s="30"/>
      <c r="WBF617" s="30"/>
      <c r="WBG617" s="30"/>
      <c r="WBH617" s="30"/>
      <c r="WBI617" s="30"/>
      <c r="WBJ617" s="30"/>
      <c r="WBK617" s="30"/>
      <c r="WBL617" s="30"/>
      <c r="WBM617" s="30"/>
      <c r="WBN617" s="30"/>
      <c r="WBO617" s="30"/>
      <c r="WBP617" s="30"/>
      <c r="WBQ617" s="30"/>
      <c r="WBR617" s="30"/>
      <c r="WBS617" s="30"/>
      <c r="WBT617" s="30"/>
      <c r="WBU617" s="30"/>
      <c r="WBV617" s="30"/>
      <c r="WBW617" s="30"/>
      <c r="WBX617" s="30"/>
      <c r="WBY617" s="30"/>
      <c r="WBZ617" s="30"/>
      <c r="WCA617" s="30"/>
      <c r="WCB617" s="30"/>
      <c r="WCC617" s="30"/>
      <c r="WCD617" s="30"/>
      <c r="WCE617" s="30"/>
      <c r="WCF617" s="30"/>
      <c r="WCG617" s="30"/>
      <c r="WCH617" s="30"/>
      <c r="WCI617" s="30"/>
      <c r="WCJ617" s="30"/>
      <c r="WCK617" s="30"/>
      <c r="WCL617" s="30"/>
      <c r="WCM617" s="30"/>
      <c r="WCN617" s="30"/>
      <c r="WCO617" s="30"/>
      <c r="WCP617" s="30"/>
      <c r="WCQ617" s="30"/>
      <c r="WCR617" s="30"/>
      <c r="WCS617" s="30"/>
      <c r="WCT617" s="30"/>
      <c r="WCU617" s="30"/>
      <c r="WCV617" s="30"/>
      <c r="WCW617" s="30"/>
      <c r="WCX617" s="30"/>
      <c r="WCY617" s="30"/>
      <c r="WCZ617" s="30"/>
      <c r="WDA617" s="30"/>
      <c r="WDB617" s="30"/>
      <c r="WDC617" s="30"/>
      <c r="WDD617" s="30"/>
      <c r="WDE617" s="30"/>
      <c r="WDF617" s="30"/>
      <c r="WDG617" s="30"/>
      <c r="WDH617" s="30"/>
      <c r="WDI617" s="30"/>
      <c r="WDJ617" s="30"/>
      <c r="WDK617" s="30"/>
      <c r="WDL617" s="30"/>
      <c r="WDM617" s="30"/>
      <c r="WDN617" s="30"/>
      <c r="WDO617" s="30"/>
      <c r="WDP617" s="30"/>
      <c r="WDQ617" s="30"/>
      <c r="WDR617" s="30"/>
      <c r="WDS617" s="30"/>
      <c r="WDT617" s="30"/>
      <c r="WDU617" s="30"/>
      <c r="WDV617" s="30"/>
      <c r="WDW617" s="30"/>
      <c r="WDX617" s="30"/>
      <c r="WDY617" s="30"/>
      <c r="WDZ617" s="30"/>
      <c r="WEA617" s="30"/>
      <c r="WEB617" s="30"/>
      <c r="WEC617" s="30"/>
      <c r="WED617" s="30"/>
      <c r="WEE617" s="30"/>
      <c r="WEF617" s="30"/>
      <c r="WEG617" s="30"/>
      <c r="WEH617" s="30"/>
      <c r="WEI617" s="30"/>
      <c r="WEJ617" s="30"/>
      <c r="WEK617" s="30"/>
      <c r="WEL617" s="30"/>
      <c r="WEM617" s="30"/>
      <c r="WEN617" s="30"/>
      <c r="WEO617" s="30"/>
      <c r="WEP617" s="30"/>
      <c r="WEQ617" s="30"/>
      <c r="WER617" s="30"/>
      <c r="WES617" s="30"/>
      <c r="WET617" s="30"/>
      <c r="WEU617" s="30"/>
      <c r="WEV617" s="30"/>
      <c r="WEW617" s="30"/>
      <c r="WEX617" s="30"/>
      <c r="WEY617" s="30"/>
      <c r="WEZ617" s="30"/>
      <c r="WFA617" s="30"/>
      <c r="WFB617" s="30"/>
      <c r="WFC617" s="30"/>
      <c r="WFD617" s="30"/>
      <c r="WFE617" s="30"/>
      <c r="WFF617" s="30"/>
      <c r="WFG617" s="30"/>
      <c r="WFH617" s="30"/>
      <c r="WFI617" s="30"/>
      <c r="WFJ617" s="30"/>
      <c r="WFK617" s="30"/>
      <c r="WFL617" s="30"/>
      <c r="WFM617" s="30"/>
      <c r="WFN617" s="30"/>
      <c r="WFO617" s="30"/>
      <c r="WFP617" s="30"/>
      <c r="WFQ617" s="30"/>
      <c r="WFR617" s="30"/>
      <c r="WFS617" s="30"/>
      <c r="WFT617" s="30"/>
      <c r="WFU617" s="30"/>
      <c r="WFV617" s="30"/>
      <c r="WFW617" s="30"/>
      <c r="WFX617" s="30"/>
      <c r="WFY617" s="30"/>
      <c r="WFZ617" s="30"/>
      <c r="WGA617" s="30"/>
      <c r="WGB617" s="30"/>
      <c r="WGC617" s="30"/>
      <c r="WGD617" s="30"/>
      <c r="WGE617" s="30"/>
      <c r="WGF617" s="30"/>
      <c r="WGG617" s="30"/>
      <c r="WGH617" s="30"/>
      <c r="WGI617" s="30"/>
      <c r="WGJ617" s="30"/>
      <c r="WGK617" s="30"/>
      <c r="WGL617" s="30"/>
      <c r="WGM617" s="30"/>
      <c r="WGN617" s="30"/>
      <c r="WGO617" s="30"/>
      <c r="WGP617" s="30"/>
      <c r="WGQ617" s="30"/>
      <c r="WGR617" s="30"/>
      <c r="WGS617" s="30"/>
      <c r="WGT617" s="30"/>
      <c r="WGU617" s="30"/>
      <c r="WGV617" s="30"/>
      <c r="WGW617" s="30"/>
      <c r="WGX617" s="30"/>
      <c r="WGY617" s="30"/>
      <c r="WGZ617" s="30"/>
      <c r="WHA617" s="30"/>
      <c r="WHB617" s="30"/>
      <c r="WHC617" s="30"/>
      <c r="WHD617" s="30"/>
      <c r="WHE617" s="30"/>
      <c r="WHF617" s="30"/>
      <c r="WHG617" s="30"/>
      <c r="WHH617" s="30"/>
      <c r="WHI617" s="30"/>
      <c r="WHJ617" s="30"/>
      <c r="WHK617" s="30"/>
      <c r="WHL617" s="30"/>
      <c r="WHM617" s="30"/>
      <c r="WHN617" s="30"/>
      <c r="WHO617" s="30"/>
      <c r="WHP617" s="30"/>
      <c r="WHQ617" s="30"/>
      <c r="WHR617" s="30"/>
      <c r="WHS617" s="30"/>
      <c r="WHT617" s="30"/>
      <c r="WHU617" s="30"/>
      <c r="WHV617" s="30"/>
      <c r="WHW617" s="30"/>
      <c r="WHX617" s="30"/>
      <c r="WHY617" s="30"/>
      <c r="WHZ617" s="30"/>
      <c r="WIA617" s="30"/>
      <c r="WIB617" s="30"/>
      <c r="WIC617" s="30"/>
      <c r="WID617" s="30"/>
      <c r="WIE617" s="30"/>
      <c r="WIF617" s="30"/>
      <c r="WIG617" s="30"/>
      <c r="WIH617" s="30"/>
      <c r="WII617" s="30"/>
      <c r="WIJ617" s="30"/>
      <c r="WIK617" s="30"/>
      <c r="WIL617" s="30"/>
      <c r="WIM617" s="30"/>
      <c r="WIN617" s="30"/>
      <c r="WIO617" s="30"/>
      <c r="WIP617" s="30"/>
      <c r="WIQ617" s="30"/>
      <c r="WIR617" s="30"/>
      <c r="WIS617" s="30"/>
      <c r="WIT617" s="30"/>
      <c r="WIU617" s="30"/>
      <c r="WIV617" s="30"/>
      <c r="WIW617" s="30"/>
      <c r="WIX617" s="30"/>
      <c r="WIY617" s="30"/>
      <c r="WIZ617" s="30"/>
      <c r="WJA617" s="30"/>
      <c r="WJB617" s="30"/>
      <c r="WJC617" s="30"/>
      <c r="WJD617" s="30"/>
      <c r="WJE617" s="30"/>
      <c r="WJF617" s="30"/>
      <c r="WJG617" s="30"/>
      <c r="WJH617" s="30"/>
      <c r="WJI617" s="30"/>
      <c r="WJJ617" s="30"/>
      <c r="WJK617" s="30"/>
      <c r="WJL617" s="30"/>
      <c r="WJM617" s="30"/>
      <c r="WJN617" s="30"/>
      <c r="WJO617" s="30"/>
      <c r="WJP617" s="30"/>
      <c r="WJQ617" s="30"/>
      <c r="WJR617" s="30"/>
      <c r="WJS617" s="30"/>
      <c r="WJT617" s="30"/>
      <c r="WJU617" s="30"/>
      <c r="WJV617" s="30"/>
      <c r="WJW617" s="30"/>
      <c r="WJX617" s="30"/>
      <c r="WJY617" s="30"/>
      <c r="WJZ617" s="30"/>
      <c r="WKA617" s="30"/>
      <c r="WKB617" s="30"/>
      <c r="WKC617" s="30"/>
      <c r="WKD617" s="30"/>
      <c r="WKE617" s="30"/>
      <c r="WKF617" s="30"/>
      <c r="WKG617" s="30"/>
      <c r="WKH617" s="30"/>
      <c r="WKI617" s="30"/>
      <c r="WKJ617" s="30"/>
      <c r="WKK617" s="30"/>
      <c r="WKL617" s="30"/>
      <c r="WKM617" s="30"/>
      <c r="WKN617" s="30"/>
      <c r="WKO617" s="30"/>
      <c r="WKP617" s="30"/>
      <c r="WKQ617" s="30"/>
      <c r="WKR617" s="30"/>
      <c r="WKS617" s="30"/>
      <c r="WKT617" s="30"/>
      <c r="WKU617" s="30"/>
      <c r="WKV617" s="30"/>
      <c r="WKW617" s="30"/>
      <c r="WKX617" s="30"/>
      <c r="WKY617" s="30"/>
      <c r="WKZ617" s="30"/>
      <c r="WLA617" s="30"/>
      <c r="WLB617" s="30"/>
      <c r="WLC617" s="30"/>
      <c r="WLD617" s="30"/>
      <c r="WLE617" s="30"/>
      <c r="WLF617" s="30"/>
      <c r="WLG617" s="30"/>
      <c r="WLH617" s="30"/>
      <c r="WLI617" s="30"/>
      <c r="WLJ617" s="30"/>
      <c r="WLK617" s="30"/>
      <c r="WLL617" s="30"/>
      <c r="WLM617" s="30"/>
      <c r="WLN617" s="30"/>
      <c r="WLO617" s="30"/>
      <c r="WLP617" s="30"/>
      <c r="WLQ617" s="30"/>
      <c r="WLR617" s="30"/>
      <c r="WLS617" s="30"/>
      <c r="WLT617" s="30"/>
      <c r="WLU617" s="30"/>
      <c r="WLV617" s="30"/>
      <c r="WLW617" s="30"/>
      <c r="WLX617" s="30"/>
      <c r="WLY617" s="30"/>
      <c r="WLZ617" s="30"/>
      <c r="WMA617" s="30"/>
      <c r="WMB617" s="30"/>
      <c r="WMC617" s="30"/>
      <c r="WMD617" s="30"/>
      <c r="WME617" s="30"/>
      <c r="WMF617" s="30"/>
      <c r="WMG617" s="30"/>
      <c r="WMH617" s="30"/>
      <c r="WMI617" s="30"/>
      <c r="WMJ617" s="30"/>
      <c r="WMK617" s="30"/>
      <c r="WML617" s="30"/>
      <c r="WMM617" s="30"/>
      <c r="WMN617" s="30"/>
      <c r="WMO617" s="30"/>
      <c r="WMP617" s="30"/>
      <c r="WMQ617" s="30"/>
      <c r="WMR617" s="30"/>
      <c r="WMS617" s="30"/>
      <c r="WMT617" s="30"/>
      <c r="WMU617" s="30"/>
      <c r="WMV617" s="30"/>
      <c r="WMW617" s="30"/>
      <c r="WMX617" s="30"/>
      <c r="WMY617" s="30"/>
      <c r="WMZ617" s="30"/>
      <c r="WNA617" s="30"/>
      <c r="WNB617" s="30"/>
      <c r="WNC617" s="30"/>
      <c r="WND617" s="30"/>
      <c r="WNE617" s="30"/>
      <c r="WNF617" s="30"/>
      <c r="WNG617" s="30"/>
      <c r="WNH617" s="30"/>
      <c r="WNI617" s="30"/>
      <c r="WNJ617" s="30"/>
      <c r="WNK617" s="30"/>
      <c r="WNL617" s="30"/>
      <c r="WNM617" s="30"/>
      <c r="WNN617" s="30"/>
      <c r="WNO617" s="30"/>
      <c r="WNP617" s="30"/>
      <c r="WNQ617" s="30"/>
      <c r="WNR617" s="30"/>
      <c r="WNS617" s="30"/>
      <c r="WNT617" s="30"/>
      <c r="WNU617" s="30"/>
      <c r="WNV617" s="30"/>
      <c r="WNW617" s="30"/>
      <c r="WNX617" s="30"/>
      <c r="WNY617" s="30"/>
      <c r="WNZ617" s="30"/>
      <c r="WOA617" s="30"/>
      <c r="WOB617" s="30"/>
      <c r="WOC617" s="30"/>
      <c r="WOD617" s="30"/>
      <c r="WOE617" s="30"/>
      <c r="WOF617" s="30"/>
      <c r="WOG617" s="30"/>
      <c r="WOH617" s="30"/>
      <c r="WOI617" s="30"/>
      <c r="WOJ617" s="30"/>
      <c r="WOK617" s="30"/>
      <c r="WOL617" s="30"/>
      <c r="WOM617" s="30"/>
      <c r="WON617" s="30"/>
      <c r="WOO617" s="30"/>
      <c r="WOP617" s="30"/>
      <c r="WOQ617" s="30"/>
      <c r="WOR617" s="30"/>
      <c r="WOS617" s="30"/>
      <c r="WOT617" s="30"/>
      <c r="WOU617" s="30"/>
      <c r="WOV617" s="30"/>
      <c r="WOW617" s="30"/>
      <c r="WOX617" s="30"/>
      <c r="WOY617" s="30"/>
      <c r="WOZ617" s="30"/>
      <c r="WPA617" s="30"/>
      <c r="WPB617" s="30"/>
      <c r="WPC617" s="30"/>
      <c r="WPD617" s="30"/>
      <c r="WPE617" s="30"/>
      <c r="WPF617" s="30"/>
      <c r="WPG617" s="30"/>
      <c r="WPH617" s="30"/>
      <c r="WPI617" s="30"/>
      <c r="WPJ617" s="30"/>
      <c r="WPK617" s="30"/>
      <c r="WPL617" s="30"/>
      <c r="WPM617" s="30"/>
      <c r="WPN617" s="30"/>
      <c r="WPO617" s="30"/>
      <c r="WPP617" s="30"/>
      <c r="WPQ617" s="30"/>
      <c r="WPR617" s="30"/>
      <c r="WPS617" s="30"/>
      <c r="WPT617" s="30"/>
      <c r="WPU617" s="30"/>
      <c r="WPV617" s="30"/>
      <c r="WPW617" s="30"/>
      <c r="WPX617" s="30"/>
      <c r="WPY617" s="30"/>
      <c r="WPZ617" s="30"/>
      <c r="WQA617" s="30"/>
      <c r="WQB617" s="30"/>
      <c r="WQC617" s="30"/>
      <c r="WQD617" s="30"/>
      <c r="WQE617" s="30"/>
      <c r="WQF617" s="30"/>
      <c r="WQG617" s="30"/>
      <c r="WQH617" s="30"/>
      <c r="WQI617" s="30"/>
      <c r="WQJ617" s="30"/>
      <c r="WQK617" s="30"/>
      <c r="WQL617" s="30"/>
      <c r="WQM617" s="30"/>
      <c r="WQN617" s="30"/>
      <c r="WQO617" s="30"/>
      <c r="WQP617" s="30"/>
      <c r="WQQ617" s="30"/>
      <c r="WQR617" s="30"/>
      <c r="WQS617" s="30"/>
      <c r="WQT617" s="30"/>
      <c r="WQU617" s="30"/>
      <c r="WQV617" s="30"/>
      <c r="WQW617" s="30"/>
      <c r="WQX617" s="30"/>
      <c r="WQY617" s="30"/>
      <c r="WQZ617" s="30"/>
      <c r="WRA617" s="30"/>
      <c r="WRB617" s="30"/>
      <c r="WRC617" s="30"/>
      <c r="WRD617" s="30"/>
      <c r="WRE617" s="30"/>
      <c r="WRF617" s="30"/>
      <c r="WRG617" s="30"/>
      <c r="WRH617" s="30"/>
      <c r="WRI617" s="30"/>
      <c r="WRJ617" s="30"/>
      <c r="WRK617" s="30"/>
      <c r="WRL617" s="30"/>
      <c r="WRM617" s="30"/>
      <c r="WRN617" s="30"/>
      <c r="WRO617" s="30"/>
      <c r="WRP617" s="30"/>
      <c r="WRQ617" s="30"/>
      <c r="WRR617" s="30"/>
      <c r="WRS617" s="30"/>
      <c r="WRT617" s="30"/>
      <c r="WRU617" s="30"/>
      <c r="WRV617" s="30"/>
      <c r="WRW617" s="30"/>
      <c r="WRX617" s="30"/>
      <c r="WRY617" s="30"/>
      <c r="WRZ617" s="30"/>
      <c r="WSA617" s="30"/>
      <c r="WSB617" s="30"/>
      <c r="WSC617" s="30"/>
      <c r="WSD617" s="30"/>
      <c r="WSE617" s="30"/>
      <c r="WSF617" s="30"/>
      <c r="WSG617" s="30"/>
      <c r="WSH617" s="30"/>
      <c r="WSI617" s="30"/>
      <c r="WSJ617" s="30"/>
      <c r="WSK617" s="30"/>
      <c r="WSL617" s="30"/>
      <c r="WSM617" s="30"/>
      <c r="WSN617" s="30"/>
      <c r="WSO617" s="30"/>
      <c r="WSP617" s="30"/>
      <c r="WSQ617" s="30"/>
      <c r="WSR617" s="30"/>
      <c r="WSS617" s="30"/>
      <c r="WST617" s="30"/>
      <c r="WSU617" s="30"/>
      <c r="WSV617" s="30"/>
      <c r="WSW617" s="30"/>
      <c r="WSX617" s="30"/>
      <c r="WSY617" s="30"/>
      <c r="WSZ617" s="30"/>
      <c r="WTA617" s="30"/>
      <c r="WTB617" s="30"/>
      <c r="WTC617" s="30"/>
      <c r="WTD617" s="30"/>
      <c r="WTE617" s="30"/>
      <c r="WTF617" s="30"/>
      <c r="WTG617" s="30"/>
      <c r="WTH617" s="30"/>
      <c r="WTI617" s="30"/>
      <c r="WTJ617" s="30"/>
      <c r="WTK617" s="30"/>
      <c r="WTL617" s="30"/>
      <c r="WTM617" s="30"/>
      <c r="WTN617" s="30"/>
      <c r="WTO617" s="30"/>
      <c r="WTP617" s="30"/>
      <c r="WTQ617" s="30"/>
      <c r="WTR617" s="30"/>
      <c r="WTS617" s="30"/>
      <c r="WTT617" s="30"/>
      <c r="WTU617" s="30"/>
      <c r="WTV617" s="30"/>
      <c r="WTW617" s="30"/>
      <c r="WTX617" s="30"/>
      <c r="WTY617" s="30"/>
      <c r="WTZ617" s="30"/>
      <c r="WUA617" s="30"/>
      <c r="WUB617" s="30"/>
      <c r="WUC617" s="30"/>
      <c r="WUD617" s="30"/>
      <c r="WUE617" s="30"/>
      <c r="WUF617" s="30"/>
      <c r="WUG617" s="30"/>
      <c r="WUH617" s="30"/>
      <c r="WUI617" s="30"/>
      <c r="WUJ617" s="30"/>
      <c r="WUK617" s="30"/>
      <c r="WUL617" s="30"/>
      <c r="WUM617" s="30"/>
      <c r="WUN617" s="30"/>
      <c r="WUO617" s="30"/>
      <c r="WUP617" s="30"/>
      <c r="WUQ617" s="30"/>
      <c r="WUR617" s="30"/>
      <c r="WUS617" s="30"/>
      <c r="WUT617" s="30"/>
      <c r="WUU617" s="30"/>
      <c r="WUV617" s="30"/>
      <c r="WUW617" s="30"/>
      <c r="WUX617" s="30"/>
      <c r="WUY617" s="30"/>
      <c r="WUZ617" s="30"/>
      <c r="WVA617" s="30"/>
      <c r="WVB617" s="30"/>
      <c r="WVC617" s="30"/>
      <c r="WVD617" s="30"/>
      <c r="WVE617" s="30"/>
      <c r="WVF617" s="30"/>
      <c r="WVG617" s="30"/>
      <c r="WVH617" s="30"/>
      <c r="WVI617" s="30"/>
      <c r="WVJ617" s="30"/>
      <c r="WVK617" s="30"/>
      <c r="WVL617" s="30"/>
      <c r="WVM617" s="30"/>
      <c r="WVN617" s="30"/>
      <c r="WVO617" s="30"/>
      <c r="WVP617" s="30"/>
      <c r="WVQ617" s="30"/>
      <c r="WVR617" s="30"/>
      <c r="WVS617" s="30"/>
      <c r="WVT617" s="30"/>
      <c r="WVU617" s="30"/>
      <c r="WVV617" s="30"/>
      <c r="WVW617" s="30"/>
      <c r="WVX617" s="30"/>
      <c r="WVY617" s="30"/>
      <c r="WVZ617" s="30"/>
      <c r="WWA617" s="30"/>
      <c r="WWB617" s="30"/>
      <c r="WWC617" s="30"/>
      <c r="WWD617" s="30"/>
      <c r="WWE617" s="30"/>
      <c r="WWF617" s="30"/>
      <c r="WWG617" s="30"/>
      <c r="WWH617" s="30"/>
      <c r="WWI617" s="30"/>
      <c r="WWJ617" s="30"/>
      <c r="WWK617" s="30"/>
      <c r="WWL617" s="30"/>
      <c r="WWM617" s="30"/>
      <c r="WWN617" s="30"/>
      <c r="WWO617" s="30"/>
      <c r="WWP617" s="30"/>
      <c r="WWQ617" s="30"/>
      <c r="WWR617" s="30"/>
      <c r="WWS617" s="30"/>
      <c r="WWT617" s="30"/>
      <c r="WWU617" s="30"/>
      <c r="WWV617" s="30"/>
      <c r="WWW617" s="30"/>
      <c r="WWX617" s="30"/>
      <c r="WWY617" s="30"/>
      <c r="WWZ617" s="30"/>
      <c r="WXA617" s="30"/>
      <c r="WXB617" s="30"/>
      <c r="WXC617" s="30"/>
      <c r="WXD617" s="30"/>
      <c r="WXE617" s="30"/>
      <c r="WXF617" s="30"/>
      <c r="WXG617" s="30"/>
      <c r="WXH617" s="30"/>
      <c r="WXI617" s="30"/>
      <c r="WXJ617" s="30"/>
      <c r="WXK617" s="30"/>
      <c r="WXL617" s="30"/>
      <c r="WXM617" s="30"/>
      <c r="WXN617" s="30"/>
      <c r="WXO617" s="30"/>
      <c r="WXP617" s="30"/>
      <c r="WXQ617" s="30"/>
      <c r="WXR617" s="30"/>
      <c r="WXS617" s="30"/>
      <c r="WXT617" s="30"/>
      <c r="WXU617" s="30"/>
      <c r="WXV617" s="30"/>
      <c r="WXW617" s="30"/>
      <c r="WXX617" s="30"/>
      <c r="WXY617" s="30"/>
      <c r="WXZ617" s="30"/>
      <c r="WYA617" s="30"/>
      <c r="WYB617" s="30"/>
      <c r="WYC617" s="30"/>
      <c r="WYD617" s="30"/>
      <c r="WYE617" s="30"/>
      <c r="WYF617" s="30"/>
      <c r="WYG617" s="30"/>
      <c r="WYH617" s="30"/>
      <c r="WYI617" s="30"/>
      <c r="WYJ617" s="30"/>
      <c r="WYK617" s="30"/>
      <c r="WYL617" s="30"/>
      <c r="WYM617" s="30"/>
      <c r="WYN617" s="30"/>
      <c r="WYO617" s="30"/>
      <c r="WYP617" s="30"/>
      <c r="WYQ617" s="30"/>
      <c r="WYR617" s="30"/>
      <c r="WYS617" s="30"/>
      <c r="WYT617" s="30"/>
      <c r="WYU617" s="30"/>
      <c r="WYV617" s="30"/>
      <c r="WYW617" s="30"/>
      <c r="WYX617" s="30"/>
      <c r="WYY617" s="30"/>
      <c r="WYZ617" s="30"/>
      <c r="WZA617" s="30"/>
      <c r="WZB617" s="30"/>
      <c r="WZC617" s="30"/>
      <c r="WZD617" s="30"/>
      <c r="WZE617" s="30"/>
      <c r="WZF617" s="30"/>
      <c r="WZG617" s="30"/>
      <c r="WZH617" s="30"/>
      <c r="WZI617" s="30"/>
      <c r="WZJ617" s="30"/>
      <c r="WZK617" s="30"/>
      <c r="WZL617" s="30"/>
      <c r="WZM617" s="30"/>
      <c r="WZN617" s="30"/>
      <c r="WZO617" s="30"/>
      <c r="WZP617" s="30"/>
      <c r="WZQ617" s="30"/>
      <c r="WZR617" s="30"/>
      <c r="WZS617" s="30"/>
      <c r="WZT617" s="30"/>
      <c r="WZU617" s="30"/>
      <c r="WZV617" s="30"/>
      <c r="WZW617" s="30"/>
      <c r="WZX617" s="30"/>
      <c r="WZY617" s="30"/>
      <c r="WZZ617" s="30"/>
      <c r="XAA617" s="30"/>
      <c r="XAB617" s="30"/>
      <c r="XAC617" s="30"/>
      <c r="XAD617" s="30"/>
      <c r="XAE617" s="30"/>
      <c r="XAF617" s="30"/>
      <c r="XAG617" s="30"/>
      <c r="XAH617" s="30"/>
      <c r="XAI617" s="30"/>
      <c r="XAJ617" s="30"/>
      <c r="XAK617" s="30"/>
      <c r="XAL617" s="30"/>
      <c r="XAM617" s="30"/>
      <c r="XAN617" s="30"/>
      <c r="XAO617" s="30"/>
      <c r="XAP617" s="30"/>
      <c r="XAQ617" s="30"/>
      <c r="XAR617" s="30"/>
      <c r="XAS617" s="30"/>
      <c r="XAT617" s="30"/>
      <c r="XAU617" s="30"/>
      <c r="XAV617" s="30"/>
      <c r="XAW617" s="30"/>
      <c r="XAX617" s="30"/>
      <c r="XAY617" s="30"/>
      <c r="XAZ617" s="30"/>
      <c r="XBA617" s="30"/>
      <c r="XBB617" s="30"/>
      <c r="XBC617" s="30"/>
      <c r="XBD617" s="30"/>
      <c r="XBE617" s="30"/>
      <c r="XBF617" s="30"/>
      <c r="XBG617" s="30"/>
      <c r="XBH617" s="30"/>
      <c r="XBI617" s="30"/>
      <c r="XBJ617" s="30"/>
      <c r="XBK617" s="30"/>
      <c r="XBL617" s="30"/>
      <c r="XBM617" s="30"/>
      <c r="XBN617" s="30"/>
      <c r="XBO617" s="30"/>
      <c r="XBP617" s="30"/>
      <c r="XBQ617" s="30"/>
      <c r="XBR617" s="30"/>
      <c r="XBS617" s="30"/>
      <c r="XBT617" s="30"/>
      <c r="XBU617" s="30"/>
      <c r="XBV617" s="30"/>
      <c r="XBW617" s="30"/>
      <c r="XBX617" s="30"/>
      <c r="XBY617" s="30"/>
      <c r="XBZ617" s="30"/>
      <c r="XCA617" s="30"/>
      <c r="XCB617" s="30"/>
      <c r="XCC617" s="30"/>
      <c r="XCD617" s="30"/>
      <c r="XCE617" s="30"/>
      <c r="XCF617" s="30"/>
      <c r="XCG617" s="30"/>
      <c r="XCH617" s="30"/>
      <c r="XCI617" s="30"/>
      <c r="XCJ617" s="30"/>
      <c r="XCK617" s="30"/>
      <c r="XCL617" s="30"/>
      <c r="XCM617" s="30"/>
      <c r="XCN617" s="30"/>
      <c r="XCO617" s="30"/>
      <c r="XCP617" s="30"/>
      <c r="XCQ617" s="30"/>
      <c r="XCR617" s="30"/>
      <c r="XCS617" s="30"/>
      <c r="XCT617" s="30"/>
      <c r="XCU617" s="30"/>
      <c r="XCV617" s="30"/>
      <c r="XCW617" s="30"/>
      <c r="XCX617" s="30"/>
      <c r="XCY617" s="30"/>
      <c r="XCZ617" s="30"/>
      <c r="XDA617" s="30"/>
      <c r="XDB617" s="30"/>
      <c r="XDC617" s="30"/>
      <c r="XDD617" s="30"/>
      <c r="XDE617" s="30"/>
      <c r="XDF617" s="30"/>
      <c r="XDG617" s="30"/>
      <c r="XDH617" s="30"/>
      <c r="XDI617" s="30"/>
      <c r="XDJ617" s="30"/>
      <c r="XDK617" s="30"/>
      <c r="XDL617" s="30"/>
      <c r="XDM617" s="30"/>
      <c r="XDN617" s="30"/>
      <c r="XDO617" s="30"/>
      <c r="XDP617" s="30"/>
      <c r="XDQ617" s="30"/>
      <c r="XDR617" s="30"/>
      <c r="XDS617" s="30"/>
      <c r="XDT617" s="30"/>
      <c r="XDU617" s="30"/>
      <c r="XDV617" s="30"/>
      <c r="XDW617" s="30"/>
      <c r="XDX617" s="30"/>
      <c r="XDY617" s="30"/>
      <c r="XDZ617" s="30"/>
      <c r="XEA617" s="30"/>
      <c r="XEB617" s="30"/>
      <c r="XEC617" s="30"/>
      <c r="XED617" s="30"/>
      <c r="XEE617" s="30"/>
      <c r="XEF617" s="30"/>
      <c r="XEG617" s="30"/>
      <c r="XEH617" s="30"/>
      <c r="XEI617" s="30"/>
      <c r="XEJ617" s="30"/>
      <c r="XEK617" s="30"/>
      <c r="XEL617" s="30"/>
      <c r="XEM617" s="30"/>
      <c r="XEN617" s="30"/>
      <c r="XEO617" s="30"/>
      <c r="XEP617" s="30"/>
      <c r="XEQ617" s="30"/>
      <c r="XER617" s="30"/>
      <c r="XES617" s="30"/>
      <c r="XET617" s="30"/>
      <c r="XEU617" s="30"/>
      <c r="XEV617" s="30"/>
      <c r="XEW617" s="30"/>
      <c r="XEX617" s="30"/>
      <c r="XEY617" s="30"/>
    </row>
    <row r="618" spans="1:16379" ht="12.75" customHeight="1" x14ac:dyDescent="0.25">
      <c r="A618" s="313"/>
      <c r="B618" s="328"/>
      <c r="C618" s="329"/>
      <c r="D618" s="328"/>
      <c r="E618" s="330"/>
      <c r="F618" s="328"/>
      <c r="G618" s="329"/>
      <c r="H618" s="329"/>
      <c r="I618" s="328"/>
      <c r="J618" s="383"/>
      <c r="K618" s="329"/>
      <c r="L618" s="329"/>
      <c r="M618" s="78"/>
      <c r="N618" s="103" t="str">
        <f>IF(A618="","",VLOOKUP(A618,Stand!C:K,9,0))</f>
        <v/>
      </c>
      <c r="O618" s="104" t="str">
        <f t="shared" si="281"/>
        <v/>
      </c>
      <c r="P618" s="105" t="str">
        <f t="shared" si="282"/>
        <v/>
      </c>
      <c r="Q618" s="105" t="str">
        <f t="shared" si="297"/>
        <v/>
      </c>
      <c r="R618" s="103" t="str">
        <f t="shared" si="283"/>
        <v/>
      </c>
      <c r="S618" s="103" t="str">
        <f t="shared" si="284"/>
        <v/>
      </c>
      <c r="T618" s="106" t="str">
        <f t="shared" si="298"/>
        <v/>
      </c>
      <c r="U618" s="106" t="str">
        <f t="shared" si="299"/>
        <v/>
      </c>
      <c r="V618" s="106" t="str">
        <f t="shared" si="300"/>
        <v/>
      </c>
      <c r="W618" s="105" t="str">
        <f t="shared" si="285"/>
        <v/>
      </c>
      <c r="X618" s="104" t="str">
        <f t="shared" si="290"/>
        <v/>
      </c>
      <c r="Y618" s="104" t="str">
        <f t="array" ref="Y618">IFERROR(IF(ISNUMBER(O618),IF(COUNT(IF(A618=$A$2:$A$2427,IF(D618=$D$2:$D$2427,IF($X$2:$X$2427&gt;0,1))))&gt;0,SUM(IF(A618=$A$2:$A$2427,IF(D618=$D$2:$D$2427,$X$2:$X$2427)))/COUNT(IF(A618=$A$2:$A$2427,IF(D618=$D$2:$D$2427,IF(ISNUMBER($X$2:$X$2427),1)))),0),""),0)</f>
        <v/>
      </c>
      <c r="Z618" s="104" t="str">
        <f>IF(ISNUMBER(O618),IF(I618&gt;0,(10^(VLOOKUP(D618,'Species Codes'!B:C,2,0)+VLOOKUP(D618,'Species Codes'!B:D,3,0)*LOG(E618)+VLOOKUP(D618,'Species Codes'!B:E,4,0)*LOG(I618))),0),"")</f>
        <v/>
      </c>
      <c r="AA618" s="104" t="str">
        <f>IFERROR((VLOOKUP(D618,'Species Codes'!B:G,6,0)*Z618)/2000,"")</f>
        <v/>
      </c>
      <c r="AB618" s="104" t="e">
        <f>IF(Z618&gt;0,((IF(OR(D618="DF",D618="RA")=TRUE,EXP(VLOOKUP(D618,'Species Codes'!B:I,8,0)+VLOOKUP(D618,'Species Codes'!B:J,9,0)*(LN((E618*2.54)))),IF(OR(D618="PY",D618="RC",D618="WH",D618="NF")=TRUE,VLOOKUP(D618,'Species Codes'!B:I,8,0)+VLOOKUP(D618,'Species Codes'!B:J,9,0)*((E618*2.54)^2)*(I618*0.3048),IF(OR(D618="MD",D618="BM",D618="GA")=TRUE,((VLOOKUP(D618,'Species Codes'!B:I,8,0)*(((((E618*2.54)+VLOOKUP(D618,'Species Codes'!B:J,9,0))/VLOOKUP(D618,'Species Codes'!B:K,10,0))^VLOOKUP(D618,'Species Codes'!B:L,11,0))*((I618*0.3048)^VLOOKUP(D618,'Species Codes'!B:M,12,0))))-(VLOOKUP(D618,'Species Codes'!B:I,8,0)*((((E618*2.54)^VLOOKUP(D618,'Species Codes'!B:L,11,0))*((I618*0.3048)^VLOOKUP(D618,'Species Codes'!B:M,12,0))))))*35.3*VLOOKUP(D618,'Species Codes'!B:G,6,0)/2.2046,VLOOKUP(D618,'Species Codes'!B:I,8,0)+VLOOKUP(D618,'Species Codes'!B:J,9,0)*(((E618*2.54)/100)^2)*(I618*0.3048)))))*0.0011023),0)</f>
        <v>#N/A</v>
      </c>
      <c r="AC618" s="104" t="e">
        <f>IF(Z618&gt;0,((IF(OR(D618="RA",D618="OA",D618="OT",D618="UN",D618="PC"),EXP(VLOOKUP(D618,'Species Codes'!B:O,14,0)+VLOOKUP(D618,'Species Codes'!B:P,15,0)*LN((E618*2.54)))-EXP(VLOOKUP(D618,'Species Codes'!B:O,14,0)+VLOOKUP(D618,'Species Codes'!B:P,15,0)*LN((E618*2.54)))*(1/(VLOOKUP(D618,'Species Codes'!B:Q,16,0)+VLOOKUP(D618,'Species Codes'!B:R,17,0)*((E618*2.54)^VLOOKUP(D618,'Species Codes'!B:S,18,0)))),IF(OR(D618="BM",D618="MD",D618="OA"),EXP(VLOOKUP(D618,'Species Codes'!B:O,14,0)+VLOOKUP(D618,'Species Codes'!B:P,15,0)*LN((E618*2.54)))*(1-(1/(VLOOKUP(D618,'Species Codes'!B:Q,16,0)+VLOOKUP(D618,'Species Codes'!B:R,17,0)*((E618*2.54)^VLOOKUP(D618,'Species Codes'!B:S,18,0)))))/1000,IF(D618="DF",EXP(VLOOKUP(D618,'Species Codes'!B:O,14,0)+VLOOKUP(D618,'Species Codes'!B:P,15,0)*LN((E618*2.54))),VLOOKUP(D618,'Species Codes'!B:O,14,0)+VLOOKUP(D618,'Species Codes'!B:P,15,0)*(((E618*2.54)/100)^2)*(I618*0.3048)))))*0.0011023),0)</f>
        <v>#N/A</v>
      </c>
      <c r="AD618" s="104" t="e">
        <f t="shared" si="301"/>
        <v>#N/A</v>
      </c>
      <c r="AE618" s="104" t="e">
        <f t="shared" si="302"/>
        <v>#N/A</v>
      </c>
      <c r="AF618" s="104" t="e">
        <f>IF(AND(VLOOKUP($D618,Merchantability!$B:$C,2,0)="Yes",$E618&gt;=VLOOKUP($D618,Merchantability!$B:$D,3,0),$E618&lt;=VLOOKUP($D618,Merchantability!$B:$E,4,0)),AA618,0)</f>
        <v>#N/A</v>
      </c>
      <c r="AG618" s="104" t="e">
        <f>IF(AND(VLOOKUP($D618,Merchantability!$B:$C,2,0)="Yes",$E618&gt;=VLOOKUP($D618,Merchantability!$B:$D,3,0),$E618&lt;=VLOOKUP($D618,Merchantability!$B:$E,4,0)),AB618,0)</f>
        <v>#N/A</v>
      </c>
      <c r="AH618" s="104" t="e">
        <f>IF(AND(VLOOKUP($D618,Merchantability!$B:$C,2,0)="Yes",$E618&gt;=VLOOKUP($D618,Merchantability!$B:$D,3,0),$E618&lt;=VLOOKUP($D618,Merchantability!$B:$E,4,0)),AC618,0)</f>
        <v>#N/A</v>
      </c>
      <c r="AI618" s="104" t="e">
        <f t="shared" si="303"/>
        <v>#N/A</v>
      </c>
      <c r="AJ618" s="104" t="e">
        <f t="shared" si="304"/>
        <v>#VALUE!</v>
      </c>
      <c r="AK618" s="104" t="e">
        <f t="shared" si="305"/>
        <v>#N/A</v>
      </c>
      <c r="AL618" s="104" t="e">
        <f t="shared" si="306"/>
        <v>#N/A</v>
      </c>
      <c r="AM618" s="104" t="e">
        <f t="shared" si="307"/>
        <v>#N/A</v>
      </c>
      <c r="AN618" s="104" t="e">
        <f t="shared" si="291"/>
        <v>#N/A</v>
      </c>
      <c r="AO618" s="104" t="e">
        <f t="shared" si="292"/>
        <v>#N/A</v>
      </c>
      <c r="AP618" s="104" t="e">
        <f t="shared" si="293"/>
        <v>#N/A</v>
      </c>
      <c r="AQ618" s="104" t="e">
        <f t="shared" si="294"/>
        <v>#N/A</v>
      </c>
      <c r="AR618" s="105" t="str">
        <f t="shared" si="286"/>
        <v/>
      </c>
      <c r="AS618" s="105" t="str">
        <f t="shared" si="287"/>
        <v/>
      </c>
      <c r="AT618" s="108" t="str">
        <f t="shared" si="288"/>
        <v/>
      </c>
      <c r="AU618" s="108" t="str">
        <f t="shared" si="289"/>
        <v/>
      </c>
      <c r="AV618" s="107" t="str">
        <f>IF(ISNUMBER(O618),IF(VLOOKUP($A618,Stand!C:J,8,FALSE)="Short",AT618,AU618),"")</f>
        <v/>
      </c>
      <c r="AW618" s="109" t="str">
        <f t="shared" si="295"/>
        <v/>
      </c>
      <c r="AX618" s="109" t="str">
        <f t="shared" si="296"/>
        <v/>
      </c>
      <c r="AY618" s="112" t="str">
        <f>IF(ISNUMBER(O618),IF(AND(VLOOKUP($D618,Merchantability!$B:$C,2,0)="Yes",$E618&gt;=VLOOKUP($D618,Merchantability!$B:$D,3,0),$E618&lt;=VLOOKUP($D618,Merchantability!$B:$E,4,0)),(AV618*O618)*(1-$H618/100),""),"")</f>
        <v/>
      </c>
      <c r="AZ618" s="116"/>
      <c r="BA618" s="116"/>
      <c r="BB618" s="116"/>
      <c r="BE618" s="62"/>
      <c r="BF618" s="63"/>
    </row>
    <row r="619" spans="1:16379" ht="12.75" customHeight="1" x14ac:dyDescent="0.25">
      <c r="A619" s="313"/>
      <c r="B619" s="328"/>
      <c r="C619" s="329"/>
      <c r="D619" s="328"/>
      <c r="E619" s="330"/>
      <c r="F619" s="328"/>
      <c r="G619" s="329"/>
      <c r="H619" s="329"/>
      <c r="I619" s="328"/>
      <c r="J619" s="383"/>
      <c r="K619" s="329"/>
      <c r="L619" s="329"/>
      <c r="M619" s="78"/>
      <c r="N619" s="103" t="str">
        <f>IF(A619="","",VLOOKUP(A619,Stand!C:K,9,0))</f>
        <v/>
      </c>
      <c r="O619" s="104" t="str">
        <f t="shared" si="281"/>
        <v/>
      </c>
      <c r="P619" s="105" t="str">
        <f t="shared" si="282"/>
        <v/>
      </c>
      <c r="Q619" s="105" t="str">
        <f t="shared" si="297"/>
        <v/>
      </c>
      <c r="R619" s="103" t="str">
        <f t="shared" si="283"/>
        <v/>
      </c>
      <c r="S619" s="103" t="str">
        <f t="shared" si="284"/>
        <v/>
      </c>
      <c r="T619" s="106" t="str">
        <f t="shared" si="298"/>
        <v/>
      </c>
      <c r="U619" s="106" t="str">
        <f t="shared" si="299"/>
        <v/>
      </c>
      <c r="V619" s="106" t="str">
        <f t="shared" si="300"/>
        <v/>
      </c>
      <c r="W619" s="105" t="str">
        <f t="shared" si="285"/>
        <v/>
      </c>
      <c r="X619" s="104" t="str">
        <f t="shared" si="290"/>
        <v/>
      </c>
      <c r="Y619" s="104" t="str">
        <f t="array" ref="Y619">IFERROR(IF(ISNUMBER(O619),IF(COUNT(IF(A619=$A$2:$A$2427,IF(D619=$D$2:$D$2427,IF($X$2:$X$2427&gt;0,1))))&gt;0,SUM(IF(A619=$A$2:$A$2427,IF(D619=$D$2:$D$2427,$X$2:$X$2427)))/COUNT(IF(A619=$A$2:$A$2427,IF(D619=$D$2:$D$2427,IF(ISNUMBER($X$2:$X$2427),1)))),0),""),0)</f>
        <v/>
      </c>
      <c r="Z619" s="104" t="str">
        <f>IF(ISNUMBER(O619),IF(I619&gt;0,(10^(VLOOKUP(D619,'Species Codes'!B:C,2,0)+VLOOKUP(D619,'Species Codes'!B:D,3,0)*LOG(E619)+VLOOKUP(D619,'Species Codes'!B:E,4,0)*LOG(I619))),0),"")</f>
        <v/>
      </c>
      <c r="AA619" s="104" t="str">
        <f>IFERROR((VLOOKUP(D619,'Species Codes'!B:G,6,0)*Z619)/2000,"")</f>
        <v/>
      </c>
      <c r="AB619" s="104" t="e">
        <f>IF(Z619&gt;0,((IF(OR(D619="DF",D619="RA")=TRUE,EXP(VLOOKUP(D619,'Species Codes'!B:I,8,0)+VLOOKUP(D619,'Species Codes'!B:J,9,0)*(LN((E619*2.54)))),IF(OR(D619="PY",D619="RC",D619="WH",D619="NF")=TRUE,VLOOKUP(D619,'Species Codes'!B:I,8,0)+VLOOKUP(D619,'Species Codes'!B:J,9,0)*((E619*2.54)^2)*(I619*0.3048),IF(OR(D619="MD",D619="BM",D619="GA")=TRUE,((VLOOKUP(D619,'Species Codes'!B:I,8,0)*(((((E619*2.54)+VLOOKUP(D619,'Species Codes'!B:J,9,0))/VLOOKUP(D619,'Species Codes'!B:K,10,0))^VLOOKUP(D619,'Species Codes'!B:L,11,0))*((I619*0.3048)^VLOOKUP(D619,'Species Codes'!B:M,12,0))))-(VLOOKUP(D619,'Species Codes'!B:I,8,0)*((((E619*2.54)^VLOOKUP(D619,'Species Codes'!B:L,11,0))*((I619*0.3048)^VLOOKUP(D619,'Species Codes'!B:M,12,0))))))*35.3*VLOOKUP(D619,'Species Codes'!B:G,6,0)/2.2046,VLOOKUP(D619,'Species Codes'!B:I,8,0)+VLOOKUP(D619,'Species Codes'!B:J,9,0)*(((E619*2.54)/100)^2)*(I619*0.3048)))))*0.0011023),0)</f>
        <v>#N/A</v>
      </c>
      <c r="AC619" s="104" t="e">
        <f>IF(Z619&gt;0,((IF(OR(D619="RA",D619="OA",D619="OT",D619="UN",D619="PC"),EXP(VLOOKUP(D619,'Species Codes'!B:O,14,0)+VLOOKUP(D619,'Species Codes'!B:P,15,0)*LN((E619*2.54)))-EXP(VLOOKUP(D619,'Species Codes'!B:O,14,0)+VLOOKUP(D619,'Species Codes'!B:P,15,0)*LN((E619*2.54)))*(1/(VLOOKUP(D619,'Species Codes'!B:Q,16,0)+VLOOKUP(D619,'Species Codes'!B:R,17,0)*((E619*2.54)^VLOOKUP(D619,'Species Codes'!B:S,18,0)))),IF(OR(D619="BM",D619="MD",D619="OA"),EXP(VLOOKUP(D619,'Species Codes'!B:O,14,0)+VLOOKUP(D619,'Species Codes'!B:P,15,0)*LN((E619*2.54)))*(1-(1/(VLOOKUP(D619,'Species Codes'!B:Q,16,0)+VLOOKUP(D619,'Species Codes'!B:R,17,0)*((E619*2.54)^VLOOKUP(D619,'Species Codes'!B:S,18,0)))))/1000,IF(D619="DF",EXP(VLOOKUP(D619,'Species Codes'!B:O,14,0)+VLOOKUP(D619,'Species Codes'!B:P,15,0)*LN((E619*2.54))),VLOOKUP(D619,'Species Codes'!B:O,14,0)+VLOOKUP(D619,'Species Codes'!B:P,15,0)*(((E619*2.54)/100)^2)*(I619*0.3048)))))*0.0011023),0)</f>
        <v>#N/A</v>
      </c>
      <c r="AD619" s="104" t="e">
        <f t="shared" si="301"/>
        <v>#N/A</v>
      </c>
      <c r="AE619" s="104" t="e">
        <f t="shared" si="302"/>
        <v>#N/A</v>
      </c>
      <c r="AF619" s="104" t="e">
        <f>IF(AND(VLOOKUP($D619,Merchantability!$B:$C,2,0)="Yes",$E619&gt;=VLOOKUP($D619,Merchantability!$B:$D,3,0),$E619&lt;=VLOOKUP($D619,Merchantability!$B:$E,4,0)),AA619,0)</f>
        <v>#N/A</v>
      </c>
      <c r="AG619" s="104" t="e">
        <f>IF(AND(VLOOKUP($D619,Merchantability!$B:$C,2,0)="Yes",$E619&gt;=VLOOKUP($D619,Merchantability!$B:$D,3,0),$E619&lt;=VLOOKUP($D619,Merchantability!$B:$E,4,0)),AB619,0)</f>
        <v>#N/A</v>
      </c>
      <c r="AH619" s="104" t="e">
        <f>IF(AND(VLOOKUP($D619,Merchantability!$B:$C,2,0)="Yes",$E619&gt;=VLOOKUP($D619,Merchantability!$B:$D,3,0),$E619&lt;=VLOOKUP($D619,Merchantability!$B:$E,4,0)),AC619,0)</f>
        <v>#N/A</v>
      </c>
      <c r="AI619" s="104" t="e">
        <f t="shared" si="303"/>
        <v>#N/A</v>
      </c>
      <c r="AJ619" s="104" t="e">
        <f t="shared" si="304"/>
        <v>#VALUE!</v>
      </c>
      <c r="AK619" s="104" t="e">
        <f t="shared" si="305"/>
        <v>#N/A</v>
      </c>
      <c r="AL619" s="104" t="e">
        <f t="shared" si="306"/>
        <v>#N/A</v>
      </c>
      <c r="AM619" s="104" t="e">
        <f t="shared" si="307"/>
        <v>#N/A</v>
      </c>
      <c r="AN619" s="104" t="e">
        <f t="shared" si="291"/>
        <v>#N/A</v>
      </c>
      <c r="AO619" s="104" t="e">
        <f t="shared" si="292"/>
        <v>#N/A</v>
      </c>
      <c r="AP619" s="104" t="e">
        <f t="shared" si="293"/>
        <v>#N/A</v>
      </c>
      <c r="AQ619" s="104" t="e">
        <f t="shared" si="294"/>
        <v>#N/A</v>
      </c>
      <c r="AR619" s="105" t="str">
        <f t="shared" si="286"/>
        <v/>
      </c>
      <c r="AS619" s="105" t="str">
        <f t="shared" si="287"/>
        <v/>
      </c>
      <c r="AT619" s="108" t="str">
        <f t="shared" si="288"/>
        <v/>
      </c>
      <c r="AU619" s="108" t="str">
        <f t="shared" si="289"/>
        <v/>
      </c>
      <c r="AV619" s="107" t="str">
        <f>IF(ISNUMBER(O619),IF(VLOOKUP($A619,Stand!C:J,8,FALSE)="Short",AT619,AU619),"")</f>
        <v/>
      </c>
      <c r="AW619" s="109" t="str">
        <f t="shared" si="295"/>
        <v/>
      </c>
      <c r="AX619" s="109" t="str">
        <f t="shared" si="296"/>
        <v/>
      </c>
      <c r="AY619" s="112" t="str">
        <f>IF(ISNUMBER(O619),IF(AND(VLOOKUP($D619,Merchantability!$B:$C,2,0)="Yes",$E619&gt;=VLOOKUP($D619,Merchantability!$B:$D,3,0),$E619&lt;=VLOOKUP($D619,Merchantability!$B:$E,4,0)),(AV619*O619)*(1-$H619/100),""),"")</f>
        <v/>
      </c>
      <c r="AZ619" s="116"/>
      <c r="BA619" s="116"/>
      <c r="BB619" s="116"/>
      <c r="BE619" s="62"/>
      <c r="BF619" s="63"/>
    </row>
    <row r="620" spans="1:16379" ht="12.75" customHeight="1" x14ac:dyDescent="0.25">
      <c r="A620" s="313"/>
      <c r="B620" s="328"/>
      <c r="C620" s="329"/>
      <c r="D620" s="328"/>
      <c r="E620" s="330"/>
      <c r="F620" s="328"/>
      <c r="G620" s="329"/>
      <c r="H620" s="329"/>
      <c r="I620" s="328"/>
      <c r="J620" s="383"/>
      <c r="K620" s="329"/>
      <c r="L620" s="329"/>
      <c r="M620" s="78"/>
      <c r="N620" s="103" t="str">
        <f>IF(A620="","",VLOOKUP(A620,Stand!C:K,9,0))</f>
        <v/>
      </c>
      <c r="O620" s="104" t="str">
        <f t="shared" si="281"/>
        <v/>
      </c>
      <c r="P620" s="105" t="str">
        <f t="shared" si="282"/>
        <v/>
      </c>
      <c r="Q620" s="105" t="str">
        <f t="shared" si="297"/>
        <v/>
      </c>
      <c r="R620" s="103" t="str">
        <f t="shared" si="283"/>
        <v/>
      </c>
      <c r="S620" s="103" t="str">
        <f t="shared" si="284"/>
        <v/>
      </c>
      <c r="T620" s="106" t="str">
        <f t="shared" si="298"/>
        <v/>
      </c>
      <c r="U620" s="106" t="str">
        <f t="shared" si="299"/>
        <v/>
      </c>
      <c r="V620" s="106" t="str">
        <f t="shared" si="300"/>
        <v/>
      </c>
      <c r="W620" s="105" t="str">
        <f t="shared" si="285"/>
        <v/>
      </c>
      <c r="X620" s="104" t="str">
        <f t="shared" si="290"/>
        <v/>
      </c>
      <c r="Y620" s="104" t="str">
        <f t="array" ref="Y620">IFERROR(IF(ISNUMBER(O620),IF(COUNT(IF(A620=$A$2:$A$2427,IF(D620=$D$2:$D$2427,IF($X$2:$X$2427&gt;0,1))))&gt;0,SUM(IF(A620=$A$2:$A$2427,IF(D620=$D$2:$D$2427,$X$2:$X$2427)))/COUNT(IF(A620=$A$2:$A$2427,IF(D620=$D$2:$D$2427,IF(ISNUMBER($X$2:$X$2427),1)))),0),""),0)</f>
        <v/>
      </c>
      <c r="Z620" s="104" t="str">
        <f>IF(ISNUMBER(O620),IF(I620&gt;0,(10^(VLOOKUP(D620,'Species Codes'!B:C,2,0)+VLOOKUP(D620,'Species Codes'!B:D,3,0)*LOG(E620)+VLOOKUP(D620,'Species Codes'!B:E,4,0)*LOG(I620))),0),"")</f>
        <v/>
      </c>
      <c r="AA620" s="104" t="str">
        <f>IFERROR((VLOOKUP(D620,'Species Codes'!B:G,6,0)*Z620)/2000,"")</f>
        <v/>
      </c>
      <c r="AB620" s="104" t="e">
        <f>IF(Z620&gt;0,((IF(OR(D620="DF",D620="RA")=TRUE,EXP(VLOOKUP(D620,'Species Codes'!B:I,8,0)+VLOOKUP(D620,'Species Codes'!B:J,9,0)*(LN((E620*2.54)))),IF(OR(D620="PY",D620="RC",D620="WH",D620="NF")=TRUE,VLOOKUP(D620,'Species Codes'!B:I,8,0)+VLOOKUP(D620,'Species Codes'!B:J,9,0)*((E620*2.54)^2)*(I620*0.3048),IF(OR(D620="MD",D620="BM",D620="GA")=TRUE,((VLOOKUP(D620,'Species Codes'!B:I,8,0)*(((((E620*2.54)+VLOOKUP(D620,'Species Codes'!B:J,9,0))/VLOOKUP(D620,'Species Codes'!B:K,10,0))^VLOOKUP(D620,'Species Codes'!B:L,11,0))*((I620*0.3048)^VLOOKUP(D620,'Species Codes'!B:M,12,0))))-(VLOOKUP(D620,'Species Codes'!B:I,8,0)*((((E620*2.54)^VLOOKUP(D620,'Species Codes'!B:L,11,0))*((I620*0.3048)^VLOOKUP(D620,'Species Codes'!B:M,12,0))))))*35.3*VLOOKUP(D620,'Species Codes'!B:G,6,0)/2.2046,VLOOKUP(D620,'Species Codes'!B:I,8,0)+VLOOKUP(D620,'Species Codes'!B:J,9,0)*(((E620*2.54)/100)^2)*(I620*0.3048)))))*0.0011023),0)</f>
        <v>#N/A</v>
      </c>
      <c r="AC620" s="104" t="e">
        <f>IF(Z620&gt;0,((IF(OR(D620="RA",D620="OA",D620="OT",D620="UN",D620="PC"),EXP(VLOOKUP(D620,'Species Codes'!B:O,14,0)+VLOOKUP(D620,'Species Codes'!B:P,15,0)*LN((E620*2.54)))-EXP(VLOOKUP(D620,'Species Codes'!B:O,14,0)+VLOOKUP(D620,'Species Codes'!B:P,15,0)*LN((E620*2.54)))*(1/(VLOOKUP(D620,'Species Codes'!B:Q,16,0)+VLOOKUP(D620,'Species Codes'!B:R,17,0)*((E620*2.54)^VLOOKUP(D620,'Species Codes'!B:S,18,0)))),IF(OR(D620="BM",D620="MD",D620="OA"),EXP(VLOOKUP(D620,'Species Codes'!B:O,14,0)+VLOOKUP(D620,'Species Codes'!B:P,15,0)*LN((E620*2.54)))*(1-(1/(VLOOKUP(D620,'Species Codes'!B:Q,16,0)+VLOOKUP(D620,'Species Codes'!B:R,17,0)*((E620*2.54)^VLOOKUP(D620,'Species Codes'!B:S,18,0)))))/1000,IF(D620="DF",EXP(VLOOKUP(D620,'Species Codes'!B:O,14,0)+VLOOKUP(D620,'Species Codes'!B:P,15,0)*LN((E620*2.54))),VLOOKUP(D620,'Species Codes'!B:O,14,0)+VLOOKUP(D620,'Species Codes'!B:P,15,0)*(((E620*2.54)/100)^2)*(I620*0.3048)))))*0.0011023),0)</f>
        <v>#N/A</v>
      </c>
      <c r="AD620" s="104" t="e">
        <f t="shared" si="301"/>
        <v>#N/A</v>
      </c>
      <c r="AE620" s="104" t="e">
        <f t="shared" si="302"/>
        <v>#N/A</v>
      </c>
      <c r="AF620" s="104" t="e">
        <f>IF(AND(VLOOKUP($D620,Merchantability!$B:$C,2,0)="Yes",$E620&gt;=VLOOKUP($D620,Merchantability!$B:$D,3,0),$E620&lt;=VLOOKUP($D620,Merchantability!$B:$E,4,0)),AA620,0)</f>
        <v>#N/A</v>
      </c>
      <c r="AG620" s="104" t="e">
        <f>IF(AND(VLOOKUP($D620,Merchantability!$B:$C,2,0)="Yes",$E620&gt;=VLOOKUP($D620,Merchantability!$B:$D,3,0),$E620&lt;=VLOOKUP($D620,Merchantability!$B:$E,4,0)),AB620,0)</f>
        <v>#N/A</v>
      </c>
      <c r="AH620" s="104" t="e">
        <f>IF(AND(VLOOKUP($D620,Merchantability!$B:$C,2,0)="Yes",$E620&gt;=VLOOKUP($D620,Merchantability!$B:$D,3,0),$E620&lt;=VLOOKUP($D620,Merchantability!$B:$E,4,0)),AC620,0)</f>
        <v>#N/A</v>
      </c>
      <c r="AI620" s="104" t="e">
        <f t="shared" si="303"/>
        <v>#N/A</v>
      </c>
      <c r="AJ620" s="104" t="e">
        <f t="shared" si="304"/>
        <v>#VALUE!</v>
      </c>
      <c r="AK620" s="104" t="e">
        <f t="shared" si="305"/>
        <v>#N/A</v>
      </c>
      <c r="AL620" s="104" t="e">
        <f t="shared" si="306"/>
        <v>#N/A</v>
      </c>
      <c r="AM620" s="104" t="e">
        <f t="shared" si="307"/>
        <v>#N/A</v>
      </c>
      <c r="AN620" s="104" t="e">
        <f t="shared" si="291"/>
        <v>#N/A</v>
      </c>
      <c r="AO620" s="104" t="e">
        <f t="shared" si="292"/>
        <v>#N/A</v>
      </c>
      <c r="AP620" s="104" t="e">
        <f t="shared" si="293"/>
        <v>#N/A</v>
      </c>
      <c r="AQ620" s="104" t="e">
        <f t="shared" si="294"/>
        <v>#N/A</v>
      </c>
      <c r="AR620" s="105" t="str">
        <f t="shared" si="286"/>
        <v/>
      </c>
      <c r="AS620" s="105" t="str">
        <f t="shared" si="287"/>
        <v/>
      </c>
      <c r="AT620" s="108" t="str">
        <f t="shared" si="288"/>
        <v/>
      </c>
      <c r="AU620" s="108" t="str">
        <f t="shared" si="289"/>
        <v/>
      </c>
      <c r="AV620" s="107" t="str">
        <f>IF(ISNUMBER(O620),IF(VLOOKUP($A620,Stand!C:J,8,FALSE)="Short",AT620,AU620),"")</f>
        <v/>
      </c>
      <c r="AW620" s="109" t="str">
        <f t="shared" si="295"/>
        <v/>
      </c>
      <c r="AX620" s="109" t="str">
        <f t="shared" si="296"/>
        <v/>
      </c>
      <c r="AY620" s="112" t="str">
        <f>IF(ISNUMBER(O620),IF(AND(VLOOKUP($D620,Merchantability!$B:$C,2,0)="Yes",$E620&gt;=VLOOKUP($D620,Merchantability!$B:$D,3,0),$E620&lt;=VLOOKUP($D620,Merchantability!$B:$E,4,0)),(AV620*O620)*(1-$H620/100),""),"")</f>
        <v/>
      </c>
      <c r="AZ620" s="116"/>
      <c r="BA620" s="116"/>
      <c r="BB620" s="116"/>
      <c r="BE620" s="62"/>
      <c r="BF620" s="63"/>
    </row>
    <row r="621" spans="1:16379" ht="12.75" customHeight="1" x14ac:dyDescent="0.25">
      <c r="A621" s="313"/>
      <c r="B621" s="328"/>
      <c r="C621" s="329"/>
      <c r="D621" s="328"/>
      <c r="E621" s="330"/>
      <c r="F621" s="328"/>
      <c r="G621" s="329"/>
      <c r="H621" s="329"/>
      <c r="I621" s="328"/>
      <c r="J621" s="383"/>
      <c r="K621" s="329"/>
      <c r="L621" s="329"/>
      <c r="M621" s="78"/>
      <c r="N621" s="103" t="str">
        <f>IF(A621="","",VLOOKUP(A621,Stand!C:K,9,0))</f>
        <v/>
      </c>
      <c r="O621" s="104" t="str">
        <f t="shared" si="281"/>
        <v/>
      </c>
      <c r="P621" s="105" t="str">
        <f t="shared" si="282"/>
        <v/>
      </c>
      <c r="Q621" s="105" t="str">
        <f t="shared" si="297"/>
        <v/>
      </c>
      <c r="R621" s="103" t="str">
        <f t="shared" si="283"/>
        <v/>
      </c>
      <c r="S621" s="103" t="str">
        <f t="shared" si="284"/>
        <v/>
      </c>
      <c r="T621" s="106" t="str">
        <f t="shared" si="298"/>
        <v/>
      </c>
      <c r="U621" s="106" t="str">
        <f t="shared" si="299"/>
        <v/>
      </c>
      <c r="V621" s="106" t="str">
        <f t="shared" si="300"/>
        <v/>
      </c>
      <c r="W621" s="105" t="str">
        <f t="shared" si="285"/>
        <v/>
      </c>
      <c r="X621" s="104" t="str">
        <f t="shared" si="290"/>
        <v/>
      </c>
      <c r="Y621" s="104" t="str">
        <f t="array" ref="Y621">IFERROR(IF(ISNUMBER(O621),IF(COUNT(IF(A621=$A$2:$A$2427,IF(D621=$D$2:$D$2427,IF($X$2:$X$2427&gt;0,1))))&gt;0,SUM(IF(A621=$A$2:$A$2427,IF(D621=$D$2:$D$2427,$X$2:$X$2427)))/COUNT(IF(A621=$A$2:$A$2427,IF(D621=$D$2:$D$2427,IF(ISNUMBER($X$2:$X$2427),1)))),0),""),0)</f>
        <v/>
      </c>
      <c r="Z621" s="104" t="str">
        <f>IF(ISNUMBER(O621),IF(I621&gt;0,(10^(VLOOKUP(D621,'Species Codes'!B:C,2,0)+VLOOKUP(D621,'Species Codes'!B:D,3,0)*LOG(E621)+VLOOKUP(D621,'Species Codes'!B:E,4,0)*LOG(I621))),0),"")</f>
        <v/>
      </c>
      <c r="AA621" s="104" t="str">
        <f>IFERROR((VLOOKUP(D621,'Species Codes'!B:G,6,0)*Z621)/2000,"")</f>
        <v/>
      </c>
      <c r="AB621" s="104" t="e">
        <f>IF(Z621&gt;0,((IF(OR(D621="DF",D621="RA")=TRUE,EXP(VLOOKUP(D621,'Species Codes'!B:I,8,0)+VLOOKUP(D621,'Species Codes'!B:J,9,0)*(LN((E621*2.54)))),IF(OR(D621="PY",D621="RC",D621="WH",D621="NF")=TRUE,VLOOKUP(D621,'Species Codes'!B:I,8,0)+VLOOKUP(D621,'Species Codes'!B:J,9,0)*((E621*2.54)^2)*(I621*0.3048),IF(OR(D621="MD",D621="BM",D621="GA")=TRUE,((VLOOKUP(D621,'Species Codes'!B:I,8,0)*(((((E621*2.54)+VLOOKUP(D621,'Species Codes'!B:J,9,0))/VLOOKUP(D621,'Species Codes'!B:K,10,0))^VLOOKUP(D621,'Species Codes'!B:L,11,0))*((I621*0.3048)^VLOOKUP(D621,'Species Codes'!B:M,12,0))))-(VLOOKUP(D621,'Species Codes'!B:I,8,0)*((((E621*2.54)^VLOOKUP(D621,'Species Codes'!B:L,11,0))*((I621*0.3048)^VLOOKUP(D621,'Species Codes'!B:M,12,0))))))*35.3*VLOOKUP(D621,'Species Codes'!B:G,6,0)/2.2046,VLOOKUP(D621,'Species Codes'!B:I,8,0)+VLOOKUP(D621,'Species Codes'!B:J,9,0)*(((E621*2.54)/100)^2)*(I621*0.3048)))))*0.0011023),0)</f>
        <v>#N/A</v>
      </c>
      <c r="AC621" s="104" t="e">
        <f>IF(Z621&gt;0,((IF(OR(D621="RA",D621="OA",D621="OT",D621="UN",D621="PC"),EXP(VLOOKUP(D621,'Species Codes'!B:O,14,0)+VLOOKUP(D621,'Species Codes'!B:P,15,0)*LN((E621*2.54)))-EXP(VLOOKUP(D621,'Species Codes'!B:O,14,0)+VLOOKUP(D621,'Species Codes'!B:P,15,0)*LN((E621*2.54)))*(1/(VLOOKUP(D621,'Species Codes'!B:Q,16,0)+VLOOKUP(D621,'Species Codes'!B:R,17,0)*((E621*2.54)^VLOOKUP(D621,'Species Codes'!B:S,18,0)))),IF(OR(D621="BM",D621="MD",D621="OA"),EXP(VLOOKUP(D621,'Species Codes'!B:O,14,0)+VLOOKUP(D621,'Species Codes'!B:P,15,0)*LN((E621*2.54)))*(1-(1/(VLOOKUP(D621,'Species Codes'!B:Q,16,0)+VLOOKUP(D621,'Species Codes'!B:R,17,0)*((E621*2.54)^VLOOKUP(D621,'Species Codes'!B:S,18,0)))))/1000,IF(D621="DF",EXP(VLOOKUP(D621,'Species Codes'!B:O,14,0)+VLOOKUP(D621,'Species Codes'!B:P,15,0)*LN((E621*2.54))),VLOOKUP(D621,'Species Codes'!B:O,14,0)+VLOOKUP(D621,'Species Codes'!B:P,15,0)*(((E621*2.54)/100)^2)*(I621*0.3048)))))*0.0011023),0)</f>
        <v>#N/A</v>
      </c>
      <c r="AD621" s="104" t="e">
        <f t="shared" si="301"/>
        <v>#N/A</v>
      </c>
      <c r="AE621" s="104" t="e">
        <f t="shared" si="302"/>
        <v>#N/A</v>
      </c>
      <c r="AF621" s="104" t="e">
        <f>IF(AND(VLOOKUP($D621,Merchantability!$B:$C,2,0)="Yes",$E621&gt;=VLOOKUP($D621,Merchantability!$B:$D,3,0),$E621&lt;=VLOOKUP($D621,Merchantability!$B:$E,4,0)),AA621,0)</f>
        <v>#N/A</v>
      </c>
      <c r="AG621" s="104" t="e">
        <f>IF(AND(VLOOKUP($D621,Merchantability!$B:$C,2,0)="Yes",$E621&gt;=VLOOKUP($D621,Merchantability!$B:$D,3,0),$E621&lt;=VLOOKUP($D621,Merchantability!$B:$E,4,0)),AB621,0)</f>
        <v>#N/A</v>
      </c>
      <c r="AH621" s="104" t="e">
        <f>IF(AND(VLOOKUP($D621,Merchantability!$B:$C,2,0)="Yes",$E621&gt;=VLOOKUP($D621,Merchantability!$B:$D,3,0),$E621&lt;=VLOOKUP($D621,Merchantability!$B:$E,4,0)),AC621,0)</f>
        <v>#N/A</v>
      </c>
      <c r="AI621" s="104" t="e">
        <f t="shared" si="303"/>
        <v>#N/A</v>
      </c>
      <c r="AJ621" s="104" t="e">
        <f t="shared" si="304"/>
        <v>#VALUE!</v>
      </c>
      <c r="AK621" s="104" t="e">
        <f t="shared" si="305"/>
        <v>#N/A</v>
      </c>
      <c r="AL621" s="104" t="e">
        <f t="shared" si="306"/>
        <v>#N/A</v>
      </c>
      <c r="AM621" s="104" t="e">
        <f t="shared" si="307"/>
        <v>#N/A</v>
      </c>
      <c r="AN621" s="104" t="e">
        <f t="shared" si="291"/>
        <v>#N/A</v>
      </c>
      <c r="AO621" s="104" t="e">
        <f t="shared" si="292"/>
        <v>#N/A</v>
      </c>
      <c r="AP621" s="104" t="e">
        <f t="shared" si="293"/>
        <v>#N/A</v>
      </c>
      <c r="AQ621" s="104" t="e">
        <f t="shared" si="294"/>
        <v>#N/A</v>
      </c>
      <c r="AR621" s="105" t="str">
        <f t="shared" si="286"/>
        <v/>
      </c>
      <c r="AS621" s="105" t="str">
        <f t="shared" si="287"/>
        <v/>
      </c>
      <c r="AT621" s="108" t="str">
        <f t="shared" si="288"/>
        <v/>
      </c>
      <c r="AU621" s="108" t="str">
        <f t="shared" si="289"/>
        <v/>
      </c>
      <c r="AV621" s="107" t="str">
        <f>IF(ISNUMBER(O621),IF(VLOOKUP($A621,Stand!C:J,8,FALSE)="Short",AT621,AU621),"")</f>
        <v/>
      </c>
      <c r="AW621" s="109" t="str">
        <f t="shared" si="295"/>
        <v/>
      </c>
      <c r="AX621" s="109" t="str">
        <f t="shared" si="296"/>
        <v/>
      </c>
      <c r="AY621" s="112" t="str">
        <f>IF(ISNUMBER(O621),IF(AND(VLOOKUP($D621,Merchantability!$B:$C,2,0)="Yes",$E621&gt;=VLOOKUP($D621,Merchantability!$B:$D,3,0),$E621&lt;=VLOOKUP($D621,Merchantability!$B:$E,4,0)),(AV621*O621)*(1-$H621/100),""),"")</f>
        <v/>
      </c>
      <c r="AZ621" s="116"/>
      <c r="BA621" s="116"/>
      <c r="BB621" s="116"/>
      <c r="BE621" s="62"/>
      <c r="BF621" s="63"/>
    </row>
    <row r="622" spans="1:16379" ht="12.75" customHeight="1" x14ac:dyDescent="0.25">
      <c r="A622" s="313"/>
      <c r="B622" s="328"/>
      <c r="C622" s="329"/>
      <c r="D622" s="328"/>
      <c r="E622" s="330"/>
      <c r="F622" s="328"/>
      <c r="G622" s="329"/>
      <c r="H622" s="329"/>
      <c r="I622" s="328"/>
      <c r="J622" s="383"/>
      <c r="K622" s="329"/>
      <c r="L622" s="329"/>
      <c r="M622" s="78"/>
      <c r="N622" s="103" t="str">
        <f>IF(A622="","",VLOOKUP(A622,Stand!C:K,9,0))</f>
        <v/>
      </c>
      <c r="O622" s="104" t="str">
        <f t="shared" si="281"/>
        <v/>
      </c>
      <c r="P622" s="105" t="str">
        <f t="shared" si="282"/>
        <v/>
      </c>
      <c r="Q622" s="105" t="str">
        <f t="shared" si="297"/>
        <v/>
      </c>
      <c r="R622" s="103" t="str">
        <f t="shared" si="283"/>
        <v/>
      </c>
      <c r="S622" s="103" t="str">
        <f t="shared" si="284"/>
        <v/>
      </c>
      <c r="T622" s="106" t="str">
        <f t="shared" si="298"/>
        <v/>
      </c>
      <c r="U622" s="106" t="str">
        <f t="shared" si="299"/>
        <v/>
      </c>
      <c r="V622" s="106" t="str">
        <f t="shared" si="300"/>
        <v/>
      </c>
      <c r="W622" s="105" t="str">
        <f t="shared" si="285"/>
        <v/>
      </c>
      <c r="X622" s="104" t="str">
        <f t="shared" si="290"/>
        <v/>
      </c>
      <c r="Y622" s="104" t="str">
        <f t="array" ref="Y622">IFERROR(IF(ISNUMBER(O622),IF(COUNT(IF(A622=$A$2:$A$2427,IF(D622=$D$2:$D$2427,IF($X$2:$X$2427&gt;0,1))))&gt;0,SUM(IF(A622=$A$2:$A$2427,IF(D622=$D$2:$D$2427,$X$2:$X$2427)))/COUNT(IF(A622=$A$2:$A$2427,IF(D622=$D$2:$D$2427,IF(ISNUMBER($X$2:$X$2427),1)))),0),""),0)</f>
        <v/>
      </c>
      <c r="Z622" s="104" t="str">
        <f>IF(ISNUMBER(O622),IF(I622&gt;0,(10^(VLOOKUP(D622,'Species Codes'!B:C,2,0)+VLOOKUP(D622,'Species Codes'!B:D,3,0)*LOG(E622)+VLOOKUP(D622,'Species Codes'!B:E,4,0)*LOG(I622))),0),"")</f>
        <v/>
      </c>
      <c r="AA622" s="104" t="str">
        <f>IFERROR((VLOOKUP(D622,'Species Codes'!B:G,6,0)*Z622)/2000,"")</f>
        <v/>
      </c>
      <c r="AB622" s="104" t="e">
        <f>IF(Z622&gt;0,((IF(OR(D622="DF",D622="RA")=TRUE,EXP(VLOOKUP(D622,'Species Codes'!B:I,8,0)+VLOOKUP(D622,'Species Codes'!B:J,9,0)*(LN((E622*2.54)))),IF(OR(D622="PY",D622="RC",D622="WH",D622="NF")=TRUE,VLOOKUP(D622,'Species Codes'!B:I,8,0)+VLOOKUP(D622,'Species Codes'!B:J,9,0)*((E622*2.54)^2)*(I622*0.3048),IF(OR(D622="MD",D622="BM",D622="GA")=TRUE,((VLOOKUP(D622,'Species Codes'!B:I,8,0)*(((((E622*2.54)+VLOOKUP(D622,'Species Codes'!B:J,9,0))/VLOOKUP(D622,'Species Codes'!B:K,10,0))^VLOOKUP(D622,'Species Codes'!B:L,11,0))*((I622*0.3048)^VLOOKUP(D622,'Species Codes'!B:M,12,0))))-(VLOOKUP(D622,'Species Codes'!B:I,8,0)*((((E622*2.54)^VLOOKUP(D622,'Species Codes'!B:L,11,0))*((I622*0.3048)^VLOOKUP(D622,'Species Codes'!B:M,12,0))))))*35.3*VLOOKUP(D622,'Species Codes'!B:G,6,0)/2.2046,VLOOKUP(D622,'Species Codes'!B:I,8,0)+VLOOKUP(D622,'Species Codes'!B:J,9,0)*(((E622*2.54)/100)^2)*(I622*0.3048)))))*0.0011023),0)</f>
        <v>#N/A</v>
      </c>
      <c r="AC622" s="104" t="e">
        <f>IF(Z622&gt;0,((IF(OR(D622="RA",D622="OA",D622="OT",D622="UN",D622="PC"),EXP(VLOOKUP(D622,'Species Codes'!B:O,14,0)+VLOOKUP(D622,'Species Codes'!B:P,15,0)*LN((E622*2.54)))-EXP(VLOOKUP(D622,'Species Codes'!B:O,14,0)+VLOOKUP(D622,'Species Codes'!B:P,15,0)*LN((E622*2.54)))*(1/(VLOOKUP(D622,'Species Codes'!B:Q,16,0)+VLOOKUP(D622,'Species Codes'!B:R,17,0)*((E622*2.54)^VLOOKUP(D622,'Species Codes'!B:S,18,0)))),IF(OR(D622="BM",D622="MD",D622="OA"),EXP(VLOOKUP(D622,'Species Codes'!B:O,14,0)+VLOOKUP(D622,'Species Codes'!B:P,15,0)*LN((E622*2.54)))*(1-(1/(VLOOKUP(D622,'Species Codes'!B:Q,16,0)+VLOOKUP(D622,'Species Codes'!B:R,17,0)*((E622*2.54)^VLOOKUP(D622,'Species Codes'!B:S,18,0)))))/1000,IF(D622="DF",EXP(VLOOKUP(D622,'Species Codes'!B:O,14,0)+VLOOKUP(D622,'Species Codes'!B:P,15,0)*LN((E622*2.54))),VLOOKUP(D622,'Species Codes'!B:O,14,0)+VLOOKUP(D622,'Species Codes'!B:P,15,0)*(((E622*2.54)/100)^2)*(I622*0.3048)))))*0.0011023),0)</f>
        <v>#N/A</v>
      </c>
      <c r="AD622" s="104" t="e">
        <f t="shared" si="301"/>
        <v>#N/A</v>
      </c>
      <c r="AE622" s="104" t="e">
        <f t="shared" si="302"/>
        <v>#N/A</v>
      </c>
      <c r="AF622" s="104" t="e">
        <f>IF(AND(VLOOKUP($D622,Merchantability!$B:$C,2,0)="Yes",$E622&gt;=VLOOKUP($D622,Merchantability!$B:$D,3,0),$E622&lt;=VLOOKUP($D622,Merchantability!$B:$E,4,0)),AA622,0)</f>
        <v>#N/A</v>
      </c>
      <c r="AG622" s="104" t="e">
        <f>IF(AND(VLOOKUP($D622,Merchantability!$B:$C,2,0)="Yes",$E622&gt;=VLOOKUP($D622,Merchantability!$B:$D,3,0),$E622&lt;=VLOOKUP($D622,Merchantability!$B:$E,4,0)),AB622,0)</f>
        <v>#N/A</v>
      </c>
      <c r="AH622" s="104" t="e">
        <f>IF(AND(VLOOKUP($D622,Merchantability!$B:$C,2,0)="Yes",$E622&gt;=VLOOKUP($D622,Merchantability!$B:$D,3,0),$E622&lt;=VLOOKUP($D622,Merchantability!$B:$E,4,0)),AC622,0)</f>
        <v>#N/A</v>
      </c>
      <c r="AI622" s="104" t="e">
        <f t="shared" si="303"/>
        <v>#N/A</v>
      </c>
      <c r="AJ622" s="104" t="e">
        <f t="shared" si="304"/>
        <v>#VALUE!</v>
      </c>
      <c r="AK622" s="104" t="e">
        <f t="shared" si="305"/>
        <v>#N/A</v>
      </c>
      <c r="AL622" s="104" t="e">
        <f t="shared" si="306"/>
        <v>#N/A</v>
      </c>
      <c r="AM622" s="104" t="e">
        <f t="shared" si="307"/>
        <v>#N/A</v>
      </c>
      <c r="AN622" s="104" t="e">
        <f t="shared" si="291"/>
        <v>#N/A</v>
      </c>
      <c r="AO622" s="104" t="e">
        <f t="shared" si="292"/>
        <v>#N/A</v>
      </c>
      <c r="AP622" s="104" t="e">
        <f t="shared" si="293"/>
        <v>#N/A</v>
      </c>
      <c r="AQ622" s="104" t="e">
        <f t="shared" si="294"/>
        <v>#N/A</v>
      </c>
      <c r="AR622" s="105" t="str">
        <f t="shared" si="286"/>
        <v/>
      </c>
      <c r="AS622" s="105" t="str">
        <f t="shared" si="287"/>
        <v/>
      </c>
      <c r="AT622" s="108" t="str">
        <f t="shared" si="288"/>
        <v/>
      </c>
      <c r="AU622" s="108" t="str">
        <f t="shared" si="289"/>
        <v/>
      </c>
      <c r="AV622" s="107" t="str">
        <f>IF(ISNUMBER(O622),IF(VLOOKUP($A622,Stand!C:J,8,FALSE)="Short",AT622,AU622),"")</f>
        <v/>
      </c>
      <c r="AW622" s="109" t="str">
        <f t="shared" si="295"/>
        <v/>
      </c>
      <c r="AX622" s="109" t="str">
        <f t="shared" si="296"/>
        <v/>
      </c>
      <c r="AY622" s="112" t="str">
        <f>IF(ISNUMBER(O622),IF(AND(VLOOKUP($D622,Merchantability!$B:$C,2,0)="Yes",$E622&gt;=VLOOKUP($D622,Merchantability!$B:$D,3,0),$E622&lt;=VLOOKUP($D622,Merchantability!$B:$E,4,0)),(AV622*O622)*(1-$H622/100),""),"")</f>
        <v/>
      </c>
      <c r="AZ622" s="116"/>
      <c r="BA622" s="116"/>
      <c r="BB622" s="116"/>
      <c r="BE622" s="62"/>
      <c r="BF622" s="63"/>
    </row>
    <row r="623" spans="1:16379" ht="12.75" customHeight="1" x14ac:dyDescent="0.25">
      <c r="A623" s="313"/>
      <c r="B623" s="328"/>
      <c r="C623" s="329"/>
      <c r="D623" s="328"/>
      <c r="E623" s="330"/>
      <c r="F623" s="328"/>
      <c r="G623" s="329"/>
      <c r="H623" s="329"/>
      <c r="I623" s="328"/>
      <c r="J623" s="383"/>
      <c r="K623" s="329"/>
      <c r="L623" s="329"/>
      <c r="M623" s="78"/>
      <c r="N623" s="103" t="str">
        <f>IF(A623="","",VLOOKUP(A623,Stand!C:K,9,0))</f>
        <v/>
      </c>
      <c r="O623" s="104" t="str">
        <f t="shared" si="281"/>
        <v/>
      </c>
      <c r="P623" s="105" t="str">
        <f t="shared" si="282"/>
        <v/>
      </c>
      <c r="Q623" s="105" t="str">
        <f t="shared" si="297"/>
        <v/>
      </c>
      <c r="R623" s="103" t="str">
        <f t="shared" si="283"/>
        <v/>
      </c>
      <c r="S623" s="103" t="str">
        <f t="shared" si="284"/>
        <v/>
      </c>
      <c r="T623" s="106" t="str">
        <f t="shared" si="298"/>
        <v/>
      </c>
      <c r="U623" s="106" t="str">
        <f t="shared" si="299"/>
        <v/>
      </c>
      <c r="V623" s="106" t="str">
        <f t="shared" si="300"/>
        <v/>
      </c>
      <c r="W623" s="105" t="str">
        <f t="shared" si="285"/>
        <v/>
      </c>
      <c r="X623" s="104" t="str">
        <f t="shared" si="290"/>
        <v/>
      </c>
      <c r="Y623" s="104" t="str">
        <f t="array" ref="Y623">IFERROR(IF(ISNUMBER(O623),IF(COUNT(IF(A623=$A$2:$A$2427,IF(D623=$D$2:$D$2427,IF($X$2:$X$2427&gt;0,1))))&gt;0,SUM(IF(A623=$A$2:$A$2427,IF(D623=$D$2:$D$2427,$X$2:$X$2427)))/COUNT(IF(A623=$A$2:$A$2427,IF(D623=$D$2:$D$2427,IF(ISNUMBER($X$2:$X$2427),1)))),0),""),0)</f>
        <v/>
      </c>
      <c r="Z623" s="104" t="str">
        <f>IF(ISNUMBER(O623),IF(I623&gt;0,(10^(VLOOKUP(D623,'Species Codes'!B:C,2,0)+VLOOKUP(D623,'Species Codes'!B:D,3,0)*LOG(E623)+VLOOKUP(D623,'Species Codes'!B:E,4,0)*LOG(I623))),0),"")</f>
        <v/>
      </c>
      <c r="AA623" s="104" t="str">
        <f>IFERROR((VLOOKUP(D623,'Species Codes'!B:G,6,0)*Z623)/2000,"")</f>
        <v/>
      </c>
      <c r="AB623" s="104" t="e">
        <f>IF(Z623&gt;0,((IF(OR(D623="DF",D623="RA")=TRUE,EXP(VLOOKUP(D623,'Species Codes'!B:I,8,0)+VLOOKUP(D623,'Species Codes'!B:J,9,0)*(LN((E623*2.54)))),IF(OR(D623="PY",D623="RC",D623="WH",D623="NF")=TRUE,VLOOKUP(D623,'Species Codes'!B:I,8,0)+VLOOKUP(D623,'Species Codes'!B:J,9,0)*((E623*2.54)^2)*(I623*0.3048),IF(OR(D623="MD",D623="BM",D623="GA")=TRUE,((VLOOKUP(D623,'Species Codes'!B:I,8,0)*(((((E623*2.54)+VLOOKUP(D623,'Species Codes'!B:J,9,0))/VLOOKUP(D623,'Species Codes'!B:K,10,0))^VLOOKUP(D623,'Species Codes'!B:L,11,0))*((I623*0.3048)^VLOOKUP(D623,'Species Codes'!B:M,12,0))))-(VLOOKUP(D623,'Species Codes'!B:I,8,0)*((((E623*2.54)^VLOOKUP(D623,'Species Codes'!B:L,11,0))*((I623*0.3048)^VLOOKUP(D623,'Species Codes'!B:M,12,0))))))*35.3*VLOOKUP(D623,'Species Codes'!B:G,6,0)/2.2046,VLOOKUP(D623,'Species Codes'!B:I,8,0)+VLOOKUP(D623,'Species Codes'!B:J,9,0)*(((E623*2.54)/100)^2)*(I623*0.3048)))))*0.0011023),0)</f>
        <v>#N/A</v>
      </c>
      <c r="AC623" s="104" t="e">
        <f>IF(Z623&gt;0,((IF(OR(D623="RA",D623="OA",D623="OT",D623="UN",D623="PC"),EXP(VLOOKUP(D623,'Species Codes'!B:O,14,0)+VLOOKUP(D623,'Species Codes'!B:P,15,0)*LN((E623*2.54)))-EXP(VLOOKUP(D623,'Species Codes'!B:O,14,0)+VLOOKUP(D623,'Species Codes'!B:P,15,0)*LN((E623*2.54)))*(1/(VLOOKUP(D623,'Species Codes'!B:Q,16,0)+VLOOKUP(D623,'Species Codes'!B:R,17,0)*((E623*2.54)^VLOOKUP(D623,'Species Codes'!B:S,18,0)))),IF(OR(D623="BM",D623="MD",D623="OA"),EXP(VLOOKUP(D623,'Species Codes'!B:O,14,0)+VLOOKUP(D623,'Species Codes'!B:P,15,0)*LN((E623*2.54)))*(1-(1/(VLOOKUP(D623,'Species Codes'!B:Q,16,0)+VLOOKUP(D623,'Species Codes'!B:R,17,0)*((E623*2.54)^VLOOKUP(D623,'Species Codes'!B:S,18,0)))))/1000,IF(D623="DF",EXP(VLOOKUP(D623,'Species Codes'!B:O,14,0)+VLOOKUP(D623,'Species Codes'!B:P,15,0)*LN((E623*2.54))),VLOOKUP(D623,'Species Codes'!B:O,14,0)+VLOOKUP(D623,'Species Codes'!B:P,15,0)*(((E623*2.54)/100)^2)*(I623*0.3048)))))*0.0011023),0)</f>
        <v>#N/A</v>
      </c>
      <c r="AD623" s="104" t="e">
        <f t="shared" si="301"/>
        <v>#N/A</v>
      </c>
      <c r="AE623" s="104" t="e">
        <f t="shared" si="302"/>
        <v>#N/A</v>
      </c>
      <c r="AF623" s="104" t="e">
        <f>IF(AND(VLOOKUP($D623,Merchantability!$B:$C,2,0)="Yes",$E623&gt;=VLOOKUP($D623,Merchantability!$B:$D,3,0),$E623&lt;=VLOOKUP($D623,Merchantability!$B:$E,4,0)),AA623,0)</f>
        <v>#N/A</v>
      </c>
      <c r="AG623" s="104" t="e">
        <f>IF(AND(VLOOKUP($D623,Merchantability!$B:$C,2,0)="Yes",$E623&gt;=VLOOKUP($D623,Merchantability!$B:$D,3,0),$E623&lt;=VLOOKUP($D623,Merchantability!$B:$E,4,0)),AB623,0)</f>
        <v>#N/A</v>
      </c>
      <c r="AH623" s="104" t="e">
        <f>IF(AND(VLOOKUP($D623,Merchantability!$B:$C,2,0)="Yes",$E623&gt;=VLOOKUP($D623,Merchantability!$B:$D,3,0),$E623&lt;=VLOOKUP($D623,Merchantability!$B:$E,4,0)),AC623,0)</f>
        <v>#N/A</v>
      </c>
      <c r="AI623" s="104" t="e">
        <f t="shared" si="303"/>
        <v>#N/A</v>
      </c>
      <c r="AJ623" s="104" t="e">
        <f t="shared" si="304"/>
        <v>#VALUE!</v>
      </c>
      <c r="AK623" s="104" t="e">
        <f t="shared" si="305"/>
        <v>#N/A</v>
      </c>
      <c r="AL623" s="104" t="e">
        <f t="shared" si="306"/>
        <v>#N/A</v>
      </c>
      <c r="AM623" s="104" t="e">
        <f t="shared" si="307"/>
        <v>#N/A</v>
      </c>
      <c r="AN623" s="104" t="e">
        <f t="shared" si="291"/>
        <v>#N/A</v>
      </c>
      <c r="AO623" s="104" t="e">
        <f t="shared" si="292"/>
        <v>#N/A</v>
      </c>
      <c r="AP623" s="104" t="e">
        <f t="shared" si="293"/>
        <v>#N/A</v>
      </c>
      <c r="AQ623" s="104" t="e">
        <f t="shared" si="294"/>
        <v>#N/A</v>
      </c>
      <c r="AR623" s="105" t="str">
        <f t="shared" si="286"/>
        <v/>
      </c>
      <c r="AS623" s="105" t="str">
        <f t="shared" si="287"/>
        <v/>
      </c>
      <c r="AT623" s="108" t="str">
        <f t="shared" si="288"/>
        <v/>
      </c>
      <c r="AU623" s="108" t="str">
        <f t="shared" si="289"/>
        <v/>
      </c>
      <c r="AV623" s="107" t="str">
        <f>IF(ISNUMBER(O623),IF(VLOOKUP($A623,Stand!C:J,8,FALSE)="Short",AT623,AU623),"")</f>
        <v/>
      </c>
      <c r="AW623" s="109" t="str">
        <f t="shared" si="295"/>
        <v/>
      </c>
      <c r="AX623" s="109" t="str">
        <f t="shared" si="296"/>
        <v/>
      </c>
      <c r="AY623" s="112" t="str">
        <f>IF(ISNUMBER(O623),IF(AND(VLOOKUP($D623,Merchantability!$B:$C,2,0)="Yes",$E623&gt;=VLOOKUP($D623,Merchantability!$B:$D,3,0),$E623&lt;=VLOOKUP($D623,Merchantability!$B:$E,4,0)),(AV623*O623)*(1-$H623/100),""),"")</f>
        <v/>
      </c>
      <c r="AZ623" s="116"/>
      <c r="BA623" s="116"/>
      <c r="BB623" s="116"/>
      <c r="BE623" s="62"/>
      <c r="BF623" s="63"/>
    </row>
    <row r="624" spans="1:16379" ht="12.75" customHeight="1" x14ac:dyDescent="0.25">
      <c r="A624" s="313"/>
      <c r="B624" s="328"/>
      <c r="C624" s="329"/>
      <c r="D624" s="328"/>
      <c r="E624" s="330"/>
      <c r="F624" s="328"/>
      <c r="G624" s="329"/>
      <c r="H624" s="329"/>
      <c r="I624" s="328"/>
      <c r="J624" s="383"/>
      <c r="K624" s="329"/>
      <c r="L624" s="329"/>
      <c r="M624" s="78"/>
      <c r="N624" s="103" t="str">
        <f>IF(A624="","",VLOOKUP(A624,Stand!C:K,9,0))</f>
        <v/>
      </c>
      <c r="O624" s="104" t="str">
        <f t="shared" si="281"/>
        <v/>
      </c>
      <c r="P624" s="105" t="str">
        <f t="shared" si="282"/>
        <v/>
      </c>
      <c r="Q624" s="105" t="str">
        <f t="shared" si="297"/>
        <v/>
      </c>
      <c r="R624" s="103" t="str">
        <f t="shared" si="283"/>
        <v/>
      </c>
      <c r="S624" s="103" t="str">
        <f t="shared" si="284"/>
        <v/>
      </c>
      <c r="T624" s="106" t="str">
        <f t="shared" si="298"/>
        <v/>
      </c>
      <c r="U624" s="106" t="str">
        <f t="shared" si="299"/>
        <v/>
      </c>
      <c r="V624" s="106" t="str">
        <f t="shared" si="300"/>
        <v/>
      </c>
      <c r="W624" s="105" t="str">
        <f t="shared" si="285"/>
        <v/>
      </c>
      <c r="X624" s="104" t="str">
        <f t="shared" si="290"/>
        <v/>
      </c>
      <c r="Y624" s="104" t="str">
        <f t="array" ref="Y624">IFERROR(IF(ISNUMBER(O624),IF(COUNT(IF(A624=$A$2:$A$2427,IF(D624=$D$2:$D$2427,IF($X$2:$X$2427&gt;0,1))))&gt;0,SUM(IF(A624=$A$2:$A$2427,IF(D624=$D$2:$D$2427,$X$2:$X$2427)))/COUNT(IF(A624=$A$2:$A$2427,IF(D624=$D$2:$D$2427,IF(ISNUMBER($X$2:$X$2427),1)))),0),""),0)</f>
        <v/>
      </c>
      <c r="Z624" s="104" t="str">
        <f>IF(ISNUMBER(O624),IF(I624&gt;0,(10^(VLOOKUP(D624,'Species Codes'!B:C,2,0)+VLOOKUP(D624,'Species Codes'!B:D,3,0)*LOG(E624)+VLOOKUP(D624,'Species Codes'!B:E,4,0)*LOG(I624))),0),"")</f>
        <v/>
      </c>
      <c r="AA624" s="104" t="str">
        <f>IFERROR((VLOOKUP(D624,'Species Codes'!B:G,6,0)*Z624)/2000,"")</f>
        <v/>
      </c>
      <c r="AB624" s="104" t="e">
        <f>IF(Z624&gt;0,((IF(OR(D624="DF",D624="RA")=TRUE,EXP(VLOOKUP(D624,'Species Codes'!B:I,8,0)+VLOOKUP(D624,'Species Codes'!B:J,9,0)*(LN((E624*2.54)))),IF(OR(D624="PY",D624="RC",D624="WH",D624="NF")=TRUE,VLOOKUP(D624,'Species Codes'!B:I,8,0)+VLOOKUP(D624,'Species Codes'!B:J,9,0)*((E624*2.54)^2)*(I624*0.3048),IF(OR(D624="MD",D624="BM",D624="GA")=TRUE,((VLOOKUP(D624,'Species Codes'!B:I,8,0)*(((((E624*2.54)+VLOOKUP(D624,'Species Codes'!B:J,9,0))/VLOOKUP(D624,'Species Codes'!B:K,10,0))^VLOOKUP(D624,'Species Codes'!B:L,11,0))*((I624*0.3048)^VLOOKUP(D624,'Species Codes'!B:M,12,0))))-(VLOOKUP(D624,'Species Codes'!B:I,8,0)*((((E624*2.54)^VLOOKUP(D624,'Species Codes'!B:L,11,0))*((I624*0.3048)^VLOOKUP(D624,'Species Codes'!B:M,12,0))))))*35.3*VLOOKUP(D624,'Species Codes'!B:G,6,0)/2.2046,VLOOKUP(D624,'Species Codes'!B:I,8,0)+VLOOKUP(D624,'Species Codes'!B:J,9,0)*(((E624*2.54)/100)^2)*(I624*0.3048)))))*0.0011023),0)</f>
        <v>#N/A</v>
      </c>
      <c r="AC624" s="104" t="e">
        <f>IF(Z624&gt;0,((IF(OR(D624="RA",D624="OA",D624="OT",D624="UN",D624="PC"),EXP(VLOOKUP(D624,'Species Codes'!B:O,14,0)+VLOOKUP(D624,'Species Codes'!B:P,15,0)*LN((E624*2.54)))-EXP(VLOOKUP(D624,'Species Codes'!B:O,14,0)+VLOOKUP(D624,'Species Codes'!B:P,15,0)*LN((E624*2.54)))*(1/(VLOOKUP(D624,'Species Codes'!B:Q,16,0)+VLOOKUP(D624,'Species Codes'!B:R,17,0)*((E624*2.54)^VLOOKUP(D624,'Species Codes'!B:S,18,0)))),IF(OR(D624="BM",D624="MD",D624="OA"),EXP(VLOOKUP(D624,'Species Codes'!B:O,14,0)+VLOOKUP(D624,'Species Codes'!B:P,15,0)*LN((E624*2.54)))*(1-(1/(VLOOKUP(D624,'Species Codes'!B:Q,16,0)+VLOOKUP(D624,'Species Codes'!B:R,17,0)*((E624*2.54)^VLOOKUP(D624,'Species Codes'!B:S,18,0)))))/1000,IF(D624="DF",EXP(VLOOKUP(D624,'Species Codes'!B:O,14,0)+VLOOKUP(D624,'Species Codes'!B:P,15,0)*LN((E624*2.54))),VLOOKUP(D624,'Species Codes'!B:O,14,0)+VLOOKUP(D624,'Species Codes'!B:P,15,0)*(((E624*2.54)/100)^2)*(I624*0.3048)))))*0.0011023),0)</f>
        <v>#N/A</v>
      </c>
      <c r="AD624" s="104" t="e">
        <f t="shared" si="301"/>
        <v>#N/A</v>
      </c>
      <c r="AE624" s="104" t="e">
        <f t="shared" si="302"/>
        <v>#N/A</v>
      </c>
      <c r="AF624" s="104" t="e">
        <f>IF(AND(VLOOKUP($D624,Merchantability!$B:$C,2,0)="Yes",$E624&gt;=VLOOKUP($D624,Merchantability!$B:$D,3,0),$E624&lt;=VLOOKUP($D624,Merchantability!$B:$E,4,0)),AA624,0)</f>
        <v>#N/A</v>
      </c>
      <c r="AG624" s="104" t="e">
        <f>IF(AND(VLOOKUP($D624,Merchantability!$B:$C,2,0)="Yes",$E624&gt;=VLOOKUP($D624,Merchantability!$B:$D,3,0),$E624&lt;=VLOOKUP($D624,Merchantability!$B:$E,4,0)),AB624,0)</f>
        <v>#N/A</v>
      </c>
      <c r="AH624" s="104" t="e">
        <f>IF(AND(VLOOKUP($D624,Merchantability!$B:$C,2,0)="Yes",$E624&gt;=VLOOKUP($D624,Merchantability!$B:$D,3,0),$E624&lt;=VLOOKUP($D624,Merchantability!$B:$E,4,0)),AC624,0)</f>
        <v>#N/A</v>
      </c>
      <c r="AI624" s="104" t="e">
        <f t="shared" si="303"/>
        <v>#N/A</v>
      </c>
      <c r="AJ624" s="104" t="e">
        <f t="shared" si="304"/>
        <v>#VALUE!</v>
      </c>
      <c r="AK624" s="104" t="e">
        <f t="shared" si="305"/>
        <v>#N/A</v>
      </c>
      <c r="AL624" s="104" t="e">
        <f t="shared" si="306"/>
        <v>#N/A</v>
      </c>
      <c r="AM624" s="104" t="e">
        <f t="shared" si="307"/>
        <v>#N/A</v>
      </c>
      <c r="AN624" s="104" t="e">
        <f t="shared" si="291"/>
        <v>#N/A</v>
      </c>
      <c r="AO624" s="104" t="e">
        <f t="shared" si="292"/>
        <v>#N/A</v>
      </c>
      <c r="AP624" s="104" t="e">
        <f t="shared" si="293"/>
        <v>#N/A</v>
      </c>
      <c r="AQ624" s="104" t="e">
        <f t="shared" si="294"/>
        <v>#N/A</v>
      </c>
      <c r="AR624" s="105" t="str">
        <f t="shared" si="286"/>
        <v/>
      </c>
      <c r="AS624" s="105" t="str">
        <f t="shared" si="287"/>
        <v/>
      </c>
      <c r="AT624" s="108" t="str">
        <f t="shared" si="288"/>
        <v/>
      </c>
      <c r="AU624" s="108" t="str">
        <f t="shared" si="289"/>
        <v/>
      </c>
      <c r="AV624" s="107" t="str">
        <f>IF(ISNUMBER(O624),IF(VLOOKUP($A624,Stand!C:J,8,FALSE)="Short",AT624,AU624),"")</f>
        <v/>
      </c>
      <c r="AW624" s="109" t="str">
        <f t="shared" si="295"/>
        <v/>
      </c>
      <c r="AX624" s="109" t="str">
        <f t="shared" si="296"/>
        <v/>
      </c>
      <c r="AY624" s="112" t="str">
        <f>IF(ISNUMBER(O624),IF(AND(VLOOKUP($D624,Merchantability!$B:$C,2,0)="Yes",$E624&gt;=VLOOKUP($D624,Merchantability!$B:$D,3,0),$E624&lt;=VLOOKUP($D624,Merchantability!$B:$E,4,0)),(AV624*O624)*(1-$H624/100),""),"")</f>
        <v/>
      </c>
      <c r="AZ624" s="116"/>
      <c r="BA624" s="116"/>
      <c r="BB624" s="116"/>
      <c r="BE624" s="62"/>
      <c r="BF624" s="63"/>
    </row>
    <row r="625" spans="1:58" ht="12.75" customHeight="1" x14ac:dyDescent="0.25">
      <c r="A625" s="313"/>
      <c r="B625" s="328"/>
      <c r="C625" s="329"/>
      <c r="D625" s="328"/>
      <c r="E625" s="330"/>
      <c r="F625" s="328"/>
      <c r="G625" s="329"/>
      <c r="H625" s="329"/>
      <c r="I625" s="328"/>
      <c r="J625" s="383"/>
      <c r="K625" s="329"/>
      <c r="L625" s="329"/>
      <c r="M625" s="78"/>
      <c r="N625" s="103" t="str">
        <f>IF(A625="","",VLOOKUP(A625,Stand!C:K,9,0))</f>
        <v/>
      </c>
      <c r="O625" s="104" t="str">
        <f t="shared" si="281"/>
        <v/>
      </c>
      <c r="P625" s="105" t="str">
        <f t="shared" si="282"/>
        <v/>
      </c>
      <c r="Q625" s="105" t="str">
        <f t="shared" si="297"/>
        <v/>
      </c>
      <c r="R625" s="103" t="str">
        <f t="shared" si="283"/>
        <v/>
      </c>
      <c r="S625" s="103" t="str">
        <f t="shared" si="284"/>
        <v/>
      </c>
      <c r="T625" s="106" t="str">
        <f t="shared" si="298"/>
        <v/>
      </c>
      <c r="U625" s="106" t="str">
        <f t="shared" si="299"/>
        <v/>
      </c>
      <c r="V625" s="106" t="str">
        <f t="shared" si="300"/>
        <v/>
      </c>
      <c r="W625" s="105" t="str">
        <f t="shared" si="285"/>
        <v/>
      </c>
      <c r="X625" s="104" t="str">
        <f t="shared" si="290"/>
        <v/>
      </c>
      <c r="Y625" s="104" t="str">
        <f t="array" ref="Y625">IFERROR(IF(ISNUMBER(O625),IF(COUNT(IF(A625=$A$2:$A$2427,IF(D625=$D$2:$D$2427,IF($X$2:$X$2427&gt;0,1))))&gt;0,SUM(IF(A625=$A$2:$A$2427,IF(D625=$D$2:$D$2427,$X$2:$X$2427)))/COUNT(IF(A625=$A$2:$A$2427,IF(D625=$D$2:$D$2427,IF(ISNUMBER($X$2:$X$2427),1)))),0),""),0)</f>
        <v/>
      </c>
      <c r="Z625" s="104" t="str">
        <f>IF(ISNUMBER(O625),IF(I625&gt;0,(10^(VLOOKUP(D625,'Species Codes'!B:C,2,0)+VLOOKUP(D625,'Species Codes'!B:D,3,0)*LOG(E625)+VLOOKUP(D625,'Species Codes'!B:E,4,0)*LOG(I625))),0),"")</f>
        <v/>
      </c>
      <c r="AA625" s="104" t="str">
        <f>IFERROR((VLOOKUP(D625,'Species Codes'!B:G,6,0)*Z625)/2000,"")</f>
        <v/>
      </c>
      <c r="AB625" s="104" t="e">
        <f>IF(Z625&gt;0,((IF(OR(D625="DF",D625="RA")=TRUE,EXP(VLOOKUP(D625,'Species Codes'!B:I,8,0)+VLOOKUP(D625,'Species Codes'!B:J,9,0)*(LN((E625*2.54)))),IF(OR(D625="PY",D625="RC",D625="WH",D625="NF")=TRUE,VLOOKUP(D625,'Species Codes'!B:I,8,0)+VLOOKUP(D625,'Species Codes'!B:J,9,0)*((E625*2.54)^2)*(I625*0.3048),IF(OR(D625="MD",D625="BM",D625="GA")=TRUE,((VLOOKUP(D625,'Species Codes'!B:I,8,0)*(((((E625*2.54)+VLOOKUP(D625,'Species Codes'!B:J,9,0))/VLOOKUP(D625,'Species Codes'!B:K,10,0))^VLOOKUP(D625,'Species Codes'!B:L,11,0))*((I625*0.3048)^VLOOKUP(D625,'Species Codes'!B:M,12,0))))-(VLOOKUP(D625,'Species Codes'!B:I,8,0)*((((E625*2.54)^VLOOKUP(D625,'Species Codes'!B:L,11,0))*((I625*0.3048)^VLOOKUP(D625,'Species Codes'!B:M,12,0))))))*35.3*VLOOKUP(D625,'Species Codes'!B:G,6,0)/2.2046,VLOOKUP(D625,'Species Codes'!B:I,8,0)+VLOOKUP(D625,'Species Codes'!B:J,9,0)*(((E625*2.54)/100)^2)*(I625*0.3048)))))*0.0011023),0)</f>
        <v>#N/A</v>
      </c>
      <c r="AC625" s="104" t="e">
        <f>IF(Z625&gt;0,((IF(OR(D625="RA",D625="OA",D625="OT",D625="UN",D625="PC"),EXP(VLOOKUP(D625,'Species Codes'!B:O,14,0)+VLOOKUP(D625,'Species Codes'!B:P,15,0)*LN((E625*2.54)))-EXP(VLOOKUP(D625,'Species Codes'!B:O,14,0)+VLOOKUP(D625,'Species Codes'!B:P,15,0)*LN((E625*2.54)))*(1/(VLOOKUP(D625,'Species Codes'!B:Q,16,0)+VLOOKUP(D625,'Species Codes'!B:R,17,0)*((E625*2.54)^VLOOKUP(D625,'Species Codes'!B:S,18,0)))),IF(OR(D625="BM",D625="MD",D625="OA"),EXP(VLOOKUP(D625,'Species Codes'!B:O,14,0)+VLOOKUP(D625,'Species Codes'!B:P,15,0)*LN((E625*2.54)))*(1-(1/(VLOOKUP(D625,'Species Codes'!B:Q,16,0)+VLOOKUP(D625,'Species Codes'!B:R,17,0)*((E625*2.54)^VLOOKUP(D625,'Species Codes'!B:S,18,0)))))/1000,IF(D625="DF",EXP(VLOOKUP(D625,'Species Codes'!B:O,14,0)+VLOOKUP(D625,'Species Codes'!B:P,15,0)*LN((E625*2.54))),VLOOKUP(D625,'Species Codes'!B:O,14,0)+VLOOKUP(D625,'Species Codes'!B:P,15,0)*(((E625*2.54)/100)^2)*(I625*0.3048)))))*0.0011023),0)</f>
        <v>#N/A</v>
      </c>
      <c r="AD625" s="104" t="e">
        <f t="shared" si="301"/>
        <v>#N/A</v>
      </c>
      <c r="AE625" s="104" t="e">
        <f t="shared" si="302"/>
        <v>#N/A</v>
      </c>
      <c r="AF625" s="104" t="e">
        <f>IF(AND(VLOOKUP($D625,Merchantability!$B:$C,2,0)="Yes",$E625&gt;=VLOOKUP($D625,Merchantability!$B:$D,3,0),$E625&lt;=VLOOKUP($D625,Merchantability!$B:$E,4,0)),AA625,0)</f>
        <v>#N/A</v>
      </c>
      <c r="AG625" s="104" t="e">
        <f>IF(AND(VLOOKUP($D625,Merchantability!$B:$C,2,0)="Yes",$E625&gt;=VLOOKUP($D625,Merchantability!$B:$D,3,0),$E625&lt;=VLOOKUP($D625,Merchantability!$B:$E,4,0)),AB625,0)</f>
        <v>#N/A</v>
      </c>
      <c r="AH625" s="104" t="e">
        <f>IF(AND(VLOOKUP($D625,Merchantability!$B:$C,2,0)="Yes",$E625&gt;=VLOOKUP($D625,Merchantability!$B:$D,3,0),$E625&lt;=VLOOKUP($D625,Merchantability!$B:$E,4,0)),AC625,0)</f>
        <v>#N/A</v>
      </c>
      <c r="AI625" s="104" t="e">
        <f t="shared" si="303"/>
        <v>#N/A</v>
      </c>
      <c r="AJ625" s="104" t="e">
        <f t="shared" si="304"/>
        <v>#VALUE!</v>
      </c>
      <c r="AK625" s="104" t="e">
        <f t="shared" si="305"/>
        <v>#N/A</v>
      </c>
      <c r="AL625" s="104" t="e">
        <f t="shared" si="306"/>
        <v>#N/A</v>
      </c>
      <c r="AM625" s="104" t="e">
        <f t="shared" si="307"/>
        <v>#N/A</v>
      </c>
      <c r="AN625" s="104" t="e">
        <f t="shared" si="291"/>
        <v>#N/A</v>
      </c>
      <c r="AO625" s="104" t="e">
        <f t="shared" si="292"/>
        <v>#N/A</v>
      </c>
      <c r="AP625" s="104" t="e">
        <f t="shared" si="293"/>
        <v>#N/A</v>
      </c>
      <c r="AQ625" s="104" t="e">
        <f t="shared" si="294"/>
        <v>#N/A</v>
      </c>
      <c r="AR625" s="105" t="str">
        <f t="shared" si="286"/>
        <v/>
      </c>
      <c r="AS625" s="105" t="str">
        <f t="shared" si="287"/>
        <v/>
      </c>
      <c r="AT625" s="108" t="str">
        <f t="shared" si="288"/>
        <v/>
      </c>
      <c r="AU625" s="108" t="str">
        <f t="shared" si="289"/>
        <v/>
      </c>
      <c r="AV625" s="107" t="str">
        <f>IF(ISNUMBER(O625),IF(VLOOKUP($A625,Stand!C:J,8,FALSE)="Short",AT625,AU625),"")</f>
        <v/>
      </c>
      <c r="AW625" s="109" t="str">
        <f t="shared" si="295"/>
        <v/>
      </c>
      <c r="AX625" s="109" t="str">
        <f t="shared" si="296"/>
        <v/>
      </c>
      <c r="AY625" s="112" t="str">
        <f>IF(ISNUMBER(O625),IF(AND(VLOOKUP($D625,Merchantability!$B:$C,2,0)="Yes",$E625&gt;=VLOOKUP($D625,Merchantability!$B:$D,3,0),$E625&lt;=VLOOKUP($D625,Merchantability!$B:$E,4,0)),(AV625*O625)*(1-$H625/100),""),"")</f>
        <v/>
      </c>
      <c r="AZ625" s="116"/>
      <c r="BA625" s="116"/>
      <c r="BB625" s="116"/>
      <c r="BE625" s="62"/>
      <c r="BF625" s="63"/>
    </row>
    <row r="626" spans="1:58" ht="12.75" customHeight="1" x14ac:dyDescent="0.25">
      <c r="A626" s="313"/>
      <c r="B626" s="328"/>
      <c r="C626" s="329"/>
      <c r="D626" s="328"/>
      <c r="E626" s="330"/>
      <c r="F626" s="328"/>
      <c r="G626" s="329"/>
      <c r="H626" s="329"/>
      <c r="I626" s="328"/>
      <c r="J626" s="383"/>
      <c r="K626" s="329"/>
      <c r="L626" s="329"/>
      <c r="M626" s="78"/>
      <c r="N626" s="103" t="str">
        <f>IF(A626="","",VLOOKUP(A626,Stand!C:K,9,0))</f>
        <v/>
      </c>
      <c r="O626" s="104" t="str">
        <f t="shared" si="281"/>
        <v/>
      </c>
      <c r="P626" s="105" t="str">
        <f t="shared" si="282"/>
        <v/>
      </c>
      <c r="Q626" s="105" t="str">
        <f t="shared" si="297"/>
        <v/>
      </c>
      <c r="R626" s="103" t="str">
        <f t="shared" si="283"/>
        <v/>
      </c>
      <c r="S626" s="103" t="str">
        <f t="shared" si="284"/>
        <v/>
      </c>
      <c r="T626" s="106" t="str">
        <f t="shared" si="298"/>
        <v/>
      </c>
      <c r="U626" s="106" t="str">
        <f t="shared" si="299"/>
        <v/>
      </c>
      <c r="V626" s="106" t="str">
        <f t="shared" si="300"/>
        <v/>
      </c>
      <c r="W626" s="105" t="str">
        <f t="shared" si="285"/>
        <v/>
      </c>
      <c r="X626" s="104" t="str">
        <f t="shared" si="290"/>
        <v/>
      </c>
      <c r="Y626" s="104" t="str">
        <f t="array" ref="Y626">IFERROR(IF(ISNUMBER(O626),IF(COUNT(IF(A626=$A$2:$A$2427,IF(D626=$D$2:$D$2427,IF($X$2:$X$2427&gt;0,1))))&gt;0,SUM(IF(A626=$A$2:$A$2427,IF(D626=$D$2:$D$2427,$X$2:$X$2427)))/COUNT(IF(A626=$A$2:$A$2427,IF(D626=$D$2:$D$2427,IF(ISNUMBER($X$2:$X$2427),1)))),0),""),0)</f>
        <v/>
      </c>
      <c r="Z626" s="104" t="str">
        <f>IF(ISNUMBER(O626),IF(I626&gt;0,(10^(VLOOKUP(D626,'Species Codes'!B:C,2,0)+VLOOKUP(D626,'Species Codes'!B:D,3,0)*LOG(E626)+VLOOKUP(D626,'Species Codes'!B:E,4,0)*LOG(I626))),0),"")</f>
        <v/>
      </c>
      <c r="AA626" s="104" t="str">
        <f>IFERROR((VLOOKUP(D626,'Species Codes'!B:G,6,0)*Z626)/2000,"")</f>
        <v/>
      </c>
      <c r="AB626" s="104" t="e">
        <f>IF(Z626&gt;0,((IF(OR(D626="DF",D626="RA")=TRUE,EXP(VLOOKUP(D626,'Species Codes'!B:I,8,0)+VLOOKUP(D626,'Species Codes'!B:J,9,0)*(LN((E626*2.54)))),IF(OR(D626="PY",D626="RC",D626="WH",D626="NF")=TRUE,VLOOKUP(D626,'Species Codes'!B:I,8,0)+VLOOKUP(D626,'Species Codes'!B:J,9,0)*((E626*2.54)^2)*(I626*0.3048),IF(OR(D626="MD",D626="BM",D626="GA")=TRUE,((VLOOKUP(D626,'Species Codes'!B:I,8,0)*(((((E626*2.54)+VLOOKUP(D626,'Species Codes'!B:J,9,0))/VLOOKUP(D626,'Species Codes'!B:K,10,0))^VLOOKUP(D626,'Species Codes'!B:L,11,0))*((I626*0.3048)^VLOOKUP(D626,'Species Codes'!B:M,12,0))))-(VLOOKUP(D626,'Species Codes'!B:I,8,0)*((((E626*2.54)^VLOOKUP(D626,'Species Codes'!B:L,11,0))*((I626*0.3048)^VLOOKUP(D626,'Species Codes'!B:M,12,0))))))*35.3*VLOOKUP(D626,'Species Codes'!B:G,6,0)/2.2046,VLOOKUP(D626,'Species Codes'!B:I,8,0)+VLOOKUP(D626,'Species Codes'!B:J,9,0)*(((E626*2.54)/100)^2)*(I626*0.3048)))))*0.0011023),0)</f>
        <v>#N/A</v>
      </c>
      <c r="AC626" s="104" t="e">
        <f>IF(Z626&gt;0,((IF(OR(D626="RA",D626="OA",D626="OT",D626="UN",D626="PC"),EXP(VLOOKUP(D626,'Species Codes'!B:O,14,0)+VLOOKUP(D626,'Species Codes'!B:P,15,0)*LN((E626*2.54)))-EXP(VLOOKUP(D626,'Species Codes'!B:O,14,0)+VLOOKUP(D626,'Species Codes'!B:P,15,0)*LN((E626*2.54)))*(1/(VLOOKUP(D626,'Species Codes'!B:Q,16,0)+VLOOKUP(D626,'Species Codes'!B:R,17,0)*((E626*2.54)^VLOOKUP(D626,'Species Codes'!B:S,18,0)))),IF(OR(D626="BM",D626="MD",D626="OA"),EXP(VLOOKUP(D626,'Species Codes'!B:O,14,0)+VLOOKUP(D626,'Species Codes'!B:P,15,0)*LN((E626*2.54)))*(1-(1/(VLOOKUP(D626,'Species Codes'!B:Q,16,0)+VLOOKUP(D626,'Species Codes'!B:R,17,0)*((E626*2.54)^VLOOKUP(D626,'Species Codes'!B:S,18,0)))))/1000,IF(D626="DF",EXP(VLOOKUP(D626,'Species Codes'!B:O,14,0)+VLOOKUP(D626,'Species Codes'!B:P,15,0)*LN((E626*2.54))),VLOOKUP(D626,'Species Codes'!B:O,14,0)+VLOOKUP(D626,'Species Codes'!B:P,15,0)*(((E626*2.54)/100)^2)*(I626*0.3048)))))*0.0011023),0)</f>
        <v>#N/A</v>
      </c>
      <c r="AD626" s="104" t="e">
        <f t="shared" si="301"/>
        <v>#N/A</v>
      </c>
      <c r="AE626" s="104" t="e">
        <f t="shared" si="302"/>
        <v>#N/A</v>
      </c>
      <c r="AF626" s="104" t="e">
        <f>IF(AND(VLOOKUP($D626,Merchantability!$B:$C,2,0)="Yes",$E626&gt;=VLOOKUP($D626,Merchantability!$B:$D,3,0),$E626&lt;=VLOOKUP($D626,Merchantability!$B:$E,4,0)),AA626,0)</f>
        <v>#N/A</v>
      </c>
      <c r="AG626" s="104" t="e">
        <f>IF(AND(VLOOKUP($D626,Merchantability!$B:$C,2,0)="Yes",$E626&gt;=VLOOKUP($D626,Merchantability!$B:$D,3,0),$E626&lt;=VLOOKUP($D626,Merchantability!$B:$E,4,0)),AB626,0)</f>
        <v>#N/A</v>
      </c>
      <c r="AH626" s="104" t="e">
        <f>IF(AND(VLOOKUP($D626,Merchantability!$B:$C,2,0)="Yes",$E626&gt;=VLOOKUP($D626,Merchantability!$B:$D,3,0),$E626&lt;=VLOOKUP($D626,Merchantability!$B:$E,4,0)),AC626,0)</f>
        <v>#N/A</v>
      </c>
      <c r="AI626" s="104" t="e">
        <f t="shared" si="303"/>
        <v>#N/A</v>
      </c>
      <c r="AJ626" s="104" t="e">
        <f t="shared" si="304"/>
        <v>#VALUE!</v>
      </c>
      <c r="AK626" s="104" t="e">
        <f t="shared" si="305"/>
        <v>#N/A</v>
      </c>
      <c r="AL626" s="104" t="e">
        <f t="shared" si="306"/>
        <v>#N/A</v>
      </c>
      <c r="AM626" s="104" t="e">
        <f t="shared" si="307"/>
        <v>#N/A</v>
      </c>
      <c r="AN626" s="104" t="e">
        <f t="shared" si="291"/>
        <v>#N/A</v>
      </c>
      <c r="AO626" s="104" t="e">
        <f t="shared" si="292"/>
        <v>#N/A</v>
      </c>
      <c r="AP626" s="104" t="e">
        <f t="shared" si="293"/>
        <v>#N/A</v>
      </c>
      <c r="AQ626" s="104" t="e">
        <f t="shared" si="294"/>
        <v>#N/A</v>
      </c>
      <c r="AR626" s="105" t="str">
        <f t="shared" si="286"/>
        <v/>
      </c>
      <c r="AS626" s="105" t="str">
        <f t="shared" si="287"/>
        <v/>
      </c>
      <c r="AT626" s="108" t="str">
        <f t="shared" si="288"/>
        <v/>
      </c>
      <c r="AU626" s="108" t="str">
        <f t="shared" si="289"/>
        <v/>
      </c>
      <c r="AV626" s="107" t="str">
        <f>IF(ISNUMBER(O626),IF(VLOOKUP($A626,Stand!C:J,8,FALSE)="Short",AT626,AU626),"")</f>
        <v/>
      </c>
      <c r="AW626" s="109" t="str">
        <f t="shared" si="295"/>
        <v/>
      </c>
      <c r="AX626" s="109" t="str">
        <f t="shared" si="296"/>
        <v/>
      </c>
      <c r="AY626" s="112" t="str">
        <f>IF(ISNUMBER(O626),IF(AND(VLOOKUP($D626,Merchantability!$B:$C,2,0)="Yes",$E626&gt;=VLOOKUP($D626,Merchantability!$B:$D,3,0),$E626&lt;=VLOOKUP($D626,Merchantability!$B:$E,4,0)),(AV626*O626)*(1-$H626/100),""),"")</f>
        <v/>
      </c>
      <c r="AZ626" s="116"/>
      <c r="BA626" s="116"/>
      <c r="BB626" s="116"/>
      <c r="BE626" s="62"/>
      <c r="BF626" s="63"/>
    </row>
    <row r="627" spans="1:58" ht="12.75" customHeight="1" x14ac:dyDescent="0.25">
      <c r="A627" s="313"/>
      <c r="B627" s="328"/>
      <c r="C627" s="329"/>
      <c r="D627" s="328"/>
      <c r="E627" s="330"/>
      <c r="F627" s="328"/>
      <c r="G627" s="329"/>
      <c r="H627" s="329"/>
      <c r="I627" s="328"/>
      <c r="J627" s="383"/>
      <c r="K627" s="329"/>
      <c r="L627" s="329"/>
      <c r="M627" s="78"/>
      <c r="N627" s="103" t="str">
        <f>IF(A627="","",VLOOKUP(A627,Stand!C:K,9,0))</f>
        <v/>
      </c>
      <c r="O627" s="104" t="str">
        <f t="shared" si="281"/>
        <v/>
      </c>
      <c r="P627" s="105" t="str">
        <f t="shared" si="282"/>
        <v/>
      </c>
      <c r="Q627" s="105" t="str">
        <f t="shared" si="297"/>
        <v/>
      </c>
      <c r="R627" s="103" t="str">
        <f t="shared" si="283"/>
        <v/>
      </c>
      <c r="S627" s="103" t="str">
        <f t="shared" si="284"/>
        <v/>
      </c>
      <c r="T627" s="106" t="str">
        <f t="shared" si="298"/>
        <v/>
      </c>
      <c r="U627" s="106" t="str">
        <f t="shared" si="299"/>
        <v/>
      </c>
      <c r="V627" s="106" t="str">
        <f t="shared" si="300"/>
        <v/>
      </c>
      <c r="W627" s="105" t="str">
        <f t="shared" si="285"/>
        <v/>
      </c>
      <c r="X627" s="104" t="str">
        <f t="shared" si="290"/>
        <v/>
      </c>
      <c r="Y627" s="104" t="str">
        <f t="array" ref="Y627">IFERROR(IF(ISNUMBER(O627),IF(COUNT(IF(A627=$A$2:$A$2427,IF(D627=$D$2:$D$2427,IF($X$2:$X$2427&gt;0,1))))&gt;0,SUM(IF(A627=$A$2:$A$2427,IF(D627=$D$2:$D$2427,$X$2:$X$2427)))/COUNT(IF(A627=$A$2:$A$2427,IF(D627=$D$2:$D$2427,IF(ISNUMBER($X$2:$X$2427),1)))),0),""),0)</f>
        <v/>
      </c>
      <c r="Z627" s="104" t="str">
        <f>IF(ISNUMBER(O627),IF(I627&gt;0,(10^(VLOOKUP(D627,'Species Codes'!B:C,2,0)+VLOOKUP(D627,'Species Codes'!B:D,3,0)*LOG(E627)+VLOOKUP(D627,'Species Codes'!B:E,4,0)*LOG(I627))),0),"")</f>
        <v/>
      </c>
      <c r="AA627" s="104" t="str">
        <f>IFERROR((VLOOKUP(D627,'Species Codes'!B:G,6,0)*Z627)/2000,"")</f>
        <v/>
      </c>
      <c r="AB627" s="104" t="e">
        <f>IF(Z627&gt;0,((IF(OR(D627="DF",D627="RA")=TRUE,EXP(VLOOKUP(D627,'Species Codes'!B:I,8,0)+VLOOKUP(D627,'Species Codes'!B:J,9,0)*(LN((E627*2.54)))),IF(OR(D627="PY",D627="RC",D627="WH",D627="NF")=TRUE,VLOOKUP(D627,'Species Codes'!B:I,8,0)+VLOOKUP(D627,'Species Codes'!B:J,9,0)*((E627*2.54)^2)*(I627*0.3048),IF(OR(D627="MD",D627="BM",D627="GA")=TRUE,((VLOOKUP(D627,'Species Codes'!B:I,8,0)*(((((E627*2.54)+VLOOKUP(D627,'Species Codes'!B:J,9,0))/VLOOKUP(D627,'Species Codes'!B:K,10,0))^VLOOKUP(D627,'Species Codes'!B:L,11,0))*((I627*0.3048)^VLOOKUP(D627,'Species Codes'!B:M,12,0))))-(VLOOKUP(D627,'Species Codes'!B:I,8,0)*((((E627*2.54)^VLOOKUP(D627,'Species Codes'!B:L,11,0))*((I627*0.3048)^VLOOKUP(D627,'Species Codes'!B:M,12,0))))))*35.3*VLOOKUP(D627,'Species Codes'!B:G,6,0)/2.2046,VLOOKUP(D627,'Species Codes'!B:I,8,0)+VLOOKUP(D627,'Species Codes'!B:J,9,0)*(((E627*2.54)/100)^2)*(I627*0.3048)))))*0.0011023),0)</f>
        <v>#N/A</v>
      </c>
      <c r="AC627" s="104" t="e">
        <f>IF(Z627&gt;0,((IF(OR(D627="RA",D627="OA",D627="OT",D627="UN",D627="PC"),EXP(VLOOKUP(D627,'Species Codes'!B:O,14,0)+VLOOKUP(D627,'Species Codes'!B:P,15,0)*LN((E627*2.54)))-EXP(VLOOKUP(D627,'Species Codes'!B:O,14,0)+VLOOKUP(D627,'Species Codes'!B:P,15,0)*LN((E627*2.54)))*(1/(VLOOKUP(D627,'Species Codes'!B:Q,16,0)+VLOOKUP(D627,'Species Codes'!B:R,17,0)*((E627*2.54)^VLOOKUP(D627,'Species Codes'!B:S,18,0)))),IF(OR(D627="BM",D627="MD",D627="OA"),EXP(VLOOKUP(D627,'Species Codes'!B:O,14,0)+VLOOKUP(D627,'Species Codes'!B:P,15,0)*LN((E627*2.54)))*(1-(1/(VLOOKUP(D627,'Species Codes'!B:Q,16,0)+VLOOKUP(D627,'Species Codes'!B:R,17,0)*((E627*2.54)^VLOOKUP(D627,'Species Codes'!B:S,18,0)))))/1000,IF(D627="DF",EXP(VLOOKUP(D627,'Species Codes'!B:O,14,0)+VLOOKUP(D627,'Species Codes'!B:P,15,0)*LN((E627*2.54))),VLOOKUP(D627,'Species Codes'!B:O,14,0)+VLOOKUP(D627,'Species Codes'!B:P,15,0)*(((E627*2.54)/100)^2)*(I627*0.3048)))))*0.0011023),0)</f>
        <v>#N/A</v>
      </c>
      <c r="AD627" s="104" t="e">
        <f t="shared" si="301"/>
        <v>#N/A</v>
      </c>
      <c r="AE627" s="104" t="e">
        <f t="shared" si="302"/>
        <v>#N/A</v>
      </c>
      <c r="AF627" s="104" t="e">
        <f>IF(AND(VLOOKUP($D627,Merchantability!$B:$C,2,0)="Yes",$E627&gt;=VLOOKUP($D627,Merchantability!$B:$D,3,0),$E627&lt;=VLOOKUP($D627,Merchantability!$B:$E,4,0)),AA627,0)</f>
        <v>#N/A</v>
      </c>
      <c r="AG627" s="104" t="e">
        <f>IF(AND(VLOOKUP($D627,Merchantability!$B:$C,2,0)="Yes",$E627&gt;=VLOOKUP($D627,Merchantability!$B:$D,3,0),$E627&lt;=VLOOKUP($D627,Merchantability!$B:$E,4,0)),AB627,0)</f>
        <v>#N/A</v>
      </c>
      <c r="AH627" s="104" t="e">
        <f>IF(AND(VLOOKUP($D627,Merchantability!$B:$C,2,0)="Yes",$E627&gt;=VLOOKUP($D627,Merchantability!$B:$D,3,0),$E627&lt;=VLOOKUP($D627,Merchantability!$B:$E,4,0)),AC627,0)</f>
        <v>#N/A</v>
      </c>
      <c r="AI627" s="104" t="e">
        <f t="shared" si="303"/>
        <v>#N/A</v>
      </c>
      <c r="AJ627" s="104" t="e">
        <f t="shared" si="304"/>
        <v>#VALUE!</v>
      </c>
      <c r="AK627" s="104" t="e">
        <f t="shared" si="305"/>
        <v>#N/A</v>
      </c>
      <c r="AL627" s="104" t="e">
        <f t="shared" si="306"/>
        <v>#N/A</v>
      </c>
      <c r="AM627" s="104" t="e">
        <f t="shared" si="307"/>
        <v>#N/A</v>
      </c>
      <c r="AN627" s="104" t="e">
        <f t="shared" si="291"/>
        <v>#N/A</v>
      </c>
      <c r="AO627" s="104" t="e">
        <f t="shared" si="292"/>
        <v>#N/A</v>
      </c>
      <c r="AP627" s="104" t="e">
        <f t="shared" si="293"/>
        <v>#N/A</v>
      </c>
      <c r="AQ627" s="104" t="e">
        <f t="shared" si="294"/>
        <v>#N/A</v>
      </c>
      <c r="AR627" s="105" t="str">
        <f t="shared" si="286"/>
        <v/>
      </c>
      <c r="AS627" s="105" t="str">
        <f t="shared" si="287"/>
        <v/>
      </c>
      <c r="AT627" s="108" t="str">
        <f t="shared" si="288"/>
        <v/>
      </c>
      <c r="AU627" s="108" t="str">
        <f t="shared" si="289"/>
        <v/>
      </c>
      <c r="AV627" s="107" t="str">
        <f>IF(ISNUMBER(O627),IF(VLOOKUP($A627,Stand!C:J,8,FALSE)="Short",AT627,AU627),"")</f>
        <v/>
      </c>
      <c r="AW627" s="109" t="str">
        <f t="shared" si="295"/>
        <v/>
      </c>
      <c r="AX627" s="109" t="str">
        <f t="shared" si="296"/>
        <v/>
      </c>
      <c r="AY627" s="112" t="str">
        <f>IF(ISNUMBER(O627),IF(AND(VLOOKUP($D627,Merchantability!$B:$C,2,0)="Yes",$E627&gt;=VLOOKUP($D627,Merchantability!$B:$D,3,0),$E627&lt;=VLOOKUP($D627,Merchantability!$B:$E,4,0)),(AV627*O627)*(1-$H627/100),""),"")</f>
        <v/>
      </c>
      <c r="AZ627" s="116"/>
      <c r="BA627" s="116"/>
      <c r="BB627" s="116"/>
      <c r="BE627" s="62"/>
      <c r="BF627" s="63"/>
    </row>
    <row r="628" spans="1:58" ht="12.75" customHeight="1" x14ac:dyDescent="0.25">
      <c r="A628" s="313"/>
      <c r="B628" s="328"/>
      <c r="C628" s="329"/>
      <c r="D628" s="328"/>
      <c r="E628" s="330"/>
      <c r="F628" s="328"/>
      <c r="G628" s="329"/>
      <c r="H628" s="329"/>
      <c r="I628" s="328"/>
      <c r="J628" s="383"/>
      <c r="K628" s="329"/>
      <c r="L628" s="329"/>
      <c r="M628" s="78"/>
      <c r="N628" s="103" t="str">
        <f>IF(A628="","",VLOOKUP(A628,Stand!C:K,9,0))</f>
        <v/>
      </c>
      <c r="O628" s="104" t="str">
        <f t="shared" si="281"/>
        <v/>
      </c>
      <c r="P628" s="105" t="str">
        <f t="shared" si="282"/>
        <v/>
      </c>
      <c r="Q628" s="105" t="str">
        <f t="shared" si="297"/>
        <v/>
      </c>
      <c r="R628" s="103" t="str">
        <f t="shared" si="283"/>
        <v/>
      </c>
      <c r="S628" s="103" t="str">
        <f t="shared" si="284"/>
        <v/>
      </c>
      <c r="T628" s="106" t="str">
        <f t="shared" si="298"/>
        <v/>
      </c>
      <c r="U628" s="106" t="str">
        <f t="shared" si="299"/>
        <v/>
      </c>
      <c r="V628" s="106" t="str">
        <f t="shared" si="300"/>
        <v/>
      </c>
      <c r="W628" s="105" t="str">
        <f t="shared" si="285"/>
        <v/>
      </c>
      <c r="X628" s="104" t="str">
        <f t="shared" si="290"/>
        <v/>
      </c>
      <c r="Y628" s="104" t="str">
        <f t="array" ref="Y628">IFERROR(IF(ISNUMBER(O628),IF(COUNT(IF(A628=$A$2:$A$2427,IF(D628=$D$2:$D$2427,IF($X$2:$X$2427&gt;0,1))))&gt;0,SUM(IF(A628=$A$2:$A$2427,IF(D628=$D$2:$D$2427,$X$2:$X$2427)))/COUNT(IF(A628=$A$2:$A$2427,IF(D628=$D$2:$D$2427,IF(ISNUMBER($X$2:$X$2427),1)))),0),""),0)</f>
        <v/>
      </c>
      <c r="Z628" s="104" t="str">
        <f>IF(ISNUMBER(O628),IF(I628&gt;0,(10^(VLOOKUP(D628,'Species Codes'!B:C,2,0)+VLOOKUP(D628,'Species Codes'!B:D,3,0)*LOG(E628)+VLOOKUP(D628,'Species Codes'!B:E,4,0)*LOG(I628))),0),"")</f>
        <v/>
      </c>
      <c r="AA628" s="104" t="str">
        <f>IFERROR((VLOOKUP(D628,'Species Codes'!B:G,6,0)*Z628)/2000,"")</f>
        <v/>
      </c>
      <c r="AB628" s="104" t="e">
        <f>IF(Z628&gt;0,((IF(OR(D628="DF",D628="RA")=TRUE,EXP(VLOOKUP(D628,'Species Codes'!B:I,8,0)+VLOOKUP(D628,'Species Codes'!B:J,9,0)*(LN((E628*2.54)))),IF(OR(D628="PY",D628="RC",D628="WH",D628="NF")=TRUE,VLOOKUP(D628,'Species Codes'!B:I,8,0)+VLOOKUP(D628,'Species Codes'!B:J,9,0)*((E628*2.54)^2)*(I628*0.3048),IF(OR(D628="MD",D628="BM",D628="GA")=TRUE,((VLOOKUP(D628,'Species Codes'!B:I,8,0)*(((((E628*2.54)+VLOOKUP(D628,'Species Codes'!B:J,9,0))/VLOOKUP(D628,'Species Codes'!B:K,10,0))^VLOOKUP(D628,'Species Codes'!B:L,11,0))*((I628*0.3048)^VLOOKUP(D628,'Species Codes'!B:M,12,0))))-(VLOOKUP(D628,'Species Codes'!B:I,8,0)*((((E628*2.54)^VLOOKUP(D628,'Species Codes'!B:L,11,0))*((I628*0.3048)^VLOOKUP(D628,'Species Codes'!B:M,12,0))))))*35.3*VLOOKUP(D628,'Species Codes'!B:G,6,0)/2.2046,VLOOKUP(D628,'Species Codes'!B:I,8,0)+VLOOKUP(D628,'Species Codes'!B:J,9,0)*(((E628*2.54)/100)^2)*(I628*0.3048)))))*0.0011023),0)</f>
        <v>#N/A</v>
      </c>
      <c r="AC628" s="104" t="e">
        <f>IF(Z628&gt;0,((IF(OR(D628="RA",D628="OA",D628="OT",D628="UN",D628="PC"),EXP(VLOOKUP(D628,'Species Codes'!B:O,14,0)+VLOOKUP(D628,'Species Codes'!B:P,15,0)*LN((E628*2.54)))-EXP(VLOOKUP(D628,'Species Codes'!B:O,14,0)+VLOOKUP(D628,'Species Codes'!B:P,15,0)*LN((E628*2.54)))*(1/(VLOOKUP(D628,'Species Codes'!B:Q,16,0)+VLOOKUP(D628,'Species Codes'!B:R,17,0)*((E628*2.54)^VLOOKUP(D628,'Species Codes'!B:S,18,0)))),IF(OR(D628="BM",D628="MD",D628="OA"),EXP(VLOOKUP(D628,'Species Codes'!B:O,14,0)+VLOOKUP(D628,'Species Codes'!B:P,15,0)*LN((E628*2.54)))*(1-(1/(VLOOKUP(D628,'Species Codes'!B:Q,16,0)+VLOOKUP(D628,'Species Codes'!B:R,17,0)*((E628*2.54)^VLOOKUP(D628,'Species Codes'!B:S,18,0)))))/1000,IF(D628="DF",EXP(VLOOKUP(D628,'Species Codes'!B:O,14,0)+VLOOKUP(D628,'Species Codes'!B:P,15,0)*LN((E628*2.54))),VLOOKUP(D628,'Species Codes'!B:O,14,0)+VLOOKUP(D628,'Species Codes'!B:P,15,0)*(((E628*2.54)/100)^2)*(I628*0.3048)))))*0.0011023),0)</f>
        <v>#N/A</v>
      </c>
      <c r="AD628" s="104" t="e">
        <f t="shared" si="301"/>
        <v>#N/A</v>
      </c>
      <c r="AE628" s="104" t="e">
        <f t="shared" si="302"/>
        <v>#N/A</v>
      </c>
      <c r="AF628" s="104" t="e">
        <f>IF(AND(VLOOKUP($D628,Merchantability!$B:$C,2,0)="Yes",$E628&gt;=VLOOKUP($D628,Merchantability!$B:$D,3,0),$E628&lt;=VLOOKUP($D628,Merchantability!$B:$E,4,0)),AA628,0)</f>
        <v>#N/A</v>
      </c>
      <c r="AG628" s="104" t="e">
        <f>IF(AND(VLOOKUP($D628,Merchantability!$B:$C,2,0)="Yes",$E628&gt;=VLOOKUP($D628,Merchantability!$B:$D,3,0),$E628&lt;=VLOOKUP($D628,Merchantability!$B:$E,4,0)),AB628,0)</f>
        <v>#N/A</v>
      </c>
      <c r="AH628" s="104" t="e">
        <f>IF(AND(VLOOKUP($D628,Merchantability!$B:$C,2,0)="Yes",$E628&gt;=VLOOKUP($D628,Merchantability!$B:$D,3,0),$E628&lt;=VLOOKUP($D628,Merchantability!$B:$E,4,0)),AC628,0)</f>
        <v>#N/A</v>
      </c>
      <c r="AI628" s="104" t="e">
        <f t="shared" si="303"/>
        <v>#N/A</v>
      </c>
      <c r="AJ628" s="104" t="e">
        <f t="shared" si="304"/>
        <v>#VALUE!</v>
      </c>
      <c r="AK628" s="104" t="e">
        <f t="shared" si="305"/>
        <v>#N/A</v>
      </c>
      <c r="AL628" s="104" t="e">
        <f t="shared" si="306"/>
        <v>#N/A</v>
      </c>
      <c r="AM628" s="104" t="e">
        <f t="shared" si="307"/>
        <v>#N/A</v>
      </c>
      <c r="AN628" s="104" t="e">
        <f t="shared" si="291"/>
        <v>#N/A</v>
      </c>
      <c r="AO628" s="104" t="e">
        <f t="shared" si="292"/>
        <v>#N/A</v>
      </c>
      <c r="AP628" s="104" t="e">
        <f t="shared" si="293"/>
        <v>#N/A</v>
      </c>
      <c r="AQ628" s="104" t="e">
        <f t="shared" si="294"/>
        <v>#N/A</v>
      </c>
      <c r="AR628" s="105" t="str">
        <f t="shared" si="286"/>
        <v/>
      </c>
      <c r="AS628" s="105" t="str">
        <f t="shared" si="287"/>
        <v/>
      </c>
      <c r="AT628" s="108" t="str">
        <f t="shared" si="288"/>
        <v/>
      </c>
      <c r="AU628" s="108" t="str">
        <f t="shared" si="289"/>
        <v/>
      </c>
      <c r="AV628" s="107" t="str">
        <f>IF(ISNUMBER(O628),IF(VLOOKUP($A628,Stand!C:J,8,FALSE)="Short",AT628,AU628),"")</f>
        <v/>
      </c>
      <c r="AW628" s="109" t="str">
        <f t="shared" si="295"/>
        <v/>
      </c>
      <c r="AX628" s="109" t="str">
        <f t="shared" si="296"/>
        <v/>
      </c>
      <c r="AY628" s="112" t="str">
        <f>IF(ISNUMBER(O628),IF(AND(VLOOKUP($D628,Merchantability!$B:$C,2,0)="Yes",$E628&gt;=VLOOKUP($D628,Merchantability!$B:$D,3,0),$E628&lt;=VLOOKUP($D628,Merchantability!$B:$E,4,0)),(AV628*O628)*(1-$H628/100),""),"")</f>
        <v/>
      </c>
      <c r="AZ628" s="116"/>
      <c r="BA628" s="116"/>
      <c r="BB628" s="116"/>
      <c r="BE628" s="62"/>
      <c r="BF628" s="63"/>
    </row>
    <row r="629" spans="1:58" ht="12.75" customHeight="1" x14ac:dyDescent="0.25">
      <c r="A629" s="313"/>
      <c r="B629" s="328"/>
      <c r="C629" s="329"/>
      <c r="D629" s="328"/>
      <c r="E629" s="330"/>
      <c r="F629" s="328"/>
      <c r="G629" s="329"/>
      <c r="H629" s="329"/>
      <c r="I629" s="328"/>
      <c r="J629" s="383"/>
      <c r="K629" s="329"/>
      <c r="L629" s="329"/>
      <c r="M629" s="78"/>
      <c r="N629" s="103" t="str">
        <f>IF(A629="","",VLOOKUP(A629,Stand!C:K,9,0))</f>
        <v/>
      </c>
      <c r="O629" s="104" t="str">
        <f t="shared" si="281"/>
        <v/>
      </c>
      <c r="P629" s="105" t="str">
        <f t="shared" si="282"/>
        <v/>
      </c>
      <c r="Q629" s="105" t="str">
        <f t="shared" si="297"/>
        <v/>
      </c>
      <c r="R629" s="103" t="str">
        <f t="shared" si="283"/>
        <v/>
      </c>
      <c r="S629" s="103" t="str">
        <f t="shared" si="284"/>
        <v/>
      </c>
      <c r="T629" s="106" t="str">
        <f t="shared" si="298"/>
        <v/>
      </c>
      <c r="U629" s="106" t="str">
        <f t="shared" si="299"/>
        <v/>
      </c>
      <c r="V629" s="106" t="str">
        <f t="shared" si="300"/>
        <v/>
      </c>
      <c r="W629" s="105" t="str">
        <f t="shared" si="285"/>
        <v/>
      </c>
      <c r="X629" s="104" t="str">
        <f t="shared" si="290"/>
        <v/>
      </c>
      <c r="Y629" s="104" t="str">
        <f t="array" ref="Y629">IFERROR(IF(ISNUMBER(O629),IF(COUNT(IF(A629=$A$2:$A$2427,IF(D629=$D$2:$D$2427,IF($X$2:$X$2427&gt;0,1))))&gt;0,SUM(IF(A629=$A$2:$A$2427,IF(D629=$D$2:$D$2427,$X$2:$X$2427)))/COUNT(IF(A629=$A$2:$A$2427,IF(D629=$D$2:$D$2427,IF(ISNUMBER($X$2:$X$2427),1)))),0),""),0)</f>
        <v/>
      </c>
      <c r="Z629" s="104" t="str">
        <f>IF(ISNUMBER(O629),IF(I629&gt;0,(10^(VLOOKUP(D629,'Species Codes'!B:C,2,0)+VLOOKUP(D629,'Species Codes'!B:D,3,0)*LOG(E629)+VLOOKUP(D629,'Species Codes'!B:E,4,0)*LOG(I629))),0),"")</f>
        <v/>
      </c>
      <c r="AA629" s="104" t="str">
        <f>IFERROR((VLOOKUP(D629,'Species Codes'!B:G,6,0)*Z629)/2000,"")</f>
        <v/>
      </c>
      <c r="AB629" s="104" t="e">
        <f>IF(Z629&gt;0,((IF(OR(D629="DF",D629="RA")=TRUE,EXP(VLOOKUP(D629,'Species Codes'!B:I,8,0)+VLOOKUP(D629,'Species Codes'!B:J,9,0)*(LN((E629*2.54)))),IF(OR(D629="PY",D629="RC",D629="WH",D629="NF")=TRUE,VLOOKUP(D629,'Species Codes'!B:I,8,0)+VLOOKUP(D629,'Species Codes'!B:J,9,0)*((E629*2.54)^2)*(I629*0.3048),IF(OR(D629="MD",D629="BM",D629="GA")=TRUE,((VLOOKUP(D629,'Species Codes'!B:I,8,0)*(((((E629*2.54)+VLOOKUP(D629,'Species Codes'!B:J,9,0))/VLOOKUP(D629,'Species Codes'!B:K,10,0))^VLOOKUP(D629,'Species Codes'!B:L,11,0))*((I629*0.3048)^VLOOKUP(D629,'Species Codes'!B:M,12,0))))-(VLOOKUP(D629,'Species Codes'!B:I,8,0)*((((E629*2.54)^VLOOKUP(D629,'Species Codes'!B:L,11,0))*((I629*0.3048)^VLOOKUP(D629,'Species Codes'!B:M,12,0))))))*35.3*VLOOKUP(D629,'Species Codes'!B:G,6,0)/2.2046,VLOOKUP(D629,'Species Codes'!B:I,8,0)+VLOOKUP(D629,'Species Codes'!B:J,9,0)*(((E629*2.54)/100)^2)*(I629*0.3048)))))*0.0011023),0)</f>
        <v>#N/A</v>
      </c>
      <c r="AC629" s="104" t="e">
        <f>IF(Z629&gt;0,((IF(OR(D629="RA",D629="OA",D629="OT",D629="UN",D629="PC"),EXP(VLOOKUP(D629,'Species Codes'!B:O,14,0)+VLOOKUP(D629,'Species Codes'!B:P,15,0)*LN((E629*2.54)))-EXP(VLOOKUP(D629,'Species Codes'!B:O,14,0)+VLOOKUP(D629,'Species Codes'!B:P,15,0)*LN((E629*2.54)))*(1/(VLOOKUP(D629,'Species Codes'!B:Q,16,0)+VLOOKUP(D629,'Species Codes'!B:R,17,0)*((E629*2.54)^VLOOKUP(D629,'Species Codes'!B:S,18,0)))),IF(OR(D629="BM",D629="MD",D629="OA"),EXP(VLOOKUP(D629,'Species Codes'!B:O,14,0)+VLOOKUP(D629,'Species Codes'!B:P,15,0)*LN((E629*2.54)))*(1-(1/(VLOOKUP(D629,'Species Codes'!B:Q,16,0)+VLOOKUP(D629,'Species Codes'!B:R,17,0)*((E629*2.54)^VLOOKUP(D629,'Species Codes'!B:S,18,0)))))/1000,IF(D629="DF",EXP(VLOOKUP(D629,'Species Codes'!B:O,14,0)+VLOOKUP(D629,'Species Codes'!B:P,15,0)*LN((E629*2.54))),VLOOKUP(D629,'Species Codes'!B:O,14,0)+VLOOKUP(D629,'Species Codes'!B:P,15,0)*(((E629*2.54)/100)^2)*(I629*0.3048)))))*0.0011023),0)</f>
        <v>#N/A</v>
      </c>
      <c r="AD629" s="104" t="e">
        <f t="shared" si="301"/>
        <v>#N/A</v>
      </c>
      <c r="AE629" s="104" t="e">
        <f t="shared" si="302"/>
        <v>#N/A</v>
      </c>
      <c r="AF629" s="104" t="e">
        <f>IF(AND(VLOOKUP($D629,Merchantability!$B:$C,2,0)="Yes",$E629&gt;=VLOOKUP($D629,Merchantability!$B:$D,3,0),$E629&lt;=VLOOKUP($D629,Merchantability!$B:$E,4,0)),AA629,0)</f>
        <v>#N/A</v>
      </c>
      <c r="AG629" s="104" t="e">
        <f>IF(AND(VLOOKUP($D629,Merchantability!$B:$C,2,0)="Yes",$E629&gt;=VLOOKUP($D629,Merchantability!$B:$D,3,0),$E629&lt;=VLOOKUP($D629,Merchantability!$B:$E,4,0)),AB629,0)</f>
        <v>#N/A</v>
      </c>
      <c r="AH629" s="104" t="e">
        <f>IF(AND(VLOOKUP($D629,Merchantability!$B:$C,2,0)="Yes",$E629&gt;=VLOOKUP($D629,Merchantability!$B:$D,3,0),$E629&lt;=VLOOKUP($D629,Merchantability!$B:$E,4,0)),AC629,0)</f>
        <v>#N/A</v>
      </c>
      <c r="AI629" s="104" t="e">
        <f t="shared" si="303"/>
        <v>#N/A</v>
      </c>
      <c r="AJ629" s="104" t="e">
        <f t="shared" si="304"/>
        <v>#VALUE!</v>
      </c>
      <c r="AK629" s="104" t="e">
        <f t="shared" si="305"/>
        <v>#N/A</v>
      </c>
      <c r="AL629" s="104" t="e">
        <f t="shared" si="306"/>
        <v>#N/A</v>
      </c>
      <c r="AM629" s="104" t="e">
        <f t="shared" si="307"/>
        <v>#N/A</v>
      </c>
      <c r="AN629" s="104" t="e">
        <f t="shared" si="291"/>
        <v>#N/A</v>
      </c>
      <c r="AO629" s="104" t="e">
        <f t="shared" si="292"/>
        <v>#N/A</v>
      </c>
      <c r="AP629" s="104" t="e">
        <f t="shared" si="293"/>
        <v>#N/A</v>
      </c>
      <c r="AQ629" s="104" t="e">
        <f t="shared" si="294"/>
        <v>#N/A</v>
      </c>
      <c r="AR629" s="105" t="str">
        <f t="shared" si="286"/>
        <v/>
      </c>
      <c r="AS629" s="105" t="str">
        <f t="shared" si="287"/>
        <v/>
      </c>
      <c r="AT629" s="108" t="str">
        <f t="shared" si="288"/>
        <v/>
      </c>
      <c r="AU629" s="108" t="str">
        <f t="shared" si="289"/>
        <v/>
      </c>
      <c r="AV629" s="107" t="str">
        <f>IF(ISNUMBER(O629),IF(VLOOKUP($A629,Stand!C:J,8,FALSE)="Short",AT629,AU629),"")</f>
        <v/>
      </c>
      <c r="AW629" s="109" t="str">
        <f t="shared" si="295"/>
        <v/>
      </c>
      <c r="AX629" s="109" t="str">
        <f t="shared" si="296"/>
        <v/>
      </c>
      <c r="AY629" s="112" t="str">
        <f>IF(ISNUMBER(O629),IF(AND(VLOOKUP($D629,Merchantability!$B:$C,2,0)="Yes",$E629&gt;=VLOOKUP($D629,Merchantability!$B:$D,3,0),$E629&lt;=VLOOKUP($D629,Merchantability!$B:$E,4,0)),(AV629*O629)*(1-$H629/100),""),"")</f>
        <v/>
      </c>
      <c r="AZ629" s="116"/>
      <c r="BA629" s="116"/>
      <c r="BB629" s="116"/>
      <c r="BE629" s="62"/>
      <c r="BF629" s="63"/>
    </row>
    <row r="630" spans="1:58" ht="12.75" customHeight="1" x14ac:dyDescent="0.25">
      <c r="A630" s="313"/>
      <c r="B630" s="328"/>
      <c r="C630" s="329"/>
      <c r="D630" s="328"/>
      <c r="E630" s="330"/>
      <c r="F630" s="328"/>
      <c r="G630" s="329"/>
      <c r="H630" s="329"/>
      <c r="I630" s="328"/>
      <c r="J630" s="383"/>
      <c r="K630" s="329"/>
      <c r="L630" s="329"/>
      <c r="M630" s="78"/>
      <c r="N630" s="103" t="str">
        <f>IF(A630="","",VLOOKUP(A630,Stand!C:K,9,0))</f>
        <v/>
      </c>
      <c r="O630" s="104" t="str">
        <f t="shared" si="281"/>
        <v/>
      </c>
      <c r="P630" s="105" t="str">
        <f t="shared" si="282"/>
        <v/>
      </c>
      <c r="Q630" s="105" t="str">
        <f t="shared" si="297"/>
        <v/>
      </c>
      <c r="R630" s="103" t="str">
        <f t="shared" si="283"/>
        <v/>
      </c>
      <c r="S630" s="103" t="str">
        <f t="shared" si="284"/>
        <v/>
      </c>
      <c r="T630" s="106" t="str">
        <f t="shared" si="298"/>
        <v/>
      </c>
      <c r="U630" s="106" t="str">
        <f t="shared" si="299"/>
        <v/>
      </c>
      <c r="V630" s="106" t="str">
        <f t="shared" si="300"/>
        <v/>
      </c>
      <c r="W630" s="105" t="str">
        <f t="shared" si="285"/>
        <v/>
      </c>
      <c r="X630" s="104" t="str">
        <f t="shared" si="290"/>
        <v/>
      </c>
      <c r="Y630" s="104" t="str">
        <f t="array" ref="Y630">IFERROR(IF(ISNUMBER(O630),IF(COUNT(IF(A630=$A$2:$A$2427,IF(D630=$D$2:$D$2427,IF($X$2:$X$2427&gt;0,1))))&gt;0,SUM(IF(A630=$A$2:$A$2427,IF(D630=$D$2:$D$2427,$X$2:$X$2427)))/COUNT(IF(A630=$A$2:$A$2427,IF(D630=$D$2:$D$2427,IF(ISNUMBER($X$2:$X$2427),1)))),0),""),0)</f>
        <v/>
      </c>
      <c r="Z630" s="104" t="str">
        <f>IF(ISNUMBER(O630),IF(I630&gt;0,(10^(VLOOKUP(D630,'Species Codes'!B:C,2,0)+VLOOKUP(D630,'Species Codes'!B:D,3,0)*LOG(E630)+VLOOKUP(D630,'Species Codes'!B:E,4,0)*LOG(I630))),0),"")</f>
        <v/>
      </c>
      <c r="AA630" s="104" t="str">
        <f>IFERROR((VLOOKUP(D630,'Species Codes'!B:G,6,0)*Z630)/2000,"")</f>
        <v/>
      </c>
      <c r="AB630" s="104" t="e">
        <f>IF(Z630&gt;0,((IF(OR(D630="DF",D630="RA")=TRUE,EXP(VLOOKUP(D630,'Species Codes'!B:I,8,0)+VLOOKUP(D630,'Species Codes'!B:J,9,0)*(LN((E630*2.54)))),IF(OR(D630="PY",D630="RC",D630="WH",D630="NF")=TRUE,VLOOKUP(D630,'Species Codes'!B:I,8,0)+VLOOKUP(D630,'Species Codes'!B:J,9,0)*((E630*2.54)^2)*(I630*0.3048),IF(OR(D630="MD",D630="BM",D630="GA")=TRUE,((VLOOKUP(D630,'Species Codes'!B:I,8,0)*(((((E630*2.54)+VLOOKUP(D630,'Species Codes'!B:J,9,0))/VLOOKUP(D630,'Species Codes'!B:K,10,0))^VLOOKUP(D630,'Species Codes'!B:L,11,0))*((I630*0.3048)^VLOOKUP(D630,'Species Codes'!B:M,12,0))))-(VLOOKUP(D630,'Species Codes'!B:I,8,0)*((((E630*2.54)^VLOOKUP(D630,'Species Codes'!B:L,11,0))*((I630*0.3048)^VLOOKUP(D630,'Species Codes'!B:M,12,0))))))*35.3*VLOOKUP(D630,'Species Codes'!B:G,6,0)/2.2046,VLOOKUP(D630,'Species Codes'!B:I,8,0)+VLOOKUP(D630,'Species Codes'!B:J,9,0)*(((E630*2.54)/100)^2)*(I630*0.3048)))))*0.0011023),0)</f>
        <v>#N/A</v>
      </c>
      <c r="AC630" s="104" t="e">
        <f>IF(Z630&gt;0,((IF(OR(D630="RA",D630="OA",D630="OT",D630="UN",D630="PC"),EXP(VLOOKUP(D630,'Species Codes'!B:O,14,0)+VLOOKUP(D630,'Species Codes'!B:P,15,0)*LN((E630*2.54)))-EXP(VLOOKUP(D630,'Species Codes'!B:O,14,0)+VLOOKUP(D630,'Species Codes'!B:P,15,0)*LN((E630*2.54)))*(1/(VLOOKUP(D630,'Species Codes'!B:Q,16,0)+VLOOKUP(D630,'Species Codes'!B:R,17,0)*((E630*2.54)^VLOOKUP(D630,'Species Codes'!B:S,18,0)))),IF(OR(D630="BM",D630="MD",D630="OA"),EXP(VLOOKUP(D630,'Species Codes'!B:O,14,0)+VLOOKUP(D630,'Species Codes'!B:P,15,0)*LN((E630*2.54)))*(1-(1/(VLOOKUP(D630,'Species Codes'!B:Q,16,0)+VLOOKUP(D630,'Species Codes'!B:R,17,0)*((E630*2.54)^VLOOKUP(D630,'Species Codes'!B:S,18,0)))))/1000,IF(D630="DF",EXP(VLOOKUP(D630,'Species Codes'!B:O,14,0)+VLOOKUP(D630,'Species Codes'!B:P,15,0)*LN((E630*2.54))),VLOOKUP(D630,'Species Codes'!B:O,14,0)+VLOOKUP(D630,'Species Codes'!B:P,15,0)*(((E630*2.54)/100)^2)*(I630*0.3048)))))*0.0011023),0)</f>
        <v>#N/A</v>
      </c>
      <c r="AD630" s="104" t="e">
        <f t="shared" si="301"/>
        <v>#N/A</v>
      </c>
      <c r="AE630" s="104" t="e">
        <f t="shared" si="302"/>
        <v>#N/A</v>
      </c>
      <c r="AF630" s="104" t="e">
        <f>IF(AND(VLOOKUP($D630,Merchantability!$B:$C,2,0)="Yes",$E630&gt;=VLOOKUP($D630,Merchantability!$B:$D,3,0),$E630&lt;=VLOOKUP($D630,Merchantability!$B:$E,4,0)),AA630,0)</f>
        <v>#N/A</v>
      </c>
      <c r="AG630" s="104" t="e">
        <f>IF(AND(VLOOKUP($D630,Merchantability!$B:$C,2,0)="Yes",$E630&gt;=VLOOKUP($D630,Merchantability!$B:$D,3,0),$E630&lt;=VLOOKUP($D630,Merchantability!$B:$E,4,0)),AB630,0)</f>
        <v>#N/A</v>
      </c>
      <c r="AH630" s="104" t="e">
        <f>IF(AND(VLOOKUP($D630,Merchantability!$B:$C,2,0)="Yes",$E630&gt;=VLOOKUP($D630,Merchantability!$B:$D,3,0),$E630&lt;=VLOOKUP($D630,Merchantability!$B:$E,4,0)),AC630,0)</f>
        <v>#N/A</v>
      </c>
      <c r="AI630" s="104" t="e">
        <f t="shared" si="303"/>
        <v>#N/A</v>
      </c>
      <c r="AJ630" s="104" t="e">
        <f t="shared" si="304"/>
        <v>#VALUE!</v>
      </c>
      <c r="AK630" s="104" t="e">
        <f t="shared" si="305"/>
        <v>#N/A</v>
      </c>
      <c r="AL630" s="104" t="e">
        <f t="shared" si="306"/>
        <v>#N/A</v>
      </c>
      <c r="AM630" s="104" t="e">
        <f t="shared" si="307"/>
        <v>#N/A</v>
      </c>
      <c r="AN630" s="104" t="e">
        <f t="shared" si="291"/>
        <v>#N/A</v>
      </c>
      <c r="AO630" s="104" t="e">
        <f t="shared" si="292"/>
        <v>#N/A</v>
      </c>
      <c r="AP630" s="104" t="e">
        <f t="shared" si="293"/>
        <v>#N/A</v>
      </c>
      <c r="AQ630" s="104" t="e">
        <f t="shared" si="294"/>
        <v>#N/A</v>
      </c>
      <c r="AR630" s="105" t="str">
        <f t="shared" si="286"/>
        <v/>
      </c>
      <c r="AS630" s="105" t="str">
        <f t="shared" si="287"/>
        <v/>
      </c>
      <c r="AT630" s="108" t="str">
        <f t="shared" si="288"/>
        <v/>
      </c>
      <c r="AU630" s="108" t="str">
        <f t="shared" si="289"/>
        <v/>
      </c>
      <c r="AV630" s="107" t="str">
        <f>IF(ISNUMBER(O630),IF(VLOOKUP($A630,Stand!C:J,8,FALSE)="Short",AT630,AU630),"")</f>
        <v/>
      </c>
      <c r="AW630" s="109" t="str">
        <f t="shared" si="295"/>
        <v/>
      </c>
      <c r="AX630" s="109" t="str">
        <f t="shared" si="296"/>
        <v/>
      </c>
      <c r="AY630" s="112" t="str">
        <f>IF(ISNUMBER(O630),IF(AND(VLOOKUP($D630,Merchantability!$B:$C,2,0)="Yes",$E630&gt;=VLOOKUP($D630,Merchantability!$B:$D,3,0),$E630&lt;=VLOOKUP($D630,Merchantability!$B:$E,4,0)),(AV630*O630)*(1-$H630/100),""),"")</f>
        <v/>
      </c>
      <c r="AZ630" s="116"/>
      <c r="BA630" s="116"/>
      <c r="BB630" s="116"/>
      <c r="BE630" s="62"/>
      <c r="BF630" s="63"/>
    </row>
    <row r="631" spans="1:58" ht="12.75" customHeight="1" x14ac:dyDescent="0.25">
      <c r="A631" s="313"/>
      <c r="B631" s="328"/>
      <c r="C631" s="329"/>
      <c r="D631" s="328"/>
      <c r="E631" s="330"/>
      <c r="F631" s="328"/>
      <c r="G631" s="329"/>
      <c r="H631" s="329"/>
      <c r="I631" s="328"/>
      <c r="J631" s="383"/>
      <c r="K631" s="329"/>
      <c r="L631" s="329"/>
      <c r="M631" s="78"/>
      <c r="N631" s="103" t="str">
        <f>IF(A631="","",VLOOKUP(A631,Stand!C:K,9,0))</f>
        <v/>
      </c>
      <c r="O631" s="104" t="str">
        <f t="shared" si="281"/>
        <v/>
      </c>
      <c r="P631" s="105" t="str">
        <f t="shared" si="282"/>
        <v/>
      </c>
      <c r="Q631" s="105" t="str">
        <f t="shared" si="297"/>
        <v/>
      </c>
      <c r="R631" s="103" t="str">
        <f t="shared" si="283"/>
        <v/>
      </c>
      <c r="S631" s="103" t="str">
        <f t="shared" si="284"/>
        <v/>
      </c>
      <c r="T631" s="106" t="str">
        <f t="shared" si="298"/>
        <v/>
      </c>
      <c r="U631" s="106" t="str">
        <f t="shared" si="299"/>
        <v/>
      </c>
      <c r="V631" s="106" t="str">
        <f t="shared" si="300"/>
        <v/>
      </c>
      <c r="W631" s="105" t="str">
        <f t="shared" si="285"/>
        <v/>
      </c>
      <c r="X631" s="104" t="str">
        <f t="shared" si="290"/>
        <v/>
      </c>
      <c r="Y631" s="104" t="str">
        <f t="array" ref="Y631">IFERROR(IF(ISNUMBER(O631),IF(COUNT(IF(A631=$A$2:$A$2427,IF(D631=$D$2:$D$2427,IF($X$2:$X$2427&gt;0,1))))&gt;0,SUM(IF(A631=$A$2:$A$2427,IF(D631=$D$2:$D$2427,$X$2:$X$2427)))/COUNT(IF(A631=$A$2:$A$2427,IF(D631=$D$2:$D$2427,IF(ISNUMBER($X$2:$X$2427),1)))),0),""),0)</f>
        <v/>
      </c>
      <c r="Z631" s="104" t="str">
        <f>IF(ISNUMBER(O631),IF(I631&gt;0,(10^(VLOOKUP(D631,'Species Codes'!B:C,2,0)+VLOOKUP(D631,'Species Codes'!B:D,3,0)*LOG(E631)+VLOOKUP(D631,'Species Codes'!B:E,4,0)*LOG(I631))),0),"")</f>
        <v/>
      </c>
      <c r="AA631" s="104" t="str">
        <f>IFERROR((VLOOKUP(D631,'Species Codes'!B:G,6,0)*Z631)/2000,"")</f>
        <v/>
      </c>
      <c r="AB631" s="104" t="e">
        <f>IF(Z631&gt;0,((IF(OR(D631="DF",D631="RA")=TRUE,EXP(VLOOKUP(D631,'Species Codes'!B:I,8,0)+VLOOKUP(D631,'Species Codes'!B:J,9,0)*(LN((E631*2.54)))),IF(OR(D631="PY",D631="RC",D631="WH",D631="NF")=TRUE,VLOOKUP(D631,'Species Codes'!B:I,8,0)+VLOOKUP(D631,'Species Codes'!B:J,9,0)*((E631*2.54)^2)*(I631*0.3048),IF(OR(D631="MD",D631="BM",D631="GA")=TRUE,((VLOOKUP(D631,'Species Codes'!B:I,8,0)*(((((E631*2.54)+VLOOKUP(D631,'Species Codes'!B:J,9,0))/VLOOKUP(D631,'Species Codes'!B:K,10,0))^VLOOKUP(D631,'Species Codes'!B:L,11,0))*((I631*0.3048)^VLOOKUP(D631,'Species Codes'!B:M,12,0))))-(VLOOKUP(D631,'Species Codes'!B:I,8,0)*((((E631*2.54)^VLOOKUP(D631,'Species Codes'!B:L,11,0))*((I631*0.3048)^VLOOKUP(D631,'Species Codes'!B:M,12,0))))))*35.3*VLOOKUP(D631,'Species Codes'!B:G,6,0)/2.2046,VLOOKUP(D631,'Species Codes'!B:I,8,0)+VLOOKUP(D631,'Species Codes'!B:J,9,0)*(((E631*2.54)/100)^2)*(I631*0.3048)))))*0.0011023),0)</f>
        <v>#N/A</v>
      </c>
      <c r="AC631" s="104" t="e">
        <f>IF(Z631&gt;0,((IF(OR(D631="RA",D631="OA",D631="OT",D631="UN",D631="PC"),EXP(VLOOKUP(D631,'Species Codes'!B:O,14,0)+VLOOKUP(D631,'Species Codes'!B:P,15,0)*LN((E631*2.54)))-EXP(VLOOKUP(D631,'Species Codes'!B:O,14,0)+VLOOKUP(D631,'Species Codes'!B:P,15,0)*LN((E631*2.54)))*(1/(VLOOKUP(D631,'Species Codes'!B:Q,16,0)+VLOOKUP(D631,'Species Codes'!B:R,17,0)*((E631*2.54)^VLOOKUP(D631,'Species Codes'!B:S,18,0)))),IF(OR(D631="BM",D631="MD",D631="OA"),EXP(VLOOKUP(D631,'Species Codes'!B:O,14,0)+VLOOKUP(D631,'Species Codes'!B:P,15,0)*LN((E631*2.54)))*(1-(1/(VLOOKUP(D631,'Species Codes'!B:Q,16,0)+VLOOKUP(D631,'Species Codes'!B:R,17,0)*((E631*2.54)^VLOOKUP(D631,'Species Codes'!B:S,18,0)))))/1000,IF(D631="DF",EXP(VLOOKUP(D631,'Species Codes'!B:O,14,0)+VLOOKUP(D631,'Species Codes'!B:P,15,0)*LN((E631*2.54))),VLOOKUP(D631,'Species Codes'!B:O,14,0)+VLOOKUP(D631,'Species Codes'!B:P,15,0)*(((E631*2.54)/100)^2)*(I631*0.3048)))))*0.0011023),0)</f>
        <v>#N/A</v>
      </c>
      <c r="AD631" s="104" t="e">
        <f t="shared" si="301"/>
        <v>#N/A</v>
      </c>
      <c r="AE631" s="104" t="e">
        <f t="shared" si="302"/>
        <v>#N/A</v>
      </c>
      <c r="AF631" s="104" t="e">
        <f>IF(AND(VLOOKUP($D631,Merchantability!$B:$C,2,0)="Yes",$E631&gt;=VLOOKUP($D631,Merchantability!$B:$D,3,0),$E631&lt;=VLOOKUP($D631,Merchantability!$B:$E,4,0)),AA631,0)</f>
        <v>#N/A</v>
      </c>
      <c r="AG631" s="104" t="e">
        <f>IF(AND(VLOOKUP($D631,Merchantability!$B:$C,2,0)="Yes",$E631&gt;=VLOOKUP($D631,Merchantability!$B:$D,3,0),$E631&lt;=VLOOKUP($D631,Merchantability!$B:$E,4,0)),AB631,0)</f>
        <v>#N/A</v>
      </c>
      <c r="AH631" s="104" t="e">
        <f>IF(AND(VLOOKUP($D631,Merchantability!$B:$C,2,0)="Yes",$E631&gt;=VLOOKUP($D631,Merchantability!$B:$D,3,0),$E631&lt;=VLOOKUP($D631,Merchantability!$B:$E,4,0)),AC631,0)</f>
        <v>#N/A</v>
      </c>
      <c r="AI631" s="104" t="e">
        <f t="shared" si="303"/>
        <v>#N/A</v>
      </c>
      <c r="AJ631" s="104" t="e">
        <f t="shared" si="304"/>
        <v>#VALUE!</v>
      </c>
      <c r="AK631" s="104" t="e">
        <f t="shared" si="305"/>
        <v>#N/A</v>
      </c>
      <c r="AL631" s="104" t="e">
        <f t="shared" si="306"/>
        <v>#N/A</v>
      </c>
      <c r="AM631" s="104" t="e">
        <f t="shared" si="307"/>
        <v>#N/A</v>
      </c>
      <c r="AN631" s="104" t="e">
        <f t="shared" si="291"/>
        <v>#N/A</v>
      </c>
      <c r="AO631" s="104" t="e">
        <f t="shared" si="292"/>
        <v>#N/A</v>
      </c>
      <c r="AP631" s="104" t="e">
        <f t="shared" si="293"/>
        <v>#N/A</v>
      </c>
      <c r="AQ631" s="104" t="e">
        <f t="shared" si="294"/>
        <v>#N/A</v>
      </c>
      <c r="AR631" s="105" t="str">
        <f t="shared" si="286"/>
        <v/>
      </c>
      <c r="AS631" s="105" t="str">
        <f t="shared" si="287"/>
        <v/>
      </c>
      <c r="AT631" s="108" t="str">
        <f t="shared" si="288"/>
        <v/>
      </c>
      <c r="AU631" s="108" t="str">
        <f t="shared" si="289"/>
        <v/>
      </c>
      <c r="AV631" s="107" t="str">
        <f>IF(ISNUMBER(O631),IF(VLOOKUP($A631,Stand!C:J,8,FALSE)="Short",AT631,AU631),"")</f>
        <v/>
      </c>
      <c r="AW631" s="109" t="str">
        <f t="shared" si="295"/>
        <v/>
      </c>
      <c r="AX631" s="109" t="str">
        <f t="shared" si="296"/>
        <v/>
      </c>
      <c r="AY631" s="112" t="str">
        <f>IF(ISNUMBER(O631),IF(AND(VLOOKUP($D631,Merchantability!$B:$C,2,0)="Yes",$E631&gt;=VLOOKUP($D631,Merchantability!$B:$D,3,0),$E631&lt;=VLOOKUP($D631,Merchantability!$B:$E,4,0)),(AV631*O631)*(1-$H631/100),""),"")</f>
        <v/>
      </c>
      <c r="AZ631" s="116"/>
      <c r="BA631" s="116"/>
      <c r="BB631" s="116"/>
      <c r="BE631" s="62"/>
      <c r="BF631" s="63"/>
    </row>
    <row r="632" spans="1:58" ht="12.75" customHeight="1" x14ac:dyDescent="0.25">
      <c r="A632" s="313"/>
      <c r="B632" s="328"/>
      <c r="C632" s="329"/>
      <c r="D632" s="328"/>
      <c r="E632" s="330"/>
      <c r="F632" s="328"/>
      <c r="G632" s="329"/>
      <c r="H632" s="329"/>
      <c r="I632" s="328"/>
      <c r="J632" s="383"/>
      <c r="K632" s="329"/>
      <c r="L632" s="329"/>
      <c r="M632" s="78"/>
      <c r="N632" s="103" t="str">
        <f>IF(A632="","",VLOOKUP(A632,Stand!C:K,9,0))</f>
        <v/>
      </c>
      <c r="O632" s="104" t="str">
        <f t="shared" si="281"/>
        <v/>
      </c>
      <c r="P632" s="105" t="str">
        <f t="shared" si="282"/>
        <v/>
      </c>
      <c r="Q632" s="105" t="str">
        <f t="shared" si="297"/>
        <v/>
      </c>
      <c r="R632" s="103" t="str">
        <f t="shared" si="283"/>
        <v/>
      </c>
      <c r="S632" s="103" t="str">
        <f t="shared" si="284"/>
        <v/>
      </c>
      <c r="T632" s="106" t="str">
        <f t="shared" si="298"/>
        <v/>
      </c>
      <c r="U632" s="106" t="str">
        <f t="shared" si="299"/>
        <v/>
      </c>
      <c r="V632" s="106" t="str">
        <f t="shared" si="300"/>
        <v/>
      </c>
      <c r="W632" s="105" t="str">
        <f t="shared" si="285"/>
        <v/>
      </c>
      <c r="X632" s="104" t="str">
        <f t="shared" si="290"/>
        <v/>
      </c>
      <c r="Y632" s="104" t="str">
        <f t="array" ref="Y632">IFERROR(IF(ISNUMBER(O632),IF(COUNT(IF(A632=$A$2:$A$2427,IF(D632=$D$2:$D$2427,IF($X$2:$X$2427&gt;0,1))))&gt;0,SUM(IF(A632=$A$2:$A$2427,IF(D632=$D$2:$D$2427,$X$2:$X$2427)))/COUNT(IF(A632=$A$2:$A$2427,IF(D632=$D$2:$D$2427,IF(ISNUMBER($X$2:$X$2427),1)))),0),""),0)</f>
        <v/>
      </c>
      <c r="Z632" s="104" t="str">
        <f>IF(ISNUMBER(O632),IF(I632&gt;0,(10^(VLOOKUP(D632,'Species Codes'!B:C,2,0)+VLOOKUP(D632,'Species Codes'!B:D,3,0)*LOG(E632)+VLOOKUP(D632,'Species Codes'!B:E,4,0)*LOG(I632))),0),"")</f>
        <v/>
      </c>
      <c r="AA632" s="104" t="str">
        <f>IFERROR((VLOOKUP(D632,'Species Codes'!B:G,6,0)*Z632)/2000,"")</f>
        <v/>
      </c>
      <c r="AB632" s="104" t="e">
        <f>IF(Z632&gt;0,((IF(OR(D632="DF",D632="RA")=TRUE,EXP(VLOOKUP(D632,'Species Codes'!B:I,8,0)+VLOOKUP(D632,'Species Codes'!B:J,9,0)*(LN((E632*2.54)))),IF(OR(D632="PY",D632="RC",D632="WH",D632="NF")=TRUE,VLOOKUP(D632,'Species Codes'!B:I,8,0)+VLOOKUP(D632,'Species Codes'!B:J,9,0)*((E632*2.54)^2)*(I632*0.3048),IF(OR(D632="MD",D632="BM",D632="GA")=TRUE,((VLOOKUP(D632,'Species Codes'!B:I,8,0)*(((((E632*2.54)+VLOOKUP(D632,'Species Codes'!B:J,9,0))/VLOOKUP(D632,'Species Codes'!B:K,10,0))^VLOOKUP(D632,'Species Codes'!B:L,11,0))*((I632*0.3048)^VLOOKUP(D632,'Species Codes'!B:M,12,0))))-(VLOOKUP(D632,'Species Codes'!B:I,8,0)*((((E632*2.54)^VLOOKUP(D632,'Species Codes'!B:L,11,0))*((I632*0.3048)^VLOOKUP(D632,'Species Codes'!B:M,12,0))))))*35.3*VLOOKUP(D632,'Species Codes'!B:G,6,0)/2.2046,VLOOKUP(D632,'Species Codes'!B:I,8,0)+VLOOKUP(D632,'Species Codes'!B:J,9,0)*(((E632*2.54)/100)^2)*(I632*0.3048)))))*0.0011023),0)</f>
        <v>#N/A</v>
      </c>
      <c r="AC632" s="104" t="e">
        <f>IF(Z632&gt;0,((IF(OR(D632="RA",D632="OA",D632="OT",D632="UN",D632="PC"),EXP(VLOOKUP(D632,'Species Codes'!B:O,14,0)+VLOOKUP(D632,'Species Codes'!B:P,15,0)*LN((E632*2.54)))-EXP(VLOOKUP(D632,'Species Codes'!B:O,14,0)+VLOOKUP(D632,'Species Codes'!B:P,15,0)*LN((E632*2.54)))*(1/(VLOOKUP(D632,'Species Codes'!B:Q,16,0)+VLOOKUP(D632,'Species Codes'!B:R,17,0)*((E632*2.54)^VLOOKUP(D632,'Species Codes'!B:S,18,0)))),IF(OR(D632="BM",D632="MD",D632="OA"),EXP(VLOOKUP(D632,'Species Codes'!B:O,14,0)+VLOOKUP(D632,'Species Codes'!B:P,15,0)*LN((E632*2.54)))*(1-(1/(VLOOKUP(D632,'Species Codes'!B:Q,16,0)+VLOOKUP(D632,'Species Codes'!B:R,17,0)*((E632*2.54)^VLOOKUP(D632,'Species Codes'!B:S,18,0)))))/1000,IF(D632="DF",EXP(VLOOKUP(D632,'Species Codes'!B:O,14,0)+VLOOKUP(D632,'Species Codes'!B:P,15,0)*LN((E632*2.54))),VLOOKUP(D632,'Species Codes'!B:O,14,0)+VLOOKUP(D632,'Species Codes'!B:P,15,0)*(((E632*2.54)/100)^2)*(I632*0.3048)))))*0.0011023),0)</f>
        <v>#N/A</v>
      </c>
      <c r="AD632" s="104" t="e">
        <f t="shared" si="301"/>
        <v>#N/A</v>
      </c>
      <c r="AE632" s="104" t="e">
        <f t="shared" si="302"/>
        <v>#N/A</v>
      </c>
      <c r="AF632" s="104" t="e">
        <f>IF(AND(VLOOKUP($D632,Merchantability!$B:$C,2,0)="Yes",$E632&gt;=VLOOKUP($D632,Merchantability!$B:$D,3,0),$E632&lt;=VLOOKUP($D632,Merchantability!$B:$E,4,0)),AA632,0)</f>
        <v>#N/A</v>
      </c>
      <c r="AG632" s="104" t="e">
        <f>IF(AND(VLOOKUP($D632,Merchantability!$B:$C,2,0)="Yes",$E632&gt;=VLOOKUP($D632,Merchantability!$B:$D,3,0),$E632&lt;=VLOOKUP($D632,Merchantability!$B:$E,4,0)),AB632,0)</f>
        <v>#N/A</v>
      </c>
      <c r="AH632" s="104" t="e">
        <f>IF(AND(VLOOKUP($D632,Merchantability!$B:$C,2,0)="Yes",$E632&gt;=VLOOKUP($D632,Merchantability!$B:$D,3,0),$E632&lt;=VLOOKUP($D632,Merchantability!$B:$E,4,0)),AC632,0)</f>
        <v>#N/A</v>
      </c>
      <c r="AI632" s="104" t="e">
        <f t="shared" si="303"/>
        <v>#N/A</v>
      </c>
      <c r="AJ632" s="104" t="e">
        <f t="shared" si="304"/>
        <v>#VALUE!</v>
      </c>
      <c r="AK632" s="104" t="e">
        <f t="shared" si="305"/>
        <v>#N/A</v>
      </c>
      <c r="AL632" s="104" t="e">
        <f t="shared" si="306"/>
        <v>#N/A</v>
      </c>
      <c r="AM632" s="104" t="e">
        <f t="shared" si="307"/>
        <v>#N/A</v>
      </c>
      <c r="AN632" s="104" t="e">
        <f t="shared" si="291"/>
        <v>#N/A</v>
      </c>
      <c r="AO632" s="104" t="e">
        <f t="shared" si="292"/>
        <v>#N/A</v>
      </c>
      <c r="AP632" s="104" t="e">
        <f t="shared" si="293"/>
        <v>#N/A</v>
      </c>
      <c r="AQ632" s="104" t="e">
        <f t="shared" si="294"/>
        <v>#N/A</v>
      </c>
      <c r="AR632" s="105" t="str">
        <f t="shared" si="286"/>
        <v/>
      </c>
      <c r="AS632" s="105" t="str">
        <f t="shared" si="287"/>
        <v/>
      </c>
      <c r="AT632" s="108" t="str">
        <f t="shared" si="288"/>
        <v/>
      </c>
      <c r="AU632" s="108" t="str">
        <f t="shared" si="289"/>
        <v/>
      </c>
      <c r="AV632" s="107" t="str">
        <f>IF(ISNUMBER(O632),IF(VLOOKUP($A632,Stand!C:J,8,FALSE)="Short",AT632,AU632),"")</f>
        <v/>
      </c>
      <c r="AW632" s="109" t="str">
        <f t="shared" si="295"/>
        <v/>
      </c>
      <c r="AX632" s="109" t="str">
        <f t="shared" si="296"/>
        <v/>
      </c>
      <c r="AY632" s="112" t="str">
        <f>IF(ISNUMBER(O632),IF(AND(VLOOKUP($D632,Merchantability!$B:$C,2,0)="Yes",$E632&gt;=VLOOKUP($D632,Merchantability!$B:$D,3,0),$E632&lt;=VLOOKUP($D632,Merchantability!$B:$E,4,0)),(AV632*O632)*(1-$H632/100),""),"")</f>
        <v/>
      </c>
      <c r="AZ632" s="116"/>
      <c r="BA632" s="116"/>
      <c r="BB632" s="116"/>
      <c r="BE632" s="62"/>
      <c r="BF632" s="63"/>
    </row>
    <row r="633" spans="1:58" ht="12.75" customHeight="1" x14ac:dyDescent="0.25">
      <c r="A633" s="313"/>
      <c r="B633" s="328"/>
      <c r="C633" s="329"/>
      <c r="D633" s="328"/>
      <c r="E633" s="330"/>
      <c r="F633" s="328"/>
      <c r="G633" s="329"/>
      <c r="H633" s="329"/>
      <c r="I633" s="328"/>
      <c r="J633" s="383"/>
      <c r="K633" s="329"/>
      <c r="L633" s="329"/>
      <c r="M633" s="78"/>
      <c r="N633" s="103" t="str">
        <f>IF(A633="","",VLOOKUP(A633,Stand!C:K,9,0))</f>
        <v/>
      </c>
      <c r="O633" s="104" t="str">
        <f t="shared" si="281"/>
        <v/>
      </c>
      <c r="P633" s="105" t="str">
        <f t="shared" si="282"/>
        <v/>
      </c>
      <c r="Q633" s="105" t="str">
        <f t="shared" si="297"/>
        <v/>
      </c>
      <c r="R633" s="103" t="str">
        <f t="shared" si="283"/>
        <v/>
      </c>
      <c r="S633" s="103" t="str">
        <f t="shared" si="284"/>
        <v/>
      </c>
      <c r="T633" s="106" t="str">
        <f t="shared" si="298"/>
        <v/>
      </c>
      <c r="U633" s="106" t="str">
        <f t="shared" si="299"/>
        <v/>
      </c>
      <c r="V633" s="106" t="str">
        <f t="shared" si="300"/>
        <v/>
      </c>
      <c r="W633" s="105" t="str">
        <f t="shared" si="285"/>
        <v/>
      </c>
      <c r="X633" s="104" t="str">
        <f t="shared" si="290"/>
        <v/>
      </c>
      <c r="Y633" s="104" t="str">
        <f t="array" ref="Y633">IFERROR(IF(ISNUMBER(O633),IF(COUNT(IF(A633=$A$2:$A$2427,IF(D633=$D$2:$D$2427,IF($X$2:$X$2427&gt;0,1))))&gt;0,SUM(IF(A633=$A$2:$A$2427,IF(D633=$D$2:$D$2427,$X$2:$X$2427)))/COUNT(IF(A633=$A$2:$A$2427,IF(D633=$D$2:$D$2427,IF(ISNUMBER($X$2:$X$2427),1)))),0),""),0)</f>
        <v/>
      </c>
      <c r="Z633" s="104" t="str">
        <f>IF(ISNUMBER(O633),IF(I633&gt;0,(10^(VLOOKUP(D633,'Species Codes'!B:C,2,0)+VLOOKUP(D633,'Species Codes'!B:D,3,0)*LOG(E633)+VLOOKUP(D633,'Species Codes'!B:E,4,0)*LOG(I633))),0),"")</f>
        <v/>
      </c>
      <c r="AA633" s="104" t="str">
        <f>IFERROR((VLOOKUP(D633,'Species Codes'!B:G,6,0)*Z633)/2000,"")</f>
        <v/>
      </c>
      <c r="AB633" s="104" t="e">
        <f>IF(Z633&gt;0,((IF(OR(D633="DF",D633="RA")=TRUE,EXP(VLOOKUP(D633,'Species Codes'!B:I,8,0)+VLOOKUP(D633,'Species Codes'!B:J,9,0)*(LN((E633*2.54)))),IF(OR(D633="PY",D633="RC",D633="WH",D633="NF")=TRUE,VLOOKUP(D633,'Species Codes'!B:I,8,0)+VLOOKUP(D633,'Species Codes'!B:J,9,0)*((E633*2.54)^2)*(I633*0.3048),IF(OR(D633="MD",D633="BM",D633="GA")=TRUE,((VLOOKUP(D633,'Species Codes'!B:I,8,0)*(((((E633*2.54)+VLOOKUP(D633,'Species Codes'!B:J,9,0))/VLOOKUP(D633,'Species Codes'!B:K,10,0))^VLOOKUP(D633,'Species Codes'!B:L,11,0))*((I633*0.3048)^VLOOKUP(D633,'Species Codes'!B:M,12,0))))-(VLOOKUP(D633,'Species Codes'!B:I,8,0)*((((E633*2.54)^VLOOKUP(D633,'Species Codes'!B:L,11,0))*((I633*0.3048)^VLOOKUP(D633,'Species Codes'!B:M,12,0))))))*35.3*VLOOKUP(D633,'Species Codes'!B:G,6,0)/2.2046,VLOOKUP(D633,'Species Codes'!B:I,8,0)+VLOOKUP(D633,'Species Codes'!B:J,9,0)*(((E633*2.54)/100)^2)*(I633*0.3048)))))*0.0011023),0)</f>
        <v>#N/A</v>
      </c>
      <c r="AC633" s="104" t="e">
        <f>IF(Z633&gt;0,((IF(OR(D633="RA",D633="OA",D633="OT",D633="UN",D633="PC"),EXP(VLOOKUP(D633,'Species Codes'!B:O,14,0)+VLOOKUP(D633,'Species Codes'!B:P,15,0)*LN((E633*2.54)))-EXP(VLOOKUP(D633,'Species Codes'!B:O,14,0)+VLOOKUP(D633,'Species Codes'!B:P,15,0)*LN((E633*2.54)))*(1/(VLOOKUP(D633,'Species Codes'!B:Q,16,0)+VLOOKUP(D633,'Species Codes'!B:R,17,0)*((E633*2.54)^VLOOKUP(D633,'Species Codes'!B:S,18,0)))),IF(OR(D633="BM",D633="MD",D633="OA"),EXP(VLOOKUP(D633,'Species Codes'!B:O,14,0)+VLOOKUP(D633,'Species Codes'!B:P,15,0)*LN((E633*2.54)))*(1-(1/(VLOOKUP(D633,'Species Codes'!B:Q,16,0)+VLOOKUP(D633,'Species Codes'!B:R,17,0)*((E633*2.54)^VLOOKUP(D633,'Species Codes'!B:S,18,0)))))/1000,IF(D633="DF",EXP(VLOOKUP(D633,'Species Codes'!B:O,14,0)+VLOOKUP(D633,'Species Codes'!B:P,15,0)*LN((E633*2.54))),VLOOKUP(D633,'Species Codes'!B:O,14,0)+VLOOKUP(D633,'Species Codes'!B:P,15,0)*(((E633*2.54)/100)^2)*(I633*0.3048)))))*0.0011023),0)</f>
        <v>#N/A</v>
      </c>
      <c r="AD633" s="104" t="e">
        <f t="shared" si="301"/>
        <v>#N/A</v>
      </c>
      <c r="AE633" s="104" t="e">
        <f t="shared" si="302"/>
        <v>#N/A</v>
      </c>
      <c r="AF633" s="104" t="e">
        <f>IF(AND(VLOOKUP($D633,Merchantability!$B:$C,2,0)="Yes",$E633&gt;=VLOOKUP($D633,Merchantability!$B:$D,3,0),$E633&lt;=VLOOKUP($D633,Merchantability!$B:$E,4,0)),AA633,0)</f>
        <v>#N/A</v>
      </c>
      <c r="AG633" s="104" t="e">
        <f>IF(AND(VLOOKUP($D633,Merchantability!$B:$C,2,0)="Yes",$E633&gt;=VLOOKUP($D633,Merchantability!$B:$D,3,0),$E633&lt;=VLOOKUP($D633,Merchantability!$B:$E,4,0)),AB633,0)</f>
        <v>#N/A</v>
      </c>
      <c r="AH633" s="104" t="e">
        <f>IF(AND(VLOOKUP($D633,Merchantability!$B:$C,2,0)="Yes",$E633&gt;=VLOOKUP($D633,Merchantability!$B:$D,3,0),$E633&lt;=VLOOKUP($D633,Merchantability!$B:$E,4,0)),AC633,0)</f>
        <v>#N/A</v>
      </c>
      <c r="AI633" s="104" t="e">
        <f t="shared" si="303"/>
        <v>#N/A</v>
      </c>
      <c r="AJ633" s="104" t="e">
        <f t="shared" si="304"/>
        <v>#VALUE!</v>
      </c>
      <c r="AK633" s="104" t="e">
        <f t="shared" si="305"/>
        <v>#N/A</v>
      </c>
      <c r="AL633" s="104" t="e">
        <f t="shared" si="306"/>
        <v>#N/A</v>
      </c>
      <c r="AM633" s="104" t="e">
        <f t="shared" si="307"/>
        <v>#N/A</v>
      </c>
      <c r="AN633" s="104" t="e">
        <f t="shared" si="291"/>
        <v>#N/A</v>
      </c>
      <c r="AO633" s="104" t="e">
        <f t="shared" si="292"/>
        <v>#N/A</v>
      </c>
      <c r="AP633" s="104" t="e">
        <f t="shared" si="293"/>
        <v>#N/A</v>
      </c>
      <c r="AQ633" s="104" t="e">
        <f t="shared" si="294"/>
        <v>#N/A</v>
      </c>
      <c r="AR633" s="105" t="str">
        <f t="shared" si="286"/>
        <v/>
      </c>
      <c r="AS633" s="105" t="str">
        <f t="shared" si="287"/>
        <v/>
      </c>
      <c r="AT633" s="108" t="str">
        <f t="shared" si="288"/>
        <v/>
      </c>
      <c r="AU633" s="108" t="str">
        <f t="shared" si="289"/>
        <v/>
      </c>
      <c r="AV633" s="107" t="str">
        <f>IF(ISNUMBER(O633),IF(VLOOKUP($A633,Stand!C:J,8,FALSE)="Short",AT633,AU633),"")</f>
        <v/>
      </c>
      <c r="AW633" s="109" t="str">
        <f t="shared" si="295"/>
        <v/>
      </c>
      <c r="AX633" s="109" t="str">
        <f t="shared" si="296"/>
        <v/>
      </c>
      <c r="AY633" s="112" t="str">
        <f>IF(ISNUMBER(O633),IF(AND(VLOOKUP($D633,Merchantability!$B:$C,2,0)="Yes",$E633&gt;=VLOOKUP($D633,Merchantability!$B:$D,3,0),$E633&lt;=VLOOKUP($D633,Merchantability!$B:$E,4,0)),(AV633*O633)*(1-$H633/100),""),"")</f>
        <v/>
      </c>
      <c r="AZ633" s="116"/>
      <c r="BA633" s="116"/>
      <c r="BB633" s="116"/>
      <c r="BE633" s="62"/>
      <c r="BF633" s="63"/>
    </row>
    <row r="634" spans="1:58" ht="12.75" customHeight="1" x14ac:dyDescent="0.25">
      <c r="A634" s="313"/>
      <c r="B634" s="328"/>
      <c r="C634" s="329"/>
      <c r="D634" s="328"/>
      <c r="E634" s="330"/>
      <c r="F634" s="328"/>
      <c r="G634" s="329"/>
      <c r="H634" s="329"/>
      <c r="I634" s="328"/>
      <c r="J634" s="383"/>
      <c r="K634" s="329"/>
      <c r="L634" s="329"/>
      <c r="M634" s="78"/>
      <c r="N634" s="103" t="str">
        <f>IF(A634="","",VLOOKUP(A634,Stand!C:K,9,0))</f>
        <v/>
      </c>
      <c r="O634" s="104" t="str">
        <f t="shared" si="281"/>
        <v/>
      </c>
      <c r="P634" s="105" t="str">
        <f t="shared" si="282"/>
        <v/>
      </c>
      <c r="Q634" s="105" t="str">
        <f t="shared" si="297"/>
        <v/>
      </c>
      <c r="R634" s="103" t="str">
        <f t="shared" si="283"/>
        <v/>
      </c>
      <c r="S634" s="103" t="str">
        <f t="shared" si="284"/>
        <v/>
      </c>
      <c r="T634" s="106" t="str">
        <f t="shared" si="298"/>
        <v/>
      </c>
      <c r="U634" s="106" t="str">
        <f t="shared" si="299"/>
        <v/>
      </c>
      <c r="V634" s="106" t="str">
        <f t="shared" si="300"/>
        <v/>
      </c>
      <c r="W634" s="105" t="str">
        <f t="shared" si="285"/>
        <v/>
      </c>
      <c r="X634" s="104" t="str">
        <f t="shared" si="290"/>
        <v/>
      </c>
      <c r="Y634" s="104" t="str">
        <f t="array" ref="Y634">IFERROR(IF(ISNUMBER(O634),IF(COUNT(IF(A634=$A$2:$A$2427,IF(D634=$D$2:$D$2427,IF($X$2:$X$2427&gt;0,1))))&gt;0,SUM(IF(A634=$A$2:$A$2427,IF(D634=$D$2:$D$2427,$X$2:$X$2427)))/COUNT(IF(A634=$A$2:$A$2427,IF(D634=$D$2:$D$2427,IF(ISNUMBER($X$2:$X$2427),1)))),0),""),0)</f>
        <v/>
      </c>
      <c r="Z634" s="104" t="str">
        <f>IF(ISNUMBER(O634),IF(I634&gt;0,(10^(VLOOKUP(D634,'Species Codes'!B:C,2,0)+VLOOKUP(D634,'Species Codes'!B:D,3,0)*LOG(E634)+VLOOKUP(D634,'Species Codes'!B:E,4,0)*LOG(I634))),0),"")</f>
        <v/>
      </c>
      <c r="AA634" s="104" t="str">
        <f>IFERROR((VLOOKUP(D634,'Species Codes'!B:G,6,0)*Z634)/2000,"")</f>
        <v/>
      </c>
      <c r="AB634" s="104" t="e">
        <f>IF(Z634&gt;0,((IF(OR(D634="DF",D634="RA")=TRUE,EXP(VLOOKUP(D634,'Species Codes'!B:I,8,0)+VLOOKUP(D634,'Species Codes'!B:J,9,0)*(LN((E634*2.54)))),IF(OR(D634="PY",D634="RC",D634="WH",D634="NF")=TRUE,VLOOKUP(D634,'Species Codes'!B:I,8,0)+VLOOKUP(D634,'Species Codes'!B:J,9,0)*((E634*2.54)^2)*(I634*0.3048),IF(OR(D634="MD",D634="BM",D634="GA")=TRUE,((VLOOKUP(D634,'Species Codes'!B:I,8,0)*(((((E634*2.54)+VLOOKUP(D634,'Species Codes'!B:J,9,0))/VLOOKUP(D634,'Species Codes'!B:K,10,0))^VLOOKUP(D634,'Species Codes'!B:L,11,0))*((I634*0.3048)^VLOOKUP(D634,'Species Codes'!B:M,12,0))))-(VLOOKUP(D634,'Species Codes'!B:I,8,0)*((((E634*2.54)^VLOOKUP(D634,'Species Codes'!B:L,11,0))*((I634*0.3048)^VLOOKUP(D634,'Species Codes'!B:M,12,0))))))*35.3*VLOOKUP(D634,'Species Codes'!B:G,6,0)/2.2046,VLOOKUP(D634,'Species Codes'!B:I,8,0)+VLOOKUP(D634,'Species Codes'!B:J,9,0)*(((E634*2.54)/100)^2)*(I634*0.3048)))))*0.0011023),0)</f>
        <v>#N/A</v>
      </c>
      <c r="AC634" s="104" t="e">
        <f>IF(Z634&gt;0,((IF(OR(D634="RA",D634="OA",D634="OT",D634="UN",D634="PC"),EXP(VLOOKUP(D634,'Species Codes'!B:O,14,0)+VLOOKUP(D634,'Species Codes'!B:P,15,0)*LN((E634*2.54)))-EXP(VLOOKUP(D634,'Species Codes'!B:O,14,0)+VLOOKUP(D634,'Species Codes'!B:P,15,0)*LN((E634*2.54)))*(1/(VLOOKUP(D634,'Species Codes'!B:Q,16,0)+VLOOKUP(D634,'Species Codes'!B:R,17,0)*((E634*2.54)^VLOOKUP(D634,'Species Codes'!B:S,18,0)))),IF(OR(D634="BM",D634="MD",D634="OA"),EXP(VLOOKUP(D634,'Species Codes'!B:O,14,0)+VLOOKUP(D634,'Species Codes'!B:P,15,0)*LN((E634*2.54)))*(1-(1/(VLOOKUP(D634,'Species Codes'!B:Q,16,0)+VLOOKUP(D634,'Species Codes'!B:R,17,0)*((E634*2.54)^VLOOKUP(D634,'Species Codes'!B:S,18,0)))))/1000,IF(D634="DF",EXP(VLOOKUP(D634,'Species Codes'!B:O,14,0)+VLOOKUP(D634,'Species Codes'!B:P,15,0)*LN((E634*2.54))),VLOOKUP(D634,'Species Codes'!B:O,14,0)+VLOOKUP(D634,'Species Codes'!B:P,15,0)*(((E634*2.54)/100)^2)*(I634*0.3048)))))*0.0011023),0)</f>
        <v>#N/A</v>
      </c>
      <c r="AD634" s="104" t="e">
        <f t="shared" si="301"/>
        <v>#N/A</v>
      </c>
      <c r="AE634" s="104" t="e">
        <f t="shared" si="302"/>
        <v>#N/A</v>
      </c>
      <c r="AF634" s="104" t="e">
        <f>IF(AND(VLOOKUP($D634,Merchantability!$B:$C,2,0)="Yes",$E634&gt;=VLOOKUP($D634,Merchantability!$B:$D,3,0),$E634&lt;=VLOOKUP($D634,Merchantability!$B:$E,4,0)),AA634,0)</f>
        <v>#N/A</v>
      </c>
      <c r="AG634" s="104" t="e">
        <f>IF(AND(VLOOKUP($D634,Merchantability!$B:$C,2,0)="Yes",$E634&gt;=VLOOKUP($D634,Merchantability!$B:$D,3,0),$E634&lt;=VLOOKUP($D634,Merchantability!$B:$E,4,0)),AB634,0)</f>
        <v>#N/A</v>
      </c>
      <c r="AH634" s="104" t="e">
        <f>IF(AND(VLOOKUP($D634,Merchantability!$B:$C,2,0)="Yes",$E634&gt;=VLOOKUP($D634,Merchantability!$B:$D,3,0),$E634&lt;=VLOOKUP($D634,Merchantability!$B:$E,4,0)),AC634,0)</f>
        <v>#N/A</v>
      </c>
      <c r="AI634" s="104" t="e">
        <f t="shared" si="303"/>
        <v>#N/A</v>
      </c>
      <c r="AJ634" s="104" t="e">
        <f t="shared" si="304"/>
        <v>#VALUE!</v>
      </c>
      <c r="AK634" s="104" t="e">
        <f t="shared" si="305"/>
        <v>#N/A</v>
      </c>
      <c r="AL634" s="104" t="e">
        <f t="shared" si="306"/>
        <v>#N/A</v>
      </c>
      <c r="AM634" s="104" t="e">
        <f t="shared" si="307"/>
        <v>#N/A</v>
      </c>
      <c r="AN634" s="104" t="e">
        <f t="shared" si="291"/>
        <v>#N/A</v>
      </c>
      <c r="AO634" s="104" t="e">
        <f t="shared" si="292"/>
        <v>#N/A</v>
      </c>
      <c r="AP634" s="104" t="e">
        <f t="shared" si="293"/>
        <v>#N/A</v>
      </c>
      <c r="AQ634" s="104" t="e">
        <f t="shared" si="294"/>
        <v>#N/A</v>
      </c>
      <c r="AR634" s="105" t="str">
        <f t="shared" si="286"/>
        <v/>
      </c>
      <c r="AS634" s="105" t="str">
        <f t="shared" si="287"/>
        <v/>
      </c>
      <c r="AT634" s="108" t="str">
        <f t="shared" si="288"/>
        <v/>
      </c>
      <c r="AU634" s="108" t="str">
        <f t="shared" si="289"/>
        <v/>
      </c>
      <c r="AV634" s="107" t="str">
        <f>IF(ISNUMBER(O634),IF(VLOOKUP($A634,Stand!C:J,8,FALSE)="Short",AT634,AU634),"")</f>
        <v/>
      </c>
      <c r="AW634" s="109" t="str">
        <f t="shared" si="295"/>
        <v/>
      </c>
      <c r="AX634" s="109" t="str">
        <f t="shared" si="296"/>
        <v/>
      </c>
      <c r="AY634" s="112" t="str">
        <f>IF(ISNUMBER(O634),IF(AND(VLOOKUP($D634,Merchantability!$B:$C,2,0)="Yes",$E634&gt;=VLOOKUP($D634,Merchantability!$B:$D,3,0),$E634&lt;=VLOOKUP($D634,Merchantability!$B:$E,4,0)),(AV634*O634)*(1-$H634/100),""),"")</f>
        <v/>
      </c>
      <c r="AZ634" s="116"/>
      <c r="BA634" s="116"/>
      <c r="BB634" s="116"/>
      <c r="BE634" s="62"/>
      <c r="BF634" s="63"/>
    </row>
    <row r="635" spans="1:58" ht="12.75" customHeight="1" x14ac:dyDescent="0.25">
      <c r="A635" s="313"/>
      <c r="B635" s="328"/>
      <c r="C635" s="329"/>
      <c r="D635" s="328"/>
      <c r="E635" s="330"/>
      <c r="F635" s="328"/>
      <c r="G635" s="329"/>
      <c r="H635" s="329"/>
      <c r="I635" s="328"/>
      <c r="J635" s="383"/>
      <c r="K635" s="329"/>
      <c r="L635" s="329"/>
      <c r="M635" s="78"/>
      <c r="N635" s="103" t="str">
        <f>IF(A635="","",VLOOKUP(A635,Stand!C:K,9,0))</f>
        <v/>
      </c>
      <c r="O635" s="104" t="str">
        <f t="shared" si="281"/>
        <v/>
      </c>
      <c r="P635" s="105" t="str">
        <f t="shared" si="282"/>
        <v/>
      </c>
      <c r="Q635" s="105" t="str">
        <f t="shared" si="297"/>
        <v/>
      </c>
      <c r="R635" s="103" t="str">
        <f t="shared" si="283"/>
        <v/>
      </c>
      <c r="S635" s="103" t="str">
        <f t="shared" si="284"/>
        <v/>
      </c>
      <c r="T635" s="106" t="str">
        <f t="shared" si="298"/>
        <v/>
      </c>
      <c r="U635" s="106" t="str">
        <f t="shared" si="299"/>
        <v/>
      </c>
      <c r="V635" s="106" t="str">
        <f t="shared" si="300"/>
        <v/>
      </c>
      <c r="W635" s="105" t="str">
        <f t="shared" si="285"/>
        <v/>
      </c>
      <c r="X635" s="104" t="str">
        <f t="shared" si="290"/>
        <v/>
      </c>
      <c r="Y635" s="104" t="str">
        <f t="array" ref="Y635">IFERROR(IF(ISNUMBER(O635),IF(COUNT(IF(A635=$A$2:$A$2427,IF(D635=$D$2:$D$2427,IF($X$2:$X$2427&gt;0,1))))&gt;0,SUM(IF(A635=$A$2:$A$2427,IF(D635=$D$2:$D$2427,$X$2:$X$2427)))/COUNT(IF(A635=$A$2:$A$2427,IF(D635=$D$2:$D$2427,IF(ISNUMBER($X$2:$X$2427),1)))),0),""),0)</f>
        <v/>
      </c>
      <c r="Z635" s="104" t="str">
        <f>IF(ISNUMBER(O635),IF(I635&gt;0,(10^(VLOOKUP(D635,'Species Codes'!B:C,2,0)+VLOOKUP(D635,'Species Codes'!B:D,3,0)*LOG(E635)+VLOOKUP(D635,'Species Codes'!B:E,4,0)*LOG(I635))),0),"")</f>
        <v/>
      </c>
      <c r="AA635" s="104" t="str">
        <f>IFERROR((VLOOKUP(D635,'Species Codes'!B:G,6,0)*Z635)/2000,"")</f>
        <v/>
      </c>
      <c r="AB635" s="104" t="e">
        <f>IF(Z635&gt;0,((IF(OR(D635="DF",D635="RA")=TRUE,EXP(VLOOKUP(D635,'Species Codes'!B:I,8,0)+VLOOKUP(D635,'Species Codes'!B:J,9,0)*(LN((E635*2.54)))),IF(OR(D635="PY",D635="RC",D635="WH",D635="NF")=TRUE,VLOOKUP(D635,'Species Codes'!B:I,8,0)+VLOOKUP(D635,'Species Codes'!B:J,9,0)*((E635*2.54)^2)*(I635*0.3048),IF(OR(D635="MD",D635="BM",D635="GA")=TRUE,((VLOOKUP(D635,'Species Codes'!B:I,8,0)*(((((E635*2.54)+VLOOKUP(D635,'Species Codes'!B:J,9,0))/VLOOKUP(D635,'Species Codes'!B:K,10,0))^VLOOKUP(D635,'Species Codes'!B:L,11,0))*((I635*0.3048)^VLOOKUP(D635,'Species Codes'!B:M,12,0))))-(VLOOKUP(D635,'Species Codes'!B:I,8,0)*((((E635*2.54)^VLOOKUP(D635,'Species Codes'!B:L,11,0))*((I635*0.3048)^VLOOKUP(D635,'Species Codes'!B:M,12,0))))))*35.3*VLOOKUP(D635,'Species Codes'!B:G,6,0)/2.2046,VLOOKUP(D635,'Species Codes'!B:I,8,0)+VLOOKUP(D635,'Species Codes'!B:J,9,0)*(((E635*2.54)/100)^2)*(I635*0.3048)))))*0.0011023),0)</f>
        <v>#N/A</v>
      </c>
      <c r="AC635" s="104" t="e">
        <f>IF(Z635&gt;0,((IF(OR(D635="RA",D635="OA",D635="OT",D635="UN",D635="PC"),EXP(VLOOKUP(D635,'Species Codes'!B:O,14,0)+VLOOKUP(D635,'Species Codes'!B:P,15,0)*LN((E635*2.54)))-EXP(VLOOKUP(D635,'Species Codes'!B:O,14,0)+VLOOKUP(D635,'Species Codes'!B:P,15,0)*LN((E635*2.54)))*(1/(VLOOKUP(D635,'Species Codes'!B:Q,16,0)+VLOOKUP(D635,'Species Codes'!B:R,17,0)*((E635*2.54)^VLOOKUP(D635,'Species Codes'!B:S,18,0)))),IF(OR(D635="BM",D635="MD",D635="OA"),EXP(VLOOKUP(D635,'Species Codes'!B:O,14,0)+VLOOKUP(D635,'Species Codes'!B:P,15,0)*LN((E635*2.54)))*(1-(1/(VLOOKUP(D635,'Species Codes'!B:Q,16,0)+VLOOKUP(D635,'Species Codes'!B:R,17,0)*((E635*2.54)^VLOOKUP(D635,'Species Codes'!B:S,18,0)))))/1000,IF(D635="DF",EXP(VLOOKUP(D635,'Species Codes'!B:O,14,0)+VLOOKUP(D635,'Species Codes'!B:P,15,0)*LN((E635*2.54))),VLOOKUP(D635,'Species Codes'!B:O,14,0)+VLOOKUP(D635,'Species Codes'!B:P,15,0)*(((E635*2.54)/100)^2)*(I635*0.3048)))))*0.0011023),0)</f>
        <v>#N/A</v>
      </c>
      <c r="AD635" s="104" t="e">
        <f t="shared" si="301"/>
        <v>#N/A</v>
      </c>
      <c r="AE635" s="104" t="e">
        <f t="shared" si="302"/>
        <v>#N/A</v>
      </c>
      <c r="AF635" s="104" t="e">
        <f>IF(AND(VLOOKUP($D635,Merchantability!$B:$C,2,0)="Yes",$E635&gt;=VLOOKUP($D635,Merchantability!$B:$D,3,0),$E635&lt;=VLOOKUP($D635,Merchantability!$B:$E,4,0)),AA635,0)</f>
        <v>#N/A</v>
      </c>
      <c r="AG635" s="104" t="e">
        <f>IF(AND(VLOOKUP($D635,Merchantability!$B:$C,2,0)="Yes",$E635&gt;=VLOOKUP($D635,Merchantability!$B:$D,3,0),$E635&lt;=VLOOKUP($D635,Merchantability!$B:$E,4,0)),AB635,0)</f>
        <v>#N/A</v>
      </c>
      <c r="AH635" s="104" t="e">
        <f>IF(AND(VLOOKUP($D635,Merchantability!$B:$C,2,0)="Yes",$E635&gt;=VLOOKUP($D635,Merchantability!$B:$D,3,0),$E635&lt;=VLOOKUP($D635,Merchantability!$B:$E,4,0)),AC635,0)</f>
        <v>#N/A</v>
      </c>
      <c r="AI635" s="104" t="e">
        <f t="shared" si="303"/>
        <v>#N/A</v>
      </c>
      <c r="AJ635" s="104" t="e">
        <f t="shared" si="304"/>
        <v>#VALUE!</v>
      </c>
      <c r="AK635" s="104" t="e">
        <f t="shared" si="305"/>
        <v>#N/A</v>
      </c>
      <c r="AL635" s="104" t="e">
        <f t="shared" si="306"/>
        <v>#N/A</v>
      </c>
      <c r="AM635" s="104" t="e">
        <f t="shared" si="307"/>
        <v>#N/A</v>
      </c>
      <c r="AN635" s="104" t="e">
        <f t="shared" si="291"/>
        <v>#N/A</v>
      </c>
      <c r="AO635" s="104" t="e">
        <f t="shared" si="292"/>
        <v>#N/A</v>
      </c>
      <c r="AP635" s="104" t="e">
        <f t="shared" si="293"/>
        <v>#N/A</v>
      </c>
      <c r="AQ635" s="104" t="e">
        <f t="shared" si="294"/>
        <v>#N/A</v>
      </c>
      <c r="AR635" s="105" t="str">
        <f t="shared" si="286"/>
        <v/>
      </c>
      <c r="AS635" s="105" t="str">
        <f t="shared" si="287"/>
        <v/>
      </c>
      <c r="AT635" s="108" t="str">
        <f t="shared" si="288"/>
        <v/>
      </c>
      <c r="AU635" s="108" t="str">
        <f t="shared" si="289"/>
        <v/>
      </c>
      <c r="AV635" s="107" t="str">
        <f>IF(ISNUMBER(O635),IF(VLOOKUP($A635,Stand!C:J,8,FALSE)="Short",AT635,AU635),"")</f>
        <v/>
      </c>
      <c r="AW635" s="109" t="str">
        <f t="shared" si="295"/>
        <v/>
      </c>
      <c r="AX635" s="109" t="str">
        <f t="shared" si="296"/>
        <v/>
      </c>
      <c r="AY635" s="112" t="str">
        <f>IF(ISNUMBER(O635),IF(AND(VLOOKUP($D635,Merchantability!$B:$C,2,0)="Yes",$E635&gt;=VLOOKUP($D635,Merchantability!$B:$D,3,0),$E635&lt;=VLOOKUP($D635,Merchantability!$B:$E,4,0)),(AV635*O635)*(1-$H635/100),""),"")</f>
        <v/>
      </c>
      <c r="AZ635" s="116"/>
      <c r="BA635" s="116"/>
      <c r="BB635" s="116"/>
      <c r="BE635" s="62"/>
      <c r="BF635" s="63"/>
    </row>
    <row r="636" spans="1:58" ht="12.75" customHeight="1" x14ac:dyDescent="0.25">
      <c r="A636" s="313"/>
      <c r="B636" s="328"/>
      <c r="C636" s="329"/>
      <c r="D636" s="328"/>
      <c r="E636" s="330"/>
      <c r="F636" s="328"/>
      <c r="G636" s="329"/>
      <c r="H636" s="329"/>
      <c r="I636" s="328"/>
      <c r="J636" s="383"/>
      <c r="K636" s="329"/>
      <c r="L636" s="329"/>
      <c r="M636" s="78"/>
      <c r="N636" s="103" t="str">
        <f>IF(A636="","",VLOOKUP(A636,Stand!C:K,9,0))</f>
        <v/>
      </c>
      <c r="O636" s="104" t="str">
        <f t="shared" si="281"/>
        <v/>
      </c>
      <c r="P636" s="105" t="str">
        <f t="shared" si="282"/>
        <v/>
      </c>
      <c r="Q636" s="105" t="str">
        <f t="shared" si="297"/>
        <v/>
      </c>
      <c r="R636" s="103" t="str">
        <f t="shared" si="283"/>
        <v/>
      </c>
      <c r="S636" s="103" t="str">
        <f t="shared" si="284"/>
        <v/>
      </c>
      <c r="T636" s="106" t="str">
        <f t="shared" si="298"/>
        <v/>
      </c>
      <c r="U636" s="106" t="str">
        <f t="shared" si="299"/>
        <v/>
      </c>
      <c r="V636" s="106" t="str">
        <f t="shared" si="300"/>
        <v/>
      </c>
      <c r="W636" s="105" t="str">
        <f t="shared" si="285"/>
        <v/>
      </c>
      <c r="X636" s="104" t="str">
        <f t="shared" si="290"/>
        <v/>
      </c>
      <c r="Y636" s="104" t="str">
        <f t="array" ref="Y636">IFERROR(IF(ISNUMBER(O636),IF(COUNT(IF(A636=$A$2:$A$2427,IF(D636=$D$2:$D$2427,IF($X$2:$X$2427&gt;0,1))))&gt;0,SUM(IF(A636=$A$2:$A$2427,IF(D636=$D$2:$D$2427,$X$2:$X$2427)))/COUNT(IF(A636=$A$2:$A$2427,IF(D636=$D$2:$D$2427,IF(ISNUMBER($X$2:$X$2427),1)))),0),""),0)</f>
        <v/>
      </c>
      <c r="Z636" s="104" t="str">
        <f>IF(ISNUMBER(O636),IF(I636&gt;0,(10^(VLOOKUP(D636,'Species Codes'!B:C,2,0)+VLOOKUP(D636,'Species Codes'!B:D,3,0)*LOG(E636)+VLOOKUP(D636,'Species Codes'!B:E,4,0)*LOG(I636))),0),"")</f>
        <v/>
      </c>
      <c r="AA636" s="104" t="str">
        <f>IFERROR((VLOOKUP(D636,'Species Codes'!B:G,6,0)*Z636)/2000,"")</f>
        <v/>
      </c>
      <c r="AB636" s="104" t="e">
        <f>IF(Z636&gt;0,((IF(OR(D636="DF",D636="RA")=TRUE,EXP(VLOOKUP(D636,'Species Codes'!B:I,8,0)+VLOOKUP(D636,'Species Codes'!B:J,9,0)*(LN((E636*2.54)))),IF(OR(D636="PY",D636="RC",D636="WH",D636="NF")=TRUE,VLOOKUP(D636,'Species Codes'!B:I,8,0)+VLOOKUP(D636,'Species Codes'!B:J,9,0)*((E636*2.54)^2)*(I636*0.3048),IF(OR(D636="MD",D636="BM",D636="GA")=TRUE,((VLOOKUP(D636,'Species Codes'!B:I,8,0)*(((((E636*2.54)+VLOOKUP(D636,'Species Codes'!B:J,9,0))/VLOOKUP(D636,'Species Codes'!B:K,10,0))^VLOOKUP(D636,'Species Codes'!B:L,11,0))*((I636*0.3048)^VLOOKUP(D636,'Species Codes'!B:M,12,0))))-(VLOOKUP(D636,'Species Codes'!B:I,8,0)*((((E636*2.54)^VLOOKUP(D636,'Species Codes'!B:L,11,0))*((I636*0.3048)^VLOOKUP(D636,'Species Codes'!B:M,12,0))))))*35.3*VLOOKUP(D636,'Species Codes'!B:G,6,0)/2.2046,VLOOKUP(D636,'Species Codes'!B:I,8,0)+VLOOKUP(D636,'Species Codes'!B:J,9,0)*(((E636*2.54)/100)^2)*(I636*0.3048)))))*0.0011023),0)</f>
        <v>#N/A</v>
      </c>
      <c r="AC636" s="104" t="e">
        <f>IF(Z636&gt;0,((IF(OR(D636="RA",D636="OA",D636="OT",D636="UN",D636="PC"),EXP(VLOOKUP(D636,'Species Codes'!B:O,14,0)+VLOOKUP(D636,'Species Codes'!B:P,15,0)*LN((E636*2.54)))-EXP(VLOOKUP(D636,'Species Codes'!B:O,14,0)+VLOOKUP(D636,'Species Codes'!B:P,15,0)*LN((E636*2.54)))*(1/(VLOOKUP(D636,'Species Codes'!B:Q,16,0)+VLOOKUP(D636,'Species Codes'!B:R,17,0)*((E636*2.54)^VLOOKUP(D636,'Species Codes'!B:S,18,0)))),IF(OR(D636="BM",D636="MD",D636="OA"),EXP(VLOOKUP(D636,'Species Codes'!B:O,14,0)+VLOOKUP(D636,'Species Codes'!B:P,15,0)*LN((E636*2.54)))*(1-(1/(VLOOKUP(D636,'Species Codes'!B:Q,16,0)+VLOOKUP(D636,'Species Codes'!B:R,17,0)*((E636*2.54)^VLOOKUP(D636,'Species Codes'!B:S,18,0)))))/1000,IF(D636="DF",EXP(VLOOKUP(D636,'Species Codes'!B:O,14,0)+VLOOKUP(D636,'Species Codes'!B:P,15,0)*LN((E636*2.54))),VLOOKUP(D636,'Species Codes'!B:O,14,0)+VLOOKUP(D636,'Species Codes'!B:P,15,0)*(((E636*2.54)/100)^2)*(I636*0.3048)))))*0.0011023),0)</f>
        <v>#N/A</v>
      </c>
      <c r="AD636" s="104" t="e">
        <f t="shared" si="301"/>
        <v>#N/A</v>
      </c>
      <c r="AE636" s="104" t="e">
        <f t="shared" si="302"/>
        <v>#N/A</v>
      </c>
      <c r="AF636" s="104" t="e">
        <f>IF(AND(VLOOKUP($D636,Merchantability!$B:$C,2,0)="Yes",$E636&gt;=VLOOKUP($D636,Merchantability!$B:$D,3,0),$E636&lt;=VLOOKUP($D636,Merchantability!$B:$E,4,0)),AA636,0)</f>
        <v>#N/A</v>
      </c>
      <c r="AG636" s="104" t="e">
        <f>IF(AND(VLOOKUP($D636,Merchantability!$B:$C,2,0)="Yes",$E636&gt;=VLOOKUP($D636,Merchantability!$B:$D,3,0),$E636&lt;=VLOOKUP($D636,Merchantability!$B:$E,4,0)),AB636,0)</f>
        <v>#N/A</v>
      </c>
      <c r="AH636" s="104" t="e">
        <f>IF(AND(VLOOKUP($D636,Merchantability!$B:$C,2,0)="Yes",$E636&gt;=VLOOKUP($D636,Merchantability!$B:$D,3,0),$E636&lt;=VLOOKUP($D636,Merchantability!$B:$E,4,0)),AC636,0)</f>
        <v>#N/A</v>
      </c>
      <c r="AI636" s="104" t="e">
        <f t="shared" si="303"/>
        <v>#N/A</v>
      </c>
      <c r="AJ636" s="104" t="e">
        <f t="shared" si="304"/>
        <v>#VALUE!</v>
      </c>
      <c r="AK636" s="104" t="e">
        <f t="shared" si="305"/>
        <v>#N/A</v>
      </c>
      <c r="AL636" s="104" t="e">
        <f t="shared" si="306"/>
        <v>#N/A</v>
      </c>
      <c r="AM636" s="104" t="e">
        <f t="shared" si="307"/>
        <v>#N/A</v>
      </c>
      <c r="AN636" s="104" t="e">
        <f t="shared" si="291"/>
        <v>#N/A</v>
      </c>
      <c r="AO636" s="104" t="e">
        <f t="shared" si="292"/>
        <v>#N/A</v>
      </c>
      <c r="AP636" s="104" t="e">
        <f t="shared" si="293"/>
        <v>#N/A</v>
      </c>
      <c r="AQ636" s="104" t="e">
        <f t="shared" si="294"/>
        <v>#N/A</v>
      </c>
      <c r="AR636" s="105" t="str">
        <f t="shared" si="286"/>
        <v/>
      </c>
      <c r="AS636" s="105" t="str">
        <f t="shared" si="287"/>
        <v/>
      </c>
      <c r="AT636" s="108" t="str">
        <f t="shared" si="288"/>
        <v/>
      </c>
      <c r="AU636" s="108" t="str">
        <f t="shared" si="289"/>
        <v/>
      </c>
      <c r="AV636" s="107" t="str">
        <f>IF(ISNUMBER(O636),IF(VLOOKUP($A636,Stand!C:J,8,FALSE)="Short",AT636,AU636),"")</f>
        <v/>
      </c>
      <c r="AW636" s="109" t="str">
        <f t="shared" si="295"/>
        <v/>
      </c>
      <c r="AX636" s="109" t="str">
        <f t="shared" si="296"/>
        <v/>
      </c>
      <c r="AY636" s="112" t="str">
        <f>IF(ISNUMBER(O636),IF(AND(VLOOKUP($D636,Merchantability!$B:$C,2,0)="Yes",$E636&gt;=VLOOKUP($D636,Merchantability!$B:$D,3,0),$E636&lt;=VLOOKUP($D636,Merchantability!$B:$E,4,0)),(AV636*O636)*(1-$H636/100),""),"")</f>
        <v/>
      </c>
      <c r="AZ636" s="116"/>
      <c r="BA636" s="116"/>
      <c r="BB636" s="116"/>
      <c r="BE636" s="62"/>
      <c r="BF636" s="63"/>
    </row>
    <row r="637" spans="1:58" ht="12.75" customHeight="1" x14ac:dyDescent="0.25">
      <c r="A637" s="313"/>
      <c r="B637" s="328"/>
      <c r="C637" s="329"/>
      <c r="D637" s="328"/>
      <c r="E637" s="330"/>
      <c r="F637" s="328"/>
      <c r="G637" s="329"/>
      <c r="H637" s="329"/>
      <c r="I637" s="328"/>
      <c r="J637" s="383"/>
      <c r="K637" s="329"/>
      <c r="L637" s="329"/>
      <c r="M637" s="78"/>
      <c r="N637" s="103" t="str">
        <f>IF(A637="","",VLOOKUP(A637,Stand!C:K,9,0))</f>
        <v/>
      </c>
      <c r="O637" s="104" t="str">
        <f t="shared" si="281"/>
        <v/>
      </c>
      <c r="P637" s="105" t="str">
        <f t="shared" si="282"/>
        <v/>
      </c>
      <c r="Q637" s="105" t="str">
        <f t="shared" si="297"/>
        <v/>
      </c>
      <c r="R637" s="103" t="str">
        <f t="shared" si="283"/>
        <v/>
      </c>
      <c r="S637" s="103" t="str">
        <f t="shared" si="284"/>
        <v/>
      </c>
      <c r="T637" s="106" t="str">
        <f t="shared" si="298"/>
        <v/>
      </c>
      <c r="U637" s="106" t="str">
        <f t="shared" si="299"/>
        <v/>
      </c>
      <c r="V637" s="106" t="str">
        <f t="shared" si="300"/>
        <v/>
      </c>
      <c r="W637" s="105" t="str">
        <f t="shared" si="285"/>
        <v/>
      </c>
      <c r="X637" s="104" t="str">
        <f t="shared" si="290"/>
        <v/>
      </c>
      <c r="Y637" s="104" t="str">
        <f t="array" ref="Y637">IFERROR(IF(ISNUMBER(O637),IF(COUNT(IF(A637=$A$2:$A$2427,IF(D637=$D$2:$D$2427,IF($X$2:$X$2427&gt;0,1))))&gt;0,SUM(IF(A637=$A$2:$A$2427,IF(D637=$D$2:$D$2427,$X$2:$X$2427)))/COUNT(IF(A637=$A$2:$A$2427,IF(D637=$D$2:$D$2427,IF(ISNUMBER($X$2:$X$2427),1)))),0),""),0)</f>
        <v/>
      </c>
      <c r="Z637" s="104" t="str">
        <f>IF(ISNUMBER(O637),IF(I637&gt;0,(10^(VLOOKUP(D637,'Species Codes'!B:C,2,0)+VLOOKUP(D637,'Species Codes'!B:D,3,0)*LOG(E637)+VLOOKUP(D637,'Species Codes'!B:E,4,0)*LOG(I637))),0),"")</f>
        <v/>
      </c>
      <c r="AA637" s="104" t="str">
        <f>IFERROR((VLOOKUP(D637,'Species Codes'!B:G,6,0)*Z637)/2000,"")</f>
        <v/>
      </c>
      <c r="AB637" s="104" t="e">
        <f>IF(Z637&gt;0,((IF(OR(D637="DF",D637="RA")=TRUE,EXP(VLOOKUP(D637,'Species Codes'!B:I,8,0)+VLOOKUP(D637,'Species Codes'!B:J,9,0)*(LN((E637*2.54)))),IF(OR(D637="PY",D637="RC",D637="WH",D637="NF")=TRUE,VLOOKUP(D637,'Species Codes'!B:I,8,0)+VLOOKUP(D637,'Species Codes'!B:J,9,0)*((E637*2.54)^2)*(I637*0.3048),IF(OR(D637="MD",D637="BM",D637="GA")=TRUE,((VLOOKUP(D637,'Species Codes'!B:I,8,0)*(((((E637*2.54)+VLOOKUP(D637,'Species Codes'!B:J,9,0))/VLOOKUP(D637,'Species Codes'!B:K,10,0))^VLOOKUP(D637,'Species Codes'!B:L,11,0))*((I637*0.3048)^VLOOKUP(D637,'Species Codes'!B:M,12,0))))-(VLOOKUP(D637,'Species Codes'!B:I,8,0)*((((E637*2.54)^VLOOKUP(D637,'Species Codes'!B:L,11,0))*((I637*0.3048)^VLOOKUP(D637,'Species Codes'!B:M,12,0))))))*35.3*VLOOKUP(D637,'Species Codes'!B:G,6,0)/2.2046,VLOOKUP(D637,'Species Codes'!B:I,8,0)+VLOOKUP(D637,'Species Codes'!B:J,9,0)*(((E637*2.54)/100)^2)*(I637*0.3048)))))*0.0011023),0)</f>
        <v>#N/A</v>
      </c>
      <c r="AC637" s="104" t="e">
        <f>IF(Z637&gt;0,((IF(OR(D637="RA",D637="OA",D637="OT",D637="UN",D637="PC"),EXP(VLOOKUP(D637,'Species Codes'!B:O,14,0)+VLOOKUP(D637,'Species Codes'!B:P,15,0)*LN((E637*2.54)))-EXP(VLOOKUP(D637,'Species Codes'!B:O,14,0)+VLOOKUP(D637,'Species Codes'!B:P,15,0)*LN((E637*2.54)))*(1/(VLOOKUP(D637,'Species Codes'!B:Q,16,0)+VLOOKUP(D637,'Species Codes'!B:R,17,0)*((E637*2.54)^VLOOKUP(D637,'Species Codes'!B:S,18,0)))),IF(OR(D637="BM",D637="MD",D637="OA"),EXP(VLOOKUP(D637,'Species Codes'!B:O,14,0)+VLOOKUP(D637,'Species Codes'!B:P,15,0)*LN((E637*2.54)))*(1-(1/(VLOOKUP(D637,'Species Codes'!B:Q,16,0)+VLOOKUP(D637,'Species Codes'!B:R,17,0)*((E637*2.54)^VLOOKUP(D637,'Species Codes'!B:S,18,0)))))/1000,IF(D637="DF",EXP(VLOOKUP(D637,'Species Codes'!B:O,14,0)+VLOOKUP(D637,'Species Codes'!B:P,15,0)*LN((E637*2.54))),VLOOKUP(D637,'Species Codes'!B:O,14,0)+VLOOKUP(D637,'Species Codes'!B:P,15,0)*(((E637*2.54)/100)^2)*(I637*0.3048)))))*0.0011023),0)</f>
        <v>#N/A</v>
      </c>
      <c r="AD637" s="104" t="e">
        <f t="shared" si="301"/>
        <v>#N/A</v>
      </c>
      <c r="AE637" s="104" t="e">
        <f t="shared" si="302"/>
        <v>#N/A</v>
      </c>
      <c r="AF637" s="104" t="e">
        <f>IF(AND(VLOOKUP($D637,Merchantability!$B:$C,2,0)="Yes",$E637&gt;=VLOOKUP($D637,Merchantability!$B:$D,3,0),$E637&lt;=VLOOKUP($D637,Merchantability!$B:$E,4,0)),AA637,0)</f>
        <v>#N/A</v>
      </c>
      <c r="AG637" s="104" t="e">
        <f>IF(AND(VLOOKUP($D637,Merchantability!$B:$C,2,0)="Yes",$E637&gt;=VLOOKUP($D637,Merchantability!$B:$D,3,0),$E637&lt;=VLOOKUP($D637,Merchantability!$B:$E,4,0)),AB637,0)</f>
        <v>#N/A</v>
      </c>
      <c r="AH637" s="104" t="e">
        <f>IF(AND(VLOOKUP($D637,Merchantability!$B:$C,2,0)="Yes",$E637&gt;=VLOOKUP($D637,Merchantability!$B:$D,3,0),$E637&lt;=VLOOKUP($D637,Merchantability!$B:$E,4,0)),AC637,0)</f>
        <v>#N/A</v>
      </c>
      <c r="AI637" s="104" t="e">
        <f t="shared" si="303"/>
        <v>#N/A</v>
      </c>
      <c r="AJ637" s="104" t="e">
        <f t="shared" si="304"/>
        <v>#VALUE!</v>
      </c>
      <c r="AK637" s="104" t="e">
        <f t="shared" si="305"/>
        <v>#N/A</v>
      </c>
      <c r="AL637" s="104" t="e">
        <f t="shared" si="306"/>
        <v>#N/A</v>
      </c>
      <c r="AM637" s="104" t="e">
        <f t="shared" si="307"/>
        <v>#N/A</v>
      </c>
      <c r="AN637" s="104" t="e">
        <f t="shared" si="291"/>
        <v>#N/A</v>
      </c>
      <c r="AO637" s="104" t="e">
        <f t="shared" si="292"/>
        <v>#N/A</v>
      </c>
      <c r="AP637" s="104" t="e">
        <f t="shared" si="293"/>
        <v>#N/A</v>
      </c>
      <c r="AQ637" s="104" t="e">
        <f t="shared" si="294"/>
        <v>#N/A</v>
      </c>
      <c r="AR637" s="105" t="str">
        <f t="shared" si="286"/>
        <v/>
      </c>
      <c r="AS637" s="105" t="str">
        <f t="shared" si="287"/>
        <v/>
      </c>
      <c r="AT637" s="108" t="str">
        <f t="shared" si="288"/>
        <v/>
      </c>
      <c r="AU637" s="108" t="str">
        <f t="shared" si="289"/>
        <v/>
      </c>
      <c r="AV637" s="107" t="str">
        <f>IF(ISNUMBER(O637),IF(VLOOKUP($A637,Stand!C:J,8,FALSE)="Short",AT637,AU637),"")</f>
        <v/>
      </c>
      <c r="AW637" s="109" t="str">
        <f t="shared" si="295"/>
        <v/>
      </c>
      <c r="AX637" s="109" t="str">
        <f t="shared" si="296"/>
        <v/>
      </c>
      <c r="AY637" s="112" t="str">
        <f>IF(ISNUMBER(O637),IF(AND(VLOOKUP($D637,Merchantability!$B:$C,2,0)="Yes",$E637&gt;=VLOOKUP($D637,Merchantability!$B:$D,3,0),$E637&lt;=VLOOKUP($D637,Merchantability!$B:$E,4,0)),(AV637*O637)*(1-$H637/100),""),"")</f>
        <v/>
      </c>
      <c r="AZ637" s="116"/>
      <c r="BA637" s="116"/>
      <c r="BB637" s="116"/>
      <c r="BE637" s="62"/>
      <c r="BF637" s="63"/>
    </row>
    <row r="638" spans="1:58" ht="12.75" customHeight="1" x14ac:dyDescent="0.25">
      <c r="A638" s="313"/>
      <c r="B638" s="328"/>
      <c r="C638" s="329"/>
      <c r="D638" s="328"/>
      <c r="E638" s="330"/>
      <c r="F638" s="328"/>
      <c r="G638" s="329"/>
      <c r="H638" s="329"/>
      <c r="I638" s="328"/>
      <c r="J638" s="383"/>
      <c r="K638" s="329"/>
      <c r="L638" s="329"/>
      <c r="M638" s="78"/>
      <c r="N638" s="103" t="str">
        <f>IF(A638="","",VLOOKUP(A638,Stand!C:K,9,0))</f>
        <v/>
      </c>
      <c r="O638" s="104" t="str">
        <f t="shared" si="281"/>
        <v/>
      </c>
      <c r="P638" s="105" t="str">
        <f t="shared" si="282"/>
        <v/>
      </c>
      <c r="Q638" s="105" t="str">
        <f t="shared" si="297"/>
        <v/>
      </c>
      <c r="R638" s="103" t="str">
        <f t="shared" si="283"/>
        <v/>
      </c>
      <c r="S638" s="103" t="str">
        <f t="shared" si="284"/>
        <v/>
      </c>
      <c r="T638" s="106" t="str">
        <f t="shared" si="298"/>
        <v/>
      </c>
      <c r="U638" s="106" t="str">
        <f t="shared" si="299"/>
        <v/>
      </c>
      <c r="V638" s="106" t="str">
        <f t="shared" si="300"/>
        <v/>
      </c>
      <c r="W638" s="105" t="str">
        <f t="shared" si="285"/>
        <v/>
      </c>
      <c r="X638" s="104" t="str">
        <f t="shared" si="290"/>
        <v/>
      </c>
      <c r="Y638" s="104" t="str">
        <f t="array" ref="Y638">IFERROR(IF(ISNUMBER(O638),IF(COUNT(IF(A638=$A$2:$A$2427,IF(D638=$D$2:$D$2427,IF($X$2:$X$2427&gt;0,1))))&gt;0,SUM(IF(A638=$A$2:$A$2427,IF(D638=$D$2:$D$2427,$X$2:$X$2427)))/COUNT(IF(A638=$A$2:$A$2427,IF(D638=$D$2:$D$2427,IF(ISNUMBER($X$2:$X$2427),1)))),0),""),0)</f>
        <v/>
      </c>
      <c r="Z638" s="104" t="str">
        <f>IF(ISNUMBER(O638),IF(I638&gt;0,(10^(VLOOKUP(D638,'Species Codes'!B:C,2,0)+VLOOKUP(D638,'Species Codes'!B:D,3,0)*LOG(E638)+VLOOKUP(D638,'Species Codes'!B:E,4,0)*LOG(I638))),0),"")</f>
        <v/>
      </c>
      <c r="AA638" s="104" t="str">
        <f>IFERROR((VLOOKUP(D638,'Species Codes'!B:G,6,0)*Z638)/2000,"")</f>
        <v/>
      </c>
      <c r="AB638" s="104" t="e">
        <f>IF(Z638&gt;0,((IF(OR(D638="DF",D638="RA")=TRUE,EXP(VLOOKUP(D638,'Species Codes'!B:I,8,0)+VLOOKUP(D638,'Species Codes'!B:J,9,0)*(LN((E638*2.54)))),IF(OR(D638="PY",D638="RC",D638="WH",D638="NF")=TRUE,VLOOKUP(D638,'Species Codes'!B:I,8,0)+VLOOKUP(D638,'Species Codes'!B:J,9,0)*((E638*2.54)^2)*(I638*0.3048),IF(OR(D638="MD",D638="BM",D638="GA")=TRUE,((VLOOKUP(D638,'Species Codes'!B:I,8,0)*(((((E638*2.54)+VLOOKUP(D638,'Species Codes'!B:J,9,0))/VLOOKUP(D638,'Species Codes'!B:K,10,0))^VLOOKUP(D638,'Species Codes'!B:L,11,0))*((I638*0.3048)^VLOOKUP(D638,'Species Codes'!B:M,12,0))))-(VLOOKUP(D638,'Species Codes'!B:I,8,0)*((((E638*2.54)^VLOOKUP(D638,'Species Codes'!B:L,11,0))*((I638*0.3048)^VLOOKUP(D638,'Species Codes'!B:M,12,0))))))*35.3*VLOOKUP(D638,'Species Codes'!B:G,6,0)/2.2046,VLOOKUP(D638,'Species Codes'!B:I,8,0)+VLOOKUP(D638,'Species Codes'!B:J,9,0)*(((E638*2.54)/100)^2)*(I638*0.3048)))))*0.0011023),0)</f>
        <v>#N/A</v>
      </c>
      <c r="AC638" s="104" t="e">
        <f>IF(Z638&gt;0,((IF(OR(D638="RA",D638="OA",D638="OT",D638="UN",D638="PC"),EXP(VLOOKUP(D638,'Species Codes'!B:O,14,0)+VLOOKUP(D638,'Species Codes'!B:P,15,0)*LN((E638*2.54)))-EXP(VLOOKUP(D638,'Species Codes'!B:O,14,0)+VLOOKUP(D638,'Species Codes'!B:P,15,0)*LN((E638*2.54)))*(1/(VLOOKUP(D638,'Species Codes'!B:Q,16,0)+VLOOKUP(D638,'Species Codes'!B:R,17,0)*((E638*2.54)^VLOOKUP(D638,'Species Codes'!B:S,18,0)))),IF(OR(D638="BM",D638="MD",D638="OA"),EXP(VLOOKUP(D638,'Species Codes'!B:O,14,0)+VLOOKUP(D638,'Species Codes'!B:P,15,0)*LN((E638*2.54)))*(1-(1/(VLOOKUP(D638,'Species Codes'!B:Q,16,0)+VLOOKUP(D638,'Species Codes'!B:R,17,0)*((E638*2.54)^VLOOKUP(D638,'Species Codes'!B:S,18,0)))))/1000,IF(D638="DF",EXP(VLOOKUP(D638,'Species Codes'!B:O,14,0)+VLOOKUP(D638,'Species Codes'!B:P,15,0)*LN((E638*2.54))),VLOOKUP(D638,'Species Codes'!B:O,14,0)+VLOOKUP(D638,'Species Codes'!B:P,15,0)*(((E638*2.54)/100)^2)*(I638*0.3048)))))*0.0011023),0)</f>
        <v>#N/A</v>
      </c>
      <c r="AD638" s="104" t="e">
        <f t="shared" si="301"/>
        <v>#N/A</v>
      </c>
      <c r="AE638" s="104" t="e">
        <f t="shared" si="302"/>
        <v>#N/A</v>
      </c>
      <c r="AF638" s="104" t="e">
        <f>IF(AND(VLOOKUP($D638,Merchantability!$B:$C,2,0)="Yes",$E638&gt;=VLOOKUP($D638,Merchantability!$B:$D,3,0),$E638&lt;=VLOOKUP($D638,Merchantability!$B:$E,4,0)),AA638,0)</f>
        <v>#N/A</v>
      </c>
      <c r="AG638" s="104" t="e">
        <f>IF(AND(VLOOKUP($D638,Merchantability!$B:$C,2,0)="Yes",$E638&gt;=VLOOKUP($D638,Merchantability!$B:$D,3,0),$E638&lt;=VLOOKUP($D638,Merchantability!$B:$E,4,0)),AB638,0)</f>
        <v>#N/A</v>
      </c>
      <c r="AH638" s="104" t="e">
        <f>IF(AND(VLOOKUP($D638,Merchantability!$B:$C,2,0)="Yes",$E638&gt;=VLOOKUP($D638,Merchantability!$B:$D,3,0),$E638&lt;=VLOOKUP($D638,Merchantability!$B:$E,4,0)),AC638,0)</f>
        <v>#N/A</v>
      </c>
      <c r="AI638" s="104" t="e">
        <f t="shared" si="303"/>
        <v>#N/A</v>
      </c>
      <c r="AJ638" s="104" t="e">
        <f t="shared" si="304"/>
        <v>#VALUE!</v>
      </c>
      <c r="AK638" s="104" t="e">
        <f t="shared" si="305"/>
        <v>#N/A</v>
      </c>
      <c r="AL638" s="104" t="e">
        <f t="shared" si="306"/>
        <v>#N/A</v>
      </c>
      <c r="AM638" s="104" t="e">
        <f t="shared" si="307"/>
        <v>#N/A</v>
      </c>
      <c r="AN638" s="104" t="e">
        <f t="shared" si="291"/>
        <v>#N/A</v>
      </c>
      <c r="AO638" s="104" t="e">
        <f t="shared" si="292"/>
        <v>#N/A</v>
      </c>
      <c r="AP638" s="104" t="e">
        <f t="shared" si="293"/>
        <v>#N/A</v>
      </c>
      <c r="AQ638" s="104" t="e">
        <f t="shared" si="294"/>
        <v>#N/A</v>
      </c>
      <c r="AR638" s="105" t="str">
        <f t="shared" si="286"/>
        <v/>
      </c>
      <c r="AS638" s="105" t="str">
        <f t="shared" si="287"/>
        <v/>
      </c>
      <c r="AT638" s="108" t="str">
        <f t="shared" si="288"/>
        <v/>
      </c>
      <c r="AU638" s="108" t="str">
        <f t="shared" si="289"/>
        <v/>
      </c>
      <c r="AV638" s="107" t="str">
        <f>IF(ISNUMBER(O638),IF(VLOOKUP($A638,Stand!C:J,8,FALSE)="Short",AT638,AU638),"")</f>
        <v/>
      </c>
      <c r="AW638" s="109" t="str">
        <f t="shared" si="295"/>
        <v/>
      </c>
      <c r="AX638" s="109" t="str">
        <f t="shared" si="296"/>
        <v/>
      </c>
      <c r="AY638" s="112" t="str">
        <f>IF(ISNUMBER(O638),IF(AND(VLOOKUP($D638,Merchantability!$B:$C,2,0)="Yes",$E638&gt;=VLOOKUP($D638,Merchantability!$B:$D,3,0),$E638&lt;=VLOOKUP($D638,Merchantability!$B:$E,4,0)),(AV638*O638)*(1-$H638/100),""),"")</f>
        <v/>
      </c>
      <c r="AZ638" s="116"/>
      <c r="BA638" s="116"/>
      <c r="BB638" s="116"/>
      <c r="BE638" s="62"/>
      <c r="BF638" s="63"/>
    </row>
    <row r="639" spans="1:58" ht="12.75" customHeight="1" x14ac:dyDescent="0.25">
      <c r="A639" s="313"/>
      <c r="B639" s="328"/>
      <c r="C639" s="329"/>
      <c r="D639" s="328"/>
      <c r="E639" s="330"/>
      <c r="F639" s="328"/>
      <c r="G639" s="329"/>
      <c r="H639" s="329"/>
      <c r="I639" s="328"/>
      <c r="J639" s="383"/>
      <c r="K639" s="329"/>
      <c r="L639" s="329"/>
      <c r="M639" s="78"/>
      <c r="N639" s="103" t="str">
        <f>IF(A639="","",VLOOKUP(A639,Stand!C:K,9,0))</f>
        <v/>
      </c>
      <c r="O639" s="104" t="str">
        <f t="shared" si="281"/>
        <v/>
      </c>
      <c r="P639" s="105" t="str">
        <f t="shared" si="282"/>
        <v/>
      </c>
      <c r="Q639" s="105" t="str">
        <f t="shared" si="297"/>
        <v/>
      </c>
      <c r="R639" s="103" t="str">
        <f t="shared" si="283"/>
        <v/>
      </c>
      <c r="S639" s="103" t="str">
        <f t="shared" si="284"/>
        <v/>
      </c>
      <c r="T639" s="106" t="str">
        <f t="shared" si="298"/>
        <v/>
      </c>
      <c r="U639" s="106" t="str">
        <f t="shared" si="299"/>
        <v/>
      </c>
      <c r="V639" s="106" t="str">
        <f t="shared" si="300"/>
        <v/>
      </c>
      <c r="W639" s="105" t="str">
        <f t="shared" si="285"/>
        <v/>
      </c>
      <c r="X639" s="104" t="str">
        <f t="shared" si="290"/>
        <v/>
      </c>
      <c r="Y639" s="104" t="str">
        <f t="array" ref="Y639">IFERROR(IF(ISNUMBER(O639),IF(COUNT(IF(A639=$A$2:$A$2427,IF(D639=$D$2:$D$2427,IF($X$2:$X$2427&gt;0,1))))&gt;0,SUM(IF(A639=$A$2:$A$2427,IF(D639=$D$2:$D$2427,$X$2:$X$2427)))/COUNT(IF(A639=$A$2:$A$2427,IF(D639=$D$2:$D$2427,IF(ISNUMBER($X$2:$X$2427),1)))),0),""),0)</f>
        <v/>
      </c>
      <c r="Z639" s="104" t="str">
        <f>IF(ISNUMBER(O639),IF(I639&gt;0,(10^(VLOOKUP(D639,'Species Codes'!B:C,2,0)+VLOOKUP(D639,'Species Codes'!B:D,3,0)*LOG(E639)+VLOOKUP(D639,'Species Codes'!B:E,4,0)*LOG(I639))),0),"")</f>
        <v/>
      </c>
      <c r="AA639" s="104" t="str">
        <f>IFERROR((VLOOKUP(D639,'Species Codes'!B:G,6,0)*Z639)/2000,"")</f>
        <v/>
      </c>
      <c r="AB639" s="104" t="e">
        <f>IF(Z639&gt;0,((IF(OR(D639="DF",D639="RA")=TRUE,EXP(VLOOKUP(D639,'Species Codes'!B:I,8,0)+VLOOKUP(D639,'Species Codes'!B:J,9,0)*(LN((E639*2.54)))),IF(OR(D639="PY",D639="RC",D639="WH",D639="NF")=TRUE,VLOOKUP(D639,'Species Codes'!B:I,8,0)+VLOOKUP(D639,'Species Codes'!B:J,9,0)*((E639*2.54)^2)*(I639*0.3048),IF(OR(D639="MD",D639="BM",D639="GA")=TRUE,((VLOOKUP(D639,'Species Codes'!B:I,8,0)*(((((E639*2.54)+VLOOKUP(D639,'Species Codes'!B:J,9,0))/VLOOKUP(D639,'Species Codes'!B:K,10,0))^VLOOKUP(D639,'Species Codes'!B:L,11,0))*((I639*0.3048)^VLOOKUP(D639,'Species Codes'!B:M,12,0))))-(VLOOKUP(D639,'Species Codes'!B:I,8,0)*((((E639*2.54)^VLOOKUP(D639,'Species Codes'!B:L,11,0))*((I639*0.3048)^VLOOKUP(D639,'Species Codes'!B:M,12,0))))))*35.3*VLOOKUP(D639,'Species Codes'!B:G,6,0)/2.2046,VLOOKUP(D639,'Species Codes'!B:I,8,0)+VLOOKUP(D639,'Species Codes'!B:J,9,0)*(((E639*2.54)/100)^2)*(I639*0.3048)))))*0.0011023),0)</f>
        <v>#N/A</v>
      </c>
      <c r="AC639" s="104" t="e">
        <f>IF(Z639&gt;0,((IF(OR(D639="RA",D639="OA",D639="OT",D639="UN",D639="PC"),EXP(VLOOKUP(D639,'Species Codes'!B:O,14,0)+VLOOKUP(D639,'Species Codes'!B:P,15,0)*LN((E639*2.54)))-EXP(VLOOKUP(D639,'Species Codes'!B:O,14,0)+VLOOKUP(D639,'Species Codes'!B:P,15,0)*LN((E639*2.54)))*(1/(VLOOKUP(D639,'Species Codes'!B:Q,16,0)+VLOOKUP(D639,'Species Codes'!B:R,17,0)*((E639*2.54)^VLOOKUP(D639,'Species Codes'!B:S,18,0)))),IF(OR(D639="BM",D639="MD",D639="OA"),EXP(VLOOKUP(D639,'Species Codes'!B:O,14,0)+VLOOKUP(D639,'Species Codes'!B:P,15,0)*LN((E639*2.54)))*(1-(1/(VLOOKUP(D639,'Species Codes'!B:Q,16,0)+VLOOKUP(D639,'Species Codes'!B:R,17,0)*((E639*2.54)^VLOOKUP(D639,'Species Codes'!B:S,18,0)))))/1000,IF(D639="DF",EXP(VLOOKUP(D639,'Species Codes'!B:O,14,0)+VLOOKUP(D639,'Species Codes'!B:P,15,0)*LN((E639*2.54))),VLOOKUP(D639,'Species Codes'!B:O,14,0)+VLOOKUP(D639,'Species Codes'!B:P,15,0)*(((E639*2.54)/100)^2)*(I639*0.3048)))))*0.0011023),0)</f>
        <v>#N/A</v>
      </c>
      <c r="AD639" s="104" t="e">
        <f t="shared" si="301"/>
        <v>#N/A</v>
      </c>
      <c r="AE639" s="104" t="e">
        <f t="shared" si="302"/>
        <v>#N/A</v>
      </c>
      <c r="AF639" s="104" t="e">
        <f>IF(AND(VLOOKUP($D639,Merchantability!$B:$C,2,0)="Yes",$E639&gt;=VLOOKUP($D639,Merchantability!$B:$D,3,0),$E639&lt;=VLOOKUP($D639,Merchantability!$B:$E,4,0)),AA639,0)</f>
        <v>#N/A</v>
      </c>
      <c r="AG639" s="104" t="e">
        <f>IF(AND(VLOOKUP($D639,Merchantability!$B:$C,2,0)="Yes",$E639&gt;=VLOOKUP($D639,Merchantability!$B:$D,3,0),$E639&lt;=VLOOKUP($D639,Merchantability!$B:$E,4,0)),AB639,0)</f>
        <v>#N/A</v>
      </c>
      <c r="AH639" s="104" t="e">
        <f>IF(AND(VLOOKUP($D639,Merchantability!$B:$C,2,0)="Yes",$E639&gt;=VLOOKUP($D639,Merchantability!$B:$D,3,0),$E639&lt;=VLOOKUP($D639,Merchantability!$B:$E,4,0)),AC639,0)</f>
        <v>#N/A</v>
      </c>
      <c r="AI639" s="104" t="e">
        <f t="shared" si="303"/>
        <v>#N/A</v>
      </c>
      <c r="AJ639" s="104" t="e">
        <f t="shared" si="304"/>
        <v>#VALUE!</v>
      </c>
      <c r="AK639" s="104" t="e">
        <f t="shared" si="305"/>
        <v>#N/A</v>
      </c>
      <c r="AL639" s="104" t="e">
        <f t="shared" si="306"/>
        <v>#N/A</v>
      </c>
      <c r="AM639" s="104" t="e">
        <f t="shared" si="307"/>
        <v>#N/A</v>
      </c>
      <c r="AN639" s="104" t="e">
        <f t="shared" si="291"/>
        <v>#N/A</v>
      </c>
      <c r="AO639" s="104" t="e">
        <f t="shared" si="292"/>
        <v>#N/A</v>
      </c>
      <c r="AP639" s="104" t="e">
        <f t="shared" si="293"/>
        <v>#N/A</v>
      </c>
      <c r="AQ639" s="104" t="e">
        <f t="shared" si="294"/>
        <v>#N/A</v>
      </c>
      <c r="AR639" s="105" t="str">
        <f t="shared" si="286"/>
        <v/>
      </c>
      <c r="AS639" s="105" t="str">
        <f t="shared" si="287"/>
        <v/>
      </c>
      <c r="AT639" s="108" t="str">
        <f t="shared" si="288"/>
        <v/>
      </c>
      <c r="AU639" s="108" t="str">
        <f t="shared" si="289"/>
        <v/>
      </c>
      <c r="AV639" s="107" t="str">
        <f>IF(ISNUMBER(O639),IF(VLOOKUP($A639,Stand!C:J,8,FALSE)="Short",AT639,AU639),"")</f>
        <v/>
      </c>
      <c r="AW639" s="109" t="str">
        <f t="shared" si="295"/>
        <v/>
      </c>
      <c r="AX639" s="109" t="str">
        <f t="shared" si="296"/>
        <v/>
      </c>
      <c r="AY639" s="112" t="str">
        <f>IF(ISNUMBER(O639),IF(AND(VLOOKUP($D639,Merchantability!$B:$C,2,0)="Yes",$E639&gt;=VLOOKUP($D639,Merchantability!$B:$D,3,0),$E639&lt;=VLOOKUP($D639,Merchantability!$B:$E,4,0)),(AV639*O639)*(1-$H639/100),""),"")</f>
        <v/>
      </c>
      <c r="AZ639" s="116"/>
      <c r="BA639" s="116"/>
      <c r="BB639" s="116"/>
      <c r="BE639" s="62"/>
      <c r="BF639" s="63"/>
    </row>
    <row r="640" spans="1:58" ht="12.75" customHeight="1" x14ac:dyDescent="0.25">
      <c r="A640" s="313"/>
      <c r="B640" s="328"/>
      <c r="C640" s="329"/>
      <c r="D640" s="328"/>
      <c r="E640" s="330"/>
      <c r="F640" s="328"/>
      <c r="G640" s="329"/>
      <c r="H640" s="329"/>
      <c r="I640" s="328"/>
      <c r="J640" s="383"/>
      <c r="K640" s="329"/>
      <c r="L640" s="329"/>
      <c r="M640" s="78"/>
      <c r="N640" s="103" t="str">
        <f>IF(A640="","",VLOOKUP(A640,Stand!C:K,9,0))</f>
        <v/>
      </c>
      <c r="O640" s="104" t="str">
        <f t="shared" si="281"/>
        <v/>
      </c>
      <c r="P640" s="105" t="str">
        <f t="shared" si="282"/>
        <v/>
      </c>
      <c r="Q640" s="105" t="str">
        <f t="shared" si="297"/>
        <v/>
      </c>
      <c r="R640" s="103" t="str">
        <f t="shared" si="283"/>
        <v/>
      </c>
      <c r="S640" s="103" t="str">
        <f t="shared" si="284"/>
        <v/>
      </c>
      <c r="T640" s="106" t="str">
        <f t="shared" si="298"/>
        <v/>
      </c>
      <c r="U640" s="106" t="str">
        <f t="shared" si="299"/>
        <v/>
      </c>
      <c r="V640" s="106" t="str">
        <f t="shared" si="300"/>
        <v/>
      </c>
      <c r="W640" s="105" t="str">
        <f t="shared" si="285"/>
        <v/>
      </c>
      <c r="X640" s="104" t="str">
        <f t="shared" si="290"/>
        <v/>
      </c>
      <c r="Y640" s="104" t="str">
        <f t="array" ref="Y640">IFERROR(IF(ISNUMBER(O640),IF(COUNT(IF(A640=$A$2:$A$2427,IF(D640=$D$2:$D$2427,IF($X$2:$X$2427&gt;0,1))))&gt;0,SUM(IF(A640=$A$2:$A$2427,IF(D640=$D$2:$D$2427,$X$2:$X$2427)))/COUNT(IF(A640=$A$2:$A$2427,IF(D640=$D$2:$D$2427,IF(ISNUMBER($X$2:$X$2427),1)))),0),""),0)</f>
        <v/>
      </c>
      <c r="Z640" s="104" t="str">
        <f>IF(ISNUMBER(O640),IF(I640&gt;0,(10^(VLOOKUP(D640,'Species Codes'!B:C,2,0)+VLOOKUP(D640,'Species Codes'!B:D,3,0)*LOG(E640)+VLOOKUP(D640,'Species Codes'!B:E,4,0)*LOG(I640))),0),"")</f>
        <v/>
      </c>
      <c r="AA640" s="104" t="str">
        <f>IFERROR((VLOOKUP(D640,'Species Codes'!B:G,6,0)*Z640)/2000,"")</f>
        <v/>
      </c>
      <c r="AB640" s="104" t="e">
        <f>IF(Z640&gt;0,((IF(OR(D640="DF",D640="RA")=TRUE,EXP(VLOOKUP(D640,'Species Codes'!B:I,8,0)+VLOOKUP(D640,'Species Codes'!B:J,9,0)*(LN((E640*2.54)))),IF(OR(D640="PY",D640="RC",D640="WH",D640="NF")=TRUE,VLOOKUP(D640,'Species Codes'!B:I,8,0)+VLOOKUP(D640,'Species Codes'!B:J,9,0)*((E640*2.54)^2)*(I640*0.3048),IF(OR(D640="MD",D640="BM",D640="GA")=TRUE,((VLOOKUP(D640,'Species Codes'!B:I,8,0)*(((((E640*2.54)+VLOOKUP(D640,'Species Codes'!B:J,9,0))/VLOOKUP(D640,'Species Codes'!B:K,10,0))^VLOOKUP(D640,'Species Codes'!B:L,11,0))*((I640*0.3048)^VLOOKUP(D640,'Species Codes'!B:M,12,0))))-(VLOOKUP(D640,'Species Codes'!B:I,8,0)*((((E640*2.54)^VLOOKUP(D640,'Species Codes'!B:L,11,0))*((I640*0.3048)^VLOOKUP(D640,'Species Codes'!B:M,12,0))))))*35.3*VLOOKUP(D640,'Species Codes'!B:G,6,0)/2.2046,VLOOKUP(D640,'Species Codes'!B:I,8,0)+VLOOKUP(D640,'Species Codes'!B:J,9,0)*(((E640*2.54)/100)^2)*(I640*0.3048)))))*0.0011023),0)</f>
        <v>#N/A</v>
      </c>
      <c r="AC640" s="104" t="e">
        <f>IF(Z640&gt;0,((IF(OR(D640="RA",D640="OA",D640="OT",D640="UN",D640="PC"),EXP(VLOOKUP(D640,'Species Codes'!B:O,14,0)+VLOOKUP(D640,'Species Codes'!B:P,15,0)*LN((E640*2.54)))-EXP(VLOOKUP(D640,'Species Codes'!B:O,14,0)+VLOOKUP(D640,'Species Codes'!B:P,15,0)*LN((E640*2.54)))*(1/(VLOOKUP(D640,'Species Codes'!B:Q,16,0)+VLOOKUP(D640,'Species Codes'!B:R,17,0)*((E640*2.54)^VLOOKUP(D640,'Species Codes'!B:S,18,0)))),IF(OR(D640="BM",D640="MD",D640="OA"),EXP(VLOOKUP(D640,'Species Codes'!B:O,14,0)+VLOOKUP(D640,'Species Codes'!B:P,15,0)*LN((E640*2.54)))*(1-(1/(VLOOKUP(D640,'Species Codes'!B:Q,16,0)+VLOOKUP(D640,'Species Codes'!B:R,17,0)*((E640*2.54)^VLOOKUP(D640,'Species Codes'!B:S,18,0)))))/1000,IF(D640="DF",EXP(VLOOKUP(D640,'Species Codes'!B:O,14,0)+VLOOKUP(D640,'Species Codes'!B:P,15,0)*LN((E640*2.54))),VLOOKUP(D640,'Species Codes'!B:O,14,0)+VLOOKUP(D640,'Species Codes'!B:P,15,0)*(((E640*2.54)/100)^2)*(I640*0.3048)))))*0.0011023),0)</f>
        <v>#N/A</v>
      </c>
      <c r="AD640" s="104" t="e">
        <f t="shared" si="301"/>
        <v>#N/A</v>
      </c>
      <c r="AE640" s="104" t="e">
        <f t="shared" si="302"/>
        <v>#N/A</v>
      </c>
      <c r="AF640" s="104" t="e">
        <f>IF(AND(VLOOKUP($D640,Merchantability!$B:$C,2,0)="Yes",$E640&gt;=VLOOKUP($D640,Merchantability!$B:$D,3,0),$E640&lt;=VLOOKUP($D640,Merchantability!$B:$E,4,0)),AA640,0)</f>
        <v>#N/A</v>
      </c>
      <c r="AG640" s="104" t="e">
        <f>IF(AND(VLOOKUP($D640,Merchantability!$B:$C,2,0)="Yes",$E640&gt;=VLOOKUP($D640,Merchantability!$B:$D,3,0),$E640&lt;=VLOOKUP($D640,Merchantability!$B:$E,4,0)),AB640,0)</f>
        <v>#N/A</v>
      </c>
      <c r="AH640" s="104" t="e">
        <f>IF(AND(VLOOKUP($D640,Merchantability!$B:$C,2,0)="Yes",$E640&gt;=VLOOKUP($D640,Merchantability!$B:$D,3,0),$E640&lt;=VLOOKUP($D640,Merchantability!$B:$E,4,0)),AC640,0)</f>
        <v>#N/A</v>
      </c>
      <c r="AI640" s="104" t="e">
        <f t="shared" si="303"/>
        <v>#N/A</v>
      </c>
      <c r="AJ640" s="104" t="e">
        <f t="shared" si="304"/>
        <v>#VALUE!</v>
      </c>
      <c r="AK640" s="104" t="e">
        <f t="shared" si="305"/>
        <v>#N/A</v>
      </c>
      <c r="AL640" s="104" t="e">
        <f t="shared" si="306"/>
        <v>#N/A</v>
      </c>
      <c r="AM640" s="104" t="e">
        <f t="shared" si="307"/>
        <v>#N/A</v>
      </c>
      <c r="AN640" s="104" t="e">
        <f t="shared" si="291"/>
        <v>#N/A</v>
      </c>
      <c r="AO640" s="104" t="e">
        <f t="shared" si="292"/>
        <v>#N/A</v>
      </c>
      <c r="AP640" s="104" t="e">
        <f t="shared" si="293"/>
        <v>#N/A</v>
      </c>
      <c r="AQ640" s="104" t="e">
        <f t="shared" si="294"/>
        <v>#N/A</v>
      </c>
      <c r="AR640" s="105" t="str">
        <f t="shared" si="286"/>
        <v/>
      </c>
      <c r="AS640" s="105" t="str">
        <f t="shared" si="287"/>
        <v/>
      </c>
      <c r="AT640" s="108" t="str">
        <f t="shared" si="288"/>
        <v/>
      </c>
      <c r="AU640" s="108" t="str">
        <f t="shared" si="289"/>
        <v/>
      </c>
      <c r="AV640" s="107" t="str">
        <f>IF(ISNUMBER(O640),IF(VLOOKUP($A640,Stand!C:J,8,FALSE)="Short",AT640,AU640),"")</f>
        <v/>
      </c>
      <c r="AW640" s="109" t="str">
        <f t="shared" si="295"/>
        <v/>
      </c>
      <c r="AX640" s="109" t="str">
        <f t="shared" si="296"/>
        <v/>
      </c>
      <c r="AY640" s="112" t="str">
        <f>IF(ISNUMBER(O640),IF(AND(VLOOKUP($D640,Merchantability!$B:$C,2,0)="Yes",$E640&gt;=VLOOKUP($D640,Merchantability!$B:$D,3,0),$E640&lt;=VLOOKUP($D640,Merchantability!$B:$E,4,0)),(AV640*O640)*(1-$H640/100),""),"")</f>
        <v/>
      </c>
      <c r="AZ640" s="116"/>
      <c r="BA640" s="116"/>
      <c r="BB640" s="116"/>
      <c r="BE640" s="62"/>
      <c r="BF640" s="63"/>
    </row>
    <row r="641" spans="1:58" ht="12.75" customHeight="1" x14ac:dyDescent="0.25">
      <c r="A641" s="313"/>
      <c r="B641" s="328"/>
      <c r="C641" s="329"/>
      <c r="D641" s="328"/>
      <c r="E641" s="330"/>
      <c r="F641" s="328"/>
      <c r="G641" s="329"/>
      <c r="H641" s="329"/>
      <c r="I641" s="328"/>
      <c r="J641" s="383"/>
      <c r="K641" s="329"/>
      <c r="L641" s="329"/>
      <c r="M641" s="78"/>
      <c r="N641" s="103" t="str">
        <f>IF(A641="","",VLOOKUP(A641,Stand!C:K,9,0))</f>
        <v/>
      </c>
      <c r="O641" s="104" t="str">
        <f t="shared" si="281"/>
        <v/>
      </c>
      <c r="P641" s="105" t="str">
        <f t="shared" si="282"/>
        <v/>
      </c>
      <c r="Q641" s="105" t="str">
        <f t="shared" si="297"/>
        <v/>
      </c>
      <c r="R641" s="103" t="str">
        <f t="shared" si="283"/>
        <v/>
      </c>
      <c r="S641" s="103" t="str">
        <f t="shared" si="284"/>
        <v/>
      </c>
      <c r="T641" s="106" t="str">
        <f t="shared" si="298"/>
        <v/>
      </c>
      <c r="U641" s="106" t="str">
        <f t="shared" si="299"/>
        <v/>
      </c>
      <c r="V641" s="106" t="str">
        <f t="shared" si="300"/>
        <v/>
      </c>
      <c r="W641" s="105" t="str">
        <f t="shared" si="285"/>
        <v/>
      </c>
      <c r="X641" s="104" t="str">
        <f t="shared" si="290"/>
        <v/>
      </c>
      <c r="Y641" s="104" t="str">
        <f t="array" ref="Y641">IFERROR(IF(ISNUMBER(O641),IF(COUNT(IF(A641=$A$2:$A$2427,IF(D641=$D$2:$D$2427,IF($X$2:$X$2427&gt;0,1))))&gt;0,SUM(IF(A641=$A$2:$A$2427,IF(D641=$D$2:$D$2427,$X$2:$X$2427)))/COUNT(IF(A641=$A$2:$A$2427,IF(D641=$D$2:$D$2427,IF(ISNUMBER($X$2:$X$2427),1)))),0),""),0)</f>
        <v/>
      </c>
      <c r="Z641" s="104" t="str">
        <f>IF(ISNUMBER(O641),IF(I641&gt;0,(10^(VLOOKUP(D641,'Species Codes'!B:C,2,0)+VLOOKUP(D641,'Species Codes'!B:D,3,0)*LOG(E641)+VLOOKUP(D641,'Species Codes'!B:E,4,0)*LOG(I641))),0),"")</f>
        <v/>
      </c>
      <c r="AA641" s="104" t="str">
        <f>IFERROR((VLOOKUP(D641,'Species Codes'!B:G,6,0)*Z641)/2000,"")</f>
        <v/>
      </c>
      <c r="AB641" s="104" t="e">
        <f>IF(Z641&gt;0,((IF(OR(D641="DF",D641="RA")=TRUE,EXP(VLOOKUP(D641,'Species Codes'!B:I,8,0)+VLOOKUP(D641,'Species Codes'!B:J,9,0)*(LN((E641*2.54)))),IF(OR(D641="PY",D641="RC",D641="WH",D641="NF")=TRUE,VLOOKUP(D641,'Species Codes'!B:I,8,0)+VLOOKUP(D641,'Species Codes'!B:J,9,0)*((E641*2.54)^2)*(I641*0.3048),IF(OR(D641="MD",D641="BM",D641="GA")=TRUE,((VLOOKUP(D641,'Species Codes'!B:I,8,0)*(((((E641*2.54)+VLOOKUP(D641,'Species Codes'!B:J,9,0))/VLOOKUP(D641,'Species Codes'!B:K,10,0))^VLOOKUP(D641,'Species Codes'!B:L,11,0))*((I641*0.3048)^VLOOKUP(D641,'Species Codes'!B:M,12,0))))-(VLOOKUP(D641,'Species Codes'!B:I,8,0)*((((E641*2.54)^VLOOKUP(D641,'Species Codes'!B:L,11,0))*((I641*0.3048)^VLOOKUP(D641,'Species Codes'!B:M,12,0))))))*35.3*VLOOKUP(D641,'Species Codes'!B:G,6,0)/2.2046,VLOOKUP(D641,'Species Codes'!B:I,8,0)+VLOOKUP(D641,'Species Codes'!B:J,9,0)*(((E641*2.54)/100)^2)*(I641*0.3048)))))*0.0011023),0)</f>
        <v>#N/A</v>
      </c>
      <c r="AC641" s="104" t="e">
        <f>IF(Z641&gt;0,((IF(OR(D641="RA",D641="OA",D641="OT",D641="UN",D641="PC"),EXP(VLOOKUP(D641,'Species Codes'!B:O,14,0)+VLOOKUP(D641,'Species Codes'!B:P,15,0)*LN((E641*2.54)))-EXP(VLOOKUP(D641,'Species Codes'!B:O,14,0)+VLOOKUP(D641,'Species Codes'!B:P,15,0)*LN((E641*2.54)))*(1/(VLOOKUP(D641,'Species Codes'!B:Q,16,0)+VLOOKUP(D641,'Species Codes'!B:R,17,0)*((E641*2.54)^VLOOKUP(D641,'Species Codes'!B:S,18,0)))),IF(OR(D641="BM",D641="MD",D641="OA"),EXP(VLOOKUP(D641,'Species Codes'!B:O,14,0)+VLOOKUP(D641,'Species Codes'!B:P,15,0)*LN((E641*2.54)))*(1-(1/(VLOOKUP(D641,'Species Codes'!B:Q,16,0)+VLOOKUP(D641,'Species Codes'!B:R,17,0)*((E641*2.54)^VLOOKUP(D641,'Species Codes'!B:S,18,0)))))/1000,IF(D641="DF",EXP(VLOOKUP(D641,'Species Codes'!B:O,14,0)+VLOOKUP(D641,'Species Codes'!B:P,15,0)*LN((E641*2.54))),VLOOKUP(D641,'Species Codes'!B:O,14,0)+VLOOKUP(D641,'Species Codes'!B:P,15,0)*(((E641*2.54)/100)^2)*(I641*0.3048)))))*0.0011023),0)</f>
        <v>#N/A</v>
      </c>
      <c r="AD641" s="104" t="e">
        <f t="shared" si="301"/>
        <v>#N/A</v>
      </c>
      <c r="AE641" s="104" t="e">
        <f t="shared" si="302"/>
        <v>#N/A</v>
      </c>
      <c r="AF641" s="104" t="e">
        <f>IF(AND(VLOOKUP($D641,Merchantability!$B:$C,2,0)="Yes",$E641&gt;=VLOOKUP($D641,Merchantability!$B:$D,3,0),$E641&lt;=VLOOKUP($D641,Merchantability!$B:$E,4,0)),AA641,0)</f>
        <v>#N/A</v>
      </c>
      <c r="AG641" s="104" t="e">
        <f>IF(AND(VLOOKUP($D641,Merchantability!$B:$C,2,0)="Yes",$E641&gt;=VLOOKUP($D641,Merchantability!$B:$D,3,0),$E641&lt;=VLOOKUP($D641,Merchantability!$B:$E,4,0)),AB641,0)</f>
        <v>#N/A</v>
      </c>
      <c r="AH641" s="104" t="e">
        <f>IF(AND(VLOOKUP($D641,Merchantability!$B:$C,2,0)="Yes",$E641&gt;=VLOOKUP($D641,Merchantability!$B:$D,3,0),$E641&lt;=VLOOKUP($D641,Merchantability!$B:$E,4,0)),AC641,0)</f>
        <v>#N/A</v>
      </c>
      <c r="AI641" s="104" t="e">
        <f t="shared" si="303"/>
        <v>#N/A</v>
      </c>
      <c r="AJ641" s="104" t="e">
        <f t="shared" si="304"/>
        <v>#VALUE!</v>
      </c>
      <c r="AK641" s="104" t="e">
        <f t="shared" si="305"/>
        <v>#N/A</v>
      </c>
      <c r="AL641" s="104" t="e">
        <f t="shared" si="306"/>
        <v>#N/A</v>
      </c>
      <c r="AM641" s="104" t="e">
        <f t="shared" si="307"/>
        <v>#N/A</v>
      </c>
      <c r="AN641" s="104" t="e">
        <f t="shared" si="291"/>
        <v>#N/A</v>
      </c>
      <c r="AO641" s="104" t="e">
        <f t="shared" si="292"/>
        <v>#N/A</v>
      </c>
      <c r="AP641" s="104" t="e">
        <f t="shared" si="293"/>
        <v>#N/A</v>
      </c>
      <c r="AQ641" s="104" t="e">
        <f t="shared" si="294"/>
        <v>#N/A</v>
      </c>
      <c r="AR641" s="105" t="str">
        <f t="shared" si="286"/>
        <v/>
      </c>
      <c r="AS641" s="105" t="str">
        <f t="shared" si="287"/>
        <v/>
      </c>
      <c r="AT641" s="108" t="str">
        <f t="shared" si="288"/>
        <v/>
      </c>
      <c r="AU641" s="108" t="str">
        <f t="shared" si="289"/>
        <v/>
      </c>
      <c r="AV641" s="107" t="str">
        <f>IF(ISNUMBER(O641),IF(VLOOKUP($A641,Stand!C:J,8,FALSE)="Short",AT641,AU641),"")</f>
        <v/>
      </c>
      <c r="AW641" s="109" t="str">
        <f t="shared" si="295"/>
        <v/>
      </c>
      <c r="AX641" s="109" t="str">
        <f t="shared" si="296"/>
        <v/>
      </c>
      <c r="AY641" s="112" t="str">
        <f>IF(ISNUMBER(O641),IF(AND(VLOOKUP($D641,Merchantability!$B:$C,2,0)="Yes",$E641&gt;=VLOOKUP($D641,Merchantability!$B:$D,3,0),$E641&lt;=VLOOKUP($D641,Merchantability!$B:$E,4,0)),(AV641*O641)*(1-$H641/100),""),"")</f>
        <v/>
      </c>
      <c r="AZ641" s="116"/>
      <c r="BA641" s="116"/>
      <c r="BB641" s="116"/>
      <c r="BE641" s="62"/>
      <c r="BF641" s="63"/>
    </row>
    <row r="642" spans="1:58" ht="12.75" customHeight="1" x14ac:dyDescent="0.25">
      <c r="A642" s="313"/>
      <c r="B642" s="328"/>
      <c r="C642" s="329"/>
      <c r="D642" s="328"/>
      <c r="E642" s="330"/>
      <c r="F642" s="328"/>
      <c r="G642" s="329"/>
      <c r="H642" s="329"/>
      <c r="I642" s="328"/>
      <c r="J642" s="383"/>
      <c r="K642" s="329"/>
      <c r="L642" s="329"/>
      <c r="M642" s="78"/>
      <c r="N642" s="103" t="str">
        <f>IF(A642="","",VLOOKUP(A642,Stand!C:K,9,0))</f>
        <v/>
      </c>
      <c r="O642" s="104" t="str">
        <f t="shared" ref="O642:O705" si="308">IF(E642&gt;0,IF(G642&gt;1,G642*(43560/(N642^2*3.14)),43560/(N642^2*3.14)),"")</f>
        <v/>
      </c>
      <c r="P642" s="105" t="str">
        <f t="shared" ref="P642:P705" si="309">IF(ISNUMBER(O642),E642*O642,"")</f>
        <v/>
      </c>
      <c r="Q642" s="105" t="str">
        <f t="shared" si="297"/>
        <v/>
      </c>
      <c r="R642" s="103" t="str">
        <f t="shared" ref="R642:R705" si="310">IF(ISNUMBER(O642),E642^2*0.005454*O642,"")</f>
        <v/>
      </c>
      <c r="S642" s="103" t="str">
        <f t="shared" ref="S642:S705" si="311">IF(ISNUMBER(O642),(E642/10)^1.7*O642,"")</f>
        <v/>
      </c>
      <c r="T642" s="106" t="str">
        <f t="shared" si="298"/>
        <v/>
      </c>
      <c r="U642" s="106" t="str">
        <f t="shared" si="299"/>
        <v/>
      </c>
      <c r="V642" s="106" t="str">
        <f t="shared" si="300"/>
        <v/>
      </c>
      <c r="W642" s="105" t="str">
        <f t="shared" ref="W642:W705" si="312">IF(AND(ISNUMBER(O642),I642&gt;0),I642/(E642/12),"")</f>
        <v/>
      </c>
      <c r="X642" s="104" t="str">
        <f t="shared" si="290"/>
        <v/>
      </c>
      <c r="Y642" s="104" t="str">
        <f t="array" ref="Y642">IFERROR(IF(ISNUMBER(O642),IF(COUNT(IF(A642=$A$2:$A$2427,IF(D642=$D$2:$D$2427,IF($X$2:$X$2427&gt;0,1))))&gt;0,SUM(IF(A642=$A$2:$A$2427,IF(D642=$D$2:$D$2427,$X$2:$X$2427)))/COUNT(IF(A642=$A$2:$A$2427,IF(D642=$D$2:$D$2427,IF(ISNUMBER($X$2:$X$2427),1)))),0),""),0)</f>
        <v/>
      </c>
      <c r="Z642" s="104" t="str">
        <f>IF(ISNUMBER(O642),IF(I642&gt;0,(10^(VLOOKUP(D642,'Species Codes'!B:C,2,0)+VLOOKUP(D642,'Species Codes'!B:D,3,0)*LOG(E642)+VLOOKUP(D642,'Species Codes'!B:E,4,0)*LOG(I642))),0),"")</f>
        <v/>
      </c>
      <c r="AA642" s="104" t="str">
        <f>IFERROR((VLOOKUP(D642,'Species Codes'!B:G,6,0)*Z642)/2000,"")</f>
        <v/>
      </c>
      <c r="AB642" s="104" t="e">
        <f>IF(Z642&gt;0,((IF(OR(D642="DF",D642="RA")=TRUE,EXP(VLOOKUP(D642,'Species Codes'!B:I,8,0)+VLOOKUP(D642,'Species Codes'!B:J,9,0)*(LN((E642*2.54)))),IF(OR(D642="PY",D642="RC",D642="WH",D642="NF")=TRUE,VLOOKUP(D642,'Species Codes'!B:I,8,0)+VLOOKUP(D642,'Species Codes'!B:J,9,0)*((E642*2.54)^2)*(I642*0.3048),IF(OR(D642="MD",D642="BM",D642="GA")=TRUE,((VLOOKUP(D642,'Species Codes'!B:I,8,0)*(((((E642*2.54)+VLOOKUP(D642,'Species Codes'!B:J,9,0))/VLOOKUP(D642,'Species Codes'!B:K,10,0))^VLOOKUP(D642,'Species Codes'!B:L,11,0))*((I642*0.3048)^VLOOKUP(D642,'Species Codes'!B:M,12,0))))-(VLOOKUP(D642,'Species Codes'!B:I,8,0)*((((E642*2.54)^VLOOKUP(D642,'Species Codes'!B:L,11,0))*((I642*0.3048)^VLOOKUP(D642,'Species Codes'!B:M,12,0))))))*35.3*VLOOKUP(D642,'Species Codes'!B:G,6,0)/2.2046,VLOOKUP(D642,'Species Codes'!B:I,8,0)+VLOOKUP(D642,'Species Codes'!B:J,9,0)*(((E642*2.54)/100)^2)*(I642*0.3048)))))*0.0011023),0)</f>
        <v>#N/A</v>
      </c>
      <c r="AC642" s="104" t="e">
        <f>IF(Z642&gt;0,((IF(OR(D642="RA",D642="OA",D642="OT",D642="UN",D642="PC"),EXP(VLOOKUP(D642,'Species Codes'!B:O,14,0)+VLOOKUP(D642,'Species Codes'!B:P,15,0)*LN((E642*2.54)))-EXP(VLOOKUP(D642,'Species Codes'!B:O,14,0)+VLOOKUP(D642,'Species Codes'!B:P,15,0)*LN((E642*2.54)))*(1/(VLOOKUP(D642,'Species Codes'!B:Q,16,0)+VLOOKUP(D642,'Species Codes'!B:R,17,0)*((E642*2.54)^VLOOKUP(D642,'Species Codes'!B:S,18,0)))),IF(OR(D642="BM",D642="MD",D642="OA"),EXP(VLOOKUP(D642,'Species Codes'!B:O,14,0)+VLOOKUP(D642,'Species Codes'!B:P,15,0)*LN((E642*2.54)))*(1-(1/(VLOOKUP(D642,'Species Codes'!B:Q,16,0)+VLOOKUP(D642,'Species Codes'!B:R,17,0)*((E642*2.54)^VLOOKUP(D642,'Species Codes'!B:S,18,0)))))/1000,IF(D642="DF",EXP(VLOOKUP(D642,'Species Codes'!B:O,14,0)+VLOOKUP(D642,'Species Codes'!B:P,15,0)*LN((E642*2.54))),VLOOKUP(D642,'Species Codes'!B:O,14,0)+VLOOKUP(D642,'Species Codes'!B:P,15,0)*(((E642*2.54)/100)^2)*(I642*0.3048)))))*0.0011023),0)</f>
        <v>#N/A</v>
      </c>
      <c r="AD642" s="104" t="e">
        <f t="shared" si="301"/>
        <v>#N/A</v>
      </c>
      <c r="AE642" s="104" t="e">
        <f t="shared" si="302"/>
        <v>#N/A</v>
      </c>
      <c r="AF642" s="104" t="e">
        <f>IF(AND(VLOOKUP($D642,Merchantability!$B:$C,2,0)="Yes",$E642&gt;=VLOOKUP($D642,Merchantability!$B:$D,3,0),$E642&lt;=VLOOKUP($D642,Merchantability!$B:$E,4,0)),AA642,0)</f>
        <v>#N/A</v>
      </c>
      <c r="AG642" s="104" t="e">
        <f>IF(AND(VLOOKUP($D642,Merchantability!$B:$C,2,0)="Yes",$E642&gt;=VLOOKUP($D642,Merchantability!$B:$D,3,0),$E642&lt;=VLOOKUP($D642,Merchantability!$B:$E,4,0)),AB642,0)</f>
        <v>#N/A</v>
      </c>
      <c r="AH642" s="104" t="e">
        <f>IF(AND(VLOOKUP($D642,Merchantability!$B:$C,2,0)="Yes",$E642&gt;=VLOOKUP($D642,Merchantability!$B:$D,3,0),$E642&lt;=VLOOKUP($D642,Merchantability!$B:$E,4,0)),AC642,0)</f>
        <v>#N/A</v>
      </c>
      <c r="AI642" s="104" t="e">
        <f t="shared" si="303"/>
        <v>#N/A</v>
      </c>
      <c r="AJ642" s="104" t="e">
        <f t="shared" si="304"/>
        <v>#VALUE!</v>
      </c>
      <c r="AK642" s="104" t="e">
        <f t="shared" si="305"/>
        <v>#N/A</v>
      </c>
      <c r="AL642" s="104" t="e">
        <f t="shared" si="306"/>
        <v>#N/A</v>
      </c>
      <c r="AM642" s="104" t="e">
        <f t="shared" si="307"/>
        <v>#N/A</v>
      </c>
      <c r="AN642" s="104" t="e">
        <f t="shared" si="291"/>
        <v>#N/A</v>
      </c>
      <c r="AO642" s="104" t="e">
        <f t="shared" si="292"/>
        <v>#N/A</v>
      </c>
      <c r="AP642" s="104" t="e">
        <f t="shared" si="293"/>
        <v>#N/A</v>
      </c>
      <c r="AQ642" s="104" t="e">
        <f t="shared" si="294"/>
        <v>#N/A</v>
      </c>
      <c r="AR642" s="105" t="str">
        <f t="shared" ref="AR642:AR705" si="313">IF(ISNUMBER(O642),IF(Y642&gt;0,((Y642*(E642^2*0.005454-0.087266))/0.912733),0),"")</f>
        <v/>
      </c>
      <c r="AS642" s="105" t="str">
        <f t="shared" ref="AS642:AS705" si="314">IF(ISNUMBER(O642),AR642*(0.993-0.993*(0.62^(E642-6))),"")</f>
        <v/>
      </c>
      <c r="AT642" s="108" t="str">
        <f t="shared" ref="AT642:AT705" si="315">IF(ISNUMBER(O642),IF(AS642&gt;0,IF(Y642&gt;0,(AS642*10^(0.174439+0.117594*(LOG(E642,10))*(LOG(Y642/0.912733,10))-8.210585/E642^2+0.236693*(LOG(Y642/0.912733,10))-0.00001345*(Y642/0.912733)^2-0.00001937*E642^2)),0),0),"")</f>
        <v/>
      </c>
      <c r="AU642" s="108" t="str">
        <f t="shared" ref="AU642:AU705" si="316">IF(ISNUMBER(O642),IF(AS642&gt;0,IF(Y642&gt;0,AT642*(1.001491-(6.92497/Y642)+(0.00001351*(E642^2))),0),0),"")</f>
        <v/>
      </c>
      <c r="AV642" s="107" t="str">
        <f>IF(ISNUMBER(O642),IF(VLOOKUP($A642,Stand!C:J,8,FALSE)="Short",AT642,AU642),"")</f>
        <v/>
      </c>
      <c r="AW642" s="109" t="str">
        <f t="shared" si="295"/>
        <v/>
      </c>
      <c r="AX642" s="109" t="str">
        <f t="shared" si="296"/>
        <v/>
      </c>
      <c r="AY642" s="112" t="str">
        <f>IF(ISNUMBER(O642),IF(AND(VLOOKUP($D642,Merchantability!$B:$C,2,0)="Yes",$E642&gt;=VLOOKUP($D642,Merchantability!$B:$D,3,0),$E642&lt;=VLOOKUP($D642,Merchantability!$B:$E,4,0)),(AV642*O642)*(1-$H642/100),""),"")</f>
        <v/>
      </c>
      <c r="AZ642" s="116"/>
      <c r="BA642" s="116"/>
      <c r="BB642" s="116"/>
      <c r="BE642" s="62"/>
      <c r="BF642" s="63"/>
    </row>
    <row r="643" spans="1:58" ht="12.75" customHeight="1" x14ac:dyDescent="0.25">
      <c r="A643" s="313"/>
      <c r="B643" s="328"/>
      <c r="C643" s="329"/>
      <c r="D643" s="328"/>
      <c r="E643" s="330"/>
      <c r="F643" s="328"/>
      <c r="G643" s="329"/>
      <c r="H643" s="329"/>
      <c r="I643" s="328"/>
      <c r="J643" s="383"/>
      <c r="K643" s="329"/>
      <c r="L643" s="329"/>
      <c r="M643" s="78"/>
      <c r="N643" s="103" t="str">
        <f>IF(A643="","",VLOOKUP(A643,Stand!C:K,9,0))</f>
        <v/>
      </c>
      <c r="O643" s="104" t="str">
        <f t="shared" si="308"/>
        <v/>
      </c>
      <c r="P643" s="105" t="str">
        <f t="shared" si="309"/>
        <v/>
      </c>
      <c r="Q643" s="105" t="str">
        <f t="shared" si="297"/>
        <v/>
      </c>
      <c r="R643" s="103" t="str">
        <f t="shared" si="310"/>
        <v/>
      </c>
      <c r="S643" s="103" t="str">
        <f t="shared" si="311"/>
        <v/>
      </c>
      <c r="T643" s="106" t="str">
        <f t="shared" si="298"/>
        <v/>
      </c>
      <c r="U643" s="106" t="str">
        <f t="shared" si="299"/>
        <v/>
      </c>
      <c r="V643" s="106" t="str">
        <f t="shared" si="300"/>
        <v/>
      </c>
      <c r="W643" s="105" t="str">
        <f t="shared" si="312"/>
        <v/>
      </c>
      <c r="X643" s="104" t="str">
        <f t="shared" ref="X643:X706" si="317">IF(ISNUMBER(O643),IF(I643&gt;0,IF(E643&gt;0,(0.912733*Z643)/(1.033*(1+1.382937*EXP(-4.015292*E643/10))*((E643^2)*0.005454+0.087266)-0.174533),""),""),"")</f>
        <v/>
      </c>
      <c r="Y643" s="104" t="str">
        <f t="array" ref="Y643">IFERROR(IF(ISNUMBER(O643),IF(COUNT(IF(A643=$A$2:$A$2427,IF(D643=$D$2:$D$2427,IF($X$2:$X$2427&gt;0,1))))&gt;0,SUM(IF(A643=$A$2:$A$2427,IF(D643=$D$2:$D$2427,$X$2:$X$2427)))/COUNT(IF(A643=$A$2:$A$2427,IF(D643=$D$2:$D$2427,IF(ISNUMBER($X$2:$X$2427),1)))),0),""),0)</f>
        <v/>
      </c>
      <c r="Z643" s="104" t="str">
        <f>IF(ISNUMBER(O643),IF(I643&gt;0,(10^(VLOOKUP(D643,'Species Codes'!B:C,2,0)+VLOOKUP(D643,'Species Codes'!B:D,3,0)*LOG(E643)+VLOOKUP(D643,'Species Codes'!B:E,4,0)*LOG(I643))),0),"")</f>
        <v/>
      </c>
      <c r="AA643" s="104" t="str">
        <f>IFERROR((VLOOKUP(D643,'Species Codes'!B:G,6,0)*Z643)/2000,"")</f>
        <v/>
      </c>
      <c r="AB643" s="104" t="e">
        <f>IF(Z643&gt;0,((IF(OR(D643="DF",D643="RA")=TRUE,EXP(VLOOKUP(D643,'Species Codes'!B:I,8,0)+VLOOKUP(D643,'Species Codes'!B:J,9,0)*(LN((E643*2.54)))),IF(OR(D643="PY",D643="RC",D643="WH",D643="NF")=TRUE,VLOOKUP(D643,'Species Codes'!B:I,8,0)+VLOOKUP(D643,'Species Codes'!B:J,9,0)*((E643*2.54)^2)*(I643*0.3048),IF(OR(D643="MD",D643="BM",D643="GA")=TRUE,((VLOOKUP(D643,'Species Codes'!B:I,8,0)*(((((E643*2.54)+VLOOKUP(D643,'Species Codes'!B:J,9,0))/VLOOKUP(D643,'Species Codes'!B:K,10,0))^VLOOKUP(D643,'Species Codes'!B:L,11,0))*((I643*0.3048)^VLOOKUP(D643,'Species Codes'!B:M,12,0))))-(VLOOKUP(D643,'Species Codes'!B:I,8,0)*((((E643*2.54)^VLOOKUP(D643,'Species Codes'!B:L,11,0))*((I643*0.3048)^VLOOKUP(D643,'Species Codes'!B:M,12,0))))))*35.3*VLOOKUP(D643,'Species Codes'!B:G,6,0)/2.2046,VLOOKUP(D643,'Species Codes'!B:I,8,0)+VLOOKUP(D643,'Species Codes'!B:J,9,0)*(((E643*2.54)/100)^2)*(I643*0.3048)))))*0.0011023),0)</f>
        <v>#N/A</v>
      </c>
      <c r="AC643" s="104" t="e">
        <f>IF(Z643&gt;0,((IF(OR(D643="RA",D643="OA",D643="OT",D643="UN",D643="PC"),EXP(VLOOKUP(D643,'Species Codes'!B:O,14,0)+VLOOKUP(D643,'Species Codes'!B:P,15,0)*LN((E643*2.54)))-EXP(VLOOKUP(D643,'Species Codes'!B:O,14,0)+VLOOKUP(D643,'Species Codes'!B:P,15,0)*LN((E643*2.54)))*(1/(VLOOKUP(D643,'Species Codes'!B:Q,16,0)+VLOOKUP(D643,'Species Codes'!B:R,17,0)*((E643*2.54)^VLOOKUP(D643,'Species Codes'!B:S,18,0)))),IF(OR(D643="BM",D643="MD",D643="OA"),EXP(VLOOKUP(D643,'Species Codes'!B:O,14,0)+VLOOKUP(D643,'Species Codes'!B:P,15,0)*LN((E643*2.54)))*(1-(1/(VLOOKUP(D643,'Species Codes'!B:Q,16,0)+VLOOKUP(D643,'Species Codes'!B:R,17,0)*((E643*2.54)^VLOOKUP(D643,'Species Codes'!B:S,18,0)))))/1000,IF(D643="DF",EXP(VLOOKUP(D643,'Species Codes'!B:O,14,0)+VLOOKUP(D643,'Species Codes'!B:P,15,0)*LN((E643*2.54))),VLOOKUP(D643,'Species Codes'!B:O,14,0)+VLOOKUP(D643,'Species Codes'!B:P,15,0)*(((E643*2.54)/100)^2)*(I643*0.3048)))))*0.0011023),0)</f>
        <v>#N/A</v>
      </c>
      <c r="AD643" s="104" t="e">
        <f t="shared" si="301"/>
        <v>#N/A</v>
      </c>
      <c r="AE643" s="104" t="e">
        <f t="shared" si="302"/>
        <v>#N/A</v>
      </c>
      <c r="AF643" s="104" t="e">
        <f>IF(AND(VLOOKUP($D643,Merchantability!$B:$C,2,0)="Yes",$E643&gt;=VLOOKUP($D643,Merchantability!$B:$D,3,0),$E643&lt;=VLOOKUP($D643,Merchantability!$B:$E,4,0)),AA643,0)</f>
        <v>#N/A</v>
      </c>
      <c r="AG643" s="104" t="e">
        <f>IF(AND(VLOOKUP($D643,Merchantability!$B:$C,2,0)="Yes",$E643&gt;=VLOOKUP($D643,Merchantability!$B:$D,3,0),$E643&lt;=VLOOKUP($D643,Merchantability!$B:$E,4,0)),AB643,0)</f>
        <v>#N/A</v>
      </c>
      <c r="AH643" s="104" t="e">
        <f>IF(AND(VLOOKUP($D643,Merchantability!$B:$C,2,0)="Yes",$E643&gt;=VLOOKUP($D643,Merchantability!$B:$D,3,0),$E643&lt;=VLOOKUP($D643,Merchantability!$B:$E,4,0)),AC643,0)</f>
        <v>#N/A</v>
      </c>
      <c r="AI643" s="104" t="e">
        <f t="shared" si="303"/>
        <v>#N/A</v>
      </c>
      <c r="AJ643" s="104" t="e">
        <f t="shared" si="304"/>
        <v>#VALUE!</v>
      </c>
      <c r="AK643" s="104" t="e">
        <f t="shared" si="305"/>
        <v>#N/A</v>
      </c>
      <c r="AL643" s="104" t="e">
        <f t="shared" si="306"/>
        <v>#N/A</v>
      </c>
      <c r="AM643" s="104" t="e">
        <f t="shared" si="307"/>
        <v>#N/A</v>
      </c>
      <c r="AN643" s="104" t="e">
        <f t="shared" ref="AN643:AN706" si="318">AF643*$O643</f>
        <v>#N/A</v>
      </c>
      <c r="AO643" s="104" t="e">
        <f t="shared" ref="AO643:AO706" si="319">AG643*$O643</f>
        <v>#N/A</v>
      </c>
      <c r="AP643" s="104" t="e">
        <f t="shared" ref="AP643:AP706" si="320">AH643*$O643</f>
        <v>#N/A</v>
      </c>
      <c r="AQ643" s="104" t="e">
        <f t="shared" ref="AQ643:AQ706" si="321">SUM(AN643:AP643)</f>
        <v>#N/A</v>
      </c>
      <c r="AR643" s="105" t="str">
        <f t="shared" si="313"/>
        <v/>
      </c>
      <c r="AS643" s="105" t="str">
        <f t="shared" si="314"/>
        <v/>
      </c>
      <c r="AT643" s="108" t="str">
        <f t="shared" si="315"/>
        <v/>
      </c>
      <c r="AU643" s="108" t="str">
        <f t="shared" si="316"/>
        <v/>
      </c>
      <c r="AV643" s="107" t="str">
        <f>IF(ISNUMBER(O643),IF(VLOOKUP($A643,Stand!C:J,8,FALSE)="Short",AT643,AU643),"")</f>
        <v/>
      </c>
      <c r="AW643" s="109" t="str">
        <f t="shared" ref="AW643:AW706" si="322">IF(ISNUMBER(O643),AV643*O643,"")</f>
        <v/>
      </c>
      <c r="AX643" s="109" t="str">
        <f t="shared" ref="AX643:AX706" si="323">IF(ISNUMBER(O643),AW643*(1-$H643/100),"")</f>
        <v/>
      </c>
      <c r="AY643" s="112" t="str">
        <f>IF(ISNUMBER(O643),IF(AND(VLOOKUP($D643,Merchantability!$B:$C,2,0)="Yes",$E643&gt;=VLOOKUP($D643,Merchantability!$B:$D,3,0),$E643&lt;=VLOOKUP($D643,Merchantability!$B:$E,4,0)),(AV643*O643)*(1-$H643/100),""),"")</f>
        <v/>
      </c>
      <c r="AZ643" s="116"/>
      <c r="BA643" s="116"/>
      <c r="BB643" s="116"/>
      <c r="BE643" s="62"/>
      <c r="BF643" s="63"/>
    </row>
    <row r="644" spans="1:58" ht="12.75" customHeight="1" x14ac:dyDescent="0.25">
      <c r="A644" s="313"/>
      <c r="B644" s="328"/>
      <c r="C644" s="329"/>
      <c r="D644" s="328"/>
      <c r="E644" s="330"/>
      <c r="F644" s="328"/>
      <c r="G644" s="329"/>
      <c r="H644" s="329"/>
      <c r="I644" s="328"/>
      <c r="J644" s="383"/>
      <c r="K644" s="329"/>
      <c r="L644" s="329"/>
      <c r="M644" s="78"/>
      <c r="N644" s="103" t="str">
        <f>IF(A644="","",VLOOKUP(A644,Stand!C:K,9,0))</f>
        <v/>
      </c>
      <c r="O644" s="104" t="str">
        <f t="shared" si="308"/>
        <v/>
      </c>
      <c r="P644" s="105" t="str">
        <f t="shared" si="309"/>
        <v/>
      </c>
      <c r="Q644" s="105" t="str">
        <f t="shared" si="297"/>
        <v/>
      </c>
      <c r="R644" s="103" t="str">
        <f t="shared" si="310"/>
        <v/>
      </c>
      <c r="S644" s="103" t="str">
        <f t="shared" si="311"/>
        <v/>
      </c>
      <c r="T644" s="106" t="str">
        <f t="shared" si="298"/>
        <v/>
      </c>
      <c r="U644" s="106" t="str">
        <f t="shared" si="299"/>
        <v/>
      </c>
      <c r="V644" s="106" t="str">
        <f t="shared" si="300"/>
        <v/>
      </c>
      <c r="W644" s="105" t="str">
        <f t="shared" si="312"/>
        <v/>
      </c>
      <c r="X644" s="104" t="str">
        <f t="shared" si="317"/>
        <v/>
      </c>
      <c r="Y644" s="104" t="str">
        <f t="array" ref="Y644">IFERROR(IF(ISNUMBER(O644),IF(COUNT(IF(A644=$A$2:$A$2427,IF(D644=$D$2:$D$2427,IF($X$2:$X$2427&gt;0,1))))&gt;0,SUM(IF(A644=$A$2:$A$2427,IF(D644=$D$2:$D$2427,$X$2:$X$2427)))/COUNT(IF(A644=$A$2:$A$2427,IF(D644=$D$2:$D$2427,IF(ISNUMBER($X$2:$X$2427),1)))),0),""),0)</f>
        <v/>
      </c>
      <c r="Z644" s="104" t="str">
        <f>IF(ISNUMBER(O644),IF(I644&gt;0,(10^(VLOOKUP(D644,'Species Codes'!B:C,2,0)+VLOOKUP(D644,'Species Codes'!B:D,3,0)*LOG(E644)+VLOOKUP(D644,'Species Codes'!B:E,4,0)*LOG(I644))),0),"")</f>
        <v/>
      </c>
      <c r="AA644" s="104" t="str">
        <f>IFERROR((VLOOKUP(D644,'Species Codes'!B:G,6,0)*Z644)/2000,"")</f>
        <v/>
      </c>
      <c r="AB644" s="104" t="e">
        <f>IF(Z644&gt;0,((IF(OR(D644="DF",D644="RA")=TRUE,EXP(VLOOKUP(D644,'Species Codes'!B:I,8,0)+VLOOKUP(D644,'Species Codes'!B:J,9,0)*(LN((E644*2.54)))),IF(OR(D644="PY",D644="RC",D644="WH",D644="NF")=TRUE,VLOOKUP(D644,'Species Codes'!B:I,8,0)+VLOOKUP(D644,'Species Codes'!B:J,9,0)*((E644*2.54)^2)*(I644*0.3048),IF(OR(D644="MD",D644="BM",D644="GA")=TRUE,((VLOOKUP(D644,'Species Codes'!B:I,8,0)*(((((E644*2.54)+VLOOKUP(D644,'Species Codes'!B:J,9,0))/VLOOKUP(D644,'Species Codes'!B:K,10,0))^VLOOKUP(D644,'Species Codes'!B:L,11,0))*((I644*0.3048)^VLOOKUP(D644,'Species Codes'!B:M,12,0))))-(VLOOKUP(D644,'Species Codes'!B:I,8,0)*((((E644*2.54)^VLOOKUP(D644,'Species Codes'!B:L,11,0))*((I644*0.3048)^VLOOKUP(D644,'Species Codes'!B:M,12,0))))))*35.3*VLOOKUP(D644,'Species Codes'!B:G,6,0)/2.2046,VLOOKUP(D644,'Species Codes'!B:I,8,0)+VLOOKUP(D644,'Species Codes'!B:J,9,0)*(((E644*2.54)/100)^2)*(I644*0.3048)))))*0.0011023),0)</f>
        <v>#N/A</v>
      </c>
      <c r="AC644" s="104" t="e">
        <f>IF(Z644&gt;0,((IF(OR(D644="RA",D644="OA",D644="OT",D644="UN",D644="PC"),EXP(VLOOKUP(D644,'Species Codes'!B:O,14,0)+VLOOKUP(D644,'Species Codes'!B:P,15,0)*LN((E644*2.54)))-EXP(VLOOKUP(D644,'Species Codes'!B:O,14,0)+VLOOKUP(D644,'Species Codes'!B:P,15,0)*LN((E644*2.54)))*(1/(VLOOKUP(D644,'Species Codes'!B:Q,16,0)+VLOOKUP(D644,'Species Codes'!B:R,17,0)*((E644*2.54)^VLOOKUP(D644,'Species Codes'!B:S,18,0)))),IF(OR(D644="BM",D644="MD",D644="OA"),EXP(VLOOKUP(D644,'Species Codes'!B:O,14,0)+VLOOKUP(D644,'Species Codes'!B:P,15,0)*LN((E644*2.54)))*(1-(1/(VLOOKUP(D644,'Species Codes'!B:Q,16,0)+VLOOKUP(D644,'Species Codes'!B:R,17,0)*((E644*2.54)^VLOOKUP(D644,'Species Codes'!B:S,18,0)))))/1000,IF(D644="DF",EXP(VLOOKUP(D644,'Species Codes'!B:O,14,0)+VLOOKUP(D644,'Species Codes'!B:P,15,0)*LN((E644*2.54))),VLOOKUP(D644,'Species Codes'!B:O,14,0)+VLOOKUP(D644,'Species Codes'!B:P,15,0)*(((E644*2.54)/100)^2)*(I644*0.3048)))))*0.0011023),0)</f>
        <v>#N/A</v>
      </c>
      <c r="AD644" s="104" t="e">
        <f t="shared" si="301"/>
        <v>#N/A</v>
      </c>
      <c r="AE644" s="104" t="e">
        <f t="shared" si="302"/>
        <v>#N/A</v>
      </c>
      <c r="AF644" s="104" t="e">
        <f>IF(AND(VLOOKUP($D644,Merchantability!$B:$C,2,0)="Yes",$E644&gt;=VLOOKUP($D644,Merchantability!$B:$D,3,0),$E644&lt;=VLOOKUP($D644,Merchantability!$B:$E,4,0)),AA644,0)</f>
        <v>#N/A</v>
      </c>
      <c r="AG644" s="104" t="e">
        <f>IF(AND(VLOOKUP($D644,Merchantability!$B:$C,2,0)="Yes",$E644&gt;=VLOOKUP($D644,Merchantability!$B:$D,3,0),$E644&lt;=VLOOKUP($D644,Merchantability!$B:$E,4,0)),AB644,0)</f>
        <v>#N/A</v>
      </c>
      <c r="AH644" s="104" t="e">
        <f>IF(AND(VLOOKUP($D644,Merchantability!$B:$C,2,0)="Yes",$E644&gt;=VLOOKUP($D644,Merchantability!$B:$D,3,0),$E644&lt;=VLOOKUP($D644,Merchantability!$B:$E,4,0)),AC644,0)</f>
        <v>#N/A</v>
      </c>
      <c r="AI644" s="104" t="e">
        <f t="shared" si="303"/>
        <v>#N/A</v>
      </c>
      <c r="AJ644" s="104" t="e">
        <f t="shared" si="304"/>
        <v>#VALUE!</v>
      </c>
      <c r="AK644" s="104" t="e">
        <f t="shared" si="305"/>
        <v>#N/A</v>
      </c>
      <c r="AL644" s="104" t="e">
        <f t="shared" si="306"/>
        <v>#N/A</v>
      </c>
      <c r="AM644" s="104" t="e">
        <f t="shared" si="307"/>
        <v>#N/A</v>
      </c>
      <c r="AN644" s="104" t="e">
        <f t="shared" si="318"/>
        <v>#N/A</v>
      </c>
      <c r="AO644" s="104" t="e">
        <f t="shared" si="319"/>
        <v>#N/A</v>
      </c>
      <c r="AP644" s="104" t="e">
        <f t="shared" si="320"/>
        <v>#N/A</v>
      </c>
      <c r="AQ644" s="104" t="e">
        <f t="shared" si="321"/>
        <v>#N/A</v>
      </c>
      <c r="AR644" s="105" t="str">
        <f t="shared" si="313"/>
        <v/>
      </c>
      <c r="AS644" s="105" t="str">
        <f t="shared" si="314"/>
        <v/>
      </c>
      <c r="AT644" s="108" t="str">
        <f t="shared" si="315"/>
        <v/>
      </c>
      <c r="AU644" s="108" t="str">
        <f t="shared" si="316"/>
        <v/>
      </c>
      <c r="AV644" s="107" t="str">
        <f>IF(ISNUMBER(O644),IF(VLOOKUP($A644,Stand!C:J,8,FALSE)="Short",AT644,AU644),"")</f>
        <v/>
      </c>
      <c r="AW644" s="109" t="str">
        <f t="shared" si="322"/>
        <v/>
      </c>
      <c r="AX644" s="109" t="str">
        <f t="shared" si="323"/>
        <v/>
      </c>
      <c r="AY644" s="112" t="str">
        <f>IF(ISNUMBER(O644),IF(AND(VLOOKUP($D644,Merchantability!$B:$C,2,0)="Yes",$E644&gt;=VLOOKUP($D644,Merchantability!$B:$D,3,0),$E644&lt;=VLOOKUP($D644,Merchantability!$B:$E,4,0)),(AV644*O644)*(1-$H644/100),""),"")</f>
        <v/>
      </c>
      <c r="AZ644" s="116"/>
      <c r="BA644" s="116"/>
      <c r="BB644" s="116"/>
      <c r="BE644" s="62"/>
      <c r="BF644" s="63"/>
    </row>
    <row r="645" spans="1:58" ht="12.75" customHeight="1" x14ac:dyDescent="0.25">
      <c r="A645" s="313"/>
      <c r="B645" s="328"/>
      <c r="C645" s="329"/>
      <c r="D645" s="328"/>
      <c r="E645" s="330"/>
      <c r="F645" s="328"/>
      <c r="G645" s="329"/>
      <c r="H645" s="329"/>
      <c r="I645" s="328"/>
      <c r="J645" s="383"/>
      <c r="K645" s="329"/>
      <c r="L645" s="329"/>
      <c r="M645" s="78"/>
      <c r="N645" s="103" t="str">
        <f>IF(A645="","",VLOOKUP(A645,Stand!C:K,9,0))</f>
        <v/>
      </c>
      <c r="O645" s="104" t="str">
        <f t="shared" si="308"/>
        <v/>
      </c>
      <c r="P645" s="105" t="str">
        <f t="shared" si="309"/>
        <v/>
      </c>
      <c r="Q645" s="105" t="str">
        <f t="shared" si="297"/>
        <v/>
      </c>
      <c r="R645" s="103" t="str">
        <f t="shared" si="310"/>
        <v/>
      </c>
      <c r="S645" s="103" t="str">
        <f t="shared" si="311"/>
        <v/>
      </c>
      <c r="T645" s="106" t="str">
        <f t="shared" si="298"/>
        <v/>
      </c>
      <c r="U645" s="106" t="str">
        <f t="shared" si="299"/>
        <v/>
      </c>
      <c r="V645" s="106" t="str">
        <f t="shared" si="300"/>
        <v/>
      </c>
      <c r="W645" s="105" t="str">
        <f t="shared" si="312"/>
        <v/>
      </c>
      <c r="X645" s="104" t="str">
        <f t="shared" si="317"/>
        <v/>
      </c>
      <c r="Y645" s="104" t="str">
        <f t="array" ref="Y645">IFERROR(IF(ISNUMBER(O645),IF(COUNT(IF(A645=$A$2:$A$2427,IF(D645=$D$2:$D$2427,IF($X$2:$X$2427&gt;0,1))))&gt;0,SUM(IF(A645=$A$2:$A$2427,IF(D645=$D$2:$D$2427,$X$2:$X$2427)))/COUNT(IF(A645=$A$2:$A$2427,IF(D645=$D$2:$D$2427,IF(ISNUMBER($X$2:$X$2427),1)))),0),""),0)</f>
        <v/>
      </c>
      <c r="Z645" s="104" t="str">
        <f>IF(ISNUMBER(O645),IF(I645&gt;0,(10^(VLOOKUP(D645,'Species Codes'!B:C,2,0)+VLOOKUP(D645,'Species Codes'!B:D,3,0)*LOG(E645)+VLOOKUP(D645,'Species Codes'!B:E,4,0)*LOG(I645))),0),"")</f>
        <v/>
      </c>
      <c r="AA645" s="104" t="str">
        <f>IFERROR((VLOOKUP(D645,'Species Codes'!B:G,6,0)*Z645)/2000,"")</f>
        <v/>
      </c>
      <c r="AB645" s="104" t="e">
        <f>IF(Z645&gt;0,((IF(OR(D645="DF",D645="RA")=TRUE,EXP(VLOOKUP(D645,'Species Codes'!B:I,8,0)+VLOOKUP(D645,'Species Codes'!B:J,9,0)*(LN((E645*2.54)))),IF(OR(D645="PY",D645="RC",D645="WH",D645="NF")=TRUE,VLOOKUP(D645,'Species Codes'!B:I,8,0)+VLOOKUP(D645,'Species Codes'!B:J,9,0)*((E645*2.54)^2)*(I645*0.3048),IF(OR(D645="MD",D645="BM",D645="GA")=TRUE,((VLOOKUP(D645,'Species Codes'!B:I,8,0)*(((((E645*2.54)+VLOOKUP(D645,'Species Codes'!B:J,9,0))/VLOOKUP(D645,'Species Codes'!B:K,10,0))^VLOOKUP(D645,'Species Codes'!B:L,11,0))*((I645*0.3048)^VLOOKUP(D645,'Species Codes'!B:M,12,0))))-(VLOOKUP(D645,'Species Codes'!B:I,8,0)*((((E645*2.54)^VLOOKUP(D645,'Species Codes'!B:L,11,0))*((I645*0.3048)^VLOOKUP(D645,'Species Codes'!B:M,12,0))))))*35.3*VLOOKUP(D645,'Species Codes'!B:G,6,0)/2.2046,VLOOKUP(D645,'Species Codes'!B:I,8,0)+VLOOKUP(D645,'Species Codes'!B:J,9,0)*(((E645*2.54)/100)^2)*(I645*0.3048)))))*0.0011023),0)</f>
        <v>#N/A</v>
      </c>
      <c r="AC645" s="104" t="e">
        <f>IF(Z645&gt;0,((IF(OR(D645="RA",D645="OA",D645="OT",D645="UN",D645="PC"),EXP(VLOOKUP(D645,'Species Codes'!B:O,14,0)+VLOOKUP(D645,'Species Codes'!B:P,15,0)*LN((E645*2.54)))-EXP(VLOOKUP(D645,'Species Codes'!B:O,14,0)+VLOOKUP(D645,'Species Codes'!B:P,15,0)*LN((E645*2.54)))*(1/(VLOOKUP(D645,'Species Codes'!B:Q,16,0)+VLOOKUP(D645,'Species Codes'!B:R,17,0)*((E645*2.54)^VLOOKUP(D645,'Species Codes'!B:S,18,0)))),IF(OR(D645="BM",D645="MD",D645="OA"),EXP(VLOOKUP(D645,'Species Codes'!B:O,14,0)+VLOOKUP(D645,'Species Codes'!B:P,15,0)*LN((E645*2.54)))*(1-(1/(VLOOKUP(D645,'Species Codes'!B:Q,16,0)+VLOOKUP(D645,'Species Codes'!B:R,17,0)*((E645*2.54)^VLOOKUP(D645,'Species Codes'!B:S,18,0)))))/1000,IF(D645="DF",EXP(VLOOKUP(D645,'Species Codes'!B:O,14,0)+VLOOKUP(D645,'Species Codes'!B:P,15,0)*LN((E645*2.54))),VLOOKUP(D645,'Species Codes'!B:O,14,0)+VLOOKUP(D645,'Species Codes'!B:P,15,0)*(((E645*2.54)/100)^2)*(I645*0.3048)))))*0.0011023),0)</f>
        <v>#N/A</v>
      </c>
      <c r="AD645" s="104" t="e">
        <f t="shared" si="301"/>
        <v>#N/A</v>
      </c>
      <c r="AE645" s="104" t="e">
        <f t="shared" si="302"/>
        <v>#N/A</v>
      </c>
      <c r="AF645" s="104" t="e">
        <f>IF(AND(VLOOKUP($D645,Merchantability!$B:$C,2,0)="Yes",$E645&gt;=VLOOKUP($D645,Merchantability!$B:$D,3,0),$E645&lt;=VLOOKUP($D645,Merchantability!$B:$E,4,0)),AA645,0)</f>
        <v>#N/A</v>
      </c>
      <c r="AG645" s="104" t="e">
        <f>IF(AND(VLOOKUP($D645,Merchantability!$B:$C,2,0)="Yes",$E645&gt;=VLOOKUP($D645,Merchantability!$B:$D,3,0),$E645&lt;=VLOOKUP($D645,Merchantability!$B:$E,4,0)),AB645,0)</f>
        <v>#N/A</v>
      </c>
      <c r="AH645" s="104" t="e">
        <f>IF(AND(VLOOKUP($D645,Merchantability!$B:$C,2,0)="Yes",$E645&gt;=VLOOKUP($D645,Merchantability!$B:$D,3,0),$E645&lt;=VLOOKUP($D645,Merchantability!$B:$E,4,0)),AC645,0)</f>
        <v>#N/A</v>
      </c>
      <c r="AI645" s="104" t="e">
        <f t="shared" si="303"/>
        <v>#N/A</v>
      </c>
      <c r="AJ645" s="104" t="e">
        <f t="shared" si="304"/>
        <v>#VALUE!</v>
      </c>
      <c r="AK645" s="104" t="e">
        <f t="shared" si="305"/>
        <v>#N/A</v>
      </c>
      <c r="AL645" s="104" t="e">
        <f t="shared" si="306"/>
        <v>#N/A</v>
      </c>
      <c r="AM645" s="104" t="e">
        <f t="shared" si="307"/>
        <v>#N/A</v>
      </c>
      <c r="AN645" s="104" t="e">
        <f t="shared" si="318"/>
        <v>#N/A</v>
      </c>
      <c r="AO645" s="104" t="e">
        <f t="shared" si="319"/>
        <v>#N/A</v>
      </c>
      <c r="AP645" s="104" t="e">
        <f t="shared" si="320"/>
        <v>#N/A</v>
      </c>
      <c r="AQ645" s="104" t="e">
        <f t="shared" si="321"/>
        <v>#N/A</v>
      </c>
      <c r="AR645" s="105" t="str">
        <f t="shared" si="313"/>
        <v/>
      </c>
      <c r="AS645" s="105" t="str">
        <f t="shared" si="314"/>
        <v/>
      </c>
      <c r="AT645" s="108" t="str">
        <f t="shared" si="315"/>
        <v/>
      </c>
      <c r="AU645" s="108" t="str">
        <f t="shared" si="316"/>
        <v/>
      </c>
      <c r="AV645" s="107" t="str">
        <f>IF(ISNUMBER(O645),IF(VLOOKUP($A645,Stand!C:J,8,FALSE)="Short",AT645,AU645),"")</f>
        <v/>
      </c>
      <c r="AW645" s="109" t="str">
        <f t="shared" si="322"/>
        <v/>
      </c>
      <c r="AX645" s="109" t="str">
        <f t="shared" si="323"/>
        <v/>
      </c>
      <c r="AY645" s="112" t="str">
        <f>IF(ISNUMBER(O645),IF(AND(VLOOKUP($D645,Merchantability!$B:$C,2,0)="Yes",$E645&gt;=VLOOKUP($D645,Merchantability!$B:$D,3,0),$E645&lt;=VLOOKUP($D645,Merchantability!$B:$E,4,0)),(AV645*O645)*(1-$H645/100),""),"")</f>
        <v/>
      </c>
      <c r="AZ645" s="116"/>
      <c r="BA645" s="116"/>
      <c r="BB645" s="116"/>
      <c r="BE645" s="62"/>
      <c r="BF645" s="63"/>
    </row>
    <row r="646" spans="1:58" ht="12.75" customHeight="1" x14ac:dyDescent="0.25">
      <c r="A646" s="313"/>
      <c r="B646" s="328"/>
      <c r="C646" s="329"/>
      <c r="D646" s="328"/>
      <c r="E646" s="330"/>
      <c r="F646" s="328"/>
      <c r="G646" s="329"/>
      <c r="H646" s="329"/>
      <c r="I646" s="328"/>
      <c r="J646" s="383"/>
      <c r="K646" s="329"/>
      <c r="L646" s="329"/>
      <c r="M646" s="78"/>
      <c r="N646" s="103" t="str">
        <f>IF(A646="","",VLOOKUP(A646,Stand!C:K,9,0))</f>
        <v/>
      </c>
      <c r="O646" s="104" t="str">
        <f t="shared" si="308"/>
        <v/>
      </c>
      <c r="P646" s="105" t="str">
        <f t="shared" si="309"/>
        <v/>
      </c>
      <c r="Q646" s="105" t="str">
        <f t="shared" si="297"/>
        <v/>
      </c>
      <c r="R646" s="103" t="str">
        <f t="shared" si="310"/>
        <v/>
      </c>
      <c r="S646" s="103" t="str">
        <f t="shared" si="311"/>
        <v/>
      </c>
      <c r="T646" s="106" t="str">
        <f t="shared" si="298"/>
        <v/>
      </c>
      <c r="U646" s="106" t="str">
        <f t="shared" si="299"/>
        <v/>
      </c>
      <c r="V646" s="106" t="str">
        <f t="shared" si="300"/>
        <v/>
      </c>
      <c r="W646" s="105" t="str">
        <f t="shared" si="312"/>
        <v/>
      </c>
      <c r="X646" s="104" t="str">
        <f t="shared" si="317"/>
        <v/>
      </c>
      <c r="Y646" s="104" t="str">
        <f t="array" ref="Y646">IFERROR(IF(ISNUMBER(O646),IF(COUNT(IF(A646=$A$2:$A$2427,IF(D646=$D$2:$D$2427,IF($X$2:$X$2427&gt;0,1))))&gt;0,SUM(IF(A646=$A$2:$A$2427,IF(D646=$D$2:$D$2427,$X$2:$X$2427)))/COUNT(IF(A646=$A$2:$A$2427,IF(D646=$D$2:$D$2427,IF(ISNUMBER($X$2:$X$2427),1)))),0),""),0)</f>
        <v/>
      </c>
      <c r="Z646" s="104" t="str">
        <f>IF(ISNUMBER(O646),IF(I646&gt;0,(10^(VLOOKUP(D646,'Species Codes'!B:C,2,0)+VLOOKUP(D646,'Species Codes'!B:D,3,0)*LOG(E646)+VLOOKUP(D646,'Species Codes'!B:E,4,0)*LOG(I646))),0),"")</f>
        <v/>
      </c>
      <c r="AA646" s="104" t="str">
        <f>IFERROR((VLOOKUP(D646,'Species Codes'!B:G,6,0)*Z646)/2000,"")</f>
        <v/>
      </c>
      <c r="AB646" s="104" t="e">
        <f>IF(Z646&gt;0,((IF(OR(D646="DF",D646="RA")=TRUE,EXP(VLOOKUP(D646,'Species Codes'!B:I,8,0)+VLOOKUP(D646,'Species Codes'!B:J,9,0)*(LN((E646*2.54)))),IF(OR(D646="PY",D646="RC",D646="WH",D646="NF")=TRUE,VLOOKUP(D646,'Species Codes'!B:I,8,0)+VLOOKUP(D646,'Species Codes'!B:J,9,0)*((E646*2.54)^2)*(I646*0.3048),IF(OR(D646="MD",D646="BM",D646="GA")=TRUE,((VLOOKUP(D646,'Species Codes'!B:I,8,0)*(((((E646*2.54)+VLOOKUP(D646,'Species Codes'!B:J,9,0))/VLOOKUP(D646,'Species Codes'!B:K,10,0))^VLOOKUP(D646,'Species Codes'!B:L,11,0))*((I646*0.3048)^VLOOKUP(D646,'Species Codes'!B:M,12,0))))-(VLOOKUP(D646,'Species Codes'!B:I,8,0)*((((E646*2.54)^VLOOKUP(D646,'Species Codes'!B:L,11,0))*((I646*0.3048)^VLOOKUP(D646,'Species Codes'!B:M,12,0))))))*35.3*VLOOKUP(D646,'Species Codes'!B:G,6,0)/2.2046,VLOOKUP(D646,'Species Codes'!B:I,8,0)+VLOOKUP(D646,'Species Codes'!B:J,9,0)*(((E646*2.54)/100)^2)*(I646*0.3048)))))*0.0011023),0)</f>
        <v>#N/A</v>
      </c>
      <c r="AC646" s="104" t="e">
        <f>IF(Z646&gt;0,((IF(OR(D646="RA",D646="OA",D646="OT",D646="UN",D646="PC"),EXP(VLOOKUP(D646,'Species Codes'!B:O,14,0)+VLOOKUP(D646,'Species Codes'!B:P,15,0)*LN((E646*2.54)))-EXP(VLOOKUP(D646,'Species Codes'!B:O,14,0)+VLOOKUP(D646,'Species Codes'!B:P,15,0)*LN((E646*2.54)))*(1/(VLOOKUP(D646,'Species Codes'!B:Q,16,0)+VLOOKUP(D646,'Species Codes'!B:R,17,0)*((E646*2.54)^VLOOKUP(D646,'Species Codes'!B:S,18,0)))),IF(OR(D646="BM",D646="MD",D646="OA"),EXP(VLOOKUP(D646,'Species Codes'!B:O,14,0)+VLOOKUP(D646,'Species Codes'!B:P,15,0)*LN((E646*2.54)))*(1-(1/(VLOOKUP(D646,'Species Codes'!B:Q,16,0)+VLOOKUP(D646,'Species Codes'!B:R,17,0)*((E646*2.54)^VLOOKUP(D646,'Species Codes'!B:S,18,0)))))/1000,IF(D646="DF",EXP(VLOOKUP(D646,'Species Codes'!B:O,14,0)+VLOOKUP(D646,'Species Codes'!B:P,15,0)*LN((E646*2.54))),VLOOKUP(D646,'Species Codes'!B:O,14,0)+VLOOKUP(D646,'Species Codes'!B:P,15,0)*(((E646*2.54)/100)^2)*(I646*0.3048)))))*0.0011023),0)</f>
        <v>#N/A</v>
      </c>
      <c r="AD646" s="104" t="e">
        <f t="shared" si="301"/>
        <v>#N/A</v>
      </c>
      <c r="AE646" s="104" t="e">
        <f t="shared" si="302"/>
        <v>#N/A</v>
      </c>
      <c r="AF646" s="104" t="e">
        <f>IF(AND(VLOOKUP($D646,Merchantability!$B:$C,2,0)="Yes",$E646&gt;=VLOOKUP($D646,Merchantability!$B:$D,3,0),$E646&lt;=VLOOKUP($D646,Merchantability!$B:$E,4,0)),AA646,0)</f>
        <v>#N/A</v>
      </c>
      <c r="AG646" s="104" t="e">
        <f>IF(AND(VLOOKUP($D646,Merchantability!$B:$C,2,0)="Yes",$E646&gt;=VLOOKUP($D646,Merchantability!$B:$D,3,0),$E646&lt;=VLOOKUP($D646,Merchantability!$B:$E,4,0)),AB646,0)</f>
        <v>#N/A</v>
      </c>
      <c r="AH646" s="104" t="e">
        <f>IF(AND(VLOOKUP($D646,Merchantability!$B:$C,2,0)="Yes",$E646&gt;=VLOOKUP($D646,Merchantability!$B:$D,3,0),$E646&lt;=VLOOKUP($D646,Merchantability!$B:$E,4,0)),AC646,0)</f>
        <v>#N/A</v>
      </c>
      <c r="AI646" s="104" t="e">
        <f t="shared" si="303"/>
        <v>#N/A</v>
      </c>
      <c r="AJ646" s="104" t="e">
        <f t="shared" si="304"/>
        <v>#VALUE!</v>
      </c>
      <c r="AK646" s="104" t="e">
        <f t="shared" si="305"/>
        <v>#N/A</v>
      </c>
      <c r="AL646" s="104" t="e">
        <f t="shared" si="306"/>
        <v>#N/A</v>
      </c>
      <c r="AM646" s="104" t="e">
        <f t="shared" si="307"/>
        <v>#N/A</v>
      </c>
      <c r="AN646" s="104" t="e">
        <f t="shared" si="318"/>
        <v>#N/A</v>
      </c>
      <c r="AO646" s="104" t="e">
        <f t="shared" si="319"/>
        <v>#N/A</v>
      </c>
      <c r="AP646" s="104" t="e">
        <f t="shared" si="320"/>
        <v>#N/A</v>
      </c>
      <c r="AQ646" s="104" t="e">
        <f t="shared" si="321"/>
        <v>#N/A</v>
      </c>
      <c r="AR646" s="105" t="str">
        <f t="shared" si="313"/>
        <v/>
      </c>
      <c r="AS646" s="105" t="str">
        <f t="shared" si="314"/>
        <v/>
      </c>
      <c r="AT646" s="108" t="str">
        <f t="shared" si="315"/>
        <v/>
      </c>
      <c r="AU646" s="108" t="str">
        <f t="shared" si="316"/>
        <v/>
      </c>
      <c r="AV646" s="107" t="str">
        <f>IF(ISNUMBER(O646),IF(VLOOKUP($A646,Stand!C:J,8,FALSE)="Short",AT646,AU646),"")</f>
        <v/>
      </c>
      <c r="AW646" s="109" t="str">
        <f t="shared" si="322"/>
        <v/>
      </c>
      <c r="AX646" s="109" t="str">
        <f t="shared" si="323"/>
        <v/>
      </c>
      <c r="AY646" s="112" t="str">
        <f>IF(ISNUMBER(O646),IF(AND(VLOOKUP($D646,Merchantability!$B:$C,2,0)="Yes",$E646&gt;=VLOOKUP($D646,Merchantability!$B:$D,3,0),$E646&lt;=VLOOKUP($D646,Merchantability!$B:$E,4,0)),(AV646*O646)*(1-$H646/100),""),"")</f>
        <v/>
      </c>
      <c r="AZ646" s="116"/>
      <c r="BA646" s="116"/>
      <c r="BB646" s="116"/>
      <c r="BE646" s="62"/>
      <c r="BF646" s="63"/>
    </row>
    <row r="647" spans="1:58" ht="12.75" customHeight="1" x14ac:dyDescent="0.25">
      <c r="A647" s="313"/>
      <c r="B647" s="328"/>
      <c r="C647" s="329"/>
      <c r="D647" s="328"/>
      <c r="E647" s="330"/>
      <c r="F647" s="328"/>
      <c r="G647" s="329"/>
      <c r="H647" s="329"/>
      <c r="I647" s="328"/>
      <c r="J647" s="383"/>
      <c r="K647" s="329"/>
      <c r="L647" s="329"/>
      <c r="M647" s="78"/>
      <c r="N647" s="103" t="str">
        <f>IF(A647="","",VLOOKUP(A647,Stand!C:K,9,0))</f>
        <v/>
      </c>
      <c r="O647" s="104" t="str">
        <f t="shared" si="308"/>
        <v/>
      </c>
      <c r="P647" s="105" t="str">
        <f t="shared" si="309"/>
        <v/>
      </c>
      <c r="Q647" s="105" t="str">
        <f t="shared" si="297"/>
        <v/>
      </c>
      <c r="R647" s="103" t="str">
        <f t="shared" si="310"/>
        <v/>
      </c>
      <c r="S647" s="103" t="str">
        <f t="shared" si="311"/>
        <v/>
      </c>
      <c r="T647" s="106" t="str">
        <f t="shared" si="298"/>
        <v/>
      </c>
      <c r="U647" s="106" t="str">
        <f t="shared" si="299"/>
        <v/>
      </c>
      <c r="V647" s="106" t="str">
        <f t="shared" si="300"/>
        <v/>
      </c>
      <c r="W647" s="105" t="str">
        <f t="shared" si="312"/>
        <v/>
      </c>
      <c r="X647" s="104" t="str">
        <f t="shared" si="317"/>
        <v/>
      </c>
      <c r="Y647" s="104" t="str">
        <f t="array" ref="Y647">IFERROR(IF(ISNUMBER(O647),IF(COUNT(IF(A647=$A$2:$A$2427,IF(D647=$D$2:$D$2427,IF($X$2:$X$2427&gt;0,1))))&gt;0,SUM(IF(A647=$A$2:$A$2427,IF(D647=$D$2:$D$2427,$X$2:$X$2427)))/COUNT(IF(A647=$A$2:$A$2427,IF(D647=$D$2:$D$2427,IF(ISNUMBER($X$2:$X$2427),1)))),0),""),0)</f>
        <v/>
      </c>
      <c r="Z647" s="104" t="str">
        <f>IF(ISNUMBER(O647),IF(I647&gt;0,(10^(VLOOKUP(D647,'Species Codes'!B:C,2,0)+VLOOKUP(D647,'Species Codes'!B:D,3,0)*LOG(E647)+VLOOKUP(D647,'Species Codes'!B:E,4,0)*LOG(I647))),0),"")</f>
        <v/>
      </c>
      <c r="AA647" s="104" t="str">
        <f>IFERROR((VLOOKUP(D647,'Species Codes'!B:G,6,0)*Z647)/2000,"")</f>
        <v/>
      </c>
      <c r="AB647" s="104" t="e">
        <f>IF(Z647&gt;0,((IF(OR(D647="DF",D647="RA")=TRUE,EXP(VLOOKUP(D647,'Species Codes'!B:I,8,0)+VLOOKUP(D647,'Species Codes'!B:J,9,0)*(LN((E647*2.54)))),IF(OR(D647="PY",D647="RC",D647="WH",D647="NF")=TRUE,VLOOKUP(D647,'Species Codes'!B:I,8,0)+VLOOKUP(D647,'Species Codes'!B:J,9,0)*((E647*2.54)^2)*(I647*0.3048),IF(OR(D647="MD",D647="BM",D647="GA")=TRUE,((VLOOKUP(D647,'Species Codes'!B:I,8,0)*(((((E647*2.54)+VLOOKUP(D647,'Species Codes'!B:J,9,0))/VLOOKUP(D647,'Species Codes'!B:K,10,0))^VLOOKUP(D647,'Species Codes'!B:L,11,0))*((I647*0.3048)^VLOOKUP(D647,'Species Codes'!B:M,12,0))))-(VLOOKUP(D647,'Species Codes'!B:I,8,0)*((((E647*2.54)^VLOOKUP(D647,'Species Codes'!B:L,11,0))*((I647*0.3048)^VLOOKUP(D647,'Species Codes'!B:M,12,0))))))*35.3*VLOOKUP(D647,'Species Codes'!B:G,6,0)/2.2046,VLOOKUP(D647,'Species Codes'!B:I,8,0)+VLOOKUP(D647,'Species Codes'!B:J,9,0)*(((E647*2.54)/100)^2)*(I647*0.3048)))))*0.0011023),0)</f>
        <v>#N/A</v>
      </c>
      <c r="AC647" s="104" t="e">
        <f>IF(Z647&gt;0,((IF(OR(D647="RA",D647="OA",D647="OT",D647="UN",D647="PC"),EXP(VLOOKUP(D647,'Species Codes'!B:O,14,0)+VLOOKUP(D647,'Species Codes'!B:P,15,0)*LN((E647*2.54)))-EXP(VLOOKUP(D647,'Species Codes'!B:O,14,0)+VLOOKUP(D647,'Species Codes'!B:P,15,0)*LN((E647*2.54)))*(1/(VLOOKUP(D647,'Species Codes'!B:Q,16,0)+VLOOKUP(D647,'Species Codes'!B:R,17,0)*((E647*2.54)^VLOOKUP(D647,'Species Codes'!B:S,18,0)))),IF(OR(D647="BM",D647="MD",D647="OA"),EXP(VLOOKUP(D647,'Species Codes'!B:O,14,0)+VLOOKUP(D647,'Species Codes'!B:P,15,0)*LN((E647*2.54)))*(1-(1/(VLOOKUP(D647,'Species Codes'!B:Q,16,0)+VLOOKUP(D647,'Species Codes'!B:R,17,0)*((E647*2.54)^VLOOKUP(D647,'Species Codes'!B:S,18,0)))))/1000,IF(D647="DF",EXP(VLOOKUP(D647,'Species Codes'!B:O,14,0)+VLOOKUP(D647,'Species Codes'!B:P,15,0)*LN((E647*2.54))),VLOOKUP(D647,'Species Codes'!B:O,14,0)+VLOOKUP(D647,'Species Codes'!B:P,15,0)*(((E647*2.54)/100)^2)*(I647*0.3048)))))*0.0011023),0)</f>
        <v>#N/A</v>
      </c>
      <c r="AD647" s="104" t="e">
        <f t="shared" si="301"/>
        <v>#N/A</v>
      </c>
      <c r="AE647" s="104" t="e">
        <f t="shared" si="302"/>
        <v>#N/A</v>
      </c>
      <c r="AF647" s="104" t="e">
        <f>IF(AND(VLOOKUP($D647,Merchantability!$B:$C,2,0)="Yes",$E647&gt;=VLOOKUP($D647,Merchantability!$B:$D,3,0),$E647&lt;=VLOOKUP($D647,Merchantability!$B:$E,4,0)),AA647,0)</f>
        <v>#N/A</v>
      </c>
      <c r="AG647" s="104" t="e">
        <f>IF(AND(VLOOKUP($D647,Merchantability!$B:$C,2,0)="Yes",$E647&gt;=VLOOKUP($D647,Merchantability!$B:$D,3,0),$E647&lt;=VLOOKUP($D647,Merchantability!$B:$E,4,0)),AB647,0)</f>
        <v>#N/A</v>
      </c>
      <c r="AH647" s="104" t="e">
        <f>IF(AND(VLOOKUP($D647,Merchantability!$B:$C,2,0)="Yes",$E647&gt;=VLOOKUP($D647,Merchantability!$B:$D,3,0),$E647&lt;=VLOOKUP($D647,Merchantability!$B:$E,4,0)),AC647,0)</f>
        <v>#N/A</v>
      </c>
      <c r="AI647" s="104" t="e">
        <f t="shared" si="303"/>
        <v>#N/A</v>
      </c>
      <c r="AJ647" s="104" t="e">
        <f t="shared" si="304"/>
        <v>#VALUE!</v>
      </c>
      <c r="AK647" s="104" t="e">
        <f t="shared" si="305"/>
        <v>#N/A</v>
      </c>
      <c r="AL647" s="104" t="e">
        <f t="shared" si="306"/>
        <v>#N/A</v>
      </c>
      <c r="AM647" s="104" t="e">
        <f t="shared" si="307"/>
        <v>#N/A</v>
      </c>
      <c r="AN647" s="104" t="e">
        <f t="shared" si="318"/>
        <v>#N/A</v>
      </c>
      <c r="AO647" s="104" t="e">
        <f t="shared" si="319"/>
        <v>#N/A</v>
      </c>
      <c r="AP647" s="104" t="e">
        <f t="shared" si="320"/>
        <v>#N/A</v>
      </c>
      <c r="AQ647" s="104" t="e">
        <f t="shared" si="321"/>
        <v>#N/A</v>
      </c>
      <c r="AR647" s="105" t="str">
        <f t="shared" si="313"/>
        <v/>
      </c>
      <c r="AS647" s="105" t="str">
        <f t="shared" si="314"/>
        <v/>
      </c>
      <c r="AT647" s="108" t="str">
        <f t="shared" si="315"/>
        <v/>
      </c>
      <c r="AU647" s="108" t="str">
        <f t="shared" si="316"/>
        <v/>
      </c>
      <c r="AV647" s="107" t="str">
        <f>IF(ISNUMBER(O647),IF(VLOOKUP($A647,Stand!C:J,8,FALSE)="Short",AT647,AU647),"")</f>
        <v/>
      </c>
      <c r="AW647" s="109" t="str">
        <f t="shared" si="322"/>
        <v/>
      </c>
      <c r="AX647" s="109" t="str">
        <f t="shared" si="323"/>
        <v/>
      </c>
      <c r="AY647" s="112" t="str">
        <f>IF(ISNUMBER(O647),IF(AND(VLOOKUP($D647,Merchantability!$B:$C,2,0)="Yes",$E647&gt;=VLOOKUP($D647,Merchantability!$B:$D,3,0),$E647&lt;=VLOOKUP($D647,Merchantability!$B:$E,4,0)),(AV647*O647)*(1-$H647/100),""),"")</f>
        <v/>
      </c>
      <c r="AZ647" s="116"/>
      <c r="BA647" s="116"/>
      <c r="BB647" s="116"/>
      <c r="BE647" s="62"/>
      <c r="BF647" s="63"/>
    </row>
    <row r="648" spans="1:58" ht="12.75" customHeight="1" x14ac:dyDescent="0.25">
      <c r="A648" s="313"/>
      <c r="B648" s="328"/>
      <c r="C648" s="329"/>
      <c r="D648" s="328"/>
      <c r="E648" s="330"/>
      <c r="F648" s="328"/>
      <c r="G648" s="329"/>
      <c r="H648" s="329"/>
      <c r="I648" s="328"/>
      <c r="J648" s="383"/>
      <c r="K648" s="329"/>
      <c r="L648" s="329"/>
      <c r="M648" s="78"/>
      <c r="N648" s="103" t="str">
        <f>IF(A648="","",VLOOKUP(A648,Stand!C:K,9,0))</f>
        <v/>
      </c>
      <c r="O648" s="104" t="str">
        <f t="shared" si="308"/>
        <v/>
      </c>
      <c r="P648" s="105" t="str">
        <f t="shared" si="309"/>
        <v/>
      </c>
      <c r="Q648" s="105" t="str">
        <f t="shared" si="297"/>
        <v/>
      </c>
      <c r="R648" s="103" t="str">
        <f t="shared" si="310"/>
        <v/>
      </c>
      <c r="S648" s="103" t="str">
        <f t="shared" si="311"/>
        <v/>
      </c>
      <c r="T648" s="106" t="str">
        <f t="shared" si="298"/>
        <v/>
      </c>
      <c r="U648" s="106" t="str">
        <f t="shared" si="299"/>
        <v/>
      </c>
      <c r="V648" s="106" t="str">
        <f t="shared" si="300"/>
        <v/>
      </c>
      <c r="W648" s="105" t="str">
        <f t="shared" si="312"/>
        <v/>
      </c>
      <c r="X648" s="104" t="str">
        <f t="shared" si="317"/>
        <v/>
      </c>
      <c r="Y648" s="104" t="str">
        <f t="array" ref="Y648">IFERROR(IF(ISNUMBER(O648),IF(COUNT(IF(A648=$A$2:$A$2427,IF(D648=$D$2:$D$2427,IF($X$2:$X$2427&gt;0,1))))&gt;0,SUM(IF(A648=$A$2:$A$2427,IF(D648=$D$2:$D$2427,$X$2:$X$2427)))/COUNT(IF(A648=$A$2:$A$2427,IF(D648=$D$2:$D$2427,IF(ISNUMBER($X$2:$X$2427),1)))),0),""),0)</f>
        <v/>
      </c>
      <c r="Z648" s="104" t="str">
        <f>IF(ISNUMBER(O648),IF(I648&gt;0,(10^(VLOOKUP(D648,'Species Codes'!B:C,2,0)+VLOOKUP(D648,'Species Codes'!B:D,3,0)*LOG(E648)+VLOOKUP(D648,'Species Codes'!B:E,4,0)*LOG(I648))),0),"")</f>
        <v/>
      </c>
      <c r="AA648" s="104" t="str">
        <f>IFERROR((VLOOKUP(D648,'Species Codes'!B:G,6,0)*Z648)/2000,"")</f>
        <v/>
      </c>
      <c r="AB648" s="104" t="e">
        <f>IF(Z648&gt;0,((IF(OR(D648="DF",D648="RA")=TRUE,EXP(VLOOKUP(D648,'Species Codes'!B:I,8,0)+VLOOKUP(D648,'Species Codes'!B:J,9,0)*(LN((E648*2.54)))),IF(OR(D648="PY",D648="RC",D648="WH",D648="NF")=TRUE,VLOOKUP(D648,'Species Codes'!B:I,8,0)+VLOOKUP(D648,'Species Codes'!B:J,9,0)*((E648*2.54)^2)*(I648*0.3048),IF(OR(D648="MD",D648="BM",D648="GA")=TRUE,((VLOOKUP(D648,'Species Codes'!B:I,8,0)*(((((E648*2.54)+VLOOKUP(D648,'Species Codes'!B:J,9,0))/VLOOKUP(D648,'Species Codes'!B:K,10,0))^VLOOKUP(D648,'Species Codes'!B:L,11,0))*((I648*0.3048)^VLOOKUP(D648,'Species Codes'!B:M,12,0))))-(VLOOKUP(D648,'Species Codes'!B:I,8,0)*((((E648*2.54)^VLOOKUP(D648,'Species Codes'!B:L,11,0))*((I648*0.3048)^VLOOKUP(D648,'Species Codes'!B:M,12,0))))))*35.3*VLOOKUP(D648,'Species Codes'!B:G,6,0)/2.2046,VLOOKUP(D648,'Species Codes'!B:I,8,0)+VLOOKUP(D648,'Species Codes'!B:J,9,0)*(((E648*2.54)/100)^2)*(I648*0.3048)))))*0.0011023),0)</f>
        <v>#N/A</v>
      </c>
      <c r="AC648" s="104" t="e">
        <f>IF(Z648&gt;0,((IF(OR(D648="RA",D648="OA",D648="OT",D648="UN",D648="PC"),EXP(VLOOKUP(D648,'Species Codes'!B:O,14,0)+VLOOKUP(D648,'Species Codes'!B:P,15,0)*LN((E648*2.54)))-EXP(VLOOKUP(D648,'Species Codes'!B:O,14,0)+VLOOKUP(D648,'Species Codes'!B:P,15,0)*LN((E648*2.54)))*(1/(VLOOKUP(D648,'Species Codes'!B:Q,16,0)+VLOOKUP(D648,'Species Codes'!B:R,17,0)*((E648*2.54)^VLOOKUP(D648,'Species Codes'!B:S,18,0)))),IF(OR(D648="BM",D648="MD",D648="OA"),EXP(VLOOKUP(D648,'Species Codes'!B:O,14,0)+VLOOKUP(D648,'Species Codes'!B:P,15,0)*LN((E648*2.54)))*(1-(1/(VLOOKUP(D648,'Species Codes'!B:Q,16,0)+VLOOKUP(D648,'Species Codes'!B:R,17,0)*((E648*2.54)^VLOOKUP(D648,'Species Codes'!B:S,18,0)))))/1000,IF(D648="DF",EXP(VLOOKUP(D648,'Species Codes'!B:O,14,0)+VLOOKUP(D648,'Species Codes'!B:P,15,0)*LN((E648*2.54))),VLOOKUP(D648,'Species Codes'!B:O,14,0)+VLOOKUP(D648,'Species Codes'!B:P,15,0)*(((E648*2.54)/100)^2)*(I648*0.3048)))))*0.0011023),0)</f>
        <v>#N/A</v>
      </c>
      <c r="AD648" s="104" t="e">
        <f t="shared" si="301"/>
        <v>#N/A</v>
      </c>
      <c r="AE648" s="104" t="e">
        <f t="shared" si="302"/>
        <v>#N/A</v>
      </c>
      <c r="AF648" s="104" t="e">
        <f>IF(AND(VLOOKUP($D648,Merchantability!$B:$C,2,0)="Yes",$E648&gt;=VLOOKUP($D648,Merchantability!$B:$D,3,0),$E648&lt;=VLOOKUP($D648,Merchantability!$B:$E,4,0)),AA648,0)</f>
        <v>#N/A</v>
      </c>
      <c r="AG648" s="104" t="e">
        <f>IF(AND(VLOOKUP($D648,Merchantability!$B:$C,2,0)="Yes",$E648&gt;=VLOOKUP($D648,Merchantability!$B:$D,3,0),$E648&lt;=VLOOKUP($D648,Merchantability!$B:$E,4,0)),AB648,0)</f>
        <v>#N/A</v>
      </c>
      <c r="AH648" s="104" t="e">
        <f>IF(AND(VLOOKUP($D648,Merchantability!$B:$C,2,0)="Yes",$E648&gt;=VLOOKUP($D648,Merchantability!$B:$D,3,0),$E648&lt;=VLOOKUP($D648,Merchantability!$B:$E,4,0)),AC648,0)</f>
        <v>#N/A</v>
      </c>
      <c r="AI648" s="104" t="e">
        <f t="shared" si="303"/>
        <v>#N/A</v>
      </c>
      <c r="AJ648" s="104" t="e">
        <f t="shared" si="304"/>
        <v>#VALUE!</v>
      </c>
      <c r="AK648" s="104" t="e">
        <f t="shared" si="305"/>
        <v>#N/A</v>
      </c>
      <c r="AL648" s="104" t="e">
        <f t="shared" si="306"/>
        <v>#N/A</v>
      </c>
      <c r="AM648" s="104" t="e">
        <f t="shared" si="307"/>
        <v>#N/A</v>
      </c>
      <c r="AN648" s="104" t="e">
        <f t="shared" si="318"/>
        <v>#N/A</v>
      </c>
      <c r="AO648" s="104" t="e">
        <f t="shared" si="319"/>
        <v>#N/A</v>
      </c>
      <c r="AP648" s="104" t="e">
        <f t="shared" si="320"/>
        <v>#N/A</v>
      </c>
      <c r="AQ648" s="104" t="e">
        <f t="shared" si="321"/>
        <v>#N/A</v>
      </c>
      <c r="AR648" s="105" t="str">
        <f t="shared" si="313"/>
        <v/>
      </c>
      <c r="AS648" s="105" t="str">
        <f t="shared" si="314"/>
        <v/>
      </c>
      <c r="AT648" s="108" t="str">
        <f t="shared" si="315"/>
        <v/>
      </c>
      <c r="AU648" s="108" t="str">
        <f t="shared" si="316"/>
        <v/>
      </c>
      <c r="AV648" s="107" t="str">
        <f>IF(ISNUMBER(O648),IF(VLOOKUP($A648,Stand!C:J,8,FALSE)="Short",AT648,AU648),"")</f>
        <v/>
      </c>
      <c r="AW648" s="109" t="str">
        <f t="shared" si="322"/>
        <v/>
      </c>
      <c r="AX648" s="109" t="str">
        <f t="shared" si="323"/>
        <v/>
      </c>
      <c r="AY648" s="112" t="str">
        <f>IF(ISNUMBER(O648),IF(AND(VLOOKUP($D648,Merchantability!$B:$C,2,0)="Yes",$E648&gt;=VLOOKUP($D648,Merchantability!$B:$D,3,0),$E648&lt;=VLOOKUP($D648,Merchantability!$B:$E,4,0)),(AV648*O648)*(1-$H648/100),""),"")</f>
        <v/>
      </c>
      <c r="AZ648" s="116"/>
      <c r="BA648" s="116"/>
      <c r="BB648" s="116"/>
      <c r="BE648" s="62"/>
      <c r="BF648" s="63"/>
    </row>
    <row r="649" spans="1:58" ht="12.75" customHeight="1" x14ac:dyDescent="0.25">
      <c r="A649" s="313"/>
      <c r="B649" s="328"/>
      <c r="C649" s="329"/>
      <c r="D649" s="328"/>
      <c r="E649" s="330"/>
      <c r="F649" s="328"/>
      <c r="G649" s="329"/>
      <c r="H649" s="329"/>
      <c r="I649" s="328"/>
      <c r="J649" s="383"/>
      <c r="K649" s="329"/>
      <c r="L649" s="329"/>
      <c r="M649" s="78"/>
      <c r="N649" s="103" t="str">
        <f>IF(A649="","",VLOOKUP(A649,Stand!C:K,9,0))</f>
        <v/>
      </c>
      <c r="O649" s="104" t="str">
        <f t="shared" si="308"/>
        <v/>
      </c>
      <c r="P649" s="105" t="str">
        <f t="shared" si="309"/>
        <v/>
      </c>
      <c r="Q649" s="105" t="str">
        <f t="shared" si="297"/>
        <v/>
      </c>
      <c r="R649" s="103" t="str">
        <f t="shared" si="310"/>
        <v/>
      </c>
      <c r="S649" s="103" t="str">
        <f t="shared" si="311"/>
        <v/>
      </c>
      <c r="T649" s="106" t="str">
        <f t="shared" si="298"/>
        <v/>
      </c>
      <c r="U649" s="106" t="str">
        <f t="shared" si="299"/>
        <v/>
      </c>
      <c r="V649" s="106" t="str">
        <f t="shared" si="300"/>
        <v/>
      </c>
      <c r="W649" s="105" t="str">
        <f t="shared" si="312"/>
        <v/>
      </c>
      <c r="X649" s="104" t="str">
        <f t="shared" si="317"/>
        <v/>
      </c>
      <c r="Y649" s="104" t="str">
        <f t="array" ref="Y649">IFERROR(IF(ISNUMBER(O649),IF(COUNT(IF(A649=$A$2:$A$2427,IF(D649=$D$2:$D$2427,IF($X$2:$X$2427&gt;0,1))))&gt;0,SUM(IF(A649=$A$2:$A$2427,IF(D649=$D$2:$D$2427,$X$2:$X$2427)))/COUNT(IF(A649=$A$2:$A$2427,IF(D649=$D$2:$D$2427,IF(ISNUMBER($X$2:$X$2427),1)))),0),""),0)</f>
        <v/>
      </c>
      <c r="Z649" s="104" t="str">
        <f>IF(ISNUMBER(O649),IF(I649&gt;0,(10^(VLOOKUP(D649,'Species Codes'!B:C,2,0)+VLOOKUP(D649,'Species Codes'!B:D,3,0)*LOG(E649)+VLOOKUP(D649,'Species Codes'!B:E,4,0)*LOG(I649))),0),"")</f>
        <v/>
      </c>
      <c r="AA649" s="104" t="str">
        <f>IFERROR((VLOOKUP(D649,'Species Codes'!B:G,6,0)*Z649)/2000,"")</f>
        <v/>
      </c>
      <c r="AB649" s="104" t="e">
        <f>IF(Z649&gt;0,((IF(OR(D649="DF",D649="RA")=TRUE,EXP(VLOOKUP(D649,'Species Codes'!B:I,8,0)+VLOOKUP(D649,'Species Codes'!B:J,9,0)*(LN((E649*2.54)))),IF(OR(D649="PY",D649="RC",D649="WH",D649="NF")=TRUE,VLOOKUP(D649,'Species Codes'!B:I,8,0)+VLOOKUP(D649,'Species Codes'!B:J,9,0)*((E649*2.54)^2)*(I649*0.3048),IF(OR(D649="MD",D649="BM",D649="GA")=TRUE,((VLOOKUP(D649,'Species Codes'!B:I,8,0)*(((((E649*2.54)+VLOOKUP(D649,'Species Codes'!B:J,9,0))/VLOOKUP(D649,'Species Codes'!B:K,10,0))^VLOOKUP(D649,'Species Codes'!B:L,11,0))*((I649*0.3048)^VLOOKUP(D649,'Species Codes'!B:M,12,0))))-(VLOOKUP(D649,'Species Codes'!B:I,8,0)*((((E649*2.54)^VLOOKUP(D649,'Species Codes'!B:L,11,0))*((I649*0.3048)^VLOOKUP(D649,'Species Codes'!B:M,12,0))))))*35.3*VLOOKUP(D649,'Species Codes'!B:G,6,0)/2.2046,VLOOKUP(D649,'Species Codes'!B:I,8,0)+VLOOKUP(D649,'Species Codes'!B:J,9,0)*(((E649*2.54)/100)^2)*(I649*0.3048)))))*0.0011023),0)</f>
        <v>#N/A</v>
      </c>
      <c r="AC649" s="104" t="e">
        <f>IF(Z649&gt;0,((IF(OR(D649="RA",D649="OA",D649="OT",D649="UN",D649="PC"),EXP(VLOOKUP(D649,'Species Codes'!B:O,14,0)+VLOOKUP(D649,'Species Codes'!B:P,15,0)*LN((E649*2.54)))-EXP(VLOOKUP(D649,'Species Codes'!B:O,14,0)+VLOOKUP(D649,'Species Codes'!B:P,15,0)*LN((E649*2.54)))*(1/(VLOOKUP(D649,'Species Codes'!B:Q,16,0)+VLOOKUP(D649,'Species Codes'!B:R,17,0)*((E649*2.54)^VLOOKUP(D649,'Species Codes'!B:S,18,0)))),IF(OR(D649="BM",D649="MD",D649="OA"),EXP(VLOOKUP(D649,'Species Codes'!B:O,14,0)+VLOOKUP(D649,'Species Codes'!B:P,15,0)*LN((E649*2.54)))*(1-(1/(VLOOKUP(D649,'Species Codes'!B:Q,16,0)+VLOOKUP(D649,'Species Codes'!B:R,17,0)*((E649*2.54)^VLOOKUP(D649,'Species Codes'!B:S,18,0)))))/1000,IF(D649="DF",EXP(VLOOKUP(D649,'Species Codes'!B:O,14,0)+VLOOKUP(D649,'Species Codes'!B:P,15,0)*LN((E649*2.54))),VLOOKUP(D649,'Species Codes'!B:O,14,0)+VLOOKUP(D649,'Species Codes'!B:P,15,0)*(((E649*2.54)/100)^2)*(I649*0.3048)))))*0.0011023),0)</f>
        <v>#N/A</v>
      </c>
      <c r="AD649" s="104" t="e">
        <f t="shared" si="301"/>
        <v>#N/A</v>
      </c>
      <c r="AE649" s="104" t="e">
        <f t="shared" si="302"/>
        <v>#N/A</v>
      </c>
      <c r="AF649" s="104" t="e">
        <f>IF(AND(VLOOKUP($D649,Merchantability!$B:$C,2,0)="Yes",$E649&gt;=VLOOKUP($D649,Merchantability!$B:$D,3,0),$E649&lt;=VLOOKUP($D649,Merchantability!$B:$E,4,0)),AA649,0)</f>
        <v>#N/A</v>
      </c>
      <c r="AG649" s="104" t="e">
        <f>IF(AND(VLOOKUP($D649,Merchantability!$B:$C,2,0)="Yes",$E649&gt;=VLOOKUP($D649,Merchantability!$B:$D,3,0),$E649&lt;=VLOOKUP($D649,Merchantability!$B:$E,4,0)),AB649,0)</f>
        <v>#N/A</v>
      </c>
      <c r="AH649" s="104" t="e">
        <f>IF(AND(VLOOKUP($D649,Merchantability!$B:$C,2,0)="Yes",$E649&gt;=VLOOKUP($D649,Merchantability!$B:$D,3,0),$E649&lt;=VLOOKUP($D649,Merchantability!$B:$E,4,0)),AC649,0)</f>
        <v>#N/A</v>
      </c>
      <c r="AI649" s="104" t="e">
        <f t="shared" si="303"/>
        <v>#N/A</v>
      </c>
      <c r="AJ649" s="104" t="e">
        <f t="shared" si="304"/>
        <v>#VALUE!</v>
      </c>
      <c r="AK649" s="104" t="e">
        <f t="shared" si="305"/>
        <v>#N/A</v>
      </c>
      <c r="AL649" s="104" t="e">
        <f t="shared" si="306"/>
        <v>#N/A</v>
      </c>
      <c r="AM649" s="104" t="e">
        <f t="shared" si="307"/>
        <v>#N/A</v>
      </c>
      <c r="AN649" s="104" t="e">
        <f t="shared" si="318"/>
        <v>#N/A</v>
      </c>
      <c r="AO649" s="104" t="e">
        <f t="shared" si="319"/>
        <v>#N/A</v>
      </c>
      <c r="AP649" s="104" t="e">
        <f t="shared" si="320"/>
        <v>#N/A</v>
      </c>
      <c r="AQ649" s="104" t="e">
        <f t="shared" si="321"/>
        <v>#N/A</v>
      </c>
      <c r="AR649" s="105" t="str">
        <f t="shared" si="313"/>
        <v/>
      </c>
      <c r="AS649" s="105" t="str">
        <f t="shared" si="314"/>
        <v/>
      </c>
      <c r="AT649" s="108" t="str">
        <f t="shared" si="315"/>
        <v/>
      </c>
      <c r="AU649" s="108" t="str">
        <f t="shared" si="316"/>
        <v/>
      </c>
      <c r="AV649" s="107" t="str">
        <f>IF(ISNUMBER(O649),IF(VLOOKUP($A649,Stand!C:J,8,FALSE)="Short",AT649,AU649),"")</f>
        <v/>
      </c>
      <c r="AW649" s="109" t="str">
        <f t="shared" si="322"/>
        <v/>
      </c>
      <c r="AX649" s="109" t="str">
        <f t="shared" si="323"/>
        <v/>
      </c>
      <c r="AY649" s="112" t="str">
        <f>IF(ISNUMBER(O649),IF(AND(VLOOKUP($D649,Merchantability!$B:$C,2,0)="Yes",$E649&gt;=VLOOKUP($D649,Merchantability!$B:$D,3,0),$E649&lt;=VLOOKUP($D649,Merchantability!$B:$E,4,0)),(AV649*O649)*(1-$H649/100),""),"")</f>
        <v/>
      </c>
      <c r="AZ649" s="116"/>
      <c r="BA649" s="116"/>
      <c r="BB649" s="116"/>
      <c r="BE649" s="62"/>
      <c r="BF649" s="63"/>
    </row>
    <row r="650" spans="1:58" ht="12.75" customHeight="1" x14ac:dyDescent="0.25">
      <c r="A650" s="313"/>
      <c r="B650" s="328"/>
      <c r="C650" s="329"/>
      <c r="D650" s="328"/>
      <c r="E650" s="330"/>
      <c r="F650" s="328"/>
      <c r="G650" s="329"/>
      <c r="H650" s="329"/>
      <c r="I650" s="328"/>
      <c r="J650" s="383"/>
      <c r="K650" s="329"/>
      <c r="L650" s="329"/>
      <c r="M650" s="78"/>
      <c r="N650" s="103" t="str">
        <f>IF(A650="","",VLOOKUP(A650,Stand!C:K,9,0))</f>
        <v/>
      </c>
      <c r="O650" s="104" t="str">
        <f t="shared" si="308"/>
        <v/>
      </c>
      <c r="P650" s="105" t="str">
        <f t="shared" si="309"/>
        <v/>
      </c>
      <c r="Q650" s="105" t="str">
        <f t="shared" si="297"/>
        <v/>
      </c>
      <c r="R650" s="103" t="str">
        <f t="shared" si="310"/>
        <v/>
      </c>
      <c r="S650" s="103" t="str">
        <f t="shared" si="311"/>
        <v/>
      </c>
      <c r="T650" s="106" t="str">
        <f t="shared" si="298"/>
        <v/>
      </c>
      <c r="U650" s="106" t="str">
        <f t="shared" si="299"/>
        <v/>
      </c>
      <c r="V650" s="106" t="str">
        <f t="shared" si="300"/>
        <v/>
      </c>
      <c r="W650" s="105" t="str">
        <f t="shared" si="312"/>
        <v/>
      </c>
      <c r="X650" s="104" t="str">
        <f t="shared" si="317"/>
        <v/>
      </c>
      <c r="Y650" s="104" t="str">
        <f t="array" ref="Y650">IFERROR(IF(ISNUMBER(O650),IF(COUNT(IF(A650=$A$2:$A$2427,IF(D650=$D$2:$D$2427,IF($X$2:$X$2427&gt;0,1))))&gt;0,SUM(IF(A650=$A$2:$A$2427,IF(D650=$D$2:$D$2427,$X$2:$X$2427)))/COUNT(IF(A650=$A$2:$A$2427,IF(D650=$D$2:$D$2427,IF(ISNUMBER($X$2:$X$2427),1)))),0),""),0)</f>
        <v/>
      </c>
      <c r="Z650" s="104" t="str">
        <f>IF(ISNUMBER(O650),IF(I650&gt;0,(10^(VLOOKUP(D650,'Species Codes'!B:C,2,0)+VLOOKUP(D650,'Species Codes'!B:D,3,0)*LOG(E650)+VLOOKUP(D650,'Species Codes'!B:E,4,0)*LOG(I650))),0),"")</f>
        <v/>
      </c>
      <c r="AA650" s="104" t="str">
        <f>IFERROR((VLOOKUP(D650,'Species Codes'!B:G,6,0)*Z650)/2000,"")</f>
        <v/>
      </c>
      <c r="AB650" s="104" t="e">
        <f>IF(Z650&gt;0,((IF(OR(D650="DF",D650="RA")=TRUE,EXP(VLOOKUP(D650,'Species Codes'!B:I,8,0)+VLOOKUP(D650,'Species Codes'!B:J,9,0)*(LN((E650*2.54)))),IF(OR(D650="PY",D650="RC",D650="WH",D650="NF")=TRUE,VLOOKUP(D650,'Species Codes'!B:I,8,0)+VLOOKUP(D650,'Species Codes'!B:J,9,0)*((E650*2.54)^2)*(I650*0.3048),IF(OR(D650="MD",D650="BM",D650="GA")=TRUE,((VLOOKUP(D650,'Species Codes'!B:I,8,0)*(((((E650*2.54)+VLOOKUP(D650,'Species Codes'!B:J,9,0))/VLOOKUP(D650,'Species Codes'!B:K,10,0))^VLOOKUP(D650,'Species Codes'!B:L,11,0))*((I650*0.3048)^VLOOKUP(D650,'Species Codes'!B:M,12,0))))-(VLOOKUP(D650,'Species Codes'!B:I,8,0)*((((E650*2.54)^VLOOKUP(D650,'Species Codes'!B:L,11,0))*((I650*0.3048)^VLOOKUP(D650,'Species Codes'!B:M,12,0))))))*35.3*VLOOKUP(D650,'Species Codes'!B:G,6,0)/2.2046,VLOOKUP(D650,'Species Codes'!B:I,8,0)+VLOOKUP(D650,'Species Codes'!B:J,9,0)*(((E650*2.54)/100)^2)*(I650*0.3048)))))*0.0011023),0)</f>
        <v>#N/A</v>
      </c>
      <c r="AC650" s="104" t="e">
        <f>IF(Z650&gt;0,((IF(OR(D650="RA",D650="OA",D650="OT",D650="UN",D650="PC"),EXP(VLOOKUP(D650,'Species Codes'!B:O,14,0)+VLOOKUP(D650,'Species Codes'!B:P,15,0)*LN((E650*2.54)))-EXP(VLOOKUP(D650,'Species Codes'!B:O,14,0)+VLOOKUP(D650,'Species Codes'!B:P,15,0)*LN((E650*2.54)))*(1/(VLOOKUP(D650,'Species Codes'!B:Q,16,0)+VLOOKUP(D650,'Species Codes'!B:R,17,0)*((E650*2.54)^VLOOKUP(D650,'Species Codes'!B:S,18,0)))),IF(OR(D650="BM",D650="MD",D650="OA"),EXP(VLOOKUP(D650,'Species Codes'!B:O,14,0)+VLOOKUP(D650,'Species Codes'!B:P,15,0)*LN((E650*2.54)))*(1-(1/(VLOOKUP(D650,'Species Codes'!B:Q,16,0)+VLOOKUP(D650,'Species Codes'!B:R,17,0)*((E650*2.54)^VLOOKUP(D650,'Species Codes'!B:S,18,0)))))/1000,IF(D650="DF",EXP(VLOOKUP(D650,'Species Codes'!B:O,14,0)+VLOOKUP(D650,'Species Codes'!B:P,15,0)*LN((E650*2.54))),VLOOKUP(D650,'Species Codes'!B:O,14,0)+VLOOKUP(D650,'Species Codes'!B:P,15,0)*(((E650*2.54)/100)^2)*(I650*0.3048)))))*0.0011023),0)</f>
        <v>#N/A</v>
      </c>
      <c r="AD650" s="104" t="e">
        <f t="shared" si="301"/>
        <v>#N/A</v>
      </c>
      <c r="AE650" s="104" t="e">
        <f t="shared" si="302"/>
        <v>#N/A</v>
      </c>
      <c r="AF650" s="104" t="e">
        <f>IF(AND(VLOOKUP($D650,Merchantability!$B:$C,2,0)="Yes",$E650&gt;=VLOOKUP($D650,Merchantability!$B:$D,3,0),$E650&lt;=VLOOKUP($D650,Merchantability!$B:$E,4,0)),AA650,0)</f>
        <v>#N/A</v>
      </c>
      <c r="AG650" s="104" t="e">
        <f>IF(AND(VLOOKUP($D650,Merchantability!$B:$C,2,0)="Yes",$E650&gt;=VLOOKUP($D650,Merchantability!$B:$D,3,0),$E650&lt;=VLOOKUP($D650,Merchantability!$B:$E,4,0)),AB650,0)</f>
        <v>#N/A</v>
      </c>
      <c r="AH650" s="104" t="e">
        <f>IF(AND(VLOOKUP($D650,Merchantability!$B:$C,2,0)="Yes",$E650&gt;=VLOOKUP($D650,Merchantability!$B:$D,3,0),$E650&lt;=VLOOKUP($D650,Merchantability!$B:$E,4,0)),AC650,0)</f>
        <v>#N/A</v>
      </c>
      <c r="AI650" s="104" t="e">
        <f t="shared" si="303"/>
        <v>#N/A</v>
      </c>
      <c r="AJ650" s="104" t="e">
        <f t="shared" si="304"/>
        <v>#VALUE!</v>
      </c>
      <c r="AK650" s="104" t="e">
        <f t="shared" si="305"/>
        <v>#N/A</v>
      </c>
      <c r="AL650" s="104" t="e">
        <f t="shared" si="306"/>
        <v>#N/A</v>
      </c>
      <c r="AM650" s="104" t="e">
        <f t="shared" si="307"/>
        <v>#N/A</v>
      </c>
      <c r="AN650" s="104" t="e">
        <f t="shared" si="318"/>
        <v>#N/A</v>
      </c>
      <c r="AO650" s="104" t="e">
        <f t="shared" si="319"/>
        <v>#N/A</v>
      </c>
      <c r="AP650" s="104" t="e">
        <f t="shared" si="320"/>
        <v>#N/A</v>
      </c>
      <c r="AQ650" s="104" t="e">
        <f t="shared" si="321"/>
        <v>#N/A</v>
      </c>
      <c r="AR650" s="105" t="str">
        <f t="shared" si="313"/>
        <v/>
      </c>
      <c r="AS650" s="105" t="str">
        <f t="shared" si="314"/>
        <v/>
      </c>
      <c r="AT650" s="108" t="str">
        <f t="shared" si="315"/>
        <v/>
      </c>
      <c r="AU650" s="108" t="str">
        <f t="shared" si="316"/>
        <v/>
      </c>
      <c r="AV650" s="107" t="str">
        <f>IF(ISNUMBER(O650),IF(VLOOKUP($A650,Stand!C:J,8,FALSE)="Short",AT650,AU650),"")</f>
        <v/>
      </c>
      <c r="AW650" s="109" t="str">
        <f t="shared" si="322"/>
        <v/>
      </c>
      <c r="AX650" s="109" t="str">
        <f t="shared" si="323"/>
        <v/>
      </c>
      <c r="AY650" s="112" t="str">
        <f>IF(ISNUMBER(O650),IF(AND(VLOOKUP($D650,Merchantability!$B:$C,2,0)="Yes",$E650&gt;=VLOOKUP($D650,Merchantability!$B:$D,3,0),$E650&lt;=VLOOKUP($D650,Merchantability!$B:$E,4,0)),(AV650*O650)*(1-$H650/100),""),"")</f>
        <v/>
      </c>
      <c r="AZ650" s="116"/>
      <c r="BA650" s="116"/>
      <c r="BB650" s="116"/>
      <c r="BE650" s="62"/>
      <c r="BF650" s="63"/>
    </row>
    <row r="651" spans="1:58" ht="12.75" customHeight="1" x14ac:dyDescent="0.25">
      <c r="A651" s="313"/>
      <c r="B651" s="328"/>
      <c r="C651" s="329"/>
      <c r="D651" s="328"/>
      <c r="E651" s="330"/>
      <c r="F651" s="328"/>
      <c r="G651" s="329"/>
      <c r="H651" s="329"/>
      <c r="I651" s="328"/>
      <c r="J651" s="383"/>
      <c r="K651" s="329"/>
      <c r="L651" s="329"/>
      <c r="M651" s="78"/>
      <c r="N651" s="103" t="str">
        <f>IF(A651="","",VLOOKUP(A651,Stand!C:K,9,0))</f>
        <v/>
      </c>
      <c r="O651" s="104" t="str">
        <f t="shared" si="308"/>
        <v/>
      </c>
      <c r="P651" s="105" t="str">
        <f t="shared" si="309"/>
        <v/>
      </c>
      <c r="Q651" s="105" t="str">
        <f t="shared" si="297"/>
        <v/>
      </c>
      <c r="R651" s="103" t="str">
        <f t="shared" si="310"/>
        <v/>
      </c>
      <c r="S651" s="103" t="str">
        <f t="shared" si="311"/>
        <v/>
      </c>
      <c r="T651" s="106" t="str">
        <f t="shared" si="298"/>
        <v/>
      </c>
      <c r="U651" s="106" t="str">
        <f t="shared" si="299"/>
        <v/>
      </c>
      <c r="V651" s="106" t="str">
        <f t="shared" si="300"/>
        <v/>
      </c>
      <c r="W651" s="105" t="str">
        <f t="shared" si="312"/>
        <v/>
      </c>
      <c r="X651" s="104" t="str">
        <f t="shared" si="317"/>
        <v/>
      </c>
      <c r="Y651" s="104" t="str">
        <f t="array" ref="Y651">IFERROR(IF(ISNUMBER(O651),IF(COUNT(IF(A651=$A$2:$A$2427,IF(D651=$D$2:$D$2427,IF($X$2:$X$2427&gt;0,1))))&gt;0,SUM(IF(A651=$A$2:$A$2427,IF(D651=$D$2:$D$2427,$X$2:$X$2427)))/COUNT(IF(A651=$A$2:$A$2427,IF(D651=$D$2:$D$2427,IF(ISNUMBER($X$2:$X$2427),1)))),0),""),0)</f>
        <v/>
      </c>
      <c r="Z651" s="104" t="str">
        <f>IF(ISNUMBER(O651),IF(I651&gt;0,(10^(VLOOKUP(D651,'Species Codes'!B:C,2,0)+VLOOKUP(D651,'Species Codes'!B:D,3,0)*LOG(E651)+VLOOKUP(D651,'Species Codes'!B:E,4,0)*LOG(I651))),0),"")</f>
        <v/>
      </c>
      <c r="AA651" s="104" t="str">
        <f>IFERROR((VLOOKUP(D651,'Species Codes'!B:G,6,0)*Z651)/2000,"")</f>
        <v/>
      </c>
      <c r="AB651" s="104" t="e">
        <f>IF(Z651&gt;0,((IF(OR(D651="DF",D651="RA")=TRUE,EXP(VLOOKUP(D651,'Species Codes'!B:I,8,0)+VLOOKUP(D651,'Species Codes'!B:J,9,0)*(LN((E651*2.54)))),IF(OR(D651="PY",D651="RC",D651="WH",D651="NF")=TRUE,VLOOKUP(D651,'Species Codes'!B:I,8,0)+VLOOKUP(D651,'Species Codes'!B:J,9,0)*((E651*2.54)^2)*(I651*0.3048),IF(OR(D651="MD",D651="BM",D651="GA")=TRUE,((VLOOKUP(D651,'Species Codes'!B:I,8,0)*(((((E651*2.54)+VLOOKUP(D651,'Species Codes'!B:J,9,0))/VLOOKUP(D651,'Species Codes'!B:K,10,0))^VLOOKUP(D651,'Species Codes'!B:L,11,0))*((I651*0.3048)^VLOOKUP(D651,'Species Codes'!B:M,12,0))))-(VLOOKUP(D651,'Species Codes'!B:I,8,0)*((((E651*2.54)^VLOOKUP(D651,'Species Codes'!B:L,11,0))*((I651*0.3048)^VLOOKUP(D651,'Species Codes'!B:M,12,0))))))*35.3*VLOOKUP(D651,'Species Codes'!B:G,6,0)/2.2046,VLOOKUP(D651,'Species Codes'!B:I,8,0)+VLOOKUP(D651,'Species Codes'!B:J,9,0)*(((E651*2.54)/100)^2)*(I651*0.3048)))))*0.0011023),0)</f>
        <v>#N/A</v>
      </c>
      <c r="AC651" s="104" t="e">
        <f>IF(Z651&gt;0,((IF(OR(D651="RA",D651="OA",D651="OT",D651="UN",D651="PC"),EXP(VLOOKUP(D651,'Species Codes'!B:O,14,0)+VLOOKUP(D651,'Species Codes'!B:P,15,0)*LN((E651*2.54)))-EXP(VLOOKUP(D651,'Species Codes'!B:O,14,0)+VLOOKUP(D651,'Species Codes'!B:P,15,0)*LN((E651*2.54)))*(1/(VLOOKUP(D651,'Species Codes'!B:Q,16,0)+VLOOKUP(D651,'Species Codes'!B:R,17,0)*((E651*2.54)^VLOOKUP(D651,'Species Codes'!B:S,18,0)))),IF(OR(D651="BM",D651="MD",D651="OA"),EXP(VLOOKUP(D651,'Species Codes'!B:O,14,0)+VLOOKUP(D651,'Species Codes'!B:P,15,0)*LN((E651*2.54)))*(1-(1/(VLOOKUP(D651,'Species Codes'!B:Q,16,0)+VLOOKUP(D651,'Species Codes'!B:R,17,0)*((E651*2.54)^VLOOKUP(D651,'Species Codes'!B:S,18,0)))))/1000,IF(D651="DF",EXP(VLOOKUP(D651,'Species Codes'!B:O,14,0)+VLOOKUP(D651,'Species Codes'!B:P,15,0)*LN((E651*2.54))),VLOOKUP(D651,'Species Codes'!B:O,14,0)+VLOOKUP(D651,'Species Codes'!B:P,15,0)*(((E651*2.54)/100)^2)*(I651*0.3048)))))*0.0011023),0)</f>
        <v>#N/A</v>
      </c>
      <c r="AD651" s="104" t="e">
        <f t="shared" si="301"/>
        <v>#N/A</v>
      </c>
      <c r="AE651" s="104" t="e">
        <f t="shared" si="302"/>
        <v>#N/A</v>
      </c>
      <c r="AF651" s="104" t="e">
        <f>IF(AND(VLOOKUP($D651,Merchantability!$B:$C,2,0)="Yes",$E651&gt;=VLOOKUP($D651,Merchantability!$B:$D,3,0),$E651&lt;=VLOOKUP($D651,Merchantability!$B:$E,4,0)),AA651,0)</f>
        <v>#N/A</v>
      </c>
      <c r="AG651" s="104" t="e">
        <f>IF(AND(VLOOKUP($D651,Merchantability!$B:$C,2,0)="Yes",$E651&gt;=VLOOKUP($D651,Merchantability!$B:$D,3,0),$E651&lt;=VLOOKUP($D651,Merchantability!$B:$E,4,0)),AB651,0)</f>
        <v>#N/A</v>
      </c>
      <c r="AH651" s="104" t="e">
        <f>IF(AND(VLOOKUP($D651,Merchantability!$B:$C,2,0)="Yes",$E651&gt;=VLOOKUP($D651,Merchantability!$B:$D,3,0),$E651&lt;=VLOOKUP($D651,Merchantability!$B:$E,4,0)),AC651,0)</f>
        <v>#N/A</v>
      </c>
      <c r="AI651" s="104" t="e">
        <f t="shared" si="303"/>
        <v>#N/A</v>
      </c>
      <c r="AJ651" s="104" t="e">
        <f t="shared" si="304"/>
        <v>#VALUE!</v>
      </c>
      <c r="AK651" s="104" t="e">
        <f t="shared" si="305"/>
        <v>#N/A</v>
      </c>
      <c r="AL651" s="104" t="e">
        <f t="shared" si="306"/>
        <v>#N/A</v>
      </c>
      <c r="AM651" s="104" t="e">
        <f t="shared" si="307"/>
        <v>#N/A</v>
      </c>
      <c r="AN651" s="104" t="e">
        <f t="shared" si="318"/>
        <v>#N/A</v>
      </c>
      <c r="AO651" s="104" t="e">
        <f t="shared" si="319"/>
        <v>#N/A</v>
      </c>
      <c r="AP651" s="104" t="e">
        <f t="shared" si="320"/>
        <v>#N/A</v>
      </c>
      <c r="AQ651" s="104" t="e">
        <f t="shared" si="321"/>
        <v>#N/A</v>
      </c>
      <c r="AR651" s="105" t="str">
        <f t="shared" si="313"/>
        <v/>
      </c>
      <c r="AS651" s="105" t="str">
        <f t="shared" si="314"/>
        <v/>
      </c>
      <c r="AT651" s="108" t="str">
        <f t="shared" si="315"/>
        <v/>
      </c>
      <c r="AU651" s="108" t="str">
        <f t="shared" si="316"/>
        <v/>
      </c>
      <c r="AV651" s="107" t="str">
        <f>IF(ISNUMBER(O651),IF(VLOOKUP($A651,Stand!C:J,8,FALSE)="Short",AT651,AU651),"")</f>
        <v/>
      </c>
      <c r="AW651" s="109" t="str">
        <f t="shared" si="322"/>
        <v/>
      </c>
      <c r="AX651" s="109" t="str">
        <f t="shared" si="323"/>
        <v/>
      </c>
      <c r="AY651" s="112" t="str">
        <f>IF(ISNUMBER(O651),IF(AND(VLOOKUP($D651,Merchantability!$B:$C,2,0)="Yes",$E651&gt;=VLOOKUP($D651,Merchantability!$B:$D,3,0),$E651&lt;=VLOOKUP($D651,Merchantability!$B:$E,4,0)),(AV651*O651)*(1-$H651/100),""),"")</f>
        <v/>
      </c>
      <c r="AZ651" s="116"/>
      <c r="BA651" s="116"/>
      <c r="BB651" s="116"/>
      <c r="BE651" s="62"/>
      <c r="BF651" s="63"/>
    </row>
    <row r="652" spans="1:58" ht="12.75" customHeight="1" x14ac:dyDescent="0.25">
      <c r="A652" s="313"/>
      <c r="B652" s="328"/>
      <c r="C652" s="329"/>
      <c r="D652" s="328"/>
      <c r="E652" s="330"/>
      <c r="F652" s="328"/>
      <c r="G652" s="329"/>
      <c r="H652" s="329"/>
      <c r="I652" s="328"/>
      <c r="J652" s="383"/>
      <c r="K652" s="329"/>
      <c r="L652" s="329"/>
      <c r="M652" s="78"/>
      <c r="N652" s="103" t="str">
        <f>IF(A652="","",VLOOKUP(A652,Stand!C:K,9,0))</f>
        <v/>
      </c>
      <c r="O652" s="104" t="str">
        <f t="shared" si="308"/>
        <v/>
      </c>
      <c r="P652" s="105" t="str">
        <f t="shared" si="309"/>
        <v/>
      </c>
      <c r="Q652" s="105" t="str">
        <f t="shared" si="297"/>
        <v/>
      </c>
      <c r="R652" s="103" t="str">
        <f t="shared" si="310"/>
        <v/>
      </c>
      <c r="S652" s="103" t="str">
        <f t="shared" si="311"/>
        <v/>
      </c>
      <c r="T652" s="106" t="str">
        <f t="shared" si="298"/>
        <v/>
      </c>
      <c r="U652" s="106" t="str">
        <f t="shared" si="299"/>
        <v/>
      </c>
      <c r="V652" s="106" t="str">
        <f t="shared" si="300"/>
        <v/>
      </c>
      <c r="W652" s="105" t="str">
        <f t="shared" si="312"/>
        <v/>
      </c>
      <c r="X652" s="104" t="str">
        <f t="shared" si="317"/>
        <v/>
      </c>
      <c r="Y652" s="104" t="str">
        <f t="array" ref="Y652">IFERROR(IF(ISNUMBER(O652),IF(COUNT(IF(A652=$A$2:$A$2427,IF(D652=$D$2:$D$2427,IF($X$2:$X$2427&gt;0,1))))&gt;0,SUM(IF(A652=$A$2:$A$2427,IF(D652=$D$2:$D$2427,$X$2:$X$2427)))/COUNT(IF(A652=$A$2:$A$2427,IF(D652=$D$2:$D$2427,IF(ISNUMBER($X$2:$X$2427),1)))),0),""),0)</f>
        <v/>
      </c>
      <c r="Z652" s="104" t="str">
        <f>IF(ISNUMBER(O652),IF(I652&gt;0,(10^(VLOOKUP(D652,'Species Codes'!B:C,2,0)+VLOOKUP(D652,'Species Codes'!B:D,3,0)*LOG(E652)+VLOOKUP(D652,'Species Codes'!B:E,4,0)*LOG(I652))),0),"")</f>
        <v/>
      </c>
      <c r="AA652" s="104" t="str">
        <f>IFERROR((VLOOKUP(D652,'Species Codes'!B:G,6,0)*Z652)/2000,"")</f>
        <v/>
      </c>
      <c r="AB652" s="104" t="e">
        <f>IF(Z652&gt;0,((IF(OR(D652="DF",D652="RA")=TRUE,EXP(VLOOKUP(D652,'Species Codes'!B:I,8,0)+VLOOKUP(D652,'Species Codes'!B:J,9,0)*(LN((E652*2.54)))),IF(OR(D652="PY",D652="RC",D652="WH",D652="NF")=TRUE,VLOOKUP(D652,'Species Codes'!B:I,8,0)+VLOOKUP(D652,'Species Codes'!B:J,9,0)*((E652*2.54)^2)*(I652*0.3048),IF(OR(D652="MD",D652="BM",D652="GA")=TRUE,((VLOOKUP(D652,'Species Codes'!B:I,8,0)*(((((E652*2.54)+VLOOKUP(D652,'Species Codes'!B:J,9,0))/VLOOKUP(D652,'Species Codes'!B:K,10,0))^VLOOKUP(D652,'Species Codes'!B:L,11,0))*((I652*0.3048)^VLOOKUP(D652,'Species Codes'!B:M,12,0))))-(VLOOKUP(D652,'Species Codes'!B:I,8,0)*((((E652*2.54)^VLOOKUP(D652,'Species Codes'!B:L,11,0))*((I652*0.3048)^VLOOKUP(D652,'Species Codes'!B:M,12,0))))))*35.3*VLOOKUP(D652,'Species Codes'!B:G,6,0)/2.2046,VLOOKUP(D652,'Species Codes'!B:I,8,0)+VLOOKUP(D652,'Species Codes'!B:J,9,0)*(((E652*2.54)/100)^2)*(I652*0.3048)))))*0.0011023),0)</f>
        <v>#N/A</v>
      </c>
      <c r="AC652" s="104" t="e">
        <f>IF(Z652&gt;0,((IF(OR(D652="RA",D652="OA",D652="OT",D652="UN",D652="PC"),EXP(VLOOKUP(D652,'Species Codes'!B:O,14,0)+VLOOKUP(D652,'Species Codes'!B:P,15,0)*LN((E652*2.54)))-EXP(VLOOKUP(D652,'Species Codes'!B:O,14,0)+VLOOKUP(D652,'Species Codes'!B:P,15,0)*LN((E652*2.54)))*(1/(VLOOKUP(D652,'Species Codes'!B:Q,16,0)+VLOOKUP(D652,'Species Codes'!B:R,17,0)*((E652*2.54)^VLOOKUP(D652,'Species Codes'!B:S,18,0)))),IF(OR(D652="BM",D652="MD",D652="OA"),EXP(VLOOKUP(D652,'Species Codes'!B:O,14,0)+VLOOKUP(D652,'Species Codes'!B:P,15,0)*LN((E652*2.54)))*(1-(1/(VLOOKUP(D652,'Species Codes'!B:Q,16,0)+VLOOKUP(D652,'Species Codes'!B:R,17,0)*((E652*2.54)^VLOOKUP(D652,'Species Codes'!B:S,18,0)))))/1000,IF(D652="DF",EXP(VLOOKUP(D652,'Species Codes'!B:O,14,0)+VLOOKUP(D652,'Species Codes'!B:P,15,0)*LN((E652*2.54))),VLOOKUP(D652,'Species Codes'!B:O,14,0)+VLOOKUP(D652,'Species Codes'!B:P,15,0)*(((E652*2.54)/100)^2)*(I652*0.3048)))))*0.0011023),0)</f>
        <v>#N/A</v>
      </c>
      <c r="AD652" s="104" t="e">
        <f t="shared" si="301"/>
        <v>#N/A</v>
      </c>
      <c r="AE652" s="104" t="e">
        <f t="shared" si="302"/>
        <v>#N/A</v>
      </c>
      <c r="AF652" s="104" t="e">
        <f>IF(AND(VLOOKUP($D652,Merchantability!$B:$C,2,0)="Yes",$E652&gt;=VLOOKUP($D652,Merchantability!$B:$D,3,0),$E652&lt;=VLOOKUP($D652,Merchantability!$B:$E,4,0)),AA652,0)</f>
        <v>#N/A</v>
      </c>
      <c r="AG652" s="104" t="e">
        <f>IF(AND(VLOOKUP($D652,Merchantability!$B:$C,2,0)="Yes",$E652&gt;=VLOOKUP($D652,Merchantability!$B:$D,3,0),$E652&lt;=VLOOKUP($D652,Merchantability!$B:$E,4,0)),AB652,0)</f>
        <v>#N/A</v>
      </c>
      <c r="AH652" s="104" t="e">
        <f>IF(AND(VLOOKUP($D652,Merchantability!$B:$C,2,0)="Yes",$E652&gt;=VLOOKUP($D652,Merchantability!$B:$D,3,0),$E652&lt;=VLOOKUP($D652,Merchantability!$B:$E,4,0)),AC652,0)</f>
        <v>#N/A</v>
      </c>
      <c r="AI652" s="104" t="e">
        <f t="shared" si="303"/>
        <v>#N/A</v>
      </c>
      <c r="AJ652" s="104" t="e">
        <f t="shared" si="304"/>
        <v>#VALUE!</v>
      </c>
      <c r="AK652" s="104" t="e">
        <f t="shared" si="305"/>
        <v>#N/A</v>
      </c>
      <c r="AL652" s="104" t="e">
        <f t="shared" si="306"/>
        <v>#N/A</v>
      </c>
      <c r="AM652" s="104" t="e">
        <f t="shared" si="307"/>
        <v>#N/A</v>
      </c>
      <c r="AN652" s="104" t="e">
        <f t="shared" si="318"/>
        <v>#N/A</v>
      </c>
      <c r="AO652" s="104" t="e">
        <f t="shared" si="319"/>
        <v>#N/A</v>
      </c>
      <c r="AP652" s="104" t="e">
        <f t="shared" si="320"/>
        <v>#N/A</v>
      </c>
      <c r="AQ652" s="104" t="e">
        <f t="shared" si="321"/>
        <v>#N/A</v>
      </c>
      <c r="AR652" s="105" t="str">
        <f t="shared" si="313"/>
        <v/>
      </c>
      <c r="AS652" s="105" t="str">
        <f t="shared" si="314"/>
        <v/>
      </c>
      <c r="AT652" s="108" t="str">
        <f t="shared" si="315"/>
        <v/>
      </c>
      <c r="AU652" s="108" t="str">
        <f t="shared" si="316"/>
        <v/>
      </c>
      <c r="AV652" s="107" t="str">
        <f>IF(ISNUMBER(O652),IF(VLOOKUP($A652,Stand!C:J,8,FALSE)="Short",AT652,AU652),"")</f>
        <v/>
      </c>
      <c r="AW652" s="109" t="str">
        <f t="shared" si="322"/>
        <v/>
      </c>
      <c r="AX652" s="109" t="str">
        <f t="shared" si="323"/>
        <v/>
      </c>
      <c r="AY652" s="112" t="str">
        <f>IF(ISNUMBER(O652),IF(AND(VLOOKUP($D652,Merchantability!$B:$C,2,0)="Yes",$E652&gt;=VLOOKUP($D652,Merchantability!$B:$D,3,0),$E652&lt;=VLOOKUP($D652,Merchantability!$B:$E,4,0)),(AV652*O652)*(1-$H652/100),""),"")</f>
        <v/>
      </c>
      <c r="AZ652" s="116"/>
      <c r="BA652" s="116"/>
      <c r="BB652" s="116"/>
      <c r="BE652" s="62"/>
      <c r="BF652" s="63"/>
    </row>
    <row r="653" spans="1:58" ht="12.75" customHeight="1" x14ac:dyDescent="0.25">
      <c r="A653" s="313"/>
      <c r="B653" s="328"/>
      <c r="C653" s="329"/>
      <c r="D653" s="328"/>
      <c r="E653" s="330"/>
      <c r="F653" s="328"/>
      <c r="G653" s="329"/>
      <c r="H653" s="329"/>
      <c r="I653" s="328"/>
      <c r="J653" s="383"/>
      <c r="K653" s="329"/>
      <c r="L653" s="329"/>
      <c r="M653" s="78"/>
      <c r="N653" s="103" t="str">
        <f>IF(A653="","",VLOOKUP(A653,Stand!C:K,9,0))</f>
        <v/>
      </c>
      <c r="O653" s="104" t="str">
        <f t="shared" si="308"/>
        <v/>
      </c>
      <c r="P653" s="105" t="str">
        <f t="shared" si="309"/>
        <v/>
      </c>
      <c r="Q653" s="105" t="str">
        <f t="shared" si="297"/>
        <v/>
      </c>
      <c r="R653" s="103" t="str">
        <f t="shared" si="310"/>
        <v/>
      </c>
      <c r="S653" s="103" t="str">
        <f t="shared" si="311"/>
        <v/>
      </c>
      <c r="T653" s="106" t="str">
        <f t="shared" si="298"/>
        <v/>
      </c>
      <c r="U653" s="106" t="str">
        <f t="shared" si="299"/>
        <v/>
      </c>
      <c r="V653" s="106" t="str">
        <f t="shared" si="300"/>
        <v/>
      </c>
      <c r="W653" s="105" t="str">
        <f t="shared" si="312"/>
        <v/>
      </c>
      <c r="X653" s="104" t="str">
        <f t="shared" si="317"/>
        <v/>
      </c>
      <c r="Y653" s="104" t="str">
        <f t="array" ref="Y653">IFERROR(IF(ISNUMBER(O653),IF(COUNT(IF(A653=$A$2:$A$2427,IF(D653=$D$2:$D$2427,IF($X$2:$X$2427&gt;0,1))))&gt;0,SUM(IF(A653=$A$2:$A$2427,IF(D653=$D$2:$D$2427,$X$2:$X$2427)))/COUNT(IF(A653=$A$2:$A$2427,IF(D653=$D$2:$D$2427,IF(ISNUMBER($X$2:$X$2427),1)))),0),""),0)</f>
        <v/>
      </c>
      <c r="Z653" s="104" t="str">
        <f>IF(ISNUMBER(O653),IF(I653&gt;0,(10^(VLOOKUP(D653,'Species Codes'!B:C,2,0)+VLOOKUP(D653,'Species Codes'!B:D,3,0)*LOG(E653)+VLOOKUP(D653,'Species Codes'!B:E,4,0)*LOG(I653))),0),"")</f>
        <v/>
      </c>
      <c r="AA653" s="104" t="str">
        <f>IFERROR((VLOOKUP(D653,'Species Codes'!B:G,6,0)*Z653)/2000,"")</f>
        <v/>
      </c>
      <c r="AB653" s="104" t="e">
        <f>IF(Z653&gt;0,((IF(OR(D653="DF",D653="RA")=TRUE,EXP(VLOOKUP(D653,'Species Codes'!B:I,8,0)+VLOOKUP(D653,'Species Codes'!B:J,9,0)*(LN((E653*2.54)))),IF(OR(D653="PY",D653="RC",D653="WH",D653="NF")=TRUE,VLOOKUP(D653,'Species Codes'!B:I,8,0)+VLOOKUP(D653,'Species Codes'!B:J,9,0)*((E653*2.54)^2)*(I653*0.3048),IF(OR(D653="MD",D653="BM",D653="GA")=TRUE,((VLOOKUP(D653,'Species Codes'!B:I,8,0)*(((((E653*2.54)+VLOOKUP(D653,'Species Codes'!B:J,9,0))/VLOOKUP(D653,'Species Codes'!B:K,10,0))^VLOOKUP(D653,'Species Codes'!B:L,11,0))*((I653*0.3048)^VLOOKUP(D653,'Species Codes'!B:M,12,0))))-(VLOOKUP(D653,'Species Codes'!B:I,8,0)*((((E653*2.54)^VLOOKUP(D653,'Species Codes'!B:L,11,0))*((I653*0.3048)^VLOOKUP(D653,'Species Codes'!B:M,12,0))))))*35.3*VLOOKUP(D653,'Species Codes'!B:G,6,0)/2.2046,VLOOKUP(D653,'Species Codes'!B:I,8,0)+VLOOKUP(D653,'Species Codes'!B:J,9,0)*(((E653*2.54)/100)^2)*(I653*0.3048)))))*0.0011023),0)</f>
        <v>#N/A</v>
      </c>
      <c r="AC653" s="104" t="e">
        <f>IF(Z653&gt;0,((IF(OR(D653="RA",D653="OA",D653="OT",D653="UN",D653="PC"),EXP(VLOOKUP(D653,'Species Codes'!B:O,14,0)+VLOOKUP(D653,'Species Codes'!B:P,15,0)*LN((E653*2.54)))-EXP(VLOOKUP(D653,'Species Codes'!B:O,14,0)+VLOOKUP(D653,'Species Codes'!B:P,15,0)*LN((E653*2.54)))*(1/(VLOOKUP(D653,'Species Codes'!B:Q,16,0)+VLOOKUP(D653,'Species Codes'!B:R,17,0)*((E653*2.54)^VLOOKUP(D653,'Species Codes'!B:S,18,0)))),IF(OR(D653="BM",D653="MD",D653="OA"),EXP(VLOOKUP(D653,'Species Codes'!B:O,14,0)+VLOOKUP(D653,'Species Codes'!B:P,15,0)*LN((E653*2.54)))*(1-(1/(VLOOKUP(D653,'Species Codes'!B:Q,16,0)+VLOOKUP(D653,'Species Codes'!B:R,17,0)*((E653*2.54)^VLOOKUP(D653,'Species Codes'!B:S,18,0)))))/1000,IF(D653="DF",EXP(VLOOKUP(D653,'Species Codes'!B:O,14,0)+VLOOKUP(D653,'Species Codes'!B:P,15,0)*LN((E653*2.54))),VLOOKUP(D653,'Species Codes'!B:O,14,0)+VLOOKUP(D653,'Species Codes'!B:P,15,0)*(((E653*2.54)/100)^2)*(I653*0.3048)))))*0.0011023),0)</f>
        <v>#N/A</v>
      </c>
      <c r="AD653" s="104" t="e">
        <f t="shared" si="301"/>
        <v>#N/A</v>
      </c>
      <c r="AE653" s="104" t="e">
        <f t="shared" si="302"/>
        <v>#N/A</v>
      </c>
      <c r="AF653" s="104" t="e">
        <f>IF(AND(VLOOKUP($D653,Merchantability!$B:$C,2,0)="Yes",$E653&gt;=VLOOKUP($D653,Merchantability!$B:$D,3,0),$E653&lt;=VLOOKUP($D653,Merchantability!$B:$E,4,0)),AA653,0)</f>
        <v>#N/A</v>
      </c>
      <c r="AG653" s="104" t="e">
        <f>IF(AND(VLOOKUP($D653,Merchantability!$B:$C,2,0)="Yes",$E653&gt;=VLOOKUP($D653,Merchantability!$B:$D,3,0),$E653&lt;=VLOOKUP($D653,Merchantability!$B:$E,4,0)),AB653,0)</f>
        <v>#N/A</v>
      </c>
      <c r="AH653" s="104" t="e">
        <f>IF(AND(VLOOKUP($D653,Merchantability!$B:$C,2,0)="Yes",$E653&gt;=VLOOKUP($D653,Merchantability!$B:$D,3,0),$E653&lt;=VLOOKUP($D653,Merchantability!$B:$E,4,0)),AC653,0)</f>
        <v>#N/A</v>
      </c>
      <c r="AI653" s="104" t="e">
        <f t="shared" si="303"/>
        <v>#N/A</v>
      </c>
      <c r="AJ653" s="104" t="e">
        <f t="shared" si="304"/>
        <v>#VALUE!</v>
      </c>
      <c r="AK653" s="104" t="e">
        <f t="shared" si="305"/>
        <v>#N/A</v>
      </c>
      <c r="AL653" s="104" t="e">
        <f t="shared" si="306"/>
        <v>#N/A</v>
      </c>
      <c r="AM653" s="104" t="e">
        <f t="shared" si="307"/>
        <v>#N/A</v>
      </c>
      <c r="AN653" s="104" t="e">
        <f t="shared" si="318"/>
        <v>#N/A</v>
      </c>
      <c r="AO653" s="104" t="e">
        <f t="shared" si="319"/>
        <v>#N/A</v>
      </c>
      <c r="AP653" s="104" t="e">
        <f t="shared" si="320"/>
        <v>#N/A</v>
      </c>
      <c r="AQ653" s="104" t="e">
        <f t="shared" si="321"/>
        <v>#N/A</v>
      </c>
      <c r="AR653" s="105" t="str">
        <f t="shared" si="313"/>
        <v/>
      </c>
      <c r="AS653" s="105" t="str">
        <f t="shared" si="314"/>
        <v/>
      </c>
      <c r="AT653" s="108" t="str">
        <f t="shared" si="315"/>
        <v/>
      </c>
      <c r="AU653" s="108" t="str">
        <f t="shared" si="316"/>
        <v/>
      </c>
      <c r="AV653" s="107" t="str">
        <f>IF(ISNUMBER(O653),IF(VLOOKUP($A653,Stand!C:J,8,FALSE)="Short",AT653,AU653),"")</f>
        <v/>
      </c>
      <c r="AW653" s="109" t="str">
        <f t="shared" si="322"/>
        <v/>
      </c>
      <c r="AX653" s="109" t="str">
        <f t="shared" si="323"/>
        <v/>
      </c>
      <c r="AY653" s="112" t="str">
        <f>IF(ISNUMBER(O653),IF(AND(VLOOKUP($D653,Merchantability!$B:$C,2,0)="Yes",$E653&gt;=VLOOKUP($D653,Merchantability!$B:$D,3,0),$E653&lt;=VLOOKUP($D653,Merchantability!$B:$E,4,0)),(AV653*O653)*(1-$H653/100),""),"")</f>
        <v/>
      </c>
      <c r="AZ653" s="116"/>
      <c r="BA653" s="116"/>
      <c r="BB653" s="116"/>
      <c r="BE653" s="62"/>
      <c r="BF653" s="63"/>
    </row>
    <row r="654" spans="1:58" ht="12.75" customHeight="1" x14ac:dyDescent="0.25">
      <c r="A654" s="313"/>
      <c r="B654" s="328"/>
      <c r="C654" s="329"/>
      <c r="D654" s="328"/>
      <c r="E654" s="330"/>
      <c r="F654" s="328"/>
      <c r="G654" s="329"/>
      <c r="H654" s="329"/>
      <c r="I654" s="328"/>
      <c r="J654" s="383"/>
      <c r="K654" s="329"/>
      <c r="L654" s="329"/>
      <c r="M654" s="78"/>
      <c r="N654" s="103" t="str">
        <f>IF(A654="","",VLOOKUP(A654,Stand!C:K,9,0))</f>
        <v/>
      </c>
      <c r="O654" s="104" t="str">
        <f t="shared" si="308"/>
        <v/>
      </c>
      <c r="P654" s="105" t="str">
        <f t="shared" si="309"/>
        <v/>
      </c>
      <c r="Q654" s="105" t="str">
        <f t="shared" si="297"/>
        <v/>
      </c>
      <c r="R654" s="103" t="str">
        <f t="shared" si="310"/>
        <v/>
      </c>
      <c r="S654" s="103" t="str">
        <f t="shared" si="311"/>
        <v/>
      </c>
      <c r="T654" s="106" t="str">
        <f t="shared" si="298"/>
        <v/>
      </c>
      <c r="U654" s="106" t="str">
        <f t="shared" si="299"/>
        <v/>
      </c>
      <c r="V654" s="106" t="str">
        <f t="shared" si="300"/>
        <v/>
      </c>
      <c r="W654" s="105" t="str">
        <f t="shared" si="312"/>
        <v/>
      </c>
      <c r="X654" s="104" t="str">
        <f t="shared" si="317"/>
        <v/>
      </c>
      <c r="Y654" s="104" t="str">
        <f t="array" ref="Y654">IFERROR(IF(ISNUMBER(O654),IF(COUNT(IF(A654=$A$2:$A$2427,IF(D654=$D$2:$D$2427,IF($X$2:$X$2427&gt;0,1))))&gt;0,SUM(IF(A654=$A$2:$A$2427,IF(D654=$D$2:$D$2427,$X$2:$X$2427)))/COUNT(IF(A654=$A$2:$A$2427,IF(D654=$D$2:$D$2427,IF(ISNUMBER($X$2:$X$2427),1)))),0),""),0)</f>
        <v/>
      </c>
      <c r="Z654" s="104" t="str">
        <f>IF(ISNUMBER(O654),IF(I654&gt;0,(10^(VLOOKUP(D654,'Species Codes'!B:C,2,0)+VLOOKUP(D654,'Species Codes'!B:D,3,0)*LOG(E654)+VLOOKUP(D654,'Species Codes'!B:E,4,0)*LOG(I654))),0),"")</f>
        <v/>
      </c>
      <c r="AA654" s="104" t="str">
        <f>IFERROR((VLOOKUP(D654,'Species Codes'!B:G,6,0)*Z654)/2000,"")</f>
        <v/>
      </c>
      <c r="AB654" s="104" t="e">
        <f>IF(Z654&gt;0,((IF(OR(D654="DF",D654="RA")=TRUE,EXP(VLOOKUP(D654,'Species Codes'!B:I,8,0)+VLOOKUP(D654,'Species Codes'!B:J,9,0)*(LN((E654*2.54)))),IF(OR(D654="PY",D654="RC",D654="WH",D654="NF")=TRUE,VLOOKUP(D654,'Species Codes'!B:I,8,0)+VLOOKUP(D654,'Species Codes'!B:J,9,0)*((E654*2.54)^2)*(I654*0.3048),IF(OR(D654="MD",D654="BM",D654="GA")=TRUE,((VLOOKUP(D654,'Species Codes'!B:I,8,0)*(((((E654*2.54)+VLOOKUP(D654,'Species Codes'!B:J,9,0))/VLOOKUP(D654,'Species Codes'!B:K,10,0))^VLOOKUP(D654,'Species Codes'!B:L,11,0))*((I654*0.3048)^VLOOKUP(D654,'Species Codes'!B:M,12,0))))-(VLOOKUP(D654,'Species Codes'!B:I,8,0)*((((E654*2.54)^VLOOKUP(D654,'Species Codes'!B:L,11,0))*((I654*0.3048)^VLOOKUP(D654,'Species Codes'!B:M,12,0))))))*35.3*VLOOKUP(D654,'Species Codes'!B:G,6,0)/2.2046,VLOOKUP(D654,'Species Codes'!B:I,8,0)+VLOOKUP(D654,'Species Codes'!B:J,9,0)*(((E654*2.54)/100)^2)*(I654*0.3048)))))*0.0011023),0)</f>
        <v>#N/A</v>
      </c>
      <c r="AC654" s="104" t="e">
        <f>IF(Z654&gt;0,((IF(OR(D654="RA",D654="OA",D654="OT",D654="UN",D654="PC"),EXP(VLOOKUP(D654,'Species Codes'!B:O,14,0)+VLOOKUP(D654,'Species Codes'!B:P,15,0)*LN((E654*2.54)))-EXP(VLOOKUP(D654,'Species Codes'!B:O,14,0)+VLOOKUP(D654,'Species Codes'!B:P,15,0)*LN((E654*2.54)))*(1/(VLOOKUP(D654,'Species Codes'!B:Q,16,0)+VLOOKUP(D654,'Species Codes'!B:R,17,0)*((E654*2.54)^VLOOKUP(D654,'Species Codes'!B:S,18,0)))),IF(OR(D654="BM",D654="MD",D654="OA"),EXP(VLOOKUP(D654,'Species Codes'!B:O,14,0)+VLOOKUP(D654,'Species Codes'!B:P,15,0)*LN((E654*2.54)))*(1-(1/(VLOOKUP(D654,'Species Codes'!B:Q,16,0)+VLOOKUP(D654,'Species Codes'!B:R,17,0)*((E654*2.54)^VLOOKUP(D654,'Species Codes'!B:S,18,0)))))/1000,IF(D654="DF",EXP(VLOOKUP(D654,'Species Codes'!B:O,14,0)+VLOOKUP(D654,'Species Codes'!B:P,15,0)*LN((E654*2.54))),VLOOKUP(D654,'Species Codes'!B:O,14,0)+VLOOKUP(D654,'Species Codes'!B:P,15,0)*(((E654*2.54)/100)^2)*(I654*0.3048)))))*0.0011023),0)</f>
        <v>#N/A</v>
      </c>
      <c r="AD654" s="104" t="e">
        <f t="shared" si="301"/>
        <v>#N/A</v>
      </c>
      <c r="AE654" s="104" t="e">
        <f t="shared" si="302"/>
        <v>#N/A</v>
      </c>
      <c r="AF654" s="104" t="e">
        <f>IF(AND(VLOOKUP($D654,Merchantability!$B:$C,2,0)="Yes",$E654&gt;=VLOOKUP($D654,Merchantability!$B:$D,3,0),$E654&lt;=VLOOKUP($D654,Merchantability!$B:$E,4,0)),AA654,0)</f>
        <v>#N/A</v>
      </c>
      <c r="AG654" s="104" t="e">
        <f>IF(AND(VLOOKUP($D654,Merchantability!$B:$C,2,0)="Yes",$E654&gt;=VLOOKUP($D654,Merchantability!$B:$D,3,0),$E654&lt;=VLOOKUP($D654,Merchantability!$B:$E,4,0)),AB654,0)</f>
        <v>#N/A</v>
      </c>
      <c r="AH654" s="104" t="e">
        <f>IF(AND(VLOOKUP($D654,Merchantability!$B:$C,2,0)="Yes",$E654&gt;=VLOOKUP($D654,Merchantability!$B:$D,3,0),$E654&lt;=VLOOKUP($D654,Merchantability!$B:$E,4,0)),AC654,0)</f>
        <v>#N/A</v>
      </c>
      <c r="AI654" s="104" t="e">
        <f t="shared" si="303"/>
        <v>#N/A</v>
      </c>
      <c r="AJ654" s="104" t="e">
        <f t="shared" si="304"/>
        <v>#VALUE!</v>
      </c>
      <c r="AK654" s="104" t="e">
        <f t="shared" si="305"/>
        <v>#N/A</v>
      </c>
      <c r="AL654" s="104" t="e">
        <f t="shared" si="306"/>
        <v>#N/A</v>
      </c>
      <c r="AM654" s="104" t="e">
        <f t="shared" si="307"/>
        <v>#N/A</v>
      </c>
      <c r="AN654" s="104" t="e">
        <f t="shared" si="318"/>
        <v>#N/A</v>
      </c>
      <c r="AO654" s="104" t="e">
        <f t="shared" si="319"/>
        <v>#N/A</v>
      </c>
      <c r="AP654" s="104" t="e">
        <f t="shared" si="320"/>
        <v>#N/A</v>
      </c>
      <c r="AQ654" s="104" t="e">
        <f t="shared" si="321"/>
        <v>#N/A</v>
      </c>
      <c r="AR654" s="105" t="str">
        <f t="shared" si="313"/>
        <v/>
      </c>
      <c r="AS654" s="105" t="str">
        <f t="shared" si="314"/>
        <v/>
      </c>
      <c r="AT654" s="108" t="str">
        <f t="shared" si="315"/>
        <v/>
      </c>
      <c r="AU654" s="108" t="str">
        <f t="shared" si="316"/>
        <v/>
      </c>
      <c r="AV654" s="107" t="str">
        <f>IF(ISNUMBER(O654),IF(VLOOKUP($A654,Stand!C:J,8,FALSE)="Short",AT654,AU654),"")</f>
        <v/>
      </c>
      <c r="AW654" s="109" t="str">
        <f t="shared" si="322"/>
        <v/>
      </c>
      <c r="AX654" s="109" t="str">
        <f t="shared" si="323"/>
        <v/>
      </c>
      <c r="AY654" s="112" t="str">
        <f>IF(ISNUMBER(O654),IF(AND(VLOOKUP($D654,Merchantability!$B:$C,2,0)="Yes",$E654&gt;=VLOOKUP($D654,Merchantability!$B:$D,3,0),$E654&lt;=VLOOKUP($D654,Merchantability!$B:$E,4,0)),(AV654*O654)*(1-$H654/100),""),"")</f>
        <v/>
      </c>
      <c r="AZ654" s="116"/>
      <c r="BA654" s="116"/>
      <c r="BB654" s="116"/>
      <c r="BE654" s="62"/>
      <c r="BF654" s="63"/>
    </row>
    <row r="655" spans="1:58" ht="12.75" customHeight="1" x14ac:dyDescent="0.25">
      <c r="A655" s="313"/>
      <c r="B655" s="328"/>
      <c r="C655" s="329"/>
      <c r="D655" s="328"/>
      <c r="E655" s="330"/>
      <c r="F655" s="328"/>
      <c r="G655" s="329"/>
      <c r="H655" s="329"/>
      <c r="I655" s="328"/>
      <c r="J655" s="383"/>
      <c r="K655" s="329"/>
      <c r="L655" s="329"/>
      <c r="M655" s="78"/>
      <c r="N655" s="103" t="str">
        <f>IF(A655="","",VLOOKUP(A655,Stand!C:K,9,0))</f>
        <v/>
      </c>
      <c r="O655" s="104" t="str">
        <f t="shared" si="308"/>
        <v/>
      </c>
      <c r="P655" s="105" t="str">
        <f t="shared" si="309"/>
        <v/>
      </c>
      <c r="Q655" s="105" t="str">
        <f t="shared" si="297"/>
        <v/>
      </c>
      <c r="R655" s="103" t="str">
        <f t="shared" si="310"/>
        <v/>
      </c>
      <c r="S655" s="103" t="str">
        <f t="shared" si="311"/>
        <v/>
      </c>
      <c r="T655" s="106" t="str">
        <f t="shared" si="298"/>
        <v/>
      </c>
      <c r="U655" s="106" t="str">
        <f t="shared" si="299"/>
        <v/>
      </c>
      <c r="V655" s="106" t="str">
        <f t="shared" si="300"/>
        <v/>
      </c>
      <c r="W655" s="105" t="str">
        <f t="shared" si="312"/>
        <v/>
      </c>
      <c r="X655" s="104" t="str">
        <f t="shared" si="317"/>
        <v/>
      </c>
      <c r="Y655" s="104" t="str">
        <f t="array" ref="Y655">IFERROR(IF(ISNUMBER(O655),IF(COUNT(IF(A655=$A$2:$A$2427,IF(D655=$D$2:$D$2427,IF($X$2:$X$2427&gt;0,1))))&gt;0,SUM(IF(A655=$A$2:$A$2427,IF(D655=$D$2:$D$2427,$X$2:$X$2427)))/COUNT(IF(A655=$A$2:$A$2427,IF(D655=$D$2:$D$2427,IF(ISNUMBER($X$2:$X$2427),1)))),0),""),0)</f>
        <v/>
      </c>
      <c r="Z655" s="104" t="str">
        <f>IF(ISNUMBER(O655),IF(I655&gt;0,(10^(VLOOKUP(D655,'Species Codes'!B:C,2,0)+VLOOKUP(D655,'Species Codes'!B:D,3,0)*LOG(E655)+VLOOKUP(D655,'Species Codes'!B:E,4,0)*LOG(I655))),0),"")</f>
        <v/>
      </c>
      <c r="AA655" s="104" t="str">
        <f>IFERROR((VLOOKUP(D655,'Species Codes'!B:G,6,0)*Z655)/2000,"")</f>
        <v/>
      </c>
      <c r="AB655" s="104" t="e">
        <f>IF(Z655&gt;0,((IF(OR(D655="DF",D655="RA")=TRUE,EXP(VLOOKUP(D655,'Species Codes'!B:I,8,0)+VLOOKUP(D655,'Species Codes'!B:J,9,0)*(LN((E655*2.54)))),IF(OR(D655="PY",D655="RC",D655="WH",D655="NF")=TRUE,VLOOKUP(D655,'Species Codes'!B:I,8,0)+VLOOKUP(D655,'Species Codes'!B:J,9,0)*((E655*2.54)^2)*(I655*0.3048),IF(OR(D655="MD",D655="BM",D655="GA")=TRUE,((VLOOKUP(D655,'Species Codes'!B:I,8,0)*(((((E655*2.54)+VLOOKUP(D655,'Species Codes'!B:J,9,0))/VLOOKUP(D655,'Species Codes'!B:K,10,0))^VLOOKUP(D655,'Species Codes'!B:L,11,0))*((I655*0.3048)^VLOOKUP(D655,'Species Codes'!B:M,12,0))))-(VLOOKUP(D655,'Species Codes'!B:I,8,0)*((((E655*2.54)^VLOOKUP(D655,'Species Codes'!B:L,11,0))*((I655*0.3048)^VLOOKUP(D655,'Species Codes'!B:M,12,0))))))*35.3*VLOOKUP(D655,'Species Codes'!B:G,6,0)/2.2046,VLOOKUP(D655,'Species Codes'!B:I,8,0)+VLOOKUP(D655,'Species Codes'!B:J,9,0)*(((E655*2.54)/100)^2)*(I655*0.3048)))))*0.0011023),0)</f>
        <v>#N/A</v>
      </c>
      <c r="AC655" s="104" t="e">
        <f>IF(Z655&gt;0,((IF(OR(D655="RA",D655="OA",D655="OT",D655="UN",D655="PC"),EXP(VLOOKUP(D655,'Species Codes'!B:O,14,0)+VLOOKUP(D655,'Species Codes'!B:P,15,0)*LN((E655*2.54)))-EXP(VLOOKUP(D655,'Species Codes'!B:O,14,0)+VLOOKUP(D655,'Species Codes'!B:P,15,0)*LN((E655*2.54)))*(1/(VLOOKUP(D655,'Species Codes'!B:Q,16,0)+VLOOKUP(D655,'Species Codes'!B:R,17,0)*((E655*2.54)^VLOOKUP(D655,'Species Codes'!B:S,18,0)))),IF(OR(D655="BM",D655="MD",D655="OA"),EXP(VLOOKUP(D655,'Species Codes'!B:O,14,0)+VLOOKUP(D655,'Species Codes'!B:P,15,0)*LN((E655*2.54)))*(1-(1/(VLOOKUP(D655,'Species Codes'!B:Q,16,0)+VLOOKUP(D655,'Species Codes'!B:R,17,0)*((E655*2.54)^VLOOKUP(D655,'Species Codes'!B:S,18,0)))))/1000,IF(D655="DF",EXP(VLOOKUP(D655,'Species Codes'!B:O,14,0)+VLOOKUP(D655,'Species Codes'!B:P,15,0)*LN((E655*2.54))),VLOOKUP(D655,'Species Codes'!B:O,14,0)+VLOOKUP(D655,'Species Codes'!B:P,15,0)*(((E655*2.54)/100)^2)*(I655*0.3048)))))*0.0011023),0)</f>
        <v>#N/A</v>
      </c>
      <c r="AD655" s="104" t="e">
        <f t="shared" si="301"/>
        <v>#N/A</v>
      </c>
      <c r="AE655" s="104" t="e">
        <f t="shared" si="302"/>
        <v>#N/A</v>
      </c>
      <c r="AF655" s="104" t="e">
        <f>IF(AND(VLOOKUP($D655,Merchantability!$B:$C,2,0)="Yes",$E655&gt;=VLOOKUP($D655,Merchantability!$B:$D,3,0),$E655&lt;=VLOOKUP($D655,Merchantability!$B:$E,4,0)),AA655,0)</f>
        <v>#N/A</v>
      </c>
      <c r="AG655" s="104" t="e">
        <f>IF(AND(VLOOKUP($D655,Merchantability!$B:$C,2,0)="Yes",$E655&gt;=VLOOKUP($D655,Merchantability!$B:$D,3,0),$E655&lt;=VLOOKUP($D655,Merchantability!$B:$E,4,0)),AB655,0)</f>
        <v>#N/A</v>
      </c>
      <c r="AH655" s="104" t="e">
        <f>IF(AND(VLOOKUP($D655,Merchantability!$B:$C,2,0)="Yes",$E655&gt;=VLOOKUP($D655,Merchantability!$B:$D,3,0),$E655&lt;=VLOOKUP($D655,Merchantability!$B:$E,4,0)),AC655,0)</f>
        <v>#N/A</v>
      </c>
      <c r="AI655" s="104" t="e">
        <f t="shared" si="303"/>
        <v>#N/A</v>
      </c>
      <c r="AJ655" s="104" t="e">
        <f t="shared" si="304"/>
        <v>#VALUE!</v>
      </c>
      <c r="AK655" s="104" t="e">
        <f t="shared" si="305"/>
        <v>#N/A</v>
      </c>
      <c r="AL655" s="104" t="e">
        <f t="shared" si="306"/>
        <v>#N/A</v>
      </c>
      <c r="AM655" s="104" t="e">
        <f t="shared" si="307"/>
        <v>#N/A</v>
      </c>
      <c r="AN655" s="104" t="e">
        <f t="shared" si="318"/>
        <v>#N/A</v>
      </c>
      <c r="AO655" s="104" t="e">
        <f t="shared" si="319"/>
        <v>#N/A</v>
      </c>
      <c r="AP655" s="104" t="e">
        <f t="shared" si="320"/>
        <v>#N/A</v>
      </c>
      <c r="AQ655" s="104" t="e">
        <f t="shared" si="321"/>
        <v>#N/A</v>
      </c>
      <c r="AR655" s="105" t="str">
        <f t="shared" si="313"/>
        <v/>
      </c>
      <c r="AS655" s="105" t="str">
        <f t="shared" si="314"/>
        <v/>
      </c>
      <c r="AT655" s="108" t="str">
        <f t="shared" si="315"/>
        <v/>
      </c>
      <c r="AU655" s="108" t="str">
        <f t="shared" si="316"/>
        <v/>
      </c>
      <c r="AV655" s="107" t="str">
        <f>IF(ISNUMBER(O655),IF(VLOOKUP($A655,Stand!C:J,8,FALSE)="Short",AT655,AU655),"")</f>
        <v/>
      </c>
      <c r="AW655" s="109" t="str">
        <f t="shared" si="322"/>
        <v/>
      </c>
      <c r="AX655" s="109" t="str">
        <f t="shared" si="323"/>
        <v/>
      </c>
      <c r="AY655" s="112" t="str">
        <f>IF(ISNUMBER(O655),IF(AND(VLOOKUP($D655,Merchantability!$B:$C,2,0)="Yes",$E655&gt;=VLOOKUP($D655,Merchantability!$B:$D,3,0),$E655&lt;=VLOOKUP($D655,Merchantability!$B:$E,4,0)),(AV655*O655)*(1-$H655/100),""),"")</f>
        <v/>
      </c>
      <c r="AZ655" s="116"/>
      <c r="BA655" s="116"/>
      <c r="BB655" s="116"/>
      <c r="BE655" s="62"/>
      <c r="BF655" s="63"/>
    </row>
    <row r="656" spans="1:58" ht="12.75" customHeight="1" x14ac:dyDescent="0.25">
      <c r="A656" s="313"/>
      <c r="B656" s="328"/>
      <c r="C656" s="329"/>
      <c r="D656" s="328"/>
      <c r="E656" s="330"/>
      <c r="F656" s="328"/>
      <c r="G656" s="329"/>
      <c r="H656" s="329"/>
      <c r="I656" s="328"/>
      <c r="J656" s="383"/>
      <c r="K656" s="329"/>
      <c r="L656" s="329"/>
      <c r="M656" s="78"/>
      <c r="N656" s="103" t="str">
        <f>IF(A656="","",VLOOKUP(A656,Stand!C:K,9,0))</f>
        <v/>
      </c>
      <c r="O656" s="104" t="str">
        <f t="shared" si="308"/>
        <v/>
      </c>
      <c r="P656" s="105" t="str">
        <f t="shared" si="309"/>
        <v/>
      </c>
      <c r="Q656" s="105" t="str">
        <f t="shared" si="297"/>
        <v/>
      </c>
      <c r="R656" s="103" t="str">
        <f t="shared" si="310"/>
        <v/>
      </c>
      <c r="S656" s="103" t="str">
        <f t="shared" si="311"/>
        <v/>
      </c>
      <c r="T656" s="106" t="str">
        <f t="shared" si="298"/>
        <v/>
      </c>
      <c r="U656" s="106" t="str">
        <f t="shared" si="299"/>
        <v/>
      </c>
      <c r="V656" s="106" t="str">
        <f t="shared" si="300"/>
        <v/>
      </c>
      <c r="W656" s="105" t="str">
        <f t="shared" si="312"/>
        <v/>
      </c>
      <c r="X656" s="104" t="str">
        <f t="shared" si="317"/>
        <v/>
      </c>
      <c r="Y656" s="104" t="str">
        <f t="array" ref="Y656">IFERROR(IF(ISNUMBER(O656),IF(COUNT(IF(A656=$A$2:$A$2427,IF(D656=$D$2:$D$2427,IF($X$2:$X$2427&gt;0,1))))&gt;0,SUM(IF(A656=$A$2:$A$2427,IF(D656=$D$2:$D$2427,$X$2:$X$2427)))/COUNT(IF(A656=$A$2:$A$2427,IF(D656=$D$2:$D$2427,IF(ISNUMBER($X$2:$X$2427),1)))),0),""),0)</f>
        <v/>
      </c>
      <c r="Z656" s="104" t="str">
        <f>IF(ISNUMBER(O656),IF(I656&gt;0,(10^(VLOOKUP(D656,'Species Codes'!B:C,2,0)+VLOOKUP(D656,'Species Codes'!B:D,3,0)*LOG(E656)+VLOOKUP(D656,'Species Codes'!B:E,4,0)*LOG(I656))),0),"")</f>
        <v/>
      </c>
      <c r="AA656" s="104" t="str">
        <f>IFERROR((VLOOKUP(D656,'Species Codes'!B:G,6,0)*Z656)/2000,"")</f>
        <v/>
      </c>
      <c r="AB656" s="104" t="e">
        <f>IF(Z656&gt;0,((IF(OR(D656="DF",D656="RA")=TRUE,EXP(VLOOKUP(D656,'Species Codes'!B:I,8,0)+VLOOKUP(D656,'Species Codes'!B:J,9,0)*(LN((E656*2.54)))),IF(OR(D656="PY",D656="RC",D656="WH",D656="NF")=TRUE,VLOOKUP(D656,'Species Codes'!B:I,8,0)+VLOOKUP(D656,'Species Codes'!B:J,9,0)*((E656*2.54)^2)*(I656*0.3048),IF(OR(D656="MD",D656="BM",D656="GA")=TRUE,((VLOOKUP(D656,'Species Codes'!B:I,8,0)*(((((E656*2.54)+VLOOKUP(D656,'Species Codes'!B:J,9,0))/VLOOKUP(D656,'Species Codes'!B:K,10,0))^VLOOKUP(D656,'Species Codes'!B:L,11,0))*((I656*0.3048)^VLOOKUP(D656,'Species Codes'!B:M,12,0))))-(VLOOKUP(D656,'Species Codes'!B:I,8,0)*((((E656*2.54)^VLOOKUP(D656,'Species Codes'!B:L,11,0))*((I656*0.3048)^VLOOKUP(D656,'Species Codes'!B:M,12,0))))))*35.3*VLOOKUP(D656,'Species Codes'!B:G,6,0)/2.2046,VLOOKUP(D656,'Species Codes'!B:I,8,0)+VLOOKUP(D656,'Species Codes'!B:J,9,0)*(((E656*2.54)/100)^2)*(I656*0.3048)))))*0.0011023),0)</f>
        <v>#N/A</v>
      </c>
      <c r="AC656" s="104" t="e">
        <f>IF(Z656&gt;0,((IF(OR(D656="RA",D656="OA",D656="OT",D656="UN",D656="PC"),EXP(VLOOKUP(D656,'Species Codes'!B:O,14,0)+VLOOKUP(D656,'Species Codes'!B:P,15,0)*LN((E656*2.54)))-EXP(VLOOKUP(D656,'Species Codes'!B:O,14,0)+VLOOKUP(D656,'Species Codes'!B:P,15,0)*LN((E656*2.54)))*(1/(VLOOKUP(D656,'Species Codes'!B:Q,16,0)+VLOOKUP(D656,'Species Codes'!B:R,17,0)*((E656*2.54)^VLOOKUP(D656,'Species Codes'!B:S,18,0)))),IF(OR(D656="BM",D656="MD",D656="OA"),EXP(VLOOKUP(D656,'Species Codes'!B:O,14,0)+VLOOKUP(D656,'Species Codes'!B:P,15,0)*LN((E656*2.54)))*(1-(1/(VLOOKUP(D656,'Species Codes'!B:Q,16,0)+VLOOKUP(D656,'Species Codes'!B:R,17,0)*((E656*2.54)^VLOOKUP(D656,'Species Codes'!B:S,18,0)))))/1000,IF(D656="DF",EXP(VLOOKUP(D656,'Species Codes'!B:O,14,0)+VLOOKUP(D656,'Species Codes'!B:P,15,0)*LN((E656*2.54))),VLOOKUP(D656,'Species Codes'!B:O,14,0)+VLOOKUP(D656,'Species Codes'!B:P,15,0)*(((E656*2.54)/100)^2)*(I656*0.3048)))))*0.0011023),0)</f>
        <v>#N/A</v>
      </c>
      <c r="AD656" s="104" t="e">
        <f t="shared" si="301"/>
        <v>#N/A</v>
      </c>
      <c r="AE656" s="104" t="e">
        <f t="shared" si="302"/>
        <v>#N/A</v>
      </c>
      <c r="AF656" s="104" t="e">
        <f>IF(AND(VLOOKUP($D656,Merchantability!$B:$C,2,0)="Yes",$E656&gt;=VLOOKUP($D656,Merchantability!$B:$D,3,0),$E656&lt;=VLOOKUP($D656,Merchantability!$B:$E,4,0)),AA656,0)</f>
        <v>#N/A</v>
      </c>
      <c r="AG656" s="104" t="e">
        <f>IF(AND(VLOOKUP($D656,Merchantability!$B:$C,2,0)="Yes",$E656&gt;=VLOOKUP($D656,Merchantability!$B:$D,3,0),$E656&lt;=VLOOKUP($D656,Merchantability!$B:$E,4,0)),AB656,0)</f>
        <v>#N/A</v>
      </c>
      <c r="AH656" s="104" t="e">
        <f>IF(AND(VLOOKUP($D656,Merchantability!$B:$C,2,0)="Yes",$E656&gt;=VLOOKUP($D656,Merchantability!$B:$D,3,0),$E656&lt;=VLOOKUP($D656,Merchantability!$B:$E,4,0)),AC656,0)</f>
        <v>#N/A</v>
      </c>
      <c r="AI656" s="104" t="e">
        <f t="shared" si="303"/>
        <v>#N/A</v>
      </c>
      <c r="AJ656" s="104" t="e">
        <f t="shared" si="304"/>
        <v>#VALUE!</v>
      </c>
      <c r="AK656" s="104" t="e">
        <f t="shared" si="305"/>
        <v>#N/A</v>
      </c>
      <c r="AL656" s="104" t="e">
        <f t="shared" si="306"/>
        <v>#N/A</v>
      </c>
      <c r="AM656" s="104" t="e">
        <f t="shared" si="307"/>
        <v>#N/A</v>
      </c>
      <c r="AN656" s="104" t="e">
        <f t="shared" si="318"/>
        <v>#N/A</v>
      </c>
      <c r="AO656" s="104" t="e">
        <f t="shared" si="319"/>
        <v>#N/A</v>
      </c>
      <c r="AP656" s="104" t="e">
        <f t="shared" si="320"/>
        <v>#N/A</v>
      </c>
      <c r="AQ656" s="104" t="e">
        <f t="shared" si="321"/>
        <v>#N/A</v>
      </c>
      <c r="AR656" s="105" t="str">
        <f t="shared" si="313"/>
        <v/>
      </c>
      <c r="AS656" s="105" t="str">
        <f t="shared" si="314"/>
        <v/>
      </c>
      <c r="AT656" s="108" t="str">
        <f t="shared" si="315"/>
        <v/>
      </c>
      <c r="AU656" s="108" t="str">
        <f t="shared" si="316"/>
        <v/>
      </c>
      <c r="AV656" s="107" t="str">
        <f>IF(ISNUMBER(O656),IF(VLOOKUP($A656,Stand!C:J,8,FALSE)="Short",AT656,AU656),"")</f>
        <v/>
      </c>
      <c r="AW656" s="109" t="str">
        <f t="shared" si="322"/>
        <v/>
      </c>
      <c r="AX656" s="109" t="str">
        <f t="shared" si="323"/>
        <v/>
      </c>
      <c r="AY656" s="112" t="str">
        <f>IF(ISNUMBER(O656),IF(AND(VLOOKUP($D656,Merchantability!$B:$C,2,0)="Yes",$E656&gt;=VLOOKUP($D656,Merchantability!$B:$D,3,0),$E656&lt;=VLOOKUP($D656,Merchantability!$B:$E,4,0)),(AV656*O656)*(1-$H656/100),""),"")</f>
        <v/>
      </c>
      <c r="AZ656" s="116"/>
      <c r="BA656" s="116"/>
      <c r="BB656" s="116"/>
      <c r="BE656" s="62"/>
      <c r="BF656" s="63"/>
    </row>
    <row r="657" spans="1:58" ht="12.75" customHeight="1" x14ac:dyDescent="0.25">
      <c r="A657" s="313"/>
      <c r="B657" s="328"/>
      <c r="C657" s="329"/>
      <c r="D657" s="328"/>
      <c r="E657" s="330"/>
      <c r="F657" s="328"/>
      <c r="G657" s="329"/>
      <c r="H657" s="329"/>
      <c r="I657" s="328"/>
      <c r="J657" s="383"/>
      <c r="K657" s="329"/>
      <c r="L657" s="329"/>
      <c r="M657" s="78"/>
      <c r="N657" s="103" t="str">
        <f>IF(A657="","",VLOOKUP(A657,Stand!C:K,9,0))</f>
        <v/>
      </c>
      <c r="O657" s="104" t="str">
        <f t="shared" si="308"/>
        <v/>
      </c>
      <c r="P657" s="105" t="str">
        <f t="shared" si="309"/>
        <v/>
      </c>
      <c r="Q657" s="105" t="str">
        <f t="shared" si="297"/>
        <v/>
      </c>
      <c r="R657" s="103" t="str">
        <f t="shared" si="310"/>
        <v/>
      </c>
      <c r="S657" s="103" t="str">
        <f t="shared" si="311"/>
        <v/>
      </c>
      <c r="T657" s="106" t="str">
        <f t="shared" si="298"/>
        <v/>
      </c>
      <c r="U657" s="106" t="str">
        <f t="shared" si="299"/>
        <v/>
      </c>
      <c r="V657" s="106" t="str">
        <f t="shared" si="300"/>
        <v/>
      </c>
      <c r="W657" s="105" t="str">
        <f t="shared" si="312"/>
        <v/>
      </c>
      <c r="X657" s="104" t="str">
        <f t="shared" si="317"/>
        <v/>
      </c>
      <c r="Y657" s="104" t="str">
        <f t="array" ref="Y657">IFERROR(IF(ISNUMBER(O657),IF(COUNT(IF(A657=$A$2:$A$2427,IF(D657=$D$2:$D$2427,IF($X$2:$X$2427&gt;0,1))))&gt;0,SUM(IF(A657=$A$2:$A$2427,IF(D657=$D$2:$D$2427,$X$2:$X$2427)))/COUNT(IF(A657=$A$2:$A$2427,IF(D657=$D$2:$D$2427,IF(ISNUMBER($X$2:$X$2427),1)))),0),""),0)</f>
        <v/>
      </c>
      <c r="Z657" s="104" t="str">
        <f>IF(ISNUMBER(O657),IF(I657&gt;0,(10^(VLOOKUP(D657,'Species Codes'!B:C,2,0)+VLOOKUP(D657,'Species Codes'!B:D,3,0)*LOG(E657)+VLOOKUP(D657,'Species Codes'!B:E,4,0)*LOG(I657))),0),"")</f>
        <v/>
      </c>
      <c r="AA657" s="104" t="str">
        <f>IFERROR((VLOOKUP(D657,'Species Codes'!B:G,6,0)*Z657)/2000,"")</f>
        <v/>
      </c>
      <c r="AB657" s="104" t="e">
        <f>IF(Z657&gt;0,((IF(OR(D657="DF",D657="RA")=TRUE,EXP(VLOOKUP(D657,'Species Codes'!B:I,8,0)+VLOOKUP(D657,'Species Codes'!B:J,9,0)*(LN((E657*2.54)))),IF(OR(D657="PY",D657="RC",D657="WH",D657="NF")=TRUE,VLOOKUP(D657,'Species Codes'!B:I,8,0)+VLOOKUP(D657,'Species Codes'!B:J,9,0)*((E657*2.54)^2)*(I657*0.3048),IF(OR(D657="MD",D657="BM",D657="GA")=TRUE,((VLOOKUP(D657,'Species Codes'!B:I,8,0)*(((((E657*2.54)+VLOOKUP(D657,'Species Codes'!B:J,9,0))/VLOOKUP(D657,'Species Codes'!B:K,10,0))^VLOOKUP(D657,'Species Codes'!B:L,11,0))*((I657*0.3048)^VLOOKUP(D657,'Species Codes'!B:M,12,0))))-(VLOOKUP(D657,'Species Codes'!B:I,8,0)*((((E657*2.54)^VLOOKUP(D657,'Species Codes'!B:L,11,0))*((I657*0.3048)^VLOOKUP(D657,'Species Codes'!B:M,12,0))))))*35.3*VLOOKUP(D657,'Species Codes'!B:G,6,0)/2.2046,VLOOKUP(D657,'Species Codes'!B:I,8,0)+VLOOKUP(D657,'Species Codes'!B:J,9,0)*(((E657*2.54)/100)^2)*(I657*0.3048)))))*0.0011023),0)</f>
        <v>#N/A</v>
      </c>
      <c r="AC657" s="104" t="e">
        <f>IF(Z657&gt;0,((IF(OR(D657="RA",D657="OA",D657="OT",D657="UN",D657="PC"),EXP(VLOOKUP(D657,'Species Codes'!B:O,14,0)+VLOOKUP(D657,'Species Codes'!B:P,15,0)*LN((E657*2.54)))-EXP(VLOOKUP(D657,'Species Codes'!B:O,14,0)+VLOOKUP(D657,'Species Codes'!B:P,15,0)*LN((E657*2.54)))*(1/(VLOOKUP(D657,'Species Codes'!B:Q,16,0)+VLOOKUP(D657,'Species Codes'!B:R,17,0)*((E657*2.54)^VLOOKUP(D657,'Species Codes'!B:S,18,0)))),IF(OR(D657="BM",D657="MD",D657="OA"),EXP(VLOOKUP(D657,'Species Codes'!B:O,14,0)+VLOOKUP(D657,'Species Codes'!B:P,15,0)*LN((E657*2.54)))*(1-(1/(VLOOKUP(D657,'Species Codes'!B:Q,16,0)+VLOOKUP(D657,'Species Codes'!B:R,17,0)*((E657*2.54)^VLOOKUP(D657,'Species Codes'!B:S,18,0)))))/1000,IF(D657="DF",EXP(VLOOKUP(D657,'Species Codes'!B:O,14,0)+VLOOKUP(D657,'Species Codes'!B:P,15,0)*LN((E657*2.54))),VLOOKUP(D657,'Species Codes'!B:O,14,0)+VLOOKUP(D657,'Species Codes'!B:P,15,0)*(((E657*2.54)/100)^2)*(I657*0.3048)))))*0.0011023),0)</f>
        <v>#N/A</v>
      </c>
      <c r="AD657" s="104" t="e">
        <f t="shared" si="301"/>
        <v>#N/A</v>
      </c>
      <c r="AE657" s="104" t="e">
        <f t="shared" si="302"/>
        <v>#N/A</v>
      </c>
      <c r="AF657" s="104" t="e">
        <f>IF(AND(VLOOKUP($D657,Merchantability!$B:$C,2,0)="Yes",$E657&gt;=VLOOKUP($D657,Merchantability!$B:$D,3,0),$E657&lt;=VLOOKUP($D657,Merchantability!$B:$E,4,0)),AA657,0)</f>
        <v>#N/A</v>
      </c>
      <c r="AG657" s="104" t="e">
        <f>IF(AND(VLOOKUP($D657,Merchantability!$B:$C,2,0)="Yes",$E657&gt;=VLOOKUP($D657,Merchantability!$B:$D,3,0),$E657&lt;=VLOOKUP($D657,Merchantability!$B:$E,4,0)),AB657,0)</f>
        <v>#N/A</v>
      </c>
      <c r="AH657" s="104" t="e">
        <f>IF(AND(VLOOKUP($D657,Merchantability!$B:$C,2,0)="Yes",$E657&gt;=VLOOKUP($D657,Merchantability!$B:$D,3,0),$E657&lt;=VLOOKUP($D657,Merchantability!$B:$E,4,0)),AC657,0)</f>
        <v>#N/A</v>
      </c>
      <c r="AI657" s="104" t="e">
        <f t="shared" si="303"/>
        <v>#N/A</v>
      </c>
      <c r="AJ657" s="104" t="e">
        <f t="shared" si="304"/>
        <v>#VALUE!</v>
      </c>
      <c r="AK657" s="104" t="e">
        <f t="shared" si="305"/>
        <v>#N/A</v>
      </c>
      <c r="AL657" s="104" t="e">
        <f t="shared" si="306"/>
        <v>#N/A</v>
      </c>
      <c r="AM657" s="104" t="e">
        <f t="shared" si="307"/>
        <v>#N/A</v>
      </c>
      <c r="AN657" s="104" t="e">
        <f t="shared" si="318"/>
        <v>#N/A</v>
      </c>
      <c r="AO657" s="104" t="e">
        <f t="shared" si="319"/>
        <v>#N/A</v>
      </c>
      <c r="AP657" s="104" t="e">
        <f t="shared" si="320"/>
        <v>#N/A</v>
      </c>
      <c r="AQ657" s="104" t="e">
        <f t="shared" si="321"/>
        <v>#N/A</v>
      </c>
      <c r="AR657" s="105" t="str">
        <f t="shared" si="313"/>
        <v/>
      </c>
      <c r="AS657" s="105" t="str">
        <f t="shared" si="314"/>
        <v/>
      </c>
      <c r="AT657" s="108" t="str">
        <f t="shared" si="315"/>
        <v/>
      </c>
      <c r="AU657" s="108" t="str">
        <f t="shared" si="316"/>
        <v/>
      </c>
      <c r="AV657" s="107" t="str">
        <f>IF(ISNUMBER(O657),IF(VLOOKUP($A657,Stand!C:J,8,FALSE)="Short",AT657,AU657),"")</f>
        <v/>
      </c>
      <c r="AW657" s="109" t="str">
        <f t="shared" si="322"/>
        <v/>
      </c>
      <c r="AX657" s="109" t="str">
        <f t="shared" si="323"/>
        <v/>
      </c>
      <c r="AY657" s="112" t="str">
        <f>IF(ISNUMBER(O657),IF(AND(VLOOKUP($D657,Merchantability!$B:$C,2,0)="Yes",$E657&gt;=VLOOKUP($D657,Merchantability!$B:$D,3,0),$E657&lt;=VLOOKUP($D657,Merchantability!$B:$E,4,0)),(AV657*O657)*(1-$H657/100),""),"")</f>
        <v/>
      </c>
      <c r="AZ657" s="116"/>
      <c r="BA657" s="116"/>
      <c r="BB657" s="116"/>
      <c r="BE657" s="62"/>
      <c r="BF657" s="63"/>
    </row>
    <row r="658" spans="1:58" ht="12.75" customHeight="1" x14ac:dyDescent="0.25">
      <c r="A658" s="313"/>
      <c r="B658" s="328"/>
      <c r="C658" s="329"/>
      <c r="D658" s="328"/>
      <c r="E658" s="330"/>
      <c r="F658" s="328"/>
      <c r="G658" s="329"/>
      <c r="H658" s="329"/>
      <c r="I658" s="328"/>
      <c r="J658" s="383"/>
      <c r="K658" s="329"/>
      <c r="L658" s="329"/>
      <c r="M658" s="78"/>
      <c r="N658" s="103" t="str">
        <f>IF(A658="","",VLOOKUP(A658,Stand!C:K,9,0))</f>
        <v/>
      </c>
      <c r="O658" s="104" t="str">
        <f t="shared" si="308"/>
        <v/>
      </c>
      <c r="P658" s="105" t="str">
        <f t="shared" si="309"/>
        <v/>
      </c>
      <c r="Q658" s="105" t="str">
        <f t="shared" si="297"/>
        <v/>
      </c>
      <c r="R658" s="103" t="str">
        <f t="shared" si="310"/>
        <v/>
      </c>
      <c r="S658" s="103" t="str">
        <f t="shared" si="311"/>
        <v/>
      </c>
      <c r="T658" s="106" t="str">
        <f t="shared" si="298"/>
        <v/>
      </c>
      <c r="U658" s="106" t="str">
        <f t="shared" si="299"/>
        <v/>
      </c>
      <c r="V658" s="106" t="str">
        <f t="shared" si="300"/>
        <v/>
      </c>
      <c r="W658" s="105" t="str">
        <f t="shared" si="312"/>
        <v/>
      </c>
      <c r="X658" s="104" t="str">
        <f t="shared" si="317"/>
        <v/>
      </c>
      <c r="Y658" s="104" t="str">
        <f t="array" ref="Y658">IFERROR(IF(ISNUMBER(O658),IF(COUNT(IF(A658=$A$2:$A$2427,IF(D658=$D$2:$D$2427,IF($X$2:$X$2427&gt;0,1))))&gt;0,SUM(IF(A658=$A$2:$A$2427,IF(D658=$D$2:$D$2427,$X$2:$X$2427)))/COUNT(IF(A658=$A$2:$A$2427,IF(D658=$D$2:$D$2427,IF(ISNUMBER($X$2:$X$2427),1)))),0),""),0)</f>
        <v/>
      </c>
      <c r="Z658" s="104" t="str">
        <f>IF(ISNUMBER(O658),IF(I658&gt;0,(10^(VLOOKUP(D658,'Species Codes'!B:C,2,0)+VLOOKUP(D658,'Species Codes'!B:D,3,0)*LOG(E658)+VLOOKUP(D658,'Species Codes'!B:E,4,0)*LOG(I658))),0),"")</f>
        <v/>
      </c>
      <c r="AA658" s="104" t="str">
        <f>IFERROR((VLOOKUP(D658,'Species Codes'!B:G,6,0)*Z658)/2000,"")</f>
        <v/>
      </c>
      <c r="AB658" s="104" t="e">
        <f>IF(Z658&gt;0,((IF(OR(D658="DF",D658="RA")=TRUE,EXP(VLOOKUP(D658,'Species Codes'!B:I,8,0)+VLOOKUP(D658,'Species Codes'!B:J,9,0)*(LN((E658*2.54)))),IF(OR(D658="PY",D658="RC",D658="WH",D658="NF")=TRUE,VLOOKUP(D658,'Species Codes'!B:I,8,0)+VLOOKUP(D658,'Species Codes'!B:J,9,0)*((E658*2.54)^2)*(I658*0.3048),IF(OR(D658="MD",D658="BM",D658="GA")=TRUE,((VLOOKUP(D658,'Species Codes'!B:I,8,0)*(((((E658*2.54)+VLOOKUP(D658,'Species Codes'!B:J,9,0))/VLOOKUP(D658,'Species Codes'!B:K,10,0))^VLOOKUP(D658,'Species Codes'!B:L,11,0))*((I658*0.3048)^VLOOKUP(D658,'Species Codes'!B:M,12,0))))-(VLOOKUP(D658,'Species Codes'!B:I,8,0)*((((E658*2.54)^VLOOKUP(D658,'Species Codes'!B:L,11,0))*((I658*0.3048)^VLOOKUP(D658,'Species Codes'!B:M,12,0))))))*35.3*VLOOKUP(D658,'Species Codes'!B:G,6,0)/2.2046,VLOOKUP(D658,'Species Codes'!B:I,8,0)+VLOOKUP(D658,'Species Codes'!B:J,9,0)*(((E658*2.54)/100)^2)*(I658*0.3048)))))*0.0011023),0)</f>
        <v>#N/A</v>
      </c>
      <c r="AC658" s="104" t="e">
        <f>IF(Z658&gt;0,((IF(OR(D658="RA",D658="OA",D658="OT",D658="UN",D658="PC"),EXP(VLOOKUP(D658,'Species Codes'!B:O,14,0)+VLOOKUP(D658,'Species Codes'!B:P,15,0)*LN((E658*2.54)))-EXP(VLOOKUP(D658,'Species Codes'!B:O,14,0)+VLOOKUP(D658,'Species Codes'!B:P,15,0)*LN((E658*2.54)))*(1/(VLOOKUP(D658,'Species Codes'!B:Q,16,0)+VLOOKUP(D658,'Species Codes'!B:R,17,0)*((E658*2.54)^VLOOKUP(D658,'Species Codes'!B:S,18,0)))),IF(OR(D658="BM",D658="MD",D658="OA"),EXP(VLOOKUP(D658,'Species Codes'!B:O,14,0)+VLOOKUP(D658,'Species Codes'!B:P,15,0)*LN((E658*2.54)))*(1-(1/(VLOOKUP(D658,'Species Codes'!B:Q,16,0)+VLOOKUP(D658,'Species Codes'!B:R,17,0)*((E658*2.54)^VLOOKUP(D658,'Species Codes'!B:S,18,0)))))/1000,IF(D658="DF",EXP(VLOOKUP(D658,'Species Codes'!B:O,14,0)+VLOOKUP(D658,'Species Codes'!B:P,15,0)*LN((E658*2.54))),VLOOKUP(D658,'Species Codes'!B:O,14,0)+VLOOKUP(D658,'Species Codes'!B:P,15,0)*(((E658*2.54)/100)^2)*(I658*0.3048)))))*0.0011023),0)</f>
        <v>#N/A</v>
      </c>
      <c r="AD658" s="104" t="e">
        <f t="shared" si="301"/>
        <v>#N/A</v>
      </c>
      <c r="AE658" s="104" t="e">
        <f t="shared" si="302"/>
        <v>#N/A</v>
      </c>
      <c r="AF658" s="104" t="e">
        <f>IF(AND(VLOOKUP($D658,Merchantability!$B:$C,2,0)="Yes",$E658&gt;=VLOOKUP($D658,Merchantability!$B:$D,3,0),$E658&lt;=VLOOKUP($D658,Merchantability!$B:$E,4,0)),AA658,0)</f>
        <v>#N/A</v>
      </c>
      <c r="AG658" s="104" t="e">
        <f>IF(AND(VLOOKUP($D658,Merchantability!$B:$C,2,0)="Yes",$E658&gt;=VLOOKUP($D658,Merchantability!$B:$D,3,0),$E658&lt;=VLOOKUP($D658,Merchantability!$B:$E,4,0)),AB658,0)</f>
        <v>#N/A</v>
      </c>
      <c r="AH658" s="104" t="e">
        <f>IF(AND(VLOOKUP($D658,Merchantability!$B:$C,2,0)="Yes",$E658&gt;=VLOOKUP($D658,Merchantability!$B:$D,3,0),$E658&lt;=VLOOKUP($D658,Merchantability!$B:$E,4,0)),AC658,0)</f>
        <v>#N/A</v>
      </c>
      <c r="AI658" s="104" t="e">
        <f t="shared" si="303"/>
        <v>#N/A</v>
      </c>
      <c r="AJ658" s="104" t="e">
        <f t="shared" si="304"/>
        <v>#VALUE!</v>
      </c>
      <c r="AK658" s="104" t="e">
        <f t="shared" si="305"/>
        <v>#N/A</v>
      </c>
      <c r="AL658" s="104" t="e">
        <f t="shared" si="306"/>
        <v>#N/A</v>
      </c>
      <c r="AM658" s="104" t="e">
        <f t="shared" si="307"/>
        <v>#N/A</v>
      </c>
      <c r="AN658" s="104" t="e">
        <f t="shared" si="318"/>
        <v>#N/A</v>
      </c>
      <c r="AO658" s="104" t="e">
        <f t="shared" si="319"/>
        <v>#N/A</v>
      </c>
      <c r="AP658" s="104" t="e">
        <f t="shared" si="320"/>
        <v>#N/A</v>
      </c>
      <c r="AQ658" s="104" t="e">
        <f t="shared" si="321"/>
        <v>#N/A</v>
      </c>
      <c r="AR658" s="105" t="str">
        <f t="shared" si="313"/>
        <v/>
      </c>
      <c r="AS658" s="105" t="str">
        <f t="shared" si="314"/>
        <v/>
      </c>
      <c r="AT658" s="108" t="str">
        <f t="shared" si="315"/>
        <v/>
      </c>
      <c r="AU658" s="108" t="str">
        <f t="shared" si="316"/>
        <v/>
      </c>
      <c r="AV658" s="107" t="str">
        <f>IF(ISNUMBER(O658),IF(VLOOKUP($A658,Stand!C:J,8,FALSE)="Short",AT658,AU658),"")</f>
        <v/>
      </c>
      <c r="AW658" s="109" t="str">
        <f t="shared" si="322"/>
        <v/>
      </c>
      <c r="AX658" s="109" t="str">
        <f t="shared" si="323"/>
        <v/>
      </c>
      <c r="AY658" s="112" t="str">
        <f>IF(ISNUMBER(O658),IF(AND(VLOOKUP($D658,Merchantability!$B:$C,2,0)="Yes",$E658&gt;=VLOOKUP($D658,Merchantability!$B:$D,3,0),$E658&lt;=VLOOKUP($D658,Merchantability!$B:$E,4,0)),(AV658*O658)*(1-$H658/100),""),"")</f>
        <v/>
      </c>
      <c r="AZ658" s="116"/>
      <c r="BA658" s="116"/>
      <c r="BB658" s="116"/>
      <c r="BE658" s="62"/>
      <c r="BF658" s="63"/>
    </row>
    <row r="659" spans="1:58" ht="12.75" customHeight="1" x14ac:dyDescent="0.25">
      <c r="A659" s="313"/>
      <c r="B659" s="328"/>
      <c r="C659" s="329"/>
      <c r="D659" s="328"/>
      <c r="E659" s="330"/>
      <c r="F659" s="328"/>
      <c r="G659" s="329"/>
      <c r="H659" s="329"/>
      <c r="I659" s="328"/>
      <c r="J659" s="383"/>
      <c r="K659" s="329"/>
      <c r="L659" s="329"/>
      <c r="M659" s="78"/>
      <c r="N659" s="103" t="str">
        <f>IF(A659="","",VLOOKUP(A659,Stand!C:K,9,0))</f>
        <v/>
      </c>
      <c r="O659" s="104" t="str">
        <f t="shared" si="308"/>
        <v/>
      </c>
      <c r="P659" s="105" t="str">
        <f t="shared" si="309"/>
        <v/>
      </c>
      <c r="Q659" s="105" t="str">
        <f t="shared" si="297"/>
        <v/>
      </c>
      <c r="R659" s="103" t="str">
        <f t="shared" si="310"/>
        <v/>
      </c>
      <c r="S659" s="103" t="str">
        <f t="shared" si="311"/>
        <v/>
      </c>
      <c r="T659" s="106" t="str">
        <f t="shared" si="298"/>
        <v/>
      </c>
      <c r="U659" s="106" t="str">
        <f t="shared" si="299"/>
        <v/>
      </c>
      <c r="V659" s="106" t="str">
        <f t="shared" si="300"/>
        <v/>
      </c>
      <c r="W659" s="105" t="str">
        <f t="shared" si="312"/>
        <v/>
      </c>
      <c r="X659" s="104" t="str">
        <f t="shared" si="317"/>
        <v/>
      </c>
      <c r="Y659" s="104" t="str">
        <f t="array" ref="Y659">IFERROR(IF(ISNUMBER(O659),IF(COUNT(IF(A659=$A$2:$A$2427,IF(D659=$D$2:$D$2427,IF($X$2:$X$2427&gt;0,1))))&gt;0,SUM(IF(A659=$A$2:$A$2427,IF(D659=$D$2:$D$2427,$X$2:$X$2427)))/COUNT(IF(A659=$A$2:$A$2427,IF(D659=$D$2:$D$2427,IF(ISNUMBER($X$2:$X$2427),1)))),0),""),0)</f>
        <v/>
      </c>
      <c r="Z659" s="104" t="str">
        <f>IF(ISNUMBER(O659),IF(I659&gt;0,(10^(VLOOKUP(D659,'Species Codes'!B:C,2,0)+VLOOKUP(D659,'Species Codes'!B:D,3,0)*LOG(E659)+VLOOKUP(D659,'Species Codes'!B:E,4,0)*LOG(I659))),0),"")</f>
        <v/>
      </c>
      <c r="AA659" s="104" t="str">
        <f>IFERROR((VLOOKUP(D659,'Species Codes'!B:G,6,0)*Z659)/2000,"")</f>
        <v/>
      </c>
      <c r="AB659" s="104" t="e">
        <f>IF(Z659&gt;0,((IF(OR(D659="DF",D659="RA")=TRUE,EXP(VLOOKUP(D659,'Species Codes'!B:I,8,0)+VLOOKUP(D659,'Species Codes'!B:J,9,0)*(LN((E659*2.54)))),IF(OR(D659="PY",D659="RC",D659="WH",D659="NF")=TRUE,VLOOKUP(D659,'Species Codes'!B:I,8,0)+VLOOKUP(D659,'Species Codes'!B:J,9,0)*((E659*2.54)^2)*(I659*0.3048),IF(OR(D659="MD",D659="BM",D659="GA")=TRUE,((VLOOKUP(D659,'Species Codes'!B:I,8,0)*(((((E659*2.54)+VLOOKUP(D659,'Species Codes'!B:J,9,0))/VLOOKUP(D659,'Species Codes'!B:K,10,0))^VLOOKUP(D659,'Species Codes'!B:L,11,0))*((I659*0.3048)^VLOOKUP(D659,'Species Codes'!B:M,12,0))))-(VLOOKUP(D659,'Species Codes'!B:I,8,0)*((((E659*2.54)^VLOOKUP(D659,'Species Codes'!B:L,11,0))*((I659*0.3048)^VLOOKUP(D659,'Species Codes'!B:M,12,0))))))*35.3*VLOOKUP(D659,'Species Codes'!B:G,6,0)/2.2046,VLOOKUP(D659,'Species Codes'!B:I,8,0)+VLOOKUP(D659,'Species Codes'!B:J,9,0)*(((E659*2.54)/100)^2)*(I659*0.3048)))))*0.0011023),0)</f>
        <v>#N/A</v>
      </c>
      <c r="AC659" s="104" t="e">
        <f>IF(Z659&gt;0,((IF(OR(D659="RA",D659="OA",D659="OT",D659="UN",D659="PC"),EXP(VLOOKUP(D659,'Species Codes'!B:O,14,0)+VLOOKUP(D659,'Species Codes'!B:P,15,0)*LN((E659*2.54)))-EXP(VLOOKUP(D659,'Species Codes'!B:O,14,0)+VLOOKUP(D659,'Species Codes'!B:P,15,0)*LN((E659*2.54)))*(1/(VLOOKUP(D659,'Species Codes'!B:Q,16,0)+VLOOKUP(D659,'Species Codes'!B:R,17,0)*((E659*2.54)^VLOOKUP(D659,'Species Codes'!B:S,18,0)))),IF(OR(D659="BM",D659="MD",D659="OA"),EXP(VLOOKUP(D659,'Species Codes'!B:O,14,0)+VLOOKUP(D659,'Species Codes'!B:P,15,0)*LN((E659*2.54)))*(1-(1/(VLOOKUP(D659,'Species Codes'!B:Q,16,0)+VLOOKUP(D659,'Species Codes'!B:R,17,0)*((E659*2.54)^VLOOKUP(D659,'Species Codes'!B:S,18,0)))))/1000,IF(D659="DF",EXP(VLOOKUP(D659,'Species Codes'!B:O,14,0)+VLOOKUP(D659,'Species Codes'!B:P,15,0)*LN((E659*2.54))),VLOOKUP(D659,'Species Codes'!B:O,14,0)+VLOOKUP(D659,'Species Codes'!B:P,15,0)*(((E659*2.54)/100)^2)*(I659*0.3048)))))*0.0011023),0)</f>
        <v>#N/A</v>
      </c>
      <c r="AD659" s="104" t="e">
        <f t="shared" si="301"/>
        <v>#N/A</v>
      </c>
      <c r="AE659" s="104" t="e">
        <f t="shared" si="302"/>
        <v>#N/A</v>
      </c>
      <c r="AF659" s="104" t="e">
        <f>IF(AND(VLOOKUP($D659,Merchantability!$B:$C,2,0)="Yes",$E659&gt;=VLOOKUP($D659,Merchantability!$B:$D,3,0),$E659&lt;=VLOOKUP($D659,Merchantability!$B:$E,4,0)),AA659,0)</f>
        <v>#N/A</v>
      </c>
      <c r="AG659" s="104" t="e">
        <f>IF(AND(VLOOKUP($D659,Merchantability!$B:$C,2,0)="Yes",$E659&gt;=VLOOKUP($D659,Merchantability!$B:$D,3,0),$E659&lt;=VLOOKUP($D659,Merchantability!$B:$E,4,0)),AB659,0)</f>
        <v>#N/A</v>
      </c>
      <c r="AH659" s="104" t="e">
        <f>IF(AND(VLOOKUP($D659,Merchantability!$B:$C,2,0)="Yes",$E659&gt;=VLOOKUP($D659,Merchantability!$B:$D,3,0),$E659&lt;=VLOOKUP($D659,Merchantability!$B:$E,4,0)),AC659,0)</f>
        <v>#N/A</v>
      </c>
      <c r="AI659" s="104" t="e">
        <f t="shared" si="303"/>
        <v>#N/A</v>
      </c>
      <c r="AJ659" s="104" t="e">
        <f t="shared" si="304"/>
        <v>#VALUE!</v>
      </c>
      <c r="AK659" s="104" t="e">
        <f t="shared" si="305"/>
        <v>#N/A</v>
      </c>
      <c r="AL659" s="104" t="e">
        <f t="shared" si="306"/>
        <v>#N/A</v>
      </c>
      <c r="AM659" s="104" t="e">
        <f t="shared" si="307"/>
        <v>#N/A</v>
      </c>
      <c r="AN659" s="104" t="e">
        <f t="shared" si="318"/>
        <v>#N/A</v>
      </c>
      <c r="AO659" s="104" t="e">
        <f t="shared" si="319"/>
        <v>#N/A</v>
      </c>
      <c r="AP659" s="104" t="e">
        <f t="shared" si="320"/>
        <v>#N/A</v>
      </c>
      <c r="AQ659" s="104" t="e">
        <f t="shared" si="321"/>
        <v>#N/A</v>
      </c>
      <c r="AR659" s="105" t="str">
        <f t="shared" si="313"/>
        <v/>
      </c>
      <c r="AS659" s="105" t="str">
        <f t="shared" si="314"/>
        <v/>
      </c>
      <c r="AT659" s="108" t="str">
        <f t="shared" si="315"/>
        <v/>
      </c>
      <c r="AU659" s="108" t="str">
        <f t="shared" si="316"/>
        <v/>
      </c>
      <c r="AV659" s="107" t="str">
        <f>IF(ISNUMBER(O659),IF(VLOOKUP($A659,Stand!C:J,8,FALSE)="Short",AT659,AU659),"")</f>
        <v/>
      </c>
      <c r="AW659" s="109" t="str">
        <f t="shared" si="322"/>
        <v/>
      </c>
      <c r="AX659" s="109" t="str">
        <f t="shared" si="323"/>
        <v/>
      </c>
      <c r="AY659" s="112" t="str">
        <f>IF(ISNUMBER(O659),IF(AND(VLOOKUP($D659,Merchantability!$B:$C,2,0)="Yes",$E659&gt;=VLOOKUP($D659,Merchantability!$B:$D,3,0),$E659&lt;=VLOOKUP($D659,Merchantability!$B:$E,4,0)),(AV659*O659)*(1-$H659/100),""),"")</f>
        <v/>
      </c>
      <c r="AZ659" s="116"/>
      <c r="BA659" s="116"/>
      <c r="BB659" s="116"/>
      <c r="BE659" s="62"/>
      <c r="BF659" s="63"/>
    </row>
    <row r="660" spans="1:58" ht="12.75" customHeight="1" x14ac:dyDescent="0.25">
      <c r="A660" s="313"/>
      <c r="B660" s="328"/>
      <c r="C660" s="329"/>
      <c r="D660" s="328"/>
      <c r="E660" s="330"/>
      <c r="F660" s="328"/>
      <c r="G660" s="329"/>
      <c r="H660" s="329"/>
      <c r="I660" s="328"/>
      <c r="J660" s="383"/>
      <c r="K660" s="329"/>
      <c r="L660" s="329"/>
      <c r="M660" s="78"/>
      <c r="N660" s="103" t="str">
        <f>IF(A660="","",VLOOKUP(A660,Stand!C:K,9,0))</f>
        <v/>
      </c>
      <c r="O660" s="104" t="str">
        <f t="shared" si="308"/>
        <v/>
      </c>
      <c r="P660" s="105" t="str">
        <f t="shared" si="309"/>
        <v/>
      </c>
      <c r="Q660" s="105" t="str">
        <f t="shared" si="297"/>
        <v/>
      </c>
      <c r="R660" s="103" t="str">
        <f t="shared" si="310"/>
        <v/>
      </c>
      <c r="S660" s="103" t="str">
        <f t="shared" si="311"/>
        <v/>
      </c>
      <c r="T660" s="106" t="str">
        <f t="shared" si="298"/>
        <v/>
      </c>
      <c r="U660" s="106" t="str">
        <f t="shared" si="299"/>
        <v/>
      </c>
      <c r="V660" s="106" t="str">
        <f t="shared" si="300"/>
        <v/>
      </c>
      <c r="W660" s="105" t="str">
        <f t="shared" si="312"/>
        <v/>
      </c>
      <c r="X660" s="104" t="str">
        <f t="shared" si="317"/>
        <v/>
      </c>
      <c r="Y660" s="104" t="str">
        <f t="array" ref="Y660">IFERROR(IF(ISNUMBER(O660),IF(COUNT(IF(A660=$A$2:$A$2427,IF(D660=$D$2:$D$2427,IF($X$2:$X$2427&gt;0,1))))&gt;0,SUM(IF(A660=$A$2:$A$2427,IF(D660=$D$2:$D$2427,$X$2:$X$2427)))/COUNT(IF(A660=$A$2:$A$2427,IF(D660=$D$2:$D$2427,IF(ISNUMBER($X$2:$X$2427),1)))),0),""),0)</f>
        <v/>
      </c>
      <c r="Z660" s="104" t="str">
        <f>IF(ISNUMBER(O660),IF(I660&gt;0,(10^(VLOOKUP(D660,'Species Codes'!B:C,2,0)+VLOOKUP(D660,'Species Codes'!B:D,3,0)*LOG(E660)+VLOOKUP(D660,'Species Codes'!B:E,4,0)*LOG(I660))),0),"")</f>
        <v/>
      </c>
      <c r="AA660" s="104" t="str">
        <f>IFERROR((VLOOKUP(D660,'Species Codes'!B:G,6,0)*Z660)/2000,"")</f>
        <v/>
      </c>
      <c r="AB660" s="104" t="e">
        <f>IF(Z660&gt;0,((IF(OR(D660="DF",D660="RA")=TRUE,EXP(VLOOKUP(D660,'Species Codes'!B:I,8,0)+VLOOKUP(D660,'Species Codes'!B:J,9,0)*(LN((E660*2.54)))),IF(OR(D660="PY",D660="RC",D660="WH",D660="NF")=TRUE,VLOOKUP(D660,'Species Codes'!B:I,8,0)+VLOOKUP(D660,'Species Codes'!B:J,9,0)*((E660*2.54)^2)*(I660*0.3048),IF(OR(D660="MD",D660="BM",D660="GA")=TRUE,((VLOOKUP(D660,'Species Codes'!B:I,8,0)*(((((E660*2.54)+VLOOKUP(D660,'Species Codes'!B:J,9,0))/VLOOKUP(D660,'Species Codes'!B:K,10,0))^VLOOKUP(D660,'Species Codes'!B:L,11,0))*((I660*0.3048)^VLOOKUP(D660,'Species Codes'!B:M,12,0))))-(VLOOKUP(D660,'Species Codes'!B:I,8,0)*((((E660*2.54)^VLOOKUP(D660,'Species Codes'!B:L,11,0))*((I660*0.3048)^VLOOKUP(D660,'Species Codes'!B:M,12,0))))))*35.3*VLOOKUP(D660,'Species Codes'!B:G,6,0)/2.2046,VLOOKUP(D660,'Species Codes'!B:I,8,0)+VLOOKUP(D660,'Species Codes'!B:J,9,0)*(((E660*2.54)/100)^2)*(I660*0.3048)))))*0.0011023),0)</f>
        <v>#N/A</v>
      </c>
      <c r="AC660" s="104" t="e">
        <f>IF(Z660&gt;0,((IF(OR(D660="RA",D660="OA",D660="OT",D660="UN",D660="PC"),EXP(VLOOKUP(D660,'Species Codes'!B:O,14,0)+VLOOKUP(D660,'Species Codes'!B:P,15,0)*LN((E660*2.54)))-EXP(VLOOKUP(D660,'Species Codes'!B:O,14,0)+VLOOKUP(D660,'Species Codes'!B:P,15,0)*LN((E660*2.54)))*(1/(VLOOKUP(D660,'Species Codes'!B:Q,16,0)+VLOOKUP(D660,'Species Codes'!B:R,17,0)*((E660*2.54)^VLOOKUP(D660,'Species Codes'!B:S,18,0)))),IF(OR(D660="BM",D660="MD",D660="OA"),EXP(VLOOKUP(D660,'Species Codes'!B:O,14,0)+VLOOKUP(D660,'Species Codes'!B:P,15,0)*LN((E660*2.54)))*(1-(1/(VLOOKUP(D660,'Species Codes'!B:Q,16,0)+VLOOKUP(D660,'Species Codes'!B:R,17,0)*((E660*2.54)^VLOOKUP(D660,'Species Codes'!B:S,18,0)))))/1000,IF(D660="DF",EXP(VLOOKUP(D660,'Species Codes'!B:O,14,0)+VLOOKUP(D660,'Species Codes'!B:P,15,0)*LN((E660*2.54))),VLOOKUP(D660,'Species Codes'!B:O,14,0)+VLOOKUP(D660,'Species Codes'!B:P,15,0)*(((E660*2.54)/100)^2)*(I660*0.3048)))))*0.0011023),0)</f>
        <v>#N/A</v>
      </c>
      <c r="AD660" s="104" t="e">
        <f t="shared" si="301"/>
        <v>#N/A</v>
      </c>
      <c r="AE660" s="104" t="e">
        <f t="shared" si="302"/>
        <v>#N/A</v>
      </c>
      <c r="AF660" s="104" t="e">
        <f>IF(AND(VLOOKUP($D660,Merchantability!$B:$C,2,0)="Yes",$E660&gt;=VLOOKUP($D660,Merchantability!$B:$D,3,0),$E660&lt;=VLOOKUP($D660,Merchantability!$B:$E,4,0)),AA660,0)</f>
        <v>#N/A</v>
      </c>
      <c r="AG660" s="104" t="e">
        <f>IF(AND(VLOOKUP($D660,Merchantability!$B:$C,2,0)="Yes",$E660&gt;=VLOOKUP($D660,Merchantability!$B:$D,3,0),$E660&lt;=VLOOKUP($D660,Merchantability!$B:$E,4,0)),AB660,0)</f>
        <v>#N/A</v>
      </c>
      <c r="AH660" s="104" t="e">
        <f>IF(AND(VLOOKUP($D660,Merchantability!$B:$C,2,0)="Yes",$E660&gt;=VLOOKUP($D660,Merchantability!$B:$D,3,0),$E660&lt;=VLOOKUP($D660,Merchantability!$B:$E,4,0)),AC660,0)</f>
        <v>#N/A</v>
      </c>
      <c r="AI660" s="104" t="e">
        <f t="shared" si="303"/>
        <v>#N/A</v>
      </c>
      <c r="AJ660" s="104" t="e">
        <f t="shared" si="304"/>
        <v>#VALUE!</v>
      </c>
      <c r="AK660" s="104" t="e">
        <f t="shared" si="305"/>
        <v>#N/A</v>
      </c>
      <c r="AL660" s="104" t="e">
        <f t="shared" si="306"/>
        <v>#N/A</v>
      </c>
      <c r="AM660" s="104" t="e">
        <f t="shared" si="307"/>
        <v>#N/A</v>
      </c>
      <c r="AN660" s="104" t="e">
        <f t="shared" si="318"/>
        <v>#N/A</v>
      </c>
      <c r="AO660" s="104" t="e">
        <f t="shared" si="319"/>
        <v>#N/A</v>
      </c>
      <c r="AP660" s="104" t="e">
        <f t="shared" si="320"/>
        <v>#N/A</v>
      </c>
      <c r="AQ660" s="104" t="e">
        <f t="shared" si="321"/>
        <v>#N/A</v>
      </c>
      <c r="AR660" s="105" t="str">
        <f t="shared" si="313"/>
        <v/>
      </c>
      <c r="AS660" s="105" t="str">
        <f t="shared" si="314"/>
        <v/>
      </c>
      <c r="AT660" s="108" t="str">
        <f t="shared" si="315"/>
        <v/>
      </c>
      <c r="AU660" s="108" t="str">
        <f t="shared" si="316"/>
        <v/>
      </c>
      <c r="AV660" s="107" t="str">
        <f>IF(ISNUMBER(O660),IF(VLOOKUP($A660,Stand!C:J,8,FALSE)="Short",AT660,AU660),"")</f>
        <v/>
      </c>
      <c r="AW660" s="109" t="str">
        <f t="shared" si="322"/>
        <v/>
      </c>
      <c r="AX660" s="109" t="str">
        <f t="shared" si="323"/>
        <v/>
      </c>
      <c r="AY660" s="112" t="str">
        <f>IF(ISNUMBER(O660),IF(AND(VLOOKUP($D660,Merchantability!$B:$C,2,0)="Yes",$E660&gt;=VLOOKUP($D660,Merchantability!$B:$D,3,0),$E660&lt;=VLOOKUP($D660,Merchantability!$B:$E,4,0)),(AV660*O660)*(1-$H660/100),""),"")</f>
        <v/>
      </c>
      <c r="AZ660" s="116"/>
      <c r="BA660" s="116"/>
      <c r="BB660" s="116"/>
      <c r="BE660" s="62"/>
      <c r="BF660" s="63"/>
    </row>
    <row r="661" spans="1:58" ht="12.75" customHeight="1" x14ac:dyDescent="0.25">
      <c r="A661" s="313"/>
      <c r="B661" s="328"/>
      <c r="C661" s="329"/>
      <c r="D661" s="328"/>
      <c r="E661" s="330"/>
      <c r="F661" s="328"/>
      <c r="G661" s="329"/>
      <c r="H661" s="329"/>
      <c r="I661" s="328"/>
      <c r="J661" s="383"/>
      <c r="K661" s="329"/>
      <c r="L661" s="329"/>
      <c r="M661" s="76"/>
      <c r="N661" s="103" t="str">
        <f>IF(A661="","",VLOOKUP(A661,Stand!C:K,9,0))</f>
        <v/>
      </c>
      <c r="O661" s="104" t="str">
        <f t="shared" si="308"/>
        <v/>
      </c>
      <c r="P661" s="105" t="str">
        <f t="shared" si="309"/>
        <v/>
      </c>
      <c r="Q661" s="105" t="str">
        <f t="shared" si="297"/>
        <v/>
      </c>
      <c r="R661" s="103" t="str">
        <f t="shared" si="310"/>
        <v/>
      </c>
      <c r="S661" s="103" t="str">
        <f t="shared" si="311"/>
        <v/>
      </c>
      <c r="T661" s="106" t="str">
        <f t="shared" si="298"/>
        <v/>
      </c>
      <c r="U661" s="106" t="str">
        <f t="shared" si="299"/>
        <v/>
      </c>
      <c r="V661" s="106" t="str">
        <f t="shared" si="300"/>
        <v/>
      </c>
      <c r="W661" s="105" t="str">
        <f t="shared" si="312"/>
        <v/>
      </c>
      <c r="X661" s="104" t="str">
        <f t="shared" si="317"/>
        <v/>
      </c>
      <c r="Y661" s="104" t="str">
        <f t="array" ref="Y661">IFERROR(IF(ISNUMBER(O661),IF(COUNT(IF(A661=$A$2:$A$2427,IF(D661=$D$2:$D$2427,IF($X$2:$X$2427&gt;0,1))))&gt;0,SUM(IF(A661=$A$2:$A$2427,IF(D661=$D$2:$D$2427,$X$2:$X$2427)))/COUNT(IF(A661=$A$2:$A$2427,IF(D661=$D$2:$D$2427,IF(ISNUMBER($X$2:$X$2427),1)))),0),""),0)</f>
        <v/>
      </c>
      <c r="Z661" s="104" t="str">
        <f>IF(ISNUMBER(O661),IF(I661&gt;0,(10^(VLOOKUP(D661,'Species Codes'!B:C,2,0)+VLOOKUP(D661,'Species Codes'!B:D,3,0)*LOG(E661)+VLOOKUP(D661,'Species Codes'!B:E,4,0)*LOG(I661))),0),"")</f>
        <v/>
      </c>
      <c r="AA661" s="104" t="str">
        <f>IFERROR((VLOOKUP(D661,'Species Codes'!B:G,6,0)*Z661)/2000,"")</f>
        <v/>
      </c>
      <c r="AB661" s="104" t="e">
        <f>IF(Z661&gt;0,((IF(OR(D661="DF",D661="RA")=TRUE,EXP(VLOOKUP(D661,'Species Codes'!B:I,8,0)+VLOOKUP(D661,'Species Codes'!B:J,9,0)*(LN((E661*2.54)))),IF(OR(D661="PY",D661="RC",D661="WH",D661="NF")=TRUE,VLOOKUP(D661,'Species Codes'!B:I,8,0)+VLOOKUP(D661,'Species Codes'!B:J,9,0)*((E661*2.54)^2)*(I661*0.3048),IF(OR(D661="MD",D661="BM",D661="GA")=TRUE,((VLOOKUP(D661,'Species Codes'!B:I,8,0)*(((((E661*2.54)+VLOOKUP(D661,'Species Codes'!B:J,9,0))/VLOOKUP(D661,'Species Codes'!B:K,10,0))^VLOOKUP(D661,'Species Codes'!B:L,11,0))*((I661*0.3048)^VLOOKUP(D661,'Species Codes'!B:M,12,0))))-(VLOOKUP(D661,'Species Codes'!B:I,8,0)*((((E661*2.54)^VLOOKUP(D661,'Species Codes'!B:L,11,0))*((I661*0.3048)^VLOOKUP(D661,'Species Codes'!B:M,12,0))))))*35.3*VLOOKUP(D661,'Species Codes'!B:G,6,0)/2.2046,VLOOKUP(D661,'Species Codes'!B:I,8,0)+VLOOKUP(D661,'Species Codes'!B:J,9,0)*(((E661*2.54)/100)^2)*(I661*0.3048)))))*0.0011023),0)</f>
        <v>#N/A</v>
      </c>
      <c r="AC661" s="104" t="e">
        <f>IF(Z661&gt;0,((IF(OR(D661="RA",D661="OA",D661="OT",D661="UN",D661="PC"),EXP(VLOOKUP(D661,'Species Codes'!B:O,14,0)+VLOOKUP(D661,'Species Codes'!B:P,15,0)*LN((E661*2.54)))-EXP(VLOOKUP(D661,'Species Codes'!B:O,14,0)+VLOOKUP(D661,'Species Codes'!B:P,15,0)*LN((E661*2.54)))*(1/(VLOOKUP(D661,'Species Codes'!B:Q,16,0)+VLOOKUP(D661,'Species Codes'!B:R,17,0)*((E661*2.54)^VLOOKUP(D661,'Species Codes'!B:S,18,0)))),IF(OR(D661="BM",D661="MD",D661="OA"),EXP(VLOOKUP(D661,'Species Codes'!B:O,14,0)+VLOOKUP(D661,'Species Codes'!B:P,15,0)*LN((E661*2.54)))*(1-(1/(VLOOKUP(D661,'Species Codes'!B:Q,16,0)+VLOOKUP(D661,'Species Codes'!B:R,17,0)*((E661*2.54)^VLOOKUP(D661,'Species Codes'!B:S,18,0)))))/1000,IF(D661="DF",EXP(VLOOKUP(D661,'Species Codes'!B:O,14,0)+VLOOKUP(D661,'Species Codes'!B:P,15,0)*LN((E661*2.54))),VLOOKUP(D661,'Species Codes'!B:O,14,0)+VLOOKUP(D661,'Species Codes'!B:P,15,0)*(((E661*2.54)/100)^2)*(I661*0.3048)))))*0.0011023),0)</f>
        <v>#N/A</v>
      </c>
      <c r="AD661" s="104" t="e">
        <f t="shared" si="301"/>
        <v>#N/A</v>
      </c>
      <c r="AE661" s="104" t="e">
        <f t="shared" si="302"/>
        <v>#N/A</v>
      </c>
      <c r="AF661" s="104" t="e">
        <f>IF(AND(VLOOKUP($D661,Merchantability!$B:$C,2,0)="Yes",$E661&gt;=VLOOKUP($D661,Merchantability!$B:$D,3,0),$E661&lt;=VLOOKUP($D661,Merchantability!$B:$E,4,0)),AA661,0)</f>
        <v>#N/A</v>
      </c>
      <c r="AG661" s="104" t="e">
        <f>IF(AND(VLOOKUP($D661,Merchantability!$B:$C,2,0)="Yes",$E661&gt;=VLOOKUP($D661,Merchantability!$B:$D,3,0),$E661&lt;=VLOOKUP($D661,Merchantability!$B:$E,4,0)),AB661,0)</f>
        <v>#N/A</v>
      </c>
      <c r="AH661" s="104" t="e">
        <f>IF(AND(VLOOKUP($D661,Merchantability!$B:$C,2,0)="Yes",$E661&gt;=VLOOKUP($D661,Merchantability!$B:$D,3,0),$E661&lt;=VLOOKUP($D661,Merchantability!$B:$E,4,0)),AC661,0)</f>
        <v>#N/A</v>
      </c>
      <c r="AI661" s="104" t="e">
        <f t="shared" si="303"/>
        <v>#N/A</v>
      </c>
      <c r="AJ661" s="104" t="e">
        <f t="shared" si="304"/>
        <v>#VALUE!</v>
      </c>
      <c r="AK661" s="104" t="e">
        <f t="shared" si="305"/>
        <v>#N/A</v>
      </c>
      <c r="AL661" s="104" t="e">
        <f t="shared" si="306"/>
        <v>#N/A</v>
      </c>
      <c r="AM661" s="104" t="e">
        <f t="shared" si="307"/>
        <v>#N/A</v>
      </c>
      <c r="AN661" s="104" t="e">
        <f t="shared" si="318"/>
        <v>#N/A</v>
      </c>
      <c r="AO661" s="104" t="e">
        <f t="shared" si="319"/>
        <v>#N/A</v>
      </c>
      <c r="AP661" s="104" t="e">
        <f t="shared" si="320"/>
        <v>#N/A</v>
      </c>
      <c r="AQ661" s="104" t="e">
        <f t="shared" si="321"/>
        <v>#N/A</v>
      </c>
      <c r="AR661" s="105" t="str">
        <f t="shared" si="313"/>
        <v/>
      </c>
      <c r="AS661" s="105" t="str">
        <f t="shared" si="314"/>
        <v/>
      </c>
      <c r="AT661" s="108" t="str">
        <f t="shared" si="315"/>
        <v/>
      </c>
      <c r="AU661" s="108" t="str">
        <f t="shared" si="316"/>
        <v/>
      </c>
      <c r="AV661" s="107" t="str">
        <f>IF(ISNUMBER(O661),IF(VLOOKUP($A661,Stand!C:J,8,FALSE)="Short",AT661,AU661),"")</f>
        <v/>
      </c>
      <c r="AW661" s="109" t="str">
        <f t="shared" si="322"/>
        <v/>
      </c>
      <c r="AX661" s="109" t="str">
        <f t="shared" si="323"/>
        <v/>
      </c>
      <c r="AY661" s="112" t="str">
        <f>IF(ISNUMBER(O661),IF(AND(VLOOKUP($D661,Merchantability!$B:$C,2,0)="Yes",$E661&gt;=VLOOKUP($D661,Merchantability!$B:$D,3,0),$E661&lt;=VLOOKUP($D661,Merchantability!$B:$E,4,0)),(AV661*O661)*(1-$H661/100),""),"")</f>
        <v/>
      </c>
      <c r="AZ661" s="116"/>
      <c r="BA661" s="116"/>
      <c r="BB661" s="116"/>
      <c r="BE661" s="62"/>
      <c r="BF661" s="63"/>
    </row>
    <row r="662" spans="1:58" ht="12.75" customHeight="1" x14ac:dyDescent="0.25">
      <c r="A662" s="313"/>
      <c r="B662" s="328"/>
      <c r="C662" s="329"/>
      <c r="D662" s="328"/>
      <c r="E662" s="330"/>
      <c r="F662" s="328"/>
      <c r="G662" s="329"/>
      <c r="H662" s="329"/>
      <c r="I662" s="328"/>
      <c r="J662" s="383"/>
      <c r="K662" s="329"/>
      <c r="L662" s="329"/>
      <c r="M662" s="76"/>
      <c r="N662" s="103" t="str">
        <f>IF(A662="","",VLOOKUP(A662,Stand!C:K,9,0))</f>
        <v/>
      </c>
      <c r="O662" s="104" t="str">
        <f t="shared" si="308"/>
        <v/>
      </c>
      <c r="P662" s="105" t="str">
        <f t="shared" si="309"/>
        <v/>
      </c>
      <c r="Q662" s="105" t="str">
        <f t="shared" si="297"/>
        <v/>
      </c>
      <c r="R662" s="103" t="str">
        <f t="shared" si="310"/>
        <v/>
      </c>
      <c r="S662" s="103" t="str">
        <f t="shared" si="311"/>
        <v/>
      </c>
      <c r="T662" s="106" t="str">
        <f t="shared" si="298"/>
        <v/>
      </c>
      <c r="U662" s="106" t="str">
        <f t="shared" si="299"/>
        <v/>
      </c>
      <c r="V662" s="106" t="str">
        <f t="shared" si="300"/>
        <v/>
      </c>
      <c r="W662" s="105" t="str">
        <f t="shared" si="312"/>
        <v/>
      </c>
      <c r="X662" s="104" t="str">
        <f t="shared" si="317"/>
        <v/>
      </c>
      <c r="Y662" s="104" t="str">
        <f t="array" ref="Y662">IFERROR(IF(ISNUMBER(O662),IF(COUNT(IF(A662=$A$2:$A$2427,IF(D662=$D$2:$D$2427,IF($X$2:$X$2427&gt;0,1))))&gt;0,SUM(IF(A662=$A$2:$A$2427,IF(D662=$D$2:$D$2427,$X$2:$X$2427)))/COUNT(IF(A662=$A$2:$A$2427,IF(D662=$D$2:$D$2427,IF(ISNUMBER($X$2:$X$2427),1)))),0),""),0)</f>
        <v/>
      </c>
      <c r="Z662" s="104" t="str">
        <f>IF(ISNUMBER(O662),IF(I662&gt;0,(10^(VLOOKUP(D662,'Species Codes'!B:C,2,0)+VLOOKUP(D662,'Species Codes'!B:D,3,0)*LOG(E662)+VLOOKUP(D662,'Species Codes'!B:E,4,0)*LOG(I662))),0),"")</f>
        <v/>
      </c>
      <c r="AA662" s="104" t="str">
        <f>IFERROR((VLOOKUP(D662,'Species Codes'!B:G,6,0)*Z662)/2000,"")</f>
        <v/>
      </c>
      <c r="AB662" s="104" t="e">
        <f>IF(Z662&gt;0,((IF(OR(D662="DF",D662="RA")=TRUE,EXP(VLOOKUP(D662,'Species Codes'!B:I,8,0)+VLOOKUP(D662,'Species Codes'!B:J,9,0)*(LN((E662*2.54)))),IF(OR(D662="PY",D662="RC",D662="WH",D662="NF")=TRUE,VLOOKUP(D662,'Species Codes'!B:I,8,0)+VLOOKUP(D662,'Species Codes'!B:J,9,0)*((E662*2.54)^2)*(I662*0.3048),IF(OR(D662="MD",D662="BM",D662="GA")=TRUE,((VLOOKUP(D662,'Species Codes'!B:I,8,0)*(((((E662*2.54)+VLOOKUP(D662,'Species Codes'!B:J,9,0))/VLOOKUP(D662,'Species Codes'!B:K,10,0))^VLOOKUP(D662,'Species Codes'!B:L,11,0))*((I662*0.3048)^VLOOKUP(D662,'Species Codes'!B:M,12,0))))-(VLOOKUP(D662,'Species Codes'!B:I,8,0)*((((E662*2.54)^VLOOKUP(D662,'Species Codes'!B:L,11,0))*((I662*0.3048)^VLOOKUP(D662,'Species Codes'!B:M,12,0))))))*35.3*VLOOKUP(D662,'Species Codes'!B:G,6,0)/2.2046,VLOOKUP(D662,'Species Codes'!B:I,8,0)+VLOOKUP(D662,'Species Codes'!B:J,9,0)*(((E662*2.54)/100)^2)*(I662*0.3048)))))*0.0011023),0)</f>
        <v>#N/A</v>
      </c>
      <c r="AC662" s="104" t="e">
        <f>IF(Z662&gt;0,((IF(OR(D662="RA",D662="OA",D662="OT",D662="UN",D662="PC"),EXP(VLOOKUP(D662,'Species Codes'!B:O,14,0)+VLOOKUP(D662,'Species Codes'!B:P,15,0)*LN((E662*2.54)))-EXP(VLOOKUP(D662,'Species Codes'!B:O,14,0)+VLOOKUP(D662,'Species Codes'!B:P,15,0)*LN((E662*2.54)))*(1/(VLOOKUP(D662,'Species Codes'!B:Q,16,0)+VLOOKUP(D662,'Species Codes'!B:R,17,0)*((E662*2.54)^VLOOKUP(D662,'Species Codes'!B:S,18,0)))),IF(OR(D662="BM",D662="MD",D662="OA"),EXP(VLOOKUP(D662,'Species Codes'!B:O,14,0)+VLOOKUP(D662,'Species Codes'!B:P,15,0)*LN((E662*2.54)))*(1-(1/(VLOOKUP(D662,'Species Codes'!B:Q,16,0)+VLOOKUP(D662,'Species Codes'!B:R,17,0)*((E662*2.54)^VLOOKUP(D662,'Species Codes'!B:S,18,0)))))/1000,IF(D662="DF",EXP(VLOOKUP(D662,'Species Codes'!B:O,14,0)+VLOOKUP(D662,'Species Codes'!B:P,15,0)*LN((E662*2.54))),VLOOKUP(D662,'Species Codes'!B:O,14,0)+VLOOKUP(D662,'Species Codes'!B:P,15,0)*(((E662*2.54)/100)^2)*(I662*0.3048)))))*0.0011023),0)</f>
        <v>#N/A</v>
      </c>
      <c r="AD662" s="104" t="e">
        <f t="shared" si="301"/>
        <v>#N/A</v>
      </c>
      <c r="AE662" s="104" t="e">
        <f t="shared" si="302"/>
        <v>#N/A</v>
      </c>
      <c r="AF662" s="104" t="e">
        <f>IF(AND(VLOOKUP($D662,Merchantability!$B:$C,2,0)="Yes",$E662&gt;=VLOOKUP($D662,Merchantability!$B:$D,3,0),$E662&lt;=VLOOKUP($D662,Merchantability!$B:$E,4,0)),AA662,0)</f>
        <v>#N/A</v>
      </c>
      <c r="AG662" s="104" t="e">
        <f>IF(AND(VLOOKUP($D662,Merchantability!$B:$C,2,0)="Yes",$E662&gt;=VLOOKUP($D662,Merchantability!$B:$D,3,0),$E662&lt;=VLOOKUP($D662,Merchantability!$B:$E,4,0)),AB662,0)</f>
        <v>#N/A</v>
      </c>
      <c r="AH662" s="104" t="e">
        <f>IF(AND(VLOOKUP($D662,Merchantability!$B:$C,2,0)="Yes",$E662&gt;=VLOOKUP($D662,Merchantability!$B:$D,3,0),$E662&lt;=VLOOKUP($D662,Merchantability!$B:$E,4,0)),AC662,0)</f>
        <v>#N/A</v>
      </c>
      <c r="AI662" s="104" t="e">
        <f t="shared" si="303"/>
        <v>#N/A</v>
      </c>
      <c r="AJ662" s="104" t="e">
        <f t="shared" si="304"/>
        <v>#VALUE!</v>
      </c>
      <c r="AK662" s="104" t="e">
        <f t="shared" si="305"/>
        <v>#N/A</v>
      </c>
      <c r="AL662" s="104" t="e">
        <f t="shared" si="306"/>
        <v>#N/A</v>
      </c>
      <c r="AM662" s="104" t="e">
        <f t="shared" si="307"/>
        <v>#N/A</v>
      </c>
      <c r="AN662" s="104" t="e">
        <f t="shared" si="318"/>
        <v>#N/A</v>
      </c>
      <c r="AO662" s="104" t="e">
        <f t="shared" si="319"/>
        <v>#N/A</v>
      </c>
      <c r="AP662" s="104" t="e">
        <f t="shared" si="320"/>
        <v>#N/A</v>
      </c>
      <c r="AQ662" s="104" t="e">
        <f t="shared" si="321"/>
        <v>#N/A</v>
      </c>
      <c r="AR662" s="105" t="str">
        <f t="shared" si="313"/>
        <v/>
      </c>
      <c r="AS662" s="105" t="str">
        <f t="shared" si="314"/>
        <v/>
      </c>
      <c r="AT662" s="108" t="str">
        <f t="shared" si="315"/>
        <v/>
      </c>
      <c r="AU662" s="108" t="str">
        <f t="shared" si="316"/>
        <v/>
      </c>
      <c r="AV662" s="107" t="str">
        <f>IF(ISNUMBER(O662),IF(VLOOKUP($A662,Stand!C:J,8,FALSE)="Short",AT662,AU662),"")</f>
        <v/>
      </c>
      <c r="AW662" s="109" t="str">
        <f t="shared" si="322"/>
        <v/>
      </c>
      <c r="AX662" s="109" t="str">
        <f t="shared" si="323"/>
        <v/>
      </c>
      <c r="AY662" s="112" t="str">
        <f>IF(ISNUMBER(O662),IF(AND(VLOOKUP($D662,Merchantability!$B:$C,2,0)="Yes",$E662&gt;=VLOOKUP($D662,Merchantability!$B:$D,3,0),$E662&lt;=VLOOKUP($D662,Merchantability!$B:$E,4,0)),(AV662*O662)*(1-$H662/100),""),"")</f>
        <v/>
      </c>
      <c r="AZ662" s="116"/>
      <c r="BA662" s="116"/>
      <c r="BB662" s="116"/>
      <c r="BE662" s="62"/>
      <c r="BF662" s="63"/>
    </row>
    <row r="663" spans="1:58" ht="12.75" customHeight="1" x14ac:dyDescent="0.25">
      <c r="A663" s="313"/>
      <c r="B663" s="328"/>
      <c r="C663" s="329"/>
      <c r="D663" s="328"/>
      <c r="E663" s="330"/>
      <c r="F663" s="328"/>
      <c r="G663" s="329"/>
      <c r="H663" s="329"/>
      <c r="I663" s="328"/>
      <c r="J663" s="383"/>
      <c r="K663" s="329"/>
      <c r="L663" s="329"/>
      <c r="M663" s="76"/>
      <c r="N663" s="103" t="str">
        <f>IF(A663="","",VLOOKUP(A663,Stand!C:K,9,0))</f>
        <v/>
      </c>
      <c r="O663" s="104" t="str">
        <f t="shared" si="308"/>
        <v/>
      </c>
      <c r="P663" s="105" t="str">
        <f t="shared" si="309"/>
        <v/>
      </c>
      <c r="Q663" s="105" t="str">
        <f t="shared" si="297"/>
        <v/>
      </c>
      <c r="R663" s="103" t="str">
        <f t="shared" si="310"/>
        <v/>
      </c>
      <c r="S663" s="103" t="str">
        <f t="shared" si="311"/>
        <v/>
      </c>
      <c r="T663" s="106" t="str">
        <f t="shared" si="298"/>
        <v/>
      </c>
      <c r="U663" s="106" t="str">
        <f t="shared" si="299"/>
        <v/>
      </c>
      <c r="V663" s="106" t="str">
        <f t="shared" si="300"/>
        <v/>
      </c>
      <c r="W663" s="105" t="str">
        <f t="shared" si="312"/>
        <v/>
      </c>
      <c r="X663" s="104" t="str">
        <f t="shared" si="317"/>
        <v/>
      </c>
      <c r="Y663" s="104" t="str">
        <f t="array" ref="Y663">IFERROR(IF(ISNUMBER(O663),IF(COUNT(IF(A663=$A$2:$A$2427,IF(D663=$D$2:$D$2427,IF($X$2:$X$2427&gt;0,1))))&gt;0,SUM(IF(A663=$A$2:$A$2427,IF(D663=$D$2:$D$2427,$X$2:$X$2427)))/COUNT(IF(A663=$A$2:$A$2427,IF(D663=$D$2:$D$2427,IF(ISNUMBER($X$2:$X$2427),1)))),0),""),0)</f>
        <v/>
      </c>
      <c r="Z663" s="104" t="str">
        <f>IF(ISNUMBER(O663),IF(I663&gt;0,(10^(VLOOKUP(D663,'Species Codes'!B:C,2,0)+VLOOKUP(D663,'Species Codes'!B:D,3,0)*LOG(E663)+VLOOKUP(D663,'Species Codes'!B:E,4,0)*LOG(I663))),0),"")</f>
        <v/>
      </c>
      <c r="AA663" s="104" t="str">
        <f>IFERROR((VLOOKUP(D663,'Species Codes'!B:G,6,0)*Z663)/2000,"")</f>
        <v/>
      </c>
      <c r="AB663" s="104" t="e">
        <f>IF(Z663&gt;0,((IF(OR(D663="DF",D663="RA")=TRUE,EXP(VLOOKUP(D663,'Species Codes'!B:I,8,0)+VLOOKUP(D663,'Species Codes'!B:J,9,0)*(LN((E663*2.54)))),IF(OR(D663="PY",D663="RC",D663="WH",D663="NF")=TRUE,VLOOKUP(D663,'Species Codes'!B:I,8,0)+VLOOKUP(D663,'Species Codes'!B:J,9,0)*((E663*2.54)^2)*(I663*0.3048),IF(OR(D663="MD",D663="BM",D663="GA")=TRUE,((VLOOKUP(D663,'Species Codes'!B:I,8,0)*(((((E663*2.54)+VLOOKUP(D663,'Species Codes'!B:J,9,0))/VLOOKUP(D663,'Species Codes'!B:K,10,0))^VLOOKUP(D663,'Species Codes'!B:L,11,0))*((I663*0.3048)^VLOOKUP(D663,'Species Codes'!B:M,12,0))))-(VLOOKUP(D663,'Species Codes'!B:I,8,0)*((((E663*2.54)^VLOOKUP(D663,'Species Codes'!B:L,11,0))*((I663*0.3048)^VLOOKUP(D663,'Species Codes'!B:M,12,0))))))*35.3*VLOOKUP(D663,'Species Codes'!B:G,6,0)/2.2046,VLOOKUP(D663,'Species Codes'!B:I,8,0)+VLOOKUP(D663,'Species Codes'!B:J,9,0)*(((E663*2.54)/100)^2)*(I663*0.3048)))))*0.0011023),0)</f>
        <v>#N/A</v>
      </c>
      <c r="AC663" s="104" t="e">
        <f>IF(Z663&gt;0,((IF(OR(D663="RA",D663="OA",D663="OT",D663="UN",D663="PC"),EXP(VLOOKUP(D663,'Species Codes'!B:O,14,0)+VLOOKUP(D663,'Species Codes'!B:P,15,0)*LN((E663*2.54)))-EXP(VLOOKUP(D663,'Species Codes'!B:O,14,0)+VLOOKUP(D663,'Species Codes'!B:P,15,0)*LN((E663*2.54)))*(1/(VLOOKUP(D663,'Species Codes'!B:Q,16,0)+VLOOKUP(D663,'Species Codes'!B:R,17,0)*((E663*2.54)^VLOOKUP(D663,'Species Codes'!B:S,18,0)))),IF(OR(D663="BM",D663="MD",D663="OA"),EXP(VLOOKUP(D663,'Species Codes'!B:O,14,0)+VLOOKUP(D663,'Species Codes'!B:P,15,0)*LN((E663*2.54)))*(1-(1/(VLOOKUP(D663,'Species Codes'!B:Q,16,0)+VLOOKUP(D663,'Species Codes'!B:R,17,0)*((E663*2.54)^VLOOKUP(D663,'Species Codes'!B:S,18,0)))))/1000,IF(D663="DF",EXP(VLOOKUP(D663,'Species Codes'!B:O,14,0)+VLOOKUP(D663,'Species Codes'!B:P,15,0)*LN((E663*2.54))),VLOOKUP(D663,'Species Codes'!B:O,14,0)+VLOOKUP(D663,'Species Codes'!B:P,15,0)*(((E663*2.54)/100)^2)*(I663*0.3048)))))*0.0011023),0)</f>
        <v>#N/A</v>
      </c>
      <c r="AD663" s="104" t="e">
        <f t="shared" si="301"/>
        <v>#N/A</v>
      </c>
      <c r="AE663" s="104" t="e">
        <f t="shared" si="302"/>
        <v>#N/A</v>
      </c>
      <c r="AF663" s="104" t="e">
        <f>IF(AND(VLOOKUP($D663,Merchantability!$B:$C,2,0)="Yes",$E663&gt;=VLOOKUP($D663,Merchantability!$B:$D,3,0),$E663&lt;=VLOOKUP($D663,Merchantability!$B:$E,4,0)),AA663,0)</f>
        <v>#N/A</v>
      </c>
      <c r="AG663" s="104" t="e">
        <f>IF(AND(VLOOKUP($D663,Merchantability!$B:$C,2,0)="Yes",$E663&gt;=VLOOKUP($D663,Merchantability!$B:$D,3,0),$E663&lt;=VLOOKUP($D663,Merchantability!$B:$E,4,0)),AB663,0)</f>
        <v>#N/A</v>
      </c>
      <c r="AH663" s="104" t="e">
        <f>IF(AND(VLOOKUP($D663,Merchantability!$B:$C,2,0)="Yes",$E663&gt;=VLOOKUP($D663,Merchantability!$B:$D,3,0),$E663&lt;=VLOOKUP($D663,Merchantability!$B:$E,4,0)),AC663,0)</f>
        <v>#N/A</v>
      </c>
      <c r="AI663" s="104" t="e">
        <f t="shared" si="303"/>
        <v>#N/A</v>
      </c>
      <c r="AJ663" s="104" t="e">
        <f t="shared" si="304"/>
        <v>#VALUE!</v>
      </c>
      <c r="AK663" s="104" t="e">
        <f t="shared" si="305"/>
        <v>#N/A</v>
      </c>
      <c r="AL663" s="104" t="e">
        <f t="shared" si="306"/>
        <v>#N/A</v>
      </c>
      <c r="AM663" s="104" t="e">
        <f t="shared" si="307"/>
        <v>#N/A</v>
      </c>
      <c r="AN663" s="104" t="e">
        <f t="shared" si="318"/>
        <v>#N/A</v>
      </c>
      <c r="AO663" s="104" t="e">
        <f t="shared" si="319"/>
        <v>#N/A</v>
      </c>
      <c r="AP663" s="104" t="e">
        <f t="shared" si="320"/>
        <v>#N/A</v>
      </c>
      <c r="AQ663" s="104" t="e">
        <f t="shared" si="321"/>
        <v>#N/A</v>
      </c>
      <c r="AR663" s="105" t="str">
        <f t="shared" si="313"/>
        <v/>
      </c>
      <c r="AS663" s="105" t="str">
        <f t="shared" si="314"/>
        <v/>
      </c>
      <c r="AT663" s="108" t="str">
        <f t="shared" si="315"/>
        <v/>
      </c>
      <c r="AU663" s="108" t="str">
        <f t="shared" si="316"/>
        <v/>
      </c>
      <c r="AV663" s="107" t="str">
        <f>IF(ISNUMBER(O663),IF(VLOOKUP($A663,Stand!C:J,8,FALSE)="Short",AT663,AU663),"")</f>
        <v/>
      </c>
      <c r="AW663" s="109" t="str">
        <f t="shared" si="322"/>
        <v/>
      </c>
      <c r="AX663" s="109" t="str">
        <f t="shared" si="323"/>
        <v/>
      </c>
      <c r="AY663" s="112" t="str">
        <f>IF(ISNUMBER(O663),IF(AND(VLOOKUP($D663,Merchantability!$B:$C,2,0)="Yes",$E663&gt;=VLOOKUP($D663,Merchantability!$B:$D,3,0),$E663&lt;=VLOOKUP($D663,Merchantability!$B:$E,4,0)),(AV663*O663)*(1-$H663/100),""),"")</f>
        <v/>
      </c>
      <c r="AZ663" s="116"/>
      <c r="BA663" s="116"/>
      <c r="BB663" s="116"/>
      <c r="BE663" s="62"/>
      <c r="BF663" s="63"/>
    </row>
    <row r="664" spans="1:58" ht="12.75" customHeight="1" x14ac:dyDescent="0.25">
      <c r="A664" s="313"/>
      <c r="B664" s="328"/>
      <c r="C664" s="329"/>
      <c r="D664" s="328"/>
      <c r="E664" s="330"/>
      <c r="F664" s="328"/>
      <c r="G664" s="329"/>
      <c r="H664" s="329"/>
      <c r="I664" s="328"/>
      <c r="J664" s="383"/>
      <c r="K664" s="329"/>
      <c r="L664" s="329"/>
      <c r="M664" s="76"/>
      <c r="N664" s="103" t="str">
        <f>IF(A664="","",VLOOKUP(A664,Stand!C:K,9,0))</f>
        <v/>
      </c>
      <c r="O664" s="104" t="str">
        <f t="shared" si="308"/>
        <v/>
      </c>
      <c r="P664" s="105" t="str">
        <f t="shared" si="309"/>
        <v/>
      </c>
      <c r="Q664" s="105" t="str">
        <f t="shared" si="297"/>
        <v/>
      </c>
      <c r="R664" s="103" t="str">
        <f t="shared" si="310"/>
        <v/>
      </c>
      <c r="S664" s="103" t="str">
        <f t="shared" si="311"/>
        <v/>
      </c>
      <c r="T664" s="106" t="str">
        <f t="shared" si="298"/>
        <v/>
      </c>
      <c r="U664" s="106" t="str">
        <f t="shared" si="299"/>
        <v/>
      </c>
      <c r="V664" s="106" t="str">
        <f t="shared" si="300"/>
        <v/>
      </c>
      <c r="W664" s="105" t="str">
        <f t="shared" si="312"/>
        <v/>
      </c>
      <c r="X664" s="104" t="str">
        <f t="shared" si="317"/>
        <v/>
      </c>
      <c r="Y664" s="104" t="str">
        <f t="array" ref="Y664">IFERROR(IF(ISNUMBER(O664),IF(COUNT(IF(A664=$A$2:$A$2427,IF(D664=$D$2:$D$2427,IF($X$2:$X$2427&gt;0,1))))&gt;0,SUM(IF(A664=$A$2:$A$2427,IF(D664=$D$2:$D$2427,$X$2:$X$2427)))/COUNT(IF(A664=$A$2:$A$2427,IF(D664=$D$2:$D$2427,IF(ISNUMBER($X$2:$X$2427),1)))),0),""),0)</f>
        <v/>
      </c>
      <c r="Z664" s="104" t="str">
        <f>IF(ISNUMBER(O664),IF(I664&gt;0,(10^(VLOOKUP(D664,'Species Codes'!B:C,2,0)+VLOOKUP(D664,'Species Codes'!B:D,3,0)*LOG(E664)+VLOOKUP(D664,'Species Codes'!B:E,4,0)*LOG(I664))),0),"")</f>
        <v/>
      </c>
      <c r="AA664" s="104" t="str">
        <f>IFERROR((VLOOKUP(D664,'Species Codes'!B:G,6,0)*Z664)/2000,"")</f>
        <v/>
      </c>
      <c r="AB664" s="104" t="e">
        <f>IF(Z664&gt;0,((IF(OR(D664="DF",D664="RA")=TRUE,EXP(VLOOKUP(D664,'Species Codes'!B:I,8,0)+VLOOKUP(D664,'Species Codes'!B:J,9,0)*(LN((E664*2.54)))),IF(OR(D664="PY",D664="RC",D664="WH",D664="NF")=TRUE,VLOOKUP(D664,'Species Codes'!B:I,8,0)+VLOOKUP(D664,'Species Codes'!B:J,9,0)*((E664*2.54)^2)*(I664*0.3048),IF(OR(D664="MD",D664="BM",D664="GA")=TRUE,((VLOOKUP(D664,'Species Codes'!B:I,8,0)*(((((E664*2.54)+VLOOKUP(D664,'Species Codes'!B:J,9,0))/VLOOKUP(D664,'Species Codes'!B:K,10,0))^VLOOKUP(D664,'Species Codes'!B:L,11,0))*((I664*0.3048)^VLOOKUP(D664,'Species Codes'!B:M,12,0))))-(VLOOKUP(D664,'Species Codes'!B:I,8,0)*((((E664*2.54)^VLOOKUP(D664,'Species Codes'!B:L,11,0))*((I664*0.3048)^VLOOKUP(D664,'Species Codes'!B:M,12,0))))))*35.3*VLOOKUP(D664,'Species Codes'!B:G,6,0)/2.2046,VLOOKUP(D664,'Species Codes'!B:I,8,0)+VLOOKUP(D664,'Species Codes'!B:J,9,0)*(((E664*2.54)/100)^2)*(I664*0.3048)))))*0.0011023),0)</f>
        <v>#N/A</v>
      </c>
      <c r="AC664" s="104" t="e">
        <f>IF(Z664&gt;0,((IF(OR(D664="RA",D664="OA",D664="OT",D664="UN",D664="PC"),EXP(VLOOKUP(D664,'Species Codes'!B:O,14,0)+VLOOKUP(D664,'Species Codes'!B:P,15,0)*LN((E664*2.54)))-EXP(VLOOKUP(D664,'Species Codes'!B:O,14,0)+VLOOKUP(D664,'Species Codes'!B:P,15,0)*LN((E664*2.54)))*(1/(VLOOKUP(D664,'Species Codes'!B:Q,16,0)+VLOOKUP(D664,'Species Codes'!B:R,17,0)*((E664*2.54)^VLOOKUP(D664,'Species Codes'!B:S,18,0)))),IF(OR(D664="BM",D664="MD",D664="OA"),EXP(VLOOKUP(D664,'Species Codes'!B:O,14,0)+VLOOKUP(D664,'Species Codes'!B:P,15,0)*LN((E664*2.54)))*(1-(1/(VLOOKUP(D664,'Species Codes'!B:Q,16,0)+VLOOKUP(D664,'Species Codes'!B:R,17,0)*((E664*2.54)^VLOOKUP(D664,'Species Codes'!B:S,18,0)))))/1000,IF(D664="DF",EXP(VLOOKUP(D664,'Species Codes'!B:O,14,0)+VLOOKUP(D664,'Species Codes'!B:P,15,0)*LN((E664*2.54))),VLOOKUP(D664,'Species Codes'!B:O,14,0)+VLOOKUP(D664,'Species Codes'!B:P,15,0)*(((E664*2.54)/100)^2)*(I664*0.3048)))))*0.0011023),0)</f>
        <v>#N/A</v>
      </c>
      <c r="AD664" s="104" t="e">
        <f t="shared" si="301"/>
        <v>#N/A</v>
      </c>
      <c r="AE664" s="104" t="e">
        <f t="shared" si="302"/>
        <v>#N/A</v>
      </c>
      <c r="AF664" s="104" t="e">
        <f>IF(AND(VLOOKUP($D664,Merchantability!$B:$C,2,0)="Yes",$E664&gt;=VLOOKUP($D664,Merchantability!$B:$D,3,0),$E664&lt;=VLOOKUP($D664,Merchantability!$B:$E,4,0)),AA664,0)</f>
        <v>#N/A</v>
      </c>
      <c r="AG664" s="104" t="e">
        <f>IF(AND(VLOOKUP($D664,Merchantability!$B:$C,2,0)="Yes",$E664&gt;=VLOOKUP($D664,Merchantability!$B:$D,3,0),$E664&lt;=VLOOKUP($D664,Merchantability!$B:$E,4,0)),AB664,0)</f>
        <v>#N/A</v>
      </c>
      <c r="AH664" s="104" t="e">
        <f>IF(AND(VLOOKUP($D664,Merchantability!$B:$C,2,0)="Yes",$E664&gt;=VLOOKUP($D664,Merchantability!$B:$D,3,0),$E664&lt;=VLOOKUP($D664,Merchantability!$B:$E,4,0)),AC664,0)</f>
        <v>#N/A</v>
      </c>
      <c r="AI664" s="104" t="e">
        <f t="shared" si="303"/>
        <v>#N/A</v>
      </c>
      <c r="AJ664" s="104" t="e">
        <f t="shared" si="304"/>
        <v>#VALUE!</v>
      </c>
      <c r="AK664" s="104" t="e">
        <f t="shared" si="305"/>
        <v>#N/A</v>
      </c>
      <c r="AL664" s="104" t="e">
        <f t="shared" si="306"/>
        <v>#N/A</v>
      </c>
      <c r="AM664" s="104" t="e">
        <f t="shared" si="307"/>
        <v>#N/A</v>
      </c>
      <c r="AN664" s="104" t="e">
        <f t="shared" si="318"/>
        <v>#N/A</v>
      </c>
      <c r="AO664" s="104" t="e">
        <f t="shared" si="319"/>
        <v>#N/A</v>
      </c>
      <c r="AP664" s="104" t="e">
        <f t="shared" si="320"/>
        <v>#N/A</v>
      </c>
      <c r="AQ664" s="104" t="e">
        <f t="shared" si="321"/>
        <v>#N/A</v>
      </c>
      <c r="AR664" s="105" t="str">
        <f t="shared" si="313"/>
        <v/>
      </c>
      <c r="AS664" s="105" t="str">
        <f t="shared" si="314"/>
        <v/>
      </c>
      <c r="AT664" s="108" t="str">
        <f t="shared" si="315"/>
        <v/>
      </c>
      <c r="AU664" s="108" t="str">
        <f t="shared" si="316"/>
        <v/>
      </c>
      <c r="AV664" s="107" t="str">
        <f>IF(ISNUMBER(O664),IF(VLOOKUP($A664,Stand!C:J,8,FALSE)="Short",AT664,AU664),"")</f>
        <v/>
      </c>
      <c r="AW664" s="109" t="str">
        <f t="shared" si="322"/>
        <v/>
      </c>
      <c r="AX664" s="109" t="str">
        <f t="shared" si="323"/>
        <v/>
      </c>
      <c r="AY664" s="112" t="str">
        <f>IF(ISNUMBER(O664),IF(AND(VLOOKUP($D664,Merchantability!$B:$C,2,0)="Yes",$E664&gt;=VLOOKUP($D664,Merchantability!$B:$D,3,0),$E664&lt;=VLOOKUP($D664,Merchantability!$B:$E,4,0)),(AV664*O664)*(1-$H664/100),""),"")</f>
        <v/>
      </c>
      <c r="AZ664" s="116"/>
      <c r="BA664" s="116"/>
      <c r="BB664" s="116"/>
      <c r="BE664" s="62"/>
      <c r="BF664" s="63"/>
    </row>
    <row r="665" spans="1:58" ht="12.75" customHeight="1" x14ac:dyDescent="0.25">
      <c r="A665" s="313"/>
      <c r="B665" s="328"/>
      <c r="C665" s="329"/>
      <c r="D665" s="328"/>
      <c r="E665" s="330"/>
      <c r="F665" s="328"/>
      <c r="G665" s="329"/>
      <c r="H665" s="329"/>
      <c r="I665" s="328"/>
      <c r="J665" s="383"/>
      <c r="K665" s="329"/>
      <c r="L665" s="329"/>
      <c r="M665" s="76"/>
      <c r="N665" s="103" t="str">
        <f>IF(A665="","",VLOOKUP(A665,Stand!C:K,9,0))</f>
        <v/>
      </c>
      <c r="O665" s="104" t="str">
        <f t="shared" si="308"/>
        <v/>
      </c>
      <c r="P665" s="105" t="str">
        <f t="shared" si="309"/>
        <v/>
      </c>
      <c r="Q665" s="105" t="str">
        <f t="shared" si="297"/>
        <v/>
      </c>
      <c r="R665" s="103" t="str">
        <f t="shared" si="310"/>
        <v/>
      </c>
      <c r="S665" s="103" t="str">
        <f t="shared" si="311"/>
        <v/>
      </c>
      <c r="T665" s="106" t="str">
        <f t="shared" si="298"/>
        <v/>
      </c>
      <c r="U665" s="106" t="str">
        <f t="shared" si="299"/>
        <v/>
      </c>
      <c r="V665" s="106" t="str">
        <f t="shared" si="300"/>
        <v/>
      </c>
      <c r="W665" s="105" t="str">
        <f t="shared" si="312"/>
        <v/>
      </c>
      <c r="X665" s="104" t="str">
        <f t="shared" si="317"/>
        <v/>
      </c>
      <c r="Y665" s="104" t="str">
        <f t="array" ref="Y665">IFERROR(IF(ISNUMBER(O665),IF(COUNT(IF(A665=$A$2:$A$2427,IF(D665=$D$2:$D$2427,IF($X$2:$X$2427&gt;0,1))))&gt;0,SUM(IF(A665=$A$2:$A$2427,IF(D665=$D$2:$D$2427,$X$2:$X$2427)))/COUNT(IF(A665=$A$2:$A$2427,IF(D665=$D$2:$D$2427,IF(ISNUMBER($X$2:$X$2427),1)))),0),""),0)</f>
        <v/>
      </c>
      <c r="Z665" s="104" t="str">
        <f>IF(ISNUMBER(O665),IF(I665&gt;0,(10^(VLOOKUP(D665,'Species Codes'!B:C,2,0)+VLOOKUP(D665,'Species Codes'!B:D,3,0)*LOG(E665)+VLOOKUP(D665,'Species Codes'!B:E,4,0)*LOG(I665))),0),"")</f>
        <v/>
      </c>
      <c r="AA665" s="104" t="str">
        <f>IFERROR((VLOOKUP(D665,'Species Codes'!B:G,6,0)*Z665)/2000,"")</f>
        <v/>
      </c>
      <c r="AB665" s="104" t="e">
        <f>IF(Z665&gt;0,((IF(OR(D665="DF",D665="RA")=TRUE,EXP(VLOOKUP(D665,'Species Codes'!B:I,8,0)+VLOOKUP(D665,'Species Codes'!B:J,9,0)*(LN((E665*2.54)))),IF(OR(D665="PY",D665="RC",D665="WH",D665="NF")=TRUE,VLOOKUP(D665,'Species Codes'!B:I,8,0)+VLOOKUP(D665,'Species Codes'!B:J,9,0)*((E665*2.54)^2)*(I665*0.3048),IF(OR(D665="MD",D665="BM",D665="GA")=TRUE,((VLOOKUP(D665,'Species Codes'!B:I,8,0)*(((((E665*2.54)+VLOOKUP(D665,'Species Codes'!B:J,9,0))/VLOOKUP(D665,'Species Codes'!B:K,10,0))^VLOOKUP(D665,'Species Codes'!B:L,11,0))*((I665*0.3048)^VLOOKUP(D665,'Species Codes'!B:M,12,0))))-(VLOOKUP(D665,'Species Codes'!B:I,8,0)*((((E665*2.54)^VLOOKUP(D665,'Species Codes'!B:L,11,0))*((I665*0.3048)^VLOOKUP(D665,'Species Codes'!B:M,12,0))))))*35.3*VLOOKUP(D665,'Species Codes'!B:G,6,0)/2.2046,VLOOKUP(D665,'Species Codes'!B:I,8,0)+VLOOKUP(D665,'Species Codes'!B:J,9,0)*(((E665*2.54)/100)^2)*(I665*0.3048)))))*0.0011023),0)</f>
        <v>#N/A</v>
      </c>
      <c r="AC665" s="104" t="e">
        <f>IF(Z665&gt;0,((IF(OR(D665="RA",D665="OA",D665="OT",D665="UN",D665="PC"),EXP(VLOOKUP(D665,'Species Codes'!B:O,14,0)+VLOOKUP(D665,'Species Codes'!B:P,15,0)*LN((E665*2.54)))-EXP(VLOOKUP(D665,'Species Codes'!B:O,14,0)+VLOOKUP(D665,'Species Codes'!B:P,15,0)*LN((E665*2.54)))*(1/(VLOOKUP(D665,'Species Codes'!B:Q,16,0)+VLOOKUP(D665,'Species Codes'!B:R,17,0)*((E665*2.54)^VLOOKUP(D665,'Species Codes'!B:S,18,0)))),IF(OR(D665="BM",D665="MD",D665="OA"),EXP(VLOOKUP(D665,'Species Codes'!B:O,14,0)+VLOOKUP(D665,'Species Codes'!B:P,15,0)*LN((E665*2.54)))*(1-(1/(VLOOKUP(D665,'Species Codes'!B:Q,16,0)+VLOOKUP(D665,'Species Codes'!B:R,17,0)*((E665*2.54)^VLOOKUP(D665,'Species Codes'!B:S,18,0)))))/1000,IF(D665="DF",EXP(VLOOKUP(D665,'Species Codes'!B:O,14,0)+VLOOKUP(D665,'Species Codes'!B:P,15,0)*LN((E665*2.54))),VLOOKUP(D665,'Species Codes'!B:O,14,0)+VLOOKUP(D665,'Species Codes'!B:P,15,0)*(((E665*2.54)/100)^2)*(I665*0.3048)))))*0.0011023),0)</f>
        <v>#N/A</v>
      </c>
      <c r="AD665" s="104" t="e">
        <f t="shared" si="301"/>
        <v>#N/A</v>
      </c>
      <c r="AE665" s="104" t="e">
        <f t="shared" si="302"/>
        <v>#N/A</v>
      </c>
      <c r="AF665" s="104" t="e">
        <f>IF(AND(VLOOKUP($D665,Merchantability!$B:$C,2,0)="Yes",$E665&gt;=VLOOKUP($D665,Merchantability!$B:$D,3,0),$E665&lt;=VLOOKUP($D665,Merchantability!$B:$E,4,0)),AA665,0)</f>
        <v>#N/A</v>
      </c>
      <c r="AG665" s="104" t="e">
        <f>IF(AND(VLOOKUP($D665,Merchantability!$B:$C,2,0)="Yes",$E665&gt;=VLOOKUP($D665,Merchantability!$B:$D,3,0),$E665&lt;=VLOOKUP($D665,Merchantability!$B:$E,4,0)),AB665,0)</f>
        <v>#N/A</v>
      </c>
      <c r="AH665" s="104" t="e">
        <f>IF(AND(VLOOKUP($D665,Merchantability!$B:$C,2,0)="Yes",$E665&gt;=VLOOKUP($D665,Merchantability!$B:$D,3,0),$E665&lt;=VLOOKUP($D665,Merchantability!$B:$E,4,0)),AC665,0)</f>
        <v>#N/A</v>
      </c>
      <c r="AI665" s="104" t="e">
        <f t="shared" si="303"/>
        <v>#N/A</v>
      </c>
      <c r="AJ665" s="104" t="e">
        <f t="shared" si="304"/>
        <v>#VALUE!</v>
      </c>
      <c r="AK665" s="104" t="e">
        <f t="shared" si="305"/>
        <v>#N/A</v>
      </c>
      <c r="AL665" s="104" t="e">
        <f t="shared" si="306"/>
        <v>#N/A</v>
      </c>
      <c r="AM665" s="104" t="e">
        <f t="shared" si="307"/>
        <v>#N/A</v>
      </c>
      <c r="AN665" s="104" t="e">
        <f t="shared" si="318"/>
        <v>#N/A</v>
      </c>
      <c r="AO665" s="104" t="e">
        <f t="shared" si="319"/>
        <v>#N/A</v>
      </c>
      <c r="AP665" s="104" t="e">
        <f t="shared" si="320"/>
        <v>#N/A</v>
      </c>
      <c r="AQ665" s="104" t="e">
        <f t="shared" si="321"/>
        <v>#N/A</v>
      </c>
      <c r="AR665" s="105" t="str">
        <f t="shared" si="313"/>
        <v/>
      </c>
      <c r="AS665" s="105" t="str">
        <f t="shared" si="314"/>
        <v/>
      </c>
      <c r="AT665" s="108" t="str">
        <f t="shared" si="315"/>
        <v/>
      </c>
      <c r="AU665" s="108" t="str">
        <f t="shared" si="316"/>
        <v/>
      </c>
      <c r="AV665" s="107" t="str">
        <f>IF(ISNUMBER(O665),IF(VLOOKUP($A665,Stand!C:J,8,FALSE)="Short",AT665,AU665),"")</f>
        <v/>
      </c>
      <c r="AW665" s="109" t="str">
        <f t="shared" si="322"/>
        <v/>
      </c>
      <c r="AX665" s="109" t="str">
        <f t="shared" si="323"/>
        <v/>
      </c>
      <c r="AY665" s="112" t="str">
        <f>IF(ISNUMBER(O665),IF(AND(VLOOKUP($D665,Merchantability!$B:$C,2,0)="Yes",$E665&gt;=VLOOKUP($D665,Merchantability!$B:$D,3,0),$E665&lt;=VLOOKUP($D665,Merchantability!$B:$E,4,0)),(AV665*O665)*(1-$H665/100),""),"")</f>
        <v/>
      </c>
      <c r="AZ665" s="116"/>
      <c r="BA665" s="116"/>
      <c r="BB665" s="116"/>
      <c r="BE665" s="62"/>
      <c r="BF665" s="63"/>
    </row>
    <row r="666" spans="1:58" ht="12.75" customHeight="1" x14ac:dyDescent="0.25">
      <c r="A666" s="313"/>
      <c r="B666" s="328"/>
      <c r="C666" s="329"/>
      <c r="D666" s="328"/>
      <c r="E666" s="330"/>
      <c r="F666" s="328"/>
      <c r="G666" s="329"/>
      <c r="H666" s="329"/>
      <c r="I666" s="328"/>
      <c r="J666" s="383"/>
      <c r="K666" s="329"/>
      <c r="L666" s="329"/>
      <c r="M666" s="76"/>
      <c r="N666" s="103" t="str">
        <f>IF(A666="","",VLOOKUP(A666,Stand!C:K,9,0))</f>
        <v/>
      </c>
      <c r="O666" s="104" t="str">
        <f t="shared" si="308"/>
        <v/>
      </c>
      <c r="P666" s="105" t="str">
        <f t="shared" si="309"/>
        <v/>
      </c>
      <c r="Q666" s="105" t="str">
        <f t="shared" si="297"/>
        <v/>
      </c>
      <c r="R666" s="103" t="str">
        <f t="shared" si="310"/>
        <v/>
      </c>
      <c r="S666" s="103" t="str">
        <f t="shared" si="311"/>
        <v/>
      </c>
      <c r="T666" s="106" t="str">
        <f t="shared" si="298"/>
        <v/>
      </c>
      <c r="U666" s="106" t="str">
        <f t="shared" si="299"/>
        <v/>
      </c>
      <c r="V666" s="106" t="str">
        <f t="shared" si="300"/>
        <v/>
      </c>
      <c r="W666" s="105" t="str">
        <f t="shared" si="312"/>
        <v/>
      </c>
      <c r="X666" s="104" t="str">
        <f t="shared" si="317"/>
        <v/>
      </c>
      <c r="Y666" s="104" t="str">
        <f t="array" ref="Y666">IFERROR(IF(ISNUMBER(O666),IF(COUNT(IF(A666=$A$2:$A$2427,IF(D666=$D$2:$D$2427,IF($X$2:$X$2427&gt;0,1))))&gt;0,SUM(IF(A666=$A$2:$A$2427,IF(D666=$D$2:$D$2427,$X$2:$X$2427)))/COUNT(IF(A666=$A$2:$A$2427,IF(D666=$D$2:$D$2427,IF(ISNUMBER($X$2:$X$2427),1)))),0),""),0)</f>
        <v/>
      </c>
      <c r="Z666" s="104" t="str">
        <f>IF(ISNUMBER(O666),IF(I666&gt;0,(10^(VLOOKUP(D666,'Species Codes'!B:C,2,0)+VLOOKUP(D666,'Species Codes'!B:D,3,0)*LOG(E666)+VLOOKUP(D666,'Species Codes'!B:E,4,0)*LOG(I666))),0),"")</f>
        <v/>
      </c>
      <c r="AA666" s="104" t="str">
        <f>IFERROR((VLOOKUP(D666,'Species Codes'!B:G,6,0)*Z666)/2000,"")</f>
        <v/>
      </c>
      <c r="AB666" s="104" t="e">
        <f>IF(Z666&gt;0,((IF(OR(D666="DF",D666="RA")=TRUE,EXP(VLOOKUP(D666,'Species Codes'!B:I,8,0)+VLOOKUP(D666,'Species Codes'!B:J,9,0)*(LN((E666*2.54)))),IF(OR(D666="PY",D666="RC",D666="WH",D666="NF")=TRUE,VLOOKUP(D666,'Species Codes'!B:I,8,0)+VLOOKUP(D666,'Species Codes'!B:J,9,0)*((E666*2.54)^2)*(I666*0.3048),IF(OR(D666="MD",D666="BM",D666="GA")=TRUE,((VLOOKUP(D666,'Species Codes'!B:I,8,0)*(((((E666*2.54)+VLOOKUP(D666,'Species Codes'!B:J,9,0))/VLOOKUP(D666,'Species Codes'!B:K,10,0))^VLOOKUP(D666,'Species Codes'!B:L,11,0))*((I666*0.3048)^VLOOKUP(D666,'Species Codes'!B:M,12,0))))-(VLOOKUP(D666,'Species Codes'!B:I,8,0)*((((E666*2.54)^VLOOKUP(D666,'Species Codes'!B:L,11,0))*((I666*0.3048)^VLOOKUP(D666,'Species Codes'!B:M,12,0))))))*35.3*VLOOKUP(D666,'Species Codes'!B:G,6,0)/2.2046,VLOOKUP(D666,'Species Codes'!B:I,8,0)+VLOOKUP(D666,'Species Codes'!B:J,9,0)*(((E666*2.54)/100)^2)*(I666*0.3048)))))*0.0011023),0)</f>
        <v>#N/A</v>
      </c>
      <c r="AC666" s="104" t="e">
        <f>IF(Z666&gt;0,((IF(OR(D666="RA",D666="OA",D666="OT",D666="UN",D666="PC"),EXP(VLOOKUP(D666,'Species Codes'!B:O,14,0)+VLOOKUP(D666,'Species Codes'!B:P,15,0)*LN((E666*2.54)))-EXP(VLOOKUP(D666,'Species Codes'!B:O,14,0)+VLOOKUP(D666,'Species Codes'!B:P,15,0)*LN((E666*2.54)))*(1/(VLOOKUP(D666,'Species Codes'!B:Q,16,0)+VLOOKUP(D666,'Species Codes'!B:R,17,0)*((E666*2.54)^VLOOKUP(D666,'Species Codes'!B:S,18,0)))),IF(OR(D666="BM",D666="MD",D666="OA"),EXP(VLOOKUP(D666,'Species Codes'!B:O,14,0)+VLOOKUP(D666,'Species Codes'!B:P,15,0)*LN((E666*2.54)))*(1-(1/(VLOOKUP(D666,'Species Codes'!B:Q,16,0)+VLOOKUP(D666,'Species Codes'!B:R,17,0)*((E666*2.54)^VLOOKUP(D666,'Species Codes'!B:S,18,0)))))/1000,IF(D666="DF",EXP(VLOOKUP(D666,'Species Codes'!B:O,14,0)+VLOOKUP(D666,'Species Codes'!B:P,15,0)*LN((E666*2.54))),VLOOKUP(D666,'Species Codes'!B:O,14,0)+VLOOKUP(D666,'Species Codes'!B:P,15,0)*(((E666*2.54)/100)^2)*(I666*0.3048)))))*0.0011023),0)</f>
        <v>#N/A</v>
      </c>
      <c r="AD666" s="104" t="e">
        <f t="shared" si="301"/>
        <v>#N/A</v>
      </c>
      <c r="AE666" s="104" t="e">
        <f t="shared" si="302"/>
        <v>#N/A</v>
      </c>
      <c r="AF666" s="104" t="e">
        <f>IF(AND(VLOOKUP($D666,Merchantability!$B:$C,2,0)="Yes",$E666&gt;=VLOOKUP($D666,Merchantability!$B:$D,3,0),$E666&lt;=VLOOKUP($D666,Merchantability!$B:$E,4,0)),AA666,0)</f>
        <v>#N/A</v>
      </c>
      <c r="AG666" s="104" t="e">
        <f>IF(AND(VLOOKUP($D666,Merchantability!$B:$C,2,0)="Yes",$E666&gt;=VLOOKUP($D666,Merchantability!$B:$D,3,0),$E666&lt;=VLOOKUP($D666,Merchantability!$B:$E,4,0)),AB666,0)</f>
        <v>#N/A</v>
      </c>
      <c r="AH666" s="104" t="e">
        <f>IF(AND(VLOOKUP($D666,Merchantability!$B:$C,2,0)="Yes",$E666&gt;=VLOOKUP($D666,Merchantability!$B:$D,3,0),$E666&lt;=VLOOKUP($D666,Merchantability!$B:$E,4,0)),AC666,0)</f>
        <v>#N/A</v>
      </c>
      <c r="AI666" s="104" t="e">
        <f t="shared" si="303"/>
        <v>#N/A</v>
      </c>
      <c r="AJ666" s="104" t="e">
        <f t="shared" si="304"/>
        <v>#VALUE!</v>
      </c>
      <c r="AK666" s="104" t="e">
        <f t="shared" si="305"/>
        <v>#N/A</v>
      </c>
      <c r="AL666" s="104" t="e">
        <f t="shared" si="306"/>
        <v>#N/A</v>
      </c>
      <c r="AM666" s="104" t="e">
        <f t="shared" si="307"/>
        <v>#N/A</v>
      </c>
      <c r="AN666" s="104" t="e">
        <f t="shared" si="318"/>
        <v>#N/A</v>
      </c>
      <c r="AO666" s="104" t="e">
        <f t="shared" si="319"/>
        <v>#N/A</v>
      </c>
      <c r="AP666" s="104" t="e">
        <f t="shared" si="320"/>
        <v>#N/A</v>
      </c>
      <c r="AQ666" s="104" t="e">
        <f t="shared" si="321"/>
        <v>#N/A</v>
      </c>
      <c r="AR666" s="105" t="str">
        <f t="shared" si="313"/>
        <v/>
      </c>
      <c r="AS666" s="105" t="str">
        <f t="shared" si="314"/>
        <v/>
      </c>
      <c r="AT666" s="108" t="str">
        <f t="shared" si="315"/>
        <v/>
      </c>
      <c r="AU666" s="108" t="str">
        <f t="shared" si="316"/>
        <v/>
      </c>
      <c r="AV666" s="107" t="str">
        <f>IF(ISNUMBER(O666),IF(VLOOKUP($A666,Stand!C:J,8,FALSE)="Short",AT666,AU666),"")</f>
        <v/>
      </c>
      <c r="AW666" s="109" t="str">
        <f t="shared" si="322"/>
        <v/>
      </c>
      <c r="AX666" s="109" t="str">
        <f t="shared" si="323"/>
        <v/>
      </c>
      <c r="AY666" s="112" t="str">
        <f>IF(ISNUMBER(O666),IF(AND(VLOOKUP($D666,Merchantability!$B:$C,2,0)="Yes",$E666&gt;=VLOOKUP($D666,Merchantability!$B:$D,3,0),$E666&lt;=VLOOKUP($D666,Merchantability!$B:$E,4,0)),(AV666*O666)*(1-$H666/100),""),"")</f>
        <v/>
      </c>
      <c r="AZ666" s="116"/>
      <c r="BA666" s="116"/>
      <c r="BB666" s="116"/>
      <c r="BE666" s="62"/>
      <c r="BF666" s="63"/>
    </row>
    <row r="667" spans="1:58" ht="12.75" customHeight="1" x14ac:dyDescent="0.25">
      <c r="A667" s="313"/>
      <c r="B667" s="328"/>
      <c r="C667" s="329"/>
      <c r="D667" s="328"/>
      <c r="E667" s="330"/>
      <c r="F667" s="328"/>
      <c r="G667" s="329"/>
      <c r="H667" s="329"/>
      <c r="I667" s="328"/>
      <c r="J667" s="383"/>
      <c r="K667" s="329"/>
      <c r="L667" s="329"/>
      <c r="M667" s="76"/>
      <c r="N667" s="103" t="str">
        <f>IF(A667="","",VLOOKUP(A667,Stand!C:K,9,0))</f>
        <v/>
      </c>
      <c r="O667" s="104" t="str">
        <f t="shared" si="308"/>
        <v/>
      </c>
      <c r="P667" s="105" t="str">
        <f t="shared" si="309"/>
        <v/>
      </c>
      <c r="Q667" s="105" t="str">
        <f t="shared" si="297"/>
        <v/>
      </c>
      <c r="R667" s="103" t="str">
        <f t="shared" si="310"/>
        <v/>
      </c>
      <c r="S667" s="103" t="str">
        <f t="shared" si="311"/>
        <v/>
      </c>
      <c r="T667" s="106" t="str">
        <f t="shared" si="298"/>
        <v/>
      </c>
      <c r="U667" s="106" t="str">
        <f t="shared" si="299"/>
        <v/>
      </c>
      <c r="V667" s="106" t="str">
        <f t="shared" si="300"/>
        <v/>
      </c>
      <c r="W667" s="105" t="str">
        <f t="shared" si="312"/>
        <v/>
      </c>
      <c r="X667" s="104" t="str">
        <f t="shared" si="317"/>
        <v/>
      </c>
      <c r="Y667" s="104" t="str">
        <f t="array" ref="Y667">IFERROR(IF(ISNUMBER(O667),IF(COUNT(IF(A667=$A$2:$A$2427,IF(D667=$D$2:$D$2427,IF($X$2:$X$2427&gt;0,1))))&gt;0,SUM(IF(A667=$A$2:$A$2427,IF(D667=$D$2:$D$2427,$X$2:$X$2427)))/COUNT(IF(A667=$A$2:$A$2427,IF(D667=$D$2:$D$2427,IF(ISNUMBER($X$2:$X$2427),1)))),0),""),0)</f>
        <v/>
      </c>
      <c r="Z667" s="104" t="str">
        <f>IF(ISNUMBER(O667),IF(I667&gt;0,(10^(VLOOKUP(D667,'Species Codes'!B:C,2,0)+VLOOKUP(D667,'Species Codes'!B:D,3,0)*LOG(E667)+VLOOKUP(D667,'Species Codes'!B:E,4,0)*LOG(I667))),0),"")</f>
        <v/>
      </c>
      <c r="AA667" s="104" t="str">
        <f>IFERROR((VLOOKUP(D667,'Species Codes'!B:G,6,0)*Z667)/2000,"")</f>
        <v/>
      </c>
      <c r="AB667" s="104" t="e">
        <f>IF(Z667&gt;0,((IF(OR(D667="DF",D667="RA")=TRUE,EXP(VLOOKUP(D667,'Species Codes'!B:I,8,0)+VLOOKUP(D667,'Species Codes'!B:J,9,0)*(LN((E667*2.54)))),IF(OR(D667="PY",D667="RC",D667="WH",D667="NF")=TRUE,VLOOKUP(D667,'Species Codes'!B:I,8,0)+VLOOKUP(D667,'Species Codes'!B:J,9,0)*((E667*2.54)^2)*(I667*0.3048),IF(OR(D667="MD",D667="BM",D667="GA")=TRUE,((VLOOKUP(D667,'Species Codes'!B:I,8,0)*(((((E667*2.54)+VLOOKUP(D667,'Species Codes'!B:J,9,0))/VLOOKUP(D667,'Species Codes'!B:K,10,0))^VLOOKUP(D667,'Species Codes'!B:L,11,0))*((I667*0.3048)^VLOOKUP(D667,'Species Codes'!B:M,12,0))))-(VLOOKUP(D667,'Species Codes'!B:I,8,0)*((((E667*2.54)^VLOOKUP(D667,'Species Codes'!B:L,11,0))*((I667*0.3048)^VLOOKUP(D667,'Species Codes'!B:M,12,0))))))*35.3*VLOOKUP(D667,'Species Codes'!B:G,6,0)/2.2046,VLOOKUP(D667,'Species Codes'!B:I,8,0)+VLOOKUP(D667,'Species Codes'!B:J,9,0)*(((E667*2.54)/100)^2)*(I667*0.3048)))))*0.0011023),0)</f>
        <v>#N/A</v>
      </c>
      <c r="AC667" s="104" t="e">
        <f>IF(Z667&gt;0,((IF(OR(D667="RA",D667="OA",D667="OT",D667="UN",D667="PC"),EXP(VLOOKUP(D667,'Species Codes'!B:O,14,0)+VLOOKUP(D667,'Species Codes'!B:P,15,0)*LN((E667*2.54)))-EXP(VLOOKUP(D667,'Species Codes'!B:O,14,0)+VLOOKUP(D667,'Species Codes'!B:P,15,0)*LN((E667*2.54)))*(1/(VLOOKUP(D667,'Species Codes'!B:Q,16,0)+VLOOKUP(D667,'Species Codes'!B:R,17,0)*((E667*2.54)^VLOOKUP(D667,'Species Codes'!B:S,18,0)))),IF(OR(D667="BM",D667="MD",D667="OA"),EXP(VLOOKUP(D667,'Species Codes'!B:O,14,0)+VLOOKUP(D667,'Species Codes'!B:P,15,0)*LN((E667*2.54)))*(1-(1/(VLOOKUP(D667,'Species Codes'!B:Q,16,0)+VLOOKUP(D667,'Species Codes'!B:R,17,0)*((E667*2.54)^VLOOKUP(D667,'Species Codes'!B:S,18,0)))))/1000,IF(D667="DF",EXP(VLOOKUP(D667,'Species Codes'!B:O,14,0)+VLOOKUP(D667,'Species Codes'!B:P,15,0)*LN((E667*2.54))),VLOOKUP(D667,'Species Codes'!B:O,14,0)+VLOOKUP(D667,'Species Codes'!B:P,15,0)*(((E667*2.54)/100)^2)*(I667*0.3048)))))*0.0011023),0)</f>
        <v>#N/A</v>
      </c>
      <c r="AD667" s="104" t="e">
        <f t="shared" si="301"/>
        <v>#N/A</v>
      </c>
      <c r="AE667" s="104" t="e">
        <f t="shared" si="302"/>
        <v>#N/A</v>
      </c>
      <c r="AF667" s="104" t="e">
        <f>IF(AND(VLOOKUP($D667,Merchantability!$B:$C,2,0)="Yes",$E667&gt;=VLOOKUP($D667,Merchantability!$B:$D,3,0),$E667&lt;=VLOOKUP($D667,Merchantability!$B:$E,4,0)),AA667,0)</f>
        <v>#N/A</v>
      </c>
      <c r="AG667" s="104" t="e">
        <f>IF(AND(VLOOKUP($D667,Merchantability!$B:$C,2,0)="Yes",$E667&gt;=VLOOKUP($D667,Merchantability!$B:$D,3,0),$E667&lt;=VLOOKUP($D667,Merchantability!$B:$E,4,0)),AB667,0)</f>
        <v>#N/A</v>
      </c>
      <c r="AH667" s="104" t="e">
        <f>IF(AND(VLOOKUP($D667,Merchantability!$B:$C,2,0)="Yes",$E667&gt;=VLOOKUP($D667,Merchantability!$B:$D,3,0),$E667&lt;=VLOOKUP($D667,Merchantability!$B:$E,4,0)),AC667,0)</f>
        <v>#N/A</v>
      </c>
      <c r="AI667" s="104" t="e">
        <f t="shared" si="303"/>
        <v>#N/A</v>
      </c>
      <c r="AJ667" s="104" t="e">
        <f t="shared" si="304"/>
        <v>#VALUE!</v>
      </c>
      <c r="AK667" s="104" t="e">
        <f t="shared" si="305"/>
        <v>#N/A</v>
      </c>
      <c r="AL667" s="104" t="e">
        <f t="shared" si="306"/>
        <v>#N/A</v>
      </c>
      <c r="AM667" s="104" t="e">
        <f t="shared" si="307"/>
        <v>#N/A</v>
      </c>
      <c r="AN667" s="104" t="e">
        <f t="shared" si="318"/>
        <v>#N/A</v>
      </c>
      <c r="AO667" s="104" t="e">
        <f t="shared" si="319"/>
        <v>#N/A</v>
      </c>
      <c r="AP667" s="104" t="e">
        <f t="shared" si="320"/>
        <v>#N/A</v>
      </c>
      <c r="AQ667" s="104" t="e">
        <f t="shared" si="321"/>
        <v>#N/A</v>
      </c>
      <c r="AR667" s="105" t="str">
        <f t="shared" si="313"/>
        <v/>
      </c>
      <c r="AS667" s="105" t="str">
        <f t="shared" si="314"/>
        <v/>
      </c>
      <c r="AT667" s="108" t="str">
        <f t="shared" si="315"/>
        <v/>
      </c>
      <c r="AU667" s="108" t="str">
        <f t="shared" si="316"/>
        <v/>
      </c>
      <c r="AV667" s="107" t="str">
        <f>IF(ISNUMBER(O667),IF(VLOOKUP($A667,Stand!C:J,8,FALSE)="Short",AT667,AU667),"")</f>
        <v/>
      </c>
      <c r="AW667" s="109" t="str">
        <f t="shared" si="322"/>
        <v/>
      </c>
      <c r="AX667" s="109" t="str">
        <f t="shared" si="323"/>
        <v/>
      </c>
      <c r="AY667" s="112" t="str">
        <f>IF(ISNUMBER(O667),IF(AND(VLOOKUP($D667,Merchantability!$B:$C,2,0)="Yes",$E667&gt;=VLOOKUP($D667,Merchantability!$B:$D,3,0),$E667&lt;=VLOOKUP($D667,Merchantability!$B:$E,4,0)),(AV667*O667)*(1-$H667/100),""),"")</f>
        <v/>
      </c>
      <c r="AZ667" s="116"/>
      <c r="BA667" s="116"/>
      <c r="BB667" s="116"/>
      <c r="BE667" s="62"/>
      <c r="BF667" s="63"/>
    </row>
    <row r="668" spans="1:58" ht="12.75" customHeight="1" x14ac:dyDescent="0.25">
      <c r="A668" s="313"/>
      <c r="B668" s="328"/>
      <c r="C668" s="329"/>
      <c r="D668" s="328"/>
      <c r="E668" s="330"/>
      <c r="F668" s="328"/>
      <c r="G668" s="329"/>
      <c r="H668" s="329"/>
      <c r="I668" s="328"/>
      <c r="J668" s="383"/>
      <c r="K668" s="329"/>
      <c r="L668" s="329"/>
      <c r="M668" s="76"/>
      <c r="N668" s="103" t="str">
        <f>IF(A668="","",VLOOKUP(A668,Stand!C:K,9,0))</f>
        <v/>
      </c>
      <c r="O668" s="104" t="str">
        <f t="shared" si="308"/>
        <v/>
      </c>
      <c r="P668" s="105" t="str">
        <f t="shared" si="309"/>
        <v/>
      </c>
      <c r="Q668" s="105" t="str">
        <f t="shared" si="297"/>
        <v/>
      </c>
      <c r="R668" s="103" t="str">
        <f t="shared" si="310"/>
        <v/>
      </c>
      <c r="S668" s="103" t="str">
        <f t="shared" si="311"/>
        <v/>
      </c>
      <c r="T668" s="106" t="str">
        <f t="shared" si="298"/>
        <v/>
      </c>
      <c r="U668" s="106" t="str">
        <f t="shared" si="299"/>
        <v/>
      </c>
      <c r="V668" s="106" t="str">
        <f t="shared" si="300"/>
        <v/>
      </c>
      <c r="W668" s="105" t="str">
        <f t="shared" si="312"/>
        <v/>
      </c>
      <c r="X668" s="104" t="str">
        <f t="shared" si="317"/>
        <v/>
      </c>
      <c r="Y668" s="104" t="str">
        <f t="array" ref="Y668">IFERROR(IF(ISNUMBER(O668),IF(COUNT(IF(A668=$A$2:$A$2427,IF(D668=$D$2:$D$2427,IF($X$2:$X$2427&gt;0,1))))&gt;0,SUM(IF(A668=$A$2:$A$2427,IF(D668=$D$2:$D$2427,$X$2:$X$2427)))/COUNT(IF(A668=$A$2:$A$2427,IF(D668=$D$2:$D$2427,IF(ISNUMBER($X$2:$X$2427),1)))),0),""),0)</f>
        <v/>
      </c>
      <c r="Z668" s="104" t="str">
        <f>IF(ISNUMBER(O668),IF(I668&gt;0,(10^(VLOOKUP(D668,'Species Codes'!B:C,2,0)+VLOOKUP(D668,'Species Codes'!B:D,3,0)*LOG(E668)+VLOOKUP(D668,'Species Codes'!B:E,4,0)*LOG(I668))),0),"")</f>
        <v/>
      </c>
      <c r="AA668" s="104" t="str">
        <f>IFERROR((VLOOKUP(D668,'Species Codes'!B:G,6,0)*Z668)/2000,"")</f>
        <v/>
      </c>
      <c r="AB668" s="104" t="e">
        <f>IF(Z668&gt;0,((IF(OR(D668="DF",D668="RA")=TRUE,EXP(VLOOKUP(D668,'Species Codes'!B:I,8,0)+VLOOKUP(D668,'Species Codes'!B:J,9,0)*(LN((E668*2.54)))),IF(OR(D668="PY",D668="RC",D668="WH",D668="NF")=TRUE,VLOOKUP(D668,'Species Codes'!B:I,8,0)+VLOOKUP(D668,'Species Codes'!B:J,9,0)*((E668*2.54)^2)*(I668*0.3048),IF(OR(D668="MD",D668="BM",D668="GA")=TRUE,((VLOOKUP(D668,'Species Codes'!B:I,8,0)*(((((E668*2.54)+VLOOKUP(D668,'Species Codes'!B:J,9,0))/VLOOKUP(D668,'Species Codes'!B:K,10,0))^VLOOKUP(D668,'Species Codes'!B:L,11,0))*((I668*0.3048)^VLOOKUP(D668,'Species Codes'!B:M,12,0))))-(VLOOKUP(D668,'Species Codes'!B:I,8,0)*((((E668*2.54)^VLOOKUP(D668,'Species Codes'!B:L,11,0))*((I668*0.3048)^VLOOKUP(D668,'Species Codes'!B:M,12,0))))))*35.3*VLOOKUP(D668,'Species Codes'!B:G,6,0)/2.2046,VLOOKUP(D668,'Species Codes'!B:I,8,0)+VLOOKUP(D668,'Species Codes'!B:J,9,0)*(((E668*2.54)/100)^2)*(I668*0.3048)))))*0.0011023),0)</f>
        <v>#N/A</v>
      </c>
      <c r="AC668" s="104" t="e">
        <f>IF(Z668&gt;0,((IF(OR(D668="RA",D668="OA",D668="OT",D668="UN",D668="PC"),EXP(VLOOKUP(D668,'Species Codes'!B:O,14,0)+VLOOKUP(D668,'Species Codes'!B:P,15,0)*LN((E668*2.54)))-EXP(VLOOKUP(D668,'Species Codes'!B:O,14,0)+VLOOKUP(D668,'Species Codes'!B:P,15,0)*LN((E668*2.54)))*(1/(VLOOKUP(D668,'Species Codes'!B:Q,16,0)+VLOOKUP(D668,'Species Codes'!B:R,17,0)*((E668*2.54)^VLOOKUP(D668,'Species Codes'!B:S,18,0)))),IF(OR(D668="BM",D668="MD",D668="OA"),EXP(VLOOKUP(D668,'Species Codes'!B:O,14,0)+VLOOKUP(D668,'Species Codes'!B:P,15,0)*LN((E668*2.54)))*(1-(1/(VLOOKUP(D668,'Species Codes'!B:Q,16,0)+VLOOKUP(D668,'Species Codes'!B:R,17,0)*((E668*2.54)^VLOOKUP(D668,'Species Codes'!B:S,18,0)))))/1000,IF(D668="DF",EXP(VLOOKUP(D668,'Species Codes'!B:O,14,0)+VLOOKUP(D668,'Species Codes'!B:P,15,0)*LN((E668*2.54))),VLOOKUP(D668,'Species Codes'!B:O,14,0)+VLOOKUP(D668,'Species Codes'!B:P,15,0)*(((E668*2.54)/100)^2)*(I668*0.3048)))))*0.0011023),0)</f>
        <v>#N/A</v>
      </c>
      <c r="AD668" s="104" t="e">
        <f t="shared" si="301"/>
        <v>#N/A</v>
      </c>
      <c r="AE668" s="104" t="e">
        <f t="shared" si="302"/>
        <v>#N/A</v>
      </c>
      <c r="AF668" s="104" t="e">
        <f>IF(AND(VLOOKUP($D668,Merchantability!$B:$C,2,0)="Yes",$E668&gt;=VLOOKUP($D668,Merchantability!$B:$D,3,0),$E668&lt;=VLOOKUP($D668,Merchantability!$B:$E,4,0)),AA668,0)</f>
        <v>#N/A</v>
      </c>
      <c r="AG668" s="104" t="e">
        <f>IF(AND(VLOOKUP($D668,Merchantability!$B:$C,2,0)="Yes",$E668&gt;=VLOOKUP($D668,Merchantability!$B:$D,3,0),$E668&lt;=VLOOKUP($D668,Merchantability!$B:$E,4,0)),AB668,0)</f>
        <v>#N/A</v>
      </c>
      <c r="AH668" s="104" t="e">
        <f>IF(AND(VLOOKUP($D668,Merchantability!$B:$C,2,0)="Yes",$E668&gt;=VLOOKUP($D668,Merchantability!$B:$D,3,0),$E668&lt;=VLOOKUP($D668,Merchantability!$B:$E,4,0)),AC668,0)</f>
        <v>#N/A</v>
      </c>
      <c r="AI668" s="104" t="e">
        <f t="shared" si="303"/>
        <v>#N/A</v>
      </c>
      <c r="AJ668" s="104" t="e">
        <f t="shared" si="304"/>
        <v>#VALUE!</v>
      </c>
      <c r="AK668" s="104" t="e">
        <f t="shared" si="305"/>
        <v>#N/A</v>
      </c>
      <c r="AL668" s="104" t="e">
        <f t="shared" si="306"/>
        <v>#N/A</v>
      </c>
      <c r="AM668" s="104" t="e">
        <f t="shared" si="307"/>
        <v>#N/A</v>
      </c>
      <c r="AN668" s="104" t="e">
        <f t="shared" si="318"/>
        <v>#N/A</v>
      </c>
      <c r="AO668" s="104" t="e">
        <f t="shared" si="319"/>
        <v>#N/A</v>
      </c>
      <c r="AP668" s="104" t="e">
        <f t="shared" si="320"/>
        <v>#N/A</v>
      </c>
      <c r="AQ668" s="104" t="e">
        <f t="shared" si="321"/>
        <v>#N/A</v>
      </c>
      <c r="AR668" s="105" t="str">
        <f t="shared" si="313"/>
        <v/>
      </c>
      <c r="AS668" s="105" t="str">
        <f t="shared" si="314"/>
        <v/>
      </c>
      <c r="AT668" s="108" t="str">
        <f t="shared" si="315"/>
        <v/>
      </c>
      <c r="AU668" s="108" t="str">
        <f t="shared" si="316"/>
        <v/>
      </c>
      <c r="AV668" s="107" t="str">
        <f>IF(ISNUMBER(O668),IF(VLOOKUP($A668,Stand!C:J,8,FALSE)="Short",AT668,AU668),"")</f>
        <v/>
      </c>
      <c r="AW668" s="109" t="str">
        <f t="shared" si="322"/>
        <v/>
      </c>
      <c r="AX668" s="109" t="str">
        <f t="shared" si="323"/>
        <v/>
      </c>
      <c r="AY668" s="112" t="str">
        <f>IF(ISNUMBER(O668),IF(AND(VLOOKUP($D668,Merchantability!$B:$C,2,0)="Yes",$E668&gt;=VLOOKUP($D668,Merchantability!$B:$D,3,0),$E668&lt;=VLOOKUP($D668,Merchantability!$B:$E,4,0)),(AV668*O668)*(1-$H668/100),""),"")</f>
        <v/>
      </c>
      <c r="AZ668" s="116"/>
      <c r="BA668" s="116"/>
      <c r="BB668" s="116"/>
      <c r="BE668" s="62"/>
      <c r="BF668" s="63"/>
    </row>
    <row r="669" spans="1:58" ht="12.75" customHeight="1" x14ac:dyDescent="0.25">
      <c r="A669" s="313"/>
      <c r="B669" s="328"/>
      <c r="C669" s="329"/>
      <c r="D669" s="328"/>
      <c r="E669" s="330"/>
      <c r="F669" s="328"/>
      <c r="G669" s="329"/>
      <c r="H669" s="329"/>
      <c r="I669" s="328"/>
      <c r="J669" s="383"/>
      <c r="K669" s="329"/>
      <c r="L669" s="329"/>
      <c r="M669" s="76"/>
      <c r="N669" s="103" t="str">
        <f>IF(A669="","",VLOOKUP(A669,Stand!C:K,9,0))</f>
        <v/>
      </c>
      <c r="O669" s="104" t="str">
        <f t="shared" si="308"/>
        <v/>
      </c>
      <c r="P669" s="105" t="str">
        <f t="shared" si="309"/>
        <v/>
      </c>
      <c r="Q669" s="105" t="str">
        <f t="shared" ref="Q669:Q732" si="324">IF(AND(ISNUMBER(O669),I669&gt;0),I669*O669,"")</f>
        <v/>
      </c>
      <c r="R669" s="103" t="str">
        <f t="shared" si="310"/>
        <v/>
      </c>
      <c r="S669" s="103" t="str">
        <f t="shared" si="311"/>
        <v/>
      </c>
      <c r="T669" s="106" t="str">
        <f t="shared" ref="T669:T732" si="325">IF(AND(ISNUMBER(O669),J669&gt;0),J669/100,"")</f>
        <v/>
      </c>
      <c r="U669" s="106" t="str">
        <f t="shared" ref="U669:U732" si="326">IF(AND(ISNUMBER(O669),J669&gt;0),T669*O669,"")</f>
        <v/>
      </c>
      <c r="V669" s="106" t="str">
        <f t="shared" ref="V669:V732" si="327">IF(AND(ISNUMBER(O669),I669&gt;0),W669*O669,"")</f>
        <v/>
      </c>
      <c r="W669" s="105" t="str">
        <f t="shared" si="312"/>
        <v/>
      </c>
      <c r="X669" s="104" t="str">
        <f t="shared" si="317"/>
        <v/>
      </c>
      <c r="Y669" s="104" t="str">
        <f t="array" ref="Y669">IFERROR(IF(ISNUMBER(O669),IF(COUNT(IF(A669=$A$2:$A$2427,IF(D669=$D$2:$D$2427,IF($X$2:$X$2427&gt;0,1))))&gt;0,SUM(IF(A669=$A$2:$A$2427,IF(D669=$D$2:$D$2427,$X$2:$X$2427)))/COUNT(IF(A669=$A$2:$A$2427,IF(D669=$D$2:$D$2427,IF(ISNUMBER($X$2:$X$2427),1)))),0),""),0)</f>
        <v/>
      </c>
      <c r="Z669" s="104" t="str">
        <f>IF(ISNUMBER(O669),IF(I669&gt;0,(10^(VLOOKUP(D669,'Species Codes'!B:C,2,0)+VLOOKUP(D669,'Species Codes'!B:D,3,0)*LOG(E669)+VLOOKUP(D669,'Species Codes'!B:E,4,0)*LOG(I669))),0),"")</f>
        <v/>
      </c>
      <c r="AA669" s="104" t="str">
        <f>IFERROR((VLOOKUP(D669,'Species Codes'!B:G,6,0)*Z669)/2000,"")</f>
        <v/>
      </c>
      <c r="AB669" s="104" t="e">
        <f>IF(Z669&gt;0,((IF(OR(D669="DF",D669="RA")=TRUE,EXP(VLOOKUP(D669,'Species Codes'!B:I,8,0)+VLOOKUP(D669,'Species Codes'!B:J,9,0)*(LN((E669*2.54)))),IF(OR(D669="PY",D669="RC",D669="WH",D669="NF")=TRUE,VLOOKUP(D669,'Species Codes'!B:I,8,0)+VLOOKUP(D669,'Species Codes'!B:J,9,0)*((E669*2.54)^2)*(I669*0.3048),IF(OR(D669="MD",D669="BM",D669="GA")=TRUE,((VLOOKUP(D669,'Species Codes'!B:I,8,0)*(((((E669*2.54)+VLOOKUP(D669,'Species Codes'!B:J,9,0))/VLOOKUP(D669,'Species Codes'!B:K,10,0))^VLOOKUP(D669,'Species Codes'!B:L,11,0))*((I669*0.3048)^VLOOKUP(D669,'Species Codes'!B:M,12,0))))-(VLOOKUP(D669,'Species Codes'!B:I,8,0)*((((E669*2.54)^VLOOKUP(D669,'Species Codes'!B:L,11,0))*((I669*0.3048)^VLOOKUP(D669,'Species Codes'!B:M,12,0))))))*35.3*VLOOKUP(D669,'Species Codes'!B:G,6,0)/2.2046,VLOOKUP(D669,'Species Codes'!B:I,8,0)+VLOOKUP(D669,'Species Codes'!B:J,9,0)*(((E669*2.54)/100)^2)*(I669*0.3048)))))*0.0011023),0)</f>
        <v>#N/A</v>
      </c>
      <c r="AC669" s="104" t="e">
        <f>IF(Z669&gt;0,((IF(OR(D669="RA",D669="OA",D669="OT",D669="UN",D669="PC"),EXP(VLOOKUP(D669,'Species Codes'!B:O,14,0)+VLOOKUP(D669,'Species Codes'!B:P,15,0)*LN((E669*2.54)))-EXP(VLOOKUP(D669,'Species Codes'!B:O,14,0)+VLOOKUP(D669,'Species Codes'!B:P,15,0)*LN((E669*2.54)))*(1/(VLOOKUP(D669,'Species Codes'!B:Q,16,0)+VLOOKUP(D669,'Species Codes'!B:R,17,0)*((E669*2.54)^VLOOKUP(D669,'Species Codes'!B:S,18,0)))),IF(OR(D669="BM",D669="MD",D669="OA"),EXP(VLOOKUP(D669,'Species Codes'!B:O,14,0)+VLOOKUP(D669,'Species Codes'!B:P,15,0)*LN((E669*2.54)))*(1-(1/(VLOOKUP(D669,'Species Codes'!B:Q,16,0)+VLOOKUP(D669,'Species Codes'!B:R,17,0)*((E669*2.54)^VLOOKUP(D669,'Species Codes'!B:S,18,0)))))/1000,IF(D669="DF",EXP(VLOOKUP(D669,'Species Codes'!B:O,14,0)+VLOOKUP(D669,'Species Codes'!B:P,15,0)*LN((E669*2.54))),VLOOKUP(D669,'Species Codes'!B:O,14,0)+VLOOKUP(D669,'Species Codes'!B:P,15,0)*(((E669*2.54)/100)^2)*(I669*0.3048)))))*0.0011023),0)</f>
        <v>#N/A</v>
      </c>
      <c r="AD669" s="104" t="e">
        <f t="shared" ref="AD669:AD732" si="328">SUM(AA669:AC669)</f>
        <v>#N/A</v>
      </c>
      <c r="AE669" s="104" t="e">
        <f t="shared" ref="AE669:AE732" si="329">AD669*O669</f>
        <v>#N/A</v>
      </c>
      <c r="AF669" s="104" t="e">
        <f>IF(AND(VLOOKUP($D669,Merchantability!$B:$C,2,0)="Yes",$E669&gt;=VLOOKUP($D669,Merchantability!$B:$D,3,0),$E669&lt;=VLOOKUP($D669,Merchantability!$B:$E,4,0)),AA669,0)</f>
        <v>#N/A</v>
      </c>
      <c r="AG669" s="104" t="e">
        <f>IF(AND(VLOOKUP($D669,Merchantability!$B:$C,2,0)="Yes",$E669&gt;=VLOOKUP($D669,Merchantability!$B:$D,3,0),$E669&lt;=VLOOKUP($D669,Merchantability!$B:$E,4,0)),AB669,0)</f>
        <v>#N/A</v>
      </c>
      <c r="AH669" s="104" t="e">
        <f>IF(AND(VLOOKUP($D669,Merchantability!$B:$C,2,0)="Yes",$E669&gt;=VLOOKUP($D669,Merchantability!$B:$D,3,0),$E669&lt;=VLOOKUP($D669,Merchantability!$B:$E,4,0)),AC669,0)</f>
        <v>#N/A</v>
      </c>
      <c r="AI669" s="104" t="e">
        <f t="shared" ref="AI669:AI732" si="330">SUM(AF669:AH669)</f>
        <v>#N/A</v>
      </c>
      <c r="AJ669" s="104" t="e">
        <f t="shared" ref="AJ669:AJ732" si="331">AA669*$O669</f>
        <v>#VALUE!</v>
      </c>
      <c r="AK669" s="104" t="e">
        <f t="shared" ref="AK669:AK732" si="332">AB669*$O669</f>
        <v>#N/A</v>
      </c>
      <c r="AL669" s="104" t="e">
        <f t="shared" ref="AL669:AL732" si="333">AC669*$O669</f>
        <v>#N/A</v>
      </c>
      <c r="AM669" s="104" t="e">
        <f t="shared" ref="AM669:AM732" si="334">AD669*$O669</f>
        <v>#N/A</v>
      </c>
      <c r="AN669" s="104" t="e">
        <f t="shared" si="318"/>
        <v>#N/A</v>
      </c>
      <c r="AO669" s="104" t="e">
        <f t="shared" si="319"/>
        <v>#N/A</v>
      </c>
      <c r="AP669" s="104" t="e">
        <f t="shared" si="320"/>
        <v>#N/A</v>
      </c>
      <c r="AQ669" s="104" t="e">
        <f t="shared" si="321"/>
        <v>#N/A</v>
      </c>
      <c r="AR669" s="105" t="str">
        <f t="shared" si="313"/>
        <v/>
      </c>
      <c r="AS669" s="105" t="str">
        <f t="shared" si="314"/>
        <v/>
      </c>
      <c r="AT669" s="108" t="str">
        <f t="shared" si="315"/>
        <v/>
      </c>
      <c r="AU669" s="108" t="str">
        <f t="shared" si="316"/>
        <v/>
      </c>
      <c r="AV669" s="107" t="str">
        <f>IF(ISNUMBER(O669),IF(VLOOKUP($A669,Stand!C:J,8,FALSE)="Short",AT669,AU669),"")</f>
        <v/>
      </c>
      <c r="AW669" s="109" t="str">
        <f t="shared" si="322"/>
        <v/>
      </c>
      <c r="AX669" s="109" t="str">
        <f t="shared" si="323"/>
        <v/>
      </c>
      <c r="AY669" s="112" t="str">
        <f>IF(ISNUMBER(O669),IF(AND(VLOOKUP($D669,Merchantability!$B:$C,2,0)="Yes",$E669&gt;=VLOOKUP($D669,Merchantability!$B:$D,3,0),$E669&lt;=VLOOKUP($D669,Merchantability!$B:$E,4,0)),(AV669*O669)*(1-$H669/100),""),"")</f>
        <v/>
      </c>
      <c r="AZ669" s="116"/>
      <c r="BA669" s="116"/>
      <c r="BB669" s="116"/>
      <c r="BE669" s="62"/>
      <c r="BF669" s="63"/>
    </row>
    <row r="670" spans="1:58" ht="12.75" customHeight="1" x14ac:dyDescent="0.25">
      <c r="A670" s="313"/>
      <c r="B670" s="328"/>
      <c r="C670" s="329"/>
      <c r="D670" s="328"/>
      <c r="E670" s="330"/>
      <c r="F670" s="328"/>
      <c r="G670" s="329"/>
      <c r="H670" s="329"/>
      <c r="I670" s="328"/>
      <c r="J670" s="383"/>
      <c r="K670" s="329"/>
      <c r="L670" s="329"/>
      <c r="M670" s="76"/>
      <c r="N670" s="103" t="str">
        <f>IF(A670="","",VLOOKUP(A670,Stand!C:K,9,0))</f>
        <v/>
      </c>
      <c r="O670" s="104" t="str">
        <f t="shared" si="308"/>
        <v/>
      </c>
      <c r="P670" s="105" t="str">
        <f t="shared" si="309"/>
        <v/>
      </c>
      <c r="Q670" s="105" t="str">
        <f t="shared" si="324"/>
        <v/>
      </c>
      <c r="R670" s="103" t="str">
        <f t="shared" si="310"/>
        <v/>
      </c>
      <c r="S670" s="103" t="str">
        <f t="shared" si="311"/>
        <v/>
      </c>
      <c r="T670" s="106" t="str">
        <f t="shared" si="325"/>
        <v/>
      </c>
      <c r="U670" s="106" t="str">
        <f t="shared" si="326"/>
        <v/>
      </c>
      <c r="V670" s="106" t="str">
        <f t="shared" si="327"/>
        <v/>
      </c>
      <c r="W670" s="105" t="str">
        <f t="shared" si="312"/>
        <v/>
      </c>
      <c r="X670" s="104" t="str">
        <f t="shared" si="317"/>
        <v/>
      </c>
      <c r="Y670" s="104" t="str">
        <f t="array" ref="Y670">IFERROR(IF(ISNUMBER(O670),IF(COUNT(IF(A670=$A$2:$A$2427,IF(D670=$D$2:$D$2427,IF($X$2:$X$2427&gt;0,1))))&gt;0,SUM(IF(A670=$A$2:$A$2427,IF(D670=$D$2:$D$2427,$X$2:$X$2427)))/COUNT(IF(A670=$A$2:$A$2427,IF(D670=$D$2:$D$2427,IF(ISNUMBER($X$2:$X$2427),1)))),0),""),0)</f>
        <v/>
      </c>
      <c r="Z670" s="104" t="str">
        <f>IF(ISNUMBER(O670),IF(I670&gt;0,(10^(VLOOKUP(D670,'Species Codes'!B:C,2,0)+VLOOKUP(D670,'Species Codes'!B:D,3,0)*LOG(E670)+VLOOKUP(D670,'Species Codes'!B:E,4,0)*LOG(I670))),0),"")</f>
        <v/>
      </c>
      <c r="AA670" s="104" t="str">
        <f>IFERROR((VLOOKUP(D670,'Species Codes'!B:G,6,0)*Z670)/2000,"")</f>
        <v/>
      </c>
      <c r="AB670" s="104" t="e">
        <f>IF(Z670&gt;0,((IF(OR(D670="DF",D670="RA")=TRUE,EXP(VLOOKUP(D670,'Species Codes'!B:I,8,0)+VLOOKUP(D670,'Species Codes'!B:J,9,0)*(LN((E670*2.54)))),IF(OR(D670="PY",D670="RC",D670="WH",D670="NF")=TRUE,VLOOKUP(D670,'Species Codes'!B:I,8,0)+VLOOKUP(D670,'Species Codes'!B:J,9,0)*((E670*2.54)^2)*(I670*0.3048),IF(OR(D670="MD",D670="BM",D670="GA")=TRUE,((VLOOKUP(D670,'Species Codes'!B:I,8,0)*(((((E670*2.54)+VLOOKUP(D670,'Species Codes'!B:J,9,0))/VLOOKUP(D670,'Species Codes'!B:K,10,0))^VLOOKUP(D670,'Species Codes'!B:L,11,0))*((I670*0.3048)^VLOOKUP(D670,'Species Codes'!B:M,12,0))))-(VLOOKUP(D670,'Species Codes'!B:I,8,0)*((((E670*2.54)^VLOOKUP(D670,'Species Codes'!B:L,11,0))*((I670*0.3048)^VLOOKUP(D670,'Species Codes'!B:M,12,0))))))*35.3*VLOOKUP(D670,'Species Codes'!B:G,6,0)/2.2046,VLOOKUP(D670,'Species Codes'!B:I,8,0)+VLOOKUP(D670,'Species Codes'!B:J,9,0)*(((E670*2.54)/100)^2)*(I670*0.3048)))))*0.0011023),0)</f>
        <v>#N/A</v>
      </c>
      <c r="AC670" s="104" t="e">
        <f>IF(Z670&gt;0,((IF(OR(D670="RA",D670="OA",D670="OT",D670="UN",D670="PC"),EXP(VLOOKUP(D670,'Species Codes'!B:O,14,0)+VLOOKUP(D670,'Species Codes'!B:P,15,0)*LN((E670*2.54)))-EXP(VLOOKUP(D670,'Species Codes'!B:O,14,0)+VLOOKUP(D670,'Species Codes'!B:P,15,0)*LN((E670*2.54)))*(1/(VLOOKUP(D670,'Species Codes'!B:Q,16,0)+VLOOKUP(D670,'Species Codes'!B:R,17,0)*((E670*2.54)^VLOOKUP(D670,'Species Codes'!B:S,18,0)))),IF(OR(D670="BM",D670="MD",D670="OA"),EXP(VLOOKUP(D670,'Species Codes'!B:O,14,0)+VLOOKUP(D670,'Species Codes'!B:P,15,0)*LN((E670*2.54)))*(1-(1/(VLOOKUP(D670,'Species Codes'!B:Q,16,0)+VLOOKUP(D670,'Species Codes'!B:R,17,0)*((E670*2.54)^VLOOKUP(D670,'Species Codes'!B:S,18,0)))))/1000,IF(D670="DF",EXP(VLOOKUP(D670,'Species Codes'!B:O,14,0)+VLOOKUP(D670,'Species Codes'!B:P,15,0)*LN((E670*2.54))),VLOOKUP(D670,'Species Codes'!B:O,14,0)+VLOOKUP(D670,'Species Codes'!B:P,15,0)*(((E670*2.54)/100)^2)*(I670*0.3048)))))*0.0011023),0)</f>
        <v>#N/A</v>
      </c>
      <c r="AD670" s="104" t="e">
        <f t="shared" si="328"/>
        <v>#N/A</v>
      </c>
      <c r="AE670" s="104" t="e">
        <f t="shared" si="329"/>
        <v>#N/A</v>
      </c>
      <c r="AF670" s="104" t="e">
        <f>IF(AND(VLOOKUP($D670,Merchantability!$B:$C,2,0)="Yes",$E670&gt;=VLOOKUP($D670,Merchantability!$B:$D,3,0),$E670&lt;=VLOOKUP($D670,Merchantability!$B:$E,4,0)),AA670,0)</f>
        <v>#N/A</v>
      </c>
      <c r="AG670" s="104" t="e">
        <f>IF(AND(VLOOKUP($D670,Merchantability!$B:$C,2,0)="Yes",$E670&gt;=VLOOKUP($D670,Merchantability!$B:$D,3,0),$E670&lt;=VLOOKUP($D670,Merchantability!$B:$E,4,0)),AB670,0)</f>
        <v>#N/A</v>
      </c>
      <c r="AH670" s="104" t="e">
        <f>IF(AND(VLOOKUP($D670,Merchantability!$B:$C,2,0)="Yes",$E670&gt;=VLOOKUP($D670,Merchantability!$B:$D,3,0),$E670&lt;=VLOOKUP($D670,Merchantability!$B:$E,4,0)),AC670,0)</f>
        <v>#N/A</v>
      </c>
      <c r="AI670" s="104" t="e">
        <f t="shared" si="330"/>
        <v>#N/A</v>
      </c>
      <c r="AJ670" s="104" t="e">
        <f t="shared" si="331"/>
        <v>#VALUE!</v>
      </c>
      <c r="AK670" s="104" t="e">
        <f t="shared" si="332"/>
        <v>#N/A</v>
      </c>
      <c r="AL670" s="104" t="e">
        <f t="shared" si="333"/>
        <v>#N/A</v>
      </c>
      <c r="AM670" s="104" t="e">
        <f t="shared" si="334"/>
        <v>#N/A</v>
      </c>
      <c r="AN670" s="104" t="e">
        <f t="shared" si="318"/>
        <v>#N/A</v>
      </c>
      <c r="AO670" s="104" t="e">
        <f t="shared" si="319"/>
        <v>#N/A</v>
      </c>
      <c r="AP670" s="104" t="e">
        <f t="shared" si="320"/>
        <v>#N/A</v>
      </c>
      <c r="AQ670" s="104" t="e">
        <f t="shared" si="321"/>
        <v>#N/A</v>
      </c>
      <c r="AR670" s="105" t="str">
        <f t="shared" si="313"/>
        <v/>
      </c>
      <c r="AS670" s="105" t="str">
        <f t="shared" si="314"/>
        <v/>
      </c>
      <c r="AT670" s="108" t="str">
        <f t="shared" si="315"/>
        <v/>
      </c>
      <c r="AU670" s="108" t="str">
        <f t="shared" si="316"/>
        <v/>
      </c>
      <c r="AV670" s="107" t="str">
        <f>IF(ISNUMBER(O670),IF(VLOOKUP($A670,Stand!C:J,8,FALSE)="Short",AT670,AU670),"")</f>
        <v/>
      </c>
      <c r="AW670" s="109" t="str">
        <f t="shared" si="322"/>
        <v/>
      </c>
      <c r="AX670" s="109" t="str">
        <f t="shared" si="323"/>
        <v/>
      </c>
      <c r="AY670" s="112" t="str">
        <f>IF(ISNUMBER(O670),IF(AND(VLOOKUP($D670,Merchantability!$B:$C,2,0)="Yes",$E670&gt;=VLOOKUP($D670,Merchantability!$B:$D,3,0),$E670&lt;=VLOOKUP($D670,Merchantability!$B:$E,4,0)),(AV670*O670)*(1-$H670/100),""),"")</f>
        <v/>
      </c>
      <c r="AZ670" s="116"/>
      <c r="BA670" s="116"/>
      <c r="BB670" s="116"/>
      <c r="BE670" s="62"/>
      <c r="BF670" s="63"/>
    </row>
    <row r="671" spans="1:58" ht="12.75" customHeight="1" x14ac:dyDescent="0.25">
      <c r="A671" s="313"/>
      <c r="B671" s="328"/>
      <c r="C671" s="329"/>
      <c r="D671" s="328"/>
      <c r="E671" s="330"/>
      <c r="F671" s="328"/>
      <c r="G671" s="329"/>
      <c r="H671" s="329"/>
      <c r="I671" s="328"/>
      <c r="J671" s="383"/>
      <c r="K671" s="329"/>
      <c r="L671" s="329"/>
      <c r="M671" s="76"/>
      <c r="N671" s="103" t="str">
        <f>IF(A671="","",VLOOKUP(A671,Stand!C:K,9,0))</f>
        <v/>
      </c>
      <c r="O671" s="104" t="str">
        <f t="shared" si="308"/>
        <v/>
      </c>
      <c r="P671" s="105" t="str">
        <f t="shared" si="309"/>
        <v/>
      </c>
      <c r="Q671" s="105" t="str">
        <f t="shared" si="324"/>
        <v/>
      </c>
      <c r="R671" s="103" t="str">
        <f t="shared" si="310"/>
        <v/>
      </c>
      <c r="S671" s="103" t="str">
        <f t="shared" si="311"/>
        <v/>
      </c>
      <c r="T671" s="106" t="str">
        <f t="shared" si="325"/>
        <v/>
      </c>
      <c r="U671" s="106" t="str">
        <f t="shared" si="326"/>
        <v/>
      </c>
      <c r="V671" s="106" t="str">
        <f t="shared" si="327"/>
        <v/>
      </c>
      <c r="W671" s="105" t="str">
        <f t="shared" si="312"/>
        <v/>
      </c>
      <c r="X671" s="104" t="str">
        <f t="shared" si="317"/>
        <v/>
      </c>
      <c r="Y671" s="104" t="str">
        <f t="array" ref="Y671">IFERROR(IF(ISNUMBER(O671),IF(COUNT(IF(A671=$A$2:$A$2427,IF(D671=$D$2:$D$2427,IF($X$2:$X$2427&gt;0,1))))&gt;0,SUM(IF(A671=$A$2:$A$2427,IF(D671=$D$2:$D$2427,$X$2:$X$2427)))/COUNT(IF(A671=$A$2:$A$2427,IF(D671=$D$2:$D$2427,IF(ISNUMBER($X$2:$X$2427),1)))),0),""),0)</f>
        <v/>
      </c>
      <c r="Z671" s="104" t="str">
        <f>IF(ISNUMBER(O671),IF(I671&gt;0,(10^(VLOOKUP(D671,'Species Codes'!B:C,2,0)+VLOOKUP(D671,'Species Codes'!B:D,3,0)*LOG(E671)+VLOOKUP(D671,'Species Codes'!B:E,4,0)*LOG(I671))),0),"")</f>
        <v/>
      </c>
      <c r="AA671" s="104" t="str">
        <f>IFERROR((VLOOKUP(D671,'Species Codes'!B:G,6,0)*Z671)/2000,"")</f>
        <v/>
      </c>
      <c r="AB671" s="104" t="e">
        <f>IF(Z671&gt;0,((IF(OR(D671="DF",D671="RA")=TRUE,EXP(VLOOKUP(D671,'Species Codes'!B:I,8,0)+VLOOKUP(D671,'Species Codes'!B:J,9,0)*(LN((E671*2.54)))),IF(OR(D671="PY",D671="RC",D671="WH",D671="NF")=TRUE,VLOOKUP(D671,'Species Codes'!B:I,8,0)+VLOOKUP(D671,'Species Codes'!B:J,9,0)*((E671*2.54)^2)*(I671*0.3048),IF(OR(D671="MD",D671="BM",D671="GA")=TRUE,((VLOOKUP(D671,'Species Codes'!B:I,8,0)*(((((E671*2.54)+VLOOKUP(D671,'Species Codes'!B:J,9,0))/VLOOKUP(D671,'Species Codes'!B:K,10,0))^VLOOKUP(D671,'Species Codes'!B:L,11,0))*((I671*0.3048)^VLOOKUP(D671,'Species Codes'!B:M,12,0))))-(VLOOKUP(D671,'Species Codes'!B:I,8,0)*((((E671*2.54)^VLOOKUP(D671,'Species Codes'!B:L,11,0))*((I671*0.3048)^VLOOKUP(D671,'Species Codes'!B:M,12,0))))))*35.3*VLOOKUP(D671,'Species Codes'!B:G,6,0)/2.2046,VLOOKUP(D671,'Species Codes'!B:I,8,0)+VLOOKUP(D671,'Species Codes'!B:J,9,0)*(((E671*2.54)/100)^2)*(I671*0.3048)))))*0.0011023),0)</f>
        <v>#N/A</v>
      </c>
      <c r="AC671" s="104" t="e">
        <f>IF(Z671&gt;0,((IF(OR(D671="RA",D671="OA",D671="OT",D671="UN",D671="PC"),EXP(VLOOKUP(D671,'Species Codes'!B:O,14,0)+VLOOKUP(D671,'Species Codes'!B:P,15,0)*LN((E671*2.54)))-EXP(VLOOKUP(D671,'Species Codes'!B:O,14,0)+VLOOKUP(D671,'Species Codes'!B:P,15,0)*LN((E671*2.54)))*(1/(VLOOKUP(D671,'Species Codes'!B:Q,16,0)+VLOOKUP(D671,'Species Codes'!B:R,17,0)*((E671*2.54)^VLOOKUP(D671,'Species Codes'!B:S,18,0)))),IF(OR(D671="BM",D671="MD",D671="OA"),EXP(VLOOKUP(D671,'Species Codes'!B:O,14,0)+VLOOKUP(D671,'Species Codes'!B:P,15,0)*LN((E671*2.54)))*(1-(1/(VLOOKUP(D671,'Species Codes'!B:Q,16,0)+VLOOKUP(D671,'Species Codes'!B:R,17,0)*((E671*2.54)^VLOOKUP(D671,'Species Codes'!B:S,18,0)))))/1000,IF(D671="DF",EXP(VLOOKUP(D671,'Species Codes'!B:O,14,0)+VLOOKUP(D671,'Species Codes'!B:P,15,0)*LN((E671*2.54))),VLOOKUP(D671,'Species Codes'!B:O,14,0)+VLOOKUP(D671,'Species Codes'!B:P,15,0)*(((E671*2.54)/100)^2)*(I671*0.3048)))))*0.0011023),0)</f>
        <v>#N/A</v>
      </c>
      <c r="AD671" s="104" t="e">
        <f t="shared" si="328"/>
        <v>#N/A</v>
      </c>
      <c r="AE671" s="104" t="e">
        <f t="shared" si="329"/>
        <v>#N/A</v>
      </c>
      <c r="AF671" s="104" t="e">
        <f>IF(AND(VLOOKUP($D671,Merchantability!$B:$C,2,0)="Yes",$E671&gt;=VLOOKUP($D671,Merchantability!$B:$D,3,0),$E671&lt;=VLOOKUP($D671,Merchantability!$B:$E,4,0)),AA671,0)</f>
        <v>#N/A</v>
      </c>
      <c r="AG671" s="104" t="e">
        <f>IF(AND(VLOOKUP($D671,Merchantability!$B:$C,2,0)="Yes",$E671&gt;=VLOOKUP($D671,Merchantability!$B:$D,3,0),$E671&lt;=VLOOKUP($D671,Merchantability!$B:$E,4,0)),AB671,0)</f>
        <v>#N/A</v>
      </c>
      <c r="AH671" s="104" t="e">
        <f>IF(AND(VLOOKUP($D671,Merchantability!$B:$C,2,0)="Yes",$E671&gt;=VLOOKUP($D671,Merchantability!$B:$D,3,0),$E671&lt;=VLOOKUP($D671,Merchantability!$B:$E,4,0)),AC671,0)</f>
        <v>#N/A</v>
      </c>
      <c r="AI671" s="104" t="e">
        <f t="shared" si="330"/>
        <v>#N/A</v>
      </c>
      <c r="AJ671" s="104" t="e">
        <f t="shared" si="331"/>
        <v>#VALUE!</v>
      </c>
      <c r="AK671" s="104" t="e">
        <f t="shared" si="332"/>
        <v>#N/A</v>
      </c>
      <c r="AL671" s="104" t="e">
        <f t="shared" si="333"/>
        <v>#N/A</v>
      </c>
      <c r="AM671" s="104" t="e">
        <f t="shared" si="334"/>
        <v>#N/A</v>
      </c>
      <c r="AN671" s="104" t="e">
        <f t="shared" si="318"/>
        <v>#N/A</v>
      </c>
      <c r="AO671" s="104" t="e">
        <f t="shared" si="319"/>
        <v>#N/A</v>
      </c>
      <c r="AP671" s="104" t="e">
        <f t="shared" si="320"/>
        <v>#N/A</v>
      </c>
      <c r="AQ671" s="104" t="e">
        <f t="shared" si="321"/>
        <v>#N/A</v>
      </c>
      <c r="AR671" s="105" t="str">
        <f t="shared" si="313"/>
        <v/>
      </c>
      <c r="AS671" s="105" t="str">
        <f t="shared" si="314"/>
        <v/>
      </c>
      <c r="AT671" s="108" t="str">
        <f t="shared" si="315"/>
        <v/>
      </c>
      <c r="AU671" s="108" t="str">
        <f t="shared" si="316"/>
        <v/>
      </c>
      <c r="AV671" s="107" t="str">
        <f>IF(ISNUMBER(O671),IF(VLOOKUP($A671,Stand!C:J,8,FALSE)="Short",AT671,AU671),"")</f>
        <v/>
      </c>
      <c r="AW671" s="109" t="str">
        <f t="shared" si="322"/>
        <v/>
      </c>
      <c r="AX671" s="109" t="str">
        <f t="shared" si="323"/>
        <v/>
      </c>
      <c r="AY671" s="112" t="str">
        <f>IF(ISNUMBER(O671),IF(AND(VLOOKUP($D671,Merchantability!$B:$C,2,0)="Yes",$E671&gt;=VLOOKUP($D671,Merchantability!$B:$D,3,0),$E671&lt;=VLOOKUP($D671,Merchantability!$B:$E,4,0)),(AV671*O671)*(1-$H671/100),""),"")</f>
        <v/>
      </c>
      <c r="AZ671" s="116"/>
      <c r="BA671" s="116"/>
      <c r="BB671" s="116"/>
      <c r="BE671" s="62"/>
      <c r="BF671" s="63"/>
    </row>
    <row r="672" spans="1:58" ht="12.75" customHeight="1" x14ac:dyDescent="0.25">
      <c r="A672" s="313"/>
      <c r="B672" s="328"/>
      <c r="C672" s="329"/>
      <c r="D672" s="328"/>
      <c r="E672" s="330"/>
      <c r="F672" s="328"/>
      <c r="G672" s="329"/>
      <c r="H672" s="329"/>
      <c r="I672" s="328"/>
      <c r="J672" s="383"/>
      <c r="K672" s="329"/>
      <c r="L672" s="329"/>
      <c r="M672" s="76"/>
      <c r="N672" s="103" t="str">
        <f>IF(A672="","",VLOOKUP(A672,Stand!C:K,9,0))</f>
        <v/>
      </c>
      <c r="O672" s="104" t="str">
        <f t="shared" si="308"/>
        <v/>
      </c>
      <c r="P672" s="105" t="str">
        <f t="shared" si="309"/>
        <v/>
      </c>
      <c r="Q672" s="105" t="str">
        <f t="shared" si="324"/>
        <v/>
      </c>
      <c r="R672" s="103" t="str">
        <f t="shared" si="310"/>
        <v/>
      </c>
      <c r="S672" s="103" t="str">
        <f t="shared" si="311"/>
        <v/>
      </c>
      <c r="T672" s="106" t="str">
        <f t="shared" si="325"/>
        <v/>
      </c>
      <c r="U672" s="106" t="str">
        <f t="shared" si="326"/>
        <v/>
      </c>
      <c r="V672" s="106" t="str">
        <f t="shared" si="327"/>
        <v/>
      </c>
      <c r="W672" s="105" t="str">
        <f t="shared" si="312"/>
        <v/>
      </c>
      <c r="X672" s="104" t="str">
        <f t="shared" si="317"/>
        <v/>
      </c>
      <c r="Y672" s="104" t="str">
        <f t="array" ref="Y672">IFERROR(IF(ISNUMBER(O672),IF(COUNT(IF(A672=$A$2:$A$2427,IF(D672=$D$2:$D$2427,IF($X$2:$X$2427&gt;0,1))))&gt;0,SUM(IF(A672=$A$2:$A$2427,IF(D672=$D$2:$D$2427,$X$2:$X$2427)))/COUNT(IF(A672=$A$2:$A$2427,IF(D672=$D$2:$D$2427,IF(ISNUMBER($X$2:$X$2427),1)))),0),""),0)</f>
        <v/>
      </c>
      <c r="Z672" s="104" t="str">
        <f>IF(ISNUMBER(O672),IF(I672&gt;0,(10^(VLOOKUP(D672,'Species Codes'!B:C,2,0)+VLOOKUP(D672,'Species Codes'!B:D,3,0)*LOG(E672)+VLOOKUP(D672,'Species Codes'!B:E,4,0)*LOG(I672))),0),"")</f>
        <v/>
      </c>
      <c r="AA672" s="104" t="str">
        <f>IFERROR((VLOOKUP(D672,'Species Codes'!B:G,6,0)*Z672)/2000,"")</f>
        <v/>
      </c>
      <c r="AB672" s="104" t="e">
        <f>IF(Z672&gt;0,((IF(OR(D672="DF",D672="RA")=TRUE,EXP(VLOOKUP(D672,'Species Codes'!B:I,8,0)+VLOOKUP(D672,'Species Codes'!B:J,9,0)*(LN((E672*2.54)))),IF(OR(D672="PY",D672="RC",D672="WH",D672="NF")=TRUE,VLOOKUP(D672,'Species Codes'!B:I,8,0)+VLOOKUP(D672,'Species Codes'!B:J,9,0)*((E672*2.54)^2)*(I672*0.3048),IF(OR(D672="MD",D672="BM",D672="GA")=TRUE,((VLOOKUP(D672,'Species Codes'!B:I,8,0)*(((((E672*2.54)+VLOOKUP(D672,'Species Codes'!B:J,9,0))/VLOOKUP(D672,'Species Codes'!B:K,10,0))^VLOOKUP(D672,'Species Codes'!B:L,11,0))*((I672*0.3048)^VLOOKUP(D672,'Species Codes'!B:M,12,0))))-(VLOOKUP(D672,'Species Codes'!B:I,8,0)*((((E672*2.54)^VLOOKUP(D672,'Species Codes'!B:L,11,0))*((I672*0.3048)^VLOOKUP(D672,'Species Codes'!B:M,12,0))))))*35.3*VLOOKUP(D672,'Species Codes'!B:G,6,0)/2.2046,VLOOKUP(D672,'Species Codes'!B:I,8,0)+VLOOKUP(D672,'Species Codes'!B:J,9,0)*(((E672*2.54)/100)^2)*(I672*0.3048)))))*0.0011023),0)</f>
        <v>#N/A</v>
      </c>
      <c r="AC672" s="104" t="e">
        <f>IF(Z672&gt;0,((IF(OR(D672="RA",D672="OA",D672="OT",D672="UN",D672="PC"),EXP(VLOOKUP(D672,'Species Codes'!B:O,14,0)+VLOOKUP(D672,'Species Codes'!B:P,15,0)*LN((E672*2.54)))-EXP(VLOOKUP(D672,'Species Codes'!B:O,14,0)+VLOOKUP(D672,'Species Codes'!B:P,15,0)*LN((E672*2.54)))*(1/(VLOOKUP(D672,'Species Codes'!B:Q,16,0)+VLOOKUP(D672,'Species Codes'!B:R,17,0)*((E672*2.54)^VLOOKUP(D672,'Species Codes'!B:S,18,0)))),IF(OR(D672="BM",D672="MD",D672="OA"),EXP(VLOOKUP(D672,'Species Codes'!B:O,14,0)+VLOOKUP(D672,'Species Codes'!B:P,15,0)*LN((E672*2.54)))*(1-(1/(VLOOKUP(D672,'Species Codes'!B:Q,16,0)+VLOOKUP(D672,'Species Codes'!B:R,17,0)*((E672*2.54)^VLOOKUP(D672,'Species Codes'!B:S,18,0)))))/1000,IF(D672="DF",EXP(VLOOKUP(D672,'Species Codes'!B:O,14,0)+VLOOKUP(D672,'Species Codes'!B:P,15,0)*LN((E672*2.54))),VLOOKUP(D672,'Species Codes'!B:O,14,0)+VLOOKUP(D672,'Species Codes'!B:P,15,0)*(((E672*2.54)/100)^2)*(I672*0.3048)))))*0.0011023),0)</f>
        <v>#N/A</v>
      </c>
      <c r="AD672" s="104" t="e">
        <f t="shared" si="328"/>
        <v>#N/A</v>
      </c>
      <c r="AE672" s="104" t="e">
        <f t="shared" si="329"/>
        <v>#N/A</v>
      </c>
      <c r="AF672" s="104" t="e">
        <f>IF(AND(VLOOKUP($D672,Merchantability!$B:$C,2,0)="Yes",$E672&gt;=VLOOKUP($D672,Merchantability!$B:$D,3,0),$E672&lt;=VLOOKUP($D672,Merchantability!$B:$E,4,0)),AA672,0)</f>
        <v>#N/A</v>
      </c>
      <c r="AG672" s="104" t="e">
        <f>IF(AND(VLOOKUP($D672,Merchantability!$B:$C,2,0)="Yes",$E672&gt;=VLOOKUP($D672,Merchantability!$B:$D,3,0),$E672&lt;=VLOOKUP($D672,Merchantability!$B:$E,4,0)),AB672,0)</f>
        <v>#N/A</v>
      </c>
      <c r="AH672" s="104" t="e">
        <f>IF(AND(VLOOKUP($D672,Merchantability!$B:$C,2,0)="Yes",$E672&gt;=VLOOKUP($D672,Merchantability!$B:$D,3,0),$E672&lt;=VLOOKUP($D672,Merchantability!$B:$E,4,0)),AC672,0)</f>
        <v>#N/A</v>
      </c>
      <c r="AI672" s="104" t="e">
        <f t="shared" si="330"/>
        <v>#N/A</v>
      </c>
      <c r="AJ672" s="104" t="e">
        <f t="shared" si="331"/>
        <v>#VALUE!</v>
      </c>
      <c r="AK672" s="104" t="e">
        <f t="shared" si="332"/>
        <v>#N/A</v>
      </c>
      <c r="AL672" s="104" t="e">
        <f t="shared" si="333"/>
        <v>#N/A</v>
      </c>
      <c r="AM672" s="104" t="e">
        <f t="shared" si="334"/>
        <v>#N/A</v>
      </c>
      <c r="AN672" s="104" t="e">
        <f t="shared" si="318"/>
        <v>#N/A</v>
      </c>
      <c r="AO672" s="104" t="e">
        <f t="shared" si="319"/>
        <v>#N/A</v>
      </c>
      <c r="AP672" s="104" t="e">
        <f t="shared" si="320"/>
        <v>#N/A</v>
      </c>
      <c r="AQ672" s="104" t="e">
        <f t="shared" si="321"/>
        <v>#N/A</v>
      </c>
      <c r="AR672" s="105" t="str">
        <f t="shared" si="313"/>
        <v/>
      </c>
      <c r="AS672" s="105" t="str">
        <f t="shared" si="314"/>
        <v/>
      </c>
      <c r="AT672" s="108" t="str">
        <f t="shared" si="315"/>
        <v/>
      </c>
      <c r="AU672" s="108" t="str">
        <f t="shared" si="316"/>
        <v/>
      </c>
      <c r="AV672" s="107" t="str">
        <f>IF(ISNUMBER(O672),IF(VLOOKUP($A672,Stand!C:J,8,FALSE)="Short",AT672,AU672),"")</f>
        <v/>
      </c>
      <c r="AW672" s="109" t="str">
        <f t="shared" si="322"/>
        <v/>
      </c>
      <c r="AX672" s="109" t="str">
        <f t="shared" si="323"/>
        <v/>
      </c>
      <c r="AY672" s="112" t="str">
        <f>IF(ISNUMBER(O672),IF(AND(VLOOKUP($D672,Merchantability!$B:$C,2,0)="Yes",$E672&gt;=VLOOKUP($D672,Merchantability!$B:$D,3,0),$E672&lt;=VLOOKUP($D672,Merchantability!$B:$E,4,0)),(AV672*O672)*(1-$H672/100),""),"")</f>
        <v/>
      </c>
      <c r="AZ672" s="116"/>
      <c r="BA672" s="116"/>
      <c r="BB672" s="116"/>
      <c r="BE672" s="62"/>
      <c r="BF672" s="63"/>
    </row>
    <row r="673" spans="1:58" ht="12.75" customHeight="1" x14ac:dyDescent="0.25">
      <c r="A673" s="313"/>
      <c r="B673" s="328"/>
      <c r="C673" s="329"/>
      <c r="D673" s="328"/>
      <c r="E673" s="330"/>
      <c r="F673" s="328"/>
      <c r="G673" s="329"/>
      <c r="H673" s="329"/>
      <c r="I673" s="328"/>
      <c r="J673" s="383"/>
      <c r="K673" s="329"/>
      <c r="L673" s="329"/>
      <c r="M673" s="76"/>
      <c r="N673" s="103" t="str">
        <f>IF(A673="","",VLOOKUP(A673,Stand!C:K,9,0))</f>
        <v/>
      </c>
      <c r="O673" s="104" t="str">
        <f t="shared" si="308"/>
        <v/>
      </c>
      <c r="P673" s="105" t="str">
        <f t="shared" si="309"/>
        <v/>
      </c>
      <c r="Q673" s="105" t="str">
        <f t="shared" si="324"/>
        <v/>
      </c>
      <c r="R673" s="103" t="str">
        <f t="shared" si="310"/>
        <v/>
      </c>
      <c r="S673" s="103" t="str">
        <f t="shared" si="311"/>
        <v/>
      </c>
      <c r="T673" s="106" t="str">
        <f t="shared" si="325"/>
        <v/>
      </c>
      <c r="U673" s="106" t="str">
        <f t="shared" si="326"/>
        <v/>
      </c>
      <c r="V673" s="106" t="str">
        <f t="shared" si="327"/>
        <v/>
      </c>
      <c r="W673" s="105" t="str">
        <f t="shared" si="312"/>
        <v/>
      </c>
      <c r="X673" s="104" t="str">
        <f t="shared" si="317"/>
        <v/>
      </c>
      <c r="Y673" s="104" t="str">
        <f t="array" ref="Y673">IFERROR(IF(ISNUMBER(O673),IF(COUNT(IF(A673=$A$2:$A$2427,IF(D673=$D$2:$D$2427,IF($X$2:$X$2427&gt;0,1))))&gt;0,SUM(IF(A673=$A$2:$A$2427,IF(D673=$D$2:$D$2427,$X$2:$X$2427)))/COUNT(IF(A673=$A$2:$A$2427,IF(D673=$D$2:$D$2427,IF(ISNUMBER($X$2:$X$2427),1)))),0),""),0)</f>
        <v/>
      </c>
      <c r="Z673" s="104" t="str">
        <f>IF(ISNUMBER(O673),IF(I673&gt;0,(10^(VLOOKUP(D673,'Species Codes'!B:C,2,0)+VLOOKUP(D673,'Species Codes'!B:D,3,0)*LOG(E673)+VLOOKUP(D673,'Species Codes'!B:E,4,0)*LOG(I673))),0),"")</f>
        <v/>
      </c>
      <c r="AA673" s="104" t="str">
        <f>IFERROR((VLOOKUP(D673,'Species Codes'!B:G,6,0)*Z673)/2000,"")</f>
        <v/>
      </c>
      <c r="AB673" s="104" t="e">
        <f>IF(Z673&gt;0,((IF(OR(D673="DF",D673="RA")=TRUE,EXP(VLOOKUP(D673,'Species Codes'!B:I,8,0)+VLOOKUP(D673,'Species Codes'!B:J,9,0)*(LN((E673*2.54)))),IF(OR(D673="PY",D673="RC",D673="WH",D673="NF")=TRUE,VLOOKUP(D673,'Species Codes'!B:I,8,0)+VLOOKUP(D673,'Species Codes'!B:J,9,0)*((E673*2.54)^2)*(I673*0.3048),IF(OR(D673="MD",D673="BM",D673="GA")=TRUE,((VLOOKUP(D673,'Species Codes'!B:I,8,0)*(((((E673*2.54)+VLOOKUP(D673,'Species Codes'!B:J,9,0))/VLOOKUP(D673,'Species Codes'!B:K,10,0))^VLOOKUP(D673,'Species Codes'!B:L,11,0))*((I673*0.3048)^VLOOKUP(D673,'Species Codes'!B:M,12,0))))-(VLOOKUP(D673,'Species Codes'!B:I,8,0)*((((E673*2.54)^VLOOKUP(D673,'Species Codes'!B:L,11,0))*((I673*0.3048)^VLOOKUP(D673,'Species Codes'!B:M,12,0))))))*35.3*VLOOKUP(D673,'Species Codes'!B:G,6,0)/2.2046,VLOOKUP(D673,'Species Codes'!B:I,8,0)+VLOOKUP(D673,'Species Codes'!B:J,9,0)*(((E673*2.54)/100)^2)*(I673*0.3048)))))*0.0011023),0)</f>
        <v>#N/A</v>
      </c>
      <c r="AC673" s="104" t="e">
        <f>IF(Z673&gt;0,((IF(OR(D673="RA",D673="OA",D673="OT",D673="UN",D673="PC"),EXP(VLOOKUP(D673,'Species Codes'!B:O,14,0)+VLOOKUP(D673,'Species Codes'!B:P,15,0)*LN((E673*2.54)))-EXP(VLOOKUP(D673,'Species Codes'!B:O,14,0)+VLOOKUP(D673,'Species Codes'!B:P,15,0)*LN((E673*2.54)))*(1/(VLOOKUP(D673,'Species Codes'!B:Q,16,0)+VLOOKUP(D673,'Species Codes'!B:R,17,0)*((E673*2.54)^VLOOKUP(D673,'Species Codes'!B:S,18,0)))),IF(OR(D673="BM",D673="MD",D673="OA"),EXP(VLOOKUP(D673,'Species Codes'!B:O,14,0)+VLOOKUP(D673,'Species Codes'!B:P,15,0)*LN((E673*2.54)))*(1-(1/(VLOOKUP(D673,'Species Codes'!B:Q,16,0)+VLOOKUP(D673,'Species Codes'!B:R,17,0)*((E673*2.54)^VLOOKUP(D673,'Species Codes'!B:S,18,0)))))/1000,IF(D673="DF",EXP(VLOOKUP(D673,'Species Codes'!B:O,14,0)+VLOOKUP(D673,'Species Codes'!B:P,15,0)*LN((E673*2.54))),VLOOKUP(D673,'Species Codes'!B:O,14,0)+VLOOKUP(D673,'Species Codes'!B:P,15,0)*(((E673*2.54)/100)^2)*(I673*0.3048)))))*0.0011023),0)</f>
        <v>#N/A</v>
      </c>
      <c r="AD673" s="104" t="e">
        <f t="shared" si="328"/>
        <v>#N/A</v>
      </c>
      <c r="AE673" s="104" t="e">
        <f t="shared" si="329"/>
        <v>#N/A</v>
      </c>
      <c r="AF673" s="104" t="e">
        <f>IF(AND(VLOOKUP($D673,Merchantability!$B:$C,2,0)="Yes",$E673&gt;=VLOOKUP($D673,Merchantability!$B:$D,3,0),$E673&lt;=VLOOKUP($D673,Merchantability!$B:$E,4,0)),AA673,0)</f>
        <v>#N/A</v>
      </c>
      <c r="AG673" s="104" t="e">
        <f>IF(AND(VLOOKUP($D673,Merchantability!$B:$C,2,0)="Yes",$E673&gt;=VLOOKUP($D673,Merchantability!$B:$D,3,0),$E673&lt;=VLOOKUP($D673,Merchantability!$B:$E,4,0)),AB673,0)</f>
        <v>#N/A</v>
      </c>
      <c r="AH673" s="104" t="e">
        <f>IF(AND(VLOOKUP($D673,Merchantability!$B:$C,2,0)="Yes",$E673&gt;=VLOOKUP($D673,Merchantability!$B:$D,3,0),$E673&lt;=VLOOKUP($D673,Merchantability!$B:$E,4,0)),AC673,0)</f>
        <v>#N/A</v>
      </c>
      <c r="AI673" s="104" t="e">
        <f t="shared" si="330"/>
        <v>#N/A</v>
      </c>
      <c r="AJ673" s="104" t="e">
        <f t="shared" si="331"/>
        <v>#VALUE!</v>
      </c>
      <c r="AK673" s="104" t="e">
        <f t="shared" si="332"/>
        <v>#N/A</v>
      </c>
      <c r="AL673" s="104" t="e">
        <f t="shared" si="333"/>
        <v>#N/A</v>
      </c>
      <c r="AM673" s="104" t="e">
        <f t="shared" si="334"/>
        <v>#N/A</v>
      </c>
      <c r="AN673" s="104" t="e">
        <f t="shared" si="318"/>
        <v>#N/A</v>
      </c>
      <c r="AO673" s="104" t="e">
        <f t="shared" si="319"/>
        <v>#N/A</v>
      </c>
      <c r="AP673" s="104" t="e">
        <f t="shared" si="320"/>
        <v>#N/A</v>
      </c>
      <c r="AQ673" s="104" t="e">
        <f t="shared" si="321"/>
        <v>#N/A</v>
      </c>
      <c r="AR673" s="105" t="str">
        <f t="shared" si="313"/>
        <v/>
      </c>
      <c r="AS673" s="105" t="str">
        <f t="shared" si="314"/>
        <v/>
      </c>
      <c r="AT673" s="108" t="str">
        <f t="shared" si="315"/>
        <v/>
      </c>
      <c r="AU673" s="108" t="str">
        <f t="shared" si="316"/>
        <v/>
      </c>
      <c r="AV673" s="107" t="str">
        <f>IF(ISNUMBER(O673),IF(VLOOKUP($A673,Stand!C:J,8,FALSE)="Short",AT673,AU673),"")</f>
        <v/>
      </c>
      <c r="AW673" s="109" t="str">
        <f t="shared" si="322"/>
        <v/>
      </c>
      <c r="AX673" s="109" t="str">
        <f t="shared" si="323"/>
        <v/>
      </c>
      <c r="AY673" s="112" t="str">
        <f>IF(ISNUMBER(O673),IF(AND(VLOOKUP($D673,Merchantability!$B:$C,2,0)="Yes",$E673&gt;=VLOOKUP($D673,Merchantability!$B:$D,3,0),$E673&lt;=VLOOKUP($D673,Merchantability!$B:$E,4,0)),(AV673*O673)*(1-$H673/100),""),"")</f>
        <v/>
      </c>
      <c r="AZ673" s="116"/>
      <c r="BA673" s="116"/>
      <c r="BB673" s="116"/>
      <c r="BE673" s="62"/>
      <c r="BF673" s="63"/>
    </row>
    <row r="674" spans="1:58" ht="12.75" customHeight="1" x14ac:dyDescent="0.25">
      <c r="A674" s="313"/>
      <c r="B674" s="328"/>
      <c r="C674" s="329"/>
      <c r="D674" s="328"/>
      <c r="E674" s="330"/>
      <c r="F674" s="328"/>
      <c r="G674" s="329"/>
      <c r="H674" s="329"/>
      <c r="I674" s="328"/>
      <c r="J674" s="383"/>
      <c r="K674" s="329"/>
      <c r="L674" s="329"/>
      <c r="M674" s="76"/>
      <c r="N674" s="103" t="str">
        <f>IF(A674="","",VLOOKUP(A674,Stand!C:K,9,0))</f>
        <v/>
      </c>
      <c r="O674" s="104" t="str">
        <f t="shared" si="308"/>
        <v/>
      </c>
      <c r="P674" s="105" t="str">
        <f t="shared" si="309"/>
        <v/>
      </c>
      <c r="Q674" s="105" t="str">
        <f t="shared" si="324"/>
        <v/>
      </c>
      <c r="R674" s="103" t="str">
        <f t="shared" si="310"/>
        <v/>
      </c>
      <c r="S674" s="103" t="str">
        <f t="shared" si="311"/>
        <v/>
      </c>
      <c r="T674" s="106" t="str">
        <f t="shared" si="325"/>
        <v/>
      </c>
      <c r="U674" s="106" t="str">
        <f t="shared" si="326"/>
        <v/>
      </c>
      <c r="V674" s="106" t="str">
        <f t="shared" si="327"/>
        <v/>
      </c>
      <c r="W674" s="105" t="str">
        <f t="shared" si="312"/>
        <v/>
      </c>
      <c r="X674" s="104" t="str">
        <f t="shared" si="317"/>
        <v/>
      </c>
      <c r="Y674" s="104" t="str">
        <f t="array" ref="Y674">IFERROR(IF(ISNUMBER(O674),IF(COUNT(IF(A674=$A$2:$A$2427,IF(D674=$D$2:$D$2427,IF($X$2:$X$2427&gt;0,1))))&gt;0,SUM(IF(A674=$A$2:$A$2427,IF(D674=$D$2:$D$2427,$X$2:$X$2427)))/COUNT(IF(A674=$A$2:$A$2427,IF(D674=$D$2:$D$2427,IF(ISNUMBER($X$2:$X$2427),1)))),0),""),0)</f>
        <v/>
      </c>
      <c r="Z674" s="104" t="str">
        <f>IF(ISNUMBER(O674),IF(I674&gt;0,(10^(VLOOKUP(D674,'Species Codes'!B:C,2,0)+VLOOKUP(D674,'Species Codes'!B:D,3,0)*LOG(E674)+VLOOKUP(D674,'Species Codes'!B:E,4,0)*LOG(I674))),0),"")</f>
        <v/>
      </c>
      <c r="AA674" s="104" t="str">
        <f>IFERROR((VLOOKUP(D674,'Species Codes'!B:G,6,0)*Z674)/2000,"")</f>
        <v/>
      </c>
      <c r="AB674" s="104" t="e">
        <f>IF(Z674&gt;0,((IF(OR(D674="DF",D674="RA")=TRUE,EXP(VLOOKUP(D674,'Species Codes'!B:I,8,0)+VLOOKUP(D674,'Species Codes'!B:J,9,0)*(LN((E674*2.54)))),IF(OR(D674="PY",D674="RC",D674="WH",D674="NF")=TRUE,VLOOKUP(D674,'Species Codes'!B:I,8,0)+VLOOKUP(D674,'Species Codes'!B:J,9,0)*((E674*2.54)^2)*(I674*0.3048),IF(OR(D674="MD",D674="BM",D674="GA")=TRUE,((VLOOKUP(D674,'Species Codes'!B:I,8,0)*(((((E674*2.54)+VLOOKUP(D674,'Species Codes'!B:J,9,0))/VLOOKUP(D674,'Species Codes'!B:K,10,0))^VLOOKUP(D674,'Species Codes'!B:L,11,0))*((I674*0.3048)^VLOOKUP(D674,'Species Codes'!B:M,12,0))))-(VLOOKUP(D674,'Species Codes'!B:I,8,0)*((((E674*2.54)^VLOOKUP(D674,'Species Codes'!B:L,11,0))*((I674*0.3048)^VLOOKUP(D674,'Species Codes'!B:M,12,0))))))*35.3*VLOOKUP(D674,'Species Codes'!B:G,6,0)/2.2046,VLOOKUP(D674,'Species Codes'!B:I,8,0)+VLOOKUP(D674,'Species Codes'!B:J,9,0)*(((E674*2.54)/100)^2)*(I674*0.3048)))))*0.0011023),0)</f>
        <v>#N/A</v>
      </c>
      <c r="AC674" s="104" t="e">
        <f>IF(Z674&gt;0,((IF(OR(D674="RA",D674="OA",D674="OT",D674="UN",D674="PC"),EXP(VLOOKUP(D674,'Species Codes'!B:O,14,0)+VLOOKUP(D674,'Species Codes'!B:P,15,0)*LN((E674*2.54)))-EXP(VLOOKUP(D674,'Species Codes'!B:O,14,0)+VLOOKUP(D674,'Species Codes'!B:P,15,0)*LN((E674*2.54)))*(1/(VLOOKUP(D674,'Species Codes'!B:Q,16,0)+VLOOKUP(D674,'Species Codes'!B:R,17,0)*((E674*2.54)^VLOOKUP(D674,'Species Codes'!B:S,18,0)))),IF(OR(D674="BM",D674="MD",D674="OA"),EXP(VLOOKUP(D674,'Species Codes'!B:O,14,0)+VLOOKUP(D674,'Species Codes'!B:P,15,0)*LN((E674*2.54)))*(1-(1/(VLOOKUP(D674,'Species Codes'!B:Q,16,0)+VLOOKUP(D674,'Species Codes'!B:R,17,0)*((E674*2.54)^VLOOKUP(D674,'Species Codes'!B:S,18,0)))))/1000,IF(D674="DF",EXP(VLOOKUP(D674,'Species Codes'!B:O,14,0)+VLOOKUP(D674,'Species Codes'!B:P,15,0)*LN((E674*2.54))),VLOOKUP(D674,'Species Codes'!B:O,14,0)+VLOOKUP(D674,'Species Codes'!B:P,15,0)*(((E674*2.54)/100)^2)*(I674*0.3048)))))*0.0011023),0)</f>
        <v>#N/A</v>
      </c>
      <c r="AD674" s="104" t="e">
        <f t="shared" si="328"/>
        <v>#N/A</v>
      </c>
      <c r="AE674" s="104" t="e">
        <f t="shared" si="329"/>
        <v>#N/A</v>
      </c>
      <c r="AF674" s="104" t="e">
        <f>IF(AND(VLOOKUP($D674,Merchantability!$B:$C,2,0)="Yes",$E674&gt;=VLOOKUP($D674,Merchantability!$B:$D,3,0),$E674&lt;=VLOOKUP($D674,Merchantability!$B:$E,4,0)),AA674,0)</f>
        <v>#N/A</v>
      </c>
      <c r="AG674" s="104" t="e">
        <f>IF(AND(VLOOKUP($D674,Merchantability!$B:$C,2,0)="Yes",$E674&gt;=VLOOKUP($D674,Merchantability!$B:$D,3,0),$E674&lt;=VLOOKUP($D674,Merchantability!$B:$E,4,0)),AB674,0)</f>
        <v>#N/A</v>
      </c>
      <c r="AH674" s="104" t="e">
        <f>IF(AND(VLOOKUP($D674,Merchantability!$B:$C,2,0)="Yes",$E674&gt;=VLOOKUP($D674,Merchantability!$B:$D,3,0),$E674&lt;=VLOOKUP($D674,Merchantability!$B:$E,4,0)),AC674,0)</f>
        <v>#N/A</v>
      </c>
      <c r="AI674" s="104" t="e">
        <f t="shared" si="330"/>
        <v>#N/A</v>
      </c>
      <c r="AJ674" s="104" t="e">
        <f t="shared" si="331"/>
        <v>#VALUE!</v>
      </c>
      <c r="AK674" s="104" t="e">
        <f t="shared" si="332"/>
        <v>#N/A</v>
      </c>
      <c r="AL674" s="104" t="e">
        <f t="shared" si="333"/>
        <v>#N/A</v>
      </c>
      <c r="AM674" s="104" t="e">
        <f t="shared" si="334"/>
        <v>#N/A</v>
      </c>
      <c r="AN674" s="104" t="e">
        <f t="shared" si="318"/>
        <v>#N/A</v>
      </c>
      <c r="AO674" s="104" t="e">
        <f t="shared" si="319"/>
        <v>#N/A</v>
      </c>
      <c r="AP674" s="104" t="e">
        <f t="shared" si="320"/>
        <v>#N/A</v>
      </c>
      <c r="AQ674" s="104" t="e">
        <f t="shared" si="321"/>
        <v>#N/A</v>
      </c>
      <c r="AR674" s="105" t="str">
        <f t="shared" si="313"/>
        <v/>
      </c>
      <c r="AS674" s="105" t="str">
        <f t="shared" si="314"/>
        <v/>
      </c>
      <c r="AT674" s="108" t="str">
        <f t="shared" si="315"/>
        <v/>
      </c>
      <c r="AU674" s="108" t="str">
        <f t="shared" si="316"/>
        <v/>
      </c>
      <c r="AV674" s="107" t="str">
        <f>IF(ISNUMBER(O674),IF(VLOOKUP($A674,Stand!C:J,8,FALSE)="Short",AT674,AU674),"")</f>
        <v/>
      </c>
      <c r="AW674" s="109" t="str">
        <f t="shared" si="322"/>
        <v/>
      </c>
      <c r="AX674" s="109" t="str">
        <f t="shared" si="323"/>
        <v/>
      </c>
      <c r="AY674" s="112" t="str">
        <f>IF(ISNUMBER(O674),IF(AND(VLOOKUP($D674,Merchantability!$B:$C,2,0)="Yes",$E674&gt;=VLOOKUP($D674,Merchantability!$B:$D,3,0),$E674&lt;=VLOOKUP($D674,Merchantability!$B:$E,4,0)),(AV674*O674)*(1-$H674/100),""),"")</f>
        <v/>
      </c>
      <c r="AZ674" s="116"/>
      <c r="BA674" s="116"/>
      <c r="BB674" s="116"/>
      <c r="BE674" s="62"/>
      <c r="BF674" s="63"/>
    </row>
    <row r="675" spans="1:58" ht="12.75" customHeight="1" x14ac:dyDescent="0.25">
      <c r="A675" s="313"/>
      <c r="B675" s="328"/>
      <c r="C675" s="329"/>
      <c r="D675" s="328"/>
      <c r="E675" s="330"/>
      <c r="F675" s="328"/>
      <c r="G675" s="329"/>
      <c r="H675" s="329"/>
      <c r="I675" s="328"/>
      <c r="J675" s="383"/>
      <c r="K675" s="329"/>
      <c r="L675" s="329"/>
      <c r="M675" s="76"/>
      <c r="N675" s="103" t="str">
        <f>IF(A675="","",VLOOKUP(A675,Stand!C:K,9,0))</f>
        <v/>
      </c>
      <c r="O675" s="104" t="str">
        <f t="shared" si="308"/>
        <v/>
      </c>
      <c r="P675" s="105" t="str">
        <f t="shared" si="309"/>
        <v/>
      </c>
      <c r="Q675" s="105" t="str">
        <f t="shared" si="324"/>
        <v/>
      </c>
      <c r="R675" s="103" t="str">
        <f t="shared" si="310"/>
        <v/>
      </c>
      <c r="S675" s="103" t="str">
        <f t="shared" si="311"/>
        <v/>
      </c>
      <c r="T675" s="106" t="str">
        <f t="shared" si="325"/>
        <v/>
      </c>
      <c r="U675" s="106" t="str">
        <f t="shared" si="326"/>
        <v/>
      </c>
      <c r="V675" s="106" t="str">
        <f t="shared" si="327"/>
        <v/>
      </c>
      <c r="W675" s="105" t="str">
        <f t="shared" si="312"/>
        <v/>
      </c>
      <c r="X675" s="104" t="str">
        <f t="shared" si="317"/>
        <v/>
      </c>
      <c r="Y675" s="104" t="str">
        <f t="array" ref="Y675">IFERROR(IF(ISNUMBER(O675),IF(COUNT(IF(A675=$A$2:$A$2427,IF(D675=$D$2:$D$2427,IF($X$2:$X$2427&gt;0,1))))&gt;0,SUM(IF(A675=$A$2:$A$2427,IF(D675=$D$2:$D$2427,$X$2:$X$2427)))/COUNT(IF(A675=$A$2:$A$2427,IF(D675=$D$2:$D$2427,IF(ISNUMBER($X$2:$X$2427),1)))),0),""),0)</f>
        <v/>
      </c>
      <c r="Z675" s="104" t="str">
        <f>IF(ISNUMBER(O675),IF(I675&gt;0,(10^(VLOOKUP(D675,'Species Codes'!B:C,2,0)+VLOOKUP(D675,'Species Codes'!B:D,3,0)*LOG(E675)+VLOOKUP(D675,'Species Codes'!B:E,4,0)*LOG(I675))),0),"")</f>
        <v/>
      </c>
      <c r="AA675" s="104" t="str">
        <f>IFERROR((VLOOKUP(D675,'Species Codes'!B:G,6,0)*Z675)/2000,"")</f>
        <v/>
      </c>
      <c r="AB675" s="104" t="e">
        <f>IF(Z675&gt;0,((IF(OR(D675="DF",D675="RA")=TRUE,EXP(VLOOKUP(D675,'Species Codes'!B:I,8,0)+VLOOKUP(D675,'Species Codes'!B:J,9,0)*(LN((E675*2.54)))),IF(OR(D675="PY",D675="RC",D675="WH",D675="NF")=TRUE,VLOOKUP(D675,'Species Codes'!B:I,8,0)+VLOOKUP(D675,'Species Codes'!B:J,9,0)*((E675*2.54)^2)*(I675*0.3048),IF(OR(D675="MD",D675="BM",D675="GA")=TRUE,((VLOOKUP(D675,'Species Codes'!B:I,8,0)*(((((E675*2.54)+VLOOKUP(D675,'Species Codes'!B:J,9,0))/VLOOKUP(D675,'Species Codes'!B:K,10,0))^VLOOKUP(D675,'Species Codes'!B:L,11,0))*((I675*0.3048)^VLOOKUP(D675,'Species Codes'!B:M,12,0))))-(VLOOKUP(D675,'Species Codes'!B:I,8,0)*((((E675*2.54)^VLOOKUP(D675,'Species Codes'!B:L,11,0))*((I675*0.3048)^VLOOKUP(D675,'Species Codes'!B:M,12,0))))))*35.3*VLOOKUP(D675,'Species Codes'!B:G,6,0)/2.2046,VLOOKUP(D675,'Species Codes'!B:I,8,0)+VLOOKUP(D675,'Species Codes'!B:J,9,0)*(((E675*2.54)/100)^2)*(I675*0.3048)))))*0.0011023),0)</f>
        <v>#N/A</v>
      </c>
      <c r="AC675" s="104" t="e">
        <f>IF(Z675&gt;0,((IF(OR(D675="RA",D675="OA",D675="OT",D675="UN",D675="PC"),EXP(VLOOKUP(D675,'Species Codes'!B:O,14,0)+VLOOKUP(D675,'Species Codes'!B:P,15,0)*LN((E675*2.54)))-EXP(VLOOKUP(D675,'Species Codes'!B:O,14,0)+VLOOKUP(D675,'Species Codes'!B:P,15,0)*LN((E675*2.54)))*(1/(VLOOKUP(D675,'Species Codes'!B:Q,16,0)+VLOOKUP(D675,'Species Codes'!B:R,17,0)*((E675*2.54)^VLOOKUP(D675,'Species Codes'!B:S,18,0)))),IF(OR(D675="BM",D675="MD",D675="OA"),EXP(VLOOKUP(D675,'Species Codes'!B:O,14,0)+VLOOKUP(D675,'Species Codes'!B:P,15,0)*LN((E675*2.54)))*(1-(1/(VLOOKUP(D675,'Species Codes'!B:Q,16,0)+VLOOKUP(D675,'Species Codes'!B:R,17,0)*((E675*2.54)^VLOOKUP(D675,'Species Codes'!B:S,18,0)))))/1000,IF(D675="DF",EXP(VLOOKUP(D675,'Species Codes'!B:O,14,0)+VLOOKUP(D675,'Species Codes'!B:P,15,0)*LN((E675*2.54))),VLOOKUP(D675,'Species Codes'!B:O,14,0)+VLOOKUP(D675,'Species Codes'!B:P,15,0)*(((E675*2.54)/100)^2)*(I675*0.3048)))))*0.0011023),0)</f>
        <v>#N/A</v>
      </c>
      <c r="AD675" s="104" t="e">
        <f t="shared" si="328"/>
        <v>#N/A</v>
      </c>
      <c r="AE675" s="104" t="e">
        <f t="shared" si="329"/>
        <v>#N/A</v>
      </c>
      <c r="AF675" s="104" t="e">
        <f>IF(AND(VLOOKUP($D675,Merchantability!$B:$C,2,0)="Yes",$E675&gt;=VLOOKUP($D675,Merchantability!$B:$D,3,0),$E675&lt;=VLOOKUP($D675,Merchantability!$B:$E,4,0)),AA675,0)</f>
        <v>#N/A</v>
      </c>
      <c r="AG675" s="104" t="e">
        <f>IF(AND(VLOOKUP($D675,Merchantability!$B:$C,2,0)="Yes",$E675&gt;=VLOOKUP($D675,Merchantability!$B:$D,3,0),$E675&lt;=VLOOKUP($D675,Merchantability!$B:$E,4,0)),AB675,0)</f>
        <v>#N/A</v>
      </c>
      <c r="AH675" s="104" t="e">
        <f>IF(AND(VLOOKUP($D675,Merchantability!$B:$C,2,0)="Yes",$E675&gt;=VLOOKUP($D675,Merchantability!$B:$D,3,0),$E675&lt;=VLOOKUP($D675,Merchantability!$B:$E,4,0)),AC675,0)</f>
        <v>#N/A</v>
      </c>
      <c r="AI675" s="104" t="e">
        <f t="shared" si="330"/>
        <v>#N/A</v>
      </c>
      <c r="AJ675" s="104" t="e">
        <f t="shared" si="331"/>
        <v>#VALUE!</v>
      </c>
      <c r="AK675" s="104" t="e">
        <f t="shared" si="332"/>
        <v>#N/A</v>
      </c>
      <c r="AL675" s="104" t="e">
        <f t="shared" si="333"/>
        <v>#N/A</v>
      </c>
      <c r="AM675" s="104" t="e">
        <f t="shared" si="334"/>
        <v>#N/A</v>
      </c>
      <c r="AN675" s="104" t="e">
        <f t="shared" si="318"/>
        <v>#N/A</v>
      </c>
      <c r="AO675" s="104" t="e">
        <f t="shared" si="319"/>
        <v>#N/A</v>
      </c>
      <c r="AP675" s="104" t="e">
        <f t="shared" si="320"/>
        <v>#N/A</v>
      </c>
      <c r="AQ675" s="104" t="e">
        <f t="shared" si="321"/>
        <v>#N/A</v>
      </c>
      <c r="AR675" s="105" t="str">
        <f t="shared" si="313"/>
        <v/>
      </c>
      <c r="AS675" s="105" t="str">
        <f t="shared" si="314"/>
        <v/>
      </c>
      <c r="AT675" s="108" t="str">
        <f t="shared" si="315"/>
        <v/>
      </c>
      <c r="AU675" s="108" t="str">
        <f t="shared" si="316"/>
        <v/>
      </c>
      <c r="AV675" s="107" t="str">
        <f>IF(ISNUMBER(O675),IF(VLOOKUP($A675,Stand!C:J,8,FALSE)="Short",AT675,AU675),"")</f>
        <v/>
      </c>
      <c r="AW675" s="109" t="str">
        <f t="shared" si="322"/>
        <v/>
      </c>
      <c r="AX675" s="109" t="str">
        <f t="shared" si="323"/>
        <v/>
      </c>
      <c r="AY675" s="112" t="str">
        <f>IF(ISNUMBER(O675),IF(AND(VLOOKUP($D675,Merchantability!$B:$C,2,0)="Yes",$E675&gt;=VLOOKUP($D675,Merchantability!$B:$D,3,0),$E675&lt;=VLOOKUP($D675,Merchantability!$B:$E,4,0)),(AV675*O675)*(1-$H675/100),""),"")</f>
        <v/>
      </c>
      <c r="AZ675" s="116"/>
      <c r="BA675" s="116"/>
      <c r="BB675" s="116"/>
      <c r="BE675" s="62"/>
      <c r="BF675" s="63"/>
    </row>
    <row r="676" spans="1:58" ht="12.75" customHeight="1" x14ac:dyDescent="0.25">
      <c r="A676" s="313"/>
      <c r="B676" s="328"/>
      <c r="C676" s="329"/>
      <c r="D676" s="328"/>
      <c r="E676" s="330"/>
      <c r="F676" s="328"/>
      <c r="G676" s="329"/>
      <c r="H676" s="329"/>
      <c r="I676" s="328"/>
      <c r="J676" s="383"/>
      <c r="K676" s="329"/>
      <c r="L676" s="329"/>
      <c r="M676" s="76"/>
      <c r="N676" s="103" t="str">
        <f>IF(A676="","",VLOOKUP(A676,Stand!C:K,9,0))</f>
        <v/>
      </c>
      <c r="O676" s="104" t="str">
        <f t="shared" si="308"/>
        <v/>
      </c>
      <c r="P676" s="105" t="str">
        <f t="shared" si="309"/>
        <v/>
      </c>
      <c r="Q676" s="105" t="str">
        <f t="shared" si="324"/>
        <v/>
      </c>
      <c r="R676" s="103" t="str">
        <f t="shared" si="310"/>
        <v/>
      </c>
      <c r="S676" s="103" t="str">
        <f t="shared" si="311"/>
        <v/>
      </c>
      <c r="T676" s="106" t="str">
        <f t="shared" si="325"/>
        <v/>
      </c>
      <c r="U676" s="106" t="str">
        <f t="shared" si="326"/>
        <v/>
      </c>
      <c r="V676" s="106" t="str">
        <f t="shared" si="327"/>
        <v/>
      </c>
      <c r="W676" s="105" t="str">
        <f t="shared" si="312"/>
        <v/>
      </c>
      <c r="X676" s="104" t="str">
        <f t="shared" si="317"/>
        <v/>
      </c>
      <c r="Y676" s="104" t="str">
        <f t="array" ref="Y676">IFERROR(IF(ISNUMBER(O676),IF(COUNT(IF(A676=$A$2:$A$2427,IF(D676=$D$2:$D$2427,IF($X$2:$X$2427&gt;0,1))))&gt;0,SUM(IF(A676=$A$2:$A$2427,IF(D676=$D$2:$D$2427,$X$2:$X$2427)))/COUNT(IF(A676=$A$2:$A$2427,IF(D676=$D$2:$D$2427,IF(ISNUMBER($X$2:$X$2427),1)))),0),""),0)</f>
        <v/>
      </c>
      <c r="Z676" s="104" t="str">
        <f>IF(ISNUMBER(O676),IF(I676&gt;0,(10^(VLOOKUP(D676,'Species Codes'!B:C,2,0)+VLOOKUP(D676,'Species Codes'!B:D,3,0)*LOG(E676)+VLOOKUP(D676,'Species Codes'!B:E,4,0)*LOG(I676))),0),"")</f>
        <v/>
      </c>
      <c r="AA676" s="104" t="str">
        <f>IFERROR((VLOOKUP(D676,'Species Codes'!B:G,6,0)*Z676)/2000,"")</f>
        <v/>
      </c>
      <c r="AB676" s="104" t="e">
        <f>IF(Z676&gt;0,((IF(OR(D676="DF",D676="RA")=TRUE,EXP(VLOOKUP(D676,'Species Codes'!B:I,8,0)+VLOOKUP(D676,'Species Codes'!B:J,9,0)*(LN((E676*2.54)))),IF(OR(D676="PY",D676="RC",D676="WH",D676="NF")=TRUE,VLOOKUP(D676,'Species Codes'!B:I,8,0)+VLOOKUP(D676,'Species Codes'!B:J,9,0)*((E676*2.54)^2)*(I676*0.3048),IF(OR(D676="MD",D676="BM",D676="GA")=TRUE,((VLOOKUP(D676,'Species Codes'!B:I,8,0)*(((((E676*2.54)+VLOOKUP(D676,'Species Codes'!B:J,9,0))/VLOOKUP(D676,'Species Codes'!B:K,10,0))^VLOOKUP(D676,'Species Codes'!B:L,11,0))*((I676*0.3048)^VLOOKUP(D676,'Species Codes'!B:M,12,0))))-(VLOOKUP(D676,'Species Codes'!B:I,8,0)*((((E676*2.54)^VLOOKUP(D676,'Species Codes'!B:L,11,0))*((I676*0.3048)^VLOOKUP(D676,'Species Codes'!B:M,12,0))))))*35.3*VLOOKUP(D676,'Species Codes'!B:G,6,0)/2.2046,VLOOKUP(D676,'Species Codes'!B:I,8,0)+VLOOKUP(D676,'Species Codes'!B:J,9,0)*(((E676*2.54)/100)^2)*(I676*0.3048)))))*0.0011023),0)</f>
        <v>#N/A</v>
      </c>
      <c r="AC676" s="104" t="e">
        <f>IF(Z676&gt;0,((IF(OR(D676="RA",D676="OA",D676="OT",D676="UN",D676="PC"),EXP(VLOOKUP(D676,'Species Codes'!B:O,14,0)+VLOOKUP(D676,'Species Codes'!B:P,15,0)*LN((E676*2.54)))-EXP(VLOOKUP(D676,'Species Codes'!B:O,14,0)+VLOOKUP(D676,'Species Codes'!B:P,15,0)*LN((E676*2.54)))*(1/(VLOOKUP(D676,'Species Codes'!B:Q,16,0)+VLOOKUP(D676,'Species Codes'!B:R,17,0)*((E676*2.54)^VLOOKUP(D676,'Species Codes'!B:S,18,0)))),IF(OR(D676="BM",D676="MD",D676="OA"),EXP(VLOOKUP(D676,'Species Codes'!B:O,14,0)+VLOOKUP(D676,'Species Codes'!B:P,15,0)*LN((E676*2.54)))*(1-(1/(VLOOKUP(D676,'Species Codes'!B:Q,16,0)+VLOOKUP(D676,'Species Codes'!B:R,17,0)*((E676*2.54)^VLOOKUP(D676,'Species Codes'!B:S,18,0)))))/1000,IF(D676="DF",EXP(VLOOKUP(D676,'Species Codes'!B:O,14,0)+VLOOKUP(D676,'Species Codes'!B:P,15,0)*LN((E676*2.54))),VLOOKUP(D676,'Species Codes'!B:O,14,0)+VLOOKUP(D676,'Species Codes'!B:P,15,0)*(((E676*2.54)/100)^2)*(I676*0.3048)))))*0.0011023),0)</f>
        <v>#N/A</v>
      </c>
      <c r="AD676" s="104" t="e">
        <f t="shared" si="328"/>
        <v>#N/A</v>
      </c>
      <c r="AE676" s="104" t="e">
        <f t="shared" si="329"/>
        <v>#N/A</v>
      </c>
      <c r="AF676" s="104" t="e">
        <f>IF(AND(VLOOKUP($D676,Merchantability!$B:$C,2,0)="Yes",$E676&gt;=VLOOKUP($D676,Merchantability!$B:$D,3,0),$E676&lt;=VLOOKUP($D676,Merchantability!$B:$E,4,0)),AA676,0)</f>
        <v>#N/A</v>
      </c>
      <c r="AG676" s="104" t="e">
        <f>IF(AND(VLOOKUP($D676,Merchantability!$B:$C,2,0)="Yes",$E676&gt;=VLOOKUP($D676,Merchantability!$B:$D,3,0),$E676&lt;=VLOOKUP($D676,Merchantability!$B:$E,4,0)),AB676,0)</f>
        <v>#N/A</v>
      </c>
      <c r="AH676" s="104" t="e">
        <f>IF(AND(VLOOKUP($D676,Merchantability!$B:$C,2,0)="Yes",$E676&gt;=VLOOKUP($D676,Merchantability!$B:$D,3,0),$E676&lt;=VLOOKUP($D676,Merchantability!$B:$E,4,0)),AC676,0)</f>
        <v>#N/A</v>
      </c>
      <c r="AI676" s="104" t="e">
        <f t="shared" si="330"/>
        <v>#N/A</v>
      </c>
      <c r="AJ676" s="104" t="e">
        <f t="shared" si="331"/>
        <v>#VALUE!</v>
      </c>
      <c r="AK676" s="104" t="e">
        <f t="shared" si="332"/>
        <v>#N/A</v>
      </c>
      <c r="AL676" s="104" t="e">
        <f t="shared" si="333"/>
        <v>#N/A</v>
      </c>
      <c r="AM676" s="104" t="e">
        <f t="shared" si="334"/>
        <v>#N/A</v>
      </c>
      <c r="AN676" s="104" t="e">
        <f t="shared" si="318"/>
        <v>#N/A</v>
      </c>
      <c r="AO676" s="104" t="e">
        <f t="shared" si="319"/>
        <v>#N/A</v>
      </c>
      <c r="AP676" s="104" t="e">
        <f t="shared" si="320"/>
        <v>#N/A</v>
      </c>
      <c r="AQ676" s="104" t="e">
        <f t="shared" si="321"/>
        <v>#N/A</v>
      </c>
      <c r="AR676" s="105" t="str">
        <f t="shared" si="313"/>
        <v/>
      </c>
      <c r="AS676" s="105" t="str">
        <f t="shared" si="314"/>
        <v/>
      </c>
      <c r="AT676" s="108" t="str">
        <f t="shared" si="315"/>
        <v/>
      </c>
      <c r="AU676" s="108" t="str">
        <f t="shared" si="316"/>
        <v/>
      </c>
      <c r="AV676" s="107" t="str">
        <f>IF(ISNUMBER(O676),IF(VLOOKUP($A676,Stand!C:J,8,FALSE)="Short",AT676,AU676),"")</f>
        <v/>
      </c>
      <c r="AW676" s="109" t="str">
        <f t="shared" si="322"/>
        <v/>
      </c>
      <c r="AX676" s="109" t="str">
        <f t="shared" si="323"/>
        <v/>
      </c>
      <c r="AY676" s="112" t="str">
        <f>IF(ISNUMBER(O676),IF(AND(VLOOKUP($D676,Merchantability!$B:$C,2,0)="Yes",$E676&gt;=VLOOKUP($D676,Merchantability!$B:$D,3,0),$E676&lt;=VLOOKUP($D676,Merchantability!$B:$E,4,0)),(AV676*O676)*(1-$H676/100),""),"")</f>
        <v/>
      </c>
      <c r="AZ676" s="116"/>
      <c r="BA676" s="116"/>
      <c r="BB676" s="116"/>
      <c r="BE676" s="62"/>
      <c r="BF676" s="63"/>
    </row>
    <row r="677" spans="1:58" ht="12.75" customHeight="1" x14ac:dyDescent="0.25">
      <c r="A677" s="313"/>
      <c r="B677" s="328"/>
      <c r="C677" s="329"/>
      <c r="D677" s="328"/>
      <c r="E677" s="330"/>
      <c r="F677" s="328"/>
      <c r="G677" s="329"/>
      <c r="H677" s="329"/>
      <c r="I677" s="328"/>
      <c r="J677" s="383"/>
      <c r="K677" s="329"/>
      <c r="L677" s="329"/>
      <c r="M677" s="76"/>
      <c r="N677" s="103" t="str">
        <f>IF(A677="","",VLOOKUP(A677,Stand!C:K,9,0))</f>
        <v/>
      </c>
      <c r="O677" s="104" t="str">
        <f t="shared" si="308"/>
        <v/>
      </c>
      <c r="P677" s="105" t="str">
        <f t="shared" si="309"/>
        <v/>
      </c>
      <c r="Q677" s="105" t="str">
        <f t="shared" si="324"/>
        <v/>
      </c>
      <c r="R677" s="103" t="str">
        <f t="shared" si="310"/>
        <v/>
      </c>
      <c r="S677" s="103" t="str">
        <f t="shared" si="311"/>
        <v/>
      </c>
      <c r="T677" s="106" t="str">
        <f t="shared" si="325"/>
        <v/>
      </c>
      <c r="U677" s="106" t="str">
        <f t="shared" si="326"/>
        <v/>
      </c>
      <c r="V677" s="106" t="str">
        <f t="shared" si="327"/>
        <v/>
      </c>
      <c r="W677" s="105" t="str">
        <f t="shared" si="312"/>
        <v/>
      </c>
      <c r="X677" s="104" t="str">
        <f t="shared" si="317"/>
        <v/>
      </c>
      <c r="Y677" s="104" t="str">
        <f t="array" ref="Y677">IFERROR(IF(ISNUMBER(O677),IF(COUNT(IF(A677=$A$2:$A$2427,IF(D677=$D$2:$D$2427,IF($X$2:$X$2427&gt;0,1))))&gt;0,SUM(IF(A677=$A$2:$A$2427,IF(D677=$D$2:$D$2427,$X$2:$X$2427)))/COUNT(IF(A677=$A$2:$A$2427,IF(D677=$D$2:$D$2427,IF(ISNUMBER($X$2:$X$2427),1)))),0),""),0)</f>
        <v/>
      </c>
      <c r="Z677" s="104" t="str">
        <f>IF(ISNUMBER(O677),IF(I677&gt;0,(10^(VLOOKUP(D677,'Species Codes'!B:C,2,0)+VLOOKUP(D677,'Species Codes'!B:D,3,0)*LOG(E677)+VLOOKUP(D677,'Species Codes'!B:E,4,0)*LOG(I677))),0),"")</f>
        <v/>
      </c>
      <c r="AA677" s="104" t="str">
        <f>IFERROR((VLOOKUP(D677,'Species Codes'!B:G,6,0)*Z677)/2000,"")</f>
        <v/>
      </c>
      <c r="AB677" s="104" t="e">
        <f>IF(Z677&gt;0,((IF(OR(D677="DF",D677="RA")=TRUE,EXP(VLOOKUP(D677,'Species Codes'!B:I,8,0)+VLOOKUP(D677,'Species Codes'!B:J,9,0)*(LN((E677*2.54)))),IF(OR(D677="PY",D677="RC",D677="WH",D677="NF")=TRUE,VLOOKUP(D677,'Species Codes'!B:I,8,0)+VLOOKUP(D677,'Species Codes'!B:J,9,0)*((E677*2.54)^2)*(I677*0.3048),IF(OR(D677="MD",D677="BM",D677="GA")=TRUE,((VLOOKUP(D677,'Species Codes'!B:I,8,0)*(((((E677*2.54)+VLOOKUP(D677,'Species Codes'!B:J,9,0))/VLOOKUP(D677,'Species Codes'!B:K,10,0))^VLOOKUP(D677,'Species Codes'!B:L,11,0))*((I677*0.3048)^VLOOKUP(D677,'Species Codes'!B:M,12,0))))-(VLOOKUP(D677,'Species Codes'!B:I,8,0)*((((E677*2.54)^VLOOKUP(D677,'Species Codes'!B:L,11,0))*((I677*0.3048)^VLOOKUP(D677,'Species Codes'!B:M,12,0))))))*35.3*VLOOKUP(D677,'Species Codes'!B:G,6,0)/2.2046,VLOOKUP(D677,'Species Codes'!B:I,8,0)+VLOOKUP(D677,'Species Codes'!B:J,9,0)*(((E677*2.54)/100)^2)*(I677*0.3048)))))*0.0011023),0)</f>
        <v>#N/A</v>
      </c>
      <c r="AC677" s="104" t="e">
        <f>IF(Z677&gt;0,((IF(OR(D677="RA",D677="OA",D677="OT",D677="UN",D677="PC"),EXP(VLOOKUP(D677,'Species Codes'!B:O,14,0)+VLOOKUP(D677,'Species Codes'!B:P,15,0)*LN((E677*2.54)))-EXP(VLOOKUP(D677,'Species Codes'!B:O,14,0)+VLOOKUP(D677,'Species Codes'!B:P,15,0)*LN((E677*2.54)))*(1/(VLOOKUP(D677,'Species Codes'!B:Q,16,0)+VLOOKUP(D677,'Species Codes'!B:R,17,0)*((E677*2.54)^VLOOKUP(D677,'Species Codes'!B:S,18,0)))),IF(OR(D677="BM",D677="MD",D677="OA"),EXP(VLOOKUP(D677,'Species Codes'!B:O,14,0)+VLOOKUP(D677,'Species Codes'!B:P,15,0)*LN((E677*2.54)))*(1-(1/(VLOOKUP(D677,'Species Codes'!B:Q,16,0)+VLOOKUP(D677,'Species Codes'!B:R,17,0)*((E677*2.54)^VLOOKUP(D677,'Species Codes'!B:S,18,0)))))/1000,IF(D677="DF",EXP(VLOOKUP(D677,'Species Codes'!B:O,14,0)+VLOOKUP(D677,'Species Codes'!B:P,15,0)*LN((E677*2.54))),VLOOKUP(D677,'Species Codes'!B:O,14,0)+VLOOKUP(D677,'Species Codes'!B:P,15,0)*(((E677*2.54)/100)^2)*(I677*0.3048)))))*0.0011023),0)</f>
        <v>#N/A</v>
      </c>
      <c r="AD677" s="104" t="e">
        <f t="shared" si="328"/>
        <v>#N/A</v>
      </c>
      <c r="AE677" s="104" t="e">
        <f t="shared" si="329"/>
        <v>#N/A</v>
      </c>
      <c r="AF677" s="104" t="e">
        <f>IF(AND(VLOOKUP($D677,Merchantability!$B:$C,2,0)="Yes",$E677&gt;=VLOOKUP($D677,Merchantability!$B:$D,3,0),$E677&lt;=VLOOKUP($D677,Merchantability!$B:$E,4,0)),AA677,0)</f>
        <v>#N/A</v>
      </c>
      <c r="AG677" s="104" t="e">
        <f>IF(AND(VLOOKUP($D677,Merchantability!$B:$C,2,0)="Yes",$E677&gt;=VLOOKUP($D677,Merchantability!$B:$D,3,0),$E677&lt;=VLOOKUP($D677,Merchantability!$B:$E,4,0)),AB677,0)</f>
        <v>#N/A</v>
      </c>
      <c r="AH677" s="104" t="e">
        <f>IF(AND(VLOOKUP($D677,Merchantability!$B:$C,2,0)="Yes",$E677&gt;=VLOOKUP($D677,Merchantability!$B:$D,3,0),$E677&lt;=VLOOKUP($D677,Merchantability!$B:$E,4,0)),AC677,0)</f>
        <v>#N/A</v>
      </c>
      <c r="AI677" s="104" t="e">
        <f t="shared" si="330"/>
        <v>#N/A</v>
      </c>
      <c r="AJ677" s="104" t="e">
        <f t="shared" si="331"/>
        <v>#VALUE!</v>
      </c>
      <c r="AK677" s="104" t="e">
        <f t="shared" si="332"/>
        <v>#N/A</v>
      </c>
      <c r="AL677" s="104" t="e">
        <f t="shared" si="333"/>
        <v>#N/A</v>
      </c>
      <c r="AM677" s="104" t="e">
        <f t="shared" si="334"/>
        <v>#N/A</v>
      </c>
      <c r="AN677" s="104" t="e">
        <f t="shared" si="318"/>
        <v>#N/A</v>
      </c>
      <c r="AO677" s="104" t="e">
        <f t="shared" si="319"/>
        <v>#N/A</v>
      </c>
      <c r="AP677" s="104" t="e">
        <f t="shared" si="320"/>
        <v>#N/A</v>
      </c>
      <c r="AQ677" s="104" t="e">
        <f t="shared" si="321"/>
        <v>#N/A</v>
      </c>
      <c r="AR677" s="105" t="str">
        <f t="shared" si="313"/>
        <v/>
      </c>
      <c r="AS677" s="105" t="str">
        <f t="shared" si="314"/>
        <v/>
      </c>
      <c r="AT677" s="108" t="str">
        <f t="shared" si="315"/>
        <v/>
      </c>
      <c r="AU677" s="108" t="str">
        <f t="shared" si="316"/>
        <v/>
      </c>
      <c r="AV677" s="107" t="str">
        <f>IF(ISNUMBER(O677),IF(VLOOKUP($A677,Stand!C:J,8,FALSE)="Short",AT677,AU677),"")</f>
        <v/>
      </c>
      <c r="AW677" s="109" t="str">
        <f t="shared" si="322"/>
        <v/>
      </c>
      <c r="AX677" s="109" t="str">
        <f t="shared" si="323"/>
        <v/>
      </c>
      <c r="AY677" s="112" t="str">
        <f>IF(ISNUMBER(O677),IF(AND(VLOOKUP($D677,Merchantability!$B:$C,2,0)="Yes",$E677&gt;=VLOOKUP($D677,Merchantability!$B:$D,3,0),$E677&lt;=VLOOKUP($D677,Merchantability!$B:$E,4,0)),(AV677*O677)*(1-$H677/100),""),"")</f>
        <v/>
      </c>
      <c r="AZ677" s="116"/>
      <c r="BA677" s="116"/>
      <c r="BB677" s="116"/>
      <c r="BE677" s="62"/>
      <c r="BF677" s="63"/>
    </row>
    <row r="678" spans="1:58" ht="12.75" customHeight="1" x14ac:dyDescent="0.25">
      <c r="A678" s="313"/>
      <c r="B678" s="328"/>
      <c r="C678" s="329"/>
      <c r="D678" s="328"/>
      <c r="E678" s="330"/>
      <c r="F678" s="328"/>
      <c r="G678" s="329"/>
      <c r="H678" s="329"/>
      <c r="I678" s="328"/>
      <c r="J678" s="383"/>
      <c r="K678" s="329"/>
      <c r="L678" s="329"/>
      <c r="M678" s="76"/>
      <c r="N678" s="103" t="str">
        <f>IF(A678="","",VLOOKUP(A678,Stand!C:K,9,0))</f>
        <v/>
      </c>
      <c r="O678" s="104" t="str">
        <f t="shared" si="308"/>
        <v/>
      </c>
      <c r="P678" s="105" t="str">
        <f t="shared" si="309"/>
        <v/>
      </c>
      <c r="Q678" s="105" t="str">
        <f t="shared" si="324"/>
        <v/>
      </c>
      <c r="R678" s="103" t="str">
        <f t="shared" si="310"/>
        <v/>
      </c>
      <c r="S678" s="103" t="str">
        <f t="shared" si="311"/>
        <v/>
      </c>
      <c r="T678" s="106" t="str">
        <f t="shared" si="325"/>
        <v/>
      </c>
      <c r="U678" s="106" t="str">
        <f t="shared" si="326"/>
        <v/>
      </c>
      <c r="V678" s="106" t="str">
        <f t="shared" si="327"/>
        <v/>
      </c>
      <c r="W678" s="105" t="str">
        <f t="shared" si="312"/>
        <v/>
      </c>
      <c r="X678" s="104" t="str">
        <f t="shared" si="317"/>
        <v/>
      </c>
      <c r="Y678" s="104" t="str">
        <f t="array" ref="Y678">IFERROR(IF(ISNUMBER(O678),IF(COUNT(IF(A678=$A$2:$A$2427,IF(D678=$D$2:$D$2427,IF($X$2:$X$2427&gt;0,1))))&gt;0,SUM(IF(A678=$A$2:$A$2427,IF(D678=$D$2:$D$2427,$X$2:$X$2427)))/COUNT(IF(A678=$A$2:$A$2427,IF(D678=$D$2:$D$2427,IF(ISNUMBER($X$2:$X$2427),1)))),0),""),0)</f>
        <v/>
      </c>
      <c r="Z678" s="104" t="str">
        <f>IF(ISNUMBER(O678),IF(I678&gt;0,(10^(VLOOKUP(D678,'Species Codes'!B:C,2,0)+VLOOKUP(D678,'Species Codes'!B:D,3,0)*LOG(E678)+VLOOKUP(D678,'Species Codes'!B:E,4,0)*LOG(I678))),0),"")</f>
        <v/>
      </c>
      <c r="AA678" s="104" t="str">
        <f>IFERROR((VLOOKUP(D678,'Species Codes'!B:G,6,0)*Z678)/2000,"")</f>
        <v/>
      </c>
      <c r="AB678" s="104" t="e">
        <f>IF(Z678&gt;0,((IF(OR(D678="DF",D678="RA")=TRUE,EXP(VLOOKUP(D678,'Species Codes'!B:I,8,0)+VLOOKUP(D678,'Species Codes'!B:J,9,0)*(LN((E678*2.54)))),IF(OR(D678="PY",D678="RC",D678="WH",D678="NF")=TRUE,VLOOKUP(D678,'Species Codes'!B:I,8,0)+VLOOKUP(D678,'Species Codes'!B:J,9,0)*((E678*2.54)^2)*(I678*0.3048),IF(OR(D678="MD",D678="BM",D678="GA")=TRUE,((VLOOKUP(D678,'Species Codes'!B:I,8,0)*(((((E678*2.54)+VLOOKUP(D678,'Species Codes'!B:J,9,0))/VLOOKUP(D678,'Species Codes'!B:K,10,0))^VLOOKUP(D678,'Species Codes'!B:L,11,0))*((I678*0.3048)^VLOOKUP(D678,'Species Codes'!B:M,12,0))))-(VLOOKUP(D678,'Species Codes'!B:I,8,0)*((((E678*2.54)^VLOOKUP(D678,'Species Codes'!B:L,11,0))*((I678*0.3048)^VLOOKUP(D678,'Species Codes'!B:M,12,0))))))*35.3*VLOOKUP(D678,'Species Codes'!B:G,6,0)/2.2046,VLOOKUP(D678,'Species Codes'!B:I,8,0)+VLOOKUP(D678,'Species Codes'!B:J,9,0)*(((E678*2.54)/100)^2)*(I678*0.3048)))))*0.0011023),0)</f>
        <v>#N/A</v>
      </c>
      <c r="AC678" s="104" t="e">
        <f>IF(Z678&gt;0,((IF(OR(D678="RA",D678="OA",D678="OT",D678="UN",D678="PC"),EXP(VLOOKUP(D678,'Species Codes'!B:O,14,0)+VLOOKUP(D678,'Species Codes'!B:P,15,0)*LN((E678*2.54)))-EXP(VLOOKUP(D678,'Species Codes'!B:O,14,0)+VLOOKUP(D678,'Species Codes'!B:P,15,0)*LN((E678*2.54)))*(1/(VLOOKUP(D678,'Species Codes'!B:Q,16,0)+VLOOKUP(D678,'Species Codes'!B:R,17,0)*((E678*2.54)^VLOOKUP(D678,'Species Codes'!B:S,18,0)))),IF(OR(D678="BM",D678="MD",D678="OA"),EXP(VLOOKUP(D678,'Species Codes'!B:O,14,0)+VLOOKUP(D678,'Species Codes'!B:P,15,0)*LN((E678*2.54)))*(1-(1/(VLOOKUP(D678,'Species Codes'!B:Q,16,0)+VLOOKUP(D678,'Species Codes'!B:R,17,0)*((E678*2.54)^VLOOKUP(D678,'Species Codes'!B:S,18,0)))))/1000,IF(D678="DF",EXP(VLOOKUP(D678,'Species Codes'!B:O,14,0)+VLOOKUP(D678,'Species Codes'!B:P,15,0)*LN((E678*2.54))),VLOOKUP(D678,'Species Codes'!B:O,14,0)+VLOOKUP(D678,'Species Codes'!B:P,15,0)*(((E678*2.54)/100)^2)*(I678*0.3048)))))*0.0011023),0)</f>
        <v>#N/A</v>
      </c>
      <c r="AD678" s="104" t="e">
        <f t="shared" si="328"/>
        <v>#N/A</v>
      </c>
      <c r="AE678" s="104" t="e">
        <f t="shared" si="329"/>
        <v>#N/A</v>
      </c>
      <c r="AF678" s="104" t="e">
        <f>IF(AND(VLOOKUP($D678,Merchantability!$B:$C,2,0)="Yes",$E678&gt;=VLOOKUP($D678,Merchantability!$B:$D,3,0),$E678&lt;=VLOOKUP($D678,Merchantability!$B:$E,4,0)),AA678,0)</f>
        <v>#N/A</v>
      </c>
      <c r="AG678" s="104" t="e">
        <f>IF(AND(VLOOKUP($D678,Merchantability!$B:$C,2,0)="Yes",$E678&gt;=VLOOKUP($D678,Merchantability!$B:$D,3,0),$E678&lt;=VLOOKUP($D678,Merchantability!$B:$E,4,0)),AB678,0)</f>
        <v>#N/A</v>
      </c>
      <c r="AH678" s="104" t="e">
        <f>IF(AND(VLOOKUP($D678,Merchantability!$B:$C,2,0)="Yes",$E678&gt;=VLOOKUP($D678,Merchantability!$B:$D,3,0),$E678&lt;=VLOOKUP($D678,Merchantability!$B:$E,4,0)),AC678,0)</f>
        <v>#N/A</v>
      </c>
      <c r="AI678" s="104" t="e">
        <f t="shared" si="330"/>
        <v>#N/A</v>
      </c>
      <c r="AJ678" s="104" t="e">
        <f t="shared" si="331"/>
        <v>#VALUE!</v>
      </c>
      <c r="AK678" s="104" t="e">
        <f t="shared" si="332"/>
        <v>#N/A</v>
      </c>
      <c r="AL678" s="104" t="e">
        <f t="shared" si="333"/>
        <v>#N/A</v>
      </c>
      <c r="AM678" s="104" t="e">
        <f t="shared" si="334"/>
        <v>#N/A</v>
      </c>
      <c r="AN678" s="104" t="e">
        <f t="shared" si="318"/>
        <v>#N/A</v>
      </c>
      <c r="AO678" s="104" t="e">
        <f t="shared" si="319"/>
        <v>#N/A</v>
      </c>
      <c r="AP678" s="104" t="e">
        <f t="shared" si="320"/>
        <v>#N/A</v>
      </c>
      <c r="AQ678" s="104" t="e">
        <f t="shared" si="321"/>
        <v>#N/A</v>
      </c>
      <c r="AR678" s="105" t="str">
        <f t="shared" si="313"/>
        <v/>
      </c>
      <c r="AS678" s="105" t="str">
        <f t="shared" si="314"/>
        <v/>
      </c>
      <c r="AT678" s="108" t="str">
        <f t="shared" si="315"/>
        <v/>
      </c>
      <c r="AU678" s="108" t="str">
        <f t="shared" si="316"/>
        <v/>
      </c>
      <c r="AV678" s="107" t="str">
        <f>IF(ISNUMBER(O678),IF(VLOOKUP($A678,Stand!C:J,8,FALSE)="Short",AT678,AU678),"")</f>
        <v/>
      </c>
      <c r="AW678" s="109" t="str">
        <f t="shared" si="322"/>
        <v/>
      </c>
      <c r="AX678" s="109" t="str">
        <f t="shared" si="323"/>
        <v/>
      </c>
      <c r="AY678" s="112" t="str">
        <f>IF(ISNUMBER(O678),IF(AND(VLOOKUP($D678,Merchantability!$B:$C,2,0)="Yes",$E678&gt;=VLOOKUP($D678,Merchantability!$B:$D,3,0),$E678&lt;=VLOOKUP($D678,Merchantability!$B:$E,4,0)),(AV678*O678)*(1-$H678/100),""),"")</f>
        <v/>
      </c>
      <c r="AZ678" s="116"/>
      <c r="BA678" s="116"/>
      <c r="BB678" s="116"/>
      <c r="BE678" s="62"/>
      <c r="BF678" s="63"/>
    </row>
    <row r="679" spans="1:58" ht="12.75" customHeight="1" x14ac:dyDescent="0.25">
      <c r="A679" s="313"/>
      <c r="B679" s="328"/>
      <c r="C679" s="329"/>
      <c r="D679" s="328"/>
      <c r="E679" s="330"/>
      <c r="F679" s="328"/>
      <c r="G679" s="329"/>
      <c r="H679" s="329"/>
      <c r="I679" s="328"/>
      <c r="J679" s="383"/>
      <c r="K679" s="329"/>
      <c r="L679" s="329"/>
      <c r="M679" s="76"/>
      <c r="N679" s="103" t="str">
        <f>IF(A679="","",VLOOKUP(A679,Stand!C:K,9,0))</f>
        <v/>
      </c>
      <c r="O679" s="104" t="str">
        <f t="shared" si="308"/>
        <v/>
      </c>
      <c r="P679" s="105" t="str">
        <f t="shared" si="309"/>
        <v/>
      </c>
      <c r="Q679" s="105" t="str">
        <f t="shared" si="324"/>
        <v/>
      </c>
      <c r="R679" s="103" t="str">
        <f t="shared" si="310"/>
        <v/>
      </c>
      <c r="S679" s="103" t="str">
        <f t="shared" si="311"/>
        <v/>
      </c>
      <c r="T679" s="106" t="str">
        <f t="shared" si="325"/>
        <v/>
      </c>
      <c r="U679" s="106" t="str">
        <f t="shared" si="326"/>
        <v/>
      </c>
      <c r="V679" s="106" t="str">
        <f t="shared" si="327"/>
        <v/>
      </c>
      <c r="W679" s="105" t="str">
        <f t="shared" si="312"/>
        <v/>
      </c>
      <c r="X679" s="104" t="str">
        <f t="shared" si="317"/>
        <v/>
      </c>
      <c r="Y679" s="104" t="str">
        <f t="array" ref="Y679">IFERROR(IF(ISNUMBER(O679),IF(COUNT(IF(A679=$A$2:$A$2427,IF(D679=$D$2:$D$2427,IF($X$2:$X$2427&gt;0,1))))&gt;0,SUM(IF(A679=$A$2:$A$2427,IF(D679=$D$2:$D$2427,$X$2:$X$2427)))/COUNT(IF(A679=$A$2:$A$2427,IF(D679=$D$2:$D$2427,IF(ISNUMBER($X$2:$X$2427),1)))),0),""),0)</f>
        <v/>
      </c>
      <c r="Z679" s="104" t="str">
        <f>IF(ISNUMBER(O679),IF(I679&gt;0,(10^(VLOOKUP(D679,'Species Codes'!B:C,2,0)+VLOOKUP(D679,'Species Codes'!B:D,3,0)*LOG(E679)+VLOOKUP(D679,'Species Codes'!B:E,4,0)*LOG(I679))),0),"")</f>
        <v/>
      </c>
      <c r="AA679" s="104" t="str">
        <f>IFERROR((VLOOKUP(D679,'Species Codes'!B:G,6,0)*Z679)/2000,"")</f>
        <v/>
      </c>
      <c r="AB679" s="104" t="e">
        <f>IF(Z679&gt;0,((IF(OR(D679="DF",D679="RA")=TRUE,EXP(VLOOKUP(D679,'Species Codes'!B:I,8,0)+VLOOKUP(D679,'Species Codes'!B:J,9,0)*(LN((E679*2.54)))),IF(OR(D679="PY",D679="RC",D679="WH",D679="NF")=TRUE,VLOOKUP(D679,'Species Codes'!B:I,8,0)+VLOOKUP(D679,'Species Codes'!B:J,9,0)*((E679*2.54)^2)*(I679*0.3048),IF(OR(D679="MD",D679="BM",D679="GA")=TRUE,((VLOOKUP(D679,'Species Codes'!B:I,8,0)*(((((E679*2.54)+VLOOKUP(D679,'Species Codes'!B:J,9,0))/VLOOKUP(D679,'Species Codes'!B:K,10,0))^VLOOKUP(D679,'Species Codes'!B:L,11,0))*((I679*0.3048)^VLOOKUP(D679,'Species Codes'!B:M,12,0))))-(VLOOKUP(D679,'Species Codes'!B:I,8,0)*((((E679*2.54)^VLOOKUP(D679,'Species Codes'!B:L,11,0))*((I679*0.3048)^VLOOKUP(D679,'Species Codes'!B:M,12,0))))))*35.3*VLOOKUP(D679,'Species Codes'!B:G,6,0)/2.2046,VLOOKUP(D679,'Species Codes'!B:I,8,0)+VLOOKUP(D679,'Species Codes'!B:J,9,0)*(((E679*2.54)/100)^2)*(I679*0.3048)))))*0.0011023),0)</f>
        <v>#N/A</v>
      </c>
      <c r="AC679" s="104" t="e">
        <f>IF(Z679&gt;0,((IF(OR(D679="RA",D679="OA",D679="OT",D679="UN",D679="PC"),EXP(VLOOKUP(D679,'Species Codes'!B:O,14,0)+VLOOKUP(D679,'Species Codes'!B:P,15,0)*LN((E679*2.54)))-EXP(VLOOKUP(D679,'Species Codes'!B:O,14,0)+VLOOKUP(D679,'Species Codes'!B:P,15,0)*LN((E679*2.54)))*(1/(VLOOKUP(D679,'Species Codes'!B:Q,16,0)+VLOOKUP(D679,'Species Codes'!B:R,17,0)*((E679*2.54)^VLOOKUP(D679,'Species Codes'!B:S,18,0)))),IF(OR(D679="BM",D679="MD",D679="OA"),EXP(VLOOKUP(D679,'Species Codes'!B:O,14,0)+VLOOKUP(D679,'Species Codes'!B:P,15,0)*LN((E679*2.54)))*(1-(1/(VLOOKUP(D679,'Species Codes'!B:Q,16,0)+VLOOKUP(D679,'Species Codes'!B:R,17,0)*((E679*2.54)^VLOOKUP(D679,'Species Codes'!B:S,18,0)))))/1000,IF(D679="DF",EXP(VLOOKUP(D679,'Species Codes'!B:O,14,0)+VLOOKUP(D679,'Species Codes'!B:P,15,0)*LN((E679*2.54))),VLOOKUP(D679,'Species Codes'!B:O,14,0)+VLOOKUP(D679,'Species Codes'!B:P,15,0)*(((E679*2.54)/100)^2)*(I679*0.3048)))))*0.0011023),0)</f>
        <v>#N/A</v>
      </c>
      <c r="AD679" s="104" t="e">
        <f t="shared" si="328"/>
        <v>#N/A</v>
      </c>
      <c r="AE679" s="104" t="e">
        <f t="shared" si="329"/>
        <v>#N/A</v>
      </c>
      <c r="AF679" s="104" t="e">
        <f>IF(AND(VLOOKUP($D679,Merchantability!$B:$C,2,0)="Yes",$E679&gt;=VLOOKUP($D679,Merchantability!$B:$D,3,0),$E679&lt;=VLOOKUP($D679,Merchantability!$B:$E,4,0)),AA679,0)</f>
        <v>#N/A</v>
      </c>
      <c r="AG679" s="104" t="e">
        <f>IF(AND(VLOOKUP($D679,Merchantability!$B:$C,2,0)="Yes",$E679&gt;=VLOOKUP($D679,Merchantability!$B:$D,3,0),$E679&lt;=VLOOKUP($D679,Merchantability!$B:$E,4,0)),AB679,0)</f>
        <v>#N/A</v>
      </c>
      <c r="AH679" s="104" t="e">
        <f>IF(AND(VLOOKUP($D679,Merchantability!$B:$C,2,0)="Yes",$E679&gt;=VLOOKUP($D679,Merchantability!$B:$D,3,0),$E679&lt;=VLOOKUP($D679,Merchantability!$B:$E,4,0)),AC679,0)</f>
        <v>#N/A</v>
      </c>
      <c r="AI679" s="104" t="e">
        <f t="shared" si="330"/>
        <v>#N/A</v>
      </c>
      <c r="AJ679" s="104" t="e">
        <f t="shared" si="331"/>
        <v>#VALUE!</v>
      </c>
      <c r="AK679" s="104" t="e">
        <f t="shared" si="332"/>
        <v>#N/A</v>
      </c>
      <c r="AL679" s="104" t="e">
        <f t="shared" si="333"/>
        <v>#N/A</v>
      </c>
      <c r="AM679" s="104" t="e">
        <f t="shared" si="334"/>
        <v>#N/A</v>
      </c>
      <c r="AN679" s="104" t="e">
        <f t="shared" si="318"/>
        <v>#N/A</v>
      </c>
      <c r="AO679" s="104" t="e">
        <f t="shared" si="319"/>
        <v>#N/A</v>
      </c>
      <c r="AP679" s="104" t="e">
        <f t="shared" si="320"/>
        <v>#N/A</v>
      </c>
      <c r="AQ679" s="104" t="e">
        <f t="shared" si="321"/>
        <v>#N/A</v>
      </c>
      <c r="AR679" s="105" t="str">
        <f t="shared" si="313"/>
        <v/>
      </c>
      <c r="AS679" s="105" t="str">
        <f t="shared" si="314"/>
        <v/>
      </c>
      <c r="AT679" s="108" t="str">
        <f t="shared" si="315"/>
        <v/>
      </c>
      <c r="AU679" s="108" t="str">
        <f t="shared" si="316"/>
        <v/>
      </c>
      <c r="AV679" s="107" t="str">
        <f>IF(ISNUMBER(O679),IF(VLOOKUP($A679,Stand!C:J,8,FALSE)="Short",AT679,AU679),"")</f>
        <v/>
      </c>
      <c r="AW679" s="109" t="str">
        <f t="shared" si="322"/>
        <v/>
      </c>
      <c r="AX679" s="109" t="str">
        <f t="shared" si="323"/>
        <v/>
      </c>
      <c r="AY679" s="112" t="str">
        <f>IF(ISNUMBER(O679),IF(AND(VLOOKUP($D679,Merchantability!$B:$C,2,0)="Yes",$E679&gt;=VLOOKUP($D679,Merchantability!$B:$D,3,0),$E679&lt;=VLOOKUP($D679,Merchantability!$B:$E,4,0)),(AV679*O679)*(1-$H679/100),""),"")</f>
        <v/>
      </c>
      <c r="AZ679" s="116"/>
      <c r="BA679" s="116"/>
      <c r="BB679" s="116"/>
      <c r="BE679" s="62"/>
      <c r="BF679" s="63"/>
    </row>
    <row r="680" spans="1:58" ht="12.75" customHeight="1" x14ac:dyDescent="0.25">
      <c r="A680" s="313"/>
      <c r="B680" s="328"/>
      <c r="C680" s="329"/>
      <c r="D680" s="328"/>
      <c r="E680" s="330"/>
      <c r="F680" s="328"/>
      <c r="G680" s="329"/>
      <c r="H680" s="329"/>
      <c r="I680" s="328"/>
      <c r="J680" s="383"/>
      <c r="K680" s="329"/>
      <c r="L680" s="329"/>
      <c r="M680" s="76"/>
      <c r="N680" s="103" t="str">
        <f>IF(A680="","",VLOOKUP(A680,Stand!C:K,9,0))</f>
        <v/>
      </c>
      <c r="O680" s="104" t="str">
        <f t="shared" si="308"/>
        <v/>
      </c>
      <c r="P680" s="105" t="str">
        <f t="shared" si="309"/>
        <v/>
      </c>
      <c r="Q680" s="105" t="str">
        <f t="shared" si="324"/>
        <v/>
      </c>
      <c r="R680" s="103" t="str">
        <f t="shared" si="310"/>
        <v/>
      </c>
      <c r="S680" s="103" t="str">
        <f t="shared" si="311"/>
        <v/>
      </c>
      <c r="T680" s="106" t="str">
        <f t="shared" si="325"/>
        <v/>
      </c>
      <c r="U680" s="106" t="str">
        <f t="shared" si="326"/>
        <v/>
      </c>
      <c r="V680" s="106" t="str">
        <f t="shared" si="327"/>
        <v/>
      </c>
      <c r="W680" s="105" t="str">
        <f t="shared" si="312"/>
        <v/>
      </c>
      <c r="X680" s="104" t="str">
        <f t="shared" si="317"/>
        <v/>
      </c>
      <c r="Y680" s="104" t="str">
        <f t="array" ref="Y680">IFERROR(IF(ISNUMBER(O680),IF(COUNT(IF(A680=$A$2:$A$2427,IF(D680=$D$2:$D$2427,IF($X$2:$X$2427&gt;0,1))))&gt;0,SUM(IF(A680=$A$2:$A$2427,IF(D680=$D$2:$D$2427,$X$2:$X$2427)))/COUNT(IF(A680=$A$2:$A$2427,IF(D680=$D$2:$D$2427,IF(ISNUMBER($X$2:$X$2427),1)))),0),""),0)</f>
        <v/>
      </c>
      <c r="Z680" s="104" t="str">
        <f>IF(ISNUMBER(O680),IF(I680&gt;0,(10^(VLOOKUP(D680,'Species Codes'!B:C,2,0)+VLOOKUP(D680,'Species Codes'!B:D,3,0)*LOG(E680)+VLOOKUP(D680,'Species Codes'!B:E,4,0)*LOG(I680))),0),"")</f>
        <v/>
      </c>
      <c r="AA680" s="104" t="str">
        <f>IFERROR((VLOOKUP(D680,'Species Codes'!B:G,6,0)*Z680)/2000,"")</f>
        <v/>
      </c>
      <c r="AB680" s="104" t="e">
        <f>IF(Z680&gt;0,((IF(OR(D680="DF",D680="RA")=TRUE,EXP(VLOOKUP(D680,'Species Codes'!B:I,8,0)+VLOOKUP(D680,'Species Codes'!B:J,9,0)*(LN((E680*2.54)))),IF(OR(D680="PY",D680="RC",D680="WH",D680="NF")=TRUE,VLOOKUP(D680,'Species Codes'!B:I,8,0)+VLOOKUP(D680,'Species Codes'!B:J,9,0)*((E680*2.54)^2)*(I680*0.3048),IF(OR(D680="MD",D680="BM",D680="GA")=TRUE,((VLOOKUP(D680,'Species Codes'!B:I,8,0)*(((((E680*2.54)+VLOOKUP(D680,'Species Codes'!B:J,9,0))/VLOOKUP(D680,'Species Codes'!B:K,10,0))^VLOOKUP(D680,'Species Codes'!B:L,11,0))*((I680*0.3048)^VLOOKUP(D680,'Species Codes'!B:M,12,0))))-(VLOOKUP(D680,'Species Codes'!B:I,8,0)*((((E680*2.54)^VLOOKUP(D680,'Species Codes'!B:L,11,0))*((I680*0.3048)^VLOOKUP(D680,'Species Codes'!B:M,12,0))))))*35.3*VLOOKUP(D680,'Species Codes'!B:G,6,0)/2.2046,VLOOKUP(D680,'Species Codes'!B:I,8,0)+VLOOKUP(D680,'Species Codes'!B:J,9,0)*(((E680*2.54)/100)^2)*(I680*0.3048)))))*0.0011023),0)</f>
        <v>#N/A</v>
      </c>
      <c r="AC680" s="104" t="e">
        <f>IF(Z680&gt;0,((IF(OR(D680="RA",D680="OA",D680="OT",D680="UN",D680="PC"),EXP(VLOOKUP(D680,'Species Codes'!B:O,14,0)+VLOOKUP(D680,'Species Codes'!B:P,15,0)*LN((E680*2.54)))-EXP(VLOOKUP(D680,'Species Codes'!B:O,14,0)+VLOOKUP(D680,'Species Codes'!B:P,15,0)*LN((E680*2.54)))*(1/(VLOOKUP(D680,'Species Codes'!B:Q,16,0)+VLOOKUP(D680,'Species Codes'!B:R,17,0)*((E680*2.54)^VLOOKUP(D680,'Species Codes'!B:S,18,0)))),IF(OR(D680="BM",D680="MD",D680="OA"),EXP(VLOOKUP(D680,'Species Codes'!B:O,14,0)+VLOOKUP(D680,'Species Codes'!B:P,15,0)*LN((E680*2.54)))*(1-(1/(VLOOKUP(D680,'Species Codes'!B:Q,16,0)+VLOOKUP(D680,'Species Codes'!B:R,17,0)*((E680*2.54)^VLOOKUP(D680,'Species Codes'!B:S,18,0)))))/1000,IF(D680="DF",EXP(VLOOKUP(D680,'Species Codes'!B:O,14,0)+VLOOKUP(D680,'Species Codes'!B:P,15,0)*LN((E680*2.54))),VLOOKUP(D680,'Species Codes'!B:O,14,0)+VLOOKUP(D680,'Species Codes'!B:P,15,0)*(((E680*2.54)/100)^2)*(I680*0.3048)))))*0.0011023),0)</f>
        <v>#N/A</v>
      </c>
      <c r="AD680" s="104" t="e">
        <f t="shared" si="328"/>
        <v>#N/A</v>
      </c>
      <c r="AE680" s="104" t="e">
        <f t="shared" si="329"/>
        <v>#N/A</v>
      </c>
      <c r="AF680" s="104" t="e">
        <f>IF(AND(VLOOKUP($D680,Merchantability!$B:$C,2,0)="Yes",$E680&gt;=VLOOKUP($D680,Merchantability!$B:$D,3,0),$E680&lt;=VLOOKUP($D680,Merchantability!$B:$E,4,0)),AA680,0)</f>
        <v>#N/A</v>
      </c>
      <c r="AG680" s="104" t="e">
        <f>IF(AND(VLOOKUP($D680,Merchantability!$B:$C,2,0)="Yes",$E680&gt;=VLOOKUP($D680,Merchantability!$B:$D,3,0),$E680&lt;=VLOOKUP($D680,Merchantability!$B:$E,4,0)),AB680,0)</f>
        <v>#N/A</v>
      </c>
      <c r="AH680" s="104" t="e">
        <f>IF(AND(VLOOKUP($D680,Merchantability!$B:$C,2,0)="Yes",$E680&gt;=VLOOKUP($D680,Merchantability!$B:$D,3,0),$E680&lt;=VLOOKUP($D680,Merchantability!$B:$E,4,0)),AC680,0)</f>
        <v>#N/A</v>
      </c>
      <c r="AI680" s="104" t="e">
        <f t="shared" si="330"/>
        <v>#N/A</v>
      </c>
      <c r="AJ680" s="104" t="e">
        <f t="shared" si="331"/>
        <v>#VALUE!</v>
      </c>
      <c r="AK680" s="104" t="e">
        <f t="shared" si="332"/>
        <v>#N/A</v>
      </c>
      <c r="AL680" s="104" t="e">
        <f t="shared" si="333"/>
        <v>#N/A</v>
      </c>
      <c r="AM680" s="104" t="e">
        <f t="shared" si="334"/>
        <v>#N/A</v>
      </c>
      <c r="AN680" s="104" t="e">
        <f t="shared" si="318"/>
        <v>#N/A</v>
      </c>
      <c r="AO680" s="104" t="e">
        <f t="shared" si="319"/>
        <v>#N/A</v>
      </c>
      <c r="AP680" s="104" t="e">
        <f t="shared" si="320"/>
        <v>#N/A</v>
      </c>
      <c r="AQ680" s="104" t="e">
        <f t="shared" si="321"/>
        <v>#N/A</v>
      </c>
      <c r="AR680" s="105" t="str">
        <f t="shared" si="313"/>
        <v/>
      </c>
      <c r="AS680" s="105" t="str">
        <f t="shared" si="314"/>
        <v/>
      </c>
      <c r="AT680" s="108" t="str">
        <f t="shared" si="315"/>
        <v/>
      </c>
      <c r="AU680" s="108" t="str">
        <f t="shared" si="316"/>
        <v/>
      </c>
      <c r="AV680" s="107" t="str">
        <f>IF(ISNUMBER(O680),IF(VLOOKUP($A680,Stand!C:J,8,FALSE)="Short",AT680,AU680),"")</f>
        <v/>
      </c>
      <c r="AW680" s="109" t="str">
        <f t="shared" si="322"/>
        <v/>
      </c>
      <c r="AX680" s="109" t="str">
        <f t="shared" si="323"/>
        <v/>
      </c>
      <c r="AY680" s="112" t="str">
        <f>IF(ISNUMBER(O680),IF(AND(VLOOKUP($D680,Merchantability!$B:$C,2,0)="Yes",$E680&gt;=VLOOKUP($D680,Merchantability!$B:$D,3,0),$E680&lt;=VLOOKUP($D680,Merchantability!$B:$E,4,0)),(AV680*O680)*(1-$H680/100),""),"")</f>
        <v/>
      </c>
      <c r="AZ680" s="116"/>
      <c r="BA680" s="116"/>
      <c r="BB680" s="116"/>
      <c r="BE680" s="62"/>
      <c r="BF680" s="63"/>
    </row>
    <row r="681" spans="1:58" ht="12.75" customHeight="1" x14ac:dyDescent="0.25">
      <c r="A681" s="313"/>
      <c r="B681" s="328"/>
      <c r="C681" s="329"/>
      <c r="D681" s="328"/>
      <c r="E681" s="330"/>
      <c r="F681" s="328"/>
      <c r="G681" s="329"/>
      <c r="H681" s="329"/>
      <c r="I681" s="328"/>
      <c r="J681" s="383"/>
      <c r="K681" s="329"/>
      <c r="L681" s="329"/>
      <c r="M681" s="76"/>
      <c r="N681" s="103" t="str">
        <f>IF(A681="","",VLOOKUP(A681,Stand!C:K,9,0))</f>
        <v/>
      </c>
      <c r="O681" s="104" t="str">
        <f t="shared" si="308"/>
        <v/>
      </c>
      <c r="P681" s="105" t="str">
        <f t="shared" si="309"/>
        <v/>
      </c>
      <c r="Q681" s="105" t="str">
        <f t="shared" si="324"/>
        <v/>
      </c>
      <c r="R681" s="103" t="str">
        <f t="shared" si="310"/>
        <v/>
      </c>
      <c r="S681" s="103" t="str">
        <f t="shared" si="311"/>
        <v/>
      </c>
      <c r="T681" s="106" t="str">
        <f t="shared" si="325"/>
        <v/>
      </c>
      <c r="U681" s="106" t="str">
        <f t="shared" si="326"/>
        <v/>
      </c>
      <c r="V681" s="106" t="str">
        <f t="shared" si="327"/>
        <v/>
      </c>
      <c r="W681" s="105" t="str">
        <f t="shared" si="312"/>
        <v/>
      </c>
      <c r="X681" s="104" t="str">
        <f t="shared" si="317"/>
        <v/>
      </c>
      <c r="Y681" s="104" t="str">
        <f t="array" ref="Y681">IFERROR(IF(ISNUMBER(O681),IF(COUNT(IF(A681=$A$2:$A$2427,IF(D681=$D$2:$D$2427,IF($X$2:$X$2427&gt;0,1))))&gt;0,SUM(IF(A681=$A$2:$A$2427,IF(D681=$D$2:$D$2427,$X$2:$X$2427)))/COUNT(IF(A681=$A$2:$A$2427,IF(D681=$D$2:$D$2427,IF(ISNUMBER($X$2:$X$2427),1)))),0),""),0)</f>
        <v/>
      </c>
      <c r="Z681" s="104" t="str">
        <f>IF(ISNUMBER(O681),IF(I681&gt;0,(10^(VLOOKUP(D681,'Species Codes'!B:C,2,0)+VLOOKUP(D681,'Species Codes'!B:D,3,0)*LOG(E681)+VLOOKUP(D681,'Species Codes'!B:E,4,0)*LOG(I681))),0),"")</f>
        <v/>
      </c>
      <c r="AA681" s="104" t="str">
        <f>IFERROR((VLOOKUP(D681,'Species Codes'!B:G,6,0)*Z681)/2000,"")</f>
        <v/>
      </c>
      <c r="AB681" s="104" t="e">
        <f>IF(Z681&gt;0,((IF(OR(D681="DF",D681="RA")=TRUE,EXP(VLOOKUP(D681,'Species Codes'!B:I,8,0)+VLOOKUP(D681,'Species Codes'!B:J,9,0)*(LN((E681*2.54)))),IF(OR(D681="PY",D681="RC",D681="WH",D681="NF")=TRUE,VLOOKUP(D681,'Species Codes'!B:I,8,0)+VLOOKUP(D681,'Species Codes'!B:J,9,0)*((E681*2.54)^2)*(I681*0.3048),IF(OR(D681="MD",D681="BM",D681="GA")=TRUE,((VLOOKUP(D681,'Species Codes'!B:I,8,0)*(((((E681*2.54)+VLOOKUP(D681,'Species Codes'!B:J,9,0))/VLOOKUP(D681,'Species Codes'!B:K,10,0))^VLOOKUP(D681,'Species Codes'!B:L,11,0))*((I681*0.3048)^VLOOKUP(D681,'Species Codes'!B:M,12,0))))-(VLOOKUP(D681,'Species Codes'!B:I,8,0)*((((E681*2.54)^VLOOKUP(D681,'Species Codes'!B:L,11,0))*((I681*0.3048)^VLOOKUP(D681,'Species Codes'!B:M,12,0))))))*35.3*VLOOKUP(D681,'Species Codes'!B:G,6,0)/2.2046,VLOOKUP(D681,'Species Codes'!B:I,8,0)+VLOOKUP(D681,'Species Codes'!B:J,9,0)*(((E681*2.54)/100)^2)*(I681*0.3048)))))*0.0011023),0)</f>
        <v>#N/A</v>
      </c>
      <c r="AC681" s="104" t="e">
        <f>IF(Z681&gt;0,((IF(OR(D681="RA",D681="OA",D681="OT",D681="UN",D681="PC"),EXP(VLOOKUP(D681,'Species Codes'!B:O,14,0)+VLOOKUP(D681,'Species Codes'!B:P,15,0)*LN((E681*2.54)))-EXP(VLOOKUP(D681,'Species Codes'!B:O,14,0)+VLOOKUP(D681,'Species Codes'!B:P,15,0)*LN((E681*2.54)))*(1/(VLOOKUP(D681,'Species Codes'!B:Q,16,0)+VLOOKUP(D681,'Species Codes'!B:R,17,0)*((E681*2.54)^VLOOKUP(D681,'Species Codes'!B:S,18,0)))),IF(OR(D681="BM",D681="MD",D681="OA"),EXP(VLOOKUP(D681,'Species Codes'!B:O,14,0)+VLOOKUP(D681,'Species Codes'!B:P,15,0)*LN((E681*2.54)))*(1-(1/(VLOOKUP(D681,'Species Codes'!B:Q,16,0)+VLOOKUP(D681,'Species Codes'!B:R,17,0)*((E681*2.54)^VLOOKUP(D681,'Species Codes'!B:S,18,0)))))/1000,IF(D681="DF",EXP(VLOOKUP(D681,'Species Codes'!B:O,14,0)+VLOOKUP(D681,'Species Codes'!B:P,15,0)*LN((E681*2.54))),VLOOKUP(D681,'Species Codes'!B:O,14,0)+VLOOKUP(D681,'Species Codes'!B:P,15,0)*(((E681*2.54)/100)^2)*(I681*0.3048)))))*0.0011023),0)</f>
        <v>#N/A</v>
      </c>
      <c r="AD681" s="104" t="e">
        <f t="shared" si="328"/>
        <v>#N/A</v>
      </c>
      <c r="AE681" s="104" t="e">
        <f t="shared" si="329"/>
        <v>#N/A</v>
      </c>
      <c r="AF681" s="104" t="e">
        <f>IF(AND(VLOOKUP($D681,Merchantability!$B:$C,2,0)="Yes",$E681&gt;=VLOOKUP($D681,Merchantability!$B:$D,3,0),$E681&lt;=VLOOKUP($D681,Merchantability!$B:$E,4,0)),AA681,0)</f>
        <v>#N/A</v>
      </c>
      <c r="AG681" s="104" t="e">
        <f>IF(AND(VLOOKUP($D681,Merchantability!$B:$C,2,0)="Yes",$E681&gt;=VLOOKUP($D681,Merchantability!$B:$D,3,0),$E681&lt;=VLOOKUP($D681,Merchantability!$B:$E,4,0)),AB681,0)</f>
        <v>#N/A</v>
      </c>
      <c r="AH681" s="104" t="e">
        <f>IF(AND(VLOOKUP($D681,Merchantability!$B:$C,2,0)="Yes",$E681&gt;=VLOOKUP($D681,Merchantability!$B:$D,3,0),$E681&lt;=VLOOKUP($D681,Merchantability!$B:$E,4,0)),AC681,0)</f>
        <v>#N/A</v>
      </c>
      <c r="AI681" s="104" t="e">
        <f t="shared" si="330"/>
        <v>#N/A</v>
      </c>
      <c r="AJ681" s="104" t="e">
        <f t="shared" si="331"/>
        <v>#VALUE!</v>
      </c>
      <c r="AK681" s="104" t="e">
        <f t="shared" si="332"/>
        <v>#N/A</v>
      </c>
      <c r="AL681" s="104" t="e">
        <f t="shared" si="333"/>
        <v>#N/A</v>
      </c>
      <c r="AM681" s="104" t="e">
        <f t="shared" si="334"/>
        <v>#N/A</v>
      </c>
      <c r="AN681" s="104" t="e">
        <f t="shared" si="318"/>
        <v>#N/A</v>
      </c>
      <c r="AO681" s="104" t="e">
        <f t="shared" si="319"/>
        <v>#N/A</v>
      </c>
      <c r="AP681" s="104" t="e">
        <f t="shared" si="320"/>
        <v>#N/A</v>
      </c>
      <c r="AQ681" s="104" t="e">
        <f t="shared" si="321"/>
        <v>#N/A</v>
      </c>
      <c r="AR681" s="105" t="str">
        <f t="shared" si="313"/>
        <v/>
      </c>
      <c r="AS681" s="105" t="str">
        <f t="shared" si="314"/>
        <v/>
      </c>
      <c r="AT681" s="108" t="str">
        <f t="shared" si="315"/>
        <v/>
      </c>
      <c r="AU681" s="108" t="str">
        <f t="shared" si="316"/>
        <v/>
      </c>
      <c r="AV681" s="107" t="str">
        <f>IF(ISNUMBER(O681),IF(VLOOKUP($A681,Stand!C:J,8,FALSE)="Short",AT681,AU681),"")</f>
        <v/>
      </c>
      <c r="AW681" s="109" t="str">
        <f t="shared" si="322"/>
        <v/>
      </c>
      <c r="AX681" s="109" t="str">
        <f t="shared" si="323"/>
        <v/>
      </c>
      <c r="AY681" s="112" t="str">
        <f>IF(ISNUMBER(O681),IF(AND(VLOOKUP($D681,Merchantability!$B:$C,2,0)="Yes",$E681&gt;=VLOOKUP($D681,Merchantability!$B:$D,3,0),$E681&lt;=VLOOKUP($D681,Merchantability!$B:$E,4,0)),(AV681*O681)*(1-$H681/100),""),"")</f>
        <v/>
      </c>
      <c r="AZ681" s="116"/>
      <c r="BA681" s="116"/>
      <c r="BB681" s="116"/>
      <c r="BE681" s="62"/>
      <c r="BF681" s="63"/>
    </row>
    <row r="682" spans="1:58" ht="12.75" customHeight="1" x14ac:dyDescent="0.25">
      <c r="A682" s="313"/>
      <c r="B682" s="328"/>
      <c r="C682" s="329"/>
      <c r="D682" s="328"/>
      <c r="E682" s="330"/>
      <c r="F682" s="328"/>
      <c r="G682" s="329"/>
      <c r="H682" s="329"/>
      <c r="I682" s="328"/>
      <c r="J682" s="383"/>
      <c r="K682" s="329"/>
      <c r="L682" s="329"/>
      <c r="M682" s="76"/>
      <c r="N682" s="103" t="str">
        <f>IF(A682="","",VLOOKUP(A682,Stand!C:K,9,0))</f>
        <v/>
      </c>
      <c r="O682" s="104" t="str">
        <f t="shared" si="308"/>
        <v/>
      </c>
      <c r="P682" s="105" t="str">
        <f t="shared" si="309"/>
        <v/>
      </c>
      <c r="Q682" s="105" t="str">
        <f t="shared" si="324"/>
        <v/>
      </c>
      <c r="R682" s="103" t="str">
        <f t="shared" si="310"/>
        <v/>
      </c>
      <c r="S682" s="103" t="str">
        <f t="shared" si="311"/>
        <v/>
      </c>
      <c r="T682" s="106" t="str">
        <f t="shared" si="325"/>
        <v/>
      </c>
      <c r="U682" s="106" t="str">
        <f t="shared" si="326"/>
        <v/>
      </c>
      <c r="V682" s="106" t="str">
        <f t="shared" si="327"/>
        <v/>
      </c>
      <c r="W682" s="105" t="str">
        <f t="shared" si="312"/>
        <v/>
      </c>
      <c r="X682" s="104" t="str">
        <f t="shared" si="317"/>
        <v/>
      </c>
      <c r="Y682" s="104" t="str">
        <f t="array" ref="Y682">IFERROR(IF(ISNUMBER(O682),IF(COUNT(IF(A682=$A$2:$A$2427,IF(D682=$D$2:$D$2427,IF($X$2:$X$2427&gt;0,1))))&gt;0,SUM(IF(A682=$A$2:$A$2427,IF(D682=$D$2:$D$2427,$X$2:$X$2427)))/COUNT(IF(A682=$A$2:$A$2427,IF(D682=$D$2:$D$2427,IF(ISNUMBER($X$2:$X$2427),1)))),0),""),0)</f>
        <v/>
      </c>
      <c r="Z682" s="104" t="str">
        <f>IF(ISNUMBER(O682),IF(I682&gt;0,(10^(VLOOKUP(D682,'Species Codes'!B:C,2,0)+VLOOKUP(D682,'Species Codes'!B:D,3,0)*LOG(E682)+VLOOKUP(D682,'Species Codes'!B:E,4,0)*LOG(I682))),0),"")</f>
        <v/>
      </c>
      <c r="AA682" s="104" t="str">
        <f>IFERROR((VLOOKUP(D682,'Species Codes'!B:G,6,0)*Z682)/2000,"")</f>
        <v/>
      </c>
      <c r="AB682" s="104" t="e">
        <f>IF(Z682&gt;0,((IF(OR(D682="DF",D682="RA")=TRUE,EXP(VLOOKUP(D682,'Species Codes'!B:I,8,0)+VLOOKUP(D682,'Species Codes'!B:J,9,0)*(LN((E682*2.54)))),IF(OR(D682="PY",D682="RC",D682="WH",D682="NF")=TRUE,VLOOKUP(D682,'Species Codes'!B:I,8,0)+VLOOKUP(D682,'Species Codes'!B:J,9,0)*((E682*2.54)^2)*(I682*0.3048),IF(OR(D682="MD",D682="BM",D682="GA")=TRUE,((VLOOKUP(D682,'Species Codes'!B:I,8,0)*(((((E682*2.54)+VLOOKUP(D682,'Species Codes'!B:J,9,0))/VLOOKUP(D682,'Species Codes'!B:K,10,0))^VLOOKUP(D682,'Species Codes'!B:L,11,0))*((I682*0.3048)^VLOOKUP(D682,'Species Codes'!B:M,12,0))))-(VLOOKUP(D682,'Species Codes'!B:I,8,0)*((((E682*2.54)^VLOOKUP(D682,'Species Codes'!B:L,11,0))*((I682*0.3048)^VLOOKUP(D682,'Species Codes'!B:M,12,0))))))*35.3*VLOOKUP(D682,'Species Codes'!B:G,6,0)/2.2046,VLOOKUP(D682,'Species Codes'!B:I,8,0)+VLOOKUP(D682,'Species Codes'!B:J,9,0)*(((E682*2.54)/100)^2)*(I682*0.3048)))))*0.0011023),0)</f>
        <v>#N/A</v>
      </c>
      <c r="AC682" s="104" t="e">
        <f>IF(Z682&gt;0,((IF(OR(D682="RA",D682="OA",D682="OT",D682="UN",D682="PC"),EXP(VLOOKUP(D682,'Species Codes'!B:O,14,0)+VLOOKUP(D682,'Species Codes'!B:P,15,0)*LN((E682*2.54)))-EXP(VLOOKUP(D682,'Species Codes'!B:O,14,0)+VLOOKUP(D682,'Species Codes'!B:P,15,0)*LN((E682*2.54)))*(1/(VLOOKUP(D682,'Species Codes'!B:Q,16,0)+VLOOKUP(D682,'Species Codes'!B:R,17,0)*((E682*2.54)^VLOOKUP(D682,'Species Codes'!B:S,18,0)))),IF(OR(D682="BM",D682="MD",D682="OA"),EXP(VLOOKUP(D682,'Species Codes'!B:O,14,0)+VLOOKUP(D682,'Species Codes'!B:P,15,0)*LN((E682*2.54)))*(1-(1/(VLOOKUP(D682,'Species Codes'!B:Q,16,0)+VLOOKUP(D682,'Species Codes'!B:R,17,0)*((E682*2.54)^VLOOKUP(D682,'Species Codes'!B:S,18,0)))))/1000,IF(D682="DF",EXP(VLOOKUP(D682,'Species Codes'!B:O,14,0)+VLOOKUP(D682,'Species Codes'!B:P,15,0)*LN((E682*2.54))),VLOOKUP(D682,'Species Codes'!B:O,14,0)+VLOOKUP(D682,'Species Codes'!B:P,15,0)*(((E682*2.54)/100)^2)*(I682*0.3048)))))*0.0011023),0)</f>
        <v>#N/A</v>
      </c>
      <c r="AD682" s="104" t="e">
        <f t="shared" si="328"/>
        <v>#N/A</v>
      </c>
      <c r="AE682" s="104" t="e">
        <f t="shared" si="329"/>
        <v>#N/A</v>
      </c>
      <c r="AF682" s="104" t="e">
        <f>IF(AND(VLOOKUP($D682,Merchantability!$B:$C,2,0)="Yes",$E682&gt;=VLOOKUP($D682,Merchantability!$B:$D,3,0),$E682&lt;=VLOOKUP($D682,Merchantability!$B:$E,4,0)),AA682,0)</f>
        <v>#N/A</v>
      </c>
      <c r="AG682" s="104" t="e">
        <f>IF(AND(VLOOKUP($D682,Merchantability!$B:$C,2,0)="Yes",$E682&gt;=VLOOKUP($D682,Merchantability!$B:$D,3,0),$E682&lt;=VLOOKUP($D682,Merchantability!$B:$E,4,0)),AB682,0)</f>
        <v>#N/A</v>
      </c>
      <c r="AH682" s="104" t="e">
        <f>IF(AND(VLOOKUP($D682,Merchantability!$B:$C,2,0)="Yes",$E682&gt;=VLOOKUP($D682,Merchantability!$B:$D,3,0),$E682&lt;=VLOOKUP($D682,Merchantability!$B:$E,4,0)),AC682,0)</f>
        <v>#N/A</v>
      </c>
      <c r="AI682" s="104" t="e">
        <f t="shared" si="330"/>
        <v>#N/A</v>
      </c>
      <c r="AJ682" s="104" t="e">
        <f t="shared" si="331"/>
        <v>#VALUE!</v>
      </c>
      <c r="AK682" s="104" t="e">
        <f t="shared" si="332"/>
        <v>#N/A</v>
      </c>
      <c r="AL682" s="104" t="e">
        <f t="shared" si="333"/>
        <v>#N/A</v>
      </c>
      <c r="AM682" s="104" t="e">
        <f t="shared" si="334"/>
        <v>#N/A</v>
      </c>
      <c r="AN682" s="104" t="e">
        <f t="shared" si="318"/>
        <v>#N/A</v>
      </c>
      <c r="AO682" s="104" t="e">
        <f t="shared" si="319"/>
        <v>#N/A</v>
      </c>
      <c r="AP682" s="104" t="e">
        <f t="shared" si="320"/>
        <v>#N/A</v>
      </c>
      <c r="AQ682" s="104" t="e">
        <f t="shared" si="321"/>
        <v>#N/A</v>
      </c>
      <c r="AR682" s="105" t="str">
        <f t="shared" si="313"/>
        <v/>
      </c>
      <c r="AS682" s="105" t="str">
        <f t="shared" si="314"/>
        <v/>
      </c>
      <c r="AT682" s="108" t="str">
        <f t="shared" si="315"/>
        <v/>
      </c>
      <c r="AU682" s="108" t="str">
        <f t="shared" si="316"/>
        <v/>
      </c>
      <c r="AV682" s="107" t="str">
        <f>IF(ISNUMBER(O682),IF(VLOOKUP($A682,Stand!C:J,8,FALSE)="Short",AT682,AU682),"")</f>
        <v/>
      </c>
      <c r="AW682" s="109" t="str">
        <f t="shared" si="322"/>
        <v/>
      </c>
      <c r="AX682" s="109" t="str">
        <f t="shared" si="323"/>
        <v/>
      </c>
      <c r="AY682" s="112" t="str">
        <f>IF(ISNUMBER(O682),IF(AND(VLOOKUP($D682,Merchantability!$B:$C,2,0)="Yes",$E682&gt;=VLOOKUP($D682,Merchantability!$B:$D,3,0),$E682&lt;=VLOOKUP($D682,Merchantability!$B:$E,4,0)),(AV682*O682)*(1-$H682/100),""),"")</f>
        <v/>
      </c>
      <c r="AZ682" s="116"/>
      <c r="BA682" s="116"/>
      <c r="BB682" s="116"/>
      <c r="BE682" s="62"/>
      <c r="BF682" s="63"/>
    </row>
    <row r="683" spans="1:58" ht="12.75" customHeight="1" x14ac:dyDescent="0.25">
      <c r="A683" s="313"/>
      <c r="B683" s="328"/>
      <c r="C683" s="329"/>
      <c r="D683" s="328"/>
      <c r="E683" s="330"/>
      <c r="F683" s="328"/>
      <c r="G683" s="329"/>
      <c r="H683" s="329"/>
      <c r="I683" s="328"/>
      <c r="J683" s="383"/>
      <c r="K683" s="329"/>
      <c r="L683" s="329"/>
      <c r="M683" s="76"/>
      <c r="N683" s="103" t="str">
        <f>IF(A683="","",VLOOKUP(A683,Stand!C:K,9,0))</f>
        <v/>
      </c>
      <c r="O683" s="104" t="str">
        <f t="shared" si="308"/>
        <v/>
      </c>
      <c r="P683" s="105" t="str">
        <f t="shared" si="309"/>
        <v/>
      </c>
      <c r="Q683" s="105" t="str">
        <f t="shared" si="324"/>
        <v/>
      </c>
      <c r="R683" s="103" t="str">
        <f t="shared" si="310"/>
        <v/>
      </c>
      <c r="S683" s="103" t="str">
        <f t="shared" si="311"/>
        <v/>
      </c>
      <c r="T683" s="106" t="str">
        <f t="shared" si="325"/>
        <v/>
      </c>
      <c r="U683" s="106" t="str">
        <f t="shared" si="326"/>
        <v/>
      </c>
      <c r="V683" s="106" t="str">
        <f t="shared" si="327"/>
        <v/>
      </c>
      <c r="W683" s="105" t="str">
        <f t="shared" si="312"/>
        <v/>
      </c>
      <c r="X683" s="104" t="str">
        <f t="shared" si="317"/>
        <v/>
      </c>
      <c r="Y683" s="104" t="str">
        <f t="array" ref="Y683">IFERROR(IF(ISNUMBER(O683),IF(COUNT(IF(A683=$A$2:$A$2427,IF(D683=$D$2:$D$2427,IF($X$2:$X$2427&gt;0,1))))&gt;0,SUM(IF(A683=$A$2:$A$2427,IF(D683=$D$2:$D$2427,$X$2:$X$2427)))/COUNT(IF(A683=$A$2:$A$2427,IF(D683=$D$2:$D$2427,IF(ISNUMBER($X$2:$X$2427),1)))),0),""),0)</f>
        <v/>
      </c>
      <c r="Z683" s="104" t="str">
        <f>IF(ISNUMBER(O683),IF(I683&gt;0,(10^(VLOOKUP(D683,'Species Codes'!B:C,2,0)+VLOOKUP(D683,'Species Codes'!B:D,3,0)*LOG(E683)+VLOOKUP(D683,'Species Codes'!B:E,4,0)*LOG(I683))),0),"")</f>
        <v/>
      </c>
      <c r="AA683" s="104" t="str">
        <f>IFERROR((VLOOKUP(D683,'Species Codes'!B:G,6,0)*Z683)/2000,"")</f>
        <v/>
      </c>
      <c r="AB683" s="104" t="e">
        <f>IF(Z683&gt;0,((IF(OR(D683="DF",D683="RA")=TRUE,EXP(VLOOKUP(D683,'Species Codes'!B:I,8,0)+VLOOKUP(D683,'Species Codes'!B:J,9,0)*(LN((E683*2.54)))),IF(OR(D683="PY",D683="RC",D683="WH",D683="NF")=TRUE,VLOOKUP(D683,'Species Codes'!B:I,8,0)+VLOOKUP(D683,'Species Codes'!B:J,9,0)*((E683*2.54)^2)*(I683*0.3048),IF(OR(D683="MD",D683="BM",D683="GA")=TRUE,((VLOOKUP(D683,'Species Codes'!B:I,8,0)*(((((E683*2.54)+VLOOKUP(D683,'Species Codes'!B:J,9,0))/VLOOKUP(D683,'Species Codes'!B:K,10,0))^VLOOKUP(D683,'Species Codes'!B:L,11,0))*((I683*0.3048)^VLOOKUP(D683,'Species Codes'!B:M,12,0))))-(VLOOKUP(D683,'Species Codes'!B:I,8,0)*((((E683*2.54)^VLOOKUP(D683,'Species Codes'!B:L,11,0))*((I683*0.3048)^VLOOKUP(D683,'Species Codes'!B:M,12,0))))))*35.3*VLOOKUP(D683,'Species Codes'!B:G,6,0)/2.2046,VLOOKUP(D683,'Species Codes'!B:I,8,0)+VLOOKUP(D683,'Species Codes'!B:J,9,0)*(((E683*2.54)/100)^2)*(I683*0.3048)))))*0.0011023),0)</f>
        <v>#N/A</v>
      </c>
      <c r="AC683" s="104" t="e">
        <f>IF(Z683&gt;0,((IF(OR(D683="RA",D683="OA",D683="OT",D683="UN",D683="PC"),EXP(VLOOKUP(D683,'Species Codes'!B:O,14,0)+VLOOKUP(D683,'Species Codes'!B:P,15,0)*LN((E683*2.54)))-EXP(VLOOKUP(D683,'Species Codes'!B:O,14,0)+VLOOKUP(D683,'Species Codes'!B:P,15,0)*LN((E683*2.54)))*(1/(VLOOKUP(D683,'Species Codes'!B:Q,16,0)+VLOOKUP(D683,'Species Codes'!B:R,17,0)*((E683*2.54)^VLOOKUP(D683,'Species Codes'!B:S,18,0)))),IF(OR(D683="BM",D683="MD",D683="OA"),EXP(VLOOKUP(D683,'Species Codes'!B:O,14,0)+VLOOKUP(D683,'Species Codes'!B:P,15,0)*LN((E683*2.54)))*(1-(1/(VLOOKUP(D683,'Species Codes'!B:Q,16,0)+VLOOKUP(D683,'Species Codes'!B:R,17,0)*((E683*2.54)^VLOOKUP(D683,'Species Codes'!B:S,18,0)))))/1000,IF(D683="DF",EXP(VLOOKUP(D683,'Species Codes'!B:O,14,0)+VLOOKUP(D683,'Species Codes'!B:P,15,0)*LN((E683*2.54))),VLOOKUP(D683,'Species Codes'!B:O,14,0)+VLOOKUP(D683,'Species Codes'!B:P,15,0)*(((E683*2.54)/100)^2)*(I683*0.3048)))))*0.0011023),0)</f>
        <v>#N/A</v>
      </c>
      <c r="AD683" s="104" t="e">
        <f t="shared" si="328"/>
        <v>#N/A</v>
      </c>
      <c r="AE683" s="104" t="e">
        <f t="shared" si="329"/>
        <v>#N/A</v>
      </c>
      <c r="AF683" s="104" t="e">
        <f>IF(AND(VLOOKUP($D683,Merchantability!$B:$C,2,0)="Yes",$E683&gt;=VLOOKUP($D683,Merchantability!$B:$D,3,0),$E683&lt;=VLOOKUP($D683,Merchantability!$B:$E,4,0)),AA683,0)</f>
        <v>#N/A</v>
      </c>
      <c r="AG683" s="104" t="e">
        <f>IF(AND(VLOOKUP($D683,Merchantability!$B:$C,2,0)="Yes",$E683&gt;=VLOOKUP($D683,Merchantability!$B:$D,3,0),$E683&lt;=VLOOKUP($D683,Merchantability!$B:$E,4,0)),AB683,0)</f>
        <v>#N/A</v>
      </c>
      <c r="AH683" s="104" t="e">
        <f>IF(AND(VLOOKUP($D683,Merchantability!$B:$C,2,0)="Yes",$E683&gt;=VLOOKUP($D683,Merchantability!$B:$D,3,0),$E683&lt;=VLOOKUP($D683,Merchantability!$B:$E,4,0)),AC683,0)</f>
        <v>#N/A</v>
      </c>
      <c r="AI683" s="104" t="e">
        <f t="shared" si="330"/>
        <v>#N/A</v>
      </c>
      <c r="AJ683" s="104" t="e">
        <f t="shared" si="331"/>
        <v>#VALUE!</v>
      </c>
      <c r="AK683" s="104" t="e">
        <f t="shared" si="332"/>
        <v>#N/A</v>
      </c>
      <c r="AL683" s="104" t="e">
        <f t="shared" si="333"/>
        <v>#N/A</v>
      </c>
      <c r="AM683" s="104" t="e">
        <f t="shared" si="334"/>
        <v>#N/A</v>
      </c>
      <c r="AN683" s="104" t="e">
        <f t="shared" si="318"/>
        <v>#N/A</v>
      </c>
      <c r="AO683" s="104" t="e">
        <f t="shared" si="319"/>
        <v>#N/A</v>
      </c>
      <c r="AP683" s="104" t="e">
        <f t="shared" si="320"/>
        <v>#N/A</v>
      </c>
      <c r="AQ683" s="104" t="e">
        <f t="shared" si="321"/>
        <v>#N/A</v>
      </c>
      <c r="AR683" s="105" t="str">
        <f t="shared" si="313"/>
        <v/>
      </c>
      <c r="AS683" s="105" t="str">
        <f t="shared" si="314"/>
        <v/>
      </c>
      <c r="AT683" s="108" t="str">
        <f t="shared" si="315"/>
        <v/>
      </c>
      <c r="AU683" s="108" t="str">
        <f t="shared" si="316"/>
        <v/>
      </c>
      <c r="AV683" s="107" t="str">
        <f>IF(ISNUMBER(O683),IF(VLOOKUP($A683,Stand!C:J,8,FALSE)="Short",AT683,AU683),"")</f>
        <v/>
      </c>
      <c r="AW683" s="109" t="str">
        <f t="shared" si="322"/>
        <v/>
      </c>
      <c r="AX683" s="109" t="str">
        <f t="shared" si="323"/>
        <v/>
      </c>
      <c r="AY683" s="112" t="str">
        <f>IF(ISNUMBER(O683),IF(AND(VLOOKUP($D683,Merchantability!$B:$C,2,0)="Yes",$E683&gt;=VLOOKUP($D683,Merchantability!$B:$D,3,0),$E683&lt;=VLOOKUP($D683,Merchantability!$B:$E,4,0)),(AV683*O683)*(1-$H683/100),""),"")</f>
        <v/>
      </c>
      <c r="AZ683" s="116"/>
      <c r="BA683" s="116"/>
      <c r="BB683" s="116"/>
      <c r="BE683" s="62"/>
      <c r="BF683" s="63"/>
    </row>
    <row r="684" spans="1:58" ht="12.75" customHeight="1" x14ac:dyDescent="0.25">
      <c r="A684" s="313"/>
      <c r="B684" s="328"/>
      <c r="C684" s="329"/>
      <c r="D684" s="328"/>
      <c r="E684" s="330"/>
      <c r="F684" s="328"/>
      <c r="G684" s="329"/>
      <c r="H684" s="329"/>
      <c r="I684" s="328"/>
      <c r="J684" s="383"/>
      <c r="K684" s="329"/>
      <c r="L684" s="329"/>
      <c r="M684" s="76"/>
      <c r="N684" s="103" t="str">
        <f>IF(A684="","",VLOOKUP(A684,Stand!C:K,9,0))</f>
        <v/>
      </c>
      <c r="O684" s="104" t="str">
        <f t="shared" si="308"/>
        <v/>
      </c>
      <c r="P684" s="105" t="str">
        <f t="shared" si="309"/>
        <v/>
      </c>
      <c r="Q684" s="105" t="str">
        <f t="shared" si="324"/>
        <v/>
      </c>
      <c r="R684" s="103" t="str">
        <f t="shared" si="310"/>
        <v/>
      </c>
      <c r="S684" s="103" t="str">
        <f t="shared" si="311"/>
        <v/>
      </c>
      <c r="T684" s="106" t="str">
        <f t="shared" si="325"/>
        <v/>
      </c>
      <c r="U684" s="106" t="str">
        <f t="shared" si="326"/>
        <v/>
      </c>
      <c r="V684" s="106" t="str">
        <f t="shared" si="327"/>
        <v/>
      </c>
      <c r="W684" s="105" t="str">
        <f t="shared" si="312"/>
        <v/>
      </c>
      <c r="X684" s="104" t="str">
        <f t="shared" si="317"/>
        <v/>
      </c>
      <c r="Y684" s="104" t="str">
        <f t="array" ref="Y684">IFERROR(IF(ISNUMBER(O684),IF(COUNT(IF(A684=$A$2:$A$2427,IF(D684=$D$2:$D$2427,IF($X$2:$X$2427&gt;0,1))))&gt;0,SUM(IF(A684=$A$2:$A$2427,IF(D684=$D$2:$D$2427,$X$2:$X$2427)))/COUNT(IF(A684=$A$2:$A$2427,IF(D684=$D$2:$D$2427,IF(ISNUMBER($X$2:$X$2427),1)))),0),""),0)</f>
        <v/>
      </c>
      <c r="Z684" s="104" t="str">
        <f>IF(ISNUMBER(O684),IF(I684&gt;0,(10^(VLOOKUP(D684,'Species Codes'!B:C,2,0)+VLOOKUP(D684,'Species Codes'!B:D,3,0)*LOG(E684)+VLOOKUP(D684,'Species Codes'!B:E,4,0)*LOG(I684))),0),"")</f>
        <v/>
      </c>
      <c r="AA684" s="104" t="str">
        <f>IFERROR((VLOOKUP(D684,'Species Codes'!B:G,6,0)*Z684)/2000,"")</f>
        <v/>
      </c>
      <c r="AB684" s="104" t="e">
        <f>IF(Z684&gt;0,((IF(OR(D684="DF",D684="RA")=TRUE,EXP(VLOOKUP(D684,'Species Codes'!B:I,8,0)+VLOOKUP(D684,'Species Codes'!B:J,9,0)*(LN((E684*2.54)))),IF(OR(D684="PY",D684="RC",D684="WH",D684="NF")=TRUE,VLOOKUP(D684,'Species Codes'!B:I,8,0)+VLOOKUP(D684,'Species Codes'!B:J,9,0)*((E684*2.54)^2)*(I684*0.3048),IF(OR(D684="MD",D684="BM",D684="GA")=TRUE,((VLOOKUP(D684,'Species Codes'!B:I,8,0)*(((((E684*2.54)+VLOOKUP(D684,'Species Codes'!B:J,9,0))/VLOOKUP(D684,'Species Codes'!B:K,10,0))^VLOOKUP(D684,'Species Codes'!B:L,11,0))*((I684*0.3048)^VLOOKUP(D684,'Species Codes'!B:M,12,0))))-(VLOOKUP(D684,'Species Codes'!B:I,8,0)*((((E684*2.54)^VLOOKUP(D684,'Species Codes'!B:L,11,0))*((I684*0.3048)^VLOOKUP(D684,'Species Codes'!B:M,12,0))))))*35.3*VLOOKUP(D684,'Species Codes'!B:G,6,0)/2.2046,VLOOKUP(D684,'Species Codes'!B:I,8,0)+VLOOKUP(D684,'Species Codes'!B:J,9,0)*(((E684*2.54)/100)^2)*(I684*0.3048)))))*0.0011023),0)</f>
        <v>#N/A</v>
      </c>
      <c r="AC684" s="104" t="e">
        <f>IF(Z684&gt;0,((IF(OR(D684="RA",D684="OA",D684="OT",D684="UN",D684="PC"),EXP(VLOOKUP(D684,'Species Codes'!B:O,14,0)+VLOOKUP(D684,'Species Codes'!B:P,15,0)*LN((E684*2.54)))-EXP(VLOOKUP(D684,'Species Codes'!B:O,14,0)+VLOOKUP(D684,'Species Codes'!B:P,15,0)*LN((E684*2.54)))*(1/(VLOOKUP(D684,'Species Codes'!B:Q,16,0)+VLOOKUP(D684,'Species Codes'!B:R,17,0)*((E684*2.54)^VLOOKUP(D684,'Species Codes'!B:S,18,0)))),IF(OR(D684="BM",D684="MD",D684="OA"),EXP(VLOOKUP(D684,'Species Codes'!B:O,14,0)+VLOOKUP(D684,'Species Codes'!B:P,15,0)*LN((E684*2.54)))*(1-(1/(VLOOKUP(D684,'Species Codes'!B:Q,16,0)+VLOOKUP(D684,'Species Codes'!B:R,17,0)*((E684*2.54)^VLOOKUP(D684,'Species Codes'!B:S,18,0)))))/1000,IF(D684="DF",EXP(VLOOKUP(D684,'Species Codes'!B:O,14,0)+VLOOKUP(D684,'Species Codes'!B:P,15,0)*LN((E684*2.54))),VLOOKUP(D684,'Species Codes'!B:O,14,0)+VLOOKUP(D684,'Species Codes'!B:P,15,0)*(((E684*2.54)/100)^2)*(I684*0.3048)))))*0.0011023),0)</f>
        <v>#N/A</v>
      </c>
      <c r="AD684" s="104" t="e">
        <f t="shared" si="328"/>
        <v>#N/A</v>
      </c>
      <c r="AE684" s="104" t="e">
        <f t="shared" si="329"/>
        <v>#N/A</v>
      </c>
      <c r="AF684" s="104" t="e">
        <f>IF(AND(VLOOKUP($D684,Merchantability!$B:$C,2,0)="Yes",$E684&gt;=VLOOKUP($D684,Merchantability!$B:$D,3,0),$E684&lt;=VLOOKUP($D684,Merchantability!$B:$E,4,0)),AA684,0)</f>
        <v>#N/A</v>
      </c>
      <c r="AG684" s="104" t="e">
        <f>IF(AND(VLOOKUP($D684,Merchantability!$B:$C,2,0)="Yes",$E684&gt;=VLOOKUP($D684,Merchantability!$B:$D,3,0),$E684&lt;=VLOOKUP($D684,Merchantability!$B:$E,4,0)),AB684,0)</f>
        <v>#N/A</v>
      </c>
      <c r="AH684" s="104" t="e">
        <f>IF(AND(VLOOKUP($D684,Merchantability!$B:$C,2,0)="Yes",$E684&gt;=VLOOKUP($D684,Merchantability!$B:$D,3,0),$E684&lt;=VLOOKUP($D684,Merchantability!$B:$E,4,0)),AC684,0)</f>
        <v>#N/A</v>
      </c>
      <c r="AI684" s="104" t="e">
        <f t="shared" si="330"/>
        <v>#N/A</v>
      </c>
      <c r="AJ684" s="104" t="e">
        <f t="shared" si="331"/>
        <v>#VALUE!</v>
      </c>
      <c r="AK684" s="104" t="e">
        <f t="shared" si="332"/>
        <v>#N/A</v>
      </c>
      <c r="AL684" s="104" t="e">
        <f t="shared" si="333"/>
        <v>#N/A</v>
      </c>
      <c r="AM684" s="104" t="e">
        <f t="shared" si="334"/>
        <v>#N/A</v>
      </c>
      <c r="AN684" s="104" t="e">
        <f t="shared" si="318"/>
        <v>#N/A</v>
      </c>
      <c r="AO684" s="104" t="e">
        <f t="shared" si="319"/>
        <v>#N/A</v>
      </c>
      <c r="AP684" s="104" t="e">
        <f t="shared" si="320"/>
        <v>#N/A</v>
      </c>
      <c r="AQ684" s="104" t="e">
        <f t="shared" si="321"/>
        <v>#N/A</v>
      </c>
      <c r="AR684" s="105" t="str">
        <f t="shared" si="313"/>
        <v/>
      </c>
      <c r="AS684" s="105" t="str">
        <f t="shared" si="314"/>
        <v/>
      </c>
      <c r="AT684" s="108" t="str">
        <f t="shared" si="315"/>
        <v/>
      </c>
      <c r="AU684" s="108" t="str">
        <f t="shared" si="316"/>
        <v/>
      </c>
      <c r="AV684" s="107" t="str">
        <f>IF(ISNUMBER(O684),IF(VLOOKUP($A684,Stand!C:J,8,FALSE)="Short",AT684,AU684),"")</f>
        <v/>
      </c>
      <c r="AW684" s="109" t="str">
        <f t="shared" si="322"/>
        <v/>
      </c>
      <c r="AX684" s="109" t="str">
        <f t="shared" si="323"/>
        <v/>
      </c>
      <c r="AY684" s="112" t="str">
        <f>IF(ISNUMBER(O684),IF(AND(VLOOKUP($D684,Merchantability!$B:$C,2,0)="Yes",$E684&gt;=VLOOKUP($D684,Merchantability!$B:$D,3,0),$E684&lt;=VLOOKUP($D684,Merchantability!$B:$E,4,0)),(AV684*O684)*(1-$H684/100),""),"")</f>
        <v/>
      </c>
      <c r="AZ684" s="116"/>
      <c r="BA684" s="116"/>
      <c r="BB684" s="116"/>
      <c r="BE684" s="62"/>
      <c r="BF684" s="63"/>
    </row>
    <row r="685" spans="1:58" ht="12.75" customHeight="1" x14ac:dyDescent="0.25">
      <c r="A685" s="313"/>
      <c r="B685" s="328"/>
      <c r="C685" s="329"/>
      <c r="D685" s="328"/>
      <c r="E685" s="330"/>
      <c r="F685" s="328"/>
      <c r="G685" s="329"/>
      <c r="H685" s="329"/>
      <c r="I685" s="328"/>
      <c r="J685" s="383"/>
      <c r="K685" s="329"/>
      <c r="L685" s="329"/>
      <c r="M685" s="76"/>
      <c r="N685" s="103" t="str">
        <f>IF(A685="","",VLOOKUP(A685,Stand!C:K,9,0))</f>
        <v/>
      </c>
      <c r="O685" s="104" t="str">
        <f t="shared" si="308"/>
        <v/>
      </c>
      <c r="P685" s="105" t="str">
        <f t="shared" si="309"/>
        <v/>
      </c>
      <c r="Q685" s="105" t="str">
        <f t="shared" si="324"/>
        <v/>
      </c>
      <c r="R685" s="103" t="str">
        <f t="shared" si="310"/>
        <v/>
      </c>
      <c r="S685" s="103" t="str">
        <f t="shared" si="311"/>
        <v/>
      </c>
      <c r="T685" s="106" t="str">
        <f t="shared" si="325"/>
        <v/>
      </c>
      <c r="U685" s="106" t="str">
        <f t="shared" si="326"/>
        <v/>
      </c>
      <c r="V685" s="106" t="str">
        <f t="shared" si="327"/>
        <v/>
      </c>
      <c r="W685" s="105" t="str">
        <f t="shared" si="312"/>
        <v/>
      </c>
      <c r="X685" s="104" t="str">
        <f t="shared" si="317"/>
        <v/>
      </c>
      <c r="Y685" s="104" t="str">
        <f t="array" ref="Y685">IFERROR(IF(ISNUMBER(O685),IF(COUNT(IF(A685=$A$2:$A$2427,IF(D685=$D$2:$D$2427,IF($X$2:$X$2427&gt;0,1))))&gt;0,SUM(IF(A685=$A$2:$A$2427,IF(D685=$D$2:$D$2427,$X$2:$X$2427)))/COUNT(IF(A685=$A$2:$A$2427,IF(D685=$D$2:$D$2427,IF(ISNUMBER($X$2:$X$2427),1)))),0),""),0)</f>
        <v/>
      </c>
      <c r="Z685" s="104" t="str">
        <f>IF(ISNUMBER(O685),IF(I685&gt;0,(10^(VLOOKUP(D685,'Species Codes'!B:C,2,0)+VLOOKUP(D685,'Species Codes'!B:D,3,0)*LOG(E685)+VLOOKUP(D685,'Species Codes'!B:E,4,0)*LOG(I685))),0),"")</f>
        <v/>
      </c>
      <c r="AA685" s="104" t="str">
        <f>IFERROR((VLOOKUP(D685,'Species Codes'!B:G,6,0)*Z685)/2000,"")</f>
        <v/>
      </c>
      <c r="AB685" s="104" t="e">
        <f>IF(Z685&gt;0,((IF(OR(D685="DF",D685="RA")=TRUE,EXP(VLOOKUP(D685,'Species Codes'!B:I,8,0)+VLOOKUP(D685,'Species Codes'!B:J,9,0)*(LN((E685*2.54)))),IF(OR(D685="PY",D685="RC",D685="WH",D685="NF")=TRUE,VLOOKUP(D685,'Species Codes'!B:I,8,0)+VLOOKUP(D685,'Species Codes'!B:J,9,0)*((E685*2.54)^2)*(I685*0.3048),IF(OR(D685="MD",D685="BM",D685="GA")=TRUE,((VLOOKUP(D685,'Species Codes'!B:I,8,0)*(((((E685*2.54)+VLOOKUP(D685,'Species Codes'!B:J,9,0))/VLOOKUP(D685,'Species Codes'!B:K,10,0))^VLOOKUP(D685,'Species Codes'!B:L,11,0))*((I685*0.3048)^VLOOKUP(D685,'Species Codes'!B:M,12,0))))-(VLOOKUP(D685,'Species Codes'!B:I,8,0)*((((E685*2.54)^VLOOKUP(D685,'Species Codes'!B:L,11,0))*((I685*0.3048)^VLOOKUP(D685,'Species Codes'!B:M,12,0))))))*35.3*VLOOKUP(D685,'Species Codes'!B:G,6,0)/2.2046,VLOOKUP(D685,'Species Codes'!B:I,8,0)+VLOOKUP(D685,'Species Codes'!B:J,9,0)*(((E685*2.54)/100)^2)*(I685*0.3048)))))*0.0011023),0)</f>
        <v>#N/A</v>
      </c>
      <c r="AC685" s="104" t="e">
        <f>IF(Z685&gt;0,((IF(OR(D685="RA",D685="OA",D685="OT",D685="UN",D685="PC"),EXP(VLOOKUP(D685,'Species Codes'!B:O,14,0)+VLOOKUP(D685,'Species Codes'!B:P,15,0)*LN((E685*2.54)))-EXP(VLOOKUP(D685,'Species Codes'!B:O,14,0)+VLOOKUP(D685,'Species Codes'!B:P,15,0)*LN((E685*2.54)))*(1/(VLOOKUP(D685,'Species Codes'!B:Q,16,0)+VLOOKUP(D685,'Species Codes'!B:R,17,0)*((E685*2.54)^VLOOKUP(D685,'Species Codes'!B:S,18,0)))),IF(OR(D685="BM",D685="MD",D685="OA"),EXP(VLOOKUP(D685,'Species Codes'!B:O,14,0)+VLOOKUP(D685,'Species Codes'!B:P,15,0)*LN((E685*2.54)))*(1-(1/(VLOOKUP(D685,'Species Codes'!B:Q,16,0)+VLOOKUP(D685,'Species Codes'!B:R,17,0)*((E685*2.54)^VLOOKUP(D685,'Species Codes'!B:S,18,0)))))/1000,IF(D685="DF",EXP(VLOOKUP(D685,'Species Codes'!B:O,14,0)+VLOOKUP(D685,'Species Codes'!B:P,15,0)*LN((E685*2.54))),VLOOKUP(D685,'Species Codes'!B:O,14,0)+VLOOKUP(D685,'Species Codes'!B:P,15,0)*(((E685*2.54)/100)^2)*(I685*0.3048)))))*0.0011023),0)</f>
        <v>#N/A</v>
      </c>
      <c r="AD685" s="104" t="e">
        <f t="shared" si="328"/>
        <v>#N/A</v>
      </c>
      <c r="AE685" s="104" t="e">
        <f t="shared" si="329"/>
        <v>#N/A</v>
      </c>
      <c r="AF685" s="104" t="e">
        <f>IF(AND(VLOOKUP($D685,Merchantability!$B:$C,2,0)="Yes",$E685&gt;=VLOOKUP($D685,Merchantability!$B:$D,3,0),$E685&lt;=VLOOKUP($D685,Merchantability!$B:$E,4,0)),AA685,0)</f>
        <v>#N/A</v>
      </c>
      <c r="AG685" s="104" t="e">
        <f>IF(AND(VLOOKUP($D685,Merchantability!$B:$C,2,0)="Yes",$E685&gt;=VLOOKUP($D685,Merchantability!$B:$D,3,0),$E685&lt;=VLOOKUP($D685,Merchantability!$B:$E,4,0)),AB685,0)</f>
        <v>#N/A</v>
      </c>
      <c r="AH685" s="104" t="e">
        <f>IF(AND(VLOOKUP($D685,Merchantability!$B:$C,2,0)="Yes",$E685&gt;=VLOOKUP($D685,Merchantability!$B:$D,3,0),$E685&lt;=VLOOKUP($D685,Merchantability!$B:$E,4,0)),AC685,0)</f>
        <v>#N/A</v>
      </c>
      <c r="AI685" s="104" t="e">
        <f t="shared" si="330"/>
        <v>#N/A</v>
      </c>
      <c r="AJ685" s="104" t="e">
        <f t="shared" si="331"/>
        <v>#VALUE!</v>
      </c>
      <c r="AK685" s="104" t="e">
        <f t="shared" si="332"/>
        <v>#N/A</v>
      </c>
      <c r="AL685" s="104" t="e">
        <f t="shared" si="333"/>
        <v>#N/A</v>
      </c>
      <c r="AM685" s="104" t="e">
        <f t="shared" si="334"/>
        <v>#N/A</v>
      </c>
      <c r="AN685" s="104" t="e">
        <f t="shared" si="318"/>
        <v>#N/A</v>
      </c>
      <c r="AO685" s="104" t="e">
        <f t="shared" si="319"/>
        <v>#N/A</v>
      </c>
      <c r="AP685" s="104" t="e">
        <f t="shared" si="320"/>
        <v>#N/A</v>
      </c>
      <c r="AQ685" s="104" t="e">
        <f t="shared" si="321"/>
        <v>#N/A</v>
      </c>
      <c r="AR685" s="105" t="str">
        <f t="shared" si="313"/>
        <v/>
      </c>
      <c r="AS685" s="105" t="str">
        <f t="shared" si="314"/>
        <v/>
      </c>
      <c r="AT685" s="108" t="str">
        <f t="shared" si="315"/>
        <v/>
      </c>
      <c r="AU685" s="108" t="str">
        <f t="shared" si="316"/>
        <v/>
      </c>
      <c r="AV685" s="107" t="str">
        <f>IF(ISNUMBER(O685),IF(VLOOKUP($A685,Stand!C:J,8,FALSE)="Short",AT685,AU685),"")</f>
        <v/>
      </c>
      <c r="AW685" s="109" t="str">
        <f t="shared" si="322"/>
        <v/>
      </c>
      <c r="AX685" s="109" t="str">
        <f t="shared" si="323"/>
        <v/>
      </c>
      <c r="AY685" s="112" t="str">
        <f>IF(ISNUMBER(O685),IF(AND(VLOOKUP($D685,Merchantability!$B:$C,2,0)="Yes",$E685&gt;=VLOOKUP($D685,Merchantability!$B:$D,3,0),$E685&lt;=VLOOKUP($D685,Merchantability!$B:$E,4,0)),(AV685*O685)*(1-$H685/100),""),"")</f>
        <v/>
      </c>
      <c r="AZ685" s="116"/>
      <c r="BA685" s="116"/>
      <c r="BB685" s="116"/>
      <c r="BE685" s="62"/>
      <c r="BF685" s="63"/>
    </row>
    <row r="686" spans="1:58" ht="12.75" customHeight="1" x14ac:dyDescent="0.25">
      <c r="A686" s="313"/>
      <c r="B686" s="328"/>
      <c r="C686" s="329"/>
      <c r="D686" s="328"/>
      <c r="E686" s="330"/>
      <c r="F686" s="328"/>
      <c r="G686" s="329"/>
      <c r="H686" s="329"/>
      <c r="I686" s="328"/>
      <c r="J686" s="383"/>
      <c r="K686" s="329"/>
      <c r="L686" s="329"/>
      <c r="M686" s="76"/>
      <c r="N686" s="103" t="str">
        <f>IF(A686="","",VLOOKUP(A686,Stand!C:K,9,0))</f>
        <v/>
      </c>
      <c r="O686" s="104" t="str">
        <f t="shared" si="308"/>
        <v/>
      </c>
      <c r="P686" s="105" t="str">
        <f t="shared" si="309"/>
        <v/>
      </c>
      <c r="Q686" s="105" t="str">
        <f t="shared" si="324"/>
        <v/>
      </c>
      <c r="R686" s="103" t="str">
        <f t="shared" si="310"/>
        <v/>
      </c>
      <c r="S686" s="103" t="str">
        <f t="shared" si="311"/>
        <v/>
      </c>
      <c r="T686" s="106" t="str">
        <f t="shared" si="325"/>
        <v/>
      </c>
      <c r="U686" s="106" t="str">
        <f t="shared" si="326"/>
        <v/>
      </c>
      <c r="V686" s="106" t="str">
        <f t="shared" si="327"/>
        <v/>
      </c>
      <c r="W686" s="105" t="str">
        <f t="shared" si="312"/>
        <v/>
      </c>
      <c r="X686" s="104" t="str">
        <f t="shared" si="317"/>
        <v/>
      </c>
      <c r="Y686" s="104" t="str">
        <f t="array" ref="Y686">IFERROR(IF(ISNUMBER(O686),IF(COUNT(IF(A686=$A$2:$A$2427,IF(D686=$D$2:$D$2427,IF($X$2:$X$2427&gt;0,1))))&gt;0,SUM(IF(A686=$A$2:$A$2427,IF(D686=$D$2:$D$2427,$X$2:$X$2427)))/COUNT(IF(A686=$A$2:$A$2427,IF(D686=$D$2:$D$2427,IF(ISNUMBER($X$2:$X$2427),1)))),0),""),0)</f>
        <v/>
      </c>
      <c r="Z686" s="104" t="str">
        <f>IF(ISNUMBER(O686),IF(I686&gt;0,(10^(VLOOKUP(D686,'Species Codes'!B:C,2,0)+VLOOKUP(D686,'Species Codes'!B:D,3,0)*LOG(E686)+VLOOKUP(D686,'Species Codes'!B:E,4,0)*LOG(I686))),0),"")</f>
        <v/>
      </c>
      <c r="AA686" s="104" t="str">
        <f>IFERROR((VLOOKUP(D686,'Species Codes'!B:G,6,0)*Z686)/2000,"")</f>
        <v/>
      </c>
      <c r="AB686" s="104" t="e">
        <f>IF(Z686&gt;0,((IF(OR(D686="DF",D686="RA")=TRUE,EXP(VLOOKUP(D686,'Species Codes'!B:I,8,0)+VLOOKUP(D686,'Species Codes'!B:J,9,0)*(LN((E686*2.54)))),IF(OR(D686="PY",D686="RC",D686="WH",D686="NF")=TRUE,VLOOKUP(D686,'Species Codes'!B:I,8,0)+VLOOKUP(D686,'Species Codes'!B:J,9,0)*((E686*2.54)^2)*(I686*0.3048),IF(OR(D686="MD",D686="BM",D686="GA")=TRUE,((VLOOKUP(D686,'Species Codes'!B:I,8,0)*(((((E686*2.54)+VLOOKUP(D686,'Species Codes'!B:J,9,0))/VLOOKUP(D686,'Species Codes'!B:K,10,0))^VLOOKUP(D686,'Species Codes'!B:L,11,0))*((I686*0.3048)^VLOOKUP(D686,'Species Codes'!B:M,12,0))))-(VLOOKUP(D686,'Species Codes'!B:I,8,0)*((((E686*2.54)^VLOOKUP(D686,'Species Codes'!B:L,11,0))*((I686*0.3048)^VLOOKUP(D686,'Species Codes'!B:M,12,0))))))*35.3*VLOOKUP(D686,'Species Codes'!B:G,6,0)/2.2046,VLOOKUP(D686,'Species Codes'!B:I,8,0)+VLOOKUP(D686,'Species Codes'!B:J,9,0)*(((E686*2.54)/100)^2)*(I686*0.3048)))))*0.0011023),0)</f>
        <v>#N/A</v>
      </c>
      <c r="AC686" s="104" t="e">
        <f>IF(Z686&gt;0,((IF(OR(D686="RA",D686="OA",D686="OT",D686="UN",D686="PC"),EXP(VLOOKUP(D686,'Species Codes'!B:O,14,0)+VLOOKUP(D686,'Species Codes'!B:P,15,0)*LN((E686*2.54)))-EXP(VLOOKUP(D686,'Species Codes'!B:O,14,0)+VLOOKUP(D686,'Species Codes'!B:P,15,0)*LN((E686*2.54)))*(1/(VLOOKUP(D686,'Species Codes'!B:Q,16,0)+VLOOKUP(D686,'Species Codes'!B:R,17,0)*((E686*2.54)^VLOOKUP(D686,'Species Codes'!B:S,18,0)))),IF(OR(D686="BM",D686="MD",D686="OA"),EXP(VLOOKUP(D686,'Species Codes'!B:O,14,0)+VLOOKUP(D686,'Species Codes'!B:P,15,0)*LN((E686*2.54)))*(1-(1/(VLOOKUP(D686,'Species Codes'!B:Q,16,0)+VLOOKUP(D686,'Species Codes'!B:R,17,0)*((E686*2.54)^VLOOKUP(D686,'Species Codes'!B:S,18,0)))))/1000,IF(D686="DF",EXP(VLOOKUP(D686,'Species Codes'!B:O,14,0)+VLOOKUP(D686,'Species Codes'!B:P,15,0)*LN((E686*2.54))),VLOOKUP(D686,'Species Codes'!B:O,14,0)+VLOOKUP(D686,'Species Codes'!B:P,15,0)*(((E686*2.54)/100)^2)*(I686*0.3048)))))*0.0011023),0)</f>
        <v>#N/A</v>
      </c>
      <c r="AD686" s="104" t="e">
        <f t="shared" si="328"/>
        <v>#N/A</v>
      </c>
      <c r="AE686" s="104" t="e">
        <f t="shared" si="329"/>
        <v>#N/A</v>
      </c>
      <c r="AF686" s="104" t="e">
        <f>IF(AND(VLOOKUP($D686,Merchantability!$B:$C,2,0)="Yes",$E686&gt;=VLOOKUP($D686,Merchantability!$B:$D,3,0),$E686&lt;=VLOOKUP($D686,Merchantability!$B:$E,4,0)),AA686,0)</f>
        <v>#N/A</v>
      </c>
      <c r="AG686" s="104" t="e">
        <f>IF(AND(VLOOKUP($D686,Merchantability!$B:$C,2,0)="Yes",$E686&gt;=VLOOKUP($D686,Merchantability!$B:$D,3,0),$E686&lt;=VLOOKUP($D686,Merchantability!$B:$E,4,0)),AB686,0)</f>
        <v>#N/A</v>
      </c>
      <c r="AH686" s="104" t="e">
        <f>IF(AND(VLOOKUP($D686,Merchantability!$B:$C,2,0)="Yes",$E686&gt;=VLOOKUP($D686,Merchantability!$B:$D,3,0),$E686&lt;=VLOOKUP($D686,Merchantability!$B:$E,4,0)),AC686,0)</f>
        <v>#N/A</v>
      </c>
      <c r="AI686" s="104" t="e">
        <f t="shared" si="330"/>
        <v>#N/A</v>
      </c>
      <c r="AJ686" s="104" t="e">
        <f t="shared" si="331"/>
        <v>#VALUE!</v>
      </c>
      <c r="AK686" s="104" t="e">
        <f t="shared" si="332"/>
        <v>#N/A</v>
      </c>
      <c r="AL686" s="104" t="e">
        <f t="shared" si="333"/>
        <v>#N/A</v>
      </c>
      <c r="AM686" s="104" t="e">
        <f t="shared" si="334"/>
        <v>#N/A</v>
      </c>
      <c r="AN686" s="104" t="e">
        <f t="shared" si="318"/>
        <v>#N/A</v>
      </c>
      <c r="AO686" s="104" t="e">
        <f t="shared" si="319"/>
        <v>#N/A</v>
      </c>
      <c r="AP686" s="104" t="e">
        <f t="shared" si="320"/>
        <v>#N/A</v>
      </c>
      <c r="AQ686" s="104" t="e">
        <f t="shared" si="321"/>
        <v>#N/A</v>
      </c>
      <c r="AR686" s="105" t="str">
        <f t="shared" si="313"/>
        <v/>
      </c>
      <c r="AS686" s="105" t="str">
        <f t="shared" si="314"/>
        <v/>
      </c>
      <c r="AT686" s="108" t="str">
        <f t="shared" si="315"/>
        <v/>
      </c>
      <c r="AU686" s="108" t="str">
        <f t="shared" si="316"/>
        <v/>
      </c>
      <c r="AV686" s="107" t="str">
        <f>IF(ISNUMBER(O686),IF(VLOOKUP($A686,Stand!C:J,8,FALSE)="Short",AT686,AU686),"")</f>
        <v/>
      </c>
      <c r="AW686" s="109" t="str">
        <f t="shared" si="322"/>
        <v/>
      </c>
      <c r="AX686" s="109" t="str">
        <f t="shared" si="323"/>
        <v/>
      </c>
      <c r="AY686" s="112" t="str">
        <f>IF(ISNUMBER(O686),IF(AND(VLOOKUP($D686,Merchantability!$B:$C,2,0)="Yes",$E686&gt;=VLOOKUP($D686,Merchantability!$B:$D,3,0),$E686&lt;=VLOOKUP($D686,Merchantability!$B:$E,4,0)),(AV686*O686)*(1-$H686/100),""),"")</f>
        <v/>
      </c>
      <c r="AZ686" s="116"/>
      <c r="BA686" s="116"/>
      <c r="BB686" s="116"/>
      <c r="BE686" s="62"/>
      <c r="BF686" s="63"/>
    </row>
    <row r="687" spans="1:58" ht="12.75" customHeight="1" x14ac:dyDescent="0.25">
      <c r="A687" s="313"/>
      <c r="B687" s="328"/>
      <c r="C687" s="329"/>
      <c r="D687" s="328"/>
      <c r="E687" s="330"/>
      <c r="F687" s="328"/>
      <c r="G687" s="329"/>
      <c r="H687" s="329"/>
      <c r="I687" s="328"/>
      <c r="J687" s="383"/>
      <c r="K687" s="329"/>
      <c r="L687" s="329"/>
      <c r="M687" s="76"/>
      <c r="N687" s="103" t="str">
        <f>IF(A687="","",VLOOKUP(A687,Stand!C:K,9,0))</f>
        <v/>
      </c>
      <c r="O687" s="104" t="str">
        <f t="shared" si="308"/>
        <v/>
      </c>
      <c r="P687" s="105" t="str">
        <f t="shared" si="309"/>
        <v/>
      </c>
      <c r="Q687" s="105" t="str">
        <f t="shared" si="324"/>
        <v/>
      </c>
      <c r="R687" s="103" t="str">
        <f t="shared" si="310"/>
        <v/>
      </c>
      <c r="S687" s="103" t="str">
        <f t="shared" si="311"/>
        <v/>
      </c>
      <c r="T687" s="106" t="str">
        <f t="shared" si="325"/>
        <v/>
      </c>
      <c r="U687" s="106" t="str">
        <f t="shared" si="326"/>
        <v/>
      </c>
      <c r="V687" s="106" t="str">
        <f t="shared" si="327"/>
        <v/>
      </c>
      <c r="W687" s="105" t="str">
        <f t="shared" si="312"/>
        <v/>
      </c>
      <c r="X687" s="104" t="str">
        <f t="shared" si="317"/>
        <v/>
      </c>
      <c r="Y687" s="104" t="str">
        <f t="array" ref="Y687">IFERROR(IF(ISNUMBER(O687),IF(COUNT(IF(A687=$A$2:$A$2427,IF(D687=$D$2:$D$2427,IF($X$2:$X$2427&gt;0,1))))&gt;0,SUM(IF(A687=$A$2:$A$2427,IF(D687=$D$2:$D$2427,$X$2:$X$2427)))/COUNT(IF(A687=$A$2:$A$2427,IF(D687=$D$2:$D$2427,IF(ISNUMBER($X$2:$X$2427),1)))),0),""),0)</f>
        <v/>
      </c>
      <c r="Z687" s="104" t="str">
        <f>IF(ISNUMBER(O687),IF(I687&gt;0,(10^(VLOOKUP(D687,'Species Codes'!B:C,2,0)+VLOOKUP(D687,'Species Codes'!B:D,3,0)*LOG(E687)+VLOOKUP(D687,'Species Codes'!B:E,4,0)*LOG(I687))),0),"")</f>
        <v/>
      </c>
      <c r="AA687" s="104" t="str">
        <f>IFERROR((VLOOKUP(D687,'Species Codes'!B:G,6,0)*Z687)/2000,"")</f>
        <v/>
      </c>
      <c r="AB687" s="104" t="e">
        <f>IF(Z687&gt;0,((IF(OR(D687="DF",D687="RA")=TRUE,EXP(VLOOKUP(D687,'Species Codes'!B:I,8,0)+VLOOKUP(D687,'Species Codes'!B:J,9,0)*(LN((E687*2.54)))),IF(OR(D687="PY",D687="RC",D687="WH",D687="NF")=TRUE,VLOOKUP(D687,'Species Codes'!B:I,8,0)+VLOOKUP(D687,'Species Codes'!B:J,9,0)*((E687*2.54)^2)*(I687*0.3048),IF(OR(D687="MD",D687="BM",D687="GA")=TRUE,((VLOOKUP(D687,'Species Codes'!B:I,8,0)*(((((E687*2.54)+VLOOKUP(D687,'Species Codes'!B:J,9,0))/VLOOKUP(D687,'Species Codes'!B:K,10,0))^VLOOKUP(D687,'Species Codes'!B:L,11,0))*((I687*0.3048)^VLOOKUP(D687,'Species Codes'!B:M,12,0))))-(VLOOKUP(D687,'Species Codes'!B:I,8,0)*((((E687*2.54)^VLOOKUP(D687,'Species Codes'!B:L,11,0))*((I687*0.3048)^VLOOKUP(D687,'Species Codes'!B:M,12,0))))))*35.3*VLOOKUP(D687,'Species Codes'!B:G,6,0)/2.2046,VLOOKUP(D687,'Species Codes'!B:I,8,0)+VLOOKUP(D687,'Species Codes'!B:J,9,0)*(((E687*2.54)/100)^2)*(I687*0.3048)))))*0.0011023),0)</f>
        <v>#N/A</v>
      </c>
      <c r="AC687" s="104" t="e">
        <f>IF(Z687&gt;0,((IF(OR(D687="RA",D687="OA",D687="OT",D687="UN",D687="PC"),EXP(VLOOKUP(D687,'Species Codes'!B:O,14,0)+VLOOKUP(D687,'Species Codes'!B:P,15,0)*LN((E687*2.54)))-EXP(VLOOKUP(D687,'Species Codes'!B:O,14,0)+VLOOKUP(D687,'Species Codes'!B:P,15,0)*LN((E687*2.54)))*(1/(VLOOKUP(D687,'Species Codes'!B:Q,16,0)+VLOOKUP(D687,'Species Codes'!B:R,17,0)*((E687*2.54)^VLOOKUP(D687,'Species Codes'!B:S,18,0)))),IF(OR(D687="BM",D687="MD",D687="OA"),EXP(VLOOKUP(D687,'Species Codes'!B:O,14,0)+VLOOKUP(D687,'Species Codes'!B:P,15,0)*LN((E687*2.54)))*(1-(1/(VLOOKUP(D687,'Species Codes'!B:Q,16,0)+VLOOKUP(D687,'Species Codes'!B:R,17,0)*((E687*2.54)^VLOOKUP(D687,'Species Codes'!B:S,18,0)))))/1000,IF(D687="DF",EXP(VLOOKUP(D687,'Species Codes'!B:O,14,0)+VLOOKUP(D687,'Species Codes'!B:P,15,0)*LN((E687*2.54))),VLOOKUP(D687,'Species Codes'!B:O,14,0)+VLOOKUP(D687,'Species Codes'!B:P,15,0)*(((E687*2.54)/100)^2)*(I687*0.3048)))))*0.0011023),0)</f>
        <v>#N/A</v>
      </c>
      <c r="AD687" s="104" t="e">
        <f t="shared" si="328"/>
        <v>#N/A</v>
      </c>
      <c r="AE687" s="104" t="e">
        <f t="shared" si="329"/>
        <v>#N/A</v>
      </c>
      <c r="AF687" s="104" t="e">
        <f>IF(AND(VLOOKUP($D687,Merchantability!$B:$C,2,0)="Yes",$E687&gt;=VLOOKUP($D687,Merchantability!$B:$D,3,0),$E687&lt;=VLOOKUP($D687,Merchantability!$B:$E,4,0)),AA687,0)</f>
        <v>#N/A</v>
      </c>
      <c r="AG687" s="104" t="e">
        <f>IF(AND(VLOOKUP($D687,Merchantability!$B:$C,2,0)="Yes",$E687&gt;=VLOOKUP($D687,Merchantability!$B:$D,3,0),$E687&lt;=VLOOKUP($D687,Merchantability!$B:$E,4,0)),AB687,0)</f>
        <v>#N/A</v>
      </c>
      <c r="AH687" s="104" t="e">
        <f>IF(AND(VLOOKUP($D687,Merchantability!$B:$C,2,0)="Yes",$E687&gt;=VLOOKUP($D687,Merchantability!$B:$D,3,0),$E687&lt;=VLOOKUP($D687,Merchantability!$B:$E,4,0)),AC687,0)</f>
        <v>#N/A</v>
      </c>
      <c r="AI687" s="104" t="e">
        <f t="shared" si="330"/>
        <v>#N/A</v>
      </c>
      <c r="AJ687" s="104" t="e">
        <f t="shared" si="331"/>
        <v>#VALUE!</v>
      </c>
      <c r="AK687" s="104" t="e">
        <f t="shared" si="332"/>
        <v>#N/A</v>
      </c>
      <c r="AL687" s="104" t="e">
        <f t="shared" si="333"/>
        <v>#N/A</v>
      </c>
      <c r="AM687" s="104" t="e">
        <f t="shared" si="334"/>
        <v>#N/A</v>
      </c>
      <c r="AN687" s="104" t="e">
        <f t="shared" si="318"/>
        <v>#N/A</v>
      </c>
      <c r="AO687" s="104" t="e">
        <f t="shared" si="319"/>
        <v>#N/A</v>
      </c>
      <c r="AP687" s="104" t="e">
        <f t="shared" si="320"/>
        <v>#N/A</v>
      </c>
      <c r="AQ687" s="104" t="e">
        <f t="shared" si="321"/>
        <v>#N/A</v>
      </c>
      <c r="AR687" s="105" t="str">
        <f t="shared" si="313"/>
        <v/>
      </c>
      <c r="AS687" s="105" t="str">
        <f t="shared" si="314"/>
        <v/>
      </c>
      <c r="AT687" s="108" t="str">
        <f t="shared" si="315"/>
        <v/>
      </c>
      <c r="AU687" s="108" t="str">
        <f t="shared" si="316"/>
        <v/>
      </c>
      <c r="AV687" s="107" t="str">
        <f>IF(ISNUMBER(O687),IF(VLOOKUP($A687,Stand!C:J,8,FALSE)="Short",AT687,AU687),"")</f>
        <v/>
      </c>
      <c r="AW687" s="109" t="str">
        <f t="shared" si="322"/>
        <v/>
      </c>
      <c r="AX687" s="109" t="str">
        <f t="shared" si="323"/>
        <v/>
      </c>
      <c r="AY687" s="112" t="str">
        <f>IF(ISNUMBER(O687),IF(AND(VLOOKUP($D687,Merchantability!$B:$C,2,0)="Yes",$E687&gt;=VLOOKUP($D687,Merchantability!$B:$D,3,0),$E687&lt;=VLOOKUP($D687,Merchantability!$B:$E,4,0)),(AV687*O687)*(1-$H687/100),""),"")</f>
        <v/>
      </c>
      <c r="AZ687" s="116"/>
      <c r="BA687" s="116"/>
      <c r="BB687" s="116"/>
      <c r="BE687" s="62"/>
      <c r="BF687" s="63"/>
    </row>
    <row r="688" spans="1:58" ht="12.75" customHeight="1" x14ac:dyDescent="0.25">
      <c r="A688" s="313"/>
      <c r="B688" s="328"/>
      <c r="C688" s="329"/>
      <c r="D688" s="328"/>
      <c r="E688" s="330"/>
      <c r="F688" s="328"/>
      <c r="G688" s="329"/>
      <c r="H688" s="329"/>
      <c r="I688" s="328"/>
      <c r="J688" s="383"/>
      <c r="K688" s="329"/>
      <c r="L688" s="329"/>
      <c r="M688" s="76"/>
      <c r="N688" s="103" t="str">
        <f>IF(A688="","",VLOOKUP(A688,Stand!C:K,9,0))</f>
        <v/>
      </c>
      <c r="O688" s="104" t="str">
        <f t="shared" si="308"/>
        <v/>
      </c>
      <c r="P688" s="105" t="str">
        <f t="shared" si="309"/>
        <v/>
      </c>
      <c r="Q688" s="105" t="str">
        <f t="shared" si="324"/>
        <v/>
      </c>
      <c r="R688" s="103" t="str">
        <f t="shared" si="310"/>
        <v/>
      </c>
      <c r="S688" s="103" t="str">
        <f t="shared" si="311"/>
        <v/>
      </c>
      <c r="T688" s="106" t="str">
        <f t="shared" si="325"/>
        <v/>
      </c>
      <c r="U688" s="106" t="str">
        <f t="shared" si="326"/>
        <v/>
      </c>
      <c r="V688" s="106" t="str">
        <f t="shared" si="327"/>
        <v/>
      </c>
      <c r="W688" s="105" t="str">
        <f t="shared" si="312"/>
        <v/>
      </c>
      <c r="X688" s="104" t="str">
        <f t="shared" si="317"/>
        <v/>
      </c>
      <c r="Y688" s="104" t="str">
        <f t="array" ref="Y688">IFERROR(IF(ISNUMBER(O688),IF(COUNT(IF(A688=$A$2:$A$2427,IF(D688=$D$2:$D$2427,IF($X$2:$X$2427&gt;0,1))))&gt;0,SUM(IF(A688=$A$2:$A$2427,IF(D688=$D$2:$D$2427,$X$2:$X$2427)))/COUNT(IF(A688=$A$2:$A$2427,IF(D688=$D$2:$D$2427,IF(ISNUMBER($X$2:$X$2427),1)))),0),""),0)</f>
        <v/>
      </c>
      <c r="Z688" s="104" t="str">
        <f>IF(ISNUMBER(O688),IF(I688&gt;0,(10^(VLOOKUP(D688,'Species Codes'!B:C,2,0)+VLOOKUP(D688,'Species Codes'!B:D,3,0)*LOG(E688)+VLOOKUP(D688,'Species Codes'!B:E,4,0)*LOG(I688))),0),"")</f>
        <v/>
      </c>
      <c r="AA688" s="104" t="str">
        <f>IFERROR((VLOOKUP(D688,'Species Codes'!B:G,6,0)*Z688)/2000,"")</f>
        <v/>
      </c>
      <c r="AB688" s="104" t="e">
        <f>IF(Z688&gt;0,((IF(OR(D688="DF",D688="RA")=TRUE,EXP(VLOOKUP(D688,'Species Codes'!B:I,8,0)+VLOOKUP(D688,'Species Codes'!B:J,9,0)*(LN((E688*2.54)))),IF(OR(D688="PY",D688="RC",D688="WH",D688="NF")=TRUE,VLOOKUP(D688,'Species Codes'!B:I,8,0)+VLOOKUP(D688,'Species Codes'!B:J,9,0)*((E688*2.54)^2)*(I688*0.3048),IF(OR(D688="MD",D688="BM",D688="GA")=TRUE,((VLOOKUP(D688,'Species Codes'!B:I,8,0)*(((((E688*2.54)+VLOOKUP(D688,'Species Codes'!B:J,9,0))/VLOOKUP(D688,'Species Codes'!B:K,10,0))^VLOOKUP(D688,'Species Codes'!B:L,11,0))*((I688*0.3048)^VLOOKUP(D688,'Species Codes'!B:M,12,0))))-(VLOOKUP(D688,'Species Codes'!B:I,8,0)*((((E688*2.54)^VLOOKUP(D688,'Species Codes'!B:L,11,0))*((I688*0.3048)^VLOOKUP(D688,'Species Codes'!B:M,12,0))))))*35.3*VLOOKUP(D688,'Species Codes'!B:G,6,0)/2.2046,VLOOKUP(D688,'Species Codes'!B:I,8,0)+VLOOKUP(D688,'Species Codes'!B:J,9,0)*(((E688*2.54)/100)^2)*(I688*0.3048)))))*0.0011023),0)</f>
        <v>#N/A</v>
      </c>
      <c r="AC688" s="104" t="e">
        <f>IF(Z688&gt;0,((IF(OR(D688="RA",D688="OA",D688="OT",D688="UN",D688="PC"),EXP(VLOOKUP(D688,'Species Codes'!B:O,14,0)+VLOOKUP(D688,'Species Codes'!B:P,15,0)*LN((E688*2.54)))-EXP(VLOOKUP(D688,'Species Codes'!B:O,14,0)+VLOOKUP(D688,'Species Codes'!B:P,15,0)*LN((E688*2.54)))*(1/(VLOOKUP(D688,'Species Codes'!B:Q,16,0)+VLOOKUP(D688,'Species Codes'!B:R,17,0)*((E688*2.54)^VLOOKUP(D688,'Species Codes'!B:S,18,0)))),IF(OR(D688="BM",D688="MD",D688="OA"),EXP(VLOOKUP(D688,'Species Codes'!B:O,14,0)+VLOOKUP(D688,'Species Codes'!B:P,15,0)*LN((E688*2.54)))*(1-(1/(VLOOKUP(D688,'Species Codes'!B:Q,16,0)+VLOOKUP(D688,'Species Codes'!B:R,17,0)*((E688*2.54)^VLOOKUP(D688,'Species Codes'!B:S,18,0)))))/1000,IF(D688="DF",EXP(VLOOKUP(D688,'Species Codes'!B:O,14,0)+VLOOKUP(D688,'Species Codes'!B:P,15,0)*LN((E688*2.54))),VLOOKUP(D688,'Species Codes'!B:O,14,0)+VLOOKUP(D688,'Species Codes'!B:P,15,0)*(((E688*2.54)/100)^2)*(I688*0.3048)))))*0.0011023),0)</f>
        <v>#N/A</v>
      </c>
      <c r="AD688" s="104" t="e">
        <f t="shared" si="328"/>
        <v>#N/A</v>
      </c>
      <c r="AE688" s="104" t="e">
        <f t="shared" si="329"/>
        <v>#N/A</v>
      </c>
      <c r="AF688" s="104" t="e">
        <f>IF(AND(VLOOKUP($D688,Merchantability!$B:$C,2,0)="Yes",$E688&gt;=VLOOKUP($D688,Merchantability!$B:$D,3,0),$E688&lt;=VLOOKUP($D688,Merchantability!$B:$E,4,0)),AA688,0)</f>
        <v>#N/A</v>
      </c>
      <c r="AG688" s="104" t="e">
        <f>IF(AND(VLOOKUP($D688,Merchantability!$B:$C,2,0)="Yes",$E688&gt;=VLOOKUP($D688,Merchantability!$B:$D,3,0),$E688&lt;=VLOOKUP($D688,Merchantability!$B:$E,4,0)),AB688,0)</f>
        <v>#N/A</v>
      </c>
      <c r="AH688" s="104" t="e">
        <f>IF(AND(VLOOKUP($D688,Merchantability!$B:$C,2,0)="Yes",$E688&gt;=VLOOKUP($D688,Merchantability!$B:$D,3,0),$E688&lt;=VLOOKUP($D688,Merchantability!$B:$E,4,0)),AC688,0)</f>
        <v>#N/A</v>
      </c>
      <c r="AI688" s="104" t="e">
        <f t="shared" si="330"/>
        <v>#N/A</v>
      </c>
      <c r="AJ688" s="104" t="e">
        <f t="shared" si="331"/>
        <v>#VALUE!</v>
      </c>
      <c r="AK688" s="104" t="e">
        <f t="shared" si="332"/>
        <v>#N/A</v>
      </c>
      <c r="AL688" s="104" t="e">
        <f t="shared" si="333"/>
        <v>#N/A</v>
      </c>
      <c r="AM688" s="104" t="e">
        <f t="shared" si="334"/>
        <v>#N/A</v>
      </c>
      <c r="AN688" s="104" t="e">
        <f t="shared" si="318"/>
        <v>#N/A</v>
      </c>
      <c r="AO688" s="104" t="e">
        <f t="shared" si="319"/>
        <v>#N/A</v>
      </c>
      <c r="AP688" s="104" t="e">
        <f t="shared" si="320"/>
        <v>#N/A</v>
      </c>
      <c r="AQ688" s="104" t="e">
        <f t="shared" si="321"/>
        <v>#N/A</v>
      </c>
      <c r="AR688" s="105" t="str">
        <f t="shared" si="313"/>
        <v/>
      </c>
      <c r="AS688" s="105" t="str">
        <f t="shared" si="314"/>
        <v/>
      </c>
      <c r="AT688" s="108" t="str">
        <f t="shared" si="315"/>
        <v/>
      </c>
      <c r="AU688" s="108" t="str">
        <f t="shared" si="316"/>
        <v/>
      </c>
      <c r="AV688" s="107" t="str">
        <f>IF(ISNUMBER(O688),IF(VLOOKUP($A688,Stand!C:J,8,FALSE)="Short",AT688,AU688),"")</f>
        <v/>
      </c>
      <c r="AW688" s="109" t="str">
        <f t="shared" si="322"/>
        <v/>
      </c>
      <c r="AX688" s="109" t="str">
        <f t="shared" si="323"/>
        <v/>
      </c>
      <c r="AY688" s="112" t="str">
        <f>IF(ISNUMBER(O688),IF(AND(VLOOKUP($D688,Merchantability!$B:$C,2,0)="Yes",$E688&gt;=VLOOKUP($D688,Merchantability!$B:$D,3,0),$E688&lt;=VLOOKUP($D688,Merchantability!$B:$E,4,0)),(AV688*O688)*(1-$H688/100),""),"")</f>
        <v/>
      </c>
      <c r="AZ688" s="116"/>
      <c r="BA688" s="116"/>
      <c r="BB688" s="116"/>
      <c r="BE688" s="62"/>
      <c r="BF688" s="63"/>
    </row>
    <row r="689" spans="1:58" ht="12.75" customHeight="1" x14ac:dyDescent="0.25">
      <c r="A689" s="313"/>
      <c r="B689" s="328"/>
      <c r="C689" s="329"/>
      <c r="D689" s="328"/>
      <c r="E689" s="330"/>
      <c r="F689" s="328"/>
      <c r="G689" s="329"/>
      <c r="H689" s="329"/>
      <c r="I689" s="328"/>
      <c r="J689" s="383"/>
      <c r="K689" s="329"/>
      <c r="L689" s="329"/>
      <c r="M689" s="76"/>
      <c r="N689" s="103" t="str">
        <f>IF(A689="","",VLOOKUP(A689,Stand!C:K,9,0))</f>
        <v/>
      </c>
      <c r="O689" s="104" t="str">
        <f t="shared" si="308"/>
        <v/>
      </c>
      <c r="P689" s="105" t="str">
        <f t="shared" si="309"/>
        <v/>
      </c>
      <c r="Q689" s="105" t="str">
        <f t="shared" si="324"/>
        <v/>
      </c>
      <c r="R689" s="103" t="str">
        <f t="shared" si="310"/>
        <v/>
      </c>
      <c r="S689" s="103" t="str">
        <f t="shared" si="311"/>
        <v/>
      </c>
      <c r="T689" s="106" t="str">
        <f t="shared" si="325"/>
        <v/>
      </c>
      <c r="U689" s="106" t="str">
        <f t="shared" si="326"/>
        <v/>
      </c>
      <c r="V689" s="106" t="str">
        <f t="shared" si="327"/>
        <v/>
      </c>
      <c r="W689" s="105" t="str">
        <f t="shared" si="312"/>
        <v/>
      </c>
      <c r="X689" s="104" t="str">
        <f t="shared" si="317"/>
        <v/>
      </c>
      <c r="Y689" s="104" t="str">
        <f t="array" ref="Y689">IFERROR(IF(ISNUMBER(O689),IF(COUNT(IF(A689=$A$2:$A$2427,IF(D689=$D$2:$D$2427,IF($X$2:$X$2427&gt;0,1))))&gt;0,SUM(IF(A689=$A$2:$A$2427,IF(D689=$D$2:$D$2427,$X$2:$X$2427)))/COUNT(IF(A689=$A$2:$A$2427,IF(D689=$D$2:$D$2427,IF(ISNUMBER($X$2:$X$2427),1)))),0),""),0)</f>
        <v/>
      </c>
      <c r="Z689" s="104" t="str">
        <f>IF(ISNUMBER(O689),IF(I689&gt;0,(10^(VLOOKUP(D689,'Species Codes'!B:C,2,0)+VLOOKUP(D689,'Species Codes'!B:D,3,0)*LOG(E689)+VLOOKUP(D689,'Species Codes'!B:E,4,0)*LOG(I689))),0),"")</f>
        <v/>
      </c>
      <c r="AA689" s="104" t="str">
        <f>IFERROR((VLOOKUP(D689,'Species Codes'!B:G,6,0)*Z689)/2000,"")</f>
        <v/>
      </c>
      <c r="AB689" s="104" t="e">
        <f>IF(Z689&gt;0,((IF(OR(D689="DF",D689="RA")=TRUE,EXP(VLOOKUP(D689,'Species Codes'!B:I,8,0)+VLOOKUP(D689,'Species Codes'!B:J,9,0)*(LN((E689*2.54)))),IF(OR(D689="PY",D689="RC",D689="WH",D689="NF")=TRUE,VLOOKUP(D689,'Species Codes'!B:I,8,0)+VLOOKUP(D689,'Species Codes'!B:J,9,0)*((E689*2.54)^2)*(I689*0.3048),IF(OR(D689="MD",D689="BM",D689="GA")=TRUE,((VLOOKUP(D689,'Species Codes'!B:I,8,0)*(((((E689*2.54)+VLOOKUP(D689,'Species Codes'!B:J,9,0))/VLOOKUP(D689,'Species Codes'!B:K,10,0))^VLOOKUP(D689,'Species Codes'!B:L,11,0))*((I689*0.3048)^VLOOKUP(D689,'Species Codes'!B:M,12,0))))-(VLOOKUP(D689,'Species Codes'!B:I,8,0)*((((E689*2.54)^VLOOKUP(D689,'Species Codes'!B:L,11,0))*((I689*0.3048)^VLOOKUP(D689,'Species Codes'!B:M,12,0))))))*35.3*VLOOKUP(D689,'Species Codes'!B:G,6,0)/2.2046,VLOOKUP(D689,'Species Codes'!B:I,8,0)+VLOOKUP(D689,'Species Codes'!B:J,9,0)*(((E689*2.54)/100)^2)*(I689*0.3048)))))*0.0011023),0)</f>
        <v>#N/A</v>
      </c>
      <c r="AC689" s="104" t="e">
        <f>IF(Z689&gt;0,((IF(OR(D689="RA",D689="OA",D689="OT",D689="UN",D689="PC"),EXP(VLOOKUP(D689,'Species Codes'!B:O,14,0)+VLOOKUP(D689,'Species Codes'!B:P,15,0)*LN((E689*2.54)))-EXP(VLOOKUP(D689,'Species Codes'!B:O,14,0)+VLOOKUP(D689,'Species Codes'!B:P,15,0)*LN((E689*2.54)))*(1/(VLOOKUP(D689,'Species Codes'!B:Q,16,0)+VLOOKUP(D689,'Species Codes'!B:R,17,0)*((E689*2.54)^VLOOKUP(D689,'Species Codes'!B:S,18,0)))),IF(OR(D689="BM",D689="MD",D689="OA"),EXP(VLOOKUP(D689,'Species Codes'!B:O,14,0)+VLOOKUP(D689,'Species Codes'!B:P,15,0)*LN((E689*2.54)))*(1-(1/(VLOOKUP(D689,'Species Codes'!B:Q,16,0)+VLOOKUP(D689,'Species Codes'!B:R,17,0)*((E689*2.54)^VLOOKUP(D689,'Species Codes'!B:S,18,0)))))/1000,IF(D689="DF",EXP(VLOOKUP(D689,'Species Codes'!B:O,14,0)+VLOOKUP(D689,'Species Codes'!B:P,15,0)*LN((E689*2.54))),VLOOKUP(D689,'Species Codes'!B:O,14,0)+VLOOKUP(D689,'Species Codes'!B:P,15,0)*(((E689*2.54)/100)^2)*(I689*0.3048)))))*0.0011023),0)</f>
        <v>#N/A</v>
      </c>
      <c r="AD689" s="104" t="e">
        <f t="shared" si="328"/>
        <v>#N/A</v>
      </c>
      <c r="AE689" s="104" t="e">
        <f t="shared" si="329"/>
        <v>#N/A</v>
      </c>
      <c r="AF689" s="104" t="e">
        <f>IF(AND(VLOOKUP($D689,Merchantability!$B:$C,2,0)="Yes",$E689&gt;=VLOOKUP($D689,Merchantability!$B:$D,3,0),$E689&lt;=VLOOKUP($D689,Merchantability!$B:$E,4,0)),AA689,0)</f>
        <v>#N/A</v>
      </c>
      <c r="AG689" s="104" t="e">
        <f>IF(AND(VLOOKUP($D689,Merchantability!$B:$C,2,0)="Yes",$E689&gt;=VLOOKUP($D689,Merchantability!$B:$D,3,0),$E689&lt;=VLOOKUP($D689,Merchantability!$B:$E,4,0)),AB689,0)</f>
        <v>#N/A</v>
      </c>
      <c r="AH689" s="104" t="e">
        <f>IF(AND(VLOOKUP($D689,Merchantability!$B:$C,2,0)="Yes",$E689&gt;=VLOOKUP($D689,Merchantability!$B:$D,3,0),$E689&lt;=VLOOKUP($D689,Merchantability!$B:$E,4,0)),AC689,0)</f>
        <v>#N/A</v>
      </c>
      <c r="AI689" s="104" t="e">
        <f t="shared" si="330"/>
        <v>#N/A</v>
      </c>
      <c r="AJ689" s="104" t="e">
        <f t="shared" si="331"/>
        <v>#VALUE!</v>
      </c>
      <c r="AK689" s="104" t="e">
        <f t="shared" si="332"/>
        <v>#N/A</v>
      </c>
      <c r="AL689" s="104" t="e">
        <f t="shared" si="333"/>
        <v>#N/A</v>
      </c>
      <c r="AM689" s="104" t="e">
        <f t="shared" si="334"/>
        <v>#N/A</v>
      </c>
      <c r="AN689" s="104" t="e">
        <f t="shared" si="318"/>
        <v>#N/A</v>
      </c>
      <c r="AO689" s="104" t="e">
        <f t="shared" si="319"/>
        <v>#N/A</v>
      </c>
      <c r="AP689" s="104" t="e">
        <f t="shared" si="320"/>
        <v>#N/A</v>
      </c>
      <c r="AQ689" s="104" t="e">
        <f t="shared" si="321"/>
        <v>#N/A</v>
      </c>
      <c r="AR689" s="105" t="str">
        <f t="shared" si="313"/>
        <v/>
      </c>
      <c r="AS689" s="105" t="str">
        <f t="shared" si="314"/>
        <v/>
      </c>
      <c r="AT689" s="108" t="str">
        <f t="shared" si="315"/>
        <v/>
      </c>
      <c r="AU689" s="108" t="str">
        <f t="shared" si="316"/>
        <v/>
      </c>
      <c r="AV689" s="107" t="str">
        <f>IF(ISNUMBER(O689),IF(VLOOKUP($A689,Stand!C:J,8,FALSE)="Short",AT689,AU689),"")</f>
        <v/>
      </c>
      <c r="AW689" s="109" t="str">
        <f t="shared" si="322"/>
        <v/>
      </c>
      <c r="AX689" s="109" t="str">
        <f t="shared" si="323"/>
        <v/>
      </c>
      <c r="AY689" s="112" t="str">
        <f>IF(ISNUMBER(O689),IF(AND(VLOOKUP($D689,Merchantability!$B:$C,2,0)="Yes",$E689&gt;=VLOOKUP($D689,Merchantability!$B:$D,3,0),$E689&lt;=VLOOKUP($D689,Merchantability!$B:$E,4,0)),(AV689*O689)*(1-$H689/100),""),"")</f>
        <v/>
      </c>
      <c r="AZ689" s="116"/>
      <c r="BA689" s="116"/>
      <c r="BB689" s="116"/>
      <c r="BE689" s="62"/>
      <c r="BF689" s="63"/>
    </row>
    <row r="690" spans="1:58" ht="12.75" customHeight="1" x14ac:dyDescent="0.25">
      <c r="A690" s="313"/>
      <c r="B690" s="328"/>
      <c r="C690" s="329"/>
      <c r="D690" s="328"/>
      <c r="E690" s="330"/>
      <c r="F690" s="328"/>
      <c r="G690" s="329"/>
      <c r="H690" s="329"/>
      <c r="I690" s="328"/>
      <c r="J690" s="383"/>
      <c r="K690" s="329"/>
      <c r="L690" s="329"/>
      <c r="M690" s="76"/>
      <c r="N690" s="103" t="str">
        <f>IF(A690="","",VLOOKUP(A690,Stand!C:K,9,0))</f>
        <v/>
      </c>
      <c r="O690" s="104" t="str">
        <f t="shared" si="308"/>
        <v/>
      </c>
      <c r="P690" s="105" t="str">
        <f t="shared" si="309"/>
        <v/>
      </c>
      <c r="Q690" s="105" t="str">
        <f t="shared" si="324"/>
        <v/>
      </c>
      <c r="R690" s="103" t="str">
        <f t="shared" si="310"/>
        <v/>
      </c>
      <c r="S690" s="103" t="str">
        <f t="shared" si="311"/>
        <v/>
      </c>
      <c r="T690" s="106" t="str">
        <f t="shared" si="325"/>
        <v/>
      </c>
      <c r="U690" s="106" t="str">
        <f t="shared" si="326"/>
        <v/>
      </c>
      <c r="V690" s="106" t="str">
        <f t="shared" si="327"/>
        <v/>
      </c>
      <c r="W690" s="105" t="str">
        <f t="shared" si="312"/>
        <v/>
      </c>
      <c r="X690" s="104" t="str">
        <f t="shared" si="317"/>
        <v/>
      </c>
      <c r="Y690" s="104" t="str">
        <f t="array" ref="Y690">IFERROR(IF(ISNUMBER(O690),IF(COUNT(IF(A690=$A$2:$A$2427,IF(D690=$D$2:$D$2427,IF($X$2:$X$2427&gt;0,1))))&gt;0,SUM(IF(A690=$A$2:$A$2427,IF(D690=$D$2:$D$2427,$X$2:$X$2427)))/COUNT(IF(A690=$A$2:$A$2427,IF(D690=$D$2:$D$2427,IF(ISNUMBER($X$2:$X$2427),1)))),0),""),0)</f>
        <v/>
      </c>
      <c r="Z690" s="104" t="str">
        <f>IF(ISNUMBER(O690),IF(I690&gt;0,(10^(VLOOKUP(D690,'Species Codes'!B:C,2,0)+VLOOKUP(D690,'Species Codes'!B:D,3,0)*LOG(E690)+VLOOKUP(D690,'Species Codes'!B:E,4,0)*LOG(I690))),0),"")</f>
        <v/>
      </c>
      <c r="AA690" s="104" t="str">
        <f>IFERROR((VLOOKUP(D690,'Species Codes'!B:G,6,0)*Z690)/2000,"")</f>
        <v/>
      </c>
      <c r="AB690" s="104" t="e">
        <f>IF(Z690&gt;0,((IF(OR(D690="DF",D690="RA")=TRUE,EXP(VLOOKUP(D690,'Species Codes'!B:I,8,0)+VLOOKUP(D690,'Species Codes'!B:J,9,0)*(LN((E690*2.54)))),IF(OR(D690="PY",D690="RC",D690="WH",D690="NF")=TRUE,VLOOKUP(D690,'Species Codes'!B:I,8,0)+VLOOKUP(D690,'Species Codes'!B:J,9,0)*((E690*2.54)^2)*(I690*0.3048),IF(OR(D690="MD",D690="BM",D690="GA")=TRUE,((VLOOKUP(D690,'Species Codes'!B:I,8,0)*(((((E690*2.54)+VLOOKUP(D690,'Species Codes'!B:J,9,0))/VLOOKUP(D690,'Species Codes'!B:K,10,0))^VLOOKUP(D690,'Species Codes'!B:L,11,0))*((I690*0.3048)^VLOOKUP(D690,'Species Codes'!B:M,12,0))))-(VLOOKUP(D690,'Species Codes'!B:I,8,0)*((((E690*2.54)^VLOOKUP(D690,'Species Codes'!B:L,11,0))*((I690*0.3048)^VLOOKUP(D690,'Species Codes'!B:M,12,0))))))*35.3*VLOOKUP(D690,'Species Codes'!B:G,6,0)/2.2046,VLOOKUP(D690,'Species Codes'!B:I,8,0)+VLOOKUP(D690,'Species Codes'!B:J,9,0)*(((E690*2.54)/100)^2)*(I690*0.3048)))))*0.0011023),0)</f>
        <v>#N/A</v>
      </c>
      <c r="AC690" s="104" t="e">
        <f>IF(Z690&gt;0,((IF(OR(D690="RA",D690="OA",D690="OT",D690="UN",D690="PC"),EXP(VLOOKUP(D690,'Species Codes'!B:O,14,0)+VLOOKUP(D690,'Species Codes'!B:P,15,0)*LN((E690*2.54)))-EXP(VLOOKUP(D690,'Species Codes'!B:O,14,0)+VLOOKUP(D690,'Species Codes'!B:P,15,0)*LN((E690*2.54)))*(1/(VLOOKUP(D690,'Species Codes'!B:Q,16,0)+VLOOKUP(D690,'Species Codes'!B:R,17,0)*((E690*2.54)^VLOOKUP(D690,'Species Codes'!B:S,18,0)))),IF(OR(D690="BM",D690="MD",D690="OA"),EXP(VLOOKUP(D690,'Species Codes'!B:O,14,0)+VLOOKUP(D690,'Species Codes'!B:P,15,0)*LN((E690*2.54)))*(1-(1/(VLOOKUP(D690,'Species Codes'!B:Q,16,0)+VLOOKUP(D690,'Species Codes'!B:R,17,0)*((E690*2.54)^VLOOKUP(D690,'Species Codes'!B:S,18,0)))))/1000,IF(D690="DF",EXP(VLOOKUP(D690,'Species Codes'!B:O,14,0)+VLOOKUP(D690,'Species Codes'!B:P,15,0)*LN((E690*2.54))),VLOOKUP(D690,'Species Codes'!B:O,14,0)+VLOOKUP(D690,'Species Codes'!B:P,15,0)*(((E690*2.54)/100)^2)*(I690*0.3048)))))*0.0011023),0)</f>
        <v>#N/A</v>
      </c>
      <c r="AD690" s="104" t="e">
        <f t="shared" si="328"/>
        <v>#N/A</v>
      </c>
      <c r="AE690" s="104" t="e">
        <f t="shared" si="329"/>
        <v>#N/A</v>
      </c>
      <c r="AF690" s="104" t="e">
        <f>IF(AND(VLOOKUP($D690,Merchantability!$B:$C,2,0)="Yes",$E690&gt;=VLOOKUP($D690,Merchantability!$B:$D,3,0),$E690&lt;=VLOOKUP($D690,Merchantability!$B:$E,4,0)),AA690,0)</f>
        <v>#N/A</v>
      </c>
      <c r="AG690" s="104" t="e">
        <f>IF(AND(VLOOKUP($D690,Merchantability!$B:$C,2,0)="Yes",$E690&gt;=VLOOKUP($D690,Merchantability!$B:$D,3,0),$E690&lt;=VLOOKUP($D690,Merchantability!$B:$E,4,0)),AB690,0)</f>
        <v>#N/A</v>
      </c>
      <c r="AH690" s="104" t="e">
        <f>IF(AND(VLOOKUP($D690,Merchantability!$B:$C,2,0)="Yes",$E690&gt;=VLOOKUP($D690,Merchantability!$B:$D,3,0),$E690&lt;=VLOOKUP($D690,Merchantability!$B:$E,4,0)),AC690,0)</f>
        <v>#N/A</v>
      </c>
      <c r="AI690" s="104" t="e">
        <f t="shared" si="330"/>
        <v>#N/A</v>
      </c>
      <c r="AJ690" s="104" t="e">
        <f t="shared" si="331"/>
        <v>#VALUE!</v>
      </c>
      <c r="AK690" s="104" t="e">
        <f t="shared" si="332"/>
        <v>#N/A</v>
      </c>
      <c r="AL690" s="104" t="e">
        <f t="shared" si="333"/>
        <v>#N/A</v>
      </c>
      <c r="AM690" s="104" t="e">
        <f t="shared" si="334"/>
        <v>#N/A</v>
      </c>
      <c r="AN690" s="104" t="e">
        <f t="shared" si="318"/>
        <v>#N/A</v>
      </c>
      <c r="AO690" s="104" t="e">
        <f t="shared" si="319"/>
        <v>#N/A</v>
      </c>
      <c r="AP690" s="104" t="e">
        <f t="shared" si="320"/>
        <v>#N/A</v>
      </c>
      <c r="AQ690" s="104" t="e">
        <f t="shared" si="321"/>
        <v>#N/A</v>
      </c>
      <c r="AR690" s="105" t="str">
        <f t="shared" si="313"/>
        <v/>
      </c>
      <c r="AS690" s="105" t="str">
        <f t="shared" si="314"/>
        <v/>
      </c>
      <c r="AT690" s="108" t="str">
        <f t="shared" si="315"/>
        <v/>
      </c>
      <c r="AU690" s="108" t="str">
        <f t="shared" si="316"/>
        <v/>
      </c>
      <c r="AV690" s="107" t="str">
        <f>IF(ISNUMBER(O690),IF(VLOOKUP($A690,Stand!C:J,8,FALSE)="Short",AT690,AU690),"")</f>
        <v/>
      </c>
      <c r="AW690" s="109" t="str">
        <f t="shared" si="322"/>
        <v/>
      </c>
      <c r="AX690" s="109" t="str">
        <f t="shared" si="323"/>
        <v/>
      </c>
      <c r="AY690" s="112" t="str">
        <f>IF(ISNUMBER(O690),IF(AND(VLOOKUP($D690,Merchantability!$B:$C,2,0)="Yes",$E690&gt;=VLOOKUP($D690,Merchantability!$B:$D,3,0),$E690&lt;=VLOOKUP($D690,Merchantability!$B:$E,4,0)),(AV690*O690)*(1-$H690/100),""),"")</f>
        <v/>
      </c>
      <c r="AZ690" s="116"/>
      <c r="BA690" s="116"/>
      <c r="BB690" s="116"/>
      <c r="BE690" s="62"/>
      <c r="BF690" s="63"/>
    </row>
    <row r="691" spans="1:58" ht="12.75" customHeight="1" x14ac:dyDescent="0.25">
      <c r="A691" s="313"/>
      <c r="B691" s="328"/>
      <c r="C691" s="329"/>
      <c r="D691" s="328"/>
      <c r="E691" s="330"/>
      <c r="F691" s="328"/>
      <c r="G691" s="329"/>
      <c r="H691" s="329"/>
      <c r="I691" s="328"/>
      <c r="J691" s="383"/>
      <c r="K691" s="329"/>
      <c r="L691" s="329"/>
      <c r="M691" s="76"/>
      <c r="N691" s="103" t="str">
        <f>IF(A691="","",VLOOKUP(A691,Stand!C:K,9,0))</f>
        <v/>
      </c>
      <c r="O691" s="104" t="str">
        <f t="shared" si="308"/>
        <v/>
      </c>
      <c r="P691" s="105" t="str">
        <f t="shared" si="309"/>
        <v/>
      </c>
      <c r="Q691" s="105" t="str">
        <f t="shared" si="324"/>
        <v/>
      </c>
      <c r="R691" s="103" t="str">
        <f t="shared" si="310"/>
        <v/>
      </c>
      <c r="S691" s="103" t="str">
        <f t="shared" si="311"/>
        <v/>
      </c>
      <c r="T691" s="106" t="str">
        <f t="shared" si="325"/>
        <v/>
      </c>
      <c r="U691" s="106" t="str">
        <f t="shared" si="326"/>
        <v/>
      </c>
      <c r="V691" s="106" t="str">
        <f t="shared" si="327"/>
        <v/>
      </c>
      <c r="W691" s="105" t="str">
        <f t="shared" si="312"/>
        <v/>
      </c>
      <c r="X691" s="104" t="str">
        <f t="shared" si="317"/>
        <v/>
      </c>
      <c r="Y691" s="104" t="str">
        <f t="array" ref="Y691">IFERROR(IF(ISNUMBER(O691),IF(COUNT(IF(A691=$A$2:$A$2427,IF(D691=$D$2:$D$2427,IF($X$2:$X$2427&gt;0,1))))&gt;0,SUM(IF(A691=$A$2:$A$2427,IF(D691=$D$2:$D$2427,$X$2:$X$2427)))/COUNT(IF(A691=$A$2:$A$2427,IF(D691=$D$2:$D$2427,IF(ISNUMBER($X$2:$X$2427),1)))),0),""),0)</f>
        <v/>
      </c>
      <c r="Z691" s="104" t="str">
        <f>IF(ISNUMBER(O691),IF(I691&gt;0,(10^(VLOOKUP(D691,'Species Codes'!B:C,2,0)+VLOOKUP(D691,'Species Codes'!B:D,3,0)*LOG(E691)+VLOOKUP(D691,'Species Codes'!B:E,4,0)*LOG(I691))),0),"")</f>
        <v/>
      </c>
      <c r="AA691" s="104" t="str">
        <f>IFERROR((VLOOKUP(D691,'Species Codes'!B:G,6,0)*Z691)/2000,"")</f>
        <v/>
      </c>
      <c r="AB691" s="104" t="e">
        <f>IF(Z691&gt;0,((IF(OR(D691="DF",D691="RA")=TRUE,EXP(VLOOKUP(D691,'Species Codes'!B:I,8,0)+VLOOKUP(D691,'Species Codes'!B:J,9,0)*(LN((E691*2.54)))),IF(OR(D691="PY",D691="RC",D691="WH",D691="NF")=TRUE,VLOOKUP(D691,'Species Codes'!B:I,8,0)+VLOOKUP(D691,'Species Codes'!B:J,9,0)*((E691*2.54)^2)*(I691*0.3048),IF(OR(D691="MD",D691="BM",D691="GA")=TRUE,((VLOOKUP(D691,'Species Codes'!B:I,8,0)*(((((E691*2.54)+VLOOKUP(D691,'Species Codes'!B:J,9,0))/VLOOKUP(D691,'Species Codes'!B:K,10,0))^VLOOKUP(D691,'Species Codes'!B:L,11,0))*((I691*0.3048)^VLOOKUP(D691,'Species Codes'!B:M,12,0))))-(VLOOKUP(D691,'Species Codes'!B:I,8,0)*((((E691*2.54)^VLOOKUP(D691,'Species Codes'!B:L,11,0))*((I691*0.3048)^VLOOKUP(D691,'Species Codes'!B:M,12,0))))))*35.3*VLOOKUP(D691,'Species Codes'!B:G,6,0)/2.2046,VLOOKUP(D691,'Species Codes'!B:I,8,0)+VLOOKUP(D691,'Species Codes'!B:J,9,0)*(((E691*2.54)/100)^2)*(I691*0.3048)))))*0.0011023),0)</f>
        <v>#N/A</v>
      </c>
      <c r="AC691" s="104" t="e">
        <f>IF(Z691&gt;0,((IF(OR(D691="RA",D691="OA",D691="OT",D691="UN",D691="PC"),EXP(VLOOKUP(D691,'Species Codes'!B:O,14,0)+VLOOKUP(D691,'Species Codes'!B:P,15,0)*LN((E691*2.54)))-EXP(VLOOKUP(D691,'Species Codes'!B:O,14,0)+VLOOKUP(D691,'Species Codes'!B:P,15,0)*LN((E691*2.54)))*(1/(VLOOKUP(D691,'Species Codes'!B:Q,16,0)+VLOOKUP(D691,'Species Codes'!B:R,17,0)*((E691*2.54)^VLOOKUP(D691,'Species Codes'!B:S,18,0)))),IF(OR(D691="BM",D691="MD",D691="OA"),EXP(VLOOKUP(D691,'Species Codes'!B:O,14,0)+VLOOKUP(D691,'Species Codes'!B:P,15,0)*LN((E691*2.54)))*(1-(1/(VLOOKUP(D691,'Species Codes'!B:Q,16,0)+VLOOKUP(D691,'Species Codes'!B:R,17,0)*((E691*2.54)^VLOOKUP(D691,'Species Codes'!B:S,18,0)))))/1000,IF(D691="DF",EXP(VLOOKUP(D691,'Species Codes'!B:O,14,0)+VLOOKUP(D691,'Species Codes'!B:P,15,0)*LN((E691*2.54))),VLOOKUP(D691,'Species Codes'!B:O,14,0)+VLOOKUP(D691,'Species Codes'!B:P,15,0)*(((E691*2.54)/100)^2)*(I691*0.3048)))))*0.0011023),0)</f>
        <v>#N/A</v>
      </c>
      <c r="AD691" s="104" t="e">
        <f t="shared" si="328"/>
        <v>#N/A</v>
      </c>
      <c r="AE691" s="104" t="e">
        <f t="shared" si="329"/>
        <v>#N/A</v>
      </c>
      <c r="AF691" s="104" t="e">
        <f>IF(AND(VLOOKUP($D691,Merchantability!$B:$C,2,0)="Yes",$E691&gt;=VLOOKUP($D691,Merchantability!$B:$D,3,0),$E691&lt;=VLOOKUP($D691,Merchantability!$B:$E,4,0)),AA691,0)</f>
        <v>#N/A</v>
      </c>
      <c r="AG691" s="104" t="e">
        <f>IF(AND(VLOOKUP($D691,Merchantability!$B:$C,2,0)="Yes",$E691&gt;=VLOOKUP($D691,Merchantability!$B:$D,3,0),$E691&lt;=VLOOKUP($D691,Merchantability!$B:$E,4,0)),AB691,0)</f>
        <v>#N/A</v>
      </c>
      <c r="AH691" s="104" t="e">
        <f>IF(AND(VLOOKUP($D691,Merchantability!$B:$C,2,0)="Yes",$E691&gt;=VLOOKUP($D691,Merchantability!$B:$D,3,0),$E691&lt;=VLOOKUP($D691,Merchantability!$B:$E,4,0)),AC691,0)</f>
        <v>#N/A</v>
      </c>
      <c r="AI691" s="104" t="e">
        <f t="shared" si="330"/>
        <v>#N/A</v>
      </c>
      <c r="AJ691" s="104" t="e">
        <f t="shared" si="331"/>
        <v>#VALUE!</v>
      </c>
      <c r="AK691" s="104" t="e">
        <f t="shared" si="332"/>
        <v>#N/A</v>
      </c>
      <c r="AL691" s="104" t="e">
        <f t="shared" si="333"/>
        <v>#N/A</v>
      </c>
      <c r="AM691" s="104" t="e">
        <f t="shared" si="334"/>
        <v>#N/A</v>
      </c>
      <c r="AN691" s="104" t="e">
        <f t="shared" si="318"/>
        <v>#N/A</v>
      </c>
      <c r="AO691" s="104" t="e">
        <f t="shared" si="319"/>
        <v>#N/A</v>
      </c>
      <c r="AP691" s="104" t="e">
        <f t="shared" si="320"/>
        <v>#N/A</v>
      </c>
      <c r="AQ691" s="104" t="e">
        <f t="shared" si="321"/>
        <v>#N/A</v>
      </c>
      <c r="AR691" s="105" t="str">
        <f t="shared" si="313"/>
        <v/>
      </c>
      <c r="AS691" s="105" t="str">
        <f t="shared" si="314"/>
        <v/>
      </c>
      <c r="AT691" s="108" t="str">
        <f t="shared" si="315"/>
        <v/>
      </c>
      <c r="AU691" s="108" t="str">
        <f t="shared" si="316"/>
        <v/>
      </c>
      <c r="AV691" s="107" t="str">
        <f>IF(ISNUMBER(O691),IF(VLOOKUP($A691,Stand!C:J,8,FALSE)="Short",AT691,AU691),"")</f>
        <v/>
      </c>
      <c r="AW691" s="109" t="str">
        <f t="shared" si="322"/>
        <v/>
      </c>
      <c r="AX691" s="109" t="str">
        <f t="shared" si="323"/>
        <v/>
      </c>
      <c r="AY691" s="112" t="str">
        <f>IF(ISNUMBER(O691),IF(AND(VLOOKUP($D691,Merchantability!$B:$C,2,0)="Yes",$E691&gt;=VLOOKUP($D691,Merchantability!$B:$D,3,0),$E691&lt;=VLOOKUP($D691,Merchantability!$B:$E,4,0)),(AV691*O691)*(1-$H691/100),""),"")</f>
        <v/>
      </c>
      <c r="AZ691" s="116"/>
      <c r="BA691" s="116"/>
      <c r="BB691" s="116"/>
      <c r="BE691" s="62"/>
      <c r="BF691" s="63"/>
    </row>
    <row r="692" spans="1:58" ht="12.75" customHeight="1" x14ac:dyDescent="0.25">
      <c r="A692" s="313"/>
      <c r="B692" s="328"/>
      <c r="C692" s="329"/>
      <c r="D692" s="328"/>
      <c r="E692" s="330"/>
      <c r="F692" s="328"/>
      <c r="G692" s="329"/>
      <c r="H692" s="329"/>
      <c r="I692" s="328"/>
      <c r="J692" s="383"/>
      <c r="K692" s="329"/>
      <c r="L692" s="329"/>
      <c r="M692" s="76"/>
      <c r="N692" s="103" t="str">
        <f>IF(A692="","",VLOOKUP(A692,Stand!C:K,9,0))</f>
        <v/>
      </c>
      <c r="O692" s="104" t="str">
        <f t="shared" si="308"/>
        <v/>
      </c>
      <c r="P692" s="105" t="str">
        <f t="shared" si="309"/>
        <v/>
      </c>
      <c r="Q692" s="105" t="str">
        <f t="shared" si="324"/>
        <v/>
      </c>
      <c r="R692" s="103" t="str">
        <f t="shared" si="310"/>
        <v/>
      </c>
      <c r="S692" s="103" t="str">
        <f t="shared" si="311"/>
        <v/>
      </c>
      <c r="T692" s="106" t="str">
        <f t="shared" si="325"/>
        <v/>
      </c>
      <c r="U692" s="106" t="str">
        <f t="shared" si="326"/>
        <v/>
      </c>
      <c r="V692" s="106" t="str">
        <f t="shared" si="327"/>
        <v/>
      </c>
      <c r="W692" s="105" t="str">
        <f t="shared" si="312"/>
        <v/>
      </c>
      <c r="X692" s="104" t="str">
        <f t="shared" si="317"/>
        <v/>
      </c>
      <c r="Y692" s="104" t="str">
        <f t="array" ref="Y692">IFERROR(IF(ISNUMBER(O692),IF(COUNT(IF(A692=$A$2:$A$2427,IF(D692=$D$2:$D$2427,IF($X$2:$X$2427&gt;0,1))))&gt;0,SUM(IF(A692=$A$2:$A$2427,IF(D692=$D$2:$D$2427,$X$2:$X$2427)))/COUNT(IF(A692=$A$2:$A$2427,IF(D692=$D$2:$D$2427,IF(ISNUMBER($X$2:$X$2427),1)))),0),""),0)</f>
        <v/>
      </c>
      <c r="Z692" s="104" t="str">
        <f>IF(ISNUMBER(O692),IF(I692&gt;0,(10^(VLOOKUP(D692,'Species Codes'!B:C,2,0)+VLOOKUP(D692,'Species Codes'!B:D,3,0)*LOG(E692)+VLOOKUP(D692,'Species Codes'!B:E,4,0)*LOG(I692))),0),"")</f>
        <v/>
      </c>
      <c r="AA692" s="104" t="str">
        <f>IFERROR((VLOOKUP(D692,'Species Codes'!B:G,6,0)*Z692)/2000,"")</f>
        <v/>
      </c>
      <c r="AB692" s="104" t="e">
        <f>IF(Z692&gt;0,((IF(OR(D692="DF",D692="RA")=TRUE,EXP(VLOOKUP(D692,'Species Codes'!B:I,8,0)+VLOOKUP(D692,'Species Codes'!B:J,9,0)*(LN((E692*2.54)))),IF(OR(D692="PY",D692="RC",D692="WH",D692="NF")=TRUE,VLOOKUP(D692,'Species Codes'!B:I,8,0)+VLOOKUP(D692,'Species Codes'!B:J,9,0)*((E692*2.54)^2)*(I692*0.3048),IF(OR(D692="MD",D692="BM",D692="GA")=TRUE,((VLOOKUP(D692,'Species Codes'!B:I,8,0)*(((((E692*2.54)+VLOOKUP(D692,'Species Codes'!B:J,9,0))/VLOOKUP(D692,'Species Codes'!B:K,10,0))^VLOOKUP(D692,'Species Codes'!B:L,11,0))*((I692*0.3048)^VLOOKUP(D692,'Species Codes'!B:M,12,0))))-(VLOOKUP(D692,'Species Codes'!B:I,8,0)*((((E692*2.54)^VLOOKUP(D692,'Species Codes'!B:L,11,0))*((I692*0.3048)^VLOOKUP(D692,'Species Codes'!B:M,12,0))))))*35.3*VLOOKUP(D692,'Species Codes'!B:G,6,0)/2.2046,VLOOKUP(D692,'Species Codes'!B:I,8,0)+VLOOKUP(D692,'Species Codes'!B:J,9,0)*(((E692*2.54)/100)^2)*(I692*0.3048)))))*0.0011023),0)</f>
        <v>#N/A</v>
      </c>
      <c r="AC692" s="104" t="e">
        <f>IF(Z692&gt;0,((IF(OR(D692="RA",D692="OA",D692="OT",D692="UN",D692="PC"),EXP(VLOOKUP(D692,'Species Codes'!B:O,14,0)+VLOOKUP(D692,'Species Codes'!B:P,15,0)*LN((E692*2.54)))-EXP(VLOOKUP(D692,'Species Codes'!B:O,14,0)+VLOOKUP(D692,'Species Codes'!B:P,15,0)*LN((E692*2.54)))*(1/(VLOOKUP(D692,'Species Codes'!B:Q,16,0)+VLOOKUP(D692,'Species Codes'!B:R,17,0)*((E692*2.54)^VLOOKUP(D692,'Species Codes'!B:S,18,0)))),IF(OR(D692="BM",D692="MD",D692="OA"),EXP(VLOOKUP(D692,'Species Codes'!B:O,14,0)+VLOOKUP(D692,'Species Codes'!B:P,15,0)*LN((E692*2.54)))*(1-(1/(VLOOKUP(D692,'Species Codes'!B:Q,16,0)+VLOOKUP(D692,'Species Codes'!B:R,17,0)*((E692*2.54)^VLOOKUP(D692,'Species Codes'!B:S,18,0)))))/1000,IF(D692="DF",EXP(VLOOKUP(D692,'Species Codes'!B:O,14,0)+VLOOKUP(D692,'Species Codes'!B:P,15,0)*LN((E692*2.54))),VLOOKUP(D692,'Species Codes'!B:O,14,0)+VLOOKUP(D692,'Species Codes'!B:P,15,0)*(((E692*2.54)/100)^2)*(I692*0.3048)))))*0.0011023),0)</f>
        <v>#N/A</v>
      </c>
      <c r="AD692" s="104" t="e">
        <f t="shared" si="328"/>
        <v>#N/A</v>
      </c>
      <c r="AE692" s="104" t="e">
        <f t="shared" si="329"/>
        <v>#N/A</v>
      </c>
      <c r="AF692" s="104" t="e">
        <f>IF(AND(VLOOKUP($D692,Merchantability!$B:$C,2,0)="Yes",$E692&gt;=VLOOKUP($D692,Merchantability!$B:$D,3,0),$E692&lt;=VLOOKUP($D692,Merchantability!$B:$E,4,0)),AA692,0)</f>
        <v>#N/A</v>
      </c>
      <c r="AG692" s="104" t="e">
        <f>IF(AND(VLOOKUP($D692,Merchantability!$B:$C,2,0)="Yes",$E692&gt;=VLOOKUP($D692,Merchantability!$B:$D,3,0),$E692&lt;=VLOOKUP($D692,Merchantability!$B:$E,4,0)),AB692,0)</f>
        <v>#N/A</v>
      </c>
      <c r="AH692" s="104" t="e">
        <f>IF(AND(VLOOKUP($D692,Merchantability!$B:$C,2,0)="Yes",$E692&gt;=VLOOKUP($D692,Merchantability!$B:$D,3,0),$E692&lt;=VLOOKUP($D692,Merchantability!$B:$E,4,0)),AC692,0)</f>
        <v>#N/A</v>
      </c>
      <c r="AI692" s="104" t="e">
        <f t="shared" si="330"/>
        <v>#N/A</v>
      </c>
      <c r="AJ692" s="104" t="e">
        <f t="shared" si="331"/>
        <v>#VALUE!</v>
      </c>
      <c r="AK692" s="104" t="e">
        <f t="shared" si="332"/>
        <v>#N/A</v>
      </c>
      <c r="AL692" s="104" t="e">
        <f t="shared" si="333"/>
        <v>#N/A</v>
      </c>
      <c r="AM692" s="104" t="e">
        <f t="shared" si="334"/>
        <v>#N/A</v>
      </c>
      <c r="AN692" s="104" t="e">
        <f t="shared" si="318"/>
        <v>#N/A</v>
      </c>
      <c r="AO692" s="104" t="e">
        <f t="shared" si="319"/>
        <v>#N/A</v>
      </c>
      <c r="AP692" s="104" t="e">
        <f t="shared" si="320"/>
        <v>#N/A</v>
      </c>
      <c r="AQ692" s="104" t="e">
        <f t="shared" si="321"/>
        <v>#N/A</v>
      </c>
      <c r="AR692" s="105" t="str">
        <f t="shared" si="313"/>
        <v/>
      </c>
      <c r="AS692" s="105" t="str">
        <f t="shared" si="314"/>
        <v/>
      </c>
      <c r="AT692" s="108" t="str">
        <f t="shared" si="315"/>
        <v/>
      </c>
      <c r="AU692" s="108" t="str">
        <f t="shared" si="316"/>
        <v/>
      </c>
      <c r="AV692" s="107" t="str">
        <f>IF(ISNUMBER(O692),IF(VLOOKUP($A692,Stand!C:J,8,FALSE)="Short",AT692,AU692),"")</f>
        <v/>
      </c>
      <c r="AW692" s="109" t="str">
        <f t="shared" si="322"/>
        <v/>
      </c>
      <c r="AX692" s="109" t="str">
        <f t="shared" si="323"/>
        <v/>
      </c>
      <c r="AY692" s="112" t="str">
        <f>IF(ISNUMBER(O692),IF(AND(VLOOKUP($D692,Merchantability!$B:$C,2,0)="Yes",$E692&gt;=VLOOKUP($D692,Merchantability!$B:$D,3,0),$E692&lt;=VLOOKUP($D692,Merchantability!$B:$E,4,0)),(AV692*O692)*(1-$H692/100),""),"")</f>
        <v/>
      </c>
      <c r="AZ692" s="116"/>
      <c r="BA692" s="116"/>
      <c r="BB692" s="116"/>
      <c r="BE692" s="62"/>
      <c r="BF692" s="63"/>
    </row>
    <row r="693" spans="1:58" ht="12.75" customHeight="1" x14ac:dyDescent="0.25">
      <c r="A693" s="313"/>
      <c r="B693" s="328"/>
      <c r="C693" s="329"/>
      <c r="D693" s="328"/>
      <c r="E693" s="330"/>
      <c r="F693" s="328"/>
      <c r="G693" s="329"/>
      <c r="H693" s="329"/>
      <c r="I693" s="328"/>
      <c r="J693" s="383"/>
      <c r="K693" s="329"/>
      <c r="L693" s="329"/>
      <c r="M693" s="76"/>
      <c r="N693" s="103" t="str">
        <f>IF(A693="","",VLOOKUP(A693,Stand!C:K,9,0))</f>
        <v/>
      </c>
      <c r="O693" s="104" t="str">
        <f t="shared" si="308"/>
        <v/>
      </c>
      <c r="P693" s="105" t="str">
        <f t="shared" si="309"/>
        <v/>
      </c>
      <c r="Q693" s="105" t="str">
        <f t="shared" si="324"/>
        <v/>
      </c>
      <c r="R693" s="103" t="str">
        <f t="shared" si="310"/>
        <v/>
      </c>
      <c r="S693" s="103" t="str">
        <f t="shared" si="311"/>
        <v/>
      </c>
      <c r="T693" s="106" t="str">
        <f t="shared" si="325"/>
        <v/>
      </c>
      <c r="U693" s="106" t="str">
        <f t="shared" si="326"/>
        <v/>
      </c>
      <c r="V693" s="106" t="str">
        <f t="shared" si="327"/>
        <v/>
      </c>
      <c r="W693" s="105" t="str">
        <f t="shared" si="312"/>
        <v/>
      </c>
      <c r="X693" s="104" t="str">
        <f t="shared" si="317"/>
        <v/>
      </c>
      <c r="Y693" s="104" t="str">
        <f t="array" ref="Y693">IFERROR(IF(ISNUMBER(O693),IF(COUNT(IF(A693=$A$2:$A$2427,IF(D693=$D$2:$D$2427,IF($X$2:$X$2427&gt;0,1))))&gt;0,SUM(IF(A693=$A$2:$A$2427,IF(D693=$D$2:$D$2427,$X$2:$X$2427)))/COUNT(IF(A693=$A$2:$A$2427,IF(D693=$D$2:$D$2427,IF(ISNUMBER($X$2:$X$2427),1)))),0),""),0)</f>
        <v/>
      </c>
      <c r="Z693" s="104" t="str">
        <f>IF(ISNUMBER(O693),IF(I693&gt;0,(10^(VLOOKUP(D693,'Species Codes'!B:C,2,0)+VLOOKUP(D693,'Species Codes'!B:D,3,0)*LOG(E693)+VLOOKUP(D693,'Species Codes'!B:E,4,0)*LOG(I693))),0),"")</f>
        <v/>
      </c>
      <c r="AA693" s="104" t="str">
        <f>IFERROR((VLOOKUP(D693,'Species Codes'!B:G,6,0)*Z693)/2000,"")</f>
        <v/>
      </c>
      <c r="AB693" s="104" t="e">
        <f>IF(Z693&gt;0,((IF(OR(D693="DF",D693="RA")=TRUE,EXP(VLOOKUP(D693,'Species Codes'!B:I,8,0)+VLOOKUP(D693,'Species Codes'!B:J,9,0)*(LN((E693*2.54)))),IF(OR(D693="PY",D693="RC",D693="WH",D693="NF")=TRUE,VLOOKUP(D693,'Species Codes'!B:I,8,0)+VLOOKUP(D693,'Species Codes'!B:J,9,0)*((E693*2.54)^2)*(I693*0.3048),IF(OR(D693="MD",D693="BM",D693="GA")=TRUE,((VLOOKUP(D693,'Species Codes'!B:I,8,0)*(((((E693*2.54)+VLOOKUP(D693,'Species Codes'!B:J,9,0))/VLOOKUP(D693,'Species Codes'!B:K,10,0))^VLOOKUP(D693,'Species Codes'!B:L,11,0))*((I693*0.3048)^VLOOKUP(D693,'Species Codes'!B:M,12,0))))-(VLOOKUP(D693,'Species Codes'!B:I,8,0)*((((E693*2.54)^VLOOKUP(D693,'Species Codes'!B:L,11,0))*((I693*0.3048)^VLOOKUP(D693,'Species Codes'!B:M,12,0))))))*35.3*VLOOKUP(D693,'Species Codes'!B:G,6,0)/2.2046,VLOOKUP(D693,'Species Codes'!B:I,8,0)+VLOOKUP(D693,'Species Codes'!B:J,9,0)*(((E693*2.54)/100)^2)*(I693*0.3048)))))*0.0011023),0)</f>
        <v>#N/A</v>
      </c>
      <c r="AC693" s="104" t="e">
        <f>IF(Z693&gt;0,((IF(OR(D693="RA",D693="OA",D693="OT",D693="UN",D693="PC"),EXP(VLOOKUP(D693,'Species Codes'!B:O,14,0)+VLOOKUP(D693,'Species Codes'!B:P,15,0)*LN((E693*2.54)))-EXP(VLOOKUP(D693,'Species Codes'!B:O,14,0)+VLOOKUP(D693,'Species Codes'!B:P,15,0)*LN((E693*2.54)))*(1/(VLOOKUP(D693,'Species Codes'!B:Q,16,0)+VLOOKUP(D693,'Species Codes'!B:R,17,0)*((E693*2.54)^VLOOKUP(D693,'Species Codes'!B:S,18,0)))),IF(OR(D693="BM",D693="MD",D693="OA"),EXP(VLOOKUP(D693,'Species Codes'!B:O,14,0)+VLOOKUP(D693,'Species Codes'!B:P,15,0)*LN((E693*2.54)))*(1-(1/(VLOOKUP(D693,'Species Codes'!B:Q,16,0)+VLOOKUP(D693,'Species Codes'!B:R,17,0)*((E693*2.54)^VLOOKUP(D693,'Species Codes'!B:S,18,0)))))/1000,IF(D693="DF",EXP(VLOOKUP(D693,'Species Codes'!B:O,14,0)+VLOOKUP(D693,'Species Codes'!B:P,15,0)*LN((E693*2.54))),VLOOKUP(D693,'Species Codes'!B:O,14,0)+VLOOKUP(D693,'Species Codes'!B:P,15,0)*(((E693*2.54)/100)^2)*(I693*0.3048)))))*0.0011023),0)</f>
        <v>#N/A</v>
      </c>
      <c r="AD693" s="104" t="e">
        <f t="shared" si="328"/>
        <v>#N/A</v>
      </c>
      <c r="AE693" s="104" t="e">
        <f t="shared" si="329"/>
        <v>#N/A</v>
      </c>
      <c r="AF693" s="104" t="e">
        <f>IF(AND(VLOOKUP($D693,Merchantability!$B:$C,2,0)="Yes",$E693&gt;=VLOOKUP($D693,Merchantability!$B:$D,3,0),$E693&lt;=VLOOKUP($D693,Merchantability!$B:$E,4,0)),AA693,0)</f>
        <v>#N/A</v>
      </c>
      <c r="AG693" s="104" t="e">
        <f>IF(AND(VLOOKUP($D693,Merchantability!$B:$C,2,0)="Yes",$E693&gt;=VLOOKUP($D693,Merchantability!$B:$D,3,0),$E693&lt;=VLOOKUP($D693,Merchantability!$B:$E,4,0)),AB693,0)</f>
        <v>#N/A</v>
      </c>
      <c r="AH693" s="104" t="e">
        <f>IF(AND(VLOOKUP($D693,Merchantability!$B:$C,2,0)="Yes",$E693&gt;=VLOOKUP($D693,Merchantability!$B:$D,3,0),$E693&lt;=VLOOKUP($D693,Merchantability!$B:$E,4,0)),AC693,0)</f>
        <v>#N/A</v>
      </c>
      <c r="AI693" s="104" t="e">
        <f t="shared" si="330"/>
        <v>#N/A</v>
      </c>
      <c r="AJ693" s="104" t="e">
        <f t="shared" si="331"/>
        <v>#VALUE!</v>
      </c>
      <c r="AK693" s="104" t="e">
        <f t="shared" si="332"/>
        <v>#N/A</v>
      </c>
      <c r="AL693" s="104" t="e">
        <f t="shared" si="333"/>
        <v>#N/A</v>
      </c>
      <c r="AM693" s="104" t="e">
        <f t="shared" si="334"/>
        <v>#N/A</v>
      </c>
      <c r="AN693" s="104" t="e">
        <f t="shared" si="318"/>
        <v>#N/A</v>
      </c>
      <c r="AO693" s="104" t="e">
        <f t="shared" si="319"/>
        <v>#N/A</v>
      </c>
      <c r="AP693" s="104" t="e">
        <f t="shared" si="320"/>
        <v>#N/A</v>
      </c>
      <c r="AQ693" s="104" t="e">
        <f t="shared" si="321"/>
        <v>#N/A</v>
      </c>
      <c r="AR693" s="105" t="str">
        <f t="shared" si="313"/>
        <v/>
      </c>
      <c r="AS693" s="105" t="str">
        <f t="shared" si="314"/>
        <v/>
      </c>
      <c r="AT693" s="108" t="str">
        <f t="shared" si="315"/>
        <v/>
      </c>
      <c r="AU693" s="108" t="str">
        <f t="shared" si="316"/>
        <v/>
      </c>
      <c r="AV693" s="107" t="str">
        <f>IF(ISNUMBER(O693),IF(VLOOKUP($A693,Stand!C:J,8,FALSE)="Short",AT693,AU693),"")</f>
        <v/>
      </c>
      <c r="AW693" s="109" t="str">
        <f t="shared" si="322"/>
        <v/>
      </c>
      <c r="AX693" s="109" t="str">
        <f t="shared" si="323"/>
        <v/>
      </c>
      <c r="AY693" s="112" t="str">
        <f>IF(ISNUMBER(O693),IF(AND(VLOOKUP($D693,Merchantability!$B:$C,2,0)="Yes",$E693&gt;=VLOOKUP($D693,Merchantability!$B:$D,3,0),$E693&lt;=VLOOKUP($D693,Merchantability!$B:$E,4,0)),(AV693*O693)*(1-$H693/100),""),"")</f>
        <v/>
      </c>
      <c r="AZ693" s="116"/>
      <c r="BA693" s="116"/>
      <c r="BB693" s="116"/>
      <c r="BE693" s="62"/>
      <c r="BF693" s="63"/>
    </row>
    <row r="694" spans="1:58" ht="12.75" customHeight="1" x14ac:dyDescent="0.25">
      <c r="A694" s="313"/>
      <c r="B694" s="328"/>
      <c r="C694" s="329"/>
      <c r="D694" s="328"/>
      <c r="E694" s="330"/>
      <c r="F694" s="328"/>
      <c r="G694" s="329"/>
      <c r="H694" s="329"/>
      <c r="I694" s="328"/>
      <c r="J694" s="383"/>
      <c r="K694" s="329"/>
      <c r="L694" s="329"/>
      <c r="M694" s="76"/>
      <c r="N694" s="103" t="str">
        <f>IF(A694="","",VLOOKUP(A694,Stand!C:K,9,0))</f>
        <v/>
      </c>
      <c r="O694" s="104" t="str">
        <f t="shared" si="308"/>
        <v/>
      </c>
      <c r="P694" s="105" t="str">
        <f t="shared" si="309"/>
        <v/>
      </c>
      <c r="Q694" s="105" t="str">
        <f t="shared" si="324"/>
        <v/>
      </c>
      <c r="R694" s="103" t="str">
        <f t="shared" si="310"/>
        <v/>
      </c>
      <c r="S694" s="103" t="str">
        <f t="shared" si="311"/>
        <v/>
      </c>
      <c r="T694" s="106" t="str">
        <f t="shared" si="325"/>
        <v/>
      </c>
      <c r="U694" s="106" t="str">
        <f t="shared" si="326"/>
        <v/>
      </c>
      <c r="V694" s="106" t="str">
        <f t="shared" si="327"/>
        <v/>
      </c>
      <c r="W694" s="105" t="str">
        <f t="shared" si="312"/>
        <v/>
      </c>
      <c r="X694" s="104" t="str">
        <f t="shared" si="317"/>
        <v/>
      </c>
      <c r="Y694" s="104" t="str">
        <f t="array" ref="Y694">IFERROR(IF(ISNUMBER(O694),IF(COUNT(IF(A694=$A$2:$A$2427,IF(D694=$D$2:$D$2427,IF($X$2:$X$2427&gt;0,1))))&gt;0,SUM(IF(A694=$A$2:$A$2427,IF(D694=$D$2:$D$2427,$X$2:$X$2427)))/COUNT(IF(A694=$A$2:$A$2427,IF(D694=$D$2:$D$2427,IF(ISNUMBER($X$2:$X$2427),1)))),0),""),0)</f>
        <v/>
      </c>
      <c r="Z694" s="104" t="str">
        <f>IF(ISNUMBER(O694),IF(I694&gt;0,(10^(VLOOKUP(D694,'Species Codes'!B:C,2,0)+VLOOKUP(D694,'Species Codes'!B:D,3,0)*LOG(E694)+VLOOKUP(D694,'Species Codes'!B:E,4,0)*LOG(I694))),0),"")</f>
        <v/>
      </c>
      <c r="AA694" s="104" t="str">
        <f>IFERROR((VLOOKUP(D694,'Species Codes'!B:G,6,0)*Z694)/2000,"")</f>
        <v/>
      </c>
      <c r="AB694" s="104" t="e">
        <f>IF(Z694&gt;0,((IF(OR(D694="DF",D694="RA")=TRUE,EXP(VLOOKUP(D694,'Species Codes'!B:I,8,0)+VLOOKUP(D694,'Species Codes'!B:J,9,0)*(LN((E694*2.54)))),IF(OR(D694="PY",D694="RC",D694="WH",D694="NF")=TRUE,VLOOKUP(D694,'Species Codes'!B:I,8,0)+VLOOKUP(D694,'Species Codes'!B:J,9,0)*((E694*2.54)^2)*(I694*0.3048),IF(OR(D694="MD",D694="BM",D694="GA")=TRUE,((VLOOKUP(D694,'Species Codes'!B:I,8,0)*(((((E694*2.54)+VLOOKUP(D694,'Species Codes'!B:J,9,0))/VLOOKUP(D694,'Species Codes'!B:K,10,0))^VLOOKUP(D694,'Species Codes'!B:L,11,0))*((I694*0.3048)^VLOOKUP(D694,'Species Codes'!B:M,12,0))))-(VLOOKUP(D694,'Species Codes'!B:I,8,0)*((((E694*2.54)^VLOOKUP(D694,'Species Codes'!B:L,11,0))*((I694*0.3048)^VLOOKUP(D694,'Species Codes'!B:M,12,0))))))*35.3*VLOOKUP(D694,'Species Codes'!B:G,6,0)/2.2046,VLOOKUP(D694,'Species Codes'!B:I,8,0)+VLOOKUP(D694,'Species Codes'!B:J,9,0)*(((E694*2.54)/100)^2)*(I694*0.3048)))))*0.0011023),0)</f>
        <v>#N/A</v>
      </c>
      <c r="AC694" s="104" t="e">
        <f>IF(Z694&gt;0,((IF(OR(D694="RA",D694="OA",D694="OT",D694="UN",D694="PC"),EXP(VLOOKUP(D694,'Species Codes'!B:O,14,0)+VLOOKUP(D694,'Species Codes'!B:P,15,0)*LN((E694*2.54)))-EXP(VLOOKUP(D694,'Species Codes'!B:O,14,0)+VLOOKUP(D694,'Species Codes'!B:P,15,0)*LN((E694*2.54)))*(1/(VLOOKUP(D694,'Species Codes'!B:Q,16,0)+VLOOKUP(D694,'Species Codes'!B:R,17,0)*((E694*2.54)^VLOOKUP(D694,'Species Codes'!B:S,18,0)))),IF(OR(D694="BM",D694="MD",D694="OA"),EXP(VLOOKUP(D694,'Species Codes'!B:O,14,0)+VLOOKUP(D694,'Species Codes'!B:P,15,0)*LN((E694*2.54)))*(1-(1/(VLOOKUP(D694,'Species Codes'!B:Q,16,0)+VLOOKUP(D694,'Species Codes'!B:R,17,0)*((E694*2.54)^VLOOKUP(D694,'Species Codes'!B:S,18,0)))))/1000,IF(D694="DF",EXP(VLOOKUP(D694,'Species Codes'!B:O,14,0)+VLOOKUP(D694,'Species Codes'!B:P,15,0)*LN((E694*2.54))),VLOOKUP(D694,'Species Codes'!B:O,14,0)+VLOOKUP(D694,'Species Codes'!B:P,15,0)*(((E694*2.54)/100)^2)*(I694*0.3048)))))*0.0011023),0)</f>
        <v>#N/A</v>
      </c>
      <c r="AD694" s="104" t="e">
        <f t="shared" si="328"/>
        <v>#N/A</v>
      </c>
      <c r="AE694" s="104" t="e">
        <f t="shared" si="329"/>
        <v>#N/A</v>
      </c>
      <c r="AF694" s="104" t="e">
        <f>IF(AND(VLOOKUP($D694,Merchantability!$B:$C,2,0)="Yes",$E694&gt;=VLOOKUP($D694,Merchantability!$B:$D,3,0),$E694&lt;=VLOOKUP($D694,Merchantability!$B:$E,4,0)),AA694,0)</f>
        <v>#N/A</v>
      </c>
      <c r="AG694" s="104" t="e">
        <f>IF(AND(VLOOKUP($D694,Merchantability!$B:$C,2,0)="Yes",$E694&gt;=VLOOKUP($D694,Merchantability!$B:$D,3,0),$E694&lt;=VLOOKUP($D694,Merchantability!$B:$E,4,0)),AB694,0)</f>
        <v>#N/A</v>
      </c>
      <c r="AH694" s="104" t="e">
        <f>IF(AND(VLOOKUP($D694,Merchantability!$B:$C,2,0)="Yes",$E694&gt;=VLOOKUP($D694,Merchantability!$B:$D,3,0),$E694&lt;=VLOOKUP($D694,Merchantability!$B:$E,4,0)),AC694,0)</f>
        <v>#N/A</v>
      </c>
      <c r="AI694" s="104" t="e">
        <f t="shared" si="330"/>
        <v>#N/A</v>
      </c>
      <c r="AJ694" s="104" t="e">
        <f t="shared" si="331"/>
        <v>#VALUE!</v>
      </c>
      <c r="AK694" s="104" t="e">
        <f t="shared" si="332"/>
        <v>#N/A</v>
      </c>
      <c r="AL694" s="104" t="e">
        <f t="shared" si="333"/>
        <v>#N/A</v>
      </c>
      <c r="AM694" s="104" t="e">
        <f t="shared" si="334"/>
        <v>#N/A</v>
      </c>
      <c r="AN694" s="104" t="e">
        <f t="shared" si="318"/>
        <v>#N/A</v>
      </c>
      <c r="AO694" s="104" t="e">
        <f t="shared" si="319"/>
        <v>#N/A</v>
      </c>
      <c r="AP694" s="104" t="e">
        <f t="shared" si="320"/>
        <v>#N/A</v>
      </c>
      <c r="AQ694" s="104" t="e">
        <f t="shared" si="321"/>
        <v>#N/A</v>
      </c>
      <c r="AR694" s="105" t="str">
        <f t="shared" si="313"/>
        <v/>
      </c>
      <c r="AS694" s="105" t="str">
        <f t="shared" si="314"/>
        <v/>
      </c>
      <c r="AT694" s="108" t="str">
        <f t="shared" si="315"/>
        <v/>
      </c>
      <c r="AU694" s="108" t="str">
        <f t="shared" si="316"/>
        <v/>
      </c>
      <c r="AV694" s="107" t="str">
        <f>IF(ISNUMBER(O694),IF(VLOOKUP($A694,Stand!C:J,8,FALSE)="Short",AT694,AU694),"")</f>
        <v/>
      </c>
      <c r="AW694" s="109" t="str">
        <f t="shared" si="322"/>
        <v/>
      </c>
      <c r="AX694" s="109" t="str">
        <f t="shared" si="323"/>
        <v/>
      </c>
      <c r="AY694" s="112" t="str">
        <f>IF(ISNUMBER(O694),IF(AND(VLOOKUP($D694,Merchantability!$B:$C,2,0)="Yes",$E694&gt;=VLOOKUP($D694,Merchantability!$B:$D,3,0),$E694&lt;=VLOOKUP($D694,Merchantability!$B:$E,4,0)),(AV694*O694)*(1-$H694/100),""),"")</f>
        <v/>
      </c>
      <c r="AZ694" s="116"/>
      <c r="BA694" s="116"/>
      <c r="BB694" s="116"/>
      <c r="BE694" s="62"/>
      <c r="BF694" s="63"/>
    </row>
    <row r="695" spans="1:58" ht="12.75" customHeight="1" x14ac:dyDescent="0.25">
      <c r="A695" s="313"/>
      <c r="B695" s="328"/>
      <c r="C695" s="329"/>
      <c r="D695" s="328"/>
      <c r="E695" s="330"/>
      <c r="F695" s="328"/>
      <c r="G695" s="329"/>
      <c r="H695" s="329"/>
      <c r="I695" s="328"/>
      <c r="J695" s="383"/>
      <c r="K695" s="329"/>
      <c r="L695" s="329"/>
      <c r="M695" s="76"/>
      <c r="N695" s="103" t="str">
        <f>IF(A695="","",VLOOKUP(A695,Stand!C:K,9,0))</f>
        <v/>
      </c>
      <c r="O695" s="104" t="str">
        <f t="shared" si="308"/>
        <v/>
      </c>
      <c r="P695" s="105" t="str">
        <f t="shared" si="309"/>
        <v/>
      </c>
      <c r="Q695" s="105" t="str">
        <f t="shared" si="324"/>
        <v/>
      </c>
      <c r="R695" s="103" t="str">
        <f t="shared" si="310"/>
        <v/>
      </c>
      <c r="S695" s="103" t="str">
        <f t="shared" si="311"/>
        <v/>
      </c>
      <c r="T695" s="106" t="str">
        <f t="shared" si="325"/>
        <v/>
      </c>
      <c r="U695" s="106" t="str">
        <f t="shared" si="326"/>
        <v/>
      </c>
      <c r="V695" s="106" t="str">
        <f t="shared" si="327"/>
        <v/>
      </c>
      <c r="W695" s="105" t="str">
        <f t="shared" si="312"/>
        <v/>
      </c>
      <c r="X695" s="104" t="str">
        <f t="shared" si="317"/>
        <v/>
      </c>
      <c r="Y695" s="104" t="str">
        <f t="array" ref="Y695">IFERROR(IF(ISNUMBER(O695),IF(COUNT(IF(A695=$A$2:$A$2427,IF(D695=$D$2:$D$2427,IF($X$2:$X$2427&gt;0,1))))&gt;0,SUM(IF(A695=$A$2:$A$2427,IF(D695=$D$2:$D$2427,$X$2:$X$2427)))/COUNT(IF(A695=$A$2:$A$2427,IF(D695=$D$2:$D$2427,IF(ISNUMBER($X$2:$X$2427),1)))),0),""),0)</f>
        <v/>
      </c>
      <c r="Z695" s="104" t="str">
        <f>IF(ISNUMBER(O695),IF(I695&gt;0,(10^(VLOOKUP(D695,'Species Codes'!B:C,2,0)+VLOOKUP(D695,'Species Codes'!B:D,3,0)*LOG(E695)+VLOOKUP(D695,'Species Codes'!B:E,4,0)*LOG(I695))),0),"")</f>
        <v/>
      </c>
      <c r="AA695" s="104" t="str">
        <f>IFERROR((VLOOKUP(D695,'Species Codes'!B:G,6,0)*Z695)/2000,"")</f>
        <v/>
      </c>
      <c r="AB695" s="104" t="e">
        <f>IF(Z695&gt;0,((IF(OR(D695="DF",D695="RA")=TRUE,EXP(VLOOKUP(D695,'Species Codes'!B:I,8,0)+VLOOKUP(D695,'Species Codes'!B:J,9,0)*(LN((E695*2.54)))),IF(OR(D695="PY",D695="RC",D695="WH",D695="NF")=TRUE,VLOOKUP(D695,'Species Codes'!B:I,8,0)+VLOOKUP(D695,'Species Codes'!B:J,9,0)*((E695*2.54)^2)*(I695*0.3048),IF(OR(D695="MD",D695="BM",D695="GA")=TRUE,((VLOOKUP(D695,'Species Codes'!B:I,8,0)*(((((E695*2.54)+VLOOKUP(D695,'Species Codes'!B:J,9,0))/VLOOKUP(D695,'Species Codes'!B:K,10,0))^VLOOKUP(D695,'Species Codes'!B:L,11,0))*((I695*0.3048)^VLOOKUP(D695,'Species Codes'!B:M,12,0))))-(VLOOKUP(D695,'Species Codes'!B:I,8,0)*((((E695*2.54)^VLOOKUP(D695,'Species Codes'!B:L,11,0))*((I695*0.3048)^VLOOKUP(D695,'Species Codes'!B:M,12,0))))))*35.3*VLOOKUP(D695,'Species Codes'!B:G,6,0)/2.2046,VLOOKUP(D695,'Species Codes'!B:I,8,0)+VLOOKUP(D695,'Species Codes'!B:J,9,0)*(((E695*2.54)/100)^2)*(I695*0.3048)))))*0.0011023),0)</f>
        <v>#N/A</v>
      </c>
      <c r="AC695" s="104" t="e">
        <f>IF(Z695&gt;0,((IF(OR(D695="RA",D695="OA",D695="OT",D695="UN",D695="PC"),EXP(VLOOKUP(D695,'Species Codes'!B:O,14,0)+VLOOKUP(D695,'Species Codes'!B:P,15,0)*LN((E695*2.54)))-EXP(VLOOKUP(D695,'Species Codes'!B:O,14,0)+VLOOKUP(D695,'Species Codes'!B:P,15,0)*LN((E695*2.54)))*(1/(VLOOKUP(D695,'Species Codes'!B:Q,16,0)+VLOOKUP(D695,'Species Codes'!B:R,17,0)*((E695*2.54)^VLOOKUP(D695,'Species Codes'!B:S,18,0)))),IF(OR(D695="BM",D695="MD",D695="OA"),EXP(VLOOKUP(D695,'Species Codes'!B:O,14,0)+VLOOKUP(D695,'Species Codes'!B:P,15,0)*LN((E695*2.54)))*(1-(1/(VLOOKUP(D695,'Species Codes'!B:Q,16,0)+VLOOKUP(D695,'Species Codes'!B:R,17,0)*((E695*2.54)^VLOOKUP(D695,'Species Codes'!B:S,18,0)))))/1000,IF(D695="DF",EXP(VLOOKUP(D695,'Species Codes'!B:O,14,0)+VLOOKUP(D695,'Species Codes'!B:P,15,0)*LN((E695*2.54))),VLOOKUP(D695,'Species Codes'!B:O,14,0)+VLOOKUP(D695,'Species Codes'!B:P,15,0)*(((E695*2.54)/100)^2)*(I695*0.3048)))))*0.0011023),0)</f>
        <v>#N/A</v>
      </c>
      <c r="AD695" s="104" t="e">
        <f t="shared" si="328"/>
        <v>#N/A</v>
      </c>
      <c r="AE695" s="104" t="e">
        <f t="shared" si="329"/>
        <v>#N/A</v>
      </c>
      <c r="AF695" s="104" t="e">
        <f>IF(AND(VLOOKUP($D695,Merchantability!$B:$C,2,0)="Yes",$E695&gt;=VLOOKUP($D695,Merchantability!$B:$D,3,0),$E695&lt;=VLOOKUP($D695,Merchantability!$B:$E,4,0)),AA695,0)</f>
        <v>#N/A</v>
      </c>
      <c r="AG695" s="104" t="e">
        <f>IF(AND(VLOOKUP($D695,Merchantability!$B:$C,2,0)="Yes",$E695&gt;=VLOOKUP($D695,Merchantability!$B:$D,3,0),$E695&lt;=VLOOKUP($D695,Merchantability!$B:$E,4,0)),AB695,0)</f>
        <v>#N/A</v>
      </c>
      <c r="AH695" s="104" t="e">
        <f>IF(AND(VLOOKUP($D695,Merchantability!$B:$C,2,0)="Yes",$E695&gt;=VLOOKUP($D695,Merchantability!$B:$D,3,0),$E695&lt;=VLOOKUP($D695,Merchantability!$B:$E,4,0)),AC695,0)</f>
        <v>#N/A</v>
      </c>
      <c r="AI695" s="104" t="e">
        <f t="shared" si="330"/>
        <v>#N/A</v>
      </c>
      <c r="AJ695" s="104" t="e">
        <f t="shared" si="331"/>
        <v>#VALUE!</v>
      </c>
      <c r="AK695" s="104" t="e">
        <f t="shared" si="332"/>
        <v>#N/A</v>
      </c>
      <c r="AL695" s="104" t="e">
        <f t="shared" si="333"/>
        <v>#N/A</v>
      </c>
      <c r="AM695" s="104" t="e">
        <f t="shared" si="334"/>
        <v>#N/A</v>
      </c>
      <c r="AN695" s="104" t="e">
        <f t="shared" si="318"/>
        <v>#N/A</v>
      </c>
      <c r="AO695" s="104" t="e">
        <f t="shared" si="319"/>
        <v>#N/A</v>
      </c>
      <c r="AP695" s="104" t="e">
        <f t="shared" si="320"/>
        <v>#N/A</v>
      </c>
      <c r="AQ695" s="104" t="e">
        <f t="shared" si="321"/>
        <v>#N/A</v>
      </c>
      <c r="AR695" s="105" t="str">
        <f t="shared" si="313"/>
        <v/>
      </c>
      <c r="AS695" s="105" t="str">
        <f t="shared" si="314"/>
        <v/>
      </c>
      <c r="AT695" s="108" t="str">
        <f t="shared" si="315"/>
        <v/>
      </c>
      <c r="AU695" s="108" t="str">
        <f t="shared" si="316"/>
        <v/>
      </c>
      <c r="AV695" s="107" t="str">
        <f>IF(ISNUMBER(O695),IF(VLOOKUP($A695,Stand!C:J,8,FALSE)="Short",AT695,AU695),"")</f>
        <v/>
      </c>
      <c r="AW695" s="109" t="str">
        <f t="shared" si="322"/>
        <v/>
      </c>
      <c r="AX695" s="109" t="str">
        <f t="shared" si="323"/>
        <v/>
      </c>
      <c r="AY695" s="112" t="str">
        <f>IF(ISNUMBER(O695),IF(AND(VLOOKUP($D695,Merchantability!$B:$C,2,0)="Yes",$E695&gt;=VLOOKUP($D695,Merchantability!$B:$D,3,0),$E695&lt;=VLOOKUP($D695,Merchantability!$B:$E,4,0)),(AV695*O695)*(1-$H695/100),""),"")</f>
        <v/>
      </c>
      <c r="AZ695" s="116"/>
      <c r="BA695" s="116"/>
      <c r="BB695" s="116"/>
      <c r="BE695" s="62"/>
      <c r="BF695" s="63"/>
    </row>
    <row r="696" spans="1:58" ht="12.75" customHeight="1" x14ac:dyDescent="0.25">
      <c r="A696" s="313"/>
      <c r="B696" s="328"/>
      <c r="C696" s="329"/>
      <c r="D696" s="328"/>
      <c r="E696" s="330"/>
      <c r="F696" s="328"/>
      <c r="G696" s="329"/>
      <c r="H696" s="329"/>
      <c r="I696" s="328"/>
      <c r="J696" s="383"/>
      <c r="K696" s="329"/>
      <c r="L696" s="329"/>
      <c r="M696" s="76"/>
      <c r="N696" s="103" t="str">
        <f>IF(A696="","",VLOOKUP(A696,Stand!C:K,9,0))</f>
        <v/>
      </c>
      <c r="O696" s="104" t="str">
        <f t="shared" si="308"/>
        <v/>
      </c>
      <c r="P696" s="105" t="str">
        <f t="shared" si="309"/>
        <v/>
      </c>
      <c r="Q696" s="105" t="str">
        <f t="shared" si="324"/>
        <v/>
      </c>
      <c r="R696" s="103" t="str">
        <f t="shared" si="310"/>
        <v/>
      </c>
      <c r="S696" s="103" t="str">
        <f t="shared" si="311"/>
        <v/>
      </c>
      <c r="T696" s="106" t="str">
        <f t="shared" si="325"/>
        <v/>
      </c>
      <c r="U696" s="106" t="str">
        <f t="shared" si="326"/>
        <v/>
      </c>
      <c r="V696" s="106" t="str">
        <f t="shared" si="327"/>
        <v/>
      </c>
      <c r="W696" s="105" t="str">
        <f t="shared" si="312"/>
        <v/>
      </c>
      <c r="X696" s="104" t="str">
        <f t="shared" si="317"/>
        <v/>
      </c>
      <c r="Y696" s="104" t="str">
        <f t="array" ref="Y696">IFERROR(IF(ISNUMBER(O696),IF(COUNT(IF(A696=$A$2:$A$2427,IF(D696=$D$2:$D$2427,IF($X$2:$X$2427&gt;0,1))))&gt;0,SUM(IF(A696=$A$2:$A$2427,IF(D696=$D$2:$D$2427,$X$2:$X$2427)))/COUNT(IF(A696=$A$2:$A$2427,IF(D696=$D$2:$D$2427,IF(ISNUMBER($X$2:$X$2427),1)))),0),""),0)</f>
        <v/>
      </c>
      <c r="Z696" s="104" t="str">
        <f>IF(ISNUMBER(O696),IF(I696&gt;0,(10^(VLOOKUP(D696,'Species Codes'!B:C,2,0)+VLOOKUP(D696,'Species Codes'!B:D,3,0)*LOG(E696)+VLOOKUP(D696,'Species Codes'!B:E,4,0)*LOG(I696))),0),"")</f>
        <v/>
      </c>
      <c r="AA696" s="104" t="str">
        <f>IFERROR((VLOOKUP(D696,'Species Codes'!B:G,6,0)*Z696)/2000,"")</f>
        <v/>
      </c>
      <c r="AB696" s="104" t="e">
        <f>IF(Z696&gt;0,((IF(OR(D696="DF",D696="RA")=TRUE,EXP(VLOOKUP(D696,'Species Codes'!B:I,8,0)+VLOOKUP(D696,'Species Codes'!B:J,9,0)*(LN((E696*2.54)))),IF(OR(D696="PY",D696="RC",D696="WH",D696="NF")=TRUE,VLOOKUP(D696,'Species Codes'!B:I,8,0)+VLOOKUP(D696,'Species Codes'!B:J,9,0)*((E696*2.54)^2)*(I696*0.3048),IF(OR(D696="MD",D696="BM",D696="GA")=TRUE,((VLOOKUP(D696,'Species Codes'!B:I,8,0)*(((((E696*2.54)+VLOOKUP(D696,'Species Codes'!B:J,9,0))/VLOOKUP(D696,'Species Codes'!B:K,10,0))^VLOOKUP(D696,'Species Codes'!B:L,11,0))*((I696*0.3048)^VLOOKUP(D696,'Species Codes'!B:M,12,0))))-(VLOOKUP(D696,'Species Codes'!B:I,8,0)*((((E696*2.54)^VLOOKUP(D696,'Species Codes'!B:L,11,0))*((I696*0.3048)^VLOOKUP(D696,'Species Codes'!B:M,12,0))))))*35.3*VLOOKUP(D696,'Species Codes'!B:G,6,0)/2.2046,VLOOKUP(D696,'Species Codes'!B:I,8,0)+VLOOKUP(D696,'Species Codes'!B:J,9,0)*(((E696*2.54)/100)^2)*(I696*0.3048)))))*0.0011023),0)</f>
        <v>#N/A</v>
      </c>
      <c r="AC696" s="104" t="e">
        <f>IF(Z696&gt;0,((IF(OR(D696="RA",D696="OA",D696="OT",D696="UN",D696="PC"),EXP(VLOOKUP(D696,'Species Codes'!B:O,14,0)+VLOOKUP(D696,'Species Codes'!B:P,15,0)*LN((E696*2.54)))-EXP(VLOOKUP(D696,'Species Codes'!B:O,14,0)+VLOOKUP(D696,'Species Codes'!B:P,15,0)*LN((E696*2.54)))*(1/(VLOOKUP(D696,'Species Codes'!B:Q,16,0)+VLOOKUP(D696,'Species Codes'!B:R,17,0)*((E696*2.54)^VLOOKUP(D696,'Species Codes'!B:S,18,0)))),IF(OR(D696="BM",D696="MD",D696="OA"),EXP(VLOOKUP(D696,'Species Codes'!B:O,14,0)+VLOOKUP(D696,'Species Codes'!B:P,15,0)*LN((E696*2.54)))*(1-(1/(VLOOKUP(D696,'Species Codes'!B:Q,16,0)+VLOOKUP(D696,'Species Codes'!B:R,17,0)*((E696*2.54)^VLOOKUP(D696,'Species Codes'!B:S,18,0)))))/1000,IF(D696="DF",EXP(VLOOKUP(D696,'Species Codes'!B:O,14,0)+VLOOKUP(D696,'Species Codes'!B:P,15,0)*LN((E696*2.54))),VLOOKUP(D696,'Species Codes'!B:O,14,0)+VLOOKUP(D696,'Species Codes'!B:P,15,0)*(((E696*2.54)/100)^2)*(I696*0.3048)))))*0.0011023),0)</f>
        <v>#N/A</v>
      </c>
      <c r="AD696" s="104" t="e">
        <f t="shared" si="328"/>
        <v>#N/A</v>
      </c>
      <c r="AE696" s="104" t="e">
        <f t="shared" si="329"/>
        <v>#N/A</v>
      </c>
      <c r="AF696" s="104" t="e">
        <f>IF(AND(VLOOKUP($D696,Merchantability!$B:$C,2,0)="Yes",$E696&gt;=VLOOKUP($D696,Merchantability!$B:$D,3,0),$E696&lt;=VLOOKUP($D696,Merchantability!$B:$E,4,0)),AA696,0)</f>
        <v>#N/A</v>
      </c>
      <c r="AG696" s="104" t="e">
        <f>IF(AND(VLOOKUP($D696,Merchantability!$B:$C,2,0)="Yes",$E696&gt;=VLOOKUP($D696,Merchantability!$B:$D,3,0),$E696&lt;=VLOOKUP($D696,Merchantability!$B:$E,4,0)),AB696,0)</f>
        <v>#N/A</v>
      </c>
      <c r="AH696" s="104" t="e">
        <f>IF(AND(VLOOKUP($D696,Merchantability!$B:$C,2,0)="Yes",$E696&gt;=VLOOKUP($D696,Merchantability!$B:$D,3,0),$E696&lt;=VLOOKUP($D696,Merchantability!$B:$E,4,0)),AC696,0)</f>
        <v>#N/A</v>
      </c>
      <c r="AI696" s="104" t="e">
        <f t="shared" si="330"/>
        <v>#N/A</v>
      </c>
      <c r="AJ696" s="104" t="e">
        <f t="shared" si="331"/>
        <v>#VALUE!</v>
      </c>
      <c r="AK696" s="104" t="e">
        <f t="shared" si="332"/>
        <v>#N/A</v>
      </c>
      <c r="AL696" s="104" t="e">
        <f t="shared" si="333"/>
        <v>#N/A</v>
      </c>
      <c r="AM696" s="104" t="e">
        <f t="shared" si="334"/>
        <v>#N/A</v>
      </c>
      <c r="AN696" s="104" t="e">
        <f t="shared" si="318"/>
        <v>#N/A</v>
      </c>
      <c r="AO696" s="104" t="e">
        <f t="shared" si="319"/>
        <v>#N/A</v>
      </c>
      <c r="AP696" s="104" t="e">
        <f t="shared" si="320"/>
        <v>#N/A</v>
      </c>
      <c r="AQ696" s="104" t="e">
        <f t="shared" si="321"/>
        <v>#N/A</v>
      </c>
      <c r="AR696" s="105" t="str">
        <f t="shared" si="313"/>
        <v/>
      </c>
      <c r="AS696" s="105" t="str">
        <f t="shared" si="314"/>
        <v/>
      </c>
      <c r="AT696" s="108" t="str">
        <f t="shared" si="315"/>
        <v/>
      </c>
      <c r="AU696" s="108" t="str">
        <f t="shared" si="316"/>
        <v/>
      </c>
      <c r="AV696" s="107" t="str">
        <f>IF(ISNUMBER(O696),IF(VLOOKUP($A696,Stand!C:J,8,FALSE)="Short",AT696,AU696),"")</f>
        <v/>
      </c>
      <c r="AW696" s="109" t="str">
        <f t="shared" si="322"/>
        <v/>
      </c>
      <c r="AX696" s="109" t="str">
        <f t="shared" si="323"/>
        <v/>
      </c>
      <c r="AY696" s="112" t="str">
        <f>IF(ISNUMBER(O696),IF(AND(VLOOKUP($D696,Merchantability!$B:$C,2,0)="Yes",$E696&gt;=VLOOKUP($D696,Merchantability!$B:$D,3,0),$E696&lt;=VLOOKUP($D696,Merchantability!$B:$E,4,0)),(AV696*O696)*(1-$H696/100),""),"")</f>
        <v/>
      </c>
      <c r="AZ696" s="116"/>
      <c r="BA696" s="116"/>
      <c r="BB696" s="116"/>
      <c r="BE696" s="62"/>
      <c r="BF696" s="63"/>
    </row>
    <row r="697" spans="1:58" ht="12.75" customHeight="1" x14ac:dyDescent="0.25">
      <c r="A697" s="313"/>
      <c r="B697" s="328"/>
      <c r="C697" s="329"/>
      <c r="D697" s="328"/>
      <c r="E697" s="330"/>
      <c r="F697" s="328"/>
      <c r="G697" s="329"/>
      <c r="H697" s="329"/>
      <c r="I697" s="328"/>
      <c r="J697" s="383"/>
      <c r="K697" s="329"/>
      <c r="L697" s="329"/>
      <c r="M697" s="76"/>
      <c r="N697" s="103" t="str">
        <f>IF(A697="","",VLOOKUP(A697,Stand!C:K,9,0))</f>
        <v/>
      </c>
      <c r="O697" s="104" t="str">
        <f t="shared" si="308"/>
        <v/>
      </c>
      <c r="P697" s="105" t="str">
        <f t="shared" si="309"/>
        <v/>
      </c>
      <c r="Q697" s="105" t="str">
        <f t="shared" si="324"/>
        <v/>
      </c>
      <c r="R697" s="103" t="str">
        <f t="shared" si="310"/>
        <v/>
      </c>
      <c r="S697" s="103" t="str">
        <f t="shared" si="311"/>
        <v/>
      </c>
      <c r="T697" s="106" t="str">
        <f t="shared" si="325"/>
        <v/>
      </c>
      <c r="U697" s="106" t="str">
        <f t="shared" si="326"/>
        <v/>
      </c>
      <c r="V697" s="106" t="str">
        <f t="shared" si="327"/>
        <v/>
      </c>
      <c r="W697" s="105" t="str">
        <f t="shared" si="312"/>
        <v/>
      </c>
      <c r="X697" s="104" t="str">
        <f t="shared" si="317"/>
        <v/>
      </c>
      <c r="Y697" s="104" t="str">
        <f t="array" ref="Y697">IFERROR(IF(ISNUMBER(O697),IF(COUNT(IF(A697=$A$2:$A$2427,IF(D697=$D$2:$D$2427,IF($X$2:$X$2427&gt;0,1))))&gt;0,SUM(IF(A697=$A$2:$A$2427,IF(D697=$D$2:$D$2427,$X$2:$X$2427)))/COUNT(IF(A697=$A$2:$A$2427,IF(D697=$D$2:$D$2427,IF(ISNUMBER($X$2:$X$2427),1)))),0),""),0)</f>
        <v/>
      </c>
      <c r="Z697" s="104" t="str">
        <f>IF(ISNUMBER(O697),IF(I697&gt;0,(10^(VLOOKUP(D697,'Species Codes'!B:C,2,0)+VLOOKUP(D697,'Species Codes'!B:D,3,0)*LOG(E697)+VLOOKUP(D697,'Species Codes'!B:E,4,0)*LOG(I697))),0),"")</f>
        <v/>
      </c>
      <c r="AA697" s="104" t="str">
        <f>IFERROR((VLOOKUP(D697,'Species Codes'!B:G,6,0)*Z697)/2000,"")</f>
        <v/>
      </c>
      <c r="AB697" s="104" t="e">
        <f>IF(Z697&gt;0,((IF(OR(D697="DF",D697="RA")=TRUE,EXP(VLOOKUP(D697,'Species Codes'!B:I,8,0)+VLOOKUP(D697,'Species Codes'!B:J,9,0)*(LN((E697*2.54)))),IF(OR(D697="PY",D697="RC",D697="WH",D697="NF")=TRUE,VLOOKUP(D697,'Species Codes'!B:I,8,0)+VLOOKUP(D697,'Species Codes'!B:J,9,0)*((E697*2.54)^2)*(I697*0.3048),IF(OR(D697="MD",D697="BM",D697="GA")=TRUE,((VLOOKUP(D697,'Species Codes'!B:I,8,0)*(((((E697*2.54)+VLOOKUP(D697,'Species Codes'!B:J,9,0))/VLOOKUP(D697,'Species Codes'!B:K,10,0))^VLOOKUP(D697,'Species Codes'!B:L,11,0))*((I697*0.3048)^VLOOKUP(D697,'Species Codes'!B:M,12,0))))-(VLOOKUP(D697,'Species Codes'!B:I,8,0)*((((E697*2.54)^VLOOKUP(D697,'Species Codes'!B:L,11,0))*((I697*0.3048)^VLOOKUP(D697,'Species Codes'!B:M,12,0))))))*35.3*VLOOKUP(D697,'Species Codes'!B:G,6,0)/2.2046,VLOOKUP(D697,'Species Codes'!B:I,8,0)+VLOOKUP(D697,'Species Codes'!B:J,9,0)*(((E697*2.54)/100)^2)*(I697*0.3048)))))*0.0011023),0)</f>
        <v>#N/A</v>
      </c>
      <c r="AC697" s="104" t="e">
        <f>IF(Z697&gt;0,((IF(OR(D697="RA",D697="OA",D697="OT",D697="UN",D697="PC"),EXP(VLOOKUP(D697,'Species Codes'!B:O,14,0)+VLOOKUP(D697,'Species Codes'!B:P,15,0)*LN((E697*2.54)))-EXP(VLOOKUP(D697,'Species Codes'!B:O,14,0)+VLOOKUP(D697,'Species Codes'!B:P,15,0)*LN((E697*2.54)))*(1/(VLOOKUP(D697,'Species Codes'!B:Q,16,0)+VLOOKUP(D697,'Species Codes'!B:R,17,0)*((E697*2.54)^VLOOKUP(D697,'Species Codes'!B:S,18,0)))),IF(OR(D697="BM",D697="MD",D697="OA"),EXP(VLOOKUP(D697,'Species Codes'!B:O,14,0)+VLOOKUP(D697,'Species Codes'!B:P,15,0)*LN((E697*2.54)))*(1-(1/(VLOOKUP(D697,'Species Codes'!B:Q,16,0)+VLOOKUP(D697,'Species Codes'!B:R,17,0)*((E697*2.54)^VLOOKUP(D697,'Species Codes'!B:S,18,0)))))/1000,IF(D697="DF",EXP(VLOOKUP(D697,'Species Codes'!B:O,14,0)+VLOOKUP(D697,'Species Codes'!B:P,15,0)*LN((E697*2.54))),VLOOKUP(D697,'Species Codes'!B:O,14,0)+VLOOKUP(D697,'Species Codes'!B:P,15,0)*(((E697*2.54)/100)^2)*(I697*0.3048)))))*0.0011023),0)</f>
        <v>#N/A</v>
      </c>
      <c r="AD697" s="104" t="e">
        <f t="shared" si="328"/>
        <v>#N/A</v>
      </c>
      <c r="AE697" s="104" t="e">
        <f t="shared" si="329"/>
        <v>#N/A</v>
      </c>
      <c r="AF697" s="104" t="e">
        <f>IF(AND(VLOOKUP($D697,Merchantability!$B:$C,2,0)="Yes",$E697&gt;=VLOOKUP($D697,Merchantability!$B:$D,3,0),$E697&lt;=VLOOKUP($D697,Merchantability!$B:$E,4,0)),AA697,0)</f>
        <v>#N/A</v>
      </c>
      <c r="AG697" s="104" t="e">
        <f>IF(AND(VLOOKUP($D697,Merchantability!$B:$C,2,0)="Yes",$E697&gt;=VLOOKUP($D697,Merchantability!$B:$D,3,0),$E697&lt;=VLOOKUP($D697,Merchantability!$B:$E,4,0)),AB697,0)</f>
        <v>#N/A</v>
      </c>
      <c r="AH697" s="104" t="e">
        <f>IF(AND(VLOOKUP($D697,Merchantability!$B:$C,2,0)="Yes",$E697&gt;=VLOOKUP($D697,Merchantability!$B:$D,3,0),$E697&lt;=VLOOKUP($D697,Merchantability!$B:$E,4,0)),AC697,0)</f>
        <v>#N/A</v>
      </c>
      <c r="AI697" s="104" t="e">
        <f t="shared" si="330"/>
        <v>#N/A</v>
      </c>
      <c r="AJ697" s="104" t="e">
        <f t="shared" si="331"/>
        <v>#VALUE!</v>
      </c>
      <c r="AK697" s="104" t="e">
        <f t="shared" si="332"/>
        <v>#N/A</v>
      </c>
      <c r="AL697" s="104" t="e">
        <f t="shared" si="333"/>
        <v>#N/A</v>
      </c>
      <c r="AM697" s="104" t="e">
        <f t="shared" si="334"/>
        <v>#N/A</v>
      </c>
      <c r="AN697" s="104" t="e">
        <f t="shared" si="318"/>
        <v>#N/A</v>
      </c>
      <c r="AO697" s="104" t="e">
        <f t="shared" si="319"/>
        <v>#N/A</v>
      </c>
      <c r="AP697" s="104" t="e">
        <f t="shared" si="320"/>
        <v>#N/A</v>
      </c>
      <c r="AQ697" s="104" t="e">
        <f t="shared" si="321"/>
        <v>#N/A</v>
      </c>
      <c r="AR697" s="105" t="str">
        <f t="shared" si="313"/>
        <v/>
      </c>
      <c r="AS697" s="105" t="str">
        <f t="shared" si="314"/>
        <v/>
      </c>
      <c r="AT697" s="108" t="str">
        <f t="shared" si="315"/>
        <v/>
      </c>
      <c r="AU697" s="108" t="str">
        <f t="shared" si="316"/>
        <v/>
      </c>
      <c r="AV697" s="107" t="str">
        <f>IF(ISNUMBER(O697),IF(VLOOKUP($A697,Stand!C:J,8,FALSE)="Short",AT697,AU697),"")</f>
        <v/>
      </c>
      <c r="AW697" s="109" t="str">
        <f t="shared" si="322"/>
        <v/>
      </c>
      <c r="AX697" s="109" t="str">
        <f t="shared" si="323"/>
        <v/>
      </c>
      <c r="AY697" s="112" t="str">
        <f>IF(ISNUMBER(O697),IF(AND(VLOOKUP($D697,Merchantability!$B:$C,2,0)="Yes",$E697&gt;=VLOOKUP($D697,Merchantability!$B:$D,3,0),$E697&lt;=VLOOKUP($D697,Merchantability!$B:$E,4,0)),(AV697*O697)*(1-$H697/100),""),"")</f>
        <v/>
      </c>
      <c r="AZ697" s="116"/>
      <c r="BA697" s="116"/>
      <c r="BB697" s="116"/>
      <c r="BE697" s="62"/>
      <c r="BF697" s="63"/>
    </row>
    <row r="698" spans="1:58" ht="12.75" customHeight="1" x14ac:dyDescent="0.25">
      <c r="A698" s="313"/>
      <c r="B698" s="328"/>
      <c r="C698" s="329"/>
      <c r="D698" s="328"/>
      <c r="E698" s="330"/>
      <c r="F698" s="328"/>
      <c r="G698" s="329"/>
      <c r="H698" s="329"/>
      <c r="I698" s="328"/>
      <c r="J698" s="383"/>
      <c r="K698" s="329"/>
      <c r="L698" s="329"/>
      <c r="M698" s="76"/>
      <c r="N698" s="103" t="str">
        <f>IF(A698="","",VLOOKUP(A698,Stand!C:K,9,0))</f>
        <v/>
      </c>
      <c r="O698" s="104" t="str">
        <f t="shared" si="308"/>
        <v/>
      </c>
      <c r="P698" s="105" t="str">
        <f t="shared" si="309"/>
        <v/>
      </c>
      <c r="Q698" s="105" t="str">
        <f t="shared" si="324"/>
        <v/>
      </c>
      <c r="R698" s="103" t="str">
        <f t="shared" si="310"/>
        <v/>
      </c>
      <c r="S698" s="103" t="str">
        <f t="shared" si="311"/>
        <v/>
      </c>
      <c r="T698" s="106" t="str">
        <f t="shared" si="325"/>
        <v/>
      </c>
      <c r="U698" s="106" t="str">
        <f t="shared" si="326"/>
        <v/>
      </c>
      <c r="V698" s="106" t="str">
        <f t="shared" si="327"/>
        <v/>
      </c>
      <c r="W698" s="105" t="str">
        <f t="shared" si="312"/>
        <v/>
      </c>
      <c r="X698" s="104" t="str">
        <f t="shared" si="317"/>
        <v/>
      </c>
      <c r="Y698" s="104" t="str">
        <f t="array" ref="Y698">IFERROR(IF(ISNUMBER(O698),IF(COUNT(IF(A698=$A$2:$A$2427,IF(D698=$D$2:$D$2427,IF($X$2:$X$2427&gt;0,1))))&gt;0,SUM(IF(A698=$A$2:$A$2427,IF(D698=$D$2:$D$2427,$X$2:$X$2427)))/COUNT(IF(A698=$A$2:$A$2427,IF(D698=$D$2:$D$2427,IF(ISNUMBER($X$2:$X$2427),1)))),0),""),0)</f>
        <v/>
      </c>
      <c r="Z698" s="104" t="str">
        <f>IF(ISNUMBER(O698),IF(I698&gt;0,(10^(VLOOKUP(D698,'Species Codes'!B:C,2,0)+VLOOKUP(D698,'Species Codes'!B:D,3,0)*LOG(E698)+VLOOKUP(D698,'Species Codes'!B:E,4,0)*LOG(I698))),0),"")</f>
        <v/>
      </c>
      <c r="AA698" s="104" t="str">
        <f>IFERROR((VLOOKUP(D698,'Species Codes'!B:G,6,0)*Z698)/2000,"")</f>
        <v/>
      </c>
      <c r="AB698" s="104" t="e">
        <f>IF(Z698&gt;0,((IF(OR(D698="DF",D698="RA")=TRUE,EXP(VLOOKUP(D698,'Species Codes'!B:I,8,0)+VLOOKUP(D698,'Species Codes'!B:J,9,0)*(LN((E698*2.54)))),IF(OR(D698="PY",D698="RC",D698="WH",D698="NF")=TRUE,VLOOKUP(D698,'Species Codes'!B:I,8,0)+VLOOKUP(D698,'Species Codes'!B:J,9,0)*((E698*2.54)^2)*(I698*0.3048),IF(OR(D698="MD",D698="BM",D698="GA")=TRUE,((VLOOKUP(D698,'Species Codes'!B:I,8,0)*(((((E698*2.54)+VLOOKUP(D698,'Species Codes'!B:J,9,0))/VLOOKUP(D698,'Species Codes'!B:K,10,0))^VLOOKUP(D698,'Species Codes'!B:L,11,0))*((I698*0.3048)^VLOOKUP(D698,'Species Codes'!B:M,12,0))))-(VLOOKUP(D698,'Species Codes'!B:I,8,0)*((((E698*2.54)^VLOOKUP(D698,'Species Codes'!B:L,11,0))*((I698*0.3048)^VLOOKUP(D698,'Species Codes'!B:M,12,0))))))*35.3*VLOOKUP(D698,'Species Codes'!B:G,6,0)/2.2046,VLOOKUP(D698,'Species Codes'!B:I,8,0)+VLOOKUP(D698,'Species Codes'!B:J,9,0)*(((E698*2.54)/100)^2)*(I698*0.3048)))))*0.0011023),0)</f>
        <v>#N/A</v>
      </c>
      <c r="AC698" s="104" t="e">
        <f>IF(Z698&gt;0,((IF(OR(D698="RA",D698="OA",D698="OT",D698="UN",D698="PC"),EXP(VLOOKUP(D698,'Species Codes'!B:O,14,0)+VLOOKUP(D698,'Species Codes'!B:P,15,0)*LN((E698*2.54)))-EXP(VLOOKUP(D698,'Species Codes'!B:O,14,0)+VLOOKUP(D698,'Species Codes'!B:P,15,0)*LN((E698*2.54)))*(1/(VLOOKUP(D698,'Species Codes'!B:Q,16,0)+VLOOKUP(D698,'Species Codes'!B:R,17,0)*((E698*2.54)^VLOOKUP(D698,'Species Codes'!B:S,18,0)))),IF(OR(D698="BM",D698="MD",D698="OA"),EXP(VLOOKUP(D698,'Species Codes'!B:O,14,0)+VLOOKUP(D698,'Species Codes'!B:P,15,0)*LN((E698*2.54)))*(1-(1/(VLOOKUP(D698,'Species Codes'!B:Q,16,0)+VLOOKUP(D698,'Species Codes'!B:R,17,0)*((E698*2.54)^VLOOKUP(D698,'Species Codes'!B:S,18,0)))))/1000,IF(D698="DF",EXP(VLOOKUP(D698,'Species Codes'!B:O,14,0)+VLOOKUP(D698,'Species Codes'!B:P,15,0)*LN((E698*2.54))),VLOOKUP(D698,'Species Codes'!B:O,14,0)+VLOOKUP(D698,'Species Codes'!B:P,15,0)*(((E698*2.54)/100)^2)*(I698*0.3048)))))*0.0011023),0)</f>
        <v>#N/A</v>
      </c>
      <c r="AD698" s="104" t="e">
        <f t="shared" si="328"/>
        <v>#N/A</v>
      </c>
      <c r="AE698" s="104" t="e">
        <f t="shared" si="329"/>
        <v>#N/A</v>
      </c>
      <c r="AF698" s="104" t="e">
        <f>IF(AND(VLOOKUP($D698,Merchantability!$B:$C,2,0)="Yes",$E698&gt;=VLOOKUP($D698,Merchantability!$B:$D,3,0),$E698&lt;=VLOOKUP($D698,Merchantability!$B:$E,4,0)),AA698,0)</f>
        <v>#N/A</v>
      </c>
      <c r="AG698" s="104" t="e">
        <f>IF(AND(VLOOKUP($D698,Merchantability!$B:$C,2,0)="Yes",$E698&gt;=VLOOKUP($D698,Merchantability!$B:$D,3,0),$E698&lt;=VLOOKUP($D698,Merchantability!$B:$E,4,0)),AB698,0)</f>
        <v>#N/A</v>
      </c>
      <c r="AH698" s="104" t="e">
        <f>IF(AND(VLOOKUP($D698,Merchantability!$B:$C,2,0)="Yes",$E698&gt;=VLOOKUP($D698,Merchantability!$B:$D,3,0),$E698&lt;=VLOOKUP($D698,Merchantability!$B:$E,4,0)),AC698,0)</f>
        <v>#N/A</v>
      </c>
      <c r="AI698" s="104" t="e">
        <f t="shared" si="330"/>
        <v>#N/A</v>
      </c>
      <c r="AJ698" s="104" t="e">
        <f t="shared" si="331"/>
        <v>#VALUE!</v>
      </c>
      <c r="AK698" s="104" t="e">
        <f t="shared" si="332"/>
        <v>#N/A</v>
      </c>
      <c r="AL698" s="104" t="e">
        <f t="shared" si="333"/>
        <v>#N/A</v>
      </c>
      <c r="AM698" s="104" t="e">
        <f t="shared" si="334"/>
        <v>#N/A</v>
      </c>
      <c r="AN698" s="104" t="e">
        <f t="shared" si="318"/>
        <v>#N/A</v>
      </c>
      <c r="AO698" s="104" t="e">
        <f t="shared" si="319"/>
        <v>#N/A</v>
      </c>
      <c r="AP698" s="104" t="e">
        <f t="shared" si="320"/>
        <v>#N/A</v>
      </c>
      <c r="AQ698" s="104" t="e">
        <f t="shared" si="321"/>
        <v>#N/A</v>
      </c>
      <c r="AR698" s="105" t="str">
        <f t="shared" si="313"/>
        <v/>
      </c>
      <c r="AS698" s="105" t="str">
        <f t="shared" si="314"/>
        <v/>
      </c>
      <c r="AT698" s="108" t="str">
        <f t="shared" si="315"/>
        <v/>
      </c>
      <c r="AU698" s="108" t="str">
        <f t="shared" si="316"/>
        <v/>
      </c>
      <c r="AV698" s="107" t="str">
        <f>IF(ISNUMBER(O698),IF(VLOOKUP($A698,Stand!C:J,8,FALSE)="Short",AT698,AU698),"")</f>
        <v/>
      </c>
      <c r="AW698" s="109" t="str">
        <f t="shared" si="322"/>
        <v/>
      </c>
      <c r="AX698" s="109" t="str">
        <f t="shared" si="323"/>
        <v/>
      </c>
      <c r="AY698" s="112" t="str">
        <f>IF(ISNUMBER(O698),IF(AND(VLOOKUP($D698,Merchantability!$B:$C,2,0)="Yes",$E698&gt;=VLOOKUP($D698,Merchantability!$B:$D,3,0),$E698&lt;=VLOOKUP($D698,Merchantability!$B:$E,4,0)),(AV698*O698)*(1-$H698/100),""),"")</f>
        <v/>
      </c>
      <c r="AZ698" s="116"/>
      <c r="BA698" s="116"/>
      <c r="BB698" s="116"/>
      <c r="BE698" s="62"/>
      <c r="BF698" s="63"/>
    </row>
    <row r="699" spans="1:58" ht="12.75" customHeight="1" x14ac:dyDescent="0.25">
      <c r="A699" s="313"/>
      <c r="B699" s="328"/>
      <c r="C699" s="329"/>
      <c r="D699" s="328"/>
      <c r="E699" s="330"/>
      <c r="F699" s="328"/>
      <c r="G699" s="329"/>
      <c r="H699" s="329"/>
      <c r="I699" s="328"/>
      <c r="J699" s="383"/>
      <c r="K699" s="329"/>
      <c r="L699" s="329"/>
      <c r="M699" s="76"/>
      <c r="N699" s="103" t="str">
        <f>IF(A699="","",VLOOKUP(A699,Stand!C:K,9,0))</f>
        <v/>
      </c>
      <c r="O699" s="104" t="str">
        <f t="shared" si="308"/>
        <v/>
      </c>
      <c r="P699" s="105" t="str">
        <f t="shared" si="309"/>
        <v/>
      </c>
      <c r="Q699" s="105" t="str">
        <f t="shared" si="324"/>
        <v/>
      </c>
      <c r="R699" s="103" t="str">
        <f t="shared" si="310"/>
        <v/>
      </c>
      <c r="S699" s="103" t="str">
        <f t="shared" si="311"/>
        <v/>
      </c>
      <c r="T699" s="106" t="str">
        <f t="shared" si="325"/>
        <v/>
      </c>
      <c r="U699" s="106" t="str">
        <f t="shared" si="326"/>
        <v/>
      </c>
      <c r="V699" s="106" t="str">
        <f t="shared" si="327"/>
        <v/>
      </c>
      <c r="W699" s="105" t="str">
        <f t="shared" si="312"/>
        <v/>
      </c>
      <c r="X699" s="104" t="str">
        <f t="shared" si="317"/>
        <v/>
      </c>
      <c r="Y699" s="104" t="str">
        <f t="array" ref="Y699">IFERROR(IF(ISNUMBER(O699),IF(COUNT(IF(A699=$A$2:$A$2427,IF(D699=$D$2:$D$2427,IF($X$2:$X$2427&gt;0,1))))&gt;0,SUM(IF(A699=$A$2:$A$2427,IF(D699=$D$2:$D$2427,$X$2:$X$2427)))/COUNT(IF(A699=$A$2:$A$2427,IF(D699=$D$2:$D$2427,IF(ISNUMBER($X$2:$X$2427),1)))),0),""),0)</f>
        <v/>
      </c>
      <c r="Z699" s="104" t="str">
        <f>IF(ISNUMBER(O699),IF(I699&gt;0,(10^(VLOOKUP(D699,'Species Codes'!B:C,2,0)+VLOOKUP(D699,'Species Codes'!B:D,3,0)*LOG(E699)+VLOOKUP(D699,'Species Codes'!B:E,4,0)*LOG(I699))),0),"")</f>
        <v/>
      </c>
      <c r="AA699" s="104" t="str">
        <f>IFERROR((VLOOKUP(D699,'Species Codes'!B:G,6,0)*Z699)/2000,"")</f>
        <v/>
      </c>
      <c r="AB699" s="104" t="e">
        <f>IF(Z699&gt;0,((IF(OR(D699="DF",D699="RA")=TRUE,EXP(VLOOKUP(D699,'Species Codes'!B:I,8,0)+VLOOKUP(D699,'Species Codes'!B:J,9,0)*(LN((E699*2.54)))),IF(OR(D699="PY",D699="RC",D699="WH",D699="NF")=TRUE,VLOOKUP(D699,'Species Codes'!B:I,8,0)+VLOOKUP(D699,'Species Codes'!B:J,9,0)*((E699*2.54)^2)*(I699*0.3048),IF(OR(D699="MD",D699="BM",D699="GA")=TRUE,((VLOOKUP(D699,'Species Codes'!B:I,8,0)*(((((E699*2.54)+VLOOKUP(D699,'Species Codes'!B:J,9,0))/VLOOKUP(D699,'Species Codes'!B:K,10,0))^VLOOKUP(D699,'Species Codes'!B:L,11,0))*((I699*0.3048)^VLOOKUP(D699,'Species Codes'!B:M,12,0))))-(VLOOKUP(D699,'Species Codes'!B:I,8,0)*((((E699*2.54)^VLOOKUP(D699,'Species Codes'!B:L,11,0))*((I699*0.3048)^VLOOKUP(D699,'Species Codes'!B:M,12,0))))))*35.3*VLOOKUP(D699,'Species Codes'!B:G,6,0)/2.2046,VLOOKUP(D699,'Species Codes'!B:I,8,0)+VLOOKUP(D699,'Species Codes'!B:J,9,0)*(((E699*2.54)/100)^2)*(I699*0.3048)))))*0.0011023),0)</f>
        <v>#N/A</v>
      </c>
      <c r="AC699" s="104" t="e">
        <f>IF(Z699&gt;0,((IF(OR(D699="RA",D699="OA",D699="OT",D699="UN",D699="PC"),EXP(VLOOKUP(D699,'Species Codes'!B:O,14,0)+VLOOKUP(D699,'Species Codes'!B:P,15,0)*LN((E699*2.54)))-EXP(VLOOKUP(D699,'Species Codes'!B:O,14,0)+VLOOKUP(D699,'Species Codes'!B:P,15,0)*LN((E699*2.54)))*(1/(VLOOKUP(D699,'Species Codes'!B:Q,16,0)+VLOOKUP(D699,'Species Codes'!B:R,17,0)*((E699*2.54)^VLOOKUP(D699,'Species Codes'!B:S,18,0)))),IF(OR(D699="BM",D699="MD",D699="OA"),EXP(VLOOKUP(D699,'Species Codes'!B:O,14,0)+VLOOKUP(D699,'Species Codes'!B:P,15,0)*LN((E699*2.54)))*(1-(1/(VLOOKUP(D699,'Species Codes'!B:Q,16,0)+VLOOKUP(D699,'Species Codes'!B:R,17,0)*((E699*2.54)^VLOOKUP(D699,'Species Codes'!B:S,18,0)))))/1000,IF(D699="DF",EXP(VLOOKUP(D699,'Species Codes'!B:O,14,0)+VLOOKUP(D699,'Species Codes'!B:P,15,0)*LN((E699*2.54))),VLOOKUP(D699,'Species Codes'!B:O,14,0)+VLOOKUP(D699,'Species Codes'!B:P,15,0)*(((E699*2.54)/100)^2)*(I699*0.3048)))))*0.0011023),0)</f>
        <v>#N/A</v>
      </c>
      <c r="AD699" s="104" t="e">
        <f t="shared" si="328"/>
        <v>#N/A</v>
      </c>
      <c r="AE699" s="104" t="e">
        <f t="shared" si="329"/>
        <v>#N/A</v>
      </c>
      <c r="AF699" s="104" t="e">
        <f>IF(AND(VLOOKUP($D699,Merchantability!$B:$C,2,0)="Yes",$E699&gt;=VLOOKUP($D699,Merchantability!$B:$D,3,0),$E699&lt;=VLOOKUP($D699,Merchantability!$B:$E,4,0)),AA699,0)</f>
        <v>#N/A</v>
      </c>
      <c r="AG699" s="104" t="e">
        <f>IF(AND(VLOOKUP($D699,Merchantability!$B:$C,2,0)="Yes",$E699&gt;=VLOOKUP($D699,Merchantability!$B:$D,3,0),$E699&lt;=VLOOKUP($D699,Merchantability!$B:$E,4,0)),AB699,0)</f>
        <v>#N/A</v>
      </c>
      <c r="AH699" s="104" t="e">
        <f>IF(AND(VLOOKUP($D699,Merchantability!$B:$C,2,0)="Yes",$E699&gt;=VLOOKUP($D699,Merchantability!$B:$D,3,0),$E699&lt;=VLOOKUP($D699,Merchantability!$B:$E,4,0)),AC699,0)</f>
        <v>#N/A</v>
      </c>
      <c r="AI699" s="104" t="e">
        <f t="shared" si="330"/>
        <v>#N/A</v>
      </c>
      <c r="AJ699" s="104" t="e">
        <f t="shared" si="331"/>
        <v>#VALUE!</v>
      </c>
      <c r="AK699" s="104" t="e">
        <f t="shared" si="332"/>
        <v>#N/A</v>
      </c>
      <c r="AL699" s="104" t="e">
        <f t="shared" si="333"/>
        <v>#N/A</v>
      </c>
      <c r="AM699" s="104" t="e">
        <f t="shared" si="334"/>
        <v>#N/A</v>
      </c>
      <c r="AN699" s="104" t="e">
        <f t="shared" si="318"/>
        <v>#N/A</v>
      </c>
      <c r="AO699" s="104" t="e">
        <f t="shared" si="319"/>
        <v>#N/A</v>
      </c>
      <c r="AP699" s="104" t="e">
        <f t="shared" si="320"/>
        <v>#N/A</v>
      </c>
      <c r="AQ699" s="104" t="e">
        <f t="shared" si="321"/>
        <v>#N/A</v>
      </c>
      <c r="AR699" s="105" t="str">
        <f t="shared" si="313"/>
        <v/>
      </c>
      <c r="AS699" s="105" t="str">
        <f t="shared" si="314"/>
        <v/>
      </c>
      <c r="AT699" s="108" t="str">
        <f t="shared" si="315"/>
        <v/>
      </c>
      <c r="AU699" s="108" t="str">
        <f t="shared" si="316"/>
        <v/>
      </c>
      <c r="AV699" s="107" t="str">
        <f>IF(ISNUMBER(O699),IF(VLOOKUP($A699,Stand!C:J,8,FALSE)="Short",AT699,AU699),"")</f>
        <v/>
      </c>
      <c r="AW699" s="109" t="str">
        <f t="shared" si="322"/>
        <v/>
      </c>
      <c r="AX699" s="109" t="str">
        <f t="shared" si="323"/>
        <v/>
      </c>
      <c r="AY699" s="112" t="str">
        <f>IF(ISNUMBER(O699),IF(AND(VLOOKUP($D699,Merchantability!$B:$C,2,0)="Yes",$E699&gt;=VLOOKUP($D699,Merchantability!$B:$D,3,0),$E699&lt;=VLOOKUP($D699,Merchantability!$B:$E,4,0)),(AV699*O699)*(1-$H699/100),""),"")</f>
        <v/>
      </c>
      <c r="AZ699" s="116"/>
      <c r="BA699" s="116"/>
      <c r="BB699" s="116"/>
      <c r="BE699" s="62"/>
      <c r="BF699" s="63"/>
    </row>
    <row r="700" spans="1:58" ht="12.75" customHeight="1" x14ac:dyDescent="0.25">
      <c r="A700" s="313"/>
      <c r="B700" s="328"/>
      <c r="C700" s="329"/>
      <c r="D700" s="328"/>
      <c r="E700" s="330"/>
      <c r="F700" s="328"/>
      <c r="G700" s="329"/>
      <c r="H700" s="329"/>
      <c r="I700" s="328"/>
      <c r="J700" s="383"/>
      <c r="K700" s="329"/>
      <c r="L700" s="329"/>
      <c r="M700" s="76"/>
      <c r="N700" s="103" t="str">
        <f>IF(A700="","",VLOOKUP(A700,Stand!C:K,9,0))</f>
        <v/>
      </c>
      <c r="O700" s="104" t="str">
        <f t="shared" si="308"/>
        <v/>
      </c>
      <c r="P700" s="105" t="str">
        <f t="shared" si="309"/>
        <v/>
      </c>
      <c r="Q700" s="105" t="str">
        <f t="shared" si="324"/>
        <v/>
      </c>
      <c r="R700" s="103" t="str">
        <f t="shared" si="310"/>
        <v/>
      </c>
      <c r="S700" s="103" t="str">
        <f t="shared" si="311"/>
        <v/>
      </c>
      <c r="T700" s="106" t="str">
        <f t="shared" si="325"/>
        <v/>
      </c>
      <c r="U700" s="106" t="str">
        <f t="shared" si="326"/>
        <v/>
      </c>
      <c r="V700" s="106" t="str">
        <f t="shared" si="327"/>
        <v/>
      </c>
      <c r="W700" s="105" t="str">
        <f t="shared" si="312"/>
        <v/>
      </c>
      <c r="X700" s="104" t="str">
        <f t="shared" si="317"/>
        <v/>
      </c>
      <c r="Y700" s="104" t="str">
        <f t="array" ref="Y700">IFERROR(IF(ISNUMBER(O700),IF(COUNT(IF(A700=$A$2:$A$2427,IF(D700=$D$2:$D$2427,IF($X$2:$X$2427&gt;0,1))))&gt;0,SUM(IF(A700=$A$2:$A$2427,IF(D700=$D$2:$D$2427,$X$2:$X$2427)))/COUNT(IF(A700=$A$2:$A$2427,IF(D700=$D$2:$D$2427,IF(ISNUMBER($X$2:$X$2427),1)))),0),""),0)</f>
        <v/>
      </c>
      <c r="Z700" s="104" t="str">
        <f>IF(ISNUMBER(O700),IF(I700&gt;0,(10^(VLOOKUP(D700,'Species Codes'!B:C,2,0)+VLOOKUP(D700,'Species Codes'!B:D,3,0)*LOG(E700)+VLOOKUP(D700,'Species Codes'!B:E,4,0)*LOG(I700))),0),"")</f>
        <v/>
      </c>
      <c r="AA700" s="104" t="str">
        <f>IFERROR((VLOOKUP(D700,'Species Codes'!B:G,6,0)*Z700)/2000,"")</f>
        <v/>
      </c>
      <c r="AB700" s="104" t="e">
        <f>IF(Z700&gt;0,((IF(OR(D700="DF",D700="RA")=TRUE,EXP(VLOOKUP(D700,'Species Codes'!B:I,8,0)+VLOOKUP(D700,'Species Codes'!B:J,9,0)*(LN((E700*2.54)))),IF(OR(D700="PY",D700="RC",D700="WH",D700="NF")=TRUE,VLOOKUP(D700,'Species Codes'!B:I,8,0)+VLOOKUP(D700,'Species Codes'!B:J,9,0)*((E700*2.54)^2)*(I700*0.3048),IF(OR(D700="MD",D700="BM",D700="GA")=TRUE,((VLOOKUP(D700,'Species Codes'!B:I,8,0)*(((((E700*2.54)+VLOOKUP(D700,'Species Codes'!B:J,9,0))/VLOOKUP(D700,'Species Codes'!B:K,10,0))^VLOOKUP(D700,'Species Codes'!B:L,11,0))*((I700*0.3048)^VLOOKUP(D700,'Species Codes'!B:M,12,0))))-(VLOOKUP(D700,'Species Codes'!B:I,8,0)*((((E700*2.54)^VLOOKUP(D700,'Species Codes'!B:L,11,0))*((I700*0.3048)^VLOOKUP(D700,'Species Codes'!B:M,12,0))))))*35.3*VLOOKUP(D700,'Species Codes'!B:G,6,0)/2.2046,VLOOKUP(D700,'Species Codes'!B:I,8,0)+VLOOKUP(D700,'Species Codes'!B:J,9,0)*(((E700*2.54)/100)^2)*(I700*0.3048)))))*0.0011023),0)</f>
        <v>#N/A</v>
      </c>
      <c r="AC700" s="104" t="e">
        <f>IF(Z700&gt;0,((IF(OR(D700="RA",D700="OA",D700="OT",D700="UN",D700="PC"),EXP(VLOOKUP(D700,'Species Codes'!B:O,14,0)+VLOOKUP(D700,'Species Codes'!B:P,15,0)*LN((E700*2.54)))-EXP(VLOOKUP(D700,'Species Codes'!B:O,14,0)+VLOOKUP(D700,'Species Codes'!B:P,15,0)*LN((E700*2.54)))*(1/(VLOOKUP(D700,'Species Codes'!B:Q,16,0)+VLOOKUP(D700,'Species Codes'!B:R,17,0)*((E700*2.54)^VLOOKUP(D700,'Species Codes'!B:S,18,0)))),IF(OR(D700="BM",D700="MD",D700="OA"),EXP(VLOOKUP(D700,'Species Codes'!B:O,14,0)+VLOOKUP(D700,'Species Codes'!B:P,15,0)*LN((E700*2.54)))*(1-(1/(VLOOKUP(D700,'Species Codes'!B:Q,16,0)+VLOOKUP(D700,'Species Codes'!B:R,17,0)*((E700*2.54)^VLOOKUP(D700,'Species Codes'!B:S,18,0)))))/1000,IF(D700="DF",EXP(VLOOKUP(D700,'Species Codes'!B:O,14,0)+VLOOKUP(D700,'Species Codes'!B:P,15,0)*LN((E700*2.54))),VLOOKUP(D700,'Species Codes'!B:O,14,0)+VLOOKUP(D700,'Species Codes'!B:P,15,0)*(((E700*2.54)/100)^2)*(I700*0.3048)))))*0.0011023),0)</f>
        <v>#N/A</v>
      </c>
      <c r="AD700" s="104" t="e">
        <f t="shared" si="328"/>
        <v>#N/A</v>
      </c>
      <c r="AE700" s="104" t="e">
        <f t="shared" si="329"/>
        <v>#N/A</v>
      </c>
      <c r="AF700" s="104" t="e">
        <f>IF(AND(VLOOKUP($D700,Merchantability!$B:$C,2,0)="Yes",$E700&gt;=VLOOKUP($D700,Merchantability!$B:$D,3,0),$E700&lt;=VLOOKUP($D700,Merchantability!$B:$E,4,0)),AA700,0)</f>
        <v>#N/A</v>
      </c>
      <c r="AG700" s="104" t="e">
        <f>IF(AND(VLOOKUP($D700,Merchantability!$B:$C,2,0)="Yes",$E700&gt;=VLOOKUP($D700,Merchantability!$B:$D,3,0),$E700&lt;=VLOOKUP($D700,Merchantability!$B:$E,4,0)),AB700,0)</f>
        <v>#N/A</v>
      </c>
      <c r="AH700" s="104" t="e">
        <f>IF(AND(VLOOKUP($D700,Merchantability!$B:$C,2,0)="Yes",$E700&gt;=VLOOKUP($D700,Merchantability!$B:$D,3,0),$E700&lt;=VLOOKUP($D700,Merchantability!$B:$E,4,0)),AC700,0)</f>
        <v>#N/A</v>
      </c>
      <c r="AI700" s="104" t="e">
        <f t="shared" si="330"/>
        <v>#N/A</v>
      </c>
      <c r="AJ700" s="104" t="e">
        <f t="shared" si="331"/>
        <v>#VALUE!</v>
      </c>
      <c r="AK700" s="104" t="e">
        <f t="shared" si="332"/>
        <v>#N/A</v>
      </c>
      <c r="AL700" s="104" t="e">
        <f t="shared" si="333"/>
        <v>#N/A</v>
      </c>
      <c r="AM700" s="104" t="e">
        <f t="shared" si="334"/>
        <v>#N/A</v>
      </c>
      <c r="AN700" s="104" t="e">
        <f t="shared" si="318"/>
        <v>#N/A</v>
      </c>
      <c r="AO700" s="104" t="e">
        <f t="shared" si="319"/>
        <v>#N/A</v>
      </c>
      <c r="AP700" s="104" t="e">
        <f t="shared" si="320"/>
        <v>#N/A</v>
      </c>
      <c r="AQ700" s="104" t="e">
        <f t="shared" si="321"/>
        <v>#N/A</v>
      </c>
      <c r="AR700" s="105" t="str">
        <f t="shared" si="313"/>
        <v/>
      </c>
      <c r="AS700" s="105" t="str">
        <f t="shared" si="314"/>
        <v/>
      </c>
      <c r="AT700" s="108" t="str">
        <f t="shared" si="315"/>
        <v/>
      </c>
      <c r="AU700" s="108" t="str">
        <f t="shared" si="316"/>
        <v/>
      </c>
      <c r="AV700" s="107" t="str">
        <f>IF(ISNUMBER(O700),IF(VLOOKUP($A700,Stand!C:J,8,FALSE)="Short",AT700,AU700),"")</f>
        <v/>
      </c>
      <c r="AW700" s="109" t="str">
        <f t="shared" si="322"/>
        <v/>
      </c>
      <c r="AX700" s="109" t="str">
        <f t="shared" si="323"/>
        <v/>
      </c>
      <c r="AY700" s="112" t="str">
        <f>IF(ISNUMBER(O700),IF(AND(VLOOKUP($D700,Merchantability!$B:$C,2,0)="Yes",$E700&gt;=VLOOKUP($D700,Merchantability!$B:$D,3,0),$E700&lt;=VLOOKUP($D700,Merchantability!$B:$E,4,0)),(AV700*O700)*(1-$H700/100),""),"")</f>
        <v/>
      </c>
      <c r="AZ700" s="116"/>
      <c r="BA700" s="116"/>
      <c r="BB700" s="116"/>
      <c r="BE700" s="62"/>
      <c r="BF700" s="63"/>
    </row>
    <row r="701" spans="1:58" ht="12.75" customHeight="1" x14ac:dyDescent="0.25">
      <c r="A701" s="313"/>
      <c r="B701" s="328"/>
      <c r="C701" s="329"/>
      <c r="D701" s="328"/>
      <c r="E701" s="330"/>
      <c r="F701" s="328"/>
      <c r="G701" s="329"/>
      <c r="H701" s="329"/>
      <c r="I701" s="328"/>
      <c r="J701" s="383"/>
      <c r="K701" s="329"/>
      <c r="L701" s="329"/>
      <c r="M701" s="76"/>
      <c r="N701" s="103" t="str">
        <f>IF(A701="","",VLOOKUP(A701,Stand!C:K,9,0))</f>
        <v/>
      </c>
      <c r="O701" s="104" t="str">
        <f t="shared" si="308"/>
        <v/>
      </c>
      <c r="P701" s="105" t="str">
        <f t="shared" si="309"/>
        <v/>
      </c>
      <c r="Q701" s="105" t="str">
        <f t="shared" si="324"/>
        <v/>
      </c>
      <c r="R701" s="103" t="str">
        <f t="shared" si="310"/>
        <v/>
      </c>
      <c r="S701" s="103" t="str">
        <f t="shared" si="311"/>
        <v/>
      </c>
      <c r="T701" s="106" t="str">
        <f t="shared" si="325"/>
        <v/>
      </c>
      <c r="U701" s="106" t="str">
        <f t="shared" si="326"/>
        <v/>
      </c>
      <c r="V701" s="106" t="str">
        <f t="shared" si="327"/>
        <v/>
      </c>
      <c r="W701" s="105" t="str">
        <f t="shared" si="312"/>
        <v/>
      </c>
      <c r="X701" s="104" t="str">
        <f t="shared" si="317"/>
        <v/>
      </c>
      <c r="Y701" s="104" t="str">
        <f t="array" ref="Y701">IFERROR(IF(ISNUMBER(O701),IF(COUNT(IF(A701=$A$2:$A$2427,IF(D701=$D$2:$D$2427,IF($X$2:$X$2427&gt;0,1))))&gt;0,SUM(IF(A701=$A$2:$A$2427,IF(D701=$D$2:$D$2427,$X$2:$X$2427)))/COUNT(IF(A701=$A$2:$A$2427,IF(D701=$D$2:$D$2427,IF(ISNUMBER($X$2:$X$2427),1)))),0),""),0)</f>
        <v/>
      </c>
      <c r="Z701" s="104" t="str">
        <f>IF(ISNUMBER(O701),IF(I701&gt;0,(10^(VLOOKUP(D701,'Species Codes'!B:C,2,0)+VLOOKUP(D701,'Species Codes'!B:D,3,0)*LOG(E701)+VLOOKUP(D701,'Species Codes'!B:E,4,0)*LOG(I701))),0),"")</f>
        <v/>
      </c>
      <c r="AA701" s="104" t="str">
        <f>IFERROR((VLOOKUP(D701,'Species Codes'!B:G,6,0)*Z701)/2000,"")</f>
        <v/>
      </c>
      <c r="AB701" s="104" t="e">
        <f>IF(Z701&gt;0,((IF(OR(D701="DF",D701="RA")=TRUE,EXP(VLOOKUP(D701,'Species Codes'!B:I,8,0)+VLOOKUP(D701,'Species Codes'!B:J,9,0)*(LN((E701*2.54)))),IF(OR(D701="PY",D701="RC",D701="WH",D701="NF")=TRUE,VLOOKUP(D701,'Species Codes'!B:I,8,0)+VLOOKUP(D701,'Species Codes'!B:J,9,0)*((E701*2.54)^2)*(I701*0.3048),IF(OR(D701="MD",D701="BM",D701="GA")=TRUE,((VLOOKUP(D701,'Species Codes'!B:I,8,0)*(((((E701*2.54)+VLOOKUP(D701,'Species Codes'!B:J,9,0))/VLOOKUP(D701,'Species Codes'!B:K,10,0))^VLOOKUP(D701,'Species Codes'!B:L,11,0))*((I701*0.3048)^VLOOKUP(D701,'Species Codes'!B:M,12,0))))-(VLOOKUP(D701,'Species Codes'!B:I,8,0)*((((E701*2.54)^VLOOKUP(D701,'Species Codes'!B:L,11,0))*((I701*0.3048)^VLOOKUP(D701,'Species Codes'!B:M,12,0))))))*35.3*VLOOKUP(D701,'Species Codes'!B:G,6,0)/2.2046,VLOOKUP(D701,'Species Codes'!B:I,8,0)+VLOOKUP(D701,'Species Codes'!B:J,9,0)*(((E701*2.54)/100)^2)*(I701*0.3048)))))*0.0011023),0)</f>
        <v>#N/A</v>
      </c>
      <c r="AC701" s="104" t="e">
        <f>IF(Z701&gt;0,((IF(OR(D701="RA",D701="OA",D701="OT",D701="UN",D701="PC"),EXP(VLOOKUP(D701,'Species Codes'!B:O,14,0)+VLOOKUP(D701,'Species Codes'!B:P,15,0)*LN((E701*2.54)))-EXP(VLOOKUP(D701,'Species Codes'!B:O,14,0)+VLOOKUP(D701,'Species Codes'!B:P,15,0)*LN((E701*2.54)))*(1/(VLOOKUP(D701,'Species Codes'!B:Q,16,0)+VLOOKUP(D701,'Species Codes'!B:R,17,0)*((E701*2.54)^VLOOKUP(D701,'Species Codes'!B:S,18,0)))),IF(OR(D701="BM",D701="MD",D701="OA"),EXP(VLOOKUP(D701,'Species Codes'!B:O,14,0)+VLOOKUP(D701,'Species Codes'!B:P,15,0)*LN((E701*2.54)))*(1-(1/(VLOOKUP(D701,'Species Codes'!B:Q,16,0)+VLOOKUP(D701,'Species Codes'!B:R,17,0)*((E701*2.54)^VLOOKUP(D701,'Species Codes'!B:S,18,0)))))/1000,IF(D701="DF",EXP(VLOOKUP(D701,'Species Codes'!B:O,14,0)+VLOOKUP(D701,'Species Codes'!B:P,15,0)*LN((E701*2.54))),VLOOKUP(D701,'Species Codes'!B:O,14,0)+VLOOKUP(D701,'Species Codes'!B:P,15,0)*(((E701*2.54)/100)^2)*(I701*0.3048)))))*0.0011023),0)</f>
        <v>#N/A</v>
      </c>
      <c r="AD701" s="104" t="e">
        <f t="shared" si="328"/>
        <v>#N/A</v>
      </c>
      <c r="AE701" s="104" t="e">
        <f t="shared" si="329"/>
        <v>#N/A</v>
      </c>
      <c r="AF701" s="104" t="e">
        <f>IF(AND(VLOOKUP($D701,Merchantability!$B:$C,2,0)="Yes",$E701&gt;=VLOOKUP($D701,Merchantability!$B:$D,3,0),$E701&lt;=VLOOKUP($D701,Merchantability!$B:$E,4,0)),AA701,0)</f>
        <v>#N/A</v>
      </c>
      <c r="AG701" s="104" t="e">
        <f>IF(AND(VLOOKUP($D701,Merchantability!$B:$C,2,0)="Yes",$E701&gt;=VLOOKUP($D701,Merchantability!$B:$D,3,0),$E701&lt;=VLOOKUP($D701,Merchantability!$B:$E,4,0)),AB701,0)</f>
        <v>#N/A</v>
      </c>
      <c r="AH701" s="104" t="e">
        <f>IF(AND(VLOOKUP($D701,Merchantability!$B:$C,2,0)="Yes",$E701&gt;=VLOOKUP($D701,Merchantability!$B:$D,3,0),$E701&lt;=VLOOKUP($D701,Merchantability!$B:$E,4,0)),AC701,0)</f>
        <v>#N/A</v>
      </c>
      <c r="AI701" s="104" t="e">
        <f t="shared" si="330"/>
        <v>#N/A</v>
      </c>
      <c r="AJ701" s="104" t="e">
        <f t="shared" si="331"/>
        <v>#VALUE!</v>
      </c>
      <c r="AK701" s="104" t="e">
        <f t="shared" si="332"/>
        <v>#N/A</v>
      </c>
      <c r="AL701" s="104" t="e">
        <f t="shared" si="333"/>
        <v>#N/A</v>
      </c>
      <c r="AM701" s="104" t="e">
        <f t="shared" si="334"/>
        <v>#N/A</v>
      </c>
      <c r="AN701" s="104" t="e">
        <f t="shared" si="318"/>
        <v>#N/A</v>
      </c>
      <c r="AO701" s="104" t="e">
        <f t="shared" si="319"/>
        <v>#N/A</v>
      </c>
      <c r="AP701" s="104" t="e">
        <f t="shared" si="320"/>
        <v>#N/A</v>
      </c>
      <c r="AQ701" s="104" t="e">
        <f t="shared" si="321"/>
        <v>#N/A</v>
      </c>
      <c r="AR701" s="105" t="str">
        <f t="shared" si="313"/>
        <v/>
      </c>
      <c r="AS701" s="105" t="str">
        <f t="shared" si="314"/>
        <v/>
      </c>
      <c r="AT701" s="108" t="str">
        <f t="shared" si="315"/>
        <v/>
      </c>
      <c r="AU701" s="108" t="str">
        <f t="shared" si="316"/>
        <v/>
      </c>
      <c r="AV701" s="107" t="str">
        <f>IF(ISNUMBER(O701),IF(VLOOKUP($A701,Stand!C:J,8,FALSE)="Short",AT701,AU701),"")</f>
        <v/>
      </c>
      <c r="AW701" s="109" t="str">
        <f t="shared" si="322"/>
        <v/>
      </c>
      <c r="AX701" s="109" t="str">
        <f t="shared" si="323"/>
        <v/>
      </c>
      <c r="AY701" s="112" t="str">
        <f>IF(ISNUMBER(O701),IF(AND(VLOOKUP($D701,Merchantability!$B:$C,2,0)="Yes",$E701&gt;=VLOOKUP($D701,Merchantability!$B:$D,3,0),$E701&lt;=VLOOKUP($D701,Merchantability!$B:$E,4,0)),(AV701*O701)*(1-$H701/100),""),"")</f>
        <v/>
      </c>
      <c r="AZ701" s="116"/>
      <c r="BA701" s="116"/>
      <c r="BB701" s="116"/>
      <c r="BE701" s="62"/>
      <c r="BF701" s="63"/>
    </row>
    <row r="702" spans="1:58" ht="12.75" customHeight="1" x14ac:dyDescent="0.25">
      <c r="A702" s="313"/>
      <c r="B702" s="328"/>
      <c r="C702" s="329"/>
      <c r="D702" s="328"/>
      <c r="E702" s="330"/>
      <c r="F702" s="328"/>
      <c r="G702" s="329"/>
      <c r="H702" s="329"/>
      <c r="I702" s="328"/>
      <c r="J702" s="383"/>
      <c r="K702" s="329"/>
      <c r="L702" s="329"/>
      <c r="M702" s="76"/>
      <c r="N702" s="103" t="str">
        <f>IF(A702="","",VLOOKUP(A702,Stand!C:K,9,0))</f>
        <v/>
      </c>
      <c r="O702" s="104" t="str">
        <f t="shared" si="308"/>
        <v/>
      </c>
      <c r="P702" s="105" t="str">
        <f t="shared" si="309"/>
        <v/>
      </c>
      <c r="Q702" s="105" t="str">
        <f t="shared" si="324"/>
        <v/>
      </c>
      <c r="R702" s="103" t="str">
        <f t="shared" si="310"/>
        <v/>
      </c>
      <c r="S702" s="103" t="str">
        <f t="shared" si="311"/>
        <v/>
      </c>
      <c r="T702" s="106" t="str">
        <f t="shared" si="325"/>
        <v/>
      </c>
      <c r="U702" s="106" t="str">
        <f t="shared" si="326"/>
        <v/>
      </c>
      <c r="V702" s="106" t="str">
        <f t="shared" si="327"/>
        <v/>
      </c>
      <c r="W702" s="105" t="str">
        <f t="shared" si="312"/>
        <v/>
      </c>
      <c r="X702" s="104" t="str">
        <f t="shared" si="317"/>
        <v/>
      </c>
      <c r="Y702" s="104" t="str">
        <f t="array" ref="Y702">IFERROR(IF(ISNUMBER(O702),IF(COUNT(IF(A702=$A$2:$A$2427,IF(D702=$D$2:$D$2427,IF($X$2:$X$2427&gt;0,1))))&gt;0,SUM(IF(A702=$A$2:$A$2427,IF(D702=$D$2:$D$2427,$X$2:$X$2427)))/COUNT(IF(A702=$A$2:$A$2427,IF(D702=$D$2:$D$2427,IF(ISNUMBER($X$2:$X$2427),1)))),0),""),0)</f>
        <v/>
      </c>
      <c r="Z702" s="104" t="str">
        <f>IF(ISNUMBER(O702),IF(I702&gt;0,(10^(VLOOKUP(D702,'Species Codes'!B:C,2,0)+VLOOKUP(D702,'Species Codes'!B:D,3,0)*LOG(E702)+VLOOKUP(D702,'Species Codes'!B:E,4,0)*LOG(I702))),0),"")</f>
        <v/>
      </c>
      <c r="AA702" s="104" t="str">
        <f>IFERROR((VLOOKUP(D702,'Species Codes'!B:G,6,0)*Z702)/2000,"")</f>
        <v/>
      </c>
      <c r="AB702" s="104" t="e">
        <f>IF(Z702&gt;0,((IF(OR(D702="DF",D702="RA")=TRUE,EXP(VLOOKUP(D702,'Species Codes'!B:I,8,0)+VLOOKUP(D702,'Species Codes'!B:J,9,0)*(LN((E702*2.54)))),IF(OR(D702="PY",D702="RC",D702="WH",D702="NF")=TRUE,VLOOKUP(D702,'Species Codes'!B:I,8,0)+VLOOKUP(D702,'Species Codes'!B:J,9,0)*((E702*2.54)^2)*(I702*0.3048),IF(OR(D702="MD",D702="BM",D702="GA")=TRUE,((VLOOKUP(D702,'Species Codes'!B:I,8,0)*(((((E702*2.54)+VLOOKUP(D702,'Species Codes'!B:J,9,0))/VLOOKUP(D702,'Species Codes'!B:K,10,0))^VLOOKUP(D702,'Species Codes'!B:L,11,0))*((I702*0.3048)^VLOOKUP(D702,'Species Codes'!B:M,12,0))))-(VLOOKUP(D702,'Species Codes'!B:I,8,0)*((((E702*2.54)^VLOOKUP(D702,'Species Codes'!B:L,11,0))*((I702*0.3048)^VLOOKUP(D702,'Species Codes'!B:M,12,0))))))*35.3*VLOOKUP(D702,'Species Codes'!B:G,6,0)/2.2046,VLOOKUP(D702,'Species Codes'!B:I,8,0)+VLOOKUP(D702,'Species Codes'!B:J,9,0)*(((E702*2.54)/100)^2)*(I702*0.3048)))))*0.0011023),0)</f>
        <v>#N/A</v>
      </c>
      <c r="AC702" s="104" t="e">
        <f>IF(Z702&gt;0,((IF(OR(D702="RA",D702="OA",D702="OT",D702="UN",D702="PC"),EXP(VLOOKUP(D702,'Species Codes'!B:O,14,0)+VLOOKUP(D702,'Species Codes'!B:P,15,0)*LN((E702*2.54)))-EXP(VLOOKUP(D702,'Species Codes'!B:O,14,0)+VLOOKUP(D702,'Species Codes'!B:P,15,0)*LN((E702*2.54)))*(1/(VLOOKUP(D702,'Species Codes'!B:Q,16,0)+VLOOKUP(D702,'Species Codes'!B:R,17,0)*((E702*2.54)^VLOOKUP(D702,'Species Codes'!B:S,18,0)))),IF(OR(D702="BM",D702="MD",D702="OA"),EXP(VLOOKUP(D702,'Species Codes'!B:O,14,0)+VLOOKUP(D702,'Species Codes'!B:P,15,0)*LN((E702*2.54)))*(1-(1/(VLOOKUP(D702,'Species Codes'!B:Q,16,0)+VLOOKUP(D702,'Species Codes'!B:R,17,0)*((E702*2.54)^VLOOKUP(D702,'Species Codes'!B:S,18,0)))))/1000,IF(D702="DF",EXP(VLOOKUP(D702,'Species Codes'!B:O,14,0)+VLOOKUP(D702,'Species Codes'!B:P,15,0)*LN((E702*2.54))),VLOOKUP(D702,'Species Codes'!B:O,14,0)+VLOOKUP(D702,'Species Codes'!B:P,15,0)*(((E702*2.54)/100)^2)*(I702*0.3048)))))*0.0011023),0)</f>
        <v>#N/A</v>
      </c>
      <c r="AD702" s="104" t="e">
        <f t="shared" si="328"/>
        <v>#N/A</v>
      </c>
      <c r="AE702" s="104" t="e">
        <f t="shared" si="329"/>
        <v>#N/A</v>
      </c>
      <c r="AF702" s="104" t="e">
        <f>IF(AND(VLOOKUP($D702,Merchantability!$B:$C,2,0)="Yes",$E702&gt;=VLOOKUP($D702,Merchantability!$B:$D,3,0),$E702&lt;=VLOOKUP($D702,Merchantability!$B:$E,4,0)),AA702,0)</f>
        <v>#N/A</v>
      </c>
      <c r="AG702" s="104" t="e">
        <f>IF(AND(VLOOKUP($D702,Merchantability!$B:$C,2,0)="Yes",$E702&gt;=VLOOKUP($D702,Merchantability!$B:$D,3,0),$E702&lt;=VLOOKUP($D702,Merchantability!$B:$E,4,0)),AB702,0)</f>
        <v>#N/A</v>
      </c>
      <c r="AH702" s="104" t="e">
        <f>IF(AND(VLOOKUP($D702,Merchantability!$B:$C,2,0)="Yes",$E702&gt;=VLOOKUP($D702,Merchantability!$B:$D,3,0),$E702&lt;=VLOOKUP($D702,Merchantability!$B:$E,4,0)),AC702,0)</f>
        <v>#N/A</v>
      </c>
      <c r="AI702" s="104" t="e">
        <f t="shared" si="330"/>
        <v>#N/A</v>
      </c>
      <c r="AJ702" s="104" t="e">
        <f t="shared" si="331"/>
        <v>#VALUE!</v>
      </c>
      <c r="AK702" s="104" t="e">
        <f t="shared" si="332"/>
        <v>#N/A</v>
      </c>
      <c r="AL702" s="104" t="e">
        <f t="shared" si="333"/>
        <v>#N/A</v>
      </c>
      <c r="AM702" s="104" t="e">
        <f t="shared" si="334"/>
        <v>#N/A</v>
      </c>
      <c r="AN702" s="104" t="e">
        <f t="shared" si="318"/>
        <v>#N/A</v>
      </c>
      <c r="AO702" s="104" t="e">
        <f t="shared" si="319"/>
        <v>#N/A</v>
      </c>
      <c r="AP702" s="104" t="e">
        <f t="shared" si="320"/>
        <v>#N/A</v>
      </c>
      <c r="AQ702" s="104" t="e">
        <f t="shared" si="321"/>
        <v>#N/A</v>
      </c>
      <c r="AR702" s="105" t="str">
        <f t="shared" si="313"/>
        <v/>
      </c>
      <c r="AS702" s="105" t="str">
        <f t="shared" si="314"/>
        <v/>
      </c>
      <c r="AT702" s="108" t="str">
        <f t="shared" si="315"/>
        <v/>
      </c>
      <c r="AU702" s="108" t="str">
        <f t="shared" si="316"/>
        <v/>
      </c>
      <c r="AV702" s="107" t="str">
        <f>IF(ISNUMBER(O702),IF(VLOOKUP($A702,Stand!C:J,8,FALSE)="Short",AT702,AU702),"")</f>
        <v/>
      </c>
      <c r="AW702" s="109" t="str">
        <f t="shared" si="322"/>
        <v/>
      </c>
      <c r="AX702" s="109" t="str">
        <f t="shared" si="323"/>
        <v/>
      </c>
      <c r="AY702" s="112" t="str">
        <f>IF(ISNUMBER(O702),IF(AND(VLOOKUP($D702,Merchantability!$B:$C,2,0)="Yes",$E702&gt;=VLOOKUP($D702,Merchantability!$B:$D,3,0),$E702&lt;=VLOOKUP($D702,Merchantability!$B:$E,4,0)),(AV702*O702)*(1-$H702/100),""),"")</f>
        <v/>
      </c>
      <c r="AZ702" s="116"/>
      <c r="BA702" s="116"/>
      <c r="BB702" s="116"/>
      <c r="BE702" s="62"/>
      <c r="BF702" s="63"/>
    </row>
    <row r="703" spans="1:58" ht="12.75" customHeight="1" x14ac:dyDescent="0.25">
      <c r="A703" s="313"/>
      <c r="B703" s="328"/>
      <c r="C703" s="329"/>
      <c r="D703" s="328"/>
      <c r="E703" s="330"/>
      <c r="F703" s="328"/>
      <c r="G703" s="329"/>
      <c r="H703" s="329"/>
      <c r="I703" s="328"/>
      <c r="J703" s="383"/>
      <c r="K703" s="329"/>
      <c r="L703" s="329"/>
      <c r="M703" s="76"/>
      <c r="N703" s="103" t="str">
        <f>IF(A703="","",VLOOKUP(A703,Stand!C:K,9,0))</f>
        <v/>
      </c>
      <c r="O703" s="104" t="str">
        <f t="shared" si="308"/>
        <v/>
      </c>
      <c r="P703" s="105" t="str">
        <f t="shared" si="309"/>
        <v/>
      </c>
      <c r="Q703" s="105" t="str">
        <f t="shared" si="324"/>
        <v/>
      </c>
      <c r="R703" s="103" t="str">
        <f t="shared" si="310"/>
        <v/>
      </c>
      <c r="S703" s="103" t="str">
        <f t="shared" si="311"/>
        <v/>
      </c>
      <c r="T703" s="106" t="str">
        <f t="shared" si="325"/>
        <v/>
      </c>
      <c r="U703" s="106" t="str">
        <f t="shared" si="326"/>
        <v/>
      </c>
      <c r="V703" s="106" t="str">
        <f t="shared" si="327"/>
        <v/>
      </c>
      <c r="W703" s="105" t="str">
        <f t="shared" si="312"/>
        <v/>
      </c>
      <c r="X703" s="104" t="str">
        <f t="shared" si="317"/>
        <v/>
      </c>
      <c r="Y703" s="104" t="str">
        <f t="array" ref="Y703">IFERROR(IF(ISNUMBER(O703),IF(COUNT(IF(A703=$A$2:$A$2427,IF(D703=$D$2:$D$2427,IF($X$2:$X$2427&gt;0,1))))&gt;0,SUM(IF(A703=$A$2:$A$2427,IF(D703=$D$2:$D$2427,$X$2:$X$2427)))/COUNT(IF(A703=$A$2:$A$2427,IF(D703=$D$2:$D$2427,IF(ISNUMBER($X$2:$X$2427),1)))),0),""),0)</f>
        <v/>
      </c>
      <c r="Z703" s="104" t="str">
        <f>IF(ISNUMBER(O703),IF(I703&gt;0,(10^(VLOOKUP(D703,'Species Codes'!B:C,2,0)+VLOOKUP(D703,'Species Codes'!B:D,3,0)*LOG(E703)+VLOOKUP(D703,'Species Codes'!B:E,4,0)*LOG(I703))),0),"")</f>
        <v/>
      </c>
      <c r="AA703" s="104" t="str">
        <f>IFERROR((VLOOKUP(D703,'Species Codes'!B:G,6,0)*Z703)/2000,"")</f>
        <v/>
      </c>
      <c r="AB703" s="104" t="e">
        <f>IF(Z703&gt;0,((IF(OR(D703="DF",D703="RA")=TRUE,EXP(VLOOKUP(D703,'Species Codes'!B:I,8,0)+VLOOKUP(D703,'Species Codes'!B:J,9,0)*(LN((E703*2.54)))),IF(OR(D703="PY",D703="RC",D703="WH",D703="NF")=TRUE,VLOOKUP(D703,'Species Codes'!B:I,8,0)+VLOOKUP(D703,'Species Codes'!B:J,9,0)*((E703*2.54)^2)*(I703*0.3048),IF(OR(D703="MD",D703="BM",D703="GA")=TRUE,((VLOOKUP(D703,'Species Codes'!B:I,8,0)*(((((E703*2.54)+VLOOKUP(D703,'Species Codes'!B:J,9,0))/VLOOKUP(D703,'Species Codes'!B:K,10,0))^VLOOKUP(D703,'Species Codes'!B:L,11,0))*((I703*0.3048)^VLOOKUP(D703,'Species Codes'!B:M,12,0))))-(VLOOKUP(D703,'Species Codes'!B:I,8,0)*((((E703*2.54)^VLOOKUP(D703,'Species Codes'!B:L,11,0))*((I703*0.3048)^VLOOKUP(D703,'Species Codes'!B:M,12,0))))))*35.3*VLOOKUP(D703,'Species Codes'!B:G,6,0)/2.2046,VLOOKUP(D703,'Species Codes'!B:I,8,0)+VLOOKUP(D703,'Species Codes'!B:J,9,0)*(((E703*2.54)/100)^2)*(I703*0.3048)))))*0.0011023),0)</f>
        <v>#N/A</v>
      </c>
      <c r="AC703" s="104" t="e">
        <f>IF(Z703&gt;0,((IF(OR(D703="RA",D703="OA",D703="OT",D703="UN",D703="PC"),EXP(VLOOKUP(D703,'Species Codes'!B:O,14,0)+VLOOKUP(D703,'Species Codes'!B:P,15,0)*LN((E703*2.54)))-EXP(VLOOKUP(D703,'Species Codes'!B:O,14,0)+VLOOKUP(D703,'Species Codes'!B:P,15,0)*LN((E703*2.54)))*(1/(VLOOKUP(D703,'Species Codes'!B:Q,16,0)+VLOOKUP(D703,'Species Codes'!B:R,17,0)*((E703*2.54)^VLOOKUP(D703,'Species Codes'!B:S,18,0)))),IF(OR(D703="BM",D703="MD",D703="OA"),EXP(VLOOKUP(D703,'Species Codes'!B:O,14,0)+VLOOKUP(D703,'Species Codes'!B:P,15,0)*LN((E703*2.54)))*(1-(1/(VLOOKUP(D703,'Species Codes'!B:Q,16,0)+VLOOKUP(D703,'Species Codes'!B:R,17,0)*((E703*2.54)^VLOOKUP(D703,'Species Codes'!B:S,18,0)))))/1000,IF(D703="DF",EXP(VLOOKUP(D703,'Species Codes'!B:O,14,0)+VLOOKUP(D703,'Species Codes'!B:P,15,0)*LN((E703*2.54))),VLOOKUP(D703,'Species Codes'!B:O,14,0)+VLOOKUP(D703,'Species Codes'!B:P,15,0)*(((E703*2.54)/100)^2)*(I703*0.3048)))))*0.0011023),0)</f>
        <v>#N/A</v>
      </c>
      <c r="AD703" s="104" t="e">
        <f t="shared" si="328"/>
        <v>#N/A</v>
      </c>
      <c r="AE703" s="104" t="e">
        <f t="shared" si="329"/>
        <v>#N/A</v>
      </c>
      <c r="AF703" s="104" t="e">
        <f>IF(AND(VLOOKUP($D703,Merchantability!$B:$C,2,0)="Yes",$E703&gt;=VLOOKUP($D703,Merchantability!$B:$D,3,0),$E703&lt;=VLOOKUP($D703,Merchantability!$B:$E,4,0)),AA703,0)</f>
        <v>#N/A</v>
      </c>
      <c r="AG703" s="104" t="e">
        <f>IF(AND(VLOOKUP($D703,Merchantability!$B:$C,2,0)="Yes",$E703&gt;=VLOOKUP($D703,Merchantability!$B:$D,3,0),$E703&lt;=VLOOKUP($D703,Merchantability!$B:$E,4,0)),AB703,0)</f>
        <v>#N/A</v>
      </c>
      <c r="AH703" s="104" t="e">
        <f>IF(AND(VLOOKUP($D703,Merchantability!$B:$C,2,0)="Yes",$E703&gt;=VLOOKUP($D703,Merchantability!$B:$D,3,0),$E703&lt;=VLOOKUP($D703,Merchantability!$B:$E,4,0)),AC703,0)</f>
        <v>#N/A</v>
      </c>
      <c r="AI703" s="104" t="e">
        <f t="shared" si="330"/>
        <v>#N/A</v>
      </c>
      <c r="AJ703" s="104" t="e">
        <f t="shared" si="331"/>
        <v>#VALUE!</v>
      </c>
      <c r="AK703" s="104" t="e">
        <f t="shared" si="332"/>
        <v>#N/A</v>
      </c>
      <c r="AL703" s="104" t="e">
        <f t="shared" si="333"/>
        <v>#N/A</v>
      </c>
      <c r="AM703" s="104" t="e">
        <f t="shared" si="334"/>
        <v>#N/A</v>
      </c>
      <c r="AN703" s="104" t="e">
        <f t="shared" si="318"/>
        <v>#N/A</v>
      </c>
      <c r="AO703" s="104" t="e">
        <f t="shared" si="319"/>
        <v>#N/A</v>
      </c>
      <c r="AP703" s="104" t="e">
        <f t="shared" si="320"/>
        <v>#N/A</v>
      </c>
      <c r="AQ703" s="104" t="e">
        <f t="shared" si="321"/>
        <v>#N/A</v>
      </c>
      <c r="AR703" s="105" t="str">
        <f t="shared" si="313"/>
        <v/>
      </c>
      <c r="AS703" s="105" t="str">
        <f t="shared" si="314"/>
        <v/>
      </c>
      <c r="AT703" s="108" t="str">
        <f t="shared" si="315"/>
        <v/>
      </c>
      <c r="AU703" s="108" t="str">
        <f t="shared" si="316"/>
        <v/>
      </c>
      <c r="AV703" s="107" t="str">
        <f>IF(ISNUMBER(O703),IF(VLOOKUP($A703,Stand!C:J,8,FALSE)="Short",AT703,AU703),"")</f>
        <v/>
      </c>
      <c r="AW703" s="109" t="str">
        <f t="shared" si="322"/>
        <v/>
      </c>
      <c r="AX703" s="109" t="str">
        <f t="shared" si="323"/>
        <v/>
      </c>
      <c r="AY703" s="112" t="str">
        <f>IF(ISNUMBER(O703),IF(AND(VLOOKUP($D703,Merchantability!$B:$C,2,0)="Yes",$E703&gt;=VLOOKUP($D703,Merchantability!$B:$D,3,0),$E703&lt;=VLOOKUP($D703,Merchantability!$B:$E,4,0)),(AV703*O703)*(1-$H703/100),""),"")</f>
        <v/>
      </c>
      <c r="AZ703" s="116"/>
      <c r="BA703" s="116"/>
      <c r="BB703" s="116"/>
      <c r="BE703" s="62"/>
      <c r="BF703" s="63"/>
    </row>
    <row r="704" spans="1:58" ht="12.75" customHeight="1" x14ac:dyDescent="0.25">
      <c r="A704" s="313"/>
      <c r="B704" s="328"/>
      <c r="C704" s="329"/>
      <c r="D704" s="328"/>
      <c r="E704" s="330"/>
      <c r="F704" s="328"/>
      <c r="G704" s="329"/>
      <c r="H704" s="329"/>
      <c r="I704" s="328"/>
      <c r="J704" s="383"/>
      <c r="K704" s="329"/>
      <c r="L704" s="329"/>
      <c r="M704" s="76"/>
      <c r="N704" s="103" t="str">
        <f>IF(A704="","",VLOOKUP(A704,Stand!C:K,9,0))</f>
        <v/>
      </c>
      <c r="O704" s="104" t="str">
        <f t="shared" si="308"/>
        <v/>
      </c>
      <c r="P704" s="105" t="str">
        <f t="shared" si="309"/>
        <v/>
      </c>
      <c r="Q704" s="105" t="str">
        <f t="shared" si="324"/>
        <v/>
      </c>
      <c r="R704" s="103" t="str">
        <f t="shared" si="310"/>
        <v/>
      </c>
      <c r="S704" s="103" t="str">
        <f t="shared" si="311"/>
        <v/>
      </c>
      <c r="T704" s="106" t="str">
        <f t="shared" si="325"/>
        <v/>
      </c>
      <c r="U704" s="106" t="str">
        <f t="shared" si="326"/>
        <v/>
      </c>
      <c r="V704" s="106" t="str">
        <f t="shared" si="327"/>
        <v/>
      </c>
      <c r="W704" s="105" t="str">
        <f t="shared" si="312"/>
        <v/>
      </c>
      <c r="X704" s="104" t="str">
        <f t="shared" si="317"/>
        <v/>
      </c>
      <c r="Y704" s="104" t="str">
        <f t="array" ref="Y704">IFERROR(IF(ISNUMBER(O704),IF(COUNT(IF(A704=$A$2:$A$2427,IF(D704=$D$2:$D$2427,IF($X$2:$X$2427&gt;0,1))))&gt;0,SUM(IF(A704=$A$2:$A$2427,IF(D704=$D$2:$D$2427,$X$2:$X$2427)))/COUNT(IF(A704=$A$2:$A$2427,IF(D704=$D$2:$D$2427,IF(ISNUMBER($X$2:$X$2427),1)))),0),""),0)</f>
        <v/>
      </c>
      <c r="Z704" s="104" t="str">
        <f>IF(ISNUMBER(O704),IF(I704&gt;0,(10^(VLOOKUP(D704,'Species Codes'!B:C,2,0)+VLOOKUP(D704,'Species Codes'!B:D,3,0)*LOG(E704)+VLOOKUP(D704,'Species Codes'!B:E,4,0)*LOG(I704))),0),"")</f>
        <v/>
      </c>
      <c r="AA704" s="104" t="str">
        <f>IFERROR((VLOOKUP(D704,'Species Codes'!B:G,6,0)*Z704)/2000,"")</f>
        <v/>
      </c>
      <c r="AB704" s="104" t="e">
        <f>IF(Z704&gt;0,((IF(OR(D704="DF",D704="RA")=TRUE,EXP(VLOOKUP(D704,'Species Codes'!B:I,8,0)+VLOOKUP(D704,'Species Codes'!B:J,9,0)*(LN((E704*2.54)))),IF(OR(D704="PY",D704="RC",D704="WH",D704="NF")=TRUE,VLOOKUP(D704,'Species Codes'!B:I,8,0)+VLOOKUP(D704,'Species Codes'!B:J,9,0)*((E704*2.54)^2)*(I704*0.3048),IF(OR(D704="MD",D704="BM",D704="GA")=TRUE,((VLOOKUP(D704,'Species Codes'!B:I,8,0)*(((((E704*2.54)+VLOOKUP(D704,'Species Codes'!B:J,9,0))/VLOOKUP(D704,'Species Codes'!B:K,10,0))^VLOOKUP(D704,'Species Codes'!B:L,11,0))*((I704*0.3048)^VLOOKUP(D704,'Species Codes'!B:M,12,0))))-(VLOOKUP(D704,'Species Codes'!B:I,8,0)*((((E704*2.54)^VLOOKUP(D704,'Species Codes'!B:L,11,0))*((I704*0.3048)^VLOOKUP(D704,'Species Codes'!B:M,12,0))))))*35.3*VLOOKUP(D704,'Species Codes'!B:G,6,0)/2.2046,VLOOKUP(D704,'Species Codes'!B:I,8,0)+VLOOKUP(D704,'Species Codes'!B:J,9,0)*(((E704*2.54)/100)^2)*(I704*0.3048)))))*0.0011023),0)</f>
        <v>#N/A</v>
      </c>
      <c r="AC704" s="104" t="e">
        <f>IF(Z704&gt;0,((IF(OR(D704="RA",D704="OA",D704="OT",D704="UN",D704="PC"),EXP(VLOOKUP(D704,'Species Codes'!B:O,14,0)+VLOOKUP(D704,'Species Codes'!B:P,15,0)*LN((E704*2.54)))-EXP(VLOOKUP(D704,'Species Codes'!B:O,14,0)+VLOOKUP(D704,'Species Codes'!B:P,15,0)*LN((E704*2.54)))*(1/(VLOOKUP(D704,'Species Codes'!B:Q,16,0)+VLOOKUP(D704,'Species Codes'!B:R,17,0)*((E704*2.54)^VLOOKUP(D704,'Species Codes'!B:S,18,0)))),IF(OR(D704="BM",D704="MD",D704="OA"),EXP(VLOOKUP(D704,'Species Codes'!B:O,14,0)+VLOOKUP(D704,'Species Codes'!B:P,15,0)*LN((E704*2.54)))*(1-(1/(VLOOKUP(D704,'Species Codes'!B:Q,16,0)+VLOOKUP(D704,'Species Codes'!B:R,17,0)*((E704*2.54)^VLOOKUP(D704,'Species Codes'!B:S,18,0)))))/1000,IF(D704="DF",EXP(VLOOKUP(D704,'Species Codes'!B:O,14,0)+VLOOKUP(D704,'Species Codes'!B:P,15,0)*LN((E704*2.54))),VLOOKUP(D704,'Species Codes'!B:O,14,0)+VLOOKUP(D704,'Species Codes'!B:P,15,0)*(((E704*2.54)/100)^2)*(I704*0.3048)))))*0.0011023),0)</f>
        <v>#N/A</v>
      </c>
      <c r="AD704" s="104" t="e">
        <f t="shared" si="328"/>
        <v>#N/A</v>
      </c>
      <c r="AE704" s="104" t="e">
        <f t="shared" si="329"/>
        <v>#N/A</v>
      </c>
      <c r="AF704" s="104" t="e">
        <f>IF(AND(VLOOKUP($D704,Merchantability!$B:$C,2,0)="Yes",$E704&gt;=VLOOKUP($D704,Merchantability!$B:$D,3,0),$E704&lt;=VLOOKUP($D704,Merchantability!$B:$E,4,0)),AA704,0)</f>
        <v>#N/A</v>
      </c>
      <c r="AG704" s="104" t="e">
        <f>IF(AND(VLOOKUP($D704,Merchantability!$B:$C,2,0)="Yes",$E704&gt;=VLOOKUP($D704,Merchantability!$B:$D,3,0),$E704&lt;=VLOOKUP($D704,Merchantability!$B:$E,4,0)),AB704,0)</f>
        <v>#N/A</v>
      </c>
      <c r="AH704" s="104" t="e">
        <f>IF(AND(VLOOKUP($D704,Merchantability!$B:$C,2,0)="Yes",$E704&gt;=VLOOKUP($D704,Merchantability!$B:$D,3,0),$E704&lt;=VLOOKUP($D704,Merchantability!$B:$E,4,0)),AC704,0)</f>
        <v>#N/A</v>
      </c>
      <c r="AI704" s="104" t="e">
        <f t="shared" si="330"/>
        <v>#N/A</v>
      </c>
      <c r="AJ704" s="104" t="e">
        <f t="shared" si="331"/>
        <v>#VALUE!</v>
      </c>
      <c r="AK704" s="104" t="e">
        <f t="shared" si="332"/>
        <v>#N/A</v>
      </c>
      <c r="AL704" s="104" t="e">
        <f t="shared" si="333"/>
        <v>#N/A</v>
      </c>
      <c r="AM704" s="104" t="e">
        <f t="shared" si="334"/>
        <v>#N/A</v>
      </c>
      <c r="AN704" s="104" t="e">
        <f t="shared" si="318"/>
        <v>#N/A</v>
      </c>
      <c r="AO704" s="104" t="e">
        <f t="shared" si="319"/>
        <v>#N/A</v>
      </c>
      <c r="AP704" s="104" t="e">
        <f t="shared" si="320"/>
        <v>#N/A</v>
      </c>
      <c r="AQ704" s="104" t="e">
        <f t="shared" si="321"/>
        <v>#N/A</v>
      </c>
      <c r="AR704" s="105" t="str">
        <f t="shared" si="313"/>
        <v/>
      </c>
      <c r="AS704" s="105" t="str">
        <f t="shared" si="314"/>
        <v/>
      </c>
      <c r="AT704" s="108" t="str">
        <f t="shared" si="315"/>
        <v/>
      </c>
      <c r="AU704" s="108" t="str">
        <f t="shared" si="316"/>
        <v/>
      </c>
      <c r="AV704" s="107" t="str">
        <f>IF(ISNUMBER(O704),IF(VLOOKUP($A704,Stand!C:J,8,FALSE)="Short",AT704,AU704),"")</f>
        <v/>
      </c>
      <c r="AW704" s="109" t="str">
        <f t="shared" si="322"/>
        <v/>
      </c>
      <c r="AX704" s="109" t="str">
        <f t="shared" si="323"/>
        <v/>
      </c>
      <c r="AY704" s="112" t="str">
        <f>IF(ISNUMBER(O704),IF(AND(VLOOKUP($D704,Merchantability!$B:$C,2,0)="Yes",$E704&gt;=VLOOKUP($D704,Merchantability!$B:$D,3,0),$E704&lt;=VLOOKUP($D704,Merchantability!$B:$E,4,0)),(AV704*O704)*(1-$H704/100),""),"")</f>
        <v/>
      </c>
      <c r="AZ704" s="116"/>
      <c r="BA704" s="116"/>
      <c r="BB704" s="116"/>
      <c r="BE704" s="62"/>
      <c r="BF704" s="63"/>
    </row>
    <row r="705" spans="1:58" ht="12.75" customHeight="1" x14ac:dyDescent="0.25">
      <c r="A705" s="313"/>
      <c r="B705" s="328"/>
      <c r="C705" s="329"/>
      <c r="D705" s="328"/>
      <c r="E705" s="330"/>
      <c r="F705" s="328"/>
      <c r="G705" s="329"/>
      <c r="H705" s="329"/>
      <c r="I705" s="328"/>
      <c r="J705" s="383"/>
      <c r="K705" s="329"/>
      <c r="L705" s="329"/>
      <c r="M705" s="76"/>
      <c r="N705" s="103" t="str">
        <f>IF(A705="","",VLOOKUP(A705,Stand!C:K,9,0))</f>
        <v/>
      </c>
      <c r="O705" s="104" t="str">
        <f t="shared" si="308"/>
        <v/>
      </c>
      <c r="P705" s="105" t="str">
        <f t="shared" si="309"/>
        <v/>
      </c>
      <c r="Q705" s="105" t="str">
        <f t="shared" si="324"/>
        <v/>
      </c>
      <c r="R705" s="103" t="str">
        <f t="shared" si="310"/>
        <v/>
      </c>
      <c r="S705" s="103" t="str">
        <f t="shared" si="311"/>
        <v/>
      </c>
      <c r="T705" s="106" t="str">
        <f t="shared" si="325"/>
        <v/>
      </c>
      <c r="U705" s="106" t="str">
        <f t="shared" si="326"/>
        <v/>
      </c>
      <c r="V705" s="106" t="str">
        <f t="shared" si="327"/>
        <v/>
      </c>
      <c r="W705" s="105" t="str">
        <f t="shared" si="312"/>
        <v/>
      </c>
      <c r="X705" s="104" t="str">
        <f t="shared" si="317"/>
        <v/>
      </c>
      <c r="Y705" s="104" t="str">
        <f t="array" ref="Y705">IFERROR(IF(ISNUMBER(O705),IF(COUNT(IF(A705=$A$2:$A$2427,IF(D705=$D$2:$D$2427,IF($X$2:$X$2427&gt;0,1))))&gt;0,SUM(IF(A705=$A$2:$A$2427,IF(D705=$D$2:$D$2427,$X$2:$X$2427)))/COUNT(IF(A705=$A$2:$A$2427,IF(D705=$D$2:$D$2427,IF(ISNUMBER($X$2:$X$2427),1)))),0),""),0)</f>
        <v/>
      </c>
      <c r="Z705" s="104" t="str">
        <f>IF(ISNUMBER(O705),IF(I705&gt;0,(10^(VLOOKUP(D705,'Species Codes'!B:C,2,0)+VLOOKUP(D705,'Species Codes'!B:D,3,0)*LOG(E705)+VLOOKUP(D705,'Species Codes'!B:E,4,0)*LOG(I705))),0),"")</f>
        <v/>
      </c>
      <c r="AA705" s="104" t="str">
        <f>IFERROR((VLOOKUP(D705,'Species Codes'!B:G,6,0)*Z705)/2000,"")</f>
        <v/>
      </c>
      <c r="AB705" s="104" t="e">
        <f>IF(Z705&gt;0,((IF(OR(D705="DF",D705="RA")=TRUE,EXP(VLOOKUP(D705,'Species Codes'!B:I,8,0)+VLOOKUP(D705,'Species Codes'!B:J,9,0)*(LN((E705*2.54)))),IF(OR(D705="PY",D705="RC",D705="WH",D705="NF")=TRUE,VLOOKUP(D705,'Species Codes'!B:I,8,0)+VLOOKUP(D705,'Species Codes'!B:J,9,0)*((E705*2.54)^2)*(I705*0.3048),IF(OR(D705="MD",D705="BM",D705="GA")=TRUE,((VLOOKUP(D705,'Species Codes'!B:I,8,0)*(((((E705*2.54)+VLOOKUP(D705,'Species Codes'!B:J,9,0))/VLOOKUP(D705,'Species Codes'!B:K,10,0))^VLOOKUP(D705,'Species Codes'!B:L,11,0))*((I705*0.3048)^VLOOKUP(D705,'Species Codes'!B:M,12,0))))-(VLOOKUP(D705,'Species Codes'!B:I,8,0)*((((E705*2.54)^VLOOKUP(D705,'Species Codes'!B:L,11,0))*((I705*0.3048)^VLOOKUP(D705,'Species Codes'!B:M,12,0))))))*35.3*VLOOKUP(D705,'Species Codes'!B:G,6,0)/2.2046,VLOOKUP(D705,'Species Codes'!B:I,8,0)+VLOOKUP(D705,'Species Codes'!B:J,9,0)*(((E705*2.54)/100)^2)*(I705*0.3048)))))*0.0011023),0)</f>
        <v>#N/A</v>
      </c>
      <c r="AC705" s="104" t="e">
        <f>IF(Z705&gt;0,((IF(OR(D705="RA",D705="OA",D705="OT",D705="UN",D705="PC"),EXP(VLOOKUP(D705,'Species Codes'!B:O,14,0)+VLOOKUP(D705,'Species Codes'!B:P,15,0)*LN((E705*2.54)))-EXP(VLOOKUP(D705,'Species Codes'!B:O,14,0)+VLOOKUP(D705,'Species Codes'!B:P,15,0)*LN((E705*2.54)))*(1/(VLOOKUP(D705,'Species Codes'!B:Q,16,0)+VLOOKUP(D705,'Species Codes'!B:R,17,0)*((E705*2.54)^VLOOKUP(D705,'Species Codes'!B:S,18,0)))),IF(OR(D705="BM",D705="MD",D705="OA"),EXP(VLOOKUP(D705,'Species Codes'!B:O,14,0)+VLOOKUP(D705,'Species Codes'!B:P,15,0)*LN((E705*2.54)))*(1-(1/(VLOOKUP(D705,'Species Codes'!B:Q,16,0)+VLOOKUP(D705,'Species Codes'!B:R,17,0)*((E705*2.54)^VLOOKUP(D705,'Species Codes'!B:S,18,0)))))/1000,IF(D705="DF",EXP(VLOOKUP(D705,'Species Codes'!B:O,14,0)+VLOOKUP(D705,'Species Codes'!B:P,15,0)*LN((E705*2.54))),VLOOKUP(D705,'Species Codes'!B:O,14,0)+VLOOKUP(D705,'Species Codes'!B:P,15,0)*(((E705*2.54)/100)^2)*(I705*0.3048)))))*0.0011023),0)</f>
        <v>#N/A</v>
      </c>
      <c r="AD705" s="104" t="e">
        <f t="shared" si="328"/>
        <v>#N/A</v>
      </c>
      <c r="AE705" s="104" t="e">
        <f t="shared" si="329"/>
        <v>#N/A</v>
      </c>
      <c r="AF705" s="104" t="e">
        <f>IF(AND(VLOOKUP($D705,Merchantability!$B:$C,2,0)="Yes",$E705&gt;=VLOOKUP($D705,Merchantability!$B:$D,3,0),$E705&lt;=VLOOKUP($D705,Merchantability!$B:$E,4,0)),AA705,0)</f>
        <v>#N/A</v>
      </c>
      <c r="AG705" s="104" t="e">
        <f>IF(AND(VLOOKUP($D705,Merchantability!$B:$C,2,0)="Yes",$E705&gt;=VLOOKUP($D705,Merchantability!$B:$D,3,0),$E705&lt;=VLOOKUP($D705,Merchantability!$B:$E,4,0)),AB705,0)</f>
        <v>#N/A</v>
      </c>
      <c r="AH705" s="104" t="e">
        <f>IF(AND(VLOOKUP($D705,Merchantability!$B:$C,2,0)="Yes",$E705&gt;=VLOOKUP($D705,Merchantability!$B:$D,3,0),$E705&lt;=VLOOKUP($D705,Merchantability!$B:$E,4,0)),AC705,0)</f>
        <v>#N/A</v>
      </c>
      <c r="AI705" s="104" t="e">
        <f t="shared" si="330"/>
        <v>#N/A</v>
      </c>
      <c r="AJ705" s="104" t="e">
        <f t="shared" si="331"/>
        <v>#VALUE!</v>
      </c>
      <c r="AK705" s="104" t="e">
        <f t="shared" si="332"/>
        <v>#N/A</v>
      </c>
      <c r="AL705" s="104" t="e">
        <f t="shared" si="333"/>
        <v>#N/A</v>
      </c>
      <c r="AM705" s="104" t="e">
        <f t="shared" si="334"/>
        <v>#N/A</v>
      </c>
      <c r="AN705" s="104" t="e">
        <f t="shared" si="318"/>
        <v>#N/A</v>
      </c>
      <c r="AO705" s="104" t="e">
        <f t="shared" si="319"/>
        <v>#N/A</v>
      </c>
      <c r="AP705" s="104" t="e">
        <f t="shared" si="320"/>
        <v>#N/A</v>
      </c>
      <c r="AQ705" s="104" t="e">
        <f t="shared" si="321"/>
        <v>#N/A</v>
      </c>
      <c r="AR705" s="105" t="str">
        <f t="shared" si="313"/>
        <v/>
      </c>
      <c r="AS705" s="105" t="str">
        <f t="shared" si="314"/>
        <v/>
      </c>
      <c r="AT705" s="108" t="str">
        <f t="shared" si="315"/>
        <v/>
      </c>
      <c r="AU705" s="108" t="str">
        <f t="shared" si="316"/>
        <v/>
      </c>
      <c r="AV705" s="107" t="str">
        <f>IF(ISNUMBER(O705),IF(VLOOKUP($A705,Stand!C:J,8,FALSE)="Short",AT705,AU705),"")</f>
        <v/>
      </c>
      <c r="AW705" s="109" t="str">
        <f t="shared" si="322"/>
        <v/>
      </c>
      <c r="AX705" s="109" t="str">
        <f t="shared" si="323"/>
        <v/>
      </c>
      <c r="AY705" s="112" t="str">
        <f>IF(ISNUMBER(O705),IF(AND(VLOOKUP($D705,Merchantability!$B:$C,2,0)="Yes",$E705&gt;=VLOOKUP($D705,Merchantability!$B:$D,3,0),$E705&lt;=VLOOKUP($D705,Merchantability!$B:$E,4,0)),(AV705*O705)*(1-$H705/100),""),"")</f>
        <v/>
      </c>
      <c r="AZ705" s="116"/>
      <c r="BA705" s="116"/>
      <c r="BB705" s="116"/>
      <c r="BE705" s="62"/>
      <c r="BF705" s="63"/>
    </row>
    <row r="706" spans="1:58" ht="12.75" customHeight="1" x14ac:dyDescent="0.25">
      <c r="A706" s="313"/>
      <c r="B706" s="328"/>
      <c r="C706" s="329"/>
      <c r="D706" s="328"/>
      <c r="E706" s="330"/>
      <c r="F706" s="328"/>
      <c r="G706" s="329"/>
      <c r="H706" s="329"/>
      <c r="I706" s="328"/>
      <c r="J706" s="383"/>
      <c r="K706" s="329"/>
      <c r="L706" s="329"/>
      <c r="M706" s="76"/>
      <c r="N706" s="103" t="str">
        <f>IF(A706="","",VLOOKUP(A706,Stand!C:K,9,0))</f>
        <v/>
      </c>
      <c r="O706" s="104" t="str">
        <f t="shared" ref="O706:O769" si="335">IF(E706&gt;0,IF(G706&gt;1,G706*(43560/(N706^2*3.14)),43560/(N706^2*3.14)),"")</f>
        <v/>
      </c>
      <c r="P706" s="105" t="str">
        <f t="shared" ref="P706:P769" si="336">IF(ISNUMBER(O706),E706*O706,"")</f>
        <v/>
      </c>
      <c r="Q706" s="105" t="str">
        <f t="shared" si="324"/>
        <v/>
      </c>
      <c r="R706" s="103" t="str">
        <f t="shared" ref="R706:R769" si="337">IF(ISNUMBER(O706),E706^2*0.005454*O706,"")</f>
        <v/>
      </c>
      <c r="S706" s="103" t="str">
        <f t="shared" ref="S706:S769" si="338">IF(ISNUMBER(O706),(E706/10)^1.7*O706,"")</f>
        <v/>
      </c>
      <c r="T706" s="106" t="str">
        <f t="shared" si="325"/>
        <v/>
      </c>
      <c r="U706" s="106" t="str">
        <f t="shared" si="326"/>
        <v/>
      </c>
      <c r="V706" s="106" t="str">
        <f t="shared" si="327"/>
        <v/>
      </c>
      <c r="W706" s="105" t="str">
        <f t="shared" ref="W706:W769" si="339">IF(AND(ISNUMBER(O706),I706&gt;0),I706/(E706/12),"")</f>
        <v/>
      </c>
      <c r="X706" s="104" t="str">
        <f t="shared" si="317"/>
        <v/>
      </c>
      <c r="Y706" s="104" t="str">
        <f t="array" ref="Y706">IFERROR(IF(ISNUMBER(O706),IF(COUNT(IF(A706=$A$2:$A$2427,IF(D706=$D$2:$D$2427,IF($X$2:$X$2427&gt;0,1))))&gt;0,SUM(IF(A706=$A$2:$A$2427,IF(D706=$D$2:$D$2427,$X$2:$X$2427)))/COUNT(IF(A706=$A$2:$A$2427,IF(D706=$D$2:$D$2427,IF(ISNUMBER($X$2:$X$2427),1)))),0),""),0)</f>
        <v/>
      </c>
      <c r="Z706" s="104" t="str">
        <f>IF(ISNUMBER(O706),IF(I706&gt;0,(10^(VLOOKUP(D706,'Species Codes'!B:C,2,0)+VLOOKUP(D706,'Species Codes'!B:D,3,0)*LOG(E706)+VLOOKUP(D706,'Species Codes'!B:E,4,0)*LOG(I706))),0),"")</f>
        <v/>
      </c>
      <c r="AA706" s="104" t="str">
        <f>IFERROR((VLOOKUP(D706,'Species Codes'!B:G,6,0)*Z706)/2000,"")</f>
        <v/>
      </c>
      <c r="AB706" s="104" t="e">
        <f>IF(Z706&gt;0,((IF(OR(D706="DF",D706="RA")=TRUE,EXP(VLOOKUP(D706,'Species Codes'!B:I,8,0)+VLOOKUP(D706,'Species Codes'!B:J,9,0)*(LN((E706*2.54)))),IF(OR(D706="PY",D706="RC",D706="WH",D706="NF")=TRUE,VLOOKUP(D706,'Species Codes'!B:I,8,0)+VLOOKUP(D706,'Species Codes'!B:J,9,0)*((E706*2.54)^2)*(I706*0.3048),IF(OR(D706="MD",D706="BM",D706="GA")=TRUE,((VLOOKUP(D706,'Species Codes'!B:I,8,0)*(((((E706*2.54)+VLOOKUP(D706,'Species Codes'!B:J,9,0))/VLOOKUP(D706,'Species Codes'!B:K,10,0))^VLOOKUP(D706,'Species Codes'!B:L,11,0))*((I706*0.3048)^VLOOKUP(D706,'Species Codes'!B:M,12,0))))-(VLOOKUP(D706,'Species Codes'!B:I,8,0)*((((E706*2.54)^VLOOKUP(D706,'Species Codes'!B:L,11,0))*((I706*0.3048)^VLOOKUP(D706,'Species Codes'!B:M,12,0))))))*35.3*VLOOKUP(D706,'Species Codes'!B:G,6,0)/2.2046,VLOOKUP(D706,'Species Codes'!B:I,8,0)+VLOOKUP(D706,'Species Codes'!B:J,9,0)*(((E706*2.54)/100)^2)*(I706*0.3048)))))*0.0011023),0)</f>
        <v>#N/A</v>
      </c>
      <c r="AC706" s="104" t="e">
        <f>IF(Z706&gt;0,((IF(OR(D706="RA",D706="OA",D706="OT",D706="UN",D706="PC"),EXP(VLOOKUP(D706,'Species Codes'!B:O,14,0)+VLOOKUP(D706,'Species Codes'!B:P,15,0)*LN((E706*2.54)))-EXP(VLOOKUP(D706,'Species Codes'!B:O,14,0)+VLOOKUP(D706,'Species Codes'!B:P,15,0)*LN((E706*2.54)))*(1/(VLOOKUP(D706,'Species Codes'!B:Q,16,0)+VLOOKUP(D706,'Species Codes'!B:R,17,0)*((E706*2.54)^VLOOKUP(D706,'Species Codes'!B:S,18,0)))),IF(OR(D706="BM",D706="MD",D706="OA"),EXP(VLOOKUP(D706,'Species Codes'!B:O,14,0)+VLOOKUP(D706,'Species Codes'!B:P,15,0)*LN((E706*2.54)))*(1-(1/(VLOOKUP(D706,'Species Codes'!B:Q,16,0)+VLOOKUP(D706,'Species Codes'!B:R,17,0)*((E706*2.54)^VLOOKUP(D706,'Species Codes'!B:S,18,0)))))/1000,IF(D706="DF",EXP(VLOOKUP(D706,'Species Codes'!B:O,14,0)+VLOOKUP(D706,'Species Codes'!B:P,15,0)*LN((E706*2.54))),VLOOKUP(D706,'Species Codes'!B:O,14,0)+VLOOKUP(D706,'Species Codes'!B:P,15,0)*(((E706*2.54)/100)^2)*(I706*0.3048)))))*0.0011023),0)</f>
        <v>#N/A</v>
      </c>
      <c r="AD706" s="104" t="e">
        <f t="shared" si="328"/>
        <v>#N/A</v>
      </c>
      <c r="AE706" s="104" t="e">
        <f t="shared" si="329"/>
        <v>#N/A</v>
      </c>
      <c r="AF706" s="104" t="e">
        <f>IF(AND(VLOOKUP($D706,Merchantability!$B:$C,2,0)="Yes",$E706&gt;=VLOOKUP($D706,Merchantability!$B:$D,3,0),$E706&lt;=VLOOKUP($D706,Merchantability!$B:$E,4,0)),AA706,0)</f>
        <v>#N/A</v>
      </c>
      <c r="AG706" s="104" t="e">
        <f>IF(AND(VLOOKUP($D706,Merchantability!$B:$C,2,0)="Yes",$E706&gt;=VLOOKUP($D706,Merchantability!$B:$D,3,0),$E706&lt;=VLOOKUP($D706,Merchantability!$B:$E,4,0)),AB706,0)</f>
        <v>#N/A</v>
      </c>
      <c r="AH706" s="104" t="e">
        <f>IF(AND(VLOOKUP($D706,Merchantability!$B:$C,2,0)="Yes",$E706&gt;=VLOOKUP($D706,Merchantability!$B:$D,3,0),$E706&lt;=VLOOKUP($D706,Merchantability!$B:$E,4,0)),AC706,0)</f>
        <v>#N/A</v>
      </c>
      <c r="AI706" s="104" t="e">
        <f t="shared" si="330"/>
        <v>#N/A</v>
      </c>
      <c r="AJ706" s="104" t="e">
        <f t="shared" si="331"/>
        <v>#VALUE!</v>
      </c>
      <c r="AK706" s="104" t="e">
        <f t="shared" si="332"/>
        <v>#N/A</v>
      </c>
      <c r="AL706" s="104" t="e">
        <f t="shared" si="333"/>
        <v>#N/A</v>
      </c>
      <c r="AM706" s="104" t="e">
        <f t="shared" si="334"/>
        <v>#N/A</v>
      </c>
      <c r="AN706" s="104" t="e">
        <f t="shared" si="318"/>
        <v>#N/A</v>
      </c>
      <c r="AO706" s="104" t="e">
        <f t="shared" si="319"/>
        <v>#N/A</v>
      </c>
      <c r="AP706" s="104" t="e">
        <f t="shared" si="320"/>
        <v>#N/A</v>
      </c>
      <c r="AQ706" s="104" t="e">
        <f t="shared" si="321"/>
        <v>#N/A</v>
      </c>
      <c r="AR706" s="105" t="str">
        <f t="shared" ref="AR706:AR769" si="340">IF(ISNUMBER(O706),IF(Y706&gt;0,((Y706*(E706^2*0.005454-0.087266))/0.912733),0),"")</f>
        <v/>
      </c>
      <c r="AS706" s="105" t="str">
        <f t="shared" ref="AS706:AS769" si="341">IF(ISNUMBER(O706),AR706*(0.993-0.993*(0.62^(E706-6))),"")</f>
        <v/>
      </c>
      <c r="AT706" s="108" t="str">
        <f t="shared" ref="AT706:AT769" si="342">IF(ISNUMBER(O706),IF(AS706&gt;0,IF(Y706&gt;0,(AS706*10^(0.174439+0.117594*(LOG(E706,10))*(LOG(Y706/0.912733,10))-8.210585/E706^2+0.236693*(LOG(Y706/0.912733,10))-0.00001345*(Y706/0.912733)^2-0.00001937*E706^2)),0),0),"")</f>
        <v/>
      </c>
      <c r="AU706" s="108" t="str">
        <f t="shared" ref="AU706:AU769" si="343">IF(ISNUMBER(O706),IF(AS706&gt;0,IF(Y706&gt;0,AT706*(1.001491-(6.92497/Y706)+(0.00001351*(E706^2))),0),0),"")</f>
        <v/>
      </c>
      <c r="AV706" s="107" t="str">
        <f>IF(ISNUMBER(O706),IF(VLOOKUP($A706,Stand!C:J,8,FALSE)="Short",AT706,AU706),"")</f>
        <v/>
      </c>
      <c r="AW706" s="109" t="str">
        <f t="shared" si="322"/>
        <v/>
      </c>
      <c r="AX706" s="109" t="str">
        <f t="shared" si="323"/>
        <v/>
      </c>
      <c r="AY706" s="112" t="str">
        <f>IF(ISNUMBER(O706),IF(AND(VLOOKUP($D706,Merchantability!$B:$C,2,0)="Yes",$E706&gt;=VLOOKUP($D706,Merchantability!$B:$D,3,0),$E706&lt;=VLOOKUP($D706,Merchantability!$B:$E,4,0)),(AV706*O706)*(1-$H706/100),""),"")</f>
        <v/>
      </c>
      <c r="AZ706" s="116"/>
      <c r="BA706" s="116"/>
      <c r="BB706" s="116"/>
      <c r="BE706" s="62"/>
      <c r="BF706" s="63"/>
    </row>
    <row r="707" spans="1:58" ht="12.75" customHeight="1" x14ac:dyDescent="0.25">
      <c r="A707" s="313"/>
      <c r="B707" s="328"/>
      <c r="C707" s="329"/>
      <c r="D707" s="328"/>
      <c r="E707" s="330"/>
      <c r="F707" s="328"/>
      <c r="G707" s="329"/>
      <c r="H707" s="329"/>
      <c r="I707" s="328"/>
      <c r="J707" s="383"/>
      <c r="K707" s="329"/>
      <c r="L707" s="329"/>
      <c r="M707" s="76"/>
      <c r="N707" s="103" t="str">
        <f>IF(A707="","",VLOOKUP(A707,Stand!C:K,9,0))</f>
        <v/>
      </c>
      <c r="O707" s="104" t="str">
        <f t="shared" si="335"/>
        <v/>
      </c>
      <c r="P707" s="105" t="str">
        <f t="shared" si="336"/>
        <v/>
      </c>
      <c r="Q707" s="105" t="str">
        <f t="shared" si="324"/>
        <v/>
      </c>
      <c r="R707" s="103" t="str">
        <f t="shared" si="337"/>
        <v/>
      </c>
      <c r="S707" s="103" t="str">
        <f t="shared" si="338"/>
        <v/>
      </c>
      <c r="T707" s="106" t="str">
        <f t="shared" si="325"/>
        <v/>
      </c>
      <c r="U707" s="106" t="str">
        <f t="shared" si="326"/>
        <v/>
      </c>
      <c r="V707" s="106" t="str">
        <f t="shared" si="327"/>
        <v/>
      </c>
      <c r="W707" s="105" t="str">
        <f t="shared" si="339"/>
        <v/>
      </c>
      <c r="X707" s="104" t="str">
        <f t="shared" ref="X707:X770" si="344">IF(ISNUMBER(O707),IF(I707&gt;0,IF(E707&gt;0,(0.912733*Z707)/(1.033*(1+1.382937*EXP(-4.015292*E707/10))*((E707^2)*0.005454+0.087266)-0.174533),""),""),"")</f>
        <v/>
      </c>
      <c r="Y707" s="104" t="str">
        <f t="array" ref="Y707">IFERROR(IF(ISNUMBER(O707),IF(COUNT(IF(A707=$A$2:$A$2427,IF(D707=$D$2:$D$2427,IF($X$2:$X$2427&gt;0,1))))&gt;0,SUM(IF(A707=$A$2:$A$2427,IF(D707=$D$2:$D$2427,$X$2:$X$2427)))/COUNT(IF(A707=$A$2:$A$2427,IF(D707=$D$2:$D$2427,IF(ISNUMBER($X$2:$X$2427),1)))),0),""),0)</f>
        <v/>
      </c>
      <c r="Z707" s="104" t="str">
        <f>IF(ISNUMBER(O707),IF(I707&gt;0,(10^(VLOOKUP(D707,'Species Codes'!B:C,2,0)+VLOOKUP(D707,'Species Codes'!B:D,3,0)*LOG(E707)+VLOOKUP(D707,'Species Codes'!B:E,4,0)*LOG(I707))),0),"")</f>
        <v/>
      </c>
      <c r="AA707" s="104" t="str">
        <f>IFERROR((VLOOKUP(D707,'Species Codes'!B:G,6,0)*Z707)/2000,"")</f>
        <v/>
      </c>
      <c r="AB707" s="104" t="e">
        <f>IF(Z707&gt;0,((IF(OR(D707="DF",D707="RA")=TRUE,EXP(VLOOKUP(D707,'Species Codes'!B:I,8,0)+VLOOKUP(D707,'Species Codes'!B:J,9,0)*(LN((E707*2.54)))),IF(OR(D707="PY",D707="RC",D707="WH",D707="NF")=TRUE,VLOOKUP(D707,'Species Codes'!B:I,8,0)+VLOOKUP(D707,'Species Codes'!B:J,9,0)*((E707*2.54)^2)*(I707*0.3048),IF(OR(D707="MD",D707="BM",D707="GA")=TRUE,((VLOOKUP(D707,'Species Codes'!B:I,8,0)*(((((E707*2.54)+VLOOKUP(D707,'Species Codes'!B:J,9,0))/VLOOKUP(D707,'Species Codes'!B:K,10,0))^VLOOKUP(D707,'Species Codes'!B:L,11,0))*((I707*0.3048)^VLOOKUP(D707,'Species Codes'!B:M,12,0))))-(VLOOKUP(D707,'Species Codes'!B:I,8,0)*((((E707*2.54)^VLOOKUP(D707,'Species Codes'!B:L,11,0))*((I707*0.3048)^VLOOKUP(D707,'Species Codes'!B:M,12,0))))))*35.3*VLOOKUP(D707,'Species Codes'!B:G,6,0)/2.2046,VLOOKUP(D707,'Species Codes'!B:I,8,0)+VLOOKUP(D707,'Species Codes'!B:J,9,0)*(((E707*2.54)/100)^2)*(I707*0.3048)))))*0.0011023),0)</f>
        <v>#N/A</v>
      </c>
      <c r="AC707" s="104" t="e">
        <f>IF(Z707&gt;0,((IF(OR(D707="RA",D707="OA",D707="OT",D707="UN",D707="PC"),EXP(VLOOKUP(D707,'Species Codes'!B:O,14,0)+VLOOKUP(D707,'Species Codes'!B:P,15,0)*LN((E707*2.54)))-EXP(VLOOKUP(D707,'Species Codes'!B:O,14,0)+VLOOKUP(D707,'Species Codes'!B:P,15,0)*LN((E707*2.54)))*(1/(VLOOKUP(D707,'Species Codes'!B:Q,16,0)+VLOOKUP(D707,'Species Codes'!B:R,17,0)*((E707*2.54)^VLOOKUP(D707,'Species Codes'!B:S,18,0)))),IF(OR(D707="BM",D707="MD",D707="OA"),EXP(VLOOKUP(D707,'Species Codes'!B:O,14,0)+VLOOKUP(D707,'Species Codes'!B:P,15,0)*LN((E707*2.54)))*(1-(1/(VLOOKUP(D707,'Species Codes'!B:Q,16,0)+VLOOKUP(D707,'Species Codes'!B:R,17,0)*((E707*2.54)^VLOOKUP(D707,'Species Codes'!B:S,18,0)))))/1000,IF(D707="DF",EXP(VLOOKUP(D707,'Species Codes'!B:O,14,0)+VLOOKUP(D707,'Species Codes'!B:P,15,0)*LN((E707*2.54))),VLOOKUP(D707,'Species Codes'!B:O,14,0)+VLOOKUP(D707,'Species Codes'!B:P,15,0)*(((E707*2.54)/100)^2)*(I707*0.3048)))))*0.0011023),0)</f>
        <v>#N/A</v>
      </c>
      <c r="AD707" s="104" t="e">
        <f t="shared" si="328"/>
        <v>#N/A</v>
      </c>
      <c r="AE707" s="104" t="e">
        <f t="shared" si="329"/>
        <v>#N/A</v>
      </c>
      <c r="AF707" s="104" t="e">
        <f>IF(AND(VLOOKUP($D707,Merchantability!$B:$C,2,0)="Yes",$E707&gt;=VLOOKUP($D707,Merchantability!$B:$D,3,0),$E707&lt;=VLOOKUP($D707,Merchantability!$B:$E,4,0)),AA707,0)</f>
        <v>#N/A</v>
      </c>
      <c r="AG707" s="104" t="e">
        <f>IF(AND(VLOOKUP($D707,Merchantability!$B:$C,2,0)="Yes",$E707&gt;=VLOOKUP($D707,Merchantability!$B:$D,3,0),$E707&lt;=VLOOKUP($D707,Merchantability!$B:$E,4,0)),AB707,0)</f>
        <v>#N/A</v>
      </c>
      <c r="AH707" s="104" t="e">
        <f>IF(AND(VLOOKUP($D707,Merchantability!$B:$C,2,0)="Yes",$E707&gt;=VLOOKUP($D707,Merchantability!$B:$D,3,0),$E707&lt;=VLOOKUP($D707,Merchantability!$B:$E,4,0)),AC707,0)</f>
        <v>#N/A</v>
      </c>
      <c r="AI707" s="104" t="e">
        <f t="shared" si="330"/>
        <v>#N/A</v>
      </c>
      <c r="AJ707" s="104" t="e">
        <f t="shared" si="331"/>
        <v>#VALUE!</v>
      </c>
      <c r="AK707" s="104" t="e">
        <f t="shared" si="332"/>
        <v>#N/A</v>
      </c>
      <c r="AL707" s="104" t="e">
        <f t="shared" si="333"/>
        <v>#N/A</v>
      </c>
      <c r="AM707" s="104" t="e">
        <f t="shared" si="334"/>
        <v>#N/A</v>
      </c>
      <c r="AN707" s="104" t="e">
        <f t="shared" ref="AN707:AN770" si="345">AF707*$O707</f>
        <v>#N/A</v>
      </c>
      <c r="AO707" s="104" t="e">
        <f t="shared" ref="AO707:AO770" si="346">AG707*$O707</f>
        <v>#N/A</v>
      </c>
      <c r="AP707" s="104" t="e">
        <f t="shared" ref="AP707:AP770" si="347">AH707*$O707</f>
        <v>#N/A</v>
      </c>
      <c r="AQ707" s="104" t="e">
        <f t="shared" ref="AQ707:AQ770" si="348">SUM(AN707:AP707)</f>
        <v>#N/A</v>
      </c>
      <c r="AR707" s="105" t="str">
        <f t="shared" si="340"/>
        <v/>
      </c>
      <c r="AS707" s="105" t="str">
        <f t="shared" si="341"/>
        <v/>
      </c>
      <c r="AT707" s="108" t="str">
        <f t="shared" si="342"/>
        <v/>
      </c>
      <c r="AU707" s="108" t="str">
        <f t="shared" si="343"/>
        <v/>
      </c>
      <c r="AV707" s="107" t="str">
        <f>IF(ISNUMBER(O707),IF(VLOOKUP($A707,Stand!C:J,8,FALSE)="Short",AT707,AU707),"")</f>
        <v/>
      </c>
      <c r="AW707" s="109" t="str">
        <f t="shared" ref="AW707:AW770" si="349">IF(ISNUMBER(O707),AV707*O707,"")</f>
        <v/>
      </c>
      <c r="AX707" s="109" t="str">
        <f t="shared" ref="AX707:AX770" si="350">IF(ISNUMBER(O707),AW707*(1-$H707/100),"")</f>
        <v/>
      </c>
      <c r="AY707" s="112" t="str">
        <f>IF(ISNUMBER(O707),IF(AND(VLOOKUP($D707,Merchantability!$B:$C,2,0)="Yes",$E707&gt;=VLOOKUP($D707,Merchantability!$B:$D,3,0),$E707&lt;=VLOOKUP($D707,Merchantability!$B:$E,4,0)),(AV707*O707)*(1-$H707/100),""),"")</f>
        <v/>
      </c>
      <c r="AZ707" s="116"/>
      <c r="BA707" s="116"/>
      <c r="BB707" s="116"/>
      <c r="BE707" s="62"/>
      <c r="BF707" s="63"/>
    </row>
    <row r="708" spans="1:58" ht="12.75" customHeight="1" x14ac:dyDescent="0.25">
      <c r="A708" s="313"/>
      <c r="B708" s="328"/>
      <c r="C708" s="329"/>
      <c r="D708" s="328"/>
      <c r="E708" s="330"/>
      <c r="F708" s="328"/>
      <c r="G708" s="329"/>
      <c r="H708" s="329"/>
      <c r="I708" s="328"/>
      <c r="J708" s="383"/>
      <c r="K708" s="329"/>
      <c r="L708" s="329"/>
      <c r="M708" s="76"/>
      <c r="N708" s="103" t="str">
        <f>IF(A708="","",VLOOKUP(A708,Stand!C:K,9,0))</f>
        <v/>
      </c>
      <c r="O708" s="104" t="str">
        <f t="shared" si="335"/>
        <v/>
      </c>
      <c r="P708" s="105" t="str">
        <f t="shared" si="336"/>
        <v/>
      </c>
      <c r="Q708" s="105" t="str">
        <f t="shared" si="324"/>
        <v/>
      </c>
      <c r="R708" s="103" t="str">
        <f t="shared" si="337"/>
        <v/>
      </c>
      <c r="S708" s="103" t="str">
        <f t="shared" si="338"/>
        <v/>
      </c>
      <c r="T708" s="106" t="str">
        <f t="shared" si="325"/>
        <v/>
      </c>
      <c r="U708" s="106" t="str">
        <f t="shared" si="326"/>
        <v/>
      </c>
      <c r="V708" s="106" t="str">
        <f t="shared" si="327"/>
        <v/>
      </c>
      <c r="W708" s="105" t="str">
        <f t="shared" si="339"/>
        <v/>
      </c>
      <c r="X708" s="104" t="str">
        <f t="shared" si="344"/>
        <v/>
      </c>
      <c r="Y708" s="104" t="str">
        <f t="array" ref="Y708">IFERROR(IF(ISNUMBER(O708),IF(COUNT(IF(A708=$A$2:$A$2427,IF(D708=$D$2:$D$2427,IF($X$2:$X$2427&gt;0,1))))&gt;0,SUM(IF(A708=$A$2:$A$2427,IF(D708=$D$2:$D$2427,$X$2:$X$2427)))/COUNT(IF(A708=$A$2:$A$2427,IF(D708=$D$2:$D$2427,IF(ISNUMBER($X$2:$X$2427),1)))),0),""),0)</f>
        <v/>
      </c>
      <c r="Z708" s="104" t="str">
        <f>IF(ISNUMBER(O708),IF(I708&gt;0,(10^(VLOOKUP(D708,'Species Codes'!B:C,2,0)+VLOOKUP(D708,'Species Codes'!B:D,3,0)*LOG(E708)+VLOOKUP(D708,'Species Codes'!B:E,4,0)*LOG(I708))),0),"")</f>
        <v/>
      </c>
      <c r="AA708" s="104" t="str">
        <f>IFERROR((VLOOKUP(D708,'Species Codes'!B:G,6,0)*Z708)/2000,"")</f>
        <v/>
      </c>
      <c r="AB708" s="104" t="e">
        <f>IF(Z708&gt;0,((IF(OR(D708="DF",D708="RA")=TRUE,EXP(VLOOKUP(D708,'Species Codes'!B:I,8,0)+VLOOKUP(D708,'Species Codes'!B:J,9,0)*(LN((E708*2.54)))),IF(OR(D708="PY",D708="RC",D708="WH",D708="NF")=TRUE,VLOOKUP(D708,'Species Codes'!B:I,8,0)+VLOOKUP(D708,'Species Codes'!B:J,9,0)*((E708*2.54)^2)*(I708*0.3048),IF(OR(D708="MD",D708="BM",D708="GA")=TRUE,((VLOOKUP(D708,'Species Codes'!B:I,8,0)*(((((E708*2.54)+VLOOKUP(D708,'Species Codes'!B:J,9,0))/VLOOKUP(D708,'Species Codes'!B:K,10,0))^VLOOKUP(D708,'Species Codes'!B:L,11,0))*((I708*0.3048)^VLOOKUP(D708,'Species Codes'!B:M,12,0))))-(VLOOKUP(D708,'Species Codes'!B:I,8,0)*((((E708*2.54)^VLOOKUP(D708,'Species Codes'!B:L,11,0))*((I708*0.3048)^VLOOKUP(D708,'Species Codes'!B:M,12,0))))))*35.3*VLOOKUP(D708,'Species Codes'!B:G,6,0)/2.2046,VLOOKUP(D708,'Species Codes'!B:I,8,0)+VLOOKUP(D708,'Species Codes'!B:J,9,0)*(((E708*2.54)/100)^2)*(I708*0.3048)))))*0.0011023),0)</f>
        <v>#N/A</v>
      </c>
      <c r="AC708" s="104" t="e">
        <f>IF(Z708&gt;0,((IF(OR(D708="RA",D708="OA",D708="OT",D708="UN",D708="PC"),EXP(VLOOKUP(D708,'Species Codes'!B:O,14,0)+VLOOKUP(D708,'Species Codes'!B:P,15,0)*LN((E708*2.54)))-EXP(VLOOKUP(D708,'Species Codes'!B:O,14,0)+VLOOKUP(D708,'Species Codes'!B:P,15,0)*LN((E708*2.54)))*(1/(VLOOKUP(D708,'Species Codes'!B:Q,16,0)+VLOOKUP(D708,'Species Codes'!B:R,17,0)*((E708*2.54)^VLOOKUP(D708,'Species Codes'!B:S,18,0)))),IF(OR(D708="BM",D708="MD",D708="OA"),EXP(VLOOKUP(D708,'Species Codes'!B:O,14,0)+VLOOKUP(D708,'Species Codes'!B:P,15,0)*LN((E708*2.54)))*(1-(1/(VLOOKUP(D708,'Species Codes'!B:Q,16,0)+VLOOKUP(D708,'Species Codes'!B:R,17,0)*((E708*2.54)^VLOOKUP(D708,'Species Codes'!B:S,18,0)))))/1000,IF(D708="DF",EXP(VLOOKUP(D708,'Species Codes'!B:O,14,0)+VLOOKUP(D708,'Species Codes'!B:P,15,0)*LN((E708*2.54))),VLOOKUP(D708,'Species Codes'!B:O,14,0)+VLOOKUP(D708,'Species Codes'!B:P,15,0)*(((E708*2.54)/100)^2)*(I708*0.3048)))))*0.0011023),0)</f>
        <v>#N/A</v>
      </c>
      <c r="AD708" s="104" t="e">
        <f t="shared" si="328"/>
        <v>#N/A</v>
      </c>
      <c r="AE708" s="104" t="e">
        <f t="shared" si="329"/>
        <v>#N/A</v>
      </c>
      <c r="AF708" s="104" t="e">
        <f>IF(AND(VLOOKUP($D708,Merchantability!$B:$C,2,0)="Yes",$E708&gt;=VLOOKUP($D708,Merchantability!$B:$D,3,0),$E708&lt;=VLOOKUP($D708,Merchantability!$B:$E,4,0)),AA708,0)</f>
        <v>#N/A</v>
      </c>
      <c r="AG708" s="104" t="e">
        <f>IF(AND(VLOOKUP($D708,Merchantability!$B:$C,2,0)="Yes",$E708&gt;=VLOOKUP($D708,Merchantability!$B:$D,3,0),$E708&lt;=VLOOKUP($D708,Merchantability!$B:$E,4,0)),AB708,0)</f>
        <v>#N/A</v>
      </c>
      <c r="AH708" s="104" t="e">
        <f>IF(AND(VLOOKUP($D708,Merchantability!$B:$C,2,0)="Yes",$E708&gt;=VLOOKUP($D708,Merchantability!$B:$D,3,0),$E708&lt;=VLOOKUP($D708,Merchantability!$B:$E,4,0)),AC708,0)</f>
        <v>#N/A</v>
      </c>
      <c r="AI708" s="104" t="e">
        <f t="shared" si="330"/>
        <v>#N/A</v>
      </c>
      <c r="AJ708" s="104" t="e">
        <f t="shared" si="331"/>
        <v>#VALUE!</v>
      </c>
      <c r="AK708" s="104" t="e">
        <f t="shared" si="332"/>
        <v>#N/A</v>
      </c>
      <c r="AL708" s="104" t="e">
        <f t="shared" si="333"/>
        <v>#N/A</v>
      </c>
      <c r="AM708" s="104" t="e">
        <f t="shared" si="334"/>
        <v>#N/A</v>
      </c>
      <c r="AN708" s="104" t="e">
        <f t="shared" si="345"/>
        <v>#N/A</v>
      </c>
      <c r="AO708" s="104" t="e">
        <f t="shared" si="346"/>
        <v>#N/A</v>
      </c>
      <c r="AP708" s="104" t="e">
        <f t="shared" si="347"/>
        <v>#N/A</v>
      </c>
      <c r="AQ708" s="104" t="e">
        <f t="shared" si="348"/>
        <v>#N/A</v>
      </c>
      <c r="AR708" s="105" t="str">
        <f t="shared" si="340"/>
        <v/>
      </c>
      <c r="AS708" s="105" t="str">
        <f t="shared" si="341"/>
        <v/>
      </c>
      <c r="AT708" s="108" t="str">
        <f t="shared" si="342"/>
        <v/>
      </c>
      <c r="AU708" s="108" t="str">
        <f t="shared" si="343"/>
        <v/>
      </c>
      <c r="AV708" s="107" t="str">
        <f>IF(ISNUMBER(O708),IF(VLOOKUP($A708,Stand!C:J,8,FALSE)="Short",AT708,AU708),"")</f>
        <v/>
      </c>
      <c r="AW708" s="109" t="str">
        <f t="shared" si="349"/>
        <v/>
      </c>
      <c r="AX708" s="109" t="str">
        <f t="shared" si="350"/>
        <v/>
      </c>
      <c r="AY708" s="112" t="str">
        <f>IF(ISNUMBER(O708),IF(AND(VLOOKUP($D708,Merchantability!$B:$C,2,0)="Yes",$E708&gt;=VLOOKUP($D708,Merchantability!$B:$D,3,0),$E708&lt;=VLOOKUP($D708,Merchantability!$B:$E,4,0)),(AV708*O708)*(1-$H708/100),""),"")</f>
        <v/>
      </c>
      <c r="AZ708" s="116"/>
      <c r="BA708" s="116"/>
      <c r="BB708" s="116"/>
      <c r="BE708" s="62"/>
      <c r="BF708" s="63"/>
    </row>
    <row r="709" spans="1:58" ht="12.75" customHeight="1" x14ac:dyDescent="0.25">
      <c r="A709" s="313"/>
      <c r="B709" s="328"/>
      <c r="C709" s="329"/>
      <c r="D709" s="328"/>
      <c r="E709" s="330"/>
      <c r="F709" s="328"/>
      <c r="G709" s="329"/>
      <c r="H709" s="329"/>
      <c r="I709" s="328"/>
      <c r="J709" s="383"/>
      <c r="K709" s="329"/>
      <c r="L709" s="329"/>
      <c r="M709" s="76"/>
      <c r="N709" s="103" t="str">
        <f>IF(A709="","",VLOOKUP(A709,Stand!C:K,9,0))</f>
        <v/>
      </c>
      <c r="O709" s="104" t="str">
        <f t="shared" si="335"/>
        <v/>
      </c>
      <c r="P709" s="105" t="str">
        <f t="shared" si="336"/>
        <v/>
      </c>
      <c r="Q709" s="105" t="str">
        <f t="shared" si="324"/>
        <v/>
      </c>
      <c r="R709" s="103" t="str">
        <f t="shared" si="337"/>
        <v/>
      </c>
      <c r="S709" s="103" t="str">
        <f t="shared" si="338"/>
        <v/>
      </c>
      <c r="T709" s="106" t="str">
        <f t="shared" si="325"/>
        <v/>
      </c>
      <c r="U709" s="106" t="str">
        <f t="shared" si="326"/>
        <v/>
      </c>
      <c r="V709" s="106" t="str">
        <f t="shared" si="327"/>
        <v/>
      </c>
      <c r="W709" s="105" t="str">
        <f t="shared" si="339"/>
        <v/>
      </c>
      <c r="X709" s="104" t="str">
        <f t="shared" si="344"/>
        <v/>
      </c>
      <c r="Y709" s="104" t="str">
        <f t="array" ref="Y709">IFERROR(IF(ISNUMBER(O709),IF(COUNT(IF(A709=$A$2:$A$2427,IF(D709=$D$2:$D$2427,IF($X$2:$X$2427&gt;0,1))))&gt;0,SUM(IF(A709=$A$2:$A$2427,IF(D709=$D$2:$D$2427,$X$2:$X$2427)))/COUNT(IF(A709=$A$2:$A$2427,IF(D709=$D$2:$D$2427,IF(ISNUMBER($X$2:$X$2427),1)))),0),""),0)</f>
        <v/>
      </c>
      <c r="Z709" s="104" t="str">
        <f>IF(ISNUMBER(O709),IF(I709&gt;0,(10^(VLOOKUP(D709,'Species Codes'!B:C,2,0)+VLOOKUP(D709,'Species Codes'!B:D,3,0)*LOG(E709)+VLOOKUP(D709,'Species Codes'!B:E,4,0)*LOG(I709))),0),"")</f>
        <v/>
      </c>
      <c r="AA709" s="104" t="str">
        <f>IFERROR((VLOOKUP(D709,'Species Codes'!B:G,6,0)*Z709)/2000,"")</f>
        <v/>
      </c>
      <c r="AB709" s="104" t="e">
        <f>IF(Z709&gt;0,((IF(OR(D709="DF",D709="RA")=TRUE,EXP(VLOOKUP(D709,'Species Codes'!B:I,8,0)+VLOOKUP(D709,'Species Codes'!B:J,9,0)*(LN((E709*2.54)))),IF(OR(D709="PY",D709="RC",D709="WH",D709="NF")=TRUE,VLOOKUP(D709,'Species Codes'!B:I,8,0)+VLOOKUP(D709,'Species Codes'!B:J,9,0)*((E709*2.54)^2)*(I709*0.3048),IF(OR(D709="MD",D709="BM",D709="GA")=TRUE,((VLOOKUP(D709,'Species Codes'!B:I,8,0)*(((((E709*2.54)+VLOOKUP(D709,'Species Codes'!B:J,9,0))/VLOOKUP(D709,'Species Codes'!B:K,10,0))^VLOOKUP(D709,'Species Codes'!B:L,11,0))*((I709*0.3048)^VLOOKUP(D709,'Species Codes'!B:M,12,0))))-(VLOOKUP(D709,'Species Codes'!B:I,8,0)*((((E709*2.54)^VLOOKUP(D709,'Species Codes'!B:L,11,0))*((I709*0.3048)^VLOOKUP(D709,'Species Codes'!B:M,12,0))))))*35.3*VLOOKUP(D709,'Species Codes'!B:G,6,0)/2.2046,VLOOKUP(D709,'Species Codes'!B:I,8,0)+VLOOKUP(D709,'Species Codes'!B:J,9,0)*(((E709*2.54)/100)^2)*(I709*0.3048)))))*0.0011023),0)</f>
        <v>#N/A</v>
      </c>
      <c r="AC709" s="104" t="e">
        <f>IF(Z709&gt;0,((IF(OR(D709="RA",D709="OA",D709="OT",D709="UN",D709="PC"),EXP(VLOOKUP(D709,'Species Codes'!B:O,14,0)+VLOOKUP(D709,'Species Codes'!B:P,15,0)*LN((E709*2.54)))-EXP(VLOOKUP(D709,'Species Codes'!B:O,14,0)+VLOOKUP(D709,'Species Codes'!B:P,15,0)*LN((E709*2.54)))*(1/(VLOOKUP(D709,'Species Codes'!B:Q,16,0)+VLOOKUP(D709,'Species Codes'!B:R,17,0)*((E709*2.54)^VLOOKUP(D709,'Species Codes'!B:S,18,0)))),IF(OR(D709="BM",D709="MD",D709="OA"),EXP(VLOOKUP(D709,'Species Codes'!B:O,14,0)+VLOOKUP(D709,'Species Codes'!B:P,15,0)*LN((E709*2.54)))*(1-(1/(VLOOKUP(D709,'Species Codes'!B:Q,16,0)+VLOOKUP(D709,'Species Codes'!B:R,17,0)*((E709*2.54)^VLOOKUP(D709,'Species Codes'!B:S,18,0)))))/1000,IF(D709="DF",EXP(VLOOKUP(D709,'Species Codes'!B:O,14,0)+VLOOKUP(D709,'Species Codes'!B:P,15,0)*LN((E709*2.54))),VLOOKUP(D709,'Species Codes'!B:O,14,0)+VLOOKUP(D709,'Species Codes'!B:P,15,0)*(((E709*2.54)/100)^2)*(I709*0.3048)))))*0.0011023),0)</f>
        <v>#N/A</v>
      </c>
      <c r="AD709" s="104" t="e">
        <f t="shared" si="328"/>
        <v>#N/A</v>
      </c>
      <c r="AE709" s="104" t="e">
        <f t="shared" si="329"/>
        <v>#N/A</v>
      </c>
      <c r="AF709" s="104" t="e">
        <f>IF(AND(VLOOKUP($D709,Merchantability!$B:$C,2,0)="Yes",$E709&gt;=VLOOKUP($D709,Merchantability!$B:$D,3,0),$E709&lt;=VLOOKUP($D709,Merchantability!$B:$E,4,0)),AA709,0)</f>
        <v>#N/A</v>
      </c>
      <c r="AG709" s="104" t="e">
        <f>IF(AND(VLOOKUP($D709,Merchantability!$B:$C,2,0)="Yes",$E709&gt;=VLOOKUP($D709,Merchantability!$B:$D,3,0),$E709&lt;=VLOOKUP($D709,Merchantability!$B:$E,4,0)),AB709,0)</f>
        <v>#N/A</v>
      </c>
      <c r="AH709" s="104" t="e">
        <f>IF(AND(VLOOKUP($D709,Merchantability!$B:$C,2,0)="Yes",$E709&gt;=VLOOKUP($D709,Merchantability!$B:$D,3,0),$E709&lt;=VLOOKUP($D709,Merchantability!$B:$E,4,0)),AC709,0)</f>
        <v>#N/A</v>
      </c>
      <c r="AI709" s="104" t="e">
        <f t="shared" si="330"/>
        <v>#N/A</v>
      </c>
      <c r="AJ709" s="104" t="e">
        <f t="shared" si="331"/>
        <v>#VALUE!</v>
      </c>
      <c r="AK709" s="104" t="e">
        <f t="shared" si="332"/>
        <v>#N/A</v>
      </c>
      <c r="AL709" s="104" t="e">
        <f t="shared" si="333"/>
        <v>#N/A</v>
      </c>
      <c r="AM709" s="104" t="e">
        <f t="shared" si="334"/>
        <v>#N/A</v>
      </c>
      <c r="AN709" s="104" t="e">
        <f t="shared" si="345"/>
        <v>#N/A</v>
      </c>
      <c r="AO709" s="104" t="e">
        <f t="shared" si="346"/>
        <v>#N/A</v>
      </c>
      <c r="AP709" s="104" t="e">
        <f t="shared" si="347"/>
        <v>#N/A</v>
      </c>
      <c r="AQ709" s="104" t="e">
        <f t="shared" si="348"/>
        <v>#N/A</v>
      </c>
      <c r="AR709" s="105" t="str">
        <f t="shared" si="340"/>
        <v/>
      </c>
      <c r="AS709" s="105" t="str">
        <f t="shared" si="341"/>
        <v/>
      </c>
      <c r="AT709" s="108" t="str">
        <f t="shared" si="342"/>
        <v/>
      </c>
      <c r="AU709" s="108" t="str">
        <f t="shared" si="343"/>
        <v/>
      </c>
      <c r="AV709" s="107" t="str">
        <f>IF(ISNUMBER(O709),IF(VLOOKUP($A709,Stand!C:J,8,FALSE)="Short",AT709,AU709),"")</f>
        <v/>
      </c>
      <c r="AW709" s="109" t="str">
        <f t="shared" si="349"/>
        <v/>
      </c>
      <c r="AX709" s="109" t="str">
        <f t="shared" si="350"/>
        <v/>
      </c>
      <c r="AY709" s="112" t="str">
        <f>IF(ISNUMBER(O709),IF(AND(VLOOKUP($D709,Merchantability!$B:$C,2,0)="Yes",$E709&gt;=VLOOKUP($D709,Merchantability!$B:$D,3,0),$E709&lt;=VLOOKUP($D709,Merchantability!$B:$E,4,0)),(AV709*O709)*(1-$H709/100),""),"")</f>
        <v/>
      </c>
      <c r="AZ709" s="116"/>
      <c r="BA709" s="116"/>
      <c r="BB709" s="116"/>
      <c r="BE709" s="62"/>
      <c r="BF709" s="63"/>
    </row>
    <row r="710" spans="1:58" ht="12.75" customHeight="1" x14ac:dyDescent="0.25">
      <c r="A710" s="313"/>
      <c r="B710" s="328"/>
      <c r="C710" s="329"/>
      <c r="D710" s="328"/>
      <c r="E710" s="330"/>
      <c r="F710" s="328"/>
      <c r="G710" s="329"/>
      <c r="H710" s="329"/>
      <c r="I710" s="328"/>
      <c r="J710" s="383"/>
      <c r="K710" s="329"/>
      <c r="L710" s="329"/>
      <c r="M710" s="76"/>
      <c r="N710" s="103" t="str">
        <f>IF(A710="","",VLOOKUP(A710,Stand!C:K,9,0))</f>
        <v/>
      </c>
      <c r="O710" s="104" t="str">
        <f t="shared" si="335"/>
        <v/>
      </c>
      <c r="P710" s="105" t="str">
        <f t="shared" si="336"/>
        <v/>
      </c>
      <c r="Q710" s="105" t="str">
        <f t="shared" si="324"/>
        <v/>
      </c>
      <c r="R710" s="103" t="str">
        <f t="shared" si="337"/>
        <v/>
      </c>
      <c r="S710" s="103" t="str">
        <f t="shared" si="338"/>
        <v/>
      </c>
      <c r="T710" s="106" t="str">
        <f t="shared" si="325"/>
        <v/>
      </c>
      <c r="U710" s="106" t="str">
        <f t="shared" si="326"/>
        <v/>
      </c>
      <c r="V710" s="106" t="str">
        <f t="shared" si="327"/>
        <v/>
      </c>
      <c r="W710" s="105" t="str">
        <f t="shared" si="339"/>
        <v/>
      </c>
      <c r="X710" s="104" t="str">
        <f t="shared" si="344"/>
        <v/>
      </c>
      <c r="Y710" s="104" t="str">
        <f t="array" ref="Y710">IFERROR(IF(ISNUMBER(O710),IF(COUNT(IF(A710=$A$2:$A$2427,IF(D710=$D$2:$D$2427,IF($X$2:$X$2427&gt;0,1))))&gt;0,SUM(IF(A710=$A$2:$A$2427,IF(D710=$D$2:$D$2427,$X$2:$X$2427)))/COUNT(IF(A710=$A$2:$A$2427,IF(D710=$D$2:$D$2427,IF(ISNUMBER($X$2:$X$2427),1)))),0),""),0)</f>
        <v/>
      </c>
      <c r="Z710" s="104" t="str">
        <f>IF(ISNUMBER(O710),IF(I710&gt;0,(10^(VLOOKUP(D710,'Species Codes'!B:C,2,0)+VLOOKUP(D710,'Species Codes'!B:D,3,0)*LOG(E710)+VLOOKUP(D710,'Species Codes'!B:E,4,0)*LOG(I710))),0),"")</f>
        <v/>
      </c>
      <c r="AA710" s="104" t="str">
        <f>IFERROR((VLOOKUP(D710,'Species Codes'!B:G,6,0)*Z710)/2000,"")</f>
        <v/>
      </c>
      <c r="AB710" s="104" t="e">
        <f>IF(Z710&gt;0,((IF(OR(D710="DF",D710="RA")=TRUE,EXP(VLOOKUP(D710,'Species Codes'!B:I,8,0)+VLOOKUP(D710,'Species Codes'!B:J,9,0)*(LN((E710*2.54)))),IF(OR(D710="PY",D710="RC",D710="WH",D710="NF")=TRUE,VLOOKUP(D710,'Species Codes'!B:I,8,0)+VLOOKUP(D710,'Species Codes'!B:J,9,0)*((E710*2.54)^2)*(I710*0.3048),IF(OR(D710="MD",D710="BM",D710="GA")=TRUE,((VLOOKUP(D710,'Species Codes'!B:I,8,0)*(((((E710*2.54)+VLOOKUP(D710,'Species Codes'!B:J,9,0))/VLOOKUP(D710,'Species Codes'!B:K,10,0))^VLOOKUP(D710,'Species Codes'!B:L,11,0))*((I710*0.3048)^VLOOKUP(D710,'Species Codes'!B:M,12,0))))-(VLOOKUP(D710,'Species Codes'!B:I,8,0)*((((E710*2.54)^VLOOKUP(D710,'Species Codes'!B:L,11,0))*((I710*0.3048)^VLOOKUP(D710,'Species Codes'!B:M,12,0))))))*35.3*VLOOKUP(D710,'Species Codes'!B:G,6,0)/2.2046,VLOOKUP(D710,'Species Codes'!B:I,8,0)+VLOOKUP(D710,'Species Codes'!B:J,9,0)*(((E710*2.54)/100)^2)*(I710*0.3048)))))*0.0011023),0)</f>
        <v>#N/A</v>
      </c>
      <c r="AC710" s="104" t="e">
        <f>IF(Z710&gt;0,((IF(OR(D710="RA",D710="OA",D710="OT",D710="UN",D710="PC"),EXP(VLOOKUP(D710,'Species Codes'!B:O,14,0)+VLOOKUP(D710,'Species Codes'!B:P,15,0)*LN((E710*2.54)))-EXP(VLOOKUP(D710,'Species Codes'!B:O,14,0)+VLOOKUP(D710,'Species Codes'!B:P,15,0)*LN((E710*2.54)))*(1/(VLOOKUP(D710,'Species Codes'!B:Q,16,0)+VLOOKUP(D710,'Species Codes'!B:R,17,0)*((E710*2.54)^VLOOKUP(D710,'Species Codes'!B:S,18,0)))),IF(OR(D710="BM",D710="MD",D710="OA"),EXP(VLOOKUP(D710,'Species Codes'!B:O,14,0)+VLOOKUP(D710,'Species Codes'!B:P,15,0)*LN((E710*2.54)))*(1-(1/(VLOOKUP(D710,'Species Codes'!B:Q,16,0)+VLOOKUP(D710,'Species Codes'!B:R,17,0)*((E710*2.54)^VLOOKUP(D710,'Species Codes'!B:S,18,0)))))/1000,IF(D710="DF",EXP(VLOOKUP(D710,'Species Codes'!B:O,14,0)+VLOOKUP(D710,'Species Codes'!B:P,15,0)*LN((E710*2.54))),VLOOKUP(D710,'Species Codes'!B:O,14,0)+VLOOKUP(D710,'Species Codes'!B:P,15,0)*(((E710*2.54)/100)^2)*(I710*0.3048)))))*0.0011023),0)</f>
        <v>#N/A</v>
      </c>
      <c r="AD710" s="104" t="e">
        <f t="shared" si="328"/>
        <v>#N/A</v>
      </c>
      <c r="AE710" s="104" t="e">
        <f t="shared" si="329"/>
        <v>#N/A</v>
      </c>
      <c r="AF710" s="104" t="e">
        <f>IF(AND(VLOOKUP($D710,Merchantability!$B:$C,2,0)="Yes",$E710&gt;=VLOOKUP($D710,Merchantability!$B:$D,3,0),$E710&lt;=VLOOKUP($D710,Merchantability!$B:$E,4,0)),AA710,0)</f>
        <v>#N/A</v>
      </c>
      <c r="AG710" s="104" t="e">
        <f>IF(AND(VLOOKUP($D710,Merchantability!$B:$C,2,0)="Yes",$E710&gt;=VLOOKUP($D710,Merchantability!$B:$D,3,0),$E710&lt;=VLOOKUP($D710,Merchantability!$B:$E,4,0)),AB710,0)</f>
        <v>#N/A</v>
      </c>
      <c r="AH710" s="104" t="e">
        <f>IF(AND(VLOOKUP($D710,Merchantability!$B:$C,2,0)="Yes",$E710&gt;=VLOOKUP($D710,Merchantability!$B:$D,3,0),$E710&lt;=VLOOKUP($D710,Merchantability!$B:$E,4,0)),AC710,0)</f>
        <v>#N/A</v>
      </c>
      <c r="AI710" s="104" t="e">
        <f t="shared" si="330"/>
        <v>#N/A</v>
      </c>
      <c r="AJ710" s="104" t="e">
        <f t="shared" si="331"/>
        <v>#VALUE!</v>
      </c>
      <c r="AK710" s="104" t="e">
        <f t="shared" si="332"/>
        <v>#N/A</v>
      </c>
      <c r="AL710" s="104" t="e">
        <f t="shared" si="333"/>
        <v>#N/A</v>
      </c>
      <c r="AM710" s="104" t="e">
        <f t="shared" si="334"/>
        <v>#N/A</v>
      </c>
      <c r="AN710" s="104" t="e">
        <f t="shared" si="345"/>
        <v>#N/A</v>
      </c>
      <c r="AO710" s="104" t="e">
        <f t="shared" si="346"/>
        <v>#N/A</v>
      </c>
      <c r="AP710" s="104" t="e">
        <f t="shared" si="347"/>
        <v>#N/A</v>
      </c>
      <c r="AQ710" s="104" t="e">
        <f t="shared" si="348"/>
        <v>#N/A</v>
      </c>
      <c r="AR710" s="105" t="str">
        <f t="shared" si="340"/>
        <v/>
      </c>
      <c r="AS710" s="105" t="str">
        <f t="shared" si="341"/>
        <v/>
      </c>
      <c r="AT710" s="108" t="str">
        <f t="shared" si="342"/>
        <v/>
      </c>
      <c r="AU710" s="108" t="str">
        <f t="shared" si="343"/>
        <v/>
      </c>
      <c r="AV710" s="107" t="str">
        <f>IF(ISNUMBER(O710),IF(VLOOKUP($A710,Stand!C:J,8,FALSE)="Short",AT710,AU710),"")</f>
        <v/>
      </c>
      <c r="AW710" s="109" t="str">
        <f t="shared" si="349"/>
        <v/>
      </c>
      <c r="AX710" s="109" t="str">
        <f t="shared" si="350"/>
        <v/>
      </c>
      <c r="AY710" s="112" t="str">
        <f>IF(ISNUMBER(O710),IF(AND(VLOOKUP($D710,Merchantability!$B:$C,2,0)="Yes",$E710&gt;=VLOOKUP($D710,Merchantability!$B:$D,3,0),$E710&lt;=VLOOKUP($D710,Merchantability!$B:$E,4,0)),(AV710*O710)*(1-$H710/100),""),"")</f>
        <v/>
      </c>
      <c r="AZ710" s="116"/>
      <c r="BA710" s="116"/>
      <c r="BB710" s="116"/>
      <c r="BE710" s="62"/>
      <c r="BF710" s="63"/>
    </row>
    <row r="711" spans="1:58" ht="12.75" customHeight="1" x14ac:dyDescent="0.25">
      <c r="A711" s="313"/>
      <c r="B711" s="328"/>
      <c r="C711" s="329"/>
      <c r="D711" s="328"/>
      <c r="E711" s="330"/>
      <c r="F711" s="328"/>
      <c r="G711" s="329"/>
      <c r="H711" s="329"/>
      <c r="I711" s="328"/>
      <c r="J711" s="383"/>
      <c r="K711" s="329"/>
      <c r="L711" s="329"/>
      <c r="M711" s="76"/>
      <c r="N711" s="103" t="str">
        <f>IF(A711="","",VLOOKUP(A711,Stand!C:K,9,0))</f>
        <v/>
      </c>
      <c r="O711" s="104" t="str">
        <f t="shared" si="335"/>
        <v/>
      </c>
      <c r="P711" s="105" t="str">
        <f t="shared" si="336"/>
        <v/>
      </c>
      <c r="Q711" s="105" t="str">
        <f t="shared" si="324"/>
        <v/>
      </c>
      <c r="R711" s="103" t="str">
        <f t="shared" si="337"/>
        <v/>
      </c>
      <c r="S711" s="103" t="str">
        <f t="shared" si="338"/>
        <v/>
      </c>
      <c r="T711" s="106" t="str">
        <f t="shared" si="325"/>
        <v/>
      </c>
      <c r="U711" s="106" t="str">
        <f t="shared" si="326"/>
        <v/>
      </c>
      <c r="V711" s="106" t="str">
        <f t="shared" si="327"/>
        <v/>
      </c>
      <c r="W711" s="105" t="str">
        <f t="shared" si="339"/>
        <v/>
      </c>
      <c r="X711" s="104" t="str">
        <f t="shared" si="344"/>
        <v/>
      </c>
      <c r="Y711" s="104" t="str">
        <f t="array" ref="Y711">IFERROR(IF(ISNUMBER(O711),IF(COUNT(IF(A711=$A$2:$A$2427,IF(D711=$D$2:$D$2427,IF($X$2:$X$2427&gt;0,1))))&gt;0,SUM(IF(A711=$A$2:$A$2427,IF(D711=$D$2:$D$2427,$X$2:$X$2427)))/COUNT(IF(A711=$A$2:$A$2427,IF(D711=$D$2:$D$2427,IF(ISNUMBER($X$2:$X$2427),1)))),0),""),0)</f>
        <v/>
      </c>
      <c r="Z711" s="104" t="str">
        <f>IF(ISNUMBER(O711),IF(I711&gt;0,(10^(VLOOKUP(D711,'Species Codes'!B:C,2,0)+VLOOKUP(D711,'Species Codes'!B:D,3,0)*LOG(E711)+VLOOKUP(D711,'Species Codes'!B:E,4,0)*LOG(I711))),0),"")</f>
        <v/>
      </c>
      <c r="AA711" s="104" t="str">
        <f>IFERROR((VLOOKUP(D711,'Species Codes'!B:G,6,0)*Z711)/2000,"")</f>
        <v/>
      </c>
      <c r="AB711" s="104" t="e">
        <f>IF(Z711&gt;0,((IF(OR(D711="DF",D711="RA")=TRUE,EXP(VLOOKUP(D711,'Species Codes'!B:I,8,0)+VLOOKUP(D711,'Species Codes'!B:J,9,0)*(LN((E711*2.54)))),IF(OR(D711="PY",D711="RC",D711="WH",D711="NF")=TRUE,VLOOKUP(D711,'Species Codes'!B:I,8,0)+VLOOKUP(D711,'Species Codes'!B:J,9,0)*((E711*2.54)^2)*(I711*0.3048),IF(OR(D711="MD",D711="BM",D711="GA")=TRUE,((VLOOKUP(D711,'Species Codes'!B:I,8,0)*(((((E711*2.54)+VLOOKUP(D711,'Species Codes'!B:J,9,0))/VLOOKUP(D711,'Species Codes'!B:K,10,0))^VLOOKUP(D711,'Species Codes'!B:L,11,0))*((I711*0.3048)^VLOOKUP(D711,'Species Codes'!B:M,12,0))))-(VLOOKUP(D711,'Species Codes'!B:I,8,0)*((((E711*2.54)^VLOOKUP(D711,'Species Codes'!B:L,11,0))*((I711*0.3048)^VLOOKUP(D711,'Species Codes'!B:M,12,0))))))*35.3*VLOOKUP(D711,'Species Codes'!B:G,6,0)/2.2046,VLOOKUP(D711,'Species Codes'!B:I,8,0)+VLOOKUP(D711,'Species Codes'!B:J,9,0)*(((E711*2.54)/100)^2)*(I711*0.3048)))))*0.0011023),0)</f>
        <v>#N/A</v>
      </c>
      <c r="AC711" s="104" t="e">
        <f>IF(Z711&gt;0,((IF(OR(D711="RA",D711="OA",D711="OT",D711="UN",D711="PC"),EXP(VLOOKUP(D711,'Species Codes'!B:O,14,0)+VLOOKUP(D711,'Species Codes'!B:P,15,0)*LN((E711*2.54)))-EXP(VLOOKUP(D711,'Species Codes'!B:O,14,0)+VLOOKUP(D711,'Species Codes'!B:P,15,0)*LN((E711*2.54)))*(1/(VLOOKUP(D711,'Species Codes'!B:Q,16,0)+VLOOKUP(D711,'Species Codes'!B:R,17,0)*((E711*2.54)^VLOOKUP(D711,'Species Codes'!B:S,18,0)))),IF(OR(D711="BM",D711="MD",D711="OA"),EXP(VLOOKUP(D711,'Species Codes'!B:O,14,0)+VLOOKUP(D711,'Species Codes'!B:P,15,0)*LN((E711*2.54)))*(1-(1/(VLOOKUP(D711,'Species Codes'!B:Q,16,0)+VLOOKUP(D711,'Species Codes'!B:R,17,0)*((E711*2.54)^VLOOKUP(D711,'Species Codes'!B:S,18,0)))))/1000,IF(D711="DF",EXP(VLOOKUP(D711,'Species Codes'!B:O,14,0)+VLOOKUP(D711,'Species Codes'!B:P,15,0)*LN((E711*2.54))),VLOOKUP(D711,'Species Codes'!B:O,14,0)+VLOOKUP(D711,'Species Codes'!B:P,15,0)*(((E711*2.54)/100)^2)*(I711*0.3048)))))*0.0011023),0)</f>
        <v>#N/A</v>
      </c>
      <c r="AD711" s="104" t="e">
        <f t="shared" si="328"/>
        <v>#N/A</v>
      </c>
      <c r="AE711" s="104" t="e">
        <f t="shared" si="329"/>
        <v>#N/A</v>
      </c>
      <c r="AF711" s="104" t="e">
        <f>IF(AND(VLOOKUP($D711,Merchantability!$B:$C,2,0)="Yes",$E711&gt;=VLOOKUP($D711,Merchantability!$B:$D,3,0),$E711&lt;=VLOOKUP($D711,Merchantability!$B:$E,4,0)),AA711,0)</f>
        <v>#N/A</v>
      </c>
      <c r="AG711" s="104" t="e">
        <f>IF(AND(VLOOKUP($D711,Merchantability!$B:$C,2,0)="Yes",$E711&gt;=VLOOKUP($D711,Merchantability!$B:$D,3,0),$E711&lt;=VLOOKUP($D711,Merchantability!$B:$E,4,0)),AB711,0)</f>
        <v>#N/A</v>
      </c>
      <c r="AH711" s="104" t="e">
        <f>IF(AND(VLOOKUP($D711,Merchantability!$B:$C,2,0)="Yes",$E711&gt;=VLOOKUP($D711,Merchantability!$B:$D,3,0),$E711&lt;=VLOOKUP($D711,Merchantability!$B:$E,4,0)),AC711,0)</f>
        <v>#N/A</v>
      </c>
      <c r="AI711" s="104" t="e">
        <f t="shared" si="330"/>
        <v>#N/A</v>
      </c>
      <c r="AJ711" s="104" t="e">
        <f t="shared" si="331"/>
        <v>#VALUE!</v>
      </c>
      <c r="AK711" s="104" t="e">
        <f t="shared" si="332"/>
        <v>#N/A</v>
      </c>
      <c r="AL711" s="104" t="e">
        <f t="shared" si="333"/>
        <v>#N/A</v>
      </c>
      <c r="AM711" s="104" t="e">
        <f t="shared" si="334"/>
        <v>#N/A</v>
      </c>
      <c r="AN711" s="104" t="e">
        <f t="shared" si="345"/>
        <v>#N/A</v>
      </c>
      <c r="AO711" s="104" t="e">
        <f t="shared" si="346"/>
        <v>#N/A</v>
      </c>
      <c r="AP711" s="104" t="e">
        <f t="shared" si="347"/>
        <v>#N/A</v>
      </c>
      <c r="AQ711" s="104" t="e">
        <f t="shared" si="348"/>
        <v>#N/A</v>
      </c>
      <c r="AR711" s="105" t="str">
        <f t="shared" si="340"/>
        <v/>
      </c>
      <c r="AS711" s="105" t="str">
        <f t="shared" si="341"/>
        <v/>
      </c>
      <c r="AT711" s="108" t="str">
        <f t="shared" si="342"/>
        <v/>
      </c>
      <c r="AU711" s="108" t="str">
        <f t="shared" si="343"/>
        <v/>
      </c>
      <c r="AV711" s="107" t="str">
        <f>IF(ISNUMBER(O711),IF(VLOOKUP($A711,Stand!C:J,8,FALSE)="Short",AT711,AU711),"")</f>
        <v/>
      </c>
      <c r="AW711" s="109" t="str">
        <f t="shared" si="349"/>
        <v/>
      </c>
      <c r="AX711" s="109" t="str">
        <f t="shared" si="350"/>
        <v/>
      </c>
      <c r="AY711" s="112" t="str">
        <f>IF(ISNUMBER(O711),IF(AND(VLOOKUP($D711,Merchantability!$B:$C,2,0)="Yes",$E711&gt;=VLOOKUP($D711,Merchantability!$B:$D,3,0),$E711&lt;=VLOOKUP($D711,Merchantability!$B:$E,4,0)),(AV711*O711)*(1-$H711/100),""),"")</f>
        <v/>
      </c>
      <c r="AZ711" s="116"/>
      <c r="BA711" s="116"/>
      <c r="BB711" s="116"/>
      <c r="BE711" s="62"/>
      <c r="BF711" s="63"/>
    </row>
    <row r="712" spans="1:58" ht="12.75" customHeight="1" x14ac:dyDescent="0.25">
      <c r="A712" s="313"/>
      <c r="B712" s="328"/>
      <c r="C712" s="329"/>
      <c r="D712" s="328"/>
      <c r="E712" s="330"/>
      <c r="F712" s="328"/>
      <c r="G712" s="329"/>
      <c r="H712" s="329"/>
      <c r="I712" s="328"/>
      <c r="J712" s="383"/>
      <c r="K712" s="329"/>
      <c r="L712" s="329"/>
      <c r="M712" s="76"/>
      <c r="N712" s="103" t="str">
        <f>IF(A712="","",VLOOKUP(A712,Stand!C:K,9,0))</f>
        <v/>
      </c>
      <c r="O712" s="104" t="str">
        <f t="shared" si="335"/>
        <v/>
      </c>
      <c r="P712" s="105" t="str">
        <f t="shared" si="336"/>
        <v/>
      </c>
      <c r="Q712" s="105" t="str">
        <f t="shared" si="324"/>
        <v/>
      </c>
      <c r="R712" s="103" t="str">
        <f t="shared" si="337"/>
        <v/>
      </c>
      <c r="S712" s="103" t="str">
        <f t="shared" si="338"/>
        <v/>
      </c>
      <c r="T712" s="106" t="str">
        <f t="shared" si="325"/>
        <v/>
      </c>
      <c r="U712" s="106" t="str">
        <f t="shared" si="326"/>
        <v/>
      </c>
      <c r="V712" s="106" t="str">
        <f t="shared" si="327"/>
        <v/>
      </c>
      <c r="W712" s="105" t="str">
        <f t="shared" si="339"/>
        <v/>
      </c>
      <c r="X712" s="104" t="str">
        <f t="shared" si="344"/>
        <v/>
      </c>
      <c r="Y712" s="104" t="str">
        <f t="array" ref="Y712">IFERROR(IF(ISNUMBER(O712),IF(COUNT(IF(A712=$A$2:$A$2427,IF(D712=$D$2:$D$2427,IF($X$2:$X$2427&gt;0,1))))&gt;0,SUM(IF(A712=$A$2:$A$2427,IF(D712=$D$2:$D$2427,$X$2:$X$2427)))/COUNT(IF(A712=$A$2:$A$2427,IF(D712=$D$2:$D$2427,IF(ISNUMBER($X$2:$X$2427),1)))),0),""),0)</f>
        <v/>
      </c>
      <c r="Z712" s="104" t="str">
        <f>IF(ISNUMBER(O712),IF(I712&gt;0,(10^(VLOOKUP(D712,'Species Codes'!B:C,2,0)+VLOOKUP(D712,'Species Codes'!B:D,3,0)*LOG(E712)+VLOOKUP(D712,'Species Codes'!B:E,4,0)*LOG(I712))),0),"")</f>
        <v/>
      </c>
      <c r="AA712" s="104" t="str">
        <f>IFERROR((VLOOKUP(D712,'Species Codes'!B:G,6,0)*Z712)/2000,"")</f>
        <v/>
      </c>
      <c r="AB712" s="104" t="e">
        <f>IF(Z712&gt;0,((IF(OR(D712="DF",D712="RA")=TRUE,EXP(VLOOKUP(D712,'Species Codes'!B:I,8,0)+VLOOKUP(D712,'Species Codes'!B:J,9,0)*(LN((E712*2.54)))),IF(OR(D712="PY",D712="RC",D712="WH",D712="NF")=TRUE,VLOOKUP(D712,'Species Codes'!B:I,8,0)+VLOOKUP(D712,'Species Codes'!B:J,9,0)*((E712*2.54)^2)*(I712*0.3048),IF(OR(D712="MD",D712="BM",D712="GA")=TRUE,((VLOOKUP(D712,'Species Codes'!B:I,8,0)*(((((E712*2.54)+VLOOKUP(D712,'Species Codes'!B:J,9,0))/VLOOKUP(D712,'Species Codes'!B:K,10,0))^VLOOKUP(D712,'Species Codes'!B:L,11,0))*((I712*0.3048)^VLOOKUP(D712,'Species Codes'!B:M,12,0))))-(VLOOKUP(D712,'Species Codes'!B:I,8,0)*((((E712*2.54)^VLOOKUP(D712,'Species Codes'!B:L,11,0))*((I712*0.3048)^VLOOKUP(D712,'Species Codes'!B:M,12,0))))))*35.3*VLOOKUP(D712,'Species Codes'!B:G,6,0)/2.2046,VLOOKUP(D712,'Species Codes'!B:I,8,0)+VLOOKUP(D712,'Species Codes'!B:J,9,0)*(((E712*2.54)/100)^2)*(I712*0.3048)))))*0.0011023),0)</f>
        <v>#N/A</v>
      </c>
      <c r="AC712" s="104" t="e">
        <f>IF(Z712&gt;0,((IF(OR(D712="RA",D712="OA",D712="OT",D712="UN",D712="PC"),EXP(VLOOKUP(D712,'Species Codes'!B:O,14,0)+VLOOKUP(D712,'Species Codes'!B:P,15,0)*LN((E712*2.54)))-EXP(VLOOKUP(D712,'Species Codes'!B:O,14,0)+VLOOKUP(D712,'Species Codes'!B:P,15,0)*LN((E712*2.54)))*(1/(VLOOKUP(D712,'Species Codes'!B:Q,16,0)+VLOOKUP(D712,'Species Codes'!B:R,17,0)*((E712*2.54)^VLOOKUP(D712,'Species Codes'!B:S,18,0)))),IF(OR(D712="BM",D712="MD",D712="OA"),EXP(VLOOKUP(D712,'Species Codes'!B:O,14,0)+VLOOKUP(D712,'Species Codes'!B:P,15,0)*LN((E712*2.54)))*(1-(1/(VLOOKUP(D712,'Species Codes'!B:Q,16,0)+VLOOKUP(D712,'Species Codes'!B:R,17,0)*((E712*2.54)^VLOOKUP(D712,'Species Codes'!B:S,18,0)))))/1000,IF(D712="DF",EXP(VLOOKUP(D712,'Species Codes'!B:O,14,0)+VLOOKUP(D712,'Species Codes'!B:P,15,0)*LN((E712*2.54))),VLOOKUP(D712,'Species Codes'!B:O,14,0)+VLOOKUP(D712,'Species Codes'!B:P,15,0)*(((E712*2.54)/100)^2)*(I712*0.3048)))))*0.0011023),0)</f>
        <v>#N/A</v>
      </c>
      <c r="AD712" s="104" t="e">
        <f t="shared" si="328"/>
        <v>#N/A</v>
      </c>
      <c r="AE712" s="104" t="e">
        <f t="shared" si="329"/>
        <v>#N/A</v>
      </c>
      <c r="AF712" s="104" t="e">
        <f>IF(AND(VLOOKUP($D712,Merchantability!$B:$C,2,0)="Yes",$E712&gt;=VLOOKUP($D712,Merchantability!$B:$D,3,0),$E712&lt;=VLOOKUP($D712,Merchantability!$B:$E,4,0)),AA712,0)</f>
        <v>#N/A</v>
      </c>
      <c r="AG712" s="104" t="e">
        <f>IF(AND(VLOOKUP($D712,Merchantability!$B:$C,2,0)="Yes",$E712&gt;=VLOOKUP($D712,Merchantability!$B:$D,3,0),$E712&lt;=VLOOKUP($D712,Merchantability!$B:$E,4,0)),AB712,0)</f>
        <v>#N/A</v>
      </c>
      <c r="AH712" s="104" t="e">
        <f>IF(AND(VLOOKUP($D712,Merchantability!$B:$C,2,0)="Yes",$E712&gt;=VLOOKUP($D712,Merchantability!$B:$D,3,0),$E712&lt;=VLOOKUP($D712,Merchantability!$B:$E,4,0)),AC712,0)</f>
        <v>#N/A</v>
      </c>
      <c r="AI712" s="104" t="e">
        <f t="shared" si="330"/>
        <v>#N/A</v>
      </c>
      <c r="AJ712" s="104" t="e">
        <f t="shared" si="331"/>
        <v>#VALUE!</v>
      </c>
      <c r="AK712" s="104" t="e">
        <f t="shared" si="332"/>
        <v>#N/A</v>
      </c>
      <c r="AL712" s="104" t="e">
        <f t="shared" si="333"/>
        <v>#N/A</v>
      </c>
      <c r="AM712" s="104" t="e">
        <f t="shared" si="334"/>
        <v>#N/A</v>
      </c>
      <c r="AN712" s="104" t="e">
        <f t="shared" si="345"/>
        <v>#N/A</v>
      </c>
      <c r="AO712" s="104" t="e">
        <f t="shared" si="346"/>
        <v>#N/A</v>
      </c>
      <c r="AP712" s="104" t="e">
        <f t="shared" si="347"/>
        <v>#N/A</v>
      </c>
      <c r="AQ712" s="104" t="e">
        <f t="shared" si="348"/>
        <v>#N/A</v>
      </c>
      <c r="AR712" s="105" t="str">
        <f t="shared" si="340"/>
        <v/>
      </c>
      <c r="AS712" s="105" t="str">
        <f t="shared" si="341"/>
        <v/>
      </c>
      <c r="AT712" s="108" t="str">
        <f t="shared" si="342"/>
        <v/>
      </c>
      <c r="AU712" s="108" t="str">
        <f t="shared" si="343"/>
        <v/>
      </c>
      <c r="AV712" s="107" t="str">
        <f>IF(ISNUMBER(O712),IF(VLOOKUP($A712,Stand!C:J,8,FALSE)="Short",AT712,AU712),"")</f>
        <v/>
      </c>
      <c r="AW712" s="109" t="str">
        <f t="shared" si="349"/>
        <v/>
      </c>
      <c r="AX712" s="109" t="str">
        <f t="shared" si="350"/>
        <v/>
      </c>
      <c r="AY712" s="112" t="str">
        <f>IF(ISNUMBER(O712),IF(AND(VLOOKUP($D712,Merchantability!$B:$C,2,0)="Yes",$E712&gt;=VLOOKUP($D712,Merchantability!$B:$D,3,0),$E712&lt;=VLOOKUP($D712,Merchantability!$B:$E,4,0)),(AV712*O712)*(1-$H712/100),""),"")</f>
        <v/>
      </c>
      <c r="AZ712" s="116"/>
      <c r="BA712" s="116"/>
      <c r="BB712" s="116"/>
      <c r="BE712" s="62"/>
      <c r="BF712" s="63"/>
    </row>
    <row r="713" spans="1:58" ht="12.75" customHeight="1" x14ac:dyDescent="0.25">
      <c r="A713" s="313"/>
      <c r="B713" s="328"/>
      <c r="C713" s="329"/>
      <c r="D713" s="328"/>
      <c r="E713" s="330"/>
      <c r="F713" s="328"/>
      <c r="G713" s="329"/>
      <c r="H713" s="329"/>
      <c r="I713" s="328"/>
      <c r="J713" s="383"/>
      <c r="K713" s="329"/>
      <c r="L713" s="329"/>
      <c r="M713" s="76"/>
      <c r="N713" s="103" t="str">
        <f>IF(A713="","",VLOOKUP(A713,Stand!C:K,9,0))</f>
        <v/>
      </c>
      <c r="O713" s="104" t="str">
        <f t="shared" si="335"/>
        <v/>
      </c>
      <c r="P713" s="105" t="str">
        <f t="shared" si="336"/>
        <v/>
      </c>
      <c r="Q713" s="105" t="str">
        <f t="shared" si="324"/>
        <v/>
      </c>
      <c r="R713" s="103" t="str">
        <f t="shared" si="337"/>
        <v/>
      </c>
      <c r="S713" s="103" t="str">
        <f t="shared" si="338"/>
        <v/>
      </c>
      <c r="T713" s="106" t="str">
        <f t="shared" si="325"/>
        <v/>
      </c>
      <c r="U713" s="106" t="str">
        <f t="shared" si="326"/>
        <v/>
      </c>
      <c r="V713" s="106" t="str">
        <f t="shared" si="327"/>
        <v/>
      </c>
      <c r="W713" s="105" t="str">
        <f t="shared" si="339"/>
        <v/>
      </c>
      <c r="X713" s="104" t="str">
        <f t="shared" si="344"/>
        <v/>
      </c>
      <c r="Y713" s="104" t="str">
        <f t="array" ref="Y713">IFERROR(IF(ISNUMBER(O713),IF(COUNT(IF(A713=$A$2:$A$2427,IF(D713=$D$2:$D$2427,IF($X$2:$X$2427&gt;0,1))))&gt;0,SUM(IF(A713=$A$2:$A$2427,IF(D713=$D$2:$D$2427,$X$2:$X$2427)))/COUNT(IF(A713=$A$2:$A$2427,IF(D713=$D$2:$D$2427,IF(ISNUMBER($X$2:$X$2427),1)))),0),""),0)</f>
        <v/>
      </c>
      <c r="Z713" s="104" t="str">
        <f>IF(ISNUMBER(O713),IF(I713&gt;0,(10^(VLOOKUP(D713,'Species Codes'!B:C,2,0)+VLOOKUP(D713,'Species Codes'!B:D,3,0)*LOG(E713)+VLOOKUP(D713,'Species Codes'!B:E,4,0)*LOG(I713))),0),"")</f>
        <v/>
      </c>
      <c r="AA713" s="104" t="str">
        <f>IFERROR((VLOOKUP(D713,'Species Codes'!B:G,6,0)*Z713)/2000,"")</f>
        <v/>
      </c>
      <c r="AB713" s="104" t="e">
        <f>IF(Z713&gt;0,((IF(OR(D713="DF",D713="RA")=TRUE,EXP(VLOOKUP(D713,'Species Codes'!B:I,8,0)+VLOOKUP(D713,'Species Codes'!B:J,9,0)*(LN((E713*2.54)))),IF(OR(D713="PY",D713="RC",D713="WH",D713="NF")=TRUE,VLOOKUP(D713,'Species Codes'!B:I,8,0)+VLOOKUP(D713,'Species Codes'!B:J,9,0)*((E713*2.54)^2)*(I713*0.3048),IF(OR(D713="MD",D713="BM",D713="GA")=TRUE,((VLOOKUP(D713,'Species Codes'!B:I,8,0)*(((((E713*2.54)+VLOOKUP(D713,'Species Codes'!B:J,9,0))/VLOOKUP(D713,'Species Codes'!B:K,10,0))^VLOOKUP(D713,'Species Codes'!B:L,11,0))*((I713*0.3048)^VLOOKUP(D713,'Species Codes'!B:M,12,0))))-(VLOOKUP(D713,'Species Codes'!B:I,8,0)*((((E713*2.54)^VLOOKUP(D713,'Species Codes'!B:L,11,0))*((I713*0.3048)^VLOOKUP(D713,'Species Codes'!B:M,12,0))))))*35.3*VLOOKUP(D713,'Species Codes'!B:G,6,0)/2.2046,VLOOKUP(D713,'Species Codes'!B:I,8,0)+VLOOKUP(D713,'Species Codes'!B:J,9,0)*(((E713*2.54)/100)^2)*(I713*0.3048)))))*0.0011023),0)</f>
        <v>#N/A</v>
      </c>
      <c r="AC713" s="104" t="e">
        <f>IF(Z713&gt;0,((IF(OR(D713="RA",D713="OA",D713="OT",D713="UN",D713="PC"),EXP(VLOOKUP(D713,'Species Codes'!B:O,14,0)+VLOOKUP(D713,'Species Codes'!B:P,15,0)*LN((E713*2.54)))-EXP(VLOOKUP(D713,'Species Codes'!B:O,14,0)+VLOOKUP(D713,'Species Codes'!B:P,15,0)*LN((E713*2.54)))*(1/(VLOOKUP(D713,'Species Codes'!B:Q,16,0)+VLOOKUP(D713,'Species Codes'!B:R,17,0)*((E713*2.54)^VLOOKUP(D713,'Species Codes'!B:S,18,0)))),IF(OR(D713="BM",D713="MD",D713="OA"),EXP(VLOOKUP(D713,'Species Codes'!B:O,14,0)+VLOOKUP(D713,'Species Codes'!B:P,15,0)*LN((E713*2.54)))*(1-(1/(VLOOKUP(D713,'Species Codes'!B:Q,16,0)+VLOOKUP(D713,'Species Codes'!B:R,17,0)*((E713*2.54)^VLOOKUP(D713,'Species Codes'!B:S,18,0)))))/1000,IF(D713="DF",EXP(VLOOKUP(D713,'Species Codes'!B:O,14,0)+VLOOKUP(D713,'Species Codes'!B:P,15,0)*LN((E713*2.54))),VLOOKUP(D713,'Species Codes'!B:O,14,0)+VLOOKUP(D713,'Species Codes'!B:P,15,0)*(((E713*2.54)/100)^2)*(I713*0.3048)))))*0.0011023),0)</f>
        <v>#N/A</v>
      </c>
      <c r="AD713" s="104" t="e">
        <f t="shared" si="328"/>
        <v>#N/A</v>
      </c>
      <c r="AE713" s="104" t="e">
        <f t="shared" si="329"/>
        <v>#N/A</v>
      </c>
      <c r="AF713" s="104" t="e">
        <f>IF(AND(VLOOKUP($D713,Merchantability!$B:$C,2,0)="Yes",$E713&gt;=VLOOKUP($D713,Merchantability!$B:$D,3,0),$E713&lt;=VLOOKUP($D713,Merchantability!$B:$E,4,0)),AA713,0)</f>
        <v>#N/A</v>
      </c>
      <c r="AG713" s="104" t="e">
        <f>IF(AND(VLOOKUP($D713,Merchantability!$B:$C,2,0)="Yes",$E713&gt;=VLOOKUP($D713,Merchantability!$B:$D,3,0),$E713&lt;=VLOOKUP($D713,Merchantability!$B:$E,4,0)),AB713,0)</f>
        <v>#N/A</v>
      </c>
      <c r="AH713" s="104" t="e">
        <f>IF(AND(VLOOKUP($D713,Merchantability!$B:$C,2,0)="Yes",$E713&gt;=VLOOKUP($D713,Merchantability!$B:$D,3,0),$E713&lt;=VLOOKUP($D713,Merchantability!$B:$E,4,0)),AC713,0)</f>
        <v>#N/A</v>
      </c>
      <c r="AI713" s="104" t="e">
        <f t="shared" si="330"/>
        <v>#N/A</v>
      </c>
      <c r="AJ713" s="104" t="e">
        <f t="shared" si="331"/>
        <v>#VALUE!</v>
      </c>
      <c r="AK713" s="104" t="e">
        <f t="shared" si="332"/>
        <v>#N/A</v>
      </c>
      <c r="AL713" s="104" t="e">
        <f t="shared" si="333"/>
        <v>#N/A</v>
      </c>
      <c r="AM713" s="104" t="e">
        <f t="shared" si="334"/>
        <v>#N/A</v>
      </c>
      <c r="AN713" s="104" t="e">
        <f t="shared" si="345"/>
        <v>#N/A</v>
      </c>
      <c r="AO713" s="104" t="e">
        <f t="shared" si="346"/>
        <v>#N/A</v>
      </c>
      <c r="AP713" s="104" t="e">
        <f t="shared" si="347"/>
        <v>#N/A</v>
      </c>
      <c r="AQ713" s="104" t="e">
        <f t="shared" si="348"/>
        <v>#N/A</v>
      </c>
      <c r="AR713" s="105" t="str">
        <f t="shared" si="340"/>
        <v/>
      </c>
      <c r="AS713" s="105" t="str">
        <f t="shared" si="341"/>
        <v/>
      </c>
      <c r="AT713" s="108" t="str">
        <f t="shared" si="342"/>
        <v/>
      </c>
      <c r="AU713" s="108" t="str">
        <f t="shared" si="343"/>
        <v/>
      </c>
      <c r="AV713" s="107" t="str">
        <f>IF(ISNUMBER(O713),IF(VLOOKUP($A713,Stand!C:J,8,FALSE)="Short",AT713,AU713),"")</f>
        <v/>
      </c>
      <c r="AW713" s="109" t="str">
        <f t="shared" si="349"/>
        <v/>
      </c>
      <c r="AX713" s="109" t="str">
        <f t="shared" si="350"/>
        <v/>
      </c>
      <c r="AY713" s="112" t="str">
        <f>IF(ISNUMBER(O713),IF(AND(VLOOKUP($D713,Merchantability!$B:$C,2,0)="Yes",$E713&gt;=VLOOKUP($D713,Merchantability!$B:$D,3,0),$E713&lt;=VLOOKUP($D713,Merchantability!$B:$E,4,0)),(AV713*O713)*(1-$H713/100),""),"")</f>
        <v/>
      </c>
      <c r="AZ713" s="116"/>
      <c r="BA713" s="116"/>
      <c r="BB713" s="116"/>
      <c r="BE713" s="62"/>
      <c r="BF713" s="63"/>
    </row>
    <row r="714" spans="1:58" ht="12.75" customHeight="1" x14ac:dyDescent="0.25">
      <c r="A714" s="313"/>
      <c r="B714" s="328"/>
      <c r="C714" s="329"/>
      <c r="D714" s="328"/>
      <c r="E714" s="330"/>
      <c r="F714" s="328"/>
      <c r="G714" s="329"/>
      <c r="H714" s="329"/>
      <c r="I714" s="328"/>
      <c r="J714" s="383"/>
      <c r="K714" s="329"/>
      <c r="L714" s="329"/>
      <c r="M714" s="76"/>
      <c r="N714" s="103" t="str">
        <f>IF(A714="","",VLOOKUP(A714,Stand!C:K,9,0))</f>
        <v/>
      </c>
      <c r="O714" s="104" t="str">
        <f t="shared" si="335"/>
        <v/>
      </c>
      <c r="P714" s="105" t="str">
        <f t="shared" si="336"/>
        <v/>
      </c>
      <c r="Q714" s="105" t="str">
        <f t="shared" si="324"/>
        <v/>
      </c>
      <c r="R714" s="103" t="str">
        <f t="shared" si="337"/>
        <v/>
      </c>
      <c r="S714" s="103" t="str">
        <f t="shared" si="338"/>
        <v/>
      </c>
      <c r="T714" s="106" t="str">
        <f t="shared" si="325"/>
        <v/>
      </c>
      <c r="U714" s="106" t="str">
        <f t="shared" si="326"/>
        <v/>
      </c>
      <c r="V714" s="106" t="str">
        <f t="shared" si="327"/>
        <v/>
      </c>
      <c r="W714" s="105" t="str">
        <f t="shared" si="339"/>
        <v/>
      </c>
      <c r="X714" s="104" t="str">
        <f t="shared" si="344"/>
        <v/>
      </c>
      <c r="Y714" s="104" t="str">
        <f t="array" ref="Y714">IFERROR(IF(ISNUMBER(O714),IF(COUNT(IF(A714=$A$2:$A$2427,IF(D714=$D$2:$D$2427,IF($X$2:$X$2427&gt;0,1))))&gt;0,SUM(IF(A714=$A$2:$A$2427,IF(D714=$D$2:$D$2427,$X$2:$X$2427)))/COUNT(IF(A714=$A$2:$A$2427,IF(D714=$D$2:$D$2427,IF(ISNUMBER($X$2:$X$2427),1)))),0),""),0)</f>
        <v/>
      </c>
      <c r="Z714" s="104" t="str">
        <f>IF(ISNUMBER(O714),IF(I714&gt;0,(10^(VLOOKUP(D714,'Species Codes'!B:C,2,0)+VLOOKUP(D714,'Species Codes'!B:D,3,0)*LOG(E714)+VLOOKUP(D714,'Species Codes'!B:E,4,0)*LOG(I714))),0),"")</f>
        <v/>
      </c>
      <c r="AA714" s="104" t="str">
        <f>IFERROR((VLOOKUP(D714,'Species Codes'!B:G,6,0)*Z714)/2000,"")</f>
        <v/>
      </c>
      <c r="AB714" s="104" t="e">
        <f>IF(Z714&gt;0,((IF(OR(D714="DF",D714="RA")=TRUE,EXP(VLOOKUP(D714,'Species Codes'!B:I,8,0)+VLOOKUP(D714,'Species Codes'!B:J,9,0)*(LN((E714*2.54)))),IF(OR(D714="PY",D714="RC",D714="WH",D714="NF")=TRUE,VLOOKUP(D714,'Species Codes'!B:I,8,0)+VLOOKUP(D714,'Species Codes'!B:J,9,0)*((E714*2.54)^2)*(I714*0.3048),IF(OR(D714="MD",D714="BM",D714="GA")=TRUE,((VLOOKUP(D714,'Species Codes'!B:I,8,0)*(((((E714*2.54)+VLOOKUP(D714,'Species Codes'!B:J,9,0))/VLOOKUP(D714,'Species Codes'!B:K,10,0))^VLOOKUP(D714,'Species Codes'!B:L,11,0))*((I714*0.3048)^VLOOKUP(D714,'Species Codes'!B:M,12,0))))-(VLOOKUP(D714,'Species Codes'!B:I,8,0)*((((E714*2.54)^VLOOKUP(D714,'Species Codes'!B:L,11,0))*((I714*0.3048)^VLOOKUP(D714,'Species Codes'!B:M,12,0))))))*35.3*VLOOKUP(D714,'Species Codes'!B:G,6,0)/2.2046,VLOOKUP(D714,'Species Codes'!B:I,8,0)+VLOOKUP(D714,'Species Codes'!B:J,9,0)*(((E714*2.54)/100)^2)*(I714*0.3048)))))*0.0011023),0)</f>
        <v>#N/A</v>
      </c>
      <c r="AC714" s="104" t="e">
        <f>IF(Z714&gt;0,((IF(OR(D714="RA",D714="OA",D714="OT",D714="UN",D714="PC"),EXP(VLOOKUP(D714,'Species Codes'!B:O,14,0)+VLOOKUP(D714,'Species Codes'!B:P,15,0)*LN((E714*2.54)))-EXP(VLOOKUP(D714,'Species Codes'!B:O,14,0)+VLOOKUP(D714,'Species Codes'!B:P,15,0)*LN((E714*2.54)))*(1/(VLOOKUP(D714,'Species Codes'!B:Q,16,0)+VLOOKUP(D714,'Species Codes'!B:R,17,0)*((E714*2.54)^VLOOKUP(D714,'Species Codes'!B:S,18,0)))),IF(OR(D714="BM",D714="MD",D714="OA"),EXP(VLOOKUP(D714,'Species Codes'!B:O,14,0)+VLOOKUP(D714,'Species Codes'!B:P,15,0)*LN((E714*2.54)))*(1-(1/(VLOOKUP(D714,'Species Codes'!B:Q,16,0)+VLOOKUP(D714,'Species Codes'!B:R,17,0)*((E714*2.54)^VLOOKUP(D714,'Species Codes'!B:S,18,0)))))/1000,IF(D714="DF",EXP(VLOOKUP(D714,'Species Codes'!B:O,14,0)+VLOOKUP(D714,'Species Codes'!B:P,15,0)*LN((E714*2.54))),VLOOKUP(D714,'Species Codes'!B:O,14,0)+VLOOKUP(D714,'Species Codes'!B:P,15,0)*(((E714*2.54)/100)^2)*(I714*0.3048)))))*0.0011023),0)</f>
        <v>#N/A</v>
      </c>
      <c r="AD714" s="104" t="e">
        <f t="shared" si="328"/>
        <v>#N/A</v>
      </c>
      <c r="AE714" s="104" t="e">
        <f t="shared" si="329"/>
        <v>#N/A</v>
      </c>
      <c r="AF714" s="104" t="e">
        <f>IF(AND(VLOOKUP($D714,Merchantability!$B:$C,2,0)="Yes",$E714&gt;=VLOOKUP($D714,Merchantability!$B:$D,3,0),$E714&lt;=VLOOKUP($D714,Merchantability!$B:$E,4,0)),AA714,0)</f>
        <v>#N/A</v>
      </c>
      <c r="AG714" s="104" t="e">
        <f>IF(AND(VLOOKUP($D714,Merchantability!$B:$C,2,0)="Yes",$E714&gt;=VLOOKUP($D714,Merchantability!$B:$D,3,0),$E714&lt;=VLOOKUP($D714,Merchantability!$B:$E,4,0)),AB714,0)</f>
        <v>#N/A</v>
      </c>
      <c r="AH714" s="104" t="e">
        <f>IF(AND(VLOOKUP($D714,Merchantability!$B:$C,2,0)="Yes",$E714&gt;=VLOOKUP($D714,Merchantability!$B:$D,3,0),$E714&lt;=VLOOKUP($D714,Merchantability!$B:$E,4,0)),AC714,0)</f>
        <v>#N/A</v>
      </c>
      <c r="AI714" s="104" t="e">
        <f t="shared" si="330"/>
        <v>#N/A</v>
      </c>
      <c r="AJ714" s="104" t="e">
        <f t="shared" si="331"/>
        <v>#VALUE!</v>
      </c>
      <c r="AK714" s="104" t="e">
        <f t="shared" si="332"/>
        <v>#N/A</v>
      </c>
      <c r="AL714" s="104" t="e">
        <f t="shared" si="333"/>
        <v>#N/A</v>
      </c>
      <c r="AM714" s="104" t="e">
        <f t="shared" si="334"/>
        <v>#N/A</v>
      </c>
      <c r="AN714" s="104" t="e">
        <f t="shared" si="345"/>
        <v>#N/A</v>
      </c>
      <c r="AO714" s="104" t="e">
        <f t="shared" si="346"/>
        <v>#N/A</v>
      </c>
      <c r="AP714" s="104" t="e">
        <f t="shared" si="347"/>
        <v>#N/A</v>
      </c>
      <c r="AQ714" s="104" t="e">
        <f t="shared" si="348"/>
        <v>#N/A</v>
      </c>
      <c r="AR714" s="105" t="str">
        <f t="shared" si="340"/>
        <v/>
      </c>
      <c r="AS714" s="105" t="str">
        <f t="shared" si="341"/>
        <v/>
      </c>
      <c r="AT714" s="108" t="str">
        <f t="shared" si="342"/>
        <v/>
      </c>
      <c r="AU714" s="108" t="str">
        <f t="shared" si="343"/>
        <v/>
      </c>
      <c r="AV714" s="107" t="str">
        <f>IF(ISNUMBER(O714),IF(VLOOKUP($A714,Stand!C:J,8,FALSE)="Short",AT714,AU714),"")</f>
        <v/>
      </c>
      <c r="AW714" s="109" t="str">
        <f t="shared" si="349"/>
        <v/>
      </c>
      <c r="AX714" s="109" t="str">
        <f t="shared" si="350"/>
        <v/>
      </c>
      <c r="AY714" s="112" t="str">
        <f>IF(ISNUMBER(O714),IF(AND(VLOOKUP($D714,Merchantability!$B:$C,2,0)="Yes",$E714&gt;=VLOOKUP($D714,Merchantability!$B:$D,3,0),$E714&lt;=VLOOKUP($D714,Merchantability!$B:$E,4,0)),(AV714*O714)*(1-$H714/100),""),"")</f>
        <v/>
      </c>
      <c r="AZ714" s="116"/>
      <c r="BA714" s="116"/>
      <c r="BB714" s="116"/>
      <c r="BE714" s="62"/>
      <c r="BF714" s="63"/>
    </row>
    <row r="715" spans="1:58" ht="12.75" customHeight="1" x14ac:dyDescent="0.25">
      <c r="A715" s="313"/>
      <c r="B715" s="328"/>
      <c r="C715" s="329"/>
      <c r="D715" s="328"/>
      <c r="E715" s="330"/>
      <c r="F715" s="328"/>
      <c r="G715" s="329"/>
      <c r="H715" s="329"/>
      <c r="I715" s="328"/>
      <c r="J715" s="383"/>
      <c r="K715" s="329"/>
      <c r="L715" s="329"/>
      <c r="M715" s="76"/>
      <c r="N715" s="103" t="str">
        <f>IF(A715="","",VLOOKUP(A715,Stand!C:K,9,0))</f>
        <v/>
      </c>
      <c r="O715" s="104" t="str">
        <f t="shared" si="335"/>
        <v/>
      </c>
      <c r="P715" s="105" t="str">
        <f t="shared" si="336"/>
        <v/>
      </c>
      <c r="Q715" s="105" t="str">
        <f t="shared" si="324"/>
        <v/>
      </c>
      <c r="R715" s="103" t="str">
        <f t="shared" si="337"/>
        <v/>
      </c>
      <c r="S715" s="103" t="str">
        <f t="shared" si="338"/>
        <v/>
      </c>
      <c r="T715" s="106" t="str">
        <f t="shared" si="325"/>
        <v/>
      </c>
      <c r="U715" s="106" t="str">
        <f t="shared" si="326"/>
        <v/>
      </c>
      <c r="V715" s="106" t="str">
        <f t="shared" si="327"/>
        <v/>
      </c>
      <c r="W715" s="105" t="str">
        <f t="shared" si="339"/>
        <v/>
      </c>
      <c r="X715" s="104" t="str">
        <f t="shared" si="344"/>
        <v/>
      </c>
      <c r="Y715" s="104" t="str">
        <f t="array" ref="Y715">IFERROR(IF(ISNUMBER(O715),IF(COUNT(IF(A715=$A$2:$A$2427,IF(D715=$D$2:$D$2427,IF($X$2:$X$2427&gt;0,1))))&gt;0,SUM(IF(A715=$A$2:$A$2427,IF(D715=$D$2:$D$2427,$X$2:$X$2427)))/COUNT(IF(A715=$A$2:$A$2427,IF(D715=$D$2:$D$2427,IF(ISNUMBER($X$2:$X$2427),1)))),0),""),0)</f>
        <v/>
      </c>
      <c r="Z715" s="104" t="str">
        <f>IF(ISNUMBER(O715),IF(I715&gt;0,(10^(VLOOKUP(D715,'Species Codes'!B:C,2,0)+VLOOKUP(D715,'Species Codes'!B:D,3,0)*LOG(E715)+VLOOKUP(D715,'Species Codes'!B:E,4,0)*LOG(I715))),0),"")</f>
        <v/>
      </c>
      <c r="AA715" s="104" t="str">
        <f>IFERROR((VLOOKUP(D715,'Species Codes'!B:G,6,0)*Z715)/2000,"")</f>
        <v/>
      </c>
      <c r="AB715" s="104" t="e">
        <f>IF(Z715&gt;0,((IF(OR(D715="DF",D715="RA")=TRUE,EXP(VLOOKUP(D715,'Species Codes'!B:I,8,0)+VLOOKUP(D715,'Species Codes'!B:J,9,0)*(LN((E715*2.54)))),IF(OR(D715="PY",D715="RC",D715="WH",D715="NF")=TRUE,VLOOKUP(D715,'Species Codes'!B:I,8,0)+VLOOKUP(D715,'Species Codes'!B:J,9,0)*((E715*2.54)^2)*(I715*0.3048),IF(OR(D715="MD",D715="BM",D715="GA")=TRUE,((VLOOKUP(D715,'Species Codes'!B:I,8,0)*(((((E715*2.54)+VLOOKUP(D715,'Species Codes'!B:J,9,0))/VLOOKUP(D715,'Species Codes'!B:K,10,0))^VLOOKUP(D715,'Species Codes'!B:L,11,0))*((I715*0.3048)^VLOOKUP(D715,'Species Codes'!B:M,12,0))))-(VLOOKUP(D715,'Species Codes'!B:I,8,0)*((((E715*2.54)^VLOOKUP(D715,'Species Codes'!B:L,11,0))*((I715*0.3048)^VLOOKUP(D715,'Species Codes'!B:M,12,0))))))*35.3*VLOOKUP(D715,'Species Codes'!B:G,6,0)/2.2046,VLOOKUP(D715,'Species Codes'!B:I,8,0)+VLOOKUP(D715,'Species Codes'!B:J,9,0)*(((E715*2.54)/100)^2)*(I715*0.3048)))))*0.0011023),0)</f>
        <v>#N/A</v>
      </c>
      <c r="AC715" s="104" t="e">
        <f>IF(Z715&gt;0,((IF(OR(D715="RA",D715="OA",D715="OT",D715="UN",D715="PC"),EXP(VLOOKUP(D715,'Species Codes'!B:O,14,0)+VLOOKUP(D715,'Species Codes'!B:P,15,0)*LN((E715*2.54)))-EXP(VLOOKUP(D715,'Species Codes'!B:O,14,0)+VLOOKUP(D715,'Species Codes'!B:P,15,0)*LN((E715*2.54)))*(1/(VLOOKUP(D715,'Species Codes'!B:Q,16,0)+VLOOKUP(D715,'Species Codes'!B:R,17,0)*((E715*2.54)^VLOOKUP(D715,'Species Codes'!B:S,18,0)))),IF(OR(D715="BM",D715="MD",D715="OA"),EXP(VLOOKUP(D715,'Species Codes'!B:O,14,0)+VLOOKUP(D715,'Species Codes'!B:P,15,0)*LN((E715*2.54)))*(1-(1/(VLOOKUP(D715,'Species Codes'!B:Q,16,0)+VLOOKUP(D715,'Species Codes'!B:R,17,0)*((E715*2.54)^VLOOKUP(D715,'Species Codes'!B:S,18,0)))))/1000,IF(D715="DF",EXP(VLOOKUP(D715,'Species Codes'!B:O,14,0)+VLOOKUP(D715,'Species Codes'!B:P,15,0)*LN((E715*2.54))),VLOOKUP(D715,'Species Codes'!B:O,14,0)+VLOOKUP(D715,'Species Codes'!B:P,15,0)*(((E715*2.54)/100)^2)*(I715*0.3048)))))*0.0011023),0)</f>
        <v>#N/A</v>
      </c>
      <c r="AD715" s="104" t="e">
        <f t="shared" si="328"/>
        <v>#N/A</v>
      </c>
      <c r="AE715" s="104" t="e">
        <f t="shared" si="329"/>
        <v>#N/A</v>
      </c>
      <c r="AF715" s="104" t="e">
        <f>IF(AND(VLOOKUP($D715,Merchantability!$B:$C,2,0)="Yes",$E715&gt;=VLOOKUP($D715,Merchantability!$B:$D,3,0),$E715&lt;=VLOOKUP($D715,Merchantability!$B:$E,4,0)),AA715,0)</f>
        <v>#N/A</v>
      </c>
      <c r="AG715" s="104" t="e">
        <f>IF(AND(VLOOKUP($D715,Merchantability!$B:$C,2,0)="Yes",$E715&gt;=VLOOKUP($D715,Merchantability!$B:$D,3,0),$E715&lt;=VLOOKUP($D715,Merchantability!$B:$E,4,0)),AB715,0)</f>
        <v>#N/A</v>
      </c>
      <c r="AH715" s="104" t="e">
        <f>IF(AND(VLOOKUP($D715,Merchantability!$B:$C,2,0)="Yes",$E715&gt;=VLOOKUP($D715,Merchantability!$B:$D,3,0),$E715&lt;=VLOOKUP($D715,Merchantability!$B:$E,4,0)),AC715,0)</f>
        <v>#N/A</v>
      </c>
      <c r="AI715" s="104" t="e">
        <f t="shared" si="330"/>
        <v>#N/A</v>
      </c>
      <c r="AJ715" s="104" t="e">
        <f t="shared" si="331"/>
        <v>#VALUE!</v>
      </c>
      <c r="AK715" s="104" t="e">
        <f t="shared" si="332"/>
        <v>#N/A</v>
      </c>
      <c r="AL715" s="104" t="e">
        <f t="shared" si="333"/>
        <v>#N/A</v>
      </c>
      <c r="AM715" s="104" t="e">
        <f t="shared" si="334"/>
        <v>#N/A</v>
      </c>
      <c r="AN715" s="104" t="e">
        <f t="shared" si="345"/>
        <v>#N/A</v>
      </c>
      <c r="AO715" s="104" t="e">
        <f t="shared" si="346"/>
        <v>#N/A</v>
      </c>
      <c r="AP715" s="104" t="e">
        <f t="shared" si="347"/>
        <v>#N/A</v>
      </c>
      <c r="AQ715" s="104" t="e">
        <f t="shared" si="348"/>
        <v>#N/A</v>
      </c>
      <c r="AR715" s="105" t="str">
        <f t="shared" si="340"/>
        <v/>
      </c>
      <c r="AS715" s="105" t="str">
        <f t="shared" si="341"/>
        <v/>
      </c>
      <c r="AT715" s="108" t="str">
        <f t="shared" si="342"/>
        <v/>
      </c>
      <c r="AU715" s="108" t="str">
        <f t="shared" si="343"/>
        <v/>
      </c>
      <c r="AV715" s="107" t="str">
        <f>IF(ISNUMBER(O715),IF(VLOOKUP($A715,Stand!C:J,8,FALSE)="Short",AT715,AU715),"")</f>
        <v/>
      </c>
      <c r="AW715" s="109" t="str">
        <f t="shared" si="349"/>
        <v/>
      </c>
      <c r="AX715" s="109" t="str">
        <f t="shared" si="350"/>
        <v/>
      </c>
      <c r="AY715" s="112" t="str">
        <f>IF(ISNUMBER(O715),IF(AND(VLOOKUP($D715,Merchantability!$B:$C,2,0)="Yes",$E715&gt;=VLOOKUP($D715,Merchantability!$B:$D,3,0),$E715&lt;=VLOOKUP($D715,Merchantability!$B:$E,4,0)),(AV715*O715)*(1-$H715/100),""),"")</f>
        <v/>
      </c>
      <c r="AZ715" s="116"/>
      <c r="BA715" s="116"/>
      <c r="BB715" s="116"/>
      <c r="BE715" s="62"/>
      <c r="BF715" s="63"/>
    </row>
    <row r="716" spans="1:58" ht="12.75" customHeight="1" x14ac:dyDescent="0.25">
      <c r="A716" s="313"/>
      <c r="B716" s="328"/>
      <c r="C716" s="329"/>
      <c r="D716" s="328"/>
      <c r="E716" s="330"/>
      <c r="F716" s="328"/>
      <c r="G716" s="329"/>
      <c r="H716" s="329"/>
      <c r="I716" s="328"/>
      <c r="J716" s="383"/>
      <c r="K716" s="329"/>
      <c r="L716" s="329"/>
      <c r="M716" s="76"/>
      <c r="N716" s="103" t="str">
        <f>IF(A716="","",VLOOKUP(A716,Stand!C:K,9,0))</f>
        <v/>
      </c>
      <c r="O716" s="104" t="str">
        <f t="shared" si="335"/>
        <v/>
      </c>
      <c r="P716" s="105" t="str">
        <f t="shared" si="336"/>
        <v/>
      </c>
      <c r="Q716" s="105" t="str">
        <f t="shared" si="324"/>
        <v/>
      </c>
      <c r="R716" s="103" t="str">
        <f t="shared" si="337"/>
        <v/>
      </c>
      <c r="S716" s="103" t="str">
        <f t="shared" si="338"/>
        <v/>
      </c>
      <c r="T716" s="106" t="str">
        <f t="shared" si="325"/>
        <v/>
      </c>
      <c r="U716" s="106" t="str">
        <f t="shared" si="326"/>
        <v/>
      </c>
      <c r="V716" s="106" t="str">
        <f t="shared" si="327"/>
        <v/>
      </c>
      <c r="W716" s="105" t="str">
        <f t="shared" si="339"/>
        <v/>
      </c>
      <c r="X716" s="104" t="str">
        <f t="shared" si="344"/>
        <v/>
      </c>
      <c r="Y716" s="104" t="str">
        <f t="array" ref="Y716">IFERROR(IF(ISNUMBER(O716),IF(COUNT(IF(A716=$A$2:$A$2427,IF(D716=$D$2:$D$2427,IF($X$2:$X$2427&gt;0,1))))&gt;0,SUM(IF(A716=$A$2:$A$2427,IF(D716=$D$2:$D$2427,$X$2:$X$2427)))/COUNT(IF(A716=$A$2:$A$2427,IF(D716=$D$2:$D$2427,IF(ISNUMBER($X$2:$X$2427),1)))),0),""),0)</f>
        <v/>
      </c>
      <c r="Z716" s="104" t="str">
        <f>IF(ISNUMBER(O716),IF(I716&gt;0,(10^(VLOOKUP(D716,'Species Codes'!B:C,2,0)+VLOOKUP(D716,'Species Codes'!B:D,3,0)*LOG(E716)+VLOOKUP(D716,'Species Codes'!B:E,4,0)*LOG(I716))),0),"")</f>
        <v/>
      </c>
      <c r="AA716" s="104" t="str">
        <f>IFERROR((VLOOKUP(D716,'Species Codes'!B:G,6,0)*Z716)/2000,"")</f>
        <v/>
      </c>
      <c r="AB716" s="104" t="e">
        <f>IF(Z716&gt;0,((IF(OR(D716="DF",D716="RA")=TRUE,EXP(VLOOKUP(D716,'Species Codes'!B:I,8,0)+VLOOKUP(D716,'Species Codes'!B:J,9,0)*(LN((E716*2.54)))),IF(OR(D716="PY",D716="RC",D716="WH",D716="NF")=TRUE,VLOOKUP(D716,'Species Codes'!B:I,8,0)+VLOOKUP(D716,'Species Codes'!B:J,9,0)*((E716*2.54)^2)*(I716*0.3048),IF(OR(D716="MD",D716="BM",D716="GA")=TRUE,((VLOOKUP(D716,'Species Codes'!B:I,8,0)*(((((E716*2.54)+VLOOKUP(D716,'Species Codes'!B:J,9,0))/VLOOKUP(D716,'Species Codes'!B:K,10,0))^VLOOKUP(D716,'Species Codes'!B:L,11,0))*((I716*0.3048)^VLOOKUP(D716,'Species Codes'!B:M,12,0))))-(VLOOKUP(D716,'Species Codes'!B:I,8,0)*((((E716*2.54)^VLOOKUP(D716,'Species Codes'!B:L,11,0))*((I716*0.3048)^VLOOKUP(D716,'Species Codes'!B:M,12,0))))))*35.3*VLOOKUP(D716,'Species Codes'!B:G,6,0)/2.2046,VLOOKUP(D716,'Species Codes'!B:I,8,0)+VLOOKUP(D716,'Species Codes'!B:J,9,0)*(((E716*2.54)/100)^2)*(I716*0.3048)))))*0.0011023),0)</f>
        <v>#N/A</v>
      </c>
      <c r="AC716" s="104" t="e">
        <f>IF(Z716&gt;0,((IF(OR(D716="RA",D716="OA",D716="OT",D716="UN",D716="PC"),EXP(VLOOKUP(D716,'Species Codes'!B:O,14,0)+VLOOKUP(D716,'Species Codes'!B:P,15,0)*LN((E716*2.54)))-EXP(VLOOKUP(D716,'Species Codes'!B:O,14,0)+VLOOKUP(D716,'Species Codes'!B:P,15,0)*LN((E716*2.54)))*(1/(VLOOKUP(D716,'Species Codes'!B:Q,16,0)+VLOOKUP(D716,'Species Codes'!B:R,17,0)*((E716*2.54)^VLOOKUP(D716,'Species Codes'!B:S,18,0)))),IF(OR(D716="BM",D716="MD",D716="OA"),EXP(VLOOKUP(D716,'Species Codes'!B:O,14,0)+VLOOKUP(D716,'Species Codes'!B:P,15,0)*LN((E716*2.54)))*(1-(1/(VLOOKUP(D716,'Species Codes'!B:Q,16,0)+VLOOKUP(D716,'Species Codes'!B:R,17,0)*((E716*2.54)^VLOOKUP(D716,'Species Codes'!B:S,18,0)))))/1000,IF(D716="DF",EXP(VLOOKUP(D716,'Species Codes'!B:O,14,0)+VLOOKUP(D716,'Species Codes'!B:P,15,0)*LN((E716*2.54))),VLOOKUP(D716,'Species Codes'!B:O,14,0)+VLOOKUP(D716,'Species Codes'!B:P,15,0)*(((E716*2.54)/100)^2)*(I716*0.3048)))))*0.0011023),0)</f>
        <v>#N/A</v>
      </c>
      <c r="AD716" s="104" t="e">
        <f t="shared" si="328"/>
        <v>#N/A</v>
      </c>
      <c r="AE716" s="104" t="e">
        <f t="shared" si="329"/>
        <v>#N/A</v>
      </c>
      <c r="AF716" s="104" t="e">
        <f>IF(AND(VLOOKUP($D716,Merchantability!$B:$C,2,0)="Yes",$E716&gt;=VLOOKUP($D716,Merchantability!$B:$D,3,0),$E716&lt;=VLOOKUP($D716,Merchantability!$B:$E,4,0)),AA716,0)</f>
        <v>#N/A</v>
      </c>
      <c r="AG716" s="104" t="e">
        <f>IF(AND(VLOOKUP($D716,Merchantability!$B:$C,2,0)="Yes",$E716&gt;=VLOOKUP($D716,Merchantability!$B:$D,3,0),$E716&lt;=VLOOKUP($D716,Merchantability!$B:$E,4,0)),AB716,0)</f>
        <v>#N/A</v>
      </c>
      <c r="AH716" s="104" t="e">
        <f>IF(AND(VLOOKUP($D716,Merchantability!$B:$C,2,0)="Yes",$E716&gt;=VLOOKUP($D716,Merchantability!$B:$D,3,0),$E716&lt;=VLOOKUP($D716,Merchantability!$B:$E,4,0)),AC716,0)</f>
        <v>#N/A</v>
      </c>
      <c r="AI716" s="104" t="e">
        <f t="shared" si="330"/>
        <v>#N/A</v>
      </c>
      <c r="AJ716" s="104" t="e">
        <f t="shared" si="331"/>
        <v>#VALUE!</v>
      </c>
      <c r="AK716" s="104" t="e">
        <f t="shared" si="332"/>
        <v>#N/A</v>
      </c>
      <c r="AL716" s="104" t="e">
        <f t="shared" si="333"/>
        <v>#N/A</v>
      </c>
      <c r="AM716" s="104" t="e">
        <f t="shared" si="334"/>
        <v>#N/A</v>
      </c>
      <c r="AN716" s="104" t="e">
        <f t="shared" si="345"/>
        <v>#N/A</v>
      </c>
      <c r="AO716" s="104" t="e">
        <f t="shared" si="346"/>
        <v>#N/A</v>
      </c>
      <c r="AP716" s="104" t="e">
        <f t="shared" si="347"/>
        <v>#N/A</v>
      </c>
      <c r="AQ716" s="104" t="e">
        <f t="shared" si="348"/>
        <v>#N/A</v>
      </c>
      <c r="AR716" s="105" t="str">
        <f t="shared" si="340"/>
        <v/>
      </c>
      <c r="AS716" s="105" t="str">
        <f t="shared" si="341"/>
        <v/>
      </c>
      <c r="AT716" s="108" t="str">
        <f t="shared" si="342"/>
        <v/>
      </c>
      <c r="AU716" s="108" t="str">
        <f t="shared" si="343"/>
        <v/>
      </c>
      <c r="AV716" s="107" t="str">
        <f>IF(ISNUMBER(O716),IF(VLOOKUP($A716,Stand!C:J,8,FALSE)="Short",AT716,AU716),"")</f>
        <v/>
      </c>
      <c r="AW716" s="109" t="str">
        <f t="shared" si="349"/>
        <v/>
      </c>
      <c r="AX716" s="109" t="str">
        <f t="shared" si="350"/>
        <v/>
      </c>
      <c r="AY716" s="112" t="str">
        <f>IF(ISNUMBER(O716),IF(AND(VLOOKUP($D716,Merchantability!$B:$C,2,0)="Yes",$E716&gt;=VLOOKUP($D716,Merchantability!$B:$D,3,0),$E716&lt;=VLOOKUP($D716,Merchantability!$B:$E,4,0)),(AV716*O716)*(1-$H716/100),""),"")</f>
        <v/>
      </c>
      <c r="AZ716" s="116"/>
      <c r="BA716" s="116"/>
      <c r="BB716" s="116"/>
      <c r="BE716" s="62"/>
      <c r="BF716" s="63"/>
    </row>
    <row r="717" spans="1:58" ht="12.75" customHeight="1" x14ac:dyDescent="0.25">
      <c r="A717" s="313"/>
      <c r="B717" s="328"/>
      <c r="C717" s="329"/>
      <c r="D717" s="328"/>
      <c r="E717" s="330"/>
      <c r="F717" s="328"/>
      <c r="G717" s="329"/>
      <c r="H717" s="329"/>
      <c r="I717" s="328"/>
      <c r="J717" s="383"/>
      <c r="K717" s="329"/>
      <c r="L717" s="329"/>
      <c r="M717" s="76"/>
      <c r="N717" s="103" t="str">
        <f>IF(A717="","",VLOOKUP(A717,Stand!C:K,9,0))</f>
        <v/>
      </c>
      <c r="O717" s="104" t="str">
        <f t="shared" si="335"/>
        <v/>
      </c>
      <c r="P717" s="105" t="str">
        <f t="shared" si="336"/>
        <v/>
      </c>
      <c r="Q717" s="105" t="str">
        <f t="shared" si="324"/>
        <v/>
      </c>
      <c r="R717" s="103" t="str">
        <f t="shared" si="337"/>
        <v/>
      </c>
      <c r="S717" s="103" t="str">
        <f t="shared" si="338"/>
        <v/>
      </c>
      <c r="T717" s="106" t="str">
        <f t="shared" si="325"/>
        <v/>
      </c>
      <c r="U717" s="106" t="str">
        <f t="shared" si="326"/>
        <v/>
      </c>
      <c r="V717" s="106" t="str">
        <f t="shared" si="327"/>
        <v/>
      </c>
      <c r="W717" s="105" t="str">
        <f t="shared" si="339"/>
        <v/>
      </c>
      <c r="X717" s="104" t="str">
        <f t="shared" si="344"/>
        <v/>
      </c>
      <c r="Y717" s="104" t="str">
        <f t="array" ref="Y717">IFERROR(IF(ISNUMBER(O717),IF(COUNT(IF(A717=$A$2:$A$2427,IF(D717=$D$2:$D$2427,IF($X$2:$X$2427&gt;0,1))))&gt;0,SUM(IF(A717=$A$2:$A$2427,IF(D717=$D$2:$D$2427,$X$2:$X$2427)))/COUNT(IF(A717=$A$2:$A$2427,IF(D717=$D$2:$D$2427,IF(ISNUMBER($X$2:$X$2427),1)))),0),""),0)</f>
        <v/>
      </c>
      <c r="Z717" s="104" t="str">
        <f>IF(ISNUMBER(O717),IF(I717&gt;0,(10^(VLOOKUP(D717,'Species Codes'!B:C,2,0)+VLOOKUP(D717,'Species Codes'!B:D,3,0)*LOG(E717)+VLOOKUP(D717,'Species Codes'!B:E,4,0)*LOG(I717))),0),"")</f>
        <v/>
      </c>
      <c r="AA717" s="104" t="str">
        <f>IFERROR((VLOOKUP(D717,'Species Codes'!B:G,6,0)*Z717)/2000,"")</f>
        <v/>
      </c>
      <c r="AB717" s="104" t="e">
        <f>IF(Z717&gt;0,((IF(OR(D717="DF",D717="RA")=TRUE,EXP(VLOOKUP(D717,'Species Codes'!B:I,8,0)+VLOOKUP(D717,'Species Codes'!B:J,9,0)*(LN((E717*2.54)))),IF(OR(D717="PY",D717="RC",D717="WH",D717="NF")=TRUE,VLOOKUP(D717,'Species Codes'!B:I,8,0)+VLOOKUP(D717,'Species Codes'!B:J,9,0)*((E717*2.54)^2)*(I717*0.3048),IF(OR(D717="MD",D717="BM",D717="GA")=TRUE,((VLOOKUP(D717,'Species Codes'!B:I,8,0)*(((((E717*2.54)+VLOOKUP(D717,'Species Codes'!B:J,9,0))/VLOOKUP(D717,'Species Codes'!B:K,10,0))^VLOOKUP(D717,'Species Codes'!B:L,11,0))*((I717*0.3048)^VLOOKUP(D717,'Species Codes'!B:M,12,0))))-(VLOOKUP(D717,'Species Codes'!B:I,8,0)*((((E717*2.54)^VLOOKUP(D717,'Species Codes'!B:L,11,0))*((I717*0.3048)^VLOOKUP(D717,'Species Codes'!B:M,12,0))))))*35.3*VLOOKUP(D717,'Species Codes'!B:G,6,0)/2.2046,VLOOKUP(D717,'Species Codes'!B:I,8,0)+VLOOKUP(D717,'Species Codes'!B:J,9,0)*(((E717*2.54)/100)^2)*(I717*0.3048)))))*0.0011023),0)</f>
        <v>#N/A</v>
      </c>
      <c r="AC717" s="104" t="e">
        <f>IF(Z717&gt;0,((IF(OR(D717="RA",D717="OA",D717="OT",D717="UN",D717="PC"),EXP(VLOOKUP(D717,'Species Codes'!B:O,14,0)+VLOOKUP(D717,'Species Codes'!B:P,15,0)*LN((E717*2.54)))-EXP(VLOOKUP(D717,'Species Codes'!B:O,14,0)+VLOOKUP(D717,'Species Codes'!B:P,15,0)*LN((E717*2.54)))*(1/(VLOOKUP(D717,'Species Codes'!B:Q,16,0)+VLOOKUP(D717,'Species Codes'!B:R,17,0)*((E717*2.54)^VLOOKUP(D717,'Species Codes'!B:S,18,0)))),IF(OR(D717="BM",D717="MD",D717="OA"),EXP(VLOOKUP(D717,'Species Codes'!B:O,14,0)+VLOOKUP(D717,'Species Codes'!B:P,15,0)*LN((E717*2.54)))*(1-(1/(VLOOKUP(D717,'Species Codes'!B:Q,16,0)+VLOOKUP(D717,'Species Codes'!B:R,17,0)*((E717*2.54)^VLOOKUP(D717,'Species Codes'!B:S,18,0)))))/1000,IF(D717="DF",EXP(VLOOKUP(D717,'Species Codes'!B:O,14,0)+VLOOKUP(D717,'Species Codes'!B:P,15,0)*LN((E717*2.54))),VLOOKUP(D717,'Species Codes'!B:O,14,0)+VLOOKUP(D717,'Species Codes'!B:P,15,0)*(((E717*2.54)/100)^2)*(I717*0.3048)))))*0.0011023),0)</f>
        <v>#N/A</v>
      </c>
      <c r="AD717" s="104" t="e">
        <f t="shared" si="328"/>
        <v>#N/A</v>
      </c>
      <c r="AE717" s="104" t="e">
        <f t="shared" si="329"/>
        <v>#N/A</v>
      </c>
      <c r="AF717" s="104" t="e">
        <f>IF(AND(VLOOKUP($D717,Merchantability!$B:$C,2,0)="Yes",$E717&gt;=VLOOKUP($D717,Merchantability!$B:$D,3,0),$E717&lt;=VLOOKUP($D717,Merchantability!$B:$E,4,0)),AA717,0)</f>
        <v>#N/A</v>
      </c>
      <c r="AG717" s="104" t="e">
        <f>IF(AND(VLOOKUP($D717,Merchantability!$B:$C,2,0)="Yes",$E717&gt;=VLOOKUP($D717,Merchantability!$B:$D,3,0),$E717&lt;=VLOOKUP($D717,Merchantability!$B:$E,4,0)),AB717,0)</f>
        <v>#N/A</v>
      </c>
      <c r="AH717" s="104" t="e">
        <f>IF(AND(VLOOKUP($D717,Merchantability!$B:$C,2,0)="Yes",$E717&gt;=VLOOKUP($D717,Merchantability!$B:$D,3,0),$E717&lt;=VLOOKUP($D717,Merchantability!$B:$E,4,0)),AC717,0)</f>
        <v>#N/A</v>
      </c>
      <c r="AI717" s="104" t="e">
        <f t="shared" si="330"/>
        <v>#N/A</v>
      </c>
      <c r="AJ717" s="104" t="e">
        <f t="shared" si="331"/>
        <v>#VALUE!</v>
      </c>
      <c r="AK717" s="104" t="e">
        <f t="shared" si="332"/>
        <v>#N/A</v>
      </c>
      <c r="AL717" s="104" t="e">
        <f t="shared" si="333"/>
        <v>#N/A</v>
      </c>
      <c r="AM717" s="104" t="e">
        <f t="shared" si="334"/>
        <v>#N/A</v>
      </c>
      <c r="AN717" s="104" t="e">
        <f t="shared" si="345"/>
        <v>#N/A</v>
      </c>
      <c r="AO717" s="104" t="e">
        <f t="shared" si="346"/>
        <v>#N/A</v>
      </c>
      <c r="AP717" s="104" t="e">
        <f t="shared" si="347"/>
        <v>#N/A</v>
      </c>
      <c r="AQ717" s="104" t="e">
        <f t="shared" si="348"/>
        <v>#N/A</v>
      </c>
      <c r="AR717" s="105" t="str">
        <f t="shared" si="340"/>
        <v/>
      </c>
      <c r="AS717" s="105" t="str">
        <f t="shared" si="341"/>
        <v/>
      </c>
      <c r="AT717" s="108" t="str">
        <f t="shared" si="342"/>
        <v/>
      </c>
      <c r="AU717" s="108" t="str">
        <f t="shared" si="343"/>
        <v/>
      </c>
      <c r="AV717" s="107" t="str">
        <f>IF(ISNUMBER(O717),IF(VLOOKUP($A717,Stand!C:J,8,FALSE)="Short",AT717,AU717),"")</f>
        <v/>
      </c>
      <c r="AW717" s="109" t="str">
        <f t="shared" si="349"/>
        <v/>
      </c>
      <c r="AX717" s="109" t="str">
        <f t="shared" si="350"/>
        <v/>
      </c>
      <c r="AY717" s="112" t="str">
        <f>IF(ISNUMBER(O717),IF(AND(VLOOKUP($D717,Merchantability!$B:$C,2,0)="Yes",$E717&gt;=VLOOKUP($D717,Merchantability!$B:$D,3,0),$E717&lt;=VLOOKUP($D717,Merchantability!$B:$E,4,0)),(AV717*O717)*(1-$H717/100),""),"")</f>
        <v/>
      </c>
      <c r="AZ717" s="116"/>
      <c r="BA717" s="116"/>
      <c r="BB717" s="116"/>
      <c r="BE717" s="62"/>
      <c r="BF717" s="63"/>
    </row>
    <row r="718" spans="1:58" ht="12.75" customHeight="1" x14ac:dyDescent="0.25">
      <c r="A718" s="313"/>
      <c r="B718" s="328"/>
      <c r="C718" s="329"/>
      <c r="D718" s="328"/>
      <c r="E718" s="330"/>
      <c r="F718" s="328"/>
      <c r="G718" s="329"/>
      <c r="H718" s="329"/>
      <c r="I718" s="328"/>
      <c r="J718" s="383"/>
      <c r="K718" s="329"/>
      <c r="L718" s="329"/>
      <c r="M718" s="76"/>
      <c r="N718" s="103" t="str">
        <f>IF(A718="","",VLOOKUP(A718,Stand!C:K,9,0))</f>
        <v/>
      </c>
      <c r="O718" s="104" t="str">
        <f t="shared" si="335"/>
        <v/>
      </c>
      <c r="P718" s="105" t="str">
        <f t="shared" si="336"/>
        <v/>
      </c>
      <c r="Q718" s="105" t="str">
        <f t="shared" si="324"/>
        <v/>
      </c>
      <c r="R718" s="103" t="str">
        <f t="shared" si="337"/>
        <v/>
      </c>
      <c r="S718" s="103" t="str">
        <f t="shared" si="338"/>
        <v/>
      </c>
      <c r="T718" s="106" t="str">
        <f t="shared" si="325"/>
        <v/>
      </c>
      <c r="U718" s="106" t="str">
        <f t="shared" si="326"/>
        <v/>
      </c>
      <c r="V718" s="106" t="str">
        <f t="shared" si="327"/>
        <v/>
      </c>
      <c r="W718" s="105" t="str">
        <f t="shared" si="339"/>
        <v/>
      </c>
      <c r="X718" s="104" t="str">
        <f t="shared" si="344"/>
        <v/>
      </c>
      <c r="Y718" s="104" t="str">
        <f t="array" ref="Y718">IFERROR(IF(ISNUMBER(O718),IF(COUNT(IF(A718=$A$2:$A$2427,IF(D718=$D$2:$D$2427,IF($X$2:$X$2427&gt;0,1))))&gt;0,SUM(IF(A718=$A$2:$A$2427,IF(D718=$D$2:$D$2427,$X$2:$X$2427)))/COUNT(IF(A718=$A$2:$A$2427,IF(D718=$D$2:$D$2427,IF(ISNUMBER($X$2:$X$2427),1)))),0),""),0)</f>
        <v/>
      </c>
      <c r="Z718" s="104" t="str">
        <f>IF(ISNUMBER(O718),IF(I718&gt;0,(10^(VLOOKUP(D718,'Species Codes'!B:C,2,0)+VLOOKUP(D718,'Species Codes'!B:D,3,0)*LOG(E718)+VLOOKUP(D718,'Species Codes'!B:E,4,0)*LOG(I718))),0),"")</f>
        <v/>
      </c>
      <c r="AA718" s="104" t="str">
        <f>IFERROR((VLOOKUP(D718,'Species Codes'!B:G,6,0)*Z718)/2000,"")</f>
        <v/>
      </c>
      <c r="AB718" s="104" t="e">
        <f>IF(Z718&gt;0,((IF(OR(D718="DF",D718="RA")=TRUE,EXP(VLOOKUP(D718,'Species Codes'!B:I,8,0)+VLOOKUP(D718,'Species Codes'!B:J,9,0)*(LN((E718*2.54)))),IF(OR(D718="PY",D718="RC",D718="WH",D718="NF")=TRUE,VLOOKUP(D718,'Species Codes'!B:I,8,0)+VLOOKUP(D718,'Species Codes'!B:J,9,0)*((E718*2.54)^2)*(I718*0.3048),IF(OR(D718="MD",D718="BM",D718="GA")=TRUE,((VLOOKUP(D718,'Species Codes'!B:I,8,0)*(((((E718*2.54)+VLOOKUP(D718,'Species Codes'!B:J,9,0))/VLOOKUP(D718,'Species Codes'!B:K,10,0))^VLOOKUP(D718,'Species Codes'!B:L,11,0))*((I718*0.3048)^VLOOKUP(D718,'Species Codes'!B:M,12,0))))-(VLOOKUP(D718,'Species Codes'!B:I,8,0)*((((E718*2.54)^VLOOKUP(D718,'Species Codes'!B:L,11,0))*((I718*0.3048)^VLOOKUP(D718,'Species Codes'!B:M,12,0))))))*35.3*VLOOKUP(D718,'Species Codes'!B:G,6,0)/2.2046,VLOOKUP(D718,'Species Codes'!B:I,8,0)+VLOOKUP(D718,'Species Codes'!B:J,9,0)*(((E718*2.54)/100)^2)*(I718*0.3048)))))*0.0011023),0)</f>
        <v>#N/A</v>
      </c>
      <c r="AC718" s="104" t="e">
        <f>IF(Z718&gt;0,((IF(OR(D718="RA",D718="OA",D718="OT",D718="UN",D718="PC"),EXP(VLOOKUP(D718,'Species Codes'!B:O,14,0)+VLOOKUP(D718,'Species Codes'!B:P,15,0)*LN((E718*2.54)))-EXP(VLOOKUP(D718,'Species Codes'!B:O,14,0)+VLOOKUP(D718,'Species Codes'!B:P,15,0)*LN((E718*2.54)))*(1/(VLOOKUP(D718,'Species Codes'!B:Q,16,0)+VLOOKUP(D718,'Species Codes'!B:R,17,0)*((E718*2.54)^VLOOKUP(D718,'Species Codes'!B:S,18,0)))),IF(OR(D718="BM",D718="MD",D718="OA"),EXP(VLOOKUP(D718,'Species Codes'!B:O,14,0)+VLOOKUP(D718,'Species Codes'!B:P,15,0)*LN((E718*2.54)))*(1-(1/(VLOOKUP(D718,'Species Codes'!B:Q,16,0)+VLOOKUP(D718,'Species Codes'!B:R,17,0)*((E718*2.54)^VLOOKUP(D718,'Species Codes'!B:S,18,0)))))/1000,IF(D718="DF",EXP(VLOOKUP(D718,'Species Codes'!B:O,14,0)+VLOOKUP(D718,'Species Codes'!B:P,15,0)*LN((E718*2.54))),VLOOKUP(D718,'Species Codes'!B:O,14,0)+VLOOKUP(D718,'Species Codes'!B:P,15,0)*(((E718*2.54)/100)^2)*(I718*0.3048)))))*0.0011023),0)</f>
        <v>#N/A</v>
      </c>
      <c r="AD718" s="104" t="e">
        <f t="shared" si="328"/>
        <v>#N/A</v>
      </c>
      <c r="AE718" s="104" t="e">
        <f t="shared" si="329"/>
        <v>#N/A</v>
      </c>
      <c r="AF718" s="104" t="e">
        <f>IF(AND(VLOOKUP($D718,Merchantability!$B:$C,2,0)="Yes",$E718&gt;=VLOOKUP($D718,Merchantability!$B:$D,3,0),$E718&lt;=VLOOKUP($D718,Merchantability!$B:$E,4,0)),AA718,0)</f>
        <v>#N/A</v>
      </c>
      <c r="AG718" s="104" t="e">
        <f>IF(AND(VLOOKUP($D718,Merchantability!$B:$C,2,0)="Yes",$E718&gt;=VLOOKUP($D718,Merchantability!$B:$D,3,0),$E718&lt;=VLOOKUP($D718,Merchantability!$B:$E,4,0)),AB718,0)</f>
        <v>#N/A</v>
      </c>
      <c r="AH718" s="104" t="e">
        <f>IF(AND(VLOOKUP($D718,Merchantability!$B:$C,2,0)="Yes",$E718&gt;=VLOOKUP($D718,Merchantability!$B:$D,3,0),$E718&lt;=VLOOKUP($D718,Merchantability!$B:$E,4,0)),AC718,0)</f>
        <v>#N/A</v>
      </c>
      <c r="AI718" s="104" t="e">
        <f t="shared" si="330"/>
        <v>#N/A</v>
      </c>
      <c r="AJ718" s="104" t="e">
        <f t="shared" si="331"/>
        <v>#VALUE!</v>
      </c>
      <c r="AK718" s="104" t="e">
        <f t="shared" si="332"/>
        <v>#N/A</v>
      </c>
      <c r="AL718" s="104" t="e">
        <f t="shared" si="333"/>
        <v>#N/A</v>
      </c>
      <c r="AM718" s="104" t="e">
        <f t="shared" si="334"/>
        <v>#N/A</v>
      </c>
      <c r="AN718" s="104" t="e">
        <f t="shared" si="345"/>
        <v>#N/A</v>
      </c>
      <c r="AO718" s="104" t="e">
        <f t="shared" si="346"/>
        <v>#N/A</v>
      </c>
      <c r="AP718" s="104" t="e">
        <f t="shared" si="347"/>
        <v>#N/A</v>
      </c>
      <c r="AQ718" s="104" t="e">
        <f t="shared" si="348"/>
        <v>#N/A</v>
      </c>
      <c r="AR718" s="105" t="str">
        <f t="shared" si="340"/>
        <v/>
      </c>
      <c r="AS718" s="105" t="str">
        <f t="shared" si="341"/>
        <v/>
      </c>
      <c r="AT718" s="108" t="str">
        <f t="shared" si="342"/>
        <v/>
      </c>
      <c r="AU718" s="108" t="str">
        <f t="shared" si="343"/>
        <v/>
      </c>
      <c r="AV718" s="107" t="str">
        <f>IF(ISNUMBER(O718),IF(VLOOKUP($A718,Stand!C:J,8,FALSE)="Short",AT718,AU718),"")</f>
        <v/>
      </c>
      <c r="AW718" s="109" t="str">
        <f t="shared" si="349"/>
        <v/>
      </c>
      <c r="AX718" s="109" t="str">
        <f t="shared" si="350"/>
        <v/>
      </c>
      <c r="AY718" s="112" t="str">
        <f>IF(ISNUMBER(O718),IF(AND(VLOOKUP($D718,Merchantability!$B:$C,2,0)="Yes",$E718&gt;=VLOOKUP($D718,Merchantability!$B:$D,3,0),$E718&lt;=VLOOKUP($D718,Merchantability!$B:$E,4,0)),(AV718*O718)*(1-$H718/100),""),"")</f>
        <v/>
      </c>
      <c r="AZ718" s="116"/>
      <c r="BA718" s="116"/>
      <c r="BB718" s="116"/>
      <c r="BE718" s="62"/>
      <c r="BF718" s="63"/>
    </row>
    <row r="719" spans="1:58" ht="12.75" customHeight="1" x14ac:dyDescent="0.25">
      <c r="A719" s="313"/>
      <c r="B719" s="328"/>
      <c r="C719" s="329"/>
      <c r="D719" s="328"/>
      <c r="E719" s="330"/>
      <c r="F719" s="328"/>
      <c r="G719" s="329"/>
      <c r="H719" s="329"/>
      <c r="I719" s="328"/>
      <c r="J719" s="383"/>
      <c r="K719" s="329"/>
      <c r="L719" s="329"/>
      <c r="M719" s="76"/>
      <c r="N719" s="103" t="str">
        <f>IF(A719="","",VLOOKUP(A719,Stand!C:K,9,0))</f>
        <v/>
      </c>
      <c r="O719" s="104" t="str">
        <f t="shared" si="335"/>
        <v/>
      </c>
      <c r="P719" s="105" t="str">
        <f t="shared" si="336"/>
        <v/>
      </c>
      <c r="Q719" s="105" t="str">
        <f t="shared" si="324"/>
        <v/>
      </c>
      <c r="R719" s="103" t="str">
        <f t="shared" si="337"/>
        <v/>
      </c>
      <c r="S719" s="103" t="str">
        <f t="shared" si="338"/>
        <v/>
      </c>
      <c r="T719" s="106" t="str">
        <f t="shared" si="325"/>
        <v/>
      </c>
      <c r="U719" s="106" t="str">
        <f t="shared" si="326"/>
        <v/>
      </c>
      <c r="V719" s="106" t="str">
        <f t="shared" si="327"/>
        <v/>
      </c>
      <c r="W719" s="105" t="str">
        <f t="shared" si="339"/>
        <v/>
      </c>
      <c r="X719" s="104" t="str">
        <f t="shared" si="344"/>
        <v/>
      </c>
      <c r="Y719" s="104" t="str">
        <f t="array" ref="Y719">IFERROR(IF(ISNUMBER(O719),IF(COUNT(IF(A719=$A$2:$A$2427,IF(D719=$D$2:$D$2427,IF($X$2:$X$2427&gt;0,1))))&gt;0,SUM(IF(A719=$A$2:$A$2427,IF(D719=$D$2:$D$2427,$X$2:$X$2427)))/COUNT(IF(A719=$A$2:$A$2427,IF(D719=$D$2:$D$2427,IF(ISNUMBER($X$2:$X$2427),1)))),0),""),0)</f>
        <v/>
      </c>
      <c r="Z719" s="104" t="str">
        <f>IF(ISNUMBER(O719),IF(I719&gt;0,(10^(VLOOKUP(D719,'Species Codes'!B:C,2,0)+VLOOKUP(D719,'Species Codes'!B:D,3,0)*LOG(E719)+VLOOKUP(D719,'Species Codes'!B:E,4,0)*LOG(I719))),0),"")</f>
        <v/>
      </c>
      <c r="AA719" s="104" t="str">
        <f>IFERROR((VLOOKUP(D719,'Species Codes'!B:G,6,0)*Z719)/2000,"")</f>
        <v/>
      </c>
      <c r="AB719" s="104" t="e">
        <f>IF(Z719&gt;0,((IF(OR(D719="DF",D719="RA")=TRUE,EXP(VLOOKUP(D719,'Species Codes'!B:I,8,0)+VLOOKUP(D719,'Species Codes'!B:J,9,0)*(LN((E719*2.54)))),IF(OR(D719="PY",D719="RC",D719="WH",D719="NF")=TRUE,VLOOKUP(D719,'Species Codes'!B:I,8,0)+VLOOKUP(D719,'Species Codes'!B:J,9,0)*((E719*2.54)^2)*(I719*0.3048),IF(OR(D719="MD",D719="BM",D719="GA")=TRUE,((VLOOKUP(D719,'Species Codes'!B:I,8,0)*(((((E719*2.54)+VLOOKUP(D719,'Species Codes'!B:J,9,0))/VLOOKUP(D719,'Species Codes'!B:K,10,0))^VLOOKUP(D719,'Species Codes'!B:L,11,0))*((I719*0.3048)^VLOOKUP(D719,'Species Codes'!B:M,12,0))))-(VLOOKUP(D719,'Species Codes'!B:I,8,0)*((((E719*2.54)^VLOOKUP(D719,'Species Codes'!B:L,11,0))*((I719*0.3048)^VLOOKUP(D719,'Species Codes'!B:M,12,0))))))*35.3*VLOOKUP(D719,'Species Codes'!B:G,6,0)/2.2046,VLOOKUP(D719,'Species Codes'!B:I,8,0)+VLOOKUP(D719,'Species Codes'!B:J,9,0)*(((E719*2.54)/100)^2)*(I719*0.3048)))))*0.0011023),0)</f>
        <v>#N/A</v>
      </c>
      <c r="AC719" s="104" t="e">
        <f>IF(Z719&gt;0,((IF(OR(D719="RA",D719="OA",D719="OT",D719="UN",D719="PC"),EXP(VLOOKUP(D719,'Species Codes'!B:O,14,0)+VLOOKUP(D719,'Species Codes'!B:P,15,0)*LN((E719*2.54)))-EXP(VLOOKUP(D719,'Species Codes'!B:O,14,0)+VLOOKUP(D719,'Species Codes'!B:P,15,0)*LN((E719*2.54)))*(1/(VLOOKUP(D719,'Species Codes'!B:Q,16,0)+VLOOKUP(D719,'Species Codes'!B:R,17,0)*((E719*2.54)^VLOOKUP(D719,'Species Codes'!B:S,18,0)))),IF(OR(D719="BM",D719="MD",D719="OA"),EXP(VLOOKUP(D719,'Species Codes'!B:O,14,0)+VLOOKUP(D719,'Species Codes'!B:P,15,0)*LN((E719*2.54)))*(1-(1/(VLOOKUP(D719,'Species Codes'!B:Q,16,0)+VLOOKUP(D719,'Species Codes'!B:R,17,0)*((E719*2.54)^VLOOKUP(D719,'Species Codes'!B:S,18,0)))))/1000,IF(D719="DF",EXP(VLOOKUP(D719,'Species Codes'!B:O,14,0)+VLOOKUP(D719,'Species Codes'!B:P,15,0)*LN((E719*2.54))),VLOOKUP(D719,'Species Codes'!B:O,14,0)+VLOOKUP(D719,'Species Codes'!B:P,15,0)*(((E719*2.54)/100)^2)*(I719*0.3048)))))*0.0011023),0)</f>
        <v>#N/A</v>
      </c>
      <c r="AD719" s="104" t="e">
        <f t="shared" si="328"/>
        <v>#N/A</v>
      </c>
      <c r="AE719" s="104" t="e">
        <f t="shared" si="329"/>
        <v>#N/A</v>
      </c>
      <c r="AF719" s="104" t="e">
        <f>IF(AND(VLOOKUP($D719,Merchantability!$B:$C,2,0)="Yes",$E719&gt;=VLOOKUP($D719,Merchantability!$B:$D,3,0),$E719&lt;=VLOOKUP($D719,Merchantability!$B:$E,4,0)),AA719,0)</f>
        <v>#N/A</v>
      </c>
      <c r="AG719" s="104" t="e">
        <f>IF(AND(VLOOKUP($D719,Merchantability!$B:$C,2,0)="Yes",$E719&gt;=VLOOKUP($D719,Merchantability!$B:$D,3,0),$E719&lt;=VLOOKUP($D719,Merchantability!$B:$E,4,0)),AB719,0)</f>
        <v>#N/A</v>
      </c>
      <c r="AH719" s="104" t="e">
        <f>IF(AND(VLOOKUP($D719,Merchantability!$B:$C,2,0)="Yes",$E719&gt;=VLOOKUP($D719,Merchantability!$B:$D,3,0),$E719&lt;=VLOOKUP($D719,Merchantability!$B:$E,4,0)),AC719,0)</f>
        <v>#N/A</v>
      </c>
      <c r="AI719" s="104" t="e">
        <f t="shared" si="330"/>
        <v>#N/A</v>
      </c>
      <c r="AJ719" s="104" t="e">
        <f t="shared" si="331"/>
        <v>#VALUE!</v>
      </c>
      <c r="AK719" s="104" t="e">
        <f t="shared" si="332"/>
        <v>#N/A</v>
      </c>
      <c r="AL719" s="104" t="e">
        <f t="shared" si="333"/>
        <v>#N/A</v>
      </c>
      <c r="AM719" s="104" t="e">
        <f t="shared" si="334"/>
        <v>#N/A</v>
      </c>
      <c r="AN719" s="104" t="e">
        <f t="shared" si="345"/>
        <v>#N/A</v>
      </c>
      <c r="AO719" s="104" t="e">
        <f t="shared" si="346"/>
        <v>#N/A</v>
      </c>
      <c r="AP719" s="104" t="e">
        <f t="shared" si="347"/>
        <v>#N/A</v>
      </c>
      <c r="AQ719" s="104" t="e">
        <f t="shared" si="348"/>
        <v>#N/A</v>
      </c>
      <c r="AR719" s="105" t="str">
        <f t="shared" si="340"/>
        <v/>
      </c>
      <c r="AS719" s="105" t="str">
        <f t="shared" si="341"/>
        <v/>
      </c>
      <c r="AT719" s="108" t="str">
        <f t="shared" si="342"/>
        <v/>
      </c>
      <c r="AU719" s="108" t="str">
        <f t="shared" si="343"/>
        <v/>
      </c>
      <c r="AV719" s="107" t="str">
        <f>IF(ISNUMBER(O719),IF(VLOOKUP($A719,Stand!C:J,8,FALSE)="Short",AT719,AU719),"")</f>
        <v/>
      </c>
      <c r="AW719" s="109" t="str">
        <f t="shared" si="349"/>
        <v/>
      </c>
      <c r="AX719" s="109" t="str">
        <f t="shared" si="350"/>
        <v/>
      </c>
      <c r="AY719" s="112" t="str">
        <f>IF(ISNUMBER(O719),IF(AND(VLOOKUP($D719,Merchantability!$B:$C,2,0)="Yes",$E719&gt;=VLOOKUP($D719,Merchantability!$B:$D,3,0),$E719&lt;=VLOOKUP($D719,Merchantability!$B:$E,4,0)),(AV719*O719)*(1-$H719/100),""),"")</f>
        <v/>
      </c>
      <c r="AZ719" s="116"/>
      <c r="BA719" s="116"/>
      <c r="BB719" s="116"/>
      <c r="BE719" s="62"/>
      <c r="BF719" s="63"/>
    </row>
    <row r="720" spans="1:58" ht="12.75" customHeight="1" x14ac:dyDescent="0.25">
      <c r="A720" s="313"/>
      <c r="B720" s="328"/>
      <c r="C720" s="329"/>
      <c r="D720" s="328"/>
      <c r="E720" s="330"/>
      <c r="F720" s="328"/>
      <c r="G720" s="329"/>
      <c r="H720" s="329"/>
      <c r="I720" s="328"/>
      <c r="J720" s="383"/>
      <c r="K720" s="329"/>
      <c r="L720" s="329"/>
      <c r="M720" s="76"/>
      <c r="N720" s="103" t="str">
        <f>IF(A720="","",VLOOKUP(A720,Stand!C:K,9,0))</f>
        <v/>
      </c>
      <c r="O720" s="104" t="str">
        <f t="shared" si="335"/>
        <v/>
      </c>
      <c r="P720" s="105" t="str">
        <f t="shared" si="336"/>
        <v/>
      </c>
      <c r="Q720" s="105" t="str">
        <f t="shared" si="324"/>
        <v/>
      </c>
      <c r="R720" s="103" t="str">
        <f t="shared" si="337"/>
        <v/>
      </c>
      <c r="S720" s="103" t="str">
        <f t="shared" si="338"/>
        <v/>
      </c>
      <c r="T720" s="106" t="str">
        <f t="shared" si="325"/>
        <v/>
      </c>
      <c r="U720" s="106" t="str">
        <f t="shared" si="326"/>
        <v/>
      </c>
      <c r="V720" s="106" t="str">
        <f t="shared" si="327"/>
        <v/>
      </c>
      <c r="W720" s="105" t="str">
        <f t="shared" si="339"/>
        <v/>
      </c>
      <c r="X720" s="104" t="str">
        <f t="shared" si="344"/>
        <v/>
      </c>
      <c r="Y720" s="104" t="str">
        <f t="array" ref="Y720">IFERROR(IF(ISNUMBER(O720),IF(COUNT(IF(A720=$A$2:$A$2427,IF(D720=$D$2:$D$2427,IF($X$2:$X$2427&gt;0,1))))&gt;0,SUM(IF(A720=$A$2:$A$2427,IF(D720=$D$2:$D$2427,$X$2:$X$2427)))/COUNT(IF(A720=$A$2:$A$2427,IF(D720=$D$2:$D$2427,IF(ISNUMBER($X$2:$X$2427),1)))),0),""),0)</f>
        <v/>
      </c>
      <c r="Z720" s="104" t="str">
        <f>IF(ISNUMBER(O720),IF(I720&gt;0,(10^(VLOOKUP(D720,'Species Codes'!B:C,2,0)+VLOOKUP(D720,'Species Codes'!B:D,3,0)*LOG(E720)+VLOOKUP(D720,'Species Codes'!B:E,4,0)*LOG(I720))),0),"")</f>
        <v/>
      </c>
      <c r="AA720" s="104" t="str">
        <f>IFERROR((VLOOKUP(D720,'Species Codes'!B:G,6,0)*Z720)/2000,"")</f>
        <v/>
      </c>
      <c r="AB720" s="104" t="e">
        <f>IF(Z720&gt;0,((IF(OR(D720="DF",D720="RA")=TRUE,EXP(VLOOKUP(D720,'Species Codes'!B:I,8,0)+VLOOKUP(D720,'Species Codes'!B:J,9,0)*(LN((E720*2.54)))),IF(OR(D720="PY",D720="RC",D720="WH",D720="NF")=TRUE,VLOOKUP(D720,'Species Codes'!B:I,8,0)+VLOOKUP(D720,'Species Codes'!B:J,9,0)*((E720*2.54)^2)*(I720*0.3048),IF(OR(D720="MD",D720="BM",D720="GA")=TRUE,((VLOOKUP(D720,'Species Codes'!B:I,8,0)*(((((E720*2.54)+VLOOKUP(D720,'Species Codes'!B:J,9,0))/VLOOKUP(D720,'Species Codes'!B:K,10,0))^VLOOKUP(D720,'Species Codes'!B:L,11,0))*((I720*0.3048)^VLOOKUP(D720,'Species Codes'!B:M,12,0))))-(VLOOKUP(D720,'Species Codes'!B:I,8,0)*((((E720*2.54)^VLOOKUP(D720,'Species Codes'!B:L,11,0))*((I720*0.3048)^VLOOKUP(D720,'Species Codes'!B:M,12,0))))))*35.3*VLOOKUP(D720,'Species Codes'!B:G,6,0)/2.2046,VLOOKUP(D720,'Species Codes'!B:I,8,0)+VLOOKUP(D720,'Species Codes'!B:J,9,0)*(((E720*2.54)/100)^2)*(I720*0.3048)))))*0.0011023),0)</f>
        <v>#N/A</v>
      </c>
      <c r="AC720" s="104" t="e">
        <f>IF(Z720&gt;0,((IF(OR(D720="RA",D720="OA",D720="OT",D720="UN",D720="PC"),EXP(VLOOKUP(D720,'Species Codes'!B:O,14,0)+VLOOKUP(D720,'Species Codes'!B:P,15,0)*LN((E720*2.54)))-EXP(VLOOKUP(D720,'Species Codes'!B:O,14,0)+VLOOKUP(D720,'Species Codes'!B:P,15,0)*LN((E720*2.54)))*(1/(VLOOKUP(D720,'Species Codes'!B:Q,16,0)+VLOOKUP(D720,'Species Codes'!B:R,17,0)*((E720*2.54)^VLOOKUP(D720,'Species Codes'!B:S,18,0)))),IF(OR(D720="BM",D720="MD",D720="OA"),EXP(VLOOKUP(D720,'Species Codes'!B:O,14,0)+VLOOKUP(D720,'Species Codes'!B:P,15,0)*LN((E720*2.54)))*(1-(1/(VLOOKUP(D720,'Species Codes'!B:Q,16,0)+VLOOKUP(D720,'Species Codes'!B:R,17,0)*((E720*2.54)^VLOOKUP(D720,'Species Codes'!B:S,18,0)))))/1000,IF(D720="DF",EXP(VLOOKUP(D720,'Species Codes'!B:O,14,0)+VLOOKUP(D720,'Species Codes'!B:P,15,0)*LN((E720*2.54))),VLOOKUP(D720,'Species Codes'!B:O,14,0)+VLOOKUP(D720,'Species Codes'!B:P,15,0)*(((E720*2.54)/100)^2)*(I720*0.3048)))))*0.0011023),0)</f>
        <v>#N/A</v>
      </c>
      <c r="AD720" s="104" t="e">
        <f t="shared" si="328"/>
        <v>#N/A</v>
      </c>
      <c r="AE720" s="104" t="e">
        <f t="shared" si="329"/>
        <v>#N/A</v>
      </c>
      <c r="AF720" s="104" t="e">
        <f>IF(AND(VLOOKUP($D720,Merchantability!$B:$C,2,0)="Yes",$E720&gt;=VLOOKUP($D720,Merchantability!$B:$D,3,0),$E720&lt;=VLOOKUP($D720,Merchantability!$B:$E,4,0)),AA720,0)</f>
        <v>#N/A</v>
      </c>
      <c r="AG720" s="104" t="e">
        <f>IF(AND(VLOOKUP($D720,Merchantability!$B:$C,2,0)="Yes",$E720&gt;=VLOOKUP($D720,Merchantability!$B:$D,3,0),$E720&lt;=VLOOKUP($D720,Merchantability!$B:$E,4,0)),AB720,0)</f>
        <v>#N/A</v>
      </c>
      <c r="AH720" s="104" t="e">
        <f>IF(AND(VLOOKUP($D720,Merchantability!$B:$C,2,0)="Yes",$E720&gt;=VLOOKUP($D720,Merchantability!$B:$D,3,0),$E720&lt;=VLOOKUP($D720,Merchantability!$B:$E,4,0)),AC720,0)</f>
        <v>#N/A</v>
      </c>
      <c r="AI720" s="104" t="e">
        <f t="shared" si="330"/>
        <v>#N/A</v>
      </c>
      <c r="AJ720" s="104" t="e">
        <f t="shared" si="331"/>
        <v>#VALUE!</v>
      </c>
      <c r="AK720" s="104" t="e">
        <f t="shared" si="332"/>
        <v>#N/A</v>
      </c>
      <c r="AL720" s="104" t="e">
        <f t="shared" si="333"/>
        <v>#N/A</v>
      </c>
      <c r="AM720" s="104" t="e">
        <f t="shared" si="334"/>
        <v>#N/A</v>
      </c>
      <c r="AN720" s="104" t="e">
        <f t="shared" si="345"/>
        <v>#N/A</v>
      </c>
      <c r="AO720" s="104" t="e">
        <f t="shared" si="346"/>
        <v>#N/A</v>
      </c>
      <c r="AP720" s="104" t="e">
        <f t="shared" si="347"/>
        <v>#N/A</v>
      </c>
      <c r="AQ720" s="104" t="e">
        <f t="shared" si="348"/>
        <v>#N/A</v>
      </c>
      <c r="AR720" s="105" t="str">
        <f t="shared" si="340"/>
        <v/>
      </c>
      <c r="AS720" s="105" t="str">
        <f t="shared" si="341"/>
        <v/>
      </c>
      <c r="AT720" s="108" t="str">
        <f t="shared" si="342"/>
        <v/>
      </c>
      <c r="AU720" s="108" t="str">
        <f t="shared" si="343"/>
        <v/>
      </c>
      <c r="AV720" s="107" t="str">
        <f>IF(ISNUMBER(O720),IF(VLOOKUP($A720,Stand!C:J,8,FALSE)="Short",AT720,AU720),"")</f>
        <v/>
      </c>
      <c r="AW720" s="109" t="str">
        <f t="shared" si="349"/>
        <v/>
      </c>
      <c r="AX720" s="109" t="str">
        <f t="shared" si="350"/>
        <v/>
      </c>
      <c r="AY720" s="112" t="str">
        <f>IF(ISNUMBER(O720),IF(AND(VLOOKUP($D720,Merchantability!$B:$C,2,0)="Yes",$E720&gt;=VLOOKUP($D720,Merchantability!$B:$D,3,0),$E720&lt;=VLOOKUP($D720,Merchantability!$B:$E,4,0)),(AV720*O720)*(1-$H720/100),""),"")</f>
        <v/>
      </c>
      <c r="AZ720" s="116"/>
      <c r="BA720" s="116"/>
      <c r="BB720" s="116"/>
      <c r="BE720" s="62"/>
      <c r="BF720" s="63"/>
    </row>
    <row r="721" spans="1:58" ht="12.75" customHeight="1" x14ac:dyDescent="0.25">
      <c r="A721" s="313"/>
      <c r="B721" s="328"/>
      <c r="C721" s="329"/>
      <c r="D721" s="328"/>
      <c r="E721" s="330"/>
      <c r="F721" s="328"/>
      <c r="G721" s="329"/>
      <c r="H721" s="329"/>
      <c r="I721" s="328"/>
      <c r="J721" s="383"/>
      <c r="K721" s="329"/>
      <c r="L721" s="329"/>
      <c r="M721" s="76"/>
      <c r="N721" s="103" t="str">
        <f>IF(A721="","",VLOOKUP(A721,Stand!C:K,9,0))</f>
        <v/>
      </c>
      <c r="O721" s="104" t="str">
        <f t="shared" si="335"/>
        <v/>
      </c>
      <c r="P721" s="105" t="str">
        <f t="shared" si="336"/>
        <v/>
      </c>
      <c r="Q721" s="105" t="str">
        <f t="shared" si="324"/>
        <v/>
      </c>
      <c r="R721" s="103" t="str">
        <f t="shared" si="337"/>
        <v/>
      </c>
      <c r="S721" s="103" t="str">
        <f t="shared" si="338"/>
        <v/>
      </c>
      <c r="T721" s="106" t="str">
        <f t="shared" si="325"/>
        <v/>
      </c>
      <c r="U721" s="106" t="str">
        <f t="shared" si="326"/>
        <v/>
      </c>
      <c r="V721" s="106" t="str">
        <f t="shared" si="327"/>
        <v/>
      </c>
      <c r="W721" s="105" t="str">
        <f t="shared" si="339"/>
        <v/>
      </c>
      <c r="X721" s="104" t="str">
        <f t="shared" si="344"/>
        <v/>
      </c>
      <c r="Y721" s="104" t="str">
        <f t="array" ref="Y721">IFERROR(IF(ISNUMBER(O721),IF(COUNT(IF(A721=$A$2:$A$2427,IF(D721=$D$2:$D$2427,IF($X$2:$X$2427&gt;0,1))))&gt;0,SUM(IF(A721=$A$2:$A$2427,IF(D721=$D$2:$D$2427,$X$2:$X$2427)))/COUNT(IF(A721=$A$2:$A$2427,IF(D721=$D$2:$D$2427,IF(ISNUMBER($X$2:$X$2427),1)))),0),""),0)</f>
        <v/>
      </c>
      <c r="Z721" s="104" t="str">
        <f>IF(ISNUMBER(O721),IF(I721&gt;0,(10^(VLOOKUP(D721,'Species Codes'!B:C,2,0)+VLOOKUP(D721,'Species Codes'!B:D,3,0)*LOG(E721)+VLOOKUP(D721,'Species Codes'!B:E,4,0)*LOG(I721))),0),"")</f>
        <v/>
      </c>
      <c r="AA721" s="104" t="str">
        <f>IFERROR((VLOOKUP(D721,'Species Codes'!B:G,6,0)*Z721)/2000,"")</f>
        <v/>
      </c>
      <c r="AB721" s="104" t="e">
        <f>IF(Z721&gt;0,((IF(OR(D721="DF",D721="RA")=TRUE,EXP(VLOOKUP(D721,'Species Codes'!B:I,8,0)+VLOOKUP(D721,'Species Codes'!B:J,9,0)*(LN((E721*2.54)))),IF(OR(D721="PY",D721="RC",D721="WH",D721="NF")=TRUE,VLOOKUP(D721,'Species Codes'!B:I,8,0)+VLOOKUP(D721,'Species Codes'!B:J,9,0)*((E721*2.54)^2)*(I721*0.3048),IF(OR(D721="MD",D721="BM",D721="GA")=TRUE,((VLOOKUP(D721,'Species Codes'!B:I,8,0)*(((((E721*2.54)+VLOOKUP(D721,'Species Codes'!B:J,9,0))/VLOOKUP(D721,'Species Codes'!B:K,10,0))^VLOOKUP(D721,'Species Codes'!B:L,11,0))*((I721*0.3048)^VLOOKUP(D721,'Species Codes'!B:M,12,0))))-(VLOOKUP(D721,'Species Codes'!B:I,8,0)*((((E721*2.54)^VLOOKUP(D721,'Species Codes'!B:L,11,0))*((I721*0.3048)^VLOOKUP(D721,'Species Codes'!B:M,12,0))))))*35.3*VLOOKUP(D721,'Species Codes'!B:G,6,0)/2.2046,VLOOKUP(D721,'Species Codes'!B:I,8,0)+VLOOKUP(D721,'Species Codes'!B:J,9,0)*(((E721*2.54)/100)^2)*(I721*0.3048)))))*0.0011023),0)</f>
        <v>#N/A</v>
      </c>
      <c r="AC721" s="104" t="e">
        <f>IF(Z721&gt;0,((IF(OR(D721="RA",D721="OA",D721="OT",D721="UN",D721="PC"),EXP(VLOOKUP(D721,'Species Codes'!B:O,14,0)+VLOOKUP(D721,'Species Codes'!B:P,15,0)*LN((E721*2.54)))-EXP(VLOOKUP(D721,'Species Codes'!B:O,14,0)+VLOOKUP(D721,'Species Codes'!B:P,15,0)*LN((E721*2.54)))*(1/(VLOOKUP(D721,'Species Codes'!B:Q,16,0)+VLOOKUP(D721,'Species Codes'!B:R,17,0)*((E721*2.54)^VLOOKUP(D721,'Species Codes'!B:S,18,0)))),IF(OR(D721="BM",D721="MD",D721="OA"),EXP(VLOOKUP(D721,'Species Codes'!B:O,14,0)+VLOOKUP(D721,'Species Codes'!B:P,15,0)*LN((E721*2.54)))*(1-(1/(VLOOKUP(D721,'Species Codes'!B:Q,16,0)+VLOOKUP(D721,'Species Codes'!B:R,17,0)*((E721*2.54)^VLOOKUP(D721,'Species Codes'!B:S,18,0)))))/1000,IF(D721="DF",EXP(VLOOKUP(D721,'Species Codes'!B:O,14,0)+VLOOKUP(D721,'Species Codes'!B:P,15,0)*LN((E721*2.54))),VLOOKUP(D721,'Species Codes'!B:O,14,0)+VLOOKUP(D721,'Species Codes'!B:P,15,0)*(((E721*2.54)/100)^2)*(I721*0.3048)))))*0.0011023),0)</f>
        <v>#N/A</v>
      </c>
      <c r="AD721" s="104" t="e">
        <f t="shared" si="328"/>
        <v>#N/A</v>
      </c>
      <c r="AE721" s="104" t="e">
        <f t="shared" si="329"/>
        <v>#N/A</v>
      </c>
      <c r="AF721" s="104" t="e">
        <f>IF(AND(VLOOKUP($D721,Merchantability!$B:$C,2,0)="Yes",$E721&gt;=VLOOKUP($D721,Merchantability!$B:$D,3,0),$E721&lt;=VLOOKUP($D721,Merchantability!$B:$E,4,0)),AA721,0)</f>
        <v>#N/A</v>
      </c>
      <c r="AG721" s="104" t="e">
        <f>IF(AND(VLOOKUP($D721,Merchantability!$B:$C,2,0)="Yes",$E721&gt;=VLOOKUP($D721,Merchantability!$B:$D,3,0),$E721&lt;=VLOOKUP($D721,Merchantability!$B:$E,4,0)),AB721,0)</f>
        <v>#N/A</v>
      </c>
      <c r="AH721" s="104" t="e">
        <f>IF(AND(VLOOKUP($D721,Merchantability!$B:$C,2,0)="Yes",$E721&gt;=VLOOKUP($D721,Merchantability!$B:$D,3,0),$E721&lt;=VLOOKUP($D721,Merchantability!$B:$E,4,0)),AC721,0)</f>
        <v>#N/A</v>
      </c>
      <c r="AI721" s="104" t="e">
        <f t="shared" si="330"/>
        <v>#N/A</v>
      </c>
      <c r="AJ721" s="104" t="e">
        <f t="shared" si="331"/>
        <v>#VALUE!</v>
      </c>
      <c r="AK721" s="104" t="e">
        <f t="shared" si="332"/>
        <v>#N/A</v>
      </c>
      <c r="AL721" s="104" t="e">
        <f t="shared" si="333"/>
        <v>#N/A</v>
      </c>
      <c r="AM721" s="104" t="e">
        <f t="shared" si="334"/>
        <v>#N/A</v>
      </c>
      <c r="AN721" s="104" t="e">
        <f t="shared" si="345"/>
        <v>#N/A</v>
      </c>
      <c r="AO721" s="104" t="e">
        <f t="shared" si="346"/>
        <v>#N/A</v>
      </c>
      <c r="AP721" s="104" t="e">
        <f t="shared" si="347"/>
        <v>#N/A</v>
      </c>
      <c r="AQ721" s="104" t="e">
        <f t="shared" si="348"/>
        <v>#N/A</v>
      </c>
      <c r="AR721" s="105" t="str">
        <f t="shared" si="340"/>
        <v/>
      </c>
      <c r="AS721" s="105" t="str">
        <f t="shared" si="341"/>
        <v/>
      </c>
      <c r="AT721" s="108" t="str">
        <f t="shared" si="342"/>
        <v/>
      </c>
      <c r="AU721" s="108" t="str">
        <f t="shared" si="343"/>
        <v/>
      </c>
      <c r="AV721" s="107" t="str">
        <f>IF(ISNUMBER(O721),IF(VLOOKUP($A721,Stand!C:J,8,FALSE)="Short",AT721,AU721),"")</f>
        <v/>
      </c>
      <c r="AW721" s="109" t="str">
        <f t="shared" si="349"/>
        <v/>
      </c>
      <c r="AX721" s="109" t="str">
        <f t="shared" si="350"/>
        <v/>
      </c>
      <c r="AY721" s="112" t="str">
        <f>IF(ISNUMBER(O721),IF(AND(VLOOKUP($D721,Merchantability!$B:$C,2,0)="Yes",$E721&gt;=VLOOKUP($D721,Merchantability!$B:$D,3,0),$E721&lt;=VLOOKUP($D721,Merchantability!$B:$E,4,0)),(AV721*O721)*(1-$H721/100),""),"")</f>
        <v/>
      </c>
      <c r="AZ721" s="116"/>
      <c r="BA721" s="116"/>
      <c r="BB721" s="116"/>
      <c r="BE721" s="62"/>
      <c r="BF721" s="63"/>
    </row>
    <row r="722" spans="1:58" ht="12.75" customHeight="1" x14ac:dyDescent="0.25">
      <c r="A722" s="313"/>
      <c r="B722" s="328"/>
      <c r="C722" s="329"/>
      <c r="D722" s="328"/>
      <c r="E722" s="330"/>
      <c r="F722" s="328"/>
      <c r="G722" s="329"/>
      <c r="H722" s="329"/>
      <c r="I722" s="328"/>
      <c r="J722" s="383"/>
      <c r="K722" s="329"/>
      <c r="L722" s="329"/>
      <c r="M722" s="76"/>
      <c r="N722" s="103" t="str">
        <f>IF(A722="","",VLOOKUP(A722,Stand!C:K,9,0))</f>
        <v/>
      </c>
      <c r="O722" s="104" t="str">
        <f t="shared" si="335"/>
        <v/>
      </c>
      <c r="P722" s="105" t="str">
        <f t="shared" si="336"/>
        <v/>
      </c>
      <c r="Q722" s="105" t="str">
        <f t="shared" si="324"/>
        <v/>
      </c>
      <c r="R722" s="103" t="str">
        <f t="shared" si="337"/>
        <v/>
      </c>
      <c r="S722" s="103" t="str">
        <f t="shared" si="338"/>
        <v/>
      </c>
      <c r="T722" s="106" t="str">
        <f t="shared" si="325"/>
        <v/>
      </c>
      <c r="U722" s="106" t="str">
        <f t="shared" si="326"/>
        <v/>
      </c>
      <c r="V722" s="106" t="str">
        <f t="shared" si="327"/>
        <v/>
      </c>
      <c r="W722" s="105" t="str">
        <f t="shared" si="339"/>
        <v/>
      </c>
      <c r="X722" s="104" t="str">
        <f t="shared" si="344"/>
        <v/>
      </c>
      <c r="Y722" s="104" t="str">
        <f t="array" ref="Y722">IFERROR(IF(ISNUMBER(O722),IF(COUNT(IF(A722=$A$2:$A$2427,IF(D722=$D$2:$D$2427,IF($X$2:$X$2427&gt;0,1))))&gt;0,SUM(IF(A722=$A$2:$A$2427,IF(D722=$D$2:$D$2427,$X$2:$X$2427)))/COUNT(IF(A722=$A$2:$A$2427,IF(D722=$D$2:$D$2427,IF(ISNUMBER($X$2:$X$2427),1)))),0),""),0)</f>
        <v/>
      </c>
      <c r="Z722" s="104" t="str">
        <f>IF(ISNUMBER(O722),IF(I722&gt;0,(10^(VLOOKUP(D722,'Species Codes'!B:C,2,0)+VLOOKUP(D722,'Species Codes'!B:D,3,0)*LOG(E722)+VLOOKUP(D722,'Species Codes'!B:E,4,0)*LOG(I722))),0),"")</f>
        <v/>
      </c>
      <c r="AA722" s="104" t="str">
        <f>IFERROR((VLOOKUP(D722,'Species Codes'!B:G,6,0)*Z722)/2000,"")</f>
        <v/>
      </c>
      <c r="AB722" s="104" t="e">
        <f>IF(Z722&gt;0,((IF(OR(D722="DF",D722="RA")=TRUE,EXP(VLOOKUP(D722,'Species Codes'!B:I,8,0)+VLOOKUP(D722,'Species Codes'!B:J,9,0)*(LN((E722*2.54)))),IF(OR(D722="PY",D722="RC",D722="WH",D722="NF")=TRUE,VLOOKUP(D722,'Species Codes'!B:I,8,0)+VLOOKUP(D722,'Species Codes'!B:J,9,0)*((E722*2.54)^2)*(I722*0.3048),IF(OR(D722="MD",D722="BM",D722="GA")=TRUE,((VLOOKUP(D722,'Species Codes'!B:I,8,0)*(((((E722*2.54)+VLOOKUP(D722,'Species Codes'!B:J,9,0))/VLOOKUP(D722,'Species Codes'!B:K,10,0))^VLOOKUP(D722,'Species Codes'!B:L,11,0))*((I722*0.3048)^VLOOKUP(D722,'Species Codes'!B:M,12,0))))-(VLOOKUP(D722,'Species Codes'!B:I,8,0)*((((E722*2.54)^VLOOKUP(D722,'Species Codes'!B:L,11,0))*((I722*0.3048)^VLOOKUP(D722,'Species Codes'!B:M,12,0))))))*35.3*VLOOKUP(D722,'Species Codes'!B:G,6,0)/2.2046,VLOOKUP(D722,'Species Codes'!B:I,8,0)+VLOOKUP(D722,'Species Codes'!B:J,9,0)*(((E722*2.54)/100)^2)*(I722*0.3048)))))*0.0011023),0)</f>
        <v>#N/A</v>
      </c>
      <c r="AC722" s="104" t="e">
        <f>IF(Z722&gt;0,((IF(OR(D722="RA",D722="OA",D722="OT",D722="UN",D722="PC"),EXP(VLOOKUP(D722,'Species Codes'!B:O,14,0)+VLOOKUP(D722,'Species Codes'!B:P,15,0)*LN((E722*2.54)))-EXP(VLOOKUP(D722,'Species Codes'!B:O,14,0)+VLOOKUP(D722,'Species Codes'!B:P,15,0)*LN((E722*2.54)))*(1/(VLOOKUP(D722,'Species Codes'!B:Q,16,0)+VLOOKUP(D722,'Species Codes'!B:R,17,0)*((E722*2.54)^VLOOKUP(D722,'Species Codes'!B:S,18,0)))),IF(OR(D722="BM",D722="MD",D722="OA"),EXP(VLOOKUP(D722,'Species Codes'!B:O,14,0)+VLOOKUP(D722,'Species Codes'!B:P,15,0)*LN((E722*2.54)))*(1-(1/(VLOOKUP(D722,'Species Codes'!B:Q,16,0)+VLOOKUP(D722,'Species Codes'!B:R,17,0)*((E722*2.54)^VLOOKUP(D722,'Species Codes'!B:S,18,0)))))/1000,IF(D722="DF",EXP(VLOOKUP(D722,'Species Codes'!B:O,14,0)+VLOOKUP(D722,'Species Codes'!B:P,15,0)*LN((E722*2.54))),VLOOKUP(D722,'Species Codes'!B:O,14,0)+VLOOKUP(D722,'Species Codes'!B:P,15,0)*(((E722*2.54)/100)^2)*(I722*0.3048)))))*0.0011023),0)</f>
        <v>#N/A</v>
      </c>
      <c r="AD722" s="104" t="e">
        <f t="shared" si="328"/>
        <v>#N/A</v>
      </c>
      <c r="AE722" s="104" t="e">
        <f t="shared" si="329"/>
        <v>#N/A</v>
      </c>
      <c r="AF722" s="104" t="e">
        <f>IF(AND(VLOOKUP($D722,Merchantability!$B:$C,2,0)="Yes",$E722&gt;=VLOOKUP($D722,Merchantability!$B:$D,3,0),$E722&lt;=VLOOKUP($D722,Merchantability!$B:$E,4,0)),AA722,0)</f>
        <v>#N/A</v>
      </c>
      <c r="AG722" s="104" t="e">
        <f>IF(AND(VLOOKUP($D722,Merchantability!$B:$C,2,0)="Yes",$E722&gt;=VLOOKUP($D722,Merchantability!$B:$D,3,0),$E722&lt;=VLOOKUP($D722,Merchantability!$B:$E,4,0)),AB722,0)</f>
        <v>#N/A</v>
      </c>
      <c r="AH722" s="104" t="e">
        <f>IF(AND(VLOOKUP($D722,Merchantability!$B:$C,2,0)="Yes",$E722&gt;=VLOOKUP($D722,Merchantability!$B:$D,3,0),$E722&lt;=VLOOKUP($D722,Merchantability!$B:$E,4,0)),AC722,0)</f>
        <v>#N/A</v>
      </c>
      <c r="AI722" s="104" t="e">
        <f t="shared" si="330"/>
        <v>#N/A</v>
      </c>
      <c r="AJ722" s="104" t="e">
        <f t="shared" si="331"/>
        <v>#VALUE!</v>
      </c>
      <c r="AK722" s="104" t="e">
        <f t="shared" si="332"/>
        <v>#N/A</v>
      </c>
      <c r="AL722" s="104" t="e">
        <f t="shared" si="333"/>
        <v>#N/A</v>
      </c>
      <c r="AM722" s="104" t="e">
        <f t="shared" si="334"/>
        <v>#N/A</v>
      </c>
      <c r="AN722" s="104" t="e">
        <f t="shared" si="345"/>
        <v>#N/A</v>
      </c>
      <c r="AO722" s="104" t="e">
        <f t="shared" si="346"/>
        <v>#N/A</v>
      </c>
      <c r="AP722" s="104" t="e">
        <f t="shared" si="347"/>
        <v>#N/A</v>
      </c>
      <c r="AQ722" s="104" t="e">
        <f t="shared" si="348"/>
        <v>#N/A</v>
      </c>
      <c r="AR722" s="105" t="str">
        <f t="shared" si="340"/>
        <v/>
      </c>
      <c r="AS722" s="105" t="str">
        <f t="shared" si="341"/>
        <v/>
      </c>
      <c r="AT722" s="108" t="str">
        <f t="shared" si="342"/>
        <v/>
      </c>
      <c r="AU722" s="108" t="str">
        <f t="shared" si="343"/>
        <v/>
      </c>
      <c r="AV722" s="107" t="str">
        <f>IF(ISNUMBER(O722),IF(VLOOKUP($A722,Stand!C:J,8,FALSE)="Short",AT722,AU722),"")</f>
        <v/>
      </c>
      <c r="AW722" s="109" t="str">
        <f t="shared" si="349"/>
        <v/>
      </c>
      <c r="AX722" s="109" t="str">
        <f t="shared" si="350"/>
        <v/>
      </c>
      <c r="AY722" s="112" t="str">
        <f>IF(ISNUMBER(O722),IF(AND(VLOOKUP($D722,Merchantability!$B:$C,2,0)="Yes",$E722&gt;=VLOOKUP($D722,Merchantability!$B:$D,3,0),$E722&lt;=VLOOKUP($D722,Merchantability!$B:$E,4,0)),(AV722*O722)*(1-$H722/100),""),"")</f>
        <v/>
      </c>
      <c r="AZ722" s="116"/>
      <c r="BA722" s="116"/>
      <c r="BB722" s="116"/>
      <c r="BE722" s="62"/>
      <c r="BF722" s="63"/>
    </row>
    <row r="723" spans="1:58" ht="12.75" customHeight="1" x14ac:dyDescent="0.25">
      <c r="A723" s="313"/>
      <c r="B723" s="328"/>
      <c r="C723" s="329"/>
      <c r="D723" s="328"/>
      <c r="E723" s="330"/>
      <c r="F723" s="328"/>
      <c r="G723" s="329"/>
      <c r="H723" s="329"/>
      <c r="I723" s="328"/>
      <c r="J723" s="383"/>
      <c r="K723" s="329"/>
      <c r="L723" s="329"/>
      <c r="M723" s="76"/>
      <c r="N723" s="103" t="str">
        <f>IF(A723="","",VLOOKUP(A723,Stand!C:K,9,0))</f>
        <v/>
      </c>
      <c r="O723" s="104" t="str">
        <f t="shared" si="335"/>
        <v/>
      </c>
      <c r="P723" s="105" t="str">
        <f t="shared" si="336"/>
        <v/>
      </c>
      <c r="Q723" s="105" t="str">
        <f t="shared" si="324"/>
        <v/>
      </c>
      <c r="R723" s="103" t="str">
        <f t="shared" si="337"/>
        <v/>
      </c>
      <c r="S723" s="103" t="str">
        <f t="shared" si="338"/>
        <v/>
      </c>
      <c r="T723" s="106" t="str">
        <f t="shared" si="325"/>
        <v/>
      </c>
      <c r="U723" s="106" t="str">
        <f t="shared" si="326"/>
        <v/>
      </c>
      <c r="V723" s="106" t="str">
        <f t="shared" si="327"/>
        <v/>
      </c>
      <c r="W723" s="105" t="str">
        <f t="shared" si="339"/>
        <v/>
      </c>
      <c r="X723" s="104" t="str">
        <f t="shared" si="344"/>
        <v/>
      </c>
      <c r="Y723" s="104" t="str">
        <f t="array" ref="Y723">IFERROR(IF(ISNUMBER(O723),IF(COUNT(IF(A723=$A$2:$A$2427,IF(D723=$D$2:$D$2427,IF($X$2:$X$2427&gt;0,1))))&gt;0,SUM(IF(A723=$A$2:$A$2427,IF(D723=$D$2:$D$2427,$X$2:$X$2427)))/COUNT(IF(A723=$A$2:$A$2427,IF(D723=$D$2:$D$2427,IF(ISNUMBER($X$2:$X$2427),1)))),0),""),0)</f>
        <v/>
      </c>
      <c r="Z723" s="104" t="str">
        <f>IF(ISNUMBER(O723),IF(I723&gt;0,(10^(VLOOKUP(D723,'Species Codes'!B:C,2,0)+VLOOKUP(D723,'Species Codes'!B:D,3,0)*LOG(E723)+VLOOKUP(D723,'Species Codes'!B:E,4,0)*LOG(I723))),0),"")</f>
        <v/>
      </c>
      <c r="AA723" s="104" t="str">
        <f>IFERROR((VLOOKUP(D723,'Species Codes'!B:G,6,0)*Z723)/2000,"")</f>
        <v/>
      </c>
      <c r="AB723" s="104" t="e">
        <f>IF(Z723&gt;0,((IF(OR(D723="DF",D723="RA")=TRUE,EXP(VLOOKUP(D723,'Species Codes'!B:I,8,0)+VLOOKUP(D723,'Species Codes'!B:J,9,0)*(LN((E723*2.54)))),IF(OR(D723="PY",D723="RC",D723="WH",D723="NF")=TRUE,VLOOKUP(D723,'Species Codes'!B:I,8,0)+VLOOKUP(D723,'Species Codes'!B:J,9,0)*((E723*2.54)^2)*(I723*0.3048),IF(OR(D723="MD",D723="BM",D723="GA")=TRUE,((VLOOKUP(D723,'Species Codes'!B:I,8,0)*(((((E723*2.54)+VLOOKUP(D723,'Species Codes'!B:J,9,0))/VLOOKUP(D723,'Species Codes'!B:K,10,0))^VLOOKUP(D723,'Species Codes'!B:L,11,0))*((I723*0.3048)^VLOOKUP(D723,'Species Codes'!B:M,12,0))))-(VLOOKUP(D723,'Species Codes'!B:I,8,0)*((((E723*2.54)^VLOOKUP(D723,'Species Codes'!B:L,11,0))*((I723*0.3048)^VLOOKUP(D723,'Species Codes'!B:M,12,0))))))*35.3*VLOOKUP(D723,'Species Codes'!B:G,6,0)/2.2046,VLOOKUP(D723,'Species Codes'!B:I,8,0)+VLOOKUP(D723,'Species Codes'!B:J,9,0)*(((E723*2.54)/100)^2)*(I723*0.3048)))))*0.0011023),0)</f>
        <v>#N/A</v>
      </c>
      <c r="AC723" s="104" t="e">
        <f>IF(Z723&gt;0,((IF(OR(D723="RA",D723="OA",D723="OT",D723="UN",D723="PC"),EXP(VLOOKUP(D723,'Species Codes'!B:O,14,0)+VLOOKUP(D723,'Species Codes'!B:P,15,0)*LN((E723*2.54)))-EXP(VLOOKUP(D723,'Species Codes'!B:O,14,0)+VLOOKUP(D723,'Species Codes'!B:P,15,0)*LN((E723*2.54)))*(1/(VLOOKUP(D723,'Species Codes'!B:Q,16,0)+VLOOKUP(D723,'Species Codes'!B:R,17,0)*((E723*2.54)^VLOOKUP(D723,'Species Codes'!B:S,18,0)))),IF(OR(D723="BM",D723="MD",D723="OA"),EXP(VLOOKUP(D723,'Species Codes'!B:O,14,0)+VLOOKUP(D723,'Species Codes'!B:P,15,0)*LN((E723*2.54)))*(1-(1/(VLOOKUP(D723,'Species Codes'!B:Q,16,0)+VLOOKUP(D723,'Species Codes'!B:R,17,0)*((E723*2.54)^VLOOKUP(D723,'Species Codes'!B:S,18,0)))))/1000,IF(D723="DF",EXP(VLOOKUP(D723,'Species Codes'!B:O,14,0)+VLOOKUP(D723,'Species Codes'!B:P,15,0)*LN((E723*2.54))),VLOOKUP(D723,'Species Codes'!B:O,14,0)+VLOOKUP(D723,'Species Codes'!B:P,15,0)*(((E723*2.54)/100)^2)*(I723*0.3048)))))*0.0011023),0)</f>
        <v>#N/A</v>
      </c>
      <c r="AD723" s="104" t="e">
        <f t="shared" si="328"/>
        <v>#N/A</v>
      </c>
      <c r="AE723" s="104" t="e">
        <f t="shared" si="329"/>
        <v>#N/A</v>
      </c>
      <c r="AF723" s="104" t="e">
        <f>IF(AND(VLOOKUP($D723,Merchantability!$B:$C,2,0)="Yes",$E723&gt;=VLOOKUP($D723,Merchantability!$B:$D,3,0),$E723&lt;=VLOOKUP($D723,Merchantability!$B:$E,4,0)),AA723,0)</f>
        <v>#N/A</v>
      </c>
      <c r="AG723" s="104" t="e">
        <f>IF(AND(VLOOKUP($D723,Merchantability!$B:$C,2,0)="Yes",$E723&gt;=VLOOKUP($D723,Merchantability!$B:$D,3,0),$E723&lt;=VLOOKUP($D723,Merchantability!$B:$E,4,0)),AB723,0)</f>
        <v>#N/A</v>
      </c>
      <c r="AH723" s="104" t="e">
        <f>IF(AND(VLOOKUP($D723,Merchantability!$B:$C,2,0)="Yes",$E723&gt;=VLOOKUP($D723,Merchantability!$B:$D,3,0),$E723&lt;=VLOOKUP($D723,Merchantability!$B:$E,4,0)),AC723,0)</f>
        <v>#N/A</v>
      </c>
      <c r="AI723" s="104" t="e">
        <f t="shared" si="330"/>
        <v>#N/A</v>
      </c>
      <c r="AJ723" s="104" t="e">
        <f t="shared" si="331"/>
        <v>#VALUE!</v>
      </c>
      <c r="AK723" s="104" t="e">
        <f t="shared" si="332"/>
        <v>#N/A</v>
      </c>
      <c r="AL723" s="104" t="e">
        <f t="shared" si="333"/>
        <v>#N/A</v>
      </c>
      <c r="AM723" s="104" t="e">
        <f t="shared" si="334"/>
        <v>#N/A</v>
      </c>
      <c r="AN723" s="104" t="e">
        <f t="shared" si="345"/>
        <v>#N/A</v>
      </c>
      <c r="AO723" s="104" t="e">
        <f t="shared" si="346"/>
        <v>#N/A</v>
      </c>
      <c r="AP723" s="104" t="e">
        <f t="shared" si="347"/>
        <v>#N/A</v>
      </c>
      <c r="AQ723" s="104" t="e">
        <f t="shared" si="348"/>
        <v>#N/A</v>
      </c>
      <c r="AR723" s="105" t="str">
        <f t="shared" si="340"/>
        <v/>
      </c>
      <c r="AS723" s="105" t="str">
        <f t="shared" si="341"/>
        <v/>
      </c>
      <c r="AT723" s="108" t="str">
        <f t="shared" si="342"/>
        <v/>
      </c>
      <c r="AU723" s="108" t="str">
        <f t="shared" si="343"/>
        <v/>
      </c>
      <c r="AV723" s="107" t="str">
        <f>IF(ISNUMBER(O723),IF(VLOOKUP($A723,Stand!C:J,8,FALSE)="Short",AT723,AU723),"")</f>
        <v/>
      </c>
      <c r="AW723" s="109" t="str">
        <f t="shared" si="349"/>
        <v/>
      </c>
      <c r="AX723" s="109" t="str">
        <f t="shared" si="350"/>
        <v/>
      </c>
      <c r="AY723" s="112" t="str">
        <f>IF(ISNUMBER(O723),IF(AND(VLOOKUP($D723,Merchantability!$B:$C,2,0)="Yes",$E723&gt;=VLOOKUP($D723,Merchantability!$B:$D,3,0),$E723&lt;=VLOOKUP($D723,Merchantability!$B:$E,4,0)),(AV723*O723)*(1-$H723/100),""),"")</f>
        <v/>
      </c>
      <c r="AZ723" s="116"/>
      <c r="BA723" s="116"/>
      <c r="BB723" s="116"/>
      <c r="BE723" s="62"/>
      <c r="BF723" s="63"/>
    </row>
    <row r="724" spans="1:58" ht="12.75" customHeight="1" x14ac:dyDescent="0.25">
      <c r="A724" s="313"/>
      <c r="B724" s="328"/>
      <c r="C724" s="329"/>
      <c r="D724" s="328"/>
      <c r="E724" s="330"/>
      <c r="F724" s="328"/>
      <c r="G724" s="329"/>
      <c r="H724" s="329"/>
      <c r="I724" s="328"/>
      <c r="J724" s="383"/>
      <c r="K724" s="329"/>
      <c r="L724" s="329"/>
      <c r="M724" s="76"/>
      <c r="N724" s="103" t="str">
        <f>IF(A724="","",VLOOKUP(A724,Stand!C:K,9,0))</f>
        <v/>
      </c>
      <c r="O724" s="104" t="str">
        <f t="shared" si="335"/>
        <v/>
      </c>
      <c r="P724" s="105" t="str">
        <f t="shared" si="336"/>
        <v/>
      </c>
      <c r="Q724" s="105" t="str">
        <f t="shared" si="324"/>
        <v/>
      </c>
      <c r="R724" s="103" t="str">
        <f t="shared" si="337"/>
        <v/>
      </c>
      <c r="S724" s="103" t="str">
        <f t="shared" si="338"/>
        <v/>
      </c>
      <c r="T724" s="106" t="str">
        <f t="shared" si="325"/>
        <v/>
      </c>
      <c r="U724" s="106" t="str">
        <f t="shared" si="326"/>
        <v/>
      </c>
      <c r="V724" s="106" t="str">
        <f t="shared" si="327"/>
        <v/>
      </c>
      <c r="W724" s="105" t="str">
        <f t="shared" si="339"/>
        <v/>
      </c>
      <c r="X724" s="104" t="str">
        <f t="shared" si="344"/>
        <v/>
      </c>
      <c r="Y724" s="104" t="str">
        <f t="array" ref="Y724">IFERROR(IF(ISNUMBER(O724),IF(COUNT(IF(A724=$A$2:$A$2427,IF(D724=$D$2:$D$2427,IF($X$2:$X$2427&gt;0,1))))&gt;0,SUM(IF(A724=$A$2:$A$2427,IF(D724=$D$2:$D$2427,$X$2:$X$2427)))/COUNT(IF(A724=$A$2:$A$2427,IF(D724=$D$2:$D$2427,IF(ISNUMBER($X$2:$X$2427),1)))),0),""),0)</f>
        <v/>
      </c>
      <c r="Z724" s="104" t="str">
        <f>IF(ISNUMBER(O724),IF(I724&gt;0,(10^(VLOOKUP(D724,'Species Codes'!B:C,2,0)+VLOOKUP(D724,'Species Codes'!B:D,3,0)*LOG(E724)+VLOOKUP(D724,'Species Codes'!B:E,4,0)*LOG(I724))),0),"")</f>
        <v/>
      </c>
      <c r="AA724" s="104" t="str">
        <f>IFERROR((VLOOKUP(D724,'Species Codes'!B:G,6,0)*Z724)/2000,"")</f>
        <v/>
      </c>
      <c r="AB724" s="104" t="e">
        <f>IF(Z724&gt;0,((IF(OR(D724="DF",D724="RA")=TRUE,EXP(VLOOKUP(D724,'Species Codes'!B:I,8,0)+VLOOKUP(D724,'Species Codes'!B:J,9,0)*(LN((E724*2.54)))),IF(OR(D724="PY",D724="RC",D724="WH",D724="NF")=TRUE,VLOOKUP(D724,'Species Codes'!B:I,8,0)+VLOOKUP(D724,'Species Codes'!B:J,9,0)*((E724*2.54)^2)*(I724*0.3048),IF(OR(D724="MD",D724="BM",D724="GA")=TRUE,((VLOOKUP(D724,'Species Codes'!B:I,8,0)*(((((E724*2.54)+VLOOKUP(D724,'Species Codes'!B:J,9,0))/VLOOKUP(D724,'Species Codes'!B:K,10,0))^VLOOKUP(D724,'Species Codes'!B:L,11,0))*((I724*0.3048)^VLOOKUP(D724,'Species Codes'!B:M,12,0))))-(VLOOKUP(D724,'Species Codes'!B:I,8,0)*((((E724*2.54)^VLOOKUP(D724,'Species Codes'!B:L,11,0))*((I724*0.3048)^VLOOKUP(D724,'Species Codes'!B:M,12,0))))))*35.3*VLOOKUP(D724,'Species Codes'!B:G,6,0)/2.2046,VLOOKUP(D724,'Species Codes'!B:I,8,0)+VLOOKUP(D724,'Species Codes'!B:J,9,0)*(((E724*2.54)/100)^2)*(I724*0.3048)))))*0.0011023),0)</f>
        <v>#N/A</v>
      </c>
      <c r="AC724" s="104" t="e">
        <f>IF(Z724&gt;0,((IF(OR(D724="RA",D724="OA",D724="OT",D724="UN",D724="PC"),EXP(VLOOKUP(D724,'Species Codes'!B:O,14,0)+VLOOKUP(D724,'Species Codes'!B:P,15,0)*LN((E724*2.54)))-EXP(VLOOKUP(D724,'Species Codes'!B:O,14,0)+VLOOKUP(D724,'Species Codes'!B:P,15,0)*LN((E724*2.54)))*(1/(VLOOKUP(D724,'Species Codes'!B:Q,16,0)+VLOOKUP(D724,'Species Codes'!B:R,17,0)*((E724*2.54)^VLOOKUP(D724,'Species Codes'!B:S,18,0)))),IF(OR(D724="BM",D724="MD",D724="OA"),EXP(VLOOKUP(D724,'Species Codes'!B:O,14,0)+VLOOKUP(D724,'Species Codes'!B:P,15,0)*LN((E724*2.54)))*(1-(1/(VLOOKUP(D724,'Species Codes'!B:Q,16,0)+VLOOKUP(D724,'Species Codes'!B:R,17,0)*((E724*2.54)^VLOOKUP(D724,'Species Codes'!B:S,18,0)))))/1000,IF(D724="DF",EXP(VLOOKUP(D724,'Species Codes'!B:O,14,0)+VLOOKUP(D724,'Species Codes'!B:P,15,0)*LN((E724*2.54))),VLOOKUP(D724,'Species Codes'!B:O,14,0)+VLOOKUP(D724,'Species Codes'!B:P,15,0)*(((E724*2.54)/100)^2)*(I724*0.3048)))))*0.0011023),0)</f>
        <v>#N/A</v>
      </c>
      <c r="AD724" s="104" t="e">
        <f t="shared" si="328"/>
        <v>#N/A</v>
      </c>
      <c r="AE724" s="104" t="e">
        <f t="shared" si="329"/>
        <v>#N/A</v>
      </c>
      <c r="AF724" s="104" t="e">
        <f>IF(AND(VLOOKUP($D724,Merchantability!$B:$C,2,0)="Yes",$E724&gt;=VLOOKUP($D724,Merchantability!$B:$D,3,0),$E724&lt;=VLOOKUP($D724,Merchantability!$B:$E,4,0)),AA724,0)</f>
        <v>#N/A</v>
      </c>
      <c r="AG724" s="104" t="e">
        <f>IF(AND(VLOOKUP($D724,Merchantability!$B:$C,2,0)="Yes",$E724&gt;=VLOOKUP($D724,Merchantability!$B:$D,3,0),$E724&lt;=VLOOKUP($D724,Merchantability!$B:$E,4,0)),AB724,0)</f>
        <v>#N/A</v>
      </c>
      <c r="AH724" s="104" t="e">
        <f>IF(AND(VLOOKUP($D724,Merchantability!$B:$C,2,0)="Yes",$E724&gt;=VLOOKUP($D724,Merchantability!$B:$D,3,0),$E724&lt;=VLOOKUP($D724,Merchantability!$B:$E,4,0)),AC724,0)</f>
        <v>#N/A</v>
      </c>
      <c r="AI724" s="104" t="e">
        <f t="shared" si="330"/>
        <v>#N/A</v>
      </c>
      <c r="AJ724" s="104" t="e">
        <f t="shared" si="331"/>
        <v>#VALUE!</v>
      </c>
      <c r="AK724" s="104" t="e">
        <f t="shared" si="332"/>
        <v>#N/A</v>
      </c>
      <c r="AL724" s="104" t="e">
        <f t="shared" si="333"/>
        <v>#N/A</v>
      </c>
      <c r="AM724" s="104" t="e">
        <f t="shared" si="334"/>
        <v>#N/A</v>
      </c>
      <c r="AN724" s="104" t="e">
        <f t="shared" si="345"/>
        <v>#N/A</v>
      </c>
      <c r="AO724" s="104" t="e">
        <f t="shared" si="346"/>
        <v>#N/A</v>
      </c>
      <c r="AP724" s="104" t="e">
        <f t="shared" si="347"/>
        <v>#N/A</v>
      </c>
      <c r="AQ724" s="104" t="e">
        <f t="shared" si="348"/>
        <v>#N/A</v>
      </c>
      <c r="AR724" s="105" t="str">
        <f t="shared" si="340"/>
        <v/>
      </c>
      <c r="AS724" s="105" t="str">
        <f t="shared" si="341"/>
        <v/>
      </c>
      <c r="AT724" s="108" t="str">
        <f t="shared" si="342"/>
        <v/>
      </c>
      <c r="AU724" s="108" t="str">
        <f t="shared" si="343"/>
        <v/>
      </c>
      <c r="AV724" s="107" t="str">
        <f>IF(ISNUMBER(O724),IF(VLOOKUP($A724,Stand!C:J,8,FALSE)="Short",AT724,AU724),"")</f>
        <v/>
      </c>
      <c r="AW724" s="109" t="str">
        <f t="shared" si="349"/>
        <v/>
      </c>
      <c r="AX724" s="109" t="str">
        <f t="shared" si="350"/>
        <v/>
      </c>
      <c r="AY724" s="112" t="str">
        <f>IF(ISNUMBER(O724),IF(AND(VLOOKUP($D724,Merchantability!$B:$C,2,0)="Yes",$E724&gt;=VLOOKUP($D724,Merchantability!$B:$D,3,0),$E724&lt;=VLOOKUP($D724,Merchantability!$B:$E,4,0)),(AV724*O724)*(1-$H724/100),""),"")</f>
        <v/>
      </c>
      <c r="AZ724" s="116"/>
      <c r="BA724" s="116"/>
      <c r="BB724" s="116"/>
      <c r="BE724" s="62"/>
      <c r="BF724" s="63"/>
    </row>
    <row r="725" spans="1:58" ht="12.75" customHeight="1" x14ac:dyDescent="0.25">
      <c r="A725" s="313"/>
      <c r="B725" s="328"/>
      <c r="C725" s="329"/>
      <c r="D725" s="328"/>
      <c r="E725" s="330"/>
      <c r="F725" s="328"/>
      <c r="G725" s="329"/>
      <c r="H725" s="329"/>
      <c r="I725" s="328"/>
      <c r="J725" s="383"/>
      <c r="K725" s="329"/>
      <c r="L725" s="329"/>
      <c r="M725" s="76"/>
      <c r="N725" s="103" t="str">
        <f>IF(A725="","",VLOOKUP(A725,Stand!C:K,9,0))</f>
        <v/>
      </c>
      <c r="O725" s="104" t="str">
        <f t="shared" si="335"/>
        <v/>
      </c>
      <c r="P725" s="105" t="str">
        <f t="shared" si="336"/>
        <v/>
      </c>
      <c r="Q725" s="105" t="str">
        <f t="shared" si="324"/>
        <v/>
      </c>
      <c r="R725" s="103" t="str">
        <f t="shared" si="337"/>
        <v/>
      </c>
      <c r="S725" s="103" t="str">
        <f t="shared" si="338"/>
        <v/>
      </c>
      <c r="T725" s="106" t="str">
        <f t="shared" si="325"/>
        <v/>
      </c>
      <c r="U725" s="106" t="str">
        <f t="shared" si="326"/>
        <v/>
      </c>
      <c r="V725" s="106" t="str">
        <f t="shared" si="327"/>
        <v/>
      </c>
      <c r="W725" s="105" t="str">
        <f t="shared" si="339"/>
        <v/>
      </c>
      <c r="X725" s="104" t="str">
        <f t="shared" si="344"/>
        <v/>
      </c>
      <c r="Y725" s="104" t="str">
        <f t="array" ref="Y725">IFERROR(IF(ISNUMBER(O725),IF(COUNT(IF(A725=$A$2:$A$2427,IF(D725=$D$2:$D$2427,IF($X$2:$X$2427&gt;0,1))))&gt;0,SUM(IF(A725=$A$2:$A$2427,IF(D725=$D$2:$D$2427,$X$2:$X$2427)))/COUNT(IF(A725=$A$2:$A$2427,IF(D725=$D$2:$D$2427,IF(ISNUMBER($X$2:$X$2427),1)))),0),""),0)</f>
        <v/>
      </c>
      <c r="Z725" s="104" t="str">
        <f>IF(ISNUMBER(O725),IF(I725&gt;0,(10^(VLOOKUP(D725,'Species Codes'!B:C,2,0)+VLOOKUP(D725,'Species Codes'!B:D,3,0)*LOG(E725)+VLOOKUP(D725,'Species Codes'!B:E,4,0)*LOG(I725))),0),"")</f>
        <v/>
      </c>
      <c r="AA725" s="104" t="str">
        <f>IFERROR((VLOOKUP(D725,'Species Codes'!B:G,6,0)*Z725)/2000,"")</f>
        <v/>
      </c>
      <c r="AB725" s="104" t="e">
        <f>IF(Z725&gt;0,((IF(OR(D725="DF",D725="RA")=TRUE,EXP(VLOOKUP(D725,'Species Codes'!B:I,8,0)+VLOOKUP(D725,'Species Codes'!B:J,9,0)*(LN((E725*2.54)))),IF(OR(D725="PY",D725="RC",D725="WH",D725="NF")=TRUE,VLOOKUP(D725,'Species Codes'!B:I,8,0)+VLOOKUP(D725,'Species Codes'!B:J,9,0)*((E725*2.54)^2)*(I725*0.3048),IF(OR(D725="MD",D725="BM",D725="GA")=TRUE,((VLOOKUP(D725,'Species Codes'!B:I,8,0)*(((((E725*2.54)+VLOOKUP(D725,'Species Codes'!B:J,9,0))/VLOOKUP(D725,'Species Codes'!B:K,10,0))^VLOOKUP(D725,'Species Codes'!B:L,11,0))*((I725*0.3048)^VLOOKUP(D725,'Species Codes'!B:M,12,0))))-(VLOOKUP(D725,'Species Codes'!B:I,8,0)*((((E725*2.54)^VLOOKUP(D725,'Species Codes'!B:L,11,0))*((I725*0.3048)^VLOOKUP(D725,'Species Codes'!B:M,12,0))))))*35.3*VLOOKUP(D725,'Species Codes'!B:G,6,0)/2.2046,VLOOKUP(D725,'Species Codes'!B:I,8,0)+VLOOKUP(D725,'Species Codes'!B:J,9,0)*(((E725*2.54)/100)^2)*(I725*0.3048)))))*0.0011023),0)</f>
        <v>#N/A</v>
      </c>
      <c r="AC725" s="104" t="e">
        <f>IF(Z725&gt;0,((IF(OR(D725="RA",D725="OA",D725="OT",D725="UN",D725="PC"),EXP(VLOOKUP(D725,'Species Codes'!B:O,14,0)+VLOOKUP(D725,'Species Codes'!B:P,15,0)*LN((E725*2.54)))-EXP(VLOOKUP(D725,'Species Codes'!B:O,14,0)+VLOOKUP(D725,'Species Codes'!B:P,15,0)*LN((E725*2.54)))*(1/(VLOOKUP(D725,'Species Codes'!B:Q,16,0)+VLOOKUP(D725,'Species Codes'!B:R,17,0)*((E725*2.54)^VLOOKUP(D725,'Species Codes'!B:S,18,0)))),IF(OR(D725="BM",D725="MD",D725="OA"),EXP(VLOOKUP(D725,'Species Codes'!B:O,14,0)+VLOOKUP(D725,'Species Codes'!B:P,15,0)*LN((E725*2.54)))*(1-(1/(VLOOKUP(D725,'Species Codes'!B:Q,16,0)+VLOOKUP(D725,'Species Codes'!B:R,17,0)*((E725*2.54)^VLOOKUP(D725,'Species Codes'!B:S,18,0)))))/1000,IF(D725="DF",EXP(VLOOKUP(D725,'Species Codes'!B:O,14,0)+VLOOKUP(D725,'Species Codes'!B:P,15,0)*LN((E725*2.54))),VLOOKUP(D725,'Species Codes'!B:O,14,0)+VLOOKUP(D725,'Species Codes'!B:P,15,0)*(((E725*2.54)/100)^2)*(I725*0.3048)))))*0.0011023),0)</f>
        <v>#N/A</v>
      </c>
      <c r="AD725" s="104" t="e">
        <f t="shared" si="328"/>
        <v>#N/A</v>
      </c>
      <c r="AE725" s="104" t="e">
        <f t="shared" si="329"/>
        <v>#N/A</v>
      </c>
      <c r="AF725" s="104" t="e">
        <f>IF(AND(VLOOKUP($D725,Merchantability!$B:$C,2,0)="Yes",$E725&gt;=VLOOKUP($D725,Merchantability!$B:$D,3,0),$E725&lt;=VLOOKUP($D725,Merchantability!$B:$E,4,0)),AA725,0)</f>
        <v>#N/A</v>
      </c>
      <c r="AG725" s="104" t="e">
        <f>IF(AND(VLOOKUP($D725,Merchantability!$B:$C,2,0)="Yes",$E725&gt;=VLOOKUP($D725,Merchantability!$B:$D,3,0),$E725&lt;=VLOOKUP($D725,Merchantability!$B:$E,4,0)),AB725,0)</f>
        <v>#N/A</v>
      </c>
      <c r="AH725" s="104" t="e">
        <f>IF(AND(VLOOKUP($D725,Merchantability!$B:$C,2,0)="Yes",$E725&gt;=VLOOKUP($D725,Merchantability!$B:$D,3,0),$E725&lt;=VLOOKUP($D725,Merchantability!$B:$E,4,0)),AC725,0)</f>
        <v>#N/A</v>
      </c>
      <c r="AI725" s="104" t="e">
        <f t="shared" si="330"/>
        <v>#N/A</v>
      </c>
      <c r="AJ725" s="104" t="e">
        <f t="shared" si="331"/>
        <v>#VALUE!</v>
      </c>
      <c r="AK725" s="104" t="e">
        <f t="shared" si="332"/>
        <v>#N/A</v>
      </c>
      <c r="AL725" s="104" t="e">
        <f t="shared" si="333"/>
        <v>#N/A</v>
      </c>
      <c r="AM725" s="104" t="e">
        <f t="shared" si="334"/>
        <v>#N/A</v>
      </c>
      <c r="AN725" s="104" t="e">
        <f t="shared" si="345"/>
        <v>#N/A</v>
      </c>
      <c r="AO725" s="104" t="e">
        <f t="shared" si="346"/>
        <v>#N/A</v>
      </c>
      <c r="AP725" s="104" t="e">
        <f t="shared" si="347"/>
        <v>#N/A</v>
      </c>
      <c r="AQ725" s="104" t="e">
        <f t="shared" si="348"/>
        <v>#N/A</v>
      </c>
      <c r="AR725" s="105" t="str">
        <f t="shared" si="340"/>
        <v/>
      </c>
      <c r="AS725" s="105" t="str">
        <f t="shared" si="341"/>
        <v/>
      </c>
      <c r="AT725" s="108" t="str">
        <f t="shared" si="342"/>
        <v/>
      </c>
      <c r="AU725" s="108" t="str">
        <f t="shared" si="343"/>
        <v/>
      </c>
      <c r="AV725" s="107" t="str">
        <f>IF(ISNUMBER(O725),IF(VLOOKUP($A725,Stand!C:J,8,FALSE)="Short",AT725,AU725),"")</f>
        <v/>
      </c>
      <c r="AW725" s="109" t="str">
        <f t="shared" si="349"/>
        <v/>
      </c>
      <c r="AX725" s="109" t="str">
        <f t="shared" si="350"/>
        <v/>
      </c>
      <c r="AY725" s="112" t="str">
        <f>IF(ISNUMBER(O725),IF(AND(VLOOKUP($D725,Merchantability!$B:$C,2,0)="Yes",$E725&gt;=VLOOKUP($D725,Merchantability!$B:$D,3,0),$E725&lt;=VLOOKUP($D725,Merchantability!$B:$E,4,0)),(AV725*O725)*(1-$H725/100),""),"")</f>
        <v/>
      </c>
      <c r="AZ725" s="116"/>
      <c r="BA725" s="116"/>
      <c r="BB725" s="116"/>
      <c r="BE725" s="62"/>
      <c r="BF725" s="63"/>
    </row>
    <row r="726" spans="1:58" ht="12.75" customHeight="1" x14ac:dyDescent="0.25">
      <c r="A726" s="313"/>
      <c r="B726" s="328"/>
      <c r="C726" s="329"/>
      <c r="D726" s="328"/>
      <c r="E726" s="330"/>
      <c r="F726" s="328"/>
      <c r="G726" s="329"/>
      <c r="H726" s="329"/>
      <c r="I726" s="328"/>
      <c r="J726" s="383"/>
      <c r="K726" s="329"/>
      <c r="L726" s="329"/>
      <c r="M726" s="76"/>
      <c r="N726" s="103" t="str">
        <f>IF(A726="","",VLOOKUP(A726,Stand!C:K,9,0))</f>
        <v/>
      </c>
      <c r="O726" s="104" t="str">
        <f t="shared" si="335"/>
        <v/>
      </c>
      <c r="P726" s="105" t="str">
        <f t="shared" si="336"/>
        <v/>
      </c>
      <c r="Q726" s="105" t="str">
        <f t="shared" si="324"/>
        <v/>
      </c>
      <c r="R726" s="103" t="str">
        <f t="shared" si="337"/>
        <v/>
      </c>
      <c r="S726" s="103" t="str">
        <f t="shared" si="338"/>
        <v/>
      </c>
      <c r="T726" s="106" t="str">
        <f t="shared" si="325"/>
        <v/>
      </c>
      <c r="U726" s="106" t="str">
        <f t="shared" si="326"/>
        <v/>
      </c>
      <c r="V726" s="106" t="str">
        <f t="shared" si="327"/>
        <v/>
      </c>
      <c r="W726" s="105" t="str">
        <f t="shared" si="339"/>
        <v/>
      </c>
      <c r="X726" s="104" t="str">
        <f t="shared" si="344"/>
        <v/>
      </c>
      <c r="Y726" s="104" t="str">
        <f t="array" ref="Y726">IFERROR(IF(ISNUMBER(O726),IF(COUNT(IF(A726=$A$2:$A$2427,IF(D726=$D$2:$D$2427,IF($X$2:$X$2427&gt;0,1))))&gt;0,SUM(IF(A726=$A$2:$A$2427,IF(D726=$D$2:$D$2427,$X$2:$X$2427)))/COUNT(IF(A726=$A$2:$A$2427,IF(D726=$D$2:$D$2427,IF(ISNUMBER($X$2:$X$2427),1)))),0),""),0)</f>
        <v/>
      </c>
      <c r="Z726" s="104" t="str">
        <f>IF(ISNUMBER(O726),IF(I726&gt;0,(10^(VLOOKUP(D726,'Species Codes'!B:C,2,0)+VLOOKUP(D726,'Species Codes'!B:D,3,0)*LOG(E726)+VLOOKUP(D726,'Species Codes'!B:E,4,0)*LOG(I726))),0),"")</f>
        <v/>
      </c>
      <c r="AA726" s="104" t="str">
        <f>IFERROR((VLOOKUP(D726,'Species Codes'!B:G,6,0)*Z726)/2000,"")</f>
        <v/>
      </c>
      <c r="AB726" s="104" t="e">
        <f>IF(Z726&gt;0,((IF(OR(D726="DF",D726="RA")=TRUE,EXP(VLOOKUP(D726,'Species Codes'!B:I,8,0)+VLOOKUP(D726,'Species Codes'!B:J,9,0)*(LN((E726*2.54)))),IF(OR(D726="PY",D726="RC",D726="WH",D726="NF")=TRUE,VLOOKUP(D726,'Species Codes'!B:I,8,0)+VLOOKUP(D726,'Species Codes'!B:J,9,0)*((E726*2.54)^2)*(I726*0.3048),IF(OR(D726="MD",D726="BM",D726="GA")=TRUE,((VLOOKUP(D726,'Species Codes'!B:I,8,0)*(((((E726*2.54)+VLOOKUP(D726,'Species Codes'!B:J,9,0))/VLOOKUP(D726,'Species Codes'!B:K,10,0))^VLOOKUP(D726,'Species Codes'!B:L,11,0))*((I726*0.3048)^VLOOKUP(D726,'Species Codes'!B:M,12,0))))-(VLOOKUP(D726,'Species Codes'!B:I,8,0)*((((E726*2.54)^VLOOKUP(D726,'Species Codes'!B:L,11,0))*((I726*0.3048)^VLOOKUP(D726,'Species Codes'!B:M,12,0))))))*35.3*VLOOKUP(D726,'Species Codes'!B:G,6,0)/2.2046,VLOOKUP(D726,'Species Codes'!B:I,8,0)+VLOOKUP(D726,'Species Codes'!B:J,9,0)*(((E726*2.54)/100)^2)*(I726*0.3048)))))*0.0011023),0)</f>
        <v>#N/A</v>
      </c>
      <c r="AC726" s="104" t="e">
        <f>IF(Z726&gt;0,((IF(OR(D726="RA",D726="OA",D726="OT",D726="UN",D726="PC"),EXP(VLOOKUP(D726,'Species Codes'!B:O,14,0)+VLOOKUP(D726,'Species Codes'!B:P,15,0)*LN((E726*2.54)))-EXP(VLOOKUP(D726,'Species Codes'!B:O,14,0)+VLOOKUP(D726,'Species Codes'!B:P,15,0)*LN((E726*2.54)))*(1/(VLOOKUP(D726,'Species Codes'!B:Q,16,0)+VLOOKUP(D726,'Species Codes'!B:R,17,0)*((E726*2.54)^VLOOKUP(D726,'Species Codes'!B:S,18,0)))),IF(OR(D726="BM",D726="MD",D726="OA"),EXP(VLOOKUP(D726,'Species Codes'!B:O,14,0)+VLOOKUP(D726,'Species Codes'!B:P,15,0)*LN((E726*2.54)))*(1-(1/(VLOOKUP(D726,'Species Codes'!B:Q,16,0)+VLOOKUP(D726,'Species Codes'!B:R,17,0)*((E726*2.54)^VLOOKUP(D726,'Species Codes'!B:S,18,0)))))/1000,IF(D726="DF",EXP(VLOOKUP(D726,'Species Codes'!B:O,14,0)+VLOOKUP(D726,'Species Codes'!B:P,15,0)*LN((E726*2.54))),VLOOKUP(D726,'Species Codes'!B:O,14,0)+VLOOKUP(D726,'Species Codes'!B:P,15,0)*(((E726*2.54)/100)^2)*(I726*0.3048)))))*0.0011023),0)</f>
        <v>#N/A</v>
      </c>
      <c r="AD726" s="104" t="e">
        <f t="shared" si="328"/>
        <v>#N/A</v>
      </c>
      <c r="AE726" s="104" t="e">
        <f t="shared" si="329"/>
        <v>#N/A</v>
      </c>
      <c r="AF726" s="104" t="e">
        <f>IF(AND(VLOOKUP($D726,Merchantability!$B:$C,2,0)="Yes",$E726&gt;=VLOOKUP($D726,Merchantability!$B:$D,3,0),$E726&lt;=VLOOKUP($D726,Merchantability!$B:$E,4,0)),AA726,0)</f>
        <v>#N/A</v>
      </c>
      <c r="AG726" s="104" t="e">
        <f>IF(AND(VLOOKUP($D726,Merchantability!$B:$C,2,0)="Yes",$E726&gt;=VLOOKUP($D726,Merchantability!$B:$D,3,0),$E726&lt;=VLOOKUP($D726,Merchantability!$B:$E,4,0)),AB726,0)</f>
        <v>#N/A</v>
      </c>
      <c r="AH726" s="104" t="e">
        <f>IF(AND(VLOOKUP($D726,Merchantability!$B:$C,2,0)="Yes",$E726&gt;=VLOOKUP($D726,Merchantability!$B:$D,3,0),$E726&lt;=VLOOKUP($D726,Merchantability!$B:$E,4,0)),AC726,0)</f>
        <v>#N/A</v>
      </c>
      <c r="AI726" s="104" t="e">
        <f t="shared" si="330"/>
        <v>#N/A</v>
      </c>
      <c r="AJ726" s="104" t="e">
        <f t="shared" si="331"/>
        <v>#VALUE!</v>
      </c>
      <c r="AK726" s="104" t="e">
        <f t="shared" si="332"/>
        <v>#N/A</v>
      </c>
      <c r="AL726" s="104" t="e">
        <f t="shared" si="333"/>
        <v>#N/A</v>
      </c>
      <c r="AM726" s="104" t="e">
        <f t="shared" si="334"/>
        <v>#N/A</v>
      </c>
      <c r="AN726" s="104" t="e">
        <f t="shared" si="345"/>
        <v>#N/A</v>
      </c>
      <c r="AO726" s="104" t="e">
        <f t="shared" si="346"/>
        <v>#N/A</v>
      </c>
      <c r="AP726" s="104" t="e">
        <f t="shared" si="347"/>
        <v>#N/A</v>
      </c>
      <c r="AQ726" s="104" t="e">
        <f t="shared" si="348"/>
        <v>#N/A</v>
      </c>
      <c r="AR726" s="105" t="str">
        <f t="shared" si="340"/>
        <v/>
      </c>
      <c r="AS726" s="105" t="str">
        <f t="shared" si="341"/>
        <v/>
      </c>
      <c r="AT726" s="108" t="str">
        <f t="shared" si="342"/>
        <v/>
      </c>
      <c r="AU726" s="108" t="str">
        <f t="shared" si="343"/>
        <v/>
      </c>
      <c r="AV726" s="107" t="str">
        <f>IF(ISNUMBER(O726),IF(VLOOKUP($A726,Stand!C:J,8,FALSE)="Short",AT726,AU726),"")</f>
        <v/>
      </c>
      <c r="AW726" s="109" t="str">
        <f t="shared" si="349"/>
        <v/>
      </c>
      <c r="AX726" s="109" t="str">
        <f t="shared" si="350"/>
        <v/>
      </c>
      <c r="AY726" s="112" t="str">
        <f>IF(ISNUMBER(O726),IF(AND(VLOOKUP($D726,Merchantability!$B:$C,2,0)="Yes",$E726&gt;=VLOOKUP($D726,Merchantability!$B:$D,3,0),$E726&lt;=VLOOKUP($D726,Merchantability!$B:$E,4,0)),(AV726*O726)*(1-$H726/100),""),"")</f>
        <v/>
      </c>
      <c r="AZ726" s="116"/>
      <c r="BA726" s="116"/>
      <c r="BB726" s="116"/>
      <c r="BE726" s="62"/>
      <c r="BF726" s="63"/>
    </row>
    <row r="727" spans="1:58" ht="12.75" customHeight="1" x14ac:dyDescent="0.25">
      <c r="A727" s="313"/>
      <c r="B727" s="328"/>
      <c r="C727" s="329"/>
      <c r="D727" s="328"/>
      <c r="E727" s="330"/>
      <c r="F727" s="328"/>
      <c r="G727" s="329"/>
      <c r="H727" s="329"/>
      <c r="I727" s="328"/>
      <c r="J727" s="383"/>
      <c r="K727" s="329"/>
      <c r="L727" s="329"/>
      <c r="M727" s="76"/>
      <c r="N727" s="103" t="str">
        <f>IF(A727="","",VLOOKUP(A727,Stand!C:K,9,0))</f>
        <v/>
      </c>
      <c r="O727" s="104" t="str">
        <f t="shared" si="335"/>
        <v/>
      </c>
      <c r="P727" s="105" t="str">
        <f t="shared" si="336"/>
        <v/>
      </c>
      <c r="Q727" s="105" t="str">
        <f t="shared" si="324"/>
        <v/>
      </c>
      <c r="R727" s="103" t="str">
        <f t="shared" si="337"/>
        <v/>
      </c>
      <c r="S727" s="103" t="str">
        <f t="shared" si="338"/>
        <v/>
      </c>
      <c r="T727" s="106" t="str">
        <f t="shared" si="325"/>
        <v/>
      </c>
      <c r="U727" s="106" t="str">
        <f t="shared" si="326"/>
        <v/>
      </c>
      <c r="V727" s="106" t="str">
        <f t="shared" si="327"/>
        <v/>
      </c>
      <c r="W727" s="105" t="str">
        <f t="shared" si="339"/>
        <v/>
      </c>
      <c r="X727" s="104" t="str">
        <f t="shared" si="344"/>
        <v/>
      </c>
      <c r="Y727" s="104" t="str">
        <f t="array" ref="Y727">IFERROR(IF(ISNUMBER(O727),IF(COUNT(IF(A727=$A$2:$A$2427,IF(D727=$D$2:$D$2427,IF($X$2:$X$2427&gt;0,1))))&gt;0,SUM(IF(A727=$A$2:$A$2427,IF(D727=$D$2:$D$2427,$X$2:$X$2427)))/COUNT(IF(A727=$A$2:$A$2427,IF(D727=$D$2:$D$2427,IF(ISNUMBER($X$2:$X$2427),1)))),0),""),0)</f>
        <v/>
      </c>
      <c r="Z727" s="104" t="str">
        <f>IF(ISNUMBER(O727),IF(I727&gt;0,(10^(VLOOKUP(D727,'Species Codes'!B:C,2,0)+VLOOKUP(D727,'Species Codes'!B:D,3,0)*LOG(E727)+VLOOKUP(D727,'Species Codes'!B:E,4,0)*LOG(I727))),0),"")</f>
        <v/>
      </c>
      <c r="AA727" s="104" t="str">
        <f>IFERROR((VLOOKUP(D727,'Species Codes'!B:G,6,0)*Z727)/2000,"")</f>
        <v/>
      </c>
      <c r="AB727" s="104" t="e">
        <f>IF(Z727&gt;0,((IF(OR(D727="DF",D727="RA")=TRUE,EXP(VLOOKUP(D727,'Species Codes'!B:I,8,0)+VLOOKUP(D727,'Species Codes'!B:J,9,0)*(LN((E727*2.54)))),IF(OR(D727="PY",D727="RC",D727="WH",D727="NF")=TRUE,VLOOKUP(D727,'Species Codes'!B:I,8,0)+VLOOKUP(D727,'Species Codes'!B:J,9,0)*((E727*2.54)^2)*(I727*0.3048),IF(OR(D727="MD",D727="BM",D727="GA")=TRUE,((VLOOKUP(D727,'Species Codes'!B:I,8,0)*(((((E727*2.54)+VLOOKUP(D727,'Species Codes'!B:J,9,0))/VLOOKUP(D727,'Species Codes'!B:K,10,0))^VLOOKUP(D727,'Species Codes'!B:L,11,0))*((I727*0.3048)^VLOOKUP(D727,'Species Codes'!B:M,12,0))))-(VLOOKUP(D727,'Species Codes'!B:I,8,0)*((((E727*2.54)^VLOOKUP(D727,'Species Codes'!B:L,11,0))*((I727*0.3048)^VLOOKUP(D727,'Species Codes'!B:M,12,0))))))*35.3*VLOOKUP(D727,'Species Codes'!B:G,6,0)/2.2046,VLOOKUP(D727,'Species Codes'!B:I,8,0)+VLOOKUP(D727,'Species Codes'!B:J,9,0)*(((E727*2.54)/100)^2)*(I727*0.3048)))))*0.0011023),0)</f>
        <v>#N/A</v>
      </c>
      <c r="AC727" s="104" t="e">
        <f>IF(Z727&gt;0,((IF(OR(D727="RA",D727="OA",D727="OT",D727="UN",D727="PC"),EXP(VLOOKUP(D727,'Species Codes'!B:O,14,0)+VLOOKUP(D727,'Species Codes'!B:P,15,0)*LN((E727*2.54)))-EXP(VLOOKUP(D727,'Species Codes'!B:O,14,0)+VLOOKUP(D727,'Species Codes'!B:P,15,0)*LN((E727*2.54)))*(1/(VLOOKUP(D727,'Species Codes'!B:Q,16,0)+VLOOKUP(D727,'Species Codes'!B:R,17,0)*((E727*2.54)^VLOOKUP(D727,'Species Codes'!B:S,18,0)))),IF(OR(D727="BM",D727="MD",D727="OA"),EXP(VLOOKUP(D727,'Species Codes'!B:O,14,0)+VLOOKUP(D727,'Species Codes'!B:P,15,0)*LN((E727*2.54)))*(1-(1/(VLOOKUP(D727,'Species Codes'!B:Q,16,0)+VLOOKUP(D727,'Species Codes'!B:R,17,0)*((E727*2.54)^VLOOKUP(D727,'Species Codes'!B:S,18,0)))))/1000,IF(D727="DF",EXP(VLOOKUP(D727,'Species Codes'!B:O,14,0)+VLOOKUP(D727,'Species Codes'!B:P,15,0)*LN((E727*2.54))),VLOOKUP(D727,'Species Codes'!B:O,14,0)+VLOOKUP(D727,'Species Codes'!B:P,15,0)*(((E727*2.54)/100)^2)*(I727*0.3048)))))*0.0011023),0)</f>
        <v>#N/A</v>
      </c>
      <c r="AD727" s="104" t="e">
        <f t="shared" si="328"/>
        <v>#N/A</v>
      </c>
      <c r="AE727" s="104" t="e">
        <f t="shared" si="329"/>
        <v>#N/A</v>
      </c>
      <c r="AF727" s="104" t="e">
        <f>IF(AND(VLOOKUP($D727,Merchantability!$B:$C,2,0)="Yes",$E727&gt;=VLOOKUP($D727,Merchantability!$B:$D,3,0),$E727&lt;=VLOOKUP($D727,Merchantability!$B:$E,4,0)),AA727,0)</f>
        <v>#N/A</v>
      </c>
      <c r="AG727" s="104" t="e">
        <f>IF(AND(VLOOKUP($D727,Merchantability!$B:$C,2,0)="Yes",$E727&gt;=VLOOKUP($D727,Merchantability!$B:$D,3,0),$E727&lt;=VLOOKUP($D727,Merchantability!$B:$E,4,0)),AB727,0)</f>
        <v>#N/A</v>
      </c>
      <c r="AH727" s="104" t="e">
        <f>IF(AND(VLOOKUP($D727,Merchantability!$B:$C,2,0)="Yes",$E727&gt;=VLOOKUP($D727,Merchantability!$B:$D,3,0),$E727&lt;=VLOOKUP($D727,Merchantability!$B:$E,4,0)),AC727,0)</f>
        <v>#N/A</v>
      </c>
      <c r="AI727" s="104" t="e">
        <f t="shared" si="330"/>
        <v>#N/A</v>
      </c>
      <c r="AJ727" s="104" t="e">
        <f t="shared" si="331"/>
        <v>#VALUE!</v>
      </c>
      <c r="AK727" s="104" t="e">
        <f t="shared" si="332"/>
        <v>#N/A</v>
      </c>
      <c r="AL727" s="104" t="e">
        <f t="shared" si="333"/>
        <v>#N/A</v>
      </c>
      <c r="AM727" s="104" t="e">
        <f t="shared" si="334"/>
        <v>#N/A</v>
      </c>
      <c r="AN727" s="104" t="e">
        <f t="shared" si="345"/>
        <v>#N/A</v>
      </c>
      <c r="AO727" s="104" t="e">
        <f t="shared" si="346"/>
        <v>#N/A</v>
      </c>
      <c r="AP727" s="104" t="e">
        <f t="shared" si="347"/>
        <v>#N/A</v>
      </c>
      <c r="AQ727" s="104" t="e">
        <f t="shared" si="348"/>
        <v>#N/A</v>
      </c>
      <c r="AR727" s="105" t="str">
        <f t="shared" si="340"/>
        <v/>
      </c>
      <c r="AS727" s="105" t="str">
        <f t="shared" si="341"/>
        <v/>
      </c>
      <c r="AT727" s="108" t="str">
        <f t="shared" si="342"/>
        <v/>
      </c>
      <c r="AU727" s="108" t="str">
        <f t="shared" si="343"/>
        <v/>
      </c>
      <c r="AV727" s="107" t="str">
        <f>IF(ISNUMBER(O727),IF(VLOOKUP($A727,Stand!C:J,8,FALSE)="Short",AT727,AU727),"")</f>
        <v/>
      </c>
      <c r="AW727" s="109" t="str">
        <f t="shared" si="349"/>
        <v/>
      </c>
      <c r="AX727" s="109" t="str">
        <f t="shared" si="350"/>
        <v/>
      </c>
      <c r="AY727" s="112" t="str">
        <f>IF(ISNUMBER(O727),IF(AND(VLOOKUP($D727,Merchantability!$B:$C,2,0)="Yes",$E727&gt;=VLOOKUP($D727,Merchantability!$B:$D,3,0),$E727&lt;=VLOOKUP($D727,Merchantability!$B:$E,4,0)),(AV727*O727)*(1-$H727/100),""),"")</f>
        <v/>
      </c>
      <c r="AZ727" s="116"/>
      <c r="BA727" s="116"/>
      <c r="BB727" s="116"/>
      <c r="BE727" s="62"/>
      <c r="BF727" s="63"/>
    </row>
    <row r="728" spans="1:58" ht="12.75" customHeight="1" x14ac:dyDescent="0.25">
      <c r="A728" s="313"/>
      <c r="B728" s="328"/>
      <c r="C728" s="329"/>
      <c r="D728" s="328"/>
      <c r="E728" s="330"/>
      <c r="F728" s="328"/>
      <c r="G728" s="329"/>
      <c r="H728" s="329"/>
      <c r="I728" s="328"/>
      <c r="J728" s="383"/>
      <c r="K728" s="329"/>
      <c r="L728" s="329"/>
      <c r="M728" s="76"/>
      <c r="N728" s="103" t="str">
        <f>IF(A728="","",VLOOKUP(A728,Stand!C:K,9,0))</f>
        <v/>
      </c>
      <c r="O728" s="104" t="str">
        <f t="shared" si="335"/>
        <v/>
      </c>
      <c r="P728" s="105" t="str">
        <f t="shared" si="336"/>
        <v/>
      </c>
      <c r="Q728" s="105" t="str">
        <f t="shared" si="324"/>
        <v/>
      </c>
      <c r="R728" s="103" t="str">
        <f t="shared" si="337"/>
        <v/>
      </c>
      <c r="S728" s="103" t="str">
        <f t="shared" si="338"/>
        <v/>
      </c>
      <c r="T728" s="106" t="str">
        <f t="shared" si="325"/>
        <v/>
      </c>
      <c r="U728" s="106" t="str">
        <f t="shared" si="326"/>
        <v/>
      </c>
      <c r="V728" s="106" t="str">
        <f t="shared" si="327"/>
        <v/>
      </c>
      <c r="W728" s="105" t="str">
        <f t="shared" si="339"/>
        <v/>
      </c>
      <c r="X728" s="104" t="str">
        <f t="shared" si="344"/>
        <v/>
      </c>
      <c r="Y728" s="104" t="str">
        <f t="array" ref="Y728">IFERROR(IF(ISNUMBER(O728),IF(COUNT(IF(A728=$A$2:$A$2427,IF(D728=$D$2:$D$2427,IF($X$2:$X$2427&gt;0,1))))&gt;0,SUM(IF(A728=$A$2:$A$2427,IF(D728=$D$2:$D$2427,$X$2:$X$2427)))/COUNT(IF(A728=$A$2:$A$2427,IF(D728=$D$2:$D$2427,IF(ISNUMBER($X$2:$X$2427),1)))),0),""),0)</f>
        <v/>
      </c>
      <c r="Z728" s="104" t="str">
        <f>IF(ISNUMBER(O728),IF(I728&gt;0,(10^(VLOOKUP(D728,'Species Codes'!B:C,2,0)+VLOOKUP(D728,'Species Codes'!B:D,3,0)*LOG(E728)+VLOOKUP(D728,'Species Codes'!B:E,4,0)*LOG(I728))),0),"")</f>
        <v/>
      </c>
      <c r="AA728" s="104" t="str">
        <f>IFERROR((VLOOKUP(D728,'Species Codes'!B:G,6,0)*Z728)/2000,"")</f>
        <v/>
      </c>
      <c r="AB728" s="104" t="e">
        <f>IF(Z728&gt;0,((IF(OR(D728="DF",D728="RA")=TRUE,EXP(VLOOKUP(D728,'Species Codes'!B:I,8,0)+VLOOKUP(D728,'Species Codes'!B:J,9,0)*(LN((E728*2.54)))),IF(OR(D728="PY",D728="RC",D728="WH",D728="NF")=TRUE,VLOOKUP(D728,'Species Codes'!B:I,8,0)+VLOOKUP(D728,'Species Codes'!B:J,9,0)*((E728*2.54)^2)*(I728*0.3048),IF(OR(D728="MD",D728="BM",D728="GA")=TRUE,((VLOOKUP(D728,'Species Codes'!B:I,8,0)*(((((E728*2.54)+VLOOKUP(D728,'Species Codes'!B:J,9,0))/VLOOKUP(D728,'Species Codes'!B:K,10,0))^VLOOKUP(D728,'Species Codes'!B:L,11,0))*((I728*0.3048)^VLOOKUP(D728,'Species Codes'!B:M,12,0))))-(VLOOKUP(D728,'Species Codes'!B:I,8,0)*((((E728*2.54)^VLOOKUP(D728,'Species Codes'!B:L,11,0))*((I728*0.3048)^VLOOKUP(D728,'Species Codes'!B:M,12,0))))))*35.3*VLOOKUP(D728,'Species Codes'!B:G,6,0)/2.2046,VLOOKUP(D728,'Species Codes'!B:I,8,0)+VLOOKUP(D728,'Species Codes'!B:J,9,0)*(((E728*2.54)/100)^2)*(I728*0.3048)))))*0.0011023),0)</f>
        <v>#N/A</v>
      </c>
      <c r="AC728" s="104" t="e">
        <f>IF(Z728&gt;0,((IF(OR(D728="RA",D728="OA",D728="OT",D728="UN",D728="PC"),EXP(VLOOKUP(D728,'Species Codes'!B:O,14,0)+VLOOKUP(D728,'Species Codes'!B:P,15,0)*LN((E728*2.54)))-EXP(VLOOKUP(D728,'Species Codes'!B:O,14,0)+VLOOKUP(D728,'Species Codes'!B:P,15,0)*LN((E728*2.54)))*(1/(VLOOKUP(D728,'Species Codes'!B:Q,16,0)+VLOOKUP(D728,'Species Codes'!B:R,17,0)*((E728*2.54)^VLOOKUP(D728,'Species Codes'!B:S,18,0)))),IF(OR(D728="BM",D728="MD",D728="OA"),EXP(VLOOKUP(D728,'Species Codes'!B:O,14,0)+VLOOKUP(D728,'Species Codes'!B:P,15,0)*LN((E728*2.54)))*(1-(1/(VLOOKUP(D728,'Species Codes'!B:Q,16,0)+VLOOKUP(D728,'Species Codes'!B:R,17,0)*((E728*2.54)^VLOOKUP(D728,'Species Codes'!B:S,18,0)))))/1000,IF(D728="DF",EXP(VLOOKUP(D728,'Species Codes'!B:O,14,0)+VLOOKUP(D728,'Species Codes'!B:P,15,0)*LN((E728*2.54))),VLOOKUP(D728,'Species Codes'!B:O,14,0)+VLOOKUP(D728,'Species Codes'!B:P,15,0)*(((E728*2.54)/100)^2)*(I728*0.3048)))))*0.0011023),0)</f>
        <v>#N/A</v>
      </c>
      <c r="AD728" s="104" t="e">
        <f t="shared" si="328"/>
        <v>#N/A</v>
      </c>
      <c r="AE728" s="104" t="e">
        <f t="shared" si="329"/>
        <v>#N/A</v>
      </c>
      <c r="AF728" s="104" t="e">
        <f>IF(AND(VLOOKUP($D728,Merchantability!$B:$C,2,0)="Yes",$E728&gt;=VLOOKUP($D728,Merchantability!$B:$D,3,0),$E728&lt;=VLOOKUP($D728,Merchantability!$B:$E,4,0)),AA728,0)</f>
        <v>#N/A</v>
      </c>
      <c r="AG728" s="104" t="e">
        <f>IF(AND(VLOOKUP($D728,Merchantability!$B:$C,2,0)="Yes",$E728&gt;=VLOOKUP($D728,Merchantability!$B:$D,3,0),$E728&lt;=VLOOKUP($D728,Merchantability!$B:$E,4,0)),AB728,0)</f>
        <v>#N/A</v>
      </c>
      <c r="AH728" s="104" t="e">
        <f>IF(AND(VLOOKUP($D728,Merchantability!$B:$C,2,0)="Yes",$E728&gt;=VLOOKUP($D728,Merchantability!$B:$D,3,0),$E728&lt;=VLOOKUP($D728,Merchantability!$B:$E,4,0)),AC728,0)</f>
        <v>#N/A</v>
      </c>
      <c r="AI728" s="104" t="e">
        <f t="shared" si="330"/>
        <v>#N/A</v>
      </c>
      <c r="AJ728" s="104" t="e">
        <f t="shared" si="331"/>
        <v>#VALUE!</v>
      </c>
      <c r="AK728" s="104" t="e">
        <f t="shared" si="332"/>
        <v>#N/A</v>
      </c>
      <c r="AL728" s="104" t="e">
        <f t="shared" si="333"/>
        <v>#N/A</v>
      </c>
      <c r="AM728" s="104" t="e">
        <f t="shared" si="334"/>
        <v>#N/A</v>
      </c>
      <c r="AN728" s="104" t="e">
        <f t="shared" si="345"/>
        <v>#N/A</v>
      </c>
      <c r="AO728" s="104" t="e">
        <f t="shared" si="346"/>
        <v>#N/A</v>
      </c>
      <c r="AP728" s="104" t="e">
        <f t="shared" si="347"/>
        <v>#N/A</v>
      </c>
      <c r="AQ728" s="104" t="e">
        <f t="shared" si="348"/>
        <v>#N/A</v>
      </c>
      <c r="AR728" s="105" t="str">
        <f t="shared" si="340"/>
        <v/>
      </c>
      <c r="AS728" s="105" t="str">
        <f t="shared" si="341"/>
        <v/>
      </c>
      <c r="AT728" s="108" t="str">
        <f t="shared" si="342"/>
        <v/>
      </c>
      <c r="AU728" s="108" t="str">
        <f t="shared" si="343"/>
        <v/>
      </c>
      <c r="AV728" s="107" t="str">
        <f>IF(ISNUMBER(O728),IF(VLOOKUP($A728,Stand!C:J,8,FALSE)="Short",AT728,AU728),"")</f>
        <v/>
      </c>
      <c r="AW728" s="109" t="str">
        <f t="shared" si="349"/>
        <v/>
      </c>
      <c r="AX728" s="109" t="str">
        <f t="shared" si="350"/>
        <v/>
      </c>
      <c r="AY728" s="112" t="str">
        <f>IF(ISNUMBER(O728),IF(AND(VLOOKUP($D728,Merchantability!$B:$C,2,0)="Yes",$E728&gt;=VLOOKUP($D728,Merchantability!$B:$D,3,0),$E728&lt;=VLOOKUP($D728,Merchantability!$B:$E,4,0)),(AV728*O728)*(1-$H728/100),""),"")</f>
        <v/>
      </c>
      <c r="AZ728" s="116"/>
      <c r="BA728" s="116"/>
      <c r="BB728" s="116"/>
      <c r="BE728" s="62"/>
      <c r="BF728" s="63"/>
    </row>
    <row r="729" spans="1:58" ht="12.75" customHeight="1" x14ac:dyDescent="0.25">
      <c r="A729" s="313"/>
      <c r="B729" s="328"/>
      <c r="C729" s="329"/>
      <c r="D729" s="328"/>
      <c r="E729" s="330"/>
      <c r="F729" s="328"/>
      <c r="G729" s="329"/>
      <c r="H729" s="329"/>
      <c r="I729" s="328"/>
      <c r="J729" s="383"/>
      <c r="K729" s="329"/>
      <c r="L729" s="329"/>
      <c r="M729" s="76"/>
      <c r="N729" s="103" t="str">
        <f>IF(A729="","",VLOOKUP(A729,Stand!C:K,9,0))</f>
        <v/>
      </c>
      <c r="O729" s="104" t="str">
        <f t="shared" si="335"/>
        <v/>
      </c>
      <c r="P729" s="105" t="str">
        <f t="shared" si="336"/>
        <v/>
      </c>
      <c r="Q729" s="105" t="str">
        <f t="shared" si="324"/>
        <v/>
      </c>
      <c r="R729" s="103" t="str">
        <f t="shared" si="337"/>
        <v/>
      </c>
      <c r="S729" s="103" t="str">
        <f t="shared" si="338"/>
        <v/>
      </c>
      <c r="T729" s="106" t="str">
        <f t="shared" si="325"/>
        <v/>
      </c>
      <c r="U729" s="106" t="str">
        <f t="shared" si="326"/>
        <v/>
      </c>
      <c r="V729" s="106" t="str">
        <f t="shared" si="327"/>
        <v/>
      </c>
      <c r="W729" s="105" t="str">
        <f t="shared" si="339"/>
        <v/>
      </c>
      <c r="X729" s="104" t="str">
        <f t="shared" si="344"/>
        <v/>
      </c>
      <c r="Y729" s="104" t="str">
        <f t="array" ref="Y729">IFERROR(IF(ISNUMBER(O729),IF(COUNT(IF(A729=$A$2:$A$2427,IF(D729=$D$2:$D$2427,IF($X$2:$X$2427&gt;0,1))))&gt;0,SUM(IF(A729=$A$2:$A$2427,IF(D729=$D$2:$D$2427,$X$2:$X$2427)))/COUNT(IF(A729=$A$2:$A$2427,IF(D729=$D$2:$D$2427,IF(ISNUMBER($X$2:$X$2427),1)))),0),""),0)</f>
        <v/>
      </c>
      <c r="Z729" s="104" t="str">
        <f>IF(ISNUMBER(O729),IF(I729&gt;0,(10^(VLOOKUP(D729,'Species Codes'!B:C,2,0)+VLOOKUP(D729,'Species Codes'!B:D,3,0)*LOG(E729)+VLOOKUP(D729,'Species Codes'!B:E,4,0)*LOG(I729))),0),"")</f>
        <v/>
      </c>
      <c r="AA729" s="104" t="str">
        <f>IFERROR((VLOOKUP(D729,'Species Codes'!B:G,6,0)*Z729)/2000,"")</f>
        <v/>
      </c>
      <c r="AB729" s="104" t="e">
        <f>IF(Z729&gt;0,((IF(OR(D729="DF",D729="RA")=TRUE,EXP(VLOOKUP(D729,'Species Codes'!B:I,8,0)+VLOOKUP(D729,'Species Codes'!B:J,9,0)*(LN((E729*2.54)))),IF(OR(D729="PY",D729="RC",D729="WH",D729="NF")=TRUE,VLOOKUP(D729,'Species Codes'!B:I,8,0)+VLOOKUP(D729,'Species Codes'!B:J,9,0)*((E729*2.54)^2)*(I729*0.3048),IF(OR(D729="MD",D729="BM",D729="GA")=TRUE,((VLOOKUP(D729,'Species Codes'!B:I,8,0)*(((((E729*2.54)+VLOOKUP(D729,'Species Codes'!B:J,9,0))/VLOOKUP(D729,'Species Codes'!B:K,10,0))^VLOOKUP(D729,'Species Codes'!B:L,11,0))*((I729*0.3048)^VLOOKUP(D729,'Species Codes'!B:M,12,0))))-(VLOOKUP(D729,'Species Codes'!B:I,8,0)*((((E729*2.54)^VLOOKUP(D729,'Species Codes'!B:L,11,0))*((I729*0.3048)^VLOOKUP(D729,'Species Codes'!B:M,12,0))))))*35.3*VLOOKUP(D729,'Species Codes'!B:G,6,0)/2.2046,VLOOKUP(D729,'Species Codes'!B:I,8,0)+VLOOKUP(D729,'Species Codes'!B:J,9,0)*(((E729*2.54)/100)^2)*(I729*0.3048)))))*0.0011023),0)</f>
        <v>#N/A</v>
      </c>
      <c r="AC729" s="104" t="e">
        <f>IF(Z729&gt;0,((IF(OR(D729="RA",D729="OA",D729="OT",D729="UN",D729="PC"),EXP(VLOOKUP(D729,'Species Codes'!B:O,14,0)+VLOOKUP(D729,'Species Codes'!B:P,15,0)*LN((E729*2.54)))-EXP(VLOOKUP(D729,'Species Codes'!B:O,14,0)+VLOOKUP(D729,'Species Codes'!B:P,15,0)*LN((E729*2.54)))*(1/(VLOOKUP(D729,'Species Codes'!B:Q,16,0)+VLOOKUP(D729,'Species Codes'!B:R,17,0)*((E729*2.54)^VLOOKUP(D729,'Species Codes'!B:S,18,0)))),IF(OR(D729="BM",D729="MD",D729="OA"),EXP(VLOOKUP(D729,'Species Codes'!B:O,14,0)+VLOOKUP(D729,'Species Codes'!B:P,15,0)*LN((E729*2.54)))*(1-(1/(VLOOKUP(D729,'Species Codes'!B:Q,16,0)+VLOOKUP(D729,'Species Codes'!B:R,17,0)*((E729*2.54)^VLOOKUP(D729,'Species Codes'!B:S,18,0)))))/1000,IF(D729="DF",EXP(VLOOKUP(D729,'Species Codes'!B:O,14,0)+VLOOKUP(D729,'Species Codes'!B:P,15,0)*LN((E729*2.54))),VLOOKUP(D729,'Species Codes'!B:O,14,0)+VLOOKUP(D729,'Species Codes'!B:P,15,0)*(((E729*2.54)/100)^2)*(I729*0.3048)))))*0.0011023),0)</f>
        <v>#N/A</v>
      </c>
      <c r="AD729" s="104" t="e">
        <f t="shared" si="328"/>
        <v>#N/A</v>
      </c>
      <c r="AE729" s="104" t="e">
        <f t="shared" si="329"/>
        <v>#N/A</v>
      </c>
      <c r="AF729" s="104" t="e">
        <f>IF(AND(VLOOKUP($D729,Merchantability!$B:$C,2,0)="Yes",$E729&gt;=VLOOKUP($D729,Merchantability!$B:$D,3,0),$E729&lt;=VLOOKUP($D729,Merchantability!$B:$E,4,0)),AA729,0)</f>
        <v>#N/A</v>
      </c>
      <c r="AG729" s="104" t="e">
        <f>IF(AND(VLOOKUP($D729,Merchantability!$B:$C,2,0)="Yes",$E729&gt;=VLOOKUP($D729,Merchantability!$B:$D,3,0),$E729&lt;=VLOOKUP($D729,Merchantability!$B:$E,4,0)),AB729,0)</f>
        <v>#N/A</v>
      </c>
      <c r="AH729" s="104" t="e">
        <f>IF(AND(VLOOKUP($D729,Merchantability!$B:$C,2,0)="Yes",$E729&gt;=VLOOKUP($D729,Merchantability!$B:$D,3,0),$E729&lt;=VLOOKUP($D729,Merchantability!$B:$E,4,0)),AC729,0)</f>
        <v>#N/A</v>
      </c>
      <c r="AI729" s="104" t="e">
        <f t="shared" si="330"/>
        <v>#N/A</v>
      </c>
      <c r="AJ729" s="104" t="e">
        <f t="shared" si="331"/>
        <v>#VALUE!</v>
      </c>
      <c r="AK729" s="104" t="e">
        <f t="shared" si="332"/>
        <v>#N/A</v>
      </c>
      <c r="AL729" s="104" t="e">
        <f t="shared" si="333"/>
        <v>#N/A</v>
      </c>
      <c r="AM729" s="104" t="e">
        <f t="shared" si="334"/>
        <v>#N/A</v>
      </c>
      <c r="AN729" s="104" t="e">
        <f t="shared" si="345"/>
        <v>#N/A</v>
      </c>
      <c r="AO729" s="104" t="e">
        <f t="shared" si="346"/>
        <v>#N/A</v>
      </c>
      <c r="AP729" s="104" t="e">
        <f t="shared" si="347"/>
        <v>#N/A</v>
      </c>
      <c r="AQ729" s="104" t="e">
        <f t="shared" si="348"/>
        <v>#N/A</v>
      </c>
      <c r="AR729" s="105" t="str">
        <f t="shared" si="340"/>
        <v/>
      </c>
      <c r="AS729" s="105" t="str">
        <f t="shared" si="341"/>
        <v/>
      </c>
      <c r="AT729" s="108" t="str">
        <f t="shared" si="342"/>
        <v/>
      </c>
      <c r="AU729" s="108" t="str">
        <f t="shared" si="343"/>
        <v/>
      </c>
      <c r="AV729" s="107" t="str">
        <f>IF(ISNUMBER(O729),IF(VLOOKUP($A729,Stand!C:J,8,FALSE)="Short",AT729,AU729),"")</f>
        <v/>
      </c>
      <c r="AW729" s="109" t="str">
        <f t="shared" si="349"/>
        <v/>
      </c>
      <c r="AX729" s="109" t="str">
        <f t="shared" si="350"/>
        <v/>
      </c>
      <c r="AY729" s="112" t="str">
        <f>IF(ISNUMBER(O729),IF(AND(VLOOKUP($D729,Merchantability!$B:$C,2,0)="Yes",$E729&gt;=VLOOKUP($D729,Merchantability!$B:$D,3,0),$E729&lt;=VLOOKUP($D729,Merchantability!$B:$E,4,0)),(AV729*O729)*(1-$H729/100),""),"")</f>
        <v/>
      </c>
      <c r="AZ729" s="116"/>
      <c r="BA729" s="116"/>
      <c r="BB729" s="116"/>
      <c r="BE729" s="62"/>
      <c r="BF729" s="63"/>
    </row>
    <row r="730" spans="1:58" ht="12.75" customHeight="1" x14ac:dyDescent="0.25">
      <c r="A730" s="313"/>
      <c r="B730" s="328"/>
      <c r="C730" s="329"/>
      <c r="D730" s="328"/>
      <c r="E730" s="330"/>
      <c r="F730" s="328"/>
      <c r="G730" s="329"/>
      <c r="H730" s="329"/>
      <c r="I730" s="328"/>
      <c r="J730" s="383"/>
      <c r="K730" s="329"/>
      <c r="L730" s="329"/>
      <c r="M730" s="76"/>
      <c r="N730" s="103" t="str">
        <f>IF(A730="","",VLOOKUP(A730,Stand!C:K,9,0))</f>
        <v/>
      </c>
      <c r="O730" s="104" t="str">
        <f t="shared" si="335"/>
        <v/>
      </c>
      <c r="P730" s="105" t="str">
        <f t="shared" si="336"/>
        <v/>
      </c>
      <c r="Q730" s="105" t="str">
        <f t="shared" si="324"/>
        <v/>
      </c>
      <c r="R730" s="103" t="str">
        <f t="shared" si="337"/>
        <v/>
      </c>
      <c r="S730" s="103" t="str">
        <f t="shared" si="338"/>
        <v/>
      </c>
      <c r="T730" s="106" t="str">
        <f t="shared" si="325"/>
        <v/>
      </c>
      <c r="U730" s="106" t="str">
        <f t="shared" si="326"/>
        <v/>
      </c>
      <c r="V730" s="106" t="str">
        <f t="shared" si="327"/>
        <v/>
      </c>
      <c r="W730" s="105" t="str">
        <f t="shared" si="339"/>
        <v/>
      </c>
      <c r="X730" s="104" t="str">
        <f t="shared" si="344"/>
        <v/>
      </c>
      <c r="Y730" s="104" t="str">
        <f t="array" ref="Y730">IFERROR(IF(ISNUMBER(O730),IF(COUNT(IF(A730=$A$2:$A$2427,IF(D730=$D$2:$D$2427,IF($X$2:$X$2427&gt;0,1))))&gt;0,SUM(IF(A730=$A$2:$A$2427,IF(D730=$D$2:$D$2427,$X$2:$X$2427)))/COUNT(IF(A730=$A$2:$A$2427,IF(D730=$D$2:$D$2427,IF(ISNUMBER($X$2:$X$2427),1)))),0),""),0)</f>
        <v/>
      </c>
      <c r="Z730" s="104" t="str">
        <f>IF(ISNUMBER(O730),IF(I730&gt;0,(10^(VLOOKUP(D730,'Species Codes'!B:C,2,0)+VLOOKUP(D730,'Species Codes'!B:D,3,0)*LOG(E730)+VLOOKUP(D730,'Species Codes'!B:E,4,0)*LOG(I730))),0),"")</f>
        <v/>
      </c>
      <c r="AA730" s="104" t="str">
        <f>IFERROR((VLOOKUP(D730,'Species Codes'!B:G,6,0)*Z730)/2000,"")</f>
        <v/>
      </c>
      <c r="AB730" s="104" t="e">
        <f>IF(Z730&gt;0,((IF(OR(D730="DF",D730="RA")=TRUE,EXP(VLOOKUP(D730,'Species Codes'!B:I,8,0)+VLOOKUP(D730,'Species Codes'!B:J,9,0)*(LN((E730*2.54)))),IF(OR(D730="PY",D730="RC",D730="WH",D730="NF")=TRUE,VLOOKUP(D730,'Species Codes'!B:I,8,0)+VLOOKUP(D730,'Species Codes'!B:J,9,0)*((E730*2.54)^2)*(I730*0.3048),IF(OR(D730="MD",D730="BM",D730="GA")=TRUE,((VLOOKUP(D730,'Species Codes'!B:I,8,0)*(((((E730*2.54)+VLOOKUP(D730,'Species Codes'!B:J,9,0))/VLOOKUP(D730,'Species Codes'!B:K,10,0))^VLOOKUP(D730,'Species Codes'!B:L,11,0))*((I730*0.3048)^VLOOKUP(D730,'Species Codes'!B:M,12,0))))-(VLOOKUP(D730,'Species Codes'!B:I,8,0)*((((E730*2.54)^VLOOKUP(D730,'Species Codes'!B:L,11,0))*((I730*0.3048)^VLOOKUP(D730,'Species Codes'!B:M,12,0))))))*35.3*VLOOKUP(D730,'Species Codes'!B:G,6,0)/2.2046,VLOOKUP(D730,'Species Codes'!B:I,8,0)+VLOOKUP(D730,'Species Codes'!B:J,9,0)*(((E730*2.54)/100)^2)*(I730*0.3048)))))*0.0011023),0)</f>
        <v>#N/A</v>
      </c>
      <c r="AC730" s="104" t="e">
        <f>IF(Z730&gt;0,((IF(OR(D730="RA",D730="OA",D730="OT",D730="UN",D730="PC"),EXP(VLOOKUP(D730,'Species Codes'!B:O,14,0)+VLOOKUP(D730,'Species Codes'!B:P,15,0)*LN((E730*2.54)))-EXP(VLOOKUP(D730,'Species Codes'!B:O,14,0)+VLOOKUP(D730,'Species Codes'!B:P,15,0)*LN((E730*2.54)))*(1/(VLOOKUP(D730,'Species Codes'!B:Q,16,0)+VLOOKUP(D730,'Species Codes'!B:R,17,0)*((E730*2.54)^VLOOKUP(D730,'Species Codes'!B:S,18,0)))),IF(OR(D730="BM",D730="MD",D730="OA"),EXP(VLOOKUP(D730,'Species Codes'!B:O,14,0)+VLOOKUP(D730,'Species Codes'!B:P,15,0)*LN((E730*2.54)))*(1-(1/(VLOOKUP(D730,'Species Codes'!B:Q,16,0)+VLOOKUP(D730,'Species Codes'!B:R,17,0)*((E730*2.54)^VLOOKUP(D730,'Species Codes'!B:S,18,0)))))/1000,IF(D730="DF",EXP(VLOOKUP(D730,'Species Codes'!B:O,14,0)+VLOOKUP(D730,'Species Codes'!B:P,15,0)*LN((E730*2.54))),VLOOKUP(D730,'Species Codes'!B:O,14,0)+VLOOKUP(D730,'Species Codes'!B:P,15,0)*(((E730*2.54)/100)^2)*(I730*0.3048)))))*0.0011023),0)</f>
        <v>#N/A</v>
      </c>
      <c r="AD730" s="104" t="e">
        <f t="shared" si="328"/>
        <v>#N/A</v>
      </c>
      <c r="AE730" s="104" t="e">
        <f t="shared" si="329"/>
        <v>#N/A</v>
      </c>
      <c r="AF730" s="104" t="e">
        <f>IF(AND(VLOOKUP($D730,Merchantability!$B:$C,2,0)="Yes",$E730&gt;=VLOOKUP($D730,Merchantability!$B:$D,3,0),$E730&lt;=VLOOKUP($D730,Merchantability!$B:$E,4,0)),AA730,0)</f>
        <v>#N/A</v>
      </c>
      <c r="AG730" s="104" t="e">
        <f>IF(AND(VLOOKUP($D730,Merchantability!$B:$C,2,0)="Yes",$E730&gt;=VLOOKUP($D730,Merchantability!$B:$D,3,0),$E730&lt;=VLOOKUP($D730,Merchantability!$B:$E,4,0)),AB730,0)</f>
        <v>#N/A</v>
      </c>
      <c r="AH730" s="104" t="e">
        <f>IF(AND(VLOOKUP($D730,Merchantability!$B:$C,2,0)="Yes",$E730&gt;=VLOOKUP($D730,Merchantability!$B:$D,3,0),$E730&lt;=VLOOKUP($D730,Merchantability!$B:$E,4,0)),AC730,0)</f>
        <v>#N/A</v>
      </c>
      <c r="AI730" s="104" t="e">
        <f t="shared" si="330"/>
        <v>#N/A</v>
      </c>
      <c r="AJ730" s="104" t="e">
        <f t="shared" si="331"/>
        <v>#VALUE!</v>
      </c>
      <c r="AK730" s="104" t="e">
        <f t="shared" si="332"/>
        <v>#N/A</v>
      </c>
      <c r="AL730" s="104" t="e">
        <f t="shared" si="333"/>
        <v>#N/A</v>
      </c>
      <c r="AM730" s="104" t="e">
        <f t="shared" si="334"/>
        <v>#N/A</v>
      </c>
      <c r="AN730" s="104" t="e">
        <f t="shared" si="345"/>
        <v>#N/A</v>
      </c>
      <c r="AO730" s="104" t="e">
        <f t="shared" si="346"/>
        <v>#N/A</v>
      </c>
      <c r="AP730" s="104" t="e">
        <f t="shared" si="347"/>
        <v>#N/A</v>
      </c>
      <c r="AQ730" s="104" t="e">
        <f t="shared" si="348"/>
        <v>#N/A</v>
      </c>
      <c r="AR730" s="105" t="str">
        <f t="shared" si="340"/>
        <v/>
      </c>
      <c r="AS730" s="105" t="str">
        <f t="shared" si="341"/>
        <v/>
      </c>
      <c r="AT730" s="108" t="str">
        <f t="shared" si="342"/>
        <v/>
      </c>
      <c r="AU730" s="108" t="str">
        <f t="shared" si="343"/>
        <v/>
      </c>
      <c r="AV730" s="107" t="str">
        <f>IF(ISNUMBER(O730),IF(VLOOKUP($A730,Stand!C:J,8,FALSE)="Short",AT730,AU730),"")</f>
        <v/>
      </c>
      <c r="AW730" s="109" t="str">
        <f t="shared" si="349"/>
        <v/>
      </c>
      <c r="AX730" s="109" t="str">
        <f t="shared" si="350"/>
        <v/>
      </c>
      <c r="AY730" s="112" t="str">
        <f>IF(ISNUMBER(O730),IF(AND(VLOOKUP($D730,Merchantability!$B:$C,2,0)="Yes",$E730&gt;=VLOOKUP($D730,Merchantability!$B:$D,3,0),$E730&lt;=VLOOKUP($D730,Merchantability!$B:$E,4,0)),(AV730*O730)*(1-$H730/100),""),"")</f>
        <v/>
      </c>
      <c r="AZ730" s="116"/>
      <c r="BA730" s="116"/>
      <c r="BB730" s="116"/>
      <c r="BE730" s="62"/>
      <c r="BF730" s="63"/>
    </row>
    <row r="731" spans="1:58" ht="12.75" customHeight="1" x14ac:dyDescent="0.25">
      <c r="A731" s="313"/>
      <c r="B731" s="328"/>
      <c r="C731" s="329"/>
      <c r="D731" s="328"/>
      <c r="E731" s="330"/>
      <c r="F731" s="328"/>
      <c r="G731" s="329"/>
      <c r="H731" s="329"/>
      <c r="I731" s="328"/>
      <c r="J731" s="383"/>
      <c r="K731" s="329"/>
      <c r="L731" s="329"/>
      <c r="M731" s="76"/>
      <c r="N731" s="103" t="str">
        <f>IF(A731="","",VLOOKUP(A731,Stand!C:K,9,0))</f>
        <v/>
      </c>
      <c r="O731" s="104" t="str">
        <f t="shared" si="335"/>
        <v/>
      </c>
      <c r="P731" s="105" t="str">
        <f t="shared" si="336"/>
        <v/>
      </c>
      <c r="Q731" s="105" t="str">
        <f t="shared" si="324"/>
        <v/>
      </c>
      <c r="R731" s="103" t="str">
        <f t="shared" si="337"/>
        <v/>
      </c>
      <c r="S731" s="103" t="str">
        <f t="shared" si="338"/>
        <v/>
      </c>
      <c r="T731" s="106" t="str">
        <f t="shared" si="325"/>
        <v/>
      </c>
      <c r="U731" s="106" t="str">
        <f t="shared" si="326"/>
        <v/>
      </c>
      <c r="V731" s="106" t="str">
        <f t="shared" si="327"/>
        <v/>
      </c>
      <c r="W731" s="105" t="str">
        <f t="shared" si="339"/>
        <v/>
      </c>
      <c r="X731" s="104" t="str">
        <f t="shared" si="344"/>
        <v/>
      </c>
      <c r="Y731" s="104" t="str">
        <f t="array" ref="Y731">IFERROR(IF(ISNUMBER(O731),IF(COUNT(IF(A731=$A$2:$A$2427,IF(D731=$D$2:$D$2427,IF($X$2:$X$2427&gt;0,1))))&gt;0,SUM(IF(A731=$A$2:$A$2427,IF(D731=$D$2:$D$2427,$X$2:$X$2427)))/COUNT(IF(A731=$A$2:$A$2427,IF(D731=$D$2:$D$2427,IF(ISNUMBER($X$2:$X$2427),1)))),0),""),0)</f>
        <v/>
      </c>
      <c r="Z731" s="104" t="str">
        <f>IF(ISNUMBER(O731),IF(I731&gt;0,(10^(VLOOKUP(D731,'Species Codes'!B:C,2,0)+VLOOKUP(D731,'Species Codes'!B:D,3,0)*LOG(E731)+VLOOKUP(D731,'Species Codes'!B:E,4,0)*LOG(I731))),0),"")</f>
        <v/>
      </c>
      <c r="AA731" s="104" t="str">
        <f>IFERROR((VLOOKUP(D731,'Species Codes'!B:G,6,0)*Z731)/2000,"")</f>
        <v/>
      </c>
      <c r="AB731" s="104" t="e">
        <f>IF(Z731&gt;0,((IF(OR(D731="DF",D731="RA")=TRUE,EXP(VLOOKUP(D731,'Species Codes'!B:I,8,0)+VLOOKUP(D731,'Species Codes'!B:J,9,0)*(LN((E731*2.54)))),IF(OR(D731="PY",D731="RC",D731="WH",D731="NF")=TRUE,VLOOKUP(D731,'Species Codes'!B:I,8,0)+VLOOKUP(D731,'Species Codes'!B:J,9,0)*((E731*2.54)^2)*(I731*0.3048),IF(OR(D731="MD",D731="BM",D731="GA")=TRUE,((VLOOKUP(D731,'Species Codes'!B:I,8,0)*(((((E731*2.54)+VLOOKUP(D731,'Species Codes'!B:J,9,0))/VLOOKUP(D731,'Species Codes'!B:K,10,0))^VLOOKUP(D731,'Species Codes'!B:L,11,0))*((I731*0.3048)^VLOOKUP(D731,'Species Codes'!B:M,12,0))))-(VLOOKUP(D731,'Species Codes'!B:I,8,0)*((((E731*2.54)^VLOOKUP(D731,'Species Codes'!B:L,11,0))*((I731*0.3048)^VLOOKUP(D731,'Species Codes'!B:M,12,0))))))*35.3*VLOOKUP(D731,'Species Codes'!B:G,6,0)/2.2046,VLOOKUP(D731,'Species Codes'!B:I,8,0)+VLOOKUP(D731,'Species Codes'!B:J,9,0)*(((E731*2.54)/100)^2)*(I731*0.3048)))))*0.0011023),0)</f>
        <v>#N/A</v>
      </c>
      <c r="AC731" s="104" t="e">
        <f>IF(Z731&gt;0,((IF(OR(D731="RA",D731="OA",D731="OT",D731="UN",D731="PC"),EXP(VLOOKUP(D731,'Species Codes'!B:O,14,0)+VLOOKUP(D731,'Species Codes'!B:P,15,0)*LN((E731*2.54)))-EXP(VLOOKUP(D731,'Species Codes'!B:O,14,0)+VLOOKUP(D731,'Species Codes'!B:P,15,0)*LN((E731*2.54)))*(1/(VLOOKUP(D731,'Species Codes'!B:Q,16,0)+VLOOKUP(D731,'Species Codes'!B:R,17,0)*((E731*2.54)^VLOOKUP(D731,'Species Codes'!B:S,18,0)))),IF(OR(D731="BM",D731="MD",D731="OA"),EXP(VLOOKUP(D731,'Species Codes'!B:O,14,0)+VLOOKUP(D731,'Species Codes'!B:P,15,0)*LN((E731*2.54)))*(1-(1/(VLOOKUP(D731,'Species Codes'!B:Q,16,0)+VLOOKUP(D731,'Species Codes'!B:R,17,0)*((E731*2.54)^VLOOKUP(D731,'Species Codes'!B:S,18,0)))))/1000,IF(D731="DF",EXP(VLOOKUP(D731,'Species Codes'!B:O,14,0)+VLOOKUP(D731,'Species Codes'!B:P,15,0)*LN((E731*2.54))),VLOOKUP(D731,'Species Codes'!B:O,14,0)+VLOOKUP(D731,'Species Codes'!B:P,15,0)*(((E731*2.54)/100)^2)*(I731*0.3048)))))*0.0011023),0)</f>
        <v>#N/A</v>
      </c>
      <c r="AD731" s="104" t="e">
        <f t="shared" si="328"/>
        <v>#N/A</v>
      </c>
      <c r="AE731" s="104" t="e">
        <f t="shared" si="329"/>
        <v>#N/A</v>
      </c>
      <c r="AF731" s="104" t="e">
        <f>IF(AND(VLOOKUP($D731,Merchantability!$B:$C,2,0)="Yes",$E731&gt;=VLOOKUP($D731,Merchantability!$B:$D,3,0),$E731&lt;=VLOOKUP($D731,Merchantability!$B:$E,4,0)),AA731,0)</f>
        <v>#N/A</v>
      </c>
      <c r="AG731" s="104" t="e">
        <f>IF(AND(VLOOKUP($D731,Merchantability!$B:$C,2,0)="Yes",$E731&gt;=VLOOKUP($D731,Merchantability!$B:$D,3,0),$E731&lt;=VLOOKUP($D731,Merchantability!$B:$E,4,0)),AB731,0)</f>
        <v>#N/A</v>
      </c>
      <c r="AH731" s="104" t="e">
        <f>IF(AND(VLOOKUP($D731,Merchantability!$B:$C,2,0)="Yes",$E731&gt;=VLOOKUP($D731,Merchantability!$B:$D,3,0),$E731&lt;=VLOOKUP($D731,Merchantability!$B:$E,4,0)),AC731,0)</f>
        <v>#N/A</v>
      </c>
      <c r="AI731" s="104" t="e">
        <f t="shared" si="330"/>
        <v>#N/A</v>
      </c>
      <c r="AJ731" s="104" t="e">
        <f t="shared" si="331"/>
        <v>#VALUE!</v>
      </c>
      <c r="AK731" s="104" t="e">
        <f t="shared" si="332"/>
        <v>#N/A</v>
      </c>
      <c r="AL731" s="104" t="e">
        <f t="shared" si="333"/>
        <v>#N/A</v>
      </c>
      <c r="AM731" s="104" t="e">
        <f t="shared" si="334"/>
        <v>#N/A</v>
      </c>
      <c r="AN731" s="104" t="e">
        <f t="shared" si="345"/>
        <v>#N/A</v>
      </c>
      <c r="AO731" s="104" t="e">
        <f t="shared" si="346"/>
        <v>#N/A</v>
      </c>
      <c r="AP731" s="104" t="e">
        <f t="shared" si="347"/>
        <v>#N/A</v>
      </c>
      <c r="AQ731" s="104" t="e">
        <f t="shared" si="348"/>
        <v>#N/A</v>
      </c>
      <c r="AR731" s="105" t="str">
        <f t="shared" si="340"/>
        <v/>
      </c>
      <c r="AS731" s="105" t="str">
        <f t="shared" si="341"/>
        <v/>
      </c>
      <c r="AT731" s="108" t="str">
        <f t="shared" si="342"/>
        <v/>
      </c>
      <c r="AU731" s="108" t="str">
        <f t="shared" si="343"/>
        <v/>
      </c>
      <c r="AV731" s="107" t="str">
        <f>IF(ISNUMBER(O731),IF(VLOOKUP($A731,Stand!C:J,8,FALSE)="Short",AT731,AU731),"")</f>
        <v/>
      </c>
      <c r="AW731" s="109" t="str">
        <f t="shared" si="349"/>
        <v/>
      </c>
      <c r="AX731" s="109" t="str">
        <f t="shared" si="350"/>
        <v/>
      </c>
      <c r="AY731" s="112" t="str">
        <f>IF(ISNUMBER(O731),IF(AND(VLOOKUP($D731,Merchantability!$B:$C,2,0)="Yes",$E731&gt;=VLOOKUP($D731,Merchantability!$B:$D,3,0),$E731&lt;=VLOOKUP($D731,Merchantability!$B:$E,4,0)),(AV731*O731)*(1-$H731/100),""),"")</f>
        <v/>
      </c>
      <c r="AZ731" s="116"/>
      <c r="BA731" s="116"/>
      <c r="BB731" s="116"/>
      <c r="BE731" s="62"/>
      <c r="BF731" s="63"/>
    </row>
    <row r="732" spans="1:58" ht="12.75" customHeight="1" x14ac:dyDescent="0.25">
      <c r="A732" s="313"/>
      <c r="B732" s="328"/>
      <c r="C732" s="329"/>
      <c r="D732" s="328"/>
      <c r="E732" s="330"/>
      <c r="F732" s="328"/>
      <c r="G732" s="329"/>
      <c r="H732" s="329"/>
      <c r="I732" s="328"/>
      <c r="J732" s="383"/>
      <c r="K732" s="329"/>
      <c r="L732" s="329"/>
      <c r="M732" s="76"/>
      <c r="N732" s="103" t="str">
        <f>IF(A732="","",VLOOKUP(A732,Stand!C:K,9,0))</f>
        <v/>
      </c>
      <c r="O732" s="104" t="str">
        <f t="shared" si="335"/>
        <v/>
      </c>
      <c r="P732" s="105" t="str">
        <f t="shared" si="336"/>
        <v/>
      </c>
      <c r="Q732" s="105" t="str">
        <f t="shared" si="324"/>
        <v/>
      </c>
      <c r="R732" s="103" t="str">
        <f t="shared" si="337"/>
        <v/>
      </c>
      <c r="S732" s="103" t="str">
        <f t="shared" si="338"/>
        <v/>
      </c>
      <c r="T732" s="106" t="str">
        <f t="shared" si="325"/>
        <v/>
      </c>
      <c r="U732" s="106" t="str">
        <f t="shared" si="326"/>
        <v/>
      </c>
      <c r="V732" s="106" t="str">
        <f t="shared" si="327"/>
        <v/>
      </c>
      <c r="W732" s="105" t="str">
        <f t="shared" si="339"/>
        <v/>
      </c>
      <c r="X732" s="104" t="str">
        <f t="shared" si="344"/>
        <v/>
      </c>
      <c r="Y732" s="104" t="str">
        <f t="array" ref="Y732">IFERROR(IF(ISNUMBER(O732),IF(COUNT(IF(A732=$A$2:$A$2427,IF(D732=$D$2:$D$2427,IF($X$2:$X$2427&gt;0,1))))&gt;0,SUM(IF(A732=$A$2:$A$2427,IF(D732=$D$2:$D$2427,$X$2:$X$2427)))/COUNT(IF(A732=$A$2:$A$2427,IF(D732=$D$2:$D$2427,IF(ISNUMBER($X$2:$X$2427),1)))),0),""),0)</f>
        <v/>
      </c>
      <c r="Z732" s="104" t="str">
        <f>IF(ISNUMBER(O732),IF(I732&gt;0,(10^(VLOOKUP(D732,'Species Codes'!B:C,2,0)+VLOOKUP(D732,'Species Codes'!B:D,3,0)*LOG(E732)+VLOOKUP(D732,'Species Codes'!B:E,4,0)*LOG(I732))),0),"")</f>
        <v/>
      </c>
      <c r="AA732" s="104" t="str">
        <f>IFERROR((VLOOKUP(D732,'Species Codes'!B:G,6,0)*Z732)/2000,"")</f>
        <v/>
      </c>
      <c r="AB732" s="104" t="e">
        <f>IF(Z732&gt;0,((IF(OR(D732="DF",D732="RA")=TRUE,EXP(VLOOKUP(D732,'Species Codes'!B:I,8,0)+VLOOKUP(D732,'Species Codes'!B:J,9,0)*(LN((E732*2.54)))),IF(OR(D732="PY",D732="RC",D732="WH",D732="NF")=TRUE,VLOOKUP(D732,'Species Codes'!B:I,8,0)+VLOOKUP(D732,'Species Codes'!B:J,9,0)*((E732*2.54)^2)*(I732*0.3048),IF(OR(D732="MD",D732="BM",D732="GA")=TRUE,((VLOOKUP(D732,'Species Codes'!B:I,8,0)*(((((E732*2.54)+VLOOKUP(D732,'Species Codes'!B:J,9,0))/VLOOKUP(D732,'Species Codes'!B:K,10,0))^VLOOKUP(D732,'Species Codes'!B:L,11,0))*((I732*0.3048)^VLOOKUP(D732,'Species Codes'!B:M,12,0))))-(VLOOKUP(D732,'Species Codes'!B:I,8,0)*((((E732*2.54)^VLOOKUP(D732,'Species Codes'!B:L,11,0))*((I732*0.3048)^VLOOKUP(D732,'Species Codes'!B:M,12,0))))))*35.3*VLOOKUP(D732,'Species Codes'!B:G,6,0)/2.2046,VLOOKUP(D732,'Species Codes'!B:I,8,0)+VLOOKUP(D732,'Species Codes'!B:J,9,0)*(((E732*2.54)/100)^2)*(I732*0.3048)))))*0.0011023),0)</f>
        <v>#N/A</v>
      </c>
      <c r="AC732" s="104" t="e">
        <f>IF(Z732&gt;0,((IF(OR(D732="RA",D732="OA",D732="OT",D732="UN",D732="PC"),EXP(VLOOKUP(D732,'Species Codes'!B:O,14,0)+VLOOKUP(D732,'Species Codes'!B:P,15,0)*LN((E732*2.54)))-EXP(VLOOKUP(D732,'Species Codes'!B:O,14,0)+VLOOKUP(D732,'Species Codes'!B:P,15,0)*LN((E732*2.54)))*(1/(VLOOKUP(D732,'Species Codes'!B:Q,16,0)+VLOOKUP(D732,'Species Codes'!B:R,17,0)*((E732*2.54)^VLOOKUP(D732,'Species Codes'!B:S,18,0)))),IF(OR(D732="BM",D732="MD",D732="OA"),EXP(VLOOKUP(D732,'Species Codes'!B:O,14,0)+VLOOKUP(D732,'Species Codes'!B:P,15,0)*LN((E732*2.54)))*(1-(1/(VLOOKUP(D732,'Species Codes'!B:Q,16,0)+VLOOKUP(D732,'Species Codes'!B:R,17,0)*((E732*2.54)^VLOOKUP(D732,'Species Codes'!B:S,18,0)))))/1000,IF(D732="DF",EXP(VLOOKUP(D732,'Species Codes'!B:O,14,0)+VLOOKUP(D732,'Species Codes'!B:P,15,0)*LN((E732*2.54))),VLOOKUP(D732,'Species Codes'!B:O,14,0)+VLOOKUP(D732,'Species Codes'!B:P,15,0)*(((E732*2.54)/100)^2)*(I732*0.3048)))))*0.0011023),0)</f>
        <v>#N/A</v>
      </c>
      <c r="AD732" s="104" t="e">
        <f t="shared" si="328"/>
        <v>#N/A</v>
      </c>
      <c r="AE732" s="104" t="e">
        <f t="shared" si="329"/>
        <v>#N/A</v>
      </c>
      <c r="AF732" s="104" t="e">
        <f>IF(AND(VLOOKUP($D732,Merchantability!$B:$C,2,0)="Yes",$E732&gt;=VLOOKUP($D732,Merchantability!$B:$D,3,0),$E732&lt;=VLOOKUP($D732,Merchantability!$B:$E,4,0)),AA732,0)</f>
        <v>#N/A</v>
      </c>
      <c r="AG732" s="104" t="e">
        <f>IF(AND(VLOOKUP($D732,Merchantability!$B:$C,2,0)="Yes",$E732&gt;=VLOOKUP($D732,Merchantability!$B:$D,3,0),$E732&lt;=VLOOKUP($D732,Merchantability!$B:$E,4,0)),AB732,0)</f>
        <v>#N/A</v>
      </c>
      <c r="AH732" s="104" t="e">
        <f>IF(AND(VLOOKUP($D732,Merchantability!$B:$C,2,0)="Yes",$E732&gt;=VLOOKUP($D732,Merchantability!$B:$D,3,0),$E732&lt;=VLOOKUP($D732,Merchantability!$B:$E,4,0)),AC732,0)</f>
        <v>#N/A</v>
      </c>
      <c r="AI732" s="104" t="e">
        <f t="shared" si="330"/>
        <v>#N/A</v>
      </c>
      <c r="AJ732" s="104" t="e">
        <f t="shared" si="331"/>
        <v>#VALUE!</v>
      </c>
      <c r="AK732" s="104" t="e">
        <f t="shared" si="332"/>
        <v>#N/A</v>
      </c>
      <c r="AL732" s="104" t="e">
        <f t="shared" si="333"/>
        <v>#N/A</v>
      </c>
      <c r="AM732" s="104" t="e">
        <f t="shared" si="334"/>
        <v>#N/A</v>
      </c>
      <c r="AN732" s="104" t="e">
        <f t="shared" si="345"/>
        <v>#N/A</v>
      </c>
      <c r="AO732" s="104" t="e">
        <f t="shared" si="346"/>
        <v>#N/A</v>
      </c>
      <c r="AP732" s="104" t="e">
        <f t="shared" si="347"/>
        <v>#N/A</v>
      </c>
      <c r="AQ732" s="104" t="e">
        <f t="shared" si="348"/>
        <v>#N/A</v>
      </c>
      <c r="AR732" s="105" t="str">
        <f t="shared" si="340"/>
        <v/>
      </c>
      <c r="AS732" s="105" t="str">
        <f t="shared" si="341"/>
        <v/>
      </c>
      <c r="AT732" s="108" t="str">
        <f t="shared" si="342"/>
        <v/>
      </c>
      <c r="AU732" s="108" t="str">
        <f t="shared" si="343"/>
        <v/>
      </c>
      <c r="AV732" s="107" t="str">
        <f>IF(ISNUMBER(O732),IF(VLOOKUP($A732,Stand!C:J,8,FALSE)="Short",AT732,AU732),"")</f>
        <v/>
      </c>
      <c r="AW732" s="109" t="str">
        <f t="shared" si="349"/>
        <v/>
      </c>
      <c r="AX732" s="109" t="str">
        <f t="shared" si="350"/>
        <v/>
      </c>
      <c r="AY732" s="112" t="str">
        <f>IF(ISNUMBER(O732),IF(AND(VLOOKUP($D732,Merchantability!$B:$C,2,0)="Yes",$E732&gt;=VLOOKUP($D732,Merchantability!$B:$D,3,0),$E732&lt;=VLOOKUP($D732,Merchantability!$B:$E,4,0)),(AV732*O732)*(1-$H732/100),""),"")</f>
        <v/>
      </c>
      <c r="AZ732" s="116"/>
      <c r="BA732" s="116"/>
      <c r="BB732" s="116"/>
      <c r="BE732" s="62"/>
      <c r="BF732" s="63"/>
    </row>
    <row r="733" spans="1:58" ht="12.75" customHeight="1" x14ac:dyDescent="0.25">
      <c r="A733" s="313"/>
      <c r="B733" s="328"/>
      <c r="C733" s="329"/>
      <c r="D733" s="328"/>
      <c r="E733" s="330"/>
      <c r="F733" s="328"/>
      <c r="G733" s="329"/>
      <c r="H733" s="329"/>
      <c r="I733" s="328"/>
      <c r="J733" s="383"/>
      <c r="K733" s="329"/>
      <c r="L733" s="329"/>
      <c r="M733" s="76"/>
      <c r="N733" s="103" t="str">
        <f>IF(A733="","",VLOOKUP(A733,Stand!C:K,9,0))</f>
        <v/>
      </c>
      <c r="O733" s="104" t="str">
        <f t="shared" si="335"/>
        <v/>
      </c>
      <c r="P733" s="105" t="str">
        <f t="shared" si="336"/>
        <v/>
      </c>
      <c r="Q733" s="105" t="str">
        <f t="shared" ref="Q733:Q796" si="351">IF(AND(ISNUMBER(O733),I733&gt;0),I733*O733,"")</f>
        <v/>
      </c>
      <c r="R733" s="103" t="str">
        <f t="shared" si="337"/>
        <v/>
      </c>
      <c r="S733" s="103" t="str">
        <f t="shared" si="338"/>
        <v/>
      </c>
      <c r="T733" s="106" t="str">
        <f t="shared" ref="T733:T796" si="352">IF(AND(ISNUMBER(O733),J733&gt;0),J733/100,"")</f>
        <v/>
      </c>
      <c r="U733" s="106" t="str">
        <f t="shared" ref="U733:U796" si="353">IF(AND(ISNUMBER(O733),J733&gt;0),T733*O733,"")</f>
        <v/>
      </c>
      <c r="V733" s="106" t="str">
        <f t="shared" ref="V733:V796" si="354">IF(AND(ISNUMBER(O733),I733&gt;0),W733*O733,"")</f>
        <v/>
      </c>
      <c r="W733" s="105" t="str">
        <f t="shared" si="339"/>
        <v/>
      </c>
      <c r="X733" s="104" t="str">
        <f t="shared" si="344"/>
        <v/>
      </c>
      <c r="Y733" s="104" t="str">
        <f t="array" ref="Y733">IFERROR(IF(ISNUMBER(O733),IF(COUNT(IF(A733=$A$2:$A$2427,IF(D733=$D$2:$D$2427,IF($X$2:$X$2427&gt;0,1))))&gt;0,SUM(IF(A733=$A$2:$A$2427,IF(D733=$D$2:$D$2427,$X$2:$X$2427)))/COUNT(IF(A733=$A$2:$A$2427,IF(D733=$D$2:$D$2427,IF(ISNUMBER($X$2:$X$2427),1)))),0),""),0)</f>
        <v/>
      </c>
      <c r="Z733" s="104" t="str">
        <f>IF(ISNUMBER(O733),IF(I733&gt;0,(10^(VLOOKUP(D733,'Species Codes'!B:C,2,0)+VLOOKUP(D733,'Species Codes'!B:D,3,0)*LOG(E733)+VLOOKUP(D733,'Species Codes'!B:E,4,0)*LOG(I733))),0),"")</f>
        <v/>
      </c>
      <c r="AA733" s="104" t="str">
        <f>IFERROR((VLOOKUP(D733,'Species Codes'!B:G,6,0)*Z733)/2000,"")</f>
        <v/>
      </c>
      <c r="AB733" s="104" t="e">
        <f>IF(Z733&gt;0,((IF(OR(D733="DF",D733="RA")=TRUE,EXP(VLOOKUP(D733,'Species Codes'!B:I,8,0)+VLOOKUP(D733,'Species Codes'!B:J,9,0)*(LN((E733*2.54)))),IF(OR(D733="PY",D733="RC",D733="WH",D733="NF")=TRUE,VLOOKUP(D733,'Species Codes'!B:I,8,0)+VLOOKUP(D733,'Species Codes'!B:J,9,0)*((E733*2.54)^2)*(I733*0.3048),IF(OR(D733="MD",D733="BM",D733="GA")=TRUE,((VLOOKUP(D733,'Species Codes'!B:I,8,0)*(((((E733*2.54)+VLOOKUP(D733,'Species Codes'!B:J,9,0))/VLOOKUP(D733,'Species Codes'!B:K,10,0))^VLOOKUP(D733,'Species Codes'!B:L,11,0))*((I733*0.3048)^VLOOKUP(D733,'Species Codes'!B:M,12,0))))-(VLOOKUP(D733,'Species Codes'!B:I,8,0)*((((E733*2.54)^VLOOKUP(D733,'Species Codes'!B:L,11,0))*((I733*0.3048)^VLOOKUP(D733,'Species Codes'!B:M,12,0))))))*35.3*VLOOKUP(D733,'Species Codes'!B:G,6,0)/2.2046,VLOOKUP(D733,'Species Codes'!B:I,8,0)+VLOOKUP(D733,'Species Codes'!B:J,9,0)*(((E733*2.54)/100)^2)*(I733*0.3048)))))*0.0011023),0)</f>
        <v>#N/A</v>
      </c>
      <c r="AC733" s="104" t="e">
        <f>IF(Z733&gt;0,((IF(OR(D733="RA",D733="OA",D733="OT",D733="UN",D733="PC"),EXP(VLOOKUP(D733,'Species Codes'!B:O,14,0)+VLOOKUP(D733,'Species Codes'!B:P,15,0)*LN((E733*2.54)))-EXP(VLOOKUP(D733,'Species Codes'!B:O,14,0)+VLOOKUP(D733,'Species Codes'!B:P,15,0)*LN((E733*2.54)))*(1/(VLOOKUP(D733,'Species Codes'!B:Q,16,0)+VLOOKUP(D733,'Species Codes'!B:R,17,0)*((E733*2.54)^VLOOKUP(D733,'Species Codes'!B:S,18,0)))),IF(OR(D733="BM",D733="MD",D733="OA"),EXP(VLOOKUP(D733,'Species Codes'!B:O,14,0)+VLOOKUP(D733,'Species Codes'!B:P,15,0)*LN((E733*2.54)))*(1-(1/(VLOOKUP(D733,'Species Codes'!B:Q,16,0)+VLOOKUP(D733,'Species Codes'!B:R,17,0)*((E733*2.54)^VLOOKUP(D733,'Species Codes'!B:S,18,0)))))/1000,IF(D733="DF",EXP(VLOOKUP(D733,'Species Codes'!B:O,14,0)+VLOOKUP(D733,'Species Codes'!B:P,15,0)*LN((E733*2.54))),VLOOKUP(D733,'Species Codes'!B:O,14,0)+VLOOKUP(D733,'Species Codes'!B:P,15,0)*(((E733*2.54)/100)^2)*(I733*0.3048)))))*0.0011023),0)</f>
        <v>#N/A</v>
      </c>
      <c r="AD733" s="104" t="e">
        <f t="shared" ref="AD733:AD796" si="355">SUM(AA733:AC733)</f>
        <v>#N/A</v>
      </c>
      <c r="AE733" s="104" t="e">
        <f t="shared" ref="AE733:AE796" si="356">AD733*O733</f>
        <v>#N/A</v>
      </c>
      <c r="AF733" s="104" t="e">
        <f>IF(AND(VLOOKUP($D733,Merchantability!$B:$C,2,0)="Yes",$E733&gt;=VLOOKUP($D733,Merchantability!$B:$D,3,0),$E733&lt;=VLOOKUP($D733,Merchantability!$B:$E,4,0)),AA733,0)</f>
        <v>#N/A</v>
      </c>
      <c r="AG733" s="104" t="e">
        <f>IF(AND(VLOOKUP($D733,Merchantability!$B:$C,2,0)="Yes",$E733&gt;=VLOOKUP($D733,Merchantability!$B:$D,3,0),$E733&lt;=VLOOKUP($D733,Merchantability!$B:$E,4,0)),AB733,0)</f>
        <v>#N/A</v>
      </c>
      <c r="AH733" s="104" t="e">
        <f>IF(AND(VLOOKUP($D733,Merchantability!$B:$C,2,0)="Yes",$E733&gt;=VLOOKUP($D733,Merchantability!$B:$D,3,0),$E733&lt;=VLOOKUP($D733,Merchantability!$B:$E,4,0)),AC733,0)</f>
        <v>#N/A</v>
      </c>
      <c r="AI733" s="104" t="e">
        <f t="shared" ref="AI733:AI796" si="357">SUM(AF733:AH733)</f>
        <v>#N/A</v>
      </c>
      <c r="AJ733" s="104" t="e">
        <f t="shared" ref="AJ733:AJ796" si="358">AA733*$O733</f>
        <v>#VALUE!</v>
      </c>
      <c r="AK733" s="104" t="e">
        <f t="shared" ref="AK733:AK796" si="359">AB733*$O733</f>
        <v>#N/A</v>
      </c>
      <c r="AL733" s="104" t="e">
        <f t="shared" ref="AL733:AL796" si="360">AC733*$O733</f>
        <v>#N/A</v>
      </c>
      <c r="AM733" s="104" t="e">
        <f t="shared" ref="AM733:AM796" si="361">AD733*$O733</f>
        <v>#N/A</v>
      </c>
      <c r="AN733" s="104" t="e">
        <f t="shared" si="345"/>
        <v>#N/A</v>
      </c>
      <c r="AO733" s="104" t="e">
        <f t="shared" si="346"/>
        <v>#N/A</v>
      </c>
      <c r="AP733" s="104" t="e">
        <f t="shared" si="347"/>
        <v>#N/A</v>
      </c>
      <c r="AQ733" s="104" t="e">
        <f t="shared" si="348"/>
        <v>#N/A</v>
      </c>
      <c r="AR733" s="105" t="str">
        <f t="shared" si="340"/>
        <v/>
      </c>
      <c r="AS733" s="105" t="str">
        <f t="shared" si="341"/>
        <v/>
      </c>
      <c r="AT733" s="108" t="str">
        <f t="shared" si="342"/>
        <v/>
      </c>
      <c r="AU733" s="108" t="str">
        <f t="shared" si="343"/>
        <v/>
      </c>
      <c r="AV733" s="107" t="str">
        <f>IF(ISNUMBER(O733),IF(VLOOKUP($A733,Stand!C:J,8,FALSE)="Short",AT733,AU733),"")</f>
        <v/>
      </c>
      <c r="AW733" s="109" t="str">
        <f t="shared" si="349"/>
        <v/>
      </c>
      <c r="AX733" s="109" t="str">
        <f t="shared" si="350"/>
        <v/>
      </c>
      <c r="AY733" s="112" t="str">
        <f>IF(ISNUMBER(O733),IF(AND(VLOOKUP($D733,Merchantability!$B:$C,2,0)="Yes",$E733&gt;=VLOOKUP($D733,Merchantability!$B:$D,3,0),$E733&lt;=VLOOKUP($D733,Merchantability!$B:$E,4,0)),(AV733*O733)*(1-$H733/100),""),"")</f>
        <v/>
      </c>
      <c r="AZ733" s="116"/>
      <c r="BA733" s="116"/>
      <c r="BB733" s="116"/>
      <c r="BE733" s="62"/>
      <c r="BF733" s="63"/>
    </row>
    <row r="734" spans="1:58" ht="12.75" customHeight="1" x14ac:dyDescent="0.25">
      <c r="A734" s="313"/>
      <c r="B734" s="328"/>
      <c r="C734" s="329"/>
      <c r="D734" s="328"/>
      <c r="E734" s="330"/>
      <c r="F734" s="328"/>
      <c r="G734" s="329"/>
      <c r="H734" s="329"/>
      <c r="I734" s="328"/>
      <c r="J734" s="383"/>
      <c r="K734" s="329"/>
      <c r="L734" s="329"/>
      <c r="M734" s="76"/>
      <c r="N734" s="103" t="str">
        <f>IF(A734="","",VLOOKUP(A734,Stand!C:K,9,0))</f>
        <v/>
      </c>
      <c r="O734" s="104" t="str">
        <f t="shared" si="335"/>
        <v/>
      </c>
      <c r="P734" s="105" t="str">
        <f t="shared" si="336"/>
        <v/>
      </c>
      <c r="Q734" s="105" t="str">
        <f t="shared" si="351"/>
        <v/>
      </c>
      <c r="R734" s="103" t="str">
        <f t="shared" si="337"/>
        <v/>
      </c>
      <c r="S734" s="103" t="str">
        <f t="shared" si="338"/>
        <v/>
      </c>
      <c r="T734" s="106" t="str">
        <f t="shared" si="352"/>
        <v/>
      </c>
      <c r="U734" s="106" t="str">
        <f t="shared" si="353"/>
        <v/>
      </c>
      <c r="V734" s="106" t="str">
        <f t="shared" si="354"/>
        <v/>
      </c>
      <c r="W734" s="105" t="str">
        <f t="shared" si="339"/>
        <v/>
      </c>
      <c r="X734" s="104" t="str">
        <f t="shared" si="344"/>
        <v/>
      </c>
      <c r="Y734" s="104" t="str">
        <f t="array" ref="Y734">IFERROR(IF(ISNUMBER(O734),IF(COUNT(IF(A734=$A$2:$A$2427,IF(D734=$D$2:$D$2427,IF($X$2:$X$2427&gt;0,1))))&gt;0,SUM(IF(A734=$A$2:$A$2427,IF(D734=$D$2:$D$2427,$X$2:$X$2427)))/COUNT(IF(A734=$A$2:$A$2427,IF(D734=$D$2:$D$2427,IF(ISNUMBER($X$2:$X$2427),1)))),0),""),0)</f>
        <v/>
      </c>
      <c r="Z734" s="104" t="str">
        <f>IF(ISNUMBER(O734),IF(I734&gt;0,(10^(VLOOKUP(D734,'Species Codes'!B:C,2,0)+VLOOKUP(D734,'Species Codes'!B:D,3,0)*LOG(E734)+VLOOKUP(D734,'Species Codes'!B:E,4,0)*LOG(I734))),0),"")</f>
        <v/>
      </c>
      <c r="AA734" s="104" t="str">
        <f>IFERROR((VLOOKUP(D734,'Species Codes'!B:G,6,0)*Z734)/2000,"")</f>
        <v/>
      </c>
      <c r="AB734" s="104" t="e">
        <f>IF(Z734&gt;0,((IF(OR(D734="DF",D734="RA")=TRUE,EXP(VLOOKUP(D734,'Species Codes'!B:I,8,0)+VLOOKUP(D734,'Species Codes'!B:J,9,0)*(LN((E734*2.54)))),IF(OR(D734="PY",D734="RC",D734="WH",D734="NF")=TRUE,VLOOKUP(D734,'Species Codes'!B:I,8,0)+VLOOKUP(D734,'Species Codes'!B:J,9,0)*((E734*2.54)^2)*(I734*0.3048),IF(OR(D734="MD",D734="BM",D734="GA")=TRUE,((VLOOKUP(D734,'Species Codes'!B:I,8,0)*(((((E734*2.54)+VLOOKUP(D734,'Species Codes'!B:J,9,0))/VLOOKUP(D734,'Species Codes'!B:K,10,0))^VLOOKUP(D734,'Species Codes'!B:L,11,0))*((I734*0.3048)^VLOOKUP(D734,'Species Codes'!B:M,12,0))))-(VLOOKUP(D734,'Species Codes'!B:I,8,0)*((((E734*2.54)^VLOOKUP(D734,'Species Codes'!B:L,11,0))*((I734*0.3048)^VLOOKUP(D734,'Species Codes'!B:M,12,0))))))*35.3*VLOOKUP(D734,'Species Codes'!B:G,6,0)/2.2046,VLOOKUP(D734,'Species Codes'!B:I,8,0)+VLOOKUP(D734,'Species Codes'!B:J,9,0)*(((E734*2.54)/100)^2)*(I734*0.3048)))))*0.0011023),0)</f>
        <v>#N/A</v>
      </c>
      <c r="AC734" s="104" t="e">
        <f>IF(Z734&gt;0,((IF(OR(D734="RA",D734="OA",D734="OT",D734="UN",D734="PC"),EXP(VLOOKUP(D734,'Species Codes'!B:O,14,0)+VLOOKUP(D734,'Species Codes'!B:P,15,0)*LN((E734*2.54)))-EXP(VLOOKUP(D734,'Species Codes'!B:O,14,0)+VLOOKUP(D734,'Species Codes'!B:P,15,0)*LN((E734*2.54)))*(1/(VLOOKUP(D734,'Species Codes'!B:Q,16,0)+VLOOKUP(D734,'Species Codes'!B:R,17,0)*((E734*2.54)^VLOOKUP(D734,'Species Codes'!B:S,18,0)))),IF(OR(D734="BM",D734="MD",D734="OA"),EXP(VLOOKUP(D734,'Species Codes'!B:O,14,0)+VLOOKUP(D734,'Species Codes'!B:P,15,0)*LN((E734*2.54)))*(1-(1/(VLOOKUP(D734,'Species Codes'!B:Q,16,0)+VLOOKUP(D734,'Species Codes'!B:R,17,0)*((E734*2.54)^VLOOKUP(D734,'Species Codes'!B:S,18,0)))))/1000,IF(D734="DF",EXP(VLOOKUP(D734,'Species Codes'!B:O,14,0)+VLOOKUP(D734,'Species Codes'!B:P,15,0)*LN((E734*2.54))),VLOOKUP(D734,'Species Codes'!B:O,14,0)+VLOOKUP(D734,'Species Codes'!B:P,15,0)*(((E734*2.54)/100)^2)*(I734*0.3048)))))*0.0011023),0)</f>
        <v>#N/A</v>
      </c>
      <c r="AD734" s="104" t="e">
        <f t="shared" si="355"/>
        <v>#N/A</v>
      </c>
      <c r="AE734" s="104" t="e">
        <f t="shared" si="356"/>
        <v>#N/A</v>
      </c>
      <c r="AF734" s="104" t="e">
        <f>IF(AND(VLOOKUP($D734,Merchantability!$B:$C,2,0)="Yes",$E734&gt;=VLOOKUP($D734,Merchantability!$B:$D,3,0),$E734&lt;=VLOOKUP($D734,Merchantability!$B:$E,4,0)),AA734,0)</f>
        <v>#N/A</v>
      </c>
      <c r="AG734" s="104" t="e">
        <f>IF(AND(VLOOKUP($D734,Merchantability!$B:$C,2,0)="Yes",$E734&gt;=VLOOKUP($D734,Merchantability!$B:$D,3,0),$E734&lt;=VLOOKUP($D734,Merchantability!$B:$E,4,0)),AB734,0)</f>
        <v>#N/A</v>
      </c>
      <c r="AH734" s="104" t="e">
        <f>IF(AND(VLOOKUP($D734,Merchantability!$B:$C,2,0)="Yes",$E734&gt;=VLOOKUP($D734,Merchantability!$B:$D,3,0),$E734&lt;=VLOOKUP($D734,Merchantability!$B:$E,4,0)),AC734,0)</f>
        <v>#N/A</v>
      </c>
      <c r="AI734" s="104" t="e">
        <f t="shared" si="357"/>
        <v>#N/A</v>
      </c>
      <c r="AJ734" s="104" t="e">
        <f t="shared" si="358"/>
        <v>#VALUE!</v>
      </c>
      <c r="AK734" s="104" t="e">
        <f t="shared" si="359"/>
        <v>#N/A</v>
      </c>
      <c r="AL734" s="104" t="e">
        <f t="shared" si="360"/>
        <v>#N/A</v>
      </c>
      <c r="AM734" s="104" t="e">
        <f t="shared" si="361"/>
        <v>#N/A</v>
      </c>
      <c r="AN734" s="104" t="e">
        <f t="shared" si="345"/>
        <v>#N/A</v>
      </c>
      <c r="AO734" s="104" t="e">
        <f t="shared" si="346"/>
        <v>#N/A</v>
      </c>
      <c r="AP734" s="104" t="e">
        <f t="shared" si="347"/>
        <v>#N/A</v>
      </c>
      <c r="AQ734" s="104" t="e">
        <f t="shared" si="348"/>
        <v>#N/A</v>
      </c>
      <c r="AR734" s="105" t="str">
        <f t="shared" si="340"/>
        <v/>
      </c>
      <c r="AS734" s="105" t="str">
        <f t="shared" si="341"/>
        <v/>
      </c>
      <c r="AT734" s="108" t="str">
        <f t="shared" si="342"/>
        <v/>
      </c>
      <c r="AU734" s="108" t="str">
        <f t="shared" si="343"/>
        <v/>
      </c>
      <c r="AV734" s="107" t="str">
        <f>IF(ISNUMBER(O734),IF(VLOOKUP($A734,Stand!C:J,8,FALSE)="Short",AT734,AU734),"")</f>
        <v/>
      </c>
      <c r="AW734" s="109" t="str">
        <f t="shared" si="349"/>
        <v/>
      </c>
      <c r="AX734" s="109" t="str">
        <f t="shared" si="350"/>
        <v/>
      </c>
      <c r="AY734" s="112" t="str">
        <f>IF(ISNUMBER(O734),IF(AND(VLOOKUP($D734,Merchantability!$B:$C,2,0)="Yes",$E734&gt;=VLOOKUP($D734,Merchantability!$B:$D,3,0),$E734&lt;=VLOOKUP($D734,Merchantability!$B:$E,4,0)),(AV734*O734)*(1-$H734/100),""),"")</f>
        <v/>
      </c>
      <c r="AZ734" s="116"/>
      <c r="BA734" s="116"/>
      <c r="BB734" s="116"/>
      <c r="BE734" s="62"/>
      <c r="BF734" s="63"/>
    </row>
    <row r="735" spans="1:58" ht="12.75" customHeight="1" x14ac:dyDescent="0.25">
      <c r="A735" s="313"/>
      <c r="B735" s="328"/>
      <c r="C735" s="329"/>
      <c r="D735" s="328"/>
      <c r="E735" s="330"/>
      <c r="F735" s="328"/>
      <c r="G735" s="329"/>
      <c r="H735" s="329"/>
      <c r="I735" s="328"/>
      <c r="J735" s="383"/>
      <c r="K735" s="329"/>
      <c r="L735" s="329"/>
      <c r="M735" s="76"/>
      <c r="N735" s="103" t="str">
        <f>IF(A735="","",VLOOKUP(A735,Stand!C:K,9,0))</f>
        <v/>
      </c>
      <c r="O735" s="104" t="str">
        <f t="shared" si="335"/>
        <v/>
      </c>
      <c r="P735" s="105" t="str">
        <f t="shared" si="336"/>
        <v/>
      </c>
      <c r="Q735" s="105" t="str">
        <f t="shared" si="351"/>
        <v/>
      </c>
      <c r="R735" s="103" t="str">
        <f t="shared" si="337"/>
        <v/>
      </c>
      <c r="S735" s="103" t="str">
        <f t="shared" si="338"/>
        <v/>
      </c>
      <c r="T735" s="106" t="str">
        <f t="shared" si="352"/>
        <v/>
      </c>
      <c r="U735" s="106" t="str">
        <f t="shared" si="353"/>
        <v/>
      </c>
      <c r="V735" s="106" t="str">
        <f t="shared" si="354"/>
        <v/>
      </c>
      <c r="W735" s="105" t="str">
        <f t="shared" si="339"/>
        <v/>
      </c>
      <c r="X735" s="104" t="str">
        <f t="shared" si="344"/>
        <v/>
      </c>
      <c r="Y735" s="104" t="str">
        <f t="array" ref="Y735">IFERROR(IF(ISNUMBER(O735),IF(COUNT(IF(A735=$A$2:$A$2427,IF(D735=$D$2:$D$2427,IF($X$2:$X$2427&gt;0,1))))&gt;0,SUM(IF(A735=$A$2:$A$2427,IF(D735=$D$2:$D$2427,$X$2:$X$2427)))/COUNT(IF(A735=$A$2:$A$2427,IF(D735=$D$2:$D$2427,IF(ISNUMBER($X$2:$X$2427),1)))),0),""),0)</f>
        <v/>
      </c>
      <c r="Z735" s="104" t="str">
        <f>IF(ISNUMBER(O735),IF(I735&gt;0,(10^(VLOOKUP(D735,'Species Codes'!B:C,2,0)+VLOOKUP(D735,'Species Codes'!B:D,3,0)*LOG(E735)+VLOOKUP(D735,'Species Codes'!B:E,4,0)*LOG(I735))),0),"")</f>
        <v/>
      </c>
      <c r="AA735" s="104" t="str">
        <f>IFERROR((VLOOKUP(D735,'Species Codes'!B:G,6,0)*Z735)/2000,"")</f>
        <v/>
      </c>
      <c r="AB735" s="104" t="e">
        <f>IF(Z735&gt;0,((IF(OR(D735="DF",D735="RA")=TRUE,EXP(VLOOKUP(D735,'Species Codes'!B:I,8,0)+VLOOKUP(D735,'Species Codes'!B:J,9,0)*(LN((E735*2.54)))),IF(OR(D735="PY",D735="RC",D735="WH",D735="NF")=TRUE,VLOOKUP(D735,'Species Codes'!B:I,8,0)+VLOOKUP(D735,'Species Codes'!B:J,9,0)*((E735*2.54)^2)*(I735*0.3048),IF(OR(D735="MD",D735="BM",D735="GA")=TRUE,((VLOOKUP(D735,'Species Codes'!B:I,8,0)*(((((E735*2.54)+VLOOKUP(D735,'Species Codes'!B:J,9,0))/VLOOKUP(D735,'Species Codes'!B:K,10,0))^VLOOKUP(D735,'Species Codes'!B:L,11,0))*((I735*0.3048)^VLOOKUP(D735,'Species Codes'!B:M,12,0))))-(VLOOKUP(D735,'Species Codes'!B:I,8,0)*((((E735*2.54)^VLOOKUP(D735,'Species Codes'!B:L,11,0))*((I735*0.3048)^VLOOKUP(D735,'Species Codes'!B:M,12,0))))))*35.3*VLOOKUP(D735,'Species Codes'!B:G,6,0)/2.2046,VLOOKUP(D735,'Species Codes'!B:I,8,0)+VLOOKUP(D735,'Species Codes'!B:J,9,0)*(((E735*2.54)/100)^2)*(I735*0.3048)))))*0.0011023),0)</f>
        <v>#N/A</v>
      </c>
      <c r="AC735" s="104" t="e">
        <f>IF(Z735&gt;0,((IF(OR(D735="RA",D735="OA",D735="OT",D735="UN",D735="PC"),EXP(VLOOKUP(D735,'Species Codes'!B:O,14,0)+VLOOKUP(D735,'Species Codes'!B:P,15,0)*LN((E735*2.54)))-EXP(VLOOKUP(D735,'Species Codes'!B:O,14,0)+VLOOKUP(D735,'Species Codes'!B:P,15,0)*LN((E735*2.54)))*(1/(VLOOKUP(D735,'Species Codes'!B:Q,16,0)+VLOOKUP(D735,'Species Codes'!B:R,17,0)*((E735*2.54)^VLOOKUP(D735,'Species Codes'!B:S,18,0)))),IF(OR(D735="BM",D735="MD",D735="OA"),EXP(VLOOKUP(D735,'Species Codes'!B:O,14,0)+VLOOKUP(D735,'Species Codes'!B:P,15,0)*LN((E735*2.54)))*(1-(1/(VLOOKUP(D735,'Species Codes'!B:Q,16,0)+VLOOKUP(D735,'Species Codes'!B:R,17,0)*((E735*2.54)^VLOOKUP(D735,'Species Codes'!B:S,18,0)))))/1000,IF(D735="DF",EXP(VLOOKUP(D735,'Species Codes'!B:O,14,0)+VLOOKUP(D735,'Species Codes'!B:P,15,0)*LN((E735*2.54))),VLOOKUP(D735,'Species Codes'!B:O,14,0)+VLOOKUP(D735,'Species Codes'!B:P,15,0)*(((E735*2.54)/100)^2)*(I735*0.3048)))))*0.0011023),0)</f>
        <v>#N/A</v>
      </c>
      <c r="AD735" s="104" t="e">
        <f t="shared" si="355"/>
        <v>#N/A</v>
      </c>
      <c r="AE735" s="104" t="e">
        <f t="shared" si="356"/>
        <v>#N/A</v>
      </c>
      <c r="AF735" s="104" t="e">
        <f>IF(AND(VLOOKUP($D735,Merchantability!$B:$C,2,0)="Yes",$E735&gt;=VLOOKUP($D735,Merchantability!$B:$D,3,0),$E735&lt;=VLOOKUP($D735,Merchantability!$B:$E,4,0)),AA735,0)</f>
        <v>#N/A</v>
      </c>
      <c r="AG735" s="104" t="e">
        <f>IF(AND(VLOOKUP($D735,Merchantability!$B:$C,2,0)="Yes",$E735&gt;=VLOOKUP($D735,Merchantability!$B:$D,3,0),$E735&lt;=VLOOKUP($D735,Merchantability!$B:$E,4,0)),AB735,0)</f>
        <v>#N/A</v>
      </c>
      <c r="AH735" s="104" t="e">
        <f>IF(AND(VLOOKUP($D735,Merchantability!$B:$C,2,0)="Yes",$E735&gt;=VLOOKUP($D735,Merchantability!$B:$D,3,0),$E735&lt;=VLOOKUP($D735,Merchantability!$B:$E,4,0)),AC735,0)</f>
        <v>#N/A</v>
      </c>
      <c r="AI735" s="104" t="e">
        <f t="shared" si="357"/>
        <v>#N/A</v>
      </c>
      <c r="AJ735" s="104" t="e">
        <f t="shared" si="358"/>
        <v>#VALUE!</v>
      </c>
      <c r="AK735" s="104" t="e">
        <f t="shared" si="359"/>
        <v>#N/A</v>
      </c>
      <c r="AL735" s="104" t="e">
        <f t="shared" si="360"/>
        <v>#N/A</v>
      </c>
      <c r="AM735" s="104" t="e">
        <f t="shared" si="361"/>
        <v>#N/A</v>
      </c>
      <c r="AN735" s="104" t="e">
        <f t="shared" si="345"/>
        <v>#N/A</v>
      </c>
      <c r="AO735" s="104" t="e">
        <f t="shared" si="346"/>
        <v>#N/A</v>
      </c>
      <c r="AP735" s="104" t="e">
        <f t="shared" si="347"/>
        <v>#N/A</v>
      </c>
      <c r="AQ735" s="104" t="e">
        <f t="shared" si="348"/>
        <v>#N/A</v>
      </c>
      <c r="AR735" s="105" t="str">
        <f t="shared" si="340"/>
        <v/>
      </c>
      <c r="AS735" s="105" t="str">
        <f t="shared" si="341"/>
        <v/>
      </c>
      <c r="AT735" s="108" t="str">
        <f t="shared" si="342"/>
        <v/>
      </c>
      <c r="AU735" s="108" t="str">
        <f t="shared" si="343"/>
        <v/>
      </c>
      <c r="AV735" s="107" t="str">
        <f>IF(ISNUMBER(O735),IF(VLOOKUP($A735,Stand!C:J,8,FALSE)="Short",AT735,AU735),"")</f>
        <v/>
      </c>
      <c r="AW735" s="109" t="str">
        <f t="shared" si="349"/>
        <v/>
      </c>
      <c r="AX735" s="109" t="str">
        <f t="shared" si="350"/>
        <v/>
      </c>
      <c r="AY735" s="112" t="str">
        <f>IF(ISNUMBER(O735),IF(AND(VLOOKUP($D735,Merchantability!$B:$C,2,0)="Yes",$E735&gt;=VLOOKUP($D735,Merchantability!$B:$D,3,0),$E735&lt;=VLOOKUP($D735,Merchantability!$B:$E,4,0)),(AV735*O735)*(1-$H735/100),""),"")</f>
        <v/>
      </c>
      <c r="AZ735" s="116"/>
      <c r="BA735" s="116"/>
      <c r="BB735" s="116"/>
      <c r="BE735" s="62"/>
      <c r="BF735" s="63"/>
    </row>
    <row r="736" spans="1:58" ht="12.75" customHeight="1" x14ac:dyDescent="0.25">
      <c r="A736" s="313"/>
      <c r="B736" s="328"/>
      <c r="C736" s="329"/>
      <c r="D736" s="328"/>
      <c r="E736" s="330"/>
      <c r="F736" s="328"/>
      <c r="G736" s="329"/>
      <c r="H736" s="329"/>
      <c r="I736" s="328"/>
      <c r="J736" s="383"/>
      <c r="K736" s="329"/>
      <c r="L736" s="329"/>
      <c r="M736" s="76"/>
      <c r="N736" s="103" t="str">
        <f>IF(A736="","",VLOOKUP(A736,Stand!C:K,9,0))</f>
        <v/>
      </c>
      <c r="O736" s="104" t="str">
        <f t="shared" si="335"/>
        <v/>
      </c>
      <c r="P736" s="105" t="str">
        <f t="shared" si="336"/>
        <v/>
      </c>
      <c r="Q736" s="105" t="str">
        <f t="shared" si="351"/>
        <v/>
      </c>
      <c r="R736" s="103" t="str">
        <f t="shared" si="337"/>
        <v/>
      </c>
      <c r="S736" s="103" t="str">
        <f t="shared" si="338"/>
        <v/>
      </c>
      <c r="T736" s="106" t="str">
        <f t="shared" si="352"/>
        <v/>
      </c>
      <c r="U736" s="106" t="str">
        <f t="shared" si="353"/>
        <v/>
      </c>
      <c r="V736" s="106" t="str">
        <f t="shared" si="354"/>
        <v/>
      </c>
      <c r="W736" s="105" t="str">
        <f t="shared" si="339"/>
        <v/>
      </c>
      <c r="X736" s="104" t="str">
        <f t="shared" si="344"/>
        <v/>
      </c>
      <c r="Y736" s="104" t="str">
        <f t="array" ref="Y736">IFERROR(IF(ISNUMBER(O736),IF(COUNT(IF(A736=$A$2:$A$2427,IF(D736=$D$2:$D$2427,IF($X$2:$X$2427&gt;0,1))))&gt;0,SUM(IF(A736=$A$2:$A$2427,IF(D736=$D$2:$D$2427,$X$2:$X$2427)))/COUNT(IF(A736=$A$2:$A$2427,IF(D736=$D$2:$D$2427,IF(ISNUMBER($X$2:$X$2427),1)))),0),""),0)</f>
        <v/>
      </c>
      <c r="Z736" s="104" t="str">
        <f>IF(ISNUMBER(O736),IF(I736&gt;0,(10^(VLOOKUP(D736,'Species Codes'!B:C,2,0)+VLOOKUP(D736,'Species Codes'!B:D,3,0)*LOG(E736)+VLOOKUP(D736,'Species Codes'!B:E,4,0)*LOG(I736))),0),"")</f>
        <v/>
      </c>
      <c r="AA736" s="104" t="str">
        <f>IFERROR((VLOOKUP(D736,'Species Codes'!B:G,6,0)*Z736)/2000,"")</f>
        <v/>
      </c>
      <c r="AB736" s="104" t="e">
        <f>IF(Z736&gt;0,((IF(OR(D736="DF",D736="RA")=TRUE,EXP(VLOOKUP(D736,'Species Codes'!B:I,8,0)+VLOOKUP(D736,'Species Codes'!B:J,9,0)*(LN((E736*2.54)))),IF(OR(D736="PY",D736="RC",D736="WH",D736="NF")=TRUE,VLOOKUP(D736,'Species Codes'!B:I,8,0)+VLOOKUP(D736,'Species Codes'!B:J,9,0)*((E736*2.54)^2)*(I736*0.3048),IF(OR(D736="MD",D736="BM",D736="GA")=TRUE,((VLOOKUP(D736,'Species Codes'!B:I,8,0)*(((((E736*2.54)+VLOOKUP(D736,'Species Codes'!B:J,9,0))/VLOOKUP(D736,'Species Codes'!B:K,10,0))^VLOOKUP(D736,'Species Codes'!B:L,11,0))*((I736*0.3048)^VLOOKUP(D736,'Species Codes'!B:M,12,0))))-(VLOOKUP(D736,'Species Codes'!B:I,8,0)*((((E736*2.54)^VLOOKUP(D736,'Species Codes'!B:L,11,0))*((I736*0.3048)^VLOOKUP(D736,'Species Codes'!B:M,12,0))))))*35.3*VLOOKUP(D736,'Species Codes'!B:G,6,0)/2.2046,VLOOKUP(D736,'Species Codes'!B:I,8,0)+VLOOKUP(D736,'Species Codes'!B:J,9,0)*(((E736*2.54)/100)^2)*(I736*0.3048)))))*0.0011023),0)</f>
        <v>#N/A</v>
      </c>
      <c r="AC736" s="104" t="e">
        <f>IF(Z736&gt;0,((IF(OR(D736="RA",D736="OA",D736="OT",D736="UN",D736="PC"),EXP(VLOOKUP(D736,'Species Codes'!B:O,14,0)+VLOOKUP(D736,'Species Codes'!B:P,15,0)*LN((E736*2.54)))-EXP(VLOOKUP(D736,'Species Codes'!B:O,14,0)+VLOOKUP(D736,'Species Codes'!B:P,15,0)*LN((E736*2.54)))*(1/(VLOOKUP(D736,'Species Codes'!B:Q,16,0)+VLOOKUP(D736,'Species Codes'!B:R,17,0)*((E736*2.54)^VLOOKUP(D736,'Species Codes'!B:S,18,0)))),IF(OR(D736="BM",D736="MD",D736="OA"),EXP(VLOOKUP(D736,'Species Codes'!B:O,14,0)+VLOOKUP(D736,'Species Codes'!B:P,15,0)*LN((E736*2.54)))*(1-(1/(VLOOKUP(D736,'Species Codes'!B:Q,16,0)+VLOOKUP(D736,'Species Codes'!B:R,17,0)*((E736*2.54)^VLOOKUP(D736,'Species Codes'!B:S,18,0)))))/1000,IF(D736="DF",EXP(VLOOKUP(D736,'Species Codes'!B:O,14,0)+VLOOKUP(D736,'Species Codes'!B:P,15,0)*LN((E736*2.54))),VLOOKUP(D736,'Species Codes'!B:O,14,0)+VLOOKUP(D736,'Species Codes'!B:P,15,0)*(((E736*2.54)/100)^2)*(I736*0.3048)))))*0.0011023),0)</f>
        <v>#N/A</v>
      </c>
      <c r="AD736" s="104" t="e">
        <f t="shared" si="355"/>
        <v>#N/A</v>
      </c>
      <c r="AE736" s="104" t="e">
        <f t="shared" si="356"/>
        <v>#N/A</v>
      </c>
      <c r="AF736" s="104" t="e">
        <f>IF(AND(VLOOKUP($D736,Merchantability!$B:$C,2,0)="Yes",$E736&gt;=VLOOKUP($D736,Merchantability!$B:$D,3,0),$E736&lt;=VLOOKUP($D736,Merchantability!$B:$E,4,0)),AA736,0)</f>
        <v>#N/A</v>
      </c>
      <c r="AG736" s="104" t="e">
        <f>IF(AND(VLOOKUP($D736,Merchantability!$B:$C,2,0)="Yes",$E736&gt;=VLOOKUP($D736,Merchantability!$B:$D,3,0),$E736&lt;=VLOOKUP($D736,Merchantability!$B:$E,4,0)),AB736,0)</f>
        <v>#N/A</v>
      </c>
      <c r="AH736" s="104" t="e">
        <f>IF(AND(VLOOKUP($D736,Merchantability!$B:$C,2,0)="Yes",$E736&gt;=VLOOKUP($D736,Merchantability!$B:$D,3,0),$E736&lt;=VLOOKUP($D736,Merchantability!$B:$E,4,0)),AC736,0)</f>
        <v>#N/A</v>
      </c>
      <c r="AI736" s="104" t="e">
        <f t="shared" si="357"/>
        <v>#N/A</v>
      </c>
      <c r="AJ736" s="104" t="e">
        <f t="shared" si="358"/>
        <v>#VALUE!</v>
      </c>
      <c r="AK736" s="104" t="e">
        <f t="shared" si="359"/>
        <v>#N/A</v>
      </c>
      <c r="AL736" s="104" t="e">
        <f t="shared" si="360"/>
        <v>#N/A</v>
      </c>
      <c r="AM736" s="104" t="e">
        <f t="shared" si="361"/>
        <v>#N/A</v>
      </c>
      <c r="AN736" s="104" t="e">
        <f t="shared" si="345"/>
        <v>#N/A</v>
      </c>
      <c r="AO736" s="104" t="e">
        <f t="shared" si="346"/>
        <v>#N/A</v>
      </c>
      <c r="AP736" s="104" t="e">
        <f t="shared" si="347"/>
        <v>#N/A</v>
      </c>
      <c r="AQ736" s="104" t="e">
        <f t="shared" si="348"/>
        <v>#N/A</v>
      </c>
      <c r="AR736" s="105" t="str">
        <f t="shared" si="340"/>
        <v/>
      </c>
      <c r="AS736" s="105" t="str">
        <f t="shared" si="341"/>
        <v/>
      </c>
      <c r="AT736" s="108" t="str">
        <f t="shared" si="342"/>
        <v/>
      </c>
      <c r="AU736" s="108" t="str">
        <f t="shared" si="343"/>
        <v/>
      </c>
      <c r="AV736" s="107" t="str">
        <f>IF(ISNUMBER(O736),IF(VLOOKUP($A736,Stand!C:J,8,FALSE)="Short",AT736,AU736),"")</f>
        <v/>
      </c>
      <c r="AW736" s="109" t="str">
        <f t="shared" si="349"/>
        <v/>
      </c>
      <c r="AX736" s="109" t="str">
        <f t="shared" si="350"/>
        <v/>
      </c>
      <c r="AY736" s="112" t="str">
        <f>IF(ISNUMBER(O736),IF(AND(VLOOKUP($D736,Merchantability!$B:$C,2,0)="Yes",$E736&gt;=VLOOKUP($D736,Merchantability!$B:$D,3,0),$E736&lt;=VLOOKUP($D736,Merchantability!$B:$E,4,0)),(AV736*O736)*(1-$H736/100),""),"")</f>
        <v/>
      </c>
      <c r="AZ736" s="116"/>
      <c r="BA736" s="116"/>
      <c r="BB736" s="116"/>
      <c r="BE736" s="62"/>
      <c r="BF736" s="63"/>
    </row>
    <row r="737" spans="1:58" ht="12.75" customHeight="1" x14ac:dyDescent="0.25">
      <c r="A737" s="313"/>
      <c r="B737" s="328"/>
      <c r="C737" s="329"/>
      <c r="D737" s="328"/>
      <c r="E737" s="330"/>
      <c r="F737" s="328"/>
      <c r="G737" s="329"/>
      <c r="H737" s="329"/>
      <c r="I737" s="328"/>
      <c r="J737" s="383"/>
      <c r="K737" s="329"/>
      <c r="L737" s="329"/>
      <c r="M737" s="76"/>
      <c r="N737" s="103" t="str">
        <f>IF(A737="","",VLOOKUP(A737,Stand!C:K,9,0))</f>
        <v/>
      </c>
      <c r="O737" s="104" t="str">
        <f t="shared" si="335"/>
        <v/>
      </c>
      <c r="P737" s="105" t="str">
        <f t="shared" si="336"/>
        <v/>
      </c>
      <c r="Q737" s="105" t="str">
        <f t="shared" si="351"/>
        <v/>
      </c>
      <c r="R737" s="103" t="str">
        <f t="shared" si="337"/>
        <v/>
      </c>
      <c r="S737" s="103" t="str">
        <f t="shared" si="338"/>
        <v/>
      </c>
      <c r="T737" s="106" t="str">
        <f t="shared" si="352"/>
        <v/>
      </c>
      <c r="U737" s="106" t="str">
        <f t="shared" si="353"/>
        <v/>
      </c>
      <c r="V737" s="106" t="str">
        <f t="shared" si="354"/>
        <v/>
      </c>
      <c r="W737" s="105" t="str">
        <f t="shared" si="339"/>
        <v/>
      </c>
      <c r="X737" s="104" t="str">
        <f t="shared" si="344"/>
        <v/>
      </c>
      <c r="Y737" s="104" t="str">
        <f t="array" ref="Y737">IFERROR(IF(ISNUMBER(O737),IF(COUNT(IF(A737=$A$2:$A$2427,IF(D737=$D$2:$D$2427,IF($X$2:$X$2427&gt;0,1))))&gt;0,SUM(IF(A737=$A$2:$A$2427,IF(D737=$D$2:$D$2427,$X$2:$X$2427)))/COUNT(IF(A737=$A$2:$A$2427,IF(D737=$D$2:$D$2427,IF(ISNUMBER($X$2:$X$2427),1)))),0),""),0)</f>
        <v/>
      </c>
      <c r="Z737" s="104" t="str">
        <f>IF(ISNUMBER(O737),IF(I737&gt;0,(10^(VLOOKUP(D737,'Species Codes'!B:C,2,0)+VLOOKUP(D737,'Species Codes'!B:D,3,0)*LOG(E737)+VLOOKUP(D737,'Species Codes'!B:E,4,0)*LOG(I737))),0),"")</f>
        <v/>
      </c>
      <c r="AA737" s="104" t="str">
        <f>IFERROR((VLOOKUP(D737,'Species Codes'!B:G,6,0)*Z737)/2000,"")</f>
        <v/>
      </c>
      <c r="AB737" s="104" t="e">
        <f>IF(Z737&gt;0,((IF(OR(D737="DF",D737="RA")=TRUE,EXP(VLOOKUP(D737,'Species Codes'!B:I,8,0)+VLOOKUP(D737,'Species Codes'!B:J,9,0)*(LN((E737*2.54)))),IF(OR(D737="PY",D737="RC",D737="WH",D737="NF")=TRUE,VLOOKUP(D737,'Species Codes'!B:I,8,0)+VLOOKUP(D737,'Species Codes'!B:J,9,0)*((E737*2.54)^2)*(I737*0.3048),IF(OR(D737="MD",D737="BM",D737="GA")=TRUE,((VLOOKUP(D737,'Species Codes'!B:I,8,0)*(((((E737*2.54)+VLOOKUP(D737,'Species Codes'!B:J,9,0))/VLOOKUP(D737,'Species Codes'!B:K,10,0))^VLOOKUP(D737,'Species Codes'!B:L,11,0))*((I737*0.3048)^VLOOKUP(D737,'Species Codes'!B:M,12,0))))-(VLOOKUP(D737,'Species Codes'!B:I,8,0)*((((E737*2.54)^VLOOKUP(D737,'Species Codes'!B:L,11,0))*((I737*0.3048)^VLOOKUP(D737,'Species Codes'!B:M,12,0))))))*35.3*VLOOKUP(D737,'Species Codes'!B:G,6,0)/2.2046,VLOOKUP(D737,'Species Codes'!B:I,8,0)+VLOOKUP(D737,'Species Codes'!B:J,9,0)*(((E737*2.54)/100)^2)*(I737*0.3048)))))*0.0011023),0)</f>
        <v>#N/A</v>
      </c>
      <c r="AC737" s="104" t="e">
        <f>IF(Z737&gt;0,((IF(OR(D737="RA",D737="OA",D737="OT",D737="UN",D737="PC"),EXP(VLOOKUP(D737,'Species Codes'!B:O,14,0)+VLOOKUP(D737,'Species Codes'!B:P,15,0)*LN((E737*2.54)))-EXP(VLOOKUP(D737,'Species Codes'!B:O,14,0)+VLOOKUP(D737,'Species Codes'!B:P,15,0)*LN((E737*2.54)))*(1/(VLOOKUP(D737,'Species Codes'!B:Q,16,0)+VLOOKUP(D737,'Species Codes'!B:R,17,0)*((E737*2.54)^VLOOKUP(D737,'Species Codes'!B:S,18,0)))),IF(OR(D737="BM",D737="MD",D737="OA"),EXP(VLOOKUP(D737,'Species Codes'!B:O,14,0)+VLOOKUP(D737,'Species Codes'!B:P,15,0)*LN((E737*2.54)))*(1-(1/(VLOOKUP(D737,'Species Codes'!B:Q,16,0)+VLOOKUP(D737,'Species Codes'!B:R,17,0)*((E737*2.54)^VLOOKUP(D737,'Species Codes'!B:S,18,0)))))/1000,IF(D737="DF",EXP(VLOOKUP(D737,'Species Codes'!B:O,14,0)+VLOOKUP(D737,'Species Codes'!B:P,15,0)*LN((E737*2.54))),VLOOKUP(D737,'Species Codes'!B:O,14,0)+VLOOKUP(D737,'Species Codes'!B:P,15,0)*(((E737*2.54)/100)^2)*(I737*0.3048)))))*0.0011023),0)</f>
        <v>#N/A</v>
      </c>
      <c r="AD737" s="104" t="e">
        <f t="shared" si="355"/>
        <v>#N/A</v>
      </c>
      <c r="AE737" s="104" t="e">
        <f t="shared" si="356"/>
        <v>#N/A</v>
      </c>
      <c r="AF737" s="104" t="e">
        <f>IF(AND(VLOOKUP($D737,Merchantability!$B:$C,2,0)="Yes",$E737&gt;=VLOOKUP($D737,Merchantability!$B:$D,3,0),$E737&lt;=VLOOKUP($D737,Merchantability!$B:$E,4,0)),AA737,0)</f>
        <v>#N/A</v>
      </c>
      <c r="AG737" s="104" t="e">
        <f>IF(AND(VLOOKUP($D737,Merchantability!$B:$C,2,0)="Yes",$E737&gt;=VLOOKUP($D737,Merchantability!$B:$D,3,0),$E737&lt;=VLOOKUP($D737,Merchantability!$B:$E,4,0)),AB737,0)</f>
        <v>#N/A</v>
      </c>
      <c r="AH737" s="104" t="e">
        <f>IF(AND(VLOOKUP($D737,Merchantability!$B:$C,2,0)="Yes",$E737&gt;=VLOOKUP($D737,Merchantability!$B:$D,3,0),$E737&lt;=VLOOKUP($D737,Merchantability!$B:$E,4,0)),AC737,0)</f>
        <v>#N/A</v>
      </c>
      <c r="AI737" s="104" t="e">
        <f t="shared" si="357"/>
        <v>#N/A</v>
      </c>
      <c r="AJ737" s="104" t="e">
        <f t="shared" si="358"/>
        <v>#VALUE!</v>
      </c>
      <c r="AK737" s="104" t="e">
        <f t="shared" si="359"/>
        <v>#N/A</v>
      </c>
      <c r="AL737" s="104" t="e">
        <f t="shared" si="360"/>
        <v>#N/A</v>
      </c>
      <c r="AM737" s="104" t="e">
        <f t="shared" si="361"/>
        <v>#N/A</v>
      </c>
      <c r="AN737" s="104" t="e">
        <f t="shared" si="345"/>
        <v>#N/A</v>
      </c>
      <c r="AO737" s="104" t="e">
        <f t="shared" si="346"/>
        <v>#N/A</v>
      </c>
      <c r="AP737" s="104" t="e">
        <f t="shared" si="347"/>
        <v>#N/A</v>
      </c>
      <c r="AQ737" s="104" t="e">
        <f t="shared" si="348"/>
        <v>#N/A</v>
      </c>
      <c r="AR737" s="105" t="str">
        <f t="shared" si="340"/>
        <v/>
      </c>
      <c r="AS737" s="105" t="str">
        <f t="shared" si="341"/>
        <v/>
      </c>
      <c r="AT737" s="108" t="str">
        <f t="shared" si="342"/>
        <v/>
      </c>
      <c r="AU737" s="108" t="str">
        <f t="shared" si="343"/>
        <v/>
      </c>
      <c r="AV737" s="107" t="str">
        <f>IF(ISNUMBER(O737),IF(VLOOKUP($A737,Stand!C:J,8,FALSE)="Short",AT737,AU737),"")</f>
        <v/>
      </c>
      <c r="AW737" s="109" t="str">
        <f t="shared" si="349"/>
        <v/>
      </c>
      <c r="AX737" s="109" t="str">
        <f t="shared" si="350"/>
        <v/>
      </c>
      <c r="AY737" s="112" t="str">
        <f>IF(ISNUMBER(O737),IF(AND(VLOOKUP($D737,Merchantability!$B:$C,2,0)="Yes",$E737&gt;=VLOOKUP($D737,Merchantability!$B:$D,3,0),$E737&lt;=VLOOKUP($D737,Merchantability!$B:$E,4,0)),(AV737*O737)*(1-$H737/100),""),"")</f>
        <v/>
      </c>
      <c r="AZ737" s="116"/>
      <c r="BA737" s="116"/>
      <c r="BB737" s="116"/>
      <c r="BE737" s="62"/>
      <c r="BF737" s="63"/>
    </row>
    <row r="738" spans="1:58" ht="12.75" customHeight="1" x14ac:dyDescent="0.25">
      <c r="A738" s="313"/>
      <c r="B738" s="328"/>
      <c r="C738" s="329"/>
      <c r="D738" s="328"/>
      <c r="E738" s="330"/>
      <c r="F738" s="328"/>
      <c r="G738" s="329"/>
      <c r="H738" s="329"/>
      <c r="I738" s="328"/>
      <c r="J738" s="383"/>
      <c r="K738" s="329"/>
      <c r="L738" s="329"/>
      <c r="M738" s="76"/>
      <c r="N738" s="103" t="str">
        <f>IF(A738="","",VLOOKUP(A738,Stand!C:K,9,0))</f>
        <v/>
      </c>
      <c r="O738" s="104" t="str">
        <f t="shared" si="335"/>
        <v/>
      </c>
      <c r="P738" s="105" t="str">
        <f t="shared" si="336"/>
        <v/>
      </c>
      <c r="Q738" s="105" t="str">
        <f t="shared" si="351"/>
        <v/>
      </c>
      <c r="R738" s="103" t="str">
        <f t="shared" si="337"/>
        <v/>
      </c>
      <c r="S738" s="103" t="str">
        <f t="shared" si="338"/>
        <v/>
      </c>
      <c r="T738" s="106" t="str">
        <f t="shared" si="352"/>
        <v/>
      </c>
      <c r="U738" s="106" t="str">
        <f t="shared" si="353"/>
        <v/>
      </c>
      <c r="V738" s="106" t="str">
        <f t="shared" si="354"/>
        <v/>
      </c>
      <c r="W738" s="105" t="str">
        <f t="shared" si="339"/>
        <v/>
      </c>
      <c r="X738" s="104" t="str">
        <f t="shared" si="344"/>
        <v/>
      </c>
      <c r="Y738" s="104" t="str">
        <f t="array" ref="Y738">IFERROR(IF(ISNUMBER(O738),IF(COUNT(IF(A738=$A$2:$A$2427,IF(D738=$D$2:$D$2427,IF($X$2:$X$2427&gt;0,1))))&gt;0,SUM(IF(A738=$A$2:$A$2427,IF(D738=$D$2:$D$2427,$X$2:$X$2427)))/COUNT(IF(A738=$A$2:$A$2427,IF(D738=$D$2:$D$2427,IF(ISNUMBER($X$2:$X$2427),1)))),0),""),0)</f>
        <v/>
      </c>
      <c r="Z738" s="104" t="str">
        <f>IF(ISNUMBER(O738),IF(I738&gt;0,(10^(VLOOKUP(D738,'Species Codes'!B:C,2,0)+VLOOKUP(D738,'Species Codes'!B:D,3,0)*LOG(E738)+VLOOKUP(D738,'Species Codes'!B:E,4,0)*LOG(I738))),0),"")</f>
        <v/>
      </c>
      <c r="AA738" s="104" t="str">
        <f>IFERROR((VLOOKUP(D738,'Species Codes'!B:G,6,0)*Z738)/2000,"")</f>
        <v/>
      </c>
      <c r="AB738" s="104" t="e">
        <f>IF(Z738&gt;0,((IF(OR(D738="DF",D738="RA")=TRUE,EXP(VLOOKUP(D738,'Species Codes'!B:I,8,0)+VLOOKUP(D738,'Species Codes'!B:J,9,0)*(LN((E738*2.54)))),IF(OR(D738="PY",D738="RC",D738="WH",D738="NF")=TRUE,VLOOKUP(D738,'Species Codes'!B:I,8,0)+VLOOKUP(D738,'Species Codes'!B:J,9,0)*((E738*2.54)^2)*(I738*0.3048),IF(OR(D738="MD",D738="BM",D738="GA")=TRUE,((VLOOKUP(D738,'Species Codes'!B:I,8,0)*(((((E738*2.54)+VLOOKUP(D738,'Species Codes'!B:J,9,0))/VLOOKUP(D738,'Species Codes'!B:K,10,0))^VLOOKUP(D738,'Species Codes'!B:L,11,0))*((I738*0.3048)^VLOOKUP(D738,'Species Codes'!B:M,12,0))))-(VLOOKUP(D738,'Species Codes'!B:I,8,0)*((((E738*2.54)^VLOOKUP(D738,'Species Codes'!B:L,11,0))*((I738*0.3048)^VLOOKUP(D738,'Species Codes'!B:M,12,0))))))*35.3*VLOOKUP(D738,'Species Codes'!B:G,6,0)/2.2046,VLOOKUP(D738,'Species Codes'!B:I,8,0)+VLOOKUP(D738,'Species Codes'!B:J,9,0)*(((E738*2.54)/100)^2)*(I738*0.3048)))))*0.0011023),0)</f>
        <v>#N/A</v>
      </c>
      <c r="AC738" s="104" t="e">
        <f>IF(Z738&gt;0,((IF(OR(D738="RA",D738="OA",D738="OT",D738="UN",D738="PC"),EXP(VLOOKUP(D738,'Species Codes'!B:O,14,0)+VLOOKUP(D738,'Species Codes'!B:P,15,0)*LN((E738*2.54)))-EXP(VLOOKUP(D738,'Species Codes'!B:O,14,0)+VLOOKUP(D738,'Species Codes'!B:P,15,0)*LN((E738*2.54)))*(1/(VLOOKUP(D738,'Species Codes'!B:Q,16,0)+VLOOKUP(D738,'Species Codes'!B:R,17,0)*((E738*2.54)^VLOOKUP(D738,'Species Codes'!B:S,18,0)))),IF(OR(D738="BM",D738="MD",D738="OA"),EXP(VLOOKUP(D738,'Species Codes'!B:O,14,0)+VLOOKUP(D738,'Species Codes'!B:P,15,0)*LN((E738*2.54)))*(1-(1/(VLOOKUP(D738,'Species Codes'!B:Q,16,0)+VLOOKUP(D738,'Species Codes'!B:R,17,0)*((E738*2.54)^VLOOKUP(D738,'Species Codes'!B:S,18,0)))))/1000,IF(D738="DF",EXP(VLOOKUP(D738,'Species Codes'!B:O,14,0)+VLOOKUP(D738,'Species Codes'!B:P,15,0)*LN((E738*2.54))),VLOOKUP(D738,'Species Codes'!B:O,14,0)+VLOOKUP(D738,'Species Codes'!B:P,15,0)*(((E738*2.54)/100)^2)*(I738*0.3048)))))*0.0011023),0)</f>
        <v>#N/A</v>
      </c>
      <c r="AD738" s="104" t="e">
        <f t="shared" si="355"/>
        <v>#N/A</v>
      </c>
      <c r="AE738" s="104" t="e">
        <f t="shared" si="356"/>
        <v>#N/A</v>
      </c>
      <c r="AF738" s="104" t="e">
        <f>IF(AND(VLOOKUP($D738,Merchantability!$B:$C,2,0)="Yes",$E738&gt;=VLOOKUP($D738,Merchantability!$B:$D,3,0),$E738&lt;=VLOOKUP($D738,Merchantability!$B:$E,4,0)),AA738,0)</f>
        <v>#N/A</v>
      </c>
      <c r="AG738" s="104" t="e">
        <f>IF(AND(VLOOKUP($D738,Merchantability!$B:$C,2,0)="Yes",$E738&gt;=VLOOKUP($D738,Merchantability!$B:$D,3,0),$E738&lt;=VLOOKUP($D738,Merchantability!$B:$E,4,0)),AB738,0)</f>
        <v>#N/A</v>
      </c>
      <c r="AH738" s="104" t="e">
        <f>IF(AND(VLOOKUP($D738,Merchantability!$B:$C,2,0)="Yes",$E738&gt;=VLOOKUP($D738,Merchantability!$B:$D,3,0),$E738&lt;=VLOOKUP($D738,Merchantability!$B:$E,4,0)),AC738,0)</f>
        <v>#N/A</v>
      </c>
      <c r="AI738" s="104" t="e">
        <f t="shared" si="357"/>
        <v>#N/A</v>
      </c>
      <c r="AJ738" s="104" t="e">
        <f t="shared" si="358"/>
        <v>#VALUE!</v>
      </c>
      <c r="AK738" s="104" t="e">
        <f t="shared" si="359"/>
        <v>#N/A</v>
      </c>
      <c r="AL738" s="104" t="e">
        <f t="shared" si="360"/>
        <v>#N/A</v>
      </c>
      <c r="AM738" s="104" t="e">
        <f t="shared" si="361"/>
        <v>#N/A</v>
      </c>
      <c r="AN738" s="104" t="e">
        <f t="shared" si="345"/>
        <v>#N/A</v>
      </c>
      <c r="AO738" s="104" t="e">
        <f t="shared" si="346"/>
        <v>#N/A</v>
      </c>
      <c r="AP738" s="104" t="e">
        <f t="shared" si="347"/>
        <v>#N/A</v>
      </c>
      <c r="AQ738" s="104" t="e">
        <f t="shared" si="348"/>
        <v>#N/A</v>
      </c>
      <c r="AR738" s="105" t="str">
        <f t="shared" si="340"/>
        <v/>
      </c>
      <c r="AS738" s="105" t="str">
        <f t="shared" si="341"/>
        <v/>
      </c>
      <c r="AT738" s="108" t="str">
        <f t="shared" si="342"/>
        <v/>
      </c>
      <c r="AU738" s="108" t="str">
        <f t="shared" si="343"/>
        <v/>
      </c>
      <c r="AV738" s="107" t="str">
        <f>IF(ISNUMBER(O738),IF(VLOOKUP($A738,Stand!C:J,8,FALSE)="Short",AT738,AU738),"")</f>
        <v/>
      </c>
      <c r="AW738" s="109" t="str">
        <f t="shared" si="349"/>
        <v/>
      </c>
      <c r="AX738" s="109" t="str">
        <f t="shared" si="350"/>
        <v/>
      </c>
      <c r="AY738" s="112" t="str">
        <f>IF(ISNUMBER(O738),IF(AND(VLOOKUP($D738,Merchantability!$B:$C,2,0)="Yes",$E738&gt;=VLOOKUP($D738,Merchantability!$B:$D,3,0),$E738&lt;=VLOOKUP($D738,Merchantability!$B:$E,4,0)),(AV738*O738)*(1-$H738/100),""),"")</f>
        <v/>
      </c>
      <c r="AZ738" s="116"/>
      <c r="BA738" s="116"/>
      <c r="BB738" s="116"/>
      <c r="BE738" s="62"/>
      <c r="BF738" s="63"/>
    </row>
    <row r="739" spans="1:58" ht="12.75" customHeight="1" x14ac:dyDescent="0.25">
      <c r="A739" s="313"/>
      <c r="B739" s="328"/>
      <c r="C739" s="329"/>
      <c r="D739" s="328"/>
      <c r="E739" s="330"/>
      <c r="F739" s="328"/>
      <c r="G739" s="329"/>
      <c r="H739" s="329"/>
      <c r="I739" s="328"/>
      <c r="J739" s="383"/>
      <c r="K739" s="329"/>
      <c r="L739" s="329"/>
      <c r="M739" s="76"/>
      <c r="N739" s="103" t="str">
        <f>IF(A739="","",VLOOKUP(A739,Stand!C:K,9,0))</f>
        <v/>
      </c>
      <c r="O739" s="104" t="str">
        <f t="shared" si="335"/>
        <v/>
      </c>
      <c r="P739" s="105" t="str">
        <f t="shared" si="336"/>
        <v/>
      </c>
      <c r="Q739" s="105" t="str">
        <f t="shared" si="351"/>
        <v/>
      </c>
      <c r="R739" s="103" t="str">
        <f t="shared" si="337"/>
        <v/>
      </c>
      <c r="S739" s="103" t="str">
        <f t="shared" si="338"/>
        <v/>
      </c>
      <c r="T739" s="106" t="str">
        <f t="shared" si="352"/>
        <v/>
      </c>
      <c r="U739" s="106" t="str">
        <f t="shared" si="353"/>
        <v/>
      </c>
      <c r="V739" s="106" t="str">
        <f t="shared" si="354"/>
        <v/>
      </c>
      <c r="W739" s="105" t="str">
        <f t="shared" si="339"/>
        <v/>
      </c>
      <c r="X739" s="104" t="str">
        <f t="shared" si="344"/>
        <v/>
      </c>
      <c r="Y739" s="104" t="str">
        <f t="array" ref="Y739">IFERROR(IF(ISNUMBER(O739),IF(COUNT(IF(A739=$A$2:$A$2427,IF(D739=$D$2:$D$2427,IF($X$2:$X$2427&gt;0,1))))&gt;0,SUM(IF(A739=$A$2:$A$2427,IF(D739=$D$2:$D$2427,$X$2:$X$2427)))/COUNT(IF(A739=$A$2:$A$2427,IF(D739=$D$2:$D$2427,IF(ISNUMBER($X$2:$X$2427),1)))),0),""),0)</f>
        <v/>
      </c>
      <c r="Z739" s="104" t="str">
        <f>IF(ISNUMBER(O739),IF(I739&gt;0,(10^(VLOOKUP(D739,'Species Codes'!B:C,2,0)+VLOOKUP(D739,'Species Codes'!B:D,3,0)*LOG(E739)+VLOOKUP(D739,'Species Codes'!B:E,4,0)*LOG(I739))),0),"")</f>
        <v/>
      </c>
      <c r="AA739" s="104" t="str">
        <f>IFERROR((VLOOKUP(D739,'Species Codes'!B:G,6,0)*Z739)/2000,"")</f>
        <v/>
      </c>
      <c r="AB739" s="104" t="e">
        <f>IF(Z739&gt;0,((IF(OR(D739="DF",D739="RA")=TRUE,EXP(VLOOKUP(D739,'Species Codes'!B:I,8,0)+VLOOKUP(D739,'Species Codes'!B:J,9,0)*(LN((E739*2.54)))),IF(OR(D739="PY",D739="RC",D739="WH",D739="NF")=TRUE,VLOOKUP(D739,'Species Codes'!B:I,8,0)+VLOOKUP(D739,'Species Codes'!B:J,9,0)*((E739*2.54)^2)*(I739*0.3048),IF(OR(D739="MD",D739="BM",D739="GA")=TRUE,((VLOOKUP(D739,'Species Codes'!B:I,8,0)*(((((E739*2.54)+VLOOKUP(D739,'Species Codes'!B:J,9,0))/VLOOKUP(D739,'Species Codes'!B:K,10,0))^VLOOKUP(D739,'Species Codes'!B:L,11,0))*((I739*0.3048)^VLOOKUP(D739,'Species Codes'!B:M,12,0))))-(VLOOKUP(D739,'Species Codes'!B:I,8,0)*((((E739*2.54)^VLOOKUP(D739,'Species Codes'!B:L,11,0))*((I739*0.3048)^VLOOKUP(D739,'Species Codes'!B:M,12,0))))))*35.3*VLOOKUP(D739,'Species Codes'!B:G,6,0)/2.2046,VLOOKUP(D739,'Species Codes'!B:I,8,0)+VLOOKUP(D739,'Species Codes'!B:J,9,0)*(((E739*2.54)/100)^2)*(I739*0.3048)))))*0.0011023),0)</f>
        <v>#N/A</v>
      </c>
      <c r="AC739" s="104" t="e">
        <f>IF(Z739&gt;0,((IF(OR(D739="RA",D739="OA",D739="OT",D739="UN",D739="PC"),EXP(VLOOKUP(D739,'Species Codes'!B:O,14,0)+VLOOKUP(D739,'Species Codes'!B:P,15,0)*LN((E739*2.54)))-EXP(VLOOKUP(D739,'Species Codes'!B:O,14,0)+VLOOKUP(D739,'Species Codes'!B:P,15,0)*LN((E739*2.54)))*(1/(VLOOKUP(D739,'Species Codes'!B:Q,16,0)+VLOOKUP(D739,'Species Codes'!B:R,17,0)*((E739*2.54)^VLOOKUP(D739,'Species Codes'!B:S,18,0)))),IF(OR(D739="BM",D739="MD",D739="OA"),EXP(VLOOKUP(D739,'Species Codes'!B:O,14,0)+VLOOKUP(D739,'Species Codes'!B:P,15,0)*LN((E739*2.54)))*(1-(1/(VLOOKUP(D739,'Species Codes'!B:Q,16,0)+VLOOKUP(D739,'Species Codes'!B:R,17,0)*((E739*2.54)^VLOOKUP(D739,'Species Codes'!B:S,18,0)))))/1000,IF(D739="DF",EXP(VLOOKUP(D739,'Species Codes'!B:O,14,0)+VLOOKUP(D739,'Species Codes'!B:P,15,0)*LN((E739*2.54))),VLOOKUP(D739,'Species Codes'!B:O,14,0)+VLOOKUP(D739,'Species Codes'!B:P,15,0)*(((E739*2.54)/100)^2)*(I739*0.3048)))))*0.0011023),0)</f>
        <v>#N/A</v>
      </c>
      <c r="AD739" s="104" t="e">
        <f t="shared" si="355"/>
        <v>#N/A</v>
      </c>
      <c r="AE739" s="104" t="e">
        <f t="shared" si="356"/>
        <v>#N/A</v>
      </c>
      <c r="AF739" s="104" t="e">
        <f>IF(AND(VLOOKUP($D739,Merchantability!$B:$C,2,0)="Yes",$E739&gt;=VLOOKUP($D739,Merchantability!$B:$D,3,0),$E739&lt;=VLOOKUP($D739,Merchantability!$B:$E,4,0)),AA739,0)</f>
        <v>#N/A</v>
      </c>
      <c r="AG739" s="104" t="e">
        <f>IF(AND(VLOOKUP($D739,Merchantability!$B:$C,2,0)="Yes",$E739&gt;=VLOOKUP($D739,Merchantability!$B:$D,3,0),$E739&lt;=VLOOKUP($D739,Merchantability!$B:$E,4,0)),AB739,0)</f>
        <v>#N/A</v>
      </c>
      <c r="AH739" s="104" t="e">
        <f>IF(AND(VLOOKUP($D739,Merchantability!$B:$C,2,0)="Yes",$E739&gt;=VLOOKUP($D739,Merchantability!$B:$D,3,0),$E739&lt;=VLOOKUP($D739,Merchantability!$B:$E,4,0)),AC739,0)</f>
        <v>#N/A</v>
      </c>
      <c r="AI739" s="104" t="e">
        <f t="shared" si="357"/>
        <v>#N/A</v>
      </c>
      <c r="AJ739" s="104" t="e">
        <f t="shared" si="358"/>
        <v>#VALUE!</v>
      </c>
      <c r="AK739" s="104" t="e">
        <f t="shared" si="359"/>
        <v>#N/A</v>
      </c>
      <c r="AL739" s="104" t="e">
        <f t="shared" si="360"/>
        <v>#N/A</v>
      </c>
      <c r="AM739" s="104" t="e">
        <f t="shared" si="361"/>
        <v>#N/A</v>
      </c>
      <c r="AN739" s="104" t="e">
        <f t="shared" si="345"/>
        <v>#N/A</v>
      </c>
      <c r="AO739" s="104" t="e">
        <f t="shared" si="346"/>
        <v>#N/A</v>
      </c>
      <c r="AP739" s="104" t="e">
        <f t="shared" si="347"/>
        <v>#N/A</v>
      </c>
      <c r="AQ739" s="104" t="e">
        <f t="shared" si="348"/>
        <v>#N/A</v>
      </c>
      <c r="AR739" s="105" t="str">
        <f t="shared" si="340"/>
        <v/>
      </c>
      <c r="AS739" s="105" t="str">
        <f t="shared" si="341"/>
        <v/>
      </c>
      <c r="AT739" s="108" t="str">
        <f t="shared" si="342"/>
        <v/>
      </c>
      <c r="AU739" s="108" t="str">
        <f t="shared" si="343"/>
        <v/>
      </c>
      <c r="AV739" s="107" t="str">
        <f>IF(ISNUMBER(O739),IF(VLOOKUP($A739,Stand!C:J,8,FALSE)="Short",AT739,AU739),"")</f>
        <v/>
      </c>
      <c r="AW739" s="109" t="str">
        <f t="shared" si="349"/>
        <v/>
      </c>
      <c r="AX739" s="109" t="str">
        <f t="shared" si="350"/>
        <v/>
      </c>
      <c r="AY739" s="112" t="str">
        <f>IF(ISNUMBER(O739),IF(AND(VLOOKUP($D739,Merchantability!$B:$C,2,0)="Yes",$E739&gt;=VLOOKUP($D739,Merchantability!$B:$D,3,0),$E739&lt;=VLOOKUP($D739,Merchantability!$B:$E,4,0)),(AV739*O739)*(1-$H739/100),""),"")</f>
        <v/>
      </c>
      <c r="AZ739" s="116"/>
      <c r="BA739" s="116"/>
      <c r="BB739" s="116"/>
      <c r="BE739" s="62"/>
      <c r="BF739" s="63"/>
    </row>
    <row r="740" spans="1:58" ht="12.75" customHeight="1" x14ac:dyDescent="0.25">
      <c r="A740" s="313"/>
      <c r="B740" s="328"/>
      <c r="C740" s="329"/>
      <c r="D740" s="328"/>
      <c r="E740" s="330"/>
      <c r="F740" s="328"/>
      <c r="G740" s="329"/>
      <c r="H740" s="329"/>
      <c r="I740" s="328"/>
      <c r="J740" s="383"/>
      <c r="K740" s="329"/>
      <c r="L740" s="329"/>
      <c r="M740" s="76"/>
      <c r="N740" s="103" t="str">
        <f>IF(A740="","",VLOOKUP(A740,Stand!C:K,9,0))</f>
        <v/>
      </c>
      <c r="O740" s="104" t="str">
        <f t="shared" si="335"/>
        <v/>
      </c>
      <c r="P740" s="105" t="str">
        <f t="shared" si="336"/>
        <v/>
      </c>
      <c r="Q740" s="105" t="str">
        <f t="shared" si="351"/>
        <v/>
      </c>
      <c r="R740" s="103" t="str">
        <f t="shared" si="337"/>
        <v/>
      </c>
      <c r="S740" s="103" t="str">
        <f t="shared" si="338"/>
        <v/>
      </c>
      <c r="T740" s="106" t="str">
        <f t="shared" si="352"/>
        <v/>
      </c>
      <c r="U740" s="106" t="str">
        <f t="shared" si="353"/>
        <v/>
      </c>
      <c r="V740" s="106" t="str">
        <f t="shared" si="354"/>
        <v/>
      </c>
      <c r="W740" s="105" t="str">
        <f t="shared" si="339"/>
        <v/>
      </c>
      <c r="X740" s="104" t="str">
        <f t="shared" si="344"/>
        <v/>
      </c>
      <c r="Y740" s="104" t="str">
        <f t="array" ref="Y740">IFERROR(IF(ISNUMBER(O740),IF(COUNT(IF(A740=$A$2:$A$2427,IF(D740=$D$2:$D$2427,IF($X$2:$X$2427&gt;0,1))))&gt;0,SUM(IF(A740=$A$2:$A$2427,IF(D740=$D$2:$D$2427,$X$2:$X$2427)))/COUNT(IF(A740=$A$2:$A$2427,IF(D740=$D$2:$D$2427,IF(ISNUMBER($X$2:$X$2427),1)))),0),""),0)</f>
        <v/>
      </c>
      <c r="Z740" s="104" t="str">
        <f>IF(ISNUMBER(O740),IF(I740&gt;0,(10^(VLOOKUP(D740,'Species Codes'!B:C,2,0)+VLOOKUP(D740,'Species Codes'!B:D,3,0)*LOG(E740)+VLOOKUP(D740,'Species Codes'!B:E,4,0)*LOG(I740))),0),"")</f>
        <v/>
      </c>
      <c r="AA740" s="104" t="str">
        <f>IFERROR((VLOOKUP(D740,'Species Codes'!B:G,6,0)*Z740)/2000,"")</f>
        <v/>
      </c>
      <c r="AB740" s="104" t="e">
        <f>IF(Z740&gt;0,((IF(OR(D740="DF",D740="RA")=TRUE,EXP(VLOOKUP(D740,'Species Codes'!B:I,8,0)+VLOOKUP(D740,'Species Codes'!B:J,9,0)*(LN((E740*2.54)))),IF(OR(D740="PY",D740="RC",D740="WH",D740="NF")=TRUE,VLOOKUP(D740,'Species Codes'!B:I,8,0)+VLOOKUP(D740,'Species Codes'!B:J,9,0)*((E740*2.54)^2)*(I740*0.3048),IF(OR(D740="MD",D740="BM",D740="GA")=TRUE,((VLOOKUP(D740,'Species Codes'!B:I,8,0)*(((((E740*2.54)+VLOOKUP(D740,'Species Codes'!B:J,9,0))/VLOOKUP(D740,'Species Codes'!B:K,10,0))^VLOOKUP(D740,'Species Codes'!B:L,11,0))*((I740*0.3048)^VLOOKUP(D740,'Species Codes'!B:M,12,0))))-(VLOOKUP(D740,'Species Codes'!B:I,8,0)*((((E740*2.54)^VLOOKUP(D740,'Species Codes'!B:L,11,0))*((I740*0.3048)^VLOOKUP(D740,'Species Codes'!B:M,12,0))))))*35.3*VLOOKUP(D740,'Species Codes'!B:G,6,0)/2.2046,VLOOKUP(D740,'Species Codes'!B:I,8,0)+VLOOKUP(D740,'Species Codes'!B:J,9,0)*(((E740*2.54)/100)^2)*(I740*0.3048)))))*0.0011023),0)</f>
        <v>#N/A</v>
      </c>
      <c r="AC740" s="104" t="e">
        <f>IF(Z740&gt;0,((IF(OR(D740="RA",D740="OA",D740="OT",D740="UN",D740="PC"),EXP(VLOOKUP(D740,'Species Codes'!B:O,14,0)+VLOOKUP(D740,'Species Codes'!B:P,15,0)*LN((E740*2.54)))-EXP(VLOOKUP(D740,'Species Codes'!B:O,14,0)+VLOOKUP(D740,'Species Codes'!B:P,15,0)*LN((E740*2.54)))*(1/(VLOOKUP(D740,'Species Codes'!B:Q,16,0)+VLOOKUP(D740,'Species Codes'!B:R,17,0)*((E740*2.54)^VLOOKUP(D740,'Species Codes'!B:S,18,0)))),IF(OR(D740="BM",D740="MD",D740="OA"),EXP(VLOOKUP(D740,'Species Codes'!B:O,14,0)+VLOOKUP(D740,'Species Codes'!B:P,15,0)*LN((E740*2.54)))*(1-(1/(VLOOKUP(D740,'Species Codes'!B:Q,16,0)+VLOOKUP(D740,'Species Codes'!B:R,17,0)*((E740*2.54)^VLOOKUP(D740,'Species Codes'!B:S,18,0)))))/1000,IF(D740="DF",EXP(VLOOKUP(D740,'Species Codes'!B:O,14,0)+VLOOKUP(D740,'Species Codes'!B:P,15,0)*LN((E740*2.54))),VLOOKUP(D740,'Species Codes'!B:O,14,0)+VLOOKUP(D740,'Species Codes'!B:P,15,0)*(((E740*2.54)/100)^2)*(I740*0.3048)))))*0.0011023),0)</f>
        <v>#N/A</v>
      </c>
      <c r="AD740" s="104" t="e">
        <f t="shared" si="355"/>
        <v>#N/A</v>
      </c>
      <c r="AE740" s="104" t="e">
        <f t="shared" si="356"/>
        <v>#N/A</v>
      </c>
      <c r="AF740" s="104" t="e">
        <f>IF(AND(VLOOKUP($D740,Merchantability!$B:$C,2,0)="Yes",$E740&gt;=VLOOKUP($D740,Merchantability!$B:$D,3,0),$E740&lt;=VLOOKUP($D740,Merchantability!$B:$E,4,0)),AA740,0)</f>
        <v>#N/A</v>
      </c>
      <c r="AG740" s="104" t="e">
        <f>IF(AND(VLOOKUP($D740,Merchantability!$B:$C,2,0)="Yes",$E740&gt;=VLOOKUP($D740,Merchantability!$B:$D,3,0),$E740&lt;=VLOOKUP($D740,Merchantability!$B:$E,4,0)),AB740,0)</f>
        <v>#N/A</v>
      </c>
      <c r="AH740" s="104" t="e">
        <f>IF(AND(VLOOKUP($D740,Merchantability!$B:$C,2,0)="Yes",$E740&gt;=VLOOKUP($D740,Merchantability!$B:$D,3,0),$E740&lt;=VLOOKUP($D740,Merchantability!$B:$E,4,0)),AC740,0)</f>
        <v>#N/A</v>
      </c>
      <c r="AI740" s="104" t="e">
        <f t="shared" si="357"/>
        <v>#N/A</v>
      </c>
      <c r="AJ740" s="104" t="e">
        <f t="shared" si="358"/>
        <v>#VALUE!</v>
      </c>
      <c r="AK740" s="104" t="e">
        <f t="shared" si="359"/>
        <v>#N/A</v>
      </c>
      <c r="AL740" s="104" t="e">
        <f t="shared" si="360"/>
        <v>#N/A</v>
      </c>
      <c r="AM740" s="104" t="e">
        <f t="shared" si="361"/>
        <v>#N/A</v>
      </c>
      <c r="AN740" s="104" t="e">
        <f t="shared" si="345"/>
        <v>#N/A</v>
      </c>
      <c r="AO740" s="104" t="e">
        <f t="shared" si="346"/>
        <v>#N/A</v>
      </c>
      <c r="AP740" s="104" t="e">
        <f t="shared" si="347"/>
        <v>#N/A</v>
      </c>
      <c r="AQ740" s="104" t="e">
        <f t="shared" si="348"/>
        <v>#N/A</v>
      </c>
      <c r="AR740" s="105" t="str">
        <f t="shared" si="340"/>
        <v/>
      </c>
      <c r="AS740" s="105" t="str">
        <f t="shared" si="341"/>
        <v/>
      </c>
      <c r="AT740" s="108" t="str">
        <f t="shared" si="342"/>
        <v/>
      </c>
      <c r="AU740" s="108" t="str">
        <f t="shared" si="343"/>
        <v/>
      </c>
      <c r="AV740" s="107" t="str">
        <f>IF(ISNUMBER(O740),IF(VLOOKUP($A740,Stand!C:J,8,FALSE)="Short",AT740,AU740),"")</f>
        <v/>
      </c>
      <c r="AW740" s="109" t="str">
        <f t="shared" si="349"/>
        <v/>
      </c>
      <c r="AX740" s="109" t="str">
        <f t="shared" si="350"/>
        <v/>
      </c>
      <c r="AY740" s="112" t="str">
        <f>IF(ISNUMBER(O740),IF(AND(VLOOKUP($D740,Merchantability!$B:$C,2,0)="Yes",$E740&gt;=VLOOKUP($D740,Merchantability!$B:$D,3,0),$E740&lt;=VLOOKUP($D740,Merchantability!$B:$E,4,0)),(AV740*O740)*(1-$H740/100),""),"")</f>
        <v/>
      </c>
      <c r="AZ740" s="116"/>
      <c r="BA740" s="116"/>
      <c r="BB740" s="116"/>
      <c r="BE740" s="62"/>
      <c r="BF740" s="63"/>
    </row>
    <row r="741" spans="1:58" ht="12.75" customHeight="1" x14ac:dyDescent="0.25">
      <c r="A741" s="313"/>
      <c r="B741" s="328"/>
      <c r="C741" s="329"/>
      <c r="D741" s="328"/>
      <c r="E741" s="330"/>
      <c r="F741" s="328"/>
      <c r="G741" s="329"/>
      <c r="H741" s="329"/>
      <c r="I741" s="328"/>
      <c r="J741" s="383"/>
      <c r="K741" s="329"/>
      <c r="L741" s="329"/>
      <c r="M741" s="76"/>
      <c r="N741" s="103" t="str">
        <f>IF(A741="","",VLOOKUP(A741,Stand!C:K,9,0))</f>
        <v/>
      </c>
      <c r="O741" s="104" t="str">
        <f t="shared" si="335"/>
        <v/>
      </c>
      <c r="P741" s="105" t="str">
        <f t="shared" si="336"/>
        <v/>
      </c>
      <c r="Q741" s="105" t="str">
        <f t="shared" si="351"/>
        <v/>
      </c>
      <c r="R741" s="103" t="str">
        <f t="shared" si="337"/>
        <v/>
      </c>
      <c r="S741" s="103" t="str">
        <f t="shared" si="338"/>
        <v/>
      </c>
      <c r="T741" s="106" t="str">
        <f t="shared" si="352"/>
        <v/>
      </c>
      <c r="U741" s="106" t="str">
        <f t="shared" si="353"/>
        <v/>
      </c>
      <c r="V741" s="106" t="str">
        <f t="shared" si="354"/>
        <v/>
      </c>
      <c r="W741" s="105" t="str">
        <f t="shared" si="339"/>
        <v/>
      </c>
      <c r="X741" s="104" t="str">
        <f t="shared" si="344"/>
        <v/>
      </c>
      <c r="Y741" s="104" t="str">
        <f t="array" ref="Y741">IFERROR(IF(ISNUMBER(O741),IF(COUNT(IF(A741=$A$2:$A$2427,IF(D741=$D$2:$D$2427,IF($X$2:$X$2427&gt;0,1))))&gt;0,SUM(IF(A741=$A$2:$A$2427,IF(D741=$D$2:$D$2427,$X$2:$X$2427)))/COUNT(IF(A741=$A$2:$A$2427,IF(D741=$D$2:$D$2427,IF(ISNUMBER($X$2:$X$2427),1)))),0),""),0)</f>
        <v/>
      </c>
      <c r="Z741" s="104" t="str">
        <f>IF(ISNUMBER(O741),IF(I741&gt;0,(10^(VLOOKUP(D741,'Species Codes'!B:C,2,0)+VLOOKUP(D741,'Species Codes'!B:D,3,0)*LOG(E741)+VLOOKUP(D741,'Species Codes'!B:E,4,0)*LOG(I741))),0),"")</f>
        <v/>
      </c>
      <c r="AA741" s="104" t="str">
        <f>IFERROR((VLOOKUP(D741,'Species Codes'!B:G,6,0)*Z741)/2000,"")</f>
        <v/>
      </c>
      <c r="AB741" s="104" t="e">
        <f>IF(Z741&gt;0,((IF(OR(D741="DF",D741="RA")=TRUE,EXP(VLOOKUP(D741,'Species Codes'!B:I,8,0)+VLOOKUP(D741,'Species Codes'!B:J,9,0)*(LN((E741*2.54)))),IF(OR(D741="PY",D741="RC",D741="WH",D741="NF")=TRUE,VLOOKUP(D741,'Species Codes'!B:I,8,0)+VLOOKUP(D741,'Species Codes'!B:J,9,0)*((E741*2.54)^2)*(I741*0.3048),IF(OR(D741="MD",D741="BM",D741="GA")=TRUE,((VLOOKUP(D741,'Species Codes'!B:I,8,0)*(((((E741*2.54)+VLOOKUP(D741,'Species Codes'!B:J,9,0))/VLOOKUP(D741,'Species Codes'!B:K,10,0))^VLOOKUP(D741,'Species Codes'!B:L,11,0))*((I741*0.3048)^VLOOKUP(D741,'Species Codes'!B:M,12,0))))-(VLOOKUP(D741,'Species Codes'!B:I,8,0)*((((E741*2.54)^VLOOKUP(D741,'Species Codes'!B:L,11,0))*((I741*0.3048)^VLOOKUP(D741,'Species Codes'!B:M,12,0))))))*35.3*VLOOKUP(D741,'Species Codes'!B:G,6,0)/2.2046,VLOOKUP(D741,'Species Codes'!B:I,8,0)+VLOOKUP(D741,'Species Codes'!B:J,9,0)*(((E741*2.54)/100)^2)*(I741*0.3048)))))*0.0011023),0)</f>
        <v>#N/A</v>
      </c>
      <c r="AC741" s="104" t="e">
        <f>IF(Z741&gt;0,((IF(OR(D741="RA",D741="OA",D741="OT",D741="UN",D741="PC"),EXP(VLOOKUP(D741,'Species Codes'!B:O,14,0)+VLOOKUP(D741,'Species Codes'!B:P,15,0)*LN((E741*2.54)))-EXP(VLOOKUP(D741,'Species Codes'!B:O,14,0)+VLOOKUP(D741,'Species Codes'!B:P,15,0)*LN((E741*2.54)))*(1/(VLOOKUP(D741,'Species Codes'!B:Q,16,0)+VLOOKUP(D741,'Species Codes'!B:R,17,0)*((E741*2.54)^VLOOKUP(D741,'Species Codes'!B:S,18,0)))),IF(OR(D741="BM",D741="MD",D741="OA"),EXP(VLOOKUP(D741,'Species Codes'!B:O,14,0)+VLOOKUP(D741,'Species Codes'!B:P,15,0)*LN((E741*2.54)))*(1-(1/(VLOOKUP(D741,'Species Codes'!B:Q,16,0)+VLOOKUP(D741,'Species Codes'!B:R,17,0)*((E741*2.54)^VLOOKUP(D741,'Species Codes'!B:S,18,0)))))/1000,IF(D741="DF",EXP(VLOOKUP(D741,'Species Codes'!B:O,14,0)+VLOOKUP(D741,'Species Codes'!B:P,15,0)*LN((E741*2.54))),VLOOKUP(D741,'Species Codes'!B:O,14,0)+VLOOKUP(D741,'Species Codes'!B:P,15,0)*(((E741*2.54)/100)^2)*(I741*0.3048)))))*0.0011023),0)</f>
        <v>#N/A</v>
      </c>
      <c r="AD741" s="104" t="e">
        <f t="shared" si="355"/>
        <v>#N/A</v>
      </c>
      <c r="AE741" s="104" t="e">
        <f t="shared" si="356"/>
        <v>#N/A</v>
      </c>
      <c r="AF741" s="104" t="e">
        <f>IF(AND(VLOOKUP($D741,Merchantability!$B:$C,2,0)="Yes",$E741&gt;=VLOOKUP($D741,Merchantability!$B:$D,3,0),$E741&lt;=VLOOKUP($D741,Merchantability!$B:$E,4,0)),AA741,0)</f>
        <v>#N/A</v>
      </c>
      <c r="AG741" s="104" t="e">
        <f>IF(AND(VLOOKUP($D741,Merchantability!$B:$C,2,0)="Yes",$E741&gt;=VLOOKUP($D741,Merchantability!$B:$D,3,0),$E741&lt;=VLOOKUP($D741,Merchantability!$B:$E,4,0)),AB741,0)</f>
        <v>#N/A</v>
      </c>
      <c r="AH741" s="104" t="e">
        <f>IF(AND(VLOOKUP($D741,Merchantability!$B:$C,2,0)="Yes",$E741&gt;=VLOOKUP($D741,Merchantability!$B:$D,3,0),$E741&lt;=VLOOKUP($D741,Merchantability!$B:$E,4,0)),AC741,0)</f>
        <v>#N/A</v>
      </c>
      <c r="AI741" s="104" t="e">
        <f t="shared" si="357"/>
        <v>#N/A</v>
      </c>
      <c r="AJ741" s="104" t="e">
        <f t="shared" si="358"/>
        <v>#VALUE!</v>
      </c>
      <c r="AK741" s="104" t="e">
        <f t="shared" si="359"/>
        <v>#N/A</v>
      </c>
      <c r="AL741" s="104" t="e">
        <f t="shared" si="360"/>
        <v>#N/A</v>
      </c>
      <c r="AM741" s="104" t="e">
        <f t="shared" si="361"/>
        <v>#N/A</v>
      </c>
      <c r="AN741" s="104" t="e">
        <f t="shared" si="345"/>
        <v>#N/A</v>
      </c>
      <c r="AO741" s="104" t="e">
        <f t="shared" si="346"/>
        <v>#N/A</v>
      </c>
      <c r="AP741" s="104" t="e">
        <f t="shared" si="347"/>
        <v>#N/A</v>
      </c>
      <c r="AQ741" s="104" t="e">
        <f t="shared" si="348"/>
        <v>#N/A</v>
      </c>
      <c r="AR741" s="105" t="str">
        <f t="shared" si="340"/>
        <v/>
      </c>
      <c r="AS741" s="105" t="str">
        <f t="shared" si="341"/>
        <v/>
      </c>
      <c r="AT741" s="108" t="str">
        <f t="shared" si="342"/>
        <v/>
      </c>
      <c r="AU741" s="108" t="str">
        <f t="shared" si="343"/>
        <v/>
      </c>
      <c r="AV741" s="107" t="str">
        <f>IF(ISNUMBER(O741),IF(VLOOKUP($A741,Stand!C:J,8,FALSE)="Short",AT741,AU741),"")</f>
        <v/>
      </c>
      <c r="AW741" s="109" t="str">
        <f t="shared" si="349"/>
        <v/>
      </c>
      <c r="AX741" s="109" t="str">
        <f t="shared" si="350"/>
        <v/>
      </c>
      <c r="AY741" s="112" t="str">
        <f>IF(ISNUMBER(O741),IF(AND(VLOOKUP($D741,Merchantability!$B:$C,2,0)="Yes",$E741&gt;=VLOOKUP($D741,Merchantability!$B:$D,3,0),$E741&lt;=VLOOKUP($D741,Merchantability!$B:$E,4,0)),(AV741*O741)*(1-$H741/100),""),"")</f>
        <v/>
      </c>
      <c r="AZ741" s="116"/>
      <c r="BA741" s="116"/>
      <c r="BB741" s="116"/>
      <c r="BE741" s="62"/>
      <c r="BF741" s="63"/>
    </row>
    <row r="742" spans="1:58" ht="12.75" customHeight="1" x14ac:dyDescent="0.25">
      <c r="A742" s="313"/>
      <c r="B742" s="328"/>
      <c r="C742" s="329"/>
      <c r="D742" s="328"/>
      <c r="E742" s="330"/>
      <c r="F742" s="328"/>
      <c r="G742" s="329"/>
      <c r="H742" s="329"/>
      <c r="I742" s="328"/>
      <c r="J742" s="383"/>
      <c r="K742" s="329"/>
      <c r="L742" s="329"/>
      <c r="M742" s="76"/>
      <c r="N742" s="103" t="str">
        <f>IF(A742="","",VLOOKUP(A742,Stand!C:K,9,0))</f>
        <v/>
      </c>
      <c r="O742" s="104" t="str">
        <f t="shared" si="335"/>
        <v/>
      </c>
      <c r="P742" s="105" t="str">
        <f t="shared" si="336"/>
        <v/>
      </c>
      <c r="Q742" s="105" t="str">
        <f t="shared" si="351"/>
        <v/>
      </c>
      <c r="R742" s="103" t="str">
        <f t="shared" si="337"/>
        <v/>
      </c>
      <c r="S742" s="103" t="str">
        <f t="shared" si="338"/>
        <v/>
      </c>
      <c r="T742" s="106" t="str">
        <f t="shared" si="352"/>
        <v/>
      </c>
      <c r="U742" s="106" t="str">
        <f t="shared" si="353"/>
        <v/>
      </c>
      <c r="V742" s="106" t="str">
        <f t="shared" si="354"/>
        <v/>
      </c>
      <c r="W742" s="105" t="str">
        <f t="shared" si="339"/>
        <v/>
      </c>
      <c r="X742" s="104" t="str">
        <f t="shared" si="344"/>
        <v/>
      </c>
      <c r="Y742" s="104" t="str">
        <f t="array" ref="Y742">IFERROR(IF(ISNUMBER(O742),IF(COUNT(IF(A742=$A$2:$A$2427,IF(D742=$D$2:$D$2427,IF($X$2:$X$2427&gt;0,1))))&gt;0,SUM(IF(A742=$A$2:$A$2427,IF(D742=$D$2:$D$2427,$X$2:$X$2427)))/COUNT(IF(A742=$A$2:$A$2427,IF(D742=$D$2:$D$2427,IF(ISNUMBER($X$2:$X$2427),1)))),0),""),0)</f>
        <v/>
      </c>
      <c r="Z742" s="104" t="str">
        <f>IF(ISNUMBER(O742),IF(I742&gt;0,(10^(VLOOKUP(D742,'Species Codes'!B:C,2,0)+VLOOKUP(D742,'Species Codes'!B:D,3,0)*LOG(E742)+VLOOKUP(D742,'Species Codes'!B:E,4,0)*LOG(I742))),0),"")</f>
        <v/>
      </c>
      <c r="AA742" s="104" t="str">
        <f>IFERROR((VLOOKUP(D742,'Species Codes'!B:G,6,0)*Z742)/2000,"")</f>
        <v/>
      </c>
      <c r="AB742" s="104" t="e">
        <f>IF(Z742&gt;0,((IF(OR(D742="DF",D742="RA")=TRUE,EXP(VLOOKUP(D742,'Species Codes'!B:I,8,0)+VLOOKUP(D742,'Species Codes'!B:J,9,0)*(LN((E742*2.54)))),IF(OR(D742="PY",D742="RC",D742="WH",D742="NF")=TRUE,VLOOKUP(D742,'Species Codes'!B:I,8,0)+VLOOKUP(D742,'Species Codes'!B:J,9,0)*((E742*2.54)^2)*(I742*0.3048),IF(OR(D742="MD",D742="BM",D742="GA")=TRUE,((VLOOKUP(D742,'Species Codes'!B:I,8,0)*(((((E742*2.54)+VLOOKUP(D742,'Species Codes'!B:J,9,0))/VLOOKUP(D742,'Species Codes'!B:K,10,0))^VLOOKUP(D742,'Species Codes'!B:L,11,0))*((I742*0.3048)^VLOOKUP(D742,'Species Codes'!B:M,12,0))))-(VLOOKUP(D742,'Species Codes'!B:I,8,0)*((((E742*2.54)^VLOOKUP(D742,'Species Codes'!B:L,11,0))*((I742*0.3048)^VLOOKUP(D742,'Species Codes'!B:M,12,0))))))*35.3*VLOOKUP(D742,'Species Codes'!B:G,6,0)/2.2046,VLOOKUP(D742,'Species Codes'!B:I,8,0)+VLOOKUP(D742,'Species Codes'!B:J,9,0)*(((E742*2.54)/100)^2)*(I742*0.3048)))))*0.0011023),0)</f>
        <v>#N/A</v>
      </c>
      <c r="AC742" s="104" t="e">
        <f>IF(Z742&gt;0,((IF(OR(D742="RA",D742="OA",D742="OT",D742="UN",D742="PC"),EXP(VLOOKUP(D742,'Species Codes'!B:O,14,0)+VLOOKUP(D742,'Species Codes'!B:P,15,0)*LN((E742*2.54)))-EXP(VLOOKUP(D742,'Species Codes'!B:O,14,0)+VLOOKUP(D742,'Species Codes'!B:P,15,0)*LN((E742*2.54)))*(1/(VLOOKUP(D742,'Species Codes'!B:Q,16,0)+VLOOKUP(D742,'Species Codes'!B:R,17,0)*((E742*2.54)^VLOOKUP(D742,'Species Codes'!B:S,18,0)))),IF(OR(D742="BM",D742="MD",D742="OA"),EXP(VLOOKUP(D742,'Species Codes'!B:O,14,0)+VLOOKUP(D742,'Species Codes'!B:P,15,0)*LN((E742*2.54)))*(1-(1/(VLOOKUP(D742,'Species Codes'!B:Q,16,0)+VLOOKUP(D742,'Species Codes'!B:R,17,0)*((E742*2.54)^VLOOKUP(D742,'Species Codes'!B:S,18,0)))))/1000,IF(D742="DF",EXP(VLOOKUP(D742,'Species Codes'!B:O,14,0)+VLOOKUP(D742,'Species Codes'!B:P,15,0)*LN((E742*2.54))),VLOOKUP(D742,'Species Codes'!B:O,14,0)+VLOOKUP(D742,'Species Codes'!B:P,15,0)*(((E742*2.54)/100)^2)*(I742*0.3048)))))*0.0011023),0)</f>
        <v>#N/A</v>
      </c>
      <c r="AD742" s="104" t="e">
        <f t="shared" si="355"/>
        <v>#N/A</v>
      </c>
      <c r="AE742" s="104" t="e">
        <f t="shared" si="356"/>
        <v>#N/A</v>
      </c>
      <c r="AF742" s="104" t="e">
        <f>IF(AND(VLOOKUP($D742,Merchantability!$B:$C,2,0)="Yes",$E742&gt;=VLOOKUP($D742,Merchantability!$B:$D,3,0),$E742&lt;=VLOOKUP($D742,Merchantability!$B:$E,4,0)),AA742,0)</f>
        <v>#N/A</v>
      </c>
      <c r="AG742" s="104" t="e">
        <f>IF(AND(VLOOKUP($D742,Merchantability!$B:$C,2,0)="Yes",$E742&gt;=VLOOKUP($D742,Merchantability!$B:$D,3,0),$E742&lt;=VLOOKUP($D742,Merchantability!$B:$E,4,0)),AB742,0)</f>
        <v>#N/A</v>
      </c>
      <c r="AH742" s="104" t="e">
        <f>IF(AND(VLOOKUP($D742,Merchantability!$B:$C,2,0)="Yes",$E742&gt;=VLOOKUP($D742,Merchantability!$B:$D,3,0),$E742&lt;=VLOOKUP($D742,Merchantability!$B:$E,4,0)),AC742,0)</f>
        <v>#N/A</v>
      </c>
      <c r="AI742" s="104" t="e">
        <f t="shared" si="357"/>
        <v>#N/A</v>
      </c>
      <c r="AJ742" s="104" t="e">
        <f t="shared" si="358"/>
        <v>#VALUE!</v>
      </c>
      <c r="AK742" s="104" t="e">
        <f t="shared" si="359"/>
        <v>#N/A</v>
      </c>
      <c r="AL742" s="104" t="e">
        <f t="shared" si="360"/>
        <v>#N/A</v>
      </c>
      <c r="AM742" s="104" t="e">
        <f t="shared" si="361"/>
        <v>#N/A</v>
      </c>
      <c r="AN742" s="104" t="e">
        <f t="shared" si="345"/>
        <v>#N/A</v>
      </c>
      <c r="AO742" s="104" t="e">
        <f t="shared" si="346"/>
        <v>#N/A</v>
      </c>
      <c r="AP742" s="104" t="e">
        <f t="shared" si="347"/>
        <v>#N/A</v>
      </c>
      <c r="AQ742" s="104" t="e">
        <f t="shared" si="348"/>
        <v>#N/A</v>
      </c>
      <c r="AR742" s="105" t="str">
        <f t="shared" si="340"/>
        <v/>
      </c>
      <c r="AS742" s="105" t="str">
        <f t="shared" si="341"/>
        <v/>
      </c>
      <c r="AT742" s="108" t="str">
        <f t="shared" si="342"/>
        <v/>
      </c>
      <c r="AU742" s="108" t="str">
        <f t="shared" si="343"/>
        <v/>
      </c>
      <c r="AV742" s="107" t="str">
        <f>IF(ISNUMBER(O742),IF(VLOOKUP($A742,Stand!C:J,8,FALSE)="Short",AT742,AU742),"")</f>
        <v/>
      </c>
      <c r="AW742" s="109" t="str">
        <f t="shared" si="349"/>
        <v/>
      </c>
      <c r="AX742" s="109" t="str">
        <f t="shared" si="350"/>
        <v/>
      </c>
      <c r="AY742" s="112" t="str">
        <f>IF(ISNUMBER(O742),IF(AND(VLOOKUP($D742,Merchantability!$B:$C,2,0)="Yes",$E742&gt;=VLOOKUP($D742,Merchantability!$B:$D,3,0),$E742&lt;=VLOOKUP($D742,Merchantability!$B:$E,4,0)),(AV742*O742)*(1-$H742/100),""),"")</f>
        <v/>
      </c>
      <c r="AZ742" s="116"/>
      <c r="BA742" s="116"/>
      <c r="BB742" s="116"/>
      <c r="BE742" s="62"/>
      <c r="BF742" s="63"/>
    </row>
    <row r="743" spans="1:58" ht="12.75" customHeight="1" x14ac:dyDescent="0.25">
      <c r="A743" s="313"/>
      <c r="B743" s="328"/>
      <c r="C743" s="329"/>
      <c r="D743" s="328"/>
      <c r="E743" s="330"/>
      <c r="F743" s="328"/>
      <c r="G743" s="329"/>
      <c r="H743" s="329"/>
      <c r="I743" s="328"/>
      <c r="J743" s="383"/>
      <c r="K743" s="329"/>
      <c r="L743" s="329"/>
      <c r="M743" s="76"/>
      <c r="N743" s="103" t="str">
        <f>IF(A743="","",VLOOKUP(A743,Stand!C:K,9,0))</f>
        <v/>
      </c>
      <c r="O743" s="104" t="str">
        <f t="shared" si="335"/>
        <v/>
      </c>
      <c r="P743" s="105" t="str">
        <f t="shared" si="336"/>
        <v/>
      </c>
      <c r="Q743" s="105" t="str">
        <f t="shared" si="351"/>
        <v/>
      </c>
      <c r="R743" s="103" t="str">
        <f t="shared" si="337"/>
        <v/>
      </c>
      <c r="S743" s="103" t="str">
        <f t="shared" si="338"/>
        <v/>
      </c>
      <c r="T743" s="106" t="str">
        <f t="shared" si="352"/>
        <v/>
      </c>
      <c r="U743" s="106" t="str">
        <f t="shared" si="353"/>
        <v/>
      </c>
      <c r="V743" s="106" t="str">
        <f t="shared" si="354"/>
        <v/>
      </c>
      <c r="W743" s="105" t="str">
        <f t="shared" si="339"/>
        <v/>
      </c>
      <c r="X743" s="104" t="str">
        <f t="shared" si="344"/>
        <v/>
      </c>
      <c r="Y743" s="104" t="str">
        <f t="array" ref="Y743">IFERROR(IF(ISNUMBER(O743),IF(COUNT(IF(A743=$A$2:$A$2427,IF(D743=$D$2:$D$2427,IF($X$2:$X$2427&gt;0,1))))&gt;0,SUM(IF(A743=$A$2:$A$2427,IF(D743=$D$2:$D$2427,$X$2:$X$2427)))/COUNT(IF(A743=$A$2:$A$2427,IF(D743=$D$2:$D$2427,IF(ISNUMBER($X$2:$X$2427),1)))),0),""),0)</f>
        <v/>
      </c>
      <c r="Z743" s="104" t="str">
        <f>IF(ISNUMBER(O743),IF(I743&gt;0,(10^(VLOOKUP(D743,'Species Codes'!B:C,2,0)+VLOOKUP(D743,'Species Codes'!B:D,3,0)*LOG(E743)+VLOOKUP(D743,'Species Codes'!B:E,4,0)*LOG(I743))),0),"")</f>
        <v/>
      </c>
      <c r="AA743" s="104" t="str">
        <f>IFERROR((VLOOKUP(D743,'Species Codes'!B:G,6,0)*Z743)/2000,"")</f>
        <v/>
      </c>
      <c r="AB743" s="104" t="e">
        <f>IF(Z743&gt;0,((IF(OR(D743="DF",D743="RA")=TRUE,EXP(VLOOKUP(D743,'Species Codes'!B:I,8,0)+VLOOKUP(D743,'Species Codes'!B:J,9,0)*(LN((E743*2.54)))),IF(OR(D743="PY",D743="RC",D743="WH",D743="NF")=TRUE,VLOOKUP(D743,'Species Codes'!B:I,8,0)+VLOOKUP(D743,'Species Codes'!B:J,9,0)*((E743*2.54)^2)*(I743*0.3048),IF(OR(D743="MD",D743="BM",D743="GA")=TRUE,((VLOOKUP(D743,'Species Codes'!B:I,8,0)*(((((E743*2.54)+VLOOKUP(D743,'Species Codes'!B:J,9,0))/VLOOKUP(D743,'Species Codes'!B:K,10,0))^VLOOKUP(D743,'Species Codes'!B:L,11,0))*((I743*0.3048)^VLOOKUP(D743,'Species Codes'!B:M,12,0))))-(VLOOKUP(D743,'Species Codes'!B:I,8,0)*((((E743*2.54)^VLOOKUP(D743,'Species Codes'!B:L,11,0))*((I743*0.3048)^VLOOKUP(D743,'Species Codes'!B:M,12,0))))))*35.3*VLOOKUP(D743,'Species Codes'!B:G,6,0)/2.2046,VLOOKUP(D743,'Species Codes'!B:I,8,0)+VLOOKUP(D743,'Species Codes'!B:J,9,0)*(((E743*2.54)/100)^2)*(I743*0.3048)))))*0.0011023),0)</f>
        <v>#N/A</v>
      </c>
      <c r="AC743" s="104" t="e">
        <f>IF(Z743&gt;0,((IF(OR(D743="RA",D743="OA",D743="OT",D743="UN",D743="PC"),EXP(VLOOKUP(D743,'Species Codes'!B:O,14,0)+VLOOKUP(D743,'Species Codes'!B:P,15,0)*LN((E743*2.54)))-EXP(VLOOKUP(D743,'Species Codes'!B:O,14,0)+VLOOKUP(D743,'Species Codes'!B:P,15,0)*LN((E743*2.54)))*(1/(VLOOKUP(D743,'Species Codes'!B:Q,16,0)+VLOOKUP(D743,'Species Codes'!B:R,17,0)*((E743*2.54)^VLOOKUP(D743,'Species Codes'!B:S,18,0)))),IF(OR(D743="BM",D743="MD",D743="OA"),EXP(VLOOKUP(D743,'Species Codes'!B:O,14,0)+VLOOKUP(D743,'Species Codes'!B:P,15,0)*LN((E743*2.54)))*(1-(1/(VLOOKUP(D743,'Species Codes'!B:Q,16,0)+VLOOKUP(D743,'Species Codes'!B:R,17,0)*((E743*2.54)^VLOOKUP(D743,'Species Codes'!B:S,18,0)))))/1000,IF(D743="DF",EXP(VLOOKUP(D743,'Species Codes'!B:O,14,0)+VLOOKUP(D743,'Species Codes'!B:P,15,0)*LN((E743*2.54))),VLOOKUP(D743,'Species Codes'!B:O,14,0)+VLOOKUP(D743,'Species Codes'!B:P,15,0)*(((E743*2.54)/100)^2)*(I743*0.3048)))))*0.0011023),0)</f>
        <v>#N/A</v>
      </c>
      <c r="AD743" s="104" t="e">
        <f t="shared" si="355"/>
        <v>#N/A</v>
      </c>
      <c r="AE743" s="104" t="e">
        <f t="shared" si="356"/>
        <v>#N/A</v>
      </c>
      <c r="AF743" s="104" t="e">
        <f>IF(AND(VLOOKUP($D743,Merchantability!$B:$C,2,0)="Yes",$E743&gt;=VLOOKUP($D743,Merchantability!$B:$D,3,0),$E743&lt;=VLOOKUP($D743,Merchantability!$B:$E,4,0)),AA743,0)</f>
        <v>#N/A</v>
      </c>
      <c r="AG743" s="104" t="e">
        <f>IF(AND(VLOOKUP($D743,Merchantability!$B:$C,2,0)="Yes",$E743&gt;=VLOOKUP($D743,Merchantability!$B:$D,3,0),$E743&lt;=VLOOKUP($D743,Merchantability!$B:$E,4,0)),AB743,0)</f>
        <v>#N/A</v>
      </c>
      <c r="AH743" s="104" t="e">
        <f>IF(AND(VLOOKUP($D743,Merchantability!$B:$C,2,0)="Yes",$E743&gt;=VLOOKUP($D743,Merchantability!$B:$D,3,0),$E743&lt;=VLOOKUP($D743,Merchantability!$B:$E,4,0)),AC743,0)</f>
        <v>#N/A</v>
      </c>
      <c r="AI743" s="104" t="e">
        <f t="shared" si="357"/>
        <v>#N/A</v>
      </c>
      <c r="AJ743" s="104" t="e">
        <f t="shared" si="358"/>
        <v>#VALUE!</v>
      </c>
      <c r="AK743" s="104" t="e">
        <f t="shared" si="359"/>
        <v>#N/A</v>
      </c>
      <c r="AL743" s="104" t="e">
        <f t="shared" si="360"/>
        <v>#N/A</v>
      </c>
      <c r="AM743" s="104" t="e">
        <f t="shared" si="361"/>
        <v>#N/A</v>
      </c>
      <c r="AN743" s="104" t="e">
        <f t="shared" si="345"/>
        <v>#N/A</v>
      </c>
      <c r="AO743" s="104" t="e">
        <f t="shared" si="346"/>
        <v>#N/A</v>
      </c>
      <c r="AP743" s="104" t="e">
        <f t="shared" si="347"/>
        <v>#N/A</v>
      </c>
      <c r="AQ743" s="104" t="e">
        <f t="shared" si="348"/>
        <v>#N/A</v>
      </c>
      <c r="AR743" s="105" t="str">
        <f t="shared" si="340"/>
        <v/>
      </c>
      <c r="AS743" s="105" t="str">
        <f t="shared" si="341"/>
        <v/>
      </c>
      <c r="AT743" s="108" t="str">
        <f t="shared" si="342"/>
        <v/>
      </c>
      <c r="AU743" s="108" t="str">
        <f t="shared" si="343"/>
        <v/>
      </c>
      <c r="AV743" s="107" t="str">
        <f>IF(ISNUMBER(O743),IF(VLOOKUP($A743,Stand!C:J,8,FALSE)="Short",AT743,AU743),"")</f>
        <v/>
      </c>
      <c r="AW743" s="109" t="str">
        <f t="shared" si="349"/>
        <v/>
      </c>
      <c r="AX743" s="109" t="str">
        <f t="shared" si="350"/>
        <v/>
      </c>
      <c r="AY743" s="112" t="str">
        <f>IF(ISNUMBER(O743),IF(AND(VLOOKUP($D743,Merchantability!$B:$C,2,0)="Yes",$E743&gt;=VLOOKUP($D743,Merchantability!$B:$D,3,0),$E743&lt;=VLOOKUP($D743,Merchantability!$B:$E,4,0)),(AV743*O743)*(1-$H743/100),""),"")</f>
        <v/>
      </c>
      <c r="AZ743" s="116"/>
      <c r="BA743" s="116"/>
      <c r="BB743" s="116"/>
      <c r="BE743" s="62"/>
      <c r="BF743" s="63"/>
    </row>
    <row r="744" spans="1:58" ht="12.75" customHeight="1" x14ac:dyDescent="0.25">
      <c r="A744" s="313"/>
      <c r="B744" s="328"/>
      <c r="C744" s="329"/>
      <c r="D744" s="328"/>
      <c r="E744" s="330"/>
      <c r="F744" s="328"/>
      <c r="G744" s="329"/>
      <c r="H744" s="329"/>
      <c r="I744" s="328"/>
      <c r="J744" s="383"/>
      <c r="K744" s="329"/>
      <c r="L744" s="329"/>
      <c r="M744" s="76"/>
      <c r="N744" s="103" t="str">
        <f>IF(A744="","",VLOOKUP(A744,Stand!C:K,9,0))</f>
        <v/>
      </c>
      <c r="O744" s="104" t="str">
        <f t="shared" si="335"/>
        <v/>
      </c>
      <c r="P744" s="105" t="str">
        <f t="shared" si="336"/>
        <v/>
      </c>
      <c r="Q744" s="105" t="str">
        <f t="shared" si="351"/>
        <v/>
      </c>
      <c r="R744" s="103" t="str">
        <f t="shared" si="337"/>
        <v/>
      </c>
      <c r="S744" s="103" t="str">
        <f t="shared" si="338"/>
        <v/>
      </c>
      <c r="T744" s="106" t="str">
        <f t="shared" si="352"/>
        <v/>
      </c>
      <c r="U744" s="106" t="str">
        <f t="shared" si="353"/>
        <v/>
      </c>
      <c r="V744" s="106" t="str">
        <f t="shared" si="354"/>
        <v/>
      </c>
      <c r="W744" s="105" t="str">
        <f t="shared" si="339"/>
        <v/>
      </c>
      <c r="X744" s="104" t="str">
        <f t="shared" si="344"/>
        <v/>
      </c>
      <c r="Y744" s="104" t="str">
        <f t="array" ref="Y744">IFERROR(IF(ISNUMBER(O744),IF(COUNT(IF(A744=$A$2:$A$2427,IF(D744=$D$2:$D$2427,IF($X$2:$X$2427&gt;0,1))))&gt;0,SUM(IF(A744=$A$2:$A$2427,IF(D744=$D$2:$D$2427,$X$2:$X$2427)))/COUNT(IF(A744=$A$2:$A$2427,IF(D744=$D$2:$D$2427,IF(ISNUMBER($X$2:$X$2427),1)))),0),""),0)</f>
        <v/>
      </c>
      <c r="Z744" s="104" t="str">
        <f>IF(ISNUMBER(O744),IF(I744&gt;0,(10^(VLOOKUP(D744,'Species Codes'!B:C,2,0)+VLOOKUP(D744,'Species Codes'!B:D,3,0)*LOG(E744)+VLOOKUP(D744,'Species Codes'!B:E,4,0)*LOG(I744))),0),"")</f>
        <v/>
      </c>
      <c r="AA744" s="104" t="str">
        <f>IFERROR((VLOOKUP(D744,'Species Codes'!B:G,6,0)*Z744)/2000,"")</f>
        <v/>
      </c>
      <c r="AB744" s="104" t="e">
        <f>IF(Z744&gt;0,((IF(OR(D744="DF",D744="RA")=TRUE,EXP(VLOOKUP(D744,'Species Codes'!B:I,8,0)+VLOOKUP(D744,'Species Codes'!B:J,9,0)*(LN((E744*2.54)))),IF(OR(D744="PY",D744="RC",D744="WH",D744="NF")=TRUE,VLOOKUP(D744,'Species Codes'!B:I,8,0)+VLOOKUP(D744,'Species Codes'!B:J,9,0)*((E744*2.54)^2)*(I744*0.3048),IF(OR(D744="MD",D744="BM",D744="GA")=TRUE,((VLOOKUP(D744,'Species Codes'!B:I,8,0)*(((((E744*2.54)+VLOOKUP(D744,'Species Codes'!B:J,9,0))/VLOOKUP(D744,'Species Codes'!B:K,10,0))^VLOOKUP(D744,'Species Codes'!B:L,11,0))*((I744*0.3048)^VLOOKUP(D744,'Species Codes'!B:M,12,0))))-(VLOOKUP(D744,'Species Codes'!B:I,8,0)*((((E744*2.54)^VLOOKUP(D744,'Species Codes'!B:L,11,0))*((I744*0.3048)^VLOOKUP(D744,'Species Codes'!B:M,12,0))))))*35.3*VLOOKUP(D744,'Species Codes'!B:G,6,0)/2.2046,VLOOKUP(D744,'Species Codes'!B:I,8,0)+VLOOKUP(D744,'Species Codes'!B:J,9,0)*(((E744*2.54)/100)^2)*(I744*0.3048)))))*0.0011023),0)</f>
        <v>#N/A</v>
      </c>
      <c r="AC744" s="104" t="e">
        <f>IF(Z744&gt;0,((IF(OR(D744="RA",D744="OA",D744="OT",D744="UN",D744="PC"),EXP(VLOOKUP(D744,'Species Codes'!B:O,14,0)+VLOOKUP(D744,'Species Codes'!B:P,15,0)*LN((E744*2.54)))-EXP(VLOOKUP(D744,'Species Codes'!B:O,14,0)+VLOOKUP(D744,'Species Codes'!B:P,15,0)*LN((E744*2.54)))*(1/(VLOOKUP(D744,'Species Codes'!B:Q,16,0)+VLOOKUP(D744,'Species Codes'!B:R,17,0)*((E744*2.54)^VLOOKUP(D744,'Species Codes'!B:S,18,0)))),IF(OR(D744="BM",D744="MD",D744="OA"),EXP(VLOOKUP(D744,'Species Codes'!B:O,14,0)+VLOOKUP(D744,'Species Codes'!B:P,15,0)*LN((E744*2.54)))*(1-(1/(VLOOKUP(D744,'Species Codes'!B:Q,16,0)+VLOOKUP(D744,'Species Codes'!B:R,17,0)*((E744*2.54)^VLOOKUP(D744,'Species Codes'!B:S,18,0)))))/1000,IF(D744="DF",EXP(VLOOKUP(D744,'Species Codes'!B:O,14,0)+VLOOKUP(D744,'Species Codes'!B:P,15,0)*LN((E744*2.54))),VLOOKUP(D744,'Species Codes'!B:O,14,0)+VLOOKUP(D744,'Species Codes'!B:P,15,0)*(((E744*2.54)/100)^2)*(I744*0.3048)))))*0.0011023),0)</f>
        <v>#N/A</v>
      </c>
      <c r="AD744" s="104" t="e">
        <f t="shared" si="355"/>
        <v>#N/A</v>
      </c>
      <c r="AE744" s="104" t="e">
        <f t="shared" si="356"/>
        <v>#N/A</v>
      </c>
      <c r="AF744" s="104" t="e">
        <f>IF(AND(VLOOKUP($D744,Merchantability!$B:$C,2,0)="Yes",$E744&gt;=VLOOKUP($D744,Merchantability!$B:$D,3,0),$E744&lt;=VLOOKUP($D744,Merchantability!$B:$E,4,0)),AA744,0)</f>
        <v>#N/A</v>
      </c>
      <c r="AG744" s="104" t="e">
        <f>IF(AND(VLOOKUP($D744,Merchantability!$B:$C,2,0)="Yes",$E744&gt;=VLOOKUP($D744,Merchantability!$B:$D,3,0),$E744&lt;=VLOOKUP($D744,Merchantability!$B:$E,4,0)),AB744,0)</f>
        <v>#N/A</v>
      </c>
      <c r="AH744" s="104" t="e">
        <f>IF(AND(VLOOKUP($D744,Merchantability!$B:$C,2,0)="Yes",$E744&gt;=VLOOKUP($D744,Merchantability!$B:$D,3,0),$E744&lt;=VLOOKUP($D744,Merchantability!$B:$E,4,0)),AC744,0)</f>
        <v>#N/A</v>
      </c>
      <c r="AI744" s="104" t="e">
        <f t="shared" si="357"/>
        <v>#N/A</v>
      </c>
      <c r="AJ744" s="104" t="e">
        <f t="shared" si="358"/>
        <v>#VALUE!</v>
      </c>
      <c r="AK744" s="104" t="e">
        <f t="shared" si="359"/>
        <v>#N/A</v>
      </c>
      <c r="AL744" s="104" t="e">
        <f t="shared" si="360"/>
        <v>#N/A</v>
      </c>
      <c r="AM744" s="104" t="e">
        <f t="shared" si="361"/>
        <v>#N/A</v>
      </c>
      <c r="AN744" s="104" t="e">
        <f t="shared" si="345"/>
        <v>#N/A</v>
      </c>
      <c r="AO744" s="104" t="e">
        <f t="shared" si="346"/>
        <v>#N/A</v>
      </c>
      <c r="AP744" s="104" t="e">
        <f t="shared" si="347"/>
        <v>#N/A</v>
      </c>
      <c r="AQ744" s="104" t="e">
        <f t="shared" si="348"/>
        <v>#N/A</v>
      </c>
      <c r="AR744" s="105" t="str">
        <f t="shared" si="340"/>
        <v/>
      </c>
      <c r="AS744" s="105" t="str">
        <f t="shared" si="341"/>
        <v/>
      </c>
      <c r="AT744" s="108" t="str">
        <f t="shared" si="342"/>
        <v/>
      </c>
      <c r="AU744" s="108" t="str">
        <f t="shared" si="343"/>
        <v/>
      </c>
      <c r="AV744" s="107" t="str">
        <f>IF(ISNUMBER(O744),IF(VLOOKUP($A744,Stand!C:J,8,FALSE)="Short",AT744,AU744),"")</f>
        <v/>
      </c>
      <c r="AW744" s="109" t="str">
        <f t="shared" si="349"/>
        <v/>
      </c>
      <c r="AX744" s="109" t="str">
        <f t="shared" si="350"/>
        <v/>
      </c>
      <c r="AY744" s="112" t="str">
        <f>IF(ISNUMBER(O744),IF(AND(VLOOKUP($D744,Merchantability!$B:$C,2,0)="Yes",$E744&gt;=VLOOKUP($D744,Merchantability!$B:$D,3,0),$E744&lt;=VLOOKUP($D744,Merchantability!$B:$E,4,0)),(AV744*O744)*(1-$H744/100),""),"")</f>
        <v/>
      </c>
      <c r="AZ744" s="116"/>
      <c r="BA744" s="116"/>
      <c r="BB744" s="116"/>
      <c r="BE744" s="62"/>
      <c r="BF744" s="63"/>
    </row>
    <row r="745" spans="1:58" ht="12.75" customHeight="1" x14ac:dyDescent="0.25">
      <c r="A745" s="313"/>
      <c r="B745" s="328"/>
      <c r="C745" s="329"/>
      <c r="D745" s="328"/>
      <c r="E745" s="330"/>
      <c r="F745" s="328"/>
      <c r="G745" s="329"/>
      <c r="H745" s="329"/>
      <c r="I745" s="328"/>
      <c r="J745" s="383"/>
      <c r="K745" s="329"/>
      <c r="L745" s="329"/>
      <c r="M745" s="76"/>
      <c r="N745" s="103" t="str">
        <f>IF(A745="","",VLOOKUP(A745,Stand!C:K,9,0))</f>
        <v/>
      </c>
      <c r="O745" s="104" t="str">
        <f t="shared" si="335"/>
        <v/>
      </c>
      <c r="P745" s="105" t="str">
        <f t="shared" si="336"/>
        <v/>
      </c>
      <c r="Q745" s="105" t="str">
        <f t="shared" si="351"/>
        <v/>
      </c>
      <c r="R745" s="103" t="str">
        <f t="shared" si="337"/>
        <v/>
      </c>
      <c r="S745" s="103" t="str">
        <f t="shared" si="338"/>
        <v/>
      </c>
      <c r="T745" s="106" t="str">
        <f t="shared" si="352"/>
        <v/>
      </c>
      <c r="U745" s="106" t="str">
        <f t="shared" si="353"/>
        <v/>
      </c>
      <c r="V745" s="106" t="str">
        <f t="shared" si="354"/>
        <v/>
      </c>
      <c r="W745" s="105" t="str">
        <f t="shared" si="339"/>
        <v/>
      </c>
      <c r="X745" s="104" t="str">
        <f t="shared" si="344"/>
        <v/>
      </c>
      <c r="Y745" s="104" t="str">
        <f t="array" ref="Y745">IFERROR(IF(ISNUMBER(O745),IF(COUNT(IF(A745=$A$2:$A$2427,IF(D745=$D$2:$D$2427,IF($X$2:$X$2427&gt;0,1))))&gt;0,SUM(IF(A745=$A$2:$A$2427,IF(D745=$D$2:$D$2427,$X$2:$X$2427)))/COUNT(IF(A745=$A$2:$A$2427,IF(D745=$D$2:$D$2427,IF(ISNUMBER($X$2:$X$2427),1)))),0),""),0)</f>
        <v/>
      </c>
      <c r="Z745" s="104" t="str">
        <f>IF(ISNUMBER(O745),IF(I745&gt;0,(10^(VLOOKUP(D745,'Species Codes'!B:C,2,0)+VLOOKUP(D745,'Species Codes'!B:D,3,0)*LOG(E745)+VLOOKUP(D745,'Species Codes'!B:E,4,0)*LOG(I745))),0),"")</f>
        <v/>
      </c>
      <c r="AA745" s="104" t="str">
        <f>IFERROR((VLOOKUP(D745,'Species Codes'!B:G,6,0)*Z745)/2000,"")</f>
        <v/>
      </c>
      <c r="AB745" s="104" t="e">
        <f>IF(Z745&gt;0,((IF(OR(D745="DF",D745="RA")=TRUE,EXP(VLOOKUP(D745,'Species Codes'!B:I,8,0)+VLOOKUP(D745,'Species Codes'!B:J,9,0)*(LN((E745*2.54)))),IF(OR(D745="PY",D745="RC",D745="WH",D745="NF")=TRUE,VLOOKUP(D745,'Species Codes'!B:I,8,0)+VLOOKUP(D745,'Species Codes'!B:J,9,0)*((E745*2.54)^2)*(I745*0.3048),IF(OR(D745="MD",D745="BM",D745="GA")=TRUE,((VLOOKUP(D745,'Species Codes'!B:I,8,0)*(((((E745*2.54)+VLOOKUP(D745,'Species Codes'!B:J,9,0))/VLOOKUP(D745,'Species Codes'!B:K,10,0))^VLOOKUP(D745,'Species Codes'!B:L,11,0))*((I745*0.3048)^VLOOKUP(D745,'Species Codes'!B:M,12,0))))-(VLOOKUP(D745,'Species Codes'!B:I,8,0)*((((E745*2.54)^VLOOKUP(D745,'Species Codes'!B:L,11,0))*((I745*0.3048)^VLOOKUP(D745,'Species Codes'!B:M,12,0))))))*35.3*VLOOKUP(D745,'Species Codes'!B:G,6,0)/2.2046,VLOOKUP(D745,'Species Codes'!B:I,8,0)+VLOOKUP(D745,'Species Codes'!B:J,9,0)*(((E745*2.54)/100)^2)*(I745*0.3048)))))*0.0011023),0)</f>
        <v>#N/A</v>
      </c>
      <c r="AC745" s="104" t="e">
        <f>IF(Z745&gt;0,((IF(OR(D745="RA",D745="OA",D745="OT",D745="UN",D745="PC"),EXP(VLOOKUP(D745,'Species Codes'!B:O,14,0)+VLOOKUP(D745,'Species Codes'!B:P,15,0)*LN((E745*2.54)))-EXP(VLOOKUP(D745,'Species Codes'!B:O,14,0)+VLOOKUP(D745,'Species Codes'!B:P,15,0)*LN((E745*2.54)))*(1/(VLOOKUP(D745,'Species Codes'!B:Q,16,0)+VLOOKUP(D745,'Species Codes'!B:R,17,0)*((E745*2.54)^VLOOKUP(D745,'Species Codes'!B:S,18,0)))),IF(OR(D745="BM",D745="MD",D745="OA"),EXP(VLOOKUP(D745,'Species Codes'!B:O,14,0)+VLOOKUP(D745,'Species Codes'!B:P,15,0)*LN((E745*2.54)))*(1-(1/(VLOOKUP(D745,'Species Codes'!B:Q,16,0)+VLOOKUP(D745,'Species Codes'!B:R,17,0)*((E745*2.54)^VLOOKUP(D745,'Species Codes'!B:S,18,0)))))/1000,IF(D745="DF",EXP(VLOOKUP(D745,'Species Codes'!B:O,14,0)+VLOOKUP(D745,'Species Codes'!B:P,15,0)*LN((E745*2.54))),VLOOKUP(D745,'Species Codes'!B:O,14,0)+VLOOKUP(D745,'Species Codes'!B:P,15,0)*(((E745*2.54)/100)^2)*(I745*0.3048)))))*0.0011023),0)</f>
        <v>#N/A</v>
      </c>
      <c r="AD745" s="104" t="e">
        <f t="shared" si="355"/>
        <v>#N/A</v>
      </c>
      <c r="AE745" s="104" t="e">
        <f t="shared" si="356"/>
        <v>#N/A</v>
      </c>
      <c r="AF745" s="104" t="e">
        <f>IF(AND(VLOOKUP($D745,Merchantability!$B:$C,2,0)="Yes",$E745&gt;=VLOOKUP($D745,Merchantability!$B:$D,3,0),$E745&lt;=VLOOKUP($D745,Merchantability!$B:$E,4,0)),AA745,0)</f>
        <v>#N/A</v>
      </c>
      <c r="AG745" s="104" t="e">
        <f>IF(AND(VLOOKUP($D745,Merchantability!$B:$C,2,0)="Yes",$E745&gt;=VLOOKUP($D745,Merchantability!$B:$D,3,0),$E745&lt;=VLOOKUP($D745,Merchantability!$B:$E,4,0)),AB745,0)</f>
        <v>#N/A</v>
      </c>
      <c r="AH745" s="104" t="e">
        <f>IF(AND(VLOOKUP($D745,Merchantability!$B:$C,2,0)="Yes",$E745&gt;=VLOOKUP($D745,Merchantability!$B:$D,3,0),$E745&lt;=VLOOKUP($D745,Merchantability!$B:$E,4,0)),AC745,0)</f>
        <v>#N/A</v>
      </c>
      <c r="AI745" s="104" t="e">
        <f t="shared" si="357"/>
        <v>#N/A</v>
      </c>
      <c r="AJ745" s="104" t="e">
        <f t="shared" si="358"/>
        <v>#VALUE!</v>
      </c>
      <c r="AK745" s="104" t="e">
        <f t="shared" si="359"/>
        <v>#N/A</v>
      </c>
      <c r="AL745" s="104" t="e">
        <f t="shared" si="360"/>
        <v>#N/A</v>
      </c>
      <c r="AM745" s="104" t="e">
        <f t="shared" si="361"/>
        <v>#N/A</v>
      </c>
      <c r="AN745" s="104" t="e">
        <f t="shared" si="345"/>
        <v>#N/A</v>
      </c>
      <c r="AO745" s="104" t="e">
        <f t="shared" si="346"/>
        <v>#N/A</v>
      </c>
      <c r="AP745" s="104" t="e">
        <f t="shared" si="347"/>
        <v>#N/A</v>
      </c>
      <c r="AQ745" s="104" t="e">
        <f t="shared" si="348"/>
        <v>#N/A</v>
      </c>
      <c r="AR745" s="105" t="str">
        <f t="shared" si="340"/>
        <v/>
      </c>
      <c r="AS745" s="105" t="str">
        <f t="shared" si="341"/>
        <v/>
      </c>
      <c r="AT745" s="108" t="str">
        <f t="shared" si="342"/>
        <v/>
      </c>
      <c r="AU745" s="108" t="str">
        <f t="shared" si="343"/>
        <v/>
      </c>
      <c r="AV745" s="107" t="str">
        <f>IF(ISNUMBER(O745),IF(VLOOKUP($A745,Stand!C:J,8,FALSE)="Short",AT745,AU745),"")</f>
        <v/>
      </c>
      <c r="AW745" s="109" t="str">
        <f t="shared" si="349"/>
        <v/>
      </c>
      <c r="AX745" s="109" t="str">
        <f t="shared" si="350"/>
        <v/>
      </c>
      <c r="AY745" s="112" t="str">
        <f>IF(ISNUMBER(O745),IF(AND(VLOOKUP($D745,Merchantability!$B:$C,2,0)="Yes",$E745&gt;=VLOOKUP($D745,Merchantability!$B:$D,3,0),$E745&lt;=VLOOKUP($D745,Merchantability!$B:$E,4,0)),(AV745*O745)*(1-$H745/100),""),"")</f>
        <v/>
      </c>
      <c r="AZ745" s="116"/>
      <c r="BA745" s="116"/>
      <c r="BB745" s="116"/>
      <c r="BE745" s="62"/>
      <c r="BF745" s="63"/>
    </row>
    <row r="746" spans="1:58" ht="12.75" customHeight="1" x14ac:dyDescent="0.25">
      <c r="A746" s="313"/>
      <c r="B746" s="328"/>
      <c r="C746" s="329"/>
      <c r="D746" s="328"/>
      <c r="E746" s="330"/>
      <c r="F746" s="328"/>
      <c r="G746" s="329"/>
      <c r="H746" s="329"/>
      <c r="I746" s="328"/>
      <c r="J746" s="383"/>
      <c r="K746" s="329"/>
      <c r="L746" s="329"/>
      <c r="M746" s="76"/>
      <c r="N746" s="103" t="str">
        <f>IF(A746="","",VLOOKUP(A746,Stand!C:K,9,0))</f>
        <v/>
      </c>
      <c r="O746" s="104" t="str">
        <f t="shared" si="335"/>
        <v/>
      </c>
      <c r="P746" s="105" t="str">
        <f t="shared" si="336"/>
        <v/>
      </c>
      <c r="Q746" s="105" t="str">
        <f t="shared" si="351"/>
        <v/>
      </c>
      <c r="R746" s="103" t="str">
        <f t="shared" si="337"/>
        <v/>
      </c>
      <c r="S746" s="103" t="str">
        <f t="shared" si="338"/>
        <v/>
      </c>
      <c r="T746" s="106" t="str">
        <f t="shared" si="352"/>
        <v/>
      </c>
      <c r="U746" s="106" t="str">
        <f t="shared" si="353"/>
        <v/>
      </c>
      <c r="V746" s="106" t="str">
        <f t="shared" si="354"/>
        <v/>
      </c>
      <c r="W746" s="105" t="str">
        <f t="shared" si="339"/>
        <v/>
      </c>
      <c r="X746" s="104" t="str">
        <f t="shared" si="344"/>
        <v/>
      </c>
      <c r="Y746" s="104" t="str">
        <f t="array" ref="Y746">IFERROR(IF(ISNUMBER(O746),IF(COUNT(IF(A746=$A$2:$A$2427,IF(D746=$D$2:$D$2427,IF($X$2:$X$2427&gt;0,1))))&gt;0,SUM(IF(A746=$A$2:$A$2427,IF(D746=$D$2:$D$2427,$X$2:$X$2427)))/COUNT(IF(A746=$A$2:$A$2427,IF(D746=$D$2:$D$2427,IF(ISNUMBER($X$2:$X$2427),1)))),0),""),0)</f>
        <v/>
      </c>
      <c r="Z746" s="104" t="str">
        <f>IF(ISNUMBER(O746),IF(I746&gt;0,(10^(VLOOKUP(D746,'Species Codes'!B:C,2,0)+VLOOKUP(D746,'Species Codes'!B:D,3,0)*LOG(E746)+VLOOKUP(D746,'Species Codes'!B:E,4,0)*LOG(I746))),0),"")</f>
        <v/>
      </c>
      <c r="AA746" s="104" t="str">
        <f>IFERROR((VLOOKUP(D746,'Species Codes'!B:G,6,0)*Z746)/2000,"")</f>
        <v/>
      </c>
      <c r="AB746" s="104" t="e">
        <f>IF(Z746&gt;0,((IF(OR(D746="DF",D746="RA")=TRUE,EXP(VLOOKUP(D746,'Species Codes'!B:I,8,0)+VLOOKUP(D746,'Species Codes'!B:J,9,0)*(LN((E746*2.54)))),IF(OR(D746="PY",D746="RC",D746="WH",D746="NF")=TRUE,VLOOKUP(D746,'Species Codes'!B:I,8,0)+VLOOKUP(D746,'Species Codes'!B:J,9,0)*((E746*2.54)^2)*(I746*0.3048),IF(OR(D746="MD",D746="BM",D746="GA")=TRUE,((VLOOKUP(D746,'Species Codes'!B:I,8,0)*(((((E746*2.54)+VLOOKUP(D746,'Species Codes'!B:J,9,0))/VLOOKUP(D746,'Species Codes'!B:K,10,0))^VLOOKUP(D746,'Species Codes'!B:L,11,0))*((I746*0.3048)^VLOOKUP(D746,'Species Codes'!B:M,12,0))))-(VLOOKUP(D746,'Species Codes'!B:I,8,0)*((((E746*2.54)^VLOOKUP(D746,'Species Codes'!B:L,11,0))*((I746*0.3048)^VLOOKUP(D746,'Species Codes'!B:M,12,0))))))*35.3*VLOOKUP(D746,'Species Codes'!B:G,6,0)/2.2046,VLOOKUP(D746,'Species Codes'!B:I,8,0)+VLOOKUP(D746,'Species Codes'!B:J,9,0)*(((E746*2.54)/100)^2)*(I746*0.3048)))))*0.0011023),0)</f>
        <v>#N/A</v>
      </c>
      <c r="AC746" s="104" t="e">
        <f>IF(Z746&gt;0,((IF(OR(D746="RA",D746="OA",D746="OT",D746="UN",D746="PC"),EXP(VLOOKUP(D746,'Species Codes'!B:O,14,0)+VLOOKUP(D746,'Species Codes'!B:P,15,0)*LN((E746*2.54)))-EXP(VLOOKUP(D746,'Species Codes'!B:O,14,0)+VLOOKUP(D746,'Species Codes'!B:P,15,0)*LN((E746*2.54)))*(1/(VLOOKUP(D746,'Species Codes'!B:Q,16,0)+VLOOKUP(D746,'Species Codes'!B:R,17,0)*((E746*2.54)^VLOOKUP(D746,'Species Codes'!B:S,18,0)))),IF(OR(D746="BM",D746="MD",D746="OA"),EXP(VLOOKUP(D746,'Species Codes'!B:O,14,0)+VLOOKUP(D746,'Species Codes'!B:P,15,0)*LN((E746*2.54)))*(1-(1/(VLOOKUP(D746,'Species Codes'!B:Q,16,0)+VLOOKUP(D746,'Species Codes'!B:R,17,0)*((E746*2.54)^VLOOKUP(D746,'Species Codes'!B:S,18,0)))))/1000,IF(D746="DF",EXP(VLOOKUP(D746,'Species Codes'!B:O,14,0)+VLOOKUP(D746,'Species Codes'!B:P,15,0)*LN((E746*2.54))),VLOOKUP(D746,'Species Codes'!B:O,14,0)+VLOOKUP(D746,'Species Codes'!B:P,15,0)*(((E746*2.54)/100)^2)*(I746*0.3048)))))*0.0011023),0)</f>
        <v>#N/A</v>
      </c>
      <c r="AD746" s="104" t="e">
        <f t="shared" si="355"/>
        <v>#N/A</v>
      </c>
      <c r="AE746" s="104" t="e">
        <f t="shared" si="356"/>
        <v>#N/A</v>
      </c>
      <c r="AF746" s="104" t="e">
        <f>IF(AND(VLOOKUP($D746,Merchantability!$B:$C,2,0)="Yes",$E746&gt;=VLOOKUP($D746,Merchantability!$B:$D,3,0),$E746&lt;=VLOOKUP($D746,Merchantability!$B:$E,4,0)),AA746,0)</f>
        <v>#N/A</v>
      </c>
      <c r="AG746" s="104" t="e">
        <f>IF(AND(VLOOKUP($D746,Merchantability!$B:$C,2,0)="Yes",$E746&gt;=VLOOKUP($D746,Merchantability!$B:$D,3,0),$E746&lt;=VLOOKUP($D746,Merchantability!$B:$E,4,0)),AB746,0)</f>
        <v>#N/A</v>
      </c>
      <c r="AH746" s="104" t="e">
        <f>IF(AND(VLOOKUP($D746,Merchantability!$B:$C,2,0)="Yes",$E746&gt;=VLOOKUP($D746,Merchantability!$B:$D,3,0),$E746&lt;=VLOOKUP($D746,Merchantability!$B:$E,4,0)),AC746,0)</f>
        <v>#N/A</v>
      </c>
      <c r="AI746" s="104" t="e">
        <f t="shared" si="357"/>
        <v>#N/A</v>
      </c>
      <c r="AJ746" s="104" t="e">
        <f t="shared" si="358"/>
        <v>#VALUE!</v>
      </c>
      <c r="AK746" s="104" t="e">
        <f t="shared" si="359"/>
        <v>#N/A</v>
      </c>
      <c r="AL746" s="104" t="e">
        <f t="shared" si="360"/>
        <v>#N/A</v>
      </c>
      <c r="AM746" s="104" t="e">
        <f t="shared" si="361"/>
        <v>#N/A</v>
      </c>
      <c r="AN746" s="104" t="e">
        <f t="shared" si="345"/>
        <v>#N/A</v>
      </c>
      <c r="AO746" s="104" t="e">
        <f t="shared" si="346"/>
        <v>#N/A</v>
      </c>
      <c r="AP746" s="104" t="e">
        <f t="shared" si="347"/>
        <v>#N/A</v>
      </c>
      <c r="AQ746" s="104" t="e">
        <f t="shared" si="348"/>
        <v>#N/A</v>
      </c>
      <c r="AR746" s="105" t="str">
        <f t="shared" si="340"/>
        <v/>
      </c>
      <c r="AS746" s="105" t="str">
        <f t="shared" si="341"/>
        <v/>
      </c>
      <c r="AT746" s="108" t="str">
        <f t="shared" si="342"/>
        <v/>
      </c>
      <c r="AU746" s="108" t="str">
        <f t="shared" si="343"/>
        <v/>
      </c>
      <c r="AV746" s="107" t="str">
        <f>IF(ISNUMBER(O746),IF(VLOOKUP($A746,Stand!C:J,8,FALSE)="Short",AT746,AU746),"")</f>
        <v/>
      </c>
      <c r="AW746" s="109" t="str">
        <f t="shared" si="349"/>
        <v/>
      </c>
      <c r="AX746" s="109" t="str">
        <f t="shared" si="350"/>
        <v/>
      </c>
      <c r="AY746" s="112" t="str">
        <f>IF(ISNUMBER(O746),IF(AND(VLOOKUP($D746,Merchantability!$B:$C,2,0)="Yes",$E746&gt;=VLOOKUP($D746,Merchantability!$B:$D,3,0),$E746&lt;=VLOOKUP($D746,Merchantability!$B:$E,4,0)),(AV746*O746)*(1-$H746/100),""),"")</f>
        <v/>
      </c>
      <c r="AZ746" s="116"/>
      <c r="BA746" s="116"/>
      <c r="BB746" s="116"/>
      <c r="BE746" s="62"/>
      <c r="BF746" s="63"/>
    </row>
    <row r="747" spans="1:58" ht="12.75" customHeight="1" x14ac:dyDescent="0.25">
      <c r="A747" s="313"/>
      <c r="B747" s="328"/>
      <c r="C747" s="329"/>
      <c r="D747" s="328"/>
      <c r="E747" s="330"/>
      <c r="F747" s="328"/>
      <c r="G747" s="329"/>
      <c r="H747" s="329"/>
      <c r="I747" s="328"/>
      <c r="J747" s="383"/>
      <c r="K747" s="329"/>
      <c r="L747" s="329"/>
      <c r="M747" s="76"/>
      <c r="N747" s="103" t="str">
        <f>IF(A747="","",VLOOKUP(A747,Stand!C:K,9,0))</f>
        <v/>
      </c>
      <c r="O747" s="104" t="str">
        <f t="shared" si="335"/>
        <v/>
      </c>
      <c r="P747" s="105" t="str">
        <f t="shared" si="336"/>
        <v/>
      </c>
      <c r="Q747" s="105" t="str">
        <f t="shared" si="351"/>
        <v/>
      </c>
      <c r="R747" s="103" t="str">
        <f t="shared" si="337"/>
        <v/>
      </c>
      <c r="S747" s="103" t="str">
        <f t="shared" si="338"/>
        <v/>
      </c>
      <c r="T747" s="106" t="str">
        <f t="shared" si="352"/>
        <v/>
      </c>
      <c r="U747" s="106" t="str">
        <f t="shared" si="353"/>
        <v/>
      </c>
      <c r="V747" s="106" t="str">
        <f t="shared" si="354"/>
        <v/>
      </c>
      <c r="W747" s="105" t="str">
        <f t="shared" si="339"/>
        <v/>
      </c>
      <c r="X747" s="104" t="str">
        <f t="shared" si="344"/>
        <v/>
      </c>
      <c r="Y747" s="104" t="str">
        <f t="array" ref="Y747">IFERROR(IF(ISNUMBER(O747),IF(COUNT(IF(A747=$A$2:$A$2427,IF(D747=$D$2:$D$2427,IF($X$2:$X$2427&gt;0,1))))&gt;0,SUM(IF(A747=$A$2:$A$2427,IF(D747=$D$2:$D$2427,$X$2:$X$2427)))/COUNT(IF(A747=$A$2:$A$2427,IF(D747=$D$2:$D$2427,IF(ISNUMBER($X$2:$X$2427),1)))),0),""),0)</f>
        <v/>
      </c>
      <c r="Z747" s="104" t="str">
        <f>IF(ISNUMBER(O747),IF(I747&gt;0,(10^(VLOOKUP(D747,'Species Codes'!B:C,2,0)+VLOOKUP(D747,'Species Codes'!B:D,3,0)*LOG(E747)+VLOOKUP(D747,'Species Codes'!B:E,4,0)*LOG(I747))),0),"")</f>
        <v/>
      </c>
      <c r="AA747" s="104" t="str">
        <f>IFERROR((VLOOKUP(D747,'Species Codes'!B:G,6,0)*Z747)/2000,"")</f>
        <v/>
      </c>
      <c r="AB747" s="104" t="e">
        <f>IF(Z747&gt;0,((IF(OR(D747="DF",D747="RA")=TRUE,EXP(VLOOKUP(D747,'Species Codes'!B:I,8,0)+VLOOKUP(D747,'Species Codes'!B:J,9,0)*(LN((E747*2.54)))),IF(OR(D747="PY",D747="RC",D747="WH",D747="NF")=TRUE,VLOOKUP(D747,'Species Codes'!B:I,8,0)+VLOOKUP(D747,'Species Codes'!B:J,9,0)*((E747*2.54)^2)*(I747*0.3048),IF(OR(D747="MD",D747="BM",D747="GA")=TRUE,((VLOOKUP(D747,'Species Codes'!B:I,8,0)*(((((E747*2.54)+VLOOKUP(D747,'Species Codes'!B:J,9,0))/VLOOKUP(D747,'Species Codes'!B:K,10,0))^VLOOKUP(D747,'Species Codes'!B:L,11,0))*((I747*0.3048)^VLOOKUP(D747,'Species Codes'!B:M,12,0))))-(VLOOKUP(D747,'Species Codes'!B:I,8,0)*((((E747*2.54)^VLOOKUP(D747,'Species Codes'!B:L,11,0))*((I747*0.3048)^VLOOKUP(D747,'Species Codes'!B:M,12,0))))))*35.3*VLOOKUP(D747,'Species Codes'!B:G,6,0)/2.2046,VLOOKUP(D747,'Species Codes'!B:I,8,0)+VLOOKUP(D747,'Species Codes'!B:J,9,0)*(((E747*2.54)/100)^2)*(I747*0.3048)))))*0.0011023),0)</f>
        <v>#N/A</v>
      </c>
      <c r="AC747" s="104" t="e">
        <f>IF(Z747&gt;0,((IF(OR(D747="RA",D747="OA",D747="OT",D747="UN",D747="PC"),EXP(VLOOKUP(D747,'Species Codes'!B:O,14,0)+VLOOKUP(D747,'Species Codes'!B:P,15,0)*LN((E747*2.54)))-EXP(VLOOKUP(D747,'Species Codes'!B:O,14,0)+VLOOKUP(D747,'Species Codes'!B:P,15,0)*LN((E747*2.54)))*(1/(VLOOKUP(D747,'Species Codes'!B:Q,16,0)+VLOOKUP(D747,'Species Codes'!B:R,17,0)*((E747*2.54)^VLOOKUP(D747,'Species Codes'!B:S,18,0)))),IF(OR(D747="BM",D747="MD",D747="OA"),EXP(VLOOKUP(D747,'Species Codes'!B:O,14,0)+VLOOKUP(D747,'Species Codes'!B:P,15,0)*LN((E747*2.54)))*(1-(1/(VLOOKUP(D747,'Species Codes'!B:Q,16,0)+VLOOKUP(D747,'Species Codes'!B:R,17,0)*((E747*2.54)^VLOOKUP(D747,'Species Codes'!B:S,18,0)))))/1000,IF(D747="DF",EXP(VLOOKUP(D747,'Species Codes'!B:O,14,0)+VLOOKUP(D747,'Species Codes'!B:P,15,0)*LN((E747*2.54))),VLOOKUP(D747,'Species Codes'!B:O,14,0)+VLOOKUP(D747,'Species Codes'!B:P,15,0)*(((E747*2.54)/100)^2)*(I747*0.3048)))))*0.0011023),0)</f>
        <v>#N/A</v>
      </c>
      <c r="AD747" s="104" t="e">
        <f t="shared" si="355"/>
        <v>#N/A</v>
      </c>
      <c r="AE747" s="104" t="e">
        <f t="shared" si="356"/>
        <v>#N/A</v>
      </c>
      <c r="AF747" s="104" t="e">
        <f>IF(AND(VLOOKUP($D747,Merchantability!$B:$C,2,0)="Yes",$E747&gt;=VLOOKUP($D747,Merchantability!$B:$D,3,0),$E747&lt;=VLOOKUP($D747,Merchantability!$B:$E,4,0)),AA747,0)</f>
        <v>#N/A</v>
      </c>
      <c r="AG747" s="104" t="e">
        <f>IF(AND(VLOOKUP($D747,Merchantability!$B:$C,2,0)="Yes",$E747&gt;=VLOOKUP($D747,Merchantability!$B:$D,3,0),$E747&lt;=VLOOKUP($D747,Merchantability!$B:$E,4,0)),AB747,0)</f>
        <v>#N/A</v>
      </c>
      <c r="AH747" s="104" t="e">
        <f>IF(AND(VLOOKUP($D747,Merchantability!$B:$C,2,0)="Yes",$E747&gt;=VLOOKUP($D747,Merchantability!$B:$D,3,0),$E747&lt;=VLOOKUP($D747,Merchantability!$B:$E,4,0)),AC747,0)</f>
        <v>#N/A</v>
      </c>
      <c r="AI747" s="104" t="e">
        <f t="shared" si="357"/>
        <v>#N/A</v>
      </c>
      <c r="AJ747" s="104" t="e">
        <f t="shared" si="358"/>
        <v>#VALUE!</v>
      </c>
      <c r="AK747" s="104" t="e">
        <f t="shared" si="359"/>
        <v>#N/A</v>
      </c>
      <c r="AL747" s="104" t="e">
        <f t="shared" si="360"/>
        <v>#N/A</v>
      </c>
      <c r="AM747" s="104" t="e">
        <f t="shared" si="361"/>
        <v>#N/A</v>
      </c>
      <c r="AN747" s="104" t="e">
        <f t="shared" si="345"/>
        <v>#N/A</v>
      </c>
      <c r="AO747" s="104" t="e">
        <f t="shared" si="346"/>
        <v>#N/A</v>
      </c>
      <c r="AP747" s="104" t="e">
        <f t="shared" si="347"/>
        <v>#N/A</v>
      </c>
      <c r="AQ747" s="104" t="e">
        <f t="shared" si="348"/>
        <v>#N/A</v>
      </c>
      <c r="AR747" s="105" t="str">
        <f t="shared" si="340"/>
        <v/>
      </c>
      <c r="AS747" s="105" t="str">
        <f t="shared" si="341"/>
        <v/>
      </c>
      <c r="AT747" s="108" t="str">
        <f t="shared" si="342"/>
        <v/>
      </c>
      <c r="AU747" s="108" t="str">
        <f t="shared" si="343"/>
        <v/>
      </c>
      <c r="AV747" s="107" t="str">
        <f>IF(ISNUMBER(O747),IF(VLOOKUP($A747,Stand!C:J,8,FALSE)="Short",AT747,AU747),"")</f>
        <v/>
      </c>
      <c r="AW747" s="109" t="str">
        <f t="shared" si="349"/>
        <v/>
      </c>
      <c r="AX747" s="109" t="str">
        <f t="shared" si="350"/>
        <v/>
      </c>
      <c r="AY747" s="112" t="str">
        <f>IF(ISNUMBER(O747),IF(AND(VLOOKUP($D747,Merchantability!$B:$C,2,0)="Yes",$E747&gt;=VLOOKUP($D747,Merchantability!$B:$D,3,0),$E747&lt;=VLOOKUP($D747,Merchantability!$B:$E,4,0)),(AV747*O747)*(1-$H747/100),""),"")</f>
        <v/>
      </c>
      <c r="AZ747" s="116"/>
      <c r="BA747" s="116"/>
      <c r="BB747" s="116"/>
      <c r="BE747" s="62"/>
      <c r="BF747" s="63"/>
    </row>
    <row r="748" spans="1:58" ht="12.75" customHeight="1" x14ac:dyDescent="0.25">
      <c r="A748" s="313"/>
      <c r="B748" s="328"/>
      <c r="C748" s="329"/>
      <c r="D748" s="328"/>
      <c r="E748" s="330"/>
      <c r="F748" s="328"/>
      <c r="G748" s="329"/>
      <c r="H748" s="329"/>
      <c r="I748" s="328"/>
      <c r="J748" s="383"/>
      <c r="K748" s="329"/>
      <c r="L748" s="329"/>
      <c r="M748" s="76"/>
      <c r="N748" s="103" t="str">
        <f>IF(A748="","",VLOOKUP(A748,Stand!C:K,9,0))</f>
        <v/>
      </c>
      <c r="O748" s="104" t="str">
        <f t="shared" si="335"/>
        <v/>
      </c>
      <c r="P748" s="105" t="str">
        <f t="shared" si="336"/>
        <v/>
      </c>
      <c r="Q748" s="105" t="str">
        <f t="shared" si="351"/>
        <v/>
      </c>
      <c r="R748" s="103" t="str">
        <f t="shared" si="337"/>
        <v/>
      </c>
      <c r="S748" s="103" t="str">
        <f t="shared" si="338"/>
        <v/>
      </c>
      <c r="T748" s="106" t="str">
        <f t="shared" si="352"/>
        <v/>
      </c>
      <c r="U748" s="106" t="str">
        <f t="shared" si="353"/>
        <v/>
      </c>
      <c r="V748" s="106" t="str">
        <f t="shared" si="354"/>
        <v/>
      </c>
      <c r="W748" s="105" t="str">
        <f t="shared" si="339"/>
        <v/>
      </c>
      <c r="X748" s="104" t="str">
        <f t="shared" si="344"/>
        <v/>
      </c>
      <c r="Y748" s="104" t="str">
        <f t="array" ref="Y748">IFERROR(IF(ISNUMBER(O748),IF(COUNT(IF(A748=$A$2:$A$2427,IF(D748=$D$2:$D$2427,IF($X$2:$X$2427&gt;0,1))))&gt;0,SUM(IF(A748=$A$2:$A$2427,IF(D748=$D$2:$D$2427,$X$2:$X$2427)))/COUNT(IF(A748=$A$2:$A$2427,IF(D748=$D$2:$D$2427,IF(ISNUMBER($X$2:$X$2427),1)))),0),""),0)</f>
        <v/>
      </c>
      <c r="Z748" s="104" t="str">
        <f>IF(ISNUMBER(O748),IF(I748&gt;0,(10^(VLOOKUP(D748,'Species Codes'!B:C,2,0)+VLOOKUP(D748,'Species Codes'!B:D,3,0)*LOG(E748)+VLOOKUP(D748,'Species Codes'!B:E,4,0)*LOG(I748))),0),"")</f>
        <v/>
      </c>
      <c r="AA748" s="104" t="str">
        <f>IFERROR((VLOOKUP(D748,'Species Codes'!B:G,6,0)*Z748)/2000,"")</f>
        <v/>
      </c>
      <c r="AB748" s="104" t="e">
        <f>IF(Z748&gt;0,((IF(OR(D748="DF",D748="RA")=TRUE,EXP(VLOOKUP(D748,'Species Codes'!B:I,8,0)+VLOOKUP(D748,'Species Codes'!B:J,9,0)*(LN((E748*2.54)))),IF(OR(D748="PY",D748="RC",D748="WH",D748="NF")=TRUE,VLOOKUP(D748,'Species Codes'!B:I,8,0)+VLOOKUP(D748,'Species Codes'!B:J,9,0)*((E748*2.54)^2)*(I748*0.3048),IF(OR(D748="MD",D748="BM",D748="GA")=TRUE,((VLOOKUP(D748,'Species Codes'!B:I,8,0)*(((((E748*2.54)+VLOOKUP(D748,'Species Codes'!B:J,9,0))/VLOOKUP(D748,'Species Codes'!B:K,10,0))^VLOOKUP(D748,'Species Codes'!B:L,11,0))*((I748*0.3048)^VLOOKUP(D748,'Species Codes'!B:M,12,0))))-(VLOOKUP(D748,'Species Codes'!B:I,8,0)*((((E748*2.54)^VLOOKUP(D748,'Species Codes'!B:L,11,0))*((I748*0.3048)^VLOOKUP(D748,'Species Codes'!B:M,12,0))))))*35.3*VLOOKUP(D748,'Species Codes'!B:G,6,0)/2.2046,VLOOKUP(D748,'Species Codes'!B:I,8,0)+VLOOKUP(D748,'Species Codes'!B:J,9,0)*(((E748*2.54)/100)^2)*(I748*0.3048)))))*0.0011023),0)</f>
        <v>#N/A</v>
      </c>
      <c r="AC748" s="104" t="e">
        <f>IF(Z748&gt;0,((IF(OR(D748="RA",D748="OA",D748="OT",D748="UN",D748="PC"),EXP(VLOOKUP(D748,'Species Codes'!B:O,14,0)+VLOOKUP(D748,'Species Codes'!B:P,15,0)*LN((E748*2.54)))-EXP(VLOOKUP(D748,'Species Codes'!B:O,14,0)+VLOOKUP(D748,'Species Codes'!B:P,15,0)*LN((E748*2.54)))*(1/(VLOOKUP(D748,'Species Codes'!B:Q,16,0)+VLOOKUP(D748,'Species Codes'!B:R,17,0)*((E748*2.54)^VLOOKUP(D748,'Species Codes'!B:S,18,0)))),IF(OR(D748="BM",D748="MD",D748="OA"),EXP(VLOOKUP(D748,'Species Codes'!B:O,14,0)+VLOOKUP(D748,'Species Codes'!B:P,15,0)*LN((E748*2.54)))*(1-(1/(VLOOKUP(D748,'Species Codes'!B:Q,16,0)+VLOOKUP(D748,'Species Codes'!B:R,17,0)*((E748*2.54)^VLOOKUP(D748,'Species Codes'!B:S,18,0)))))/1000,IF(D748="DF",EXP(VLOOKUP(D748,'Species Codes'!B:O,14,0)+VLOOKUP(D748,'Species Codes'!B:P,15,0)*LN((E748*2.54))),VLOOKUP(D748,'Species Codes'!B:O,14,0)+VLOOKUP(D748,'Species Codes'!B:P,15,0)*(((E748*2.54)/100)^2)*(I748*0.3048)))))*0.0011023),0)</f>
        <v>#N/A</v>
      </c>
      <c r="AD748" s="104" t="e">
        <f t="shared" si="355"/>
        <v>#N/A</v>
      </c>
      <c r="AE748" s="104" t="e">
        <f t="shared" si="356"/>
        <v>#N/A</v>
      </c>
      <c r="AF748" s="104" t="e">
        <f>IF(AND(VLOOKUP($D748,Merchantability!$B:$C,2,0)="Yes",$E748&gt;=VLOOKUP($D748,Merchantability!$B:$D,3,0),$E748&lt;=VLOOKUP($D748,Merchantability!$B:$E,4,0)),AA748,0)</f>
        <v>#N/A</v>
      </c>
      <c r="AG748" s="104" t="e">
        <f>IF(AND(VLOOKUP($D748,Merchantability!$B:$C,2,0)="Yes",$E748&gt;=VLOOKUP($D748,Merchantability!$B:$D,3,0),$E748&lt;=VLOOKUP($D748,Merchantability!$B:$E,4,0)),AB748,0)</f>
        <v>#N/A</v>
      </c>
      <c r="AH748" s="104" t="e">
        <f>IF(AND(VLOOKUP($D748,Merchantability!$B:$C,2,0)="Yes",$E748&gt;=VLOOKUP($D748,Merchantability!$B:$D,3,0),$E748&lt;=VLOOKUP($D748,Merchantability!$B:$E,4,0)),AC748,0)</f>
        <v>#N/A</v>
      </c>
      <c r="AI748" s="104" t="e">
        <f t="shared" si="357"/>
        <v>#N/A</v>
      </c>
      <c r="AJ748" s="104" t="e">
        <f t="shared" si="358"/>
        <v>#VALUE!</v>
      </c>
      <c r="AK748" s="104" t="e">
        <f t="shared" si="359"/>
        <v>#N/A</v>
      </c>
      <c r="AL748" s="104" t="e">
        <f t="shared" si="360"/>
        <v>#N/A</v>
      </c>
      <c r="AM748" s="104" t="e">
        <f t="shared" si="361"/>
        <v>#N/A</v>
      </c>
      <c r="AN748" s="104" t="e">
        <f t="shared" si="345"/>
        <v>#N/A</v>
      </c>
      <c r="AO748" s="104" t="e">
        <f t="shared" si="346"/>
        <v>#N/A</v>
      </c>
      <c r="AP748" s="104" t="e">
        <f t="shared" si="347"/>
        <v>#N/A</v>
      </c>
      <c r="AQ748" s="104" t="e">
        <f t="shared" si="348"/>
        <v>#N/A</v>
      </c>
      <c r="AR748" s="105" t="str">
        <f t="shared" si="340"/>
        <v/>
      </c>
      <c r="AS748" s="105" t="str">
        <f t="shared" si="341"/>
        <v/>
      </c>
      <c r="AT748" s="108" t="str">
        <f t="shared" si="342"/>
        <v/>
      </c>
      <c r="AU748" s="108" t="str">
        <f t="shared" si="343"/>
        <v/>
      </c>
      <c r="AV748" s="107" t="str">
        <f>IF(ISNUMBER(O748),IF(VLOOKUP($A748,Stand!C:J,8,FALSE)="Short",AT748,AU748),"")</f>
        <v/>
      </c>
      <c r="AW748" s="109" t="str">
        <f t="shared" si="349"/>
        <v/>
      </c>
      <c r="AX748" s="109" t="str">
        <f t="shared" si="350"/>
        <v/>
      </c>
      <c r="AY748" s="112" t="str">
        <f>IF(ISNUMBER(O748),IF(AND(VLOOKUP($D748,Merchantability!$B:$C,2,0)="Yes",$E748&gt;=VLOOKUP($D748,Merchantability!$B:$D,3,0),$E748&lt;=VLOOKUP($D748,Merchantability!$B:$E,4,0)),(AV748*O748)*(1-$H748/100),""),"")</f>
        <v/>
      </c>
      <c r="AZ748" s="116"/>
      <c r="BA748" s="116"/>
      <c r="BB748" s="116"/>
      <c r="BE748" s="62"/>
      <c r="BF748" s="63"/>
    </row>
    <row r="749" spans="1:58" ht="12.75" customHeight="1" x14ac:dyDescent="0.25">
      <c r="A749" s="313"/>
      <c r="B749" s="328"/>
      <c r="C749" s="329"/>
      <c r="D749" s="328"/>
      <c r="E749" s="330"/>
      <c r="F749" s="328"/>
      <c r="G749" s="329"/>
      <c r="H749" s="329"/>
      <c r="I749" s="328"/>
      <c r="J749" s="383"/>
      <c r="K749" s="329"/>
      <c r="L749" s="329"/>
      <c r="M749" s="76"/>
      <c r="N749" s="103" t="str">
        <f>IF(A749="","",VLOOKUP(A749,Stand!C:K,9,0))</f>
        <v/>
      </c>
      <c r="O749" s="104" t="str">
        <f t="shared" si="335"/>
        <v/>
      </c>
      <c r="P749" s="105" t="str">
        <f t="shared" si="336"/>
        <v/>
      </c>
      <c r="Q749" s="105" t="str">
        <f t="shared" si="351"/>
        <v/>
      </c>
      <c r="R749" s="103" t="str">
        <f t="shared" si="337"/>
        <v/>
      </c>
      <c r="S749" s="103" t="str">
        <f t="shared" si="338"/>
        <v/>
      </c>
      <c r="T749" s="106" t="str">
        <f t="shared" si="352"/>
        <v/>
      </c>
      <c r="U749" s="106" t="str">
        <f t="shared" si="353"/>
        <v/>
      </c>
      <c r="V749" s="106" t="str">
        <f t="shared" si="354"/>
        <v/>
      </c>
      <c r="W749" s="105" t="str">
        <f t="shared" si="339"/>
        <v/>
      </c>
      <c r="X749" s="104" t="str">
        <f t="shared" si="344"/>
        <v/>
      </c>
      <c r="Y749" s="104" t="str">
        <f t="array" ref="Y749">IFERROR(IF(ISNUMBER(O749),IF(COUNT(IF(A749=$A$2:$A$2427,IF(D749=$D$2:$D$2427,IF($X$2:$X$2427&gt;0,1))))&gt;0,SUM(IF(A749=$A$2:$A$2427,IF(D749=$D$2:$D$2427,$X$2:$X$2427)))/COUNT(IF(A749=$A$2:$A$2427,IF(D749=$D$2:$D$2427,IF(ISNUMBER($X$2:$X$2427),1)))),0),""),0)</f>
        <v/>
      </c>
      <c r="Z749" s="104" t="str">
        <f>IF(ISNUMBER(O749),IF(I749&gt;0,(10^(VLOOKUP(D749,'Species Codes'!B:C,2,0)+VLOOKUP(D749,'Species Codes'!B:D,3,0)*LOG(E749)+VLOOKUP(D749,'Species Codes'!B:E,4,0)*LOG(I749))),0),"")</f>
        <v/>
      </c>
      <c r="AA749" s="104" t="str">
        <f>IFERROR((VLOOKUP(D749,'Species Codes'!B:G,6,0)*Z749)/2000,"")</f>
        <v/>
      </c>
      <c r="AB749" s="104" t="e">
        <f>IF(Z749&gt;0,((IF(OR(D749="DF",D749="RA")=TRUE,EXP(VLOOKUP(D749,'Species Codes'!B:I,8,0)+VLOOKUP(D749,'Species Codes'!B:J,9,0)*(LN((E749*2.54)))),IF(OR(D749="PY",D749="RC",D749="WH",D749="NF")=TRUE,VLOOKUP(D749,'Species Codes'!B:I,8,0)+VLOOKUP(D749,'Species Codes'!B:J,9,0)*((E749*2.54)^2)*(I749*0.3048),IF(OR(D749="MD",D749="BM",D749="GA")=TRUE,((VLOOKUP(D749,'Species Codes'!B:I,8,0)*(((((E749*2.54)+VLOOKUP(D749,'Species Codes'!B:J,9,0))/VLOOKUP(D749,'Species Codes'!B:K,10,0))^VLOOKUP(D749,'Species Codes'!B:L,11,0))*((I749*0.3048)^VLOOKUP(D749,'Species Codes'!B:M,12,0))))-(VLOOKUP(D749,'Species Codes'!B:I,8,0)*((((E749*2.54)^VLOOKUP(D749,'Species Codes'!B:L,11,0))*((I749*0.3048)^VLOOKUP(D749,'Species Codes'!B:M,12,0))))))*35.3*VLOOKUP(D749,'Species Codes'!B:G,6,0)/2.2046,VLOOKUP(D749,'Species Codes'!B:I,8,0)+VLOOKUP(D749,'Species Codes'!B:J,9,0)*(((E749*2.54)/100)^2)*(I749*0.3048)))))*0.0011023),0)</f>
        <v>#N/A</v>
      </c>
      <c r="AC749" s="104" t="e">
        <f>IF(Z749&gt;0,((IF(OR(D749="RA",D749="OA",D749="OT",D749="UN",D749="PC"),EXP(VLOOKUP(D749,'Species Codes'!B:O,14,0)+VLOOKUP(D749,'Species Codes'!B:P,15,0)*LN((E749*2.54)))-EXP(VLOOKUP(D749,'Species Codes'!B:O,14,0)+VLOOKUP(D749,'Species Codes'!B:P,15,0)*LN((E749*2.54)))*(1/(VLOOKUP(D749,'Species Codes'!B:Q,16,0)+VLOOKUP(D749,'Species Codes'!B:R,17,0)*((E749*2.54)^VLOOKUP(D749,'Species Codes'!B:S,18,0)))),IF(OR(D749="BM",D749="MD",D749="OA"),EXP(VLOOKUP(D749,'Species Codes'!B:O,14,0)+VLOOKUP(D749,'Species Codes'!B:P,15,0)*LN((E749*2.54)))*(1-(1/(VLOOKUP(D749,'Species Codes'!B:Q,16,0)+VLOOKUP(D749,'Species Codes'!B:R,17,0)*((E749*2.54)^VLOOKUP(D749,'Species Codes'!B:S,18,0)))))/1000,IF(D749="DF",EXP(VLOOKUP(D749,'Species Codes'!B:O,14,0)+VLOOKUP(D749,'Species Codes'!B:P,15,0)*LN((E749*2.54))),VLOOKUP(D749,'Species Codes'!B:O,14,0)+VLOOKUP(D749,'Species Codes'!B:P,15,0)*(((E749*2.54)/100)^2)*(I749*0.3048)))))*0.0011023),0)</f>
        <v>#N/A</v>
      </c>
      <c r="AD749" s="104" t="e">
        <f t="shared" si="355"/>
        <v>#N/A</v>
      </c>
      <c r="AE749" s="104" t="e">
        <f t="shared" si="356"/>
        <v>#N/A</v>
      </c>
      <c r="AF749" s="104" t="e">
        <f>IF(AND(VLOOKUP($D749,Merchantability!$B:$C,2,0)="Yes",$E749&gt;=VLOOKUP($D749,Merchantability!$B:$D,3,0),$E749&lt;=VLOOKUP($D749,Merchantability!$B:$E,4,0)),AA749,0)</f>
        <v>#N/A</v>
      </c>
      <c r="AG749" s="104" t="e">
        <f>IF(AND(VLOOKUP($D749,Merchantability!$B:$C,2,0)="Yes",$E749&gt;=VLOOKUP($D749,Merchantability!$B:$D,3,0),$E749&lt;=VLOOKUP($D749,Merchantability!$B:$E,4,0)),AB749,0)</f>
        <v>#N/A</v>
      </c>
      <c r="AH749" s="104" t="e">
        <f>IF(AND(VLOOKUP($D749,Merchantability!$B:$C,2,0)="Yes",$E749&gt;=VLOOKUP($D749,Merchantability!$B:$D,3,0),$E749&lt;=VLOOKUP($D749,Merchantability!$B:$E,4,0)),AC749,0)</f>
        <v>#N/A</v>
      </c>
      <c r="AI749" s="104" t="e">
        <f t="shared" si="357"/>
        <v>#N/A</v>
      </c>
      <c r="AJ749" s="104" t="e">
        <f t="shared" si="358"/>
        <v>#VALUE!</v>
      </c>
      <c r="AK749" s="104" t="e">
        <f t="shared" si="359"/>
        <v>#N/A</v>
      </c>
      <c r="AL749" s="104" t="e">
        <f t="shared" si="360"/>
        <v>#N/A</v>
      </c>
      <c r="AM749" s="104" t="e">
        <f t="shared" si="361"/>
        <v>#N/A</v>
      </c>
      <c r="AN749" s="104" t="e">
        <f t="shared" si="345"/>
        <v>#N/A</v>
      </c>
      <c r="AO749" s="104" t="e">
        <f t="shared" si="346"/>
        <v>#N/A</v>
      </c>
      <c r="AP749" s="104" t="e">
        <f t="shared" si="347"/>
        <v>#N/A</v>
      </c>
      <c r="AQ749" s="104" t="e">
        <f t="shared" si="348"/>
        <v>#N/A</v>
      </c>
      <c r="AR749" s="105" t="str">
        <f t="shared" si="340"/>
        <v/>
      </c>
      <c r="AS749" s="105" t="str">
        <f t="shared" si="341"/>
        <v/>
      </c>
      <c r="AT749" s="108" t="str">
        <f t="shared" si="342"/>
        <v/>
      </c>
      <c r="AU749" s="108" t="str">
        <f t="shared" si="343"/>
        <v/>
      </c>
      <c r="AV749" s="107" t="str">
        <f>IF(ISNUMBER(O749),IF(VLOOKUP($A749,Stand!C:J,8,FALSE)="Short",AT749,AU749),"")</f>
        <v/>
      </c>
      <c r="AW749" s="109" t="str">
        <f t="shared" si="349"/>
        <v/>
      </c>
      <c r="AX749" s="109" t="str">
        <f t="shared" si="350"/>
        <v/>
      </c>
      <c r="AY749" s="112" t="str">
        <f>IF(ISNUMBER(O749),IF(AND(VLOOKUP($D749,Merchantability!$B:$C,2,0)="Yes",$E749&gt;=VLOOKUP($D749,Merchantability!$B:$D,3,0),$E749&lt;=VLOOKUP($D749,Merchantability!$B:$E,4,0)),(AV749*O749)*(1-$H749/100),""),"")</f>
        <v/>
      </c>
      <c r="AZ749" s="116"/>
      <c r="BA749" s="116"/>
      <c r="BB749" s="116"/>
      <c r="BE749" s="62"/>
      <c r="BF749" s="63"/>
    </row>
    <row r="750" spans="1:58" ht="12.75" customHeight="1" x14ac:dyDescent="0.25">
      <c r="A750" s="313"/>
      <c r="B750" s="328"/>
      <c r="C750" s="329"/>
      <c r="D750" s="328"/>
      <c r="E750" s="330"/>
      <c r="F750" s="328"/>
      <c r="G750" s="329"/>
      <c r="H750" s="329"/>
      <c r="I750" s="328"/>
      <c r="J750" s="383"/>
      <c r="K750" s="329"/>
      <c r="L750" s="329"/>
      <c r="M750" s="76"/>
      <c r="N750" s="103" t="str">
        <f>IF(A750="","",VLOOKUP(A750,Stand!C:K,9,0))</f>
        <v/>
      </c>
      <c r="O750" s="104" t="str">
        <f t="shared" si="335"/>
        <v/>
      </c>
      <c r="P750" s="105" t="str">
        <f t="shared" si="336"/>
        <v/>
      </c>
      <c r="Q750" s="105" t="str">
        <f t="shared" si="351"/>
        <v/>
      </c>
      <c r="R750" s="103" t="str">
        <f t="shared" si="337"/>
        <v/>
      </c>
      <c r="S750" s="103" t="str">
        <f t="shared" si="338"/>
        <v/>
      </c>
      <c r="T750" s="106" t="str">
        <f t="shared" si="352"/>
        <v/>
      </c>
      <c r="U750" s="106" t="str">
        <f t="shared" si="353"/>
        <v/>
      </c>
      <c r="V750" s="106" t="str">
        <f t="shared" si="354"/>
        <v/>
      </c>
      <c r="W750" s="105" t="str">
        <f t="shared" si="339"/>
        <v/>
      </c>
      <c r="X750" s="104" t="str">
        <f t="shared" si="344"/>
        <v/>
      </c>
      <c r="Y750" s="104" t="str">
        <f t="array" ref="Y750">IFERROR(IF(ISNUMBER(O750),IF(COUNT(IF(A750=$A$2:$A$2427,IF(D750=$D$2:$D$2427,IF($X$2:$X$2427&gt;0,1))))&gt;0,SUM(IF(A750=$A$2:$A$2427,IF(D750=$D$2:$D$2427,$X$2:$X$2427)))/COUNT(IF(A750=$A$2:$A$2427,IF(D750=$D$2:$D$2427,IF(ISNUMBER($X$2:$X$2427),1)))),0),""),0)</f>
        <v/>
      </c>
      <c r="Z750" s="104" t="str">
        <f>IF(ISNUMBER(O750),IF(I750&gt;0,(10^(VLOOKUP(D750,'Species Codes'!B:C,2,0)+VLOOKUP(D750,'Species Codes'!B:D,3,0)*LOG(E750)+VLOOKUP(D750,'Species Codes'!B:E,4,0)*LOG(I750))),0),"")</f>
        <v/>
      </c>
      <c r="AA750" s="104" t="str">
        <f>IFERROR((VLOOKUP(D750,'Species Codes'!B:G,6,0)*Z750)/2000,"")</f>
        <v/>
      </c>
      <c r="AB750" s="104" t="e">
        <f>IF(Z750&gt;0,((IF(OR(D750="DF",D750="RA")=TRUE,EXP(VLOOKUP(D750,'Species Codes'!B:I,8,0)+VLOOKUP(D750,'Species Codes'!B:J,9,0)*(LN((E750*2.54)))),IF(OR(D750="PY",D750="RC",D750="WH",D750="NF")=TRUE,VLOOKUP(D750,'Species Codes'!B:I,8,0)+VLOOKUP(D750,'Species Codes'!B:J,9,0)*((E750*2.54)^2)*(I750*0.3048),IF(OR(D750="MD",D750="BM",D750="GA")=TRUE,((VLOOKUP(D750,'Species Codes'!B:I,8,0)*(((((E750*2.54)+VLOOKUP(D750,'Species Codes'!B:J,9,0))/VLOOKUP(D750,'Species Codes'!B:K,10,0))^VLOOKUP(D750,'Species Codes'!B:L,11,0))*((I750*0.3048)^VLOOKUP(D750,'Species Codes'!B:M,12,0))))-(VLOOKUP(D750,'Species Codes'!B:I,8,0)*((((E750*2.54)^VLOOKUP(D750,'Species Codes'!B:L,11,0))*((I750*0.3048)^VLOOKUP(D750,'Species Codes'!B:M,12,0))))))*35.3*VLOOKUP(D750,'Species Codes'!B:G,6,0)/2.2046,VLOOKUP(D750,'Species Codes'!B:I,8,0)+VLOOKUP(D750,'Species Codes'!B:J,9,0)*(((E750*2.54)/100)^2)*(I750*0.3048)))))*0.0011023),0)</f>
        <v>#N/A</v>
      </c>
      <c r="AC750" s="104" t="e">
        <f>IF(Z750&gt;0,((IF(OR(D750="RA",D750="OA",D750="OT",D750="UN",D750="PC"),EXP(VLOOKUP(D750,'Species Codes'!B:O,14,0)+VLOOKUP(D750,'Species Codes'!B:P,15,0)*LN((E750*2.54)))-EXP(VLOOKUP(D750,'Species Codes'!B:O,14,0)+VLOOKUP(D750,'Species Codes'!B:P,15,0)*LN((E750*2.54)))*(1/(VLOOKUP(D750,'Species Codes'!B:Q,16,0)+VLOOKUP(D750,'Species Codes'!B:R,17,0)*((E750*2.54)^VLOOKUP(D750,'Species Codes'!B:S,18,0)))),IF(OR(D750="BM",D750="MD",D750="OA"),EXP(VLOOKUP(D750,'Species Codes'!B:O,14,0)+VLOOKUP(D750,'Species Codes'!B:P,15,0)*LN((E750*2.54)))*(1-(1/(VLOOKUP(D750,'Species Codes'!B:Q,16,0)+VLOOKUP(D750,'Species Codes'!B:R,17,0)*((E750*2.54)^VLOOKUP(D750,'Species Codes'!B:S,18,0)))))/1000,IF(D750="DF",EXP(VLOOKUP(D750,'Species Codes'!B:O,14,0)+VLOOKUP(D750,'Species Codes'!B:P,15,0)*LN((E750*2.54))),VLOOKUP(D750,'Species Codes'!B:O,14,0)+VLOOKUP(D750,'Species Codes'!B:P,15,0)*(((E750*2.54)/100)^2)*(I750*0.3048)))))*0.0011023),0)</f>
        <v>#N/A</v>
      </c>
      <c r="AD750" s="104" t="e">
        <f t="shared" si="355"/>
        <v>#N/A</v>
      </c>
      <c r="AE750" s="104" t="e">
        <f t="shared" si="356"/>
        <v>#N/A</v>
      </c>
      <c r="AF750" s="104" t="e">
        <f>IF(AND(VLOOKUP($D750,Merchantability!$B:$C,2,0)="Yes",$E750&gt;=VLOOKUP($D750,Merchantability!$B:$D,3,0),$E750&lt;=VLOOKUP($D750,Merchantability!$B:$E,4,0)),AA750,0)</f>
        <v>#N/A</v>
      </c>
      <c r="AG750" s="104" t="e">
        <f>IF(AND(VLOOKUP($D750,Merchantability!$B:$C,2,0)="Yes",$E750&gt;=VLOOKUP($D750,Merchantability!$B:$D,3,0),$E750&lt;=VLOOKUP($D750,Merchantability!$B:$E,4,0)),AB750,0)</f>
        <v>#N/A</v>
      </c>
      <c r="AH750" s="104" t="e">
        <f>IF(AND(VLOOKUP($D750,Merchantability!$B:$C,2,0)="Yes",$E750&gt;=VLOOKUP($D750,Merchantability!$B:$D,3,0),$E750&lt;=VLOOKUP($D750,Merchantability!$B:$E,4,0)),AC750,0)</f>
        <v>#N/A</v>
      </c>
      <c r="AI750" s="104" t="e">
        <f t="shared" si="357"/>
        <v>#N/A</v>
      </c>
      <c r="AJ750" s="104" t="e">
        <f t="shared" si="358"/>
        <v>#VALUE!</v>
      </c>
      <c r="AK750" s="104" t="e">
        <f t="shared" si="359"/>
        <v>#N/A</v>
      </c>
      <c r="AL750" s="104" t="e">
        <f t="shared" si="360"/>
        <v>#N/A</v>
      </c>
      <c r="AM750" s="104" t="e">
        <f t="shared" si="361"/>
        <v>#N/A</v>
      </c>
      <c r="AN750" s="104" t="e">
        <f t="shared" si="345"/>
        <v>#N/A</v>
      </c>
      <c r="AO750" s="104" t="e">
        <f t="shared" si="346"/>
        <v>#N/A</v>
      </c>
      <c r="AP750" s="104" t="e">
        <f t="shared" si="347"/>
        <v>#N/A</v>
      </c>
      <c r="AQ750" s="104" t="e">
        <f t="shared" si="348"/>
        <v>#N/A</v>
      </c>
      <c r="AR750" s="105" t="str">
        <f t="shared" si="340"/>
        <v/>
      </c>
      <c r="AS750" s="105" t="str">
        <f t="shared" si="341"/>
        <v/>
      </c>
      <c r="AT750" s="108" t="str">
        <f t="shared" si="342"/>
        <v/>
      </c>
      <c r="AU750" s="108" t="str">
        <f t="shared" si="343"/>
        <v/>
      </c>
      <c r="AV750" s="107" t="str">
        <f>IF(ISNUMBER(O750),IF(VLOOKUP($A750,Stand!C:J,8,FALSE)="Short",AT750,AU750),"")</f>
        <v/>
      </c>
      <c r="AW750" s="109" t="str">
        <f t="shared" si="349"/>
        <v/>
      </c>
      <c r="AX750" s="109" t="str">
        <f t="shared" si="350"/>
        <v/>
      </c>
      <c r="AY750" s="112" t="str">
        <f>IF(ISNUMBER(O750),IF(AND(VLOOKUP($D750,Merchantability!$B:$C,2,0)="Yes",$E750&gt;=VLOOKUP($D750,Merchantability!$B:$D,3,0),$E750&lt;=VLOOKUP($D750,Merchantability!$B:$E,4,0)),(AV750*O750)*(1-$H750/100),""),"")</f>
        <v/>
      </c>
      <c r="AZ750" s="116"/>
      <c r="BA750" s="116"/>
      <c r="BB750" s="116"/>
      <c r="BE750" s="62"/>
      <c r="BF750" s="63"/>
    </row>
    <row r="751" spans="1:58" ht="12.75" customHeight="1" x14ac:dyDescent="0.25">
      <c r="A751" s="313"/>
      <c r="B751" s="328"/>
      <c r="C751" s="329"/>
      <c r="D751" s="328"/>
      <c r="E751" s="330"/>
      <c r="F751" s="328"/>
      <c r="G751" s="329"/>
      <c r="H751" s="329"/>
      <c r="I751" s="328"/>
      <c r="J751" s="383"/>
      <c r="K751" s="329"/>
      <c r="L751" s="329"/>
      <c r="M751" s="76"/>
      <c r="N751" s="103" t="str">
        <f>IF(A751="","",VLOOKUP(A751,Stand!C:K,9,0))</f>
        <v/>
      </c>
      <c r="O751" s="104" t="str">
        <f t="shared" si="335"/>
        <v/>
      </c>
      <c r="P751" s="105" t="str">
        <f t="shared" si="336"/>
        <v/>
      </c>
      <c r="Q751" s="105" t="str">
        <f t="shared" si="351"/>
        <v/>
      </c>
      <c r="R751" s="103" t="str">
        <f t="shared" si="337"/>
        <v/>
      </c>
      <c r="S751" s="103" t="str">
        <f t="shared" si="338"/>
        <v/>
      </c>
      <c r="T751" s="106" t="str">
        <f t="shared" si="352"/>
        <v/>
      </c>
      <c r="U751" s="106" t="str">
        <f t="shared" si="353"/>
        <v/>
      </c>
      <c r="V751" s="106" t="str">
        <f t="shared" si="354"/>
        <v/>
      </c>
      <c r="W751" s="105" t="str">
        <f t="shared" si="339"/>
        <v/>
      </c>
      <c r="X751" s="104" t="str">
        <f t="shared" si="344"/>
        <v/>
      </c>
      <c r="Y751" s="104" t="str">
        <f t="array" ref="Y751">IFERROR(IF(ISNUMBER(O751),IF(COUNT(IF(A751=$A$2:$A$2427,IF(D751=$D$2:$D$2427,IF($X$2:$X$2427&gt;0,1))))&gt;0,SUM(IF(A751=$A$2:$A$2427,IF(D751=$D$2:$D$2427,$X$2:$X$2427)))/COUNT(IF(A751=$A$2:$A$2427,IF(D751=$D$2:$D$2427,IF(ISNUMBER($X$2:$X$2427),1)))),0),""),0)</f>
        <v/>
      </c>
      <c r="Z751" s="104" t="str">
        <f>IF(ISNUMBER(O751),IF(I751&gt;0,(10^(VLOOKUP(D751,'Species Codes'!B:C,2,0)+VLOOKUP(D751,'Species Codes'!B:D,3,0)*LOG(E751)+VLOOKUP(D751,'Species Codes'!B:E,4,0)*LOG(I751))),0),"")</f>
        <v/>
      </c>
      <c r="AA751" s="104" t="str">
        <f>IFERROR((VLOOKUP(D751,'Species Codes'!B:G,6,0)*Z751)/2000,"")</f>
        <v/>
      </c>
      <c r="AB751" s="104" t="e">
        <f>IF(Z751&gt;0,((IF(OR(D751="DF",D751="RA")=TRUE,EXP(VLOOKUP(D751,'Species Codes'!B:I,8,0)+VLOOKUP(D751,'Species Codes'!B:J,9,0)*(LN((E751*2.54)))),IF(OR(D751="PY",D751="RC",D751="WH",D751="NF")=TRUE,VLOOKUP(D751,'Species Codes'!B:I,8,0)+VLOOKUP(D751,'Species Codes'!B:J,9,0)*((E751*2.54)^2)*(I751*0.3048),IF(OR(D751="MD",D751="BM",D751="GA")=TRUE,((VLOOKUP(D751,'Species Codes'!B:I,8,0)*(((((E751*2.54)+VLOOKUP(D751,'Species Codes'!B:J,9,0))/VLOOKUP(D751,'Species Codes'!B:K,10,0))^VLOOKUP(D751,'Species Codes'!B:L,11,0))*((I751*0.3048)^VLOOKUP(D751,'Species Codes'!B:M,12,0))))-(VLOOKUP(D751,'Species Codes'!B:I,8,0)*((((E751*2.54)^VLOOKUP(D751,'Species Codes'!B:L,11,0))*((I751*0.3048)^VLOOKUP(D751,'Species Codes'!B:M,12,0))))))*35.3*VLOOKUP(D751,'Species Codes'!B:G,6,0)/2.2046,VLOOKUP(D751,'Species Codes'!B:I,8,0)+VLOOKUP(D751,'Species Codes'!B:J,9,0)*(((E751*2.54)/100)^2)*(I751*0.3048)))))*0.0011023),0)</f>
        <v>#N/A</v>
      </c>
      <c r="AC751" s="104" t="e">
        <f>IF(Z751&gt;0,((IF(OR(D751="RA",D751="OA",D751="OT",D751="UN",D751="PC"),EXP(VLOOKUP(D751,'Species Codes'!B:O,14,0)+VLOOKUP(D751,'Species Codes'!B:P,15,0)*LN((E751*2.54)))-EXP(VLOOKUP(D751,'Species Codes'!B:O,14,0)+VLOOKUP(D751,'Species Codes'!B:P,15,0)*LN((E751*2.54)))*(1/(VLOOKUP(D751,'Species Codes'!B:Q,16,0)+VLOOKUP(D751,'Species Codes'!B:R,17,0)*((E751*2.54)^VLOOKUP(D751,'Species Codes'!B:S,18,0)))),IF(OR(D751="BM",D751="MD",D751="OA"),EXP(VLOOKUP(D751,'Species Codes'!B:O,14,0)+VLOOKUP(D751,'Species Codes'!B:P,15,0)*LN((E751*2.54)))*(1-(1/(VLOOKUP(D751,'Species Codes'!B:Q,16,0)+VLOOKUP(D751,'Species Codes'!B:R,17,0)*((E751*2.54)^VLOOKUP(D751,'Species Codes'!B:S,18,0)))))/1000,IF(D751="DF",EXP(VLOOKUP(D751,'Species Codes'!B:O,14,0)+VLOOKUP(D751,'Species Codes'!B:P,15,0)*LN((E751*2.54))),VLOOKUP(D751,'Species Codes'!B:O,14,0)+VLOOKUP(D751,'Species Codes'!B:P,15,0)*(((E751*2.54)/100)^2)*(I751*0.3048)))))*0.0011023),0)</f>
        <v>#N/A</v>
      </c>
      <c r="AD751" s="104" t="e">
        <f t="shared" si="355"/>
        <v>#N/A</v>
      </c>
      <c r="AE751" s="104" t="e">
        <f t="shared" si="356"/>
        <v>#N/A</v>
      </c>
      <c r="AF751" s="104" t="e">
        <f>IF(AND(VLOOKUP($D751,Merchantability!$B:$C,2,0)="Yes",$E751&gt;=VLOOKUP($D751,Merchantability!$B:$D,3,0),$E751&lt;=VLOOKUP($D751,Merchantability!$B:$E,4,0)),AA751,0)</f>
        <v>#N/A</v>
      </c>
      <c r="AG751" s="104" t="e">
        <f>IF(AND(VLOOKUP($D751,Merchantability!$B:$C,2,0)="Yes",$E751&gt;=VLOOKUP($D751,Merchantability!$B:$D,3,0),$E751&lt;=VLOOKUP($D751,Merchantability!$B:$E,4,0)),AB751,0)</f>
        <v>#N/A</v>
      </c>
      <c r="AH751" s="104" t="e">
        <f>IF(AND(VLOOKUP($D751,Merchantability!$B:$C,2,0)="Yes",$E751&gt;=VLOOKUP($D751,Merchantability!$B:$D,3,0),$E751&lt;=VLOOKUP($D751,Merchantability!$B:$E,4,0)),AC751,0)</f>
        <v>#N/A</v>
      </c>
      <c r="AI751" s="104" t="e">
        <f t="shared" si="357"/>
        <v>#N/A</v>
      </c>
      <c r="AJ751" s="104" t="e">
        <f t="shared" si="358"/>
        <v>#VALUE!</v>
      </c>
      <c r="AK751" s="104" t="e">
        <f t="shared" si="359"/>
        <v>#N/A</v>
      </c>
      <c r="AL751" s="104" t="e">
        <f t="shared" si="360"/>
        <v>#N/A</v>
      </c>
      <c r="AM751" s="104" t="e">
        <f t="shared" si="361"/>
        <v>#N/A</v>
      </c>
      <c r="AN751" s="104" t="e">
        <f t="shared" si="345"/>
        <v>#N/A</v>
      </c>
      <c r="AO751" s="104" t="e">
        <f t="shared" si="346"/>
        <v>#N/A</v>
      </c>
      <c r="AP751" s="104" t="e">
        <f t="shared" si="347"/>
        <v>#N/A</v>
      </c>
      <c r="AQ751" s="104" t="e">
        <f t="shared" si="348"/>
        <v>#N/A</v>
      </c>
      <c r="AR751" s="105" t="str">
        <f t="shared" si="340"/>
        <v/>
      </c>
      <c r="AS751" s="105" t="str">
        <f t="shared" si="341"/>
        <v/>
      </c>
      <c r="AT751" s="108" t="str">
        <f t="shared" si="342"/>
        <v/>
      </c>
      <c r="AU751" s="108" t="str">
        <f t="shared" si="343"/>
        <v/>
      </c>
      <c r="AV751" s="107" t="str">
        <f>IF(ISNUMBER(O751),IF(VLOOKUP($A751,Stand!C:J,8,FALSE)="Short",AT751,AU751),"")</f>
        <v/>
      </c>
      <c r="AW751" s="109" t="str">
        <f t="shared" si="349"/>
        <v/>
      </c>
      <c r="AX751" s="109" t="str">
        <f t="shared" si="350"/>
        <v/>
      </c>
      <c r="AY751" s="112" t="str">
        <f>IF(ISNUMBER(O751),IF(AND(VLOOKUP($D751,Merchantability!$B:$C,2,0)="Yes",$E751&gt;=VLOOKUP($D751,Merchantability!$B:$D,3,0),$E751&lt;=VLOOKUP($D751,Merchantability!$B:$E,4,0)),(AV751*O751)*(1-$H751/100),""),"")</f>
        <v/>
      </c>
      <c r="AZ751" s="116"/>
      <c r="BA751" s="116"/>
      <c r="BB751" s="116"/>
      <c r="BE751" s="62"/>
      <c r="BF751" s="63"/>
    </row>
    <row r="752" spans="1:58" ht="12.75" customHeight="1" x14ac:dyDescent="0.25">
      <c r="A752" s="313"/>
      <c r="B752" s="328"/>
      <c r="C752" s="329"/>
      <c r="D752" s="328"/>
      <c r="E752" s="330"/>
      <c r="F752" s="328"/>
      <c r="G752" s="329"/>
      <c r="H752" s="329"/>
      <c r="I752" s="328"/>
      <c r="J752" s="383"/>
      <c r="K752" s="329"/>
      <c r="L752" s="329"/>
      <c r="M752" s="76"/>
      <c r="N752" s="103" t="str">
        <f>IF(A752="","",VLOOKUP(A752,Stand!C:K,9,0))</f>
        <v/>
      </c>
      <c r="O752" s="104" t="str">
        <f t="shared" si="335"/>
        <v/>
      </c>
      <c r="P752" s="105" t="str">
        <f t="shared" si="336"/>
        <v/>
      </c>
      <c r="Q752" s="105" t="str">
        <f t="shared" si="351"/>
        <v/>
      </c>
      <c r="R752" s="103" t="str">
        <f t="shared" si="337"/>
        <v/>
      </c>
      <c r="S752" s="103" t="str">
        <f t="shared" si="338"/>
        <v/>
      </c>
      <c r="T752" s="106" t="str">
        <f t="shared" si="352"/>
        <v/>
      </c>
      <c r="U752" s="106" t="str">
        <f t="shared" si="353"/>
        <v/>
      </c>
      <c r="V752" s="106" t="str">
        <f t="shared" si="354"/>
        <v/>
      </c>
      <c r="W752" s="105" t="str">
        <f t="shared" si="339"/>
        <v/>
      </c>
      <c r="X752" s="104" t="str">
        <f t="shared" si="344"/>
        <v/>
      </c>
      <c r="Y752" s="104" t="str">
        <f t="array" ref="Y752">IFERROR(IF(ISNUMBER(O752),IF(COUNT(IF(A752=$A$2:$A$2427,IF(D752=$D$2:$D$2427,IF($X$2:$X$2427&gt;0,1))))&gt;0,SUM(IF(A752=$A$2:$A$2427,IF(D752=$D$2:$D$2427,$X$2:$X$2427)))/COUNT(IF(A752=$A$2:$A$2427,IF(D752=$D$2:$D$2427,IF(ISNUMBER($X$2:$X$2427),1)))),0),""),0)</f>
        <v/>
      </c>
      <c r="Z752" s="104" t="str">
        <f>IF(ISNUMBER(O752),IF(I752&gt;0,(10^(VLOOKUP(D752,'Species Codes'!B:C,2,0)+VLOOKUP(D752,'Species Codes'!B:D,3,0)*LOG(E752)+VLOOKUP(D752,'Species Codes'!B:E,4,0)*LOG(I752))),0),"")</f>
        <v/>
      </c>
      <c r="AA752" s="104" t="str">
        <f>IFERROR((VLOOKUP(D752,'Species Codes'!B:G,6,0)*Z752)/2000,"")</f>
        <v/>
      </c>
      <c r="AB752" s="104" t="e">
        <f>IF(Z752&gt;0,((IF(OR(D752="DF",D752="RA")=TRUE,EXP(VLOOKUP(D752,'Species Codes'!B:I,8,0)+VLOOKUP(D752,'Species Codes'!B:J,9,0)*(LN((E752*2.54)))),IF(OR(D752="PY",D752="RC",D752="WH",D752="NF")=TRUE,VLOOKUP(D752,'Species Codes'!B:I,8,0)+VLOOKUP(D752,'Species Codes'!B:J,9,0)*((E752*2.54)^2)*(I752*0.3048),IF(OR(D752="MD",D752="BM",D752="GA")=TRUE,((VLOOKUP(D752,'Species Codes'!B:I,8,0)*(((((E752*2.54)+VLOOKUP(D752,'Species Codes'!B:J,9,0))/VLOOKUP(D752,'Species Codes'!B:K,10,0))^VLOOKUP(D752,'Species Codes'!B:L,11,0))*((I752*0.3048)^VLOOKUP(D752,'Species Codes'!B:M,12,0))))-(VLOOKUP(D752,'Species Codes'!B:I,8,0)*((((E752*2.54)^VLOOKUP(D752,'Species Codes'!B:L,11,0))*((I752*0.3048)^VLOOKUP(D752,'Species Codes'!B:M,12,0))))))*35.3*VLOOKUP(D752,'Species Codes'!B:G,6,0)/2.2046,VLOOKUP(D752,'Species Codes'!B:I,8,0)+VLOOKUP(D752,'Species Codes'!B:J,9,0)*(((E752*2.54)/100)^2)*(I752*0.3048)))))*0.0011023),0)</f>
        <v>#N/A</v>
      </c>
      <c r="AC752" s="104" t="e">
        <f>IF(Z752&gt;0,((IF(OR(D752="RA",D752="OA",D752="OT",D752="UN",D752="PC"),EXP(VLOOKUP(D752,'Species Codes'!B:O,14,0)+VLOOKUP(D752,'Species Codes'!B:P,15,0)*LN((E752*2.54)))-EXP(VLOOKUP(D752,'Species Codes'!B:O,14,0)+VLOOKUP(D752,'Species Codes'!B:P,15,0)*LN((E752*2.54)))*(1/(VLOOKUP(D752,'Species Codes'!B:Q,16,0)+VLOOKUP(D752,'Species Codes'!B:R,17,0)*((E752*2.54)^VLOOKUP(D752,'Species Codes'!B:S,18,0)))),IF(OR(D752="BM",D752="MD",D752="OA"),EXP(VLOOKUP(D752,'Species Codes'!B:O,14,0)+VLOOKUP(D752,'Species Codes'!B:P,15,0)*LN((E752*2.54)))*(1-(1/(VLOOKUP(D752,'Species Codes'!B:Q,16,0)+VLOOKUP(D752,'Species Codes'!B:R,17,0)*((E752*2.54)^VLOOKUP(D752,'Species Codes'!B:S,18,0)))))/1000,IF(D752="DF",EXP(VLOOKUP(D752,'Species Codes'!B:O,14,0)+VLOOKUP(D752,'Species Codes'!B:P,15,0)*LN((E752*2.54))),VLOOKUP(D752,'Species Codes'!B:O,14,0)+VLOOKUP(D752,'Species Codes'!B:P,15,0)*(((E752*2.54)/100)^2)*(I752*0.3048)))))*0.0011023),0)</f>
        <v>#N/A</v>
      </c>
      <c r="AD752" s="104" t="e">
        <f t="shared" si="355"/>
        <v>#N/A</v>
      </c>
      <c r="AE752" s="104" t="e">
        <f t="shared" si="356"/>
        <v>#N/A</v>
      </c>
      <c r="AF752" s="104" t="e">
        <f>IF(AND(VLOOKUP($D752,Merchantability!$B:$C,2,0)="Yes",$E752&gt;=VLOOKUP($D752,Merchantability!$B:$D,3,0),$E752&lt;=VLOOKUP($D752,Merchantability!$B:$E,4,0)),AA752,0)</f>
        <v>#N/A</v>
      </c>
      <c r="AG752" s="104" t="e">
        <f>IF(AND(VLOOKUP($D752,Merchantability!$B:$C,2,0)="Yes",$E752&gt;=VLOOKUP($D752,Merchantability!$B:$D,3,0),$E752&lt;=VLOOKUP($D752,Merchantability!$B:$E,4,0)),AB752,0)</f>
        <v>#N/A</v>
      </c>
      <c r="AH752" s="104" t="e">
        <f>IF(AND(VLOOKUP($D752,Merchantability!$B:$C,2,0)="Yes",$E752&gt;=VLOOKUP($D752,Merchantability!$B:$D,3,0),$E752&lt;=VLOOKUP($D752,Merchantability!$B:$E,4,0)),AC752,0)</f>
        <v>#N/A</v>
      </c>
      <c r="AI752" s="104" t="e">
        <f t="shared" si="357"/>
        <v>#N/A</v>
      </c>
      <c r="AJ752" s="104" t="e">
        <f t="shared" si="358"/>
        <v>#VALUE!</v>
      </c>
      <c r="AK752" s="104" t="e">
        <f t="shared" si="359"/>
        <v>#N/A</v>
      </c>
      <c r="AL752" s="104" t="e">
        <f t="shared" si="360"/>
        <v>#N/A</v>
      </c>
      <c r="AM752" s="104" t="e">
        <f t="shared" si="361"/>
        <v>#N/A</v>
      </c>
      <c r="AN752" s="104" t="e">
        <f t="shared" si="345"/>
        <v>#N/A</v>
      </c>
      <c r="AO752" s="104" t="e">
        <f t="shared" si="346"/>
        <v>#N/A</v>
      </c>
      <c r="AP752" s="104" t="e">
        <f t="shared" si="347"/>
        <v>#N/A</v>
      </c>
      <c r="AQ752" s="104" t="e">
        <f t="shared" si="348"/>
        <v>#N/A</v>
      </c>
      <c r="AR752" s="105" t="str">
        <f t="shared" si="340"/>
        <v/>
      </c>
      <c r="AS752" s="105" t="str">
        <f t="shared" si="341"/>
        <v/>
      </c>
      <c r="AT752" s="108" t="str">
        <f t="shared" si="342"/>
        <v/>
      </c>
      <c r="AU752" s="108" t="str">
        <f t="shared" si="343"/>
        <v/>
      </c>
      <c r="AV752" s="107" t="str">
        <f>IF(ISNUMBER(O752),IF(VLOOKUP($A752,Stand!C:J,8,FALSE)="Short",AT752,AU752),"")</f>
        <v/>
      </c>
      <c r="AW752" s="109" t="str">
        <f t="shared" si="349"/>
        <v/>
      </c>
      <c r="AX752" s="109" t="str">
        <f t="shared" si="350"/>
        <v/>
      </c>
      <c r="AY752" s="112" t="str">
        <f>IF(ISNUMBER(O752),IF(AND(VLOOKUP($D752,Merchantability!$B:$C,2,0)="Yes",$E752&gt;=VLOOKUP($D752,Merchantability!$B:$D,3,0),$E752&lt;=VLOOKUP($D752,Merchantability!$B:$E,4,0)),(AV752*O752)*(1-$H752/100),""),"")</f>
        <v/>
      </c>
      <c r="AZ752" s="116"/>
      <c r="BA752" s="116"/>
      <c r="BB752" s="116"/>
      <c r="BE752" s="62"/>
      <c r="BF752" s="63"/>
    </row>
    <row r="753" spans="1:58" ht="12.75" customHeight="1" x14ac:dyDescent="0.25">
      <c r="A753" s="313"/>
      <c r="B753" s="328"/>
      <c r="C753" s="329"/>
      <c r="D753" s="328"/>
      <c r="E753" s="330"/>
      <c r="F753" s="328"/>
      <c r="G753" s="329"/>
      <c r="H753" s="329"/>
      <c r="I753" s="328"/>
      <c r="J753" s="383"/>
      <c r="K753" s="329"/>
      <c r="L753" s="329"/>
      <c r="M753" s="76"/>
      <c r="N753" s="103" t="str">
        <f>IF(A753="","",VLOOKUP(A753,Stand!C:K,9,0))</f>
        <v/>
      </c>
      <c r="O753" s="104" t="str">
        <f t="shared" si="335"/>
        <v/>
      </c>
      <c r="P753" s="105" t="str">
        <f t="shared" si="336"/>
        <v/>
      </c>
      <c r="Q753" s="105" t="str">
        <f t="shared" si="351"/>
        <v/>
      </c>
      <c r="R753" s="103" t="str">
        <f t="shared" si="337"/>
        <v/>
      </c>
      <c r="S753" s="103" t="str">
        <f t="shared" si="338"/>
        <v/>
      </c>
      <c r="T753" s="106" t="str">
        <f t="shared" si="352"/>
        <v/>
      </c>
      <c r="U753" s="106" t="str">
        <f t="shared" si="353"/>
        <v/>
      </c>
      <c r="V753" s="106" t="str">
        <f t="shared" si="354"/>
        <v/>
      </c>
      <c r="W753" s="105" t="str">
        <f t="shared" si="339"/>
        <v/>
      </c>
      <c r="X753" s="104" t="str">
        <f t="shared" si="344"/>
        <v/>
      </c>
      <c r="Y753" s="104" t="str">
        <f t="array" ref="Y753">IFERROR(IF(ISNUMBER(O753),IF(COUNT(IF(A753=$A$2:$A$2427,IF(D753=$D$2:$D$2427,IF($X$2:$X$2427&gt;0,1))))&gt;0,SUM(IF(A753=$A$2:$A$2427,IF(D753=$D$2:$D$2427,$X$2:$X$2427)))/COUNT(IF(A753=$A$2:$A$2427,IF(D753=$D$2:$D$2427,IF(ISNUMBER($X$2:$X$2427),1)))),0),""),0)</f>
        <v/>
      </c>
      <c r="Z753" s="104" t="str">
        <f>IF(ISNUMBER(O753),IF(I753&gt;0,(10^(VLOOKUP(D753,'Species Codes'!B:C,2,0)+VLOOKUP(D753,'Species Codes'!B:D,3,0)*LOG(E753)+VLOOKUP(D753,'Species Codes'!B:E,4,0)*LOG(I753))),0),"")</f>
        <v/>
      </c>
      <c r="AA753" s="104" t="str">
        <f>IFERROR((VLOOKUP(D753,'Species Codes'!B:G,6,0)*Z753)/2000,"")</f>
        <v/>
      </c>
      <c r="AB753" s="104" t="e">
        <f>IF(Z753&gt;0,((IF(OR(D753="DF",D753="RA")=TRUE,EXP(VLOOKUP(D753,'Species Codes'!B:I,8,0)+VLOOKUP(D753,'Species Codes'!B:J,9,0)*(LN((E753*2.54)))),IF(OR(D753="PY",D753="RC",D753="WH",D753="NF")=TRUE,VLOOKUP(D753,'Species Codes'!B:I,8,0)+VLOOKUP(D753,'Species Codes'!B:J,9,0)*((E753*2.54)^2)*(I753*0.3048),IF(OR(D753="MD",D753="BM",D753="GA")=TRUE,((VLOOKUP(D753,'Species Codes'!B:I,8,0)*(((((E753*2.54)+VLOOKUP(D753,'Species Codes'!B:J,9,0))/VLOOKUP(D753,'Species Codes'!B:K,10,0))^VLOOKUP(D753,'Species Codes'!B:L,11,0))*((I753*0.3048)^VLOOKUP(D753,'Species Codes'!B:M,12,0))))-(VLOOKUP(D753,'Species Codes'!B:I,8,0)*((((E753*2.54)^VLOOKUP(D753,'Species Codes'!B:L,11,0))*((I753*0.3048)^VLOOKUP(D753,'Species Codes'!B:M,12,0))))))*35.3*VLOOKUP(D753,'Species Codes'!B:G,6,0)/2.2046,VLOOKUP(D753,'Species Codes'!B:I,8,0)+VLOOKUP(D753,'Species Codes'!B:J,9,0)*(((E753*2.54)/100)^2)*(I753*0.3048)))))*0.0011023),0)</f>
        <v>#N/A</v>
      </c>
      <c r="AC753" s="104" t="e">
        <f>IF(Z753&gt;0,((IF(OR(D753="RA",D753="OA",D753="OT",D753="UN",D753="PC"),EXP(VLOOKUP(D753,'Species Codes'!B:O,14,0)+VLOOKUP(D753,'Species Codes'!B:P,15,0)*LN((E753*2.54)))-EXP(VLOOKUP(D753,'Species Codes'!B:O,14,0)+VLOOKUP(D753,'Species Codes'!B:P,15,0)*LN((E753*2.54)))*(1/(VLOOKUP(D753,'Species Codes'!B:Q,16,0)+VLOOKUP(D753,'Species Codes'!B:R,17,0)*((E753*2.54)^VLOOKUP(D753,'Species Codes'!B:S,18,0)))),IF(OR(D753="BM",D753="MD",D753="OA"),EXP(VLOOKUP(D753,'Species Codes'!B:O,14,0)+VLOOKUP(D753,'Species Codes'!B:P,15,0)*LN((E753*2.54)))*(1-(1/(VLOOKUP(D753,'Species Codes'!B:Q,16,0)+VLOOKUP(D753,'Species Codes'!B:R,17,0)*((E753*2.54)^VLOOKUP(D753,'Species Codes'!B:S,18,0)))))/1000,IF(D753="DF",EXP(VLOOKUP(D753,'Species Codes'!B:O,14,0)+VLOOKUP(D753,'Species Codes'!B:P,15,0)*LN((E753*2.54))),VLOOKUP(D753,'Species Codes'!B:O,14,0)+VLOOKUP(D753,'Species Codes'!B:P,15,0)*(((E753*2.54)/100)^2)*(I753*0.3048)))))*0.0011023),0)</f>
        <v>#N/A</v>
      </c>
      <c r="AD753" s="104" t="e">
        <f t="shared" si="355"/>
        <v>#N/A</v>
      </c>
      <c r="AE753" s="104" t="e">
        <f t="shared" si="356"/>
        <v>#N/A</v>
      </c>
      <c r="AF753" s="104" t="e">
        <f>IF(AND(VLOOKUP($D753,Merchantability!$B:$C,2,0)="Yes",$E753&gt;=VLOOKUP($D753,Merchantability!$B:$D,3,0),$E753&lt;=VLOOKUP($D753,Merchantability!$B:$E,4,0)),AA753,0)</f>
        <v>#N/A</v>
      </c>
      <c r="AG753" s="104" t="e">
        <f>IF(AND(VLOOKUP($D753,Merchantability!$B:$C,2,0)="Yes",$E753&gt;=VLOOKUP($D753,Merchantability!$B:$D,3,0),$E753&lt;=VLOOKUP($D753,Merchantability!$B:$E,4,0)),AB753,0)</f>
        <v>#N/A</v>
      </c>
      <c r="AH753" s="104" t="e">
        <f>IF(AND(VLOOKUP($D753,Merchantability!$B:$C,2,0)="Yes",$E753&gt;=VLOOKUP($D753,Merchantability!$B:$D,3,0),$E753&lt;=VLOOKUP($D753,Merchantability!$B:$E,4,0)),AC753,0)</f>
        <v>#N/A</v>
      </c>
      <c r="AI753" s="104" t="e">
        <f t="shared" si="357"/>
        <v>#N/A</v>
      </c>
      <c r="AJ753" s="104" t="e">
        <f t="shared" si="358"/>
        <v>#VALUE!</v>
      </c>
      <c r="AK753" s="104" t="e">
        <f t="shared" si="359"/>
        <v>#N/A</v>
      </c>
      <c r="AL753" s="104" t="e">
        <f t="shared" si="360"/>
        <v>#N/A</v>
      </c>
      <c r="AM753" s="104" t="e">
        <f t="shared" si="361"/>
        <v>#N/A</v>
      </c>
      <c r="AN753" s="104" t="e">
        <f t="shared" si="345"/>
        <v>#N/A</v>
      </c>
      <c r="AO753" s="104" t="e">
        <f t="shared" si="346"/>
        <v>#N/A</v>
      </c>
      <c r="AP753" s="104" t="e">
        <f t="shared" si="347"/>
        <v>#N/A</v>
      </c>
      <c r="AQ753" s="104" t="e">
        <f t="shared" si="348"/>
        <v>#N/A</v>
      </c>
      <c r="AR753" s="105" t="str">
        <f t="shared" si="340"/>
        <v/>
      </c>
      <c r="AS753" s="105" t="str">
        <f t="shared" si="341"/>
        <v/>
      </c>
      <c r="AT753" s="108" t="str">
        <f t="shared" si="342"/>
        <v/>
      </c>
      <c r="AU753" s="108" t="str">
        <f t="shared" si="343"/>
        <v/>
      </c>
      <c r="AV753" s="107" t="str">
        <f>IF(ISNUMBER(O753),IF(VLOOKUP($A753,Stand!C:J,8,FALSE)="Short",AT753,AU753),"")</f>
        <v/>
      </c>
      <c r="AW753" s="109" t="str">
        <f t="shared" si="349"/>
        <v/>
      </c>
      <c r="AX753" s="109" t="str">
        <f t="shared" si="350"/>
        <v/>
      </c>
      <c r="AY753" s="112" t="str">
        <f>IF(ISNUMBER(O753),IF(AND(VLOOKUP($D753,Merchantability!$B:$C,2,0)="Yes",$E753&gt;=VLOOKUP($D753,Merchantability!$B:$D,3,0),$E753&lt;=VLOOKUP($D753,Merchantability!$B:$E,4,0)),(AV753*O753)*(1-$H753/100),""),"")</f>
        <v/>
      </c>
      <c r="AZ753" s="116"/>
      <c r="BA753" s="116"/>
      <c r="BB753" s="116"/>
      <c r="BE753" s="62"/>
      <c r="BF753" s="63"/>
    </row>
    <row r="754" spans="1:58" ht="12.75" customHeight="1" x14ac:dyDescent="0.25">
      <c r="A754" s="313"/>
      <c r="B754" s="328"/>
      <c r="C754" s="329"/>
      <c r="D754" s="328"/>
      <c r="E754" s="330"/>
      <c r="F754" s="328"/>
      <c r="G754" s="329"/>
      <c r="H754" s="329"/>
      <c r="I754" s="328"/>
      <c r="J754" s="383"/>
      <c r="K754" s="329"/>
      <c r="L754" s="329"/>
      <c r="M754" s="76"/>
      <c r="N754" s="103" t="str">
        <f>IF(A754="","",VLOOKUP(A754,Stand!C:K,9,0))</f>
        <v/>
      </c>
      <c r="O754" s="104" t="str">
        <f t="shared" si="335"/>
        <v/>
      </c>
      <c r="P754" s="105" t="str">
        <f t="shared" si="336"/>
        <v/>
      </c>
      <c r="Q754" s="105" t="str">
        <f t="shared" si="351"/>
        <v/>
      </c>
      <c r="R754" s="103" t="str">
        <f t="shared" si="337"/>
        <v/>
      </c>
      <c r="S754" s="103" t="str">
        <f t="shared" si="338"/>
        <v/>
      </c>
      <c r="T754" s="106" t="str">
        <f t="shared" si="352"/>
        <v/>
      </c>
      <c r="U754" s="106" t="str">
        <f t="shared" si="353"/>
        <v/>
      </c>
      <c r="V754" s="106" t="str">
        <f t="shared" si="354"/>
        <v/>
      </c>
      <c r="W754" s="105" t="str">
        <f t="shared" si="339"/>
        <v/>
      </c>
      <c r="X754" s="104" t="str">
        <f t="shared" si="344"/>
        <v/>
      </c>
      <c r="Y754" s="104" t="str">
        <f t="array" ref="Y754">IFERROR(IF(ISNUMBER(O754),IF(COUNT(IF(A754=$A$2:$A$2427,IF(D754=$D$2:$D$2427,IF($X$2:$X$2427&gt;0,1))))&gt;0,SUM(IF(A754=$A$2:$A$2427,IF(D754=$D$2:$D$2427,$X$2:$X$2427)))/COUNT(IF(A754=$A$2:$A$2427,IF(D754=$D$2:$D$2427,IF(ISNUMBER($X$2:$X$2427),1)))),0),""),0)</f>
        <v/>
      </c>
      <c r="Z754" s="104" t="str">
        <f>IF(ISNUMBER(O754),IF(I754&gt;0,(10^(VLOOKUP(D754,'Species Codes'!B:C,2,0)+VLOOKUP(D754,'Species Codes'!B:D,3,0)*LOG(E754)+VLOOKUP(D754,'Species Codes'!B:E,4,0)*LOG(I754))),0),"")</f>
        <v/>
      </c>
      <c r="AA754" s="104" t="str">
        <f>IFERROR((VLOOKUP(D754,'Species Codes'!B:G,6,0)*Z754)/2000,"")</f>
        <v/>
      </c>
      <c r="AB754" s="104" t="e">
        <f>IF(Z754&gt;0,((IF(OR(D754="DF",D754="RA")=TRUE,EXP(VLOOKUP(D754,'Species Codes'!B:I,8,0)+VLOOKUP(D754,'Species Codes'!B:J,9,0)*(LN((E754*2.54)))),IF(OR(D754="PY",D754="RC",D754="WH",D754="NF")=TRUE,VLOOKUP(D754,'Species Codes'!B:I,8,0)+VLOOKUP(D754,'Species Codes'!B:J,9,0)*((E754*2.54)^2)*(I754*0.3048),IF(OR(D754="MD",D754="BM",D754="GA")=TRUE,((VLOOKUP(D754,'Species Codes'!B:I,8,0)*(((((E754*2.54)+VLOOKUP(D754,'Species Codes'!B:J,9,0))/VLOOKUP(D754,'Species Codes'!B:K,10,0))^VLOOKUP(D754,'Species Codes'!B:L,11,0))*((I754*0.3048)^VLOOKUP(D754,'Species Codes'!B:M,12,0))))-(VLOOKUP(D754,'Species Codes'!B:I,8,0)*((((E754*2.54)^VLOOKUP(D754,'Species Codes'!B:L,11,0))*((I754*0.3048)^VLOOKUP(D754,'Species Codes'!B:M,12,0))))))*35.3*VLOOKUP(D754,'Species Codes'!B:G,6,0)/2.2046,VLOOKUP(D754,'Species Codes'!B:I,8,0)+VLOOKUP(D754,'Species Codes'!B:J,9,0)*(((E754*2.54)/100)^2)*(I754*0.3048)))))*0.0011023),0)</f>
        <v>#N/A</v>
      </c>
      <c r="AC754" s="104" t="e">
        <f>IF(Z754&gt;0,((IF(OR(D754="RA",D754="OA",D754="OT",D754="UN",D754="PC"),EXP(VLOOKUP(D754,'Species Codes'!B:O,14,0)+VLOOKUP(D754,'Species Codes'!B:P,15,0)*LN((E754*2.54)))-EXP(VLOOKUP(D754,'Species Codes'!B:O,14,0)+VLOOKUP(D754,'Species Codes'!B:P,15,0)*LN((E754*2.54)))*(1/(VLOOKUP(D754,'Species Codes'!B:Q,16,0)+VLOOKUP(D754,'Species Codes'!B:R,17,0)*((E754*2.54)^VLOOKUP(D754,'Species Codes'!B:S,18,0)))),IF(OR(D754="BM",D754="MD",D754="OA"),EXP(VLOOKUP(D754,'Species Codes'!B:O,14,0)+VLOOKUP(D754,'Species Codes'!B:P,15,0)*LN((E754*2.54)))*(1-(1/(VLOOKUP(D754,'Species Codes'!B:Q,16,0)+VLOOKUP(D754,'Species Codes'!B:R,17,0)*((E754*2.54)^VLOOKUP(D754,'Species Codes'!B:S,18,0)))))/1000,IF(D754="DF",EXP(VLOOKUP(D754,'Species Codes'!B:O,14,0)+VLOOKUP(D754,'Species Codes'!B:P,15,0)*LN((E754*2.54))),VLOOKUP(D754,'Species Codes'!B:O,14,0)+VLOOKUP(D754,'Species Codes'!B:P,15,0)*(((E754*2.54)/100)^2)*(I754*0.3048)))))*0.0011023),0)</f>
        <v>#N/A</v>
      </c>
      <c r="AD754" s="104" t="e">
        <f t="shared" si="355"/>
        <v>#N/A</v>
      </c>
      <c r="AE754" s="104" t="e">
        <f t="shared" si="356"/>
        <v>#N/A</v>
      </c>
      <c r="AF754" s="104" t="e">
        <f>IF(AND(VLOOKUP($D754,Merchantability!$B:$C,2,0)="Yes",$E754&gt;=VLOOKUP($D754,Merchantability!$B:$D,3,0),$E754&lt;=VLOOKUP($D754,Merchantability!$B:$E,4,0)),AA754,0)</f>
        <v>#N/A</v>
      </c>
      <c r="AG754" s="104" t="e">
        <f>IF(AND(VLOOKUP($D754,Merchantability!$B:$C,2,0)="Yes",$E754&gt;=VLOOKUP($D754,Merchantability!$B:$D,3,0),$E754&lt;=VLOOKUP($D754,Merchantability!$B:$E,4,0)),AB754,0)</f>
        <v>#N/A</v>
      </c>
      <c r="AH754" s="104" t="e">
        <f>IF(AND(VLOOKUP($D754,Merchantability!$B:$C,2,0)="Yes",$E754&gt;=VLOOKUP($D754,Merchantability!$B:$D,3,0),$E754&lt;=VLOOKUP($D754,Merchantability!$B:$E,4,0)),AC754,0)</f>
        <v>#N/A</v>
      </c>
      <c r="AI754" s="104" t="e">
        <f t="shared" si="357"/>
        <v>#N/A</v>
      </c>
      <c r="AJ754" s="104" t="e">
        <f t="shared" si="358"/>
        <v>#VALUE!</v>
      </c>
      <c r="AK754" s="104" t="e">
        <f t="shared" si="359"/>
        <v>#N/A</v>
      </c>
      <c r="AL754" s="104" t="e">
        <f t="shared" si="360"/>
        <v>#N/A</v>
      </c>
      <c r="AM754" s="104" t="e">
        <f t="shared" si="361"/>
        <v>#N/A</v>
      </c>
      <c r="AN754" s="104" t="e">
        <f t="shared" si="345"/>
        <v>#N/A</v>
      </c>
      <c r="AO754" s="104" t="e">
        <f t="shared" si="346"/>
        <v>#N/A</v>
      </c>
      <c r="AP754" s="104" t="e">
        <f t="shared" si="347"/>
        <v>#N/A</v>
      </c>
      <c r="AQ754" s="104" t="e">
        <f t="shared" si="348"/>
        <v>#N/A</v>
      </c>
      <c r="AR754" s="105" t="str">
        <f t="shared" si="340"/>
        <v/>
      </c>
      <c r="AS754" s="105" t="str">
        <f t="shared" si="341"/>
        <v/>
      </c>
      <c r="AT754" s="108" t="str">
        <f t="shared" si="342"/>
        <v/>
      </c>
      <c r="AU754" s="108" t="str">
        <f t="shared" si="343"/>
        <v/>
      </c>
      <c r="AV754" s="107" t="str">
        <f>IF(ISNUMBER(O754),IF(VLOOKUP($A754,Stand!C:J,8,FALSE)="Short",AT754,AU754),"")</f>
        <v/>
      </c>
      <c r="AW754" s="109" t="str">
        <f t="shared" si="349"/>
        <v/>
      </c>
      <c r="AX754" s="109" t="str">
        <f t="shared" si="350"/>
        <v/>
      </c>
      <c r="AY754" s="112" t="str">
        <f>IF(ISNUMBER(O754),IF(AND(VLOOKUP($D754,Merchantability!$B:$C,2,0)="Yes",$E754&gt;=VLOOKUP($D754,Merchantability!$B:$D,3,0),$E754&lt;=VLOOKUP($D754,Merchantability!$B:$E,4,0)),(AV754*O754)*(1-$H754/100),""),"")</f>
        <v/>
      </c>
      <c r="AZ754" s="116"/>
      <c r="BA754" s="116"/>
      <c r="BB754" s="116"/>
      <c r="BE754" s="62"/>
      <c r="BF754" s="63"/>
    </row>
    <row r="755" spans="1:58" ht="12.75" customHeight="1" x14ac:dyDescent="0.25">
      <c r="A755" s="313"/>
      <c r="B755" s="328"/>
      <c r="C755" s="329"/>
      <c r="D755" s="328"/>
      <c r="E755" s="330"/>
      <c r="F755" s="328"/>
      <c r="G755" s="329"/>
      <c r="H755" s="329"/>
      <c r="I755" s="328"/>
      <c r="J755" s="383"/>
      <c r="K755" s="329"/>
      <c r="L755" s="329"/>
      <c r="M755" s="76"/>
      <c r="N755" s="103" t="str">
        <f>IF(A755="","",VLOOKUP(A755,Stand!C:K,9,0))</f>
        <v/>
      </c>
      <c r="O755" s="104" t="str">
        <f t="shared" si="335"/>
        <v/>
      </c>
      <c r="P755" s="105" t="str">
        <f t="shared" si="336"/>
        <v/>
      </c>
      <c r="Q755" s="105" t="str">
        <f t="shared" si="351"/>
        <v/>
      </c>
      <c r="R755" s="103" t="str">
        <f t="shared" si="337"/>
        <v/>
      </c>
      <c r="S755" s="103" t="str">
        <f t="shared" si="338"/>
        <v/>
      </c>
      <c r="T755" s="106" t="str">
        <f t="shared" si="352"/>
        <v/>
      </c>
      <c r="U755" s="106" t="str">
        <f t="shared" si="353"/>
        <v/>
      </c>
      <c r="V755" s="106" t="str">
        <f t="shared" si="354"/>
        <v/>
      </c>
      <c r="W755" s="105" t="str">
        <f t="shared" si="339"/>
        <v/>
      </c>
      <c r="X755" s="104" t="str">
        <f t="shared" si="344"/>
        <v/>
      </c>
      <c r="Y755" s="104" t="str">
        <f t="array" ref="Y755">IFERROR(IF(ISNUMBER(O755),IF(COUNT(IF(A755=$A$2:$A$2427,IF(D755=$D$2:$D$2427,IF($X$2:$X$2427&gt;0,1))))&gt;0,SUM(IF(A755=$A$2:$A$2427,IF(D755=$D$2:$D$2427,$X$2:$X$2427)))/COUNT(IF(A755=$A$2:$A$2427,IF(D755=$D$2:$D$2427,IF(ISNUMBER($X$2:$X$2427),1)))),0),""),0)</f>
        <v/>
      </c>
      <c r="Z755" s="104" t="str">
        <f>IF(ISNUMBER(O755),IF(I755&gt;0,(10^(VLOOKUP(D755,'Species Codes'!B:C,2,0)+VLOOKUP(D755,'Species Codes'!B:D,3,0)*LOG(E755)+VLOOKUP(D755,'Species Codes'!B:E,4,0)*LOG(I755))),0),"")</f>
        <v/>
      </c>
      <c r="AA755" s="104" t="str">
        <f>IFERROR((VLOOKUP(D755,'Species Codes'!B:G,6,0)*Z755)/2000,"")</f>
        <v/>
      </c>
      <c r="AB755" s="104" t="e">
        <f>IF(Z755&gt;0,((IF(OR(D755="DF",D755="RA")=TRUE,EXP(VLOOKUP(D755,'Species Codes'!B:I,8,0)+VLOOKUP(D755,'Species Codes'!B:J,9,0)*(LN((E755*2.54)))),IF(OR(D755="PY",D755="RC",D755="WH",D755="NF")=TRUE,VLOOKUP(D755,'Species Codes'!B:I,8,0)+VLOOKUP(D755,'Species Codes'!B:J,9,0)*((E755*2.54)^2)*(I755*0.3048),IF(OR(D755="MD",D755="BM",D755="GA")=TRUE,((VLOOKUP(D755,'Species Codes'!B:I,8,0)*(((((E755*2.54)+VLOOKUP(D755,'Species Codes'!B:J,9,0))/VLOOKUP(D755,'Species Codes'!B:K,10,0))^VLOOKUP(D755,'Species Codes'!B:L,11,0))*((I755*0.3048)^VLOOKUP(D755,'Species Codes'!B:M,12,0))))-(VLOOKUP(D755,'Species Codes'!B:I,8,0)*((((E755*2.54)^VLOOKUP(D755,'Species Codes'!B:L,11,0))*((I755*0.3048)^VLOOKUP(D755,'Species Codes'!B:M,12,0))))))*35.3*VLOOKUP(D755,'Species Codes'!B:G,6,0)/2.2046,VLOOKUP(D755,'Species Codes'!B:I,8,0)+VLOOKUP(D755,'Species Codes'!B:J,9,0)*(((E755*2.54)/100)^2)*(I755*0.3048)))))*0.0011023),0)</f>
        <v>#N/A</v>
      </c>
      <c r="AC755" s="104" t="e">
        <f>IF(Z755&gt;0,((IF(OR(D755="RA",D755="OA",D755="OT",D755="UN",D755="PC"),EXP(VLOOKUP(D755,'Species Codes'!B:O,14,0)+VLOOKUP(D755,'Species Codes'!B:P,15,0)*LN((E755*2.54)))-EXP(VLOOKUP(D755,'Species Codes'!B:O,14,0)+VLOOKUP(D755,'Species Codes'!B:P,15,0)*LN((E755*2.54)))*(1/(VLOOKUP(D755,'Species Codes'!B:Q,16,0)+VLOOKUP(D755,'Species Codes'!B:R,17,0)*((E755*2.54)^VLOOKUP(D755,'Species Codes'!B:S,18,0)))),IF(OR(D755="BM",D755="MD",D755="OA"),EXP(VLOOKUP(D755,'Species Codes'!B:O,14,0)+VLOOKUP(D755,'Species Codes'!B:P,15,0)*LN((E755*2.54)))*(1-(1/(VLOOKUP(D755,'Species Codes'!B:Q,16,0)+VLOOKUP(D755,'Species Codes'!B:R,17,0)*((E755*2.54)^VLOOKUP(D755,'Species Codes'!B:S,18,0)))))/1000,IF(D755="DF",EXP(VLOOKUP(D755,'Species Codes'!B:O,14,0)+VLOOKUP(D755,'Species Codes'!B:P,15,0)*LN((E755*2.54))),VLOOKUP(D755,'Species Codes'!B:O,14,0)+VLOOKUP(D755,'Species Codes'!B:P,15,0)*(((E755*2.54)/100)^2)*(I755*0.3048)))))*0.0011023),0)</f>
        <v>#N/A</v>
      </c>
      <c r="AD755" s="104" t="e">
        <f t="shared" si="355"/>
        <v>#N/A</v>
      </c>
      <c r="AE755" s="104" t="e">
        <f t="shared" si="356"/>
        <v>#N/A</v>
      </c>
      <c r="AF755" s="104" t="e">
        <f>IF(AND(VLOOKUP($D755,Merchantability!$B:$C,2,0)="Yes",$E755&gt;=VLOOKUP($D755,Merchantability!$B:$D,3,0),$E755&lt;=VLOOKUP($D755,Merchantability!$B:$E,4,0)),AA755,0)</f>
        <v>#N/A</v>
      </c>
      <c r="AG755" s="104" t="e">
        <f>IF(AND(VLOOKUP($D755,Merchantability!$B:$C,2,0)="Yes",$E755&gt;=VLOOKUP($D755,Merchantability!$B:$D,3,0),$E755&lt;=VLOOKUP($D755,Merchantability!$B:$E,4,0)),AB755,0)</f>
        <v>#N/A</v>
      </c>
      <c r="AH755" s="104" t="e">
        <f>IF(AND(VLOOKUP($D755,Merchantability!$B:$C,2,0)="Yes",$E755&gt;=VLOOKUP($D755,Merchantability!$B:$D,3,0),$E755&lt;=VLOOKUP($D755,Merchantability!$B:$E,4,0)),AC755,0)</f>
        <v>#N/A</v>
      </c>
      <c r="AI755" s="104" t="e">
        <f t="shared" si="357"/>
        <v>#N/A</v>
      </c>
      <c r="AJ755" s="104" t="e">
        <f t="shared" si="358"/>
        <v>#VALUE!</v>
      </c>
      <c r="AK755" s="104" t="e">
        <f t="shared" si="359"/>
        <v>#N/A</v>
      </c>
      <c r="AL755" s="104" t="e">
        <f t="shared" si="360"/>
        <v>#N/A</v>
      </c>
      <c r="AM755" s="104" t="e">
        <f t="shared" si="361"/>
        <v>#N/A</v>
      </c>
      <c r="AN755" s="104" t="e">
        <f t="shared" si="345"/>
        <v>#N/A</v>
      </c>
      <c r="AO755" s="104" t="e">
        <f t="shared" si="346"/>
        <v>#N/A</v>
      </c>
      <c r="AP755" s="104" t="e">
        <f t="shared" si="347"/>
        <v>#N/A</v>
      </c>
      <c r="AQ755" s="104" t="e">
        <f t="shared" si="348"/>
        <v>#N/A</v>
      </c>
      <c r="AR755" s="105" t="str">
        <f t="shared" si="340"/>
        <v/>
      </c>
      <c r="AS755" s="105" t="str">
        <f t="shared" si="341"/>
        <v/>
      </c>
      <c r="AT755" s="108" t="str">
        <f t="shared" si="342"/>
        <v/>
      </c>
      <c r="AU755" s="108" t="str">
        <f t="shared" si="343"/>
        <v/>
      </c>
      <c r="AV755" s="107" t="str">
        <f>IF(ISNUMBER(O755),IF(VLOOKUP($A755,Stand!C:J,8,FALSE)="Short",AT755,AU755),"")</f>
        <v/>
      </c>
      <c r="AW755" s="109" t="str">
        <f t="shared" si="349"/>
        <v/>
      </c>
      <c r="AX755" s="109" t="str">
        <f t="shared" si="350"/>
        <v/>
      </c>
      <c r="AY755" s="112" t="str">
        <f>IF(ISNUMBER(O755),IF(AND(VLOOKUP($D755,Merchantability!$B:$C,2,0)="Yes",$E755&gt;=VLOOKUP($D755,Merchantability!$B:$D,3,0),$E755&lt;=VLOOKUP($D755,Merchantability!$B:$E,4,0)),(AV755*O755)*(1-$H755/100),""),"")</f>
        <v/>
      </c>
      <c r="AZ755" s="116"/>
      <c r="BA755" s="116"/>
      <c r="BB755" s="116"/>
      <c r="BE755" s="62"/>
      <c r="BF755" s="63"/>
    </row>
    <row r="756" spans="1:58" ht="12.75" customHeight="1" x14ac:dyDescent="0.25">
      <c r="A756" s="313"/>
      <c r="B756" s="328"/>
      <c r="C756" s="329"/>
      <c r="D756" s="328"/>
      <c r="E756" s="330"/>
      <c r="F756" s="328"/>
      <c r="G756" s="329"/>
      <c r="H756" s="329"/>
      <c r="I756" s="328"/>
      <c r="J756" s="383"/>
      <c r="K756" s="329"/>
      <c r="L756" s="329"/>
      <c r="M756" s="76"/>
      <c r="N756" s="103" t="str">
        <f>IF(A756="","",VLOOKUP(A756,Stand!C:K,9,0))</f>
        <v/>
      </c>
      <c r="O756" s="104" t="str">
        <f t="shared" si="335"/>
        <v/>
      </c>
      <c r="P756" s="105" t="str">
        <f t="shared" si="336"/>
        <v/>
      </c>
      <c r="Q756" s="105" t="str">
        <f t="shared" si="351"/>
        <v/>
      </c>
      <c r="R756" s="103" t="str">
        <f t="shared" si="337"/>
        <v/>
      </c>
      <c r="S756" s="103" t="str">
        <f t="shared" si="338"/>
        <v/>
      </c>
      <c r="T756" s="106" t="str">
        <f t="shared" si="352"/>
        <v/>
      </c>
      <c r="U756" s="106" t="str">
        <f t="shared" si="353"/>
        <v/>
      </c>
      <c r="V756" s="106" t="str">
        <f t="shared" si="354"/>
        <v/>
      </c>
      <c r="W756" s="105" t="str">
        <f t="shared" si="339"/>
        <v/>
      </c>
      <c r="X756" s="104" t="str">
        <f t="shared" si="344"/>
        <v/>
      </c>
      <c r="Y756" s="104" t="str">
        <f t="array" ref="Y756">IFERROR(IF(ISNUMBER(O756),IF(COUNT(IF(A756=$A$2:$A$2427,IF(D756=$D$2:$D$2427,IF($X$2:$X$2427&gt;0,1))))&gt;0,SUM(IF(A756=$A$2:$A$2427,IF(D756=$D$2:$D$2427,$X$2:$X$2427)))/COUNT(IF(A756=$A$2:$A$2427,IF(D756=$D$2:$D$2427,IF(ISNUMBER($X$2:$X$2427),1)))),0),""),0)</f>
        <v/>
      </c>
      <c r="Z756" s="104" t="str">
        <f>IF(ISNUMBER(O756),IF(I756&gt;0,(10^(VLOOKUP(D756,'Species Codes'!B:C,2,0)+VLOOKUP(D756,'Species Codes'!B:D,3,0)*LOG(E756)+VLOOKUP(D756,'Species Codes'!B:E,4,0)*LOG(I756))),0),"")</f>
        <v/>
      </c>
      <c r="AA756" s="104" t="str">
        <f>IFERROR((VLOOKUP(D756,'Species Codes'!B:G,6,0)*Z756)/2000,"")</f>
        <v/>
      </c>
      <c r="AB756" s="104" t="e">
        <f>IF(Z756&gt;0,((IF(OR(D756="DF",D756="RA")=TRUE,EXP(VLOOKUP(D756,'Species Codes'!B:I,8,0)+VLOOKUP(D756,'Species Codes'!B:J,9,0)*(LN((E756*2.54)))),IF(OR(D756="PY",D756="RC",D756="WH",D756="NF")=TRUE,VLOOKUP(D756,'Species Codes'!B:I,8,0)+VLOOKUP(D756,'Species Codes'!B:J,9,0)*((E756*2.54)^2)*(I756*0.3048),IF(OR(D756="MD",D756="BM",D756="GA")=TRUE,((VLOOKUP(D756,'Species Codes'!B:I,8,0)*(((((E756*2.54)+VLOOKUP(D756,'Species Codes'!B:J,9,0))/VLOOKUP(D756,'Species Codes'!B:K,10,0))^VLOOKUP(D756,'Species Codes'!B:L,11,0))*((I756*0.3048)^VLOOKUP(D756,'Species Codes'!B:M,12,0))))-(VLOOKUP(D756,'Species Codes'!B:I,8,0)*((((E756*2.54)^VLOOKUP(D756,'Species Codes'!B:L,11,0))*((I756*0.3048)^VLOOKUP(D756,'Species Codes'!B:M,12,0))))))*35.3*VLOOKUP(D756,'Species Codes'!B:G,6,0)/2.2046,VLOOKUP(D756,'Species Codes'!B:I,8,0)+VLOOKUP(D756,'Species Codes'!B:J,9,0)*(((E756*2.54)/100)^2)*(I756*0.3048)))))*0.0011023),0)</f>
        <v>#N/A</v>
      </c>
      <c r="AC756" s="104" t="e">
        <f>IF(Z756&gt;0,((IF(OR(D756="RA",D756="OA",D756="OT",D756="UN",D756="PC"),EXP(VLOOKUP(D756,'Species Codes'!B:O,14,0)+VLOOKUP(D756,'Species Codes'!B:P,15,0)*LN((E756*2.54)))-EXP(VLOOKUP(D756,'Species Codes'!B:O,14,0)+VLOOKUP(D756,'Species Codes'!B:P,15,0)*LN((E756*2.54)))*(1/(VLOOKUP(D756,'Species Codes'!B:Q,16,0)+VLOOKUP(D756,'Species Codes'!B:R,17,0)*((E756*2.54)^VLOOKUP(D756,'Species Codes'!B:S,18,0)))),IF(OR(D756="BM",D756="MD",D756="OA"),EXP(VLOOKUP(D756,'Species Codes'!B:O,14,0)+VLOOKUP(D756,'Species Codes'!B:P,15,0)*LN((E756*2.54)))*(1-(1/(VLOOKUP(D756,'Species Codes'!B:Q,16,0)+VLOOKUP(D756,'Species Codes'!B:R,17,0)*((E756*2.54)^VLOOKUP(D756,'Species Codes'!B:S,18,0)))))/1000,IF(D756="DF",EXP(VLOOKUP(D756,'Species Codes'!B:O,14,0)+VLOOKUP(D756,'Species Codes'!B:P,15,0)*LN((E756*2.54))),VLOOKUP(D756,'Species Codes'!B:O,14,0)+VLOOKUP(D756,'Species Codes'!B:P,15,0)*(((E756*2.54)/100)^2)*(I756*0.3048)))))*0.0011023),0)</f>
        <v>#N/A</v>
      </c>
      <c r="AD756" s="104" t="e">
        <f t="shared" si="355"/>
        <v>#N/A</v>
      </c>
      <c r="AE756" s="104" t="e">
        <f t="shared" si="356"/>
        <v>#N/A</v>
      </c>
      <c r="AF756" s="104" t="e">
        <f>IF(AND(VLOOKUP($D756,Merchantability!$B:$C,2,0)="Yes",$E756&gt;=VLOOKUP($D756,Merchantability!$B:$D,3,0),$E756&lt;=VLOOKUP($D756,Merchantability!$B:$E,4,0)),AA756,0)</f>
        <v>#N/A</v>
      </c>
      <c r="AG756" s="104" t="e">
        <f>IF(AND(VLOOKUP($D756,Merchantability!$B:$C,2,0)="Yes",$E756&gt;=VLOOKUP($D756,Merchantability!$B:$D,3,0),$E756&lt;=VLOOKUP($D756,Merchantability!$B:$E,4,0)),AB756,0)</f>
        <v>#N/A</v>
      </c>
      <c r="AH756" s="104" t="e">
        <f>IF(AND(VLOOKUP($D756,Merchantability!$B:$C,2,0)="Yes",$E756&gt;=VLOOKUP($D756,Merchantability!$B:$D,3,0),$E756&lt;=VLOOKUP($D756,Merchantability!$B:$E,4,0)),AC756,0)</f>
        <v>#N/A</v>
      </c>
      <c r="AI756" s="104" t="e">
        <f t="shared" si="357"/>
        <v>#N/A</v>
      </c>
      <c r="AJ756" s="104" t="e">
        <f t="shared" si="358"/>
        <v>#VALUE!</v>
      </c>
      <c r="AK756" s="104" t="e">
        <f t="shared" si="359"/>
        <v>#N/A</v>
      </c>
      <c r="AL756" s="104" t="e">
        <f t="shared" si="360"/>
        <v>#N/A</v>
      </c>
      <c r="AM756" s="104" t="e">
        <f t="shared" si="361"/>
        <v>#N/A</v>
      </c>
      <c r="AN756" s="104" t="e">
        <f t="shared" si="345"/>
        <v>#N/A</v>
      </c>
      <c r="AO756" s="104" t="e">
        <f t="shared" si="346"/>
        <v>#N/A</v>
      </c>
      <c r="AP756" s="104" t="e">
        <f t="shared" si="347"/>
        <v>#N/A</v>
      </c>
      <c r="AQ756" s="104" t="e">
        <f t="shared" si="348"/>
        <v>#N/A</v>
      </c>
      <c r="AR756" s="105" t="str">
        <f t="shared" si="340"/>
        <v/>
      </c>
      <c r="AS756" s="105" t="str">
        <f t="shared" si="341"/>
        <v/>
      </c>
      <c r="AT756" s="108" t="str">
        <f t="shared" si="342"/>
        <v/>
      </c>
      <c r="AU756" s="108" t="str">
        <f t="shared" si="343"/>
        <v/>
      </c>
      <c r="AV756" s="107" t="str">
        <f>IF(ISNUMBER(O756),IF(VLOOKUP($A756,Stand!C:J,8,FALSE)="Short",AT756,AU756),"")</f>
        <v/>
      </c>
      <c r="AW756" s="109" t="str">
        <f t="shared" si="349"/>
        <v/>
      </c>
      <c r="AX756" s="109" t="str">
        <f t="shared" si="350"/>
        <v/>
      </c>
      <c r="AY756" s="112" t="str">
        <f>IF(ISNUMBER(O756),IF(AND(VLOOKUP($D756,Merchantability!$B:$C,2,0)="Yes",$E756&gt;=VLOOKUP($D756,Merchantability!$B:$D,3,0),$E756&lt;=VLOOKUP($D756,Merchantability!$B:$E,4,0)),(AV756*O756)*(1-$H756/100),""),"")</f>
        <v/>
      </c>
      <c r="AZ756" s="116"/>
      <c r="BA756" s="116"/>
      <c r="BB756" s="116"/>
      <c r="BE756" s="62"/>
      <c r="BF756" s="63"/>
    </row>
    <row r="757" spans="1:58" ht="12.75" customHeight="1" x14ac:dyDescent="0.25">
      <c r="A757" s="313"/>
      <c r="B757" s="328"/>
      <c r="C757" s="329"/>
      <c r="D757" s="328"/>
      <c r="E757" s="330"/>
      <c r="F757" s="328"/>
      <c r="G757" s="329"/>
      <c r="H757" s="329"/>
      <c r="I757" s="328"/>
      <c r="J757" s="383"/>
      <c r="K757" s="329"/>
      <c r="L757" s="329"/>
      <c r="M757" s="76"/>
      <c r="N757" s="103" t="str">
        <f>IF(A757="","",VLOOKUP(A757,Stand!C:K,9,0))</f>
        <v/>
      </c>
      <c r="O757" s="104" t="str">
        <f t="shared" si="335"/>
        <v/>
      </c>
      <c r="P757" s="105" t="str">
        <f t="shared" si="336"/>
        <v/>
      </c>
      <c r="Q757" s="105" t="str">
        <f t="shared" si="351"/>
        <v/>
      </c>
      <c r="R757" s="103" t="str">
        <f t="shared" si="337"/>
        <v/>
      </c>
      <c r="S757" s="103" t="str">
        <f t="shared" si="338"/>
        <v/>
      </c>
      <c r="T757" s="106" t="str">
        <f t="shared" si="352"/>
        <v/>
      </c>
      <c r="U757" s="106" t="str">
        <f t="shared" si="353"/>
        <v/>
      </c>
      <c r="V757" s="106" t="str">
        <f t="shared" si="354"/>
        <v/>
      </c>
      <c r="W757" s="105" t="str">
        <f t="shared" si="339"/>
        <v/>
      </c>
      <c r="X757" s="104" t="str">
        <f t="shared" si="344"/>
        <v/>
      </c>
      <c r="Y757" s="104" t="str">
        <f t="array" ref="Y757">IFERROR(IF(ISNUMBER(O757),IF(COUNT(IF(A757=$A$2:$A$2427,IF(D757=$D$2:$D$2427,IF($X$2:$X$2427&gt;0,1))))&gt;0,SUM(IF(A757=$A$2:$A$2427,IF(D757=$D$2:$D$2427,$X$2:$X$2427)))/COUNT(IF(A757=$A$2:$A$2427,IF(D757=$D$2:$D$2427,IF(ISNUMBER($X$2:$X$2427),1)))),0),""),0)</f>
        <v/>
      </c>
      <c r="Z757" s="104" t="str">
        <f>IF(ISNUMBER(O757),IF(I757&gt;0,(10^(VLOOKUP(D757,'Species Codes'!B:C,2,0)+VLOOKUP(D757,'Species Codes'!B:D,3,0)*LOG(E757)+VLOOKUP(D757,'Species Codes'!B:E,4,0)*LOG(I757))),0),"")</f>
        <v/>
      </c>
      <c r="AA757" s="104" t="str">
        <f>IFERROR((VLOOKUP(D757,'Species Codes'!B:G,6,0)*Z757)/2000,"")</f>
        <v/>
      </c>
      <c r="AB757" s="104" t="e">
        <f>IF(Z757&gt;0,((IF(OR(D757="DF",D757="RA")=TRUE,EXP(VLOOKUP(D757,'Species Codes'!B:I,8,0)+VLOOKUP(D757,'Species Codes'!B:J,9,0)*(LN((E757*2.54)))),IF(OR(D757="PY",D757="RC",D757="WH",D757="NF")=TRUE,VLOOKUP(D757,'Species Codes'!B:I,8,0)+VLOOKUP(D757,'Species Codes'!B:J,9,0)*((E757*2.54)^2)*(I757*0.3048),IF(OR(D757="MD",D757="BM",D757="GA")=TRUE,((VLOOKUP(D757,'Species Codes'!B:I,8,0)*(((((E757*2.54)+VLOOKUP(D757,'Species Codes'!B:J,9,0))/VLOOKUP(D757,'Species Codes'!B:K,10,0))^VLOOKUP(D757,'Species Codes'!B:L,11,0))*((I757*0.3048)^VLOOKUP(D757,'Species Codes'!B:M,12,0))))-(VLOOKUP(D757,'Species Codes'!B:I,8,0)*((((E757*2.54)^VLOOKUP(D757,'Species Codes'!B:L,11,0))*((I757*0.3048)^VLOOKUP(D757,'Species Codes'!B:M,12,0))))))*35.3*VLOOKUP(D757,'Species Codes'!B:G,6,0)/2.2046,VLOOKUP(D757,'Species Codes'!B:I,8,0)+VLOOKUP(D757,'Species Codes'!B:J,9,0)*(((E757*2.54)/100)^2)*(I757*0.3048)))))*0.0011023),0)</f>
        <v>#N/A</v>
      </c>
      <c r="AC757" s="104" t="e">
        <f>IF(Z757&gt;0,((IF(OR(D757="RA",D757="OA",D757="OT",D757="UN",D757="PC"),EXP(VLOOKUP(D757,'Species Codes'!B:O,14,0)+VLOOKUP(D757,'Species Codes'!B:P,15,0)*LN((E757*2.54)))-EXP(VLOOKUP(D757,'Species Codes'!B:O,14,0)+VLOOKUP(D757,'Species Codes'!B:P,15,0)*LN((E757*2.54)))*(1/(VLOOKUP(D757,'Species Codes'!B:Q,16,0)+VLOOKUP(D757,'Species Codes'!B:R,17,0)*((E757*2.54)^VLOOKUP(D757,'Species Codes'!B:S,18,0)))),IF(OR(D757="BM",D757="MD",D757="OA"),EXP(VLOOKUP(D757,'Species Codes'!B:O,14,0)+VLOOKUP(D757,'Species Codes'!B:P,15,0)*LN((E757*2.54)))*(1-(1/(VLOOKUP(D757,'Species Codes'!B:Q,16,0)+VLOOKUP(D757,'Species Codes'!B:R,17,0)*((E757*2.54)^VLOOKUP(D757,'Species Codes'!B:S,18,0)))))/1000,IF(D757="DF",EXP(VLOOKUP(D757,'Species Codes'!B:O,14,0)+VLOOKUP(D757,'Species Codes'!B:P,15,0)*LN((E757*2.54))),VLOOKUP(D757,'Species Codes'!B:O,14,0)+VLOOKUP(D757,'Species Codes'!B:P,15,0)*(((E757*2.54)/100)^2)*(I757*0.3048)))))*0.0011023),0)</f>
        <v>#N/A</v>
      </c>
      <c r="AD757" s="104" t="e">
        <f t="shared" si="355"/>
        <v>#N/A</v>
      </c>
      <c r="AE757" s="104" t="e">
        <f t="shared" si="356"/>
        <v>#N/A</v>
      </c>
      <c r="AF757" s="104" t="e">
        <f>IF(AND(VLOOKUP($D757,Merchantability!$B:$C,2,0)="Yes",$E757&gt;=VLOOKUP($D757,Merchantability!$B:$D,3,0),$E757&lt;=VLOOKUP($D757,Merchantability!$B:$E,4,0)),AA757,0)</f>
        <v>#N/A</v>
      </c>
      <c r="AG757" s="104" t="e">
        <f>IF(AND(VLOOKUP($D757,Merchantability!$B:$C,2,0)="Yes",$E757&gt;=VLOOKUP($D757,Merchantability!$B:$D,3,0),$E757&lt;=VLOOKUP($D757,Merchantability!$B:$E,4,0)),AB757,0)</f>
        <v>#N/A</v>
      </c>
      <c r="AH757" s="104" t="e">
        <f>IF(AND(VLOOKUP($D757,Merchantability!$B:$C,2,0)="Yes",$E757&gt;=VLOOKUP($D757,Merchantability!$B:$D,3,0),$E757&lt;=VLOOKUP($D757,Merchantability!$B:$E,4,0)),AC757,0)</f>
        <v>#N/A</v>
      </c>
      <c r="AI757" s="104" t="e">
        <f t="shared" si="357"/>
        <v>#N/A</v>
      </c>
      <c r="AJ757" s="104" t="e">
        <f t="shared" si="358"/>
        <v>#VALUE!</v>
      </c>
      <c r="AK757" s="104" t="e">
        <f t="shared" si="359"/>
        <v>#N/A</v>
      </c>
      <c r="AL757" s="104" t="e">
        <f t="shared" si="360"/>
        <v>#N/A</v>
      </c>
      <c r="AM757" s="104" t="e">
        <f t="shared" si="361"/>
        <v>#N/A</v>
      </c>
      <c r="AN757" s="104" t="e">
        <f t="shared" si="345"/>
        <v>#N/A</v>
      </c>
      <c r="AO757" s="104" t="e">
        <f t="shared" si="346"/>
        <v>#N/A</v>
      </c>
      <c r="AP757" s="104" t="e">
        <f t="shared" si="347"/>
        <v>#N/A</v>
      </c>
      <c r="AQ757" s="104" t="e">
        <f t="shared" si="348"/>
        <v>#N/A</v>
      </c>
      <c r="AR757" s="105" t="str">
        <f t="shared" si="340"/>
        <v/>
      </c>
      <c r="AS757" s="105" t="str">
        <f t="shared" si="341"/>
        <v/>
      </c>
      <c r="AT757" s="108" t="str">
        <f t="shared" si="342"/>
        <v/>
      </c>
      <c r="AU757" s="108" t="str">
        <f t="shared" si="343"/>
        <v/>
      </c>
      <c r="AV757" s="107" t="str">
        <f>IF(ISNUMBER(O757),IF(VLOOKUP($A757,Stand!C:J,8,FALSE)="Short",AT757,AU757),"")</f>
        <v/>
      </c>
      <c r="AW757" s="109" t="str">
        <f t="shared" si="349"/>
        <v/>
      </c>
      <c r="AX757" s="109" t="str">
        <f t="shared" si="350"/>
        <v/>
      </c>
      <c r="AY757" s="112" t="str">
        <f>IF(ISNUMBER(O757),IF(AND(VLOOKUP($D757,Merchantability!$B:$C,2,0)="Yes",$E757&gt;=VLOOKUP($D757,Merchantability!$B:$D,3,0),$E757&lt;=VLOOKUP($D757,Merchantability!$B:$E,4,0)),(AV757*O757)*(1-$H757/100),""),"")</f>
        <v/>
      </c>
      <c r="AZ757" s="116"/>
      <c r="BA757" s="116"/>
      <c r="BB757" s="116"/>
      <c r="BE757" s="62"/>
      <c r="BF757" s="63"/>
    </row>
    <row r="758" spans="1:58" ht="12.75" customHeight="1" x14ac:dyDescent="0.25">
      <c r="A758" s="313"/>
      <c r="B758" s="328"/>
      <c r="C758" s="329"/>
      <c r="D758" s="328"/>
      <c r="E758" s="330"/>
      <c r="F758" s="328"/>
      <c r="G758" s="329"/>
      <c r="H758" s="329"/>
      <c r="I758" s="328"/>
      <c r="J758" s="383"/>
      <c r="K758" s="329"/>
      <c r="L758" s="329"/>
      <c r="M758" s="76"/>
      <c r="N758" s="103" t="str">
        <f>IF(A758="","",VLOOKUP(A758,Stand!C:K,9,0))</f>
        <v/>
      </c>
      <c r="O758" s="104" t="str">
        <f t="shared" si="335"/>
        <v/>
      </c>
      <c r="P758" s="105" t="str">
        <f t="shared" si="336"/>
        <v/>
      </c>
      <c r="Q758" s="105" t="str">
        <f t="shared" si="351"/>
        <v/>
      </c>
      <c r="R758" s="103" t="str">
        <f t="shared" si="337"/>
        <v/>
      </c>
      <c r="S758" s="103" t="str">
        <f t="shared" si="338"/>
        <v/>
      </c>
      <c r="T758" s="106" t="str">
        <f t="shared" si="352"/>
        <v/>
      </c>
      <c r="U758" s="106" t="str">
        <f t="shared" si="353"/>
        <v/>
      </c>
      <c r="V758" s="106" t="str">
        <f t="shared" si="354"/>
        <v/>
      </c>
      <c r="W758" s="105" t="str">
        <f t="shared" si="339"/>
        <v/>
      </c>
      <c r="X758" s="104" t="str">
        <f t="shared" si="344"/>
        <v/>
      </c>
      <c r="Y758" s="104" t="str">
        <f t="array" ref="Y758">IFERROR(IF(ISNUMBER(O758),IF(COUNT(IF(A758=$A$2:$A$2427,IF(D758=$D$2:$D$2427,IF($X$2:$X$2427&gt;0,1))))&gt;0,SUM(IF(A758=$A$2:$A$2427,IF(D758=$D$2:$D$2427,$X$2:$X$2427)))/COUNT(IF(A758=$A$2:$A$2427,IF(D758=$D$2:$D$2427,IF(ISNUMBER($X$2:$X$2427),1)))),0),""),0)</f>
        <v/>
      </c>
      <c r="Z758" s="104" t="str">
        <f>IF(ISNUMBER(O758),IF(I758&gt;0,(10^(VLOOKUP(D758,'Species Codes'!B:C,2,0)+VLOOKUP(D758,'Species Codes'!B:D,3,0)*LOG(E758)+VLOOKUP(D758,'Species Codes'!B:E,4,0)*LOG(I758))),0),"")</f>
        <v/>
      </c>
      <c r="AA758" s="104" t="str">
        <f>IFERROR((VLOOKUP(D758,'Species Codes'!B:G,6,0)*Z758)/2000,"")</f>
        <v/>
      </c>
      <c r="AB758" s="104" t="e">
        <f>IF(Z758&gt;0,((IF(OR(D758="DF",D758="RA")=TRUE,EXP(VLOOKUP(D758,'Species Codes'!B:I,8,0)+VLOOKUP(D758,'Species Codes'!B:J,9,0)*(LN((E758*2.54)))),IF(OR(D758="PY",D758="RC",D758="WH",D758="NF")=TRUE,VLOOKUP(D758,'Species Codes'!B:I,8,0)+VLOOKUP(D758,'Species Codes'!B:J,9,0)*((E758*2.54)^2)*(I758*0.3048),IF(OR(D758="MD",D758="BM",D758="GA")=TRUE,((VLOOKUP(D758,'Species Codes'!B:I,8,0)*(((((E758*2.54)+VLOOKUP(D758,'Species Codes'!B:J,9,0))/VLOOKUP(D758,'Species Codes'!B:K,10,0))^VLOOKUP(D758,'Species Codes'!B:L,11,0))*((I758*0.3048)^VLOOKUP(D758,'Species Codes'!B:M,12,0))))-(VLOOKUP(D758,'Species Codes'!B:I,8,0)*((((E758*2.54)^VLOOKUP(D758,'Species Codes'!B:L,11,0))*((I758*0.3048)^VLOOKUP(D758,'Species Codes'!B:M,12,0))))))*35.3*VLOOKUP(D758,'Species Codes'!B:G,6,0)/2.2046,VLOOKUP(D758,'Species Codes'!B:I,8,0)+VLOOKUP(D758,'Species Codes'!B:J,9,0)*(((E758*2.54)/100)^2)*(I758*0.3048)))))*0.0011023),0)</f>
        <v>#N/A</v>
      </c>
      <c r="AC758" s="104" t="e">
        <f>IF(Z758&gt;0,((IF(OR(D758="RA",D758="OA",D758="OT",D758="UN",D758="PC"),EXP(VLOOKUP(D758,'Species Codes'!B:O,14,0)+VLOOKUP(D758,'Species Codes'!B:P,15,0)*LN((E758*2.54)))-EXP(VLOOKUP(D758,'Species Codes'!B:O,14,0)+VLOOKUP(D758,'Species Codes'!B:P,15,0)*LN((E758*2.54)))*(1/(VLOOKUP(D758,'Species Codes'!B:Q,16,0)+VLOOKUP(D758,'Species Codes'!B:R,17,0)*((E758*2.54)^VLOOKUP(D758,'Species Codes'!B:S,18,0)))),IF(OR(D758="BM",D758="MD",D758="OA"),EXP(VLOOKUP(D758,'Species Codes'!B:O,14,0)+VLOOKUP(D758,'Species Codes'!B:P,15,0)*LN((E758*2.54)))*(1-(1/(VLOOKUP(D758,'Species Codes'!B:Q,16,0)+VLOOKUP(D758,'Species Codes'!B:R,17,0)*((E758*2.54)^VLOOKUP(D758,'Species Codes'!B:S,18,0)))))/1000,IF(D758="DF",EXP(VLOOKUP(D758,'Species Codes'!B:O,14,0)+VLOOKUP(D758,'Species Codes'!B:P,15,0)*LN((E758*2.54))),VLOOKUP(D758,'Species Codes'!B:O,14,0)+VLOOKUP(D758,'Species Codes'!B:P,15,0)*(((E758*2.54)/100)^2)*(I758*0.3048)))))*0.0011023),0)</f>
        <v>#N/A</v>
      </c>
      <c r="AD758" s="104" t="e">
        <f t="shared" si="355"/>
        <v>#N/A</v>
      </c>
      <c r="AE758" s="104" t="e">
        <f t="shared" si="356"/>
        <v>#N/A</v>
      </c>
      <c r="AF758" s="104" t="e">
        <f>IF(AND(VLOOKUP($D758,Merchantability!$B:$C,2,0)="Yes",$E758&gt;=VLOOKUP($D758,Merchantability!$B:$D,3,0),$E758&lt;=VLOOKUP($D758,Merchantability!$B:$E,4,0)),AA758,0)</f>
        <v>#N/A</v>
      </c>
      <c r="AG758" s="104" t="e">
        <f>IF(AND(VLOOKUP($D758,Merchantability!$B:$C,2,0)="Yes",$E758&gt;=VLOOKUP($D758,Merchantability!$B:$D,3,0),$E758&lt;=VLOOKUP($D758,Merchantability!$B:$E,4,0)),AB758,0)</f>
        <v>#N/A</v>
      </c>
      <c r="AH758" s="104" t="e">
        <f>IF(AND(VLOOKUP($D758,Merchantability!$B:$C,2,0)="Yes",$E758&gt;=VLOOKUP($D758,Merchantability!$B:$D,3,0),$E758&lt;=VLOOKUP($D758,Merchantability!$B:$E,4,0)),AC758,0)</f>
        <v>#N/A</v>
      </c>
      <c r="AI758" s="104" t="e">
        <f t="shared" si="357"/>
        <v>#N/A</v>
      </c>
      <c r="AJ758" s="104" t="e">
        <f t="shared" si="358"/>
        <v>#VALUE!</v>
      </c>
      <c r="AK758" s="104" t="e">
        <f t="shared" si="359"/>
        <v>#N/A</v>
      </c>
      <c r="AL758" s="104" t="e">
        <f t="shared" si="360"/>
        <v>#N/A</v>
      </c>
      <c r="AM758" s="104" t="e">
        <f t="shared" si="361"/>
        <v>#N/A</v>
      </c>
      <c r="AN758" s="104" t="e">
        <f t="shared" si="345"/>
        <v>#N/A</v>
      </c>
      <c r="AO758" s="104" t="e">
        <f t="shared" si="346"/>
        <v>#N/A</v>
      </c>
      <c r="AP758" s="104" t="e">
        <f t="shared" si="347"/>
        <v>#N/A</v>
      </c>
      <c r="AQ758" s="104" t="e">
        <f t="shared" si="348"/>
        <v>#N/A</v>
      </c>
      <c r="AR758" s="105" t="str">
        <f t="shared" si="340"/>
        <v/>
      </c>
      <c r="AS758" s="105" t="str">
        <f t="shared" si="341"/>
        <v/>
      </c>
      <c r="AT758" s="108" t="str">
        <f t="shared" si="342"/>
        <v/>
      </c>
      <c r="AU758" s="108" t="str">
        <f t="shared" si="343"/>
        <v/>
      </c>
      <c r="AV758" s="107" t="str">
        <f>IF(ISNUMBER(O758),IF(VLOOKUP($A758,Stand!C:J,8,FALSE)="Short",AT758,AU758),"")</f>
        <v/>
      </c>
      <c r="AW758" s="109" t="str">
        <f t="shared" si="349"/>
        <v/>
      </c>
      <c r="AX758" s="109" t="str">
        <f t="shared" si="350"/>
        <v/>
      </c>
      <c r="AY758" s="112" t="str">
        <f>IF(ISNUMBER(O758),IF(AND(VLOOKUP($D758,Merchantability!$B:$C,2,0)="Yes",$E758&gt;=VLOOKUP($D758,Merchantability!$B:$D,3,0),$E758&lt;=VLOOKUP($D758,Merchantability!$B:$E,4,0)),(AV758*O758)*(1-$H758/100),""),"")</f>
        <v/>
      </c>
      <c r="AZ758" s="116"/>
      <c r="BA758" s="116"/>
      <c r="BB758" s="116"/>
      <c r="BE758" s="62"/>
      <c r="BF758" s="63"/>
    </row>
    <row r="759" spans="1:58" ht="12.75" customHeight="1" x14ac:dyDescent="0.25">
      <c r="A759" s="313"/>
      <c r="B759" s="328"/>
      <c r="C759" s="329"/>
      <c r="D759" s="328"/>
      <c r="E759" s="330"/>
      <c r="F759" s="328"/>
      <c r="G759" s="329"/>
      <c r="H759" s="329"/>
      <c r="I759" s="328"/>
      <c r="J759" s="383"/>
      <c r="K759" s="329"/>
      <c r="L759" s="329"/>
      <c r="M759" s="76"/>
      <c r="N759" s="103" t="str">
        <f>IF(A759="","",VLOOKUP(A759,Stand!C:K,9,0))</f>
        <v/>
      </c>
      <c r="O759" s="104" t="str">
        <f t="shared" si="335"/>
        <v/>
      </c>
      <c r="P759" s="105" t="str">
        <f t="shared" si="336"/>
        <v/>
      </c>
      <c r="Q759" s="105" t="str">
        <f t="shared" si="351"/>
        <v/>
      </c>
      <c r="R759" s="103" t="str">
        <f t="shared" si="337"/>
        <v/>
      </c>
      <c r="S759" s="103" t="str">
        <f t="shared" si="338"/>
        <v/>
      </c>
      <c r="T759" s="106" t="str">
        <f t="shared" si="352"/>
        <v/>
      </c>
      <c r="U759" s="106" t="str">
        <f t="shared" si="353"/>
        <v/>
      </c>
      <c r="V759" s="106" t="str">
        <f t="shared" si="354"/>
        <v/>
      </c>
      <c r="W759" s="105" t="str">
        <f t="shared" si="339"/>
        <v/>
      </c>
      <c r="X759" s="104" t="str">
        <f t="shared" si="344"/>
        <v/>
      </c>
      <c r="Y759" s="104" t="str">
        <f t="array" ref="Y759">IFERROR(IF(ISNUMBER(O759),IF(COUNT(IF(A759=$A$2:$A$2427,IF(D759=$D$2:$D$2427,IF($X$2:$X$2427&gt;0,1))))&gt;0,SUM(IF(A759=$A$2:$A$2427,IF(D759=$D$2:$D$2427,$X$2:$X$2427)))/COUNT(IF(A759=$A$2:$A$2427,IF(D759=$D$2:$D$2427,IF(ISNUMBER($X$2:$X$2427),1)))),0),""),0)</f>
        <v/>
      </c>
      <c r="Z759" s="104" t="str">
        <f>IF(ISNUMBER(O759),IF(I759&gt;0,(10^(VLOOKUP(D759,'Species Codes'!B:C,2,0)+VLOOKUP(D759,'Species Codes'!B:D,3,0)*LOG(E759)+VLOOKUP(D759,'Species Codes'!B:E,4,0)*LOG(I759))),0),"")</f>
        <v/>
      </c>
      <c r="AA759" s="104" t="str">
        <f>IFERROR((VLOOKUP(D759,'Species Codes'!B:G,6,0)*Z759)/2000,"")</f>
        <v/>
      </c>
      <c r="AB759" s="104" t="e">
        <f>IF(Z759&gt;0,((IF(OR(D759="DF",D759="RA")=TRUE,EXP(VLOOKUP(D759,'Species Codes'!B:I,8,0)+VLOOKUP(D759,'Species Codes'!B:J,9,0)*(LN((E759*2.54)))),IF(OR(D759="PY",D759="RC",D759="WH",D759="NF")=TRUE,VLOOKUP(D759,'Species Codes'!B:I,8,0)+VLOOKUP(D759,'Species Codes'!B:J,9,0)*((E759*2.54)^2)*(I759*0.3048),IF(OR(D759="MD",D759="BM",D759="GA")=TRUE,((VLOOKUP(D759,'Species Codes'!B:I,8,0)*(((((E759*2.54)+VLOOKUP(D759,'Species Codes'!B:J,9,0))/VLOOKUP(D759,'Species Codes'!B:K,10,0))^VLOOKUP(D759,'Species Codes'!B:L,11,0))*((I759*0.3048)^VLOOKUP(D759,'Species Codes'!B:M,12,0))))-(VLOOKUP(D759,'Species Codes'!B:I,8,0)*((((E759*2.54)^VLOOKUP(D759,'Species Codes'!B:L,11,0))*((I759*0.3048)^VLOOKUP(D759,'Species Codes'!B:M,12,0))))))*35.3*VLOOKUP(D759,'Species Codes'!B:G,6,0)/2.2046,VLOOKUP(D759,'Species Codes'!B:I,8,0)+VLOOKUP(D759,'Species Codes'!B:J,9,0)*(((E759*2.54)/100)^2)*(I759*0.3048)))))*0.0011023),0)</f>
        <v>#N/A</v>
      </c>
      <c r="AC759" s="104" t="e">
        <f>IF(Z759&gt;0,((IF(OR(D759="RA",D759="OA",D759="OT",D759="UN",D759="PC"),EXP(VLOOKUP(D759,'Species Codes'!B:O,14,0)+VLOOKUP(D759,'Species Codes'!B:P,15,0)*LN((E759*2.54)))-EXP(VLOOKUP(D759,'Species Codes'!B:O,14,0)+VLOOKUP(D759,'Species Codes'!B:P,15,0)*LN((E759*2.54)))*(1/(VLOOKUP(D759,'Species Codes'!B:Q,16,0)+VLOOKUP(D759,'Species Codes'!B:R,17,0)*((E759*2.54)^VLOOKUP(D759,'Species Codes'!B:S,18,0)))),IF(OR(D759="BM",D759="MD",D759="OA"),EXP(VLOOKUP(D759,'Species Codes'!B:O,14,0)+VLOOKUP(D759,'Species Codes'!B:P,15,0)*LN((E759*2.54)))*(1-(1/(VLOOKUP(D759,'Species Codes'!B:Q,16,0)+VLOOKUP(D759,'Species Codes'!B:R,17,0)*((E759*2.54)^VLOOKUP(D759,'Species Codes'!B:S,18,0)))))/1000,IF(D759="DF",EXP(VLOOKUP(D759,'Species Codes'!B:O,14,0)+VLOOKUP(D759,'Species Codes'!B:P,15,0)*LN((E759*2.54))),VLOOKUP(D759,'Species Codes'!B:O,14,0)+VLOOKUP(D759,'Species Codes'!B:P,15,0)*(((E759*2.54)/100)^2)*(I759*0.3048)))))*0.0011023),0)</f>
        <v>#N/A</v>
      </c>
      <c r="AD759" s="104" t="e">
        <f t="shared" si="355"/>
        <v>#N/A</v>
      </c>
      <c r="AE759" s="104" t="e">
        <f t="shared" si="356"/>
        <v>#N/A</v>
      </c>
      <c r="AF759" s="104" t="e">
        <f>IF(AND(VLOOKUP($D759,Merchantability!$B:$C,2,0)="Yes",$E759&gt;=VLOOKUP($D759,Merchantability!$B:$D,3,0),$E759&lt;=VLOOKUP($D759,Merchantability!$B:$E,4,0)),AA759,0)</f>
        <v>#N/A</v>
      </c>
      <c r="AG759" s="104" t="e">
        <f>IF(AND(VLOOKUP($D759,Merchantability!$B:$C,2,0)="Yes",$E759&gt;=VLOOKUP($D759,Merchantability!$B:$D,3,0),$E759&lt;=VLOOKUP($D759,Merchantability!$B:$E,4,0)),AB759,0)</f>
        <v>#N/A</v>
      </c>
      <c r="AH759" s="104" t="e">
        <f>IF(AND(VLOOKUP($D759,Merchantability!$B:$C,2,0)="Yes",$E759&gt;=VLOOKUP($D759,Merchantability!$B:$D,3,0),$E759&lt;=VLOOKUP($D759,Merchantability!$B:$E,4,0)),AC759,0)</f>
        <v>#N/A</v>
      </c>
      <c r="AI759" s="104" t="e">
        <f t="shared" si="357"/>
        <v>#N/A</v>
      </c>
      <c r="AJ759" s="104" t="e">
        <f t="shared" si="358"/>
        <v>#VALUE!</v>
      </c>
      <c r="AK759" s="104" t="e">
        <f t="shared" si="359"/>
        <v>#N/A</v>
      </c>
      <c r="AL759" s="104" t="e">
        <f t="shared" si="360"/>
        <v>#N/A</v>
      </c>
      <c r="AM759" s="104" t="e">
        <f t="shared" si="361"/>
        <v>#N/A</v>
      </c>
      <c r="AN759" s="104" t="e">
        <f t="shared" si="345"/>
        <v>#N/A</v>
      </c>
      <c r="AO759" s="104" t="e">
        <f t="shared" si="346"/>
        <v>#N/A</v>
      </c>
      <c r="AP759" s="104" t="e">
        <f t="shared" si="347"/>
        <v>#N/A</v>
      </c>
      <c r="AQ759" s="104" t="e">
        <f t="shared" si="348"/>
        <v>#N/A</v>
      </c>
      <c r="AR759" s="105" t="str">
        <f t="shared" si="340"/>
        <v/>
      </c>
      <c r="AS759" s="105" t="str">
        <f t="shared" si="341"/>
        <v/>
      </c>
      <c r="AT759" s="108" t="str">
        <f t="shared" si="342"/>
        <v/>
      </c>
      <c r="AU759" s="108" t="str">
        <f t="shared" si="343"/>
        <v/>
      </c>
      <c r="AV759" s="107" t="str">
        <f>IF(ISNUMBER(O759),IF(VLOOKUP($A759,Stand!C:J,8,FALSE)="Short",AT759,AU759),"")</f>
        <v/>
      </c>
      <c r="AW759" s="109" t="str">
        <f t="shared" si="349"/>
        <v/>
      </c>
      <c r="AX759" s="109" t="str">
        <f t="shared" si="350"/>
        <v/>
      </c>
      <c r="AY759" s="112" t="str">
        <f>IF(ISNUMBER(O759),IF(AND(VLOOKUP($D759,Merchantability!$B:$C,2,0)="Yes",$E759&gt;=VLOOKUP($D759,Merchantability!$B:$D,3,0),$E759&lt;=VLOOKUP($D759,Merchantability!$B:$E,4,0)),(AV759*O759)*(1-$H759/100),""),"")</f>
        <v/>
      </c>
      <c r="AZ759" s="116"/>
      <c r="BA759" s="116"/>
      <c r="BB759" s="116"/>
      <c r="BE759" s="62"/>
      <c r="BF759" s="63"/>
    </row>
    <row r="760" spans="1:58" ht="12.75" customHeight="1" x14ac:dyDescent="0.25">
      <c r="A760" s="313"/>
      <c r="B760" s="328"/>
      <c r="C760" s="329"/>
      <c r="D760" s="328"/>
      <c r="E760" s="330"/>
      <c r="F760" s="328"/>
      <c r="G760" s="329"/>
      <c r="H760" s="329"/>
      <c r="I760" s="328"/>
      <c r="J760" s="383"/>
      <c r="K760" s="329"/>
      <c r="L760" s="329"/>
      <c r="M760" s="76"/>
      <c r="N760" s="103" t="str">
        <f>IF(A760="","",VLOOKUP(A760,Stand!C:K,9,0))</f>
        <v/>
      </c>
      <c r="O760" s="104" t="str">
        <f t="shared" si="335"/>
        <v/>
      </c>
      <c r="P760" s="105" t="str">
        <f t="shared" si="336"/>
        <v/>
      </c>
      <c r="Q760" s="105" t="str">
        <f t="shared" si="351"/>
        <v/>
      </c>
      <c r="R760" s="103" t="str">
        <f t="shared" si="337"/>
        <v/>
      </c>
      <c r="S760" s="103" t="str">
        <f t="shared" si="338"/>
        <v/>
      </c>
      <c r="T760" s="106" t="str">
        <f t="shared" si="352"/>
        <v/>
      </c>
      <c r="U760" s="106" t="str">
        <f t="shared" si="353"/>
        <v/>
      </c>
      <c r="V760" s="106" t="str">
        <f t="shared" si="354"/>
        <v/>
      </c>
      <c r="W760" s="105" t="str">
        <f t="shared" si="339"/>
        <v/>
      </c>
      <c r="X760" s="104" t="str">
        <f t="shared" si="344"/>
        <v/>
      </c>
      <c r="Y760" s="104" t="str">
        <f t="array" ref="Y760">IFERROR(IF(ISNUMBER(O760),IF(COUNT(IF(A760=$A$2:$A$2427,IF(D760=$D$2:$D$2427,IF($X$2:$X$2427&gt;0,1))))&gt;0,SUM(IF(A760=$A$2:$A$2427,IF(D760=$D$2:$D$2427,$X$2:$X$2427)))/COUNT(IF(A760=$A$2:$A$2427,IF(D760=$D$2:$D$2427,IF(ISNUMBER($X$2:$X$2427),1)))),0),""),0)</f>
        <v/>
      </c>
      <c r="Z760" s="104" t="str">
        <f>IF(ISNUMBER(O760),IF(I760&gt;0,(10^(VLOOKUP(D760,'Species Codes'!B:C,2,0)+VLOOKUP(D760,'Species Codes'!B:D,3,0)*LOG(E760)+VLOOKUP(D760,'Species Codes'!B:E,4,0)*LOG(I760))),0),"")</f>
        <v/>
      </c>
      <c r="AA760" s="104" t="str">
        <f>IFERROR((VLOOKUP(D760,'Species Codes'!B:G,6,0)*Z760)/2000,"")</f>
        <v/>
      </c>
      <c r="AB760" s="104" t="e">
        <f>IF(Z760&gt;0,((IF(OR(D760="DF",D760="RA")=TRUE,EXP(VLOOKUP(D760,'Species Codes'!B:I,8,0)+VLOOKUP(D760,'Species Codes'!B:J,9,0)*(LN((E760*2.54)))),IF(OR(D760="PY",D760="RC",D760="WH",D760="NF")=TRUE,VLOOKUP(D760,'Species Codes'!B:I,8,0)+VLOOKUP(D760,'Species Codes'!B:J,9,0)*((E760*2.54)^2)*(I760*0.3048),IF(OR(D760="MD",D760="BM",D760="GA")=TRUE,((VLOOKUP(D760,'Species Codes'!B:I,8,0)*(((((E760*2.54)+VLOOKUP(D760,'Species Codes'!B:J,9,0))/VLOOKUP(D760,'Species Codes'!B:K,10,0))^VLOOKUP(D760,'Species Codes'!B:L,11,0))*((I760*0.3048)^VLOOKUP(D760,'Species Codes'!B:M,12,0))))-(VLOOKUP(D760,'Species Codes'!B:I,8,0)*((((E760*2.54)^VLOOKUP(D760,'Species Codes'!B:L,11,0))*((I760*0.3048)^VLOOKUP(D760,'Species Codes'!B:M,12,0))))))*35.3*VLOOKUP(D760,'Species Codes'!B:G,6,0)/2.2046,VLOOKUP(D760,'Species Codes'!B:I,8,0)+VLOOKUP(D760,'Species Codes'!B:J,9,0)*(((E760*2.54)/100)^2)*(I760*0.3048)))))*0.0011023),0)</f>
        <v>#N/A</v>
      </c>
      <c r="AC760" s="104" t="e">
        <f>IF(Z760&gt;0,((IF(OR(D760="RA",D760="OA",D760="OT",D760="UN",D760="PC"),EXP(VLOOKUP(D760,'Species Codes'!B:O,14,0)+VLOOKUP(D760,'Species Codes'!B:P,15,0)*LN((E760*2.54)))-EXP(VLOOKUP(D760,'Species Codes'!B:O,14,0)+VLOOKUP(D760,'Species Codes'!B:P,15,0)*LN((E760*2.54)))*(1/(VLOOKUP(D760,'Species Codes'!B:Q,16,0)+VLOOKUP(D760,'Species Codes'!B:R,17,0)*((E760*2.54)^VLOOKUP(D760,'Species Codes'!B:S,18,0)))),IF(OR(D760="BM",D760="MD",D760="OA"),EXP(VLOOKUP(D760,'Species Codes'!B:O,14,0)+VLOOKUP(D760,'Species Codes'!B:P,15,0)*LN((E760*2.54)))*(1-(1/(VLOOKUP(D760,'Species Codes'!B:Q,16,0)+VLOOKUP(D760,'Species Codes'!B:R,17,0)*((E760*2.54)^VLOOKUP(D760,'Species Codes'!B:S,18,0)))))/1000,IF(D760="DF",EXP(VLOOKUP(D760,'Species Codes'!B:O,14,0)+VLOOKUP(D760,'Species Codes'!B:P,15,0)*LN((E760*2.54))),VLOOKUP(D760,'Species Codes'!B:O,14,0)+VLOOKUP(D760,'Species Codes'!B:P,15,0)*(((E760*2.54)/100)^2)*(I760*0.3048)))))*0.0011023),0)</f>
        <v>#N/A</v>
      </c>
      <c r="AD760" s="104" t="e">
        <f t="shared" si="355"/>
        <v>#N/A</v>
      </c>
      <c r="AE760" s="104" t="e">
        <f t="shared" si="356"/>
        <v>#N/A</v>
      </c>
      <c r="AF760" s="104" t="e">
        <f>IF(AND(VLOOKUP($D760,Merchantability!$B:$C,2,0)="Yes",$E760&gt;=VLOOKUP($D760,Merchantability!$B:$D,3,0),$E760&lt;=VLOOKUP($D760,Merchantability!$B:$E,4,0)),AA760,0)</f>
        <v>#N/A</v>
      </c>
      <c r="AG760" s="104" t="e">
        <f>IF(AND(VLOOKUP($D760,Merchantability!$B:$C,2,0)="Yes",$E760&gt;=VLOOKUP($D760,Merchantability!$B:$D,3,0),$E760&lt;=VLOOKUP($D760,Merchantability!$B:$E,4,0)),AB760,0)</f>
        <v>#N/A</v>
      </c>
      <c r="AH760" s="104" t="e">
        <f>IF(AND(VLOOKUP($D760,Merchantability!$B:$C,2,0)="Yes",$E760&gt;=VLOOKUP($D760,Merchantability!$B:$D,3,0),$E760&lt;=VLOOKUP($D760,Merchantability!$B:$E,4,0)),AC760,0)</f>
        <v>#N/A</v>
      </c>
      <c r="AI760" s="104" t="e">
        <f t="shared" si="357"/>
        <v>#N/A</v>
      </c>
      <c r="AJ760" s="104" t="e">
        <f t="shared" si="358"/>
        <v>#VALUE!</v>
      </c>
      <c r="AK760" s="104" t="e">
        <f t="shared" si="359"/>
        <v>#N/A</v>
      </c>
      <c r="AL760" s="104" t="e">
        <f t="shared" si="360"/>
        <v>#N/A</v>
      </c>
      <c r="AM760" s="104" t="e">
        <f t="shared" si="361"/>
        <v>#N/A</v>
      </c>
      <c r="AN760" s="104" t="e">
        <f t="shared" si="345"/>
        <v>#N/A</v>
      </c>
      <c r="AO760" s="104" t="e">
        <f t="shared" si="346"/>
        <v>#N/A</v>
      </c>
      <c r="AP760" s="104" t="e">
        <f t="shared" si="347"/>
        <v>#N/A</v>
      </c>
      <c r="AQ760" s="104" t="e">
        <f t="shared" si="348"/>
        <v>#N/A</v>
      </c>
      <c r="AR760" s="105" t="str">
        <f t="shared" si="340"/>
        <v/>
      </c>
      <c r="AS760" s="105" t="str">
        <f t="shared" si="341"/>
        <v/>
      </c>
      <c r="AT760" s="108" t="str">
        <f t="shared" si="342"/>
        <v/>
      </c>
      <c r="AU760" s="108" t="str">
        <f t="shared" si="343"/>
        <v/>
      </c>
      <c r="AV760" s="107" t="str">
        <f>IF(ISNUMBER(O760),IF(VLOOKUP($A760,Stand!C:J,8,FALSE)="Short",AT760,AU760),"")</f>
        <v/>
      </c>
      <c r="AW760" s="109" t="str">
        <f t="shared" si="349"/>
        <v/>
      </c>
      <c r="AX760" s="109" t="str">
        <f t="shared" si="350"/>
        <v/>
      </c>
      <c r="AY760" s="112" t="str">
        <f>IF(ISNUMBER(O760),IF(AND(VLOOKUP($D760,Merchantability!$B:$C,2,0)="Yes",$E760&gt;=VLOOKUP($D760,Merchantability!$B:$D,3,0),$E760&lt;=VLOOKUP($D760,Merchantability!$B:$E,4,0)),(AV760*O760)*(1-$H760/100),""),"")</f>
        <v/>
      </c>
      <c r="AZ760" s="116"/>
      <c r="BA760" s="116"/>
      <c r="BB760" s="116"/>
      <c r="BE760" s="62"/>
      <c r="BF760" s="63"/>
    </row>
    <row r="761" spans="1:58" ht="12.75" customHeight="1" x14ac:dyDescent="0.25">
      <c r="A761" s="313"/>
      <c r="B761" s="328"/>
      <c r="C761" s="329"/>
      <c r="D761" s="328"/>
      <c r="E761" s="330"/>
      <c r="F761" s="328"/>
      <c r="G761" s="329"/>
      <c r="H761" s="329"/>
      <c r="I761" s="328"/>
      <c r="J761" s="383"/>
      <c r="K761" s="329"/>
      <c r="L761" s="329"/>
      <c r="M761" s="76"/>
      <c r="N761" s="103" t="str">
        <f>IF(A761="","",VLOOKUP(A761,Stand!C:K,9,0))</f>
        <v/>
      </c>
      <c r="O761" s="104" t="str">
        <f t="shared" si="335"/>
        <v/>
      </c>
      <c r="P761" s="105" t="str">
        <f t="shared" si="336"/>
        <v/>
      </c>
      <c r="Q761" s="105" t="str">
        <f t="shared" si="351"/>
        <v/>
      </c>
      <c r="R761" s="103" t="str">
        <f t="shared" si="337"/>
        <v/>
      </c>
      <c r="S761" s="103" t="str">
        <f t="shared" si="338"/>
        <v/>
      </c>
      <c r="T761" s="106" t="str">
        <f t="shared" si="352"/>
        <v/>
      </c>
      <c r="U761" s="106" t="str">
        <f t="shared" si="353"/>
        <v/>
      </c>
      <c r="V761" s="106" t="str">
        <f t="shared" si="354"/>
        <v/>
      </c>
      <c r="W761" s="105" t="str">
        <f t="shared" si="339"/>
        <v/>
      </c>
      <c r="X761" s="104" t="str">
        <f t="shared" si="344"/>
        <v/>
      </c>
      <c r="Y761" s="104" t="str">
        <f t="array" ref="Y761">IFERROR(IF(ISNUMBER(O761),IF(COUNT(IF(A761=$A$2:$A$2427,IF(D761=$D$2:$D$2427,IF($X$2:$X$2427&gt;0,1))))&gt;0,SUM(IF(A761=$A$2:$A$2427,IF(D761=$D$2:$D$2427,$X$2:$X$2427)))/COUNT(IF(A761=$A$2:$A$2427,IF(D761=$D$2:$D$2427,IF(ISNUMBER($X$2:$X$2427),1)))),0),""),0)</f>
        <v/>
      </c>
      <c r="Z761" s="104" t="str">
        <f>IF(ISNUMBER(O761),IF(I761&gt;0,(10^(VLOOKUP(D761,'Species Codes'!B:C,2,0)+VLOOKUP(D761,'Species Codes'!B:D,3,0)*LOG(E761)+VLOOKUP(D761,'Species Codes'!B:E,4,0)*LOG(I761))),0),"")</f>
        <v/>
      </c>
      <c r="AA761" s="104" t="str">
        <f>IFERROR((VLOOKUP(D761,'Species Codes'!B:G,6,0)*Z761)/2000,"")</f>
        <v/>
      </c>
      <c r="AB761" s="104" t="e">
        <f>IF(Z761&gt;0,((IF(OR(D761="DF",D761="RA")=TRUE,EXP(VLOOKUP(D761,'Species Codes'!B:I,8,0)+VLOOKUP(D761,'Species Codes'!B:J,9,0)*(LN((E761*2.54)))),IF(OR(D761="PY",D761="RC",D761="WH",D761="NF")=TRUE,VLOOKUP(D761,'Species Codes'!B:I,8,0)+VLOOKUP(D761,'Species Codes'!B:J,9,0)*((E761*2.54)^2)*(I761*0.3048),IF(OR(D761="MD",D761="BM",D761="GA")=TRUE,((VLOOKUP(D761,'Species Codes'!B:I,8,0)*(((((E761*2.54)+VLOOKUP(D761,'Species Codes'!B:J,9,0))/VLOOKUP(D761,'Species Codes'!B:K,10,0))^VLOOKUP(D761,'Species Codes'!B:L,11,0))*((I761*0.3048)^VLOOKUP(D761,'Species Codes'!B:M,12,0))))-(VLOOKUP(D761,'Species Codes'!B:I,8,0)*((((E761*2.54)^VLOOKUP(D761,'Species Codes'!B:L,11,0))*((I761*0.3048)^VLOOKUP(D761,'Species Codes'!B:M,12,0))))))*35.3*VLOOKUP(D761,'Species Codes'!B:G,6,0)/2.2046,VLOOKUP(D761,'Species Codes'!B:I,8,0)+VLOOKUP(D761,'Species Codes'!B:J,9,0)*(((E761*2.54)/100)^2)*(I761*0.3048)))))*0.0011023),0)</f>
        <v>#N/A</v>
      </c>
      <c r="AC761" s="104" t="e">
        <f>IF(Z761&gt;0,((IF(OR(D761="RA",D761="OA",D761="OT",D761="UN",D761="PC"),EXP(VLOOKUP(D761,'Species Codes'!B:O,14,0)+VLOOKUP(D761,'Species Codes'!B:P,15,0)*LN((E761*2.54)))-EXP(VLOOKUP(D761,'Species Codes'!B:O,14,0)+VLOOKUP(D761,'Species Codes'!B:P,15,0)*LN((E761*2.54)))*(1/(VLOOKUP(D761,'Species Codes'!B:Q,16,0)+VLOOKUP(D761,'Species Codes'!B:R,17,0)*((E761*2.54)^VLOOKUP(D761,'Species Codes'!B:S,18,0)))),IF(OR(D761="BM",D761="MD",D761="OA"),EXP(VLOOKUP(D761,'Species Codes'!B:O,14,0)+VLOOKUP(D761,'Species Codes'!B:P,15,0)*LN((E761*2.54)))*(1-(1/(VLOOKUP(D761,'Species Codes'!B:Q,16,0)+VLOOKUP(D761,'Species Codes'!B:R,17,0)*((E761*2.54)^VLOOKUP(D761,'Species Codes'!B:S,18,0)))))/1000,IF(D761="DF",EXP(VLOOKUP(D761,'Species Codes'!B:O,14,0)+VLOOKUP(D761,'Species Codes'!B:P,15,0)*LN((E761*2.54))),VLOOKUP(D761,'Species Codes'!B:O,14,0)+VLOOKUP(D761,'Species Codes'!B:P,15,0)*(((E761*2.54)/100)^2)*(I761*0.3048)))))*0.0011023),0)</f>
        <v>#N/A</v>
      </c>
      <c r="AD761" s="104" t="e">
        <f t="shared" si="355"/>
        <v>#N/A</v>
      </c>
      <c r="AE761" s="104" t="e">
        <f t="shared" si="356"/>
        <v>#N/A</v>
      </c>
      <c r="AF761" s="104" t="e">
        <f>IF(AND(VLOOKUP($D761,Merchantability!$B:$C,2,0)="Yes",$E761&gt;=VLOOKUP($D761,Merchantability!$B:$D,3,0),$E761&lt;=VLOOKUP($D761,Merchantability!$B:$E,4,0)),AA761,0)</f>
        <v>#N/A</v>
      </c>
      <c r="AG761" s="104" t="e">
        <f>IF(AND(VLOOKUP($D761,Merchantability!$B:$C,2,0)="Yes",$E761&gt;=VLOOKUP($D761,Merchantability!$B:$D,3,0),$E761&lt;=VLOOKUP($D761,Merchantability!$B:$E,4,0)),AB761,0)</f>
        <v>#N/A</v>
      </c>
      <c r="AH761" s="104" t="e">
        <f>IF(AND(VLOOKUP($D761,Merchantability!$B:$C,2,0)="Yes",$E761&gt;=VLOOKUP($D761,Merchantability!$B:$D,3,0),$E761&lt;=VLOOKUP($D761,Merchantability!$B:$E,4,0)),AC761,0)</f>
        <v>#N/A</v>
      </c>
      <c r="AI761" s="104" t="e">
        <f t="shared" si="357"/>
        <v>#N/A</v>
      </c>
      <c r="AJ761" s="104" t="e">
        <f t="shared" si="358"/>
        <v>#VALUE!</v>
      </c>
      <c r="AK761" s="104" t="e">
        <f t="shared" si="359"/>
        <v>#N/A</v>
      </c>
      <c r="AL761" s="104" t="e">
        <f t="shared" si="360"/>
        <v>#N/A</v>
      </c>
      <c r="AM761" s="104" t="e">
        <f t="shared" si="361"/>
        <v>#N/A</v>
      </c>
      <c r="AN761" s="104" t="e">
        <f t="shared" si="345"/>
        <v>#N/A</v>
      </c>
      <c r="AO761" s="104" t="e">
        <f t="shared" si="346"/>
        <v>#N/A</v>
      </c>
      <c r="AP761" s="104" t="e">
        <f t="shared" si="347"/>
        <v>#N/A</v>
      </c>
      <c r="AQ761" s="104" t="e">
        <f t="shared" si="348"/>
        <v>#N/A</v>
      </c>
      <c r="AR761" s="105" t="str">
        <f t="shared" si="340"/>
        <v/>
      </c>
      <c r="AS761" s="105" t="str">
        <f t="shared" si="341"/>
        <v/>
      </c>
      <c r="AT761" s="108" t="str">
        <f t="shared" si="342"/>
        <v/>
      </c>
      <c r="AU761" s="108" t="str">
        <f t="shared" si="343"/>
        <v/>
      </c>
      <c r="AV761" s="107" t="str">
        <f>IF(ISNUMBER(O761),IF(VLOOKUP($A761,Stand!C:J,8,FALSE)="Short",AT761,AU761),"")</f>
        <v/>
      </c>
      <c r="AW761" s="109" t="str">
        <f t="shared" si="349"/>
        <v/>
      </c>
      <c r="AX761" s="109" t="str">
        <f t="shared" si="350"/>
        <v/>
      </c>
      <c r="AY761" s="112" t="str">
        <f>IF(ISNUMBER(O761),IF(AND(VLOOKUP($D761,Merchantability!$B:$C,2,0)="Yes",$E761&gt;=VLOOKUP($D761,Merchantability!$B:$D,3,0),$E761&lt;=VLOOKUP($D761,Merchantability!$B:$E,4,0)),(AV761*O761)*(1-$H761/100),""),"")</f>
        <v/>
      </c>
      <c r="AZ761" s="116"/>
      <c r="BA761" s="116"/>
      <c r="BB761" s="116"/>
      <c r="BE761" s="62"/>
      <c r="BF761" s="63"/>
    </row>
    <row r="762" spans="1:58" ht="12.75" customHeight="1" x14ac:dyDescent="0.25">
      <c r="A762" s="313"/>
      <c r="B762" s="328"/>
      <c r="C762" s="329"/>
      <c r="D762" s="328"/>
      <c r="E762" s="330"/>
      <c r="F762" s="328"/>
      <c r="G762" s="329"/>
      <c r="H762" s="329"/>
      <c r="I762" s="328"/>
      <c r="J762" s="383"/>
      <c r="K762" s="329"/>
      <c r="L762" s="329"/>
      <c r="M762" s="76"/>
      <c r="N762" s="103" t="str">
        <f>IF(A762="","",VLOOKUP(A762,Stand!C:K,9,0))</f>
        <v/>
      </c>
      <c r="O762" s="104" t="str">
        <f t="shared" si="335"/>
        <v/>
      </c>
      <c r="P762" s="105" t="str">
        <f t="shared" si="336"/>
        <v/>
      </c>
      <c r="Q762" s="105" t="str">
        <f t="shared" si="351"/>
        <v/>
      </c>
      <c r="R762" s="103" t="str">
        <f t="shared" si="337"/>
        <v/>
      </c>
      <c r="S762" s="103" t="str">
        <f t="shared" si="338"/>
        <v/>
      </c>
      <c r="T762" s="106" t="str">
        <f t="shared" si="352"/>
        <v/>
      </c>
      <c r="U762" s="106" t="str">
        <f t="shared" si="353"/>
        <v/>
      </c>
      <c r="V762" s="106" t="str">
        <f t="shared" si="354"/>
        <v/>
      </c>
      <c r="W762" s="105" t="str">
        <f t="shared" si="339"/>
        <v/>
      </c>
      <c r="X762" s="104" t="str">
        <f t="shared" si="344"/>
        <v/>
      </c>
      <c r="Y762" s="104" t="str">
        <f t="array" ref="Y762">IFERROR(IF(ISNUMBER(O762),IF(COUNT(IF(A762=$A$2:$A$2427,IF(D762=$D$2:$D$2427,IF($X$2:$X$2427&gt;0,1))))&gt;0,SUM(IF(A762=$A$2:$A$2427,IF(D762=$D$2:$D$2427,$X$2:$X$2427)))/COUNT(IF(A762=$A$2:$A$2427,IF(D762=$D$2:$D$2427,IF(ISNUMBER($X$2:$X$2427),1)))),0),""),0)</f>
        <v/>
      </c>
      <c r="Z762" s="104" t="str">
        <f>IF(ISNUMBER(O762),IF(I762&gt;0,(10^(VLOOKUP(D762,'Species Codes'!B:C,2,0)+VLOOKUP(D762,'Species Codes'!B:D,3,0)*LOG(E762)+VLOOKUP(D762,'Species Codes'!B:E,4,0)*LOG(I762))),0),"")</f>
        <v/>
      </c>
      <c r="AA762" s="104" t="str">
        <f>IFERROR((VLOOKUP(D762,'Species Codes'!B:G,6,0)*Z762)/2000,"")</f>
        <v/>
      </c>
      <c r="AB762" s="104" t="e">
        <f>IF(Z762&gt;0,((IF(OR(D762="DF",D762="RA")=TRUE,EXP(VLOOKUP(D762,'Species Codes'!B:I,8,0)+VLOOKUP(D762,'Species Codes'!B:J,9,0)*(LN((E762*2.54)))),IF(OR(D762="PY",D762="RC",D762="WH",D762="NF")=TRUE,VLOOKUP(D762,'Species Codes'!B:I,8,0)+VLOOKUP(D762,'Species Codes'!B:J,9,0)*((E762*2.54)^2)*(I762*0.3048),IF(OR(D762="MD",D762="BM",D762="GA")=TRUE,((VLOOKUP(D762,'Species Codes'!B:I,8,0)*(((((E762*2.54)+VLOOKUP(D762,'Species Codes'!B:J,9,0))/VLOOKUP(D762,'Species Codes'!B:K,10,0))^VLOOKUP(D762,'Species Codes'!B:L,11,0))*((I762*0.3048)^VLOOKUP(D762,'Species Codes'!B:M,12,0))))-(VLOOKUP(D762,'Species Codes'!B:I,8,0)*((((E762*2.54)^VLOOKUP(D762,'Species Codes'!B:L,11,0))*((I762*0.3048)^VLOOKUP(D762,'Species Codes'!B:M,12,0))))))*35.3*VLOOKUP(D762,'Species Codes'!B:G,6,0)/2.2046,VLOOKUP(D762,'Species Codes'!B:I,8,0)+VLOOKUP(D762,'Species Codes'!B:J,9,0)*(((E762*2.54)/100)^2)*(I762*0.3048)))))*0.0011023),0)</f>
        <v>#N/A</v>
      </c>
      <c r="AC762" s="104" t="e">
        <f>IF(Z762&gt;0,((IF(OR(D762="RA",D762="OA",D762="OT",D762="UN",D762="PC"),EXP(VLOOKUP(D762,'Species Codes'!B:O,14,0)+VLOOKUP(D762,'Species Codes'!B:P,15,0)*LN((E762*2.54)))-EXP(VLOOKUP(D762,'Species Codes'!B:O,14,0)+VLOOKUP(D762,'Species Codes'!B:P,15,0)*LN((E762*2.54)))*(1/(VLOOKUP(D762,'Species Codes'!B:Q,16,0)+VLOOKUP(D762,'Species Codes'!B:R,17,0)*((E762*2.54)^VLOOKUP(D762,'Species Codes'!B:S,18,0)))),IF(OR(D762="BM",D762="MD",D762="OA"),EXP(VLOOKUP(D762,'Species Codes'!B:O,14,0)+VLOOKUP(D762,'Species Codes'!B:P,15,0)*LN((E762*2.54)))*(1-(1/(VLOOKUP(D762,'Species Codes'!B:Q,16,0)+VLOOKUP(D762,'Species Codes'!B:R,17,0)*((E762*2.54)^VLOOKUP(D762,'Species Codes'!B:S,18,0)))))/1000,IF(D762="DF",EXP(VLOOKUP(D762,'Species Codes'!B:O,14,0)+VLOOKUP(D762,'Species Codes'!B:P,15,0)*LN((E762*2.54))),VLOOKUP(D762,'Species Codes'!B:O,14,0)+VLOOKUP(D762,'Species Codes'!B:P,15,0)*(((E762*2.54)/100)^2)*(I762*0.3048)))))*0.0011023),0)</f>
        <v>#N/A</v>
      </c>
      <c r="AD762" s="104" t="e">
        <f t="shared" si="355"/>
        <v>#N/A</v>
      </c>
      <c r="AE762" s="104" t="e">
        <f t="shared" si="356"/>
        <v>#N/A</v>
      </c>
      <c r="AF762" s="104" t="e">
        <f>IF(AND(VLOOKUP($D762,Merchantability!$B:$C,2,0)="Yes",$E762&gt;=VLOOKUP($D762,Merchantability!$B:$D,3,0),$E762&lt;=VLOOKUP($D762,Merchantability!$B:$E,4,0)),AA762,0)</f>
        <v>#N/A</v>
      </c>
      <c r="AG762" s="104" t="e">
        <f>IF(AND(VLOOKUP($D762,Merchantability!$B:$C,2,0)="Yes",$E762&gt;=VLOOKUP($D762,Merchantability!$B:$D,3,0),$E762&lt;=VLOOKUP($D762,Merchantability!$B:$E,4,0)),AB762,0)</f>
        <v>#N/A</v>
      </c>
      <c r="AH762" s="104" t="e">
        <f>IF(AND(VLOOKUP($D762,Merchantability!$B:$C,2,0)="Yes",$E762&gt;=VLOOKUP($D762,Merchantability!$B:$D,3,0),$E762&lt;=VLOOKUP($D762,Merchantability!$B:$E,4,0)),AC762,0)</f>
        <v>#N/A</v>
      </c>
      <c r="AI762" s="104" t="e">
        <f t="shared" si="357"/>
        <v>#N/A</v>
      </c>
      <c r="AJ762" s="104" t="e">
        <f t="shared" si="358"/>
        <v>#VALUE!</v>
      </c>
      <c r="AK762" s="104" t="e">
        <f t="shared" si="359"/>
        <v>#N/A</v>
      </c>
      <c r="AL762" s="104" t="e">
        <f t="shared" si="360"/>
        <v>#N/A</v>
      </c>
      <c r="AM762" s="104" t="e">
        <f t="shared" si="361"/>
        <v>#N/A</v>
      </c>
      <c r="AN762" s="104" t="e">
        <f t="shared" si="345"/>
        <v>#N/A</v>
      </c>
      <c r="AO762" s="104" t="e">
        <f t="shared" si="346"/>
        <v>#N/A</v>
      </c>
      <c r="AP762" s="104" t="e">
        <f t="shared" si="347"/>
        <v>#N/A</v>
      </c>
      <c r="AQ762" s="104" t="e">
        <f t="shared" si="348"/>
        <v>#N/A</v>
      </c>
      <c r="AR762" s="105" t="str">
        <f t="shared" si="340"/>
        <v/>
      </c>
      <c r="AS762" s="105" t="str">
        <f t="shared" si="341"/>
        <v/>
      </c>
      <c r="AT762" s="108" t="str">
        <f t="shared" si="342"/>
        <v/>
      </c>
      <c r="AU762" s="108" t="str">
        <f t="shared" si="343"/>
        <v/>
      </c>
      <c r="AV762" s="107" t="str">
        <f>IF(ISNUMBER(O762),IF(VLOOKUP($A762,Stand!C:J,8,FALSE)="Short",AT762,AU762),"")</f>
        <v/>
      </c>
      <c r="AW762" s="109" t="str">
        <f t="shared" si="349"/>
        <v/>
      </c>
      <c r="AX762" s="109" t="str">
        <f t="shared" si="350"/>
        <v/>
      </c>
      <c r="AY762" s="112" t="str">
        <f>IF(ISNUMBER(O762),IF(AND(VLOOKUP($D762,Merchantability!$B:$C,2,0)="Yes",$E762&gt;=VLOOKUP($D762,Merchantability!$B:$D,3,0),$E762&lt;=VLOOKUP($D762,Merchantability!$B:$E,4,0)),(AV762*O762)*(1-$H762/100),""),"")</f>
        <v/>
      </c>
      <c r="AZ762" s="116"/>
      <c r="BA762" s="116"/>
      <c r="BB762" s="116"/>
      <c r="BE762" s="62"/>
      <c r="BF762" s="63"/>
    </row>
    <row r="763" spans="1:58" ht="12.75" customHeight="1" x14ac:dyDescent="0.25">
      <c r="A763" s="313"/>
      <c r="B763" s="328"/>
      <c r="C763" s="329"/>
      <c r="D763" s="328"/>
      <c r="E763" s="330"/>
      <c r="F763" s="328"/>
      <c r="G763" s="329"/>
      <c r="H763" s="329"/>
      <c r="I763" s="328"/>
      <c r="J763" s="383"/>
      <c r="K763" s="329"/>
      <c r="L763" s="329"/>
      <c r="M763" s="76"/>
      <c r="N763" s="103" t="str">
        <f>IF(A763="","",VLOOKUP(A763,Stand!C:K,9,0))</f>
        <v/>
      </c>
      <c r="O763" s="104" t="str">
        <f t="shared" si="335"/>
        <v/>
      </c>
      <c r="P763" s="105" t="str">
        <f t="shared" si="336"/>
        <v/>
      </c>
      <c r="Q763" s="105" t="str">
        <f t="shared" si="351"/>
        <v/>
      </c>
      <c r="R763" s="103" t="str">
        <f t="shared" si="337"/>
        <v/>
      </c>
      <c r="S763" s="103" t="str">
        <f t="shared" si="338"/>
        <v/>
      </c>
      <c r="T763" s="106" t="str">
        <f t="shared" si="352"/>
        <v/>
      </c>
      <c r="U763" s="106" t="str">
        <f t="shared" si="353"/>
        <v/>
      </c>
      <c r="V763" s="106" t="str">
        <f t="shared" si="354"/>
        <v/>
      </c>
      <c r="W763" s="105" t="str">
        <f t="shared" si="339"/>
        <v/>
      </c>
      <c r="X763" s="104" t="str">
        <f t="shared" si="344"/>
        <v/>
      </c>
      <c r="Y763" s="104" t="str">
        <f t="array" ref="Y763">IFERROR(IF(ISNUMBER(O763),IF(COUNT(IF(A763=$A$2:$A$2427,IF(D763=$D$2:$D$2427,IF($X$2:$X$2427&gt;0,1))))&gt;0,SUM(IF(A763=$A$2:$A$2427,IF(D763=$D$2:$D$2427,$X$2:$X$2427)))/COUNT(IF(A763=$A$2:$A$2427,IF(D763=$D$2:$D$2427,IF(ISNUMBER($X$2:$X$2427),1)))),0),""),0)</f>
        <v/>
      </c>
      <c r="Z763" s="104" t="str">
        <f>IF(ISNUMBER(O763),IF(I763&gt;0,(10^(VLOOKUP(D763,'Species Codes'!B:C,2,0)+VLOOKUP(D763,'Species Codes'!B:D,3,0)*LOG(E763)+VLOOKUP(D763,'Species Codes'!B:E,4,0)*LOG(I763))),0),"")</f>
        <v/>
      </c>
      <c r="AA763" s="104" t="str">
        <f>IFERROR((VLOOKUP(D763,'Species Codes'!B:G,6,0)*Z763)/2000,"")</f>
        <v/>
      </c>
      <c r="AB763" s="104" t="e">
        <f>IF(Z763&gt;0,((IF(OR(D763="DF",D763="RA")=TRUE,EXP(VLOOKUP(D763,'Species Codes'!B:I,8,0)+VLOOKUP(D763,'Species Codes'!B:J,9,0)*(LN((E763*2.54)))),IF(OR(D763="PY",D763="RC",D763="WH",D763="NF")=TRUE,VLOOKUP(D763,'Species Codes'!B:I,8,0)+VLOOKUP(D763,'Species Codes'!B:J,9,0)*((E763*2.54)^2)*(I763*0.3048),IF(OR(D763="MD",D763="BM",D763="GA")=TRUE,((VLOOKUP(D763,'Species Codes'!B:I,8,0)*(((((E763*2.54)+VLOOKUP(D763,'Species Codes'!B:J,9,0))/VLOOKUP(D763,'Species Codes'!B:K,10,0))^VLOOKUP(D763,'Species Codes'!B:L,11,0))*((I763*0.3048)^VLOOKUP(D763,'Species Codes'!B:M,12,0))))-(VLOOKUP(D763,'Species Codes'!B:I,8,0)*((((E763*2.54)^VLOOKUP(D763,'Species Codes'!B:L,11,0))*((I763*0.3048)^VLOOKUP(D763,'Species Codes'!B:M,12,0))))))*35.3*VLOOKUP(D763,'Species Codes'!B:G,6,0)/2.2046,VLOOKUP(D763,'Species Codes'!B:I,8,0)+VLOOKUP(D763,'Species Codes'!B:J,9,0)*(((E763*2.54)/100)^2)*(I763*0.3048)))))*0.0011023),0)</f>
        <v>#N/A</v>
      </c>
      <c r="AC763" s="104" t="e">
        <f>IF(Z763&gt;0,((IF(OR(D763="RA",D763="OA",D763="OT",D763="UN",D763="PC"),EXP(VLOOKUP(D763,'Species Codes'!B:O,14,0)+VLOOKUP(D763,'Species Codes'!B:P,15,0)*LN((E763*2.54)))-EXP(VLOOKUP(D763,'Species Codes'!B:O,14,0)+VLOOKUP(D763,'Species Codes'!B:P,15,0)*LN((E763*2.54)))*(1/(VLOOKUP(D763,'Species Codes'!B:Q,16,0)+VLOOKUP(D763,'Species Codes'!B:R,17,0)*((E763*2.54)^VLOOKUP(D763,'Species Codes'!B:S,18,0)))),IF(OR(D763="BM",D763="MD",D763="OA"),EXP(VLOOKUP(D763,'Species Codes'!B:O,14,0)+VLOOKUP(D763,'Species Codes'!B:P,15,0)*LN((E763*2.54)))*(1-(1/(VLOOKUP(D763,'Species Codes'!B:Q,16,0)+VLOOKUP(D763,'Species Codes'!B:R,17,0)*((E763*2.54)^VLOOKUP(D763,'Species Codes'!B:S,18,0)))))/1000,IF(D763="DF",EXP(VLOOKUP(D763,'Species Codes'!B:O,14,0)+VLOOKUP(D763,'Species Codes'!B:P,15,0)*LN((E763*2.54))),VLOOKUP(D763,'Species Codes'!B:O,14,0)+VLOOKUP(D763,'Species Codes'!B:P,15,0)*(((E763*2.54)/100)^2)*(I763*0.3048)))))*0.0011023),0)</f>
        <v>#N/A</v>
      </c>
      <c r="AD763" s="104" t="e">
        <f t="shared" si="355"/>
        <v>#N/A</v>
      </c>
      <c r="AE763" s="104" t="e">
        <f t="shared" si="356"/>
        <v>#N/A</v>
      </c>
      <c r="AF763" s="104" t="e">
        <f>IF(AND(VLOOKUP($D763,Merchantability!$B:$C,2,0)="Yes",$E763&gt;=VLOOKUP($D763,Merchantability!$B:$D,3,0),$E763&lt;=VLOOKUP($D763,Merchantability!$B:$E,4,0)),AA763,0)</f>
        <v>#N/A</v>
      </c>
      <c r="AG763" s="104" t="e">
        <f>IF(AND(VLOOKUP($D763,Merchantability!$B:$C,2,0)="Yes",$E763&gt;=VLOOKUP($D763,Merchantability!$B:$D,3,0),$E763&lt;=VLOOKUP($D763,Merchantability!$B:$E,4,0)),AB763,0)</f>
        <v>#N/A</v>
      </c>
      <c r="AH763" s="104" t="e">
        <f>IF(AND(VLOOKUP($D763,Merchantability!$B:$C,2,0)="Yes",$E763&gt;=VLOOKUP($D763,Merchantability!$B:$D,3,0),$E763&lt;=VLOOKUP($D763,Merchantability!$B:$E,4,0)),AC763,0)</f>
        <v>#N/A</v>
      </c>
      <c r="AI763" s="104" t="e">
        <f t="shared" si="357"/>
        <v>#N/A</v>
      </c>
      <c r="AJ763" s="104" t="e">
        <f t="shared" si="358"/>
        <v>#VALUE!</v>
      </c>
      <c r="AK763" s="104" t="e">
        <f t="shared" si="359"/>
        <v>#N/A</v>
      </c>
      <c r="AL763" s="104" t="e">
        <f t="shared" si="360"/>
        <v>#N/A</v>
      </c>
      <c r="AM763" s="104" t="e">
        <f t="shared" si="361"/>
        <v>#N/A</v>
      </c>
      <c r="AN763" s="104" t="e">
        <f t="shared" si="345"/>
        <v>#N/A</v>
      </c>
      <c r="AO763" s="104" t="e">
        <f t="shared" si="346"/>
        <v>#N/A</v>
      </c>
      <c r="AP763" s="104" t="e">
        <f t="shared" si="347"/>
        <v>#N/A</v>
      </c>
      <c r="AQ763" s="104" t="e">
        <f t="shared" si="348"/>
        <v>#N/A</v>
      </c>
      <c r="AR763" s="105" t="str">
        <f t="shared" si="340"/>
        <v/>
      </c>
      <c r="AS763" s="105" t="str">
        <f t="shared" si="341"/>
        <v/>
      </c>
      <c r="AT763" s="108" t="str">
        <f t="shared" si="342"/>
        <v/>
      </c>
      <c r="AU763" s="108" t="str">
        <f t="shared" si="343"/>
        <v/>
      </c>
      <c r="AV763" s="107" t="str">
        <f>IF(ISNUMBER(O763),IF(VLOOKUP($A763,Stand!C:J,8,FALSE)="Short",AT763,AU763),"")</f>
        <v/>
      </c>
      <c r="AW763" s="109" t="str">
        <f t="shared" si="349"/>
        <v/>
      </c>
      <c r="AX763" s="109" t="str">
        <f t="shared" si="350"/>
        <v/>
      </c>
      <c r="AY763" s="112" t="str">
        <f>IF(ISNUMBER(O763),IF(AND(VLOOKUP($D763,Merchantability!$B:$C,2,0)="Yes",$E763&gt;=VLOOKUP($D763,Merchantability!$B:$D,3,0),$E763&lt;=VLOOKUP($D763,Merchantability!$B:$E,4,0)),(AV763*O763)*(1-$H763/100),""),"")</f>
        <v/>
      </c>
      <c r="AZ763" s="116"/>
      <c r="BA763" s="116"/>
      <c r="BB763" s="116"/>
      <c r="BE763" s="62"/>
      <c r="BF763" s="63"/>
    </row>
    <row r="764" spans="1:58" ht="12.75" customHeight="1" x14ac:dyDescent="0.25">
      <c r="A764" s="313"/>
      <c r="B764" s="328"/>
      <c r="C764" s="329"/>
      <c r="D764" s="328"/>
      <c r="E764" s="330"/>
      <c r="F764" s="328"/>
      <c r="G764" s="329"/>
      <c r="H764" s="329"/>
      <c r="I764" s="328"/>
      <c r="J764" s="383"/>
      <c r="K764" s="329"/>
      <c r="L764" s="329"/>
      <c r="M764" s="76"/>
      <c r="N764" s="103" t="str">
        <f>IF(A764="","",VLOOKUP(A764,Stand!C:K,9,0))</f>
        <v/>
      </c>
      <c r="O764" s="104" t="str">
        <f t="shared" si="335"/>
        <v/>
      </c>
      <c r="P764" s="105" t="str">
        <f t="shared" si="336"/>
        <v/>
      </c>
      <c r="Q764" s="105" t="str">
        <f t="shared" si="351"/>
        <v/>
      </c>
      <c r="R764" s="103" t="str">
        <f t="shared" si="337"/>
        <v/>
      </c>
      <c r="S764" s="103" t="str">
        <f t="shared" si="338"/>
        <v/>
      </c>
      <c r="T764" s="106" t="str">
        <f t="shared" si="352"/>
        <v/>
      </c>
      <c r="U764" s="106" t="str">
        <f t="shared" si="353"/>
        <v/>
      </c>
      <c r="V764" s="106" t="str">
        <f t="shared" si="354"/>
        <v/>
      </c>
      <c r="W764" s="105" t="str">
        <f t="shared" si="339"/>
        <v/>
      </c>
      <c r="X764" s="104" t="str">
        <f t="shared" si="344"/>
        <v/>
      </c>
      <c r="Y764" s="104" t="str">
        <f t="array" ref="Y764">IFERROR(IF(ISNUMBER(O764),IF(COUNT(IF(A764=$A$2:$A$2427,IF(D764=$D$2:$D$2427,IF($X$2:$X$2427&gt;0,1))))&gt;0,SUM(IF(A764=$A$2:$A$2427,IF(D764=$D$2:$D$2427,$X$2:$X$2427)))/COUNT(IF(A764=$A$2:$A$2427,IF(D764=$D$2:$D$2427,IF(ISNUMBER($X$2:$X$2427),1)))),0),""),0)</f>
        <v/>
      </c>
      <c r="Z764" s="104" t="str">
        <f>IF(ISNUMBER(O764),IF(I764&gt;0,(10^(VLOOKUP(D764,'Species Codes'!B:C,2,0)+VLOOKUP(D764,'Species Codes'!B:D,3,0)*LOG(E764)+VLOOKUP(D764,'Species Codes'!B:E,4,0)*LOG(I764))),0),"")</f>
        <v/>
      </c>
      <c r="AA764" s="104" t="str">
        <f>IFERROR((VLOOKUP(D764,'Species Codes'!B:G,6,0)*Z764)/2000,"")</f>
        <v/>
      </c>
      <c r="AB764" s="104" t="e">
        <f>IF(Z764&gt;0,((IF(OR(D764="DF",D764="RA")=TRUE,EXP(VLOOKUP(D764,'Species Codes'!B:I,8,0)+VLOOKUP(D764,'Species Codes'!B:J,9,0)*(LN((E764*2.54)))),IF(OR(D764="PY",D764="RC",D764="WH",D764="NF")=TRUE,VLOOKUP(D764,'Species Codes'!B:I,8,0)+VLOOKUP(D764,'Species Codes'!B:J,9,0)*((E764*2.54)^2)*(I764*0.3048),IF(OR(D764="MD",D764="BM",D764="GA")=TRUE,((VLOOKUP(D764,'Species Codes'!B:I,8,0)*(((((E764*2.54)+VLOOKUP(D764,'Species Codes'!B:J,9,0))/VLOOKUP(D764,'Species Codes'!B:K,10,0))^VLOOKUP(D764,'Species Codes'!B:L,11,0))*((I764*0.3048)^VLOOKUP(D764,'Species Codes'!B:M,12,0))))-(VLOOKUP(D764,'Species Codes'!B:I,8,0)*((((E764*2.54)^VLOOKUP(D764,'Species Codes'!B:L,11,0))*((I764*0.3048)^VLOOKUP(D764,'Species Codes'!B:M,12,0))))))*35.3*VLOOKUP(D764,'Species Codes'!B:G,6,0)/2.2046,VLOOKUP(D764,'Species Codes'!B:I,8,0)+VLOOKUP(D764,'Species Codes'!B:J,9,0)*(((E764*2.54)/100)^2)*(I764*0.3048)))))*0.0011023),0)</f>
        <v>#N/A</v>
      </c>
      <c r="AC764" s="104" t="e">
        <f>IF(Z764&gt;0,((IF(OR(D764="RA",D764="OA",D764="OT",D764="UN",D764="PC"),EXP(VLOOKUP(D764,'Species Codes'!B:O,14,0)+VLOOKUP(D764,'Species Codes'!B:P,15,0)*LN((E764*2.54)))-EXP(VLOOKUP(D764,'Species Codes'!B:O,14,0)+VLOOKUP(D764,'Species Codes'!B:P,15,0)*LN((E764*2.54)))*(1/(VLOOKUP(D764,'Species Codes'!B:Q,16,0)+VLOOKUP(D764,'Species Codes'!B:R,17,0)*((E764*2.54)^VLOOKUP(D764,'Species Codes'!B:S,18,0)))),IF(OR(D764="BM",D764="MD",D764="OA"),EXP(VLOOKUP(D764,'Species Codes'!B:O,14,0)+VLOOKUP(D764,'Species Codes'!B:P,15,0)*LN((E764*2.54)))*(1-(1/(VLOOKUP(D764,'Species Codes'!B:Q,16,0)+VLOOKUP(D764,'Species Codes'!B:R,17,0)*((E764*2.54)^VLOOKUP(D764,'Species Codes'!B:S,18,0)))))/1000,IF(D764="DF",EXP(VLOOKUP(D764,'Species Codes'!B:O,14,0)+VLOOKUP(D764,'Species Codes'!B:P,15,0)*LN((E764*2.54))),VLOOKUP(D764,'Species Codes'!B:O,14,0)+VLOOKUP(D764,'Species Codes'!B:P,15,0)*(((E764*2.54)/100)^2)*(I764*0.3048)))))*0.0011023),0)</f>
        <v>#N/A</v>
      </c>
      <c r="AD764" s="104" t="e">
        <f t="shared" si="355"/>
        <v>#N/A</v>
      </c>
      <c r="AE764" s="104" t="e">
        <f t="shared" si="356"/>
        <v>#N/A</v>
      </c>
      <c r="AF764" s="104" t="e">
        <f>IF(AND(VLOOKUP($D764,Merchantability!$B:$C,2,0)="Yes",$E764&gt;=VLOOKUP($D764,Merchantability!$B:$D,3,0),$E764&lt;=VLOOKUP($D764,Merchantability!$B:$E,4,0)),AA764,0)</f>
        <v>#N/A</v>
      </c>
      <c r="AG764" s="104" t="e">
        <f>IF(AND(VLOOKUP($D764,Merchantability!$B:$C,2,0)="Yes",$E764&gt;=VLOOKUP($D764,Merchantability!$B:$D,3,0),$E764&lt;=VLOOKUP($D764,Merchantability!$B:$E,4,0)),AB764,0)</f>
        <v>#N/A</v>
      </c>
      <c r="AH764" s="104" t="e">
        <f>IF(AND(VLOOKUP($D764,Merchantability!$B:$C,2,0)="Yes",$E764&gt;=VLOOKUP($D764,Merchantability!$B:$D,3,0),$E764&lt;=VLOOKUP($D764,Merchantability!$B:$E,4,0)),AC764,0)</f>
        <v>#N/A</v>
      </c>
      <c r="AI764" s="104" t="e">
        <f t="shared" si="357"/>
        <v>#N/A</v>
      </c>
      <c r="AJ764" s="104" t="e">
        <f t="shared" si="358"/>
        <v>#VALUE!</v>
      </c>
      <c r="AK764" s="104" t="e">
        <f t="shared" si="359"/>
        <v>#N/A</v>
      </c>
      <c r="AL764" s="104" t="e">
        <f t="shared" si="360"/>
        <v>#N/A</v>
      </c>
      <c r="AM764" s="104" t="e">
        <f t="shared" si="361"/>
        <v>#N/A</v>
      </c>
      <c r="AN764" s="104" t="e">
        <f t="shared" si="345"/>
        <v>#N/A</v>
      </c>
      <c r="AO764" s="104" t="e">
        <f t="shared" si="346"/>
        <v>#N/A</v>
      </c>
      <c r="AP764" s="104" t="e">
        <f t="shared" si="347"/>
        <v>#N/A</v>
      </c>
      <c r="AQ764" s="104" t="e">
        <f t="shared" si="348"/>
        <v>#N/A</v>
      </c>
      <c r="AR764" s="105" t="str">
        <f t="shared" si="340"/>
        <v/>
      </c>
      <c r="AS764" s="105" t="str">
        <f t="shared" si="341"/>
        <v/>
      </c>
      <c r="AT764" s="108" t="str">
        <f t="shared" si="342"/>
        <v/>
      </c>
      <c r="AU764" s="108" t="str">
        <f t="shared" si="343"/>
        <v/>
      </c>
      <c r="AV764" s="107" t="str">
        <f>IF(ISNUMBER(O764),IF(VLOOKUP($A764,Stand!C:J,8,FALSE)="Short",AT764,AU764),"")</f>
        <v/>
      </c>
      <c r="AW764" s="109" t="str">
        <f t="shared" si="349"/>
        <v/>
      </c>
      <c r="AX764" s="109" t="str">
        <f t="shared" si="350"/>
        <v/>
      </c>
      <c r="AY764" s="112" t="str">
        <f>IF(ISNUMBER(O764),IF(AND(VLOOKUP($D764,Merchantability!$B:$C,2,0)="Yes",$E764&gt;=VLOOKUP($D764,Merchantability!$B:$D,3,0),$E764&lt;=VLOOKUP($D764,Merchantability!$B:$E,4,0)),(AV764*O764)*(1-$H764/100),""),"")</f>
        <v/>
      </c>
      <c r="AZ764" s="116"/>
      <c r="BA764" s="116"/>
      <c r="BB764" s="116"/>
      <c r="BE764" s="62"/>
      <c r="BF764" s="63"/>
    </row>
    <row r="765" spans="1:58" ht="12.75" customHeight="1" x14ac:dyDescent="0.25">
      <c r="A765" s="313"/>
      <c r="B765" s="328"/>
      <c r="C765" s="329"/>
      <c r="D765" s="328"/>
      <c r="E765" s="330"/>
      <c r="F765" s="328"/>
      <c r="G765" s="329"/>
      <c r="H765" s="329"/>
      <c r="I765" s="328"/>
      <c r="J765" s="383"/>
      <c r="K765" s="329"/>
      <c r="L765" s="329"/>
      <c r="M765" s="76"/>
      <c r="N765" s="103" t="str">
        <f>IF(A765="","",VLOOKUP(A765,Stand!C:K,9,0))</f>
        <v/>
      </c>
      <c r="O765" s="104" t="str">
        <f t="shared" si="335"/>
        <v/>
      </c>
      <c r="P765" s="105" t="str">
        <f t="shared" si="336"/>
        <v/>
      </c>
      <c r="Q765" s="105" t="str">
        <f t="shared" si="351"/>
        <v/>
      </c>
      <c r="R765" s="103" t="str">
        <f t="shared" si="337"/>
        <v/>
      </c>
      <c r="S765" s="103" t="str">
        <f t="shared" si="338"/>
        <v/>
      </c>
      <c r="T765" s="106" t="str">
        <f t="shared" si="352"/>
        <v/>
      </c>
      <c r="U765" s="106" t="str">
        <f t="shared" si="353"/>
        <v/>
      </c>
      <c r="V765" s="106" t="str">
        <f t="shared" si="354"/>
        <v/>
      </c>
      <c r="W765" s="105" t="str">
        <f t="shared" si="339"/>
        <v/>
      </c>
      <c r="X765" s="104" t="str">
        <f t="shared" si="344"/>
        <v/>
      </c>
      <c r="Y765" s="104" t="str">
        <f t="array" ref="Y765">IFERROR(IF(ISNUMBER(O765),IF(COUNT(IF(A765=$A$2:$A$2427,IF(D765=$D$2:$D$2427,IF($X$2:$X$2427&gt;0,1))))&gt;0,SUM(IF(A765=$A$2:$A$2427,IF(D765=$D$2:$D$2427,$X$2:$X$2427)))/COUNT(IF(A765=$A$2:$A$2427,IF(D765=$D$2:$D$2427,IF(ISNUMBER($X$2:$X$2427),1)))),0),""),0)</f>
        <v/>
      </c>
      <c r="Z765" s="104" t="str">
        <f>IF(ISNUMBER(O765),IF(I765&gt;0,(10^(VLOOKUP(D765,'Species Codes'!B:C,2,0)+VLOOKUP(D765,'Species Codes'!B:D,3,0)*LOG(E765)+VLOOKUP(D765,'Species Codes'!B:E,4,0)*LOG(I765))),0),"")</f>
        <v/>
      </c>
      <c r="AA765" s="104" t="str">
        <f>IFERROR((VLOOKUP(D765,'Species Codes'!B:G,6,0)*Z765)/2000,"")</f>
        <v/>
      </c>
      <c r="AB765" s="104" t="e">
        <f>IF(Z765&gt;0,((IF(OR(D765="DF",D765="RA")=TRUE,EXP(VLOOKUP(D765,'Species Codes'!B:I,8,0)+VLOOKUP(D765,'Species Codes'!B:J,9,0)*(LN((E765*2.54)))),IF(OR(D765="PY",D765="RC",D765="WH",D765="NF")=TRUE,VLOOKUP(D765,'Species Codes'!B:I,8,0)+VLOOKUP(D765,'Species Codes'!B:J,9,0)*((E765*2.54)^2)*(I765*0.3048),IF(OR(D765="MD",D765="BM",D765="GA")=TRUE,((VLOOKUP(D765,'Species Codes'!B:I,8,0)*(((((E765*2.54)+VLOOKUP(D765,'Species Codes'!B:J,9,0))/VLOOKUP(D765,'Species Codes'!B:K,10,0))^VLOOKUP(D765,'Species Codes'!B:L,11,0))*((I765*0.3048)^VLOOKUP(D765,'Species Codes'!B:M,12,0))))-(VLOOKUP(D765,'Species Codes'!B:I,8,0)*((((E765*2.54)^VLOOKUP(D765,'Species Codes'!B:L,11,0))*((I765*0.3048)^VLOOKUP(D765,'Species Codes'!B:M,12,0))))))*35.3*VLOOKUP(D765,'Species Codes'!B:G,6,0)/2.2046,VLOOKUP(D765,'Species Codes'!B:I,8,0)+VLOOKUP(D765,'Species Codes'!B:J,9,0)*(((E765*2.54)/100)^2)*(I765*0.3048)))))*0.0011023),0)</f>
        <v>#N/A</v>
      </c>
      <c r="AC765" s="104" t="e">
        <f>IF(Z765&gt;0,((IF(OR(D765="RA",D765="OA",D765="OT",D765="UN",D765="PC"),EXP(VLOOKUP(D765,'Species Codes'!B:O,14,0)+VLOOKUP(D765,'Species Codes'!B:P,15,0)*LN((E765*2.54)))-EXP(VLOOKUP(D765,'Species Codes'!B:O,14,0)+VLOOKUP(D765,'Species Codes'!B:P,15,0)*LN((E765*2.54)))*(1/(VLOOKUP(D765,'Species Codes'!B:Q,16,0)+VLOOKUP(D765,'Species Codes'!B:R,17,0)*((E765*2.54)^VLOOKUP(D765,'Species Codes'!B:S,18,0)))),IF(OR(D765="BM",D765="MD",D765="OA"),EXP(VLOOKUP(D765,'Species Codes'!B:O,14,0)+VLOOKUP(D765,'Species Codes'!B:P,15,0)*LN((E765*2.54)))*(1-(1/(VLOOKUP(D765,'Species Codes'!B:Q,16,0)+VLOOKUP(D765,'Species Codes'!B:R,17,0)*((E765*2.54)^VLOOKUP(D765,'Species Codes'!B:S,18,0)))))/1000,IF(D765="DF",EXP(VLOOKUP(D765,'Species Codes'!B:O,14,0)+VLOOKUP(D765,'Species Codes'!B:P,15,0)*LN((E765*2.54))),VLOOKUP(D765,'Species Codes'!B:O,14,0)+VLOOKUP(D765,'Species Codes'!B:P,15,0)*(((E765*2.54)/100)^2)*(I765*0.3048)))))*0.0011023),0)</f>
        <v>#N/A</v>
      </c>
      <c r="AD765" s="104" t="e">
        <f t="shared" si="355"/>
        <v>#N/A</v>
      </c>
      <c r="AE765" s="104" t="e">
        <f t="shared" si="356"/>
        <v>#N/A</v>
      </c>
      <c r="AF765" s="104" t="e">
        <f>IF(AND(VLOOKUP($D765,Merchantability!$B:$C,2,0)="Yes",$E765&gt;=VLOOKUP($D765,Merchantability!$B:$D,3,0),$E765&lt;=VLOOKUP($D765,Merchantability!$B:$E,4,0)),AA765,0)</f>
        <v>#N/A</v>
      </c>
      <c r="AG765" s="104" t="e">
        <f>IF(AND(VLOOKUP($D765,Merchantability!$B:$C,2,0)="Yes",$E765&gt;=VLOOKUP($D765,Merchantability!$B:$D,3,0),$E765&lt;=VLOOKUP($D765,Merchantability!$B:$E,4,0)),AB765,0)</f>
        <v>#N/A</v>
      </c>
      <c r="AH765" s="104" t="e">
        <f>IF(AND(VLOOKUP($D765,Merchantability!$B:$C,2,0)="Yes",$E765&gt;=VLOOKUP($D765,Merchantability!$B:$D,3,0),$E765&lt;=VLOOKUP($D765,Merchantability!$B:$E,4,0)),AC765,0)</f>
        <v>#N/A</v>
      </c>
      <c r="AI765" s="104" t="e">
        <f t="shared" si="357"/>
        <v>#N/A</v>
      </c>
      <c r="AJ765" s="104" t="e">
        <f t="shared" si="358"/>
        <v>#VALUE!</v>
      </c>
      <c r="AK765" s="104" t="e">
        <f t="shared" si="359"/>
        <v>#N/A</v>
      </c>
      <c r="AL765" s="104" t="e">
        <f t="shared" si="360"/>
        <v>#N/A</v>
      </c>
      <c r="AM765" s="104" t="e">
        <f t="shared" si="361"/>
        <v>#N/A</v>
      </c>
      <c r="AN765" s="104" t="e">
        <f t="shared" si="345"/>
        <v>#N/A</v>
      </c>
      <c r="AO765" s="104" t="e">
        <f t="shared" si="346"/>
        <v>#N/A</v>
      </c>
      <c r="AP765" s="104" t="e">
        <f t="shared" si="347"/>
        <v>#N/A</v>
      </c>
      <c r="AQ765" s="104" t="e">
        <f t="shared" si="348"/>
        <v>#N/A</v>
      </c>
      <c r="AR765" s="105" t="str">
        <f t="shared" si="340"/>
        <v/>
      </c>
      <c r="AS765" s="105" t="str">
        <f t="shared" si="341"/>
        <v/>
      </c>
      <c r="AT765" s="108" t="str">
        <f t="shared" si="342"/>
        <v/>
      </c>
      <c r="AU765" s="108" t="str">
        <f t="shared" si="343"/>
        <v/>
      </c>
      <c r="AV765" s="107" t="str">
        <f>IF(ISNUMBER(O765),IF(VLOOKUP($A765,Stand!C:J,8,FALSE)="Short",AT765,AU765),"")</f>
        <v/>
      </c>
      <c r="AW765" s="109" t="str">
        <f t="shared" si="349"/>
        <v/>
      </c>
      <c r="AX765" s="109" t="str">
        <f t="shared" si="350"/>
        <v/>
      </c>
      <c r="AY765" s="112" t="str">
        <f>IF(ISNUMBER(O765),IF(AND(VLOOKUP($D765,Merchantability!$B:$C,2,0)="Yes",$E765&gt;=VLOOKUP($D765,Merchantability!$B:$D,3,0),$E765&lt;=VLOOKUP($D765,Merchantability!$B:$E,4,0)),(AV765*O765)*(1-$H765/100),""),"")</f>
        <v/>
      </c>
      <c r="AZ765" s="116"/>
      <c r="BA765" s="116"/>
      <c r="BB765" s="116"/>
      <c r="BE765" s="62"/>
      <c r="BF765" s="63"/>
    </row>
    <row r="766" spans="1:58" ht="12.75" customHeight="1" x14ac:dyDescent="0.25">
      <c r="A766" s="313"/>
      <c r="B766" s="328"/>
      <c r="C766" s="329"/>
      <c r="D766" s="328"/>
      <c r="E766" s="330"/>
      <c r="F766" s="328"/>
      <c r="G766" s="329"/>
      <c r="H766" s="329"/>
      <c r="I766" s="328"/>
      <c r="J766" s="383"/>
      <c r="K766" s="329"/>
      <c r="L766" s="329"/>
      <c r="M766" s="76"/>
      <c r="N766" s="103" t="str">
        <f>IF(A766="","",VLOOKUP(A766,Stand!C:K,9,0))</f>
        <v/>
      </c>
      <c r="O766" s="104" t="str">
        <f t="shared" si="335"/>
        <v/>
      </c>
      <c r="P766" s="105" t="str">
        <f t="shared" si="336"/>
        <v/>
      </c>
      <c r="Q766" s="105" t="str">
        <f t="shared" si="351"/>
        <v/>
      </c>
      <c r="R766" s="103" t="str">
        <f t="shared" si="337"/>
        <v/>
      </c>
      <c r="S766" s="103" t="str">
        <f t="shared" si="338"/>
        <v/>
      </c>
      <c r="T766" s="106" t="str">
        <f t="shared" si="352"/>
        <v/>
      </c>
      <c r="U766" s="106" t="str">
        <f t="shared" si="353"/>
        <v/>
      </c>
      <c r="V766" s="106" t="str">
        <f t="shared" si="354"/>
        <v/>
      </c>
      <c r="W766" s="105" t="str">
        <f t="shared" si="339"/>
        <v/>
      </c>
      <c r="X766" s="104" t="str">
        <f t="shared" si="344"/>
        <v/>
      </c>
      <c r="Y766" s="104" t="str">
        <f t="array" ref="Y766">IFERROR(IF(ISNUMBER(O766),IF(COUNT(IF(A766=$A$2:$A$2427,IF(D766=$D$2:$D$2427,IF($X$2:$X$2427&gt;0,1))))&gt;0,SUM(IF(A766=$A$2:$A$2427,IF(D766=$D$2:$D$2427,$X$2:$X$2427)))/COUNT(IF(A766=$A$2:$A$2427,IF(D766=$D$2:$D$2427,IF(ISNUMBER($X$2:$X$2427),1)))),0),""),0)</f>
        <v/>
      </c>
      <c r="Z766" s="104" t="str">
        <f>IF(ISNUMBER(O766),IF(I766&gt;0,(10^(VLOOKUP(D766,'Species Codes'!B:C,2,0)+VLOOKUP(D766,'Species Codes'!B:D,3,0)*LOG(E766)+VLOOKUP(D766,'Species Codes'!B:E,4,0)*LOG(I766))),0),"")</f>
        <v/>
      </c>
      <c r="AA766" s="104" t="str">
        <f>IFERROR((VLOOKUP(D766,'Species Codes'!B:G,6,0)*Z766)/2000,"")</f>
        <v/>
      </c>
      <c r="AB766" s="104" t="e">
        <f>IF(Z766&gt;0,((IF(OR(D766="DF",D766="RA")=TRUE,EXP(VLOOKUP(D766,'Species Codes'!B:I,8,0)+VLOOKUP(D766,'Species Codes'!B:J,9,0)*(LN((E766*2.54)))),IF(OR(D766="PY",D766="RC",D766="WH",D766="NF")=TRUE,VLOOKUP(D766,'Species Codes'!B:I,8,0)+VLOOKUP(D766,'Species Codes'!B:J,9,0)*((E766*2.54)^2)*(I766*0.3048),IF(OR(D766="MD",D766="BM",D766="GA")=TRUE,((VLOOKUP(D766,'Species Codes'!B:I,8,0)*(((((E766*2.54)+VLOOKUP(D766,'Species Codes'!B:J,9,0))/VLOOKUP(D766,'Species Codes'!B:K,10,0))^VLOOKUP(D766,'Species Codes'!B:L,11,0))*((I766*0.3048)^VLOOKUP(D766,'Species Codes'!B:M,12,0))))-(VLOOKUP(D766,'Species Codes'!B:I,8,0)*((((E766*2.54)^VLOOKUP(D766,'Species Codes'!B:L,11,0))*((I766*0.3048)^VLOOKUP(D766,'Species Codes'!B:M,12,0))))))*35.3*VLOOKUP(D766,'Species Codes'!B:G,6,0)/2.2046,VLOOKUP(D766,'Species Codes'!B:I,8,0)+VLOOKUP(D766,'Species Codes'!B:J,9,0)*(((E766*2.54)/100)^2)*(I766*0.3048)))))*0.0011023),0)</f>
        <v>#N/A</v>
      </c>
      <c r="AC766" s="104" t="e">
        <f>IF(Z766&gt;0,((IF(OR(D766="RA",D766="OA",D766="OT",D766="UN",D766="PC"),EXP(VLOOKUP(D766,'Species Codes'!B:O,14,0)+VLOOKUP(D766,'Species Codes'!B:P,15,0)*LN((E766*2.54)))-EXP(VLOOKUP(D766,'Species Codes'!B:O,14,0)+VLOOKUP(D766,'Species Codes'!B:P,15,0)*LN((E766*2.54)))*(1/(VLOOKUP(D766,'Species Codes'!B:Q,16,0)+VLOOKUP(D766,'Species Codes'!B:R,17,0)*((E766*2.54)^VLOOKUP(D766,'Species Codes'!B:S,18,0)))),IF(OR(D766="BM",D766="MD",D766="OA"),EXP(VLOOKUP(D766,'Species Codes'!B:O,14,0)+VLOOKUP(D766,'Species Codes'!B:P,15,0)*LN((E766*2.54)))*(1-(1/(VLOOKUP(D766,'Species Codes'!B:Q,16,0)+VLOOKUP(D766,'Species Codes'!B:R,17,0)*((E766*2.54)^VLOOKUP(D766,'Species Codes'!B:S,18,0)))))/1000,IF(D766="DF",EXP(VLOOKUP(D766,'Species Codes'!B:O,14,0)+VLOOKUP(D766,'Species Codes'!B:P,15,0)*LN((E766*2.54))),VLOOKUP(D766,'Species Codes'!B:O,14,0)+VLOOKUP(D766,'Species Codes'!B:P,15,0)*(((E766*2.54)/100)^2)*(I766*0.3048)))))*0.0011023),0)</f>
        <v>#N/A</v>
      </c>
      <c r="AD766" s="104" t="e">
        <f t="shared" si="355"/>
        <v>#N/A</v>
      </c>
      <c r="AE766" s="104" t="e">
        <f t="shared" si="356"/>
        <v>#N/A</v>
      </c>
      <c r="AF766" s="104" t="e">
        <f>IF(AND(VLOOKUP($D766,Merchantability!$B:$C,2,0)="Yes",$E766&gt;=VLOOKUP($D766,Merchantability!$B:$D,3,0),$E766&lt;=VLOOKUP($D766,Merchantability!$B:$E,4,0)),AA766,0)</f>
        <v>#N/A</v>
      </c>
      <c r="AG766" s="104" t="e">
        <f>IF(AND(VLOOKUP($D766,Merchantability!$B:$C,2,0)="Yes",$E766&gt;=VLOOKUP($D766,Merchantability!$B:$D,3,0),$E766&lt;=VLOOKUP($D766,Merchantability!$B:$E,4,0)),AB766,0)</f>
        <v>#N/A</v>
      </c>
      <c r="AH766" s="104" t="e">
        <f>IF(AND(VLOOKUP($D766,Merchantability!$B:$C,2,0)="Yes",$E766&gt;=VLOOKUP($D766,Merchantability!$B:$D,3,0),$E766&lt;=VLOOKUP($D766,Merchantability!$B:$E,4,0)),AC766,0)</f>
        <v>#N/A</v>
      </c>
      <c r="AI766" s="104" t="e">
        <f t="shared" si="357"/>
        <v>#N/A</v>
      </c>
      <c r="AJ766" s="104" t="e">
        <f t="shared" si="358"/>
        <v>#VALUE!</v>
      </c>
      <c r="AK766" s="104" t="e">
        <f t="shared" si="359"/>
        <v>#N/A</v>
      </c>
      <c r="AL766" s="104" t="e">
        <f t="shared" si="360"/>
        <v>#N/A</v>
      </c>
      <c r="AM766" s="104" t="e">
        <f t="shared" si="361"/>
        <v>#N/A</v>
      </c>
      <c r="AN766" s="104" t="e">
        <f t="shared" si="345"/>
        <v>#N/A</v>
      </c>
      <c r="AO766" s="104" t="e">
        <f t="shared" si="346"/>
        <v>#N/A</v>
      </c>
      <c r="AP766" s="104" t="e">
        <f t="shared" si="347"/>
        <v>#N/A</v>
      </c>
      <c r="AQ766" s="104" t="e">
        <f t="shared" si="348"/>
        <v>#N/A</v>
      </c>
      <c r="AR766" s="105" t="str">
        <f t="shared" si="340"/>
        <v/>
      </c>
      <c r="AS766" s="105" t="str">
        <f t="shared" si="341"/>
        <v/>
      </c>
      <c r="AT766" s="108" t="str">
        <f t="shared" si="342"/>
        <v/>
      </c>
      <c r="AU766" s="108" t="str">
        <f t="shared" si="343"/>
        <v/>
      </c>
      <c r="AV766" s="107" t="str">
        <f>IF(ISNUMBER(O766),IF(VLOOKUP($A766,Stand!C:J,8,FALSE)="Short",AT766,AU766),"")</f>
        <v/>
      </c>
      <c r="AW766" s="109" t="str">
        <f t="shared" si="349"/>
        <v/>
      </c>
      <c r="AX766" s="109" t="str">
        <f t="shared" si="350"/>
        <v/>
      </c>
      <c r="AY766" s="112" t="str">
        <f>IF(ISNUMBER(O766),IF(AND(VLOOKUP($D766,Merchantability!$B:$C,2,0)="Yes",$E766&gt;=VLOOKUP($D766,Merchantability!$B:$D,3,0),$E766&lt;=VLOOKUP($D766,Merchantability!$B:$E,4,0)),(AV766*O766)*(1-$H766/100),""),"")</f>
        <v/>
      </c>
      <c r="AZ766" s="116"/>
      <c r="BA766" s="116"/>
      <c r="BB766" s="116"/>
      <c r="BE766" s="62"/>
      <c r="BF766" s="63"/>
    </row>
    <row r="767" spans="1:58" ht="12.75" customHeight="1" x14ac:dyDescent="0.25">
      <c r="A767" s="313"/>
      <c r="B767" s="328"/>
      <c r="C767" s="329"/>
      <c r="D767" s="328"/>
      <c r="E767" s="330"/>
      <c r="F767" s="328"/>
      <c r="G767" s="329"/>
      <c r="H767" s="329"/>
      <c r="I767" s="328"/>
      <c r="J767" s="383"/>
      <c r="K767" s="329"/>
      <c r="L767" s="329"/>
      <c r="M767" s="76"/>
      <c r="N767" s="103" t="str">
        <f>IF(A767="","",VLOOKUP(A767,Stand!C:K,9,0))</f>
        <v/>
      </c>
      <c r="O767" s="104" t="str">
        <f t="shared" si="335"/>
        <v/>
      </c>
      <c r="P767" s="105" t="str">
        <f t="shared" si="336"/>
        <v/>
      </c>
      <c r="Q767" s="105" t="str">
        <f t="shared" si="351"/>
        <v/>
      </c>
      <c r="R767" s="103" t="str">
        <f t="shared" si="337"/>
        <v/>
      </c>
      <c r="S767" s="103" t="str">
        <f t="shared" si="338"/>
        <v/>
      </c>
      <c r="T767" s="106" t="str">
        <f t="shared" si="352"/>
        <v/>
      </c>
      <c r="U767" s="106" t="str">
        <f t="shared" si="353"/>
        <v/>
      </c>
      <c r="V767" s="106" t="str">
        <f t="shared" si="354"/>
        <v/>
      </c>
      <c r="W767" s="105" t="str">
        <f t="shared" si="339"/>
        <v/>
      </c>
      <c r="X767" s="104" t="str">
        <f t="shared" si="344"/>
        <v/>
      </c>
      <c r="Y767" s="104" t="str">
        <f t="array" ref="Y767">IFERROR(IF(ISNUMBER(O767),IF(COUNT(IF(A767=$A$2:$A$2427,IF(D767=$D$2:$D$2427,IF($X$2:$X$2427&gt;0,1))))&gt;0,SUM(IF(A767=$A$2:$A$2427,IF(D767=$D$2:$D$2427,$X$2:$X$2427)))/COUNT(IF(A767=$A$2:$A$2427,IF(D767=$D$2:$D$2427,IF(ISNUMBER($X$2:$X$2427),1)))),0),""),0)</f>
        <v/>
      </c>
      <c r="Z767" s="104" t="str">
        <f>IF(ISNUMBER(O767),IF(I767&gt;0,(10^(VLOOKUP(D767,'Species Codes'!B:C,2,0)+VLOOKUP(D767,'Species Codes'!B:D,3,0)*LOG(E767)+VLOOKUP(D767,'Species Codes'!B:E,4,0)*LOG(I767))),0),"")</f>
        <v/>
      </c>
      <c r="AA767" s="104" t="str">
        <f>IFERROR((VLOOKUP(D767,'Species Codes'!B:G,6,0)*Z767)/2000,"")</f>
        <v/>
      </c>
      <c r="AB767" s="104" t="e">
        <f>IF(Z767&gt;0,((IF(OR(D767="DF",D767="RA")=TRUE,EXP(VLOOKUP(D767,'Species Codes'!B:I,8,0)+VLOOKUP(D767,'Species Codes'!B:J,9,0)*(LN((E767*2.54)))),IF(OR(D767="PY",D767="RC",D767="WH",D767="NF")=TRUE,VLOOKUP(D767,'Species Codes'!B:I,8,0)+VLOOKUP(D767,'Species Codes'!B:J,9,0)*((E767*2.54)^2)*(I767*0.3048),IF(OR(D767="MD",D767="BM",D767="GA")=TRUE,((VLOOKUP(D767,'Species Codes'!B:I,8,0)*(((((E767*2.54)+VLOOKUP(D767,'Species Codes'!B:J,9,0))/VLOOKUP(D767,'Species Codes'!B:K,10,0))^VLOOKUP(D767,'Species Codes'!B:L,11,0))*((I767*0.3048)^VLOOKUP(D767,'Species Codes'!B:M,12,0))))-(VLOOKUP(D767,'Species Codes'!B:I,8,0)*((((E767*2.54)^VLOOKUP(D767,'Species Codes'!B:L,11,0))*((I767*0.3048)^VLOOKUP(D767,'Species Codes'!B:M,12,0))))))*35.3*VLOOKUP(D767,'Species Codes'!B:G,6,0)/2.2046,VLOOKUP(D767,'Species Codes'!B:I,8,0)+VLOOKUP(D767,'Species Codes'!B:J,9,0)*(((E767*2.54)/100)^2)*(I767*0.3048)))))*0.0011023),0)</f>
        <v>#N/A</v>
      </c>
      <c r="AC767" s="104" t="e">
        <f>IF(Z767&gt;0,((IF(OR(D767="RA",D767="OA",D767="OT",D767="UN",D767="PC"),EXP(VLOOKUP(D767,'Species Codes'!B:O,14,0)+VLOOKUP(D767,'Species Codes'!B:P,15,0)*LN((E767*2.54)))-EXP(VLOOKUP(D767,'Species Codes'!B:O,14,0)+VLOOKUP(D767,'Species Codes'!B:P,15,0)*LN((E767*2.54)))*(1/(VLOOKUP(D767,'Species Codes'!B:Q,16,0)+VLOOKUP(D767,'Species Codes'!B:R,17,0)*((E767*2.54)^VLOOKUP(D767,'Species Codes'!B:S,18,0)))),IF(OR(D767="BM",D767="MD",D767="OA"),EXP(VLOOKUP(D767,'Species Codes'!B:O,14,0)+VLOOKUP(D767,'Species Codes'!B:P,15,0)*LN((E767*2.54)))*(1-(1/(VLOOKUP(D767,'Species Codes'!B:Q,16,0)+VLOOKUP(D767,'Species Codes'!B:R,17,0)*((E767*2.54)^VLOOKUP(D767,'Species Codes'!B:S,18,0)))))/1000,IF(D767="DF",EXP(VLOOKUP(D767,'Species Codes'!B:O,14,0)+VLOOKUP(D767,'Species Codes'!B:P,15,0)*LN((E767*2.54))),VLOOKUP(D767,'Species Codes'!B:O,14,0)+VLOOKUP(D767,'Species Codes'!B:P,15,0)*(((E767*2.54)/100)^2)*(I767*0.3048)))))*0.0011023),0)</f>
        <v>#N/A</v>
      </c>
      <c r="AD767" s="104" t="e">
        <f t="shared" si="355"/>
        <v>#N/A</v>
      </c>
      <c r="AE767" s="104" t="e">
        <f t="shared" si="356"/>
        <v>#N/A</v>
      </c>
      <c r="AF767" s="104" t="e">
        <f>IF(AND(VLOOKUP($D767,Merchantability!$B:$C,2,0)="Yes",$E767&gt;=VLOOKUP($D767,Merchantability!$B:$D,3,0),$E767&lt;=VLOOKUP($D767,Merchantability!$B:$E,4,0)),AA767,0)</f>
        <v>#N/A</v>
      </c>
      <c r="AG767" s="104" t="e">
        <f>IF(AND(VLOOKUP($D767,Merchantability!$B:$C,2,0)="Yes",$E767&gt;=VLOOKUP($D767,Merchantability!$B:$D,3,0),$E767&lt;=VLOOKUP($D767,Merchantability!$B:$E,4,0)),AB767,0)</f>
        <v>#N/A</v>
      </c>
      <c r="AH767" s="104" t="e">
        <f>IF(AND(VLOOKUP($D767,Merchantability!$B:$C,2,0)="Yes",$E767&gt;=VLOOKUP($D767,Merchantability!$B:$D,3,0),$E767&lt;=VLOOKUP($D767,Merchantability!$B:$E,4,0)),AC767,0)</f>
        <v>#N/A</v>
      </c>
      <c r="AI767" s="104" t="e">
        <f t="shared" si="357"/>
        <v>#N/A</v>
      </c>
      <c r="AJ767" s="104" t="e">
        <f t="shared" si="358"/>
        <v>#VALUE!</v>
      </c>
      <c r="AK767" s="104" t="e">
        <f t="shared" si="359"/>
        <v>#N/A</v>
      </c>
      <c r="AL767" s="104" t="e">
        <f t="shared" si="360"/>
        <v>#N/A</v>
      </c>
      <c r="AM767" s="104" t="e">
        <f t="shared" si="361"/>
        <v>#N/A</v>
      </c>
      <c r="AN767" s="104" t="e">
        <f t="shared" si="345"/>
        <v>#N/A</v>
      </c>
      <c r="AO767" s="104" t="e">
        <f t="shared" si="346"/>
        <v>#N/A</v>
      </c>
      <c r="AP767" s="104" t="e">
        <f t="shared" si="347"/>
        <v>#N/A</v>
      </c>
      <c r="AQ767" s="104" t="e">
        <f t="shared" si="348"/>
        <v>#N/A</v>
      </c>
      <c r="AR767" s="105" t="str">
        <f t="shared" si="340"/>
        <v/>
      </c>
      <c r="AS767" s="105" t="str">
        <f t="shared" si="341"/>
        <v/>
      </c>
      <c r="AT767" s="108" t="str">
        <f t="shared" si="342"/>
        <v/>
      </c>
      <c r="AU767" s="108" t="str">
        <f t="shared" si="343"/>
        <v/>
      </c>
      <c r="AV767" s="107" t="str">
        <f>IF(ISNUMBER(O767),IF(VLOOKUP($A767,Stand!C:J,8,FALSE)="Short",AT767,AU767),"")</f>
        <v/>
      </c>
      <c r="AW767" s="109" t="str">
        <f t="shared" si="349"/>
        <v/>
      </c>
      <c r="AX767" s="109" t="str">
        <f t="shared" si="350"/>
        <v/>
      </c>
      <c r="AY767" s="112" t="str">
        <f>IF(ISNUMBER(O767),IF(AND(VLOOKUP($D767,Merchantability!$B:$C,2,0)="Yes",$E767&gt;=VLOOKUP($D767,Merchantability!$B:$D,3,0),$E767&lt;=VLOOKUP($D767,Merchantability!$B:$E,4,0)),(AV767*O767)*(1-$H767/100),""),"")</f>
        <v/>
      </c>
      <c r="AZ767" s="116"/>
      <c r="BA767" s="116"/>
      <c r="BB767" s="116"/>
      <c r="BE767" s="62"/>
      <c r="BF767" s="63"/>
    </row>
    <row r="768" spans="1:58" ht="12.75" customHeight="1" x14ac:dyDescent="0.25">
      <c r="A768" s="313"/>
      <c r="B768" s="328"/>
      <c r="C768" s="329"/>
      <c r="D768" s="328"/>
      <c r="E768" s="330"/>
      <c r="F768" s="328"/>
      <c r="G768" s="329"/>
      <c r="H768" s="329"/>
      <c r="I768" s="328"/>
      <c r="J768" s="383"/>
      <c r="K768" s="329"/>
      <c r="L768" s="329"/>
      <c r="M768" s="76"/>
      <c r="N768" s="103" t="str">
        <f>IF(A768="","",VLOOKUP(A768,Stand!C:K,9,0))</f>
        <v/>
      </c>
      <c r="O768" s="104" t="str">
        <f t="shared" si="335"/>
        <v/>
      </c>
      <c r="P768" s="105" t="str">
        <f t="shared" si="336"/>
        <v/>
      </c>
      <c r="Q768" s="105" t="str">
        <f t="shared" si="351"/>
        <v/>
      </c>
      <c r="R768" s="103" t="str">
        <f t="shared" si="337"/>
        <v/>
      </c>
      <c r="S768" s="103" t="str">
        <f t="shared" si="338"/>
        <v/>
      </c>
      <c r="T768" s="106" t="str">
        <f t="shared" si="352"/>
        <v/>
      </c>
      <c r="U768" s="106" t="str">
        <f t="shared" si="353"/>
        <v/>
      </c>
      <c r="V768" s="106" t="str">
        <f t="shared" si="354"/>
        <v/>
      </c>
      <c r="W768" s="105" t="str">
        <f t="shared" si="339"/>
        <v/>
      </c>
      <c r="X768" s="104" t="str">
        <f t="shared" si="344"/>
        <v/>
      </c>
      <c r="Y768" s="104" t="str">
        <f t="array" ref="Y768">IFERROR(IF(ISNUMBER(O768),IF(COUNT(IF(A768=$A$2:$A$2427,IF(D768=$D$2:$D$2427,IF($X$2:$X$2427&gt;0,1))))&gt;0,SUM(IF(A768=$A$2:$A$2427,IF(D768=$D$2:$D$2427,$X$2:$X$2427)))/COUNT(IF(A768=$A$2:$A$2427,IF(D768=$D$2:$D$2427,IF(ISNUMBER($X$2:$X$2427),1)))),0),""),0)</f>
        <v/>
      </c>
      <c r="Z768" s="104" t="str">
        <f>IF(ISNUMBER(O768),IF(I768&gt;0,(10^(VLOOKUP(D768,'Species Codes'!B:C,2,0)+VLOOKUP(D768,'Species Codes'!B:D,3,0)*LOG(E768)+VLOOKUP(D768,'Species Codes'!B:E,4,0)*LOG(I768))),0),"")</f>
        <v/>
      </c>
      <c r="AA768" s="104" t="str">
        <f>IFERROR((VLOOKUP(D768,'Species Codes'!B:G,6,0)*Z768)/2000,"")</f>
        <v/>
      </c>
      <c r="AB768" s="104" t="e">
        <f>IF(Z768&gt;0,((IF(OR(D768="DF",D768="RA")=TRUE,EXP(VLOOKUP(D768,'Species Codes'!B:I,8,0)+VLOOKUP(D768,'Species Codes'!B:J,9,0)*(LN((E768*2.54)))),IF(OR(D768="PY",D768="RC",D768="WH",D768="NF")=TRUE,VLOOKUP(D768,'Species Codes'!B:I,8,0)+VLOOKUP(D768,'Species Codes'!B:J,9,0)*((E768*2.54)^2)*(I768*0.3048),IF(OR(D768="MD",D768="BM",D768="GA")=TRUE,((VLOOKUP(D768,'Species Codes'!B:I,8,0)*(((((E768*2.54)+VLOOKUP(D768,'Species Codes'!B:J,9,0))/VLOOKUP(D768,'Species Codes'!B:K,10,0))^VLOOKUP(D768,'Species Codes'!B:L,11,0))*((I768*0.3048)^VLOOKUP(D768,'Species Codes'!B:M,12,0))))-(VLOOKUP(D768,'Species Codes'!B:I,8,0)*((((E768*2.54)^VLOOKUP(D768,'Species Codes'!B:L,11,0))*((I768*0.3048)^VLOOKUP(D768,'Species Codes'!B:M,12,0))))))*35.3*VLOOKUP(D768,'Species Codes'!B:G,6,0)/2.2046,VLOOKUP(D768,'Species Codes'!B:I,8,0)+VLOOKUP(D768,'Species Codes'!B:J,9,0)*(((E768*2.54)/100)^2)*(I768*0.3048)))))*0.0011023),0)</f>
        <v>#N/A</v>
      </c>
      <c r="AC768" s="104" t="e">
        <f>IF(Z768&gt;0,((IF(OR(D768="RA",D768="OA",D768="OT",D768="UN",D768="PC"),EXP(VLOOKUP(D768,'Species Codes'!B:O,14,0)+VLOOKUP(D768,'Species Codes'!B:P,15,0)*LN((E768*2.54)))-EXP(VLOOKUP(D768,'Species Codes'!B:O,14,0)+VLOOKUP(D768,'Species Codes'!B:P,15,0)*LN((E768*2.54)))*(1/(VLOOKUP(D768,'Species Codes'!B:Q,16,0)+VLOOKUP(D768,'Species Codes'!B:R,17,0)*((E768*2.54)^VLOOKUP(D768,'Species Codes'!B:S,18,0)))),IF(OR(D768="BM",D768="MD",D768="OA"),EXP(VLOOKUP(D768,'Species Codes'!B:O,14,0)+VLOOKUP(D768,'Species Codes'!B:P,15,0)*LN((E768*2.54)))*(1-(1/(VLOOKUP(D768,'Species Codes'!B:Q,16,0)+VLOOKUP(D768,'Species Codes'!B:R,17,0)*((E768*2.54)^VLOOKUP(D768,'Species Codes'!B:S,18,0)))))/1000,IF(D768="DF",EXP(VLOOKUP(D768,'Species Codes'!B:O,14,0)+VLOOKUP(D768,'Species Codes'!B:P,15,0)*LN((E768*2.54))),VLOOKUP(D768,'Species Codes'!B:O,14,0)+VLOOKUP(D768,'Species Codes'!B:P,15,0)*(((E768*2.54)/100)^2)*(I768*0.3048)))))*0.0011023),0)</f>
        <v>#N/A</v>
      </c>
      <c r="AD768" s="104" t="e">
        <f t="shared" si="355"/>
        <v>#N/A</v>
      </c>
      <c r="AE768" s="104" t="e">
        <f t="shared" si="356"/>
        <v>#N/A</v>
      </c>
      <c r="AF768" s="104" t="e">
        <f>IF(AND(VLOOKUP($D768,Merchantability!$B:$C,2,0)="Yes",$E768&gt;=VLOOKUP($D768,Merchantability!$B:$D,3,0),$E768&lt;=VLOOKUP($D768,Merchantability!$B:$E,4,0)),AA768,0)</f>
        <v>#N/A</v>
      </c>
      <c r="AG768" s="104" t="e">
        <f>IF(AND(VLOOKUP($D768,Merchantability!$B:$C,2,0)="Yes",$E768&gt;=VLOOKUP($D768,Merchantability!$B:$D,3,0),$E768&lt;=VLOOKUP($D768,Merchantability!$B:$E,4,0)),AB768,0)</f>
        <v>#N/A</v>
      </c>
      <c r="AH768" s="104" t="e">
        <f>IF(AND(VLOOKUP($D768,Merchantability!$B:$C,2,0)="Yes",$E768&gt;=VLOOKUP($D768,Merchantability!$B:$D,3,0),$E768&lt;=VLOOKUP($D768,Merchantability!$B:$E,4,0)),AC768,0)</f>
        <v>#N/A</v>
      </c>
      <c r="AI768" s="104" t="e">
        <f t="shared" si="357"/>
        <v>#N/A</v>
      </c>
      <c r="AJ768" s="104" t="e">
        <f t="shared" si="358"/>
        <v>#VALUE!</v>
      </c>
      <c r="AK768" s="104" t="e">
        <f t="shared" si="359"/>
        <v>#N/A</v>
      </c>
      <c r="AL768" s="104" t="e">
        <f t="shared" si="360"/>
        <v>#N/A</v>
      </c>
      <c r="AM768" s="104" t="e">
        <f t="shared" si="361"/>
        <v>#N/A</v>
      </c>
      <c r="AN768" s="104" t="e">
        <f t="shared" si="345"/>
        <v>#N/A</v>
      </c>
      <c r="AO768" s="104" t="e">
        <f t="shared" si="346"/>
        <v>#N/A</v>
      </c>
      <c r="AP768" s="104" t="e">
        <f t="shared" si="347"/>
        <v>#N/A</v>
      </c>
      <c r="AQ768" s="104" t="e">
        <f t="shared" si="348"/>
        <v>#N/A</v>
      </c>
      <c r="AR768" s="105" t="str">
        <f t="shared" si="340"/>
        <v/>
      </c>
      <c r="AS768" s="105" t="str">
        <f t="shared" si="341"/>
        <v/>
      </c>
      <c r="AT768" s="108" t="str">
        <f t="shared" si="342"/>
        <v/>
      </c>
      <c r="AU768" s="108" t="str">
        <f t="shared" si="343"/>
        <v/>
      </c>
      <c r="AV768" s="107" t="str">
        <f>IF(ISNUMBER(O768),IF(VLOOKUP($A768,Stand!C:J,8,FALSE)="Short",AT768,AU768),"")</f>
        <v/>
      </c>
      <c r="AW768" s="109" t="str">
        <f t="shared" si="349"/>
        <v/>
      </c>
      <c r="AX768" s="109" t="str">
        <f t="shared" si="350"/>
        <v/>
      </c>
      <c r="AY768" s="112" t="str">
        <f>IF(ISNUMBER(O768),IF(AND(VLOOKUP($D768,Merchantability!$B:$C,2,0)="Yes",$E768&gt;=VLOOKUP($D768,Merchantability!$B:$D,3,0),$E768&lt;=VLOOKUP($D768,Merchantability!$B:$E,4,0)),(AV768*O768)*(1-$H768/100),""),"")</f>
        <v/>
      </c>
      <c r="AZ768" s="116"/>
      <c r="BA768" s="116"/>
      <c r="BB768" s="116"/>
      <c r="BE768" s="62"/>
      <c r="BF768" s="63"/>
    </row>
    <row r="769" spans="1:58" ht="12.75" customHeight="1" x14ac:dyDescent="0.25">
      <c r="A769" s="313"/>
      <c r="B769" s="328"/>
      <c r="C769" s="329"/>
      <c r="D769" s="328"/>
      <c r="E769" s="330"/>
      <c r="F769" s="328"/>
      <c r="G769" s="329"/>
      <c r="H769" s="329"/>
      <c r="I769" s="328"/>
      <c r="J769" s="383"/>
      <c r="K769" s="329"/>
      <c r="L769" s="329"/>
      <c r="M769" s="76"/>
      <c r="N769" s="103" t="str">
        <f>IF(A769="","",VLOOKUP(A769,Stand!C:K,9,0))</f>
        <v/>
      </c>
      <c r="O769" s="104" t="str">
        <f t="shared" si="335"/>
        <v/>
      </c>
      <c r="P769" s="105" t="str">
        <f t="shared" si="336"/>
        <v/>
      </c>
      <c r="Q769" s="105" t="str">
        <f t="shared" si="351"/>
        <v/>
      </c>
      <c r="R769" s="103" t="str">
        <f t="shared" si="337"/>
        <v/>
      </c>
      <c r="S769" s="103" t="str">
        <f t="shared" si="338"/>
        <v/>
      </c>
      <c r="T769" s="106" t="str">
        <f t="shared" si="352"/>
        <v/>
      </c>
      <c r="U769" s="106" t="str">
        <f t="shared" si="353"/>
        <v/>
      </c>
      <c r="V769" s="106" t="str">
        <f t="shared" si="354"/>
        <v/>
      </c>
      <c r="W769" s="105" t="str">
        <f t="shared" si="339"/>
        <v/>
      </c>
      <c r="X769" s="104" t="str">
        <f t="shared" si="344"/>
        <v/>
      </c>
      <c r="Y769" s="104" t="str">
        <f t="array" ref="Y769">IFERROR(IF(ISNUMBER(O769),IF(COUNT(IF(A769=$A$2:$A$2427,IF(D769=$D$2:$D$2427,IF($X$2:$X$2427&gt;0,1))))&gt;0,SUM(IF(A769=$A$2:$A$2427,IF(D769=$D$2:$D$2427,$X$2:$X$2427)))/COUNT(IF(A769=$A$2:$A$2427,IF(D769=$D$2:$D$2427,IF(ISNUMBER($X$2:$X$2427),1)))),0),""),0)</f>
        <v/>
      </c>
      <c r="Z769" s="104" t="str">
        <f>IF(ISNUMBER(O769),IF(I769&gt;0,(10^(VLOOKUP(D769,'Species Codes'!B:C,2,0)+VLOOKUP(D769,'Species Codes'!B:D,3,0)*LOG(E769)+VLOOKUP(D769,'Species Codes'!B:E,4,0)*LOG(I769))),0),"")</f>
        <v/>
      </c>
      <c r="AA769" s="104" t="str">
        <f>IFERROR((VLOOKUP(D769,'Species Codes'!B:G,6,0)*Z769)/2000,"")</f>
        <v/>
      </c>
      <c r="AB769" s="104" t="e">
        <f>IF(Z769&gt;0,((IF(OR(D769="DF",D769="RA")=TRUE,EXP(VLOOKUP(D769,'Species Codes'!B:I,8,0)+VLOOKUP(D769,'Species Codes'!B:J,9,0)*(LN((E769*2.54)))),IF(OR(D769="PY",D769="RC",D769="WH",D769="NF")=TRUE,VLOOKUP(D769,'Species Codes'!B:I,8,0)+VLOOKUP(D769,'Species Codes'!B:J,9,0)*((E769*2.54)^2)*(I769*0.3048),IF(OR(D769="MD",D769="BM",D769="GA")=TRUE,((VLOOKUP(D769,'Species Codes'!B:I,8,0)*(((((E769*2.54)+VLOOKUP(D769,'Species Codes'!B:J,9,0))/VLOOKUP(D769,'Species Codes'!B:K,10,0))^VLOOKUP(D769,'Species Codes'!B:L,11,0))*((I769*0.3048)^VLOOKUP(D769,'Species Codes'!B:M,12,0))))-(VLOOKUP(D769,'Species Codes'!B:I,8,0)*((((E769*2.54)^VLOOKUP(D769,'Species Codes'!B:L,11,0))*((I769*0.3048)^VLOOKUP(D769,'Species Codes'!B:M,12,0))))))*35.3*VLOOKUP(D769,'Species Codes'!B:G,6,0)/2.2046,VLOOKUP(D769,'Species Codes'!B:I,8,0)+VLOOKUP(D769,'Species Codes'!B:J,9,0)*(((E769*2.54)/100)^2)*(I769*0.3048)))))*0.0011023),0)</f>
        <v>#N/A</v>
      </c>
      <c r="AC769" s="104" t="e">
        <f>IF(Z769&gt;0,((IF(OR(D769="RA",D769="OA",D769="OT",D769="UN",D769="PC"),EXP(VLOOKUP(D769,'Species Codes'!B:O,14,0)+VLOOKUP(D769,'Species Codes'!B:P,15,0)*LN((E769*2.54)))-EXP(VLOOKUP(D769,'Species Codes'!B:O,14,0)+VLOOKUP(D769,'Species Codes'!B:P,15,0)*LN((E769*2.54)))*(1/(VLOOKUP(D769,'Species Codes'!B:Q,16,0)+VLOOKUP(D769,'Species Codes'!B:R,17,0)*((E769*2.54)^VLOOKUP(D769,'Species Codes'!B:S,18,0)))),IF(OR(D769="BM",D769="MD",D769="OA"),EXP(VLOOKUP(D769,'Species Codes'!B:O,14,0)+VLOOKUP(D769,'Species Codes'!B:P,15,0)*LN((E769*2.54)))*(1-(1/(VLOOKUP(D769,'Species Codes'!B:Q,16,0)+VLOOKUP(D769,'Species Codes'!B:R,17,0)*((E769*2.54)^VLOOKUP(D769,'Species Codes'!B:S,18,0)))))/1000,IF(D769="DF",EXP(VLOOKUP(D769,'Species Codes'!B:O,14,0)+VLOOKUP(D769,'Species Codes'!B:P,15,0)*LN((E769*2.54))),VLOOKUP(D769,'Species Codes'!B:O,14,0)+VLOOKUP(D769,'Species Codes'!B:P,15,0)*(((E769*2.54)/100)^2)*(I769*0.3048)))))*0.0011023),0)</f>
        <v>#N/A</v>
      </c>
      <c r="AD769" s="104" t="e">
        <f t="shared" si="355"/>
        <v>#N/A</v>
      </c>
      <c r="AE769" s="104" t="e">
        <f t="shared" si="356"/>
        <v>#N/A</v>
      </c>
      <c r="AF769" s="104" t="e">
        <f>IF(AND(VLOOKUP($D769,Merchantability!$B:$C,2,0)="Yes",$E769&gt;=VLOOKUP($D769,Merchantability!$B:$D,3,0),$E769&lt;=VLOOKUP($D769,Merchantability!$B:$E,4,0)),AA769,0)</f>
        <v>#N/A</v>
      </c>
      <c r="AG769" s="104" t="e">
        <f>IF(AND(VLOOKUP($D769,Merchantability!$B:$C,2,0)="Yes",$E769&gt;=VLOOKUP($D769,Merchantability!$B:$D,3,0),$E769&lt;=VLOOKUP($D769,Merchantability!$B:$E,4,0)),AB769,0)</f>
        <v>#N/A</v>
      </c>
      <c r="AH769" s="104" t="e">
        <f>IF(AND(VLOOKUP($D769,Merchantability!$B:$C,2,0)="Yes",$E769&gt;=VLOOKUP($D769,Merchantability!$B:$D,3,0),$E769&lt;=VLOOKUP($D769,Merchantability!$B:$E,4,0)),AC769,0)</f>
        <v>#N/A</v>
      </c>
      <c r="AI769" s="104" t="e">
        <f t="shared" si="357"/>
        <v>#N/A</v>
      </c>
      <c r="AJ769" s="104" t="e">
        <f t="shared" si="358"/>
        <v>#VALUE!</v>
      </c>
      <c r="AK769" s="104" t="e">
        <f t="shared" si="359"/>
        <v>#N/A</v>
      </c>
      <c r="AL769" s="104" t="e">
        <f t="shared" si="360"/>
        <v>#N/A</v>
      </c>
      <c r="AM769" s="104" t="e">
        <f t="shared" si="361"/>
        <v>#N/A</v>
      </c>
      <c r="AN769" s="104" t="e">
        <f t="shared" si="345"/>
        <v>#N/A</v>
      </c>
      <c r="AO769" s="104" t="e">
        <f t="shared" si="346"/>
        <v>#N/A</v>
      </c>
      <c r="AP769" s="104" t="e">
        <f t="shared" si="347"/>
        <v>#N/A</v>
      </c>
      <c r="AQ769" s="104" t="e">
        <f t="shared" si="348"/>
        <v>#N/A</v>
      </c>
      <c r="AR769" s="105" t="str">
        <f t="shared" si="340"/>
        <v/>
      </c>
      <c r="AS769" s="105" t="str">
        <f t="shared" si="341"/>
        <v/>
      </c>
      <c r="AT769" s="108" t="str">
        <f t="shared" si="342"/>
        <v/>
      </c>
      <c r="AU769" s="108" t="str">
        <f t="shared" si="343"/>
        <v/>
      </c>
      <c r="AV769" s="107" t="str">
        <f>IF(ISNUMBER(O769),IF(VLOOKUP($A769,Stand!C:J,8,FALSE)="Short",AT769,AU769),"")</f>
        <v/>
      </c>
      <c r="AW769" s="109" t="str">
        <f t="shared" si="349"/>
        <v/>
      </c>
      <c r="AX769" s="109" t="str">
        <f t="shared" si="350"/>
        <v/>
      </c>
      <c r="AY769" s="112" t="str">
        <f>IF(ISNUMBER(O769),IF(AND(VLOOKUP($D769,Merchantability!$B:$C,2,0)="Yes",$E769&gt;=VLOOKUP($D769,Merchantability!$B:$D,3,0),$E769&lt;=VLOOKUP($D769,Merchantability!$B:$E,4,0)),(AV769*O769)*(1-$H769/100),""),"")</f>
        <v/>
      </c>
      <c r="AZ769" s="116"/>
      <c r="BA769" s="116"/>
      <c r="BB769" s="116"/>
      <c r="BE769" s="62"/>
      <c r="BF769" s="63"/>
    </row>
    <row r="770" spans="1:58" ht="12.75" customHeight="1" x14ac:dyDescent="0.25">
      <c r="A770" s="313"/>
      <c r="B770" s="328"/>
      <c r="C770" s="329"/>
      <c r="D770" s="328"/>
      <c r="E770" s="330"/>
      <c r="F770" s="328"/>
      <c r="G770" s="329"/>
      <c r="H770" s="329"/>
      <c r="I770" s="328"/>
      <c r="J770" s="383"/>
      <c r="K770" s="329"/>
      <c r="L770" s="329"/>
      <c r="M770" s="76"/>
      <c r="N770" s="103" t="str">
        <f>IF(A770="","",VLOOKUP(A770,Stand!C:K,9,0))</f>
        <v/>
      </c>
      <c r="O770" s="104" t="str">
        <f t="shared" ref="O770:O833" si="362">IF(E770&gt;0,IF(G770&gt;1,G770*(43560/(N770^2*3.14)),43560/(N770^2*3.14)),"")</f>
        <v/>
      </c>
      <c r="P770" s="105" t="str">
        <f t="shared" ref="P770:P833" si="363">IF(ISNUMBER(O770),E770*O770,"")</f>
        <v/>
      </c>
      <c r="Q770" s="105" t="str">
        <f t="shared" si="351"/>
        <v/>
      </c>
      <c r="R770" s="103" t="str">
        <f t="shared" ref="R770:R833" si="364">IF(ISNUMBER(O770),E770^2*0.005454*O770,"")</f>
        <v/>
      </c>
      <c r="S770" s="103" t="str">
        <f t="shared" ref="S770:S833" si="365">IF(ISNUMBER(O770),(E770/10)^1.7*O770,"")</f>
        <v/>
      </c>
      <c r="T770" s="106" t="str">
        <f t="shared" si="352"/>
        <v/>
      </c>
      <c r="U770" s="106" t="str">
        <f t="shared" si="353"/>
        <v/>
      </c>
      <c r="V770" s="106" t="str">
        <f t="shared" si="354"/>
        <v/>
      </c>
      <c r="W770" s="105" t="str">
        <f t="shared" ref="W770:W833" si="366">IF(AND(ISNUMBER(O770),I770&gt;0),I770/(E770/12),"")</f>
        <v/>
      </c>
      <c r="X770" s="104" t="str">
        <f t="shared" si="344"/>
        <v/>
      </c>
      <c r="Y770" s="104" t="str">
        <f t="array" ref="Y770">IFERROR(IF(ISNUMBER(O770),IF(COUNT(IF(A770=$A$2:$A$2427,IF(D770=$D$2:$D$2427,IF($X$2:$X$2427&gt;0,1))))&gt;0,SUM(IF(A770=$A$2:$A$2427,IF(D770=$D$2:$D$2427,$X$2:$X$2427)))/COUNT(IF(A770=$A$2:$A$2427,IF(D770=$D$2:$D$2427,IF(ISNUMBER($X$2:$X$2427),1)))),0),""),0)</f>
        <v/>
      </c>
      <c r="Z770" s="104" t="str">
        <f>IF(ISNUMBER(O770),IF(I770&gt;0,(10^(VLOOKUP(D770,'Species Codes'!B:C,2,0)+VLOOKUP(D770,'Species Codes'!B:D,3,0)*LOG(E770)+VLOOKUP(D770,'Species Codes'!B:E,4,0)*LOG(I770))),0),"")</f>
        <v/>
      </c>
      <c r="AA770" s="104" t="str">
        <f>IFERROR((VLOOKUP(D770,'Species Codes'!B:G,6,0)*Z770)/2000,"")</f>
        <v/>
      </c>
      <c r="AB770" s="104" t="e">
        <f>IF(Z770&gt;0,((IF(OR(D770="DF",D770="RA")=TRUE,EXP(VLOOKUP(D770,'Species Codes'!B:I,8,0)+VLOOKUP(D770,'Species Codes'!B:J,9,0)*(LN((E770*2.54)))),IF(OR(D770="PY",D770="RC",D770="WH",D770="NF")=TRUE,VLOOKUP(D770,'Species Codes'!B:I,8,0)+VLOOKUP(D770,'Species Codes'!B:J,9,0)*((E770*2.54)^2)*(I770*0.3048),IF(OR(D770="MD",D770="BM",D770="GA")=TRUE,((VLOOKUP(D770,'Species Codes'!B:I,8,0)*(((((E770*2.54)+VLOOKUP(D770,'Species Codes'!B:J,9,0))/VLOOKUP(D770,'Species Codes'!B:K,10,0))^VLOOKUP(D770,'Species Codes'!B:L,11,0))*((I770*0.3048)^VLOOKUP(D770,'Species Codes'!B:M,12,0))))-(VLOOKUP(D770,'Species Codes'!B:I,8,0)*((((E770*2.54)^VLOOKUP(D770,'Species Codes'!B:L,11,0))*((I770*0.3048)^VLOOKUP(D770,'Species Codes'!B:M,12,0))))))*35.3*VLOOKUP(D770,'Species Codes'!B:G,6,0)/2.2046,VLOOKUP(D770,'Species Codes'!B:I,8,0)+VLOOKUP(D770,'Species Codes'!B:J,9,0)*(((E770*2.54)/100)^2)*(I770*0.3048)))))*0.0011023),0)</f>
        <v>#N/A</v>
      </c>
      <c r="AC770" s="104" t="e">
        <f>IF(Z770&gt;0,((IF(OR(D770="RA",D770="OA",D770="OT",D770="UN",D770="PC"),EXP(VLOOKUP(D770,'Species Codes'!B:O,14,0)+VLOOKUP(D770,'Species Codes'!B:P,15,0)*LN((E770*2.54)))-EXP(VLOOKUP(D770,'Species Codes'!B:O,14,0)+VLOOKUP(D770,'Species Codes'!B:P,15,0)*LN((E770*2.54)))*(1/(VLOOKUP(D770,'Species Codes'!B:Q,16,0)+VLOOKUP(D770,'Species Codes'!B:R,17,0)*((E770*2.54)^VLOOKUP(D770,'Species Codes'!B:S,18,0)))),IF(OR(D770="BM",D770="MD",D770="OA"),EXP(VLOOKUP(D770,'Species Codes'!B:O,14,0)+VLOOKUP(D770,'Species Codes'!B:P,15,0)*LN((E770*2.54)))*(1-(1/(VLOOKUP(D770,'Species Codes'!B:Q,16,0)+VLOOKUP(D770,'Species Codes'!B:R,17,0)*((E770*2.54)^VLOOKUP(D770,'Species Codes'!B:S,18,0)))))/1000,IF(D770="DF",EXP(VLOOKUP(D770,'Species Codes'!B:O,14,0)+VLOOKUP(D770,'Species Codes'!B:P,15,0)*LN((E770*2.54))),VLOOKUP(D770,'Species Codes'!B:O,14,0)+VLOOKUP(D770,'Species Codes'!B:P,15,0)*(((E770*2.54)/100)^2)*(I770*0.3048)))))*0.0011023),0)</f>
        <v>#N/A</v>
      </c>
      <c r="AD770" s="104" t="e">
        <f t="shared" si="355"/>
        <v>#N/A</v>
      </c>
      <c r="AE770" s="104" t="e">
        <f t="shared" si="356"/>
        <v>#N/A</v>
      </c>
      <c r="AF770" s="104" t="e">
        <f>IF(AND(VLOOKUP($D770,Merchantability!$B:$C,2,0)="Yes",$E770&gt;=VLOOKUP($D770,Merchantability!$B:$D,3,0),$E770&lt;=VLOOKUP($D770,Merchantability!$B:$E,4,0)),AA770,0)</f>
        <v>#N/A</v>
      </c>
      <c r="AG770" s="104" t="e">
        <f>IF(AND(VLOOKUP($D770,Merchantability!$B:$C,2,0)="Yes",$E770&gt;=VLOOKUP($D770,Merchantability!$B:$D,3,0),$E770&lt;=VLOOKUP($D770,Merchantability!$B:$E,4,0)),AB770,0)</f>
        <v>#N/A</v>
      </c>
      <c r="AH770" s="104" t="e">
        <f>IF(AND(VLOOKUP($D770,Merchantability!$B:$C,2,0)="Yes",$E770&gt;=VLOOKUP($D770,Merchantability!$B:$D,3,0),$E770&lt;=VLOOKUP($D770,Merchantability!$B:$E,4,0)),AC770,0)</f>
        <v>#N/A</v>
      </c>
      <c r="AI770" s="104" t="e">
        <f t="shared" si="357"/>
        <v>#N/A</v>
      </c>
      <c r="AJ770" s="104" t="e">
        <f t="shared" si="358"/>
        <v>#VALUE!</v>
      </c>
      <c r="AK770" s="104" t="e">
        <f t="shared" si="359"/>
        <v>#N/A</v>
      </c>
      <c r="AL770" s="104" t="e">
        <f t="shared" si="360"/>
        <v>#N/A</v>
      </c>
      <c r="AM770" s="104" t="e">
        <f t="shared" si="361"/>
        <v>#N/A</v>
      </c>
      <c r="AN770" s="104" t="e">
        <f t="shared" si="345"/>
        <v>#N/A</v>
      </c>
      <c r="AO770" s="104" t="e">
        <f t="shared" si="346"/>
        <v>#N/A</v>
      </c>
      <c r="AP770" s="104" t="e">
        <f t="shared" si="347"/>
        <v>#N/A</v>
      </c>
      <c r="AQ770" s="104" t="e">
        <f t="shared" si="348"/>
        <v>#N/A</v>
      </c>
      <c r="AR770" s="105" t="str">
        <f t="shared" ref="AR770:AR833" si="367">IF(ISNUMBER(O770),IF(Y770&gt;0,((Y770*(E770^2*0.005454-0.087266))/0.912733),0),"")</f>
        <v/>
      </c>
      <c r="AS770" s="105" t="str">
        <f t="shared" ref="AS770:AS833" si="368">IF(ISNUMBER(O770),AR770*(0.993-0.993*(0.62^(E770-6))),"")</f>
        <v/>
      </c>
      <c r="AT770" s="108" t="str">
        <f t="shared" ref="AT770:AT833" si="369">IF(ISNUMBER(O770),IF(AS770&gt;0,IF(Y770&gt;0,(AS770*10^(0.174439+0.117594*(LOG(E770,10))*(LOG(Y770/0.912733,10))-8.210585/E770^2+0.236693*(LOG(Y770/0.912733,10))-0.00001345*(Y770/0.912733)^2-0.00001937*E770^2)),0),0),"")</f>
        <v/>
      </c>
      <c r="AU770" s="108" t="str">
        <f t="shared" ref="AU770:AU833" si="370">IF(ISNUMBER(O770),IF(AS770&gt;0,IF(Y770&gt;0,AT770*(1.001491-(6.92497/Y770)+(0.00001351*(E770^2))),0),0),"")</f>
        <v/>
      </c>
      <c r="AV770" s="107" t="str">
        <f>IF(ISNUMBER(O770),IF(VLOOKUP($A770,Stand!C:J,8,FALSE)="Short",AT770,AU770),"")</f>
        <v/>
      </c>
      <c r="AW770" s="109" t="str">
        <f t="shared" si="349"/>
        <v/>
      </c>
      <c r="AX770" s="109" t="str">
        <f t="shared" si="350"/>
        <v/>
      </c>
      <c r="AY770" s="112" t="str">
        <f>IF(ISNUMBER(O770),IF(AND(VLOOKUP($D770,Merchantability!$B:$C,2,0)="Yes",$E770&gt;=VLOOKUP($D770,Merchantability!$B:$D,3,0),$E770&lt;=VLOOKUP($D770,Merchantability!$B:$E,4,0)),(AV770*O770)*(1-$H770/100),""),"")</f>
        <v/>
      </c>
      <c r="AZ770" s="116"/>
      <c r="BA770" s="116"/>
      <c r="BB770" s="116"/>
      <c r="BE770" s="62"/>
      <c r="BF770" s="63"/>
    </row>
    <row r="771" spans="1:58" ht="12.75" customHeight="1" x14ac:dyDescent="0.25">
      <c r="A771" s="313"/>
      <c r="B771" s="328"/>
      <c r="C771" s="329"/>
      <c r="D771" s="328"/>
      <c r="E771" s="330"/>
      <c r="F771" s="328"/>
      <c r="G771" s="329"/>
      <c r="H771" s="329"/>
      <c r="I771" s="328"/>
      <c r="J771" s="383"/>
      <c r="K771" s="329"/>
      <c r="L771" s="329"/>
      <c r="M771" s="76"/>
      <c r="N771" s="103" t="str">
        <f>IF(A771="","",VLOOKUP(A771,Stand!C:K,9,0))</f>
        <v/>
      </c>
      <c r="O771" s="104" t="str">
        <f t="shared" si="362"/>
        <v/>
      </c>
      <c r="P771" s="105" t="str">
        <f t="shared" si="363"/>
        <v/>
      </c>
      <c r="Q771" s="105" t="str">
        <f t="shared" si="351"/>
        <v/>
      </c>
      <c r="R771" s="103" t="str">
        <f t="shared" si="364"/>
        <v/>
      </c>
      <c r="S771" s="103" t="str">
        <f t="shared" si="365"/>
        <v/>
      </c>
      <c r="T771" s="106" t="str">
        <f t="shared" si="352"/>
        <v/>
      </c>
      <c r="U771" s="106" t="str">
        <f t="shared" si="353"/>
        <v/>
      </c>
      <c r="V771" s="106" t="str">
        <f t="shared" si="354"/>
        <v/>
      </c>
      <c r="W771" s="105" t="str">
        <f t="shared" si="366"/>
        <v/>
      </c>
      <c r="X771" s="104" t="str">
        <f t="shared" ref="X771:X834" si="371">IF(ISNUMBER(O771),IF(I771&gt;0,IF(E771&gt;0,(0.912733*Z771)/(1.033*(1+1.382937*EXP(-4.015292*E771/10))*((E771^2)*0.005454+0.087266)-0.174533),""),""),"")</f>
        <v/>
      </c>
      <c r="Y771" s="104" t="str">
        <f t="array" ref="Y771">IFERROR(IF(ISNUMBER(O771),IF(COUNT(IF(A771=$A$2:$A$2427,IF(D771=$D$2:$D$2427,IF($X$2:$X$2427&gt;0,1))))&gt;0,SUM(IF(A771=$A$2:$A$2427,IF(D771=$D$2:$D$2427,$X$2:$X$2427)))/COUNT(IF(A771=$A$2:$A$2427,IF(D771=$D$2:$D$2427,IF(ISNUMBER($X$2:$X$2427),1)))),0),""),0)</f>
        <v/>
      </c>
      <c r="Z771" s="104" t="str">
        <f>IF(ISNUMBER(O771),IF(I771&gt;0,(10^(VLOOKUP(D771,'Species Codes'!B:C,2,0)+VLOOKUP(D771,'Species Codes'!B:D,3,0)*LOG(E771)+VLOOKUP(D771,'Species Codes'!B:E,4,0)*LOG(I771))),0),"")</f>
        <v/>
      </c>
      <c r="AA771" s="104" t="str">
        <f>IFERROR((VLOOKUP(D771,'Species Codes'!B:G,6,0)*Z771)/2000,"")</f>
        <v/>
      </c>
      <c r="AB771" s="104" t="e">
        <f>IF(Z771&gt;0,((IF(OR(D771="DF",D771="RA")=TRUE,EXP(VLOOKUP(D771,'Species Codes'!B:I,8,0)+VLOOKUP(D771,'Species Codes'!B:J,9,0)*(LN((E771*2.54)))),IF(OR(D771="PY",D771="RC",D771="WH",D771="NF")=TRUE,VLOOKUP(D771,'Species Codes'!B:I,8,0)+VLOOKUP(D771,'Species Codes'!B:J,9,0)*((E771*2.54)^2)*(I771*0.3048),IF(OR(D771="MD",D771="BM",D771="GA")=TRUE,((VLOOKUP(D771,'Species Codes'!B:I,8,0)*(((((E771*2.54)+VLOOKUP(D771,'Species Codes'!B:J,9,0))/VLOOKUP(D771,'Species Codes'!B:K,10,0))^VLOOKUP(D771,'Species Codes'!B:L,11,0))*((I771*0.3048)^VLOOKUP(D771,'Species Codes'!B:M,12,0))))-(VLOOKUP(D771,'Species Codes'!B:I,8,0)*((((E771*2.54)^VLOOKUP(D771,'Species Codes'!B:L,11,0))*((I771*0.3048)^VLOOKUP(D771,'Species Codes'!B:M,12,0))))))*35.3*VLOOKUP(D771,'Species Codes'!B:G,6,0)/2.2046,VLOOKUP(D771,'Species Codes'!B:I,8,0)+VLOOKUP(D771,'Species Codes'!B:J,9,0)*(((E771*2.54)/100)^2)*(I771*0.3048)))))*0.0011023),0)</f>
        <v>#N/A</v>
      </c>
      <c r="AC771" s="104" t="e">
        <f>IF(Z771&gt;0,((IF(OR(D771="RA",D771="OA",D771="OT",D771="UN",D771="PC"),EXP(VLOOKUP(D771,'Species Codes'!B:O,14,0)+VLOOKUP(D771,'Species Codes'!B:P,15,0)*LN((E771*2.54)))-EXP(VLOOKUP(D771,'Species Codes'!B:O,14,0)+VLOOKUP(D771,'Species Codes'!B:P,15,0)*LN((E771*2.54)))*(1/(VLOOKUP(D771,'Species Codes'!B:Q,16,0)+VLOOKUP(D771,'Species Codes'!B:R,17,0)*((E771*2.54)^VLOOKUP(D771,'Species Codes'!B:S,18,0)))),IF(OR(D771="BM",D771="MD",D771="OA"),EXP(VLOOKUP(D771,'Species Codes'!B:O,14,0)+VLOOKUP(D771,'Species Codes'!B:P,15,0)*LN((E771*2.54)))*(1-(1/(VLOOKUP(D771,'Species Codes'!B:Q,16,0)+VLOOKUP(D771,'Species Codes'!B:R,17,0)*((E771*2.54)^VLOOKUP(D771,'Species Codes'!B:S,18,0)))))/1000,IF(D771="DF",EXP(VLOOKUP(D771,'Species Codes'!B:O,14,0)+VLOOKUP(D771,'Species Codes'!B:P,15,0)*LN((E771*2.54))),VLOOKUP(D771,'Species Codes'!B:O,14,0)+VLOOKUP(D771,'Species Codes'!B:P,15,0)*(((E771*2.54)/100)^2)*(I771*0.3048)))))*0.0011023),0)</f>
        <v>#N/A</v>
      </c>
      <c r="AD771" s="104" t="e">
        <f t="shared" si="355"/>
        <v>#N/A</v>
      </c>
      <c r="AE771" s="104" t="e">
        <f t="shared" si="356"/>
        <v>#N/A</v>
      </c>
      <c r="AF771" s="104" t="e">
        <f>IF(AND(VLOOKUP($D771,Merchantability!$B:$C,2,0)="Yes",$E771&gt;=VLOOKUP($D771,Merchantability!$B:$D,3,0),$E771&lt;=VLOOKUP($D771,Merchantability!$B:$E,4,0)),AA771,0)</f>
        <v>#N/A</v>
      </c>
      <c r="AG771" s="104" t="e">
        <f>IF(AND(VLOOKUP($D771,Merchantability!$B:$C,2,0)="Yes",$E771&gt;=VLOOKUP($D771,Merchantability!$B:$D,3,0),$E771&lt;=VLOOKUP($D771,Merchantability!$B:$E,4,0)),AB771,0)</f>
        <v>#N/A</v>
      </c>
      <c r="AH771" s="104" t="e">
        <f>IF(AND(VLOOKUP($D771,Merchantability!$B:$C,2,0)="Yes",$E771&gt;=VLOOKUP($D771,Merchantability!$B:$D,3,0),$E771&lt;=VLOOKUP($D771,Merchantability!$B:$E,4,0)),AC771,0)</f>
        <v>#N/A</v>
      </c>
      <c r="AI771" s="104" t="e">
        <f t="shared" si="357"/>
        <v>#N/A</v>
      </c>
      <c r="AJ771" s="104" t="e">
        <f t="shared" si="358"/>
        <v>#VALUE!</v>
      </c>
      <c r="AK771" s="104" t="e">
        <f t="shared" si="359"/>
        <v>#N/A</v>
      </c>
      <c r="AL771" s="104" t="e">
        <f t="shared" si="360"/>
        <v>#N/A</v>
      </c>
      <c r="AM771" s="104" t="e">
        <f t="shared" si="361"/>
        <v>#N/A</v>
      </c>
      <c r="AN771" s="104" t="e">
        <f t="shared" ref="AN771:AN834" si="372">AF771*$O771</f>
        <v>#N/A</v>
      </c>
      <c r="AO771" s="104" t="e">
        <f t="shared" ref="AO771:AO834" si="373">AG771*$O771</f>
        <v>#N/A</v>
      </c>
      <c r="AP771" s="104" t="e">
        <f t="shared" ref="AP771:AP834" si="374">AH771*$O771</f>
        <v>#N/A</v>
      </c>
      <c r="AQ771" s="104" t="e">
        <f t="shared" ref="AQ771:AQ834" si="375">SUM(AN771:AP771)</f>
        <v>#N/A</v>
      </c>
      <c r="AR771" s="105" t="str">
        <f t="shared" si="367"/>
        <v/>
      </c>
      <c r="AS771" s="105" t="str">
        <f t="shared" si="368"/>
        <v/>
      </c>
      <c r="AT771" s="108" t="str">
        <f t="shared" si="369"/>
        <v/>
      </c>
      <c r="AU771" s="108" t="str">
        <f t="shared" si="370"/>
        <v/>
      </c>
      <c r="AV771" s="107" t="str">
        <f>IF(ISNUMBER(O771),IF(VLOOKUP($A771,Stand!C:J,8,FALSE)="Short",AT771,AU771),"")</f>
        <v/>
      </c>
      <c r="AW771" s="109" t="str">
        <f t="shared" ref="AW771:AW834" si="376">IF(ISNUMBER(O771),AV771*O771,"")</f>
        <v/>
      </c>
      <c r="AX771" s="109" t="str">
        <f t="shared" ref="AX771:AX834" si="377">IF(ISNUMBER(O771),AW771*(1-$H771/100),"")</f>
        <v/>
      </c>
      <c r="AY771" s="112" t="str">
        <f>IF(ISNUMBER(O771),IF(AND(VLOOKUP($D771,Merchantability!$B:$C,2,0)="Yes",$E771&gt;=VLOOKUP($D771,Merchantability!$B:$D,3,0),$E771&lt;=VLOOKUP($D771,Merchantability!$B:$E,4,0)),(AV771*O771)*(1-$H771/100),""),"")</f>
        <v/>
      </c>
      <c r="AZ771" s="116"/>
      <c r="BA771" s="116"/>
      <c r="BB771" s="116"/>
      <c r="BE771" s="62"/>
      <c r="BF771" s="63"/>
    </row>
    <row r="772" spans="1:58" ht="12.75" customHeight="1" x14ac:dyDescent="0.25">
      <c r="A772" s="313"/>
      <c r="B772" s="328"/>
      <c r="C772" s="329"/>
      <c r="D772" s="328"/>
      <c r="E772" s="330"/>
      <c r="F772" s="328"/>
      <c r="G772" s="329"/>
      <c r="H772" s="329"/>
      <c r="I772" s="328"/>
      <c r="J772" s="383"/>
      <c r="K772" s="329"/>
      <c r="L772" s="329"/>
      <c r="M772" s="76"/>
      <c r="N772" s="103" t="str">
        <f>IF(A772="","",VLOOKUP(A772,Stand!C:K,9,0))</f>
        <v/>
      </c>
      <c r="O772" s="104" t="str">
        <f t="shared" si="362"/>
        <v/>
      </c>
      <c r="P772" s="105" t="str">
        <f t="shared" si="363"/>
        <v/>
      </c>
      <c r="Q772" s="105" t="str">
        <f t="shared" si="351"/>
        <v/>
      </c>
      <c r="R772" s="103" t="str">
        <f t="shared" si="364"/>
        <v/>
      </c>
      <c r="S772" s="103" t="str">
        <f t="shared" si="365"/>
        <v/>
      </c>
      <c r="T772" s="106" t="str">
        <f t="shared" si="352"/>
        <v/>
      </c>
      <c r="U772" s="106" t="str">
        <f t="shared" si="353"/>
        <v/>
      </c>
      <c r="V772" s="106" t="str">
        <f t="shared" si="354"/>
        <v/>
      </c>
      <c r="W772" s="105" t="str">
        <f t="shared" si="366"/>
        <v/>
      </c>
      <c r="X772" s="104" t="str">
        <f t="shared" si="371"/>
        <v/>
      </c>
      <c r="Y772" s="104" t="str">
        <f t="array" ref="Y772">IFERROR(IF(ISNUMBER(O772),IF(COUNT(IF(A772=$A$2:$A$2427,IF(D772=$D$2:$D$2427,IF($X$2:$X$2427&gt;0,1))))&gt;0,SUM(IF(A772=$A$2:$A$2427,IF(D772=$D$2:$D$2427,$X$2:$X$2427)))/COUNT(IF(A772=$A$2:$A$2427,IF(D772=$D$2:$D$2427,IF(ISNUMBER($X$2:$X$2427),1)))),0),""),0)</f>
        <v/>
      </c>
      <c r="Z772" s="104" t="str">
        <f>IF(ISNUMBER(O772),IF(I772&gt;0,(10^(VLOOKUP(D772,'Species Codes'!B:C,2,0)+VLOOKUP(D772,'Species Codes'!B:D,3,0)*LOG(E772)+VLOOKUP(D772,'Species Codes'!B:E,4,0)*LOG(I772))),0),"")</f>
        <v/>
      </c>
      <c r="AA772" s="104" t="str">
        <f>IFERROR((VLOOKUP(D772,'Species Codes'!B:G,6,0)*Z772)/2000,"")</f>
        <v/>
      </c>
      <c r="AB772" s="104" t="e">
        <f>IF(Z772&gt;0,((IF(OR(D772="DF",D772="RA")=TRUE,EXP(VLOOKUP(D772,'Species Codes'!B:I,8,0)+VLOOKUP(D772,'Species Codes'!B:J,9,0)*(LN((E772*2.54)))),IF(OR(D772="PY",D772="RC",D772="WH",D772="NF")=TRUE,VLOOKUP(D772,'Species Codes'!B:I,8,0)+VLOOKUP(D772,'Species Codes'!B:J,9,0)*((E772*2.54)^2)*(I772*0.3048),IF(OR(D772="MD",D772="BM",D772="GA")=TRUE,((VLOOKUP(D772,'Species Codes'!B:I,8,0)*(((((E772*2.54)+VLOOKUP(D772,'Species Codes'!B:J,9,0))/VLOOKUP(D772,'Species Codes'!B:K,10,0))^VLOOKUP(D772,'Species Codes'!B:L,11,0))*((I772*0.3048)^VLOOKUP(D772,'Species Codes'!B:M,12,0))))-(VLOOKUP(D772,'Species Codes'!B:I,8,0)*((((E772*2.54)^VLOOKUP(D772,'Species Codes'!B:L,11,0))*((I772*0.3048)^VLOOKUP(D772,'Species Codes'!B:M,12,0))))))*35.3*VLOOKUP(D772,'Species Codes'!B:G,6,0)/2.2046,VLOOKUP(D772,'Species Codes'!B:I,8,0)+VLOOKUP(D772,'Species Codes'!B:J,9,0)*(((E772*2.54)/100)^2)*(I772*0.3048)))))*0.0011023),0)</f>
        <v>#N/A</v>
      </c>
      <c r="AC772" s="104" t="e">
        <f>IF(Z772&gt;0,((IF(OR(D772="RA",D772="OA",D772="OT",D772="UN",D772="PC"),EXP(VLOOKUP(D772,'Species Codes'!B:O,14,0)+VLOOKUP(D772,'Species Codes'!B:P,15,0)*LN((E772*2.54)))-EXP(VLOOKUP(D772,'Species Codes'!B:O,14,0)+VLOOKUP(D772,'Species Codes'!B:P,15,0)*LN((E772*2.54)))*(1/(VLOOKUP(D772,'Species Codes'!B:Q,16,0)+VLOOKUP(D772,'Species Codes'!B:R,17,0)*((E772*2.54)^VLOOKUP(D772,'Species Codes'!B:S,18,0)))),IF(OR(D772="BM",D772="MD",D772="OA"),EXP(VLOOKUP(D772,'Species Codes'!B:O,14,0)+VLOOKUP(D772,'Species Codes'!B:P,15,0)*LN((E772*2.54)))*(1-(1/(VLOOKUP(D772,'Species Codes'!B:Q,16,0)+VLOOKUP(D772,'Species Codes'!B:R,17,0)*((E772*2.54)^VLOOKUP(D772,'Species Codes'!B:S,18,0)))))/1000,IF(D772="DF",EXP(VLOOKUP(D772,'Species Codes'!B:O,14,0)+VLOOKUP(D772,'Species Codes'!B:P,15,0)*LN((E772*2.54))),VLOOKUP(D772,'Species Codes'!B:O,14,0)+VLOOKUP(D772,'Species Codes'!B:P,15,0)*(((E772*2.54)/100)^2)*(I772*0.3048)))))*0.0011023),0)</f>
        <v>#N/A</v>
      </c>
      <c r="AD772" s="104" t="e">
        <f t="shared" si="355"/>
        <v>#N/A</v>
      </c>
      <c r="AE772" s="104" t="e">
        <f t="shared" si="356"/>
        <v>#N/A</v>
      </c>
      <c r="AF772" s="104" t="e">
        <f>IF(AND(VLOOKUP($D772,Merchantability!$B:$C,2,0)="Yes",$E772&gt;=VLOOKUP($D772,Merchantability!$B:$D,3,0),$E772&lt;=VLOOKUP($D772,Merchantability!$B:$E,4,0)),AA772,0)</f>
        <v>#N/A</v>
      </c>
      <c r="AG772" s="104" t="e">
        <f>IF(AND(VLOOKUP($D772,Merchantability!$B:$C,2,0)="Yes",$E772&gt;=VLOOKUP($D772,Merchantability!$B:$D,3,0),$E772&lt;=VLOOKUP($D772,Merchantability!$B:$E,4,0)),AB772,0)</f>
        <v>#N/A</v>
      </c>
      <c r="AH772" s="104" t="e">
        <f>IF(AND(VLOOKUP($D772,Merchantability!$B:$C,2,0)="Yes",$E772&gt;=VLOOKUP($D772,Merchantability!$B:$D,3,0),$E772&lt;=VLOOKUP($D772,Merchantability!$B:$E,4,0)),AC772,0)</f>
        <v>#N/A</v>
      </c>
      <c r="AI772" s="104" t="e">
        <f t="shared" si="357"/>
        <v>#N/A</v>
      </c>
      <c r="AJ772" s="104" t="e">
        <f t="shared" si="358"/>
        <v>#VALUE!</v>
      </c>
      <c r="AK772" s="104" t="e">
        <f t="shared" si="359"/>
        <v>#N/A</v>
      </c>
      <c r="AL772" s="104" t="e">
        <f t="shared" si="360"/>
        <v>#N/A</v>
      </c>
      <c r="AM772" s="104" t="e">
        <f t="shared" si="361"/>
        <v>#N/A</v>
      </c>
      <c r="AN772" s="104" t="e">
        <f t="shared" si="372"/>
        <v>#N/A</v>
      </c>
      <c r="AO772" s="104" t="e">
        <f t="shared" si="373"/>
        <v>#N/A</v>
      </c>
      <c r="AP772" s="104" t="e">
        <f t="shared" si="374"/>
        <v>#N/A</v>
      </c>
      <c r="AQ772" s="104" t="e">
        <f t="shared" si="375"/>
        <v>#N/A</v>
      </c>
      <c r="AR772" s="105" t="str">
        <f t="shared" si="367"/>
        <v/>
      </c>
      <c r="AS772" s="105" t="str">
        <f t="shared" si="368"/>
        <v/>
      </c>
      <c r="AT772" s="108" t="str">
        <f t="shared" si="369"/>
        <v/>
      </c>
      <c r="AU772" s="108" t="str">
        <f t="shared" si="370"/>
        <v/>
      </c>
      <c r="AV772" s="107" t="str">
        <f>IF(ISNUMBER(O772),IF(VLOOKUP($A772,Stand!C:J,8,FALSE)="Short",AT772,AU772),"")</f>
        <v/>
      </c>
      <c r="AW772" s="109" t="str">
        <f t="shared" si="376"/>
        <v/>
      </c>
      <c r="AX772" s="109" t="str">
        <f t="shared" si="377"/>
        <v/>
      </c>
      <c r="AY772" s="112" t="str">
        <f>IF(ISNUMBER(O772),IF(AND(VLOOKUP($D772,Merchantability!$B:$C,2,0)="Yes",$E772&gt;=VLOOKUP($D772,Merchantability!$B:$D,3,0),$E772&lt;=VLOOKUP($D772,Merchantability!$B:$E,4,0)),(AV772*O772)*(1-$H772/100),""),"")</f>
        <v/>
      </c>
      <c r="AZ772" s="116"/>
      <c r="BA772" s="116"/>
      <c r="BB772" s="116"/>
      <c r="BE772" s="62"/>
      <c r="BF772" s="63"/>
    </row>
    <row r="773" spans="1:58" ht="12.75" customHeight="1" x14ac:dyDescent="0.25">
      <c r="A773" s="313"/>
      <c r="B773" s="328"/>
      <c r="C773" s="329"/>
      <c r="D773" s="328"/>
      <c r="E773" s="330"/>
      <c r="F773" s="328"/>
      <c r="G773" s="329"/>
      <c r="H773" s="329"/>
      <c r="I773" s="328"/>
      <c r="J773" s="383"/>
      <c r="K773" s="329"/>
      <c r="L773" s="329"/>
      <c r="M773" s="76"/>
      <c r="N773" s="103" t="str">
        <f>IF(A773="","",VLOOKUP(A773,Stand!C:K,9,0))</f>
        <v/>
      </c>
      <c r="O773" s="104" t="str">
        <f t="shared" si="362"/>
        <v/>
      </c>
      <c r="P773" s="105" t="str">
        <f t="shared" si="363"/>
        <v/>
      </c>
      <c r="Q773" s="105" t="str">
        <f t="shared" si="351"/>
        <v/>
      </c>
      <c r="R773" s="103" t="str">
        <f t="shared" si="364"/>
        <v/>
      </c>
      <c r="S773" s="103" t="str">
        <f t="shared" si="365"/>
        <v/>
      </c>
      <c r="T773" s="106" t="str">
        <f t="shared" si="352"/>
        <v/>
      </c>
      <c r="U773" s="106" t="str">
        <f t="shared" si="353"/>
        <v/>
      </c>
      <c r="V773" s="106" t="str">
        <f t="shared" si="354"/>
        <v/>
      </c>
      <c r="W773" s="105" t="str">
        <f t="shared" si="366"/>
        <v/>
      </c>
      <c r="X773" s="104" t="str">
        <f t="shared" si="371"/>
        <v/>
      </c>
      <c r="Y773" s="104" t="str">
        <f t="array" ref="Y773">IFERROR(IF(ISNUMBER(O773),IF(COUNT(IF(A773=$A$2:$A$2427,IF(D773=$D$2:$D$2427,IF($X$2:$X$2427&gt;0,1))))&gt;0,SUM(IF(A773=$A$2:$A$2427,IF(D773=$D$2:$D$2427,$X$2:$X$2427)))/COUNT(IF(A773=$A$2:$A$2427,IF(D773=$D$2:$D$2427,IF(ISNUMBER($X$2:$X$2427),1)))),0),""),0)</f>
        <v/>
      </c>
      <c r="Z773" s="104" t="str">
        <f>IF(ISNUMBER(O773),IF(I773&gt;0,(10^(VLOOKUP(D773,'Species Codes'!B:C,2,0)+VLOOKUP(D773,'Species Codes'!B:D,3,0)*LOG(E773)+VLOOKUP(D773,'Species Codes'!B:E,4,0)*LOG(I773))),0),"")</f>
        <v/>
      </c>
      <c r="AA773" s="104" t="str">
        <f>IFERROR((VLOOKUP(D773,'Species Codes'!B:G,6,0)*Z773)/2000,"")</f>
        <v/>
      </c>
      <c r="AB773" s="104" t="e">
        <f>IF(Z773&gt;0,((IF(OR(D773="DF",D773="RA")=TRUE,EXP(VLOOKUP(D773,'Species Codes'!B:I,8,0)+VLOOKUP(D773,'Species Codes'!B:J,9,0)*(LN((E773*2.54)))),IF(OR(D773="PY",D773="RC",D773="WH",D773="NF")=TRUE,VLOOKUP(D773,'Species Codes'!B:I,8,0)+VLOOKUP(D773,'Species Codes'!B:J,9,0)*((E773*2.54)^2)*(I773*0.3048),IF(OR(D773="MD",D773="BM",D773="GA")=TRUE,((VLOOKUP(D773,'Species Codes'!B:I,8,0)*(((((E773*2.54)+VLOOKUP(D773,'Species Codes'!B:J,9,0))/VLOOKUP(D773,'Species Codes'!B:K,10,0))^VLOOKUP(D773,'Species Codes'!B:L,11,0))*((I773*0.3048)^VLOOKUP(D773,'Species Codes'!B:M,12,0))))-(VLOOKUP(D773,'Species Codes'!B:I,8,0)*((((E773*2.54)^VLOOKUP(D773,'Species Codes'!B:L,11,0))*((I773*0.3048)^VLOOKUP(D773,'Species Codes'!B:M,12,0))))))*35.3*VLOOKUP(D773,'Species Codes'!B:G,6,0)/2.2046,VLOOKUP(D773,'Species Codes'!B:I,8,0)+VLOOKUP(D773,'Species Codes'!B:J,9,0)*(((E773*2.54)/100)^2)*(I773*0.3048)))))*0.0011023),0)</f>
        <v>#N/A</v>
      </c>
      <c r="AC773" s="104" t="e">
        <f>IF(Z773&gt;0,((IF(OR(D773="RA",D773="OA",D773="OT",D773="UN",D773="PC"),EXP(VLOOKUP(D773,'Species Codes'!B:O,14,0)+VLOOKUP(D773,'Species Codes'!B:P,15,0)*LN((E773*2.54)))-EXP(VLOOKUP(D773,'Species Codes'!B:O,14,0)+VLOOKUP(D773,'Species Codes'!B:P,15,0)*LN((E773*2.54)))*(1/(VLOOKUP(D773,'Species Codes'!B:Q,16,0)+VLOOKUP(D773,'Species Codes'!B:R,17,0)*((E773*2.54)^VLOOKUP(D773,'Species Codes'!B:S,18,0)))),IF(OR(D773="BM",D773="MD",D773="OA"),EXP(VLOOKUP(D773,'Species Codes'!B:O,14,0)+VLOOKUP(D773,'Species Codes'!B:P,15,0)*LN((E773*2.54)))*(1-(1/(VLOOKUP(D773,'Species Codes'!B:Q,16,0)+VLOOKUP(D773,'Species Codes'!B:R,17,0)*((E773*2.54)^VLOOKUP(D773,'Species Codes'!B:S,18,0)))))/1000,IF(D773="DF",EXP(VLOOKUP(D773,'Species Codes'!B:O,14,0)+VLOOKUP(D773,'Species Codes'!B:P,15,0)*LN((E773*2.54))),VLOOKUP(D773,'Species Codes'!B:O,14,0)+VLOOKUP(D773,'Species Codes'!B:P,15,0)*(((E773*2.54)/100)^2)*(I773*0.3048)))))*0.0011023),0)</f>
        <v>#N/A</v>
      </c>
      <c r="AD773" s="104" t="e">
        <f t="shared" si="355"/>
        <v>#N/A</v>
      </c>
      <c r="AE773" s="104" t="e">
        <f t="shared" si="356"/>
        <v>#N/A</v>
      </c>
      <c r="AF773" s="104" t="e">
        <f>IF(AND(VLOOKUP($D773,Merchantability!$B:$C,2,0)="Yes",$E773&gt;=VLOOKUP($D773,Merchantability!$B:$D,3,0),$E773&lt;=VLOOKUP($D773,Merchantability!$B:$E,4,0)),AA773,0)</f>
        <v>#N/A</v>
      </c>
      <c r="AG773" s="104" t="e">
        <f>IF(AND(VLOOKUP($D773,Merchantability!$B:$C,2,0)="Yes",$E773&gt;=VLOOKUP($D773,Merchantability!$B:$D,3,0),$E773&lt;=VLOOKUP($D773,Merchantability!$B:$E,4,0)),AB773,0)</f>
        <v>#N/A</v>
      </c>
      <c r="AH773" s="104" t="e">
        <f>IF(AND(VLOOKUP($D773,Merchantability!$B:$C,2,0)="Yes",$E773&gt;=VLOOKUP($D773,Merchantability!$B:$D,3,0),$E773&lt;=VLOOKUP($D773,Merchantability!$B:$E,4,0)),AC773,0)</f>
        <v>#N/A</v>
      </c>
      <c r="AI773" s="104" t="e">
        <f t="shared" si="357"/>
        <v>#N/A</v>
      </c>
      <c r="AJ773" s="104" t="e">
        <f t="shared" si="358"/>
        <v>#VALUE!</v>
      </c>
      <c r="AK773" s="104" t="e">
        <f t="shared" si="359"/>
        <v>#N/A</v>
      </c>
      <c r="AL773" s="104" t="e">
        <f t="shared" si="360"/>
        <v>#N/A</v>
      </c>
      <c r="AM773" s="104" t="e">
        <f t="shared" si="361"/>
        <v>#N/A</v>
      </c>
      <c r="AN773" s="104" t="e">
        <f t="shared" si="372"/>
        <v>#N/A</v>
      </c>
      <c r="AO773" s="104" t="e">
        <f t="shared" si="373"/>
        <v>#N/A</v>
      </c>
      <c r="AP773" s="104" t="e">
        <f t="shared" si="374"/>
        <v>#N/A</v>
      </c>
      <c r="AQ773" s="104" t="e">
        <f t="shared" si="375"/>
        <v>#N/A</v>
      </c>
      <c r="AR773" s="105" t="str">
        <f t="shared" si="367"/>
        <v/>
      </c>
      <c r="AS773" s="105" t="str">
        <f t="shared" si="368"/>
        <v/>
      </c>
      <c r="AT773" s="108" t="str">
        <f t="shared" si="369"/>
        <v/>
      </c>
      <c r="AU773" s="108" t="str">
        <f t="shared" si="370"/>
        <v/>
      </c>
      <c r="AV773" s="107" t="str">
        <f>IF(ISNUMBER(O773),IF(VLOOKUP($A773,Stand!C:J,8,FALSE)="Short",AT773,AU773),"")</f>
        <v/>
      </c>
      <c r="AW773" s="109" t="str">
        <f t="shared" si="376"/>
        <v/>
      </c>
      <c r="AX773" s="109" t="str">
        <f t="shared" si="377"/>
        <v/>
      </c>
      <c r="AY773" s="112" t="str">
        <f>IF(ISNUMBER(O773),IF(AND(VLOOKUP($D773,Merchantability!$B:$C,2,0)="Yes",$E773&gt;=VLOOKUP($D773,Merchantability!$B:$D,3,0),$E773&lt;=VLOOKUP($D773,Merchantability!$B:$E,4,0)),(AV773*O773)*(1-$H773/100),""),"")</f>
        <v/>
      </c>
      <c r="AZ773" s="116"/>
      <c r="BA773" s="116"/>
      <c r="BB773" s="116"/>
      <c r="BE773" s="62"/>
      <c r="BF773" s="63"/>
    </row>
    <row r="774" spans="1:58" ht="12.75" customHeight="1" x14ac:dyDescent="0.25">
      <c r="A774" s="313"/>
      <c r="B774" s="328"/>
      <c r="C774" s="329"/>
      <c r="D774" s="328"/>
      <c r="E774" s="330"/>
      <c r="F774" s="328"/>
      <c r="G774" s="329"/>
      <c r="H774" s="329"/>
      <c r="I774" s="328"/>
      <c r="J774" s="383"/>
      <c r="K774" s="329"/>
      <c r="L774" s="329"/>
      <c r="M774" s="76"/>
      <c r="N774" s="103" t="str">
        <f>IF(A774="","",VLOOKUP(A774,Stand!C:K,9,0))</f>
        <v/>
      </c>
      <c r="O774" s="104" t="str">
        <f t="shared" si="362"/>
        <v/>
      </c>
      <c r="P774" s="105" t="str">
        <f t="shared" si="363"/>
        <v/>
      </c>
      <c r="Q774" s="105" t="str">
        <f t="shared" si="351"/>
        <v/>
      </c>
      <c r="R774" s="103" t="str">
        <f t="shared" si="364"/>
        <v/>
      </c>
      <c r="S774" s="103" t="str">
        <f t="shared" si="365"/>
        <v/>
      </c>
      <c r="T774" s="106" t="str">
        <f t="shared" si="352"/>
        <v/>
      </c>
      <c r="U774" s="106" t="str">
        <f t="shared" si="353"/>
        <v/>
      </c>
      <c r="V774" s="106" t="str">
        <f t="shared" si="354"/>
        <v/>
      </c>
      <c r="W774" s="105" t="str">
        <f t="shared" si="366"/>
        <v/>
      </c>
      <c r="X774" s="104" t="str">
        <f t="shared" si="371"/>
        <v/>
      </c>
      <c r="Y774" s="104" t="str">
        <f t="array" ref="Y774">IFERROR(IF(ISNUMBER(O774),IF(COUNT(IF(A774=$A$2:$A$2427,IF(D774=$D$2:$D$2427,IF($X$2:$X$2427&gt;0,1))))&gt;0,SUM(IF(A774=$A$2:$A$2427,IF(D774=$D$2:$D$2427,$X$2:$X$2427)))/COUNT(IF(A774=$A$2:$A$2427,IF(D774=$D$2:$D$2427,IF(ISNUMBER($X$2:$X$2427),1)))),0),""),0)</f>
        <v/>
      </c>
      <c r="Z774" s="104" t="str">
        <f>IF(ISNUMBER(O774),IF(I774&gt;0,(10^(VLOOKUP(D774,'Species Codes'!B:C,2,0)+VLOOKUP(D774,'Species Codes'!B:D,3,0)*LOG(E774)+VLOOKUP(D774,'Species Codes'!B:E,4,0)*LOG(I774))),0),"")</f>
        <v/>
      </c>
      <c r="AA774" s="104" t="str">
        <f>IFERROR((VLOOKUP(D774,'Species Codes'!B:G,6,0)*Z774)/2000,"")</f>
        <v/>
      </c>
      <c r="AB774" s="104" t="e">
        <f>IF(Z774&gt;0,((IF(OR(D774="DF",D774="RA")=TRUE,EXP(VLOOKUP(D774,'Species Codes'!B:I,8,0)+VLOOKUP(D774,'Species Codes'!B:J,9,0)*(LN((E774*2.54)))),IF(OR(D774="PY",D774="RC",D774="WH",D774="NF")=TRUE,VLOOKUP(D774,'Species Codes'!B:I,8,0)+VLOOKUP(D774,'Species Codes'!B:J,9,0)*((E774*2.54)^2)*(I774*0.3048),IF(OR(D774="MD",D774="BM",D774="GA")=TRUE,((VLOOKUP(D774,'Species Codes'!B:I,8,0)*(((((E774*2.54)+VLOOKUP(D774,'Species Codes'!B:J,9,0))/VLOOKUP(D774,'Species Codes'!B:K,10,0))^VLOOKUP(D774,'Species Codes'!B:L,11,0))*((I774*0.3048)^VLOOKUP(D774,'Species Codes'!B:M,12,0))))-(VLOOKUP(D774,'Species Codes'!B:I,8,0)*((((E774*2.54)^VLOOKUP(D774,'Species Codes'!B:L,11,0))*((I774*0.3048)^VLOOKUP(D774,'Species Codes'!B:M,12,0))))))*35.3*VLOOKUP(D774,'Species Codes'!B:G,6,0)/2.2046,VLOOKUP(D774,'Species Codes'!B:I,8,0)+VLOOKUP(D774,'Species Codes'!B:J,9,0)*(((E774*2.54)/100)^2)*(I774*0.3048)))))*0.0011023),0)</f>
        <v>#N/A</v>
      </c>
      <c r="AC774" s="104" t="e">
        <f>IF(Z774&gt;0,((IF(OR(D774="RA",D774="OA",D774="OT",D774="UN",D774="PC"),EXP(VLOOKUP(D774,'Species Codes'!B:O,14,0)+VLOOKUP(D774,'Species Codes'!B:P,15,0)*LN((E774*2.54)))-EXP(VLOOKUP(D774,'Species Codes'!B:O,14,0)+VLOOKUP(D774,'Species Codes'!B:P,15,0)*LN((E774*2.54)))*(1/(VLOOKUP(D774,'Species Codes'!B:Q,16,0)+VLOOKUP(D774,'Species Codes'!B:R,17,0)*((E774*2.54)^VLOOKUP(D774,'Species Codes'!B:S,18,0)))),IF(OR(D774="BM",D774="MD",D774="OA"),EXP(VLOOKUP(D774,'Species Codes'!B:O,14,0)+VLOOKUP(D774,'Species Codes'!B:P,15,0)*LN((E774*2.54)))*(1-(1/(VLOOKUP(D774,'Species Codes'!B:Q,16,0)+VLOOKUP(D774,'Species Codes'!B:R,17,0)*((E774*2.54)^VLOOKUP(D774,'Species Codes'!B:S,18,0)))))/1000,IF(D774="DF",EXP(VLOOKUP(D774,'Species Codes'!B:O,14,0)+VLOOKUP(D774,'Species Codes'!B:P,15,0)*LN((E774*2.54))),VLOOKUP(D774,'Species Codes'!B:O,14,0)+VLOOKUP(D774,'Species Codes'!B:P,15,0)*(((E774*2.54)/100)^2)*(I774*0.3048)))))*0.0011023),0)</f>
        <v>#N/A</v>
      </c>
      <c r="AD774" s="104" t="e">
        <f t="shared" si="355"/>
        <v>#N/A</v>
      </c>
      <c r="AE774" s="104" t="e">
        <f t="shared" si="356"/>
        <v>#N/A</v>
      </c>
      <c r="AF774" s="104" t="e">
        <f>IF(AND(VLOOKUP($D774,Merchantability!$B:$C,2,0)="Yes",$E774&gt;=VLOOKUP($D774,Merchantability!$B:$D,3,0),$E774&lt;=VLOOKUP($D774,Merchantability!$B:$E,4,0)),AA774,0)</f>
        <v>#N/A</v>
      </c>
      <c r="AG774" s="104" t="e">
        <f>IF(AND(VLOOKUP($D774,Merchantability!$B:$C,2,0)="Yes",$E774&gt;=VLOOKUP($D774,Merchantability!$B:$D,3,0),$E774&lt;=VLOOKUP($D774,Merchantability!$B:$E,4,0)),AB774,0)</f>
        <v>#N/A</v>
      </c>
      <c r="AH774" s="104" t="e">
        <f>IF(AND(VLOOKUP($D774,Merchantability!$B:$C,2,0)="Yes",$E774&gt;=VLOOKUP($D774,Merchantability!$B:$D,3,0),$E774&lt;=VLOOKUP($D774,Merchantability!$B:$E,4,0)),AC774,0)</f>
        <v>#N/A</v>
      </c>
      <c r="AI774" s="104" t="e">
        <f t="shared" si="357"/>
        <v>#N/A</v>
      </c>
      <c r="AJ774" s="104" t="e">
        <f t="shared" si="358"/>
        <v>#VALUE!</v>
      </c>
      <c r="AK774" s="104" t="e">
        <f t="shared" si="359"/>
        <v>#N/A</v>
      </c>
      <c r="AL774" s="104" t="e">
        <f t="shared" si="360"/>
        <v>#N/A</v>
      </c>
      <c r="AM774" s="104" t="e">
        <f t="shared" si="361"/>
        <v>#N/A</v>
      </c>
      <c r="AN774" s="104" t="e">
        <f t="shared" si="372"/>
        <v>#N/A</v>
      </c>
      <c r="AO774" s="104" t="e">
        <f t="shared" si="373"/>
        <v>#N/A</v>
      </c>
      <c r="AP774" s="104" t="e">
        <f t="shared" si="374"/>
        <v>#N/A</v>
      </c>
      <c r="AQ774" s="104" t="e">
        <f t="shared" si="375"/>
        <v>#N/A</v>
      </c>
      <c r="AR774" s="105" t="str">
        <f t="shared" si="367"/>
        <v/>
      </c>
      <c r="AS774" s="105" t="str">
        <f t="shared" si="368"/>
        <v/>
      </c>
      <c r="AT774" s="108" t="str">
        <f t="shared" si="369"/>
        <v/>
      </c>
      <c r="AU774" s="108" t="str">
        <f t="shared" si="370"/>
        <v/>
      </c>
      <c r="AV774" s="107" t="str">
        <f>IF(ISNUMBER(O774),IF(VLOOKUP($A774,Stand!C:J,8,FALSE)="Short",AT774,AU774),"")</f>
        <v/>
      </c>
      <c r="AW774" s="109" t="str">
        <f t="shared" si="376"/>
        <v/>
      </c>
      <c r="AX774" s="109" t="str">
        <f t="shared" si="377"/>
        <v/>
      </c>
      <c r="AY774" s="112" t="str">
        <f>IF(ISNUMBER(O774),IF(AND(VLOOKUP($D774,Merchantability!$B:$C,2,0)="Yes",$E774&gt;=VLOOKUP($D774,Merchantability!$B:$D,3,0),$E774&lt;=VLOOKUP($D774,Merchantability!$B:$E,4,0)),(AV774*O774)*(1-$H774/100),""),"")</f>
        <v/>
      </c>
      <c r="AZ774" s="116"/>
      <c r="BA774" s="116"/>
      <c r="BB774" s="116"/>
      <c r="BE774" s="62"/>
      <c r="BF774" s="63"/>
    </row>
    <row r="775" spans="1:58" ht="12.75" customHeight="1" x14ac:dyDescent="0.25">
      <c r="A775" s="313"/>
      <c r="B775" s="328"/>
      <c r="C775" s="329"/>
      <c r="D775" s="328"/>
      <c r="E775" s="330"/>
      <c r="F775" s="328"/>
      <c r="G775" s="329"/>
      <c r="H775" s="329"/>
      <c r="I775" s="328"/>
      <c r="J775" s="383"/>
      <c r="K775" s="329"/>
      <c r="L775" s="329"/>
      <c r="M775" s="76"/>
      <c r="N775" s="103" t="str">
        <f>IF(A775="","",VLOOKUP(A775,Stand!C:K,9,0))</f>
        <v/>
      </c>
      <c r="O775" s="104" t="str">
        <f t="shared" si="362"/>
        <v/>
      </c>
      <c r="P775" s="105" t="str">
        <f t="shared" si="363"/>
        <v/>
      </c>
      <c r="Q775" s="105" t="str">
        <f t="shared" si="351"/>
        <v/>
      </c>
      <c r="R775" s="103" t="str">
        <f t="shared" si="364"/>
        <v/>
      </c>
      <c r="S775" s="103" t="str">
        <f t="shared" si="365"/>
        <v/>
      </c>
      <c r="T775" s="106" t="str">
        <f t="shared" si="352"/>
        <v/>
      </c>
      <c r="U775" s="106" t="str">
        <f t="shared" si="353"/>
        <v/>
      </c>
      <c r="V775" s="106" t="str">
        <f t="shared" si="354"/>
        <v/>
      </c>
      <c r="W775" s="105" t="str">
        <f t="shared" si="366"/>
        <v/>
      </c>
      <c r="X775" s="104" t="str">
        <f t="shared" si="371"/>
        <v/>
      </c>
      <c r="Y775" s="104" t="str">
        <f t="array" ref="Y775">IFERROR(IF(ISNUMBER(O775),IF(COUNT(IF(A775=$A$2:$A$2427,IF(D775=$D$2:$D$2427,IF($X$2:$X$2427&gt;0,1))))&gt;0,SUM(IF(A775=$A$2:$A$2427,IF(D775=$D$2:$D$2427,$X$2:$X$2427)))/COUNT(IF(A775=$A$2:$A$2427,IF(D775=$D$2:$D$2427,IF(ISNUMBER($X$2:$X$2427),1)))),0),""),0)</f>
        <v/>
      </c>
      <c r="Z775" s="104" t="str">
        <f>IF(ISNUMBER(O775),IF(I775&gt;0,(10^(VLOOKUP(D775,'Species Codes'!B:C,2,0)+VLOOKUP(D775,'Species Codes'!B:D,3,0)*LOG(E775)+VLOOKUP(D775,'Species Codes'!B:E,4,0)*LOG(I775))),0),"")</f>
        <v/>
      </c>
      <c r="AA775" s="104" t="str">
        <f>IFERROR((VLOOKUP(D775,'Species Codes'!B:G,6,0)*Z775)/2000,"")</f>
        <v/>
      </c>
      <c r="AB775" s="104" t="e">
        <f>IF(Z775&gt;0,((IF(OR(D775="DF",D775="RA")=TRUE,EXP(VLOOKUP(D775,'Species Codes'!B:I,8,0)+VLOOKUP(D775,'Species Codes'!B:J,9,0)*(LN((E775*2.54)))),IF(OR(D775="PY",D775="RC",D775="WH",D775="NF")=TRUE,VLOOKUP(D775,'Species Codes'!B:I,8,0)+VLOOKUP(D775,'Species Codes'!B:J,9,0)*((E775*2.54)^2)*(I775*0.3048),IF(OR(D775="MD",D775="BM",D775="GA")=TRUE,((VLOOKUP(D775,'Species Codes'!B:I,8,0)*(((((E775*2.54)+VLOOKUP(D775,'Species Codes'!B:J,9,0))/VLOOKUP(D775,'Species Codes'!B:K,10,0))^VLOOKUP(D775,'Species Codes'!B:L,11,0))*((I775*0.3048)^VLOOKUP(D775,'Species Codes'!B:M,12,0))))-(VLOOKUP(D775,'Species Codes'!B:I,8,0)*((((E775*2.54)^VLOOKUP(D775,'Species Codes'!B:L,11,0))*((I775*0.3048)^VLOOKUP(D775,'Species Codes'!B:M,12,0))))))*35.3*VLOOKUP(D775,'Species Codes'!B:G,6,0)/2.2046,VLOOKUP(D775,'Species Codes'!B:I,8,0)+VLOOKUP(D775,'Species Codes'!B:J,9,0)*(((E775*2.54)/100)^2)*(I775*0.3048)))))*0.0011023),0)</f>
        <v>#N/A</v>
      </c>
      <c r="AC775" s="104" t="e">
        <f>IF(Z775&gt;0,((IF(OR(D775="RA",D775="OA",D775="OT",D775="UN",D775="PC"),EXP(VLOOKUP(D775,'Species Codes'!B:O,14,0)+VLOOKUP(D775,'Species Codes'!B:P,15,0)*LN((E775*2.54)))-EXP(VLOOKUP(D775,'Species Codes'!B:O,14,0)+VLOOKUP(D775,'Species Codes'!B:P,15,0)*LN((E775*2.54)))*(1/(VLOOKUP(D775,'Species Codes'!B:Q,16,0)+VLOOKUP(D775,'Species Codes'!B:R,17,0)*((E775*2.54)^VLOOKUP(D775,'Species Codes'!B:S,18,0)))),IF(OR(D775="BM",D775="MD",D775="OA"),EXP(VLOOKUP(D775,'Species Codes'!B:O,14,0)+VLOOKUP(D775,'Species Codes'!B:P,15,0)*LN((E775*2.54)))*(1-(1/(VLOOKUP(D775,'Species Codes'!B:Q,16,0)+VLOOKUP(D775,'Species Codes'!B:R,17,0)*((E775*2.54)^VLOOKUP(D775,'Species Codes'!B:S,18,0)))))/1000,IF(D775="DF",EXP(VLOOKUP(D775,'Species Codes'!B:O,14,0)+VLOOKUP(D775,'Species Codes'!B:P,15,0)*LN((E775*2.54))),VLOOKUP(D775,'Species Codes'!B:O,14,0)+VLOOKUP(D775,'Species Codes'!B:P,15,0)*(((E775*2.54)/100)^2)*(I775*0.3048)))))*0.0011023),0)</f>
        <v>#N/A</v>
      </c>
      <c r="AD775" s="104" t="e">
        <f t="shared" si="355"/>
        <v>#N/A</v>
      </c>
      <c r="AE775" s="104" t="e">
        <f t="shared" si="356"/>
        <v>#N/A</v>
      </c>
      <c r="AF775" s="104" t="e">
        <f>IF(AND(VLOOKUP($D775,Merchantability!$B:$C,2,0)="Yes",$E775&gt;=VLOOKUP($D775,Merchantability!$B:$D,3,0),$E775&lt;=VLOOKUP($D775,Merchantability!$B:$E,4,0)),AA775,0)</f>
        <v>#N/A</v>
      </c>
      <c r="AG775" s="104" t="e">
        <f>IF(AND(VLOOKUP($D775,Merchantability!$B:$C,2,0)="Yes",$E775&gt;=VLOOKUP($D775,Merchantability!$B:$D,3,0),$E775&lt;=VLOOKUP($D775,Merchantability!$B:$E,4,0)),AB775,0)</f>
        <v>#N/A</v>
      </c>
      <c r="AH775" s="104" t="e">
        <f>IF(AND(VLOOKUP($D775,Merchantability!$B:$C,2,0)="Yes",$E775&gt;=VLOOKUP($D775,Merchantability!$B:$D,3,0),$E775&lt;=VLOOKUP($D775,Merchantability!$B:$E,4,0)),AC775,0)</f>
        <v>#N/A</v>
      </c>
      <c r="AI775" s="104" t="e">
        <f t="shared" si="357"/>
        <v>#N/A</v>
      </c>
      <c r="AJ775" s="104" t="e">
        <f t="shared" si="358"/>
        <v>#VALUE!</v>
      </c>
      <c r="AK775" s="104" t="e">
        <f t="shared" si="359"/>
        <v>#N/A</v>
      </c>
      <c r="AL775" s="104" t="e">
        <f t="shared" si="360"/>
        <v>#N/A</v>
      </c>
      <c r="AM775" s="104" t="e">
        <f t="shared" si="361"/>
        <v>#N/A</v>
      </c>
      <c r="AN775" s="104" t="e">
        <f t="shared" si="372"/>
        <v>#N/A</v>
      </c>
      <c r="AO775" s="104" t="e">
        <f t="shared" si="373"/>
        <v>#N/A</v>
      </c>
      <c r="AP775" s="104" t="e">
        <f t="shared" si="374"/>
        <v>#N/A</v>
      </c>
      <c r="AQ775" s="104" t="e">
        <f t="shared" si="375"/>
        <v>#N/A</v>
      </c>
      <c r="AR775" s="105" t="str">
        <f t="shared" si="367"/>
        <v/>
      </c>
      <c r="AS775" s="105" t="str">
        <f t="shared" si="368"/>
        <v/>
      </c>
      <c r="AT775" s="108" t="str">
        <f t="shared" si="369"/>
        <v/>
      </c>
      <c r="AU775" s="108" t="str">
        <f t="shared" si="370"/>
        <v/>
      </c>
      <c r="AV775" s="107" t="str">
        <f>IF(ISNUMBER(O775),IF(VLOOKUP($A775,Stand!C:J,8,FALSE)="Short",AT775,AU775),"")</f>
        <v/>
      </c>
      <c r="AW775" s="109" t="str">
        <f t="shared" si="376"/>
        <v/>
      </c>
      <c r="AX775" s="109" t="str">
        <f t="shared" si="377"/>
        <v/>
      </c>
      <c r="AY775" s="112" t="str">
        <f>IF(ISNUMBER(O775),IF(AND(VLOOKUP($D775,Merchantability!$B:$C,2,0)="Yes",$E775&gt;=VLOOKUP($D775,Merchantability!$B:$D,3,0),$E775&lt;=VLOOKUP($D775,Merchantability!$B:$E,4,0)),(AV775*O775)*(1-$H775/100),""),"")</f>
        <v/>
      </c>
      <c r="AZ775" s="116"/>
      <c r="BA775" s="116"/>
      <c r="BB775" s="116"/>
      <c r="BE775" s="62"/>
      <c r="BF775" s="63"/>
    </row>
    <row r="776" spans="1:58" ht="12.75" customHeight="1" x14ac:dyDescent="0.25">
      <c r="A776" s="313"/>
      <c r="B776" s="328"/>
      <c r="C776" s="329"/>
      <c r="D776" s="328"/>
      <c r="E776" s="330"/>
      <c r="F776" s="328"/>
      <c r="G776" s="329"/>
      <c r="H776" s="329"/>
      <c r="I776" s="328"/>
      <c r="J776" s="383"/>
      <c r="K776" s="329"/>
      <c r="L776" s="329"/>
      <c r="M776" s="76"/>
      <c r="N776" s="103" t="str">
        <f>IF(A776="","",VLOOKUP(A776,Stand!C:K,9,0))</f>
        <v/>
      </c>
      <c r="O776" s="104" t="str">
        <f t="shared" si="362"/>
        <v/>
      </c>
      <c r="P776" s="105" t="str">
        <f t="shared" si="363"/>
        <v/>
      </c>
      <c r="Q776" s="105" t="str">
        <f t="shared" si="351"/>
        <v/>
      </c>
      <c r="R776" s="103" t="str">
        <f t="shared" si="364"/>
        <v/>
      </c>
      <c r="S776" s="103" t="str">
        <f t="shared" si="365"/>
        <v/>
      </c>
      <c r="T776" s="106" t="str">
        <f t="shared" si="352"/>
        <v/>
      </c>
      <c r="U776" s="106" t="str">
        <f t="shared" si="353"/>
        <v/>
      </c>
      <c r="V776" s="106" t="str">
        <f t="shared" si="354"/>
        <v/>
      </c>
      <c r="W776" s="105" t="str">
        <f t="shared" si="366"/>
        <v/>
      </c>
      <c r="X776" s="104" t="str">
        <f t="shared" si="371"/>
        <v/>
      </c>
      <c r="Y776" s="104" t="str">
        <f t="array" ref="Y776">IFERROR(IF(ISNUMBER(O776),IF(COUNT(IF(A776=$A$2:$A$2427,IF(D776=$D$2:$D$2427,IF($X$2:$X$2427&gt;0,1))))&gt;0,SUM(IF(A776=$A$2:$A$2427,IF(D776=$D$2:$D$2427,$X$2:$X$2427)))/COUNT(IF(A776=$A$2:$A$2427,IF(D776=$D$2:$D$2427,IF(ISNUMBER($X$2:$X$2427),1)))),0),""),0)</f>
        <v/>
      </c>
      <c r="Z776" s="104" t="str">
        <f>IF(ISNUMBER(O776),IF(I776&gt;0,(10^(VLOOKUP(D776,'Species Codes'!B:C,2,0)+VLOOKUP(D776,'Species Codes'!B:D,3,0)*LOG(E776)+VLOOKUP(D776,'Species Codes'!B:E,4,0)*LOG(I776))),0),"")</f>
        <v/>
      </c>
      <c r="AA776" s="104" t="str">
        <f>IFERROR((VLOOKUP(D776,'Species Codes'!B:G,6,0)*Z776)/2000,"")</f>
        <v/>
      </c>
      <c r="AB776" s="104" t="e">
        <f>IF(Z776&gt;0,((IF(OR(D776="DF",D776="RA")=TRUE,EXP(VLOOKUP(D776,'Species Codes'!B:I,8,0)+VLOOKUP(D776,'Species Codes'!B:J,9,0)*(LN((E776*2.54)))),IF(OR(D776="PY",D776="RC",D776="WH",D776="NF")=TRUE,VLOOKUP(D776,'Species Codes'!B:I,8,0)+VLOOKUP(D776,'Species Codes'!B:J,9,0)*((E776*2.54)^2)*(I776*0.3048),IF(OR(D776="MD",D776="BM",D776="GA")=TRUE,((VLOOKUP(D776,'Species Codes'!B:I,8,0)*(((((E776*2.54)+VLOOKUP(D776,'Species Codes'!B:J,9,0))/VLOOKUP(D776,'Species Codes'!B:K,10,0))^VLOOKUP(D776,'Species Codes'!B:L,11,0))*((I776*0.3048)^VLOOKUP(D776,'Species Codes'!B:M,12,0))))-(VLOOKUP(D776,'Species Codes'!B:I,8,0)*((((E776*2.54)^VLOOKUP(D776,'Species Codes'!B:L,11,0))*((I776*0.3048)^VLOOKUP(D776,'Species Codes'!B:M,12,0))))))*35.3*VLOOKUP(D776,'Species Codes'!B:G,6,0)/2.2046,VLOOKUP(D776,'Species Codes'!B:I,8,0)+VLOOKUP(D776,'Species Codes'!B:J,9,0)*(((E776*2.54)/100)^2)*(I776*0.3048)))))*0.0011023),0)</f>
        <v>#N/A</v>
      </c>
      <c r="AC776" s="104" t="e">
        <f>IF(Z776&gt;0,((IF(OR(D776="RA",D776="OA",D776="OT",D776="UN",D776="PC"),EXP(VLOOKUP(D776,'Species Codes'!B:O,14,0)+VLOOKUP(D776,'Species Codes'!B:P,15,0)*LN((E776*2.54)))-EXP(VLOOKUP(D776,'Species Codes'!B:O,14,0)+VLOOKUP(D776,'Species Codes'!B:P,15,0)*LN((E776*2.54)))*(1/(VLOOKUP(D776,'Species Codes'!B:Q,16,0)+VLOOKUP(D776,'Species Codes'!B:R,17,0)*((E776*2.54)^VLOOKUP(D776,'Species Codes'!B:S,18,0)))),IF(OR(D776="BM",D776="MD",D776="OA"),EXP(VLOOKUP(D776,'Species Codes'!B:O,14,0)+VLOOKUP(D776,'Species Codes'!B:P,15,0)*LN((E776*2.54)))*(1-(1/(VLOOKUP(D776,'Species Codes'!B:Q,16,0)+VLOOKUP(D776,'Species Codes'!B:R,17,0)*((E776*2.54)^VLOOKUP(D776,'Species Codes'!B:S,18,0)))))/1000,IF(D776="DF",EXP(VLOOKUP(D776,'Species Codes'!B:O,14,0)+VLOOKUP(D776,'Species Codes'!B:P,15,0)*LN((E776*2.54))),VLOOKUP(D776,'Species Codes'!B:O,14,0)+VLOOKUP(D776,'Species Codes'!B:P,15,0)*(((E776*2.54)/100)^2)*(I776*0.3048)))))*0.0011023),0)</f>
        <v>#N/A</v>
      </c>
      <c r="AD776" s="104" t="e">
        <f t="shared" si="355"/>
        <v>#N/A</v>
      </c>
      <c r="AE776" s="104" t="e">
        <f t="shared" si="356"/>
        <v>#N/A</v>
      </c>
      <c r="AF776" s="104" t="e">
        <f>IF(AND(VLOOKUP($D776,Merchantability!$B:$C,2,0)="Yes",$E776&gt;=VLOOKUP($D776,Merchantability!$B:$D,3,0),$E776&lt;=VLOOKUP($D776,Merchantability!$B:$E,4,0)),AA776,0)</f>
        <v>#N/A</v>
      </c>
      <c r="AG776" s="104" t="e">
        <f>IF(AND(VLOOKUP($D776,Merchantability!$B:$C,2,0)="Yes",$E776&gt;=VLOOKUP($D776,Merchantability!$B:$D,3,0),$E776&lt;=VLOOKUP($D776,Merchantability!$B:$E,4,0)),AB776,0)</f>
        <v>#N/A</v>
      </c>
      <c r="AH776" s="104" t="e">
        <f>IF(AND(VLOOKUP($D776,Merchantability!$B:$C,2,0)="Yes",$E776&gt;=VLOOKUP($D776,Merchantability!$B:$D,3,0),$E776&lt;=VLOOKUP($D776,Merchantability!$B:$E,4,0)),AC776,0)</f>
        <v>#N/A</v>
      </c>
      <c r="AI776" s="104" t="e">
        <f t="shared" si="357"/>
        <v>#N/A</v>
      </c>
      <c r="AJ776" s="104" t="e">
        <f t="shared" si="358"/>
        <v>#VALUE!</v>
      </c>
      <c r="AK776" s="104" t="e">
        <f t="shared" si="359"/>
        <v>#N/A</v>
      </c>
      <c r="AL776" s="104" t="e">
        <f t="shared" si="360"/>
        <v>#N/A</v>
      </c>
      <c r="AM776" s="104" t="e">
        <f t="shared" si="361"/>
        <v>#N/A</v>
      </c>
      <c r="AN776" s="104" t="e">
        <f t="shared" si="372"/>
        <v>#N/A</v>
      </c>
      <c r="AO776" s="104" t="e">
        <f t="shared" si="373"/>
        <v>#N/A</v>
      </c>
      <c r="AP776" s="104" t="e">
        <f t="shared" si="374"/>
        <v>#N/A</v>
      </c>
      <c r="AQ776" s="104" t="e">
        <f t="shared" si="375"/>
        <v>#N/A</v>
      </c>
      <c r="AR776" s="105" t="str">
        <f t="shared" si="367"/>
        <v/>
      </c>
      <c r="AS776" s="105" t="str">
        <f t="shared" si="368"/>
        <v/>
      </c>
      <c r="AT776" s="108" t="str">
        <f t="shared" si="369"/>
        <v/>
      </c>
      <c r="AU776" s="108" t="str">
        <f t="shared" si="370"/>
        <v/>
      </c>
      <c r="AV776" s="107" t="str">
        <f>IF(ISNUMBER(O776),IF(VLOOKUP($A776,Stand!C:J,8,FALSE)="Short",AT776,AU776),"")</f>
        <v/>
      </c>
      <c r="AW776" s="109" t="str">
        <f t="shared" si="376"/>
        <v/>
      </c>
      <c r="AX776" s="109" t="str">
        <f t="shared" si="377"/>
        <v/>
      </c>
      <c r="AY776" s="112" t="str">
        <f>IF(ISNUMBER(O776),IF(AND(VLOOKUP($D776,Merchantability!$B:$C,2,0)="Yes",$E776&gt;=VLOOKUP($D776,Merchantability!$B:$D,3,0),$E776&lt;=VLOOKUP($D776,Merchantability!$B:$E,4,0)),(AV776*O776)*(1-$H776/100),""),"")</f>
        <v/>
      </c>
      <c r="AZ776" s="116"/>
      <c r="BA776" s="116"/>
      <c r="BB776" s="116"/>
      <c r="BE776" s="62"/>
      <c r="BF776" s="63"/>
    </row>
    <row r="777" spans="1:58" ht="12.75" customHeight="1" x14ac:dyDescent="0.25">
      <c r="A777" s="313"/>
      <c r="B777" s="328"/>
      <c r="C777" s="329"/>
      <c r="D777" s="328"/>
      <c r="E777" s="330"/>
      <c r="F777" s="328"/>
      <c r="G777" s="329"/>
      <c r="H777" s="329"/>
      <c r="I777" s="328"/>
      <c r="J777" s="383"/>
      <c r="K777" s="329"/>
      <c r="L777" s="329"/>
      <c r="M777" s="76"/>
      <c r="N777" s="103" t="str">
        <f>IF(A777="","",VLOOKUP(A777,Stand!C:K,9,0))</f>
        <v/>
      </c>
      <c r="O777" s="104" t="str">
        <f t="shared" si="362"/>
        <v/>
      </c>
      <c r="P777" s="105" t="str">
        <f t="shared" si="363"/>
        <v/>
      </c>
      <c r="Q777" s="105" t="str">
        <f t="shared" si="351"/>
        <v/>
      </c>
      <c r="R777" s="103" t="str">
        <f t="shared" si="364"/>
        <v/>
      </c>
      <c r="S777" s="103" t="str">
        <f t="shared" si="365"/>
        <v/>
      </c>
      <c r="T777" s="106" t="str">
        <f t="shared" si="352"/>
        <v/>
      </c>
      <c r="U777" s="106" t="str">
        <f t="shared" si="353"/>
        <v/>
      </c>
      <c r="V777" s="106" t="str">
        <f t="shared" si="354"/>
        <v/>
      </c>
      <c r="W777" s="105" t="str">
        <f t="shared" si="366"/>
        <v/>
      </c>
      <c r="X777" s="104" t="str">
        <f t="shared" si="371"/>
        <v/>
      </c>
      <c r="Y777" s="104" t="str">
        <f t="array" ref="Y777">IFERROR(IF(ISNUMBER(O777),IF(COUNT(IF(A777=$A$2:$A$2427,IF(D777=$D$2:$D$2427,IF($X$2:$X$2427&gt;0,1))))&gt;0,SUM(IF(A777=$A$2:$A$2427,IF(D777=$D$2:$D$2427,$X$2:$X$2427)))/COUNT(IF(A777=$A$2:$A$2427,IF(D777=$D$2:$D$2427,IF(ISNUMBER($X$2:$X$2427),1)))),0),""),0)</f>
        <v/>
      </c>
      <c r="Z777" s="104" t="str">
        <f>IF(ISNUMBER(O777),IF(I777&gt;0,(10^(VLOOKUP(D777,'Species Codes'!B:C,2,0)+VLOOKUP(D777,'Species Codes'!B:D,3,0)*LOG(E777)+VLOOKUP(D777,'Species Codes'!B:E,4,0)*LOG(I777))),0),"")</f>
        <v/>
      </c>
      <c r="AA777" s="104" t="str">
        <f>IFERROR((VLOOKUP(D777,'Species Codes'!B:G,6,0)*Z777)/2000,"")</f>
        <v/>
      </c>
      <c r="AB777" s="104" t="e">
        <f>IF(Z777&gt;0,((IF(OR(D777="DF",D777="RA")=TRUE,EXP(VLOOKUP(D777,'Species Codes'!B:I,8,0)+VLOOKUP(D777,'Species Codes'!B:J,9,0)*(LN((E777*2.54)))),IF(OR(D777="PY",D777="RC",D777="WH",D777="NF")=TRUE,VLOOKUP(D777,'Species Codes'!B:I,8,0)+VLOOKUP(D777,'Species Codes'!B:J,9,0)*((E777*2.54)^2)*(I777*0.3048),IF(OR(D777="MD",D777="BM",D777="GA")=TRUE,((VLOOKUP(D777,'Species Codes'!B:I,8,0)*(((((E777*2.54)+VLOOKUP(D777,'Species Codes'!B:J,9,0))/VLOOKUP(D777,'Species Codes'!B:K,10,0))^VLOOKUP(D777,'Species Codes'!B:L,11,0))*((I777*0.3048)^VLOOKUP(D777,'Species Codes'!B:M,12,0))))-(VLOOKUP(D777,'Species Codes'!B:I,8,0)*((((E777*2.54)^VLOOKUP(D777,'Species Codes'!B:L,11,0))*((I777*0.3048)^VLOOKUP(D777,'Species Codes'!B:M,12,0))))))*35.3*VLOOKUP(D777,'Species Codes'!B:G,6,0)/2.2046,VLOOKUP(D777,'Species Codes'!B:I,8,0)+VLOOKUP(D777,'Species Codes'!B:J,9,0)*(((E777*2.54)/100)^2)*(I777*0.3048)))))*0.0011023),0)</f>
        <v>#N/A</v>
      </c>
      <c r="AC777" s="104" t="e">
        <f>IF(Z777&gt;0,((IF(OR(D777="RA",D777="OA",D777="OT",D777="UN",D777="PC"),EXP(VLOOKUP(D777,'Species Codes'!B:O,14,0)+VLOOKUP(D777,'Species Codes'!B:P,15,0)*LN((E777*2.54)))-EXP(VLOOKUP(D777,'Species Codes'!B:O,14,0)+VLOOKUP(D777,'Species Codes'!B:P,15,0)*LN((E777*2.54)))*(1/(VLOOKUP(D777,'Species Codes'!B:Q,16,0)+VLOOKUP(D777,'Species Codes'!B:R,17,0)*((E777*2.54)^VLOOKUP(D777,'Species Codes'!B:S,18,0)))),IF(OR(D777="BM",D777="MD",D777="OA"),EXP(VLOOKUP(D777,'Species Codes'!B:O,14,0)+VLOOKUP(D777,'Species Codes'!B:P,15,0)*LN((E777*2.54)))*(1-(1/(VLOOKUP(D777,'Species Codes'!B:Q,16,0)+VLOOKUP(D777,'Species Codes'!B:R,17,0)*((E777*2.54)^VLOOKUP(D777,'Species Codes'!B:S,18,0)))))/1000,IF(D777="DF",EXP(VLOOKUP(D777,'Species Codes'!B:O,14,0)+VLOOKUP(D777,'Species Codes'!B:P,15,0)*LN((E777*2.54))),VLOOKUP(D777,'Species Codes'!B:O,14,0)+VLOOKUP(D777,'Species Codes'!B:P,15,0)*(((E777*2.54)/100)^2)*(I777*0.3048)))))*0.0011023),0)</f>
        <v>#N/A</v>
      </c>
      <c r="AD777" s="104" t="e">
        <f t="shared" si="355"/>
        <v>#N/A</v>
      </c>
      <c r="AE777" s="104" t="e">
        <f t="shared" si="356"/>
        <v>#N/A</v>
      </c>
      <c r="AF777" s="104" t="e">
        <f>IF(AND(VLOOKUP($D777,Merchantability!$B:$C,2,0)="Yes",$E777&gt;=VLOOKUP($D777,Merchantability!$B:$D,3,0),$E777&lt;=VLOOKUP($D777,Merchantability!$B:$E,4,0)),AA777,0)</f>
        <v>#N/A</v>
      </c>
      <c r="AG777" s="104" t="e">
        <f>IF(AND(VLOOKUP($D777,Merchantability!$B:$C,2,0)="Yes",$E777&gt;=VLOOKUP($D777,Merchantability!$B:$D,3,0),$E777&lt;=VLOOKUP($D777,Merchantability!$B:$E,4,0)),AB777,0)</f>
        <v>#N/A</v>
      </c>
      <c r="AH777" s="104" t="e">
        <f>IF(AND(VLOOKUP($D777,Merchantability!$B:$C,2,0)="Yes",$E777&gt;=VLOOKUP($D777,Merchantability!$B:$D,3,0),$E777&lt;=VLOOKUP($D777,Merchantability!$B:$E,4,0)),AC777,0)</f>
        <v>#N/A</v>
      </c>
      <c r="AI777" s="104" t="e">
        <f t="shared" si="357"/>
        <v>#N/A</v>
      </c>
      <c r="AJ777" s="104" t="e">
        <f t="shared" si="358"/>
        <v>#VALUE!</v>
      </c>
      <c r="AK777" s="104" t="e">
        <f t="shared" si="359"/>
        <v>#N/A</v>
      </c>
      <c r="AL777" s="104" t="e">
        <f t="shared" si="360"/>
        <v>#N/A</v>
      </c>
      <c r="AM777" s="104" t="e">
        <f t="shared" si="361"/>
        <v>#N/A</v>
      </c>
      <c r="AN777" s="104" t="e">
        <f t="shared" si="372"/>
        <v>#N/A</v>
      </c>
      <c r="AO777" s="104" t="e">
        <f t="shared" si="373"/>
        <v>#N/A</v>
      </c>
      <c r="AP777" s="104" t="e">
        <f t="shared" si="374"/>
        <v>#N/A</v>
      </c>
      <c r="AQ777" s="104" t="e">
        <f t="shared" si="375"/>
        <v>#N/A</v>
      </c>
      <c r="AR777" s="105" t="str">
        <f t="shared" si="367"/>
        <v/>
      </c>
      <c r="AS777" s="105" t="str">
        <f t="shared" si="368"/>
        <v/>
      </c>
      <c r="AT777" s="108" t="str">
        <f t="shared" si="369"/>
        <v/>
      </c>
      <c r="AU777" s="108" t="str">
        <f t="shared" si="370"/>
        <v/>
      </c>
      <c r="AV777" s="107" t="str">
        <f>IF(ISNUMBER(O777),IF(VLOOKUP($A777,Stand!C:J,8,FALSE)="Short",AT777,AU777),"")</f>
        <v/>
      </c>
      <c r="AW777" s="109" t="str">
        <f t="shared" si="376"/>
        <v/>
      </c>
      <c r="AX777" s="109" t="str">
        <f t="shared" si="377"/>
        <v/>
      </c>
      <c r="AY777" s="112" t="str">
        <f>IF(ISNUMBER(O777),IF(AND(VLOOKUP($D777,Merchantability!$B:$C,2,0)="Yes",$E777&gt;=VLOOKUP($D777,Merchantability!$B:$D,3,0),$E777&lt;=VLOOKUP($D777,Merchantability!$B:$E,4,0)),(AV777*O777)*(1-$H777/100),""),"")</f>
        <v/>
      </c>
      <c r="AZ777" s="116"/>
      <c r="BA777" s="116"/>
      <c r="BB777" s="116"/>
      <c r="BE777" s="62"/>
      <c r="BF777" s="63"/>
    </row>
    <row r="778" spans="1:58" ht="12.75" customHeight="1" x14ac:dyDescent="0.25">
      <c r="A778" s="313"/>
      <c r="B778" s="328"/>
      <c r="C778" s="329"/>
      <c r="D778" s="328"/>
      <c r="E778" s="330"/>
      <c r="F778" s="328"/>
      <c r="G778" s="329"/>
      <c r="H778" s="329"/>
      <c r="I778" s="328"/>
      <c r="J778" s="383"/>
      <c r="K778" s="329"/>
      <c r="L778" s="329"/>
      <c r="M778" s="76"/>
      <c r="N778" s="103" t="str">
        <f>IF(A778="","",VLOOKUP(A778,Stand!C:K,9,0))</f>
        <v/>
      </c>
      <c r="O778" s="104" t="str">
        <f t="shared" si="362"/>
        <v/>
      </c>
      <c r="P778" s="105" t="str">
        <f t="shared" si="363"/>
        <v/>
      </c>
      <c r="Q778" s="105" t="str">
        <f t="shared" si="351"/>
        <v/>
      </c>
      <c r="R778" s="103" t="str">
        <f t="shared" si="364"/>
        <v/>
      </c>
      <c r="S778" s="103" t="str">
        <f t="shared" si="365"/>
        <v/>
      </c>
      <c r="T778" s="106" t="str">
        <f t="shared" si="352"/>
        <v/>
      </c>
      <c r="U778" s="106" t="str">
        <f t="shared" si="353"/>
        <v/>
      </c>
      <c r="V778" s="106" t="str">
        <f t="shared" si="354"/>
        <v/>
      </c>
      <c r="W778" s="105" t="str">
        <f t="shared" si="366"/>
        <v/>
      </c>
      <c r="X778" s="104" t="str">
        <f t="shared" si="371"/>
        <v/>
      </c>
      <c r="Y778" s="104" t="str">
        <f t="array" ref="Y778">IFERROR(IF(ISNUMBER(O778),IF(COUNT(IF(A778=$A$2:$A$2427,IF(D778=$D$2:$D$2427,IF($X$2:$X$2427&gt;0,1))))&gt;0,SUM(IF(A778=$A$2:$A$2427,IF(D778=$D$2:$D$2427,$X$2:$X$2427)))/COUNT(IF(A778=$A$2:$A$2427,IF(D778=$D$2:$D$2427,IF(ISNUMBER($X$2:$X$2427),1)))),0),""),0)</f>
        <v/>
      </c>
      <c r="Z778" s="104" t="str">
        <f>IF(ISNUMBER(O778),IF(I778&gt;0,(10^(VLOOKUP(D778,'Species Codes'!B:C,2,0)+VLOOKUP(D778,'Species Codes'!B:D,3,0)*LOG(E778)+VLOOKUP(D778,'Species Codes'!B:E,4,0)*LOG(I778))),0),"")</f>
        <v/>
      </c>
      <c r="AA778" s="104" t="str">
        <f>IFERROR((VLOOKUP(D778,'Species Codes'!B:G,6,0)*Z778)/2000,"")</f>
        <v/>
      </c>
      <c r="AB778" s="104" t="e">
        <f>IF(Z778&gt;0,((IF(OR(D778="DF",D778="RA")=TRUE,EXP(VLOOKUP(D778,'Species Codes'!B:I,8,0)+VLOOKUP(D778,'Species Codes'!B:J,9,0)*(LN((E778*2.54)))),IF(OR(D778="PY",D778="RC",D778="WH",D778="NF")=TRUE,VLOOKUP(D778,'Species Codes'!B:I,8,0)+VLOOKUP(D778,'Species Codes'!B:J,9,0)*((E778*2.54)^2)*(I778*0.3048),IF(OR(D778="MD",D778="BM",D778="GA")=TRUE,((VLOOKUP(D778,'Species Codes'!B:I,8,0)*(((((E778*2.54)+VLOOKUP(D778,'Species Codes'!B:J,9,0))/VLOOKUP(D778,'Species Codes'!B:K,10,0))^VLOOKUP(D778,'Species Codes'!B:L,11,0))*((I778*0.3048)^VLOOKUP(D778,'Species Codes'!B:M,12,0))))-(VLOOKUP(D778,'Species Codes'!B:I,8,0)*((((E778*2.54)^VLOOKUP(D778,'Species Codes'!B:L,11,0))*((I778*0.3048)^VLOOKUP(D778,'Species Codes'!B:M,12,0))))))*35.3*VLOOKUP(D778,'Species Codes'!B:G,6,0)/2.2046,VLOOKUP(D778,'Species Codes'!B:I,8,0)+VLOOKUP(D778,'Species Codes'!B:J,9,0)*(((E778*2.54)/100)^2)*(I778*0.3048)))))*0.0011023),0)</f>
        <v>#N/A</v>
      </c>
      <c r="AC778" s="104" t="e">
        <f>IF(Z778&gt;0,((IF(OR(D778="RA",D778="OA",D778="OT",D778="UN",D778="PC"),EXP(VLOOKUP(D778,'Species Codes'!B:O,14,0)+VLOOKUP(D778,'Species Codes'!B:P,15,0)*LN((E778*2.54)))-EXP(VLOOKUP(D778,'Species Codes'!B:O,14,0)+VLOOKUP(D778,'Species Codes'!B:P,15,0)*LN((E778*2.54)))*(1/(VLOOKUP(D778,'Species Codes'!B:Q,16,0)+VLOOKUP(D778,'Species Codes'!B:R,17,0)*((E778*2.54)^VLOOKUP(D778,'Species Codes'!B:S,18,0)))),IF(OR(D778="BM",D778="MD",D778="OA"),EXP(VLOOKUP(D778,'Species Codes'!B:O,14,0)+VLOOKUP(D778,'Species Codes'!B:P,15,0)*LN((E778*2.54)))*(1-(1/(VLOOKUP(D778,'Species Codes'!B:Q,16,0)+VLOOKUP(D778,'Species Codes'!B:R,17,0)*((E778*2.54)^VLOOKUP(D778,'Species Codes'!B:S,18,0)))))/1000,IF(D778="DF",EXP(VLOOKUP(D778,'Species Codes'!B:O,14,0)+VLOOKUP(D778,'Species Codes'!B:P,15,0)*LN((E778*2.54))),VLOOKUP(D778,'Species Codes'!B:O,14,0)+VLOOKUP(D778,'Species Codes'!B:P,15,0)*(((E778*2.54)/100)^2)*(I778*0.3048)))))*0.0011023),0)</f>
        <v>#N/A</v>
      </c>
      <c r="AD778" s="104" t="e">
        <f t="shared" si="355"/>
        <v>#N/A</v>
      </c>
      <c r="AE778" s="104" t="e">
        <f t="shared" si="356"/>
        <v>#N/A</v>
      </c>
      <c r="AF778" s="104" t="e">
        <f>IF(AND(VLOOKUP($D778,Merchantability!$B:$C,2,0)="Yes",$E778&gt;=VLOOKUP($D778,Merchantability!$B:$D,3,0),$E778&lt;=VLOOKUP($D778,Merchantability!$B:$E,4,0)),AA778,0)</f>
        <v>#N/A</v>
      </c>
      <c r="AG778" s="104" t="e">
        <f>IF(AND(VLOOKUP($D778,Merchantability!$B:$C,2,0)="Yes",$E778&gt;=VLOOKUP($D778,Merchantability!$B:$D,3,0),$E778&lt;=VLOOKUP($D778,Merchantability!$B:$E,4,0)),AB778,0)</f>
        <v>#N/A</v>
      </c>
      <c r="AH778" s="104" t="e">
        <f>IF(AND(VLOOKUP($D778,Merchantability!$B:$C,2,0)="Yes",$E778&gt;=VLOOKUP($D778,Merchantability!$B:$D,3,0),$E778&lt;=VLOOKUP($D778,Merchantability!$B:$E,4,0)),AC778,0)</f>
        <v>#N/A</v>
      </c>
      <c r="AI778" s="104" t="e">
        <f t="shared" si="357"/>
        <v>#N/A</v>
      </c>
      <c r="AJ778" s="104" t="e">
        <f t="shared" si="358"/>
        <v>#VALUE!</v>
      </c>
      <c r="AK778" s="104" t="e">
        <f t="shared" si="359"/>
        <v>#N/A</v>
      </c>
      <c r="AL778" s="104" t="e">
        <f t="shared" si="360"/>
        <v>#N/A</v>
      </c>
      <c r="AM778" s="104" t="e">
        <f t="shared" si="361"/>
        <v>#N/A</v>
      </c>
      <c r="AN778" s="104" t="e">
        <f t="shared" si="372"/>
        <v>#N/A</v>
      </c>
      <c r="AO778" s="104" t="e">
        <f t="shared" si="373"/>
        <v>#N/A</v>
      </c>
      <c r="AP778" s="104" t="e">
        <f t="shared" si="374"/>
        <v>#N/A</v>
      </c>
      <c r="AQ778" s="104" t="e">
        <f t="shared" si="375"/>
        <v>#N/A</v>
      </c>
      <c r="AR778" s="105" t="str">
        <f t="shared" si="367"/>
        <v/>
      </c>
      <c r="AS778" s="105" t="str">
        <f t="shared" si="368"/>
        <v/>
      </c>
      <c r="AT778" s="108" t="str">
        <f t="shared" si="369"/>
        <v/>
      </c>
      <c r="AU778" s="108" t="str">
        <f t="shared" si="370"/>
        <v/>
      </c>
      <c r="AV778" s="107" t="str">
        <f>IF(ISNUMBER(O778),IF(VLOOKUP($A778,Stand!C:J,8,FALSE)="Short",AT778,AU778),"")</f>
        <v/>
      </c>
      <c r="AW778" s="109" t="str">
        <f t="shared" si="376"/>
        <v/>
      </c>
      <c r="AX778" s="109" t="str">
        <f t="shared" si="377"/>
        <v/>
      </c>
      <c r="AY778" s="112" t="str">
        <f>IF(ISNUMBER(O778),IF(AND(VLOOKUP($D778,Merchantability!$B:$C,2,0)="Yes",$E778&gt;=VLOOKUP($D778,Merchantability!$B:$D,3,0),$E778&lt;=VLOOKUP($D778,Merchantability!$B:$E,4,0)),(AV778*O778)*(1-$H778/100),""),"")</f>
        <v/>
      </c>
      <c r="AZ778" s="116"/>
      <c r="BA778" s="116"/>
      <c r="BB778" s="116"/>
      <c r="BE778" s="62"/>
      <c r="BF778" s="63"/>
    </row>
    <row r="779" spans="1:58" ht="12.75" customHeight="1" x14ac:dyDescent="0.25">
      <c r="A779" s="313"/>
      <c r="B779" s="328"/>
      <c r="C779" s="329"/>
      <c r="D779" s="328"/>
      <c r="E779" s="330"/>
      <c r="F779" s="328"/>
      <c r="G779" s="329"/>
      <c r="H779" s="329"/>
      <c r="I779" s="328"/>
      <c r="J779" s="383"/>
      <c r="K779" s="329"/>
      <c r="L779" s="329"/>
      <c r="M779" s="76"/>
      <c r="N779" s="103" t="str">
        <f>IF(A779="","",VLOOKUP(A779,Stand!C:K,9,0))</f>
        <v/>
      </c>
      <c r="O779" s="104" t="str">
        <f t="shared" si="362"/>
        <v/>
      </c>
      <c r="P779" s="105" t="str">
        <f t="shared" si="363"/>
        <v/>
      </c>
      <c r="Q779" s="105" t="str">
        <f t="shared" si="351"/>
        <v/>
      </c>
      <c r="R779" s="103" t="str">
        <f t="shared" si="364"/>
        <v/>
      </c>
      <c r="S779" s="103" t="str">
        <f t="shared" si="365"/>
        <v/>
      </c>
      <c r="T779" s="106" t="str">
        <f t="shared" si="352"/>
        <v/>
      </c>
      <c r="U779" s="106" t="str">
        <f t="shared" si="353"/>
        <v/>
      </c>
      <c r="V779" s="106" t="str">
        <f t="shared" si="354"/>
        <v/>
      </c>
      <c r="W779" s="105" t="str">
        <f t="shared" si="366"/>
        <v/>
      </c>
      <c r="X779" s="104" t="str">
        <f t="shared" si="371"/>
        <v/>
      </c>
      <c r="Y779" s="104" t="str">
        <f t="array" ref="Y779">IFERROR(IF(ISNUMBER(O779),IF(COUNT(IF(A779=$A$2:$A$2427,IF(D779=$D$2:$D$2427,IF($X$2:$X$2427&gt;0,1))))&gt;0,SUM(IF(A779=$A$2:$A$2427,IF(D779=$D$2:$D$2427,$X$2:$X$2427)))/COUNT(IF(A779=$A$2:$A$2427,IF(D779=$D$2:$D$2427,IF(ISNUMBER($X$2:$X$2427),1)))),0),""),0)</f>
        <v/>
      </c>
      <c r="Z779" s="104" t="str">
        <f>IF(ISNUMBER(O779),IF(I779&gt;0,(10^(VLOOKUP(D779,'Species Codes'!B:C,2,0)+VLOOKUP(D779,'Species Codes'!B:D,3,0)*LOG(E779)+VLOOKUP(D779,'Species Codes'!B:E,4,0)*LOG(I779))),0),"")</f>
        <v/>
      </c>
      <c r="AA779" s="104" t="str">
        <f>IFERROR((VLOOKUP(D779,'Species Codes'!B:G,6,0)*Z779)/2000,"")</f>
        <v/>
      </c>
      <c r="AB779" s="104" t="e">
        <f>IF(Z779&gt;0,((IF(OR(D779="DF",D779="RA")=TRUE,EXP(VLOOKUP(D779,'Species Codes'!B:I,8,0)+VLOOKUP(D779,'Species Codes'!B:J,9,0)*(LN((E779*2.54)))),IF(OR(D779="PY",D779="RC",D779="WH",D779="NF")=TRUE,VLOOKUP(D779,'Species Codes'!B:I,8,0)+VLOOKUP(D779,'Species Codes'!B:J,9,0)*((E779*2.54)^2)*(I779*0.3048),IF(OR(D779="MD",D779="BM",D779="GA")=TRUE,((VLOOKUP(D779,'Species Codes'!B:I,8,0)*(((((E779*2.54)+VLOOKUP(D779,'Species Codes'!B:J,9,0))/VLOOKUP(D779,'Species Codes'!B:K,10,0))^VLOOKUP(D779,'Species Codes'!B:L,11,0))*((I779*0.3048)^VLOOKUP(D779,'Species Codes'!B:M,12,0))))-(VLOOKUP(D779,'Species Codes'!B:I,8,0)*((((E779*2.54)^VLOOKUP(D779,'Species Codes'!B:L,11,0))*((I779*0.3048)^VLOOKUP(D779,'Species Codes'!B:M,12,0))))))*35.3*VLOOKUP(D779,'Species Codes'!B:G,6,0)/2.2046,VLOOKUP(D779,'Species Codes'!B:I,8,0)+VLOOKUP(D779,'Species Codes'!B:J,9,0)*(((E779*2.54)/100)^2)*(I779*0.3048)))))*0.0011023),0)</f>
        <v>#N/A</v>
      </c>
      <c r="AC779" s="104" t="e">
        <f>IF(Z779&gt;0,((IF(OR(D779="RA",D779="OA",D779="OT",D779="UN",D779="PC"),EXP(VLOOKUP(D779,'Species Codes'!B:O,14,0)+VLOOKUP(D779,'Species Codes'!B:P,15,0)*LN((E779*2.54)))-EXP(VLOOKUP(D779,'Species Codes'!B:O,14,0)+VLOOKUP(D779,'Species Codes'!B:P,15,0)*LN((E779*2.54)))*(1/(VLOOKUP(D779,'Species Codes'!B:Q,16,0)+VLOOKUP(D779,'Species Codes'!B:R,17,0)*((E779*2.54)^VLOOKUP(D779,'Species Codes'!B:S,18,0)))),IF(OR(D779="BM",D779="MD",D779="OA"),EXP(VLOOKUP(D779,'Species Codes'!B:O,14,0)+VLOOKUP(D779,'Species Codes'!B:P,15,0)*LN((E779*2.54)))*(1-(1/(VLOOKUP(D779,'Species Codes'!B:Q,16,0)+VLOOKUP(D779,'Species Codes'!B:R,17,0)*((E779*2.54)^VLOOKUP(D779,'Species Codes'!B:S,18,0)))))/1000,IF(D779="DF",EXP(VLOOKUP(D779,'Species Codes'!B:O,14,0)+VLOOKUP(D779,'Species Codes'!B:P,15,0)*LN((E779*2.54))),VLOOKUP(D779,'Species Codes'!B:O,14,0)+VLOOKUP(D779,'Species Codes'!B:P,15,0)*(((E779*2.54)/100)^2)*(I779*0.3048)))))*0.0011023),0)</f>
        <v>#N/A</v>
      </c>
      <c r="AD779" s="104" t="e">
        <f t="shared" si="355"/>
        <v>#N/A</v>
      </c>
      <c r="AE779" s="104" t="e">
        <f t="shared" si="356"/>
        <v>#N/A</v>
      </c>
      <c r="AF779" s="104" t="e">
        <f>IF(AND(VLOOKUP($D779,Merchantability!$B:$C,2,0)="Yes",$E779&gt;=VLOOKUP($D779,Merchantability!$B:$D,3,0),$E779&lt;=VLOOKUP($D779,Merchantability!$B:$E,4,0)),AA779,0)</f>
        <v>#N/A</v>
      </c>
      <c r="AG779" s="104" t="e">
        <f>IF(AND(VLOOKUP($D779,Merchantability!$B:$C,2,0)="Yes",$E779&gt;=VLOOKUP($D779,Merchantability!$B:$D,3,0),$E779&lt;=VLOOKUP($D779,Merchantability!$B:$E,4,0)),AB779,0)</f>
        <v>#N/A</v>
      </c>
      <c r="AH779" s="104" t="e">
        <f>IF(AND(VLOOKUP($D779,Merchantability!$B:$C,2,0)="Yes",$E779&gt;=VLOOKUP($D779,Merchantability!$B:$D,3,0),$E779&lt;=VLOOKUP($D779,Merchantability!$B:$E,4,0)),AC779,0)</f>
        <v>#N/A</v>
      </c>
      <c r="AI779" s="104" t="e">
        <f t="shared" si="357"/>
        <v>#N/A</v>
      </c>
      <c r="AJ779" s="104" t="e">
        <f t="shared" si="358"/>
        <v>#VALUE!</v>
      </c>
      <c r="AK779" s="104" t="e">
        <f t="shared" si="359"/>
        <v>#N/A</v>
      </c>
      <c r="AL779" s="104" t="e">
        <f t="shared" si="360"/>
        <v>#N/A</v>
      </c>
      <c r="AM779" s="104" t="e">
        <f t="shared" si="361"/>
        <v>#N/A</v>
      </c>
      <c r="AN779" s="104" t="e">
        <f t="shared" si="372"/>
        <v>#N/A</v>
      </c>
      <c r="AO779" s="104" t="e">
        <f t="shared" si="373"/>
        <v>#N/A</v>
      </c>
      <c r="AP779" s="104" t="e">
        <f t="shared" si="374"/>
        <v>#N/A</v>
      </c>
      <c r="AQ779" s="104" t="e">
        <f t="shared" si="375"/>
        <v>#N/A</v>
      </c>
      <c r="AR779" s="105" t="str">
        <f t="shared" si="367"/>
        <v/>
      </c>
      <c r="AS779" s="105" t="str">
        <f t="shared" si="368"/>
        <v/>
      </c>
      <c r="AT779" s="108" t="str">
        <f t="shared" si="369"/>
        <v/>
      </c>
      <c r="AU779" s="108" t="str">
        <f t="shared" si="370"/>
        <v/>
      </c>
      <c r="AV779" s="107" t="str">
        <f>IF(ISNUMBER(O779),IF(VLOOKUP($A779,Stand!C:J,8,FALSE)="Short",AT779,AU779),"")</f>
        <v/>
      </c>
      <c r="AW779" s="109" t="str">
        <f t="shared" si="376"/>
        <v/>
      </c>
      <c r="AX779" s="109" t="str">
        <f t="shared" si="377"/>
        <v/>
      </c>
      <c r="AY779" s="112" t="str">
        <f>IF(ISNUMBER(O779),IF(AND(VLOOKUP($D779,Merchantability!$B:$C,2,0)="Yes",$E779&gt;=VLOOKUP($D779,Merchantability!$B:$D,3,0),$E779&lt;=VLOOKUP($D779,Merchantability!$B:$E,4,0)),(AV779*O779)*(1-$H779/100),""),"")</f>
        <v/>
      </c>
      <c r="AZ779" s="116"/>
      <c r="BA779" s="116"/>
      <c r="BB779" s="116"/>
      <c r="BE779" s="62"/>
      <c r="BF779" s="63"/>
    </row>
    <row r="780" spans="1:58" ht="12.75" customHeight="1" x14ac:dyDescent="0.25">
      <c r="A780" s="313"/>
      <c r="B780" s="328"/>
      <c r="C780" s="329"/>
      <c r="D780" s="328"/>
      <c r="E780" s="330"/>
      <c r="F780" s="328"/>
      <c r="G780" s="329"/>
      <c r="H780" s="329"/>
      <c r="I780" s="328"/>
      <c r="J780" s="383"/>
      <c r="K780" s="329"/>
      <c r="L780" s="329"/>
      <c r="M780" s="76"/>
      <c r="N780" s="103" t="str">
        <f>IF(A780="","",VLOOKUP(A780,Stand!C:K,9,0))</f>
        <v/>
      </c>
      <c r="O780" s="104" t="str">
        <f t="shared" si="362"/>
        <v/>
      </c>
      <c r="P780" s="105" t="str">
        <f t="shared" si="363"/>
        <v/>
      </c>
      <c r="Q780" s="105" t="str">
        <f t="shared" si="351"/>
        <v/>
      </c>
      <c r="R780" s="103" t="str">
        <f t="shared" si="364"/>
        <v/>
      </c>
      <c r="S780" s="103" t="str">
        <f t="shared" si="365"/>
        <v/>
      </c>
      <c r="T780" s="106" t="str">
        <f t="shared" si="352"/>
        <v/>
      </c>
      <c r="U780" s="106" t="str">
        <f t="shared" si="353"/>
        <v/>
      </c>
      <c r="V780" s="106" t="str">
        <f t="shared" si="354"/>
        <v/>
      </c>
      <c r="W780" s="105" t="str">
        <f t="shared" si="366"/>
        <v/>
      </c>
      <c r="X780" s="104" t="str">
        <f t="shared" si="371"/>
        <v/>
      </c>
      <c r="Y780" s="104" t="str">
        <f t="array" ref="Y780">IFERROR(IF(ISNUMBER(O780),IF(COUNT(IF(A780=$A$2:$A$2427,IF(D780=$D$2:$D$2427,IF($X$2:$X$2427&gt;0,1))))&gt;0,SUM(IF(A780=$A$2:$A$2427,IF(D780=$D$2:$D$2427,$X$2:$X$2427)))/COUNT(IF(A780=$A$2:$A$2427,IF(D780=$D$2:$D$2427,IF(ISNUMBER($X$2:$X$2427),1)))),0),""),0)</f>
        <v/>
      </c>
      <c r="Z780" s="104" t="str">
        <f>IF(ISNUMBER(O780),IF(I780&gt;0,(10^(VLOOKUP(D780,'Species Codes'!B:C,2,0)+VLOOKUP(D780,'Species Codes'!B:D,3,0)*LOG(E780)+VLOOKUP(D780,'Species Codes'!B:E,4,0)*LOG(I780))),0),"")</f>
        <v/>
      </c>
      <c r="AA780" s="104" t="str">
        <f>IFERROR((VLOOKUP(D780,'Species Codes'!B:G,6,0)*Z780)/2000,"")</f>
        <v/>
      </c>
      <c r="AB780" s="104" t="e">
        <f>IF(Z780&gt;0,((IF(OR(D780="DF",D780="RA")=TRUE,EXP(VLOOKUP(D780,'Species Codes'!B:I,8,0)+VLOOKUP(D780,'Species Codes'!B:J,9,0)*(LN((E780*2.54)))),IF(OR(D780="PY",D780="RC",D780="WH",D780="NF")=TRUE,VLOOKUP(D780,'Species Codes'!B:I,8,0)+VLOOKUP(D780,'Species Codes'!B:J,9,0)*((E780*2.54)^2)*(I780*0.3048),IF(OR(D780="MD",D780="BM",D780="GA")=TRUE,((VLOOKUP(D780,'Species Codes'!B:I,8,0)*(((((E780*2.54)+VLOOKUP(D780,'Species Codes'!B:J,9,0))/VLOOKUP(D780,'Species Codes'!B:K,10,0))^VLOOKUP(D780,'Species Codes'!B:L,11,0))*((I780*0.3048)^VLOOKUP(D780,'Species Codes'!B:M,12,0))))-(VLOOKUP(D780,'Species Codes'!B:I,8,0)*((((E780*2.54)^VLOOKUP(D780,'Species Codes'!B:L,11,0))*((I780*0.3048)^VLOOKUP(D780,'Species Codes'!B:M,12,0))))))*35.3*VLOOKUP(D780,'Species Codes'!B:G,6,0)/2.2046,VLOOKUP(D780,'Species Codes'!B:I,8,0)+VLOOKUP(D780,'Species Codes'!B:J,9,0)*(((E780*2.54)/100)^2)*(I780*0.3048)))))*0.0011023),0)</f>
        <v>#N/A</v>
      </c>
      <c r="AC780" s="104" t="e">
        <f>IF(Z780&gt;0,((IF(OR(D780="RA",D780="OA",D780="OT",D780="UN",D780="PC"),EXP(VLOOKUP(D780,'Species Codes'!B:O,14,0)+VLOOKUP(D780,'Species Codes'!B:P,15,0)*LN((E780*2.54)))-EXP(VLOOKUP(D780,'Species Codes'!B:O,14,0)+VLOOKUP(D780,'Species Codes'!B:P,15,0)*LN((E780*2.54)))*(1/(VLOOKUP(D780,'Species Codes'!B:Q,16,0)+VLOOKUP(D780,'Species Codes'!B:R,17,0)*((E780*2.54)^VLOOKUP(D780,'Species Codes'!B:S,18,0)))),IF(OR(D780="BM",D780="MD",D780="OA"),EXP(VLOOKUP(D780,'Species Codes'!B:O,14,0)+VLOOKUP(D780,'Species Codes'!B:P,15,0)*LN((E780*2.54)))*(1-(1/(VLOOKUP(D780,'Species Codes'!B:Q,16,0)+VLOOKUP(D780,'Species Codes'!B:R,17,0)*((E780*2.54)^VLOOKUP(D780,'Species Codes'!B:S,18,0)))))/1000,IF(D780="DF",EXP(VLOOKUP(D780,'Species Codes'!B:O,14,0)+VLOOKUP(D780,'Species Codes'!B:P,15,0)*LN((E780*2.54))),VLOOKUP(D780,'Species Codes'!B:O,14,0)+VLOOKUP(D780,'Species Codes'!B:P,15,0)*(((E780*2.54)/100)^2)*(I780*0.3048)))))*0.0011023),0)</f>
        <v>#N/A</v>
      </c>
      <c r="AD780" s="104" t="e">
        <f t="shared" si="355"/>
        <v>#N/A</v>
      </c>
      <c r="AE780" s="104" t="e">
        <f t="shared" si="356"/>
        <v>#N/A</v>
      </c>
      <c r="AF780" s="104" t="e">
        <f>IF(AND(VLOOKUP($D780,Merchantability!$B:$C,2,0)="Yes",$E780&gt;=VLOOKUP($D780,Merchantability!$B:$D,3,0),$E780&lt;=VLOOKUP($D780,Merchantability!$B:$E,4,0)),AA780,0)</f>
        <v>#N/A</v>
      </c>
      <c r="AG780" s="104" t="e">
        <f>IF(AND(VLOOKUP($D780,Merchantability!$B:$C,2,0)="Yes",$E780&gt;=VLOOKUP($D780,Merchantability!$B:$D,3,0),$E780&lt;=VLOOKUP($D780,Merchantability!$B:$E,4,0)),AB780,0)</f>
        <v>#N/A</v>
      </c>
      <c r="AH780" s="104" t="e">
        <f>IF(AND(VLOOKUP($D780,Merchantability!$B:$C,2,0)="Yes",$E780&gt;=VLOOKUP($D780,Merchantability!$B:$D,3,0),$E780&lt;=VLOOKUP($D780,Merchantability!$B:$E,4,0)),AC780,0)</f>
        <v>#N/A</v>
      </c>
      <c r="AI780" s="104" t="e">
        <f t="shared" si="357"/>
        <v>#N/A</v>
      </c>
      <c r="AJ780" s="104" t="e">
        <f t="shared" si="358"/>
        <v>#VALUE!</v>
      </c>
      <c r="AK780" s="104" t="e">
        <f t="shared" si="359"/>
        <v>#N/A</v>
      </c>
      <c r="AL780" s="104" t="e">
        <f t="shared" si="360"/>
        <v>#N/A</v>
      </c>
      <c r="AM780" s="104" t="e">
        <f t="shared" si="361"/>
        <v>#N/A</v>
      </c>
      <c r="AN780" s="104" t="e">
        <f t="shared" si="372"/>
        <v>#N/A</v>
      </c>
      <c r="AO780" s="104" t="e">
        <f t="shared" si="373"/>
        <v>#N/A</v>
      </c>
      <c r="AP780" s="104" t="e">
        <f t="shared" si="374"/>
        <v>#N/A</v>
      </c>
      <c r="AQ780" s="104" t="e">
        <f t="shared" si="375"/>
        <v>#N/A</v>
      </c>
      <c r="AR780" s="105" t="str">
        <f t="shared" si="367"/>
        <v/>
      </c>
      <c r="AS780" s="105" t="str">
        <f t="shared" si="368"/>
        <v/>
      </c>
      <c r="AT780" s="108" t="str">
        <f t="shared" si="369"/>
        <v/>
      </c>
      <c r="AU780" s="108" t="str">
        <f t="shared" si="370"/>
        <v/>
      </c>
      <c r="AV780" s="107" t="str">
        <f>IF(ISNUMBER(O780),IF(VLOOKUP($A780,Stand!C:J,8,FALSE)="Short",AT780,AU780),"")</f>
        <v/>
      </c>
      <c r="AW780" s="109" t="str">
        <f t="shared" si="376"/>
        <v/>
      </c>
      <c r="AX780" s="109" t="str">
        <f t="shared" si="377"/>
        <v/>
      </c>
      <c r="AY780" s="112" t="str">
        <f>IF(ISNUMBER(O780),IF(AND(VLOOKUP($D780,Merchantability!$B:$C,2,0)="Yes",$E780&gt;=VLOOKUP($D780,Merchantability!$B:$D,3,0),$E780&lt;=VLOOKUP($D780,Merchantability!$B:$E,4,0)),(AV780*O780)*(1-$H780/100),""),"")</f>
        <v/>
      </c>
      <c r="AZ780" s="116"/>
      <c r="BA780" s="116"/>
      <c r="BB780" s="116"/>
      <c r="BE780" s="62"/>
      <c r="BF780" s="63"/>
    </row>
    <row r="781" spans="1:58" ht="12.75" customHeight="1" x14ac:dyDescent="0.25">
      <c r="A781" s="313"/>
      <c r="B781" s="328"/>
      <c r="C781" s="329"/>
      <c r="D781" s="328"/>
      <c r="E781" s="330"/>
      <c r="F781" s="328"/>
      <c r="G781" s="329"/>
      <c r="H781" s="329"/>
      <c r="I781" s="328"/>
      <c r="J781" s="383"/>
      <c r="K781" s="329"/>
      <c r="L781" s="329"/>
      <c r="M781" s="76"/>
      <c r="N781" s="103" t="str">
        <f>IF(A781="","",VLOOKUP(A781,Stand!C:K,9,0))</f>
        <v/>
      </c>
      <c r="O781" s="104" t="str">
        <f t="shared" si="362"/>
        <v/>
      </c>
      <c r="P781" s="105" t="str">
        <f t="shared" si="363"/>
        <v/>
      </c>
      <c r="Q781" s="105" t="str">
        <f t="shared" si="351"/>
        <v/>
      </c>
      <c r="R781" s="103" t="str">
        <f t="shared" si="364"/>
        <v/>
      </c>
      <c r="S781" s="103" t="str">
        <f t="shared" si="365"/>
        <v/>
      </c>
      <c r="T781" s="106" t="str">
        <f t="shared" si="352"/>
        <v/>
      </c>
      <c r="U781" s="106" t="str">
        <f t="shared" si="353"/>
        <v/>
      </c>
      <c r="V781" s="106" t="str">
        <f t="shared" si="354"/>
        <v/>
      </c>
      <c r="W781" s="105" t="str">
        <f t="shared" si="366"/>
        <v/>
      </c>
      <c r="X781" s="104" t="str">
        <f t="shared" si="371"/>
        <v/>
      </c>
      <c r="Y781" s="104" t="str">
        <f t="array" ref="Y781">IFERROR(IF(ISNUMBER(O781),IF(COUNT(IF(A781=$A$2:$A$2427,IF(D781=$D$2:$D$2427,IF($X$2:$X$2427&gt;0,1))))&gt;0,SUM(IF(A781=$A$2:$A$2427,IF(D781=$D$2:$D$2427,$X$2:$X$2427)))/COUNT(IF(A781=$A$2:$A$2427,IF(D781=$D$2:$D$2427,IF(ISNUMBER($X$2:$X$2427),1)))),0),""),0)</f>
        <v/>
      </c>
      <c r="Z781" s="104" t="str">
        <f>IF(ISNUMBER(O781),IF(I781&gt;0,(10^(VLOOKUP(D781,'Species Codes'!B:C,2,0)+VLOOKUP(D781,'Species Codes'!B:D,3,0)*LOG(E781)+VLOOKUP(D781,'Species Codes'!B:E,4,0)*LOG(I781))),0),"")</f>
        <v/>
      </c>
      <c r="AA781" s="104" t="str">
        <f>IFERROR((VLOOKUP(D781,'Species Codes'!B:G,6,0)*Z781)/2000,"")</f>
        <v/>
      </c>
      <c r="AB781" s="104" t="e">
        <f>IF(Z781&gt;0,((IF(OR(D781="DF",D781="RA")=TRUE,EXP(VLOOKUP(D781,'Species Codes'!B:I,8,0)+VLOOKUP(D781,'Species Codes'!B:J,9,0)*(LN((E781*2.54)))),IF(OR(D781="PY",D781="RC",D781="WH",D781="NF")=TRUE,VLOOKUP(D781,'Species Codes'!B:I,8,0)+VLOOKUP(D781,'Species Codes'!B:J,9,0)*((E781*2.54)^2)*(I781*0.3048),IF(OR(D781="MD",D781="BM",D781="GA")=TRUE,((VLOOKUP(D781,'Species Codes'!B:I,8,0)*(((((E781*2.54)+VLOOKUP(D781,'Species Codes'!B:J,9,0))/VLOOKUP(D781,'Species Codes'!B:K,10,0))^VLOOKUP(D781,'Species Codes'!B:L,11,0))*((I781*0.3048)^VLOOKUP(D781,'Species Codes'!B:M,12,0))))-(VLOOKUP(D781,'Species Codes'!B:I,8,0)*((((E781*2.54)^VLOOKUP(D781,'Species Codes'!B:L,11,0))*((I781*0.3048)^VLOOKUP(D781,'Species Codes'!B:M,12,0))))))*35.3*VLOOKUP(D781,'Species Codes'!B:G,6,0)/2.2046,VLOOKUP(D781,'Species Codes'!B:I,8,0)+VLOOKUP(D781,'Species Codes'!B:J,9,0)*(((E781*2.54)/100)^2)*(I781*0.3048)))))*0.0011023),0)</f>
        <v>#N/A</v>
      </c>
      <c r="AC781" s="104" t="e">
        <f>IF(Z781&gt;0,((IF(OR(D781="RA",D781="OA",D781="OT",D781="UN",D781="PC"),EXP(VLOOKUP(D781,'Species Codes'!B:O,14,0)+VLOOKUP(D781,'Species Codes'!B:P,15,0)*LN((E781*2.54)))-EXP(VLOOKUP(D781,'Species Codes'!B:O,14,0)+VLOOKUP(D781,'Species Codes'!B:P,15,0)*LN((E781*2.54)))*(1/(VLOOKUP(D781,'Species Codes'!B:Q,16,0)+VLOOKUP(D781,'Species Codes'!B:R,17,0)*((E781*2.54)^VLOOKUP(D781,'Species Codes'!B:S,18,0)))),IF(OR(D781="BM",D781="MD",D781="OA"),EXP(VLOOKUP(D781,'Species Codes'!B:O,14,0)+VLOOKUP(D781,'Species Codes'!B:P,15,0)*LN((E781*2.54)))*(1-(1/(VLOOKUP(D781,'Species Codes'!B:Q,16,0)+VLOOKUP(D781,'Species Codes'!B:R,17,0)*((E781*2.54)^VLOOKUP(D781,'Species Codes'!B:S,18,0)))))/1000,IF(D781="DF",EXP(VLOOKUP(D781,'Species Codes'!B:O,14,0)+VLOOKUP(D781,'Species Codes'!B:P,15,0)*LN((E781*2.54))),VLOOKUP(D781,'Species Codes'!B:O,14,0)+VLOOKUP(D781,'Species Codes'!B:P,15,0)*(((E781*2.54)/100)^2)*(I781*0.3048)))))*0.0011023),0)</f>
        <v>#N/A</v>
      </c>
      <c r="AD781" s="104" t="e">
        <f t="shared" si="355"/>
        <v>#N/A</v>
      </c>
      <c r="AE781" s="104" t="e">
        <f t="shared" si="356"/>
        <v>#N/A</v>
      </c>
      <c r="AF781" s="104" t="e">
        <f>IF(AND(VLOOKUP($D781,Merchantability!$B:$C,2,0)="Yes",$E781&gt;=VLOOKUP($D781,Merchantability!$B:$D,3,0),$E781&lt;=VLOOKUP($D781,Merchantability!$B:$E,4,0)),AA781,0)</f>
        <v>#N/A</v>
      </c>
      <c r="AG781" s="104" t="e">
        <f>IF(AND(VLOOKUP($D781,Merchantability!$B:$C,2,0)="Yes",$E781&gt;=VLOOKUP($D781,Merchantability!$B:$D,3,0),$E781&lt;=VLOOKUP($D781,Merchantability!$B:$E,4,0)),AB781,0)</f>
        <v>#N/A</v>
      </c>
      <c r="AH781" s="104" t="e">
        <f>IF(AND(VLOOKUP($D781,Merchantability!$B:$C,2,0)="Yes",$E781&gt;=VLOOKUP($D781,Merchantability!$B:$D,3,0),$E781&lt;=VLOOKUP($D781,Merchantability!$B:$E,4,0)),AC781,0)</f>
        <v>#N/A</v>
      </c>
      <c r="AI781" s="104" t="e">
        <f t="shared" si="357"/>
        <v>#N/A</v>
      </c>
      <c r="AJ781" s="104" t="e">
        <f t="shared" si="358"/>
        <v>#VALUE!</v>
      </c>
      <c r="AK781" s="104" t="e">
        <f t="shared" si="359"/>
        <v>#N/A</v>
      </c>
      <c r="AL781" s="104" t="e">
        <f t="shared" si="360"/>
        <v>#N/A</v>
      </c>
      <c r="AM781" s="104" t="e">
        <f t="shared" si="361"/>
        <v>#N/A</v>
      </c>
      <c r="AN781" s="104" t="e">
        <f t="shared" si="372"/>
        <v>#N/A</v>
      </c>
      <c r="AO781" s="104" t="e">
        <f t="shared" si="373"/>
        <v>#N/A</v>
      </c>
      <c r="AP781" s="104" t="e">
        <f t="shared" si="374"/>
        <v>#N/A</v>
      </c>
      <c r="AQ781" s="104" t="e">
        <f t="shared" si="375"/>
        <v>#N/A</v>
      </c>
      <c r="AR781" s="105" t="str">
        <f t="shared" si="367"/>
        <v/>
      </c>
      <c r="AS781" s="105" t="str">
        <f t="shared" si="368"/>
        <v/>
      </c>
      <c r="AT781" s="108" t="str">
        <f t="shared" si="369"/>
        <v/>
      </c>
      <c r="AU781" s="108" t="str">
        <f t="shared" si="370"/>
        <v/>
      </c>
      <c r="AV781" s="107" t="str">
        <f>IF(ISNUMBER(O781),IF(VLOOKUP($A781,Stand!C:J,8,FALSE)="Short",AT781,AU781),"")</f>
        <v/>
      </c>
      <c r="AW781" s="109" t="str">
        <f t="shared" si="376"/>
        <v/>
      </c>
      <c r="AX781" s="109" t="str">
        <f t="shared" si="377"/>
        <v/>
      </c>
      <c r="AY781" s="112" t="str">
        <f>IF(ISNUMBER(O781),IF(AND(VLOOKUP($D781,Merchantability!$B:$C,2,0)="Yes",$E781&gt;=VLOOKUP($D781,Merchantability!$B:$D,3,0),$E781&lt;=VLOOKUP($D781,Merchantability!$B:$E,4,0)),(AV781*O781)*(1-$H781/100),""),"")</f>
        <v/>
      </c>
      <c r="AZ781" s="116"/>
      <c r="BA781" s="116"/>
      <c r="BB781" s="116"/>
      <c r="BE781" s="62"/>
      <c r="BF781" s="63"/>
    </row>
    <row r="782" spans="1:58" ht="12.75" customHeight="1" x14ac:dyDescent="0.25">
      <c r="A782" s="313"/>
      <c r="B782" s="328"/>
      <c r="C782" s="329"/>
      <c r="D782" s="328"/>
      <c r="E782" s="330"/>
      <c r="F782" s="328"/>
      <c r="G782" s="329"/>
      <c r="H782" s="329"/>
      <c r="I782" s="328"/>
      <c r="J782" s="383"/>
      <c r="K782" s="329"/>
      <c r="L782" s="329"/>
      <c r="M782" s="76"/>
      <c r="N782" s="103" t="str">
        <f>IF(A782="","",VLOOKUP(A782,Stand!C:K,9,0))</f>
        <v/>
      </c>
      <c r="O782" s="104" t="str">
        <f t="shared" si="362"/>
        <v/>
      </c>
      <c r="P782" s="105" t="str">
        <f t="shared" si="363"/>
        <v/>
      </c>
      <c r="Q782" s="105" t="str">
        <f t="shared" si="351"/>
        <v/>
      </c>
      <c r="R782" s="103" t="str">
        <f t="shared" si="364"/>
        <v/>
      </c>
      <c r="S782" s="103" t="str">
        <f t="shared" si="365"/>
        <v/>
      </c>
      <c r="T782" s="106" t="str">
        <f t="shared" si="352"/>
        <v/>
      </c>
      <c r="U782" s="106" t="str">
        <f t="shared" si="353"/>
        <v/>
      </c>
      <c r="V782" s="106" t="str">
        <f t="shared" si="354"/>
        <v/>
      </c>
      <c r="W782" s="105" t="str">
        <f t="shared" si="366"/>
        <v/>
      </c>
      <c r="X782" s="104" t="str">
        <f t="shared" si="371"/>
        <v/>
      </c>
      <c r="Y782" s="104" t="str">
        <f t="array" ref="Y782">IFERROR(IF(ISNUMBER(O782),IF(COUNT(IF(A782=$A$2:$A$2427,IF(D782=$D$2:$D$2427,IF($X$2:$X$2427&gt;0,1))))&gt;0,SUM(IF(A782=$A$2:$A$2427,IF(D782=$D$2:$D$2427,$X$2:$X$2427)))/COUNT(IF(A782=$A$2:$A$2427,IF(D782=$D$2:$D$2427,IF(ISNUMBER($X$2:$X$2427),1)))),0),""),0)</f>
        <v/>
      </c>
      <c r="Z782" s="104" t="str">
        <f>IF(ISNUMBER(O782),IF(I782&gt;0,(10^(VLOOKUP(D782,'Species Codes'!B:C,2,0)+VLOOKUP(D782,'Species Codes'!B:D,3,0)*LOG(E782)+VLOOKUP(D782,'Species Codes'!B:E,4,0)*LOG(I782))),0),"")</f>
        <v/>
      </c>
      <c r="AA782" s="104" t="str">
        <f>IFERROR((VLOOKUP(D782,'Species Codes'!B:G,6,0)*Z782)/2000,"")</f>
        <v/>
      </c>
      <c r="AB782" s="104" t="e">
        <f>IF(Z782&gt;0,((IF(OR(D782="DF",D782="RA")=TRUE,EXP(VLOOKUP(D782,'Species Codes'!B:I,8,0)+VLOOKUP(D782,'Species Codes'!B:J,9,0)*(LN((E782*2.54)))),IF(OR(D782="PY",D782="RC",D782="WH",D782="NF")=TRUE,VLOOKUP(D782,'Species Codes'!B:I,8,0)+VLOOKUP(D782,'Species Codes'!B:J,9,0)*((E782*2.54)^2)*(I782*0.3048),IF(OR(D782="MD",D782="BM",D782="GA")=TRUE,((VLOOKUP(D782,'Species Codes'!B:I,8,0)*(((((E782*2.54)+VLOOKUP(D782,'Species Codes'!B:J,9,0))/VLOOKUP(D782,'Species Codes'!B:K,10,0))^VLOOKUP(D782,'Species Codes'!B:L,11,0))*((I782*0.3048)^VLOOKUP(D782,'Species Codes'!B:M,12,0))))-(VLOOKUP(D782,'Species Codes'!B:I,8,0)*((((E782*2.54)^VLOOKUP(D782,'Species Codes'!B:L,11,0))*((I782*0.3048)^VLOOKUP(D782,'Species Codes'!B:M,12,0))))))*35.3*VLOOKUP(D782,'Species Codes'!B:G,6,0)/2.2046,VLOOKUP(D782,'Species Codes'!B:I,8,0)+VLOOKUP(D782,'Species Codes'!B:J,9,0)*(((E782*2.54)/100)^2)*(I782*0.3048)))))*0.0011023),0)</f>
        <v>#N/A</v>
      </c>
      <c r="AC782" s="104" t="e">
        <f>IF(Z782&gt;0,((IF(OR(D782="RA",D782="OA",D782="OT",D782="UN",D782="PC"),EXP(VLOOKUP(D782,'Species Codes'!B:O,14,0)+VLOOKUP(D782,'Species Codes'!B:P,15,0)*LN((E782*2.54)))-EXP(VLOOKUP(D782,'Species Codes'!B:O,14,0)+VLOOKUP(D782,'Species Codes'!B:P,15,0)*LN((E782*2.54)))*(1/(VLOOKUP(D782,'Species Codes'!B:Q,16,0)+VLOOKUP(D782,'Species Codes'!B:R,17,0)*((E782*2.54)^VLOOKUP(D782,'Species Codes'!B:S,18,0)))),IF(OR(D782="BM",D782="MD",D782="OA"),EXP(VLOOKUP(D782,'Species Codes'!B:O,14,0)+VLOOKUP(D782,'Species Codes'!B:P,15,0)*LN((E782*2.54)))*(1-(1/(VLOOKUP(D782,'Species Codes'!B:Q,16,0)+VLOOKUP(D782,'Species Codes'!B:R,17,0)*((E782*2.54)^VLOOKUP(D782,'Species Codes'!B:S,18,0)))))/1000,IF(D782="DF",EXP(VLOOKUP(D782,'Species Codes'!B:O,14,0)+VLOOKUP(D782,'Species Codes'!B:P,15,0)*LN((E782*2.54))),VLOOKUP(D782,'Species Codes'!B:O,14,0)+VLOOKUP(D782,'Species Codes'!B:P,15,0)*(((E782*2.54)/100)^2)*(I782*0.3048)))))*0.0011023),0)</f>
        <v>#N/A</v>
      </c>
      <c r="AD782" s="104" t="e">
        <f t="shared" si="355"/>
        <v>#N/A</v>
      </c>
      <c r="AE782" s="104" t="e">
        <f t="shared" si="356"/>
        <v>#N/A</v>
      </c>
      <c r="AF782" s="104" t="e">
        <f>IF(AND(VLOOKUP($D782,Merchantability!$B:$C,2,0)="Yes",$E782&gt;=VLOOKUP($D782,Merchantability!$B:$D,3,0),$E782&lt;=VLOOKUP($D782,Merchantability!$B:$E,4,0)),AA782,0)</f>
        <v>#N/A</v>
      </c>
      <c r="AG782" s="104" t="e">
        <f>IF(AND(VLOOKUP($D782,Merchantability!$B:$C,2,0)="Yes",$E782&gt;=VLOOKUP($D782,Merchantability!$B:$D,3,0),$E782&lt;=VLOOKUP($D782,Merchantability!$B:$E,4,0)),AB782,0)</f>
        <v>#N/A</v>
      </c>
      <c r="AH782" s="104" t="e">
        <f>IF(AND(VLOOKUP($D782,Merchantability!$B:$C,2,0)="Yes",$E782&gt;=VLOOKUP($D782,Merchantability!$B:$D,3,0),$E782&lt;=VLOOKUP($D782,Merchantability!$B:$E,4,0)),AC782,0)</f>
        <v>#N/A</v>
      </c>
      <c r="AI782" s="104" t="e">
        <f t="shared" si="357"/>
        <v>#N/A</v>
      </c>
      <c r="AJ782" s="104" t="e">
        <f t="shared" si="358"/>
        <v>#VALUE!</v>
      </c>
      <c r="AK782" s="104" t="e">
        <f t="shared" si="359"/>
        <v>#N/A</v>
      </c>
      <c r="AL782" s="104" t="e">
        <f t="shared" si="360"/>
        <v>#N/A</v>
      </c>
      <c r="AM782" s="104" t="e">
        <f t="shared" si="361"/>
        <v>#N/A</v>
      </c>
      <c r="AN782" s="104" t="e">
        <f t="shared" si="372"/>
        <v>#N/A</v>
      </c>
      <c r="AO782" s="104" t="e">
        <f t="shared" si="373"/>
        <v>#N/A</v>
      </c>
      <c r="AP782" s="104" t="e">
        <f t="shared" si="374"/>
        <v>#N/A</v>
      </c>
      <c r="AQ782" s="104" t="e">
        <f t="shared" si="375"/>
        <v>#N/A</v>
      </c>
      <c r="AR782" s="105" t="str">
        <f t="shared" si="367"/>
        <v/>
      </c>
      <c r="AS782" s="105" t="str">
        <f t="shared" si="368"/>
        <v/>
      </c>
      <c r="AT782" s="108" t="str">
        <f t="shared" si="369"/>
        <v/>
      </c>
      <c r="AU782" s="108" t="str">
        <f t="shared" si="370"/>
        <v/>
      </c>
      <c r="AV782" s="107" t="str">
        <f>IF(ISNUMBER(O782),IF(VLOOKUP($A782,Stand!C:J,8,FALSE)="Short",AT782,AU782),"")</f>
        <v/>
      </c>
      <c r="AW782" s="109" t="str">
        <f t="shared" si="376"/>
        <v/>
      </c>
      <c r="AX782" s="109" t="str">
        <f t="shared" si="377"/>
        <v/>
      </c>
      <c r="AY782" s="112" t="str">
        <f>IF(ISNUMBER(O782),IF(AND(VLOOKUP($D782,Merchantability!$B:$C,2,0)="Yes",$E782&gt;=VLOOKUP($D782,Merchantability!$B:$D,3,0),$E782&lt;=VLOOKUP($D782,Merchantability!$B:$E,4,0)),(AV782*O782)*(1-$H782/100),""),"")</f>
        <v/>
      </c>
      <c r="AZ782" s="116"/>
      <c r="BA782" s="116"/>
      <c r="BB782" s="116"/>
      <c r="BE782" s="62"/>
      <c r="BF782" s="63"/>
    </row>
    <row r="783" spans="1:58" ht="12.75" customHeight="1" x14ac:dyDescent="0.25">
      <c r="A783" s="313"/>
      <c r="B783" s="328"/>
      <c r="C783" s="329"/>
      <c r="D783" s="328"/>
      <c r="E783" s="330"/>
      <c r="F783" s="328"/>
      <c r="G783" s="329"/>
      <c r="H783" s="329"/>
      <c r="I783" s="328"/>
      <c r="J783" s="383"/>
      <c r="K783" s="329"/>
      <c r="L783" s="329"/>
      <c r="M783" s="76"/>
      <c r="N783" s="103" t="str">
        <f>IF(A783="","",VLOOKUP(A783,Stand!C:K,9,0))</f>
        <v/>
      </c>
      <c r="O783" s="104" t="str">
        <f t="shared" si="362"/>
        <v/>
      </c>
      <c r="P783" s="105" t="str">
        <f t="shared" si="363"/>
        <v/>
      </c>
      <c r="Q783" s="105" t="str">
        <f t="shared" si="351"/>
        <v/>
      </c>
      <c r="R783" s="103" t="str">
        <f t="shared" si="364"/>
        <v/>
      </c>
      <c r="S783" s="103" t="str">
        <f t="shared" si="365"/>
        <v/>
      </c>
      <c r="T783" s="106" t="str">
        <f t="shared" si="352"/>
        <v/>
      </c>
      <c r="U783" s="106" t="str">
        <f t="shared" si="353"/>
        <v/>
      </c>
      <c r="V783" s="106" t="str">
        <f t="shared" si="354"/>
        <v/>
      </c>
      <c r="W783" s="105" t="str">
        <f t="shared" si="366"/>
        <v/>
      </c>
      <c r="X783" s="104" t="str">
        <f t="shared" si="371"/>
        <v/>
      </c>
      <c r="Y783" s="104" t="str">
        <f t="array" ref="Y783">IFERROR(IF(ISNUMBER(O783),IF(COUNT(IF(A783=$A$2:$A$2427,IF(D783=$D$2:$D$2427,IF($X$2:$X$2427&gt;0,1))))&gt;0,SUM(IF(A783=$A$2:$A$2427,IF(D783=$D$2:$D$2427,$X$2:$X$2427)))/COUNT(IF(A783=$A$2:$A$2427,IF(D783=$D$2:$D$2427,IF(ISNUMBER($X$2:$X$2427),1)))),0),""),0)</f>
        <v/>
      </c>
      <c r="Z783" s="104" t="str">
        <f>IF(ISNUMBER(O783),IF(I783&gt;0,(10^(VLOOKUP(D783,'Species Codes'!B:C,2,0)+VLOOKUP(D783,'Species Codes'!B:D,3,0)*LOG(E783)+VLOOKUP(D783,'Species Codes'!B:E,4,0)*LOG(I783))),0),"")</f>
        <v/>
      </c>
      <c r="AA783" s="104" t="str">
        <f>IFERROR((VLOOKUP(D783,'Species Codes'!B:G,6,0)*Z783)/2000,"")</f>
        <v/>
      </c>
      <c r="AB783" s="104" t="e">
        <f>IF(Z783&gt;0,((IF(OR(D783="DF",D783="RA")=TRUE,EXP(VLOOKUP(D783,'Species Codes'!B:I,8,0)+VLOOKUP(D783,'Species Codes'!B:J,9,0)*(LN((E783*2.54)))),IF(OR(D783="PY",D783="RC",D783="WH",D783="NF")=TRUE,VLOOKUP(D783,'Species Codes'!B:I,8,0)+VLOOKUP(D783,'Species Codes'!B:J,9,0)*((E783*2.54)^2)*(I783*0.3048),IF(OR(D783="MD",D783="BM",D783="GA")=TRUE,((VLOOKUP(D783,'Species Codes'!B:I,8,0)*(((((E783*2.54)+VLOOKUP(D783,'Species Codes'!B:J,9,0))/VLOOKUP(D783,'Species Codes'!B:K,10,0))^VLOOKUP(D783,'Species Codes'!B:L,11,0))*((I783*0.3048)^VLOOKUP(D783,'Species Codes'!B:M,12,0))))-(VLOOKUP(D783,'Species Codes'!B:I,8,0)*((((E783*2.54)^VLOOKUP(D783,'Species Codes'!B:L,11,0))*((I783*0.3048)^VLOOKUP(D783,'Species Codes'!B:M,12,0))))))*35.3*VLOOKUP(D783,'Species Codes'!B:G,6,0)/2.2046,VLOOKUP(D783,'Species Codes'!B:I,8,0)+VLOOKUP(D783,'Species Codes'!B:J,9,0)*(((E783*2.54)/100)^2)*(I783*0.3048)))))*0.0011023),0)</f>
        <v>#N/A</v>
      </c>
      <c r="AC783" s="104" t="e">
        <f>IF(Z783&gt;0,((IF(OR(D783="RA",D783="OA",D783="OT",D783="UN",D783="PC"),EXP(VLOOKUP(D783,'Species Codes'!B:O,14,0)+VLOOKUP(D783,'Species Codes'!B:P,15,0)*LN((E783*2.54)))-EXP(VLOOKUP(D783,'Species Codes'!B:O,14,0)+VLOOKUP(D783,'Species Codes'!B:P,15,0)*LN((E783*2.54)))*(1/(VLOOKUP(D783,'Species Codes'!B:Q,16,0)+VLOOKUP(D783,'Species Codes'!B:R,17,0)*((E783*2.54)^VLOOKUP(D783,'Species Codes'!B:S,18,0)))),IF(OR(D783="BM",D783="MD",D783="OA"),EXP(VLOOKUP(D783,'Species Codes'!B:O,14,0)+VLOOKUP(D783,'Species Codes'!B:P,15,0)*LN((E783*2.54)))*(1-(1/(VLOOKUP(D783,'Species Codes'!B:Q,16,0)+VLOOKUP(D783,'Species Codes'!B:R,17,0)*((E783*2.54)^VLOOKUP(D783,'Species Codes'!B:S,18,0)))))/1000,IF(D783="DF",EXP(VLOOKUP(D783,'Species Codes'!B:O,14,0)+VLOOKUP(D783,'Species Codes'!B:P,15,0)*LN((E783*2.54))),VLOOKUP(D783,'Species Codes'!B:O,14,0)+VLOOKUP(D783,'Species Codes'!B:P,15,0)*(((E783*2.54)/100)^2)*(I783*0.3048)))))*0.0011023),0)</f>
        <v>#N/A</v>
      </c>
      <c r="AD783" s="104" t="e">
        <f t="shared" si="355"/>
        <v>#N/A</v>
      </c>
      <c r="AE783" s="104" t="e">
        <f t="shared" si="356"/>
        <v>#N/A</v>
      </c>
      <c r="AF783" s="104" t="e">
        <f>IF(AND(VLOOKUP($D783,Merchantability!$B:$C,2,0)="Yes",$E783&gt;=VLOOKUP($D783,Merchantability!$B:$D,3,0),$E783&lt;=VLOOKUP($D783,Merchantability!$B:$E,4,0)),AA783,0)</f>
        <v>#N/A</v>
      </c>
      <c r="AG783" s="104" t="e">
        <f>IF(AND(VLOOKUP($D783,Merchantability!$B:$C,2,0)="Yes",$E783&gt;=VLOOKUP($D783,Merchantability!$B:$D,3,0),$E783&lt;=VLOOKUP($D783,Merchantability!$B:$E,4,0)),AB783,0)</f>
        <v>#N/A</v>
      </c>
      <c r="AH783" s="104" t="e">
        <f>IF(AND(VLOOKUP($D783,Merchantability!$B:$C,2,0)="Yes",$E783&gt;=VLOOKUP($D783,Merchantability!$B:$D,3,0),$E783&lt;=VLOOKUP($D783,Merchantability!$B:$E,4,0)),AC783,0)</f>
        <v>#N/A</v>
      </c>
      <c r="AI783" s="104" t="e">
        <f t="shared" si="357"/>
        <v>#N/A</v>
      </c>
      <c r="AJ783" s="104" t="e">
        <f t="shared" si="358"/>
        <v>#VALUE!</v>
      </c>
      <c r="AK783" s="104" t="e">
        <f t="shared" si="359"/>
        <v>#N/A</v>
      </c>
      <c r="AL783" s="104" t="e">
        <f t="shared" si="360"/>
        <v>#N/A</v>
      </c>
      <c r="AM783" s="104" t="e">
        <f t="shared" si="361"/>
        <v>#N/A</v>
      </c>
      <c r="AN783" s="104" t="e">
        <f t="shared" si="372"/>
        <v>#N/A</v>
      </c>
      <c r="AO783" s="104" t="e">
        <f t="shared" si="373"/>
        <v>#N/A</v>
      </c>
      <c r="AP783" s="104" t="e">
        <f t="shared" si="374"/>
        <v>#N/A</v>
      </c>
      <c r="AQ783" s="104" t="e">
        <f t="shared" si="375"/>
        <v>#N/A</v>
      </c>
      <c r="AR783" s="105" t="str">
        <f t="shared" si="367"/>
        <v/>
      </c>
      <c r="AS783" s="105" t="str">
        <f t="shared" si="368"/>
        <v/>
      </c>
      <c r="AT783" s="108" t="str">
        <f t="shared" si="369"/>
        <v/>
      </c>
      <c r="AU783" s="108" t="str">
        <f t="shared" si="370"/>
        <v/>
      </c>
      <c r="AV783" s="107" t="str">
        <f>IF(ISNUMBER(O783),IF(VLOOKUP($A783,Stand!C:J,8,FALSE)="Short",AT783,AU783),"")</f>
        <v/>
      </c>
      <c r="AW783" s="109" t="str">
        <f t="shared" si="376"/>
        <v/>
      </c>
      <c r="AX783" s="109" t="str">
        <f t="shared" si="377"/>
        <v/>
      </c>
      <c r="AY783" s="112" t="str">
        <f>IF(ISNUMBER(O783),IF(AND(VLOOKUP($D783,Merchantability!$B:$C,2,0)="Yes",$E783&gt;=VLOOKUP($D783,Merchantability!$B:$D,3,0),$E783&lt;=VLOOKUP($D783,Merchantability!$B:$E,4,0)),(AV783*O783)*(1-$H783/100),""),"")</f>
        <v/>
      </c>
      <c r="AZ783" s="116"/>
      <c r="BA783" s="116"/>
      <c r="BB783" s="116"/>
      <c r="BE783" s="62"/>
      <c r="BF783" s="63"/>
    </row>
    <row r="784" spans="1:58" ht="12.75" customHeight="1" x14ac:dyDescent="0.25">
      <c r="A784" s="313"/>
      <c r="B784" s="328"/>
      <c r="C784" s="329"/>
      <c r="D784" s="328"/>
      <c r="E784" s="330"/>
      <c r="F784" s="328"/>
      <c r="G784" s="329"/>
      <c r="H784" s="329"/>
      <c r="I784" s="328"/>
      <c r="J784" s="383"/>
      <c r="K784" s="329"/>
      <c r="L784" s="329"/>
      <c r="M784" s="76"/>
      <c r="N784" s="103" t="str">
        <f>IF(A784="","",VLOOKUP(A784,Stand!C:K,9,0))</f>
        <v/>
      </c>
      <c r="O784" s="104" t="str">
        <f t="shared" si="362"/>
        <v/>
      </c>
      <c r="P784" s="105" t="str">
        <f t="shared" si="363"/>
        <v/>
      </c>
      <c r="Q784" s="105" t="str">
        <f t="shared" si="351"/>
        <v/>
      </c>
      <c r="R784" s="103" t="str">
        <f t="shared" si="364"/>
        <v/>
      </c>
      <c r="S784" s="103" t="str">
        <f t="shared" si="365"/>
        <v/>
      </c>
      <c r="T784" s="106" t="str">
        <f t="shared" si="352"/>
        <v/>
      </c>
      <c r="U784" s="106" t="str">
        <f t="shared" si="353"/>
        <v/>
      </c>
      <c r="V784" s="106" t="str">
        <f t="shared" si="354"/>
        <v/>
      </c>
      <c r="W784" s="105" t="str">
        <f t="shared" si="366"/>
        <v/>
      </c>
      <c r="X784" s="104" t="str">
        <f t="shared" si="371"/>
        <v/>
      </c>
      <c r="Y784" s="104" t="str">
        <f t="array" ref="Y784">IFERROR(IF(ISNUMBER(O784),IF(COUNT(IF(A784=$A$2:$A$2427,IF(D784=$D$2:$D$2427,IF($X$2:$X$2427&gt;0,1))))&gt;0,SUM(IF(A784=$A$2:$A$2427,IF(D784=$D$2:$D$2427,$X$2:$X$2427)))/COUNT(IF(A784=$A$2:$A$2427,IF(D784=$D$2:$D$2427,IF(ISNUMBER($X$2:$X$2427),1)))),0),""),0)</f>
        <v/>
      </c>
      <c r="Z784" s="104" t="str">
        <f>IF(ISNUMBER(O784),IF(I784&gt;0,(10^(VLOOKUP(D784,'Species Codes'!B:C,2,0)+VLOOKUP(D784,'Species Codes'!B:D,3,0)*LOG(E784)+VLOOKUP(D784,'Species Codes'!B:E,4,0)*LOG(I784))),0),"")</f>
        <v/>
      </c>
      <c r="AA784" s="104" t="str">
        <f>IFERROR((VLOOKUP(D784,'Species Codes'!B:G,6,0)*Z784)/2000,"")</f>
        <v/>
      </c>
      <c r="AB784" s="104" t="e">
        <f>IF(Z784&gt;0,((IF(OR(D784="DF",D784="RA")=TRUE,EXP(VLOOKUP(D784,'Species Codes'!B:I,8,0)+VLOOKUP(D784,'Species Codes'!B:J,9,0)*(LN((E784*2.54)))),IF(OR(D784="PY",D784="RC",D784="WH",D784="NF")=TRUE,VLOOKUP(D784,'Species Codes'!B:I,8,0)+VLOOKUP(D784,'Species Codes'!B:J,9,0)*((E784*2.54)^2)*(I784*0.3048),IF(OR(D784="MD",D784="BM",D784="GA")=TRUE,((VLOOKUP(D784,'Species Codes'!B:I,8,0)*(((((E784*2.54)+VLOOKUP(D784,'Species Codes'!B:J,9,0))/VLOOKUP(D784,'Species Codes'!B:K,10,0))^VLOOKUP(D784,'Species Codes'!B:L,11,0))*((I784*0.3048)^VLOOKUP(D784,'Species Codes'!B:M,12,0))))-(VLOOKUP(D784,'Species Codes'!B:I,8,0)*((((E784*2.54)^VLOOKUP(D784,'Species Codes'!B:L,11,0))*((I784*0.3048)^VLOOKUP(D784,'Species Codes'!B:M,12,0))))))*35.3*VLOOKUP(D784,'Species Codes'!B:G,6,0)/2.2046,VLOOKUP(D784,'Species Codes'!B:I,8,0)+VLOOKUP(D784,'Species Codes'!B:J,9,0)*(((E784*2.54)/100)^2)*(I784*0.3048)))))*0.0011023),0)</f>
        <v>#N/A</v>
      </c>
      <c r="AC784" s="104" t="e">
        <f>IF(Z784&gt;0,((IF(OR(D784="RA",D784="OA",D784="OT",D784="UN",D784="PC"),EXP(VLOOKUP(D784,'Species Codes'!B:O,14,0)+VLOOKUP(D784,'Species Codes'!B:P,15,0)*LN((E784*2.54)))-EXP(VLOOKUP(D784,'Species Codes'!B:O,14,0)+VLOOKUP(D784,'Species Codes'!B:P,15,0)*LN((E784*2.54)))*(1/(VLOOKUP(D784,'Species Codes'!B:Q,16,0)+VLOOKUP(D784,'Species Codes'!B:R,17,0)*((E784*2.54)^VLOOKUP(D784,'Species Codes'!B:S,18,0)))),IF(OR(D784="BM",D784="MD",D784="OA"),EXP(VLOOKUP(D784,'Species Codes'!B:O,14,0)+VLOOKUP(D784,'Species Codes'!B:P,15,0)*LN((E784*2.54)))*(1-(1/(VLOOKUP(D784,'Species Codes'!B:Q,16,0)+VLOOKUP(D784,'Species Codes'!B:R,17,0)*((E784*2.54)^VLOOKUP(D784,'Species Codes'!B:S,18,0)))))/1000,IF(D784="DF",EXP(VLOOKUP(D784,'Species Codes'!B:O,14,0)+VLOOKUP(D784,'Species Codes'!B:P,15,0)*LN((E784*2.54))),VLOOKUP(D784,'Species Codes'!B:O,14,0)+VLOOKUP(D784,'Species Codes'!B:P,15,0)*(((E784*2.54)/100)^2)*(I784*0.3048)))))*0.0011023),0)</f>
        <v>#N/A</v>
      </c>
      <c r="AD784" s="104" t="e">
        <f t="shared" si="355"/>
        <v>#N/A</v>
      </c>
      <c r="AE784" s="104" t="e">
        <f t="shared" si="356"/>
        <v>#N/A</v>
      </c>
      <c r="AF784" s="104" t="e">
        <f>IF(AND(VLOOKUP($D784,Merchantability!$B:$C,2,0)="Yes",$E784&gt;=VLOOKUP($D784,Merchantability!$B:$D,3,0),$E784&lt;=VLOOKUP($D784,Merchantability!$B:$E,4,0)),AA784,0)</f>
        <v>#N/A</v>
      </c>
      <c r="AG784" s="104" t="e">
        <f>IF(AND(VLOOKUP($D784,Merchantability!$B:$C,2,0)="Yes",$E784&gt;=VLOOKUP($D784,Merchantability!$B:$D,3,0),$E784&lt;=VLOOKUP($D784,Merchantability!$B:$E,4,0)),AB784,0)</f>
        <v>#N/A</v>
      </c>
      <c r="AH784" s="104" t="e">
        <f>IF(AND(VLOOKUP($D784,Merchantability!$B:$C,2,0)="Yes",$E784&gt;=VLOOKUP($D784,Merchantability!$B:$D,3,0),$E784&lt;=VLOOKUP($D784,Merchantability!$B:$E,4,0)),AC784,0)</f>
        <v>#N/A</v>
      </c>
      <c r="AI784" s="104" t="e">
        <f t="shared" si="357"/>
        <v>#N/A</v>
      </c>
      <c r="AJ784" s="104" t="e">
        <f t="shared" si="358"/>
        <v>#VALUE!</v>
      </c>
      <c r="AK784" s="104" t="e">
        <f t="shared" si="359"/>
        <v>#N/A</v>
      </c>
      <c r="AL784" s="104" t="e">
        <f t="shared" si="360"/>
        <v>#N/A</v>
      </c>
      <c r="AM784" s="104" t="e">
        <f t="shared" si="361"/>
        <v>#N/A</v>
      </c>
      <c r="AN784" s="104" t="e">
        <f t="shared" si="372"/>
        <v>#N/A</v>
      </c>
      <c r="AO784" s="104" t="e">
        <f t="shared" si="373"/>
        <v>#N/A</v>
      </c>
      <c r="AP784" s="104" t="e">
        <f t="shared" si="374"/>
        <v>#N/A</v>
      </c>
      <c r="AQ784" s="104" t="e">
        <f t="shared" si="375"/>
        <v>#N/A</v>
      </c>
      <c r="AR784" s="105" t="str">
        <f t="shared" si="367"/>
        <v/>
      </c>
      <c r="AS784" s="105" t="str">
        <f t="shared" si="368"/>
        <v/>
      </c>
      <c r="AT784" s="108" t="str">
        <f t="shared" si="369"/>
        <v/>
      </c>
      <c r="AU784" s="108" t="str">
        <f t="shared" si="370"/>
        <v/>
      </c>
      <c r="AV784" s="107" t="str">
        <f>IF(ISNUMBER(O784),IF(VLOOKUP($A784,Stand!C:J,8,FALSE)="Short",AT784,AU784),"")</f>
        <v/>
      </c>
      <c r="AW784" s="109" t="str">
        <f t="shared" si="376"/>
        <v/>
      </c>
      <c r="AX784" s="109" t="str">
        <f t="shared" si="377"/>
        <v/>
      </c>
      <c r="AY784" s="112" t="str">
        <f>IF(ISNUMBER(O784),IF(AND(VLOOKUP($D784,Merchantability!$B:$C,2,0)="Yes",$E784&gt;=VLOOKUP($D784,Merchantability!$B:$D,3,0),$E784&lt;=VLOOKUP($D784,Merchantability!$B:$E,4,0)),(AV784*O784)*(1-$H784/100),""),"")</f>
        <v/>
      </c>
      <c r="AZ784" s="116"/>
      <c r="BA784" s="116"/>
      <c r="BB784" s="116"/>
      <c r="BE784" s="62"/>
      <c r="BF784" s="63"/>
    </row>
    <row r="785" spans="1:58" ht="12.75" customHeight="1" x14ac:dyDescent="0.25">
      <c r="A785" s="313"/>
      <c r="B785" s="328"/>
      <c r="C785" s="329"/>
      <c r="D785" s="328"/>
      <c r="E785" s="330"/>
      <c r="F785" s="328"/>
      <c r="G785" s="329"/>
      <c r="H785" s="329"/>
      <c r="I785" s="328"/>
      <c r="J785" s="383"/>
      <c r="K785" s="329"/>
      <c r="L785" s="329"/>
      <c r="M785" s="76"/>
      <c r="N785" s="103" t="str">
        <f>IF(A785="","",VLOOKUP(A785,Stand!C:K,9,0))</f>
        <v/>
      </c>
      <c r="O785" s="104" t="str">
        <f t="shared" si="362"/>
        <v/>
      </c>
      <c r="P785" s="105" t="str">
        <f t="shared" si="363"/>
        <v/>
      </c>
      <c r="Q785" s="105" t="str">
        <f t="shared" si="351"/>
        <v/>
      </c>
      <c r="R785" s="103" t="str">
        <f t="shared" si="364"/>
        <v/>
      </c>
      <c r="S785" s="103" t="str">
        <f t="shared" si="365"/>
        <v/>
      </c>
      <c r="T785" s="106" t="str">
        <f t="shared" si="352"/>
        <v/>
      </c>
      <c r="U785" s="106" t="str">
        <f t="shared" si="353"/>
        <v/>
      </c>
      <c r="V785" s="106" t="str">
        <f t="shared" si="354"/>
        <v/>
      </c>
      <c r="W785" s="105" t="str">
        <f t="shared" si="366"/>
        <v/>
      </c>
      <c r="X785" s="104" t="str">
        <f t="shared" si="371"/>
        <v/>
      </c>
      <c r="Y785" s="104" t="str">
        <f t="array" ref="Y785">IFERROR(IF(ISNUMBER(O785),IF(COUNT(IF(A785=$A$2:$A$2427,IF(D785=$D$2:$D$2427,IF($X$2:$X$2427&gt;0,1))))&gt;0,SUM(IF(A785=$A$2:$A$2427,IF(D785=$D$2:$D$2427,$X$2:$X$2427)))/COUNT(IF(A785=$A$2:$A$2427,IF(D785=$D$2:$D$2427,IF(ISNUMBER($X$2:$X$2427),1)))),0),""),0)</f>
        <v/>
      </c>
      <c r="Z785" s="104" t="str">
        <f>IF(ISNUMBER(O785),IF(I785&gt;0,(10^(VLOOKUP(D785,'Species Codes'!B:C,2,0)+VLOOKUP(D785,'Species Codes'!B:D,3,0)*LOG(E785)+VLOOKUP(D785,'Species Codes'!B:E,4,0)*LOG(I785))),0),"")</f>
        <v/>
      </c>
      <c r="AA785" s="104" t="str">
        <f>IFERROR((VLOOKUP(D785,'Species Codes'!B:G,6,0)*Z785)/2000,"")</f>
        <v/>
      </c>
      <c r="AB785" s="104" t="e">
        <f>IF(Z785&gt;0,((IF(OR(D785="DF",D785="RA")=TRUE,EXP(VLOOKUP(D785,'Species Codes'!B:I,8,0)+VLOOKUP(D785,'Species Codes'!B:J,9,0)*(LN((E785*2.54)))),IF(OR(D785="PY",D785="RC",D785="WH",D785="NF")=TRUE,VLOOKUP(D785,'Species Codes'!B:I,8,0)+VLOOKUP(D785,'Species Codes'!B:J,9,0)*((E785*2.54)^2)*(I785*0.3048),IF(OR(D785="MD",D785="BM",D785="GA")=TRUE,((VLOOKUP(D785,'Species Codes'!B:I,8,0)*(((((E785*2.54)+VLOOKUP(D785,'Species Codes'!B:J,9,0))/VLOOKUP(D785,'Species Codes'!B:K,10,0))^VLOOKUP(D785,'Species Codes'!B:L,11,0))*((I785*0.3048)^VLOOKUP(D785,'Species Codes'!B:M,12,0))))-(VLOOKUP(D785,'Species Codes'!B:I,8,0)*((((E785*2.54)^VLOOKUP(D785,'Species Codes'!B:L,11,0))*((I785*0.3048)^VLOOKUP(D785,'Species Codes'!B:M,12,0))))))*35.3*VLOOKUP(D785,'Species Codes'!B:G,6,0)/2.2046,VLOOKUP(D785,'Species Codes'!B:I,8,0)+VLOOKUP(D785,'Species Codes'!B:J,9,0)*(((E785*2.54)/100)^2)*(I785*0.3048)))))*0.0011023),0)</f>
        <v>#N/A</v>
      </c>
      <c r="AC785" s="104" t="e">
        <f>IF(Z785&gt;0,((IF(OR(D785="RA",D785="OA",D785="OT",D785="UN",D785="PC"),EXP(VLOOKUP(D785,'Species Codes'!B:O,14,0)+VLOOKUP(D785,'Species Codes'!B:P,15,0)*LN((E785*2.54)))-EXP(VLOOKUP(D785,'Species Codes'!B:O,14,0)+VLOOKUP(D785,'Species Codes'!B:P,15,0)*LN((E785*2.54)))*(1/(VLOOKUP(D785,'Species Codes'!B:Q,16,0)+VLOOKUP(D785,'Species Codes'!B:R,17,0)*((E785*2.54)^VLOOKUP(D785,'Species Codes'!B:S,18,0)))),IF(OR(D785="BM",D785="MD",D785="OA"),EXP(VLOOKUP(D785,'Species Codes'!B:O,14,0)+VLOOKUP(D785,'Species Codes'!B:P,15,0)*LN((E785*2.54)))*(1-(1/(VLOOKUP(D785,'Species Codes'!B:Q,16,0)+VLOOKUP(D785,'Species Codes'!B:R,17,0)*((E785*2.54)^VLOOKUP(D785,'Species Codes'!B:S,18,0)))))/1000,IF(D785="DF",EXP(VLOOKUP(D785,'Species Codes'!B:O,14,0)+VLOOKUP(D785,'Species Codes'!B:P,15,0)*LN((E785*2.54))),VLOOKUP(D785,'Species Codes'!B:O,14,0)+VLOOKUP(D785,'Species Codes'!B:P,15,0)*(((E785*2.54)/100)^2)*(I785*0.3048)))))*0.0011023),0)</f>
        <v>#N/A</v>
      </c>
      <c r="AD785" s="104" t="e">
        <f t="shared" si="355"/>
        <v>#N/A</v>
      </c>
      <c r="AE785" s="104" t="e">
        <f t="shared" si="356"/>
        <v>#N/A</v>
      </c>
      <c r="AF785" s="104" t="e">
        <f>IF(AND(VLOOKUP($D785,Merchantability!$B:$C,2,0)="Yes",$E785&gt;=VLOOKUP($D785,Merchantability!$B:$D,3,0),$E785&lt;=VLOOKUP($D785,Merchantability!$B:$E,4,0)),AA785,0)</f>
        <v>#N/A</v>
      </c>
      <c r="AG785" s="104" t="e">
        <f>IF(AND(VLOOKUP($D785,Merchantability!$B:$C,2,0)="Yes",$E785&gt;=VLOOKUP($D785,Merchantability!$B:$D,3,0),$E785&lt;=VLOOKUP($D785,Merchantability!$B:$E,4,0)),AB785,0)</f>
        <v>#N/A</v>
      </c>
      <c r="AH785" s="104" t="e">
        <f>IF(AND(VLOOKUP($D785,Merchantability!$B:$C,2,0)="Yes",$E785&gt;=VLOOKUP($D785,Merchantability!$B:$D,3,0),$E785&lt;=VLOOKUP($D785,Merchantability!$B:$E,4,0)),AC785,0)</f>
        <v>#N/A</v>
      </c>
      <c r="AI785" s="104" t="e">
        <f t="shared" si="357"/>
        <v>#N/A</v>
      </c>
      <c r="AJ785" s="104" t="e">
        <f t="shared" si="358"/>
        <v>#VALUE!</v>
      </c>
      <c r="AK785" s="104" t="e">
        <f t="shared" si="359"/>
        <v>#N/A</v>
      </c>
      <c r="AL785" s="104" t="e">
        <f t="shared" si="360"/>
        <v>#N/A</v>
      </c>
      <c r="AM785" s="104" t="e">
        <f t="shared" si="361"/>
        <v>#N/A</v>
      </c>
      <c r="AN785" s="104" t="e">
        <f t="shared" si="372"/>
        <v>#N/A</v>
      </c>
      <c r="AO785" s="104" t="e">
        <f t="shared" si="373"/>
        <v>#N/A</v>
      </c>
      <c r="AP785" s="104" t="e">
        <f t="shared" si="374"/>
        <v>#N/A</v>
      </c>
      <c r="AQ785" s="104" t="e">
        <f t="shared" si="375"/>
        <v>#N/A</v>
      </c>
      <c r="AR785" s="105" t="str">
        <f t="shared" si="367"/>
        <v/>
      </c>
      <c r="AS785" s="105" t="str">
        <f t="shared" si="368"/>
        <v/>
      </c>
      <c r="AT785" s="108" t="str">
        <f t="shared" si="369"/>
        <v/>
      </c>
      <c r="AU785" s="108" t="str">
        <f t="shared" si="370"/>
        <v/>
      </c>
      <c r="AV785" s="107" t="str">
        <f>IF(ISNUMBER(O785),IF(VLOOKUP($A785,Stand!C:J,8,FALSE)="Short",AT785,AU785),"")</f>
        <v/>
      </c>
      <c r="AW785" s="109" t="str">
        <f t="shared" si="376"/>
        <v/>
      </c>
      <c r="AX785" s="109" t="str">
        <f t="shared" si="377"/>
        <v/>
      </c>
      <c r="AY785" s="112" t="str">
        <f>IF(ISNUMBER(O785),IF(AND(VLOOKUP($D785,Merchantability!$B:$C,2,0)="Yes",$E785&gt;=VLOOKUP($D785,Merchantability!$B:$D,3,0),$E785&lt;=VLOOKUP($D785,Merchantability!$B:$E,4,0)),(AV785*O785)*(1-$H785/100),""),"")</f>
        <v/>
      </c>
      <c r="AZ785" s="116"/>
      <c r="BA785" s="116"/>
      <c r="BB785" s="116"/>
      <c r="BE785" s="62"/>
      <c r="BF785" s="63"/>
    </row>
    <row r="786" spans="1:58" ht="12.75" customHeight="1" x14ac:dyDescent="0.25">
      <c r="A786" s="313"/>
      <c r="B786" s="328"/>
      <c r="C786" s="329"/>
      <c r="D786" s="328"/>
      <c r="E786" s="330"/>
      <c r="F786" s="328"/>
      <c r="G786" s="329"/>
      <c r="H786" s="329"/>
      <c r="I786" s="328"/>
      <c r="J786" s="383"/>
      <c r="K786" s="329"/>
      <c r="L786" s="329"/>
      <c r="M786" s="76"/>
      <c r="N786" s="103" t="str">
        <f>IF(A786="","",VLOOKUP(A786,Stand!C:K,9,0))</f>
        <v/>
      </c>
      <c r="O786" s="104" t="str">
        <f t="shared" si="362"/>
        <v/>
      </c>
      <c r="P786" s="105" t="str">
        <f t="shared" si="363"/>
        <v/>
      </c>
      <c r="Q786" s="105" t="str">
        <f t="shared" si="351"/>
        <v/>
      </c>
      <c r="R786" s="103" t="str">
        <f t="shared" si="364"/>
        <v/>
      </c>
      <c r="S786" s="103" t="str">
        <f t="shared" si="365"/>
        <v/>
      </c>
      <c r="T786" s="106" t="str">
        <f t="shared" si="352"/>
        <v/>
      </c>
      <c r="U786" s="106" t="str">
        <f t="shared" si="353"/>
        <v/>
      </c>
      <c r="V786" s="106" t="str">
        <f t="shared" si="354"/>
        <v/>
      </c>
      <c r="W786" s="105" t="str">
        <f t="shared" si="366"/>
        <v/>
      </c>
      <c r="X786" s="104" t="str">
        <f t="shared" si="371"/>
        <v/>
      </c>
      <c r="Y786" s="104" t="str">
        <f t="array" ref="Y786">IFERROR(IF(ISNUMBER(O786),IF(COUNT(IF(A786=$A$2:$A$2427,IF(D786=$D$2:$D$2427,IF($X$2:$X$2427&gt;0,1))))&gt;0,SUM(IF(A786=$A$2:$A$2427,IF(D786=$D$2:$D$2427,$X$2:$X$2427)))/COUNT(IF(A786=$A$2:$A$2427,IF(D786=$D$2:$D$2427,IF(ISNUMBER($X$2:$X$2427),1)))),0),""),0)</f>
        <v/>
      </c>
      <c r="Z786" s="104" t="str">
        <f>IF(ISNUMBER(O786),IF(I786&gt;0,(10^(VLOOKUP(D786,'Species Codes'!B:C,2,0)+VLOOKUP(D786,'Species Codes'!B:D,3,0)*LOG(E786)+VLOOKUP(D786,'Species Codes'!B:E,4,0)*LOG(I786))),0),"")</f>
        <v/>
      </c>
      <c r="AA786" s="104" t="str">
        <f>IFERROR((VLOOKUP(D786,'Species Codes'!B:G,6,0)*Z786)/2000,"")</f>
        <v/>
      </c>
      <c r="AB786" s="104" t="e">
        <f>IF(Z786&gt;0,((IF(OR(D786="DF",D786="RA")=TRUE,EXP(VLOOKUP(D786,'Species Codes'!B:I,8,0)+VLOOKUP(D786,'Species Codes'!B:J,9,0)*(LN((E786*2.54)))),IF(OR(D786="PY",D786="RC",D786="WH",D786="NF")=TRUE,VLOOKUP(D786,'Species Codes'!B:I,8,0)+VLOOKUP(D786,'Species Codes'!B:J,9,0)*((E786*2.54)^2)*(I786*0.3048),IF(OR(D786="MD",D786="BM",D786="GA")=TRUE,((VLOOKUP(D786,'Species Codes'!B:I,8,0)*(((((E786*2.54)+VLOOKUP(D786,'Species Codes'!B:J,9,0))/VLOOKUP(D786,'Species Codes'!B:K,10,0))^VLOOKUP(D786,'Species Codes'!B:L,11,0))*((I786*0.3048)^VLOOKUP(D786,'Species Codes'!B:M,12,0))))-(VLOOKUP(D786,'Species Codes'!B:I,8,0)*((((E786*2.54)^VLOOKUP(D786,'Species Codes'!B:L,11,0))*((I786*0.3048)^VLOOKUP(D786,'Species Codes'!B:M,12,0))))))*35.3*VLOOKUP(D786,'Species Codes'!B:G,6,0)/2.2046,VLOOKUP(D786,'Species Codes'!B:I,8,0)+VLOOKUP(D786,'Species Codes'!B:J,9,0)*(((E786*2.54)/100)^2)*(I786*0.3048)))))*0.0011023),0)</f>
        <v>#N/A</v>
      </c>
      <c r="AC786" s="104" t="e">
        <f>IF(Z786&gt;0,((IF(OR(D786="RA",D786="OA",D786="OT",D786="UN",D786="PC"),EXP(VLOOKUP(D786,'Species Codes'!B:O,14,0)+VLOOKUP(D786,'Species Codes'!B:P,15,0)*LN((E786*2.54)))-EXP(VLOOKUP(D786,'Species Codes'!B:O,14,0)+VLOOKUP(D786,'Species Codes'!B:P,15,0)*LN((E786*2.54)))*(1/(VLOOKUP(D786,'Species Codes'!B:Q,16,0)+VLOOKUP(D786,'Species Codes'!B:R,17,0)*((E786*2.54)^VLOOKUP(D786,'Species Codes'!B:S,18,0)))),IF(OR(D786="BM",D786="MD",D786="OA"),EXP(VLOOKUP(D786,'Species Codes'!B:O,14,0)+VLOOKUP(D786,'Species Codes'!B:P,15,0)*LN((E786*2.54)))*(1-(1/(VLOOKUP(D786,'Species Codes'!B:Q,16,0)+VLOOKUP(D786,'Species Codes'!B:R,17,0)*((E786*2.54)^VLOOKUP(D786,'Species Codes'!B:S,18,0)))))/1000,IF(D786="DF",EXP(VLOOKUP(D786,'Species Codes'!B:O,14,0)+VLOOKUP(D786,'Species Codes'!B:P,15,0)*LN((E786*2.54))),VLOOKUP(D786,'Species Codes'!B:O,14,0)+VLOOKUP(D786,'Species Codes'!B:P,15,0)*(((E786*2.54)/100)^2)*(I786*0.3048)))))*0.0011023),0)</f>
        <v>#N/A</v>
      </c>
      <c r="AD786" s="104" t="e">
        <f t="shared" si="355"/>
        <v>#N/A</v>
      </c>
      <c r="AE786" s="104" t="e">
        <f t="shared" si="356"/>
        <v>#N/A</v>
      </c>
      <c r="AF786" s="104" t="e">
        <f>IF(AND(VLOOKUP($D786,Merchantability!$B:$C,2,0)="Yes",$E786&gt;=VLOOKUP($D786,Merchantability!$B:$D,3,0),$E786&lt;=VLOOKUP($D786,Merchantability!$B:$E,4,0)),AA786,0)</f>
        <v>#N/A</v>
      </c>
      <c r="AG786" s="104" t="e">
        <f>IF(AND(VLOOKUP($D786,Merchantability!$B:$C,2,0)="Yes",$E786&gt;=VLOOKUP($D786,Merchantability!$B:$D,3,0),$E786&lt;=VLOOKUP($D786,Merchantability!$B:$E,4,0)),AB786,0)</f>
        <v>#N/A</v>
      </c>
      <c r="AH786" s="104" t="e">
        <f>IF(AND(VLOOKUP($D786,Merchantability!$B:$C,2,0)="Yes",$E786&gt;=VLOOKUP($D786,Merchantability!$B:$D,3,0),$E786&lt;=VLOOKUP($D786,Merchantability!$B:$E,4,0)),AC786,0)</f>
        <v>#N/A</v>
      </c>
      <c r="AI786" s="104" t="e">
        <f t="shared" si="357"/>
        <v>#N/A</v>
      </c>
      <c r="AJ786" s="104" t="e">
        <f t="shared" si="358"/>
        <v>#VALUE!</v>
      </c>
      <c r="AK786" s="104" t="e">
        <f t="shared" si="359"/>
        <v>#N/A</v>
      </c>
      <c r="AL786" s="104" t="e">
        <f t="shared" si="360"/>
        <v>#N/A</v>
      </c>
      <c r="AM786" s="104" t="e">
        <f t="shared" si="361"/>
        <v>#N/A</v>
      </c>
      <c r="AN786" s="104" t="e">
        <f t="shared" si="372"/>
        <v>#N/A</v>
      </c>
      <c r="AO786" s="104" t="e">
        <f t="shared" si="373"/>
        <v>#N/A</v>
      </c>
      <c r="AP786" s="104" t="e">
        <f t="shared" si="374"/>
        <v>#N/A</v>
      </c>
      <c r="AQ786" s="104" t="e">
        <f t="shared" si="375"/>
        <v>#N/A</v>
      </c>
      <c r="AR786" s="105" t="str">
        <f t="shared" si="367"/>
        <v/>
      </c>
      <c r="AS786" s="105" t="str">
        <f t="shared" si="368"/>
        <v/>
      </c>
      <c r="AT786" s="108" t="str">
        <f t="shared" si="369"/>
        <v/>
      </c>
      <c r="AU786" s="108" t="str">
        <f t="shared" si="370"/>
        <v/>
      </c>
      <c r="AV786" s="107" t="str">
        <f>IF(ISNUMBER(O786),IF(VLOOKUP($A786,Stand!C:J,8,FALSE)="Short",AT786,AU786),"")</f>
        <v/>
      </c>
      <c r="AW786" s="109" t="str">
        <f t="shared" si="376"/>
        <v/>
      </c>
      <c r="AX786" s="109" t="str">
        <f t="shared" si="377"/>
        <v/>
      </c>
      <c r="AY786" s="112" t="str">
        <f>IF(ISNUMBER(O786),IF(AND(VLOOKUP($D786,Merchantability!$B:$C,2,0)="Yes",$E786&gt;=VLOOKUP($D786,Merchantability!$B:$D,3,0),$E786&lt;=VLOOKUP($D786,Merchantability!$B:$E,4,0)),(AV786*O786)*(1-$H786/100),""),"")</f>
        <v/>
      </c>
      <c r="AZ786" s="116"/>
      <c r="BA786" s="116"/>
      <c r="BB786" s="116"/>
      <c r="BE786" s="62"/>
      <c r="BF786" s="63"/>
    </row>
    <row r="787" spans="1:58" ht="12.75" customHeight="1" x14ac:dyDescent="0.25">
      <c r="A787" s="313"/>
      <c r="B787" s="328"/>
      <c r="C787" s="329"/>
      <c r="D787" s="328"/>
      <c r="E787" s="330"/>
      <c r="F787" s="328"/>
      <c r="G787" s="329"/>
      <c r="H787" s="329"/>
      <c r="I787" s="328"/>
      <c r="J787" s="383"/>
      <c r="K787" s="329"/>
      <c r="L787" s="329"/>
      <c r="M787" s="76"/>
      <c r="N787" s="103" t="str">
        <f>IF(A787="","",VLOOKUP(A787,Stand!C:K,9,0))</f>
        <v/>
      </c>
      <c r="O787" s="104" t="str">
        <f t="shared" si="362"/>
        <v/>
      </c>
      <c r="P787" s="105" t="str">
        <f t="shared" si="363"/>
        <v/>
      </c>
      <c r="Q787" s="105" t="str">
        <f t="shared" si="351"/>
        <v/>
      </c>
      <c r="R787" s="103" t="str">
        <f t="shared" si="364"/>
        <v/>
      </c>
      <c r="S787" s="103" t="str">
        <f t="shared" si="365"/>
        <v/>
      </c>
      <c r="T787" s="106" t="str">
        <f t="shared" si="352"/>
        <v/>
      </c>
      <c r="U787" s="106" t="str">
        <f t="shared" si="353"/>
        <v/>
      </c>
      <c r="V787" s="106" t="str">
        <f t="shared" si="354"/>
        <v/>
      </c>
      <c r="W787" s="105" t="str">
        <f t="shared" si="366"/>
        <v/>
      </c>
      <c r="X787" s="104" t="str">
        <f t="shared" si="371"/>
        <v/>
      </c>
      <c r="Y787" s="104" t="str">
        <f t="array" ref="Y787">IFERROR(IF(ISNUMBER(O787),IF(COUNT(IF(A787=$A$2:$A$2427,IF(D787=$D$2:$D$2427,IF($X$2:$X$2427&gt;0,1))))&gt;0,SUM(IF(A787=$A$2:$A$2427,IF(D787=$D$2:$D$2427,$X$2:$X$2427)))/COUNT(IF(A787=$A$2:$A$2427,IF(D787=$D$2:$D$2427,IF(ISNUMBER($X$2:$X$2427),1)))),0),""),0)</f>
        <v/>
      </c>
      <c r="Z787" s="104" t="str">
        <f>IF(ISNUMBER(O787),IF(I787&gt;0,(10^(VLOOKUP(D787,'Species Codes'!B:C,2,0)+VLOOKUP(D787,'Species Codes'!B:D,3,0)*LOG(E787)+VLOOKUP(D787,'Species Codes'!B:E,4,0)*LOG(I787))),0),"")</f>
        <v/>
      </c>
      <c r="AA787" s="104" t="str">
        <f>IFERROR((VLOOKUP(D787,'Species Codes'!B:G,6,0)*Z787)/2000,"")</f>
        <v/>
      </c>
      <c r="AB787" s="104" t="e">
        <f>IF(Z787&gt;0,((IF(OR(D787="DF",D787="RA")=TRUE,EXP(VLOOKUP(D787,'Species Codes'!B:I,8,0)+VLOOKUP(D787,'Species Codes'!B:J,9,0)*(LN((E787*2.54)))),IF(OR(D787="PY",D787="RC",D787="WH",D787="NF")=TRUE,VLOOKUP(D787,'Species Codes'!B:I,8,0)+VLOOKUP(D787,'Species Codes'!B:J,9,0)*((E787*2.54)^2)*(I787*0.3048),IF(OR(D787="MD",D787="BM",D787="GA")=TRUE,((VLOOKUP(D787,'Species Codes'!B:I,8,0)*(((((E787*2.54)+VLOOKUP(D787,'Species Codes'!B:J,9,0))/VLOOKUP(D787,'Species Codes'!B:K,10,0))^VLOOKUP(D787,'Species Codes'!B:L,11,0))*((I787*0.3048)^VLOOKUP(D787,'Species Codes'!B:M,12,0))))-(VLOOKUP(D787,'Species Codes'!B:I,8,0)*((((E787*2.54)^VLOOKUP(D787,'Species Codes'!B:L,11,0))*((I787*0.3048)^VLOOKUP(D787,'Species Codes'!B:M,12,0))))))*35.3*VLOOKUP(D787,'Species Codes'!B:G,6,0)/2.2046,VLOOKUP(D787,'Species Codes'!B:I,8,0)+VLOOKUP(D787,'Species Codes'!B:J,9,0)*(((E787*2.54)/100)^2)*(I787*0.3048)))))*0.0011023),0)</f>
        <v>#N/A</v>
      </c>
      <c r="AC787" s="104" t="e">
        <f>IF(Z787&gt;0,((IF(OR(D787="RA",D787="OA",D787="OT",D787="UN",D787="PC"),EXP(VLOOKUP(D787,'Species Codes'!B:O,14,0)+VLOOKUP(D787,'Species Codes'!B:P,15,0)*LN((E787*2.54)))-EXP(VLOOKUP(D787,'Species Codes'!B:O,14,0)+VLOOKUP(D787,'Species Codes'!B:P,15,0)*LN((E787*2.54)))*(1/(VLOOKUP(D787,'Species Codes'!B:Q,16,0)+VLOOKUP(D787,'Species Codes'!B:R,17,0)*((E787*2.54)^VLOOKUP(D787,'Species Codes'!B:S,18,0)))),IF(OR(D787="BM",D787="MD",D787="OA"),EXP(VLOOKUP(D787,'Species Codes'!B:O,14,0)+VLOOKUP(D787,'Species Codes'!B:P,15,0)*LN((E787*2.54)))*(1-(1/(VLOOKUP(D787,'Species Codes'!B:Q,16,0)+VLOOKUP(D787,'Species Codes'!B:R,17,0)*((E787*2.54)^VLOOKUP(D787,'Species Codes'!B:S,18,0)))))/1000,IF(D787="DF",EXP(VLOOKUP(D787,'Species Codes'!B:O,14,0)+VLOOKUP(D787,'Species Codes'!B:P,15,0)*LN((E787*2.54))),VLOOKUP(D787,'Species Codes'!B:O,14,0)+VLOOKUP(D787,'Species Codes'!B:P,15,0)*(((E787*2.54)/100)^2)*(I787*0.3048)))))*0.0011023),0)</f>
        <v>#N/A</v>
      </c>
      <c r="AD787" s="104" t="e">
        <f t="shared" si="355"/>
        <v>#N/A</v>
      </c>
      <c r="AE787" s="104" t="e">
        <f t="shared" si="356"/>
        <v>#N/A</v>
      </c>
      <c r="AF787" s="104" t="e">
        <f>IF(AND(VLOOKUP($D787,Merchantability!$B:$C,2,0)="Yes",$E787&gt;=VLOOKUP($D787,Merchantability!$B:$D,3,0),$E787&lt;=VLOOKUP($D787,Merchantability!$B:$E,4,0)),AA787,0)</f>
        <v>#N/A</v>
      </c>
      <c r="AG787" s="104" t="e">
        <f>IF(AND(VLOOKUP($D787,Merchantability!$B:$C,2,0)="Yes",$E787&gt;=VLOOKUP($D787,Merchantability!$B:$D,3,0),$E787&lt;=VLOOKUP($D787,Merchantability!$B:$E,4,0)),AB787,0)</f>
        <v>#N/A</v>
      </c>
      <c r="AH787" s="104" t="e">
        <f>IF(AND(VLOOKUP($D787,Merchantability!$B:$C,2,0)="Yes",$E787&gt;=VLOOKUP($D787,Merchantability!$B:$D,3,0),$E787&lt;=VLOOKUP($D787,Merchantability!$B:$E,4,0)),AC787,0)</f>
        <v>#N/A</v>
      </c>
      <c r="AI787" s="104" t="e">
        <f t="shared" si="357"/>
        <v>#N/A</v>
      </c>
      <c r="AJ787" s="104" t="e">
        <f t="shared" si="358"/>
        <v>#VALUE!</v>
      </c>
      <c r="AK787" s="104" t="e">
        <f t="shared" si="359"/>
        <v>#N/A</v>
      </c>
      <c r="AL787" s="104" t="e">
        <f t="shared" si="360"/>
        <v>#N/A</v>
      </c>
      <c r="AM787" s="104" t="e">
        <f t="shared" si="361"/>
        <v>#N/A</v>
      </c>
      <c r="AN787" s="104" t="e">
        <f t="shared" si="372"/>
        <v>#N/A</v>
      </c>
      <c r="AO787" s="104" t="e">
        <f t="shared" si="373"/>
        <v>#N/A</v>
      </c>
      <c r="AP787" s="104" t="e">
        <f t="shared" si="374"/>
        <v>#N/A</v>
      </c>
      <c r="AQ787" s="104" t="e">
        <f t="shared" si="375"/>
        <v>#N/A</v>
      </c>
      <c r="AR787" s="105" t="str">
        <f t="shared" si="367"/>
        <v/>
      </c>
      <c r="AS787" s="105" t="str">
        <f t="shared" si="368"/>
        <v/>
      </c>
      <c r="AT787" s="108" t="str">
        <f t="shared" si="369"/>
        <v/>
      </c>
      <c r="AU787" s="108" t="str">
        <f t="shared" si="370"/>
        <v/>
      </c>
      <c r="AV787" s="107" t="str">
        <f>IF(ISNUMBER(O787),IF(VLOOKUP($A787,Stand!C:J,8,FALSE)="Short",AT787,AU787),"")</f>
        <v/>
      </c>
      <c r="AW787" s="109" t="str">
        <f t="shared" si="376"/>
        <v/>
      </c>
      <c r="AX787" s="109" t="str">
        <f t="shared" si="377"/>
        <v/>
      </c>
      <c r="AY787" s="112" t="str">
        <f>IF(ISNUMBER(O787),IF(AND(VLOOKUP($D787,Merchantability!$B:$C,2,0)="Yes",$E787&gt;=VLOOKUP($D787,Merchantability!$B:$D,3,0),$E787&lt;=VLOOKUP($D787,Merchantability!$B:$E,4,0)),(AV787*O787)*(1-$H787/100),""),"")</f>
        <v/>
      </c>
      <c r="AZ787" s="116"/>
      <c r="BA787" s="116"/>
      <c r="BB787" s="116"/>
      <c r="BE787" s="62"/>
      <c r="BF787" s="63"/>
    </row>
    <row r="788" spans="1:58" ht="12.75" customHeight="1" x14ac:dyDescent="0.25">
      <c r="A788" s="313"/>
      <c r="B788" s="328"/>
      <c r="C788" s="329"/>
      <c r="D788" s="328"/>
      <c r="E788" s="330"/>
      <c r="F788" s="328"/>
      <c r="G788" s="329"/>
      <c r="H788" s="329"/>
      <c r="I788" s="328"/>
      <c r="J788" s="383"/>
      <c r="K788" s="329"/>
      <c r="L788" s="329"/>
      <c r="M788" s="76"/>
      <c r="N788" s="103" t="str">
        <f>IF(A788="","",VLOOKUP(A788,Stand!C:K,9,0))</f>
        <v/>
      </c>
      <c r="O788" s="104" t="str">
        <f t="shared" si="362"/>
        <v/>
      </c>
      <c r="P788" s="105" t="str">
        <f t="shared" si="363"/>
        <v/>
      </c>
      <c r="Q788" s="105" t="str">
        <f t="shared" si="351"/>
        <v/>
      </c>
      <c r="R788" s="103" t="str">
        <f t="shared" si="364"/>
        <v/>
      </c>
      <c r="S788" s="103" t="str">
        <f t="shared" si="365"/>
        <v/>
      </c>
      <c r="T788" s="106" t="str">
        <f t="shared" si="352"/>
        <v/>
      </c>
      <c r="U788" s="106" t="str">
        <f t="shared" si="353"/>
        <v/>
      </c>
      <c r="V788" s="106" t="str">
        <f t="shared" si="354"/>
        <v/>
      </c>
      <c r="W788" s="105" t="str">
        <f t="shared" si="366"/>
        <v/>
      </c>
      <c r="X788" s="104" t="str">
        <f t="shared" si="371"/>
        <v/>
      </c>
      <c r="Y788" s="104" t="str">
        <f t="array" ref="Y788">IFERROR(IF(ISNUMBER(O788),IF(COUNT(IF(A788=$A$2:$A$2427,IF(D788=$D$2:$D$2427,IF($X$2:$X$2427&gt;0,1))))&gt;0,SUM(IF(A788=$A$2:$A$2427,IF(D788=$D$2:$D$2427,$X$2:$X$2427)))/COUNT(IF(A788=$A$2:$A$2427,IF(D788=$D$2:$D$2427,IF(ISNUMBER($X$2:$X$2427),1)))),0),""),0)</f>
        <v/>
      </c>
      <c r="Z788" s="104" t="str">
        <f>IF(ISNUMBER(O788),IF(I788&gt;0,(10^(VLOOKUP(D788,'Species Codes'!B:C,2,0)+VLOOKUP(D788,'Species Codes'!B:D,3,0)*LOG(E788)+VLOOKUP(D788,'Species Codes'!B:E,4,0)*LOG(I788))),0),"")</f>
        <v/>
      </c>
      <c r="AA788" s="104" t="str">
        <f>IFERROR((VLOOKUP(D788,'Species Codes'!B:G,6,0)*Z788)/2000,"")</f>
        <v/>
      </c>
      <c r="AB788" s="104" t="e">
        <f>IF(Z788&gt;0,((IF(OR(D788="DF",D788="RA")=TRUE,EXP(VLOOKUP(D788,'Species Codes'!B:I,8,0)+VLOOKUP(D788,'Species Codes'!B:J,9,0)*(LN((E788*2.54)))),IF(OR(D788="PY",D788="RC",D788="WH",D788="NF")=TRUE,VLOOKUP(D788,'Species Codes'!B:I,8,0)+VLOOKUP(D788,'Species Codes'!B:J,9,0)*((E788*2.54)^2)*(I788*0.3048),IF(OR(D788="MD",D788="BM",D788="GA")=TRUE,((VLOOKUP(D788,'Species Codes'!B:I,8,0)*(((((E788*2.54)+VLOOKUP(D788,'Species Codes'!B:J,9,0))/VLOOKUP(D788,'Species Codes'!B:K,10,0))^VLOOKUP(D788,'Species Codes'!B:L,11,0))*((I788*0.3048)^VLOOKUP(D788,'Species Codes'!B:M,12,0))))-(VLOOKUP(D788,'Species Codes'!B:I,8,0)*((((E788*2.54)^VLOOKUP(D788,'Species Codes'!B:L,11,0))*((I788*0.3048)^VLOOKUP(D788,'Species Codes'!B:M,12,0))))))*35.3*VLOOKUP(D788,'Species Codes'!B:G,6,0)/2.2046,VLOOKUP(D788,'Species Codes'!B:I,8,0)+VLOOKUP(D788,'Species Codes'!B:J,9,0)*(((E788*2.54)/100)^2)*(I788*0.3048)))))*0.0011023),0)</f>
        <v>#N/A</v>
      </c>
      <c r="AC788" s="104" t="e">
        <f>IF(Z788&gt;0,((IF(OR(D788="RA",D788="OA",D788="OT",D788="UN",D788="PC"),EXP(VLOOKUP(D788,'Species Codes'!B:O,14,0)+VLOOKUP(D788,'Species Codes'!B:P,15,0)*LN((E788*2.54)))-EXP(VLOOKUP(D788,'Species Codes'!B:O,14,0)+VLOOKUP(D788,'Species Codes'!B:P,15,0)*LN((E788*2.54)))*(1/(VLOOKUP(D788,'Species Codes'!B:Q,16,0)+VLOOKUP(D788,'Species Codes'!B:R,17,0)*((E788*2.54)^VLOOKUP(D788,'Species Codes'!B:S,18,0)))),IF(OR(D788="BM",D788="MD",D788="OA"),EXP(VLOOKUP(D788,'Species Codes'!B:O,14,0)+VLOOKUP(D788,'Species Codes'!B:P,15,0)*LN((E788*2.54)))*(1-(1/(VLOOKUP(D788,'Species Codes'!B:Q,16,0)+VLOOKUP(D788,'Species Codes'!B:R,17,0)*((E788*2.54)^VLOOKUP(D788,'Species Codes'!B:S,18,0)))))/1000,IF(D788="DF",EXP(VLOOKUP(D788,'Species Codes'!B:O,14,0)+VLOOKUP(D788,'Species Codes'!B:P,15,0)*LN((E788*2.54))),VLOOKUP(D788,'Species Codes'!B:O,14,0)+VLOOKUP(D788,'Species Codes'!B:P,15,0)*(((E788*2.54)/100)^2)*(I788*0.3048)))))*0.0011023),0)</f>
        <v>#N/A</v>
      </c>
      <c r="AD788" s="104" t="e">
        <f t="shared" si="355"/>
        <v>#N/A</v>
      </c>
      <c r="AE788" s="104" t="e">
        <f t="shared" si="356"/>
        <v>#N/A</v>
      </c>
      <c r="AF788" s="104" t="e">
        <f>IF(AND(VLOOKUP($D788,Merchantability!$B:$C,2,0)="Yes",$E788&gt;=VLOOKUP($D788,Merchantability!$B:$D,3,0),$E788&lt;=VLOOKUP($D788,Merchantability!$B:$E,4,0)),AA788,0)</f>
        <v>#N/A</v>
      </c>
      <c r="AG788" s="104" t="e">
        <f>IF(AND(VLOOKUP($D788,Merchantability!$B:$C,2,0)="Yes",$E788&gt;=VLOOKUP($D788,Merchantability!$B:$D,3,0),$E788&lt;=VLOOKUP($D788,Merchantability!$B:$E,4,0)),AB788,0)</f>
        <v>#N/A</v>
      </c>
      <c r="AH788" s="104" t="e">
        <f>IF(AND(VLOOKUP($D788,Merchantability!$B:$C,2,0)="Yes",$E788&gt;=VLOOKUP($D788,Merchantability!$B:$D,3,0),$E788&lt;=VLOOKUP($D788,Merchantability!$B:$E,4,0)),AC788,0)</f>
        <v>#N/A</v>
      </c>
      <c r="AI788" s="104" t="e">
        <f t="shared" si="357"/>
        <v>#N/A</v>
      </c>
      <c r="AJ788" s="104" t="e">
        <f t="shared" si="358"/>
        <v>#VALUE!</v>
      </c>
      <c r="AK788" s="104" t="e">
        <f t="shared" si="359"/>
        <v>#N/A</v>
      </c>
      <c r="AL788" s="104" t="e">
        <f t="shared" si="360"/>
        <v>#N/A</v>
      </c>
      <c r="AM788" s="104" t="e">
        <f t="shared" si="361"/>
        <v>#N/A</v>
      </c>
      <c r="AN788" s="104" t="e">
        <f t="shared" si="372"/>
        <v>#N/A</v>
      </c>
      <c r="AO788" s="104" t="e">
        <f t="shared" si="373"/>
        <v>#N/A</v>
      </c>
      <c r="AP788" s="104" t="e">
        <f t="shared" si="374"/>
        <v>#N/A</v>
      </c>
      <c r="AQ788" s="104" t="e">
        <f t="shared" si="375"/>
        <v>#N/A</v>
      </c>
      <c r="AR788" s="105" t="str">
        <f t="shared" si="367"/>
        <v/>
      </c>
      <c r="AS788" s="105" t="str">
        <f t="shared" si="368"/>
        <v/>
      </c>
      <c r="AT788" s="108" t="str">
        <f t="shared" si="369"/>
        <v/>
      </c>
      <c r="AU788" s="108" t="str">
        <f t="shared" si="370"/>
        <v/>
      </c>
      <c r="AV788" s="107" t="str">
        <f>IF(ISNUMBER(O788),IF(VLOOKUP($A788,Stand!C:J,8,FALSE)="Short",AT788,AU788),"")</f>
        <v/>
      </c>
      <c r="AW788" s="109" t="str">
        <f t="shared" si="376"/>
        <v/>
      </c>
      <c r="AX788" s="109" t="str">
        <f t="shared" si="377"/>
        <v/>
      </c>
      <c r="AY788" s="112" t="str">
        <f>IF(ISNUMBER(O788),IF(AND(VLOOKUP($D788,Merchantability!$B:$C,2,0)="Yes",$E788&gt;=VLOOKUP($D788,Merchantability!$B:$D,3,0),$E788&lt;=VLOOKUP($D788,Merchantability!$B:$E,4,0)),(AV788*O788)*(1-$H788/100),""),"")</f>
        <v/>
      </c>
      <c r="AZ788" s="116"/>
      <c r="BA788" s="116"/>
      <c r="BB788" s="116"/>
      <c r="BE788" s="62"/>
      <c r="BF788" s="63"/>
    </row>
    <row r="789" spans="1:58" ht="12.75" customHeight="1" x14ac:dyDescent="0.25">
      <c r="A789" s="313"/>
      <c r="B789" s="328"/>
      <c r="C789" s="329"/>
      <c r="D789" s="328"/>
      <c r="E789" s="330"/>
      <c r="F789" s="328"/>
      <c r="G789" s="329"/>
      <c r="H789" s="329"/>
      <c r="I789" s="328"/>
      <c r="J789" s="383"/>
      <c r="K789" s="329"/>
      <c r="L789" s="329"/>
      <c r="M789" s="76"/>
      <c r="N789" s="103" t="str">
        <f>IF(A789="","",VLOOKUP(A789,Stand!C:K,9,0))</f>
        <v/>
      </c>
      <c r="O789" s="104" t="str">
        <f t="shared" si="362"/>
        <v/>
      </c>
      <c r="P789" s="105" t="str">
        <f t="shared" si="363"/>
        <v/>
      </c>
      <c r="Q789" s="105" t="str">
        <f t="shared" si="351"/>
        <v/>
      </c>
      <c r="R789" s="103" t="str">
        <f t="shared" si="364"/>
        <v/>
      </c>
      <c r="S789" s="103" t="str">
        <f t="shared" si="365"/>
        <v/>
      </c>
      <c r="T789" s="106" t="str">
        <f t="shared" si="352"/>
        <v/>
      </c>
      <c r="U789" s="106" t="str">
        <f t="shared" si="353"/>
        <v/>
      </c>
      <c r="V789" s="106" t="str">
        <f t="shared" si="354"/>
        <v/>
      </c>
      <c r="W789" s="105" t="str">
        <f t="shared" si="366"/>
        <v/>
      </c>
      <c r="X789" s="104" t="str">
        <f t="shared" si="371"/>
        <v/>
      </c>
      <c r="Y789" s="104" t="str">
        <f t="array" ref="Y789">IFERROR(IF(ISNUMBER(O789),IF(COUNT(IF(A789=$A$2:$A$2427,IF(D789=$D$2:$D$2427,IF($X$2:$X$2427&gt;0,1))))&gt;0,SUM(IF(A789=$A$2:$A$2427,IF(D789=$D$2:$D$2427,$X$2:$X$2427)))/COUNT(IF(A789=$A$2:$A$2427,IF(D789=$D$2:$D$2427,IF(ISNUMBER($X$2:$X$2427),1)))),0),""),0)</f>
        <v/>
      </c>
      <c r="Z789" s="104" t="str">
        <f>IF(ISNUMBER(O789),IF(I789&gt;0,(10^(VLOOKUP(D789,'Species Codes'!B:C,2,0)+VLOOKUP(D789,'Species Codes'!B:D,3,0)*LOG(E789)+VLOOKUP(D789,'Species Codes'!B:E,4,0)*LOG(I789))),0),"")</f>
        <v/>
      </c>
      <c r="AA789" s="104" t="str">
        <f>IFERROR((VLOOKUP(D789,'Species Codes'!B:G,6,0)*Z789)/2000,"")</f>
        <v/>
      </c>
      <c r="AB789" s="104" t="e">
        <f>IF(Z789&gt;0,((IF(OR(D789="DF",D789="RA")=TRUE,EXP(VLOOKUP(D789,'Species Codes'!B:I,8,0)+VLOOKUP(D789,'Species Codes'!B:J,9,0)*(LN((E789*2.54)))),IF(OR(D789="PY",D789="RC",D789="WH",D789="NF")=TRUE,VLOOKUP(D789,'Species Codes'!B:I,8,0)+VLOOKUP(D789,'Species Codes'!B:J,9,0)*((E789*2.54)^2)*(I789*0.3048),IF(OR(D789="MD",D789="BM",D789="GA")=TRUE,((VLOOKUP(D789,'Species Codes'!B:I,8,0)*(((((E789*2.54)+VLOOKUP(D789,'Species Codes'!B:J,9,0))/VLOOKUP(D789,'Species Codes'!B:K,10,0))^VLOOKUP(D789,'Species Codes'!B:L,11,0))*((I789*0.3048)^VLOOKUP(D789,'Species Codes'!B:M,12,0))))-(VLOOKUP(D789,'Species Codes'!B:I,8,0)*((((E789*2.54)^VLOOKUP(D789,'Species Codes'!B:L,11,0))*((I789*0.3048)^VLOOKUP(D789,'Species Codes'!B:M,12,0))))))*35.3*VLOOKUP(D789,'Species Codes'!B:G,6,0)/2.2046,VLOOKUP(D789,'Species Codes'!B:I,8,0)+VLOOKUP(D789,'Species Codes'!B:J,9,0)*(((E789*2.54)/100)^2)*(I789*0.3048)))))*0.0011023),0)</f>
        <v>#N/A</v>
      </c>
      <c r="AC789" s="104" t="e">
        <f>IF(Z789&gt;0,((IF(OR(D789="RA",D789="OA",D789="OT",D789="UN",D789="PC"),EXP(VLOOKUP(D789,'Species Codes'!B:O,14,0)+VLOOKUP(D789,'Species Codes'!B:P,15,0)*LN((E789*2.54)))-EXP(VLOOKUP(D789,'Species Codes'!B:O,14,0)+VLOOKUP(D789,'Species Codes'!B:P,15,0)*LN((E789*2.54)))*(1/(VLOOKUP(D789,'Species Codes'!B:Q,16,0)+VLOOKUP(D789,'Species Codes'!B:R,17,0)*((E789*2.54)^VLOOKUP(D789,'Species Codes'!B:S,18,0)))),IF(OR(D789="BM",D789="MD",D789="OA"),EXP(VLOOKUP(D789,'Species Codes'!B:O,14,0)+VLOOKUP(D789,'Species Codes'!B:P,15,0)*LN((E789*2.54)))*(1-(1/(VLOOKUP(D789,'Species Codes'!B:Q,16,0)+VLOOKUP(D789,'Species Codes'!B:R,17,0)*((E789*2.54)^VLOOKUP(D789,'Species Codes'!B:S,18,0)))))/1000,IF(D789="DF",EXP(VLOOKUP(D789,'Species Codes'!B:O,14,0)+VLOOKUP(D789,'Species Codes'!B:P,15,0)*LN((E789*2.54))),VLOOKUP(D789,'Species Codes'!B:O,14,0)+VLOOKUP(D789,'Species Codes'!B:P,15,0)*(((E789*2.54)/100)^2)*(I789*0.3048)))))*0.0011023),0)</f>
        <v>#N/A</v>
      </c>
      <c r="AD789" s="104" t="e">
        <f t="shared" si="355"/>
        <v>#N/A</v>
      </c>
      <c r="AE789" s="104" t="e">
        <f t="shared" si="356"/>
        <v>#N/A</v>
      </c>
      <c r="AF789" s="104" t="e">
        <f>IF(AND(VLOOKUP($D789,Merchantability!$B:$C,2,0)="Yes",$E789&gt;=VLOOKUP($D789,Merchantability!$B:$D,3,0),$E789&lt;=VLOOKUP($D789,Merchantability!$B:$E,4,0)),AA789,0)</f>
        <v>#N/A</v>
      </c>
      <c r="AG789" s="104" t="e">
        <f>IF(AND(VLOOKUP($D789,Merchantability!$B:$C,2,0)="Yes",$E789&gt;=VLOOKUP($D789,Merchantability!$B:$D,3,0),$E789&lt;=VLOOKUP($D789,Merchantability!$B:$E,4,0)),AB789,0)</f>
        <v>#N/A</v>
      </c>
      <c r="AH789" s="104" t="e">
        <f>IF(AND(VLOOKUP($D789,Merchantability!$B:$C,2,0)="Yes",$E789&gt;=VLOOKUP($D789,Merchantability!$B:$D,3,0),$E789&lt;=VLOOKUP($D789,Merchantability!$B:$E,4,0)),AC789,0)</f>
        <v>#N/A</v>
      </c>
      <c r="AI789" s="104" t="e">
        <f t="shared" si="357"/>
        <v>#N/A</v>
      </c>
      <c r="AJ789" s="104" t="e">
        <f t="shared" si="358"/>
        <v>#VALUE!</v>
      </c>
      <c r="AK789" s="104" t="e">
        <f t="shared" si="359"/>
        <v>#N/A</v>
      </c>
      <c r="AL789" s="104" t="e">
        <f t="shared" si="360"/>
        <v>#N/A</v>
      </c>
      <c r="AM789" s="104" t="e">
        <f t="shared" si="361"/>
        <v>#N/A</v>
      </c>
      <c r="AN789" s="104" t="e">
        <f t="shared" si="372"/>
        <v>#N/A</v>
      </c>
      <c r="AO789" s="104" t="e">
        <f t="shared" si="373"/>
        <v>#N/A</v>
      </c>
      <c r="AP789" s="104" t="e">
        <f t="shared" si="374"/>
        <v>#N/A</v>
      </c>
      <c r="AQ789" s="104" t="e">
        <f t="shared" si="375"/>
        <v>#N/A</v>
      </c>
      <c r="AR789" s="105" t="str">
        <f t="shared" si="367"/>
        <v/>
      </c>
      <c r="AS789" s="105" t="str">
        <f t="shared" si="368"/>
        <v/>
      </c>
      <c r="AT789" s="108" t="str">
        <f t="shared" si="369"/>
        <v/>
      </c>
      <c r="AU789" s="108" t="str">
        <f t="shared" si="370"/>
        <v/>
      </c>
      <c r="AV789" s="107" t="str">
        <f>IF(ISNUMBER(O789),IF(VLOOKUP($A789,Stand!C:J,8,FALSE)="Short",AT789,AU789),"")</f>
        <v/>
      </c>
      <c r="AW789" s="109" t="str">
        <f t="shared" si="376"/>
        <v/>
      </c>
      <c r="AX789" s="109" t="str">
        <f t="shared" si="377"/>
        <v/>
      </c>
      <c r="AY789" s="112" t="str">
        <f>IF(ISNUMBER(O789),IF(AND(VLOOKUP($D789,Merchantability!$B:$C,2,0)="Yes",$E789&gt;=VLOOKUP($D789,Merchantability!$B:$D,3,0),$E789&lt;=VLOOKUP($D789,Merchantability!$B:$E,4,0)),(AV789*O789)*(1-$H789/100),""),"")</f>
        <v/>
      </c>
      <c r="AZ789" s="116"/>
      <c r="BA789" s="116"/>
      <c r="BB789" s="116"/>
      <c r="BE789" s="62"/>
      <c r="BF789" s="63"/>
    </row>
    <row r="790" spans="1:58" ht="12.75" customHeight="1" x14ac:dyDescent="0.25">
      <c r="A790" s="313"/>
      <c r="B790" s="328"/>
      <c r="C790" s="329"/>
      <c r="D790" s="328"/>
      <c r="E790" s="330"/>
      <c r="F790" s="328"/>
      <c r="G790" s="329"/>
      <c r="H790" s="329"/>
      <c r="I790" s="328"/>
      <c r="J790" s="383"/>
      <c r="K790" s="329"/>
      <c r="L790" s="329"/>
      <c r="M790" s="76"/>
      <c r="N790" s="103" t="str">
        <f>IF(A790="","",VLOOKUP(A790,Stand!C:K,9,0))</f>
        <v/>
      </c>
      <c r="O790" s="104" t="str">
        <f t="shared" si="362"/>
        <v/>
      </c>
      <c r="P790" s="105" t="str">
        <f t="shared" si="363"/>
        <v/>
      </c>
      <c r="Q790" s="105" t="str">
        <f t="shared" si="351"/>
        <v/>
      </c>
      <c r="R790" s="103" t="str">
        <f t="shared" si="364"/>
        <v/>
      </c>
      <c r="S790" s="103" t="str">
        <f t="shared" si="365"/>
        <v/>
      </c>
      <c r="T790" s="106" t="str">
        <f t="shared" si="352"/>
        <v/>
      </c>
      <c r="U790" s="106" t="str">
        <f t="shared" si="353"/>
        <v/>
      </c>
      <c r="V790" s="106" t="str">
        <f t="shared" si="354"/>
        <v/>
      </c>
      <c r="W790" s="105" t="str">
        <f t="shared" si="366"/>
        <v/>
      </c>
      <c r="X790" s="104" t="str">
        <f t="shared" si="371"/>
        <v/>
      </c>
      <c r="Y790" s="104" t="str">
        <f t="array" ref="Y790">IFERROR(IF(ISNUMBER(O790),IF(COUNT(IF(A790=$A$2:$A$2427,IF(D790=$D$2:$D$2427,IF($X$2:$X$2427&gt;0,1))))&gt;0,SUM(IF(A790=$A$2:$A$2427,IF(D790=$D$2:$D$2427,$X$2:$X$2427)))/COUNT(IF(A790=$A$2:$A$2427,IF(D790=$D$2:$D$2427,IF(ISNUMBER($X$2:$X$2427),1)))),0),""),0)</f>
        <v/>
      </c>
      <c r="Z790" s="104" t="str">
        <f>IF(ISNUMBER(O790),IF(I790&gt;0,(10^(VLOOKUP(D790,'Species Codes'!B:C,2,0)+VLOOKUP(D790,'Species Codes'!B:D,3,0)*LOG(E790)+VLOOKUP(D790,'Species Codes'!B:E,4,0)*LOG(I790))),0),"")</f>
        <v/>
      </c>
      <c r="AA790" s="104" t="str">
        <f>IFERROR((VLOOKUP(D790,'Species Codes'!B:G,6,0)*Z790)/2000,"")</f>
        <v/>
      </c>
      <c r="AB790" s="104" t="e">
        <f>IF(Z790&gt;0,((IF(OR(D790="DF",D790="RA")=TRUE,EXP(VLOOKUP(D790,'Species Codes'!B:I,8,0)+VLOOKUP(D790,'Species Codes'!B:J,9,0)*(LN((E790*2.54)))),IF(OR(D790="PY",D790="RC",D790="WH",D790="NF")=TRUE,VLOOKUP(D790,'Species Codes'!B:I,8,0)+VLOOKUP(D790,'Species Codes'!B:J,9,0)*((E790*2.54)^2)*(I790*0.3048),IF(OR(D790="MD",D790="BM",D790="GA")=TRUE,((VLOOKUP(D790,'Species Codes'!B:I,8,0)*(((((E790*2.54)+VLOOKUP(D790,'Species Codes'!B:J,9,0))/VLOOKUP(D790,'Species Codes'!B:K,10,0))^VLOOKUP(D790,'Species Codes'!B:L,11,0))*((I790*0.3048)^VLOOKUP(D790,'Species Codes'!B:M,12,0))))-(VLOOKUP(D790,'Species Codes'!B:I,8,0)*((((E790*2.54)^VLOOKUP(D790,'Species Codes'!B:L,11,0))*((I790*0.3048)^VLOOKUP(D790,'Species Codes'!B:M,12,0))))))*35.3*VLOOKUP(D790,'Species Codes'!B:G,6,0)/2.2046,VLOOKUP(D790,'Species Codes'!B:I,8,0)+VLOOKUP(D790,'Species Codes'!B:J,9,0)*(((E790*2.54)/100)^2)*(I790*0.3048)))))*0.0011023),0)</f>
        <v>#N/A</v>
      </c>
      <c r="AC790" s="104" t="e">
        <f>IF(Z790&gt;0,((IF(OR(D790="RA",D790="OA",D790="OT",D790="UN",D790="PC"),EXP(VLOOKUP(D790,'Species Codes'!B:O,14,0)+VLOOKUP(D790,'Species Codes'!B:P,15,0)*LN((E790*2.54)))-EXP(VLOOKUP(D790,'Species Codes'!B:O,14,0)+VLOOKUP(D790,'Species Codes'!B:P,15,0)*LN((E790*2.54)))*(1/(VLOOKUP(D790,'Species Codes'!B:Q,16,0)+VLOOKUP(D790,'Species Codes'!B:R,17,0)*((E790*2.54)^VLOOKUP(D790,'Species Codes'!B:S,18,0)))),IF(OR(D790="BM",D790="MD",D790="OA"),EXP(VLOOKUP(D790,'Species Codes'!B:O,14,0)+VLOOKUP(D790,'Species Codes'!B:P,15,0)*LN((E790*2.54)))*(1-(1/(VLOOKUP(D790,'Species Codes'!B:Q,16,0)+VLOOKUP(D790,'Species Codes'!B:R,17,0)*((E790*2.54)^VLOOKUP(D790,'Species Codes'!B:S,18,0)))))/1000,IF(D790="DF",EXP(VLOOKUP(D790,'Species Codes'!B:O,14,0)+VLOOKUP(D790,'Species Codes'!B:P,15,0)*LN((E790*2.54))),VLOOKUP(D790,'Species Codes'!B:O,14,0)+VLOOKUP(D790,'Species Codes'!B:P,15,0)*(((E790*2.54)/100)^2)*(I790*0.3048)))))*0.0011023),0)</f>
        <v>#N/A</v>
      </c>
      <c r="AD790" s="104" t="e">
        <f t="shared" si="355"/>
        <v>#N/A</v>
      </c>
      <c r="AE790" s="104" t="e">
        <f t="shared" si="356"/>
        <v>#N/A</v>
      </c>
      <c r="AF790" s="104" t="e">
        <f>IF(AND(VLOOKUP($D790,Merchantability!$B:$C,2,0)="Yes",$E790&gt;=VLOOKUP($D790,Merchantability!$B:$D,3,0),$E790&lt;=VLOOKUP($D790,Merchantability!$B:$E,4,0)),AA790,0)</f>
        <v>#N/A</v>
      </c>
      <c r="AG790" s="104" t="e">
        <f>IF(AND(VLOOKUP($D790,Merchantability!$B:$C,2,0)="Yes",$E790&gt;=VLOOKUP($D790,Merchantability!$B:$D,3,0),$E790&lt;=VLOOKUP($D790,Merchantability!$B:$E,4,0)),AB790,0)</f>
        <v>#N/A</v>
      </c>
      <c r="AH790" s="104" t="e">
        <f>IF(AND(VLOOKUP($D790,Merchantability!$B:$C,2,0)="Yes",$E790&gt;=VLOOKUP($D790,Merchantability!$B:$D,3,0),$E790&lt;=VLOOKUP($D790,Merchantability!$B:$E,4,0)),AC790,0)</f>
        <v>#N/A</v>
      </c>
      <c r="AI790" s="104" t="e">
        <f t="shared" si="357"/>
        <v>#N/A</v>
      </c>
      <c r="AJ790" s="104" t="e">
        <f t="shared" si="358"/>
        <v>#VALUE!</v>
      </c>
      <c r="AK790" s="104" t="e">
        <f t="shared" si="359"/>
        <v>#N/A</v>
      </c>
      <c r="AL790" s="104" t="e">
        <f t="shared" si="360"/>
        <v>#N/A</v>
      </c>
      <c r="AM790" s="104" t="e">
        <f t="shared" si="361"/>
        <v>#N/A</v>
      </c>
      <c r="AN790" s="104" t="e">
        <f t="shared" si="372"/>
        <v>#N/A</v>
      </c>
      <c r="AO790" s="104" t="e">
        <f t="shared" si="373"/>
        <v>#N/A</v>
      </c>
      <c r="AP790" s="104" t="e">
        <f t="shared" si="374"/>
        <v>#N/A</v>
      </c>
      <c r="AQ790" s="104" t="e">
        <f t="shared" si="375"/>
        <v>#N/A</v>
      </c>
      <c r="AR790" s="105" t="str">
        <f t="shared" si="367"/>
        <v/>
      </c>
      <c r="AS790" s="105" t="str">
        <f t="shared" si="368"/>
        <v/>
      </c>
      <c r="AT790" s="108" t="str">
        <f t="shared" si="369"/>
        <v/>
      </c>
      <c r="AU790" s="108" t="str">
        <f t="shared" si="370"/>
        <v/>
      </c>
      <c r="AV790" s="107" t="str">
        <f>IF(ISNUMBER(O790),IF(VLOOKUP($A790,Stand!C:J,8,FALSE)="Short",AT790,AU790),"")</f>
        <v/>
      </c>
      <c r="AW790" s="109" t="str">
        <f t="shared" si="376"/>
        <v/>
      </c>
      <c r="AX790" s="109" t="str">
        <f t="shared" si="377"/>
        <v/>
      </c>
      <c r="AY790" s="112" t="str">
        <f>IF(ISNUMBER(O790),IF(AND(VLOOKUP($D790,Merchantability!$B:$C,2,0)="Yes",$E790&gt;=VLOOKUP($D790,Merchantability!$B:$D,3,0),$E790&lt;=VLOOKUP($D790,Merchantability!$B:$E,4,0)),(AV790*O790)*(1-$H790/100),""),"")</f>
        <v/>
      </c>
      <c r="AZ790" s="116"/>
      <c r="BA790" s="116"/>
      <c r="BB790" s="116"/>
      <c r="BE790" s="62"/>
      <c r="BF790" s="63"/>
    </row>
    <row r="791" spans="1:58" ht="12.75" customHeight="1" x14ac:dyDescent="0.25">
      <c r="A791" s="313"/>
      <c r="B791" s="328"/>
      <c r="C791" s="329"/>
      <c r="D791" s="328"/>
      <c r="E791" s="330"/>
      <c r="F791" s="328"/>
      <c r="G791" s="329"/>
      <c r="H791" s="329"/>
      <c r="I791" s="328"/>
      <c r="J791" s="383"/>
      <c r="K791" s="329"/>
      <c r="L791" s="329"/>
      <c r="M791" s="76"/>
      <c r="N791" s="103" t="str">
        <f>IF(A791="","",VLOOKUP(A791,Stand!C:K,9,0))</f>
        <v/>
      </c>
      <c r="O791" s="104" t="str">
        <f t="shared" si="362"/>
        <v/>
      </c>
      <c r="P791" s="105" t="str">
        <f t="shared" si="363"/>
        <v/>
      </c>
      <c r="Q791" s="105" t="str">
        <f t="shared" si="351"/>
        <v/>
      </c>
      <c r="R791" s="103" t="str">
        <f t="shared" si="364"/>
        <v/>
      </c>
      <c r="S791" s="103" t="str">
        <f t="shared" si="365"/>
        <v/>
      </c>
      <c r="T791" s="106" t="str">
        <f t="shared" si="352"/>
        <v/>
      </c>
      <c r="U791" s="106" t="str">
        <f t="shared" si="353"/>
        <v/>
      </c>
      <c r="V791" s="106" t="str">
        <f t="shared" si="354"/>
        <v/>
      </c>
      <c r="W791" s="105" t="str">
        <f t="shared" si="366"/>
        <v/>
      </c>
      <c r="X791" s="104" t="str">
        <f t="shared" si="371"/>
        <v/>
      </c>
      <c r="Y791" s="104" t="str">
        <f t="array" ref="Y791">IFERROR(IF(ISNUMBER(O791),IF(COUNT(IF(A791=$A$2:$A$2427,IF(D791=$D$2:$D$2427,IF($X$2:$X$2427&gt;0,1))))&gt;0,SUM(IF(A791=$A$2:$A$2427,IF(D791=$D$2:$D$2427,$X$2:$X$2427)))/COUNT(IF(A791=$A$2:$A$2427,IF(D791=$D$2:$D$2427,IF(ISNUMBER($X$2:$X$2427),1)))),0),""),0)</f>
        <v/>
      </c>
      <c r="Z791" s="104" t="str">
        <f>IF(ISNUMBER(O791),IF(I791&gt;0,(10^(VLOOKUP(D791,'Species Codes'!B:C,2,0)+VLOOKUP(D791,'Species Codes'!B:D,3,0)*LOG(E791)+VLOOKUP(D791,'Species Codes'!B:E,4,0)*LOG(I791))),0),"")</f>
        <v/>
      </c>
      <c r="AA791" s="104" t="str">
        <f>IFERROR((VLOOKUP(D791,'Species Codes'!B:G,6,0)*Z791)/2000,"")</f>
        <v/>
      </c>
      <c r="AB791" s="104" t="e">
        <f>IF(Z791&gt;0,((IF(OR(D791="DF",D791="RA")=TRUE,EXP(VLOOKUP(D791,'Species Codes'!B:I,8,0)+VLOOKUP(D791,'Species Codes'!B:J,9,0)*(LN((E791*2.54)))),IF(OR(D791="PY",D791="RC",D791="WH",D791="NF")=TRUE,VLOOKUP(D791,'Species Codes'!B:I,8,0)+VLOOKUP(D791,'Species Codes'!B:J,9,0)*((E791*2.54)^2)*(I791*0.3048),IF(OR(D791="MD",D791="BM",D791="GA")=TRUE,((VLOOKUP(D791,'Species Codes'!B:I,8,0)*(((((E791*2.54)+VLOOKUP(D791,'Species Codes'!B:J,9,0))/VLOOKUP(D791,'Species Codes'!B:K,10,0))^VLOOKUP(D791,'Species Codes'!B:L,11,0))*((I791*0.3048)^VLOOKUP(D791,'Species Codes'!B:M,12,0))))-(VLOOKUP(D791,'Species Codes'!B:I,8,0)*((((E791*2.54)^VLOOKUP(D791,'Species Codes'!B:L,11,0))*((I791*0.3048)^VLOOKUP(D791,'Species Codes'!B:M,12,0))))))*35.3*VLOOKUP(D791,'Species Codes'!B:G,6,0)/2.2046,VLOOKUP(D791,'Species Codes'!B:I,8,0)+VLOOKUP(D791,'Species Codes'!B:J,9,0)*(((E791*2.54)/100)^2)*(I791*0.3048)))))*0.0011023),0)</f>
        <v>#N/A</v>
      </c>
      <c r="AC791" s="104" t="e">
        <f>IF(Z791&gt;0,((IF(OR(D791="RA",D791="OA",D791="OT",D791="UN",D791="PC"),EXP(VLOOKUP(D791,'Species Codes'!B:O,14,0)+VLOOKUP(D791,'Species Codes'!B:P,15,0)*LN((E791*2.54)))-EXP(VLOOKUP(D791,'Species Codes'!B:O,14,0)+VLOOKUP(D791,'Species Codes'!B:P,15,0)*LN((E791*2.54)))*(1/(VLOOKUP(D791,'Species Codes'!B:Q,16,0)+VLOOKUP(D791,'Species Codes'!B:R,17,0)*((E791*2.54)^VLOOKUP(D791,'Species Codes'!B:S,18,0)))),IF(OR(D791="BM",D791="MD",D791="OA"),EXP(VLOOKUP(D791,'Species Codes'!B:O,14,0)+VLOOKUP(D791,'Species Codes'!B:P,15,0)*LN((E791*2.54)))*(1-(1/(VLOOKUP(D791,'Species Codes'!B:Q,16,0)+VLOOKUP(D791,'Species Codes'!B:R,17,0)*((E791*2.54)^VLOOKUP(D791,'Species Codes'!B:S,18,0)))))/1000,IF(D791="DF",EXP(VLOOKUP(D791,'Species Codes'!B:O,14,0)+VLOOKUP(D791,'Species Codes'!B:P,15,0)*LN((E791*2.54))),VLOOKUP(D791,'Species Codes'!B:O,14,0)+VLOOKUP(D791,'Species Codes'!B:P,15,0)*(((E791*2.54)/100)^2)*(I791*0.3048)))))*0.0011023),0)</f>
        <v>#N/A</v>
      </c>
      <c r="AD791" s="104" t="e">
        <f t="shared" si="355"/>
        <v>#N/A</v>
      </c>
      <c r="AE791" s="104" t="e">
        <f t="shared" si="356"/>
        <v>#N/A</v>
      </c>
      <c r="AF791" s="104" t="e">
        <f>IF(AND(VLOOKUP($D791,Merchantability!$B:$C,2,0)="Yes",$E791&gt;=VLOOKUP($D791,Merchantability!$B:$D,3,0),$E791&lt;=VLOOKUP($D791,Merchantability!$B:$E,4,0)),AA791,0)</f>
        <v>#N/A</v>
      </c>
      <c r="AG791" s="104" t="e">
        <f>IF(AND(VLOOKUP($D791,Merchantability!$B:$C,2,0)="Yes",$E791&gt;=VLOOKUP($D791,Merchantability!$B:$D,3,0),$E791&lt;=VLOOKUP($D791,Merchantability!$B:$E,4,0)),AB791,0)</f>
        <v>#N/A</v>
      </c>
      <c r="AH791" s="104" t="e">
        <f>IF(AND(VLOOKUP($D791,Merchantability!$B:$C,2,0)="Yes",$E791&gt;=VLOOKUP($D791,Merchantability!$B:$D,3,0),$E791&lt;=VLOOKUP($D791,Merchantability!$B:$E,4,0)),AC791,0)</f>
        <v>#N/A</v>
      </c>
      <c r="AI791" s="104" t="e">
        <f t="shared" si="357"/>
        <v>#N/A</v>
      </c>
      <c r="AJ791" s="104" t="e">
        <f t="shared" si="358"/>
        <v>#VALUE!</v>
      </c>
      <c r="AK791" s="104" t="e">
        <f t="shared" si="359"/>
        <v>#N/A</v>
      </c>
      <c r="AL791" s="104" t="e">
        <f t="shared" si="360"/>
        <v>#N/A</v>
      </c>
      <c r="AM791" s="104" t="e">
        <f t="shared" si="361"/>
        <v>#N/A</v>
      </c>
      <c r="AN791" s="104" t="e">
        <f t="shared" si="372"/>
        <v>#N/A</v>
      </c>
      <c r="AO791" s="104" t="e">
        <f t="shared" si="373"/>
        <v>#N/A</v>
      </c>
      <c r="AP791" s="104" t="e">
        <f t="shared" si="374"/>
        <v>#N/A</v>
      </c>
      <c r="AQ791" s="104" t="e">
        <f t="shared" si="375"/>
        <v>#N/A</v>
      </c>
      <c r="AR791" s="105" t="str">
        <f t="shared" si="367"/>
        <v/>
      </c>
      <c r="AS791" s="105" t="str">
        <f t="shared" si="368"/>
        <v/>
      </c>
      <c r="AT791" s="108" t="str">
        <f t="shared" si="369"/>
        <v/>
      </c>
      <c r="AU791" s="108" t="str">
        <f t="shared" si="370"/>
        <v/>
      </c>
      <c r="AV791" s="107" t="str">
        <f>IF(ISNUMBER(O791),IF(VLOOKUP($A791,Stand!C:J,8,FALSE)="Short",AT791,AU791),"")</f>
        <v/>
      </c>
      <c r="AW791" s="109" t="str">
        <f t="shared" si="376"/>
        <v/>
      </c>
      <c r="AX791" s="109" t="str">
        <f t="shared" si="377"/>
        <v/>
      </c>
      <c r="AY791" s="112" t="str">
        <f>IF(ISNUMBER(O791),IF(AND(VLOOKUP($D791,Merchantability!$B:$C,2,0)="Yes",$E791&gt;=VLOOKUP($D791,Merchantability!$B:$D,3,0),$E791&lt;=VLOOKUP($D791,Merchantability!$B:$E,4,0)),(AV791*O791)*(1-$H791/100),""),"")</f>
        <v/>
      </c>
      <c r="AZ791" s="116"/>
      <c r="BA791" s="116"/>
      <c r="BB791" s="116"/>
      <c r="BE791" s="62"/>
      <c r="BF791" s="63"/>
    </row>
    <row r="792" spans="1:58" ht="12.75" customHeight="1" x14ac:dyDescent="0.25">
      <c r="A792" s="313"/>
      <c r="B792" s="328"/>
      <c r="C792" s="329"/>
      <c r="D792" s="328"/>
      <c r="E792" s="330"/>
      <c r="F792" s="328"/>
      <c r="G792" s="329"/>
      <c r="H792" s="329"/>
      <c r="I792" s="328"/>
      <c r="J792" s="383"/>
      <c r="K792" s="329"/>
      <c r="L792" s="329"/>
      <c r="M792" s="76"/>
      <c r="N792" s="103" t="str">
        <f>IF(A792="","",VLOOKUP(A792,Stand!C:K,9,0))</f>
        <v/>
      </c>
      <c r="O792" s="104" t="str">
        <f t="shared" si="362"/>
        <v/>
      </c>
      <c r="P792" s="105" t="str">
        <f t="shared" si="363"/>
        <v/>
      </c>
      <c r="Q792" s="105" t="str">
        <f t="shared" si="351"/>
        <v/>
      </c>
      <c r="R792" s="103" t="str">
        <f t="shared" si="364"/>
        <v/>
      </c>
      <c r="S792" s="103" t="str">
        <f t="shared" si="365"/>
        <v/>
      </c>
      <c r="T792" s="106" t="str">
        <f t="shared" si="352"/>
        <v/>
      </c>
      <c r="U792" s="106" t="str">
        <f t="shared" si="353"/>
        <v/>
      </c>
      <c r="V792" s="106" t="str">
        <f t="shared" si="354"/>
        <v/>
      </c>
      <c r="W792" s="105" t="str">
        <f t="shared" si="366"/>
        <v/>
      </c>
      <c r="X792" s="104" t="str">
        <f t="shared" si="371"/>
        <v/>
      </c>
      <c r="Y792" s="104" t="str">
        <f t="array" ref="Y792">IFERROR(IF(ISNUMBER(O792),IF(COUNT(IF(A792=$A$2:$A$2427,IF(D792=$D$2:$D$2427,IF($X$2:$X$2427&gt;0,1))))&gt;0,SUM(IF(A792=$A$2:$A$2427,IF(D792=$D$2:$D$2427,$X$2:$X$2427)))/COUNT(IF(A792=$A$2:$A$2427,IF(D792=$D$2:$D$2427,IF(ISNUMBER($X$2:$X$2427),1)))),0),""),0)</f>
        <v/>
      </c>
      <c r="Z792" s="104" t="str">
        <f>IF(ISNUMBER(O792),IF(I792&gt;0,(10^(VLOOKUP(D792,'Species Codes'!B:C,2,0)+VLOOKUP(D792,'Species Codes'!B:D,3,0)*LOG(E792)+VLOOKUP(D792,'Species Codes'!B:E,4,0)*LOG(I792))),0),"")</f>
        <v/>
      </c>
      <c r="AA792" s="104" t="str">
        <f>IFERROR((VLOOKUP(D792,'Species Codes'!B:G,6,0)*Z792)/2000,"")</f>
        <v/>
      </c>
      <c r="AB792" s="104" t="e">
        <f>IF(Z792&gt;0,((IF(OR(D792="DF",D792="RA")=TRUE,EXP(VLOOKUP(D792,'Species Codes'!B:I,8,0)+VLOOKUP(D792,'Species Codes'!B:J,9,0)*(LN((E792*2.54)))),IF(OR(D792="PY",D792="RC",D792="WH",D792="NF")=TRUE,VLOOKUP(D792,'Species Codes'!B:I,8,0)+VLOOKUP(D792,'Species Codes'!B:J,9,0)*((E792*2.54)^2)*(I792*0.3048),IF(OR(D792="MD",D792="BM",D792="GA")=TRUE,((VLOOKUP(D792,'Species Codes'!B:I,8,0)*(((((E792*2.54)+VLOOKUP(D792,'Species Codes'!B:J,9,0))/VLOOKUP(D792,'Species Codes'!B:K,10,0))^VLOOKUP(D792,'Species Codes'!B:L,11,0))*((I792*0.3048)^VLOOKUP(D792,'Species Codes'!B:M,12,0))))-(VLOOKUP(D792,'Species Codes'!B:I,8,0)*((((E792*2.54)^VLOOKUP(D792,'Species Codes'!B:L,11,0))*((I792*0.3048)^VLOOKUP(D792,'Species Codes'!B:M,12,0))))))*35.3*VLOOKUP(D792,'Species Codes'!B:G,6,0)/2.2046,VLOOKUP(D792,'Species Codes'!B:I,8,0)+VLOOKUP(D792,'Species Codes'!B:J,9,0)*(((E792*2.54)/100)^2)*(I792*0.3048)))))*0.0011023),0)</f>
        <v>#N/A</v>
      </c>
      <c r="AC792" s="104" t="e">
        <f>IF(Z792&gt;0,((IF(OR(D792="RA",D792="OA",D792="OT",D792="UN",D792="PC"),EXP(VLOOKUP(D792,'Species Codes'!B:O,14,0)+VLOOKUP(D792,'Species Codes'!B:P,15,0)*LN((E792*2.54)))-EXP(VLOOKUP(D792,'Species Codes'!B:O,14,0)+VLOOKUP(D792,'Species Codes'!B:P,15,0)*LN((E792*2.54)))*(1/(VLOOKUP(D792,'Species Codes'!B:Q,16,0)+VLOOKUP(D792,'Species Codes'!B:R,17,0)*((E792*2.54)^VLOOKUP(D792,'Species Codes'!B:S,18,0)))),IF(OR(D792="BM",D792="MD",D792="OA"),EXP(VLOOKUP(D792,'Species Codes'!B:O,14,0)+VLOOKUP(D792,'Species Codes'!B:P,15,0)*LN((E792*2.54)))*(1-(1/(VLOOKUP(D792,'Species Codes'!B:Q,16,0)+VLOOKUP(D792,'Species Codes'!B:R,17,0)*((E792*2.54)^VLOOKUP(D792,'Species Codes'!B:S,18,0)))))/1000,IF(D792="DF",EXP(VLOOKUP(D792,'Species Codes'!B:O,14,0)+VLOOKUP(D792,'Species Codes'!B:P,15,0)*LN((E792*2.54))),VLOOKUP(D792,'Species Codes'!B:O,14,0)+VLOOKUP(D792,'Species Codes'!B:P,15,0)*(((E792*2.54)/100)^2)*(I792*0.3048)))))*0.0011023),0)</f>
        <v>#N/A</v>
      </c>
      <c r="AD792" s="104" t="e">
        <f t="shared" si="355"/>
        <v>#N/A</v>
      </c>
      <c r="AE792" s="104" t="e">
        <f t="shared" si="356"/>
        <v>#N/A</v>
      </c>
      <c r="AF792" s="104" t="e">
        <f>IF(AND(VLOOKUP($D792,Merchantability!$B:$C,2,0)="Yes",$E792&gt;=VLOOKUP($D792,Merchantability!$B:$D,3,0),$E792&lt;=VLOOKUP($D792,Merchantability!$B:$E,4,0)),AA792,0)</f>
        <v>#N/A</v>
      </c>
      <c r="AG792" s="104" t="e">
        <f>IF(AND(VLOOKUP($D792,Merchantability!$B:$C,2,0)="Yes",$E792&gt;=VLOOKUP($D792,Merchantability!$B:$D,3,0),$E792&lt;=VLOOKUP($D792,Merchantability!$B:$E,4,0)),AB792,0)</f>
        <v>#N/A</v>
      </c>
      <c r="AH792" s="104" t="e">
        <f>IF(AND(VLOOKUP($D792,Merchantability!$B:$C,2,0)="Yes",$E792&gt;=VLOOKUP($D792,Merchantability!$B:$D,3,0),$E792&lt;=VLOOKUP($D792,Merchantability!$B:$E,4,0)),AC792,0)</f>
        <v>#N/A</v>
      </c>
      <c r="AI792" s="104" t="e">
        <f t="shared" si="357"/>
        <v>#N/A</v>
      </c>
      <c r="AJ792" s="104" t="e">
        <f t="shared" si="358"/>
        <v>#VALUE!</v>
      </c>
      <c r="AK792" s="104" t="e">
        <f t="shared" si="359"/>
        <v>#N/A</v>
      </c>
      <c r="AL792" s="104" t="e">
        <f t="shared" si="360"/>
        <v>#N/A</v>
      </c>
      <c r="AM792" s="104" t="e">
        <f t="shared" si="361"/>
        <v>#N/A</v>
      </c>
      <c r="AN792" s="104" t="e">
        <f t="shared" si="372"/>
        <v>#N/A</v>
      </c>
      <c r="AO792" s="104" t="e">
        <f t="shared" si="373"/>
        <v>#N/A</v>
      </c>
      <c r="AP792" s="104" t="e">
        <f t="shared" si="374"/>
        <v>#N/A</v>
      </c>
      <c r="AQ792" s="104" t="e">
        <f t="shared" si="375"/>
        <v>#N/A</v>
      </c>
      <c r="AR792" s="105" t="str">
        <f t="shared" si="367"/>
        <v/>
      </c>
      <c r="AS792" s="105" t="str">
        <f t="shared" si="368"/>
        <v/>
      </c>
      <c r="AT792" s="108" t="str">
        <f t="shared" si="369"/>
        <v/>
      </c>
      <c r="AU792" s="108" t="str">
        <f t="shared" si="370"/>
        <v/>
      </c>
      <c r="AV792" s="107" t="str">
        <f>IF(ISNUMBER(O792),IF(VLOOKUP($A792,Stand!C:J,8,FALSE)="Short",AT792,AU792),"")</f>
        <v/>
      </c>
      <c r="AW792" s="109" t="str">
        <f t="shared" si="376"/>
        <v/>
      </c>
      <c r="AX792" s="109" t="str">
        <f t="shared" si="377"/>
        <v/>
      </c>
      <c r="AY792" s="112" t="str">
        <f>IF(ISNUMBER(O792),IF(AND(VLOOKUP($D792,Merchantability!$B:$C,2,0)="Yes",$E792&gt;=VLOOKUP($D792,Merchantability!$B:$D,3,0),$E792&lt;=VLOOKUP($D792,Merchantability!$B:$E,4,0)),(AV792*O792)*(1-$H792/100),""),"")</f>
        <v/>
      </c>
      <c r="AZ792" s="116"/>
      <c r="BA792" s="116"/>
      <c r="BB792" s="116"/>
      <c r="BE792" s="62"/>
      <c r="BF792" s="63"/>
    </row>
    <row r="793" spans="1:58" ht="12.75" customHeight="1" x14ac:dyDescent="0.25">
      <c r="A793" s="313"/>
      <c r="B793" s="328"/>
      <c r="C793" s="329"/>
      <c r="D793" s="328"/>
      <c r="E793" s="330"/>
      <c r="F793" s="328"/>
      <c r="G793" s="329"/>
      <c r="H793" s="329"/>
      <c r="I793" s="328"/>
      <c r="J793" s="383"/>
      <c r="K793" s="329"/>
      <c r="L793" s="329"/>
      <c r="M793" s="76"/>
      <c r="N793" s="103" t="str">
        <f>IF(A793="","",VLOOKUP(A793,Stand!C:K,9,0))</f>
        <v/>
      </c>
      <c r="O793" s="104" t="str">
        <f t="shared" si="362"/>
        <v/>
      </c>
      <c r="P793" s="105" t="str">
        <f t="shared" si="363"/>
        <v/>
      </c>
      <c r="Q793" s="105" t="str">
        <f t="shared" si="351"/>
        <v/>
      </c>
      <c r="R793" s="103" t="str">
        <f t="shared" si="364"/>
        <v/>
      </c>
      <c r="S793" s="103" t="str">
        <f t="shared" si="365"/>
        <v/>
      </c>
      <c r="T793" s="106" t="str">
        <f t="shared" si="352"/>
        <v/>
      </c>
      <c r="U793" s="106" t="str">
        <f t="shared" si="353"/>
        <v/>
      </c>
      <c r="V793" s="106" t="str">
        <f t="shared" si="354"/>
        <v/>
      </c>
      <c r="W793" s="105" t="str">
        <f t="shared" si="366"/>
        <v/>
      </c>
      <c r="X793" s="104" t="str">
        <f t="shared" si="371"/>
        <v/>
      </c>
      <c r="Y793" s="104" t="str">
        <f t="array" ref="Y793">IFERROR(IF(ISNUMBER(O793),IF(COUNT(IF(A793=$A$2:$A$2427,IF(D793=$D$2:$D$2427,IF($X$2:$X$2427&gt;0,1))))&gt;0,SUM(IF(A793=$A$2:$A$2427,IF(D793=$D$2:$D$2427,$X$2:$X$2427)))/COUNT(IF(A793=$A$2:$A$2427,IF(D793=$D$2:$D$2427,IF(ISNUMBER($X$2:$X$2427),1)))),0),""),0)</f>
        <v/>
      </c>
      <c r="Z793" s="104" t="str">
        <f>IF(ISNUMBER(O793),IF(I793&gt;0,(10^(VLOOKUP(D793,'Species Codes'!B:C,2,0)+VLOOKUP(D793,'Species Codes'!B:D,3,0)*LOG(E793)+VLOOKUP(D793,'Species Codes'!B:E,4,0)*LOG(I793))),0),"")</f>
        <v/>
      </c>
      <c r="AA793" s="104" t="str">
        <f>IFERROR((VLOOKUP(D793,'Species Codes'!B:G,6,0)*Z793)/2000,"")</f>
        <v/>
      </c>
      <c r="AB793" s="104" t="e">
        <f>IF(Z793&gt;0,((IF(OR(D793="DF",D793="RA")=TRUE,EXP(VLOOKUP(D793,'Species Codes'!B:I,8,0)+VLOOKUP(D793,'Species Codes'!B:J,9,0)*(LN((E793*2.54)))),IF(OR(D793="PY",D793="RC",D793="WH",D793="NF")=TRUE,VLOOKUP(D793,'Species Codes'!B:I,8,0)+VLOOKUP(D793,'Species Codes'!B:J,9,0)*((E793*2.54)^2)*(I793*0.3048),IF(OR(D793="MD",D793="BM",D793="GA")=TRUE,((VLOOKUP(D793,'Species Codes'!B:I,8,0)*(((((E793*2.54)+VLOOKUP(D793,'Species Codes'!B:J,9,0))/VLOOKUP(D793,'Species Codes'!B:K,10,0))^VLOOKUP(D793,'Species Codes'!B:L,11,0))*((I793*0.3048)^VLOOKUP(D793,'Species Codes'!B:M,12,0))))-(VLOOKUP(D793,'Species Codes'!B:I,8,0)*((((E793*2.54)^VLOOKUP(D793,'Species Codes'!B:L,11,0))*((I793*0.3048)^VLOOKUP(D793,'Species Codes'!B:M,12,0))))))*35.3*VLOOKUP(D793,'Species Codes'!B:G,6,0)/2.2046,VLOOKUP(D793,'Species Codes'!B:I,8,0)+VLOOKUP(D793,'Species Codes'!B:J,9,0)*(((E793*2.54)/100)^2)*(I793*0.3048)))))*0.0011023),0)</f>
        <v>#N/A</v>
      </c>
      <c r="AC793" s="104" t="e">
        <f>IF(Z793&gt;0,((IF(OR(D793="RA",D793="OA",D793="OT",D793="UN",D793="PC"),EXP(VLOOKUP(D793,'Species Codes'!B:O,14,0)+VLOOKUP(D793,'Species Codes'!B:P,15,0)*LN((E793*2.54)))-EXP(VLOOKUP(D793,'Species Codes'!B:O,14,0)+VLOOKUP(D793,'Species Codes'!B:P,15,0)*LN((E793*2.54)))*(1/(VLOOKUP(D793,'Species Codes'!B:Q,16,0)+VLOOKUP(D793,'Species Codes'!B:R,17,0)*((E793*2.54)^VLOOKUP(D793,'Species Codes'!B:S,18,0)))),IF(OR(D793="BM",D793="MD",D793="OA"),EXP(VLOOKUP(D793,'Species Codes'!B:O,14,0)+VLOOKUP(D793,'Species Codes'!B:P,15,0)*LN((E793*2.54)))*(1-(1/(VLOOKUP(D793,'Species Codes'!B:Q,16,0)+VLOOKUP(D793,'Species Codes'!B:R,17,0)*((E793*2.54)^VLOOKUP(D793,'Species Codes'!B:S,18,0)))))/1000,IF(D793="DF",EXP(VLOOKUP(D793,'Species Codes'!B:O,14,0)+VLOOKUP(D793,'Species Codes'!B:P,15,0)*LN((E793*2.54))),VLOOKUP(D793,'Species Codes'!B:O,14,0)+VLOOKUP(D793,'Species Codes'!B:P,15,0)*(((E793*2.54)/100)^2)*(I793*0.3048)))))*0.0011023),0)</f>
        <v>#N/A</v>
      </c>
      <c r="AD793" s="104" t="e">
        <f t="shared" si="355"/>
        <v>#N/A</v>
      </c>
      <c r="AE793" s="104" t="e">
        <f t="shared" si="356"/>
        <v>#N/A</v>
      </c>
      <c r="AF793" s="104" t="e">
        <f>IF(AND(VLOOKUP($D793,Merchantability!$B:$C,2,0)="Yes",$E793&gt;=VLOOKUP($D793,Merchantability!$B:$D,3,0),$E793&lt;=VLOOKUP($D793,Merchantability!$B:$E,4,0)),AA793,0)</f>
        <v>#N/A</v>
      </c>
      <c r="AG793" s="104" t="e">
        <f>IF(AND(VLOOKUP($D793,Merchantability!$B:$C,2,0)="Yes",$E793&gt;=VLOOKUP($D793,Merchantability!$B:$D,3,0),$E793&lt;=VLOOKUP($D793,Merchantability!$B:$E,4,0)),AB793,0)</f>
        <v>#N/A</v>
      </c>
      <c r="AH793" s="104" t="e">
        <f>IF(AND(VLOOKUP($D793,Merchantability!$B:$C,2,0)="Yes",$E793&gt;=VLOOKUP($D793,Merchantability!$B:$D,3,0),$E793&lt;=VLOOKUP($D793,Merchantability!$B:$E,4,0)),AC793,0)</f>
        <v>#N/A</v>
      </c>
      <c r="AI793" s="104" t="e">
        <f t="shared" si="357"/>
        <v>#N/A</v>
      </c>
      <c r="AJ793" s="104" t="e">
        <f t="shared" si="358"/>
        <v>#VALUE!</v>
      </c>
      <c r="AK793" s="104" t="e">
        <f t="shared" si="359"/>
        <v>#N/A</v>
      </c>
      <c r="AL793" s="104" t="e">
        <f t="shared" si="360"/>
        <v>#N/A</v>
      </c>
      <c r="AM793" s="104" t="e">
        <f t="shared" si="361"/>
        <v>#N/A</v>
      </c>
      <c r="AN793" s="104" t="e">
        <f t="shared" si="372"/>
        <v>#N/A</v>
      </c>
      <c r="AO793" s="104" t="e">
        <f t="shared" si="373"/>
        <v>#N/A</v>
      </c>
      <c r="AP793" s="104" t="e">
        <f t="shared" si="374"/>
        <v>#N/A</v>
      </c>
      <c r="AQ793" s="104" t="e">
        <f t="shared" si="375"/>
        <v>#N/A</v>
      </c>
      <c r="AR793" s="105" t="str">
        <f t="shared" si="367"/>
        <v/>
      </c>
      <c r="AS793" s="105" t="str">
        <f t="shared" si="368"/>
        <v/>
      </c>
      <c r="AT793" s="108" t="str">
        <f t="shared" si="369"/>
        <v/>
      </c>
      <c r="AU793" s="108" t="str">
        <f t="shared" si="370"/>
        <v/>
      </c>
      <c r="AV793" s="107" t="str">
        <f>IF(ISNUMBER(O793),IF(VLOOKUP($A793,Stand!C:J,8,FALSE)="Short",AT793,AU793),"")</f>
        <v/>
      </c>
      <c r="AW793" s="109" t="str">
        <f t="shared" si="376"/>
        <v/>
      </c>
      <c r="AX793" s="109" t="str">
        <f t="shared" si="377"/>
        <v/>
      </c>
      <c r="AY793" s="112" t="str">
        <f>IF(ISNUMBER(O793),IF(AND(VLOOKUP($D793,Merchantability!$B:$C,2,0)="Yes",$E793&gt;=VLOOKUP($D793,Merchantability!$B:$D,3,0),$E793&lt;=VLOOKUP($D793,Merchantability!$B:$E,4,0)),(AV793*O793)*(1-$H793/100),""),"")</f>
        <v/>
      </c>
      <c r="AZ793" s="116"/>
      <c r="BA793" s="116"/>
      <c r="BB793" s="116"/>
      <c r="BE793" s="62"/>
      <c r="BF793" s="63"/>
    </row>
    <row r="794" spans="1:58" ht="12.75" customHeight="1" x14ac:dyDescent="0.25">
      <c r="A794" s="313"/>
      <c r="B794" s="328"/>
      <c r="C794" s="329"/>
      <c r="D794" s="328"/>
      <c r="E794" s="330"/>
      <c r="F794" s="328"/>
      <c r="G794" s="329"/>
      <c r="H794" s="329"/>
      <c r="I794" s="328"/>
      <c r="J794" s="383"/>
      <c r="K794" s="329"/>
      <c r="L794" s="329"/>
      <c r="M794" s="76"/>
      <c r="N794" s="103" t="str">
        <f>IF(A794="","",VLOOKUP(A794,Stand!C:K,9,0))</f>
        <v/>
      </c>
      <c r="O794" s="104" t="str">
        <f t="shared" si="362"/>
        <v/>
      </c>
      <c r="P794" s="105" t="str">
        <f t="shared" si="363"/>
        <v/>
      </c>
      <c r="Q794" s="105" t="str">
        <f t="shared" si="351"/>
        <v/>
      </c>
      <c r="R794" s="103" t="str">
        <f t="shared" si="364"/>
        <v/>
      </c>
      <c r="S794" s="103" t="str">
        <f t="shared" si="365"/>
        <v/>
      </c>
      <c r="T794" s="106" t="str">
        <f t="shared" si="352"/>
        <v/>
      </c>
      <c r="U794" s="106" t="str">
        <f t="shared" si="353"/>
        <v/>
      </c>
      <c r="V794" s="106" t="str">
        <f t="shared" si="354"/>
        <v/>
      </c>
      <c r="W794" s="105" t="str">
        <f t="shared" si="366"/>
        <v/>
      </c>
      <c r="X794" s="104" t="str">
        <f t="shared" si="371"/>
        <v/>
      </c>
      <c r="Y794" s="104" t="str">
        <f t="array" ref="Y794">IFERROR(IF(ISNUMBER(O794),IF(COUNT(IF(A794=$A$2:$A$2427,IF(D794=$D$2:$D$2427,IF($X$2:$X$2427&gt;0,1))))&gt;0,SUM(IF(A794=$A$2:$A$2427,IF(D794=$D$2:$D$2427,$X$2:$X$2427)))/COUNT(IF(A794=$A$2:$A$2427,IF(D794=$D$2:$D$2427,IF(ISNUMBER($X$2:$X$2427),1)))),0),""),0)</f>
        <v/>
      </c>
      <c r="Z794" s="104" t="str">
        <f>IF(ISNUMBER(O794),IF(I794&gt;0,(10^(VLOOKUP(D794,'Species Codes'!B:C,2,0)+VLOOKUP(D794,'Species Codes'!B:D,3,0)*LOG(E794)+VLOOKUP(D794,'Species Codes'!B:E,4,0)*LOG(I794))),0),"")</f>
        <v/>
      </c>
      <c r="AA794" s="104" t="str">
        <f>IFERROR((VLOOKUP(D794,'Species Codes'!B:G,6,0)*Z794)/2000,"")</f>
        <v/>
      </c>
      <c r="AB794" s="104" t="e">
        <f>IF(Z794&gt;0,((IF(OR(D794="DF",D794="RA")=TRUE,EXP(VLOOKUP(D794,'Species Codes'!B:I,8,0)+VLOOKUP(D794,'Species Codes'!B:J,9,0)*(LN((E794*2.54)))),IF(OR(D794="PY",D794="RC",D794="WH",D794="NF")=TRUE,VLOOKUP(D794,'Species Codes'!B:I,8,0)+VLOOKUP(D794,'Species Codes'!B:J,9,0)*((E794*2.54)^2)*(I794*0.3048),IF(OR(D794="MD",D794="BM",D794="GA")=TRUE,((VLOOKUP(D794,'Species Codes'!B:I,8,0)*(((((E794*2.54)+VLOOKUP(D794,'Species Codes'!B:J,9,0))/VLOOKUP(D794,'Species Codes'!B:K,10,0))^VLOOKUP(D794,'Species Codes'!B:L,11,0))*((I794*0.3048)^VLOOKUP(D794,'Species Codes'!B:M,12,0))))-(VLOOKUP(D794,'Species Codes'!B:I,8,0)*((((E794*2.54)^VLOOKUP(D794,'Species Codes'!B:L,11,0))*((I794*0.3048)^VLOOKUP(D794,'Species Codes'!B:M,12,0))))))*35.3*VLOOKUP(D794,'Species Codes'!B:G,6,0)/2.2046,VLOOKUP(D794,'Species Codes'!B:I,8,0)+VLOOKUP(D794,'Species Codes'!B:J,9,0)*(((E794*2.54)/100)^2)*(I794*0.3048)))))*0.0011023),0)</f>
        <v>#N/A</v>
      </c>
      <c r="AC794" s="104" t="e">
        <f>IF(Z794&gt;0,((IF(OR(D794="RA",D794="OA",D794="OT",D794="UN",D794="PC"),EXP(VLOOKUP(D794,'Species Codes'!B:O,14,0)+VLOOKUP(D794,'Species Codes'!B:P,15,0)*LN((E794*2.54)))-EXP(VLOOKUP(D794,'Species Codes'!B:O,14,0)+VLOOKUP(D794,'Species Codes'!B:P,15,0)*LN((E794*2.54)))*(1/(VLOOKUP(D794,'Species Codes'!B:Q,16,0)+VLOOKUP(D794,'Species Codes'!B:R,17,0)*((E794*2.54)^VLOOKUP(D794,'Species Codes'!B:S,18,0)))),IF(OR(D794="BM",D794="MD",D794="OA"),EXP(VLOOKUP(D794,'Species Codes'!B:O,14,0)+VLOOKUP(D794,'Species Codes'!B:P,15,0)*LN((E794*2.54)))*(1-(1/(VLOOKUP(D794,'Species Codes'!B:Q,16,0)+VLOOKUP(D794,'Species Codes'!B:R,17,0)*((E794*2.54)^VLOOKUP(D794,'Species Codes'!B:S,18,0)))))/1000,IF(D794="DF",EXP(VLOOKUP(D794,'Species Codes'!B:O,14,0)+VLOOKUP(D794,'Species Codes'!B:P,15,0)*LN((E794*2.54))),VLOOKUP(D794,'Species Codes'!B:O,14,0)+VLOOKUP(D794,'Species Codes'!B:P,15,0)*(((E794*2.54)/100)^2)*(I794*0.3048)))))*0.0011023),0)</f>
        <v>#N/A</v>
      </c>
      <c r="AD794" s="104" t="e">
        <f t="shared" si="355"/>
        <v>#N/A</v>
      </c>
      <c r="AE794" s="104" t="e">
        <f t="shared" si="356"/>
        <v>#N/A</v>
      </c>
      <c r="AF794" s="104" t="e">
        <f>IF(AND(VLOOKUP($D794,Merchantability!$B:$C,2,0)="Yes",$E794&gt;=VLOOKUP($D794,Merchantability!$B:$D,3,0),$E794&lt;=VLOOKUP($D794,Merchantability!$B:$E,4,0)),AA794,0)</f>
        <v>#N/A</v>
      </c>
      <c r="AG794" s="104" t="e">
        <f>IF(AND(VLOOKUP($D794,Merchantability!$B:$C,2,0)="Yes",$E794&gt;=VLOOKUP($D794,Merchantability!$B:$D,3,0),$E794&lt;=VLOOKUP($D794,Merchantability!$B:$E,4,0)),AB794,0)</f>
        <v>#N/A</v>
      </c>
      <c r="AH794" s="104" t="e">
        <f>IF(AND(VLOOKUP($D794,Merchantability!$B:$C,2,0)="Yes",$E794&gt;=VLOOKUP($D794,Merchantability!$B:$D,3,0),$E794&lt;=VLOOKUP($D794,Merchantability!$B:$E,4,0)),AC794,0)</f>
        <v>#N/A</v>
      </c>
      <c r="AI794" s="104" t="e">
        <f t="shared" si="357"/>
        <v>#N/A</v>
      </c>
      <c r="AJ794" s="104" t="e">
        <f t="shared" si="358"/>
        <v>#VALUE!</v>
      </c>
      <c r="AK794" s="104" t="e">
        <f t="shared" si="359"/>
        <v>#N/A</v>
      </c>
      <c r="AL794" s="104" t="e">
        <f t="shared" si="360"/>
        <v>#N/A</v>
      </c>
      <c r="AM794" s="104" t="e">
        <f t="shared" si="361"/>
        <v>#N/A</v>
      </c>
      <c r="AN794" s="104" t="e">
        <f t="shared" si="372"/>
        <v>#N/A</v>
      </c>
      <c r="AO794" s="104" t="e">
        <f t="shared" si="373"/>
        <v>#N/A</v>
      </c>
      <c r="AP794" s="104" t="e">
        <f t="shared" si="374"/>
        <v>#N/A</v>
      </c>
      <c r="AQ794" s="104" t="e">
        <f t="shared" si="375"/>
        <v>#N/A</v>
      </c>
      <c r="AR794" s="105" t="str">
        <f t="shared" si="367"/>
        <v/>
      </c>
      <c r="AS794" s="105" t="str">
        <f t="shared" si="368"/>
        <v/>
      </c>
      <c r="AT794" s="108" t="str">
        <f t="shared" si="369"/>
        <v/>
      </c>
      <c r="AU794" s="108" t="str">
        <f t="shared" si="370"/>
        <v/>
      </c>
      <c r="AV794" s="107" t="str">
        <f>IF(ISNUMBER(O794),IF(VLOOKUP($A794,Stand!C:J,8,FALSE)="Short",AT794,AU794),"")</f>
        <v/>
      </c>
      <c r="AW794" s="109" t="str">
        <f t="shared" si="376"/>
        <v/>
      </c>
      <c r="AX794" s="109" t="str">
        <f t="shared" si="377"/>
        <v/>
      </c>
      <c r="AY794" s="112" t="str">
        <f>IF(ISNUMBER(O794),IF(AND(VLOOKUP($D794,Merchantability!$B:$C,2,0)="Yes",$E794&gt;=VLOOKUP($D794,Merchantability!$B:$D,3,0),$E794&lt;=VLOOKUP($D794,Merchantability!$B:$E,4,0)),(AV794*O794)*(1-$H794/100),""),"")</f>
        <v/>
      </c>
      <c r="AZ794" s="116"/>
      <c r="BA794" s="116"/>
      <c r="BB794" s="116"/>
      <c r="BE794" s="62"/>
      <c r="BF794" s="63"/>
    </row>
    <row r="795" spans="1:58" ht="12.75" customHeight="1" x14ac:dyDescent="0.25">
      <c r="A795" s="313"/>
      <c r="B795" s="328"/>
      <c r="C795" s="329"/>
      <c r="D795" s="328"/>
      <c r="E795" s="330"/>
      <c r="F795" s="328"/>
      <c r="G795" s="329"/>
      <c r="H795" s="329"/>
      <c r="I795" s="328"/>
      <c r="J795" s="383"/>
      <c r="K795" s="329"/>
      <c r="L795" s="329"/>
      <c r="M795" s="76"/>
      <c r="N795" s="103" t="str">
        <f>IF(A795="","",VLOOKUP(A795,Stand!C:K,9,0))</f>
        <v/>
      </c>
      <c r="O795" s="104" t="str">
        <f t="shared" si="362"/>
        <v/>
      </c>
      <c r="P795" s="105" t="str">
        <f t="shared" si="363"/>
        <v/>
      </c>
      <c r="Q795" s="105" t="str">
        <f t="shared" si="351"/>
        <v/>
      </c>
      <c r="R795" s="103" t="str">
        <f t="shared" si="364"/>
        <v/>
      </c>
      <c r="S795" s="103" t="str">
        <f t="shared" si="365"/>
        <v/>
      </c>
      <c r="T795" s="106" t="str">
        <f t="shared" si="352"/>
        <v/>
      </c>
      <c r="U795" s="106" t="str">
        <f t="shared" si="353"/>
        <v/>
      </c>
      <c r="V795" s="106" t="str">
        <f t="shared" si="354"/>
        <v/>
      </c>
      <c r="W795" s="105" t="str">
        <f t="shared" si="366"/>
        <v/>
      </c>
      <c r="X795" s="104" t="str">
        <f t="shared" si="371"/>
        <v/>
      </c>
      <c r="Y795" s="104" t="str">
        <f t="array" ref="Y795">IFERROR(IF(ISNUMBER(O795),IF(COUNT(IF(A795=$A$2:$A$2427,IF(D795=$D$2:$D$2427,IF($X$2:$X$2427&gt;0,1))))&gt;0,SUM(IF(A795=$A$2:$A$2427,IF(D795=$D$2:$D$2427,$X$2:$X$2427)))/COUNT(IF(A795=$A$2:$A$2427,IF(D795=$D$2:$D$2427,IF(ISNUMBER($X$2:$X$2427),1)))),0),""),0)</f>
        <v/>
      </c>
      <c r="Z795" s="104" t="str">
        <f>IF(ISNUMBER(O795),IF(I795&gt;0,(10^(VLOOKUP(D795,'Species Codes'!B:C,2,0)+VLOOKUP(D795,'Species Codes'!B:D,3,0)*LOG(E795)+VLOOKUP(D795,'Species Codes'!B:E,4,0)*LOG(I795))),0),"")</f>
        <v/>
      </c>
      <c r="AA795" s="104" t="str">
        <f>IFERROR((VLOOKUP(D795,'Species Codes'!B:G,6,0)*Z795)/2000,"")</f>
        <v/>
      </c>
      <c r="AB795" s="104" t="e">
        <f>IF(Z795&gt;0,((IF(OR(D795="DF",D795="RA")=TRUE,EXP(VLOOKUP(D795,'Species Codes'!B:I,8,0)+VLOOKUP(D795,'Species Codes'!B:J,9,0)*(LN((E795*2.54)))),IF(OR(D795="PY",D795="RC",D795="WH",D795="NF")=TRUE,VLOOKUP(D795,'Species Codes'!B:I,8,0)+VLOOKUP(D795,'Species Codes'!B:J,9,0)*((E795*2.54)^2)*(I795*0.3048),IF(OR(D795="MD",D795="BM",D795="GA")=TRUE,((VLOOKUP(D795,'Species Codes'!B:I,8,0)*(((((E795*2.54)+VLOOKUP(D795,'Species Codes'!B:J,9,0))/VLOOKUP(D795,'Species Codes'!B:K,10,0))^VLOOKUP(D795,'Species Codes'!B:L,11,0))*((I795*0.3048)^VLOOKUP(D795,'Species Codes'!B:M,12,0))))-(VLOOKUP(D795,'Species Codes'!B:I,8,0)*((((E795*2.54)^VLOOKUP(D795,'Species Codes'!B:L,11,0))*((I795*0.3048)^VLOOKUP(D795,'Species Codes'!B:M,12,0))))))*35.3*VLOOKUP(D795,'Species Codes'!B:G,6,0)/2.2046,VLOOKUP(D795,'Species Codes'!B:I,8,0)+VLOOKUP(D795,'Species Codes'!B:J,9,0)*(((E795*2.54)/100)^2)*(I795*0.3048)))))*0.0011023),0)</f>
        <v>#N/A</v>
      </c>
      <c r="AC795" s="104" t="e">
        <f>IF(Z795&gt;0,((IF(OR(D795="RA",D795="OA",D795="OT",D795="UN",D795="PC"),EXP(VLOOKUP(D795,'Species Codes'!B:O,14,0)+VLOOKUP(D795,'Species Codes'!B:P,15,0)*LN((E795*2.54)))-EXP(VLOOKUP(D795,'Species Codes'!B:O,14,0)+VLOOKUP(D795,'Species Codes'!B:P,15,0)*LN((E795*2.54)))*(1/(VLOOKUP(D795,'Species Codes'!B:Q,16,0)+VLOOKUP(D795,'Species Codes'!B:R,17,0)*((E795*2.54)^VLOOKUP(D795,'Species Codes'!B:S,18,0)))),IF(OR(D795="BM",D795="MD",D795="OA"),EXP(VLOOKUP(D795,'Species Codes'!B:O,14,0)+VLOOKUP(D795,'Species Codes'!B:P,15,0)*LN((E795*2.54)))*(1-(1/(VLOOKUP(D795,'Species Codes'!B:Q,16,0)+VLOOKUP(D795,'Species Codes'!B:R,17,0)*((E795*2.54)^VLOOKUP(D795,'Species Codes'!B:S,18,0)))))/1000,IF(D795="DF",EXP(VLOOKUP(D795,'Species Codes'!B:O,14,0)+VLOOKUP(D795,'Species Codes'!B:P,15,0)*LN((E795*2.54))),VLOOKUP(D795,'Species Codes'!B:O,14,0)+VLOOKUP(D795,'Species Codes'!B:P,15,0)*(((E795*2.54)/100)^2)*(I795*0.3048)))))*0.0011023),0)</f>
        <v>#N/A</v>
      </c>
      <c r="AD795" s="104" t="e">
        <f t="shared" si="355"/>
        <v>#N/A</v>
      </c>
      <c r="AE795" s="104" t="e">
        <f t="shared" si="356"/>
        <v>#N/A</v>
      </c>
      <c r="AF795" s="104" t="e">
        <f>IF(AND(VLOOKUP($D795,Merchantability!$B:$C,2,0)="Yes",$E795&gt;=VLOOKUP($D795,Merchantability!$B:$D,3,0),$E795&lt;=VLOOKUP($D795,Merchantability!$B:$E,4,0)),AA795,0)</f>
        <v>#N/A</v>
      </c>
      <c r="AG795" s="104" t="e">
        <f>IF(AND(VLOOKUP($D795,Merchantability!$B:$C,2,0)="Yes",$E795&gt;=VLOOKUP($D795,Merchantability!$B:$D,3,0),$E795&lt;=VLOOKUP($D795,Merchantability!$B:$E,4,0)),AB795,0)</f>
        <v>#N/A</v>
      </c>
      <c r="AH795" s="104" t="e">
        <f>IF(AND(VLOOKUP($D795,Merchantability!$B:$C,2,0)="Yes",$E795&gt;=VLOOKUP($D795,Merchantability!$B:$D,3,0),$E795&lt;=VLOOKUP($D795,Merchantability!$B:$E,4,0)),AC795,0)</f>
        <v>#N/A</v>
      </c>
      <c r="AI795" s="104" t="e">
        <f t="shared" si="357"/>
        <v>#N/A</v>
      </c>
      <c r="AJ795" s="104" t="e">
        <f t="shared" si="358"/>
        <v>#VALUE!</v>
      </c>
      <c r="AK795" s="104" t="e">
        <f t="shared" si="359"/>
        <v>#N/A</v>
      </c>
      <c r="AL795" s="104" t="e">
        <f t="shared" si="360"/>
        <v>#N/A</v>
      </c>
      <c r="AM795" s="104" t="e">
        <f t="shared" si="361"/>
        <v>#N/A</v>
      </c>
      <c r="AN795" s="104" t="e">
        <f t="shared" si="372"/>
        <v>#N/A</v>
      </c>
      <c r="AO795" s="104" t="e">
        <f t="shared" si="373"/>
        <v>#N/A</v>
      </c>
      <c r="AP795" s="104" t="e">
        <f t="shared" si="374"/>
        <v>#N/A</v>
      </c>
      <c r="AQ795" s="104" t="e">
        <f t="shared" si="375"/>
        <v>#N/A</v>
      </c>
      <c r="AR795" s="105" t="str">
        <f t="shared" si="367"/>
        <v/>
      </c>
      <c r="AS795" s="105" t="str">
        <f t="shared" si="368"/>
        <v/>
      </c>
      <c r="AT795" s="108" t="str">
        <f t="shared" si="369"/>
        <v/>
      </c>
      <c r="AU795" s="108" t="str">
        <f t="shared" si="370"/>
        <v/>
      </c>
      <c r="AV795" s="107" t="str">
        <f>IF(ISNUMBER(O795),IF(VLOOKUP($A795,Stand!C:J,8,FALSE)="Short",AT795,AU795),"")</f>
        <v/>
      </c>
      <c r="AW795" s="109" t="str">
        <f t="shared" si="376"/>
        <v/>
      </c>
      <c r="AX795" s="109" t="str">
        <f t="shared" si="377"/>
        <v/>
      </c>
      <c r="AY795" s="112" t="str">
        <f>IF(ISNUMBER(O795),IF(AND(VLOOKUP($D795,Merchantability!$B:$C,2,0)="Yes",$E795&gt;=VLOOKUP($D795,Merchantability!$B:$D,3,0),$E795&lt;=VLOOKUP($D795,Merchantability!$B:$E,4,0)),(AV795*O795)*(1-$H795/100),""),"")</f>
        <v/>
      </c>
      <c r="AZ795" s="116"/>
      <c r="BA795" s="116"/>
      <c r="BB795" s="116"/>
      <c r="BE795" s="62"/>
      <c r="BF795" s="63"/>
    </row>
    <row r="796" spans="1:58" ht="12.75" customHeight="1" x14ac:dyDescent="0.25">
      <c r="A796" s="313"/>
      <c r="B796" s="328"/>
      <c r="C796" s="329"/>
      <c r="D796" s="328"/>
      <c r="E796" s="330"/>
      <c r="F796" s="328"/>
      <c r="G796" s="329"/>
      <c r="H796" s="329"/>
      <c r="I796" s="328"/>
      <c r="J796" s="383"/>
      <c r="K796" s="329"/>
      <c r="L796" s="329"/>
      <c r="M796" s="76"/>
      <c r="N796" s="103" t="str">
        <f>IF(A796="","",VLOOKUP(A796,Stand!C:K,9,0))</f>
        <v/>
      </c>
      <c r="O796" s="104" t="str">
        <f t="shared" si="362"/>
        <v/>
      </c>
      <c r="P796" s="105" t="str">
        <f t="shared" si="363"/>
        <v/>
      </c>
      <c r="Q796" s="105" t="str">
        <f t="shared" si="351"/>
        <v/>
      </c>
      <c r="R796" s="103" t="str">
        <f t="shared" si="364"/>
        <v/>
      </c>
      <c r="S796" s="103" t="str">
        <f t="shared" si="365"/>
        <v/>
      </c>
      <c r="T796" s="106" t="str">
        <f t="shared" si="352"/>
        <v/>
      </c>
      <c r="U796" s="106" t="str">
        <f t="shared" si="353"/>
        <v/>
      </c>
      <c r="V796" s="106" t="str">
        <f t="shared" si="354"/>
        <v/>
      </c>
      <c r="W796" s="105" t="str">
        <f t="shared" si="366"/>
        <v/>
      </c>
      <c r="X796" s="104" t="str">
        <f t="shared" si="371"/>
        <v/>
      </c>
      <c r="Y796" s="104" t="str">
        <f t="array" ref="Y796">IFERROR(IF(ISNUMBER(O796),IF(COUNT(IF(A796=$A$2:$A$2427,IF(D796=$D$2:$D$2427,IF($X$2:$X$2427&gt;0,1))))&gt;0,SUM(IF(A796=$A$2:$A$2427,IF(D796=$D$2:$D$2427,$X$2:$X$2427)))/COUNT(IF(A796=$A$2:$A$2427,IF(D796=$D$2:$D$2427,IF(ISNUMBER($X$2:$X$2427),1)))),0),""),0)</f>
        <v/>
      </c>
      <c r="Z796" s="104" t="str">
        <f>IF(ISNUMBER(O796),IF(I796&gt;0,(10^(VLOOKUP(D796,'Species Codes'!B:C,2,0)+VLOOKUP(D796,'Species Codes'!B:D,3,0)*LOG(E796)+VLOOKUP(D796,'Species Codes'!B:E,4,0)*LOG(I796))),0),"")</f>
        <v/>
      </c>
      <c r="AA796" s="104" t="str">
        <f>IFERROR((VLOOKUP(D796,'Species Codes'!B:G,6,0)*Z796)/2000,"")</f>
        <v/>
      </c>
      <c r="AB796" s="104" t="e">
        <f>IF(Z796&gt;0,((IF(OR(D796="DF",D796="RA")=TRUE,EXP(VLOOKUP(D796,'Species Codes'!B:I,8,0)+VLOOKUP(D796,'Species Codes'!B:J,9,0)*(LN((E796*2.54)))),IF(OR(D796="PY",D796="RC",D796="WH",D796="NF")=TRUE,VLOOKUP(D796,'Species Codes'!B:I,8,0)+VLOOKUP(D796,'Species Codes'!B:J,9,0)*((E796*2.54)^2)*(I796*0.3048),IF(OR(D796="MD",D796="BM",D796="GA")=TRUE,((VLOOKUP(D796,'Species Codes'!B:I,8,0)*(((((E796*2.54)+VLOOKUP(D796,'Species Codes'!B:J,9,0))/VLOOKUP(D796,'Species Codes'!B:K,10,0))^VLOOKUP(D796,'Species Codes'!B:L,11,0))*((I796*0.3048)^VLOOKUP(D796,'Species Codes'!B:M,12,0))))-(VLOOKUP(D796,'Species Codes'!B:I,8,0)*((((E796*2.54)^VLOOKUP(D796,'Species Codes'!B:L,11,0))*((I796*0.3048)^VLOOKUP(D796,'Species Codes'!B:M,12,0))))))*35.3*VLOOKUP(D796,'Species Codes'!B:G,6,0)/2.2046,VLOOKUP(D796,'Species Codes'!B:I,8,0)+VLOOKUP(D796,'Species Codes'!B:J,9,0)*(((E796*2.54)/100)^2)*(I796*0.3048)))))*0.0011023),0)</f>
        <v>#N/A</v>
      </c>
      <c r="AC796" s="104" t="e">
        <f>IF(Z796&gt;0,((IF(OR(D796="RA",D796="OA",D796="OT",D796="UN",D796="PC"),EXP(VLOOKUP(D796,'Species Codes'!B:O,14,0)+VLOOKUP(D796,'Species Codes'!B:P,15,0)*LN((E796*2.54)))-EXP(VLOOKUP(D796,'Species Codes'!B:O,14,0)+VLOOKUP(D796,'Species Codes'!B:P,15,0)*LN((E796*2.54)))*(1/(VLOOKUP(D796,'Species Codes'!B:Q,16,0)+VLOOKUP(D796,'Species Codes'!B:R,17,0)*((E796*2.54)^VLOOKUP(D796,'Species Codes'!B:S,18,0)))),IF(OR(D796="BM",D796="MD",D796="OA"),EXP(VLOOKUP(D796,'Species Codes'!B:O,14,0)+VLOOKUP(D796,'Species Codes'!B:P,15,0)*LN((E796*2.54)))*(1-(1/(VLOOKUP(D796,'Species Codes'!B:Q,16,0)+VLOOKUP(D796,'Species Codes'!B:R,17,0)*((E796*2.54)^VLOOKUP(D796,'Species Codes'!B:S,18,0)))))/1000,IF(D796="DF",EXP(VLOOKUP(D796,'Species Codes'!B:O,14,0)+VLOOKUP(D796,'Species Codes'!B:P,15,0)*LN((E796*2.54))),VLOOKUP(D796,'Species Codes'!B:O,14,0)+VLOOKUP(D796,'Species Codes'!B:P,15,0)*(((E796*2.54)/100)^2)*(I796*0.3048)))))*0.0011023),0)</f>
        <v>#N/A</v>
      </c>
      <c r="AD796" s="104" t="e">
        <f t="shared" si="355"/>
        <v>#N/A</v>
      </c>
      <c r="AE796" s="104" t="e">
        <f t="shared" si="356"/>
        <v>#N/A</v>
      </c>
      <c r="AF796" s="104" t="e">
        <f>IF(AND(VLOOKUP($D796,Merchantability!$B:$C,2,0)="Yes",$E796&gt;=VLOOKUP($D796,Merchantability!$B:$D,3,0),$E796&lt;=VLOOKUP($D796,Merchantability!$B:$E,4,0)),AA796,0)</f>
        <v>#N/A</v>
      </c>
      <c r="AG796" s="104" t="e">
        <f>IF(AND(VLOOKUP($D796,Merchantability!$B:$C,2,0)="Yes",$E796&gt;=VLOOKUP($D796,Merchantability!$B:$D,3,0),$E796&lt;=VLOOKUP($D796,Merchantability!$B:$E,4,0)),AB796,0)</f>
        <v>#N/A</v>
      </c>
      <c r="AH796" s="104" t="e">
        <f>IF(AND(VLOOKUP($D796,Merchantability!$B:$C,2,0)="Yes",$E796&gt;=VLOOKUP($D796,Merchantability!$B:$D,3,0),$E796&lt;=VLOOKUP($D796,Merchantability!$B:$E,4,0)),AC796,0)</f>
        <v>#N/A</v>
      </c>
      <c r="AI796" s="104" t="e">
        <f t="shared" si="357"/>
        <v>#N/A</v>
      </c>
      <c r="AJ796" s="104" t="e">
        <f t="shared" si="358"/>
        <v>#VALUE!</v>
      </c>
      <c r="AK796" s="104" t="e">
        <f t="shared" si="359"/>
        <v>#N/A</v>
      </c>
      <c r="AL796" s="104" t="e">
        <f t="shared" si="360"/>
        <v>#N/A</v>
      </c>
      <c r="AM796" s="104" t="e">
        <f t="shared" si="361"/>
        <v>#N/A</v>
      </c>
      <c r="AN796" s="104" t="e">
        <f t="shared" si="372"/>
        <v>#N/A</v>
      </c>
      <c r="AO796" s="104" t="e">
        <f t="shared" si="373"/>
        <v>#N/A</v>
      </c>
      <c r="AP796" s="104" t="e">
        <f t="shared" si="374"/>
        <v>#N/A</v>
      </c>
      <c r="AQ796" s="104" t="e">
        <f t="shared" si="375"/>
        <v>#N/A</v>
      </c>
      <c r="AR796" s="105" t="str">
        <f t="shared" si="367"/>
        <v/>
      </c>
      <c r="AS796" s="105" t="str">
        <f t="shared" si="368"/>
        <v/>
      </c>
      <c r="AT796" s="108" t="str">
        <f t="shared" si="369"/>
        <v/>
      </c>
      <c r="AU796" s="108" t="str">
        <f t="shared" si="370"/>
        <v/>
      </c>
      <c r="AV796" s="107" t="str">
        <f>IF(ISNUMBER(O796),IF(VLOOKUP($A796,Stand!C:J,8,FALSE)="Short",AT796,AU796),"")</f>
        <v/>
      </c>
      <c r="AW796" s="109" t="str">
        <f t="shared" si="376"/>
        <v/>
      </c>
      <c r="AX796" s="109" t="str">
        <f t="shared" si="377"/>
        <v/>
      </c>
      <c r="AY796" s="112" t="str">
        <f>IF(ISNUMBER(O796),IF(AND(VLOOKUP($D796,Merchantability!$B:$C,2,0)="Yes",$E796&gt;=VLOOKUP($D796,Merchantability!$B:$D,3,0),$E796&lt;=VLOOKUP($D796,Merchantability!$B:$E,4,0)),(AV796*O796)*(1-$H796/100),""),"")</f>
        <v/>
      </c>
      <c r="AZ796" s="116"/>
      <c r="BA796" s="116"/>
      <c r="BB796" s="116"/>
      <c r="BE796" s="62"/>
      <c r="BF796" s="63"/>
    </row>
    <row r="797" spans="1:58" ht="12.75" customHeight="1" x14ac:dyDescent="0.25">
      <c r="A797" s="313"/>
      <c r="B797" s="328"/>
      <c r="C797" s="329"/>
      <c r="D797" s="328"/>
      <c r="E797" s="330"/>
      <c r="F797" s="328"/>
      <c r="G797" s="329"/>
      <c r="H797" s="329"/>
      <c r="I797" s="328"/>
      <c r="J797" s="383"/>
      <c r="K797" s="329"/>
      <c r="L797" s="329"/>
      <c r="M797" s="76"/>
      <c r="N797" s="103" t="str">
        <f>IF(A797="","",VLOOKUP(A797,Stand!C:K,9,0))</f>
        <v/>
      </c>
      <c r="O797" s="104" t="str">
        <f t="shared" si="362"/>
        <v/>
      </c>
      <c r="P797" s="105" t="str">
        <f t="shared" si="363"/>
        <v/>
      </c>
      <c r="Q797" s="105" t="str">
        <f t="shared" ref="Q797:Q860" si="378">IF(AND(ISNUMBER(O797),I797&gt;0),I797*O797,"")</f>
        <v/>
      </c>
      <c r="R797" s="103" t="str">
        <f t="shared" si="364"/>
        <v/>
      </c>
      <c r="S797" s="103" t="str">
        <f t="shared" si="365"/>
        <v/>
      </c>
      <c r="T797" s="106" t="str">
        <f t="shared" ref="T797:T860" si="379">IF(AND(ISNUMBER(O797),J797&gt;0),J797/100,"")</f>
        <v/>
      </c>
      <c r="U797" s="106" t="str">
        <f t="shared" ref="U797:U860" si="380">IF(AND(ISNUMBER(O797),J797&gt;0),T797*O797,"")</f>
        <v/>
      </c>
      <c r="V797" s="106" t="str">
        <f t="shared" ref="V797:V860" si="381">IF(AND(ISNUMBER(O797),I797&gt;0),W797*O797,"")</f>
        <v/>
      </c>
      <c r="W797" s="105" t="str">
        <f t="shared" si="366"/>
        <v/>
      </c>
      <c r="X797" s="104" t="str">
        <f t="shared" si="371"/>
        <v/>
      </c>
      <c r="Y797" s="104" t="str">
        <f t="array" ref="Y797">IFERROR(IF(ISNUMBER(O797),IF(COUNT(IF(A797=$A$2:$A$2427,IF(D797=$D$2:$D$2427,IF($X$2:$X$2427&gt;0,1))))&gt;0,SUM(IF(A797=$A$2:$A$2427,IF(D797=$D$2:$D$2427,$X$2:$X$2427)))/COUNT(IF(A797=$A$2:$A$2427,IF(D797=$D$2:$D$2427,IF(ISNUMBER($X$2:$X$2427),1)))),0),""),0)</f>
        <v/>
      </c>
      <c r="Z797" s="104" t="str">
        <f>IF(ISNUMBER(O797),IF(I797&gt;0,(10^(VLOOKUP(D797,'Species Codes'!B:C,2,0)+VLOOKUP(D797,'Species Codes'!B:D,3,0)*LOG(E797)+VLOOKUP(D797,'Species Codes'!B:E,4,0)*LOG(I797))),0),"")</f>
        <v/>
      </c>
      <c r="AA797" s="104" t="str">
        <f>IFERROR((VLOOKUP(D797,'Species Codes'!B:G,6,0)*Z797)/2000,"")</f>
        <v/>
      </c>
      <c r="AB797" s="104" t="e">
        <f>IF(Z797&gt;0,((IF(OR(D797="DF",D797="RA")=TRUE,EXP(VLOOKUP(D797,'Species Codes'!B:I,8,0)+VLOOKUP(D797,'Species Codes'!B:J,9,0)*(LN((E797*2.54)))),IF(OR(D797="PY",D797="RC",D797="WH",D797="NF")=TRUE,VLOOKUP(D797,'Species Codes'!B:I,8,0)+VLOOKUP(D797,'Species Codes'!B:J,9,0)*((E797*2.54)^2)*(I797*0.3048),IF(OR(D797="MD",D797="BM",D797="GA")=TRUE,((VLOOKUP(D797,'Species Codes'!B:I,8,0)*(((((E797*2.54)+VLOOKUP(D797,'Species Codes'!B:J,9,0))/VLOOKUP(D797,'Species Codes'!B:K,10,0))^VLOOKUP(D797,'Species Codes'!B:L,11,0))*((I797*0.3048)^VLOOKUP(D797,'Species Codes'!B:M,12,0))))-(VLOOKUP(D797,'Species Codes'!B:I,8,0)*((((E797*2.54)^VLOOKUP(D797,'Species Codes'!B:L,11,0))*((I797*0.3048)^VLOOKUP(D797,'Species Codes'!B:M,12,0))))))*35.3*VLOOKUP(D797,'Species Codes'!B:G,6,0)/2.2046,VLOOKUP(D797,'Species Codes'!B:I,8,0)+VLOOKUP(D797,'Species Codes'!B:J,9,0)*(((E797*2.54)/100)^2)*(I797*0.3048)))))*0.0011023),0)</f>
        <v>#N/A</v>
      </c>
      <c r="AC797" s="104" t="e">
        <f>IF(Z797&gt;0,((IF(OR(D797="RA",D797="OA",D797="OT",D797="UN",D797="PC"),EXP(VLOOKUP(D797,'Species Codes'!B:O,14,0)+VLOOKUP(D797,'Species Codes'!B:P,15,0)*LN((E797*2.54)))-EXP(VLOOKUP(D797,'Species Codes'!B:O,14,0)+VLOOKUP(D797,'Species Codes'!B:P,15,0)*LN((E797*2.54)))*(1/(VLOOKUP(D797,'Species Codes'!B:Q,16,0)+VLOOKUP(D797,'Species Codes'!B:R,17,0)*((E797*2.54)^VLOOKUP(D797,'Species Codes'!B:S,18,0)))),IF(OR(D797="BM",D797="MD",D797="OA"),EXP(VLOOKUP(D797,'Species Codes'!B:O,14,0)+VLOOKUP(D797,'Species Codes'!B:P,15,0)*LN((E797*2.54)))*(1-(1/(VLOOKUP(D797,'Species Codes'!B:Q,16,0)+VLOOKUP(D797,'Species Codes'!B:R,17,0)*((E797*2.54)^VLOOKUP(D797,'Species Codes'!B:S,18,0)))))/1000,IF(D797="DF",EXP(VLOOKUP(D797,'Species Codes'!B:O,14,0)+VLOOKUP(D797,'Species Codes'!B:P,15,0)*LN((E797*2.54))),VLOOKUP(D797,'Species Codes'!B:O,14,0)+VLOOKUP(D797,'Species Codes'!B:P,15,0)*(((E797*2.54)/100)^2)*(I797*0.3048)))))*0.0011023),0)</f>
        <v>#N/A</v>
      </c>
      <c r="AD797" s="104" t="e">
        <f t="shared" ref="AD797:AD860" si="382">SUM(AA797:AC797)</f>
        <v>#N/A</v>
      </c>
      <c r="AE797" s="104" t="e">
        <f t="shared" ref="AE797:AE860" si="383">AD797*O797</f>
        <v>#N/A</v>
      </c>
      <c r="AF797" s="104" t="e">
        <f>IF(AND(VLOOKUP($D797,Merchantability!$B:$C,2,0)="Yes",$E797&gt;=VLOOKUP($D797,Merchantability!$B:$D,3,0),$E797&lt;=VLOOKUP($D797,Merchantability!$B:$E,4,0)),AA797,0)</f>
        <v>#N/A</v>
      </c>
      <c r="AG797" s="104" t="e">
        <f>IF(AND(VLOOKUP($D797,Merchantability!$B:$C,2,0)="Yes",$E797&gt;=VLOOKUP($D797,Merchantability!$B:$D,3,0),$E797&lt;=VLOOKUP($D797,Merchantability!$B:$E,4,0)),AB797,0)</f>
        <v>#N/A</v>
      </c>
      <c r="AH797" s="104" t="e">
        <f>IF(AND(VLOOKUP($D797,Merchantability!$B:$C,2,0)="Yes",$E797&gt;=VLOOKUP($D797,Merchantability!$B:$D,3,0),$E797&lt;=VLOOKUP($D797,Merchantability!$B:$E,4,0)),AC797,0)</f>
        <v>#N/A</v>
      </c>
      <c r="AI797" s="104" t="e">
        <f t="shared" ref="AI797:AI860" si="384">SUM(AF797:AH797)</f>
        <v>#N/A</v>
      </c>
      <c r="AJ797" s="104" t="e">
        <f t="shared" ref="AJ797:AJ860" si="385">AA797*$O797</f>
        <v>#VALUE!</v>
      </c>
      <c r="AK797" s="104" t="e">
        <f t="shared" ref="AK797:AK860" si="386">AB797*$O797</f>
        <v>#N/A</v>
      </c>
      <c r="AL797" s="104" t="e">
        <f t="shared" ref="AL797:AL860" si="387">AC797*$O797</f>
        <v>#N/A</v>
      </c>
      <c r="AM797" s="104" t="e">
        <f t="shared" ref="AM797:AM860" si="388">AD797*$O797</f>
        <v>#N/A</v>
      </c>
      <c r="AN797" s="104" t="e">
        <f t="shared" si="372"/>
        <v>#N/A</v>
      </c>
      <c r="AO797" s="104" t="e">
        <f t="shared" si="373"/>
        <v>#N/A</v>
      </c>
      <c r="AP797" s="104" t="e">
        <f t="shared" si="374"/>
        <v>#N/A</v>
      </c>
      <c r="AQ797" s="104" t="e">
        <f t="shared" si="375"/>
        <v>#N/A</v>
      </c>
      <c r="AR797" s="105" t="str">
        <f t="shared" si="367"/>
        <v/>
      </c>
      <c r="AS797" s="105" t="str">
        <f t="shared" si="368"/>
        <v/>
      </c>
      <c r="AT797" s="108" t="str">
        <f t="shared" si="369"/>
        <v/>
      </c>
      <c r="AU797" s="108" t="str">
        <f t="shared" si="370"/>
        <v/>
      </c>
      <c r="AV797" s="107" t="str">
        <f>IF(ISNUMBER(O797),IF(VLOOKUP($A797,Stand!C:J,8,FALSE)="Short",AT797,AU797),"")</f>
        <v/>
      </c>
      <c r="AW797" s="109" t="str">
        <f t="shared" si="376"/>
        <v/>
      </c>
      <c r="AX797" s="109" t="str">
        <f t="shared" si="377"/>
        <v/>
      </c>
      <c r="AY797" s="112" t="str">
        <f>IF(ISNUMBER(O797),IF(AND(VLOOKUP($D797,Merchantability!$B:$C,2,0)="Yes",$E797&gt;=VLOOKUP($D797,Merchantability!$B:$D,3,0),$E797&lt;=VLOOKUP($D797,Merchantability!$B:$E,4,0)),(AV797*O797)*(1-$H797/100),""),"")</f>
        <v/>
      </c>
      <c r="AZ797" s="116"/>
      <c r="BA797" s="116"/>
      <c r="BB797" s="116"/>
      <c r="BE797" s="62"/>
      <c r="BF797" s="63"/>
    </row>
    <row r="798" spans="1:58" ht="12.75" customHeight="1" x14ac:dyDescent="0.25">
      <c r="A798" s="313"/>
      <c r="B798" s="328"/>
      <c r="C798" s="329"/>
      <c r="D798" s="328"/>
      <c r="E798" s="330"/>
      <c r="F798" s="328"/>
      <c r="G798" s="329"/>
      <c r="H798" s="329"/>
      <c r="I798" s="328"/>
      <c r="J798" s="383"/>
      <c r="K798" s="329"/>
      <c r="L798" s="329"/>
      <c r="M798" s="76"/>
      <c r="N798" s="103" t="str">
        <f>IF(A798="","",VLOOKUP(A798,Stand!C:K,9,0))</f>
        <v/>
      </c>
      <c r="O798" s="104" t="str">
        <f t="shared" si="362"/>
        <v/>
      </c>
      <c r="P798" s="105" t="str">
        <f t="shared" si="363"/>
        <v/>
      </c>
      <c r="Q798" s="105" t="str">
        <f t="shared" si="378"/>
        <v/>
      </c>
      <c r="R798" s="103" t="str">
        <f t="shared" si="364"/>
        <v/>
      </c>
      <c r="S798" s="103" t="str">
        <f t="shared" si="365"/>
        <v/>
      </c>
      <c r="T798" s="106" t="str">
        <f t="shared" si="379"/>
        <v/>
      </c>
      <c r="U798" s="106" t="str">
        <f t="shared" si="380"/>
        <v/>
      </c>
      <c r="V798" s="106" t="str">
        <f t="shared" si="381"/>
        <v/>
      </c>
      <c r="W798" s="105" t="str">
        <f t="shared" si="366"/>
        <v/>
      </c>
      <c r="X798" s="104" t="str">
        <f t="shared" si="371"/>
        <v/>
      </c>
      <c r="Y798" s="104" t="str">
        <f t="array" ref="Y798">IFERROR(IF(ISNUMBER(O798),IF(COUNT(IF(A798=$A$2:$A$2427,IF(D798=$D$2:$D$2427,IF($X$2:$X$2427&gt;0,1))))&gt;0,SUM(IF(A798=$A$2:$A$2427,IF(D798=$D$2:$D$2427,$X$2:$X$2427)))/COUNT(IF(A798=$A$2:$A$2427,IF(D798=$D$2:$D$2427,IF(ISNUMBER($X$2:$X$2427),1)))),0),""),0)</f>
        <v/>
      </c>
      <c r="Z798" s="104" t="str">
        <f>IF(ISNUMBER(O798),IF(I798&gt;0,(10^(VLOOKUP(D798,'Species Codes'!B:C,2,0)+VLOOKUP(D798,'Species Codes'!B:D,3,0)*LOG(E798)+VLOOKUP(D798,'Species Codes'!B:E,4,0)*LOG(I798))),0),"")</f>
        <v/>
      </c>
      <c r="AA798" s="104" t="str">
        <f>IFERROR((VLOOKUP(D798,'Species Codes'!B:G,6,0)*Z798)/2000,"")</f>
        <v/>
      </c>
      <c r="AB798" s="104" t="e">
        <f>IF(Z798&gt;0,((IF(OR(D798="DF",D798="RA")=TRUE,EXP(VLOOKUP(D798,'Species Codes'!B:I,8,0)+VLOOKUP(D798,'Species Codes'!B:J,9,0)*(LN((E798*2.54)))),IF(OR(D798="PY",D798="RC",D798="WH",D798="NF")=TRUE,VLOOKUP(D798,'Species Codes'!B:I,8,0)+VLOOKUP(D798,'Species Codes'!B:J,9,0)*((E798*2.54)^2)*(I798*0.3048),IF(OR(D798="MD",D798="BM",D798="GA")=TRUE,((VLOOKUP(D798,'Species Codes'!B:I,8,0)*(((((E798*2.54)+VLOOKUP(D798,'Species Codes'!B:J,9,0))/VLOOKUP(D798,'Species Codes'!B:K,10,0))^VLOOKUP(D798,'Species Codes'!B:L,11,0))*((I798*0.3048)^VLOOKUP(D798,'Species Codes'!B:M,12,0))))-(VLOOKUP(D798,'Species Codes'!B:I,8,0)*((((E798*2.54)^VLOOKUP(D798,'Species Codes'!B:L,11,0))*((I798*0.3048)^VLOOKUP(D798,'Species Codes'!B:M,12,0))))))*35.3*VLOOKUP(D798,'Species Codes'!B:G,6,0)/2.2046,VLOOKUP(D798,'Species Codes'!B:I,8,0)+VLOOKUP(D798,'Species Codes'!B:J,9,0)*(((E798*2.54)/100)^2)*(I798*0.3048)))))*0.0011023),0)</f>
        <v>#N/A</v>
      </c>
      <c r="AC798" s="104" t="e">
        <f>IF(Z798&gt;0,((IF(OR(D798="RA",D798="OA",D798="OT",D798="UN",D798="PC"),EXP(VLOOKUP(D798,'Species Codes'!B:O,14,0)+VLOOKUP(D798,'Species Codes'!B:P,15,0)*LN((E798*2.54)))-EXP(VLOOKUP(D798,'Species Codes'!B:O,14,0)+VLOOKUP(D798,'Species Codes'!B:P,15,0)*LN((E798*2.54)))*(1/(VLOOKUP(D798,'Species Codes'!B:Q,16,0)+VLOOKUP(D798,'Species Codes'!B:R,17,0)*((E798*2.54)^VLOOKUP(D798,'Species Codes'!B:S,18,0)))),IF(OR(D798="BM",D798="MD",D798="OA"),EXP(VLOOKUP(D798,'Species Codes'!B:O,14,0)+VLOOKUP(D798,'Species Codes'!B:P,15,0)*LN((E798*2.54)))*(1-(1/(VLOOKUP(D798,'Species Codes'!B:Q,16,0)+VLOOKUP(D798,'Species Codes'!B:R,17,0)*((E798*2.54)^VLOOKUP(D798,'Species Codes'!B:S,18,0)))))/1000,IF(D798="DF",EXP(VLOOKUP(D798,'Species Codes'!B:O,14,0)+VLOOKUP(D798,'Species Codes'!B:P,15,0)*LN((E798*2.54))),VLOOKUP(D798,'Species Codes'!B:O,14,0)+VLOOKUP(D798,'Species Codes'!B:P,15,0)*(((E798*2.54)/100)^2)*(I798*0.3048)))))*0.0011023),0)</f>
        <v>#N/A</v>
      </c>
      <c r="AD798" s="104" t="e">
        <f t="shared" si="382"/>
        <v>#N/A</v>
      </c>
      <c r="AE798" s="104" t="e">
        <f t="shared" si="383"/>
        <v>#N/A</v>
      </c>
      <c r="AF798" s="104" t="e">
        <f>IF(AND(VLOOKUP($D798,Merchantability!$B:$C,2,0)="Yes",$E798&gt;=VLOOKUP($D798,Merchantability!$B:$D,3,0),$E798&lt;=VLOOKUP($D798,Merchantability!$B:$E,4,0)),AA798,0)</f>
        <v>#N/A</v>
      </c>
      <c r="AG798" s="104" t="e">
        <f>IF(AND(VLOOKUP($D798,Merchantability!$B:$C,2,0)="Yes",$E798&gt;=VLOOKUP($D798,Merchantability!$B:$D,3,0),$E798&lt;=VLOOKUP($D798,Merchantability!$B:$E,4,0)),AB798,0)</f>
        <v>#N/A</v>
      </c>
      <c r="AH798" s="104" t="e">
        <f>IF(AND(VLOOKUP($D798,Merchantability!$B:$C,2,0)="Yes",$E798&gt;=VLOOKUP($D798,Merchantability!$B:$D,3,0),$E798&lt;=VLOOKUP($D798,Merchantability!$B:$E,4,0)),AC798,0)</f>
        <v>#N/A</v>
      </c>
      <c r="AI798" s="104" t="e">
        <f t="shared" si="384"/>
        <v>#N/A</v>
      </c>
      <c r="AJ798" s="104" t="e">
        <f t="shared" si="385"/>
        <v>#VALUE!</v>
      </c>
      <c r="AK798" s="104" t="e">
        <f t="shared" si="386"/>
        <v>#N/A</v>
      </c>
      <c r="AL798" s="104" t="e">
        <f t="shared" si="387"/>
        <v>#N/A</v>
      </c>
      <c r="AM798" s="104" t="e">
        <f t="shared" si="388"/>
        <v>#N/A</v>
      </c>
      <c r="AN798" s="104" t="e">
        <f t="shared" si="372"/>
        <v>#N/A</v>
      </c>
      <c r="AO798" s="104" t="e">
        <f t="shared" si="373"/>
        <v>#N/A</v>
      </c>
      <c r="AP798" s="104" t="e">
        <f t="shared" si="374"/>
        <v>#N/A</v>
      </c>
      <c r="AQ798" s="104" t="e">
        <f t="shared" si="375"/>
        <v>#N/A</v>
      </c>
      <c r="AR798" s="105" t="str">
        <f t="shared" si="367"/>
        <v/>
      </c>
      <c r="AS798" s="105" t="str">
        <f t="shared" si="368"/>
        <v/>
      </c>
      <c r="AT798" s="108" t="str">
        <f t="shared" si="369"/>
        <v/>
      </c>
      <c r="AU798" s="108" t="str">
        <f t="shared" si="370"/>
        <v/>
      </c>
      <c r="AV798" s="107" t="str">
        <f>IF(ISNUMBER(O798),IF(VLOOKUP($A798,Stand!C:J,8,FALSE)="Short",AT798,AU798),"")</f>
        <v/>
      </c>
      <c r="AW798" s="109" t="str">
        <f t="shared" si="376"/>
        <v/>
      </c>
      <c r="AX798" s="109" t="str">
        <f t="shared" si="377"/>
        <v/>
      </c>
      <c r="AY798" s="112" t="str">
        <f>IF(ISNUMBER(O798),IF(AND(VLOOKUP($D798,Merchantability!$B:$C,2,0)="Yes",$E798&gt;=VLOOKUP($D798,Merchantability!$B:$D,3,0),$E798&lt;=VLOOKUP($D798,Merchantability!$B:$E,4,0)),(AV798*O798)*(1-$H798/100),""),"")</f>
        <v/>
      </c>
      <c r="AZ798" s="116"/>
      <c r="BA798" s="116"/>
      <c r="BB798" s="116"/>
      <c r="BE798" s="62"/>
      <c r="BF798" s="63"/>
    </row>
    <row r="799" spans="1:58" ht="12.75" customHeight="1" x14ac:dyDescent="0.25">
      <c r="A799" s="313"/>
      <c r="B799" s="328"/>
      <c r="C799" s="329"/>
      <c r="D799" s="328"/>
      <c r="E799" s="330"/>
      <c r="F799" s="328"/>
      <c r="G799" s="329"/>
      <c r="H799" s="329"/>
      <c r="I799" s="328"/>
      <c r="J799" s="383"/>
      <c r="K799" s="329"/>
      <c r="L799" s="329"/>
      <c r="M799" s="76"/>
      <c r="N799" s="103" t="str">
        <f>IF(A799="","",VLOOKUP(A799,Stand!C:K,9,0))</f>
        <v/>
      </c>
      <c r="O799" s="104" t="str">
        <f t="shared" si="362"/>
        <v/>
      </c>
      <c r="P799" s="105" t="str">
        <f t="shared" si="363"/>
        <v/>
      </c>
      <c r="Q799" s="105" t="str">
        <f t="shared" si="378"/>
        <v/>
      </c>
      <c r="R799" s="103" t="str">
        <f t="shared" si="364"/>
        <v/>
      </c>
      <c r="S799" s="103" t="str">
        <f t="shared" si="365"/>
        <v/>
      </c>
      <c r="T799" s="106" t="str">
        <f t="shared" si="379"/>
        <v/>
      </c>
      <c r="U799" s="106" t="str">
        <f t="shared" si="380"/>
        <v/>
      </c>
      <c r="V799" s="106" t="str">
        <f t="shared" si="381"/>
        <v/>
      </c>
      <c r="W799" s="105" t="str">
        <f t="shared" si="366"/>
        <v/>
      </c>
      <c r="X799" s="104" t="str">
        <f t="shared" si="371"/>
        <v/>
      </c>
      <c r="Y799" s="104" t="str">
        <f t="array" ref="Y799">IFERROR(IF(ISNUMBER(O799),IF(COUNT(IF(A799=$A$2:$A$2427,IF(D799=$D$2:$D$2427,IF($X$2:$X$2427&gt;0,1))))&gt;0,SUM(IF(A799=$A$2:$A$2427,IF(D799=$D$2:$D$2427,$X$2:$X$2427)))/COUNT(IF(A799=$A$2:$A$2427,IF(D799=$D$2:$D$2427,IF(ISNUMBER($X$2:$X$2427),1)))),0),""),0)</f>
        <v/>
      </c>
      <c r="Z799" s="104" t="str">
        <f>IF(ISNUMBER(O799),IF(I799&gt;0,(10^(VLOOKUP(D799,'Species Codes'!B:C,2,0)+VLOOKUP(D799,'Species Codes'!B:D,3,0)*LOG(E799)+VLOOKUP(D799,'Species Codes'!B:E,4,0)*LOG(I799))),0),"")</f>
        <v/>
      </c>
      <c r="AA799" s="104" t="str">
        <f>IFERROR((VLOOKUP(D799,'Species Codes'!B:G,6,0)*Z799)/2000,"")</f>
        <v/>
      </c>
      <c r="AB799" s="104" t="e">
        <f>IF(Z799&gt;0,((IF(OR(D799="DF",D799="RA")=TRUE,EXP(VLOOKUP(D799,'Species Codes'!B:I,8,0)+VLOOKUP(D799,'Species Codes'!B:J,9,0)*(LN((E799*2.54)))),IF(OR(D799="PY",D799="RC",D799="WH",D799="NF")=TRUE,VLOOKUP(D799,'Species Codes'!B:I,8,0)+VLOOKUP(D799,'Species Codes'!B:J,9,0)*((E799*2.54)^2)*(I799*0.3048),IF(OR(D799="MD",D799="BM",D799="GA")=TRUE,((VLOOKUP(D799,'Species Codes'!B:I,8,0)*(((((E799*2.54)+VLOOKUP(D799,'Species Codes'!B:J,9,0))/VLOOKUP(D799,'Species Codes'!B:K,10,0))^VLOOKUP(D799,'Species Codes'!B:L,11,0))*((I799*0.3048)^VLOOKUP(D799,'Species Codes'!B:M,12,0))))-(VLOOKUP(D799,'Species Codes'!B:I,8,0)*((((E799*2.54)^VLOOKUP(D799,'Species Codes'!B:L,11,0))*((I799*0.3048)^VLOOKUP(D799,'Species Codes'!B:M,12,0))))))*35.3*VLOOKUP(D799,'Species Codes'!B:G,6,0)/2.2046,VLOOKUP(D799,'Species Codes'!B:I,8,0)+VLOOKUP(D799,'Species Codes'!B:J,9,0)*(((E799*2.54)/100)^2)*(I799*0.3048)))))*0.0011023),0)</f>
        <v>#N/A</v>
      </c>
      <c r="AC799" s="104" t="e">
        <f>IF(Z799&gt;0,((IF(OR(D799="RA",D799="OA",D799="OT",D799="UN",D799="PC"),EXP(VLOOKUP(D799,'Species Codes'!B:O,14,0)+VLOOKUP(D799,'Species Codes'!B:P,15,0)*LN((E799*2.54)))-EXP(VLOOKUP(D799,'Species Codes'!B:O,14,0)+VLOOKUP(D799,'Species Codes'!B:P,15,0)*LN((E799*2.54)))*(1/(VLOOKUP(D799,'Species Codes'!B:Q,16,0)+VLOOKUP(D799,'Species Codes'!B:R,17,0)*((E799*2.54)^VLOOKUP(D799,'Species Codes'!B:S,18,0)))),IF(OR(D799="BM",D799="MD",D799="OA"),EXP(VLOOKUP(D799,'Species Codes'!B:O,14,0)+VLOOKUP(D799,'Species Codes'!B:P,15,0)*LN((E799*2.54)))*(1-(1/(VLOOKUP(D799,'Species Codes'!B:Q,16,0)+VLOOKUP(D799,'Species Codes'!B:R,17,0)*((E799*2.54)^VLOOKUP(D799,'Species Codes'!B:S,18,0)))))/1000,IF(D799="DF",EXP(VLOOKUP(D799,'Species Codes'!B:O,14,0)+VLOOKUP(D799,'Species Codes'!B:P,15,0)*LN((E799*2.54))),VLOOKUP(D799,'Species Codes'!B:O,14,0)+VLOOKUP(D799,'Species Codes'!B:P,15,0)*(((E799*2.54)/100)^2)*(I799*0.3048)))))*0.0011023),0)</f>
        <v>#N/A</v>
      </c>
      <c r="AD799" s="104" t="e">
        <f t="shared" si="382"/>
        <v>#N/A</v>
      </c>
      <c r="AE799" s="104" t="e">
        <f t="shared" si="383"/>
        <v>#N/A</v>
      </c>
      <c r="AF799" s="104" t="e">
        <f>IF(AND(VLOOKUP($D799,Merchantability!$B:$C,2,0)="Yes",$E799&gt;=VLOOKUP($D799,Merchantability!$B:$D,3,0),$E799&lt;=VLOOKUP($D799,Merchantability!$B:$E,4,0)),AA799,0)</f>
        <v>#N/A</v>
      </c>
      <c r="AG799" s="104" t="e">
        <f>IF(AND(VLOOKUP($D799,Merchantability!$B:$C,2,0)="Yes",$E799&gt;=VLOOKUP($D799,Merchantability!$B:$D,3,0),$E799&lt;=VLOOKUP($D799,Merchantability!$B:$E,4,0)),AB799,0)</f>
        <v>#N/A</v>
      </c>
      <c r="AH799" s="104" t="e">
        <f>IF(AND(VLOOKUP($D799,Merchantability!$B:$C,2,0)="Yes",$E799&gt;=VLOOKUP($D799,Merchantability!$B:$D,3,0),$E799&lt;=VLOOKUP($D799,Merchantability!$B:$E,4,0)),AC799,0)</f>
        <v>#N/A</v>
      </c>
      <c r="AI799" s="104" t="e">
        <f t="shared" si="384"/>
        <v>#N/A</v>
      </c>
      <c r="AJ799" s="104" t="e">
        <f t="shared" si="385"/>
        <v>#VALUE!</v>
      </c>
      <c r="AK799" s="104" t="e">
        <f t="shared" si="386"/>
        <v>#N/A</v>
      </c>
      <c r="AL799" s="104" t="e">
        <f t="shared" si="387"/>
        <v>#N/A</v>
      </c>
      <c r="AM799" s="104" t="e">
        <f t="shared" si="388"/>
        <v>#N/A</v>
      </c>
      <c r="AN799" s="104" t="e">
        <f t="shared" si="372"/>
        <v>#N/A</v>
      </c>
      <c r="AO799" s="104" t="e">
        <f t="shared" si="373"/>
        <v>#N/A</v>
      </c>
      <c r="AP799" s="104" t="e">
        <f t="shared" si="374"/>
        <v>#N/A</v>
      </c>
      <c r="AQ799" s="104" t="e">
        <f t="shared" si="375"/>
        <v>#N/A</v>
      </c>
      <c r="AR799" s="105" t="str">
        <f t="shared" si="367"/>
        <v/>
      </c>
      <c r="AS799" s="105" t="str">
        <f t="shared" si="368"/>
        <v/>
      </c>
      <c r="AT799" s="108" t="str">
        <f t="shared" si="369"/>
        <v/>
      </c>
      <c r="AU799" s="108" t="str">
        <f t="shared" si="370"/>
        <v/>
      </c>
      <c r="AV799" s="107" t="str">
        <f>IF(ISNUMBER(O799),IF(VLOOKUP($A799,Stand!C:J,8,FALSE)="Short",AT799,AU799),"")</f>
        <v/>
      </c>
      <c r="AW799" s="109" t="str">
        <f t="shared" si="376"/>
        <v/>
      </c>
      <c r="AX799" s="109" t="str">
        <f t="shared" si="377"/>
        <v/>
      </c>
      <c r="AY799" s="112" t="str">
        <f>IF(ISNUMBER(O799),IF(AND(VLOOKUP($D799,Merchantability!$B:$C,2,0)="Yes",$E799&gt;=VLOOKUP($D799,Merchantability!$B:$D,3,0),$E799&lt;=VLOOKUP($D799,Merchantability!$B:$E,4,0)),(AV799*O799)*(1-$H799/100),""),"")</f>
        <v/>
      </c>
      <c r="AZ799" s="116"/>
      <c r="BA799" s="116"/>
      <c r="BB799" s="116"/>
      <c r="BE799" s="62"/>
      <c r="BF799" s="63"/>
    </row>
    <row r="800" spans="1:58" ht="12.75" customHeight="1" x14ac:dyDescent="0.25">
      <c r="A800" s="313"/>
      <c r="B800" s="328"/>
      <c r="C800" s="329"/>
      <c r="D800" s="328"/>
      <c r="E800" s="330"/>
      <c r="F800" s="328"/>
      <c r="G800" s="329"/>
      <c r="H800" s="329"/>
      <c r="I800" s="328"/>
      <c r="J800" s="383"/>
      <c r="K800" s="329"/>
      <c r="L800" s="329"/>
      <c r="M800" s="76"/>
      <c r="N800" s="103" t="str">
        <f>IF(A800="","",VLOOKUP(A800,Stand!C:K,9,0))</f>
        <v/>
      </c>
      <c r="O800" s="104" t="str">
        <f t="shared" si="362"/>
        <v/>
      </c>
      <c r="P800" s="105" t="str">
        <f t="shared" si="363"/>
        <v/>
      </c>
      <c r="Q800" s="105" t="str">
        <f t="shared" si="378"/>
        <v/>
      </c>
      <c r="R800" s="103" t="str">
        <f t="shared" si="364"/>
        <v/>
      </c>
      <c r="S800" s="103" t="str">
        <f t="shared" si="365"/>
        <v/>
      </c>
      <c r="T800" s="106" t="str">
        <f t="shared" si="379"/>
        <v/>
      </c>
      <c r="U800" s="106" t="str">
        <f t="shared" si="380"/>
        <v/>
      </c>
      <c r="V800" s="106" t="str">
        <f t="shared" si="381"/>
        <v/>
      </c>
      <c r="W800" s="105" t="str">
        <f t="shared" si="366"/>
        <v/>
      </c>
      <c r="X800" s="104" t="str">
        <f t="shared" si="371"/>
        <v/>
      </c>
      <c r="Y800" s="104" t="str">
        <f t="array" ref="Y800">IFERROR(IF(ISNUMBER(O800),IF(COUNT(IF(A800=$A$2:$A$2427,IF(D800=$D$2:$D$2427,IF($X$2:$X$2427&gt;0,1))))&gt;0,SUM(IF(A800=$A$2:$A$2427,IF(D800=$D$2:$D$2427,$X$2:$X$2427)))/COUNT(IF(A800=$A$2:$A$2427,IF(D800=$D$2:$D$2427,IF(ISNUMBER($X$2:$X$2427),1)))),0),""),0)</f>
        <v/>
      </c>
      <c r="Z800" s="104" t="str">
        <f>IF(ISNUMBER(O800),IF(I800&gt;0,(10^(VLOOKUP(D800,'Species Codes'!B:C,2,0)+VLOOKUP(D800,'Species Codes'!B:D,3,0)*LOG(E800)+VLOOKUP(D800,'Species Codes'!B:E,4,0)*LOG(I800))),0),"")</f>
        <v/>
      </c>
      <c r="AA800" s="104" t="str">
        <f>IFERROR((VLOOKUP(D800,'Species Codes'!B:G,6,0)*Z800)/2000,"")</f>
        <v/>
      </c>
      <c r="AB800" s="104" t="e">
        <f>IF(Z800&gt;0,((IF(OR(D800="DF",D800="RA")=TRUE,EXP(VLOOKUP(D800,'Species Codes'!B:I,8,0)+VLOOKUP(D800,'Species Codes'!B:J,9,0)*(LN((E800*2.54)))),IF(OR(D800="PY",D800="RC",D800="WH",D800="NF")=TRUE,VLOOKUP(D800,'Species Codes'!B:I,8,0)+VLOOKUP(D800,'Species Codes'!B:J,9,0)*((E800*2.54)^2)*(I800*0.3048),IF(OR(D800="MD",D800="BM",D800="GA")=TRUE,((VLOOKUP(D800,'Species Codes'!B:I,8,0)*(((((E800*2.54)+VLOOKUP(D800,'Species Codes'!B:J,9,0))/VLOOKUP(D800,'Species Codes'!B:K,10,0))^VLOOKUP(D800,'Species Codes'!B:L,11,0))*((I800*0.3048)^VLOOKUP(D800,'Species Codes'!B:M,12,0))))-(VLOOKUP(D800,'Species Codes'!B:I,8,0)*((((E800*2.54)^VLOOKUP(D800,'Species Codes'!B:L,11,0))*((I800*0.3048)^VLOOKUP(D800,'Species Codes'!B:M,12,0))))))*35.3*VLOOKUP(D800,'Species Codes'!B:G,6,0)/2.2046,VLOOKUP(D800,'Species Codes'!B:I,8,0)+VLOOKUP(D800,'Species Codes'!B:J,9,0)*(((E800*2.54)/100)^2)*(I800*0.3048)))))*0.0011023),0)</f>
        <v>#N/A</v>
      </c>
      <c r="AC800" s="104" t="e">
        <f>IF(Z800&gt;0,((IF(OR(D800="RA",D800="OA",D800="OT",D800="UN",D800="PC"),EXP(VLOOKUP(D800,'Species Codes'!B:O,14,0)+VLOOKUP(D800,'Species Codes'!B:P,15,0)*LN((E800*2.54)))-EXP(VLOOKUP(D800,'Species Codes'!B:O,14,0)+VLOOKUP(D800,'Species Codes'!B:P,15,0)*LN((E800*2.54)))*(1/(VLOOKUP(D800,'Species Codes'!B:Q,16,0)+VLOOKUP(D800,'Species Codes'!B:R,17,0)*((E800*2.54)^VLOOKUP(D800,'Species Codes'!B:S,18,0)))),IF(OR(D800="BM",D800="MD",D800="OA"),EXP(VLOOKUP(D800,'Species Codes'!B:O,14,0)+VLOOKUP(D800,'Species Codes'!B:P,15,0)*LN((E800*2.54)))*(1-(1/(VLOOKUP(D800,'Species Codes'!B:Q,16,0)+VLOOKUP(D800,'Species Codes'!B:R,17,0)*((E800*2.54)^VLOOKUP(D800,'Species Codes'!B:S,18,0)))))/1000,IF(D800="DF",EXP(VLOOKUP(D800,'Species Codes'!B:O,14,0)+VLOOKUP(D800,'Species Codes'!B:P,15,0)*LN((E800*2.54))),VLOOKUP(D800,'Species Codes'!B:O,14,0)+VLOOKUP(D800,'Species Codes'!B:P,15,0)*(((E800*2.54)/100)^2)*(I800*0.3048)))))*0.0011023),0)</f>
        <v>#N/A</v>
      </c>
      <c r="AD800" s="104" t="e">
        <f t="shared" si="382"/>
        <v>#N/A</v>
      </c>
      <c r="AE800" s="104" t="e">
        <f t="shared" si="383"/>
        <v>#N/A</v>
      </c>
      <c r="AF800" s="104" t="e">
        <f>IF(AND(VLOOKUP($D800,Merchantability!$B:$C,2,0)="Yes",$E800&gt;=VLOOKUP($D800,Merchantability!$B:$D,3,0),$E800&lt;=VLOOKUP($D800,Merchantability!$B:$E,4,0)),AA800,0)</f>
        <v>#N/A</v>
      </c>
      <c r="AG800" s="104" t="e">
        <f>IF(AND(VLOOKUP($D800,Merchantability!$B:$C,2,0)="Yes",$E800&gt;=VLOOKUP($D800,Merchantability!$B:$D,3,0),$E800&lt;=VLOOKUP($D800,Merchantability!$B:$E,4,0)),AB800,0)</f>
        <v>#N/A</v>
      </c>
      <c r="AH800" s="104" t="e">
        <f>IF(AND(VLOOKUP($D800,Merchantability!$B:$C,2,0)="Yes",$E800&gt;=VLOOKUP($D800,Merchantability!$B:$D,3,0),$E800&lt;=VLOOKUP($D800,Merchantability!$B:$E,4,0)),AC800,0)</f>
        <v>#N/A</v>
      </c>
      <c r="AI800" s="104" t="e">
        <f t="shared" si="384"/>
        <v>#N/A</v>
      </c>
      <c r="AJ800" s="104" t="e">
        <f t="shared" si="385"/>
        <v>#VALUE!</v>
      </c>
      <c r="AK800" s="104" t="e">
        <f t="shared" si="386"/>
        <v>#N/A</v>
      </c>
      <c r="AL800" s="104" t="e">
        <f t="shared" si="387"/>
        <v>#N/A</v>
      </c>
      <c r="AM800" s="104" t="e">
        <f t="shared" si="388"/>
        <v>#N/A</v>
      </c>
      <c r="AN800" s="104" t="e">
        <f t="shared" si="372"/>
        <v>#N/A</v>
      </c>
      <c r="AO800" s="104" t="e">
        <f t="shared" si="373"/>
        <v>#N/A</v>
      </c>
      <c r="AP800" s="104" t="e">
        <f t="shared" si="374"/>
        <v>#N/A</v>
      </c>
      <c r="AQ800" s="104" t="e">
        <f t="shared" si="375"/>
        <v>#N/A</v>
      </c>
      <c r="AR800" s="105" t="str">
        <f t="shared" si="367"/>
        <v/>
      </c>
      <c r="AS800" s="105" t="str">
        <f t="shared" si="368"/>
        <v/>
      </c>
      <c r="AT800" s="108" t="str">
        <f t="shared" si="369"/>
        <v/>
      </c>
      <c r="AU800" s="108" t="str">
        <f t="shared" si="370"/>
        <v/>
      </c>
      <c r="AV800" s="107" t="str">
        <f>IF(ISNUMBER(O800),IF(VLOOKUP($A800,Stand!C:J,8,FALSE)="Short",AT800,AU800),"")</f>
        <v/>
      </c>
      <c r="AW800" s="109" t="str">
        <f t="shared" si="376"/>
        <v/>
      </c>
      <c r="AX800" s="109" t="str">
        <f t="shared" si="377"/>
        <v/>
      </c>
      <c r="AY800" s="112" t="str">
        <f>IF(ISNUMBER(O800),IF(AND(VLOOKUP($D800,Merchantability!$B:$C,2,0)="Yes",$E800&gt;=VLOOKUP($D800,Merchantability!$B:$D,3,0),$E800&lt;=VLOOKUP($D800,Merchantability!$B:$E,4,0)),(AV800*O800)*(1-$H800/100),""),"")</f>
        <v/>
      </c>
      <c r="AZ800" s="116"/>
      <c r="BA800" s="116"/>
      <c r="BB800" s="116"/>
      <c r="BE800" s="62"/>
      <c r="BF800" s="63"/>
    </row>
    <row r="801" spans="1:58" ht="12.75" customHeight="1" x14ac:dyDescent="0.25">
      <c r="A801" s="313"/>
      <c r="B801" s="328"/>
      <c r="C801" s="329"/>
      <c r="D801" s="328"/>
      <c r="E801" s="330"/>
      <c r="F801" s="328"/>
      <c r="G801" s="329"/>
      <c r="H801" s="329"/>
      <c r="I801" s="328"/>
      <c r="J801" s="383"/>
      <c r="K801" s="329"/>
      <c r="L801" s="329"/>
      <c r="M801" s="76"/>
      <c r="N801" s="103" t="str">
        <f>IF(A801="","",VLOOKUP(A801,Stand!C:K,9,0))</f>
        <v/>
      </c>
      <c r="O801" s="104" t="str">
        <f t="shared" si="362"/>
        <v/>
      </c>
      <c r="P801" s="105" t="str">
        <f t="shared" si="363"/>
        <v/>
      </c>
      <c r="Q801" s="105" t="str">
        <f t="shared" si="378"/>
        <v/>
      </c>
      <c r="R801" s="103" t="str">
        <f t="shared" si="364"/>
        <v/>
      </c>
      <c r="S801" s="103" t="str">
        <f t="shared" si="365"/>
        <v/>
      </c>
      <c r="T801" s="106" t="str">
        <f t="shared" si="379"/>
        <v/>
      </c>
      <c r="U801" s="106" t="str">
        <f t="shared" si="380"/>
        <v/>
      </c>
      <c r="V801" s="106" t="str">
        <f t="shared" si="381"/>
        <v/>
      </c>
      <c r="W801" s="105" t="str">
        <f t="shared" si="366"/>
        <v/>
      </c>
      <c r="X801" s="104" t="str">
        <f t="shared" si="371"/>
        <v/>
      </c>
      <c r="Y801" s="104" t="str">
        <f t="array" ref="Y801">IFERROR(IF(ISNUMBER(O801),IF(COUNT(IF(A801=$A$2:$A$2427,IF(D801=$D$2:$D$2427,IF($X$2:$X$2427&gt;0,1))))&gt;0,SUM(IF(A801=$A$2:$A$2427,IF(D801=$D$2:$D$2427,$X$2:$X$2427)))/COUNT(IF(A801=$A$2:$A$2427,IF(D801=$D$2:$D$2427,IF(ISNUMBER($X$2:$X$2427),1)))),0),""),0)</f>
        <v/>
      </c>
      <c r="Z801" s="104" t="str">
        <f>IF(ISNUMBER(O801),IF(I801&gt;0,(10^(VLOOKUP(D801,'Species Codes'!B:C,2,0)+VLOOKUP(D801,'Species Codes'!B:D,3,0)*LOG(E801)+VLOOKUP(D801,'Species Codes'!B:E,4,0)*LOG(I801))),0),"")</f>
        <v/>
      </c>
      <c r="AA801" s="104" t="str">
        <f>IFERROR((VLOOKUP(D801,'Species Codes'!B:G,6,0)*Z801)/2000,"")</f>
        <v/>
      </c>
      <c r="AB801" s="104" t="e">
        <f>IF(Z801&gt;0,((IF(OR(D801="DF",D801="RA")=TRUE,EXP(VLOOKUP(D801,'Species Codes'!B:I,8,0)+VLOOKUP(D801,'Species Codes'!B:J,9,0)*(LN((E801*2.54)))),IF(OR(D801="PY",D801="RC",D801="WH",D801="NF")=TRUE,VLOOKUP(D801,'Species Codes'!B:I,8,0)+VLOOKUP(D801,'Species Codes'!B:J,9,0)*((E801*2.54)^2)*(I801*0.3048),IF(OR(D801="MD",D801="BM",D801="GA")=TRUE,((VLOOKUP(D801,'Species Codes'!B:I,8,0)*(((((E801*2.54)+VLOOKUP(D801,'Species Codes'!B:J,9,0))/VLOOKUP(D801,'Species Codes'!B:K,10,0))^VLOOKUP(D801,'Species Codes'!B:L,11,0))*((I801*0.3048)^VLOOKUP(D801,'Species Codes'!B:M,12,0))))-(VLOOKUP(D801,'Species Codes'!B:I,8,0)*((((E801*2.54)^VLOOKUP(D801,'Species Codes'!B:L,11,0))*((I801*0.3048)^VLOOKUP(D801,'Species Codes'!B:M,12,0))))))*35.3*VLOOKUP(D801,'Species Codes'!B:G,6,0)/2.2046,VLOOKUP(D801,'Species Codes'!B:I,8,0)+VLOOKUP(D801,'Species Codes'!B:J,9,0)*(((E801*2.54)/100)^2)*(I801*0.3048)))))*0.0011023),0)</f>
        <v>#N/A</v>
      </c>
      <c r="AC801" s="104" t="e">
        <f>IF(Z801&gt;0,((IF(OR(D801="RA",D801="OA",D801="OT",D801="UN",D801="PC"),EXP(VLOOKUP(D801,'Species Codes'!B:O,14,0)+VLOOKUP(D801,'Species Codes'!B:P,15,0)*LN((E801*2.54)))-EXP(VLOOKUP(D801,'Species Codes'!B:O,14,0)+VLOOKUP(D801,'Species Codes'!B:P,15,0)*LN((E801*2.54)))*(1/(VLOOKUP(D801,'Species Codes'!B:Q,16,0)+VLOOKUP(D801,'Species Codes'!B:R,17,0)*((E801*2.54)^VLOOKUP(D801,'Species Codes'!B:S,18,0)))),IF(OR(D801="BM",D801="MD",D801="OA"),EXP(VLOOKUP(D801,'Species Codes'!B:O,14,0)+VLOOKUP(D801,'Species Codes'!B:P,15,0)*LN((E801*2.54)))*(1-(1/(VLOOKUP(D801,'Species Codes'!B:Q,16,0)+VLOOKUP(D801,'Species Codes'!B:R,17,0)*((E801*2.54)^VLOOKUP(D801,'Species Codes'!B:S,18,0)))))/1000,IF(D801="DF",EXP(VLOOKUP(D801,'Species Codes'!B:O,14,0)+VLOOKUP(D801,'Species Codes'!B:P,15,0)*LN((E801*2.54))),VLOOKUP(D801,'Species Codes'!B:O,14,0)+VLOOKUP(D801,'Species Codes'!B:P,15,0)*(((E801*2.54)/100)^2)*(I801*0.3048)))))*0.0011023),0)</f>
        <v>#N/A</v>
      </c>
      <c r="AD801" s="104" t="e">
        <f t="shared" si="382"/>
        <v>#N/A</v>
      </c>
      <c r="AE801" s="104" t="e">
        <f t="shared" si="383"/>
        <v>#N/A</v>
      </c>
      <c r="AF801" s="104" t="e">
        <f>IF(AND(VLOOKUP($D801,Merchantability!$B:$C,2,0)="Yes",$E801&gt;=VLOOKUP($D801,Merchantability!$B:$D,3,0),$E801&lt;=VLOOKUP($D801,Merchantability!$B:$E,4,0)),AA801,0)</f>
        <v>#N/A</v>
      </c>
      <c r="AG801" s="104" t="e">
        <f>IF(AND(VLOOKUP($D801,Merchantability!$B:$C,2,0)="Yes",$E801&gt;=VLOOKUP($D801,Merchantability!$B:$D,3,0),$E801&lt;=VLOOKUP($D801,Merchantability!$B:$E,4,0)),AB801,0)</f>
        <v>#N/A</v>
      </c>
      <c r="AH801" s="104" t="e">
        <f>IF(AND(VLOOKUP($D801,Merchantability!$B:$C,2,0)="Yes",$E801&gt;=VLOOKUP($D801,Merchantability!$B:$D,3,0),$E801&lt;=VLOOKUP($D801,Merchantability!$B:$E,4,0)),AC801,0)</f>
        <v>#N/A</v>
      </c>
      <c r="AI801" s="104" t="e">
        <f t="shared" si="384"/>
        <v>#N/A</v>
      </c>
      <c r="AJ801" s="104" t="e">
        <f t="shared" si="385"/>
        <v>#VALUE!</v>
      </c>
      <c r="AK801" s="104" t="e">
        <f t="shared" si="386"/>
        <v>#N/A</v>
      </c>
      <c r="AL801" s="104" t="e">
        <f t="shared" si="387"/>
        <v>#N/A</v>
      </c>
      <c r="AM801" s="104" t="e">
        <f t="shared" si="388"/>
        <v>#N/A</v>
      </c>
      <c r="AN801" s="104" t="e">
        <f t="shared" si="372"/>
        <v>#N/A</v>
      </c>
      <c r="AO801" s="104" t="e">
        <f t="shared" si="373"/>
        <v>#N/A</v>
      </c>
      <c r="AP801" s="104" t="e">
        <f t="shared" si="374"/>
        <v>#N/A</v>
      </c>
      <c r="AQ801" s="104" t="e">
        <f t="shared" si="375"/>
        <v>#N/A</v>
      </c>
      <c r="AR801" s="105" t="str">
        <f t="shared" si="367"/>
        <v/>
      </c>
      <c r="AS801" s="105" t="str">
        <f t="shared" si="368"/>
        <v/>
      </c>
      <c r="AT801" s="108" t="str">
        <f t="shared" si="369"/>
        <v/>
      </c>
      <c r="AU801" s="108" t="str">
        <f t="shared" si="370"/>
        <v/>
      </c>
      <c r="AV801" s="107" t="str">
        <f>IF(ISNUMBER(O801),IF(VLOOKUP($A801,Stand!C:J,8,FALSE)="Short",AT801,AU801),"")</f>
        <v/>
      </c>
      <c r="AW801" s="109" t="str">
        <f t="shared" si="376"/>
        <v/>
      </c>
      <c r="AX801" s="109" t="str">
        <f t="shared" si="377"/>
        <v/>
      </c>
      <c r="AY801" s="112" t="str">
        <f>IF(ISNUMBER(O801),IF(AND(VLOOKUP($D801,Merchantability!$B:$C,2,0)="Yes",$E801&gt;=VLOOKUP($D801,Merchantability!$B:$D,3,0),$E801&lt;=VLOOKUP($D801,Merchantability!$B:$E,4,0)),(AV801*O801)*(1-$H801/100),""),"")</f>
        <v/>
      </c>
      <c r="AZ801" s="116"/>
      <c r="BA801" s="116"/>
      <c r="BB801" s="116"/>
      <c r="BE801" s="62"/>
      <c r="BF801" s="63"/>
    </row>
    <row r="802" spans="1:58" ht="12.75" customHeight="1" x14ac:dyDescent="0.25">
      <c r="A802" s="313"/>
      <c r="B802" s="328"/>
      <c r="C802" s="329"/>
      <c r="D802" s="328"/>
      <c r="E802" s="330"/>
      <c r="F802" s="328"/>
      <c r="G802" s="329"/>
      <c r="H802" s="329"/>
      <c r="I802" s="328"/>
      <c r="J802" s="383"/>
      <c r="K802" s="329"/>
      <c r="L802" s="329"/>
      <c r="M802" s="76"/>
      <c r="N802" s="103" t="str">
        <f>IF(A802="","",VLOOKUP(A802,Stand!C:K,9,0))</f>
        <v/>
      </c>
      <c r="O802" s="104" t="str">
        <f t="shared" si="362"/>
        <v/>
      </c>
      <c r="P802" s="105" t="str">
        <f t="shared" si="363"/>
        <v/>
      </c>
      <c r="Q802" s="105" t="str">
        <f t="shared" si="378"/>
        <v/>
      </c>
      <c r="R802" s="103" t="str">
        <f t="shared" si="364"/>
        <v/>
      </c>
      <c r="S802" s="103" t="str">
        <f t="shared" si="365"/>
        <v/>
      </c>
      <c r="T802" s="106" t="str">
        <f t="shared" si="379"/>
        <v/>
      </c>
      <c r="U802" s="106" t="str">
        <f t="shared" si="380"/>
        <v/>
      </c>
      <c r="V802" s="106" t="str">
        <f t="shared" si="381"/>
        <v/>
      </c>
      <c r="W802" s="105" t="str">
        <f t="shared" si="366"/>
        <v/>
      </c>
      <c r="X802" s="104" t="str">
        <f t="shared" si="371"/>
        <v/>
      </c>
      <c r="Y802" s="104" t="str">
        <f t="array" ref="Y802">IFERROR(IF(ISNUMBER(O802),IF(COUNT(IF(A802=$A$2:$A$2427,IF(D802=$D$2:$D$2427,IF($X$2:$X$2427&gt;0,1))))&gt;0,SUM(IF(A802=$A$2:$A$2427,IF(D802=$D$2:$D$2427,$X$2:$X$2427)))/COUNT(IF(A802=$A$2:$A$2427,IF(D802=$D$2:$D$2427,IF(ISNUMBER($X$2:$X$2427),1)))),0),""),0)</f>
        <v/>
      </c>
      <c r="Z802" s="104" t="str">
        <f>IF(ISNUMBER(O802),IF(I802&gt;0,(10^(VLOOKUP(D802,'Species Codes'!B:C,2,0)+VLOOKUP(D802,'Species Codes'!B:D,3,0)*LOG(E802)+VLOOKUP(D802,'Species Codes'!B:E,4,0)*LOG(I802))),0),"")</f>
        <v/>
      </c>
      <c r="AA802" s="104" t="str">
        <f>IFERROR((VLOOKUP(D802,'Species Codes'!B:G,6,0)*Z802)/2000,"")</f>
        <v/>
      </c>
      <c r="AB802" s="104" t="e">
        <f>IF(Z802&gt;0,((IF(OR(D802="DF",D802="RA")=TRUE,EXP(VLOOKUP(D802,'Species Codes'!B:I,8,0)+VLOOKUP(D802,'Species Codes'!B:J,9,0)*(LN((E802*2.54)))),IF(OR(D802="PY",D802="RC",D802="WH",D802="NF")=TRUE,VLOOKUP(D802,'Species Codes'!B:I,8,0)+VLOOKUP(D802,'Species Codes'!B:J,9,0)*((E802*2.54)^2)*(I802*0.3048),IF(OR(D802="MD",D802="BM",D802="GA")=TRUE,((VLOOKUP(D802,'Species Codes'!B:I,8,0)*(((((E802*2.54)+VLOOKUP(D802,'Species Codes'!B:J,9,0))/VLOOKUP(D802,'Species Codes'!B:K,10,0))^VLOOKUP(D802,'Species Codes'!B:L,11,0))*((I802*0.3048)^VLOOKUP(D802,'Species Codes'!B:M,12,0))))-(VLOOKUP(D802,'Species Codes'!B:I,8,0)*((((E802*2.54)^VLOOKUP(D802,'Species Codes'!B:L,11,0))*((I802*0.3048)^VLOOKUP(D802,'Species Codes'!B:M,12,0))))))*35.3*VLOOKUP(D802,'Species Codes'!B:G,6,0)/2.2046,VLOOKUP(D802,'Species Codes'!B:I,8,0)+VLOOKUP(D802,'Species Codes'!B:J,9,0)*(((E802*2.54)/100)^2)*(I802*0.3048)))))*0.0011023),0)</f>
        <v>#N/A</v>
      </c>
      <c r="AC802" s="104" t="e">
        <f>IF(Z802&gt;0,((IF(OR(D802="RA",D802="OA",D802="OT",D802="UN",D802="PC"),EXP(VLOOKUP(D802,'Species Codes'!B:O,14,0)+VLOOKUP(D802,'Species Codes'!B:P,15,0)*LN((E802*2.54)))-EXP(VLOOKUP(D802,'Species Codes'!B:O,14,0)+VLOOKUP(D802,'Species Codes'!B:P,15,0)*LN((E802*2.54)))*(1/(VLOOKUP(D802,'Species Codes'!B:Q,16,0)+VLOOKUP(D802,'Species Codes'!B:R,17,0)*((E802*2.54)^VLOOKUP(D802,'Species Codes'!B:S,18,0)))),IF(OR(D802="BM",D802="MD",D802="OA"),EXP(VLOOKUP(D802,'Species Codes'!B:O,14,0)+VLOOKUP(D802,'Species Codes'!B:P,15,0)*LN((E802*2.54)))*(1-(1/(VLOOKUP(D802,'Species Codes'!B:Q,16,0)+VLOOKUP(D802,'Species Codes'!B:R,17,0)*((E802*2.54)^VLOOKUP(D802,'Species Codes'!B:S,18,0)))))/1000,IF(D802="DF",EXP(VLOOKUP(D802,'Species Codes'!B:O,14,0)+VLOOKUP(D802,'Species Codes'!B:P,15,0)*LN((E802*2.54))),VLOOKUP(D802,'Species Codes'!B:O,14,0)+VLOOKUP(D802,'Species Codes'!B:P,15,0)*(((E802*2.54)/100)^2)*(I802*0.3048)))))*0.0011023),0)</f>
        <v>#N/A</v>
      </c>
      <c r="AD802" s="104" t="e">
        <f t="shared" si="382"/>
        <v>#N/A</v>
      </c>
      <c r="AE802" s="104" t="e">
        <f t="shared" si="383"/>
        <v>#N/A</v>
      </c>
      <c r="AF802" s="104" t="e">
        <f>IF(AND(VLOOKUP($D802,Merchantability!$B:$C,2,0)="Yes",$E802&gt;=VLOOKUP($D802,Merchantability!$B:$D,3,0),$E802&lt;=VLOOKUP($D802,Merchantability!$B:$E,4,0)),AA802,0)</f>
        <v>#N/A</v>
      </c>
      <c r="AG802" s="104" t="e">
        <f>IF(AND(VLOOKUP($D802,Merchantability!$B:$C,2,0)="Yes",$E802&gt;=VLOOKUP($D802,Merchantability!$B:$D,3,0),$E802&lt;=VLOOKUP($D802,Merchantability!$B:$E,4,0)),AB802,0)</f>
        <v>#N/A</v>
      </c>
      <c r="AH802" s="104" t="e">
        <f>IF(AND(VLOOKUP($D802,Merchantability!$B:$C,2,0)="Yes",$E802&gt;=VLOOKUP($D802,Merchantability!$B:$D,3,0),$E802&lt;=VLOOKUP($D802,Merchantability!$B:$E,4,0)),AC802,0)</f>
        <v>#N/A</v>
      </c>
      <c r="AI802" s="104" t="e">
        <f t="shared" si="384"/>
        <v>#N/A</v>
      </c>
      <c r="AJ802" s="104" t="e">
        <f t="shared" si="385"/>
        <v>#VALUE!</v>
      </c>
      <c r="AK802" s="104" t="e">
        <f t="shared" si="386"/>
        <v>#N/A</v>
      </c>
      <c r="AL802" s="104" t="e">
        <f t="shared" si="387"/>
        <v>#N/A</v>
      </c>
      <c r="AM802" s="104" t="e">
        <f t="shared" si="388"/>
        <v>#N/A</v>
      </c>
      <c r="AN802" s="104" t="e">
        <f t="shared" si="372"/>
        <v>#N/A</v>
      </c>
      <c r="AO802" s="104" t="e">
        <f t="shared" si="373"/>
        <v>#N/A</v>
      </c>
      <c r="AP802" s="104" t="e">
        <f t="shared" si="374"/>
        <v>#N/A</v>
      </c>
      <c r="AQ802" s="104" t="e">
        <f t="shared" si="375"/>
        <v>#N/A</v>
      </c>
      <c r="AR802" s="105" t="str">
        <f t="shared" si="367"/>
        <v/>
      </c>
      <c r="AS802" s="105" t="str">
        <f t="shared" si="368"/>
        <v/>
      </c>
      <c r="AT802" s="108" t="str">
        <f t="shared" si="369"/>
        <v/>
      </c>
      <c r="AU802" s="108" t="str">
        <f t="shared" si="370"/>
        <v/>
      </c>
      <c r="AV802" s="107" t="str">
        <f>IF(ISNUMBER(O802),IF(VLOOKUP($A802,Stand!C:J,8,FALSE)="Short",AT802,AU802),"")</f>
        <v/>
      </c>
      <c r="AW802" s="109" t="str">
        <f t="shared" si="376"/>
        <v/>
      </c>
      <c r="AX802" s="109" t="str">
        <f t="shared" si="377"/>
        <v/>
      </c>
      <c r="AY802" s="112" t="str">
        <f>IF(ISNUMBER(O802),IF(AND(VLOOKUP($D802,Merchantability!$B:$C,2,0)="Yes",$E802&gt;=VLOOKUP($D802,Merchantability!$B:$D,3,0),$E802&lt;=VLOOKUP($D802,Merchantability!$B:$E,4,0)),(AV802*O802)*(1-$H802/100),""),"")</f>
        <v/>
      </c>
      <c r="AZ802" s="116"/>
      <c r="BA802" s="116"/>
      <c r="BB802" s="116"/>
      <c r="BE802" s="62"/>
      <c r="BF802" s="63"/>
    </row>
    <row r="803" spans="1:58" ht="12.75" customHeight="1" x14ac:dyDescent="0.25">
      <c r="A803" s="313"/>
      <c r="B803" s="328"/>
      <c r="C803" s="329"/>
      <c r="D803" s="328"/>
      <c r="E803" s="330"/>
      <c r="F803" s="328"/>
      <c r="G803" s="329"/>
      <c r="H803" s="329"/>
      <c r="I803" s="328"/>
      <c r="J803" s="383"/>
      <c r="K803" s="329"/>
      <c r="L803" s="329"/>
      <c r="M803" s="76"/>
      <c r="N803" s="103" t="str">
        <f>IF(A803="","",VLOOKUP(A803,Stand!C:K,9,0))</f>
        <v/>
      </c>
      <c r="O803" s="104" t="str">
        <f t="shared" si="362"/>
        <v/>
      </c>
      <c r="P803" s="105" t="str">
        <f t="shared" si="363"/>
        <v/>
      </c>
      <c r="Q803" s="105" t="str">
        <f t="shared" si="378"/>
        <v/>
      </c>
      <c r="R803" s="103" t="str">
        <f t="shared" si="364"/>
        <v/>
      </c>
      <c r="S803" s="103" t="str">
        <f t="shared" si="365"/>
        <v/>
      </c>
      <c r="T803" s="106" t="str">
        <f t="shared" si="379"/>
        <v/>
      </c>
      <c r="U803" s="106" t="str">
        <f t="shared" si="380"/>
        <v/>
      </c>
      <c r="V803" s="106" t="str">
        <f t="shared" si="381"/>
        <v/>
      </c>
      <c r="W803" s="105" t="str">
        <f t="shared" si="366"/>
        <v/>
      </c>
      <c r="X803" s="104" t="str">
        <f t="shared" si="371"/>
        <v/>
      </c>
      <c r="Y803" s="104" t="str">
        <f t="array" ref="Y803">IFERROR(IF(ISNUMBER(O803),IF(COUNT(IF(A803=$A$2:$A$2427,IF(D803=$D$2:$D$2427,IF($X$2:$X$2427&gt;0,1))))&gt;0,SUM(IF(A803=$A$2:$A$2427,IF(D803=$D$2:$D$2427,$X$2:$X$2427)))/COUNT(IF(A803=$A$2:$A$2427,IF(D803=$D$2:$D$2427,IF(ISNUMBER($X$2:$X$2427),1)))),0),""),0)</f>
        <v/>
      </c>
      <c r="Z803" s="104" t="str">
        <f>IF(ISNUMBER(O803),IF(I803&gt;0,(10^(VLOOKUP(D803,'Species Codes'!B:C,2,0)+VLOOKUP(D803,'Species Codes'!B:D,3,0)*LOG(E803)+VLOOKUP(D803,'Species Codes'!B:E,4,0)*LOG(I803))),0),"")</f>
        <v/>
      </c>
      <c r="AA803" s="104" t="str">
        <f>IFERROR((VLOOKUP(D803,'Species Codes'!B:G,6,0)*Z803)/2000,"")</f>
        <v/>
      </c>
      <c r="AB803" s="104" t="e">
        <f>IF(Z803&gt;0,((IF(OR(D803="DF",D803="RA")=TRUE,EXP(VLOOKUP(D803,'Species Codes'!B:I,8,0)+VLOOKUP(D803,'Species Codes'!B:J,9,0)*(LN((E803*2.54)))),IF(OR(D803="PY",D803="RC",D803="WH",D803="NF")=TRUE,VLOOKUP(D803,'Species Codes'!B:I,8,0)+VLOOKUP(D803,'Species Codes'!B:J,9,0)*((E803*2.54)^2)*(I803*0.3048),IF(OR(D803="MD",D803="BM",D803="GA")=TRUE,((VLOOKUP(D803,'Species Codes'!B:I,8,0)*(((((E803*2.54)+VLOOKUP(D803,'Species Codes'!B:J,9,0))/VLOOKUP(D803,'Species Codes'!B:K,10,0))^VLOOKUP(D803,'Species Codes'!B:L,11,0))*((I803*0.3048)^VLOOKUP(D803,'Species Codes'!B:M,12,0))))-(VLOOKUP(D803,'Species Codes'!B:I,8,0)*((((E803*2.54)^VLOOKUP(D803,'Species Codes'!B:L,11,0))*((I803*0.3048)^VLOOKUP(D803,'Species Codes'!B:M,12,0))))))*35.3*VLOOKUP(D803,'Species Codes'!B:G,6,0)/2.2046,VLOOKUP(D803,'Species Codes'!B:I,8,0)+VLOOKUP(D803,'Species Codes'!B:J,9,0)*(((E803*2.54)/100)^2)*(I803*0.3048)))))*0.0011023),0)</f>
        <v>#N/A</v>
      </c>
      <c r="AC803" s="104" t="e">
        <f>IF(Z803&gt;0,((IF(OR(D803="RA",D803="OA",D803="OT",D803="UN",D803="PC"),EXP(VLOOKUP(D803,'Species Codes'!B:O,14,0)+VLOOKUP(D803,'Species Codes'!B:P,15,0)*LN((E803*2.54)))-EXP(VLOOKUP(D803,'Species Codes'!B:O,14,0)+VLOOKUP(D803,'Species Codes'!B:P,15,0)*LN((E803*2.54)))*(1/(VLOOKUP(D803,'Species Codes'!B:Q,16,0)+VLOOKUP(D803,'Species Codes'!B:R,17,0)*((E803*2.54)^VLOOKUP(D803,'Species Codes'!B:S,18,0)))),IF(OR(D803="BM",D803="MD",D803="OA"),EXP(VLOOKUP(D803,'Species Codes'!B:O,14,0)+VLOOKUP(D803,'Species Codes'!B:P,15,0)*LN((E803*2.54)))*(1-(1/(VLOOKUP(D803,'Species Codes'!B:Q,16,0)+VLOOKUP(D803,'Species Codes'!B:R,17,0)*((E803*2.54)^VLOOKUP(D803,'Species Codes'!B:S,18,0)))))/1000,IF(D803="DF",EXP(VLOOKUP(D803,'Species Codes'!B:O,14,0)+VLOOKUP(D803,'Species Codes'!B:P,15,0)*LN((E803*2.54))),VLOOKUP(D803,'Species Codes'!B:O,14,0)+VLOOKUP(D803,'Species Codes'!B:P,15,0)*(((E803*2.54)/100)^2)*(I803*0.3048)))))*0.0011023),0)</f>
        <v>#N/A</v>
      </c>
      <c r="AD803" s="104" t="e">
        <f t="shared" si="382"/>
        <v>#N/A</v>
      </c>
      <c r="AE803" s="104" t="e">
        <f t="shared" si="383"/>
        <v>#N/A</v>
      </c>
      <c r="AF803" s="104" t="e">
        <f>IF(AND(VLOOKUP($D803,Merchantability!$B:$C,2,0)="Yes",$E803&gt;=VLOOKUP($D803,Merchantability!$B:$D,3,0),$E803&lt;=VLOOKUP($D803,Merchantability!$B:$E,4,0)),AA803,0)</f>
        <v>#N/A</v>
      </c>
      <c r="AG803" s="104" t="e">
        <f>IF(AND(VLOOKUP($D803,Merchantability!$B:$C,2,0)="Yes",$E803&gt;=VLOOKUP($D803,Merchantability!$B:$D,3,0),$E803&lt;=VLOOKUP($D803,Merchantability!$B:$E,4,0)),AB803,0)</f>
        <v>#N/A</v>
      </c>
      <c r="AH803" s="104" t="e">
        <f>IF(AND(VLOOKUP($D803,Merchantability!$B:$C,2,0)="Yes",$E803&gt;=VLOOKUP($D803,Merchantability!$B:$D,3,0),$E803&lt;=VLOOKUP($D803,Merchantability!$B:$E,4,0)),AC803,0)</f>
        <v>#N/A</v>
      </c>
      <c r="AI803" s="104" t="e">
        <f t="shared" si="384"/>
        <v>#N/A</v>
      </c>
      <c r="AJ803" s="104" t="e">
        <f t="shared" si="385"/>
        <v>#VALUE!</v>
      </c>
      <c r="AK803" s="104" t="e">
        <f t="shared" si="386"/>
        <v>#N/A</v>
      </c>
      <c r="AL803" s="104" t="e">
        <f t="shared" si="387"/>
        <v>#N/A</v>
      </c>
      <c r="AM803" s="104" t="e">
        <f t="shared" si="388"/>
        <v>#N/A</v>
      </c>
      <c r="AN803" s="104" t="e">
        <f t="shared" si="372"/>
        <v>#N/A</v>
      </c>
      <c r="AO803" s="104" t="e">
        <f t="shared" si="373"/>
        <v>#N/A</v>
      </c>
      <c r="AP803" s="104" t="e">
        <f t="shared" si="374"/>
        <v>#N/A</v>
      </c>
      <c r="AQ803" s="104" t="e">
        <f t="shared" si="375"/>
        <v>#N/A</v>
      </c>
      <c r="AR803" s="105" t="str">
        <f t="shared" si="367"/>
        <v/>
      </c>
      <c r="AS803" s="105" t="str">
        <f t="shared" si="368"/>
        <v/>
      </c>
      <c r="AT803" s="108" t="str">
        <f t="shared" si="369"/>
        <v/>
      </c>
      <c r="AU803" s="108" t="str">
        <f t="shared" si="370"/>
        <v/>
      </c>
      <c r="AV803" s="107" t="str">
        <f>IF(ISNUMBER(O803),IF(VLOOKUP($A803,Stand!C:J,8,FALSE)="Short",AT803,AU803),"")</f>
        <v/>
      </c>
      <c r="AW803" s="109" t="str">
        <f t="shared" si="376"/>
        <v/>
      </c>
      <c r="AX803" s="109" t="str">
        <f t="shared" si="377"/>
        <v/>
      </c>
      <c r="AY803" s="112" t="str">
        <f>IF(ISNUMBER(O803),IF(AND(VLOOKUP($D803,Merchantability!$B:$C,2,0)="Yes",$E803&gt;=VLOOKUP($D803,Merchantability!$B:$D,3,0),$E803&lt;=VLOOKUP($D803,Merchantability!$B:$E,4,0)),(AV803*O803)*(1-$H803/100),""),"")</f>
        <v/>
      </c>
      <c r="AZ803" s="116"/>
      <c r="BA803" s="116"/>
      <c r="BB803" s="116"/>
      <c r="BE803" s="62"/>
      <c r="BF803" s="63"/>
    </row>
    <row r="804" spans="1:58" ht="12.75" customHeight="1" x14ac:dyDescent="0.25">
      <c r="A804" s="313"/>
      <c r="B804" s="328"/>
      <c r="C804" s="329"/>
      <c r="D804" s="328"/>
      <c r="E804" s="330"/>
      <c r="F804" s="328"/>
      <c r="G804" s="329"/>
      <c r="H804" s="329"/>
      <c r="I804" s="328"/>
      <c r="J804" s="383"/>
      <c r="K804" s="329"/>
      <c r="L804" s="329"/>
      <c r="M804" s="76"/>
      <c r="N804" s="103" t="str">
        <f>IF(A804="","",VLOOKUP(A804,Stand!C:K,9,0))</f>
        <v/>
      </c>
      <c r="O804" s="104" t="str">
        <f t="shared" si="362"/>
        <v/>
      </c>
      <c r="P804" s="105" t="str">
        <f t="shared" si="363"/>
        <v/>
      </c>
      <c r="Q804" s="105" t="str">
        <f t="shared" si="378"/>
        <v/>
      </c>
      <c r="R804" s="103" t="str">
        <f t="shared" si="364"/>
        <v/>
      </c>
      <c r="S804" s="103" t="str">
        <f t="shared" si="365"/>
        <v/>
      </c>
      <c r="T804" s="106" t="str">
        <f t="shared" si="379"/>
        <v/>
      </c>
      <c r="U804" s="106" t="str">
        <f t="shared" si="380"/>
        <v/>
      </c>
      <c r="V804" s="106" t="str">
        <f t="shared" si="381"/>
        <v/>
      </c>
      <c r="W804" s="105" t="str">
        <f t="shared" si="366"/>
        <v/>
      </c>
      <c r="X804" s="104" t="str">
        <f t="shared" si="371"/>
        <v/>
      </c>
      <c r="Y804" s="104" t="str">
        <f t="array" ref="Y804">IFERROR(IF(ISNUMBER(O804),IF(COUNT(IF(A804=$A$2:$A$2427,IF(D804=$D$2:$D$2427,IF($X$2:$X$2427&gt;0,1))))&gt;0,SUM(IF(A804=$A$2:$A$2427,IF(D804=$D$2:$D$2427,$X$2:$X$2427)))/COUNT(IF(A804=$A$2:$A$2427,IF(D804=$D$2:$D$2427,IF(ISNUMBER($X$2:$X$2427),1)))),0),""),0)</f>
        <v/>
      </c>
      <c r="Z804" s="104" t="str">
        <f>IF(ISNUMBER(O804),IF(I804&gt;0,(10^(VLOOKUP(D804,'Species Codes'!B:C,2,0)+VLOOKUP(D804,'Species Codes'!B:D,3,0)*LOG(E804)+VLOOKUP(D804,'Species Codes'!B:E,4,0)*LOG(I804))),0),"")</f>
        <v/>
      </c>
      <c r="AA804" s="104" t="str">
        <f>IFERROR((VLOOKUP(D804,'Species Codes'!B:G,6,0)*Z804)/2000,"")</f>
        <v/>
      </c>
      <c r="AB804" s="104" t="e">
        <f>IF(Z804&gt;0,((IF(OR(D804="DF",D804="RA")=TRUE,EXP(VLOOKUP(D804,'Species Codes'!B:I,8,0)+VLOOKUP(D804,'Species Codes'!B:J,9,0)*(LN((E804*2.54)))),IF(OR(D804="PY",D804="RC",D804="WH",D804="NF")=TRUE,VLOOKUP(D804,'Species Codes'!B:I,8,0)+VLOOKUP(D804,'Species Codes'!B:J,9,0)*((E804*2.54)^2)*(I804*0.3048),IF(OR(D804="MD",D804="BM",D804="GA")=TRUE,((VLOOKUP(D804,'Species Codes'!B:I,8,0)*(((((E804*2.54)+VLOOKUP(D804,'Species Codes'!B:J,9,0))/VLOOKUP(D804,'Species Codes'!B:K,10,0))^VLOOKUP(D804,'Species Codes'!B:L,11,0))*((I804*0.3048)^VLOOKUP(D804,'Species Codes'!B:M,12,0))))-(VLOOKUP(D804,'Species Codes'!B:I,8,0)*((((E804*2.54)^VLOOKUP(D804,'Species Codes'!B:L,11,0))*((I804*0.3048)^VLOOKUP(D804,'Species Codes'!B:M,12,0))))))*35.3*VLOOKUP(D804,'Species Codes'!B:G,6,0)/2.2046,VLOOKUP(D804,'Species Codes'!B:I,8,0)+VLOOKUP(D804,'Species Codes'!B:J,9,0)*(((E804*2.54)/100)^2)*(I804*0.3048)))))*0.0011023),0)</f>
        <v>#N/A</v>
      </c>
      <c r="AC804" s="104" t="e">
        <f>IF(Z804&gt;0,((IF(OR(D804="RA",D804="OA",D804="OT",D804="UN",D804="PC"),EXP(VLOOKUP(D804,'Species Codes'!B:O,14,0)+VLOOKUP(D804,'Species Codes'!B:P,15,0)*LN((E804*2.54)))-EXP(VLOOKUP(D804,'Species Codes'!B:O,14,0)+VLOOKUP(D804,'Species Codes'!B:P,15,0)*LN((E804*2.54)))*(1/(VLOOKUP(D804,'Species Codes'!B:Q,16,0)+VLOOKUP(D804,'Species Codes'!B:R,17,0)*((E804*2.54)^VLOOKUP(D804,'Species Codes'!B:S,18,0)))),IF(OR(D804="BM",D804="MD",D804="OA"),EXP(VLOOKUP(D804,'Species Codes'!B:O,14,0)+VLOOKUP(D804,'Species Codes'!B:P,15,0)*LN((E804*2.54)))*(1-(1/(VLOOKUP(D804,'Species Codes'!B:Q,16,0)+VLOOKUP(D804,'Species Codes'!B:R,17,0)*((E804*2.54)^VLOOKUP(D804,'Species Codes'!B:S,18,0)))))/1000,IF(D804="DF",EXP(VLOOKUP(D804,'Species Codes'!B:O,14,0)+VLOOKUP(D804,'Species Codes'!B:P,15,0)*LN((E804*2.54))),VLOOKUP(D804,'Species Codes'!B:O,14,0)+VLOOKUP(D804,'Species Codes'!B:P,15,0)*(((E804*2.54)/100)^2)*(I804*0.3048)))))*0.0011023),0)</f>
        <v>#N/A</v>
      </c>
      <c r="AD804" s="104" t="e">
        <f t="shared" si="382"/>
        <v>#N/A</v>
      </c>
      <c r="AE804" s="104" t="e">
        <f t="shared" si="383"/>
        <v>#N/A</v>
      </c>
      <c r="AF804" s="104" t="e">
        <f>IF(AND(VLOOKUP($D804,Merchantability!$B:$C,2,0)="Yes",$E804&gt;=VLOOKUP($D804,Merchantability!$B:$D,3,0),$E804&lt;=VLOOKUP($D804,Merchantability!$B:$E,4,0)),AA804,0)</f>
        <v>#N/A</v>
      </c>
      <c r="AG804" s="104" t="e">
        <f>IF(AND(VLOOKUP($D804,Merchantability!$B:$C,2,0)="Yes",$E804&gt;=VLOOKUP($D804,Merchantability!$B:$D,3,0),$E804&lt;=VLOOKUP($D804,Merchantability!$B:$E,4,0)),AB804,0)</f>
        <v>#N/A</v>
      </c>
      <c r="AH804" s="104" t="e">
        <f>IF(AND(VLOOKUP($D804,Merchantability!$B:$C,2,0)="Yes",$E804&gt;=VLOOKUP($D804,Merchantability!$B:$D,3,0),$E804&lt;=VLOOKUP($D804,Merchantability!$B:$E,4,0)),AC804,0)</f>
        <v>#N/A</v>
      </c>
      <c r="AI804" s="104" t="e">
        <f t="shared" si="384"/>
        <v>#N/A</v>
      </c>
      <c r="AJ804" s="104" t="e">
        <f t="shared" si="385"/>
        <v>#VALUE!</v>
      </c>
      <c r="AK804" s="104" t="e">
        <f t="shared" si="386"/>
        <v>#N/A</v>
      </c>
      <c r="AL804" s="104" t="e">
        <f t="shared" si="387"/>
        <v>#N/A</v>
      </c>
      <c r="AM804" s="104" t="e">
        <f t="shared" si="388"/>
        <v>#N/A</v>
      </c>
      <c r="AN804" s="104" t="e">
        <f t="shared" si="372"/>
        <v>#N/A</v>
      </c>
      <c r="AO804" s="104" t="e">
        <f t="shared" si="373"/>
        <v>#N/A</v>
      </c>
      <c r="AP804" s="104" t="e">
        <f t="shared" si="374"/>
        <v>#N/A</v>
      </c>
      <c r="AQ804" s="104" t="e">
        <f t="shared" si="375"/>
        <v>#N/A</v>
      </c>
      <c r="AR804" s="105" t="str">
        <f t="shared" si="367"/>
        <v/>
      </c>
      <c r="AS804" s="105" t="str">
        <f t="shared" si="368"/>
        <v/>
      </c>
      <c r="AT804" s="108" t="str">
        <f t="shared" si="369"/>
        <v/>
      </c>
      <c r="AU804" s="108" t="str">
        <f t="shared" si="370"/>
        <v/>
      </c>
      <c r="AV804" s="107" t="str">
        <f>IF(ISNUMBER(O804),IF(VLOOKUP($A804,Stand!C:J,8,FALSE)="Short",AT804,AU804),"")</f>
        <v/>
      </c>
      <c r="AW804" s="109" t="str">
        <f t="shared" si="376"/>
        <v/>
      </c>
      <c r="AX804" s="109" t="str">
        <f t="shared" si="377"/>
        <v/>
      </c>
      <c r="AY804" s="112" t="str">
        <f>IF(ISNUMBER(O804),IF(AND(VLOOKUP($D804,Merchantability!$B:$C,2,0)="Yes",$E804&gt;=VLOOKUP($D804,Merchantability!$B:$D,3,0),$E804&lt;=VLOOKUP($D804,Merchantability!$B:$E,4,0)),(AV804*O804)*(1-$H804/100),""),"")</f>
        <v/>
      </c>
      <c r="AZ804" s="116"/>
      <c r="BA804" s="116"/>
      <c r="BB804" s="116"/>
      <c r="BE804" s="62"/>
      <c r="BF804" s="63"/>
    </row>
    <row r="805" spans="1:58" ht="12.75" customHeight="1" x14ac:dyDescent="0.25">
      <c r="A805" s="313"/>
      <c r="B805" s="328"/>
      <c r="C805" s="329"/>
      <c r="D805" s="328"/>
      <c r="E805" s="330"/>
      <c r="F805" s="328"/>
      <c r="G805" s="329"/>
      <c r="H805" s="329"/>
      <c r="I805" s="328"/>
      <c r="J805" s="383"/>
      <c r="K805" s="329"/>
      <c r="L805" s="329"/>
      <c r="M805" s="76"/>
      <c r="N805" s="103" t="str">
        <f>IF(A805="","",VLOOKUP(A805,Stand!C:K,9,0))</f>
        <v/>
      </c>
      <c r="O805" s="104" t="str">
        <f t="shared" si="362"/>
        <v/>
      </c>
      <c r="P805" s="105" t="str">
        <f t="shared" si="363"/>
        <v/>
      </c>
      <c r="Q805" s="105" t="str">
        <f t="shared" si="378"/>
        <v/>
      </c>
      <c r="R805" s="103" t="str">
        <f t="shared" si="364"/>
        <v/>
      </c>
      <c r="S805" s="103" t="str">
        <f t="shared" si="365"/>
        <v/>
      </c>
      <c r="T805" s="106" t="str">
        <f t="shared" si="379"/>
        <v/>
      </c>
      <c r="U805" s="106" t="str">
        <f t="shared" si="380"/>
        <v/>
      </c>
      <c r="V805" s="106" t="str">
        <f t="shared" si="381"/>
        <v/>
      </c>
      <c r="W805" s="105" t="str">
        <f t="shared" si="366"/>
        <v/>
      </c>
      <c r="X805" s="104" t="str">
        <f t="shared" si="371"/>
        <v/>
      </c>
      <c r="Y805" s="104" t="str">
        <f t="array" ref="Y805">IFERROR(IF(ISNUMBER(O805),IF(COUNT(IF(A805=$A$2:$A$2427,IF(D805=$D$2:$D$2427,IF($X$2:$X$2427&gt;0,1))))&gt;0,SUM(IF(A805=$A$2:$A$2427,IF(D805=$D$2:$D$2427,$X$2:$X$2427)))/COUNT(IF(A805=$A$2:$A$2427,IF(D805=$D$2:$D$2427,IF(ISNUMBER($X$2:$X$2427),1)))),0),""),0)</f>
        <v/>
      </c>
      <c r="Z805" s="104" t="str">
        <f>IF(ISNUMBER(O805),IF(I805&gt;0,(10^(VLOOKUP(D805,'Species Codes'!B:C,2,0)+VLOOKUP(D805,'Species Codes'!B:D,3,0)*LOG(E805)+VLOOKUP(D805,'Species Codes'!B:E,4,0)*LOG(I805))),0),"")</f>
        <v/>
      </c>
      <c r="AA805" s="104" t="str">
        <f>IFERROR((VLOOKUP(D805,'Species Codes'!B:G,6,0)*Z805)/2000,"")</f>
        <v/>
      </c>
      <c r="AB805" s="104" t="e">
        <f>IF(Z805&gt;0,((IF(OR(D805="DF",D805="RA")=TRUE,EXP(VLOOKUP(D805,'Species Codes'!B:I,8,0)+VLOOKUP(D805,'Species Codes'!B:J,9,0)*(LN((E805*2.54)))),IF(OR(D805="PY",D805="RC",D805="WH",D805="NF")=TRUE,VLOOKUP(D805,'Species Codes'!B:I,8,0)+VLOOKUP(D805,'Species Codes'!B:J,9,0)*((E805*2.54)^2)*(I805*0.3048),IF(OR(D805="MD",D805="BM",D805="GA")=TRUE,((VLOOKUP(D805,'Species Codes'!B:I,8,0)*(((((E805*2.54)+VLOOKUP(D805,'Species Codes'!B:J,9,0))/VLOOKUP(D805,'Species Codes'!B:K,10,0))^VLOOKUP(D805,'Species Codes'!B:L,11,0))*((I805*0.3048)^VLOOKUP(D805,'Species Codes'!B:M,12,0))))-(VLOOKUP(D805,'Species Codes'!B:I,8,0)*((((E805*2.54)^VLOOKUP(D805,'Species Codes'!B:L,11,0))*((I805*0.3048)^VLOOKUP(D805,'Species Codes'!B:M,12,0))))))*35.3*VLOOKUP(D805,'Species Codes'!B:G,6,0)/2.2046,VLOOKUP(D805,'Species Codes'!B:I,8,0)+VLOOKUP(D805,'Species Codes'!B:J,9,0)*(((E805*2.54)/100)^2)*(I805*0.3048)))))*0.0011023),0)</f>
        <v>#N/A</v>
      </c>
      <c r="AC805" s="104" t="e">
        <f>IF(Z805&gt;0,((IF(OR(D805="RA",D805="OA",D805="OT",D805="UN",D805="PC"),EXP(VLOOKUP(D805,'Species Codes'!B:O,14,0)+VLOOKUP(D805,'Species Codes'!B:P,15,0)*LN((E805*2.54)))-EXP(VLOOKUP(D805,'Species Codes'!B:O,14,0)+VLOOKUP(D805,'Species Codes'!B:P,15,0)*LN((E805*2.54)))*(1/(VLOOKUP(D805,'Species Codes'!B:Q,16,0)+VLOOKUP(D805,'Species Codes'!B:R,17,0)*((E805*2.54)^VLOOKUP(D805,'Species Codes'!B:S,18,0)))),IF(OR(D805="BM",D805="MD",D805="OA"),EXP(VLOOKUP(D805,'Species Codes'!B:O,14,0)+VLOOKUP(D805,'Species Codes'!B:P,15,0)*LN((E805*2.54)))*(1-(1/(VLOOKUP(D805,'Species Codes'!B:Q,16,0)+VLOOKUP(D805,'Species Codes'!B:R,17,0)*((E805*2.54)^VLOOKUP(D805,'Species Codes'!B:S,18,0)))))/1000,IF(D805="DF",EXP(VLOOKUP(D805,'Species Codes'!B:O,14,0)+VLOOKUP(D805,'Species Codes'!B:P,15,0)*LN((E805*2.54))),VLOOKUP(D805,'Species Codes'!B:O,14,0)+VLOOKUP(D805,'Species Codes'!B:P,15,0)*(((E805*2.54)/100)^2)*(I805*0.3048)))))*0.0011023),0)</f>
        <v>#N/A</v>
      </c>
      <c r="AD805" s="104" t="e">
        <f t="shared" si="382"/>
        <v>#N/A</v>
      </c>
      <c r="AE805" s="104" t="e">
        <f t="shared" si="383"/>
        <v>#N/A</v>
      </c>
      <c r="AF805" s="104" t="e">
        <f>IF(AND(VLOOKUP($D805,Merchantability!$B:$C,2,0)="Yes",$E805&gt;=VLOOKUP($D805,Merchantability!$B:$D,3,0),$E805&lt;=VLOOKUP($D805,Merchantability!$B:$E,4,0)),AA805,0)</f>
        <v>#N/A</v>
      </c>
      <c r="AG805" s="104" t="e">
        <f>IF(AND(VLOOKUP($D805,Merchantability!$B:$C,2,0)="Yes",$E805&gt;=VLOOKUP($D805,Merchantability!$B:$D,3,0),$E805&lt;=VLOOKUP($D805,Merchantability!$B:$E,4,0)),AB805,0)</f>
        <v>#N/A</v>
      </c>
      <c r="AH805" s="104" t="e">
        <f>IF(AND(VLOOKUP($D805,Merchantability!$B:$C,2,0)="Yes",$E805&gt;=VLOOKUP($D805,Merchantability!$B:$D,3,0),$E805&lt;=VLOOKUP($D805,Merchantability!$B:$E,4,0)),AC805,0)</f>
        <v>#N/A</v>
      </c>
      <c r="AI805" s="104" t="e">
        <f t="shared" si="384"/>
        <v>#N/A</v>
      </c>
      <c r="AJ805" s="104" t="e">
        <f t="shared" si="385"/>
        <v>#VALUE!</v>
      </c>
      <c r="AK805" s="104" t="e">
        <f t="shared" si="386"/>
        <v>#N/A</v>
      </c>
      <c r="AL805" s="104" t="e">
        <f t="shared" si="387"/>
        <v>#N/A</v>
      </c>
      <c r="AM805" s="104" t="e">
        <f t="shared" si="388"/>
        <v>#N/A</v>
      </c>
      <c r="AN805" s="104" t="e">
        <f t="shared" si="372"/>
        <v>#N/A</v>
      </c>
      <c r="AO805" s="104" t="e">
        <f t="shared" si="373"/>
        <v>#N/A</v>
      </c>
      <c r="AP805" s="104" t="e">
        <f t="shared" si="374"/>
        <v>#N/A</v>
      </c>
      <c r="AQ805" s="104" t="e">
        <f t="shared" si="375"/>
        <v>#N/A</v>
      </c>
      <c r="AR805" s="105" t="str">
        <f t="shared" si="367"/>
        <v/>
      </c>
      <c r="AS805" s="105" t="str">
        <f t="shared" si="368"/>
        <v/>
      </c>
      <c r="AT805" s="108" t="str">
        <f t="shared" si="369"/>
        <v/>
      </c>
      <c r="AU805" s="108" t="str">
        <f t="shared" si="370"/>
        <v/>
      </c>
      <c r="AV805" s="107" t="str">
        <f>IF(ISNUMBER(O805),IF(VLOOKUP($A805,Stand!C:J,8,FALSE)="Short",AT805,AU805),"")</f>
        <v/>
      </c>
      <c r="AW805" s="109" t="str">
        <f t="shared" si="376"/>
        <v/>
      </c>
      <c r="AX805" s="109" t="str">
        <f t="shared" si="377"/>
        <v/>
      </c>
      <c r="AY805" s="112" t="str">
        <f>IF(ISNUMBER(O805),IF(AND(VLOOKUP($D805,Merchantability!$B:$C,2,0)="Yes",$E805&gt;=VLOOKUP($D805,Merchantability!$B:$D,3,0),$E805&lt;=VLOOKUP($D805,Merchantability!$B:$E,4,0)),(AV805*O805)*(1-$H805/100),""),"")</f>
        <v/>
      </c>
      <c r="AZ805" s="116"/>
      <c r="BA805" s="116"/>
      <c r="BB805" s="116"/>
      <c r="BE805" s="62"/>
      <c r="BF805" s="63"/>
    </row>
    <row r="806" spans="1:58" ht="12.75" customHeight="1" x14ac:dyDescent="0.25">
      <c r="A806" s="313"/>
      <c r="B806" s="328"/>
      <c r="C806" s="329"/>
      <c r="D806" s="328"/>
      <c r="E806" s="330"/>
      <c r="F806" s="328"/>
      <c r="G806" s="329"/>
      <c r="H806" s="329"/>
      <c r="I806" s="328"/>
      <c r="J806" s="383"/>
      <c r="K806" s="329"/>
      <c r="L806" s="329"/>
      <c r="M806" s="76"/>
      <c r="N806" s="103" t="str">
        <f>IF(A806="","",VLOOKUP(A806,Stand!C:K,9,0))</f>
        <v/>
      </c>
      <c r="O806" s="104" t="str">
        <f t="shared" si="362"/>
        <v/>
      </c>
      <c r="P806" s="105" t="str">
        <f t="shared" si="363"/>
        <v/>
      </c>
      <c r="Q806" s="105" t="str">
        <f t="shared" si="378"/>
        <v/>
      </c>
      <c r="R806" s="103" t="str">
        <f t="shared" si="364"/>
        <v/>
      </c>
      <c r="S806" s="103" t="str">
        <f t="shared" si="365"/>
        <v/>
      </c>
      <c r="T806" s="106" t="str">
        <f t="shared" si="379"/>
        <v/>
      </c>
      <c r="U806" s="106" t="str">
        <f t="shared" si="380"/>
        <v/>
      </c>
      <c r="V806" s="106" t="str">
        <f t="shared" si="381"/>
        <v/>
      </c>
      <c r="W806" s="105" t="str">
        <f t="shared" si="366"/>
        <v/>
      </c>
      <c r="X806" s="104" t="str">
        <f t="shared" si="371"/>
        <v/>
      </c>
      <c r="Y806" s="104" t="str">
        <f t="array" ref="Y806">IFERROR(IF(ISNUMBER(O806),IF(COUNT(IF(A806=$A$2:$A$2427,IF(D806=$D$2:$D$2427,IF($X$2:$X$2427&gt;0,1))))&gt;0,SUM(IF(A806=$A$2:$A$2427,IF(D806=$D$2:$D$2427,$X$2:$X$2427)))/COUNT(IF(A806=$A$2:$A$2427,IF(D806=$D$2:$D$2427,IF(ISNUMBER($X$2:$X$2427),1)))),0),""),0)</f>
        <v/>
      </c>
      <c r="Z806" s="104" t="str">
        <f>IF(ISNUMBER(O806),IF(I806&gt;0,(10^(VLOOKUP(D806,'Species Codes'!B:C,2,0)+VLOOKUP(D806,'Species Codes'!B:D,3,0)*LOG(E806)+VLOOKUP(D806,'Species Codes'!B:E,4,0)*LOG(I806))),0),"")</f>
        <v/>
      </c>
      <c r="AA806" s="104" t="str">
        <f>IFERROR((VLOOKUP(D806,'Species Codes'!B:G,6,0)*Z806)/2000,"")</f>
        <v/>
      </c>
      <c r="AB806" s="104" t="e">
        <f>IF(Z806&gt;0,((IF(OR(D806="DF",D806="RA")=TRUE,EXP(VLOOKUP(D806,'Species Codes'!B:I,8,0)+VLOOKUP(D806,'Species Codes'!B:J,9,0)*(LN((E806*2.54)))),IF(OR(D806="PY",D806="RC",D806="WH",D806="NF")=TRUE,VLOOKUP(D806,'Species Codes'!B:I,8,0)+VLOOKUP(D806,'Species Codes'!B:J,9,0)*((E806*2.54)^2)*(I806*0.3048),IF(OR(D806="MD",D806="BM",D806="GA")=TRUE,((VLOOKUP(D806,'Species Codes'!B:I,8,0)*(((((E806*2.54)+VLOOKUP(D806,'Species Codes'!B:J,9,0))/VLOOKUP(D806,'Species Codes'!B:K,10,0))^VLOOKUP(D806,'Species Codes'!B:L,11,0))*((I806*0.3048)^VLOOKUP(D806,'Species Codes'!B:M,12,0))))-(VLOOKUP(D806,'Species Codes'!B:I,8,0)*((((E806*2.54)^VLOOKUP(D806,'Species Codes'!B:L,11,0))*((I806*0.3048)^VLOOKUP(D806,'Species Codes'!B:M,12,0))))))*35.3*VLOOKUP(D806,'Species Codes'!B:G,6,0)/2.2046,VLOOKUP(D806,'Species Codes'!B:I,8,0)+VLOOKUP(D806,'Species Codes'!B:J,9,0)*(((E806*2.54)/100)^2)*(I806*0.3048)))))*0.0011023),0)</f>
        <v>#N/A</v>
      </c>
      <c r="AC806" s="104" t="e">
        <f>IF(Z806&gt;0,((IF(OR(D806="RA",D806="OA",D806="OT",D806="UN",D806="PC"),EXP(VLOOKUP(D806,'Species Codes'!B:O,14,0)+VLOOKUP(D806,'Species Codes'!B:P,15,0)*LN((E806*2.54)))-EXP(VLOOKUP(D806,'Species Codes'!B:O,14,0)+VLOOKUP(D806,'Species Codes'!B:P,15,0)*LN((E806*2.54)))*(1/(VLOOKUP(D806,'Species Codes'!B:Q,16,0)+VLOOKUP(D806,'Species Codes'!B:R,17,0)*((E806*2.54)^VLOOKUP(D806,'Species Codes'!B:S,18,0)))),IF(OR(D806="BM",D806="MD",D806="OA"),EXP(VLOOKUP(D806,'Species Codes'!B:O,14,0)+VLOOKUP(D806,'Species Codes'!B:P,15,0)*LN((E806*2.54)))*(1-(1/(VLOOKUP(D806,'Species Codes'!B:Q,16,0)+VLOOKUP(D806,'Species Codes'!B:R,17,0)*((E806*2.54)^VLOOKUP(D806,'Species Codes'!B:S,18,0)))))/1000,IF(D806="DF",EXP(VLOOKUP(D806,'Species Codes'!B:O,14,0)+VLOOKUP(D806,'Species Codes'!B:P,15,0)*LN((E806*2.54))),VLOOKUP(D806,'Species Codes'!B:O,14,0)+VLOOKUP(D806,'Species Codes'!B:P,15,0)*(((E806*2.54)/100)^2)*(I806*0.3048)))))*0.0011023),0)</f>
        <v>#N/A</v>
      </c>
      <c r="AD806" s="104" t="e">
        <f t="shared" si="382"/>
        <v>#N/A</v>
      </c>
      <c r="AE806" s="104" t="e">
        <f t="shared" si="383"/>
        <v>#N/A</v>
      </c>
      <c r="AF806" s="104" t="e">
        <f>IF(AND(VLOOKUP($D806,Merchantability!$B:$C,2,0)="Yes",$E806&gt;=VLOOKUP($D806,Merchantability!$B:$D,3,0),$E806&lt;=VLOOKUP($D806,Merchantability!$B:$E,4,0)),AA806,0)</f>
        <v>#N/A</v>
      </c>
      <c r="AG806" s="104" t="e">
        <f>IF(AND(VLOOKUP($D806,Merchantability!$B:$C,2,0)="Yes",$E806&gt;=VLOOKUP($D806,Merchantability!$B:$D,3,0),$E806&lt;=VLOOKUP($D806,Merchantability!$B:$E,4,0)),AB806,0)</f>
        <v>#N/A</v>
      </c>
      <c r="AH806" s="104" t="e">
        <f>IF(AND(VLOOKUP($D806,Merchantability!$B:$C,2,0)="Yes",$E806&gt;=VLOOKUP($D806,Merchantability!$B:$D,3,0),$E806&lt;=VLOOKUP($D806,Merchantability!$B:$E,4,0)),AC806,0)</f>
        <v>#N/A</v>
      </c>
      <c r="AI806" s="104" t="e">
        <f t="shared" si="384"/>
        <v>#N/A</v>
      </c>
      <c r="AJ806" s="104" t="e">
        <f t="shared" si="385"/>
        <v>#VALUE!</v>
      </c>
      <c r="AK806" s="104" t="e">
        <f t="shared" si="386"/>
        <v>#N/A</v>
      </c>
      <c r="AL806" s="104" t="e">
        <f t="shared" si="387"/>
        <v>#N/A</v>
      </c>
      <c r="AM806" s="104" t="e">
        <f t="shared" si="388"/>
        <v>#N/A</v>
      </c>
      <c r="AN806" s="104" t="e">
        <f t="shared" si="372"/>
        <v>#N/A</v>
      </c>
      <c r="AO806" s="104" t="e">
        <f t="shared" si="373"/>
        <v>#N/A</v>
      </c>
      <c r="AP806" s="104" t="e">
        <f t="shared" si="374"/>
        <v>#N/A</v>
      </c>
      <c r="AQ806" s="104" t="e">
        <f t="shared" si="375"/>
        <v>#N/A</v>
      </c>
      <c r="AR806" s="105" t="str">
        <f t="shared" si="367"/>
        <v/>
      </c>
      <c r="AS806" s="105" t="str">
        <f t="shared" si="368"/>
        <v/>
      </c>
      <c r="AT806" s="108" t="str">
        <f t="shared" si="369"/>
        <v/>
      </c>
      <c r="AU806" s="108" t="str">
        <f t="shared" si="370"/>
        <v/>
      </c>
      <c r="AV806" s="107" t="str">
        <f>IF(ISNUMBER(O806),IF(VLOOKUP($A806,Stand!C:J,8,FALSE)="Short",AT806,AU806),"")</f>
        <v/>
      </c>
      <c r="AW806" s="109" t="str">
        <f t="shared" si="376"/>
        <v/>
      </c>
      <c r="AX806" s="109" t="str">
        <f t="shared" si="377"/>
        <v/>
      </c>
      <c r="AY806" s="112" t="str">
        <f>IF(ISNUMBER(O806),IF(AND(VLOOKUP($D806,Merchantability!$B:$C,2,0)="Yes",$E806&gt;=VLOOKUP($D806,Merchantability!$B:$D,3,0),$E806&lt;=VLOOKUP($D806,Merchantability!$B:$E,4,0)),(AV806*O806)*(1-$H806/100),""),"")</f>
        <v/>
      </c>
      <c r="AZ806" s="116"/>
      <c r="BA806" s="116"/>
      <c r="BB806" s="116"/>
      <c r="BE806" s="62"/>
      <c r="BF806" s="63"/>
    </row>
    <row r="807" spans="1:58" ht="12.75" customHeight="1" x14ac:dyDescent="0.25">
      <c r="A807" s="313"/>
      <c r="B807" s="328"/>
      <c r="C807" s="329"/>
      <c r="D807" s="328"/>
      <c r="E807" s="330"/>
      <c r="F807" s="328"/>
      <c r="G807" s="329"/>
      <c r="H807" s="329"/>
      <c r="I807" s="328"/>
      <c r="J807" s="383"/>
      <c r="K807" s="329"/>
      <c r="L807" s="329"/>
      <c r="M807" s="76"/>
      <c r="N807" s="103" t="str">
        <f>IF(A807="","",VLOOKUP(A807,Stand!C:K,9,0))</f>
        <v/>
      </c>
      <c r="O807" s="104" t="str">
        <f t="shared" si="362"/>
        <v/>
      </c>
      <c r="P807" s="105" t="str">
        <f t="shared" si="363"/>
        <v/>
      </c>
      <c r="Q807" s="105" t="str">
        <f t="shared" si="378"/>
        <v/>
      </c>
      <c r="R807" s="103" t="str">
        <f t="shared" si="364"/>
        <v/>
      </c>
      <c r="S807" s="103" t="str">
        <f t="shared" si="365"/>
        <v/>
      </c>
      <c r="T807" s="106" t="str">
        <f t="shared" si="379"/>
        <v/>
      </c>
      <c r="U807" s="106" t="str">
        <f t="shared" si="380"/>
        <v/>
      </c>
      <c r="V807" s="106" t="str">
        <f t="shared" si="381"/>
        <v/>
      </c>
      <c r="W807" s="105" t="str">
        <f t="shared" si="366"/>
        <v/>
      </c>
      <c r="X807" s="104" t="str">
        <f t="shared" si="371"/>
        <v/>
      </c>
      <c r="Y807" s="104" t="str">
        <f t="array" ref="Y807">IFERROR(IF(ISNUMBER(O807),IF(COUNT(IF(A807=$A$2:$A$2427,IF(D807=$D$2:$D$2427,IF($X$2:$X$2427&gt;0,1))))&gt;0,SUM(IF(A807=$A$2:$A$2427,IF(D807=$D$2:$D$2427,$X$2:$X$2427)))/COUNT(IF(A807=$A$2:$A$2427,IF(D807=$D$2:$D$2427,IF(ISNUMBER($X$2:$X$2427),1)))),0),""),0)</f>
        <v/>
      </c>
      <c r="Z807" s="104" t="str">
        <f>IF(ISNUMBER(O807),IF(I807&gt;0,(10^(VLOOKUP(D807,'Species Codes'!B:C,2,0)+VLOOKUP(D807,'Species Codes'!B:D,3,0)*LOG(E807)+VLOOKUP(D807,'Species Codes'!B:E,4,0)*LOG(I807))),0),"")</f>
        <v/>
      </c>
      <c r="AA807" s="104" t="str">
        <f>IFERROR((VLOOKUP(D807,'Species Codes'!B:G,6,0)*Z807)/2000,"")</f>
        <v/>
      </c>
      <c r="AB807" s="104" t="e">
        <f>IF(Z807&gt;0,((IF(OR(D807="DF",D807="RA")=TRUE,EXP(VLOOKUP(D807,'Species Codes'!B:I,8,0)+VLOOKUP(D807,'Species Codes'!B:J,9,0)*(LN((E807*2.54)))),IF(OR(D807="PY",D807="RC",D807="WH",D807="NF")=TRUE,VLOOKUP(D807,'Species Codes'!B:I,8,0)+VLOOKUP(D807,'Species Codes'!B:J,9,0)*((E807*2.54)^2)*(I807*0.3048),IF(OR(D807="MD",D807="BM",D807="GA")=TRUE,((VLOOKUP(D807,'Species Codes'!B:I,8,0)*(((((E807*2.54)+VLOOKUP(D807,'Species Codes'!B:J,9,0))/VLOOKUP(D807,'Species Codes'!B:K,10,0))^VLOOKUP(D807,'Species Codes'!B:L,11,0))*((I807*0.3048)^VLOOKUP(D807,'Species Codes'!B:M,12,0))))-(VLOOKUP(D807,'Species Codes'!B:I,8,0)*((((E807*2.54)^VLOOKUP(D807,'Species Codes'!B:L,11,0))*((I807*0.3048)^VLOOKUP(D807,'Species Codes'!B:M,12,0))))))*35.3*VLOOKUP(D807,'Species Codes'!B:G,6,0)/2.2046,VLOOKUP(D807,'Species Codes'!B:I,8,0)+VLOOKUP(D807,'Species Codes'!B:J,9,0)*(((E807*2.54)/100)^2)*(I807*0.3048)))))*0.0011023),0)</f>
        <v>#N/A</v>
      </c>
      <c r="AC807" s="104" t="e">
        <f>IF(Z807&gt;0,((IF(OR(D807="RA",D807="OA",D807="OT",D807="UN",D807="PC"),EXP(VLOOKUP(D807,'Species Codes'!B:O,14,0)+VLOOKUP(D807,'Species Codes'!B:P,15,0)*LN((E807*2.54)))-EXP(VLOOKUP(D807,'Species Codes'!B:O,14,0)+VLOOKUP(D807,'Species Codes'!B:P,15,0)*LN((E807*2.54)))*(1/(VLOOKUP(D807,'Species Codes'!B:Q,16,0)+VLOOKUP(D807,'Species Codes'!B:R,17,0)*((E807*2.54)^VLOOKUP(D807,'Species Codes'!B:S,18,0)))),IF(OR(D807="BM",D807="MD",D807="OA"),EXP(VLOOKUP(D807,'Species Codes'!B:O,14,0)+VLOOKUP(D807,'Species Codes'!B:P,15,0)*LN((E807*2.54)))*(1-(1/(VLOOKUP(D807,'Species Codes'!B:Q,16,0)+VLOOKUP(D807,'Species Codes'!B:R,17,0)*((E807*2.54)^VLOOKUP(D807,'Species Codes'!B:S,18,0)))))/1000,IF(D807="DF",EXP(VLOOKUP(D807,'Species Codes'!B:O,14,0)+VLOOKUP(D807,'Species Codes'!B:P,15,0)*LN((E807*2.54))),VLOOKUP(D807,'Species Codes'!B:O,14,0)+VLOOKUP(D807,'Species Codes'!B:P,15,0)*(((E807*2.54)/100)^2)*(I807*0.3048)))))*0.0011023),0)</f>
        <v>#N/A</v>
      </c>
      <c r="AD807" s="104" t="e">
        <f t="shared" si="382"/>
        <v>#N/A</v>
      </c>
      <c r="AE807" s="104" t="e">
        <f t="shared" si="383"/>
        <v>#N/A</v>
      </c>
      <c r="AF807" s="104" t="e">
        <f>IF(AND(VLOOKUP($D807,Merchantability!$B:$C,2,0)="Yes",$E807&gt;=VLOOKUP($D807,Merchantability!$B:$D,3,0),$E807&lt;=VLOOKUP($D807,Merchantability!$B:$E,4,0)),AA807,0)</f>
        <v>#N/A</v>
      </c>
      <c r="AG807" s="104" t="e">
        <f>IF(AND(VLOOKUP($D807,Merchantability!$B:$C,2,0)="Yes",$E807&gt;=VLOOKUP($D807,Merchantability!$B:$D,3,0),$E807&lt;=VLOOKUP($D807,Merchantability!$B:$E,4,0)),AB807,0)</f>
        <v>#N/A</v>
      </c>
      <c r="AH807" s="104" t="e">
        <f>IF(AND(VLOOKUP($D807,Merchantability!$B:$C,2,0)="Yes",$E807&gt;=VLOOKUP($D807,Merchantability!$B:$D,3,0),$E807&lt;=VLOOKUP($D807,Merchantability!$B:$E,4,0)),AC807,0)</f>
        <v>#N/A</v>
      </c>
      <c r="AI807" s="104" t="e">
        <f t="shared" si="384"/>
        <v>#N/A</v>
      </c>
      <c r="AJ807" s="104" t="e">
        <f t="shared" si="385"/>
        <v>#VALUE!</v>
      </c>
      <c r="AK807" s="104" t="e">
        <f t="shared" si="386"/>
        <v>#N/A</v>
      </c>
      <c r="AL807" s="104" t="e">
        <f t="shared" si="387"/>
        <v>#N/A</v>
      </c>
      <c r="AM807" s="104" t="e">
        <f t="shared" si="388"/>
        <v>#N/A</v>
      </c>
      <c r="AN807" s="104" t="e">
        <f t="shared" si="372"/>
        <v>#N/A</v>
      </c>
      <c r="AO807" s="104" t="e">
        <f t="shared" si="373"/>
        <v>#N/A</v>
      </c>
      <c r="AP807" s="104" t="e">
        <f t="shared" si="374"/>
        <v>#N/A</v>
      </c>
      <c r="AQ807" s="104" t="e">
        <f t="shared" si="375"/>
        <v>#N/A</v>
      </c>
      <c r="AR807" s="105" t="str">
        <f t="shared" si="367"/>
        <v/>
      </c>
      <c r="AS807" s="105" t="str">
        <f t="shared" si="368"/>
        <v/>
      </c>
      <c r="AT807" s="108" t="str">
        <f t="shared" si="369"/>
        <v/>
      </c>
      <c r="AU807" s="108" t="str">
        <f t="shared" si="370"/>
        <v/>
      </c>
      <c r="AV807" s="107" t="str">
        <f>IF(ISNUMBER(O807),IF(VLOOKUP($A807,Stand!C:J,8,FALSE)="Short",AT807,AU807),"")</f>
        <v/>
      </c>
      <c r="AW807" s="109" t="str">
        <f t="shared" si="376"/>
        <v/>
      </c>
      <c r="AX807" s="109" t="str">
        <f t="shared" si="377"/>
        <v/>
      </c>
      <c r="AY807" s="112" t="str">
        <f>IF(ISNUMBER(O807),IF(AND(VLOOKUP($D807,Merchantability!$B:$C,2,0)="Yes",$E807&gt;=VLOOKUP($D807,Merchantability!$B:$D,3,0),$E807&lt;=VLOOKUP($D807,Merchantability!$B:$E,4,0)),(AV807*O807)*(1-$H807/100),""),"")</f>
        <v/>
      </c>
      <c r="AZ807" s="116"/>
      <c r="BA807" s="116"/>
      <c r="BB807" s="116"/>
      <c r="BE807" s="62"/>
      <c r="BF807" s="63"/>
    </row>
    <row r="808" spans="1:58" ht="12.75" customHeight="1" x14ac:dyDescent="0.25">
      <c r="A808" s="313"/>
      <c r="B808" s="328"/>
      <c r="C808" s="329"/>
      <c r="D808" s="328"/>
      <c r="E808" s="330"/>
      <c r="F808" s="328"/>
      <c r="G808" s="329"/>
      <c r="H808" s="329"/>
      <c r="I808" s="328"/>
      <c r="J808" s="383"/>
      <c r="K808" s="329"/>
      <c r="L808" s="329"/>
      <c r="M808" s="76"/>
      <c r="N808" s="103" t="str">
        <f>IF(A808="","",VLOOKUP(A808,Stand!C:K,9,0))</f>
        <v/>
      </c>
      <c r="O808" s="104" t="str">
        <f t="shared" si="362"/>
        <v/>
      </c>
      <c r="P808" s="105" t="str">
        <f t="shared" si="363"/>
        <v/>
      </c>
      <c r="Q808" s="105" t="str">
        <f t="shared" si="378"/>
        <v/>
      </c>
      <c r="R808" s="103" t="str">
        <f t="shared" si="364"/>
        <v/>
      </c>
      <c r="S808" s="103" t="str">
        <f t="shared" si="365"/>
        <v/>
      </c>
      <c r="T808" s="106" t="str">
        <f t="shared" si="379"/>
        <v/>
      </c>
      <c r="U808" s="106" t="str">
        <f t="shared" si="380"/>
        <v/>
      </c>
      <c r="V808" s="106" t="str">
        <f t="shared" si="381"/>
        <v/>
      </c>
      <c r="W808" s="105" t="str">
        <f t="shared" si="366"/>
        <v/>
      </c>
      <c r="X808" s="104" t="str">
        <f t="shared" si="371"/>
        <v/>
      </c>
      <c r="Y808" s="104" t="str">
        <f t="array" ref="Y808">IFERROR(IF(ISNUMBER(O808),IF(COUNT(IF(A808=$A$2:$A$2427,IF(D808=$D$2:$D$2427,IF($X$2:$X$2427&gt;0,1))))&gt;0,SUM(IF(A808=$A$2:$A$2427,IF(D808=$D$2:$D$2427,$X$2:$X$2427)))/COUNT(IF(A808=$A$2:$A$2427,IF(D808=$D$2:$D$2427,IF(ISNUMBER($X$2:$X$2427),1)))),0),""),0)</f>
        <v/>
      </c>
      <c r="Z808" s="104" t="str">
        <f>IF(ISNUMBER(O808),IF(I808&gt;0,(10^(VLOOKUP(D808,'Species Codes'!B:C,2,0)+VLOOKUP(D808,'Species Codes'!B:D,3,0)*LOG(E808)+VLOOKUP(D808,'Species Codes'!B:E,4,0)*LOG(I808))),0),"")</f>
        <v/>
      </c>
      <c r="AA808" s="104" t="str">
        <f>IFERROR((VLOOKUP(D808,'Species Codes'!B:G,6,0)*Z808)/2000,"")</f>
        <v/>
      </c>
      <c r="AB808" s="104" t="e">
        <f>IF(Z808&gt;0,((IF(OR(D808="DF",D808="RA")=TRUE,EXP(VLOOKUP(D808,'Species Codes'!B:I,8,0)+VLOOKUP(D808,'Species Codes'!B:J,9,0)*(LN((E808*2.54)))),IF(OR(D808="PY",D808="RC",D808="WH",D808="NF")=TRUE,VLOOKUP(D808,'Species Codes'!B:I,8,0)+VLOOKUP(D808,'Species Codes'!B:J,9,0)*((E808*2.54)^2)*(I808*0.3048),IF(OR(D808="MD",D808="BM",D808="GA")=TRUE,((VLOOKUP(D808,'Species Codes'!B:I,8,0)*(((((E808*2.54)+VLOOKUP(D808,'Species Codes'!B:J,9,0))/VLOOKUP(D808,'Species Codes'!B:K,10,0))^VLOOKUP(D808,'Species Codes'!B:L,11,0))*((I808*0.3048)^VLOOKUP(D808,'Species Codes'!B:M,12,0))))-(VLOOKUP(D808,'Species Codes'!B:I,8,0)*((((E808*2.54)^VLOOKUP(D808,'Species Codes'!B:L,11,0))*((I808*0.3048)^VLOOKUP(D808,'Species Codes'!B:M,12,0))))))*35.3*VLOOKUP(D808,'Species Codes'!B:G,6,0)/2.2046,VLOOKUP(D808,'Species Codes'!B:I,8,0)+VLOOKUP(D808,'Species Codes'!B:J,9,0)*(((E808*2.54)/100)^2)*(I808*0.3048)))))*0.0011023),0)</f>
        <v>#N/A</v>
      </c>
      <c r="AC808" s="104" t="e">
        <f>IF(Z808&gt;0,((IF(OR(D808="RA",D808="OA",D808="OT",D808="UN",D808="PC"),EXP(VLOOKUP(D808,'Species Codes'!B:O,14,0)+VLOOKUP(D808,'Species Codes'!B:P,15,0)*LN((E808*2.54)))-EXP(VLOOKUP(D808,'Species Codes'!B:O,14,0)+VLOOKUP(D808,'Species Codes'!B:P,15,0)*LN((E808*2.54)))*(1/(VLOOKUP(D808,'Species Codes'!B:Q,16,0)+VLOOKUP(D808,'Species Codes'!B:R,17,0)*((E808*2.54)^VLOOKUP(D808,'Species Codes'!B:S,18,0)))),IF(OR(D808="BM",D808="MD",D808="OA"),EXP(VLOOKUP(D808,'Species Codes'!B:O,14,0)+VLOOKUP(D808,'Species Codes'!B:P,15,0)*LN((E808*2.54)))*(1-(1/(VLOOKUP(D808,'Species Codes'!B:Q,16,0)+VLOOKUP(D808,'Species Codes'!B:R,17,0)*((E808*2.54)^VLOOKUP(D808,'Species Codes'!B:S,18,0)))))/1000,IF(D808="DF",EXP(VLOOKUP(D808,'Species Codes'!B:O,14,0)+VLOOKUP(D808,'Species Codes'!B:P,15,0)*LN((E808*2.54))),VLOOKUP(D808,'Species Codes'!B:O,14,0)+VLOOKUP(D808,'Species Codes'!B:P,15,0)*(((E808*2.54)/100)^2)*(I808*0.3048)))))*0.0011023),0)</f>
        <v>#N/A</v>
      </c>
      <c r="AD808" s="104" t="e">
        <f t="shared" si="382"/>
        <v>#N/A</v>
      </c>
      <c r="AE808" s="104" t="e">
        <f t="shared" si="383"/>
        <v>#N/A</v>
      </c>
      <c r="AF808" s="104" t="e">
        <f>IF(AND(VLOOKUP($D808,Merchantability!$B:$C,2,0)="Yes",$E808&gt;=VLOOKUP($D808,Merchantability!$B:$D,3,0),$E808&lt;=VLOOKUP($D808,Merchantability!$B:$E,4,0)),AA808,0)</f>
        <v>#N/A</v>
      </c>
      <c r="AG808" s="104" t="e">
        <f>IF(AND(VLOOKUP($D808,Merchantability!$B:$C,2,0)="Yes",$E808&gt;=VLOOKUP($D808,Merchantability!$B:$D,3,0),$E808&lt;=VLOOKUP($D808,Merchantability!$B:$E,4,0)),AB808,0)</f>
        <v>#N/A</v>
      </c>
      <c r="AH808" s="104" t="e">
        <f>IF(AND(VLOOKUP($D808,Merchantability!$B:$C,2,0)="Yes",$E808&gt;=VLOOKUP($D808,Merchantability!$B:$D,3,0),$E808&lt;=VLOOKUP($D808,Merchantability!$B:$E,4,0)),AC808,0)</f>
        <v>#N/A</v>
      </c>
      <c r="AI808" s="104" t="e">
        <f t="shared" si="384"/>
        <v>#N/A</v>
      </c>
      <c r="AJ808" s="104" t="e">
        <f t="shared" si="385"/>
        <v>#VALUE!</v>
      </c>
      <c r="AK808" s="104" t="e">
        <f t="shared" si="386"/>
        <v>#N/A</v>
      </c>
      <c r="AL808" s="104" t="e">
        <f t="shared" si="387"/>
        <v>#N/A</v>
      </c>
      <c r="AM808" s="104" t="e">
        <f t="shared" si="388"/>
        <v>#N/A</v>
      </c>
      <c r="AN808" s="104" t="e">
        <f t="shared" si="372"/>
        <v>#N/A</v>
      </c>
      <c r="AO808" s="104" t="e">
        <f t="shared" si="373"/>
        <v>#N/A</v>
      </c>
      <c r="AP808" s="104" t="e">
        <f t="shared" si="374"/>
        <v>#N/A</v>
      </c>
      <c r="AQ808" s="104" t="e">
        <f t="shared" si="375"/>
        <v>#N/A</v>
      </c>
      <c r="AR808" s="105" t="str">
        <f t="shared" si="367"/>
        <v/>
      </c>
      <c r="AS808" s="105" t="str">
        <f t="shared" si="368"/>
        <v/>
      </c>
      <c r="AT808" s="108" t="str">
        <f t="shared" si="369"/>
        <v/>
      </c>
      <c r="AU808" s="108" t="str">
        <f t="shared" si="370"/>
        <v/>
      </c>
      <c r="AV808" s="107" t="str">
        <f>IF(ISNUMBER(O808),IF(VLOOKUP($A808,Stand!C:J,8,FALSE)="Short",AT808,AU808),"")</f>
        <v/>
      </c>
      <c r="AW808" s="109" t="str">
        <f t="shared" si="376"/>
        <v/>
      </c>
      <c r="AX808" s="109" t="str">
        <f t="shared" si="377"/>
        <v/>
      </c>
      <c r="AY808" s="112" t="str">
        <f>IF(ISNUMBER(O808),IF(AND(VLOOKUP($D808,Merchantability!$B:$C,2,0)="Yes",$E808&gt;=VLOOKUP($D808,Merchantability!$B:$D,3,0),$E808&lt;=VLOOKUP($D808,Merchantability!$B:$E,4,0)),(AV808*O808)*(1-$H808/100),""),"")</f>
        <v/>
      </c>
      <c r="AZ808" s="116"/>
      <c r="BA808" s="116"/>
      <c r="BB808" s="116"/>
      <c r="BE808" s="62"/>
      <c r="BF808" s="63"/>
    </row>
    <row r="809" spans="1:58" ht="12.75" customHeight="1" x14ac:dyDescent="0.25">
      <c r="A809" s="313"/>
      <c r="B809" s="328"/>
      <c r="C809" s="329"/>
      <c r="D809" s="328"/>
      <c r="E809" s="330"/>
      <c r="F809" s="328"/>
      <c r="G809" s="329"/>
      <c r="H809" s="329"/>
      <c r="I809" s="328"/>
      <c r="J809" s="383"/>
      <c r="K809" s="329"/>
      <c r="L809" s="329"/>
      <c r="M809" s="76"/>
      <c r="N809" s="103" t="str">
        <f>IF(A809="","",VLOOKUP(A809,Stand!C:K,9,0))</f>
        <v/>
      </c>
      <c r="O809" s="104" t="str">
        <f t="shared" si="362"/>
        <v/>
      </c>
      <c r="P809" s="105" t="str">
        <f t="shared" si="363"/>
        <v/>
      </c>
      <c r="Q809" s="105" t="str">
        <f t="shared" si="378"/>
        <v/>
      </c>
      <c r="R809" s="103" t="str">
        <f t="shared" si="364"/>
        <v/>
      </c>
      <c r="S809" s="103" t="str">
        <f t="shared" si="365"/>
        <v/>
      </c>
      <c r="T809" s="106" t="str">
        <f t="shared" si="379"/>
        <v/>
      </c>
      <c r="U809" s="106" t="str">
        <f t="shared" si="380"/>
        <v/>
      </c>
      <c r="V809" s="106" t="str">
        <f t="shared" si="381"/>
        <v/>
      </c>
      <c r="W809" s="105" t="str">
        <f t="shared" si="366"/>
        <v/>
      </c>
      <c r="X809" s="104" t="str">
        <f t="shared" si="371"/>
        <v/>
      </c>
      <c r="Y809" s="104" t="str">
        <f t="array" ref="Y809">IFERROR(IF(ISNUMBER(O809),IF(COUNT(IF(A809=$A$2:$A$2427,IF(D809=$D$2:$D$2427,IF($X$2:$X$2427&gt;0,1))))&gt;0,SUM(IF(A809=$A$2:$A$2427,IF(D809=$D$2:$D$2427,$X$2:$X$2427)))/COUNT(IF(A809=$A$2:$A$2427,IF(D809=$D$2:$D$2427,IF(ISNUMBER($X$2:$X$2427),1)))),0),""),0)</f>
        <v/>
      </c>
      <c r="Z809" s="104" t="str">
        <f>IF(ISNUMBER(O809),IF(I809&gt;0,(10^(VLOOKUP(D809,'Species Codes'!B:C,2,0)+VLOOKUP(D809,'Species Codes'!B:D,3,0)*LOG(E809)+VLOOKUP(D809,'Species Codes'!B:E,4,0)*LOG(I809))),0),"")</f>
        <v/>
      </c>
      <c r="AA809" s="104" t="str">
        <f>IFERROR((VLOOKUP(D809,'Species Codes'!B:G,6,0)*Z809)/2000,"")</f>
        <v/>
      </c>
      <c r="AB809" s="104" t="e">
        <f>IF(Z809&gt;0,((IF(OR(D809="DF",D809="RA")=TRUE,EXP(VLOOKUP(D809,'Species Codes'!B:I,8,0)+VLOOKUP(D809,'Species Codes'!B:J,9,0)*(LN((E809*2.54)))),IF(OR(D809="PY",D809="RC",D809="WH",D809="NF")=TRUE,VLOOKUP(D809,'Species Codes'!B:I,8,0)+VLOOKUP(D809,'Species Codes'!B:J,9,0)*((E809*2.54)^2)*(I809*0.3048),IF(OR(D809="MD",D809="BM",D809="GA")=TRUE,((VLOOKUP(D809,'Species Codes'!B:I,8,0)*(((((E809*2.54)+VLOOKUP(D809,'Species Codes'!B:J,9,0))/VLOOKUP(D809,'Species Codes'!B:K,10,0))^VLOOKUP(D809,'Species Codes'!B:L,11,0))*((I809*0.3048)^VLOOKUP(D809,'Species Codes'!B:M,12,0))))-(VLOOKUP(D809,'Species Codes'!B:I,8,0)*((((E809*2.54)^VLOOKUP(D809,'Species Codes'!B:L,11,0))*((I809*0.3048)^VLOOKUP(D809,'Species Codes'!B:M,12,0))))))*35.3*VLOOKUP(D809,'Species Codes'!B:G,6,0)/2.2046,VLOOKUP(D809,'Species Codes'!B:I,8,0)+VLOOKUP(D809,'Species Codes'!B:J,9,0)*(((E809*2.54)/100)^2)*(I809*0.3048)))))*0.0011023),0)</f>
        <v>#N/A</v>
      </c>
      <c r="AC809" s="104" t="e">
        <f>IF(Z809&gt;0,((IF(OR(D809="RA",D809="OA",D809="OT",D809="UN",D809="PC"),EXP(VLOOKUP(D809,'Species Codes'!B:O,14,0)+VLOOKUP(D809,'Species Codes'!B:P,15,0)*LN((E809*2.54)))-EXP(VLOOKUP(D809,'Species Codes'!B:O,14,0)+VLOOKUP(D809,'Species Codes'!B:P,15,0)*LN((E809*2.54)))*(1/(VLOOKUP(D809,'Species Codes'!B:Q,16,0)+VLOOKUP(D809,'Species Codes'!B:R,17,0)*((E809*2.54)^VLOOKUP(D809,'Species Codes'!B:S,18,0)))),IF(OR(D809="BM",D809="MD",D809="OA"),EXP(VLOOKUP(D809,'Species Codes'!B:O,14,0)+VLOOKUP(D809,'Species Codes'!B:P,15,0)*LN((E809*2.54)))*(1-(1/(VLOOKUP(D809,'Species Codes'!B:Q,16,0)+VLOOKUP(D809,'Species Codes'!B:R,17,0)*((E809*2.54)^VLOOKUP(D809,'Species Codes'!B:S,18,0)))))/1000,IF(D809="DF",EXP(VLOOKUP(D809,'Species Codes'!B:O,14,0)+VLOOKUP(D809,'Species Codes'!B:P,15,0)*LN((E809*2.54))),VLOOKUP(D809,'Species Codes'!B:O,14,0)+VLOOKUP(D809,'Species Codes'!B:P,15,0)*(((E809*2.54)/100)^2)*(I809*0.3048)))))*0.0011023),0)</f>
        <v>#N/A</v>
      </c>
      <c r="AD809" s="104" t="e">
        <f t="shared" si="382"/>
        <v>#N/A</v>
      </c>
      <c r="AE809" s="104" t="e">
        <f t="shared" si="383"/>
        <v>#N/A</v>
      </c>
      <c r="AF809" s="104" t="e">
        <f>IF(AND(VLOOKUP($D809,Merchantability!$B:$C,2,0)="Yes",$E809&gt;=VLOOKUP($D809,Merchantability!$B:$D,3,0),$E809&lt;=VLOOKUP($D809,Merchantability!$B:$E,4,0)),AA809,0)</f>
        <v>#N/A</v>
      </c>
      <c r="AG809" s="104" t="e">
        <f>IF(AND(VLOOKUP($D809,Merchantability!$B:$C,2,0)="Yes",$E809&gt;=VLOOKUP($D809,Merchantability!$B:$D,3,0),$E809&lt;=VLOOKUP($D809,Merchantability!$B:$E,4,0)),AB809,0)</f>
        <v>#N/A</v>
      </c>
      <c r="AH809" s="104" t="e">
        <f>IF(AND(VLOOKUP($D809,Merchantability!$B:$C,2,0)="Yes",$E809&gt;=VLOOKUP($D809,Merchantability!$B:$D,3,0),$E809&lt;=VLOOKUP($D809,Merchantability!$B:$E,4,0)),AC809,0)</f>
        <v>#N/A</v>
      </c>
      <c r="AI809" s="104" t="e">
        <f t="shared" si="384"/>
        <v>#N/A</v>
      </c>
      <c r="AJ809" s="104" t="e">
        <f t="shared" si="385"/>
        <v>#VALUE!</v>
      </c>
      <c r="AK809" s="104" t="e">
        <f t="shared" si="386"/>
        <v>#N/A</v>
      </c>
      <c r="AL809" s="104" t="e">
        <f t="shared" si="387"/>
        <v>#N/A</v>
      </c>
      <c r="AM809" s="104" t="e">
        <f t="shared" si="388"/>
        <v>#N/A</v>
      </c>
      <c r="AN809" s="104" t="e">
        <f t="shared" si="372"/>
        <v>#N/A</v>
      </c>
      <c r="AO809" s="104" t="e">
        <f t="shared" si="373"/>
        <v>#N/A</v>
      </c>
      <c r="AP809" s="104" t="e">
        <f t="shared" si="374"/>
        <v>#N/A</v>
      </c>
      <c r="AQ809" s="104" t="e">
        <f t="shared" si="375"/>
        <v>#N/A</v>
      </c>
      <c r="AR809" s="105" t="str">
        <f t="shared" si="367"/>
        <v/>
      </c>
      <c r="AS809" s="105" t="str">
        <f t="shared" si="368"/>
        <v/>
      </c>
      <c r="AT809" s="108" t="str">
        <f t="shared" si="369"/>
        <v/>
      </c>
      <c r="AU809" s="108" t="str">
        <f t="shared" si="370"/>
        <v/>
      </c>
      <c r="AV809" s="107" t="str">
        <f>IF(ISNUMBER(O809),IF(VLOOKUP($A809,Stand!C:J,8,FALSE)="Short",AT809,AU809),"")</f>
        <v/>
      </c>
      <c r="AW809" s="109" t="str">
        <f t="shared" si="376"/>
        <v/>
      </c>
      <c r="AX809" s="109" t="str">
        <f t="shared" si="377"/>
        <v/>
      </c>
      <c r="AY809" s="112" t="str">
        <f>IF(ISNUMBER(O809),IF(AND(VLOOKUP($D809,Merchantability!$B:$C,2,0)="Yes",$E809&gt;=VLOOKUP($D809,Merchantability!$B:$D,3,0),$E809&lt;=VLOOKUP($D809,Merchantability!$B:$E,4,0)),(AV809*O809)*(1-$H809/100),""),"")</f>
        <v/>
      </c>
      <c r="AZ809" s="116"/>
      <c r="BA809" s="116"/>
      <c r="BB809" s="116"/>
      <c r="BE809" s="62"/>
      <c r="BF809" s="63"/>
    </row>
    <row r="810" spans="1:58" ht="12.75" customHeight="1" x14ac:dyDescent="0.25">
      <c r="A810" s="313"/>
      <c r="B810" s="328"/>
      <c r="C810" s="329"/>
      <c r="D810" s="328"/>
      <c r="E810" s="330"/>
      <c r="F810" s="328"/>
      <c r="G810" s="329"/>
      <c r="H810" s="329"/>
      <c r="I810" s="328"/>
      <c r="J810" s="383"/>
      <c r="K810" s="329"/>
      <c r="L810" s="329"/>
      <c r="M810" s="76"/>
      <c r="N810" s="103" t="str">
        <f>IF(A810="","",VLOOKUP(A810,Stand!C:K,9,0))</f>
        <v/>
      </c>
      <c r="O810" s="104" t="str">
        <f t="shared" si="362"/>
        <v/>
      </c>
      <c r="P810" s="105" t="str">
        <f t="shared" si="363"/>
        <v/>
      </c>
      <c r="Q810" s="105" t="str">
        <f t="shared" si="378"/>
        <v/>
      </c>
      <c r="R810" s="103" t="str">
        <f t="shared" si="364"/>
        <v/>
      </c>
      <c r="S810" s="103" t="str">
        <f t="shared" si="365"/>
        <v/>
      </c>
      <c r="T810" s="106" t="str">
        <f t="shared" si="379"/>
        <v/>
      </c>
      <c r="U810" s="106" t="str">
        <f t="shared" si="380"/>
        <v/>
      </c>
      <c r="V810" s="106" t="str">
        <f t="shared" si="381"/>
        <v/>
      </c>
      <c r="W810" s="105" t="str">
        <f t="shared" si="366"/>
        <v/>
      </c>
      <c r="X810" s="104" t="str">
        <f t="shared" si="371"/>
        <v/>
      </c>
      <c r="Y810" s="104" t="str">
        <f t="array" ref="Y810">IFERROR(IF(ISNUMBER(O810),IF(COUNT(IF(A810=$A$2:$A$2427,IF(D810=$D$2:$D$2427,IF($X$2:$X$2427&gt;0,1))))&gt;0,SUM(IF(A810=$A$2:$A$2427,IF(D810=$D$2:$D$2427,$X$2:$X$2427)))/COUNT(IF(A810=$A$2:$A$2427,IF(D810=$D$2:$D$2427,IF(ISNUMBER($X$2:$X$2427),1)))),0),""),0)</f>
        <v/>
      </c>
      <c r="Z810" s="104" t="str">
        <f>IF(ISNUMBER(O810),IF(I810&gt;0,(10^(VLOOKUP(D810,'Species Codes'!B:C,2,0)+VLOOKUP(D810,'Species Codes'!B:D,3,0)*LOG(E810)+VLOOKUP(D810,'Species Codes'!B:E,4,0)*LOG(I810))),0),"")</f>
        <v/>
      </c>
      <c r="AA810" s="104" t="str">
        <f>IFERROR((VLOOKUP(D810,'Species Codes'!B:G,6,0)*Z810)/2000,"")</f>
        <v/>
      </c>
      <c r="AB810" s="104" t="e">
        <f>IF(Z810&gt;0,((IF(OR(D810="DF",D810="RA")=TRUE,EXP(VLOOKUP(D810,'Species Codes'!B:I,8,0)+VLOOKUP(D810,'Species Codes'!B:J,9,0)*(LN((E810*2.54)))),IF(OR(D810="PY",D810="RC",D810="WH",D810="NF")=TRUE,VLOOKUP(D810,'Species Codes'!B:I,8,0)+VLOOKUP(D810,'Species Codes'!B:J,9,0)*((E810*2.54)^2)*(I810*0.3048),IF(OR(D810="MD",D810="BM",D810="GA")=TRUE,((VLOOKUP(D810,'Species Codes'!B:I,8,0)*(((((E810*2.54)+VLOOKUP(D810,'Species Codes'!B:J,9,0))/VLOOKUP(D810,'Species Codes'!B:K,10,0))^VLOOKUP(D810,'Species Codes'!B:L,11,0))*((I810*0.3048)^VLOOKUP(D810,'Species Codes'!B:M,12,0))))-(VLOOKUP(D810,'Species Codes'!B:I,8,0)*((((E810*2.54)^VLOOKUP(D810,'Species Codes'!B:L,11,0))*((I810*0.3048)^VLOOKUP(D810,'Species Codes'!B:M,12,0))))))*35.3*VLOOKUP(D810,'Species Codes'!B:G,6,0)/2.2046,VLOOKUP(D810,'Species Codes'!B:I,8,0)+VLOOKUP(D810,'Species Codes'!B:J,9,0)*(((E810*2.54)/100)^2)*(I810*0.3048)))))*0.0011023),0)</f>
        <v>#N/A</v>
      </c>
      <c r="AC810" s="104" t="e">
        <f>IF(Z810&gt;0,((IF(OR(D810="RA",D810="OA",D810="OT",D810="UN",D810="PC"),EXP(VLOOKUP(D810,'Species Codes'!B:O,14,0)+VLOOKUP(D810,'Species Codes'!B:P,15,0)*LN((E810*2.54)))-EXP(VLOOKUP(D810,'Species Codes'!B:O,14,0)+VLOOKUP(D810,'Species Codes'!B:P,15,0)*LN((E810*2.54)))*(1/(VLOOKUP(D810,'Species Codes'!B:Q,16,0)+VLOOKUP(D810,'Species Codes'!B:R,17,0)*((E810*2.54)^VLOOKUP(D810,'Species Codes'!B:S,18,0)))),IF(OR(D810="BM",D810="MD",D810="OA"),EXP(VLOOKUP(D810,'Species Codes'!B:O,14,0)+VLOOKUP(D810,'Species Codes'!B:P,15,0)*LN((E810*2.54)))*(1-(1/(VLOOKUP(D810,'Species Codes'!B:Q,16,0)+VLOOKUP(D810,'Species Codes'!B:R,17,0)*((E810*2.54)^VLOOKUP(D810,'Species Codes'!B:S,18,0)))))/1000,IF(D810="DF",EXP(VLOOKUP(D810,'Species Codes'!B:O,14,0)+VLOOKUP(D810,'Species Codes'!B:P,15,0)*LN((E810*2.54))),VLOOKUP(D810,'Species Codes'!B:O,14,0)+VLOOKUP(D810,'Species Codes'!B:P,15,0)*(((E810*2.54)/100)^2)*(I810*0.3048)))))*0.0011023),0)</f>
        <v>#N/A</v>
      </c>
      <c r="AD810" s="104" t="e">
        <f t="shared" si="382"/>
        <v>#N/A</v>
      </c>
      <c r="AE810" s="104" t="e">
        <f t="shared" si="383"/>
        <v>#N/A</v>
      </c>
      <c r="AF810" s="104" t="e">
        <f>IF(AND(VLOOKUP($D810,Merchantability!$B:$C,2,0)="Yes",$E810&gt;=VLOOKUP($D810,Merchantability!$B:$D,3,0),$E810&lt;=VLOOKUP($D810,Merchantability!$B:$E,4,0)),AA810,0)</f>
        <v>#N/A</v>
      </c>
      <c r="AG810" s="104" t="e">
        <f>IF(AND(VLOOKUP($D810,Merchantability!$B:$C,2,0)="Yes",$E810&gt;=VLOOKUP($D810,Merchantability!$B:$D,3,0),$E810&lt;=VLOOKUP($D810,Merchantability!$B:$E,4,0)),AB810,0)</f>
        <v>#N/A</v>
      </c>
      <c r="AH810" s="104" t="e">
        <f>IF(AND(VLOOKUP($D810,Merchantability!$B:$C,2,0)="Yes",$E810&gt;=VLOOKUP($D810,Merchantability!$B:$D,3,0),$E810&lt;=VLOOKUP($D810,Merchantability!$B:$E,4,0)),AC810,0)</f>
        <v>#N/A</v>
      </c>
      <c r="AI810" s="104" t="e">
        <f t="shared" si="384"/>
        <v>#N/A</v>
      </c>
      <c r="AJ810" s="104" t="e">
        <f t="shared" si="385"/>
        <v>#VALUE!</v>
      </c>
      <c r="AK810" s="104" t="e">
        <f t="shared" si="386"/>
        <v>#N/A</v>
      </c>
      <c r="AL810" s="104" t="e">
        <f t="shared" si="387"/>
        <v>#N/A</v>
      </c>
      <c r="AM810" s="104" t="e">
        <f t="shared" si="388"/>
        <v>#N/A</v>
      </c>
      <c r="AN810" s="104" t="e">
        <f t="shared" si="372"/>
        <v>#N/A</v>
      </c>
      <c r="AO810" s="104" t="e">
        <f t="shared" si="373"/>
        <v>#N/A</v>
      </c>
      <c r="AP810" s="104" t="e">
        <f t="shared" si="374"/>
        <v>#N/A</v>
      </c>
      <c r="AQ810" s="104" t="e">
        <f t="shared" si="375"/>
        <v>#N/A</v>
      </c>
      <c r="AR810" s="105" t="str">
        <f t="shared" si="367"/>
        <v/>
      </c>
      <c r="AS810" s="105" t="str">
        <f t="shared" si="368"/>
        <v/>
      </c>
      <c r="AT810" s="108" t="str">
        <f t="shared" si="369"/>
        <v/>
      </c>
      <c r="AU810" s="108" t="str">
        <f t="shared" si="370"/>
        <v/>
      </c>
      <c r="AV810" s="107" t="str">
        <f>IF(ISNUMBER(O810),IF(VLOOKUP($A810,Stand!C:J,8,FALSE)="Short",AT810,AU810),"")</f>
        <v/>
      </c>
      <c r="AW810" s="109" t="str">
        <f t="shared" si="376"/>
        <v/>
      </c>
      <c r="AX810" s="109" t="str">
        <f t="shared" si="377"/>
        <v/>
      </c>
      <c r="AY810" s="112" t="str">
        <f>IF(ISNUMBER(O810),IF(AND(VLOOKUP($D810,Merchantability!$B:$C,2,0)="Yes",$E810&gt;=VLOOKUP($D810,Merchantability!$B:$D,3,0),$E810&lt;=VLOOKUP($D810,Merchantability!$B:$E,4,0)),(AV810*O810)*(1-$H810/100),""),"")</f>
        <v/>
      </c>
      <c r="AZ810" s="116"/>
      <c r="BA810" s="116"/>
      <c r="BB810" s="116"/>
      <c r="BE810" s="62"/>
      <c r="BF810" s="63"/>
    </row>
    <row r="811" spans="1:58" ht="12.75" customHeight="1" x14ac:dyDescent="0.25">
      <c r="A811" s="313"/>
      <c r="B811" s="328"/>
      <c r="C811" s="329"/>
      <c r="D811" s="328"/>
      <c r="E811" s="330"/>
      <c r="F811" s="328"/>
      <c r="G811" s="329"/>
      <c r="H811" s="329"/>
      <c r="I811" s="328"/>
      <c r="J811" s="383"/>
      <c r="K811" s="329"/>
      <c r="L811" s="329"/>
      <c r="M811" s="76"/>
      <c r="N811" s="103" t="str">
        <f>IF(A811="","",VLOOKUP(A811,Stand!C:K,9,0))</f>
        <v/>
      </c>
      <c r="O811" s="104" t="str">
        <f t="shared" si="362"/>
        <v/>
      </c>
      <c r="P811" s="105" t="str">
        <f t="shared" si="363"/>
        <v/>
      </c>
      <c r="Q811" s="105" t="str">
        <f t="shared" si="378"/>
        <v/>
      </c>
      <c r="R811" s="103" t="str">
        <f t="shared" si="364"/>
        <v/>
      </c>
      <c r="S811" s="103" t="str">
        <f t="shared" si="365"/>
        <v/>
      </c>
      <c r="T811" s="106" t="str">
        <f t="shared" si="379"/>
        <v/>
      </c>
      <c r="U811" s="106" t="str">
        <f t="shared" si="380"/>
        <v/>
      </c>
      <c r="V811" s="106" t="str">
        <f t="shared" si="381"/>
        <v/>
      </c>
      <c r="W811" s="105" t="str">
        <f t="shared" si="366"/>
        <v/>
      </c>
      <c r="X811" s="104" t="str">
        <f t="shared" si="371"/>
        <v/>
      </c>
      <c r="Y811" s="104" t="str">
        <f t="array" ref="Y811">IFERROR(IF(ISNUMBER(O811),IF(COUNT(IF(A811=$A$2:$A$2427,IF(D811=$D$2:$D$2427,IF($X$2:$X$2427&gt;0,1))))&gt;0,SUM(IF(A811=$A$2:$A$2427,IF(D811=$D$2:$D$2427,$X$2:$X$2427)))/COUNT(IF(A811=$A$2:$A$2427,IF(D811=$D$2:$D$2427,IF(ISNUMBER($X$2:$X$2427),1)))),0),""),0)</f>
        <v/>
      </c>
      <c r="Z811" s="104" t="str">
        <f>IF(ISNUMBER(O811),IF(I811&gt;0,(10^(VLOOKUP(D811,'Species Codes'!B:C,2,0)+VLOOKUP(D811,'Species Codes'!B:D,3,0)*LOG(E811)+VLOOKUP(D811,'Species Codes'!B:E,4,0)*LOG(I811))),0),"")</f>
        <v/>
      </c>
      <c r="AA811" s="104" t="str">
        <f>IFERROR((VLOOKUP(D811,'Species Codes'!B:G,6,0)*Z811)/2000,"")</f>
        <v/>
      </c>
      <c r="AB811" s="104" t="e">
        <f>IF(Z811&gt;0,((IF(OR(D811="DF",D811="RA")=TRUE,EXP(VLOOKUP(D811,'Species Codes'!B:I,8,0)+VLOOKUP(D811,'Species Codes'!B:J,9,0)*(LN((E811*2.54)))),IF(OR(D811="PY",D811="RC",D811="WH",D811="NF")=TRUE,VLOOKUP(D811,'Species Codes'!B:I,8,0)+VLOOKUP(D811,'Species Codes'!B:J,9,0)*((E811*2.54)^2)*(I811*0.3048),IF(OR(D811="MD",D811="BM",D811="GA")=TRUE,((VLOOKUP(D811,'Species Codes'!B:I,8,0)*(((((E811*2.54)+VLOOKUP(D811,'Species Codes'!B:J,9,0))/VLOOKUP(D811,'Species Codes'!B:K,10,0))^VLOOKUP(D811,'Species Codes'!B:L,11,0))*((I811*0.3048)^VLOOKUP(D811,'Species Codes'!B:M,12,0))))-(VLOOKUP(D811,'Species Codes'!B:I,8,0)*((((E811*2.54)^VLOOKUP(D811,'Species Codes'!B:L,11,0))*((I811*0.3048)^VLOOKUP(D811,'Species Codes'!B:M,12,0))))))*35.3*VLOOKUP(D811,'Species Codes'!B:G,6,0)/2.2046,VLOOKUP(D811,'Species Codes'!B:I,8,0)+VLOOKUP(D811,'Species Codes'!B:J,9,0)*(((E811*2.54)/100)^2)*(I811*0.3048)))))*0.0011023),0)</f>
        <v>#N/A</v>
      </c>
      <c r="AC811" s="104" t="e">
        <f>IF(Z811&gt;0,((IF(OR(D811="RA",D811="OA",D811="OT",D811="UN",D811="PC"),EXP(VLOOKUP(D811,'Species Codes'!B:O,14,0)+VLOOKUP(D811,'Species Codes'!B:P,15,0)*LN((E811*2.54)))-EXP(VLOOKUP(D811,'Species Codes'!B:O,14,0)+VLOOKUP(D811,'Species Codes'!B:P,15,0)*LN((E811*2.54)))*(1/(VLOOKUP(D811,'Species Codes'!B:Q,16,0)+VLOOKUP(D811,'Species Codes'!B:R,17,0)*((E811*2.54)^VLOOKUP(D811,'Species Codes'!B:S,18,0)))),IF(OR(D811="BM",D811="MD",D811="OA"),EXP(VLOOKUP(D811,'Species Codes'!B:O,14,0)+VLOOKUP(D811,'Species Codes'!B:P,15,0)*LN((E811*2.54)))*(1-(1/(VLOOKUP(D811,'Species Codes'!B:Q,16,0)+VLOOKUP(D811,'Species Codes'!B:R,17,0)*((E811*2.54)^VLOOKUP(D811,'Species Codes'!B:S,18,0)))))/1000,IF(D811="DF",EXP(VLOOKUP(D811,'Species Codes'!B:O,14,0)+VLOOKUP(D811,'Species Codes'!B:P,15,0)*LN((E811*2.54))),VLOOKUP(D811,'Species Codes'!B:O,14,0)+VLOOKUP(D811,'Species Codes'!B:P,15,0)*(((E811*2.54)/100)^2)*(I811*0.3048)))))*0.0011023),0)</f>
        <v>#N/A</v>
      </c>
      <c r="AD811" s="104" t="e">
        <f t="shared" si="382"/>
        <v>#N/A</v>
      </c>
      <c r="AE811" s="104" t="e">
        <f t="shared" si="383"/>
        <v>#N/A</v>
      </c>
      <c r="AF811" s="104" t="e">
        <f>IF(AND(VLOOKUP($D811,Merchantability!$B:$C,2,0)="Yes",$E811&gt;=VLOOKUP($D811,Merchantability!$B:$D,3,0),$E811&lt;=VLOOKUP($D811,Merchantability!$B:$E,4,0)),AA811,0)</f>
        <v>#N/A</v>
      </c>
      <c r="AG811" s="104" t="e">
        <f>IF(AND(VLOOKUP($D811,Merchantability!$B:$C,2,0)="Yes",$E811&gt;=VLOOKUP($D811,Merchantability!$B:$D,3,0),$E811&lt;=VLOOKUP($D811,Merchantability!$B:$E,4,0)),AB811,0)</f>
        <v>#N/A</v>
      </c>
      <c r="AH811" s="104" t="e">
        <f>IF(AND(VLOOKUP($D811,Merchantability!$B:$C,2,0)="Yes",$E811&gt;=VLOOKUP($D811,Merchantability!$B:$D,3,0),$E811&lt;=VLOOKUP($D811,Merchantability!$B:$E,4,0)),AC811,0)</f>
        <v>#N/A</v>
      </c>
      <c r="AI811" s="104" t="e">
        <f t="shared" si="384"/>
        <v>#N/A</v>
      </c>
      <c r="AJ811" s="104" t="e">
        <f t="shared" si="385"/>
        <v>#VALUE!</v>
      </c>
      <c r="AK811" s="104" t="e">
        <f t="shared" si="386"/>
        <v>#N/A</v>
      </c>
      <c r="AL811" s="104" t="e">
        <f t="shared" si="387"/>
        <v>#N/A</v>
      </c>
      <c r="AM811" s="104" t="e">
        <f t="shared" si="388"/>
        <v>#N/A</v>
      </c>
      <c r="AN811" s="104" t="e">
        <f t="shared" si="372"/>
        <v>#N/A</v>
      </c>
      <c r="AO811" s="104" t="e">
        <f t="shared" si="373"/>
        <v>#N/A</v>
      </c>
      <c r="AP811" s="104" t="e">
        <f t="shared" si="374"/>
        <v>#N/A</v>
      </c>
      <c r="AQ811" s="104" t="e">
        <f t="shared" si="375"/>
        <v>#N/A</v>
      </c>
      <c r="AR811" s="105" t="str">
        <f t="shared" si="367"/>
        <v/>
      </c>
      <c r="AS811" s="105" t="str">
        <f t="shared" si="368"/>
        <v/>
      </c>
      <c r="AT811" s="108" t="str">
        <f t="shared" si="369"/>
        <v/>
      </c>
      <c r="AU811" s="108" t="str">
        <f t="shared" si="370"/>
        <v/>
      </c>
      <c r="AV811" s="107" t="str">
        <f>IF(ISNUMBER(O811),IF(VLOOKUP($A811,Stand!C:J,8,FALSE)="Short",AT811,AU811),"")</f>
        <v/>
      </c>
      <c r="AW811" s="109" t="str">
        <f t="shared" si="376"/>
        <v/>
      </c>
      <c r="AX811" s="109" t="str">
        <f t="shared" si="377"/>
        <v/>
      </c>
      <c r="AY811" s="112" t="str">
        <f>IF(ISNUMBER(O811),IF(AND(VLOOKUP($D811,Merchantability!$B:$C,2,0)="Yes",$E811&gt;=VLOOKUP($D811,Merchantability!$B:$D,3,0),$E811&lt;=VLOOKUP($D811,Merchantability!$B:$E,4,0)),(AV811*O811)*(1-$H811/100),""),"")</f>
        <v/>
      </c>
      <c r="AZ811" s="116"/>
      <c r="BA811" s="116"/>
      <c r="BB811" s="116"/>
      <c r="BE811" s="62"/>
      <c r="BF811" s="63"/>
    </row>
    <row r="812" spans="1:58" ht="12.75" customHeight="1" x14ac:dyDescent="0.25">
      <c r="A812" s="313"/>
      <c r="B812" s="328"/>
      <c r="C812" s="329"/>
      <c r="D812" s="328"/>
      <c r="E812" s="330"/>
      <c r="F812" s="328"/>
      <c r="G812" s="329"/>
      <c r="H812" s="329"/>
      <c r="I812" s="328"/>
      <c r="J812" s="383"/>
      <c r="K812" s="329"/>
      <c r="L812" s="329"/>
      <c r="M812" s="76"/>
      <c r="N812" s="103" t="str">
        <f>IF(A812="","",VLOOKUP(A812,Stand!C:K,9,0))</f>
        <v/>
      </c>
      <c r="O812" s="104" t="str">
        <f t="shared" si="362"/>
        <v/>
      </c>
      <c r="P812" s="105" t="str">
        <f t="shared" si="363"/>
        <v/>
      </c>
      <c r="Q812" s="105" t="str">
        <f t="shared" si="378"/>
        <v/>
      </c>
      <c r="R812" s="103" t="str">
        <f t="shared" si="364"/>
        <v/>
      </c>
      <c r="S812" s="103" t="str">
        <f t="shared" si="365"/>
        <v/>
      </c>
      <c r="T812" s="106" t="str">
        <f t="shared" si="379"/>
        <v/>
      </c>
      <c r="U812" s="106" t="str">
        <f t="shared" si="380"/>
        <v/>
      </c>
      <c r="V812" s="106" t="str">
        <f t="shared" si="381"/>
        <v/>
      </c>
      <c r="W812" s="105" t="str">
        <f t="shared" si="366"/>
        <v/>
      </c>
      <c r="X812" s="104" t="str">
        <f t="shared" si="371"/>
        <v/>
      </c>
      <c r="Y812" s="104" t="str">
        <f t="array" ref="Y812">IFERROR(IF(ISNUMBER(O812),IF(COUNT(IF(A812=$A$2:$A$2427,IF(D812=$D$2:$D$2427,IF($X$2:$X$2427&gt;0,1))))&gt;0,SUM(IF(A812=$A$2:$A$2427,IF(D812=$D$2:$D$2427,$X$2:$X$2427)))/COUNT(IF(A812=$A$2:$A$2427,IF(D812=$D$2:$D$2427,IF(ISNUMBER($X$2:$X$2427),1)))),0),""),0)</f>
        <v/>
      </c>
      <c r="Z812" s="104" t="str">
        <f>IF(ISNUMBER(O812),IF(I812&gt;0,(10^(VLOOKUP(D812,'Species Codes'!B:C,2,0)+VLOOKUP(D812,'Species Codes'!B:D,3,0)*LOG(E812)+VLOOKUP(D812,'Species Codes'!B:E,4,0)*LOG(I812))),0),"")</f>
        <v/>
      </c>
      <c r="AA812" s="104" t="str">
        <f>IFERROR((VLOOKUP(D812,'Species Codes'!B:G,6,0)*Z812)/2000,"")</f>
        <v/>
      </c>
      <c r="AB812" s="104" t="e">
        <f>IF(Z812&gt;0,((IF(OR(D812="DF",D812="RA")=TRUE,EXP(VLOOKUP(D812,'Species Codes'!B:I,8,0)+VLOOKUP(D812,'Species Codes'!B:J,9,0)*(LN((E812*2.54)))),IF(OR(D812="PY",D812="RC",D812="WH",D812="NF")=TRUE,VLOOKUP(D812,'Species Codes'!B:I,8,0)+VLOOKUP(D812,'Species Codes'!B:J,9,0)*((E812*2.54)^2)*(I812*0.3048),IF(OR(D812="MD",D812="BM",D812="GA")=TRUE,((VLOOKUP(D812,'Species Codes'!B:I,8,0)*(((((E812*2.54)+VLOOKUP(D812,'Species Codes'!B:J,9,0))/VLOOKUP(D812,'Species Codes'!B:K,10,0))^VLOOKUP(D812,'Species Codes'!B:L,11,0))*((I812*0.3048)^VLOOKUP(D812,'Species Codes'!B:M,12,0))))-(VLOOKUP(D812,'Species Codes'!B:I,8,0)*((((E812*2.54)^VLOOKUP(D812,'Species Codes'!B:L,11,0))*((I812*0.3048)^VLOOKUP(D812,'Species Codes'!B:M,12,0))))))*35.3*VLOOKUP(D812,'Species Codes'!B:G,6,0)/2.2046,VLOOKUP(D812,'Species Codes'!B:I,8,0)+VLOOKUP(D812,'Species Codes'!B:J,9,0)*(((E812*2.54)/100)^2)*(I812*0.3048)))))*0.0011023),0)</f>
        <v>#N/A</v>
      </c>
      <c r="AC812" s="104" t="e">
        <f>IF(Z812&gt;0,((IF(OR(D812="RA",D812="OA",D812="OT",D812="UN",D812="PC"),EXP(VLOOKUP(D812,'Species Codes'!B:O,14,0)+VLOOKUP(D812,'Species Codes'!B:P,15,0)*LN((E812*2.54)))-EXP(VLOOKUP(D812,'Species Codes'!B:O,14,0)+VLOOKUP(D812,'Species Codes'!B:P,15,0)*LN((E812*2.54)))*(1/(VLOOKUP(D812,'Species Codes'!B:Q,16,0)+VLOOKUP(D812,'Species Codes'!B:R,17,0)*((E812*2.54)^VLOOKUP(D812,'Species Codes'!B:S,18,0)))),IF(OR(D812="BM",D812="MD",D812="OA"),EXP(VLOOKUP(D812,'Species Codes'!B:O,14,0)+VLOOKUP(D812,'Species Codes'!B:P,15,0)*LN((E812*2.54)))*(1-(1/(VLOOKUP(D812,'Species Codes'!B:Q,16,0)+VLOOKUP(D812,'Species Codes'!B:R,17,0)*((E812*2.54)^VLOOKUP(D812,'Species Codes'!B:S,18,0)))))/1000,IF(D812="DF",EXP(VLOOKUP(D812,'Species Codes'!B:O,14,0)+VLOOKUP(D812,'Species Codes'!B:P,15,0)*LN((E812*2.54))),VLOOKUP(D812,'Species Codes'!B:O,14,0)+VLOOKUP(D812,'Species Codes'!B:P,15,0)*(((E812*2.54)/100)^2)*(I812*0.3048)))))*0.0011023),0)</f>
        <v>#N/A</v>
      </c>
      <c r="AD812" s="104" t="e">
        <f t="shared" si="382"/>
        <v>#N/A</v>
      </c>
      <c r="AE812" s="104" t="e">
        <f t="shared" si="383"/>
        <v>#N/A</v>
      </c>
      <c r="AF812" s="104" t="e">
        <f>IF(AND(VLOOKUP($D812,Merchantability!$B:$C,2,0)="Yes",$E812&gt;=VLOOKUP($D812,Merchantability!$B:$D,3,0),$E812&lt;=VLOOKUP($D812,Merchantability!$B:$E,4,0)),AA812,0)</f>
        <v>#N/A</v>
      </c>
      <c r="AG812" s="104" t="e">
        <f>IF(AND(VLOOKUP($D812,Merchantability!$B:$C,2,0)="Yes",$E812&gt;=VLOOKUP($D812,Merchantability!$B:$D,3,0),$E812&lt;=VLOOKUP($D812,Merchantability!$B:$E,4,0)),AB812,0)</f>
        <v>#N/A</v>
      </c>
      <c r="AH812" s="104" t="e">
        <f>IF(AND(VLOOKUP($D812,Merchantability!$B:$C,2,0)="Yes",$E812&gt;=VLOOKUP($D812,Merchantability!$B:$D,3,0),$E812&lt;=VLOOKUP($D812,Merchantability!$B:$E,4,0)),AC812,0)</f>
        <v>#N/A</v>
      </c>
      <c r="AI812" s="104" t="e">
        <f t="shared" si="384"/>
        <v>#N/A</v>
      </c>
      <c r="AJ812" s="104" t="e">
        <f t="shared" si="385"/>
        <v>#VALUE!</v>
      </c>
      <c r="AK812" s="104" t="e">
        <f t="shared" si="386"/>
        <v>#N/A</v>
      </c>
      <c r="AL812" s="104" t="e">
        <f t="shared" si="387"/>
        <v>#N/A</v>
      </c>
      <c r="AM812" s="104" t="e">
        <f t="shared" si="388"/>
        <v>#N/A</v>
      </c>
      <c r="AN812" s="104" t="e">
        <f t="shared" si="372"/>
        <v>#N/A</v>
      </c>
      <c r="AO812" s="104" t="e">
        <f t="shared" si="373"/>
        <v>#N/A</v>
      </c>
      <c r="AP812" s="104" t="e">
        <f t="shared" si="374"/>
        <v>#N/A</v>
      </c>
      <c r="AQ812" s="104" t="e">
        <f t="shared" si="375"/>
        <v>#N/A</v>
      </c>
      <c r="AR812" s="105" t="str">
        <f t="shared" si="367"/>
        <v/>
      </c>
      <c r="AS812" s="105" t="str">
        <f t="shared" si="368"/>
        <v/>
      </c>
      <c r="AT812" s="108" t="str">
        <f t="shared" si="369"/>
        <v/>
      </c>
      <c r="AU812" s="108" t="str">
        <f t="shared" si="370"/>
        <v/>
      </c>
      <c r="AV812" s="107" t="str">
        <f>IF(ISNUMBER(O812),IF(VLOOKUP($A812,Stand!C:J,8,FALSE)="Short",AT812,AU812),"")</f>
        <v/>
      </c>
      <c r="AW812" s="109" t="str">
        <f t="shared" si="376"/>
        <v/>
      </c>
      <c r="AX812" s="109" t="str">
        <f t="shared" si="377"/>
        <v/>
      </c>
      <c r="AY812" s="112" t="str">
        <f>IF(ISNUMBER(O812),IF(AND(VLOOKUP($D812,Merchantability!$B:$C,2,0)="Yes",$E812&gt;=VLOOKUP($D812,Merchantability!$B:$D,3,0),$E812&lt;=VLOOKUP($D812,Merchantability!$B:$E,4,0)),(AV812*O812)*(1-$H812/100),""),"")</f>
        <v/>
      </c>
      <c r="AZ812" s="116"/>
      <c r="BA812" s="116"/>
      <c r="BB812" s="116"/>
      <c r="BE812" s="62"/>
      <c r="BF812" s="63"/>
    </row>
    <row r="813" spans="1:58" ht="12.75" customHeight="1" x14ac:dyDescent="0.25">
      <c r="A813" s="313"/>
      <c r="B813" s="328"/>
      <c r="C813" s="329"/>
      <c r="D813" s="328"/>
      <c r="E813" s="330"/>
      <c r="F813" s="328"/>
      <c r="G813" s="329"/>
      <c r="H813" s="329"/>
      <c r="I813" s="328"/>
      <c r="J813" s="383"/>
      <c r="K813" s="329"/>
      <c r="L813" s="329"/>
      <c r="M813" s="76"/>
      <c r="N813" s="103" t="str">
        <f>IF(A813="","",VLOOKUP(A813,Stand!C:K,9,0))</f>
        <v/>
      </c>
      <c r="O813" s="104" t="str">
        <f t="shared" si="362"/>
        <v/>
      </c>
      <c r="P813" s="105" t="str">
        <f t="shared" si="363"/>
        <v/>
      </c>
      <c r="Q813" s="105" t="str">
        <f t="shared" si="378"/>
        <v/>
      </c>
      <c r="R813" s="103" t="str">
        <f t="shared" si="364"/>
        <v/>
      </c>
      <c r="S813" s="103" t="str">
        <f t="shared" si="365"/>
        <v/>
      </c>
      <c r="T813" s="106" t="str">
        <f t="shared" si="379"/>
        <v/>
      </c>
      <c r="U813" s="106" t="str">
        <f t="shared" si="380"/>
        <v/>
      </c>
      <c r="V813" s="106" t="str">
        <f t="shared" si="381"/>
        <v/>
      </c>
      <c r="W813" s="105" t="str">
        <f t="shared" si="366"/>
        <v/>
      </c>
      <c r="X813" s="104" t="str">
        <f t="shared" si="371"/>
        <v/>
      </c>
      <c r="Y813" s="104" t="str">
        <f t="array" ref="Y813">IFERROR(IF(ISNUMBER(O813),IF(COUNT(IF(A813=$A$2:$A$2427,IF(D813=$D$2:$D$2427,IF($X$2:$X$2427&gt;0,1))))&gt;0,SUM(IF(A813=$A$2:$A$2427,IF(D813=$D$2:$D$2427,$X$2:$X$2427)))/COUNT(IF(A813=$A$2:$A$2427,IF(D813=$D$2:$D$2427,IF(ISNUMBER($X$2:$X$2427),1)))),0),""),0)</f>
        <v/>
      </c>
      <c r="Z813" s="104" t="str">
        <f>IF(ISNUMBER(O813),IF(I813&gt;0,(10^(VLOOKUP(D813,'Species Codes'!B:C,2,0)+VLOOKUP(D813,'Species Codes'!B:D,3,0)*LOG(E813)+VLOOKUP(D813,'Species Codes'!B:E,4,0)*LOG(I813))),0),"")</f>
        <v/>
      </c>
      <c r="AA813" s="104" t="str">
        <f>IFERROR((VLOOKUP(D813,'Species Codes'!B:G,6,0)*Z813)/2000,"")</f>
        <v/>
      </c>
      <c r="AB813" s="104" t="e">
        <f>IF(Z813&gt;0,((IF(OR(D813="DF",D813="RA")=TRUE,EXP(VLOOKUP(D813,'Species Codes'!B:I,8,0)+VLOOKUP(D813,'Species Codes'!B:J,9,0)*(LN((E813*2.54)))),IF(OR(D813="PY",D813="RC",D813="WH",D813="NF")=TRUE,VLOOKUP(D813,'Species Codes'!B:I,8,0)+VLOOKUP(D813,'Species Codes'!B:J,9,0)*((E813*2.54)^2)*(I813*0.3048),IF(OR(D813="MD",D813="BM",D813="GA")=TRUE,((VLOOKUP(D813,'Species Codes'!B:I,8,0)*(((((E813*2.54)+VLOOKUP(D813,'Species Codes'!B:J,9,0))/VLOOKUP(D813,'Species Codes'!B:K,10,0))^VLOOKUP(D813,'Species Codes'!B:L,11,0))*((I813*0.3048)^VLOOKUP(D813,'Species Codes'!B:M,12,0))))-(VLOOKUP(D813,'Species Codes'!B:I,8,0)*((((E813*2.54)^VLOOKUP(D813,'Species Codes'!B:L,11,0))*((I813*0.3048)^VLOOKUP(D813,'Species Codes'!B:M,12,0))))))*35.3*VLOOKUP(D813,'Species Codes'!B:G,6,0)/2.2046,VLOOKUP(D813,'Species Codes'!B:I,8,0)+VLOOKUP(D813,'Species Codes'!B:J,9,0)*(((E813*2.54)/100)^2)*(I813*0.3048)))))*0.0011023),0)</f>
        <v>#N/A</v>
      </c>
      <c r="AC813" s="104" t="e">
        <f>IF(Z813&gt;0,((IF(OR(D813="RA",D813="OA",D813="OT",D813="UN",D813="PC"),EXP(VLOOKUP(D813,'Species Codes'!B:O,14,0)+VLOOKUP(D813,'Species Codes'!B:P,15,0)*LN((E813*2.54)))-EXP(VLOOKUP(D813,'Species Codes'!B:O,14,0)+VLOOKUP(D813,'Species Codes'!B:P,15,0)*LN((E813*2.54)))*(1/(VLOOKUP(D813,'Species Codes'!B:Q,16,0)+VLOOKUP(D813,'Species Codes'!B:R,17,0)*((E813*2.54)^VLOOKUP(D813,'Species Codes'!B:S,18,0)))),IF(OR(D813="BM",D813="MD",D813="OA"),EXP(VLOOKUP(D813,'Species Codes'!B:O,14,0)+VLOOKUP(D813,'Species Codes'!B:P,15,0)*LN((E813*2.54)))*(1-(1/(VLOOKUP(D813,'Species Codes'!B:Q,16,0)+VLOOKUP(D813,'Species Codes'!B:R,17,0)*((E813*2.54)^VLOOKUP(D813,'Species Codes'!B:S,18,0)))))/1000,IF(D813="DF",EXP(VLOOKUP(D813,'Species Codes'!B:O,14,0)+VLOOKUP(D813,'Species Codes'!B:P,15,0)*LN((E813*2.54))),VLOOKUP(D813,'Species Codes'!B:O,14,0)+VLOOKUP(D813,'Species Codes'!B:P,15,0)*(((E813*2.54)/100)^2)*(I813*0.3048)))))*0.0011023),0)</f>
        <v>#N/A</v>
      </c>
      <c r="AD813" s="104" t="e">
        <f t="shared" si="382"/>
        <v>#N/A</v>
      </c>
      <c r="AE813" s="104" t="e">
        <f t="shared" si="383"/>
        <v>#N/A</v>
      </c>
      <c r="AF813" s="104" t="e">
        <f>IF(AND(VLOOKUP($D813,Merchantability!$B:$C,2,0)="Yes",$E813&gt;=VLOOKUP($D813,Merchantability!$B:$D,3,0),$E813&lt;=VLOOKUP($D813,Merchantability!$B:$E,4,0)),AA813,0)</f>
        <v>#N/A</v>
      </c>
      <c r="AG813" s="104" t="e">
        <f>IF(AND(VLOOKUP($D813,Merchantability!$B:$C,2,0)="Yes",$E813&gt;=VLOOKUP($D813,Merchantability!$B:$D,3,0),$E813&lt;=VLOOKUP($D813,Merchantability!$B:$E,4,0)),AB813,0)</f>
        <v>#N/A</v>
      </c>
      <c r="AH813" s="104" t="e">
        <f>IF(AND(VLOOKUP($D813,Merchantability!$B:$C,2,0)="Yes",$E813&gt;=VLOOKUP($D813,Merchantability!$B:$D,3,0),$E813&lt;=VLOOKUP($D813,Merchantability!$B:$E,4,0)),AC813,0)</f>
        <v>#N/A</v>
      </c>
      <c r="AI813" s="104" t="e">
        <f t="shared" si="384"/>
        <v>#N/A</v>
      </c>
      <c r="AJ813" s="104" t="e">
        <f t="shared" si="385"/>
        <v>#VALUE!</v>
      </c>
      <c r="AK813" s="104" t="e">
        <f t="shared" si="386"/>
        <v>#N/A</v>
      </c>
      <c r="AL813" s="104" t="e">
        <f t="shared" si="387"/>
        <v>#N/A</v>
      </c>
      <c r="AM813" s="104" t="e">
        <f t="shared" si="388"/>
        <v>#N/A</v>
      </c>
      <c r="AN813" s="104" t="e">
        <f t="shared" si="372"/>
        <v>#N/A</v>
      </c>
      <c r="AO813" s="104" t="e">
        <f t="shared" si="373"/>
        <v>#N/A</v>
      </c>
      <c r="AP813" s="104" t="e">
        <f t="shared" si="374"/>
        <v>#N/A</v>
      </c>
      <c r="AQ813" s="104" t="e">
        <f t="shared" si="375"/>
        <v>#N/A</v>
      </c>
      <c r="AR813" s="105" t="str">
        <f t="shared" si="367"/>
        <v/>
      </c>
      <c r="AS813" s="105" t="str">
        <f t="shared" si="368"/>
        <v/>
      </c>
      <c r="AT813" s="108" t="str">
        <f t="shared" si="369"/>
        <v/>
      </c>
      <c r="AU813" s="108" t="str">
        <f t="shared" si="370"/>
        <v/>
      </c>
      <c r="AV813" s="107" t="str">
        <f>IF(ISNUMBER(O813),IF(VLOOKUP($A813,Stand!C:J,8,FALSE)="Short",AT813,AU813),"")</f>
        <v/>
      </c>
      <c r="AW813" s="109" t="str">
        <f t="shared" si="376"/>
        <v/>
      </c>
      <c r="AX813" s="109" t="str">
        <f t="shared" si="377"/>
        <v/>
      </c>
      <c r="AY813" s="112" t="str">
        <f>IF(ISNUMBER(O813),IF(AND(VLOOKUP($D813,Merchantability!$B:$C,2,0)="Yes",$E813&gt;=VLOOKUP($D813,Merchantability!$B:$D,3,0),$E813&lt;=VLOOKUP($D813,Merchantability!$B:$E,4,0)),(AV813*O813)*(1-$H813/100),""),"")</f>
        <v/>
      </c>
      <c r="AZ813" s="116"/>
      <c r="BA813" s="116"/>
      <c r="BB813" s="116"/>
      <c r="BE813" s="62"/>
      <c r="BF813" s="63"/>
    </row>
    <row r="814" spans="1:58" ht="12.75" customHeight="1" x14ac:dyDescent="0.25">
      <c r="A814" s="313"/>
      <c r="B814" s="328"/>
      <c r="C814" s="329"/>
      <c r="D814" s="328"/>
      <c r="E814" s="330"/>
      <c r="F814" s="328"/>
      <c r="G814" s="329"/>
      <c r="H814" s="329"/>
      <c r="I814" s="328"/>
      <c r="J814" s="383"/>
      <c r="K814" s="329"/>
      <c r="L814" s="329"/>
      <c r="M814" s="76"/>
      <c r="N814" s="103" t="str">
        <f>IF(A814="","",VLOOKUP(A814,Stand!C:K,9,0))</f>
        <v/>
      </c>
      <c r="O814" s="104" t="str">
        <f t="shared" si="362"/>
        <v/>
      </c>
      <c r="P814" s="105" t="str">
        <f t="shared" si="363"/>
        <v/>
      </c>
      <c r="Q814" s="105" t="str">
        <f t="shared" si="378"/>
        <v/>
      </c>
      <c r="R814" s="103" t="str">
        <f t="shared" si="364"/>
        <v/>
      </c>
      <c r="S814" s="103" t="str">
        <f t="shared" si="365"/>
        <v/>
      </c>
      <c r="T814" s="106" t="str">
        <f t="shared" si="379"/>
        <v/>
      </c>
      <c r="U814" s="106" t="str">
        <f t="shared" si="380"/>
        <v/>
      </c>
      <c r="V814" s="106" t="str">
        <f t="shared" si="381"/>
        <v/>
      </c>
      <c r="W814" s="105" t="str">
        <f t="shared" si="366"/>
        <v/>
      </c>
      <c r="X814" s="104" t="str">
        <f t="shared" si="371"/>
        <v/>
      </c>
      <c r="Y814" s="104" t="str">
        <f t="array" ref="Y814">IFERROR(IF(ISNUMBER(O814),IF(COUNT(IF(A814=$A$2:$A$2427,IF(D814=$D$2:$D$2427,IF($X$2:$X$2427&gt;0,1))))&gt;0,SUM(IF(A814=$A$2:$A$2427,IF(D814=$D$2:$D$2427,$X$2:$X$2427)))/COUNT(IF(A814=$A$2:$A$2427,IF(D814=$D$2:$D$2427,IF(ISNUMBER($X$2:$X$2427),1)))),0),""),0)</f>
        <v/>
      </c>
      <c r="Z814" s="104" t="str">
        <f>IF(ISNUMBER(O814),IF(I814&gt;0,(10^(VLOOKUP(D814,'Species Codes'!B:C,2,0)+VLOOKUP(D814,'Species Codes'!B:D,3,0)*LOG(E814)+VLOOKUP(D814,'Species Codes'!B:E,4,0)*LOG(I814))),0),"")</f>
        <v/>
      </c>
      <c r="AA814" s="104" t="str">
        <f>IFERROR((VLOOKUP(D814,'Species Codes'!B:G,6,0)*Z814)/2000,"")</f>
        <v/>
      </c>
      <c r="AB814" s="104" t="e">
        <f>IF(Z814&gt;0,((IF(OR(D814="DF",D814="RA")=TRUE,EXP(VLOOKUP(D814,'Species Codes'!B:I,8,0)+VLOOKUP(D814,'Species Codes'!B:J,9,0)*(LN((E814*2.54)))),IF(OR(D814="PY",D814="RC",D814="WH",D814="NF")=TRUE,VLOOKUP(D814,'Species Codes'!B:I,8,0)+VLOOKUP(D814,'Species Codes'!B:J,9,0)*((E814*2.54)^2)*(I814*0.3048),IF(OR(D814="MD",D814="BM",D814="GA")=TRUE,((VLOOKUP(D814,'Species Codes'!B:I,8,0)*(((((E814*2.54)+VLOOKUP(D814,'Species Codes'!B:J,9,0))/VLOOKUP(D814,'Species Codes'!B:K,10,0))^VLOOKUP(D814,'Species Codes'!B:L,11,0))*((I814*0.3048)^VLOOKUP(D814,'Species Codes'!B:M,12,0))))-(VLOOKUP(D814,'Species Codes'!B:I,8,0)*((((E814*2.54)^VLOOKUP(D814,'Species Codes'!B:L,11,0))*((I814*0.3048)^VLOOKUP(D814,'Species Codes'!B:M,12,0))))))*35.3*VLOOKUP(D814,'Species Codes'!B:G,6,0)/2.2046,VLOOKUP(D814,'Species Codes'!B:I,8,0)+VLOOKUP(D814,'Species Codes'!B:J,9,0)*(((E814*2.54)/100)^2)*(I814*0.3048)))))*0.0011023),0)</f>
        <v>#N/A</v>
      </c>
      <c r="AC814" s="104" t="e">
        <f>IF(Z814&gt;0,((IF(OR(D814="RA",D814="OA",D814="OT",D814="UN",D814="PC"),EXP(VLOOKUP(D814,'Species Codes'!B:O,14,0)+VLOOKUP(D814,'Species Codes'!B:P,15,0)*LN((E814*2.54)))-EXP(VLOOKUP(D814,'Species Codes'!B:O,14,0)+VLOOKUP(D814,'Species Codes'!B:P,15,0)*LN((E814*2.54)))*(1/(VLOOKUP(D814,'Species Codes'!B:Q,16,0)+VLOOKUP(D814,'Species Codes'!B:R,17,0)*((E814*2.54)^VLOOKUP(D814,'Species Codes'!B:S,18,0)))),IF(OR(D814="BM",D814="MD",D814="OA"),EXP(VLOOKUP(D814,'Species Codes'!B:O,14,0)+VLOOKUP(D814,'Species Codes'!B:P,15,0)*LN((E814*2.54)))*(1-(1/(VLOOKUP(D814,'Species Codes'!B:Q,16,0)+VLOOKUP(D814,'Species Codes'!B:R,17,0)*((E814*2.54)^VLOOKUP(D814,'Species Codes'!B:S,18,0)))))/1000,IF(D814="DF",EXP(VLOOKUP(D814,'Species Codes'!B:O,14,0)+VLOOKUP(D814,'Species Codes'!B:P,15,0)*LN((E814*2.54))),VLOOKUP(D814,'Species Codes'!B:O,14,0)+VLOOKUP(D814,'Species Codes'!B:P,15,0)*(((E814*2.54)/100)^2)*(I814*0.3048)))))*0.0011023),0)</f>
        <v>#N/A</v>
      </c>
      <c r="AD814" s="104" t="e">
        <f t="shared" si="382"/>
        <v>#N/A</v>
      </c>
      <c r="AE814" s="104" t="e">
        <f t="shared" si="383"/>
        <v>#N/A</v>
      </c>
      <c r="AF814" s="104" t="e">
        <f>IF(AND(VLOOKUP($D814,Merchantability!$B:$C,2,0)="Yes",$E814&gt;=VLOOKUP($D814,Merchantability!$B:$D,3,0),$E814&lt;=VLOOKUP($D814,Merchantability!$B:$E,4,0)),AA814,0)</f>
        <v>#N/A</v>
      </c>
      <c r="AG814" s="104" t="e">
        <f>IF(AND(VLOOKUP($D814,Merchantability!$B:$C,2,0)="Yes",$E814&gt;=VLOOKUP($D814,Merchantability!$B:$D,3,0),$E814&lt;=VLOOKUP($D814,Merchantability!$B:$E,4,0)),AB814,0)</f>
        <v>#N/A</v>
      </c>
      <c r="AH814" s="104" t="e">
        <f>IF(AND(VLOOKUP($D814,Merchantability!$B:$C,2,0)="Yes",$E814&gt;=VLOOKUP($D814,Merchantability!$B:$D,3,0),$E814&lt;=VLOOKUP($D814,Merchantability!$B:$E,4,0)),AC814,0)</f>
        <v>#N/A</v>
      </c>
      <c r="AI814" s="104" t="e">
        <f t="shared" si="384"/>
        <v>#N/A</v>
      </c>
      <c r="AJ814" s="104" t="e">
        <f t="shared" si="385"/>
        <v>#VALUE!</v>
      </c>
      <c r="AK814" s="104" t="e">
        <f t="shared" si="386"/>
        <v>#N/A</v>
      </c>
      <c r="AL814" s="104" t="e">
        <f t="shared" si="387"/>
        <v>#N/A</v>
      </c>
      <c r="AM814" s="104" t="e">
        <f t="shared" si="388"/>
        <v>#N/A</v>
      </c>
      <c r="AN814" s="104" t="e">
        <f t="shared" si="372"/>
        <v>#N/A</v>
      </c>
      <c r="AO814" s="104" t="e">
        <f t="shared" si="373"/>
        <v>#N/A</v>
      </c>
      <c r="AP814" s="104" t="e">
        <f t="shared" si="374"/>
        <v>#N/A</v>
      </c>
      <c r="AQ814" s="104" t="e">
        <f t="shared" si="375"/>
        <v>#N/A</v>
      </c>
      <c r="AR814" s="105" t="str">
        <f t="shared" si="367"/>
        <v/>
      </c>
      <c r="AS814" s="105" t="str">
        <f t="shared" si="368"/>
        <v/>
      </c>
      <c r="AT814" s="108" t="str">
        <f t="shared" si="369"/>
        <v/>
      </c>
      <c r="AU814" s="108" t="str">
        <f t="shared" si="370"/>
        <v/>
      </c>
      <c r="AV814" s="107" t="str">
        <f>IF(ISNUMBER(O814),IF(VLOOKUP($A814,Stand!C:J,8,FALSE)="Short",AT814,AU814),"")</f>
        <v/>
      </c>
      <c r="AW814" s="109" t="str">
        <f t="shared" si="376"/>
        <v/>
      </c>
      <c r="AX814" s="109" t="str">
        <f t="shared" si="377"/>
        <v/>
      </c>
      <c r="AY814" s="112" t="str">
        <f>IF(ISNUMBER(O814),IF(AND(VLOOKUP($D814,Merchantability!$B:$C,2,0)="Yes",$E814&gt;=VLOOKUP($D814,Merchantability!$B:$D,3,0),$E814&lt;=VLOOKUP($D814,Merchantability!$B:$E,4,0)),(AV814*O814)*(1-$H814/100),""),"")</f>
        <v/>
      </c>
      <c r="AZ814" s="116"/>
      <c r="BA814" s="116"/>
      <c r="BB814" s="116"/>
      <c r="BE814" s="62"/>
      <c r="BF814" s="63"/>
    </row>
    <row r="815" spans="1:58" ht="12.75" customHeight="1" x14ac:dyDescent="0.25">
      <c r="A815" s="313"/>
      <c r="B815" s="328"/>
      <c r="C815" s="329"/>
      <c r="D815" s="328"/>
      <c r="E815" s="330"/>
      <c r="F815" s="328"/>
      <c r="G815" s="329"/>
      <c r="H815" s="329"/>
      <c r="I815" s="328"/>
      <c r="J815" s="383"/>
      <c r="K815" s="329"/>
      <c r="L815" s="329"/>
      <c r="M815" s="76"/>
      <c r="N815" s="103" t="str">
        <f>IF(A815="","",VLOOKUP(A815,Stand!C:K,9,0))</f>
        <v/>
      </c>
      <c r="O815" s="104" t="str">
        <f t="shared" si="362"/>
        <v/>
      </c>
      <c r="P815" s="105" t="str">
        <f t="shared" si="363"/>
        <v/>
      </c>
      <c r="Q815" s="105" t="str">
        <f t="shared" si="378"/>
        <v/>
      </c>
      <c r="R815" s="103" t="str">
        <f t="shared" si="364"/>
        <v/>
      </c>
      <c r="S815" s="103" t="str">
        <f t="shared" si="365"/>
        <v/>
      </c>
      <c r="T815" s="106" t="str">
        <f t="shared" si="379"/>
        <v/>
      </c>
      <c r="U815" s="106" t="str">
        <f t="shared" si="380"/>
        <v/>
      </c>
      <c r="V815" s="106" t="str">
        <f t="shared" si="381"/>
        <v/>
      </c>
      <c r="W815" s="105" t="str">
        <f t="shared" si="366"/>
        <v/>
      </c>
      <c r="X815" s="104" t="str">
        <f t="shared" si="371"/>
        <v/>
      </c>
      <c r="Y815" s="104" t="str">
        <f t="array" ref="Y815">IFERROR(IF(ISNUMBER(O815),IF(COUNT(IF(A815=$A$2:$A$2427,IF(D815=$D$2:$D$2427,IF($X$2:$X$2427&gt;0,1))))&gt;0,SUM(IF(A815=$A$2:$A$2427,IF(D815=$D$2:$D$2427,$X$2:$X$2427)))/COUNT(IF(A815=$A$2:$A$2427,IF(D815=$D$2:$D$2427,IF(ISNUMBER($X$2:$X$2427),1)))),0),""),0)</f>
        <v/>
      </c>
      <c r="Z815" s="104" t="str">
        <f>IF(ISNUMBER(O815),IF(I815&gt;0,(10^(VLOOKUP(D815,'Species Codes'!B:C,2,0)+VLOOKUP(D815,'Species Codes'!B:D,3,0)*LOG(E815)+VLOOKUP(D815,'Species Codes'!B:E,4,0)*LOG(I815))),0),"")</f>
        <v/>
      </c>
      <c r="AA815" s="104" t="str">
        <f>IFERROR((VLOOKUP(D815,'Species Codes'!B:G,6,0)*Z815)/2000,"")</f>
        <v/>
      </c>
      <c r="AB815" s="104" t="e">
        <f>IF(Z815&gt;0,((IF(OR(D815="DF",D815="RA")=TRUE,EXP(VLOOKUP(D815,'Species Codes'!B:I,8,0)+VLOOKUP(D815,'Species Codes'!B:J,9,0)*(LN((E815*2.54)))),IF(OR(D815="PY",D815="RC",D815="WH",D815="NF")=TRUE,VLOOKUP(D815,'Species Codes'!B:I,8,0)+VLOOKUP(D815,'Species Codes'!B:J,9,0)*((E815*2.54)^2)*(I815*0.3048),IF(OR(D815="MD",D815="BM",D815="GA")=TRUE,((VLOOKUP(D815,'Species Codes'!B:I,8,0)*(((((E815*2.54)+VLOOKUP(D815,'Species Codes'!B:J,9,0))/VLOOKUP(D815,'Species Codes'!B:K,10,0))^VLOOKUP(D815,'Species Codes'!B:L,11,0))*((I815*0.3048)^VLOOKUP(D815,'Species Codes'!B:M,12,0))))-(VLOOKUP(D815,'Species Codes'!B:I,8,0)*((((E815*2.54)^VLOOKUP(D815,'Species Codes'!B:L,11,0))*((I815*0.3048)^VLOOKUP(D815,'Species Codes'!B:M,12,0))))))*35.3*VLOOKUP(D815,'Species Codes'!B:G,6,0)/2.2046,VLOOKUP(D815,'Species Codes'!B:I,8,0)+VLOOKUP(D815,'Species Codes'!B:J,9,0)*(((E815*2.54)/100)^2)*(I815*0.3048)))))*0.0011023),0)</f>
        <v>#N/A</v>
      </c>
      <c r="AC815" s="104" t="e">
        <f>IF(Z815&gt;0,((IF(OR(D815="RA",D815="OA",D815="OT",D815="UN",D815="PC"),EXP(VLOOKUP(D815,'Species Codes'!B:O,14,0)+VLOOKUP(D815,'Species Codes'!B:P,15,0)*LN((E815*2.54)))-EXP(VLOOKUP(D815,'Species Codes'!B:O,14,0)+VLOOKUP(D815,'Species Codes'!B:P,15,0)*LN((E815*2.54)))*(1/(VLOOKUP(D815,'Species Codes'!B:Q,16,0)+VLOOKUP(D815,'Species Codes'!B:R,17,0)*((E815*2.54)^VLOOKUP(D815,'Species Codes'!B:S,18,0)))),IF(OR(D815="BM",D815="MD",D815="OA"),EXP(VLOOKUP(D815,'Species Codes'!B:O,14,0)+VLOOKUP(D815,'Species Codes'!B:P,15,0)*LN((E815*2.54)))*(1-(1/(VLOOKUP(D815,'Species Codes'!B:Q,16,0)+VLOOKUP(D815,'Species Codes'!B:R,17,0)*((E815*2.54)^VLOOKUP(D815,'Species Codes'!B:S,18,0)))))/1000,IF(D815="DF",EXP(VLOOKUP(D815,'Species Codes'!B:O,14,0)+VLOOKUP(D815,'Species Codes'!B:P,15,0)*LN((E815*2.54))),VLOOKUP(D815,'Species Codes'!B:O,14,0)+VLOOKUP(D815,'Species Codes'!B:P,15,0)*(((E815*2.54)/100)^2)*(I815*0.3048)))))*0.0011023),0)</f>
        <v>#N/A</v>
      </c>
      <c r="AD815" s="104" t="e">
        <f t="shared" si="382"/>
        <v>#N/A</v>
      </c>
      <c r="AE815" s="104" t="e">
        <f t="shared" si="383"/>
        <v>#N/A</v>
      </c>
      <c r="AF815" s="104" t="e">
        <f>IF(AND(VLOOKUP($D815,Merchantability!$B:$C,2,0)="Yes",$E815&gt;=VLOOKUP($D815,Merchantability!$B:$D,3,0),$E815&lt;=VLOOKUP($D815,Merchantability!$B:$E,4,0)),AA815,0)</f>
        <v>#N/A</v>
      </c>
      <c r="AG815" s="104" t="e">
        <f>IF(AND(VLOOKUP($D815,Merchantability!$B:$C,2,0)="Yes",$E815&gt;=VLOOKUP($D815,Merchantability!$B:$D,3,0),$E815&lt;=VLOOKUP($D815,Merchantability!$B:$E,4,0)),AB815,0)</f>
        <v>#N/A</v>
      </c>
      <c r="AH815" s="104" t="e">
        <f>IF(AND(VLOOKUP($D815,Merchantability!$B:$C,2,0)="Yes",$E815&gt;=VLOOKUP($D815,Merchantability!$B:$D,3,0),$E815&lt;=VLOOKUP($D815,Merchantability!$B:$E,4,0)),AC815,0)</f>
        <v>#N/A</v>
      </c>
      <c r="AI815" s="104" t="e">
        <f t="shared" si="384"/>
        <v>#N/A</v>
      </c>
      <c r="AJ815" s="104" t="e">
        <f t="shared" si="385"/>
        <v>#VALUE!</v>
      </c>
      <c r="AK815" s="104" t="e">
        <f t="shared" si="386"/>
        <v>#N/A</v>
      </c>
      <c r="AL815" s="104" t="e">
        <f t="shared" si="387"/>
        <v>#N/A</v>
      </c>
      <c r="AM815" s="104" t="e">
        <f t="shared" si="388"/>
        <v>#N/A</v>
      </c>
      <c r="AN815" s="104" t="e">
        <f t="shared" si="372"/>
        <v>#N/A</v>
      </c>
      <c r="AO815" s="104" t="e">
        <f t="shared" si="373"/>
        <v>#N/A</v>
      </c>
      <c r="AP815" s="104" t="e">
        <f t="shared" si="374"/>
        <v>#N/A</v>
      </c>
      <c r="AQ815" s="104" t="e">
        <f t="shared" si="375"/>
        <v>#N/A</v>
      </c>
      <c r="AR815" s="105" t="str">
        <f t="shared" si="367"/>
        <v/>
      </c>
      <c r="AS815" s="105" t="str">
        <f t="shared" si="368"/>
        <v/>
      </c>
      <c r="AT815" s="108" t="str">
        <f t="shared" si="369"/>
        <v/>
      </c>
      <c r="AU815" s="108" t="str">
        <f t="shared" si="370"/>
        <v/>
      </c>
      <c r="AV815" s="107" t="str">
        <f>IF(ISNUMBER(O815),IF(VLOOKUP($A815,Stand!C:J,8,FALSE)="Short",AT815,AU815),"")</f>
        <v/>
      </c>
      <c r="AW815" s="109" t="str">
        <f t="shared" si="376"/>
        <v/>
      </c>
      <c r="AX815" s="109" t="str">
        <f t="shared" si="377"/>
        <v/>
      </c>
      <c r="AY815" s="112" t="str">
        <f>IF(ISNUMBER(O815),IF(AND(VLOOKUP($D815,Merchantability!$B:$C,2,0)="Yes",$E815&gt;=VLOOKUP($D815,Merchantability!$B:$D,3,0),$E815&lt;=VLOOKUP($D815,Merchantability!$B:$E,4,0)),(AV815*O815)*(1-$H815/100),""),"")</f>
        <v/>
      </c>
      <c r="AZ815" s="116"/>
      <c r="BA815" s="116"/>
      <c r="BB815" s="116"/>
      <c r="BE815" s="62"/>
      <c r="BF815" s="63"/>
    </row>
    <row r="816" spans="1:58" ht="12.75" customHeight="1" x14ac:dyDescent="0.25">
      <c r="A816" s="313"/>
      <c r="B816" s="328"/>
      <c r="C816" s="329"/>
      <c r="D816" s="328"/>
      <c r="E816" s="330"/>
      <c r="F816" s="328"/>
      <c r="G816" s="329"/>
      <c r="H816" s="329"/>
      <c r="I816" s="328"/>
      <c r="J816" s="383"/>
      <c r="K816" s="329"/>
      <c r="L816" s="329"/>
      <c r="M816" s="76"/>
      <c r="N816" s="103" t="str">
        <f>IF(A816="","",VLOOKUP(A816,Stand!C:K,9,0))</f>
        <v/>
      </c>
      <c r="O816" s="104" t="str">
        <f t="shared" si="362"/>
        <v/>
      </c>
      <c r="P816" s="105" t="str">
        <f t="shared" si="363"/>
        <v/>
      </c>
      <c r="Q816" s="105" t="str">
        <f t="shared" si="378"/>
        <v/>
      </c>
      <c r="R816" s="103" t="str">
        <f t="shared" si="364"/>
        <v/>
      </c>
      <c r="S816" s="103" t="str">
        <f t="shared" si="365"/>
        <v/>
      </c>
      <c r="T816" s="106" t="str">
        <f t="shared" si="379"/>
        <v/>
      </c>
      <c r="U816" s="106" t="str">
        <f t="shared" si="380"/>
        <v/>
      </c>
      <c r="V816" s="106" t="str">
        <f t="shared" si="381"/>
        <v/>
      </c>
      <c r="W816" s="105" t="str">
        <f t="shared" si="366"/>
        <v/>
      </c>
      <c r="X816" s="104" t="str">
        <f t="shared" si="371"/>
        <v/>
      </c>
      <c r="Y816" s="104" t="str">
        <f t="array" ref="Y816">IFERROR(IF(ISNUMBER(O816),IF(COUNT(IF(A816=$A$2:$A$2427,IF(D816=$D$2:$D$2427,IF($X$2:$X$2427&gt;0,1))))&gt;0,SUM(IF(A816=$A$2:$A$2427,IF(D816=$D$2:$D$2427,$X$2:$X$2427)))/COUNT(IF(A816=$A$2:$A$2427,IF(D816=$D$2:$D$2427,IF(ISNUMBER($X$2:$X$2427),1)))),0),""),0)</f>
        <v/>
      </c>
      <c r="Z816" s="104" t="str">
        <f>IF(ISNUMBER(O816),IF(I816&gt;0,(10^(VLOOKUP(D816,'Species Codes'!B:C,2,0)+VLOOKUP(D816,'Species Codes'!B:D,3,0)*LOG(E816)+VLOOKUP(D816,'Species Codes'!B:E,4,0)*LOG(I816))),0),"")</f>
        <v/>
      </c>
      <c r="AA816" s="104" t="str">
        <f>IFERROR((VLOOKUP(D816,'Species Codes'!B:G,6,0)*Z816)/2000,"")</f>
        <v/>
      </c>
      <c r="AB816" s="104" t="e">
        <f>IF(Z816&gt;0,((IF(OR(D816="DF",D816="RA")=TRUE,EXP(VLOOKUP(D816,'Species Codes'!B:I,8,0)+VLOOKUP(D816,'Species Codes'!B:J,9,0)*(LN((E816*2.54)))),IF(OR(D816="PY",D816="RC",D816="WH",D816="NF")=TRUE,VLOOKUP(D816,'Species Codes'!B:I,8,0)+VLOOKUP(D816,'Species Codes'!B:J,9,0)*((E816*2.54)^2)*(I816*0.3048),IF(OR(D816="MD",D816="BM",D816="GA")=TRUE,((VLOOKUP(D816,'Species Codes'!B:I,8,0)*(((((E816*2.54)+VLOOKUP(D816,'Species Codes'!B:J,9,0))/VLOOKUP(D816,'Species Codes'!B:K,10,0))^VLOOKUP(D816,'Species Codes'!B:L,11,0))*((I816*0.3048)^VLOOKUP(D816,'Species Codes'!B:M,12,0))))-(VLOOKUP(D816,'Species Codes'!B:I,8,0)*((((E816*2.54)^VLOOKUP(D816,'Species Codes'!B:L,11,0))*((I816*0.3048)^VLOOKUP(D816,'Species Codes'!B:M,12,0))))))*35.3*VLOOKUP(D816,'Species Codes'!B:G,6,0)/2.2046,VLOOKUP(D816,'Species Codes'!B:I,8,0)+VLOOKUP(D816,'Species Codes'!B:J,9,0)*(((E816*2.54)/100)^2)*(I816*0.3048)))))*0.0011023),0)</f>
        <v>#N/A</v>
      </c>
      <c r="AC816" s="104" t="e">
        <f>IF(Z816&gt;0,((IF(OR(D816="RA",D816="OA",D816="OT",D816="UN",D816="PC"),EXP(VLOOKUP(D816,'Species Codes'!B:O,14,0)+VLOOKUP(D816,'Species Codes'!B:P,15,0)*LN((E816*2.54)))-EXP(VLOOKUP(D816,'Species Codes'!B:O,14,0)+VLOOKUP(D816,'Species Codes'!B:P,15,0)*LN((E816*2.54)))*(1/(VLOOKUP(D816,'Species Codes'!B:Q,16,0)+VLOOKUP(D816,'Species Codes'!B:R,17,0)*((E816*2.54)^VLOOKUP(D816,'Species Codes'!B:S,18,0)))),IF(OR(D816="BM",D816="MD",D816="OA"),EXP(VLOOKUP(D816,'Species Codes'!B:O,14,0)+VLOOKUP(D816,'Species Codes'!B:P,15,0)*LN((E816*2.54)))*(1-(1/(VLOOKUP(D816,'Species Codes'!B:Q,16,0)+VLOOKUP(D816,'Species Codes'!B:R,17,0)*((E816*2.54)^VLOOKUP(D816,'Species Codes'!B:S,18,0)))))/1000,IF(D816="DF",EXP(VLOOKUP(D816,'Species Codes'!B:O,14,0)+VLOOKUP(D816,'Species Codes'!B:P,15,0)*LN((E816*2.54))),VLOOKUP(D816,'Species Codes'!B:O,14,0)+VLOOKUP(D816,'Species Codes'!B:P,15,0)*(((E816*2.54)/100)^2)*(I816*0.3048)))))*0.0011023),0)</f>
        <v>#N/A</v>
      </c>
      <c r="AD816" s="104" t="e">
        <f t="shared" si="382"/>
        <v>#N/A</v>
      </c>
      <c r="AE816" s="104" t="e">
        <f t="shared" si="383"/>
        <v>#N/A</v>
      </c>
      <c r="AF816" s="104" t="e">
        <f>IF(AND(VLOOKUP($D816,Merchantability!$B:$C,2,0)="Yes",$E816&gt;=VLOOKUP($D816,Merchantability!$B:$D,3,0),$E816&lt;=VLOOKUP($D816,Merchantability!$B:$E,4,0)),AA816,0)</f>
        <v>#N/A</v>
      </c>
      <c r="AG816" s="104" t="e">
        <f>IF(AND(VLOOKUP($D816,Merchantability!$B:$C,2,0)="Yes",$E816&gt;=VLOOKUP($D816,Merchantability!$B:$D,3,0),$E816&lt;=VLOOKUP($D816,Merchantability!$B:$E,4,0)),AB816,0)</f>
        <v>#N/A</v>
      </c>
      <c r="AH816" s="104" t="e">
        <f>IF(AND(VLOOKUP($D816,Merchantability!$B:$C,2,0)="Yes",$E816&gt;=VLOOKUP($D816,Merchantability!$B:$D,3,0),$E816&lt;=VLOOKUP($D816,Merchantability!$B:$E,4,0)),AC816,0)</f>
        <v>#N/A</v>
      </c>
      <c r="AI816" s="104" t="e">
        <f t="shared" si="384"/>
        <v>#N/A</v>
      </c>
      <c r="AJ816" s="104" t="e">
        <f t="shared" si="385"/>
        <v>#VALUE!</v>
      </c>
      <c r="AK816" s="104" t="e">
        <f t="shared" si="386"/>
        <v>#N/A</v>
      </c>
      <c r="AL816" s="104" t="e">
        <f t="shared" si="387"/>
        <v>#N/A</v>
      </c>
      <c r="AM816" s="104" t="e">
        <f t="shared" si="388"/>
        <v>#N/A</v>
      </c>
      <c r="AN816" s="104" t="e">
        <f t="shared" si="372"/>
        <v>#N/A</v>
      </c>
      <c r="AO816" s="104" t="e">
        <f t="shared" si="373"/>
        <v>#N/A</v>
      </c>
      <c r="AP816" s="104" t="e">
        <f t="shared" si="374"/>
        <v>#N/A</v>
      </c>
      <c r="AQ816" s="104" t="e">
        <f t="shared" si="375"/>
        <v>#N/A</v>
      </c>
      <c r="AR816" s="105" t="str">
        <f t="shared" si="367"/>
        <v/>
      </c>
      <c r="AS816" s="105" t="str">
        <f t="shared" si="368"/>
        <v/>
      </c>
      <c r="AT816" s="108" t="str">
        <f t="shared" si="369"/>
        <v/>
      </c>
      <c r="AU816" s="108" t="str">
        <f t="shared" si="370"/>
        <v/>
      </c>
      <c r="AV816" s="107" t="str">
        <f>IF(ISNUMBER(O816),IF(VLOOKUP($A816,Stand!C:J,8,FALSE)="Short",AT816,AU816),"")</f>
        <v/>
      </c>
      <c r="AW816" s="109" t="str">
        <f t="shared" si="376"/>
        <v/>
      </c>
      <c r="AX816" s="109" t="str">
        <f t="shared" si="377"/>
        <v/>
      </c>
      <c r="AY816" s="112" t="str">
        <f>IF(ISNUMBER(O816),IF(AND(VLOOKUP($D816,Merchantability!$B:$C,2,0)="Yes",$E816&gt;=VLOOKUP($D816,Merchantability!$B:$D,3,0),$E816&lt;=VLOOKUP($D816,Merchantability!$B:$E,4,0)),(AV816*O816)*(1-$H816/100),""),"")</f>
        <v/>
      </c>
      <c r="AZ816" s="116"/>
      <c r="BA816" s="116"/>
      <c r="BB816" s="116"/>
      <c r="BE816" s="62"/>
      <c r="BF816" s="63"/>
    </row>
    <row r="817" spans="1:58" ht="12.75" customHeight="1" x14ac:dyDescent="0.25">
      <c r="A817" s="313"/>
      <c r="B817" s="328"/>
      <c r="C817" s="329"/>
      <c r="D817" s="328"/>
      <c r="E817" s="330"/>
      <c r="F817" s="328"/>
      <c r="G817" s="329"/>
      <c r="H817" s="329"/>
      <c r="I817" s="328"/>
      <c r="J817" s="383"/>
      <c r="K817" s="329"/>
      <c r="L817" s="329"/>
      <c r="M817" s="76"/>
      <c r="N817" s="103" t="str">
        <f>IF(A817="","",VLOOKUP(A817,Stand!C:K,9,0))</f>
        <v/>
      </c>
      <c r="O817" s="104" t="str">
        <f t="shared" si="362"/>
        <v/>
      </c>
      <c r="P817" s="105" t="str">
        <f t="shared" si="363"/>
        <v/>
      </c>
      <c r="Q817" s="105" t="str">
        <f t="shared" si="378"/>
        <v/>
      </c>
      <c r="R817" s="103" t="str">
        <f t="shared" si="364"/>
        <v/>
      </c>
      <c r="S817" s="103" t="str">
        <f t="shared" si="365"/>
        <v/>
      </c>
      <c r="T817" s="106" t="str">
        <f t="shared" si="379"/>
        <v/>
      </c>
      <c r="U817" s="106" t="str">
        <f t="shared" si="380"/>
        <v/>
      </c>
      <c r="V817" s="106" t="str">
        <f t="shared" si="381"/>
        <v/>
      </c>
      <c r="W817" s="105" t="str">
        <f t="shared" si="366"/>
        <v/>
      </c>
      <c r="X817" s="104" t="str">
        <f t="shared" si="371"/>
        <v/>
      </c>
      <c r="Y817" s="104" t="str">
        <f t="array" ref="Y817">IFERROR(IF(ISNUMBER(O817),IF(COUNT(IF(A817=$A$2:$A$2427,IF(D817=$D$2:$D$2427,IF($X$2:$X$2427&gt;0,1))))&gt;0,SUM(IF(A817=$A$2:$A$2427,IF(D817=$D$2:$D$2427,$X$2:$X$2427)))/COUNT(IF(A817=$A$2:$A$2427,IF(D817=$D$2:$D$2427,IF(ISNUMBER($X$2:$X$2427),1)))),0),""),0)</f>
        <v/>
      </c>
      <c r="Z817" s="104" t="str">
        <f>IF(ISNUMBER(O817),IF(I817&gt;0,(10^(VLOOKUP(D817,'Species Codes'!B:C,2,0)+VLOOKUP(D817,'Species Codes'!B:D,3,0)*LOG(E817)+VLOOKUP(D817,'Species Codes'!B:E,4,0)*LOG(I817))),0),"")</f>
        <v/>
      </c>
      <c r="AA817" s="104" t="str">
        <f>IFERROR((VLOOKUP(D817,'Species Codes'!B:G,6,0)*Z817)/2000,"")</f>
        <v/>
      </c>
      <c r="AB817" s="104" t="e">
        <f>IF(Z817&gt;0,((IF(OR(D817="DF",D817="RA")=TRUE,EXP(VLOOKUP(D817,'Species Codes'!B:I,8,0)+VLOOKUP(D817,'Species Codes'!B:J,9,0)*(LN((E817*2.54)))),IF(OR(D817="PY",D817="RC",D817="WH",D817="NF")=TRUE,VLOOKUP(D817,'Species Codes'!B:I,8,0)+VLOOKUP(D817,'Species Codes'!B:J,9,0)*((E817*2.54)^2)*(I817*0.3048),IF(OR(D817="MD",D817="BM",D817="GA")=TRUE,((VLOOKUP(D817,'Species Codes'!B:I,8,0)*(((((E817*2.54)+VLOOKUP(D817,'Species Codes'!B:J,9,0))/VLOOKUP(D817,'Species Codes'!B:K,10,0))^VLOOKUP(D817,'Species Codes'!B:L,11,0))*((I817*0.3048)^VLOOKUP(D817,'Species Codes'!B:M,12,0))))-(VLOOKUP(D817,'Species Codes'!B:I,8,0)*((((E817*2.54)^VLOOKUP(D817,'Species Codes'!B:L,11,0))*((I817*0.3048)^VLOOKUP(D817,'Species Codes'!B:M,12,0))))))*35.3*VLOOKUP(D817,'Species Codes'!B:G,6,0)/2.2046,VLOOKUP(D817,'Species Codes'!B:I,8,0)+VLOOKUP(D817,'Species Codes'!B:J,9,0)*(((E817*2.54)/100)^2)*(I817*0.3048)))))*0.0011023),0)</f>
        <v>#N/A</v>
      </c>
      <c r="AC817" s="104" t="e">
        <f>IF(Z817&gt;0,((IF(OR(D817="RA",D817="OA",D817="OT",D817="UN",D817="PC"),EXP(VLOOKUP(D817,'Species Codes'!B:O,14,0)+VLOOKUP(D817,'Species Codes'!B:P,15,0)*LN((E817*2.54)))-EXP(VLOOKUP(D817,'Species Codes'!B:O,14,0)+VLOOKUP(D817,'Species Codes'!B:P,15,0)*LN((E817*2.54)))*(1/(VLOOKUP(D817,'Species Codes'!B:Q,16,0)+VLOOKUP(D817,'Species Codes'!B:R,17,0)*((E817*2.54)^VLOOKUP(D817,'Species Codes'!B:S,18,0)))),IF(OR(D817="BM",D817="MD",D817="OA"),EXP(VLOOKUP(D817,'Species Codes'!B:O,14,0)+VLOOKUP(D817,'Species Codes'!B:P,15,0)*LN((E817*2.54)))*(1-(1/(VLOOKUP(D817,'Species Codes'!B:Q,16,0)+VLOOKUP(D817,'Species Codes'!B:R,17,0)*((E817*2.54)^VLOOKUP(D817,'Species Codes'!B:S,18,0)))))/1000,IF(D817="DF",EXP(VLOOKUP(D817,'Species Codes'!B:O,14,0)+VLOOKUP(D817,'Species Codes'!B:P,15,0)*LN((E817*2.54))),VLOOKUP(D817,'Species Codes'!B:O,14,0)+VLOOKUP(D817,'Species Codes'!B:P,15,0)*(((E817*2.54)/100)^2)*(I817*0.3048)))))*0.0011023),0)</f>
        <v>#N/A</v>
      </c>
      <c r="AD817" s="104" t="e">
        <f t="shared" si="382"/>
        <v>#N/A</v>
      </c>
      <c r="AE817" s="104" t="e">
        <f t="shared" si="383"/>
        <v>#N/A</v>
      </c>
      <c r="AF817" s="104" t="e">
        <f>IF(AND(VLOOKUP($D817,Merchantability!$B:$C,2,0)="Yes",$E817&gt;=VLOOKUP($D817,Merchantability!$B:$D,3,0),$E817&lt;=VLOOKUP($D817,Merchantability!$B:$E,4,0)),AA817,0)</f>
        <v>#N/A</v>
      </c>
      <c r="AG817" s="104" t="e">
        <f>IF(AND(VLOOKUP($D817,Merchantability!$B:$C,2,0)="Yes",$E817&gt;=VLOOKUP($D817,Merchantability!$B:$D,3,0),$E817&lt;=VLOOKUP($D817,Merchantability!$B:$E,4,0)),AB817,0)</f>
        <v>#N/A</v>
      </c>
      <c r="AH817" s="104" t="e">
        <f>IF(AND(VLOOKUP($D817,Merchantability!$B:$C,2,0)="Yes",$E817&gt;=VLOOKUP($D817,Merchantability!$B:$D,3,0),$E817&lt;=VLOOKUP($D817,Merchantability!$B:$E,4,0)),AC817,0)</f>
        <v>#N/A</v>
      </c>
      <c r="AI817" s="104" t="e">
        <f t="shared" si="384"/>
        <v>#N/A</v>
      </c>
      <c r="AJ817" s="104" t="e">
        <f t="shared" si="385"/>
        <v>#VALUE!</v>
      </c>
      <c r="AK817" s="104" t="e">
        <f t="shared" si="386"/>
        <v>#N/A</v>
      </c>
      <c r="AL817" s="104" t="e">
        <f t="shared" si="387"/>
        <v>#N/A</v>
      </c>
      <c r="AM817" s="104" t="e">
        <f t="shared" si="388"/>
        <v>#N/A</v>
      </c>
      <c r="AN817" s="104" t="e">
        <f t="shared" si="372"/>
        <v>#N/A</v>
      </c>
      <c r="AO817" s="104" t="e">
        <f t="shared" si="373"/>
        <v>#N/A</v>
      </c>
      <c r="AP817" s="104" t="e">
        <f t="shared" si="374"/>
        <v>#N/A</v>
      </c>
      <c r="AQ817" s="104" t="e">
        <f t="shared" si="375"/>
        <v>#N/A</v>
      </c>
      <c r="AR817" s="105" t="str">
        <f t="shared" si="367"/>
        <v/>
      </c>
      <c r="AS817" s="105" t="str">
        <f t="shared" si="368"/>
        <v/>
      </c>
      <c r="AT817" s="108" t="str">
        <f t="shared" si="369"/>
        <v/>
      </c>
      <c r="AU817" s="108" t="str">
        <f t="shared" si="370"/>
        <v/>
      </c>
      <c r="AV817" s="107" t="str">
        <f>IF(ISNUMBER(O817),IF(VLOOKUP($A817,Stand!C:J,8,FALSE)="Short",AT817,AU817),"")</f>
        <v/>
      </c>
      <c r="AW817" s="109" t="str">
        <f t="shared" si="376"/>
        <v/>
      </c>
      <c r="AX817" s="109" t="str">
        <f t="shared" si="377"/>
        <v/>
      </c>
      <c r="AY817" s="112" t="str">
        <f>IF(ISNUMBER(O817),IF(AND(VLOOKUP($D817,Merchantability!$B:$C,2,0)="Yes",$E817&gt;=VLOOKUP($D817,Merchantability!$B:$D,3,0),$E817&lt;=VLOOKUP($D817,Merchantability!$B:$E,4,0)),(AV817*O817)*(1-$H817/100),""),"")</f>
        <v/>
      </c>
      <c r="AZ817" s="116"/>
      <c r="BA817" s="116"/>
      <c r="BB817" s="116"/>
      <c r="BE817" s="62"/>
      <c r="BF817" s="63"/>
    </row>
    <row r="818" spans="1:58" ht="12.75" customHeight="1" x14ac:dyDescent="0.25">
      <c r="A818" s="313"/>
      <c r="B818" s="328"/>
      <c r="C818" s="329"/>
      <c r="D818" s="328"/>
      <c r="E818" s="330"/>
      <c r="F818" s="328"/>
      <c r="G818" s="329"/>
      <c r="H818" s="329"/>
      <c r="I818" s="328"/>
      <c r="J818" s="383"/>
      <c r="K818" s="329"/>
      <c r="L818" s="329"/>
      <c r="M818" s="76"/>
      <c r="N818" s="103" t="str">
        <f>IF(A818="","",VLOOKUP(A818,Stand!C:K,9,0))</f>
        <v/>
      </c>
      <c r="O818" s="104" t="str">
        <f t="shared" si="362"/>
        <v/>
      </c>
      <c r="P818" s="105" t="str">
        <f t="shared" si="363"/>
        <v/>
      </c>
      <c r="Q818" s="105" t="str">
        <f t="shared" si="378"/>
        <v/>
      </c>
      <c r="R818" s="103" t="str">
        <f t="shared" si="364"/>
        <v/>
      </c>
      <c r="S818" s="103" t="str">
        <f t="shared" si="365"/>
        <v/>
      </c>
      <c r="T818" s="106" t="str">
        <f t="shared" si="379"/>
        <v/>
      </c>
      <c r="U818" s="106" t="str">
        <f t="shared" si="380"/>
        <v/>
      </c>
      <c r="V818" s="106" t="str">
        <f t="shared" si="381"/>
        <v/>
      </c>
      <c r="W818" s="105" t="str">
        <f t="shared" si="366"/>
        <v/>
      </c>
      <c r="X818" s="104" t="str">
        <f t="shared" si="371"/>
        <v/>
      </c>
      <c r="Y818" s="104" t="str">
        <f t="array" ref="Y818">IFERROR(IF(ISNUMBER(O818),IF(COUNT(IF(A818=$A$2:$A$2427,IF(D818=$D$2:$D$2427,IF($X$2:$X$2427&gt;0,1))))&gt;0,SUM(IF(A818=$A$2:$A$2427,IF(D818=$D$2:$D$2427,$X$2:$X$2427)))/COUNT(IF(A818=$A$2:$A$2427,IF(D818=$D$2:$D$2427,IF(ISNUMBER($X$2:$X$2427),1)))),0),""),0)</f>
        <v/>
      </c>
      <c r="Z818" s="104" t="str">
        <f>IF(ISNUMBER(O818),IF(I818&gt;0,(10^(VLOOKUP(D818,'Species Codes'!B:C,2,0)+VLOOKUP(D818,'Species Codes'!B:D,3,0)*LOG(E818)+VLOOKUP(D818,'Species Codes'!B:E,4,0)*LOG(I818))),0),"")</f>
        <v/>
      </c>
      <c r="AA818" s="104" t="str">
        <f>IFERROR((VLOOKUP(D818,'Species Codes'!B:G,6,0)*Z818)/2000,"")</f>
        <v/>
      </c>
      <c r="AB818" s="104" t="e">
        <f>IF(Z818&gt;0,((IF(OR(D818="DF",D818="RA")=TRUE,EXP(VLOOKUP(D818,'Species Codes'!B:I,8,0)+VLOOKUP(D818,'Species Codes'!B:J,9,0)*(LN((E818*2.54)))),IF(OR(D818="PY",D818="RC",D818="WH",D818="NF")=TRUE,VLOOKUP(D818,'Species Codes'!B:I,8,0)+VLOOKUP(D818,'Species Codes'!B:J,9,0)*((E818*2.54)^2)*(I818*0.3048),IF(OR(D818="MD",D818="BM",D818="GA")=TRUE,((VLOOKUP(D818,'Species Codes'!B:I,8,0)*(((((E818*2.54)+VLOOKUP(D818,'Species Codes'!B:J,9,0))/VLOOKUP(D818,'Species Codes'!B:K,10,0))^VLOOKUP(D818,'Species Codes'!B:L,11,0))*((I818*0.3048)^VLOOKUP(D818,'Species Codes'!B:M,12,0))))-(VLOOKUP(D818,'Species Codes'!B:I,8,0)*((((E818*2.54)^VLOOKUP(D818,'Species Codes'!B:L,11,0))*((I818*0.3048)^VLOOKUP(D818,'Species Codes'!B:M,12,0))))))*35.3*VLOOKUP(D818,'Species Codes'!B:G,6,0)/2.2046,VLOOKUP(D818,'Species Codes'!B:I,8,0)+VLOOKUP(D818,'Species Codes'!B:J,9,0)*(((E818*2.54)/100)^2)*(I818*0.3048)))))*0.0011023),0)</f>
        <v>#N/A</v>
      </c>
      <c r="AC818" s="104" t="e">
        <f>IF(Z818&gt;0,((IF(OR(D818="RA",D818="OA",D818="OT",D818="UN",D818="PC"),EXP(VLOOKUP(D818,'Species Codes'!B:O,14,0)+VLOOKUP(D818,'Species Codes'!B:P,15,0)*LN((E818*2.54)))-EXP(VLOOKUP(D818,'Species Codes'!B:O,14,0)+VLOOKUP(D818,'Species Codes'!B:P,15,0)*LN((E818*2.54)))*(1/(VLOOKUP(D818,'Species Codes'!B:Q,16,0)+VLOOKUP(D818,'Species Codes'!B:R,17,0)*((E818*2.54)^VLOOKUP(D818,'Species Codes'!B:S,18,0)))),IF(OR(D818="BM",D818="MD",D818="OA"),EXP(VLOOKUP(D818,'Species Codes'!B:O,14,0)+VLOOKUP(D818,'Species Codes'!B:P,15,0)*LN((E818*2.54)))*(1-(1/(VLOOKUP(D818,'Species Codes'!B:Q,16,0)+VLOOKUP(D818,'Species Codes'!B:R,17,0)*((E818*2.54)^VLOOKUP(D818,'Species Codes'!B:S,18,0)))))/1000,IF(D818="DF",EXP(VLOOKUP(D818,'Species Codes'!B:O,14,0)+VLOOKUP(D818,'Species Codes'!B:P,15,0)*LN((E818*2.54))),VLOOKUP(D818,'Species Codes'!B:O,14,0)+VLOOKUP(D818,'Species Codes'!B:P,15,0)*(((E818*2.54)/100)^2)*(I818*0.3048)))))*0.0011023),0)</f>
        <v>#N/A</v>
      </c>
      <c r="AD818" s="104" t="e">
        <f t="shared" si="382"/>
        <v>#N/A</v>
      </c>
      <c r="AE818" s="104" t="e">
        <f t="shared" si="383"/>
        <v>#N/A</v>
      </c>
      <c r="AF818" s="104" t="e">
        <f>IF(AND(VLOOKUP($D818,Merchantability!$B:$C,2,0)="Yes",$E818&gt;=VLOOKUP($D818,Merchantability!$B:$D,3,0),$E818&lt;=VLOOKUP($D818,Merchantability!$B:$E,4,0)),AA818,0)</f>
        <v>#N/A</v>
      </c>
      <c r="AG818" s="104" t="e">
        <f>IF(AND(VLOOKUP($D818,Merchantability!$B:$C,2,0)="Yes",$E818&gt;=VLOOKUP($D818,Merchantability!$B:$D,3,0),$E818&lt;=VLOOKUP($D818,Merchantability!$B:$E,4,0)),AB818,0)</f>
        <v>#N/A</v>
      </c>
      <c r="AH818" s="104" t="e">
        <f>IF(AND(VLOOKUP($D818,Merchantability!$B:$C,2,0)="Yes",$E818&gt;=VLOOKUP($D818,Merchantability!$B:$D,3,0),$E818&lt;=VLOOKUP($D818,Merchantability!$B:$E,4,0)),AC818,0)</f>
        <v>#N/A</v>
      </c>
      <c r="AI818" s="104" t="e">
        <f t="shared" si="384"/>
        <v>#N/A</v>
      </c>
      <c r="AJ818" s="104" t="e">
        <f t="shared" si="385"/>
        <v>#VALUE!</v>
      </c>
      <c r="AK818" s="104" t="e">
        <f t="shared" si="386"/>
        <v>#N/A</v>
      </c>
      <c r="AL818" s="104" t="e">
        <f t="shared" si="387"/>
        <v>#N/A</v>
      </c>
      <c r="AM818" s="104" t="e">
        <f t="shared" si="388"/>
        <v>#N/A</v>
      </c>
      <c r="AN818" s="104" t="e">
        <f t="shared" si="372"/>
        <v>#N/A</v>
      </c>
      <c r="AO818" s="104" t="e">
        <f t="shared" si="373"/>
        <v>#N/A</v>
      </c>
      <c r="AP818" s="104" t="e">
        <f t="shared" si="374"/>
        <v>#N/A</v>
      </c>
      <c r="AQ818" s="104" t="e">
        <f t="shared" si="375"/>
        <v>#N/A</v>
      </c>
      <c r="AR818" s="105" t="str">
        <f t="shared" si="367"/>
        <v/>
      </c>
      <c r="AS818" s="105" t="str">
        <f t="shared" si="368"/>
        <v/>
      </c>
      <c r="AT818" s="108" t="str">
        <f t="shared" si="369"/>
        <v/>
      </c>
      <c r="AU818" s="108" t="str">
        <f t="shared" si="370"/>
        <v/>
      </c>
      <c r="AV818" s="107" t="str">
        <f>IF(ISNUMBER(O818),IF(VLOOKUP($A818,Stand!C:J,8,FALSE)="Short",AT818,AU818),"")</f>
        <v/>
      </c>
      <c r="AW818" s="109" t="str">
        <f t="shared" si="376"/>
        <v/>
      </c>
      <c r="AX818" s="109" t="str">
        <f t="shared" si="377"/>
        <v/>
      </c>
      <c r="AY818" s="112" t="str">
        <f>IF(ISNUMBER(O818),IF(AND(VLOOKUP($D818,Merchantability!$B:$C,2,0)="Yes",$E818&gt;=VLOOKUP($D818,Merchantability!$B:$D,3,0),$E818&lt;=VLOOKUP($D818,Merchantability!$B:$E,4,0)),(AV818*O818)*(1-$H818/100),""),"")</f>
        <v/>
      </c>
      <c r="AZ818" s="116"/>
      <c r="BA818" s="116"/>
      <c r="BB818" s="116"/>
      <c r="BE818" s="62"/>
      <c r="BF818" s="63"/>
    </row>
    <row r="819" spans="1:58" ht="12.75" customHeight="1" x14ac:dyDescent="0.25">
      <c r="A819" s="313"/>
      <c r="B819" s="328"/>
      <c r="C819" s="329"/>
      <c r="D819" s="328"/>
      <c r="E819" s="330"/>
      <c r="F819" s="328"/>
      <c r="G819" s="329"/>
      <c r="H819" s="329"/>
      <c r="I819" s="328"/>
      <c r="J819" s="383"/>
      <c r="K819" s="329"/>
      <c r="L819" s="329"/>
      <c r="M819" s="76"/>
      <c r="N819" s="103" t="str">
        <f>IF(A819="","",VLOOKUP(A819,Stand!C:K,9,0))</f>
        <v/>
      </c>
      <c r="O819" s="104" t="str">
        <f t="shared" si="362"/>
        <v/>
      </c>
      <c r="P819" s="105" t="str">
        <f t="shared" si="363"/>
        <v/>
      </c>
      <c r="Q819" s="105" t="str">
        <f t="shared" si="378"/>
        <v/>
      </c>
      <c r="R819" s="103" t="str">
        <f t="shared" si="364"/>
        <v/>
      </c>
      <c r="S819" s="103" t="str">
        <f t="shared" si="365"/>
        <v/>
      </c>
      <c r="T819" s="106" t="str">
        <f t="shared" si="379"/>
        <v/>
      </c>
      <c r="U819" s="106" t="str">
        <f t="shared" si="380"/>
        <v/>
      </c>
      <c r="V819" s="106" t="str">
        <f t="shared" si="381"/>
        <v/>
      </c>
      <c r="W819" s="105" t="str">
        <f t="shared" si="366"/>
        <v/>
      </c>
      <c r="X819" s="104" t="str">
        <f t="shared" si="371"/>
        <v/>
      </c>
      <c r="Y819" s="104" t="str">
        <f t="array" ref="Y819">IFERROR(IF(ISNUMBER(O819),IF(COUNT(IF(A819=$A$2:$A$2427,IF(D819=$D$2:$D$2427,IF($X$2:$X$2427&gt;0,1))))&gt;0,SUM(IF(A819=$A$2:$A$2427,IF(D819=$D$2:$D$2427,$X$2:$X$2427)))/COUNT(IF(A819=$A$2:$A$2427,IF(D819=$D$2:$D$2427,IF(ISNUMBER($X$2:$X$2427),1)))),0),""),0)</f>
        <v/>
      </c>
      <c r="Z819" s="104" t="str">
        <f>IF(ISNUMBER(O819),IF(I819&gt;0,(10^(VLOOKUP(D819,'Species Codes'!B:C,2,0)+VLOOKUP(D819,'Species Codes'!B:D,3,0)*LOG(E819)+VLOOKUP(D819,'Species Codes'!B:E,4,0)*LOG(I819))),0),"")</f>
        <v/>
      </c>
      <c r="AA819" s="104" t="str">
        <f>IFERROR((VLOOKUP(D819,'Species Codes'!B:G,6,0)*Z819)/2000,"")</f>
        <v/>
      </c>
      <c r="AB819" s="104" t="e">
        <f>IF(Z819&gt;0,((IF(OR(D819="DF",D819="RA")=TRUE,EXP(VLOOKUP(D819,'Species Codes'!B:I,8,0)+VLOOKUP(D819,'Species Codes'!B:J,9,0)*(LN((E819*2.54)))),IF(OR(D819="PY",D819="RC",D819="WH",D819="NF")=TRUE,VLOOKUP(D819,'Species Codes'!B:I,8,0)+VLOOKUP(D819,'Species Codes'!B:J,9,0)*((E819*2.54)^2)*(I819*0.3048),IF(OR(D819="MD",D819="BM",D819="GA")=TRUE,((VLOOKUP(D819,'Species Codes'!B:I,8,0)*(((((E819*2.54)+VLOOKUP(D819,'Species Codes'!B:J,9,0))/VLOOKUP(D819,'Species Codes'!B:K,10,0))^VLOOKUP(D819,'Species Codes'!B:L,11,0))*((I819*0.3048)^VLOOKUP(D819,'Species Codes'!B:M,12,0))))-(VLOOKUP(D819,'Species Codes'!B:I,8,0)*((((E819*2.54)^VLOOKUP(D819,'Species Codes'!B:L,11,0))*((I819*0.3048)^VLOOKUP(D819,'Species Codes'!B:M,12,0))))))*35.3*VLOOKUP(D819,'Species Codes'!B:G,6,0)/2.2046,VLOOKUP(D819,'Species Codes'!B:I,8,0)+VLOOKUP(D819,'Species Codes'!B:J,9,0)*(((E819*2.54)/100)^2)*(I819*0.3048)))))*0.0011023),0)</f>
        <v>#N/A</v>
      </c>
      <c r="AC819" s="104" t="e">
        <f>IF(Z819&gt;0,((IF(OR(D819="RA",D819="OA",D819="OT",D819="UN",D819="PC"),EXP(VLOOKUP(D819,'Species Codes'!B:O,14,0)+VLOOKUP(D819,'Species Codes'!B:P,15,0)*LN((E819*2.54)))-EXP(VLOOKUP(D819,'Species Codes'!B:O,14,0)+VLOOKUP(D819,'Species Codes'!B:P,15,0)*LN((E819*2.54)))*(1/(VLOOKUP(D819,'Species Codes'!B:Q,16,0)+VLOOKUP(D819,'Species Codes'!B:R,17,0)*((E819*2.54)^VLOOKUP(D819,'Species Codes'!B:S,18,0)))),IF(OR(D819="BM",D819="MD",D819="OA"),EXP(VLOOKUP(D819,'Species Codes'!B:O,14,0)+VLOOKUP(D819,'Species Codes'!B:P,15,0)*LN((E819*2.54)))*(1-(1/(VLOOKUP(D819,'Species Codes'!B:Q,16,0)+VLOOKUP(D819,'Species Codes'!B:R,17,0)*((E819*2.54)^VLOOKUP(D819,'Species Codes'!B:S,18,0)))))/1000,IF(D819="DF",EXP(VLOOKUP(D819,'Species Codes'!B:O,14,0)+VLOOKUP(D819,'Species Codes'!B:P,15,0)*LN((E819*2.54))),VLOOKUP(D819,'Species Codes'!B:O,14,0)+VLOOKUP(D819,'Species Codes'!B:P,15,0)*(((E819*2.54)/100)^2)*(I819*0.3048)))))*0.0011023),0)</f>
        <v>#N/A</v>
      </c>
      <c r="AD819" s="104" t="e">
        <f t="shared" si="382"/>
        <v>#N/A</v>
      </c>
      <c r="AE819" s="104" t="e">
        <f t="shared" si="383"/>
        <v>#N/A</v>
      </c>
      <c r="AF819" s="104" t="e">
        <f>IF(AND(VLOOKUP($D819,Merchantability!$B:$C,2,0)="Yes",$E819&gt;=VLOOKUP($D819,Merchantability!$B:$D,3,0),$E819&lt;=VLOOKUP($D819,Merchantability!$B:$E,4,0)),AA819,0)</f>
        <v>#N/A</v>
      </c>
      <c r="AG819" s="104" t="e">
        <f>IF(AND(VLOOKUP($D819,Merchantability!$B:$C,2,0)="Yes",$E819&gt;=VLOOKUP($D819,Merchantability!$B:$D,3,0),$E819&lt;=VLOOKUP($D819,Merchantability!$B:$E,4,0)),AB819,0)</f>
        <v>#N/A</v>
      </c>
      <c r="AH819" s="104" t="e">
        <f>IF(AND(VLOOKUP($D819,Merchantability!$B:$C,2,0)="Yes",$E819&gt;=VLOOKUP($D819,Merchantability!$B:$D,3,0),$E819&lt;=VLOOKUP($D819,Merchantability!$B:$E,4,0)),AC819,0)</f>
        <v>#N/A</v>
      </c>
      <c r="AI819" s="104" t="e">
        <f t="shared" si="384"/>
        <v>#N/A</v>
      </c>
      <c r="AJ819" s="104" t="e">
        <f t="shared" si="385"/>
        <v>#VALUE!</v>
      </c>
      <c r="AK819" s="104" t="e">
        <f t="shared" si="386"/>
        <v>#N/A</v>
      </c>
      <c r="AL819" s="104" t="e">
        <f t="shared" si="387"/>
        <v>#N/A</v>
      </c>
      <c r="AM819" s="104" t="e">
        <f t="shared" si="388"/>
        <v>#N/A</v>
      </c>
      <c r="AN819" s="104" t="e">
        <f t="shared" si="372"/>
        <v>#N/A</v>
      </c>
      <c r="AO819" s="104" t="e">
        <f t="shared" si="373"/>
        <v>#N/A</v>
      </c>
      <c r="AP819" s="104" t="e">
        <f t="shared" si="374"/>
        <v>#N/A</v>
      </c>
      <c r="AQ819" s="104" t="e">
        <f t="shared" si="375"/>
        <v>#N/A</v>
      </c>
      <c r="AR819" s="105" t="str">
        <f t="shared" si="367"/>
        <v/>
      </c>
      <c r="AS819" s="105" t="str">
        <f t="shared" si="368"/>
        <v/>
      </c>
      <c r="AT819" s="108" t="str">
        <f t="shared" si="369"/>
        <v/>
      </c>
      <c r="AU819" s="108" t="str">
        <f t="shared" si="370"/>
        <v/>
      </c>
      <c r="AV819" s="107" t="str">
        <f>IF(ISNUMBER(O819),IF(VLOOKUP($A819,Stand!C:J,8,FALSE)="Short",AT819,AU819),"")</f>
        <v/>
      </c>
      <c r="AW819" s="109" t="str">
        <f t="shared" si="376"/>
        <v/>
      </c>
      <c r="AX819" s="109" t="str">
        <f t="shared" si="377"/>
        <v/>
      </c>
      <c r="AY819" s="112" t="str">
        <f>IF(ISNUMBER(O819),IF(AND(VLOOKUP($D819,Merchantability!$B:$C,2,0)="Yes",$E819&gt;=VLOOKUP($D819,Merchantability!$B:$D,3,0),$E819&lt;=VLOOKUP($D819,Merchantability!$B:$E,4,0)),(AV819*O819)*(1-$H819/100),""),"")</f>
        <v/>
      </c>
      <c r="AZ819" s="116"/>
      <c r="BA819" s="116"/>
      <c r="BB819" s="116"/>
      <c r="BE819" s="62"/>
      <c r="BF819" s="63"/>
    </row>
    <row r="820" spans="1:58" ht="12.75" customHeight="1" x14ac:dyDescent="0.25">
      <c r="A820" s="313"/>
      <c r="B820" s="328"/>
      <c r="C820" s="329"/>
      <c r="D820" s="328"/>
      <c r="E820" s="330"/>
      <c r="F820" s="328"/>
      <c r="G820" s="329"/>
      <c r="H820" s="329"/>
      <c r="I820" s="328"/>
      <c r="J820" s="383"/>
      <c r="K820" s="329"/>
      <c r="L820" s="329"/>
      <c r="M820" s="76"/>
      <c r="N820" s="103" t="str">
        <f>IF(A820="","",VLOOKUP(A820,Stand!C:K,9,0))</f>
        <v/>
      </c>
      <c r="O820" s="104" t="str">
        <f t="shared" si="362"/>
        <v/>
      </c>
      <c r="P820" s="105" t="str">
        <f t="shared" si="363"/>
        <v/>
      </c>
      <c r="Q820" s="105" t="str">
        <f t="shared" si="378"/>
        <v/>
      </c>
      <c r="R820" s="103" t="str">
        <f t="shared" si="364"/>
        <v/>
      </c>
      <c r="S820" s="103" t="str">
        <f t="shared" si="365"/>
        <v/>
      </c>
      <c r="T820" s="106" t="str">
        <f t="shared" si="379"/>
        <v/>
      </c>
      <c r="U820" s="106" t="str">
        <f t="shared" si="380"/>
        <v/>
      </c>
      <c r="V820" s="106" t="str">
        <f t="shared" si="381"/>
        <v/>
      </c>
      <c r="W820" s="105" t="str">
        <f t="shared" si="366"/>
        <v/>
      </c>
      <c r="X820" s="104" t="str">
        <f t="shared" si="371"/>
        <v/>
      </c>
      <c r="Y820" s="104" t="str">
        <f t="array" ref="Y820">IFERROR(IF(ISNUMBER(O820),IF(COUNT(IF(A820=$A$2:$A$2427,IF(D820=$D$2:$D$2427,IF($X$2:$X$2427&gt;0,1))))&gt;0,SUM(IF(A820=$A$2:$A$2427,IF(D820=$D$2:$D$2427,$X$2:$X$2427)))/COUNT(IF(A820=$A$2:$A$2427,IF(D820=$D$2:$D$2427,IF(ISNUMBER($X$2:$X$2427),1)))),0),""),0)</f>
        <v/>
      </c>
      <c r="Z820" s="104" t="str">
        <f>IF(ISNUMBER(O820),IF(I820&gt;0,(10^(VLOOKUP(D820,'Species Codes'!B:C,2,0)+VLOOKUP(D820,'Species Codes'!B:D,3,0)*LOG(E820)+VLOOKUP(D820,'Species Codes'!B:E,4,0)*LOG(I820))),0),"")</f>
        <v/>
      </c>
      <c r="AA820" s="104" t="str">
        <f>IFERROR((VLOOKUP(D820,'Species Codes'!B:G,6,0)*Z820)/2000,"")</f>
        <v/>
      </c>
      <c r="AB820" s="104" t="e">
        <f>IF(Z820&gt;0,((IF(OR(D820="DF",D820="RA")=TRUE,EXP(VLOOKUP(D820,'Species Codes'!B:I,8,0)+VLOOKUP(D820,'Species Codes'!B:J,9,0)*(LN((E820*2.54)))),IF(OR(D820="PY",D820="RC",D820="WH",D820="NF")=TRUE,VLOOKUP(D820,'Species Codes'!B:I,8,0)+VLOOKUP(D820,'Species Codes'!B:J,9,0)*((E820*2.54)^2)*(I820*0.3048),IF(OR(D820="MD",D820="BM",D820="GA")=TRUE,((VLOOKUP(D820,'Species Codes'!B:I,8,0)*(((((E820*2.54)+VLOOKUP(D820,'Species Codes'!B:J,9,0))/VLOOKUP(D820,'Species Codes'!B:K,10,0))^VLOOKUP(D820,'Species Codes'!B:L,11,0))*((I820*0.3048)^VLOOKUP(D820,'Species Codes'!B:M,12,0))))-(VLOOKUP(D820,'Species Codes'!B:I,8,0)*((((E820*2.54)^VLOOKUP(D820,'Species Codes'!B:L,11,0))*((I820*0.3048)^VLOOKUP(D820,'Species Codes'!B:M,12,0))))))*35.3*VLOOKUP(D820,'Species Codes'!B:G,6,0)/2.2046,VLOOKUP(D820,'Species Codes'!B:I,8,0)+VLOOKUP(D820,'Species Codes'!B:J,9,0)*(((E820*2.54)/100)^2)*(I820*0.3048)))))*0.0011023),0)</f>
        <v>#N/A</v>
      </c>
      <c r="AC820" s="104" t="e">
        <f>IF(Z820&gt;0,((IF(OR(D820="RA",D820="OA",D820="OT",D820="UN",D820="PC"),EXP(VLOOKUP(D820,'Species Codes'!B:O,14,0)+VLOOKUP(D820,'Species Codes'!B:P,15,0)*LN((E820*2.54)))-EXP(VLOOKUP(D820,'Species Codes'!B:O,14,0)+VLOOKUP(D820,'Species Codes'!B:P,15,0)*LN((E820*2.54)))*(1/(VLOOKUP(D820,'Species Codes'!B:Q,16,0)+VLOOKUP(D820,'Species Codes'!B:R,17,0)*((E820*2.54)^VLOOKUP(D820,'Species Codes'!B:S,18,0)))),IF(OR(D820="BM",D820="MD",D820="OA"),EXP(VLOOKUP(D820,'Species Codes'!B:O,14,0)+VLOOKUP(D820,'Species Codes'!B:P,15,0)*LN((E820*2.54)))*(1-(1/(VLOOKUP(D820,'Species Codes'!B:Q,16,0)+VLOOKUP(D820,'Species Codes'!B:R,17,0)*((E820*2.54)^VLOOKUP(D820,'Species Codes'!B:S,18,0)))))/1000,IF(D820="DF",EXP(VLOOKUP(D820,'Species Codes'!B:O,14,0)+VLOOKUP(D820,'Species Codes'!B:P,15,0)*LN((E820*2.54))),VLOOKUP(D820,'Species Codes'!B:O,14,0)+VLOOKUP(D820,'Species Codes'!B:P,15,0)*(((E820*2.54)/100)^2)*(I820*0.3048)))))*0.0011023),0)</f>
        <v>#N/A</v>
      </c>
      <c r="AD820" s="104" t="e">
        <f t="shared" si="382"/>
        <v>#N/A</v>
      </c>
      <c r="AE820" s="104" t="e">
        <f t="shared" si="383"/>
        <v>#N/A</v>
      </c>
      <c r="AF820" s="104" t="e">
        <f>IF(AND(VLOOKUP($D820,Merchantability!$B:$C,2,0)="Yes",$E820&gt;=VLOOKUP($D820,Merchantability!$B:$D,3,0),$E820&lt;=VLOOKUP($D820,Merchantability!$B:$E,4,0)),AA820,0)</f>
        <v>#N/A</v>
      </c>
      <c r="AG820" s="104" t="e">
        <f>IF(AND(VLOOKUP($D820,Merchantability!$B:$C,2,0)="Yes",$E820&gt;=VLOOKUP($D820,Merchantability!$B:$D,3,0),$E820&lt;=VLOOKUP($D820,Merchantability!$B:$E,4,0)),AB820,0)</f>
        <v>#N/A</v>
      </c>
      <c r="AH820" s="104" t="e">
        <f>IF(AND(VLOOKUP($D820,Merchantability!$B:$C,2,0)="Yes",$E820&gt;=VLOOKUP($D820,Merchantability!$B:$D,3,0),$E820&lt;=VLOOKUP($D820,Merchantability!$B:$E,4,0)),AC820,0)</f>
        <v>#N/A</v>
      </c>
      <c r="AI820" s="104" t="e">
        <f t="shared" si="384"/>
        <v>#N/A</v>
      </c>
      <c r="AJ820" s="104" t="e">
        <f t="shared" si="385"/>
        <v>#VALUE!</v>
      </c>
      <c r="AK820" s="104" t="e">
        <f t="shared" si="386"/>
        <v>#N/A</v>
      </c>
      <c r="AL820" s="104" t="e">
        <f t="shared" si="387"/>
        <v>#N/A</v>
      </c>
      <c r="AM820" s="104" t="e">
        <f t="shared" si="388"/>
        <v>#N/A</v>
      </c>
      <c r="AN820" s="104" t="e">
        <f t="shared" si="372"/>
        <v>#N/A</v>
      </c>
      <c r="AO820" s="104" t="e">
        <f t="shared" si="373"/>
        <v>#N/A</v>
      </c>
      <c r="AP820" s="104" t="e">
        <f t="shared" si="374"/>
        <v>#N/A</v>
      </c>
      <c r="AQ820" s="104" t="e">
        <f t="shared" si="375"/>
        <v>#N/A</v>
      </c>
      <c r="AR820" s="105" t="str">
        <f t="shared" si="367"/>
        <v/>
      </c>
      <c r="AS820" s="105" t="str">
        <f t="shared" si="368"/>
        <v/>
      </c>
      <c r="AT820" s="108" t="str">
        <f t="shared" si="369"/>
        <v/>
      </c>
      <c r="AU820" s="108" t="str">
        <f t="shared" si="370"/>
        <v/>
      </c>
      <c r="AV820" s="107" t="str">
        <f>IF(ISNUMBER(O820),IF(VLOOKUP($A820,Stand!C:J,8,FALSE)="Short",AT820,AU820),"")</f>
        <v/>
      </c>
      <c r="AW820" s="109" t="str">
        <f t="shared" si="376"/>
        <v/>
      </c>
      <c r="AX820" s="109" t="str">
        <f t="shared" si="377"/>
        <v/>
      </c>
      <c r="AY820" s="112" t="str">
        <f>IF(ISNUMBER(O820),IF(AND(VLOOKUP($D820,Merchantability!$B:$C,2,0)="Yes",$E820&gt;=VLOOKUP($D820,Merchantability!$B:$D,3,0),$E820&lt;=VLOOKUP($D820,Merchantability!$B:$E,4,0)),(AV820*O820)*(1-$H820/100),""),"")</f>
        <v/>
      </c>
      <c r="AZ820" s="116"/>
      <c r="BA820" s="116"/>
      <c r="BB820" s="116"/>
      <c r="BE820" s="62"/>
      <c r="BF820" s="63"/>
    </row>
    <row r="821" spans="1:58" ht="12.75" customHeight="1" x14ac:dyDescent="0.25">
      <c r="A821" s="313"/>
      <c r="B821" s="328"/>
      <c r="C821" s="329"/>
      <c r="D821" s="328"/>
      <c r="E821" s="330"/>
      <c r="F821" s="328"/>
      <c r="G821" s="329"/>
      <c r="H821" s="329"/>
      <c r="I821" s="328"/>
      <c r="J821" s="383"/>
      <c r="K821" s="329"/>
      <c r="L821" s="329"/>
      <c r="M821" s="76"/>
      <c r="N821" s="103" t="str">
        <f>IF(A821="","",VLOOKUP(A821,Stand!C:K,9,0))</f>
        <v/>
      </c>
      <c r="O821" s="104" t="str">
        <f t="shared" si="362"/>
        <v/>
      </c>
      <c r="P821" s="105" t="str">
        <f t="shared" si="363"/>
        <v/>
      </c>
      <c r="Q821" s="105" t="str">
        <f t="shared" si="378"/>
        <v/>
      </c>
      <c r="R821" s="103" t="str">
        <f t="shared" si="364"/>
        <v/>
      </c>
      <c r="S821" s="103" t="str">
        <f t="shared" si="365"/>
        <v/>
      </c>
      <c r="T821" s="106" t="str">
        <f t="shared" si="379"/>
        <v/>
      </c>
      <c r="U821" s="106" t="str">
        <f t="shared" si="380"/>
        <v/>
      </c>
      <c r="V821" s="106" t="str">
        <f t="shared" si="381"/>
        <v/>
      </c>
      <c r="W821" s="105" t="str">
        <f t="shared" si="366"/>
        <v/>
      </c>
      <c r="X821" s="104" t="str">
        <f t="shared" si="371"/>
        <v/>
      </c>
      <c r="Y821" s="104" t="str">
        <f t="array" ref="Y821">IFERROR(IF(ISNUMBER(O821),IF(COUNT(IF(A821=$A$2:$A$2427,IF(D821=$D$2:$D$2427,IF($X$2:$X$2427&gt;0,1))))&gt;0,SUM(IF(A821=$A$2:$A$2427,IF(D821=$D$2:$D$2427,$X$2:$X$2427)))/COUNT(IF(A821=$A$2:$A$2427,IF(D821=$D$2:$D$2427,IF(ISNUMBER($X$2:$X$2427),1)))),0),""),0)</f>
        <v/>
      </c>
      <c r="Z821" s="104" t="str">
        <f>IF(ISNUMBER(O821),IF(I821&gt;0,(10^(VLOOKUP(D821,'Species Codes'!B:C,2,0)+VLOOKUP(D821,'Species Codes'!B:D,3,0)*LOG(E821)+VLOOKUP(D821,'Species Codes'!B:E,4,0)*LOG(I821))),0),"")</f>
        <v/>
      </c>
      <c r="AA821" s="104" t="str">
        <f>IFERROR((VLOOKUP(D821,'Species Codes'!B:G,6,0)*Z821)/2000,"")</f>
        <v/>
      </c>
      <c r="AB821" s="104" t="e">
        <f>IF(Z821&gt;0,((IF(OR(D821="DF",D821="RA")=TRUE,EXP(VLOOKUP(D821,'Species Codes'!B:I,8,0)+VLOOKUP(D821,'Species Codes'!B:J,9,0)*(LN((E821*2.54)))),IF(OR(D821="PY",D821="RC",D821="WH",D821="NF")=TRUE,VLOOKUP(D821,'Species Codes'!B:I,8,0)+VLOOKUP(D821,'Species Codes'!B:J,9,0)*((E821*2.54)^2)*(I821*0.3048),IF(OR(D821="MD",D821="BM",D821="GA")=TRUE,((VLOOKUP(D821,'Species Codes'!B:I,8,0)*(((((E821*2.54)+VLOOKUP(D821,'Species Codes'!B:J,9,0))/VLOOKUP(D821,'Species Codes'!B:K,10,0))^VLOOKUP(D821,'Species Codes'!B:L,11,0))*((I821*0.3048)^VLOOKUP(D821,'Species Codes'!B:M,12,0))))-(VLOOKUP(D821,'Species Codes'!B:I,8,0)*((((E821*2.54)^VLOOKUP(D821,'Species Codes'!B:L,11,0))*((I821*0.3048)^VLOOKUP(D821,'Species Codes'!B:M,12,0))))))*35.3*VLOOKUP(D821,'Species Codes'!B:G,6,0)/2.2046,VLOOKUP(D821,'Species Codes'!B:I,8,0)+VLOOKUP(D821,'Species Codes'!B:J,9,0)*(((E821*2.54)/100)^2)*(I821*0.3048)))))*0.0011023),0)</f>
        <v>#N/A</v>
      </c>
      <c r="AC821" s="104" t="e">
        <f>IF(Z821&gt;0,((IF(OR(D821="RA",D821="OA",D821="OT",D821="UN",D821="PC"),EXP(VLOOKUP(D821,'Species Codes'!B:O,14,0)+VLOOKUP(D821,'Species Codes'!B:P,15,0)*LN((E821*2.54)))-EXP(VLOOKUP(D821,'Species Codes'!B:O,14,0)+VLOOKUP(D821,'Species Codes'!B:P,15,0)*LN((E821*2.54)))*(1/(VLOOKUP(D821,'Species Codes'!B:Q,16,0)+VLOOKUP(D821,'Species Codes'!B:R,17,0)*((E821*2.54)^VLOOKUP(D821,'Species Codes'!B:S,18,0)))),IF(OR(D821="BM",D821="MD",D821="OA"),EXP(VLOOKUP(D821,'Species Codes'!B:O,14,0)+VLOOKUP(D821,'Species Codes'!B:P,15,0)*LN((E821*2.54)))*(1-(1/(VLOOKUP(D821,'Species Codes'!B:Q,16,0)+VLOOKUP(D821,'Species Codes'!B:R,17,0)*((E821*2.54)^VLOOKUP(D821,'Species Codes'!B:S,18,0)))))/1000,IF(D821="DF",EXP(VLOOKUP(D821,'Species Codes'!B:O,14,0)+VLOOKUP(D821,'Species Codes'!B:P,15,0)*LN((E821*2.54))),VLOOKUP(D821,'Species Codes'!B:O,14,0)+VLOOKUP(D821,'Species Codes'!B:P,15,0)*(((E821*2.54)/100)^2)*(I821*0.3048)))))*0.0011023),0)</f>
        <v>#N/A</v>
      </c>
      <c r="AD821" s="104" t="e">
        <f t="shared" si="382"/>
        <v>#N/A</v>
      </c>
      <c r="AE821" s="104" t="e">
        <f t="shared" si="383"/>
        <v>#N/A</v>
      </c>
      <c r="AF821" s="104" t="e">
        <f>IF(AND(VLOOKUP($D821,Merchantability!$B:$C,2,0)="Yes",$E821&gt;=VLOOKUP($D821,Merchantability!$B:$D,3,0),$E821&lt;=VLOOKUP($D821,Merchantability!$B:$E,4,0)),AA821,0)</f>
        <v>#N/A</v>
      </c>
      <c r="AG821" s="104" t="e">
        <f>IF(AND(VLOOKUP($D821,Merchantability!$B:$C,2,0)="Yes",$E821&gt;=VLOOKUP($D821,Merchantability!$B:$D,3,0),$E821&lt;=VLOOKUP($D821,Merchantability!$B:$E,4,0)),AB821,0)</f>
        <v>#N/A</v>
      </c>
      <c r="AH821" s="104" t="e">
        <f>IF(AND(VLOOKUP($D821,Merchantability!$B:$C,2,0)="Yes",$E821&gt;=VLOOKUP($D821,Merchantability!$B:$D,3,0),$E821&lt;=VLOOKUP($D821,Merchantability!$B:$E,4,0)),AC821,0)</f>
        <v>#N/A</v>
      </c>
      <c r="AI821" s="104" t="e">
        <f t="shared" si="384"/>
        <v>#N/A</v>
      </c>
      <c r="AJ821" s="104" t="e">
        <f t="shared" si="385"/>
        <v>#VALUE!</v>
      </c>
      <c r="AK821" s="104" t="e">
        <f t="shared" si="386"/>
        <v>#N/A</v>
      </c>
      <c r="AL821" s="104" t="e">
        <f t="shared" si="387"/>
        <v>#N/A</v>
      </c>
      <c r="AM821" s="104" t="e">
        <f t="shared" si="388"/>
        <v>#N/A</v>
      </c>
      <c r="AN821" s="104" t="e">
        <f t="shared" si="372"/>
        <v>#N/A</v>
      </c>
      <c r="AO821" s="104" t="e">
        <f t="shared" si="373"/>
        <v>#N/A</v>
      </c>
      <c r="AP821" s="104" t="e">
        <f t="shared" si="374"/>
        <v>#N/A</v>
      </c>
      <c r="AQ821" s="104" t="e">
        <f t="shared" si="375"/>
        <v>#N/A</v>
      </c>
      <c r="AR821" s="105" t="str">
        <f t="shared" si="367"/>
        <v/>
      </c>
      <c r="AS821" s="105" t="str">
        <f t="shared" si="368"/>
        <v/>
      </c>
      <c r="AT821" s="108" t="str">
        <f t="shared" si="369"/>
        <v/>
      </c>
      <c r="AU821" s="108" t="str">
        <f t="shared" si="370"/>
        <v/>
      </c>
      <c r="AV821" s="107" t="str">
        <f>IF(ISNUMBER(O821),IF(VLOOKUP($A821,Stand!C:J,8,FALSE)="Short",AT821,AU821),"")</f>
        <v/>
      </c>
      <c r="AW821" s="109" t="str">
        <f t="shared" si="376"/>
        <v/>
      </c>
      <c r="AX821" s="109" t="str">
        <f t="shared" si="377"/>
        <v/>
      </c>
      <c r="AY821" s="112" t="str">
        <f>IF(ISNUMBER(O821),IF(AND(VLOOKUP($D821,Merchantability!$B:$C,2,0)="Yes",$E821&gt;=VLOOKUP($D821,Merchantability!$B:$D,3,0),$E821&lt;=VLOOKUP($D821,Merchantability!$B:$E,4,0)),(AV821*O821)*(1-$H821/100),""),"")</f>
        <v/>
      </c>
      <c r="AZ821" s="116"/>
      <c r="BA821" s="116"/>
      <c r="BB821" s="116"/>
      <c r="BE821" s="62"/>
      <c r="BF821" s="63"/>
    </row>
    <row r="822" spans="1:58" ht="12.75" customHeight="1" x14ac:dyDescent="0.25">
      <c r="A822" s="313"/>
      <c r="B822" s="328"/>
      <c r="C822" s="329"/>
      <c r="D822" s="328"/>
      <c r="E822" s="330"/>
      <c r="F822" s="328"/>
      <c r="G822" s="329"/>
      <c r="H822" s="329"/>
      <c r="I822" s="328"/>
      <c r="J822" s="383"/>
      <c r="K822" s="329"/>
      <c r="L822" s="329"/>
      <c r="M822" s="76"/>
      <c r="N822" s="103" t="str">
        <f>IF(A822="","",VLOOKUP(A822,Stand!C:K,9,0))</f>
        <v/>
      </c>
      <c r="O822" s="104" t="str">
        <f t="shared" si="362"/>
        <v/>
      </c>
      <c r="P822" s="105" t="str">
        <f t="shared" si="363"/>
        <v/>
      </c>
      <c r="Q822" s="105" t="str">
        <f t="shared" si="378"/>
        <v/>
      </c>
      <c r="R822" s="103" t="str">
        <f t="shared" si="364"/>
        <v/>
      </c>
      <c r="S822" s="103" t="str">
        <f t="shared" si="365"/>
        <v/>
      </c>
      <c r="T822" s="106" t="str">
        <f t="shared" si="379"/>
        <v/>
      </c>
      <c r="U822" s="106" t="str">
        <f t="shared" si="380"/>
        <v/>
      </c>
      <c r="V822" s="106" t="str">
        <f t="shared" si="381"/>
        <v/>
      </c>
      <c r="W822" s="105" t="str">
        <f t="shared" si="366"/>
        <v/>
      </c>
      <c r="X822" s="104" t="str">
        <f t="shared" si="371"/>
        <v/>
      </c>
      <c r="Y822" s="104" t="str">
        <f t="array" ref="Y822">IFERROR(IF(ISNUMBER(O822),IF(COUNT(IF(A822=$A$2:$A$2427,IF(D822=$D$2:$D$2427,IF($X$2:$X$2427&gt;0,1))))&gt;0,SUM(IF(A822=$A$2:$A$2427,IF(D822=$D$2:$D$2427,$X$2:$X$2427)))/COUNT(IF(A822=$A$2:$A$2427,IF(D822=$D$2:$D$2427,IF(ISNUMBER($X$2:$X$2427),1)))),0),""),0)</f>
        <v/>
      </c>
      <c r="Z822" s="104" t="str">
        <f>IF(ISNUMBER(O822),IF(I822&gt;0,(10^(VLOOKUP(D822,'Species Codes'!B:C,2,0)+VLOOKUP(D822,'Species Codes'!B:D,3,0)*LOG(E822)+VLOOKUP(D822,'Species Codes'!B:E,4,0)*LOG(I822))),0),"")</f>
        <v/>
      </c>
      <c r="AA822" s="104" t="str">
        <f>IFERROR((VLOOKUP(D822,'Species Codes'!B:G,6,0)*Z822)/2000,"")</f>
        <v/>
      </c>
      <c r="AB822" s="104" t="e">
        <f>IF(Z822&gt;0,((IF(OR(D822="DF",D822="RA")=TRUE,EXP(VLOOKUP(D822,'Species Codes'!B:I,8,0)+VLOOKUP(D822,'Species Codes'!B:J,9,0)*(LN((E822*2.54)))),IF(OR(D822="PY",D822="RC",D822="WH",D822="NF")=TRUE,VLOOKUP(D822,'Species Codes'!B:I,8,0)+VLOOKUP(D822,'Species Codes'!B:J,9,0)*((E822*2.54)^2)*(I822*0.3048),IF(OR(D822="MD",D822="BM",D822="GA")=TRUE,((VLOOKUP(D822,'Species Codes'!B:I,8,0)*(((((E822*2.54)+VLOOKUP(D822,'Species Codes'!B:J,9,0))/VLOOKUP(D822,'Species Codes'!B:K,10,0))^VLOOKUP(D822,'Species Codes'!B:L,11,0))*((I822*0.3048)^VLOOKUP(D822,'Species Codes'!B:M,12,0))))-(VLOOKUP(D822,'Species Codes'!B:I,8,0)*((((E822*2.54)^VLOOKUP(D822,'Species Codes'!B:L,11,0))*((I822*0.3048)^VLOOKUP(D822,'Species Codes'!B:M,12,0))))))*35.3*VLOOKUP(D822,'Species Codes'!B:G,6,0)/2.2046,VLOOKUP(D822,'Species Codes'!B:I,8,0)+VLOOKUP(D822,'Species Codes'!B:J,9,0)*(((E822*2.54)/100)^2)*(I822*0.3048)))))*0.0011023),0)</f>
        <v>#N/A</v>
      </c>
      <c r="AC822" s="104" t="e">
        <f>IF(Z822&gt;0,((IF(OR(D822="RA",D822="OA",D822="OT",D822="UN",D822="PC"),EXP(VLOOKUP(D822,'Species Codes'!B:O,14,0)+VLOOKUP(D822,'Species Codes'!B:P,15,0)*LN((E822*2.54)))-EXP(VLOOKUP(D822,'Species Codes'!B:O,14,0)+VLOOKUP(D822,'Species Codes'!B:P,15,0)*LN((E822*2.54)))*(1/(VLOOKUP(D822,'Species Codes'!B:Q,16,0)+VLOOKUP(D822,'Species Codes'!B:R,17,0)*((E822*2.54)^VLOOKUP(D822,'Species Codes'!B:S,18,0)))),IF(OR(D822="BM",D822="MD",D822="OA"),EXP(VLOOKUP(D822,'Species Codes'!B:O,14,0)+VLOOKUP(D822,'Species Codes'!B:P,15,0)*LN((E822*2.54)))*(1-(1/(VLOOKUP(D822,'Species Codes'!B:Q,16,0)+VLOOKUP(D822,'Species Codes'!B:R,17,0)*((E822*2.54)^VLOOKUP(D822,'Species Codes'!B:S,18,0)))))/1000,IF(D822="DF",EXP(VLOOKUP(D822,'Species Codes'!B:O,14,0)+VLOOKUP(D822,'Species Codes'!B:P,15,0)*LN((E822*2.54))),VLOOKUP(D822,'Species Codes'!B:O,14,0)+VLOOKUP(D822,'Species Codes'!B:P,15,0)*(((E822*2.54)/100)^2)*(I822*0.3048)))))*0.0011023),0)</f>
        <v>#N/A</v>
      </c>
      <c r="AD822" s="104" t="e">
        <f t="shared" si="382"/>
        <v>#N/A</v>
      </c>
      <c r="AE822" s="104" t="e">
        <f t="shared" si="383"/>
        <v>#N/A</v>
      </c>
      <c r="AF822" s="104" t="e">
        <f>IF(AND(VLOOKUP($D822,Merchantability!$B:$C,2,0)="Yes",$E822&gt;=VLOOKUP($D822,Merchantability!$B:$D,3,0),$E822&lt;=VLOOKUP($D822,Merchantability!$B:$E,4,0)),AA822,0)</f>
        <v>#N/A</v>
      </c>
      <c r="AG822" s="104" t="e">
        <f>IF(AND(VLOOKUP($D822,Merchantability!$B:$C,2,0)="Yes",$E822&gt;=VLOOKUP($D822,Merchantability!$B:$D,3,0),$E822&lt;=VLOOKUP($D822,Merchantability!$B:$E,4,0)),AB822,0)</f>
        <v>#N/A</v>
      </c>
      <c r="AH822" s="104" t="e">
        <f>IF(AND(VLOOKUP($D822,Merchantability!$B:$C,2,0)="Yes",$E822&gt;=VLOOKUP($D822,Merchantability!$B:$D,3,0),$E822&lt;=VLOOKUP($D822,Merchantability!$B:$E,4,0)),AC822,0)</f>
        <v>#N/A</v>
      </c>
      <c r="AI822" s="104" t="e">
        <f t="shared" si="384"/>
        <v>#N/A</v>
      </c>
      <c r="AJ822" s="104" t="e">
        <f t="shared" si="385"/>
        <v>#VALUE!</v>
      </c>
      <c r="AK822" s="104" t="e">
        <f t="shared" si="386"/>
        <v>#N/A</v>
      </c>
      <c r="AL822" s="104" t="e">
        <f t="shared" si="387"/>
        <v>#N/A</v>
      </c>
      <c r="AM822" s="104" t="e">
        <f t="shared" si="388"/>
        <v>#N/A</v>
      </c>
      <c r="AN822" s="104" t="e">
        <f t="shared" si="372"/>
        <v>#N/A</v>
      </c>
      <c r="AO822" s="104" t="e">
        <f t="shared" si="373"/>
        <v>#N/A</v>
      </c>
      <c r="AP822" s="104" t="e">
        <f t="shared" si="374"/>
        <v>#N/A</v>
      </c>
      <c r="AQ822" s="104" t="e">
        <f t="shared" si="375"/>
        <v>#N/A</v>
      </c>
      <c r="AR822" s="105" t="str">
        <f t="shared" si="367"/>
        <v/>
      </c>
      <c r="AS822" s="105" t="str">
        <f t="shared" si="368"/>
        <v/>
      </c>
      <c r="AT822" s="108" t="str">
        <f t="shared" si="369"/>
        <v/>
      </c>
      <c r="AU822" s="108" t="str">
        <f t="shared" si="370"/>
        <v/>
      </c>
      <c r="AV822" s="107" t="str">
        <f>IF(ISNUMBER(O822),IF(VLOOKUP($A822,Stand!C:J,8,FALSE)="Short",AT822,AU822),"")</f>
        <v/>
      </c>
      <c r="AW822" s="109" t="str">
        <f t="shared" si="376"/>
        <v/>
      </c>
      <c r="AX822" s="109" t="str">
        <f t="shared" si="377"/>
        <v/>
      </c>
      <c r="AY822" s="112" t="str">
        <f>IF(ISNUMBER(O822),IF(AND(VLOOKUP($D822,Merchantability!$B:$C,2,0)="Yes",$E822&gt;=VLOOKUP($D822,Merchantability!$B:$D,3,0),$E822&lt;=VLOOKUP($D822,Merchantability!$B:$E,4,0)),(AV822*O822)*(1-$H822/100),""),"")</f>
        <v/>
      </c>
      <c r="AZ822" s="116"/>
      <c r="BA822" s="116"/>
      <c r="BB822" s="116"/>
      <c r="BE822" s="62"/>
      <c r="BF822" s="63"/>
    </row>
    <row r="823" spans="1:58" ht="12.75" customHeight="1" x14ac:dyDescent="0.25">
      <c r="A823" s="313"/>
      <c r="B823" s="328"/>
      <c r="C823" s="329"/>
      <c r="D823" s="328"/>
      <c r="E823" s="330"/>
      <c r="F823" s="328"/>
      <c r="G823" s="329"/>
      <c r="H823" s="329"/>
      <c r="I823" s="328"/>
      <c r="J823" s="383"/>
      <c r="K823" s="329"/>
      <c r="L823" s="329"/>
      <c r="M823" s="76"/>
      <c r="N823" s="103" t="str">
        <f>IF(A823="","",VLOOKUP(A823,Stand!C:K,9,0))</f>
        <v/>
      </c>
      <c r="O823" s="104" t="str">
        <f t="shared" si="362"/>
        <v/>
      </c>
      <c r="P823" s="105" t="str">
        <f t="shared" si="363"/>
        <v/>
      </c>
      <c r="Q823" s="105" t="str">
        <f t="shared" si="378"/>
        <v/>
      </c>
      <c r="R823" s="103" t="str">
        <f t="shared" si="364"/>
        <v/>
      </c>
      <c r="S823" s="103" t="str">
        <f t="shared" si="365"/>
        <v/>
      </c>
      <c r="T823" s="106" t="str">
        <f t="shared" si="379"/>
        <v/>
      </c>
      <c r="U823" s="106" t="str">
        <f t="shared" si="380"/>
        <v/>
      </c>
      <c r="V823" s="106" t="str">
        <f t="shared" si="381"/>
        <v/>
      </c>
      <c r="W823" s="105" t="str">
        <f t="shared" si="366"/>
        <v/>
      </c>
      <c r="X823" s="104" t="str">
        <f t="shared" si="371"/>
        <v/>
      </c>
      <c r="Y823" s="104" t="str">
        <f t="array" ref="Y823">IFERROR(IF(ISNUMBER(O823),IF(COUNT(IF(A823=$A$2:$A$2427,IF(D823=$D$2:$D$2427,IF($X$2:$X$2427&gt;0,1))))&gt;0,SUM(IF(A823=$A$2:$A$2427,IF(D823=$D$2:$D$2427,$X$2:$X$2427)))/COUNT(IF(A823=$A$2:$A$2427,IF(D823=$D$2:$D$2427,IF(ISNUMBER($X$2:$X$2427),1)))),0),""),0)</f>
        <v/>
      </c>
      <c r="Z823" s="104" t="str">
        <f>IF(ISNUMBER(O823),IF(I823&gt;0,(10^(VLOOKUP(D823,'Species Codes'!B:C,2,0)+VLOOKUP(D823,'Species Codes'!B:D,3,0)*LOG(E823)+VLOOKUP(D823,'Species Codes'!B:E,4,0)*LOG(I823))),0),"")</f>
        <v/>
      </c>
      <c r="AA823" s="104" t="str">
        <f>IFERROR((VLOOKUP(D823,'Species Codes'!B:G,6,0)*Z823)/2000,"")</f>
        <v/>
      </c>
      <c r="AB823" s="104" t="e">
        <f>IF(Z823&gt;0,((IF(OR(D823="DF",D823="RA")=TRUE,EXP(VLOOKUP(D823,'Species Codes'!B:I,8,0)+VLOOKUP(D823,'Species Codes'!B:J,9,0)*(LN((E823*2.54)))),IF(OR(D823="PY",D823="RC",D823="WH",D823="NF")=TRUE,VLOOKUP(D823,'Species Codes'!B:I,8,0)+VLOOKUP(D823,'Species Codes'!B:J,9,0)*((E823*2.54)^2)*(I823*0.3048),IF(OR(D823="MD",D823="BM",D823="GA")=TRUE,((VLOOKUP(D823,'Species Codes'!B:I,8,0)*(((((E823*2.54)+VLOOKUP(D823,'Species Codes'!B:J,9,0))/VLOOKUP(D823,'Species Codes'!B:K,10,0))^VLOOKUP(D823,'Species Codes'!B:L,11,0))*((I823*0.3048)^VLOOKUP(D823,'Species Codes'!B:M,12,0))))-(VLOOKUP(D823,'Species Codes'!B:I,8,0)*((((E823*2.54)^VLOOKUP(D823,'Species Codes'!B:L,11,0))*((I823*0.3048)^VLOOKUP(D823,'Species Codes'!B:M,12,0))))))*35.3*VLOOKUP(D823,'Species Codes'!B:G,6,0)/2.2046,VLOOKUP(D823,'Species Codes'!B:I,8,0)+VLOOKUP(D823,'Species Codes'!B:J,9,0)*(((E823*2.54)/100)^2)*(I823*0.3048)))))*0.0011023),0)</f>
        <v>#N/A</v>
      </c>
      <c r="AC823" s="104" t="e">
        <f>IF(Z823&gt;0,((IF(OR(D823="RA",D823="OA",D823="OT",D823="UN",D823="PC"),EXP(VLOOKUP(D823,'Species Codes'!B:O,14,0)+VLOOKUP(D823,'Species Codes'!B:P,15,0)*LN((E823*2.54)))-EXP(VLOOKUP(D823,'Species Codes'!B:O,14,0)+VLOOKUP(D823,'Species Codes'!B:P,15,0)*LN((E823*2.54)))*(1/(VLOOKUP(D823,'Species Codes'!B:Q,16,0)+VLOOKUP(D823,'Species Codes'!B:R,17,0)*((E823*2.54)^VLOOKUP(D823,'Species Codes'!B:S,18,0)))),IF(OR(D823="BM",D823="MD",D823="OA"),EXP(VLOOKUP(D823,'Species Codes'!B:O,14,0)+VLOOKUP(D823,'Species Codes'!B:P,15,0)*LN((E823*2.54)))*(1-(1/(VLOOKUP(D823,'Species Codes'!B:Q,16,0)+VLOOKUP(D823,'Species Codes'!B:R,17,0)*((E823*2.54)^VLOOKUP(D823,'Species Codes'!B:S,18,0)))))/1000,IF(D823="DF",EXP(VLOOKUP(D823,'Species Codes'!B:O,14,0)+VLOOKUP(D823,'Species Codes'!B:P,15,0)*LN((E823*2.54))),VLOOKUP(D823,'Species Codes'!B:O,14,0)+VLOOKUP(D823,'Species Codes'!B:P,15,0)*(((E823*2.54)/100)^2)*(I823*0.3048)))))*0.0011023),0)</f>
        <v>#N/A</v>
      </c>
      <c r="AD823" s="104" t="e">
        <f t="shared" si="382"/>
        <v>#N/A</v>
      </c>
      <c r="AE823" s="104" t="e">
        <f t="shared" si="383"/>
        <v>#N/A</v>
      </c>
      <c r="AF823" s="104" t="e">
        <f>IF(AND(VLOOKUP($D823,Merchantability!$B:$C,2,0)="Yes",$E823&gt;=VLOOKUP($D823,Merchantability!$B:$D,3,0),$E823&lt;=VLOOKUP($D823,Merchantability!$B:$E,4,0)),AA823,0)</f>
        <v>#N/A</v>
      </c>
      <c r="AG823" s="104" t="e">
        <f>IF(AND(VLOOKUP($D823,Merchantability!$B:$C,2,0)="Yes",$E823&gt;=VLOOKUP($D823,Merchantability!$B:$D,3,0),$E823&lt;=VLOOKUP($D823,Merchantability!$B:$E,4,0)),AB823,0)</f>
        <v>#N/A</v>
      </c>
      <c r="AH823" s="104" t="e">
        <f>IF(AND(VLOOKUP($D823,Merchantability!$B:$C,2,0)="Yes",$E823&gt;=VLOOKUP($D823,Merchantability!$B:$D,3,0),$E823&lt;=VLOOKUP($D823,Merchantability!$B:$E,4,0)),AC823,0)</f>
        <v>#N/A</v>
      </c>
      <c r="AI823" s="104" t="e">
        <f t="shared" si="384"/>
        <v>#N/A</v>
      </c>
      <c r="AJ823" s="104" t="e">
        <f t="shared" si="385"/>
        <v>#VALUE!</v>
      </c>
      <c r="AK823" s="104" t="e">
        <f t="shared" si="386"/>
        <v>#N/A</v>
      </c>
      <c r="AL823" s="104" t="e">
        <f t="shared" si="387"/>
        <v>#N/A</v>
      </c>
      <c r="AM823" s="104" t="e">
        <f t="shared" si="388"/>
        <v>#N/A</v>
      </c>
      <c r="AN823" s="104" t="e">
        <f t="shared" si="372"/>
        <v>#N/A</v>
      </c>
      <c r="AO823" s="104" t="e">
        <f t="shared" si="373"/>
        <v>#N/A</v>
      </c>
      <c r="AP823" s="104" t="e">
        <f t="shared" si="374"/>
        <v>#N/A</v>
      </c>
      <c r="AQ823" s="104" t="e">
        <f t="shared" si="375"/>
        <v>#N/A</v>
      </c>
      <c r="AR823" s="105" t="str">
        <f t="shared" si="367"/>
        <v/>
      </c>
      <c r="AS823" s="105" t="str">
        <f t="shared" si="368"/>
        <v/>
      </c>
      <c r="AT823" s="108" t="str">
        <f t="shared" si="369"/>
        <v/>
      </c>
      <c r="AU823" s="108" t="str">
        <f t="shared" si="370"/>
        <v/>
      </c>
      <c r="AV823" s="107" t="str">
        <f>IF(ISNUMBER(O823),IF(VLOOKUP($A823,Stand!C:J,8,FALSE)="Short",AT823,AU823),"")</f>
        <v/>
      </c>
      <c r="AW823" s="109" t="str">
        <f t="shared" si="376"/>
        <v/>
      </c>
      <c r="AX823" s="109" t="str">
        <f t="shared" si="377"/>
        <v/>
      </c>
      <c r="AY823" s="112" t="str">
        <f>IF(ISNUMBER(O823),IF(AND(VLOOKUP($D823,Merchantability!$B:$C,2,0)="Yes",$E823&gt;=VLOOKUP($D823,Merchantability!$B:$D,3,0),$E823&lt;=VLOOKUP($D823,Merchantability!$B:$E,4,0)),(AV823*O823)*(1-$H823/100),""),"")</f>
        <v/>
      </c>
      <c r="AZ823" s="116"/>
      <c r="BA823" s="116"/>
      <c r="BB823" s="116"/>
      <c r="BE823" s="62"/>
      <c r="BF823" s="63"/>
    </row>
    <row r="824" spans="1:58" ht="12.75" customHeight="1" x14ac:dyDescent="0.25">
      <c r="A824" s="313"/>
      <c r="B824" s="328"/>
      <c r="C824" s="329"/>
      <c r="D824" s="328"/>
      <c r="E824" s="330"/>
      <c r="F824" s="328"/>
      <c r="G824" s="329"/>
      <c r="H824" s="329"/>
      <c r="I824" s="328"/>
      <c r="J824" s="383"/>
      <c r="K824" s="329"/>
      <c r="L824" s="329"/>
      <c r="M824" s="76"/>
      <c r="N824" s="103" t="str">
        <f>IF(A824="","",VLOOKUP(A824,Stand!C:K,9,0))</f>
        <v/>
      </c>
      <c r="O824" s="104" t="str">
        <f t="shared" si="362"/>
        <v/>
      </c>
      <c r="P824" s="105" t="str">
        <f t="shared" si="363"/>
        <v/>
      </c>
      <c r="Q824" s="105" t="str">
        <f t="shared" si="378"/>
        <v/>
      </c>
      <c r="R824" s="103" t="str">
        <f t="shared" si="364"/>
        <v/>
      </c>
      <c r="S824" s="103" t="str">
        <f t="shared" si="365"/>
        <v/>
      </c>
      <c r="T824" s="106" t="str">
        <f t="shared" si="379"/>
        <v/>
      </c>
      <c r="U824" s="106" t="str">
        <f t="shared" si="380"/>
        <v/>
      </c>
      <c r="V824" s="106" t="str">
        <f t="shared" si="381"/>
        <v/>
      </c>
      <c r="W824" s="105" t="str">
        <f t="shared" si="366"/>
        <v/>
      </c>
      <c r="X824" s="104" t="str">
        <f t="shared" si="371"/>
        <v/>
      </c>
      <c r="Y824" s="104" t="str">
        <f t="array" ref="Y824">IFERROR(IF(ISNUMBER(O824),IF(COUNT(IF(A824=$A$2:$A$2427,IF(D824=$D$2:$D$2427,IF($X$2:$X$2427&gt;0,1))))&gt;0,SUM(IF(A824=$A$2:$A$2427,IF(D824=$D$2:$D$2427,$X$2:$X$2427)))/COUNT(IF(A824=$A$2:$A$2427,IF(D824=$D$2:$D$2427,IF(ISNUMBER($X$2:$X$2427),1)))),0),""),0)</f>
        <v/>
      </c>
      <c r="Z824" s="104" t="str">
        <f>IF(ISNUMBER(O824),IF(I824&gt;0,(10^(VLOOKUP(D824,'Species Codes'!B:C,2,0)+VLOOKUP(D824,'Species Codes'!B:D,3,0)*LOG(E824)+VLOOKUP(D824,'Species Codes'!B:E,4,0)*LOG(I824))),0),"")</f>
        <v/>
      </c>
      <c r="AA824" s="104" t="str">
        <f>IFERROR((VLOOKUP(D824,'Species Codes'!B:G,6,0)*Z824)/2000,"")</f>
        <v/>
      </c>
      <c r="AB824" s="104" t="e">
        <f>IF(Z824&gt;0,((IF(OR(D824="DF",D824="RA")=TRUE,EXP(VLOOKUP(D824,'Species Codes'!B:I,8,0)+VLOOKUP(D824,'Species Codes'!B:J,9,0)*(LN((E824*2.54)))),IF(OR(D824="PY",D824="RC",D824="WH",D824="NF")=TRUE,VLOOKUP(D824,'Species Codes'!B:I,8,0)+VLOOKUP(D824,'Species Codes'!B:J,9,0)*((E824*2.54)^2)*(I824*0.3048),IF(OR(D824="MD",D824="BM",D824="GA")=TRUE,((VLOOKUP(D824,'Species Codes'!B:I,8,0)*(((((E824*2.54)+VLOOKUP(D824,'Species Codes'!B:J,9,0))/VLOOKUP(D824,'Species Codes'!B:K,10,0))^VLOOKUP(D824,'Species Codes'!B:L,11,0))*((I824*0.3048)^VLOOKUP(D824,'Species Codes'!B:M,12,0))))-(VLOOKUP(D824,'Species Codes'!B:I,8,0)*((((E824*2.54)^VLOOKUP(D824,'Species Codes'!B:L,11,0))*((I824*0.3048)^VLOOKUP(D824,'Species Codes'!B:M,12,0))))))*35.3*VLOOKUP(D824,'Species Codes'!B:G,6,0)/2.2046,VLOOKUP(D824,'Species Codes'!B:I,8,0)+VLOOKUP(D824,'Species Codes'!B:J,9,0)*(((E824*2.54)/100)^2)*(I824*0.3048)))))*0.0011023),0)</f>
        <v>#N/A</v>
      </c>
      <c r="AC824" s="104" t="e">
        <f>IF(Z824&gt;0,((IF(OR(D824="RA",D824="OA",D824="OT",D824="UN",D824="PC"),EXP(VLOOKUP(D824,'Species Codes'!B:O,14,0)+VLOOKUP(D824,'Species Codes'!B:P,15,0)*LN((E824*2.54)))-EXP(VLOOKUP(D824,'Species Codes'!B:O,14,0)+VLOOKUP(D824,'Species Codes'!B:P,15,0)*LN((E824*2.54)))*(1/(VLOOKUP(D824,'Species Codes'!B:Q,16,0)+VLOOKUP(D824,'Species Codes'!B:R,17,0)*((E824*2.54)^VLOOKUP(D824,'Species Codes'!B:S,18,0)))),IF(OR(D824="BM",D824="MD",D824="OA"),EXP(VLOOKUP(D824,'Species Codes'!B:O,14,0)+VLOOKUP(D824,'Species Codes'!B:P,15,0)*LN((E824*2.54)))*(1-(1/(VLOOKUP(D824,'Species Codes'!B:Q,16,0)+VLOOKUP(D824,'Species Codes'!B:R,17,0)*((E824*2.54)^VLOOKUP(D824,'Species Codes'!B:S,18,0)))))/1000,IF(D824="DF",EXP(VLOOKUP(D824,'Species Codes'!B:O,14,0)+VLOOKUP(D824,'Species Codes'!B:P,15,0)*LN((E824*2.54))),VLOOKUP(D824,'Species Codes'!B:O,14,0)+VLOOKUP(D824,'Species Codes'!B:P,15,0)*(((E824*2.54)/100)^2)*(I824*0.3048)))))*0.0011023),0)</f>
        <v>#N/A</v>
      </c>
      <c r="AD824" s="104" t="e">
        <f t="shared" si="382"/>
        <v>#N/A</v>
      </c>
      <c r="AE824" s="104" t="e">
        <f t="shared" si="383"/>
        <v>#N/A</v>
      </c>
      <c r="AF824" s="104" t="e">
        <f>IF(AND(VLOOKUP($D824,Merchantability!$B:$C,2,0)="Yes",$E824&gt;=VLOOKUP($D824,Merchantability!$B:$D,3,0),$E824&lt;=VLOOKUP($D824,Merchantability!$B:$E,4,0)),AA824,0)</f>
        <v>#N/A</v>
      </c>
      <c r="AG824" s="104" t="e">
        <f>IF(AND(VLOOKUP($D824,Merchantability!$B:$C,2,0)="Yes",$E824&gt;=VLOOKUP($D824,Merchantability!$B:$D,3,0),$E824&lt;=VLOOKUP($D824,Merchantability!$B:$E,4,0)),AB824,0)</f>
        <v>#N/A</v>
      </c>
      <c r="AH824" s="104" t="e">
        <f>IF(AND(VLOOKUP($D824,Merchantability!$B:$C,2,0)="Yes",$E824&gt;=VLOOKUP($D824,Merchantability!$B:$D,3,0),$E824&lt;=VLOOKUP($D824,Merchantability!$B:$E,4,0)),AC824,0)</f>
        <v>#N/A</v>
      </c>
      <c r="AI824" s="104" t="e">
        <f t="shared" si="384"/>
        <v>#N/A</v>
      </c>
      <c r="AJ824" s="104" t="e">
        <f t="shared" si="385"/>
        <v>#VALUE!</v>
      </c>
      <c r="AK824" s="104" t="e">
        <f t="shared" si="386"/>
        <v>#N/A</v>
      </c>
      <c r="AL824" s="104" t="e">
        <f t="shared" si="387"/>
        <v>#N/A</v>
      </c>
      <c r="AM824" s="104" t="e">
        <f t="shared" si="388"/>
        <v>#N/A</v>
      </c>
      <c r="AN824" s="104" t="e">
        <f t="shared" si="372"/>
        <v>#N/A</v>
      </c>
      <c r="AO824" s="104" t="e">
        <f t="shared" si="373"/>
        <v>#N/A</v>
      </c>
      <c r="AP824" s="104" t="e">
        <f t="shared" si="374"/>
        <v>#N/A</v>
      </c>
      <c r="AQ824" s="104" t="e">
        <f t="shared" si="375"/>
        <v>#N/A</v>
      </c>
      <c r="AR824" s="105" t="str">
        <f t="shared" si="367"/>
        <v/>
      </c>
      <c r="AS824" s="105" t="str">
        <f t="shared" si="368"/>
        <v/>
      </c>
      <c r="AT824" s="108" t="str">
        <f t="shared" si="369"/>
        <v/>
      </c>
      <c r="AU824" s="108" t="str">
        <f t="shared" si="370"/>
        <v/>
      </c>
      <c r="AV824" s="107" t="str">
        <f>IF(ISNUMBER(O824),IF(VLOOKUP($A824,Stand!C:J,8,FALSE)="Short",AT824,AU824),"")</f>
        <v/>
      </c>
      <c r="AW824" s="109" t="str">
        <f t="shared" si="376"/>
        <v/>
      </c>
      <c r="AX824" s="109" t="str">
        <f t="shared" si="377"/>
        <v/>
      </c>
      <c r="AY824" s="112" t="str">
        <f>IF(ISNUMBER(O824),IF(AND(VLOOKUP($D824,Merchantability!$B:$C,2,0)="Yes",$E824&gt;=VLOOKUP($D824,Merchantability!$B:$D,3,0),$E824&lt;=VLOOKUP($D824,Merchantability!$B:$E,4,0)),(AV824*O824)*(1-$H824/100),""),"")</f>
        <v/>
      </c>
      <c r="AZ824" s="116"/>
      <c r="BA824" s="116"/>
      <c r="BB824" s="116"/>
      <c r="BE824" s="62"/>
      <c r="BF824" s="63"/>
    </row>
    <row r="825" spans="1:58" ht="12.75" customHeight="1" x14ac:dyDescent="0.25">
      <c r="A825" s="313"/>
      <c r="B825" s="328"/>
      <c r="C825" s="329"/>
      <c r="D825" s="328"/>
      <c r="E825" s="330"/>
      <c r="F825" s="328"/>
      <c r="G825" s="329"/>
      <c r="H825" s="329"/>
      <c r="I825" s="328"/>
      <c r="J825" s="383"/>
      <c r="K825" s="329"/>
      <c r="L825" s="329"/>
      <c r="M825" s="76"/>
      <c r="N825" s="103" t="str">
        <f>IF(A825="","",VLOOKUP(A825,Stand!C:K,9,0))</f>
        <v/>
      </c>
      <c r="O825" s="104" t="str">
        <f t="shared" si="362"/>
        <v/>
      </c>
      <c r="P825" s="105" t="str">
        <f t="shared" si="363"/>
        <v/>
      </c>
      <c r="Q825" s="105" t="str">
        <f t="shared" si="378"/>
        <v/>
      </c>
      <c r="R825" s="103" t="str">
        <f t="shared" si="364"/>
        <v/>
      </c>
      <c r="S825" s="103" t="str">
        <f t="shared" si="365"/>
        <v/>
      </c>
      <c r="T825" s="106" t="str">
        <f t="shared" si="379"/>
        <v/>
      </c>
      <c r="U825" s="106" t="str">
        <f t="shared" si="380"/>
        <v/>
      </c>
      <c r="V825" s="106" t="str">
        <f t="shared" si="381"/>
        <v/>
      </c>
      <c r="W825" s="105" t="str">
        <f t="shared" si="366"/>
        <v/>
      </c>
      <c r="X825" s="104" t="str">
        <f t="shared" si="371"/>
        <v/>
      </c>
      <c r="Y825" s="104" t="str">
        <f t="array" ref="Y825">IFERROR(IF(ISNUMBER(O825),IF(COUNT(IF(A825=$A$2:$A$2427,IF(D825=$D$2:$D$2427,IF($X$2:$X$2427&gt;0,1))))&gt;0,SUM(IF(A825=$A$2:$A$2427,IF(D825=$D$2:$D$2427,$X$2:$X$2427)))/COUNT(IF(A825=$A$2:$A$2427,IF(D825=$D$2:$D$2427,IF(ISNUMBER($X$2:$X$2427),1)))),0),""),0)</f>
        <v/>
      </c>
      <c r="Z825" s="104" t="str">
        <f>IF(ISNUMBER(O825),IF(I825&gt;0,(10^(VLOOKUP(D825,'Species Codes'!B:C,2,0)+VLOOKUP(D825,'Species Codes'!B:D,3,0)*LOG(E825)+VLOOKUP(D825,'Species Codes'!B:E,4,0)*LOG(I825))),0),"")</f>
        <v/>
      </c>
      <c r="AA825" s="104" t="str">
        <f>IFERROR((VLOOKUP(D825,'Species Codes'!B:G,6,0)*Z825)/2000,"")</f>
        <v/>
      </c>
      <c r="AB825" s="104" t="e">
        <f>IF(Z825&gt;0,((IF(OR(D825="DF",D825="RA")=TRUE,EXP(VLOOKUP(D825,'Species Codes'!B:I,8,0)+VLOOKUP(D825,'Species Codes'!B:J,9,0)*(LN((E825*2.54)))),IF(OR(D825="PY",D825="RC",D825="WH",D825="NF")=TRUE,VLOOKUP(D825,'Species Codes'!B:I,8,0)+VLOOKUP(D825,'Species Codes'!B:J,9,0)*((E825*2.54)^2)*(I825*0.3048),IF(OR(D825="MD",D825="BM",D825="GA")=TRUE,((VLOOKUP(D825,'Species Codes'!B:I,8,0)*(((((E825*2.54)+VLOOKUP(D825,'Species Codes'!B:J,9,0))/VLOOKUP(D825,'Species Codes'!B:K,10,0))^VLOOKUP(D825,'Species Codes'!B:L,11,0))*((I825*0.3048)^VLOOKUP(D825,'Species Codes'!B:M,12,0))))-(VLOOKUP(D825,'Species Codes'!B:I,8,0)*((((E825*2.54)^VLOOKUP(D825,'Species Codes'!B:L,11,0))*((I825*0.3048)^VLOOKUP(D825,'Species Codes'!B:M,12,0))))))*35.3*VLOOKUP(D825,'Species Codes'!B:G,6,0)/2.2046,VLOOKUP(D825,'Species Codes'!B:I,8,0)+VLOOKUP(D825,'Species Codes'!B:J,9,0)*(((E825*2.54)/100)^2)*(I825*0.3048)))))*0.0011023),0)</f>
        <v>#N/A</v>
      </c>
      <c r="AC825" s="104" t="e">
        <f>IF(Z825&gt;0,((IF(OR(D825="RA",D825="OA",D825="OT",D825="UN",D825="PC"),EXP(VLOOKUP(D825,'Species Codes'!B:O,14,0)+VLOOKUP(D825,'Species Codes'!B:P,15,0)*LN((E825*2.54)))-EXP(VLOOKUP(D825,'Species Codes'!B:O,14,0)+VLOOKUP(D825,'Species Codes'!B:P,15,0)*LN((E825*2.54)))*(1/(VLOOKUP(D825,'Species Codes'!B:Q,16,0)+VLOOKUP(D825,'Species Codes'!B:R,17,0)*((E825*2.54)^VLOOKUP(D825,'Species Codes'!B:S,18,0)))),IF(OR(D825="BM",D825="MD",D825="OA"),EXP(VLOOKUP(D825,'Species Codes'!B:O,14,0)+VLOOKUP(D825,'Species Codes'!B:P,15,0)*LN((E825*2.54)))*(1-(1/(VLOOKUP(D825,'Species Codes'!B:Q,16,0)+VLOOKUP(D825,'Species Codes'!B:R,17,0)*((E825*2.54)^VLOOKUP(D825,'Species Codes'!B:S,18,0)))))/1000,IF(D825="DF",EXP(VLOOKUP(D825,'Species Codes'!B:O,14,0)+VLOOKUP(D825,'Species Codes'!B:P,15,0)*LN((E825*2.54))),VLOOKUP(D825,'Species Codes'!B:O,14,0)+VLOOKUP(D825,'Species Codes'!B:P,15,0)*(((E825*2.54)/100)^2)*(I825*0.3048)))))*0.0011023),0)</f>
        <v>#N/A</v>
      </c>
      <c r="AD825" s="104" t="e">
        <f t="shared" si="382"/>
        <v>#N/A</v>
      </c>
      <c r="AE825" s="104" t="e">
        <f t="shared" si="383"/>
        <v>#N/A</v>
      </c>
      <c r="AF825" s="104" t="e">
        <f>IF(AND(VLOOKUP($D825,Merchantability!$B:$C,2,0)="Yes",$E825&gt;=VLOOKUP($D825,Merchantability!$B:$D,3,0),$E825&lt;=VLOOKUP($D825,Merchantability!$B:$E,4,0)),AA825,0)</f>
        <v>#N/A</v>
      </c>
      <c r="AG825" s="104" t="e">
        <f>IF(AND(VLOOKUP($D825,Merchantability!$B:$C,2,0)="Yes",$E825&gt;=VLOOKUP($D825,Merchantability!$B:$D,3,0),$E825&lt;=VLOOKUP($D825,Merchantability!$B:$E,4,0)),AB825,0)</f>
        <v>#N/A</v>
      </c>
      <c r="AH825" s="104" t="e">
        <f>IF(AND(VLOOKUP($D825,Merchantability!$B:$C,2,0)="Yes",$E825&gt;=VLOOKUP($D825,Merchantability!$B:$D,3,0),$E825&lt;=VLOOKUP($D825,Merchantability!$B:$E,4,0)),AC825,0)</f>
        <v>#N/A</v>
      </c>
      <c r="AI825" s="104" t="e">
        <f t="shared" si="384"/>
        <v>#N/A</v>
      </c>
      <c r="AJ825" s="104" t="e">
        <f t="shared" si="385"/>
        <v>#VALUE!</v>
      </c>
      <c r="AK825" s="104" t="e">
        <f t="shared" si="386"/>
        <v>#N/A</v>
      </c>
      <c r="AL825" s="104" t="e">
        <f t="shared" si="387"/>
        <v>#N/A</v>
      </c>
      <c r="AM825" s="104" t="e">
        <f t="shared" si="388"/>
        <v>#N/A</v>
      </c>
      <c r="AN825" s="104" t="e">
        <f t="shared" si="372"/>
        <v>#N/A</v>
      </c>
      <c r="AO825" s="104" t="e">
        <f t="shared" si="373"/>
        <v>#N/A</v>
      </c>
      <c r="AP825" s="104" t="e">
        <f t="shared" si="374"/>
        <v>#N/A</v>
      </c>
      <c r="AQ825" s="104" t="e">
        <f t="shared" si="375"/>
        <v>#N/A</v>
      </c>
      <c r="AR825" s="105" t="str">
        <f t="shared" si="367"/>
        <v/>
      </c>
      <c r="AS825" s="105" t="str">
        <f t="shared" si="368"/>
        <v/>
      </c>
      <c r="AT825" s="108" t="str">
        <f t="shared" si="369"/>
        <v/>
      </c>
      <c r="AU825" s="108" t="str">
        <f t="shared" si="370"/>
        <v/>
      </c>
      <c r="AV825" s="107" t="str">
        <f>IF(ISNUMBER(O825),IF(VLOOKUP($A825,Stand!C:J,8,FALSE)="Short",AT825,AU825),"")</f>
        <v/>
      </c>
      <c r="AW825" s="109" t="str">
        <f t="shared" si="376"/>
        <v/>
      </c>
      <c r="AX825" s="109" t="str">
        <f t="shared" si="377"/>
        <v/>
      </c>
      <c r="AY825" s="112" t="str">
        <f>IF(ISNUMBER(O825),IF(AND(VLOOKUP($D825,Merchantability!$B:$C,2,0)="Yes",$E825&gt;=VLOOKUP($D825,Merchantability!$B:$D,3,0),$E825&lt;=VLOOKUP($D825,Merchantability!$B:$E,4,0)),(AV825*O825)*(1-$H825/100),""),"")</f>
        <v/>
      </c>
      <c r="AZ825" s="116"/>
      <c r="BA825" s="116"/>
      <c r="BB825" s="116"/>
      <c r="BE825" s="62"/>
      <c r="BF825" s="63"/>
    </row>
    <row r="826" spans="1:58" ht="12.75" customHeight="1" x14ac:dyDescent="0.25">
      <c r="A826" s="313"/>
      <c r="B826" s="328"/>
      <c r="C826" s="329"/>
      <c r="D826" s="328"/>
      <c r="E826" s="330"/>
      <c r="F826" s="328"/>
      <c r="G826" s="329"/>
      <c r="H826" s="329"/>
      <c r="I826" s="328"/>
      <c r="J826" s="383"/>
      <c r="K826" s="329"/>
      <c r="L826" s="329"/>
      <c r="M826" s="76"/>
      <c r="N826" s="103" t="str">
        <f>IF(A826="","",VLOOKUP(A826,Stand!C:K,9,0))</f>
        <v/>
      </c>
      <c r="O826" s="104" t="str">
        <f t="shared" si="362"/>
        <v/>
      </c>
      <c r="P826" s="105" t="str">
        <f t="shared" si="363"/>
        <v/>
      </c>
      <c r="Q826" s="105" t="str">
        <f t="shared" si="378"/>
        <v/>
      </c>
      <c r="R826" s="103" t="str">
        <f t="shared" si="364"/>
        <v/>
      </c>
      <c r="S826" s="103" t="str">
        <f t="shared" si="365"/>
        <v/>
      </c>
      <c r="T826" s="106" t="str">
        <f t="shared" si="379"/>
        <v/>
      </c>
      <c r="U826" s="106" t="str">
        <f t="shared" si="380"/>
        <v/>
      </c>
      <c r="V826" s="106" t="str">
        <f t="shared" si="381"/>
        <v/>
      </c>
      <c r="W826" s="105" t="str">
        <f t="shared" si="366"/>
        <v/>
      </c>
      <c r="X826" s="104" t="str">
        <f t="shared" si="371"/>
        <v/>
      </c>
      <c r="Y826" s="104" t="str">
        <f t="array" ref="Y826">IFERROR(IF(ISNUMBER(O826),IF(COUNT(IF(A826=$A$2:$A$2427,IF(D826=$D$2:$D$2427,IF($X$2:$X$2427&gt;0,1))))&gt;0,SUM(IF(A826=$A$2:$A$2427,IF(D826=$D$2:$D$2427,$X$2:$X$2427)))/COUNT(IF(A826=$A$2:$A$2427,IF(D826=$D$2:$D$2427,IF(ISNUMBER($X$2:$X$2427),1)))),0),""),0)</f>
        <v/>
      </c>
      <c r="Z826" s="104" t="str">
        <f>IF(ISNUMBER(O826),IF(I826&gt;0,(10^(VLOOKUP(D826,'Species Codes'!B:C,2,0)+VLOOKUP(D826,'Species Codes'!B:D,3,0)*LOG(E826)+VLOOKUP(D826,'Species Codes'!B:E,4,0)*LOG(I826))),0),"")</f>
        <v/>
      </c>
      <c r="AA826" s="104" t="str">
        <f>IFERROR((VLOOKUP(D826,'Species Codes'!B:G,6,0)*Z826)/2000,"")</f>
        <v/>
      </c>
      <c r="AB826" s="104" t="e">
        <f>IF(Z826&gt;0,((IF(OR(D826="DF",D826="RA")=TRUE,EXP(VLOOKUP(D826,'Species Codes'!B:I,8,0)+VLOOKUP(D826,'Species Codes'!B:J,9,0)*(LN((E826*2.54)))),IF(OR(D826="PY",D826="RC",D826="WH",D826="NF")=TRUE,VLOOKUP(D826,'Species Codes'!B:I,8,0)+VLOOKUP(D826,'Species Codes'!B:J,9,0)*((E826*2.54)^2)*(I826*0.3048),IF(OR(D826="MD",D826="BM",D826="GA")=TRUE,((VLOOKUP(D826,'Species Codes'!B:I,8,0)*(((((E826*2.54)+VLOOKUP(D826,'Species Codes'!B:J,9,0))/VLOOKUP(D826,'Species Codes'!B:K,10,0))^VLOOKUP(D826,'Species Codes'!B:L,11,0))*((I826*0.3048)^VLOOKUP(D826,'Species Codes'!B:M,12,0))))-(VLOOKUP(D826,'Species Codes'!B:I,8,0)*((((E826*2.54)^VLOOKUP(D826,'Species Codes'!B:L,11,0))*((I826*0.3048)^VLOOKUP(D826,'Species Codes'!B:M,12,0))))))*35.3*VLOOKUP(D826,'Species Codes'!B:G,6,0)/2.2046,VLOOKUP(D826,'Species Codes'!B:I,8,0)+VLOOKUP(D826,'Species Codes'!B:J,9,0)*(((E826*2.54)/100)^2)*(I826*0.3048)))))*0.0011023),0)</f>
        <v>#N/A</v>
      </c>
      <c r="AC826" s="104" t="e">
        <f>IF(Z826&gt;0,((IF(OR(D826="RA",D826="OA",D826="OT",D826="UN",D826="PC"),EXP(VLOOKUP(D826,'Species Codes'!B:O,14,0)+VLOOKUP(D826,'Species Codes'!B:P,15,0)*LN((E826*2.54)))-EXP(VLOOKUP(D826,'Species Codes'!B:O,14,0)+VLOOKUP(D826,'Species Codes'!B:P,15,0)*LN((E826*2.54)))*(1/(VLOOKUP(D826,'Species Codes'!B:Q,16,0)+VLOOKUP(D826,'Species Codes'!B:R,17,0)*((E826*2.54)^VLOOKUP(D826,'Species Codes'!B:S,18,0)))),IF(OR(D826="BM",D826="MD",D826="OA"),EXP(VLOOKUP(D826,'Species Codes'!B:O,14,0)+VLOOKUP(D826,'Species Codes'!B:P,15,0)*LN((E826*2.54)))*(1-(1/(VLOOKUP(D826,'Species Codes'!B:Q,16,0)+VLOOKUP(D826,'Species Codes'!B:R,17,0)*((E826*2.54)^VLOOKUP(D826,'Species Codes'!B:S,18,0)))))/1000,IF(D826="DF",EXP(VLOOKUP(D826,'Species Codes'!B:O,14,0)+VLOOKUP(D826,'Species Codes'!B:P,15,0)*LN((E826*2.54))),VLOOKUP(D826,'Species Codes'!B:O,14,0)+VLOOKUP(D826,'Species Codes'!B:P,15,0)*(((E826*2.54)/100)^2)*(I826*0.3048)))))*0.0011023),0)</f>
        <v>#N/A</v>
      </c>
      <c r="AD826" s="104" t="e">
        <f t="shared" si="382"/>
        <v>#N/A</v>
      </c>
      <c r="AE826" s="104" t="e">
        <f t="shared" si="383"/>
        <v>#N/A</v>
      </c>
      <c r="AF826" s="104" t="e">
        <f>IF(AND(VLOOKUP($D826,Merchantability!$B:$C,2,0)="Yes",$E826&gt;=VLOOKUP($D826,Merchantability!$B:$D,3,0),$E826&lt;=VLOOKUP($D826,Merchantability!$B:$E,4,0)),AA826,0)</f>
        <v>#N/A</v>
      </c>
      <c r="AG826" s="104" t="e">
        <f>IF(AND(VLOOKUP($D826,Merchantability!$B:$C,2,0)="Yes",$E826&gt;=VLOOKUP($D826,Merchantability!$B:$D,3,0),$E826&lt;=VLOOKUP($D826,Merchantability!$B:$E,4,0)),AB826,0)</f>
        <v>#N/A</v>
      </c>
      <c r="AH826" s="104" t="e">
        <f>IF(AND(VLOOKUP($D826,Merchantability!$B:$C,2,0)="Yes",$E826&gt;=VLOOKUP($D826,Merchantability!$B:$D,3,0),$E826&lt;=VLOOKUP($D826,Merchantability!$B:$E,4,0)),AC826,0)</f>
        <v>#N/A</v>
      </c>
      <c r="AI826" s="104" t="e">
        <f t="shared" si="384"/>
        <v>#N/A</v>
      </c>
      <c r="AJ826" s="104" t="e">
        <f t="shared" si="385"/>
        <v>#VALUE!</v>
      </c>
      <c r="AK826" s="104" t="e">
        <f t="shared" si="386"/>
        <v>#N/A</v>
      </c>
      <c r="AL826" s="104" t="e">
        <f t="shared" si="387"/>
        <v>#N/A</v>
      </c>
      <c r="AM826" s="104" t="e">
        <f t="shared" si="388"/>
        <v>#N/A</v>
      </c>
      <c r="AN826" s="104" t="e">
        <f t="shared" si="372"/>
        <v>#N/A</v>
      </c>
      <c r="AO826" s="104" t="e">
        <f t="shared" si="373"/>
        <v>#N/A</v>
      </c>
      <c r="AP826" s="104" t="e">
        <f t="shared" si="374"/>
        <v>#N/A</v>
      </c>
      <c r="AQ826" s="104" t="e">
        <f t="shared" si="375"/>
        <v>#N/A</v>
      </c>
      <c r="AR826" s="105" t="str">
        <f t="shared" si="367"/>
        <v/>
      </c>
      <c r="AS826" s="105" t="str">
        <f t="shared" si="368"/>
        <v/>
      </c>
      <c r="AT826" s="108" t="str">
        <f t="shared" si="369"/>
        <v/>
      </c>
      <c r="AU826" s="108" t="str">
        <f t="shared" si="370"/>
        <v/>
      </c>
      <c r="AV826" s="107" t="str">
        <f>IF(ISNUMBER(O826),IF(VLOOKUP($A826,Stand!C:J,8,FALSE)="Short",AT826,AU826),"")</f>
        <v/>
      </c>
      <c r="AW826" s="109" t="str">
        <f t="shared" si="376"/>
        <v/>
      </c>
      <c r="AX826" s="109" t="str">
        <f t="shared" si="377"/>
        <v/>
      </c>
      <c r="AY826" s="112" t="str">
        <f>IF(ISNUMBER(O826),IF(AND(VLOOKUP($D826,Merchantability!$B:$C,2,0)="Yes",$E826&gt;=VLOOKUP($D826,Merchantability!$B:$D,3,0),$E826&lt;=VLOOKUP($D826,Merchantability!$B:$E,4,0)),(AV826*O826)*(1-$H826/100),""),"")</f>
        <v/>
      </c>
      <c r="AZ826" s="116"/>
      <c r="BA826" s="116"/>
      <c r="BB826" s="116"/>
      <c r="BE826" s="62"/>
      <c r="BF826" s="63"/>
    </row>
    <row r="827" spans="1:58" ht="12.75" customHeight="1" x14ac:dyDescent="0.25">
      <c r="A827" s="313"/>
      <c r="B827" s="328"/>
      <c r="C827" s="329"/>
      <c r="D827" s="328"/>
      <c r="E827" s="330"/>
      <c r="F827" s="328"/>
      <c r="G827" s="329"/>
      <c r="H827" s="329"/>
      <c r="I827" s="328"/>
      <c r="J827" s="383"/>
      <c r="K827" s="329"/>
      <c r="L827" s="329"/>
      <c r="M827" s="76"/>
      <c r="N827" s="103" t="str">
        <f>IF(A827="","",VLOOKUP(A827,Stand!C:K,9,0))</f>
        <v/>
      </c>
      <c r="O827" s="104" t="str">
        <f t="shared" si="362"/>
        <v/>
      </c>
      <c r="P827" s="105" t="str">
        <f t="shared" si="363"/>
        <v/>
      </c>
      <c r="Q827" s="105" t="str">
        <f t="shared" si="378"/>
        <v/>
      </c>
      <c r="R827" s="103" t="str">
        <f t="shared" si="364"/>
        <v/>
      </c>
      <c r="S827" s="103" t="str">
        <f t="shared" si="365"/>
        <v/>
      </c>
      <c r="T827" s="106" t="str">
        <f t="shared" si="379"/>
        <v/>
      </c>
      <c r="U827" s="106" t="str">
        <f t="shared" si="380"/>
        <v/>
      </c>
      <c r="V827" s="106" t="str">
        <f t="shared" si="381"/>
        <v/>
      </c>
      <c r="W827" s="105" t="str">
        <f t="shared" si="366"/>
        <v/>
      </c>
      <c r="X827" s="104" t="str">
        <f t="shared" si="371"/>
        <v/>
      </c>
      <c r="Y827" s="104" t="str">
        <f t="array" ref="Y827">IFERROR(IF(ISNUMBER(O827),IF(COUNT(IF(A827=$A$2:$A$2427,IF(D827=$D$2:$D$2427,IF($X$2:$X$2427&gt;0,1))))&gt;0,SUM(IF(A827=$A$2:$A$2427,IF(D827=$D$2:$D$2427,$X$2:$X$2427)))/COUNT(IF(A827=$A$2:$A$2427,IF(D827=$D$2:$D$2427,IF(ISNUMBER($X$2:$X$2427),1)))),0),""),0)</f>
        <v/>
      </c>
      <c r="Z827" s="104" t="str">
        <f>IF(ISNUMBER(O827),IF(I827&gt;0,(10^(VLOOKUP(D827,'Species Codes'!B:C,2,0)+VLOOKUP(D827,'Species Codes'!B:D,3,0)*LOG(E827)+VLOOKUP(D827,'Species Codes'!B:E,4,0)*LOG(I827))),0),"")</f>
        <v/>
      </c>
      <c r="AA827" s="104" t="str">
        <f>IFERROR((VLOOKUP(D827,'Species Codes'!B:G,6,0)*Z827)/2000,"")</f>
        <v/>
      </c>
      <c r="AB827" s="104" t="e">
        <f>IF(Z827&gt;0,((IF(OR(D827="DF",D827="RA")=TRUE,EXP(VLOOKUP(D827,'Species Codes'!B:I,8,0)+VLOOKUP(D827,'Species Codes'!B:J,9,0)*(LN((E827*2.54)))),IF(OR(D827="PY",D827="RC",D827="WH",D827="NF")=TRUE,VLOOKUP(D827,'Species Codes'!B:I,8,0)+VLOOKUP(D827,'Species Codes'!B:J,9,0)*((E827*2.54)^2)*(I827*0.3048),IF(OR(D827="MD",D827="BM",D827="GA")=TRUE,((VLOOKUP(D827,'Species Codes'!B:I,8,0)*(((((E827*2.54)+VLOOKUP(D827,'Species Codes'!B:J,9,0))/VLOOKUP(D827,'Species Codes'!B:K,10,0))^VLOOKUP(D827,'Species Codes'!B:L,11,0))*((I827*0.3048)^VLOOKUP(D827,'Species Codes'!B:M,12,0))))-(VLOOKUP(D827,'Species Codes'!B:I,8,0)*((((E827*2.54)^VLOOKUP(D827,'Species Codes'!B:L,11,0))*((I827*0.3048)^VLOOKUP(D827,'Species Codes'!B:M,12,0))))))*35.3*VLOOKUP(D827,'Species Codes'!B:G,6,0)/2.2046,VLOOKUP(D827,'Species Codes'!B:I,8,0)+VLOOKUP(D827,'Species Codes'!B:J,9,0)*(((E827*2.54)/100)^2)*(I827*0.3048)))))*0.0011023),0)</f>
        <v>#N/A</v>
      </c>
      <c r="AC827" s="104" t="e">
        <f>IF(Z827&gt;0,((IF(OR(D827="RA",D827="OA",D827="OT",D827="UN",D827="PC"),EXP(VLOOKUP(D827,'Species Codes'!B:O,14,0)+VLOOKUP(D827,'Species Codes'!B:P,15,0)*LN((E827*2.54)))-EXP(VLOOKUP(D827,'Species Codes'!B:O,14,0)+VLOOKUP(D827,'Species Codes'!B:P,15,0)*LN((E827*2.54)))*(1/(VLOOKUP(D827,'Species Codes'!B:Q,16,0)+VLOOKUP(D827,'Species Codes'!B:R,17,0)*((E827*2.54)^VLOOKUP(D827,'Species Codes'!B:S,18,0)))),IF(OR(D827="BM",D827="MD",D827="OA"),EXP(VLOOKUP(D827,'Species Codes'!B:O,14,0)+VLOOKUP(D827,'Species Codes'!B:P,15,0)*LN((E827*2.54)))*(1-(1/(VLOOKUP(D827,'Species Codes'!B:Q,16,0)+VLOOKUP(D827,'Species Codes'!B:R,17,0)*((E827*2.54)^VLOOKUP(D827,'Species Codes'!B:S,18,0)))))/1000,IF(D827="DF",EXP(VLOOKUP(D827,'Species Codes'!B:O,14,0)+VLOOKUP(D827,'Species Codes'!B:P,15,0)*LN((E827*2.54))),VLOOKUP(D827,'Species Codes'!B:O,14,0)+VLOOKUP(D827,'Species Codes'!B:P,15,0)*(((E827*2.54)/100)^2)*(I827*0.3048)))))*0.0011023),0)</f>
        <v>#N/A</v>
      </c>
      <c r="AD827" s="104" t="e">
        <f t="shared" si="382"/>
        <v>#N/A</v>
      </c>
      <c r="AE827" s="104" t="e">
        <f t="shared" si="383"/>
        <v>#N/A</v>
      </c>
      <c r="AF827" s="104" t="e">
        <f>IF(AND(VLOOKUP($D827,Merchantability!$B:$C,2,0)="Yes",$E827&gt;=VLOOKUP($D827,Merchantability!$B:$D,3,0),$E827&lt;=VLOOKUP($D827,Merchantability!$B:$E,4,0)),AA827,0)</f>
        <v>#N/A</v>
      </c>
      <c r="AG827" s="104" t="e">
        <f>IF(AND(VLOOKUP($D827,Merchantability!$B:$C,2,0)="Yes",$E827&gt;=VLOOKUP($D827,Merchantability!$B:$D,3,0),$E827&lt;=VLOOKUP($D827,Merchantability!$B:$E,4,0)),AB827,0)</f>
        <v>#N/A</v>
      </c>
      <c r="AH827" s="104" t="e">
        <f>IF(AND(VLOOKUP($D827,Merchantability!$B:$C,2,0)="Yes",$E827&gt;=VLOOKUP($D827,Merchantability!$B:$D,3,0),$E827&lt;=VLOOKUP($D827,Merchantability!$B:$E,4,0)),AC827,0)</f>
        <v>#N/A</v>
      </c>
      <c r="AI827" s="104" t="e">
        <f t="shared" si="384"/>
        <v>#N/A</v>
      </c>
      <c r="AJ827" s="104" t="e">
        <f t="shared" si="385"/>
        <v>#VALUE!</v>
      </c>
      <c r="AK827" s="104" t="e">
        <f t="shared" si="386"/>
        <v>#N/A</v>
      </c>
      <c r="AL827" s="104" t="e">
        <f t="shared" si="387"/>
        <v>#N/A</v>
      </c>
      <c r="AM827" s="104" t="e">
        <f t="shared" si="388"/>
        <v>#N/A</v>
      </c>
      <c r="AN827" s="104" t="e">
        <f t="shared" si="372"/>
        <v>#N/A</v>
      </c>
      <c r="AO827" s="104" t="e">
        <f t="shared" si="373"/>
        <v>#N/A</v>
      </c>
      <c r="AP827" s="104" t="e">
        <f t="shared" si="374"/>
        <v>#N/A</v>
      </c>
      <c r="AQ827" s="104" t="e">
        <f t="shared" si="375"/>
        <v>#N/A</v>
      </c>
      <c r="AR827" s="105" t="str">
        <f t="shared" si="367"/>
        <v/>
      </c>
      <c r="AS827" s="105" t="str">
        <f t="shared" si="368"/>
        <v/>
      </c>
      <c r="AT827" s="108" t="str">
        <f t="shared" si="369"/>
        <v/>
      </c>
      <c r="AU827" s="108" t="str">
        <f t="shared" si="370"/>
        <v/>
      </c>
      <c r="AV827" s="107" t="str">
        <f>IF(ISNUMBER(O827),IF(VLOOKUP($A827,Stand!C:J,8,FALSE)="Short",AT827,AU827),"")</f>
        <v/>
      </c>
      <c r="AW827" s="109" t="str">
        <f t="shared" si="376"/>
        <v/>
      </c>
      <c r="AX827" s="109" t="str">
        <f t="shared" si="377"/>
        <v/>
      </c>
      <c r="AY827" s="112" t="str">
        <f>IF(ISNUMBER(O827),IF(AND(VLOOKUP($D827,Merchantability!$B:$C,2,0)="Yes",$E827&gt;=VLOOKUP($D827,Merchantability!$B:$D,3,0),$E827&lt;=VLOOKUP($D827,Merchantability!$B:$E,4,0)),(AV827*O827)*(1-$H827/100),""),"")</f>
        <v/>
      </c>
      <c r="AZ827" s="116"/>
      <c r="BA827" s="116"/>
      <c r="BB827" s="116"/>
      <c r="BE827" s="62"/>
      <c r="BF827" s="63"/>
    </row>
    <row r="828" spans="1:58" ht="12.75" customHeight="1" x14ac:dyDescent="0.25">
      <c r="A828" s="313"/>
      <c r="B828" s="328"/>
      <c r="C828" s="329"/>
      <c r="D828" s="328"/>
      <c r="E828" s="330"/>
      <c r="F828" s="328"/>
      <c r="G828" s="329"/>
      <c r="H828" s="329"/>
      <c r="I828" s="328"/>
      <c r="J828" s="383"/>
      <c r="K828" s="329"/>
      <c r="L828" s="329"/>
      <c r="M828" s="76"/>
      <c r="N828" s="103" t="str">
        <f>IF(A828="","",VLOOKUP(A828,Stand!C:K,9,0))</f>
        <v/>
      </c>
      <c r="O828" s="104" t="str">
        <f t="shared" si="362"/>
        <v/>
      </c>
      <c r="P828" s="105" t="str">
        <f t="shared" si="363"/>
        <v/>
      </c>
      <c r="Q828" s="105" t="str">
        <f t="shared" si="378"/>
        <v/>
      </c>
      <c r="R828" s="103" t="str">
        <f t="shared" si="364"/>
        <v/>
      </c>
      <c r="S828" s="103" t="str">
        <f t="shared" si="365"/>
        <v/>
      </c>
      <c r="T828" s="106" t="str">
        <f t="shared" si="379"/>
        <v/>
      </c>
      <c r="U828" s="106" t="str">
        <f t="shared" si="380"/>
        <v/>
      </c>
      <c r="V828" s="106" t="str">
        <f t="shared" si="381"/>
        <v/>
      </c>
      <c r="W828" s="105" t="str">
        <f t="shared" si="366"/>
        <v/>
      </c>
      <c r="X828" s="104" t="str">
        <f t="shared" si="371"/>
        <v/>
      </c>
      <c r="Y828" s="104" t="str">
        <f t="array" ref="Y828">IFERROR(IF(ISNUMBER(O828),IF(COUNT(IF(A828=$A$2:$A$2427,IF(D828=$D$2:$D$2427,IF($X$2:$X$2427&gt;0,1))))&gt;0,SUM(IF(A828=$A$2:$A$2427,IF(D828=$D$2:$D$2427,$X$2:$X$2427)))/COUNT(IF(A828=$A$2:$A$2427,IF(D828=$D$2:$D$2427,IF(ISNUMBER($X$2:$X$2427),1)))),0),""),0)</f>
        <v/>
      </c>
      <c r="Z828" s="104" t="str">
        <f>IF(ISNUMBER(O828),IF(I828&gt;0,(10^(VLOOKUP(D828,'Species Codes'!B:C,2,0)+VLOOKUP(D828,'Species Codes'!B:D,3,0)*LOG(E828)+VLOOKUP(D828,'Species Codes'!B:E,4,0)*LOG(I828))),0),"")</f>
        <v/>
      </c>
      <c r="AA828" s="104" t="str">
        <f>IFERROR((VLOOKUP(D828,'Species Codes'!B:G,6,0)*Z828)/2000,"")</f>
        <v/>
      </c>
      <c r="AB828" s="104" t="e">
        <f>IF(Z828&gt;0,((IF(OR(D828="DF",D828="RA")=TRUE,EXP(VLOOKUP(D828,'Species Codes'!B:I,8,0)+VLOOKUP(D828,'Species Codes'!B:J,9,0)*(LN((E828*2.54)))),IF(OR(D828="PY",D828="RC",D828="WH",D828="NF")=TRUE,VLOOKUP(D828,'Species Codes'!B:I,8,0)+VLOOKUP(D828,'Species Codes'!B:J,9,0)*((E828*2.54)^2)*(I828*0.3048),IF(OR(D828="MD",D828="BM",D828="GA")=TRUE,((VLOOKUP(D828,'Species Codes'!B:I,8,0)*(((((E828*2.54)+VLOOKUP(D828,'Species Codes'!B:J,9,0))/VLOOKUP(D828,'Species Codes'!B:K,10,0))^VLOOKUP(D828,'Species Codes'!B:L,11,0))*((I828*0.3048)^VLOOKUP(D828,'Species Codes'!B:M,12,0))))-(VLOOKUP(D828,'Species Codes'!B:I,8,0)*((((E828*2.54)^VLOOKUP(D828,'Species Codes'!B:L,11,0))*((I828*0.3048)^VLOOKUP(D828,'Species Codes'!B:M,12,0))))))*35.3*VLOOKUP(D828,'Species Codes'!B:G,6,0)/2.2046,VLOOKUP(D828,'Species Codes'!B:I,8,0)+VLOOKUP(D828,'Species Codes'!B:J,9,0)*(((E828*2.54)/100)^2)*(I828*0.3048)))))*0.0011023),0)</f>
        <v>#N/A</v>
      </c>
      <c r="AC828" s="104" t="e">
        <f>IF(Z828&gt;0,((IF(OR(D828="RA",D828="OA",D828="OT",D828="UN",D828="PC"),EXP(VLOOKUP(D828,'Species Codes'!B:O,14,0)+VLOOKUP(D828,'Species Codes'!B:P,15,0)*LN((E828*2.54)))-EXP(VLOOKUP(D828,'Species Codes'!B:O,14,0)+VLOOKUP(D828,'Species Codes'!B:P,15,0)*LN((E828*2.54)))*(1/(VLOOKUP(D828,'Species Codes'!B:Q,16,0)+VLOOKUP(D828,'Species Codes'!B:R,17,0)*((E828*2.54)^VLOOKUP(D828,'Species Codes'!B:S,18,0)))),IF(OR(D828="BM",D828="MD",D828="OA"),EXP(VLOOKUP(D828,'Species Codes'!B:O,14,0)+VLOOKUP(D828,'Species Codes'!B:P,15,0)*LN((E828*2.54)))*(1-(1/(VLOOKUP(D828,'Species Codes'!B:Q,16,0)+VLOOKUP(D828,'Species Codes'!B:R,17,0)*((E828*2.54)^VLOOKUP(D828,'Species Codes'!B:S,18,0)))))/1000,IF(D828="DF",EXP(VLOOKUP(D828,'Species Codes'!B:O,14,0)+VLOOKUP(D828,'Species Codes'!B:P,15,0)*LN((E828*2.54))),VLOOKUP(D828,'Species Codes'!B:O,14,0)+VLOOKUP(D828,'Species Codes'!B:P,15,0)*(((E828*2.54)/100)^2)*(I828*0.3048)))))*0.0011023),0)</f>
        <v>#N/A</v>
      </c>
      <c r="AD828" s="104" t="e">
        <f t="shared" si="382"/>
        <v>#N/A</v>
      </c>
      <c r="AE828" s="104" t="e">
        <f t="shared" si="383"/>
        <v>#N/A</v>
      </c>
      <c r="AF828" s="104" t="e">
        <f>IF(AND(VLOOKUP($D828,Merchantability!$B:$C,2,0)="Yes",$E828&gt;=VLOOKUP($D828,Merchantability!$B:$D,3,0),$E828&lt;=VLOOKUP($D828,Merchantability!$B:$E,4,0)),AA828,0)</f>
        <v>#N/A</v>
      </c>
      <c r="AG828" s="104" t="e">
        <f>IF(AND(VLOOKUP($D828,Merchantability!$B:$C,2,0)="Yes",$E828&gt;=VLOOKUP($D828,Merchantability!$B:$D,3,0),$E828&lt;=VLOOKUP($D828,Merchantability!$B:$E,4,0)),AB828,0)</f>
        <v>#N/A</v>
      </c>
      <c r="AH828" s="104" t="e">
        <f>IF(AND(VLOOKUP($D828,Merchantability!$B:$C,2,0)="Yes",$E828&gt;=VLOOKUP($D828,Merchantability!$B:$D,3,0),$E828&lt;=VLOOKUP($D828,Merchantability!$B:$E,4,0)),AC828,0)</f>
        <v>#N/A</v>
      </c>
      <c r="AI828" s="104" t="e">
        <f t="shared" si="384"/>
        <v>#N/A</v>
      </c>
      <c r="AJ828" s="104" t="e">
        <f t="shared" si="385"/>
        <v>#VALUE!</v>
      </c>
      <c r="AK828" s="104" t="e">
        <f t="shared" si="386"/>
        <v>#N/A</v>
      </c>
      <c r="AL828" s="104" t="e">
        <f t="shared" si="387"/>
        <v>#N/A</v>
      </c>
      <c r="AM828" s="104" t="e">
        <f t="shared" si="388"/>
        <v>#N/A</v>
      </c>
      <c r="AN828" s="104" t="e">
        <f t="shared" si="372"/>
        <v>#N/A</v>
      </c>
      <c r="AO828" s="104" t="e">
        <f t="shared" si="373"/>
        <v>#N/A</v>
      </c>
      <c r="AP828" s="104" t="e">
        <f t="shared" si="374"/>
        <v>#N/A</v>
      </c>
      <c r="AQ828" s="104" t="e">
        <f t="shared" si="375"/>
        <v>#N/A</v>
      </c>
      <c r="AR828" s="105" t="str">
        <f t="shared" si="367"/>
        <v/>
      </c>
      <c r="AS828" s="105" t="str">
        <f t="shared" si="368"/>
        <v/>
      </c>
      <c r="AT828" s="108" t="str">
        <f t="shared" si="369"/>
        <v/>
      </c>
      <c r="AU828" s="108" t="str">
        <f t="shared" si="370"/>
        <v/>
      </c>
      <c r="AV828" s="107" t="str">
        <f>IF(ISNUMBER(O828),IF(VLOOKUP($A828,Stand!C:J,8,FALSE)="Short",AT828,AU828),"")</f>
        <v/>
      </c>
      <c r="AW828" s="109" t="str">
        <f t="shared" si="376"/>
        <v/>
      </c>
      <c r="AX828" s="109" t="str">
        <f t="shared" si="377"/>
        <v/>
      </c>
      <c r="AY828" s="112" t="str">
        <f>IF(ISNUMBER(O828),IF(AND(VLOOKUP($D828,Merchantability!$B:$C,2,0)="Yes",$E828&gt;=VLOOKUP($D828,Merchantability!$B:$D,3,0),$E828&lt;=VLOOKUP($D828,Merchantability!$B:$E,4,0)),(AV828*O828)*(1-$H828/100),""),"")</f>
        <v/>
      </c>
      <c r="AZ828" s="116"/>
      <c r="BA828" s="116"/>
      <c r="BB828" s="116"/>
      <c r="BE828" s="62"/>
      <c r="BF828" s="63"/>
    </row>
    <row r="829" spans="1:58" ht="12.75" customHeight="1" x14ac:dyDescent="0.25">
      <c r="A829" s="313"/>
      <c r="B829" s="328"/>
      <c r="C829" s="329"/>
      <c r="D829" s="328"/>
      <c r="E829" s="330"/>
      <c r="F829" s="328"/>
      <c r="G829" s="329"/>
      <c r="H829" s="329"/>
      <c r="I829" s="328"/>
      <c r="J829" s="383"/>
      <c r="K829" s="329"/>
      <c r="L829" s="329"/>
      <c r="M829" s="76"/>
      <c r="N829" s="103" t="str">
        <f>IF(A829="","",VLOOKUP(A829,Stand!C:K,9,0))</f>
        <v/>
      </c>
      <c r="O829" s="104" t="str">
        <f t="shared" si="362"/>
        <v/>
      </c>
      <c r="P829" s="105" t="str">
        <f t="shared" si="363"/>
        <v/>
      </c>
      <c r="Q829" s="105" t="str">
        <f t="shared" si="378"/>
        <v/>
      </c>
      <c r="R829" s="103" t="str">
        <f t="shared" si="364"/>
        <v/>
      </c>
      <c r="S829" s="103" t="str">
        <f t="shared" si="365"/>
        <v/>
      </c>
      <c r="T829" s="106" t="str">
        <f t="shared" si="379"/>
        <v/>
      </c>
      <c r="U829" s="106" t="str">
        <f t="shared" si="380"/>
        <v/>
      </c>
      <c r="V829" s="106" t="str">
        <f t="shared" si="381"/>
        <v/>
      </c>
      <c r="W829" s="105" t="str">
        <f t="shared" si="366"/>
        <v/>
      </c>
      <c r="X829" s="104" t="str">
        <f t="shared" si="371"/>
        <v/>
      </c>
      <c r="Y829" s="104" t="str">
        <f t="array" ref="Y829">IFERROR(IF(ISNUMBER(O829),IF(COUNT(IF(A829=$A$2:$A$2427,IF(D829=$D$2:$D$2427,IF($X$2:$X$2427&gt;0,1))))&gt;0,SUM(IF(A829=$A$2:$A$2427,IF(D829=$D$2:$D$2427,$X$2:$X$2427)))/COUNT(IF(A829=$A$2:$A$2427,IF(D829=$D$2:$D$2427,IF(ISNUMBER($X$2:$X$2427),1)))),0),""),0)</f>
        <v/>
      </c>
      <c r="Z829" s="104" t="str">
        <f>IF(ISNUMBER(O829),IF(I829&gt;0,(10^(VLOOKUP(D829,'Species Codes'!B:C,2,0)+VLOOKUP(D829,'Species Codes'!B:D,3,0)*LOG(E829)+VLOOKUP(D829,'Species Codes'!B:E,4,0)*LOG(I829))),0),"")</f>
        <v/>
      </c>
      <c r="AA829" s="104" t="str">
        <f>IFERROR((VLOOKUP(D829,'Species Codes'!B:G,6,0)*Z829)/2000,"")</f>
        <v/>
      </c>
      <c r="AB829" s="104" t="e">
        <f>IF(Z829&gt;0,((IF(OR(D829="DF",D829="RA")=TRUE,EXP(VLOOKUP(D829,'Species Codes'!B:I,8,0)+VLOOKUP(D829,'Species Codes'!B:J,9,0)*(LN((E829*2.54)))),IF(OR(D829="PY",D829="RC",D829="WH",D829="NF")=TRUE,VLOOKUP(D829,'Species Codes'!B:I,8,0)+VLOOKUP(D829,'Species Codes'!B:J,9,0)*((E829*2.54)^2)*(I829*0.3048),IF(OR(D829="MD",D829="BM",D829="GA")=TRUE,((VLOOKUP(D829,'Species Codes'!B:I,8,0)*(((((E829*2.54)+VLOOKUP(D829,'Species Codes'!B:J,9,0))/VLOOKUP(D829,'Species Codes'!B:K,10,0))^VLOOKUP(D829,'Species Codes'!B:L,11,0))*((I829*0.3048)^VLOOKUP(D829,'Species Codes'!B:M,12,0))))-(VLOOKUP(D829,'Species Codes'!B:I,8,0)*((((E829*2.54)^VLOOKUP(D829,'Species Codes'!B:L,11,0))*((I829*0.3048)^VLOOKUP(D829,'Species Codes'!B:M,12,0))))))*35.3*VLOOKUP(D829,'Species Codes'!B:G,6,0)/2.2046,VLOOKUP(D829,'Species Codes'!B:I,8,0)+VLOOKUP(D829,'Species Codes'!B:J,9,0)*(((E829*2.54)/100)^2)*(I829*0.3048)))))*0.0011023),0)</f>
        <v>#N/A</v>
      </c>
      <c r="AC829" s="104" t="e">
        <f>IF(Z829&gt;0,((IF(OR(D829="RA",D829="OA",D829="OT",D829="UN",D829="PC"),EXP(VLOOKUP(D829,'Species Codes'!B:O,14,0)+VLOOKUP(D829,'Species Codes'!B:P,15,0)*LN((E829*2.54)))-EXP(VLOOKUP(D829,'Species Codes'!B:O,14,0)+VLOOKUP(D829,'Species Codes'!B:P,15,0)*LN((E829*2.54)))*(1/(VLOOKUP(D829,'Species Codes'!B:Q,16,0)+VLOOKUP(D829,'Species Codes'!B:R,17,0)*((E829*2.54)^VLOOKUP(D829,'Species Codes'!B:S,18,0)))),IF(OR(D829="BM",D829="MD",D829="OA"),EXP(VLOOKUP(D829,'Species Codes'!B:O,14,0)+VLOOKUP(D829,'Species Codes'!B:P,15,0)*LN((E829*2.54)))*(1-(1/(VLOOKUP(D829,'Species Codes'!B:Q,16,0)+VLOOKUP(D829,'Species Codes'!B:R,17,0)*((E829*2.54)^VLOOKUP(D829,'Species Codes'!B:S,18,0)))))/1000,IF(D829="DF",EXP(VLOOKUP(D829,'Species Codes'!B:O,14,0)+VLOOKUP(D829,'Species Codes'!B:P,15,0)*LN((E829*2.54))),VLOOKUP(D829,'Species Codes'!B:O,14,0)+VLOOKUP(D829,'Species Codes'!B:P,15,0)*(((E829*2.54)/100)^2)*(I829*0.3048)))))*0.0011023),0)</f>
        <v>#N/A</v>
      </c>
      <c r="AD829" s="104" t="e">
        <f t="shared" si="382"/>
        <v>#N/A</v>
      </c>
      <c r="AE829" s="104" t="e">
        <f t="shared" si="383"/>
        <v>#N/A</v>
      </c>
      <c r="AF829" s="104" t="e">
        <f>IF(AND(VLOOKUP($D829,Merchantability!$B:$C,2,0)="Yes",$E829&gt;=VLOOKUP($D829,Merchantability!$B:$D,3,0),$E829&lt;=VLOOKUP($D829,Merchantability!$B:$E,4,0)),AA829,0)</f>
        <v>#N/A</v>
      </c>
      <c r="AG829" s="104" t="e">
        <f>IF(AND(VLOOKUP($D829,Merchantability!$B:$C,2,0)="Yes",$E829&gt;=VLOOKUP($D829,Merchantability!$B:$D,3,0),$E829&lt;=VLOOKUP($D829,Merchantability!$B:$E,4,0)),AB829,0)</f>
        <v>#N/A</v>
      </c>
      <c r="AH829" s="104" t="e">
        <f>IF(AND(VLOOKUP($D829,Merchantability!$B:$C,2,0)="Yes",$E829&gt;=VLOOKUP($D829,Merchantability!$B:$D,3,0),$E829&lt;=VLOOKUP($D829,Merchantability!$B:$E,4,0)),AC829,0)</f>
        <v>#N/A</v>
      </c>
      <c r="AI829" s="104" t="e">
        <f t="shared" si="384"/>
        <v>#N/A</v>
      </c>
      <c r="AJ829" s="104" t="e">
        <f t="shared" si="385"/>
        <v>#VALUE!</v>
      </c>
      <c r="AK829" s="104" t="e">
        <f t="shared" si="386"/>
        <v>#N/A</v>
      </c>
      <c r="AL829" s="104" t="e">
        <f t="shared" si="387"/>
        <v>#N/A</v>
      </c>
      <c r="AM829" s="104" t="e">
        <f t="shared" si="388"/>
        <v>#N/A</v>
      </c>
      <c r="AN829" s="104" t="e">
        <f t="shared" si="372"/>
        <v>#N/A</v>
      </c>
      <c r="AO829" s="104" t="e">
        <f t="shared" si="373"/>
        <v>#N/A</v>
      </c>
      <c r="AP829" s="104" t="e">
        <f t="shared" si="374"/>
        <v>#N/A</v>
      </c>
      <c r="AQ829" s="104" t="e">
        <f t="shared" si="375"/>
        <v>#N/A</v>
      </c>
      <c r="AR829" s="105" t="str">
        <f t="shared" si="367"/>
        <v/>
      </c>
      <c r="AS829" s="105" t="str">
        <f t="shared" si="368"/>
        <v/>
      </c>
      <c r="AT829" s="108" t="str">
        <f t="shared" si="369"/>
        <v/>
      </c>
      <c r="AU829" s="108" t="str">
        <f t="shared" si="370"/>
        <v/>
      </c>
      <c r="AV829" s="107" t="str">
        <f>IF(ISNUMBER(O829),IF(VLOOKUP($A829,Stand!C:J,8,FALSE)="Short",AT829,AU829),"")</f>
        <v/>
      </c>
      <c r="AW829" s="109" t="str">
        <f t="shared" si="376"/>
        <v/>
      </c>
      <c r="AX829" s="109" t="str">
        <f t="shared" si="377"/>
        <v/>
      </c>
      <c r="AY829" s="112" t="str">
        <f>IF(ISNUMBER(O829),IF(AND(VLOOKUP($D829,Merchantability!$B:$C,2,0)="Yes",$E829&gt;=VLOOKUP($D829,Merchantability!$B:$D,3,0),$E829&lt;=VLOOKUP($D829,Merchantability!$B:$E,4,0)),(AV829*O829)*(1-$H829/100),""),"")</f>
        <v/>
      </c>
      <c r="AZ829" s="116"/>
      <c r="BA829" s="116"/>
      <c r="BB829" s="116"/>
      <c r="BE829" s="62"/>
      <c r="BF829" s="63"/>
    </row>
    <row r="830" spans="1:58" ht="12.75" customHeight="1" x14ac:dyDescent="0.25">
      <c r="A830" s="313"/>
      <c r="B830" s="328"/>
      <c r="C830" s="329"/>
      <c r="D830" s="328"/>
      <c r="E830" s="330"/>
      <c r="F830" s="328"/>
      <c r="G830" s="329"/>
      <c r="H830" s="329"/>
      <c r="I830" s="328"/>
      <c r="J830" s="383"/>
      <c r="K830" s="329"/>
      <c r="L830" s="329"/>
      <c r="M830" s="76"/>
      <c r="N830" s="103" t="str">
        <f>IF(A830="","",VLOOKUP(A830,Stand!C:K,9,0))</f>
        <v/>
      </c>
      <c r="O830" s="104" t="str">
        <f t="shared" si="362"/>
        <v/>
      </c>
      <c r="P830" s="105" t="str">
        <f t="shared" si="363"/>
        <v/>
      </c>
      <c r="Q830" s="105" t="str">
        <f t="shared" si="378"/>
        <v/>
      </c>
      <c r="R830" s="103" t="str">
        <f t="shared" si="364"/>
        <v/>
      </c>
      <c r="S830" s="103" t="str">
        <f t="shared" si="365"/>
        <v/>
      </c>
      <c r="T830" s="106" t="str">
        <f t="shared" si="379"/>
        <v/>
      </c>
      <c r="U830" s="106" t="str">
        <f t="shared" si="380"/>
        <v/>
      </c>
      <c r="V830" s="106" t="str">
        <f t="shared" si="381"/>
        <v/>
      </c>
      <c r="W830" s="105" t="str">
        <f t="shared" si="366"/>
        <v/>
      </c>
      <c r="X830" s="104" t="str">
        <f t="shared" si="371"/>
        <v/>
      </c>
      <c r="Y830" s="104" t="str">
        <f t="array" ref="Y830">IFERROR(IF(ISNUMBER(O830),IF(COUNT(IF(A830=$A$2:$A$2427,IF(D830=$D$2:$D$2427,IF($X$2:$X$2427&gt;0,1))))&gt;0,SUM(IF(A830=$A$2:$A$2427,IF(D830=$D$2:$D$2427,$X$2:$X$2427)))/COUNT(IF(A830=$A$2:$A$2427,IF(D830=$D$2:$D$2427,IF(ISNUMBER($X$2:$X$2427),1)))),0),""),0)</f>
        <v/>
      </c>
      <c r="Z830" s="104" t="str">
        <f>IF(ISNUMBER(O830),IF(I830&gt;0,(10^(VLOOKUP(D830,'Species Codes'!B:C,2,0)+VLOOKUP(D830,'Species Codes'!B:D,3,0)*LOG(E830)+VLOOKUP(D830,'Species Codes'!B:E,4,0)*LOG(I830))),0),"")</f>
        <v/>
      </c>
      <c r="AA830" s="104" t="str">
        <f>IFERROR((VLOOKUP(D830,'Species Codes'!B:G,6,0)*Z830)/2000,"")</f>
        <v/>
      </c>
      <c r="AB830" s="104" t="e">
        <f>IF(Z830&gt;0,((IF(OR(D830="DF",D830="RA")=TRUE,EXP(VLOOKUP(D830,'Species Codes'!B:I,8,0)+VLOOKUP(D830,'Species Codes'!B:J,9,0)*(LN((E830*2.54)))),IF(OR(D830="PY",D830="RC",D830="WH",D830="NF")=TRUE,VLOOKUP(D830,'Species Codes'!B:I,8,0)+VLOOKUP(D830,'Species Codes'!B:J,9,0)*((E830*2.54)^2)*(I830*0.3048),IF(OR(D830="MD",D830="BM",D830="GA")=TRUE,((VLOOKUP(D830,'Species Codes'!B:I,8,0)*(((((E830*2.54)+VLOOKUP(D830,'Species Codes'!B:J,9,0))/VLOOKUP(D830,'Species Codes'!B:K,10,0))^VLOOKUP(D830,'Species Codes'!B:L,11,0))*((I830*0.3048)^VLOOKUP(D830,'Species Codes'!B:M,12,0))))-(VLOOKUP(D830,'Species Codes'!B:I,8,0)*((((E830*2.54)^VLOOKUP(D830,'Species Codes'!B:L,11,0))*((I830*0.3048)^VLOOKUP(D830,'Species Codes'!B:M,12,0))))))*35.3*VLOOKUP(D830,'Species Codes'!B:G,6,0)/2.2046,VLOOKUP(D830,'Species Codes'!B:I,8,0)+VLOOKUP(D830,'Species Codes'!B:J,9,0)*(((E830*2.54)/100)^2)*(I830*0.3048)))))*0.0011023),0)</f>
        <v>#N/A</v>
      </c>
      <c r="AC830" s="104" t="e">
        <f>IF(Z830&gt;0,((IF(OR(D830="RA",D830="OA",D830="OT",D830="UN",D830="PC"),EXP(VLOOKUP(D830,'Species Codes'!B:O,14,0)+VLOOKUP(D830,'Species Codes'!B:P,15,0)*LN((E830*2.54)))-EXP(VLOOKUP(D830,'Species Codes'!B:O,14,0)+VLOOKUP(D830,'Species Codes'!B:P,15,0)*LN((E830*2.54)))*(1/(VLOOKUP(D830,'Species Codes'!B:Q,16,0)+VLOOKUP(D830,'Species Codes'!B:R,17,0)*((E830*2.54)^VLOOKUP(D830,'Species Codes'!B:S,18,0)))),IF(OR(D830="BM",D830="MD",D830="OA"),EXP(VLOOKUP(D830,'Species Codes'!B:O,14,0)+VLOOKUP(D830,'Species Codes'!B:P,15,0)*LN((E830*2.54)))*(1-(1/(VLOOKUP(D830,'Species Codes'!B:Q,16,0)+VLOOKUP(D830,'Species Codes'!B:R,17,0)*((E830*2.54)^VLOOKUP(D830,'Species Codes'!B:S,18,0)))))/1000,IF(D830="DF",EXP(VLOOKUP(D830,'Species Codes'!B:O,14,0)+VLOOKUP(D830,'Species Codes'!B:P,15,0)*LN((E830*2.54))),VLOOKUP(D830,'Species Codes'!B:O,14,0)+VLOOKUP(D830,'Species Codes'!B:P,15,0)*(((E830*2.54)/100)^2)*(I830*0.3048)))))*0.0011023),0)</f>
        <v>#N/A</v>
      </c>
      <c r="AD830" s="104" t="e">
        <f t="shared" si="382"/>
        <v>#N/A</v>
      </c>
      <c r="AE830" s="104" t="e">
        <f t="shared" si="383"/>
        <v>#N/A</v>
      </c>
      <c r="AF830" s="104" t="e">
        <f>IF(AND(VLOOKUP($D830,Merchantability!$B:$C,2,0)="Yes",$E830&gt;=VLOOKUP($D830,Merchantability!$B:$D,3,0),$E830&lt;=VLOOKUP($D830,Merchantability!$B:$E,4,0)),AA830,0)</f>
        <v>#N/A</v>
      </c>
      <c r="AG830" s="104" t="e">
        <f>IF(AND(VLOOKUP($D830,Merchantability!$B:$C,2,0)="Yes",$E830&gt;=VLOOKUP($D830,Merchantability!$B:$D,3,0),$E830&lt;=VLOOKUP($D830,Merchantability!$B:$E,4,0)),AB830,0)</f>
        <v>#N/A</v>
      </c>
      <c r="AH830" s="104" t="e">
        <f>IF(AND(VLOOKUP($D830,Merchantability!$B:$C,2,0)="Yes",$E830&gt;=VLOOKUP($D830,Merchantability!$B:$D,3,0),$E830&lt;=VLOOKUP($D830,Merchantability!$B:$E,4,0)),AC830,0)</f>
        <v>#N/A</v>
      </c>
      <c r="AI830" s="104" t="e">
        <f t="shared" si="384"/>
        <v>#N/A</v>
      </c>
      <c r="AJ830" s="104" t="e">
        <f t="shared" si="385"/>
        <v>#VALUE!</v>
      </c>
      <c r="AK830" s="104" t="e">
        <f t="shared" si="386"/>
        <v>#N/A</v>
      </c>
      <c r="AL830" s="104" t="e">
        <f t="shared" si="387"/>
        <v>#N/A</v>
      </c>
      <c r="AM830" s="104" t="e">
        <f t="shared" si="388"/>
        <v>#N/A</v>
      </c>
      <c r="AN830" s="104" t="e">
        <f t="shared" si="372"/>
        <v>#N/A</v>
      </c>
      <c r="AO830" s="104" t="e">
        <f t="shared" si="373"/>
        <v>#N/A</v>
      </c>
      <c r="AP830" s="104" t="e">
        <f t="shared" si="374"/>
        <v>#N/A</v>
      </c>
      <c r="AQ830" s="104" t="e">
        <f t="shared" si="375"/>
        <v>#N/A</v>
      </c>
      <c r="AR830" s="105" t="str">
        <f t="shared" si="367"/>
        <v/>
      </c>
      <c r="AS830" s="105" t="str">
        <f t="shared" si="368"/>
        <v/>
      </c>
      <c r="AT830" s="108" t="str">
        <f t="shared" si="369"/>
        <v/>
      </c>
      <c r="AU830" s="108" t="str">
        <f t="shared" si="370"/>
        <v/>
      </c>
      <c r="AV830" s="107" t="str">
        <f>IF(ISNUMBER(O830),IF(VLOOKUP($A830,Stand!C:J,8,FALSE)="Short",AT830,AU830),"")</f>
        <v/>
      </c>
      <c r="AW830" s="109" t="str">
        <f t="shared" si="376"/>
        <v/>
      </c>
      <c r="AX830" s="109" t="str">
        <f t="shared" si="377"/>
        <v/>
      </c>
      <c r="AY830" s="112" t="str">
        <f>IF(ISNUMBER(O830),IF(AND(VLOOKUP($D830,Merchantability!$B:$C,2,0)="Yes",$E830&gt;=VLOOKUP($D830,Merchantability!$B:$D,3,0),$E830&lt;=VLOOKUP($D830,Merchantability!$B:$E,4,0)),(AV830*O830)*(1-$H830/100),""),"")</f>
        <v/>
      </c>
      <c r="AZ830" s="116"/>
      <c r="BA830" s="116"/>
      <c r="BB830" s="116"/>
      <c r="BE830" s="62"/>
      <c r="BF830" s="63"/>
    </row>
    <row r="831" spans="1:58" ht="12.75" customHeight="1" x14ac:dyDescent="0.25">
      <c r="A831" s="313"/>
      <c r="B831" s="328"/>
      <c r="C831" s="329"/>
      <c r="D831" s="328"/>
      <c r="E831" s="330"/>
      <c r="F831" s="328"/>
      <c r="G831" s="329"/>
      <c r="H831" s="329"/>
      <c r="I831" s="328"/>
      <c r="J831" s="383"/>
      <c r="K831" s="329"/>
      <c r="L831" s="329"/>
      <c r="M831" s="76"/>
      <c r="N831" s="103" t="str">
        <f>IF(A831="","",VLOOKUP(A831,Stand!C:K,9,0))</f>
        <v/>
      </c>
      <c r="O831" s="104" t="str">
        <f t="shared" si="362"/>
        <v/>
      </c>
      <c r="P831" s="105" t="str">
        <f t="shared" si="363"/>
        <v/>
      </c>
      <c r="Q831" s="105" t="str">
        <f t="shared" si="378"/>
        <v/>
      </c>
      <c r="R831" s="103" t="str">
        <f t="shared" si="364"/>
        <v/>
      </c>
      <c r="S831" s="103" t="str">
        <f t="shared" si="365"/>
        <v/>
      </c>
      <c r="T831" s="106" t="str">
        <f t="shared" si="379"/>
        <v/>
      </c>
      <c r="U831" s="106" t="str">
        <f t="shared" si="380"/>
        <v/>
      </c>
      <c r="V831" s="106" t="str">
        <f t="shared" si="381"/>
        <v/>
      </c>
      <c r="W831" s="105" t="str">
        <f t="shared" si="366"/>
        <v/>
      </c>
      <c r="X831" s="104" t="str">
        <f t="shared" si="371"/>
        <v/>
      </c>
      <c r="Y831" s="104" t="str">
        <f t="array" ref="Y831">IFERROR(IF(ISNUMBER(O831),IF(COUNT(IF(A831=$A$2:$A$2427,IF(D831=$D$2:$D$2427,IF($X$2:$X$2427&gt;0,1))))&gt;0,SUM(IF(A831=$A$2:$A$2427,IF(D831=$D$2:$D$2427,$X$2:$X$2427)))/COUNT(IF(A831=$A$2:$A$2427,IF(D831=$D$2:$D$2427,IF(ISNUMBER($X$2:$X$2427),1)))),0),""),0)</f>
        <v/>
      </c>
      <c r="Z831" s="104" t="str">
        <f>IF(ISNUMBER(O831),IF(I831&gt;0,(10^(VLOOKUP(D831,'Species Codes'!B:C,2,0)+VLOOKUP(D831,'Species Codes'!B:D,3,0)*LOG(E831)+VLOOKUP(D831,'Species Codes'!B:E,4,0)*LOG(I831))),0),"")</f>
        <v/>
      </c>
      <c r="AA831" s="104" t="str">
        <f>IFERROR((VLOOKUP(D831,'Species Codes'!B:G,6,0)*Z831)/2000,"")</f>
        <v/>
      </c>
      <c r="AB831" s="104" t="e">
        <f>IF(Z831&gt;0,((IF(OR(D831="DF",D831="RA")=TRUE,EXP(VLOOKUP(D831,'Species Codes'!B:I,8,0)+VLOOKUP(D831,'Species Codes'!B:J,9,0)*(LN((E831*2.54)))),IF(OR(D831="PY",D831="RC",D831="WH",D831="NF")=TRUE,VLOOKUP(D831,'Species Codes'!B:I,8,0)+VLOOKUP(D831,'Species Codes'!B:J,9,0)*((E831*2.54)^2)*(I831*0.3048),IF(OR(D831="MD",D831="BM",D831="GA")=TRUE,((VLOOKUP(D831,'Species Codes'!B:I,8,0)*(((((E831*2.54)+VLOOKUP(D831,'Species Codes'!B:J,9,0))/VLOOKUP(D831,'Species Codes'!B:K,10,0))^VLOOKUP(D831,'Species Codes'!B:L,11,0))*((I831*0.3048)^VLOOKUP(D831,'Species Codes'!B:M,12,0))))-(VLOOKUP(D831,'Species Codes'!B:I,8,0)*((((E831*2.54)^VLOOKUP(D831,'Species Codes'!B:L,11,0))*((I831*0.3048)^VLOOKUP(D831,'Species Codes'!B:M,12,0))))))*35.3*VLOOKUP(D831,'Species Codes'!B:G,6,0)/2.2046,VLOOKUP(D831,'Species Codes'!B:I,8,0)+VLOOKUP(D831,'Species Codes'!B:J,9,0)*(((E831*2.54)/100)^2)*(I831*0.3048)))))*0.0011023),0)</f>
        <v>#N/A</v>
      </c>
      <c r="AC831" s="104" t="e">
        <f>IF(Z831&gt;0,((IF(OR(D831="RA",D831="OA",D831="OT",D831="UN",D831="PC"),EXP(VLOOKUP(D831,'Species Codes'!B:O,14,0)+VLOOKUP(D831,'Species Codes'!B:P,15,0)*LN((E831*2.54)))-EXP(VLOOKUP(D831,'Species Codes'!B:O,14,0)+VLOOKUP(D831,'Species Codes'!B:P,15,0)*LN((E831*2.54)))*(1/(VLOOKUP(D831,'Species Codes'!B:Q,16,0)+VLOOKUP(D831,'Species Codes'!B:R,17,0)*((E831*2.54)^VLOOKUP(D831,'Species Codes'!B:S,18,0)))),IF(OR(D831="BM",D831="MD",D831="OA"),EXP(VLOOKUP(D831,'Species Codes'!B:O,14,0)+VLOOKUP(D831,'Species Codes'!B:P,15,0)*LN((E831*2.54)))*(1-(1/(VLOOKUP(D831,'Species Codes'!B:Q,16,0)+VLOOKUP(D831,'Species Codes'!B:R,17,0)*((E831*2.54)^VLOOKUP(D831,'Species Codes'!B:S,18,0)))))/1000,IF(D831="DF",EXP(VLOOKUP(D831,'Species Codes'!B:O,14,0)+VLOOKUP(D831,'Species Codes'!B:P,15,0)*LN((E831*2.54))),VLOOKUP(D831,'Species Codes'!B:O,14,0)+VLOOKUP(D831,'Species Codes'!B:P,15,0)*(((E831*2.54)/100)^2)*(I831*0.3048)))))*0.0011023),0)</f>
        <v>#N/A</v>
      </c>
      <c r="AD831" s="104" t="e">
        <f t="shared" si="382"/>
        <v>#N/A</v>
      </c>
      <c r="AE831" s="104" t="e">
        <f t="shared" si="383"/>
        <v>#N/A</v>
      </c>
      <c r="AF831" s="104" t="e">
        <f>IF(AND(VLOOKUP($D831,Merchantability!$B:$C,2,0)="Yes",$E831&gt;=VLOOKUP($D831,Merchantability!$B:$D,3,0),$E831&lt;=VLOOKUP($D831,Merchantability!$B:$E,4,0)),AA831,0)</f>
        <v>#N/A</v>
      </c>
      <c r="AG831" s="104" t="e">
        <f>IF(AND(VLOOKUP($D831,Merchantability!$B:$C,2,0)="Yes",$E831&gt;=VLOOKUP($D831,Merchantability!$B:$D,3,0),$E831&lt;=VLOOKUP($D831,Merchantability!$B:$E,4,0)),AB831,0)</f>
        <v>#N/A</v>
      </c>
      <c r="AH831" s="104" t="e">
        <f>IF(AND(VLOOKUP($D831,Merchantability!$B:$C,2,0)="Yes",$E831&gt;=VLOOKUP($D831,Merchantability!$B:$D,3,0),$E831&lt;=VLOOKUP($D831,Merchantability!$B:$E,4,0)),AC831,0)</f>
        <v>#N/A</v>
      </c>
      <c r="AI831" s="104" t="e">
        <f t="shared" si="384"/>
        <v>#N/A</v>
      </c>
      <c r="AJ831" s="104" t="e">
        <f t="shared" si="385"/>
        <v>#VALUE!</v>
      </c>
      <c r="AK831" s="104" t="e">
        <f t="shared" si="386"/>
        <v>#N/A</v>
      </c>
      <c r="AL831" s="104" t="e">
        <f t="shared" si="387"/>
        <v>#N/A</v>
      </c>
      <c r="AM831" s="104" t="e">
        <f t="shared" si="388"/>
        <v>#N/A</v>
      </c>
      <c r="AN831" s="104" t="e">
        <f t="shared" si="372"/>
        <v>#N/A</v>
      </c>
      <c r="AO831" s="104" t="e">
        <f t="shared" si="373"/>
        <v>#N/A</v>
      </c>
      <c r="AP831" s="104" t="e">
        <f t="shared" si="374"/>
        <v>#N/A</v>
      </c>
      <c r="AQ831" s="104" t="e">
        <f t="shared" si="375"/>
        <v>#N/A</v>
      </c>
      <c r="AR831" s="105" t="str">
        <f t="shared" si="367"/>
        <v/>
      </c>
      <c r="AS831" s="105" t="str">
        <f t="shared" si="368"/>
        <v/>
      </c>
      <c r="AT831" s="108" t="str">
        <f t="shared" si="369"/>
        <v/>
      </c>
      <c r="AU831" s="108" t="str">
        <f t="shared" si="370"/>
        <v/>
      </c>
      <c r="AV831" s="107" t="str">
        <f>IF(ISNUMBER(O831),IF(VLOOKUP($A831,Stand!C:J,8,FALSE)="Short",AT831,AU831),"")</f>
        <v/>
      </c>
      <c r="AW831" s="109" t="str">
        <f t="shared" si="376"/>
        <v/>
      </c>
      <c r="AX831" s="109" t="str">
        <f t="shared" si="377"/>
        <v/>
      </c>
      <c r="AY831" s="112" t="str">
        <f>IF(ISNUMBER(O831),IF(AND(VLOOKUP($D831,Merchantability!$B:$C,2,0)="Yes",$E831&gt;=VLOOKUP($D831,Merchantability!$B:$D,3,0),$E831&lt;=VLOOKUP($D831,Merchantability!$B:$E,4,0)),(AV831*O831)*(1-$H831/100),""),"")</f>
        <v/>
      </c>
      <c r="AZ831" s="116"/>
      <c r="BA831" s="116"/>
      <c r="BB831" s="116"/>
      <c r="BE831" s="62"/>
      <c r="BF831" s="63"/>
    </row>
    <row r="832" spans="1:58" ht="12.75" customHeight="1" x14ac:dyDescent="0.25">
      <c r="A832" s="313"/>
      <c r="B832" s="328"/>
      <c r="C832" s="329"/>
      <c r="D832" s="328"/>
      <c r="E832" s="330"/>
      <c r="F832" s="328"/>
      <c r="G832" s="329"/>
      <c r="H832" s="329"/>
      <c r="I832" s="328"/>
      <c r="J832" s="383"/>
      <c r="K832" s="329"/>
      <c r="L832" s="329"/>
      <c r="M832" s="76"/>
      <c r="N832" s="103" t="str">
        <f>IF(A832="","",VLOOKUP(A832,Stand!C:K,9,0))</f>
        <v/>
      </c>
      <c r="O832" s="104" t="str">
        <f t="shared" si="362"/>
        <v/>
      </c>
      <c r="P832" s="105" t="str">
        <f t="shared" si="363"/>
        <v/>
      </c>
      <c r="Q832" s="105" t="str">
        <f t="shared" si="378"/>
        <v/>
      </c>
      <c r="R832" s="103" t="str">
        <f t="shared" si="364"/>
        <v/>
      </c>
      <c r="S832" s="103" t="str">
        <f t="shared" si="365"/>
        <v/>
      </c>
      <c r="T832" s="106" t="str">
        <f t="shared" si="379"/>
        <v/>
      </c>
      <c r="U832" s="106" t="str">
        <f t="shared" si="380"/>
        <v/>
      </c>
      <c r="V832" s="106" t="str">
        <f t="shared" si="381"/>
        <v/>
      </c>
      <c r="W832" s="105" t="str">
        <f t="shared" si="366"/>
        <v/>
      </c>
      <c r="X832" s="104" t="str">
        <f t="shared" si="371"/>
        <v/>
      </c>
      <c r="Y832" s="104" t="str">
        <f t="array" ref="Y832">IFERROR(IF(ISNUMBER(O832),IF(COUNT(IF(A832=$A$2:$A$2427,IF(D832=$D$2:$D$2427,IF($X$2:$X$2427&gt;0,1))))&gt;0,SUM(IF(A832=$A$2:$A$2427,IF(D832=$D$2:$D$2427,$X$2:$X$2427)))/COUNT(IF(A832=$A$2:$A$2427,IF(D832=$D$2:$D$2427,IF(ISNUMBER($X$2:$X$2427),1)))),0),""),0)</f>
        <v/>
      </c>
      <c r="Z832" s="104" t="str">
        <f>IF(ISNUMBER(O832),IF(I832&gt;0,(10^(VLOOKUP(D832,'Species Codes'!B:C,2,0)+VLOOKUP(D832,'Species Codes'!B:D,3,0)*LOG(E832)+VLOOKUP(D832,'Species Codes'!B:E,4,0)*LOG(I832))),0),"")</f>
        <v/>
      </c>
      <c r="AA832" s="104" t="str">
        <f>IFERROR((VLOOKUP(D832,'Species Codes'!B:G,6,0)*Z832)/2000,"")</f>
        <v/>
      </c>
      <c r="AB832" s="104" t="e">
        <f>IF(Z832&gt;0,((IF(OR(D832="DF",D832="RA")=TRUE,EXP(VLOOKUP(D832,'Species Codes'!B:I,8,0)+VLOOKUP(D832,'Species Codes'!B:J,9,0)*(LN((E832*2.54)))),IF(OR(D832="PY",D832="RC",D832="WH",D832="NF")=TRUE,VLOOKUP(D832,'Species Codes'!B:I,8,0)+VLOOKUP(D832,'Species Codes'!B:J,9,0)*((E832*2.54)^2)*(I832*0.3048),IF(OR(D832="MD",D832="BM",D832="GA")=TRUE,((VLOOKUP(D832,'Species Codes'!B:I,8,0)*(((((E832*2.54)+VLOOKUP(D832,'Species Codes'!B:J,9,0))/VLOOKUP(D832,'Species Codes'!B:K,10,0))^VLOOKUP(D832,'Species Codes'!B:L,11,0))*((I832*0.3048)^VLOOKUP(D832,'Species Codes'!B:M,12,0))))-(VLOOKUP(D832,'Species Codes'!B:I,8,0)*((((E832*2.54)^VLOOKUP(D832,'Species Codes'!B:L,11,0))*((I832*0.3048)^VLOOKUP(D832,'Species Codes'!B:M,12,0))))))*35.3*VLOOKUP(D832,'Species Codes'!B:G,6,0)/2.2046,VLOOKUP(D832,'Species Codes'!B:I,8,0)+VLOOKUP(D832,'Species Codes'!B:J,9,0)*(((E832*2.54)/100)^2)*(I832*0.3048)))))*0.0011023),0)</f>
        <v>#N/A</v>
      </c>
      <c r="AC832" s="104" t="e">
        <f>IF(Z832&gt;0,((IF(OR(D832="RA",D832="OA",D832="OT",D832="UN",D832="PC"),EXP(VLOOKUP(D832,'Species Codes'!B:O,14,0)+VLOOKUP(D832,'Species Codes'!B:P,15,0)*LN((E832*2.54)))-EXP(VLOOKUP(D832,'Species Codes'!B:O,14,0)+VLOOKUP(D832,'Species Codes'!B:P,15,0)*LN((E832*2.54)))*(1/(VLOOKUP(D832,'Species Codes'!B:Q,16,0)+VLOOKUP(D832,'Species Codes'!B:R,17,0)*((E832*2.54)^VLOOKUP(D832,'Species Codes'!B:S,18,0)))),IF(OR(D832="BM",D832="MD",D832="OA"),EXP(VLOOKUP(D832,'Species Codes'!B:O,14,0)+VLOOKUP(D832,'Species Codes'!B:P,15,0)*LN((E832*2.54)))*(1-(1/(VLOOKUP(D832,'Species Codes'!B:Q,16,0)+VLOOKUP(D832,'Species Codes'!B:R,17,0)*((E832*2.54)^VLOOKUP(D832,'Species Codes'!B:S,18,0)))))/1000,IF(D832="DF",EXP(VLOOKUP(D832,'Species Codes'!B:O,14,0)+VLOOKUP(D832,'Species Codes'!B:P,15,0)*LN((E832*2.54))),VLOOKUP(D832,'Species Codes'!B:O,14,0)+VLOOKUP(D832,'Species Codes'!B:P,15,0)*(((E832*2.54)/100)^2)*(I832*0.3048)))))*0.0011023),0)</f>
        <v>#N/A</v>
      </c>
      <c r="AD832" s="104" t="e">
        <f t="shared" si="382"/>
        <v>#N/A</v>
      </c>
      <c r="AE832" s="104" t="e">
        <f t="shared" si="383"/>
        <v>#N/A</v>
      </c>
      <c r="AF832" s="104" t="e">
        <f>IF(AND(VLOOKUP($D832,Merchantability!$B:$C,2,0)="Yes",$E832&gt;=VLOOKUP($D832,Merchantability!$B:$D,3,0),$E832&lt;=VLOOKUP($D832,Merchantability!$B:$E,4,0)),AA832,0)</f>
        <v>#N/A</v>
      </c>
      <c r="AG832" s="104" t="e">
        <f>IF(AND(VLOOKUP($D832,Merchantability!$B:$C,2,0)="Yes",$E832&gt;=VLOOKUP($D832,Merchantability!$B:$D,3,0),$E832&lt;=VLOOKUP($D832,Merchantability!$B:$E,4,0)),AB832,0)</f>
        <v>#N/A</v>
      </c>
      <c r="AH832" s="104" t="e">
        <f>IF(AND(VLOOKUP($D832,Merchantability!$B:$C,2,0)="Yes",$E832&gt;=VLOOKUP($D832,Merchantability!$B:$D,3,0),$E832&lt;=VLOOKUP($D832,Merchantability!$B:$E,4,0)),AC832,0)</f>
        <v>#N/A</v>
      </c>
      <c r="AI832" s="104" t="e">
        <f t="shared" si="384"/>
        <v>#N/A</v>
      </c>
      <c r="AJ832" s="104" t="e">
        <f t="shared" si="385"/>
        <v>#VALUE!</v>
      </c>
      <c r="AK832" s="104" t="e">
        <f t="shared" si="386"/>
        <v>#N/A</v>
      </c>
      <c r="AL832" s="104" t="e">
        <f t="shared" si="387"/>
        <v>#N/A</v>
      </c>
      <c r="AM832" s="104" t="e">
        <f t="shared" si="388"/>
        <v>#N/A</v>
      </c>
      <c r="AN832" s="104" t="e">
        <f t="shared" si="372"/>
        <v>#N/A</v>
      </c>
      <c r="AO832" s="104" t="e">
        <f t="shared" si="373"/>
        <v>#N/A</v>
      </c>
      <c r="AP832" s="104" t="e">
        <f t="shared" si="374"/>
        <v>#N/A</v>
      </c>
      <c r="AQ832" s="104" t="e">
        <f t="shared" si="375"/>
        <v>#N/A</v>
      </c>
      <c r="AR832" s="105" t="str">
        <f t="shared" si="367"/>
        <v/>
      </c>
      <c r="AS832" s="105" t="str">
        <f t="shared" si="368"/>
        <v/>
      </c>
      <c r="AT832" s="108" t="str">
        <f t="shared" si="369"/>
        <v/>
      </c>
      <c r="AU832" s="108" t="str">
        <f t="shared" si="370"/>
        <v/>
      </c>
      <c r="AV832" s="107" t="str">
        <f>IF(ISNUMBER(O832),IF(VLOOKUP($A832,Stand!C:J,8,FALSE)="Short",AT832,AU832),"")</f>
        <v/>
      </c>
      <c r="AW832" s="109" t="str">
        <f t="shared" si="376"/>
        <v/>
      </c>
      <c r="AX832" s="109" t="str">
        <f t="shared" si="377"/>
        <v/>
      </c>
      <c r="AY832" s="112" t="str">
        <f>IF(ISNUMBER(O832),IF(AND(VLOOKUP($D832,Merchantability!$B:$C,2,0)="Yes",$E832&gt;=VLOOKUP($D832,Merchantability!$B:$D,3,0),$E832&lt;=VLOOKUP($D832,Merchantability!$B:$E,4,0)),(AV832*O832)*(1-$H832/100),""),"")</f>
        <v/>
      </c>
      <c r="AZ832" s="116"/>
      <c r="BA832" s="116"/>
      <c r="BB832" s="116"/>
      <c r="BE832" s="62"/>
      <c r="BF832" s="63"/>
    </row>
    <row r="833" spans="1:58" ht="12.75" customHeight="1" x14ac:dyDescent="0.25">
      <c r="A833" s="313"/>
      <c r="B833" s="328"/>
      <c r="C833" s="329"/>
      <c r="D833" s="328"/>
      <c r="E833" s="330"/>
      <c r="F833" s="328"/>
      <c r="G833" s="329"/>
      <c r="H833" s="329"/>
      <c r="I833" s="328"/>
      <c r="J833" s="383"/>
      <c r="K833" s="329"/>
      <c r="L833" s="329"/>
      <c r="M833" s="76"/>
      <c r="N833" s="103" t="str">
        <f>IF(A833="","",VLOOKUP(A833,Stand!C:K,9,0))</f>
        <v/>
      </c>
      <c r="O833" s="104" t="str">
        <f t="shared" si="362"/>
        <v/>
      </c>
      <c r="P833" s="105" t="str">
        <f t="shared" si="363"/>
        <v/>
      </c>
      <c r="Q833" s="105" t="str">
        <f t="shared" si="378"/>
        <v/>
      </c>
      <c r="R833" s="103" t="str">
        <f t="shared" si="364"/>
        <v/>
      </c>
      <c r="S833" s="103" t="str">
        <f t="shared" si="365"/>
        <v/>
      </c>
      <c r="T833" s="106" t="str">
        <f t="shared" si="379"/>
        <v/>
      </c>
      <c r="U833" s="106" t="str">
        <f t="shared" si="380"/>
        <v/>
      </c>
      <c r="V833" s="106" t="str">
        <f t="shared" si="381"/>
        <v/>
      </c>
      <c r="W833" s="105" t="str">
        <f t="shared" si="366"/>
        <v/>
      </c>
      <c r="X833" s="104" t="str">
        <f t="shared" si="371"/>
        <v/>
      </c>
      <c r="Y833" s="104" t="str">
        <f t="array" ref="Y833">IFERROR(IF(ISNUMBER(O833),IF(COUNT(IF(A833=$A$2:$A$2427,IF(D833=$D$2:$D$2427,IF($X$2:$X$2427&gt;0,1))))&gt;0,SUM(IF(A833=$A$2:$A$2427,IF(D833=$D$2:$D$2427,$X$2:$X$2427)))/COUNT(IF(A833=$A$2:$A$2427,IF(D833=$D$2:$D$2427,IF(ISNUMBER($X$2:$X$2427),1)))),0),""),0)</f>
        <v/>
      </c>
      <c r="Z833" s="104" t="str">
        <f>IF(ISNUMBER(O833),IF(I833&gt;0,(10^(VLOOKUP(D833,'Species Codes'!B:C,2,0)+VLOOKUP(D833,'Species Codes'!B:D,3,0)*LOG(E833)+VLOOKUP(D833,'Species Codes'!B:E,4,0)*LOG(I833))),0),"")</f>
        <v/>
      </c>
      <c r="AA833" s="104" t="str">
        <f>IFERROR((VLOOKUP(D833,'Species Codes'!B:G,6,0)*Z833)/2000,"")</f>
        <v/>
      </c>
      <c r="AB833" s="104" t="e">
        <f>IF(Z833&gt;0,((IF(OR(D833="DF",D833="RA")=TRUE,EXP(VLOOKUP(D833,'Species Codes'!B:I,8,0)+VLOOKUP(D833,'Species Codes'!B:J,9,0)*(LN((E833*2.54)))),IF(OR(D833="PY",D833="RC",D833="WH",D833="NF")=TRUE,VLOOKUP(D833,'Species Codes'!B:I,8,0)+VLOOKUP(D833,'Species Codes'!B:J,9,0)*((E833*2.54)^2)*(I833*0.3048),IF(OR(D833="MD",D833="BM",D833="GA")=TRUE,((VLOOKUP(D833,'Species Codes'!B:I,8,0)*(((((E833*2.54)+VLOOKUP(D833,'Species Codes'!B:J,9,0))/VLOOKUP(D833,'Species Codes'!B:K,10,0))^VLOOKUP(D833,'Species Codes'!B:L,11,0))*((I833*0.3048)^VLOOKUP(D833,'Species Codes'!B:M,12,0))))-(VLOOKUP(D833,'Species Codes'!B:I,8,0)*((((E833*2.54)^VLOOKUP(D833,'Species Codes'!B:L,11,0))*((I833*0.3048)^VLOOKUP(D833,'Species Codes'!B:M,12,0))))))*35.3*VLOOKUP(D833,'Species Codes'!B:G,6,0)/2.2046,VLOOKUP(D833,'Species Codes'!B:I,8,0)+VLOOKUP(D833,'Species Codes'!B:J,9,0)*(((E833*2.54)/100)^2)*(I833*0.3048)))))*0.0011023),0)</f>
        <v>#N/A</v>
      </c>
      <c r="AC833" s="104" t="e">
        <f>IF(Z833&gt;0,((IF(OR(D833="RA",D833="OA",D833="OT",D833="UN",D833="PC"),EXP(VLOOKUP(D833,'Species Codes'!B:O,14,0)+VLOOKUP(D833,'Species Codes'!B:P,15,0)*LN((E833*2.54)))-EXP(VLOOKUP(D833,'Species Codes'!B:O,14,0)+VLOOKUP(D833,'Species Codes'!B:P,15,0)*LN((E833*2.54)))*(1/(VLOOKUP(D833,'Species Codes'!B:Q,16,0)+VLOOKUP(D833,'Species Codes'!B:R,17,0)*((E833*2.54)^VLOOKUP(D833,'Species Codes'!B:S,18,0)))),IF(OR(D833="BM",D833="MD",D833="OA"),EXP(VLOOKUP(D833,'Species Codes'!B:O,14,0)+VLOOKUP(D833,'Species Codes'!B:P,15,0)*LN((E833*2.54)))*(1-(1/(VLOOKUP(D833,'Species Codes'!B:Q,16,0)+VLOOKUP(D833,'Species Codes'!B:R,17,0)*((E833*2.54)^VLOOKUP(D833,'Species Codes'!B:S,18,0)))))/1000,IF(D833="DF",EXP(VLOOKUP(D833,'Species Codes'!B:O,14,0)+VLOOKUP(D833,'Species Codes'!B:P,15,0)*LN((E833*2.54))),VLOOKUP(D833,'Species Codes'!B:O,14,0)+VLOOKUP(D833,'Species Codes'!B:P,15,0)*(((E833*2.54)/100)^2)*(I833*0.3048)))))*0.0011023),0)</f>
        <v>#N/A</v>
      </c>
      <c r="AD833" s="104" t="e">
        <f t="shared" si="382"/>
        <v>#N/A</v>
      </c>
      <c r="AE833" s="104" t="e">
        <f t="shared" si="383"/>
        <v>#N/A</v>
      </c>
      <c r="AF833" s="104" t="e">
        <f>IF(AND(VLOOKUP($D833,Merchantability!$B:$C,2,0)="Yes",$E833&gt;=VLOOKUP($D833,Merchantability!$B:$D,3,0),$E833&lt;=VLOOKUP($D833,Merchantability!$B:$E,4,0)),AA833,0)</f>
        <v>#N/A</v>
      </c>
      <c r="AG833" s="104" t="e">
        <f>IF(AND(VLOOKUP($D833,Merchantability!$B:$C,2,0)="Yes",$E833&gt;=VLOOKUP($D833,Merchantability!$B:$D,3,0),$E833&lt;=VLOOKUP($D833,Merchantability!$B:$E,4,0)),AB833,0)</f>
        <v>#N/A</v>
      </c>
      <c r="AH833" s="104" t="e">
        <f>IF(AND(VLOOKUP($D833,Merchantability!$B:$C,2,0)="Yes",$E833&gt;=VLOOKUP($D833,Merchantability!$B:$D,3,0),$E833&lt;=VLOOKUP($D833,Merchantability!$B:$E,4,0)),AC833,0)</f>
        <v>#N/A</v>
      </c>
      <c r="AI833" s="104" t="e">
        <f t="shared" si="384"/>
        <v>#N/A</v>
      </c>
      <c r="AJ833" s="104" t="e">
        <f t="shared" si="385"/>
        <v>#VALUE!</v>
      </c>
      <c r="AK833" s="104" t="e">
        <f t="shared" si="386"/>
        <v>#N/A</v>
      </c>
      <c r="AL833" s="104" t="e">
        <f t="shared" si="387"/>
        <v>#N/A</v>
      </c>
      <c r="AM833" s="104" t="e">
        <f t="shared" si="388"/>
        <v>#N/A</v>
      </c>
      <c r="AN833" s="104" t="e">
        <f t="shared" si="372"/>
        <v>#N/A</v>
      </c>
      <c r="AO833" s="104" t="e">
        <f t="shared" si="373"/>
        <v>#N/A</v>
      </c>
      <c r="AP833" s="104" t="e">
        <f t="shared" si="374"/>
        <v>#N/A</v>
      </c>
      <c r="AQ833" s="104" t="e">
        <f t="shared" si="375"/>
        <v>#N/A</v>
      </c>
      <c r="AR833" s="105" t="str">
        <f t="shared" si="367"/>
        <v/>
      </c>
      <c r="AS833" s="105" t="str">
        <f t="shared" si="368"/>
        <v/>
      </c>
      <c r="AT833" s="108" t="str">
        <f t="shared" si="369"/>
        <v/>
      </c>
      <c r="AU833" s="108" t="str">
        <f t="shared" si="370"/>
        <v/>
      </c>
      <c r="AV833" s="107" t="str">
        <f>IF(ISNUMBER(O833),IF(VLOOKUP($A833,Stand!C:J,8,FALSE)="Short",AT833,AU833),"")</f>
        <v/>
      </c>
      <c r="AW833" s="109" t="str">
        <f t="shared" si="376"/>
        <v/>
      </c>
      <c r="AX833" s="109" t="str">
        <f t="shared" si="377"/>
        <v/>
      </c>
      <c r="AY833" s="112" t="str">
        <f>IF(ISNUMBER(O833),IF(AND(VLOOKUP($D833,Merchantability!$B:$C,2,0)="Yes",$E833&gt;=VLOOKUP($D833,Merchantability!$B:$D,3,0),$E833&lt;=VLOOKUP($D833,Merchantability!$B:$E,4,0)),(AV833*O833)*(1-$H833/100),""),"")</f>
        <v/>
      </c>
      <c r="AZ833" s="116"/>
      <c r="BA833" s="116"/>
      <c r="BB833" s="116"/>
      <c r="BE833" s="62"/>
      <c r="BF833" s="63"/>
    </row>
    <row r="834" spans="1:58" ht="12.75" customHeight="1" x14ac:dyDescent="0.25">
      <c r="A834" s="313"/>
      <c r="B834" s="328"/>
      <c r="C834" s="329"/>
      <c r="D834" s="328"/>
      <c r="E834" s="330"/>
      <c r="F834" s="328"/>
      <c r="G834" s="329"/>
      <c r="H834" s="329"/>
      <c r="I834" s="328"/>
      <c r="J834" s="383"/>
      <c r="K834" s="329"/>
      <c r="L834" s="329"/>
      <c r="M834" s="76"/>
      <c r="N834" s="103" t="str">
        <f>IF(A834="","",VLOOKUP(A834,Stand!C:K,9,0))</f>
        <v/>
      </c>
      <c r="O834" s="104" t="str">
        <f t="shared" ref="O834:O897" si="389">IF(E834&gt;0,IF(G834&gt;1,G834*(43560/(N834^2*3.14)),43560/(N834^2*3.14)),"")</f>
        <v/>
      </c>
      <c r="P834" s="105" t="str">
        <f t="shared" ref="P834:P897" si="390">IF(ISNUMBER(O834),E834*O834,"")</f>
        <v/>
      </c>
      <c r="Q834" s="105" t="str">
        <f t="shared" si="378"/>
        <v/>
      </c>
      <c r="R834" s="103" t="str">
        <f t="shared" ref="R834:R897" si="391">IF(ISNUMBER(O834),E834^2*0.005454*O834,"")</f>
        <v/>
      </c>
      <c r="S834" s="103" t="str">
        <f t="shared" ref="S834:S897" si="392">IF(ISNUMBER(O834),(E834/10)^1.7*O834,"")</f>
        <v/>
      </c>
      <c r="T834" s="106" t="str">
        <f t="shared" si="379"/>
        <v/>
      </c>
      <c r="U834" s="106" t="str">
        <f t="shared" si="380"/>
        <v/>
      </c>
      <c r="V834" s="106" t="str">
        <f t="shared" si="381"/>
        <v/>
      </c>
      <c r="W834" s="105" t="str">
        <f t="shared" ref="W834:W897" si="393">IF(AND(ISNUMBER(O834),I834&gt;0),I834/(E834/12),"")</f>
        <v/>
      </c>
      <c r="X834" s="104" t="str">
        <f t="shared" si="371"/>
        <v/>
      </c>
      <c r="Y834" s="104" t="str">
        <f t="array" ref="Y834">IFERROR(IF(ISNUMBER(O834),IF(COUNT(IF(A834=$A$2:$A$2427,IF(D834=$D$2:$D$2427,IF($X$2:$X$2427&gt;0,1))))&gt;0,SUM(IF(A834=$A$2:$A$2427,IF(D834=$D$2:$D$2427,$X$2:$X$2427)))/COUNT(IF(A834=$A$2:$A$2427,IF(D834=$D$2:$D$2427,IF(ISNUMBER($X$2:$X$2427),1)))),0),""),0)</f>
        <v/>
      </c>
      <c r="Z834" s="104" t="str">
        <f>IF(ISNUMBER(O834),IF(I834&gt;0,(10^(VLOOKUP(D834,'Species Codes'!B:C,2,0)+VLOOKUP(D834,'Species Codes'!B:D,3,0)*LOG(E834)+VLOOKUP(D834,'Species Codes'!B:E,4,0)*LOG(I834))),0),"")</f>
        <v/>
      </c>
      <c r="AA834" s="104" t="str">
        <f>IFERROR((VLOOKUP(D834,'Species Codes'!B:G,6,0)*Z834)/2000,"")</f>
        <v/>
      </c>
      <c r="AB834" s="104" t="e">
        <f>IF(Z834&gt;0,((IF(OR(D834="DF",D834="RA")=TRUE,EXP(VLOOKUP(D834,'Species Codes'!B:I,8,0)+VLOOKUP(D834,'Species Codes'!B:J,9,0)*(LN((E834*2.54)))),IF(OR(D834="PY",D834="RC",D834="WH",D834="NF")=TRUE,VLOOKUP(D834,'Species Codes'!B:I,8,0)+VLOOKUP(D834,'Species Codes'!B:J,9,0)*((E834*2.54)^2)*(I834*0.3048),IF(OR(D834="MD",D834="BM",D834="GA")=TRUE,((VLOOKUP(D834,'Species Codes'!B:I,8,0)*(((((E834*2.54)+VLOOKUP(D834,'Species Codes'!B:J,9,0))/VLOOKUP(D834,'Species Codes'!B:K,10,0))^VLOOKUP(D834,'Species Codes'!B:L,11,0))*((I834*0.3048)^VLOOKUP(D834,'Species Codes'!B:M,12,0))))-(VLOOKUP(D834,'Species Codes'!B:I,8,0)*((((E834*2.54)^VLOOKUP(D834,'Species Codes'!B:L,11,0))*((I834*0.3048)^VLOOKUP(D834,'Species Codes'!B:M,12,0))))))*35.3*VLOOKUP(D834,'Species Codes'!B:G,6,0)/2.2046,VLOOKUP(D834,'Species Codes'!B:I,8,0)+VLOOKUP(D834,'Species Codes'!B:J,9,0)*(((E834*2.54)/100)^2)*(I834*0.3048)))))*0.0011023),0)</f>
        <v>#N/A</v>
      </c>
      <c r="AC834" s="104" t="e">
        <f>IF(Z834&gt;0,((IF(OR(D834="RA",D834="OA",D834="OT",D834="UN",D834="PC"),EXP(VLOOKUP(D834,'Species Codes'!B:O,14,0)+VLOOKUP(D834,'Species Codes'!B:P,15,0)*LN((E834*2.54)))-EXP(VLOOKUP(D834,'Species Codes'!B:O,14,0)+VLOOKUP(D834,'Species Codes'!B:P,15,0)*LN((E834*2.54)))*(1/(VLOOKUP(D834,'Species Codes'!B:Q,16,0)+VLOOKUP(D834,'Species Codes'!B:R,17,0)*((E834*2.54)^VLOOKUP(D834,'Species Codes'!B:S,18,0)))),IF(OR(D834="BM",D834="MD",D834="OA"),EXP(VLOOKUP(D834,'Species Codes'!B:O,14,0)+VLOOKUP(D834,'Species Codes'!B:P,15,0)*LN((E834*2.54)))*(1-(1/(VLOOKUP(D834,'Species Codes'!B:Q,16,0)+VLOOKUP(D834,'Species Codes'!B:R,17,0)*((E834*2.54)^VLOOKUP(D834,'Species Codes'!B:S,18,0)))))/1000,IF(D834="DF",EXP(VLOOKUP(D834,'Species Codes'!B:O,14,0)+VLOOKUP(D834,'Species Codes'!B:P,15,0)*LN((E834*2.54))),VLOOKUP(D834,'Species Codes'!B:O,14,0)+VLOOKUP(D834,'Species Codes'!B:P,15,0)*(((E834*2.54)/100)^2)*(I834*0.3048)))))*0.0011023),0)</f>
        <v>#N/A</v>
      </c>
      <c r="AD834" s="104" t="e">
        <f t="shared" si="382"/>
        <v>#N/A</v>
      </c>
      <c r="AE834" s="104" t="e">
        <f t="shared" si="383"/>
        <v>#N/A</v>
      </c>
      <c r="AF834" s="104" t="e">
        <f>IF(AND(VLOOKUP($D834,Merchantability!$B:$C,2,0)="Yes",$E834&gt;=VLOOKUP($D834,Merchantability!$B:$D,3,0),$E834&lt;=VLOOKUP($D834,Merchantability!$B:$E,4,0)),AA834,0)</f>
        <v>#N/A</v>
      </c>
      <c r="AG834" s="104" t="e">
        <f>IF(AND(VLOOKUP($D834,Merchantability!$B:$C,2,0)="Yes",$E834&gt;=VLOOKUP($D834,Merchantability!$B:$D,3,0),$E834&lt;=VLOOKUP($D834,Merchantability!$B:$E,4,0)),AB834,0)</f>
        <v>#N/A</v>
      </c>
      <c r="AH834" s="104" t="e">
        <f>IF(AND(VLOOKUP($D834,Merchantability!$B:$C,2,0)="Yes",$E834&gt;=VLOOKUP($D834,Merchantability!$B:$D,3,0),$E834&lt;=VLOOKUP($D834,Merchantability!$B:$E,4,0)),AC834,0)</f>
        <v>#N/A</v>
      </c>
      <c r="AI834" s="104" t="e">
        <f t="shared" si="384"/>
        <v>#N/A</v>
      </c>
      <c r="AJ834" s="104" t="e">
        <f t="shared" si="385"/>
        <v>#VALUE!</v>
      </c>
      <c r="AK834" s="104" t="e">
        <f t="shared" si="386"/>
        <v>#N/A</v>
      </c>
      <c r="AL834" s="104" t="e">
        <f t="shared" si="387"/>
        <v>#N/A</v>
      </c>
      <c r="AM834" s="104" t="e">
        <f t="shared" si="388"/>
        <v>#N/A</v>
      </c>
      <c r="AN834" s="104" t="e">
        <f t="shared" si="372"/>
        <v>#N/A</v>
      </c>
      <c r="AO834" s="104" t="e">
        <f t="shared" si="373"/>
        <v>#N/A</v>
      </c>
      <c r="AP834" s="104" t="e">
        <f t="shared" si="374"/>
        <v>#N/A</v>
      </c>
      <c r="AQ834" s="104" t="e">
        <f t="shared" si="375"/>
        <v>#N/A</v>
      </c>
      <c r="AR834" s="105" t="str">
        <f t="shared" ref="AR834:AR897" si="394">IF(ISNUMBER(O834),IF(Y834&gt;0,((Y834*(E834^2*0.005454-0.087266))/0.912733),0),"")</f>
        <v/>
      </c>
      <c r="AS834" s="105" t="str">
        <f t="shared" ref="AS834:AS897" si="395">IF(ISNUMBER(O834),AR834*(0.993-0.993*(0.62^(E834-6))),"")</f>
        <v/>
      </c>
      <c r="AT834" s="108" t="str">
        <f t="shared" ref="AT834:AT897" si="396">IF(ISNUMBER(O834),IF(AS834&gt;0,IF(Y834&gt;0,(AS834*10^(0.174439+0.117594*(LOG(E834,10))*(LOG(Y834/0.912733,10))-8.210585/E834^2+0.236693*(LOG(Y834/0.912733,10))-0.00001345*(Y834/0.912733)^2-0.00001937*E834^2)),0),0),"")</f>
        <v/>
      </c>
      <c r="AU834" s="108" t="str">
        <f t="shared" ref="AU834:AU897" si="397">IF(ISNUMBER(O834),IF(AS834&gt;0,IF(Y834&gt;0,AT834*(1.001491-(6.92497/Y834)+(0.00001351*(E834^2))),0),0),"")</f>
        <v/>
      </c>
      <c r="AV834" s="107" t="str">
        <f>IF(ISNUMBER(O834),IF(VLOOKUP($A834,Stand!C:J,8,FALSE)="Short",AT834,AU834),"")</f>
        <v/>
      </c>
      <c r="AW834" s="109" t="str">
        <f t="shared" si="376"/>
        <v/>
      </c>
      <c r="AX834" s="109" t="str">
        <f t="shared" si="377"/>
        <v/>
      </c>
      <c r="AY834" s="112" t="str">
        <f>IF(ISNUMBER(O834),IF(AND(VLOOKUP($D834,Merchantability!$B:$C,2,0)="Yes",$E834&gt;=VLOOKUP($D834,Merchantability!$B:$D,3,0),$E834&lt;=VLOOKUP($D834,Merchantability!$B:$E,4,0)),(AV834*O834)*(1-$H834/100),""),"")</f>
        <v/>
      </c>
      <c r="AZ834" s="116"/>
      <c r="BA834" s="116"/>
      <c r="BB834" s="116"/>
      <c r="BE834" s="62"/>
      <c r="BF834" s="63"/>
    </row>
    <row r="835" spans="1:58" ht="12.75" customHeight="1" x14ac:dyDescent="0.25">
      <c r="A835" s="313"/>
      <c r="B835" s="328"/>
      <c r="C835" s="329"/>
      <c r="D835" s="328"/>
      <c r="E835" s="330"/>
      <c r="F835" s="328"/>
      <c r="G835" s="329"/>
      <c r="H835" s="329"/>
      <c r="I835" s="328"/>
      <c r="J835" s="383"/>
      <c r="K835" s="329"/>
      <c r="L835" s="329"/>
      <c r="M835" s="76"/>
      <c r="N835" s="103" t="str">
        <f>IF(A835="","",VLOOKUP(A835,Stand!C:K,9,0))</f>
        <v/>
      </c>
      <c r="O835" s="104" t="str">
        <f t="shared" si="389"/>
        <v/>
      </c>
      <c r="P835" s="105" t="str">
        <f t="shared" si="390"/>
        <v/>
      </c>
      <c r="Q835" s="105" t="str">
        <f t="shared" si="378"/>
        <v/>
      </c>
      <c r="R835" s="103" t="str">
        <f t="shared" si="391"/>
        <v/>
      </c>
      <c r="S835" s="103" t="str">
        <f t="shared" si="392"/>
        <v/>
      </c>
      <c r="T835" s="106" t="str">
        <f t="shared" si="379"/>
        <v/>
      </c>
      <c r="U835" s="106" t="str">
        <f t="shared" si="380"/>
        <v/>
      </c>
      <c r="V835" s="106" t="str">
        <f t="shared" si="381"/>
        <v/>
      </c>
      <c r="W835" s="105" t="str">
        <f t="shared" si="393"/>
        <v/>
      </c>
      <c r="X835" s="104" t="str">
        <f t="shared" ref="X835:X898" si="398">IF(ISNUMBER(O835),IF(I835&gt;0,IF(E835&gt;0,(0.912733*Z835)/(1.033*(1+1.382937*EXP(-4.015292*E835/10))*((E835^2)*0.005454+0.087266)-0.174533),""),""),"")</f>
        <v/>
      </c>
      <c r="Y835" s="104" t="str">
        <f t="array" ref="Y835">IFERROR(IF(ISNUMBER(O835),IF(COUNT(IF(A835=$A$2:$A$2427,IF(D835=$D$2:$D$2427,IF($X$2:$X$2427&gt;0,1))))&gt;0,SUM(IF(A835=$A$2:$A$2427,IF(D835=$D$2:$D$2427,$X$2:$X$2427)))/COUNT(IF(A835=$A$2:$A$2427,IF(D835=$D$2:$D$2427,IF(ISNUMBER($X$2:$X$2427),1)))),0),""),0)</f>
        <v/>
      </c>
      <c r="Z835" s="104" t="str">
        <f>IF(ISNUMBER(O835),IF(I835&gt;0,(10^(VLOOKUP(D835,'Species Codes'!B:C,2,0)+VLOOKUP(D835,'Species Codes'!B:D,3,0)*LOG(E835)+VLOOKUP(D835,'Species Codes'!B:E,4,0)*LOG(I835))),0),"")</f>
        <v/>
      </c>
      <c r="AA835" s="104" t="str">
        <f>IFERROR((VLOOKUP(D835,'Species Codes'!B:G,6,0)*Z835)/2000,"")</f>
        <v/>
      </c>
      <c r="AB835" s="104" t="e">
        <f>IF(Z835&gt;0,((IF(OR(D835="DF",D835="RA")=TRUE,EXP(VLOOKUP(D835,'Species Codes'!B:I,8,0)+VLOOKUP(D835,'Species Codes'!B:J,9,0)*(LN((E835*2.54)))),IF(OR(D835="PY",D835="RC",D835="WH",D835="NF")=TRUE,VLOOKUP(D835,'Species Codes'!B:I,8,0)+VLOOKUP(D835,'Species Codes'!B:J,9,0)*((E835*2.54)^2)*(I835*0.3048),IF(OR(D835="MD",D835="BM",D835="GA")=TRUE,((VLOOKUP(D835,'Species Codes'!B:I,8,0)*(((((E835*2.54)+VLOOKUP(D835,'Species Codes'!B:J,9,0))/VLOOKUP(D835,'Species Codes'!B:K,10,0))^VLOOKUP(D835,'Species Codes'!B:L,11,0))*((I835*0.3048)^VLOOKUP(D835,'Species Codes'!B:M,12,0))))-(VLOOKUP(D835,'Species Codes'!B:I,8,0)*((((E835*2.54)^VLOOKUP(D835,'Species Codes'!B:L,11,0))*((I835*0.3048)^VLOOKUP(D835,'Species Codes'!B:M,12,0))))))*35.3*VLOOKUP(D835,'Species Codes'!B:G,6,0)/2.2046,VLOOKUP(D835,'Species Codes'!B:I,8,0)+VLOOKUP(D835,'Species Codes'!B:J,9,0)*(((E835*2.54)/100)^2)*(I835*0.3048)))))*0.0011023),0)</f>
        <v>#N/A</v>
      </c>
      <c r="AC835" s="104" t="e">
        <f>IF(Z835&gt;0,((IF(OR(D835="RA",D835="OA",D835="OT",D835="UN",D835="PC"),EXP(VLOOKUP(D835,'Species Codes'!B:O,14,0)+VLOOKUP(D835,'Species Codes'!B:P,15,0)*LN((E835*2.54)))-EXP(VLOOKUP(D835,'Species Codes'!B:O,14,0)+VLOOKUP(D835,'Species Codes'!B:P,15,0)*LN((E835*2.54)))*(1/(VLOOKUP(D835,'Species Codes'!B:Q,16,0)+VLOOKUP(D835,'Species Codes'!B:R,17,0)*((E835*2.54)^VLOOKUP(D835,'Species Codes'!B:S,18,0)))),IF(OR(D835="BM",D835="MD",D835="OA"),EXP(VLOOKUP(D835,'Species Codes'!B:O,14,0)+VLOOKUP(D835,'Species Codes'!B:P,15,0)*LN((E835*2.54)))*(1-(1/(VLOOKUP(D835,'Species Codes'!B:Q,16,0)+VLOOKUP(D835,'Species Codes'!B:R,17,0)*((E835*2.54)^VLOOKUP(D835,'Species Codes'!B:S,18,0)))))/1000,IF(D835="DF",EXP(VLOOKUP(D835,'Species Codes'!B:O,14,0)+VLOOKUP(D835,'Species Codes'!B:P,15,0)*LN((E835*2.54))),VLOOKUP(D835,'Species Codes'!B:O,14,0)+VLOOKUP(D835,'Species Codes'!B:P,15,0)*(((E835*2.54)/100)^2)*(I835*0.3048)))))*0.0011023),0)</f>
        <v>#N/A</v>
      </c>
      <c r="AD835" s="104" t="e">
        <f t="shared" si="382"/>
        <v>#N/A</v>
      </c>
      <c r="AE835" s="104" t="e">
        <f t="shared" si="383"/>
        <v>#N/A</v>
      </c>
      <c r="AF835" s="104" t="e">
        <f>IF(AND(VLOOKUP($D835,Merchantability!$B:$C,2,0)="Yes",$E835&gt;=VLOOKUP($D835,Merchantability!$B:$D,3,0),$E835&lt;=VLOOKUP($D835,Merchantability!$B:$E,4,0)),AA835,0)</f>
        <v>#N/A</v>
      </c>
      <c r="AG835" s="104" t="e">
        <f>IF(AND(VLOOKUP($D835,Merchantability!$B:$C,2,0)="Yes",$E835&gt;=VLOOKUP($D835,Merchantability!$B:$D,3,0),$E835&lt;=VLOOKUP($D835,Merchantability!$B:$E,4,0)),AB835,0)</f>
        <v>#N/A</v>
      </c>
      <c r="AH835" s="104" t="e">
        <f>IF(AND(VLOOKUP($D835,Merchantability!$B:$C,2,0)="Yes",$E835&gt;=VLOOKUP($D835,Merchantability!$B:$D,3,0),$E835&lt;=VLOOKUP($D835,Merchantability!$B:$E,4,0)),AC835,0)</f>
        <v>#N/A</v>
      </c>
      <c r="AI835" s="104" t="e">
        <f t="shared" si="384"/>
        <v>#N/A</v>
      </c>
      <c r="AJ835" s="104" t="e">
        <f t="shared" si="385"/>
        <v>#VALUE!</v>
      </c>
      <c r="AK835" s="104" t="e">
        <f t="shared" si="386"/>
        <v>#N/A</v>
      </c>
      <c r="AL835" s="104" t="e">
        <f t="shared" si="387"/>
        <v>#N/A</v>
      </c>
      <c r="AM835" s="104" t="e">
        <f t="shared" si="388"/>
        <v>#N/A</v>
      </c>
      <c r="AN835" s="104" t="e">
        <f t="shared" ref="AN835:AN898" si="399">AF835*$O835</f>
        <v>#N/A</v>
      </c>
      <c r="AO835" s="104" t="e">
        <f t="shared" ref="AO835:AO898" si="400">AG835*$O835</f>
        <v>#N/A</v>
      </c>
      <c r="AP835" s="104" t="e">
        <f t="shared" ref="AP835:AP898" si="401">AH835*$O835</f>
        <v>#N/A</v>
      </c>
      <c r="AQ835" s="104" t="e">
        <f t="shared" ref="AQ835:AQ898" si="402">SUM(AN835:AP835)</f>
        <v>#N/A</v>
      </c>
      <c r="AR835" s="105" t="str">
        <f t="shared" si="394"/>
        <v/>
      </c>
      <c r="AS835" s="105" t="str">
        <f t="shared" si="395"/>
        <v/>
      </c>
      <c r="AT835" s="108" t="str">
        <f t="shared" si="396"/>
        <v/>
      </c>
      <c r="AU835" s="108" t="str">
        <f t="shared" si="397"/>
        <v/>
      </c>
      <c r="AV835" s="107" t="str">
        <f>IF(ISNUMBER(O835),IF(VLOOKUP($A835,Stand!C:J,8,FALSE)="Short",AT835,AU835),"")</f>
        <v/>
      </c>
      <c r="AW835" s="109" t="str">
        <f t="shared" ref="AW835:AW898" si="403">IF(ISNUMBER(O835),AV835*O835,"")</f>
        <v/>
      </c>
      <c r="AX835" s="109" t="str">
        <f t="shared" ref="AX835:AX898" si="404">IF(ISNUMBER(O835),AW835*(1-$H835/100),"")</f>
        <v/>
      </c>
      <c r="AY835" s="112" t="str">
        <f>IF(ISNUMBER(O835),IF(AND(VLOOKUP($D835,Merchantability!$B:$C,2,0)="Yes",$E835&gt;=VLOOKUP($D835,Merchantability!$B:$D,3,0),$E835&lt;=VLOOKUP($D835,Merchantability!$B:$E,4,0)),(AV835*O835)*(1-$H835/100),""),"")</f>
        <v/>
      </c>
      <c r="AZ835" s="116"/>
      <c r="BA835" s="116"/>
      <c r="BB835" s="116"/>
      <c r="BE835" s="62"/>
      <c r="BF835" s="63"/>
    </row>
    <row r="836" spans="1:58" ht="12.75" customHeight="1" x14ac:dyDescent="0.25">
      <c r="A836" s="313"/>
      <c r="B836" s="328"/>
      <c r="C836" s="329"/>
      <c r="D836" s="328"/>
      <c r="E836" s="330"/>
      <c r="F836" s="328"/>
      <c r="G836" s="329"/>
      <c r="H836" s="329"/>
      <c r="I836" s="328"/>
      <c r="J836" s="383"/>
      <c r="K836" s="329"/>
      <c r="L836" s="329"/>
      <c r="M836" s="76"/>
      <c r="N836" s="103" t="str">
        <f>IF(A836="","",VLOOKUP(A836,Stand!C:K,9,0))</f>
        <v/>
      </c>
      <c r="O836" s="104" t="str">
        <f t="shared" si="389"/>
        <v/>
      </c>
      <c r="P836" s="105" t="str">
        <f t="shared" si="390"/>
        <v/>
      </c>
      <c r="Q836" s="105" t="str">
        <f t="shared" si="378"/>
        <v/>
      </c>
      <c r="R836" s="103" t="str">
        <f t="shared" si="391"/>
        <v/>
      </c>
      <c r="S836" s="103" t="str">
        <f t="shared" si="392"/>
        <v/>
      </c>
      <c r="T836" s="106" t="str">
        <f t="shared" si="379"/>
        <v/>
      </c>
      <c r="U836" s="106" t="str">
        <f t="shared" si="380"/>
        <v/>
      </c>
      <c r="V836" s="106" t="str">
        <f t="shared" si="381"/>
        <v/>
      </c>
      <c r="W836" s="105" t="str">
        <f t="shared" si="393"/>
        <v/>
      </c>
      <c r="X836" s="104" t="str">
        <f t="shared" si="398"/>
        <v/>
      </c>
      <c r="Y836" s="104" t="str">
        <f t="array" ref="Y836">IFERROR(IF(ISNUMBER(O836),IF(COUNT(IF(A836=$A$2:$A$2427,IF(D836=$D$2:$D$2427,IF($X$2:$X$2427&gt;0,1))))&gt;0,SUM(IF(A836=$A$2:$A$2427,IF(D836=$D$2:$D$2427,$X$2:$X$2427)))/COUNT(IF(A836=$A$2:$A$2427,IF(D836=$D$2:$D$2427,IF(ISNUMBER($X$2:$X$2427),1)))),0),""),0)</f>
        <v/>
      </c>
      <c r="Z836" s="104" t="str">
        <f>IF(ISNUMBER(O836),IF(I836&gt;0,(10^(VLOOKUP(D836,'Species Codes'!B:C,2,0)+VLOOKUP(D836,'Species Codes'!B:D,3,0)*LOG(E836)+VLOOKUP(D836,'Species Codes'!B:E,4,0)*LOG(I836))),0),"")</f>
        <v/>
      </c>
      <c r="AA836" s="104" t="str">
        <f>IFERROR((VLOOKUP(D836,'Species Codes'!B:G,6,0)*Z836)/2000,"")</f>
        <v/>
      </c>
      <c r="AB836" s="104" t="e">
        <f>IF(Z836&gt;0,((IF(OR(D836="DF",D836="RA")=TRUE,EXP(VLOOKUP(D836,'Species Codes'!B:I,8,0)+VLOOKUP(D836,'Species Codes'!B:J,9,0)*(LN((E836*2.54)))),IF(OR(D836="PY",D836="RC",D836="WH",D836="NF")=TRUE,VLOOKUP(D836,'Species Codes'!B:I,8,0)+VLOOKUP(D836,'Species Codes'!B:J,9,0)*((E836*2.54)^2)*(I836*0.3048),IF(OR(D836="MD",D836="BM",D836="GA")=TRUE,((VLOOKUP(D836,'Species Codes'!B:I,8,0)*(((((E836*2.54)+VLOOKUP(D836,'Species Codes'!B:J,9,0))/VLOOKUP(D836,'Species Codes'!B:K,10,0))^VLOOKUP(D836,'Species Codes'!B:L,11,0))*((I836*0.3048)^VLOOKUP(D836,'Species Codes'!B:M,12,0))))-(VLOOKUP(D836,'Species Codes'!B:I,8,0)*((((E836*2.54)^VLOOKUP(D836,'Species Codes'!B:L,11,0))*((I836*0.3048)^VLOOKUP(D836,'Species Codes'!B:M,12,0))))))*35.3*VLOOKUP(D836,'Species Codes'!B:G,6,0)/2.2046,VLOOKUP(D836,'Species Codes'!B:I,8,0)+VLOOKUP(D836,'Species Codes'!B:J,9,0)*(((E836*2.54)/100)^2)*(I836*0.3048)))))*0.0011023),0)</f>
        <v>#N/A</v>
      </c>
      <c r="AC836" s="104" t="e">
        <f>IF(Z836&gt;0,((IF(OR(D836="RA",D836="OA",D836="OT",D836="UN",D836="PC"),EXP(VLOOKUP(D836,'Species Codes'!B:O,14,0)+VLOOKUP(D836,'Species Codes'!B:P,15,0)*LN((E836*2.54)))-EXP(VLOOKUP(D836,'Species Codes'!B:O,14,0)+VLOOKUP(D836,'Species Codes'!B:P,15,0)*LN((E836*2.54)))*(1/(VLOOKUP(D836,'Species Codes'!B:Q,16,0)+VLOOKUP(D836,'Species Codes'!B:R,17,0)*((E836*2.54)^VLOOKUP(D836,'Species Codes'!B:S,18,0)))),IF(OR(D836="BM",D836="MD",D836="OA"),EXP(VLOOKUP(D836,'Species Codes'!B:O,14,0)+VLOOKUP(D836,'Species Codes'!B:P,15,0)*LN((E836*2.54)))*(1-(1/(VLOOKUP(D836,'Species Codes'!B:Q,16,0)+VLOOKUP(D836,'Species Codes'!B:R,17,0)*((E836*2.54)^VLOOKUP(D836,'Species Codes'!B:S,18,0)))))/1000,IF(D836="DF",EXP(VLOOKUP(D836,'Species Codes'!B:O,14,0)+VLOOKUP(D836,'Species Codes'!B:P,15,0)*LN((E836*2.54))),VLOOKUP(D836,'Species Codes'!B:O,14,0)+VLOOKUP(D836,'Species Codes'!B:P,15,0)*(((E836*2.54)/100)^2)*(I836*0.3048)))))*0.0011023),0)</f>
        <v>#N/A</v>
      </c>
      <c r="AD836" s="104" t="e">
        <f t="shared" si="382"/>
        <v>#N/A</v>
      </c>
      <c r="AE836" s="104" t="e">
        <f t="shared" si="383"/>
        <v>#N/A</v>
      </c>
      <c r="AF836" s="104" t="e">
        <f>IF(AND(VLOOKUP($D836,Merchantability!$B:$C,2,0)="Yes",$E836&gt;=VLOOKUP($D836,Merchantability!$B:$D,3,0),$E836&lt;=VLOOKUP($D836,Merchantability!$B:$E,4,0)),AA836,0)</f>
        <v>#N/A</v>
      </c>
      <c r="AG836" s="104" t="e">
        <f>IF(AND(VLOOKUP($D836,Merchantability!$B:$C,2,0)="Yes",$E836&gt;=VLOOKUP($D836,Merchantability!$B:$D,3,0),$E836&lt;=VLOOKUP($D836,Merchantability!$B:$E,4,0)),AB836,0)</f>
        <v>#N/A</v>
      </c>
      <c r="AH836" s="104" t="e">
        <f>IF(AND(VLOOKUP($D836,Merchantability!$B:$C,2,0)="Yes",$E836&gt;=VLOOKUP($D836,Merchantability!$B:$D,3,0),$E836&lt;=VLOOKUP($D836,Merchantability!$B:$E,4,0)),AC836,0)</f>
        <v>#N/A</v>
      </c>
      <c r="AI836" s="104" t="e">
        <f t="shared" si="384"/>
        <v>#N/A</v>
      </c>
      <c r="AJ836" s="104" t="e">
        <f t="shared" si="385"/>
        <v>#VALUE!</v>
      </c>
      <c r="AK836" s="104" t="e">
        <f t="shared" si="386"/>
        <v>#N/A</v>
      </c>
      <c r="AL836" s="104" t="e">
        <f t="shared" si="387"/>
        <v>#N/A</v>
      </c>
      <c r="AM836" s="104" t="e">
        <f t="shared" si="388"/>
        <v>#N/A</v>
      </c>
      <c r="AN836" s="104" t="e">
        <f t="shared" si="399"/>
        <v>#N/A</v>
      </c>
      <c r="AO836" s="104" t="e">
        <f t="shared" si="400"/>
        <v>#N/A</v>
      </c>
      <c r="AP836" s="104" t="e">
        <f t="shared" si="401"/>
        <v>#N/A</v>
      </c>
      <c r="AQ836" s="104" t="e">
        <f t="shared" si="402"/>
        <v>#N/A</v>
      </c>
      <c r="AR836" s="105" t="str">
        <f t="shared" si="394"/>
        <v/>
      </c>
      <c r="AS836" s="105" t="str">
        <f t="shared" si="395"/>
        <v/>
      </c>
      <c r="AT836" s="108" t="str">
        <f t="shared" si="396"/>
        <v/>
      </c>
      <c r="AU836" s="108" t="str">
        <f t="shared" si="397"/>
        <v/>
      </c>
      <c r="AV836" s="107" t="str">
        <f>IF(ISNUMBER(O836),IF(VLOOKUP($A836,Stand!C:J,8,FALSE)="Short",AT836,AU836),"")</f>
        <v/>
      </c>
      <c r="AW836" s="109" t="str">
        <f t="shared" si="403"/>
        <v/>
      </c>
      <c r="AX836" s="109" t="str">
        <f t="shared" si="404"/>
        <v/>
      </c>
      <c r="AY836" s="112" t="str">
        <f>IF(ISNUMBER(O836),IF(AND(VLOOKUP($D836,Merchantability!$B:$C,2,0)="Yes",$E836&gt;=VLOOKUP($D836,Merchantability!$B:$D,3,0),$E836&lt;=VLOOKUP($D836,Merchantability!$B:$E,4,0)),(AV836*O836)*(1-$H836/100),""),"")</f>
        <v/>
      </c>
      <c r="AZ836" s="116"/>
      <c r="BA836" s="116"/>
      <c r="BB836" s="116"/>
      <c r="BE836" s="62"/>
      <c r="BF836" s="63"/>
    </row>
    <row r="837" spans="1:58" ht="12.75" customHeight="1" x14ac:dyDescent="0.25">
      <c r="A837" s="313"/>
      <c r="B837" s="328"/>
      <c r="C837" s="329"/>
      <c r="D837" s="328"/>
      <c r="E837" s="330"/>
      <c r="F837" s="328"/>
      <c r="G837" s="329"/>
      <c r="H837" s="329"/>
      <c r="I837" s="328"/>
      <c r="J837" s="383"/>
      <c r="K837" s="329"/>
      <c r="L837" s="329"/>
      <c r="M837" s="76"/>
      <c r="N837" s="103" t="str">
        <f>IF(A837="","",VLOOKUP(A837,Stand!C:K,9,0))</f>
        <v/>
      </c>
      <c r="O837" s="104" t="str">
        <f t="shared" si="389"/>
        <v/>
      </c>
      <c r="P837" s="105" t="str">
        <f t="shared" si="390"/>
        <v/>
      </c>
      <c r="Q837" s="105" t="str">
        <f t="shared" si="378"/>
        <v/>
      </c>
      <c r="R837" s="103" t="str">
        <f t="shared" si="391"/>
        <v/>
      </c>
      <c r="S837" s="103" t="str">
        <f t="shared" si="392"/>
        <v/>
      </c>
      <c r="T837" s="106" t="str">
        <f t="shared" si="379"/>
        <v/>
      </c>
      <c r="U837" s="106" t="str">
        <f t="shared" si="380"/>
        <v/>
      </c>
      <c r="V837" s="106" t="str">
        <f t="shared" si="381"/>
        <v/>
      </c>
      <c r="W837" s="105" t="str">
        <f t="shared" si="393"/>
        <v/>
      </c>
      <c r="X837" s="104" t="str">
        <f t="shared" si="398"/>
        <v/>
      </c>
      <c r="Y837" s="104" t="str">
        <f t="array" ref="Y837">IFERROR(IF(ISNUMBER(O837),IF(COUNT(IF(A837=$A$2:$A$2427,IF(D837=$D$2:$D$2427,IF($X$2:$X$2427&gt;0,1))))&gt;0,SUM(IF(A837=$A$2:$A$2427,IF(D837=$D$2:$D$2427,$X$2:$X$2427)))/COUNT(IF(A837=$A$2:$A$2427,IF(D837=$D$2:$D$2427,IF(ISNUMBER($X$2:$X$2427),1)))),0),""),0)</f>
        <v/>
      </c>
      <c r="Z837" s="104" t="str">
        <f>IF(ISNUMBER(O837),IF(I837&gt;0,(10^(VLOOKUP(D837,'Species Codes'!B:C,2,0)+VLOOKUP(D837,'Species Codes'!B:D,3,0)*LOG(E837)+VLOOKUP(D837,'Species Codes'!B:E,4,0)*LOG(I837))),0),"")</f>
        <v/>
      </c>
      <c r="AA837" s="104" t="str">
        <f>IFERROR((VLOOKUP(D837,'Species Codes'!B:G,6,0)*Z837)/2000,"")</f>
        <v/>
      </c>
      <c r="AB837" s="104" t="e">
        <f>IF(Z837&gt;0,((IF(OR(D837="DF",D837="RA")=TRUE,EXP(VLOOKUP(D837,'Species Codes'!B:I,8,0)+VLOOKUP(D837,'Species Codes'!B:J,9,0)*(LN((E837*2.54)))),IF(OR(D837="PY",D837="RC",D837="WH",D837="NF")=TRUE,VLOOKUP(D837,'Species Codes'!B:I,8,0)+VLOOKUP(D837,'Species Codes'!B:J,9,0)*((E837*2.54)^2)*(I837*0.3048),IF(OR(D837="MD",D837="BM",D837="GA")=TRUE,((VLOOKUP(D837,'Species Codes'!B:I,8,0)*(((((E837*2.54)+VLOOKUP(D837,'Species Codes'!B:J,9,0))/VLOOKUP(D837,'Species Codes'!B:K,10,0))^VLOOKUP(D837,'Species Codes'!B:L,11,0))*((I837*0.3048)^VLOOKUP(D837,'Species Codes'!B:M,12,0))))-(VLOOKUP(D837,'Species Codes'!B:I,8,0)*((((E837*2.54)^VLOOKUP(D837,'Species Codes'!B:L,11,0))*((I837*0.3048)^VLOOKUP(D837,'Species Codes'!B:M,12,0))))))*35.3*VLOOKUP(D837,'Species Codes'!B:G,6,0)/2.2046,VLOOKUP(D837,'Species Codes'!B:I,8,0)+VLOOKUP(D837,'Species Codes'!B:J,9,0)*(((E837*2.54)/100)^2)*(I837*0.3048)))))*0.0011023),0)</f>
        <v>#N/A</v>
      </c>
      <c r="AC837" s="104" t="e">
        <f>IF(Z837&gt;0,((IF(OR(D837="RA",D837="OA",D837="OT",D837="UN",D837="PC"),EXP(VLOOKUP(D837,'Species Codes'!B:O,14,0)+VLOOKUP(D837,'Species Codes'!B:P,15,0)*LN((E837*2.54)))-EXP(VLOOKUP(D837,'Species Codes'!B:O,14,0)+VLOOKUP(D837,'Species Codes'!B:P,15,0)*LN((E837*2.54)))*(1/(VLOOKUP(D837,'Species Codes'!B:Q,16,0)+VLOOKUP(D837,'Species Codes'!B:R,17,0)*((E837*2.54)^VLOOKUP(D837,'Species Codes'!B:S,18,0)))),IF(OR(D837="BM",D837="MD",D837="OA"),EXP(VLOOKUP(D837,'Species Codes'!B:O,14,0)+VLOOKUP(D837,'Species Codes'!B:P,15,0)*LN((E837*2.54)))*(1-(1/(VLOOKUP(D837,'Species Codes'!B:Q,16,0)+VLOOKUP(D837,'Species Codes'!B:R,17,0)*((E837*2.54)^VLOOKUP(D837,'Species Codes'!B:S,18,0)))))/1000,IF(D837="DF",EXP(VLOOKUP(D837,'Species Codes'!B:O,14,0)+VLOOKUP(D837,'Species Codes'!B:P,15,0)*LN((E837*2.54))),VLOOKUP(D837,'Species Codes'!B:O,14,0)+VLOOKUP(D837,'Species Codes'!B:P,15,0)*(((E837*2.54)/100)^2)*(I837*0.3048)))))*0.0011023),0)</f>
        <v>#N/A</v>
      </c>
      <c r="AD837" s="104" t="e">
        <f t="shared" si="382"/>
        <v>#N/A</v>
      </c>
      <c r="AE837" s="104" t="e">
        <f t="shared" si="383"/>
        <v>#N/A</v>
      </c>
      <c r="AF837" s="104" t="e">
        <f>IF(AND(VLOOKUP($D837,Merchantability!$B:$C,2,0)="Yes",$E837&gt;=VLOOKUP($D837,Merchantability!$B:$D,3,0),$E837&lt;=VLOOKUP($D837,Merchantability!$B:$E,4,0)),AA837,0)</f>
        <v>#N/A</v>
      </c>
      <c r="AG837" s="104" t="e">
        <f>IF(AND(VLOOKUP($D837,Merchantability!$B:$C,2,0)="Yes",$E837&gt;=VLOOKUP($D837,Merchantability!$B:$D,3,0),$E837&lt;=VLOOKUP($D837,Merchantability!$B:$E,4,0)),AB837,0)</f>
        <v>#N/A</v>
      </c>
      <c r="AH837" s="104" t="e">
        <f>IF(AND(VLOOKUP($D837,Merchantability!$B:$C,2,0)="Yes",$E837&gt;=VLOOKUP($D837,Merchantability!$B:$D,3,0),$E837&lt;=VLOOKUP($D837,Merchantability!$B:$E,4,0)),AC837,0)</f>
        <v>#N/A</v>
      </c>
      <c r="AI837" s="104" t="e">
        <f t="shared" si="384"/>
        <v>#N/A</v>
      </c>
      <c r="AJ837" s="104" t="e">
        <f t="shared" si="385"/>
        <v>#VALUE!</v>
      </c>
      <c r="AK837" s="104" t="e">
        <f t="shared" si="386"/>
        <v>#N/A</v>
      </c>
      <c r="AL837" s="104" t="e">
        <f t="shared" si="387"/>
        <v>#N/A</v>
      </c>
      <c r="AM837" s="104" t="e">
        <f t="shared" si="388"/>
        <v>#N/A</v>
      </c>
      <c r="AN837" s="104" t="e">
        <f t="shared" si="399"/>
        <v>#N/A</v>
      </c>
      <c r="AO837" s="104" t="e">
        <f t="shared" si="400"/>
        <v>#N/A</v>
      </c>
      <c r="AP837" s="104" t="e">
        <f t="shared" si="401"/>
        <v>#N/A</v>
      </c>
      <c r="AQ837" s="104" t="e">
        <f t="shared" si="402"/>
        <v>#N/A</v>
      </c>
      <c r="AR837" s="105" t="str">
        <f t="shared" si="394"/>
        <v/>
      </c>
      <c r="AS837" s="105" t="str">
        <f t="shared" si="395"/>
        <v/>
      </c>
      <c r="AT837" s="108" t="str">
        <f t="shared" si="396"/>
        <v/>
      </c>
      <c r="AU837" s="108" t="str">
        <f t="shared" si="397"/>
        <v/>
      </c>
      <c r="AV837" s="107" t="str">
        <f>IF(ISNUMBER(O837),IF(VLOOKUP($A837,Stand!C:J,8,FALSE)="Short",AT837,AU837),"")</f>
        <v/>
      </c>
      <c r="AW837" s="109" t="str">
        <f t="shared" si="403"/>
        <v/>
      </c>
      <c r="AX837" s="109" t="str">
        <f t="shared" si="404"/>
        <v/>
      </c>
      <c r="AY837" s="112" t="str">
        <f>IF(ISNUMBER(O837),IF(AND(VLOOKUP($D837,Merchantability!$B:$C,2,0)="Yes",$E837&gt;=VLOOKUP($D837,Merchantability!$B:$D,3,0),$E837&lt;=VLOOKUP($D837,Merchantability!$B:$E,4,0)),(AV837*O837)*(1-$H837/100),""),"")</f>
        <v/>
      </c>
      <c r="AZ837" s="116"/>
      <c r="BA837" s="116"/>
      <c r="BB837" s="116"/>
      <c r="BE837" s="62"/>
      <c r="BF837" s="63"/>
    </row>
    <row r="838" spans="1:58" ht="12.75" customHeight="1" x14ac:dyDescent="0.25">
      <c r="A838" s="313"/>
      <c r="B838" s="328"/>
      <c r="C838" s="329"/>
      <c r="D838" s="328"/>
      <c r="E838" s="330"/>
      <c r="F838" s="328"/>
      <c r="G838" s="329"/>
      <c r="H838" s="329"/>
      <c r="I838" s="328"/>
      <c r="J838" s="383"/>
      <c r="K838" s="329"/>
      <c r="L838" s="329"/>
      <c r="M838" s="76"/>
      <c r="N838" s="103" t="str">
        <f>IF(A838="","",VLOOKUP(A838,Stand!C:K,9,0))</f>
        <v/>
      </c>
      <c r="O838" s="104" t="str">
        <f t="shared" si="389"/>
        <v/>
      </c>
      <c r="P838" s="105" t="str">
        <f t="shared" si="390"/>
        <v/>
      </c>
      <c r="Q838" s="105" t="str">
        <f t="shared" si="378"/>
        <v/>
      </c>
      <c r="R838" s="103" t="str">
        <f t="shared" si="391"/>
        <v/>
      </c>
      <c r="S838" s="103" t="str">
        <f t="shared" si="392"/>
        <v/>
      </c>
      <c r="T838" s="106" t="str">
        <f t="shared" si="379"/>
        <v/>
      </c>
      <c r="U838" s="106" t="str">
        <f t="shared" si="380"/>
        <v/>
      </c>
      <c r="V838" s="106" t="str">
        <f t="shared" si="381"/>
        <v/>
      </c>
      <c r="W838" s="105" t="str">
        <f t="shared" si="393"/>
        <v/>
      </c>
      <c r="X838" s="104" t="str">
        <f t="shared" si="398"/>
        <v/>
      </c>
      <c r="Y838" s="104" t="str">
        <f t="array" ref="Y838">IFERROR(IF(ISNUMBER(O838),IF(COUNT(IF(A838=$A$2:$A$2427,IF(D838=$D$2:$D$2427,IF($X$2:$X$2427&gt;0,1))))&gt;0,SUM(IF(A838=$A$2:$A$2427,IF(D838=$D$2:$D$2427,$X$2:$X$2427)))/COUNT(IF(A838=$A$2:$A$2427,IF(D838=$D$2:$D$2427,IF(ISNUMBER($X$2:$X$2427),1)))),0),""),0)</f>
        <v/>
      </c>
      <c r="Z838" s="104" t="str">
        <f>IF(ISNUMBER(O838),IF(I838&gt;0,(10^(VLOOKUP(D838,'Species Codes'!B:C,2,0)+VLOOKUP(D838,'Species Codes'!B:D,3,0)*LOG(E838)+VLOOKUP(D838,'Species Codes'!B:E,4,0)*LOG(I838))),0),"")</f>
        <v/>
      </c>
      <c r="AA838" s="104" t="str">
        <f>IFERROR((VLOOKUP(D838,'Species Codes'!B:G,6,0)*Z838)/2000,"")</f>
        <v/>
      </c>
      <c r="AB838" s="104" t="e">
        <f>IF(Z838&gt;0,((IF(OR(D838="DF",D838="RA")=TRUE,EXP(VLOOKUP(D838,'Species Codes'!B:I,8,0)+VLOOKUP(D838,'Species Codes'!B:J,9,0)*(LN((E838*2.54)))),IF(OR(D838="PY",D838="RC",D838="WH",D838="NF")=TRUE,VLOOKUP(D838,'Species Codes'!B:I,8,0)+VLOOKUP(D838,'Species Codes'!B:J,9,0)*((E838*2.54)^2)*(I838*0.3048),IF(OR(D838="MD",D838="BM",D838="GA")=TRUE,((VLOOKUP(D838,'Species Codes'!B:I,8,0)*(((((E838*2.54)+VLOOKUP(D838,'Species Codes'!B:J,9,0))/VLOOKUP(D838,'Species Codes'!B:K,10,0))^VLOOKUP(D838,'Species Codes'!B:L,11,0))*((I838*0.3048)^VLOOKUP(D838,'Species Codes'!B:M,12,0))))-(VLOOKUP(D838,'Species Codes'!B:I,8,0)*((((E838*2.54)^VLOOKUP(D838,'Species Codes'!B:L,11,0))*((I838*0.3048)^VLOOKUP(D838,'Species Codes'!B:M,12,0))))))*35.3*VLOOKUP(D838,'Species Codes'!B:G,6,0)/2.2046,VLOOKUP(D838,'Species Codes'!B:I,8,0)+VLOOKUP(D838,'Species Codes'!B:J,9,0)*(((E838*2.54)/100)^2)*(I838*0.3048)))))*0.0011023),0)</f>
        <v>#N/A</v>
      </c>
      <c r="AC838" s="104" t="e">
        <f>IF(Z838&gt;0,((IF(OR(D838="RA",D838="OA",D838="OT",D838="UN",D838="PC"),EXP(VLOOKUP(D838,'Species Codes'!B:O,14,0)+VLOOKUP(D838,'Species Codes'!B:P,15,0)*LN((E838*2.54)))-EXP(VLOOKUP(D838,'Species Codes'!B:O,14,0)+VLOOKUP(D838,'Species Codes'!B:P,15,0)*LN((E838*2.54)))*(1/(VLOOKUP(D838,'Species Codes'!B:Q,16,0)+VLOOKUP(D838,'Species Codes'!B:R,17,0)*((E838*2.54)^VLOOKUP(D838,'Species Codes'!B:S,18,0)))),IF(OR(D838="BM",D838="MD",D838="OA"),EXP(VLOOKUP(D838,'Species Codes'!B:O,14,0)+VLOOKUP(D838,'Species Codes'!B:P,15,0)*LN((E838*2.54)))*(1-(1/(VLOOKUP(D838,'Species Codes'!B:Q,16,0)+VLOOKUP(D838,'Species Codes'!B:R,17,0)*((E838*2.54)^VLOOKUP(D838,'Species Codes'!B:S,18,0)))))/1000,IF(D838="DF",EXP(VLOOKUP(D838,'Species Codes'!B:O,14,0)+VLOOKUP(D838,'Species Codes'!B:P,15,0)*LN((E838*2.54))),VLOOKUP(D838,'Species Codes'!B:O,14,0)+VLOOKUP(D838,'Species Codes'!B:P,15,0)*(((E838*2.54)/100)^2)*(I838*0.3048)))))*0.0011023),0)</f>
        <v>#N/A</v>
      </c>
      <c r="AD838" s="104" t="e">
        <f t="shared" si="382"/>
        <v>#N/A</v>
      </c>
      <c r="AE838" s="104" t="e">
        <f t="shared" si="383"/>
        <v>#N/A</v>
      </c>
      <c r="AF838" s="104" t="e">
        <f>IF(AND(VLOOKUP($D838,Merchantability!$B:$C,2,0)="Yes",$E838&gt;=VLOOKUP($D838,Merchantability!$B:$D,3,0),$E838&lt;=VLOOKUP($D838,Merchantability!$B:$E,4,0)),AA838,0)</f>
        <v>#N/A</v>
      </c>
      <c r="AG838" s="104" t="e">
        <f>IF(AND(VLOOKUP($D838,Merchantability!$B:$C,2,0)="Yes",$E838&gt;=VLOOKUP($D838,Merchantability!$B:$D,3,0),$E838&lt;=VLOOKUP($D838,Merchantability!$B:$E,4,0)),AB838,0)</f>
        <v>#N/A</v>
      </c>
      <c r="AH838" s="104" t="e">
        <f>IF(AND(VLOOKUP($D838,Merchantability!$B:$C,2,0)="Yes",$E838&gt;=VLOOKUP($D838,Merchantability!$B:$D,3,0),$E838&lt;=VLOOKUP($D838,Merchantability!$B:$E,4,0)),AC838,0)</f>
        <v>#N/A</v>
      </c>
      <c r="AI838" s="104" t="e">
        <f t="shared" si="384"/>
        <v>#N/A</v>
      </c>
      <c r="AJ838" s="104" t="e">
        <f t="shared" si="385"/>
        <v>#VALUE!</v>
      </c>
      <c r="AK838" s="104" t="e">
        <f t="shared" si="386"/>
        <v>#N/A</v>
      </c>
      <c r="AL838" s="104" t="e">
        <f t="shared" si="387"/>
        <v>#N/A</v>
      </c>
      <c r="AM838" s="104" t="e">
        <f t="shared" si="388"/>
        <v>#N/A</v>
      </c>
      <c r="AN838" s="104" t="e">
        <f t="shared" si="399"/>
        <v>#N/A</v>
      </c>
      <c r="AO838" s="104" t="e">
        <f t="shared" si="400"/>
        <v>#N/A</v>
      </c>
      <c r="AP838" s="104" t="e">
        <f t="shared" si="401"/>
        <v>#N/A</v>
      </c>
      <c r="AQ838" s="104" t="e">
        <f t="shared" si="402"/>
        <v>#N/A</v>
      </c>
      <c r="AR838" s="105" t="str">
        <f t="shared" si="394"/>
        <v/>
      </c>
      <c r="AS838" s="105" t="str">
        <f t="shared" si="395"/>
        <v/>
      </c>
      <c r="AT838" s="108" t="str">
        <f t="shared" si="396"/>
        <v/>
      </c>
      <c r="AU838" s="108" t="str">
        <f t="shared" si="397"/>
        <v/>
      </c>
      <c r="AV838" s="107" t="str">
        <f>IF(ISNUMBER(O838),IF(VLOOKUP($A838,Stand!C:J,8,FALSE)="Short",AT838,AU838),"")</f>
        <v/>
      </c>
      <c r="AW838" s="109" t="str">
        <f t="shared" si="403"/>
        <v/>
      </c>
      <c r="AX838" s="109" t="str">
        <f t="shared" si="404"/>
        <v/>
      </c>
      <c r="AY838" s="112" t="str">
        <f>IF(ISNUMBER(O838),IF(AND(VLOOKUP($D838,Merchantability!$B:$C,2,0)="Yes",$E838&gt;=VLOOKUP($D838,Merchantability!$B:$D,3,0),$E838&lt;=VLOOKUP($D838,Merchantability!$B:$E,4,0)),(AV838*O838)*(1-$H838/100),""),"")</f>
        <v/>
      </c>
      <c r="AZ838" s="116"/>
      <c r="BA838" s="116"/>
      <c r="BB838" s="116"/>
      <c r="BE838" s="62"/>
      <c r="BF838" s="63"/>
    </row>
    <row r="839" spans="1:58" ht="12.75" customHeight="1" x14ac:dyDescent="0.25">
      <c r="A839" s="313"/>
      <c r="B839" s="328"/>
      <c r="C839" s="329"/>
      <c r="D839" s="328"/>
      <c r="E839" s="330"/>
      <c r="F839" s="328"/>
      <c r="G839" s="329"/>
      <c r="H839" s="329"/>
      <c r="I839" s="328"/>
      <c r="J839" s="383"/>
      <c r="K839" s="329"/>
      <c r="L839" s="329"/>
      <c r="M839" s="76"/>
      <c r="N839" s="103" t="str">
        <f>IF(A839="","",VLOOKUP(A839,Stand!C:K,9,0))</f>
        <v/>
      </c>
      <c r="O839" s="104" t="str">
        <f t="shared" si="389"/>
        <v/>
      </c>
      <c r="P839" s="105" t="str">
        <f t="shared" si="390"/>
        <v/>
      </c>
      <c r="Q839" s="105" t="str">
        <f t="shared" si="378"/>
        <v/>
      </c>
      <c r="R839" s="103" t="str">
        <f t="shared" si="391"/>
        <v/>
      </c>
      <c r="S839" s="103" t="str">
        <f t="shared" si="392"/>
        <v/>
      </c>
      <c r="T839" s="106" t="str">
        <f t="shared" si="379"/>
        <v/>
      </c>
      <c r="U839" s="106" t="str">
        <f t="shared" si="380"/>
        <v/>
      </c>
      <c r="V839" s="106" t="str">
        <f t="shared" si="381"/>
        <v/>
      </c>
      <c r="W839" s="105" t="str">
        <f t="shared" si="393"/>
        <v/>
      </c>
      <c r="X839" s="104" t="str">
        <f t="shared" si="398"/>
        <v/>
      </c>
      <c r="Y839" s="104" t="str">
        <f t="array" ref="Y839">IFERROR(IF(ISNUMBER(O839),IF(COUNT(IF(A839=$A$2:$A$2427,IF(D839=$D$2:$D$2427,IF($X$2:$X$2427&gt;0,1))))&gt;0,SUM(IF(A839=$A$2:$A$2427,IF(D839=$D$2:$D$2427,$X$2:$X$2427)))/COUNT(IF(A839=$A$2:$A$2427,IF(D839=$D$2:$D$2427,IF(ISNUMBER($X$2:$X$2427),1)))),0),""),0)</f>
        <v/>
      </c>
      <c r="Z839" s="104" t="str">
        <f>IF(ISNUMBER(O839),IF(I839&gt;0,(10^(VLOOKUP(D839,'Species Codes'!B:C,2,0)+VLOOKUP(D839,'Species Codes'!B:D,3,0)*LOG(E839)+VLOOKUP(D839,'Species Codes'!B:E,4,0)*LOG(I839))),0),"")</f>
        <v/>
      </c>
      <c r="AA839" s="104" t="str">
        <f>IFERROR((VLOOKUP(D839,'Species Codes'!B:G,6,0)*Z839)/2000,"")</f>
        <v/>
      </c>
      <c r="AB839" s="104" t="e">
        <f>IF(Z839&gt;0,((IF(OR(D839="DF",D839="RA")=TRUE,EXP(VLOOKUP(D839,'Species Codes'!B:I,8,0)+VLOOKUP(D839,'Species Codes'!B:J,9,0)*(LN((E839*2.54)))),IF(OR(D839="PY",D839="RC",D839="WH",D839="NF")=TRUE,VLOOKUP(D839,'Species Codes'!B:I,8,0)+VLOOKUP(D839,'Species Codes'!B:J,9,0)*((E839*2.54)^2)*(I839*0.3048),IF(OR(D839="MD",D839="BM",D839="GA")=TRUE,((VLOOKUP(D839,'Species Codes'!B:I,8,0)*(((((E839*2.54)+VLOOKUP(D839,'Species Codes'!B:J,9,0))/VLOOKUP(D839,'Species Codes'!B:K,10,0))^VLOOKUP(D839,'Species Codes'!B:L,11,0))*((I839*0.3048)^VLOOKUP(D839,'Species Codes'!B:M,12,0))))-(VLOOKUP(D839,'Species Codes'!B:I,8,0)*((((E839*2.54)^VLOOKUP(D839,'Species Codes'!B:L,11,0))*((I839*0.3048)^VLOOKUP(D839,'Species Codes'!B:M,12,0))))))*35.3*VLOOKUP(D839,'Species Codes'!B:G,6,0)/2.2046,VLOOKUP(D839,'Species Codes'!B:I,8,0)+VLOOKUP(D839,'Species Codes'!B:J,9,0)*(((E839*2.54)/100)^2)*(I839*0.3048)))))*0.0011023),0)</f>
        <v>#N/A</v>
      </c>
      <c r="AC839" s="104" t="e">
        <f>IF(Z839&gt;0,((IF(OR(D839="RA",D839="OA",D839="OT",D839="UN",D839="PC"),EXP(VLOOKUP(D839,'Species Codes'!B:O,14,0)+VLOOKUP(D839,'Species Codes'!B:P,15,0)*LN((E839*2.54)))-EXP(VLOOKUP(D839,'Species Codes'!B:O,14,0)+VLOOKUP(D839,'Species Codes'!B:P,15,0)*LN((E839*2.54)))*(1/(VLOOKUP(D839,'Species Codes'!B:Q,16,0)+VLOOKUP(D839,'Species Codes'!B:R,17,0)*((E839*2.54)^VLOOKUP(D839,'Species Codes'!B:S,18,0)))),IF(OR(D839="BM",D839="MD",D839="OA"),EXP(VLOOKUP(D839,'Species Codes'!B:O,14,0)+VLOOKUP(D839,'Species Codes'!B:P,15,0)*LN((E839*2.54)))*(1-(1/(VLOOKUP(D839,'Species Codes'!B:Q,16,0)+VLOOKUP(D839,'Species Codes'!B:R,17,0)*((E839*2.54)^VLOOKUP(D839,'Species Codes'!B:S,18,0)))))/1000,IF(D839="DF",EXP(VLOOKUP(D839,'Species Codes'!B:O,14,0)+VLOOKUP(D839,'Species Codes'!B:P,15,0)*LN((E839*2.54))),VLOOKUP(D839,'Species Codes'!B:O,14,0)+VLOOKUP(D839,'Species Codes'!B:P,15,0)*(((E839*2.54)/100)^2)*(I839*0.3048)))))*0.0011023),0)</f>
        <v>#N/A</v>
      </c>
      <c r="AD839" s="104" t="e">
        <f t="shared" si="382"/>
        <v>#N/A</v>
      </c>
      <c r="AE839" s="104" t="e">
        <f t="shared" si="383"/>
        <v>#N/A</v>
      </c>
      <c r="AF839" s="104" t="e">
        <f>IF(AND(VLOOKUP($D839,Merchantability!$B:$C,2,0)="Yes",$E839&gt;=VLOOKUP($D839,Merchantability!$B:$D,3,0),$E839&lt;=VLOOKUP($D839,Merchantability!$B:$E,4,0)),AA839,0)</f>
        <v>#N/A</v>
      </c>
      <c r="AG839" s="104" t="e">
        <f>IF(AND(VLOOKUP($D839,Merchantability!$B:$C,2,0)="Yes",$E839&gt;=VLOOKUP($D839,Merchantability!$B:$D,3,0),$E839&lt;=VLOOKUP($D839,Merchantability!$B:$E,4,0)),AB839,0)</f>
        <v>#N/A</v>
      </c>
      <c r="AH839" s="104" t="e">
        <f>IF(AND(VLOOKUP($D839,Merchantability!$B:$C,2,0)="Yes",$E839&gt;=VLOOKUP($D839,Merchantability!$B:$D,3,0),$E839&lt;=VLOOKUP($D839,Merchantability!$B:$E,4,0)),AC839,0)</f>
        <v>#N/A</v>
      </c>
      <c r="AI839" s="104" t="e">
        <f t="shared" si="384"/>
        <v>#N/A</v>
      </c>
      <c r="AJ839" s="104" t="e">
        <f t="shared" si="385"/>
        <v>#VALUE!</v>
      </c>
      <c r="AK839" s="104" t="e">
        <f t="shared" si="386"/>
        <v>#N/A</v>
      </c>
      <c r="AL839" s="104" t="e">
        <f t="shared" si="387"/>
        <v>#N/A</v>
      </c>
      <c r="AM839" s="104" t="e">
        <f t="shared" si="388"/>
        <v>#N/A</v>
      </c>
      <c r="AN839" s="104" t="e">
        <f t="shared" si="399"/>
        <v>#N/A</v>
      </c>
      <c r="AO839" s="104" t="e">
        <f t="shared" si="400"/>
        <v>#N/A</v>
      </c>
      <c r="AP839" s="104" t="e">
        <f t="shared" si="401"/>
        <v>#N/A</v>
      </c>
      <c r="AQ839" s="104" t="e">
        <f t="shared" si="402"/>
        <v>#N/A</v>
      </c>
      <c r="AR839" s="105" t="str">
        <f t="shared" si="394"/>
        <v/>
      </c>
      <c r="AS839" s="105" t="str">
        <f t="shared" si="395"/>
        <v/>
      </c>
      <c r="AT839" s="108" t="str">
        <f t="shared" si="396"/>
        <v/>
      </c>
      <c r="AU839" s="108" t="str">
        <f t="shared" si="397"/>
        <v/>
      </c>
      <c r="AV839" s="107" t="str">
        <f>IF(ISNUMBER(O839),IF(VLOOKUP($A839,Stand!C:J,8,FALSE)="Short",AT839,AU839),"")</f>
        <v/>
      </c>
      <c r="AW839" s="109" t="str">
        <f t="shared" si="403"/>
        <v/>
      </c>
      <c r="AX839" s="109" t="str">
        <f t="shared" si="404"/>
        <v/>
      </c>
      <c r="AY839" s="112" t="str">
        <f>IF(ISNUMBER(O839),IF(AND(VLOOKUP($D839,Merchantability!$B:$C,2,0)="Yes",$E839&gt;=VLOOKUP($D839,Merchantability!$B:$D,3,0),$E839&lt;=VLOOKUP($D839,Merchantability!$B:$E,4,0)),(AV839*O839)*(1-$H839/100),""),"")</f>
        <v/>
      </c>
      <c r="AZ839" s="116"/>
      <c r="BA839" s="116"/>
      <c r="BB839" s="116"/>
      <c r="BE839" s="62"/>
      <c r="BF839" s="63"/>
    </row>
    <row r="840" spans="1:58" ht="12.75" customHeight="1" x14ac:dyDescent="0.25">
      <c r="A840" s="313"/>
      <c r="B840" s="328"/>
      <c r="C840" s="329"/>
      <c r="D840" s="328"/>
      <c r="E840" s="330"/>
      <c r="F840" s="328"/>
      <c r="G840" s="329"/>
      <c r="H840" s="329"/>
      <c r="I840" s="328"/>
      <c r="J840" s="383"/>
      <c r="K840" s="329"/>
      <c r="L840" s="329"/>
      <c r="M840" s="76"/>
      <c r="N840" s="103" t="str">
        <f>IF(A840="","",VLOOKUP(A840,Stand!C:K,9,0))</f>
        <v/>
      </c>
      <c r="O840" s="104" t="str">
        <f t="shared" si="389"/>
        <v/>
      </c>
      <c r="P840" s="105" t="str">
        <f t="shared" si="390"/>
        <v/>
      </c>
      <c r="Q840" s="105" t="str">
        <f t="shared" si="378"/>
        <v/>
      </c>
      <c r="R840" s="103" t="str">
        <f t="shared" si="391"/>
        <v/>
      </c>
      <c r="S840" s="103" t="str">
        <f t="shared" si="392"/>
        <v/>
      </c>
      <c r="T840" s="106" t="str">
        <f t="shared" si="379"/>
        <v/>
      </c>
      <c r="U840" s="106" t="str">
        <f t="shared" si="380"/>
        <v/>
      </c>
      <c r="V840" s="106" t="str">
        <f t="shared" si="381"/>
        <v/>
      </c>
      <c r="W840" s="105" t="str">
        <f t="shared" si="393"/>
        <v/>
      </c>
      <c r="X840" s="104" t="str">
        <f t="shared" si="398"/>
        <v/>
      </c>
      <c r="Y840" s="104" t="str">
        <f t="array" ref="Y840">IFERROR(IF(ISNUMBER(O840),IF(COUNT(IF(A840=$A$2:$A$2427,IF(D840=$D$2:$D$2427,IF($X$2:$X$2427&gt;0,1))))&gt;0,SUM(IF(A840=$A$2:$A$2427,IF(D840=$D$2:$D$2427,$X$2:$X$2427)))/COUNT(IF(A840=$A$2:$A$2427,IF(D840=$D$2:$D$2427,IF(ISNUMBER($X$2:$X$2427),1)))),0),""),0)</f>
        <v/>
      </c>
      <c r="Z840" s="104" t="str">
        <f>IF(ISNUMBER(O840),IF(I840&gt;0,(10^(VLOOKUP(D840,'Species Codes'!B:C,2,0)+VLOOKUP(D840,'Species Codes'!B:D,3,0)*LOG(E840)+VLOOKUP(D840,'Species Codes'!B:E,4,0)*LOG(I840))),0),"")</f>
        <v/>
      </c>
      <c r="AA840" s="104" t="str">
        <f>IFERROR((VLOOKUP(D840,'Species Codes'!B:G,6,0)*Z840)/2000,"")</f>
        <v/>
      </c>
      <c r="AB840" s="104" t="e">
        <f>IF(Z840&gt;0,((IF(OR(D840="DF",D840="RA")=TRUE,EXP(VLOOKUP(D840,'Species Codes'!B:I,8,0)+VLOOKUP(D840,'Species Codes'!B:J,9,0)*(LN((E840*2.54)))),IF(OR(D840="PY",D840="RC",D840="WH",D840="NF")=TRUE,VLOOKUP(D840,'Species Codes'!B:I,8,0)+VLOOKUP(D840,'Species Codes'!B:J,9,0)*((E840*2.54)^2)*(I840*0.3048),IF(OR(D840="MD",D840="BM",D840="GA")=TRUE,((VLOOKUP(D840,'Species Codes'!B:I,8,0)*(((((E840*2.54)+VLOOKUP(D840,'Species Codes'!B:J,9,0))/VLOOKUP(D840,'Species Codes'!B:K,10,0))^VLOOKUP(D840,'Species Codes'!B:L,11,0))*((I840*0.3048)^VLOOKUP(D840,'Species Codes'!B:M,12,0))))-(VLOOKUP(D840,'Species Codes'!B:I,8,0)*((((E840*2.54)^VLOOKUP(D840,'Species Codes'!B:L,11,0))*((I840*0.3048)^VLOOKUP(D840,'Species Codes'!B:M,12,0))))))*35.3*VLOOKUP(D840,'Species Codes'!B:G,6,0)/2.2046,VLOOKUP(D840,'Species Codes'!B:I,8,0)+VLOOKUP(D840,'Species Codes'!B:J,9,0)*(((E840*2.54)/100)^2)*(I840*0.3048)))))*0.0011023),0)</f>
        <v>#N/A</v>
      </c>
      <c r="AC840" s="104" t="e">
        <f>IF(Z840&gt;0,((IF(OR(D840="RA",D840="OA",D840="OT",D840="UN",D840="PC"),EXP(VLOOKUP(D840,'Species Codes'!B:O,14,0)+VLOOKUP(D840,'Species Codes'!B:P,15,0)*LN((E840*2.54)))-EXP(VLOOKUP(D840,'Species Codes'!B:O,14,0)+VLOOKUP(D840,'Species Codes'!B:P,15,0)*LN((E840*2.54)))*(1/(VLOOKUP(D840,'Species Codes'!B:Q,16,0)+VLOOKUP(D840,'Species Codes'!B:R,17,0)*((E840*2.54)^VLOOKUP(D840,'Species Codes'!B:S,18,0)))),IF(OR(D840="BM",D840="MD",D840="OA"),EXP(VLOOKUP(D840,'Species Codes'!B:O,14,0)+VLOOKUP(D840,'Species Codes'!B:P,15,0)*LN((E840*2.54)))*(1-(1/(VLOOKUP(D840,'Species Codes'!B:Q,16,0)+VLOOKUP(D840,'Species Codes'!B:R,17,0)*((E840*2.54)^VLOOKUP(D840,'Species Codes'!B:S,18,0)))))/1000,IF(D840="DF",EXP(VLOOKUP(D840,'Species Codes'!B:O,14,0)+VLOOKUP(D840,'Species Codes'!B:P,15,0)*LN((E840*2.54))),VLOOKUP(D840,'Species Codes'!B:O,14,0)+VLOOKUP(D840,'Species Codes'!B:P,15,0)*(((E840*2.54)/100)^2)*(I840*0.3048)))))*0.0011023),0)</f>
        <v>#N/A</v>
      </c>
      <c r="AD840" s="104" t="e">
        <f t="shared" si="382"/>
        <v>#N/A</v>
      </c>
      <c r="AE840" s="104" t="e">
        <f t="shared" si="383"/>
        <v>#N/A</v>
      </c>
      <c r="AF840" s="104" t="e">
        <f>IF(AND(VLOOKUP($D840,Merchantability!$B:$C,2,0)="Yes",$E840&gt;=VLOOKUP($D840,Merchantability!$B:$D,3,0),$E840&lt;=VLOOKUP($D840,Merchantability!$B:$E,4,0)),AA840,0)</f>
        <v>#N/A</v>
      </c>
      <c r="AG840" s="104" t="e">
        <f>IF(AND(VLOOKUP($D840,Merchantability!$B:$C,2,0)="Yes",$E840&gt;=VLOOKUP($D840,Merchantability!$B:$D,3,0),$E840&lt;=VLOOKUP($D840,Merchantability!$B:$E,4,0)),AB840,0)</f>
        <v>#N/A</v>
      </c>
      <c r="AH840" s="104" t="e">
        <f>IF(AND(VLOOKUP($D840,Merchantability!$B:$C,2,0)="Yes",$E840&gt;=VLOOKUP($D840,Merchantability!$B:$D,3,0),$E840&lt;=VLOOKUP($D840,Merchantability!$B:$E,4,0)),AC840,0)</f>
        <v>#N/A</v>
      </c>
      <c r="AI840" s="104" t="e">
        <f t="shared" si="384"/>
        <v>#N/A</v>
      </c>
      <c r="AJ840" s="104" t="e">
        <f t="shared" si="385"/>
        <v>#VALUE!</v>
      </c>
      <c r="AK840" s="104" t="e">
        <f t="shared" si="386"/>
        <v>#N/A</v>
      </c>
      <c r="AL840" s="104" t="e">
        <f t="shared" si="387"/>
        <v>#N/A</v>
      </c>
      <c r="AM840" s="104" t="e">
        <f t="shared" si="388"/>
        <v>#N/A</v>
      </c>
      <c r="AN840" s="104" t="e">
        <f t="shared" si="399"/>
        <v>#N/A</v>
      </c>
      <c r="AO840" s="104" t="e">
        <f t="shared" si="400"/>
        <v>#N/A</v>
      </c>
      <c r="AP840" s="104" t="e">
        <f t="shared" si="401"/>
        <v>#N/A</v>
      </c>
      <c r="AQ840" s="104" t="e">
        <f t="shared" si="402"/>
        <v>#N/A</v>
      </c>
      <c r="AR840" s="105" t="str">
        <f t="shared" si="394"/>
        <v/>
      </c>
      <c r="AS840" s="105" t="str">
        <f t="shared" si="395"/>
        <v/>
      </c>
      <c r="AT840" s="108" t="str">
        <f t="shared" si="396"/>
        <v/>
      </c>
      <c r="AU840" s="108" t="str">
        <f t="shared" si="397"/>
        <v/>
      </c>
      <c r="AV840" s="107" t="str">
        <f>IF(ISNUMBER(O840),IF(VLOOKUP($A840,Stand!C:J,8,FALSE)="Short",AT840,AU840),"")</f>
        <v/>
      </c>
      <c r="AW840" s="109" t="str">
        <f t="shared" si="403"/>
        <v/>
      </c>
      <c r="AX840" s="109" t="str">
        <f t="shared" si="404"/>
        <v/>
      </c>
      <c r="AY840" s="112" t="str">
        <f>IF(ISNUMBER(O840),IF(AND(VLOOKUP($D840,Merchantability!$B:$C,2,0)="Yes",$E840&gt;=VLOOKUP($D840,Merchantability!$B:$D,3,0),$E840&lt;=VLOOKUP($D840,Merchantability!$B:$E,4,0)),(AV840*O840)*(1-$H840/100),""),"")</f>
        <v/>
      </c>
      <c r="AZ840" s="116"/>
      <c r="BA840" s="116"/>
      <c r="BB840" s="116"/>
      <c r="BE840" s="62"/>
      <c r="BF840" s="63"/>
    </row>
    <row r="841" spans="1:58" ht="12.75" customHeight="1" x14ac:dyDescent="0.25">
      <c r="A841" s="313"/>
      <c r="B841" s="328"/>
      <c r="C841" s="329"/>
      <c r="D841" s="328"/>
      <c r="E841" s="330"/>
      <c r="F841" s="328"/>
      <c r="G841" s="329"/>
      <c r="H841" s="329"/>
      <c r="I841" s="328"/>
      <c r="J841" s="383"/>
      <c r="K841" s="329"/>
      <c r="L841" s="329"/>
      <c r="M841" s="76"/>
      <c r="N841" s="103" t="str">
        <f>IF(A841="","",VLOOKUP(A841,Stand!C:K,9,0))</f>
        <v/>
      </c>
      <c r="O841" s="104" t="str">
        <f t="shared" si="389"/>
        <v/>
      </c>
      <c r="P841" s="105" t="str">
        <f t="shared" si="390"/>
        <v/>
      </c>
      <c r="Q841" s="105" t="str">
        <f t="shared" si="378"/>
        <v/>
      </c>
      <c r="R841" s="103" t="str">
        <f t="shared" si="391"/>
        <v/>
      </c>
      <c r="S841" s="103" t="str">
        <f t="shared" si="392"/>
        <v/>
      </c>
      <c r="T841" s="106" t="str">
        <f t="shared" si="379"/>
        <v/>
      </c>
      <c r="U841" s="106" t="str">
        <f t="shared" si="380"/>
        <v/>
      </c>
      <c r="V841" s="106" t="str">
        <f t="shared" si="381"/>
        <v/>
      </c>
      <c r="W841" s="105" t="str">
        <f t="shared" si="393"/>
        <v/>
      </c>
      <c r="X841" s="104" t="str">
        <f t="shared" si="398"/>
        <v/>
      </c>
      <c r="Y841" s="104" t="str">
        <f t="array" ref="Y841">IFERROR(IF(ISNUMBER(O841),IF(COUNT(IF(A841=$A$2:$A$2427,IF(D841=$D$2:$D$2427,IF($X$2:$X$2427&gt;0,1))))&gt;0,SUM(IF(A841=$A$2:$A$2427,IF(D841=$D$2:$D$2427,$X$2:$X$2427)))/COUNT(IF(A841=$A$2:$A$2427,IF(D841=$D$2:$D$2427,IF(ISNUMBER($X$2:$X$2427),1)))),0),""),0)</f>
        <v/>
      </c>
      <c r="Z841" s="104" t="str">
        <f>IF(ISNUMBER(O841),IF(I841&gt;0,(10^(VLOOKUP(D841,'Species Codes'!B:C,2,0)+VLOOKUP(D841,'Species Codes'!B:D,3,0)*LOG(E841)+VLOOKUP(D841,'Species Codes'!B:E,4,0)*LOG(I841))),0),"")</f>
        <v/>
      </c>
      <c r="AA841" s="104" t="str">
        <f>IFERROR((VLOOKUP(D841,'Species Codes'!B:G,6,0)*Z841)/2000,"")</f>
        <v/>
      </c>
      <c r="AB841" s="104" t="e">
        <f>IF(Z841&gt;0,((IF(OR(D841="DF",D841="RA")=TRUE,EXP(VLOOKUP(D841,'Species Codes'!B:I,8,0)+VLOOKUP(D841,'Species Codes'!B:J,9,0)*(LN((E841*2.54)))),IF(OR(D841="PY",D841="RC",D841="WH",D841="NF")=TRUE,VLOOKUP(D841,'Species Codes'!B:I,8,0)+VLOOKUP(D841,'Species Codes'!B:J,9,0)*((E841*2.54)^2)*(I841*0.3048),IF(OR(D841="MD",D841="BM",D841="GA")=TRUE,((VLOOKUP(D841,'Species Codes'!B:I,8,0)*(((((E841*2.54)+VLOOKUP(D841,'Species Codes'!B:J,9,0))/VLOOKUP(D841,'Species Codes'!B:K,10,0))^VLOOKUP(D841,'Species Codes'!B:L,11,0))*((I841*0.3048)^VLOOKUP(D841,'Species Codes'!B:M,12,0))))-(VLOOKUP(D841,'Species Codes'!B:I,8,0)*((((E841*2.54)^VLOOKUP(D841,'Species Codes'!B:L,11,0))*((I841*0.3048)^VLOOKUP(D841,'Species Codes'!B:M,12,0))))))*35.3*VLOOKUP(D841,'Species Codes'!B:G,6,0)/2.2046,VLOOKUP(D841,'Species Codes'!B:I,8,0)+VLOOKUP(D841,'Species Codes'!B:J,9,0)*(((E841*2.54)/100)^2)*(I841*0.3048)))))*0.0011023),0)</f>
        <v>#N/A</v>
      </c>
      <c r="AC841" s="104" t="e">
        <f>IF(Z841&gt;0,((IF(OR(D841="RA",D841="OA",D841="OT",D841="UN",D841="PC"),EXP(VLOOKUP(D841,'Species Codes'!B:O,14,0)+VLOOKUP(D841,'Species Codes'!B:P,15,0)*LN((E841*2.54)))-EXP(VLOOKUP(D841,'Species Codes'!B:O,14,0)+VLOOKUP(D841,'Species Codes'!B:P,15,0)*LN((E841*2.54)))*(1/(VLOOKUP(D841,'Species Codes'!B:Q,16,0)+VLOOKUP(D841,'Species Codes'!B:R,17,0)*((E841*2.54)^VLOOKUP(D841,'Species Codes'!B:S,18,0)))),IF(OR(D841="BM",D841="MD",D841="OA"),EXP(VLOOKUP(D841,'Species Codes'!B:O,14,0)+VLOOKUP(D841,'Species Codes'!B:P,15,0)*LN((E841*2.54)))*(1-(1/(VLOOKUP(D841,'Species Codes'!B:Q,16,0)+VLOOKUP(D841,'Species Codes'!B:R,17,0)*((E841*2.54)^VLOOKUP(D841,'Species Codes'!B:S,18,0)))))/1000,IF(D841="DF",EXP(VLOOKUP(D841,'Species Codes'!B:O,14,0)+VLOOKUP(D841,'Species Codes'!B:P,15,0)*LN((E841*2.54))),VLOOKUP(D841,'Species Codes'!B:O,14,0)+VLOOKUP(D841,'Species Codes'!B:P,15,0)*(((E841*2.54)/100)^2)*(I841*0.3048)))))*0.0011023),0)</f>
        <v>#N/A</v>
      </c>
      <c r="AD841" s="104" t="e">
        <f t="shared" si="382"/>
        <v>#N/A</v>
      </c>
      <c r="AE841" s="104" t="e">
        <f t="shared" si="383"/>
        <v>#N/A</v>
      </c>
      <c r="AF841" s="104" t="e">
        <f>IF(AND(VLOOKUP($D841,Merchantability!$B:$C,2,0)="Yes",$E841&gt;=VLOOKUP($D841,Merchantability!$B:$D,3,0),$E841&lt;=VLOOKUP($D841,Merchantability!$B:$E,4,0)),AA841,0)</f>
        <v>#N/A</v>
      </c>
      <c r="AG841" s="104" t="e">
        <f>IF(AND(VLOOKUP($D841,Merchantability!$B:$C,2,0)="Yes",$E841&gt;=VLOOKUP($D841,Merchantability!$B:$D,3,0),$E841&lt;=VLOOKUP($D841,Merchantability!$B:$E,4,0)),AB841,0)</f>
        <v>#N/A</v>
      </c>
      <c r="AH841" s="104" t="e">
        <f>IF(AND(VLOOKUP($D841,Merchantability!$B:$C,2,0)="Yes",$E841&gt;=VLOOKUP($D841,Merchantability!$B:$D,3,0),$E841&lt;=VLOOKUP($D841,Merchantability!$B:$E,4,0)),AC841,0)</f>
        <v>#N/A</v>
      </c>
      <c r="AI841" s="104" t="e">
        <f t="shared" si="384"/>
        <v>#N/A</v>
      </c>
      <c r="AJ841" s="104" t="e">
        <f t="shared" si="385"/>
        <v>#VALUE!</v>
      </c>
      <c r="AK841" s="104" t="e">
        <f t="shared" si="386"/>
        <v>#N/A</v>
      </c>
      <c r="AL841" s="104" t="e">
        <f t="shared" si="387"/>
        <v>#N/A</v>
      </c>
      <c r="AM841" s="104" t="e">
        <f t="shared" si="388"/>
        <v>#N/A</v>
      </c>
      <c r="AN841" s="104" t="e">
        <f t="shared" si="399"/>
        <v>#N/A</v>
      </c>
      <c r="AO841" s="104" t="e">
        <f t="shared" si="400"/>
        <v>#N/A</v>
      </c>
      <c r="AP841" s="104" t="e">
        <f t="shared" si="401"/>
        <v>#N/A</v>
      </c>
      <c r="AQ841" s="104" t="e">
        <f t="shared" si="402"/>
        <v>#N/A</v>
      </c>
      <c r="AR841" s="105" t="str">
        <f t="shared" si="394"/>
        <v/>
      </c>
      <c r="AS841" s="105" t="str">
        <f t="shared" si="395"/>
        <v/>
      </c>
      <c r="AT841" s="108" t="str">
        <f t="shared" si="396"/>
        <v/>
      </c>
      <c r="AU841" s="108" t="str">
        <f t="shared" si="397"/>
        <v/>
      </c>
      <c r="AV841" s="107" t="str">
        <f>IF(ISNUMBER(O841),IF(VLOOKUP($A841,Stand!C:J,8,FALSE)="Short",AT841,AU841),"")</f>
        <v/>
      </c>
      <c r="AW841" s="109" t="str">
        <f t="shared" si="403"/>
        <v/>
      </c>
      <c r="AX841" s="109" t="str">
        <f t="shared" si="404"/>
        <v/>
      </c>
      <c r="AY841" s="112" t="str">
        <f>IF(ISNUMBER(O841),IF(AND(VLOOKUP($D841,Merchantability!$B:$C,2,0)="Yes",$E841&gt;=VLOOKUP($D841,Merchantability!$B:$D,3,0),$E841&lt;=VLOOKUP($D841,Merchantability!$B:$E,4,0)),(AV841*O841)*(1-$H841/100),""),"")</f>
        <v/>
      </c>
      <c r="AZ841" s="116"/>
      <c r="BA841" s="116"/>
      <c r="BB841" s="116"/>
      <c r="BE841" s="62"/>
      <c r="BF841" s="63"/>
    </row>
    <row r="842" spans="1:58" ht="12.75" customHeight="1" x14ac:dyDescent="0.25">
      <c r="A842" s="313"/>
      <c r="B842" s="328"/>
      <c r="C842" s="329"/>
      <c r="D842" s="328"/>
      <c r="E842" s="330"/>
      <c r="F842" s="328"/>
      <c r="G842" s="329"/>
      <c r="H842" s="329"/>
      <c r="I842" s="328"/>
      <c r="J842" s="383"/>
      <c r="K842" s="329"/>
      <c r="L842" s="329"/>
      <c r="M842" s="76"/>
      <c r="N842" s="103" t="str">
        <f>IF(A842="","",VLOOKUP(A842,Stand!C:K,9,0))</f>
        <v/>
      </c>
      <c r="O842" s="104" t="str">
        <f t="shared" si="389"/>
        <v/>
      </c>
      <c r="P842" s="105" t="str">
        <f t="shared" si="390"/>
        <v/>
      </c>
      <c r="Q842" s="105" t="str">
        <f t="shared" si="378"/>
        <v/>
      </c>
      <c r="R842" s="103" t="str">
        <f t="shared" si="391"/>
        <v/>
      </c>
      <c r="S842" s="103" t="str">
        <f t="shared" si="392"/>
        <v/>
      </c>
      <c r="T842" s="106" t="str">
        <f t="shared" si="379"/>
        <v/>
      </c>
      <c r="U842" s="106" t="str">
        <f t="shared" si="380"/>
        <v/>
      </c>
      <c r="V842" s="106" t="str">
        <f t="shared" si="381"/>
        <v/>
      </c>
      <c r="W842" s="105" t="str">
        <f t="shared" si="393"/>
        <v/>
      </c>
      <c r="X842" s="104" t="str">
        <f t="shared" si="398"/>
        <v/>
      </c>
      <c r="Y842" s="104" t="str">
        <f t="array" ref="Y842">IFERROR(IF(ISNUMBER(O842),IF(COUNT(IF(A842=$A$2:$A$2427,IF(D842=$D$2:$D$2427,IF($X$2:$X$2427&gt;0,1))))&gt;0,SUM(IF(A842=$A$2:$A$2427,IF(D842=$D$2:$D$2427,$X$2:$X$2427)))/COUNT(IF(A842=$A$2:$A$2427,IF(D842=$D$2:$D$2427,IF(ISNUMBER($X$2:$X$2427),1)))),0),""),0)</f>
        <v/>
      </c>
      <c r="Z842" s="104" t="str">
        <f>IF(ISNUMBER(O842),IF(I842&gt;0,(10^(VLOOKUP(D842,'Species Codes'!B:C,2,0)+VLOOKUP(D842,'Species Codes'!B:D,3,0)*LOG(E842)+VLOOKUP(D842,'Species Codes'!B:E,4,0)*LOG(I842))),0),"")</f>
        <v/>
      </c>
      <c r="AA842" s="104" t="str">
        <f>IFERROR((VLOOKUP(D842,'Species Codes'!B:G,6,0)*Z842)/2000,"")</f>
        <v/>
      </c>
      <c r="AB842" s="104" t="e">
        <f>IF(Z842&gt;0,((IF(OR(D842="DF",D842="RA")=TRUE,EXP(VLOOKUP(D842,'Species Codes'!B:I,8,0)+VLOOKUP(D842,'Species Codes'!B:J,9,0)*(LN((E842*2.54)))),IF(OR(D842="PY",D842="RC",D842="WH",D842="NF")=TRUE,VLOOKUP(D842,'Species Codes'!B:I,8,0)+VLOOKUP(D842,'Species Codes'!B:J,9,0)*((E842*2.54)^2)*(I842*0.3048),IF(OR(D842="MD",D842="BM",D842="GA")=TRUE,((VLOOKUP(D842,'Species Codes'!B:I,8,0)*(((((E842*2.54)+VLOOKUP(D842,'Species Codes'!B:J,9,0))/VLOOKUP(D842,'Species Codes'!B:K,10,0))^VLOOKUP(D842,'Species Codes'!B:L,11,0))*((I842*0.3048)^VLOOKUP(D842,'Species Codes'!B:M,12,0))))-(VLOOKUP(D842,'Species Codes'!B:I,8,0)*((((E842*2.54)^VLOOKUP(D842,'Species Codes'!B:L,11,0))*((I842*0.3048)^VLOOKUP(D842,'Species Codes'!B:M,12,0))))))*35.3*VLOOKUP(D842,'Species Codes'!B:G,6,0)/2.2046,VLOOKUP(D842,'Species Codes'!B:I,8,0)+VLOOKUP(D842,'Species Codes'!B:J,9,0)*(((E842*2.54)/100)^2)*(I842*0.3048)))))*0.0011023),0)</f>
        <v>#N/A</v>
      </c>
      <c r="AC842" s="104" t="e">
        <f>IF(Z842&gt;0,((IF(OR(D842="RA",D842="OA",D842="OT",D842="UN",D842="PC"),EXP(VLOOKUP(D842,'Species Codes'!B:O,14,0)+VLOOKUP(D842,'Species Codes'!B:P,15,0)*LN((E842*2.54)))-EXP(VLOOKUP(D842,'Species Codes'!B:O,14,0)+VLOOKUP(D842,'Species Codes'!B:P,15,0)*LN((E842*2.54)))*(1/(VLOOKUP(D842,'Species Codes'!B:Q,16,0)+VLOOKUP(D842,'Species Codes'!B:R,17,0)*((E842*2.54)^VLOOKUP(D842,'Species Codes'!B:S,18,0)))),IF(OR(D842="BM",D842="MD",D842="OA"),EXP(VLOOKUP(D842,'Species Codes'!B:O,14,0)+VLOOKUP(D842,'Species Codes'!B:P,15,0)*LN((E842*2.54)))*(1-(1/(VLOOKUP(D842,'Species Codes'!B:Q,16,0)+VLOOKUP(D842,'Species Codes'!B:R,17,0)*((E842*2.54)^VLOOKUP(D842,'Species Codes'!B:S,18,0)))))/1000,IF(D842="DF",EXP(VLOOKUP(D842,'Species Codes'!B:O,14,0)+VLOOKUP(D842,'Species Codes'!B:P,15,0)*LN((E842*2.54))),VLOOKUP(D842,'Species Codes'!B:O,14,0)+VLOOKUP(D842,'Species Codes'!B:P,15,0)*(((E842*2.54)/100)^2)*(I842*0.3048)))))*0.0011023),0)</f>
        <v>#N/A</v>
      </c>
      <c r="AD842" s="104" t="e">
        <f t="shared" si="382"/>
        <v>#N/A</v>
      </c>
      <c r="AE842" s="104" t="e">
        <f t="shared" si="383"/>
        <v>#N/A</v>
      </c>
      <c r="AF842" s="104" t="e">
        <f>IF(AND(VLOOKUP($D842,Merchantability!$B:$C,2,0)="Yes",$E842&gt;=VLOOKUP($D842,Merchantability!$B:$D,3,0),$E842&lt;=VLOOKUP($D842,Merchantability!$B:$E,4,0)),AA842,0)</f>
        <v>#N/A</v>
      </c>
      <c r="AG842" s="104" t="e">
        <f>IF(AND(VLOOKUP($D842,Merchantability!$B:$C,2,0)="Yes",$E842&gt;=VLOOKUP($D842,Merchantability!$B:$D,3,0),$E842&lt;=VLOOKUP($D842,Merchantability!$B:$E,4,0)),AB842,0)</f>
        <v>#N/A</v>
      </c>
      <c r="AH842" s="104" t="e">
        <f>IF(AND(VLOOKUP($D842,Merchantability!$B:$C,2,0)="Yes",$E842&gt;=VLOOKUP($D842,Merchantability!$B:$D,3,0),$E842&lt;=VLOOKUP($D842,Merchantability!$B:$E,4,0)),AC842,0)</f>
        <v>#N/A</v>
      </c>
      <c r="AI842" s="104" t="e">
        <f t="shared" si="384"/>
        <v>#N/A</v>
      </c>
      <c r="AJ842" s="104" t="e">
        <f t="shared" si="385"/>
        <v>#VALUE!</v>
      </c>
      <c r="AK842" s="104" t="e">
        <f t="shared" si="386"/>
        <v>#N/A</v>
      </c>
      <c r="AL842" s="104" t="e">
        <f t="shared" si="387"/>
        <v>#N/A</v>
      </c>
      <c r="AM842" s="104" t="e">
        <f t="shared" si="388"/>
        <v>#N/A</v>
      </c>
      <c r="AN842" s="104" t="e">
        <f t="shared" si="399"/>
        <v>#N/A</v>
      </c>
      <c r="AO842" s="104" t="e">
        <f t="shared" si="400"/>
        <v>#N/A</v>
      </c>
      <c r="AP842" s="104" t="e">
        <f t="shared" si="401"/>
        <v>#N/A</v>
      </c>
      <c r="AQ842" s="104" t="e">
        <f t="shared" si="402"/>
        <v>#N/A</v>
      </c>
      <c r="AR842" s="105" t="str">
        <f t="shared" si="394"/>
        <v/>
      </c>
      <c r="AS842" s="105" t="str">
        <f t="shared" si="395"/>
        <v/>
      </c>
      <c r="AT842" s="108" t="str">
        <f t="shared" si="396"/>
        <v/>
      </c>
      <c r="AU842" s="108" t="str">
        <f t="shared" si="397"/>
        <v/>
      </c>
      <c r="AV842" s="107" t="str">
        <f>IF(ISNUMBER(O842),IF(VLOOKUP($A842,Stand!C:J,8,FALSE)="Short",AT842,AU842),"")</f>
        <v/>
      </c>
      <c r="AW842" s="109" t="str">
        <f t="shared" si="403"/>
        <v/>
      </c>
      <c r="AX842" s="109" t="str">
        <f t="shared" si="404"/>
        <v/>
      </c>
      <c r="AY842" s="112" t="str">
        <f>IF(ISNUMBER(O842),IF(AND(VLOOKUP($D842,Merchantability!$B:$C,2,0)="Yes",$E842&gt;=VLOOKUP($D842,Merchantability!$B:$D,3,0),$E842&lt;=VLOOKUP($D842,Merchantability!$B:$E,4,0)),(AV842*O842)*(1-$H842/100),""),"")</f>
        <v/>
      </c>
      <c r="AZ842" s="116"/>
      <c r="BA842" s="116"/>
      <c r="BB842" s="116"/>
      <c r="BE842" s="62"/>
      <c r="BF842" s="63"/>
    </row>
    <row r="843" spans="1:58" ht="12.75" customHeight="1" x14ac:dyDescent="0.25">
      <c r="A843" s="313"/>
      <c r="B843" s="328"/>
      <c r="C843" s="329"/>
      <c r="D843" s="328"/>
      <c r="E843" s="330"/>
      <c r="F843" s="328"/>
      <c r="G843" s="329"/>
      <c r="H843" s="329"/>
      <c r="I843" s="328"/>
      <c r="J843" s="383"/>
      <c r="K843" s="329"/>
      <c r="L843" s="329"/>
      <c r="M843" s="76"/>
      <c r="N843" s="103" t="str">
        <f>IF(A843="","",VLOOKUP(A843,Stand!C:K,9,0))</f>
        <v/>
      </c>
      <c r="O843" s="104" t="str">
        <f t="shared" si="389"/>
        <v/>
      </c>
      <c r="P843" s="105" t="str">
        <f t="shared" si="390"/>
        <v/>
      </c>
      <c r="Q843" s="105" t="str">
        <f t="shared" si="378"/>
        <v/>
      </c>
      <c r="R843" s="103" t="str">
        <f t="shared" si="391"/>
        <v/>
      </c>
      <c r="S843" s="103" t="str">
        <f t="shared" si="392"/>
        <v/>
      </c>
      <c r="T843" s="106" t="str">
        <f t="shared" si="379"/>
        <v/>
      </c>
      <c r="U843" s="106" t="str">
        <f t="shared" si="380"/>
        <v/>
      </c>
      <c r="V843" s="106" t="str">
        <f t="shared" si="381"/>
        <v/>
      </c>
      <c r="W843" s="105" t="str">
        <f t="shared" si="393"/>
        <v/>
      </c>
      <c r="X843" s="104" t="str">
        <f t="shared" si="398"/>
        <v/>
      </c>
      <c r="Y843" s="104" t="str">
        <f t="array" ref="Y843">IFERROR(IF(ISNUMBER(O843),IF(COUNT(IF(A843=$A$2:$A$2427,IF(D843=$D$2:$D$2427,IF($X$2:$X$2427&gt;0,1))))&gt;0,SUM(IF(A843=$A$2:$A$2427,IF(D843=$D$2:$D$2427,$X$2:$X$2427)))/COUNT(IF(A843=$A$2:$A$2427,IF(D843=$D$2:$D$2427,IF(ISNUMBER($X$2:$X$2427),1)))),0),""),0)</f>
        <v/>
      </c>
      <c r="Z843" s="104" t="str">
        <f>IF(ISNUMBER(O843),IF(I843&gt;0,(10^(VLOOKUP(D843,'Species Codes'!B:C,2,0)+VLOOKUP(D843,'Species Codes'!B:D,3,0)*LOG(E843)+VLOOKUP(D843,'Species Codes'!B:E,4,0)*LOG(I843))),0),"")</f>
        <v/>
      </c>
      <c r="AA843" s="104" t="str">
        <f>IFERROR((VLOOKUP(D843,'Species Codes'!B:G,6,0)*Z843)/2000,"")</f>
        <v/>
      </c>
      <c r="AB843" s="104" t="e">
        <f>IF(Z843&gt;0,((IF(OR(D843="DF",D843="RA")=TRUE,EXP(VLOOKUP(D843,'Species Codes'!B:I,8,0)+VLOOKUP(D843,'Species Codes'!B:J,9,0)*(LN((E843*2.54)))),IF(OR(D843="PY",D843="RC",D843="WH",D843="NF")=TRUE,VLOOKUP(D843,'Species Codes'!B:I,8,0)+VLOOKUP(D843,'Species Codes'!B:J,9,0)*((E843*2.54)^2)*(I843*0.3048),IF(OR(D843="MD",D843="BM",D843="GA")=TRUE,((VLOOKUP(D843,'Species Codes'!B:I,8,0)*(((((E843*2.54)+VLOOKUP(D843,'Species Codes'!B:J,9,0))/VLOOKUP(D843,'Species Codes'!B:K,10,0))^VLOOKUP(D843,'Species Codes'!B:L,11,0))*((I843*0.3048)^VLOOKUP(D843,'Species Codes'!B:M,12,0))))-(VLOOKUP(D843,'Species Codes'!B:I,8,0)*((((E843*2.54)^VLOOKUP(D843,'Species Codes'!B:L,11,0))*((I843*0.3048)^VLOOKUP(D843,'Species Codes'!B:M,12,0))))))*35.3*VLOOKUP(D843,'Species Codes'!B:G,6,0)/2.2046,VLOOKUP(D843,'Species Codes'!B:I,8,0)+VLOOKUP(D843,'Species Codes'!B:J,9,0)*(((E843*2.54)/100)^2)*(I843*0.3048)))))*0.0011023),0)</f>
        <v>#N/A</v>
      </c>
      <c r="AC843" s="104" t="e">
        <f>IF(Z843&gt;0,((IF(OR(D843="RA",D843="OA",D843="OT",D843="UN",D843="PC"),EXP(VLOOKUP(D843,'Species Codes'!B:O,14,0)+VLOOKUP(D843,'Species Codes'!B:P,15,0)*LN((E843*2.54)))-EXP(VLOOKUP(D843,'Species Codes'!B:O,14,0)+VLOOKUP(D843,'Species Codes'!B:P,15,0)*LN((E843*2.54)))*(1/(VLOOKUP(D843,'Species Codes'!B:Q,16,0)+VLOOKUP(D843,'Species Codes'!B:R,17,0)*((E843*2.54)^VLOOKUP(D843,'Species Codes'!B:S,18,0)))),IF(OR(D843="BM",D843="MD",D843="OA"),EXP(VLOOKUP(D843,'Species Codes'!B:O,14,0)+VLOOKUP(D843,'Species Codes'!B:P,15,0)*LN((E843*2.54)))*(1-(1/(VLOOKUP(D843,'Species Codes'!B:Q,16,0)+VLOOKUP(D843,'Species Codes'!B:R,17,0)*((E843*2.54)^VLOOKUP(D843,'Species Codes'!B:S,18,0)))))/1000,IF(D843="DF",EXP(VLOOKUP(D843,'Species Codes'!B:O,14,0)+VLOOKUP(D843,'Species Codes'!B:P,15,0)*LN((E843*2.54))),VLOOKUP(D843,'Species Codes'!B:O,14,0)+VLOOKUP(D843,'Species Codes'!B:P,15,0)*(((E843*2.54)/100)^2)*(I843*0.3048)))))*0.0011023),0)</f>
        <v>#N/A</v>
      </c>
      <c r="AD843" s="104" t="e">
        <f t="shared" si="382"/>
        <v>#N/A</v>
      </c>
      <c r="AE843" s="104" t="e">
        <f t="shared" si="383"/>
        <v>#N/A</v>
      </c>
      <c r="AF843" s="104" t="e">
        <f>IF(AND(VLOOKUP($D843,Merchantability!$B:$C,2,0)="Yes",$E843&gt;=VLOOKUP($D843,Merchantability!$B:$D,3,0),$E843&lt;=VLOOKUP($D843,Merchantability!$B:$E,4,0)),AA843,0)</f>
        <v>#N/A</v>
      </c>
      <c r="AG843" s="104" t="e">
        <f>IF(AND(VLOOKUP($D843,Merchantability!$B:$C,2,0)="Yes",$E843&gt;=VLOOKUP($D843,Merchantability!$B:$D,3,0),$E843&lt;=VLOOKUP($D843,Merchantability!$B:$E,4,0)),AB843,0)</f>
        <v>#N/A</v>
      </c>
      <c r="AH843" s="104" t="e">
        <f>IF(AND(VLOOKUP($D843,Merchantability!$B:$C,2,0)="Yes",$E843&gt;=VLOOKUP($D843,Merchantability!$B:$D,3,0),$E843&lt;=VLOOKUP($D843,Merchantability!$B:$E,4,0)),AC843,0)</f>
        <v>#N/A</v>
      </c>
      <c r="AI843" s="104" t="e">
        <f t="shared" si="384"/>
        <v>#N/A</v>
      </c>
      <c r="AJ843" s="104" t="e">
        <f t="shared" si="385"/>
        <v>#VALUE!</v>
      </c>
      <c r="AK843" s="104" t="e">
        <f t="shared" si="386"/>
        <v>#N/A</v>
      </c>
      <c r="AL843" s="104" t="e">
        <f t="shared" si="387"/>
        <v>#N/A</v>
      </c>
      <c r="AM843" s="104" t="e">
        <f t="shared" si="388"/>
        <v>#N/A</v>
      </c>
      <c r="AN843" s="104" t="e">
        <f t="shared" si="399"/>
        <v>#N/A</v>
      </c>
      <c r="AO843" s="104" t="e">
        <f t="shared" si="400"/>
        <v>#N/A</v>
      </c>
      <c r="AP843" s="104" t="e">
        <f t="shared" si="401"/>
        <v>#N/A</v>
      </c>
      <c r="AQ843" s="104" t="e">
        <f t="shared" si="402"/>
        <v>#N/A</v>
      </c>
      <c r="AR843" s="105" t="str">
        <f t="shared" si="394"/>
        <v/>
      </c>
      <c r="AS843" s="105" t="str">
        <f t="shared" si="395"/>
        <v/>
      </c>
      <c r="AT843" s="108" t="str">
        <f t="shared" si="396"/>
        <v/>
      </c>
      <c r="AU843" s="108" t="str">
        <f t="shared" si="397"/>
        <v/>
      </c>
      <c r="AV843" s="107" t="str">
        <f>IF(ISNUMBER(O843),IF(VLOOKUP($A843,Stand!C:J,8,FALSE)="Short",AT843,AU843),"")</f>
        <v/>
      </c>
      <c r="AW843" s="109" t="str">
        <f t="shared" si="403"/>
        <v/>
      </c>
      <c r="AX843" s="109" t="str">
        <f t="shared" si="404"/>
        <v/>
      </c>
      <c r="AY843" s="112" t="str">
        <f>IF(ISNUMBER(O843),IF(AND(VLOOKUP($D843,Merchantability!$B:$C,2,0)="Yes",$E843&gt;=VLOOKUP($D843,Merchantability!$B:$D,3,0),$E843&lt;=VLOOKUP($D843,Merchantability!$B:$E,4,0)),(AV843*O843)*(1-$H843/100),""),"")</f>
        <v/>
      </c>
      <c r="AZ843" s="116"/>
      <c r="BA843" s="116"/>
      <c r="BB843" s="116"/>
      <c r="BE843" s="62"/>
      <c r="BF843" s="63"/>
    </row>
    <row r="844" spans="1:58" ht="12.75" customHeight="1" x14ac:dyDescent="0.25">
      <c r="A844" s="313"/>
      <c r="B844" s="328"/>
      <c r="C844" s="329"/>
      <c r="D844" s="328"/>
      <c r="E844" s="330"/>
      <c r="F844" s="328"/>
      <c r="G844" s="329"/>
      <c r="H844" s="329"/>
      <c r="I844" s="328"/>
      <c r="J844" s="383"/>
      <c r="K844" s="329"/>
      <c r="L844" s="329"/>
      <c r="M844" s="76"/>
      <c r="N844" s="103" t="str">
        <f>IF(A844="","",VLOOKUP(A844,Stand!C:K,9,0))</f>
        <v/>
      </c>
      <c r="O844" s="104" t="str">
        <f t="shared" si="389"/>
        <v/>
      </c>
      <c r="P844" s="105" t="str">
        <f t="shared" si="390"/>
        <v/>
      </c>
      <c r="Q844" s="105" t="str">
        <f t="shared" si="378"/>
        <v/>
      </c>
      <c r="R844" s="103" t="str">
        <f t="shared" si="391"/>
        <v/>
      </c>
      <c r="S844" s="103" t="str">
        <f t="shared" si="392"/>
        <v/>
      </c>
      <c r="T844" s="106" t="str">
        <f t="shared" si="379"/>
        <v/>
      </c>
      <c r="U844" s="106" t="str">
        <f t="shared" si="380"/>
        <v/>
      </c>
      <c r="V844" s="106" t="str">
        <f t="shared" si="381"/>
        <v/>
      </c>
      <c r="W844" s="105" t="str">
        <f t="shared" si="393"/>
        <v/>
      </c>
      <c r="X844" s="104" t="str">
        <f t="shared" si="398"/>
        <v/>
      </c>
      <c r="Y844" s="104" t="str">
        <f t="array" ref="Y844">IFERROR(IF(ISNUMBER(O844),IF(COUNT(IF(A844=$A$2:$A$2427,IF(D844=$D$2:$D$2427,IF($X$2:$X$2427&gt;0,1))))&gt;0,SUM(IF(A844=$A$2:$A$2427,IF(D844=$D$2:$D$2427,$X$2:$X$2427)))/COUNT(IF(A844=$A$2:$A$2427,IF(D844=$D$2:$D$2427,IF(ISNUMBER($X$2:$X$2427),1)))),0),""),0)</f>
        <v/>
      </c>
      <c r="Z844" s="104" t="str">
        <f>IF(ISNUMBER(O844),IF(I844&gt;0,(10^(VLOOKUP(D844,'Species Codes'!B:C,2,0)+VLOOKUP(D844,'Species Codes'!B:D,3,0)*LOG(E844)+VLOOKUP(D844,'Species Codes'!B:E,4,0)*LOG(I844))),0),"")</f>
        <v/>
      </c>
      <c r="AA844" s="104" t="str">
        <f>IFERROR((VLOOKUP(D844,'Species Codes'!B:G,6,0)*Z844)/2000,"")</f>
        <v/>
      </c>
      <c r="AB844" s="104" t="e">
        <f>IF(Z844&gt;0,((IF(OR(D844="DF",D844="RA")=TRUE,EXP(VLOOKUP(D844,'Species Codes'!B:I,8,0)+VLOOKUP(D844,'Species Codes'!B:J,9,0)*(LN((E844*2.54)))),IF(OR(D844="PY",D844="RC",D844="WH",D844="NF")=TRUE,VLOOKUP(D844,'Species Codes'!B:I,8,0)+VLOOKUP(D844,'Species Codes'!B:J,9,0)*((E844*2.54)^2)*(I844*0.3048),IF(OR(D844="MD",D844="BM",D844="GA")=TRUE,((VLOOKUP(D844,'Species Codes'!B:I,8,0)*(((((E844*2.54)+VLOOKUP(D844,'Species Codes'!B:J,9,0))/VLOOKUP(D844,'Species Codes'!B:K,10,0))^VLOOKUP(D844,'Species Codes'!B:L,11,0))*((I844*0.3048)^VLOOKUP(D844,'Species Codes'!B:M,12,0))))-(VLOOKUP(D844,'Species Codes'!B:I,8,0)*((((E844*2.54)^VLOOKUP(D844,'Species Codes'!B:L,11,0))*((I844*0.3048)^VLOOKUP(D844,'Species Codes'!B:M,12,0))))))*35.3*VLOOKUP(D844,'Species Codes'!B:G,6,0)/2.2046,VLOOKUP(D844,'Species Codes'!B:I,8,0)+VLOOKUP(D844,'Species Codes'!B:J,9,0)*(((E844*2.54)/100)^2)*(I844*0.3048)))))*0.0011023),0)</f>
        <v>#N/A</v>
      </c>
      <c r="AC844" s="104" t="e">
        <f>IF(Z844&gt;0,((IF(OR(D844="RA",D844="OA",D844="OT",D844="UN",D844="PC"),EXP(VLOOKUP(D844,'Species Codes'!B:O,14,0)+VLOOKUP(D844,'Species Codes'!B:P,15,0)*LN((E844*2.54)))-EXP(VLOOKUP(D844,'Species Codes'!B:O,14,0)+VLOOKUP(D844,'Species Codes'!B:P,15,0)*LN((E844*2.54)))*(1/(VLOOKUP(D844,'Species Codes'!B:Q,16,0)+VLOOKUP(D844,'Species Codes'!B:R,17,0)*((E844*2.54)^VLOOKUP(D844,'Species Codes'!B:S,18,0)))),IF(OR(D844="BM",D844="MD",D844="OA"),EXP(VLOOKUP(D844,'Species Codes'!B:O,14,0)+VLOOKUP(D844,'Species Codes'!B:P,15,0)*LN((E844*2.54)))*(1-(1/(VLOOKUP(D844,'Species Codes'!B:Q,16,0)+VLOOKUP(D844,'Species Codes'!B:R,17,0)*((E844*2.54)^VLOOKUP(D844,'Species Codes'!B:S,18,0)))))/1000,IF(D844="DF",EXP(VLOOKUP(D844,'Species Codes'!B:O,14,0)+VLOOKUP(D844,'Species Codes'!B:P,15,0)*LN((E844*2.54))),VLOOKUP(D844,'Species Codes'!B:O,14,0)+VLOOKUP(D844,'Species Codes'!B:P,15,0)*(((E844*2.54)/100)^2)*(I844*0.3048)))))*0.0011023),0)</f>
        <v>#N/A</v>
      </c>
      <c r="AD844" s="104" t="e">
        <f t="shared" si="382"/>
        <v>#N/A</v>
      </c>
      <c r="AE844" s="104" t="e">
        <f t="shared" si="383"/>
        <v>#N/A</v>
      </c>
      <c r="AF844" s="104" t="e">
        <f>IF(AND(VLOOKUP($D844,Merchantability!$B:$C,2,0)="Yes",$E844&gt;=VLOOKUP($D844,Merchantability!$B:$D,3,0),$E844&lt;=VLOOKUP($D844,Merchantability!$B:$E,4,0)),AA844,0)</f>
        <v>#N/A</v>
      </c>
      <c r="AG844" s="104" t="e">
        <f>IF(AND(VLOOKUP($D844,Merchantability!$B:$C,2,0)="Yes",$E844&gt;=VLOOKUP($D844,Merchantability!$B:$D,3,0),$E844&lt;=VLOOKUP($D844,Merchantability!$B:$E,4,0)),AB844,0)</f>
        <v>#N/A</v>
      </c>
      <c r="AH844" s="104" t="e">
        <f>IF(AND(VLOOKUP($D844,Merchantability!$B:$C,2,0)="Yes",$E844&gt;=VLOOKUP($D844,Merchantability!$B:$D,3,0),$E844&lt;=VLOOKUP($D844,Merchantability!$B:$E,4,0)),AC844,0)</f>
        <v>#N/A</v>
      </c>
      <c r="AI844" s="104" t="e">
        <f t="shared" si="384"/>
        <v>#N/A</v>
      </c>
      <c r="AJ844" s="104" t="e">
        <f t="shared" si="385"/>
        <v>#VALUE!</v>
      </c>
      <c r="AK844" s="104" t="e">
        <f t="shared" si="386"/>
        <v>#N/A</v>
      </c>
      <c r="AL844" s="104" t="e">
        <f t="shared" si="387"/>
        <v>#N/A</v>
      </c>
      <c r="AM844" s="104" t="e">
        <f t="shared" si="388"/>
        <v>#N/A</v>
      </c>
      <c r="AN844" s="104" t="e">
        <f t="shared" si="399"/>
        <v>#N/A</v>
      </c>
      <c r="AO844" s="104" t="e">
        <f t="shared" si="400"/>
        <v>#N/A</v>
      </c>
      <c r="AP844" s="104" t="e">
        <f t="shared" si="401"/>
        <v>#N/A</v>
      </c>
      <c r="AQ844" s="104" t="e">
        <f t="shared" si="402"/>
        <v>#N/A</v>
      </c>
      <c r="AR844" s="105" t="str">
        <f t="shared" si="394"/>
        <v/>
      </c>
      <c r="AS844" s="105" t="str">
        <f t="shared" si="395"/>
        <v/>
      </c>
      <c r="AT844" s="108" t="str">
        <f t="shared" si="396"/>
        <v/>
      </c>
      <c r="AU844" s="108" t="str">
        <f t="shared" si="397"/>
        <v/>
      </c>
      <c r="AV844" s="107" t="str">
        <f>IF(ISNUMBER(O844),IF(VLOOKUP($A844,Stand!C:J,8,FALSE)="Short",AT844,AU844),"")</f>
        <v/>
      </c>
      <c r="AW844" s="109" t="str">
        <f t="shared" si="403"/>
        <v/>
      </c>
      <c r="AX844" s="109" t="str">
        <f t="shared" si="404"/>
        <v/>
      </c>
      <c r="AY844" s="112" t="str">
        <f>IF(ISNUMBER(O844),IF(AND(VLOOKUP($D844,Merchantability!$B:$C,2,0)="Yes",$E844&gt;=VLOOKUP($D844,Merchantability!$B:$D,3,0),$E844&lt;=VLOOKUP($D844,Merchantability!$B:$E,4,0)),(AV844*O844)*(1-$H844/100),""),"")</f>
        <v/>
      </c>
      <c r="AZ844" s="116"/>
      <c r="BA844" s="116"/>
      <c r="BB844" s="116"/>
      <c r="BE844" s="62"/>
      <c r="BF844" s="63"/>
    </row>
    <row r="845" spans="1:58" ht="12.75" customHeight="1" x14ac:dyDescent="0.25">
      <c r="A845" s="313"/>
      <c r="B845" s="328"/>
      <c r="C845" s="329"/>
      <c r="D845" s="328"/>
      <c r="E845" s="330"/>
      <c r="F845" s="328"/>
      <c r="G845" s="329"/>
      <c r="H845" s="329"/>
      <c r="I845" s="328"/>
      <c r="J845" s="383"/>
      <c r="K845" s="329"/>
      <c r="L845" s="329"/>
      <c r="M845" s="76"/>
      <c r="N845" s="103" t="str">
        <f>IF(A845="","",VLOOKUP(A845,Stand!C:K,9,0))</f>
        <v/>
      </c>
      <c r="O845" s="104" t="str">
        <f t="shared" si="389"/>
        <v/>
      </c>
      <c r="P845" s="105" t="str">
        <f t="shared" si="390"/>
        <v/>
      </c>
      <c r="Q845" s="105" t="str">
        <f t="shared" si="378"/>
        <v/>
      </c>
      <c r="R845" s="103" t="str">
        <f t="shared" si="391"/>
        <v/>
      </c>
      <c r="S845" s="103" t="str">
        <f t="shared" si="392"/>
        <v/>
      </c>
      <c r="T845" s="106" t="str">
        <f t="shared" si="379"/>
        <v/>
      </c>
      <c r="U845" s="106" t="str">
        <f t="shared" si="380"/>
        <v/>
      </c>
      <c r="V845" s="106" t="str">
        <f t="shared" si="381"/>
        <v/>
      </c>
      <c r="W845" s="105" t="str">
        <f t="shared" si="393"/>
        <v/>
      </c>
      <c r="X845" s="104" t="str">
        <f t="shared" si="398"/>
        <v/>
      </c>
      <c r="Y845" s="104" t="str">
        <f t="array" ref="Y845">IFERROR(IF(ISNUMBER(O845),IF(COUNT(IF(A845=$A$2:$A$2427,IF(D845=$D$2:$D$2427,IF($X$2:$X$2427&gt;0,1))))&gt;0,SUM(IF(A845=$A$2:$A$2427,IF(D845=$D$2:$D$2427,$X$2:$X$2427)))/COUNT(IF(A845=$A$2:$A$2427,IF(D845=$D$2:$D$2427,IF(ISNUMBER($X$2:$X$2427),1)))),0),""),0)</f>
        <v/>
      </c>
      <c r="Z845" s="104" t="str">
        <f>IF(ISNUMBER(O845),IF(I845&gt;0,(10^(VLOOKUP(D845,'Species Codes'!B:C,2,0)+VLOOKUP(D845,'Species Codes'!B:D,3,0)*LOG(E845)+VLOOKUP(D845,'Species Codes'!B:E,4,0)*LOG(I845))),0),"")</f>
        <v/>
      </c>
      <c r="AA845" s="104" t="str">
        <f>IFERROR((VLOOKUP(D845,'Species Codes'!B:G,6,0)*Z845)/2000,"")</f>
        <v/>
      </c>
      <c r="AB845" s="104" t="e">
        <f>IF(Z845&gt;0,((IF(OR(D845="DF",D845="RA")=TRUE,EXP(VLOOKUP(D845,'Species Codes'!B:I,8,0)+VLOOKUP(D845,'Species Codes'!B:J,9,0)*(LN((E845*2.54)))),IF(OR(D845="PY",D845="RC",D845="WH",D845="NF")=TRUE,VLOOKUP(D845,'Species Codes'!B:I,8,0)+VLOOKUP(D845,'Species Codes'!B:J,9,0)*((E845*2.54)^2)*(I845*0.3048),IF(OR(D845="MD",D845="BM",D845="GA")=TRUE,((VLOOKUP(D845,'Species Codes'!B:I,8,0)*(((((E845*2.54)+VLOOKUP(D845,'Species Codes'!B:J,9,0))/VLOOKUP(D845,'Species Codes'!B:K,10,0))^VLOOKUP(D845,'Species Codes'!B:L,11,0))*((I845*0.3048)^VLOOKUP(D845,'Species Codes'!B:M,12,0))))-(VLOOKUP(D845,'Species Codes'!B:I,8,0)*((((E845*2.54)^VLOOKUP(D845,'Species Codes'!B:L,11,0))*((I845*0.3048)^VLOOKUP(D845,'Species Codes'!B:M,12,0))))))*35.3*VLOOKUP(D845,'Species Codes'!B:G,6,0)/2.2046,VLOOKUP(D845,'Species Codes'!B:I,8,0)+VLOOKUP(D845,'Species Codes'!B:J,9,0)*(((E845*2.54)/100)^2)*(I845*0.3048)))))*0.0011023),0)</f>
        <v>#N/A</v>
      </c>
      <c r="AC845" s="104" t="e">
        <f>IF(Z845&gt;0,((IF(OR(D845="RA",D845="OA",D845="OT",D845="UN",D845="PC"),EXP(VLOOKUP(D845,'Species Codes'!B:O,14,0)+VLOOKUP(D845,'Species Codes'!B:P,15,0)*LN((E845*2.54)))-EXP(VLOOKUP(D845,'Species Codes'!B:O,14,0)+VLOOKUP(D845,'Species Codes'!B:P,15,0)*LN((E845*2.54)))*(1/(VLOOKUP(D845,'Species Codes'!B:Q,16,0)+VLOOKUP(D845,'Species Codes'!B:R,17,0)*((E845*2.54)^VLOOKUP(D845,'Species Codes'!B:S,18,0)))),IF(OR(D845="BM",D845="MD",D845="OA"),EXP(VLOOKUP(D845,'Species Codes'!B:O,14,0)+VLOOKUP(D845,'Species Codes'!B:P,15,0)*LN((E845*2.54)))*(1-(1/(VLOOKUP(D845,'Species Codes'!B:Q,16,0)+VLOOKUP(D845,'Species Codes'!B:R,17,0)*((E845*2.54)^VLOOKUP(D845,'Species Codes'!B:S,18,0)))))/1000,IF(D845="DF",EXP(VLOOKUP(D845,'Species Codes'!B:O,14,0)+VLOOKUP(D845,'Species Codes'!B:P,15,0)*LN((E845*2.54))),VLOOKUP(D845,'Species Codes'!B:O,14,0)+VLOOKUP(D845,'Species Codes'!B:P,15,0)*(((E845*2.54)/100)^2)*(I845*0.3048)))))*0.0011023),0)</f>
        <v>#N/A</v>
      </c>
      <c r="AD845" s="104" t="e">
        <f t="shared" si="382"/>
        <v>#N/A</v>
      </c>
      <c r="AE845" s="104" t="e">
        <f t="shared" si="383"/>
        <v>#N/A</v>
      </c>
      <c r="AF845" s="104" t="e">
        <f>IF(AND(VLOOKUP($D845,Merchantability!$B:$C,2,0)="Yes",$E845&gt;=VLOOKUP($D845,Merchantability!$B:$D,3,0),$E845&lt;=VLOOKUP($D845,Merchantability!$B:$E,4,0)),AA845,0)</f>
        <v>#N/A</v>
      </c>
      <c r="AG845" s="104" t="e">
        <f>IF(AND(VLOOKUP($D845,Merchantability!$B:$C,2,0)="Yes",$E845&gt;=VLOOKUP($D845,Merchantability!$B:$D,3,0),$E845&lt;=VLOOKUP($D845,Merchantability!$B:$E,4,0)),AB845,0)</f>
        <v>#N/A</v>
      </c>
      <c r="AH845" s="104" t="e">
        <f>IF(AND(VLOOKUP($D845,Merchantability!$B:$C,2,0)="Yes",$E845&gt;=VLOOKUP($D845,Merchantability!$B:$D,3,0),$E845&lt;=VLOOKUP($D845,Merchantability!$B:$E,4,0)),AC845,0)</f>
        <v>#N/A</v>
      </c>
      <c r="AI845" s="104" t="e">
        <f t="shared" si="384"/>
        <v>#N/A</v>
      </c>
      <c r="AJ845" s="104" t="e">
        <f t="shared" si="385"/>
        <v>#VALUE!</v>
      </c>
      <c r="AK845" s="104" t="e">
        <f t="shared" si="386"/>
        <v>#N/A</v>
      </c>
      <c r="AL845" s="104" t="e">
        <f t="shared" si="387"/>
        <v>#N/A</v>
      </c>
      <c r="AM845" s="104" t="e">
        <f t="shared" si="388"/>
        <v>#N/A</v>
      </c>
      <c r="AN845" s="104" t="e">
        <f t="shared" si="399"/>
        <v>#N/A</v>
      </c>
      <c r="AO845" s="104" t="e">
        <f t="shared" si="400"/>
        <v>#N/A</v>
      </c>
      <c r="AP845" s="104" t="e">
        <f t="shared" si="401"/>
        <v>#N/A</v>
      </c>
      <c r="AQ845" s="104" t="e">
        <f t="shared" si="402"/>
        <v>#N/A</v>
      </c>
      <c r="AR845" s="105" t="str">
        <f t="shared" si="394"/>
        <v/>
      </c>
      <c r="AS845" s="105" t="str">
        <f t="shared" si="395"/>
        <v/>
      </c>
      <c r="AT845" s="108" t="str">
        <f t="shared" si="396"/>
        <v/>
      </c>
      <c r="AU845" s="108" t="str">
        <f t="shared" si="397"/>
        <v/>
      </c>
      <c r="AV845" s="107" t="str">
        <f>IF(ISNUMBER(O845),IF(VLOOKUP($A845,Stand!C:J,8,FALSE)="Short",AT845,AU845),"")</f>
        <v/>
      </c>
      <c r="AW845" s="109" t="str">
        <f t="shared" si="403"/>
        <v/>
      </c>
      <c r="AX845" s="109" t="str">
        <f t="shared" si="404"/>
        <v/>
      </c>
      <c r="AY845" s="112" t="str">
        <f>IF(ISNUMBER(O845),IF(AND(VLOOKUP($D845,Merchantability!$B:$C,2,0)="Yes",$E845&gt;=VLOOKUP($D845,Merchantability!$B:$D,3,0),$E845&lt;=VLOOKUP($D845,Merchantability!$B:$E,4,0)),(AV845*O845)*(1-$H845/100),""),"")</f>
        <v/>
      </c>
      <c r="AZ845" s="116"/>
      <c r="BA845" s="116"/>
      <c r="BB845" s="116"/>
      <c r="BE845" s="62"/>
      <c r="BF845" s="63"/>
    </row>
    <row r="846" spans="1:58" ht="12.75" customHeight="1" x14ac:dyDescent="0.25">
      <c r="A846" s="313"/>
      <c r="B846" s="328"/>
      <c r="C846" s="329"/>
      <c r="D846" s="328"/>
      <c r="E846" s="330"/>
      <c r="F846" s="328"/>
      <c r="G846" s="329"/>
      <c r="H846" s="329"/>
      <c r="I846" s="328"/>
      <c r="J846" s="383"/>
      <c r="K846" s="329"/>
      <c r="L846" s="329"/>
      <c r="M846" s="76"/>
      <c r="N846" s="103" t="str">
        <f>IF(A846="","",VLOOKUP(A846,Stand!C:K,9,0))</f>
        <v/>
      </c>
      <c r="O846" s="104" t="str">
        <f t="shared" si="389"/>
        <v/>
      </c>
      <c r="P846" s="105" t="str">
        <f t="shared" si="390"/>
        <v/>
      </c>
      <c r="Q846" s="105" t="str">
        <f t="shared" si="378"/>
        <v/>
      </c>
      <c r="R846" s="103" t="str">
        <f t="shared" si="391"/>
        <v/>
      </c>
      <c r="S846" s="103" t="str">
        <f t="shared" si="392"/>
        <v/>
      </c>
      <c r="T846" s="106" t="str">
        <f t="shared" si="379"/>
        <v/>
      </c>
      <c r="U846" s="106" t="str">
        <f t="shared" si="380"/>
        <v/>
      </c>
      <c r="V846" s="106" t="str">
        <f t="shared" si="381"/>
        <v/>
      </c>
      <c r="W846" s="105" t="str">
        <f t="shared" si="393"/>
        <v/>
      </c>
      <c r="X846" s="104" t="str">
        <f t="shared" si="398"/>
        <v/>
      </c>
      <c r="Y846" s="104" t="str">
        <f t="array" ref="Y846">IFERROR(IF(ISNUMBER(O846),IF(COUNT(IF(A846=$A$2:$A$2427,IF(D846=$D$2:$D$2427,IF($X$2:$X$2427&gt;0,1))))&gt;0,SUM(IF(A846=$A$2:$A$2427,IF(D846=$D$2:$D$2427,$X$2:$X$2427)))/COUNT(IF(A846=$A$2:$A$2427,IF(D846=$D$2:$D$2427,IF(ISNUMBER($X$2:$X$2427),1)))),0),""),0)</f>
        <v/>
      </c>
      <c r="Z846" s="104" t="str">
        <f>IF(ISNUMBER(O846),IF(I846&gt;0,(10^(VLOOKUP(D846,'Species Codes'!B:C,2,0)+VLOOKUP(D846,'Species Codes'!B:D,3,0)*LOG(E846)+VLOOKUP(D846,'Species Codes'!B:E,4,0)*LOG(I846))),0),"")</f>
        <v/>
      </c>
      <c r="AA846" s="104" t="str">
        <f>IFERROR((VLOOKUP(D846,'Species Codes'!B:G,6,0)*Z846)/2000,"")</f>
        <v/>
      </c>
      <c r="AB846" s="104" t="e">
        <f>IF(Z846&gt;0,((IF(OR(D846="DF",D846="RA")=TRUE,EXP(VLOOKUP(D846,'Species Codes'!B:I,8,0)+VLOOKUP(D846,'Species Codes'!B:J,9,0)*(LN((E846*2.54)))),IF(OR(D846="PY",D846="RC",D846="WH",D846="NF")=TRUE,VLOOKUP(D846,'Species Codes'!B:I,8,0)+VLOOKUP(D846,'Species Codes'!B:J,9,0)*((E846*2.54)^2)*(I846*0.3048),IF(OR(D846="MD",D846="BM",D846="GA")=TRUE,((VLOOKUP(D846,'Species Codes'!B:I,8,0)*(((((E846*2.54)+VLOOKUP(D846,'Species Codes'!B:J,9,0))/VLOOKUP(D846,'Species Codes'!B:K,10,0))^VLOOKUP(D846,'Species Codes'!B:L,11,0))*((I846*0.3048)^VLOOKUP(D846,'Species Codes'!B:M,12,0))))-(VLOOKUP(D846,'Species Codes'!B:I,8,0)*((((E846*2.54)^VLOOKUP(D846,'Species Codes'!B:L,11,0))*((I846*0.3048)^VLOOKUP(D846,'Species Codes'!B:M,12,0))))))*35.3*VLOOKUP(D846,'Species Codes'!B:G,6,0)/2.2046,VLOOKUP(D846,'Species Codes'!B:I,8,0)+VLOOKUP(D846,'Species Codes'!B:J,9,0)*(((E846*2.54)/100)^2)*(I846*0.3048)))))*0.0011023),0)</f>
        <v>#N/A</v>
      </c>
      <c r="AC846" s="104" t="e">
        <f>IF(Z846&gt;0,((IF(OR(D846="RA",D846="OA",D846="OT",D846="UN",D846="PC"),EXP(VLOOKUP(D846,'Species Codes'!B:O,14,0)+VLOOKUP(D846,'Species Codes'!B:P,15,0)*LN((E846*2.54)))-EXP(VLOOKUP(D846,'Species Codes'!B:O,14,0)+VLOOKUP(D846,'Species Codes'!B:P,15,0)*LN((E846*2.54)))*(1/(VLOOKUP(D846,'Species Codes'!B:Q,16,0)+VLOOKUP(D846,'Species Codes'!B:R,17,0)*((E846*2.54)^VLOOKUP(D846,'Species Codes'!B:S,18,0)))),IF(OR(D846="BM",D846="MD",D846="OA"),EXP(VLOOKUP(D846,'Species Codes'!B:O,14,0)+VLOOKUP(D846,'Species Codes'!B:P,15,0)*LN((E846*2.54)))*(1-(1/(VLOOKUP(D846,'Species Codes'!B:Q,16,0)+VLOOKUP(D846,'Species Codes'!B:R,17,0)*((E846*2.54)^VLOOKUP(D846,'Species Codes'!B:S,18,0)))))/1000,IF(D846="DF",EXP(VLOOKUP(D846,'Species Codes'!B:O,14,0)+VLOOKUP(D846,'Species Codes'!B:P,15,0)*LN((E846*2.54))),VLOOKUP(D846,'Species Codes'!B:O,14,0)+VLOOKUP(D846,'Species Codes'!B:P,15,0)*(((E846*2.54)/100)^2)*(I846*0.3048)))))*0.0011023),0)</f>
        <v>#N/A</v>
      </c>
      <c r="AD846" s="104" t="e">
        <f t="shared" si="382"/>
        <v>#N/A</v>
      </c>
      <c r="AE846" s="104" t="e">
        <f t="shared" si="383"/>
        <v>#N/A</v>
      </c>
      <c r="AF846" s="104" t="e">
        <f>IF(AND(VLOOKUP($D846,Merchantability!$B:$C,2,0)="Yes",$E846&gt;=VLOOKUP($D846,Merchantability!$B:$D,3,0),$E846&lt;=VLOOKUP($D846,Merchantability!$B:$E,4,0)),AA846,0)</f>
        <v>#N/A</v>
      </c>
      <c r="AG846" s="104" t="e">
        <f>IF(AND(VLOOKUP($D846,Merchantability!$B:$C,2,0)="Yes",$E846&gt;=VLOOKUP($D846,Merchantability!$B:$D,3,0),$E846&lt;=VLOOKUP($D846,Merchantability!$B:$E,4,0)),AB846,0)</f>
        <v>#N/A</v>
      </c>
      <c r="AH846" s="104" t="e">
        <f>IF(AND(VLOOKUP($D846,Merchantability!$B:$C,2,0)="Yes",$E846&gt;=VLOOKUP($D846,Merchantability!$B:$D,3,0),$E846&lt;=VLOOKUP($D846,Merchantability!$B:$E,4,0)),AC846,0)</f>
        <v>#N/A</v>
      </c>
      <c r="AI846" s="104" t="e">
        <f t="shared" si="384"/>
        <v>#N/A</v>
      </c>
      <c r="AJ846" s="104" t="e">
        <f t="shared" si="385"/>
        <v>#VALUE!</v>
      </c>
      <c r="AK846" s="104" t="e">
        <f t="shared" si="386"/>
        <v>#N/A</v>
      </c>
      <c r="AL846" s="104" t="e">
        <f t="shared" si="387"/>
        <v>#N/A</v>
      </c>
      <c r="AM846" s="104" t="e">
        <f t="shared" si="388"/>
        <v>#N/A</v>
      </c>
      <c r="AN846" s="104" t="e">
        <f t="shared" si="399"/>
        <v>#N/A</v>
      </c>
      <c r="AO846" s="104" t="e">
        <f t="shared" si="400"/>
        <v>#N/A</v>
      </c>
      <c r="AP846" s="104" t="e">
        <f t="shared" si="401"/>
        <v>#N/A</v>
      </c>
      <c r="AQ846" s="104" t="e">
        <f t="shared" si="402"/>
        <v>#N/A</v>
      </c>
      <c r="AR846" s="105" t="str">
        <f t="shared" si="394"/>
        <v/>
      </c>
      <c r="AS846" s="105" t="str">
        <f t="shared" si="395"/>
        <v/>
      </c>
      <c r="AT846" s="108" t="str">
        <f t="shared" si="396"/>
        <v/>
      </c>
      <c r="AU846" s="108" t="str">
        <f t="shared" si="397"/>
        <v/>
      </c>
      <c r="AV846" s="107" t="str">
        <f>IF(ISNUMBER(O846),IF(VLOOKUP($A846,Stand!C:J,8,FALSE)="Short",AT846,AU846),"")</f>
        <v/>
      </c>
      <c r="AW846" s="109" t="str">
        <f t="shared" si="403"/>
        <v/>
      </c>
      <c r="AX846" s="109" t="str">
        <f t="shared" si="404"/>
        <v/>
      </c>
      <c r="AY846" s="112" t="str">
        <f>IF(ISNUMBER(O846),IF(AND(VLOOKUP($D846,Merchantability!$B:$C,2,0)="Yes",$E846&gt;=VLOOKUP($D846,Merchantability!$B:$D,3,0),$E846&lt;=VLOOKUP($D846,Merchantability!$B:$E,4,0)),(AV846*O846)*(1-$H846/100),""),"")</f>
        <v/>
      </c>
      <c r="AZ846" s="116"/>
      <c r="BA846" s="116"/>
      <c r="BB846" s="116"/>
      <c r="BE846" s="62"/>
      <c r="BF846" s="63"/>
    </row>
    <row r="847" spans="1:58" ht="12.75" customHeight="1" x14ac:dyDescent="0.25">
      <c r="A847" s="313"/>
      <c r="B847" s="328"/>
      <c r="C847" s="329"/>
      <c r="D847" s="328"/>
      <c r="E847" s="330"/>
      <c r="F847" s="328"/>
      <c r="G847" s="329"/>
      <c r="H847" s="329"/>
      <c r="I847" s="328"/>
      <c r="J847" s="383"/>
      <c r="K847" s="329"/>
      <c r="L847" s="329"/>
      <c r="M847" s="76"/>
      <c r="N847" s="103" t="str">
        <f>IF(A847="","",VLOOKUP(A847,Stand!C:K,9,0))</f>
        <v/>
      </c>
      <c r="O847" s="104" t="str">
        <f t="shared" si="389"/>
        <v/>
      </c>
      <c r="P847" s="105" t="str">
        <f t="shared" si="390"/>
        <v/>
      </c>
      <c r="Q847" s="105" t="str">
        <f t="shared" si="378"/>
        <v/>
      </c>
      <c r="R847" s="103" t="str">
        <f t="shared" si="391"/>
        <v/>
      </c>
      <c r="S847" s="103" t="str">
        <f t="shared" si="392"/>
        <v/>
      </c>
      <c r="T847" s="106" t="str">
        <f t="shared" si="379"/>
        <v/>
      </c>
      <c r="U847" s="106" t="str">
        <f t="shared" si="380"/>
        <v/>
      </c>
      <c r="V847" s="106" t="str">
        <f t="shared" si="381"/>
        <v/>
      </c>
      <c r="W847" s="105" t="str">
        <f t="shared" si="393"/>
        <v/>
      </c>
      <c r="X847" s="104" t="str">
        <f t="shared" si="398"/>
        <v/>
      </c>
      <c r="Y847" s="104" t="str">
        <f t="array" ref="Y847">IFERROR(IF(ISNUMBER(O847),IF(COUNT(IF(A847=$A$2:$A$2427,IF(D847=$D$2:$D$2427,IF($X$2:$X$2427&gt;0,1))))&gt;0,SUM(IF(A847=$A$2:$A$2427,IF(D847=$D$2:$D$2427,$X$2:$X$2427)))/COUNT(IF(A847=$A$2:$A$2427,IF(D847=$D$2:$D$2427,IF(ISNUMBER($X$2:$X$2427),1)))),0),""),0)</f>
        <v/>
      </c>
      <c r="Z847" s="104" t="str">
        <f>IF(ISNUMBER(O847),IF(I847&gt;0,(10^(VLOOKUP(D847,'Species Codes'!B:C,2,0)+VLOOKUP(D847,'Species Codes'!B:D,3,0)*LOG(E847)+VLOOKUP(D847,'Species Codes'!B:E,4,0)*LOG(I847))),0),"")</f>
        <v/>
      </c>
      <c r="AA847" s="104" t="str">
        <f>IFERROR((VLOOKUP(D847,'Species Codes'!B:G,6,0)*Z847)/2000,"")</f>
        <v/>
      </c>
      <c r="AB847" s="104" t="e">
        <f>IF(Z847&gt;0,((IF(OR(D847="DF",D847="RA")=TRUE,EXP(VLOOKUP(D847,'Species Codes'!B:I,8,0)+VLOOKUP(D847,'Species Codes'!B:J,9,0)*(LN((E847*2.54)))),IF(OR(D847="PY",D847="RC",D847="WH",D847="NF")=TRUE,VLOOKUP(D847,'Species Codes'!B:I,8,0)+VLOOKUP(D847,'Species Codes'!B:J,9,0)*((E847*2.54)^2)*(I847*0.3048),IF(OR(D847="MD",D847="BM",D847="GA")=TRUE,((VLOOKUP(D847,'Species Codes'!B:I,8,0)*(((((E847*2.54)+VLOOKUP(D847,'Species Codes'!B:J,9,0))/VLOOKUP(D847,'Species Codes'!B:K,10,0))^VLOOKUP(D847,'Species Codes'!B:L,11,0))*((I847*0.3048)^VLOOKUP(D847,'Species Codes'!B:M,12,0))))-(VLOOKUP(D847,'Species Codes'!B:I,8,0)*((((E847*2.54)^VLOOKUP(D847,'Species Codes'!B:L,11,0))*((I847*0.3048)^VLOOKUP(D847,'Species Codes'!B:M,12,0))))))*35.3*VLOOKUP(D847,'Species Codes'!B:G,6,0)/2.2046,VLOOKUP(D847,'Species Codes'!B:I,8,0)+VLOOKUP(D847,'Species Codes'!B:J,9,0)*(((E847*2.54)/100)^2)*(I847*0.3048)))))*0.0011023),0)</f>
        <v>#N/A</v>
      </c>
      <c r="AC847" s="104" t="e">
        <f>IF(Z847&gt;0,((IF(OR(D847="RA",D847="OA",D847="OT",D847="UN",D847="PC"),EXP(VLOOKUP(D847,'Species Codes'!B:O,14,0)+VLOOKUP(D847,'Species Codes'!B:P,15,0)*LN((E847*2.54)))-EXP(VLOOKUP(D847,'Species Codes'!B:O,14,0)+VLOOKUP(D847,'Species Codes'!B:P,15,0)*LN((E847*2.54)))*(1/(VLOOKUP(D847,'Species Codes'!B:Q,16,0)+VLOOKUP(D847,'Species Codes'!B:R,17,0)*((E847*2.54)^VLOOKUP(D847,'Species Codes'!B:S,18,0)))),IF(OR(D847="BM",D847="MD",D847="OA"),EXP(VLOOKUP(D847,'Species Codes'!B:O,14,0)+VLOOKUP(D847,'Species Codes'!B:P,15,0)*LN((E847*2.54)))*(1-(1/(VLOOKUP(D847,'Species Codes'!B:Q,16,0)+VLOOKUP(D847,'Species Codes'!B:R,17,0)*((E847*2.54)^VLOOKUP(D847,'Species Codes'!B:S,18,0)))))/1000,IF(D847="DF",EXP(VLOOKUP(D847,'Species Codes'!B:O,14,0)+VLOOKUP(D847,'Species Codes'!B:P,15,0)*LN((E847*2.54))),VLOOKUP(D847,'Species Codes'!B:O,14,0)+VLOOKUP(D847,'Species Codes'!B:P,15,0)*(((E847*2.54)/100)^2)*(I847*0.3048)))))*0.0011023),0)</f>
        <v>#N/A</v>
      </c>
      <c r="AD847" s="104" t="e">
        <f t="shared" si="382"/>
        <v>#N/A</v>
      </c>
      <c r="AE847" s="104" t="e">
        <f t="shared" si="383"/>
        <v>#N/A</v>
      </c>
      <c r="AF847" s="104" t="e">
        <f>IF(AND(VLOOKUP($D847,Merchantability!$B:$C,2,0)="Yes",$E847&gt;=VLOOKUP($D847,Merchantability!$B:$D,3,0),$E847&lt;=VLOOKUP($D847,Merchantability!$B:$E,4,0)),AA847,0)</f>
        <v>#N/A</v>
      </c>
      <c r="AG847" s="104" t="e">
        <f>IF(AND(VLOOKUP($D847,Merchantability!$B:$C,2,0)="Yes",$E847&gt;=VLOOKUP($D847,Merchantability!$B:$D,3,0),$E847&lt;=VLOOKUP($D847,Merchantability!$B:$E,4,0)),AB847,0)</f>
        <v>#N/A</v>
      </c>
      <c r="AH847" s="104" t="e">
        <f>IF(AND(VLOOKUP($D847,Merchantability!$B:$C,2,0)="Yes",$E847&gt;=VLOOKUP($D847,Merchantability!$B:$D,3,0),$E847&lt;=VLOOKUP($D847,Merchantability!$B:$E,4,0)),AC847,0)</f>
        <v>#N/A</v>
      </c>
      <c r="AI847" s="104" t="e">
        <f t="shared" si="384"/>
        <v>#N/A</v>
      </c>
      <c r="AJ847" s="104" t="e">
        <f t="shared" si="385"/>
        <v>#VALUE!</v>
      </c>
      <c r="AK847" s="104" t="e">
        <f t="shared" si="386"/>
        <v>#N/A</v>
      </c>
      <c r="AL847" s="104" t="e">
        <f t="shared" si="387"/>
        <v>#N/A</v>
      </c>
      <c r="AM847" s="104" t="e">
        <f t="shared" si="388"/>
        <v>#N/A</v>
      </c>
      <c r="AN847" s="104" t="e">
        <f t="shared" si="399"/>
        <v>#N/A</v>
      </c>
      <c r="AO847" s="104" t="e">
        <f t="shared" si="400"/>
        <v>#N/A</v>
      </c>
      <c r="AP847" s="104" t="e">
        <f t="shared" si="401"/>
        <v>#N/A</v>
      </c>
      <c r="AQ847" s="104" t="e">
        <f t="shared" si="402"/>
        <v>#N/A</v>
      </c>
      <c r="AR847" s="105" t="str">
        <f t="shared" si="394"/>
        <v/>
      </c>
      <c r="AS847" s="105" t="str">
        <f t="shared" si="395"/>
        <v/>
      </c>
      <c r="AT847" s="108" t="str">
        <f t="shared" si="396"/>
        <v/>
      </c>
      <c r="AU847" s="108" t="str">
        <f t="shared" si="397"/>
        <v/>
      </c>
      <c r="AV847" s="107" t="str">
        <f>IF(ISNUMBER(O847),IF(VLOOKUP($A847,Stand!C:J,8,FALSE)="Short",AT847,AU847),"")</f>
        <v/>
      </c>
      <c r="AW847" s="109" t="str">
        <f t="shared" si="403"/>
        <v/>
      </c>
      <c r="AX847" s="109" t="str">
        <f t="shared" si="404"/>
        <v/>
      </c>
      <c r="AY847" s="112" t="str">
        <f>IF(ISNUMBER(O847),IF(AND(VLOOKUP($D847,Merchantability!$B:$C,2,0)="Yes",$E847&gt;=VLOOKUP($D847,Merchantability!$B:$D,3,0),$E847&lt;=VLOOKUP($D847,Merchantability!$B:$E,4,0)),(AV847*O847)*(1-$H847/100),""),"")</f>
        <v/>
      </c>
      <c r="AZ847" s="116"/>
      <c r="BA847" s="116"/>
      <c r="BB847" s="116"/>
      <c r="BE847" s="62"/>
      <c r="BF847" s="63"/>
    </row>
    <row r="848" spans="1:58" ht="12.75" customHeight="1" x14ac:dyDescent="0.25">
      <c r="A848" s="313"/>
      <c r="B848" s="328"/>
      <c r="C848" s="329"/>
      <c r="D848" s="328"/>
      <c r="E848" s="330"/>
      <c r="F848" s="328"/>
      <c r="G848" s="329"/>
      <c r="H848" s="329"/>
      <c r="I848" s="328"/>
      <c r="J848" s="383"/>
      <c r="K848" s="329"/>
      <c r="L848" s="329"/>
      <c r="M848" s="76"/>
      <c r="N848" s="103" t="str">
        <f>IF(A848="","",VLOOKUP(A848,Stand!C:K,9,0))</f>
        <v/>
      </c>
      <c r="O848" s="104" t="str">
        <f t="shared" si="389"/>
        <v/>
      </c>
      <c r="P848" s="105" t="str">
        <f t="shared" si="390"/>
        <v/>
      </c>
      <c r="Q848" s="105" t="str">
        <f t="shared" si="378"/>
        <v/>
      </c>
      <c r="R848" s="103" t="str">
        <f t="shared" si="391"/>
        <v/>
      </c>
      <c r="S848" s="103" t="str">
        <f t="shared" si="392"/>
        <v/>
      </c>
      <c r="T848" s="106" t="str">
        <f t="shared" si="379"/>
        <v/>
      </c>
      <c r="U848" s="106" t="str">
        <f t="shared" si="380"/>
        <v/>
      </c>
      <c r="V848" s="106" t="str">
        <f t="shared" si="381"/>
        <v/>
      </c>
      <c r="W848" s="105" t="str">
        <f t="shared" si="393"/>
        <v/>
      </c>
      <c r="X848" s="104" t="str">
        <f t="shared" si="398"/>
        <v/>
      </c>
      <c r="Y848" s="104" t="str">
        <f t="array" ref="Y848">IFERROR(IF(ISNUMBER(O848),IF(COUNT(IF(A848=$A$2:$A$2427,IF(D848=$D$2:$D$2427,IF($X$2:$X$2427&gt;0,1))))&gt;0,SUM(IF(A848=$A$2:$A$2427,IF(D848=$D$2:$D$2427,$X$2:$X$2427)))/COUNT(IF(A848=$A$2:$A$2427,IF(D848=$D$2:$D$2427,IF(ISNUMBER($X$2:$X$2427),1)))),0),""),0)</f>
        <v/>
      </c>
      <c r="Z848" s="104" t="str">
        <f>IF(ISNUMBER(O848),IF(I848&gt;0,(10^(VLOOKUP(D848,'Species Codes'!B:C,2,0)+VLOOKUP(D848,'Species Codes'!B:D,3,0)*LOG(E848)+VLOOKUP(D848,'Species Codes'!B:E,4,0)*LOG(I848))),0),"")</f>
        <v/>
      </c>
      <c r="AA848" s="104" t="str">
        <f>IFERROR((VLOOKUP(D848,'Species Codes'!B:G,6,0)*Z848)/2000,"")</f>
        <v/>
      </c>
      <c r="AB848" s="104" t="e">
        <f>IF(Z848&gt;0,((IF(OR(D848="DF",D848="RA")=TRUE,EXP(VLOOKUP(D848,'Species Codes'!B:I,8,0)+VLOOKUP(D848,'Species Codes'!B:J,9,0)*(LN((E848*2.54)))),IF(OR(D848="PY",D848="RC",D848="WH",D848="NF")=TRUE,VLOOKUP(D848,'Species Codes'!B:I,8,0)+VLOOKUP(D848,'Species Codes'!B:J,9,0)*((E848*2.54)^2)*(I848*0.3048),IF(OR(D848="MD",D848="BM",D848="GA")=TRUE,((VLOOKUP(D848,'Species Codes'!B:I,8,0)*(((((E848*2.54)+VLOOKUP(D848,'Species Codes'!B:J,9,0))/VLOOKUP(D848,'Species Codes'!B:K,10,0))^VLOOKUP(D848,'Species Codes'!B:L,11,0))*((I848*0.3048)^VLOOKUP(D848,'Species Codes'!B:M,12,0))))-(VLOOKUP(D848,'Species Codes'!B:I,8,0)*((((E848*2.54)^VLOOKUP(D848,'Species Codes'!B:L,11,0))*((I848*0.3048)^VLOOKUP(D848,'Species Codes'!B:M,12,0))))))*35.3*VLOOKUP(D848,'Species Codes'!B:G,6,0)/2.2046,VLOOKUP(D848,'Species Codes'!B:I,8,0)+VLOOKUP(D848,'Species Codes'!B:J,9,0)*(((E848*2.54)/100)^2)*(I848*0.3048)))))*0.0011023),0)</f>
        <v>#N/A</v>
      </c>
      <c r="AC848" s="104" t="e">
        <f>IF(Z848&gt;0,((IF(OR(D848="RA",D848="OA",D848="OT",D848="UN",D848="PC"),EXP(VLOOKUP(D848,'Species Codes'!B:O,14,0)+VLOOKUP(D848,'Species Codes'!B:P,15,0)*LN((E848*2.54)))-EXP(VLOOKUP(D848,'Species Codes'!B:O,14,0)+VLOOKUP(D848,'Species Codes'!B:P,15,0)*LN((E848*2.54)))*(1/(VLOOKUP(D848,'Species Codes'!B:Q,16,0)+VLOOKUP(D848,'Species Codes'!B:R,17,0)*((E848*2.54)^VLOOKUP(D848,'Species Codes'!B:S,18,0)))),IF(OR(D848="BM",D848="MD",D848="OA"),EXP(VLOOKUP(D848,'Species Codes'!B:O,14,0)+VLOOKUP(D848,'Species Codes'!B:P,15,0)*LN((E848*2.54)))*(1-(1/(VLOOKUP(D848,'Species Codes'!B:Q,16,0)+VLOOKUP(D848,'Species Codes'!B:R,17,0)*((E848*2.54)^VLOOKUP(D848,'Species Codes'!B:S,18,0)))))/1000,IF(D848="DF",EXP(VLOOKUP(D848,'Species Codes'!B:O,14,0)+VLOOKUP(D848,'Species Codes'!B:P,15,0)*LN((E848*2.54))),VLOOKUP(D848,'Species Codes'!B:O,14,0)+VLOOKUP(D848,'Species Codes'!B:P,15,0)*(((E848*2.54)/100)^2)*(I848*0.3048)))))*0.0011023),0)</f>
        <v>#N/A</v>
      </c>
      <c r="AD848" s="104" t="e">
        <f t="shared" si="382"/>
        <v>#N/A</v>
      </c>
      <c r="AE848" s="104" t="e">
        <f t="shared" si="383"/>
        <v>#N/A</v>
      </c>
      <c r="AF848" s="104" t="e">
        <f>IF(AND(VLOOKUP($D848,Merchantability!$B:$C,2,0)="Yes",$E848&gt;=VLOOKUP($D848,Merchantability!$B:$D,3,0),$E848&lt;=VLOOKUP($D848,Merchantability!$B:$E,4,0)),AA848,0)</f>
        <v>#N/A</v>
      </c>
      <c r="AG848" s="104" t="e">
        <f>IF(AND(VLOOKUP($D848,Merchantability!$B:$C,2,0)="Yes",$E848&gt;=VLOOKUP($D848,Merchantability!$B:$D,3,0),$E848&lt;=VLOOKUP($D848,Merchantability!$B:$E,4,0)),AB848,0)</f>
        <v>#N/A</v>
      </c>
      <c r="AH848" s="104" t="e">
        <f>IF(AND(VLOOKUP($D848,Merchantability!$B:$C,2,0)="Yes",$E848&gt;=VLOOKUP($D848,Merchantability!$B:$D,3,0),$E848&lt;=VLOOKUP($D848,Merchantability!$B:$E,4,0)),AC848,0)</f>
        <v>#N/A</v>
      </c>
      <c r="AI848" s="104" t="e">
        <f t="shared" si="384"/>
        <v>#N/A</v>
      </c>
      <c r="AJ848" s="104" t="e">
        <f t="shared" si="385"/>
        <v>#VALUE!</v>
      </c>
      <c r="AK848" s="104" t="e">
        <f t="shared" si="386"/>
        <v>#N/A</v>
      </c>
      <c r="AL848" s="104" t="e">
        <f t="shared" si="387"/>
        <v>#N/A</v>
      </c>
      <c r="AM848" s="104" t="e">
        <f t="shared" si="388"/>
        <v>#N/A</v>
      </c>
      <c r="AN848" s="104" t="e">
        <f t="shared" si="399"/>
        <v>#N/A</v>
      </c>
      <c r="AO848" s="104" t="e">
        <f t="shared" si="400"/>
        <v>#N/A</v>
      </c>
      <c r="AP848" s="104" t="e">
        <f t="shared" si="401"/>
        <v>#N/A</v>
      </c>
      <c r="AQ848" s="104" t="e">
        <f t="shared" si="402"/>
        <v>#N/A</v>
      </c>
      <c r="AR848" s="105" t="str">
        <f t="shared" si="394"/>
        <v/>
      </c>
      <c r="AS848" s="105" t="str">
        <f t="shared" si="395"/>
        <v/>
      </c>
      <c r="AT848" s="108" t="str">
        <f t="shared" si="396"/>
        <v/>
      </c>
      <c r="AU848" s="108" t="str">
        <f t="shared" si="397"/>
        <v/>
      </c>
      <c r="AV848" s="107" t="str">
        <f>IF(ISNUMBER(O848),IF(VLOOKUP($A848,Stand!C:J,8,FALSE)="Short",AT848,AU848),"")</f>
        <v/>
      </c>
      <c r="AW848" s="109" t="str">
        <f t="shared" si="403"/>
        <v/>
      </c>
      <c r="AX848" s="109" t="str">
        <f t="shared" si="404"/>
        <v/>
      </c>
      <c r="AY848" s="112" t="str">
        <f>IF(ISNUMBER(O848),IF(AND(VLOOKUP($D848,Merchantability!$B:$C,2,0)="Yes",$E848&gt;=VLOOKUP($D848,Merchantability!$B:$D,3,0),$E848&lt;=VLOOKUP($D848,Merchantability!$B:$E,4,0)),(AV848*O848)*(1-$H848/100),""),"")</f>
        <v/>
      </c>
      <c r="AZ848" s="116"/>
      <c r="BA848" s="116"/>
      <c r="BB848" s="116"/>
      <c r="BE848" s="62"/>
      <c r="BF848" s="63"/>
    </row>
    <row r="849" spans="1:58" ht="12.75" customHeight="1" x14ac:dyDescent="0.25">
      <c r="A849" s="313"/>
      <c r="B849" s="328"/>
      <c r="C849" s="329"/>
      <c r="D849" s="328"/>
      <c r="E849" s="330"/>
      <c r="F849" s="328"/>
      <c r="G849" s="329"/>
      <c r="H849" s="329"/>
      <c r="I849" s="328"/>
      <c r="J849" s="383"/>
      <c r="K849" s="329"/>
      <c r="L849" s="329"/>
      <c r="M849" s="76"/>
      <c r="N849" s="103" t="str">
        <f>IF(A849="","",VLOOKUP(A849,Stand!C:K,9,0))</f>
        <v/>
      </c>
      <c r="O849" s="104" t="str">
        <f t="shared" si="389"/>
        <v/>
      </c>
      <c r="P849" s="105" t="str">
        <f t="shared" si="390"/>
        <v/>
      </c>
      <c r="Q849" s="105" t="str">
        <f t="shared" si="378"/>
        <v/>
      </c>
      <c r="R849" s="103" t="str">
        <f t="shared" si="391"/>
        <v/>
      </c>
      <c r="S849" s="103" t="str">
        <f t="shared" si="392"/>
        <v/>
      </c>
      <c r="T849" s="106" t="str">
        <f t="shared" si="379"/>
        <v/>
      </c>
      <c r="U849" s="106" t="str">
        <f t="shared" si="380"/>
        <v/>
      </c>
      <c r="V849" s="106" t="str">
        <f t="shared" si="381"/>
        <v/>
      </c>
      <c r="W849" s="105" t="str">
        <f t="shared" si="393"/>
        <v/>
      </c>
      <c r="X849" s="104" t="str">
        <f t="shared" si="398"/>
        <v/>
      </c>
      <c r="Y849" s="104" t="str">
        <f t="array" ref="Y849">IFERROR(IF(ISNUMBER(O849),IF(COUNT(IF(A849=$A$2:$A$2427,IF(D849=$D$2:$D$2427,IF($X$2:$X$2427&gt;0,1))))&gt;0,SUM(IF(A849=$A$2:$A$2427,IF(D849=$D$2:$D$2427,$X$2:$X$2427)))/COUNT(IF(A849=$A$2:$A$2427,IF(D849=$D$2:$D$2427,IF(ISNUMBER($X$2:$X$2427),1)))),0),""),0)</f>
        <v/>
      </c>
      <c r="Z849" s="104" t="str">
        <f>IF(ISNUMBER(O849),IF(I849&gt;0,(10^(VLOOKUP(D849,'Species Codes'!B:C,2,0)+VLOOKUP(D849,'Species Codes'!B:D,3,0)*LOG(E849)+VLOOKUP(D849,'Species Codes'!B:E,4,0)*LOG(I849))),0),"")</f>
        <v/>
      </c>
      <c r="AA849" s="104" t="str">
        <f>IFERROR((VLOOKUP(D849,'Species Codes'!B:G,6,0)*Z849)/2000,"")</f>
        <v/>
      </c>
      <c r="AB849" s="104" t="e">
        <f>IF(Z849&gt;0,((IF(OR(D849="DF",D849="RA")=TRUE,EXP(VLOOKUP(D849,'Species Codes'!B:I,8,0)+VLOOKUP(D849,'Species Codes'!B:J,9,0)*(LN((E849*2.54)))),IF(OR(D849="PY",D849="RC",D849="WH",D849="NF")=TRUE,VLOOKUP(D849,'Species Codes'!B:I,8,0)+VLOOKUP(D849,'Species Codes'!B:J,9,0)*((E849*2.54)^2)*(I849*0.3048),IF(OR(D849="MD",D849="BM",D849="GA")=TRUE,((VLOOKUP(D849,'Species Codes'!B:I,8,0)*(((((E849*2.54)+VLOOKUP(D849,'Species Codes'!B:J,9,0))/VLOOKUP(D849,'Species Codes'!B:K,10,0))^VLOOKUP(D849,'Species Codes'!B:L,11,0))*((I849*0.3048)^VLOOKUP(D849,'Species Codes'!B:M,12,0))))-(VLOOKUP(D849,'Species Codes'!B:I,8,0)*((((E849*2.54)^VLOOKUP(D849,'Species Codes'!B:L,11,0))*((I849*0.3048)^VLOOKUP(D849,'Species Codes'!B:M,12,0))))))*35.3*VLOOKUP(D849,'Species Codes'!B:G,6,0)/2.2046,VLOOKUP(D849,'Species Codes'!B:I,8,0)+VLOOKUP(D849,'Species Codes'!B:J,9,0)*(((E849*2.54)/100)^2)*(I849*0.3048)))))*0.0011023),0)</f>
        <v>#N/A</v>
      </c>
      <c r="AC849" s="104" t="e">
        <f>IF(Z849&gt;0,((IF(OR(D849="RA",D849="OA",D849="OT",D849="UN",D849="PC"),EXP(VLOOKUP(D849,'Species Codes'!B:O,14,0)+VLOOKUP(D849,'Species Codes'!B:P,15,0)*LN((E849*2.54)))-EXP(VLOOKUP(D849,'Species Codes'!B:O,14,0)+VLOOKUP(D849,'Species Codes'!B:P,15,0)*LN((E849*2.54)))*(1/(VLOOKUP(D849,'Species Codes'!B:Q,16,0)+VLOOKUP(D849,'Species Codes'!B:R,17,0)*((E849*2.54)^VLOOKUP(D849,'Species Codes'!B:S,18,0)))),IF(OR(D849="BM",D849="MD",D849="OA"),EXP(VLOOKUP(D849,'Species Codes'!B:O,14,0)+VLOOKUP(D849,'Species Codes'!B:P,15,0)*LN((E849*2.54)))*(1-(1/(VLOOKUP(D849,'Species Codes'!B:Q,16,0)+VLOOKUP(D849,'Species Codes'!B:R,17,0)*((E849*2.54)^VLOOKUP(D849,'Species Codes'!B:S,18,0)))))/1000,IF(D849="DF",EXP(VLOOKUP(D849,'Species Codes'!B:O,14,0)+VLOOKUP(D849,'Species Codes'!B:P,15,0)*LN((E849*2.54))),VLOOKUP(D849,'Species Codes'!B:O,14,0)+VLOOKUP(D849,'Species Codes'!B:P,15,0)*(((E849*2.54)/100)^2)*(I849*0.3048)))))*0.0011023),0)</f>
        <v>#N/A</v>
      </c>
      <c r="AD849" s="104" t="e">
        <f t="shared" si="382"/>
        <v>#N/A</v>
      </c>
      <c r="AE849" s="104" t="e">
        <f t="shared" si="383"/>
        <v>#N/A</v>
      </c>
      <c r="AF849" s="104" t="e">
        <f>IF(AND(VLOOKUP($D849,Merchantability!$B:$C,2,0)="Yes",$E849&gt;=VLOOKUP($D849,Merchantability!$B:$D,3,0),$E849&lt;=VLOOKUP($D849,Merchantability!$B:$E,4,0)),AA849,0)</f>
        <v>#N/A</v>
      </c>
      <c r="AG849" s="104" t="e">
        <f>IF(AND(VLOOKUP($D849,Merchantability!$B:$C,2,0)="Yes",$E849&gt;=VLOOKUP($D849,Merchantability!$B:$D,3,0),$E849&lt;=VLOOKUP($D849,Merchantability!$B:$E,4,0)),AB849,0)</f>
        <v>#N/A</v>
      </c>
      <c r="AH849" s="104" t="e">
        <f>IF(AND(VLOOKUP($D849,Merchantability!$B:$C,2,0)="Yes",$E849&gt;=VLOOKUP($D849,Merchantability!$B:$D,3,0),$E849&lt;=VLOOKUP($D849,Merchantability!$B:$E,4,0)),AC849,0)</f>
        <v>#N/A</v>
      </c>
      <c r="AI849" s="104" t="e">
        <f t="shared" si="384"/>
        <v>#N/A</v>
      </c>
      <c r="AJ849" s="104" t="e">
        <f t="shared" si="385"/>
        <v>#VALUE!</v>
      </c>
      <c r="AK849" s="104" t="e">
        <f t="shared" si="386"/>
        <v>#N/A</v>
      </c>
      <c r="AL849" s="104" t="e">
        <f t="shared" si="387"/>
        <v>#N/A</v>
      </c>
      <c r="AM849" s="104" t="e">
        <f t="shared" si="388"/>
        <v>#N/A</v>
      </c>
      <c r="AN849" s="104" t="e">
        <f t="shared" si="399"/>
        <v>#N/A</v>
      </c>
      <c r="AO849" s="104" t="e">
        <f t="shared" si="400"/>
        <v>#N/A</v>
      </c>
      <c r="AP849" s="104" t="e">
        <f t="shared" si="401"/>
        <v>#N/A</v>
      </c>
      <c r="AQ849" s="104" t="e">
        <f t="shared" si="402"/>
        <v>#N/A</v>
      </c>
      <c r="AR849" s="105" t="str">
        <f t="shared" si="394"/>
        <v/>
      </c>
      <c r="AS849" s="105" t="str">
        <f t="shared" si="395"/>
        <v/>
      </c>
      <c r="AT849" s="108" t="str">
        <f t="shared" si="396"/>
        <v/>
      </c>
      <c r="AU849" s="108" t="str">
        <f t="shared" si="397"/>
        <v/>
      </c>
      <c r="AV849" s="107" t="str">
        <f>IF(ISNUMBER(O849),IF(VLOOKUP($A849,Stand!C:J,8,FALSE)="Short",AT849,AU849),"")</f>
        <v/>
      </c>
      <c r="AW849" s="109" t="str">
        <f t="shared" si="403"/>
        <v/>
      </c>
      <c r="AX849" s="109" t="str">
        <f t="shared" si="404"/>
        <v/>
      </c>
      <c r="AY849" s="112" t="str">
        <f>IF(ISNUMBER(O849),IF(AND(VLOOKUP($D849,Merchantability!$B:$C,2,0)="Yes",$E849&gt;=VLOOKUP($D849,Merchantability!$B:$D,3,0),$E849&lt;=VLOOKUP($D849,Merchantability!$B:$E,4,0)),(AV849*O849)*(1-$H849/100),""),"")</f>
        <v/>
      </c>
      <c r="AZ849" s="116"/>
      <c r="BA849" s="116"/>
      <c r="BB849" s="116"/>
      <c r="BE849" s="62"/>
      <c r="BF849" s="63"/>
    </row>
    <row r="850" spans="1:58" ht="12.75" customHeight="1" x14ac:dyDescent="0.25">
      <c r="A850" s="313"/>
      <c r="B850" s="328"/>
      <c r="C850" s="329"/>
      <c r="D850" s="328"/>
      <c r="E850" s="330"/>
      <c r="F850" s="328"/>
      <c r="G850" s="329"/>
      <c r="H850" s="329"/>
      <c r="I850" s="328"/>
      <c r="J850" s="383"/>
      <c r="K850" s="329"/>
      <c r="L850" s="329"/>
      <c r="M850" s="76"/>
      <c r="N850" s="103" t="str">
        <f>IF(A850="","",VLOOKUP(A850,Stand!C:K,9,0))</f>
        <v/>
      </c>
      <c r="O850" s="104" t="str">
        <f t="shared" si="389"/>
        <v/>
      </c>
      <c r="P850" s="105" t="str">
        <f t="shared" si="390"/>
        <v/>
      </c>
      <c r="Q850" s="105" t="str">
        <f t="shared" si="378"/>
        <v/>
      </c>
      <c r="R850" s="103" t="str">
        <f t="shared" si="391"/>
        <v/>
      </c>
      <c r="S850" s="103" t="str">
        <f t="shared" si="392"/>
        <v/>
      </c>
      <c r="T850" s="106" t="str">
        <f t="shared" si="379"/>
        <v/>
      </c>
      <c r="U850" s="106" t="str">
        <f t="shared" si="380"/>
        <v/>
      </c>
      <c r="V850" s="106" t="str">
        <f t="shared" si="381"/>
        <v/>
      </c>
      <c r="W850" s="105" t="str">
        <f t="shared" si="393"/>
        <v/>
      </c>
      <c r="X850" s="104" t="str">
        <f t="shared" si="398"/>
        <v/>
      </c>
      <c r="Y850" s="104" t="str">
        <f t="array" ref="Y850">IFERROR(IF(ISNUMBER(O850),IF(COUNT(IF(A850=$A$2:$A$2427,IF(D850=$D$2:$D$2427,IF($X$2:$X$2427&gt;0,1))))&gt;0,SUM(IF(A850=$A$2:$A$2427,IF(D850=$D$2:$D$2427,$X$2:$X$2427)))/COUNT(IF(A850=$A$2:$A$2427,IF(D850=$D$2:$D$2427,IF(ISNUMBER($X$2:$X$2427),1)))),0),""),0)</f>
        <v/>
      </c>
      <c r="Z850" s="104" t="str">
        <f>IF(ISNUMBER(O850),IF(I850&gt;0,(10^(VLOOKUP(D850,'Species Codes'!B:C,2,0)+VLOOKUP(D850,'Species Codes'!B:D,3,0)*LOG(E850)+VLOOKUP(D850,'Species Codes'!B:E,4,0)*LOG(I850))),0),"")</f>
        <v/>
      </c>
      <c r="AA850" s="104" t="str">
        <f>IFERROR((VLOOKUP(D850,'Species Codes'!B:G,6,0)*Z850)/2000,"")</f>
        <v/>
      </c>
      <c r="AB850" s="104" t="e">
        <f>IF(Z850&gt;0,((IF(OR(D850="DF",D850="RA")=TRUE,EXP(VLOOKUP(D850,'Species Codes'!B:I,8,0)+VLOOKUP(D850,'Species Codes'!B:J,9,0)*(LN((E850*2.54)))),IF(OR(D850="PY",D850="RC",D850="WH",D850="NF")=TRUE,VLOOKUP(D850,'Species Codes'!B:I,8,0)+VLOOKUP(D850,'Species Codes'!B:J,9,0)*((E850*2.54)^2)*(I850*0.3048),IF(OR(D850="MD",D850="BM",D850="GA")=TRUE,((VLOOKUP(D850,'Species Codes'!B:I,8,0)*(((((E850*2.54)+VLOOKUP(D850,'Species Codes'!B:J,9,0))/VLOOKUP(D850,'Species Codes'!B:K,10,0))^VLOOKUP(D850,'Species Codes'!B:L,11,0))*((I850*0.3048)^VLOOKUP(D850,'Species Codes'!B:M,12,0))))-(VLOOKUP(D850,'Species Codes'!B:I,8,0)*((((E850*2.54)^VLOOKUP(D850,'Species Codes'!B:L,11,0))*((I850*0.3048)^VLOOKUP(D850,'Species Codes'!B:M,12,0))))))*35.3*VLOOKUP(D850,'Species Codes'!B:G,6,0)/2.2046,VLOOKUP(D850,'Species Codes'!B:I,8,0)+VLOOKUP(D850,'Species Codes'!B:J,9,0)*(((E850*2.54)/100)^2)*(I850*0.3048)))))*0.0011023),0)</f>
        <v>#N/A</v>
      </c>
      <c r="AC850" s="104" t="e">
        <f>IF(Z850&gt;0,((IF(OR(D850="RA",D850="OA",D850="OT",D850="UN",D850="PC"),EXP(VLOOKUP(D850,'Species Codes'!B:O,14,0)+VLOOKUP(D850,'Species Codes'!B:P,15,0)*LN((E850*2.54)))-EXP(VLOOKUP(D850,'Species Codes'!B:O,14,0)+VLOOKUP(D850,'Species Codes'!B:P,15,0)*LN((E850*2.54)))*(1/(VLOOKUP(D850,'Species Codes'!B:Q,16,0)+VLOOKUP(D850,'Species Codes'!B:R,17,0)*((E850*2.54)^VLOOKUP(D850,'Species Codes'!B:S,18,0)))),IF(OR(D850="BM",D850="MD",D850="OA"),EXP(VLOOKUP(D850,'Species Codes'!B:O,14,0)+VLOOKUP(D850,'Species Codes'!B:P,15,0)*LN((E850*2.54)))*(1-(1/(VLOOKUP(D850,'Species Codes'!B:Q,16,0)+VLOOKUP(D850,'Species Codes'!B:R,17,0)*((E850*2.54)^VLOOKUP(D850,'Species Codes'!B:S,18,0)))))/1000,IF(D850="DF",EXP(VLOOKUP(D850,'Species Codes'!B:O,14,0)+VLOOKUP(D850,'Species Codes'!B:P,15,0)*LN((E850*2.54))),VLOOKUP(D850,'Species Codes'!B:O,14,0)+VLOOKUP(D850,'Species Codes'!B:P,15,0)*(((E850*2.54)/100)^2)*(I850*0.3048)))))*0.0011023),0)</f>
        <v>#N/A</v>
      </c>
      <c r="AD850" s="104" t="e">
        <f t="shared" si="382"/>
        <v>#N/A</v>
      </c>
      <c r="AE850" s="104" t="e">
        <f t="shared" si="383"/>
        <v>#N/A</v>
      </c>
      <c r="AF850" s="104" t="e">
        <f>IF(AND(VLOOKUP($D850,Merchantability!$B:$C,2,0)="Yes",$E850&gt;=VLOOKUP($D850,Merchantability!$B:$D,3,0),$E850&lt;=VLOOKUP($D850,Merchantability!$B:$E,4,0)),AA850,0)</f>
        <v>#N/A</v>
      </c>
      <c r="AG850" s="104" t="e">
        <f>IF(AND(VLOOKUP($D850,Merchantability!$B:$C,2,0)="Yes",$E850&gt;=VLOOKUP($D850,Merchantability!$B:$D,3,0),$E850&lt;=VLOOKUP($D850,Merchantability!$B:$E,4,0)),AB850,0)</f>
        <v>#N/A</v>
      </c>
      <c r="AH850" s="104" t="e">
        <f>IF(AND(VLOOKUP($D850,Merchantability!$B:$C,2,0)="Yes",$E850&gt;=VLOOKUP($D850,Merchantability!$B:$D,3,0),$E850&lt;=VLOOKUP($D850,Merchantability!$B:$E,4,0)),AC850,0)</f>
        <v>#N/A</v>
      </c>
      <c r="AI850" s="104" t="e">
        <f t="shared" si="384"/>
        <v>#N/A</v>
      </c>
      <c r="AJ850" s="104" t="e">
        <f t="shared" si="385"/>
        <v>#VALUE!</v>
      </c>
      <c r="AK850" s="104" t="e">
        <f t="shared" si="386"/>
        <v>#N/A</v>
      </c>
      <c r="AL850" s="104" t="e">
        <f t="shared" si="387"/>
        <v>#N/A</v>
      </c>
      <c r="AM850" s="104" t="e">
        <f t="shared" si="388"/>
        <v>#N/A</v>
      </c>
      <c r="AN850" s="104" t="e">
        <f t="shared" si="399"/>
        <v>#N/A</v>
      </c>
      <c r="AO850" s="104" t="e">
        <f t="shared" si="400"/>
        <v>#N/A</v>
      </c>
      <c r="AP850" s="104" t="e">
        <f t="shared" si="401"/>
        <v>#N/A</v>
      </c>
      <c r="AQ850" s="104" t="e">
        <f t="shared" si="402"/>
        <v>#N/A</v>
      </c>
      <c r="AR850" s="105" t="str">
        <f t="shared" si="394"/>
        <v/>
      </c>
      <c r="AS850" s="105" t="str">
        <f t="shared" si="395"/>
        <v/>
      </c>
      <c r="AT850" s="108" t="str">
        <f t="shared" si="396"/>
        <v/>
      </c>
      <c r="AU850" s="108" t="str">
        <f t="shared" si="397"/>
        <v/>
      </c>
      <c r="AV850" s="107" t="str">
        <f>IF(ISNUMBER(O850),IF(VLOOKUP($A850,Stand!C:J,8,FALSE)="Short",AT850,AU850),"")</f>
        <v/>
      </c>
      <c r="AW850" s="109" t="str">
        <f t="shared" si="403"/>
        <v/>
      </c>
      <c r="AX850" s="109" t="str">
        <f t="shared" si="404"/>
        <v/>
      </c>
      <c r="AY850" s="112" t="str">
        <f>IF(ISNUMBER(O850),IF(AND(VLOOKUP($D850,Merchantability!$B:$C,2,0)="Yes",$E850&gt;=VLOOKUP($D850,Merchantability!$B:$D,3,0),$E850&lt;=VLOOKUP($D850,Merchantability!$B:$E,4,0)),(AV850*O850)*(1-$H850/100),""),"")</f>
        <v/>
      </c>
      <c r="AZ850" s="116"/>
      <c r="BA850" s="116"/>
      <c r="BB850" s="116"/>
      <c r="BE850" s="62"/>
      <c r="BF850" s="63"/>
    </row>
    <row r="851" spans="1:58" ht="12.75" customHeight="1" x14ac:dyDescent="0.25">
      <c r="A851" s="313"/>
      <c r="B851" s="328"/>
      <c r="C851" s="329"/>
      <c r="D851" s="328"/>
      <c r="E851" s="330"/>
      <c r="F851" s="328"/>
      <c r="G851" s="329"/>
      <c r="H851" s="329"/>
      <c r="I851" s="328"/>
      <c r="J851" s="383"/>
      <c r="K851" s="329"/>
      <c r="L851" s="329"/>
      <c r="M851" s="76"/>
      <c r="N851" s="103" t="str">
        <f>IF(A851="","",VLOOKUP(A851,Stand!C:K,9,0))</f>
        <v/>
      </c>
      <c r="O851" s="104" t="str">
        <f t="shared" si="389"/>
        <v/>
      </c>
      <c r="P851" s="105" t="str">
        <f t="shared" si="390"/>
        <v/>
      </c>
      <c r="Q851" s="105" t="str">
        <f t="shared" si="378"/>
        <v/>
      </c>
      <c r="R851" s="103" t="str">
        <f t="shared" si="391"/>
        <v/>
      </c>
      <c r="S851" s="103" t="str">
        <f t="shared" si="392"/>
        <v/>
      </c>
      <c r="T851" s="106" t="str">
        <f t="shared" si="379"/>
        <v/>
      </c>
      <c r="U851" s="106" t="str">
        <f t="shared" si="380"/>
        <v/>
      </c>
      <c r="V851" s="106" t="str">
        <f t="shared" si="381"/>
        <v/>
      </c>
      <c r="W851" s="105" t="str">
        <f t="shared" si="393"/>
        <v/>
      </c>
      <c r="X851" s="104" t="str">
        <f t="shared" si="398"/>
        <v/>
      </c>
      <c r="Y851" s="104" t="str">
        <f t="array" ref="Y851">IFERROR(IF(ISNUMBER(O851),IF(COUNT(IF(A851=$A$2:$A$2427,IF(D851=$D$2:$D$2427,IF($X$2:$X$2427&gt;0,1))))&gt;0,SUM(IF(A851=$A$2:$A$2427,IF(D851=$D$2:$D$2427,$X$2:$X$2427)))/COUNT(IF(A851=$A$2:$A$2427,IF(D851=$D$2:$D$2427,IF(ISNUMBER($X$2:$X$2427),1)))),0),""),0)</f>
        <v/>
      </c>
      <c r="Z851" s="104" t="str">
        <f>IF(ISNUMBER(O851),IF(I851&gt;0,(10^(VLOOKUP(D851,'Species Codes'!B:C,2,0)+VLOOKUP(D851,'Species Codes'!B:D,3,0)*LOG(E851)+VLOOKUP(D851,'Species Codes'!B:E,4,0)*LOG(I851))),0),"")</f>
        <v/>
      </c>
      <c r="AA851" s="104" t="str">
        <f>IFERROR((VLOOKUP(D851,'Species Codes'!B:G,6,0)*Z851)/2000,"")</f>
        <v/>
      </c>
      <c r="AB851" s="104" t="e">
        <f>IF(Z851&gt;0,((IF(OR(D851="DF",D851="RA")=TRUE,EXP(VLOOKUP(D851,'Species Codes'!B:I,8,0)+VLOOKUP(D851,'Species Codes'!B:J,9,0)*(LN((E851*2.54)))),IF(OR(D851="PY",D851="RC",D851="WH",D851="NF")=TRUE,VLOOKUP(D851,'Species Codes'!B:I,8,0)+VLOOKUP(D851,'Species Codes'!B:J,9,0)*((E851*2.54)^2)*(I851*0.3048),IF(OR(D851="MD",D851="BM",D851="GA")=TRUE,((VLOOKUP(D851,'Species Codes'!B:I,8,0)*(((((E851*2.54)+VLOOKUP(D851,'Species Codes'!B:J,9,0))/VLOOKUP(D851,'Species Codes'!B:K,10,0))^VLOOKUP(D851,'Species Codes'!B:L,11,0))*((I851*0.3048)^VLOOKUP(D851,'Species Codes'!B:M,12,0))))-(VLOOKUP(D851,'Species Codes'!B:I,8,0)*((((E851*2.54)^VLOOKUP(D851,'Species Codes'!B:L,11,0))*((I851*0.3048)^VLOOKUP(D851,'Species Codes'!B:M,12,0))))))*35.3*VLOOKUP(D851,'Species Codes'!B:G,6,0)/2.2046,VLOOKUP(D851,'Species Codes'!B:I,8,0)+VLOOKUP(D851,'Species Codes'!B:J,9,0)*(((E851*2.54)/100)^2)*(I851*0.3048)))))*0.0011023),0)</f>
        <v>#N/A</v>
      </c>
      <c r="AC851" s="104" t="e">
        <f>IF(Z851&gt;0,((IF(OR(D851="RA",D851="OA",D851="OT",D851="UN",D851="PC"),EXP(VLOOKUP(D851,'Species Codes'!B:O,14,0)+VLOOKUP(D851,'Species Codes'!B:P,15,0)*LN((E851*2.54)))-EXP(VLOOKUP(D851,'Species Codes'!B:O,14,0)+VLOOKUP(D851,'Species Codes'!B:P,15,0)*LN((E851*2.54)))*(1/(VLOOKUP(D851,'Species Codes'!B:Q,16,0)+VLOOKUP(D851,'Species Codes'!B:R,17,0)*((E851*2.54)^VLOOKUP(D851,'Species Codes'!B:S,18,0)))),IF(OR(D851="BM",D851="MD",D851="OA"),EXP(VLOOKUP(D851,'Species Codes'!B:O,14,0)+VLOOKUP(D851,'Species Codes'!B:P,15,0)*LN((E851*2.54)))*(1-(1/(VLOOKUP(D851,'Species Codes'!B:Q,16,0)+VLOOKUP(D851,'Species Codes'!B:R,17,0)*((E851*2.54)^VLOOKUP(D851,'Species Codes'!B:S,18,0)))))/1000,IF(D851="DF",EXP(VLOOKUP(D851,'Species Codes'!B:O,14,0)+VLOOKUP(D851,'Species Codes'!B:P,15,0)*LN((E851*2.54))),VLOOKUP(D851,'Species Codes'!B:O,14,0)+VLOOKUP(D851,'Species Codes'!B:P,15,0)*(((E851*2.54)/100)^2)*(I851*0.3048)))))*0.0011023),0)</f>
        <v>#N/A</v>
      </c>
      <c r="AD851" s="104" t="e">
        <f t="shared" si="382"/>
        <v>#N/A</v>
      </c>
      <c r="AE851" s="104" t="e">
        <f t="shared" si="383"/>
        <v>#N/A</v>
      </c>
      <c r="AF851" s="104" t="e">
        <f>IF(AND(VLOOKUP($D851,Merchantability!$B:$C,2,0)="Yes",$E851&gt;=VLOOKUP($D851,Merchantability!$B:$D,3,0),$E851&lt;=VLOOKUP($D851,Merchantability!$B:$E,4,0)),AA851,0)</f>
        <v>#N/A</v>
      </c>
      <c r="AG851" s="104" t="e">
        <f>IF(AND(VLOOKUP($D851,Merchantability!$B:$C,2,0)="Yes",$E851&gt;=VLOOKUP($D851,Merchantability!$B:$D,3,0),$E851&lt;=VLOOKUP($D851,Merchantability!$B:$E,4,0)),AB851,0)</f>
        <v>#N/A</v>
      </c>
      <c r="AH851" s="104" t="e">
        <f>IF(AND(VLOOKUP($D851,Merchantability!$B:$C,2,0)="Yes",$E851&gt;=VLOOKUP($D851,Merchantability!$B:$D,3,0),$E851&lt;=VLOOKUP($D851,Merchantability!$B:$E,4,0)),AC851,0)</f>
        <v>#N/A</v>
      </c>
      <c r="AI851" s="104" t="e">
        <f t="shared" si="384"/>
        <v>#N/A</v>
      </c>
      <c r="AJ851" s="104" t="e">
        <f t="shared" si="385"/>
        <v>#VALUE!</v>
      </c>
      <c r="AK851" s="104" t="e">
        <f t="shared" si="386"/>
        <v>#N/A</v>
      </c>
      <c r="AL851" s="104" t="e">
        <f t="shared" si="387"/>
        <v>#N/A</v>
      </c>
      <c r="AM851" s="104" t="e">
        <f t="shared" si="388"/>
        <v>#N/A</v>
      </c>
      <c r="AN851" s="104" t="e">
        <f t="shared" si="399"/>
        <v>#N/A</v>
      </c>
      <c r="AO851" s="104" t="e">
        <f t="shared" si="400"/>
        <v>#N/A</v>
      </c>
      <c r="AP851" s="104" t="e">
        <f t="shared" si="401"/>
        <v>#N/A</v>
      </c>
      <c r="AQ851" s="104" t="e">
        <f t="shared" si="402"/>
        <v>#N/A</v>
      </c>
      <c r="AR851" s="105" t="str">
        <f t="shared" si="394"/>
        <v/>
      </c>
      <c r="AS851" s="105" t="str">
        <f t="shared" si="395"/>
        <v/>
      </c>
      <c r="AT851" s="108" t="str">
        <f t="shared" si="396"/>
        <v/>
      </c>
      <c r="AU851" s="108" t="str">
        <f t="shared" si="397"/>
        <v/>
      </c>
      <c r="AV851" s="107" t="str">
        <f>IF(ISNUMBER(O851),IF(VLOOKUP($A851,Stand!C:J,8,FALSE)="Short",AT851,AU851),"")</f>
        <v/>
      </c>
      <c r="AW851" s="109" t="str">
        <f t="shared" si="403"/>
        <v/>
      </c>
      <c r="AX851" s="109" t="str">
        <f t="shared" si="404"/>
        <v/>
      </c>
      <c r="AY851" s="112" t="str">
        <f>IF(ISNUMBER(O851),IF(AND(VLOOKUP($D851,Merchantability!$B:$C,2,0)="Yes",$E851&gt;=VLOOKUP($D851,Merchantability!$B:$D,3,0),$E851&lt;=VLOOKUP($D851,Merchantability!$B:$E,4,0)),(AV851*O851)*(1-$H851/100),""),"")</f>
        <v/>
      </c>
      <c r="AZ851" s="116"/>
      <c r="BA851" s="116"/>
      <c r="BB851" s="116"/>
      <c r="BE851" s="62"/>
      <c r="BF851" s="63"/>
    </row>
    <row r="852" spans="1:58" ht="12.75" customHeight="1" x14ac:dyDescent="0.25">
      <c r="A852" s="313"/>
      <c r="B852" s="328"/>
      <c r="C852" s="329"/>
      <c r="D852" s="328"/>
      <c r="E852" s="330"/>
      <c r="F852" s="328"/>
      <c r="G852" s="329"/>
      <c r="H852" s="329"/>
      <c r="I852" s="328"/>
      <c r="J852" s="383"/>
      <c r="K852" s="329"/>
      <c r="L852" s="329"/>
      <c r="M852" s="76"/>
      <c r="N852" s="103" t="str">
        <f>IF(A852="","",VLOOKUP(A852,Stand!C:K,9,0))</f>
        <v/>
      </c>
      <c r="O852" s="104" t="str">
        <f t="shared" si="389"/>
        <v/>
      </c>
      <c r="P852" s="105" t="str">
        <f t="shared" si="390"/>
        <v/>
      </c>
      <c r="Q852" s="105" t="str">
        <f t="shared" si="378"/>
        <v/>
      </c>
      <c r="R852" s="103" t="str">
        <f t="shared" si="391"/>
        <v/>
      </c>
      <c r="S852" s="103" t="str">
        <f t="shared" si="392"/>
        <v/>
      </c>
      <c r="T852" s="106" t="str">
        <f t="shared" si="379"/>
        <v/>
      </c>
      <c r="U852" s="106" t="str">
        <f t="shared" si="380"/>
        <v/>
      </c>
      <c r="V852" s="106" t="str">
        <f t="shared" si="381"/>
        <v/>
      </c>
      <c r="W852" s="105" t="str">
        <f t="shared" si="393"/>
        <v/>
      </c>
      <c r="X852" s="104" t="str">
        <f t="shared" si="398"/>
        <v/>
      </c>
      <c r="Y852" s="104" t="str">
        <f t="array" ref="Y852">IFERROR(IF(ISNUMBER(O852),IF(COUNT(IF(A852=$A$2:$A$2427,IF(D852=$D$2:$D$2427,IF($X$2:$X$2427&gt;0,1))))&gt;0,SUM(IF(A852=$A$2:$A$2427,IF(D852=$D$2:$D$2427,$X$2:$X$2427)))/COUNT(IF(A852=$A$2:$A$2427,IF(D852=$D$2:$D$2427,IF(ISNUMBER($X$2:$X$2427),1)))),0),""),0)</f>
        <v/>
      </c>
      <c r="Z852" s="104" t="str">
        <f>IF(ISNUMBER(O852),IF(I852&gt;0,(10^(VLOOKUP(D852,'Species Codes'!B:C,2,0)+VLOOKUP(D852,'Species Codes'!B:D,3,0)*LOG(E852)+VLOOKUP(D852,'Species Codes'!B:E,4,0)*LOG(I852))),0),"")</f>
        <v/>
      </c>
      <c r="AA852" s="104" t="str">
        <f>IFERROR((VLOOKUP(D852,'Species Codes'!B:G,6,0)*Z852)/2000,"")</f>
        <v/>
      </c>
      <c r="AB852" s="104" t="e">
        <f>IF(Z852&gt;0,((IF(OR(D852="DF",D852="RA")=TRUE,EXP(VLOOKUP(D852,'Species Codes'!B:I,8,0)+VLOOKUP(D852,'Species Codes'!B:J,9,0)*(LN((E852*2.54)))),IF(OR(D852="PY",D852="RC",D852="WH",D852="NF")=TRUE,VLOOKUP(D852,'Species Codes'!B:I,8,0)+VLOOKUP(D852,'Species Codes'!B:J,9,0)*((E852*2.54)^2)*(I852*0.3048),IF(OR(D852="MD",D852="BM",D852="GA")=TRUE,((VLOOKUP(D852,'Species Codes'!B:I,8,0)*(((((E852*2.54)+VLOOKUP(D852,'Species Codes'!B:J,9,0))/VLOOKUP(D852,'Species Codes'!B:K,10,0))^VLOOKUP(D852,'Species Codes'!B:L,11,0))*((I852*0.3048)^VLOOKUP(D852,'Species Codes'!B:M,12,0))))-(VLOOKUP(D852,'Species Codes'!B:I,8,0)*((((E852*2.54)^VLOOKUP(D852,'Species Codes'!B:L,11,0))*((I852*0.3048)^VLOOKUP(D852,'Species Codes'!B:M,12,0))))))*35.3*VLOOKUP(D852,'Species Codes'!B:G,6,0)/2.2046,VLOOKUP(D852,'Species Codes'!B:I,8,0)+VLOOKUP(D852,'Species Codes'!B:J,9,0)*(((E852*2.54)/100)^2)*(I852*0.3048)))))*0.0011023),0)</f>
        <v>#N/A</v>
      </c>
      <c r="AC852" s="104" t="e">
        <f>IF(Z852&gt;0,((IF(OR(D852="RA",D852="OA",D852="OT",D852="UN",D852="PC"),EXP(VLOOKUP(D852,'Species Codes'!B:O,14,0)+VLOOKUP(D852,'Species Codes'!B:P,15,0)*LN((E852*2.54)))-EXP(VLOOKUP(D852,'Species Codes'!B:O,14,0)+VLOOKUP(D852,'Species Codes'!B:P,15,0)*LN((E852*2.54)))*(1/(VLOOKUP(D852,'Species Codes'!B:Q,16,0)+VLOOKUP(D852,'Species Codes'!B:R,17,0)*((E852*2.54)^VLOOKUP(D852,'Species Codes'!B:S,18,0)))),IF(OR(D852="BM",D852="MD",D852="OA"),EXP(VLOOKUP(D852,'Species Codes'!B:O,14,0)+VLOOKUP(D852,'Species Codes'!B:P,15,0)*LN((E852*2.54)))*(1-(1/(VLOOKUP(D852,'Species Codes'!B:Q,16,0)+VLOOKUP(D852,'Species Codes'!B:R,17,0)*((E852*2.54)^VLOOKUP(D852,'Species Codes'!B:S,18,0)))))/1000,IF(D852="DF",EXP(VLOOKUP(D852,'Species Codes'!B:O,14,0)+VLOOKUP(D852,'Species Codes'!B:P,15,0)*LN((E852*2.54))),VLOOKUP(D852,'Species Codes'!B:O,14,0)+VLOOKUP(D852,'Species Codes'!B:P,15,0)*(((E852*2.54)/100)^2)*(I852*0.3048)))))*0.0011023),0)</f>
        <v>#N/A</v>
      </c>
      <c r="AD852" s="104" t="e">
        <f t="shared" si="382"/>
        <v>#N/A</v>
      </c>
      <c r="AE852" s="104" t="e">
        <f t="shared" si="383"/>
        <v>#N/A</v>
      </c>
      <c r="AF852" s="104" t="e">
        <f>IF(AND(VLOOKUP($D852,Merchantability!$B:$C,2,0)="Yes",$E852&gt;=VLOOKUP($D852,Merchantability!$B:$D,3,0),$E852&lt;=VLOOKUP($D852,Merchantability!$B:$E,4,0)),AA852,0)</f>
        <v>#N/A</v>
      </c>
      <c r="AG852" s="104" t="e">
        <f>IF(AND(VLOOKUP($D852,Merchantability!$B:$C,2,0)="Yes",$E852&gt;=VLOOKUP($D852,Merchantability!$B:$D,3,0),$E852&lt;=VLOOKUP($D852,Merchantability!$B:$E,4,0)),AB852,0)</f>
        <v>#N/A</v>
      </c>
      <c r="AH852" s="104" t="e">
        <f>IF(AND(VLOOKUP($D852,Merchantability!$B:$C,2,0)="Yes",$E852&gt;=VLOOKUP($D852,Merchantability!$B:$D,3,0),$E852&lt;=VLOOKUP($D852,Merchantability!$B:$E,4,0)),AC852,0)</f>
        <v>#N/A</v>
      </c>
      <c r="AI852" s="104" t="e">
        <f t="shared" si="384"/>
        <v>#N/A</v>
      </c>
      <c r="AJ852" s="104" t="e">
        <f t="shared" si="385"/>
        <v>#VALUE!</v>
      </c>
      <c r="AK852" s="104" t="e">
        <f t="shared" si="386"/>
        <v>#N/A</v>
      </c>
      <c r="AL852" s="104" t="e">
        <f t="shared" si="387"/>
        <v>#N/A</v>
      </c>
      <c r="AM852" s="104" t="e">
        <f t="shared" si="388"/>
        <v>#N/A</v>
      </c>
      <c r="AN852" s="104" t="e">
        <f t="shared" si="399"/>
        <v>#N/A</v>
      </c>
      <c r="AO852" s="104" t="e">
        <f t="shared" si="400"/>
        <v>#N/A</v>
      </c>
      <c r="AP852" s="104" t="e">
        <f t="shared" si="401"/>
        <v>#N/A</v>
      </c>
      <c r="AQ852" s="104" t="e">
        <f t="shared" si="402"/>
        <v>#N/A</v>
      </c>
      <c r="AR852" s="105" t="str">
        <f t="shared" si="394"/>
        <v/>
      </c>
      <c r="AS852" s="105" t="str">
        <f t="shared" si="395"/>
        <v/>
      </c>
      <c r="AT852" s="108" t="str">
        <f t="shared" si="396"/>
        <v/>
      </c>
      <c r="AU852" s="108" t="str">
        <f t="shared" si="397"/>
        <v/>
      </c>
      <c r="AV852" s="107" t="str">
        <f>IF(ISNUMBER(O852),IF(VLOOKUP($A852,Stand!C:J,8,FALSE)="Short",AT852,AU852),"")</f>
        <v/>
      </c>
      <c r="AW852" s="109" t="str">
        <f t="shared" si="403"/>
        <v/>
      </c>
      <c r="AX852" s="109" t="str">
        <f t="shared" si="404"/>
        <v/>
      </c>
      <c r="AY852" s="112" t="str">
        <f>IF(ISNUMBER(O852),IF(AND(VLOOKUP($D852,Merchantability!$B:$C,2,0)="Yes",$E852&gt;=VLOOKUP($D852,Merchantability!$B:$D,3,0),$E852&lt;=VLOOKUP($D852,Merchantability!$B:$E,4,0)),(AV852*O852)*(1-$H852/100),""),"")</f>
        <v/>
      </c>
      <c r="AZ852" s="116"/>
      <c r="BA852" s="116"/>
      <c r="BB852" s="116"/>
      <c r="BE852" s="62"/>
      <c r="BF852" s="63"/>
    </row>
    <row r="853" spans="1:58" ht="12.75" customHeight="1" x14ac:dyDescent="0.25">
      <c r="A853" s="313"/>
      <c r="B853" s="328"/>
      <c r="C853" s="329"/>
      <c r="D853" s="328"/>
      <c r="E853" s="330"/>
      <c r="F853" s="328"/>
      <c r="G853" s="329"/>
      <c r="H853" s="329"/>
      <c r="I853" s="328"/>
      <c r="J853" s="383"/>
      <c r="K853" s="329"/>
      <c r="L853" s="329"/>
      <c r="M853" s="76"/>
      <c r="N853" s="103" t="str">
        <f>IF(A853="","",VLOOKUP(A853,Stand!C:K,9,0))</f>
        <v/>
      </c>
      <c r="O853" s="104" t="str">
        <f t="shared" si="389"/>
        <v/>
      </c>
      <c r="P853" s="105" t="str">
        <f t="shared" si="390"/>
        <v/>
      </c>
      <c r="Q853" s="105" t="str">
        <f t="shared" si="378"/>
        <v/>
      </c>
      <c r="R853" s="103" t="str">
        <f t="shared" si="391"/>
        <v/>
      </c>
      <c r="S853" s="103" t="str">
        <f t="shared" si="392"/>
        <v/>
      </c>
      <c r="T853" s="106" t="str">
        <f t="shared" si="379"/>
        <v/>
      </c>
      <c r="U853" s="106" t="str">
        <f t="shared" si="380"/>
        <v/>
      </c>
      <c r="V853" s="106" t="str">
        <f t="shared" si="381"/>
        <v/>
      </c>
      <c r="W853" s="105" t="str">
        <f t="shared" si="393"/>
        <v/>
      </c>
      <c r="X853" s="104" t="str">
        <f t="shared" si="398"/>
        <v/>
      </c>
      <c r="Y853" s="104" t="str">
        <f t="array" ref="Y853">IFERROR(IF(ISNUMBER(O853),IF(COUNT(IF(A853=$A$2:$A$2427,IF(D853=$D$2:$D$2427,IF($X$2:$X$2427&gt;0,1))))&gt;0,SUM(IF(A853=$A$2:$A$2427,IF(D853=$D$2:$D$2427,$X$2:$X$2427)))/COUNT(IF(A853=$A$2:$A$2427,IF(D853=$D$2:$D$2427,IF(ISNUMBER($X$2:$X$2427),1)))),0),""),0)</f>
        <v/>
      </c>
      <c r="Z853" s="104" t="str">
        <f>IF(ISNUMBER(O853),IF(I853&gt;0,(10^(VLOOKUP(D853,'Species Codes'!B:C,2,0)+VLOOKUP(D853,'Species Codes'!B:D,3,0)*LOG(E853)+VLOOKUP(D853,'Species Codes'!B:E,4,0)*LOG(I853))),0),"")</f>
        <v/>
      </c>
      <c r="AA853" s="104" t="str">
        <f>IFERROR((VLOOKUP(D853,'Species Codes'!B:G,6,0)*Z853)/2000,"")</f>
        <v/>
      </c>
      <c r="AB853" s="104" t="e">
        <f>IF(Z853&gt;0,((IF(OR(D853="DF",D853="RA")=TRUE,EXP(VLOOKUP(D853,'Species Codes'!B:I,8,0)+VLOOKUP(D853,'Species Codes'!B:J,9,0)*(LN((E853*2.54)))),IF(OR(D853="PY",D853="RC",D853="WH",D853="NF")=TRUE,VLOOKUP(D853,'Species Codes'!B:I,8,0)+VLOOKUP(D853,'Species Codes'!B:J,9,0)*((E853*2.54)^2)*(I853*0.3048),IF(OR(D853="MD",D853="BM",D853="GA")=TRUE,((VLOOKUP(D853,'Species Codes'!B:I,8,0)*(((((E853*2.54)+VLOOKUP(D853,'Species Codes'!B:J,9,0))/VLOOKUP(D853,'Species Codes'!B:K,10,0))^VLOOKUP(D853,'Species Codes'!B:L,11,0))*((I853*0.3048)^VLOOKUP(D853,'Species Codes'!B:M,12,0))))-(VLOOKUP(D853,'Species Codes'!B:I,8,0)*((((E853*2.54)^VLOOKUP(D853,'Species Codes'!B:L,11,0))*((I853*0.3048)^VLOOKUP(D853,'Species Codes'!B:M,12,0))))))*35.3*VLOOKUP(D853,'Species Codes'!B:G,6,0)/2.2046,VLOOKUP(D853,'Species Codes'!B:I,8,0)+VLOOKUP(D853,'Species Codes'!B:J,9,0)*(((E853*2.54)/100)^2)*(I853*0.3048)))))*0.0011023),0)</f>
        <v>#N/A</v>
      </c>
      <c r="AC853" s="104" t="e">
        <f>IF(Z853&gt;0,((IF(OR(D853="RA",D853="OA",D853="OT",D853="UN",D853="PC"),EXP(VLOOKUP(D853,'Species Codes'!B:O,14,0)+VLOOKUP(D853,'Species Codes'!B:P,15,0)*LN((E853*2.54)))-EXP(VLOOKUP(D853,'Species Codes'!B:O,14,0)+VLOOKUP(D853,'Species Codes'!B:P,15,0)*LN((E853*2.54)))*(1/(VLOOKUP(D853,'Species Codes'!B:Q,16,0)+VLOOKUP(D853,'Species Codes'!B:R,17,0)*((E853*2.54)^VLOOKUP(D853,'Species Codes'!B:S,18,0)))),IF(OR(D853="BM",D853="MD",D853="OA"),EXP(VLOOKUP(D853,'Species Codes'!B:O,14,0)+VLOOKUP(D853,'Species Codes'!B:P,15,0)*LN((E853*2.54)))*(1-(1/(VLOOKUP(D853,'Species Codes'!B:Q,16,0)+VLOOKUP(D853,'Species Codes'!B:R,17,0)*((E853*2.54)^VLOOKUP(D853,'Species Codes'!B:S,18,0)))))/1000,IF(D853="DF",EXP(VLOOKUP(D853,'Species Codes'!B:O,14,0)+VLOOKUP(D853,'Species Codes'!B:P,15,0)*LN((E853*2.54))),VLOOKUP(D853,'Species Codes'!B:O,14,0)+VLOOKUP(D853,'Species Codes'!B:P,15,0)*(((E853*2.54)/100)^2)*(I853*0.3048)))))*0.0011023),0)</f>
        <v>#N/A</v>
      </c>
      <c r="AD853" s="104" t="e">
        <f t="shared" si="382"/>
        <v>#N/A</v>
      </c>
      <c r="AE853" s="104" t="e">
        <f t="shared" si="383"/>
        <v>#N/A</v>
      </c>
      <c r="AF853" s="104" t="e">
        <f>IF(AND(VLOOKUP($D853,Merchantability!$B:$C,2,0)="Yes",$E853&gt;=VLOOKUP($D853,Merchantability!$B:$D,3,0),$E853&lt;=VLOOKUP($D853,Merchantability!$B:$E,4,0)),AA853,0)</f>
        <v>#N/A</v>
      </c>
      <c r="AG853" s="104" t="e">
        <f>IF(AND(VLOOKUP($D853,Merchantability!$B:$C,2,0)="Yes",$E853&gt;=VLOOKUP($D853,Merchantability!$B:$D,3,0),$E853&lt;=VLOOKUP($D853,Merchantability!$B:$E,4,0)),AB853,0)</f>
        <v>#N/A</v>
      </c>
      <c r="AH853" s="104" t="e">
        <f>IF(AND(VLOOKUP($D853,Merchantability!$B:$C,2,0)="Yes",$E853&gt;=VLOOKUP($D853,Merchantability!$B:$D,3,0),$E853&lt;=VLOOKUP($D853,Merchantability!$B:$E,4,0)),AC853,0)</f>
        <v>#N/A</v>
      </c>
      <c r="AI853" s="104" t="e">
        <f t="shared" si="384"/>
        <v>#N/A</v>
      </c>
      <c r="AJ853" s="104" t="e">
        <f t="shared" si="385"/>
        <v>#VALUE!</v>
      </c>
      <c r="AK853" s="104" t="e">
        <f t="shared" si="386"/>
        <v>#N/A</v>
      </c>
      <c r="AL853" s="104" t="e">
        <f t="shared" si="387"/>
        <v>#N/A</v>
      </c>
      <c r="AM853" s="104" t="e">
        <f t="shared" si="388"/>
        <v>#N/A</v>
      </c>
      <c r="AN853" s="104" t="e">
        <f t="shared" si="399"/>
        <v>#N/A</v>
      </c>
      <c r="AO853" s="104" t="e">
        <f t="shared" si="400"/>
        <v>#N/A</v>
      </c>
      <c r="AP853" s="104" t="e">
        <f t="shared" si="401"/>
        <v>#N/A</v>
      </c>
      <c r="AQ853" s="104" t="e">
        <f t="shared" si="402"/>
        <v>#N/A</v>
      </c>
      <c r="AR853" s="105" t="str">
        <f t="shared" si="394"/>
        <v/>
      </c>
      <c r="AS853" s="105" t="str">
        <f t="shared" si="395"/>
        <v/>
      </c>
      <c r="AT853" s="108" t="str">
        <f t="shared" si="396"/>
        <v/>
      </c>
      <c r="AU853" s="108" t="str">
        <f t="shared" si="397"/>
        <v/>
      </c>
      <c r="AV853" s="107" t="str">
        <f>IF(ISNUMBER(O853),IF(VLOOKUP($A853,Stand!C:J,8,FALSE)="Short",AT853,AU853),"")</f>
        <v/>
      </c>
      <c r="AW853" s="109" t="str">
        <f t="shared" si="403"/>
        <v/>
      </c>
      <c r="AX853" s="109" t="str">
        <f t="shared" si="404"/>
        <v/>
      </c>
      <c r="AY853" s="112" t="str">
        <f>IF(ISNUMBER(O853),IF(AND(VLOOKUP($D853,Merchantability!$B:$C,2,0)="Yes",$E853&gt;=VLOOKUP($D853,Merchantability!$B:$D,3,0),$E853&lt;=VLOOKUP($D853,Merchantability!$B:$E,4,0)),(AV853*O853)*(1-$H853/100),""),"")</f>
        <v/>
      </c>
      <c r="AZ853" s="116"/>
      <c r="BA853" s="116"/>
      <c r="BB853" s="116"/>
      <c r="BE853" s="62"/>
      <c r="BF853" s="63"/>
    </row>
    <row r="854" spans="1:58" ht="12.75" customHeight="1" x14ac:dyDescent="0.25">
      <c r="A854" s="313"/>
      <c r="B854" s="328"/>
      <c r="C854" s="329"/>
      <c r="D854" s="328"/>
      <c r="E854" s="330"/>
      <c r="F854" s="328"/>
      <c r="G854" s="329"/>
      <c r="H854" s="329"/>
      <c r="I854" s="328"/>
      <c r="J854" s="383"/>
      <c r="K854" s="329"/>
      <c r="L854" s="329"/>
      <c r="M854" s="76"/>
      <c r="N854" s="103" t="str">
        <f>IF(A854="","",VLOOKUP(A854,Stand!C:K,9,0))</f>
        <v/>
      </c>
      <c r="O854" s="104" t="str">
        <f t="shared" si="389"/>
        <v/>
      </c>
      <c r="P854" s="105" t="str">
        <f t="shared" si="390"/>
        <v/>
      </c>
      <c r="Q854" s="105" t="str">
        <f t="shared" si="378"/>
        <v/>
      </c>
      <c r="R854" s="103" t="str">
        <f t="shared" si="391"/>
        <v/>
      </c>
      <c r="S854" s="103" t="str">
        <f t="shared" si="392"/>
        <v/>
      </c>
      <c r="T854" s="106" t="str">
        <f t="shared" si="379"/>
        <v/>
      </c>
      <c r="U854" s="106" t="str">
        <f t="shared" si="380"/>
        <v/>
      </c>
      <c r="V854" s="106" t="str">
        <f t="shared" si="381"/>
        <v/>
      </c>
      <c r="W854" s="105" t="str">
        <f t="shared" si="393"/>
        <v/>
      </c>
      <c r="X854" s="104" t="str">
        <f t="shared" si="398"/>
        <v/>
      </c>
      <c r="Y854" s="104" t="str">
        <f t="array" ref="Y854">IFERROR(IF(ISNUMBER(O854),IF(COUNT(IF(A854=$A$2:$A$2427,IF(D854=$D$2:$D$2427,IF($X$2:$X$2427&gt;0,1))))&gt;0,SUM(IF(A854=$A$2:$A$2427,IF(D854=$D$2:$D$2427,$X$2:$X$2427)))/COUNT(IF(A854=$A$2:$A$2427,IF(D854=$D$2:$D$2427,IF(ISNUMBER($X$2:$X$2427),1)))),0),""),0)</f>
        <v/>
      </c>
      <c r="Z854" s="104" t="str">
        <f>IF(ISNUMBER(O854),IF(I854&gt;0,(10^(VLOOKUP(D854,'Species Codes'!B:C,2,0)+VLOOKUP(D854,'Species Codes'!B:D,3,0)*LOG(E854)+VLOOKUP(D854,'Species Codes'!B:E,4,0)*LOG(I854))),0),"")</f>
        <v/>
      </c>
      <c r="AA854" s="104" t="str">
        <f>IFERROR((VLOOKUP(D854,'Species Codes'!B:G,6,0)*Z854)/2000,"")</f>
        <v/>
      </c>
      <c r="AB854" s="104" t="e">
        <f>IF(Z854&gt;0,((IF(OR(D854="DF",D854="RA")=TRUE,EXP(VLOOKUP(D854,'Species Codes'!B:I,8,0)+VLOOKUP(D854,'Species Codes'!B:J,9,0)*(LN((E854*2.54)))),IF(OR(D854="PY",D854="RC",D854="WH",D854="NF")=TRUE,VLOOKUP(D854,'Species Codes'!B:I,8,0)+VLOOKUP(D854,'Species Codes'!B:J,9,0)*((E854*2.54)^2)*(I854*0.3048),IF(OR(D854="MD",D854="BM",D854="GA")=TRUE,((VLOOKUP(D854,'Species Codes'!B:I,8,0)*(((((E854*2.54)+VLOOKUP(D854,'Species Codes'!B:J,9,0))/VLOOKUP(D854,'Species Codes'!B:K,10,0))^VLOOKUP(D854,'Species Codes'!B:L,11,0))*((I854*0.3048)^VLOOKUP(D854,'Species Codes'!B:M,12,0))))-(VLOOKUP(D854,'Species Codes'!B:I,8,0)*((((E854*2.54)^VLOOKUP(D854,'Species Codes'!B:L,11,0))*((I854*0.3048)^VLOOKUP(D854,'Species Codes'!B:M,12,0))))))*35.3*VLOOKUP(D854,'Species Codes'!B:G,6,0)/2.2046,VLOOKUP(D854,'Species Codes'!B:I,8,0)+VLOOKUP(D854,'Species Codes'!B:J,9,0)*(((E854*2.54)/100)^2)*(I854*0.3048)))))*0.0011023),0)</f>
        <v>#N/A</v>
      </c>
      <c r="AC854" s="104" t="e">
        <f>IF(Z854&gt;0,((IF(OR(D854="RA",D854="OA",D854="OT",D854="UN",D854="PC"),EXP(VLOOKUP(D854,'Species Codes'!B:O,14,0)+VLOOKUP(D854,'Species Codes'!B:P,15,0)*LN((E854*2.54)))-EXP(VLOOKUP(D854,'Species Codes'!B:O,14,0)+VLOOKUP(D854,'Species Codes'!B:P,15,0)*LN((E854*2.54)))*(1/(VLOOKUP(D854,'Species Codes'!B:Q,16,0)+VLOOKUP(D854,'Species Codes'!B:R,17,0)*((E854*2.54)^VLOOKUP(D854,'Species Codes'!B:S,18,0)))),IF(OR(D854="BM",D854="MD",D854="OA"),EXP(VLOOKUP(D854,'Species Codes'!B:O,14,0)+VLOOKUP(D854,'Species Codes'!B:P,15,0)*LN((E854*2.54)))*(1-(1/(VLOOKUP(D854,'Species Codes'!B:Q,16,0)+VLOOKUP(D854,'Species Codes'!B:R,17,0)*((E854*2.54)^VLOOKUP(D854,'Species Codes'!B:S,18,0)))))/1000,IF(D854="DF",EXP(VLOOKUP(D854,'Species Codes'!B:O,14,0)+VLOOKUP(D854,'Species Codes'!B:P,15,0)*LN((E854*2.54))),VLOOKUP(D854,'Species Codes'!B:O,14,0)+VLOOKUP(D854,'Species Codes'!B:P,15,0)*(((E854*2.54)/100)^2)*(I854*0.3048)))))*0.0011023),0)</f>
        <v>#N/A</v>
      </c>
      <c r="AD854" s="104" t="e">
        <f t="shared" si="382"/>
        <v>#N/A</v>
      </c>
      <c r="AE854" s="104" t="e">
        <f t="shared" si="383"/>
        <v>#N/A</v>
      </c>
      <c r="AF854" s="104" t="e">
        <f>IF(AND(VLOOKUP($D854,Merchantability!$B:$C,2,0)="Yes",$E854&gt;=VLOOKUP($D854,Merchantability!$B:$D,3,0),$E854&lt;=VLOOKUP($D854,Merchantability!$B:$E,4,0)),AA854,0)</f>
        <v>#N/A</v>
      </c>
      <c r="AG854" s="104" t="e">
        <f>IF(AND(VLOOKUP($D854,Merchantability!$B:$C,2,0)="Yes",$E854&gt;=VLOOKUP($D854,Merchantability!$B:$D,3,0),$E854&lt;=VLOOKUP($D854,Merchantability!$B:$E,4,0)),AB854,0)</f>
        <v>#N/A</v>
      </c>
      <c r="AH854" s="104" t="e">
        <f>IF(AND(VLOOKUP($D854,Merchantability!$B:$C,2,0)="Yes",$E854&gt;=VLOOKUP($D854,Merchantability!$B:$D,3,0),$E854&lt;=VLOOKUP($D854,Merchantability!$B:$E,4,0)),AC854,0)</f>
        <v>#N/A</v>
      </c>
      <c r="AI854" s="104" t="e">
        <f t="shared" si="384"/>
        <v>#N/A</v>
      </c>
      <c r="AJ854" s="104" t="e">
        <f t="shared" si="385"/>
        <v>#VALUE!</v>
      </c>
      <c r="AK854" s="104" t="e">
        <f t="shared" si="386"/>
        <v>#N/A</v>
      </c>
      <c r="AL854" s="104" t="e">
        <f t="shared" si="387"/>
        <v>#N/A</v>
      </c>
      <c r="AM854" s="104" t="e">
        <f t="shared" si="388"/>
        <v>#N/A</v>
      </c>
      <c r="AN854" s="104" t="e">
        <f t="shared" si="399"/>
        <v>#N/A</v>
      </c>
      <c r="AO854" s="104" t="e">
        <f t="shared" si="400"/>
        <v>#N/A</v>
      </c>
      <c r="AP854" s="104" t="e">
        <f t="shared" si="401"/>
        <v>#N/A</v>
      </c>
      <c r="AQ854" s="104" t="e">
        <f t="shared" si="402"/>
        <v>#N/A</v>
      </c>
      <c r="AR854" s="105" t="str">
        <f t="shared" si="394"/>
        <v/>
      </c>
      <c r="AS854" s="105" t="str">
        <f t="shared" si="395"/>
        <v/>
      </c>
      <c r="AT854" s="108" t="str">
        <f t="shared" si="396"/>
        <v/>
      </c>
      <c r="AU854" s="108" t="str">
        <f t="shared" si="397"/>
        <v/>
      </c>
      <c r="AV854" s="107" t="str">
        <f>IF(ISNUMBER(O854),IF(VLOOKUP($A854,Stand!C:J,8,FALSE)="Short",AT854,AU854),"")</f>
        <v/>
      </c>
      <c r="AW854" s="109" t="str">
        <f t="shared" si="403"/>
        <v/>
      </c>
      <c r="AX854" s="109" t="str">
        <f t="shared" si="404"/>
        <v/>
      </c>
      <c r="AY854" s="112" t="str">
        <f>IF(ISNUMBER(O854),IF(AND(VLOOKUP($D854,Merchantability!$B:$C,2,0)="Yes",$E854&gt;=VLOOKUP($D854,Merchantability!$B:$D,3,0),$E854&lt;=VLOOKUP($D854,Merchantability!$B:$E,4,0)),(AV854*O854)*(1-$H854/100),""),"")</f>
        <v/>
      </c>
      <c r="AZ854" s="116"/>
      <c r="BA854" s="116"/>
      <c r="BB854" s="116"/>
      <c r="BE854" s="62"/>
      <c r="BF854" s="63"/>
    </row>
    <row r="855" spans="1:58" ht="12.75" customHeight="1" x14ac:dyDescent="0.25">
      <c r="A855" s="313"/>
      <c r="B855" s="328"/>
      <c r="C855" s="329"/>
      <c r="D855" s="328"/>
      <c r="E855" s="330"/>
      <c r="F855" s="328"/>
      <c r="G855" s="329"/>
      <c r="H855" s="329"/>
      <c r="I855" s="328"/>
      <c r="J855" s="383"/>
      <c r="K855" s="329"/>
      <c r="L855" s="329"/>
      <c r="M855" s="76"/>
      <c r="N855" s="103" t="str">
        <f>IF(A855="","",VLOOKUP(A855,Stand!C:K,9,0))</f>
        <v/>
      </c>
      <c r="O855" s="104" t="str">
        <f t="shared" si="389"/>
        <v/>
      </c>
      <c r="P855" s="105" t="str">
        <f t="shared" si="390"/>
        <v/>
      </c>
      <c r="Q855" s="105" t="str">
        <f t="shared" si="378"/>
        <v/>
      </c>
      <c r="R855" s="103" t="str">
        <f t="shared" si="391"/>
        <v/>
      </c>
      <c r="S855" s="103" t="str">
        <f t="shared" si="392"/>
        <v/>
      </c>
      <c r="T855" s="106" t="str">
        <f t="shared" si="379"/>
        <v/>
      </c>
      <c r="U855" s="106" t="str">
        <f t="shared" si="380"/>
        <v/>
      </c>
      <c r="V855" s="106" t="str">
        <f t="shared" si="381"/>
        <v/>
      </c>
      <c r="W855" s="105" t="str">
        <f t="shared" si="393"/>
        <v/>
      </c>
      <c r="X855" s="104" t="str">
        <f t="shared" si="398"/>
        <v/>
      </c>
      <c r="Y855" s="104" t="str">
        <f t="array" ref="Y855">IFERROR(IF(ISNUMBER(O855),IF(COUNT(IF(A855=$A$2:$A$2427,IF(D855=$D$2:$D$2427,IF($X$2:$X$2427&gt;0,1))))&gt;0,SUM(IF(A855=$A$2:$A$2427,IF(D855=$D$2:$D$2427,$X$2:$X$2427)))/COUNT(IF(A855=$A$2:$A$2427,IF(D855=$D$2:$D$2427,IF(ISNUMBER($X$2:$X$2427),1)))),0),""),0)</f>
        <v/>
      </c>
      <c r="Z855" s="104" t="str">
        <f>IF(ISNUMBER(O855),IF(I855&gt;0,(10^(VLOOKUP(D855,'Species Codes'!B:C,2,0)+VLOOKUP(D855,'Species Codes'!B:D,3,0)*LOG(E855)+VLOOKUP(D855,'Species Codes'!B:E,4,0)*LOG(I855))),0),"")</f>
        <v/>
      </c>
      <c r="AA855" s="104" t="str">
        <f>IFERROR((VLOOKUP(D855,'Species Codes'!B:G,6,0)*Z855)/2000,"")</f>
        <v/>
      </c>
      <c r="AB855" s="104" t="e">
        <f>IF(Z855&gt;0,((IF(OR(D855="DF",D855="RA")=TRUE,EXP(VLOOKUP(D855,'Species Codes'!B:I,8,0)+VLOOKUP(D855,'Species Codes'!B:J,9,0)*(LN((E855*2.54)))),IF(OR(D855="PY",D855="RC",D855="WH",D855="NF")=TRUE,VLOOKUP(D855,'Species Codes'!B:I,8,0)+VLOOKUP(D855,'Species Codes'!B:J,9,0)*((E855*2.54)^2)*(I855*0.3048),IF(OR(D855="MD",D855="BM",D855="GA")=TRUE,((VLOOKUP(D855,'Species Codes'!B:I,8,0)*(((((E855*2.54)+VLOOKUP(D855,'Species Codes'!B:J,9,0))/VLOOKUP(D855,'Species Codes'!B:K,10,0))^VLOOKUP(D855,'Species Codes'!B:L,11,0))*((I855*0.3048)^VLOOKUP(D855,'Species Codes'!B:M,12,0))))-(VLOOKUP(D855,'Species Codes'!B:I,8,0)*((((E855*2.54)^VLOOKUP(D855,'Species Codes'!B:L,11,0))*((I855*0.3048)^VLOOKUP(D855,'Species Codes'!B:M,12,0))))))*35.3*VLOOKUP(D855,'Species Codes'!B:G,6,0)/2.2046,VLOOKUP(D855,'Species Codes'!B:I,8,0)+VLOOKUP(D855,'Species Codes'!B:J,9,0)*(((E855*2.54)/100)^2)*(I855*0.3048)))))*0.0011023),0)</f>
        <v>#N/A</v>
      </c>
      <c r="AC855" s="104" t="e">
        <f>IF(Z855&gt;0,((IF(OR(D855="RA",D855="OA",D855="OT",D855="UN",D855="PC"),EXP(VLOOKUP(D855,'Species Codes'!B:O,14,0)+VLOOKUP(D855,'Species Codes'!B:P,15,0)*LN((E855*2.54)))-EXP(VLOOKUP(D855,'Species Codes'!B:O,14,0)+VLOOKUP(D855,'Species Codes'!B:P,15,0)*LN((E855*2.54)))*(1/(VLOOKUP(D855,'Species Codes'!B:Q,16,0)+VLOOKUP(D855,'Species Codes'!B:R,17,0)*((E855*2.54)^VLOOKUP(D855,'Species Codes'!B:S,18,0)))),IF(OR(D855="BM",D855="MD",D855="OA"),EXP(VLOOKUP(D855,'Species Codes'!B:O,14,0)+VLOOKUP(D855,'Species Codes'!B:P,15,0)*LN((E855*2.54)))*(1-(1/(VLOOKUP(D855,'Species Codes'!B:Q,16,0)+VLOOKUP(D855,'Species Codes'!B:R,17,0)*((E855*2.54)^VLOOKUP(D855,'Species Codes'!B:S,18,0)))))/1000,IF(D855="DF",EXP(VLOOKUP(D855,'Species Codes'!B:O,14,0)+VLOOKUP(D855,'Species Codes'!B:P,15,0)*LN((E855*2.54))),VLOOKUP(D855,'Species Codes'!B:O,14,0)+VLOOKUP(D855,'Species Codes'!B:P,15,0)*(((E855*2.54)/100)^2)*(I855*0.3048)))))*0.0011023),0)</f>
        <v>#N/A</v>
      </c>
      <c r="AD855" s="104" t="e">
        <f t="shared" si="382"/>
        <v>#N/A</v>
      </c>
      <c r="AE855" s="104" t="e">
        <f t="shared" si="383"/>
        <v>#N/A</v>
      </c>
      <c r="AF855" s="104" t="e">
        <f>IF(AND(VLOOKUP($D855,Merchantability!$B:$C,2,0)="Yes",$E855&gt;=VLOOKUP($D855,Merchantability!$B:$D,3,0),$E855&lt;=VLOOKUP($D855,Merchantability!$B:$E,4,0)),AA855,0)</f>
        <v>#N/A</v>
      </c>
      <c r="AG855" s="104" t="e">
        <f>IF(AND(VLOOKUP($D855,Merchantability!$B:$C,2,0)="Yes",$E855&gt;=VLOOKUP($D855,Merchantability!$B:$D,3,0),$E855&lt;=VLOOKUP($D855,Merchantability!$B:$E,4,0)),AB855,0)</f>
        <v>#N/A</v>
      </c>
      <c r="AH855" s="104" t="e">
        <f>IF(AND(VLOOKUP($D855,Merchantability!$B:$C,2,0)="Yes",$E855&gt;=VLOOKUP($D855,Merchantability!$B:$D,3,0),$E855&lt;=VLOOKUP($D855,Merchantability!$B:$E,4,0)),AC855,0)</f>
        <v>#N/A</v>
      </c>
      <c r="AI855" s="104" t="e">
        <f t="shared" si="384"/>
        <v>#N/A</v>
      </c>
      <c r="AJ855" s="104" t="e">
        <f t="shared" si="385"/>
        <v>#VALUE!</v>
      </c>
      <c r="AK855" s="104" t="e">
        <f t="shared" si="386"/>
        <v>#N/A</v>
      </c>
      <c r="AL855" s="104" t="e">
        <f t="shared" si="387"/>
        <v>#N/A</v>
      </c>
      <c r="AM855" s="104" t="e">
        <f t="shared" si="388"/>
        <v>#N/A</v>
      </c>
      <c r="AN855" s="104" t="e">
        <f t="shared" si="399"/>
        <v>#N/A</v>
      </c>
      <c r="AO855" s="104" t="e">
        <f t="shared" si="400"/>
        <v>#N/A</v>
      </c>
      <c r="AP855" s="104" t="e">
        <f t="shared" si="401"/>
        <v>#N/A</v>
      </c>
      <c r="AQ855" s="104" t="e">
        <f t="shared" si="402"/>
        <v>#N/A</v>
      </c>
      <c r="AR855" s="105" t="str">
        <f t="shared" si="394"/>
        <v/>
      </c>
      <c r="AS855" s="105" t="str">
        <f t="shared" si="395"/>
        <v/>
      </c>
      <c r="AT855" s="108" t="str">
        <f t="shared" si="396"/>
        <v/>
      </c>
      <c r="AU855" s="108" t="str">
        <f t="shared" si="397"/>
        <v/>
      </c>
      <c r="AV855" s="107" t="str">
        <f>IF(ISNUMBER(O855),IF(VLOOKUP($A855,Stand!C:J,8,FALSE)="Short",AT855,AU855),"")</f>
        <v/>
      </c>
      <c r="AW855" s="109" t="str">
        <f t="shared" si="403"/>
        <v/>
      </c>
      <c r="AX855" s="109" t="str">
        <f t="shared" si="404"/>
        <v/>
      </c>
      <c r="AY855" s="112" t="str">
        <f>IF(ISNUMBER(O855),IF(AND(VLOOKUP($D855,Merchantability!$B:$C,2,0)="Yes",$E855&gt;=VLOOKUP($D855,Merchantability!$B:$D,3,0),$E855&lt;=VLOOKUP($D855,Merchantability!$B:$E,4,0)),(AV855*O855)*(1-$H855/100),""),"")</f>
        <v/>
      </c>
      <c r="AZ855" s="116"/>
      <c r="BA855" s="116"/>
      <c r="BB855" s="116"/>
      <c r="BE855" s="62"/>
      <c r="BF855" s="63"/>
    </row>
    <row r="856" spans="1:58" ht="12.75" customHeight="1" x14ac:dyDescent="0.25">
      <c r="A856" s="313"/>
      <c r="B856" s="328"/>
      <c r="C856" s="329"/>
      <c r="D856" s="328"/>
      <c r="E856" s="330"/>
      <c r="F856" s="328"/>
      <c r="G856" s="329"/>
      <c r="H856" s="329"/>
      <c r="I856" s="328"/>
      <c r="J856" s="383"/>
      <c r="K856" s="329"/>
      <c r="L856" s="329"/>
      <c r="M856" s="76"/>
      <c r="N856" s="103" t="str">
        <f>IF(A856="","",VLOOKUP(A856,Stand!C:K,9,0))</f>
        <v/>
      </c>
      <c r="O856" s="104" t="str">
        <f t="shared" si="389"/>
        <v/>
      </c>
      <c r="P856" s="105" t="str">
        <f t="shared" si="390"/>
        <v/>
      </c>
      <c r="Q856" s="105" t="str">
        <f t="shared" si="378"/>
        <v/>
      </c>
      <c r="R856" s="103" t="str">
        <f t="shared" si="391"/>
        <v/>
      </c>
      <c r="S856" s="103" t="str">
        <f t="shared" si="392"/>
        <v/>
      </c>
      <c r="T856" s="106" t="str">
        <f t="shared" si="379"/>
        <v/>
      </c>
      <c r="U856" s="106" t="str">
        <f t="shared" si="380"/>
        <v/>
      </c>
      <c r="V856" s="106" t="str">
        <f t="shared" si="381"/>
        <v/>
      </c>
      <c r="W856" s="105" t="str">
        <f t="shared" si="393"/>
        <v/>
      </c>
      <c r="X856" s="104" t="str">
        <f t="shared" si="398"/>
        <v/>
      </c>
      <c r="Y856" s="104" t="str">
        <f t="array" ref="Y856">IFERROR(IF(ISNUMBER(O856),IF(COUNT(IF(A856=$A$2:$A$2427,IF(D856=$D$2:$D$2427,IF($X$2:$X$2427&gt;0,1))))&gt;0,SUM(IF(A856=$A$2:$A$2427,IF(D856=$D$2:$D$2427,$X$2:$X$2427)))/COUNT(IF(A856=$A$2:$A$2427,IF(D856=$D$2:$D$2427,IF(ISNUMBER($X$2:$X$2427),1)))),0),""),0)</f>
        <v/>
      </c>
      <c r="Z856" s="104" t="str">
        <f>IF(ISNUMBER(O856),IF(I856&gt;0,(10^(VLOOKUP(D856,'Species Codes'!B:C,2,0)+VLOOKUP(D856,'Species Codes'!B:D,3,0)*LOG(E856)+VLOOKUP(D856,'Species Codes'!B:E,4,0)*LOG(I856))),0),"")</f>
        <v/>
      </c>
      <c r="AA856" s="104" t="str">
        <f>IFERROR((VLOOKUP(D856,'Species Codes'!B:G,6,0)*Z856)/2000,"")</f>
        <v/>
      </c>
      <c r="AB856" s="104" t="e">
        <f>IF(Z856&gt;0,((IF(OR(D856="DF",D856="RA")=TRUE,EXP(VLOOKUP(D856,'Species Codes'!B:I,8,0)+VLOOKUP(D856,'Species Codes'!B:J,9,0)*(LN((E856*2.54)))),IF(OR(D856="PY",D856="RC",D856="WH",D856="NF")=TRUE,VLOOKUP(D856,'Species Codes'!B:I,8,0)+VLOOKUP(D856,'Species Codes'!B:J,9,0)*((E856*2.54)^2)*(I856*0.3048),IF(OR(D856="MD",D856="BM",D856="GA")=TRUE,((VLOOKUP(D856,'Species Codes'!B:I,8,0)*(((((E856*2.54)+VLOOKUP(D856,'Species Codes'!B:J,9,0))/VLOOKUP(D856,'Species Codes'!B:K,10,0))^VLOOKUP(D856,'Species Codes'!B:L,11,0))*((I856*0.3048)^VLOOKUP(D856,'Species Codes'!B:M,12,0))))-(VLOOKUP(D856,'Species Codes'!B:I,8,0)*((((E856*2.54)^VLOOKUP(D856,'Species Codes'!B:L,11,0))*((I856*0.3048)^VLOOKUP(D856,'Species Codes'!B:M,12,0))))))*35.3*VLOOKUP(D856,'Species Codes'!B:G,6,0)/2.2046,VLOOKUP(D856,'Species Codes'!B:I,8,0)+VLOOKUP(D856,'Species Codes'!B:J,9,0)*(((E856*2.54)/100)^2)*(I856*0.3048)))))*0.0011023),0)</f>
        <v>#N/A</v>
      </c>
      <c r="AC856" s="104" t="e">
        <f>IF(Z856&gt;0,((IF(OR(D856="RA",D856="OA",D856="OT",D856="UN",D856="PC"),EXP(VLOOKUP(D856,'Species Codes'!B:O,14,0)+VLOOKUP(D856,'Species Codes'!B:P,15,0)*LN((E856*2.54)))-EXP(VLOOKUP(D856,'Species Codes'!B:O,14,0)+VLOOKUP(D856,'Species Codes'!B:P,15,0)*LN((E856*2.54)))*(1/(VLOOKUP(D856,'Species Codes'!B:Q,16,0)+VLOOKUP(D856,'Species Codes'!B:R,17,0)*((E856*2.54)^VLOOKUP(D856,'Species Codes'!B:S,18,0)))),IF(OR(D856="BM",D856="MD",D856="OA"),EXP(VLOOKUP(D856,'Species Codes'!B:O,14,0)+VLOOKUP(D856,'Species Codes'!B:P,15,0)*LN((E856*2.54)))*(1-(1/(VLOOKUP(D856,'Species Codes'!B:Q,16,0)+VLOOKUP(D856,'Species Codes'!B:R,17,0)*((E856*2.54)^VLOOKUP(D856,'Species Codes'!B:S,18,0)))))/1000,IF(D856="DF",EXP(VLOOKUP(D856,'Species Codes'!B:O,14,0)+VLOOKUP(D856,'Species Codes'!B:P,15,0)*LN((E856*2.54))),VLOOKUP(D856,'Species Codes'!B:O,14,0)+VLOOKUP(D856,'Species Codes'!B:P,15,0)*(((E856*2.54)/100)^2)*(I856*0.3048)))))*0.0011023),0)</f>
        <v>#N/A</v>
      </c>
      <c r="AD856" s="104" t="e">
        <f t="shared" si="382"/>
        <v>#N/A</v>
      </c>
      <c r="AE856" s="104" t="e">
        <f t="shared" si="383"/>
        <v>#N/A</v>
      </c>
      <c r="AF856" s="104" t="e">
        <f>IF(AND(VLOOKUP($D856,Merchantability!$B:$C,2,0)="Yes",$E856&gt;=VLOOKUP($D856,Merchantability!$B:$D,3,0),$E856&lt;=VLOOKUP($D856,Merchantability!$B:$E,4,0)),AA856,0)</f>
        <v>#N/A</v>
      </c>
      <c r="AG856" s="104" t="e">
        <f>IF(AND(VLOOKUP($D856,Merchantability!$B:$C,2,0)="Yes",$E856&gt;=VLOOKUP($D856,Merchantability!$B:$D,3,0),$E856&lt;=VLOOKUP($D856,Merchantability!$B:$E,4,0)),AB856,0)</f>
        <v>#N/A</v>
      </c>
      <c r="AH856" s="104" t="e">
        <f>IF(AND(VLOOKUP($D856,Merchantability!$B:$C,2,0)="Yes",$E856&gt;=VLOOKUP($D856,Merchantability!$B:$D,3,0),$E856&lt;=VLOOKUP($D856,Merchantability!$B:$E,4,0)),AC856,0)</f>
        <v>#N/A</v>
      </c>
      <c r="AI856" s="104" t="e">
        <f t="shared" si="384"/>
        <v>#N/A</v>
      </c>
      <c r="AJ856" s="104" t="e">
        <f t="shared" si="385"/>
        <v>#VALUE!</v>
      </c>
      <c r="AK856" s="104" t="e">
        <f t="shared" si="386"/>
        <v>#N/A</v>
      </c>
      <c r="AL856" s="104" t="e">
        <f t="shared" si="387"/>
        <v>#N/A</v>
      </c>
      <c r="AM856" s="104" t="e">
        <f t="shared" si="388"/>
        <v>#N/A</v>
      </c>
      <c r="AN856" s="104" t="e">
        <f t="shared" si="399"/>
        <v>#N/A</v>
      </c>
      <c r="AO856" s="104" t="e">
        <f t="shared" si="400"/>
        <v>#N/A</v>
      </c>
      <c r="AP856" s="104" t="e">
        <f t="shared" si="401"/>
        <v>#N/A</v>
      </c>
      <c r="AQ856" s="104" t="e">
        <f t="shared" si="402"/>
        <v>#N/A</v>
      </c>
      <c r="AR856" s="105" t="str">
        <f t="shared" si="394"/>
        <v/>
      </c>
      <c r="AS856" s="105" t="str">
        <f t="shared" si="395"/>
        <v/>
      </c>
      <c r="AT856" s="108" t="str">
        <f t="shared" si="396"/>
        <v/>
      </c>
      <c r="AU856" s="108" t="str">
        <f t="shared" si="397"/>
        <v/>
      </c>
      <c r="AV856" s="107" t="str">
        <f>IF(ISNUMBER(O856),IF(VLOOKUP($A856,Stand!C:J,8,FALSE)="Short",AT856,AU856),"")</f>
        <v/>
      </c>
      <c r="AW856" s="109" t="str">
        <f t="shared" si="403"/>
        <v/>
      </c>
      <c r="AX856" s="109" t="str">
        <f t="shared" si="404"/>
        <v/>
      </c>
      <c r="AY856" s="112" t="str">
        <f>IF(ISNUMBER(O856),IF(AND(VLOOKUP($D856,Merchantability!$B:$C,2,0)="Yes",$E856&gt;=VLOOKUP($D856,Merchantability!$B:$D,3,0),$E856&lt;=VLOOKUP($D856,Merchantability!$B:$E,4,0)),(AV856*O856)*(1-$H856/100),""),"")</f>
        <v/>
      </c>
      <c r="AZ856" s="116"/>
      <c r="BA856" s="116"/>
      <c r="BB856" s="116"/>
      <c r="BE856" s="62"/>
      <c r="BF856" s="63"/>
    </row>
    <row r="857" spans="1:58" ht="12.75" customHeight="1" x14ac:dyDescent="0.25">
      <c r="A857" s="313"/>
      <c r="B857" s="328"/>
      <c r="C857" s="329"/>
      <c r="D857" s="328"/>
      <c r="E857" s="330"/>
      <c r="F857" s="328"/>
      <c r="G857" s="329"/>
      <c r="H857" s="329"/>
      <c r="I857" s="328"/>
      <c r="J857" s="383"/>
      <c r="K857" s="329"/>
      <c r="L857" s="329"/>
      <c r="M857" s="76"/>
      <c r="N857" s="103" t="str">
        <f>IF(A857="","",VLOOKUP(A857,Stand!C:K,9,0))</f>
        <v/>
      </c>
      <c r="O857" s="104" t="str">
        <f t="shared" si="389"/>
        <v/>
      </c>
      <c r="P857" s="105" t="str">
        <f t="shared" si="390"/>
        <v/>
      </c>
      <c r="Q857" s="105" t="str">
        <f t="shared" si="378"/>
        <v/>
      </c>
      <c r="R857" s="103" t="str">
        <f t="shared" si="391"/>
        <v/>
      </c>
      <c r="S857" s="103" t="str">
        <f t="shared" si="392"/>
        <v/>
      </c>
      <c r="T857" s="106" t="str">
        <f t="shared" si="379"/>
        <v/>
      </c>
      <c r="U857" s="106" t="str">
        <f t="shared" si="380"/>
        <v/>
      </c>
      <c r="V857" s="106" t="str">
        <f t="shared" si="381"/>
        <v/>
      </c>
      <c r="W857" s="105" t="str">
        <f t="shared" si="393"/>
        <v/>
      </c>
      <c r="X857" s="104" t="str">
        <f t="shared" si="398"/>
        <v/>
      </c>
      <c r="Y857" s="104" t="str">
        <f t="array" ref="Y857">IFERROR(IF(ISNUMBER(O857),IF(COUNT(IF(A857=$A$2:$A$2427,IF(D857=$D$2:$D$2427,IF($X$2:$X$2427&gt;0,1))))&gt;0,SUM(IF(A857=$A$2:$A$2427,IF(D857=$D$2:$D$2427,$X$2:$X$2427)))/COUNT(IF(A857=$A$2:$A$2427,IF(D857=$D$2:$D$2427,IF(ISNUMBER($X$2:$X$2427),1)))),0),""),0)</f>
        <v/>
      </c>
      <c r="Z857" s="104" t="str">
        <f>IF(ISNUMBER(O857),IF(I857&gt;0,(10^(VLOOKUP(D857,'Species Codes'!B:C,2,0)+VLOOKUP(D857,'Species Codes'!B:D,3,0)*LOG(E857)+VLOOKUP(D857,'Species Codes'!B:E,4,0)*LOG(I857))),0),"")</f>
        <v/>
      </c>
      <c r="AA857" s="104" t="str">
        <f>IFERROR((VLOOKUP(D857,'Species Codes'!B:G,6,0)*Z857)/2000,"")</f>
        <v/>
      </c>
      <c r="AB857" s="104" t="e">
        <f>IF(Z857&gt;0,((IF(OR(D857="DF",D857="RA")=TRUE,EXP(VLOOKUP(D857,'Species Codes'!B:I,8,0)+VLOOKUP(D857,'Species Codes'!B:J,9,0)*(LN((E857*2.54)))),IF(OR(D857="PY",D857="RC",D857="WH",D857="NF")=TRUE,VLOOKUP(D857,'Species Codes'!B:I,8,0)+VLOOKUP(D857,'Species Codes'!B:J,9,0)*((E857*2.54)^2)*(I857*0.3048),IF(OR(D857="MD",D857="BM",D857="GA")=TRUE,((VLOOKUP(D857,'Species Codes'!B:I,8,0)*(((((E857*2.54)+VLOOKUP(D857,'Species Codes'!B:J,9,0))/VLOOKUP(D857,'Species Codes'!B:K,10,0))^VLOOKUP(D857,'Species Codes'!B:L,11,0))*((I857*0.3048)^VLOOKUP(D857,'Species Codes'!B:M,12,0))))-(VLOOKUP(D857,'Species Codes'!B:I,8,0)*((((E857*2.54)^VLOOKUP(D857,'Species Codes'!B:L,11,0))*((I857*0.3048)^VLOOKUP(D857,'Species Codes'!B:M,12,0))))))*35.3*VLOOKUP(D857,'Species Codes'!B:G,6,0)/2.2046,VLOOKUP(D857,'Species Codes'!B:I,8,0)+VLOOKUP(D857,'Species Codes'!B:J,9,0)*(((E857*2.54)/100)^2)*(I857*0.3048)))))*0.0011023),0)</f>
        <v>#N/A</v>
      </c>
      <c r="AC857" s="104" t="e">
        <f>IF(Z857&gt;0,((IF(OR(D857="RA",D857="OA",D857="OT",D857="UN",D857="PC"),EXP(VLOOKUP(D857,'Species Codes'!B:O,14,0)+VLOOKUP(D857,'Species Codes'!B:P,15,0)*LN((E857*2.54)))-EXP(VLOOKUP(D857,'Species Codes'!B:O,14,0)+VLOOKUP(D857,'Species Codes'!B:P,15,0)*LN((E857*2.54)))*(1/(VLOOKUP(D857,'Species Codes'!B:Q,16,0)+VLOOKUP(D857,'Species Codes'!B:R,17,0)*((E857*2.54)^VLOOKUP(D857,'Species Codes'!B:S,18,0)))),IF(OR(D857="BM",D857="MD",D857="OA"),EXP(VLOOKUP(D857,'Species Codes'!B:O,14,0)+VLOOKUP(D857,'Species Codes'!B:P,15,0)*LN((E857*2.54)))*(1-(1/(VLOOKUP(D857,'Species Codes'!B:Q,16,0)+VLOOKUP(D857,'Species Codes'!B:R,17,0)*((E857*2.54)^VLOOKUP(D857,'Species Codes'!B:S,18,0)))))/1000,IF(D857="DF",EXP(VLOOKUP(D857,'Species Codes'!B:O,14,0)+VLOOKUP(D857,'Species Codes'!B:P,15,0)*LN((E857*2.54))),VLOOKUP(D857,'Species Codes'!B:O,14,0)+VLOOKUP(D857,'Species Codes'!B:P,15,0)*(((E857*2.54)/100)^2)*(I857*0.3048)))))*0.0011023),0)</f>
        <v>#N/A</v>
      </c>
      <c r="AD857" s="104" t="e">
        <f t="shared" si="382"/>
        <v>#N/A</v>
      </c>
      <c r="AE857" s="104" t="e">
        <f t="shared" si="383"/>
        <v>#N/A</v>
      </c>
      <c r="AF857" s="104" t="e">
        <f>IF(AND(VLOOKUP($D857,Merchantability!$B:$C,2,0)="Yes",$E857&gt;=VLOOKUP($D857,Merchantability!$B:$D,3,0),$E857&lt;=VLOOKUP($D857,Merchantability!$B:$E,4,0)),AA857,0)</f>
        <v>#N/A</v>
      </c>
      <c r="AG857" s="104" t="e">
        <f>IF(AND(VLOOKUP($D857,Merchantability!$B:$C,2,0)="Yes",$E857&gt;=VLOOKUP($D857,Merchantability!$B:$D,3,0),$E857&lt;=VLOOKUP($D857,Merchantability!$B:$E,4,0)),AB857,0)</f>
        <v>#N/A</v>
      </c>
      <c r="AH857" s="104" t="e">
        <f>IF(AND(VLOOKUP($D857,Merchantability!$B:$C,2,0)="Yes",$E857&gt;=VLOOKUP($D857,Merchantability!$B:$D,3,0),$E857&lt;=VLOOKUP($D857,Merchantability!$B:$E,4,0)),AC857,0)</f>
        <v>#N/A</v>
      </c>
      <c r="AI857" s="104" t="e">
        <f t="shared" si="384"/>
        <v>#N/A</v>
      </c>
      <c r="AJ857" s="104" t="e">
        <f t="shared" si="385"/>
        <v>#VALUE!</v>
      </c>
      <c r="AK857" s="104" t="e">
        <f t="shared" si="386"/>
        <v>#N/A</v>
      </c>
      <c r="AL857" s="104" t="e">
        <f t="shared" si="387"/>
        <v>#N/A</v>
      </c>
      <c r="AM857" s="104" t="e">
        <f t="shared" si="388"/>
        <v>#N/A</v>
      </c>
      <c r="AN857" s="104" t="e">
        <f t="shared" si="399"/>
        <v>#N/A</v>
      </c>
      <c r="AO857" s="104" t="e">
        <f t="shared" si="400"/>
        <v>#N/A</v>
      </c>
      <c r="AP857" s="104" t="e">
        <f t="shared" si="401"/>
        <v>#N/A</v>
      </c>
      <c r="AQ857" s="104" t="e">
        <f t="shared" si="402"/>
        <v>#N/A</v>
      </c>
      <c r="AR857" s="105" t="str">
        <f t="shared" si="394"/>
        <v/>
      </c>
      <c r="AS857" s="105" t="str">
        <f t="shared" si="395"/>
        <v/>
      </c>
      <c r="AT857" s="108" t="str">
        <f t="shared" si="396"/>
        <v/>
      </c>
      <c r="AU857" s="108" t="str">
        <f t="shared" si="397"/>
        <v/>
      </c>
      <c r="AV857" s="107" t="str">
        <f>IF(ISNUMBER(O857),IF(VLOOKUP($A857,Stand!C:J,8,FALSE)="Short",AT857,AU857),"")</f>
        <v/>
      </c>
      <c r="AW857" s="109" t="str">
        <f t="shared" si="403"/>
        <v/>
      </c>
      <c r="AX857" s="109" t="str">
        <f t="shared" si="404"/>
        <v/>
      </c>
      <c r="AY857" s="112" t="str">
        <f>IF(ISNUMBER(O857),IF(AND(VLOOKUP($D857,Merchantability!$B:$C,2,0)="Yes",$E857&gt;=VLOOKUP($D857,Merchantability!$B:$D,3,0),$E857&lt;=VLOOKUP($D857,Merchantability!$B:$E,4,0)),(AV857*O857)*(1-$H857/100),""),"")</f>
        <v/>
      </c>
      <c r="AZ857" s="116"/>
      <c r="BA857" s="116"/>
      <c r="BB857" s="116"/>
      <c r="BE857" s="62"/>
      <c r="BF857" s="63"/>
    </row>
    <row r="858" spans="1:58" ht="12.75" customHeight="1" x14ac:dyDescent="0.25">
      <c r="A858" s="313"/>
      <c r="B858" s="328"/>
      <c r="C858" s="329"/>
      <c r="D858" s="328"/>
      <c r="E858" s="330"/>
      <c r="F858" s="328"/>
      <c r="G858" s="329"/>
      <c r="H858" s="329"/>
      <c r="I858" s="328"/>
      <c r="J858" s="383"/>
      <c r="K858" s="329"/>
      <c r="L858" s="329"/>
      <c r="M858" s="76"/>
      <c r="N858" s="103" t="str">
        <f>IF(A858="","",VLOOKUP(A858,Stand!C:K,9,0))</f>
        <v/>
      </c>
      <c r="O858" s="104" t="str">
        <f t="shared" si="389"/>
        <v/>
      </c>
      <c r="P858" s="105" t="str">
        <f t="shared" si="390"/>
        <v/>
      </c>
      <c r="Q858" s="105" t="str">
        <f t="shared" si="378"/>
        <v/>
      </c>
      <c r="R858" s="103" t="str">
        <f t="shared" si="391"/>
        <v/>
      </c>
      <c r="S858" s="103" t="str">
        <f t="shared" si="392"/>
        <v/>
      </c>
      <c r="T858" s="106" t="str">
        <f t="shared" si="379"/>
        <v/>
      </c>
      <c r="U858" s="106" t="str">
        <f t="shared" si="380"/>
        <v/>
      </c>
      <c r="V858" s="106" t="str">
        <f t="shared" si="381"/>
        <v/>
      </c>
      <c r="W858" s="105" t="str">
        <f t="shared" si="393"/>
        <v/>
      </c>
      <c r="X858" s="104" t="str">
        <f t="shared" si="398"/>
        <v/>
      </c>
      <c r="Y858" s="104" t="str">
        <f t="array" ref="Y858">IFERROR(IF(ISNUMBER(O858),IF(COUNT(IF(A858=$A$2:$A$2427,IF(D858=$D$2:$D$2427,IF($X$2:$X$2427&gt;0,1))))&gt;0,SUM(IF(A858=$A$2:$A$2427,IF(D858=$D$2:$D$2427,$X$2:$X$2427)))/COUNT(IF(A858=$A$2:$A$2427,IF(D858=$D$2:$D$2427,IF(ISNUMBER($X$2:$X$2427),1)))),0),""),0)</f>
        <v/>
      </c>
      <c r="Z858" s="104" t="str">
        <f>IF(ISNUMBER(O858),IF(I858&gt;0,(10^(VLOOKUP(D858,'Species Codes'!B:C,2,0)+VLOOKUP(D858,'Species Codes'!B:D,3,0)*LOG(E858)+VLOOKUP(D858,'Species Codes'!B:E,4,0)*LOG(I858))),0),"")</f>
        <v/>
      </c>
      <c r="AA858" s="104" t="str">
        <f>IFERROR((VLOOKUP(D858,'Species Codes'!B:G,6,0)*Z858)/2000,"")</f>
        <v/>
      </c>
      <c r="AB858" s="104" t="e">
        <f>IF(Z858&gt;0,((IF(OR(D858="DF",D858="RA")=TRUE,EXP(VLOOKUP(D858,'Species Codes'!B:I,8,0)+VLOOKUP(D858,'Species Codes'!B:J,9,0)*(LN((E858*2.54)))),IF(OR(D858="PY",D858="RC",D858="WH",D858="NF")=TRUE,VLOOKUP(D858,'Species Codes'!B:I,8,0)+VLOOKUP(D858,'Species Codes'!B:J,9,0)*((E858*2.54)^2)*(I858*0.3048),IF(OR(D858="MD",D858="BM",D858="GA")=TRUE,((VLOOKUP(D858,'Species Codes'!B:I,8,0)*(((((E858*2.54)+VLOOKUP(D858,'Species Codes'!B:J,9,0))/VLOOKUP(D858,'Species Codes'!B:K,10,0))^VLOOKUP(D858,'Species Codes'!B:L,11,0))*((I858*0.3048)^VLOOKUP(D858,'Species Codes'!B:M,12,0))))-(VLOOKUP(D858,'Species Codes'!B:I,8,0)*((((E858*2.54)^VLOOKUP(D858,'Species Codes'!B:L,11,0))*((I858*0.3048)^VLOOKUP(D858,'Species Codes'!B:M,12,0))))))*35.3*VLOOKUP(D858,'Species Codes'!B:G,6,0)/2.2046,VLOOKUP(D858,'Species Codes'!B:I,8,0)+VLOOKUP(D858,'Species Codes'!B:J,9,0)*(((E858*2.54)/100)^2)*(I858*0.3048)))))*0.0011023),0)</f>
        <v>#N/A</v>
      </c>
      <c r="AC858" s="104" t="e">
        <f>IF(Z858&gt;0,((IF(OR(D858="RA",D858="OA",D858="OT",D858="UN",D858="PC"),EXP(VLOOKUP(D858,'Species Codes'!B:O,14,0)+VLOOKUP(D858,'Species Codes'!B:P,15,0)*LN((E858*2.54)))-EXP(VLOOKUP(D858,'Species Codes'!B:O,14,0)+VLOOKUP(D858,'Species Codes'!B:P,15,0)*LN((E858*2.54)))*(1/(VLOOKUP(D858,'Species Codes'!B:Q,16,0)+VLOOKUP(D858,'Species Codes'!B:R,17,0)*((E858*2.54)^VLOOKUP(D858,'Species Codes'!B:S,18,0)))),IF(OR(D858="BM",D858="MD",D858="OA"),EXP(VLOOKUP(D858,'Species Codes'!B:O,14,0)+VLOOKUP(D858,'Species Codes'!B:P,15,0)*LN((E858*2.54)))*(1-(1/(VLOOKUP(D858,'Species Codes'!B:Q,16,0)+VLOOKUP(D858,'Species Codes'!B:R,17,0)*((E858*2.54)^VLOOKUP(D858,'Species Codes'!B:S,18,0)))))/1000,IF(D858="DF",EXP(VLOOKUP(D858,'Species Codes'!B:O,14,0)+VLOOKUP(D858,'Species Codes'!B:P,15,0)*LN((E858*2.54))),VLOOKUP(D858,'Species Codes'!B:O,14,0)+VLOOKUP(D858,'Species Codes'!B:P,15,0)*(((E858*2.54)/100)^2)*(I858*0.3048)))))*0.0011023),0)</f>
        <v>#N/A</v>
      </c>
      <c r="AD858" s="104" t="e">
        <f t="shared" si="382"/>
        <v>#N/A</v>
      </c>
      <c r="AE858" s="104" t="e">
        <f t="shared" si="383"/>
        <v>#N/A</v>
      </c>
      <c r="AF858" s="104" t="e">
        <f>IF(AND(VLOOKUP($D858,Merchantability!$B:$C,2,0)="Yes",$E858&gt;=VLOOKUP($D858,Merchantability!$B:$D,3,0),$E858&lt;=VLOOKUP($D858,Merchantability!$B:$E,4,0)),AA858,0)</f>
        <v>#N/A</v>
      </c>
      <c r="AG858" s="104" t="e">
        <f>IF(AND(VLOOKUP($D858,Merchantability!$B:$C,2,0)="Yes",$E858&gt;=VLOOKUP($D858,Merchantability!$B:$D,3,0),$E858&lt;=VLOOKUP($D858,Merchantability!$B:$E,4,0)),AB858,0)</f>
        <v>#N/A</v>
      </c>
      <c r="AH858" s="104" t="e">
        <f>IF(AND(VLOOKUP($D858,Merchantability!$B:$C,2,0)="Yes",$E858&gt;=VLOOKUP($D858,Merchantability!$B:$D,3,0),$E858&lt;=VLOOKUP($D858,Merchantability!$B:$E,4,0)),AC858,0)</f>
        <v>#N/A</v>
      </c>
      <c r="AI858" s="104" t="e">
        <f t="shared" si="384"/>
        <v>#N/A</v>
      </c>
      <c r="AJ858" s="104" t="e">
        <f t="shared" si="385"/>
        <v>#VALUE!</v>
      </c>
      <c r="AK858" s="104" t="e">
        <f t="shared" si="386"/>
        <v>#N/A</v>
      </c>
      <c r="AL858" s="104" t="e">
        <f t="shared" si="387"/>
        <v>#N/A</v>
      </c>
      <c r="AM858" s="104" t="e">
        <f t="shared" si="388"/>
        <v>#N/A</v>
      </c>
      <c r="AN858" s="104" t="e">
        <f t="shared" si="399"/>
        <v>#N/A</v>
      </c>
      <c r="AO858" s="104" t="e">
        <f t="shared" si="400"/>
        <v>#N/A</v>
      </c>
      <c r="AP858" s="104" t="e">
        <f t="shared" si="401"/>
        <v>#N/A</v>
      </c>
      <c r="AQ858" s="104" t="e">
        <f t="shared" si="402"/>
        <v>#N/A</v>
      </c>
      <c r="AR858" s="105" t="str">
        <f t="shared" si="394"/>
        <v/>
      </c>
      <c r="AS858" s="105" t="str">
        <f t="shared" si="395"/>
        <v/>
      </c>
      <c r="AT858" s="108" t="str">
        <f t="shared" si="396"/>
        <v/>
      </c>
      <c r="AU858" s="108" t="str">
        <f t="shared" si="397"/>
        <v/>
      </c>
      <c r="AV858" s="107" t="str">
        <f>IF(ISNUMBER(O858),IF(VLOOKUP($A858,Stand!C:J,8,FALSE)="Short",AT858,AU858),"")</f>
        <v/>
      </c>
      <c r="AW858" s="109" t="str">
        <f t="shared" si="403"/>
        <v/>
      </c>
      <c r="AX858" s="109" t="str">
        <f t="shared" si="404"/>
        <v/>
      </c>
      <c r="AY858" s="112" t="str">
        <f>IF(ISNUMBER(O858),IF(AND(VLOOKUP($D858,Merchantability!$B:$C,2,0)="Yes",$E858&gt;=VLOOKUP($D858,Merchantability!$B:$D,3,0),$E858&lt;=VLOOKUP($D858,Merchantability!$B:$E,4,0)),(AV858*O858)*(1-$H858/100),""),"")</f>
        <v/>
      </c>
      <c r="AZ858" s="116"/>
      <c r="BA858" s="116"/>
      <c r="BB858" s="116"/>
      <c r="BE858" s="62"/>
      <c r="BF858" s="63"/>
    </row>
    <row r="859" spans="1:58" ht="12.75" customHeight="1" x14ac:dyDescent="0.25">
      <c r="A859" s="313"/>
      <c r="B859" s="328"/>
      <c r="C859" s="329"/>
      <c r="D859" s="328"/>
      <c r="E859" s="330"/>
      <c r="F859" s="328"/>
      <c r="G859" s="329"/>
      <c r="H859" s="329"/>
      <c r="I859" s="328"/>
      <c r="J859" s="383"/>
      <c r="K859" s="329"/>
      <c r="L859" s="329"/>
      <c r="M859" s="76"/>
      <c r="N859" s="103" t="str">
        <f>IF(A859="","",VLOOKUP(A859,Stand!C:K,9,0))</f>
        <v/>
      </c>
      <c r="O859" s="104" t="str">
        <f t="shared" si="389"/>
        <v/>
      </c>
      <c r="P859" s="105" t="str">
        <f t="shared" si="390"/>
        <v/>
      </c>
      <c r="Q859" s="105" t="str">
        <f t="shared" si="378"/>
        <v/>
      </c>
      <c r="R859" s="103" t="str">
        <f t="shared" si="391"/>
        <v/>
      </c>
      <c r="S859" s="103" t="str">
        <f t="shared" si="392"/>
        <v/>
      </c>
      <c r="T859" s="106" t="str">
        <f t="shared" si="379"/>
        <v/>
      </c>
      <c r="U859" s="106" t="str">
        <f t="shared" si="380"/>
        <v/>
      </c>
      <c r="V859" s="106" t="str">
        <f t="shared" si="381"/>
        <v/>
      </c>
      <c r="W859" s="105" t="str">
        <f t="shared" si="393"/>
        <v/>
      </c>
      <c r="X859" s="104" t="str">
        <f t="shared" si="398"/>
        <v/>
      </c>
      <c r="Y859" s="104" t="str">
        <f t="array" ref="Y859">IFERROR(IF(ISNUMBER(O859),IF(COUNT(IF(A859=$A$2:$A$2427,IF(D859=$D$2:$D$2427,IF($X$2:$X$2427&gt;0,1))))&gt;0,SUM(IF(A859=$A$2:$A$2427,IF(D859=$D$2:$D$2427,$X$2:$X$2427)))/COUNT(IF(A859=$A$2:$A$2427,IF(D859=$D$2:$D$2427,IF(ISNUMBER($X$2:$X$2427),1)))),0),""),0)</f>
        <v/>
      </c>
      <c r="Z859" s="104" t="str">
        <f>IF(ISNUMBER(O859),IF(I859&gt;0,(10^(VLOOKUP(D859,'Species Codes'!B:C,2,0)+VLOOKUP(D859,'Species Codes'!B:D,3,0)*LOG(E859)+VLOOKUP(D859,'Species Codes'!B:E,4,0)*LOG(I859))),0),"")</f>
        <v/>
      </c>
      <c r="AA859" s="104" t="str">
        <f>IFERROR((VLOOKUP(D859,'Species Codes'!B:G,6,0)*Z859)/2000,"")</f>
        <v/>
      </c>
      <c r="AB859" s="104" t="e">
        <f>IF(Z859&gt;0,((IF(OR(D859="DF",D859="RA")=TRUE,EXP(VLOOKUP(D859,'Species Codes'!B:I,8,0)+VLOOKUP(D859,'Species Codes'!B:J,9,0)*(LN((E859*2.54)))),IF(OR(D859="PY",D859="RC",D859="WH",D859="NF")=TRUE,VLOOKUP(D859,'Species Codes'!B:I,8,0)+VLOOKUP(D859,'Species Codes'!B:J,9,0)*((E859*2.54)^2)*(I859*0.3048),IF(OR(D859="MD",D859="BM",D859="GA")=TRUE,((VLOOKUP(D859,'Species Codes'!B:I,8,0)*(((((E859*2.54)+VLOOKUP(D859,'Species Codes'!B:J,9,0))/VLOOKUP(D859,'Species Codes'!B:K,10,0))^VLOOKUP(D859,'Species Codes'!B:L,11,0))*((I859*0.3048)^VLOOKUP(D859,'Species Codes'!B:M,12,0))))-(VLOOKUP(D859,'Species Codes'!B:I,8,0)*((((E859*2.54)^VLOOKUP(D859,'Species Codes'!B:L,11,0))*((I859*0.3048)^VLOOKUP(D859,'Species Codes'!B:M,12,0))))))*35.3*VLOOKUP(D859,'Species Codes'!B:G,6,0)/2.2046,VLOOKUP(D859,'Species Codes'!B:I,8,0)+VLOOKUP(D859,'Species Codes'!B:J,9,0)*(((E859*2.54)/100)^2)*(I859*0.3048)))))*0.0011023),0)</f>
        <v>#N/A</v>
      </c>
      <c r="AC859" s="104" t="e">
        <f>IF(Z859&gt;0,((IF(OR(D859="RA",D859="OA",D859="OT",D859="UN",D859="PC"),EXP(VLOOKUP(D859,'Species Codes'!B:O,14,0)+VLOOKUP(D859,'Species Codes'!B:P,15,0)*LN((E859*2.54)))-EXP(VLOOKUP(D859,'Species Codes'!B:O,14,0)+VLOOKUP(D859,'Species Codes'!B:P,15,0)*LN((E859*2.54)))*(1/(VLOOKUP(D859,'Species Codes'!B:Q,16,0)+VLOOKUP(D859,'Species Codes'!B:R,17,0)*((E859*2.54)^VLOOKUP(D859,'Species Codes'!B:S,18,0)))),IF(OR(D859="BM",D859="MD",D859="OA"),EXP(VLOOKUP(D859,'Species Codes'!B:O,14,0)+VLOOKUP(D859,'Species Codes'!B:P,15,0)*LN((E859*2.54)))*(1-(1/(VLOOKUP(D859,'Species Codes'!B:Q,16,0)+VLOOKUP(D859,'Species Codes'!B:R,17,0)*((E859*2.54)^VLOOKUP(D859,'Species Codes'!B:S,18,0)))))/1000,IF(D859="DF",EXP(VLOOKUP(D859,'Species Codes'!B:O,14,0)+VLOOKUP(D859,'Species Codes'!B:P,15,0)*LN((E859*2.54))),VLOOKUP(D859,'Species Codes'!B:O,14,0)+VLOOKUP(D859,'Species Codes'!B:P,15,0)*(((E859*2.54)/100)^2)*(I859*0.3048)))))*0.0011023),0)</f>
        <v>#N/A</v>
      </c>
      <c r="AD859" s="104" t="e">
        <f t="shared" si="382"/>
        <v>#N/A</v>
      </c>
      <c r="AE859" s="104" t="e">
        <f t="shared" si="383"/>
        <v>#N/A</v>
      </c>
      <c r="AF859" s="104" t="e">
        <f>IF(AND(VLOOKUP($D859,Merchantability!$B:$C,2,0)="Yes",$E859&gt;=VLOOKUP($D859,Merchantability!$B:$D,3,0),$E859&lt;=VLOOKUP($D859,Merchantability!$B:$E,4,0)),AA859,0)</f>
        <v>#N/A</v>
      </c>
      <c r="AG859" s="104" t="e">
        <f>IF(AND(VLOOKUP($D859,Merchantability!$B:$C,2,0)="Yes",$E859&gt;=VLOOKUP($D859,Merchantability!$B:$D,3,0),$E859&lt;=VLOOKUP($D859,Merchantability!$B:$E,4,0)),AB859,0)</f>
        <v>#N/A</v>
      </c>
      <c r="AH859" s="104" t="e">
        <f>IF(AND(VLOOKUP($D859,Merchantability!$B:$C,2,0)="Yes",$E859&gt;=VLOOKUP($D859,Merchantability!$B:$D,3,0),$E859&lt;=VLOOKUP($D859,Merchantability!$B:$E,4,0)),AC859,0)</f>
        <v>#N/A</v>
      </c>
      <c r="AI859" s="104" t="e">
        <f t="shared" si="384"/>
        <v>#N/A</v>
      </c>
      <c r="AJ859" s="104" t="e">
        <f t="shared" si="385"/>
        <v>#VALUE!</v>
      </c>
      <c r="AK859" s="104" t="e">
        <f t="shared" si="386"/>
        <v>#N/A</v>
      </c>
      <c r="AL859" s="104" t="e">
        <f t="shared" si="387"/>
        <v>#N/A</v>
      </c>
      <c r="AM859" s="104" t="e">
        <f t="shared" si="388"/>
        <v>#N/A</v>
      </c>
      <c r="AN859" s="104" t="e">
        <f t="shared" si="399"/>
        <v>#N/A</v>
      </c>
      <c r="AO859" s="104" t="e">
        <f t="shared" si="400"/>
        <v>#N/A</v>
      </c>
      <c r="AP859" s="104" t="e">
        <f t="shared" si="401"/>
        <v>#N/A</v>
      </c>
      <c r="AQ859" s="104" t="e">
        <f t="shared" si="402"/>
        <v>#N/A</v>
      </c>
      <c r="AR859" s="105" t="str">
        <f t="shared" si="394"/>
        <v/>
      </c>
      <c r="AS859" s="105" t="str">
        <f t="shared" si="395"/>
        <v/>
      </c>
      <c r="AT859" s="108" t="str">
        <f t="shared" si="396"/>
        <v/>
      </c>
      <c r="AU859" s="108" t="str">
        <f t="shared" si="397"/>
        <v/>
      </c>
      <c r="AV859" s="107" t="str">
        <f>IF(ISNUMBER(O859),IF(VLOOKUP($A859,Stand!C:J,8,FALSE)="Short",AT859,AU859),"")</f>
        <v/>
      </c>
      <c r="AW859" s="109" t="str">
        <f t="shared" si="403"/>
        <v/>
      </c>
      <c r="AX859" s="109" t="str">
        <f t="shared" si="404"/>
        <v/>
      </c>
      <c r="AY859" s="112" t="str">
        <f>IF(ISNUMBER(O859),IF(AND(VLOOKUP($D859,Merchantability!$B:$C,2,0)="Yes",$E859&gt;=VLOOKUP($D859,Merchantability!$B:$D,3,0),$E859&lt;=VLOOKUP($D859,Merchantability!$B:$E,4,0)),(AV859*O859)*(1-$H859/100),""),"")</f>
        <v/>
      </c>
      <c r="AZ859" s="116"/>
      <c r="BA859" s="116"/>
      <c r="BB859" s="116"/>
      <c r="BE859" s="62"/>
      <c r="BF859" s="63"/>
    </row>
    <row r="860" spans="1:58" ht="12.75" customHeight="1" x14ac:dyDescent="0.25">
      <c r="A860" s="313"/>
      <c r="B860" s="328"/>
      <c r="C860" s="329"/>
      <c r="D860" s="328"/>
      <c r="E860" s="330"/>
      <c r="F860" s="328"/>
      <c r="G860" s="329"/>
      <c r="H860" s="329"/>
      <c r="I860" s="328"/>
      <c r="J860" s="383"/>
      <c r="K860" s="329"/>
      <c r="L860" s="329"/>
      <c r="M860" s="76"/>
      <c r="N860" s="103" t="str">
        <f>IF(A860="","",VLOOKUP(A860,Stand!C:K,9,0))</f>
        <v/>
      </c>
      <c r="O860" s="104" t="str">
        <f t="shared" si="389"/>
        <v/>
      </c>
      <c r="P860" s="105" t="str">
        <f t="shared" si="390"/>
        <v/>
      </c>
      <c r="Q860" s="105" t="str">
        <f t="shared" si="378"/>
        <v/>
      </c>
      <c r="R860" s="103" t="str">
        <f t="shared" si="391"/>
        <v/>
      </c>
      <c r="S860" s="103" t="str">
        <f t="shared" si="392"/>
        <v/>
      </c>
      <c r="T860" s="106" t="str">
        <f t="shared" si="379"/>
        <v/>
      </c>
      <c r="U860" s="106" t="str">
        <f t="shared" si="380"/>
        <v/>
      </c>
      <c r="V860" s="106" t="str">
        <f t="shared" si="381"/>
        <v/>
      </c>
      <c r="W860" s="105" t="str">
        <f t="shared" si="393"/>
        <v/>
      </c>
      <c r="X860" s="104" t="str">
        <f t="shared" si="398"/>
        <v/>
      </c>
      <c r="Y860" s="104" t="str">
        <f t="array" ref="Y860">IFERROR(IF(ISNUMBER(O860),IF(COUNT(IF(A860=$A$2:$A$2427,IF(D860=$D$2:$D$2427,IF($X$2:$X$2427&gt;0,1))))&gt;0,SUM(IF(A860=$A$2:$A$2427,IF(D860=$D$2:$D$2427,$X$2:$X$2427)))/COUNT(IF(A860=$A$2:$A$2427,IF(D860=$D$2:$D$2427,IF(ISNUMBER($X$2:$X$2427),1)))),0),""),0)</f>
        <v/>
      </c>
      <c r="Z860" s="104" t="str">
        <f>IF(ISNUMBER(O860),IF(I860&gt;0,(10^(VLOOKUP(D860,'Species Codes'!B:C,2,0)+VLOOKUP(D860,'Species Codes'!B:D,3,0)*LOG(E860)+VLOOKUP(D860,'Species Codes'!B:E,4,0)*LOG(I860))),0),"")</f>
        <v/>
      </c>
      <c r="AA860" s="104" t="str">
        <f>IFERROR((VLOOKUP(D860,'Species Codes'!B:G,6,0)*Z860)/2000,"")</f>
        <v/>
      </c>
      <c r="AB860" s="104" t="e">
        <f>IF(Z860&gt;0,((IF(OR(D860="DF",D860="RA")=TRUE,EXP(VLOOKUP(D860,'Species Codes'!B:I,8,0)+VLOOKUP(D860,'Species Codes'!B:J,9,0)*(LN((E860*2.54)))),IF(OR(D860="PY",D860="RC",D860="WH",D860="NF")=TRUE,VLOOKUP(D860,'Species Codes'!B:I,8,0)+VLOOKUP(D860,'Species Codes'!B:J,9,0)*((E860*2.54)^2)*(I860*0.3048),IF(OR(D860="MD",D860="BM",D860="GA")=TRUE,((VLOOKUP(D860,'Species Codes'!B:I,8,0)*(((((E860*2.54)+VLOOKUP(D860,'Species Codes'!B:J,9,0))/VLOOKUP(D860,'Species Codes'!B:K,10,0))^VLOOKUP(D860,'Species Codes'!B:L,11,0))*((I860*0.3048)^VLOOKUP(D860,'Species Codes'!B:M,12,0))))-(VLOOKUP(D860,'Species Codes'!B:I,8,0)*((((E860*2.54)^VLOOKUP(D860,'Species Codes'!B:L,11,0))*((I860*0.3048)^VLOOKUP(D860,'Species Codes'!B:M,12,0))))))*35.3*VLOOKUP(D860,'Species Codes'!B:G,6,0)/2.2046,VLOOKUP(D860,'Species Codes'!B:I,8,0)+VLOOKUP(D860,'Species Codes'!B:J,9,0)*(((E860*2.54)/100)^2)*(I860*0.3048)))))*0.0011023),0)</f>
        <v>#N/A</v>
      </c>
      <c r="AC860" s="104" t="e">
        <f>IF(Z860&gt;0,((IF(OR(D860="RA",D860="OA",D860="OT",D860="UN",D860="PC"),EXP(VLOOKUP(D860,'Species Codes'!B:O,14,0)+VLOOKUP(D860,'Species Codes'!B:P,15,0)*LN((E860*2.54)))-EXP(VLOOKUP(D860,'Species Codes'!B:O,14,0)+VLOOKUP(D860,'Species Codes'!B:P,15,0)*LN((E860*2.54)))*(1/(VLOOKUP(D860,'Species Codes'!B:Q,16,0)+VLOOKUP(D860,'Species Codes'!B:R,17,0)*((E860*2.54)^VLOOKUP(D860,'Species Codes'!B:S,18,0)))),IF(OR(D860="BM",D860="MD",D860="OA"),EXP(VLOOKUP(D860,'Species Codes'!B:O,14,0)+VLOOKUP(D860,'Species Codes'!B:P,15,0)*LN((E860*2.54)))*(1-(1/(VLOOKUP(D860,'Species Codes'!B:Q,16,0)+VLOOKUP(D860,'Species Codes'!B:R,17,0)*((E860*2.54)^VLOOKUP(D860,'Species Codes'!B:S,18,0)))))/1000,IF(D860="DF",EXP(VLOOKUP(D860,'Species Codes'!B:O,14,0)+VLOOKUP(D860,'Species Codes'!B:P,15,0)*LN((E860*2.54))),VLOOKUP(D860,'Species Codes'!B:O,14,0)+VLOOKUP(D860,'Species Codes'!B:P,15,0)*(((E860*2.54)/100)^2)*(I860*0.3048)))))*0.0011023),0)</f>
        <v>#N/A</v>
      </c>
      <c r="AD860" s="104" t="e">
        <f t="shared" si="382"/>
        <v>#N/A</v>
      </c>
      <c r="AE860" s="104" t="e">
        <f t="shared" si="383"/>
        <v>#N/A</v>
      </c>
      <c r="AF860" s="104" t="e">
        <f>IF(AND(VLOOKUP($D860,Merchantability!$B:$C,2,0)="Yes",$E860&gt;=VLOOKUP($D860,Merchantability!$B:$D,3,0),$E860&lt;=VLOOKUP($D860,Merchantability!$B:$E,4,0)),AA860,0)</f>
        <v>#N/A</v>
      </c>
      <c r="AG860" s="104" t="e">
        <f>IF(AND(VLOOKUP($D860,Merchantability!$B:$C,2,0)="Yes",$E860&gt;=VLOOKUP($D860,Merchantability!$B:$D,3,0),$E860&lt;=VLOOKUP($D860,Merchantability!$B:$E,4,0)),AB860,0)</f>
        <v>#N/A</v>
      </c>
      <c r="AH860" s="104" t="e">
        <f>IF(AND(VLOOKUP($D860,Merchantability!$B:$C,2,0)="Yes",$E860&gt;=VLOOKUP($D860,Merchantability!$B:$D,3,0),$E860&lt;=VLOOKUP($D860,Merchantability!$B:$E,4,0)),AC860,0)</f>
        <v>#N/A</v>
      </c>
      <c r="AI860" s="104" t="e">
        <f t="shared" si="384"/>
        <v>#N/A</v>
      </c>
      <c r="AJ860" s="104" t="e">
        <f t="shared" si="385"/>
        <v>#VALUE!</v>
      </c>
      <c r="AK860" s="104" t="e">
        <f t="shared" si="386"/>
        <v>#N/A</v>
      </c>
      <c r="AL860" s="104" t="e">
        <f t="shared" si="387"/>
        <v>#N/A</v>
      </c>
      <c r="AM860" s="104" t="e">
        <f t="shared" si="388"/>
        <v>#N/A</v>
      </c>
      <c r="AN860" s="104" t="e">
        <f t="shared" si="399"/>
        <v>#N/A</v>
      </c>
      <c r="AO860" s="104" t="e">
        <f t="shared" si="400"/>
        <v>#N/A</v>
      </c>
      <c r="AP860" s="104" t="e">
        <f t="shared" si="401"/>
        <v>#N/A</v>
      </c>
      <c r="AQ860" s="104" t="e">
        <f t="shared" si="402"/>
        <v>#N/A</v>
      </c>
      <c r="AR860" s="105" t="str">
        <f t="shared" si="394"/>
        <v/>
      </c>
      <c r="AS860" s="105" t="str">
        <f t="shared" si="395"/>
        <v/>
      </c>
      <c r="AT860" s="108" t="str">
        <f t="shared" si="396"/>
        <v/>
      </c>
      <c r="AU860" s="108" t="str">
        <f t="shared" si="397"/>
        <v/>
      </c>
      <c r="AV860" s="107" t="str">
        <f>IF(ISNUMBER(O860),IF(VLOOKUP($A860,Stand!C:J,8,FALSE)="Short",AT860,AU860),"")</f>
        <v/>
      </c>
      <c r="AW860" s="109" t="str">
        <f t="shared" si="403"/>
        <v/>
      </c>
      <c r="AX860" s="109" t="str">
        <f t="shared" si="404"/>
        <v/>
      </c>
      <c r="AY860" s="112" t="str">
        <f>IF(ISNUMBER(O860),IF(AND(VLOOKUP($D860,Merchantability!$B:$C,2,0)="Yes",$E860&gt;=VLOOKUP($D860,Merchantability!$B:$D,3,0),$E860&lt;=VLOOKUP($D860,Merchantability!$B:$E,4,0)),(AV860*O860)*(1-$H860/100),""),"")</f>
        <v/>
      </c>
      <c r="AZ860" s="116"/>
      <c r="BA860" s="116"/>
      <c r="BB860" s="116"/>
      <c r="BE860" s="62"/>
      <c r="BF860" s="63"/>
    </row>
    <row r="861" spans="1:58" ht="12.75" customHeight="1" x14ac:dyDescent="0.25">
      <c r="A861" s="313"/>
      <c r="B861" s="328"/>
      <c r="C861" s="329"/>
      <c r="D861" s="328"/>
      <c r="E861" s="330"/>
      <c r="F861" s="328"/>
      <c r="G861" s="329"/>
      <c r="H861" s="329"/>
      <c r="I861" s="328"/>
      <c r="J861" s="383"/>
      <c r="K861" s="329"/>
      <c r="L861" s="329"/>
      <c r="M861" s="76"/>
      <c r="N861" s="103" t="str">
        <f>IF(A861="","",VLOOKUP(A861,Stand!C:K,9,0))</f>
        <v/>
      </c>
      <c r="O861" s="104" t="str">
        <f t="shared" si="389"/>
        <v/>
      </c>
      <c r="P861" s="105" t="str">
        <f t="shared" si="390"/>
        <v/>
      </c>
      <c r="Q861" s="105" t="str">
        <f t="shared" ref="Q861:Q924" si="405">IF(AND(ISNUMBER(O861),I861&gt;0),I861*O861,"")</f>
        <v/>
      </c>
      <c r="R861" s="103" t="str">
        <f t="shared" si="391"/>
        <v/>
      </c>
      <c r="S861" s="103" t="str">
        <f t="shared" si="392"/>
        <v/>
      </c>
      <c r="T861" s="106" t="str">
        <f t="shared" ref="T861:T924" si="406">IF(AND(ISNUMBER(O861),J861&gt;0),J861/100,"")</f>
        <v/>
      </c>
      <c r="U861" s="106" t="str">
        <f t="shared" ref="U861:U924" si="407">IF(AND(ISNUMBER(O861),J861&gt;0),T861*O861,"")</f>
        <v/>
      </c>
      <c r="V861" s="106" t="str">
        <f t="shared" ref="V861:V924" si="408">IF(AND(ISNUMBER(O861),I861&gt;0),W861*O861,"")</f>
        <v/>
      </c>
      <c r="W861" s="105" t="str">
        <f t="shared" si="393"/>
        <v/>
      </c>
      <c r="X861" s="104" t="str">
        <f t="shared" si="398"/>
        <v/>
      </c>
      <c r="Y861" s="104" t="str">
        <f t="array" ref="Y861">IFERROR(IF(ISNUMBER(O861),IF(COUNT(IF(A861=$A$2:$A$2427,IF(D861=$D$2:$D$2427,IF($X$2:$X$2427&gt;0,1))))&gt;0,SUM(IF(A861=$A$2:$A$2427,IF(D861=$D$2:$D$2427,$X$2:$X$2427)))/COUNT(IF(A861=$A$2:$A$2427,IF(D861=$D$2:$D$2427,IF(ISNUMBER($X$2:$X$2427),1)))),0),""),0)</f>
        <v/>
      </c>
      <c r="Z861" s="104" t="str">
        <f>IF(ISNUMBER(O861),IF(I861&gt;0,(10^(VLOOKUP(D861,'Species Codes'!B:C,2,0)+VLOOKUP(D861,'Species Codes'!B:D,3,0)*LOG(E861)+VLOOKUP(D861,'Species Codes'!B:E,4,0)*LOG(I861))),0),"")</f>
        <v/>
      </c>
      <c r="AA861" s="104" t="str">
        <f>IFERROR((VLOOKUP(D861,'Species Codes'!B:G,6,0)*Z861)/2000,"")</f>
        <v/>
      </c>
      <c r="AB861" s="104" t="e">
        <f>IF(Z861&gt;0,((IF(OR(D861="DF",D861="RA")=TRUE,EXP(VLOOKUP(D861,'Species Codes'!B:I,8,0)+VLOOKUP(D861,'Species Codes'!B:J,9,0)*(LN((E861*2.54)))),IF(OR(D861="PY",D861="RC",D861="WH",D861="NF")=TRUE,VLOOKUP(D861,'Species Codes'!B:I,8,0)+VLOOKUP(D861,'Species Codes'!B:J,9,0)*((E861*2.54)^2)*(I861*0.3048),IF(OR(D861="MD",D861="BM",D861="GA")=TRUE,((VLOOKUP(D861,'Species Codes'!B:I,8,0)*(((((E861*2.54)+VLOOKUP(D861,'Species Codes'!B:J,9,0))/VLOOKUP(D861,'Species Codes'!B:K,10,0))^VLOOKUP(D861,'Species Codes'!B:L,11,0))*((I861*0.3048)^VLOOKUP(D861,'Species Codes'!B:M,12,0))))-(VLOOKUP(D861,'Species Codes'!B:I,8,0)*((((E861*2.54)^VLOOKUP(D861,'Species Codes'!B:L,11,0))*((I861*0.3048)^VLOOKUP(D861,'Species Codes'!B:M,12,0))))))*35.3*VLOOKUP(D861,'Species Codes'!B:G,6,0)/2.2046,VLOOKUP(D861,'Species Codes'!B:I,8,0)+VLOOKUP(D861,'Species Codes'!B:J,9,0)*(((E861*2.54)/100)^2)*(I861*0.3048)))))*0.0011023),0)</f>
        <v>#N/A</v>
      </c>
      <c r="AC861" s="104" t="e">
        <f>IF(Z861&gt;0,((IF(OR(D861="RA",D861="OA",D861="OT",D861="UN",D861="PC"),EXP(VLOOKUP(D861,'Species Codes'!B:O,14,0)+VLOOKUP(D861,'Species Codes'!B:P,15,0)*LN((E861*2.54)))-EXP(VLOOKUP(D861,'Species Codes'!B:O,14,0)+VLOOKUP(D861,'Species Codes'!B:P,15,0)*LN((E861*2.54)))*(1/(VLOOKUP(D861,'Species Codes'!B:Q,16,0)+VLOOKUP(D861,'Species Codes'!B:R,17,0)*((E861*2.54)^VLOOKUP(D861,'Species Codes'!B:S,18,0)))),IF(OR(D861="BM",D861="MD",D861="OA"),EXP(VLOOKUP(D861,'Species Codes'!B:O,14,0)+VLOOKUP(D861,'Species Codes'!B:P,15,0)*LN((E861*2.54)))*(1-(1/(VLOOKUP(D861,'Species Codes'!B:Q,16,0)+VLOOKUP(D861,'Species Codes'!B:R,17,0)*((E861*2.54)^VLOOKUP(D861,'Species Codes'!B:S,18,0)))))/1000,IF(D861="DF",EXP(VLOOKUP(D861,'Species Codes'!B:O,14,0)+VLOOKUP(D861,'Species Codes'!B:P,15,0)*LN((E861*2.54))),VLOOKUP(D861,'Species Codes'!B:O,14,0)+VLOOKUP(D861,'Species Codes'!B:P,15,0)*(((E861*2.54)/100)^2)*(I861*0.3048)))))*0.0011023),0)</f>
        <v>#N/A</v>
      </c>
      <c r="AD861" s="104" t="e">
        <f t="shared" ref="AD861:AD924" si="409">SUM(AA861:AC861)</f>
        <v>#N/A</v>
      </c>
      <c r="AE861" s="104" t="e">
        <f t="shared" ref="AE861:AE924" si="410">AD861*O861</f>
        <v>#N/A</v>
      </c>
      <c r="AF861" s="104" t="e">
        <f>IF(AND(VLOOKUP($D861,Merchantability!$B:$C,2,0)="Yes",$E861&gt;=VLOOKUP($D861,Merchantability!$B:$D,3,0),$E861&lt;=VLOOKUP($D861,Merchantability!$B:$E,4,0)),AA861,0)</f>
        <v>#N/A</v>
      </c>
      <c r="AG861" s="104" t="e">
        <f>IF(AND(VLOOKUP($D861,Merchantability!$B:$C,2,0)="Yes",$E861&gt;=VLOOKUP($D861,Merchantability!$B:$D,3,0),$E861&lt;=VLOOKUP($D861,Merchantability!$B:$E,4,0)),AB861,0)</f>
        <v>#N/A</v>
      </c>
      <c r="AH861" s="104" t="e">
        <f>IF(AND(VLOOKUP($D861,Merchantability!$B:$C,2,0)="Yes",$E861&gt;=VLOOKUP($D861,Merchantability!$B:$D,3,0),$E861&lt;=VLOOKUP($D861,Merchantability!$B:$E,4,0)),AC861,0)</f>
        <v>#N/A</v>
      </c>
      <c r="AI861" s="104" t="e">
        <f t="shared" ref="AI861:AI924" si="411">SUM(AF861:AH861)</f>
        <v>#N/A</v>
      </c>
      <c r="AJ861" s="104" t="e">
        <f t="shared" ref="AJ861:AJ924" si="412">AA861*$O861</f>
        <v>#VALUE!</v>
      </c>
      <c r="AK861" s="104" t="e">
        <f t="shared" ref="AK861:AK924" si="413">AB861*$O861</f>
        <v>#N/A</v>
      </c>
      <c r="AL861" s="104" t="e">
        <f t="shared" ref="AL861:AL924" si="414">AC861*$O861</f>
        <v>#N/A</v>
      </c>
      <c r="AM861" s="104" t="e">
        <f t="shared" ref="AM861:AM924" si="415">AD861*$O861</f>
        <v>#N/A</v>
      </c>
      <c r="AN861" s="104" t="e">
        <f t="shared" si="399"/>
        <v>#N/A</v>
      </c>
      <c r="AO861" s="104" t="e">
        <f t="shared" si="400"/>
        <v>#N/A</v>
      </c>
      <c r="AP861" s="104" t="e">
        <f t="shared" si="401"/>
        <v>#N/A</v>
      </c>
      <c r="AQ861" s="104" t="e">
        <f t="shared" si="402"/>
        <v>#N/A</v>
      </c>
      <c r="AR861" s="105" t="str">
        <f t="shared" si="394"/>
        <v/>
      </c>
      <c r="AS861" s="105" t="str">
        <f t="shared" si="395"/>
        <v/>
      </c>
      <c r="AT861" s="108" t="str">
        <f t="shared" si="396"/>
        <v/>
      </c>
      <c r="AU861" s="108" t="str">
        <f t="shared" si="397"/>
        <v/>
      </c>
      <c r="AV861" s="107" t="str">
        <f>IF(ISNUMBER(O861),IF(VLOOKUP($A861,Stand!C:J,8,FALSE)="Short",AT861,AU861),"")</f>
        <v/>
      </c>
      <c r="AW861" s="109" t="str">
        <f t="shared" si="403"/>
        <v/>
      </c>
      <c r="AX861" s="109" t="str">
        <f t="shared" si="404"/>
        <v/>
      </c>
      <c r="AY861" s="112" t="str">
        <f>IF(ISNUMBER(O861),IF(AND(VLOOKUP($D861,Merchantability!$B:$C,2,0)="Yes",$E861&gt;=VLOOKUP($D861,Merchantability!$B:$D,3,0),$E861&lt;=VLOOKUP($D861,Merchantability!$B:$E,4,0)),(AV861*O861)*(1-$H861/100),""),"")</f>
        <v/>
      </c>
      <c r="AZ861" s="116"/>
      <c r="BA861" s="116"/>
      <c r="BB861" s="116"/>
      <c r="BE861" s="62"/>
      <c r="BF861" s="63"/>
    </row>
    <row r="862" spans="1:58" ht="12.75" customHeight="1" x14ac:dyDescent="0.25">
      <c r="A862" s="313"/>
      <c r="B862" s="328"/>
      <c r="C862" s="329"/>
      <c r="D862" s="328"/>
      <c r="E862" s="330"/>
      <c r="F862" s="328"/>
      <c r="G862" s="329"/>
      <c r="H862" s="329"/>
      <c r="I862" s="328"/>
      <c r="J862" s="383"/>
      <c r="K862" s="329"/>
      <c r="L862" s="329"/>
      <c r="M862" s="76"/>
      <c r="N862" s="103" t="str">
        <f>IF(A862="","",VLOOKUP(A862,Stand!C:K,9,0))</f>
        <v/>
      </c>
      <c r="O862" s="104" t="str">
        <f t="shared" si="389"/>
        <v/>
      </c>
      <c r="P862" s="105" t="str">
        <f t="shared" si="390"/>
        <v/>
      </c>
      <c r="Q862" s="105" t="str">
        <f t="shared" si="405"/>
        <v/>
      </c>
      <c r="R862" s="103" t="str">
        <f t="shared" si="391"/>
        <v/>
      </c>
      <c r="S862" s="103" t="str">
        <f t="shared" si="392"/>
        <v/>
      </c>
      <c r="T862" s="106" t="str">
        <f t="shared" si="406"/>
        <v/>
      </c>
      <c r="U862" s="106" t="str">
        <f t="shared" si="407"/>
        <v/>
      </c>
      <c r="V862" s="106" t="str">
        <f t="shared" si="408"/>
        <v/>
      </c>
      <c r="W862" s="105" t="str">
        <f t="shared" si="393"/>
        <v/>
      </c>
      <c r="X862" s="104" t="str">
        <f t="shared" si="398"/>
        <v/>
      </c>
      <c r="Y862" s="104" t="str">
        <f t="array" ref="Y862">IFERROR(IF(ISNUMBER(O862),IF(COUNT(IF(A862=$A$2:$A$2427,IF(D862=$D$2:$D$2427,IF($X$2:$X$2427&gt;0,1))))&gt;0,SUM(IF(A862=$A$2:$A$2427,IF(D862=$D$2:$D$2427,$X$2:$X$2427)))/COUNT(IF(A862=$A$2:$A$2427,IF(D862=$D$2:$D$2427,IF(ISNUMBER($X$2:$X$2427),1)))),0),""),0)</f>
        <v/>
      </c>
      <c r="Z862" s="104" t="str">
        <f>IF(ISNUMBER(O862),IF(I862&gt;0,(10^(VLOOKUP(D862,'Species Codes'!B:C,2,0)+VLOOKUP(D862,'Species Codes'!B:D,3,0)*LOG(E862)+VLOOKUP(D862,'Species Codes'!B:E,4,0)*LOG(I862))),0),"")</f>
        <v/>
      </c>
      <c r="AA862" s="104" t="str">
        <f>IFERROR((VLOOKUP(D862,'Species Codes'!B:G,6,0)*Z862)/2000,"")</f>
        <v/>
      </c>
      <c r="AB862" s="104" t="e">
        <f>IF(Z862&gt;0,((IF(OR(D862="DF",D862="RA")=TRUE,EXP(VLOOKUP(D862,'Species Codes'!B:I,8,0)+VLOOKUP(D862,'Species Codes'!B:J,9,0)*(LN((E862*2.54)))),IF(OR(D862="PY",D862="RC",D862="WH",D862="NF")=TRUE,VLOOKUP(D862,'Species Codes'!B:I,8,0)+VLOOKUP(D862,'Species Codes'!B:J,9,0)*((E862*2.54)^2)*(I862*0.3048),IF(OR(D862="MD",D862="BM",D862="GA")=TRUE,((VLOOKUP(D862,'Species Codes'!B:I,8,0)*(((((E862*2.54)+VLOOKUP(D862,'Species Codes'!B:J,9,0))/VLOOKUP(D862,'Species Codes'!B:K,10,0))^VLOOKUP(D862,'Species Codes'!B:L,11,0))*((I862*0.3048)^VLOOKUP(D862,'Species Codes'!B:M,12,0))))-(VLOOKUP(D862,'Species Codes'!B:I,8,0)*((((E862*2.54)^VLOOKUP(D862,'Species Codes'!B:L,11,0))*((I862*0.3048)^VLOOKUP(D862,'Species Codes'!B:M,12,0))))))*35.3*VLOOKUP(D862,'Species Codes'!B:G,6,0)/2.2046,VLOOKUP(D862,'Species Codes'!B:I,8,0)+VLOOKUP(D862,'Species Codes'!B:J,9,0)*(((E862*2.54)/100)^2)*(I862*0.3048)))))*0.0011023),0)</f>
        <v>#N/A</v>
      </c>
      <c r="AC862" s="104" t="e">
        <f>IF(Z862&gt;0,((IF(OR(D862="RA",D862="OA",D862="OT",D862="UN",D862="PC"),EXP(VLOOKUP(D862,'Species Codes'!B:O,14,0)+VLOOKUP(D862,'Species Codes'!B:P,15,0)*LN((E862*2.54)))-EXP(VLOOKUP(D862,'Species Codes'!B:O,14,0)+VLOOKUP(D862,'Species Codes'!B:P,15,0)*LN((E862*2.54)))*(1/(VLOOKUP(D862,'Species Codes'!B:Q,16,0)+VLOOKUP(D862,'Species Codes'!B:R,17,0)*((E862*2.54)^VLOOKUP(D862,'Species Codes'!B:S,18,0)))),IF(OR(D862="BM",D862="MD",D862="OA"),EXP(VLOOKUP(D862,'Species Codes'!B:O,14,0)+VLOOKUP(D862,'Species Codes'!B:P,15,0)*LN((E862*2.54)))*(1-(1/(VLOOKUP(D862,'Species Codes'!B:Q,16,0)+VLOOKUP(D862,'Species Codes'!B:R,17,0)*((E862*2.54)^VLOOKUP(D862,'Species Codes'!B:S,18,0)))))/1000,IF(D862="DF",EXP(VLOOKUP(D862,'Species Codes'!B:O,14,0)+VLOOKUP(D862,'Species Codes'!B:P,15,0)*LN((E862*2.54))),VLOOKUP(D862,'Species Codes'!B:O,14,0)+VLOOKUP(D862,'Species Codes'!B:P,15,0)*(((E862*2.54)/100)^2)*(I862*0.3048)))))*0.0011023),0)</f>
        <v>#N/A</v>
      </c>
      <c r="AD862" s="104" t="e">
        <f t="shared" si="409"/>
        <v>#N/A</v>
      </c>
      <c r="AE862" s="104" t="e">
        <f t="shared" si="410"/>
        <v>#N/A</v>
      </c>
      <c r="AF862" s="104" t="e">
        <f>IF(AND(VLOOKUP($D862,Merchantability!$B:$C,2,0)="Yes",$E862&gt;=VLOOKUP($D862,Merchantability!$B:$D,3,0),$E862&lt;=VLOOKUP($D862,Merchantability!$B:$E,4,0)),AA862,0)</f>
        <v>#N/A</v>
      </c>
      <c r="AG862" s="104" t="e">
        <f>IF(AND(VLOOKUP($D862,Merchantability!$B:$C,2,0)="Yes",$E862&gt;=VLOOKUP($D862,Merchantability!$B:$D,3,0),$E862&lt;=VLOOKUP($D862,Merchantability!$B:$E,4,0)),AB862,0)</f>
        <v>#N/A</v>
      </c>
      <c r="AH862" s="104" t="e">
        <f>IF(AND(VLOOKUP($D862,Merchantability!$B:$C,2,0)="Yes",$E862&gt;=VLOOKUP($D862,Merchantability!$B:$D,3,0),$E862&lt;=VLOOKUP($D862,Merchantability!$B:$E,4,0)),AC862,0)</f>
        <v>#N/A</v>
      </c>
      <c r="AI862" s="104" t="e">
        <f t="shared" si="411"/>
        <v>#N/A</v>
      </c>
      <c r="AJ862" s="104" t="e">
        <f t="shared" si="412"/>
        <v>#VALUE!</v>
      </c>
      <c r="AK862" s="104" t="e">
        <f t="shared" si="413"/>
        <v>#N/A</v>
      </c>
      <c r="AL862" s="104" t="e">
        <f t="shared" si="414"/>
        <v>#N/A</v>
      </c>
      <c r="AM862" s="104" t="e">
        <f t="shared" si="415"/>
        <v>#N/A</v>
      </c>
      <c r="AN862" s="104" t="e">
        <f t="shared" si="399"/>
        <v>#N/A</v>
      </c>
      <c r="AO862" s="104" t="e">
        <f t="shared" si="400"/>
        <v>#N/A</v>
      </c>
      <c r="AP862" s="104" t="e">
        <f t="shared" si="401"/>
        <v>#N/A</v>
      </c>
      <c r="AQ862" s="104" t="e">
        <f t="shared" si="402"/>
        <v>#N/A</v>
      </c>
      <c r="AR862" s="105" t="str">
        <f t="shared" si="394"/>
        <v/>
      </c>
      <c r="AS862" s="105" t="str">
        <f t="shared" si="395"/>
        <v/>
      </c>
      <c r="AT862" s="108" t="str">
        <f t="shared" si="396"/>
        <v/>
      </c>
      <c r="AU862" s="108" t="str">
        <f t="shared" si="397"/>
        <v/>
      </c>
      <c r="AV862" s="107" t="str">
        <f>IF(ISNUMBER(O862),IF(VLOOKUP($A862,Stand!C:J,8,FALSE)="Short",AT862,AU862),"")</f>
        <v/>
      </c>
      <c r="AW862" s="109" t="str">
        <f t="shared" si="403"/>
        <v/>
      </c>
      <c r="AX862" s="109" t="str">
        <f t="shared" si="404"/>
        <v/>
      </c>
      <c r="AY862" s="112" t="str">
        <f>IF(ISNUMBER(O862),IF(AND(VLOOKUP($D862,Merchantability!$B:$C,2,0)="Yes",$E862&gt;=VLOOKUP($D862,Merchantability!$B:$D,3,0),$E862&lt;=VLOOKUP($D862,Merchantability!$B:$E,4,0)),(AV862*O862)*(1-$H862/100),""),"")</f>
        <v/>
      </c>
      <c r="AZ862" s="116"/>
      <c r="BA862" s="116"/>
      <c r="BB862" s="116"/>
      <c r="BE862" s="62"/>
      <c r="BF862" s="63"/>
    </row>
    <row r="863" spans="1:58" ht="12.75" customHeight="1" x14ac:dyDescent="0.25">
      <c r="A863" s="313"/>
      <c r="B863" s="328"/>
      <c r="C863" s="329"/>
      <c r="D863" s="328"/>
      <c r="E863" s="330"/>
      <c r="F863" s="328"/>
      <c r="G863" s="329"/>
      <c r="H863" s="329"/>
      <c r="I863" s="328"/>
      <c r="J863" s="383"/>
      <c r="K863" s="329"/>
      <c r="L863" s="329"/>
      <c r="M863" s="76"/>
      <c r="N863" s="103" t="str">
        <f>IF(A863="","",VLOOKUP(A863,Stand!C:K,9,0))</f>
        <v/>
      </c>
      <c r="O863" s="104" t="str">
        <f t="shared" si="389"/>
        <v/>
      </c>
      <c r="P863" s="105" t="str">
        <f t="shared" si="390"/>
        <v/>
      </c>
      <c r="Q863" s="105" t="str">
        <f t="shared" si="405"/>
        <v/>
      </c>
      <c r="R863" s="103" t="str">
        <f t="shared" si="391"/>
        <v/>
      </c>
      <c r="S863" s="103" t="str">
        <f t="shared" si="392"/>
        <v/>
      </c>
      <c r="T863" s="106" t="str">
        <f t="shared" si="406"/>
        <v/>
      </c>
      <c r="U863" s="106" t="str">
        <f t="shared" si="407"/>
        <v/>
      </c>
      <c r="V863" s="106" t="str">
        <f t="shared" si="408"/>
        <v/>
      </c>
      <c r="W863" s="105" t="str">
        <f t="shared" si="393"/>
        <v/>
      </c>
      <c r="X863" s="104" t="str">
        <f t="shared" si="398"/>
        <v/>
      </c>
      <c r="Y863" s="104" t="str">
        <f t="array" ref="Y863">IFERROR(IF(ISNUMBER(O863),IF(COUNT(IF(A863=$A$2:$A$2427,IF(D863=$D$2:$D$2427,IF($X$2:$X$2427&gt;0,1))))&gt;0,SUM(IF(A863=$A$2:$A$2427,IF(D863=$D$2:$D$2427,$X$2:$X$2427)))/COUNT(IF(A863=$A$2:$A$2427,IF(D863=$D$2:$D$2427,IF(ISNUMBER($X$2:$X$2427),1)))),0),""),0)</f>
        <v/>
      </c>
      <c r="Z863" s="104" t="str">
        <f>IF(ISNUMBER(O863),IF(I863&gt;0,(10^(VLOOKUP(D863,'Species Codes'!B:C,2,0)+VLOOKUP(D863,'Species Codes'!B:D,3,0)*LOG(E863)+VLOOKUP(D863,'Species Codes'!B:E,4,0)*LOG(I863))),0),"")</f>
        <v/>
      </c>
      <c r="AA863" s="104" t="str">
        <f>IFERROR((VLOOKUP(D863,'Species Codes'!B:G,6,0)*Z863)/2000,"")</f>
        <v/>
      </c>
      <c r="AB863" s="104" t="e">
        <f>IF(Z863&gt;0,((IF(OR(D863="DF",D863="RA")=TRUE,EXP(VLOOKUP(D863,'Species Codes'!B:I,8,0)+VLOOKUP(D863,'Species Codes'!B:J,9,0)*(LN((E863*2.54)))),IF(OR(D863="PY",D863="RC",D863="WH",D863="NF")=TRUE,VLOOKUP(D863,'Species Codes'!B:I,8,0)+VLOOKUP(D863,'Species Codes'!B:J,9,0)*((E863*2.54)^2)*(I863*0.3048),IF(OR(D863="MD",D863="BM",D863="GA")=TRUE,((VLOOKUP(D863,'Species Codes'!B:I,8,0)*(((((E863*2.54)+VLOOKUP(D863,'Species Codes'!B:J,9,0))/VLOOKUP(D863,'Species Codes'!B:K,10,0))^VLOOKUP(D863,'Species Codes'!B:L,11,0))*((I863*0.3048)^VLOOKUP(D863,'Species Codes'!B:M,12,0))))-(VLOOKUP(D863,'Species Codes'!B:I,8,0)*((((E863*2.54)^VLOOKUP(D863,'Species Codes'!B:L,11,0))*((I863*0.3048)^VLOOKUP(D863,'Species Codes'!B:M,12,0))))))*35.3*VLOOKUP(D863,'Species Codes'!B:G,6,0)/2.2046,VLOOKUP(D863,'Species Codes'!B:I,8,0)+VLOOKUP(D863,'Species Codes'!B:J,9,0)*(((E863*2.54)/100)^2)*(I863*0.3048)))))*0.0011023),0)</f>
        <v>#N/A</v>
      </c>
      <c r="AC863" s="104" t="e">
        <f>IF(Z863&gt;0,((IF(OR(D863="RA",D863="OA",D863="OT",D863="UN",D863="PC"),EXP(VLOOKUP(D863,'Species Codes'!B:O,14,0)+VLOOKUP(D863,'Species Codes'!B:P,15,0)*LN((E863*2.54)))-EXP(VLOOKUP(D863,'Species Codes'!B:O,14,0)+VLOOKUP(D863,'Species Codes'!B:P,15,0)*LN((E863*2.54)))*(1/(VLOOKUP(D863,'Species Codes'!B:Q,16,0)+VLOOKUP(D863,'Species Codes'!B:R,17,0)*((E863*2.54)^VLOOKUP(D863,'Species Codes'!B:S,18,0)))),IF(OR(D863="BM",D863="MD",D863="OA"),EXP(VLOOKUP(D863,'Species Codes'!B:O,14,0)+VLOOKUP(D863,'Species Codes'!B:P,15,0)*LN((E863*2.54)))*(1-(1/(VLOOKUP(D863,'Species Codes'!B:Q,16,0)+VLOOKUP(D863,'Species Codes'!B:R,17,0)*((E863*2.54)^VLOOKUP(D863,'Species Codes'!B:S,18,0)))))/1000,IF(D863="DF",EXP(VLOOKUP(D863,'Species Codes'!B:O,14,0)+VLOOKUP(D863,'Species Codes'!B:P,15,0)*LN((E863*2.54))),VLOOKUP(D863,'Species Codes'!B:O,14,0)+VLOOKUP(D863,'Species Codes'!B:P,15,0)*(((E863*2.54)/100)^2)*(I863*0.3048)))))*0.0011023),0)</f>
        <v>#N/A</v>
      </c>
      <c r="AD863" s="104" t="e">
        <f t="shared" si="409"/>
        <v>#N/A</v>
      </c>
      <c r="AE863" s="104" t="e">
        <f t="shared" si="410"/>
        <v>#N/A</v>
      </c>
      <c r="AF863" s="104" t="e">
        <f>IF(AND(VLOOKUP($D863,Merchantability!$B:$C,2,0)="Yes",$E863&gt;=VLOOKUP($D863,Merchantability!$B:$D,3,0),$E863&lt;=VLOOKUP($D863,Merchantability!$B:$E,4,0)),AA863,0)</f>
        <v>#N/A</v>
      </c>
      <c r="AG863" s="104" t="e">
        <f>IF(AND(VLOOKUP($D863,Merchantability!$B:$C,2,0)="Yes",$E863&gt;=VLOOKUP($D863,Merchantability!$B:$D,3,0),$E863&lt;=VLOOKUP($D863,Merchantability!$B:$E,4,0)),AB863,0)</f>
        <v>#N/A</v>
      </c>
      <c r="AH863" s="104" t="e">
        <f>IF(AND(VLOOKUP($D863,Merchantability!$B:$C,2,0)="Yes",$E863&gt;=VLOOKUP($D863,Merchantability!$B:$D,3,0),$E863&lt;=VLOOKUP($D863,Merchantability!$B:$E,4,0)),AC863,0)</f>
        <v>#N/A</v>
      </c>
      <c r="AI863" s="104" t="e">
        <f t="shared" si="411"/>
        <v>#N/A</v>
      </c>
      <c r="AJ863" s="104" t="e">
        <f t="shared" si="412"/>
        <v>#VALUE!</v>
      </c>
      <c r="AK863" s="104" t="e">
        <f t="shared" si="413"/>
        <v>#N/A</v>
      </c>
      <c r="AL863" s="104" t="e">
        <f t="shared" si="414"/>
        <v>#N/A</v>
      </c>
      <c r="AM863" s="104" t="e">
        <f t="shared" si="415"/>
        <v>#N/A</v>
      </c>
      <c r="AN863" s="104" t="e">
        <f t="shared" si="399"/>
        <v>#N/A</v>
      </c>
      <c r="AO863" s="104" t="e">
        <f t="shared" si="400"/>
        <v>#N/A</v>
      </c>
      <c r="AP863" s="104" t="e">
        <f t="shared" si="401"/>
        <v>#N/A</v>
      </c>
      <c r="AQ863" s="104" t="e">
        <f t="shared" si="402"/>
        <v>#N/A</v>
      </c>
      <c r="AR863" s="105" t="str">
        <f t="shared" si="394"/>
        <v/>
      </c>
      <c r="AS863" s="105" t="str">
        <f t="shared" si="395"/>
        <v/>
      </c>
      <c r="AT863" s="108" t="str">
        <f t="shared" si="396"/>
        <v/>
      </c>
      <c r="AU863" s="108" t="str">
        <f t="shared" si="397"/>
        <v/>
      </c>
      <c r="AV863" s="107" t="str">
        <f>IF(ISNUMBER(O863),IF(VLOOKUP($A863,Stand!C:J,8,FALSE)="Short",AT863,AU863),"")</f>
        <v/>
      </c>
      <c r="AW863" s="109" t="str">
        <f t="shared" si="403"/>
        <v/>
      </c>
      <c r="AX863" s="109" t="str">
        <f t="shared" si="404"/>
        <v/>
      </c>
      <c r="AY863" s="112" t="str">
        <f>IF(ISNUMBER(O863),IF(AND(VLOOKUP($D863,Merchantability!$B:$C,2,0)="Yes",$E863&gt;=VLOOKUP($D863,Merchantability!$B:$D,3,0),$E863&lt;=VLOOKUP($D863,Merchantability!$B:$E,4,0)),(AV863*O863)*(1-$H863/100),""),"")</f>
        <v/>
      </c>
      <c r="AZ863" s="116"/>
      <c r="BA863" s="116"/>
      <c r="BB863" s="116"/>
      <c r="BE863" s="62"/>
      <c r="BF863" s="63"/>
    </row>
    <row r="864" spans="1:58" ht="12.75" customHeight="1" x14ac:dyDescent="0.25">
      <c r="A864" s="313"/>
      <c r="B864" s="328"/>
      <c r="C864" s="329"/>
      <c r="D864" s="328"/>
      <c r="E864" s="330"/>
      <c r="F864" s="328"/>
      <c r="G864" s="329"/>
      <c r="H864" s="329"/>
      <c r="I864" s="328"/>
      <c r="J864" s="383"/>
      <c r="K864" s="329"/>
      <c r="L864" s="329"/>
      <c r="M864" s="76"/>
      <c r="N864" s="103" t="str">
        <f>IF(A864="","",VLOOKUP(A864,Stand!C:K,9,0))</f>
        <v/>
      </c>
      <c r="O864" s="104" t="str">
        <f t="shared" si="389"/>
        <v/>
      </c>
      <c r="P864" s="105" t="str">
        <f t="shared" si="390"/>
        <v/>
      </c>
      <c r="Q864" s="105" t="str">
        <f t="shared" si="405"/>
        <v/>
      </c>
      <c r="R864" s="103" t="str">
        <f t="shared" si="391"/>
        <v/>
      </c>
      <c r="S864" s="103" t="str">
        <f t="shared" si="392"/>
        <v/>
      </c>
      <c r="T864" s="106" t="str">
        <f t="shared" si="406"/>
        <v/>
      </c>
      <c r="U864" s="106" t="str">
        <f t="shared" si="407"/>
        <v/>
      </c>
      <c r="V864" s="106" t="str">
        <f t="shared" si="408"/>
        <v/>
      </c>
      <c r="W864" s="105" t="str">
        <f t="shared" si="393"/>
        <v/>
      </c>
      <c r="X864" s="104" t="str">
        <f t="shared" si="398"/>
        <v/>
      </c>
      <c r="Y864" s="104" t="str">
        <f t="array" ref="Y864">IFERROR(IF(ISNUMBER(O864),IF(COUNT(IF(A864=$A$2:$A$2427,IF(D864=$D$2:$D$2427,IF($X$2:$X$2427&gt;0,1))))&gt;0,SUM(IF(A864=$A$2:$A$2427,IF(D864=$D$2:$D$2427,$X$2:$X$2427)))/COUNT(IF(A864=$A$2:$A$2427,IF(D864=$D$2:$D$2427,IF(ISNUMBER($X$2:$X$2427),1)))),0),""),0)</f>
        <v/>
      </c>
      <c r="Z864" s="104" t="str">
        <f>IF(ISNUMBER(O864),IF(I864&gt;0,(10^(VLOOKUP(D864,'Species Codes'!B:C,2,0)+VLOOKUP(D864,'Species Codes'!B:D,3,0)*LOG(E864)+VLOOKUP(D864,'Species Codes'!B:E,4,0)*LOG(I864))),0),"")</f>
        <v/>
      </c>
      <c r="AA864" s="104" t="str">
        <f>IFERROR((VLOOKUP(D864,'Species Codes'!B:G,6,0)*Z864)/2000,"")</f>
        <v/>
      </c>
      <c r="AB864" s="104" t="e">
        <f>IF(Z864&gt;0,((IF(OR(D864="DF",D864="RA")=TRUE,EXP(VLOOKUP(D864,'Species Codes'!B:I,8,0)+VLOOKUP(D864,'Species Codes'!B:J,9,0)*(LN((E864*2.54)))),IF(OR(D864="PY",D864="RC",D864="WH",D864="NF")=TRUE,VLOOKUP(D864,'Species Codes'!B:I,8,0)+VLOOKUP(D864,'Species Codes'!B:J,9,0)*((E864*2.54)^2)*(I864*0.3048),IF(OR(D864="MD",D864="BM",D864="GA")=TRUE,((VLOOKUP(D864,'Species Codes'!B:I,8,0)*(((((E864*2.54)+VLOOKUP(D864,'Species Codes'!B:J,9,0))/VLOOKUP(D864,'Species Codes'!B:K,10,0))^VLOOKUP(D864,'Species Codes'!B:L,11,0))*((I864*0.3048)^VLOOKUP(D864,'Species Codes'!B:M,12,0))))-(VLOOKUP(D864,'Species Codes'!B:I,8,0)*((((E864*2.54)^VLOOKUP(D864,'Species Codes'!B:L,11,0))*((I864*0.3048)^VLOOKUP(D864,'Species Codes'!B:M,12,0))))))*35.3*VLOOKUP(D864,'Species Codes'!B:G,6,0)/2.2046,VLOOKUP(D864,'Species Codes'!B:I,8,0)+VLOOKUP(D864,'Species Codes'!B:J,9,0)*(((E864*2.54)/100)^2)*(I864*0.3048)))))*0.0011023),0)</f>
        <v>#N/A</v>
      </c>
      <c r="AC864" s="104" t="e">
        <f>IF(Z864&gt;0,((IF(OR(D864="RA",D864="OA",D864="OT",D864="UN",D864="PC"),EXP(VLOOKUP(D864,'Species Codes'!B:O,14,0)+VLOOKUP(D864,'Species Codes'!B:P,15,0)*LN((E864*2.54)))-EXP(VLOOKUP(D864,'Species Codes'!B:O,14,0)+VLOOKUP(D864,'Species Codes'!B:P,15,0)*LN((E864*2.54)))*(1/(VLOOKUP(D864,'Species Codes'!B:Q,16,0)+VLOOKUP(D864,'Species Codes'!B:R,17,0)*((E864*2.54)^VLOOKUP(D864,'Species Codes'!B:S,18,0)))),IF(OR(D864="BM",D864="MD",D864="OA"),EXP(VLOOKUP(D864,'Species Codes'!B:O,14,0)+VLOOKUP(D864,'Species Codes'!B:P,15,0)*LN((E864*2.54)))*(1-(1/(VLOOKUP(D864,'Species Codes'!B:Q,16,0)+VLOOKUP(D864,'Species Codes'!B:R,17,0)*((E864*2.54)^VLOOKUP(D864,'Species Codes'!B:S,18,0)))))/1000,IF(D864="DF",EXP(VLOOKUP(D864,'Species Codes'!B:O,14,0)+VLOOKUP(D864,'Species Codes'!B:P,15,0)*LN((E864*2.54))),VLOOKUP(D864,'Species Codes'!B:O,14,0)+VLOOKUP(D864,'Species Codes'!B:P,15,0)*(((E864*2.54)/100)^2)*(I864*0.3048)))))*0.0011023),0)</f>
        <v>#N/A</v>
      </c>
      <c r="AD864" s="104" t="e">
        <f t="shared" si="409"/>
        <v>#N/A</v>
      </c>
      <c r="AE864" s="104" t="e">
        <f t="shared" si="410"/>
        <v>#N/A</v>
      </c>
      <c r="AF864" s="104" t="e">
        <f>IF(AND(VLOOKUP($D864,Merchantability!$B:$C,2,0)="Yes",$E864&gt;=VLOOKUP($D864,Merchantability!$B:$D,3,0),$E864&lt;=VLOOKUP($D864,Merchantability!$B:$E,4,0)),AA864,0)</f>
        <v>#N/A</v>
      </c>
      <c r="AG864" s="104" t="e">
        <f>IF(AND(VLOOKUP($D864,Merchantability!$B:$C,2,0)="Yes",$E864&gt;=VLOOKUP($D864,Merchantability!$B:$D,3,0),$E864&lt;=VLOOKUP($D864,Merchantability!$B:$E,4,0)),AB864,0)</f>
        <v>#N/A</v>
      </c>
      <c r="AH864" s="104" t="e">
        <f>IF(AND(VLOOKUP($D864,Merchantability!$B:$C,2,0)="Yes",$E864&gt;=VLOOKUP($D864,Merchantability!$B:$D,3,0),$E864&lt;=VLOOKUP($D864,Merchantability!$B:$E,4,0)),AC864,0)</f>
        <v>#N/A</v>
      </c>
      <c r="AI864" s="104" t="e">
        <f t="shared" si="411"/>
        <v>#N/A</v>
      </c>
      <c r="AJ864" s="104" t="e">
        <f t="shared" si="412"/>
        <v>#VALUE!</v>
      </c>
      <c r="AK864" s="104" t="e">
        <f t="shared" si="413"/>
        <v>#N/A</v>
      </c>
      <c r="AL864" s="104" t="e">
        <f t="shared" si="414"/>
        <v>#N/A</v>
      </c>
      <c r="AM864" s="104" t="e">
        <f t="shared" si="415"/>
        <v>#N/A</v>
      </c>
      <c r="AN864" s="104" t="e">
        <f t="shared" si="399"/>
        <v>#N/A</v>
      </c>
      <c r="AO864" s="104" t="e">
        <f t="shared" si="400"/>
        <v>#N/A</v>
      </c>
      <c r="AP864" s="104" t="e">
        <f t="shared" si="401"/>
        <v>#N/A</v>
      </c>
      <c r="AQ864" s="104" t="e">
        <f t="shared" si="402"/>
        <v>#N/A</v>
      </c>
      <c r="AR864" s="105" t="str">
        <f t="shared" si="394"/>
        <v/>
      </c>
      <c r="AS864" s="105" t="str">
        <f t="shared" si="395"/>
        <v/>
      </c>
      <c r="AT864" s="108" t="str">
        <f t="shared" si="396"/>
        <v/>
      </c>
      <c r="AU864" s="108" t="str">
        <f t="shared" si="397"/>
        <v/>
      </c>
      <c r="AV864" s="107" t="str">
        <f>IF(ISNUMBER(O864),IF(VLOOKUP($A864,Stand!C:J,8,FALSE)="Short",AT864,AU864),"")</f>
        <v/>
      </c>
      <c r="AW864" s="109" t="str">
        <f t="shared" si="403"/>
        <v/>
      </c>
      <c r="AX864" s="109" t="str">
        <f t="shared" si="404"/>
        <v/>
      </c>
      <c r="AY864" s="112" t="str">
        <f>IF(ISNUMBER(O864),IF(AND(VLOOKUP($D864,Merchantability!$B:$C,2,0)="Yes",$E864&gt;=VLOOKUP($D864,Merchantability!$B:$D,3,0),$E864&lt;=VLOOKUP($D864,Merchantability!$B:$E,4,0)),(AV864*O864)*(1-$H864/100),""),"")</f>
        <v/>
      </c>
      <c r="AZ864" s="116"/>
      <c r="BA864" s="116"/>
      <c r="BB864" s="116"/>
      <c r="BE864" s="62"/>
      <c r="BF864" s="63"/>
    </row>
    <row r="865" spans="1:58" ht="12.75" customHeight="1" x14ac:dyDescent="0.25">
      <c r="A865" s="313"/>
      <c r="B865" s="328"/>
      <c r="C865" s="329"/>
      <c r="D865" s="328"/>
      <c r="E865" s="330"/>
      <c r="F865" s="328"/>
      <c r="G865" s="329"/>
      <c r="H865" s="329"/>
      <c r="I865" s="328"/>
      <c r="J865" s="383"/>
      <c r="K865" s="329"/>
      <c r="L865" s="329"/>
      <c r="M865" s="76"/>
      <c r="N865" s="103" t="str">
        <f>IF(A865="","",VLOOKUP(A865,Stand!C:K,9,0))</f>
        <v/>
      </c>
      <c r="O865" s="104" t="str">
        <f t="shared" si="389"/>
        <v/>
      </c>
      <c r="P865" s="105" t="str">
        <f t="shared" si="390"/>
        <v/>
      </c>
      <c r="Q865" s="105" t="str">
        <f t="shared" si="405"/>
        <v/>
      </c>
      <c r="R865" s="103" t="str">
        <f t="shared" si="391"/>
        <v/>
      </c>
      <c r="S865" s="103" t="str">
        <f t="shared" si="392"/>
        <v/>
      </c>
      <c r="T865" s="106" t="str">
        <f t="shared" si="406"/>
        <v/>
      </c>
      <c r="U865" s="106" t="str">
        <f t="shared" si="407"/>
        <v/>
      </c>
      <c r="V865" s="106" t="str">
        <f t="shared" si="408"/>
        <v/>
      </c>
      <c r="W865" s="105" t="str">
        <f t="shared" si="393"/>
        <v/>
      </c>
      <c r="X865" s="104" t="str">
        <f t="shared" si="398"/>
        <v/>
      </c>
      <c r="Y865" s="104" t="str">
        <f t="array" ref="Y865">IFERROR(IF(ISNUMBER(O865),IF(COUNT(IF(A865=$A$2:$A$2427,IF(D865=$D$2:$D$2427,IF($X$2:$X$2427&gt;0,1))))&gt;0,SUM(IF(A865=$A$2:$A$2427,IF(D865=$D$2:$D$2427,$X$2:$X$2427)))/COUNT(IF(A865=$A$2:$A$2427,IF(D865=$D$2:$D$2427,IF(ISNUMBER($X$2:$X$2427),1)))),0),""),0)</f>
        <v/>
      </c>
      <c r="Z865" s="104" t="str">
        <f>IF(ISNUMBER(O865),IF(I865&gt;0,(10^(VLOOKUP(D865,'Species Codes'!B:C,2,0)+VLOOKUP(D865,'Species Codes'!B:D,3,0)*LOG(E865)+VLOOKUP(D865,'Species Codes'!B:E,4,0)*LOG(I865))),0),"")</f>
        <v/>
      </c>
      <c r="AA865" s="104" t="str">
        <f>IFERROR((VLOOKUP(D865,'Species Codes'!B:G,6,0)*Z865)/2000,"")</f>
        <v/>
      </c>
      <c r="AB865" s="104" t="e">
        <f>IF(Z865&gt;0,((IF(OR(D865="DF",D865="RA")=TRUE,EXP(VLOOKUP(D865,'Species Codes'!B:I,8,0)+VLOOKUP(D865,'Species Codes'!B:J,9,0)*(LN((E865*2.54)))),IF(OR(D865="PY",D865="RC",D865="WH",D865="NF")=TRUE,VLOOKUP(D865,'Species Codes'!B:I,8,0)+VLOOKUP(D865,'Species Codes'!B:J,9,0)*((E865*2.54)^2)*(I865*0.3048),IF(OR(D865="MD",D865="BM",D865="GA")=TRUE,((VLOOKUP(D865,'Species Codes'!B:I,8,0)*(((((E865*2.54)+VLOOKUP(D865,'Species Codes'!B:J,9,0))/VLOOKUP(D865,'Species Codes'!B:K,10,0))^VLOOKUP(D865,'Species Codes'!B:L,11,0))*((I865*0.3048)^VLOOKUP(D865,'Species Codes'!B:M,12,0))))-(VLOOKUP(D865,'Species Codes'!B:I,8,0)*((((E865*2.54)^VLOOKUP(D865,'Species Codes'!B:L,11,0))*((I865*0.3048)^VLOOKUP(D865,'Species Codes'!B:M,12,0))))))*35.3*VLOOKUP(D865,'Species Codes'!B:G,6,0)/2.2046,VLOOKUP(D865,'Species Codes'!B:I,8,0)+VLOOKUP(D865,'Species Codes'!B:J,9,0)*(((E865*2.54)/100)^2)*(I865*0.3048)))))*0.0011023),0)</f>
        <v>#N/A</v>
      </c>
      <c r="AC865" s="104" t="e">
        <f>IF(Z865&gt;0,((IF(OR(D865="RA",D865="OA",D865="OT",D865="UN",D865="PC"),EXP(VLOOKUP(D865,'Species Codes'!B:O,14,0)+VLOOKUP(D865,'Species Codes'!B:P,15,0)*LN((E865*2.54)))-EXP(VLOOKUP(D865,'Species Codes'!B:O,14,0)+VLOOKUP(D865,'Species Codes'!B:P,15,0)*LN((E865*2.54)))*(1/(VLOOKUP(D865,'Species Codes'!B:Q,16,0)+VLOOKUP(D865,'Species Codes'!B:R,17,0)*((E865*2.54)^VLOOKUP(D865,'Species Codes'!B:S,18,0)))),IF(OR(D865="BM",D865="MD",D865="OA"),EXP(VLOOKUP(D865,'Species Codes'!B:O,14,0)+VLOOKUP(D865,'Species Codes'!B:P,15,0)*LN((E865*2.54)))*(1-(1/(VLOOKUP(D865,'Species Codes'!B:Q,16,0)+VLOOKUP(D865,'Species Codes'!B:R,17,0)*((E865*2.54)^VLOOKUP(D865,'Species Codes'!B:S,18,0)))))/1000,IF(D865="DF",EXP(VLOOKUP(D865,'Species Codes'!B:O,14,0)+VLOOKUP(D865,'Species Codes'!B:P,15,0)*LN((E865*2.54))),VLOOKUP(D865,'Species Codes'!B:O,14,0)+VLOOKUP(D865,'Species Codes'!B:P,15,0)*(((E865*2.54)/100)^2)*(I865*0.3048)))))*0.0011023),0)</f>
        <v>#N/A</v>
      </c>
      <c r="AD865" s="104" t="e">
        <f t="shared" si="409"/>
        <v>#N/A</v>
      </c>
      <c r="AE865" s="104" t="e">
        <f t="shared" si="410"/>
        <v>#N/A</v>
      </c>
      <c r="AF865" s="104" t="e">
        <f>IF(AND(VLOOKUP($D865,Merchantability!$B:$C,2,0)="Yes",$E865&gt;=VLOOKUP($D865,Merchantability!$B:$D,3,0),$E865&lt;=VLOOKUP($D865,Merchantability!$B:$E,4,0)),AA865,0)</f>
        <v>#N/A</v>
      </c>
      <c r="AG865" s="104" t="e">
        <f>IF(AND(VLOOKUP($D865,Merchantability!$B:$C,2,0)="Yes",$E865&gt;=VLOOKUP($D865,Merchantability!$B:$D,3,0),$E865&lt;=VLOOKUP($D865,Merchantability!$B:$E,4,0)),AB865,0)</f>
        <v>#N/A</v>
      </c>
      <c r="AH865" s="104" t="e">
        <f>IF(AND(VLOOKUP($D865,Merchantability!$B:$C,2,0)="Yes",$E865&gt;=VLOOKUP($D865,Merchantability!$B:$D,3,0),$E865&lt;=VLOOKUP($D865,Merchantability!$B:$E,4,0)),AC865,0)</f>
        <v>#N/A</v>
      </c>
      <c r="AI865" s="104" t="e">
        <f t="shared" si="411"/>
        <v>#N/A</v>
      </c>
      <c r="AJ865" s="104" t="e">
        <f t="shared" si="412"/>
        <v>#VALUE!</v>
      </c>
      <c r="AK865" s="104" t="e">
        <f t="shared" si="413"/>
        <v>#N/A</v>
      </c>
      <c r="AL865" s="104" t="e">
        <f t="shared" si="414"/>
        <v>#N/A</v>
      </c>
      <c r="AM865" s="104" t="e">
        <f t="shared" si="415"/>
        <v>#N/A</v>
      </c>
      <c r="AN865" s="104" t="e">
        <f t="shared" si="399"/>
        <v>#N/A</v>
      </c>
      <c r="AO865" s="104" t="e">
        <f t="shared" si="400"/>
        <v>#N/A</v>
      </c>
      <c r="AP865" s="104" t="e">
        <f t="shared" si="401"/>
        <v>#N/A</v>
      </c>
      <c r="AQ865" s="104" t="e">
        <f t="shared" si="402"/>
        <v>#N/A</v>
      </c>
      <c r="AR865" s="105" t="str">
        <f t="shared" si="394"/>
        <v/>
      </c>
      <c r="AS865" s="105" t="str">
        <f t="shared" si="395"/>
        <v/>
      </c>
      <c r="AT865" s="108" t="str">
        <f t="shared" si="396"/>
        <v/>
      </c>
      <c r="AU865" s="108" t="str">
        <f t="shared" si="397"/>
        <v/>
      </c>
      <c r="AV865" s="107" t="str">
        <f>IF(ISNUMBER(O865),IF(VLOOKUP($A865,Stand!C:J,8,FALSE)="Short",AT865,AU865),"")</f>
        <v/>
      </c>
      <c r="AW865" s="109" t="str">
        <f t="shared" si="403"/>
        <v/>
      </c>
      <c r="AX865" s="109" t="str">
        <f t="shared" si="404"/>
        <v/>
      </c>
      <c r="AY865" s="112" t="str">
        <f>IF(ISNUMBER(O865),IF(AND(VLOOKUP($D865,Merchantability!$B:$C,2,0)="Yes",$E865&gt;=VLOOKUP($D865,Merchantability!$B:$D,3,0),$E865&lt;=VLOOKUP($D865,Merchantability!$B:$E,4,0)),(AV865*O865)*(1-$H865/100),""),"")</f>
        <v/>
      </c>
      <c r="AZ865" s="116"/>
      <c r="BA865" s="116"/>
      <c r="BB865" s="116"/>
      <c r="BE865" s="62"/>
      <c r="BF865" s="63"/>
    </row>
    <row r="866" spans="1:58" ht="12.75" customHeight="1" x14ac:dyDescent="0.25">
      <c r="A866" s="313"/>
      <c r="B866" s="328"/>
      <c r="C866" s="329"/>
      <c r="D866" s="328"/>
      <c r="E866" s="330"/>
      <c r="F866" s="328"/>
      <c r="G866" s="329"/>
      <c r="H866" s="329"/>
      <c r="I866" s="328"/>
      <c r="J866" s="383"/>
      <c r="K866" s="329"/>
      <c r="L866" s="329"/>
      <c r="M866" s="76"/>
      <c r="N866" s="103" t="str">
        <f>IF(A866="","",VLOOKUP(A866,Stand!C:K,9,0))</f>
        <v/>
      </c>
      <c r="O866" s="104" t="str">
        <f t="shared" si="389"/>
        <v/>
      </c>
      <c r="P866" s="105" t="str">
        <f t="shared" si="390"/>
        <v/>
      </c>
      <c r="Q866" s="105" t="str">
        <f t="shared" si="405"/>
        <v/>
      </c>
      <c r="R866" s="103" t="str">
        <f t="shared" si="391"/>
        <v/>
      </c>
      <c r="S866" s="103" t="str">
        <f t="shared" si="392"/>
        <v/>
      </c>
      <c r="T866" s="106" t="str">
        <f t="shared" si="406"/>
        <v/>
      </c>
      <c r="U866" s="106" t="str">
        <f t="shared" si="407"/>
        <v/>
      </c>
      <c r="V866" s="106" t="str">
        <f t="shared" si="408"/>
        <v/>
      </c>
      <c r="W866" s="105" t="str">
        <f t="shared" si="393"/>
        <v/>
      </c>
      <c r="X866" s="104" t="str">
        <f t="shared" si="398"/>
        <v/>
      </c>
      <c r="Y866" s="104" t="str">
        <f t="array" ref="Y866">IFERROR(IF(ISNUMBER(O866),IF(COUNT(IF(A866=$A$2:$A$2427,IF(D866=$D$2:$D$2427,IF($X$2:$X$2427&gt;0,1))))&gt;0,SUM(IF(A866=$A$2:$A$2427,IF(D866=$D$2:$D$2427,$X$2:$X$2427)))/COUNT(IF(A866=$A$2:$A$2427,IF(D866=$D$2:$D$2427,IF(ISNUMBER($X$2:$X$2427),1)))),0),""),0)</f>
        <v/>
      </c>
      <c r="Z866" s="104" t="str">
        <f>IF(ISNUMBER(O866),IF(I866&gt;0,(10^(VLOOKUP(D866,'Species Codes'!B:C,2,0)+VLOOKUP(D866,'Species Codes'!B:D,3,0)*LOG(E866)+VLOOKUP(D866,'Species Codes'!B:E,4,0)*LOG(I866))),0),"")</f>
        <v/>
      </c>
      <c r="AA866" s="104" t="str">
        <f>IFERROR((VLOOKUP(D866,'Species Codes'!B:G,6,0)*Z866)/2000,"")</f>
        <v/>
      </c>
      <c r="AB866" s="104" t="e">
        <f>IF(Z866&gt;0,((IF(OR(D866="DF",D866="RA")=TRUE,EXP(VLOOKUP(D866,'Species Codes'!B:I,8,0)+VLOOKUP(D866,'Species Codes'!B:J,9,0)*(LN((E866*2.54)))),IF(OR(D866="PY",D866="RC",D866="WH",D866="NF")=TRUE,VLOOKUP(D866,'Species Codes'!B:I,8,0)+VLOOKUP(D866,'Species Codes'!B:J,9,0)*((E866*2.54)^2)*(I866*0.3048),IF(OR(D866="MD",D866="BM",D866="GA")=TRUE,((VLOOKUP(D866,'Species Codes'!B:I,8,0)*(((((E866*2.54)+VLOOKUP(D866,'Species Codes'!B:J,9,0))/VLOOKUP(D866,'Species Codes'!B:K,10,0))^VLOOKUP(D866,'Species Codes'!B:L,11,0))*((I866*0.3048)^VLOOKUP(D866,'Species Codes'!B:M,12,0))))-(VLOOKUP(D866,'Species Codes'!B:I,8,0)*((((E866*2.54)^VLOOKUP(D866,'Species Codes'!B:L,11,0))*((I866*0.3048)^VLOOKUP(D866,'Species Codes'!B:M,12,0))))))*35.3*VLOOKUP(D866,'Species Codes'!B:G,6,0)/2.2046,VLOOKUP(D866,'Species Codes'!B:I,8,0)+VLOOKUP(D866,'Species Codes'!B:J,9,0)*(((E866*2.54)/100)^2)*(I866*0.3048)))))*0.0011023),0)</f>
        <v>#N/A</v>
      </c>
      <c r="AC866" s="104" t="e">
        <f>IF(Z866&gt;0,((IF(OR(D866="RA",D866="OA",D866="OT",D866="UN",D866="PC"),EXP(VLOOKUP(D866,'Species Codes'!B:O,14,0)+VLOOKUP(D866,'Species Codes'!B:P,15,0)*LN((E866*2.54)))-EXP(VLOOKUP(D866,'Species Codes'!B:O,14,0)+VLOOKUP(D866,'Species Codes'!B:P,15,0)*LN((E866*2.54)))*(1/(VLOOKUP(D866,'Species Codes'!B:Q,16,0)+VLOOKUP(D866,'Species Codes'!B:R,17,0)*((E866*2.54)^VLOOKUP(D866,'Species Codes'!B:S,18,0)))),IF(OR(D866="BM",D866="MD",D866="OA"),EXP(VLOOKUP(D866,'Species Codes'!B:O,14,0)+VLOOKUP(D866,'Species Codes'!B:P,15,0)*LN((E866*2.54)))*(1-(1/(VLOOKUP(D866,'Species Codes'!B:Q,16,0)+VLOOKUP(D866,'Species Codes'!B:R,17,0)*((E866*2.54)^VLOOKUP(D866,'Species Codes'!B:S,18,0)))))/1000,IF(D866="DF",EXP(VLOOKUP(D866,'Species Codes'!B:O,14,0)+VLOOKUP(D866,'Species Codes'!B:P,15,0)*LN((E866*2.54))),VLOOKUP(D866,'Species Codes'!B:O,14,0)+VLOOKUP(D866,'Species Codes'!B:P,15,0)*(((E866*2.54)/100)^2)*(I866*0.3048)))))*0.0011023),0)</f>
        <v>#N/A</v>
      </c>
      <c r="AD866" s="104" t="e">
        <f t="shared" si="409"/>
        <v>#N/A</v>
      </c>
      <c r="AE866" s="104" t="e">
        <f t="shared" si="410"/>
        <v>#N/A</v>
      </c>
      <c r="AF866" s="104" t="e">
        <f>IF(AND(VLOOKUP($D866,Merchantability!$B:$C,2,0)="Yes",$E866&gt;=VLOOKUP($D866,Merchantability!$B:$D,3,0),$E866&lt;=VLOOKUP($D866,Merchantability!$B:$E,4,0)),AA866,0)</f>
        <v>#N/A</v>
      </c>
      <c r="AG866" s="104" t="e">
        <f>IF(AND(VLOOKUP($D866,Merchantability!$B:$C,2,0)="Yes",$E866&gt;=VLOOKUP($D866,Merchantability!$B:$D,3,0),$E866&lt;=VLOOKUP($D866,Merchantability!$B:$E,4,0)),AB866,0)</f>
        <v>#N/A</v>
      </c>
      <c r="AH866" s="104" t="e">
        <f>IF(AND(VLOOKUP($D866,Merchantability!$B:$C,2,0)="Yes",$E866&gt;=VLOOKUP($D866,Merchantability!$B:$D,3,0),$E866&lt;=VLOOKUP($D866,Merchantability!$B:$E,4,0)),AC866,0)</f>
        <v>#N/A</v>
      </c>
      <c r="AI866" s="104" t="e">
        <f t="shared" si="411"/>
        <v>#N/A</v>
      </c>
      <c r="AJ866" s="104" t="e">
        <f t="shared" si="412"/>
        <v>#VALUE!</v>
      </c>
      <c r="AK866" s="104" t="e">
        <f t="shared" si="413"/>
        <v>#N/A</v>
      </c>
      <c r="AL866" s="104" t="e">
        <f t="shared" si="414"/>
        <v>#N/A</v>
      </c>
      <c r="AM866" s="104" t="e">
        <f t="shared" si="415"/>
        <v>#N/A</v>
      </c>
      <c r="AN866" s="104" t="e">
        <f t="shared" si="399"/>
        <v>#N/A</v>
      </c>
      <c r="AO866" s="104" t="e">
        <f t="shared" si="400"/>
        <v>#N/A</v>
      </c>
      <c r="AP866" s="104" t="e">
        <f t="shared" si="401"/>
        <v>#N/A</v>
      </c>
      <c r="AQ866" s="104" t="e">
        <f t="shared" si="402"/>
        <v>#N/A</v>
      </c>
      <c r="AR866" s="105" t="str">
        <f t="shared" si="394"/>
        <v/>
      </c>
      <c r="AS866" s="105" t="str">
        <f t="shared" si="395"/>
        <v/>
      </c>
      <c r="AT866" s="108" t="str">
        <f t="shared" si="396"/>
        <v/>
      </c>
      <c r="AU866" s="108" t="str">
        <f t="shared" si="397"/>
        <v/>
      </c>
      <c r="AV866" s="107" t="str">
        <f>IF(ISNUMBER(O866),IF(VLOOKUP($A866,Stand!C:J,8,FALSE)="Short",AT866,AU866),"")</f>
        <v/>
      </c>
      <c r="AW866" s="109" t="str">
        <f t="shared" si="403"/>
        <v/>
      </c>
      <c r="AX866" s="109" t="str">
        <f t="shared" si="404"/>
        <v/>
      </c>
      <c r="AY866" s="112" t="str">
        <f>IF(ISNUMBER(O866),IF(AND(VLOOKUP($D866,Merchantability!$B:$C,2,0)="Yes",$E866&gt;=VLOOKUP($D866,Merchantability!$B:$D,3,0),$E866&lt;=VLOOKUP($D866,Merchantability!$B:$E,4,0)),(AV866*O866)*(1-$H866/100),""),"")</f>
        <v/>
      </c>
      <c r="AZ866" s="116"/>
      <c r="BA866" s="116"/>
      <c r="BB866" s="116"/>
      <c r="BE866" s="62"/>
      <c r="BF866" s="63"/>
    </row>
    <row r="867" spans="1:58" ht="12.75" customHeight="1" x14ac:dyDescent="0.25">
      <c r="A867" s="313"/>
      <c r="B867" s="328"/>
      <c r="C867" s="329"/>
      <c r="D867" s="328"/>
      <c r="E867" s="330"/>
      <c r="F867" s="328"/>
      <c r="G867" s="329"/>
      <c r="H867" s="329"/>
      <c r="I867" s="328"/>
      <c r="J867" s="383"/>
      <c r="K867" s="329"/>
      <c r="L867" s="329"/>
      <c r="M867" s="76"/>
      <c r="N867" s="103" t="str">
        <f>IF(A867="","",VLOOKUP(A867,Stand!C:K,9,0))</f>
        <v/>
      </c>
      <c r="O867" s="104" t="str">
        <f t="shared" si="389"/>
        <v/>
      </c>
      <c r="P867" s="105" t="str">
        <f t="shared" si="390"/>
        <v/>
      </c>
      <c r="Q867" s="105" t="str">
        <f t="shared" si="405"/>
        <v/>
      </c>
      <c r="R867" s="103" t="str">
        <f t="shared" si="391"/>
        <v/>
      </c>
      <c r="S867" s="103" t="str">
        <f t="shared" si="392"/>
        <v/>
      </c>
      <c r="T867" s="106" t="str">
        <f t="shared" si="406"/>
        <v/>
      </c>
      <c r="U867" s="106" t="str">
        <f t="shared" si="407"/>
        <v/>
      </c>
      <c r="V867" s="106" t="str">
        <f t="shared" si="408"/>
        <v/>
      </c>
      <c r="W867" s="105" t="str">
        <f t="shared" si="393"/>
        <v/>
      </c>
      <c r="X867" s="104" t="str">
        <f t="shared" si="398"/>
        <v/>
      </c>
      <c r="Y867" s="104" t="str">
        <f t="array" ref="Y867">IFERROR(IF(ISNUMBER(O867),IF(COUNT(IF(A867=$A$2:$A$2427,IF(D867=$D$2:$D$2427,IF($X$2:$X$2427&gt;0,1))))&gt;0,SUM(IF(A867=$A$2:$A$2427,IF(D867=$D$2:$D$2427,$X$2:$X$2427)))/COUNT(IF(A867=$A$2:$A$2427,IF(D867=$D$2:$D$2427,IF(ISNUMBER($X$2:$X$2427),1)))),0),""),0)</f>
        <v/>
      </c>
      <c r="Z867" s="104" t="str">
        <f>IF(ISNUMBER(O867),IF(I867&gt;0,(10^(VLOOKUP(D867,'Species Codes'!B:C,2,0)+VLOOKUP(D867,'Species Codes'!B:D,3,0)*LOG(E867)+VLOOKUP(D867,'Species Codes'!B:E,4,0)*LOG(I867))),0),"")</f>
        <v/>
      </c>
      <c r="AA867" s="104" t="str">
        <f>IFERROR((VLOOKUP(D867,'Species Codes'!B:G,6,0)*Z867)/2000,"")</f>
        <v/>
      </c>
      <c r="AB867" s="104" t="e">
        <f>IF(Z867&gt;0,((IF(OR(D867="DF",D867="RA")=TRUE,EXP(VLOOKUP(D867,'Species Codes'!B:I,8,0)+VLOOKUP(D867,'Species Codes'!B:J,9,0)*(LN((E867*2.54)))),IF(OR(D867="PY",D867="RC",D867="WH",D867="NF")=TRUE,VLOOKUP(D867,'Species Codes'!B:I,8,0)+VLOOKUP(D867,'Species Codes'!B:J,9,0)*((E867*2.54)^2)*(I867*0.3048),IF(OR(D867="MD",D867="BM",D867="GA")=TRUE,((VLOOKUP(D867,'Species Codes'!B:I,8,0)*(((((E867*2.54)+VLOOKUP(D867,'Species Codes'!B:J,9,0))/VLOOKUP(D867,'Species Codes'!B:K,10,0))^VLOOKUP(D867,'Species Codes'!B:L,11,0))*((I867*0.3048)^VLOOKUP(D867,'Species Codes'!B:M,12,0))))-(VLOOKUP(D867,'Species Codes'!B:I,8,0)*((((E867*2.54)^VLOOKUP(D867,'Species Codes'!B:L,11,0))*((I867*0.3048)^VLOOKUP(D867,'Species Codes'!B:M,12,0))))))*35.3*VLOOKUP(D867,'Species Codes'!B:G,6,0)/2.2046,VLOOKUP(D867,'Species Codes'!B:I,8,0)+VLOOKUP(D867,'Species Codes'!B:J,9,0)*(((E867*2.54)/100)^2)*(I867*0.3048)))))*0.0011023),0)</f>
        <v>#N/A</v>
      </c>
      <c r="AC867" s="104" t="e">
        <f>IF(Z867&gt;0,((IF(OR(D867="RA",D867="OA",D867="OT",D867="UN",D867="PC"),EXP(VLOOKUP(D867,'Species Codes'!B:O,14,0)+VLOOKUP(D867,'Species Codes'!B:P,15,0)*LN((E867*2.54)))-EXP(VLOOKUP(D867,'Species Codes'!B:O,14,0)+VLOOKUP(D867,'Species Codes'!B:P,15,0)*LN((E867*2.54)))*(1/(VLOOKUP(D867,'Species Codes'!B:Q,16,0)+VLOOKUP(D867,'Species Codes'!B:R,17,0)*((E867*2.54)^VLOOKUP(D867,'Species Codes'!B:S,18,0)))),IF(OR(D867="BM",D867="MD",D867="OA"),EXP(VLOOKUP(D867,'Species Codes'!B:O,14,0)+VLOOKUP(D867,'Species Codes'!B:P,15,0)*LN((E867*2.54)))*(1-(1/(VLOOKUP(D867,'Species Codes'!B:Q,16,0)+VLOOKUP(D867,'Species Codes'!B:R,17,0)*((E867*2.54)^VLOOKUP(D867,'Species Codes'!B:S,18,0)))))/1000,IF(D867="DF",EXP(VLOOKUP(D867,'Species Codes'!B:O,14,0)+VLOOKUP(D867,'Species Codes'!B:P,15,0)*LN((E867*2.54))),VLOOKUP(D867,'Species Codes'!B:O,14,0)+VLOOKUP(D867,'Species Codes'!B:P,15,0)*(((E867*2.54)/100)^2)*(I867*0.3048)))))*0.0011023),0)</f>
        <v>#N/A</v>
      </c>
      <c r="AD867" s="104" t="e">
        <f t="shared" si="409"/>
        <v>#N/A</v>
      </c>
      <c r="AE867" s="104" t="e">
        <f t="shared" si="410"/>
        <v>#N/A</v>
      </c>
      <c r="AF867" s="104" t="e">
        <f>IF(AND(VLOOKUP($D867,Merchantability!$B:$C,2,0)="Yes",$E867&gt;=VLOOKUP($D867,Merchantability!$B:$D,3,0),$E867&lt;=VLOOKUP($D867,Merchantability!$B:$E,4,0)),AA867,0)</f>
        <v>#N/A</v>
      </c>
      <c r="AG867" s="104" t="e">
        <f>IF(AND(VLOOKUP($D867,Merchantability!$B:$C,2,0)="Yes",$E867&gt;=VLOOKUP($D867,Merchantability!$B:$D,3,0),$E867&lt;=VLOOKUP($D867,Merchantability!$B:$E,4,0)),AB867,0)</f>
        <v>#N/A</v>
      </c>
      <c r="AH867" s="104" t="e">
        <f>IF(AND(VLOOKUP($D867,Merchantability!$B:$C,2,0)="Yes",$E867&gt;=VLOOKUP($D867,Merchantability!$B:$D,3,0),$E867&lt;=VLOOKUP($D867,Merchantability!$B:$E,4,0)),AC867,0)</f>
        <v>#N/A</v>
      </c>
      <c r="AI867" s="104" t="e">
        <f t="shared" si="411"/>
        <v>#N/A</v>
      </c>
      <c r="AJ867" s="104" t="e">
        <f t="shared" si="412"/>
        <v>#VALUE!</v>
      </c>
      <c r="AK867" s="104" t="e">
        <f t="shared" si="413"/>
        <v>#N/A</v>
      </c>
      <c r="AL867" s="104" t="e">
        <f t="shared" si="414"/>
        <v>#N/A</v>
      </c>
      <c r="AM867" s="104" t="e">
        <f t="shared" si="415"/>
        <v>#N/A</v>
      </c>
      <c r="AN867" s="104" t="e">
        <f t="shared" si="399"/>
        <v>#N/A</v>
      </c>
      <c r="AO867" s="104" t="e">
        <f t="shared" si="400"/>
        <v>#N/A</v>
      </c>
      <c r="AP867" s="104" t="e">
        <f t="shared" si="401"/>
        <v>#N/A</v>
      </c>
      <c r="AQ867" s="104" t="e">
        <f t="shared" si="402"/>
        <v>#N/A</v>
      </c>
      <c r="AR867" s="105" t="str">
        <f t="shared" si="394"/>
        <v/>
      </c>
      <c r="AS867" s="105" t="str">
        <f t="shared" si="395"/>
        <v/>
      </c>
      <c r="AT867" s="108" t="str">
        <f t="shared" si="396"/>
        <v/>
      </c>
      <c r="AU867" s="108" t="str">
        <f t="shared" si="397"/>
        <v/>
      </c>
      <c r="AV867" s="107" t="str">
        <f>IF(ISNUMBER(O867),IF(VLOOKUP($A867,Stand!C:J,8,FALSE)="Short",AT867,AU867),"")</f>
        <v/>
      </c>
      <c r="AW867" s="109" t="str">
        <f t="shared" si="403"/>
        <v/>
      </c>
      <c r="AX867" s="109" t="str">
        <f t="shared" si="404"/>
        <v/>
      </c>
      <c r="AY867" s="112" t="str">
        <f>IF(ISNUMBER(O867),IF(AND(VLOOKUP($D867,Merchantability!$B:$C,2,0)="Yes",$E867&gt;=VLOOKUP($D867,Merchantability!$B:$D,3,0),$E867&lt;=VLOOKUP($D867,Merchantability!$B:$E,4,0)),(AV867*O867)*(1-$H867/100),""),"")</f>
        <v/>
      </c>
      <c r="AZ867" s="116"/>
      <c r="BA867" s="116"/>
      <c r="BB867" s="116"/>
      <c r="BE867" s="62"/>
      <c r="BF867" s="63"/>
    </row>
    <row r="868" spans="1:58" ht="12.75" customHeight="1" x14ac:dyDescent="0.25">
      <c r="A868" s="313"/>
      <c r="B868" s="328"/>
      <c r="C868" s="329"/>
      <c r="D868" s="328"/>
      <c r="E868" s="330"/>
      <c r="F868" s="328"/>
      <c r="G868" s="329"/>
      <c r="H868" s="329"/>
      <c r="I868" s="328"/>
      <c r="J868" s="383"/>
      <c r="K868" s="329"/>
      <c r="L868" s="329"/>
      <c r="M868" s="76"/>
      <c r="N868" s="103" t="str">
        <f>IF(A868="","",VLOOKUP(A868,Stand!C:K,9,0))</f>
        <v/>
      </c>
      <c r="O868" s="104" t="str">
        <f t="shared" si="389"/>
        <v/>
      </c>
      <c r="P868" s="105" t="str">
        <f t="shared" si="390"/>
        <v/>
      </c>
      <c r="Q868" s="105" t="str">
        <f t="shared" si="405"/>
        <v/>
      </c>
      <c r="R868" s="103" t="str">
        <f t="shared" si="391"/>
        <v/>
      </c>
      <c r="S868" s="103" t="str">
        <f t="shared" si="392"/>
        <v/>
      </c>
      <c r="T868" s="106" t="str">
        <f t="shared" si="406"/>
        <v/>
      </c>
      <c r="U868" s="106" t="str">
        <f t="shared" si="407"/>
        <v/>
      </c>
      <c r="V868" s="106" t="str">
        <f t="shared" si="408"/>
        <v/>
      </c>
      <c r="W868" s="105" t="str">
        <f t="shared" si="393"/>
        <v/>
      </c>
      <c r="X868" s="104" t="str">
        <f t="shared" si="398"/>
        <v/>
      </c>
      <c r="Y868" s="104" t="str">
        <f t="array" ref="Y868">IFERROR(IF(ISNUMBER(O868),IF(COUNT(IF(A868=$A$2:$A$2427,IF(D868=$D$2:$D$2427,IF($X$2:$X$2427&gt;0,1))))&gt;0,SUM(IF(A868=$A$2:$A$2427,IF(D868=$D$2:$D$2427,$X$2:$X$2427)))/COUNT(IF(A868=$A$2:$A$2427,IF(D868=$D$2:$D$2427,IF(ISNUMBER($X$2:$X$2427),1)))),0),""),0)</f>
        <v/>
      </c>
      <c r="Z868" s="104" t="str">
        <f>IF(ISNUMBER(O868),IF(I868&gt;0,(10^(VLOOKUP(D868,'Species Codes'!B:C,2,0)+VLOOKUP(D868,'Species Codes'!B:D,3,0)*LOG(E868)+VLOOKUP(D868,'Species Codes'!B:E,4,0)*LOG(I868))),0),"")</f>
        <v/>
      </c>
      <c r="AA868" s="104" t="str">
        <f>IFERROR((VLOOKUP(D868,'Species Codes'!B:G,6,0)*Z868)/2000,"")</f>
        <v/>
      </c>
      <c r="AB868" s="104" t="e">
        <f>IF(Z868&gt;0,((IF(OR(D868="DF",D868="RA")=TRUE,EXP(VLOOKUP(D868,'Species Codes'!B:I,8,0)+VLOOKUP(D868,'Species Codes'!B:J,9,0)*(LN((E868*2.54)))),IF(OR(D868="PY",D868="RC",D868="WH",D868="NF")=TRUE,VLOOKUP(D868,'Species Codes'!B:I,8,0)+VLOOKUP(D868,'Species Codes'!B:J,9,0)*((E868*2.54)^2)*(I868*0.3048),IF(OR(D868="MD",D868="BM",D868="GA")=TRUE,((VLOOKUP(D868,'Species Codes'!B:I,8,0)*(((((E868*2.54)+VLOOKUP(D868,'Species Codes'!B:J,9,0))/VLOOKUP(D868,'Species Codes'!B:K,10,0))^VLOOKUP(D868,'Species Codes'!B:L,11,0))*((I868*0.3048)^VLOOKUP(D868,'Species Codes'!B:M,12,0))))-(VLOOKUP(D868,'Species Codes'!B:I,8,0)*((((E868*2.54)^VLOOKUP(D868,'Species Codes'!B:L,11,0))*((I868*0.3048)^VLOOKUP(D868,'Species Codes'!B:M,12,0))))))*35.3*VLOOKUP(D868,'Species Codes'!B:G,6,0)/2.2046,VLOOKUP(D868,'Species Codes'!B:I,8,0)+VLOOKUP(D868,'Species Codes'!B:J,9,0)*(((E868*2.54)/100)^2)*(I868*0.3048)))))*0.0011023),0)</f>
        <v>#N/A</v>
      </c>
      <c r="AC868" s="104" t="e">
        <f>IF(Z868&gt;0,((IF(OR(D868="RA",D868="OA",D868="OT",D868="UN",D868="PC"),EXP(VLOOKUP(D868,'Species Codes'!B:O,14,0)+VLOOKUP(D868,'Species Codes'!B:P,15,0)*LN((E868*2.54)))-EXP(VLOOKUP(D868,'Species Codes'!B:O,14,0)+VLOOKUP(D868,'Species Codes'!B:P,15,0)*LN((E868*2.54)))*(1/(VLOOKUP(D868,'Species Codes'!B:Q,16,0)+VLOOKUP(D868,'Species Codes'!B:R,17,0)*((E868*2.54)^VLOOKUP(D868,'Species Codes'!B:S,18,0)))),IF(OR(D868="BM",D868="MD",D868="OA"),EXP(VLOOKUP(D868,'Species Codes'!B:O,14,0)+VLOOKUP(D868,'Species Codes'!B:P,15,0)*LN((E868*2.54)))*(1-(1/(VLOOKUP(D868,'Species Codes'!B:Q,16,0)+VLOOKUP(D868,'Species Codes'!B:R,17,0)*((E868*2.54)^VLOOKUP(D868,'Species Codes'!B:S,18,0)))))/1000,IF(D868="DF",EXP(VLOOKUP(D868,'Species Codes'!B:O,14,0)+VLOOKUP(D868,'Species Codes'!B:P,15,0)*LN((E868*2.54))),VLOOKUP(D868,'Species Codes'!B:O,14,0)+VLOOKUP(D868,'Species Codes'!B:P,15,0)*(((E868*2.54)/100)^2)*(I868*0.3048)))))*0.0011023),0)</f>
        <v>#N/A</v>
      </c>
      <c r="AD868" s="104" t="e">
        <f t="shared" si="409"/>
        <v>#N/A</v>
      </c>
      <c r="AE868" s="104" t="e">
        <f t="shared" si="410"/>
        <v>#N/A</v>
      </c>
      <c r="AF868" s="104" t="e">
        <f>IF(AND(VLOOKUP($D868,Merchantability!$B:$C,2,0)="Yes",$E868&gt;=VLOOKUP($D868,Merchantability!$B:$D,3,0),$E868&lt;=VLOOKUP($D868,Merchantability!$B:$E,4,0)),AA868,0)</f>
        <v>#N/A</v>
      </c>
      <c r="AG868" s="104" t="e">
        <f>IF(AND(VLOOKUP($D868,Merchantability!$B:$C,2,0)="Yes",$E868&gt;=VLOOKUP($D868,Merchantability!$B:$D,3,0),$E868&lt;=VLOOKUP($D868,Merchantability!$B:$E,4,0)),AB868,0)</f>
        <v>#N/A</v>
      </c>
      <c r="AH868" s="104" t="e">
        <f>IF(AND(VLOOKUP($D868,Merchantability!$B:$C,2,0)="Yes",$E868&gt;=VLOOKUP($D868,Merchantability!$B:$D,3,0),$E868&lt;=VLOOKUP($D868,Merchantability!$B:$E,4,0)),AC868,0)</f>
        <v>#N/A</v>
      </c>
      <c r="AI868" s="104" t="e">
        <f t="shared" si="411"/>
        <v>#N/A</v>
      </c>
      <c r="AJ868" s="104" t="e">
        <f t="shared" si="412"/>
        <v>#VALUE!</v>
      </c>
      <c r="AK868" s="104" t="e">
        <f t="shared" si="413"/>
        <v>#N/A</v>
      </c>
      <c r="AL868" s="104" t="e">
        <f t="shared" si="414"/>
        <v>#N/A</v>
      </c>
      <c r="AM868" s="104" t="e">
        <f t="shared" si="415"/>
        <v>#N/A</v>
      </c>
      <c r="AN868" s="104" t="e">
        <f t="shared" si="399"/>
        <v>#N/A</v>
      </c>
      <c r="AO868" s="104" t="e">
        <f t="shared" si="400"/>
        <v>#N/A</v>
      </c>
      <c r="AP868" s="104" t="e">
        <f t="shared" si="401"/>
        <v>#N/A</v>
      </c>
      <c r="AQ868" s="104" t="e">
        <f t="shared" si="402"/>
        <v>#N/A</v>
      </c>
      <c r="AR868" s="105" t="str">
        <f t="shared" si="394"/>
        <v/>
      </c>
      <c r="AS868" s="105" t="str">
        <f t="shared" si="395"/>
        <v/>
      </c>
      <c r="AT868" s="108" t="str">
        <f t="shared" si="396"/>
        <v/>
      </c>
      <c r="AU868" s="108" t="str">
        <f t="shared" si="397"/>
        <v/>
      </c>
      <c r="AV868" s="107" t="str">
        <f>IF(ISNUMBER(O868),IF(VLOOKUP($A868,Stand!C:J,8,FALSE)="Short",AT868,AU868),"")</f>
        <v/>
      </c>
      <c r="AW868" s="109" t="str">
        <f t="shared" si="403"/>
        <v/>
      </c>
      <c r="AX868" s="109" t="str">
        <f t="shared" si="404"/>
        <v/>
      </c>
      <c r="AY868" s="112" t="str">
        <f>IF(ISNUMBER(O868),IF(AND(VLOOKUP($D868,Merchantability!$B:$C,2,0)="Yes",$E868&gt;=VLOOKUP($D868,Merchantability!$B:$D,3,0),$E868&lt;=VLOOKUP($D868,Merchantability!$B:$E,4,0)),(AV868*O868)*(1-$H868/100),""),"")</f>
        <v/>
      </c>
      <c r="AZ868" s="116"/>
      <c r="BA868" s="116"/>
      <c r="BB868" s="116"/>
      <c r="BE868" s="62"/>
      <c r="BF868" s="63"/>
    </row>
    <row r="869" spans="1:58" ht="12.75" customHeight="1" x14ac:dyDescent="0.25">
      <c r="A869" s="313"/>
      <c r="B869" s="328"/>
      <c r="C869" s="329"/>
      <c r="D869" s="328"/>
      <c r="E869" s="330"/>
      <c r="F869" s="328"/>
      <c r="G869" s="329"/>
      <c r="H869" s="329"/>
      <c r="I869" s="328"/>
      <c r="J869" s="383"/>
      <c r="K869" s="329"/>
      <c r="L869" s="329"/>
      <c r="M869" s="76"/>
      <c r="N869" s="103" t="str">
        <f>IF(A869="","",VLOOKUP(A869,Stand!C:K,9,0))</f>
        <v/>
      </c>
      <c r="O869" s="104" t="str">
        <f t="shared" si="389"/>
        <v/>
      </c>
      <c r="P869" s="105" t="str">
        <f t="shared" si="390"/>
        <v/>
      </c>
      <c r="Q869" s="105" t="str">
        <f t="shared" si="405"/>
        <v/>
      </c>
      <c r="R869" s="103" t="str">
        <f t="shared" si="391"/>
        <v/>
      </c>
      <c r="S869" s="103" t="str">
        <f t="shared" si="392"/>
        <v/>
      </c>
      <c r="T869" s="106" t="str">
        <f t="shared" si="406"/>
        <v/>
      </c>
      <c r="U869" s="106" t="str">
        <f t="shared" si="407"/>
        <v/>
      </c>
      <c r="V869" s="106" t="str">
        <f t="shared" si="408"/>
        <v/>
      </c>
      <c r="W869" s="105" t="str">
        <f t="shared" si="393"/>
        <v/>
      </c>
      <c r="X869" s="104" t="str">
        <f t="shared" si="398"/>
        <v/>
      </c>
      <c r="Y869" s="104" t="str">
        <f t="array" ref="Y869">IFERROR(IF(ISNUMBER(O869),IF(COUNT(IF(A869=$A$2:$A$2427,IF(D869=$D$2:$D$2427,IF($X$2:$X$2427&gt;0,1))))&gt;0,SUM(IF(A869=$A$2:$A$2427,IF(D869=$D$2:$D$2427,$X$2:$X$2427)))/COUNT(IF(A869=$A$2:$A$2427,IF(D869=$D$2:$D$2427,IF(ISNUMBER($X$2:$X$2427),1)))),0),""),0)</f>
        <v/>
      </c>
      <c r="Z869" s="104" t="str">
        <f>IF(ISNUMBER(O869),IF(I869&gt;0,(10^(VLOOKUP(D869,'Species Codes'!B:C,2,0)+VLOOKUP(D869,'Species Codes'!B:D,3,0)*LOG(E869)+VLOOKUP(D869,'Species Codes'!B:E,4,0)*LOG(I869))),0),"")</f>
        <v/>
      </c>
      <c r="AA869" s="104" t="str">
        <f>IFERROR((VLOOKUP(D869,'Species Codes'!B:G,6,0)*Z869)/2000,"")</f>
        <v/>
      </c>
      <c r="AB869" s="104" t="e">
        <f>IF(Z869&gt;0,((IF(OR(D869="DF",D869="RA")=TRUE,EXP(VLOOKUP(D869,'Species Codes'!B:I,8,0)+VLOOKUP(D869,'Species Codes'!B:J,9,0)*(LN((E869*2.54)))),IF(OR(D869="PY",D869="RC",D869="WH",D869="NF")=TRUE,VLOOKUP(D869,'Species Codes'!B:I,8,0)+VLOOKUP(D869,'Species Codes'!B:J,9,0)*((E869*2.54)^2)*(I869*0.3048),IF(OR(D869="MD",D869="BM",D869="GA")=TRUE,((VLOOKUP(D869,'Species Codes'!B:I,8,0)*(((((E869*2.54)+VLOOKUP(D869,'Species Codes'!B:J,9,0))/VLOOKUP(D869,'Species Codes'!B:K,10,0))^VLOOKUP(D869,'Species Codes'!B:L,11,0))*((I869*0.3048)^VLOOKUP(D869,'Species Codes'!B:M,12,0))))-(VLOOKUP(D869,'Species Codes'!B:I,8,0)*((((E869*2.54)^VLOOKUP(D869,'Species Codes'!B:L,11,0))*((I869*0.3048)^VLOOKUP(D869,'Species Codes'!B:M,12,0))))))*35.3*VLOOKUP(D869,'Species Codes'!B:G,6,0)/2.2046,VLOOKUP(D869,'Species Codes'!B:I,8,0)+VLOOKUP(D869,'Species Codes'!B:J,9,0)*(((E869*2.54)/100)^2)*(I869*0.3048)))))*0.0011023),0)</f>
        <v>#N/A</v>
      </c>
      <c r="AC869" s="104" t="e">
        <f>IF(Z869&gt;0,((IF(OR(D869="RA",D869="OA",D869="OT",D869="UN",D869="PC"),EXP(VLOOKUP(D869,'Species Codes'!B:O,14,0)+VLOOKUP(D869,'Species Codes'!B:P,15,0)*LN((E869*2.54)))-EXP(VLOOKUP(D869,'Species Codes'!B:O,14,0)+VLOOKUP(D869,'Species Codes'!B:P,15,0)*LN((E869*2.54)))*(1/(VLOOKUP(D869,'Species Codes'!B:Q,16,0)+VLOOKUP(D869,'Species Codes'!B:R,17,0)*((E869*2.54)^VLOOKUP(D869,'Species Codes'!B:S,18,0)))),IF(OR(D869="BM",D869="MD",D869="OA"),EXP(VLOOKUP(D869,'Species Codes'!B:O,14,0)+VLOOKUP(D869,'Species Codes'!B:P,15,0)*LN((E869*2.54)))*(1-(1/(VLOOKUP(D869,'Species Codes'!B:Q,16,0)+VLOOKUP(D869,'Species Codes'!B:R,17,0)*((E869*2.54)^VLOOKUP(D869,'Species Codes'!B:S,18,0)))))/1000,IF(D869="DF",EXP(VLOOKUP(D869,'Species Codes'!B:O,14,0)+VLOOKUP(D869,'Species Codes'!B:P,15,0)*LN((E869*2.54))),VLOOKUP(D869,'Species Codes'!B:O,14,0)+VLOOKUP(D869,'Species Codes'!B:P,15,0)*(((E869*2.54)/100)^2)*(I869*0.3048)))))*0.0011023),0)</f>
        <v>#N/A</v>
      </c>
      <c r="AD869" s="104" t="e">
        <f t="shared" si="409"/>
        <v>#N/A</v>
      </c>
      <c r="AE869" s="104" t="e">
        <f t="shared" si="410"/>
        <v>#N/A</v>
      </c>
      <c r="AF869" s="104" t="e">
        <f>IF(AND(VLOOKUP($D869,Merchantability!$B:$C,2,0)="Yes",$E869&gt;=VLOOKUP($D869,Merchantability!$B:$D,3,0),$E869&lt;=VLOOKUP($D869,Merchantability!$B:$E,4,0)),AA869,0)</f>
        <v>#N/A</v>
      </c>
      <c r="AG869" s="104" t="e">
        <f>IF(AND(VLOOKUP($D869,Merchantability!$B:$C,2,0)="Yes",$E869&gt;=VLOOKUP($D869,Merchantability!$B:$D,3,0),$E869&lt;=VLOOKUP($D869,Merchantability!$B:$E,4,0)),AB869,0)</f>
        <v>#N/A</v>
      </c>
      <c r="AH869" s="104" t="e">
        <f>IF(AND(VLOOKUP($D869,Merchantability!$B:$C,2,0)="Yes",$E869&gt;=VLOOKUP($D869,Merchantability!$B:$D,3,0),$E869&lt;=VLOOKUP($D869,Merchantability!$B:$E,4,0)),AC869,0)</f>
        <v>#N/A</v>
      </c>
      <c r="AI869" s="104" t="e">
        <f t="shared" si="411"/>
        <v>#N/A</v>
      </c>
      <c r="AJ869" s="104" t="e">
        <f t="shared" si="412"/>
        <v>#VALUE!</v>
      </c>
      <c r="AK869" s="104" t="e">
        <f t="shared" si="413"/>
        <v>#N/A</v>
      </c>
      <c r="AL869" s="104" t="e">
        <f t="shared" si="414"/>
        <v>#N/A</v>
      </c>
      <c r="AM869" s="104" t="e">
        <f t="shared" si="415"/>
        <v>#N/A</v>
      </c>
      <c r="AN869" s="104" t="e">
        <f t="shared" si="399"/>
        <v>#N/A</v>
      </c>
      <c r="AO869" s="104" t="e">
        <f t="shared" si="400"/>
        <v>#N/A</v>
      </c>
      <c r="AP869" s="104" t="e">
        <f t="shared" si="401"/>
        <v>#N/A</v>
      </c>
      <c r="AQ869" s="104" t="e">
        <f t="shared" si="402"/>
        <v>#N/A</v>
      </c>
      <c r="AR869" s="105" t="str">
        <f t="shared" si="394"/>
        <v/>
      </c>
      <c r="AS869" s="105" t="str">
        <f t="shared" si="395"/>
        <v/>
      </c>
      <c r="AT869" s="108" t="str">
        <f t="shared" si="396"/>
        <v/>
      </c>
      <c r="AU869" s="108" t="str">
        <f t="shared" si="397"/>
        <v/>
      </c>
      <c r="AV869" s="107" t="str">
        <f>IF(ISNUMBER(O869),IF(VLOOKUP($A869,Stand!C:J,8,FALSE)="Short",AT869,AU869),"")</f>
        <v/>
      </c>
      <c r="AW869" s="109" t="str">
        <f t="shared" si="403"/>
        <v/>
      </c>
      <c r="AX869" s="109" t="str">
        <f t="shared" si="404"/>
        <v/>
      </c>
      <c r="AY869" s="112" t="str">
        <f>IF(ISNUMBER(O869),IF(AND(VLOOKUP($D869,Merchantability!$B:$C,2,0)="Yes",$E869&gt;=VLOOKUP($D869,Merchantability!$B:$D,3,0),$E869&lt;=VLOOKUP($D869,Merchantability!$B:$E,4,0)),(AV869*O869)*(1-$H869/100),""),"")</f>
        <v/>
      </c>
      <c r="AZ869" s="116"/>
      <c r="BA869" s="116"/>
      <c r="BB869" s="116"/>
      <c r="BE869" s="62"/>
      <c r="BF869" s="63"/>
    </row>
    <row r="870" spans="1:58" ht="12.75" customHeight="1" x14ac:dyDescent="0.25">
      <c r="A870" s="313"/>
      <c r="B870" s="328"/>
      <c r="C870" s="329"/>
      <c r="D870" s="328"/>
      <c r="E870" s="330"/>
      <c r="F870" s="328"/>
      <c r="G870" s="329"/>
      <c r="H870" s="329"/>
      <c r="I870" s="328"/>
      <c r="J870" s="383"/>
      <c r="K870" s="329"/>
      <c r="L870" s="329"/>
      <c r="M870" s="76"/>
      <c r="N870" s="103" t="str">
        <f>IF(A870="","",VLOOKUP(A870,Stand!C:K,9,0))</f>
        <v/>
      </c>
      <c r="O870" s="104" t="str">
        <f t="shared" si="389"/>
        <v/>
      </c>
      <c r="P870" s="105" t="str">
        <f t="shared" si="390"/>
        <v/>
      </c>
      <c r="Q870" s="105" t="str">
        <f t="shared" si="405"/>
        <v/>
      </c>
      <c r="R870" s="103" t="str">
        <f t="shared" si="391"/>
        <v/>
      </c>
      <c r="S870" s="103" t="str">
        <f t="shared" si="392"/>
        <v/>
      </c>
      <c r="T870" s="106" t="str">
        <f t="shared" si="406"/>
        <v/>
      </c>
      <c r="U870" s="106" t="str">
        <f t="shared" si="407"/>
        <v/>
      </c>
      <c r="V870" s="106" t="str">
        <f t="shared" si="408"/>
        <v/>
      </c>
      <c r="W870" s="105" t="str">
        <f t="shared" si="393"/>
        <v/>
      </c>
      <c r="X870" s="104" t="str">
        <f t="shared" si="398"/>
        <v/>
      </c>
      <c r="Y870" s="104" t="str">
        <f t="array" ref="Y870">IFERROR(IF(ISNUMBER(O870),IF(COUNT(IF(A870=$A$2:$A$2427,IF(D870=$D$2:$D$2427,IF($X$2:$X$2427&gt;0,1))))&gt;0,SUM(IF(A870=$A$2:$A$2427,IF(D870=$D$2:$D$2427,$X$2:$X$2427)))/COUNT(IF(A870=$A$2:$A$2427,IF(D870=$D$2:$D$2427,IF(ISNUMBER($X$2:$X$2427),1)))),0),""),0)</f>
        <v/>
      </c>
      <c r="Z870" s="104" t="str">
        <f>IF(ISNUMBER(O870),IF(I870&gt;0,(10^(VLOOKUP(D870,'Species Codes'!B:C,2,0)+VLOOKUP(D870,'Species Codes'!B:D,3,0)*LOG(E870)+VLOOKUP(D870,'Species Codes'!B:E,4,0)*LOG(I870))),0),"")</f>
        <v/>
      </c>
      <c r="AA870" s="104" t="str">
        <f>IFERROR((VLOOKUP(D870,'Species Codes'!B:G,6,0)*Z870)/2000,"")</f>
        <v/>
      </c>
      <c r="AB870" s="104" t="e">
        <f>IF(Z870&gt;0,((IF(OR(D870="DF",D870="RA")=TRUE,EXP(VLOOKUP(D870,'Species Codes'!B:I,8,0)+VLOOKUP(D870,'Species Codes'!B:J,9,0)*(LN((E870*2.54)))),IF(OR(D870="PY",D870="RC",D870="WH",D870="NF")=TRUE,VLOOKUP(D870,'Species Codes'!B:I,8,0)+VLOOKUP(D870,'Species Codes'!B:J,9,0)*((E870*2.54)^2)*(I870*0.3048),IF(OR(D870="MD",D870="BM",D870="GA")=TRUE,((VLOOKUP(D870,'Species Codes'!B:I,8,0)*(((((E870*2.54)+VLOOKUP(D870,'Species Codes'!B:J,9,0))/VLOOKUP(D870,'Species Codes'!B:K,10,0))^VLOOKUP(D870,'Species Codes'!B:L,11,0))*((I870*0.3048)^VLOOKUP(D870,'Species Codes'!B:M,12,0))))-(VLOOKUP(D870,'Species Codes'!B:I,8,0)*((((E870*2.54)^VLOOKUP(D870,'Species Codes'!B:L,11,0))*((I870*0.3048)^VLOOKUP(D870,'Species Codes'!B:M,12,0))))))*35.3*VLOOKUP(D870,'Species Codes'!B:G,6,0)/2.2046,VLOOKUP(D870,'Species Codes'!B:I,8,0)+VLOOKUP(D870,'Species Codes'!B:J,9,0)*(((E870*2.54)/100)^2)*(I870*0.3048)))))*0.0011023),0)</f>
        <v>#N/A</v>
      </c>
      <c r="AC870" s="104" t="e">
        <f>IF(Z870&gt;0,((IF(OR(D870="RA",D870="OA",D870="OT",D870="UN",D870="PC"),EXP(VLOOKUP(D870,'Species Codes'!B:O,14,0)+VLOOKUP(D870,'Species Codes'!B:P,15,0)*LN((E870*2.54)))-EXP(VLOOKUP(D870,'Species Codes'!B:O,14,0)+VLOOKUP(D870,'Species Codes'!B:P,15,0)*LN((E870*2.54)))*(1/(VLOOKUP(D870,'Species Codes'!B:Q,16,0)+VLOOKUP(D870,'Species Codes'!B:R,17,0)*((E870*2.54)^VLOOKUP(D870,'Species Codes'!B:S,18,0)))),IF(OR(D870="BM",D870="MD",D870="OA"),EXP(VLOOKUP(D870,'Species Codes'!B:O,14,0)+VLOOKUP(D870,'Species Codes'!B:P,15,0)*LN((E870*2.54)))*(1-(1/(VLOOKUP(D870,'Species Codes'!B:Q,16,0)+VLOOKUP(D870,'Species Codes'!B:R,17,0)*((E870*2.54)^VLOOKUP(D870,'Species Codes'!B:S,18,0)))))/1000,IF(D870="DF",EXP(VLOOKUP(D870,'Species Codes'!B:O,14,0)+VLOOKUP(D870,'Species Codes'!B:P,15,0)*LN((E870*2.54))),VLOOKUP(D870,'Species Codes'!B:O,14,0)+VLOOKUP(D870,'Species Codes'!B:P,15,0)*(((E870*2.54)/100)^2)*(I870*0.3048)))))*0.0011023),0)</f>
        <v>#N/A</v>
      </c>
      <c r="AD870" s="104" t="e">
        <f t="shared" si="409"/>
        <v>#N/A</v>
      </c>
      <c r="AE870" s="104" t="e">
        <f t="shared" si="410"/>
        <v>#N/A</v>
      </c>
      <c r="AF870" s="104" t="e">
        <f>IF(AND(VLOOKUP($D870,Merchantability!$B:$C,2,0)="Yes",$E870&gt;=VLOOKUP($D870,Merchantability!$B:$D,3,0),$E870&lt;=VLOOKUP($D870,Merchantability!$B:$E,4,0)),AA870,0)</f>
        <v>#N/A</v>
      </c>
      <c r="AG870" s="104" t="e">
        <f>IF(AND(VLOOKUP($D870,Merchantability!$B:$C,2,0)="Yes",$E870&gt;=VLOOKUP($D870,Merchantability!$B:$D,3,0),$E870&lt;=VLOOKUP($D870,Merchantability!$B:$E,4,0)),AB870,0)</f>
        <v>#N/A</v>
      </c>
      <c r="AH870" s="104" t="e">
        <f>IF(AND(VLOOKUP($D870,Merchantability!$B:$C,2,0)="Yes",$E870&gt;=VLOOKUP($D870,Merchantability!$B:$D,3,0),$E870&lt;=VLOOKUP($D870,Merchantability!$B:$E,4,0)),AC870,0)</f>
        <v>#N/A</v>
      </c>
      <c r="AI870" s="104" t="e">
        <f t="shared" si="411"/>
        <v>#N/A</v>
      </c>
      <c r="AJ870" s="104" t="e">
        <f t="shared" si="412"/>
        <v>#VALUE!</v>
      </c>
      <c r="AK870" s="104" t="e">
        <f t="shared" si="413"/>
        <v>#N/A</v>
      </c>
      <c r="AL870" s="104" t="e">
        <f t="shared" si="414"/>
        <v>#N/A</v>
      </c>
      <c r="AM870" s="104" t="e">
        <f t="shared" si="415"/>
        <v>#N/A</v>
      </c>
      <c r="AN870" s="104" t="e">
        <f t="shared" si="399"/>
        <v>#N/A</v>
      </c>
      <c r="AO870" s="104" t="e">
        <f t="shared" si="400"/>
        <v>#N/A</v>
      </c>
      <c r="AP870" s="104" t="e">
        <f t="shared" si="401"/>
        <v>#N/A</v>
      </c>
      <c r="AQ870" s="104" t="e">
        <f t="shared" si="402"/>
        <v>#N/A</v>
      </c>
      <c r="AR870" s="105" t="str">
        <f t="shared" si="394"/>
        <v/>
      </c>
      <c r="AS870" s="105" t="str">
        <f t="shared" si="395"/>
        <v/>
      </c>
      <c r="AT870" s="108" t="str">
        <f t="shared" si="396"/>
        <v/>
      </c>
      <c r="AU870" s="108" t="str">
        <f t="shared" si="397"/>
        <v/>
      </c>
      <c r="AV870" s="107" t="str">
        <f>IF(ISNUMBER(O870),IF(VLOOKUP($A870,Stand!C:J,8,FALSE)="Short",AT870,AU870),"")</f>
        <v/>
      </c>
      <c r="AW870" s="109" t="str">
        <f t="shared" si="403"/>
        <v/>
      </c>
      <c r="AX870" s="109" t="str">
        <f t="shared" si="404"/>
        <v/>
      </c>
      <c r="AY870" s="112" t="str">
        <f>IF(ISNUMBER(O870),IF(AND(VLOOKUP($D870,Merchantability!$B:$C,2,0)="Yes",$E870&gt;=VLOOKUP($D870,Merchantability!$B:$D,3,0),$E870&lt;=VLOOKUP($D870,Merchantability!$B:$E,4,0)),(AV870*O870)*(1-$H870/100),""),"")</f>
        <v/>
      </c>
      <c r="AZ870" s="116"/>
      <c r="BA870" s="116"/>
      <c r="BB870" s="116"/>
      <c r="BE870" s="62"/>
      <c r="BF870" s="63"/>
    </row>
    <row r="871" spans="1:58" ht="12.75" customHeight="1" x14ac:dyDescent="0.25">
      <c r="A871" s="313"/>
      <c r="B871" s="328"/>
      <c r="C871" s="329"/>
      <c r="D871" s="328"/>
      <c r="E871" s="330"/>
      <c r="F871" s="328"/>
      <c r="G871" s="329"/>
      <c r="H871" s="329"/>
      <c r="I871" s="328"/>
      <c r="J871" s="383"/>
      <c r="K871" s="329"/>
      <c r="L871" s="329"/>
      <c r="M871" s="76"/>
      <c r="N871" s="103" t="str">
        <f>IF(A871="","",VLOOKUP(A871,Stand!C:K,9,0))</f>
        <v/>
      </c>
      <c r="O871" s="104" t="str">
        <f t="shared" si="389"/>
        <v/>
      </c>
      <c r="P871" s="105" t="str">
        <f t="shared" si="390"/>
        <v/>
      </c>
      <c r="Q871" s="105" t="str">
        <f t="shared" si="405"/>
        <v/>
      </c>
      <c r="R871" s="103" t="str">
        <f t="shared" si="391"/>
        <v/>
      </c>
      <c r="S871" s="103" t="str">
        <f t="shared" si="392"/>
        <v/>
      </c>
      <c r="T871" s="106" t="str">
        <f t="shared" si="406"/>
        <v/>
      </c>
      <c r="U871" s="106" t="str">
        <f t="shared" si="407"/>
        <v/>
      </c>
      <c r="V871" s="106" t="str">
        <f t="shared" si="408"/>
        <v/>
      </c>
      <c r="W871" s="105" t="str">
        <f t="shared" si="393"/>
        <v/>
      </c>
      <c r="X871" s="104" t="str">
        <f t="shared" si="398"/>
        <v/>
      </c>
      <c r="Y871" s="104" t="str">
        <f t="array" ref="Y871">IFERROR(IF(ISNUMBER(O871),IF(COUNT(IF(A871=$A$2:$A$2427,IF(D871=$D$2:$D$2427,IF($X$2:$X$2427&gt;0,1))))&gt;0,SUM(IF(A871=$A$2:$A$2427,IF(D871=$D$2:$D$2427,$X$2:$X$2427)))/COUNT(IF(A871=$A$2:$A$2427,IF(D871=$D$2:$D$2427,IF(ISNUMBER($X$2:$X$2427),1)))),0),""),0)</f>
        <v/>
      </c>
      <c r="Z871" s="104" t="str">
        <f>IF(ISNUMBER(O871),IF(I871&gt;0,(10^(VLOOKUP(D871,'Species Codes'!B:C,2,0)+VLOOKUP(D871,'Species Codes'!B:D,3,0)*LOG(E871)+VLOOKUP(D871,'Species Codes'!B:E,4,0)*LOG(I871))),0),"")</f>
        <v/>
      </c>
      <c r="AA871" s="104" t="str">
        <f>IFERROR((VLOOKUP(D871,'Species Codes'!B:G,6,0)*Z871)/2000,"")</f>
        <v/>
      </c>
      <c r="AB871" s="104" t="e">
        <f>IF(Z871&gt;0,((IF(OR(D871="DF",D871="RA")=TRUE,EXP(VLOOKUP(D871,'Species Codes'!B:I,8,0)+VLOOKUP(D871,'Species Codes'!B:J,9,0)*(LN((E871*2.54)))),IF(OR(D871="PY",D871="RC",D871="WH",D871="NF")=TRUE,VLOOKUP(D871,'Species Codes'!B:I,8,0)+VLOOKUP(D871,'Species Codes'!B:J,9,0)*((E871*2.54)^2)*(I871*0.3048),IF(OR(D871="MD",D871="BM",D871="GA")=TRUE,((VLOOKUP(D871,'Species Codes'!B:I,8,0)*(((((E871*2.54)+VLOOKUP(D871,'Species Codes'!B:J,9,0))/VLOOKUP(D871,'Species Codes'!B:K,10,0))^VLOOKUP(D871,'Species Codes'!B:L,11,0))*((I871*0.3048)^VLOOKUP(D871,'Species Codes'!B:M,12,0))))-(VLOOKUP(D871,'Species Codes'!B:I,8,0)*((((E871*2.54)^VLOOKUP(D871,'Species Codes'!B:L,11,0))*((I871*0.3048)^VLOOKUP(D871,'Species Codes'!B:M,12,0))))))*35.3*VLOOKUP(D871,'Species Codes'!B:G,6,0)/2.2046,VLOOKUP(D871,'Species Codes'!B:I,8,0)+VLOOKUP(D871,'Species Codes'!B:J,9,0)*(((E871*2.54)/100)^2)*(I871*0.3048)))))*0.0011023),0)</f>
        <v>#N/A</v>
      </c>
      <c r="AC871" s="104" t="e">
        <f>IF(Z871&gt;0,((IF(OR(D871="RA",D871="OA",D871="OT",D871="UN",D871="PC"),EXP(VLOOKUP(D871,'Species Codes'!B:O,14,0)+VLOOKUP(D871,'Species Codes'!B:P,15,0)*LN((E871*2.54)))-EXP(VLOOKUP(D871,'Species Codes'!B:O,14,0)+VLOOKUP(D871,'Species Codes'!B:P,15,0)*LN((E871*2.54)))*(1/(VLOOKUP(D871,'Species Codes'!B:Q,16,0)+VLOOKUP(D871,'Species Codes'!B:R,17,0)*((E871*2.54)^VLOOKUP(D871,'Species Codes'!B:S,18,0)))),IF(OR(D871="BM",D871="MD",D871="OA"),EXP(VLOOKUP(D871,'Species Codes'!B:O,14,0)+VLOOKUP(D871,'Species Codes'!B:P,15,0)*LN((E871*2.54)))*(1-(1/(VLOOKUP(D871,'Species Codes'!B:Q,16,0)+VLOOKUP(D871,'Species Codes'!B:R,17,0)*((E871*2.54)^VLOOKUP(D871,'Species Codes'!B:S,18,0)))))/1000,IF(D871="DF",EXP(VLOOKUP(D871,'Species Codes'!B:O,14,0)+VLOOKUP(D871,'Species Codes'!B:P,15,0)*LN((E871*2.54))),VLOOKUP(D871,'Species Codes'!B:O,14,0)+VLOOKUP(D871,'Species Codes'!B:P,15,0)*(((E871*2.54)/100)^2)*(I871*0.3048)))))*0.0011023),0)</f>
        <v>#N/A</v>
      </c>
      <c r="AD871" s="104" t="e">
        <f t="shared" si="409"/>
        <v>#N/A</v>
      </c>
      <c r="AE871" s="104" t="e">
        <f t="shared" si="410"/>
        <v>#N/A</v>
      </c>
      <c r="AF871" s="104" t="e">
        <f>IF(AND(VLOOKUP($D871,Merchantability!$B:$C,2,0)="Yes",$E871&gt;=VLOOKUP($D871,Merchantability!$B:$D,3,0),$E871&lt;=VLOOKUP($D871,Merchantability!$B:$E,4,0)),AA871,0)</f>
        <v>#N/A</v>
      </c>
      <c r="AG871" s="104" t="e">
        <f>IF(AND(VLOOKUP($D871,Merchantability!$B:$C,2,0)="Yes",$E871&gt;=VLOOKUP($D871,Merchantability!$B:$D,3,0),$E871&lt;=VLOOKUP($D871,Merchantability!$B:$E,4,0)),AB871,0)</f>
        <v>#N/A</v>
      </c>
      <c r="AH871" s="104" t="e">
        <f>IF(AND(VLOOKUP($D871,Merchantability!$B:$C,2,0)="Yes",$E871&gt;=VLOOKUP($D871,Merchantability!$B:$D,3,0),$E871&lt;=VLOOKUP($D871,Merchantability!$B:$E,4,0)),AC871,0)</f>
        <v>#N/A</v>
      </c>
      <c r="AI871" s="104" t="e">
        <f t="shared" si="411"/>
        <v>#N/A</v>
      </c>
      <c r="AJ871" s="104" t="e">
        <f t="shared" si="412"/>
        <v>#VALUE!</v>
      </c>
      <c r="AK871" s="104" t="e">
        <f t="shared" si="413"/>
        <v>#N/A</v>
      </c>
      <c r="AL871" s="104" t="e">
        <f t="shared" si="414"/>
        <v>#N/A</v>
      </c>
      <c r="AM871" s="104" t="e">
        <f t="shared" si="415"/>
        <v>#N/A</v>
      </c>
      <c r="AN871" s="104" t="e">
        <f t="shared" si="399"/>
        <v>#N/A</v>
      </c>
      <c r="AO871" s="104" t="e">
        <f t="shared" si="400"/>
        <v>#N/A</v>
      </c>
      <c r="AP871" s="104" t="e">
        <f t="shared" si="401"/>
        <v>#N/A</v>
      </c>
      <c r="AQ871" s="104" t="e">
        <f t="shared" si="402"/>
        <v>#N/A</v>
      </c>
      <c r="AR871" s="105" t="str">
        <f t="shared" si="394"/>
        <v/>
      </c>
      <c r="AS871" s="105" t="str">
        <f t="shared" si="395"/>
        <v/>
      </c>
      <c r="AT871" s="108" t="str">
        <f t="shared" si="396"/>
        <v/>
      </c>
      <c r="AU871" s="108" t="str">
        <f t="shared" si="397"/>
        <v/>
      </c>
      <c r="AV871" s="107" t="str">
        <f>IF(ISNUMBER(O871),IF(VLOOKUP($A871,Stand!C:J,8,FALSE)="Short",AT871,AU871),"")</f>
        <v/>
      </c>
      <c r="AW871" s="109" t="str">
        <f t="shared" si="403"/>
        <v/>
      </c>
      <c r="AX871" s="109" t="str">
        <f t="shared" si="404"/>
        <v/>
      </c>
      <c r="AY871" s="112" t="str">
        <f>IF(ISNUMBER(O871),IF(AND(VLOOKUP($D871,Merchantability!$B:$C,2,0)="Yes",$E871&gt;=VLOOKUP($D871,Merchantability!$B:$D,3,0),$E871&lt;=VLOOKUP($D871,Merchantability!$B:$E,4,0)),(AV871*O871)*(1-$H871/100),""),"")</f>
        <v/>
      </c>
      <c r="AZ871" s="116"/>
      <c r="BA871" s="116"/>
      <c r="BB871" s="116"/>
      <c r="BE871" s="62"/>
      <c r="BF871" s="63"/>
    </row>
    <row r="872" spans="1:58" ht="12.75" customHeight="1" x14ac:dyDescent="0.25">
      <c r="A872" s="313"/>
      <c r="B872" s="328"/>
      <c r="C872" s="329"/>
      <c r="D872" s="328"/>
      <c r="E872" s="330"/>
      <c r="F872" s="328"/>
      <c r="G872" s="329"/>
      <c r="H872" s="329"/>
      <c r="I872" s="328"/>
      <c r="J872" s="383"/>
      <c r="K872" s="329"/>
      <c r="L872" s="329"/>
      <c r="M872" s="76"/>
      <c r="N872" s="103" t="str">
        <f>IF(A872="","",VLOOKUP(A872,Stand!C:K,9,0))</f>
        <v/>
      </c>
      <c r="O872" s="104" t="str">
        <f t="shared" si="389"/>
        <v/>
      </c>
      <c r="P872" s="105" t="str">
        <f t="shared" si="390"/>
        <v/>
      </c>
      <c r="Q872" s="105" t="str">
        <f t="shared" si="405"/>
        <v/>
      </c>
      <c r="R872" s="103" t="str">
        <f t="shared" si="391"/>
        <v/>
      </c>
      <c r="S872" s="103" t="str">
        <f t="shared" si="392"/>
        <v/>
      </c>
      <c r="T872" s="106" t="str">
        <f t="shared" si="406"/>
        <v/>
      </c>
      <c r="U872" s="106" t="str">
        <f t="shared" si="407"/>
        <v/>
      </c>
      <c r="V872" s="106" t="str">
        <f t="shared" si="408"/>
        <v/>
      </c>
      <c r="W872" s="105" t="str">
        <f t="shared" si="393"/>
        <v/>
      </c>
      <c r="X872" s="104" t="str">
        <f t="shared" si="398"/>
        <v/>
      </c>
      <c r="Y872" s="104" t="str">
        <f t="array" ref="Y872">IFERROR(IF(ISNUMBER(O872),IF(COUNT(IF(A872=$A$2:$A$2427,IF(D872=$D$2:$D$2427,IF($X$2:$X$2427&gt;0,1))))&gt;0,SUM(IF(A872=$A$2:$A$2427,IF(D872=$D$2:$D$2427,$X$2:$X$2427)))/COUNT(IF(A872=$A$2:$A$2427,IF(D872=$D$2:$D$2427,IF(ISNUMBER($X$2:$X$2427),1)))),0),""),0)</f>
        <v/>
      </c>
      <c r="Z872" s="104" t="str">
        <f>IF(ISNUMBER(O872),IF(I872&gt;0,(10^(VLOOKUP(D872,'Species Codes'!B:C,2,0)+VLOOKUP(D872,'Species Codes'!B:D,3,0)*LOG(E872)+VLOOKUP(D872,'Species Codes'!B:E,4,0)*LOG(I872))),0),"")</f>
        <v/>
      </c>
      <c r="AA872" s="104" t="str">
        <f>IFERROR((VLOOKUP(D872,'Species Codes'!B:G,6,0)*Z872)/2000,"")</f>
        <v/>
      </c>
      <c r="AB872" s="104" t="e">
        <f>IF(Z872&gt;0,((IF(OR(D872="DF",D872="RA")=TRUE,EXP(VLOOKUP(D872,'Species Codes'!B:I,8,0)+VLOOKUP(D872,'Species Codes'!B:J,9,0)*(LN((E872*2.54)))),IF(OR(D872="PY",D872="RC",D872="WH",D872="NF")=TRUE,VLOOKUP(D872,'Species Codes'!B:I,8,0)+VLOOKUP(D872,'Species Codes'!B:J,9,0)*((E872*2.54)^2)*(I872*0.3048),IF(OR(D872="MD",D872="BM",D872="GA")=TRUE,((VLOOKUP(D872,'Species Codes'!B:I,8,0)*(((((E872*2.54)+VLOOKUP(D872,'Species Codes'!B:J,9,0))/VLOOKUP(D872,'Species Codes'!B:K,10,0))^VLOOKUP(D872,'Species Codes'!B:L,11,0))*((I872*0.3048)^VLOOKUP(D872,'Species Codes'!B:M,12,0))))-(VLOOKUP(D872,'Species Codes'!B:I,8,0)*((((E872*2.54)^VLOOKUP(D872,'Species Codes'!B:L,11,0))*((I872*0.3048)^VLOOKUP(D872,'Species Codes'!B:M,12,0))))))*35.3*VLOOKUP(D872,'Species Codes'!B:G,6,0)/2.2046,VLOOKUP(D872,'Species Codes'!B:I,8,0)+VLOOKUP(D872,'Species Codes'!B:J,9,0)*(((E872*2.54)/100)^2)*(I872*0.3048)))))*0.0011023),0)</f>
        <v>#N/A</v>
      </c>
      <c r="AC872" s="104" t="e">
        <f>IF(Z872&gt;0,((IF(OR(D872="RA",D872="OA",D872="OT",D872="UN",D872="PC"),EXP(VLOOKUP(D872,'Species Codes'!B:O,14,0)+VLOOKUP(D872,'Species Codes'!B:P,15,0)*LN((E872*2.54)))-EXP(VLOOKUP(D872,'Species Codes'!B:O,14,0)+VLOOKUP(D872,'Species Codes'!B:P,15,0)*LN((E872*2.54)))*(1/(VLOOKUP(D872,'Species Codes'!B:Q,16,0)+VLOOKUP(D872,'Species Codes'!B:R,17,0)*((E872*2.54)^VLOOKUP(D872,'Species Codes'!B:S,18,0)))),IF(OR(D872="BM",D872="MD",D872="OA"),EXP(VLOOKUP(D872,'Species Codes'!B:O,14,0)+VLOOKUP(D872,'Species Codes'!B:P,15,0)*LN((E872*2.54)))*(1-(1/(VLOOKUP(D872,'Species Codes'!B:Q,16,0)+VLOOKUP(D872,'Species Codes'!B:R,17,0)*((E872*2.54)^VLOOKUP(D872,'Species Codes'!B:S,18,0)))))/1000,IF(D872="DF",EXP(VLOOKUP(D872,'Species Codes'!B:O,14,0)+VLOOKUP(D872,'Species Codes'!B:P,15,0)*LN((E872*2.54))),VLOOKUP(D872,'Species Codes'!B:O,14,0)+VLOOKUP(D872,'Species Codes'!B:P,15,0)*(((E872*2.54)/100)^2)*(I872*0.3048)))))*0.0011023),0)</f>
        <v>#N/A</v>
      </c>
      <c r="AD872" s="104" t="e">
        <f t="shared" si="409"/>
        <v>#N/A</v>
      </c>
      <c r="AE872" s="104" t="e">
        <f t="shared" si="410"/>
        <v>#N/A</v>
      </c>
      <c r="AF872" s="104" t="e">
        <f>IF(AND(VLOOKUP($D872,Merchantability!$B:$C,2,0)="Yes",$E872&gt;=VLOOKUP($D872,Merchantability!$B:$D,3,0),$E872&lt;=VLOOKUP($D872,Merchantability!$B:$E,4,0)),AA872,0)</f>
        <v>#N/A</v>
      </c>
      <c r="AG872" s="104" t="e">
        <f>IF(AND(VLOOKUP($D872,Merchantability!$B:$C,2,0)="Yes",$E872&gt;=VLOOKUP($D872,Merchantability!$B:$D,3,0),$E872&lt;=VLOOKUP($D872,Merchantability!$B:$E,4,0)),AB872,0)</f>
        <v>#N/A</v>
      </c>
      <c r="AH872" s="104" t="e">
        <f>IF(AND(VLOOKUP($D872,Merchantability!$B:$C,2,0)="Yes",$E872&gt;=VLOOKUP($D872,Merchantability!$B:$D,3,0),$E872&lt;=VLOOKUP($D872,Merchantability!$B:$E,4,0)),AC872,0)</f>
        <v>#N/A</v>
      </c>
      <c r="AI872" s="104" t="e">
        <f t="shared" si="411"/>
        <v>#N/A</v>
      </c>
      <c r="AJ872" s="104" t="e">
        <f t="shared" si="412"/>
        <v>#VALUE!</v>
      </c>
      <c r="AK872" s="104" t="e">
        <f t="shared" si="413"/>
        <v>#N/A</v>
      </c>
      <c r="AL872" s="104" t="e">
        <f t="shared" si="414"/>
        <v>#N/A</v>
      </c>
      <c r="AM872" s="104" t="e">
        <f t="shared" si="415"/>
        <v>#N/A</v>
      </c>
      <c r="AN872" s="104" t="e">
        <f t="shared" si="399"/>
        <v>#N/A</v>
      </c>
      <c r="AO872" s="104" t="e">
        <f t="shared" si="400"/>
        <v>#N/A</v>
      </c>
      <c r="AP872" s="104" t="e">
        <f t="shared" si="401"/>
        <v>#N/A</v>
      </c>
      <c r="AQ872" s="104" t="e">
        <f t="shared" si="402"/>
        <v>#N/A</v>
      </c>
      <c r="AR872" s="105" t="str">
        <f t="shared" si="394"/>
        <v/>
      </c>
      <c r="AS872" s="105" t="str">
        <f t="shared" si="395"/>
        <v/>
      </c>
      <c r="AT872" s="108" t="str">
        <f t="shared" si="396"/>
        <v/>
      </c>
      <c r="AU872" s="108" t="str">
        <f t="shared" si="397"/>
        <v/>
      </c>
      <c r="AV872" s="107" t="str">
        <f>IF(ISNUMBER(O872),IF(VLOOKUP($A872,Stand!C:J,8,FALSE)="Short",AT872,AU872),"")</f>
        <v/>
      </c>
      <c r="AW872" s="109" t="str">
        <f t="shared" si="403"/>
        <v/>
      </c>
      <c r="AX872" s="109" t="str">
        <f t="shared" si="404"/>
        <v/>
      </c>
      <c r="AY872" s="112" t="str">
        <f>IF(ISNUMBER(O872),IF(AND(VLOOKUP($D872,Merchantability!$B:$C,2,0)="Yes",$E872&gt;=VLOOKUP($D872,Merchantability!$B:$D,3,0),$E872&lt;=VLOOKUP($D872,Merchantability!$B:$E,4,0)),(AV872*O872)*(1-$H872/100),""),"")</f>
        <v/>
      </c>
      <c r="AZ872" s="116"/>
      <c r="BA872" s="116"/>
      <c r="BB872" s="116"/>
      <c r="BE872" s="62"/>
      <c r="BF872" s="63"/>
    </row>
    <row r="873" spans="1:58" ht="12.75" customHeight="1" x14ac:dyDescent="0.25">
      <c r="A873" s="313"/>
      <c r="B873" s="328"/>
      <c r="C873" s="329"/>
      <c r="D873" s="328"/>
      <c r="E873" s="330"/>
      <c r="F873" s="328"/>
      <c r="G873" s="329"/>
      <c r="H873" s="329"/>
      <c r="I873" s="328"/>
      <c r="J873" s="383"/>
      <c r="K873" s="329"/>
      <c r="L873" s="329"/>
      <c r="M873" s="76"/>
      <c r="N873" s="103" t="str">
        <f>IF(A873="","",VLOOKUP(A873,Stand!C:K,9,0))</f>
        <v/>
      </c>
      <c r="O873" s="104" t="str">
        <f t="shared" si="389"/>
        <v/>
      </c>
      <c r="P873" s="105" t="str">
        <f t="shared" si="390"/>
        <v/>
      </c>
      <c r="Q873" s="105" t="str">
        <f t="shared" si="405"/>
        <v/>
      </c>
      <c r="R873" s="103" t="str">
        <f t="shared" si="391"/>
        <v/>
      </c>
      <c r="S873" s="103" t="str">
        <f t="shared" si="392"/>
        <v/>
      </c>
      <c r="T873" s="106" t="str">
        <f t="shared" si="406"/>
        <v/>
      </c>
      <c r="U873" s="106" t="str">
        <f t="shared" si="407"/>
        <v/>
      </c>
      <c r="V873" s="106" t="str">
        <f t="shared" si="408"/>
        <v/>
      </c>
      <c r="W873" s="105" t="str">
        <f t="shared" si="393"/>
        <v/>
      </c>
      <c r="X873" s="104" t="str">
        <f t="shared" si="398"/>
        <v/>
      </c>
      <c r="Y873" s="104" t="str">
        <f t="array" ref="Y873">IFERROR(IF(ISNUMBER(O873),IF(COUNT(IF(A873=$A$2:$A$2427,IF(D873=$D$2:$D$2427,IF($X$2:$X$2427&gt;0,1))))&gt;0,SUM(IF(A873=$A$2:$A$2427,IF(D873=$D$2:$D$2427,$X$2:$X$2427)))/COUNT(IF(A873=$A$2:$A$2427,IF(D873=$D$2:$D$2427,IF(ISNUMBER($X$2:$X$2427),1)))),0),""),0)</f>
        <v/>
      </c>
      <c r="Z873" s="104" t="str">
        <f>IF(ISNUMBER(O873),IF(I873&gt;0,(10^(VLOOKUP(D873,'Species Codes'!B:C,2,0)+VLOOKUP(D873,'Species Codes'!B:D,3,0)*LOG(E873)+VLOOKUP(D873,'Species Codes'!B:E,4,0)*LOG(I873))),0),"")</f>
        <v/>
      </c>
      <c r="AA873" s="104" t="str">
        <f>IFERROR((VLOOKUP(D873,'Species Codes'!B:G,6,0)*Z873)/2000,"")</f>
        <v/>
      </c>
      <c r="AB873" s="104" t="e">
        <f>IF(Z873&gt;0,((IF(OR(D873="DF",D873="RA")=TRUE,EXP(VLOOKUP(D873,'Species Codes'!B:I,8,0)+VLOOKUP(D873,'Species Codes'!B:J,9,0)*(LN((E873*2.54)))),IF(OR(D873="PY",D873="RC",D873="WH",D873="NF")=TRUE,VLOOKUP(D873,'Species Codes'!B:I,8,0)+VLOOKUP(D873,'Species Codes'!B:J,9,0)*((E873*2.54)^2)*(I873*0.3048),IF(OR(D873="MD",D873="BM",D873="GA")=TRUE,((VLOOKUP(D873,'Species Codes'!B:I,8,0)*(((((E873*2.54)+VLOOKUP(D873,'Species Codes'!B:J,9,0))/VLOOKUP(D873,'Species Codes'!B:K,10,0))^VLOOKUP(D873,'Species Codes'!B:L,11,0))*((I873*0.3048)^VLOOKUP(D873,'Species Codes'!B:M,12,0))))-(VLOOKUP(D873,'Species Codes'!B:I,8,0)*((((E873*2.54)^VLOOKUP(D873,'Species Codes'!B:L,11,0))*((I873*0.3048)^VLOOKUP(D873,'Species Codes'!B:M,12,0))))))*35.3*VLOOKUP(D873,'Species Codes'!B:G,6,0)/2.2046,VLOOKUP(D873,'Species Codes'!B:I,8,0)+VLOOKUP(D873,'Species Codes'!B:J,9,0)*(((E873*2.54)/100)^2)*(I873*0.3048)))))*0.0011023),0)</f>
        <v>#N/A</v>
      </c>
      <c r="AC873" s="104" t="e">
        <f>IF(Z873&gt;0,((IF(OR(D873="RA",D873="OA",D873="OT",D873="UN",D873="PC"),EXP(VLOOKUP(D873,'Species Codes'!B:O,14,0)+VLOOKUP(D873,'Species Codes'!B:P,15,0)*LN((E873*2.54)))-EXP(VLOOKUP(D873,'Species Codes'!B:O,14,0)+VLOOKUP(D873,'Species Codes'!B:P,15,0)*LN((E873*2.54)))*(1/(VLOOKUP(D873,'Species Codes'!B:Q,16,0)+VLOOKUP(D873,'Species Codes'!B:R,17,0)*((E873*2.54)^VLOOKUP(D873,'Species Codes'!B:S,18,0)))),IF(OR(D873="BM",D873="MD",D873="OA"),EXP(VLOOKUP(D873,'Species Codes'!B:O,14,0)+VLOOKUP(D873,'Species Codes'!B:P,15,0)*LN((E873*2.54)))*(1-(1/(VLOOKUP(D873,'Species Codes'!B:Q,16,0)+VLOOKUP(D873,'Species Codes'!B:R,17,0)*((E873*2.54)^VLOOKUP(D873,'Species Codes'!B:S,18,0)))))/1000,IF(D873="DF",EXP(VLOOKUP(D873,'Species Codes'!B:O,14,0)+VLOOKUP(D873,'Species Codes'!B:P,15,0)*LN((E873*2.54))),VLOOKUP(D873,'Species Codes'!B:O,14,0)+VLOOKUP(D873,'Species Codes'!B:P,15,0)*(((E873*2.54)/100)^2)*(I873*0.3048)))))*0.0011023),0)</f>
        <v>#N/A</v>
      </c>
      <c r="AD873" s="104" t="e">
        <f t="shared" si="409"/>
        <v>#N/A</v>
      </c>
      <c r="AE873" s="104" t="e">
        <f t="shared" si="410"/>
        <v>#N/A</v>
      </c>
      <c r="AF873" s="104" t="e">
        <f>IF(AND(VLOOKUP($D873,Merchantability!$B:$C,2,0)="Yes",$E873&gt;=VLOOKUP($D873,Merchantability!$B:$D,3,0),$E873&lt;=VLOOKUP($D873,Merchantability!$B:$E,4,0)),AA873,0)</f>
        <v>#N/A</v>
      </c>
      <c r="AG873" s="104" t="e">
        <f>IF(AND(VLOOKUP($D873,Merchantability!$B:$C,2,0)="Yes",$E873&gt;=VLOOKUP($D873,Merchantability!$B:$D,3,0),$E873&lt;=VLOOKUP($D873,Merchantability!$B:$E,4,0)),AB873,0)</f>
        <v>#N/A</v>
      </c>
      <c r="AH873" s="104" t="e">
        <f>IF(AND(VLOOKUP($D873,Merchantability!$B:$C,2,0)="Yes",$E873&gt;=VLOOKUP($D873,Merchantability!$B:$D,3,0),$E873&lt;=VLOOKUP($D873,Merchantability!$B:$E,4,0)),AC873,0)</f>
        <v>#N/A</v>
      </c>
      <c r="AI873" s="104" t="e">
        <f t="shared" si="411"/>
        <v>#N/A</v>
      </c>
      <c r="AJ873" s="104" t="e">
        <f t="shared" si="412"/>
        <v>#VALUE!</v>
      </c>
      <c r="AK873" s="104" t="e">
        <f t="shared" si="413"/>
        <v>#N/A</v>
      </c>
      <c r="AL873" s="104" t="e">
        <f t="shared" si="414"/>
        <v>#N/A</v>
      </c>
      <c r="AM873" s="104" t="e">
        <f t="shared" si="415"/>
        <v>#N/A</v>
      </c>
      <c r="AN873" s="104" t="e">
        <f t="shared" si="399"/>
        <v>#N/A</v>
      </c>
      <c r="AO873" s="104" t="e">
        <f t="shared" si="400"/>
        <v>#N/A</v>
      </c>
      <c r="AP873" s="104" t="e">
        <f t="shared" si="401"/>
        <v>#N/A</v>
      </c>
      <c r="AQ873" s="104" t="e">
        <f t="shared" si="402"/>
        <v>#N/A</v>
      </c>
      <c r="AR873" s="105" t="str">
        <f t="shared" si="394"/>
        <v/>
      </c>
      <c r="AS873" s="105" t="str">
        <f t="shared" si="395"/>
        <v/>
      </c>
      <c r="AT873" s="108" t="str">
        <f t="shared" si="396"/>
        <v/>
      </c>
      <c r="AU873" s="108" t="str">
        <f t="shared" si="397"/>
        <v/>
      </c>
      <c r="AV873" s="107" t="str">
        <f>IF(ISNUMBER(O873),IF(VLOOKUP($A873,Stand!C:J,8,FALSE)="Short",AT873,AU873),"")</f>
        <v/>
      </c>
      <c r="AW873" s="109" t="str">
        <f t="shared" si="403"/>
        <v/>
      </c>
      <c r="AX873" s="109" t="str">
        <f t="shared" si="404"/>
        <v/>
      </c>
      <c r="AY873" s="112" t="str">
        <f>IF(ISNUMBER(O873),IF(AND(VLOOKUP($D873,Merchantability!$B:$C,2,0)="Yes",$E873&gt;=VLOOKUP($D873,Merchantability!$B:$D,3,0),$E873&lt;=VLOOKUP($D873,Merchantability!$B:$E,4,0)),(AV873*O873)*(1-$H873/100),""),"")</f>
        <v/>
      </c>
      <c r="AZ873" s="116"/>
      <c r="BA873" s="116"/>
      <c r="BB873" s="116"/>
      <c r="BE873" s="62"/>
      <c r="BF873" s="63"/>
    </row>
    <row r="874" spans="1:58" ht="12.75" customHeight="1" x14ac:dyDescent="0.25">
      <c r="A874" s="313"/>
      <c r="B874" s="328"/>
      <c r="C874" s="329"/>
      <c r="D874" s="328"/>
      <c r="E874" s="330"/>
      <c r="F874" s="328"/>
      <c r="G874" s="329"/>
      <c r="H874" s="329"/>
      <c r="I874" s="328"/>
      <c r="J874" s="383"/>
      <c r="K874" s="329"/>
      <c r="L874" s="329"/>
      <c r="M874" s="76"/>
      <c r="N874" s="103" t="str">
        <f>IF(A874="","",VLOOKUP(A874,Stand!C:K,9,0))</f>
        <v/>
      </c>
      <c r="O874" s="104" t="str">
        <f t="shared" si="389"/>
        <v/>
      </c>
      <c r="P874" s="105" t="str">
        <f t="shared" si="390"/>
        <v/>
      </c>
      <c r="Q874" s="105" t="str">
        <f t="shared" si="405"/>
        <v/>
      </c>
      <c r="R874" s="103" t="str">
        <f t="shared" si="391"/>
        <v/>
      </c>
      <c r="S874" s="103" t="str">
        <f t="shared" si="392"/>
        <v/>
      </c>
      <c r="T874" s="106" t="str">
        <f t="shared" si="406"/>
        <v/>
      </c>
      <c r="U874" s="106" t="str">
        <f t="shared" si="407"/>
        <v/>
      </c>
      <c r="V874" s="106" t="str">
        <f t="shared" si="408"/>
        <v/>
      </c>
      <c r="W874" s="105" t="str">
        <f t="shared" si="393"/>
        <v/>
      </c>
      <c r="X874" s="104" t="str">
        <f t="shared" si="398"/>
        <v/>
      </c>
      <c r="Y874" s="104" t="str">
        <f t="array" ref="Y874">IFERROR(IF(ISNUMBER(O874),IF(COUNT(IF(A874=$A$2:$A$2427,IF(D874=$D$2:$D$2427,IF($X$2:$X$2427&gt;0,1))))&gt;0,SUM(IF(A874=$A$2:$A$2427,IF(D874=$D$2:$D$2427,$X$2:$X$2427)))/COUNT(IF(A874=$A$2:$A$2427,IF(D874=$D$2:$D$2427,IF(ISNUMBER($X$2:$X$2427),1)))),0),""),0)</f>
        <v/>
      </c>
      <c r="Z874" s="104" t="str">
        <f>IF(ISNUMBER(O874),IF(I874&gt;0,(10^(VLOOKUP(D874,'Species Codes'!B:C,2,0)+VLOOKUP(D874,'Species Codes'!B:D,3,0)*LOG(E874)+VLOOKUP(D874,'Species Codes'!B:E,4,0)*LOG(I874))),0),"")</f>
        <v/>
      </c>
      <c r="AA874" s="104" t="str">
        <f>IFERROR((VLOOKUP(D874,'Species Codes'!B:G,6,0)*Z874)/2000,"")</f>
        <v/>
      </c>
      <c r="AB874" s="104" t="e">
        <f>IF(Z874&gt;0,((IF(OR(D874="DF",D874="RA")=TRUE,EXP(VLOOKUP(D874,'Species Codes'!B:I,8,0)+VLOOKUP(D874,'Species Codes'!B:J,9,0)*(LN((E874*2.54)))),IF(OR(D874="PY",D874="RC",D874="WH",D874="NF")=TRUE,VLOOKUP(D874,'Species Codes'!B:I,8,0)+VLOOKUP(D874,'Species Codes'!B:J,9,0)*((E874*2.54)^2)*(I874*0.3048),IF(OR(D874="MD",D874="BM",D874="GA")=TRUE,((VLOOKUP(D874,'Species Codes'!B:I,8,0)*(((((E874*2.54)+VLOOKUP(D874,'Species Codes'!B:J,9,0))/VLOOKUP(D874,'Species Codes'!B:K,10,0))^VLOOKUP(D874,'Species Codes'!B:L,11,0))*((I874*0.3048)^VLOOKUP(D874,'Species Codes'!B:M,12,0))))-(VLOOKUP(D874,'Species Codes'!B:I,8,0)*((((E874*2.54)^VLOOKUP(D874,'Species Codes'!B:L,11,0))*((I874*0.3048)^VLOOKUP(D874,'Species Codes'!B:M,12,0))))))*35.3*VLOOKUP(D874,'Species Codes'!B:G,6,0)/2.2046,VLOOKUP(D874,'Species Codes'!B:I,8,0)+VLOOKUP(D874,'Species Codes'!B:J,9,0)*(((E874*2.54)/100)^2)*(I874*0.3048)))))*0.0011023),0)</f>
        <v>#N/A</v>
      </c>
      <c r="AC874" s="104" t="e">
        <f>IF(Z874&gt;0,((IF(OR(D874="RA",D874="OA",D874="OT",D874="UN",D874="PC"),EXP(VLOOKUP(D874,'Species Codes'!B:O,14,0)+VLOOKUP(D874,'Species Codes'!B:P,15,0)*LN((E874*2.54)))-EXP(VLOOKUP(D874,'Species Codes'!B:O,14,0)+VLOOKUP(D874,'Species Codes'!B:P,15,0)*LN((E874*2.54)))*(1/(VLOOKUP(D874,'Species Codes'!B:Q,16,0)+VLOOKUP(D874,'Species Codes'!B:R,17,0)*((E874*2.54)^VLOOKUP(D874,'Species Codes'!B:S,18,0)))),IF(OR(D874="BM",D874="MD",D874="OA"),EXP(VLOOKUP(D874,'Species Codes'!B:O,14,0)+VLOOKUP(D874,'Species Codes'!B:P,15,0)*LN((E874*2.54)))*(1-(1/(VLOOKUP(D874,'Species Codes'!B:Q,16,0)+VLOOKUP(D874,'Species Codes'!B:R,17,0)*((E874*2.54)^VLOOKUP(D874,'Species Codes'!B:S,18,0)))))/1000,IF(D874="DF",EXP(VLOOKUP(D874,'Species Codes'!B:O,14,0)+VLOOKUP(D874,'Species Codes'!B:P,15,0)*LN((E874*2.54))),VLOOKUP(D874,'Species Codes'!B:O,14,0)+VLOOKUP(D874,'Species Codes'!B:P,15,0)*(((E874*2.54)/100)^2)*(I874*0.3048)))))*0.0011023),0)</f>
        <v>#N/A</v>
      </c>
      <c r="AD874" s="104" t="e">
        <f t="shared" si="409"/>
        <v>#N/A</v>
      </c>
      <c r="AE874" s="104" t="e">
        <f t="shared" si="410"/>
        <v>#N/A</v>
      </c>
      <c r="AF874" s="104" t="e">
        <f>IF(AND(VLOOKUP($D874,Merchantability!$B:$C,2,0)="Yes",$E874&gt;=VLOOKUP($D874,Merchantability!$B:$D,3,0),$E874&lt;=VLOOKUP($D874,Merchantability!$B:$E,4,0)),AA874,0)</f>
        <v>#N/A</v>
      </c>
      <c r="AG874" s="104" t="e">
        <f>IF(AND(VLOOKUP($D874,Merchantability!$B:$C,2,0)="Yes",$E874&gt;=VLOOKUP($D874,Merchantability!$B:$D,3,0),$E874&lt;=VLOOKUP($D874,Merchantability!$B:$E,4,0)),AB874,0)</f>
        <v>#N/A</v>
      </c>
      <c r="AH874" s="104" t="e">
        <f>IF(AND(VLOOKUP($D874,Merchantability!$B:$C,2,0)="Yes",$E874&gt;=VLOOKUP($D874,Merchantability!$B:$D,3,0),$E874&lt;=VLOOKUP($D874,Merchantability!$B:$E,4,0)),AC874,0)</f>
        <v>#N/A</v>
      </c>
      <c r="AI874" s="104" t="e">
        <f t="shared" si="411"/>
        <v>#N/A</v>
      </c>
      <c r="AJ874" s="104" t="e">
        <f t="shared" si="412"/>
        <v>#VALUE!</v>
      </c>
      <c r="AK874" s="104" t="e">
        <f t="shared" si="413"/>
        <v>#N/A</v>
      </c>
      <c r="AL874" s="104" t="e">
        <f t="shared" si="414"/>
        <v>#N/A</v>
      </c>
      <c r="AM874" s="104" t="e">
        <f t="shared" si="415"/>
        <v>#N/A</v>
      </c>
      <c r="AN874" s="104" t="e">
        <f t="shared" si="399"/>
        <v>#N/A</v>
      </c>
      <c r="AO874" s="104" t="e">
        <f t="shared" si="400"/>
        <v>#N/A</v>
      </c>
      <c r="AP874" s="104" t="e">
        <f t="shared" si="401"/>
        <v>#N/A</v>
      </c>
      <c r="AQ874" s="104" t="e">
        <f t="shared" si="402"/>
        <v>#N/A</v>
      </c>
      <c r="AR874" s="105" t="str">
        <f t="shared" si="394"/>
        <v/>
      </c>
      <c r="AS874" s="105" t="str">
        <f t="shared" si="395"/>
        <v/>
      </c>
      <c r="AT874" s="108" t="str">
        <f t="shared" si="396"/>
        <v/>
      </c>
      <c r="AU874" s="108" t="str">
        <f t="shared" si="397"/>
        <v/>
      </c>
      <c r="AV874" s="107" t="str">
        <f>IF(ISNUMBER(O874),IF(VLOOKUP($A874,Stand!C:J,8,FALSE)="Short",AT874,AU874),"")</f>
        <v/>
      </c>
      <c r="AW874" s="109" t="str">
        <f t="shared" si="403"/>
        <v/>
      </c>
      <c r="AX874" s="109" t="str">
        <f t="shared" si="404"/>
        <v/>
      </c>
      <c r="AY874" s="112" t="str">
        <f>IF(ISNUMBER(O874),IF(AND(VLOOKUP($D874,Merchantability!$B:$C,2,0)="Yes",$E874&gt;=VLOOKUP($D874,Merchantability!$B:$D,3,0),$E874&lt;=VLOOKUP($D874,Merchantability!$B:$E,4,0)),(AV874*O874)*(1-$H874/100),""),"")</f>
        <v/>
      </c>
      <c r="AZ874" s="116"/>
      <c r="BA874" s="116"/>
      <c r="BB874" s="116"/>
      <c r="BE874" s="62"/>
      <c r="BF874" s="63"/>
    </row>
    <row r="875" spans="1:58" ht="12.75" customHeight="1" x14ac:dyDescent="0.25">
      <c r="A875" s="313"/>
      <c r="B875" s="328"/>
      <c r="C875" s="329"/>
      <c r="D875" s="328"/>
      <c r="E875" s="330"/>
      <c r="F875" s="328"/>
      <c r="G875" s="329"/>
      <c r="H875" s="329"/>
      <c r="I875" s="328"/>
      <c r="J875" s="383"/>
      <c r="K875" s="329"/>
      <c r="L875" s="329"/>
      <c r="M875" s="76"/>
      <c r="N875" s="103" t="str">
        <f>IF(A875="","",VLOOKUP(A875,Stand!C:K,9,0))</f>
        <v/>
      </c>
      <c r="O875" s="104" t="str">
        <f t="shared" si="389"/>
        <v/>
      </c>
      <c r="P875" s="105" t="str">
        <f t="shared" si="390"/>
        <v/>
      </c>
      <c r="Q875" s="105" t="str">
        <f t="shared" si="405"/>
        <v/>
      </c>
      <c r="R875" s="103" t="str">
        <f t="shared" si="391"/>
        <v/>
      </c>
      <c r="S875" s="103" t="str">
        <f t="shared" si="392"/>
        <v/>
      </c>
      <c r="T875" s="106" t="str">
        <f t="shared" si="406"/>
        <v/>
      </c>
      <c r="U875" s="106" t="str">
        <f t="shared" si="407"/>
        <v/>
      </c>
      <c r="V875" s="106" t="str">
        <f t="shared" si="408"/>
        <v/>
      </c>
      <c r="W875" s="105" t="str">
        <f t="shared" si="393"/>
        <v/>
      </c>
      <c r="X875" s="104" t="str">
        <f t="shared" si="398"/>
        <v/>
      </c>
      <c r="Y875" s="104" t="str">
        <f t="array" ref="Y875">IFERROR(IF(ISNUMBER(O875),IF(COUNT(IF(A875=$A$2:$A$2427,IF(D875=$D$2:$D$2427,IF($X$2:$X$2427&gt;0,1))))&gt;0,SUM(IF(A875=$A$2:$A$2427,IF(D875=$D$2:$D$2427,$X$2:$X$2427)))/COUNT(IF(A875=$A$2:$A$2427,IF(D875=$D$2:$D$2427,IF(ISNUMBER($X$2:$X$2427),1)))),0),""),0)</f>
        <v/>
      </c>
      <c r="Z875" s="104" t="str">
        <f>IF(ISNUMBER(O875),IF(I875&gt;0,(10^(VLOOKUP(D875,'Species Codes'!B:C,2,0)+VLOOKUP(D875,'Species Codes'!B:D,3,0)*LOG(E875)+VLOOKUP(D875,'Species Codes'!B:E,4,0)*LOG(I875))),0),"")</f>
        <v/>
      </c>
      <c r="AA875" s="104" t="str">
        <f>IFERROR((VLOOKUP(D875,'Species Codes'!B:G,6,0)*Z875)/2000,"")</f>
        <v/>
      </c>
      <c r="AB875" s="104" t="e">
        <f>IF(Z875&gt;0,((IF(OR(D875="DF",D875="RA")=TRUE,EXP(VLOOKUP(D875,'Species Codes'!B:I,8,0)+VLOOKUP(D875,'Species Codes'!B:J,9,0)*(LN((E875*2.54)))),IF(OR(D875="PY",D875="RC",D875="WH",D875="NF")=TRUE,VLOOKUP(D875,'Species Codes'!B:I,8,0)+VLOOKUP(D875,'Species Codes'!B:J,9,0)*((E875*2.54)^2)*(I875*0.3048),IF(OR(D875="MD",D875="BM",D875="GA")=TRUE,((VLOOKUP(D875,'Species Codes'!B:I,8,0)*(((((E875*2.54)+VLOOKUP(D875,'Species Codes'!B:J,9,0))/VLOOKUP(D875,'Species Codes'!B:K,10,0))^VLOOKUP(D875,'Species Codes'!B:L,11,0))*((I875*0.3048)^VLOOKUP(D875,'Species Codes'!B:M,12,0))))-(VLOOKUP(D875,'Species Codes'!B:I,8,0)*((((E875*2.54)^VLOOKUP(D875,'Species Codes'!B:L,11,0))*((I875*0.3048)^VLOOKUP(D875,'Species Codes'!B:M,12,0))))))*35.3*VLOOKUP(D875,'Species Codes'!B:G,6,0)/2.2046,VLOOKUP(D875,'Species Codes'!B:I,8,0)+VLOOKUP(D875,'Species Codes'!B:J,9,0)*(((E875*2.54)/100)^2)*(I875*0.3048)))))*0.0011023),0)</f>
        <v>#N/A</v>
      </c>
      <c r="AC875" s="104" t="e">
        <f>IF(Z875&gt;0,((IF(OR(D875="RA",D875="OA",D875="OT",D875="UN",D875="PC"),EXP(VLOOKUP(D875,'Species Codes'!B:O,14,0)+VLOOKUP(D875,'Species Codes'!B:P,15,0)*LN((E875*2.54)))-EXP(VLOOKUP(D875,'Species Codes'!B:O,14,0)+VLOOKUP(D875,'Species Codes'!B:P,15,0)*LN((E875*2.54)))*(1/(VLOOKUP(D875,'Species Codes'!B:Q,16,0)+VLOOKUP(D875,'Species Codes'!B:R,17,0)*((E875*2.54)^VLOOKUP(D875,'Species Codes'!B:S,18,0)))),IF(OR(D875="BM",D875="MD",D875="OA"),EXP(VLOOKUP(D875,'Species Codes'!B:O,14,0)+VLOOKUP(D875,'Species Codes'!B:P,15,0)*LN((E875*2.54)))*(1-(1/(VLOOKUP(D875,'Species Codes'!B:Q,16,0)+VLOOKUP(D875,'Species Codes'!B:R,17,0)*((E875*2.54)^VLOOKUP(D875,'Species Codes'!B:S,18,0)))))/1000,IF(D875="DF",EXP(VLOOKUP(D875,'Species Codes'!B:O,14,0)+VLOOKUP(D875,'Species Codes'!B:P,15,0)*LN((E875*2.54))),VLOOKUP(D875,'Species Codes'!B:O,14,0)+VLOOKUP(D875,'Species Codes'!B:P,15,0)*(((E875*2.54)/100)^2)*(I875*0.3048)))))*0.0011023),0)</f>
        <v>#N/A</v>
      </c>
      <c r="AD875" s="104" t="e">
        <f t="shared" si="409"/>
        <v>#N/A</v>
      </c>
      <c r="AE875" s="104" t="e">
        <f t="shared" si="410"/>
        <v>#N/A</v>
      </c>
      <c r="AF875" s="104" t="e">
        <f>IF(AND(VLOOKUP($D875,Merchantability!$B:$C,2,0)="Yes",$E875&gt;=VLOOKUP($D875,Merchantability!$B:$D,3,0),$E875&lt;=VLOOKUP($D875,Merchantability!$B:$E,4,0)),AA875,0)</f>
        <v>#N/A</v>
      </c>
      <c r="AG875" s="104" t="e">
        <f>IF(AND(VLOOKUP($D875,Merchantability!$B:$C,2,0)="Yes",$E875&gt;=VLOOKUP($D875,Merchantability!$B:$D,3,0),$E875&lt;=VLOOKUP($D875,Merchantability!$B:$E,4,0)),AB875,0)</f>
        <v>#N/A</v>
      </c>
      <c r="AH875" s="104" t="e">
        <f>IF(AND(VLOOKUP($D875,Merchantability!$B:$C,2,0)="Yes",$E875&gt;=VLOOKUP($D875,Merchantability!$B:$D,3,0),$E875&lt;=VLOOKUP($D875,Merchantability!$B:$E,4,0)),AC875,0)</f>
        <v>#N/A</v>
      </c>
      <c r="AI875" s="104" t="e">
        <f t="shared" si="411"/>
        <v>#N/A</v>
      </c>
      <c r="AJ875" s="104" t="e">
        <f t="shared" si="412"/>
        <v>#VALUE!</v>
      </c>
      <c r="AK875" s="104" t="e">
        <f t="shared" si="413"/>
        <v>#N/A</v>
      </c>
      <c r="AL875" s="104" t="e">
        <f t="shared" si="414"/>
        <v>#N/A</v>
      </c>
      <c r="AM875" s="104" t="e">
        <f t="shared" si="415"/>
        <v>#N/A</v>
      </c>
      <c r="AN875" s="104" t="e">
        <f t="shared" si="399"/>
        <v>#N/A</v>
      </c>
      <c r="AO875" s="104" t="e">
        <f t="shared" si="400"/>
        <v>#N/A</v>
      </c>
      <c r="AP875" s="104" t="e">
        <f t="shared" si="401"/>
        <v>#N/A</v>
      </c>
      <c r="AQ875" s="104" t="e">
        <f t="shared" si="402"/>
        <v>#N/A</v>
      </c>
      <c r="AR875" s="105" t="str">
        <f t="shared" si="394"/>
        <v/>
      </c>
      <c r="AS875" s="105" t="str">
        <f t="shared" si="395"/>
        <v/>
      </c>
      <c r="AT875" s="108" t="str">
        <f t="shared" si="396"/>
        <v/>
      </c>
      <c r="AU875" s="108" t="str">
        <f t="shared" si="397"/>
        <v/>
      </c>
      <c r="AV875" s="107" t="str">
        <f>IF(ISNUMBER(O875),IF(VLOOKUP($A875,Stand!C:J,8,FALSE)="Short",AT875,AU875),"")</f>
        <v/>
      </c>
      <c r="AW875" s="109" t="str">
        <f t="shared" si="403"/>
        <v/>
      </c>
      <c r="AX875" s="109" t="str">
        <f t="shared" si="404"/>
        <v/>
      </c>
      <c r="AY875" s="112" t="str">
        <f>IF(ISNUMBER(O875),IF(AND(VLOOKUP($D875,Merchantability!$B:$C,2,0)="Yes",$E875&gt;=VLOOKUP($D875,Merchantability!$B:$D,3,0),$E875&lt;=VLOOKUP($D875,Merchantability!$B:$E,4,0)),(AV875*O875)*(1-$H875/100),""),"")</f>
        <v/>
      </c>
      <c r="AZ875" s="116"/>
      <c r="BA875" s="116"/>
      <c r="BB875" s="116"/>
      <c r="BE875" s="62"/>
      <c r="BF875" s="63"/>
    </row>
    <row r="876" spans="1:58" ht="12.75" customHeight="1" x14ac:dyDescent="0.25">
      <c r="A876" s="313"/>
      <c r="B876" s="328"/>
      <c r="C876" s="329"/>
      <c r="D876" s="328"/>
      <c r="E876" s="330"/>
      <c r="F876" s="328"/>
      <c r="G876" s="329"/>
      <c r="H876" s="329"/>
      <c r="I876" s="328"/>
      <c r="J876" s="383"/>
      <c r="K876" s="329"/>
      <c r="L876" s="329"/>
      <c r="M876" s="76"/>
      <c r="N876" s="103" t="str">
        <f>IF(A876="","",VLOOKUP(A876,Stand!C:K,9,0))</f>
        <v/>
      </c>
      <c r="O876" s="104" t="str">
        <f t="shared" si="389"/>
        <v/>
      </c>
      <c r="P876" s="105" t="str">
        <f t="shared" si="390"/>
        <v/>
      </c>
      <c r="Q876" s="105" t="str">
        <f t="shared" si="405"/>
        <v/>
      </c>
      <c r="R876" s="103" t="str">
        <f t="shared" si="391"/>
        <v/>
      </c>
      <c r="S876" s="103" t="str">
        <f t="shared" si="392"/>
        <v/>
      </c>
      <c r="T876" s="106" t="str">
        <f t="shared" si="406"/>
        <v/>
      </c>
      <c r="U876" s="106" t="str">
        <f t="shared" si="407"/>
        <v/>
      </c>
      <c r="V876" s="106" t="str">
        <f t="shared" si="408"/>
        <v/>
      </c>
      <c r="W876" s="105" t="str">
        <f t="shared" si="393"/>
        <v/>
      </c>
      <c r="X876" s="104" t="str">
        <f t="shared" si="398"/>
        <v/>
      </c>
      <c r="Y876" s="104" t="str">
        <f t="array" ref="Y876">IFERROR(IF(ISNUMBER(O876),IF(COUNT(IF(A876=$A$2:$A$2427,IF(D876=$D$2:$D$2427,IF($X$2:$X$2427&gt;0,1))))&gt;0,SUM(IF(A876=$A$2:$A$2427,IF(D876=$D$2:$D$2427,$X$2:$X$2427)))/COUNT(IF(A876=$A$2:$A$2427,IF(D876=$D$2:$D$2427,IF(ISNUMBER($X$2:$X$2427),1)))),0),""),0)</f>
        <v/>
      </c>
      <c r="Z876" s="104" t="str">
        <f>IF(ISNUMBER(O876),IF(I876&gt;0,(10^(VLOOKUP(D876,'Species Codes'!B:C,2,0)+VLOOKUP(D876,'Species Codes'!B:D,3,0)*LOG(E876)+VLOOKUP(D876,'Species Codes'!B:E,4,0)*LOG(I876))),0),"")</f>
        <v/>
      </c>
      <c r="AA876" s="104" t="str">
        <f>IFERROR((VLOOKUP(D876,'Species Codes'!B:G,6,0)*Z876)/2000,"")</f>
        <v/>
      </c>
      <c r="AB876" s="104" t="e">
        <f>IF(Z876&gt;0,((IF(OR(D876="DF",D876="RA")=TRUE,EXP(VLOOKUP(D876,'Species Codes'!B:I,8,0)+VLOOKUP(D876,'Species Codes'!B:J,9,0)*(LN((E876*2.54)))),IF(OR(D876="PY",D876="RC",D876="WH",D876="NF")=TRUE,VLOOKUP(D876,'Species Codes'!B:I,8,0)+VLOOKUP(D876,'Species Codes'!B:J,9,0)*((E876*2.54)^2)*(I876*0.3048),IF(OR(D876="MD",D876="BM",D876="GA")=TRUE,((VLOOKUP(D876,'Species Codes'!B:I,8,0)*(((((E876*2.54)+VLOOKUP(D876,'Species Codes'!B:J,9,0))/VLOOKUP(D876,'Species Codes'!B:K,10,0))^VLOOKUP(D876,'Species Codes'!B:L,11,0))*((I876*0.3048)^VLOOKUP(D876,'Species Codes'!B:M,12,0))))-(VLOOKUP(D876,'Species Codes'!B:I,8,0)*((((E876*2.54)^VLOOKUP(D876,'Species Codes'!B:L,11,0))*((I876*0.3048)^VLOOKUP(D876,'Species Codes'!B:M,12,0))))))*35.3*VLOOKUP(D876,'Species Codes'!B:G,6,0)/2.2046,VLOOKUP(D876,'Species Codes'!B:I,8,0)+VLOOKUP(D876,'Species Codes'!B:J,9,0)*(((E876*2.54)/100)^2)*(I876*0.3048)))))*0.0011023),0)</f>
        <v>#N/A</v>
      </c>
      <c r="AC876" s="104" t="e">
        <f>IF(Z876&gt;0,((IF(OR(D876="RA",D876="OA",D876="OT",D876="UN",D876="PC"),EXP(VLOOKUP(D876,'Species Codes'!B:O,14,0)+VLOOKUP(D876,'Species Codes'!B:P,15,0)*LN((E876*2.54)))-EXP(VLOOKUP(D876,'Species Codes'!B:O,14,0)+VLOOKUP(D876,'Species Codes'!B:P,15,0)*LN((E876*2.54)))*(1/(VLOOKUP(D876,'Species Codes'!B:Q,16,0)+VLOOKUP(D876,'Species Codes'!B:R,17,0)*((E876*2.54)^VLOOKUP(D876,'Species Codes'!B:S,18,0)))),IF(OR(D876="BM",D876="MD",D876="OA"),EXP(VLOOKUP(D876,'Species Codes'!B:O,14,0)+VLOOKUP(D876,'Species Codes'!B:P,15,0)*LN((E876*2.54)))*(1-(1/(VLOOKUP(D876,'Species Codes'!B:Q,16,0)+VLOOKUP(D876,'Species Codes'!B:R,17,0)*((E876*2.54)^VLOOKUP(D876,'Species Codes'!B:S,18,0)))))/1000,IF(D876="DF",EXP(VLOOKUP(D876,'Species Codes'!B:O,14,0)+VLOOKUP(D876,'Species Codes'!B:P,15,0)*LN((E876*2.54))),VLOOKUP(D876,'Species Codes'!B:O,14,0)+VLOOKUP(D876,'Species Codes'!B:P,15,0)*(((E876*2.54)/100)^2)*(I876*0.3048)))))*0.0011023),0)</f>
        <v>#N/A</v>
      </c>
      <c r="AD876" s="104" t="e">
        <f t="shared" si="409"/>
        <v>#N/A</v>
      </c>
      <c r="AE876" s="104" t="e">
        <f t="shared" si="410"/>
        <v>#N/A</v>
      </c>
      <c r="AF876" s="104" t="e">
        <f>IF(AND(VLOOKUP($D876,Merchantability!$B:$C,2,0)="Yes",$E876&gt;=VLOOKUP($D876,Merchantability!$B:$D,3,0),$E876&lt;=VLOOKUP($D876,Merchantability!$B:$E,4,0)),AA876,0)</f>
        <v>#N/A</v>
      </c>
      <c r="AG876" s="104" t="e">
        <f>IF(AND(VLOOKUP($D876,Merchantability!$B:$C,2,0)="Yes",$E876&gt;=VLOOKUP($D876,Merchantability!$B:$D,3,0),$E876&lt;=VLOOKUP($D876,Merchantability!$B:$E,4,0)),AB876,0)</f>
        <v>#N/A</v>
      </c>
      <c r="AH876" s="104" t="e">
        <f>IF(AND(VLOOKUP($D876,Merchantability!$B:$C,2,0)="Yes",$E876&gt;=VLOOKUP($D876,Merchantability!$B:$D,3,0),$E876&lt;=VLOOKUP($D876,Merchantability!$B:$E,4,0)),AC876,0)</f>
        <v>#N/A</v>
      </c>
      <c r="AI876" s="104" t="e">
        <f t="shared" si="411"/>
        <v>#N/A</v>
      </c>
      <c r="AJ876" s="104" t="e">
        <f t="shared" si="412"/>
        <v>#VALUE!</v>
      </c>
      <c r="AK876" s="104" t="e">
        <f t="shared" si="413"/>
        <v>#N/A</v>
      </c>
      <c r="AL876" s="104" t="e">
        <f t="shared" si="414"/>
        <v>#N/A</v>
      </c>
      <c r="AM876" s="104" t="e">
        <f t="shared" si="415"/>
        <v>#N/A</v>
      </c>
      <c r="AN876" s="104" t="e">
        <f t="shared" si="399"/>
        <v>#N/A</v>
      </c>
      <c r="AO876" s="104" t="e">
        <f t="shared" si="400"/>
        <v>#N/A</v>
      </c>
      <c r="AP876" s="104" t="e">
        <f t="shared" si="401"/>
        <v>#N/A</v>
      </c>
      <c r="AQ876" s="104" t="e">
        <f t="shared" si="402"/>
        <v>#N/A</v>
      </c>
      <c r="AR876" s="105" t="str">
        <f t="shared" si="394"/>
        <v/>
      </c>
      <c r="AS876" s="105" t="str">
        <f t="shared" si="395"/>
        <v/>
      </c>
      <c r="AT876" s="108" t="str">
        <f t="shared" si="396"/>
        <v/>
      </c>
      <c r="AU876" s="108" t="str">
        <f t="shared" si="397"/>
        <v/>
      </c>
      <c r="AV876" s="107" t="str">
        <f>IF(ISNUMBER(O876),IF(VLOOKUP($A876,Stand!C:J,8,FALSE)="Short",AT876,AU876),"")</f>
        <v/>
      </c>
      <c r="AW876" s="109" t="str">
        <f t="shared" si="403"/>
        <v/>
      </c>
      <c r="AX876" s="109" t="str">
        <f t="shared" si="404"/>
        <v/>
      </c>
      <c r="AY876" s="112" t="str">
        <f>IF(ISNUMBER(O876),IF(AND(VLOOKUP($D876,Merchantability!$B:$C,2,0)="Yes",$E876&gt;=VLOOKUP($D876,Merchantability!$B:$D,3,0),$E876&lt;=VLOOKUP($D876,Merchantability!$B:$E,4,0)),(AV876*O876)*(1-$H876/100),""),"")</f>
        <v/>
      </c>
      <c r="AZ876" s="116"/>
      <c r="BA876" s="116"/>
      <c r="BB876" s="116"/>
      <c r="BE876" s="62"/>
      <c r="BF876" s="63"/>
    </row>
    <row r="877" spans="1:58" ht="12.75" customHeight="1" x14ac:dyDescent="0.25">
      <c r="A877" s="313"/>
      <c r="B877" s="328"/>
      <c r="C877" s="329"/>
      <c r="D877" s="328"/>
      <c r="E877" s="330"/>
      <c r="F877" s="328"/>
      <c r="G877" s="329"/>
      <c r="H877" s="329"/>
      <c r="I877" s="328"/>
      <c r="J877" s="383"/>
      <c r="K877" s="329"/>
      <c r="L877" s="329"/>
      <c r="M877" s="76"/>
      <c r="N877" s="103" t="str">
        <f>IF(A877="","",VLOOKUP(A877,Stand!C:K,9,0))</f>
        <v/>
      </c>
      <c r="O877" s="104" t="str">
        <f t="shared" si="389"/>
        <v/>
      </c>
      <c r="P877" s="105" t="str">
        <f t="shared" si="390"/>
        <v/>
      </c>
      <c r="Q877" s="105" t="str">
        <f t="shared" si="405"/>
        <v/>
      </c>
      <c r="R877" s="103" t="str">
        <f t="shared" si="391"/>
        <v/>
      </c>
      <c r="S877" s="103" t="str">
        <f t="shared" si="392"/>
        <v/>
      </c>
      <c r="T877" s="106" t="str">
        <f t="shared" si="406"/>
        <v/>
      </c>
      <c r="U877" s="106" t="str">
        <f t="shared" si="407"/>
        <v/>
      </c>
      <c r="V877" s="106" t="str">
        <f t="shared" si="408"/>
        <v/>
      </c>
      <c r="W877" s="105" t="str">
        <f t="shared" si="393"/>
        <v/>
      </c>
      <c r="X877" s="104" t="str">
        <f t="shared" si="398"/>
        <v/>
      </c>
      <c r="Y877" s="104" t="str">
        <f t="array" ref="Y877">IFERROR(IF(ISNUMBER(O877),IF(COUNT(IF(A877=$A$2:$A$2427,IF(D877=$D$2:$D$2427,IF($X$2:$X$2427&gt;0,1))))&gt;0,SUM(IF(A877=$A$2:$A$2427,IF(D877=$D$2:$D$2427,$X$2:$X$2427)))/COUNT(IF(A877=$A$2:$A$2427,IF(D877=$D$2:$D$2427,IF(ISNUMBER($X$2:$X$2427),1)))),0),""),0)</f>
        <v/>
      </c>
      <c r="Z877" s="104" t="str">
        <f>IF(ISNUMBER(O877),IF(I877&gt;0,(10^(VLOOKUP(D877,'Species Codes'!B:C,2,0)+VLOOKUP(D877,'Species Codes'!B:D,3,0)*LOG(E877)+VLOOKUP(D877,'Species Codes'!B:E,4,0)*LOG(I877))),0),"")</f>
        <v/>
      </c>
      <c r="AA877" s="104" t="str">
        <f>IFERROR((VLOOKUP(D877,'Species Codes'!B:G,6,0)*Z877)/2000,"")</f>
        <v/>
      </c>
      <c r="AB877" s="104" t="e">
        <f>IF(Z877&gt;0,((IF(OR(D877="DF",D877="RA")=TRUE,EXP(VLOOKUP(D877,'Species Codes'!B:I,8,0)+VLOOKUP(D877,'Species Codes'!B:J,9,0)*(LN((E877*2.54)))),IF(OR(D877="PY",D877="RC",D877="WH",D877="NF")=TRUE,VLOOKUP(D877,'Species Codes'!B:I,8,0)+VLOOKUP(D877,'Species Codes'!B:J,9,0)*((E877*2.54)^2)*(I877*0.3048),IF(OR(D877="MD",D877="BM",D877="GA")=TRUE,((VLOOKUP(D877,'Species Codes'!B:I,8,0)*(((((E877*2.54)+VLOOKUP(D877,'Species Codes'!B:J,9,0))/VLOOKUP(D877,'Species Codes'!B:K,10,0))^VLOOKUP(D877,'Species Codes'!B:L,11,0))*((I877*0.3048)^VLOOKUP(D877,'Species Codes'!B:M,12,0))))-(VLOOKUP(D877,'Species Codes'!B:I,8,0)*((((E877*2.54)^VLOOKUP(D877,'Species Codes'!B:L,11,0))*((I877*0.3048)^VLOOKUP(D877,'Species Codes'!B:M,12,0))))))*35.3*VLOOKUP(D877,'Species Codes'!B:G,6,0)/2.2046,VLOOKUP(D877,'Species Codes'!B:I,8,0)+VLOOKUP(D877,'Species Codes'!B:J,9,0)*(((E877*2.54)/100)^2)*(I877*0.3048)))))*0.0011023),0)</f>
        <v>#N/A</v>
      </c>
      <c r="AC877" s="104" t="e">
        <f>IF(Z877&gt;0,((IF(OR(D877="RA",D877="OA",D877="OT",D877="UN",D877="PC"),EXP(VLOOKUP(D877,'Species Codes'!B:O,14,0)+VLOOKUP(D877,'Species Codes'!B:P,15,0)*LN((E877*2.54)))-EXP(VLOOKUP(D877,'Species Codes'!B:O,14,0)+VLOOKUP(D877,'Species Codes'!B:P,15,0)*LN((E877*2.54)))*(1/(VLOOKUP(D877,'Species Codes'!B:Q,16,0)+VLOOKUP(D877,'Species Codes'!B:R,17,0)*((E877*2.54)^VLOOKUP(D877,'Species Codes'!B:S,18,0)))),IF(OR(D877="BM",D877="MD",D877="OA"),EXP(VLOOKUP(D877,'Species Codes'!B:O,14,0)+VLOOKUP(D877,'Species Codes'!B:P,15,0)*LN((E877*2.54)))*(1-(1/(VLOOKUP(D877,'Species Codes'!B:Q,16,0)+VLOOKUP(D877,'Species Codes'!B:R,17,0)*((E877*2.54)^VLOOKUP(D877,'Species Codes'!B:S,18,0)))))/1000,IF(D877="DF",EXP(VLOOKUP(D877,'Species Codes'!B:O,14,0)+VLOOKUP(D877,'Species Codes'!B:P,15,0)*LN((E877*2.54))),VLOOKUP(D877,'Species Codes'!B:O,14,0)+VLOOKUP(D877,'Species Codes'!B:P,15,0)*(((E877*2.54)/100)^2)*(I877*0.3048)))))*0.0011023),0)</f>
        <v>#N/A</v>
      </c>
      <c r="AD877" s="104" t="e">
        <f t="shared" si="409"/>
        <v>#N/A</v>
      </c>
      <c r="AE877" s="104" t="e">
        <f t="shared" si="410"/>
        <v>#N/A</v>
      </c>
      <c r="AF877" s="104" t="e">
        <f>IF(AND(VLOOKUP($D877,Merchantability!$B:$C,2,0)="Yes",$E877&gt;=VLOOKUP($D877,Merchantability!$B:$D,3,0),$E877&lt;=VLOOKUP($D877,Merchantability!$B:$E,4,0)),AA877,0)</f>
        <v>#N/A</v>
      </c>
      <c r="AG877" s="104" t="e">
        <f>IF(AND(VLOOKUP($D877,Merchantability!$B:$C,2,0)="Yes",$E877&gt;=VLOOKUP($D877,Merchantability!$B:$D,3,0),$E877&lt;=VLOOKUP($D877,Merchantability!$B:$E,4,0)),AB877,0)</f>
        <v>#N/A</v>
      </c>
      <c r="AH877" s="104" t="e">
        <f>IF(AND(VLOOKUP($D877,Merchantability!$B:$C,2,0)="Yes",$E877&gt;=VLOOKUP($D877,Merchantability!$B:$D,3,0),$E877&lt;=VLOOKUP($D877,Merchantability!$B:$E,4,0)),AC877,0)</f>
        <v>#N/A</v>
      </c>
      <c r="AI877" s="104" t="e">
        <f t="shared" si="411"/>
        <v>#N/A</v>
      </c>
      <c r="AJ877" s="104" t="e">
        <f t="shared" si="412"/>
        <v>#VALUE!</v>
      </c>
      <c r="AK877" s="104" t="e">
        <f t="shared" si="413"/>
        <v>#N/A</v>
      </c>
      <c r="AL877" s="104" t="e">
        <f t="shared" si="414"/>
        <v>#N/A</v>
      </c>
      <c r="AM877" s="104" t="e">
        <f t="shared" si="415"/>
        <v>#N/A</v>
      </c>
      <c r="AN877" s="104" t="e">
        <f t="shared" si="399"/>
        <v>#N/A</v>
      </c>
      <c r="AO877" s="104" t="e">
        <f t="shared" si="400"/>
        <v>#N/A</v>
      </c>
      <c r="AP877" s="104" t="e">
        <f t="shared" si="401"/>
        <v>#N/A</v>
      </c>
      <c r="AQ877" s="104" t="e">
        <f t="shared" si="402"/>
        <v>#N/A</v>
      </c>
      <c r="AR877" s="105" t="str">
        <f t="shared" si="394"/>
        <v/>
      </c>
      <c r="AS877" s="105" t="str">
        <f t="shared" si="395"/>
        <v/>
      </c>
      <c r="AT877" s="108" t="str">
        <f t="shared" si="396"/>
        <v/>
      </c>
      <c r="AU877" s="108" t="str">
        <f t="shared" si="397"/>
        <v/>
      </c>
      <c r="AV877" s="107" t="str">
        <f>IF(ISNUMBER(O877),IF(VLOOKUP($A877,Stand!C:J,8,FALSE)="Short",AT877,AU877),"")</f>
        <v/>
      </c>
      <c r="AW877" s="109" t="str">
        <f t="shared" si="403"/>
        <v/>
      </c>
      <c r="AX877" s="109" t="str">
        <f t="shared" si="404"/>
        <v/>
      </c>
      <c r="AY877" s="112" t="str">
        <f>IF(ISNUMBER(O877),IF(AND(VLOOKUP($D877,Merchantability!$B:$C,2,0)="Yes",$E877&gt;=VLOOKUP($D877,Merchantability!$B:$D,3,0),$E877&lt;=VLOOKUP($D877,Merchantability!$B:$E,4,0)),(AV877*O877)*(1-$H877/100),""),"")</f>
        <v/>
      </c>
      <c r="AZ877" s="116"/>
      <c r="BA877" s="116"/>
      <c r="BB877" s="116"/>
      <c r="BE877" s="62"/>
      <c r="BF877" s="63"/>
    </row>
    <row r="878" spans="1:58" ht="12.75" customHeight="1" x14ac:dyDescent="0.25">
      <c r="A878" s="313"/>
      <c r="B878" s="328"/>
      <c r="C878" s="329"/>
      <c r="D878" s="328"/>
      <c r="E878" s="330"/>
      <c r="F878" s="328"/>
      <c r="G878" s="329"/>
      <c r="H878" s="329"/>
      <c r="I878" s="328"/>
      <c r="J878" s="383"/>
      <c r="K878" s="329"/>
      <c r="L878" s="329"/>
      <c r="M878" s="76"/>
      <c r="N878" s="103" t="str">
        <f>IF(A878="","",VLOOKUP(A878,Stand!C:K,9,0))</f>
        <v/>
      </c>
      <c r="O878" s="104" t="str">
        <f t="shared" si="389"/>
        <v/>
      </c>
      <c r="P878" s="105" t="str">
        <f t="shared" si="390"/>
        <v/>
      </c>
      <c r="Q878" s="105" t="str">
        <f t="shared" si="405"/>
        <v/>
      </c>
      <c r="R878" s="103" t="str">
        <f t="shared" si="391"/>
        <v/>
      </c>
      <c r="S878" s="103" t="str">
        <f t="shared" si="392"/>
        <v/>
      </c>
      <c r="T878" s="106" t="str">
        <f t="shared" si="406"/>
        <v/>
      </c>
      <c r="U878" s="106" t="str">
        <f t="shared" si="407"/>
        <v/>
      </c>
      <c r="V878" s="106" t="str">
        <f t="shared" si="408"/>
        <v/>
      </c>
      <c r="W878" s="105" t="str">
        <f t="shared" si="393"/>
        <v/>
      </c>
      <c r="X878" s="104" t="str">
        <f t="shared" si="398"/>
        <v/>
      </c>
      <c r="Y878" s="104" t="str">
        <f t="array" ref="Y878">IFERROR(IF(ISNUMBER(O878),IF(COUNT(IF(A878=$A$2:$A$2427,IF(D878=$D$2:$D$2427,IF($X$2:$X$2427&gt;0,1))))&gt;0,SUM(IF(A878=$A$2:$A$2427,IF(D878=$D$2:$D$2427,$X$2:$X$2427)))/COUNT(IF(A878=$A$2:$A$2427,IF(D878=$D$2:$D$2427,IF(ISNUMBER($X$2:$X$2427),1)))),0),""),0)</f>
        <v/>
      </c>
      <c r="Z878" s="104" t="str">
        <f>IF(ISNUMBER(O878),IF(I878&gt;0,(10^(VLOOKUP(D878,'Species Codes'!B:C,2,0)+VLOOKUP(D878,'Species Codes'!B:D,3,0)*LOG(E878)+VLOOKUP(D878,'Species Codes'!B:E,4,0)*LOG(I878))),0),"")</f>
        <v/>
      </c>
      <c r="AA878" s="104" t="str">
        <f>IFERROR((VLOOKUP(D878,'Species Codes'!B:G,6,0)*Z878)/2000,"")</f>
        <v/>
      </c>
      <c r="AB878" s="104" t="e">
        <f>IF(Z878&gt;0,((IF(OR(D878="DF",D878="RA")=TRUE,EXP(VLOOKUP(D878,'Species Codes'!B:I,8,0)+VLOOKUP(D878,'Species Codes'!B:J,9,0)*(LN((E878*2.54)))),IF(OR(D878="PY",D878="RC",D878="WH",D878="NF")=TRUE,VLOOKUP(D878,'Species Codes'!B:I,8,0)+VLOOKUP(D878,'Species Codes'!B:J,9,0)*((E878*2.54)^2)*(I878*0.3048),IF(OR(D878="MD",D878="BM",D878="GA")=TRUE,((VLOOKUP(D878,'Species Codes'!B:I,8,0)*(((((E878*2.54)+VLOOKUP(D878,'Species Codes'!B:J,9,0))/VLOOKUP(D878,'Species Codes'!B:K,10,0))^VLOOKUP(D878,'Species Codes'!B:L,11,0))*((I878*0.3048)^VLOOKUP(D878,'Species Codes'!B:M,12,0))))-(VLOOKUP(D878,'Species Codes'!B:I,8,0)*((((E878*2.54)^VLOOKUP(D878,'Species Codes'!B:L,11,0))*((I878*0.3048)^VLOOKUP(D878,'Species Codes'!B:M,12,0))))))*35.3*VLOOKUP(D878,'Species Codes'!B:G,6,0)/2.2046,VLOOKUP(D878,'Species Codes'!B:I,8,0)+VLOOKUP(D878,'Species Codes'!B:J,9,0)*(((E878*2.54)/100)^2)*(I878*0.3048)))))*0.0011023),0)</f>
        <v>#N/A</v>
      </c>
      <c r="AC878" s="104" t="e">
        <f>IF(Z878&gt;0,((IF(OR(D878="RA",D878="OA",D878="OT",D878="UN",D878="PC"),EXP(VLOOKUP(D878,'Species Codes'!B:O,14,0)+VLOOKUP(D878,'Species Codes'!B:P,15,0)*LN((E878*2.54)))-EXP(VLOOKUP(D878,'Species Codes'!B:O,14,0)+VLOOKUP(D878,'Species Codes'!B:P,15,0)*LN((E878*2.54)))*(1/(VLOOKUP(D878,'Species Codes'!B:Q,16,0)+VLOOKUP(D878,'Species Codes'!B:R,17,0)*((E878*2.54)^VLOOKUP(D878,'Species Codes'!B:S,18,0)))),IF(OR(D878="BM",D878="MD",D878="OA"),EXP(VLOOKUP(D878,'Species Codes'!B:O,14,0)+VLOOKUP(D878,'Species Codes'!B:P,15,0)*LN((E878*2.54)))*(1-(1/(VLOOKUP(D878,'Species Codes'!B:Q,16,0)+VLOOKUP(D878,'Species Codes'!B:R,17,0)*((E878*2.54)^VLOOKUP(D878,'Species Codes'!B:S,18,0)))))/1000,IF(D878="DF",EXP(VLOOKUP(D878,'Species Codes'!B:O,14,0)+VLOOKUP(D878,'Species Codes'!B:P,15,0)*LN((E878*2.54))),VLOOKUP(D878,'Species Codes'!B:O,14,0)+VLOOKUP(D878,'Species Codes'!B:P,15,0)*(((E878*2.54)/100)^2)*(I878*0.3048)))))*0.0011023),0)</f>
        <v>#N/A</v>
      </c>
      <c r="AD878" s="104" t="e">
        <f t="shared" si="409"/>
        <v>#N/A</v>
      </c>
      <c r="AE878" s="104" t="e">
        <f t="shared" si="410"/>
        <v>#N/A</v>
      </c>
      <c r="AF878" s="104" t="e">
        <f>IF(AND(VLOOKUP($D878,Merchantability!$B:$C,2,0)="Yes",$E878&gt;=VLOOKUP($D878,Merchantability!$B:$D,3,0),$E878&lt;=VLOOKUP($D878,Merchantability!$B:$E,4,0)),AA878,0)</f>
        <v>#N/A</v>
      </c>
      <c r="AG878" s="104" t="e">
        <f>IF(AND(VLOOKUP($D878,Merchantability!$B:$C,2,0)="Yes",$E878&gt;=VLOOKUP($D878,Merchantability!$B:$D,3,0),$E878&lt;=VLOOKUP($D878,Merchantability!$B:$E,4,0)),AB878,0)</f>
        <v>#N/A</v>
      </c>
      <c r="AH878" s="104" t="e">
        <f>IF(AND(VLOOKUP($D878,Merchantability!$B:$C,2,0)="Yes",$E878&gt;=VLOOKUP($D878,Merchantability!$B:$D,3,0),$E878&lt;=VLOOKUP($D878,Merchantability!$B:$E,4,0)),AC878,0)</f>
        <v>#N/A</v>
      </c>
      <c r="AI878" s="104" t="e">
        <f t="shared" si="411"/>
        <v>#N/A</v>
      </c>
      <c r="AJ878" s="104" t="e">
        <f t="shared" si="412"/>
        <v>#VALUE!</v>
      </c>
      <c r="AK878" s="104" t="e">
        <f t="shared" si="413"/>
        <v>#N/A</v>
      </c>
      <c r="AL878" s="104" t="e">
        <f t="shared" si="414"/>
        <v>#N/A</v>
      </c>
      <c r="AM878" s="104" t="e">
        <f t="shared" si="415"/>
        <v>#N/A</v>
      </c>
      <c r="AN878" s="104" t="e">
        <f t="shared" si="399"/>
        <v>#N/A</v>
      </c>
      <c r="AO878" s="104" t="e">
        <f t="shared" si="400"/>
        <v>#N/A</v>
      </c>
      <c r="AP878" s="104" t="e">
        <f t="shared" si="401"/>
        <v>#N/A</v>
      </c>
      <c r="AQ878" s="104" t="e">
        <f t="shared" si="402"/>
        <v>#N/A</v>
      </c>
      <c r="AR878" s="105" t="str">
        <f t="shared" si="394"/>
        <v/>
      </c>
      <c r="AS878" s="105" t="str">
        <f t="shared" si="395"/>
        <v/>
      </c>
      <c r="AT878" s="108" t="str">
        <f t="shared" si="396"/>
        <v/>
      </c>
      <c r="AU878" s="108" t="str">
        <f t="shared" si="397"/>
        <v/>
      </c>
      <c r="AV878" s="107" t="str">
        <f>IF(ISNUMBER(O878),IF(VLOOKUP($A878,Stand!C:J,8,FALSE)="Short",AT878,AU878),"")</f>
        <v/>
      </c>
      <c r="AW878" s="109" t="str">
        <f t="shared" si="403"/>
        <v/>
      </c>
      <c r="AX878" s="109" t="str">
        <f t="shared" si="404"/>
        <v/>
      </c>
      <c r="AY878" s="112" t="str">
        <f>IF(ISNUMBER(O878),IF(AND(VLOOKUP($D878,Merchantability!$B:$C,2,0)="Yes",$E878&gt;=VLOOKUP($D878,Merchantability!$B:$D,3,0),$E878&lt;=VLOOKUP($D878,Merchantability!$B:$E,4,0)),(AV878*O878)*(1-$H878/100),""),"")</f>
        <v/>
      </c>
      <c r="AZ878" s="116"/>
      <c r="BA878" s="116"/>
      <c r="BB878" s="116"/>
      <c r="BE878" s="62"/>
      <c r="BF878" s="63"/>
    </row>
    <row r="879" spans="1:58" ht="12.75" customHeight="1" x14ac:dyDescent="0.25">
      <c r="A879" s="313"/>
      <c r="B879" s="328"/>
      <c r="C879" s="329"/>
      <c r="D879" s="328"/>
      <c r="E879" s="330"/>
      <c r="F879" s="328"/>
      <c r="G879" s="329"/>
      <c r="H879" s="329"/>
      <c r="I879" s="328"/>
      <c r="J879" s="383"/>
      <c r="K879" s="329"/>
      <c r="L879" s="329"/>
      <c r="M879" s="76"/>
      <c r="N879" s="103" t="str">
        <f>IF(A879="","",VLOOKUP(A879,Stand!C:K,9,0))</f>
        <v/>
      </c>
      <c r="O879" s="104" t="str">
        <f t="shared" si="389"/>
        <v/>
      </c>
      <c r="P879" s="105" t="str">
        <f t="shared" si="390"/>
        <v/>
      </c>
      <c r="Q879" s="105" t="str">
        <f t="shared" si="405"/>
        <v/>
      </c>
      <c r="R879" s="103" t="str">
        <f t="shared" si="391"/>
        <v/>
      </c>
      <c r="S879" s="103" t="str">
        <f t="shared" si="392"/>
        <v/>
      </c>
      <c r="T879" s="106" t="str">
        <f t="shared" si="406"/>
        <v/>
      </c>
      <c r="U879" s="106" t="str">
        <f t="shared" si="407"/>
        <v/>
      </c>
      <c r="V879" s="106" t="str">
        <f t="shared" si="408"/>
        <v/>
      </c>
      <c r="W879" s="105" t="str">
        <f t="shared" si="393"/>
        <v/>
      </c>
      <c r="X879" s="104" t="str">
        <f t="shared" si="398"/>
        <v/>
      </c>
      <c r="Y879" s="104" t="str">
        <f t="array" ref="Y879">IFERROR(IF(ISNUMBER(O879),IF(COUNT(IF(A879=$A$2:$A$2427,IF(D879=$D$2:$D$2427,IF($X$2:$X$2427&gt;0,1))))&gt;0,SUM(IF(A879=$A$2:$A$2427,IF(D879=$D$2:$D$2427,$X$2:$X$2427)))/COUNT(IF(A879=$A$2:$A$2427,IF(D879=$D$2:$D$2427,IF(ISNUMBER($X$2:$X$2427),1)))),0),""),0)</f>
        <v/>
      </c>
      <c r="Z879" s="104" t="str">
        <f>IF(ISNUMBER(O879),IF(I879&gt;0,(10^(VLOOKUP(D879,'Species Codes'!B:C,2,0)+VLOOKUP(D879,'Species Codes'!B:D,3,0)*LOG(E879)+VLOOKUP(D879,'Species Codes'!B:E,4,0)*LOG(I879))),0),"")</f>
        <v/>
      </c>
      <c r="AA879" s="104" t="str">
        <f>IFERROR((VLOOKUP(D879,'Species Codes'!B:G,6,0)*Z879)/2000,"")</f>
        <v/>
      </c>
      <c r="AB879" s="104" t="e">
        <f>IF(Z879&gt;0,((IF(OR(D879="DF",D879="RA")=TRUE,EXP(VLOOKUP(D879,'Species Codes'!B:I,8,0)+VLOOKUP(D879,'Species Codes'!B:J,9,0)*(LN((E879*2.54)))),IF(OR(D879="PY",D879="RC",D879="WH",D879="NF")=TRUE,VLOOKUP(D879,'Species Codes'!B:I,8,0)+VLOOKUP(D879,'Species Codes'!B:J,9,0)*((E879*2.54)^2)*(I879*0.3048),IF(OR(D879="MD",D879="BM",D879="GA")=TRUE,((VLOOKUP(D879,'Species Codes'!B:I,8,0)*(((((E879*2.54)+VLOOKUP(D879,'Species Codes'!B:J,9,0))/VLOOKUP(D879,'Species Codes'!B:K,10,0))^VLOOKUP(D879,'Species Codes'!B:L,11,0))*((I879*0.3048)^VLOOKUP(D879,'Species Codes'!B:M,12,0))))-(VLOOKUP(D879,'Species Codes'!B:I,8,0)*((((E879*2.54)^VLOOKUP(D879,'Species Codes'!B:L,11,0))*((I879*0.3048)^VLOOKUP(D879,'Species Codes'!B:M,12,0))))))*35.3*VLOOKUP(D879,'Species Codes'!B:G,6,0)/2.2046,VLOOKUP(D879,'Species Codes'!B:I,8,0)+VLOOKUP(D879,'Species Codes'!B:J,9,0)*(((E879*2.54)/100)^2)*(I879*0.3048)))))*0.0011023),0)</f>
        <v>#N/A</v>
      </c>
      <c r="AC879" s="104" t="e">
        <f>IF(Z879&gt;0,((IF(OR(D879="RA",D879="OA",D879="OT",D879="UN",D879="PC"),EXP(VLOOKUP(D879,'Species Codes'!B:O,14,0)+VLOOKUP(D879,'Species Codes'!B:P,15,0)*LN((E879*2.54)))-EXP(VLOOKUP(D879,'Species Codes'!B:O,14,0)+VLOOKUP(D879,'Species Codes'!B:P,15,0)*LN((E879*2.54)))*(1/(VLOOKUP(D879,'Species Codes'!B:Q,16,0)+VLOOKUP(D879,'Species Codes'!B:R,17,0)*((E879*2.54)^VLOOKUP(D879,'Species Codes'!B:S,18,0)))),IF(OR(D879="BM",D879="MD",D879="OA"),EXP(VLOOKUP(D879,'Species Codes'!B:O,14,0)+VLOOKUP(D879,'Species Codes'!B:P,15,0)*LN((E879*2.54)))*(1-(1/(VLOOKUP(D879,'Species Codes'!B:Q,16,0)+VLOOKUP(D879,'Species Codes'!B:R,17,0)*((E879*2.54)^VLOOKUP(D879,'Species Codes'!B:S,18,0)))))/1000,IF(D879="DF",EXP(VLOOKUP(D879,'Species Codes'!B:O,14,0)+VLOOKUP(D879,'Species Codes'!B:P,15,0)*LN((E879*2.54))),VLOOKUP(D879,'Species Codes'!B:O,14,0)+VLOOKUP(D879,'Species Codes'!B:P,15,0)*(((E879*2.54)/100)^2)*(I879*0.3048)))))*0.0011023),0)</f>
        <v>#N/A</v>
      </c>
      <c r="AD879" s="104" t="e">
        <f t="shared" si="409"/>
        <v>#N/A</v>
      </c>
      <c r="AE879" s="104" t="e">
        <f t="shared" si="410"/>
        <v>#N/A</v>
      </c>
      <c r="AF879" s="104" t="e">
        <f>IF(AND(VLOOKUP($D879,Merchantability!$B:$C,2,0)="Yes",$E879&gt;=VLOOKUP($D879,Merchantability!$B:$D,3,0),$E879&lt;=VLOOKUP($D879,Merchantability!$B:$E,4,0)),AA879,0)</f>
        <v>#N/A</v>
      </c>
      <c r="AG879" s="104" t="e">
        <f>IF(AND(VLOOKUP($D879,Merchantability!$B:$C,2,0)="Yes",$E879&gt;=VLOOKUP($D879,Merchantability!$B:$D,3,0),$E879&lt;=VLOOKUP($D879,Merchantability!$B:$E,4,0)),AB879,0)</f>
        <v>#N/A</v>
      </c>
      <c r="AH879" s="104" t="e">
        <f>IF(AND(VLOOKUP($D879,Merchantability!$B:$C,2,0)="Yes",$E879&gt;=VLOOKUP($D879,Merchantability!$B:$D,3,0),$E879&lt;=VLOOKUP($D879,Merchantability!$B:$E,4,0)),AC879,0)</f>
        <v>#N/A</v>
      </c>
      <c r="AI879" s="104" t="e">
        <f t="shared" si="411"/>
        <v>#N/A</v>
      </c>
      <c r="AJ879" s="104" t="e">
        <f t="shared" si="412"/>
        <v>#VALUE!</v>
      </c>
      <c r="AK879" s="104" t="e">
        <f t="shared" si="413"/>
        <v>#N/A</v>
      </c>
      <c r="AL879" s="104" t="e">
        <f t="shared" si="414"/>
        <v>#N/A</v>
      </c>
      <c r="AM879" s="104" t="e">
        <f t="shared" si="415"/>
        <v>#N/A</v>
      </c>
      <c r="AN879" s="104" t="e">
        <f t="shared" si="399"/>
        <v>#N/A</v>
      </c>
      <c r="AO879" s="104" t="e">
        <f t="shared" si="400"/>
        <v>#N/A</v>
      </c>
      <c r="AP879" s="104" t="e">
        <f t="shared" si="401"/>
        <v>#N/A</v>
      </c>
      <c r="AQ879" s="104" t="e">
        <f t="shared" si="402"/>
        <v>#N/A</v>
      </c>
      <c r="AR879" s="105" t="str">
        <f t="shared" si="394"/>
        <v/>
      </c>
      <c r="AS879" s="105" t="str">
        <f t="shared" si="395"/>
        <v/>
      </c>
      <c r="AT879" s="108" t="str">
        <f t="shared" si="396"/>
        <v/>
      </c>
      <c r="AU879" s="108" t="str">
        <f t="shared" si="397"/>
        <v/>
      </c>
      <c r="AV879" s="107" t="str">
        <f>IF(ISNUMBER(O879),IF(VLOOKUP($A879,Stand!C:J,8,FALSE)="Short",AT879,AU879),"")</f>
        <v/>
      </c>
      <c r="AW879" s="109" t="str">
        <f t="shared" si="403"/>
        <v/>
      </c>
      <c r="AX879" s="109" t="str">
        <f t="shared" si="404"/>
        <v/>
      </c>
      <c r="AY879" s="112" t="str">
        <f>IF(ISNUMBER(O879),IF(AND(VLOOKUP($D879,Merchantability!$B:$C,2,0)="Yes",$E879&gt;=VLOOKUP($D879,Merchantability!$B:$D,3,0),$E879&lt;=VLOOKUP($D879,Merchantability!$B:$E,4,0)),(AV879*O879)*(1-$H879/100),""),"")</f>
        <v/>
      </c>
      <c r="AZ879" s="116"/>
      <c r="BA879" s="116"/>
      <c r="BB879" s="116"/>
      <c r="BE879" s="62"/>
      <c r="BF879" s="63"/>
    </row>
    <row r="880" spans="1:58" ht="12.75" customHeight="1" x14ac:dyDescent="0.25">
      <c r="A880" s="313"/>
      <c r="B880" s="328"/>
      <c r="C880" s="329"/>
      <c r="D880" s="328"/>
      <c r="E880" s="330"/>
      <c r="F880" s="328"/>
      <c r="G880" s="329"/>
      <c r="H880" s="329"/>
      <c r="I880" s="328"/>
      <c r="J880" s="383"/>
      <c r="K880" s="329"/>
      <c r="L880" s="329"/>
      <c r="M880" s="76"/>
      <c r="N880" s="103" t="str">
        <f>IF(A880="","",VLOOKUP(A880,Stand!C:K,9,0))</f>
        <v/>
      </c>
      <c r="O880" s="104" t="str">
        <f t="shared" si="389"/>
        <v/>
      </c>
      <c r="P880" s="105" t="str">
        <f t="shared" si="390"/>
        <v/>
      </c>
      <c r="Q880" s="105" t="str">
        <f t="shared" si="405"/>
        <v/>
      </c>
      <c r="R880" s="103" t="str">
        <f t="shared" si="391"/>
        <v/>
      </c>
      <c r="S880" s="103" t="str">
        <f t="shared" si="392"/>
        <v/>
      </c>
      <c r="T880" s="106" t="str">
        <f t="shared" si="406"/>
        <v/>
      </c>
      <c r="U880" s="106" t="str">
        <f t="shared" si="407"/>
        <v/>
      </c>
      <c r="V880" s="106" t="str">
        <f t="shared" si="408"/>
        <v/>
      </c>
      <c r="W880" s="105" t="str">
        <f t="shared" si="393"/>
        <v/>
      </c>
      <c r="X880" s="104" t="str">
        <f t="shared" si="398"/>
        <v/>
      </c>
      <c r="Y880" s="104" t="str">
        <f t="array" ref="Y880">IFERROR(IF(ISNUMBER(O880),IF(COUNT(IF(A880=$A$2:$A$2427,IF(D880=$D$2:$D$2427,IF($X$2:$X$2427&gt;0,1))))&gt;0,SUM(IF(A880=$A$2:$A$2427,IF(D880=$D$2:$D$2427,$X$2:$X$2427)))/COUNT(IF(A880=$A$2:$A$2427,IF(D880=$D$2:$D$2427,IF(ISNUMBER($X$2:$X$2427),1)))),0),""),0)</f>
        <v/>
      </c>
      <c r="Z880" s="104" t="str">
        <f>IF(ISNUMBER(O880),IF(I880&gt;0,(10^(VLOOKUP(D880,'Species Codes'!B:C,2,0)+VLOOKUP(D880,'Species Codes'!B:D,3,0)*LOG(E880)+VLOOKUP(D880,'Species Codes'!B:E,4,0)*LOG(I880))),0),"")</f>
        <v/>
      </c>
      <c r="AA880" s="104" t="str">
        <f>IFERROR((VLOOKUP(D880,'Species Codes'!B:G,6,0)*Z880)/2000,"")</f>
        <v/>
      </c>
      <c r="AB880" s="104" t="e">
        <f>IF(Z880&gt;0,((IF(OR(D880="DF",D880="RA")=TRUE,EXP(VLOOKUP(D880,'Species Codes'!B:I,8,0)+VLOOKUP(D880,'Species Codes'!B:J,9,0)*(LN((E880*2.54)))),IF(OR(D880="PY",D880="RC",D880="WH",D880="NF")=TRUE,VLOOKUP(D880,'Species Codes'!B:I,8,0)+VLOOKUP(D880,'Species Codes'!B:J,9,0)*((E880*2.54)^2)*(I880*0.3048),IF(OR(D880="MD",D880="BM",D880="GA")=TRUE,((VLOOKUP(D880,'Species Codes'!B:I,8,0)*(((((E880*2.54)+VLOOKUP(D880,'Species Codes'!B:J,9,0))/VLOOKUP(D880,'Species Codes'!B:K,10,0))^VLOOKUP(D880,'Species Codes'!B:L,11,0))*((I880*0.3048)^VLOOKUP(D880,'Species Codes'!B:M,12,0))))-(VLOOKUP(D880,'Species Codes'!B:I,8,0)*((((E880*2.54)^VLOOKUP(D880,'Species Codes'!B:L,11,0))*((I880*0.3048)^VLOOKUP(D880,'Species Codes'!B:M,12,0))))))*35.3*VLOOKUP(D880,'Species Codes'!B:G,6,0)/2.2046,VLOOKUP(D880,'Species Codes'!B:I,8,0)+VLOOKUP(D880,'Species Codes'!B:J,9,0)*(((E880*2.54)/100)^2)*(I880*0.3048)))))*0.0011023),0)</f>
        <v>#N/A</v>
      </c>
      <c r="AC880" s="104" t="e">
        <f>IF(Z880&gt;0,((IF(OR(D880="RA",D880="OA",D880="OT",D880="UN",D880="PC"),EXP(VLOOKUP(D880,'Species Codes'!B:O,14,0)+VLOOKUP(D880,'Species Codes'!B:P,15,0)*LN((E880*2.54)))-EXP(VLOOKUP(D880,'Species Codes'!B:O,14,0)+VLOOKUP(D880,'Species Codes'!B:P,15,0)*LN((E880*2.54)))*(1/(VLOOKUP(D880,'Species Codes'!B:Q,16,0)+VLOOKUP(D880,'Species Codes'!B:R,17,0)*((E880*2.54)^VLOOKUP(D880,'Species Codes'!B:S,18,0)))),IF(OR(D880="BM",D880="MD",D880="OA"),EXP(VLOOKUP(D880,'Species Codes'!B:O,14,0)+VLOOKUP(D880,'Species Codes'!B:P,15,0)*LN((E880*2.54)))*(1-(1/(VLOOKUP(D880,'Species Codes'!B:Q,16,0)+VLOOKUP(D880,'Species Codes'!B:R,17,0)*((E880*2.54)^VLOOKUP(D880,'Species Codes'!B:S,18,0)))))/1000,IF(D880="DF",EXP(VLOOKUP(D880,'Species Codes'!B:O,14,0)+VLOOKUP(D880,'Species Codes'!B:P,15,0)*LN((E880*2.54))),VLOOKUP(D880,'Species Codes'!B:O,14,0)+VLOOKUP(D880,'Species Codes'!B:P,15,0)*(((E880*2.54)/100)^2)*(I880*0.3048)))))*0.0011023),0)</f>
        <v>#N/A</v>
      </c>
      <c r="AD880" s="104" t="e">
        <f t="shared" si="409"/>
        <v>#N/A</v>
      </c>
      <c r="AE880" s="104" t="e">
        <f t="shared" si="410"/>
        <v>#N/A</v>
      </c>
      <c r="AF880" s="104" t="e">
        <f>IF(AND(VLOOKUP($D880,Merchantability!$B:$C,2,0)="Yes",$E880&gt;=VLOOKUP($D880,Merchantability!$B:$D,3,0),$E880&lt;=VLOOKUP($D880,Merchantability!$B:$E,4,0)),AA880,0)</f>
        <v>#N/A</v>
      </c>
      <c r="AG880" s="104" t="e">
        <f>IF(AND(VLOOKUP($D880,Merchantability!$B:$C,2,0)="Yes",$E880&gt;=VLOOKUP($D880,Merchantability!$B:$D,3,0),$E880&lt;=VLOOKUP($D880,Merchantability!$B:$E,4,0)),AB880,0)</f>
        <v>#N/A</v>
      </c>
      <c r="AH880" s="104" t="e">
        <f>IF(AND(VLOOKUP($D880,Merchantability!$B:$C,2,0)="Yes",$E880&gt;=VLOOKUP($D880,Merchantability!$B:$D,3,0),$E880&lt;=VLOOKUP($D880,Merchantability!$B:$E,4,0)),AC880,0)</f>
        <v>#N/A</v>
      </c>
      <c r="AI880" s="104" t="e">
        <f t="shared" si="411"/>
        <v>#N/A</v>
      </c>
      <c r="AJ880" s="104" t="e">
        <f t="shared" si="412"/>
        <v>#VALUE!</v>
      </c>
      <c r="AK880" s="104" t="e">
        <f t="shared" si="413"/>
        <v>#N/A</v>
      </c>
      <c r="AL880" s="104" t="e">
        <f t="shared" si="414"/>
        <v>#N/A</v>
      </c>
      <c r="AM880" s="104" t="e">
        <f t="shared" si="415"/>
        <v>#N/A</v>
      </c>
      <c r="AN880" s="104" t="e">
        <f t="shared" si="399"/>
        <v>#N/A</v>
      </c>
      <c r="AO880" s="104" t="e">
        <f t="shared" si="400"/>
        <v>#N/A</v>
      </c>
      <c r="AP880" s="104" t="e">
        <f t="shared" si="401"/>
        <v>#N/A</v>
      </c>
      <c r="AQ880" s="104" t="e">
        <f t="shared" si="402"/>
        <v>#N/A</v>
      </c>
      <c r="AR880" s="105" t="str">
        <f t="shared" si="394"/>
        <v/>
      </c>
      <c r="AS880" s="105" t="str">
        <f t="shared" si="395"/>
        <v/>
      </c>
      <c r="AT880" s="108" t="str">
        <f t="shared" si="396"/>
        <v/>
      </c>
      <c r="AU880" s="108" t="str">
        <f t="shared" si="397"/>
        <v/>
      </c>
      <c r="AV880" s="107" t="str">
        <f>IF(ISNUMBER(O880),IF(VLOOKUP($A880,Stand!C:J,8,FALSE)="Short",AT880,AU880),"")</f>
        <v/>
      </c>
      <c r="AW880" s="109" t="str">
        <f t="shared" si="403"/>
        <v/>
      </c>
      <c r="AX880" s="109" t="str">
        <f t="shared" si="404"/>
        <v/>
      </c>
      <c r="AY880" s="112" t="str">
        <f>IF(ISNUMBER(O880),IF(AND(VLOOKUP($D880,Merchantability!$B:$C,2,0)="Yes",$E880&gt;=VLOOKUP($D880,Merchantability!$B:$D,3,0),$E880&lt;=VLOOKUP($D880,Merchantability!$B:$E,4,0)),(AV880*O880)*(1-$H880/100),""),"")</f>
        <v/>
      </c>
      <c r="AZ880" s="116"/>
      <c r="BA880" s="116"/>
      <c r="BB880" s="116"/>
      <c r="BE880" s="62"/>
      <c r="BF880" s="63"/>
    </row>
    <row r="881" spans="1:58" ht="12.75" customHeight="1" x14ac:dyDescent="0.25">
      <c r="A881" s="313"/>
      <c r="B881" s="328"/>
      <c r="C881" s="329"/>
      <c r="D881" s="328"/>
      <c r="E881" s="330"/>
      <c r="F881" s="328"/>
      <c r="G881" s="329"/>
      <c r="H881" s="329"/>
      <c r="I881" s="328"/>
      <c r="J881" s="383"/>
      <c r="K881" s="329"/>
      <c r="L881" s="329"/>
      <c r="M881" s="76"/>
      <c r="N881" s="103" t="str">
        <f>IF(A881="","",VLOOKUP(A881,Stand!C:K,9,0))</f>
        <v/>
      </c>
      <c r="O881" s="104" t="str">
        <f t="shared" si="389"/>
        <v/>
      </c>
      <c r="P881" s="105" t="str">
        <f t="shared" si="390"/>
        <v/>
      </c>
      <c r="Q881" s="105" t="str">
        <f t="shared" si="405"/>
        <v/>
      </c>
      <c r="R881" s="103" t="str">
        <f t="shared" si="391"/>
        <v/>
      </c>
      <c r="S881" s="103" t="str">
        <f t="shared" si="392"/>
        <v/>
      </c>
      <c r="T881" s="106" t="str">
        <f t="shared" si="406"/>
        <v/>
      </c>
      <c r="U881" s="106" t="str">
        <f t="shared" si="407"/>
        <v/>
      </c>
      <c r="V881" s="106" t="str">
        <f t="shared" si="408"/>
        <v/>
      </c>
      <c r="W881" s="105" t="str">
        <f t="shared" si="393"/>
        <v/>
      </c>
      <c r="X881" s="104" t="str">
        <f t="shared" si="398"/>
        <v/>
      </c>
      <c r="Y881" s="104" t="str">
        <f t="array" ref="Y881">IFERROR(IF(ISNUMBER(O881),IF(COUNT(IF(A881=$A$2:$A$2427,IF(D881=$D$2:$D$2427,IF($X$2:$X$2427&gt;0,1))))&gt;0,SUM(IF(A881=$A$2:$A$2427,IF(D881=$D$2:$D$2427,$X$2:$X$2427)))/COUNT(IF(A881=$A$2:$A$2427,IF(D881=$D$2:$D$2427,IF(ISNUMBER($X$2:$X$2427),1)))),0),""),0)</f>
        <v/>
      </c>
      <c r="Z881" s="104" t="str">
        <f>IF(ISNUMBER(O881),IF(I881&gt;0,(10^(VLOOKUP(D881,'Species Codes'!B:C,2,0)+VLOOKUP(D881,'Species Codes'!B:D,3,0)*LOG(E881)+VLOOKUP(D881,'Species Codes'!B:E,4,0)*LOG(I881))),0),"")</f>
        <v/>
      </c>
      <c r="AA881" s="104" t="str">
        <f>IFERROR((VLOOKUP(D881,'Species Codes'!B:G,6,0)*Z881)/2000,"")</f>
        <v/>
      </c>
      <c r="AB881" s="104" t="e">
        <f>IF(Z881&gt;0,((IF(OR(D881="DF",D881="RA")=TRUE,EXP(VLOOKUP(D881,'Species Codes'!B:I,8,0)+VLOOKUP(D881,'Species Codes'!B:J,9,0)*(LN((E881*2.54)))),IF(OR(D881="PY",D881="RC",D881="WH",D881="NF")=TRUE,VLOOKUP(D881,'Species Codes'!B:I,8,0)+VLOOKUP(D881,'Species Codes'!B:J,9,0)*((E881*2.54)^2)*(I881*0.3048),IF(OR(D881="MD",D881="BM",D881="GA")=TRUE,((VLOOKUP(D881,'Species Codes'!B:I,8,0)*(((((E881*2.54)+VLOOKUP(D881,'Species Codes'!B:J,9,0))/VLOOKUP(D881,'Species Codes'!B:K,10,0))^VLOOKUP(D881,'Species Codes'!B:L,11,0))*((I881*0.3048)^VLOOKUP(D881,'Species Codes'!B:M,12,0))))-(VLOOKUP(D881,'Species Codes'!B:I,8,0)*((((E881*2.54)^VLOOKUP(D881,'Species Codes'!B:L,11,0))*((I881*0.3048)^VLOOKUP(D881,'Species Codes'!B:M,12,0))))))*35.3*VLOOKUP(D881,'Species Codes'!B:G,6,0)/2.2046,VLOOKUP(D881,'Species Codes'!B:I,8,0)+VLOOKUP(D881,'Species Codes'!B:J,9,0)*(((E881*2.54)/100)^2)*(I881*0.3048)))))*0.0011023),0)</f>
        <v>#N/A</v>
      </c>
      <c r="AC881" s="104" t="e">
        <f>IF(Z881&gt;0,((IF(OR(D881="RA",D881="OA",D881="OT",D881="UN",D881="PC"),EXP(VLOOKUP(D881,'Species Codes'!B:O,14,0)+VLOOKUP(D881,'Species Codes'!B:P,15,0)*LN((E881*2.54)))-EXP(VLOOKUP(D881,'Species Codes'!B:O,14,0)+VLOOKUP(D881,'Species Codes'!B:P,15,0)*LN((E881*2.54)))*(1/(VLOOKUP(D881,'Species Codes'!B:Q,16,0)+VLOOKUP(D881,'Species Codes'!B:R,17,0)*((E881*2.54)^VLOOKUP(D881,'Species Codes'!B:S,18,0)))),IF(OR(D881="BM",D881="MD",D881="OA"),EXP(VLOOKUP(D881,'Species Codes'!B:O,14,0)+VLOOKUP(D881,'Species Codes'!B:P,15,0)*LN((E881*2.54)))*(1-(1/(VLOOKUP(D881,'Species Codes'!B:Q,16,0)+VLOOKUP(D881,'Species Codes'!B:R,17,0)*((E881*2.54)^VLOOKUP(D881,'Species Codes'!B:S,18,0)))))/1000,IF(D881="DF",EXP(VLOOKUP(D881,'Species Codes'!B:O,14,0)+VLOOKUP(D881,'Species Codes'!B:P,15,0)*LN((E881*2.54))),VLOOKUP(D881,'Species Codes'!B:O,14,0)+VLOOKUP(D881,'Species Codes'!B:P,15,0)*(((E881*2.54)/100)^2)*(I881*0.3048)))))*0.0011023),0)</f>
        <v>#N/A</v>
      </c>
      <c r="AD881" s="104" t="e">
        <f t="shared" si="409"/>
        <v>#N/A</v>
      </c>
      <c r="AE881" s="104" t="e">
        <f t="shared" si="410"/>
        <v>#N/A</v>
      </c>
      <c r="AF881" s="104" t="e">
        <f>IF(AND(VLOOKUP($D881,Merchantability!$B:$C,2,0)="Yes",$E881&gt;=VLOOKUP($D881,Merchantability!$B:$D,3,0),$E881&lt;=VLOOKUP($D881,Merchantability!$B:$E,4,0)),AA881,0)</f>
        <v>#N/A</v>
      </c>
      <c r="AG881" s="104" t="e">
        <f>IF(AND(VLOOKUP($D881,Merchantability!$B:$C,2,0)="Yes",$E881&gt;=VLOOKUP($D881,Merchantability!$B:$D,3,0),$E881&lt;=VLOOKUP($D881,Merchantability!$B:$E,4,0)),AB881,0)</f>
        <v>#N/A</v>
      </c>
      <c r="AH881" s="104" t="e">
        <f>IF(AND(VLOOKUP($D881,Merchantability!$B:$C,2,0)="Yes",$E881&gt;=VLOOKUP($D881,Merchantability!$B:$D,3,0),$E881&lt;=VLOOKUP($D881,Merchantability!$B:$E,4,0)),AC881,0)</f>
        <v>#N/A</v>
      </c>
      <c r="AI881" s="104" t="e">
        <f t="shared" si="411"/>
        <v>#N/A</v>
      </c>
      <c r="AJ881" s="104" t="e">
        <f t="shared" si="412"/>
        <v>#VALUE!</v>
      </c>
      <c r="AK881" s="104" t="e">
        <f t="shared" si="413"/>
        <v>#N/A</v>
      </c>
      <c r="AL881" s="104" t="e">
        <f t="shared" si="414"/>
        <v>#N/A</v>
      </c>
      <c r="AM881" s="104" t="e">
        <f t="shared" si="415"/>
        <v>#N/A</v>
      </c>
      <c r="AN881" s="104" t="e">
        <f t="shared" si="399"/>
        <v>#N/A</v>
      </c>
      <c r="AO881" s="104" t="e">
        <f t="shared" si="400"/>
        <v>#N/A</v>
      </c>
      <c r="AP881" s="104" t="e">
        <f t="shared" si="401"/>
        <v>#N/A</v>
      </c>
      <c r="AQ881" s="104" t="e">
        <f t="shared" si="402"/>
        <v>#N/A</v>
      </c>
      <c r="AR881" s="105" t="str">
        <f t="shared" si="394"/>
        <v/>
      </c>
      <c r="AS881" s="105" t="str">
        <f t="shared" si="395"/>
        <v/>
      </c>
      <c r="AT881" s="108" t="str">
        <f t="shared" si="396"/>
        <v/>
      </c>
      <c r="AU881" s="108" t="str">
        <f t="shared" si="397"/>
        <v/>
      </c>
      <c r="AV881" s="107" t="str">
        <f>IF(ISNUMBER(O881),IF(VLOOKUP($A881,Stand!C:J,8,FALSE)="Short",AT881,AU881),"")</f>
        <v/>
      </c>
      <c r="AW881" s="109" t="str">
        <f t="shared" si="403"/>
        <v/>
      </c>
      <c r="AX881" s="109" t="str">
        <f t="shared" si="404"/>
        <v/>
      </c>
      <c r="AY881" s="112" t="str">
        <f>IF(ISNUMBER(O881),IF(AND(VLOOKUP($D881,Merchantability!$B:$C,2,0)="Yes",$E881&gt;=VLOOKUP($D881,Merchantability!$B:$D,3,0),$E881&lt;=VLOOKUP($D881,Merchantability!$B:$E,4,0)),(AV881*O881)*(1-$H881/100),""),"")</f>
        <v/>
      </c>
      <c r="AZ881" s="116"/>
      <c r="BA881" s="116"/>
      <c r="BB881" s="116"/>
      <c r="BE881" s="62"/>
      <c r="BF881" s="63"/>
    </row>
    <row r="882" spans="1:58" ht="12.75" customHeight="1" x14ac:dyDescent="0.25">
      <c r="A882" s="313"/>
      <c r="B882" s="328"/>
      <c r="C882" s="329"/>
      <c r="D882" s="328"/>
      <c r="E882" s="330"/>
      <c r="F882" s="328"/>
      <c r="G882" s="329"/>
      <c r="H882" s="329"/>
      <c r="I882" s="328"/>
      <c r="J882" s="383"/>
      <c r="K882" s="329"/>
      <c r="L882" s="329"/>
      <c r="M882" s="76"/>
      <c r="N882" s="103" t="str">
        <f>IF(A882="","",VLOOKUP(A882,Stand!C:K,9,0))</f>
        <v/>
      </c>
      <c r="O882" s="104" t="str">
        <f t="shared" si="389"/>
        <v/>
      </c>
      <c r="P882" s="105" t="str">
        <f t="shared" si="390"/>
        <v/>
      </c>
      <c r="Q882" s="105" t="str">
        <f t="shared" si="405"/>
        <v/>
      </c>
      <c r="R882" s="103" t="str">
        <f t="shared" si="391"/>
        <v/>
      </c>
      <c r="S882" s="103" t="str">
        <f t="shared" si="392"/>
        <v/>
      </c>
      <c r="T882" s="106" t="str">
        <f t="shared" si="406"/>
        <v/>
      </c>
      <c r="U882" s="106" t="str">
        <f t="shared" si="407"/>
        <v/>
      </c>
      <c r="V882" s="106" t="str">
        <f t="shared" si="408"/>
        <v/>
      </c>
      <c r="W882" s="105" t="str">
        <f t="shared" si="393"/>
        <v/>
      </c>
      <c r="X882" s="104" t="str">
        <f t="shared" si="398"/>
        <v/>
      </c>
      <c r="Y882" s="104" t="str">
        <f t="array" ref="Y882">IFERROR(IF(ISNUMBER(O882),IF(COUNT(IF(A882=$A$2:$A$2427,IF(D882=$D$2:$D$2427,IF($X$2:$X$2427&gt;0,1))))&gt;0,SUM(IF(A882=$A$2:$A$2427,IF(D882=$D$2:$D$2427,$X$2:$X$2427)))/COUNT(IF(A882=$A$2:$A$2427,IF(D882=$D$2:$D$2427,IF(ISNUMBER($X$2:$X$2427),1)))),0),""),0)</f>
        <v/>
      </c>
      <c r="Z882" s="104" t="str">
        <f>IF(ISNUMBER(O882),IF(I882&gt;0,(10^(VLOOKUP(D882,'Species Codes'!B:C,2,0)+VLOOKUP(D882,'Species Codes'!B:D,3,0)*LOG(E882)+VLOOKUP(D882,'Species Codes'!B:E,4,0)*LOG(I882))),0),"")</f>
        <v/>
      </c>
      <c r="AA882" s="104" t="str">
        <f>IFERROR((VLOOKUP(D882,'Species Codes'!B:G,6,0)*Z882)/2000,"")</f>
        <v/>
      </c>
      <c r="AB882" s="104" t="e">
        <f>IF(Z882&gt;0,((IF(OR(D882="DF",D882="RA")=TRUE,EXP(VLOOKUP(D882,'Species Codes'!B:I,8,0)+VLOOKUP(D882,'Species Codes'!B:J,9,0)*(LN((E882*2.54)))),IF(OR(D882="PY",D882="RC",D882="WH",D882="NF")=TRUE,VLOOKUP(D882,'Species Codes'!B:I,8,0)+VLOOKUP(D882,'Species Codes'!B:J,9,0)*((E882*2.54)^2)*(I882*0.3048),IF(OR(D882="MD",D882="BM",D882="GA")=TRUE,((VLOOKUP(D882,'Species Codes'!B:I,8,0)*(((((E882*2.54)+VLOOKUP(D882,'Species Codes'!B:J,9,0))/VLOOKUP(D882,'Species Codes'!B:K,10,0))^VLOOKUP(D882,'Species Codes'!B:L,11,0))*((I882*0.3048)^VLOOKUP(D882,'Species Codes'!B:M,12,0))))-(VLOOKUP(D882,'Species Codes'!B:I,8,0)*((((E882*2.54)^VLOOKUP(D882,'Species Codes'!B:L,11,0))*((I882*0.3048)^VLOOKUP(D882,'Species Codes'!B:M,12,0))))))*35.3*VLOOKUP(D882,'Species Codes'!B:G,6,0)/2.2046,VLOOKUP(D882,'Species Codes'!B:I,8,0)+VLOOKUP(D882,'Species Codes'!B:J,9,0)*(((E882*2.54)/100)^2)*(I882*0.3048)))))*0.0011023),0)</f>
        <v>#N/A</v>
      </c>
      <c r="AC882" s="104" t="e">
        <f>IF(Z882&gt;0,((IF(OR(D882="RA",D882="OA",D882="OT",D882="UN",D882="PC"),EXP(VLOOKUP(D882,'Species Codes'!B:O,14,0)+VLOOKUP(D882,'Species Codes'!B:P,15,0)*LN((E882*2.54)))-EXP(VLOOKUP(D882,'Species Codes'!B:O,14,0)+VLOOKUP(D882,'Species Codes'!B:P,15,0)*LN((E882*2.54)))*(1/(VLOOKUP(D882,'Species Codes'!B:Q,16,0)+VLOOKUP(D882,'Species Codes'!B:R,17,0)*((E882*2.54)^VLOOKUP(D882,'Species Codes'!B:S,18,0)))),IF(OR(D882="BM",D882="MD",D882="OA"),EXP(VLOOKUP(D882,'Species Codes'!B:O,14,0)+VLOOKUP(D882,'Species Codes'!B:P,15,0)*LN((E882*2.54)))*(1-(1/(VLOOKUP(D882,'Species Codes'!B:Q,16,0)+VLOOKUP(D882,'Species Codes'!B:R,17,0)*((E882*2.54)^VLOOKUP(D882,'Species Codes'!B:S,18,0)))))/1000,IF(D882="DF",EXP(VLOOKUP(D882,'Species Codes'!B:O,14,0)+VLOOKUP(D882,'Species Codes'!B:P,15,0)*LN((E882*2.54))),VLOOKUP(D882,'Species Codes'!B:O,14,0)+VLOOKUP(D882,'Species Codes'!B:P,15,0)*(((E882*2.54)/100)^2)*(I882*0.3048)))))*0.0011023),0)</f>
        <v>#N/A</v>
      </c>
      <c r="AD882" s="104" t="e">
        <f t="shared" si="409"/>
        <v>#N/A</v>
      </c>
      <c r="AE882" s="104" t="e">
        <f t="shared" si="410"/>
        <v>#N/A</v>
      </c>
      <c r="AF882" s="104" t="e">
        <f>IF(AND(VLOOKUP($D882,Merchantability!$B:$C,2,0)="Yes",$E882&gt;=VLOOKUP($D882,Merchantability!$B:$D,3,0),$E882&lt;=VLOOKUP($D882,Merchantability!$B:$E,4,0)),AA882,0)</f>
        <v>#N/A</v>
      </c>
      <c r="AG882" s="104" t="e">
        <f>IF(AND(VLOOKUP($D882,Merchantability!$B:$C,2,0)="Yes",$E882&gt;=VLOOKUP($D882,Merchantability!$B:$D,3,0),$E882&lt;=VLOOKUP($D882,Merchantability!$B:$E,4,0)),AB882,0)</f>
        <v>#N/A</v>
      </c>
      <c r="AH882" s="104" t="e">
        <f>IF(AND(VLOOKUP($D882,Merchantability!$B:$C,2,0)="Yes",$E882&gt;=VLOOKUP($D882,Merchantability!$B:$D,3,0),$E882&lt;=VLOOKUP($D882,Merchantability!$B:$E,4,0)),AC882,0)</f>
        <v>#N/A</v>
      </c>
      <c r="AI882" s="104" t="e">
        <f t="shared" si="411"/>
        <v>#N/A</v>
      </c>
      <c r="AJ882" s="104" t="e">
        <f t="shared" si="412"/>
        <v>#VALUE!</v>
      </c>
      <c r="AK882" s="104" t="e">
        <f t="shared" si="413"/>
        <v>#N/A</v>
      </c>
      <c r="AL882" s="104" t="e">
        <f t="shared" si="414"/>
        <v>#N/A</v>
      </c>
      <c r="AM882" s="104" t="e">
        <f t="shared" si="415"/>
        <v>#N/A</v>
      </c>
      <c r="AN882" s="104" t="e">
        <f t="shared" si="399"/>
        <v>#N/A</v>
      </c>
      <c r="AO882" s="104" t="e">
        <f t="shared" si="400"/>
        <v>#N/A</v>
      </c>
      <c r="AP882" s="104" t="e">
        <f t="shared" si="401"/>
        <v>#N/A</v>
      </c>
      <c r="AQ882" s="104" t="e">
        <f t="shared" si="402"/>
        <v>#N/A</v>
      </c>
      <c r="AR882" s="105" t="str">
        <f t="shared" si="394"/>
        <v/>
      </c>
      <c r="AS882" s="105" t="str">
        <f t="shared" si="395"/>
        <v/>
      </c>
      <c r="AT882" s="108" t="str">
        <f t="shared" si="396"/>
        <v/>
      </c>
      <c r="AU882" s="108" t="str">
        <f t="shared" si="397"/>
        <v/>
      </c>
      <c r="AV882" s="107" t="str">
        <f>IF(ISNUMBER(O882),IF(VLOOKUP($A882,Stand!C:J,8,FALSE)="Short",AT882,AU882),"")</f>
        <v/>
      </c>
      <c r="AW882" s="109" t="str">
        <f t="shared" si="403"/>
        <v/>
      </c>
      <c r="AX882" s="109" t="str">
        <f t="shared" si="404"/>
        <v/>
      </c>
      <c r="AY882" s="112" t="str">
        <f>IF(ISNUMBER(O882),IF(AND(VLOOKUP($D882,Merchantability!$B:$C,2,0)="Yes",$E882&gt;=VLOOKUP($D882,Merchantability!$B:$D,3,0),$E882&lt;=VLOOKUP($D882,Merchantability!$B:$E,4,0)),(AV882*O882)*(1-$H882/100),""),"")</f>
        <v/>
      </c>
      <c r="AZ882" s="116"/>
      <c r="BA882" s="116"/>
      <c r="BB882" s="116"/>
      <c r="BE882" s="62"/>
      <c r="BF882" s="63"/>
    </row>
    <row r="883" spans="1:58" ht="12.75" customHeight="1" x14ac:dyDescent="0.25">
      <c r="A883" s="313"/>
      <c r="B883" s="328"/>
      <c r="C883" s="329"/>
      <c r="D883" s="328"/>
      <c r="E883" s="330"/>
      <c r="F883" s="328"/>
      <c r="G883" s="329"/>
      <c r="H883" s="329"/>
      <c r="I883" s="328"/>
      <c r="J883" s="383"/>
      <c r="K883" s="329"/>
      <c r="L883" s="329"/>
      <c r="M883" s="76"/>
      <c r="N883" s="103" t="str">
        <f>IF(A883="","",VLOOKUP(A883,Stand!C:K,9,0))</f>
        <v/>
      </c>
      <c r="O883" s="104" t="str">
        <f t="shared" si="389"/>
        <v/>
      </c>
      <c r="P883" s="105" t="str">
        <f t="shared" si="390"/>
        <v/>
      </c>
      <c r="Q883" s="105" t="str">
        <f t="shared" si="405"/>
        <v/>
      </c>
      <c r="R883" s="103" t="str">
        <f t="shared" si="391"/>
        <v/>
      </c>
      <c r="S883" s="103" t="str">
        <f t="shared" si="392"/>
        <v/>
      </c>
      <c r="T883" s="106" t="str">
        <f t="shared" si="406"/>
        <v/>
      </c>
      <c r="U883" s="106" t="str">
        <f t="shared" si="407"/>
        <v/>
      </c>
      <c r="V883" s="106" t="str">
        <f t="shared" si="408"/>
        <v/>
      </c>
      <c r="W883" s="105" t="str">
        <f t="shared" si="393"/>
        <v/>
      </c>
      <c r="X883" s="104" t="str">
        <f t="shared" si="398"/>
        <v/>
      </c>
      <c r="Y883" s="104" t="str">
        <f t="array" ref="Y883">IFERROR(IF(ISNUMBER(O883),IF(COUNT(IF(A883=$A$2:$A$2427,IF(D883=$D$2:$D$2427,IF($X$2:$X$2427&gt;0,1))))&gt;0,SUM(IF(A883=$A$2:$A$2427,IF(D883=$D$2:$D$2427,$X$2:$X$2427)))/COUNT(IF(A883=$A$2:$A$2427,IF(D883=$D$2:$D$2427,IF(ISNUMBER($X$2:$X$2427),1)))),0),""),0)</f>
        <v/>
      </c>
      <c r="Z883" s="104" t="str">
        <f>IF(ISNUMBER(O883),IF(I883&gt;0,(10^(VLOOKUP(D883,'Species Codes'!B:C,2,0)+VLOOKUP(D883,'Species Codes'!B:D,3,0)*LOG(E883)+VLOOKUP(D883,'Species Codes'!B:E,4,0)*LOG(I883))),0),"")</f>
        <v/>
      </c>
      <c r="AA883" s="104" t="str">
        <f>IFERROR((VLOOKUP(D883,'Species Codes'!B:G,6,0)*Z883)/2000,"")</f>
        <v/>
      </c>
      <c r="AB883" s="104" t="e">
        <f>IF(Z883&gt;0,((IF(OR(D883="DF",D883="RA")=TRUE,EXP(VLOOKUP(D883,'Species Codes'!B:I,8,0)+VLOOKUP(D883,'Species Codes'!B:J,9,0)*(LN((E883*2.54)))),IF(OR(D883="PY",D883="RC",D883="WH",D883="NF")=TRUE,VLOOKUP(D883,'Species Codes'!B:I,8,0)+VLOOKUP(D883,'Species Codes'!B:J,9,0)*((E883*2.54)^2)*(I883*0.3048),IF(OR(D883="MD",D883="BM",D883="GA")=TRUE,((VLOOKUP(D883,'Species Codes'!B:I,8,0)*(((((E883*2.54)+VLOOKUP(D883,'Species Codes'!B:J,9,0))/VLOOKUP(D883,'Species Codes'!B:K,10,0))^VLOOKUP(D883,'Species Codes'!B:L,11,0))*((I883*0.3048)^VLOOKUP(D883,'Species Codes'!B:M,12,0))))-(VLOOKUP(D883,'Species Codes'!B:I,8,0)*((((E883*2.54)^VLOOKUP(D883,'Species Codes'!B:L,11,0))*((I883*0.3048)^VLOOKUP(D883,'Species Codes'!B:M,12,0))))))*35.3*VLOOKUP(D883,'Species Codes'!B:G,6,0)/2.2046,VLOOKUP(D883,'Species Codes'!B:I,8,0)+VLOOKUP(D883,'Species Codes'!B:J,9,0)*(((E883*2.54)/100)^2)*(I883*0.3048)))))*0.0011023),0)</f>
        <v>#N/A</v>
      </c>
      <c r="AC883" s="104" t="e">
        <f>IF(Z883&gt;0,((IF(OR(D883="RA",D883="OA",D883="OT",D883="UN",D883="PC"),EXP(VLOOKUP(D883,'Species Codes'!B:O,14,0)+VLOOKUP(D883,'Species Codes'!B:P,15,0)*LN((E883*2.54)))-EXP(VLOOKUP(D883,'Species Codes'!B:O,14,0)+VLOOKUP(D883,'Species Codes'!B:P,15,0)*LN((E883*2.54)))*(1/(VLOOKUP(D883,'Species Codes'!B:Q,16,0)+VLOOKUP(D883,'Species Codes'!B:R,17,0)*((E883*2.54)^VLOOKUP(D883,'Species Codes'!B:S,18,0)))),IF(OR(D883="BM",D883="MD",D883="OA"),EXP(VLOOKUP(D883,'Species Codes'!B:O,14,0)+VLOOKUP(D883,'Species Codes'!B:P,15,0)*LN((E883*2.54)))*(1-(1/(VLOOKUP(D883,'Species Codes'!B:Q,16,0)+VLOOKUP(D883,'Species Codes'!B:R,17,0)*((E883*2.54)^VLOOKUP(D883,'Species Codes'!B:S,18,0)))))/1000,IF(D883="DF",EXP(VLOOKUP(D883,'Species Codes'!B:O,14,0)+VLOOKUP(D883,'Species Codes'!B:P,15,0)*LN((E883*2.54))),VLOOKUP(D883,'Species Codes'!B:O,14,0)+VLOOKUP(D883,'Species Codes'!B:P,15,0)*(((E883*2.54)/100)^2)*(I883*0.3048)))))*0.0011023),0)</f>
        <v>#N/A</v>
      </c>
      <c r="AD883" s="104" t="e">
        <f t="shared" si="409"/>
        <v>#N/A</v>
      </c>
      <c r="AE883" s="104" t="e">
        <f t="shared" si="410"/>
        <v>#N/A</v>
      </c>
      <c r="AF883" s="104" t="e">
        <f>IF(AND(VLOOKUP($D883,Merchantability!$B:$C,2,0)="Yes",$E883&gt;=VLOOKUP($D883,Merchantability!$B:$D,3,0),$E883&lt;=VLOOKUP($D883,Merchantability!$B:$E,4,0)),AA883,0)</f>
        <v>#N/A</v>
      </c>
      <c r="AG883" s="104" t="e">
        <f>IF(AND(VLOOKUP($D883,Merchantability!$B:$C,2,0)="Yes",$E883&gt;=VLOOKUP($D883,Merchantability!$B:$D,3,0),$E883&lt;=VLOOKUP($D883,Merchantability!$B:$E,4,0)),AB883,0)</f>
        <v>#N/A</v>
      </c>
      <c r="AH883" s="104" t="e">
        <f>IF(AND(VLOOKUP($D883,Merchantability!$B:$C,2,0)="Yes",$E883&gt;=VLOOKUP($D883,Merchantability!$B:$D,3,0),$E883&lt;=VLOOKUP($D883,Merchantability!$B:$E,4,0)),AC883,0)</f>
        <v>#N/A</v>
      </c>
      <c r="AI883" s="104" t="e">
        <f t="shared" si="411"/>
        <v>#N/A</v>
      </c>
      <c r="AJ883" s="104" t="e">
        <f t="shared" si="412"/>
        <v>#VALUE!</v>
      </c>
      <c r="AK883" s="104" t="e">
        <f t="shared" si="413"/>
        <v>#N/A</v>
      </c>
      <c r="AL883" s="104" t="e">
        <f t="shared" si="414"/>
        <v>#N/A</v>
      </c>
      <c r="AM883" s="104" t="e">
        <f t="shared" si="415"/>
        <v>#N/A</v>
      </c>
      <c r="AN883" s="104" t="e">
        <f t="shared" si="399"/>
        <v>#N/A</v>
      </c>
      <c r="AO883" s="104" t="e">
        <f t="shared" si="400"/>
        <v>#N/A</v>
      </c>
      <c r="AP883" s="104" t="e">
        <f t="shared" si="401"/>
        <v>#N/A</v>
      </c>
      <c r="AQ883" s="104" t="e">
        <f t="shared" si="402"/>
        <v>#N/A</v>
      </c>
      <c r="AR883" s="105" t="str">
        <f t="shared" si="394"/>
        <v/>
      </c>
      <c r="AS883" s="105" t="str">
        <f t="shared" si="395"/>
        <v/>
      </c>
      <c r="AT883" s="108" t="str">
        <f t="shared" si="396"/>
        <v/>
      </c>
      <c r="AU883" s="108" t="str">
        <f t="shared" si="397"/>
        <v/>
      </c>
      <c r="AV883" s="107" t="str">
        <f>IF(ISNUMBER(O883),IF(VLOOKUP($A883,Stand!C:J,8,FALSE)="Short",AT883,AU883),"")</f>
        <v/>
      </c>
      <c r="AW883" s="109" t="str">
        <f t="shared" si="403"/>
        <v/>
      </c>
      <c r="AX883" s="109" t="str">
        <f t="shared" si="404"/>
        <v/>
      </c>
      <c r="AY883" s="112" t="str">
        <f>IF(ISNUMBER(O883),IF(AND(VLOOKUP($D883,Merchantability!$B:$C,2,0)="Yes",$E883&gt;=VLOOKUP($D883,Merchantability!$B:$D,3,0),$E883&lt;=VLOOKUP($D883,Merchantability!$B:$E,4,0)),(AV883*O883)*(1-$H883/100),""),"")</f>
        <v/>
      </c>
      <c r="AZ883" s="116"/>
      <c r="BA883" s="116"/>
      <c r="BB883" s="116"/>
      <c r="BE883" s="62"/>
      <c r="BF883" s="63"/>
    </row>
    <row r="884" spans="1:58" ht="12.75" customHeight="1" x14ac:dyDescent="0.25">
      <c r="A884" s="313"/>
      <c r="B884" s="328"/>
      <c r="C884" s="329"/>
      <c r="D884" s="328"/>
      <c r="E884" s="330"/>
      <c r="F884" s="328"/>
      <c r="G884" s="329"/>
      <c r="H884" s="329"/>
      <c r="I884" s="328"/>
      <c r="J884" s="383"/>
      <c r="K884" s="329"/>
      <c r="L884" s="329"/>
      <c r="M884" s="76"/>
      <c r="N884" s="103" t="str">
        <f>IF(A884="","",VLOOKUP(A884,Stand!C:K,9,0))</f>
        <v/>
      </c>
      <c r="O884" s="104" t="str">
        <f t="shared" si="389"/>
        <v/>
      </c>
      <c r="P884" s="105" t="str">
        <f t="shared" si="390"/>
        <v/>
      </c>
      <c r="Q884" s="105" t="str">
        <f t="shared" si="405"/>
        <v/>
      </c>
      <c r="R884" s="103" t="str">
        <f t="shared" si="391"/>
        <v/>
      </c>
      <c r="S884" s="103" t="str">
        <f t="shared" si="392"/>
        <v/>
      </c>
      <c r="T884" s="106" t="str">
        <f t="shared" si="406"/>
        <v/>
      </c>
      <c r="U884" s="106" t="str">
        <f t="shared" si="407"/>
        <v/>
      </c>
      <c r="V884" s="106" t="str">
        <f t="shared" si="408"/>
        <v/>
      </c>
      <c r="W884" s="105" t="str">
        <f t="shared" si="393"/>
        <v/>
      </c>
      <c r="X884" s="104" t="str">
        <f t="shared" si="398"/>
        <v/>
      </c>
      <c r="Y884" s="104" t="str">
        <f t="array" ref="Y884">IFERROR(IF(ISNUMBER(O884),IF(COUNT(IF(A884=$A$2:$A$2427,IF(D884=$D$2:$D$2427,IF($X$2:$X$2427&gt;0,1))))&gt;0,SUM(IF(A884=$A$2:$A$2427,IF(D884=$D$2:$D$2427,$X$2:$X$2427)))/COUNT(IF(A884=$A$2:$A$2427,IF(D884=$D$2:$D$2427,IF(ISNUMBER($X$2:$X$2427),1)))),0),""),0)</f>
        <v/>
      </c>
      <c r="Z884" s="104" t="str">
        <f>IF(ISNUMBER(O884),IF(I884&gt;0,(10^(VLOOKUP(D884,'Species Codes'!B:C,2,0)+VLOOKUP(D884,'Species Codes'!B:D,3,0)*LOG(E884)+VLOOKUP(D884,'Species Codes'!B:E,4,0)*LOG(I884))),0),"")</f>
        <v/>
      </c>
      <c r="AA884" s="104" t="str">
        <f>IFERROR((VLOOKUP(D884,'Species Codes'!B:G,6,0)*Z884)/2000,"")</f>
        <v/>
      </c>
      <c r="AB884" s="104" t="e">
        <f>IF(Z884&gt;0,((IF(OR(D884="DF",D884="RA")=TRUE,EXP(VLOOKUP(D884,'Species Codes'!B:I,8,0)+VLOOKUP(D884,'Species Codes'!B:J,9,0)*(LN((E884*2.54)))),IF(OR(D884="PY",D884="RC",D884="WH",D884="NF")=TRUE,VLOOKUP(D884,'Species Codes'!B:I,8,0)+VLOOKUP(D884,'Species Codes'!B:J,9,0)*((E884*2.54)^2)*(I884*0.3048),IF(OR(D884="MD",D884="BM",D884="GA")=TRUE,((VLOOKUP(D884,'Species Codes'!B:I,8,0)*(((((E884*2.54)+VLOOKUP(D884,'Species Codes'!B:J,9,0))/VLOOKUP(D884,'Species Codes'!B:K,10,0))^VLOOKUP(D884,'Species Codes'!B:L,11,0))*((I884*0.3048)^VLOOKUP(D884,'Species Codes'!B:M,12,0))))-(VLOOKUP(D884,'Species Codes'!B:I,8,0)*((((E884*2.54)^VLOOKUP(D884,'Species Codes'!B:L,11,0))*((I884*0.3048)^VLOOKUP(D884,'Species Codes'!B:M,12,0))))))*35.3*VLOOKUP(D884,'Species Codes'!B:G,6,0)/2.2046,VLOOKUP(D884,'Species Codes'!B:I,8,0)+VLOOKUP(D884,'Species Codes'!B:J,9,0)*(((E884*2.54)/100)^2)*(I884*0.3048)))))*0.0011023),0)</f>
        <v>#N/A</v>
      </c>
      <c r="AC884" s="104" t="e">
        <f>IF(Z884&gt;0,((IF(OR(D884="RA",D884="OA",D884="OT",D884="UN",D884="PC"),EXP(VLOOKUP(D884,'Species Codes'!B:O,14,0)+VLOOKUP(D884,'Species Codes'!B:P,15,0)*LN((E884*2.54)))-EXP(VLOOKUP(D884,'Species Codes'!B:O,14,0)+VLOOKUP(D884,'Species Codes'!B:P,15,0)*LN((E884*2.54)))*(1/(VLOOKUP(D884,'Species Codes'!B:Q,16,0)+VLOOKUP(D884,'Species Codes'!B:R,17,0)*((E884*2.54)^VLOOKUP(D884,'Species Codes'!B:S,18,0)))),IF(OR(D884="BM",D884="MD",D884="OA"),EXP(VLOOKUP(D884,'Species Codes'!B:O,14,0)+VLOOKUP(D884,'Species Codes'!B:P,15,0)*LN((E884*2.54)))*(1-(1/(VLOOKUP(D884,'Species Codes'!B:Q,16,0)+VLOOKUP(D884,'Species Codes'!B:R,17,0)*((E884*2.54)^VLOOKUP(D884,'Species Codes'!B:S,18,0)))))/1000,IF(D884="DF",EXP(VLOOKUP(D884,'Species Codes'!B:O,14,0)+VLOOKUP(D884,'Species Codes'!B:P,15,0)*LN((E884*2.54))),VLOOKUP(D884,'Species Codes'!B:O,14,0)+VLOOKUP(D884,'Species Codes'!B:P,15,0)*(((E884*2.54)/100)^2)*(I884*0.3048)))))*0.0011023),0)</f>
        <v>#N/A</v>
      </c>
      <c r="AD884" s="104" t="e">
        <f t="shared" si="409"/>
        <v>#N/A</v>
      </c>
      <c r="AE884" s="104" t="e">
        <f t="shared" si="410"/>
        <v>#N/A</v>
      </c>
      <c r="AF884" s="104" t="e">
        <f>IF(AND(VLOOKUP($D884,Merchantability!$B:$C,2,0)="Yes",$E884&gt;=VLOOKUP($D884,Merchantability!$B:$D,3,0),$E884&lt;=VLOOKUP($D884,Merchantability!$B:$E,4,0)),AA884,0)</f>
        <v>#N/A</v>
      </c>
      <c r="AG884" s="104" t="e">
        <f>IF(AND(VLOOKUP($D884,Merchantability!$B:$C,2,0)="Yes",$E884&gt;=VLOOKUP($D884,Merchantability!$B:$D,3,0),$E884&lt;=VLOOKUP($D884,Merchantability!$B:$E,4,0)),AB884,0)</f>
        <v>#N/A</v>
      </c>
      <c r="AH884" s="104" t="e">
        <f>IF(AND(VLOOKUP($D884,Merchantability!$B:$C,2,0)="Yes",$E884&gt;=VLOOKUP($D884,Merchantability!$B:$D,3,0),$E884&lt;=VLOOKUP($D884,Merchantability!$B:$E,4,0)),AC884,0)</f>
        <v>#N/A</v>
      </c>
      <c r="AI884" s="104" t="e">
        <f t="shared" si="411"/>
        <v>#N/A</v>
      </c>
      <c r="AJ884" s="104" t="e">
        <f t="shared" si="412"/>
        <v>#VALUE!</v>
      </c>
      <c r="AK884" s="104" t="e">
        <f t="shared" si="413"/>
        <v>#N/A</v>
      </c>
      <c r="AL884" s="104" t="e">
        <f t="shared" si="414"/>
        <v>#N/A</v>
      </c>
      <c r="AM884" s="104" t="e">
        <f t="shared" si="415"/>
        <v>#N/A</v>
      </c>
      <c r="AN884" s="104" t="e">
        <f t="shared" si="399"/>
        <v>#N/A</v>
      </c>
      <c r="AO884" s="104" t="e">
        <f t="shared" si="400"/>
        <v>#N/A</v>
      </c>
      <c r="AP884" s="104" t="e">
        <f t="shared" si="401"/>
        <v>#N/A</v>
      </c>
      <c r="AQ884" s="104" t="e">
        <f t="shared" si="402"/>
        <v>#N/A</v>
      </c>
      <c r="AR884" s="105" t="str">
        <f t="shared" si="394"/>
        <v/>
      </c>
      <c r="AS884" s="105" t="str">
        <f t="shared" si="395"/>
        <v/>
      </c>
      <c r="AT884" s="108" t="str">
        <f t="shared" si="396"/>
        <v/>
      </c>
      <c r="AU884" s="108" t="str">
        <f t="shared" si="397"/>
        <v/>
      </c>
      <c r="AV884" s="107" t="str">
        <f>IF(ISNUMBER(O884),IF(VLOOKUP($A884,Stand!C:J,8,FALSE)="Short",AT884,AU884),"")</f>
        <v/>
      </c>
      <c r="AW884" s="109" t="str">
        <f t="shared" si="403"/>
        <v/>
      </c>
      <c r="AX884" s="109" t="str">
        <f t="shared" si="404"/>
        <v/>
      </c>
      <c r="AY884" s="112" t="str">
        <f>IF(ISNUMBER(O884),IF(AND(VLOOKUP($D884,Merchantability!$B:$C,2,0)="Yes",$E884&gt;=VLOOKUP($D884,Merchantability!$B:$D,3,0),$E884&lt;=VLOOKUP($D884,Merchantability!$B:$E,4,0)),(AV884*O884)*(1-$H884/100),""),"")</f>
        <v/>
      </c>
      <c r="AZ884" s="116"/>
      <c r="BA884" s="116"/>
      <c r="BB884" s="116"/>
      <c r="BE884" s="62"/>
      <c r="BF884" s="63"/>
    </row>
    <row r="885" spans="1:58" ht="12.75" customHeight="1" x14ac:dyDescent="0.25">
      <c r="A885" s="313"/>
      <c r="B885" s="328"/>
      <c r="C885" s="329"/>
      <c r="D885" s="328"/>
      <c r="E885" s="330"/>
      <c r="F885" s="328"/>
      <c r="G885" s="329"/>
      <c r="H885" s="329"/>
      <c r="I885" s="328"/>
      <c r="J885" s="383"/>
      <c r="K885" s="329"/>
      <c r="L885" s="329"/>
      <c r="M885" s="76"/>
      <c r="N885" s="103" t="str">
        <f>IF(A885="","",VLOOKUP(A885,Stand!C:K,9,0))</f>
        <v/>
      </c>
      <c r="O885" s="104" t="str">
        <f t="shared" si="389"/>
        <v/>
      </c>
      <c r="P885" s="105" t="str">
        <f t="shared" si="390"/>
        <v/>
      </c>
      <c r="Q885" s="105" t="str">
        <f t="shared" si="405"/>
        <v/>
      </c>
      <c r="R885" s="103" t="str">
        <f t="shared" si="391"/>
        <v/>
      </c>
      <c r="S885" s="103" t="str">
        <f t="shared" si="392"/>
        <v/>
      </c>
      <c r="T885" s="106" t="str">
        <f t="shared" si="406"/>
        <v/>
      </c>
      <c r="U885" s="106" t="str">
        <f t="shared" si="407"/>
        <v/>
      </c>
      <c r="V885" s="106" t="str">
        <f t="shared" si="408"/>
        <v/>
      </c>
      <c r="W885" s="105" t="str">
        <f t="shared" si="393"/>
        <v/>
      </c>
      <c r="X885" s="104" t="str">
        <f t="shared" si="398"/>
        <v/>
      </c>
      <c r="Y885" s="104" t="str">
        <f t="array" ref="Y885">IFERROR(IF(ISNUMBER(O885),IF(COUNT(IF(A885=$A$2:$A$2427,IF(D885=$D$2:$D$2427,IF($X$2:$X$2427&gt;0,1))))&gt;0,SUM(IF(A885=$A$2:$A$2427,IF(D885=$D$2:$D$2427,$X$2:$X$2427)))/COUNT(IF(A885=$A$2:$A$2427,IF(D885=$D$2:$D$2427,IF(ISNUMBER($X$2:$X$2427),1)))),0),""),0)</f>
        <v/>
      </c>
      <c r="Z885" s="104" t="str">
        <f>IF(ISNUMBER(O885),IF(I885&gt;0,(10^(VLOOKUP(D885,'Species Codes'!B:C,2,0)+VLOOKUP(D885,'Species Codes'!B:D,3,0)*LOG(E885)+VLOOKUP(D885,'Species Codes'!B:E,4,0)*LOG(I885))),0),"")</f>
        <v/>
      </c>
      <c r="AA885" s="104" t="str">
        <f>IFERROR((VLOOKUP(D885,'Species Codes'!B:G,6,0)*Z885)/2000,"")</f>
        <v/>
      </c>
      <c r="AB885" s="104" t="e">
        <f>IF(Z885&gt;0,((IF(OR(D885="DF",D885="RA")=TRUE,EXP(VLOOKUP(D885,'Species Codes'!B:I,8,0)+VLOOKUP(D885,'Species Codes'!B:J,9,0)*(LN((E885*2.54)))),IF(OR(D885="PY",D885="RC",D885="WH",D885="NF")=TRUE,VLOOKUP(D885,'Species Codes'!B:I,8,0)+VLOOKUP(D885,'Species Codes'!B:J,9,0)*((E885*2.54)^2)*(I885*0.3048),IF(OR(D885="MD",D885="BM",D885="GA")=TRUE,((VLOOKUP(D885,'Species Codes'!B:I,8,0)*(((((E885*2.54)+VLOOKUP(D885,'Species Codes'!B:J,9,0))/VLOOKUP(D885,'Species Codes'!B:K,10,0))^VLOOKUP(D885,'Species Codes'!B:L,11,0))*((I885*0.3048)^VLOOKUP(D885,'Species Codes'!B:M,12,0))))-(VLOOKUP(D885,'Species Codes'!B:I,8,0)*((((E885*2.54)^VLOOKUP(D885,'Species Codes'!B:L,11,0))*((I885*0.3048)^VLOOKUP(D885,'Species Codes'!B:M,12,0))))))*35.3*VLOOKUP(D885,'Species Codes'!B:G,6,0)/2.2046,VLOOKUP(D885,'Species Codes'!B:I,8,0)+VLOOKUP(D885,'Species Codes'!B:J,9,0)*(((E885*2.54)/100)^2)*(I885*0.3048)))))*0.0011023),0)</f>
        <v>#N/A</v>
      </c>
      <c r="AC885" s="104" t="e">
        <f>IF(Z885&gt;0,((IF(OR(D885="RA",D885="OA",D885="OT",D885="UN",D885="PC"),EXP(VLOOKUP(D885,'Species Codes'!B:O,14,0)+VLOOKUP(D885,'Species Codes'!B:P,15,0)*LN((E885*2.54)))-EXP(VLOOKUP(D885,'Species Codes'!B:O,14,0)+VLOOKUP(D885,'Species Codes'!B:P,15,0)*LN((E885*2.54)))*(1/(VLOOKUP(D885,'Species Codes'!B:Q,16,0)+VLOOKUP(D885,'Species Codes'!B:R,17,0)*((E885*2.54)^VLOOKUP(D885,'Species Codes'!B:S,18,0)))),IF(OR(D885="BM",D885="MD",D885="OA"),EXP(VLOOKUP(D885,'Species Codes'!B:O,14,0)+VLOOKUP(D885,'Species Codes'!B:P,15,0)*LN((E885*2.54)))*(1-(1/(VLOOKUP(D885,'Species Codes'!B:Q,16,0)+VLOOKUP(D885,'Species Codes'!B:R,17,0)*((E885*2.54)^VLOOKUP(D885,'Species Codes'!B:S,18,0)))))/1000,IF(D885="DF",EXP(VLOOKUP(D885,'Species Codes'!B:O,14,0)+VLOOKUP(D885,'Species Codes'!B:P,15,0)*LN((E885*2.54))),VLOOKUP(D885,'Species Codes'!B:O,14,0)+VLOOKUP(D885,'Species Codes'!B:P,15,0)*(((E885*2.54)/100)^2)*(I885*0.3048)))))*0.0011023),0)</f>
        <v>#N/A</v>
      </c>
      <c r="AD885" s="104" t="e">
        <f t="shared" si="409"/>
        <v>#N/A</v>
      </c>
      <c r="AE885" s="104" t="e">
        <f t="shared" si="410"/>
        <v>#N/A</v>
      </c>
      <c r="AF885" s="104" t="e">
        <f>IF(AND(VLOOKUP($D885,Merchantability!$B:$C,2,0)="Yes",$E885&gt;=VLOOKUP($D885,Merchantability!$B:$D,3,0),$E885&lt;=VLOOKUP($D885,Merchantability!$B:$E,4,0)),AA885,0)</f>
        <v>#N/A</v>
      </c>
      <c r="AG885" s="104" t="e">
        <f>IF(AND(VLOOKUP($D885,Merchantability!$B:$C,2,0)="Yes",$E885&gt;=VLOOKUP($D885,Merchantability!$B:$D,3,0),$E885&lt;=VLOOKUP($D885,Merchantability!$B:$E,4,0)),AB885,0)</f>
        <v>#N/A</v>
      </c>
      <c r="AH885" s="104" t="e">
        <f>IF(AND(VLOOKUP($D885,Merchantability!$B:$C,2,0)="Yes",$E885&gt;=VLOOKUP($D885,Merchantability!$B:$D,3,0),$E885&lt;=VLOOKUP($D885,Merchantability!$B:$E,4,0)),AC885,0)</f>
        <v>#N/A</v>
      </c>
      <c r="AI885" s="104" t="e">
        <f t="shared" si="411"/>
        <v>#N/A</v>
      </c>
      <c r="AJ885" s="104" t="e">
        <f t="shared" si="412"/>
        <v>#VALUE!</v>
      </c>
      <c r="AK885" s="104" t="e">
        <f t="shared" si="413"/>
        <v>#N/A</v>
      </c>
      <c r="AL885" s="104" t="e">
        <f t="shared" si="414"/>
        <v>#N/A</v>
      </c>
      <c r="AM885" s="104" t="e">
        <f t="shared" si="415"/>
        <v>#N/A</v>
      </c>
      <c r="AN885" s="104" t="e">
        <f t="shared" si="399"/>
        <v>#N/A</v>
      </c>
      <c r="AO885" s="104" t="e">
        <f t="shared" si="400"/>
        <v>#N/A</v>
      </c>
      <c r="AP885" s="104" t="e">
        <f t="shared" si="401"/>
        <v>#N/A</v>
      </c>
      <c r="AQ885" s="104" t="e">
        <f t="shared" si="402"/>
        <v>#N/A</v>
      </c>
      <c r="AR885" s="105" t="str">
        <f t="shared" si="394"/>
        <v/>
      </c>
      <c r="AS885" s="105" t="str">
        <f t="shared" si="395"/>
        <v/>
      </c>
      <c r="AT885" s="108" t="str">
        <f t="shared" si="396"/>
        <v/>
      </c>
      <c r="AU885" s="108" t="str">
        <f t="shared" si="397"/>
        <v/>
      </c>
      <c r="AV885" s="107" t="str">
        <f>IF(ISNUMBER(O885),IF(VLOOKUP($A885,Stand!C:J,8,FALSE)="Short",AT885,AU885),"")</f>
        <v/>
      </c>
      <c r="AW885" s="109" t="str">
        <f t="shared" si="403"/>
        <v/>
      </c>
      <c r="AX885" s="109" t="str">
        <f t="shared" si="404"/>
        <v/>
      </c>
      <c r="AY885" s="112" t="str">
        <f>IF(ISNUMBER(O885),IF(AND(VLOOKUP($D885,Merchantability!$B:$C,2,0)="Yes",$E885&gt;=VLOOKUP($D885,Merchantability!$B:$D,3,0),$E885&lt;=VLOOKUP($D885,Merchantability!$B:$E,4,0)),(AV885*O885)*(1-$H885/100),""),"")</f>
        <v/>
      </c>
      <c r="AZ885" s="116"/>
      <c r="BA885" s="116"/>
      <c r="BB885" s="116"/>
      <c r="BE885" s="62"/>
      <c r="BF885" s="63"/>
    </row>
    <row r="886" spans="1:58" ht="12.75" customHeight="1" x14ac:dyDescent="0.25">
      <c r="A886" s="313"/>
      <c r="B886" s="328"/>
      <c r="C886" s="329"/>
      <c r="D886" s="328"/>
      <c r="E886" s="330"/>
      <c r="F886" s="328"/>
      <c r="G886" s="329"/>
      <c r="H886" s="329"/>
      <c r="I886" s="328"/>
      <c r="J886" s="383"/>
      <c r="K886" s="329"/>
      <c r="L886" s="329"/>
      <c r="M886" s="76"/>
      <c r="N886" s="103" t="str">
        <f>IF(A886="","",VLOOKUP(A886,Stand!C:K,9,0))</f>
        <v/>
      </c>
      <c r="O886" s="104" t="str">
        <f t="shared" si="389"/>
        <v/>
      </c>
      <c r="P886" s="105" t="str">
        <f t="shared" si="390"/>
        <v/>
      </c>
      <c r="Q886" s="105" t="str">
        <f t="shared" si="405"/>
        <v/>
      </c>
      <c r="R886" s="103" t="str">
        <f t="shared" si="391"/>
        <v/>
      </c>
      <c r="S886" s="103" t="str">
        <f t="shared" si="392"/>
        <v/>
      </c>
      <c r="T886" s="106" t="str">
        <f t="shared" si="406"/>
        <v/>
      </c>
      <c r="U886" s="106" t="str">
        <f t="shared" si="407"/>
        <v/>
      </c>
      <c r="V886" s="106" t="str">
        <f t="shared" si="408"/>
        <v/>
      </c>
      <c r="W886" s="105" t="str">
        <f t="shared" si="393"/>
        <v/>
      </c>
      <c r="X886" s="104" t="str">
        <f t="shared" si="398"/>
        <v/>
      </c>
      <c r="Y886" s="104" t="str">
        <f t="array" ref="Y886">IFERROR(IF(ISNUMBER(O886),IF(COUNT(IF(A886=$A$2:$A$2427,IF(D886=$D$2:$D$2427,IF($X$2:$X$2427&gt;0,1))))&gt;0,SUM(IF(A886=$A$2:$A$2427,IF(D886=$D$2:$D$2427,$X$2:$X$2427)))/COUNT(IF(A886=$A$2:$A$2427,IF(D886=$D$2:$D$2427,IF(ISNUMBER($X$2:$X$2427),1)))),0),""),0)</f>
        <v/>
      </c>
      <c r="Z886" s="104" t="str">
        <f>IF(ISNUMBER(O886),IF(I886&gt;0,(10^(VLOOKUP(D886,'Species Codes'!B:C,2,0)+VLOOKUP(D886,'Species Codes'!B:D,3,0)*LOG(E886)+VLOOKUP(D886,'Species Codes'!B:E,4,0)*LOG(I886))),0),"")</f>
        <v/>
      </c>
      <c r="AA886" s="104" t="str">
        <f>IFERROR((VLOOKUP(D886,'Species Codes'!B:G,6,0)*Z886)/2000,"")</f>
        <v/>
      </c>
      <c r="AB886" s="104" t="e">
        <f>IF(Z886&gt;0,((IF(OR(D886="DF",D886="RA")=TRUE,EXP(VLOOKUP(D886,'Species Codes'!B:I,8,0)+VLOOKUP(D886,'Species Codes'!B:J,9,0)*(LN((E886*2.54)))),IF(OR(D886="PY",D886="RC",D886="WH",D886="NF")=TRUE,VLOOKUP(D886,'Species Codes'!B:I,8,0)+VLOOKUP(D886,'Species Codes'!B:J,9,0)*((E886*2.54)^2)*(I886*0.3048),IF(OR(D886="MD",D886="BM",D886="GA")=TRUE,((VLOOKUP(D886,'Species Codes'!B:I,8,0)*(((((E886*2.54)+VLOOKUP(D886,'Species Codes'!B:J,9,0))/VLOOKUP(D886,'Species Codes'!B:K,10,0))^VLOOKUP(D886,'Species Codes'!B:L,11,0))*((I886*0.3048)^VLOOKUP(D886,'Species Codes'!B:M,12,0))))-(VLOOKUP(D886,'Species Codes'!B:I,8,0)*((((E886*2.54)^VLOOKUP(D886,'Species Codes'!B:L,11,0))*((I886*0.3048)^VLOOKUP(D886,'Species Codes'!B:M,12,0))))))*35.3*VLOOKUP(D886,'Species Codes'!B:G,6,0)/2.2046,VLOOKUP(D886,'Species Codes'!B:I,8,0)+VLOOKUP(D886,'Species Codes'!B:J,9,0)*(((E886*2.54)/100)^2)*(I886*0.3048)))))*0.0011023),0)</f>
        <v>#N/A</v>
      </c>
      <c r="AC886" s="104" t="e">
        <f>IF(Z886&gt;0,((IF(OR(D886="RA",D886="OA",D886="OT",D886="UN",D886="PC"),EXP(VLOOKUP(D886,'Species Codes'!B:O,14,0)+VLOOKUP(D886,'Species Codes'!B:P,15,0)*LN((E886*2.54)))-EXP(VLOOKUP(D886,'Species Codes'!B:O,14,0)+VLOOKUP(D886,'Species Codes'!B:P,15,0)*LN((E886*2.54)))*(1/(VLOOKUP(D886,'Species Codes'!B:Q,16,0)+VLOOKUP(D886,'Species Codes'!B:R,17,0)*((E886*2.54)^VLOOKUP(D886,'Species Codes'!B:S,18,0)))),IF(OR(D886="BM",D886="MD",D886="OA"),EXP(VLOOKUP(D886,'Species Codes'!B:O,14,0)+VLOOKUP(D886,'Species Codes'!B:P,15,0)*LN((E886*2.54)))*(1-(1/(VLOOKUP(D886,'Species Codes'!B:Q,16,0)+VLOOKUP(D886,'Species Codes'!B:R,17,0)*((E886*2.54)^VLOOKUP(D886,'Species Codes'!B:S,18,0)))))/1000,IF(D886="DF",EXP(VLOOKUP(D886,'Species Codes'!B:O,14,0)+VLOOKUP(D886,'Species Codes'!B:P,15,0)*LN((E886*2.54))),VLOOKUP(D886,'Species Codes'!B:O,14,0)+VLOOKUP(D886,'Species Codes'!B:P,15,0)*(((E886*2.54)/100)^2)*(I886*0.3048)))))*0.0011023),0)</f>
        <v>#N/A</v>
      </c>
      <c r="AD886" s="104" t="e">
        <f t="shared" si="409"/>
        <v>#N/A</v>
      </c>
      <c r="AE886" s="104" t="e">
        <f t="shared" si="410"/>
        <v>#N/A</v>
      </c>
      <c r="AF886" s="104" t="e">
        <f>IF(AND(VLOOKUP($D886,Merchantability!$B:$C,2,0)="Yes",$E886&gt;=VLOOKUP($D886,Merchantability!$B:$D,3,0),$E886&lt;=VLOOKUP($D886,Merchantability!$B:$E,4,0)),AA886,0)</f>
        <v>#N/A</v>
      </c>
      <c r="AG886" s="104" t="e">
        <f>IF(AND(VLOOKUP($D886,Merchantability!$B:$C,2,0)="Yes",$E886&gt;=VLOOKUP($D886,Merchantability!$B:$D,3,0),$E886&lt;=VLOOKUP($D886,Merchantability!$B:$E,4,0)),AB886,0)</f>
        <v>#N/A</v>
      </c>
      <c r="AH886" s="104" t="e">
        <f>IF(AND(VLOOKUP($D886,Merchantability!$B:$C,2,0)="Yes",$E886&gt;=VLOOKUP($D886,Merchantability!$B:$D,3,0),$E886&lt;=VLOOKUP($D886,Merchantability!$B:$E,4,0)),AC886,0)</f>
        <v>#N/A</v>
      </c>
      <c r="AI886" s="104" t="e">
        <f t="shared" si="411"/>
        <v>#N/A</v>
      </c>
      <c r="AJ886" s="104" t="e">
        <f t="shared" si="412"/>
        <v>#VALUE!</v>
      </c>
      <c r="AK886" s="104" t="e">
        <f t="shared" si="413"/>
        <v>#N/A</v>
      </c>
      <c r="AL886" s="104" t="e">
        <f t="shared" si="414"/>
        <v>#N/A</v>
      </c>
      <c r="AM886" s="104" t="e">
        <f t="shared" si="415"/>
        <v>#N/A</v>
      </c>
      <c r="AN886" s="104" t="e">
        <f t="shared" si="399"/>
        <v>#N/A</v>
      </c>
      <c r="AO886" s="104" t="e">
        <f t="shared" si="400"/>
        <v>#N/A</v>
      </c>
      <c r="AP886" s="104" t="e">
        <f t="shared" si="401"/>
        <v>#N/A</v>
      </c>
      <c r="AQ886" s="104" t="e">
        <f t="shared" si="402"/>
        <v>#N/A</v>
      </c>
      <c r="AR886" s="105" t="str">
        <f t="shared" si="394"/>
        <v/>
      </c>
      <c r="AS886" s="105" t="str">
        <f t="shared" si="395"/>
        <v/>
      </c>
      <c r="AT886" s="108" t="str">
        <f t="shared" si="396"/>
        <v/>
      </c>
      <c r="AU886" s="108" t="str">
        <f t="shared" si="397"/>
        <v/>
      </c>
      <c r="AV886" s="107" t="str">
        <f>IF(ISNUMBER(O886),IF(VLOOKUP($A886,Stand!C:J,8,FALSE)="Short",AT886,AU886),"")</f>
        <v/>
      </c>
      <c r="AW886" s="109" t="str">
        <f t="shared" si="403"/>
        <v/>
      </c>
      <c r="AX886" s="109" t="str">
        <f t="shared" si="404"/>
        <v/>
      </c>
      <c r="AY886" s="112" t="str">
        <f>IF(ISNUMBER(O886),IF(AND(VLOOKUP($D886,Merchantability!$B:$C,2,0)="Yes",$E886&gt;=VLOOKUP($D886,Merchantability!$B:$D,3,0),$E886&lt;=VLOOKUP($D886,Merchantability!$B:$E,4,0)),(AV886*O886)*(1-$H886/100),""),"")</f>
        <v/>
      </c>
      <c r="AZ886" s="116"/>
      <c r="BA886" s="116"/>
      <c r="BB886" s="116"/>
      <c r="BE886" s="62"/>
      <c r="BF886" s="63"/>
    </row>
    <row r="887" spans="1:58" ht="12.75" customHeight="1" x14ac:dyDescent="0.25">
      <c r="A887" s="313"/>
      <c r="B887" s="328"/>
      <c r="C887" s="329"/>
      <c r="D887" s="328"/>
      <c r="E887" s="330"/>
      <c r="F887" s="328"/>
      <c r="G887" s="329"/>
      <c r="H887" s="329"/>
      <c r="I887" s="328"/>
      <c r="J887" s="383"/>
      <c r="K887" s="329"/>
      <c r="L887" s="329"/>
      <c r="M887" s="76"/>
      <c r="N887" s="103" t="str">
        <f>IF(A887="","",VLOOKUP(A887,Stand!C:K,9,0))</f>
        <v/>
      </c>
      <c r="O887" s="104" t="str">
        <f t="shared" si="389"/>
        <v/>
      </c>
      <c r="P887" s="105" t="str">
        <f t="shared" si="390"/>
        <v/>
      </c>
      <c r="Q887" s="105" t="str">
        <f t="shared" si="405"/>
        <v/>
      </c>
      <c r="R887" s="103" t="str">
        <f t="shared" si="391"/>
        <v/>
      </c>
      <c r="S887" s="103" t="str">
        <f t="shared" si="392"/>
        <v/>
      </c>
      <c r="T887" s="106" t="str">
        <f t="shared" si="406"/>
        <v/>
      </c>
      <c r="U887" s="106" t="str">
        <f t="shared" si="407"/>
        <v/>
      </c>
      <c r="V887" s="106" t="str">
        <f t="shared" si="408"/>
        <v/>
      </c>
      <c r="W887" s="105" t="str">
        <f t="shared" si="393"/>
        <v/>
      </c>
      <c r="X887" s="104" t="str">
        <f t="shared" si="398"/>
        <v/>
      </c>
      <c r="Y887" s="104" t="str">
        <f t="array" ref="Y887">IFERROR(IF(ISNUMBER(O887),IF(COUNT(IF(A887=$A$2:$A$2427,IF(D887=$D$2:$D$2427,IF($X$2:$X$2427&gt;0,1))))&gt;0,SUM(IF(A887=$A$2:$A$2427,IF(D887=$D$2:$D$2427,$X$2:$X$2427)))/COUNT(IF(A887=$A$2:$A$2427,IF(D887=$D$2:$D$2427,IF(ISNUMBER($X$2:$X$2427),1)))),0),""),0)</f>
        <v/>
      </c>
      <c r="Z887" s="104" t="str">
        <f>IF(ISNUMBER(O887),IF(I887&gt;0,(10^(VLOOKUP(D887,'Species Codes'!B:C,2,0)+VLOOKUP(D887,'Species Codes'!B:D,3,0)*LOG(E887)+VLOOKUP(D887,'Species Codes'!B:E,4,0)*LOG(I887))),0),"")</f>
        <v/>
      </c>
      <c r="AA887" s="104" t="str">
        <f>IFERROR((VLOOKUP(D887,'Species Codes'!B:G,6,0)*Z887)/2000,"")</f>
        <v/>
      </c>
      <c r="AB887" s="104" t="e">
        <f>IF(Z887&gt;0,((IF(OR(D887="DF",D887="RA")=TRUE,EXP(VLOOKUP(D887,'Species Codes'!B:I,8,0)+VLOOKUP(D887,'Species Codes'!B:J,9,0)*(LN((E887*2.54)))),IF(OR(D887="PY",D887="RC",D887="WH",D887="NF")=TRUE,VLOOKUP(D887,'Species Codes'!B:I,8,0)+VLOOKUP(D887,'Species Codes'!B:J,9,0)*((E887*2.54)^2)*(I887*0.3048),IF(OR(D887="MD",D887="BM",D887="GA")=TRUE,((VLOOKUP(D887,'Species Codes'!B:I,8,0)*(((((E887*2.54)+VLOOKUP(D887,'Species Codes'!B:J,9,0))/VLOOKUP(D887,'Species Codes'!B:K,10,0))^VLOOKUP(D887,'Species Codes'!B:L,11,0))*((I887*0.3048)^VLOOKUP(D887,'Species Codes'!B:M,12,0))))-(VLOOKUP(D887,'Species Codes'!B:I,8,0)*((((E887*2.54)^VLOOKUP(D887,'Species Codes'!B:L,11,0))*((I887*0.3048)^VLOOKUP(D887,'Species Codes'!B:M,12,0))))))*35.3*VLOOKUP(D887,'Species Codes'!B:G,6,0)/2.2046,VLOOKUP(D887,'Species Codes'!B:I,8,0)+VLOOKUP(D887,'Species Codes'!B:J,9,0)*(((E887*2.54)/100)^2)*(I887*0.3048)))))*0.0011023),0)</f>
        <v>#N/A</v>
      </c>
      <c r="AC887" s="104" t="e">
        <f>IF(Z887&gt;0,((IF(OR(D887="RA",D887="OA",D887="OT",D887="UN",D887="PC"),EXP(VLOOKUP(D887,'Species Codes'!B:O,14,0)+VLOOKUP(D887,'Species Codes'!B:P,15,0)*LN((E887*2.54)))-EXP(VLOOKUP(D887,'Species Codes'!B:O,14,0)+VLOOKUP(D887,'Species Codes'!B:P,15,0)*LN((E887*2.54)))*(1/(VLOOKUP(D887,'Species Codes'!B:Q,16,0)+VLOOKUP(D887,'Species Codes'!B:R,17,0)*((E887*2.54)^VLOOKUP(D887,'Species Codes'!B:S,18,0)))),IF(OR(D887="BM",D887="MD",D887="OA"),EXP(VLOOKUP(D887,'Species Codes'!B:O,14,0)+VLOOKUP(D887,'Species Codes'!B:P,15,0)*LN((E887*2.54)))*(1-(1/(VLOOKUP(D887,'Species Codes'!B:Q,16,0)+VLOOKUP(D887,'Species Codes'!B:R,17,0)*((E887*2.54)^VLOOKUP(D887,'Species Codes'!B:S,18,0)))))/1000,IF(D887="DF",EXP(VLOOKUP(D887,'Species Codes'!B:O,14,0)+VLOOKUP(D887,'Species Codes'!B:P,15,0)*LN((E887*2.54))),VLOOKUP(D887,'Species Codes'!B:O,14,0)+VLOOKUP(D887,'Species Codes'!B:P,15,0)*(((E887*2.54)/100)^2)*(I887*0.3048)))))*0.0011023),0)</f>
        <v>#N/A</v>
      </c>
      <c r="AD887" s="104" t="e">
        <f t="shared" si="409"/>
        <v>#N/A</v>
      </c>
      <c r="AE887" s="104" t="e">
        <f t="shared" si="410"/>
        <v>#N/A</v>
      </c>
      <c r="AF887" s="104" t="e">
        <f>IF(AND(VLOOKUP($D887,Merchantability!$B:$C,2,0)="Yes",$E887&gt;=VLOOKUP($D887,Merchantability!$B:$D,3,0),$E887&lt;=VLOOKUP($D887,Merchantability!$B:$E,4,0)),AA887,0)</f>
        <v>#N/A</v>
      </c>
      <c r="AG887" s="104" t="e">
        <f>IF(AND(VLOOKUP($D887,Merchantability!$B:$C,2,0)="Yes",$E887&gt;=VLOOKUP($D887,Merchantability!$B:$D,3,0),$E887&lt;=VLOOKUP($D887,Merchantability!$B:$E,4,0)),AB887,0)</f>
        <v>#N/A</v>
      </c>
      <c r="AH887" s="104" t="e">
        <f>IF(AND(VLOOKUP($D887,Merchantability!$B:$C,2,0)="Yes",$E887&gt;=VLOOKUP($D887,Merchantability!$B:$D,3,0),$E887&lt;=VLOOKUP($D887,Merchantability!$B:$E,4,0)),AC887,0)</f>
        <v>#N/A</v>
      </c>
      <c r="AI887" s="104" t="e">
        <f t="shared" si="411"/>
        <v>#N/A</v>
      </c>
      <c r="AJ887" s="104" t="e">
        <f t="shared" si="412"/>
        <v>#VALUE!</v>
      </c>
      <c r="AK887" s="104" t="e">
        <f t="shared" si="413"/>
        <v>#N/A</v>
      </c>
      <c r="AL887" s="104" t="e">
        <f t="shared" si="414"/>
        <v>#N/A</v>
      </c>
      <c r="AM887" s="104" t="e">
        <f t="shared" si="415"/>
        <v>#N/A</v>
      </c>
      <c r="AN887" s="104" t="e">
        <f t="shared" si="399"/>
        <v>#N/A</v>
      </c>
      <c r="AO887" s="104" t="e">
        <f t="shared" si="400"/>
        <v>#N/A</v>
      </c>
      <c r="AP887" s="104" t="e">
        <f t="shared" si="401"/>
        <v>#N/A</v>
      </c>
      <c r="AQ887" s="104" t="e">
        <f t="shared" si="402"/>
        <v>#N/A</v>
      </c>
      <c r="AR887" s="105" t="str">
        <f t="shared" si="394"/>
        <v/>
      </c>
      <c r="AS887" s="105" t="str">
        <f t="shared" si="395"/>
        <v/>
      </c>
      <c r="AT887" s="108" t="str">
        <f t="shared" si="396"/>
        <v/>
      </c>
      <c r="AU887" s="108" t="str">
        <f t="shared" si="397"/>
        <v/>
      </c>
      <c r="AV887" s="107" t="str">
        <f>IF(ISNUMBER(O887),IF(VLOOKUP($A887,Stand!C:J,8,FALSE)="Short",AT887,AU887),"")</f>
        <v/>
      </c>
      <c r="AW887" s="109" t="str">
        <f t="shared" si="403"/>
        <v/>
      </c>
      <c r="AX887" s="109" t="str">
        <f t="shared" si="404"/>
        <v/>
      </c>
      <c r="AY887" s="112" t="str">
        <f>IF(ISNUMBER(O887),IF(AND(VLOOKUP($D887,Merchantability!$B:$C,2,0)="Yes",$E887&gt;=VLOOKUP($D887,Merchantability!$B:$D,3,0),$E887&lt;=VLOOKUP($D887,Merchantability!$B:$E,4,0)),(AV887*O887)*(1-$H887/100),""),"")</f>
        <v/>
      </c>
      <c r="AZ887" s="116"/>
      <c r="BA887" s="116"/>
      <c r="BB887" s="116"/>
      <c r="BE887" s="62"/>
      <c r="BF887" s="63"/>
    </row>
    <row r="888" spans="1:58" ht="12.75" customHeight="1" x14ac:dyDescent="0.25">
      <c r="A888" s="313"/>
      <c r="B888" s="328"/>
      <c r="C888" s="329"/>
      <c r="D888" s="328"/>
      <c r="E888" s="330"/>
      <c r="F888" s="328"/>
      <c r="G888" s="329"/>
      <c r="H888" s="329"/>
      <c r="I888" s="328"/>
      <c r="J888" s="383"/>
      <c r="K888" s="329"/>
      <c r="L888" s="329"/>
      <c r="M888" s="76"/>
      <c r="N888" s="103" t="str">
        <f>IF(A888="","",VLOOKUP(A888,Stand!C:K,9,0))</f>
        <v/>
      </c>
      <c r="O888" s="104" t="str">
        <f t="shared" si="389"/>
        <v/>
      </c>
      <c r="P888" s="105" t="str">
        <f t="shared" si="390"/>
        <v/>
      </c>
      <c r="Q888" s="105" t="str">
        <f t="shared" si="405"/>
        <v/>
      </c>
      <c r="R888" s="103" t="str">
        <f t="shared" si="391"/>
        <v/>
      </c>
      <c r="S888" s="103" t="str">
        <f t="shared" si="392"/>
        <v/>
      </c>
      <c r="T888" s="106" t="str">
        <f t="shared" si="406"/>
        <v/>
      </c>
      <c r="U888" s="106" t="str">
        <f t="shared" si="407"/>
        <v/>
      </c>
      <c r="V888" s="106" t="str">
        <f t="shared" si="408"/>
        <v/>
      </c>
      <c r="W888" s="105" t="str">
        <f t="shared" si="393"/>
        <v/>
      </c>
      <c r="X888" s="104" t="str">
        <f t="shared" si="398"/>
        <v/>
      </c>
      <c r="Y888" s="104" t="str">
        <f t="array" ref="Y888">IFERROR(IF(ISNUMBER(O888),IF(COUNT(IF(A888=$A$2:$A$2427,IF(D888=$D$2:$D$2427,IF($X$2:$X$2427&gt;0,1))))&gt;0,SUM(IF(A888=$A$2:$A$2427,IF(D888=$D$2:$D$2427,$X$2:$X$2427)))/COUNT(IF(A888=$A$2:$A$2427,IF(D888=$D$2:$D$2427,IF(ISNUMBER($X$2:$X$2427),1)))),0),""),0)</f>
        <v/>
      </c>
      <c r="Z888" s="104" t="str">
        <f>IF(ISNUMBER(O888),IF(I888&gt;0,(10^(VLOOKUP(D888,'Species Codes'!B:C,2,0)+VLOOKUP(D888,'Species Codes'!B:D,3,0)*LOG(E888)+VLOOKUP(D888,'Species Codes'!B:E,4,0)*LOG(I888))),0),"")</f>
        <v/>
      </c>
      <c r="AA888" s="104" t="str">
        <f>IFERROR((VLOOKUP(D888,'Species Codes'!B:G,6,0)*Z888)/2000,"")</f>
        <v/>
      </c>
      <c r="AB888" s="104" t="e">
        <f>IF(Z888&gt;0,((IF(OR(D888="DF",D888="RA")=TRUE,EXP(VLOOKUP(D888,'Species Codes'!B:I,8,0)+VLOOKUP(D888,'Species Codes'!B:J,9,0)*(LN((E888*2.54)))),IF(OR(D888="PY",D888="RC",D888="WH",D888="NF")=TRUE,VLOOKUP(D888,'Species Codes'!B:I,8,0)+VLOOKUP(D888,'Species Codes'!B:J,9,0)*((E888*2.54)^2)*(I888*0.3048),IF(OR(D888="MD",D888="BM",D888="GA")=TRUE,((VLOOKUP(D888,'Species Codes'!B:I,8,0)*(((((E888*2.54)+VLOOKUP(D888,'Species Codes'!B:J,9,0))/VLOOKUP(D888,'Species Codes'!B:K,10,0))^VLOOKUP(D888,'Species Codes'!B:L,11,0))*((I888*0.3048)^VLOOKUP(D888,'Species Codes'!B:M,12,0))))-(VLOOKUP(D888,'Species Codes'!B:I,8,0)*((((E888*2.54)^VLOOKUP(D888,'Species Codes'!B:L,11,0))*((I888*0.3048)^VLOOKUP(D888,'Species Codes'!B:M,12,0))))))*35.3*VLOOKUP(D888,'Species Codes'!B:G,6,0)/2.2046,VLOOKUP(D888,'Species Codes'!B:I,8,0)+VLOOKUP(D888,'Species Codes'!B:J,9,0)*(((E888*2.54)/100)^2)*(I888*0.3048)))))*0.0011023),0)</f>
        <v>#N/A</v>
      </c>
      <c r="AC888" s="104" t="e">
        <f>IF(Z888&gt;0,((IF(OR(D888="RA",D888="OA",D888="OT",D888="UN",D888="PC"),EXP(VLOOKUP(D888,'Species Codes'!B:O,14,0)+VLOOKUP(D888,'Species Codes'!B:P,15,0)*LN((E888*2.54)))-EXP(VLOOKUP(D888,'Species Codes'!B:O,14,0)+VLOOKUP(D888,'Species Codes'!B:P,15,0)*LN((E888*2.54)))*(1/(VLOOKUP(D888,'Species Codes'!B:Q,16,0)+VLOOKUP(D888,'Species Codes'!B:R,17,0)*((E888*2.54)^VLOOKUP(D888,'Species Codes'!B:S,18,0)))),IF(OR(D888="BM",D888="MD",D888="OA"),EXP(VLOOKUP(D888,'Species Codes'!B:O,14,0)+VLOOKUP(D888,'Species Codes'!B:P,15,0)*LN((E888*2.54)))*(1-(1/(VLOOKUP(D888,'Species Codes'!B:Q,16,0)+VLOOKUP(D888,'Species Codes'!B:R,17,0)*((E888*2.54)^VLOOKUP(D888,'Species Codes'!B:S,18,0)))))/1000,IF(D888="DF",EXP(VLOOKUP(D888,'Species Codes'!B:O,14,0)+VLOOKUP(D888,'Species Codes'!B:P,15,0)*LN((E888*2.54))),VLOOKUP(D888,'Species Codes'!B:O,14,0)+VLOOKUP(D888,'Species Codes'!B:P,15,0)*(((E888*2.54)/100)^2)*(I888*0.3048)))))*0.0011023),0)</f>
        <v>#N/A</v>
      </c>
      <c r="AD888" s="104" t="e">
        <f t="shared" si="409"/>
        <v>#N/A</v>
      </c>
      <c r="AE888" s="104" t="e">
        <f t="shared" si="410"/>
        <v>#N/A</v>
      </c>
      <c r="AF888" s="104" t="e">
        <f>IF(AND(VLOOKUP($D888,Merchantability!$B:$C,2,0)="Yes",$E888&gt;=VLOOKUP($D888,Merchantability!$B:$D,3,0),$E888&lt;=VLOOKUP($D888,Merchantability!$B:$E,4,0)),AA888,0)</f>
        <v>#N/A</v>
      </c>
      <c r="AG888" s="104" t="e">
        <f>IF(AND(VLOOKUP($D888,Merchantability!$B:$C,2,0)="Yes",$E888&gt;=VLOOKUP($D888,Merchantability!$B:$D,3,0),$E888&lt;=VLOOKUP($D888,Merchantability!$B:$E,4,0)),AB888,0)</f>
        <v>#N/A</v>
      </c>
      <c r="AH888" s="104" t="e">
        <f>IF(AND(VLOOKUP($D888,Merchantability!$B:$C,2,0)="Yes",$E888&gt;=VLOOKUP($D888,Merchantability!$B:$D,3,0),$E888&lt;=VLOOKUP($D888,Merchantability!$B:$E,4,0)),AC888,0)</f>
        <v>#N/A</v>
      </c>
      <c r="AI888" s="104" t="e">
        <f t="shared" si="411"/>
        <v>#N/A</v>
      </c>
      <c r="AJ888" s="104" t="e">
        <f t="shared" si="412"/>
        <v>#VALUE!</v>
      </c>
      <c r="AK888" s="104" t="e">
        <f t="shared" si="413"/>
        <v>#N/A</v>
      </c>
      <c r="AL888" s="104" t="e">
        <f t="shared" si="414"/>
        <v>#N/A</v>
      </c>
      <c r="AM888" s="104" t="e">
        <f t="shared" si="415"/>
        <v>#N/A</v>
      </c>
      <c r="AN888" s="104" t="e">
        <f t="shared" si="399"/>
        <v>#N/A</v>
      </c>
      <c r="AO888" s="104" t="e">
        <f t="shared" si="400"/>
        <v>#N/A</v>
      </c>
      <c r="AP888" s="104" t="e">
        <f t="shared" si="401"/>
        <v>#N/A</v>
      </c>
      <c r="AQ888" s="104" t="e">
        <f t="shared" si="402"/>
        <v>#N/A</v>
      </c>
      <c r="AR888" s="105" t="str">
        <f t="shared" si="394"/>
        <v/>
      </c>
      <c r="AS888" s="105" t="str">
        <f t="shared" si="395"/>
        <v/>
      </c>
      <c r="AT888" s="108" t="str">
        <f t="shared" si="396"/>
        <v/>
      </c>
      <c r="AU888" s="108" t="str">
        <f t="shared" si="397"/>
        <v/>
      </c>
      <c r="AV888" s="107" t="str">
        <f>IF(ISNUMBER(O888),IF(VLOOKUP($A888,Stand!C:J,8,FALSE)="Short",AT888,AU888),"")</f>
        <v/>
      </c>
      <c r="AW888" s="109" t="str">
        <f t="shared" si="403"/>
        <v/>
      </c>
      <c r="AX888" s="109" t="str">
        <f t="shared" si="404"/>
        <v/>
      </c>
      <c r="AY888" s="112" t="str">
        <f>IF(ISNUMBER(O888),IF(AND(VLOOKUP($D888,Merchantability!$B:$C,2,0)="Yes",$E888&gt;=VLOOKUP($D888,Merchantability!$B:$D,3,0),$E888&lt;=VLOOKUP($D888,Merchantability!$B:$E,4,0)),(AV888*O888)*(1-$H888/100),""),"")</f>
        <v/>
      </c>
      <c r="AZ888" s="116"/>
      <c r="BA888" s="116"/>
      <c r="BB888" s="116"/>
      <c r="BE888" s="62"/>
      <c r="BF888" s="63"/>
    </row>
    <row r="889" spans="1:58" ht="12.75" customHeight="1" x14ac:dyDescent="0.25">
      <c r="A889" s="313"/>
      <c r="B889" s="328"/>
      <c r="C889" s="329"/>
      <c r="D889" s="328"/>
      <c r="E889" s="330"/>
      <c r="F889" s="328"/>
      <c r="G889" s="329"/>
      <c r="H889" s="329"/>
      <c r="I889" s="328"/>
      <c r="J889" s="383"/>
      <c r="K889" s="329"/>
      <c r="L889" s="329"/>
      <c r="M889" s="76"/>
      <c r="N889" s="103" t="str">
        <f>IF(A889="","",VLOOKUP(A889,Stand!C:K,9,0))</f>
        <v/>
      </c>
      <c r="O889" s="104" t="str">
        <f t="shared" si="389"/>
        <v/>
      </c>
      <c r="P889" s="105" t="str">
        <f t="shared" si="390"/>
        <v/>
      </c>
      <c r="Q889" s="105" t="str">
        <f t="shared" si="405"/>
        <v/>
      </c>
      <c r="R889" s="103" t="str">
        <f t="shared" si="391"/>
        <v/>
      </c>
      <c r="S889" s="103" t="str">
        <f t="shared" si="392"/>
        <v/>
      </c>
      <c r="T889" s="106" t="str">
        <f t="shared" si="406"/>
        <v/>
      </c>
      <c r="U889" s="106" t="str">
        <f t="shared" si="407"/>
        <v/>
      </c>
      <c r="V889" s="106" t="str">
        <f t="shared" si="408"/>
        <v/>
      </c>
      <c r="W889" s="105" t="str">
        <f t="shared" si="393"/>
        <v/>
      </c>
      <c r="X889" s="104" t="str">
        <f t="shared" si="398"/>
        <v/>
      </c>
      <c r="Y889" s="104" t="str">
        <f t="array" ref="Y889">IFERROR(IF(ISNUMBER(O889),IF(COUNT(IF(A889=$A$2:$A$2427,IF(D889=$D$2:$D$2427,IF($X$2:$X$2427&gt;0,1))))&gt;0,SUM(IF(A889=$A$2:$A$2427,IF(D889=$D$2:$D$2427,$X$2:$X$2427)))/COUNT(IF(A889=$A$2:$A$2427,IF(D889=$D$2:$D$2427,IF(ISNUMBER($X$2:$X$2427),1)))),0),""),0)</f>
        <v/>
      </c>
      <c r="Z889" s="104" t="str">
        <f>IF(ISNUMBER(O889),IF(I889&gt;0,(10^(VLOOKUP(D889,'Species Codes'!B:C,2,0)+VLOOKUP(D889,'Species Codes'!B:D,3,0)*LOG(E889)+VLOOKUP(D889,'Species Codes'!B:E,4,0)*LOG(I889))),0),"")</f>
        <v/>
      </c>
      <c r="AA889" s="104" t="str">
        <f>IFERROR((VLOOKUP(D889,'Species Codes'!B:G,6,0)*Z889)/2000,"")</f>
        <v/>
      </c>
      <c r="AB889" s="104" t="e">
        <f>IF(Z889&gt;0,((IF(OR(D889="DF",D889="RA")=TRUE,EXP(VLOOKUP(D889,'Species Codes'!B:I,8,0)+VLOOKUP(D889,'Species Codes'!B:J,9,0)*(LN((E889*2.54)))),IF(OR(D889="PY",D889="RC",D889="WH",D889="NF")=TRUE,VLOOKUP(D889,'Species Codes'!B:I,8,0)+VLOOKUP(D889,'Species Codes'!B:J,9,0)*((E889*2.54)^2)*(I889*0.3048),IF(OR(D889="MD",D889="BM",D889="GA")=TRUE,((VLOOKUP(D889,'Species Codes'!B:I,8,0)*(((((E889*2.54)+VLOOKUP(D889,'Species Codes'!B:J,9,0))/VLOOKUP(D889,'Species Codes'!B:K,10,0))^VLOOKUP(D889,'Species Codes'!B:L,11,0))*((I889*0.3048)^VLOOKUP(D889,'Species Codes'!B:M,12,0))))-(VLOOKUP(D889,'Species Codes'!B:I,8,0)*((((E889*2.54)^VLOOKUP(D889,'Species Codes'!B:L,11,0))*((I889*0.3048)^VLOOKUP(D889,'Species Codes'!B:M,12,0))))))*35.3*VLOOKUP(D889,'Species Codes'!B:G,6,0)/2.2046,VLOOKUP(D889,'Species Codes'!B:I,8,0)+VLOOKUP(D889,'Species Codes'!B:J,9,0)*(((E889*2.54)/100)^2)*(I889*0.3048)))))*0.0011023),0)</f>
        <v>#N/A</v>
      </c>
      <c r="AC889" s="104" t="e">
        <f>IF(Z889&gt;0,((IF(OR(D889="RA",D889="OA",D889="OT",D889="UN",D889="PC"),EXP(VLOOKUP(D889,'Species Codes'!B:O,14,0)+VLOOKUP(D889,'Species Codes'!B:P,15,0)*LN((E889*2.54)))-EXP(VLOOKUP(D889,'Species Codes'!B:O,14,0)+VLOOKUP(D889,'Species Codes'!B:P,15,0)*LN((E889*2.54)))*(1/(VLOOKUP(D889,'Species Codes'!B:Q,16,0)+VLOOKUP(D889,'Species Codes'!B:R,17,0)*((E889*2.54)^VLOOKUP(D889,'Species Codes'!B:S,18,0)))),IF(OR(D889="BM",D889="MD",D889="OA"),EXP(VLOOKUP(D889,'Species Codes'!B:O,14,0)+VLOOKUP(D889,'Species Codes'!B:P,15,0)*LN((E889*2.54)))*(1-(1/(VLOOKUP(D889,'Species Codes'!B:Q,16,0)+VLOOKUP(D889,'Species Codes'!B:R,17,0)*((E889*2.54)^VLOOKUP(D889,'Species Codes'!B:S,18,0)))))/1000,IF(D889="DF",EXP(VLOOKUP(D889,'Species Codes'!B:O,14,0)+VLOOKUP(D889,'Species Codes'!B:P,15,0)*LN((E889*2.54))),VLOOKUP(D889,'Species Codes'!B:O,14,0)+VLOOKUP(D889,'Species Codes'!B:P,15,0)*(((E889*2.54)/100)^2)*(I889*0.3048)))))*0.0011023),0)</f>
        <v>#N/A</v>
      </c>
      <c r="AD889" s="104" t="e">
        <f t="shared" si="409"/>
        <v>#N/A</v>
      </c>
      <c r="AE889" s="104" t="e">
        <f t="shared" si="410"/>
        <v>#N/A</v>
      </c>
      <c r="AF889" s="104" t="e">
        <f>IF(AND(VLOOKUP($D889,Merchantability!$B:$C,2,0)="Yes",$E889&gt;=VLOOKUP($D889,Merchantability!$B:$D,3,0),$E889&lt;=VLOOKUP($D889,Merchantability!$B:$E,4,0)),AA889,0)</f>
        <v>#N/A</v>
      </c>
      <c r="AG889" s="104" t="e">
        <f>IF(AND(VLOOKUP($D889,Merchantability!$B:$C,2,0)="Yes",$E889&gt;=VLOOKUP($D889,Merchantability!$B:$D,3,0),$E889&lt;=VLOOKUP($D889,Merchantability!$B:$E,4,0)),AB889,0)</f>
        <v>#N/A</v>
      </c>
      <c r="AH889" s="104" t="e">
        <f>IF(AND(VLOOKUP($D889,Merchantability!$B:$C,2,0)="Yes",$E889&gt;=VLOOKUP($D889,Merchantability!$B:$D,3,0),$E889&lt;=VLOOKUP($D889,Merchantability!$B:$E,4,0)),AC889,0)</f>
        <v>#N/A</v>
      </c>
      <c r="AI889" s="104" t="e">
        <f t="shared" si="411"/>
        <v>#N/A</v>
      </c>
      <c r="AJ889" s="104" t="e">
        <f t="shared" si="412"/>
        <v>#VALUE!</v>
      </c>
      <c r="AK889" s="104" t="e">
        <f t="shared" si="413"/>
        <v>#N/A</v>
      </c>
      <c r="AL889" s="104" t="e">
        <f t="shared" si="414"/>
        <v>#N/A</v>
      </c>
      <c r="AM889" s="104" t="e">
        <f t="shared" si="415"/>
        <v>#N/A</v>
      </c>
      <c r="AN889" s="104" t="e">
        <f t="shared" si="399"/>
        <v>#N/A</v>
      </c>
      <c r="AO889" s="104" t="e">
        <f t="shared" si="400"/>
        <v>#N/A</v>
      </c>
      <c r="AP889" s="104" t="e">
        <f t="shared" si="401"/>
        <v>#N/A</v>
      </c>
      <c r="AQ889" s="104" t="e">
        <f t="shared" si="402"/>
        <v>#N/A</v>
      </c>
      <c r="AR889" s="105" t="str">
        <f t="shared" si="394"/>
        <v/>
      </c>
      <c r="AS889" s="105" t="str">
        <f t="shared" si="395"/>
        <v/>
      </c>
      <c r="AT889" s="108" t="str">
        <f t="shared" si="396"/>
        <v/>
      </c>
      <c r="AU889" s="108" t="str">
        <f t="shared" si="397"/>
        <v/>
      </c>
      <c r="AV889" s="107" t="str">
        <f>IF(ISNUMBER(O889),IF(VLOOKUP($A889,Stand!C:J,8,FALSE)="Short",AT889,AU889),"")</f>
        <v/>
      </c>
      <c r="AW889" s="109" t="str">
        <f t="shared" si="403"/>
        <v/>
      </c>
      <c r="AX889" s="109" t="str">
        <f t="shared" si="404"/>
        <v/>
      </c>
      <c r="AY889" s="112" t="str">
        <f>IF(ISNUMBER(O889),IF(AND(VLOOKUP($D889,Merchantability!$B:$C,2,0)="Yes",$E889&gt;=VLOOKUP($D889,Merchantability!$B:$D,3,0),$E889&lt;=VLOOKUP($D889,Merchantability!$B:$E,4,0)),(AV889*O889)*(1-$H889/100),""),"")</f>
        <v/>
      </c>
      <c r="AZ889" s="116"/>
      <c r="BA889" s="116"/>
      <c r="BB889" s="116"/>
      <c r="BE889" s="62"/>
      <c r="BF889" s="63"/>
    </row>
    <row r="890" spans="1:58" ht="12.75" customHeight="1" x14ac:dyDescent="0.25">
      <c r="A890" s="313"/>
      <c r="B890" s="328"/>
      <c r="C890" s="329"/>
      <c r="D890" s="328"/>
      <c r="E890" s="330"/>
      <c r="F890" s="328"/>
      <c r="G890" s="329"/>
      <c r="H890" s="329"/>
      <c r="I890" s="328"/>
      <c r="J890" s="383"/>
      <c r="K890" s="329"/>
      <c r="L890" s="329"/>
      <c r="M890" s="76"/>
      <c r="N890" s="103" t="str">
        <f>IF(A890="","",VLOOKUP(A890,Stand!C:K,9,0))</f>
        <v/>
      </c>
      <c r="O890" s="104" t="str">
        <f t="shared" si="389"/>
        <v/>
      </c>
      <c r="P890" s="105" t="str">
        <f t="shared" si="390"/>
        <v/>
      </c>
      <c r="Q890" s="105" t="str">
        <f t="shared" si="405"/>
        <v/>
      </c>
      <c r="R890" s="103" t="str">
        <f t="shared" si="391"/>
        <v/>
      </c>
      <c r="S890" s="103" t="str">
        <f t="shared" si="392"/>
        <v/>
      </c>
      <c r="T890" s="106" t="str">
        <f t="shared" si="406"/>
        <v/>
      </c>
      <c r="U890" s="106" t="str">
        <f t="shared" si="407"/>
        <v/>
      </c>
      <c r="V890" s="106" t="str">
        <f t="shared" si="408"/>
        <v/>
      </c>
      <c r="W890" s="105" t="str">
        <f t="shared" si="393"/>
        <v/>
      </c>
      <c r="X890" s="104" t="str">
        <f t="shared" si="398"/>
        <v/>
      </c>
      <c r="Y890" s="104" t="str">
        <f t="array" ref="Y890">IFERROR(IF(ISNUMBER(O890),IF(COUNT(IF(A890=$A$2:$A$2427,IF(D890=$D$2:$D$2427,IF($X$2:$X$2427&gt;0,1))))&gt;0,SUM(IF(A890=$A$2:$A$2427,IF(D890=$D$2:$D$2427,$X$2:$X$2427)))/COUNT(IF(A890=$A$2:$A$2427,IF(D890=$D$2:$D$2427,IF(ISNUMBER($X$2:$X$2427),1)))),0),""),0)</f>
        <v/>
      </c>
      <c r="Z890" s="104" t="str">
        <f>IF(ISNUMBER(O890),IF(I890&gt;0,(10^(VLOOKUP(D890,'Species Codes'!B:C,2,0)+VLOOKUP(D890,'Species Codes'!B:D,3,0)*LOG(E890)+VLOOKUP(D890,'Species Codes'!B:E,4,0)*LOG(I890))),0),"")</f>
        <v/>
      </c>
      <c r="AA890" s="104" t="str">
        <f>IFERROR((VLOOKUP(D890,'Species Codes'!B:G,6,0)*Z890)/2000,"")</f>
        <v/>
      </c>
      <c r="AB890" s="104" t="e">
        <f>IF(Z890&gt;0,((IF(OR(D890="DF",D890="RA")=TRUE,EXP(VLOOKUP(D890,'Species Codes'!B:I,8,0)+VLOOKUP(D890,'Species Codes'!B:J,9,0)*(LN((E890*2.54)))),IF(OR(D890="PY",D890="RC",D890="WH",D890="NF")=TRUE,VLOOKUP(D890,'Species Codes'!B:I,8,0)+VLOOKUP(D890,'Species Codes'!B:J,9,0)*((E890*2.54)^2)*(I890*0.3048),IF(OR(D890="MD",D890="BM",D890="GA")=TRUE,((VLOOKUP(D890,'Species Codes'!B:I,8,0)*(((((E890*2.54)+VLOOKUP(D890,'Species Codes'!B:J,9,0))/VLOOKUP(D890,'Species Codes'!B:K,10,0))^VLOOKUP(D890,'Species Codes'!B:L,11,0))*((I890*0.3048)^VLOOKUP(D890,'Species Codes'!B:M,12,0))))-(VLOOKUP(D890,'Species Codes'!B:I,8,0)*((((E890*2.54)^VLOOKUP(D890,'Species Codes'!B:L,11,0))*((I890*0.3048)^VLOOKUP(D890,'Species Codes'!B:M,12,0))))))*35.3*VLOOKUP(D890,'Species Codes'!B:G,6,0)/2.2046,VLOOKUP(D890,'Species Codes'!B:I,8,0)+VLOOKUP(D890,'Species Codes'!B:J,9,0)*(((E890*2.54)/100)^2)*(I890*0.3048)))))*0.0011023),0)</f>
        <v>#N/A</v>
      </c>
      <c r="AC890" s="104" t="e">
        <f>IF(Z890&gt;0,((IF(OR(D890="RA",D890="OA",D890="OT",D890="UN",D890="PC"),EXP(VLOOKUP(D890,'Species Codes'!B:O,14,0)+VLOOKUP(D890,'Species Codes'!B:P,15,0)*LN((E890*2.54)))-EXP(VLOOKUP(D890,'Species Codes'!B:O,14,0)+VLOOKUP(D890,'Species Codes'!B:P,15,0)*LN((E890*2.54)))*(1/(VLOOKUP(D890,'Species Codes'!B:Q,16,0)+VLOOKUP(D890,'Species Codes'!B:R,17,0)*((E890*2.54)^VLOOKUP(D890,'Species Codes'!B:S,18,0)))),IF(OR(D890="BM",D890="MD",D890="OA"),EXP(VLOOKUP(D890,'Species Codes'!B:O,14,0)+VLOOKUP(D890,'Species Codes'!B:P,15,0)*LN((E890*2.54)))*(1-(1/(VLOOKUP(D890,'Species Codes'!B:Q,16,0)+VLOOKUP(D890,'Species Codes'!B:R,17,0)*((E890*2.54)^VLOOKUP(D890,'Species Codes'!B:S,18,0)))))/1000,IF(D890="DF",EXP(VLOOKUP(D890,'Species Codes'!B:O,14,0)+VLOOKUP(D890,'Species Codes'!B:P,15,0)*LN((E890*2.54))),VLOOKUP(D890,'Species Codes'!B:O,14,0)+VLOOKUP(D890,'Species Codes'!B:P,15,0)*(((E890*2.54)/100)^2)*(I890*0.3048)))))*0.0011023),0)</f>
        <v>#N/A</v>
      </c>
      <c r="AD890" s="104" t="e">
        <f t="shared" si="409"/>
        <v>#N/A</v>
      </c>
      <c r="AE890" s="104" t="e">
        <f t="shared" si="410"/>
        <v>#N/A</v>
      </c>
      <c r="AF890" s="104" t="e">
        <f>IF(AND(VLOOKUP($D890,Merchantability!$B:$C,2,0)="Yes",$E890&gt;=VLOOKUP($D890,Merchantability!$B:$D,3,0),$E890&lt;=VLOOKUP($D890,Merchantability!$B:$E,4,0)),AA890,0)</f>
        <v>#N/A</v>
      </c>
      <c r="AG890" s="104" t="e">
        <f>IF(AND(VLOOKUP($D890,Merchantability!$B:$C,2,0)="Yes",$E890&gt;=VLOOKUP($D890,Merchantability!$B:$D,3,0),$E890&lt;=VLOOKUP($D890,Merchantability!$B:$E,4,0)),AB890,0)</f>
        <v>#N/A</v>
      </c>
      <c r="AH890" s="104" t="e">
        <f>IF(AND(VLOOKUP($D890,Merchantability!$B:$C,2,0)="Yes",$E890&gt;=VLOOKUP($D890,Merchantability!$B:$D,3,0),$E890&lt;=VLOOKUP($D890,Merchantability!$B:$E,4,0)),AC890,0)</f>
        <v>#N/A</v>
      </c>
      <c r="AI890" s="104" t="e">
        <f t="shared" si="411"/>
        <v>#N/A</v>
      </c>
      <c r="AJ890" s="104" t="e">
        <f t="shared" si="412"/>
        <v>#VALUE!</v>
      </c>
      <c r="AK890" s="104" t="e">
        <f t="shared" si="413"/>
        <v>#N/A</v>
      </c>
      <c r="AL890" s="104" t="e">
        <f t="shared" si="414"/>
        <v>#N/A</v>
      </c>
      <c r="AM890" s="104" t="e">
        <f t="shared" si="415"/>
        <v>#N/A</v>
      </c>
      <c r="AN890" s="104" t="e">
        <f t="shared" si="399"/>
        <v>#N/A</v>
      </c>
      <c r="AO890" s="104" t="e">
        <f t="shared" si="400"/>
        <v>#N/A</v>
      </c>
      <c r="AP890" s="104" t="e">
        <f t="shared" si="401"/>
        <v>#N/A</v>
      </c>
      <c r="AQ890" s="104" t="e">
        <f t="shared" si="402"/>
        <v>#N/A</v>
      </c>
      <c r="AR890" s="105" t="str">
        <f t="shared" si="394"/>
        <v/>
      </c>
      <c r="AS890" s="105" t="str">
        <f t="shared" si="395"/>
        <v/>
      </c>
      <c r="AT890" s="108" t="str">
        <f t="shared" si="396"/>
        <v/>
      </c>
      <c r="AU890" s="108" t="str">
        <f t="shared" si="397"/>
        <v/>
      </c>
      <c r="AV890" s="107" t="str">
        <f>IF(ISNUMBER(O890),IF(VLOOKUP($A890,Stand!C:J,8,FALSE)="Short",AT890,AU890),"")</f>
        <v/>
      </c>
      <c r="AW890" s="109" t="str">
        <f t="shared" si="403"/>
        <v/>
      </c>
      <c r="AX890" s="109" t="str">
        <f t="shared" si="404"/>
        <v/>
      </c>
      <c r="AY890" s="112" t="str">
        <f>IF(ISNUMBER(O890),IF(AND(VLOOKUP($D890,Merchantability!$B:$C,2,0)="Yes",$E890&gt;=VLOOKUP($D890,Merchantability!$B:$D,3,0),$E890&lt;=VLOOKUP($D890,Merchantability!$B:$E,4,0)),(AV890*O890)*(1-$H890/100),""),"")</f>
        <v/>
      </c>
      <c r="AZ890" s="116"/>
      <c r="BA890" s="116"/>
      <c r="BB890" s="116"/>
      <c r="BE890" s="62"/>
      <c r="BF890" s="63"/>
    </row>
    <row r="891" spans="1:58" ht="12.75" customHeight="1" x14ac:dyDescent="0.25">
      <c r="A891" s="313"/>
      <c r="B891" s="328"/>
      <c r="C891" s="329"/>
      <c r="D891" s="328"/>
      <c r="E891" s="330"/>
      <c r="F891" s="328"/>
      <c r="G891" s="329"/>
      <c r="H891" s="329"/>
      <c r="I891" s="328"/>
      <c r="J891" s="383"/>
      <c r="K891" s="329"/>
      <c r="L891" s="329"/>
      <c r="M891" s="76"/>
      <c r="N891" s="103" t="str">
        <f>IF(A891="","",VLOOKUP(A891,Stand!C:K,9,0))</f>
        <v/>
      </c>
      <c r="O891" s="104" t="str">
        <f t="shared" si="389"/>
        <v/>
      </c>
      <c r="P891" s="105" t="str">
        <f t="shared" si="390"/>
        <v/>
      </c>
      <c r="Q891" s="105" t="str">
        <f t="shared" si="405"/>
        <v/>
      </c>
      <c r="R891" s="103" t="str">
        <f t="shared" si="391"/>
        <v/>
      </c>
      <c r="S891" s="103" t="str">
        <f t="shared" si="392"/>
        <v/>
      </c>
      <c r="T891" s="106" t="str">
        <f t="shared" si="406"/>
        <v/>
      </c>
      <c r="U891" s="106" t="str">
        <f t="shared" si="407"/>
        <v/>
      </c>
      <c r="V891" s="106" t="str">
        <f t="shared" si="408"/>
        <v/>
      </c>
      <c r="W891" s="105" t="str">
        <f t="shared" si="393"/>
        <v/>
      </c>
      <c r="X891" s="104" t="str">
        <f t="shared" si="398"/>
        <v/>
      </c>
      <c r="Y891" s="104" t="str">
        <f t="array" ref="Y891">IFERROR(IF(ISNUMBER(O891),IF(COUNT(IF(A891=$A$2:$A$2427,IF(D891=$D$2:$D$2427,IF($X$2:$X$2427&gt;0,1))))&gt;0,SUM(IF(A891=$A$2:$A$2427,IF(D891=$D$2:$D$2427,$X$2:$X$2427)))/COUNT(IF(A891=$A$2:$A$2427,IF(D891=$D$2:$D$2427,IF(ISNUMBER($X$2:$X$2427),1)))),0),""),0)</f>
        <v/>
      </c>
      <c r="Z891" s="104" t="str">
        <f>IF(ISNUMBER(O891),IF(I891&gt;0,(10^(VLOOKUP(D891,'Species Codes'!B:C,2,0)+VLOOKUP(D891,'Species Codes'!B:D,3,0)*LOG(E891)+VLOOKUP(D891,'Species Codes'!B:E,4,0)*LOG(I891))),0),"")</f>
        <v/>
      </c>
      <c r="AA891" s="104" t="str">
        <f>IFERROR((VLOOKUP(D891,'Species Codes'!B:G,6,0)*Z891)/2000,"")</f>
        <v/>
      </c>
      <c r="AB891" s="104" t="e">
        <f>IF(Z891&gt;0,((IF(OR(D891="DF",D891="RA")=TRUE,EXP(VLOOKUP(D891,'Species Codes'!B:I,8,0)+VLOOKUP(D891,'Species Codes'!B:J,9,0)*(LN((E891*2.54)))),IF(OR(D891="PY",D891="RC",D891="WH",D891="NF")=TRUE,VLOOKUP(D891,'Species Codes'!B:I,8,0)+VLOOKUP(D891,'Species Codes'!B:J,9,0)*((E891*2.54)^2)*(I891*0.3048),IF(OR(D891="MD",D891="BM",D891="GA")=TRUE,((VLOOKUP(D891,'Species Codes'!B:I,8,0)*(((((E891*2.54)+VLOOKUP(D891,'Species Codes'!B:J,9,0))/VLOOKUP(D891,'Species Codes'!B:K,10,0))^VLOOKUP(D891,'Species Codes'!B:L,11,0))*((I891*0.3048)^VLOOKUP(D891,'Species Codes'!B:M,12,0))))-(VLOOKUP(D891,'Species Codes'!B:I,8,0)*((((E891*2.54)^VLOOKUP(D891,'Species Codes'!B:L,11,0))*((I891*0.3048)^VLOOKUP(D891,'Species Codes'!B:M,12,0))))))*35.3*VLOOKUP(D891,'Species Codes'!B:G,6,0)/2.2046,VLOOKUP(D891,'Species Codes'!B:I,8,0)+VLOOKUP(D891,'Species Codes'!B:J,9,0)*(((E891*2.54)/100)^2)*(I891*0.3048)))))*0.0011023),0)</f>
        <v>#N/A</v>
      </c>
      <c r="AC891" s="104" t="e">
        <f>IF(Z891&gt;0,((IF(OR(D891="RA",D891="OA",D891="OT",D891="UN",D891="PC"),EXP(VLOOKUP(D891,'Species Codes'!B:O,14,0)+VLOOKUP(D891,'Species Codes'!B:P,15,0)*LN((E891*2.54)))-EXP(VLOOKUP(D891,'Species Codes'!B:O,14,0)+VLOOKUP(D891,'Species Codes'!B:P,15,0)*LN((E891*2.54)))*(1/(VLOOKUP(D891,'Species Codes'!B:Q,16,0)+VLOOKUP(D891,'Species Codes'!B:R,17,0)*((E891*2.54)^VLOOKUP(D891,'Species Codes'!B:S,18,0)))),IF(OR(D891="BM",D891="MD",D891="OA"),EXP(VLOOKUP(D891,'Species Codes'!B:O,14,0)+VLOOKUP(D891,'Species Codes'!B:P,15,0)*LN((E891*2.54)))*(1-(1/(VLOOKUP(D891,'Species Codes'!B:Q,16,0)+VLOOKUP(D891,'Species Codes'!B:R,17,0)*((E891*2.54)^VLOOKUP(D891,'Species Codes'!B:S,18,0)))))/1000,IF(D891="DF",EXP(VLOOKUP(D891,'Species Codes'!B:O,14,0)+VLOOKUP(D891,'Species Codes'!B:P,15,0)*LN((E891*2.54))),VLOOKUP(D891,'Species Codes'!B:O,14,0)+VLOOKUP(D891,'Species Codes'!B:P,15,0)*(((E891*2.54)/100)^2)*(I891*0.3048)))))*0.0011023),0)</f>
        <v>#N/A</v>
      </c>
      <c r="AD891" s="104" t="e">
        <f t="shared" si="409"/>
        <v>#N/A</v>
      </c>
      <c r="AE891" s="104" t="e">
        <f t="shared" si="410"/>
        <v>#N/A</v>
      </c>
      <c r="AF891" s="104" t="e">
        <f>IF(AND(VLOOKUP($D891,Merchantability!$B:$C,2,0)="Yes",$E891&gt;=VLOOKUP($D891,Merchantability!$B:$D,3,0),$E891&lt;=VLOOKUP($D891,Merchantability!$B:$E,4,0)),AA891,0)</f>
        <v>#N/A</v>
      </c>
      <c r="AG891" s="104" t="e">
        <f>IF(AND(VLOOKUP($D891,Merchantability!$B:$C,2,0)="Yes",$E891&gt;=VLOOKUP($D891,Merchantability!$B:$D,3,0),$E891&lt;=VLOOKUP($D891,Merchantability!$B:$E,4,0)),AB891,0)</f>
        <v>#N/A</v>
      </c>
      <c r="AH891" s="104" t="e">
        <f>IF(AND(VLOOKUP($D891,Merchantability!$B:$C,2,0)="Yes",$E891&gt;=VLOOKUP($D891,Merchantability!$B:$D,3,0),$E891&lt;=VLOOKUP($D891,Merchantability!$B:$E,4,0)),AC891,0)</f>
        <v>#N/A</v>
      </c>
      <c r="AI891" s="104" t="e">
        <f t="shared" si="411"/>
        <v>#N/A</v>
      </c>
      <c r="AJ891" s="104" t="e">
        <f t="shared" si="412"/>
        <v>#VALUE!</v>
      </c>
      <c r="AK891" s="104" t="e">
        <f t="shared" si="413"/>
        <v>#N/A</v>
      </c>
      <c r="AL891" s="104" t="e">
        <f t="shared" si="414"/>
        <v>#N/A</v>
      </c>
      <c r="AM891" s="104" t="e">
        <f t="shared" si="415"/>
        <v>#N/A</v>
      </c>
      <c r="AN891" s="104" t="e">
        <f t="shared" si="399"/>
        <v>#N/A</v>
      </c>
      <c r="AO891" s="104" t="e">
        <f t="shared" si="400"/>
        <v>#N/A</v>
      </c>
      <c r="AP891" s="104" t="e">
        <f t="shared" si="401"/>
        <v>#N/A</v>
      </c>
      <c r="AQ891" s="104" t="e">
        <f t="shared" si="402"/>
        <v>#N/A</v>
      </c>
      <c r="AR891" s="105" t="str">
        <f t="shared" si="394"/>
        <v/>
      </c>
      <c r="AS891" s="105" t="str">
        <f t="shared" si="395"/>
        <v/>
      </c>
      <c r="AT891" s="108" t="str">
        <f t="shared" si="396"/>
        <v/>
      </c>
      <c r="AU891" s="108" t="str">
        <f t="shared" si="397"/>
        <v/>
      </c>
      <c r="AV891" s="107" t="str">
        <f>IF(ISNUMBER(O891),IF(VLOOKUP($A891,Stand!C:J,8,FALSE)="Short",AT891,AU891),"")</f>
        <v/>
      </c>
      <c r="AW891" s="109" t="str">
        <f t="shared" si="403"/>
        <v/>
      </c>
      <c r="AX891" s="109" t="str">
        <f t="shared" si="404"/>
        <v/>
      </c>
      <c r="AY891" s="112" t="str">
        <f>IF(ISNUMBER(O891),IF(AND(VLOOKUP($D891,Merchantability!$B:$C,2,0)="Yes",$E891&gt;=VLOOKUP($D891,Merchantability!$B:$D,3,0),$E891&lt;=VLOOKUP($D891,Merchantability!$B:$E,4,0)),(AV891*O891)*(1-$H891/100),""),"")</f>
        <v/>
      </c>
      <c r="AZ891" s="116"/>
      <c r="BA891" s="116"/>
      <c r="BB891" s="116"/>
      <c r="BE891" s="62"/>
      <c r="BF891" s="63"/>
    </row>
    <row r="892" spans="1:58" ht="12.75" customHeight="1" x14ac:dyDescent="0.25">
      <c r="A892" s="313"/>
      <c r="B892" s="328"/>
      <c r="C892" s="329"/>
      <c r="D892" s="328"/>
      <c r="E892" s="330"/>
      <c r="F892" s="328"/>
      <c r="G892" s="329"/>
      <c r="H892" s="329"/>
      <c r="I892" s="328"/>
      <c r="J892" s="383"/>
      <c r="K892" s="329"/>
      <c r="L892" s="329"/>
      <c r="M892" s="76"/>
      <c r="N892" s="103" t="str">
        <f>IF(A892="","",VLOOKUP(A892,Stand!C:K,9,0))</f>
        <v/>
      </c>
      <c r="O892" s="104" t="str">
        <f t="shared" si="389"/>
        <v/>
      </c>
      <c r="P892" s="105" t="str">
        <f t="shared" si="390"/>
        <v/>
      </c>
      <c r="Q892" s="105" t="str">
        <f t="shared" si="405"/>
        <v/>
      </c>
      <c r="R892" s="103" t="str">
        <f t="shared" si="391"/>
        <v/>
      </c>
      <c r="S892" s="103" t="str">
        <f t="shared" si="392"/>
        <v/>
      </c>
      <c r="T892" s="106" t="str">
        <f t="shared" si="406"/>
        <v/>
      </c>
      <c r="U892" s="106" t="str">
        <f t="shared" si="407"/>
        <v/>
      </c>
      <c r="V892" s="106" t="str">
        <f t="shared" si="408"/>
        <v/>
      </c>
      <c r="W892" s="105" t="str">
        <f t="shared" si="393"/>
        <v/>
      </c>
      <c r="X892" s="104" t="str">
        <f t="shared" si="398"/>
        <v/>
      </c>
      <c r="Y892" s="104" t="str">
        <f t="array" ref="Y892">IFERROR(IF(ISNUMBER(O892),IF(COUNT(IF(A892=$A$2:$A$2427,IF(D892=$D$2:$D$2427,IF($X$2:$X$2427&gt;0,1))))&gt;0,SUM(IF(A892=$A$2:$A$2427,IF(D892=$D$2:$D$2427,$X$2:$X$2427)))/COUNT(IF(A892=$A$2:$A$2427,IF(D892=$D$2:$D$2427,IF(ISNUMBER($X$2:$X$2427),1)))),0),""),0)</f>
        <v/>
      </c>
      <c r="Z892" s="104" t="str">
        <f>IF(ISNUMBER(O892),IF(I892&gt;0,(10^(VLOOKUP(D892,'Species Codes'!B:C,2,0)+VLOOKUP(D892,'Species Codes'!B:D,3,0)*LOG(E892)+VLOOKUP(D892,'Species Codes'!B:E,4,0)*LOG(I892))),0),"")</f>
        <v/>
      </c>
      <c r="AA892" s="104" t="str">
        <f>IFERROR((VLOOKUP(D892,'Species Codes'!B:G,6,0)*Z892)/2000,"")</f>
        <v/>
      </c>
      <c r="AB892" s="104" t="e">
        <f>IF(Z892&gt;0,((IF(OR(D892="DF",D892="RA")=TRUE,EXP(VLOOKUP(D892,'Species Codes'!B:I,8,0)+VLOOKUP(D892,'Species Codes'!B:J,9,0)*(LN((E892*2.54)))),IF(OR(D892="PY",D892="RC",D892="WH",D892="NF")=TRUE,VLOOKUP(D892,'Species Codes'!B:I,8,0)+VLOOKUP(D892,'Species Codes'!B:J,9,0)*((E892*2.54)^2)*(I892*0.3048),IF(OR(D892="MD",D892="BM",D892="GA")=TRUE,((VLOOKUP(D892,'Species Codes'!B:I,8,0)*(((((E892*2.54)+VLOOKUP(D892,'Species Codes'!B:J,9,0))/VLOOKUP(D892,'Species Codes'!B:K,10,0))^VLOOKUP(D892,'Species Codes'!B:L,11,0))*((I892*0.3048)^VLOOKUP(D892,'Species Codes'!B:M,12,0))))-(VLOOKUP(D892,'Species Codes'!B:I,8,0)*((((E892*2.54)^VLOOKUP(D892,'Species Codes'!B:L,11,0))*((I892*0.3048)^VLOOKUP(D892,'Species Codes'!B:M,12,0))))))*35.3*VLOOKUP(D892,'Species Codes'!B:G,6,0)/2.2046,VLOOKUP(D892,'Species Codes'!B:I,8,0)+VLOOKUP(D892,'Species Codes'!B:J,9,0)*(((E892*2.54)/100)^2)*(I892*0.3048)))))*0.0011023),0)</f>
        <v>#N/A</v>
      </c>
      <c r="AC892" s="104" t="e">
        <f>IF(Z892&gt;0,((IF(OR(D892="RA",D892="OA",D892="OT",D892="UN",D892="PC"),EXP(VLOOKUP(D892,'Species Codes'!B:O,14,0)+VLOOKUP(D892,'Species Codes'!B:P,15,0)*LN((E892*2.54)))-EXP(VLOOKUP(D892,'Species Codes'!B:O,14,0)+VLOOKUP(D892,'Species Codes'!B:P,15,0)*LN((E892*2.54)))*(1/(VLOOKUP(D892,'Species Codes'!B:Q,16,0)+VLOOKUP(D892,'Species Codes'!B:R,17,0)*((E892*2.54)^VLOOKUP(D892,'Species Codes'!B:S,18,0)))),IF(OR(D892="BM",D892="MD",D892="OA"),EXP(VLOOKUP(D892,'Species Codes'!B:O,14,0)+VLOOKUP(D892,'Species Codes'!B:P,15,0)*LN((E892*2.54)))*(1-(1/(VLOOKUP(D892,'Species Codes'!B:Q,16,0)+VLOOKUP(D892,'Species Codes'!B:R,17,0)*((E892*2.54)^VLOOKUP(D892,'Species Codes'!B:S,18,0)))))/1000,IF(D892="DF",EXP(VLOOKUP(D892,'Species Codes'!B:O,14,0)+VLOOKUP(D892,'Species Codes'!B:P,15,0)*LN((E892*2.54))),VLOOKUP(D892,'Species Codes'!B:O,14,0)+VLOOKUP(D892,'Species Codes'!B:P,15,0)*(((E892*2.54)/100)^2)*(I892*0.3048)))))*0.0011023),0)</f>
        <v>#N/A</v>
      </c>
      <c r="AD892" s="104" t="e">
        <f t="shared" si="409"/>
        <v>#N/A</v>
      </c>
      <c r="AE892" s="104" t="e">
        <f t="shared" si="410"/>
        <v>#N/A</v>
      </c>
      <c r="AF892" s="104" t="e">
        <f>IF(AND(VLOOKUP($D892,Merchantability!$B:$C,2,0)="Yes",$E892&gt;=VLOOKUP($D892,Merchantability!$B:$D,3,0),$E892&lt;=VLOOKUP($D892,Merchantability!$B:$E,4,0)),AA892,0)</f>
        <v>#N/A</v>
      </c>
      <c r="AG892" s="104" t="e">
        <f>IF(AND(VLOOKUP($D892,Merchantability!$B:$C,2,0)="Yes",$E892&gt;=VLOOKUP($D892,Merchantability!$B:$D,3,0),$E892&lt;=VLOOKUP($D892,Merchantability!$B:$E,4,0)),AB892,0)</f>
        <v>#N/A</v>
      </c>
      <c r="AH892" s="104" t="e">
        <f>IF(AND(VLOOKUP($D892,Merchantability!$B:$C,2,0)="Yes",$E892&gt;=VLOOKUP($D892,Merchantability!$B:$D,3,0),$E892&lt;=VLOOKUP($D892,Merchantability!$B:$E,4,0)),AC892,0)</f>
        <v>#N/A</v>
      </c>
      <c r="AI892" s="104" t="e">
        <f t="shared" si="411"/>
        <v>#N/A</v>
      </c>
      <c r="AJ892" s="104" t="e">
        <f t="shared" si="412"/>
        <v>#VALUE!</v>
      </c>
      <c r="AK892" s="104" t="e">
        <f t="shared" si="413"/>
        <v>#N/A</v>
      </c>
      <c r="AL892" s="104" t="e">
        <f t="shared" si="414"/>
        <v>#N/A</v>
      </c>
      <c r="AM892" s="104" t="e">
        <f t="shared" si="415"/>
        <v>#N/A</v>
      </c>
      <c r="AN892" s="104" t="e">
        <f t="shared" si="399"/>
        <v>#N/A</v>
      </c>
      <c r="AO892" s="104" t="e">
        <f t="shared" si="400"/>
        <v>#N/A</v>
      </c>
      <c r="AP892" s="104" t="e">
        <f t="shared" si="401"/>
        <v>#N/A</v>
      </c>
      <c r="AQ892" s="104" t="e">
        <f t="shared" si="402"/>
        <v>#N/A</v>
      </c>
      <c r="AR892" s="105" t="str">
        <f t="shared" si="394"/>
        <v/>
      </c>
      <c r="AS892" s="105" t="str">
        <f t="shared" si="395"/>
        <v/>
      </c>
      <c r="AT892" s="108" t="str">
        <f t="shared" si="396"/>
        <v/>
      </c>
      <c r="AU892" s="108" t="str">
        <f t="shared" si="397"/>
        <v/>
      </c>
      <c r="AV892" s="107" t="str">
        <f>IF(ISNUMBER(O892),IF(VLOOKUP($A892,Stand!C:J,8,FALSE)="Short",AT892,AU892),"")</f>
        <v/>
      </c>
      <c r="AW892" s="109" t="str">
        <f t="shared" si="403"/>
        <v/>
      </c>
      <c r="AX892" s="109" t="str">
        <f t="shared" si="404"/>
        <v/>
      </c>
      <c r="AY892" s="112" t="str">
        <f>IF(ISNUMBER(O892),IF(AND(VLOOKUP($D892,Merchantability!$B:$C,2,0)="Yes",$E892&gt;=VLOOKUP($D892,Merchantability!$B:$D,3,0),$E892&lt;=VLOOKUP($D892,Merchantability!$B:$E,4,0)),(AV892*O892)*(1-$H892/100),""),"")</f>
        <v/>
      </c>
      <c r="AZ892" s="116"/>
      <c r="BA892" s="116"/>
      <c r="BB892" s="116"/>
      <c r="BE892" s="62"/>
      <c r="BF892" s="63"/>
    </row>
    <row r="893" spans="1:58" ht="12.75" customHeight="1" x14ac:dyDescent="0.25">
      <c r="A893" s="313"/>
      <c r="B893" s="328"/>
      <c r="C893" s="329"/>
      <c r="D893" s="328"/>
      <c r="E893" s="330"/>
      <c r="F893" s="328"/>
      <c r="G893" s="329"/>
      <c r="H893" s="329"/>
      <c r="I893" s="328"/>
      <c r="J893" s="383"/>
      <c r="K893" s="329"/>
      <c r="L893" s="329"/>
      <c r="M893" s="76"/>
      <c r="N893" s="103" t="str">
        <f>IF(A893="","",VLOOKUP(A893,Stand!C:K,9,0))</f>
        <v/>
      </c>
      <c r="O893" s="104" t="str">
        <f t="shared" si="389"/>
        <v/>
      </c>
      <c r="P893" s="105" t="str">
        <f t="shared" si="390"/>
        <v/>
      </c>
      <c r="Q893" s="105" t="str">
        <f t="shared" si="405"/>
        <v/>
      </c>
      <c r="R893" s="103" t="str">
        <f t="shared" si="391"/>
        <v/>
      </c>
      <c r="S893" s="103" t="str">
        <f t="shared" si="392"/>
        <v/>
      </c>
      <c r="T893" s="106" t="str">
        <f t="shared" si="406"/>
        <v/>
      </c>
      <c r="U893" s="106" t="str">
        <f t="shared" si="407"/>
        <v/>
      </c>
      <c r="V893" s="106" t="str">
        <f t="shared" si="408"/>
        <v/>
      </c>
      <c r="W893" s="105" t="str">
        <f t="shared" si="393"/>
        <v/>
      </c>
      <c r="X893" s="104" t="str">
        <f t="shared" si="398"/>
        <v/>
      </c>
      <c r="Y893" s="104" t="str">
        <f t="array" ref="Y893">IFERROR(IF(ISNUMBER(O893),IF(COUNT(IF(A893=$A$2:$A$2427,IF(D893=$D$2:$D$2427,IF($X$2:$X$2427&gt;0,1))))&gt;0,SUM(IF(A893=$A$2:$A$2427,IF(D893=$D$2:$D$2427,$X$2:$X$2427)))/COUNT(IF(A893=$A$2:$A$2427,IF(D893=$D$2:$D$2427,IF(ISNUMBER($X$2:$X$2427),1)))),0),""),0)</f>
        <v/>
      </c>
      <c r="Z893" s="104" t="str">
        <f>IF(ISNUMBER(O893),IF(I893&gt;0,(10^(VLOOKUP(D893,'Species Codes'!B:C,2,0)+VLOOKUP(D893,'Species Codes'!B:D,3,0)*LOG(E893)+VLOOKUP(D893,'Species Codes'!B:E,4,0)*LOG(I893))),0),"")</f>
        <v/>
      </c>
      <c r="AA893" s="104" t="str">
        <f>IFERROR((VLOOKUP(D893,'Species Codes'!B:G,6,0)*Z893)/2000,"")</f>
        <v/>
      </c>
      <c r="AB893" s="104" t="e">
        <f>IF(Z893&gt;0,((IF(OR(D893="DF",D893="RA")=TRUE,EXP(VLOOKUP(D893,'Species Codes'!B:I,8,0)+VLOOKUP(D893,'Species Codes'!B:J,9,0)*(LN((E893*2.54)))),IF(OR(D893="PY",D893="RC",D893="WH",D893="NF")=TRUE,VLOOKUP(D893,'Species Codes'!B:I,8,0)+VLOOKUP(D893,'Species Codes'!B:J,9,0)*((E893*2.54)^2)*(I893*0.3048),IF(OR(D893="MD",D893="BM",D893="GA")=TRUE,((VLOOKUP(D893,'Species Codes'!B:I,8,0)*(((((E893*2.54)+VLOOKUP(D893,'Species Codes'!B:J,9,0))/VLOOKUP(D893,'Species Codes'!B:K,10,0))^VLOOKUP(D893,'Species Codes'!B:L,11,0))*((I893*0.3048)^VLOOKUP(D893,'Species Codes'!B:M,12,0))))-(VLOOKUP(D893,'Species Codes'!B:I,8,0)*((((E893*2.54)^VLOOKUP(D893,'Species Codes'!B:L,11,0))*((I893*0.3048)^VLOOKUP(D893,'Species Codes'!B:M,12,0))))))*35.3*VLOOKUP(D893,'Species Codes'!B:G,6,0)/2.2046,VLOOKUP(D893,'Species Codes'!B:I,8,0)+VLOOKUP(D893,'Species Codes'!B:J,9,0)*(((E893*2.54)/100)^2)*(I893*0.3048)))))*0.0011023),0)</f>
        <v>#N/A</v>
      </c>
      <c r="AC893" s="104" t="e">
        <f>IF(Z893&gt;0,((IF(OR(D893="RA",D893="OA",D893="OT",D893="UN",D893="PC"),EXP(VLOOKUP(D893,'Species Codes'!B:O,14,0)+VLOOKUP(D893,'Species Codes'!B:P,15,0)*LN((E893*2.54)))-EXP(VLOOKUP(D893,'Species Codes'!B:O,14,0)+VLOOKUP(D893,'Species Codes'!B:P,15,0)*LN((E893*2.54)))*(1/(VLOOKUP(D893,'Species Codes'!B:Q,16,0)+VLOOKUP(D893,'Species Codes'!B:R,17,0)*((E893*2.54)^VLOOKUP(D893,'Species Codes'!B:S,18,0)))),IF(OR(D893="BM",D893="MD",D893="OA"),EXP(VLOOKUP(D893,'Species Codes'!B:O,14,0)+VLOOKUP(D893,'Species Codes'!B:P,15,0)*LN((E893*2.54)))*(1-(1/(VLOOKUP(D893,'Species Codes'!B:Q,16,0)+VLOOKUP(D893,'Species Codes'!B:R,17,0)*((E893*2.54)^VLOOKUP(D893,'Species Codes'!B:S,18,0)))))/1000,IF(D893="DF",EXP(VLOOKUP(D893,'Species Codes'!B:O,14,0)+VLOOKUP(D893,'Species Codes'!B:P,15,0)*LN((E893*2.54))),VLOOKUP(D893,'Species Codes'!B:O,14,0)+VLOOKUP(D893,'Species Codes'!B:P,15,0)*(((E893*2.54)/100)^2)*(I893*0.3048)))))*0.0011023),0)</f>
        <v>#N/A</v>
      </c>
      <c r="AD893" s="104" t="e">
        <f t="shared" si="409"/>
        <v>#N/A</v>
      </c>
      <c r="AE893" s="104" t="e">
        <f t="shared" si="410"/>
        <v>#N/A</v>
      </c>
      <c r="AF893" s="104" t="e">
        <f>IF(AND(VLOOKUP($D893,Merchantability!$B:$C,2,0)="Yes",$E893&gt;=VLOOKUP($D893,Merchantability!$B:$D,3,0),$E893&lt;=VLOOKUP($D893,Merchantability!$B:$E,4,0)),AA893,0)</f>
        <v>#N/A</v>
      </c>
      <c r="AG893" s="104" t="e">
        <f>IF(AND(VLOOKUP($D893,Merchantability!$B:$C,2,0)="Yes",$E893&gt;=VLOOKUP($D893,Merchantability!$B:$D,3,0),$E893&lt;=VLOOKUP($D893,Merchantability!$B:$E,4,0)),AB893,0)</f>
        <v>#N/A</v>
      </c>
      <c r="AH893" s="104" t="e">
        <f>IF(AND(VLOOKUP($D893,Merchantability!$B:$C,2,0)="Yes",$E893&gt;=VLOOKUP($D893,Merchantability!$B:$D,3,0),$E893&lt;=VLOOKUP($D893,Merchantability!$B:$E,4,0)),AC893,0)</f>
        <v>#N/A</v>
      </c>
      <c r="AI893" s="104" t="e">
        <f t="shared" si="411"/>
        <v>#N/A</v>
      </c>
      <c r="AJ893" s="104" t="e">
        <f t="shared" si="412"/>
        <v>#VALUE!</v>
      </c>
      <c r="AK893" s="104" t="e">
        <f t="shared" si="413"/>
        <v>#N/A</v>
      </c>
      <c r="AL893" s="104" t="e">
        <f t="shared" si="414"/>
        <v>#N/A</v>
      </c>
      <c r="AM893" s="104" t="e">
        <f t="shared" si="415"/>
        <v>#N/A</v>
      </c>
      <c r="AN893" s="104" t="e">
        <f t="shared" si="399"/>
        <v>#N/A</v>
      </c>
      <c r="AO893" s="104" t="e">
        <f t="shared" si="400"/>
        <v>#N/A</v>
      </c>
      <c r="AP893" s="104" t="e">
        <f t="shared" si="401"/>
        <v>#N/A</v>
      </c>
      <c r="AQ893" s="104" t="e">
        <f t="shared" si="402"/>
        <v>#N/A</v>
      </c>
      <c r="AR893" s="105" t="str">
        <f t="shared" si="394"/>
        <v/>
      </c>
      <c r="AS893" s="105" t="str">
        <f t="shared" si="395"/>
        <v/>
      </c>
      <c r="AT893" s="108" t="str">
        <f t="shared" si="396"/>
        <v/>
      </c>
      <c r="AU893" s="108" t="str">
        <f t="shared" si="397"/>
        <v/>
      </c>
      <c r="AV893" s="107" t="str">
        <f>IF(ISNUMBER(O893),IF(VLOOKUP($A893,Stand!C:J,8,FALSE)="Short",AT893,AU893),"")</f>
        <v/>
      </c>
      <c r="AW893" s="109" t="str">
        <f t="shared" si="403"/>
        <v/>
      </c>
      <c r="AX893" s="109" t="str">
        <f t="shared" si="404"/>
        <v/>
      </c>
      <c r="AY893" s="112" t="str">
        <f>IF(ISNUMBER(O893),IF(AND(VLOOKUP($D893,Merchantability!$B:$C,2,0)="Yes",$E893&gt;=VLOOKUP($D893,Merchantability!$B:$D,3,0),$E893&lt;=VLOOKUP($D893,Merchantability!$B:$E,4,0)),(AV893*O893)*(1-$H893/100),""),"")</f>
        <v/>
      </c>
      <c r="AZ893" s="116"/>
      <c r="BA893" s="116"/>
      <c r="BB893" s="116"/>
      <c r="BE893" s="62"/>
      <c r="BF893" s="63"/>
    </row>
    <row r="894" spans="1:58" ht="12.75" customHeight="1" x14ac:dyDescent="0.25">
      <c r="A894" s="313"/>
      <c r="B894" s="328"/>
      <c r="C894" s="329"/>
      <c r="D894" s="328"/>
      <c r="E894" s="330"/>
      <c r="F894" s="328"/>
      <c r="G894" s="329"/>
      <c r="H894" s="329"/>
      <c r="I894" s="328"/>
      <c r="J894" s="383"/>
      <c r="K894" s="329"/>
      <c r="L894" s="329"/>
      <c r="M894" s="76"/>
      <c r="N894" s="103" t="str">
        <f>IF(A894="","",VLOOKUP(A894,Stand!C:K,9,0))</f>
        <v/>
      </c>
      <c r="O894" s="104" t="str">
        <f t="shared" si="389"/>
        <v/>
      </c>
      <c r="P894" s="105" t="str">
        <f t="shared" si="390"/>
        <v/>
      </c>
      <c r="Q894" s="105" t="str">
        <f t="shared" si="405"/>
        <v/>
      </c>
      <c r="R894" s="103" t="str">
        <f t="shared" si="391"/>
        <v/>
      </c>
      <c r="S894" s="103" t="str">
        <f t="shared" si="392"/>
        <v/>
      </c>
      <c r="T894" s="106" t="str">
        <f t="shared" si="406"/>
        <v/>
      </c>
      <c r="U894" s="106" t="str">
        <f t="shared" si="407"/>
        <v/>
      </c>
      <c r="V894" s="106" t="str">
        <f t="shared" si="408"/>
        <v/>
      </c>
      <c r="W894" s="105" t="str">
        <f t="shared" si="393"/>
        <v/>
      </c>
      <c r="X894" s="104" t="str">
        <f t="shared" si="398"/>
        <v/>
      </c>
      <c r="Y894" s="104" t="str">
        <f t="array" ref="Y894">IFERROR(IF(ISNUMBER(O894),IF(COUNT(IF(A894=$A$2:$A$2427,IF(D894=$D$2:$D$2427,IF($X$2:$X$2427&gt;0,1))))&gt;0,SUM(IF(A894=$A$2:$A$2427,IF(D894=$D$2:$D$2427,$X$2:$X$2427)))/COUNT(IF(A894=$A$2:$A$2427,IF(D894=$D$2:$D$2427,IF(ISNUMBER($X$2:$X$2427),1)))),0),""),0)</f>
        <v/>
      </c>
      <c r="Z894" s="104" t="str">
        <f>IF(ISNUMBER(O894),IF(I894&gt;0,(10^(VLOOKUP(D894,'Species Codes'!B:C,2,0)+VLOOKUP(D894,'Species Codes'!B:D,3,0)*LOG(E894)+VLOOKUP(D894,'Species Codes'!B:E,4,0)*LOG(I894))),0),"")</f>
        <v/>
      </c>
      <c r="AA894" s="104" t="str">
        <f>IFERROR((VLOOKUP(D894,'Species Codes'!B:G,6,0)*Z894)/2000,"")</f>
        <v/>
      </c>
      <c r="AB894" s="104" t="e">
        <f>IF(Z894&gt;0,((IF(OR(D894="DF",D894="RA")=TRUE,EXP(VLOOKUP(D894,'Species Codes'!B:I,8,0)+VLOOKUP(D894,'Species Codes'!B:J,9,0)*(LN((E894*2.54)))),IF(OR(D894="PY",D894="RC",D894="WH",D894="NF")=TRUE,VLOOKUP(D894,'Species Codes'!B:I,8,0)+VLOOKUP(D894,'Species Codes'!B:J,9,0)*((E894*2.54)^2)*(I894*0.3048),IF(OR(D894="MD",D894="BM",D894="GA")=TRUE,((VLOOKUP(D894,'Species Codes'!B:I,8,0)*(((((E894*2.54)+VLOOKUP(D894,'Species Codes'!B:J,9,0))/VLOOKUP(D894,'Species Codes'!B:K,10,0))^VLOOKUP(D894,'Species Codes'!B:L,11,0))*((I894*0.3048)^VLOOKUP(D894,'Species Codes'!B:M,12,0))))-(VLOOKUP(D894,'Species Codes'!B:I,8,0)*((((E894*2.54)^VLOOKUP(D894,'Species Codes'!B:L,11,0))*((I894*0.3048)^VLOOKUP(D894,'Species Codes'!B:M,12,0))))))*35.3*VLOOKUP(D894,'Species Codes'!B:G,6,0)/2.2046,VLOOKUP(D894,'Species Codes'!B:I,8,0)+VLOOKUP(D894,'Species Codes'!B:J,9,0)*(((E894*2.54)/100)^2)*(I894*0.3048)))))*0.0011023),0)</f>
        <v>#N/A</v>
      </c>
      <c r="AC894" s="104" t="e">
        <f>IF(Z894&gt;0,((IF(OR(D894="RA",D894="OA",D894="OT",D894="UN",D894="PC"),EXP(VLOOKUP(D894,'Species Codes'!B:O,14,0)+VLOOKUP(D894,'Species Codes'!B:P,15,0)*LN((E894*2.54)))-EXP(VLOOKUP(D894,'Species Codes'!B:O,14,0)+VLOOKUP(D894,'Species Codes'!B:P,15,0)*LN((E894*2.54)))*(1/(VLOOKUP(D894,'Species Codes'!B:Q,16,0)+VLOOKUP(D894,'Species Codes'!B:R,17,0)*((E894*2.54)^VLOOKUP(D894,'Species Codes'!B:S,18,0)))),IF(OR(D894="BM",D894="MD",D894="OA"),EXP(VLOOKUP(D894,'Species Codes'!B:O,14,0)+VLOOKUP(D894,'Species Codes'!B:P,15,0)*LN((E894*2.54)))*(1-(1/(VLOOKUP(D894,'Species Codes'!B:Q,16,0)+VLOOKUP(D894,'Species Codes'!B:R,17,0)*((E894*2.54)^VLOOKUP(D894,'Species Codes'!B:S,18,0)))))/1000,IF(D894="DF",EXP(VLOOKUP(D894,'Species Codes'!B:O,14,0)+VLOOKUP(D894,'Species Codes'!B:P,15,0)*LN((E894*2.54))),VLOOKUP(D894,'Species Codes'!B:O,14,0)+VLOOKUP(D894,'Species Codes'!B:P,15,0)*(((E894*2.54)/100)^2)*(I894*0.3048)))))*0.0011023),0)</f>
        <v>#N/A</v>
      </c>
      <c r="AD894" s="104" t="e">
        <f t="shared" si="409"/>
        <v>#N/A</v>
      </c>
      <c r="AE894" s="104" t="e">
        <f t="shared" si="410"/>
        <v>#N/A</v>
      </c>
      <c r="AF894" s="104" t="e">
        <f>IF(AND(VLOOKUP($D894,Merchantability!$B:$C,2,0)="Yes",$E894&gt;=VLOOKUP($D894,Merchantability!$B:$D,3,0),$E894&lt;=VLOOKUP($D894,Merchantability!$B:$E,4,0)),AA894,0)</f>
        <v>#N/A</v>
      </c>
      <c r="AG894" s="104" t="e">
        <f>IF(AND(VLOOKUP($D894,Merchantability!$B:$C,2,0)="Yes",$E894&gt;=VLOOKUP($D894,Merchantability!$B:$D,3,0),$E894&lt;=VLOOKUP($D894,Merchantability!$B:$E,4,0)),AB894,0)</f>
        <v>#N/A</v>
      </c>
      <c r="AH894" s="104" t="e">
        <f>IF(AND(VLOOKUP($D894,Merchantability!$B:$C,2,0)="Yes",$E894&gt;=VLOOKUP($D894,Merchantability!$B:$D,3,0),$E894&lt;=VLOOKUP($D894,Merchantability!$B:$E,4,0)),AC894,0)</f>
        <v>#N/A</v>
      </c>
      <c r="AI894" s="104" t="e">
        <f t="shared" si="411"/>
        <v>#N/A</v>
      </c>
      <c r="AJ894" s="104" t="e">
        <f t="shared" si="412"/>
        <v>#VALUE!</v>
      </c>
      <c r="AK894" s="104" t="e">
        <f t="shared" si="413"/>
        <v>#N/A</v>
      </c>
      <c r="AL894" s="104" t="e">
        <f t="shared" si="414"/>
        <v>#N/A</v>
      </c>
      <c r="AM894" s="104" t="e">
        <f t="shared" si="415"/>
        <v>#N/A</v>
      </c>
      <c r="AN894" s="104" t="e">
        <f t="shared" si="399"/>
        <v>#N/A</v>
      </c>
      <c r="AO894" s="104" t="e">
        <f t="shared" si="400"/>
        <v>#N/A</v>
      </c>
      <c r="AP894" s="104" t="e">
        <f t="shared" si="401"/>
        <v>#N/A</v>
      </c>
      <c r="AQ894" s="104" t="e">
        <f t="shared" si="402"/>
        <v>#N/A</v>
      </c>
      <c r="AR894" s="105" t="str">
        <f t="shared" si="394"/>
        <v/>
      </c>
      <c r="AS894" s="105" t="str">
        <f t="shared" si="395"/>
        <v/>
      </c>
      <c r="AT894" s="108" t="str">
        <f t="shared" si="396"/>
        <v/>
      </c>
      <c r="AU894" s="108" t="str">
        <f t="shared" si="397"/>
        <v/>
      </c>
      <c r="AV894" s="107" t="str">
        <f>IF(ISNUMBER(O894),IF(VLOOKUP($A894,Stand!C:J,8,FALSE)="Short",AT894,AU894),"")</f>
        <v/>
      </c>
      <c r="AW894" s="109" t="str">
        <f t="shared" si="403"/>
        <v/>
      </c>
      <c r="AX894" s="109" t="str">
        <f t="shared" si="404"/>
        <v/>
      </c>
      <c r="AY894" s="112" t="str">
        <f>IF(ISNUMBER(O894),IF(AND(VLOOKUP($D894,Merchantability!$B:$C,2,0)="Yes",$E894&gt;=VLOOKUP($D894,Merchantability!$B:$D,3,0),$E894&lt;=VLOOKUP($D894,Merchantability!$B:$E,4,0)),(AV894*O894)*(1-$H894/100),""),"")</f>
        <v/>
      </c>
      <c r="AZ894" s="116"/>
      <c r="BA894" s="116"/>
      <c r="BB894" s="116"/>
      <c r="BE894" s="62"/>
      <c r="BF894" s="63"/>
    </row>
    <row r="895" spans="1:58" ht="12.75" customHeight="1" x14ac:dyDescent="0.25">
      <c r="A895" s="313"/>
      <c r="B895" s="328"/>
      <c r="C895" s="329"/>
      <c r="D895" s="328"/>
      <c r="E895" s="330"/>
      <c r="F895" s="328"/>
      <c r="G895" s="329"/>
      <c r="H895" s="329"/>
      <c r="I895" s="328"/>
      <c r="J895" s="383"/>
      <c r="K895" s="329"/>
      <c r="L895" s="329"/>
      <c r="M895" s="76"/>
      <c r="N895" s="103" t="str">
        <f>IF(A895="","",VLOOKUP(A895,Stand!C:K,9,0))</f>
        <v/>
      </c>
      <c r="O895" s="104" t="str">
        <f t="shared" si="389"/>
        <v/>
      </c>
      <c r="P895" s="105" t="str">
        <f t="shared" si="390"/>
        <v/>
      </c>
      <c r="Q895" s="105" t="str">
        <f t="shared" si="405"/>
        <v/>
      </c>
      <c r="R895" s="103" t="str">
        <f t="shared" si="391"/>
        <v/>
      </c>
      <c r="S895" s="103" t="str">
        <f t="shared" si="392"/>
        <v/>
      </c>
      <c r="T895" s="106" t="str">
        <f t="shared" si="406"/>
        <v/>
      </c>
      <c r="U895" s="106" t="str">
        <f t="shared" si="407"/>
        <v/>
      </c>
      <c r="V895" s="106" t="str">
        <f t="shared" si="408"/>
        <v/>
      </c>
      <c r="W895" s="105" t="str">
        <f t="shared" si="393"/>
        <v/>
      </c>
      <c r="X895" s="104" t="str">
        <f t="shared" si="398"/>
        <v/>
      </c>
      <c r="Y895" s="104" t="str">
        <f t="array" ref="Y895">IFERROR(IF(ISNUMBER(O895),IF(COUNT(IF(A895=$A$2:$A$2427,IF(D895=$D$2:$D$2427,IF($X$2:$X$2427&gt;0,1))))&gt;0,SUM(IF(A895=$A$2:$A$2427,IF(D895=$D$2:$D$2427,$X$2:$X$2427)))/COUNT(IF(A895=$A$2:$A$2427,IF(D895=$D$2:$D$2427,IF(ISNUMBER($X$2:$X$2427),1)))),0),""),0)</f>
        <v/>
      </c>
      <c r="Z895" s="104" t="str">
        <f>IF(ISNUMBER(O895),IF(I895&gt;0,(10^(VLOOKUP(D895,'Species Codes'!B:C,2,0)+VLOOKUP(D895,'Species Codes'!B:D,3,0)*LOG(E895)+VLOOKUP(D895,'Species Codes'!B:E,4,0)*LOG(I895))),0),"")</f>
        <v/>
      </c>
      <c r="AA895" s="104" t="str">
        <f>IFERROR((VLOOKUP(D895,'Species Codes'!B:G,6,0)*Z895)/2000,"")</f>
        <v/>
      </c>
      <c r="AB895" s="104" t="e">
        <f>IF(Z895&gt;0,((IF(OR(D895="DF",D895="RA")=TRUE,EXP(VLOOKUP(D895,'Species Codes'!B:I,8,0)+VLOOKUP(D895,'Species Codes'!B:J,9,0)*(LN((E895*2.54)))),IF(OR(D895="PY",D895="RC",D895="WH",D895="NF")=TRUE,VLOOKUP(D895,'Species Codes'!B:I,8,0)+VLOOKUP(D895,'Species Codes'!B:J,9,0)*((E895*2.54)^2)*(I895*0.3048),IF(OR(D895="MD",D895="BM",D895="GA")=TRUE,((VLOOKUP(D895,'Species Codes'!B:I,8,0)*(((((E895*2.54)+VLOOKUP(D895,'Species Codes'!B:J,9,0))/VLOOKUP(D895,'Species Codes'!B:K,10,0))^VLOOKUP(D895,'Species Codes'!B:L,11,0))*((I895*0.3048)^VLOOKUP(D895,'Species Codes'!B:M,12,0))))-(VLOOKUP(D895,'Species Codes'!B:I,8,0)*((((E895*2.54)^VLOOKUP(D895,'Species Codes'!B:L,11,0))*((I895*0.3048)^VLOOKUP(D895,'Species Codes'!B:M,12,0))))))*35.3*VLOOKUP(D895,'Species Codes'!B:G,6,0)/2.2046,VLOOKUP(D895,'Species Codes'!B:I,8,0)+VLOOKUP(D895,'Species Codes'!B:J,9,0)*(((E895*2.54)/100)^2)*(I895*0.3048)))))*0.0011023),0)</f>
        <v>#N/A</v>
      </c>
      <c r="AC895" s="104" t="e">
        <f>IF(Z895&gt;0,((IF(OR(D895="RA",D895="OA",D895="OT",D895="UN",D895="PC"),EXP(VLOOKUP(D895,'Species Codes'!B:O,14,0)+VLOOKUP(D895,'Species Codes'!B:P,15,0)*LN((E895*2.54)))-EXP(VLOOKUP(D895,'Species Codes'!B:O,14,0)+VLOOKUP(D895,'Species Codes'!B:P,15,0)*LN((E895*2.54)))*(1/(VLOOKUP(D895,'Species Codes'!B:Q,16,0)+VLOOKUP(D895,'Species Codes'!B:R,17,0)*((E895*2.54)^VLOOKUP(D895,'Species Codes'!B:S,18,0)))),IF(OR(D895="BM",D895="MD",D895="OA"),EXP(VLOOKUP(D895,'Species Codes'!B:O,14,0)+VLOOKUP(D895,'Species Codes'!B:P,15,0)*LN((E895*2.54)))*(1-(1/(VLOOKUP(D895,'Species Codes'!B:Q,16,0)+VLOOKUP(D895,'Species Codes'!B:R,17,0)*((E895*2.54)^VLOOKUP(D895,'Species Codes'!B:S,18,0)))))/1000,IF(D895="DF",EXP(VLOOKUP(D895,'Species Codes'!B:O,14,0)+VLOOKUP(D895,'Species Codes'!B:P,15,0)*LN((E895*2.54))),VLOOKUP(D895,'Species Codes'!B:O,14,0)+VLOOKUP(D895,'Species Codes'!B:P,15,0)*(((E895*2.54)/100)^2)*(I895*0.3048)))))*0.0011023),0)</f>
        <v>#N/A</v>
      </c>
      <c r="AD895" s="104" t="e">
        <f t="shared" si="409"/>
        <v>#N/A</v>
      </c>
      <c r="AE895" s="104" t="e">
        <f t="shared" si="410"/>
        <v>#N/A</v>
      </c>
      <c r="AF895" s="104" t="e">
        <f>IF(AND(VLOOKUP($D895,Merchantability!$B:$C,2,0)="Yes",$E895&gt;=VLOOKUP($D895,Merchantability!$B:$D,3,0),$E895&lt;=VLOOKUP($D895,Merchantability!$B:$E,4,0)),AA895,0)</f>
        <v>#N/A</v>
      </c>
      <c r="AG895" s="104" t="e">
        <f>IF(AND(VLOOKUP($D895,Merchantability!$B:$C,2,0)="Yes",$E895&gt;=VLOOKUP($D895,Merchantability!$B:$D,3,0),$E895&lt;=VLOOKUP($D895,Merchantability!$B:$E,4,0)),AB895,0)</f>
        <v>#N/A</v>
      </c>
      <c r="AH895" s="104" t="e">
        <f>IF(AND(VLOOKUP($D895,Merchantability!$B:$C,2,0)="Yes",$E895&gt;=VLOOKUP($D895,Merchantability!$B:$D,3,0),$E895&lt;=VLOOKUP($D895,Merchantability!$B:$E,4,0)),AC895,0)</f>
        <v>#N/A</v>
      </c>
      <c r="AI895" s="104" t="e">
        <f t="shared" si="411"/>
        <v>#N/A</v>
      </c>
      <c r="AJ895" s="104" t="e">
        <f t="shared" si="412"/>
        <v>#VALUE!</v>
      </c>
      <c r="AK895" s="104" t="e">
        <f t="shared" si="413"/>
        <v>#N/A</v>
      </c>
      <c r="AL895" s="104" t="e">
        <f t="shared" si="414"/>
        <v>#N/A</v>
      </c>
      <c r="AM895" s="104" t="e">
        <f t="shared" si="415"/>
        <v>#N/A</v>
      </c>
      <c r="AN895" s="104" t="e">
        <f t="shared" si="399"/>
        <v>#N/A</v>
      </c>
      <c r="AO895" s="104" t="e">
        <f t="shared" si="400"/>
        <v>#N/A</v>
      </c>
      <c r="AP895" s="104" t="e">
        <f t="shared" si="401"/>
        <v>#N/A</v>
      </c>
      <c r="AQ895" s="104" t="e">
        <f t="shared" si="402"/>
        <v>#N/A</v>
      </c>
      <c r="AR895" s="105" t="str">
        <f t="shared" si="394"/>
        <v/>
      </c>
      <c r="AS895" s="105" t="str">
        <f t="shared" si="395"/>
        <v/>
      </c>
      <c r="AT895" s="108" t="str">
        <f t="shared" si="396"/>
        <v/>
      </c>
      <c r="AU895" s="108" t="str">
        <f t="shared" si="397"/>
        <v/>
      </c>
      <c r="AV895" s="107" t="str">
        <f>IF(ISNUMBER(O895),IF(VLOOKUP($A895,Stand!C:J,8,FALSE)="Short",AT895,AU895),"")</f>
        <v/>
      </c>
      <c r="AW895" s="109" t="str">
        <f t="shared" si="403"/>
        <v/>
      </c>
      <c r="AX895" s="109" t="str">
        <f t="shared" si="404"/>
        <v/>
      </c>
      <c r="AY895" s="112" t="str">
        <f>IF(ISNUMBER(O895),IF(AND(VLOOKUP($D895,Merchantability!$B:$C,2,0)="Yes",$E895&gt;=VLOOKUP($D895,Merchantability!$B:$D,3,0),$E895&lt;=VLOOKUP($D895,Merchantability!$B:$E,4,0)),(AV895*O895)*(1-$H895/100),""),"")</f>
        <v/>
      </c>
      <c r="AZ895" s="116"/>
      <c r="BA895" s="116"/>
      <c r="BB895" s="116"/>
      <c r="BE895" s="62"/>
      <c r="BF895" s="63"/>
    </row>
    <row r="896" spans="1:58" ht="12.75" customHeight="1" x14ac:dyDescent="0.25">
      <c r="A896" s="313"/>
      <c r="B896" s="328"/>
      <c r="C896" s="329"/>
      <c r="D896" s="328"/>
      <c r="E896" s="330"/>
      <c r="F896" s="328"/>
      <c r="G896" s="329"/>
      <c r="H896" s="329"/>
      <c r="I896" s="328"/>
      <c r="J896" s="383"/>
      <c r="K896" s="329"/>
      <c r="L896" s="329"/>
      <c r="M896" s="76"/>
      <c r="N896" s="103" t="str">
        <f>IF(A896="","",VLOOKUP(A896,Stand!C:K,9,0))</f>
        <v/>
      </c>
      <c r="O896" s="104" t="str">
        <f t="shared" si="389"/>
        <v/>
      </c>
      <c r="P896" s="105" t="str">
        <f t="shared" si="390"/>
        <v/>
      </c>
      <c r="Q896" s="105" t="str">
        <f t="shared" si="405"/>
        <v/>
      </c>
      <c r="R896" s="103" t="str">
        <f t="shared" si="391"/>
        <v/>
      </c>
      <c r="S896" s="103" t="str">
        <f t="shared" si="392"/>
        <v/>
      </c>
      <c r="T896" s="106" t="str">
        <f t="shared" si="406"/>
        <v/>
      </c>
      <c r="U896" s="106" t="str">
        <f t="shared" si="407"/>
        <v/>
      </c>
      <c r="V896" s="106" t="str">
        <f t="shared" si="408"/>
        <v/>
      </c>
      <c r="W896" s="105" t="str">
        <f t="shared" si="393"/>
        <v/>
      </c>
      <c r="X896" s="104" t="str">
        <f t="shared" si="398"/>
        <v/>
      </c>
      <c r="Y896" s="104" t="str">
        <f t="array" ref="Y896">IFERROR(IF(ISNUMBER(O896),IF(COUNT(IF(A896=$A$2:$A$2427,IF(D896=$D$2:$D$2427,IF($X$2:$X$2427&gt;0,1))))&gt;0,SUM(IF(A896=$A$2:$A$2427,IF(D896=$D$2:$D$2427,$X$2:$X$2427)))/COUNT(IF(A896=$A$2:$A$2427,IF(D896=$D$2:$D$2427,IF(ISNUMBER($X$2:$X$2427),1)))),0),""),0)</f>
        <v/>
      </c>
      <c r="Z896" s="104" t="str">
        <f>IF(ISNUMBER(O896),IF(I896&gt;0,(10^(VLOOKUP(D896,'Species Codes'!B:C,2,0)+VLOOKUP(D896,'Species Codes'!B:D,3,0)*LOG(E896)+VLOOKUP(D896,'Species Codes'!B:E,4,0)*LOG(I896))),0),"")</f>
        <v/>
      </c>
      <c r="AA896" s="104" t="str">
        <f>IFERROR((VLOOKUP(D896,'Species Codes'!B:G,6,0)*Z896)/2000,"")</f>
        <v/>
      </c>
      <c r="AB896" s="104" t="e">
        <f>IF(Z896&gt;0,((IF(OR(D896="DF",D896="RA")=TRUE,EXP(VLOOKUP(D896,'Species Codes'!B:I,8,0)+VLOOKUP(D896,'Species Codes'!B:J,9,0)*(LN((E896*2.54)))),IF(OR(D896="PY",D896="RC",D896="WH",D896="NF")=TRUE,VLOOKUP(D896,'Species Codes'!B:I,8,0)+VLOOKUP(D896,'Species Codes'!B:J,9,0)*((E896*2.54)^2)*(I896*0.3048),IF(OR(D896="MD",D896="BM",D896="GA")=TRUE,((VLOOKUP(D896,'Species Codes'!B:I,8,0)*(((((E896*2.54)+VLOOKUP(D896,'Species Codes'!B:J,9,0))/VLOOKUP(D896,'Species Codes'!B:K,10,0))^VLOOKUP(D896,'Species Codes'!B:L,11,0))*((I896*0.3048)^VLOOKUP(D896,'Species Codes'!B:M,12,0))))-(VLOOKUP(D896,'Species Codes'!B:I,8,0)*((((E896*2.54)^VLOOKUP(D896,'Species Codes'!B:L,11,0))*((I896*0.3048)^VLOOKUP(D896,'Species Codes'!B:M,12,0))))))*35.3*VLOOKUP(D896,'Species Codes'!B:G,6,0)/2.2046,VLOOKUP(D896,'Species Codes'!B:I,8,0)+VLOOKUP(D896,'Species Codes'!B:J,9,0)*(((E896*2.54)/100)^2)*(I896*0.3048)))))*0.0011023),0)</f>
        <v>#N/A</v>
      </c>
      <c r="AC896" s="104" t="e">
        <f>IF(Z896&gt;0,((IF(OR(D896="RA",D896="OA",D896="OT",D896="UN",D896="PC"),EXP(VLOOKUP(D896,'Species Codes'!B:O,14,0)+VLOOKUP(D896,'Species Codes'!B:P,15,0)*LN((E896*2.54)))-EXP(VLOOKUP(D896,'Species Codes'!B:O,14,0)+VLOOKUP(D896,'Species Codes'!B:P,15,0)*LN((E896*2.54)))*(1/(VLOOKUP(D896,'Species Codes'!B:Q,16,0)+VLOOKUP(D896,'Species Codes'!B:R,17,0)*((E896*2.54)^VLOOKUP(D896,'Species Codes'!B:S,18,0)))),IF(OR(D896="BM",D896="MD",D896="OA"),EXP(VLOOKUP(D896,'Species Codes'!B:O,14,0)+VLOOKUP(D896,'Species Codes'!B:P,15,0)*LN((E896*2.54)))*(1-(1/(VLOOKUP(D896,'Species Codes'!B:Q,16,0)+VLOOKUP(D896,'Species Codes'!B:R,17,0)*((E896*2.54)^VLOOKUP(D896,'Species Codes'!B:S,18,0)))))/1000,IF(D896="DF",EXP(VLOOKUP(D896,'Species Codes'!B:O,14,0)+VLOOKUP(D896,'Species Codes'!B:P,15,0)*LN((E896*2.54))),VLOOKUP(D896,'Species Codes'!B:O,14,0)+VLOOKUP(D896,'Species Codes'!B:P,15,0)*(((E896*2.54)/100)^2)*(I896*0.3048)))))*0.0011023),0)</f>
        <v>#N/A</v>
      </c>
      <c r="AD896" s="104" t="e">
        <f t="shared" si="409"/>
        <v>#N/A</v>
      </c>
      <c r="AE896" s="104" t="e">
        <f t="shared" si="410"/>
        <v>#N/A</v>
      </c>
      <c r="AF896" s="104" t="e">
        <f>IF(AND(VLOOKUP($D896,Merchantability!$B:$C,2,0)="Yes",$E896&gt;=VLOOKUP($D896,Merchantability!$B:$D,3,0),$E896&lt;=VLOOKUP($D896,Merchantability!$B:$E,4,0)),AA896,0)</f>
        <v>#N/A</v>
      </c>
      <c r="AG896" s="104" t="e">
        <f>IF(AND(VLOOKUP($D896,Merchantability!$B:$C,2,0)="Yes",$E896&gt;=VLOOKUP($D896,Merchantability!$B:$D,3,0),$E896&lt;=VLOOKUP($D896,Merchantability!$B:$E,4,0)),AB896,0)</f>
        <v>#N/A</v>
      </c>
      <c r="AH896" s="104" t="e">
        <f>IF(AND(VLOOKUP($D896,Merchantability!$B:$C,2,0)="Yes",$E896&gt;=VLOOKUP($D896,Merchantability!$B:$D,3,0),$E896&lt;=VLOOKUP($D896,Merchantability!$B:$E,4,0)),AC896,0)</f>
        <v>#N/A</v>
      </c>
      <c r="AI896" s="104" t="e">
        <f t="shared" si="411"/>
        <v>#N/A</v>
      </c>
      <c r="AJ896" s="104" t="e">
        <f t="shared" si="412"/>
        <v>#VALUE!</v>
      </c>
      <c r="AK896" s="104" t="e">
        <f t="shared" si="413"/>
        <v>#N/A</v>
      </c>
      <c r="AL896" s="104" t="e">
        <f t="shared" si="414"/>
        <v>#N/A</v>
      </c>
      <c r="AM896" s="104" t="e">
        <f t="shared" si="415"/>
        <v>#N/A</v>
      </c>
      <c r="AN896" s="104" t="e">
        <f t="shared" si="399"/>
        <v>#N/A</v>
      </c>
      <c r="AO896" s="104" t="e">
        <f t="shared" si="400"/>
        <v>#N/A</v>
      </c>
      <c r="AP896" s="104" t="e">
        <f t="shared" si="401"/>
        <v>#N/A</v>
      </c>
      <c r="AQ896" s="104" t="e">
        <f t="shared" si="402"/>
        <v>#N/A</v>
      </c>
      <c r="AR896" s="105" t="str">
        <f t="shared" si="394"/>
        <v/>
      </c>
      <c r="AS896" s="105" t="str">
        <f t="shared" si="395"/>
        <v/>
      </c>
      <c r="AT896" s="108" t="str">
        <f t="shared" si="396"/>
        <v/>
      </c>
      <c r="AU896" s="108" t="str">
        <f t="shared" si="397"/>
        <v/>
      </c>
      <c r="AV896" s="107" t="str">
        <f>IF(ISNUMBER(O896),IF(VLOOKUP($A896,Stand!C:J,8,FALSE)="Short",AT896,AU896),"")</f>
        <v/>
      </c>
      <c r="AW896" s="109" t="str">
        <f t="shared" si="403"/>
        <v/>
      </c>
      <c r="AX896" s="109" t="str">
        <f t="shared" si="404"/>
        <v/>
      </c>
      <c r="AY896" s="112" t="str">
        <f>IF(ISNUMBER(O896),IF(AND(VLOOKUP($D896,Merchantability!$B:$C,2,0)="Yes",$E896&gt;=VLOOKUP($D896,Merchantability!$B:$D,3,0),$E896&lt;=VLOOKUP($D896,Merchantability!$B:$E,4,0)),(AV896*O896)*(1-$H896/100),""),"")</f>
        <v/>
      </c>
      <c r="AZ896" s="116"/>
      <c r="BA896" s="116"/>
      <c r="BB896" s="116"/>
      <c r="BE896" s="62"/>
      <c r="BF896" s="63"/>
    </row>
    <row r="897" spans="1:58" ht="12.75" customHeight="1" x14ac:dyDescent="0.25">
      <c r="A897" s="313"/>
      <c r="B897" s="328"/>
      <c r="C897" s="329"/>
      <c r="D897" s="328"/>
      <c r="E897" s="330"/>
      <c r="F897" s="328"/>
      <c r="G897" s="329"/>
      <c r="H897" s="329"/>
      <c r="I897" s="328"/>
      <c r="J897" s="383"/>
      <c r="K897" s="329"/>
      <c r="L897" s="329"/>
      <c r="M897" s="76"/>
      <c r="N897" s="103" t="str">
        <f>IF(A897="","",VLOOKUP(A897,Stand!C:K,9,0))</f>
        <v/>
      </c>
      <c r="O897" s="104" t="str">
        <f t="shared" si="389"/>
        <v/>
      </c>
      <c r="P897" s="105" t="str">
        <f t="shared" si="390"/>
        <v/>
      </c>
      <c r="Q897" s="105" t="str">
        <f t="shared" si="405"/>
        <v/>
      </c>
      <c r="R897" s="103" t="str">
        <f t="shared" si="391"/>
        <v/>
      </c>
      <c r="S897" s="103" t="str">
        <f t="shared" si="392"/>
        <v/>
      </c>
      <c r="T897" s="106" t="str">
        <f t="shared" si="406"/>
        <v/>
      </c>
      <c r="U897" s="106" t="str">
        <f t="shared" si="407"/>
        <v/>
      </c>
      <c r="V897" s="106" t="str">
        <f t="shared" si="408"/>
        <v/>
      </c>
      <c r="W897" s="105" t="str">
        <f t="shared" si="393"/>
        <v/>
      </c>
      <c r="X897" s="104" t="str">
        <f t="shared" si="398"/>
        <v/>
      </c>
      <c r="Y897" s="104" t="str">
        <f t="array" ref="Y897">IFERROR(IF(ISNUMBER(O897),IF(COUNT(IF(A897=$A$2:$A$2427,IF(D897=$D$2:$D$2427,IF($X$2:$X$2427&gt;0,1))))&gt;0,SUM(IF(A897=$A$2:$A$2427,IF(D897=$D$2:$D$2427,$X$2:$X$2427)))/COUNT(IF(A897=$A$2:$A$2427,IF(D897=$D$2:$D$2427,IF(ISNUMBER($X$2:$X$2427),1)))),0),""),0)</f>
        <v/>
      </c>
      <c r="Z897" s="104" t="str">
        <f>IF(ISNUMBER(O897),IF(I897&gt;0,(10^(VLOOKUP(D897,'Species Codes'!B:C,2,0)+VLOOKUP(D897,'Species Codes'!B:D,3,0)*LOG(E897)+VLOOKUP(D897,'Species Codes'!B:E,4,0)*LOG(I897))),0),"")</f>
        <v/>
      </c>
      <c r="AA897" s="104" t="str">
        <f>IFERROR((VLOOKUP(D897,'Species Codes'!B:G,6,0)*Z897)/2000,"")</f>
        <v/>
      </c>
      <c r="AB897" s="104" t="e">
        <f>IF(Z897&gt;0,((IF(OR(D897="DF",D897="RA")=TRUE,EXP(VLOOKUP(D897,'Species Codes'!B:I,8,0)+VLOOKUP(D897,'Species Codes'!B:J,9,0)*(LN((E897*2.54)))),IF(OR(D897="PY",D897="RC",D897="WH",D897="NF")=TRUE,VLOOKUP(D897,'Species Codes'!B:I,8,0)+VLOOKUP(D897,'Species Codes'!B:J,9,0)*((E897*2.54)^2)*(I897*0.3048),IF(OR(D897="MD",D897="BM",D897="GA")=TRUE,((VLOOKUP(D897,'Species Codes'!B:I,8,0)*(((((E897*2.54)+VLOOKUP(D897,'Species Codes'!B:J,9,0))/VLOOKUP(D897,'Species Codes'!B:K,10,0))^VLOOKUP(D897,'Species Codes'!B:L,11,0))*((I897*0.3048)^VLOOKUP(D897,'Species Codes'!B:M,12,0))))-(VLOOKUP(D897,'Species Codes'!B:I,8,0)*((((E897*2.54)^VLOOKUP(D897,'Species Codes'!B:L,11,0))*((I897*0.3048)^VLOOKUP(D897,'Species Codes'!B:M,12,0))))))*35.3*VLOOKUP(D897,'Species Codes'!B:G,6,0)/2.2046,VLOOKUP(D897,'Species Codes'!B:I,8,0)+VLOOKUP(D897,'Species Codes'!B:J,9,0)*(((E897*2.54)/100)^2)*(I897*0.3048)))))*0.0011023),0)</f>
        <v>#N/A</v>
      </c>
      <c r="AC897" s="104" t="e">
        <f>IF(Z897&gt;0,((IF(OR(D897="RA",D897="OA",D897="OT",D897="UN",D897="PC"),EXP(VLOOKUP(D897,'Species Codes'!B:O,14,0)+VLOOKUP(D897,'Species Codes'!B:P,15,0)*LN((E897*2.54)))-EXP(VLOOKUP(D897,'Species Codes'!B:O,14,0)+VLOOKUP(D897,'Species Codes'!B:P,15,0)*LN((E897*2.54)))*(1/(VLOOKUP(D897,'Species Codes'!B:Q,16,0)+VLOOKUP(D897,'Species Codes'!B:R,17,0)*((E897*2.54)^VLOOKUP(D897,'Species Codes'!B:S,18,0)))),IF(OR(D897="BM",D897="MD",D897="OA"),EXP(VLOOKUP(D897,'Species Codes'!B:O,14,0)+VLOOKUP(D897,'Species Codes'!B:P,15,0)*LN((E897*2.54)))*(1-(1/(VLOOKUP(D897,'Species Codes'!B:Q,16,0)+VLOOKUP(D897,'Species Codes'!B:R,17,0)*((E897*2.54)^VLOOKUP(D897,'Species Codes'!B:S,18,0)))))/1000,IF(D897="DF",EXP(VLOOKUP(D897,'Species Codes'!B:O,14,0)+VLOOKUP(D897,'Species Codes'!B:P,15,0)*LN((E897*2.54))),VLOOKUP(D897,'Species Codes'!B:O,14,0)+VLOOKUP(D897,'Species Codes'!B:P,15,0)*(((E897*2.54)/100)^2)*(I897*0.3048)))))*0.0011023),0)</f>
        <v>#N/A</v>
      </c>
      <c r="AD897" s="104" t="e">
        <f t="shared" si="409"/>
        <v>#N/A</v>
      </c>
      <c r="AE897" s="104" t="e">
        <f t="shared" si="410"/>
        <v>#N/A</v>
      </c>
      <c r="AF897" s="104" t="e">
        <f>IF(AND(VLOOKUP($D897,Merchantability!$B:$C,2,0)="Yes",$E897&gt;=VLOOKUP($D897,Merchantability!$B:$D,3,0),$E897&lt;=VLOOKUP($D897,Merchantability!$B:$E,4,0)),AA897,0)</f>
        <v>#N/A</v>
      </c>
      <c r="AG897" s="104" t="e">
        <f>IF(AND(VLOOKUP($D897,Merchantability!$B:$C,2,0)="Yes",$E897&gt;=VLOOKUP($D897,Merchantability!$B:$D,3,0),$E897&lt;=VLOOKUP($D897,Merchantability!$B:$E,4,0)),AB897,0)</f>
        <v>#N/A</v>
      </c>
      <c r="AH897" s="104" t="e">
        <f>IF(AND(VLOOKUP($D897,Merchantability!$B:$C,2,0)="Yes",$E897&gt;=VLOOKUP($D897,Merchantability!$B:$D,3,0),$E897&lt;=VLOOKUP($D897,Merchantability!$B:$E,4,0)),AC897,0)</f>
        <v>#N/A</v>
      </c>
      <c r="AI897" s="104" t="e">
        <f t="shared" si="411"/>
        <v>#N/A</v>
      </c>
      <c r="AJ897" s="104" t="e">
        <f t="shared" si="412"/>
        <v>#VALUE!</v>
      </c>
      <c r="AK897" s="104" t="e">
        <f t="shared" si="413"/>
        <v>#N/A</v>
      </c>
      <c r="AL897" s="104" t="e">
        <f t="shared" si="414"/>
        <v>#N/A</v>
      </c>
      <c r="AM897" s="104" t="e">
        <f t="shared" si="415"/>
        <v>#N/A</v>
      </c>
      <c r="AN897" s="104" t="e">
        <f t="shared" si="399"/>
        <v>#N/A</v>
      </c>
      <c r="AO897" s="104" t="e">
        <f t="shared" si="400"/>
        <v>#N/A</v>
      </c>
      <c r="AP897" s="104" t="e">
        <f t="shared" si="401"/>
        <v>#N/A</v>
      </c>
      <c r="AQ897" s="104" t="e">
        <f t="shared" si="402"/>
        <v>#N/A</v>
      </c>
      <c r="AR897" s="105" t="str">
        <f t="shared" si="394"/>
        <v/>
      </c>
      <c r="AS897" s="105" t="str">
        <f t="shared" si="395"/>
        <v/>
      </c>
      <c r="AT897" s="108" t="str">
        <f t="shared" si="396"/>
        <v/>
      </c>
      <c r="AU897" s="108" t="str">
        <f t="shared" si="397"/>
        <v/>
      </c>
      <c r="AV897" s="107" t="str">
        <f>IF(ISNUMBER(O897),IF(VLOOKUP($A897,Stand!C:J,8,FALSE)="Short",AT897,AU897),"")</f>
        <v/>
      </c>
      <c r="AW897" s="109" t="str">
        <f t="shared" si="403"/>
        <v/>
      </c>
      <c r="AX897" s="109" t="str">
        <f t="shared" si="404"/>
        <v/>
      </c>
      <c r="AY897" s="112" t="str">
        <f>IF(ISNUMBER(O897),IF(AND(VLOOKUP($D897,Merchantability!$B:$C,2,0)="Yes",$E897&gt;=VLOOKUP($D897,Merchantability!$B:$D,3,0),$E897&lt;=VLOOKUP($D897,Merchantability!$B:$E,4,0)),(AV897*O897)*(1-$H897/100),""),"")</f>
        <v/>
      </c>
      <c r="AZ897" s="116"/>
      <c r="BA897" s="116"/>
      <c r="BB897" s="116"/>
      <c r="BE897" s="62"/>
      <c r="BF897" s="63"/>
    </row>
    <row r="898" spans="1:58" ht="12.75" customHeight="1" x14ac:dyDescent="0.25">
      <c r="A898" s="313"/>
      <c r="B898" s="328"/>
      <c r="C898" s="329"/>
      <c r="D898" s="328"/>
      <c r="E898" s="330"/>
      <c r="F898" s="328"/>
      <c r="G898" s="329"/>
      <c r="H898" s="329"/>
      <c r="I898" s="328"/>
      <c r="J898" s="383"/>
      <c r="K898" s="329"/>
      <c r="L898" s="329"/>
      <c r="M898" s="76"/>
      <c r="N898" s="103" t="str">
        <f>IF(A898="","",VLOOKUP(A898,Stand!C:K,9,0))</f>
        <v/>
      </c>
      <c r="O898" s="104" t="str">
        <f t="shared" ref="O898:O961" si="416">IF(E898&gt;0,IF(G898&gt;1,G898*(43560/(N898^2*3.14)),43560/(N898^2*3.14)),"")</f>
        <v/>
      </c>
      <c r="P898" s="105" t="str">
        <f t="shared" ref="P898:P961" si="417">IF(ISNUMBER(O898),E898*O898,"")</f>
        <v/>
      </c>
      <c r="Q898" s="105" t="str">
        <f t="shared" si="405"/>
        <v/>
      </c>
      <c r="R898" s="103" t="str">
        <f t="shared" ref="R898:R961" si="418">IF(ISNUMBER(O898),E898^2*0.005454*O898,"")</f>
        <v/>
      </c>
      <c r="S898" s="103" t="str">
        <f t="shared" ref="S898:S961" si="419">IF(ISNUMBER(O898),(E898/10)^1.7*O898,"")</f>
        <v/>
      </c>
      <c r="T898" s="106" t="str">
        <f t="shared" si="406"/>
        <v/>
      </c>
      <c r="U898" s="106" t="str">
        <f t="shared" si="407"/>
        <v/>
      </c>
      <c r="V898" s="106" t="str">
        <f t="shared" si="408"/>
        <v/>
      </c>
      <c r="W898" s="105" t="str">
        <f t="shared" ref="W898:W961" si="420">IF(AND(ISNUMBER(O898),I898&gt;0),I898/(E898/12),"")</f>
        <v/>
      </c>
      <c r="X898" s="104" t="str">
        <f t="shared" si="398"/>
        <v/>
      </c>
      <c r="Y898" s="104" t="str">
        <f t="array" ref="Y898">IFERROR(IF(ISNUMBER(O898),IF(COUNT(IF(A898=$A$2:$A$2427,IF(D898=$D$2:$D$2427,IF($X$2:$X$2427&gt;0,1))))&gt;0,SUM(IF(A898=$A$2:$A$2427,IF(D898=$D$2:$D$2427,$X$2:$X$2427)))/COUNT(IF(A898=$A$2:$A$2427,IF(D898=$D$2:$D$2427,IF(ISNUMBER($X$2:$X$2427),1)))),0),""),0)</f>
        <v/>
      </c>
      <c r="Z898" s="104" t="str">
        <f>IF(ISNUMBER(O898),IF(I898&gt;0,(10^(VLOOKUP(D898,'Species Codes'!B:C,2,0)+VLOOKUP(D898,'Species Codes'!B:D,3,0)*LOG(E898)+VLOOKUP(D898,'Species Codes'!B:E,4,0)*LOG(I898))),0),"")</f>
        <v/>
      </c>
      <c r="AA898" s="104" t="str">
        <f>IFERROR((VLOOKUP(D898,'Species Codes'!B:G,6,0)*Z898)/2000,"")</f>
        <v/>
      </c>
      <c r="AB898" s="104" t="e">
        <f>IF(Z898&gt;0,((IF(OR(D898="DF",D898="RA")=TRUE,EXP(VLOOKUP(D898,'Species Codes'!B:I,8,0)+VLOOKUP(D898,'Species Codes'!B:J,9,0)*(LN((E898*2.54)))),IF(OR(D898="PY",D898="RC",D898="WH",D898="NF")=TRUE,VLOOKUP(D898,'Species Codes'!B:I,8,0)+VLOOKUP(D898,'Species Codes'!B:J,9,0)*((E898*2.54)^2)*(I898*0.3048),IF(OR(D898="MD",D898="BM",D898="GA")=TRUE,((VLOOKUP(D898,'Species Codes'!B:I,8,0)*(((((E898*2.54)+VLOOKUP(D898,'Species Codes'!B:J,9,0))/VLOOKUP(D898,'Species Codes'!B:K,10,0))^VLOOKUP(D898,'Species Codes'!B:L,11,0))*((I898*0.3048)^VLOOKUP(D898,'Species Codes'!B:M,12,0))))-(VLOOKUP(D898,'Species Codes'!B:I,8,0)*((((E898*2.54)^VLOOKUP(D898,'Species Codes'!B:L,11,0))*((I898*0.3048)^VLOOKUP(D898,'Species Codes'!B:M,12,0))))))*35.3*VLOOKUP(D898,'Species Codes'!B:G,6,0)/2.2046,VLOOKUP(D898,'Species Codes'!B:I,8,0)+VLOOKUP(D898,'Species Codes'!B:J,9,0)*(((E898*2.54)/100)^2)*(I898*0.3048)))))*0.0011023),0)</f>
        <v>#N/A</v>
      </c>
      <c r="AC898" s="104" t="e">
        <f>IF(Z898&gt;0,((IF(OR(D898="RA",D898="OA",D898="OT",D898="UN",D898="PC"),EXP(VLOOKUP(D898,'Species Codes'!B:O,14,0)+VLOOKUP(D898,'Species Codes'!B:P,15,0)*LN((E898*2.54)))-EXP(VLOOKUP(D898,'Species Codes'!B:O,14,0)+VLOOKUP(D898,'Species Codes'!B:P,15,0)*LN((E898*2.54)))*(1/(VLOOKUP(D898,'Species Codes'!B:Q,16,0)+VLOOKUP(D898,'Species Codes'!B:R,17,0)*((E898*2.54)^VLOOKUP(D898,'Species Codes'!B:S,18,0)))),IF(OR(D898="BM",D898="MD",D898="OA"),EXP(VLOOKUP(D898,'Species Codes'!B:O,14,0)+VLOOKUP(D898,'Species Codes'!B:P,15,0)*LN((E898*2.54)))*(1-(1/(VLOOKUP(D898,'Species Codes'!B:Q,16,0)+VLOOKUP(D898,'Species Codes'!B:R,17,0)*((E898*2.54)^VLOOKUP(D898,'Species Codes'!B:S,18,0)))))/1000,IF(D898="DF",EXP(VLOOKUP(D898,'Species Codes'!B:O,14,0)+VLOOKUP(D898,'Species Codes'!B:P,15,0)*LN((E898*2.54))),VLOOKUP(D898,'Species Codes'!B:O,14,0)+VLOOKUP(D898,'Species Codes'!B:P,15,0)*(((E898*2.54)/100)^2)*(I898*0.3048)))))*0.0011023),0)</f>
        <v>#N/A</v>
      </c>
      <c r="AD898" s="104" t="e">
        <f t="shared" si="409"/>
        <v>#N/A</v>
      </c>
      <c r="AE898" s="104" t="e">
        <f t="shared" si="410"/>
        <v>#N/A</v>
      </c>
      <c r="AF898" s="104" t="e">
        <f>IF(AND(VLOOKUP($D898,Merchantability!$B:$C,2,0)="Yes",$E898&gt;=VLOOKUP($D898,Merchantability!$B:$D,3,0),$E898&lt;=VLOOKUP($D898,Merchantability!$B:$E,4,0)),AA898,0)</f>
        <v>#N/A</v>
      </c>
      <c r="AG898" s="104" t="e">
        <f>IF(AND(VLOOKUP($D898,Merchantability!$B:$C,2,0)="Yes",$E898&gt;=VLOOKUP($D898,Merchantability!$B:$D,3,0),$E898&lt;=VLOOKUP($D898,Merchantability!$B:$E,4,0)),AB898,0)</f>
        <v>#N/A</v>
      </c>
      <c r="AH898" s="104" t="e">
        <f>IF(AND(VLOOKUP($D898,Merchantability!$B:$C,2,0)="Yes",$E898&gt;=VLOOKUP($D898,Merchantability!$B:$D,3,0),$E898&lt;=VLOOKUP($D898,Merchantability!$B:$E,4,0)),AC898,0)</f>
        <v>#N/A</v>
      </c>
      <c r="AI898" s="104" t="e">
        <f t="shared" si="411"/>
        <v>#N/A</v>
      </c>
      <c r="AJ898" s="104" t="e">
        <f t="shared" si="412"/>
        <v>#VALUE!</v>
      </c>
      <c r="AK898" s="104" t="e">
        <f t="shared" si="413"/>
        <v>#N/A</v>
      </c>
      <c r="AL898" s="104" t="e">
        <f t="shared" si="414"/>
        <v>#N/A</v>
      </c>
      <c r="AM898" s="104" t="e">
        <f t="shared" si="415"/>
        <v>#N/A</v>
      </c>
      <c r="AN898" s="104" t="e">
        <f t="shared" si="399"/>
        <v>#N/A</v>
      </c>
      <c r="AO898" s="104" t="e">
        <f t="shared" si="400"/>
        <v>#N/A</v>
      </c>
      <c r="AP898" s="104" t="e">
        <f t="shared" si="401"/>
        <v>#N/A</v>
      </c>
      <c r="AQ898" s="104" t="e">
        <f t="shared" si="402"/>
        <v>#N/A</v>
      </c>
      <c r="AR898" s="105" t="str">
        <f t="shared" ref="AR898:AR961" si="421">IF(ISNUMBER(O898),IF(Y898&gt;0,((Y898*(E898^2*0.005454-0.087266))/0.912733),0),"")</f>
        <v/>
      </c>
      <c r="AS898" s="105" t="str">
        <f t="shared" ref="AS898:AS961" si="422">IF(ISNUMBER(O898),AR898*(0.993-0.993*(0.62^(E898-6))),"")</f>
        <v/>
      </c>
      <c r="AT898" s="108" t="str">
        <f t="shared" ref="AT898:AT961" si="423">IF(ISNUMBER(O898),IF(AS898&gt;0,IF(Y898&gt;0,(AS898*10^(0.174439+0.117594*(LOG(E898,10))*(LOG(Y898/0.912733,10))-8.210585/E898^2+0.236693*(LOG(Y898/0.912733,10))-0.00001345*(Y898/0.912733)^2-0.00001937*E898^2)),0),0),"")</f>
        <v/>
      </c>
      <c r="AU898" s="108" t="str">
        <f t="shared" ref="AU898:AU961" si="424">IF(ISNUMBER(O898),IF(AS898&gt;0,IF(Y898&gt;0,AT898*(1.001491-(6.92497/Y898)+(0.00001351*(E898^2))),0),0),"")</f>
        <v/>
      </c>
      <c r="AV898" s="107" t="str">
        <f>IF(ISNUMBER(O898),IF(VLOOKUP($A898,Stand!C:J,8,FALSE)="Short",AT898,AU898),"")</f>
        <v/>
      </c>
      <c r="AW898" s="109" t="str">
        <f t="shared" si="403"/>
        <v/>
      </c>
      <c r="AX898" s="109" t="str">
        <f t="shared" si="404"/>
        <v/>
      </c>
      <c r="AY898" s="112" t="str">
        <f>IF(ISNUMBER(O898),IF(AND(VLOOKUP($D898,Merchantability!$B:$C,2,0)="Yes",$E898&gt;=VLOOKUP($D898,Merchantability!$B:$D,3,0),$E898&lt;=VLOOKUP($D898,Merchantability!$B:$E,4,0)),(AV898*O898)*(1-$H898/100),""),"")</f>
        <v/>
      </c>
      <c r="AZ898" s="116"/>
      <c r="BA898" s="116"/>
      <c r="BB898" s="116"/>
      <c r="BE898" s="62"/>
      <c r="BF898" s="63"/>
    </row>
    <row r="899" spans="1:58" ht="12.75" customHeight="1" x14ac:dyDescent="0.25">
      <c r="A899" s="313"/>
      <c r="B899" s="328"/>
      <c r="C899" s="329"/>
      <c r="D899" s="328"/>
      <c r="E899" s="330"/>
      <c r="F899" s="328"/>
      <c r="G899" s="329"/>
      <c r="H899" s="329"/>
      <c r="I899" s="328"/>
      <c r="J899" s="383"/>
      <c r="K899" s="329"/>
      <c r="L899" s="329"/>
      <c r="M899" s="76"/>
      <c r="N899" s="103" t="str">
        <f>IF(A899="","",VLOOKUP(A899,Stand!C:K,9,0))</f>
        <v/>
      </c>
      <c r="O899" s="104" t="str">
        <f t="shared" si="416"/>
        <v/>
      </c>
      <c r="P899" s="105" t="str">
        <f t="shared" si="417"/>
        <v/>
      </c>
      <c r="Q899" s="105" t="str">
        <f t="shared" si="405"/>
        <v/>
      </c>
      <c r="R899" s="103" t="str">
        <f t="shared" si="418"/>
        <v/>
      </c>
      <c r="S899" s="103" t="str">
        <f t="shared" si="419"/>
        <v/>
      </c>
      <c r="T899" s="106" t="str">
        <f t="shared" si="406"/>
        <v/>
      </c>
      <c r="U899" s="106" t="str">
        <f t="shared" si="407"/>
        <v/>
      </c>
      <c r="V899" s="106" t="str">
        <f t="shared" si="408"/>
        <v/>
      </c>
      <c r="W899" s="105" t="str">
        <f t="shared" si="420"/>
        <v/>
      </c>
      <c r="X899" s="104" t="str">
        <f t="shared" ref="X899:X962" si="425">IF(ISNUMBER(O899),IF(I899&gt;0,IF(E899&gt;0,(0.912733*Z899)/(1.033*(1+1.382937*EXP(-4.015292*E899/10))*((E899^2)*0.005454+0.087266)-0.174533),""),""),"")</f>
        <v/>
      </c>
      <c r="Y899" s="104" t="str">
        <f t="array" ref="Y899">IFERROR(IF(ISNUMBER(O899),IF(COUNT(IF(A899=$A$2:$A$2427,IF(D899=$D$2:$D$2427,IF($X$2:$X$2427&gt;0,1))))&gt;0,SUM(IF(A899=$A$2:$A$2427,IF(D899=$D$2:$D$2427,$X$2:$X$2427)))/COUNT(IF(A899=$A$2:$A$2427,IF(D899=$D$2:$D$2427,IF(ISNUMBER($X$2:$X$2427),1)))),0),""),0)</f>
        <v/>
      </c>
      <c r="Z899" s="104" t="str">
        <f>IF(ISNUMBER(O899),IF(I899&gt;0,(10^(VLOOKUP(D899,'Species Codes'!B:C,2,0)+VLOOKUP(D899,'Species Codes'!B:D,3,0)*LOG(E899)+VLOOKUP(D899,'Species Codes'!B:E,4,0)*LOG(I899))),0),"")</f>
        <v/>
      </c>
      <c r="AA899" s="104" t="str">
        <f>IFERROR((VLOOKUP(D899,'Species Codes'!B:G,6,0)*Z899)/2000,"")</f>
        <v/>
      </c>
      <c r="AB899" s="104" t="e">
        <f>IF(Z899&gt;0,((IF(OR(D899="DF",D899="RA")=TRUE,EXP(VLOOKUP(D899,'Species Codes'!B:I,8,0)+VLOOKUP(D899,'Species Codes'!B:J,9,0)*(LN((E899*2.54)))),IF(OR(D899="PY",D899="RC",D899="WH",D899="NF")=TRUE,VLOOKUP(D899,'Species Codes'!B:I,8,0)+VLOOKUP(D899,'Species Codes'!B:J,9,0)*((E899*2.54)^2)*(I899*0.3048),IF(OR(D899="MD",D899="BM",D899="GA")=TRUE,((VLOOKUP(D899,'Species Codes'!B:I,8,0)*(((((E899*2.54)+VLOOKUP(D899,'Species Codes'!B:J,9,0))/VLOOKUP(D899,'Species Codes'!B:K,10,0))^VLOOKUP(D899,'Species Codes'!B:L,11,0))*((I899*0.3048)^VLOOKUP(D899,'Species Codes'!B:M,12,0))))-(VLOOKUP(D899,'Species Codes'!B:I,8,0)*((((E899*2.54)^VLOOKUP(D899,'Species Codes'!B:L,11,0))*((I899*0.3048)^VLOOKUP(D899,'Species Codes'!B:M,12,0))))))*35.3*VLOOKUP(D899,'Species Codes'!B:G,6,0)/2.2046,VLOOKUP(D899,'Species Codes'!B:I,8,0)+VLOOKUP(D899,'Species Codes'!B:J,9,0)*(((E899*2.54)/100)^2)*(I899*0.3048)))))*0.0011023),0)</f>
        <v>#N/A</v>
      </c>
      <c r="AC899" s="104" t="e">
        <f>IF(Z899&gt;0,((IF(OR(D899="RA",D899="OA",D899="OT",D899="UN",D899="PC"),EXP(VLOOKUP(D899,'Species Codes'!B:O,14,0)+VLOOKUP(D899,'Species Codes'!B:P,15,0)*LN((E899*2.54)))-EXP(VLOOKUP(D899,'Species Codes'!B:O,14,0)+VLOOKUP(D899,'Species Codes'!B:P,15,0)*LN((E899*2.54)))*(1/(VLOOKUP(D899,'Species Codes'!B:Q,16,0)+VLOOKUP(D899,'Species Codes'!B:R,17,0)*((E899*2.54)^VLOOKUP(D899,'Species Codes'!B:S,18,0)))),IF(OR(D899="BM",D899="MD",D899="OA"),EXP(VLOOKUP(D899,'Species Codes'!B:O,14,0)+VLOOKUP(D899,'Species Codes'!B:P,15,0)*LN((E899*2.54)))*(1-(1/(VLOOKUP(D899,'Species Codes'!B:Q,16,0)+VLOOKUP(D899,'Species Codes'!B:R,17,0)*((E899*2.54)^VLOOKUP(D899,'Species Codes'!B:S,18,0)))))/1000,IF(D899="DF",EXP(VLOOKUP(D899,'Species Codes'!B:O,14,0)+VLOOKUP(D899,'Species Codes'!B:P,15,0)*LN((E899*2.54))),VLOOKUP(D899,'Species Codes'!B:O,14,0)+VLOOKUP(D899,'Species Codes'!B:P,15,0)*(((E899*2.54)/100)^2)*(I899*0.3048)))))*0.0011023),0)</f>
        <v>#N/A</v>
      </c>
      <c r="AD899" s="104" t="e">
        <f t="shared" si="409"/>
        <v>#N/A</v>
      </c>
      <c r="AE899" s="104" t="e">
        <f t="shared" si="410"/>
        <v>#N/A</v>
      </c>
      <c r="AF899" s="104" t="e">
        <f>IF(AND(VLOOKUP($D899,Merchantability!$B:$C,2,0)="Yes",$E899&gt;=VLOOKUP($D899,Merchantability!$B:$D,3,0),$E899&lt;=VLOOKUP($D899,Merchantability!$B:$E,4,0)),AA899,0)</f>
        <v>#N/A</v>
      </c>
      <c r="AG899" s="104" t="e">
        <f>IF(AND(VLOOKUP($D899,Merchantability!$B:$C,2,0)="Yes",$E899&gt;=VLOOKUP($D899,Merchantability!$B:$D,3,0),$E899&lt;=VLOOKUP($D899,Merchantability!$B:$E,4,0)),AB899,0)</f>
        <v>#N/A</v>
      </c>
      <c r="AH899" s="104" t="e">
        <f>IF(AND(VLOOKUP($D899,Merchantability!$B:$C,2,0)="Yes",$E899&gt;=VLOOKUP($D899,Merchantability!$B:$D,3,0),$E899&lt;=VLOOKUP($D899,Merchantability!$B:$E,4,0)),AC899,0)</f>
        <v>#N/A</v>
      </c>
      <c r="AI899" s="104" t="e">
        <f t="shared" si="411"/>
        <v>#N/A</v>
      </c>
      <c r="AJ899" s="104" t="e">
        <f t="shared" si="412"/>
        <v>#VALUE!</v>
      </c>
      <c r="AK899" s="104" t="e">
        <f t="shared" si="413"/>
        <v>#N/A</v>
      </c>
      <c r="AL899" s="104" t="e">
        <f t="shared" si="414"/>
        <v>#N/A</v>
      </c>
      <c r="AM899" s="104" t="e">
        <f t="shared" si="415"/>
        <v>#N/A</v>
      </c>
      <c r="AN899" s="104" t="e">
        <f t="shared" ref="AN899:AN962" si="426">AF899*$O899</f>
        <v>#N/A</v>
      </c>
      <c r="AO899" s="104" t="e">
        <f t="shared" ref="AO899:AO962" si="427">AG899*$O899</f>
        <v>#N/A</v>
      </c>
      <c r="AP899" s="104" t="e">
        <f t="shared" ref="AP899:AP962" si="428">AH899*$O899</f>
        <v>#N/A</v>
      </c>
      <c r="AQ899" s="104" t="e">
        <f t="shared" ref="AQ899:AQ962" si="429">SUM(AN899:AP899)</f>
        <v>#N/A</v>
      </c>
      <c r="AR899" s="105" t="str">
        <f t="shared" si="421"/>
        <v/>
      </c>
      <c r="AS899" s="105" t="str">
        <f t="shared" si="422"/>
        <v/>
      </c>
      <c r="AT899" s="108" t="str">
        <f t="shared" si="423"/>
        <v/>
      </c>
      <c r="AU899" s="108" t="str">
        <f t="shared" si="424"/>
        <v/>
      </c>
      <c r="AV899" s="107" t="str">
        <f>IF(ISNUMBER(O899),IF(VLOOKUP($A899,Stand!C:J,8,FALSE)="Short",AT899,AU899),"")</f>
        <v/>
      </c>
      <c r="AW899" s="109" t="str">
        <f t="shared" ref="AW899:AW962" si="430">IF(ISNUMBER(O899),AV899*O899,"")</f>
        <v/>
      </c>
      <c r="AX899" s="109" t="str">
        <f t="shared" ref="AX899:AX962" si="431">IF(ISNUMBER(O899),AW899*(1-$H899/100),"")</f>
        <v/>
      </c>
      <c r="AY899" s="112" t="str">
        <f>IF(ISNUMBER(O899),IF(AND(VLOOKUP($D899,Merchantability!$B:$C,2,0)="Yes",$E899&gt;=VLOOKUP($D899,Merchantability!$B:$D,3,0),$E899&lt;=VLOOKUP($D899,Merchantability!$B:$E,4,0)),(AV899*O899)*(1-$H899/100),""),"")</f>
        <v/>
      </c>
      <c r="AZ899" s="116"/>
      <c r="BA899" s="116"/>
      <c r="BB899" s="116"/>
      <c r="BE899" s="62"/>
      <c r="BF899" s="63"/>
    </row>
    <row r="900" spans="1:58" ht="12.75" customHeight="1" x14ac:dyDescent="0.25">
      <c r="A900" s="313"/>
      <c r="B900" s="328"/>
      <c r="C900" s="329"/>
      <c r="D900" s="328"/>
      <c r="E900" s="330"/>
      <c r="F900" s="328"/>
      <c r="G900" s="329"/>
      <c r="H900" s="329"/>
      <c r="I900" s="328"/>
      <c r="J900" s="383"/>
      <c r="K900" s="329"/>
      <c r="L900" s="329"/>
      <c r="M900" s="76"/>
      <c r="N900" s="103" t="str">
        <f>IF(A900="","",VLOOKUP(A900,Stand!C:K,9,0))</f>
        <v/>
      </c>
      <c r="O900" s="104" t="str">
        <f t="shared" si="416"/>
        <v/>
      </c>
      <c r="P900" s="105" t="str">
        <f t="shared" si="417"/>
        <v/>
      </c>
      <c r="Q900" s="105" t="str">
        <f t="shared" si="405"/>
        <v/>
      </c>
      <c r="R900" s="103" t="str">
        <f t="shared" si="418"/>
        <v/>
      </c>
      <c r="S900" s="103" t="str">
        <f t="shared" si="419"/>
        <v/>
      </c>
      <c r="T900" s="106" t="str">
        <f t="shared" si="406"/>
        <v/>
      </c>
      <c r="U900" s="106" t="str">
        <f t="shared" si="407"/>
        <v/>
      </c>
      <c r="V900" s="106" t="str">
        <f t="shared" si="408"/>
        <v/>
      </c>
      <c r="W900" s="105" t="str">
        <f t="shared" si="420"/>
        <v/>
      </c>
      <c r="X900" s="104" t="str">
        <f t="shared" si="425"/>
        <v/>
      </c>
      <c r="Y900" s="104" t="str">
        <f t="array" ref="Y900">IFERROR(IF(ISNUMBER(O900),IF(COUNT(IF(A900=$A$2:$A$2427,IF(D900=$D$2:$D$2427,IF($X$2:$X$2427&gt;0,1))))&gt;0,SUM(IF(A900=$A$2:$A$2427,IF(D900=$D$2:$D$2427,$X$2:$X$2427)))/COUNT(IF(A900=$A$2:$A$2427,IF(D900=$D$2:$D$2427,IF(ISNUMBER($X$2:$X$2427),1)))),0),""),0)</f>
        <v/>
      </c>
      <c r="Z900" s="104" t="str">
        <f>IF(ISNUMBER(O900),IF(I900&gt;0,(10^(VLOOKUP(D900,'Species Codes'!B:C,2,0)+VLOOKUP(D900,'Species Codes'!B:D,3,0)*LOG(E900)+VLOOKUP(D900,'Species Codes'!B:E,4,0)*LOG(I900))),0),"")</f>
        <v/>
      </c>
      <c r="AA900" s="104" t="str">
        <f>IFERROR((VLOOKUP(D900,'Species Codes'!B:G,6,0)*Z900)/2000,"")</f>
        <v/>
      </c>
      <c r="AB900" s="104" t="e">
        <f>IF(Z900&gt;0,((IF(OR(D900="DF",D900="RA")=TRUE,EXP(VLOOKUP(D900,'Species Codes'!B:I,8,0)+VLOOKUP(D900,'Species Codes'!B:J,9,0)*(LN((E900*2.54)))),IF(OR(D900="PY",D900="RC",D900="WH",D900="NF")=TRUE,VLOOKUP(D900,'Species Codes'!B:I,8,0)+VLOOKUP(D900,'Species Codes'!B:J,9,0)*((E900*2.54)^2)*(I900*0.3048),IF(OR(D900="MD",D900="BM",D900="GA")=TRUE,((VLOOKUP(D900,'Species Codes'!B:I,8,0)*(((((E900*2.54)+VLOOKUP(D900,'Species Codes'!B:J,9,0))/VLOOKUP(D900,'Species Codes'!B:K,10,0))^VLOOKUP(D900,'Species Codes'!B:L,11,0))*((I900*0.3048)^VLOOKUP(D900,'Species Codes'!B:M,12,0))))-(VLOOKUP(D900,'Species Codes'!B:I,8,0)*((((E900*2.54)^VLOOKUP(D900,'Species Codes'!B:L,11,0))*((I900*0.3048)^VLOOKUP(D900,'Species Codes'!B:M,12,0))))))*35.3*VLOOKUP(D900,'Species Codes'!B:G,6,0)/2.2046,VLOOKUP(D900,'Species Codes'!B:I,8,0)+VLOOKUP(D900,'Species Codes'!B:J,9,0)*(((E900*2.54)/100)^2)*(I900*0.3048)))))*0.0011023),0)</f>
        <v>#N/A</v>
      </c>
      <c r="AC900" s="104" t="e">
        <f>IF(Z900&gt;0,((IF(OR(D900="RA",D900="OA",D900="OT",D900="UN",D900="PC"),EXP(VLOOKUP(D900,'Species Codes'!B:O,14,0)+VLOOKUP(D900,'Species Codes'!B:P,15,0)*LN((E900*2.54)))-EXP(VLOOKUP(D900,'Species Codes'!B:O,14,0)+VLOOKUP(D900,'Species Codes'!B:P,15,0)*LN((E900*2.54)))*(1/(VLOOKUP(D900,'Species Codes'!B:Q,16,0)+VLOOKUP(D900,'Species Codes'!B:R,17,0)*((E900*2.54)^VLOOKUP(D900,'Species Codes'!B:S,18,0)))),IF(OR(D900="BM",D900="MD",D900="OA"),EXP(VLOOKUP(D900,'Species Codes'!B:O,14,0)+VLOOKUP(D900,'Species Codes'!B:P,15,0)*LN((E900*2.54)))*(1-(1/(VLOOKUP(D900,'Species Codes'!B:Q,16,0)+VLOOKUP(D900,'Species Codes'!B:R,17,0)*((E900*2.54)^VLOOKUP(D900,'Species Codes'!B:S,18,0)))))/1000,IF(D900="DF",EXP(VLOOKUP(D900,'Species Codes'!B:O,14,0)+VLOOKUP(D900,'Species Codes'!B:P,15,0)*LN((E900*2.54))),VLOOKUP(D900,'Species Codes'!B:O,14,0)+VLOOKUP(D900,'Species Codes'!B:P,15,0)*(((E900*2.54)/100)^2)*(I900*0.3048)))))*0.0011023),0)</f>
        <v>#N/A</v>
      </c>
      <c r="AD900" s="104" t="e">
        <f t="shared" si="409"/>
        <v>#N/A</v>
      </c>
      <c r="AE900" s="104" t="e">
        <f t="shared" si="410"/>
        <v>#N/A</v>
      </c>
      <c r="AF900" s="104" t="e">
        <f>IF(AND(VLOOKUP($D900,Merchantability!$B:$C,2,0)="Yes",$E900&gt;=VLOOKUP($D900,Merchantability!$B:$D,3,0),$E900&lt;=VLOOKUP($D900,Merchantability!$B:$E,4,0)),AA900,0)</f>
        <v>#N/A</v>
      </c>
      <c r="AG900" s="104" t="e">
        <f>IF(AND(VLOOKUP($D900,Merchantability!$B:$C,2,0)="Yes",$E900&gt;=VLOOKUP($D900,Merchantability!$B:$D,3,0),$E900&lt;=VLOOKUP($D900,Merchantability!$B:$E,4,0)),AB900,0)</f>
        <v>#N/A</v>
      </c>
      <c r="AH900" s="104" t="e">
        <f>IF(AND(VLOOKUP($D900,Merchantability!$B:$C,2,0)="Yes",$E900&gt;=VLOOKUP($D900,Merchantability!$B:$D,3,0),$E900&lt;=VLOOKUP($D900,Merchantability!$B:$E,4,0)),AC900,0)</f>
        <v>#N/A</v>
      </c>
      <c r="AI900" s="104" t="e">
        <f t="shared" si="411"/>
        <v>#N/A</v>
      </c>
      <c r="AJ900" s="104" t="e">
        <f t="shared" si="412"/>
        <v>#VALUE!</v>
      </c>
      <c r="AK900" s="104" t="e">
        <f t="shared" si="413"/>
        <v>#N/A</v>
      </c>
      <c r="AL900" s="104" t="e">
        <f t="shared" si="414"/>
        <v>#N/A</v>
      </c>
      <c r="AM900" s="104" t="e">
        <f t="shared" si="415"/>
        <v>#N/A</v>
      </c>
      <c r="AN900" s="104" t="e">
        <f t="shared" si="426"/>
        <v>#N/A</v>
      </c>
      <c r="AO900" s="104" t="e">
        <f t="shared" si="427"/>
        <v>#N/A</v>
      </c>
      <c r="AP900" s="104" t="e">
        <f t="shared" si="428"/>
        <v>#N/A</v>
      </c>
      <c r="AQ900" s="104" t="e">
        <f t="shared" si="429"/>
        <v>#N/A</v>
      </c>
      <c r="AR900" s="105" t="str">
        <f t="shared" si="421"/>
        <v/>
      </c>
      <c r="AS900" s="105" t="str">
        <f t="shared" si="422"/>
        <v/>
      </c>
      <c r="AT900" s="108" t="str">
        <f t="shared" si="423"/>
        <v/>
      </c>
      <c r="AU900" s="108" t="str">
        <f t="shared" si="424"/>
        <v/>
      </c>
      <c r="AV900" s="107" t="str">
        <f>IF(ISNUMBER(O900),IF(VLOOKUP($A900,Stand!C:J,8,FALSE)="Short",AT900,AU900),"")</f>
        <v/>
      </c>
      <c r="AW900" s="109" t="str">
        <f t="shared" si="430"/>
        <v/>
      </c>
      <c r="AX900" s="109" t="str">
        <f t="shared" si="431"/>
        <v/>
      </c>
      <c r="AY900" s="112" t="str">
        <f>IF(ISNUMBER(O900),IF(AND(VLOOKUP($D900,Merchantability!$B:$C,2,0)="Yes",$E900&gt;=VLOOKUP($D900,Merchantability!$B:$D,3,0),$E900&lt;=VLOOKUP($D900,Merchantability!$B:$E,4,0)),(AV900*O900)*(1-$H900/100),""),"")</f>
        <v/>
      </c>
      <c r="AZ900" s="116"/>
      <c r="BA900" s="116"/>
      <c r="BB900" s="116"/>
      <c r="BE900" s="62"/>
      <c r="BF900" s="63"/>
    </row>
    <row r="901" spans="1:58" ht="12.75" customHeight="1" x14ac:dyDescent="0.25">
      <c r="A901" s="313"/>
      <c r="B901" s="328"/>
      <c r="C901" s="329"/>
      <c r="D901" s="328"/>
      <c r="E901" s="330"/>
      <c r="F901" s="328"/>
      <c r="G901" s="329"/>
      <c r="H901" s="329"/>
      <c r="I901" s="328"/>
      <c r="J901" s="383"/>
      <c r="K901" s="329"/>
      <c r="L901" s="329"/>
      <c r="M901" s="76"/>
      <c r="N901" s="103" t="str">
        <f>IF(A901="","",VLOOKUP(A901,Stand!C:K,9,0))</f>
        <v/>
      </c>
      <c r="O901" s="104" t="str">
        <f t="shared" si="416"/>
        <v/>
      </c>
      <c r="P901" s="105" t="str">
        <f t="shared" si="417"/>
        <v/>
      </c>
      <c r="Q901" s="105" t="str">
        <f t="shared" si="405"/>
        <v/>
      </c>
      <c r="R901" s="103" t="str">
        <f t="shared" si="418"/>
        <v/>
      </c>
      <c r="S901" s="103" t="str">
        <f t="shared" si="419"/>
        <v/>
      </c>
      <c r="T901" s="106" t="str">
        <f t="shared" si="406"/>
        <v/>
      </c>
      <c r="U901" s="106" t="str">
        <f t="shared" si="407"/>
        <v/>
      </c>
      <c r="V901" s="106" t="str">
        <f t="shared" si="408"/>
        <v/>
      </c>
      <c r="W901" s="105" t="str">
        <f t="shared" si="420"/>
        <v/>
      </c>
      <c r="X901" s="104" t="str">
        <f t="shared" si="425"/>
        <v/>
      </c>
      <c r="Y901" s="104" t="str">
        <f t="array" ref="Y901">IFERROR(IF(ISNUMBER(O901),IF(COUNT(IF(A901=$A$2:$A$2427,IF(D901=$D$2:$D$2427,IF($X$2:$X$2427&gt;0,1))))&gt;0,SUM(IF(A901=$A$2:$A$2427,IF(D901=$D$2:$D$2427,$X$2:$X$2427)))/COUNT(IF(A901=$A$2:$A$2427,IF(D901=$D$2:$D$2427,IF(ISNUMBER($X$2:$X$2427),1)))),0),""),0)</f>
        <v/>
      </c>
      <c r="Z901" s="104" t="str">
        <f>IF(ISNUMBER(O901),IF(I901&gt;0,(10^(VLOOKUP(D901,'Species Codes'!B:C,2,0)+VLOOKUP(D901,'Species Codes'!B:D,3,0)*LOG(E901)+VLOOKUP(D901,'Species Codes'!B:E,4,0)*LOG(I901))),0),"")</f>
        <v/>
      </c>
      <c r="AA901" s="104" t="str">
        <f>IFERROR((VLOOKUP(D901,'Species Codes'!B:G,6,0)*Z901)/2000,"")</f>
        <v/>
      </c>
      <c r="AB901" s="104" t="e">
        <f>IF(Z901&gt;0,((IF(OR(D901="DF",D901="RA")=TRUE,EXP(VLOOKUP(D901,'Species Codes'!B:I,8,0)+VLOOKUP(D901,'Species Codes'!B:J,9,0)*(LN((E901*2.54)))),IF(OR(D901="PY",D901="RC",D901="WH",D901="NF")=TRUE,VLOOKUP(D901,'Species Codes'!B:I,8,0)+VLOOKUP(D901,'Species Codes'!B:J,9,0)*((E901*2.54)^2)*(I901*0.3048),IF(OR(D901="MD",D901="BM",D901="GA")=TRUE,((VLOOKUP(D901,'Species Codes'!B:I,8,0)*(((((E901*2.54)+VLOOKUP(D901,'Species Codes'!B:J,9,0))/VLOOKUP(D901,'Species Codes'!B:K,10,0))^VLOOKUP(D901,'Species Codes'!B:L,11,0))*((I901*0.3048)^VLOOKUP(D901,'Species Codes'!B:M,12,0))))-(VLOOKUP(D901,'Species Codes'!B:I,8,0)*((((E901*2.54)^VLOOKUP(D901,'Species Codes'!B:L,11,0))*((I901*0.3048)^VLOOKUP(D901,'Species Codes'!B:M,12,0))))))*35.3*VLOOKUP(D901,'Species Codes'!B:G,6,0)/2.2046,VLOOKUP(D901,'Species Codes'!B:I,8,0)+VLOOKUP(D901,'Species Codes'!B:J,9,0)*(((E901*2.54)/100)^2)*(I901*0.3048)))))*0.0011023),0)</f>
        <v>#N/A</v>
      </c>
      <c r="AC901" s="104" t="e">
        <f>IF(Z901&gt;0,((IF(OR(D901="RA",D901="OA",D901="OT",D901="UN",D901="PC"),EXP(VLOOKUP(D901,'Species Codes'!B:O,14,0)+VLOOKUP(D901,'Species Codes'!B:P,15,0)*LN((E901*2.54)))-EXP(VLOOKUP(D901,'Species Codes'!B:O,14,0)+VLOOKUP(D901,'Species Codes'!B:P,15,0)*LN((E901*2.54)))*(1/(VLOOKUP(D901,'Species Codes'!B:Q,16,0)+VLOOKUP(D901,'Species Codes'!B:R,17,0)*((E901*2.54)^VLOOKUP(D901,'Species Codes'!B:S,18,0)))),IF(OR(D901="BM",D901="MD",D901="OA"),EXP(VLOOKUP(D901,'Species Codes'!B:O,14,0)+VLOOKUP(D901,'Species Codes'!B:P,15,0)*LN((E901*2.54)))*(1-(1/(VLOOKUP(D901,'Species Codes'!B:Q,16,0)+VLOOKUP(D901,'Species Codes'!B:R,17,0)*((E901*2.54)^VLOOKUP(D901,'Species Codes'!B:S,18,0)))))/1000,IF(D901="DF",EXP(VLOOKUP(D901,'Species Codes'!B:O,14,0)+VLOOKUP(D901,'Species Codes'!B:P,15,0)*LN((E901*2.54))),VLOOKUP(D901,'Species Codes'!B:O,14,0)+VLOOKUP(D901,'Species Codes'!B:P,15,0)*(((E901*2.54)/100)^2)*(I901*0.3048)))))*0.0011023),0)</f>
        <v>#N/A</v>
      </c>
      <c r="AD901" s="104" t="e">
        <f t="shared" si="409"/>
        <v>#N/A</v>
      </c>
      <c r="AE901" s="104" t="e">
        <f t="shared" si="410"/>
        <v>#N/A</v>
      </c>
      <c r="AF901" s="104" t="e">
        <f>IF(AND(VLOOKUP($D901,Merchantability!$B:$C,2,0)="Yes",$E901&gt;=VLOOKUP($D901,Merchantability!$B:$D,3,0),$E901&lt;=VLOOKUP($D901,Merchantability!$B:$E,4,0)),AA901,0)</f>
        <v>#N/A</v>
      </c>
      <c r="AG901" s="104" t="e">
        <f>IF(AND(VLOOKUP($D901,Merchantability!$B:$C,2,0)="Yes",$E901&gt;=VLOOKUP($D901,Merchantability!$B:$D,3,0),$E901&lt;=VLOOKUP($D901,Merchantability!$B:$E,4,0)),AB901,0)</f>
        <v>#N/A</v>
      </c>
      <c r="AH901" s="104" t="e">
        <f>IF(AND(VLOOKUP($D901,Merchantability!$B:$C,2,0)="Yes",$E901&gt;=VLOOKUP($D901,Merchantability!$B:$D,3,0),$E901&lt;=VLOOKUP($D901,Merchantability!$B:$E,4,0)),AC901,0)</f>
        <v>#N/A</v>
      </c>
      <c r="AI901" s="104" t="e">
        <f t="shared" si="411"/>
        <v>#N/A</v>
      </c>
      <c r="AJ901" s="104" t="e">
        <f t="shared" si="412"/>
        <v>#VALUE!</v>
      </c>
      <c r="AK901" s="104" t="e">
        <f t="shared" si="413"/>
        <v>#N/A</v>
      </c>
      <c r="AL901" s="104" t="e">
        <f t="shared" si="414"/>
        <v>#N/A</v>
      </c>
      <c r="AM901" s="104" t="e">
        <f t="shared" si="415"/>
        <v>#N/A</v>
      </c>
      <c r="AN901" s="104" t="e">
        <f t="shared" si="426"/>
        <v>#N/A</v>
      </c>
      <c r="AO901" s="104" t="e">
        <f t="shared" si="427"/>
        <v>#N/A</v>
      </c>
      <c r="AP901" s="104" t="e">
        <f t="shared" si="428"/>
        <v>#N/A</v>
      </c>
      <c r="AQ901" s="104" t="e">
        <f t="shared" si="429"/>
        <v>#N/A</v>
      </c>
      <c r="AR901" s="105" t="str">
        <f t="shared" si="421"/>
        <v/>
      </c>
      <c r="AS901" s="105" t="str">
        <f t="shared" si="422"/>
        <v/>
      </c>
      <c r="AT901" s="108" t="str">
        <f t="shared" si="423"/>
        <v/>
      </c>
      <c r="AU901" s="108" t="str">
        <f t="shared" si="424"/>
        <v/>
      </c>
      <c r="AV901" s="107" t="str">
        <f>IF(ISNUMBER(O901),IF(VLOOKUP($A901,Stand!C:J,8,FALSE)="Short",AT901,AU901),"")</f>
        <v/>
      </c>
      <c r="AW901" s="109" t="str">
        <f t="shared" si="430"/>
        <v/>
      </c>
      <c r="AX901" s="109" t="str">
        <f t="shared" si="431"/>
        <v/>
      </c>
      <c r="AY901" s="112" t="str">
        <f>IF(ISNUMBER(O901),IF(AND(VLOOKUP($D901,Merchantability!$B:$C,2,0)="Yes",$E901&gt;=VLOOKUP($D901,Merchantability!$B:$D,3,0),$E901&lt;=VLOOKUP($D901,Merchantability!$B:$E,4,0)),(AV901*O901)*(1-$H901/100),""),"")</f>
        <v/>
      </c>
      <c r="AZ901" s="116"/>
      <c r="BA901" s="116"/>
      <c r="BB901" s="116"/>
      <c r="BE901" s="62"/>
      <c r="BF901" s="63"/>
    </row>
    <row r="902" spans="1:58" ht="12.75" customHeight="1" x14ac:dyDescent="0.25">
      <c r="A902" s="313"/>
      <c r="B902" s="328"/>
      <c r="C902" s="329"/>
      <c r="D902" s="328"/>
      <c r="E902" s="330"/>
      <c r="F902" s="328"/>
      <c r="G902" s="329"/>
      <c r="H902" s="329"/>
      <c r="I902" s="328"/>
      <c r="J902" s="383"/>
      <c r="K902" s="329"/>
      <c r="L902" s="329"/>
      <c r="M902" s="76"/>
      <c r="N902" s="103" t="str">
        <f>IF(A902="","",VLOOKUP(A902,Stand!C:K,9,0))</f>
        <v/>
      </c>
      <c r="O902" s="104" t="str">
        <f t="shared" si="416"/>
        <v/>
      </c>
      <c r="P902" s="105" t="str">
        <f t="shared" si="417"/>
        <v/>
      </c>
      <c r="Q902" s="105" t="str">
        <f t="shared" si="405"/>
        <v/>
      </c>
      <c r="R902" s="103" t="str">
        <f t="shared" si="418"/>
        <v/>
      </c>
      <c r="S902" s="103" t="str">
        <f t="shared" si="419"/>
        <v/>
      </c>
      <c r="T902" s="106" t="str">
        <f t="shared" si="406"/>
        <v/>
      </c>
      <c r="U902" s="106" t="str">
        <f t="shared" si="407"/>
        <v/>
      </c>
      <c r="V902" s="106" t="str">
        <f t="shared" si="408"/>
        <v/>
      </c>
      <c r="W902" s="105" t="str">
        <f t="shared" si="420"/>
        <v/>
      </c>
      <c r="X902" s="104" t="str">
        <f t="shared" si="425"/>
        <v/>
      </c>
      <c r="Y902" s="104" t="str">
        <f t="array" ref="Y902">IFERROR(IF(ISNUMBER(O902),IF(COUNT(IF(A902=$A$2:$A$2427,IF(D902=$D$2:$D$2427,IF($X$2:$X$2427&gt;0,1))))&gt;0,SUM(IF(A902=$A$2:$A$2427,IF(D902=$D$2:$D$2427,$X$2:$X$2427)))/COUNT(IF(A902=$A$2:$A$2427,IF(D902=$D$2:$D$2427,IF(ISNUMBER($X$2:$X$2427),1)))),0),""),0)</f>
        <v/>
      </c>
      <c r="Z902" s="104" t="str">
        <f>IF(ISNUMBER(O902),IF(I902&gt;0,(10^(VLOOKUP(D902,'Species Codes'!B:C,2,0)+VLOOKUP(D902,'Species Codes'!B:D,3,0)*LOG(E902)+VLOOKUP(D902,'Species Codes'!B:E,4,0)*LOG(I902))),0),"")</f>
        <v/>
      </c>
      <c r="AA902" s="104" t="str">
        <f>IFERROR((VLOOKUP(D902,'Species Codes'!B:G,6,0)*Z902)/2000,"")</f>
        <v/>
      </c>
      <c r="AB902" s="104" t="e">
        <f>IF(Z902&gt;0,((IF(OR(D902="DF",D902="RA")=TRUE,EXP(VLOOKUP(D902,'Species Codes'!B:I,8,0)+VLOOKUP(D902,'Species Codes'!B:J,9,0)*(LN((E902*2.54)))),IF(OR(D902="PY",D902="RC",D902="WH",D902="NF")=TRUE,VLOOKUP(D902,'Species Codes'!B:I,8,0)+VLOOKUP(D902,'Species Codes'!B:J,9,0)*((E902*2.54)^2)*(I902*0.3048),IF(OR(D902="MD",D902="BM",D902="GA")=TRUE,((VLOOKUP(D902,'Species Codes'!B:I,8,0)*(((((E902*2.54)+VLOOKUP(D902,'Species Codes'!B:J,9,0))/VLOOKUP(D902,'Species Codes'!B:K,10,0))^VLOOKUP(D902,'Species Codes'!B:L,11,0))*((I902*0.3048)^VLOOKUP(D902,'Species Codes'!B:M,12,0))))-(VLOOKUP(D902,'Species Codes'!B:I,8,0)*((((E902*2.54)^VLOOKUP(D902,'Species Codes'!B:L,11,0))*((I902*0.3048)^VLOOKUP(D902,'Species Codes'!B:M,12,0))))))*35.3*VLOOKUP(D902,'Species Codes'!B:G,6,0)/2.2046,VLOOKUP(D902,'Species Codes'!B:I,8,0)+VLOOKUP(D902,'Species Codes'!B:J,9,0)*(((E902*2.54)/100)^2)*(I902*0.3048)))))*0.0011023),0)</f>
        <v>#N/A</v>
      </c>
      <c r="AC902" s="104" t="e">
        <f>IF(Z902&gt;0,((IF(OR(D902="RA",D902="OA",D902="OT",D902="UN",D902="PC"),EXP(VLOOKUP(D902,'Species Codes'!B:O,14,0)+VLOOKUP(D902,'Species Codes'!B:P,15,0)*LN((E902*2.54)))-EXP(VLOOKUP(D902,'Species Codes'!B:O,14,0)+VLOOKUP(D902,'Species Codes'!B:P,15,0)*LN((E902*2.54)))*(1/(VLOOKUP(D902,'Species Codes'!B:Q,16,0)+VLOOKUP(D902,'Species Codes'!B:R,17,0)*((E902*2.54)^VLOOKUP(D902,'Species Codes'!B:S,18,0)))),IF(OR(D902="BM",D902="MD",D902="OA"),EXP(VLOOKUP(D902,'Species Codes'!B:O,14,0)+VLOOKUP(D902,'Species Codes'!B:P,15,0)*LN((E902*2.54)))*(1-(1/(VLOOKUP(D902,'Species Codes'!B:Q,16,0)+VLOOKUP(D902,'Species Codes'!B:R,17,0)*((E902*2.54)^VLOOKUP(D902,'Species Codes'!B:S,18,0)))))/1000,IF(D902="DF",EXP(VLOOKUP(D902,'Species Codes'!B:O,14,0)+VLOOKUP(D902,'Species Codes'!B:P,15,0)*LN((E902*2.54))),VLOOKUP(D902,'Species Codes'!B:O,14,0)+VLOOKUP(D902,'Species Codes'!B:P,15,0)*(((E902*2.54)/100)^2)*(I902*0.3048)))))*0.0011023),0)</f>
        <v>#N/A</v>
      </c>
      <c r="AD902" s="104" t="e">
        <f t="shared" si="409"/>
        <v>#N/A</v>
      </c>
      <c r="AE902" s="104" t="e">
        <f t="shared" si="410"/>
        <v>#N/A</v>
      </c>
      <c r="AF902" s="104" t="e">
        <f>IF(AND(VLOOKUP($D902,Merchantability!$B:$C,2,0)="Yes",$E902&gt;=VLOOKUP($D902,Merchantability!$B:$D,3,0),$E902&lt;=VLOOKUP($D902,Merchantability!$B:$E,4,0)),AA902,0)</f>
        <v>#N/A</v>
      </c>
      <c r="AG902" s="104" t="e">
        <f>IF(AND(VLOOKUP($D902,Merchantability!$B:$C,2,0)="Yes",$E902&gt;=VLOOKUP($D902,Merchantability!$B:$D,3,0),$E902&lt;=VLOOKUP($D902,Merchantability!$B:$E,4,0)),AB902,0)</f>
        <v>#N/A</v>
      </c>
      <c r="AH902" s="104" t="e">
        <f>IF(AND(VLOOKUP($D902,Merchantability!$B:$C,2,0)="Yes",$E902&gt;=VLOOKUP($D902,Merchantability!$B:$D,3,0),$E902&lt;=VLOOKUP($D902,Merchantability!$B:$E,4,0)),AC902,0)</f>
        <v>#N/A</v>
      </c>
      <c r="AI902" s="104" t="e">
        <f t="shared" si="411"/>
        <v>#N/A</v>
      </c>
      <c r="AJ902" s="104" t="e">
        <f t="shared" si="412"/>
        <v>#VALUE!</v>
      </c>
      <c r="AK902" s="104" t="e">
        <f t="shared" si="413"/>
        <v>#N/A</v>
      </c>
      <c r="AL902" s="104" t="e">
        <f t="shared" si="414"/>
        <v>#N/A</v>
      </c>
      <c r="AM902" s="104" t="e">
        <f t="shared" si="415"/>
        <v>#N/A</v>
      </c>
      <c r="AN902" s="104" t="e">
        <f t="shared" si="426"/>
        <v>#N/A</v>
      </c>
      <c r="AO902" s="104" t="e">
        <f t="shared" si="427"/>
        <v>#N/A</v>
      </c>
      <c r="AP902" s="104" t="e">
        <f t="shared" si="428"/>
        <v>#N/A</v>
      </c>
      <c r="AQ902" s="104" t="e">
        <f t="shared" si="429"/>
        <v>#N/A</v>
      </c>
      <c r="AR902" s="105" t="str">
        <f t="shared" si="421"/>
        <v/>
      </c>
      <c r="AS902" s="105" t="str">
        <f t="shared" si="422"/>
        <v/>
      </c>
      <c r="AT902" s="108" t="str">
        <f t="shared" si="423"/>
        <v/>
      </c>
      <c r="AU902" s="108" t="str">
        <f t="shared" si="424"/>
        <v/>
      </c>
      <c r="AV902" s="107" t="str">
        <f>IF(ISNUMBER(O902),IF(VLOOKUP($A902,Stand!C:J,8,FALSE)="Short",AT902,AU902),"")</f>
        <v/>
      </c>
      <c r="AW902" s="109" t="str">
        <f t="shared" si="430"/>
        <v/>
      </c>
      <c r="AX902" s="109" t="str">
        <f t="shared" si="431"/>
        <v/>
      </c>
      <c r="AY902" s="112" t="str">
        <f>IF(ISNUMBER(O902),IF(AND(VLOOKUP($D902,Merchantability!$B:$C,2,0)="Yes",$E902&gt;=VLOOKUP($D902,Merchantability!$B:$D,3,0),$E902&lt;=VLOOKUP($D902,Merchantability!$B:$E,4,0)),(AV902*O902)*(1-$H902/100),""),"")</f>
        <v/>
      </c>
      <c r="AZ902" s="116"/>
      <c r="BA902" s="116"/>
      <c r="BB902" s="116"/>
      <c r="BE902" s="62"/>
      <c r="BF902" s="63"/>
    </row>
    <row r="903" spans="1:58" ht="12.75" customHeight="1" x14ac:dyDescent="0.25">
      <c r="A903" s="313"/>
      <c r="B903" s="328"/>
      <c r="C903" s="329"/>
      <c r="D903" s="328"/>
      <c r="E903" s="330"/>
      <c r="F903" s="328"/>
      <c r="G903" s="329"/>
      <c r="H903" s="329"/>
      <c r="I903" s="328"/>
      <c r="J903" s="383"/>
      <c r="K903" s="329"/>
      <c r="L903" s="329"/>
      <c r="M903" s="76"/>
      <c r="N903" s="103" t="str">
        <f>IF(A903="","",VLOOKUP(A903,Stand!C:K,9,0))</f>
        <v/>
      </c>
      <c r="O903" s="104" t="str">
        <f t="shared" si="416"/>
        <v/>
      </c>
      <c r="P903" s="105" t="str">
        <f t="shared" si="417"/>
        <v/>
      </c>
      <c r="Q903" s="105" t="str">
        <f t="shared" si="405"/>
        <v/>
      </c>
      <c r="R903" s="103" t="str">
        <f t="shared" si="418"/>
        <v/>
      </c>
      <c r="S903" s="103" t="str">
        <f t="shared" si="419"/>
        <v/>
      </c>
      <c r="T903" s="106" t="str">
        <f t="shared" si="406"/>
        <v/>
      </c>
      <c r="U903" s="106" t="str">
        <f t="shared" si="407"/>
        <v/>
      </c>
      <c r="V903" s="106" t="str">
        <f t="shared" si="408"/>
        <v/>
      </c>
      <c r="W903" s="105" t="str">
        <f t="shared" si="420"/>
        <v/>
      </c>
      <c r="X903" s="104" t="str">
        <f t="shared" si="425"/>
        <v/>
      </c>
      <c r="Y903" s="104" t="str">
        <f t="array" ref="Y903">IFERROR(IF(ISNUMBER(O903),IF(COUNT(IF(A903=$A$2:$A$2427,IF(D903=$D$2:$D$2427,IF($X$2:$X$2427&gt;0,1))))&gt;0,SUM(IF(A903=$A$2:$A$2427,IF(D903=$D$2:$D$2427,$X$2:$X$2427)))/COUNT(IF(A903=$A$2:$A$2427,IF(D903=$D$2:$D$2427,IF(ISNUMBER($X$2:$X$2427),1)))),0),""),0)</f>
        <v/>
      </c>
      <c r="Z903" s="104" t="str">
        <f>IF(ISNUMBER(O903),IF(I903&gt;0,(10^(VLOOKUP(D903,'Species Codes'!B:C,2,0)+VLOOKUP(D903,'Species Codes'!B:D,3,0)*LOG(E903)+VLOOKUP(D903,'Species Codes'!B:E,4,0)*LOG(I903))),0),"")</f>
        <v/>
      </c>
      <c r="AA903" s="104" t="str">
        <f>IFERROR((VLOOKUP(D903,'Species Codes'!B:G,6,0)*Z903)/2000,"")</f>
        <v/>
      </c>
      <c r="AB903" s="104" t="e">
        <f>IF(Z903&gt;0,((IF(OR(D903="DF",D903="RA")=TRUE,EXP(VLOOKUP(D903,'Species Codes'!B:I,8,0)+VLOOKUP(D903,'Species Codes'!B:J,9,0)*(LN((E903*2.54)))),IF(OR(D903="PY",D903="RC",D903="WH",D903="NF")=TRUE,VLOOKUP(D903,'Species Codes'!B:I,8,0)+VLOOKUP(D903,'Species Codes'!B:J,9,0)*((E903*2.54)^2)*(I903*0.3048),IF(OR(D903="MD",D903="BM",D903="GA")=TRUE,((VLOOKUP(D903,'Species Codes'!B:I,8,0)*(((((E903*2.54)+VLOOKUP(D903,'Species Codes'!B:J,9,0))/VLOOKUP(D903,'Species Codes'!B:K,10,0))^VLOOKUP(D903,'Species Codes'!B:L,11,0))*((I903*0.3048)^VLOOKUP(D903,'Species Codes'!B:M,12,0))))-(VLOOKUP(D903,'Species Codes'!B:I,8,0)*((((E903*2.54)^VLOOKUP(D903,'Species Codes'!B:L,11,0))*((I903*0.3048)^VLOOKUP(D903,'Species Codes'!B:M,12,0))))))*35.3*VLOOKUP(D903,'Species Codes'!B:G,6,0)/2.2046,VLOOKUP(D903,'Species Codes'!B:I,8,0)+VLOOKUP(D903,'Species Codes'!B:J,9,0)*(((E903*2.54)/100)^2)*(I903*0.3048)))))*0.0011023),0)</f>
        <v>#N/A</v>
      </c>
      <c r="AC903" s="104" t="e">
        <f>IF(Z903&gt;0,((IF(OR(D903="RA",D903="OA",D903="OT",D903="UN",D903="PC"),EXP(VLOOKUP(D903,'Species Codes'!B:O,14,0)+VLOOKUP(D903,'Species Codes'!B:P,15,0)*LN((E903*2.54)))-EXP(VLOOKUP(D903,'Species Codes'!B:O,14,0)+VLOOKUP(D903,'Species Codes'!B:P,15,0)*LN((E903*2.54)))*(1/(VLOOKUP(D903,'Species Codes'!B:Q,16,0)+VLOOKUP(D903,'Species Codes'!B:R,17,0)*((E903*2.54)^VLOOKUP(D903,'Species Codes'!B:S,18,0)))),IF(OR(D903="BM",D903="MD",D903="OA"),EXP(VLOOKUP(D903,'Species Codes'!B:O,14,0)+VLOOKUP(D903,'Species Codes'!B:P,15,0)*LN((E903*2.54)))*(1-(1/(VLOOKUP(D903,'Species Codes'!B:Q,16,0)+VLOOKUP(D903,'Species Codes'!B:R,17,0)*((E903*2.54)^VLOOKUP(D903,'Species Codes'!B:S,18,0)))))/1000,IF(D903="DF",EXP(VLOOKUP(D903,'Species Codes'!B:O,14,0)+VLOOKUP(D903,'Species Codes'!B:P,15,0)*LN((E903*2.54))),VLOOKUP(D903,'Species Codes'!B:O,14,0)+VLOOKUP(D903,'Species Codes'!B:P,15,0)*(((E903*2.54)/100)^2)*(I903*0.3048)))))*0.0011023),0)</f>
        <v>#N/A</v>
      </c>
      <c r="AD903" s="104" t="e">
        <f t="shared" si="409"/>
        <v>#N/A</v>
      </c>
      <c r="AE903" s="104" t="e">
        <f t="shared" si="410"/>
        <v>#N/A</v>
      </c>
      <c r="AF903" s="104" t="e">
        <f>IF(AND(VLOOKUP($D903,Merchantability!$B:$C,2,0)="Yes",$E903&gt;=VLOOKUP($D903,Merchantability!$B:$D,3,0),$E903&lt;=VLOOKUP($D903,Merchantability!$B:$E,4,0)),AA903,0)</f>
        <v>#N/A</v>
      </c>
      <c r="AG903" s="104" t="e">
        <f>IF(AND(VLOOKUP($D903,Merchantability!$B:$C,2,0)="Yes",$E903&gt;=VLOOKUP($D903,Merchantability!$B:$D,3,0),$E903&lt;=VLOOKUP($D903,Merchantability!$B:$E,4,0)),AB903,0)</f>
        <v>#N/A</v>
      </c>
      <c r="AH903" s="104" t="e">
        <f>IF(AND(VLOOKUP($D903,Merchantability!$B:$C,2,0)="Yes",$E903&gt;=VLOOKUP($D903,Merchantability!$B:$D,3,0),$E903&lt;=VLOOKUP($D903,Merchantability!$B:$E,4,0)),AC903,0)</f>
        <v>#N/A</v>
      </c>
      <c r="AI903" s="104" t="e">
        <f t="shared" si="411"/>
        <v>#N/A</v>
      </c>
      <c r="AJ903" s="104" t="e">
        <f t="shared" si="412"/>
        <v>#VALUE!</v>
      </c>
      <c r="AK903" s="104" t="e">
        <f t="shared" si="413"/>
        <v>#N/A</v>
      </c>
      <c r="AL903" s="104" t="e">
        <f t="shared" si="414"/>
        <v>#N/A</v>
      </c>
      <c r="AM903" s="104" t="e">
        <f t="shared" si="415"/>
        <v>#N/A</v>
      </c>
      <c r="AN903" s="104" t="e">
        <f t="shared" si="426"/>
        <v>#N/A</v>
      </c>
      <c r="AO903" s="104" t="e">
        <f t="shared" si="427"/>
        <v>#N/A</v>
      </c>
      <c r="AP903" s="104" t="e">
        <f t="shared" si="428"/>
        <v>#N/A</v>
      </c>
      <c r="AQ903" s="104" t="e">
        <f t="shared" si="429"/>
        <v>#N/A</v>
      </c>
      <c r="AR903" s="105" t="str">
        <f t="shared" si="421"/>
        <v/>
      </c>
      <c r="AS903" s="105" t="str">
        <f t="shared" si="422"/>
        <v/>
      </c>
      <c r="AT903" s="108" t="str">
        <f t="shared" si="423"/>
        <v/>
      </c>
      <c r="AU903" s="108" t="str">
        <f t="shared" si="424"/>
        <v/>
      </c>
      <c r="AV903" s="107" t="str">
        <f>IF(ISNUMBER(O903),IF(VLOOKUP($A903,Stand!C:J,8,FALSE)="Short",AT903,AU903),"")</f>
        <v/>
      </c>
      <c r="AW903" s="109" t="str">
        <f t="shared" si="430"/>
        <v/>
      </c>
      <c r="AX903" s="109" t="str">
        <f t="shared" si="431"/>
        <v/>
      </c>
      <c r="AY903" s="112" t="str">
        <f>IF(ISNUMBER(O903),IF(AND(VLOOKUP($D903,Merchantability!$B:$C,2,0)="Yes",$E903&gt;=VLOOKUP($D903,Merchantability!$B:$D,3,0),$E903&lt;=VLOOKUP($D903,Merchantability!$B:$E,4,0)),(AV903*O903)*(1-$H903/100),""),"")</f>
        <v/>
      </c>
      <c r="AZ903" s="116"/>
      <c r="BA903" s="116"/>
      <c r="BB903" s="116"/>
      <c r="BE903" s="62"/>
      <c r="BF903" s="63"/>
    </row>
    <row r="904" spans="1:58" ht="12.75" customHeight="1" x14ac:dyDescent="0.25">
      <c r="A904" s="313"/>
      <c r="B904" s="328"/>
      <c r="C904" s="329"/>
      <c r="D904" s="328"/>
      <c r="E904" s="330"/>
      <c r="F904" s="328"/>
      <c r="G904" s="329"/>
      <c r="H904" s="329"/>
      <c r="I904" s="328"/>
      <c r="J904" s="383"/>
      <c r="K904" s="329"/>
      <c r="L904" s="329"/>
      <c r="M904" s="76"/>
      <c r="N904" s="103" t="str">
        <f>IF(A904="","",VLOOKUP(A904,Stand!C:K,9,0))</f>
        <v/>
      </c>
      <c r="O904" s="104" t="str">
        <f t="shared" si="416"/>
        <v/>
      </c>
      <c r="P904" s="105" t="str">
        <f t="shared" si="417"/>
        <v/>
      </c>
      <c r="Q904" s="105" t="str">
        <f t="shared" si="405"/>
        <v/>
      </c>
      <c r="R904" s="103" t="str">
        <f t="shared" si="418"/>
        <v/>
      </c>
      <c r="S904" s="103" t="str">
        <f t="shared" si="419"/>
        <v/>
      </c>
      <c r="T904" s="106" t="str">
        <f t="shared" si="406"/>
        <v/>
      </c>
      <c r="U904" s="106" t="str">
        <f t="shared" si="407"/>
        <v/>
      </c>
      <c r="V904" s="106" t="str">
        <f t="shared" si="408"/>
        <v/>
      </c>
      <c r="W904" s="105" t="str">
        <f t="shared" si="420"/>
        <v/>
      </c>
      <c r="X904" s="104" t="str">
        <f t="shared" si="425"/>
        <v/>
      </c>
      <c r="Y904" s="104" t="str">
        <f t="array" ref="Y904">IFERROR(IF(ISNUMBER(O904),IF(COUNT(IF(A904=$A$2:$A$2427,IF(D904=$D$2:$D$2427,IF($X$2:$X$2427&gt;0,1))))&gt;0,SUM(IF(A904=$A$2:$A$2427,IF(D904=$D$2:$D$2427,$X$2:$X$2427)))/COUNT(IF(A904=$A$2:$A$2427,IF(D904=$D$2:$D$2427,IF(ISNUMBER($X$2:$X$2427),1)))),0),""),0)</f>
        <v/>
      </c>
      <c r="Z904" s="104" t="str">
        <f>IF(ISNUMBER(O904),IF(I904&gt;0,(10^(VLOOKUP(D904,'Species Codes'!B:C,2,0)+VLOOKUP(D904,'Species Codes'!B:D,3,0)*LOG(E904)+VLOOKUP(D904,'Species Codes'!B:E,4,0)*LOG(I904))),0),"")</f>
        <v/>
      </c>
      <c r="AA904" s="104" t="str">
        <f>IFERROR((VLOOKUP(D904,'Species Codes'!B:G,6,0)*Z904)/2000,"")</f>
        <v/>
      </c>
      <c r="AB904" s="104" t="e">
        <f>IF(Z904&gt;0,((IF(OR(D904="DF",D904="RA")=TRUE,EXP(VLOOKUP(D904,'Species Codes'!B:I,8,0)+VLOOKUP(D904,'Species Codes'!B:J,9,0)*(LN((E904*2.54)))),IF(OR(D904="PY",D904="RC",D904="WH",D904="NF")=TRUE,VLOOKUP(D904,'Species Codes'!B:I,8,0)+VLOOKUP(D904,'Species Codes'!B:J,9,0)*((E904*2.54)^2)*(I904*0.3048),IF(OR(D904="MD",D904="BM",D904="GA")=TRUE,((VLOOKUP(D904,'Species Codes'!B:I,8,0)*(((((E904*2.54)+VLOOKUP(D904,'Species Codes'!B:J,9,0))/VLOOKUP(D904,'Species Codes'!B:K,10,0))^VLOOKUP(D904,'Species Codes'!B:L,11,0))*((I904*0.3048)^VLOOKUP(D904,'Species Codes'!B:M,12,0))))-(VLOOKUP(D904,'Species Codes'!B:I,8,0)*((((E904*2.54)^VLOOKUP(D904,'Species Codes'!B:L,11,0))*((I904*0.3048)^VLOOKUP(D904,'Species Codes'!B:M,12,0))))))*35.3*VLOOKUP(D904,'Species Codes'!B:G,6,0)/2.2046,VLOOKUP(D904,'Species Codes'!B:I,8,0)+VLOOKUP(D904,'Species Codes'!B:J,9,0)*(((E904*2.54)/100)^2)*(I904*0.3048)))))*0.0011023),0)</f>
        <v>#N/A</v>
      </c>
      <c r="AC904" s="104" t="e">
        <f>IF(Z904&gt;0,((IF(OR(D904="RA",D904="OA",D904="OT",D904="UN",D904="PC"),EXP(VLOOKUP(D904,'Species Codes'!B:O,14,0)+VLOOKUP(D904,'Species Codes'!B:P,15,0)*LN((E904*2.54)))-EXP(VLOOKUP(D904,'Species Codes'!B:O,14,0)+VLOOKUP(D904,'Species Codes'!B:P,15,0)*LN((E904*2.54)))*(1/(VLOOKUP(D904,'Species Codes'!B:Q,16,0)+VLOOKUP(D904,'Species Codes'!B:R,17,0)*((E904*2.54)^VLOOKUP(D904,'Species Codes'!B:S,18,0)))),IF(OR(D904="BM",D904="MD",D904="OA"),EXP(VLOOKUP(D904,'Species Codes'!B:O,14,0)+VLOOKUP(D904,'Species Codes'!B:P,15,0)*LN((E904*2.54)))*(1-(1/(VLOOKUP(D904,'Species Codes'!B:Q,16,0)+VLOOKUP(D904,'Species Codes'!B:R,17,0)*((E904*2.54)^VLOOKUP(D904,'Species Codes'!B:S,18,0)))))/1000,IF(D904="DF",EXP(VLOOKUP(D904,'Species Codes'!B:O,14,0)+VLOOKUP(D904,'Species Codes'!B:P,15,0)*LN((E904*2.54))),VLOOKUP(D904,'Species Codes'!B:O,14,0)+VLOOKUP(D904,'Species Codes'!B:P,15,0)*(((E904*2.54)/100)^2)*(I904*0.3048)))))*0.0011023),0)</f>
        <v>#N/A</v>
      </c>
      <c r="AD904" s="104" t="e">
        <f t="shared" si="409"/>
        <v>#N/A</v>
      </c>
      <c r="AE904" s="104" t="e">
        <f t="shared" si="410"/>
        <v>#N/A</v>
      </c>
      <c r="AF904" s="104" t="e">
        <f>IF(AND(VLOOKUP($D904,Merchantability!$B:$C,2,0)="Yes",$E904&gt;=VLOOKUP($D904,Merchantability!$B:$D,3,0),$E904&lt;=VLOOKUP($D904,Merchantability!$B:$E,4,0)),AA904,0)</f>
        <v>#N/A</v>
      </c>
      <c r="AG904" s="104" t="e">
        <f>IF(AND(VLOOKUP($D904,Merchantability!$B:$C,2,0)="Yes",$E904&gt;=VLOOKUP($D904,Merchantability!$B:$D,3,0),$E904&lt;=VLOOKUP($D904,Merchantability!$B:$E,4,0)),AB904,0)</f>
        <v>#N/A</v>
      </c>
      <c r="AH904" s="104" t="e">
        <f>IF(AND(VLOOKUP($D904,Merchantability!$B:$C,2,0)="Yes",$E904&gt;=VLOOKUP($D904,Merchantability!$B:$D,3,0),$E904&lt;=VLOOKUP($D904,Merchantability!$B:$E,4,0)),AC904,0)</f>
        <v>#N/A</v>
      </c>
      <c r="AI904" s="104" t="e">
        <f t="shared" si="411"/>
        <v>#N/A</v>
      </c>
      <c r="AJ904" s="104" t="e">
        <f t="shared" si="412"/>
        <v>#VALUE!</v>
      </c>
      <c r="AK904" s="104" t="e">
        <f t="shared" si="413"/>
        <v>#N/A</v>
      </c>
      <c r="AL904" s="104" t="e">
        <f t="shared" si="414"/>
        <v>#N/A</v>
      </c>
      <c r="AM904" s="104" t="e">
        <f t="shared" si="415"/>
        <v>#N/A</v>
      </c>
      <c r="AN904" s="104" t="e">
        <f t="shared" si="426"/>
        <v>#N/A</v>
      </c>
      <c r="AO904" s="104" t="e">
        <f t="shared" si="427"/>
        <v>#N/A</v>
      </c>
      <c r="AP904" s="104" t="e">
        <f t="shared" si="428"/>
        <v>#N/A</v>
      </c>
      <c r="AQ904" s="104" t="e">
        <f t="shared" si="429"/>
        <v>#N/A</v>
      </c>
      <c r="AR904" s="105" t="str">
        <f t="shared" si="421"/>
        <v/>
      </c>
      <c r="AS904" s="105" t="str">
        <f t="shared" si="422"/>
        <v/>
      </c>
      <c r="AT904" s="108" t="str">
        <f t="shared" si="423"/>
        <v/>
      </c>
      <c r="AU904" s="108" t="str">
        <f t="shared" si="424"/>
        <v/>
      </c>
      <c r="AV904" s="107" t="str">
        <f>IF(ISNUMBER(O904),IF(VLOOKUP($A904,Stand!C:J,8,FALSE)="Short",AT904,AU904),"")</f>
        <v/>
      </c>
      <c r="AW904" s="109" t="str">
        <f t="shared" si="430"/>
        <v/>
      </c>
      <c r="AX904" s="109" t="str">
        <f t="shared" si="431"/>
        <v/>
      </c>
      <c r="AY904" s="112" t="str">
        <f>IF(ISNUMBER(O904),IF(AND(VLOOKUP($D904,Merchantability!$B:$C,2,0)="Yes",$E904&gt;=VLOOKUP($D904,Merchantability!$B:$D,3,0),$E904&lt;=VLOOKUP($D904,Merchantability!$B:$E,4,0)),(AV904*O904)*(1-$H904/100),""),"")</f>
        <v/>
      </c>
      <c r="AZ904" s="116"/>
      <c r="BA904" s="116"/>
      <c r="BB904" s="116"/>
      <c r="BE904" s="62"/>
      <c r="BF904" s="63"/>
    </row>
    <row r="905" spans="1:58" ht="12.75" customHeight="1" x14ac:dyDescent="0.25">
      <c r="A905" s="313"/>
      <c r="B905" s="328"/>
      <c r="C905" s="329"/>
      <c r="D905" s="328"/>
      <c r="E905" s="330"/>
      <c r="F905" s="328"/>
      <c r="G905" s="329"/>
      <c r="H905" s="329"/>
      <c r="I905" s="328"/>
      <c r="J905" s="383"/>
      <c r="K905" s="329"/>
      <c r="L905" s="329"/>
      <c r="M905" s="76"/>
      <c r="N905" s="103" t="str">
        <f>IF(A905="","",VLOOKUP(A905,Stand!C:K,9,0))</f>
        <v/>
      </c>
      <c r="O905" s="104" t="str">
        <f t="shared" si="416"/>
        <v/>
      </c>
      <c r="P905" s="105" t="str">
        <f t="shared" si="417"/>
        <v/>
      </c>
      <c r="Q905" s="105" t="str">
        <f t="shared" si="405"/>
        <v/>
      </c>
      <c r="R905" s="103" t="str">
        <f t="shared" si="418"/>
        <v/>
      </c>
      <c r="S905" s="103" t="str">
        <f t="shared" si="419"/>
        <v/>
      </c>
      <c r="T905" s="106" t="str">
        <f t="shared" si="406"/>
        <v/>
      </c>
      <c r="U905" s="106" t="str">
        <f t="shared" si="407"/>
        <v/>
      </c>
      <c r="V905" s="106" t="str">
        <f t="shared" si="408"/>
        <v/>
      </c>
      <c r="W905" s="105" t="str">
        <f t="shared" si="420"/>
        <v/>
      </c>
      <c r="X905" s="104" t="str">
        <f t="shared" si="425"/>
        <v/>
      </c>
      <c r="Y905" s="104" t="str">
        <f t="array" ref="Y905">IFERROR(IF(ISNUMBER(O905),IF(COUNT(IF(A905=$A$2:$A$2427,IF(D905=$D$2:$D$2427,IF($X$2:$X$2427&gt;0,1))))&gt;0,SUM(IF(A905=$A$2:$A$2427,IF(D905=$D$2:$D$2427,$X$2:$X$2427)))/COUNT(IF(A905=$A$2:$A$2427,IF(D905=$D$2:$D$2427,IF(ISNUMBER($X$2:$X$2427),1)))),0),""),0)</f>
        <v/>
      </c>
      <c r="Z905" s="104" t="str">
        <f>IF(ISNUMBER(O905),IF(I905&gt;0,(10^(VLOOKUP(D905,'Species Codes'!B:C,2,0)+VLOOKUP(D905,'Species Codes'!B:D,3,0)*LOG(E905)+VLOOKUP(D905,'Species Codes'!B:E,4,0)*LOG(I905))),0),"")</f>
        <v/>
      </c>
      <c r="AA905" s="104" t="str">
        <f>IFERROR((VLOOKUP(D905,'Species Codes'!B:G,6,0)*Z905)/2000,"")</f>
        <v/>
      </c>
      <c r="AB905" s="104" t="e">
        <f>IF(Z905&gt;0,((IF(OR(D905="DF",D905="RA")=TRUE,EXP(VLOOKUP(D905,'Species Codes'!B:I,8,0)+VLOOKUP(D905,'Species Codes'!B:J,9,0)*(LN((E905*2.54)))),IF(OR(D905="PY",D905="RC",D905="WH",D905="NF")=TRUE,VLOOKUP(D905,'Species Codes'!B:I,8,0)+VLOOKUP(D905,'Species Codes'!B:J,9,0)*((E905*2.54)^2)*(I905*0.3048),IF(OR(D905="MD",D905="BM",D905="GA")=TRUE,((VLOOKUP(D905,'Species Codes'!B:I,8,0)*(((((E905*2.54)+VLOOKUP(D905,'Species Codes'!B:J,9,0))/VLOOKUP(D905,'Species Codes'!B:K,10,0))^VLOOKUP(D905,'Species Codes'!B:L,11,0))*((I905*0.3048)^VLOOKUP(D905,'Species Codes'!B:M,12,0))))-(VLOOKUP(D905,'Species Codes'!B:I,8,0)*((((E905*2.54)^VLOOKUP(D905,'Species Codes'!B:L,11,0))*((I905*0.3048)^VLOOKUP(D905,'Species Codes'!B:M,12,0))))))*35.3*VLOOKUP(D905,'Species Codes'!B:G,6,0)/2.2046,VLOOKUP(D905,'Species Codes'!B:I,8,0)+VLOOKUP(D905,'Species Codes'!B:J,9,0)*(((E905*2.54)/100)^2)*(I905*0.3048)))))*0.0011023),0)</f>
        <v>#N/A</v>
      </c>
      <c r="AC905" s="104" t="e">
        <f>IF(Z905&gt;0,((IF(OR(D905="RA",D905="OA",D905="OT",D905="UN",D905="PC"),EXP(VLOOKUP(D905,'Species Codes'!B:O,14,0)+VLOOKUP(D905,'Species Codes'!B:P,15,0)*LN((E905*2.54)))-EXP(VLOOKUP(D905,'Species Codes'!B:O,14,0)+VLOOKUP(D905,'Species Codes'!B:P,15,0)*LN((E905*2.54)))*(1/(VLOOKUP(D905,'Species Codes'!B:Q,16,0)+VLOOKUP(D905,'Species Codes'!B:R,17,0)*((E905*2.54)^VLOOKUP(D905,'Species Codes'!B:S,18,0)))),IF(OR(D905="BM",D905="MD",D905="OA"),EXP(VLOOKUP(D905,'Species Codes'!B:O,14,0)+VLOOKUP(D905,'Species Codes'!B:P,15,0)*LN((E905*2.54)))*(1-(1/(VLOOKUP(D905,'Species Codes'!B:Q,16,0)+VLOOKUP(D905,'Species Codes'!B:R,17,0)*((E905*2.54)^VLOOKUP(D905,'Species Codes'!B:S,18,0)))))/1000,IF(D905="DF",EXP(VLOOKUP(D905,'Species Codes'!B:O,14,0)+VLOOKUP(D905,'Species Codes'!B:P,15,0)*LN((E905*2.54))),VLOOKUP(D905,'Species Codes'!B:O,14,0)+VLOOKUP(D905,'Species Codes'!B:P,15,0)*(((E905*2.54)/100)^2)*(I905*0.3048)))))*0.0011023),0)</f>
        <v>#N/A</v>
      </c>
      <c r="AD905" s="104" t="e">
        <f t="shared" si="409"/>
        <v>#N/A</v>
      </c>
      <c r="AE905" s="104" t="e">
        <f t="shared" si="410"/>
        <v>#N/A</v>
      </c>
      <c r="AF905" s="104" t="e">
        <f>IF(AND(VLOOKUP($D905,Merchantability!$B:$C,2,0)="Yes",$E905&gt;=VLOOKUP($D905,Merchantability!$B:$D,3,0),$E905&lt;=VLOOKUP($D905,Merchantability!$B:$E,4,0)),AA905,0)</f>
        <v>#N/A</v>
      </c>
      <c r="AG905" s="104" t="e">
        <f>IF(AND(VLOOKUP($D905,Merchantability!$B:$C,2,0)="Yes",$E905&gt;=VLOOKUP($D905,Merchantability!$B:$D,3,0),$E905&lt;=VLOOKUP($D905,Merchantability!$B:$E,4,0)),AB905,0)</f>
        <v>#N/A</v>
      </c>
      <c r="AH905" s="104" t="e">
        <f>IF(AND(VLOOKUP($D905,Merchantability!$B:$C,2,0)="Yes",$E905&gt;=VLOOKUP($D905,Merchantability!$B:$D,3,0),$E905&lt;=VLOOKUP($D905,Merchantability!$B:$E,4,0)),AC905,0)</f>
        <v>#N/A</v>
      </c>
      <c r="AI905" s="104" t="e">
        <f t="shared" si="411"/>
        <v>#N/A</v>
      </c>
      <c r="AJ905" s="104" t="e">
        <f t="shared" si="412"/>
        <v>#VALUE!</v>
      </c>
      <c r="AK905" s="104" t="e">
        <f t="shared" si="413"/>
        <v>#N/A</v>
      </c>
      <c r="AL905" s="104" t="e">
        <f t="shared" si="414"/>
        <v>#N/A</v>
      </c>
      <c r="AM905" s="104" t="e">
        <f t="shared" si="415"/>
        <v>#N/A</v>
      </c>
      <c r="AN905" s="104" t="e">
        <f t="shared" si="426"/>
        <v>#N/A</v>
      </c>
      <c r="AO905" s="104" t="e">
        <f t="shared" si="427"/>
        <v>#N/A</v>
      </c>
      <c r="AP905" s="104" t="e">
        <f t="shared" si="428"/>
        <v>#N/A</v>
      </c>
      <c r="AQ905" s="104" t="e">
        <f t="shared" si="429"/>
        <v>#N/A</v>
      </c>
      <c r="AR905" s="105" t="str">
        <f t="shared" si="421"/>
        <v/>
      </c>
      <c r="AS905" s="105" t="str">
        <f t="shared" si="422"/>
        <v/>
      </c>
      <c r="AT905" s="108" t="str">
        <f t="shared" si="423"/>
        <v/>
      </c>
      <c r="AU905" s="108" t="str">
        <f t="shared" si="424"/>
        <v/>
      </c>
      <c r="AV905" s="107" t="str">
        <f>IF(ISNUMBER(O905),IF(VLOOKUP($A905,Stand!C:J,8,FALSE)="Short",AT905,AU905),"")</f>
        <v/>
      </c>
      <c r="AW905" s="109" t="str">
        <f t="shared" si="430"/>
        <v/>
      </c>
      <c r="AX905" s="109" t="str">
        <f t="shared" si="431"/>
        <v/>
      </c>
      <c r="AY905" s="112" t="str">
        <f>IF(ISNUMBER(O905),IF(AND(VLOOKUP($D905,Merchantability!$B:$C,2,0)="Yes",$E905&gt;=VLOOKUP($D905,Merchantability!$B:$D,3,0),$E905&lt;=VLOOKUP($D905,Merchantability!$B:$E,4,0)),(AV905*O905)*(1-$H905/100),""),"")</f>
        <v/>
      </c>
      <c r="AZ905" s="116"/>
      <c r="BA905" s="116"/>
      <c r="BB905" s="116"/>
      <c r="BE905" s="62"/>
      <c r="BF905" s="63"/>
    </row>
    <row r="906" spans="1:58" ht="12.75" customHeight="1" x14ac:dyDescent="0.25">
      <c r="A906" s="313"/>
      <c r="B906" s="328"/>
      <c r="C906" s="329"/>
      <c r="D906" s="328"/>
      <c r="E906" s="330"/>
      <c r="F906" s="328"/>
      <c r="G906" s="329"/>
      <c r="H906" s="329"/>
      <c r="I906" s="328"/>
      <c r="J906" s="383"/>
      <c r="K906" s="329"/>
      <c r="L906" s="329"/>
      <c r="M906" s="76"/>
      <c r="N906" s="103" t="str">
        <f>IF(A906="","",VLOOKUP(A906,Stand!C:K,9,0))</f>
        <v/>
      </c>
      <c r="O906" s="104" t="str">
        <f t="shared" si="416"/>
        <v/>
      </c>
      <c r="P906" s="105" t="str">
        <f t="shared" si="417"/>
        <v/>
      </c>
      <c r="Q906" s="105" t="str">
        <f t="shared" si="405"/>
        <v/>
      </c>
      <c r="R906" s="103" t="str">
        <f t="shared" si="418"/>
        <v/>
      </c>
      <c r="S906" s="103" t="str">
        <f t="shared" si="419"/>
        <v/>
      </c>
      <c r="T906" s="106" t="str">
        <f t="shared" si="406"/>
        <v/>
      </c>
      <c r="U906" s="106" t="str">
        <f t="shared" si="407"/>
        <v/>
      </c>
      <c r="V906" s="106" t="str">
        <f t="shared" si="408"/>
        <v/>
      </c>
      <c r="W906" s="105" t="str">
        <f t="shared" si="420"/>
        <v/>
      </c>
      <c r="X906" s="104" t="str">
        <f t="shared" si="425"/>
        <v/>
      </c>
      <c r="Y906" s="104" t="str">
        <f t="array" ref="Y906">IFERROR(IF(ISNUMBER(O906),IF(COUNT(IF(A906=$A$2:$A$2427,IF(D906=$D$2:$D$2427,IF($X$2:$X$2427&gt;0,1))))&gt;0,SUM(IF(A906=$A$2:$A$2427,IF(D906=$D$2:$D$2427,$X$2:$X$2427)))/COUNT(IF(A906=$A$2:$A$2427,IF(D906=$D$2:$D$2427,IF(ISNUMBER($X$2:$X$2427),1)))),0),""),0)</f>
        <v/>
      </c>
      <c r="Z906" s="104" t="str">
        <f>IF(ISNUMBER(O906),IF(I906&gt;0,(10^(VLOOKUP(D906,'Species Codes'!B:C,2,0)+VLOOKUP(D906,'Species Codes'!B:D,3,0)*LOG(E906)+VLOOKUP(D906,'Species Codes'!B:E,4,0)*LOG(I906))),0),"")</f>
        <v/>
      </c>
      <c r="AA906" s="104" t="str">
        <f>IFERROR((VLOOKUP(D906,'Species Codes'!B:G,6,0)*Z906)/2000,"")</f>
        <v/>
      </c>
      <c r="AB906" s="104" t="e">
        <f>IF(Z906&gt;0,((IF(OR(D906="DF",D906="RA")=TRUE,EXP(VLOOKUP(D906,'Species Codes'!B:I,8,0)+VLOOKUP(D906,'Species Codes'!B:J,9,0)*(LN((E906*2.54)))),IF(OR(D906="PY",D906="RC",D906="WH",D906="NF")=TRUE,VLOOKUP(D906,'Species Codes'!B:I,8,0)+VLOOKUP(D906,'Species Codes'!B:J,9,0)*((E906*2.54)^2)*(I906*0.3048),IF(OR(D906="MD",D906="BM",D906="GA")=TRUE,((VLOOKUP(D906,'Species Codes'!B:I,8,0)*(((((E906*2.54)+VLOOKUP(D906,'Species Codes'!B:J,9,0))/VLOOKUP(D906,'Species Codes'!B:K,10,0))^VLOOKUP(D906,'Species Codes'!B:L,11,0))*((I906*0.3048)^VLOOKUP(D906,'Species Codes'!B:M,12,0))))-(VLOOKUP(D906,'Species Codes'!B:I,8,0)*((((E906*2.54)^VLOOKUP(D906,'Species Codes'!B:L,11,0))*((I906*0.3048)^VLOOKUP(D906,'Species Codes'!B:M,12,0))))))*35.3*VLOOKUP(D906,'Species Codes'!B:G,6,0)/2.2046,VLOOKUP(D906,'Species Codes'!B:I,8,0)+VLOOKUP(D906,'Species Codes'!B:J,9,0)*(((E906*2.54)/100)^2)*(I906*0.3048)))))*0.0011023),0)</f>
        <v>#N/A</v>
      </c>
      <c r="AC906" s="104" t="e">
        <f>IF(Z906&gt;0,((IF(OR(D906="RA",D906="OA",D906="OT",D906="UN",D906="PC"),EXP(VLOOKUP(D906,'Species Codes'!B:O,14,0)+VLOOKUP(D906,'Species Codes'!B:P,15,0)*LN((E906*2.54)))-EXP(VLOOKUP(D906,'Species Codes'!B:O,14,0)+VLOOKUP(D906,'Species Codes'!B:P,15,0)*LN((E906*2.54)))*(1/(VLOOKUP(D906,'Species Codes'!B:Q,16,0)+VLOOKUP(D906,'Species Codes'!B:R,17,0)*((E906*2.54)^VLOOKUP(D906,'Species Codes'!B:S,18,0)))),IF(OR(D906="BM",D906="MD",D906="OA"),EXP(VLOOKUP(D906,'Species Codes'!B:O,14,0)+VLOOKUP(D906,'Species Codes'!B:P,15,0)*LN((E906*2.54)))*(1-(1/(VLOOKUP(D906,'Species Codes'!B:Q,16,0)+VLOOKUP(D906,'Species Codes'!B:R,17,0)*((E906*2.54)^VLOOKUP(D906,'Species Codes'!B:S,18,0)))))/1000,IF(D906="DF",EXP(VLOOKUP(D906,'Species Codes'!B:O,14,0)+VLOOKUP(D906,'Species Codes'!B:P,15,0)*LN((E906*2.54))),VLOOKUP(D906,'Species Codes'!B:O,14,0)+VLOOKUP(D906,'Species Codes'!B:P,15,0)*(((E906*2.54)/100)^2)*(I906*0.3048)))))*0.0011023),0)</f>
        <v>#N/A</v>
      </c>
      <c r="AD906" s="104" t="e">
        <f t="shared" si="409"/>
        <v>#N/A</v>
      </c>
      <c r="AE906" s="104" t="e">
        <f t="shared" si="410"/>
        <v>#N/A</v>
      </c>
      <c r="AF906" s="104" t="e">
        <f>IF(AND(VLOOKUP($D906,Merchantability!$B:$C,2,0)="Yes",$E906&gt;=VLOOKUP($D906,Merchantability!$B:$D,3,0),$E906&lt;=VLOOKUP($D906,Merchantability!$B:$E,4,0)),AA906,0)</f>
        <v>#N/A</v>
      </c>
      <c r="AG906" s="104" t="e">
        <f>IF(AND(VLOOKUP($D906,Merchantability!$B:$C,2,0)="Yes",$E906&gt;=VLOOKUP($D906,Merchantability!$B:$D,3,0),$E906&lt;=VLOOKUP($D906,Merchantability!$B:$E,4,0)),AB906,0)</f>
        <v>#N/A</v>
      </c>
      <c r="AH906" s="104" t="e">
        <f>IF(AND(VLOOKUP($D906,Merchantability!$B:$C,2,0)="Yes",$E906&gt;=VLOOKUP($D906,Merchantability!$B:$D,3,0),$E906&lt;=VLOOKUP($D906,Merchantability!$B:$E,4,0)),AC906,0)</f>
        <v>#N/A</v>
      </c>
      <c r="AI906" s="104" t="e">
        <f t="shared" si="411"/>
        <v>#N/A</v>
      </c>
      <c r="AJ906" s="104" t="e">
        <f t="shared" si="412"/>
        <v>#VALUE!</v>
      </c>
      <c r="AK906" s="104" t="e">
        <f t="shared" si="413"/>
        <v>#N/A</v>
      </c>
      <c r="AL906" s="104" t="e">
        <f t="shared" si="414"/>
        <v>#N/A</v>
      </c>
      <c r="AM906" s="104" t="e">
        <f t="shared" si="415"/>
        <v>#N/A</v>
      </c>
      <c r="AN906" s="104" t="e">
        <f t="shared" si="426"/>
        <v>#N/A</v>
      </c>
      <c r="AO906" s="104" t="e">
        <f t="shared" si="427"/>
        <v>#N/A</v>
      </c>
      <c r="AP906" s="104" t="e">
        <f t="shared" si="428"/>
        <v>#N/A</v>
      </c>
      <c r="AQ906" s="104" t="e">
        <f t="shared" si="429"/>
        <v>#N/A</v>
      </c>
      <c r="AR906" s="105" t="str">
        <f t="shared" si="421"/>
        <v/>
      </c>
      <c r="AS906" s="105" t="str">
        <f t="shared" si="422"/>
        <v/>
      </c>
      <c r="AT906" s="108" t="str">
        <f t="shared" si="423"/>
        <v/>
      </c>
      <c r="AU906" s="108" t="str">
        <f t="shared" si="424"/>
        <v/>
      </c>
      <c r="AV906" s="107" t="str">
        <f>IF(ISNUMBER(O906),IF(VLOOKUP($A906,Stand!C:J,8,FALSE)="Short",AT906,AU906),"")</f>
        <v/>
      </c>
      <c r="AW906" s="109" t="str">
        <f t="shared" si="430"/>
        <v/>
      </c>
      <c r="AX906" s="109" t="str">
        <f t="shared" si="431"/>
        <v/>
      </c>
      <c r="AY906" s="112" t="str">
        <f>IF(ISNUMBER(O906),IF(AND(VLOOKUP($D906,Merchantability!$B:$C,2,0)="Yes",$E906&gt;=VLOOKUP($D906,Merchantability!$B:$D,3,0),$E906&lt;=VLOOKUP($D906,Merchantability!$B:$E,4,0)),(AV906*O906)*(1-$H906/100),""),"")</f>
        <v/>
      </c>
      <c r="AZ906" s="116"/>
      <c r="BA906" s="116"/>
      <c r="BB906" s="116"/>
      <c r="BE906" s="62"/>
      <c r="BF906" s="63"/>
    </row>
    <row r="907" spans="1:58" ht="12.75" customHeight="1" x14ac:dyDescent="0.25">
      <c r="A907" s="313"/>
      <c r="B907" s="328"/>
      <c r="C907" s="329"/>
      <c r="D907" s="328"/>
      <c r="E907" s="330"/>
      <c r="F907" s="328"/>
      <c r="G907" s="329"/>
      <c r="H907" s="329"/>
      <c r="I907" s="328"/>
      <c r="J907" s="383"/>
      <c r="K907" s="329"/>
      <c r="L907" s="329"/>
      <c r="M907" s="76"/>
      <c r="N907" s="103" t="str">
        <f>IF(A907="","",VLOOKUP(A907,Stand!C:K,9,0))</f>
        <v/>
      </c>
      <c r="O907" s="104" t="str">
        <f t="shared" si="416"/>
        <v/>
      </c>
      <c r="P907" s="105" t="str">
        <f t="shared" si="417"/>
        <v/>
      </c>
      <c r="Q907" s="105" t="str">
        <f t="shared" si="405"/>
        <v/>
      </c>
      <c r="R907" s="103" t="str">
        <f t="shared" si="418"/>
        <v/>
      </c>
      <c r="S907" s="103" t="str">
        <f t="shared" si="419"/>
        <v/>
      </c>
      <c r="T907" s="106" t="str">
        <f t="shared" si="406"/>
        <v/>
      </c>
      <c r="U907" s="106" t="str">
        <f t="shared" si="407"/>
        <v/>
      </c>
      <c r="V907" s="106" t="str">
        <f t="shared" si="408"/>
        <v/>
      </c>
      <c r="W907" s="105" t="str">
        <f t="shared" si="420"/>
        <v/>
      </c>
      <c r="X907" s="104" t="str">
        <f t="shared" si="425"/>
        <v/>
      </c>
      <c r="Y907" s="104" t="str">
        <f t="array" ref="Y907">IFERROR(IF(ISNUMBER(O907),IF(COUNT(IF(A907=$A$2:$A$2427,IF(D907=$D$2:$D$2427,IF($X$2:$X$2427&gt;0,1))))&gt;0,SUM(IF(A907=$A$2:$A$2427,IF(D907=$D$2:$D$2427,$X$2:$X$2427)))/COUNT(IF(A907=$A$2:$A$2427,IF(D907=$D$2:$D$2427,IF(ISNUMBER($X$2:$X$2427),1)))),0),""),0)</f>
        <v/>
      </c>
      <c r="Z907" s="104" t="str">
        <f>IF(ISNUMBER(O907),IF(I907&gt;0,(10^(VLOOKUP(D907,'Species Codes'!B:C,2,0)+VLOOKUP(D907,'Species Codes'!B:D,3,0)*LOG(E907)+VLOOKUP(D907,'Species Codes'!B:E,4,0)*LOG(I907))),0),"")</f>
        <v/>
      </c>
      <c r="AA907" s="104" t="str">
        <f>IFERROR((VLOOKUP(D907,'Species Codes'!B:G,6,0)*Z907)/2000,"")</f>
        <v/>
      </c>
      <c r="AB907" s="104" t="e">
        <f>IF(Z907&gt;0,((IF(OR(D907="DF",D907="RA")=TRUE,EXP(VLOOKUP(D907,'Species Codes'!B:I,8,0)+VLOOKUP(D907,'Species Codes'!B:J,9,0)*(LN((E907*2.54)))),IF(OR(D907="PY",D907="RC",D907="WH",D907="NF")=TRUE,VLOOKUP(D907,'Species Codes'!B:I,8,0)+VLOOKUP(D907,'Species Codes'!B:J,9,0)*((E907*2.54)^2)*(I907*0.3048),IF(OR(D907="MD",D907="BM",D907="GA")=TRUE,((VLOOKUP(D907,'Species Codes'!B:I,8,0)*(((((E907*2.54)+VLOOKUP(D907,'Species Codes'!B:J,9,0))/VLOOKUP(D907,'Species Codes'!B:K,10,0))^VLOOKUP(D907,'Species Codes'!B:L,11,0))*((I907*0.3048)^VLOOKUP(D907,'Species Codes'!B:M,12,0))))-(VLOOKUP(D907,'Species Codes'!B:I,8,0)*((((E907*2.54)^VLOOKUP(D907,'Species Codes'!B:L,11,0))*((I907*0.3048)^VLOOKUP(D907,'Species Codes'!B:M,12,0))))))*35.3*VLOOKUP(D907,'Species Codes'!B:G,6,0)/2.2046,VLOOKUP(D907,'Species Codes'!B:I,8,0)+VLOOKUP(D907,'Species Codes'!B:J,9,0)*(((E907*2.54)/100)^2)*(I907*0.3048)))))*0.0011023),0)</f>
        <v>#N/A</v>
      </c>
      <c r="AC907" s="104" t="e">
        <f>IF(Z907&gt;0,((IF(OR(D907="RA",D907="OA",D907="OT",D907="UN",D907="PC"),EXP(VLOOKUP(D907,'Species Codes'!B:O,14,0)+VLOOKUP(D907,'Species Codes'!B:P,15,0)*LN((E907*2.54)))-EXP(VLOOKUP(D907,'Species Codes'!B:O,14,0)+VLOOKUP(D907,'Species Codes'!B:P,15,0)*LN((E907*2.54)))*(1/(VLOOKUP(D907,'Species Codes'!B:Q,16,0)+VLOOKUP(D907,'Species Codes'!B:R,17,0)*((E907*2.54)^VLOOKUP(D907,'Species Codes'!B:S,18,0)))),IF(OR(D907="BM",D907="MD",D907="OA"),EXP(VLOOKUP(D907,'Species Codes'!B:O,14,0)+VLOOKUP(D907,'Species Codes'!B:P,15,0)*LN((E907*2.54)))*(1-(1/(VLOOKUP(D907,'Species Codes'!B:Q,16,0)+VLOOKUP(D907,'Species Codes'!B:R,17,0)*((E907*2.54)^VLOOKUP(D907,'Species Codes'!B:S,18,0)))))/1000,IF(D907="DF",EXP(VLOOKUP(D907,'Species Codes'!B:O,14,0)+VLOOKUP(D907,'Species Codes'!B:P,15,0)*LN((E907*2.54))),VLOOKUP(D907,'Species Codes'!B:O,14,0)+VLOOKUP(D907,'Species Codes'!B:P,15,0)*(((E907*2.54)/100)^2)*(I907*0.3048)))))*0.0011023),0)</f>
        <v>#N/A</v>
      </c>
      <c r="AD907" s="104" t="e">
        <f t="shared" si="409"/>
        <v>#N/A</v>
      </c>
      <c r="AE907" s="104" t="e">
        <f t="shared" si="410"/>
        <v>#N/A</v>
      </c>
      <c r="AF907" s="104" t="e">
        <f>IF(AND(VLOOKUP($D907,Merchantability!$B:$C,2,0)="Yes",$E907&gt;=VLOOKUP($D907,Merchantability!$B:$D,3,0),$E907&lt;=VLOOKUP($D907,Merchantability!$B:$E,4,0)),AA907,0)</f>
        <v>#N/A</v>
      </c>
      <c r="AG907" s="104" t="e">
        <f>IF(AND(VLOOKUP($D907,Merchantability!$B:$C,2,0)="Yes",$E907&gt;=VLOOKUP($D907,Merchantability!$B:$D,3,0),$E907&lt;=VLOOKUP($D907,Merchantability!$B:$E,4,0)),AB907,0)</f>
        <v>#N/A</v>
      </c>
      <c r="AH907" s="104" t="e">
        <f>IF(AND(VLOOKUP($D907,Merchantability!$B:$C,2,0)="Yes",$E907&gt;=VLOOKUP($D907,Merchantability!$B:$D,3,0),$E907&lt;=VLOOKUP($D907,Merchantability!$B:$E,4,0)),AC907,0)</f>
        <v>#N/A</v>
      </c>
      <c r="AI907" s="104" t="e">
        <f t="shared" si="411"/>
        <v>#N/A</v>
      </c>
      <c r="AJ907" s="104" t="e">
        <f t="shared" si="412"/>
        <v>#VALUE!</v>
      </c>
      <c r="AK907" s="104" t="e">
        <f t="shared" si="413"/>
        <v>#N/A</v>
      </c>
      <c r="AL907" s="104" t="e">
        <f t="shared" si="414"/>
        <v>#N/A</v>
      </c>
      <c r="AM907" s="104" t="e">
        <f t="shared" si="415"/>
        <v>#N/A</v>
      </c>
      <c r="AN907" s="104" t="e">
        <f t="shared" si="426"/>
        <v>#N/A</v>
      </c>
      <c r="AO907" s="104" t="e">
        <f t="shared" si="427"/>
        <v>#N/A</v>
      </c>
      <c r="AP907" s="104" t="e">
        <f t="shared" si="428"/>
        <v>#N/A</v>
      </c>
      <c r="AQ907" s="104" t="e">
        <f t="shared" si="429"/>
        <v>#N/A</v>
      </c>
      <c r="AR907" s="105" t="str">
        <f t="shared" si="421"/>
        <v/>
      </c>
      <c r="AS907" s="105" t="str">
        <f t="shared" si="422"/>
        <v/>
      </c>
      <c r="AT907" s="108" t="str">
        <f t="shared" si="423"/>
        <v/>
      </c>
      <c r="AU907" s="108" t="str">
        <f t="shared" si="424"/>
        <v/>
      </c>
      <c r="AV907" s="107" t="str">
        <f>IF(ISNUMBER(O907),IF(VLOOKUP($A907,Stand!C:J,8,FALSE)="Short",AT907,AU907),"")</f>
        <v/>
      </c>
      <c r="AW907" s="109" t="str">
        <f t="shared" si="430"/>
        <v/>
      </c>
      <c r="AX907" s="109" t="str">
        <f t="shared" si="431"/>
        <v/>
      </c>
      <c r="AY907" s="112" t="str">
        <f>IF(ISNUMBER(O907),IF(AND(VLOOKUP($D907,Merchantability!$B:$C,2,0)="Yes",$E907&gt;=VLOOKUP($D907,Merchantability!$B:$D,3,0),$E907&lt;=VLOOKUP($D907,Merchantability!$B:$E,4,0)),(AV907*O907)*(1-$H907/100),""),"")</f>
        <v/>
      </c>
      <c r="AZ907" s="116"/>
      <c r="BA907" s="116"/>
      <c r="BB907" s="116"/>
      <c r="BE907" s="62"/>
      <c r="BF907" s="63"/>
    </row>
    <row r="908" spans="1:58" ht="12.75" customHeight="1" x14ac:dyDescent="0.25">
      <c r="A908" s="313"/>
      <c r="B908" s="328"/>
      <c r="C908" s="329"/>
      <c r="D908" s="328"/>
      <c r="E908" s="330"/>
      <c r="F908" s="328"/>
      <c r="G908" s="329"/>
      <c r="H908" s="329"/>
      <c r="I908" s="328"/>
      <c r="J908" s="383"/>
      <c r="K908" s="329"/>
      <c r="L908" s="329"/>
      <c r="M908" s="76"/>
      <c r="N908" s="103" t="str">
        <f>IF(A908="","",VLOOKUP(A908,Stand!C:K,9,0))</f>
        <v/>
      </c>
      <c r="O908" s="104" t="str">
        <f t="shared" si="416"/>
        <v/>
      </c>
      <c r="P908" s="105" t="str">
        <f t="shared" si="417"/>
        <v/>
      </c>
      <c r="Q908" s="105" t="str">
        <f t="shared" si="405"/>
        <v/>
      </c>
      <c r="R908" s="103" t="str">
        <f t="shared" si="418"/>
        <v/>
      </c>
      <c r="S908" s="103" t="str">
        <f t="shared" si="419"/>
        <v/>
      </c>
      <c r="T908" s="106" t="str">
        <f t="shared" si="406"/>
        <v/>
      </c>
      <c r="U908" s="106" t="str">
        <f t="shared" si="407"/>
        <v/>
      </c>
      <c r="V908" s="106" t="str">
        <f t="shared" si="408"/>
        <v/>
      </c>
      <c r="W908" s="105" t="str">
        <f t="shared" si="420"/>
        <v/>
      </c>
      <c r="X908" s="104" t="str">
        <f t="shared" si="425"/>
        <v/>
      </c>
      <c r="Y908" s="104" t="str">
        <f t="array" ref="Y908">IFERROR(IF(ISNUMBER(O908),IF(COUNT(IF(A908=$A$2:$A$2427,IF(D908=$D$2:$D$2427,IF($X$2:$X$2427&gt;0,1))))&gt;0,SUM(IF(A908=$A$2:$A$2427,IF(D908=$D$2:$D$2427,$X$2:$X$2427)))/COUNT(IF(A908=$A$2:$A$2427,IF(D908=$D$2:$D$2427,IF(ISNUMBER($X$2:$X$2427),1)))),0),""),0)</f>
        <v/>
      </c>
      <c r="Z908" s="104" t="str">
        <f>IF(ISNUMBER(O908),IF(I908&gt;0,(10^(VLOOKUP(D908,'Species Codes'!B:C,2,0)+VLOOKUP(D908,'Species Codes'!B:D,3,0)*LOG(E908)+VLOOKUP(D908,'Species Codes'!B:E,4,0)*LOG(I908))),0),"")</f>
        <v/>
      </c>
      <c r="AA908" s="104" t="str">
        <f>IFERROR((VLOOKUP(D908,'Species Codes'!B:G,6,0)*Z908)/2000,"")</f>
        <v/>
      </c>
      <c r="AB908" s="104" t="e">
        <f>IF(Z908&gt;0,((IF(OR(D908="DF",D908="RA")=TRUE,EXP(VLOOKUP(D908,'Species Codes'!B:I,8,0)+VLOOKUP(D908,'Species Codes'!B:J,9,0)*(LN((E908*2.54)))),IF(OR(D908="PY",D908="RC",D908="WH",D908="NF")=TRUE,VLOOKUP(D908,'Species Codes'!B:I,8,0)+VLOOKUP(D908,'Species Codes'!B:J,9,0)*((E908*2.54)^2)*(I908*0.3048),IF(OR(D908="MD",D908="BM",D908="GA")=TRUE,((VLOOKUP(D908,'Species Codes'!B:I,8,0)*(((((E908*2.54)+VLOOKUP(D908,'Species Codes'!B:J,9,0))/VLOOKUP(D908,'Species Codes'!B:K,10,0))^VLOOKUP(D908,'Species Codes'!B:L,11,0))*((I908*0.3048)^VLOOKUP(D908,'Species Codes'!B:M,12,0))))-(VLOOKUP(D908,'Species Codes'!B:I,8,0)*((((E908*2.54)^VLOOKUP(D908,'Species Codes'!B:L,11,0))*((I908*0.3048)^VLOOKUP(D908,'Species Codes'!B:M,12,0))))))*35.3*VLOOKUP(D908,'Species Codes'!B:G,6,0)/2.2046,VLOOKUP(D908,'Species Codes'!B:I,8,0)+VLOOKUP(D908,'Species Codes'!B:J,9,0)*(((E908*2.54)/100)^2)*(I908*0.3048)))))*0.0011023),0)</f>
        <v>#N/A</v>
      </c>
      <c r="AC908" s="104" t="e">
        <f>IF(Z908&gt;0,((IF(OR(D908="RA",D908="OA",D908="OT",D908="UN",D908="PC"),EXP(VLOOKUP(D908,'Species Codes'!B:O,14,0)+VLOOKUP(D908,'Species Codes'!B:P,15,0)*LN((E908*2.54)))-EXP(VLOOKUP(D908,'Species Codes'!B:O,14,0)+VLOOKUP(D908,'Species Codes'!B:P,15,0)*LN((E908*2.54)))*(1/(VLOOKUP(D908,'Species Codes'!B:Q,16,0)+VLOOKUP(D908,'Species Codes'!B:R,17,0)*((E908*2.54)^VLOOKUP(D908,'Species Codes'!B:S,18,0)))),IF(OR(D908="BM",D908="MD",D908="OA"),EXP(VLOOKUP(D908,'Species Codes'!B:O,14,0)+VLOOKUP(D908,'Species Codes'!B:P,15,0)*LN((E908*2.54)))*(1-(1/(VLOOKUP(D908,'Species Codes'!B:Q,16,0)+VLOOKUP(D908,'Species Codes'!B:R,17,0)*((E908*2.54)^VLOOKUP(D908,'Species Codes'!B:S,18,0)))))/1000,IF(D908="DF",EXP(VLOOKUP(D908,'Species Codes'!B:O,14,0)+VLOOKUP(D908,'Species Codes'!B:P,15,0)*LN((E908*2.54))),VLOOKUP(D908,'Species Codes'!B:O,14,0)+VLOOKUP(D908,'Species Codes'!B:P,15,0)*(((E908*2.54)/100)^2)*(I908*0.3048)))))*0.0011023),0)</f>
        <v>#N/A</v>
      </c>
      <c r="AD908" s="104" t="e">
        <f t="shared" si="409"/>
        <v>#N/A</v>
      </c>
      <c r="AE908" s="104" t="e">
        <f t="shared" si="410"/>
        <v>#N/A</v>
      </c>
      <c r="AF908" s="104" t="e">
        <f>IF(AND(VLOOKUP($D908,Merchantability!$B:$C,2,0)="Yes",$E908&gt;=VLOOKUP($D908,Merchantability!$B:$D,3,0),$E908&lt;=VLOOKUP($D908,Merchantability!$B:$E,4,0)),AA908,0)</f>
        <v>#N/A</v>
      </c>
      <c r="AG908" s="104" t="e">
        <f>IF(AND(VLOOKUP($D908,Merchantability!$B:$C,2,0)="Yes",$E908&gt;=VLOOKUP($D908,Merchantability!$B:$D,3,0),$E908&lt;=VLOOKUP($D908,Merchantability!$B:$E,4,0)),AB908,0)</f>
        <v>#N/A</v>
      </c>
      <c r="AH908" s="104" t="e">
        <f>IF(AND(VLOOKUP($D908,Merchantability!$B:$C,2,0)="Yes",$E908&gt;=VLOOKUP($D908,Merchantability!$B:$D,3,0),$E908&lt;=VLOOKUP($D908,Merchantability!$B:$E,4,0)),AC908,0)</f>
        <v>#N/A</v>
      </c>
      <c r="AI908" s="104" t="e">
        <f t="shared" si="411"/>
        <v>#N/A</v>
      </c>
      <c r="AJ908" s="104" t="e">
        <f t="shared" si="412"/>
        <v>#VALUE!</v>
      </c>
      <c r="AK908" s="104" t="e">
        <f t="shared" si="413"/>
        <v>#N/A</v>
      </c>
      <c r="AL908" s="104" t="e">
        <f t="shared" si="414"/>
        <v>#N/A</v>
      </c>
      <c r="AM908" s="104" t="e">
        <f t="shared" si="415"/>
        <v>#N/A</v>
      </c>
      <c r="AN908" s="104" t="e">
        <f t="shared" si="426"/>
        <v>#N/A</v>
      </c>
      <c r="AO908" s="104" t="e">
        <f t="shared" si="427"/>
        <v>#N/A</v>
      </c>
      <c r="AP908" s="104" t="e">
        <f t="shared" si="428"/>
        <v>#N/A</v>
      </c>
      <c r="AQ908" s="104" t="e">
        <f t="shared" si="429"/>
        <v>#N/A</v>
      </c>
      <c r="AR908" s="105" t="str">
        <f t="shared" si="421"/>
        <v/>
      </c>
      <c r="AS908" s="105" t="str">
        <f t="shared" si="422"/>
        <v/>
      </c>
      <c r="AT908" s="108" t="str">
        <f t="shared" si="423"/>
        <v/>
      </c>
      <c r="AU908" s="108" t="str">
        <f t="shared" si="424"/>
        <v/>
      </c>
      <c r="AV908" s="107" t="str">
        <f>IF(ISNUMBER(O908),IF(VLOOKUP($A908,Stand!C:J,8,FALSE)="Short",AT908,AU908),"")</f>
        <v/>
      </c>
      <c r="AW908" s="109" t="str">
        <f t="shared" si="430"/>
        <v/>
      </c>
      <c r="AX908" s="109" t="str">
        <f t="shared" si="431"/>
        <v/>
      </c>
      <c r="AY908" s="112" t="str">
        <f>IF(ISNUMBER(O908),IF(AND(VLOOKUP($D908,Merchantability!$B:$C,2,0)="Yes",$E908&gt;=VLOOKUP($D908,Merchantability!$B:$D,3,0),$E908&lt;=VLOOKUP($D908,Merchantability!$B:$E,4,0)),(AV908*O908)*(1-$H908/100),""),"")</f>
        <v/>
      </c>
      <c r="AZ908" s="116"/>
      <c r="BA908" s="116"/>
      <c r="BB908" s="116"/>
      <c r="BE908" s="62"/>
      <c r="BF908" s="63"/>
    </row>
    <row r="909" spans="1:58" ht="12.75" customHeight="1" x14ac:dyDescent="0.25">
      <c r="A909" s="313"/>
      <c r="B909" s="328"/>
      <c r="C909" s="329"/>
      <c r="D909" s="328"/>
      <c r="E909" s="330"/>
      <c r="F909" s="328"/>
      <c r="G909" s="329"/>
      <c r="H909" s="329"/>
      <c r="I909" s="328"/>
      <c r="J909" s="383"/>
      <c r="K909" s="329"/>
      <c r="L909" s="329"/>
      <c r="M909" s="76"/>
      <c r="N909" s="103" t="str">
        <f>IF(A909="","",VLOOKUP(A909,Stand!C:K,9,0))</f>
        <v/>
      </c>
      <c r="O909" s="104" t="str">
        <f t="shared" si="416"/>
        <v/>
      </c>
      <c r="P909" s="105" t="str">
        <f t="shared" si="417"/>
        <v/>
      </c>
      <c r="Q909" s="105" t="str">
        <f t="shared" si="405"/>
        <v/>
      </c>
      <c r="R909" s="103" t="str">
        <f t="shared" si="418"/>
        <v/>
      </c>
      <c r="S909" s="103" t="str">
        <f t="shared" si="419"/>
        <v/>
      </c>
      <c r="T909" s="106" t="str">
        <f t="shared" si="406"/>
        <v/>
      </c>
      <c r="U909" s="106" t="str">
        <f t="shared" si="407"/>
        <v/>
      </c>
      <c r="V909" s="106" t="str">
        <f t="shared" si="408"/>
        <v/>
      </c>
      <c r="W909" s="105" t="str">
        <f t="shared" si="420"/>
        <v/>
      </c>
      <c r="X909" s="104" t="str">
        <f t="shared" si="425"/>
        <v/>
      </c>
      <c r="Y909" s="104" t="str">
        <f t="array" ref="Y909">IFERROR(IF(ISNUMBER(O909),IF(COUNT(IF(A909=$A$2:$A$2427,IF(D909=$D$2:$D$2427,IF($X$2:$X$2427&gt;0,1))))&gt;0,SUM(IF(A909=$A$2:$A$2427,IF(D909=$D$2:$D$2427,$X$2:$X$2427)))/COUNT(IF(A909=$A$2:$A$2427,IF(D909=$D$2:$D$2427,IF(ISNUMBER($X$2:$X$2427),1)))),0),""),0)</f>
        <v/>
      </c>
      <c r="Z909" s="104" t="str">
        <f>IF(ISNUMBER(O909),IF(I909&gt;0,(10^(VLOOKUP(D909,'Species Codes'!B:C,2,0)+VLOOKUP(D909,'Species Codes'!B:D,3,0)*LOG(E909)+VLOOKUP(D909,'Species Codes'!B:E,4,0)*LOG(I909))),0),"")</f>
        <v/>
      </c>
      <c r="AA909" s="104" t="str">
        <f>IFERROR((VLOOKUP(D909,'Species Codes'!B:G,6,0)*Z909)/2000,"")</f>
        <v/>
      </c>
      <c r="AB909" s="104" t="e">
        <f>IF(Z909&gt;0,((IF(OR(D909="DF",D909="RA")=TRUE,EXP(VLOOKUP(D909,'Species Codes'!B:I,8,0)+VLOOKUP(D909,'Species Codes'!B:J,9,0)*(LN((E909*2.54)))),IF(OR(D909="PY",D909="RC",D909="WH",D909="NF")=TRUE,VLOOKUP(D909,'Species Codes'!B:I,8,0)+VLOOKUP(D909,'Species Codes'!B:J,9,0)*((E909*2.54)^2)*(I909*0.3048),IF(OR(D909="MD",D909="BM",D909="GA")=TRUE,((VLOOKUP(D909,'Species Codes'!B:I,8,0)*(((((E909*2.54)+VLOOKUP(D909,'Species Codes'!B:J,9,0))/VLOOKUP(D909,'Species Codes'!B:K,10,0))^VLOOKUP(D909,'Species Codes'!B:L,11,0))*((I909*0.3048)^VLOOKUP(D909,'Species Codes'!B:M,12,0))))-(VLOOKUP(D909,'Species Codes'!B:I,8,0)*((((E909*2.54)^VLOOKUP(D909,'Species Codes'!B:L,11,0))*((I909*0.3048)^VLOOKUP(D909,'Species Codes'!B:M,12,0))))))*35.3*VLOOKUP(D909,'Species Codes'!B:G,6,0)/2.2046,VLOOKUP(D909,'Species Codes'!B:I,8,0)+VLOOKUP(D909,'Species Codes'!B:J,9,0)*(((E909*2.54)/100)^2)*(I909*0.3048)))))*0.0011023),0)</f>
        <v>#N/A</v>
      </c>
      <c r="AC909" s="104" t="e">
        <f>IF(Z909&gt;0,((IF(OR(D909="RA",D909="OA",D909="OT",D909="UN",D909="PC"),EXP(VLOOKUP(D909,'Species Codes'!B:O,14,0)+VLOOKUP(D909,'Species Codes'!B:P,15,0)*LN((E909*2.54)))-EXP(VLOOKUP(D909,'Species Codes'!B:O,14,0)+VLOOKUP(D909,'Species Codes'!B:P,15,0)*LN((E909*2.54)))*(1/(VLOOKUP(D909,'Species Codes'!B:Q,16,0)+VLOOKUP(D909,'Species Codes'!B:R,17,0)*((E909*2.54)^VLOOKUP(D909,'Species Codes'!B:S,18,0)))),IF(OR(D909="BM",D909="MD",D909="OA"),EXP(VLOOKUP(D909,'Species Codes'!B:O,14,0)+VLOOKUP(D909,'Species Codes'!B:P,15,0)*LN((E909*2.54)))*(1-(1/(VLOOKUP(D909,'Species Codes'!B:Q,16,0)+VLOOKUP(D909,'Species Codes'!B:R,17,0)*((E909*2.54)^VLOOKUP(D909,'Species Codes'!B:S,18,0)))))/1000,IF(D909="DF",EXP(VLOOKUP(D909,'Species Codes'!B:O,14,0)+VLOOKUP(D909,'Species Codes'!B:P,15,0)*LN((E909*2.54))),VLOOKUP(D909,'Species Codes'!B:O,14,0)+VLOOKUP(D909,'Species Codes'!B:P,15,0)*(((E909*2.54)/100)^2)*(I909*0.3048)))))*0.0011023),0)</f>
        <v>#N/A</v>
      </c>
      <c r="AD909" s="104" t="e">
        <f t="shared" si="409"/>
        <v>#N/A</v>
      </c>
      <c r="AE909" s="104" t="e">
        <f t="shared" si="410"/>
        <v>#N/A</v>
      </c>
      <c r="AF909" s="104" t="e">
        <f>IF(AND(VLOOKUP($D909,Merchantability!$B:$C,2,0)="Yes",$E909&gt;=VLOOKUP($D909,Merchantability!$B:$D,3,0),$E909&lt;=VLOOKUP($D909,Merchantability!$B:$E,4,0)),AA909,0)</f>
        <v>#N/A</v>
      </c>
      <c r="AG909" s="104" t="e">
        <f>IF(AND(VLOOKUP($D909,Merchantability!$B:$C,2,0)="Yes",$E909&gt;=VLOOKUP($D909,Merchantability!$B:$D,3,0),$E909&lt;=VLOOKUP($D909,Merchantability!$B:$E,4,0)),AB909,0)</f>
        <v>#N/A</v>
      </c>
      <c r="AH909" s="104" t="e">
        <f>IF(AND(VLOOKUP($D909,Merchantability!$B:$C,2,0)="Yes",$E909&gt;=VLOOKUP($D909,Merchantability!$B:$D,3,0),$E909&lt;=VLOOKUP($D909,Merchantability!$B:$E,4,0)),AC909,0)</f>
        <v>#N/A</v>
      </c>
      <c r="AI909" s="104" t="e">
        <f t="shared" si="411"/>
        <v>#N/A</v>
      </c>
      <c r="AJ909" s="104" t="e">
        <f t="shared" si="412"/>
        <v>#VALUE!</v>
      </c>
      <c r="AK909" s="104" t="e">
        <f t="shared" si="413"/>
        <v>#N/A</v>
      </c>
      <c r="AL909" s="104" t="e">
        <f t="shared" si="414"/>
        <v>#N/A</v>
      </c>
      <c r="AM909" s="104" t="e">
        <f t="shared" si="415"/>
        <v>#N/A</v>
      </c>
      <c r="AN909" s="104" t="e">
        <f t="shared" si="426"/>
        <v>#N/A</v>
      </c>
      <c r="AO909" s="104" t="e">
        <f t="shared" si="427"/>
        <v>#N/A</v>
      </c>
      <c r="AP909" s="104" t="e">
        <f t="shared" si="428"/>
        <v>#N/A</v>
      </c>
      <c r="AQ909" s="104" t="e">
        <f t="shared" si="429"/>
        <v>#N/A</v>
      </c>
      <c r="AR909" s="105" t="str">
        <f t="shared" si="421"/>
        <v/>
      </c>
      <c r="AS909" s="105" t="str">
        <f t="shared" si="422"/>
        <v/>
      </c>
      <c r="AT909" s="108" t="str">
        <f t="shared" si="423"/>
        <v/>
      </c>
      <c r="AU909" s="108" t="str">
        <f t="shared" si="424"/>
        <v/>
      </c>
      <c r="AV909" s="107" t="str">
        <f>IF(ISNUMBER(O909),IF(VLOOKUP($A909,Stand!C:J,8,FALSE)="Short",AT909,AU909),"")</f>
        <v/>
      </c>
      <c r="AW909" s="109" t="str">
        <f t="shared" si="430"/>
        <v/>
      </c>
      <c r="AX909" s="109" t="str">
        <f t="shared" si="431"/>
        <v/>
      </c>
      <c r="AY909" s="112" t="str">
        <f>IF(ISNUMBER(O909),IF(AND(VLOOKUP($D909,Merchantability!$B:$C,2,0)="Yes",$E909&gt;=VLOOKUP($D909,Merchantability!$B:$D,3,0),$E909&lt;=VLOOKUP($D909,Merchantability!$B:$E,4,0)),(AV909*O909)*(1-$H909/100),""),"")</f>
        <v/>
      </c>
      <c r="AZ909" s="116"/>
      <c r="BA909" s="116"/>
      <c r="BB909" s="116"/>
      <c r="BE909" s="62"/>
      <c r="BF909" s="63"/>
    </row>
    <row r="910" spans="1:58" ht="12.75" customHeight="1" x14ac:dyDescent="0.25">
      <c r="A910" s="313"/>
      <c r="B910" s="328"/>
      <c r="C910" s="329"/>
      <c r="D910" s="328"/>
      <c r="E910" s="330"/>
      <c r="F910" s="328"/>
      <c r="G910" s="329"/>
      <c r="H910" s="329"/>
      <c r="I910" s="328"/>
      <c r="J910" s="383"/>
      <c r="K910" s="329"/>
      <c r="L910" s="329"/>
      <c r="M910" s="76"/>
      <c r="N910" s="103" t="str">
        <f>IF(A910="","",VLOOKUP(A910,Stand!C:K,9,0))</f>
        <v/>
      </c>
      <c r="O910" s="104" t="str">
        <f t="shared" si="416"/>
        <v/>
      </c>
      <c r="P910" s="105" t="str">
        <f t="shared" si="417"/>
        <v/>
      </c>
      <c r="Q910" s="105" t="str">
        <f t="shared" si="405"/>
        <v/>
      </c>
      <c r="R910" s="103" t="str">
        <f t="shared" si="418"/>
        <v/>
      </c>
      <c r="S910" s="103" t="str">
        <f t="shared" si="419"/>
        <v/>
      </c>
      <c r="T910" s="106" t="str">
        <f t="shared" si="406"/>
        <v/>
      </c>
      <c r="U910" s="106" t="str">
        <f t="shared" si="407"/>
        <v/>
      </c>
      <c r="V910" s="106" t="str">
        <f t="shared" si="408"/>
        <v/>
      </c>
      <c r="W910" s="105" t="str">
        <f t="shared" si="420"/>
        <v/>
      </c>
      <c r="X910" s="104" t="str">
        <f t="shared" si="425"/>
        <v/>
      </c>
      <c r="Y910" s="104" t="str">
        <f t="array" ref="Y910">IFERROR(IF(ISNUMBER(O910),IF(COUNT(IF(A910=$A$2:$A$2427,IF(D910=$D$2:$D$2427,IF($X$2:$X$2427&gt;0,1))))&gt;0,SUM(IF(A910=$A$2:$A$2427,IF(D910=$D$2:$D$2427,$X$2:$X$2427)))/COUNT(IF(A910=$A$2:$A$2427,IF(D910=$D$2:$D$2427,IF(ISNUMBER($X$2:$X$2427),1)))),0),""),0)</f>
        <v/>
      </c>
      <c r="Z910" s="104" t="str">
        <f>IF(ISNUMBER(O910),IF(I910&gt;0,(10^(VLOOKUP(D910,'Species Codes'!B:C,2,0)+VLOOKUP(D910,'Species Codes'!B:D,3,0)*LOG(E910)+VLOOKUP(D910,'Species Codes'!B:E,4,0)*LOG(I910))),0),"")</f>
        <v/>
      </c>
      <c r="AA910" s="104" t="str">
        <f>IFERROR((VLOOKUP(D910,'Species Codes'!B:G,6,0)*Z910)/2000,"")</f>
        <v/>
      </c>
      <c r="AB910" s="104" t="e">
        <f>IF(Z910&gt;0,((IF(OR(D910="DF",D910="RA")=TRUE,EXP(VLOOKUP(D910,'Species Codes'!B:I,8,0)+VLOOKUP(D910,'Species Codes'!B:J,9,0)*(LN((E910*2.54)))),IF(OR(D910="PY",D910="RC",D910="WH",D910="NF")=TRUE,VLOOKUP(D910,'Species Codes'!B:I,8,0)+VLOOKUP(D910,'Species Codes'!B:J,9,0)*((E910*2.54)^2)*(I910*0.3048),IF(OR(D910="MD",D910="BM",D910="GA")=TRUE,((VLOOKUP(D910,'Species Codes'!B:I,8,0)*(((((E910*2.54)+VLOOKUP(D910,'Species Codes'!B:J,9,0))/VLOOKUP(D910,'Species Codes'!B:K,10,0))^VLOOKUP(D910,'Species Codes'!B:L,11,0))*((I910*0.3048)^VLOOKUP(D910,'Species Codes'!B:M,12,0))))-(VLOOKUP(D910,'Species Codes'!B:I,8,0)*((((E910*2.54)^VLOOKUP(D910,'Species Codes'!B:L,11,0))*((I910*0.3048)^VLOOKUP(D910,'Species Codes'!B:M,12,0))))))*35.3*VLOOKUP(D910,'Species Codes'!B:G,6,0)/2.2046,VLOOKUP(D910,'Species Codes'!B:I,8,0)+VLOOKUP(D910,'Species Codes'!B:J,9,0)*(((E910*2.54)/100)^2)*(I910*0.3048)))))*0.0011023),0)</f>
        <v>#N/A</v>
      </c>
      <c r="AC910" s="104" t="e">
        <f>IF(Z910&gt;0,((IF(OR(D910="RA",D910="OA",D910="OT",D910="UN",D910="PC"),EXP(VLOOKUP(D910,'Species Codes'!B:O,14,0)+VLOOKUP(D910,'Species Codes'!B:P,15,0)*LN((E910*2.54)))-EXP(VLOOKUP(D910,'Species Codes'!B:O,14,0)+VLOOKUP(D910,'Species Codes'!B:P,15,0)*LN((E910*2.54)))*(1/(VLOOKUP(D910,'Species Codes'!B:Q,16,0)+VLOOKUP(D910,'Species Codes'!B:R,17,0)*((E910*2.54)^VLOOKUP(D910,'Species Codes'!B:S,18,0)))),IF(OR(D910="BM",D910="MD",D910="OA"),EXP(VLOOKUP(D910,'Species Codes'!B:O,14,0)+VLOOKUP(D910,'Species Codes'!B:P,15,0)*LN((E910*2.54)))*(1-(1/(VLOOKUP(D910,'Species Codes'!B:Q,16,0)+VLOOKUP(D910,'Species Codes'!B:R,17,0)*((E910*2.54)^VLOOKUP(D910,'Species Codes'!B:S,18,0)))))/1000,IF(D910="DF",EXP(VLOOKUP(D910,'Species Codes'!B:O,14,0)+VLOOKUP(D910,'Species Codes'!B:P,15,0)*LN((E910*2.54))),VLOOKUP(D910,'Species Codes'!B:O,14,0)+VLOOKUP(D910,'Species Codes'!B:P,15,0)*(((E910*2.54)/100)^2)*(I910*0.3048)))))*0.0011023),0)</f>
        <v>#N/A</v>
      </c>
      <c r="AD910" s="104" t="e">
        <f t="shared" si="409"/>
        <v>#N/A</v>
      </c>
      <c r="AE910" s="104" t="e">
        <f t="shared" si="410"/>
        <v>#N/A</v>
      </c>
      <c r="AF910" s="104" t="e">
        <f>IF(AND(VLOOKUP($D910,Merchantability!$B:$C,2,0)="Yes",$E910&gt;=VLOOKUP($D910,Merchantability!$B:$D,3,0),$E910&lt;=VLOOKUP($D910,Merchantability!$B:$E,4,0)),AA910,0)</f>
        <v>#N/A</v>
      </c>
      <c r="AG910" s="104" t="e">
        <f>IF(AND(VLOOKUP($D910,Merchantability!$B:$C,2,0)="Yes",$E910&gt;=VLOOKUP($D910,Merchantability!$B:$D,3,0),$E910&lt;=VLOOKUP($D910,Merchantability!$B:$E,4,0)),AB910,0)</f>
        <v>#N/A</v>
      </c>
      <c r="AH910" s="104" t="e">
        <f>IF(AND(VLOOKUP($D910,Merchantability!$B:$C,2,0)="Yes",$E910&gt;=VLOOKUP($D910,Merchantability!$B:$D,3,0),$E910&lt;=VLOOKUP($D910,Merchantability!$B:$E,4,0)),AC910,0)</f>
        <v>#N/A</v>
      </c>
      <c r="AI910" s="104" t="e">
        <f t="shared" si="411"/>
        <v>#N/A</v>
      </c>
      <c r="AJ910" s="104" t="e">
        <f t="shared" si="412"/>
        <v>#VALUE!</v>
      </c>
      <c r="AK910" s="104" t="e">
        <f t="shared" si="413"/>
        <v>#N/A</v>
      </c>
      <c r="AL910" s="104" t="e">
        <f t="shared" si="414"/>
        <v>#N/A</v>
      </c>
      <c r="AM910" s="104" t="e">
        <f t="shared" si="415"/>
        <v>#N/A</v>
      </c>
      <c r="AN910" s="104" t="e">
        <f t="shared" si="426"/>
        <v>#N/A</v>
      </c>
      <c r="AO910" s="104" t="e">
        <f t="shared" si="427"/>
        <v>#N/A</v>
      </c>
      <c r="AP910" s="104" t="e">
        <f t="shared" si="428"/>
        <v>#N/A</v>
      </c>
      <c r="AQ910" s="104" t="e">
        <f t="shared" si="429"/>
        <v>#N/A</v>
      </c>
      <c r="AR910" s="105" t="str">
        <f t="shared" si="421"/>
        <v/>
      </c>
      <c r="AS910" s="105" t="str">
        <f t="shared" si="422"/>
        <v/>
      </c>
      <c r="AT910" s="108" t="str">
        <f t="shared" si="423"/>
        <v/>
      </c>
      <c r="AU910" s="108" t="str">
        <f t="shared" si="424"/>
        <v/>
      </c>
      <c r="AV910" s="107" t="str">
        <f>IF(ISNUMBER(O910),IF(VLOOKUP($A910,Stand!C:J,8,FALSE)="Short",AT910,AU910),"")</f>
        <v/>
      </c>
      <c r="AW910" s="109" t="str">
        <f t="shared" si="430"/>
        <v/>
      </c>
      <c r="AX910" s="109" t="str">
        <f t="shared" si="431"/>
        <v/>
      </c>
      <c r="AY910" s="112" t="str">
        <f>IF(ISNUMBER(O910),IF(AND(VLOOKUP($D910,Merchantability!$B:$C,2,0)="Yes",$E910&gt;=VLOOKUP($D910,Merchantability!$B:$D,3,0),$E910&lt;=VLOOKUP($D910,Merchantability!$B:$E,4,0)),(AV910*O910)*(1-$H910/100),""),"")</f>
        <v/>
      </c>
      <c r="AZ910" s="116"/>
      <c r="BA910" s="116"/>
      <c r="BB910" s="116"/>
      <c r="BE910" s="62"/>
      <c r="BF910" s="63"/>
    </row>
    <row r="911" spans="1:58" ht="12.75" customHeight="1" x14ac:dyDescent="0.25">
      <c r="A911" s="313"/>
      <c r="B911" s="328"/>
      <c r="C911" s="329"/>
      <c r="D911" s="328"/>
      <c r="E911" s="330"/>
      <c r="F911" s="328"/>
      <c r="G911" s="329"/>
      <c r="H911" s="329"/>
      <c r="I911" s="328"/>
      <c r="J911" s="383"/>
      <c r="K911" s="329"/>
      <c r="L911" s="329"/>
      <c r="M911" s="76"/>
      <c r="N911" s="103" t="str">
        <f>IF(A911="","",VLOOKUP(A911,Stand!C:K,9,0))</f>
        <v/>
      </c>
      <c r="O911" s="104" t="str">
        <f t="shared" si="416"/>
        <v/>
      </c>
      <c r="P911" s="105" t="str">
        <f t="shared" si="417"/>
        <v/>
      </c>
      <c r="Q911" s="105" t="str">
        <f t="shared" si="405"/>
        <v/>
      </c>
      <c r="R911" s="103" t="str">
        <f t="shared" si="418"/>
        <v/>
      </c>
      <c r="S911" s="103" t="str">
        <f t="shared" si="419"/>
        <v/>
      </c>
      <c r="T911" s="106" t="str">
        <f t="shared" si="406"/>
        <v/>
      </c>
      <c r="U911" s="106" t="str">
        <f t="shared" si="407"/>
        <v/>
      </c>
      <c r="V911" s="106" t="str">
        <f t="shared" si="408"/>
        <v/>
      </c>
      <c r="W911" s="105" t="str">
        <f t="shared" si="420"/>
        <v/>
      </c>
      <c r="X911" s="104" t="str">
        <f t="shared" si="425"/>
        <v/>
      </c>
      <c r="Y911" s="104" t="str">
        <f t="array" ref="Y911">IFERROR(IF(ISNUMBER(O911),IF(COUNT(IF(A911=$A$2:$A$2427,IF(D911=$D$2:$D$2427,IF($X$2:$X$2427&gt;0,1))))&gt;0,SUM(IF(A911=$A$2:$A$2427,IF(D911=$D$2:$D$2427,$X$2:$X$2427)))/COUNT(IF(A911=$A$2:$A$2427,IF(D911=$D$2:$D$2427,IF(ISNUMBER($X$2:$X$2427),1)))),0),""),0)</f>
        <v/>
      </c>
      <c r="Z911" s="104" t="str">
        <f>IF(ISNUMBER(O911),IF(I911&gt;0,(10^(VLOOKUP(D911,'Species Codes'!B:C,2,0)+VLOOKUP(D911,'Species Codes'!B:D,3,0)*LOG(E911)+VLOOKUP(D911,'Species Codes'!B:E,4,0)*LOG(I911))),0),"")</f>
        <v/>
      </c>
      <c r="AA911" s="104" t="str">
        <f>IFERROR((VLOOKUP(D911,'Species Codes'!B:G,6,0)*Z911)/2000,"")</f>
        <v/>
      </c>
      <c r="AB911" s="104" t="e">
        <f>IF(Z911&gt;0,((IF(OR(D911="DF",D911="RA")=TRUE,EXP(VLOOKUP(D911,'Species Codes'!B:I,8,0)+VLOOKUP(D911,'Species Codes'!B:J,9,0)*(LN((E911*2.54)))),IF(OR(D911="PY",D911="RC",D911="WH",D911="NF")=TRUE,VLOOKUP(D911,'Species Codes'!B:I,8,0)+VLOOKUP(D911,'Species Codes'!B:J,9,0)*((E911*2.54)^2)*(I911*0.3048),IF(OR(D911="MD",D911="BM",D911="GA")=TRUE,((VLOOKUP(D911,'Species Codes'!B:I,8,0)*(((((E911*2.54)+VLOOKUP(D911,'Species Codes'!B:J,9,0))/VLOOKUP(D911,'Species Codes'!B:K,10,0))^VLOOKUP(D911,'Species Codes'!B:L,11,0))*((I911*0.3048)^VLOOKUP(D911,'Species Codes'!B:M,12,0))))-(VLOOKUP(D911,'Species Codes'!B:I,8,0)*((((E911*2.54)^VLOOKUP(D911,'Species Codes'!B:L,11,0))*((I911*0.3048)^VLOOKUP(D911,'Species Codes'!B:M,12,0))))))*35.3*VLOOKUP(D911,'Species Codes'!B:G,6,0)/2.2046,VLOOKUP(D911,'Species Codes'!B:I,8,0)+VLOOKUP(D911,'Species Codes'!B:J,9,0)*(((E911*2.54)/100)^2)*(I911*0.3048)))))*0.0011023),0)</f>
        <v>#N/A</v>
      </c>
      <c r="AC911" s="104" t="e">
        <f>IF(Z911&gt;0,((IF(OR(D911="RA",D911="OA",D911="OT",D911="UN",D911="PC"),EXP(VLOOKUP(D911,'Species Codes'!B:O,14,0)+VLOOKUP(D911,'Species Codes'!B:P,15,0)*LN((E911*2.54)))-EXP(VLOOKUP(D911,'Species Codes'!B:O,14,0)+VLOOKUP(D911,'Species Codes'!B:P,15,0)*LN((E911*2.54)))*(1/(VLOOKUP(D911,'Species Codes'!B:Q,16,0)+VLOOKUP(D911,'Species Codes'!B:R,17,0)*((E911*2.54)^VLOOKUP(D911,'Species Codes'!B:S,18,0)))),IF(OR(D911="BM",D911="MD",D911="OA"),EXP(VLOOKUP(D911,'Species Codes'!B:O,14,0)+VLOOKUP(D911,'Species Codes'!B:P,15,0)*LN((E911*2.54)))*(1-(1/(VLOOKUP(D911,'Species Codes'!B:Q,16,0)+VLOOKUP(D911,'Species Codes'!B:R,17,0)*((E911*2.54)^VLOOKUP(D911,'Species Codes'!B:S,18,0)))))/1000,IF(D911="DF",EXP(VLOOKUP(D911,'Species Codes'!B:O,14,0)+VLOOKUP(D911,'Species Codes'!B:P,15,0)*LN((E911*2.54))),VLOOKUP(D911,'Species Codes'!B:O,14,0)+VLOOKUP(D911,'Species Codes'!B:P,15,0)*(((E911*2.54)/100)^2)*(I911*0.3048)))))*0.0011023),0)</f>
        <v>#N/A</v>
      </c>
      <c r="AD911" s="104" t="e">
        <f t="shared" si="409"/>
        <v>#N/A</v>
      </c>
      <c r="AE911" s="104" t="e">
        <f t="shared" si="410"/>
        <v>#N/A</v>
      </c>
      <c r="AF911" s="104" t="e">
        <f>IF(AND(VLOOKUP($D911,Merchantability!$B:$C,2,0)="Yes",$E911&gt;=VLOOKUP($D911,Merchantability!$B:$D,3,0),$E911&lt;=VLOOKUP($D911,Merchantability!$B:$E,4,0)),AA911,0)</f>
        <v>#N/A</v>
      </c>
      <c r="AG911" s="104" t="e">
        <f>IF(AND(VLOOKUP($D911,Merchantability!$B:$C,2,0)="Yes",$E911&gt;=VLOOKUP($D911,Merchantability!$B:$D,3,0),$E911&lt;=VLOOKUP($D911,Merchantability!$B:$E,4,0)),AB911,0)</f>
        <v>#N/A</v>
      </c>
      <c r="AH911" s="104" t="e">
        <f>IF(AND(VLOOKUP($D911,Merchantability!$B:$C,2,0)="Yes",$E911&gt;=VLOOKUP($D911,Merchantability!$B:$D,3,0),$E911&lt;=VLOOKUP($D911,Merchantability!$B:$E,4,0)),AC911,0)</f>
        <v>#N/A</v>
      </c>
      <c r="AI911" s="104" t="e">
        <f t="shared" si="411"/>
        <v>#N/A</v>
      </c>
      <c r="AJ911" s="104" t="e">
        <f t="shared" si="412"/>
        <v>#VALUE!</v>
      </c>
      <c r="AK911" s="104" t="e">
        <f t="shared" si="413"/>
        <v>#N/A</v>
      </c>
      <c r="AL911" s="104" t="e">
        <f t="shared" si="414"/>
        <v>#N/A</v>
      </c>
      <c r="AM911" s="104" t="e">
        <f t="shared" si="415"/>
        <v>#N/A</v>
      </c>
      <c r="AN911" s="104" t="e">
        <f t="shared" si="426"/>
        <v>#N/A</v>
      </c>
      <c r="AO911" s="104" t="e">
        <f t="shared" si="427"/>
        <v>#N/A</v>
      </c>
      <c r="AP911" s="104" t="e">
        <f t="shared" si="428"/>
        <v>#N/A</v>
      </c>
      <c r="AQ911" s="104" t="e">
        <f t="shared" si="429"/>
        <v>#N/A</v>
      </c>
      <c r="AR911" s="105" t="str">
        <f t="shared" si="421"/>
        <v/>
      </c>
      <c r="AS911" s="105" t="str">
        <f t="shared" si="422"/>
        <v/>
      </c>
      <c r="AT911" s="108" t="str">
        <f t="shared" si="423"/>
        <v/>
      </c>
      <c r="AU911" s="108" t="str">
        <f t="shared" si="424"/>
        <v/>
      </c>
      <c r="AV911" s="107" t="str">
        <f>IF(ISNUMBER(O911),IF(VLOOKUP($A911,Stand!C:J,8,FALSE)="Short",AT911,AU911),"")</f>
        <v/>
      </c>
      <c r="AW911" s="109" t="str">
        <f t="shared" si="430"/>
        <v/>
      </c>
      <c r="AX911" s="109" t="str">
        <f t="shared" si="431"/>
        <v/>
      </c>
      <c r="AY911" s="112" t="str">
        <f>IF(ISNUMBER(O911),IF(AND(VLOOKUP($D911,Merchantability!$B:$C,2,0)="Yes",$E911&gt;=VLOOKUP($D911,Merchantability!$B:$D,3,0),$E911&lt;=VLOOKUP($D911,Merchantability!$B:$E,4,0)),(AV911*O911)*(1-$H911/100),""),"")</f>
        <v/>
      </c>
      <c r="AZ911" s="116"/>
      <c r="BA911" s="116"/>
      <c r="BB911" s="116"/>
      <c r="BE911" s="62"/>
      <c r="BF911" s="63"/>
    </row>
    <row r="912" spans="1:58" ht="12.75" customHeight="1" x14ac:dyDescent="0.25">
      <c r="A912" s="313"/>
      <c r="B912" s="328"/>
      <c r="C912" s="329"/>
      <c r="D912" s="328"/>
      <c r="E912" s="330"/>
      <c r="F912" s="328"/>
      <c r="G912" s="329"/>
      <c r="H912" s="329"/>
      <c r="I912" s="328"/>
      <c r="J912" s="383"/>
      <c r="K912" s="329"/>
      <c r="L912" s="329"/>
      <c r="M912" s="76"/>
      <c r="N912" s="103" t="str">
        <f>IF(A912="","",VLOOKUP(A912,Stand!C:K,9,0))</f>
        <v/>
      </c>
      <c r="O912" s="104" t="str">
        <f t="shared" si="416"/>
        <v/>
      </c>
      <c r="P912" s="105" t="str">
        <f t="shared" si="417"/>
        <v/>
      </c>
      <c r="Q912" s="105" t="str">
        <f t="shared" si="405"/>
        <v/>
      </c>
      <c r="R912" s="103" t="str">
        <f t="shared" si="418"/>
        <v/>
      </c>
      <c r="S912" s="103" t="str">
        <f t="shared" si="419"/>
        <v/>
      </c>
      <c r="T912" s="106" t="str">
        <f t="shared" si="406"/>
        <v/>
      </c>
      <c r="U912" s="106" t="str">
        <f t="shared" si="407"/>
        <v/>
      </c>
      <c r="V912" s="106" t="str">
        <f t="shared" si="408"/>
        <v/>
      </c>
      <c r="W912" s="105" t="str">
        <f t="shared" si="420"/>
        <v/>
      </c>
      <c r="X912" s="104" t="str">
        <f t="shared" si="425"/>
        <v/>
      </c>
      <c r="Y912" s="104" t="str">
        <f t="array" ref="Y912">IFERROR(IF(ISNUMBER(O912),IF(COUNT(IF(A912=$A$2:$A$2427,IF(D912=$D$2:$D$2427,IF($X$2:$X$2427&gt;0,1))))&gt;0,SUM(IF(A912=$A$2:$A$2427,IF(D912=$D$2:$D$2427,$X$2:$X$2427)))/COUNT(IF(A912=$A$2:$A$2427,IF(D912=$D$2:$D$2427,IF(ISNUMBER($X$2:$X$2427),1)))),0),""),0)</f>
        <v/>
      </c>
      <c r="Z912" s="104" t="str">
        <f>IF(ISNUMBER(O912),IF(I912&gt;0,(10^(VLOOKUP(D912,'Species Codes'!B:C,2,0)+VLOOKUP(D912,'Species Codes'!B:D,3,0)*LOG(E912)+VLOOKUP(D912,'Species Codes'!B:E,4,0)*LOG(I912))),0),"")</f>
        <v/>
      </c>
      <c r="AA912" s="104" t="str">
        <f>IFERROR((VLOOKUP(D912,'Species Codes'!B:G,6,0)*Z912)/2000,"")</f>
        <v/>
      </c>
      <c r="AB912" s="104" t="e">
        <f>IF(Z912&gt;0,((IF(OR(D912="DF",D912="RA")=TRUE,EXP(VLOOKUP(D912,'Species Codes'!B:I,8,0)+VLOOKUP(D912,'Species Codes'!B:J,9,0)*(LN((E912*2.54)))),IF(OR(D912="PY",D912="RC",D912="WH",D912="NF")=TRUE,VLOOKUP(D912,'Species Codes'!B:I,8,0)+VLOOKUP(D912,'Species Codes'!B:J,9,0)*((E912*2.54)^2)*(I912*0.3048),IF(OR(D912="MD",D912="BM",D912="GA")=TRUE,((VLOOKUP(D912,'Species Codes'!B:I,8,0)*(((((E912*2.54)+VLOOKUP(D912,'Species Codes'!B:J,9,0))/VLOOKUP(D912,'Species Codes'!B:K,10,0))^VLOOKUP(D912,'Species Codes'!B:L,11,0))*((I912*0.3048)^VLOOKUP(D912,'Species Codes'!B:M,12,0))))-(VLOOKUP(D912,'Species Codes'!B:I,8,0)*((((E912*2.54)^VLOOKUP(D912,'Species Codes'!B:L,11,0))*((I912*0.3048)^VLOOKUP(D912,'Species Codes'!B:M,12,0))))))*35.3*VLOOKUP(D912,'Species Codes'!B:G,6,0)/2.2046,VLOOKUP(D912,'Species Codes'!B:I,8,0)+VLOOKUP(D912,'Species Codes'!B:J,9,0)*(((E912*2.54)/100)^2)*(I912*0.3048)))))*0.0011023),0)</f>
        <v>#N/A</v>
      </c>
      <c r="AC912" s="104" t="e">
        <f>IF(Z912&gt;0,((IF(OR(D912="RA",D912="OA",D912="OT",D912="UN",D912="PC"),EXP(VLOOKUP(D912,'Species Codes'!B:O,14,0)+VLOOKUP(D912,'Species Codes'!B:P,15,0)*LN((E912*2.54)))-EXP(VLOOKUP(D912,'Species Codes'!B:O,14,0)+VLOOKUP(D912,'Species Codes'!B:P,15,0)*LN((E912*2.54)))*(1/(VLOOKUP(D912,'Species Codes'!B:Q,16,0)+VLOOKUP(D912,'Species Codes'!B:R,17,0)*((E912*2.54)^VLOOKUP(D912,'Species Codes'!B:S,18,0)))),IF(OR(D912="BM",D912="MD",D912="OA"),EXP(VLOOKUP(D912,'Species Codes'!B:O,14,0)+VLOOKUP(D912,'Species Codes'!B:P,15,0)*LN((E912*2.54)))*(1-(1/(VLOOKUP(D912,'Species Codes'!B:Q,16,0)+VLOOKUP(D912,'Species Codes'!B:R,17,0)*((E912*2.54)^VLOOKUP(D912,'Species Codes'!B:S,18,0)))))/1000,IF(D912="DF",EXP(VLOOKUP(D912,'Species Codes'!B:O,14,0)+VLOOKUP(D912,'Species Codes'!B:P,15,0)*LN((E912*2.54))),VLOOKUP(D912,'Species Codes'!B:O,14,0)+VLOOKUP(D912,'Species Codes'!B:P,15,0)*(((E912*2.54)/100)^2)*(I912*0.3048)))))*0.0011023),0)</f>
        <v>#N/A</v>
      </c>
      <c r="AD912" s="104" t="e">
        <f t="shared" si="409"/>
        <v>#N/A</v>
      </c>
      <c r="AE912" s="104" t="e">
        <f t="shared" si="410"/>
        <v>#N/A</v>
      </c>
      <c r="AF912" s="104" t="e">
        <f>IF(AND(VLOOKUP($D912,Merchantability!$B:$C,2,0)="Yes",$E912&gt;=VLOOKUP($D912,Merchantability!$B:$D,3,0),$E912&lt;=VLOOKUP($D912,Merchantability!$B:$E,4,0)),AA912,0)</f>
        <v>#N/A</v>
      </c>
      <c r="AG912" s="104" t="e">
        <f>IF(AND(VLOOKUP($D912,Merchantability!$B:$C,2,0)="Yes",$E912&gt;=VLOOKUP($D912,Merchantability!$B:$D,3,0),$E912&lt;=VLOOKUP($D912,Merchantability!$B:$E,4,0)),AB912,0)</f>
        <v>#N/A</v>
      </c>
      <c r="AH912" s="104" t="e">
        <f>IF(AND(VLOOKUP($D912,Merchantability!$B:$C,2,0)="Yes",$E912&gt;=VLOOKUP($D912,Merchantability!$B:$D,3,0),$E912&lt;=VLOOKUP($D912,Merchantability!$B:$E,4,0)),AC912,0)</f>
        <v>#N/A</v>
      </c>
      <c r="AI912" s="104" t="e">
        <f t="shared" si="411"/>
        <v>#N/A</v>
      </c>
      <c r="AJ912" s="104" t="e">
        <f t="shared" si="412"/>
        <v>#VALUE!</v>
      </c>
      <c r="AK912" s="104" t="e">
        <f t="shared" si="413"/>
        <v>#N/A</v>
      </c>
      <c r="AL912" s="104" t="e">
        <f t="shared" si="414"/>
        <v>#N/A</v>
      </c>
      <c r="AM912" s="104" t="e">
        <f t="shared" si="415"/>
        <v>#N/A</v>
      </c>
      <c r="AN912" s="104" t="e">
        <f t="shared" si="426"/>
        <v>#N/A</v>
      </c>
      <c r="AO912" s="104" t="e">
        <f t="shared" si="427"/>
        <v>#N/A</v>
      </c>
      <c r="AP912" s="104" t="e">
        <f t="shared" si="428"/>
        <v>#N/A</v>
      </c>
      <c r="AQ912" s="104" t="e">
        <f t="shared" si="429"/>
        <v>#N/A</v>
      </c>
      <c r="AR912" s="105" t="str">
        <f t="shared" si="421"/>
        <v/>
      </c>
      <c r="AS912" s="105" t="str">
        <f t="shared" si="422"/>
        <v/>
      </c>
      <c r="AT912" s="108" t="str">
        <f t="shared" si="423"/>
        <v/>
      </c>
      <c r="AU912" s="108" t="str">
        <f t="shared" si="424"/>
        <v/>
      </c>
      <c r="AV912" s="107" t="str">
        <f>IF(ISNUMBER(O912),IF(VLOOKUP($A912,Stand!C:J,8,FALSE)="Short",AT912,AU912),"")</f>
        <v/>
      </c>
      <c r="AW912" s="109" t="str">
        <f t="shared" si="430"/>
        <v/>
      </c>
      <c r="AX912" s="109" t="str">
        <f t="shared" si="431"/>
        <v/>
      </c>
      <c r="AY912" s="112" t="str">
        <f>IF(ISNUMBER(O912),IF(AND(VLOOKUP($D912,Merchantability!$B:$C,2,0)="Yes",$E912&gt;=VLOOKUP($D912,Merchantability!$B:$D,3,0),$E912&lt;=VLOOKUP($D912,Merchantability!$B:$E,4,0)),(AV912*O912)*(1-$H912/100),""),"")</f>
        <v/>
      </c>
      <c r="AZ912" s="116"/>
      <c r="BA912" s="116"/>
      <c r="BB912" s="116"/>
      <c r="BE912" s="62"/>
      <c r="BF912" s="63"/>
    </row>
    <row r="913" spans="1:58" ht="12.75" customHeight="1" x14ac:dyDescent="0.25">
      <c r="A913" s="313"/>
      <c r="B913" s="328"/>
      <c r="C913" s="329"/>
      <c r="D913" s="328"/>
      <c r="E913" s="330"/>
      <c r="F913" s="328"/>
      <c r="G913" s="329"/>
      <c r="H913" s="329"/>
      <c r="I913" s="328"/>
      <c r="J913" s="383"/>
      <c r="K913" s="329"/>
      <c r="L913" s="329"/>
      <c r="M913" s="76"/>
      <c r="N913" s="103" t="str">
        <f>IF(A913="","",VLOOKUP(A913,Stand!C:K,9,0))</f>
        <v/>
      </c>
      <c r="O913" s="104" t="str">
        <f t="shared" si="416"/>
        <v/>
      </c>
      <c r="P913" s="105" t="str">
        <f t="shared" si="417"/>
        <v/>
      </c>
      <c r="Q913" s="105" t="str">
        <f t="shared" si="405"/>
        <v/>
      </c>
      <c r="R913" s="103" t="str">
        <f t="shared" si="418"/>
        <v/>
      </c>
      <c r="S913" s="103" t="str">
        <f t="shared" si="419"/>
        <v/>
      </c>
      <c r="T913" s="106" t="str">
        <f t="shared" si="406"/>
        <v/>
      </c>
      <c r="U913" s="106" t="str">
        <f t="shared" si="407"/>
        <v/>
      </c>
      <c r="V913" s="106" t="str">
        <f t="shared" si="408"/>
        <v/>
      </c>
      <c r="W913" s="105" t="str">
        <f t="shared" si="420"/>
        <v/>
      </c>
      <c r="X913" s="104" t="str">
        <f t="shared" si="425"/>
        <v/>
      </c>
      <c r="Y913" s="104" t="str">
        <f t="array" ref="Y913">IFERROR(IF(ISNUMBER(O913),IF(COUNT(IF(A913=$A$2:$A$2427,IF(D913=$D$2:$D$2427,IF($X$2:$X$2427&gt;0,1))))&gt;0,SUM(IF(A913=$A$2:$A$2427,IF(D913=$D$2:$D$2427,$X$2:$X$2427)))/COUNT(IF(A913=$A$2:$A$2427,IF(D913=$D$2:$D$2427,IF(ISNUMBER($X$2:$X$2427),1)))),0),""),0)</f>
        <v/>
      </c>
      <c r="Z913" s="104" t="str">
        <f>IF(ISNUMBER(O913),IF(I913&gt;0,(10^(VLOOKUP(D913,'Species Codes'!B:C,2,0)+VLOOKUP(D913,'Species Codes'!B:D,3,0)*LOG(E913)+VLOOKUP(D913,'Species Codes'!B:E,4,0)*LOG(I913))),0),"")</f>
        <v/>
      </c>
      <c r="AA913" s="104" t="str">
        <f>IFERROR((VLOOKUP(D913,'Species Codes'!B:G,6,0)*Z913)/2000,"")</f>
        <v/>
      </c>
      <c r="AB913" s="104" t="e">
        <f>IF(Z913&gt;0,((IF(OR(D913="DF",D913="RA")=TRUE,EXP(VLOOKUP(D913,'Species Codes'!B:I,8,0)+VLOOKUP(D913,'Species Codes'!B:J,9,0)*(LN((E913*2.54)))),IF(OR(D913="PY",D913="RC",D913="WH",D913="NF")=TRUE,VLOOKUP(D913,'Species Codes'!B:I,8,0)+VLOOKUP(D913,'Species Codes'!B:J,9,0)*((E913*2.54)^2)*(I913*0.3048),IF(OR(D913="MD",D913="BM",D913="GA")=TRUE,((VLOOKUP(D913,'Species Codes'!B:I,8,0)*(((((E913*2.54)+VLOOKUP(D913,'Species Codes'!B:J,9,0))/VLOOKUP(D913,'Species Codes'!B:K,10,0))^VLOOKUP(D913,'Species Codes'!B:L,11,0))*((I913*0.3048)^VLOOKUP(D913,'Species Codes'!B:M,12,0))))-(VLOOKUP(D913,'Species Codes'!B:I,8,0)*((((E913*2.54)^VLOOKUP(D913,'Species Codes'!B:L,11,0))*((I913*0.3048)^VLOOKUP(D913,'Species Codes'!B:M,12,0))))))*35.3*VLOOKUP(D913,'Species Codes'!B:G,6,0)/2.2046,VLOOKUP(D913,'Species Codes'!B:I,8,0)+VLOOKUP(D913,'Species Codes'!B:J,9,0)*(((E913*2.54)/100)^2)*(I913*0.3048)))))*0.0011023),0)</f>
        <v>#N/A</v>
      </c>
      <c r="AC913" s="104" t="e">
        <f>IF(Z913&gt;0,((IF(OR(D913="RA",D913="OA",D913="OT",D913="UN",D913="PC"),EXP(VLOOKUP(D913,'Species Codes'!B:O,14,0)+VLOOKUP(D913,'Species Codes'!B:P,15,0)*LN((E913*2.54)))-EXP(VLOOKUP(D913,'Species Codes'!B:O,14,0)+VLOOKUP(D913,'Species Codes'!B:P,15,0)*LN((E913*2.54)))*(1/(VLOOKUP(D913,'Species Codes'!B:Q,16,0)+VLOOKUP(D913,'Species Codes'!B:R,17,0)*((E913*2.54)^VLOOKUP(D913,'Species Codes'!B:S,18,0)))),IF(OR(D913="BM",D913="MD",D913="OA"),EXP(VLOOKUP(D913,'Species Codes'!B:O,14,0)+VLOOKUP(D913,'Species Codes'!B:P,15,0)*LN((E913*2.54)))*(1-(1/(VLOOKUP(D913,'Species Codes'!B:Q,16,0)+VLOOKUP(D913,'Species Codes'!B:R,17,0)*((E913*2.54)^VLOOKUP(D913,'Species Codes'!B:S,18,0)))))/1000,IF(D913="DF",EXP(VLOOKUP(D913,'Species Codes'!B:O,14,0)+VLOOKUP(D913,'Species Codes'!B:P,15,0)*LN((E913*2.54))),VLOOKUP(D913,'Species Codes'!B:O,14,0)+VLOOKUP(D913,'Species Codes'!B:P,15,0)*(((E913*2.54)/100)^2)*(I913*0.3048)))))*0.0011023),0)</f>
        <v>#N/A</v>
      </c>
      <c r="AD913" s="104" t="e">
        <f t="shared" si="409"/>
        <v>#N/A</v>
      </c>
      <c r="AE913" s="104" t="e">
        <f t="shared" si="410"/>
        <v>#N/A</v>
      </c>
      <c r="AF913" s="104" t="e">
        <f>IF(AND(VLOOKUP($D913,Merchantability!$B:$C,2,0)="Yes",$E913&gt;=VLOOKUP($D913,Merchantability!$B:$D,3,0),$E913&lt;=VLOOKUP($D913,Merchantability!$B:$E,4,0)),AA913,0)</f>
        <v>#N/A</v>
      </c>
      <c r="AG913" s="104" t="e">
        <f>IF(AND(VLOOKUP($D913,Merchantability!$B:$C,2,0)="Yes",$E913&gt;=VLOOKUP($D913,Merchantability!$B:$D,3,0),$E913&lt;=VLOOKUP($D913,Merchantability!$B:$E,4,0)),AB913,0)</f>
        <v>#N/A</v>
      </c>
      <c r="AH913" s="104" t="e">
        <f>IF(AND(VLOOKUP($D913,Merchantability!$B:$C,2,0)="Yes",$E913&gt;=VLOOKUP($D913,Merchantability!$B:$D,3,0),$E913&lt;=VLOOKUP($D913,Merchantability!$B:$E,4,0)),AC913,0)</f>
        <v>#N/A</v>
      </c>
      <c r="AI913" s="104" t="e">
        <f t="shared" si="411"/>
        <v>#N/A</v>
      </c>
      <c r="AJ913" s="104" t="e">
        <f t="shared" si="412"/>
        <v>#VALUE!</v>
      </c>
      <c r="AK913" s="104" t="e">
        <f t="shared" si="413"/>
        <v>#N/A</v>
      </c>
      <c r="AL913" s="104" t="e">
        <f t="shared" si="414"/>
        <v>#N/A</v>
      </c>
      <c r="AM913" s="104" t="e">
        <f t="shared" si="415"/>
        <v>#N/A</v>
      </c>
      <c r="AN913" s="104" t="e">
        <f t="shared" si="426"/>
        <v>#N/A</v>
      </c>
      <c r="AO913" s="104" t="e">
        <f t="shared" si="427"/>
        <v>#N/A</v>
      </c>
      <c r="AP913" s="104" t="e">
        <f t="shared" si="428"/>
        <v>#N/A</v>
      </c>
      <c r="AQ913" s="104" t="e">
        <f t="shared" si="429"/>
        <v>#N/A</v>
      </c>
      <c r="AR913" s="105" t="str">
        <f t="shared" si="421"/>
        <v/>
      </c>
      <c r="AS913" s="105" t="str">
        <f t="shared" si="422"/>
        <v/>
      </c>
      <c r="AT913" s="108" t="str">
        <f t="shared" si="423"/>
        <v/>
      </c>
      <c r="AU913" s="108" t="str">
        <f t="shared" si="424"/>
        <v/>
      </c>
      <c r="AV913" s="107" t="str">
        <f>IF(ISNUMBER(O913),IF(VLOOKUP($A913,Stand!C:J,8,FALSE)="Short",AT913,AU913),"")</f>
        <v/>
      </c>
      <c r="AW913" s="109" t="str">
        <f t="shared" si="430"/>
        <v/>
      </c>
      <c r="AX913" s="109" t="str">
        <f t="shared" si="431"/>
        <v/>
      </c>
      <c r="AY913" s="112" t="str">
        <f>IF(ISNUMBER(O913),IF(AND(VLOOKUP($D913,Merchantability!$B:$C,2,0)="Yes",$E913&gt;=VLOOKUP($D913,Merchantability!$B:$D,3,0),$E913&lt;=VLOOKUP($D913,Merchantability!$B:$E,4,0)),(AV913*O913)*(1-$H913/100),""),"")</f>
        <v/>
      </c>
      <c r="AZ913" s="116"/>
      <c r="BA913" s="116"/>
      <c r="BB913" s="116"/>
      <c r="BE913" s="62"/>
      <c r="BF913" s="63"/>
    </row>
    <row r="914" spans="1:58" ht="12.75" customHeight="1" x14ac:dyDescent="0.25">
      <c r="A914" s="313"/>
      <c r="B914" s="328"/>
      <c r="C914" s="329"/>
      <c r="D914" s="328"/>
      <c r="E914" s="330"/>
      <c r="F914" s="328"/>
      <c r="G914" s="329"/>
      <c r="H914" s="329"/>
      <c r="I914" s="328"/>
      <c r="J914" s="383"/>
      <c r="K914" s="329"/>
      <c r="L914" s="329"/>
      <c r="M914" s="76"/>
      <c r="N914" s="103" t="str">
        <f>IF(A914="","",VLOOKUP(A914,Stand!C:K,9,0))</f>
        <v/>
      </c>
      <c r="O914" s="104" t="str">
        <f t="shared" si="416"/>
        <v/>
      </c>
      <c r="P914" s="105" t="str">
        <f t="shared" si="417"/>
        <v/>
      </c>
      <c r="Q914" s="105" t="str">
        <f t="shared" si="405"/>
        <v/>
      </c>
      <c r="R914" s="103" t="str">
        <f t="shared" si="418"/>
        <v/>
      </c>
      <c r="S914" s="103" t="str">
        <f t="shared" si="419"/>
        <v/>
      </c>
      <c r="T914" s="106" t="str">
        <f t="shared" si="406"/>
        <v/>
      </c>
      <c r="U914" s="106" t="str">
        <f t="shared" si="407"/>
        <v/>
      </c>
      <c r="V914" s="106" t="str">
        <f t="shared" si="408"/>
        <v/>
      </c>
      <c r="W914" s="105" t="str">
        <f t="shared" si="420"/>
        <v/>
      </c>
      <c r="X914" s="104" t="str">
        <f t="shared" si="425"/>
        <v/>
      </c>
      <c r="Y914" s="104" t="str">
        <f t="array" ref="Y914">IFERROR(IF(ISNUMBER(O914),IF(COUNT(IF(A914=$A$2:$A$2427,IF(D914=$D$2:$D$2427,IF($X$2:$X$2427&gt;0,1))))&gt;0,SUM(IF(A914=$A$2:$A$2427,IF(D914=$D$2:$D$2427,$X$2:$X$2427)))/COUNT(IF(A914=$A$2:$A$2427,IF(D914=$D$2:$D$2427,IF(ISNUMBER($X$2:$X$2427),1)))),0),""),0)</f>
        <v/>
      </c>
      <c r="Z914" s="104" t="str">
        <f>IF(ISNUMBER(O914),IF(I914&gt;0,(10^(VLOOKUP(D914,'Species Codes'!B:C,2,0)+VLOOKUP(D914,'Species Codes'!B:D,3,0)*LOG(E914)+VLOOKUP(D914,'Species Codes'!B:E,4,0)*LOG(I914))),0),"")</f>
        <v/>
      </c>
      <c r="AA914" s="104" t="str">
        <f>IFERROR((VLOOKUP(D914,'Species Codes'!B:G,6,0)*Z914)/2000,"")</f>
        <v/>
      </c>
      <c r="AB914" s="104" t="e">
        <f>IF(Z914&gt;0,((IF(OR(D914="DF",D914="RA")=TRUE,EXP(VLOOKUP(D914,'Species Codes'!B:I,8,0)+VLOOKUP(D914,'Species Codes'!B:J,9,0)*(LN((E914*2.54)))),IF(OR(D914="PY",D914="RC",D914="WH",D914="NF")=TRUE,VLOOKUP(D914,'Species Codes'!B:I,8,0)+VLOOKUP(D914,'Species Codes'!B:J,9,0)*((E914*2.54)^2)*(I914*0.3048),IF(OR(D914="MD",D914="BM",D914="GA")=TRUE,((VLOOKUP(D914,'Species Codes'!B:I,8,0)*(((((E914*2.54)+VLOOKUP(D914,'Species Codes'!B:J,9,0))/VLOOKUP(D914,'Species Codes'!B:K,10,0))^VLOOKUP(D914,'Species Codes'!B:L,11,0))*((I914*0.3048)^VLOOKUP(D914,'Species Codes'!B:M,12,0))))-(VLOOKUP(D914,'Species Codes'!B:I,8,0)*((((E914*2.54)^VLOOKUP(D914,'Species Codes'!B:L,11,0))*((I914*0.3048)^VLOOKUP(D914,'Species Codes'!B:M,12,0))))))*35.3*VLOOKUP(D914,'Species Codes'!B:G,6,0)/2.2046,VLOOKUP(D914,'Species Codes'!B:I,8,0)+VLOOKUP(D914,'Species Codes'!B:J,9,0)*(((E914*2.54)/100)^2)*(I914*0.3048)))))*0.0011023),0)</f>
        <v>#N/A</v>
      </c>
      <c r="AC914" s="104" t="e">
        <f>IF(Z914&gt;0,((IF(OR(D914="RA",D914="OA",D914="OT",D914="UN",D914="PC"),EXP(VLOOKUP(D914,'Species Codes'!B:O,14,0)+VLOOKUP(D914,'Species Codes'!B:P,15,0)*LN((E914*2.54)))-EXP(VLOOKUP(D914,'Species Codes'!B:O,14,0)+VLOOKUP(D914,'Species Codes'!B:P,15,0)*LN((E914*2.54)))*(1/(VLOOKUP(D914,'Species Codes'!B:Q,16,0)+VLOOKUP(D914,'Species Codes'!B:R,17,0)*((E914*2.54)^VLOOKUP(D914,'Species Codes'!B:S,18,0)))),IF(OR(D914="BM",D914="MD",D914="OA"),EXP(VLOOKUP(D914,'Species Codes'!B:O,14,0)+VLOOKUP(D914,'Species Codes'!B:P,15,0)*LN((E914*2.54)))*(1-(1/(VLOOKUP(D914,'Species Codes'!B:Q,16,0)+VLOOKUP(D914,'Species Codes'!B:R,17,0)*((E914*2.54)^VLOOKUP(D914,'Species Codes'!B:S,18,0)))))/1000,IF(D914="DF",EXP(VLOOKUP(D914,'Species Codes'!B:O,14,0)+VLOOKUP(D914,'Species Codes'!B:P,15,0)*LN((E914*2.54))),VLOOKUP(D914,'Species Codes'!B:O,14,0)+VLOOKUP(D914,'Species Codes'!B:P,15,0)*(((E914*2.54)/100)^2)*(I914*0.3048)))))*0.0011023),0)</f>
        <v>#N/A</v>
      </c>
      <c r="AD914" s="104" t="e">
        <f t="shared" si="409"/>
        <v>#N/A</v>
      </c>
      <c r="AE914" s="104" t="e">
        <f t="shared" si="410"/>
        <v>#N/A</v>
      </c>
      <c r="AF914" s="104" t="e">
        <f>IF(AND(VLOOKUP($D914,Merchantability!$B:$C,2,0)="Yes",$E914&gt;=VLOOKUP($D914,Merchantability!$B:$D,3,0),$E914&lt;=VLOOKUP($D914,Merchantability!$B:$E,4,0)),AA914,0)</f>
        <v>#N/A</v>
      </c>
      <c r="AG914" s="104" t="e">
        <f>IF(AND(VLOOKUP($D914,Merchantability!$B:$C,2,0)="Yes",$E914&gt;=VLOOKUP($D914,Merchantability!$B:$D,3,0),$E914&lt;=VLOOKUP($D914,Merchantability!$B:$E,4,0)),AB914,0)</f>
        <v>#N/A</v>
      </c>
      <c r="AH914" s="104" t="e">
        <f>IF(AND(VLOOKUP($D914,Merchantability!$B:$C,2,0)="Yes",$E914&gt;=VLOOKUP($D914,Merchantability!$B:$D,3,0),$E914&lt;=VLOOKUP($D914,Merchantability!$B:$E,4,0)),AC914,0)</f>
        <v>#N/A</v>
      </c>
      <c r="AI914" s="104" t="e">
        <f t="shared" si="411"/>
        <v>#N/A</v>
      </c>
      <c r="AJ914" s="104" t="e">
        <f t="shared" si="412"/>
        <v>#VALUE!</v>
      </c>
      <c r="AK914" s="104" t="e">
        <f t="shared" si="413"/>
        <v>#N/A</v>
      </c>
      <c r="AL914" s="104" t="e">
        <f t="shared" si="414"/>
        <v>#N/A</v>
      </c>
      <c r="AM914" s="104" t="e">
        <f t="shared" si="415"/>
        <v>#N/A</v>
      </c>
      <c r="AN914" s="104" t="e">
        <f t="shared" si="426"/>
        <v>#N/A</v>
      </c>
      <c r="AO914" s="104" t="e">
        <f t="shared" si="427"/>
        <v>#N/A</v>
      </c>
      <c r="AP914" s="104" t="e">
        <f t="shared" si="428"/>
        <v>#N/A</v>
      </c>
      <c r="AQ914" s="104" t="e">
        <f t="shared" si="429"/>
        <v>#N/A</v>
      </c>
      <c r="AR914" s="105" t="str">
        <f t="shared" si="421"/>
        <v/>
      </c>
      <c r="AS914" s="105" t="str">
        <f t="shared" si="422"/>
        <v/>
      </c>
      <c r="AT914" s="108" t="str">
        <f t="shared" si="423"/>
        <v/>
      </c>
      <c r="AU914" s="108" t="str">
        <f t="shared" si="424"/>
        <v/>
      </c>
      <c r="AV914" s="107" t="str">
        <f>IF(ISNUMBER(O914),IF(VLOOKUP($A914,Stand!C:J,8,FALSE)="Short",AT914,AU914),"")</f>
        <v/>
      </c>
      <c r="AW914" s="109" t="str">
        <f t="shared" si="430"/>
        <v/>
      </c>
      <c r="AX914" s="109" t="str">
        <f t="shared" si="431"/>
        <v/>
      </c>
      <c r="AY914" s="112" t="str">
        <f>IF(ISNUMBER(O914),IF(AND(VLOOKUP($D914,Merchantability!$B:$C,2,0)="Yes",$E914&gt;=VLOOKUP($D914,Merchantability!$B:$D,3,0),$E914&lt;=VLOOKUP($D914,Merchantability!$B:$E,4,0)),(AV914*O914)*(1-$H914/100),""),"")</f>
        <v/>
      </c>
      <c r="AZ914" s="116"/>
      <c r="BA914" s="116"/>
      <c r="BB914" s="116"/>
      <c r="BE914" s="62"/>
      <c r="BF914" s="63"/>
    </row>
    <row r="915" spans="1:58" ht="12.75" customHeight="1" x14ac:dyDescent="0.25">
      <c r="A915" s="313"/>
      <c r="B915" s="328"/>
      <c r="C915" s="329"/>
      <c r="D915" s="328"/>
      <c r="E915" s="330"/>
      <c r="F915" s="328"/>
      <c r="G915" s="329"/>
      <c r="H915" s="329"/>
      <c r="I915" s="328"/>
      <c r="J915" s="383"/>
      <c r="K915" s="329"/>
      <c r="L915" s="329"/>
      <c r="M915" s="76"/>
      <c r="N915" s="103" t="str">
        <f>IF(A915="","",VLOOKUP(A915,Stand!C:K,9,0))</f>
        <v/>
      </c>
      <c r="O915" s="104" t="str">
        <f t="shared" si="416"/>
        <v/>
      </c>
      <c r="P915" s="105" t="str">
        <f t="shared" si="417"/>
        <v/>
      </c>
      <c r="Q915" s="105" t="str">
        <f t="shared" si="405"/>
        <v/>
      </c>
      <c r="R915" s="103" t="str">
        <f t="shared" si="418"/>
        <v/>
      </c>
      <c r="S915" s="103" t="str">
        <f t="shared" si="419"/>
        <v/>
      </c>
      <c r="T915" s="106" t="str">
        <f t="shared" si="406"/>
        <v/>
      </c>
      <c r="U915" s="106" t="str">
        <f t="shared" si="407"/>
        <v/>
      </c>
      <c r="V915" s="106" t="str">
        <f t="shared" si="408"/>
        <v/>
      </c>
      <c r="W915" s="105" t="str">
        <f t="shared" si="420"/>
        <v/>
      </c>
      <c r="X915" s="104" t="str">
        <f t="shared" si="425"/>
        <v/>
      </c>
      <c r="Y915" s="104" t="str">
        <f t="array" ref="Y915">IFERROR(IF(ISNUMBER(O915),IF(COUNT(IF(A915=$A$2:$A$2427,IF(D915=$D$2:$D$2427,IF($X$2:$X$2427&gt;0,1))))&gt;0,SUM(IF(A915=$A$2:$A$2427,IF(D915=$D$2:$D$2427,$X$2:$X$2427)))/COUNT(IF(A915=$A$2:$A$2427,IF(D915=$D$2:$D$2427,IF(ISNUMBER($X$2:$X$2427),1)))),0),""),0)</f>
        <v/>
      </c>
      <c r="Z915" s="104" t="str">
        <f>IF(ISNUMBER(O915),IF(I915&gt;0,(10^(VLOOKUP(D915,'Species Codes'!B:C,2,0)+VLOOKUP(D915,'Species Codes'!B:D,3,0)*LOG(E915)+VLOOKUP(D915,'Species Codes'!B:E,4,0)*LOG(I915))),0),"")</f>
        <v/>
      </c>
      <c r="AA915" s="104" t="str">
        <f>IFERROR((VLOOKUP(D915,'Species Codes'!B:G,6,0)*Z915)/2000,"")</f>
        <v/>
      </c>
      <c r="AB915" s="104" t="e">
        <f>IF(Z915&gt;0,((IF(OR(D915="DF",D915="RA")=TRUE,EXP(VLOOKUP(D915,'Species Codes'!B:I,8,0)+VLOOKUP(D915,'Species Codes'!B:J,9,0)*(LN((E915*2.54)))),IF(OR(D915="PY",D915="RC",D915="WH",D915="NF")=TRUE,VLOOKUP(D915,'Species Codes'!B:I,8,0)+VLOOKUP(D915,'Species Codes'!B:J,9,0)*((E915*2.54)^2)*(I915*0.3048),IF(OR(D915="MD",D915="BM",D915="GA")=TRUE,((VLOOKUP(D915,'Species Codes'!B:I,8,0)*(((((E915*2.54)+VLOOKUP(D915,'Species Codes'!B:J,9,0))/VLOOKUP(D915,'Species Codes'!B:K,10,0))^VLOOKUP(D915,'Species Codes'!B:L,11,0))*((I915*0.3048)^VLOOKUP(D915,'Species Codes'!B:M,12,0))))-(VLOOKUP(D915,'Species Codes'!B:I,8,0)*((((E915*2.54)^VLOOKUP(D915,'Species Codes'!B:L,11,0))*((I915*0.3048)^VLOOKUP(D915,'Species Codes'!B:M,12,0))))))*35.3*VLOOKUP(D915,'Species Codes'!B:G,6,0)/2.2046,VLOOKUP(D915,'Species Codes'!B:I,8,0)+VLOOKUP(D915,'Species Codes'!B:J,9,0)*(((E915*2.54)/100)^2)*(I915*0.3048)))))*0.0011023),0)</f>
        <v>#N/A</v>
      </c>
      <c r="AC915" s="104" t="e">
        <f>IF(Z915&gt;0,((IF(OR(D915="RA",D915="OA",D915="OT",D915="UN",D915="PC"),EXP(VLOOKUP(D915,'Species Codes'!B:O,14,0)+VLOOKUP(D915,'Species Codes'!B:P,15,0)*LN((E915*2.54)))-EXP(VLOOKUP(D915,'Species Codes'!B:O,14,0)+VLOOKUP(D915,'Species Codes'!B:P,15,0)*LN((E915*2.54)))*(1/(VLOOKUP(D915,'Species Codes'!B:Q,16,0)+VLOOKUP(D915,'Species Codes'!B:R,17,0)*((E915*2.54)^VLOOKUP(D915,'Species Codes'!B:S,18,0)))),IF(OR(D915="BM",D915="MD",D915="OA"),EXP(VLOOKUP(D915,'Species Codes'!B:O,14,0)+VLOOKUP(D915,'Species Codes'!B:P,15,0)*LN((E915*2.54)))*(1-(1/(VLOOKUP(D915,'Species Codes'!B:Q,16,0)+VLOOKUP(D915,'Species Codes'!B:R,17,0)*((E915*2.54)^VLOOKUP(D915,'Species Codes'!B:S,18,0)))))/1000,IF(D915="DF",EXP(VLOOKUP(D915,'Species Codes'!B:O,14,0)+VLOOKUP(D915,'Species Codes'!B:P,15,0)*LN((E915*2.54))),VLOOKUP(D915,'Species Codes'!B:O,14,0)+VLOOKUP(D915,'Species Codes'!B:P,15,0)*(((E915*2.54)/100)^2)*(I915*0.3048)))))*0.0011023),0)</f>
        <v>#N/A</v>
      </c>
      <c r="AD915" s="104" t="e">
        <f t="shared" si="409"/>
        <v>#N/A</v>
      </c>
      <c r="AE915" s="104" t="e">
        <f t="shared" si="410"/>
        <v>#N/A</v>
      </c>
      <c r="AF915" s="104" t="e">
        <f>IF(AND(VLOOKUP($D915,Merchantability!$B:$C,2,0)="Yes",$E915&gt;=VLOOKUP($D915,Merchantability!$B:$D,3,0),$E915&lt;=VLOOKUP($D915,Merchantability!$B:$E,4,0)),AA915,0)</f>
        <v>#N/A</v>
      </c>
      <c r="AG915" s="104" t="e">
        <f>IF(AND(VLOOKUP($D915,Merchantability!$B:$C,2,0)="Yes",$E915&gt;=VLOOKUP($D915,Merchantability!$B:$D,3,0),$E915&lt;=VLOOKUP($D915,Merchantability!$B:$E,4,0)),AB915,0)</f>
        <v>#N/A</v>
      </c>
      <c r="AH915" s="104" t="e">
        <f>IF(AND(VLOOKUP($D915,Merchantability!$B:$C,2,0)="Yes",$E915&gt;=VLOOKUP($D915,Merchantability!$B:$D,3,0),$E915&lt;=VLOOKUP($D915,Merchantability!$B:$E,4,0)),AC915,0)</f>
        <v>#N/A</v>
      </c>
      <c r="AI915" s="104" t="e">
        <f t="shared" si="411"/>
        <v>#N/A</v>
      </c>
      <c r="AJ915" s="104" t="e">
        <f t="shared" si="412"/>
        <v>#VALUE!</v>
      </c>
      <c r="AK915" s="104" t="e">
        <f t="shared" si="413"/>
        <v>#N/A</v>
      </c>
      <c r="AL915" s="104" t="e">
        <f t="shared" si="414"/>
        <v>#N/A</v>
      </c>
      <c r="AM915" s="104" t="e">
        <f t="shared" si="415"/>
        <v>#N/A</v>
      </c>
      <c r="AN915" s="104" t="e">
        <f t="shared" si="426"/>
        <v>#N/A</v>
      </c>
      <c r="AO915" s="104" t="e">
        <f t="shared" si="427"/>
        <v>#N/A</v>
      </c>
      <c r="AP915" s="104" t="e">
        <f t="shared" si="428"/>
        <v>#N/A</v>
      </c>
      <c r="AQ915" s="104" t="e">
        <f t="shared" si="429"/>
        <v>#N/A</v>
      </c>
      <c r="AR915" s="105" t="str">
        <f t="shared" si="421"/>
        <v/>
      </c>
      <c r="AS915" s="105" t="str">
        <f t="shared" si="422"/>
        <v/>
      </c>
      <c r="AT915" s="108" t="str">
        <f t="shared" si="423"/>
        <v/>
      </c>
      <c r="AU915" s="108" t="str">
        <f t="shared" si="424"/>
        <v/>
      </c>
      <c r="AV915" s="107" t="str">
        <f>IF(ISNUMBER(O915),IF(VLOOKUP($A915,Stand!C:J,8,FALSE)="Short",AT915,AU915),"")</f>
        <v/>
      </c>
      <c r="AW915" s="109" t="str">
        <f t="shared" si="430"/>
        <v/>
      </c>
      <c r="AX915" s="109" t="str">
        <f t="shared" si="431"/>
        <v/>
      </c>
      <c r="AY915" s="112" t="str">
        <f>IF(ISNUMBER(O915),IF(AND(VLOOKUP($D915,Merchantability!$B:$C,2,0)="Yes",$E915&gt;=VLOOKUP($D915,Merchantability!$B:$D,3,0),$E915&lt;=VLOOKUP($D915,Merchantability!$B:$E,4,0)),(AV915*O915)*(1-$H915/100),""),"")</f>
        <v/>
      </c>
      <c r="AZ915" s="116"/>
      <c r="BA915" s="116"/>
      <c r="BB915" s="116"/>
      <c r="BE915" s="62"/>
      <c r="BF915" s="63"/>
    </row>
    <row r="916" spans="1:58" ht="12.75" customHeight="1" x14ac:dyDescent="0.25">
      <c r="A916" s="313"/>
      <c r="B916" s="328"/>
      <c r="C916" s="329"/>
      <c r="D916" s="328"/>
      <c r="E916" s="330"/>
      <c r="F916" s="328"/>
      <c r="G916" s="329"/>
      <c r="H916" s="329"/>
      <c r="I916" s="328"/>
      <c r="J916" s="383"/>
      <c r="K916" s="329"/>
      <c r="L916" s="329"/>
      <c r="M916" s="76"/>
      <c r="N916" s="103" t="str">
        <f>IF(A916="","",VLOOKUP(A916,Stand!C:K,9,0))</f>
        <v/>
      </c>
      <c r="O916" s="104" t="str">
        <f t="shared" si="416"/>
        <v/>
      </c>
      <c r="P916" s="105" t="str">
        <f t="shared" si="417"/>
        <v/>
      </c>
      <c r="Q916" s="105" t="str">
        <f t="shared" si="405"/>
        <v/>
      </c>
      <c r="R916" s="103" t="str">
        <f t="shared" si="418"/>
        <v/>
      </c>
      <c r="S916" s="103" t="str">
        <f t="shared" si="419"/>
        <v/>
      </c>
      <c r="T916" s="106" t="str">
        <f t="shared" si="406"/>
        <v/>
      </c>
      <c r="U916" s="106" t="str">
        <f t="shared" si="407"/>
        <v/>
      </c>
      <c r="V916" s="106" t="str">
        <f t="shared" si="408"/>
        <v/>
      </c>
      <c r="W916" s="105" t="str">
        <f t="shared" si="420"/>
        <v/>
      </c>
      <c r="X916" s="104" t="str">
        <f t="shared" si="425"/>
        <v/>
      </c>
      <c r="Y916" s="104" t="str">
        <f t="array" ref="Y916">IFERROR(IF(ISNUMBER(O916),IF(COUNT(IF(A916=$A$2:$A$2427,IF(D916=$D$2:$D$2427,IF($X$2:$X$2427&gt;0,1))))&gt;0,SUM(IF(A916=$A$2:$A$2427,IF(D916=$D$2:$D$2427,$X$2:$X$2427)))/COUNT(IF(A916=$A$2:$A$2427,IF(D916=$D$2:$D$2427,IF(ISNUMBER($X$2:$X$2427),1)))),0),""),0)</f>
        <v/>
      </c>
      <c r="Z916" s="104" t="str">
        <f>IF(ISNUMBER(O916),IF(I916&gt;0,(10^(VLOOKUP(D916,'Species Codes'!B:C,2,0)+VLOOKUP(D916,'Species Codes'!B:D,3,0)*LOG(E916)+VLOOKUP(D916,'Species Codes'!B:E,4,0)*LOG(I916))),0),"")</f>
        <v/>
      </c>
      <c r="AA916" s="104" t="str">
        <f>IFERROR((VLOOKUP(D916,'Species Codes'!B:G,6,0)*Z916)/2000,"")</f>
        <v/>
      </c>
      <c r="AB916" s="104" t="e">
        <f>IF(Z916&gt;0,((IF(OR(D916="DF",D916="RA")=TRUE,EXP(VLOOKUP(D916,'Species Codes'!B:I,8,0)+VLOOKUP(D916,'Species Codes'!B:J,9,0)*(LN((E916*2.54)))),IF(OR(D916="PY",D916="RC",D916="WH",D916="NF")=TRUE,VLOOKUP(D916,'Species Codes'!B:I,8,0)+VLOOKUP(D916,'Species Codes'!B:J,9,0)*((E916*2.54)^2)*(I916*0.3048),IF(OR(D916="MD",D916="BM",D916="GA")=TRUE,((VLOOKUP(D916,'Species Codes'!B:I,8,0)*(((((E916*2.54)+VLOOKUP(D916,'Species Codes'!B:J,9,0))/VLOOKUP(D916,'Species Codes'!B:K,10,0))^VLOOKUP(D916,'Species Codes'!B:L,11,0))*((I916*0.3048)^VLOOKUP(D916,'Species Codes'!B:M,12,0))))-(VLOOKUP(D916,'Species Codes'!B:I,8,0)*((((E916*2.54)^VLOOKUP(D916,'Species Codes'!B:L,11,0))*((I916*0.3048)^VLOOKUP(D916,'Species Codes'!B:M,12,0))))))*35.3*VLOOKUP(D916,'Species Codes'!B:G,6,0)/2.2046,VLOOKUP(D916,'Species Codes'!B:I,8,0)+VLOOKUP(D916,'Species Codes'!B:J,9,0)*(((E916*2.54)/100)^2)*(I916*0.3048)))))*0.0011023),0)</f>
        <v>#N/A</v>
      </c>
      <c r="AC916" s="104" t="e">
        <f>IF(Z916&gt;0,((IF(OR(D916="RA",D916="OA",D916="OT",D916="UN",D916="PC"),EXP(VLOOKUP(D916,'Species Codes'!B:O,14,0)+VLOOKUP(D916,'Species Codes'!B:P,15,0)*LN((E916*2.54)))-EXP(VLOOKUP(D916,'Species Codes'!B:O,14,0)+VLOOKUP(D916,'Species Codes'!B:P,15,0)*LN((E916*2.54)))*(1/(VLOOKUP(D916,'Species Codes'!B:Q,16,0)+VLOOKUP(D916,'Species Codes'!B:R,17,0)*((E916*2.54)^VLOOKUP(D916,'Species Codes'!B:S,18,0)))),IF(OR(D916="BM",D916="MD",D916="OA"),EXP(VLOOKUP(D916,'Species Codes'!B:O,14,0)+VLOOKUP(D916,'Species Codes'!B:P,15,0)*LN((E916*2.54)))*(1-(1/(VLOOKUP(D916,'Species Codes'!B:Q,16,0)+VLOOKUP(D916,'Species Codes'!B:R,17,0)*((E916*2.54)^VLOOKUP(D916,'Species Codes'!B:S,18,0)))))/1000,IF(D916="DF",EXP(VLOOKUP(D916,'Species Codes'!B:O,14,0)+VLOOKUP(D916,'Species Codes'!B:P,15,0)*LN((E916*2.54))),VLOOKUP(D916,'Species Codes'!B:O,14,0)+VLOOKUP(D916,'Species Codes'!B:P,15,0)*(((E916*2.54)/100)^2)*(I916*0.3048)))))*0.0011023),0)</f>
        <v>#N/A</v>
      </c>
      <c r="AD916" s="104" t="e">
        <f t="shared" si="409"/>
        <v>#N/A</v>
      </c>
      <c r="AE916" s="104" t="e">
        <f t="shared" si="410"/>
        <v>#N/A</v>
      </c>
      <c r="AF916" s="104" t="e">
        <f>IF(AND(VLOOKUP($D916,Merchantability!$B:$C,2,0)="Yes",$E916&gt;=VLOOKUP($D916,Merchantability!$B:$D,3,0),$E916&lt;=VLOOKUP($D916,Merchantability!$B:$E,4,0)),AA916,0)</f>
        <v>#N/A</v>
      </c>
      <c r="AG916" s="104" t="e">
        <f>IF(AND(VLOOKUP($D916,Merchantability!$B:$C,2,0)="Yes",$E916&gt;=VLOOKUP($D916,Merchantability!$B:$D,3,0),$E916&lt;=VLOOKUP($D916,Merchantability!$B:$E,4,0)),AB916,0)</f>
        <v>#N/A</v>
      </c>
      <c r="AH916" s="104" t="e">
        <f>IF(AND(VLOOKUP($D916,Merchantability!$B:$C,2,0)="Yes",$E916&gt;=VLOOKUP($D916,Merchantability!$B:$D,3,0),$E916&lt;=VLOOKUP($D916,Merchantability!$B:$E,4,0)),AC916,0)</f>
        <v>#N/A</v>
      </c>
      <c r="AI916" s="104" t="e">
        <f t="shared" si="411"/>
        <v>#N/A</v>
      </c>
      <c r="AJ916" s="104" t="e">
        <f t="shared" si="412"/>
        <v>#VALUE!</v>
      </c>
      <c r="AK916" s="104" t="e">
        <f t="shared" si="413"/>
        <v>#N/A</v>
      </c>
      <c r="AL916" s="104" t="e">
        <f t="shared" si="414"/>
        <v>#N/A</v>
      </c>
      <c r="AM916" s="104" t="e">
        <f t="shared" si="415"/>
        <v>#N/A</v>
      </c>
      <c r="AN916" s="104" t="e">
        <f t="shared" si="426"/>
        <v>#N/A</v>
      </c>
      <c r="AO916" s="104" t="e">
        <f t="shared" si="427"/>
        <v>#N/A</v>
      </c>
      <c r="AP916" s="104" t="e">
        <f t="shared" si="428"/>
        <v>#N/A</v>
      </c>
      <c r="AQ916" s="104" t="e">
        <f t="shared" si="429"/>
        <v>#N/A</v>
      </c>
      <c r="AR916" s="105" t="str">
        <f t="shared" si="421"/>
        <v/>
      </c>
      <c r="AS916" s="105" t="str">
        <f t="shared" si="422"/>
        <v/>
      </c>
      <c r="AT916" s="108" t="str">
        <f t="shared" si="423"/>
        <v/>
      </c>
      <c r="AU916" s="108" t="str">
        <f t="shared" si="424"/>
        <v/>
      </c>
      <c r="AV916" s="107" t="str">
        <f>IF(ISNUMBER(O916),IF(VLOOKUP($A916,Stand!C:J,8,FALSE)="Short",AT916,AU916),"")</f>
        <v/>
      </c>
      <c r="AW916" s="109" t="str">
        <f t="shared" si="430"/>
        <v/>
      </c>
      <c r="AX916" s="109" t="str">
        <f t="shared" si="431"/>
        <v/>
      </c>
      <c r="AY916" s="112" t="str">
        <f>IF(ISNUMBER(O916),IF(AND(VLOOKUP($D916,Merchantability!$B:$C,2,0)="Yes",$E916&gt;=VLOOKUP($D916,Merchantability!$B:$D,3,0),$E916&lt;=VLOOKUP($D916,Merchantability!$B:$E,4,0)),(AV916*O916)*(1-$H916/100),""),"")</f>
        <v/>
      </c>
      <c r="AZ916" s="116"/>
      <c r="BA916" s="116"/>
      <c r="BB916" s="116"/>
      <c r="BE916" s="62"/>
      <c r="BF916" s="63"/>
    </row>
    <row r="917" spans="1:58" ht="12.75" customHeight="1" x14ac:dyDescent="0.25">
      <c r="A917" s="313"/>
      <c r="B917" s="328"/>
      <c r="C917" s="329"/>
      <c r="D917" s="328"/>
      <c r="E917" s="330"/>
      <c r="F917" s="328"/>
      <c r="G917" s="329"/>
      <c r="H917" s="329"/>
      <c r="I917" s="328"/>
      <c r="J917" s="383"/>
      <c r="K917" s="329"/>
      <c r="L917" s="329"/>
      <c r="M917" s="76"/>
      <c r="N917" s="103" t="str">
        <f>IF(A917="","",VLOOKUP(A917,Stand!C:K,9,0))</f>
        <v/>
      </c>
      <c r="O917" s="104" t="str">
        <f t="shared" si="416"/>
        <v/>
      </c>
      <c r="P917" s="105" t="str">
        <f t="shared" si="417"/>
        <v/>
      </c>
      <c r="Q917" s="105" t="str">
        <f t="shared" si="405"/>
        <v/>
      </c>
      <c r="R917" s="103" t="str">
        <f t="shared" si="418"/>
        <v/>
      </c>
      <c r="S917" s="103" t="str">
        <f t="shared" si="419"/>
        <v/>
      </c>
      <c r="T917" s="106" t="str">
        <f t="shared" si="406"/>
        <v/>
      </c>
      <c r="U917" s="106" t="str">
        <f t="shared" si="407"/>
        <v/>
      </c>
      <c r="V917" s="106" t="str">
        <f t="shared" si="408"/>
        <v/>
      </c>
      <c r="W917" s="105" t="str">
        <f t="shared" si="420"/>
        <v/>
      </c>
      <c r="X917" s="104" t="str">
        <f t="shared" si="425"/>
        <v/>
      </c>
      <c r="Y917" s="104" t="str">
        <f t="array" ref="Y917">IFERROR(IF(ISNUMBER(O917),IF(COUNT(IF(A917=$A$2:$A$2427,IF(D917=$D$2:$D$2427,IF($X$2:$X$2427&gt;0,1))))&gt;0,SUM(IF(A917=$A$2:$A$2427,IF(D917=$D$2:$D$2427,$X$2:$X$2427)))/COUNT(IF(A917=$A$2:$A$2427,IF(D917=$D$2:$D$2427,IF(ISNUMBER($X$2:$X$2427),1)))),0),""),0)</f>
        <v/>
      </c>
      <c r="Z917" s="104" t="str">
        <f>IF(ISNUMBER(O917),IF(I917&gt;0,(10^(VLOOKUP(D917,'Species Codes'!B:C,2,0)+VLOOKUP(D917,'Species Codes'!B:D,3,0)*LOG(E917)+VLOOKUP(D917,'Species Codes'!B:E,4,0)*LOG(I917))),0),"")</f>
        <v/>
      </c>
      <c r="AA917" s="104" t="str">
        <f>IFERROR((VLOOKUP(D917,'Species Codes'!B:G,6,0)*Z917)/2000,"")</f>
        <v/>
      </c>
      <c r="AB917" s="104" t="e">
        <f>IF(Z917&gt;0,((IF(OR(D917="DF",D917="RA")=TRUE,EXP(VLOOKUP(D917,'Species Codes'!B:I,8,0)+VLOOKUP(D917,'Species Codes'!B:J,9,0)*(LN((E917*2.54)))),IF(OR(D917="PY",D917="RC",D917="WH",D917="NF")=TRUE,VLOOKUP(D917,'Species Codes'!B:I,8,0)+VLOOKUP(D917,'Species Codes'!B:J,9,0)*((E917*2.54)^2)*(I917*0.3048),IF(OR(D917="MD",D917="BM",D917="GA")=TRUE,((VLOOKUP(D917,'Species Codes'!B:I,8,0)*(((((E917*2.54)+VLOOKUP(D917,'Species Codes'!B:J,9,0))/VLOOKUP(D917,'Species Codes'!B:K,10,0))^VLOOKUP(D917,'Species Codes'!B:L,11,0))*((I917*0.3048)^VLOOKUP(D917,'Species Codes'!B:M,12,0))))-(VLOOKUP(D917,'Species Codes'!B:I,8,0)*((((E917*2.54)^VLOOKUP(D917,'Species Codes'!B:L,11,0))*((I917*0.3048)^VLOOKUP(D917,'Species Codes'!B:M,12,0))))))*35.3*VLOOKUP(D917,'Species Codes'!B:G,6,0)/2.2046,VLOOKUP(D917,'Species Codes'!B:I,8,0)+VLOOKUP(D917,'Species Codes'!B:J,9,0)*(((E917*2.54)/100)^2)*(I917*0.3048)))))*0.0011023),0)</f>
        <v>#N/A</v>
      </c>
      <c r="AC917" s="104" t="e">
        <f>IF(Z917&gt;0,((IF(OR(D917="RA",D917="OA",D917="OT",D917="UN",D917="PC"),EXP(VLOOKUP(D917,'Species Codes'!B:O,14,0)+VLOOKUP(D917,'Species Codes'!B:P,15,0)*LN((E917*2.54)))-EXP(VLOOKUP(D917,'Species Codes'!B:O,14,0)+VLOOKUP(D917,'Species Codes'!B:P,15,0)*LN((E917*2.54)))*(1/(VLOOKUP(D917,'Species Codes'!B:Q,16,0)+VLOOKUP(D917,'Species Codes'!B:R,17,0)*((E917*2.54)^VLOOKUP(D917,'Species Codes'!B:S,18,0)))),IF(OR(D917="BM",D917="MD",D917="OA"),EXP(VLOOKUP(D917,'Species Codes'!B:O,14,0)+VLOOKUP(D917,'Species Codes'!B:P,15,0)*LN((E917*2.54)))*(1-(1/(VLOOKUP(D917,'Species Codes'!B:Q,16,0)+VLOOKUP(D917,'Species Codes'!B:R,17,0)*((E917*2.54)^VLOOKUP(D917,'Species Codes'!B:S,18,0)))))/1000,IF(D917="DF",EXP(VLOOKUP(D917,'Species Codes'!B:O,14,0)+VLOOKUP(D917,'Species Codes'!B:P,15,0)*LN((E917*2.54))),VLOOKUP(D917,'Species Codes'!B:O,14,0)+VLOOKUP(D917,'Species Codes'!B:P,15,0)*(((E917*2.54)/100)^2)*(I917*0.3048)))))*0.0011023),0)</f>
        <v>#N/A</v>
      </c>
      <c r="AD917" s="104" t="e">
        <f t="shared" si="409"/>
        <v>#N/A</v>
      </c>
      <c r="AE917" s="104" t="e">
        <f t="shared" si="410"/>
        <v>#N/A</v>
      </c>
      <c r="AF917" s="104" t="e">
        <f>IF(AND(VLOOKUP($D917,Merchantability!$B:$C,2,0)="Yes",$E917&gt;=VLOOKUP($D917,Merchantability!$B:$D,3,0),$E917&lt;=VLOOKUP($D917,Merchantability!$B:$E,4,0)),AA917,0)</f>
        <v>#N/A</v>
      </c>
      <c r="AG917" s="104" t="e">
        <f>IF(AND(VLOOKUP($D917,Merchantability!$B:$C,2,0)="Yes",$E917&gt;=VLOOKUP($D917,Merchantability!$B:$D,3,0),$E917&lt;=VLOOKUP($D917,Merchantability!$B:$E,4,0)),AB917,0)</f>
        <v>#N/A</v>
      </c>
      <c r="AH917" s="104" t="e">
        <f>IF(AND(VLOOKUP($D917,Merchantability!$B:$C,2,0)="Yes",$E917&gt;=VLOOKUP($D917,Merchantability!$B:$D,3,0),$E917&lt;=VLOOKUP($D917,Merchantability!$B:$E,4,0)),AC917,0)</f>
        <v>#N/A</v>
      </c>
      <c r="AI917" s="104" t="e">
        <f t="shared" si="411"/>
        <v>#N/A</v>
      </c>
      <c r="AJ917" s="104" t="e">
        <f t="shared" si="412"/>
        <v>#VALUE!</v>
      </c>
      <c r="AK917" s="104" t="e">
        <f t="shared" si="413"/>
        <v>#N/A</v>
      </c>
      <c r="AL917" s="104" t="e">
        <f t="shared" si="414"/>
        <v>#N/A</v>
      </c>
      <c r="AM917" s="104" t="e">
        <f t="shared" si="415"/>
        <v>#N/A</v>
      </c>
      <c r="AN917" s="104" t="e">
        <f t="shared" si="426"/>
        <v>#N/A</v>
      </c>
      <c r="AO917" s="104" t="e">
        <f t="shared" si="427"/>
        <v>#N/A</v>
      </c>
      <c r="AP917" s="104" t="e">
        <f t="shared" si="428"/>
        <v>#N/A</v>
      </c>
      <c r="AQ917" s="104" t="e">
        <f t="shared" si="429"/>
        <v>#N/A</v>
      </c>
      <c r="AR917" s="105" t="str">
        <f t="shared" si="421"/>
        <v/>
      </c>
      <c r="AS917" s="105" t="str">
        <f t="shared" si="422"/>
        <v/>
      </c>
      <c r="AT917" s="108" t="str">
        <f t="shared" si="423"/>
        <v/>
      </c>
      <c r="AU917" s="108" t="str">
        <f t="shared" si="424"/>
        <v/>
      </c>
      <c r="AV917" s="107" t="str">
        <f>IF(ISNUMBER(O917),IF(VLOOKUP($A917,Stand!C:J,8,FALSE)="Short",AT917,AU917),"")</f>
        <v/>
      </c>
      <c r="AW917" s="109" t="str">
        <f t="shared" si="430"/>
        <v/>
      </c>
      <c r="AX917" s="109" t="str">
        <f t="shared" si="431"/>
        <v/>
      </c>
      <c r="AY917" s="112" t="str">
        <f>IF(ISNUMBER(O917),IF(AND(VLOOKUP($D917,Merchantability!$B:$C,2,0)="Yes",$E917&gt;=VLOOKUP($D917,Merchantability!$B:$D,3,0),$E917&lt;=VLOOKUP($D917,Merchantability!$B:$E,4,0)),(AV917*O917)*(1-$H917/100),""),"")</f>
        <v/>
      </c>
      <c r="AZ917" s="116"/>
      <c r="BA917" s="116"/>
      <c r="BB917" s="116"/>
      <c r="BE917" s="62"/>
      <c r="BF917" s="63"/>
    </row>
    <row r="918" spans="1:58" ht="12.75" customHeight="1" x14ac:dyDescent="0.25">
      <c r="A918" s="313"/>
      <c r="B918" s="328"/>
      <c r="C918" s="329"/>
      <c r="D918" s="328"/>
      <c r="E918" s="330"/>
      <c r="F918" s="328"/>
      <c r="G918" s="329"/>
      <c r="H918" s="329"/>
      <c r="I918" s="328"/>
      <c r="J918" s="383"/>
      <c r="K918" s="329"/>
      <c r="L918" s="329"/>
      <c r="M918" s="76"/>
      <c r="N918" s="103" t="str">
        <f>IF(A918="","",VLOOKUP(A918,Stand!C:K,9,0))</f>
        <v/>
      </c>
      <c r="O918" s="104" t="str">
        <f t="shared" si="416"/>
        <v/>
      </c>
      <c r="P918" s="105" t="str">
        <f t="shared" si="417"/>
        <v/>
      </c>
      <c r="Q918" s="105" t="str">
        <f t="shared" si="405"/>
        <v/>
      </c>
      <c r="R918" s="103" t="str">
        <f t="shared" si="418"/>
        <v/>
      </c>
      <c r="S918" s="103" t="str">
        <f t="shared" si="419"/>
        <v/>
      </c>
      <c r="T918" s="106" t="str">
        <f t="shared" si="406"/>
        <v/>
      </c>
      <c r="U918" s="106" t="str">
        <f t="shared" si="407"/>
        <v/>
      </c>
      <c r="V918" s="106" t="str">
        <f t="shared" si="408"/>
        <v/>
      </c>
      <c r="W918" s="105" t="str">
        <f t="shared" si="420"/>
        <v/>
      </c>
      <c r="X918" s="104" t="str">
        <f t="shared" si="425"/>
        <v/>
      </c>
      <c r="Y918" s="104" t="str">
        <f t="array" ref="Y918">IFERROR(IF(ISNUMBER(O918),IF(COUNT(IF(A918=$A$2:$A$2427,IF(D918=$D$2:$D$2427,IF($X$2:$X$2427&gt;0,1))))&gt;0,SUM(IF(A918=$A$2:$A$2427,IF(D918=$D$2:$D$2427,$X$2:$X$2427)))/COUNT(IF(A918=$A$2:$A$2427,IF(D918=$D$2:$D$2427,IF(ISNUMBER($X$2:$X$2427),1)))),0),""),0)</f>
        <v/>
      </c>
      <c r="Z918" s="104" t="str">
        <f>IF(ISNUMBER(O918),IF(I918&gt;0,(10^(VLOOKUP(D918,'Species Codes'!B:C,2,0)+VLOOKUP(D918,'Species Codes'!B:D,3,0)*LOG(E918)+VLOOKUP(D918,'Species Codes'!B:E,4,0)*LOG(I918))),0),"")</f>
        <v/>
      </c>
      <c r="AA918" s="104" t="str">
        <f>IFERROR((VLOOKUP(D918,'Species Codes'!B:G,6,0)*Z918)/2000,"")</f>
        <v/>
      </c>
      <c r="AB918" s="104" t="e">
        <f>IF(Z918&gt;0,((IF(OR(D918="DF",D918="RA")=TRUE,EXP(VLOOKUP(D918,'Species Codes'!B:I,8,0)+VLOOKUP(D918,'Species Codes'!B:J,9,0)*(LN((E918*2.54)))),IF(OR(D918="PY",D918="RC",D918="WH",D918="NF")=TRUE,VLOOKUP(D918,'Species Codes'!B:I,8,0)+VLOOKUP(D918,'Species Codes'!B:J,9,0)*((E918*2.54)^2)*(I918*0.3048),IF(OR(D918="MD",D918="BM",D918="GA")=TRUE,((VLOOKUP(D918,'Species Codes'!B:I,8,0)*(((((E918*2.54)+VLOOKUP(D918,'Species Codes'!B:J,9,0))/VLOOKUP(D918,'Species Codes'!B:K,10,0))^VLOOKUP(D918,'Species Codes'!B:L,11,0))*((I918*0.3048)^VLOOKUP(D918,'Species Codes'!B:M,12,0))))-(VLOOKUP(D918,'Species Codes'!B:I,8,0)*((((E918*2.54)^VLOOKUP(D918,'Species Codes'!B:L,11,0))*((I918*0.3048)^VLOOKUP(D918,'Species Codes'!B:M,12,0))))))*35.3*VLOOKUP(D918,'Species Codes'!B:G,6,0)/2.2046,VLOOKUP(D918,'Species Codes'!B:I,8,0)+VLOOKUP(D918,'Species Codes'!B:J,9,0)*(((E918*2.54)/100)^2)*(I918*0.3048)))))*0.0011023),0)</f>
        <v>#N/A</v>
      </c>
      <c r="AC918" s="104" t="e">
        <f>IF(Z918&gt;0,((IF(OR(D918="RA",D918="OA",D918="OT",D918="UN",D918="PC"),EXP(VLOOKUP(D918,'Species Codes'!B:O,14,0)+VLOOKUP(D918,'Species Codes'!B:P,15,0)*LN((E918*2.54)))-EXP(VLOOKUP(D918,'Species Codes'!B:O,14,0)+VLOOKUP(D918,'Species Codes'!B:P,15,0)*LN((E918*2.54)))*(1/(VLOOKUP(D918,'Species Codes'!B:Q,16,0)+VLOOKUP(D918,'Species Codes'!B:R,17,0)*((E918*2.54)^VLOOKUP(D918,'Species Codes'!B:S,18,0)))),IF(OR(D918="BM",D918="MD",D918="OA"),EXP(VLOOKUP(D918,'Species Codes'!B:O,14,0)+VLOOKUP(D918,'Species Codes'!B:P,15,0)*LN((E918*2.54)))*(1-(1/(VLOOKUP(D918,'Species Codes'!B:Q,16,0)+VLOOKUP(D918,'Species Codes'!B:R,17,0)*((E918*2.54)^VLOOKUP(D918,'Species Codes'!B:S,18,0)))))/1000,IF(D918="DF",EXP(VLOOKUP(D918,'Species Codes'!B:O,14,0)+VLOOKUP(D918,'Species Codes'!B:P,15,0)*LN((E918*2.54))),VLOOKUP(D918,'Species Codes'!B:O,14,0)+VLOOKUP(D918,'Species Codes'!B:P,15,0)*(((E918*2.54)/100)^2)*(I918*0.3048)))))*0.0011023),0)</f>
        <v>#N/A</v>
      </c>
      <c r="AD918" s="104" t="e">
        <f t="shared" si="409"/>
        <v>#N/A</v>
      </c>
      <c r="AE918" s="104" t="e">
        <f t="shared" si="410"/>
        <v>#N/A</v>
      </c>
      <c r="AF918" s="104" t="e">
        <f>IF(AND(VLOOKUP($D918,Merchantability!$B:$C,2,0)="Yes",$E918&gt;=VLOOKUP($D918,Merchantability!$B:$D,3,0),$E918&lt;=VLOOKUP($D918,Merchantability!$B:$E,4,0)),AA918,0)</f>
        <v>#N/A</v>
      </c>
      <c r="AG918" s="104" t="e">
        <f>IF(AND(VLOOKUP($D918,Merchantability!$B:$C,2,0)="Yes",$E918&gt;=VLOOKUP($D918,Merchantability!$B:$D,3,0),$E918&lt;=VLOOKUP($D918,Merchantability!$B:$E,4,0)),AB918,0)</f>
        <v>#N/A</v>
      </c>
      <c r="AH918" s="104" t="e">
        <f>IF(AND(VLOOKUP($D918,Merchantability!$B:$C,2,0)="Yes",$E918&gt;=VLOOKUP($D918,Merchantability!$B:$D,3,0),$E918&lt;=VLOOKUP($D918,Merchantability!$B:$E,4,0)),AC918,0)</f>
        <v>#N/A</v>
      </c>
      <c r="AI918" s="104" t="e">
        <f t="shared" si="411"/>
        <v>#N/A</v>
      </c>
      <c r="AJ918" s="104" t="e">
        <f t="shared" si="412"/>
        <v>#VALUE!</v>
      </c>
      <c r="AK918" s="104" t="e">
        <f t="shared" si="413"/>
        <v>#N/A</v>
      </c>
      <c r="AL918" s="104" t="e">
        <f t="shared" si="414"/>
        <v>#N/A</v>
      </c>
      <c r="AM918" s="104" t="e">
        <f t="shared" si="415"/>
        <v>#N/A</v>
      </c>
      <c r="AN918" s="104" t="e">
        <f t="shared" si="426"/>
        <v>#N/A</v>
      </c>
      <c r="AO918" s="104" t="e">
        <f t="shared" si="427"/>
        <v>#N/A</v>
      </c>
      <c r="AP918" s="104" t="e">
        <f t="shared" si="428"/>
        <v>#N/A</v>
      </c>
      <c r="AQ918" s="104" t="e">
        <f t="shared" si="429"/>
        <v>#N/A</v>
      </c>
      <c r="AR918" s="105" t="str">
        <f t="shared" si="421"/>
        <v/>
      </c>
      <c r="AS918" s="105" t="str">
        <f t="shared" si="422"/>
        <v/>
      </c>
      <c r="AT918" s="108" t="str">
        <f t="shared" si="423"/>
        <v/>
      </c>
      <c r="AU918" s="108" t="str">
        <f t="shared" si="424"/>
        <v/>
      </c>
      <c r="AV918" s="107" t="str">
        <f>IF(ISNUMBER(O918),IF(VLOOKUP($A918,Stand!C:J,8,FALSE)="Short",AT918,AU918),"")</f>
        <v/>
      </c>
      <c r="AW918" s="109" t="str">
        <f t="shared" si="430"/>
        <v/>
      </c>
      <c r="AX918" s="109" t="str">
        <f t="shared" si="431"/>
        <v/>
      </c>
      <c r="AY918" s="112" t="str">
        <f>IF(ISNUMBER(O918),IF(AND(VLOOKUP($D918,Merchantability!$B:$C,2,0)="Yes",$E918&gt;=VLOOKUP($D918,Merchantability!$B:$D,3,0),$E918&lt;=VLOOKUP($D918,Merchantability!$B:$E,4,0)),(AV918*O918)*(1-$H918/100),""),"")</f>
        <v/>
      </c>
      <c r="AZ918" s="116"/>
      <c r="BA918" s="116"/>
      <c r="BB918" s="116"/>
      <c r="BE918" s="62"/>
      <c r="BF918" s="63"/>
    </row>
    <row r="919" spans="1:58" ht="12.75" customHeight="1" x14ac:dyDescent="0.25">
      <c r="A919" s="313"/>
      <c r="B919" s="328"/>
      <c r="C919" s="329"/>
      <c r="D919" s="328"/>
      <c r="E919" s="330"/>
      <c r="F919" s="328"/>
      <c r="G919" s="329"/>
      <c r="H919" s="329"/>
      <c r="I919" s="328"/>
      <c r="J919" s="383"/>
      <c r="K919" s="329"/>
      <c r="L919" s="329"/>
      <c r="M919" s="76"/>
      <c r="N919" s="103" t="str">
        <f>IF(A919="","",VLOOKUP(A919,Stand!C:K,9,0))</f>
        <v/>
      </c>
      <c r="O919" s="104" t="str">
        <f t="shared" si="416"/>
        <v/>
      </c>
      <c r="P919" s="105" t="str">
        <f t="shared" si="417"/>
        <v/>
      </c>
      <c r="Q919" s="105" t="str">
        <f t="shared" si="405"/>
        <v/>
      </c>
      <c r="R919" s="103" t="str">
        <f t="shared" si="418"/>
        <v/>
      </c>
      <c r="S919" s="103" t="str">
        <f t="shared" si="419"/>
        <v/>
      </c>
      <c r="T919" s="106" t="str">
        <f t="shared" si="406"/>
        <v/>
      </c>
      <c r="U919" s="106" t="str">
        <f t="shared" si="407"/>
        <v/>
      </c>
      <c r="V919" s="106" t="str">
        <f t="shared" si="408"/>
        <v/>
      </c>
      <c r="W919" s="105" t="str">
        <f t="shared" si="420"/>
        <v/>
      </c>
      <c r="X919" s="104" t="str">
        <f t="shared" si="425"/>
        <v/>
      </c>
      <c r="Y919" s="104" t="str">
        <f t="array" ref="Y919">IFERROR(IF(ISNUMBER(O919),IF(COUNT(IF(A919=$A$2:$A$2427,IF(D919=$D$2:$D$2427,IF($X$2:$X$2427&gt;0,1))))&gt;0,SUM(IF(A919=$A$2:$A$2427,IF(D919=$D$2:$D$2427,$X$2:$X$2427)))/COUNT(IF(A919=$A$2:$A$2427,IF(D919=$D$2:$D$2427,IF(ISNUMBER($X$2:$X$2427),1)))),0),""),0)</f>
        <v/>
      </c>
      <c r="Z919" s="104" t="str">
        <f>IF(ISNUMBER(O919),IF(I919&gt;0,(10^(VLOOKUP(D919,'Species Codes'!B:C,2,0)+VLOOKUP(D919,'Species Codes'!B:D,3,0)*LOG(E919)+VLOOKUP(D919,'Species Codes'!B:E,4,0)*LOG(I919))),0),"")</f>
        <v/>
      </c>
      <c r="AA919" s="104" t="str">
        <f>IFERROR((VLOOKUP(D919,'Species Codes'!B:G,6,0)*Z919)/2000,"")</f>
        <v/>
      </c>
      <c r="AB919" s="104" t="e">
        <f>IF(Z919&gt;0,((IF(OR(D919="DF",D919="RA")=TRUE,EXP(VLOOKUP(D919,'Species Codes'!B:I,8,0)+VLOOKUP(D919,'Species Codes'!B:J,9,0)*(LN((E919*2.54)))),IF(OR(D919="PY",D919="RC",D919="WH",D919="NF")=TRUE,VLOOKUP(D919,'Species Codes'!B:I,8,0)+VLOOKUP(D919,'Species Codes'!B:J,9,0)*((E919*2.54)^2)*(I919*0.3048),IF(OR(D919="MD",D919="BM",D919="GA")=TRUE,((VLOOKUP(D919,'Species Codes'!B:I,8,0)*(((((E919*2.54)+VLOOKUP(D919,'Species Codes'!B:J,9,0))/VLOOKUP(D919,'Species Codes'!B:K,10,0))^VLOOKUP(D919,'Species Codes'!B:L,11,0))*((I919*0.3048)^VLOOKUP(D919,'Species Codes'!B:M,12,0))))-(VLOOKUP(D919,'Species Codes'!B:I,8,0)*((((E919*2.54)^VLOOKUP(D919,'Species Codes'!B:L,11,0))*((I919*0.3048)^VLOOKUP(D919,'Species Codes'!B:M,12,0))))))*35.3*VLOOKUP(D919,'Species Codes'!B:G,6,0)/2.2046,VLOOKUP(D919,'Species Codes'!B:I,8,0)+VLOOKUP(D919,'Species Codes'!B:J,9,0)*(((E919*2.54)/100)^2)*(I919*0.3048)))))*0.0011023),0)</f>
        <v>#N/A</v>
      </c>
      <c r="AC919" s="104" t="e">
        <f>IF(Z919&gt;0,((IF(OR(D919="RA",D919="OA",D919="OT",D919="UN",D919="PC"),EXP(VLOOKUP(D919,'Species Codes'!B:O,14,0)+VLOOKUP(D919,'Species Codes'!B:P,15,0)*LN((E919*2.54)))-EXP(VLOOKUP(D919,'Species Codes'!B:O,14,0)+VLOOKUP(D919,'Species Codes'!B:P,15,0)*LN((E919*2.54)))*(1/(VLOOKUP(D919,'Species Codes'!B:Q,16,0)+VLOOKUP(D919,'Species Codes'!B:R,17,0)*((E919*2.54)^VLOOKUP(D919,'Species Codes'!B:S,18,0)))),IF(OR(D919="BM",D919="MD",D919="OA"),EXP(VLOOKUP(D919,'Species Codes'!B:O,14,0)+VLOOKUP(D919,'Species Codes'!B:P,15,0)*LN((E919*2.54)))*(1-(1/(VLOOKUP(D919,'Species Codes'!B:Q,16,0)+VLOOKUP(D919,'Species Codes'!B:R,17,0)*((E919*2.54)^VLOOKUP(D919,'Species Codes'!B:S,18,0)))))/1000,IF(D919="DF",EXP(VLOOKUP(D919,'Species Codes'!B:O,14,0)+VLOOKUP(D919,'Species Codes'!B:P,15,0)*LN((E919*2.54))),VLOOKUP(D919,'Species Codes'!B:O,14,0)+VLOOKUP(D919,'Species Codes'!B:P,15,0)*(((E919*2.54)/100)^2)*(I919*0.3048)))))*0.0011023),0)</f>
        <v>#N/A</v>
      </c>
      <c r="AD919" s="104" t="e">
        <f t="shared" si="409"/>
        <v>#N/A</v>
      </c>
      <c r="AE919" s="104" t="e">
        <f t="shared" si="410"/>
        <v>#N/A</v>
      </c>
      <c r="AF919" s="104" t="e">
        <f>IF(AND(VLOOKUP($D919,Merchantability!$B:$C,2,0)="Yes",$E919&gt;=VLOOKUP($D919,Merchantability!$B:$D,3,0),$E919&lt;=VLOOKUP($D919,Merchantability!$B:$E,4,0)),AA919,0)</f>
        <v>#N/A</v>
      </c>
      <c r="AG919" s="104" t="e">
        <f>IF(AND(VLOOKUP($D919,Merchantability!$B:$C,2,0)="Yes",$E919&gt;=VLOOKUP($D919,Merchantability!$B:$D,3,0),$E919&lt;=VLOOKUP($D919,Merchantability!$B:$E,4,0)),AB919,0)</f>
        <v>#N/A</v>
      </c>
      <c r="AH919" s="104" t="e">
        <f>IF(AND(VLOOKUP($D919,Merchantability!$B:$C,2,0)="Yes",$E919&gt;=VLOOKUP($D919,Merchantability!$B:$D,3,0),$E919&lt;=VLOOKUP($D919,Merchantability!$B:$E,4,0)),AC919,0)</f>
        <v>#N/A</v>
      </c>
      <c r="AI919" s="104" t="e">
        <f t="shared" si="411"/>
        <v>#N/A</v>
      </c>
      <c r="AJ919" s="104" t="e">
        <f t="shared" si="412"/>
        <v>#VALUE!</v>
      </c>
      <c r="AK919" s="104" t="e">
        <f t="shared" si="413"/>
        <v>#N/A</v>
      </c>
      <c r="AL919" s="104" t="e">
        <f t="shared" si="414"/>
        <v>#N/A</v>
      </c>
      <c r="AM919" s="104" t="e">
        <f t="shared" si="415"/>
        <v>#N/A</v>
      </c>
      <c r="AN919" s="104" t="e">
        <f t="shared" si="426"/>
        <v>#N/A</v>
      </c>
      <c r="AO919" s="104" t="e">
        <f t="shared" si="427"/>
        <v>#N/A</v>
      </c>
      <c r="AP919" s="104" t="e">
        <f t="shared" si="428"/>
        <v>#N/A</v>
      </c>
      <c r="AQ919" s="104" t="e">
        <f t="shared" si="429"/>
        <v>#N/A</v>
      </c>
      <c r="AR919" s="105" t="str">
        <f t="shared" si="421"/>
        <v/>
      </c>
      <c r="AS919" s="105" t="str">
        <f t="shared" si="422"/>
        <v/>
      </c>
      <c r="AT919" s="108" t="str">
        <f t="shared" si="423"/>
        <v/>
      </c>
      <c r="AU919" s="108" t="str">
        <f t="shared" si="424"/>
        <v/>
      </c>
      <c r="AV919" s="107" t="str">
        <f>IF(ISNUMBER(O919),IF(VLOOKUP($A919,Stand!C:J,8,FALSE)="Short",AT919,AU919),"")</f>
        <v/>
      </c>
      <c r="AW919" s="109" t="str">
        <f t="shared" si="430"/>
        <v/>
      </c>
      <c r="AX919" s="109" t="str">
        <f t="shared" si="431"/>
        <v/>
      </c>
      <c r="AY919" s="112" t="str">
        <f>IF(ISNUMBER(O919),IF(AND(VLOOKUP($D919,Merchantability!$B:$C,2,0)="Yes",$E919&gt;=VLOOKUP($D919,Merchantability!$B:$D,3,0),$E919&lt;=VLOOKUP($D919,Merchantability!$B:$E,4,0)),(AV919*O919)*(1-$H919/100),""),"")</f>
        <v/>
      </c>
      <c r="AZ919" s="116"/>
      <c r="BA919" s="116"/>
      <c r="BB919" s="116"/>
      <c r="BE919" s="62"/>
      <c r="BF919" s="63"/>
    </row>
    <row r="920" spans="1:58" ht="12.75" customHeight="1" x14ac:dyDescent="0.25">
      <c r="A920" s="313"/>
      <c r="B920" s="328"/>
      <c r="C920" s="329"/>
      <c r="D920" s="328"/>
      <c r="E920" s="330"/>
      <c r="F920" s="328"/>
      <c r="G920" s="329"/>
      <c r="H920" s="329"/>
      <c r="I920" s="328"/>
      <c r="J920" s="383"/>
      <c r="K920" s="329"/>
      <c r="L920" s="329"/>
      <c r="M920" s="76"/>
      <c r="N920" s="103" t="str">
        <f>IF(A920="","",VLOOKUP(A920,Stand!C:K,9,0))</f>
        <v/>
      </c>
      <c r="O920" s="104" t="str">
        <f t="shared" si="416"/>
        <v/>
      </c>
      <c r="P920" s="105" t="str">
        <f t="shared" si="417"/>
        <v/>
      </c>
      <c r="Q920" s="105" t="str">
        <f t="shared" si="405"/>
        <v/>
      </c>
      <c r="R920" s="103" t="str">
        <f t="shared" si="418"/>
        <v/>
      </c>
      <c r="S920" s="103" t="str">
        <f t="shared" si="419"/>
        <v/>
      </c>
      <c r="T920" s="106" t="str">
        <f t="shared" si="406"/>
        <v/>
      </c>
      <c r="U920" s="106" t="str">
        <f t="shared" si="407"/>
        <v/>
      </c>
      <c r="V920" s="106" t="str">
        <f t="shared" si="408"/>
        <v/>
      </c>
      <c r="W920" s="105" t="str">
        <f t="shared" si="420"/>
        <v/>
      </c>
      <c r="X920" s="104" t="str">
        <f t="shared" si="425"/>
        <v/>
      </c>
      <c r="Y920" s="104" t="str">
        <f t="array" ref="Y920">IFERROR(IF(ISNUMBER(O920),IF(COUNT(IF(A920=$A$2:$A$2427,IF(D920=$D$2:$D$2427,IF($X$2:$X$2427&gt;0,1))))&gt;0,SUM(IF(A920=$A$2:$A$2427,IF(D920=$D$2:$D$2427,$X$2:$X$2427)))/COUNT(IF(A920=$A$2:$A$2427,IF(D920=$D$2:$D$2427,IF(ISNUMBER($X$2:$X$2427),1)))),0),""),0)</f>
        <v/>
      </c>
      <c r="Z920" s="104" t="str">
        <f>IF(ISNUMBER(O920),IF(I920&gt;0,(10^(VLOOKUP(D920,'Species Codes'!B:C,2,0)+VLOOKUP(D920,'Species Codes'!B:D,3,0)*LOG(E920)+VLOOKUP(D920,'Species Codes'!B:E,4,0)*LOG(I920))),0),"")</f>
        <v/>
      </c>
      <c r="AA920" s="104" t="str">
        <f>IFERROR((VLOOKUP(D920,'Species Codes'!B:G,6,0)*Z920)/2000,"")</f>
        <v/>
      </c>
      <c r="AB920" s="104" t="e">
        <f>IF(Z920&gt;0,((IF(OR(D920="DF",D920="RA")=TRUE,EXP(VLOOKUP(D920,'Species Codes'!B:I,8,0)+VLOOKUP(D920,'Species Codes'!B:J,9,0)*(LN((E920*2.54)))),IF(OR(D920="PY",D920="RC",D920="WH",D920="NF")=TRUE,VLOOKUP(D920,'Species Codes'!B:I,8,0)+VLOOKUP(D920,'Species Codes'!B:J,9,0)*((E920*2.54)^2)*(I920*0.3048),IF(OR(D920="MD",D920="BM",D920="GA")=TRUE,((VLOOKUP(D920,'Species Codes'!B:I,8,0)*(((((E920*2.54)+VLOOKUP(D920,'Species Codes'!B:J,9,0))/VLOOKUP(D920,'Species Codes'!B:K,10,0))^VLOOKUP(D920,'Species Codes'!B:L,11,0))*((I920*0.3048)^VLOOKUP(D920,'Species Codes'!B:M,12,0))))-(VLOOKUP(D920,'Species Codes'!B:I,8,0)*((((E920*2.54)^VLOOKUP(D920,'Species Codes'!B:L,11,0))*((I920*0.3048)^VLOOKUP(D920,'Species Codes'!B:M,12,0))))))*35.3*VLOOKUP(D920,'Species Codes'!B:G,6,0)/2.2046,VLOOKUP(D920,'Species Codes'!B:I,8,0)+VLOOKUP(D920,'Species Codes'!B:J,9,0)*(((E920*2.54)/100)^2)*(I920*0.3048)))))*0.0011023),0)</f>
        <v>#N/A</v>
      </c>
      <c r="AC920" s="104" t="e">
        <f>IF(Z920&gt;0,((IF(OR(D920="RA",D920="OA",D920="OT",D920="UN",D920="PC"),EXP(VLOOKUP(D920,'Species Codes'!B:O,14,0)+VLOOKUP(D920,'Species Codes'!B:P,15,0)*LN((E920*2.54)))-EXP(VLOOKUP(D920,'Species Codes'!B:O,14,0)+VLOOKUP(D920,'Species Codes'!B:P,15,0)*LN((E920*2.54)))*(1/(VLOOKUP(D920,'Species Codes'!B:Q,16,0)+VLOOKUP(D920,'Species Codes'!B:R,17,0)*((E920*2.54)^VLOOKUP(D920,'Species Codes'!B:S,18,0)))),IF(OR(D920="BM",D920="MD",D920="OA"),EXP(VLOOKUP(D920,'Species Codes'!B:O,14,0)+VLOOKUP(D920,'Species Codes'!B:P,15,0)*LN((E920*2.54)))*(1-(1/(VLOOKUP(D920,'Species Codes'!B:Q,16,0)+VLOOKUP(D920,'Species Codes'!B:R,17,0)*((E920*2.54)^VLOOKUP(D920,'Species Codes'!B:S,18,0)))))/1000,IF(D920="DF",EXP(VLOOKUP(D920,'Species Codes'!B:O,14,0)+VLOOKUP(D920,'Species Codes'!B:P,15,0)*LN((E920*2.54))),VLOOKUP(D920,'Species Codes'!B:O,14,0)+VLOOKUP(D920,'Species Codes'!B:P,15,0)*(((E920*2.54)/100)^2)*(I920*0.3048)))))*0.0011023),0)</f>
        <v>#N/A</v>
      </c>
      <c r="AD920" s="104" t="e">
        <f t="shared" si="409"/>
        <v>#N/A</v>
      </c>
      <c r="AE920" s="104" t="e">
        <f t="shared" si="410"/>
        <v>#N/A</v>
      </c>
      <c r="AF920" s="104" t="e">
        <f>IF(AND(VLOOKUP($D920,Merchantability!$B:$C,2,0)="Yes",$E920&gt;=VLOOKUP($D920,Merchantability!$B:$D,3,0),$E920&lt;=VLOOKUP($D920,Merchantability!$B:$E,4,0)),AA920,0)</f>
        <v>#N/A</v>
      </c>
      <c r="AG920" s="104" t="e">
        <f>IF(AND(VLOOKUP($D920,Merchantability!$B:$C,2,0)="Yes",$E920&gt;=VLOOKUP($D920,Merchantability!$B:$D,3,0),$E920&lt;=VLOOKUP($D920,Merchantability!$B:$E,4,0)),AB920,0)</f>
        <v>#N/A</v>
      </c>
      <c r="AH920" s="104" t="e">
        <f>IF(AND(VLOOKUP($D920,Merchantability!$B:$C,2,0)="Yes",$E920&gt;=VLOOKUP($D920,Merchantability!$B:$D,3,0),$E920&lt;=VLOOKUP($D920,Merchantability!$B:$E,4,0)),AC920,0)</f>
        <v>#N/A</v>
      </c>
      <c r="AI920" s="104" t="e">
        <f t="shared" si="411"/>
        <v>#N/A</v>
      </c>
      <c r="AJ920" s="104" t="e">
        <f t="shared" si="412"/>
        <v>#VALUE!</v>
      </c>
      <c r="AK920" s="104" t="e">
        <f t="shared" si="413"/>
        <v>#N/A</v>
      </c>
      <c r="AL920" s="104" t="e">
        <f t="shared" si="414"/>
        <v>#N/A</v>
      </c>
      <c r="AM920" s="104" t="e">
        <f t="shared" si="415"/>
        <v>#N/A</v>
      </c>
      <c r="AN920" s="104" t="e">
        <f t="shared" si="426"/>
        <v>#N/A</v>
      </c>
      <c r="AO920" s="104" t="e">
        <f t="shared" si="427"/>
        <v>#N/A</v>
      </c>
      <c r="AP920" s="104" t="e">
        <f t="shared" si="428"/>
        <v>#N/A</v>
      </c>
      <c r="AQ920" s="104" t="e">
        <f t="shared" si="429"/>
        <v>#N/A</v>
      </c>
      <c r="AR920" s="105" t="str">
        <f t="shared" si="421"/>
        <v/>
      </c>
      <c r="AS920" s="105" t="str">
        <f t="shared" si="422"/>
        <v/>
      </c>
      <c r="AT920" s="108" t="str">
        <f t="shared" si="423"/>
        <v/>
      </c>
      <c r="AU920" s="108" t="str">
        <f t="shared" si="424"/>
        <v/>
      </c>
      <c r="AV920" s="107" t="str">
        <f>IF(ISNUMBER(O920),IF(VLOOKUP($A920,Stand!C:J,8,FALSE)="Short",AT920,AU920),"")</f>
        <v/>
      </c>
      <c r="AW920" s="109" t="str">
        <f t="shared" si="430"/>
        <v/>
      </c>
      <c r="AX920" s="109" t="str">
        <f t="shared" si="431"/>
        <v/>
      </c>
      <c r="AY920" s="112" t="str">
        <f>IF(ISNUMBER(O920),IF(AND(VLOOKUP($D920,Merchantability!$B:$C,2,0)="Yes",$E920&gt;=VLOOKUP($D920,Merchantability!$B:$D,3,0),$E920&lt;=VLOOKUP($D920,Merchantability!$B:$E,4,0)),(AV920*O920)*(1-$H920/100),""),"")</f>
        <v/>
      </c>
      <c r="AZ920" s="116"/>
      <c r="BA920" s="116"/>
      <c r="BB920" s="116"/>
      <c r="BE920" s="62"/>
      <c r="BF920" s="63"/>
    </row>
    <row r="921" spans="1:58" ht="12.75" customHeight="1" x14ac:dyDescent="0.25">
      <c r="A921" s="313"/>
      <c r="B921" s="328"/>
      <c r="C921" s="329"/>
      <c r="D921" s="328"/>
      <c r="E921" s="330"/>
      <c r="F921" s="328"/>
      <c r="G921" s="329"/>
      <c r="H921" s="329"/>
      <c r="I921" s="328"/>
      <c r="J921" s="383"/>
      <c r="K921" s="329"/>
      <c r="L921" s="329"/>
      <c r="M921" s="76"/>
      <c r="N921" s="103" t="str">
        <f>IF(A921="","",VLOOKUP(A921,Stand!C:K,9,0))</f>
        <v/>
      </c>
      <c r="O921" s="104" t="str">
        <f t="shared" si="416"/>
        <v/>
      </c>
      <c r="P921" s="105" t="str">
        <f t="shared" si="417"/>
        <v/>
      </c>
      <c r="Q921" s="105" t="str">
        <f t="shared" si="405"/>
        <v/>
      </c>
      <c r="R921" s="103" t="str">
        <f t="shared" si="418"/>
        <v/>
      </c>
      <c r="S921" s="103" t="str">
        <f t="shared" si="419"/>
        <v/>
      </c>
      <c r="T921" s="106" t="str">
        <f t="shared" si="406"/>
        <v/>
      </c>
      <c r="U921" s="106" t="str">
        <f t="shared" si="407"/>
        <v/>
      </c>
      <c r="V921" s="106" t="str">
        <f t="shared" si="408"/>
        <v/>
      </c>
      <c r="W921" s="105" t="str">
        <f t="shared" si="420"/>
        <v/>
      </c>
      <c r="X921" s="104" t="str">
        <f t="shared" si="425"/>
        <v/>
      </c>
      <c r="Y921" s="104" t="str">
        <f t="array" ref="Y921">IFERROR(IF(ISNUMBER(O921),IF(COUNT(IF(A921=$A$2:$A$2427,IF(D921=$D$2:$D$2427,IF($X$2:$X$2427&gt;0,1))))&gt;0,SUM(IF(A921=$A$2:$A$2427,IF(D921=$D$2:$D$2427,$X$2:$X$2427)))/COUNT(IF(A921=$A$2:$A$2427,IF(D921=$D$2:$D$2427,IF(ISNUMBER($X$2:$X$2427),1)))),0),""),0)</f>
        <v/>
      </c>
      <c r="Z921" s="104" t="str">
        <f>IF(ISNUMBER(O921),IF(I921&gt;0,(10^(VLOOKUP(D921,'Species Codes'!B:C,2,0)+VLOOKUP(D921,'Species Codes'!B:D,3,0)*LOG(E921)+VLOOKUP(D921,'Species Codes'!B:E,4,0)*LOG(I921))),0),"")</f>
        <v/>
      </c>
      <c r="AA921" s="104" t="str">
        <f>IFERROR((VLOOKUP(D921,'Species Codes'!B:G,6,0)*Z921)/2000,"")</f>
        <v/>
      </c>
      <c r="AB921" s="104" t="e">
        <f>IF(Z921&gt;0,((IF(OR(D921="DF",D921="RA")=TRUE,EXP(VLOOKUP(D921,'Species Codes'!B:I,8,0)+VLOOKUP(D921,'Species Codes'!B:J,9,0)*(LN((E921*2.54)))),IF(OR(D921="PY",D921="RC",D921="WH",D921="NF")=TRUE,VLOOKUP(D921,'Species Codes'!B:I,8,0)+VLOOKUP(D921,'Species Codes'!B:J,9,0)*((E921*2.54)^2)*(I921*0.3048),IF(OR(D921="MD",D921="BM",D921="GA")=TRUE,((VLOOKUP(D921,'Species Codes'!B:I,8,0)*(((((E921*2.54)+VLOOKUP(D921,'Species Codes'!B:J,9,0))/VLOOKUP(D921,'Species Codes'!B:K,10,0))^VLOOKUP(D921,'Species Codes'!B:L,11,0))*((I921*0.3048)^VLOOKUP(D921,'Species Codes'!B:M,12,0))))-(VLOOKUP(D921,'Species Codes'!B:I,8,0)*((((E921*2.54)^VLOOKUP(D921,'Species Codes'!B:L,11,0))*((I921*0.3048)^VLOOKUP(D921,'Species Codes'!B:M,12,0))))))*35.3*VLOOKUP(D921,'Species Codes'!B:G,6,0)/2.2046,VLOOKUP(D921,'Species Codes'!B:I,8,0)+VLOOKUP(D921,'Species Codes'!B:J,9,0)*(((E921*2.54)/100)^2)*(I921*0.3048)))))*0.0011023),0)</f>
        <v>#N/A</v>
      </c>
      <c r="AC921" s="104" t="e">
        <f>IF(Z921&gt;0,((IF(OR(D921="RA",D921="OA",D921="OT",D921="UN",D921="PC"),EXP(VLOOKUP(D921,'Species Codes'!B:O,14,0)+VLOOKUP(D921,'Species Codes'!B:P,15,0)*LN((E921*2.54)))-EXP(VLOOKUP(D921,'Species Codes'!B:O,14,0)+VLOOKUP(D921,'Species Codes'!B:P,15,0)*LN((E921*2.54)))*(1/(VLOOKUP(D921,'Species Codes'!B:Q,16,0)+VLOOKUP(D921,'Species Codes'!B:R,17,0)*((E921*2.54)^VLOOKUP(D921,'Species Codes'!B:S,18,0)))),IF(OR(D921="BM",D921="MD",D921="OA"),EXP(VLOOKUP(D921,'Species Codes'!B:O,14,0)+VLOOKUP(D921,'Species Codes'!B:P,15,0)*LN((E921*2.54)))*(1-(1/(VLOOKUP(D921,'Species Codes'!B:Q,16,0)+VLOOKUP(D921,'Species Codes'!B:R,17,0)*((E921*2.54)^VLOOKUP(D921,'Species Codes'!B:S,18,0)))))/1000,IF(D921="DF",EXP(VLOOKUP(D921,'Species Codes'!B:O,14,0)+VLOOKUP(D921,'Species Codes'!B:P,15,0)*LN((E921*2.54))),VLOOKUP(D921,'Species Codes'!B:O,14,0)+VLOOKUP(D921,'Species Codes'!B:P,15,0)*(((E921*2.54)/100)^2)*(I921*0.3048)))))*0.0011023),0)</f>
        <v>#N/A</v>
      </c>
      <c r="AD921" s="104" t="e">
        <f t="shared" si="409"/>
        <v>#N/A</v>
      </c>
      <c r="AE921" s="104" t="e">
        <f t="shared" si="410"/>
        <v>#N/A</v>
      </c>
      <c r="AF921" s="104" t="e">
        <f>IF(AND(VLOOKUP($D921,Merchantability!$B:$C,2,0)="Yes",$E921&gt;=VLOOKUP($D921,Merchantability!$B:$D,3,0),$E921&lt;=VLOOKUP($D921,Merchantability!$B:$E,4,0)),AA921,0)</f>
        <v>#N/A</v>
      </c>
      <c r="AG921" s="104" t="e">
        <f>IF(AND(VLOOKUP($D921,Merchantability!$B:$C,2,0)="Yes",$E921&gt;=VLOOKUP($D921,Merchantability!$B:$D,3,0),$E921&lt;=VLOOKUP($D921,Merchantability!$B:$E,4,0)),AB921,0)</f>
        <v>#N/A</v>
      </c>
      <c r="AH921" s="104" t="e">
        <f>IF(AND(VLOOKUP($D921,Merchantability!$B:$C,2,0)="Yes",$E921&gt;=VLOOKUP($D921,Merchantability!$B:$D,3,0),$E921&lt;=VLOOKUP($D921,Merchantability!$B:$E,4,0)),AC921,0)</f>
        <v>#N/A</v>
      </c>
      <c r="AI921" s="104" t="e">
        <f t="shared" si="411"/>
        <v>#N/A</v>
      </c>
      <c r="AJ921" s="104" t="e">
        <f t="shared" si="412"/>
        <v>#VALUE!</v>
      </c>
      <c r="AK921" s="104" t="e">
        <f t="shared" si="413"/>
        <v>#N/A</v>
      </c>
      <c r="AL921" s="104" t="e">
        <f t="shared" si="414"/>
        <v>#N/A</v>
      </c>
      <c r="AM921" s="104" t="e">
        <f t="shared" si="415"/>
        <v>#N/A</v>
      </c>
      <c r="AN921" s="104" t="e">
        <f t="shared" si="426"/>
        <v>#N/A</v>
      </c>
      <c r="AO921" s="104" t="e">
        <f t="shared" si="427"/>
        <v>#N/A</v>
      </c>
      <c r="AP921" s="104" t="e">
        <f t="shared" si="428"/>
        <v>#N/A</v>
      </c>
      <c r="AQ921" s="104" t="e">
        <f t="shared" si="429"/>
        <v>#N/A</v>
      </c>
      <c r="AR921" s="105" t="str">
        <f t="shared" si="421"/>
        <v/>
      </c>
      <c r="AS921" s="105" t="str">
        <f t="shared" si="422"/>
        <v/>
      </c>
      <c r="AT921" s="108" t="str">
        <f t="shared" si="423"/>
        <v/>
      </c>
      <c r="AU921" s="108" t="str">
        <f t="shared" si="424"/>
        <v/>
      </c>
      <c r="AV921" s="107" t="str">
        <f>IF(ISNUMBER(O921),IF(VLOOKUP($A921,Stand!C:J,8,FALSE)="Short",AT921,AU921),"")</f>
        <v/>
      </c>
      <c r="AW921" s="109" t="str">
        <f t="shared" si="430"/>
        <v/>
      </c>
      <c r="AX921" s="109" t="str">
        <f t="shared" si="431"/>
        <v/>
      </c>
      <c r="AY921" s="112" t="str">
        <f>IF(ISNUMBER(O921),IF(AND(VLOOKUP($D921,Merchantability!$B:$C,2,0)="Yes",$E921&gt;=VLOOKUP($D921,Merchantability!$B:$D,3,0),$E921&lt;=VLOOKUP($D921,Merchantability!$B:$E,4,0)),(AV921*O921)*(1-$H921/100),""),"")</f>
        <v/>
      </c>
      <c r="AZ921" s="116"/>
      <c r="BA921" s="116"/>
      <c r="BB921" s="116"/>
      <c r="BE921" s="62"/>
      <c r="BF921" s="63"/>
    </row>
    <row r="922" spans="1:58" ht="12.75" customHeight="1" x14ac:dyDescent="0.25">
      <c r="A922" s="313"/>
      <c r="B922" s="328"/>
      <c r="C922" s="329"/>
      <c r="D922" s="328"/>
      <c r="E922" s="330"/>
      <c r="F922" s="328"/>
      <c r="G922" s="329"/>
      <c r="H922" s="329"/>
      <c r="I922" s="328"/>
      <c r="J922" s="383"/>
      <c r="K922" s="329"/>
      <c r="L922" s="329"/>
      <c r="M922" s="76"/>
      <c r="N922" s="103" t="str">
        <f>IF(A922="","",VLOOKUP(A922,Stand!C:K,9,0))</f>
        <v/>
      </c>
      <c r="O922" s="104" t="str">
        <f t="shared" si="416"/>
        <v/>
      </c>
      <c r="P922" s="105" t="str">
        <f t="shared" si="417"/>
        <v/>
      </c>
      <c r="Q922" s="105" t="str">
        <f t="shared" si="405"/>
        <v/>
      </c>
      <c r="R922" s="103" t="str">
        <f t="shared" si="418"/>
        <v/>
      </c>
      <c r="S922" s="103" t="str">
        <f t="shared" si="419"/>
        <v/>
      </c>
      <c r="T922" s="106" t="str">
        <f t="shared" si="406"/>
        <v/>
      </c>
      <c r="U922" s="106" t="str">
        <f t="shared" si="407"/>
        <v/>
      </c>
      <c r="V922" s="106" t="str">
        <f t="shared" si="408"/>
        <v/>
      </c>
      <c r="W922" s="105" t="str">
        <f t="shared" si="420"/>
        <v/>
      </c>
      <c r="X922" s="104" t="str">
        <f t="shared" si="425"/>
        <v/>
      </c>
      <c r="Y922" s="104" t="str">
        <f t="array" ref="Y922">IFERROR(IF(ISNUMBER(O922),IF(COUNT(IF(A922=$A$2:$A$2427,IF(D922=$D$2:$D$2427,IF($X$2:$X$2427&gt;0,1))))&gt;0,SUM(IF(A922=$A$2:$A$2427,IF(D922=$D$2:$D$2427,$X$2:$X$2427)))/COUNT(IF(A922=$A$2:$A$2427,IF(D922=$D$2:$D$2427,IF(ISNUMBER($X$2:$X$2427),1)))),0),""),0)</f>
        <v/>
      </c>
      <c r="Z922" s="104" t="str">
        <f>IF(ISNUMBER(O922),IF(I922&gt;0,(10^(VLOOKUP(D922,'Species Codes'!B:C,2,0)+VLOOKUP(D922,'Species Codes'!B:D,3,0)*LOG(E922)+VLOOKUP(D922,'Species Codes'!B:E,4,0)*LOG(I922))),0),"")</f>
        <v/>
      </c>
      <c r="AA922" s="104" t="str">
        <f>IFERROR((VLOOKUP(D922,'Species Codes'!B:G,6,0)*Z922)/2000,"")</f>
        <v/>
      </c>
      <c r="AB922" s="104" t="e">
        <f>IF(Z922&gt;0,((IF(OR(D922="DF",D922="RA")=TRUE,EXP(VLOOKUP(D922,'Species Codes'!B:I,8,0)+VLOOKUP(D922,'Species Codes'!B:J,9,0)*(LN((E922*2.54)))),IF(OR(D922="PY",D922="RC",D922="WH",D922="NF")=TRUE,VLOOKUP(D922,'Species Codes'!B:I,8,0)+VLOOKUP(D922,'Species Codes'!B:J,9,0)*((E922*2.54)^2)*(I922*0.3048),IF(OR(D922="MD",D922="BM",D922="GA")=TRUE,((VLOOKUP(D922,'Species Codes'!B:I,8,0)*(((((E922*2.54)+VLOOKUP(D922,'Species Codes'!B:J,9,0))/VLOOKUP(D922,'Species Codes'!B:K,10,0))^VLOOKUP(D922,'Species Codes'!B:L,11,0))*((I922*0.3048)^VLOOKUP(D922,'Species Codes'!B:M,12,0))))-(VLOOKUP(D922,'Species Codes'!B:I,8,0)*((((E922*2.54)^VLOOKUP(D922,'Species Codes'!B:L,11,0))*((I922*0.3048)^VLOOKUP(D922,'Species Codes'!B:M,12,0))))))*35.3*VLOOKUP(D922,'Species Codes'!B:G,6,0)/2.2046,VLOOKUP(D922,'Species Codes'!B:I,8,0)+VLOOKUP(D922,'Species Codes'!B:J,9,0)*(((E922*2.54)/100)^2)*(I922*0.3048)))))*0.0011023),0)</f>
        <v>#N/A</v>
      </c>
      <c r="AC922" s="104" t="e">
        <f>IF(Z922&gt;0,((IF(OR(D922="RA",D922="OA",D922="OT",D922="UN",D922="PC"),EXP(VLOOKUP(D922,'Species Codes'!B:O,14,0)+VLOOKUP(D922,'Species Codes'!B:P,15,0)*LN((E922*2.54)))-EXP(VLOOKUP(D922,'Species Codes'!B:O,14,0)+VLOOKUP(D922,'Species Codes'!B:P,15,0)*LN((E922*2.54)))*(1/(VLOOKUP(D922,'Species Codes'!B:Q,16,0)+VLOOKUP(D922,'Species Codes'!B:R,17,0)*((E922*2.54)^VLOOKUP(D922,'Species Codes'!B:S,18,0)))),IF(OR(D922="BM",D922="MD",D922="OA"),EXP(VLOOKUP(D922,'Species Codes'!B:O,14,0)+VLOOKUP(D922,'Species Codes'!B:P,15,0)*LN((E922*2.54)))*(1-(1/(VLOOKUP(D922,'Species Codes'!B:Q,16,0)+VLOOKUP(D922,'Species Codes'!B:R,17,0)*((E922*2.54)^VLOOKUP(D922,'Species Codes'!B:S,18,0)))))/1000,IF(D922="DF",EXP(VLOOKUP(D922,'Species Codes'!B:O,14,0)+VLOOKUP(D922,'Species Codes'!B:P,15,0)*LN((E922*2.54))),VLOOKUP(D922,'Species Codes'!B:O,14,0)+VLOOKUP(D922,'Species Codes'!B:P,15,0)*(((E922*2.54)/100)^2)*(I922*0.3048)))))*0.0011023),0)</f>
        <v>#N/A</v>
      </c>
      <c r="AD922" s="104" t="e">
        <f t="shared" si="409"/>
        <v>#N/A</v>
      </c>
      <c r="AE922" s="104" t="e">
        <f t="shared" si="410"/>
        <v>#N/A</v>
      </c>
      <c r="AF922" s="104" t="e">
        <f>IF(AND(VLOOKUP($D922,Merchantability!$B:$C,2,0)="Yes",$E922&gt;=VLOOKUP($D922,Merchantability!$B:$D,3,0),$E922&lt;=VLOOKUP($D922,Merchantability!$B:$E,4,0)),AA922,0)</f>
        <v>#N/A</v>
      </c>
      <c r="AG922" s="104" t="e">
        <f>IF(AND(VLOOKUP($D922,Merchantability!$B:$C,2,0)="Yes",$E922&gt;=VLOOKUP($D922,Merchantability!$B:$D,3,0),$E922&lt;=VLOOKUP($D922,Merchantability!$B:$E,4,0)),AB922,0)</f>
        <v>#N/A</v>
      </c>
      <c r="AH922" s="104" t="e">
        <f>IF(AND(VLOOKUP($D922,Merchantability!$B:$C,2,0)="Yes",$E922&gt;=VLOOKUP($D922,Merchantability!$B:$D,3,0),$E922&lt;=VLOOKUP($D922,Merchantability!$B:$E,4,0)),AC922,0)</f>
        <v>#N/A</v>
      </c>
      <c r="AI922" s="104" t="e">
        <f t="shared" si="411"/>
        <v>#N/A</v>
      </c>
      <c r="AJ922" s="104" t="e">
        <f t="shared" si="412"/>
        <v>#VALUE!</v>
      </c>
      <c r="AK922" s="104" t="e">
        <f t="shared" si="413"/>
        <v>#N/A</v>
      </c>
      <c r="AL922" s="104" t="e">
        <f t="shared" si="414"/>
        <v>#N/A</v>
      </c>
      <c r="AM922" s="104" t="e">
        <f t="shared" si="415"/>
        <v>#N/A</v>
      </c>
      <c r="AN922" s="104" t="e">
        <f t="shared" si="426"/>
        <v>#N/A</v>
      </c>
      <c r="AO922" s="104" t="e">
        <f t="shared" si="427"/>
        <v>#N/A</v>
      </c>
      <c r="AP922" s="104" t="e">
        <f t="shared" si="428"/>
        <v>#N/A</v>
      </c>
      <c r="AQ922" s="104" t="e">
        <f t="shared" si="429"/>
        <v>#N/A</v>
      </c>
      <c r="AR922" s="105" t="str">
        <f t="shared" si="421"/>
        <v/>
      </c>
      <c r="AS922" s="105" t="str">
        <f t="shared" si="422"/>
        <v/>
      </c>
      <c r="AT922" s="108" t="str">
        <f t="shared" si="423"/>
        <v/>
      </c>
      <c r="AU922" s="108" t="str">
        <f t="shared" si="424"/>
        <v/>
      </c>
      <c r="AV922" s="107" t="str">
        <f>IF(ISNUMBER(O922),IF(VLOOKUP($A922,Stand!C:J,8,FALSE)="Short",AT922,AU922),"")</f>
        <v/>
      </c>
      <c r="AW922" s="109" t="str">
        <f t="shared" si="430"/>
        <v/>
      </c>
      <c r="AX922" s="109" t="str">
        <f t="shared" si="431"/>
        <v/>
      </c>
      <c r="AY922" s="112" t="str">
        <f>IF(ISNUMBER(O922),IF(AND(VLOOKUP($D922,Merchantability!$B:$C,2,0)="Yes",$E922&gt;=VLOOKUP($D922,Merchantability!$B:$D,3,0),$E922&lt;=VLOOKUP($D922,Merchantability!$B:$E,4,0)),(AV922*O922)*(1-$H922/100),""),"")</f>
        <v/>
      </c>
      <c r="AZ922" s="116"/>
      <c r="BA922" s="116"/>
      <c r="BB922" s="116"/>
      <c r="BE922" s="62"/>
      <c r="BF922" s="63"/>
    </row>
    <row r="923" spans="1:58" ht="12.75" customHeight="1" x14ac:dyDescent="0.25">
      <c r="A923" s="313"/>
      <c r="B923" s="328"/>
      <c r="C923" s="329"/>
      <c r="D923" s="328"/>
      <c r="E923" s="330"/>
      <c r="F923" s="328"/>
      <c r="G923" s="329"/>
      <c r="H923" s="329"/>
      <c r="I923" s="328"/>
      <c r="J923" s="383"/>
      <c r="K923" s="329"/>
      <c r="L923" s="329"/>
      <c r="M923" s="76"/>
      <c r="N923" s="103" t="str">
        <f>IF(A923="","",VLOOKUP(A923,Stand!C:K,9,0))</f>
        <v/>
      </c>
      <c r="O923" s="104" t="str">
        <f t="shared" si="416"/>
        <v/>
      </c>
      <c r="P923" s="105" t="str">
        <f t="shared" si="417"/>
        <v/>
      </c>
      <c r="Q923" s="105" t="str">
        <f t="shared" si="405"/>
        <v/>
      </c>
      <c r="R923" s="103" t="str">
        <f t="shared" si="418"/>
        <v/>
      </c>
      <c r="S923" s="103" t="str">
        <f t="shared" si="419"/>
        <v/>
      </c>
      <c r="T923" s="106" t="str">
        <f t="shared" si="406"/>
        <v/>
      </c>
      <c r="U923" s="106" t="str">
        <f t="shared" si="407"/>
        <v/>
      </c>
      <c r="V923" s="106" t="str">
        <f t="shared" si="408"/>
        <v/>
      </c>
      <c r="W923" s="105" t="str">
        <f t="shared" si="420"/>
        <v/>
      </c>
      <c r="X923" s="104" t="str">
        <f t="shared" si="425"/>
        <v/>
      </c>
      <c r="Y923" s="104" t="str">
        <f t="array" ref="Y923">IFERROR(IF(ISNUMBER(O923),IF(COUNT(IF(A923=$A$2:$A$2427,IF(D923=$D$2:$D$2427,IF($X$2:$X$2427&gt;0,1))))&gt;0,SUM(IF(A923=$A$2:$A$2427,IF(D923=$D$2:$D$2427,$X$2:$X$2427)))/COUNT(IF(A923=$A$2:$A$2427,IF(D923=$D$2:$D$2427,IF(ISNUMBER($X$2:$X$2427),1)))),0),""),0)</f>
        <v/>
      </c>
      <c r="Z923" s="104" t="str">
        <f>IF(ISNUMBER(O923),IF(I923&gt;0,(10^(VLOOKUP(D923,'Species Codes'!B:C,2,0)+VLOOKUP(D923,'Species Codes'!B:D,3,0)*LOG(E923)+VLOOKUP(D923,'Species Codes'!B:E,4,0)*LOG(I923))),0),"")</f>
        <v/>
      </c>
      <c r="AA923" s="104" t="str">
        <f>IFERROR((VLOOKUP(D923,'Species Codes'!B:G,6,0)*Z923)/2000,"")</f>
        <v/>
      </c>
      <c r="AB923" s="104" t="e">
        <f>IF(Z923&gt;0,((IF(OR(D923="DF",D923="RA")=TRUE,EXP(VLOOKUP(D923,'Species Codes'!B:I,8,0)+VLOOKUP(D923,'Species Codes'!B:J,9,0)*(LN((E923*2.54)))),IF(OR(D923="PY",D923="RC",D923="WH",D923="NF")=TRUE,VLOOKUP(D923,'Species Codes'!B:I,8,0)+VLOOKUP(D923,'Species Codes'!B:J,9,0)*((E923*2.54)^2)*(I923*0.3048),IF(OR(D923="MD",D923="BM",D923="GA")=TRUE,((VLOOKUP(D923,'Species Codes'!B:I,8,0)*(((((E923*2.54)+VLOOKUP(D923,'Species Codes'!B:J,9,0))/VLOOKUP(D923,'Species Codes'!B:K,10,0))^VLOOKUP(D923,'Species Codes'!B:L,11,0))*((I923*0.3048)^VLOOKUP(D923,'Species Codes'!B:M,12,0))))-(VLOOKUP(D923,'Species Codes'!B:I,8,0)*((((E923*2.54)^VLOOKUP(D923,'Species Codes'!B:L,11,0))*((I923*0.3048)^VLOOKUP(D923,'Species Codes'!B:M,12,0))))))*35.3*VLOOKUP(D923,'Species Codes'!B:G,6,0)/2.2046,VLOOKUP(D923,'Species Codes'!B:I,8,0)+VLOOKUP(D923,'Species Codes'!B:J,9,0)*(((E923*2.54)/100)^2)*(I923*0.3048)))))*0.0011023),0)</f>
        <v>#N/A</v>
      </c>
      <c r="AC923" s="104" t="e">
        <f>IF(Z923&gt;0,((IF(OR(D923="RA",D923="OA",D923="OT",D923="UN",D923="PC"),EXP(VLOOKUP(D923,'Species Codes'!B:O,14,0)+VLOOKUP(D923,'Species Codes'!B:P,15,0)*LN((E923*2.54)))-EXP(VLOOKUP(D923,'Species Codes'!B:O,14,0)+VLOOKUP(D923,'Species Codes'!B:P,15,0)*LN((E923*2.54)))*(1/(VLOOKUP(D923,'Species Codes'!B:Q,16,0)+VLOOKUP(D923,'Species Codes'!B:R,17,0)*((E923*2.54)^VLOOKUP(D923,'Species Codes'!B:S,18,0)))),IF(OR(D923="BM",D923="MD",D923="OA"),EXP(VLOOKUP(D923,'Species Codes'!B:O,14,0)+VLOOKUP(D923,'Species Codes'!B:P,15,0)*LN((E923*2.54)))*(1-(1/(VLOOKUP(D923,'Species Codes'!B:Q,16,0)+VLOOKUP(D923,'Species Codes'!B:R,17,0)*((E923*2.54)^VLOOKUP(D923,'Species Codes'!B:S,18,0)))))/1000,IF(D923="DF",EXP(VLOOKUP(D923,'Species Codes'!B:O,14,0)+VLOOKUP(D923,'Species Codes'!B:P,15,0)*LN((E923*2.54))),VLOOKUP(D923,'Species Codes'!B:O,14,0)+VLOOKUP(D923,'Species Codes'!B:P,15,0)*(((E923*2.54)/100)^2)*(I923*0.3048)))))*0.0011023),0)</f>
        <v>#N/A</v>
      </c>
      <c r="AD923" s="104" t="e">
        <f t="shared" si="409"/>
        <v>#N/A</v>
      </c>
      <c r="AE923" s="104" t="e">
        <f t="shared" si="410"/>
        <v>#N/A</v>
      </c>
      <c r="AF923" s="104" t="e">
        <f>IF(AND(VLOOKUP($D923,Merchantability!$B:$C,2,0)="Yes",$E923&gt;=VLOOKUP($D923,Merchantability!$B:$D,3,0),$E923&lt;=VLOOKUP($D923,Merchantability!$B:$E,4,0)),AA923,0)</f>
        <v>#N/A</v>
      </c>
      <c r="AG923" s="104" t="e">
        <f>IF(AND(VLOOKUP($D923,Merchantability!$B:$C,2,0)="Yes",$E923&gt;=VLOOKUP($D923,Merchantability!$B:$D,3,0),$E923&lt;=VLOOKUP($D923,Merchantability!$B:$E,4,0)),AB923,0)</f>
        <v>#N/A</v>
      </c>
      <c r="AH923" s="104" t="e">
        <f>IF(AND(VLOOKUP($D923,Merchantability!$B:$C,2,0)="Yes",$E923&gt;=VLOOKUP($D923,Merchantability!$B:$D,3,0),$E923&lt;=VLOOKUP($D923,Merchantability!$B:$E,4,0)),AC923,0)</f>
        <v>#N/A</v>
      </c>
      <c r="AI923" s="104" t="e">
        <f t="shared" si="411"/>
        <v>#N/A</v>
      </c>
      <c r="AJ923" s="104" t="e">
        <f t="shared" si="412"/>
        <v>#VALUE!</v>
      </c>
      <c r="AK923" s="104" t="e">
        <f t="shared" si="413"/>
        <v>#N/A</v>
      </c>
      <c r="AL923" s="104" t="e">
        <f t="shared" si="414"/>
        <v>#N/A</v>
      </c>
      <c r="AM923" s="104" t="e">
        <f t="shared" si="415"/>
        <v>#N/A</v>
      </c>
      <c r="AN923" s="104" t="e">
        <f t="shared" si="426"/>
        <v>#N/A</v>
      </c>
      <c r="AO923" s="104" t="e">
        <f t="shared" si="427"/>
        <v>#N/A</v>
      </c>
      <c r="AP923" s="104" t="e">
        <f t="shared" si="428"/>
        <v>#N/A</v>
      </c>
      <c r="AQ923" s="104" t="e">
        <f t="shared" si="429"/>
        <v>#N/A</v>
      </c>
      <c r="AR923" s="105" t="str">
        <f t="shared" si="421"/>
        <v/>
      </c>
      <c r="AS923" s="105" t="str">
        <f t="shared" si="422"/>
        <v/>
      </c>
      <c r="AT923" s="108" t="str">
        <f t="shared" si="423"/>
        <v/>
      </c>
      <c r="AU923" s="108" t="str">
        <f t="shared" si="424"/>
        <v/>
      </c>
      <c r="AV923" s="107" t="str">
        <f>IF(ISNUMBER(O923),IF(VLOOKUP($A923,Stand!C:J,8,FALSE)="Short",AT923,AU923),"")</f>
        <v/>
      </c>
      <c r="AW923" s="109" t="str">
        <f t="shared" si="430"/>
        <v/>
      </c>
      <c r="AX923" s="109" t="str">
        <f t="shared" si="431"/>
        <v/>
      </c>
      <c r="AY923" s="112" t="str">
        <f>IF(ISNUMBER(O923),IF(AND(VLOOKUP($D923,Merchantability!$B:$C,2,0)="Yes",$E923&gt;=VLOOKUP($D923,Merchantability!$B:$D,3,0),$E923&lt;=VLOOKUP($D923,Merchantability!$B:$E,4,0)),(AV923*O923)*(1-$H923/100),""),"")</f>
        <v/>
      </c>
      <c r="AZ923" s="116"/>
      <c r="BA923" s="116"/>
      <c r="BB923" s="116"/>
      <c r="BE923" s="62"/>
      <c r="BF923" s="63"/>
    </row>
    <row r="924" spans="1:58" ht="12.75" customHeight="1" x14ac:dyDescent="0.25">
      <c r="A924" s="313"/>
      <c r="B924" s="328"/>
      <c r="C924" s="329"/>
      <c r="D924" s="328"/>
      <c r="E924" s="330"/>
      <c r="F924" s="328"/>
      <c r="G924" s="329"/>
      <c r="H924" s="329"/>
      <c r="I924" s="328"/>
      <c r="J924" s="383"/>
      <c r="K924" s="329"/>
      <c r="L924" s="329"/>
      <c r="M924" s="76"/>
      <c r="N924" s="103" t="str">
        <f>IF(A924="","",VLOOKUP(A924,Stand!C:K,9,0))</f>
        <v/>
      </c>
      <c r="O924" s="104" t="str">
        <f t="shared" si="416"/>
        <v/>
      </c>
      <c r="P924" s="105" t="str">
        <f t="shared" si="417"/>
        <v/>
      </c>
      <c r="Q924" s="105" t="str">
        <f t="shared" si="405"/>
        <v/>
      </c>
      <c r="R924" s="103" t="str">
        <f t="shared" si="418"/>
        <v/>
      </c>
      <c r="S924" s="103" t="str">
        <f t="shared" si="419"/>
        <v/>
      </c>
      <c r="T924" s="106" t="str">
        <f t="shared" si="406"/>
        <v/>
      </c>
      <c r="U924" s="106" t="str">
        <f t="shared" si="407"/>
        <v/>
      </c>
      <c r="V924" s="106" t="str">
        <f t="shared" si="408"/>
        <v/>
      </c>
      <c r="W924" s="105" t="str">
        <f t="shared" si="420"/>
        <v/>
      </c>
      <c r="X924" s="104" t="str">
        <f t="shared" si="425"/>
        <v/>
      </c>
      <c r="Y924" s="104" t="str">
        <f t="array" ref="Y924">IFERROR(IF(ISNUMBER(O924),IF(COUNT(IF(A924=$A$2:$A$2427,IF(D924=$D$2:$D$2427,IF($X$2:$X$2427&gt;0,1))))&gt;0,SUM(IF(A924=$A$2:$A$2427,IF(D924=$D$2:$D$2427,$X$2:$X$2427)))/COUNT(IF(A924=$A$2:$A$2427,IF(D924=$D$2:$D$2427,IF(ISNUMBER($X$2:$X$2427),1)))),0),""),0)</f>
        <v/>
      </c>
      <c r="Z924" s="104" t="str">
        <f>IF(ISNUMBER(O924),IF(I924&gt;0,(10^(VLOOKUP(D924,'Species Codes'!B:C,2,0)+VLOOKUP(D924,'Species Codes'!B:D,3,0)*LOG(E924)+VLOOKUP(D924,'Species Codes'!B:E,4,0)*LOG(I924))),0),"")</f>
        <v/>
      </c>
      <c r="AA924" s="104" t="str">
        <f>IFERROR((VLOOKUP(D924,'Species Codes'!B:G,6,0)*Z924)/2000,"")</f>
        <v/>
      </c>
      <c r="AB924" s="104" t="e">
        <f>IF(Z924&gt;0,((IF(OR(D924="DF",D924="RA")=TRUE,EXP(VLOOKUP(D924,'Species Codes'!B:I,8,0)+VLOOKUP(D924,'Species Codes'!B:J,9,0)*(LN((E924*2.54)))),IF(OR(D924="PY",D924="RC",D924="WH",D924="NF")=TRUE,VLOOKUP(D924,'Species Codes'!B:I,8,0)+VLOOKUP(D924,'Species Codes'!B:J,9,0)*((E924*2.54)^2)*(I924*0.3048),IF(OR(D924="MD",D924="BM",D924="GA")=TRUE,((VLOOKUP(D924,'Species Codes'!B:I,8,0)*(((((E924*2.54)+VLOOKUP(D924,'Species Codes'!B:J,9,0))/VLOOKUP(D924,'Species Codes'!B:K,10,0))^VLOOKUP(D924,'Species Codes'!B:L,11,0))*((I924*0.3048)^VLOOKUP(D924,'Species Codes'!B:M,12,0))))-(VLOOKUP(D924,'Species Codes'!B:I,8,0)*((((E924*2.54)^VLOOKUP(D924,'Species Codes'!B:L,11,0))*((I924*0.3048)^VLOOKUP(D924,'Species Codes'!B:M,12,0))))))*35.3*VLOOKUP(D924,'Species Codes'!B:G,6,0)/2.2046,VLOOKUP(D924,'Species Codes'!B:I,8,0)+VLOOKUP(D924,'Species Codes'!B:J,9,0)*(((E924*2.54)/100)^2)*(I924*0.3048)))))*0.0011023),0)</f>
        <v>#N/A</v>
      </c>
      <c r="AC924" s="104" t="e">
        <f>IF(Z924&gt;0,((IF(OR(D924="RA",D924="OA",D924="OT",D924="UN",D924="PC"),EXP(VLOOKUP(D924,'Species Codes'!B:O,14,0)+VLOOKUP(D924,'Species Codes'!B:P,15,0)*LN((E924*2.54)))-EXP(VLOOKUP(D924,'Species Codes'!B:O,14,0)+VLOOKUP(D924,'Species Codes'!B:P,15,0)*LN((E924*2.54)))*(1/(VLOOKUP(D924,'Species Codes'!B:Q,16,0)+VLOOKUP(D924,'Species Codes'!B:R,17,0)*((E924*2.54)^VLOOKUP(D924,'Species Codes'!B:S,18,0)))),IF(OR(D924="BM",D924="MD",D924="OA"),EXP(VLOOKUP(D924,'Species Codes'!B:O,14,0)+VLOOKUP(D924,'Species Codes'!B:P,15,0)*LN((E924*2.54)))*(1-(1/(VLOOKUP(D924,'Species Codes'!B:Q,16,0)+VLOOKUP(D924,'Species Codes'!B:R,17,0)*((E924*2.54)^VLOOKUP(D924,'Species Codes'!B:S,18,0)))))/1000,IF(D924="DF",EXP(VLOOKUP(D924,'Species Codes'!B:O,14,0)+VLOOKUP(D924,'Species Codes'!B:P,15,0)*LN((E924*2.54))),VLOOKUP(D924,'Species Codes'!B:O,14,0)+VLOOKUP(D924,'Species Codes'!B:P,15,0)*(((E924*2.54)/100)^2)*(I924*0.3048)))))*0.0011023),0)</f>
        <v>#N/A</v>
      </c>
      <c r="AD924" s="104" t="e">
        <f t="shared" si="409"/>
        <v>#N/A</v>
      </c>
      <c r="AE924" s="104" t="e">
        <f t="shared" si="410"/>
        <v>#N/A</v>
      </c>
      <c r="AF924" s="104" t="e">
        <f>IF(AND(VLOOKUP($D924,Merchantability!$B:$C,2,0)="Yes",$E924&gt;=VLOOKUP($D924,Merchantability!$B:$D,3,0),$E924&lt;=VLOOKUP($D924,Merchantability!$B:$E,4,0)),AA924,0)</f>
        <v>#N/A</v>
      </c>
      <c r="AG924" s="104" t="e">
        <f>IF(AND(VLOOKUP($D924,Merchantability!$B:$C,2,0)="Yes",$E924&gt;=VLOOKUP($D924,Merchantability!$B:$D,3,0),$E924&lt;=VLOOKUP($D924,Merchantability!$B:$E,4,0)),AB924,0)</f>
        <v>#N/A</v>
      </c>
      <c r="AH924" s="104" t="e">
        <f>IF(AND(VLOOKUP($D924,Merchantability!$B:$C,2,0)="Yes",$E924&gt;=VLOOKUP($D924,Merchantability!$B:$D,3,0),$E924&lt;=VLOOKUP($D924,Merchantability!$B:$E,4,0)),AC924,0)</f>
        <v>#N/A</v>
      </c>
      <c r="AI924" s="104" t="e">
        <f t="shared" si="411"/>
        <v>#N/A</v>
      </c>
      <c r="AJ924" s="104" t="e">
        <f t="shared" si="412"/>
        <v>#VALUE!</v>
      </c>
      <c r="AK924" s="104" t="e">
        <f t="shared" si="413"/>
        <v>#N/A</v>
      </c>
      <c r="AL924" s="104" t="e">
        <f t="shared" si="414"/>
        <v>#N/A</v>
      </c>
      <c r="AM924" s="104" t="e">
        <f t="shared" si="415"/>
        <v>#N/A</v>
      </c>
      <c r="AN924" s="104" t="e">
        <f t="shared" si="426"/>
        <v>#N/A</v>
      </c>
      <c r="AO924" s="104" t="e">
        <f t="shared" si="427"/>
        <v>#N/A</v>
      </c>
      <c r="AP924" s="104" t="e">
        <f t="shared" si="428"/>
        <v>#N/A</v>
      </c>
      <c r="AQ924" s="104" t="e">
        <f t="shared" si="429"/>
        <v>#N/A</v>
      </c>
      <c r="AR924" s="105" t="str">
        <f t="shared" si="421"/>
        <v/>
      </c>
      <c r="AS924" s="105" t="str">
        <f t="shared" si="422"/>
        <v/>
      </c>
      <c r="AT924" s="108" t="str">
        <f t="shared" si="423"/>
        <v/>
      </c>
      <c r="AU924" s="108" t="str">
        <f t="shared" si="424"/>
        <v/>
      </c>
      <c r="AV924" s="107" t="str">
        <f>IF(ISNUMBER(O924),IF(VLOOKUP($A924,Stand!C:J,8,FALSE)="Short",AT924,AU924),"")</f>
        <v/>
      </c>
      <c r="AW924" s="109" t="str">
        <f t="shared" si="430"/>
        <v/>
      </c>
      <c r="AX924" s="109" t="str">
        <f t="shared" si="431"/>
        <v/>
      </c>
      <c r="AY924" s="112" t="str">
        <f>IF(ISNUMBER(O924),IF(AND(VLOOKUP($D924,Merchantability!$B:$C,2,0)="Yes",$E924&gt;=VLOOKUP($D924,Merchantability!$B:$D,3,0),$E924&lt;=VLOOKUP($D924,Merchantability!$B:$E,4,0)),(AV924*O924)*(1-$H924/100),""),"")</f>
        <v/>
      </c>
      <c r="AZ924" s="116"/>
      <c r="BA924" s="116"/>
      <c r="BB924" s="116"/>
      <c r="BE924" s="62"/>
      <c r="BF924" s="63"/>
    </row>
    <row r="925" spans="1:58" ht="12.75" customHeight="1" x14ac:dyDescent="0.25">
      <c r="A925" s="313"/>
      <c r="B925" s="328"/>
      <c r="C925" s="329"/>
      <c r="D925" s="328"/>
      <c r="E925" s="330"/>
      <c r="F925" s="328"/>
      <c r="G925" s="329"/>
      <c r="H925" s="329"/>
      <c r="I925" s="328"/>
      <c r="J925" s="383"/>
      <c r="K925" s="329"/>
      <c r="L925" s="329"/>
      <c r="M925" s="76"/>
      <c r="N925" s="103" t="str">
        <f>IF(A925="","",VLOOKUP(A925,Stand!C:K,9,0))</f>
        <v/>
      </c>
      <c r="O925" s="104" t="str">
        <f t="shared" si="416"/>
        <v/>
      </c>
      <c r="P925" s="105" t="str">
        <f t="shared" si="417"/>
        <v/>
      </c>
      <c r="Q925" s="105" t="str">
        <f t="shared" ref="Q925:Q988" si="432">IF(AND(ISNUMBER(O925),I925&gt;0),I925*O925,"")</f>
        <v/>
      </c>
      <c r="R925" s="103" t="str">
        <f t="shared" si="418"/>
        <v/>
      </c>
      <c r="S925" s="103" t="str">
        <f t="shared" si="419"/>
        <v/>
      </c>
      <c r="T925" s="106" t="str">
        <f t="shared" ref="T925:T988" si="433">IF(AND(ISNUMBER(O925),J925&gt;0),J925/100,"")</f>
        <v/>
      </c>
      <c r="U925" s="106" t="str">
        <f t="shared" ref="U925:U988" si="434">IF(AND(ISNUMBER(O925),J925&gt;0),T925*O925,"")</f>
        <v/>
      </c>
      <c r="V925" s="106" t="str">
        <f t="shared" ref="V925:V988" si="435">IF(AND(ISNUMBER(O925),I925&gt;0),W925*O925,"")</f>
        <v/>
      </c>
      <c r="W925" s="105" t="str">
        <f t="shared" si="420"/>
        <v/>
      </c>
      <c r="X925" s="104" t="str">
        <f t="shared" si="425"/>
        <v/>
      </c>
      <c r="Y925" s="104" t="str">
        <f t="array" ref="Y925">IFERROR(IF(ISNUMBER(O925),IF(COUNT(IF(A925=$A$2:$A$2427,IF(D925=$D$2:$D$2427,IF($X$2:$X$2427&gt;0,1))))&gt;0,SUM(IF(A925=$A$2:$A$2427,IF(D925=$D$2:$D$2427,$X$2:$X$2427)))/COUNT(IF(A925=$A$2:$A$2427,IF(D925=$D$2:$D$2427,IF(ISNUMBER($X$2:$X$2427),1)))),0),""),0)</f>
        <v/>
      </c>
      <c r="Z925" s="104" t="str">
        <f>IF(ISNUMBER(O925),IF(I925&gt;0,(10^(VLOOKUP(D925,'Species Codes'!B:C,2,0)+VLOOKUP(D925,'Species Codes'!B:D,3,0)*LOG(E925)+VLOOKUP(D925,'Species Codes'!B:E,4,0)*LOG(I925))),0),"")</f>
        <v/>
      </c>
      <c r="AA925" s="104" t="str">
        <f>IFERROR((VLOOKUP(D925,'Species Codes'!B:G,6,0)*Z925)/2000,"")</f>
        <v/>
      </c>
      <c r="AB925" s="104" t="e">
        <f>IF(Z925&gt;0,((IF(OR(D925="DF",D925="RA")=TRUE,EXP(VLOOKUP(D925,'Species Codes'!B:I,8,0)+VLOOKUP(D925,'Species Codes'!B:J,9,0)*(LN((E925*2.54)))),IF(OR(D925="PY",D925="RC",D925="WH",D925="NF")=TRUE,VLOOKUP(D925,'Species Codes'!B:I,8,0)+VLOOKUP(D925,'Species Codes'!B:J,9,0)*((E925*2.54)^2)*(I925*0.3048),IF(OR(D925="MD",D925="BM",D925="GA")=TRUE,((VLOOKUP(D925,'Species Codes'!B:I,8,0)*(((((E925*2.54)+VLOOKUP(D925,'Species Codes'!B:J,9,0))/VLOOKUP(D925,'Species Codes'!B:K,10,0))^VLOOKUP(D925,'Species Codes'!B:L,11,0))*((I925*0.3048)^VLOOKUP(D925,'Species Codes'!B:M,12,0))))-(VLOOKUP(D925,'Species Codes'!B:I,8,0)*((((E925*2.54)^VLOOKUP(D925,'Species Codes'!B:L,11,0))*((I925*0.3048)^VLOOKUP(D925,'Species Codes'!B:M,12,0))))))*35.3*VLOOKUP(D925,'Species Codes'!B:G,6,0)/2.2046,VLOOKUP(D925,'Species Codes'!B:I,8,0)+VLOOKUP(D925,'Species Codes'!B:J,9,0)*(((E925*2.54)/100)^2)*(I925*0.3048)))))*0.0011023),0)</f>
        <v>#N/A</v>
      </c>
      <c r="AC925" s="104" t="e">
        <f>IF(Z925&gt;0,((IF(OR(D925="RA",D925="OA",D925="OT",D925="UN",D925="PC"),EXP(VLOOKUP(D925,'Species Codes'!B:O,14,0)+VLOOKUP(D925,'Species Codes'!B:P,15,0)*LN((E925*2.54)))-EXP(VLOOKUP(D925,'Species Codes'!B:O,14,0)+VLOOKUP(D925,'Species Codes'!B:P,15,0)*LN((E925*2.54)))*(1/(VLOOKUP(D925,'Species Codes'!B:Q,16,0)+VLOOKUP(D925,'Species Codes'!B:R,17,0)*((E925*2.54)^VLOOKUP(D925,'Species Codes'!B:S,18,0)))),IF(OR(D925="BM",D925="MD",D925="OA"),EXP(VLOOKUP(D925,'Species Codes'!B:O,14,0)+VLOOKUP(D925,'Species Codes'!B:P,15,0)*LN((E925*2.54)))*(1-(1/(VLOOKUP(D925,'Species Codes'!B:Q,16,0)+VLOOKUP(D925,'Species Codes'!B:R,17,0)*((E925*2.54)^VLOOKUP(D925,'Species Codes'!B:S,18,0)))))/1000,IF(D925="DF",EXP(VLOOKUP(D925,'Species Codes'!B:O,14,0)+VLOOKUP(D925,'Species Codes'!B:P,15,0)*LN((E925*2.54))),VLOOKUP(D925,'Species Codes'!B:O,14,0)+VLOOKUP(D925,'Species Codes'!B:P,15,0)*(((E925*2.54)/100)^2)*(I925*0.3048)))))*0.0011023),0)</f>
        <v>#N/A</v>
      </c>
      <c r="AD925" s="104" t="e">
        <f t="shared" ref="AD925:AD988" si="436">SUM(AA925:AC925)</f>
        <v>#N/A</v>
      </c>
      <c r="AE925" s="104" t="e">
        <f t="shared" ref="AE925:AE988" si="437">AD925*O925</f>
        <v>#N/A</v>
      </c>
      <c r="AF925" s="104" t="e">
        <f>IF(AND(VLOOKUP($D925,Merchantability!$B:$C,2,0)="Yes",$E925&gt;=VLOOKUP($D925,Merchantability!$B:$D,3,0),$E925&lt;=VLOOKUP($D925,Merchantability!$B:$E,4,0)),AA925,0)</f>
        <v>#N/A</v>
      </c>
      <c r="AG925" s="104" t="e">
        <f>IF(AND(VLOOKUP($D925,Merchantability!$B:$C,2,0)="Yes",$E925&gt;=VLOOKUP($D925,Merchantability!$B:$D,3,0),$E925&lt;=VLOOKUP($D925,Merchantability!$B:$E,4,0)),AB925,0)</f>
        <v>#N/A</v>
      </c>
      <c r="AH925" s="104" t="e">
        <f>IF(AND(VLOOKUP($D925,Merchantability!$B:$C,2,0)="Yes",$E925&gt;=VLOOKUP($D925,Merchantability!$B:$D,3,0),$E925&lt;=VLOOKUP($D925,Merchantability!$B:$E,4,0)),AC925,0)</f>
        <v>#N/A</v>
      </c>
      <c r="AI925" s="104" t="e">
        <f t="shared" ref="AI925:AI988" si="438">SUM(AF925:AH925)</f>
        <v>#N/A</v>
      </c>
      <c r="AJ925" s="104" t="e">
        <f t="shared" ref="AJ925:AJ988" si="439">AA925*$O925</f>
        <v>#VALUE!</v>
      </c>
      <c r="AK925" s="104" t="e">
        <f t="shared" ref="AK925:AK988" si="440">AB925*$O925</f>
        <v>#N/A</v>
      </c>
      <c r="AL925" s="104" t="e">
        <f t="shared" ref="AL925:AL988" si="441">AC925*$O925</f>
        <v>#N/A</v>
      </c>
      <c r="AM925" s="104" t="e">
        <f t="shared" ref="AM925:AM988" si="442">AD925*$O925</f>
        <v>#N/A</v>
      </c>
      <c r="AN925" s="104" t="e">
        <f t="shared" si="426"/>
        <v>#N/A</v>
      </c>
      <c r="AO925" s="104" t="e">
        <f t="shared" si="427"/>
        <v>#N/A</v>
      </c>
      <c r="AP925" s="104" t="e">
        <f t="shared" si="428"/>
        <v>#N/A</v>
      </c>
      <c r="AQ925" s="104" t="e">
        <f t="shared" si="429"/>
        <v>#N/A</v>
      </c>
      <c r="AR925" s="105" t="str">
        <f t="shared" si="421"/>
        <v/>
      </c>
      <c r="AS925" s="105" t="str">
        <f t="shared" si="422"/>
        <v/>
      </c>
      <c r="AT925" s="108" t="str">
        <f t="shared" si="423"/>
        <v/>
      </c>
      <c r="AU925" s="108" t="str">
        <f t="shared" si="424"/>
        <v/>
      </c>
      <c r="AV925" s="107" t="str">
        <f>IF(ISNUMBER(O925),IF(VLOOKUP($A925,Stand!C:J,8,FALSE)="Short",AT925,AU925),"")</f>
        <v/>
      </c>
      <c r="AW925" s="109" t="str">
        <f t="shared" si="430"/>
        <v/>
      </c>
      <c r="AX925" s="109" t="str">
        <f t="shared" si="431"/>
        <v/>
      </c>
      <c r="AY925" s="112" t="str">
        <f>IF(ISNUMBER(O925),IF(AND(VLOOKUP($D925,Merchantability!$B:$C,2,0)="Yes",$E925&gt;=VLOOKUP($D925,Merchantability!$B:$D,3,0),$E925&lt;=VLOOKUP($D925,Merchantability!$B:$E,4,0)),(AV925*O925)*(1-$H925/100),""),"")</f>
        <v/>
      </c>
      <c r="AZ925" s="116"/>
      <c r="BA925" s="116"/>
      <c r="BB925" s="116"/>
      <c r="BE925" s="62"/>
      <c r="BF925" s="63"/>
    </row>
    <row r="926" spans="1:58" ht="12.75" customHeight="1" x14ac:dyDescent="0.25">
      <c r="A926" s="313"/>
      <c r="B926" s="328"/>
      <c r="C926" s="329"/>
      <c r="D926" s="328"/>
      <c r="E926" s="330"/>
      <c r="F926" s="328"/>
      <c r="G926" s="329"/>
      <c r="H926" s="329"/>
      <c r="I926" s="328"/>
      <c r="J926" s="383"/>
      <c r="K926" s="329"/>
      <c r="L926" s="329"/>
      <c r="M926" s="76"/>
      <c r="N926" s="103" t="str">
        <f>IF(A926="","",VLOOKUP(A926,Stand!C:K,9,0))</f>
        <v/>
      </c>
      <c r="O926" s="104" t="str">
        <f t="shared" si="416"/>
        <v/>
      </c>
      <c r="P926" s="105" t="str">
        <f t="shared" si="417"/>
        <v/>
      </c>
      <c r="Q926" s="105" t="str">
        <f t="shared" si="432"/>
        <v/>
      </c>
      <c r="R926" s="103" t="str">
        <f t="shared" si="418"/>
        <v/>
      </c>
      <c r="S926" s="103" t="str">
        <f t="shared" si="419"/>
        <v/>
      </c>
      <c r="T926" s="106" t="str">
        <f t="shared" si="433"/>
        <v/>
      </c>
      <c r="U926" s="106" t="str">
        <f t="shared" si="434"/>
        <v/>
      </c>
      <c r="V926" s="106" t="str">
        <f t="shared" si="435"/>
        <v/>
      </c>
      <c r="W926" s="105" t="str">
        <f t="shared" si="420"/>
        <v/>
      </c>
      <c r="X926" s="104" t="str">
        <f t="shared" si="425"/>
        <v/>
      </c>
      <c r="Y926" s="104" t="str">
        <f t="array" ref="Y926">IFERROR(IF(ISNUMBER(O926),IF(COUNT(IF(A926=$A$2:$A$2427,IF(D926=$D$2:$D$2427,IF($X$2:$X$2427&gt;0,1))))&gt;0,SUM(IF(A926=$A$2:$A$2427,IF(D926=$D$2:$D$2427,$X$2:$X$2427)))/COUNT(IF(A926=$A$2:$A$2427,IF(D926=$D$2:$D$2427,IF(ISNUMBER($X$2:$X$2427),1)))),0),""),0)</f>
        <v/>
      </c>
      <c r="Z926" s="104" t="str">
        <f>IF(ISNUMBER(O926),IF(I926&gt;0,(10^(VLOOKUP(D926,'Species Codes'!B:C,2,0)+VLOOKUP(D926,'Species Codes'!B:D,3,0)*LOG(E926)+VLOOKUP(D926,'Species Codes'!B:E,4,0)*LOG(I926))),0),"")</f>
        <v/>
      </c>
      <c r="AA926" s="104" t="str">
        <f>IFERROR((VLOOKUP(D926,'Species Codes'!B:G,6,0)*Z926)/2000,"")</f>
        <v/>
      </c>
      <c r="AB926" s="104" t="e">
        <f>IF(Z926&gt;0,((IF(OR(D926="DF",D926="RA")=TRUE,EXP(VLOOKUP(D926,'Species Codes'!B:I,8,0)+VLOOKUP(D926,'Species Codes'!B:J,9,0)*(LN((E926*2.54)))),IF(OR(D926="PY",D926="RC",D926="WH",D926="NF")=TRUE,VLOOKUP(D926,'Species Codes'!B:I,8,0)+VLOOKUP(D926,'Species Codes'!B:J,9,0)*((E926*2.54)^2)*(I926*0.3048),IF(OR(D926="MD",D926="BM",D926="GA")=TRUE,((VLOOKUP(D926,'Species Codes'!B:I,8,0)*(((((E926*2.54)+VLOOKUP(D926,'Species Codes'!B:J,9,0))/VLOOKUP(D926,'Species Codes'!B:K,10,0))^VLOOKUP(D926,'Species Codes'!B:L,11,0))*((I926*0.3048)^VLOOKUP(D926,'Species Codes'!B:M,12,0))))-(VLOOKUP(D926,'Species Codes'!B:I,8,0)*((((E926*2.54)^VLOOKUP(D926,'Species Codes'!B:L,11,0))*((I926*0.3048)^VLOOKUP(D926,'Species Codes'!B:M,12,0))))))*35.3*VLOOKUP(D926,'Species Codes'!B:G,6,0)/2.2046,VLOOKUP(D926,'Species Codes'!B:I,8,0)+VLOOKUP(D926,'Species Codes'!B:J,9,0)*(((E926*2.54)/100)^2)*(I926*0.3048)))))*0.0011023),0)</f>
        <v>#N/A</v>
      </c>
      <c r="AC926" s="104" t="e">
        <f>IF(Z926&gt;0,((IF(OR(D926="RA",D926="OA",D926="OT",D926="UN",D926="PC"),EXP(VLOOKUP(D926,'Species Codes'!B:O,14,0)+VLOOKUP(D926,'Species Codes'!B:P,15,0)*LN((E926*2.54)))-EXP(VLOOKUP(D926,'Species Codes'!B:O,14,0)+VLOOKUP(D926,'Species Codes'!B:P,15,0)*LN((E926*2.54)))*(1/(VLOOKUP(D926,'Species Codes'!B:Q,16,0)+VLOOKUP(D926,'Species Codes'!B:R,17,0)*((E926*2.54)^VLOOKUP(D926,'Species Codes'!B:S,18,0)))),IF(OR(D926="BM",D926="MD",D926="OA"),EXP(VLOOKUP(D926,'Species Codes'!B:O,14,0)+VLOOKUP(D926,'Species Codes'!B:P,15,0)*LN((E926*2.54)))*(1-(1/(VLOOKUP(D926,'Species Codes'!B:Q,16,0)+VLOOKUP(D926,'Species Codes'!B:R,17,0)*((E926*2.54)^VLOOKUP(D926,'Species Codes'!B:S,18,0)))))/1000,IF(D926="DF",EXP(VLOOKUP(D926,'Species Codes'!B:O,14,0)+VLOOKUP(D926,'Species Codes'!B:P,15,0)*LN((E926*2.54))),VLOOKUP(D926,'Species Codes'!B:O,14,0)+VLOOKUP(D926,'Species Codes'!B:P,15,0)*(((E926*2.54)/100)^2)*(I926*0.3048)))))*0.0011023),0)</f>
        <v>#N/A</v>
      </c>
      <c r="AD926" s="104" t="e">
        <f t="shared" si="436"/>
        <v>#N/A</v>
      </c>
      <c r="AE926" s="104" t="e">
        <f t="shared" si="437"/>
        <v>#N/A</v>
      </c>
      <c r="AF926" s="104" t="e">
        <f>IF(AND(VLOOKUP($D926,Merchantability!$B:$C,2,0)="Yes",$E926&gt;=VLOOKUP($D926,Merchantability!$B:$D,3,0),$E926&lt;=VLOOKUP($D926,Merchantability!$B:$E,4,0)),AA926,0)</f>
        <v>#N/A</v>
      </c>
      <c r="AG926" s="104" t="e">
        <f>IF(AND(VLOOKUP($D926,Merchantability!$B:$C,2,0)="Yes",$E926&gt;=VLOOKUP($D926,Merchantability!$B:$D,3,0),$E926&lt;=VLOOKUP($D926,Merchantability!$B:$E,4,0)),AB926,0)</f>
        <v>#N/A</v>
      </c>
      <c r="AH926" s="104" t="e">
        <f>IF(AND(VLOOKUP($D926,Merchantability!$B:$C,2,0)="Yes",$E926&gt;=VLOOKUP($D926,Merchantability!$B:$D,3,0),$E926&lt;=VLOOKUP($D926,Merchantability!$B:$E,4,0)),AC926,0)</f>
        <v>#N/A</v>
      </c>
      <c r="AI926" s="104" t="e">
        <f t="shared" si="438"/>
        <v>#N/A</v>
      </c>
      <c r="AJ926" s="104" t="e">
        <f t="shared" si="439"/>
        <v>#VALUE!</v>
      </c>
      <c r="AK926" s="104" t="e">
        <f t="shared" si="440"/>
        <v>#N/A</v>
      </c>
      <c r="AL926" s="104" t="e">
        <f t="shared" si="441"/>
        <v>#N/A</v>
      </c>
      <c r="AM926" s="104" t="e">
        <f t="shared" si="442"/>
        <v>#N/A</v>
      </c>
      <c r="AN926" s="104" t="e">
        <f t="shared" si="426"/>
        <v>#N/A</v>
      </c>
      <c r="AO926" s="104" t="e">
        <f t="shared" si="427"/>
        <v>#N/A</v>
      </c>
      <c r="AP926" s="104" t="e">
        <f t="shared" si="428"/>
        <v>#N/A</v>
      </c>
      <c r="AQ926" s="104" t="e">
        <f t="shared" si="429"/>
        <v>#N/A</v>
      </c>
      <c r="AR926" s="105" t="str">
        <f t="shared" si="421"/>
        <v/>
      </c>
      <c r="AS926" s="105" t="str">
        <f t="shared" si="422"/>
        <v/>
      </c>
      <c r="AT926" s="108" t="str">
        <f t="shared" si="423"/>
        <v/>
      </c>
      <c r="AU926" s="108" t="str">
        <f t="shared" si="424"/>
        <v/>
      </c>
      <c r="AV926" s="107" t="str">
        <f>IF(ISNUMBER(O926),IF(VLOOKUP($A926,Stand!C:J,8,FALSE)="Short",AT926,AU926),"")</f>
        <v/>
      </c>
      <c r="AW926" s="109" t="str">
        <f t="shared" si="430"/>
        <v/>
      </c>
      <c r="AX926" s="109" t="str">
        <f t="shared" si="431"/>
        <v/>
      </c>
      <c r="AY926" s="112" t="str">
        <f>IF(ISNUMBER(O926),IF(AND(VLOOKUP($D926,Merchantability!$B:$C,2,0)="Yes",$E926&gt;=VLOOKUP($D926,Merchantability!$B:$D,3,0),$E926&lt;=VLOOKUP($D926,Merchantability!$B:$E,4,0)),(AV926*O926)*(1-$H926/100),""),"")</f>
        <v/>
      </c>
      <c r="AZ926" s="116"/>
      <c r="BA926" s="116"/>
      <c r="BB926" s="116"/>
      <c r="BE926" s="62"/>
      <c r="BF926" s="63"/>
    </row>
    <row r="927" spans="1:58" ht="12.75" customHeight="1" x14ac:dyDescent="0.25">
      <c r="A927" s="313"/>
      <c r="B927" s="328"/>
      <c r="C927" s="329"/>
      <c r="D927" s="328"/>
      <c r="E927" s="330"/>
      <c r="F927" s="328"/>
      <c r="G927" s="329"/>
      <c r="H927" s="329"/>
      <c r="I927" s="328"/>
      <c r="J927" s="383"/>
      <c r="K927" s="329"/>
      <c r="L927" s="329"/>
      <c r="M927" s="76"/>
      <c r="N927" s="103" t="str">
        <f>IF(A927="","",VLOOKUP(A927,Stand!C:K,9,0))</f>
        <v/>
      </c>
      <c r="O927" s="104" t="str">
        <f t="shared" si="416"/>
        <v/>
      </c>
      <c r="P927" s="105" t="str">
        <f t="shared" si="417"/>
        <v/>
      </c>
      <c r="Q927" s="105" t="str">
        <f t="shared" si="432"/>
        <v/>
      </c>
      <c r="R927" s="103" t="str">
        <f t="shared" si="418"/>
        <v/>
      </c>
      <c r="S927" s="103" t="str">
        <f t="shared" si="419"/>
        <v/>
      </c>
      <c r="T927" s="106" t="str">
        <f t="shared" si="433"/>
        <v/>
      </c>
      <c r="U927" s="106" t="str">
        <f t="shared" si="434"/>
        <v/>
      </c>
      <c r="V927" s="106" t="str">
        <f t="shared" si="435"/>
        <v/>
      </c>
      <c r="W927" s="105" t="str">
        <f t="shared" si="420"/>
        <v/>
      </c>
      <c r="X927" s="104" t="str">
        <f t="shared" si="425"/>
        <v/>
      </c>
      <c r="Y927" s="104" t="str">
        <f t="array" ref="Y927">IFERROR(IF(ISNUMBER(O927),IF(COUNT(IF(A927=$A$2:$A$2427,IF(D927=$D$2:$D$2427,IF($X$2:$X$2427&gt;0,1))))&gt;0,SUM(IF(A927=$A$2:$A$2427,IF(D927=$D$2:$D$2427,$X$2:$X$2427)))/COUNT(IF(A927=$A$2:$A$2427,IF(D927=$D$2:$D$2427,IF(ISNUMBER($X$2:$X$2427),1)))),0),""),0)</f>
        <v/>
      </c>
      <c r="Z927" s="104" t="str">
        <f>IF(ISNUMBER(O927),IF(I927&gt;0,(10^(VLOOKUP(D927,'Species Codes'!B:C,2,0)+VLOOKUP(D927,'Species Codes'!B:D,3,0)*LOG(E927)+VLOOKUP(D927,'Species Codes'!B:E,4,0)*LOG(I927))),0),"")</f>
        <v/>
      </c>
      <c r="AA927" s="104" t="str">
        <f>IFERROR((VLOOKUP(D927,'Species Codes'!B:G,6,0)*Z927)/2000,"")</f>
        <v/>
      </c>
      <c r="AB927" s="104" t="e">
        <f>IF(Z927&gt;0,((IF(OR(D927="DF",D927="RA")=TRUE,EXP(VLOOKUP(D927,'Species Codes'!B:I,8,0)+VLOOKUP(D927,'Species Codes'!B:J,9,0)*(LN((E927*2.54)))),IF(OR(D927="PY",D927="RC",D927="WH",D927="NF")=TRUE,VLOOKUP(D927,'Species Codes'!B:I,8,0)+VLOOKUP(D927,'Species Codes'!B:J,9,0)*((E927*2.54)^2)*(I927*0.3048),IF(OR(D927="MD",D927="BM",D927="GA")=TRUE,((VLOOKUP(D927,'Species Codes'!B:I,8,0)*(((((E927*2.54)+VLOOKUP(D927,'Species Codes'!B:J,9,0))/VLOOKUP(D927,'Species Codes'!B:K,10,0))^VLOOKUP(D927,'Species Codes'!B:L,11,0))*((I927*0.3048)^VLOOKUP(D927,'Species Codes'!B:M,12,0))))-(VLOOKUP(D927,'Species Codes'!B:I,8,0)*((((E927*2.54)^VLOOKUP(D927,'Species Codes'!B:L,11,0))*((I927*0.3048)^VLOOKUP(D927,'Species Codes'!B:M,12,0))))))*35.3*VLOOKUP(D927,'Species Codes'!B:G,6,0)/2.2046,VLOOKUP(D927,'Species Codes'!B:I,8,0)+VLOOKUP(D927,'Species Codes'!B:J,9,0)*(((E927*2.54)/100)^2)*(I927*0.3048)))))*0.0011023),0)</f>
        <v>#N/A</v>
      </c>
      <c r="AC927" s="104" t="e">
        <f>IF(Z927&gt;0,((IF(OR(D927="RA",D927="OA",D927="OT",D927="UN",D927="PC"),EXP(VLOOKUP(D927,'Species Codes'!B:O,14,0)+VLOOKUP(D927,'Species Codes'!B:P,15,0)*LN((E927*2.54)))-EXP(VLOOKUP(D927,'Species Codes'!B:O,14,0)+VLOOKUP(D927,'Species Codes'!B:P,15,0)*LN((E927*2.54)))*(1/(VLOOKUP(D927,'Species Codes'!B:Q,16,0)+VLOOKUP(D927,'Species Codes'!B:R,17,0)*((E927*2.54)^VLOOKUP(D927,'Species Codes'!B:S,18,0)))),IF(OR(D927="BM",D927="MD",D927="OA"),EXP(VLOOKUP(D927,'Species Codes'!B:O,14,0)+VLOOKUP(D927,'Species Codes'!B:P,15,0)*LN((E927*2.54)))*(1-(1/(VLOOKUP(D927,'Species Codes'!B:Q,16,0)+VLOOKUP(D927,'Species Codes'!B:R,17,0)*((E927*2.54)^VLOOKUP(D927,'Species Codes'!B:S,18,0)))))/1000,IF(D927="DF",EXP(VLOOKUP(D927,'Species Codes'!B:O,14,0)+VLOOKUP(D927,'Species Codes'!B:P,15,0)*LN((E927*2.54))),VLOOKUP(D927,'Species Codes'!B:O,14,0)+VLOOKUP(D927,'Species Codes'!B:P,15,0)*(((E927*2.54)/100)^2)*(I927*0.3048)))))*0.0011023),0)</f>
        <v>#N/A</v>
      </c>
      <c r="AD927" s="104" t="e">
        <f t="shared" si="436"/>
        <v>#N/A</v>
      </c>
      <c r="AE927" s="104" t="e">
        <f t="shared" si="437"/>
        <v>#N/A</v>
      </c>
      <c r="AF927" s="104" t="e">
        <f>IF(AND(VLOOKUP($D927,Merchantability!$B:$C,2,0)="Yes",$E927&gt;=VLOOKUP($D927,Merchantability!$B:$D,3,0),$E927&lt;=VLOOKUP($D927,Merchantability!$B:$E,4,0)),AA927,0)</f>
        <v>#N/A</v>
      </c>
      <c r="AG927" s="104" t="e">
        <f>IF(AND(VLOOKUP($D927,Merchantability!$B:$C,2,0)="Yes",$E927&gt;=VLOOKUP($D927,Merchantability!$B:$D,3,0),$E927&lt;=VLOOKUP($D927,Merchantability!$B:$E,4,0)),AB927,0)</f>
        <v>#N/A</v>
      </c>
      <c r="AH927" s="104" t="e">
        <f>IF(AND(VLOOKUP($D927,Merchantability!$B:$C,2,0)="Yes",$E927&gt;=VLOOKUP($D927,Merchantability!$B:$D,3,0),$E927&lt;=VLOOKUP($D927,Merchantability!$B:$E,4,0)),AC927,0)</f>
        <v>#N/A</v>
      </c>
      <c r="AI927" s="104" t="e">
        <f t="shared" si="438"/>
        <v>#N/A</v>
      </c>
      <c r="AJ927" s="104" t="e">
        <f t="shared" si="439"/>
        <v>#VALUE!</v>
      </c>
      <c r="AK927" s="104" t="e">
        <f t="shared" si="440"/>
        <v>#N/A</v>
      </c>
      <c r="AL927" s="104" t="e">
        <f t="shared" si="441"/>
        <v>#N/A</v>
      </c>
      <c r="AM927" s="104" t="e">
        <f t="shared" si="442"/>
        <v>#N/A</v>
      </c>
      <c r="AN927" s="104" t="e">
        <f t="shared" si="426"/>
        <v>#N/A</v>
      </c>
      <c r="AO927" s="104" t="e">
        <f t="shared" si="427"/>
        <v>#N/A</v>
      </c>
      <c r="AP927" s="104" t="e">
        <f t="shared" si="428"/>
        <v>#N/A</v>
      </c>
      <c r="AQ927" s="104" t="e">
        <f t="shared" si="429"/>
        <v>#N/A</v>
      </c>
      <c r="AR927" s="105" t="str">
        <f t="shared" si="421"/>
        <v/>
      </c>
      <c r="AS927" s="105" t="str">
        <f t="shared" si="422"/>
        <v/>
      </c>
      <c r="AT927" s="108" t="str">
        <f t="shared" si="423"/>
        <v/>
      </c>
      <c r="AU927" s="108" t="str">
        <f t="shared" si="424"/>
        <v/>
      </c>
      <c r="AV927" s="107" t="str">
        <f>IF(ISNUMBER(O927),IF(VLOOKUP($A927,Stand!C:J,8,FALSE)="Short",AT927,AU927),"")</f>
        <v/>
      </c>
      <c r="AW927" s="109" t="str">
        <f t="shared" si="430"/>
        <v/>
      </c>
      <c r="AX927" s="109" t="str">
        <f t="shared" si="431"/>
        <v/>
      </c>
      <c r="AY927" s="112" t="str">
        <f>IF(ISNUMBER(O927),IF(AND(VLOOKUP($D927,Merchantability!$B:$C,2,0)="Yes",$E927&gt;=VLOOKUP($D927,Merchantability!$B:$D,3,0),$E927&lt;=VLOOKUP($D927,Merchantability!$B:$E,4,0)),(AV927*O927)*(1-$H927/100),""),"")</f>
        <v/>
      </c>
      <c r="AZ927" s="116"/>
      <c r="BA927" s="116"/>
      <c r="BB927" s="116"/>
      <c r="BE927" s="62"/>
      <c r="BF927" s="63"/>
    </row>
    <row r="928" spans="1:58" ht="12.75" customHeight="1" x14ac:dyDescent="0.25">
      <c r="A928" s="313"/>
      <c r="B928" s="328"/>
      <c r="C928" s="329"/>
      <c r="D928" s="328"/>
      <c r="E928" s="330"/>
      <c r="F928" s="328"/>
      <c r="G928" s="329"/>
      <c r="H928" s="329"/>
      <c r="I928" s="328"/>
      <c r="J928" s="383"/>
      <c r="K928" s="329"/>
      <c r="L928" s="329"/>
      <c r="M928" s="76"/>
      <c r="N928" s="103" t="str">
        <f>IF(A928="","",VLOOKUP(A928,Stand!C:K,9,0))</f>
        <v/>
      </c>
      <c r="O928" s="104" t="str">
        <f t="shared" si="416"/>
        <v/>
      </c>
      <c r="P928" s="105" t="str">
        <f t="shared" si="417"/>
        <v/>
      </c>
      <c r="Q928" s="105" t="str">
        <f t="shared" si="432"/>
        <v/>
      </c>
      <c r="R928" s="103" t="str">
        <f t="shared" si="418"/>
        <v/>
      </c>
      <c r="S928" s="103" t="str">
        <f t="shared" si="419"/>
        <v/>
      </c>
      <c r="T928" s="106" t="str">
        <f t="shared" si="433"/>
        <v/>
      </c>
      <c r="U928" s="106" t="str">
        <f t="shared" si="434"/>
        <v/>
      </c>
      <c r="V928" s="106" t="str">
        <f t="shared" si="435"/>
        <v/>
      </c>
      <c r="W928" s="105" t="str">
        <f t="shared" si="420"/>
        <v/>
      </c>
      <c r="X928" s="104" t="str">
        <f t="shared" si="425"/>
        <v/>
      </c>
      <c r="Y928" s="104" t="str">
        <f t="array" ref="Y928">IFERROR(IF(ISNUMBER(O928),IF(COUNT(IF(A928=$A$2:$A$2427,IF(D928=$D$2:$D$2427,IF($X$2:$X$2427&gt;0,1))))&gt;0,SUM(IF(A928=$A$2:$A$2427,IF(D928=$D$2:$D$2427,$X$2:$X$2427)))/COUNT(IF(A928=$A$2:$A$2427,IF(D928=$D$2:$D$2427,IF(ISNUMBER($X$2:$X$2427),1)))),0),""),0)</f>
        <v/>
      </c>
      <c r="Z928" s="104" t="str">
        <f>IF(ISNUMBER(O928),IF(I928&gt;0,(10^(VLOOKUP(D928,'Species Codes'!B:C,2,0)+VLOOKUP(D928,'Species Codes'!B:D,3,0)*LOG(E928)+VLOOKUP(D928,'Species Codes'!B:E,4,0)*LOG(I928))),0),"")</f>
        <v/>
      </c>
      <c r="AA928" s="104" t="str">
        <f>IFERROR((VLOOKUP(D928,'Species Codes'!B:G,6,0)*Z928)/2000,"")</f>
        <v/>
      </c>
      <c r="AB928" s="104" t="e">
        <f>IF(Z928&gt;0,((IF(OR(D928="DF",D928="RA")=TRUE,EXP(VLOOKUP(D928,'Species Codes'!B:I,8,0)+VLOOKUP(D928,'Species Codes'!B:J,9,0)*(LN((E928*2.54)))),IF(OR(D928="PY",D928="RC",D928="WH",D928="NF")=TRUE,VLOOKUP(D928,'Species Codes'!B:I,8,0)+VLOOKUP(D928,'Species Codes'!B:J,9,0)*((E928*2.54)^2)*(I928*0.3048),IF(OR(D928="MD",D928="BM",D928="GA")=TRUE,((VLOOKUP(D928,'Species Codes'!B:I,8,0)*(((((E928*2.54)+VLOOKUP(D928,'Species Codes'!B:J,9,0))/VLOOKUP(D928,'Species Codes'!B:K,10,0))^VLOOKUP(D928,'Species Codes'!B:L,11,0))*((I928*0.3048)^VLOOKUP(D928,'Species Codes'!B:M,12,0))))-(VLOOKUP(D928,'Species Codes'!B:I,8,0)*((((E928*2.54)^VLOOKUP(D928,'Species Codes'!B:L,11,0))*((I928*0.3048)^VLOOKUP(D928,'Species Codes'!B:M,12,0))))))*35.3*VLOOKUP(D928,'Species Codes'!B:G,6,0)/2.2046,VLOOKUP(D928,'Species Codes'!B:I,8,0)+VLOOKUP(D928,'Species Codes'!B:J,9,0)*(((E928*2.54)/100)^2)*(I928*0.3048)))))*0.0011023),0)</f>
        <v>#N/A</v>
      </c>
      <c r="AC928" s="104" t="e">
        <f>IF(Z928&gt;0,((IF(OR(D928="RA",D928="OA",D928="OT",D928="UN",D928="PC"),EXP(VLOOKUP(D928,'Species Codes'!B:O,14,0)+VLOOKUP(D928,'Species Codes'!B:P,15,0)*LN((E928*2.54)))-EXP(VLOOKUP(D928,'Species Codes'!B:O,14,0)+VLOOKUP(D928,'Species Codes'!B:P,15,0)*LN((E928*2.54)))*(1/(VLOOKUP(D928,'Species Codes'!B:Q,16,0)+VLOOKUP(D928,'Species Codes'!B:R,17,0)*((E928*2.54)^VLOOKUP(D928,'Species Codes'!B:S,18,0)))),IF(OR(D928="BM",D928="MD",D928="OA"),EXP(VLOOKUP(D928,'Species Codes'!B:O,14,0)+VLOOKUP(D928,'Species Codes'!B:P,15,0)*LN((E928*2.54)))*(1-(1/(VLOOKUP(D928,'Species Codes'!B:Q,16,0)+VLOOKUP(D928,'Species Codes'!B:R,17,0)*((E928*2.54)^VLOOKUP(D928,'Species Codes'!B:S,18,0)))))/1000,IF(D928="DF",EXP(VLOOKUP(D928,'Species Codes'!B:O,14,0)+VLOOKUP(D928,'Species Codes'!B:P,15,0)*LN((E928*2.54))),VLOOKUP(D928,'Species Codes'!B:O,14,0)+VLOOKUP(D928,'Species Codes'!B:P,15,0)*(((E928*2.54)/100)^2)*(I928*0.3048)))))*0.0011023),0)</f>
        <v>#N/A</v>
      </c>
      <c r="AD928" s="104" t="e">
        <f t="shared" si="436"/>
        <v>#N/A</v>
      </c>
      <c r="AE928" s="104" t="e">
        <f t="shared" si="437"/>
        <v>#N/A</v>
      </c>
      <c r="AF928" s="104" t="e">
        <f>IF(AND(VLOOKUP($D928,Merchantability!$B:$C,2,0)="Yes",$E928&gt;=VLOOKUP($D928,Merchantability!$B:$D,3,0),$E928&lt;=VLOOKUP($D928,Merchantability!$B:$E,4,0)),AA928,0)</f>
        <v>#N/A</v>
      </c>
      <c r="AG928" s="104" t="e">
        <f>IF(AND(VLOOKUP($D928,Merchantability!$B:$C,2,0)="Yes",$E928&gt;=VLOOKUP($D928,Merchantability!$B:$D,3,0),$E928&lt;=VLOOKUP($D928,Merchantability!$B:$E,4,0)),AB928,0)</f>
        <v>#N/A</v>
      </c>
      <c r="AH928" s="104" t="e">
        <f>IF(AND(VLOOKUP($D928,Merchantability!$B:$C,2,0)="Yes",$E928&gt;=VLOOKUP($D928,Merchantability!$B:$D,3,0),$E928&lt;=VLOOKUP($D928,Merchantability!$B:$E,4,0)),AC928,0)</f>
        <v>#N/A</v>
      </c>
      <c r="AI928" s="104" t="e">
        <f t="shared" si="438"/>
        <v>#N/A</v>
      </c>
      <c r="AJ928" s="104" t="e">
        <f t="shared" si="439"/>
        <v>#VALUE!</v>
      </c>
      <c r="AK928" s="104" t="e">
        <f t="shared" si="440"/>
        <v>#N/A</v>
      </c>
      <c r="AL928" s="104" t="e">
        <f t="shared" si="441"/>
        <v>#N/A</v>
      </c>
      <c r="AM928" s="104" t="e">
        <f t="shared" si="442"/>
        <v>#N/A</v>
      </c>
      <c r="AN928" s="104" t="e">
        <f t="shared" si="426"/>
        <v>#N/A</v>
      </c>
      <c r="AO928" s="104" t="e">
        <f t="shared" si="427"/>
        <v>#N/A</v>
      </c>
      <c r="AP928" s="104" t="e">
        <f t="shared" si="428"/>
        <v>#N/A</v>
      </c>
      <c r="AQ928" s="104" t="e">
        <f t="shared" si="429"/>
        <v>#N/A</v>
      </c>
      <c r="AR928" s="105" t="str">
        <f t="shared" si="421"/>
        <v/>
      </c>
      <c r="AS928" s="105" t="str">
        <f t="shared" si="422"/>
        <v/>
      </c>
      <c r="AT928" s="108" t="str">
        <f t="shared" si="423"/>
        <v/>
      </c>
      <c r="AU928" s="108" t="str">
        <f t="shared" si="424"/>
        <v/>
      </c>
      <c r="AV928" s="107" t="str">
        <f>IF(ISNUMBER(O928),IF(VLOOKUP($A928,Stand!C:J,8,FALSE)="Short",AT928,AU928),"")</f>
        <v/>
      </c>
      <c r="AW928" s="109" t="str">
        <f t="shared" si="430"/>
        <v/>
      </c>
      <c r="AX928" s="109" t="str">
        <f t="shared" si="431"/>
        <v/>
      </c>
      <c r="AY928" s="112" t="str">
        <f>IF(ISNUMBER(O928),IF(AND(VLOOKUP($D928,Merchantability!$B:$C,2,0)="Yes",$E928&gt;=VLOOKUP($D928,Merchantability!$B:$D,3,0),$E928&lt;=VLOOKUP($D928,Merchantability!$B:$E,4,0)),(AV928*O928)*(1-$H928/100),""),"")</f>
        <v/>
      </c>
      <c r="AZ928" s="116"/>
      <c r="BA928" s="116"/>
      <c r="BB928" s="116"/>
      <c r="BE928" s="62"/>
      <c r="BF928" s="63"/>
    </row>
    <row r="929" spans="1:58" ht="12.75" customHeight="1" x14ac:dyDescent="0.25">
      <c r="A929" s="313"/>
      <c r="B929" s="328"/>
      <c r="C929" s="329"/>
      <c r="D929" s="328"/>
      <c r="E929" s="330"/>
      <c r="F929" s="328"/>
      <c r="G929" s="329"/>
      <c r="H929" s="329"/>
      <c r="I929" s="328"/>
      <c r="J929" s="383"/>
      <c r="K929" s="329"/>
      <c r="L929" s="329"/>
      <c r="M929" s="76"/>
      <c r="N929" s="103" t="str">
        <f>IF(A929="","",VLOOKUP(A929,Stand!C:K,9,0))</f>
        <v/>
      </c>
      <c r="O929" s="104" t="str">
        <f t="shared" si="416"/>
        <v/>
      </c>
      <c r="P929" s="105" t="str">
        <f t="shared" si="417"/>
        <v/>
      </c>
      <c r="Q929" s="105" t="str">
        <f t="shared" si="432"/>
        <v/>
      </c>
      <c r="R929" s="103" t="str">
        <f t="shared" si="418"/>
        <v/>
      </c>
      <c r="S929" s="103" t="str">
        <f t="shared" si="419"/>
        <v/>
      </c>
      <c r="T929" s="106" t="str">
        <f t="shared" si="433"/>
        <v/>
      </c>
      <c r="U929" s="106" t="str">
        <f t="shared" si="434"/>
        <v/>
      </c>
      <c r="V929" s="106" t="str">
        <f t="shared" si="435"/>
        <v/>
      </c>
      <c r="W929" s="105" t="str">
        <f t="shared" si="420"/>
        <v/>
      </c>
      <c r="X929" s="104" t="str">
        <f t="shared" si="425"/>
        <v/>
      </c>
      <c r="Y929" s="104" t="str">
        <f t="array" ref="Y929">IFERROR(IF(ISNUMBER(O929),IF(COUNT(IF(A929=$A$2:$A$2427,IF(D929=$D$2:$D$2427,IF($X$2:$X$2427&gt;0,1))))&gt;0,SUM(IF(A929=$A$2:$A$2427,IF(D929=$D$2:$D$2427,$X$2:$X$2427)))/COUNT(IF(A929=$A$2:$A$2427,IF(D929=$D$2:$D$2427,IF(ISNUMBER($X$2:$X$2427),1)))),0),""),0)</f>
        <v/>
      </c>
      <c r="Z929" s="104" t="str">
        <f>IF(ISNUMBER(O929),IF(I929&gt;0,(10^(VLOOKUP(D929,'Species Codes'!B:C,2,0)+VLOOKUP(D929,'Species Codes'!B:D,3,0)*LOG(E929)+VLOOKUP(D929,'Species Codes'!B:E,4,0)*LOG(I929))),0),"")</f>
        <v/>
      </c>
      <c r="AA929" s="104" t="str">
        <f>IFERROR((VLOOKUP(D929,'Species Codes'!B:G,6,0)*Z929)/2000,"")</f>
        <v/>
      </c>
      <c r="AB929" s="104" t="e">
        <f>IF(Z929&gt;0,((IF(OR(D929="DF",D929="RA")=TRUE,EXP(VLOOKUP(D929,'Species Codes'!B:I,8,0)+VLOOKUP(D929,'Species Codes'!B:J,9,0)*(LN((E929*2.54)))),IF(OR(D929="PY",D929="RC",D929="WH",D929="NF")=TRUE,VLOOKUP(D929,'Species Codes'!B:I,8,0)+VLOOKUP(D929,'Species Codes'!B:J,9,0)*((E929*2.54)^2)*(I929*0.3048),IF(OR(D929="MD",D929="BM",D929="GA")=TRUE,((VLOOKUP(D929,'Species Codes'!B:I,8,0)*(((((E929*2.54)+VLOOKUP(D929,'Species Codes'!B:J,9,0))/VLOOKUP(D929,'Species Codes'!B:K,10,0))^VLOOKUP(D929,'Species Codes'!B:L,11,0))*((I929*0.3048)^VLOOKUP(D929,'Species Codes'!B:M,12,0))))-(VLOOKUP(D929,'Species Codes'!B:I,8,0)*((((E929*2.54)^VLOOKUP(D929,'Species Codes'!B:L,11,0))*((I929*0.3048)^VLOOKUP(D929,'Species Codes'!B:M,12,0))))))*35.3*VLOOKUP(D929,'Species Codes'!B:G,6,0)/2.2046,VLOOKUP(D929,'Species Codes'!B:I,8,0)+VLOOKUP(D929,'Species Codes'!B:J,9,0)*(((E929*2.54)/100)^2)*(I929*0.3048)))))*0.0011023),0)</f>
        <v>#N/A</v>
      </c>
      <c r="AC929" s="104" t="e">
        <f>IF(Z929&gt;0,((IF(OR(D929="RA",D929="OA",D929="OT",D929="UN",D929="PC"),EXP(VLOOKUP(D929,'Species Codes'!B:O,14,0)+VLOOKUP(D929,'Species Codes'!B:P,15,0)*LN((E929*2.54)))-EXP(VLOOKUP(D929,'Species Codes'!B:O,14,0)+VLOOKUP(D929,'Species Codes'!B:P,15,0)*LN((E929*2.54)))*(1/(VLOOKUP(D929,'Species Codes'!B:Q,16,0)+VLOOKUP(D929,'Species Codes'!B:R,17,0)*((E929*2.54)^VLOOKUP(D929,'Species Codes'!B:S,18,0)))),IF(OR(D929="BM",D929="MD",D929="OA"),EXP(VLOOKUP(D929,'Species Codes'!B:O,14,0)+VLOOKUP(D929,'Species Codes'!B:P,15,0)*LN((E929*2.54)))*(1-(1/(VLOOKUP(D929,'Species Codes'!B:Q,16,0)+VLOOKUP(D929,'Species Codes'!B:R,17,0)*((E929*2.54)^VLOOKUP(D929,'Species Codes'!B:S,18,0)))))/1000,IF(D929="DF",EXP(VLOOKUP(D929,'Species Codes'!B:O,14,0)+VLOOKUP(D929,'Species Codes'!B:P,15,0)*LN((E929*2.54))),VLOOKUP(D929,'Species Codes'!B:O,14,0)+VLOOKUP(D929,'Species Codes'!B:P,15,0)*(((E929*2.54)/100)^2)*(I929*0.3048)))))*0.0011023),0)</f>
        <v>#N/A</v>
      </c>
      <c r="AD929" s="104" t="e">
        <f t="shared" si="436"/>
        <v>#N/A</v>
      </c>
      <c r="AE929" s="104" t="e">
        <f t="shared" si="437"/>
        <v>#N/A</v>
      </c>
      <c r="AF929" s="104" t="e">
        <f>IF(AND(VLOOKUP($D929,Merchantability!$B:$C,2,0)="Yes",$E929&gt;=VLOOKUP($D929,Merchantability!$B:$D,3,0),$E929&lt;=VLOOKUP($D929,Merchantability!$B:$E,4,0)),AA929,0)</f>
        <v>#N/A</v>
      </c>
      <c r="AG929" s="104" t="e">
        <f>IF(AND(VLOOKUP($D929,Merchantability!$B:$C,2,0)="Yes",$E929&gt;=VLOOKUP($D929,Merchantability!$B:$D,3,0),$E929&lt;=VLOOKUP($D929,Merchantability!$B:$E,4,0)),AB929,0)</f>
        <v>#N/A</v>
      </c>
      <c r="AH929" s="104" t="e">
        <f>IF(AND(VLOOKUP($D929,Merchantability!$B:$C,2,0)="Yes",$E929&gt;=VLOOKUP($D929,Merchantability!$B:$D,3,0),$E929&lt;=VLOOKUP($D929,Merchantability!$B:$E,4,0)),AC929,0)</f>
        <v>#N/A</v>
      </c>
      <c r="AI929" s="104" t="e">
        <f t="shared" si="438"/>
        <v>#N/A</v>
      </c>
      <c r="AJ929" s="104" t="e">
        <f t="shared" si="439"/>
        <v>#VALUE!</v>
      </c>
      <c r="AK929" s="104" t="e">
        <f t="shared" si="440"/>
        <v>#N/A</v>
      </c>
      <c r="AL929" s="104" t="e">
        <f t="shared" si="441"/>
        <v>#N/A</v>
      </c>
      <c r="AM929" s="104" t="e">
        <f t="shared" si="442"/>
        <v>#N/A</v>
      </c>
      <c r="AN929" s="104" t="e">
        <f t="shared" si="426"/>
        <v>#N/A</v>
      </c>
      <c r="AO929" s="104" t="e">
        <f t="shared" si="427"/>
        <v>#N/A</v>
      </c>
      <c r="AP929" s="104" t="e">
        <f t="shared" si="428"/>
        <v>#N/A</v>
      </c>
      <c r="AQ929" s="104" t="e">
        <f t="shared" si="429"/>
        <v>#N/A</v>
      </c>
      <c r="AR929" s="105" t="str">
        <f t="shared" si="421"/>
        <v/>
      </c>
      <c r="AS929" s="105" t="str">
        <f t="shared" si="422"/>
        <v/>
      </c>
      <c r="AT929" s="108" t="str">
        <f t="shared" si="423"/>
        <v/>
      </c>
      <c r="AU929" s="108" t="str">
        <f t="shared" si="424"/>
        <v/>
      </c>
      <c r="AV929" s="107" t="str">
        <f>IF(ISNUMBER(O929),IF(VLOOKUP($A929,Stand!C:J,8,FALSE)="Short",AT929,AU929),"")</f>
        <v/>
      </c>
      <c r="AW929" s="109" t="str">
        <f t="shared" si="430"/>
        <v/>
      </c>
      <c r="AX929" s="109" t="str">
        <f t="shared" si="431"/>
        <v/>
      </c>
      <c r="AY929" s="112" t="str">
        <f>IF(ISNUMBER(O929),IF(AND(VLOOKUP($D929,Merchantability!$B:$C,2,0)="Yes",$E929&gt;=VLOOKUP($D929,Merchantability!$B:$D,3,0),$E929&lt;=VLOOKUP($D929,Merchantability!$B:$E,4,0)),(AV929*O929)*(1-$H929/100),""),"")</f>
        <v/>
      </c>
      <c r="AZ929" s="116"/>
      <c r="BA929" s="116"/>
      <c r="BB929" s="116"/>
      <c r="BE929" s="62"/>
      <c r="BF929" s="63"/>
    </row>
    <row r="930" spans="1:58" ht="12.75" customHeight="1" x14ac:dyDescent="0.25">
      <c r="A930" s="313"/>
      <c r="B930" s="328"/>
      <c r="C930" s="329"/>
      <c r="D930" s="328"/>
      <c r="E930" s="330"/>
      <c r="F930" s="328"/>
      <c r="G930" s="329"/>
      <c r="H930" s="329"/>
      <c r="I930" s="328"/>
      <c r="J930" s="383"/>
      <c r="K930" s="329"/>
      <c r="L930" s="329"/>
      <c r="M930" s="76"/>
      <c r="N930" s="103" t="str">
        <f>IF(A930="","",VLOOKUP(A930,Stand!C:K,9,0))</f>
        <v/>
      </c>
      <c r="O930" s="104" t="str">
        <f t="shared" si="416"/>
        <v/>
      </c>
      <c r="P930" s="105" t="str">
        <f t="shared" si="417"/>
        <v/>
      </c>
      <c r="Q930" s="105" t="str">
        <f t="shared" si="432"/>
        <v/>
      </c>
      <c r="R930" s="103" t="str">
        <f t="shared" si="418"/>
        <v/>
      </c>
      <c r="S930" s="103" t="str">
        <f t="shared" si="419"/>
        <v/>
      </c>
      <c r="T930" s="106" t="str">
        <f t="shared" si="433"/>
        <v/>
      </c>
      <c r="U930" s="106" t="str">
        <f t="shared" si="434"/>
        <v/>
      </c>
      <c r="V930" s="106" t="str">
        <f t="shared" si="435"/>
        <v/>
      </c>
      <c r="W930" s="105" t="str">
        <f t="shared" si="420"/>
        <v/>
      </c>
      <c r="X930" s="104" t="str">
        <f t="shared" si="425"/>
        <v/>
      </c>
      <c r="Y930" s="104" t="str">
        <f t="array" ref="Y930">IFERROR(IF(ISNUMBER(O930),IF(COUNT(IF(A930=$A$2:$A$2427,IF(D930=$D$2:$D$2427,IF($X$2:$X$2427&gt;0,1))))&gt;0,SUM(IF(A930=$A$2:$A$2427,IF(D930=$D$2:$D$2427,$X$2:$X$2427)))/COUNT(IF(A930=$A$2:$A$2427,IF(D930=$D$2:$D$2427,IF(ISNUMBER($X$2:$X$2427),1)))),0),""),0)</f>
        <v/>
      </c>
      <c r="Z930" s="104" t="str">
        <f>IF(ISNUMBER(O930),IF(I930&gt;0,(10^(VLOOKUP(D930,'Species Codes'!B:C,2,0)+VLOOKUP(D930,'Species Codes'!B:D,3,0)*LOG(E930)+VLOOKUP(D930,'Species Codes'!B:E,4,0)*LOG(I930))),0),"")</f>
        <v/>
      </c>
      <c r="AA930" s="104" t="str">
        <f>IFERROR((VLOOKUP(D930,'Species Codes'!B:G,6,0)*Z930)/2000,"")</f>
        <v/>
      </c>
      <c r="AB930" s="104" t="e">
        <f>IF(Z930&gt;0,((IF(OR(D930="DF",D930="RA")=TRUE,EXP(VLOOKUP(D930,'Species Codes'!B:I,8,0)+VLOOKUP(D930,'Species Codes'!B:J,9,0)*(LN((E930*2.54)))),IF(OR(D930="PY",D930="RC",D930="WH",D930="NF")=TRUE,VLOOKUP(D930,'Species Codes'!B:I,8,0)+VLOOKUP(D930,'Species Codes'!B:J,9,0)*((E930*2.54)^2)*(I930*0.3048),IF(OR(D930="MD",D930="BM",D930="GA")=TRUE,((VLOOKUP(D930,'Species Codes'!B:I,8,0)*(((((E930*2.54)+VLOOKUP(D930,'Species Codes'!B:J,9,0))/VLOOKUP(D930,'Species Codes'!B:K,10,0))^VLOOKUP(D930,'Species Codes'!B:L,11,0))*((I930*0.3048)^VLOOKUP(D930,'Species Codes'!B:M,12,0))))-(VLOOKUP(D930,'Species Codes'!B:I,8,0)*((((E930*2.54)^VLOOKUP(D930,'Species Codes'!B:L,11,0))*((I930*0.3048)^VLOOKUP(D930,'Species Codes'!B:M,12,0))))))*35.3*VLOOKUP(D930,'Species Codes'!B:G,6,0)/2.2046,VLOOKUP(D930,'Species Codes'!B:I,8,0)+VLOOKUP(D930,'Species Codes'!B:J,9,0)*(((E930*2.54)/100)^2)*(I930*0.3048)))))*0.0011023),0)</f>
        <v>#N/A</v>
      </c>
      <c r="AC930" s="104" t="e">
        <f>IF(Z930&gt;0,((IF(OR(D930="RA",D930="OA",D930="OT",D930="UN",D930="PC"),EXP(VLOOKUP(D930,'Species Codes'!B:O,14,0)+VLOOKUP(D930,'Species Codes'!B:P,15,0)*LN((E930*2.54)))-EXP(VLOOKUP(D930,'Species Codes'!B:O,14,0)+VLOOKUP(D930,'Species Codes'!B:P,15,0)*LN((E930*2.54)))*(1/(VLOOKUP(D930,'Species Codes'!B:Q,16,0)+VLOOKUP(D930,'Species Codes'!B:R,17,0)*((E930*2.54)^VLOOKUP(D930,'Species Codes'!B:S,18,0)))),IF(OR(D930="BM",D930="MD",D930="OA"),EXP(VLOOKUP(D930,'Species Codes'!B:O,14,0)+VLOOKUP(D930,'Species Codes'!B:P,15,0)*LN((E930*2.54)))*(1-(1/(VLOOKUP(D930,'Species Codes'!B:Q,16,0)+VLOOKUP(D930,'Species Codes'!B:R,17,0)*((E930*2.54)^VLOOKUP(D930,'Species Codes'!B:S,18,0)))))/1000,IF(D930="DF",EXP(VLOOKUP(D930,'Species Codes'!B:O,14,0)+VLOOKUP(D930,'Species Codes'!B:P,15,0)*LN((E930*2.54))),VLOOKUP(D930,'Species Codes'!B:O,14,0)+VLOOKUP(D930,'Species Codes'!B:P,15,0)*(((E930*2.54)/100)^2)*(I930*0.3048)))))*0.0011023),0)</f>
        <v>#N/A</v>
      </c>
      <c r="AD930" s="104" t="e">
        <f t="shared" si="436"/>
        <v>#N/A</v>
      </c>
      <c r="AE930" s="104" t="e">
        <f t="shared" si="437"/>
        <v>#N/A</v>
      </c>
      <c r="AF930" s="104" t="e">
        <f>IF(AND(VLOOKUP($D930,Merchantability!$B:$C,2,0)="Yes",$E930&gt;=VLOOKUP($D930,Merchantability!$B:$D,3,0),$E930&lt;=VLOOKUP($D930,Merchantability!$B:$E,4,0)),AA930,0)</f>
        <v>#N/A</v>
      </c>
      <c r="AG930" s="104" t="e">
        <f>IF(AND(VLOOKUP($D930,Merchantability!$B:$C,2,0)="Yes",$E930&gt;=VLOOKUP($D930,Merchantability!$B:$D,3,0),$E930&lt;=VLOOKUP($D930,Merchantability!$B:$E,4,0)),AB930,0)</f>
        <v>#N/A</v>
      </c>
      <c r="AH930" s="104" t="e">
        <f>IF(AND(VLOOKUP($D930,Merchantability!$B:$C,2,0)="Yes",$E930&gt;=VLOOKUP($D930,Merchantability!$B:$D,3,0),$E930&lt;=VLOOKUP($D930,Merchantability!$B:$E,4,0)),AC930,0)</f>
        <v>#N/A</v>
      </c>
      <c r="AI930" s="104" t="e">
        <f t="shared" si="438"/>
        <v>#N/A</v>
      </c>
      <c r="AJ930" s="104" t="e">
        <f t="shared" si="439"/>
        <v>#VALUE!</v>
      </c>
      <c r="AK930" s="104" t="e">
        <f t="shared" si="440"/>
        <v>#N/A</v>
      </c>
      <c r="AL930" s="104" t="e">
        <f t="shared" si="441"/>
        <v>#N/A</v>
      </c>
      <c r="AM930" s="104" t="e">
        <f t="shared" si="442"/>
        <v>#N/A</v>
      </c>
      <c r="AN930" s="104" t="e">
        <f t="shared" si="426"/>
        <v>#N/A</v>
      </c>
      <c r="AO930" s="104" t="e">
        <f t="shared" si="427"/>
        <v>#N/A</v>
      </c>
      <c r="AP930" s="104" t="e">
        <f t="shared" si="428"/>
        <v>#N/A</v>
      </c>
      <c r="AQ930" s="104" t="e">
        <f t="shared" si="429"/>
        <v>#N/A</v>
      </c>
      <c r="AR930" s="105" t="str">
        <f t="shared" si="421"/>
        <v/>
      </c>
      <c r="AS930" s="105" t="str">
        <f t="shared" si="422"/>
        <v/>
      </c>
      <c r="AT930" s="108" t="str">
        <f t="shared" si="423"/>
        <v/>
      </c>
      <c r="AU930" s="108" t="str">
        <f t="shared" si="424"/>
        <v/>
      </c>
      <c r="AV930" s="107" t="str">
        <f>IF(ISNUMBER(O930),IF(VLOOKUP($A930,Stand!C:J,8,FALSE)="Short",AT930,AU930),"")</f>
        <v/>
      </c>
      <c r="AW930" s="109" t="str">
        <f t="shared" si="430"/>
        <v/>
      </c>
      <c r="AX930" s="109" t="str">
        <f t="shared" si="431"/>
        <v/>
      </c>
      <c r="AY930" s="112" t="str">
        <f>IF(ISNUMBER(O930),IF(AND(VLOOKUP($D930,Merchantability!$B:$C,2,0)="Yes",$E930&gt;=VLOOKUP($D930,Merchantability!$B:$D,3,0),$E930&lt;=VLOOKUP($D930,Merchantability!$B:$E,4,0)),(AV930*O930)*(1-$H930/100),""),"")</f>
        <v/>
      </c>
      <c r="AZ930" s="116"/>
      <c r="BA930" s="116"/>
      <c r="BB930" s="116"/>
      <c r="BE930" s="62"/>
      <c r="BF930" s="63"/>
    </row>
    <row r="931" spans="1:58" ht="12.75" customHeight="1" x14ac:dyDescent="0.25">
      <c r="A931" s="313"/>
      <c r="B931" s="328"/>
      <c r="C931" s="329"/>
      <c r="D931" s="328"/>
      <c r="E931" s="330"/>
      <c r="F931" s="328"/>
      <c r="G931" s="329"/>
      <c r="H931" s="329"/>
      <c r="I931" s="328"/>
      <c r="J931" s="383"/>
      <c r="K931" s="329"/>
      <c r="L931" s="329"/>
      <c r="M931" s="76"/>
      <c r="N931" s="103" t="str">
        <f>IF(A931="","",VLOOKUP(A931,Stand!C:K,9,0))</f>
        <v/>
      </c>
      <c r="O931" s="104" t="str">
        <f t="shared" si="416"/>
        <v/>
      </c>
      <c r="P931" s="105" t="str">
        <f t="shared" si="417"/>
        <v/>
      </c>
      <c r="Q931" s="105" t="str">
        <f t="shared" si="432"/>
        <v/>
      </c>
      <c r="R931" s="103" t="str">
        <f t="shared" si="418"/>
        <v/>
      </c>
      <c r="S931" s="103" t="str">
        <f t="shared" si="419"/>
        <v/>
      </c>
      <c r="T931" s="106" t="str">
        <f t="shared" si="433"/>
        <v/>
      </c>
      <c r="U931" s="106" t="str">
        <f t="shared" si="434"/>
        <v/>
      </c>
      <c r="V931" s="106" t="str">
        <f t="shared" si="435"/>
        <v/>
      </c>
      <c r="W931" s="105" t="str">
        <f t="shared" si="420"/>
        <v/>
      </c>
      <c r="X931" s="104" t="str">
        <f t="shared" si="425"/>
        <v/>
      </c>
      <c r="Y931" s="104" t="str">
        <f t="array" ref="Y931">IFERROR(IF(ISNUMBER(O931),IF(COUNT(IF(A931=$A$2:$A$2427,IF(D931=$D$2:$D$2427,IF($X$2:$X$2427&gt;0,1))))&gt;0,SUM(IF(A931=$A$2:$A$2427,IF(D931=$D$2:$D$2427,$X$2:$X$2427)))/COUNT(IF(A931=$A$2:$A$2427,IF(D931=$D$2:$D$2427,IF(ISNUMBER($X$2:$X$2427),1)))),0),""),0)</f>
        <v/>
      </c>
      <c r="Z931" s="104" t="str">
        <f>IF(ISNUMBER(O931),IF(I931&gt;0,(10^(VLOOKUP(D931,'Species Codes'!B:C,2,0)+VLOOKUP(D931,'Species Codes'!B:D,3,0)*LOG(E931)+VLOOKUP(D931,'Species Codes'!B:E,4,0)*LOG(I931))),0),"")</f>
        <v/>
      </c>
      <c r="AA931" s="104" t="str">
        <f>IFERROR((VLOOKUP(D931,'Species Codes'!B:G,6,0)*Z931)/2000,"")</f>
        <v/>
      </c>
      <c r="AB931" s="104" t="e">
        <f>IF(Z931&gt;0,((IF(OR(D931="DF",D931="RA")=TRUE,EXP(VLOOKUP(D931,'Species Codes'!B:I,8,0)+VLOOKUP(D931,'Species Codes'!B:J,9,0)*(LN((E931*2.54)))),IF(OR(D931="PY",D931="RC",D931="WH",D931="NF")=TRUE,VLOOKUP(D931,'Species Codes'!B:I,8,0)+VLOOKUP(D931,'Species Codes'!B:J,9,0)*((E931*2.54)^2)*(I931*0.3048),IF(OR(D931="MD",D931="BM",D931="GA")=TRUE,((VLOOKUP(D931,'Species Codes'!B:I,8,0)*(((((E931*2.54)+VLOOKUP(D931,'Species Codes'!B:J,9,0))/VLOOKUP(D931,'Species Codes'!B:K,10,0))^VLOOKUP(D931,'Species Codes'!B:L,11,0))*((I931*0.3048)^VLOOKUP(D931,'Species Codes'!B:M,12,0))))-(VLOOKUP(D931,'Species Codes'!B:I,8,0)*((((E931*2.54)^VLOOKUP(D931,'Species Codes'!B:L,11,0))*((I931*0.3048)^VLOOKUP(D931,'Species Codes'!B:M,12,0))))))*35.3*VLOOKUP(D931,'Species Codes'!B:G,6,0)/2.2046,VLOOKUP(D931,'Species Codes'!B:I,8,0)+VLOOKUP(D931,'Species Codes'!B:J,9,0)*(((E931*2.54)/100)^2)*(I931*0.3048)))))*0.0011023),0)</f>
        <v>#N/A</v>
      </c>
      <c r="AC931" s="104" t="e">
        <f>IF(Z931&gt;0,((IF(OR(D931="RA",D931="OA",D931="OT",D931="UN",D931="PC"),EXP(VLOOKUP(D931,'Species Codes'!B:O,14,0)+VLOOKUP(D931,'Species Codes'!B:P,15,0)*LN((E931*2.54)))-EXP(VLOOKUP(D931,'Species Codes'!B:O,14,0)+VLOOKUP(D931,'Species Codes'!B:P,15,0)*LN((E931*2.54)))*(1/(VLOOKUP(D931,'Species Codes'!B:Q,16,0)+VLOOKUP(D931,'Species Codes'!B:R,17,0)*((E931*2.54)^VLOOKUP(D931,'Species Codes'!B:S,18,0)))),IF(OR(D931="BM",D931="MD",D931="OA"),EXP(VLOOKUP(D931,'Species Codes'!B:O,14,0)+VLOOKUP(D931,'Species Codes'!B:P,15,0)*LN((E931*2.54)))*(1-(1/(VLOOKUP(D931,'Species Codes'!B:Q,16,0)+VLOOKUP(D931,'Species Codes'!B:R,17,0)*((E931*2.54)^VLOOKUP(D931,'Species Codes'!B:S,18,0)))))/1000,IF(D931="DF",EXP(VLOOKUP(D931,'Species Codes'!B:O,14,0)+VLOOKUP(D931,'Species Codes'!B:P,15,0)*LN((E931*2.54))),VLOOKUP(D931,'Species Codes'!B:O,14,0)+VLOOKUP(D931,'Species Codes'!B:P,15,0)*(((E931*2.54)/100)^2)*(I931*0.3048)))))*0.0011023),0)</f>
        <v>#N/A</v>
      </c>
      <c r="AD931" s="104" t="e">
        <f t="shared" si="436"/>
        <v>#N/A</v>
      </c>
      <c r="AE931" s="104" t="e">
        <f t="shared" si="437"/>
        <v>#N/A</v>
      </c>
      <c r="AF931" s="104" t="e">
        <f>IF(AND(VLOOKUP($D931,Merchantability!$B:$C,2,0)="Yes",$E931&gt;=VLOOKUP($D931,Merchantability!$B:$D,3,0),$E931&lt;=VLOOKUP($D931,Merchantability!$B:$E,4,0)),AA931,0)</f>
        <v>#N/A</v>
      </c>
      <c r="AG931" s="104" t="e">
        <f>IF(AND(VLOOKUP($D931,Merchantability!$B:$C,2,0)="Yes",$E931&gt;=VLOOKUP($D931,Merchantability!$B:$D,3,0),$E931&lt;=VLOOKUP($D931,Merchantability!$B:$E,4,0)),AB931,0)</f>
        <v>#N/A</v>
      </c>
      <c r="AH931" s="104" t="e">
        <f>IF(AND(VLOOKUP($D931,Merchantability!$B:$C,2,0)="Yes",$E931&gt;=VLOOKUP($D931,Merchantability!$B:$D,3,0),$E931&lt;=VLOOKUP($D931,Merchantability!$B:$E,4,0)),AC931,0)</f>
        <v>#N/A</v>
      </c>
      <c r="AI931" s="104" t="e">
        <f t="shared" si="438"/>
        <v>#N/A</v>
      </c>
      <c r="AJ931" s="104" t="e">
        <f t="shared" si="439"/>
        <v>#VALUE!</v>
      </c>
      <c r="AK931" s="104" t="e">
        <f t="shared" si="440"/>
        <v>#N/A</v>
      </c>
      <c r="AL931" s="104" t="e">
        <f t="shared" si="441"/>
        <v>#N/A</v>
      </c>
      <c r="AM931" s="104" t="e">
        <f t="shared" si="442"/>
        <v>#N/A</v>
      </c>
      <c r="AN931" s="104" t="e">
        <f t="shared" si="426"/>
        <v>#N/A</v>
      </c>
      <c r="AO931" s="104" t="e">
        <f t="shared" si="427"/>
        <v>#N/A</v>
      </c>
      <c r="AP931" s="104" t="e">
        <f t="shared" si="428"/>
        <v>#N/A</v>
      </c>
      <c r="AQ931" s="104" t="e">
        <f t="shared" si="429"/>
        <v>#N/A</v>
      </c>
      <c r="AR931" s="105" t="str">
        <f t="shared" si="421"/>
        <v/>
      </c>
      <c r="AS931" s="105" t="str">
        <f t="shared" si="422"/>
        <v/>
      </c>
      <c r="AT931" s="108" t="str">
        <f t="shared" si="423"/>
        <v/>
      </c>
      <c r="AU931" s="108" t="str">
        <f t="shared" si="424"/>
        <v/>
      </c>
      <c r="AV931" s="107" t="str">
        <f>IF(ISNUMBER(O931),IF(VLOOKUP($A931,Stand!C:J,8,FALSE)="Short",AT931,AU931),"")</f>
        <v/>
      </c>
      <c r="AW931" s="109" t="str">
        <f t="shared" si="430"/>
        <v/>
      </c>
      <c r="AX931" s="109" t="str">
        <f t="shared" si="431"/>
        <v/>
      </c>
      <c r="AY931" s="112" t="str">
        <f>IF(ISNUMBER(O931),IF(AND(VLOOKUP($D931,Merchantability!$B:$C,2,0)="Yes",$E931&gt;=VLOOKUP($D931,Merchantability!$B:$D,3,0),$E931&lt;=VLOOKUP($D931,Merchantability!$B:$E,4,0)),(AV931*O931)*(1-$H931/100),""),"")</f>
        <v/>
      </c>
      <c r="AZ931" s="116"/>
      <c r="BA931" s="116"/>
      <c r="BB931" s="116"/>
      <c r="BE931" s="62"/>
      <c r="BF931" s="63"/>
    </row>
    <row r="932" spans="1:58" ht="12.75" customHeight="1" x14ac:dyDescent="0.25">
      <c r="A932" s="313"/>
      <c r="B932" s="328"/>
      <c r="C932" s="329"/>
      <c r="D932" s="328"/>
      <c r="E932" s="330"/>
      <c r="F932" s="328"/>
      <c r="G932" s="329"/>
      <c r="H932" s="329"/>
      <c r="I932" s="328"/>
      <c r="J932" s="383"/>
      <c r="K932" s="329"/>
      <c r="L932" s="329"/>
      <c r="M932" s="76"/>
      <c r="N932" s="103" t="str">
        <f>IF(A932="","",VLOOKUP(A932,Stand!C:K,9,0))</f>
        <v/>
      </c>
      <c r="O932" s="104" t="str">
        <f t="shared" si="416"/>
        <v/>
      </c>
      <c r="P932" s="105" t="str">
        <f t="shared" si="417"/>
        <v/>
      </c>
      <c r="Q932" s="105" t="str">
        <f t="shared" si="432"/>
        <v/>
      </c>
      <c r="R932" s="103" t="str">
        <f t="shared" si="418"/>
        <v/>
      </c>
      <c r="S932" s="103" t="str">
        <f t="shared" si="419"/>
        <v/>
      </c>
      <c r="T932" s="106" t="str">
        <f t="shared" si="433"/>
        <v/>
      </c>
      <c r="U932" s="106" t="str">
        <f t="shared" si="434"/>
        <v/>
      </c>
      <c r="V932" s="106" t="str">
        <f t="shared" si="435"/>
        <v/>
      </c>
      <c r="W932" s="105" t="str">
        <f t="shared" si="420"/>
        <v/>
      </c>
      <c r="X932" s="104" t="str">
        <f t="shared" si="425"/>
        <v/>
      </c>
      <c r="Y932" s="104" t="str">
        <f t="array" ref="Y932">IFERROR(IF(ISNUMBER(O932),IF(COUNT(IF(A932=$A$2:$A$2427,IF(D932=$D$2:$D$2427,IF($X$2:$X$2427&gt;0,1))))&gt;0,SUM(IF(A932=$A$2:$A$2427,IF(D932=$D$2:$D$2427,$X$2:$X$2427)))/COUNT(IF(A932=$A$2:$A$2427,IF(D932=$D$2:$D$2427,IF(ISNUMBER($X$2:$X$2427),1)))),0),""),0)</f>
        <v/>
      </c>
      <c r="Z932" s="104" t="str">
        <f>IF(ISNUMBER(O932),IF(I932&gt;0,(10^(VLOOKUP(D932,'Species Codes'!B:C,2,0)+VLOOKUP(D932,'Species Codes'!B:D,3,0)*LOG(E932)+VLOOKUP(D932,'Species Codes'!B:E,4,0)*LOG(I932))),0),"")</f>
        <v/>
      </c>
      <c r="AA932" s="104" t="str">
        <f>IFERROR((VLOOKUP(D932,'Species Codes'!B:G,6,0)*Z932)/2000,"")</f>
        <v/>
      </c>
      <c r="AB932" s="104" t="e">
        <f>IF(Z932&gt;0,((IF(OR(D932="DF",D932="RA")=TRUE,EXP(VLOOKUP(D932,'Species Codes'!B:I,8,0)+VLOOKUP(D932,'Species Codes'!B:J,9,0)*(LN((E932*2.54)))),IF(OR(D932="PY",D932="RC",D932="WH",D932="NF")=TRUE,VLOOKUP(D932,'Species Codes'!B:I,8,0)+VLOOKUP(D932,'Species Codes'!B:J,9,0)*((E932*2.54)^2)*(I932*0.3048),IF(OR(D932="MD",D932="BM",D932="GA")=TRUE,((VLOOKUP(D932,'Species Codes'!B:I,8,0)*(((((E932*2.54)+VLOOKUP(D932,'Species Codes'!B:J,9,0))/VLOOKUP(D932,'Species Codes'!B:K,10,0))^VLOOKUP(D932,'Species Codes'!B:L,11,0))*((I932*0.3048)^VLOOKUP(D932,'Species Codes'!B:M,12,0))))-(VLOOKUP(D932,'Species Codes'!B:I,8,0)*((((E932*2.54)^VLOOKUP(D932,'Species Codes'!B:L,11,0))*((I932*0.3048)^VLOOKUP(D932,'Species Codes'!B:M,12,0))))))*35.3*VLOOKUP(D932,'Species Codes'!B:G,6,0)/2.2046,VLOOKUP(D932,'Species Codes'!B:I,8,0)+VLOOKUP(D932,'Species Codes'!B:J,9,0)*(((E932*2.54)/100)^2)*(I932*0.3048)))))*0.0011023),0)</f>
        <v>#N/A</v>
      </c>
      <c r="AC932" s="104" t="e">
        <f>IF(Z932&gt;0,((IF(OR(D932="RA",D932="OA",D932="OT",D932="UN",D932="PC"),EXP(VLOOKUP(D932,'Species Codes'!B:O,14,0)+VLOOKUP(D932,'Species Codes'!B:P,15,0)*LN((E932*2.54)))-EXP(VLOOKUP(D932,'Species Codes'!B:O,14,0)+VLOOKUP(D932,'Species Codes'!B:P,15,0)*LN((E932*2.54)))*(1/(VLOOKUP(D932,'Species Codes'!B:Q,16,0)+VLOOKUP(D932,'Species Codes'!B:R,17,0)*((E932*2.54)^VLOOKUP(D932,'Species Codes'!B:S,18,0)))),IF(OR(D932="BM",D932="MD",D932="OA"),EXP(VLOOKUP(D932,'Species Codes'!B:O,14,0)+VLOOKUP(D932,'Species Codes'!B:P,15,0)*LN((E932*2.54)))*(1-(1/(VLOOKUP(D932,'Species Codes'!B:Q,16,0)+VLOOKUP(D932,'Species Codes'!B:R,17,0)*((E932*2.54)^VLOOKUP(D932,'Species Codes'!B:S,18,0)))))/1000,IF(D932="DF",EXP(VLOOKUP(D932,'Species Codes'!B:O,14,0)+VLOOKUP(D932,'Species Codes'!B:P,15,0)*LN((E932*2.54))),VLOOKUP(D932,'Species Codes'!B:O,14,0)+VLOOKUP(D932,'Species Codes'!B:P,15,0)*(((E932*2.54)/100)^2)*(I932*0.3048)))))*0.0011023),0)</f>
        <v>#N/A</v>
      </c>
      <c r="AD932" s="104" t="e">
        <f t="shared" si="436"/>
        <v>#N/A</v>
      </c>
      <c r="AE932" s="104" t="e">
        <f t="shared" si="437"/>
        <v>#N/A</v>
      </c>
      <c r="AF932" s="104" t="e">
        <f>IF(AND(VLOOKUP($D932,Merchantability!$B:$C,2,0)="Yes",$E932&gt;=VLOOKUP($D932,Merchantability!$B:$D,3,0),$E932&lt;=VLOOKUP($D932,Merchantability!$B:$E,4,0)),AA932,0)</f>
        <v>#N/A</v>
      </c>
      <c r="AG932" s="104" t="e">
        <f>IF(AND(VLOOKUP($D932,Merchantability!$B:$C,2,0)="Yes",$E932&gt;=VLOOKUP($D932,Merchantability!$B:$D,3,0),$E932&lt;=VLOOKUP($D932,Merchantability!$B:$E,4,0)),AB932,0)</f>
        <v>#N/A</v>
      </c>
      <c r="AH932" s="104" t="e">
        <f>IF(AND(VLOOKUP($D932,Merchantability!$B:$C,2,0)="Yes",$E932&gt;=VLOOKUP($D932,Merchantability!$B:$D,3,0),$E932&lt;=VLOOKUP($D932,Merchantability!$B:$E,4,0)),AC932,0)</f>
        <v>#N/A</v>
      </c>
      <c r="AI932" s="104" t="e">
        <f t="shared" si="438"/>
        <v>#N/A</v>
      </c>
      <c r="AJ932" s="104" t="e">
        <f t="shared" si="439"/>
        <v>#VALUE!</v>
      </c>
      <c r="AK932" s="104" t="e">
        <f t="shared" si="440"/>
        <v>#N/A</v>
      </c>
      <c r="AL932" s="104" t="e">
        <f t="shared" si="441"/>
        <v>#N/A</v>
      </c>
      <c r="AM932" s="104" t="e">
        <f t="shared" si="442"/>
        <v>#N/A</v>
      </c>
      <c r="AN932" s="104" t="e">
        <f t="shared" si="426"/>
        <v>#N/A</v>
      </c>
      <c r="AO932" s="104" t="e">
        <f t="shared" si="427"/>
        <v>#N/A</v>
      </c>
      <c r="AP932" s="104" t="e">
        <f t="shared" si="428"/>
        <v>#N/A</v>
      </c>
      <c r="AQ932" s="104" t="e">
        <f t="shared" si="429"/>
        <v>#N/A</v>
      </c>
      <c r="AR932" s="105" t="str">
        <f t="shared" si="421"/>
        <v/>
      </c>
      <c r="AS932" s="105" t="str">
        <f t="shared" si="422"/>
        <v/>
      </c>
      <c r="AT932" s="108" t="str">
        <f t="shared" si="423"/>
        <v/>
      </c>
      <c r="AU932" s="108" t="str">
        <f t="shared" si="424"/>
        <v/>
      </c>
      <c r="AV932" s="107" t="str">
        <f>IF(ISNUMBER(O932),IF(VLOOKUP($A932,Stand!C:J,8,FALSE)="Short",AT932,AU932),"")</f>
        <v/>
      </c>
      <c r="AW932" s="109" t="str">
        <f t="shared" si="430"/>
        <v/>
      </c>
      <c r="AX932" s="109" t="str">
        <f t="shared" si="431"/>
        <v/>
      </c>
      <c r="AY932" s="112" t="str">
        <f>IF(ISNUMBER(O932),IF(AND(VLOOKUP($D932,Merchantability!$B:$C,2,0)="Yes",$E932&gt;=VLOOKUP($D932,Merchantability!$B:$D,3,0),$E932&lt;=VLOOKUP($D932,Merchantability!$B:$E,4,0)),(AV932*O932)*(1-$H932/100),""),"")</f>
        <v/>
      </c>
      <c r="AZ932" s="116"/>
      <c r="BA932" s="116"/>
      <c r="BB932" s="116"/>
      <c r="BE932" s="62"/>
      <c r="BF932" s="63"/>
    </row>
    <row r="933" spans="1:58" ht="12.75" customHeight="1" x14ac:dyDescent="0.25">
      <c r="A933" s="313"/>
      <c r="B933" s="328"/>
      <c r="C933" s="329"/>
      <c r="D933" s="328"/>
      <c r="E933" s="330"/>
      <c r="F933" s="328"/>
      <c r="G933" s="329"/>
      <c r="H933" s="329"/>
      <c r="I933" s="328"/>
      <c r="J933" s="383"/>
      <c r="K933" s="329"/>
      <c r="L933" s="329"/>
      <c r="M933" s="76"/>
      <c r="N933" s="103" t="str">
        <f>IF(A933="","",VLOOKUP(A933,Stand!C:K,9,0))</f>
        <v/>
      </c>
      <c r="O933" s="104" t="str">
        <f t="shared" si="416"/>
        <v/>
      </c>
      <c r="P933" s="105" t="str">
        <f t="shared" si="417"/>
        <v/>
      </c>
      <c r="Q933" s="105" t="str">
        <f t="shared" si="432"/>
        <v/>
      </c>
      <c r="R933" s="103" t="str">
        <f t="shared" si="418"/>
        <v/>
      </c>
      <c r="S933" s="103" t="str">
        <f t="shared" si="419"/>
        <v/>
      </c>
      <c r="T933" s="106" t="str">
        <f t="shared" si="433"/>
        <v/>
      </c>
      <c r="U933" s="106" t="str">
        <f t="shared" si="434"/>
        <v/>
      </c>
      <c r="V933" s="106" t="str">
        <f t="shared" si="435"/>
        <v/>
      </c>
      <c r="W933" s="105" t="str">
        <f t="shared" si="420"/>
        <v/>
      </c>
      <c r="X933" s="104" t="str">
        <f t="shared" si="425"/>
        <v/>
      </c>
      <c r="Y933" s="104" t="str">
        <f t="array" ref="Y933">IFERROR(IF(ISNUMBER(O933),IF(COUNT(IF(A933=$A$2:$A$2427,IF(D933=$D$2:$D$2427,IF($X$2:$X$2427&gt;0,1))))&gt;0,SUM(IF(A933=$A$2:$A$2427,IF(D933=$D$2:$D$2427,$X$2:$X$2427)))/COUNT(IF(A933=$A$2:$A$2427,IF(D933=$D$2:$D$2427,IF(ISNUMBER($X$2:$X$2427),1)))),0),""),0)</f>
        <v/>
      </c>
      <c r="Z933" s="104" t="str">
        <f>IF(ISNUMBER(O933),IF(I933&gt;0,(10^(VLOOKUP(D933,'Species Codes'!B:C,2,0)+VLOOKUP(D933,'Species Codes'!B:D,3,0)*LOG(E933)+VLOOKUP(D933,'Species Codes'!B:E,4,0)*LOG(I933))),0),"")</f>
        <v/>
      </c>
      <c r="AA933" s="104" t="str">
        <f>IFERROR((VLOOKUP(D933,'Species Codes'!B:G,6,0)*Z933)/2000,"")</f>
        <v/>
      </c>
      <c r="AB933" s="104" t="e">
        <f>IF(Z933&gt;0,((IF(OR(D933="DF",D933="RA")=TRUE,EXP(VLOOKUP(D933,'Species Codes'!B:I,8,0)+VLOOKUP(D933,'Species Codes'!B:J,9,0)*(LN((E933*2.54)))),IF(OR(D933="PY",D933="RC",D933="WH",D933="NF")=TRUE,VLOOKUP(D933,'Species Codes'!B:I,8,0)+VLOOKUP(D933,'Species Codes'!B:J,9,0)*((E933*2.54)^2)*(I933*0.3048),IF(OR(D933="MD",D933="BM",D933="GA")=TRUE,((VLOOKUP(D933,'Species Codes'!B:I,8,0)*(((((E933*2.54)+VLOOKUP(D933,'Species Codes'!B:J,9,0))/VLOOKUP(D933,'Species Codes'!B:K,10,0))^VLOOKUP(D933,'Species Codes'!B:L,11,0))*((I933*0.3048)^VLOOKUP(D933,'Species Codes'!B:M,12,0))))-(VLOOKUP(D933,'Species Codes'!B:I,8,0)*((((E933*2.54)^VLOOKUP(D933,'Species Codes'!B:L,11,0))*((I933*0.3048)^VLOOKUP(D933,'Species Codes'!B:M,12,0))))))*35.3*VLOOKUP(D933,'Species Codes'!B:G,6,0)/2.2046,VLOOKUP(D933,'Species Codes'!B:I,8,0)+VLOOKUP(D933,'Species Codes'!B:J,9,0)*(((E933*2.54)/100)^2)*(I933*0.3048)))))*0.0011023),0)</f>
        <v>#N/A</v>
      </c>
      <c r="AC933" s="104" t="e">
        <f>IF(Z933&gt;0,((IF(OR(D933="RA",D933="OA",D933="OT",D933="UN",D933="PC"),EXP(VLOOKUP(D933,'Species Codes'!B:O,14,0)+VLOOKUP(D933,'Species Codes'!B:P,15,0)*LN((E933*2.54)))-EXP(VLOOKUP(D933,'Species Codes'!B:O,14,0)+VLOOKUP(D933,'Species Codes'!B:P,15,0)*LN((E933*2.54)))*(1/(VLOOKUP(D933,'Species Codes'!B:Q,16,0)+VLOOKUP(D933,'Species Codes'!B:R,17,0)*((E933*2.54)^VLOOKUP(D933,'Species Codes'!B:S,18,0)))),IF(OR(D933="BM",D933="MD",D933="OA"),EXP(VLOOKUP(D933,'Species Codes'!B:O,14,0)+VLOOKUP(D933,'Species Codes'!B:P,15,0)*LN((E933*2.54)))*(1-(1/(VLOOKUP(D933,'Species Codes'!B:Q,16,0)+VLOOKUP(D933,'Species Codes'!B:R,17,0)*((E933*2.54)^VLOOKUP(D933,'Species Codes'!B:S,18,0)))))/1000,IF(D933="DF",EXP(VLOOKUP(D933,'Species Codes'!B:O,14,0)+VLOOKUP(D933,'Species Codes'!B:P,15,0)*LN((E933*2.54))),VLOOKUP(D933,'Species Codes'!B:O,14,0)+VLOOKUP(D933,'Species Codes'!B:P,15,0)*(((E933*2.54)/100)^2)*(I933*0.3048)))))*0.0011023),0)</f>
        <v>#N/A</v>
      </c>
      <c r="AD933" s="104" t="e">
        <f t="shared" si="436"/>
        <v>#N/A</v>
      </c>
      <c r="AE933" s="104" t="e">
        <f t="shared" si="437"/>
        <v>#N/A</v>
      </c>
      <c r="AF933" s="104" t="e">
        <f>IF(AND(VLOOKUP($D933,Merchantability!$B:$C,2,0)="Yes",$E933&gt;=VLOOKUP($D933,Merchantability!$B:$D,3,0),$E933&lt;=VLOOKUP($D933,Merchantability!$B:$E,4,0)),AA933,0)</f>
        <v>#N/A</v>
      </c>
      <c r="AG933" s="104" t="e">
        <f>IF(AND(VLOOKUP($D933,Merchantability!$B:$C,2,0)="Yes",$E933&gt;=VLOOKUP($D933,Merchantability!$B:$D,3,0),$E933&lt;=VLOOKUP($D933,Merchantability!$B:$E,4,0)),AB933,0)</f>
        <v>#N/A</v>
      </c>
      <c r="AH933" s="104" t="e">
        <f>IF(AND(VLOOKUP($D933,Merchantability!$B:$C,2,0)="Yes",$E933&gt;=VLOOKUP($D933,Merchantability!$B:$D,3,0),$E933&lt;=VLOOKUP($D933,Merchantability!$B:$E,4,0)),AC933,0)</f>
        <v>#N/A</v>
      </c>
      <c r="AI933" s="104" t="e">
        <f t="shared" si="438"/>
        <v>#N/A</v>
      </c>
      <c r="AJ933" s="104" t="e">
        <f t="shared" si="439"/>
        <v>#VALUE!</v>
      </c>
      <c r="AK933" s="104" t="e">
        <f t="shared" si="440"/>
        <v>#N/A</v>
      </c>
      <c r="AL933" s="104" t="e">
        <f t="shared" si="441"/>
        <v>#N/A</v>
      </c>
      <c r="AM933" s="104" t="e">
        <f t="shared" si="442"/>
        <v>#N/A</v>
      </c>
      <c r="AN933" s="104" t="e">
        <f t="shared" si="426"/>
        <v>#N/A</v>
      </c>
      <c r="AO933" s="104" t="e">
        <f t="shared" si="427"/>
        <v>#N/A</v>
      </c>
      <c r="AP933" s="104" t="e">
        <f t="shared" si="428"/>
        <v>#N/A</v>
      </c>
      <c r="AQ933" s="104" t="e">
        <f t="shared" si="429"/>
        <v>#N/A</v>
      </c>
      <c r="AR933" s="105" t="str">
        <f t="shared" si="421"/>
        <v/>
      </c>
      <c r="AS933" s="105" t="str">
        <f t="shared" si="422"/>
        <v/>
      </c>
      <c r="AT933" s="108" t="str">
        <f t="shared" si="423"/>
        <v/>
      </c>
      <c r="AU933" s="108" t="str">
        <f t="shared" si="424"/>
        <v/>
      </c>
      <c r="AV933" s="107" t="str">
        <f>IF(ISNUMBER(O933),IF(VLOOKUP($A933,Stand!C:J,8,FALSE)="Short",AT933,AU933),"")</f>
        <v/>
      </c>
      <c r="AW933" s="109" t="str">
        <f t="shared" si="430"/>
        <v/>
      </c>
      <c r="AX933" s="109" t="str">
        <f t="shared" si="431"/>
        <v/>
      </c>
      <c r="AY933" s="112" t="str">
        <f>IF(ISNUMBER(O933),IF(AND(VLOOKUP($D933,Merchantability!$B:$C,2,0)="Yes",$E933&gt;=VLOOKUP($D933,Merchantability!$B:$D,3,0),$E933&lt;=VLOOKUP($D933,Merchantability!$B:$E,4,0)),(AV933*O933)*(1-$H933/100),""),"")</f>
        <v/>
      </c>
      <c r="AZ933" s="116"/>
      <c r="BA933" s="116"/>
      <c r="BB933" s="116"/>
      <c r="BE933" s="62"/>
      <c r="BF933" s="63"/>
    </row>
    <row r="934" spans="1:58" ht="12.75" customHeight="1" x14ac:dyDescent="0.25">
      <c r="A934" s="313"/>
      <c r="B934" s="328"/>
      <c r="C934" s="329"/>
      <c r="D934" s="328"/>
      <c r="E934" s="330"/>
      <c r="F934" s="328"/>
      <c r="G934" s="329"/>
      <c r="H934" s="329"/>
      <c r="I934" s="328"/>
      <c r="J934" s="383"/>
      <c r="K934" s="329"/>
      <c r="L934" s="329"/>
      <c r="M934" s="76"/>
      <c r="N934" s="103" t="str">
        <f>IF(A934="","",VLOOKUP(A934,Stand!C:K,9,0))</f>
        <v/>
      </c>
      <c r="O934" s="104" t="str">
        <f t="shared" si="416"/>
        <v/>
      </c>
      <c r="P934" s="105" t="str">
        <f t="shared" si="417"/>
        <v/>
      </c>
      <c r="Q934" s="105" t="str">
        <f t="shared" si="432"/>
        <v/>
      </c>
      <c r="R934" s="103" t="str">
        <f t="shared" si="418"/>
        <v/>
      </c>
      <c r="S934" s="103" t="str">
        <f t="shared" si="419"/>
        <v/>
      </c>
      <c r="T934" s="106" t="str">
        <f t="shared" si="433"/>
        <v/>
      </c>
      <c r="U934" s="106" t="str">
        <f t="shared" si="434"/>
        <v/>
      </c>
      <c r="V934" s="106" t="str">
        <f t="shared" si="435"/>
        <v/>
      </c>
      <c r="W934" s="105" t="str">
        <f t="shared" si="420"/>
        <v/>
      </c>
      <c r="X934" s="104" t="str">
        <f t="shared" si="425"/>
        <v/>
      </c>
      <c r="Y934" s="104" t="str">
        <f t="array" ref="Y934">IFERROR(IF(ISNUMBER(O934),IF(COUNT(IF(A934=$A$2:$A$2427,IF(D934=$D$2:$D$2427,IF($X$2:$X$2427&gt;0,1))))&gt;0,SUM(IF(A934=$A$2:$A$2427,IF(D934=$D$2:$D$2427,$X$2:$X$2427)))/COUNT(IF(A934=$A$2:$A$2427,IF(D934=$D$2:$D$2427,IF(ISNUMBER($X$2:$X$2427),1)))),0),""),0)</f>
        <v/>
      </c>
      <c r="Z934" s="104" t="str">
        <f>IF(ISNUMBER(O934),IF(I934&gt;0,(10^(VLOOKUP(D934,'Species Codes'!B:C,2,0)+VLOOKUP(D934,'Species Codes'!B:D,3,0)*LOG(E934)+VLOOKUP(D934,'Species Codes'!B:E,4,0)*LOG(I934))),0),"")</f>
        <v/>
      </c>
      <c r="AA934" s="104" t="str">
        <f>IFERROR((VLOOKUP(D934,'Species Codes'!B:G,6,0)*Z934)/2000,"")</f>
        <v/>
      </c>
      <c r="AB934" s="104" t="e">
        <f>IF(Z934&gt;0,((IF(OR(D934="DF",D934="RA")=TRUE,EXP(VLOOKUP(D934,'Species Codes'!B:I,8,0)+VLOOKUP(D934,'Species Codes'!B:J,9,0)*(LN((E934*2.54)))),IF(OR(D934="PY",D934="RC",D934="WH",D934="NF")=TRUE,VLOOKUP(D934,'Species Codes'!B:I,8,0)+VLOOKUP(D934,'Species Codes'!B:J,9,0)*((E934*2.54)^2)*(I934*0.3048),IF(OR(D934="MD",D934="BM",D934="GA")=TRUE,((VLOOKUP(D934,'Species Codes'!B:I,8,0)*(((((E934*2.54)+VLOOKUP(D934,'Species Codes'!B:J,9,0))/VLOOKUP(D934,'Species Codes'!B:K,10,0))^VLOOKUP(D934,'Species Codes'!B:L,11,0))*((I934*0.3048)^VLOOKUP(D934,'Species Codes'!B:M,12,0))))-(VLOOKUP(D934,'Species Codes'!B:I,8,0)*((((E934*2.54)^VLOOKUP(D934,'Species Codes'!B:L,11,0))*((I934*0.3048)^VLOOKUP(D934,'Species Codes'!B:M,12,0))))))*35.3*VLOOKUP(D934,'Species Codes'!B:G,6,0)/2.2046,VLOOKUP(D934,'Species Codes'!B:I,8,0)+VLOOKUP(D934,'Species Codes'!B:J,9,0)*(((E934*2.54)/100)^2)*(I934*0.3048)))))*0.0011023),0)</f>
        <v>#N/A</v>
      </c>
      <c r="AC934" s="104" t="e">
        <f>IF(Z934&gt;0,((IF(OR(D934="RA",D934="OA",D934="OT",D934="UN",D934="PC"),EXP(VLOOKUP(D934,'Species Codes'!B:O,14,0)+VLOOKUP(D934,'Species Codes'!B:P,15,0)*LN((E934*2.54)))-EXP(VLOOKUP(D934,'Species Codes'!B:O,14,0)+VLOOKUP(D934,'Species Codes'!B:P,15,0)*LN((E934*2.54)))*(1/(VLOOKUP(D934,'Species Codes'!B:Q,16,0)+VLOOKUP(D934,'Species Codes'!B:R,17,0)*((E934*2.54)^VLOOKUP(D934,'Species Codes'!B:S,18,0)))),IF(OR(D934="BM",D934="MD",D934="OA"),EXP(VLOOKUP(D934,'Species Codes'!B:O,14,0)+VLOOKUP(D934,'Species Codes'!B:P,15,0)*LN((E934*2.54)))*(1-(1/(VLOOKUP(D934,'Species Codes'!B:Q,16,0)+VLOOKUP(D934,'Species Codes'!B:R,17,0)*((E934*2.54)^VLOOKUP(D934,'Species Codes'!B:S,18,0)))))/1000,IF(D934="DF",EXP(VLOOKUP(D934,'Species Codes'!B:O,14,0)+VLOOKUP(D934,'Species Codes'!B:P,15,0)*LN((E934*2.54))),VLOOKUP(D934,'Species Codes'!B:O,14,0)+VLOOKUP(D934,'Species Codes'!B:P,15,0)*(((E934*2.54)/100)^2)*(I934*0.3048)))))*0.0011023),0)</f>
        <v>#N/A</v>
      </c>
      <c r="AD934" s="104" t="e">
        <f t="shared" si="436"/>
        <v>#N/A</v>
      </c>
      <c r="AE934" s="104" t="e">
        <f t="shared" si="437"/>
        <v>#N/A</v>
      </c>
      <c r="AF934" s="104" t="e">
        <f>IF(AND(VLOOKUP($D934,Merchantability!$B:$C,2,0)="Yes",$E934&gt;=VLOOKUP($D934,Merchantability!$B:$D,3,0),$E934&lt;=VLOOKUP($D934,Merchantability!$B:$E,4,0)),AA934,0)</f>
        <v>#N/A</v>
      </c>
      <c r="AG934" s="104" t="e">
        <f>IF(AND(VLOOKUP($D934,Merchantability!$B:$C,2,0)="Yes",$E934&gt;=VLOOKUP($D934,Merchantability!$B:$D,3,0),$E934&lt;=VLOOKUP($D934,Merchantability!$B:$E,4,0)),AB934,0)</f>
        <v>#N/A</v>
      </c>
      <c r="AH934" s="104" t="e">
        <f>IF(AND(VLOOKUP($D934,Merchantability!$B:$C,2,0)="Yes",$E934&gt;=VLOOKUP($D934,Merchantability!$B:$D,3,0),$E934&lt;=VLOOKUP($D934,Merchantability!$B:$E,4,0)),AC934,0)</f>
        <v>#N/A</v>
      </c>
      <c r="AI934" s="104" t="e">
        <f t="shared" si="438"/>
        <v>#N/A</v>
      </c>
      <c r="AJ934" s="104" t="e">
        <f t="shared" si="439"/>
        <v>#VALUE!</v>
      </c>
      <c r="AK934" s="104" t="e">
        <f t="shared" si="440"/>
        <v>#N/A</v>
      </c>
      <c r="AL934" s="104" t="e">
        <f t="shared" si="441"/>
        <v>#N/A</v>
      </c>
      <c r="AM934" s="104" t="e">
        <f t="shared" si="442"/>
        <v>#N/A</v>
      </c>
      <c r="AN934" s="104" t="e">
        <f t="shared" si="426"/>
        <v>#N/A</v>
      </c>
      <c r="AO934" s="104" t="e">
        <f t="shared" si="427"/>
        <v>#N/A</v>
      </c>
      <c r="AP934" s="104" t="e">
        <f t="shared" si="428"/>
        <v>#N/A</v>
      </c>
      <c r="AQ934" s="104" t="e">
        <f t="shared" si="429"/>
        <v>#N/A</v>
      </c>
      <c r="AR934" s="105" t="str">
        <f t="shared" si="421"/>
        <v/>
      </c>
      <c r="AS934" s="105" t="str">
        <f t="shared" si="422"/>
        <v/>
      </c>
      <c r="AT934" s="108" t="str">
        <f t="shared" si="423"/>
        <v/>
      </c>
      <c r="AU934" s="108" t="str">
        <f t="shared" si="424"/>
        <v/>
      </c>
      <c r="AV934" s="107" t="str">
        <f>IF(ISNUMBER(O934),IF(VLOOKUP($A934,Stand!C:J,8,FALSE)="Short",AT934,AU934),"")</f>
        <v/>
      </c>
      <c r="AW934" s="109" t="str">
        <f t="shared" si="430"/>
        <v/>
      </c>
      <c r="AX934" s="109" t="str">
        <f t="shared" si="431"/>
        <v/>
      </c>
      <c r="AY934" s="112" t="str">
        <f>IF(ISNUMBER(O934),IF(AND(VLOOKUP($D934,Merchantability!$B:$C,2,0)="Yes",$E934&gt;=VLOOKUP($D934,Merchantability!$B:$D,3,0),$E934&lt;=VLOOKUP($D934,Merchantability!$B:$E,4,0)),(AV934*O934)*(1-$H934/100),""),"")</f>
        <v/>
      </c>
      <c r="AZ934" s="116"/>
      <c r="BA934" s="116"/>
      <c r="BB934" s="116"/>
      <c r="BE934" s="62"/>
      <c r="BF934" s="63"/>
    </row>
    <row r="935" spans="1:58" ht="12.75" customHeight="1" x14ac:dyDescent="0.25">
      <c r="A935" s="313"/>
      <c r="B935" s="328"/>
      <c r="C935" s="329"/>
      <c r="D935" s="328"/>
      <c r="E935" s="330"/>
      <c r="F935" s="328"/>
      <c r="G935" s="329"/>
      <c r="H935" s="329"/>
      <c r="I935" s="328"/>
      <c r="J935" s="383"/>
      <c r="K935" s="329"/>
      <c r="L935" s="329"/>
      <c r="M935" s="76"/>
      <c r="N935" s="103" t="str">
        <f>IF(A935="","",VLOOKUP(A935,Stand!C:K,9,0))</f>
        <v/>
      </c>
      <c r="O935" s="104" t="str">
        <f t="shared" si="416"/>
        <v/>
      </c>
      <c r="P935" s="105" t="str">
        <f t="shared" si="417"/>
        <v/>
      </c>
      <c r="Q935" s="105" t="str">
        <f t="shared" si="432"/>
        <v/>
      </c>
      <c r="R935" s="103" t="str">
        <f t="shared" si="418"/>
        <v/>
      </c>
      <c r="S935" s="103" t="str">
        <f t="shared" si="419"/>
        <v/>
      </c>
      <c r="T935" s="106" t="str">
        <f t="shared" si="433"/>
        <v/>
      </c>
      <c r="U935" s="106" t="str">
        <f t="shared" si="434"/>
        <v/>
      </c>
      <c r="V935" s="106" t="str">
        <f t="shared" si="435"/>
        <v/>
      </c>
      <c r="W935" s="105" t="str">
        <f t="shared" si="420"/>
        <v/>
      </c>
      <c r="X935" s="104" t="str">
        <f t="shared" si="425"/>
        <v/>
      </c>
      <c r="Y935" s="104" t="str">
        <f t="array" ref="Y935">IFERROR(IF(ISNUMBER(O935),IF(COUNT(IF(A935=$A$2:$A$2427,IF(D935=$D$2:$D$2427,IF($X$2:$X$2427&gt;0,1))))&gt;0,SUM(IF(A935=$A$2:$A$2427,IF(D935=$D$2:$D$2427,$X$2:$X$2427)))/COUNT(IF(A935=$A$2:$A$2427,IF(D935=$D$2:$D$2427,IF(ISNUMBER($X$2:$X$2427),1)))),0),""),0)</f>
        <v/>
      </c>
      <c r="Z935" s="104" t="str">
        <f>IF(ISNUMBER(O935),IF(I935&gt;0,(10^(VLOOKUP(D935,'Species Codes'!B:C,2,0)+VLOOKUP(D935,'Species Codes'!B:D,3,0)*LOG(E935)+VLOOKUP(D935,'Species Codes'!B:E,4,0)*LOG(I935))),0),"")</f>
        <v/>
      </c>
      <c r="AA935" s="104" t="str">
        <f>IFERROR((VLOOKUP(D935,'Species Codes'!B:G,6,0)*Z935)/2000,"")</f>
        <v/>
      </c>
      <c r="AB935" s="104" t="e">
        <f>IF(Z935&gt;0,((IF(OR(D935="DF",D935="RA")=TRUE,EXP(VLOOKUP(D935,'Species Codes'!B:I,8,0)+VLOOKUP(D935,'Species Codes'!B:J,9,0)*(LN((E935*2.54)))),IF(OR(D935="PY",D935="RC",D935="WH",D935="NF")=TRUE,VLOOKUP(D935,'Species Codes'!B:I,8,0)+VLOOKUP(D935,'Species Codes'!B:J,9,0)*((E935*2.54)^2)*(I935*0.3048),IF(OR(D935="MD",D935="BM",D935="GA")=TRUE,((VLOOKUP(D935,'Species Codes'!B:I,8,0)*(((((E935*2.54)+VLOOKUP(D935,'Species Codes'!B:J,9,0))/VLOOKUP(D935,'Species Codes'!B:K,10,0))^VLOOKUP(D935,'Species Codes'!B:L,11,0))*((I935*0.3048)^VLOOKUP(D935,'Species Codes'!B:M,12,0))))-(VLOOKUP(D935,'Species Codes'!B:I,8,0)*((((E935*2.54)^VLOOKUP(D935,'Species Codes'!B:L,11,0))*((I935*0.3048)^VLOOKUP(D935,'Species Codes'!B:M,12,0))))))*35.3*VLOOKUP(D935,'Species Codes'!B:G,6,0)/2.2046,VLOOKUP(D935,'Species Codes'!B:I,8,0)+VLOOKUP(D935,'Species Codes'!B:J,9,0)*(((E935*2.54)/100)^2)*(I935*0.3048)))))*0.0011023),0)</f>
        <v>#N/A</v>
      </c>
      <c r="AC935" s="104" t="e">
        <f>IF(Z935&gt;0,((IF(OR(D935="RA",D935="OA",D935="OT",D935="UN",D935="PC"),EXP(VLOOKUP(D935,'Species Codes'!B:O,14,0)+VLOOKUP(D935,'Species Codes'!B:P,15,0)*LN((E935*2.54)))-EXP(VLOOKUP(D935,'Species Codes'!B:O,14,0)+VLOOKUP(D935,'Species Codes'!B:P,15,0)*LN((E935*2.54)))*(1/(VLOOKUP(D935,'Species Codes'!B:Q,16,0)+VLOOKUP(D935,'Species Codes'!B:R,17,0)*((E935*2.54)^VLOOKUP(D935,'Species Codes'!B:S,18,0)))),IF(OR(D935="BM",D935="MD",D935="OA"),EXP(VLOOKUP(D935,'Species Codes'!B:O,14,0)+VLOOKUP(D935,'Species Codes'!B:P,15,0)*LN((E935*2.54)))*(1-(1/(VLOOKUP(D935,'Species Codes'!B:Q,16,0)+VLOOKUP(D935,'Species Codes'!B:R,17,0)*((E935*2.54)^VLOOKUP(D935,'Species Codes'!B:S,18,0)))))/1000,IF(D935="DF",EXP(VLOOKUP(D935,'Species Codes'!B:O,14,0)+VLOOKUP(D935,'Species Codes'!B:P,15,0)*LN((E935*2.54))),VLOOKUP(D935,'Species Codes'!B:O,14,0)+VLOOKUP(D935,'Species Codes'!B:P,15,0)*(((E935*2.54)/100)^2)*(I935*0.3048)))))*0.0011023),0)</f>
        <v>#N/A</v>
      </c>
      <c r="AD935" s="104" t="e">
        <f t="shared" si="436"/>
        <v>#N/A</v>
      </c>
      <c r="AE935" s="104" t="e">
        <f t="shared" si="437"/>
        <v>#N/A</v>
      </c>
      <c r="AF935" s="104" t="e">
        <f>IF(AND(VLOOKUP($D935,Merchantability!$B:$C,2,0)="Yes",$E935&gt;=VLOOKUP($D935,Merchantability!$B:$D,3,0),$E935&lt;=VLOOKUP($D935,Merchantability!$B:$E,4,0)),AA935,0)</f>
        <v>#N/A</v>
      </c>
      <c r="AG935" s="104" t="e">
        <f>IF(AND(VLOOKUP($D935,Merchantability!$B:$C,2,0)="Yes",$E935&gt;=VLOOKUP($D935,Merchantability!$B:$D,3,0),$E935&lt;=VLOOKUP($D935,Merchantability!$B:$E,4,0)),AB935,0)</f>
        <v>#N/A</v>
      </c>
      <c r="AH935" s="104" t="e">
        <f>IF(AND(VLOOKUP($D935,Merchantability!$B:$C,2,0)="Yes",$E935&gt;=VLOOKUP($D935,Merchantability!$B:$D,3,0),$E935&lt;=VLOOKUP($D935,Merchantability!$B:$E,4,0)),AC935,0)</f>
        <v>#N/A</v>
      </c>
      <c r="AI935" s="104" t="e">
        <f t="shared" si="438"/>
        <v>#N/A</v>
      </c>
      <c r="AJ935" s="104" t="e">
        <f t="shared" si="439"/>
        <v>#VALUE!</v>
      </c>
      <c r="AK935" s="104" t="e">
        <f t="shared" si="440"/>
        <v>#N/A</v>
      </c>
      <c r="AL935" s="104" t="e">
        <f t="shared" si="441"/>
        <v>#N/A</v>
      </c>
      <c r="AM935" s="104" t="e">
        <f t="shared" si="442"/>
        <v>#N/A</v>
      </c>
      <c r="AN935" s="104" t="e">
        <f t="shared" si="426"/>
        <v>#N/A</v>
      </c>
      <c r="AO935" s="104" t="e">
        <f t="shared" si="427"/>
        <v>#N/A</v>
      </c>
      <c r="AP935" s="104" t="e">
        <f t="shared" si="428"/>
        <v>#N/A</v>
      </c>
      <c r="AQ935" s="104" t="e">
        <f t="shared" si="429"/>
        <v>#N/A</v>
      </c>
      <c r="AR935" s="105" t="str">
        <f t="shared" si="421"/>
        <v/>
      </c>
      <c r="AS935" s="105" t="str">
        <f t="shared" si="422"/>
        <v/>
      </c>
      <c r="AT935" s="108" t="str">
        <f t="shared" si="423"/>
        <v/>
      </c>
      <c r="AU935" s="108" t="str">
        <f t="shared" si="424"/>
        <v/>
      </c>
      <c r="AV935" s="107" t="str">
        <f>IF(ISNUMBER(O935),IF(VLOOKUP($A935,Stand!C:J,8,FALSE)="Short",AT935,AU935),"")</f>
        <v/>
      </c>
      <c r="AW935" s="109" t="str">
        <f t="shared" si="430"/>
        <v/>
      </c>
      <c r="AX935" s="109" t="str">
        <f t="shared" si="431"/>
        <v/>
      </c>
      <c r="AY935" s="112" t="str">
        <f>IF(ISNUMBER(O935),IF(AND(VLOOKUP($D935,Merchantability!$B:$C,2,0)="Yes",$E935&gt;=VLOOKUP($D935,Merchantability!$B:$D,3,0),$E935&lt;=VLOOKUP($D935,Merchantability!$B:$E,4,0)),(AV935*O935)*(1-$H935/100),""),"")</f>
        <v/>
      </c>
      <c r="AZ935" s="116"/>
      <c r="BA935" s="116"/>
      <c r="BB935" s="116"/>
      <c r="BE935" s="62"/>
      <c r="BF935" s="63"/>
    </row>
    <row r="936" spans="1:58" ht="12.75" customHeight="1" x14ac:dyDescent="0.25">
      <c r="A936" s="313"/>
      <c r="B936" s="328"/>
      <c r="C936" s="329"/>
      <c r="D936" s="328"/>
      <c r="E936" s="330"/>
      <c r="F936" s="328"/>
      <c r="G936" s="329"/>
      <c r="H936" s="329"/>
      <c r="I936" s="328"/>
      <c r="J936" s="383"/>
      <c r="K936" s="329"/>
      <c r="L936" s="329"/>
      <c r="M936" s="76"/>
      <c r="N936" s="103" t="str">
        <f>IF(A936="","",VLOOKUP(A936,Stand!C:K,9,0))</f>
        <v/>
      </c>
      <c r="O936" s="104" t="str">
        <f t="shared" si="416"/>
        <v/>
      </c>
      <c r="P936" s="105" t="str">
        <f t="shared" si="417"/>
        <v/>
      </c>
      <c r="Q936" s="105" t="str">
        <f t="shared" si="432"/>
        <v/>
      </c>
      <c r="R936" s="103" t="str">
        <f t="shared" si="418"/>
        <v/>
      </c>
      <c r="S936" s="103" t="str">
        <f t="shared" si="419"/>
        <v/>
      </c>
      <c r="T936" s="106" t="str">
        <f t="shared" si="433"/>
        <v/>
      </c>
      <c r="U936" s="106" t="str">
        <f t="shared" si="434"/>
        <v/>
      </c>
      <c r="V936" s="106" t="str">
        <f t="shared" si="435"/>
        <v/>
      </c>
      <c r="W936" s="105" t="str">
        <f t="shared" si="420"/>
        <v/>
      </c>
      <c r="X936" s="104" t="str">
        <f t="shared" si="425"/>
        <v/>
      </c>
      <c r="Y936" s="104" t="str">
        <f t="array" ref="Y936">IFERROR(IF(ISNUMBER(O936),IF(COUNT(IF(A936=$A$2:$A$2427,IF(D936=$D$2:$D$2427,IF($X$2:$X$2427&gt;0,1))))&gt;0,SUM(IF(A936=$A$2:$A$2427,IF(D936=$D$2:$D$2427,$X$2:$X$2427)))/COUNT(IF(A936=$A$2:$A$2427,IF(D936=$D$2:$D$2427,IF(ISNUMBER($X$2:$X$2427),1)))),0),""),0)</f>
        <v/>
      </c>
      <c r="Z936" s="104" t="str">
        <f>IF(ISNUMBER(O936),IF(I936&gt;0,(10^(VLOOKUP(D936,'Species Codes'!B:C,2,0)+VLOOKUP(D936,'Species Codes'!B:D,3,0)*LOG(E936)+VLOOKUP(D936,'Species Codes'!B:E,4,0)*LOG(I936))),0),"")</f>
        <v/>
      </c>
      <c r="AA936" s="104" t="str">
        <f>IFERROR((VLOOKUP(D936,'Species Codes'!B:G,6,0)*Z936)/2000,"")</f>
        <v/>
      </c>
      <c r="AB936" s="104" t="e">
        <f>IF(Z936&gt;0,((IF(OR(D936="DF",D936="RA")=TRUE,EXP(VLOOKUP(D936,'Species Codes'!B:I,8,0)+VLOOKUP(D936,'Species Codes'!B:J,9,0)*(LN((E936*2.54)))),IF(OR(D936="PY",D936="RC",D936="WH",D936="NF")=TRUE,VLOOKUP(D936,'Species Codes'!B:I,8,0)+VLOOKUP(D936,'Species Codes'!B:J,9,0)*((E936*2.54)^2)*(I936*0.3048),IF(OR(D936="MD",D936="BM",D936="GA")=TRUE,((VLOOKUP(D936,'Species Codes'!B:I,8,0)*(((((E936*2.54)+VLOOKUP(D936,'Species Codes'!B:J,9,0))/VLOOKUP(D936,'Species Codes'!B:K,10,0))^VLOOKUP(D936,'Species Codes'!B:L,11,0))*((I936*0.3048)^VLOOKUP(D936,'Species Codes'!B:M,12,0))))-(VLOOKUP(D936,'Species Codes'!B:I,8,0)*((((E936*2.54)^VLOOKUP(D936,'Species Codes'!B:L,11,0))*((I936*0.3048)^VLOOKUP(D936,'Species Codes'!B:M,12,0))))))*35.3*VLOOKUP(D936,'Species Codes'!B:G,6,0)/2.2046,VLOOKUP(D936,'Species Codes'!B:I,8,0)+VLOOKUP(D936,'Species Codes'!B:J,9,0)*(((E936*2.54)/100)^2)*(I936*0.3048)))))*0.0011023),0)</f>
        <v>#N/A</v>
      </c>
      <c r="AC936" s="104" t="e">
        <f>IF(Z936&gt;0,((IF(OR(D936="RA",D936="OA",D936="OT",D936="UN",D936="PC"),EXP(VLOOKUP(D936,'Species Codes'!B:O,14,0)+VLOOKUP(D936,'Species Codes'!B:P,15,0)*LN((E936*2.54)))-EXP(VLOOKUP(D936,'Species Codes'!B:O,14,0)+VLOOKUP(D936,'Species Codes'!B:P,15,0)*LN((E936*2.54)))*(1/(VLOOKUP(D936,'Species Codes'!B:Q,16,0)+VLOOKUP(D936,'Species Codes'!B:R,17,0)*((E936*2.54)^VLOOKUP(D936,'Species Codes'!B:S,18,0)))),IF(OR(D936="BM",D936="MD",D936="OA"),EXP(VLOOKUP(D936,'Species Codes'!B:O,14,0)+VLOOKUP(D936,'Species Codes'!B:P,15,0)*LN((E936*2.54)))*(1-(1/(VLOOKUP(D936,'Species Codes'!B:Q,16,0)+VLOOKUP(D936,'Species Codes'!B:R,17,0)*((E936*2.54)^VLOOKUP(D936,'Species Codes'!B:S,18,0)))))/1000,IF(D936="DF",EXP(VLOOKUP(D936,'Species Codes'!B:O,14,0)+VLOOKUP(D936,'Species Codes'!B:P,15,0)*LN((E936*2.54))),VLOOKUP(D936,'Species Codes'!B:O,14,0)+VLOOKUP(D936,'Species Codes'!B:P,15,0)*(((E936*2.54)/100)^2)*(I936*0.3048)))))*0.0011023),0)</f>
        <v>#N/A</v>
      </c>
      <c r="AD936" s="104" t="e">
        <f t="shared" si="436"/>
        <v>#N/A</v>
      </c>
      <c r="AE936" s="104" t="e">
        <f t="shared" si="437"/>
        <v>#N/A</v>
      </c>
      <c r="AF936" s="104" t="e">
        <f>IF(AND(VLOOKUP($D936,Merchantability!$B:$C,2,0)="Yes",$E936&gt;=VLOOKUP($D936,Merchantability!$B:$D,3,0),$E936&lt;=VLOOKUP($D936,Merchantability!$B:$E,4,0)),AA936,0)</f>
        <v>#N/A</v>
      </c>
      <c r="AG936" s="104" t="e">
        <f>IF(AND(VLOOKUP($D936,Merchantability!$B:$C,2,0)="Yes",$E936&gt;=VLOOKUP($D936,Merchantability!$B:$D,3,0),$E936&lt;=VLOOKUP($D936,Merchantability!$B:$E,4,0)),AB936,0)</f>
        <v>#N/A</v>
      </c>
      <c r="AH936" s="104" t="e">
        <f>IF(AND(VLOOKUP($D936,Merchantability!$B:$C,2,0)="Yes",$E936&gt;=VLOOKUP($D936,Merchantability!$B:$D,3,0),$E936&lt;=VLOOKUP($D936,Merchantability!$B:$E,4,0)),AC936,0)</f>
        <v>#N/A</v>
      </c>
      <c r="AI936" s="104" t="e">
        <f t="shared" si="438"/>
        <v>#N/A</v>
      </c>
      <c r="AJ936" s="104" t="e">
        <f t="shared" si="439"/>
        <v>#VALUE!</v>
      </c>
      <c r="AK936" s="104" t="e">
        <f t="shared" si="440"/>
        <v>#N/A</v>
      </c>
      <c r="AL936" s="104" t="e">
        <f t="shared" si="441"/>
        <v>#N/A</v>
      </c>
      <c r="AM936" s="104" t="e">
        <f t="shared" si="442"/>
        <v>#N/A</v>
      </c>
      <c r="AN936" s="104" t="e">
        <f t="shared" si="426"/>
        <v>#N/A</v>
      </c>
      <c r="AO936" s="104" t="e">
        <f t="shared" si="427"/>
        <v>#N/A</v>
      </c>
      <c r="AP936" s="104" t="e">
        <f t="shared" si="428"/>
        <v>#N/A</v>
      </c>
      <c r="AQ936" s="104" t="e">
        <f t="shared" si="429"/>
        <v>#N/A</v>
      </c>
      <c r="AR936" s="105" t="str">
        <f t="shared" si="421"/>
        <v/>
      </c>
      <c r="AS936" s="105" t="str">
        <f t="shared" si="422"/>
        <v/>
      </c>
      <c r="AT936" s="108" t="str">
        <f t="shared" si="423"/>
        <v/>
      </c>
      <c r="AU936" s="108" t="str">
        <f t="shared" si="424"/>
        <v/>
      </c>
      <c r="AV936" s="107" t="str">
        <f>IF(ISNUMBER(O936),IF(VLOOKUP($A936,Stand!C:J,8,FALSE)="Short",AT936,AU936),"")</f>
        <v/>
      </c>
      <c r="AW936" s="109" t="str">
        <f t="shared" si="430"/>
        <v/>
      </c>
      <c r="AX936" s="109" t="str">
        <f t="shared" si="431"/>
        <v/>
      </c>
      <c r="AY936" s="112" t="str">
        <f>IF(ISNUMBER(O936),IF(AND(VLOOKUP($D936,Merchantability!$B:$C,2,0)="Yes",$E936&gt;=VLOOKUP($D936,Merchantability!$B:$D,3,0),$E936&lt;=VLOOKUP($D936,Merchantability!$B:$E,4,0)),(AV936*O936)*(1-$H936/100),""),"")</f>
        <v/>
      </c>
      <c r="AZ936" s="116"/>
      <c r="BA936" s="116"/>
      <c r="BB936" s="116"/>
      <c r="BE936" s="62"/>
      <c r="BF936" s="63"/>
    </row>
    <row r="937" spans="1:58" ht="12.75" customHeight="1" x14ac:dyDescent="0.25">
      <c r="A937" s="313"/>
      <c r="B937" s="328"/>
      <c r="C937" s="329"/>
      <c r="D937" s="328"/>
      <c r="E937" s="330"/>
      <c r="F937" s="328"/>
      <c r="G937" s="329"/>
      <c r="H937" s="329"/>
      <c r="I937" s="328"/>
      <c r="J937" s="383"/>
      <c r="K937" s="329"/>
      <c r="L937" s="329"/>
      <c r="M937" s="76"/>
      <c r="N937" s="103" t="str">
        <f>IF(A937="","",VLOOKUP(A937,Stand!C:K,9,0))</f>
        <v/>
      </c>
      <c r="O937" s="104" t="str">
        <f t="shared" si="416"/>
        <v/>
      </c>
      <c r="P937" s="105" t="str">
        <f t="shared" si="417"/>
        <v/>
      </c>
      <c r="Q937" s="105" t="str">
        <f t="shared" si="432"/>
        <v/>
      </c>
      <c r="R937" s="103" t="str">
        <f t="shared" si="418"/>
        <v/>
      </c>
      <c r="S937" s="103" t="str">
        <f t="shared" si="419"/>
        <v/>
      </c>
      <c r="T937" s="106" t="str">
        <f t="shared" si="433"/>
        <v/>
      </c>
      <c r="U937" s="106" t="str">
        <f t="shared" si="434"/>
        <v/>
      </c>
      <c r="V937" s="106" t="str">
        <f t="shared" si="435"/>
        <v/>
      </c>
      <c r="W937" s="105" t="str">
        <f t="shared" si="420"/>
        <v/>
      </c>
      <c r="X937" s="104" t="str">
        <f t="shared" si="425"/>
        <v/>
      </c>
      <c r="Y937" s="104" t="str">
        <f t="array" ref="Y937">IFERROR(IF(ISNUMBER(O937),IF(COUNT(IF(A937=$A$2:$A$2427,IF(D937=$D$2:$D$2427,IF($X$2:$X$2427&gt;0,1))))&gt;0,SUM(IF(A937=$A$2:$A$2427,IF(D937=$D$2:$D$2427,$X$2:$X$2427)))/COUNT(IF(A937=$A$2:$A$2427,IF(D937=$D$2:$D$2427,IF(ISNUMBER($X$2:$X$2427),1)))),0),""),0)</f>
        <v/>
      </c>
      <c r="Z937" s="104" t="str">
        <f>IF(ISNUMBER(O937),IF(I937&gt;0,(10^(VLOOKUP(D937,'Species Codes'!B:C,2,0)+VLOOKUP(D937,'Species Codes'!B:D,3,0)*LOG(E937)+VLOOKUP(D937,'Species Codes'!B:E,4,0)*LOG(I937))),0),"")</f>
        <v/>
      </c>
      <c r="AA937" s="104" t="str">
        <f>IFERROR((VLOOKUP(D937,'Species Codes'!B:G,6,0)*Z937)/2000,"")</f>
        <v/>
      </c>
      <c r="AB937" s="104" t="e">
        <f>IF(Z937&gt;0,((IF(OR(D937="DF",D937="RA")=TRUE,EXP(VLOOKUP(D937,'Species Codes'!B:I,8,0)+VLOOKUP(D937,'Species Codes'!B:J,9,0)*(LN((E937*2.54)))),IF(OR(D937="PY",D937="RC",D937="WH",D937="NF")=TRUE,VLOOKUP(D937,'Species Codes'!B:I,8,0)+VLOOKUP(D937,'Species Codes'!B:J,9,0)*((E937*2.54)^2)*(I937*0.3048),IF(OR(D937="MD",D937="BM",D937="GA")=TRUE,((VLOOKUP(D937,'Species Codes'!B:I,8,0)*(((((E937*2.54)+VLOOKUP(D937,'Species Codes'!B:J,9,0))/VLOOKUP(D937,'Species Codes'!B:K,10,0))^VLOOKUP(D937,'Species Codes'!B:L,11,0))*((I937*0.3048)^VLOOKUP(D937,'Species Codes'!B:M,12,0))))-(VLOOKUP(D937,'Species Codes'!B:I,8,0)*((((E937*2.54)^VLOOKUP(D937,'Species Codes'!B:L,11,0))*((I937*0.3048)^VLOOKUP(D937,'Species Codes'!B:M,12,0))))))*35.3*VLOOKUP(D937,'Species Codes'!B:G,6,0)/2.2046,VLOOKUP(D937,'Species Codes'!B:I,8,0)+VLOOKUP(D937,'Species Codes'!B:J,9,0)*(((E937*2.54)/100)^2)*(I937*0.3048)))))*0.0011023),0)</f>
        <v>#N/A</v>
      </c>
      <c r="AC937" s="104" t="e">
        <f>IF(Z937&gt;0,((IF(OR(D937="RA",D937="OA",D937="OT",D937="UN",D937="PC"),EXP(VLOOKUP(D937,'Species Codes'!B:O,14,0)+VLOOKUP(D937,'Species Codes'!B:P,15,0)*LN((E937*2.54)))-EXP(VLOOKUP(D937,'Species Codes'!B:O,14,0)+VLOOKUP(D937,'Species Codes'!B:P,15,0)*LN((E937*2.54)))*(1/(VLOOKUP(D937,'Species Codes'!B:Q,16,0)+VLOOKUP(D937,'Species Codes'!B:R,17,0)*((E937*2.54)^VLOOKUP(D937,'Species Codes'!B:S,18,0)))),IF(OR(D937="BM",D937="MD",D937="OA"),EXP(VLOOKUP(D937,'Species Codes'!B:O,14,0)+VLOOKUP(D937,'Species Codes'!B:P,15,0)*LN((E937*2.54)))*(1-(1/(VLOOKUP(D937,'Species Codes'!B:Q,16,0)+VLOOKUP(D937,'Species Codes'!B:R,17,0)*((E937*2.54)^VLOOKUP(D937,'Species Codes'!B:S,18,0)))))/1000,IF(D937="DF",EXP(VLOOKUP(D937,'Species Codes'!B:O,14,0)+VLOOKUP(D937,'Species Codes'!B:P,15,0)*LN((E937*2.54))),VLOOKUP(D937,'Species Codes'!B:O,14,0)+VLOOKUP(D937,'Species Codes'!B:P,15,0)*(((E937*2.54)/100)^2)*(I937*0.3048)))))*0.0011023),0)</f>
        <v>#N/A</v>
      </c>
      <c r="AD937" s="104" t="e">
        <f t="shared" si="436"/>
        <v>#N/A</v>
      </c>
      <c r="AE937" s="104" t="e">
        <f t="shared" si="437"/>
        <v>#N/A</v>
      </c>
      <c r="AF937" s="104" t="e">
        <f>IF(AND(VLOOKUP($D937,Merchantability!$B:$C,2,0)="Yes",$E937&gt;=VLOOKUP($D937,Merchantability!$B:$D,3,0),$E937&lt;=VLOOKUP($D937,Merchantability!$B:$E,4,0)),AA937,0)</f>
        <v>#N/A</v>
      </c>
      <c r="AG937" s="104" t="e">
        <f>IF(AND(VLOOKUP($D937,Merchantability!$B:$C,2,0)="Yes",$E937&gt;=VLOOKUP($D937,Merchantability!$B:$D,3,0),$E937&lt;=VLOOKUP($D937,Merchantability!$B:$E,4,0)),AB937,0)</f>
        <v>#N/A</v>
      </c>
      <c r="AH937" s="104" t="e">
        <f>IF(AND(VLOOKUP($D937,Merchantability!$B:$C,2,0)="Yes",$E937&gt;=VLOOKUP($D937,Merchantability!$B:$D,3,0),$E937&lt;=VLOOKUP($D937,Merchantability!$B:$E,4,0)),AC937,0)</f>
        <v>#N/A</v>
      </c>
      <c r="AI937" s="104" t="e">
        <f t="shared" si="438"/>
        <v>#N/A</v>
      </c>
      <c r="AJ937" s="104" t="e">
        <f t="shared" si="439"/>
        <v>#VALUE!</v>
      </c>
      <c r="AK937" s="104" t="e">
        <f t="shared" si="440"/>
        <v>#N/A</v>
      </c>
      <c r="AL937" s="104" t="e">
        <f t="shared" si="441"/>
        <v>#N/A</v>
      </c>
      <c r="AM937" s="104" t="e">
        <f t="shared" si="442"/>
        <v>#N/A</v>
      </c>
      <c r="AN937" s="104" t="e">
        <f t="shared" si="426"/>
        <v>#N/A</v>
      </c>
      <c r="AO937" s="104" t="e">
        <f t="shared" si="427"/>
        <v>#N/A</v>
      </c>
      <c r="AP937" s="104" t="e">
        <f t="shared" si="428"/>
        <v>#N/A</v>
      </c>
      <c r="AQ937" s="104" t="e">
        <f t="shared" si="429"/>
        <v>#N/A</v>
      </c>
      <c r="AR937" s="105" t="str">
        <f t="shared" si="421"/>
        <v/>
      </c>
      <c r="AS937" s="105" t="str">
        <f t="shared" si="422"/>
        <v/>
      </c>
      <c r="AT937" s="108" t="str">
        <f t="shared" si="423"/>
        <v/>
      </c>
      <c r="AU937" s="108" t="str">
        <f t="shared" si="424"/>
        <v/>
      </c>
      <c r="AV937" s="107" t="str">
        <f>IF(ISNUMBER(O937),IF(VLOOKUP($A937,Stand!C:J,8,FALSE)="Short",AT937,AU937),"")</f>
        <v/>
      </c>
      <c r="AW937" s="109" t="str">
        <f t="shared" si="430"/>
        <v/>
      </c>
      <c r="AX937" s="109" t="str">
        <f t="shared" si="431"/>
        <v/>
      </c>
      <c r="AY937" s="112" t="str">
        <f>IF(ISNUMBER(O937),IF(AND(VLOOKUP($D937,Merchantability!$B:$C,2,0)="Yes",$E937&gt;=VLOOKUP($D937,Merchantability!$B:$D,3,0),$E937&lt;=VLOOKUP($D937,Merchantability!$B:$E,4,0)),(AV937*O937)*(1-$H937/100),""),"")</f>
        <v/>
      </c>
      <c r="AZ937" s="116"/>
      <c r="BA937" s="116"/>
      <c r="BB937" s="116"/>
      <c r="BE937" s="62"/>
      <c r="BF937" s="63"/>
    </row>
    <row r="938" spans="1:58" ht="12.75" customHeight="1" x14ac:dyDescent="0.25">
      <c r="A938" s="313"/>
      <c r="B938" s="328"/>
      <c r="C938" s="329"/>
      <c r="D938" s="328"/>
      <c r="E938" s="330"/>
      <c r="F938" s="328"/>
      <c r="G938" s="329"/>
      <c r="H938" s="329"/>
      <c r="I938" s="328"/>
      <c r="J938" s="383"/>
      <c r="K938" s="329"/>
      <c r="L938" s="329"/>
      <c r="M938" s="76"/>
      <c r="N938" s="103" t="str">
        <f>IF(A938="","",VLOOKUP(A938,Stand!C:K,9,0))</f>
        <v/>
      </c>
      <c r="O938" s="104" t="str">
        <f t="shared" si="416"/>
        <v/>
      </c>
      <c r="P938" s="105" t="str">
        <f t="shared" si="417"/>
        <v/>
      </c>
      <c r="Q938" s="105" t="str">
        <f t="shared" si="432"/>
        <v/>
      </c>
      <c r="R938" s="103" t="str">
        <f t="shared" si="418"/>
        <v/>
      </c>
      <c r="S938" s="103" t="str">
        <f t="shared" si="419"/>
        <v/>
      </c>
      <c r="T938" s="106" t="str">
        <f t="shared" si="433"/>
        <v/>
      </c>
      <c r="U938" s="106" t="str">
        <f t="shared" si="434"/>
        <v/>
      </c>
      <c r="V938" s="106" t="str">
        <f t="shared" si="435"/>
        <v/>
      </c>
      <c r="W938" s="105" t="str">
        <f t="shared" si="420"/>
        <v/>
      </c>
      <c r="X938" s="104" t="str">
        <f t="shared" si="425"/>
        <v/>
      </c>
      <c r="Y938" s="104" t="str">
        <f t="array" ref="Y938">IFERROR(IF(ISNUMBER(O938),IF(COUNT(IF(A938=$A$2:$A$2427,IF(D938=$D$2:$D$2427,IF($X$2:$X$2427&gt;0,1))))&gt;0,SUM(IF(A938=$A$2:$A$2427,IF(D938=$D$2:$D$2427,$X$2:$X$2427)))/COUNT(IF(A938=$A$2:$A$2427,IF(D938=$D$2:$D$2427,IF(ISNUMBER($X$2:$X$2427),1)))),0),""),0)</f>
        <v/>
      </c>
      <c r="Z938" s="104" t="str">
        <f>IF(ISNUMBER(O938),IF(I938&gt;0,(10^(VLOOKUP(D938,'Species Codes'!B:C,2,0)+VLOOKUP(D938,'Species Codes'!B:D,3,0)*LOG(E938)+VLOOKUP(D938,'Species Codes'!B:E,4,0)*LOG(I938))),0),"")</f>
        <v/>
      </c>
      <c r="AA938" s="104" t="str">
        <f>IFERROR((VLOOKUP(D938,'Species Codes'!B:G,6,0)*Z938)/2000,"")</f>
        <v/>
      </c>
      <c r="AB938" s="104" t="e">
        <f>IF(Z938&gt;0,((IF(OR(D938="DF",D938="RA")=TRUE,EXP(VLOOKUP(D938,'Species Codes'!B:I,8,0)+VLOOKUP(D938,'Species Codes'!B:J,9,0)*(LN((E938*2.54)))),IF(OR(D938="PY",D938="RC",D938="WH",D938="NF")=TRUE,VLOOKUP(D938,'Species Codes'!B:I,8,0)+VLOOKUP(D938,'Species Codes'!B:J,9,0)*((E938*2.54)^2)*(I938*0.3048),IF(OR(D938="MD",D938="BM",D938="GA")=TRUE,((VLOOKUP(D938,'Species Codes'!B:I,8,0)*(((((E938*2.54)+VLOOKUP(D938,'Species Codes'!B:J,9,0))/VLOOKUP(D938,'Species Codes'!B:K,10,0))^VLOOKUP(D938,'Species Codes'!B:L,11,0))*((I938*0.3048)^VLOOKUP(D938,'Species Codes'!B:M,12,0))))-(VLOOKUP(D938,'Species Codes'!B:I,8,0)*((((E938*2.54)^VLOOKUP(D938,'Species Codes'!B:L,11,0))*((I938*0.3048)^VLOOKUP(D938,'Species Codes'!B:M,12,0))))))*35.3*VLOOKUP(D938,'Species Codes'!B:G,6,0)/2.2046,VLOOKUP(D938,'Species Codes'!B:I,8,0)+VLOOKUP(D938,'Species Codes'!B:J,9,0)*(((E938*2.54)/100)^2)*(I938*0.3048)))))*0.0011023),0)</f>
        <v>#N/A</v>
      </c>
      <c r="AC938" s="104" t="e">
        <f>IF(Z938&gt;0,((IF(OR(D938="RA",D938="OA",D938="OT",D938="UN",D938="PC"),EXP(VLOOKUP(D938,'Species Codes'!B:O,14,0)+VLOOKUP(D938,'Species Codes'!B:P,15,0)*LN((E938*2.54)))-EXP(VLOOKUP(D938,'Species Codes'!B:O,14,0)+VLOOKUP(D938,'Species Codes'!B:P,15,0)*LN((E938*2.54)))*(1/(VLOOKUP(D938,'Species Codes'!B:Q,16,0)+VLOOKUP(D938,'Species Codes'!B:R,17,0)*((E938*2.54)^VLOOKUP(D938,'Species Codes'!B:S,18,0)))),IF(OR(D938="BM",D938="MD",D938="OA"),EXP(VLOOKUP(D938,'Species Codes'!B:O,14,0)+VLOOKUP(D938,'Species Codes'!B:P,15,0)*LN((E938*2.54)))*(1-(1/(VLOOKUP(D938,'Species Codes'!B:Q,16,0)+VLOOKUP(D938,'Species Codes'!B:R,17,0)*((E938*2.54)^VLOOKUP(D938,'Species Codes'!B:S,18,0)))))/1000,IF(D938="DF",EXP(VLOOKUP(D938,'Species Codes'!B:O,14,0)+VLOOKUP(D938,'Species Codes'!B:P,15,0)*LN((E938*2.54))),VLOOKUP(D938,'Species Codes'!B:O,14,0)+VLOOKUP(D938,'Species Codes'!B:P,15,0)*(((E938*2.54)/100)^2)*(I938*0.3048)))))*0.0011023),0)</f>
        <v>#N/A</v>
      </c>
      <c r="AD938" s="104" t="e">
        <f t="shared" si="436"/>
        <v>#N/A</v>
      </c>
      <c r="AE938" s="104" t="e">
        <f t="shared" si="437"/>
        <v>#N/A</v>
      </c>
      <c r="AF938" s="104" t="e">
        <f>IF(AND(VLOOKUP($D938,Merchantability!$B:$C,2,0)="Yes",$E938&gt;=VLOOKUP($D938,Merchantability!$B:$D,3,0),$E938&lt;=VLOOKUP($D938,Merchantability!$B:$E,4,0)),AA938,0)</f>
        <v>#N/A</v>
      </c>
      <c r="AG938" s="104" t="e">
        <f>IF(AND(VLOOKUP($D938,Merchantability!$B:$C,2,0)="Yes",$E938&gt;=VLOOKUP($D938,Merchantability!$B:$D,3,0),$E938&lt;=VLOOKUP($D938,Merchantability!$B:$E,4,0)),AB938,0)</f>
        <v>#N/A</v>
      </c>
      <c r="AH938" s="104" t="e">
        <f>IF(AND(VLOOKUP($D938,Merchantability!$B:$C,2,0)="Yes",$E938&gt;=VLOOKUP($D938,Merchantability!$B:$D,3,0),$E938&lt;=VLOOKUP($D938,Merchantability!$B:$E,4,0)),AC938,0)</f>
        <v>#N/A</v>
      </c>
      <c r="AI938" s="104" t="e">
        <f t="shared" si="438"/>
        <v>#N/A</v>
      </c>
      <c r="AJ938" s="104" t="e">
        <f t="shared" si="439"/>
        <v>#VALUE!</v>
      </c>
      <c r="AK938" s="104" t="e">
        <f t="shared" si="440"/>
        <v>#N/A</v>
      </c>
      <c r="AL938" s="104" t="e">
        <f t="shared" si="441"/>
        <v>#N/A</v>
      </c>
      <c r="AM938" s="104" t="e">
        <f t="shared" si="442"/>
        <v>#N/A</v>
      </c>
      <c r="AN938" s="104" t="e">
        <f t="shared" si="426"/>
        <v>#N/A</v>
      </c>
      <c r="AO938" s="104" t="e">
        <f t="shared" si="427"/>
        <v>#N/A</v>
      </c>
      <c r="AP938" s="104" t="e">
        <f t="shared" si="428"/>
        <v>#N/A</v>
      </c>
      <c r="AQ938" s="104" t="e">
        <f t="shared" si="429"/>
        <v>#N/A</v>
      </c>
      <c r="AR938" s="105" t="str">
        <f t="shared" si="421"/>
        <v/>
      </c>
      <c r="AS938" s="105" t="str">
        <f t="shared" si="422"/>
        <v/>
      </c>
      <c r="AT938" s="108" t="str">
        <f t="shared" si="423"/>
        <v/>
      </c>
      <c r="AU938" s="108" t="str">
        <f t="shared" si="424"/>
        <v/>
      </c>
      <c r="AV938" s="107" t="str">
        <f>IF(ISNUMBER(O938),IF(VLOOKUP($A938,Stand!C:J,8,FALSE)="Short",AT938,AU938),"")</f>
        <v/>
      </c>
      <c r="AW938" s="109" t="str">
        <f t="shared" si="430"/>
        <v/>
      </c>
      <c r="AX938" s="109" t="str">
        <f t="shared" si="431"/>
        <v/>
      </c>
      <c r="AY938" s="112" t="str">
        <f>IF(ISNUMBER(O938),IF(AND(VLOOKUP($D938,Merchantability!$B:$C,2,0)="Yes",$E938&gt;=VLOOKUP($D938,Merchantability!$B:$D,3,0),$E938&lt;=VLOOKUP($D938,Merchantability!$B:$E,4,0)),(AV938*O938)*(1-$H938/100),""),"")</f>
        <v/>
      </c>
      <c r="AZ938" s="116"/>
      <c r="BA938" s="116"/>
      <c r="BB938" s="116"/>
      <c r="BE938" s="62"/>
      <c r="BF938" s="63"/>
    </row>
    <row r="939" spans="1:58" ht="12.75" customHeight="1" x14ac:dyDescent="0.25">
      <c r="A939" s="313"/>
      <c r="B939" s="328"/>
      <c r="C939" s="329"/>
      <c r="D939" s="328"/>
      <c r="E939" s="330"/>
      <c r="F939" s="328"/>
      <c r="G939" s="329"/>
      <c r="H939" s="329"/>
      <c r="I939" s="328"/>
      <c r="J939" s="383"/>
      <c r="K939" s="329"/>
      <c r="L939" s="329"/>
      <c r="M939" s="76"/>
      <c r="N939" s="103" t="str">
        <f>IF(A939="","",VLOOKUP(A939,Stand!C:K,9,0))</f>
        <v/>
      </c>
      <c r="O939" s="104" t="str">
        <f t="shared" si="416"/>
        <v/>
      </c>
      <c r="P939" s="105" t="str">
        <f t="shared" si="417"/>
        <v/>
      </c>
      <c r="Q939" s="105" t="str">
        <f t="shared" si="432"/>
        <v/>
      </c>
      <c r="R939" s="103" t="str">
        <f t="shared" si="418"/>
        <v/>
      </c>
      <c r="S939" s="103" t="str">
        <f t="shared" si="419"/>
        <v/>
      </c>
      <c r="T939" s="106" t="str">
        <f t="shared" si="433"/>
        <v/>
      </c>
      <c r="U939" s="106" t="str">
        <f t="shared" si="434"/>
        <v/>
      </c>
      <c r="V939" s="106" t="str">
        <f t="shared" si="435"/>
        <v/>
      </c>
      <c r="W939" s="105" t="str">
        <f t="shared" si="420"/>
        <v/>
      </c>
      <c r="X939" s="104" t="str">
        <f t="shared" si="425"/>
        <v/>
      </c>
      <c r="Y939" s="104" t="str">
        <f t="array" ref="Y939">IFERROR(IF(ISNUMBER(O939),IF(COUNT(IF(A939=$A$2:$A$2427,IF(D939=$D$2:$D$2427,IF($X$2:$X$2427&gt;0,1))))&gt;0,SUM(IF(A939=$A$2:$A$2427,IF(D939=$D$2:$D$2427,$X$2:$X$2427)))/COUNT(IF(A939=$A$2:$A$2427,IF(D939=$D$2:$D$2427,IF(ISNUMBER($X$2:$X$2427),1)))),0),""),0)</f>
        <v/>
      </c>
      <c r="Z939" s="104" t="str">
        <f>IF(ISNUMBER(O939),IF(I939&gt;0,(10^(VLOOKUP(D939,'Species Codes'!B:C,2,0)+VLOOKUP(D939,'Species Codes'!B:D,3,0)*LOG(E939)+VLOOKUP(D939,'Species Codes'!B:E,4,0)*LOG(I939))),0),"")</f>
        <v/>
      </c>
      <c r="AA939" s="104" t="str">
        <f>IFERROR((VLOOKUP(D939,'Species Codes'!B:G,6,0)*Z939)/2000,"")</f>
        <v/>
      </c>
      <c r="AB939" s="104" t="e">
        <f>IF(Z939&gt;0,((IF(OR(D939="DF",D939="RA")=TRUE,EXP(VLOOKUP(D939,'Species Codes'!B:I,8,0)+VLOOKUP(D939,'Species Codes'!B:J,9,0)*(LN((E939*2.54)))),IF(OR(D939="PY",D939="RC",D939="WH",D939="NF")=TRUE,VLOOKUP(D939,'Species Codes'!B:I,8,0)+VLOOKUP(D939,'Species Codes'!B:J,9,0)*((E939*2.54)^2)*(I939*0.3048),IF(OR(D939="MD",D939="BM",D939="GA")=TRUE,((VLOOKUP(D939,'Species Codes'!B:I,8,0)*(((((E939*2.54)+VLOOKUP(D939,'Species Codes'!B:J,9,0))/VLOOKUP(D939,'Species Codes'!B:K,10,0))^VLOOKUP(D939,'Species Codes'!B:L,11,0))*((I939*0.3048)^VLOOKUP(D939,'Species Codes'!B:M,12,0))))-(VLOOKUP(D939,'Species Codes'!B:I,8,0)*((((E939*2.54)^VLOOKUP(D939,'Species Codes'!B:L,11,0))*((I939*0.3048)^VLOOKUP(D939,'Species Codes'!B:M,12,0))))))*35.3*VLOOKUP(D939,'Species Codes'!B:G,6,0)/2.2046,VLOOKUP(D939,'Species Codes'!B:I,8,0)+VLOOKUP(D939,'Species Codes'!B:J,9,0)*(((E939*2.54)/100)^2)*(I939*0.3048)))))*0.0011023),0)</f>
        <v>#N/A</v>
      </c>
      <c r="AC939" s="104" t="e">
        <f>IF(Z939&gt;0,((IF(OR(D939="RA",D939="OA",D939="OT",D939="UN",D939="PC"),EXP(VLOOKUP(D939,'Species Codes'!B:O,14,0)+VLOOKUP(D939,'Species Codes'!B:P,15,0)*LN((E939*2.54)))-EXP(VLOOKUP(D939,'Species Codes'!B:O,14,0)+VLOOKUP(D939,'Species Codes'!B:P,15,0)*LN((E939*2.54)))*(1/(VLOOKUP(D939,'Species Codes'!B:Q,16,0)+VLOOKUP(D939,'Species Codes'!B:R,17,0)*((E939*2.54)^VLOOKUP(D939,'Species Codes'!B:S,18,0)))),IF(OR(D939="BM",D939="MD",D939="OA"),EXP(VLOOKUP(D939,'Species Codes'!B:O,14,0)+VLOOKUP(D939,'Species Codes'!B:P,15,0)*LN((E939*2.54)))*(1-(1/(VLOOKUP(D939,'Species Codes'!B:Q,16,0)+VLOOKUP(D939,'Species Codes'!B:R,17,0)*((E939*2.54)^VLOOKUP(D939,'Species Codes'!B:S,18,0)))))/1000,IF(D939="DF",EXP(VLOOKUP(D939,'Species Codes'!B:O,14,0)+VLOOKUP(D939,'Species Codes'!B:P,15,0)*LN((E939*2.54))),VLOOKUP(D939,'Species Codes'!B:O,14,0)+VLOOKUP(D939,'Species Codes'!B:P,15,0)*(((E939*2.54)/100)^2)*(I939*0.3048)))))*0.0011023),0)</f>
        <v>#N/A</v>
      </c>
      <c r="AD939" s="104" t="e">
        <f t="shared" si="436"/>
        <v>#N/A</v>
      </c>
      <c r="AE939" s="104" t="e">
        <f t="shared" si="437"/>
        <v>#N/A</v>
      </c>
      <c r="AF939" s="104" t="e">
        <f>IF(AND(VLOOKUP($D939,Merchantability!$B:$C,2,0)="Yes",$E939&gt;=VLOOKUP($D939,Merchantability!$B:$D,3,0),$E939&lt;=VLOOKUP($D939,Merchantability!$B:$E,4,0)),AA939,0)</f>
        <v>#N/A</v>
      </c>
      <c r="AG939" s="104" t="e">
        <f>IF(AND(VLOOKUP($D939,Merchantability!$B:$C,2,0)="Yes",$E939&gt;=VLOOKUP($D939,Merchantability!$B:$D,3,0),$E939&lt;=VLOOKUP($D939,Merchantability!$B:$E,4,0)),AB939,0)</f>
        <v>#N/A</v>
      </c>
      <c r="AH939" s="104" t="e">
        <f>IF(AND(VLOOKUP($D939,Merchantability!$B:$C,2,0)="Yes",$E939&gt;=VLOOKUP($D939,Merchantability!$B:$D,3,0),$E939&lt;=VLOOKUP($D939,Merchantability!$B:$E,4,0)),AC939,0)</f>
        <v>#N/A</v>
      </c>
      <c r="AI939" s="104" t="e">
        <f t="shared" si="438"/>
        <v>#N/A</v>
      </c>
      <c r="AJ939" s="104" t="e">
        <f t="shared" si="439"/>
        <v>#VALUE!</v>
      </c>
      <c r="AK939" s="104" t="e">
        <f t="shared" si="440"/>
        <v>#N/A</v>
      </c>
      <c r="AL939" s="104" t="e">
        <f t="shared" si="441"/>
        <v>#N/A</v>
      </c>
      <c r="AM939" s="104" t="e">
        <f t="shared" si="442"/>
        <v>#N/A</v>
      </c>
      <c r="AN939" s="104" t="e">
        <f t="shared" si="426"/>
        <v>#N/A</v>
      </c>
      <c r="AO939" s="104" t="e">
        <f t="shared" si="427"/>
        <v>#N/A</v>
      </c>
      <c r="AP939" s="104" t="e">
        <f t="shared" si="428"/>
        <v>#N/A</v>
      </c>
      <c r="AQ939" s="104" t="e">
        <f t="shared" si="429"/>
        <v>#N/A</v>
      </c>
      <c r="AR939" s="105" t="str">
        <f t="shared" si="421"/>
        <v/>
      </c>
      <c r="AS939" s="105" t="str">
        <f t="shared" si="422"/>
        <v/>
      </c>
      <c r="AT939" s="108" t="str">
        <f t="shared" si="423"/>
        <v/>
      </c>
      <c r="AU939" s="108" t="str">
        <f t="shared" si="424"/>
        <v/>
      </c>
      <c r="AV939" s="107" t="str">
        <f>IF(ISNUMBER(O939),IF(VLOOKUP($A939,Stand!C:J,8,FALSE)="Short",AT939,AU939),"")</f>
        <v/>
      </c>
      <c r="AW939" s="109" t="str">
        <f t="shared" si="430"/>
        <v/>
      </c>
      <c r="AX939" s="109" t="str">
        <f t="shared" si="431"/>
        <v/>
      </c>
      <c r="AY939" s="112" t="str">
        <f>IF(ISNUMBER(O939),IF(AND(VLOOKUP($D939,Merchantability!$B:$C,2,0)="Yes",$E939&gt;=VLOOKUP($D939,Merchantability!$B:$D,3,0),$E939&lt;=VLOOKUP($D939,Merchantability!$B:$E,4,0)),(AV939*O939)*(1-$H939/100),""),"")</f>
        <v/>
      </c>
      <c r="AZ939" s="116"/>
      <c r="BA939" s="116"/>
      <c r="BB939" s="116"/>
      <c r="BE939" s="62"/>
      <c r="BF939" s="63"/>
    </row>
    <row r="940" spans="1:58" ht="12.75" customHeight="1" x14ac:dyDescent="0.25">
      <c r="A940" s="313"/>
      <c r="B940" s="328"/>
      <c r="C940" s="329"/>
      <c r="D940" s="328"/>
      <c r="E940" s="330"/>
      <c r="F940" s="328"/>
      <c r="G940" s="329"/>
      <c r="H940" s="329"/>
      <c r="I940" s="328"/>
      <c r="J940" s="383"/>
      <c r="K940" s="329"/>
      <c r="L940" s="329"/>
      <c r="M940" s="76"/>
      <c r="N940" s="103" t="str">
        <f>IF(A940="","",VLOOKUP(A940,Stand!C:K,9,0))</f>
        <v/>
      </c>
      <c r="O940" s="104" t="str">
        <f t="shared" si="416"/>
        <v/>
      </c>
      <c r="P940" s="105" t="str">
        <f t="shared" si="417"/>
        <v/>
      </c>
      <c r="Q940" s="105" t="str">
        <f t="shared" si="432"/>
        <v/>
      </c>
      <c r="R940" s="103" t="str">
        <f t="shared" si="418"/>
        <v/>
      </c>
      <c r="S940" s="103" t="str">
        <f t="shared" si="419"/>
        <v/>
      </c>
      <c r="T940" s="106" t="str">
        <f t="shared" si="433"/>
        <v/>
      </c>
      <c r="U940" s="106" t="str">
        <f t="shared" si="434"/>
        <v/>
      </c>
      <c r="V940" s="106" t="str">
        <f t="shared" si="435"/>
        <v/>
      </c>
      <c r="W940" s="105" t="str">
        <f t="shared" si="420"/>
        <v/>
      </c>
      <c r="X940" s="104" t="str">
        <f t="shared" si="425"/>
        <v/>
      </c>
      <c r="Y940" s="104" t="str">
        <f t="array" ref="Y940">IFERROR(IF(ISNUMBER(O940),IF(COUNT(IF(A940=$A$2:$A$2427,IF(D940=$D$2:$D$2427,IF($X$2:$X$2427&gt;0,1))))&gt;0,SUM(IF(A940=$A$2:$A$2427,IF(D940=$D$2:$D$2427,$X$2:$X$2427)))/COUNT(IF(A940=$A$2:$A$2427,IF(D940=$D$2:$D$2427,IF(ISNUMBER($X$2:$X$2427),1)))),0),""),0)</f>
        <v/>
      </c>
      <c r="Z940" s="104" t="str">
        <f>IF(ISNUMBER(O940),IF(I940&gt;0,(10^(VLOOKUP(D940,'Species Codes'!B:C,2,0)+VLOOKUP(D940,'Species Codes'!B:D,3,0)*LOG(E940)+VLOOKUP(D940,'Species Codes'!B:E,4,0)*LOG(I940))),0),"")</f>
        <v/>
      </c>
      <c r="AA940" s="104" t="str">
        <f>IFERROR((VLOOKUP(D940,'Species Codes'!B:G,6,0)*Z940)/2000,"")</f>
        <v/>
      </c>
      <c r="AB940" s="104" t="e">
        <f>IF(Z940&gt;0,((IF(OR(D940="DF",D940="RA")=TRUE,EXP(VLOOKUP(D940,'Species Codes'!B:I,8,0)+VLOOKUP(D940,'Species Codes'!B:J,9,0)*(LN((E940*2.54)))),IF(OR(D940="PY",D940="RC",D940="WH",D940="NF")=TRUE,VLOOKUP(D940,'Species Codes'!B:I,8,0)+VLOOKUP(D940,'Species Codes'!B:J,9,0)*((E940*2.54)^2)*(I940*0.3048),IF(OR(D940="MD",D940="BM",D940="GA")=TRUE,((VLOOKUP(D940,'Species Codes'!B:I,8,0)*(((((E940*2.54)+VLOOKUP(D940,'Species Codes'!B:J,9,0))/VLOOKUP(D940,'Species Codes'!B:K,10,0))^VLOOKUP(D940,'Species Codes'!B:L,11,0))*((I940*0.3048)^VLOOKUP(D940,'Species Codes'!B:M,12,0))))-(VLOOKUP(D940,'Species Codes'!B:I,8,0)*((((E940*2.54)^VLOOKUP(D940,'Species Codes'!B:L,11,0))*((I940*0.3048)^VLOOKUP(D940,'Species Codes'!B:M,12,0))))))*35.3*VLOOKUP(D940,'Species Codes'!B:G,6,0)/2.2046,VLOOKUP(D940,'Species Codes'!B:I,8,0)+VLOOKUP(D940,'Species Codes'!B:J,9,0)*(((E940*2.54)/100)^2)*(I940*0.3048)))))*0.0011023),0)</f>
        <v>#N/A</v>
      </c>
      <c r="AC940" s="104" t="e">
        <f>IF(Z940&gt;0,((IF(OR(D940="RA",D940="OA",D940="OT",D940="UN",D940="PC"),EXP(VLOOKUP(D940,'Species Codes'!B:O,14,0)+VLOOKUP(D940,'Species Codes'!B:P,15,0)*LN((E940*2.54)))-EXP(VLOOKUP(D940,'Species Codes'!B:O,14,0)+VLOOKUP(D940,'Species Codes'!B:P,15,0)*LN((E940*2.54)))*(1/(VLOOKUP(D940,'Species Codes'!B:Q,16,0)+VLOOKUP(D940,'Species Codes'!B:R,17,0)*((E940*2.54)^VLOOKUP(D940,'Species Codes'!B:S,18,0)))),IF(OR(D940="BM",D940="MD",D940="OA"),EXP(VLOOKUP(D940,'Species Codes'!B:O,14,0)+VLOOKUP(D940,'Species Codes'!B:P,15,0)*LN((E940*2.54)))*(1-(1/(VLOOKUP(D940,'Species Codes'!B:Q,16,0)+VLOOKUP(D940,'Species Codes'!B:R,17,0)*((E940*2.54)^VLOOKUP(D940,'Species Codes'!B:S,18,0)))))/1000,IF(D940="DF",EXP(VLOOKUP(D940,'Species Codes'!B:O,14,0)+VLOOKUP(D940,'Species Codes'!B:P,15,0)*LN((E940*2.54))),VLOOKUP(D940,'Species Codes'!B:O,14,0)+VLOOKUP(D940,'Species Codes'!B:P,15,0)*(((E940*2.54)/100)^2)*(I940*0.3048)))))*0.0011023),0)</f>
        <v>#N/A</v>
      </c>
      <c r="AD940" s="104" t="e">
        <f t="shared" si="436"/>
        <v>#N/A</v>
      </c>
      <c r="AE940" s="104" t="e">
        <f t="shared" si="437"/>
        <v>#N/A</v>
      </c>
      <c r="AF940" s="104" t="e">
        <f>IF(AND(VLOOKUP($D940,Merchantability!$B:$C,2,0)="Yes",$E940&gt;=VLOOKUP($D940,Merchantability!$B:$D,3,0),$E940&lt;=VLOOKUP($D940,Merchantability!$B:$E,4,0)),AA940,0)</f>
        <v>#N/A</v>
      </c>
      <c r="AG940" s="104" t="e">
        <f>IF(AND(VLOOKUP($D940,Merchantability!$B:$C,2,0)="Yes",$E940&gt;=VLOOKUP($D940,Merchantability!$B:$D,3,0),$E940&lt;=VLOOKUP($D940,Merchantability!$B:$E,4,0)),AB940,0)</f>
        <v>#N/A</v>
      </c>
      <c r="AH940" s="104" t="e">
        <f>IF(AND(VLOOKUP($D940,Merchantability!$B:$C,2,0)="Yes",$E940&gt;=VLOOKUP($D940,Merchantability!$B:$D,3,0),$E940&lt;=VLOOKUP($D940,Merchantability!$B:$E,4,0)),AC940,0)</f>
        <v>#N/A</v>
      </c>
      <c r="AI940" s="104" t="e">
        <f t="shared" si="438"/>
        <v>#N/A</v>
      </c>
      <c r="AJ940" s="104" t="e">
        <f t="shared" si="439"/>
        <v>#VALUE!</v>
      </c>
      <c r="AK940" s="104" t="e">
        <f t="shared" si="440"/>
        <v>#N/A</v>
      </c>
      <c r="AL940" s="104" t="e">
        <f t="shared" si="441"/>
        <v>#N/A</v>
      </c>
      <c r="AM940" s="104" t="e">
        <f t="shared" si="442"/>
        <v>#N/A</v>
      </c>
      <c r="AN940" s="104" t="e">
        <f t="shared" si="426"/>
        <v>#N/A</v>
      </c>
      <c r="AO940" s="104" t="e">
        <f t="shared" si="427"/>
        <v>#N/A</v>
      </c>
      <c r="AP940" s="104" t="e">
        <f t="shared" si="428"/>
        <v>#N/A</v>
      </c>
      <c r="AQ940" s="104" t="e">
        <f t="shared" si="429"/>
        <v>#N/A</v>
      </c>
      <c r="AR940" s="105" t="str">
        <f t="shared" si="421"/>
        <v/>
      </c>
      <c r="AS940" s="105" t="str">
        <f t="shared" si="422"/>
        <v/>
      </c>
      <c r="AT940" s="108" t="str">
        <f t="shared" si="423"/>
        <v/>
      </c>
      <c r="AU940" s="108" t="str">
        <f t="shared" si="424"/>
        <v/>
      </c>
      <c r="AV940" s="107" t="str">
        <f>IF(ISNUMBER(O940),IF(VLOOKUP($A940,Stand!C:J,8,FALSE)="Short",AT940,AU940),"")</f>
        <v/>
      </c>
      <c r="AW940" s="109" t="str">
        <f t="shared" si="430"/>
        <v/>
      </c>
      <c r="AX940" s="109" t="str">
        <f t="shared" si="431"/>
        <v/>
      </c>
      <c r="AY940" s="112" t="str">
        <f>IF(ISNUMBER(O940),IF(AND(VLOOKUP($D940,Merchantability!$B:$C,2,0)="Yes",$E940&gt;=VLOOKUP($D940,Merchantability!$B:$D,3,0),$E940&lt;=VLOOKUP($D940,Merchantability!$B:$E,4,0)),(AV940*O940)*(1-$H940/100),""),"")</f>
        <v/>
      </c>
      <c r="AZ940" s="116"/>
      <c r="BA940" s="116"/>
      <c r="BB940" s="116"/>
      <c r="BE940" s="62"/>
      <c r="BF940" s="63"/>
    </row>
    <row r="941" spans="1:58" ht="12.75" customHeight="1" x14ac:dyDescent="0.25">
      <c r="A941" s="313"/>
      <c r="B941" s="328"/>
      <c r="C941" s="329"/>
      <c r="D941" s="328"/>
      <c r="E941" s="330"/>
      <c r="F941" s="328"/>
      <c r="G941" s="329"/>
      <c r="H941" s="329"/>
      <c r="I941" s="328"/>
      <c r="J941" s="383"/>
      <c r="K941" s="329"/>
      <c r="L941" s="329"/>
      <c r="M941" s="76"/>
      <c r="N941" s="103" t="str">
        <f>IF(A941="","",VLOOKUP(A941,Stand!C:K,9,0))</f>
        <v/>
      </c>
      <c r="O941" s="104" t="str">
        <f t="shared" si="416"/>
        <v/>
      </c>
      <c r="P941" s="105" t="str">
        <f t="shared" si="417"/>
        <v/>
      </c>
      <c r="Q941" s="105" t="str">
        <f t="shared" si="432"/>
        <v/>
      </c>
      <c r="R941" s="103" t="str">
        <f t="shared" si="418"/>
        <v/>
      </c>
      <c r="S941" s="103" t="str">
        <f t="shared" si="419"/>
        <v/>
      </c>
      <c r="T941" s="106" t="str">
        <f t="shared" si="433"/>
        <v/>
      </c>
      <c r="U941" s="106" t="str">
        <f t="shared" si="434"/>
        <v/>
      </c>
      <c r="V941" s="106" t="str">
        <f t="shared" si="435"/>
        <v/>
      </c>
      <c r="W941" s="105" t="str">
        <f t="shared" si="420"/>
        <v/>
      </c>
      <c r="X941" s="104" t="str">
        <f t="shared" si="425"/>
        <v/>
      </c>
      <c r="Y941" s="104" t="str">
        <f t="array" ref="Y941">IFERROR(IF(ISNUMBER(O941),IF(COUNT(IF(A941=$A$2:$A$2427,IF(D941=$D$2:$D$2427,IF($X$2:$X$2427&gt;0,1))))&gt;0,SUM(IF(A941=$A$2:$A$2427,IF(D941=$D$2:$D$2427,$X$2:$X$2427)))/COUNT(IF(A941=$A$2:$A$2427,IF(D941=$D$2:$D$2427,IF(ISNUMBER($X$2:$X$2427),1)))),0),""),0)</f>
        <v/>
      </c>
      <c r="Z941" s="104" t="str">
        <f>IF(ISNUMBER(O941),IF(I941&gt;0,(10^(VLOOKUP(D941,'Species Codes'!B:C,2,0)+VLOOKUP(D941,'Species Codes'!B:D,3,0)*LOG(E941)+VLOOKUP(D941,'Species Codes'!B:E,4,0)*LOG(I941))),0),"")</f>
        <v/>
      </c>
      <c r="AA941" s="104" t="str">
        <f>IFERROR((VLOOKUP(D941,'Species Codes'!B:G,6,0)*Z941)/2000,"")</f>
        <v/>
      </c>
      <c r="AB941" s="104" t="e">
        <f>IF(Z941&gt;0,((IF(OR(D941="DF",D941="RA")=TRUE,EXP(VLOOKUP(D941,'Species Codes'!B:I,8,0)+VLOOKUP(D941,'Species Codes'!B:J,9,0)*(LN((E941*2.54)))),IF(OR(D941="PY",D941="RC",D941="WH",D941="NF")=TRUE,VLOOKUP(D941,'Species Codes'!B:I,8,0)+VLOOKUP(D941,'Species Codes'!B:J,9,0)*((E941*2.54)^2)*(I941*0.3048),IF(OR(D941="MD",D941="BM",D941="GA")=TRUE,((VLOOKUP(D941,'Species Codes'!B:I,8,0)*(((((E941*2.54)+VLOOKUP(D941,'Species Codes'!B:J,9,0))/VLOOKUP(D941,'Species Codes'!B:K,10,0))^VLOOKUP(D941,'Species Codes'!B:L,11,0))*((I941*0.3048)^VLOOKUP(D941,'Species Codes'!B:M,12,0))))-(VLOOKUP(D941,'Species Codes'!B:I,8,0)*((((E941*2.54)^VLOOKUP(D941,'Species Codes'!B:L,11,0))*((I941*0.3048)^VLOOKUP(D941,'Species Codes'!B:M,12,0))))))*35.3*VLOOKUP(D941,'Species Codes'!B:G,6,0)/2.2046,VLOOKUP(D941,'Species Codes'!B:I,8,0)+VLOOKUP(D941,'Species Codes'!B:J,9,0)*(((E941*2.54)/100)^2)*(I941*0.3048)))))*0.0011023),0)</f>
        <v>#N/A</v>
      </c>
      <c r="AC941" s="104" t="e">
        <f>IF(Z941&gt;0,((IF(OR(D941="RA",D941="OA",D941="OT",D941="UN",D941="PC"),EXP(VLOOKUP(D941,'Species Codes'!B:O,14,0)+VLOOKUP(D941,'Species Codes'!B:P,15,0)*LN((E941*2.54)))-EXP(VLOOKUP(D941,'Species Codes'!B:O,14,0)+VLOOKUP(D941,'Species Codes'!B:P,15,0)*LN((E941*2.54)))*(1/(VLOOKUP(D941,'Species Codes'!B:Q,16,0)+VLOOKUP(D941,'Species Codes'!B:R,17,0)*((E941*2.54)^VLOOKUP(D941,'Species Codes'!B:S,18,0)))),IF(OR(D941="BM",D941="MD",D941="OA"),EXP(VLOOKUP(D941,'Species Codes'!B:O,14,0)+VLOOKUP(D941,'Species Codes'!B:P,15,0)*LN((E941*2.54)))*(1-(1/(VLOOKUP(D941,'Species Codes'!B:Q,16,0)+VLOOKUP(D941,'Species Codes'!B:R,17,0)*((E941*2.54)^VLOOKUP(D941,'Species Codes'!B:S,18,0)))))/1000,IF(D941="DF",EXP(VLOOKUP(D941,'Species Codes'!B:O,14,0)+VLOOKUP(D941,'Species Codes'!B:P,15,0)*LN((E941*2.54))),VLOOKUP(D941,'Species Codes'!B:O,14,0)+VLOOKUP(D941,'Species Codes'!B:P,15,0)*(((E941*2.54)/100)^2)*(I941*0.3048)))))*0.0011023),0)</f>
        <v>#N/A</v>
      </c>
      <c r="AD941" s="104" t="e">
        <f t="shared" si="436"/>
        <v>#N/A</v>
      </c>
      <c r="AE941" s="104" t="e">
        <f t="shared" si="437"/>
        <v>#N/A</v>
      </c>
      <c r="AF941" s="104" t="e">
        <f>IF(AND(VLOOKUP($D941,Merchantability!$B:$C,2,0)="Yes",$E941&gt;=VLOOKUP($D941,Merchantability!$B:$D,3,0),$E941&lt;=VLOOKUP($D941,Merchantability!$B:$E,4,0)),AA941,0)</f>
        <v>#N/A</v>
      </c>
      <c r="AG941" s="104" t="e">
        <f>IF(AND(VLOOKUP($D941,Merchantability!$B:$C,2,0)="Yes",$E941&gt;=VLOOKUP($D941,Merchantability!$B:$D,3,0),$E941&lt;=VLOOKUP($D941,Merchantability!$B:$E,4,0)),AB941,0)</f>
        <v>#N/A</v>
      </c>
      <c r="AH941" s="104" t="e">
        <f>IF(AND(VLOOKUP($D941,Merchantability!$B:$C,2,0)="Yes",$E941&gt;=VLOOKUP($D941,Merchantability!$B:$D,3,0),$E941&lt;=VLOOKUP($D941,Merchantability!$B:$E,4,0)),AC941,0)</f>
        <v>#N/A</v>
      </c>
      <c r="AI941" s="104" t="e">
        <f t="shared" si="438"/>
        <v>#N/A</v>
      </c>
      <c r="AJ941" s="104" t="e">
        <f t="shared" si="439"/>
        <v>#VALUE!</v>
      </c>
      <c r="AK941" s="104" t="e">
        <f t="shared" si="440"/>
        <v>#N/A</v>
      </c>
      <c r="AL941" s="104" t="e">
        <f t="shared" si="441"/>
        <v>#N/A</v>
      </c>
      <c r="AM941" s="104" t="e">
        <f t="shared" si="442"/>
        <v>#N/A</v>
      </c>
      <c r="AN941" s="104" t="e">
        <f t="shared" si="426"/>
        <v>#N/A</v>
      </c>
      <c r="AO941" s="104" t="e">
        <f t="shared" si="427"/>
        <v>#N/A</v>
      </c>
      <c r="AP941" s="104" t="e">
        <f t="shared" si="428"/>
        <v>#N/A</v>
      </c>
      <c r="AQ941" s="104" t="e">
        <f t="shared" si="429"/>
        <v>#N/A</v>
      </c>
      <c r="AR941" s="105" t="str">
        <f t="shared" si="421"/>
        <v/>
      </c>
      <c r="AS941" s="105" t="str">
        <f t="shared" si="422"/>
        <v/>
      </c>
      <c r="AT941" s="108" t="str">
        <f t="shared" si="423"/>
        <v/>
      </c>
      <c r="AU941" s="108" t="str">
        <f t="shared" si="424"/>
        <v/>
      </c>
      <c r="AV941" s="107" t="str">
        <f>IF(ISNUMBER(O941),IF(VLOOKUP($A941,Stand!C:J,8,FALSE)="Short",AT941,AU941),"")</f>
        <v/>
      </c>
      <c r="AW941" s="109" t="str">
        <f t="shared" si="430"/>
        <v/>
      </c>
      <c r="AX941" s="109" t="str">
        <f t="shared" si="431"/>
        <v/>
      </c>
      <c r="AY941" s="112" t="str">
        <f>IF(ISNUMBER(O941),IF(AND(VLOOKUP($D941,Merchantability!$B:$C,2,0)="Yes",$E941&gt;=VLOOKUP($D941,Merchantability!$B:$D,3,0),$E941&lt;=VLOOKUP($D941,Merchantability!$B:$E,4,0)),(AV941*O941)*(1-$H941/100),""),"")</f>
        <v/>
      </c>
      <c r="AZ941" s="116"/>
      <c r="BA941" s="116"/>
      <c r="BB941" s="116"/>
      <c r="BE941" s="62"/>
      <c r="BF941" s="63"/>
    </row>
    <row r="942" spans="1:58" ht="12.75" customHeight="1" x14ac:dyDescent="0.25">
      <c r="A942" s="313"/>
      <c r="B942" s="328"/>
      <c r="C942" s="329"/>
      <c r="D942" s="328"/>
      <c r="E942" s="330"/>
      <c r="F942" s="328"/>
      <c r="G942" s="329"/>
      <c r="H942" s="329"/>
      <c r="I942" s="328"/>
      <c r="J942" s="383"/>
      <c r="K942" s="329"/>
      <c r="L942" s="329"/>
      <c r="M942" s="76"/>
      <c r="N942" s="103" t="str">
        <f>IF(A942="","",VLOOKUP(A942,Stand!C:K,9,0))</f>
        <v/>
      </c>
      <c r="O942" s="104" t="str">
        <f t="shared" si="416"/>
        <v/>
      </c>
      <c r="P942" s="105" t="str">
        <f t="shared" si="417"/>
        <v/>
      </c>
      <c r="Q942" s="105" t="str">
        <f t="shared" si="432"/>
        <v/>
      </c>
      <c r="R942" s="103" t="str">
        <f t="shared" si="418"/>
        <v/>
      </c>
      <c r="S942" s="103" t="str">
        <f t="shared" si="419"/>
        <v/>
      </c>
      <c r="T942" s="106" t="str">
        <f t="shared" si="433"/>
        <v/>
      </c>
      <c r="U942" s="106" t="str">
        <f t="shared" si="434"/>
        <v/>
      </c>
      <c r="V942" s="106" t="str">
        <f t="shared" si="435"/>
        <v/>
      </c>
      <c r="W942" s="105" t="str">
        <f t="shared" si="420"/>
        <v/>
      </c>
      <c r="X942" s="104" t="str">
        <f t="shared" si="425"/>
        <v/>
      </c>
      <c r="Y942" s="104" t="str">
        <f t="array" ref="Y942">IFERROR(IF(ISNUMBER(O942),IF(COUNT(IF(A942=$A$2:$A$2427,IF(D942=$D$2:$D$2427,IF($X$2:$X$2427&gt;0,1))))&gt;0,SUM(IF(A942=$A$2:$A$2427,IF(D942=$D$2:$D$2427,$X$2:$X$2427)))/COUNT(IF(A942=$A$2:$A$2427,IF(D942=$D$2:$D$2427,IF(ISNUMBER($X$2:$X$2427),1)))),0),""),0)</f>
        <v/>
      </c>
      <c r="Z942" s="104" t="str">
        <f>IF(ISNUMBER(O942),IF(I942&gt;0,(10^(VLOOKUP(D942,'Species Codes'!B:C,2,0)+VLOOKUP(D942,'Species Codes'!B:D,3,0)*LOG(E942)+VLOOKUP(D942,'Species Codes'!B:E,4,0)*LOG(I942))),0),"")</f>
        <v/>
      </c>
      <c r="AA942" s="104" t="str">
        <f>IFERROR((VLOOKUP(D942,'Species Codes'!B:G,6,0)*Z942)/2000,"")</f>
        <v/>
      </c>
      <c r="AB942" s="104" t="e">
        <f>IF(Z942&gt;0,((IF(OR(D942="DF",D942="RA")=TRUE,EXP(VLOOKUP(D942,'Species Codes'!B:I,8,0)+VLOOKUP(D942,'Species Codes'!B:J,9,0)*(LN((E942*2.54)))),IF(OR(D942="PY",D942="RC",D942="WH",D942="NF")=TRUE,VLOOKUP(D942,'Species Codes'!B:I,8,0)+VLOOKUP(D942,'Species Codes'!B:J,9,0)*((E942*2.54)^2)*(I942*0.3048),IF(OR(D942="MD",D942="BM",D942="GA")=TRUE,((VLOOKUP(D942,'Species Codes'!B:I,8,0)*(((((E942*2.54)+VLOOKUP(D942,'Species Codes'!B:J,9,0))/VLOOKUP(D942,'Species Codes'!B:K,10,0))^VLOOKUP(D942,'Species Codes'!B:L,11,0))*((I942*0.3048)^VLOOKUP(D942,'Species Codes'!B:M,12,0))))-(VLOOKUP(D942,'Species Codes'!B:I,8,0)*((((E942*2.54)^VLOOKUP(D942,'Species Codes'!B:L,11,0))*((I942*0.3048)^VLOOKUP(D942,'Species Codes'!B:M,12,0))))))*35.3*VLOOKUP(D942,'Species Codes'!B:G,6,0)/2.2046,VLOOKUP(D942,'Species Codes'!B:I,8,0)+VLOOKUP(D942,'Species Codes'!B:J,9,0)*(((E942*2.54)/100)^2)*(I942*0.3048)))))*0.0011023),0)</f>
        <v>#N/A</v>
      </c>
      <c r="AC942" s="104" t="e">
        <f>IF(Z942&gt;0,((IF(OR(D942="RA",D942="OA",D942="OT",D942="UN",D942="PC"),EXP(VLOOKUP(D942,'Species Codes'!B:O,14,0)+VLOOKUP(D942,'Species Codes'!B:P,15,0)*LN((E942*2.54)))-EXP(VLOOKUP(D942,'Species Codes'!B:O,14,0)+VLOOKUP(D942,'Species Codes'!B:P,15,0)*LN((E942*2.54)))*(1/(VLOOKUP(D942,'Species Codes'!B:Q,16,0)+VLOOKUP(D942,'Species Codes'!B:R,17,0)*((E942*2.54)^VLOOKUP(D942,'Species Codes'!B:S,18,0)))),IF(OR(D942="BM",D942="MD",D942="OA"),EXP(VLOOKUP(D942,'Species Codes'!B:O,14,0)+VLOOKUP(D942,'Species Codes'!B:P,15,0)*LN((E942*2.54)))*(1-(1/(VLOOKUP(D942,'Species Codes'!B:Q,16,0)+VLOOKUP(D942,'Species Codes'!B:R,17,0)*((E942*2.54)^VLOOKUP(D942,'Species Codes'!B:S,18,0)))))/1000,IF(D942="DF",EXP(VLOOKUP(D942,'Species Codes'!B:O,14,0)+VLOOKUP(D942,'Species Codes'!B:P,15,0)*LN((E942*2.54))),VLOOKUP(D942,'Species Codes'!B:O,14,0)+VLOOKUP(D942,'Species Codes'!B:P,15,0)*(((E942*2.54)/100)^2)*(I942*0.3048)))))*0.0011023),0)</f>
        <v>#N/A</v>
      </c>
      <c r="AD942" s="104" t="e">
        <f t="shared" si="436"/>
        <v>#N/A</v>
      </c>
      <c r="AE942" s="104" t="e">
        <f t="shared" si="437"/>
        <v>#N/A</v>
      </c>
      <c r="AF942" s="104" t="e">
        <f>IF(AND(VLOOKUP($D942,Merchantability!$B:$C,2,0)="Yes",$E942&gt;=VLOOKUP($D942,Merchantability!$B:$D,3,0),$E942&lt;=VLOOKUP($D942,Merchantability!$B:$E,4,0)),AA942,0)</f>
        <v>#N/A</v>
      </c>
      <c r="AG942" s="104" t="e">
        <f>IF(AND(VLOOKUP($D942,Merchantability!$B:$C,2,0)="Yes",$E942&gt;=VLOOKUP($D942,Merchantability!$B:$D,3,0),$E942&lt;=VLOOKUP($D942,Merchantability!$B:$E,4,0)),AB942,0)</f>
        <v>#N/A</v>
      </c>
      <c r="AH942" s="104" t="e">
        <f>IF(AND(VLOOKUP($D942,Merchantability!$B:$C,2,0)="Yes",$E942&gt;=VLOOKUP($D942,Merchantability!$B:$D,3,0),$E942&lt;=VLOOKUP($D942,Merchantability!$B:$E,4,0)),AC942,0)</f>
        <v>#N/A</v>
      </c>
      <c r="AI942" s="104" t="e">
        <f t="shared" si="438"/>
        <v>#N/A</v>
      </c>
      <c r="AJ942" s="104" t="e">
        <f t="shared" si="439"/>
        <v>#VALUE!</v>
      </c>
      <c r="AK942" s="104" t="e">
        <f t="shared" si="440"/>
        <v>#N/A</v>
      </c>
      <c r="AL942" s="104" t="e">
        <f t="shared" si="441"/>
        <v>#N/A</v>
      </c>
      <c r="AM942" s="104" t="e">
        <f t="shared" si="442"/>
        <v>#N/A</v>
      </c>
      <c r="AN942" s="104" t="e">
        <f t="shared" si="426"/>
        <v>#N/A</v>
      </c>
      <c r="AO942" s="104" t="e">
        <f t="shared" si="427"/>
        <v>#N/A</v>
      </c>
      <c r="AP942" s="104" t="e">
        <f t="shared" si="428"/>
        <v>#N/A</v>
      </c>
      <c r="AQ942" s="104" t="e">
        <f t="shared" si="429"/>
        <v>#N/A</v>
      </c>
      <c r="AR942" s="105" t="str">
        <f t="shared" si="421"/>
        <v/>
      </c>
      <c r="AS942" s="105" t="str">
        <f t="shared" si="422"/>
        <v/>
      </c>
      <c r="AT942" s="108" t="str">
        <f t="shared" si="423"/>
        <v/>
      </c>
      <c r="AU942" s="108" t="str">
        <f t="shared" si="424"/>
        <v/>
      </c>
      <c r="AV942" s="107" t="str">
        <f>IF(ISNUMBER(O942),IF(VLOOKUP($A942,Stand!C:J,8,FALSE)="Short",AT942,AU942),"")</f>
        <v/>
      </c>
      <c r="AW942" s="109" t="str">
        <f t="shared" si="430"/>
        <v/>
      </c>
      <c r="AX942" s="109" t="str">
        <f t="shared" si="431"/>
        <v/>
      </c>
      <c r="AY942" s="112" t="str">
        <f>IF(ISNUMBER(O942),IF(AND(VLOOKUP($D942,Merchantability!$B:$C,2,0)="Yes",$E942&gt;=VLOOKUP($D942,Merchantability!$B:$D,3,0),$E942&lt;=VLOOKUP($D942,Merchantability!$B:$E,4,0)),(AV942*O942)*(1-$H942/100),""),"")</f>
        <v/>
      </c>
      <c r="AZ942" s="116"/>
      <c r="BA942" s="116"/>
      <c r="BB942" s="116"/>
      <c r="BE942" s="62"/>
      <c r="BF942" s="63"/>
    </row>
    <row r="943" spans="1:58" ht="12.75" customHeight="1" x14ac:dyDescent="0.25">
      <c r="A943" s="313"/>
      <c r="B943" s="328"/>
      <c r="C943" s="329"/>
      <c r="D943" s="328"/>
      <c r="E943" s="330"/>
      <c r="F943" s="328"/>
      <c r="G943" s="329"/>
      <c r="H943" s="329"/>
      <c r="I943" s="328"/>
      <c r="J943" s="383"/>
      <c r="K943" s="329"/>
      <c r="L943" s="329"/>
      <c r="M943" s="76"/>
      <c r="N943" s="103" t="str">
        <f>IF(A943="","",VLOOKUP(A943,Stand!C:K,9,0))</f>
        <v/>
      </c>
      <c r="O943" s="104" t="str">
        <f t="shared" si="416"/>
        <v/>
      </c>
      <c r="P943" s="105" t="str">
        <f t="shared" si="417"/>
        <v/>
      </c>
      <c r="Q943" s="105" t="str">
        <f t="shared" si="432"/>
        <v/>
      </c>
      <c r="R943" s="103" t="str">
        <f t="shared" si="418"/>
        <v/>
      </c>
      <c r="S943" s="103" t="str">
        <f t="shared" si="419"/>
        <v/>
      </c>
      <c r="T943" s="106" t="str">
        <f t="shared" si="433"/>
        <v/>
      </c>
      <c r="U943" s="106" t="str">
        <f t="shared" si="434"/>
        <v/>
      </c>
      <c r="V943" s="106" t="str">
        <f t="shared" si="435"/>
        <v/>
      </c>
      <c r="W943" s="105" t="str">
        <f t="shared" si="420"/>
        <v/>
      </c>
      <c r="X943" s="104" t="str">
        <f t="shared" si="425"/>
        <v/>
      </c>
      <c r="Y943" s="104" t="str">
        <f t="array" ref="Y943">IFERROR(IF(ISNUMBER(O943),IF(COUNT(IF(A943=$A$2:$A$2427,IF(D943=$D$2:$D$2427,IF($X$2:$X$2427&gt;0,1))))&gt;0,SUM(IF(A943=$A$2:$A$2427,IF(D943=$D$2:$D$2427,$X$2:$X$2427)))/COUNT(IF(A943=$A$2:$A$2427,IF(D943=$D$2:$D$2427,IF(ISNUMBER($X$2:$X$2427),1)))),0),""),0)</f>
        <v/>
      </c>
      <c r="Z943" s="104" t="str">
        <f>IF(ISNUMBER(O943),IF(I943&gt;0,(10^(VLOOKUP(D943,'Species Codes'!B:C,2,0)+VLOOKUP(D943,'Species Codes'!B:D,3,0)*LOG(E943)+VLOOKUP(D943,'Species Codes'!B:E,4,0)*LOG(I943))),0),"")</f>
        <v/>
      </c>
      <c r="AA943" s="104" t="str">
        <f>IFERROR((VLOOKUP(D943,'Species Codes'!B:G,6,0)*Z943)/2000,"")</f>
        <v/>
      </c>
      <c r="AB943" s="104" t="e">
        <f>IF(Z943&gt;0,((IF(OR(D943="DF",D943="RA")=TRUE,EXP(VLOOKUP(D943,'Species Codes'!B:I,8,0)+VLOOKUP(D943,'Species Codes'!B:J,9,0)*(LN((E943*2.54)))),IF(OR(D943="PY",D943="RC",D943="WH",D943="NF")=TRUE,VLOOKUP(D943,'Species Codes'!B:I,8,0)+VLOOKUP(D943,'Species Codes'!B:J,9,0)*((E943*2.54)^2)*(I943*0.3048),IF(OR(D943="MD",D943="BM",D943="GA")=TRUE,((VLOOKUP(D943,'Species Codes'!B:I,8,0)*(((((E943*2.54)+VLOOKUP(D943,'Species Codes'!B:J,9,0))/VLOOKUP(D943,'Species Codes'!B:K,10,0))^VLOOKUP(D943,'Species Codes'!B:L,11,0))*((I943*0.3048)^VLOOKUP(D943,'Species Codes'!B:M,12,0))))-(VLOOKUP(D943,'Species Codes'!B:I,8,0)*((((E943*2.54)^VLOOKUP(D943,'Species Codes'!B:L,11,0))*((I943*0.3048)^VLOOKUP(D943,'Species Codes'!B:M,12,0))))))*35.3*VLOOKUP(D943,'Species Codes'!B:G,6,0)/2.2046,VLOOKUP(D943,'Species Codes'!B:I,8,0)+VLOOKUP(D943,'Species Codes'!B:J,9,0)*(((E943*2.54)/100)^2)*(I943*0.3048)))))*0.0011023),0)</f>
        <v>#N/A</v>
      </c>
      <c r="AC943" s="104" t="e">
        <f>IF(Z943&gt;0,((IF(OR(D943="RA",D943="OA",D943="OT",D943="UN",D943="PC"),EXP(VLOOKUP(D943,'Species Codes'!B:O,14,0)+VLOOKUP(D943,'Species Codes'!B:P,15,0)*LN((E943*2.54)))-EXP(VLOOKUP(D943,'Species Codes'!B:O,14,0)+VLOOKUP(D943,'Species Codes'!B:P,15,0)*LN((E943*2.54)))*(1/(VLOOKUP(D943,'Species Codes'!B:Q,16,0)+VLOOKUP(D943,'Species Codes'!B:R,17,0)*((E943*2.54)^VLOOKUP(D943,'Species Codes'!B:S,18,0)))),IF(OR(D943="BM",D943="MD",D943="OA"),EXP(VLOOKUP(D943,'Species Codes'!B:O,14,0)+VLOOKUP(D943,'Species Codes'!B:P,15,0)*LN((E943*2.54)))*(1-(1/(VLOOKUP(D943,'Species Codes'!B:Q,16,0)+VLOOKUP(D943,'Species Codes'!B:R,17,0)*((E943*2.54)^VLOOKUP(D943,'Species Codes'!B:S,18,0)))))/1000,IF(D943="DF",EXP(VLOOKUP(D943,'Species Codes'!B:O,14,0)+VLOOKUP(D943,'Species Codes'!B:P,15,0)*LN((E943*2.54))),VLOOKUP(D943,'Species Codes'!B:O,14,0)+VLOOKUP(D943,'Species Codes'!B:P,15,0)*(((E943*2.54)/100)^2)*(I943*0.3048)))))*0.0011023),0)</f>
        <v>#N/A</v>
      </c>
      <c r="AD943" s="104" t="e">
        <f t="shared" si="436"/>
        <v>#N/A</v>
      </c>
      <c r="AE943" s="104" t="e">
        <f t="shared" si="437"/>
        <v>#N/A</v>
      </c>
      <c r="AF943" s="104" t="e">
        <f>IF(AND(VLOOKUP($D943,Merchantability!$B:$C,2,0)="Yes",$E943&gt;=VLOOKUP($D943,Merchantability!$B:$D,3,0),$E943&lt;=VLOOKUP($D943,Merchantability!$B:$E,4,0)),AA943,0)</f>
        <v>#N/A</v>
      </c>
      <c r="AG943" s="104" t="e">
        <f>IF(AND(VLOOKUP($D943,Merchantability!$B:$C,2,0)="Yes",$E943&gt;=VLOOKUP($D943,Merchantability!$B:$D,3,0),$E943&lt;=VLOOKUP($D943,Merchantability!$B:$E,4,0)),AB943,0)</f>
        <v>#N/A</v>
      </c>
      <c r="AH943" s="104" t="e">
        <f>IF(AND(VLOOKUP($D943,Merchantability!$B:$C,2,0)="Yes",$E943&gt;=VLOOKUP($D943,Merchantability!$B:$D,3,0),$E943&lt;=VLOOKUP($D943,Merchantability!$B:$E,4,0)),AC943,0)</f>
        <v>#N/A</v>
      </c>
      <c r="AI943" s="104" t="e">
        <f t="shared" si="438"/>
        <v>#N/A</v>
      </c>
      <c r="AJ943" s="104" t="e">
        <f t="shared" si="439"/>
        <v>#VALUE!</v>
      </c>
      <c r="AK943" s="104" t="e">
        <f t="shared" si="440"/>
        <v>#N/A</v>
      </c>
      <c r="AL943" s="104" t="e">
        <f t="shared" si="441"/>
        <v>#N/A</v>
      </c>
      <c r="AM943" s="104" t="e">
        <f t="shared" si="442"/>
        <v>#N/A</v>
      </c>
      <c r="AN943" s="104" t="e">
        <f t="shared" si="426"/>
        <v>#N/A</v>
      </c>
      <c r="AO943" s="104" t="e">
        <f t="shared" si="427"/>
        <v>#N/A</v>
      </c>
      <c r="AP943" s="104" t="e">
        <f t="shared" si="428"/>
        <v>#N/A</v>
      </c>
      <c r="AQ943" s="104" t="e">
        <f t="shared" si="429"/>
        <v>#N/A</v>
      </c>
      <c r="AR943" s="105" t="str">
        <f t="shared" si="421"/>
        <v/>
      </c>
      <c r="AS943" s="105" t="str">
        <f t="shared" si="422"/>
        <v/>
      </c>
      <c r="AT943" s="108" t="str">
        <f t="shared" si="423"/>
        <v/>
      </c>
      <c r="AU943" s="108" t="str">
        <f t="shared" si="424"/>
        <v/>
      </c>
      <c r="AV943" s="107" t="str">
        <f>IF(ISNUMBER(O943),IF(VLOOKUP($A943,Stand!C:J,8,FALSE)="Short",AT943,AU943),"")</f>
        <v/>
      </c>
      <c r="AW943" s="109" t="str">
        <f t="shared" si="430"/>
        <v/>
      </c>
      <c r="AX943" s="109" t="str">
        <f t="shared" si="431"/>
        <v/>
      </c>
      <c r="AY943" s="112" t="str">
        <f>IF(ISNUMBER(O943),IF(AND(VLOOKUP($D943,Merchantability!$B:$C,2,0)="Yes",$E943&gt;=VLOOKUP($D943,Merchantability!$B:$D,3,0),$E943&lt;=VLOOKUP($D943,Merchantability!$B:$E,4,0)),(AV943*O943)*(1-$H943/100),""),"")</f>
        <v/>
      </c>
      <c r="AZ943" s="116"/>
      <c r="BA943" s="116"/>
      <c r="BB943" s="116"/>
      <c r="BE943" s="62"/>
      <c r="BF943" s="63"/>
    </row>
    <row r="944" spans="1:58" ht="12.75" customHeight="1" x14ac:dyDescent="0.25">
      <c r="A944" s="313"/>
      <c r="B944" s="328"/>
      <c r="C944" s="329"/>
      <c r="D944" s="328"/>
      <c r="E944" s="330"/>
      <c r="F944" s="328"/>
      <c r="G944" s="329"/>
      <c r="H944" s="329"/>
      <c r="I944" s="328"/>
      <c r="J944" s="383"/>
      <c r="K944" s="329"/>
      <c r="L944" s="329"/>
      <c r="M944" s="76"/>
      <c r="N944" s="103" t="str">
        <f>IF(A944="","",VLOOKUP(A944,Stand!C:K,9,0))</f>
        <v/>
      </c>
      <c r="O944" s="104" t="str">
        <f t="shared" si="416"/>
        <v/>
      </c>
      <c r="P944" s="105" t="str">
        <f t="shared" si="417"/>
        <v/>
      </c>
      <c r="Q944" s="105" t="str">
        <f t="shared" si="432"/>
        <v/>
      </c>
      <c r="R944" s="103" t="str">
        <f t="shared" si="418"/>
        <v/>
      </c>
      <c r="S944" s="103" t="str">
        <f t="shared" si="419"/>
        <v/>
      </c>
      <c r="T944" s="106" t="str">
        <f t="shared" si="433"/>
        <v/>
      </c>
      <c r="U944" s="106" t="str">
        <f t="shared" si="434"/>
        <v/>
      </c>
      <c r="V944" s="106" t="str">
        <f t="shared" si="435"/>
        <v/>
      </c>
      <c r="W944" s="105" t="str">
        <f t="shared" si="420"/>
        <v/>
      </c>
      <c r="X944" s="104" t="str">
        <f t="shared" si="425"/>
        <v/>
      </c>
      <c r="Y944" s="104" t="str">
        <f t="array" ref="Y944">IFERROR(IF(ISNUMBER(O944),IF(COUNT(IF(A944=$A$2:$A$2427,IF(D944=$D$2:$D$2427,IF($X$2:$X$2427&gt;0,1))))&gt;0,SUM(IF(A944=$A$2:$A$2427,IF(D944=$D$2:$D$2427,$X$2:$X$2427)))/COUNT(IF(A944=$A$2:$A$2427,IF(D944=$D$2:$D$2427,IF(ISNUMBER($X$2:$X$2427),1)))),0),""),0)</f>
        <v/>
      </c>
      <c r="Z944" s="104" t="str">
        <f>IF(ISNUMBER(O944),IF(I944&gt;0,(10^(VLOOKUP(D944,'Species Codes'!B:C,2,0)+VLOOKUP(D944,'Species Codes'!B:D,3,0)*LOG(E944)+VLOOKUP(D944,'Species Codes'!B:E,4,0)*LOG(I944))),0),"")</f>
        <v/>
      </c>
      <c r="AA944" s="104" t="str">
        <f>IFERROR((VLOOKUP(D944,'Species Codes'!B:G,6,0)*Z944)/2000,"")</f>
        <v/>
      </c>
      <c r="AB944" s="104" t="e">
        <f>IF(Z944&gt;0,((IF(OR(D944="DF",D944="RA")=TRUE,EXP(VLOOKUP(D944,'Species Codes'!B:I,8,0)+VLOOKUP(D944,'Species Codes'!B:J,9,0)*(LN((E944*2.54)))),IF(OR(D944="PY",D944="RC",D944="WH",D944="NF")=TRUE,VLOOKUP(D944,'Species Codes'!B:I,8,0)+VLOOKUP(D944,'Species Codes'!B:J,9,0)*((E944*2.54)^2)*(I944*0.3048),IF(OR(D944="MD",D944="BM",D944="GA")=TRUE,((VLOOKUP(D944,'Species Codes'!B:I,8,0)*(((((E944*2.54)+VLOOKUP(D944,'Species Codes'!B:J,9,0))/VLOOKUP(D944,'Species Codes'!B:K,10,0))^VLOOKUP(D944,'Species Codes'!B:L,11,0))*((I944*0.3048)^VLOOKUP(D944,'Species Codes'!B:M,12,0))))-(VLOOKUP(D944,'Species Codes'!B:I,8,0)*((((E944*2.54)^VLOOKUP(D944,'Species Codes'!B:L,11,0))*((I944*0.3048)^VLOOKUP(D944,'Species Codes'!B:M,12,0))))))*35.3*VLOOKUP(D944,'Species Codes'!B:G,6,0)/2.2046,VLOOKUP(D944,'Species Codes'!B:I,8,0)+VLOOKUP(D944,'Species Codes'!B:J,9,0)*(((E944*2.54)/100)^2)*(I944*0.3048)))))*0.0011023),0)</f>
        <v>#N/A</v>
      </c>
      <c r="AC944" s="104" t="e">
        <f>IF(Z944&gt;0,((IF(OR(D944="RA",D944="OA",D944="OT",D944="UN",D944="PC"),EXP(VLOOKUP(D944,'Species Codes'!B:O,14,0)+VLOOKUP(D944,'Species Codes'!B:P,15,0)*LN((E944*2.54)))-EXP(VLOOKUP(D944,'Species Codes'!B:O,14,0)+VLOOKUP(D944,'Species Codes'!B:P,15,0)*LN((E944*2.54)))*(1/(VLOOKUP(D944,'Species Codes'!B:Q,16,0)+VLOOKUP(D944,'Species Codes'!B:R,17,0)*((E944*2.54)^VLOOKUP(D944,'Species Codes'!B:S,18,0)))),IF(OR(D944="BM",D944="MD",D944="OA"),EXP(VLOOKUP(D944,'Species Codes'!B:O,14,0)+VLOOKUP(D944,'Species Codes'!B:P,15,0)*LN((E944*2.54)))*(1-(1/(VLOOKUP(D944,'Species Codes'!B:Q,16,0)+VLOOKUP(D944,'Species Codes'!B:R,17,0)*((E944*2.54)^VLOOKUP(D944,'Species Codes'!B:S,18,0)))))/1000,IF(D944="DF",EXP(VLOOKUP(D944,'Species Codes'!B:O,14,0)+VLOOKUP(D944,'Species Codes'!B:P,15,0)*LN((E944*2.54))),VLOOKUP(D944,'Species Codes'!B:O,14,0)+VLOOKUP(D944,'Species Codes'!B:P,15,0)*(((E944*2.54)/100)^2)*(I944*0.3048)))))*0.0011023),0)</f>
        <v>#N/A</v>
      </c>
      <c r="AD944" s="104" t="e">
        <f t="shared" si="436"/>
        <v>#N/A</v>
      </c>
      <c r="AE944" s="104" t="e">
        <f t="shared" si="437"/>
        <v>#N/A</v>
      </c>
      <c r="AF944" s="104" t="e">
        <f>IF(AND(VLOOKUP($D944,Merchantability!$B:$C,2,0)="Yes",$E944&gt;=VLOOKUP($D944,Merchantability!$B:$D,3,0),$E944&lt;=VLOOKUP($D944,Merchantability!$B:$E,4,0)),AA944,0)</f>
        <v>#N/A</v>
      </c>
      <c r="AG944" s="104" t="e">
        <f>IF(AND(VLOOKUP($D944,Merchantability!$B:$C,2,0)="Yes",$E944&gt;=VLOOKUP($D944,Merchantability!$B:$D,3,0),$E944&lt;=VLOOKUP($D944,Merchantability!$B:$E,4,0)),AB944,0)</f>
        <v>#N/A</v>
      </c>
      <c r="AH944" s="104" t="e">
        <f>IF(AND(VLOOKUP($D944,Merchantability!$B:$C,2,0)="Yes",$E944&gt;=VLOOKUP($D944,Merchantability!$B:$D,3,0),$E944&lt;=VLOOKUP($D944,Merchantability!$B:$E,4,0)),AC944,0)</f>
        <v>#N/A</v>
      </c>
      <c r="AI944" s="104" t="e">
        <f t="shared" si="438"/>
        <v>#N/A</v>
      </c>
      <c r="AJ944" s="104" t="e">
        <f t="shared" si="439"/>
        <v>#VALUE!</v>
      </c>
      <c r="AK944" s="104" t="e">
        <f t="shared" si="440"/>
        <v>#N/A</v>
      </c>
      <c r="AL944" s="104" t="e">
        <f t="shared" si="441"/>
        <v>#N/A</v>
      </c>
      <c r="AM944" s="104" t="e">
        <f t="shared" si="442"/>
        <v>#N/A</v>
      </c>
      <c r="AN944" s="104" t="e">
        <f t="shared" si="426"/>
        <v>#N/A</v>
      </c>
      <c r="AO944" s="104" t="e">
        <f t="shared" si="427"/>
        <v>#N/A</v>
      </c>
      <c r="AP944" s="104" t="e">
        <f t="shared" si="428"/>
        <v>#N/A</v>
      </c>
      <c r="AQ944" s="104" t="e">
        <f t="shared" si="429"/>
        <v>#N/A</v>
      </c>
      <c r="AR944" s="105" t="str">
        <f t="shared" si="421"/>
        <v/>
      </c>
      <c r="AS944" s="105" t="str">
        <f t="shared" si="422"/>
        <v/>
      </c>
      <c r="AT944" s="108" t="str">
        <f t="shared" si="423"/>
        <v/>
      </c>
      <c r="AU944" s="108" t="str">
        <f t="shared" si="424"/>
        <v/>
      </c>
      <c r="AV944" s="107" t="str">
        <f>IF(ISNUMBER(O944),IF(VLOOKUP($A944,Stand!C:J,8,FALSE)="Short",AT944,AU944),"")</f>
        <v/>
      </c>
      <c r="AW944" s="109" t="str">
        <f t="shared" si="430"/>
        <v/>
      </c>
      <c r="AX944" s="109" t="str">
        <f t="shared" si="431"/>
        <v/>
      </c>
      <c r="AY944" s="112" t="str">
        <f>IF(ISNUMBER(O944),IF(AND(VLOOKUP($D944,Merchantability!$B:$C,2,0)="Yes",$E944&gt;=VLOOKUP($D944,Merchantability!$B:$D,3,0),$E944&lt;=VLOOKUP($D944,Merchantability!$B:$E,4,0)),(AV944*O944)*(1-$H944/100),""),"")</f>
        <v/>
      </c>
      <c r="AZ944" s="116"/>
      <c r="BA944" s="116"/>
      <c r="BB944" s="116"/>
      <c r="BE944" s="62"/>
      <c r="BF944" s="63"/>
    </row>
    <row r="945" spans="1:58" ht="12.75" customHeight="1" x14ac:dyDescent="0.25">
      <c r="A945" s="313"/>
      <c r="B945" s="328"/>
      <c r="C945" s="329"/>
      <c r="D945" s="328"/>
      <c r="E945" s="330"/>
      <c r="F945" s="328"/>
      <c r="G945" s="329"/>
      <c r="H945" s="329"/>
      <c r="I945" s="328"/>
      <c r="J945" s="383"/>
      <c r="K945" s="329"/>
      <c r="L945" s="329"/>
      <c r="M945" s="76"/>
      <c r="N945" s="103" t="str">
        <f>IF(A945="","",VLOOKUP(A945,Stand!C:K,9,0))</f>
        <v/>
      </c>
      <c r="O945" s="104" t="str">
        <f t="shared" si="416"/>
        <v/>
      </c>
      <c r="P945" s="105" t="str">
        <f t="shared" si="417"/>
        <v/>
      </c>
      <c r="Q945" s="105" t="str">
        <f t="shared" si="432"/>
        <v/>
      </c>
      <c r="R945" s="103" t="str">
        <f t="shared" si="418"/>
        <v/>
      </c>
      <c r="S945" s="103" t="str">
        <f t="shared" si="419"/>
        <v/>
      </c>
      <c r="T945" s="106" t="str">
        <f t="shared" si="433"/>
        <v/>
      </c>
      <c r="U945" s="106" t="str">
        <f t="shared" si="434"/>
        <v/>
      </c>
      <c r="V945" s="106" t="str">
        <f t="shared" si="435"/>
        <v/>
      </c>
      <c r="W945" s="105" t="str">
        <f t="shared" si="420"/>
        <v/>
      </c>
      <c r="X945" s="104" t="str">
        <f t="shared" si="425"/>
        <v/>
      </c>
      <c r="Y945" s="104" t="str">
        <f t="array" ref="Y945">IFERROR(IF(ISNUMBER(O945),IF(COUNT(IF(A945=$A$2:$A$2427,IF(D945=$D$2:$D$2427,IF($X$2:$X$2427&gt;0,1))))&gt;0,SUM(IF(A945=$A$2:$A$2427,IF(D945=$D$2:$D$2427,$X$2:$X$2427)))/COUNT(IF(A945=$A$2:$A$2427,IF(D945=$D$2:$D$2427,IF(ISNUMBER($X$2:$X$2427),1)))),0),""),0)</f>
        <v/>
      </c>
      <c r="Z945" s="104" t="str">
        <f>IF(ISNUMBER(O945),IF(I945&gt;0,(10^(VLOOKUP(D945,'Species Codes'!B:C,2,0)+VLOOKUP(D945,'Species Codes'!B:D,3,0)*LOG(E945)+VLOOKUP(D945,'Species Codes'!B:E,4,0)*LOG(I945))),0),"")</f>
        <v/>
      </c>
      <c r="AA945" s="104" t="str">
        <f>IFERROR((VLOOKUP(D945,'Species Codes'!B:G,6,0)*Z945)/2000,"")</f>
        <v/>
      </c>
      <c r="AB945" s="104" t="e">
        <f>IF(Z945&gt;0,((IF(OR(D945="DF",D945="RA")=TRUE,EXP(VLOOKUP(D945,'Species Codes'!B:I,8,0)+VLOOKUP(D945,'Species Codes'!B:J,9,0)*(LN((E945*2.54)))),IF(OR(D945="PY",D945="RC",D945="WH",D945="NF")=TRUE,VLOOKUP(D945,'Species Codes'!B:I,8,0)+VLOOKUP(D945,'Species Codes'!B:J,9,0)*((E945*2.54)^2)*(I945*0.3048),IF(OR(D945="MD",D945="BM",D945="GA")=TRUE,((VLOOKUP(D945,'Species Codes'!B:I,8,0)*(((((E945*2.54)+VLOOKUP(D945,'Species Codes'!B:J,9,0))/VLOOKUP(D945,'Species Codes'!B:K,10,0))^VLOOKUP(D945,'Species Codes'!B:L,11,0))*((I945*0.3048)^VLOOKUP(D945,'Species Codes'!B:M,12,0))))-(VLOOKUP(D945,'Species Codes'!B:I,8,0)*((((E945*2.54)^VLOOKUP(D945,'Species Codes'!B:L,11,0))*((I945*0.3048)^VLOOKUP(D945,'Species Codes'!B:M,12,0))))))*35.3*VLOOKUP(D945,'Species Codes'!B:G,6,0)/2.2046,VLOOKUP(D945,'Species Codes'!B:I,8,0)+VLOOKUP(D945,'Species Codes'!B:J,9,0)*(((E945*2.54)/100)^2)*(I945*0.3048)))))*0.0011023),0)</f>
        <v>#N/A</v>
      </c>
      <c r="AC945" s="104" t="e">
        <f>IF(Z945&gt;0,((IF(OR(D945="RA",D945="OA",D945="OT",D945="UN",D945="PC"),EXP(VLOOKUP(D945,'Species Codes'!B:O,14,0)+VLOOKUP(D945,'Species Codes'!B:P,15,0)*LN((E945*2.54)))-EXP(VLOOKUP(D945,'Species Codes'!B:O,14,0)+VLOOKUP(D945,'Species Codes'!B:P,15,0)*LN((E945*2.54)))*(1/(VLOOKUP(D945,'Species Codes'!B:Q,16,0)+VLOOKUP(D945,'Species Codes'!B:R,17,0)*((E945*2.54)^VLOOKUP(D945,'Species Codes'!B:S,18,0)))),IF(OR(D945="BM",D945="MD",D945="OA"),EXP(VLOOKUP(D945,'Species Codes'!B:O,14,0)+VLOOKUP(D945,'Species Codes'!B:P,15,0)*LN((E945*2.54)))*(1-(1/(VLOOKUP(D945,'Species Codes'!B:Q,16,0)+VLOOKUP(D945,'Species Codes'!B:R,17,0)*((E945*2.54)^VLOOKUP(D945,'Species Codes'!B:S,18,0)))))/1000,IF(D945="DF",EXP(VLOOKUP(D945,'Species Codes'!B:O,14,0)+VLOOKUP(D945,'Species Codes'!B:P,15,0)*LN((E945*2.54))),VLOOKUP(D945,'Species Codes'!B:O,14,0)+VLOOKUP(D945,'Species Codes'!B:P,15,0)*(((E945*2.54)/100)^2)*(I945*0.3048)))))*0.0011023),0)</f>
        <v>#N/A</v>
      </c>
      <c r="AD945" s="104" t="e">
        <f t="shared" si="436"/>
        <v>#N/A</v>
      </c>
      <c r="AE945" s="104" t="e">
        <f t="shared" si="437"/>
        <v>#N/A</v>
      </c>
      <c r="AF945" s="104" t="e">
        <f>IF(AND(VLOOKUP($D945,Merchantability!$B:$C,2,0)="Yes",$E945&gt;=VLOOKUP($D945,Merchantability!$B:$D,3,0),$E945&lt;=VLOOKUP($D945,Merchantability!$B:$E,4,0)),AA945,0)</f>
        <v>#N/A</v>
      </c>
      <c r="AG945" s="104" t="e">
        <f>IF(AND(VLOOKUP($D945,Merchantability!$B:$C,2,0)="Yes",$E945&gt;=VLOOKUP($D945,Merchantability!$B:$D,3,0),$E945&lt;=VLOOKUP($D945,Merchantability!$B:$E,4,0)),AB945,0)</f>
        <v>#N/A</v>
      </c>
      <c r="AH945" s="104" t="e">
        <f>IF(AND(VLOOKUP($D945,Merchantability!$B:$C,2,0)="Yes",$E945&gt;=VLOOKUP($D945,Merchantability!$B:$D,3,0),$E945&lt;=VLOOKUP($D945,Merchantability!$B:$E,4,0)),AC945,0)</f>
        <v>#N/A</v>
      </c>
      <c r="AI945" s="104" t="e">
        <f t="shared" si="438"/>
        <v>#N/A</v>
      </c>
      <c r="AJ945" s="104" t="e">
        <f t="shared" si="439"/>
        <v>#VALUE!</v>
      </c>
      <c r="AK945" s="104" t="e">
        <f t="shared" si="440"/>
        <v>#N/A</v>
      </c>
      <c r="AL945" s="104" t="e">
        <f t="shared" si="441"/>
        <v>#N/A</v>
      </c>
      <c r="AM945" s="104" t="e">
        <f t="shared" si="442"/>
        <v>#N/A</v>
      </c>
      <c r="AN945" s="104" t="e">
        <f t="shared" si="426"/>
        <v>#N/A</v>
      </c>
      <c r="AO945" s="104" t="e">
        <f t="shared" si="427"/>
        <v>#N/A</v>
      </c>
      <c r="AP945" s="104" t="e">
        <f t="shared" si="428"/>
        <v>#N/A</v>
      </c>
      <c r="AQ945" s="104" t="e">
        <f t="shared" si="429"/>
        <v>#N/A</v>
      </c>
      <c r="AR945" s="105" t="str">
        <f t="shared" si="421"/>
        <v/>
      </c>
      <c r="AS945" s="105" t="str">
        <f t="shared" si="422"/>
        <v/>
      </c>
      <c r="AT945" s="108" t="str">
        <f t="shared" si="423"/>
        <v/>
      </c>
      <c r="AU945" s="108" t="str">
        <f t="shared" si="424"/>
        <v/>
      </c>
      <c r="AV945" s="107" t="str">
        <f>IF(ISNUMBER(O945),IF(VLOOKUP($A945,Stand!C:J,8,FALSE)="Short",AT945,AU945),"")</f>
        <v/>
      </c>
      <c r="AW945" s="109" t="str">
        <f t="shared" si="430"/>
        <v/>
      </c>
      <c r="AX945" s="109" t="str">
        <f t="shared" si="431"/>
        <v/>
      </c>
      <c r="AY945" s="112" t="str">
        <f>IF(ISNUMBER(O945),IF(AND(VLOOKUP($D945,Merchantability!$B:$C,2,0)="Yes",$E945&gt;=VLOOKUP($D945,Merchantability!$B:$D,3,0),$E945&lt;=VLOOKUP($D945,Merchantability!$B:$E,4,0)),(AV945*O945)*(1-$H945/100),""),"")</f>
        <v/>
      </c>
      <c r="AZ945" s="116"/>
      <c r="BA945" s="116"/>
      <c r="BB945" s="116"/>
      <c r="BE945" s="62"/>
      <c r="BF945" s="63"/>
    </row>
    <row r="946" spans="1:58" ht="12.75" customHeight="1" x14ac:dyDescent="0.25">
      <c r="A946" s="313"/>
      <c r="B946" s="328"/>
      <c r="C946" s="329"/>
      <c r="D946" s="328"/>
      <c r="E946" s="330"/>
      <c r="F946" s="328"/>
      <c r="G946" s="329"/>
      <c r="H946" s="329"/>
      <c r="I946" s="328"/>
      <c r="J946" s="383"/>
      <c r="K946" s="329"/>
      <c r="L946" s="329"/>
      <c r="M946" s="76"/>
      <c r="N946" s="103" t="str">
        <f>IF(A946="","",VLOOKUP(A946,Stand!C:K,9,0))</f>
        <v/>
      </c>
      <c r="O946" s="104" t="str">
        <f t="shared" si="416"/>
        <v/>
      </c>
      <c r="P946" s="105" t="str">
        <f t="shared" si="417"/>
        <v/>
      </c>
      <c r="Q946" s="105" t="str">
        <f t="shared" si="432"/>
        <v/>
      </c>
      <c r="R946" s="103" t="str">
        <f t="shared" si="418"/>
        <v/>
      </c>
      <c r="S946" s="103" t="str">
        <f t="shared" si="419"/>
        <v/>
      </c>
      <c r="T946" s="106" t="str">
        <f t="shared" si="433"/>
        <v/>
      </c>
      <c r="U946" s="106" t="str">
        <f t="shared" si="434"/>
        <v/>
      </c>
      <c r="V946" s="106" t="str">
        <f t="shared" si="435"/>
        <v/>
      </c>
      <c r="W946" s="105" t="str">
        <f t="shared" si="420"/>
        <v/>
      </c>
      <c r="X946" s="104" t="str">
        <f t="shared" si="425"/>
        <v/>
      </c>
      <c r="Y946" s="104" t="str">
        <f t="array" ref="Y946">IFERROR(IF(ISNUMBER(O946),IF(COUNT(IF(A946=$A$2:$A$2427,IF(D946=$D$2:$D$2427,IF($X$2:$X$2427&gt;0,1))))&gt;0,SUM(IF(A946=$A$2:$A$2427,IF(D946=$D$2:$D$2427,$X$2:$X$2427)))/COUNT(IF(A946=$A$2:$A$2427,IF(D946=$D$2:$D$2427,IF(ISNUMBER($X$2:$X$2427),1)))),0),""),0)</f>
        <v/>
      </c>
      <c r="Z946" s="104" t="str">
        <f>IF(ISNUMBER(O946),IF(I946&gt;0,(10^(VLOOKUP(D946,'Species Codes'!B:C,2,0)+VLOOKUP(D946,'Species Codes'!B:D,3,0)*LOG(E946)+VLOOKUP(D946,'Species Codes'!B:E,4,0)*LOG(I946))),0),"")</f>
        <v/>
      </c>
      <c r="AA946" s="104" t="str">
        <f>IFERROR((VLOOKUP(D946,'Species Codes'!B:G,6,0)*Z946)/2000,"")</f>
        <v/>
      </c>
      <c r="AB946" s="104" t="e">
        <f>IF(Z946&gt;0,((IF(OR(D946="DF",D946="RA")=TRUE,EXP(VLOOKUP(D946,'Species Codes'!B:I,8,0)+VLOOKUP(D946,'Species Codes'!B:J,9,0)*(LN((E946*2.54)))),IF(OR(D946="PY",D946="RC",D946="WH",D946="NF")=TRUE,VLOOKUP(D946,'Species Codes'!B:I,8,0)+VLOOKUP(D946,'Species Codes'!B:J,9,0)*((E946*2.54)^2)*(I946*0.3048),IF(OR(D946="MD",D946="BM",D946="GA")=TRUE,((VLOOKUP(D946,'Species Codes'!B:I,8,0)*(((((E946*2.54)+VLOOKUP(D946,'Species Codes'!B:J,9,0))/VLOOKUP(D946,'Species Codes'!B:K,10,0))^VLOOKUP(D946,'Species Codes'!B:L,11,0))*((I946*0.3048)^VLOOKUP(D946,'Species Codes'!B:M,12,0))))-(VLOOKUP(D946,'Species Codes'!B:I,8,0)*((((E946*2.54)^VLOOKUP(D946,'Species Codes'!B:L,11,0))*((I946*0.3048)^VLOOKUP(D946,'Species Codes'!B:M,12,0))))))*35.3*VLOOKUP(D946,'Species Codes'!B:G,6,0)/2.2046,VLOOKUP(D946,'Species Codes'!B:I,8,0)+VLOOKUP(D946,'Species Codes'!B:J,9,0)*(((E946*2.54)/100)^2)*(I946*0.3048)))))*0.0011023),0)</f>
        <v>#N/A</v>
      </c>
      <c r="AC946" s="104" t="e">
        <f>IF(Z946&gt;0,((IF(OR(D946="RA",D946="OA",D946="OT",D946="UN",D946="PC"),EXP(VLOOKUP(D946,'Species Codes'!B:O,14,0)+VLOOKUP(D946,'Species Codes'!B:P,15,0)*LN((E946*2.54)))-EXP(VLOOKUP(D946,'Species Codes'!B:O,14,0)+VLOOKUP(D946,'Species Codes'!B:P,15,0)*LN((E946*2.54)))*(1/(VLOOKUP(D946,'Species Codes'!B:Q,16,0)+VLOOKUP(D946,'Species Codes'!B:R,17,0)*((E946*2.54)^VLOOKUP(D946,'Species Codes'!B:S,18,0)))),IF(OR(D946="BM",D946="MD",D946="OA"),EXP(VLOOKUP(D946,'Species Codes'!B:O,14,0)+VLOOKUP(D946,'Species Codes'!B:P,15,0)*LN((E946*2.54)))*(1-(1/(VLOOKUP(D946,'Species Codes'!B:Q,16,0)+VLOOKUP(D946,'Species Codes'!B:R,17,0)*((E946*2.54)^VLOOKUP(D946,'Species Codes'!B:S,18,0)))))/1000,IF(D946="DF",EXP(VLOOKUP(D946,'Species Codes'!B:O,14,0)+VLOOKUP(D946,'Species Codes'!B:P,15,0)*LN((E946*2.54))),VLOOKUP(D946,'Species Codes'!B:O,14,0)+VLOOKUP(D946,'Species Codes'!B:P,15,0)*(((E946*2.54)/100)^2)*(I946*0.3048)))))*0.0011023),0)</f>
        <v>#N/A</v>
      </c>
      <c r="AD946" s="104" t="e">
        <f t="shared" si="436"/>
        <v>#N/A</v>
      </c>
      <c r="AE946" s="104" t="e">
        <f t="shared" si="437"/>
        <v>#N/A</v>
      </c>
      <c r="AF946" s="104" t="e">
        <f>IF(AND(VLOOKUP($D946,Merchantability!$B:$C,2,0)="Yes",$E946&gt;=VLOOKUP($D946,Merchantability!$B:$D,3,0),$E946&lt;=VLOOKUP($D946,Merchantability!$B:$E,4,0)),AA946,0)</f>
        <v>#N/A</v>
      </c>
      <c r="AG946" s="104" t="e">
        <f>IF(AND(VLOOKUP($D946,Merchantability!$B:$C,2,0)="Yes",$E946&gt;=VLOOKUP($D946,Merchantability!$B:$D,3,0),$E946&lt;=VLOOKUP($D946,Merchantability!$B:$E,4,0)),AB946,0)</f>
        <v>#N/A</v>
      </c>
      <c r="AH946" s="104" t="e">
        <f>IF(AND(VLOOKUP($D946,Merchantability!$B:$C,2,0)="Yes",$E946&gt;=VLOOKUP($D946,Merchantability!$B:$D,3,0),$E946&lt;=VLOOKUP($D946,Merchantability!$B:$E,4,0)),AC946,0)</f>
        <v>#N/A</v>
      </c>
      <c r="AI946" s="104" t="e">
        <f t="shared" si="438"/>
        <v>#N/A</v>
      </c>
      <c r="AJ946" s="104" t="e">
        <f t="shared" si="439"/>
        <v>#VALUE!</v>
      </c>
      <c r="AK946" s="104" t="e">
        <f t="shared" si="440"/>
        <v>#N/A</v>
      </c>
      <c r="AL946" s="104" t="e">
        <f t="shared" si="441"/>
        <v>#N/A</v>
      </c>
      <c r="AM946" s="104" t="e">
        <f t="shared" si="442"/>
        <v>#N/A</v>
      </c>
      <c r="AN946" s="104" t="e">
        <f t="shared" si="426"/>
        <v>#N/A</v>
      </c>
      <c r="AO946" s="104" t="e">
        <f t="shared" si="427"/>
        <v>#N/A</v>
      </c>
      <c r="AP946" s="104" t="e">
        <f t="shared" si="428"/>
        <v>#N/A</v>
      </c>
      <c r="AQ946" s="104" t="e">
        <f t="shared" si="429"/>
        <v>#N/A</v>
      </c>
      <c r="AR946" s="105" t="str">
        <f t="shared" si="421"/>
        <v/>
      </c>
      <c r="AS946" s="105" t="str">
        <f t="shared" si="422"/>
        <v/>
      </c>
      <c r="AT946" s="108" t="str">
        <f t="shared" si="423"/>
        <v/>
      </c>
      <c r="AU946" s="108" t="str">
        <f t="shared" si="424"/>
        <v/>
      </c>
      <c r="AV946" s="107" t="str">
        <f>IF(ISNUMBER(O946),IF(VLOOKUP($A946,Stand!C:J,8,FALSE)="Short",AT946,AU946),"")</f>
        <v/>
      </c>
      <c r="AW946" s="109" t="str">
        <f t="shared" si="430"/>
        <v/>
      </c>
      <c r="AX946" s="109" t="str">
        <f t="shared" si="431"/>
        <v/>
      </c>
      <c r="AY946" s="112" t="str">
        <f>IF(ISNUMBER(O946),IF(AND(VLOOKUP($D946,Merchantability!$B:$C,2,0)="Yes",$E946&gt;=VLOOKUP($D946,Merchantability!$B:$D,3,0),$E946&lt;=VLOOKUP($D946,Merchantability!$B:$E,4,0)),(AV946*O946)*(1-$H946/100),""),"")</f>
        <v/>
      </c>
      <c r="AZ946" s="116"/>
      <c r="BA946" s="116"/>
      <c r="BB946" s="116"/>
      <c r="BE946" s="62"/>
      <c r="BF946" s="63"/>
    </row>
    <row r="947" spans="1:58" ht="12.75" customHeight="1" x14ac:dyDescent="0.25">
      <c r="A947" s="313"/>
      <c r="B947" s="328"/>
      <c r="C947" s="329"/>
      <c r="D947" s="328"/>
      <c r="E947" s="330"/>
      <c r="F947" s="328"/>
      <c r="G947" s="329"/>
      <c r="H947" s="329"/>
      <c r="I947" s="328"/>
      <c r="J947" s="383"/>
      <c r="K947" s="329"/>
      <c r="L947" s="329"/>
      <c r="M947" s="76"/>
      <c r="N947" s="103" t="str">
        <f>IF(A947="","",VLOOKUP(A947,Stand!C:K,9,0))</f>
        <v/>
      </c>
      <c r="O947" s="104" t="str">
        <f t="shared" si="416"/>
        <v/>
      </c>
      <c r="P947" s="105" t="str">
        <f t="shared" si="417"/>
        <v/>
      </c>
      <c r="Q947" s="105" t="str">
        <f t="shared" si="432"/>
        <v/>
      </c>
      <c r="R947" s="103" t="str">
        <f t="shared" si="418"/>
        <v/>
      </c>
      <c r="S947" s="103" t="str">
        <f t="shared" si="419"/>
        <v/>
      </c>
      <c r="T947" s="106" t="str">
        <f t="shared" si="433"/>
        <v/>
      </c>
      <c r="U947" s="106" t="str">
        <f t="shared" si="434"/>
        <v/>
      </c>
      <c r="V947" s="106" t="str">
        <f t="shared" si="435"/>
        <v/>
      </c>
      <c r="W947" s="105" t="str">
        <f t="shared" si="420"/>
        <v/>
      </c>
      <c r="X947" s="104" t="str">
        <f t="shared" si="425"/>
        <v/>
      </c>
      <c r="Y947" s="104" t="str">
        <f t="array" ref="Y947">IFERROR(IF(ISNUMBER(O947),IF(COUNT(IF(A947=$A$2:$A$2427,IF(D947=$D$2:$D$2427,IF($X$2:$X$2427&gt;0,1))))&gt;0,SUM(IF(A947=$A$2:$A$2427,IF(D947=$D$2:$D$2427,$X$2:$X$2427)))/COUNT(IF(A947=$A$2:$A$2427,IF(D947=$D$2:$D$2427,IF(ISNUMBER($X$2:$X$2427),1)))),0),""),0)</f>
        <v/>
      </c>
      <c r="Z947" s="104" t="str">
        <f>IF(ISNUMBER(O947),IF(I947&gt;0,(10^(VLOOKUP(D947,'Species Codes'!B:C,2,0)+VLOOKUP(D947,'Species Codes'!B:D,3,0)*LOG(E947)+VLOOKUP(D947,'Species Codes'!B:E,4,0)*LOG(I947))),0),"")</f>
        <v/>
      </c>
      <c r="AA947" s="104" t="str">
        <f>IFERROR((VLOOKUP(D947,'Species Codes'!B:G,6,0)*Z947)/2000,"")</f>
        <v/>
      </c>
      <c r="AB947" s="104" t="e">
        <f>IF(Z947&gt;0,((IF(OR(D947="DF",D947="RA")=TRUE,EXP(VLOOKUP(D947,'Species Codes'!B:I,8,0)+VLOOKUP(D947,'Species Codes'!B:J,9,0)*(LN((E947*2.54)))),IF(OR(D947="PY",D947="RC",D947="WH",D947="NF")=TRUE,VLOOKUP(D947,'Species Codes'!B:I,8,0)+VLOOKUP(D947,'Species Codes'!B:J,9,0)*((E947*2.54)^2)*(I947*0.3048),IF(OR(D947="MD",D947="BM",D947="GA")=TRUE,((VLOOKUP(D947,'Species Codes'!B:I,8,0)*(((((E947*2.54)+VLOOKUP(D947,'Species Codes'!B:J,9,0))/VLOOKUP(D947,'Species Codes'!B:K,10,0))^VLOOKUP(D947,'Species Codes'!B:L,11,0))*((I947*0.3048)^VLOOKUP(D947,'Species Codes'!B:M,12,0))))-(VLOOKUP(D947,'Species Codes'!B:I,8,0)*((((E947*2.54)^VLOOKUP(D947,'Species Codes'!B:L,11,0))*((I947*0.3048)^VLOOKUP(D947,'Species Codes'!B:M,12,0))))))*35.3*VLOOKUP(D947,'Species Codes'!B:G,6,0)/2.2046,VLOOKUP(D947,'Species Codes'!B:I,8,0)+VLOOKUP(D947,'Species Codes'!B:J,9,0)*(((E947*2.54)/100)^2)*(I947*0.3048)))))*0.0011023),0)</f>
        <v>#N/A</v>
      </c>
      <c r="AC947" s="104" t="e">
        <f>IF(Z947&gt;0,((IF(OR(D947="RA",D947="OA",D947="OT",D947="UN",D947="PC"),EXP(VLOOKUP(D947,'Species Codes'!B:O,14,0)+VLOOKUP(D947,'Species Codes'!B:P,15,0)*LN((E947*2.54)))-EXP(VLOOKUP(D947,'Species Codes'!B:O,14,0)+VLOOKUP(D947,'Species Codes'!B:P,15,0)*LN((E947*2.54)))*(1/(VLOOKUP(D947,'Species Codes'!B:Q,16,0)+VLOOKUP(D947,'Species Codes'!B:R,17,0)*((E947*2.54)^VLOOKUP(D947,'Species Codes'!B:S,18,0)))),IF(OR(D947="BM",D947="MD",D947="OA"),EXP(VLOOKUP(D947,'Species Codes'!B:O,14,0)+VLOOKUP(D947,'Species Codes'!B:P,15,0)*LN((E947*2.54)))*(1-(1/(VLOOKUP(D947,'Species Codes'!B:Q,16,0)+VLOOKUP(D947,'Species Codes'!B:R,17,0)*((E947*2.54)^VLOOKUP(D947,'Species Codes'!B:S,18,0)))))/1000,IF(D947="DF",EXP(VLOOKUP(D947,'Species Codes'!B:O,14,0)+VLOOKUP(D947,'Species Codes'!B:P,15,0)*LN((E947*2.54))),VLOOKUP(D947,'Species Codes'!B:O,14,0)+VLOOKUP(D947,'Species Codes'!B:P,15,0)*(((E947*2.54)/100)^2)*(I947*0.3048)))))*0.0011023),0)</f>
        <v>#N/A</v>
      </c>
      <c r="AD947" s="104" t="e">
        <f t="shared" si="436"/>
        <v>#N/A</v>
      </c>
      <c r="AE947" s="104" t="e">
        <f t="shared" si="437"/>
        <v>#N/A</v>
      </c>
      <c r="AF947" s="104" t="e">
        <f>IF(AND(VLOOKUP($D947,Merchantability!$B:$C,2,0)="Yes",$E947&gt;=VLOOKUP($D947,Merchantability!$B:$D,3,0),$E947&lt;=VLOOKUP($D947,Merchantability!$B:$E,4,0)),AA947,0)</f>
        <v>#N/A</v>
      </c>
      <c r="AG947" s="104" t="e">
        <f>IF(AND(VLOOKUP($D947,Merchantability!$B:$C,2,0)="Yes",$E947&gt;=VLOOKUP($D947,Merchantability!$B:$D,3,0),$E947&lt;=VLOOKUP($D947,Merchantability!$B:$E,4,0)),AB947,0)</f>
        <v>#N/A</v>
      </c>
      <c r="AH947" s="104" t="e">
        <f>IF(AND(VLOOKUP($D947,Merchantability!$B:$C,2,0)="Yes",$E947&gt;=VLOOKUP($D947,Merchantability!$B:$D,3,0),$E947&lt;=VLOOKUP($D947,Merchantability!$B:$E,4,0)),AC947,0)</f>
        <v>#N/A</v>
      </c>
      <c r="AI947" s="104" t="e">
        <f t="shared" si="438"/>
        <v>#N/A</v>
      </c>
      <c r="AJ947" s="104" t="e">
        <f t="shared" si="439"/>
        <v>#VALUE!</v>
      </c>
      <c r="AK947" s="104" t="e">
        <f t="shared" si="440"/>
        <v>#N/A</v>
      </c>
      <c r="AL947" s="104" t="e">
        <f t="shared" si="441"/>
        <v>#N/A</v>
      </c>
      <c r="AM947" s="104" t="e">
        <f t="shared" si="442"/>
        <v>#N/A</v>
      </c>
      <c r="AN947" s="104" t="e">
        <f t="shared" si="426"/>
        <v>#N/A</v>
      </c>
      <c r="AO947" s="104" t="e">
        <f t="shared" si="427"/>
        <v>#N/A</v>
      </c>
      <c r="AP947" s="104" t="e">
        <f t="shared" si="428"/>
        <v>#N/A</v>
      </c>
      <c r="AQ947" s="104" t="e">
        <f t="shared" si="429"/>
        <v>#N/A</v>
      </c>
      <c r="AR947" s="105" t="str">
        <f t="shared" si="421"/>
        <v/>
      </c>
      <c r="AS947" s="105" t="str">
        <f t="shared" si="422"/>
        <v/>
      </c>
      <c r="AT947" s="108" t="str">
        <f t="shared" si="423"/>
        <v/>
      </c>
      <c r="AU947" s="108" t="str">
        <f t="shared" si="424"/>
        <v/>
      </c>
      <c r="AV947" s="107" t="str">
        <f>IF(ISNUMBER(O947),IF(VLOOKUP($A947,Stand!C:J,8,FALSE)="Short",AT947,AU947),"")</f>
        <v/>
      </c>
      <c r="AW947" s="109" t="str">
        <f t="shared" si="430"/>
        <v/>
      </c>
      <c r="AX947" s="109" t="str">
        <f t="shared" si="431"/>
        <v/>
      </c>
      <c r="AY947" s="112" t="str">
        <f>IF(ISNUMBER(O947),IF(AND(VLOOKUP($D947,Merchantability!$B:$C,2,0)="Yes",$E947&gt;=VLOOKUP($D947,Merchantability!$B:$D,3,0),$E947&lt;=VLOOKUP($D947,Merchantability!$B:$E,4,0)),(AV947*O947)*(1-$H947/100),""),"")</f>
        <v/>
      </c>
      <c r="AZ947" s="116"/>
      <c r="BA947" s="116"/>
      <c r="BB947" s="116"/>
      <c r="BE947" s="62"/>
      <c r="BF947" s="63"/>
    </row>
    <row r="948" spans="1:58" ht="12.75" customHeight="1" x14ac:dyDescent="0.25">
      <c r="A948" s="313"/>
      <c r="B948" s="328"/>
      <c r="C948" s="329"/>
      <c r="D948" s="328"/>
      <c r="E948" s="330"/>
      <c r="F948" s="328"/>
      <c r="G948" s="329"/>
      <c r="H948" s="329"/>
      <c r="I948" s="328"/>
      <c r="J948" s="383"/>
      <c r="K948" s="329"/>
      <c r="L948" s="329"/>
      <c r="M948" s="76"/>
      <c r="N948" s="103" t="str">
        <f>IF(A948="","",VLOOKUP(A948,Stand!C:K,9,0))</f>
        <v/>
      </c>
      <c r="O948" s="104" t="str">
        <f t="shared" si="416"/>
        <v/>
      </c>
      <c r="P948" s="105" t="str">
        <f t="shared" si="417"/>
        <v/>
      </c>
      <c r="Q948" s="105" t="str">
        <f t="shared" si="432"/>
        <v/>
      </c>
      <c r="R948" s="103" t="str">
        <f t="shared" si="418"/>
        <v/>
      </c>
      <c r="S948" s="103" t="str">
        <f t="shared" si="419"/>
        <v/>
      </c>
      <c r="T948" s="106" t="str">
        <f t="shared" si="433"/>
        <v/>
      </c>
      <c r="U948" s="106" t="str">
        <f t="shared" si="434"/>
        <v/>
      </c>
      <c r="V948" s="106" t="str">
        <f t="shared" si="435"/>
        <v/>
      </c>
      <c r="W948" s="105" t="str">
        <f t="shared" si="420"/>
        <v/>
      </c>
      <c r="X948" s="104" t="str">
        <f t="shared" si="425"/>
        <v/>
      </c>
      <c r="Y948" s="104" t="str">
        <f t="array" ref="Y948">IFERROR(IF(ISNUMBER(O948),IF(COUNT(IF(A948=$A$2:$A$2427,IF(D948=$D$2:$D$2427,IF($X$2:$X$2427&gt;0,1))))&gt;0,SUM(IF(A948=$A$2:$A$2427,IF(D948=$D$2:$D$2427,$X$2:$X$2427)))/COUNT(IF(A948=$A$2:$A$2427,IF(D948=$D$2:$D$2427,IF(ISNUMBER($X$2:$X$2427),1)))),0),""),0)</f>
        <v/>
      </c>
      <c r="Z948" s="104" t="str">
        <f>IF(ISNUMBER(O948),IF(I948&gt;0,(10^(VLOOKUP(D948,'Species Codes'!B:C,2,0)+VLOOKUP(D948,'Species Codes'!B:D,3,0)*LOG(E948)+VLOOKUP(D948,'Species Codes'!B:E,4,0)*LOG(I948))),0),"")</f>
        <v/>
      </c>
      <c r="AA948" s="104" t="str">
        <f>IFERROR((VLOOKUP(D948,'Species Codes'!B:G,6,0)*Z948)/2000,"")</f>
        <v/>
      </c>
      <c r="AB948" s="104" t="e">
        <f>IF(Z948&gt;0,((IF(OR(D948="DF",D948="RA")=TRUE,EXP(VLOOKUP(D948,'Species Codes'!B:I,8,0)+VLOOKUP(D948,'Species Codes'!B:J,9,0)*(LN((E948*2.54)))),IF(OR(D948="PY",D948="RC",D948="WH",D948="NF")=TRUE,VLOOKUP(D948,'Species Codes'!B:I,8,0)+VLOOKUP(D948,'Species Codes'!B:J,9,0)*((E948*2.54)^2)*(I948*0.3048),IF(OR(D948="MD",D948="BM",D948="GA")=TRUE,((VLOOKUP(D948,'Species Codes'!B:I,8,0)*(((((E948*2.54)+VLOOKUP(D948,'Species Codes'!B:J,9,0))/VLOOKUP(D948,'Species Codes'!B:K,10,0))^VLOOKUP(D948,'Species Codes'!B:L,11,0))*((I948*0.3048)^VLOOKUP(D948,'Species Codes'!B:M,12,0))))-(VLOOKUP(D948,'Species Codes'!B:I,8,0)*((((E948*2.54)^VLOOKUP(D948,'Species Codes'!B:L,11,0))*((I948*0.3048)^VLOOKUP(D948,'Species Codes'!B:M,12,0))))))*35.3*VLOOKUP(D948,'Species Codes'!B:G,6,0)/2.2046,VLOOKUP(D948,'Species Codes'!B:I,8,0)+VLOOKUP(D948,'Species Codes'!B:J,9,0)*(((E948*2.54)/100)^2)*(I948*0.3048)))))*0.0011023),0)</f>
        <v>#N/A</v>
      </c>
      <c r="AC948" s="104" t="e">
        <f>IF(Z948&gt;0,((IF(OR(D948="RA",D948="OA",D948="OT",D948="UN",D948="PC"),EXP(VLOOKUP(D948,'Species Codes'!B:O,14,0)+VLOOKUP(D948,'Species Codes'!B:P,15,0)*LN((E948*2.54)))-EXP(VLOOKUP(D948,'Species Codes'!B:O,14,0)+VLOOKUP(D948,'Species Codes'!B:P,15,0)*LN((E948*2.54)))*(1/(VLOOKUP(D948,'Species Codes'!B:Q,16,0)+VLOOKUP(D948,'Species Codes'!B:R,17,0)*((E948*2.54)^VLOOKUP(D948,'Species Codes'!B:S,18,0)))),IF(OR(D948="BM",D948="MD",D948="OA"),EXP(VLOOKUP(D948,'Species Codes'!B:O,14,0)+VLOOKUP(D948,'Species Codes'!B:P,15,0)*LN((E948*2.54)))*(1-(1/(VLOOKUP(D948,'Species Codes'!B:Q,16,0)+VLOOKUP(D948,'Species Codes'!B:R,17,0)*((E948*2.54)^VLOOKUP(D948,'Species Codes'!B:S,18,0)))))/1000,IF(D948="DF",EXP(VLOOKUP(D948,'Species Codes'!B:O,14,0)+VLOOKUP(D948,'Species Codes'!B:P,15,0)*LN((E948*2.54))),VLOOKUP(D948,'Species Codes'!B:O,14,0)+VLOOKUP(D948,'Species Codes'!B:P,15,0)*(((E948*2.54)/100)^2)*(I948*0.3048)))))*0.0011023),0)</f>
        <v>#N/A</v>
      </c>
      <c r="AD948" s="104" t="e">
        <f t="shared" si="436"/>
        <v>#N/A</v>
      </c>
      <c r="AE948" s="104" t="e">
        <f t="shared" si="437"/>
        <v>#N/A</v>
      </c>
      <c r="AF948" s="104" t="e">
        <f>IF(AND(VLOOKUP($D948,Merchantability!$B:$C,2,0)="Yes",$E948&gt;=VLOOKUP($D948,Merchantability!$B:$D,3,0),$E948&lt;=VLOOKUP($D948,Merchantability!$B:$E,4,0)),AA948,0)</f>
        <v>#N/A</v>
      </c>
      <c r="AG948" s="104" t="e">
        <f>IF(AND(VLOOKUP($D948,Merchantability!$B:$C,2,0)="Yes",$E948&gt;=VLOOKUP($D948,Merchantability!$B:$D,3,0),$E948&lt;=VLOOKUP($D948,Merchantability!$B:$E,4,0)),AB948,0)</f>
        <v>#N/A</v>
      </c>
      <c r="AH948" s="104" t="e">
        <f>IF(AND(VLOOKUP($D948,Merchantability!$B:$C,2,0)="Yes",$E948&gt;=VLOOKUP($D948,Merchantability!$B:$D,3,0),$E948&lt;=VLOOKUP($D948,Merchantability!$B:$E,4,0)),AC948,0)</f>
        <v>#N/A</v>
      </c>
      <c r="AI948" s="104" t="e">
        <f t="shared" si="438"/>
        <v>#N/A</v>
      </c>
      <c r="AJ948" s="104" t="e">
        <f t="shared" si="439"/>
        <v>#VALUE!</v>
      </c>
      <c r="AK948" s="104" t="e">
        <f t="shared" si="440"/>
        <v>#N/A</v>
      </c>
      <c r="AL948" s="104" t="e">
        <f t="shared" si="441"/>
        <v>#N/A</v>
      </c>
      <c r="AM948" s="104" t="e">
        <f t="shared" si="442"/>
        <v>#N/A</v>
      </c>
      <c r="AN948" s="104" t="e">
        <f t="shared" si="426"/>
        <v>#N/A</v>
      </c>
      <c r="AO948" s="104" t="e">
        <f t="shared" si="427"/>
        <v>#N/A</v>
      </c>
      <c r="AP948" s="104" t="e">
        <f t="shared" si="428"/>
        <v>#N/A</v>
      </c>
      <c r="AQ948" s="104" t="e">
        <f t="shared" si="429"/>
        <v>#N/A</v>
      </c>
      <c r="AR948" s="105" t="str">
        <f t="shared" si="421"/>
        <v/>
      </c>
      <c r="AS948" s="105" t="str">
        <f t="shared" si="422"/>
        <v/>
      </c>
      <c r="AT948" s="108" t="str">
        <f t="shared" si="423"/>
        <v/>
      </c>
      <c r="AU948" s="108" t="str">
        <f t="shared" si="424"/>
        <v/>
      </c>
      <c r="AV948" s="107" t="str">
        <f>IF(ISNUMBER(O948),IF(VLOOKUP($A948,Stand!C:J,8,FALSE)="Short",AT948,AU948),"")</f>
        <v/>
      </c>
      <c r="AW948" s="109" t="str">
        <f t="shared" si="430"/>
        <v/>
      </c>
      <c r="AX948" s="109" t="str">
        <f t="shared" si="431"/>
        <v/>
      </c>
      <c r="AY948" s="112" t="str">
        <f>IF(ISNUMBER(O948),IF(AND(VLOOKUP($D948,Merchantability!$B:$C,2,0)="Yes",$E948&gt;=VLOOKUP($D948,Merchantability!$B:$D,3,0),$E948&lt;=VLOOKUP($D948,Merchantability!$B:$E,4,0)),(AV948*O948)*(1-$H948/100),""),"")</f>
        <v/>
      </c>
      <c r="AZ948" s="116"/>
      <c r="BA948" s="116"/>
      <c r="BB948" s="116"/>
      <c r="BE948" s="62"/>
      <c r="BF948" s="63"/>
    </row>
    <row r="949" spans="1:58" ht="12.75" customHeight="1" x14ac:dyDescent="0.25">
      <c r="A949" s="313"/>
      <c r="B949" s="328"/>
      <c r="C949" s="329"/>
      <c r="D949" s="328"/>
      <c r="E949" s="330"/>
      <c r="F949" s="328"/>
      <c r="G949" s="329"/>
      <c r="H949" s="329"/>
      <c r="I949" s="328"/>
      <c r="J949" s="383"/>
      <c r="K949" s="329"/>
      <c r="L949" s="329"/>
      <c r="M949" s="76"/>
      <c r="N949" s="103" t="str">
        <f>IF(A949="","",VLOOKUP(A949,Stand!C:K,9,0))</f>
        <v/>
      </c>
      <c r="O949" s="104" t="str">
        <f t="shared" si="416"/>
        <v/>
      </c>
      <c r="P949" s="105" t="str">
        <f t="shared" si="417"/>
        <v/>
      </c>
      <c r="Q949" s="105" t="str">
        <f t="shared" si="432"/>
        <v/>
      </c>
      <c r="R949" s="103" t="str">
        <f t="shared" si="418"/>
        <v/>
      </c>
      <c r="S949" s="103" t="str">
        <f t="shared" si="419"/>
        <v/>
      </c>
      <c r="T949" s="106" t="str">
        <f t="shared" si="433"/>
        <v/>
      </c>
      <c r="U949" s="106" t="str">
        <f t="shared" si="434"/>
        <v/>
      </c>
      <c r="V949" s="106" t="str">
        <f t="shared" si="435"/>
        <v/>
      </c>
      <c r="W949" s="105" t="str">
        <f t="shared" si="420"/>
        <v/>
      </c>
      <c r="X949" s="104" t="str">
        <f t="shared" si="425"/>
        <v/>
      </c>
      <c r="Y949" s="104" t="str">
        <f t="array" ref="Y949">IFERROR(IF(ISNUMBER(O949),IF(COUNT(IF(A949=$A$2:$A$2427,IF(D949=$D$2:$D$2427,IF($X$2:$X$2427&gt;0,1))))&gt;0,SUM(IF(A949=$A$2:$A$2427,IF(D949=$D$2:$D$2427,$X$2:$X$2427)))/COUNT(IF(A949=$A$2:$A$2427,IF(D949=$D$2:$D$2427,IF(ISNUMBER($X$2:$X$2427),1)))),0),""),0)</f>
        <v/>
      </c>
      <c r="Z949" s="104" t="str">
        <f>IF(ISNUMBER(O949),IF(I949&gt;0,(10^(VLOOKUP(D949,'Species Codes'!B:C,2,0)+VLOOKUP(D949,'Species Codes'!B:D,3,0)*LOG(E949)+VLOOKUP(D949,'Species Codes'!B:E,4,0)*LOG(I949))),0),"")</f>
        <v/>
      </c>
      <c r="AA949" s="104" t="str">
        <f>IFERROR((VLOOKUP(D949,'Species Codes'!B:G,6,0)*Z949)/2000,"")</f>
        <v/>
      </c>
      <c r="AB949" s="104" t="e">
        <f>IF(Z949&gt;0,((IF(OR(D949="DF",D949="RA")=TRUE,EXP(VLOOKUP(D949,'Species Codes'!B:I,8,0)+VLOOKUP(D949,'Species Codes'!B:J,9,0)*(LN((E949*2.54)))),IF(OR(D949="PY",D949="RC",D949="WH",D949="NF")=TRUE,VLOOKUP(D949,'Species Codes'!B:I,8,0)+VLOOKUP(D949,'Species Codes'!B:J,9,0)*((E949*2.54)^2)*(I949*0.3048),IF(OR(D949="MD",D949="BM",D949="GA")=TRUE,((VLOOKUP(D949,'Species Codes'!B:I,8,0)*(((((E949*2.54)+VLOOKUP(D949,'Species Codes'!B:J,9,0))/VLOOKUP(D949,'Species Codes'!B:K,10,0))^VLOOKUP(D949,'Species Codes'!B:L,11,0))*((I949*0.3048)^VLOOKUP(D949,'Species Codes'!B:M,12,0))))-(VLOOKUP(D949,'Species Codes'!B:I,8,0)*((((E949*2.54)^VLOOKUP(D949,'Species Codes'!B:L,11,0))*((I949*0.3048)^VLOOKUP(D949,'Species Codes'!B:M,12,0))))))*35.3*VLOOKUP(D949,'Species Codes'!B:G,6,0)/2.2046,VLOOKUP(D949,'Species Codes'!B:I,8,0)+VLOOKUP(D949,'Species Codes'!B:J,9,0)*(((E949*2.54)/100)^2)*(I949*0.3048)))))*0.0011023),0)</f>
        <v>#N/A</v>
      </c>
      <c r="AC949" s="104" t="e">
        <f>IF(Z949&gt;0,((IF(OR(D949="RA",D949="OA",D949="OT",D949="UN",D949="PC"),EXP(VLOOKUP(D949,'Species Codes'!B:O,14,0)+VLOOKUP(D949,'Species Codes'!B:P,15,0)*LN((E949*2.54)))-EXP(VLOOKUP(D949,'Species Codes'!B:O,14,0)+VLOOKUP(D949,'Species Codes'!B:P,15,0)*LN((E949*2.54)))*(1/(VLOOKUP(D949,'Species Codes'!B:Q,16,0)+VLOOKUP(D949,'Species Codes'!B:R,17,0)*((E949*2.54)^VLOOKUP(D949,'Species Codes'!B:S,18,0)))),IF(OR(D949="BM",D949="MD",D949="OA"),EXP(VLOOKUP(D949,'Species Codes'!B:O,14,0)+VLOOKUP(D949,'Species Codes'!B:P,15,0)*LN((E949*2.54)))*(1-(1/(VLOOKUP(D949,'Species Codes'!B:Q,16,0)+VLOOKUP(D949,'Species Codes'!B:R,17,0)*((E949*2.54)^VLOOKUP(D949,'Species Codes'!B:S,18,0)))))/1000,IF(D949="DF",EXP(VLOOKUP(D949,'Species Codes'!B:O,14,0)+VLOOKUP(D949,'Species Codes'!B:P,15,0)*LN((E949*2.54))),VLOOKUP(D949,'Species Codes'!B:O,14,0)+VLOOKUP(D949,'Species Codes'!B:P,15,0)*(((E949*2.54)/100)^2)*(I949*0.3048)))))*0.0011023),0)</f>
        <v>#N/A</v>
      </c>
      <c r="AD949" s="104" t="e">
        <f t="shared" si="436"/>
        <v>#N/A</v>
      </c>
      <c r="AE949" s="104" t="e">
        <f t="shared" si="437"/>
        <v>#N/A</v>
      </c>
      <c r="AF949" s="104" t="e">
        <f>IF(AND(VLOOKUP($D949,Merchantability!$B:$C,2,0)="Yes",$E949&gt;=VLOOKUP($D949,Merchantability!$B:$D,3,0),$E949&lt;=VLOOKUP($D949,Merchantability!$B:$E,4,0)),AA949,0)</f>
        <v>#N/A</v>
      </c>
      <c r="AG949" s="104" t="e">
        <f>IF(AND(VLOOKUP($D949,Merchantability!$B:$C,2,0)="Yes",$E949&gt;=VLOOKUP($D949,Merchantability!$B:$D,3,0),$E949&lt;=VLOOKUP($D949,Merchantability!$B:$E,4,0)),AB949,0)</f>
        <v>#N/A</v>
      </c>
      <c r="AH949" s="104" t="e">
        <f>IF(AND(VLOOKUP($D949,Merchantability!$B:$C,2,0)="Yes",$E949&gt;=VLOOKUP($D949,Merchantability!$B:$D,3,0),$E949&lt;=VLOOKUP($D949,Merchantability!$B:$E,4,0)),AC949,0)</f>
        <v>#N/A</v>
      </c>
      <c r="AI949" s="104" t="e">
        <f t="shared" si="438"/>
        <v>#N/A</v>
      </c>
      <c r="AJ949" s="104" t="e">
        <f t="shared" si="439"/>
        <v>#VALUE!</v>
      </c>
      <c r="AK949" s="104" t="e">
        <f t="shared" si="440"/>
        <v>#N/A</v>
      </c>
      <c r="AL949" s="104" t="e">
        <f t="shared" si="441"/>
        <v>#N/A</v>
      </c>
      <c r="AM949" s="104" t="e">
        <f t="shared" si="442"/>
        <v>#N/A</v>
      </c>
      <c r="AN949" s="104" t="e">
        <f t="shared" si="426"/>
        <v>#N/A</v>
      </c>
      <c r="AO949" s="104" t="e">
        <f t="shared" si="427"/>
        <v>#N/A</v>
      </c>
      <c r="AP949" s="104" t="e">
        <f t="shared" si="428"/>
        <v>#N/A</v>
      </c>
      <c r="AQ949" s="104" t="e">
        <f t="shared" si="429"/>
        <v>#N/A</v>
      </c>
      <c r="AR949" s="105" t="str">
        <f t="shared" si="421"/>
        <v/>
      </c>
      <c r="AS949" s="105" t="str">
        <f t="shared" si="422"/>
        <v/>
      </c>
      <c r="AT949" s="108" t="str">
        <f t="shared" si="423"/>
        <v/>
      </c>
      <c r="AU949" s="108" t="str">
        <f t="shared" si="424"/>
        <v/>
      </c>
      <c r="AV949" s="107" t="str">
        <f>IF(ISNUMBER(O949),IF(VLOOKUP($A949,Stand!C:J,8,FALSE)="Short",AT949,AU949),"")</f>
        <v/>
      </c>
      <c r="AW949" s="109" t="str">
        <f t="shared" si="430"/>
        <v/>
      </c>
      <c r="AX949" s="109" t="str">
        <f t="shared" si="431"/>
        <v/>
      </c>
      <c r="AY949" s="112" t="str">
        <f>IF(ISNUMBER(O949),IF(AND(VLOOKUP($D949,Merchantability!$B:$C,2,0)="Yes",$E949&gt;=VLOOKUP($D949,Merchantability!$B:$D,3,0),$E949&lt;=VLOOKUP($D949,Merchantability!$B:$E,4,0)),(AV949*O949)*(1-$H949/100),""),"")</f>
        <v/>
      </c>
      <c r="AZ949" s="116"/>
      <c r="BA949" s="116"/>
      <c r="BB949" s="116"/>
      <c r="BE949" s="62"/>
      <c r="BF949" s="63"/>
    </row>
    <row r="950" spans="1:58" ht="12.75" customHeight="1" x14ac:dyDescent="0.25">
      <c r="A950" s="313"/>
      <c r="B950" s="328"/>
      <c r="C950" s="329"/>
      <c r="D950" s="328"/>
      <c r="E950" s="330"/>
      <c r="F950" s="328"/>
      <c r="G950" s="329"/>
      <c r="H950" s="329"/>
      <c r="I950" s="328"/>
      <c r="J950" s="383"/>
      <c r="K950" s="329"/>
      <c r="L950" s="329"/>
      <c r="M950" s="76"/>
      <c r="N950" s="103" t="str">
        <f>IF(A950="","",VLOOKUP(A950,Stand!C:K,9,0))</f>
        <v/>
      </c>
      <c r="O950" s="104" t="str">
        <f t="shared" si="416"/>
        <v/>
      </c>
      <c r="P950" s="105" t="str">
        <f t="shared" si="417"/>
        <v/>
      </c>
      <c r="Q950" s="105" t="str">
        <f t="shared" si="432"/>
        <v/>
      </c>
      <c r="R950" s="103" t="str">
        <f t="shared" si="418"/>
        <v/>
      </c>
      <c r="S950" s="103" t="str">
        <f t="shared" si="419"/>
        <v/>
      </c>
      <c r="T950" s="106" t="str">
        <f t="shared" si="433"/>
        <v/>
      </c>
      <c r="U950" s="106" t="str">
        <f t="shared" si="434"/>
        <v/>
      </c>
      <c r="V950" s="106" t="str">
        <f t="shared" si="435"/>
        <v/>
      </c>
      <c r="W950" s="105" t="str">
        <f t="shared" si="420"/>
        <v/>
      </c>
      <c r="X950" s="104" t="str">
        <f t="shared" si="425"/>
        <v/>
      </c>
      <c r="Y950" s="104" t="str">
        <f t="array" ref="Y950">IFERROR(IF(ISNUMBER(O950),IF(COUNT(IF(A950=$A$2:$A$2427,IF(D950=$D$2:$D$2427,IF($X$2:$X$2427&gt;0,1))))&gt;0,SUM(IF(A950=$A$2:$A$2427,IF(D950=$D$2:$D$2427,$X$2:$X$2427)))/COUNT(IF(A950=$A$2:$A$2427,IF(D950=$D$2:$D$2427,IF(ISNUMBER($X$2:$X$2427),1)))),0),""),0)</f>
        <v/>
      </c>
      <c r="Z950" s="104" t="str">
        <f>IF(ISNUMBER(O950),IF(I950&gt;0,(10^(VLOOKUP(D950,'Species Codes'!B:C,2,0)+VLOOKUP(D950,'Species Codes'!B:D,3,0)*LOG(E950)+VLOOKUP(D950,'Species Codes'!B:E,4,0)*LOG(I950))),0),"")</f>
        <v/>
      </c>
      <c r="AA950" s="104" t="str">
        <f>IFERROR((VLOOKUP(D950,'Species Codes'!B:G,6,0)*Z950)/2000,"")</f>
        <v/>
      </c>
      <c r="AB950" s="104" t="e">
        <f>IF(Z950&gt;0,((IF(OR(D950="DF",D950="RA")=TRUE,EXP(VLOOKUP(D950,'Species Codes'!B:I,8,0)+VLOOKUP(D950,'Species Codes'!B:J,9,0)*(LN((E950*2.54)))),IF(OR(D950="PY",D950="RC",D950="WH",D950="NF")=TRUE,VLOOKUP(D950,'Species Codes'!B:I,8,0)+VLOOKUP(D950,'Species Codes'!B:J,9,0)*((E950*2.54)^2)*(I950*0.3048),IF(OR(D950="MD",D950="BM",D950="GA")=TRUE,((VLOOKUP(D950,'Species Codes'!B:I,8,0)*(((((E950*2.54)+VLOOKUP(D950,'Species Codes'!B:J,9,0))/VLOOKUP(D950,'Species Codes'!B:K,10,0))^VLOOKUP(D950,'Species Codes'!B:L,11,0))*((I950*0.3048)^VLOOKUP(D950,'Species Codes'!B:M,12,0))))-(VLOOKUP(D950,'Species Codes'!B:I,8,0)*((((E950*2.54)^VLOOKUP(D950,'Species Codes'!B:L,11,0))*((I950*0.3048)^VLOOKUP(D950,'Species Codes'!B:M,12,0))))))*35.3*VLOOKUP(D950,'Species Codes'!B:G,6,0)/2.2046,VLOOKUP(D950,'Species Codes'!B:I,8,0)+VLOOKUP(D950,'Species Codes'!B:J,9,0)*(((E950*2.54)/100)^2)*(I950*0.3048)))))*0.0011023),0)</f>
        <v>#N/A</v>
      </c>
      <c r="AC950" s="104" t="e">
        <f>IF(Z950&gt;0,((IF(OR(D950="RA",D950="OA",D950="OT",D950="UN",D950="PC"),EXP(VLOOKUP(D950,'Species Codes'!B:O,14,0)+VLOOKUP(D950,'Species Codes'!B:P,15,0)*LN((E950*2.54)))-EXP(VLOOKUP(D950,'Species Codes'!B:O,14,0)+VLOOKUP(D950,'Species Codes'!B:P,15,0)*LN((E950*2.54)))*(1/(VLOOKUP(D950,'Species Codes'!B:Q,16,0)+VLOOKUP(D950,'Species Codes'!B:R,17,0)*((E950*2.54)^VLOOKUP(D950,'Species Codes'!B:S,18,0)))),IF(OR(D950="BM",D950="MD",D950="OA"),EXP(VLOOKUP(D950,'Species Codes'!B:O,14,0)+VLOOKUP(D950,'Species Codes'!B:P,15,0)*LN((E950*2.54)))*(1-(1/(VLOOKUP(D950,'Species Codes'!B:Q,16,0)+VLOOKUP(D950,'Species Codes'!B:R,17,0)*((E950*2.54)^VLOOKUP(D950,'Species Codes'!B:S,18,0)))))/1000,IF(D950="DF",EXP(VLOOKUP(D950,'Species Codes'!B:O,14,0)+VLOOKUP(D950,'Species Codes'!B:P,15,0)*LN((E950*2.54))),VLOOKUP(D950,'Species Codes'!B:O,14,0)+VLOOKUP(D950,'Species Codes'!B:P,15,0)*(((E950*2.54)/100)^2)*(I950*0.3048)))))*0.0011023),0)</f>
        <v>#N/A</v>
      </c>
      <c r="AD950" s="104" t="e">
        <f t="shared" si="436"/>
        <v>#N/A</v>
      </c>
      <c r="AE950" s="104" t="e">
        <f t="shared" si="437"/>
        <v>#N/A</v>
      </c>
      <c r="AF950" s="104" t="e">
        <f>IF(AND(VLOOKUP($D950,Merchantability!$B:$C,2,0)="Yes",$E950&gt;=VLOOKUP($D950,Merchantability!$B:$D,3,0),$E950&lt;=VLOOKUP($D950,Merchantability!$B:$E,4,0)),AA950,0)</f>
        <v>#N/A</v>
      </c>
      <c r="AG950" s="104" t="e">
        <f>IF(AND(VLOOKUP($D950,Merchantability!$B:$C,2,0)="Yes",$E950&gt;=VLOOKUP($D950,Merchantability!$B:$D,3,0),$E950&lt;=VLOOKUP($D950,Merchantability!$B:$E,4,0)),AB950,0)</f>
        <v>#N/A</v>
      </c>
      <c r="AH950" s="104" t="e">
        <f>IF(AND(VLOOKUP($D950,Merchantability!$B:$C,2,0)="Yes",$E950&gt;=VLOOKUP($D950,Merchantability!$B:$D,3,0),$E950&lt;=VLOOKUP($D950,Merchantability!$B:$E,4,0)),AC950,0)</f>
        <v>#N/A</v>
      </c>
      <c r="AI950" s="104" t="e">
        <f t="shared" si="438"/>
        <v>#N/A</v>
      </c>
      <c r="AJ950" s="104" t="e">
        <f t="shared" si="439"/>
        <v>#VALUE!</v>
      </c>
      <c r="AK950" s="104" t="e">
        <f t="shared" si="440"/>
        <v>#N/A</v>
      </c>
      <c r="AL950" s="104" t="e">
        <f t="shared" si="441"/>
        <v>#N/A</v>
      </c>
      <c r="AM950" s="104" t="e">
        <f t="shared" si="442"/>
        <v>#N/A</v>
      </c>
      <c r="AN950" s="104" t="e">
        <f t="shared" si="426"/>
        <v>#N/A</v>
      </c>
      <c r="AO950" s="104" t="e">
        <f t="shared" si="427"/>
        <v>#N/A</v>
      </c>
      <c r="AP950" s="104" t="e">
        <f t="shared" si="428"/>
        <v>#N/A</v>
      </c>
      <c r="AQ950" s="104" t="e">
        <f t="shared" si="429"/>
        <v>#N/A</v>
      </c>
      <c r="AR950" s="105" t="str">
        <f t="shared" si="421"/>
        <v/>
      </c>
      <c r="AS950" s="105" t="str">
        <f t="shared" si="422"/>
        <v/>
      </c>
      <c r="AT950" s="108" t="str">
        <f t="shared" si="423"/>
        <v/>
      </c>
      <c r="AU950" s="108" t="str">
        <f t="shared" si="424"/>
        <v/>
      </c>
      <c r="AV950" s="107" t="str">
        <f>IF(ISNUMBER(O950),IF(VLOOKUP($A950,Stand!C:J,8,FALSE)="Short",AT950,AU950),"")</f>
        <v/>
      </c>
      <c r="AW950" s="109" t="str">
        <f t="shared" si="430"/>
        <v/>
      </c>
      <c r="AX950" s="109" t="str">
        <f t="shared" si="431"/>
        <v/>
      </c>
      <c r="AY950" s="112" t="str">
        <f>IF(ISNUMBER(O950),IF(AND(VLOOKUP($D950,Merchantability!$B:$C,2,0)="Yes",$E950&gt;=VLOOKUP($D950,Merchantability!$B:$D,3,0),$E950&lt;=VLOOKUP($D950,Merchantability!$B:$E,4,0)),(AV950*O950)*(1-$H950/100),""),"")</f>
        <v/>
      </c>
      <c r="AZ950" s="116"/>
      <c r="BA950" s="116"/>
      <c r="BB950" s="116"/>
      <c r="BE950" s="62"/>
      <c r="BF950" s="63"/>
    </row>
    <row r="951" spans="1:58" ht="12.75" customHeight="1" x14ac:dyDescent="0.25">
      <c r="A951" s="313"/>
      <c r="B951" s="328"/>
      <c r="C951" s="329"/>
      <c r="D951" s="328"/>
      <c r="E951" s="330"/>
      <c r="F951" s="328"/>
      <c r="G951" s="329"/>
      <c r="H951" s="329"/>
      <c r="I951" s="328"/>
      <c r="J951" s="383"/>
      <c r="K951" s="329"/>
      <c r="L951" s="329"/>
      <c r="M951" s="76"/>
      <c r="N951" s="103" t="str">
        <f>IF(A951="","",VLOOKUP(A951,Stand!C:K,9,0))</f>
        <v/>
      </c>
      <c r="O951" s="104" t="str">
        <f t="shared" si="416"/>
        <v/>
      </c>
      <c r="P951" s="105" t="str">
        <f t="shared" si="417"/>
        <v/>
      </c>
      <c r="Q951" s="105" t="str">
        <f t="shared" si="432"/>
        <v/>
      </c>
      <c r="R951" s="103" t="str">
        <f t="shared" si="418"/>
        <v/>
      </c>
      <c r="S951" s="103" t="str">
        <f t="shared" si="419"/>
        <v/>
      </c>
      <c r="T951" s="106" t="str">
        <f t="shared" si="433"/>
        <v/>
      </c>
      <c r="U951" s="106" t="str">
        <f t="shared" si="434"/>
        <v/>
      </c>
      <c r="V951" s="106" t="str">
        <f t="shared" si="435"/>
        <v/>
      </c>
      <c r="W951" s="105" t="str">
        <f t="shared" si="420"/>
        <v/>
      </c>
      <c r="X951" s="104" t="str">
        <f t="shared" si="425"/>
        <v/>
      </c>
      <c r="Y951" s="104" t="str">
        <f t="array" ref="Y951">IFERROR(IF(ISNUMBER(O951),IF(COUNT(IF(A951=$A$2:$A$2427,IF(D951=$D$2:$D$2427,IF($X$2:$X$2427&gt;0,1))))&gt;0,SUM(IF(A951=$A$2:$A$2427,IF(D951=$D$2:$D$2427,$X$2:$X$2427)))/COUNT(IF(A951=$A$2:$A$2427,IF(D951=$D$2:$D$2427,IF(ISNUMBER($X$2:$X$2427),1)))),0),""),0)</f>
        <v/>
      </c>
      <c r="Z951" s="104" t="str">
        <f>IF(ISNUMBER(O951),IF(I951&gt;0,(10^(VLOOKUP(D951,'Species Codes'!B:C,2,0)+VLOOKUP(D951,'Species Codes'!B:D,3,0)*LOG(E951)+VLOOKUP(D951,'Species Codes'!B:E,4,0)*LOG(I951))),0),"")</f>
        <v/>
      </c>
      <c r="AA951" s="104" t="str">
        <f>IFERROR((VLOOKUP(D951,'Species Codes'!B:G,6,0)*Z951)/2000,"")</f>
        <v/>
      </c>
      <c r="AB951" s="104" t="e">
        <f>IF(Z951&gt;0,((IF(OR(D951="DF",D951="RA")=TRUE,EXP(VLOOKUP(D951,'Species Codes'!B:I,8,0)+VLOOKUP(D951,'Species Codes'!B:J,9,0)*(LN((E951*2.54)))),IF(OR(D951="PY",D951="RC",D951="WH",D951="NF")=TRUE,VLOOKUP(D951,'Species Codes'!B:I,8,0)+VLOOKUP(D951,'Species Codes'!B:J,9,0)*((E951*2.54)^2)*(I951*0.3048),IF(OR(D951="MD",D951="BM",D951="GA")=TRUE,((VLOOKUP(D951,'Species Codes'!B:I,8,0)*(((((E951*2.54)+VLOOKUP(D951,'Species Codes'!B:J,9,0))/VLOOKUP(D951,'Species Codes'!B:K,10,0))^VLOOKUP(D951,'Species Codes'!B:L,11,0))*((I951*0.3048)^VLOOKUP(D951,'Species Codes'!B:M,12,0))))-(VLOOKUP(D951,'Species Codes'!B:I,8,0)*((((E951*2.54)^VLOOKUP(D951,'Species Codes'!B:L,11,0))*((I951*0.3048)^VLOOKUP(D951,'Species Codes'!B:M,12,0))))))*35.3*VLOOKUP(D951,'Species Codes'!B:G,6,0)/2.2046,VLOOKUP(D951,'Species Codes'!B:I,8,0)+VLOOKUP(D951,'Species Codes'!B:J,9,0)*(((E951*2.54)/100)^2)*(I951*0.3048)))))*0.0011023),0)</f>
        <v>#N/A</v>
      </c>
      <c r="AC951" s="104" t="e">
        <f>IF(Z951&gt;0,((IF(OR(D951="RA",D951="OA",D951="OT",D951="UN",D951="PC"),EXP(VLOOKUP(D951,'Species Codes'!B:O,14,0)+VLOOKUP(D951,'Species Codes'!B:P,15,0)*LN((E951*2.54)))-EXP(VLOOKUP(D951,'Species Codes'!B:O,14,0)+VLOOKUP(D951,'Species Codes'!B:P,15,0)*LN((E951*2.54)))*(1/(VLOOKUP(D951,'Species Codes'!B:Q,16,0)+VLOOKUP(D951,'Species Codes'!B:R,17,0)*((E951*2.54)^VLOOKUP(D951,'Species Codes'!B:S,18,0)))),IF(OR(D951="BM",D951="MD",D951="OA"),EXP(VLOOKUP(D951,'Species Codes'!B:O,14,0)+VLOOKUP(D951,'Species Codes'!B:P,15,0)*LN((E951*2.54)))*(1-(1/(VLOOKUP(D951,'Species Codes'!B:Q,16,0)+VLOOKUP(D951,'Species Codes'!B:R,17,0)*((E951*2.54)^VLOOKUP(D951,'Species Codes'!B:S,18,0)))))/1000,IF(D951="DF",EXP(VLOOKUP(D951,'Species Codes'!B:O,14,0)+VLOOKUP(D951,'Species Codes'!B:P,15,0)*LN((E951*2.54))),VLOOKUP(D951,'Species Codes'!B:O,14,0)+VLOOKUP(D951,'Species Codes'!B:P,15,0)*(((E951*2.54)/100)^2)*(I951*0.3048)))))*0.0011023),0)</f>
        <v>#N/A</v>
      </c>
      <c r="AD951" s="104" t="e">
        <f t="shared" si="436"/>
        <v>#N/A</v>
      </c>
      <c r="AE951" s="104" t="e">
        <f t="shared" si="437"/>
        <v>#N/A</v>
      </c>
      <c r="AF951" s="104" t="e">
        <f>IF(AND(VLOOKUP($D951,Merchantability!$B:$C,2,0)="Yes",$E951&gt;=VLOOKUP($D951,Merchantability!$B:$D,3,0),$E951&lt;=VLOOKUP($D951,Merchantability!$B:$E,4,0)),AA951,0)</f>
        <v>#N/A</v>
      </c>
      <c r="AG951" s="104" t="e">
        <f>IF(AND(VLOOKUP($D951,Merchantability!$B:$C,2,0)="Yes",$E951&gt;=VLOOKUP($D951,Merchantability!$B:$D,3,0),$E951&lt;=VLOOKUP($D951,Merchantability!$B:$E,4,0)),AB951,0)</f>
        <v>#N/A</v>
      </c>
      <c r="AH951" s="104" t="e">
        <f>IF(AND(VLOOKUP($D951,Merchantability!$B:$C,2,0)="Yes",$E951&gt;=VLOOKUP($D951,Merchantability!$B:$D,3,0),$E951&lt;=VLOOKUP($D951,Merchantability!$B:$E,4,0)),AC951,0)</f>
        <v>#N/A</v>
      </c>
      <c r="AI951" s="104" t="e">
        <f t="shared" si="438"/>
        <v>#N/A</v>
      </c>
      <c r="AJ951" s="104" t="e">
        <f t="shared" si="439"/>
        <v>#VALUE!</v>
      </c>
      <c r="AK951" s="104" t="e">
        <f t="shared" si="440"/>
        <v>#N/A</v>
      </c>
      <c r="AL951" s="104" t="e">
        <f t="shared" si="441"/>
        <v>#N/A</v>
      </c>
      <c r="AM951" s="104" t="e">
        <f t="shared" si="442"/>
        <v>#N/A</v>
      </c>
      <c r="AN951" s="104" t="e">
        <f t="shared" si="426"/>
        <v>#N/A</v>
      </c>
      <c r="AO951" s="104" t="e">
        <f t="shared" si="427"/>
        <v>#N/A</v>
      </c>
      <c r="AP951" s="104" t="e">
        <f t="shared" si="428"/>
        <v>#N/A</v>
      </c>
      <c r="AQ951" s="104" t="e">
        <f t="shared" si="429"/>
        <v>#N/A</v>
      </c>
      <c r="AR951" s="105" t="str">
        <f t="shared" si="421"/>
        <v/>
      </c>
      <c r="AS951" s="105" t="str">
        <f t="shared" si="422"/>
        <v/>
      </c>
      <c r="AT951" s="108" t="str">
        <f t="shared" si="423"/>
        <v/>
      </c>
      <c r="AU951" s="108" t="str">
        <f t="shared" si="424"/>
        <v/>
      </c>
      <c r="AV951" s="107" t="str">
        <f>IF(ISNUMBER(O951),IF(VLOOKUP($A951,Stand!C:J,8,FALSE)="Short",AT951,AU951),"")</f>
        <v/>
      </c>
      <c r="AW951" s="109" t="str">
        <f t="shared" si="430"/>
        <v/>
      </c>
      <c r="AX951" s="109" t="str">
        <f t="shared" si="431"/>
        <v/>
      </c>
      <c r="AY951" s="112" t="str">
        <f>IF(ISNUMBER(O951),IF(AND(VLOOKUP($D951,Merchantability!$B:$C,2,0)="Yes",$E951&gt;=VLOOKUP($D951,Merchantability!$B:$D,3,0),$E951&lt;=VLOOKUP($D951,Merchantability!$B:$E,4,0)),(AV951*O951)*(1-$H951/100),""),"")</f>
        <v/>
      </c>
      <c r="AZ951" s="116"/>
      <c r="BA951" s="116"/>
      <c r="BB951" s="116"/>
      <c r="BE951" s="62"/>
      <c r="BF951" s="63"/>
    </row>
    <row r="952" spans="1:58" ht="12.75" customHeight="1" x14ac:dyDescent="0.25">
      <c r="A952" s="313"/>
      <c r="B952" s="328"/>
      <c r="C952" s="329"/>
      <c r="D952" s="328"/>
      <c r="E952" s="330"/>
      <c r="F952" s="328"/>
      <c r="G952" s="329"/>
      <c r="H952" s="329"/>
      <c r="I952" s="328"/>
      <c r="J952" s="383"/>
      <c r="K952" s="329"/>
      <c r="L952" s="329"/>
      <c r="M952" s="76"/>
      <c r="N952" s="103" t="str">
        <f>IF(A952="","",VLOOKUP(A952,Stand!C:K,9,0))</f>
        <v/>
      </c>
      <c r="O952" s="104" t="str">
        <f t="shared" si="416"/>
        <v/>
      </c>
      <c r="P952" s="105" t="str">
        <f t="shared" si="417"/>
        <v/>
      </c>
      <c r="Q952" s="105" t="str">
        <f t="shared" si="432"/>
        <v/>
      </c>
      <c r="R952" s="103" t="str">
        <f t="shared" si="418"/>
        <v/>
      </c>
      <c r="S952" s="103" t="str">
        <f t="shared" si="419"/>
        <v/>
      </c>
      <c r="T952" s="106" t="str">
        <f t="shared" si="433"/>
        <v/>
      </c>
      <c r="U952" s="106" t="str">
        <f t="shared" si="434"/>
        <v/>
      </c>
      <c r="V952" s="106" t="str">
        <f t="shared" si="435"/>
        <v/>
      </c>
      <c r="W952" s="105" t="str">
        <f t="shared" si="420"/>
        <v/>
      </c>
      <c r="X952" s="104" t="str">
        <f t="shared" si="425"/>
        <v/>
      </c>
      <c r="Y952" s="104" t="str">
        <f t="array" ref="Y952">IFERROR(IF(ISNUMBER(O952),IF(COUNT(IF(A952=$A$2:$A$2427,IF(D952=$D$2:$D$2427,IF($X$2:$X$2427&gt;0,1))))&gt;0,SUM(IF(A952=$A$2:$A$2427,IF(D952=$D$2:$D$2427,$X$2:$X$2427)))/COUNT(IF(A952=$A$2:$A$2427,IF(D952=$D$2:$D$2427,IF(ISNUMBER($X$2:$X$2427),1)))),0),""),0)</f>
        <v/>
      </c>
      <c r="Z952" s="104" t="str">
        <f>IF(ISNUMBER(O952),IF(I952&gt;0,(10^(VLOOKUP(D952,'Species Codes'!B:C,2,0)+VLOOKUP(D952,'Species Codes'!B:D,3,0)*LOG(E952)+VLOOKUP(D952,'Species Codes'!B:E,4,0)*LOG(I952))),0),"")</f>
        <v/>
      </c>
      <c r="AA952" s="104" t="str">
        <f>IFERROR((VLOOKUP(D952,'Species Codes'!B:G,6,0)*Z952)/2000,"")</f>
        <v/>
      </c>
      <c r="AB952" s="104" t="e">
        <f>IF(Z952&gt;0,((IF(OR(D952="DF",D952="RA")=TRUE,EXP(VLOOKUP(D952,'Species Codes'!B:I,8,0)+VLOOKUP(D952,'Species Codes'!B:J,9,0)*(LN((E952*2.54)))),IF(OR(D952="PY",D952="RC",D952="WH",D952="NF")=TRUE,VLOOKUP(D952,'Species Codes'!B:I,8,0)+VLOOKUP(D952,'Species Codes'!B:J,9,0)*((E952*2.54)^2)*(I952*0.3048),IF(OR(D952="MD",D952="BM",D952="GA")=TRUE,((VLOOKUP(D952,'Species Codes'!B:I,8,0)*(((((E952*2.54)+VLOOKUP(D952,'Species Codes'!B:J,9,0))/VLOOKUP(D952,'Species Codes'!B:K,10,0))^VLOOKUP(D952,'Species Codes'!B:L,11,0))*((I952*0.3048)^VLOOKUP(D952,'Species Codes'!B:M,12,0))))-(VLOOKUP(D952,'Species Codes'!B:I,8,0)*((((E952*2.54)^VLOOKUP(D952,'Species Codes'!B:L,11,0))*((I952*0.3048)^VLOOKUP(D952,'Species Codes'!B:M,12,0))))))*35.3*VLOOKUP(D952,'Species Codes'!B:G,6,0)/2.2046,VLOOKUP(D952,'Species Codes'!B:I,8,0)+VLOOKUP(D952,'Species Codes'!B:J,9,0)*(((E952*2.54)/100)^2)*(I952*0.3048)))))*0.0011023),0)</f>
        <v>#N/A</v>
      </c>
      <c r="AC952" s="104" t="e">
        <f>IF(Z952&gt;0,((IF(OR(D952="RA",D952="OA",D952="OT",D952="UN",D952="PC"),EXP(VLOOKUP(D952,'Species Codes'!B:O,14,0)+VLOOKUP(D952,'Species Codes'!B:P,15,0)*LN((E952*2.54)))-EXP(VLOOKUP(D952,'Species Codes'!B:O,14,0)+VLOOKUP(D952,'Species Codes'!B:P,15,0)*LN((E952*2.54)))*(1/(VLOOKUP(D952,'Species Codes'!B:Q,16,0)+VLOOKUP(D952,'Species Codes'!B:R,17,0)*((E952*2.54)^VLOOKUP(D952,'Species Codes'!B:S,18,0)))),IF(OR(D952="BM",D952="MD",D952="OA"),EXP(VLOOKUP(D952,'Species Codes'!B:O,14,0)+VLOOKUP(D952,'Species Codes'!B:P,15,0)*LN((E952*2.54)))*(1-(1/(VLOOKUP(D952,'Species Codes'!B:Q,16,0)+VLOOKUP(D952,'Species Codes'!B:R,17,0)*((E952*2.54)^VLOOKUP(D952,'Species Codes'!B:S,18,0)))))/1000,IF(D952="DF",EXP(VLOOKUP(D952,'Species Codes'!B:O,14,0)+VLOOKUP(D952,'Species Codes'!B:P,15,0)*LN((E952*2.54))),VLOOKUP(D952,'Species Codes'!B:O,14,0)+VLOOKUP(D952,'Species Codes'!B:P,15,0)*(((E952*2.54)/100)^2)*(I952*0.3048)))))*0.0011023),0)</f>
        <v>#N/A</v>
      </c>
      <c r="AD952" s="104" t="e">
        <f t="shared" si="436"/>
        <v>#N/A</v>
      </c>
      <c r="AE952" s="104" t="e">
        <f t="shared" si="437"/>
        <v>#N/A</v>
      </c>
      <c r="AF952" s="104" t="e">
        <f>IF(AND(VLOOKUP($D952,Merchantability!$B:$C,2,0)="Yes",$E952&gt;=VLOOKUP($D952,Merchantability!$B:$D,3,0),$E952&lt;=VLOOKUP($D952,Merchantability!$B:$E,4,0)),AA952,0)</f>
        <v>#N/A</v>
      </c>
      <c r="AG952" s="104" t="e">
        <f>IF(AND(VLOOKUP($D952,Merchantability!$B:$C,2,0)="Yes",$E952&gt;=VLOOKUP($D952,Merchantability!$B:$D,3,0),$E952&lt;=VLOOKUP($D952,Merchantability!$B:$E,4,0)),AB952,0)</f>
        <v>#N/A</v>
      </c>
      <c r="AH952" s="104" t="e">
        <f>IF(AND(VLOOKUP($D952,Merchantability!$B:$C,2,0)="Yes",$E952&gt;=VLOOKUP($D952,Merchantability!$B:$D,3,0),$E952&lt;=VLOOKUP($D952,Merchantability!$B:$E,4,0)),AC952,0)</f>
        <v>#N/A</v>
      </c>
      <c r="AI952" s="104" t="e">
        <f t="shared" si="438"/>
        <v>#N/A</v>
      </c>
      <c r="AJ952" s="104" t="e">
        <f t="shared" si="439"/>
        <v>#VALUE!</v>
      </c>
      <c r="AK952" s="104" t="e">
        <f t="shared" si="440"/>
        <v>#N/A</v>
      </c>
      <c r="AL952" s="104" t="e">
        <f t="shared" si="441"/>
        <v>#N/A</v>
      </c>
      <c r="AM952" s="104" t="e">
        <f t="shared" si="442"/>
        <v>#N/A</v>
      </c>
      <c r="AN952" s="104" t="e">
        <f t="shared" si="426"/>
        <v>#N/A</v>
      </c>
      <c r="AO952" s="104" t="e">
        <f t="shared" si="427"/>
        <v>#N/A</v>
      </c>
      <c r="AP952" s="104" t="e">
        <f t="shared" si="428"/>
        <v>#N/A</v>
      </c>
      <c r="AQ952" s="104" t="e">
        <f t="shared" si="429"/>
        <v>#N/A</v>
      </c>
      <c r="AR952" s="105" t="str">
        <f t="shared" si="421"/>
        <v/>
      </c>
      <c r="AS952" s="105" t="str">
        <f t="shared" si="422"/>
        <v/>
      </c>
      <c r="AT952" s="108" t="str">
        <f t="shared" si="423"/>
        <v/>
      </c>
      <c r="AU952" s="108" t="str">
        <f t="shared" si="424"/>
        <v/>
      </c>
      <c r="AV952" s="107" t="str">
        <f>IF(ISNUMBER(O952),IF(VLOOKUP($A952,Stand!C:J,8,FALSE)="Short",AT952,AU952),"")</f>
        <v/>
      </c>
      <c r="AW952" s="109" t="str">
        <f t="shared" si="430"/>
        <v/>
      </c>
      <c r="AX952" s="109" t="str">
        <f t="shared" si="431"/>
        <v/>
      </c>
      <c r="AY952" s="112" t="str">
        <f>IF(ISNUMBER(O952),IF(AND(VLOOKUP($D952,Merchantability!$B:$C,2,0)="Yes",$E952&gt;=VLOOKUP($D952,Merchantability!$B:$D,3,0),$E952&lt;=VLOOKUP($D952,Merchantability!$B:$E,4,0)),(AV952*O952)*(1-$H952/100),""),"")</f>
        <v/>
      </c>
      <c r="AZ952" s="116"/>
      <c r="BA952" s="116"/>
      <c r="BB952" s="116"/>
      <c r="BE952" s="62"/>
      <c r="BF952" s="63"/>
    </row>
    <row r="953" spans="1:58" ht="12.75" customHeight="1" x14ac:dyDescent="0.25">
      <c r="A953" s="313"/>
      <c r="B953" s="328"/>
      <c r="C953" s="329"/>
      <c r="D953" s="328"/>
      <c r="E953" s="330"/>
      <c r="F953" s="328"/>
      <c r="G953" s="329"/>
      <c r="H953" s="329"/>
      <c r="I953" s="328"/>
      <c r="J953" s="383"/>
      <c r="K953" s="329"/>
      <c r="L953" s="329"/>
      <c r="M953" s="76"/>
      <c r="N953" s="103" t="str">
        <f>IF(A953="","",VLOOKUP(A953,Stand!C:K,9,0))</f>
        <v/>
      </c>
      <c r="O953" s="104" t="str">
        <f t="shared" si="416"/>
        <v/>
      </c>
      <c r="P953" s="105" t="str">
        <f t="shared" si="417"/>
        <v/>
      </c>
      <c r="Q953" s="105" t="str">
        <f t="shared" si="432"/>
        <v/>
      </c>
      <c r="R953" s="103" t="str">
        <f t="shared" si="418"/>
        <v/>
      </c>
      <c r="S953" s="103" t="str">
        <f t="shared" si="419"/>
        <v/>
      </c>
      <c r="T953" s="106" t="str">
        <f t="shared" si="433"/>
        <v/>
      </c>
      <c r="U953" s="106" t="str">
        <f t="shared" si="434"/>
        <v/>
      </c>
      <c r="V953" s="106" t="str">
        <f t="shared" si="435"/>
        <v/>
      </c>
      <c r="W953" s="105" t="str">
        <f t="shared" si="420"/>
        <v/>
      </c>
      <c r="X953" s="104" t="str">
        <f t="shared" si="425"/>
        <v/>
      </c>
      <c r="Y953" s="104" t="str">
        <f t="array" ref="Y953">IFERROR(IF(ISNUMBER(O953),IF(COUNT(IF(A953=$A$2:$A$2427,IF(D953=$D$2:$D$2427,IF($X$2:$X$2427&gt;0,1))))&gt;0,SUM(IF(A953=$A$2:$A$2427,IF(D953=$D$2:$D$2427,$X$2:$X$2427)))/COUNT(IF(A953=$A$2:$A$2427,IF(D953=$D$2:$D$2427,IF(ISNUMBER($X$2:$X$2427),1)))),0),""),0)</f>
        <v/>
      </c>
      <c r="Z953" s="104" t="str">
        <f>IF(ISNUMBER(O953),IF(I953&gt;0,(10^(VLOOKUP(D953,'Species Codes'!B:C,2,0)+VLOOKUP(D953,'Species Codes'!B:D,3,0)*LOG(E953)+VLOOKUP(D953,'Species Codes'!B:E,4,0)*LOG(I953))),0),"")</f>
        <v/>
      </c>
      <c r="AA953" s="104" t="str">
        <f>IFERROR((VLOOKUP(D953,'Species Codes'!B:G,6,0)*Z953)/2000,"")</f>
        <v/>
      </c>
      <c r="AB953" s="104" t="e">
        <f>IF(Z953&gt;0,((IF(OR(D953="DF",D953="RA")=TRUE,EXP(VLOOKUP(D953,'Species Codes'!B:I,8,0)+VLOOKUP(D953,'Species Codes'!B:J,9,0)*(LN((E953*2.54)))),IF(OR(D953="PY",D953="RC",D953="WH",D953="NF")=TRUE,VLOOKUP(D953,'Species Codes'!B:I,8,0)+VLOOKUP(D953,'Species Codes'!B:J,9,0)*((E953*2.54)^2)*(I953*0.3048),IF(OR(D953="MD",D953="BM",D953="GA")=TRUE,((VLOOKUP(D953,'Species Codes'!B:I,8,0)*(((((E953*2.54)+VLOOKUP(D953,'Species Codes'!B:J,9,0))/VLOOKUP(D953,'Species Codes'!B:K,10,0))^VLOOKUP(D953,'Species Codes'!B:L,11,0))*((I953*0.3048)^VLOOKUP(D953,'Species Codes'!B:M,12,0))))-(VLOOKUP(D953,'Species Codes'!B:I,8,0)*((((E953*2.54)^VLOOKUP(D953,'Species Codes'!B:L,11,0))*((I953*0.3048)^VLOOKUP(D953,'Species Codes'!B:M,12,0))))))*35.3*VLOOKUP(D953,'Species Codes'!B:G,6,0)/2.2046,VLOOKUP(D953,'Species Codes'!B:I,8,0)+VLOOKUP(D953,'Species Codes'!B:J,9,0)*(((E953*2.54)/100)^2)*(I953*0.3048)))))*0.0011023),0)</f>
        <v>#N/A</v>
      </c>
      <c r="AC953" s="104" t="e">
        <f>IF(Z953&gt;0,((IF(OR(D953="RA",D953="OA",D953="OT",D953="UN",D953="PC"),EXP(VLOOKUP(D953,'Species Codes'!B:O,14,0)+VLOOKUP(D953,'Species Codes'!B:P,15,0)*LN((E953*2.54)))-EXP(VLOOKUP(D953,'Species Codes'!B:O,14,0)+VLOOKUP(D953,'Species Codes'!B:P,15,0)*LN((E953*2.54)))*(1/(VLOOKUP(D953,'Species Codes'!B:Q,16,0)+VLOOKUP(D953,'Species Codes'!B:R,17,0)*((E953*2.54)^VLOOKUP(D953,'Species Codes'!B:S,18,0)))),IF(OR(D953="BM",D953="MD",D953="OA"),EXP(VLOOKUP(D953,'Species Codes'!B:O,14,0)+VLOOKUP(D953,'Species Codes'!B:P,15,0)*LN((E953*2.54)))*(1-(1/(VLOOKUP(D953,'Species Codes'!B:Q,16,0)+VLOOKUP(D953,'Species Codes'!B:R,17,0)*((E953*2.54)^VLOOKUP(D953,'Species Codes'!B:S,18,0)))))/1000,IF(D953="DF",EXP(VLOOKUP(D953,'Species Codes'!B:O,14,0)+VLOOKUP(D953,'Species Codes'!B:P,15,0)*LN((E953*2.54))),VLOOKUP(D953,'Species Codes'!B:O,14,0)+VLOOKUP(D953,'Species Codes'!B:P,15,0)*(((E953*2.54)/100)^2)*(I953*0.3048)))))*0.0011023),0)</f>
        <v>#N/A</v>
      </c>
      <c r="AD953" s="104" t="e">
        <f t="shared" si="436"/>
        <v>#N/A</v>
      </c>
      <c r="AE953" s="104" t="e">
        <f t="shared" si="437"/>
        <v>#N/A</v>
      </c>
      <c r="AF953" s="104" t="e">
        <f>IF(AND(VLOOKUP($D953,Merchantability!$B:$C,2,0)="Yes",$E953&gt;=VLOOKUP($D953,Merchantability!$B:$D,3,0),$E953&lt;=VLOOKUP($D953,Merchantability!$B:$E,4,0)),AA953,0)</f>
        <v>#N/A</v>
      </c>
      <c r="AG953" s="104" t="e">
        <f>IF(AND(VLOOKUP($D953,Merchantability!$B:$C,2,0)="Yes",$E953&gt;=VLOOKUP($D953,Merchantability!$B:$D,3,0),$E953&lt;=VLOOKUP($D953,Merchantability!$B:$E,4,0)),AB953,0)</f>
        <v>#N/A</v>
      </c>
      <c r="AH953" s="104" t="e">
        <f>IF(AND(VLOOKUP($D953,Merchantability!$B:$C,2,0)="Yes",$E953&gt;=VLOOKUP($D953,Merchantability!$B:$D,3,0),$E953&lt;=VLOOKUP($D953,Merchantability!$B:$E,4,0)),AC953,0)</f>
        <v>#N/A</v>
      </c>
      <c r="AI953" s="104" t="e">
        <f t="shared" si="438"/>
        <v>#N/A</v>
      </c>
      <c r="AJ953" s="104" t="e">
        <f t="shared" si="439"/>
        <v>#VALUE!</v>
      </c>
      <c r="AK953" s="104" t="e">
        <f t="shared" si="440"/>
        <v>#N/A</v>
      </c>
      <c r="AL953" s="104" t="e">
        <f t="shared" si="441"/>
        <v>#N/A</v>
      </c>
      <c r="AM953" s="104" t="e">
        <f t="shared" si="442"/>
        <v>#N/A</v>
      </c>
      <c r="AN953" s="104" t="e">
        <f t="shared" si="426"/>
        <v>#N/A</v>
      </c>
      <c r="AO953" s="104" t="e">
        <f t="shared" si="427"/>
        <v>#N/A</v>
      </c>
      <c r="AP953" s="104" t="e">
        <f t="shared" si="428"/>
        <v>#N/A</v>
      </c>
      <c r="AQ953" s="104" t="e">
        <f t="shared" si="429"/>
        <v>#N/A</v>
      </c>
      <c r="AR953" s="105" t="str">
        <f t="shared" si="421"/>
        <v/>
      </c>
      <c r="AS953" s="105" t="str">
        <f t="shared" si="422"/>
        <v/>
      </c>
      <c r="AT953" s="108" t="str">
        <f t="shared" si="423"/>
        <v/>
      </c>
      <c r="AU953" s="108" t="str">
        <f t="shared" si="424"/>
        <v/>
      </c>
      <c r="AV953" s="107" t="str">
        <f>IF(ISNUMBER(O953),IF(VLOOKUP($A953,Stand!C:J,8,FALSE)="Short",AT953,AU953),"")</f>
        <v/>
      </c>
      <c r="AW953" s="109" t="str">
        <f t="shared" si="430"/>
        <v/>
      </c>
      <c r="AX953" s="109" t="str">
        <f t="shared" si="431"/>
        <v/>
      </c>
      <c r="AY953" s="112" t="str">
        <f>IF(ISNUMBER(O953),IF(AND(VLOOKUP($D953,Merchantability!$B:$C,2,0)="Yes",$E953&gt;=VLOOKUP($D953,Merchantability!$B:$D,3,0),$E953&lt;=VLOOKUP($D953,Merchantability!$B:$E,4,0)),(AV953*O953)*(1-$H953/100),""),"")</f>
        <v/>
      </c>
      <c r="AZ953" s="116"/>
      <c r="BA953" s="116"/>
      <c r="BB953" s="116"/>
      <c r="BE953" s="62"/>
      <c r="BF953" s="63"/>
    </row>
    <row r="954" spans="1:58" ht="12.75" customHeight="1" x14ac:dyDescent="0.25">
      <c r="A954" s="313"/>
      <c r="B954" s="328"/>
      <c r="C954" s="329"/>
      <c r="D954" s="328"/>
      <c r="E954" s="330"/>
      <c r="F954" s="328"/>
      <c r="G954" s="329"/>
      <c r="H954" s="329"/>
      <c r="I954" s="328"/>
      <c r="J954" s="383"/>
      <c r="K954" s="329"/>
      <c r="L954" s="329"/>
      <c r="M954" s="76"/>
      <c r="N954" s="103" t="str">
        <f>IF(A954="","",VLOOKUP(A954,Stand!C:K,9,0))</f>
        <v/>
      </c>
      <c r="O954" s="104" t="str">
        <f t="shared" si="416"/>
        <v/>
      </c>
      <c r="P954" s="105" t="str">
        <f t="shared" si="417"/>
        <v/>
      </c>
      <c r="Q954" s="105" t="str">
        <f t="shared" si="432"/>
        <v/>
      </c>
      <c r="R954" s="103" t="str">
        <f t="shared" si="418"/>
        <v/>
      </c>
      <c r="S954" s="103" t="str">
        <f t="shared" si="419"/>
        <v/>
      </c>
      <c r="T954" s="106" t="str">
        <f t="shared" si="433"/>
        <v/>
      </c>
      <c r="U954" s="106" t="str">
        <f t="shared" si="434"/>
        <v/>
      </c>
      <c r="V954" s="106" t="str">
        <f t="shared" si="435"/>
        <v/>
      </c>
      <c r="W954" s="105" t="str">
        <f t="shared" si="420"/>
        <v/>
      </c>
      <c r="X954" s="104" t="str">
        <f t="shared" si="425"/>
        <v/>
      </c>
      <c r="Y954" s="104" t="str">
        <f t="array" ref="Y954">IFERROR(IF(ISNUMBER(O954),IF(COUNT(IF(A954=$A$2:$A$2427,IF(D954=$D$2:$D$2427,IF($X$2:$X$2427&gt;0,1))))&gt;0,SUM(IF(A954=$A$2:$A$2427,IF(D954=$D$2:$D$2427,$X$2:$X$2427)))/COUNT(IF(A954=$A$2:$A$2427,IF(D954=$D$2:$D$2427,IF(ISNUMBER($X$2:$X$2427),1)))),0),""),0)</f>
        <v/>
      </c>
      <c r="Z954" s="104" t="str">
        <f>IF(ISNUMBER(O954),IF(I954&gt;0,(10^(VLOOKUP(D954,'Species Codes'!B:C,2,0)+VLOOKUP(D954,'Species Codes'!B:D,3,0)*LOG(E954)+VLOOKUP(D954,'Species Codes'!B:E,4,0)*LOG(I954))),0),"")</f>
        <v/>
      </c>
      <c r="AA954" s="104" t="str">
        <f>IFERROR((VLOOKUP(D954,'Species Codes'!B:G,6,0)*Z954)/2000,"")</f>
        <v/>
      </c>
      <c r="AB954" s="104" t="e">
        <f>IF(Z954&gt;0,((IF(OR(D954="DF",D954="RA")=TRUE,EXP(VLOOKUP(D954,'Species Codes'!B:I,8,0)+VLOOKUP(D954,'Species Codes'!B:J,9,0)*(LN((E954*2.54)))),IF(OR(D954="PY",D954="RC",D954="WH",D954="NF")=TRUE,VLOOKUP(D954,'Species Codes'!B:I,8,0)+VLOOKUP(D954,'Species Codes'!B:J,9,0)*((E954*2.54)^2)*(I954*0.3048),IF(OR(D954="MD",D954="BM",D954="GA")=TRUE,((VLOOKUP(D954,'Species Codes'!B:I,8,0)*(((((E954*2.54)+VLOOKUP(D954,'Species Codes'!B:J,9,0))/VLOOKUP(D954,'Species Codes'!B:K,10,0))^VLOOKUP(D954,'Species Codes'!B:L,11,0))*((I954*0.3048)^VLOOKUP(D954,'Species Codes'!B:M,12,0))))-(VLOOKUP(D954,'Species Codes'!B:I,8,0)*((((E954*2.54)^VLOOKUP(D954,'Species Codes'!B:L,11,0))*((I954*0.3048)^VLOOKUP(D954,'Species Codes'!B:M,12,0))))))*35.3*VLOOKUP(D954,'Species Codes'!B:G,6,0)/2.2046,VLOOKUP(D954,'Species Codes'!B:I,8,0)+VLOOKUP(D954,'Species Codes'!B:J,9,0)*(((E954*2.54)/100)^2)*(I954*0.3048)))))*0.0011023),0)</f>
        <v>#N/A</v>
      </c>
      <c r="AC954" s="104" t="e">
        <f>IF(Z954&gt;0,((IF(OR(D954="RA",D954="OA",D954="OT",D954="UN",D954="PC"),EXP(VLOOKUP(D954,'Species Codes'!B:O,14,0)+VLOOKUP(D954,'Species Codes'!B:P,15,0)*LN((E954*2.54)))-EXP(VLOOKUP(D954,'Species Codes'!B:O,14,0)+VLOOKUP(D954,'Species Codes'!B:P,15,0)*LN((E954*2.54)))*(1/(VLOOKUP(D954,'Species Codes'!B:Q,16,0)+VLOOKUP(D954,'Species Codes'!B:R,17,0)*((E954*2.54)^VLOOKUP(D954,'Species Codes'!B:S,18,0)))),IF(OR(D954="BM",D954="MD",D954="OA"),EXP(VLOOKUP(D954,'Species Codes'!B:O,14,0)+VLOOKUP(D954,'Species Codes'!B:P,15,0)*LN((E954*2.54)))*(1-(1/(VLOOKUP(D954,'Species Codes'!B:Q,16,0)+VLOOKUP(D954,'Species Codes'!B:R,17,0)*((E954*2.54)^VLOOKUP(D954,'Species Codes'!B:S,18,0)))))/1000,IF(D954="DF",EXP(VLOOKUP(D954,'Species Codes'!B:O,14,0)+VLOOKUP(D954,'Species Codes'!B:P,15,0)*LN((E954*2.54))),VLOOKUP(D954,'Species Codes'!B:O,14,0)+VLOOKUP(D954,'Species Codes'!B:P,15,0)*(((E954*2.54)/100)^2)*(I954*0.3048)))))*0.0011023),0)</f>
        <v>#N/A</v>
      </c>
      <c r="AD954" s="104" t="e">
        <f t="shared" si="436"/>
        <v>#N/A</v>
      </c>
      <c r="AE954" s="104" t="e">
        <f t="shared" si="437"/>
        <v>#N/A</v>
      </c>
      <c r="AF954" s="104" t="e">
        <f>IF(AND(VLOOKUP($D954,Merchantability!$B:$C,2,0)="Yes",$E954&gt;=VLOOKUP($D954,Merchantability!$B:$D,3,0),$E954&lt;=VLOOKUP($D954,Merchantability!$B:$E,4,0)),AA954,0)</f>
        <v>#N/A</v>
      </c>
      <c r="AG954" s="104" t="e">
        <f>IF(AND(VLOOKUP($D954,Merchantability!$B:$C,2,0)="Yes",$E954&gt;=VLOOKUP($D954,Merchantability!$B:$D,3,0),$E954&lt;=VLOOKUP($D954,Merchantability!$B:$E,4,0)),AB954,0)</f>
        <v>#N/A</v>
      </c>
      <c r="AH954" s="104" t="e">
        <f>IF(AND(VLOOKUP($D954,Merchantability!$B:$C,2,0)="Yes",$E954&gt;=VLOOKUP($D954,Merchantability!$B:$D,3,0),$E954&lt;=VLOOKUP($D954,Merchantability!$B:$E,4,0)),AC954,0)</f>
        <v>#N/A</v>
      </c>
      <c r="AI954" s="104" t="e">
        <f t="shared" si="438"/>
        <v>#N/A</v>
      </c>
      <c r="AJ954" s="104" t="e">
        <f t="shared" si="439"/>
        <v>#VALUE!</v>
      </c>
      <c r="AK954" s="104" t="e">
        <f t="shared" si="440"/>
        <v>#N/A</v>
      </c>
      <c r="AL954" s="104" t="e">
        <f t="shared" si="441"/>
        <v>#N/A</v>
      </c>
      <c r="AM954" s="104" t="e">
        <f t="shared" si="442"/>
        <v>#N/A</v>
      </c>
      <c r="AN954" s="104" t="e">
        <f t="shared" si="426"/>
        <v>#N/A</v>
      </c>
      <c r="AO954" s="104" t="e">
        <f t="shared" si="427"/>
        <v>#N/A</v>
      </c>
      <c r="AP954" s="104" t="e">
        <f t="shared" si="428"/>
        <v>#N/A</v>
      </c>
      <c r="AQ954" s="104" t="e">
        <f t="shared" si="429"/>
        <v>#N/A</v>
      </c>
      <c r="AR954" s="105" t="str">
        <f t="shared" si="421"/>
        <v/>
      </c>
      <c r="AS954" s="105" t="str">
        <f t="shared" si="422"/>
        <v/>
      </c>
      <c r="AT954" s="108" t="str">
        <f t="shared" si="423"/>
        <v/>
      </c>
      <c r="AU954" s="108" t="str">
        <f t="shared" si="424"/>
        <v/>
      </c>
      <c r="AV954" s="107" t="str">
        <f>IF(ISNUMBER(O954),IF(VLOOKUP($A954,Stand!C:J,8,FALSE)="Short",AT954,AU954),"")</f>
        <v/>
      </c>
      <c r="AW954" s="109" t="str">
        <f t="shared" si="430"/>
        <v/>
      </c>
      <c r="AX954" s="109" t="str">
        <f t="shared" si="431"/>
        <v/>
      </c>
      <c r="AY954" s="112" t="str">
        <f>IF(ISNUMBER(O954),IF(AND(VLOOKUP($D954,Merchantability!$B:$C,2,0)="Yes",$E954&gt;=VLOOKUP($D954,Merchantability!$B:$D,3,0),$E954&lt;=VLOOKUP($D954,Merchantability!$B:$E,4,0)),(AV954*O954)*(1-$H954/100),""),"")</f>
        <v/>
      </c>
      <c r="AZ954" s="116"/>
      <c r="BA954" s="116"/>
      <c r="BB954" s="116"/>
      <c r="BE954" s="62"/>
      <c r="BF954" s="63"/>
    </row>
    <row r="955" spans="1:58" ht="12.75" customHeight="1" x14ac:dyDescent="0.25">
      <c r="A955" s="313"/>
      <c r="B955" s="328"/>
      <c r="C955" s="329"/>
      <c r="D955" s="328"/>
      <c r="E955" s="330"/>
      <c r="F955" s="328"/>
      <c r="G955" s="329"/>
      <c r="H955" s="329"/>
      <c r="I955" s="328"/>
      <c r="J955" s="383"/>
      <c r="K955" s="329"/>
      <c r="L955" s="329"/>
      <c r="M955" s="76"/>
      <c r="N955" s="103" t="str">
        <f>IF(A955="","",VLOOKUP(A955,Stand!C:K,9,0))</f>
        <v/>
      </c>
      <c r="O955" s="104" t="str">
        <f t="shared" si="416"/>
        <v/>
      </c>
      <c r="P955" s="105" t="str">
        <f t="shared" si="417"/>
        <v/>
      </c>
      <c r="Q955" s="105" t="str">
        <f t="shared" si="432"/>
        <v/>
      </c>
      <c r="R955" s="103" t="str">
        <f t="shared" si="418"/>
        <v/>
      </c>
      <c r="S955" s="103" t="str">
        <f t="shared" si="419"/>
        <v/>
      </c>
      <c r="T955" s="106" t="str">
        <f t="shared" si="433"/>
        <v/>
      </c>
      <c r="U955" s="106" t="str">
        <f t="shared" si="434"/>
        <v/>
      </c>
      <c r="V955" s="106" t="str">
        <f t="shared" si="435"/>
        <v/>
      </c>
      <c r="W955" s="105" t="str">
        <f t="shared" si="420"/>
        <v/>
      </c>
      <c r="X955" s="104" t="str">
        <f t="shared" si="425"/>
        <v/>
      </c>
      <c r="Y955" s="104" t="str">
        <f t="array" ref="Y955">IFERROR(IF(ISNUMBER(O955),IF(COUNT(IF(A955=$A$2:$A$2427,IF(D955=$D$2:$D$2427,IF($X$2:$X$2427&gt;0,1))))&gt;0,SUM(IF(A955=$A$2:$A$2427,IF(D955=$D$2:$D$2427,$X$2:$X$2427)))/COUNT(IF(A955=$A$2:$A$2427,IF(D955=$D$2:$D$2427,IF(ISNUMBER($X$2:$X$2427),1)))),0),""),0)</f>
        <v/>
      </c>
      <c r="Z955" s="104" t="str">
        <f>IF(ISNUMBER(O955),IF(I955&gt;0,(10^(VLOOKUP(D955,'Species Codes'!B:C,2,0)+VLOOKUP(D955,'Species Codes'!B:D,3,0)*LOG(E955)+VLOOKUP(D955,'Species Codes'!B:E,4,0)*LOG(I955))),0),"")</f>
        <v/>
      </c>
      <c r="AA955" s="104" t="str">
        <f>IFERROR((VLOOKUP(D955,'Species Codes'!B:G,6,0)*Z955)/2000,"")</f>
        <v/>
      </c>
      <c r="AB955" s="104" t="e">
        <f>IF(Z955&gt;0,((IF(OR(D955="DF",D955="RA")=TRUE,EXP(VLOOKUP(D955,'Species Codes'!B:I,8,0)+VLOOKUP(D955,'Species Codes'!B:J,9,0)*(LN((E955*2.54)))),IF(OR(D955="PY",D955="RC",D955="WH",D955="NF")=TRUE,VLOOKUP(D955,'Species Codes'!B:I,8,0)+VLOOKUP(D955,'Species Codes'!B:J,9,0)*((E955*2.54)^2)*(I955*0.3048),IF(OR(D955="MD",D955="BM",D955="GA")=TRUE,((VLOOKUP(D955,'Species Codes'!B:I,8,0)*(((((E955*2.54)+VLOOKUP(D955,'Species Codes'!B:J,9,0))/VLOOKUP(D955,'Species Codes'!B:K,10,0))^VLOOKUP(D955,'Species Codes'!B:L,11,0))*((I955*0.3048)^VLOOKUP(D955,'Species Codes'!B:M,12,0))))-(VLOOKUP(D955,'Species Codes'!B:I,8,0)*((((E955*2.54)^VLOOKUP(D955,'Species Codes'!B:L,11,0))*((I955*0.3048)^VLOOKUP(D955,'Species Codes'!B:M,12,0))))))*35.3*VLOOKUP(D955,'Species Codes'!B:G,6,0)/2.2046,VLOOKUP(D955,'Species Codes'!B:I,8,0)+VLOOKUP(D955,'Species Codes'!B:J,9,0)*(((E955*2.54)/100)^2)*(I955*0.3048)))))*0.0011023),0)</f>
        <v>#N/A</v>
      </c>
      <c r="AC955" s="104" t="e">
        <f>IF(Z955&gt;0,((IF(OR(D955="RA",D955="OA",D955="OT",D955="UN",D955="PC"),EXP(VLOOKUP(D955,'Species Codes'!B:O,14,0)+VLOOKUP(D955,'Species Codes'!B:P,15,0)*LN((E955*2.54)))-EXP(VLOOKUP(D955,'Species Codes'!B:O,14,0)+VLOOKUP(D955,'Species Codes'!B:P,15,0)*LN((E955*2.54)))*(1/(VLOOKUP(D955,'Species Codes'!B:Q,16,0)+VLOOKUP(D955,'Species Codes'!B:R,17,0)*((E955*2.54)^VLOOKUP(D955,'Species Codes'!B:S,18,0)))),IF(OR(D955="BM",D955="MD",D955="OA"),EXP(VLOOKUP(D955,'Species Codes'!B:O,14,0)+VLOOKUP(D955,'Species Codes'!B:P,15,0)*LN((E955*2.54)))*(1-(1/(VLOOKUP(D955,'Species Codes'!B:Q,16,0)+VLOOKUP(D955,'Species Codes'!B:R,17,0)*((E955*2.54)^VLOOKUP(D955,'Species Codes'!B:S,18,0)))))/1000,IF(D955="DF",EXP(VLOOKUP(D955,'Species Codes'!B:O,14,0)+VLOOKUP(D955,'Species Codes'!B:P,15,0)*LN((E955*2.54))),VLOOKUP(D955,'Species Codes'!B:O,14,0)+VLOOKUP(D955,'Species Codes'!B:P,15,0)*(((E955*2.54)/100)^2)*(I955*0.3048)))))*0.0011023),0)</f>
        <v>#N/A</v>
      </c>
      <c r="AD955" s="104" t="e">
        <f t="shared" si="436"/>
        <v>#N/A</v>
      </c>
      <c r="AE955" s="104" t="e">
        <f t="shared" si="437"/>
        <v>#N/A</v>
      </c>
      <c r="AF955" s="104" t="e">
        <f>IF(AND(VLOOKUP($D955,Merchantability!$B:$C,2,0)="Yes",$E955&gt;=VLOOKUP($D955,Merchantability!$B:$D,3,0),$E955&lt;=VLOOKUP($D955,Merchantability!$B:$E,4,0)),AA955,0)</f>
        <v>#N/A</v>
      </c>
      <c r="AG955" s="104" t="e">
        <f>IF(AND(VLOOKUP($D955,Merchantability!$B:$C,2,0)="Yes",$E955&gt;=VLOOKUP($D955,Merchantability!$B:$D,3,0),$E955&lt;=VLOOKUP($D955,Merchantability!$B:$E,4,0)),AB955,0)</f>
        <v>#N/A</v>
      </c>
      <c r="AH955" s="104" t="e">
        <f>IF(AND(VLOOKUP($D955,Merchantability!$B:$C,2,0)="Yes",$E955&gt;=VLOOKUP($D955,Merchantability!$B:$D,3,0),$E955&lt;=VLOOKUP($D955,Merchantability!$B:$E,4,0)),AC955,0)</f>
        <v>#N/A</v>
      </c>
      <c r="AI955" s="104" t="e">
        <f t="shared" si="438"/>
        <v>#N/A</v>
      </c>
      <c r="AJ955" s="104" t="e">
        <f t="shared" si="439"/>
        <v>#VALUE!</v>
      </c>
      <c r="AK955" s="104" t="e">
        <f t="shared" si="440"/>
        <v>#N/A</v>
      </c>
      <c r="AL955" s="104" t="e">
        <f t="shared" si="441"/>
        <v>#N/A</v>
      </c>
      <c r="AM955" s="104" t="e">
        <f t="shared" si="442"/>
        <v>#N/A</v>
      </c>
      <c r="AN955" s="104" t="e">
        <f t="shared" si="426"/>
        <v>#N/A</v>
      </c>
      <c r="AO955" s="104" t="e">
        <f t="shared" si="427"/>
        <v>#N/A</v>
      </c>
      <c r="AP955" s="104" t="e">
        <f t="shared" si="428"/>
        <v>#N/A</v>
      </c>
      <c r="AQ955" s="104" t="e">
        <f t="shared" si="429"/>
        <v>#N/A</v>
      </c>
      <c r="AR955" s="105" t="str">
        <f t="shared" si="421"/>
        <v/>
      </c>
      <c r="AS955" s="105" t="str">
        <f t="shared" si="422"/>
        <v/>
      </c>
      <c r="AT955" s="108" t="str">
        <f t="shared" si="423"/>
        <v/>
      </c>
      <c r="AU955" s="108" t="str">
        <f t="shared" si="424"/>
        <v/>
      </c>
      <c r="AV955" s="107" t="str">
        <f>IF(ISNUMBER(O955),IF(VLOOKUP($A955,Stand!C:J,8,FALSE)="Short",AT955,AU955),"")</f>
        <v/>
      </c>
      <c r="AW955" s="109" t="str">
        <f t="shared" si="430"/>
        <v/>
      </c>
      <c r="AX955" s="109" t="str">
        <f t="shared" si="431"/>
        <v/>
      </c>
      <c r="AY955" s="112" t="str">
        <f>IF(ISNUMBER(O955),IF(AND(VLOOKUP($D955,Merchantability!$B:$C,2,0)="Yes",$E955&gt;=VLOOKUP($D955,Merchantability!$B:$D,3,0),$E955&lt;=VLOOKUP($D955,Merchantability!$B:$E,4,0)),(AV955*O955)*(1-$H955/100),""),"")</f>
        <v/>
      </c>
      <c r="AZ955" s="116"/>
      <c r="BA955" s="116"/>
      <c r="BB955" s="116"/>
      <c r="BE955" s="62"/>
      <c r="BF955" s="63"/>
    </row>
    <row r="956" spans="1:58" ht="12.75" customHeight="1" x14ac:dyDescent="0.25">
      <c r="A956" s="313"/>
      <c r="B956" s="328"/>
      <c r="C956" s="329"/>
      <c r="D956" s="328"/>
      <c r="E956" s="330"/>
      <c r="F956" s="328"/>
      <c r="G956" s="329"/>
      <c r="H956" s="329"/>
      <c r="I956" s="328"/>
      <c r="J956" s="383"/>
      <c r="K956" s="329"/>
      <c r="L956" s="329"/>
      <c r="M956" s="76"/>
      <c r="N956" s="103" t="str">
        <f>IF(A956="","",VLOOKUP(A956,Stand!C:K,9,0))</f>
        <v/>
      </c>
      <c r="O956" s="104" t="str">
        <f t="shared" si="416"/>
        <v/>
      </c>
      <c r="P956" s="105" t="str">
        <f t="shared" si="417"/>
        <v/>
      </c>
      <c r="Q956" s="105" t="str">
        <f t="shared" si="432"/>
        <v/>
      </c>
      <c r="R956" s="103" t="str">
        <f t="shared" si="418"/>
        <v/>
      </c>
      <c r="S956" s="103" t="str">
        <f t="shared" si="419"/>
        <v/>
      </c>
      <c r="T956" s="106" t="str">
        <f t="shared" si="433"/>
        <v/>
      </c>
      <c r="U956" s="106" t="str">
        <f t="shared" si="434"/>
        <v/>
      </c>
      <c r="V956" s="106" t="str">
        <f t="shared" si="435"/>
        <v/>
      </c>
      <c r="W956" s="105" t="str">
        <f t="shared" si="420"/>
        <v/>
      </c>
      <c r="X956" s="104" t="str">
        <f t="shared" si="425"/>
        <v/>
      </c>
      <c r="Y956" s="104" t="str">
        <f t="array" ref="Y956">IFERROR(IF(ISNUMBER(O956),IF(COUNT(IF(A956=$A$2:$A$2427,IF(D956=$D$2:$D$2427,IF($X$2:$X$2427&gt;0,1))))&gt;0,SUM(IF(A956=$A$2:$A$2427,IF(D956=$D$2:$D$2427,$X$2:$X$2427)))/COUNT(IF(A956=$A$2:$A$2427,IF(D956=$D$2:$D$2427,IF(ISNUMBER($X$2:$X$2427),1)))),0),""),0)</f>
        <v/>
      </c>
      <c r="Z956" s="104" t="str">
        <f>IF(ISNUMBER(O956),IF(I956&gt;0,(10^(VLOOKUP(D956,'Species Codes'!B:C,2,0)+VLOOKUP(D956,'Species Codes'!B:D,3,0)*LOG(E956)+VLOOKUP(D956,'Species Codes'!B:E,4,0)*LOG(I956))),0),"")</f>
        <v/>
      </c>
      <c r="AA956" s="104" t="str">
        <f>IFERROR((VLOOKUP(D956,'Species Codes'!B:G,6,0)*Z956)/2000,"")</f>
        <v/>
      </c>
      <c r="AB956" s="104" t="e">
        <f>IF(Z956&gt;0,((IF(OR(D956="DF",D956="RA")=TRUE,EXP(VLOOKUP(D956,'Species Codes'!B:I,8,0)+VLOOKUP(D956,'Species Codes'!B:J,9,0)*(LN((E956*2.54)))),IF(OR(D956="PY",D956="RC",D956="WH",D956="NF")=TRUE,VLOOKUP(D956,'Species Codes'!B:I,8,0)+VLOOKUP(D956,'Species Codes'!B:J,9,0)*((E956*2.54)^2)*(I956*0.3048),IF(OR(D956="MD",D956="BM",D956="GA")=TRUE,((VLOOKUP(D956,'Species Codes'!B:I,8,0)*(((((E956*2.54)+VLOOKUP(D956,'Species Codes'!B:J,9,0))/VLOOKUP(D956,'Species Codes'!B:K,10,0))^VLOOKUP(D956,'Species Codes'!B:L,11,0))*((I956*0.3048)^VLOOKUP(D956,'Species Codes'!B:M,12,0))))-(VLOOKUP(D956,'Species Codes'!B:I,8,0)*((((E956*2.54)^VLOOKUP(D956,'Species Codes'!B:L,11,0))*((I956*0.3048)^VLOOKUP(D956,'Species Codes'!B:M,12,0))))))*35.3*VLOOKUP(D956,'Species Codes'!B:G,6,0)/2.2046,VLOOKUP(D956,'Species Codes'!B:I,8,0)+VLOOKUP(D956,'Species Codes'!B:J,9,0)*(((E956*2.54)/100)^2)*(I956*0.3048)))))*0.0011023),0)</f>
        <v>#N/A</v>
      </c>
      <c r="AC956" s="104" t="e">
        <f>IF(Z956&gt;0,((IF(OR(D956="RA",D956="OA",D956="OT",D956="UN",D956="PC"),EXP(VLOOKUP(D956,'Species Codes'!B:O,14,0)+VLOOKUP(D956,'Species Codes'!B:P,15,0)*LN((E956*2.54)))-EXP(VLOOKUP(D956,'Species Codes'!B:O,14,0)+VLOOKUP(D956,'Species Codes'!B:P,15,0)*LN((E956*2.54)))*(1/(VLOOKUP(D956,'Species Codes'!B:Q,16,0)+VLOOKUP(D956,'Species Codes'!B:R,17,0)*((E956*2.54)^VLOOKUP(D956,'Species Codes'!B:S,18,0)))),IF(OR(D956="BM",D956="MD",D956="OA"),EXP(VLOOKUP(D956,'Species Codes'!B:O,14,0)+VLOOKUP(D956,'Species Codes'!B:P,15,0)*LN((E956*2.54)))*(1-(1/(VLOOKUP(D956,'Species Codes'!B:Q,16,0)+VLOOKUP(D956,'Species Codes'!B:R,17,0)*((E956*2.54)^VLOOKUP(D956,'Species Codes'!B:S,18,0)))))/1000,IF(D956="DF",EXP(VLOOKUP(D956,'Species Codes'!B:O,14,0)+VLOOKUP(D956,'Species Codes'!B:P,15,0)*LN((E956*2.54))),VLOOKUP(D956,'Species Codes'!B:O,14,0)+VLOOKUP(D956,'Species Codes'!B:P,15,0)*(((E956*2.54)/100)^2)*(I956*0.3048)))))*0.0011023),0)</f>
        <v>#N/A</v>
      </c>
      <c r="AD956" s="104" t="e">
        <f t="shared" si="436"/>
        <v>#N/A</v>
      </c>
      <c r="AE956" s="104" t="e">
        <f t="shared" si="437"/>
        <v>#N/A</v>
      </c>
      <c r="AF956" s="104" t="e">
        <f>IF(AND(VLOOKUP($D956,Merchantability!$B:$C,2,0)="Yes",$E956&gt;=VLOOKUP($D956,Merchantability!$B:$D,3,0),$E956&lt;=VLOOKUP($D956,Merchantability!$B:$E,4,0)),AA956,0)</f>
        <v>#N/A</v>
      </c>
      <c r="AG956" s="104" t="e">
        <f>IF(AND(VLOOKUP($D956,Merchantability!$B:$C,2,0)="Yes",$E956&gt;=VLOOKUP($D956,Merchantability!$B:$D,3,0),$E956&lt;=VLOOKUP($D956,Merchantability!$B:$E,4,0)),AB956,0)</f>
        <v>#N/A</v>
      </c>
      <c r="AH956" s="104" t="e">
        <f>IF(AND(VLOOKUP($D956,Merchantability!$B:$C,2,0)="Yes",$E956&gt;=VLOOKUP($D956,Merchantability!$B:$D,3,0),$E956&lt;=VLOOKUP($D956,Merchantability!$B:$E,4,0)),AC956,0)</f>
        <v>#N/A</v>
      </c>
      <c r="AI956" s="104" t="e">
        <f t="shared" si="438"/>
        <v>#N/A</v>
      </c>
      <c r="AJ956" s="104" t="e">
        <f t="shared" si="439"/>
        <v>#VALUE!</v>
      </c>
      <c r="AK956" s="104" t="e">
        <f t="shared" si="440"/>
        <v>#N/A</v>
      </c>
      <c r="AL956" s="104" t="e">
        <f t="shared" si="441"/>
        <v>#N/A</v>
      </c>
      <c r="AM956" s="104" t="e">
        <f t="shared" si="442"/>
        <v>#N/A</v>
      </c>
      <c r="AN956" s="104" t="e">
        <f t="shared" si="426"/>
        <v>#N/A</v>
      </c>
      <c r="AO956" s="104" t="e">
        <f t="shared" si="427"/>
        <v>#N/A</v>
      </c>
      <c r="AP956" s="104" t="e">
        <f t="shared" si="428"/>
        <v>#N/A</v>
      </c>
      <c r="AQ956" s="104" t="e">
        <f t="shared" si="429"/>
        <v>#N/A</v>
      </c>
      <c r="AR956" s="105" t="str">
        <f t="shared" si="421"/>
        <v/>
      </c>
      <c r="AS956" s="105" t="str">
        <f t="shared" si="422"/>
        <v/>
      </c>
      <c r="AT956" s="108" t="str">
        <f t="shared" si="423"/>
        <v/>
      </c>
      <c r="AU956" s="108" t="str">
        <f t="shared" si="424"/>
        <v/>
      </c>
      <c r="AV956" s="107" t="str">
        <f>IF(ISNUMBER(O956),IF(VLOOKUP($A956,Stand!C:J,8,FALSE)="Short",AT956,AU956),"")</f>
        <v/>
      </c>
      <c r="AW956" s="109" t="str">
        <f t="shared" si="430"/>
        <v/>
      </c>
      <c r="AX956" s="109" t="str">
        <f t="shared" si="431"/>
        <v/>
      </c>
      <c r="AY956" s="112" t="str">
        <f>IF(ISNUMBER(O956),IF(AND(VLOOKUP($D956,Merchantability!$B:$C,2,0)="Yes",$E956&gt;=VLOOKUP($D956,Merchantability!$B:$D,3,0),$E956&lt;=VLOOKUP($D956,Merchantability!$B:$E,4,0)),(AV956*O956)*(1-$H956/100),""),"")</f>
        <v/>
      </c>
      <c r="AZ956" s="116"/>
      <c r="BA956" s="116"/>
      <c r="BB956" s="116"/>
      <c r="BE956" s="62"/>
      <c r="BF956" s="63"/>
    </row>
    <row r="957" spans="1:58" ht="12.75" customHeight="1" x14ac:dyDescent="0.25">
      <c r="A957" s="313"/>
      <c r="B957" s="328"/>
      <c r="C957" s="329"/>
      <c r="D957" s="328"/>
      <c r="E957" s="330"/>
      <c r="F957" s="328"/>
      <c r="G957" s="329"/>
      <c r="H957" s="329"/>
      <c r="I957" s="328"/>
      <c r="J957" s="383"/>
      <c r="K957" s="329"/>
      <c r="L957" s="329"/>
      <c r="M957" s="76"/>
      <c r="N957" s="103" t="str">
        <f>IF(A957="","",VLOOKUP(A957,Stand!C:K,9,0))</f>
        <v/>
      </c>
      <c r="O957" s="104" t="str">
        <f t="shared" si="416"/>
        <v/>
      </c>
      <c r="P957" s="105" t="str">
        <f t="shared" si="417"/>
        <v/>
      </c>
      <c r="Q957" s="105" t="str">
        <f t="shared" si="432"/>
        <v/>
      </c>
      <c r="R957" s="103" t="str">
        <f t="shared" si="418"/>
        <v/>
      </c>
      <c r="S957" s="103" t="str">
        <f t="shared" si="419"/>
        <v/>
      </c>
      <c r="T957" s="106" t="str">
        <f t="shared" si="433"/>
        <v/>
      </c>
      <c r="U957" s="106" t="str">
        <f t="shared" si="434"/>
        <v/>
      </c>
      <c r="V957" s="106" t="str">
        <f t="shared" si="435"/>
        <v/>
      </c>
      <c r="W957" s="105" t="str">
        <f t="shared" si="420"/>
        <v/>
      </c>
      <c r="X957" s="104" t="str">
        <f t="shared" si="425"/>
        <v/>
      </c>
      <c r="Y957" s="104" t="str">
        <f t="array" ref="Y957">IFERROR(IF(ISNUMBER(O957),IF(COUNT(IF(A957=$A$2:$A$2427,IF(D957=$D$2:$D$2427,IF($X$2:$X$2427&gt;0,1))))&gt;0,SUM(IF(A957=$A$2:$A$2427,IF(D957=$D$2:$D$2427,$X$2:$X$2427)))/COUNT(IF(A957=$A$2:$A$2427,IF(D957=$D$2:$D$2427,IF(ISNUMBER($X$2:$X$2427),1)))),0),""),0)</f>
        <v/>
      </c>
      <c r="Z957" s="104" t="str">
        <f>IF(ISNUMBER(O957),IF(I957&gt;0,(10^(VLOOKUP(D957,'Species Codes'!B:C,2,0)+VLOOKUP(D957,'Species Codes'!B:D,3,0)*LOG(E957)+VLOOKUP(D957,'Species Codes'!B:E,4,0)*LOG(I957))),0),"")</f>
        <v/>
      </c>
      <c r="AA957" s="104" t="str">
        <f>IFERROR((VLOOKUP(D957,'Species Codes'!B:G,6,0)*Z957)/2000,"")</f>
        <v/>
      </c>
      <c r="AB957" s="104" t="e">
        <f>IF(Z957&gt;0,((IF(OR(D957="DF",D957="RA")=TRUE,EXP(VLOOKUP(D957,'Species Codes'!B:I,8,0)+VLOOKUP(D957,'Species Codes'!B:J,9,0)*(LN((E957*2.54)))),IF(OR(D957="PY",D957="RC",D957="WH",D957="NF")=TRUE,VLOOKUP(D957,'Species Codes'!B:I,8,0)+VLOOKUP(D957,'Species Codes'!B:J,9,0)*((E957*2.54)^2)*(I957*0.3048),IF(OR(D957="MD",D957="BM",D957="GA")=TRUE,((VLOOKUP(D957,'Species Codes'!B:I,8,0)*(((((E957*2.54)+VLOOKUP(D957,'Species Codes'!B:J,9,0))/VLOOKUP(D957,'Species Codes'!B:K,10,0))^VLOOKUP(D957,'Species Codes'!B:L,11,0))*((I957*0.3048)^VLOOKUP(D957,'Species Codes'!B:M,12,0))))-(VLOOKUP(D957,'Species Codes'!B:I,8,0)*((((E957*2.54)^VLOOKUP(D957,'Species Codes'!B:L,11,0))*((I957*0.3048)^VLOOKUP(D957,'Species Codes'!B:M,12,0))))))*35.3*VLOOKUP(D957,'Species Codes'!B:G,6,0)/2.2046,VLOOKUP(D957,'Species Codes'!B:I,8,0)+VLOOKUP(D957,'Species Codes'!B:J,9,0)*(((E957*2.54)/100)^2)*(I957*0.3048)))))*0.0011023),0)</f>
        <v>#N/A</v>
      </c>
      <c r="AC957" s="104" t="e">
        <f>IF(Z957&gt;0,((IF(OR(D957="RA",D957="OA",D957="OT",D957="UN",D957="PC"),EXP(VLOOKUP(D957,'Species Codes'!B:O,14,0)+VLOOKUP(D957,'Species Codes'!B:P,15,0)*LN((E957*2.54)))-EXP(VLOOKUP(D957,'Species Codes'!B:O,14,0)+VLOOKUP(D957,'Species Codes'!B:P,15,0)*LN((E957*2.54)))*(1/(VLOOKUP(D957,'Species Codes'!B:Q,16,0)+VLOOKUP(D957,'Species Codes'!B:R,17,0)*((E957*2.54)^VLOOKUP(D957,'Species Codes'!B:S,18,0)))),IF(OR(D957="BM",D957="MD",D957="OA"),EXP(VLOOKUP(D957,'Species Codes'!B:O,14,0)+VLOOKUP(D957,'Species Codes'!B:P,15,0)*LN((E957*2.54)))*(1-(1/(VLOOKUP(D957,'Species Codes'!B:Q,16,0)+VLOOKUP(D957,'Species Codes'!B:R,17,0)*((E957*2.54)^VLOOKUP(D957,'Species Codes'!B:S,18,0)))))/1000,IF(D957="DF",EXP(VLOOKUP(D957,'Species Codes'!B:O,14,0)+VLOOKUP(D957,'Species Codes'!B:P,15,0)*LN((E957*2.54))),VLOOKUP(D957,'Species Codes'!B:O,14,0)+VLOOKUP(D957,'Species Codes'!B:P,15,0)*(((E957*2.54)/100)^2)*(I957*0.3048)))))*0.0011023),0)</f>
        <v>#N/A</v>
      </c>
      <c r="AD957" s="104" t="e">
        <f t="shared" si="436"/>
        <v>#N/A</v>
      </c>
      <c r="AE957" s="104" t="e">
        <f t="shared" si="437"/>
        <v>#N/A</v>
      </c>
      <c r="AF957" s="104" t="e">
        <f>IF(AND(VLOOKUP($D957,Merchantability!$B:$C,2,0)="Yes",$E957&gt;=VLOOKUP($D957,Merchantability!$B:$D,3,0),$E957&lt;=VLOOKUP($D957,Merchantability!$B:$E,4,0)),AA957,0)</f>
        <v>#N/A</v>
      </c>
      <c r="AG957" s="104" t="e">
        <f>IF(AND(VLOOKUP($D957,Merchantability!$B:$C,2,0)="Yes",$E957&gt;=VLOOKUP($D957,Merchantability!$B:$D,3,0),$E957&lt;=VLOOKUP($D957,Merchantability!$B:$E,4,0)),AB957,0)</f>
        <v>#N/A</v>
      </c>
      <c r="AH957" s="104" t="e">
        <f>IF(AND(VLOOKUP($D957,Merchantability!$B:$C,2,0)="Yes",$E957&gt;=VLOOKUP($D957,Merchantability!$B:$D,3,0),$E957&lt;=VLOOKUP($D957,Merchantability!$B:$E,4,0)),AC957,0)</f>
        <v>#N/A</v>
      </c>
      <c r="AI957" s="104" t="e">
        <f t="shared" si="438"/>
        <v>#N/A</v>
      </c>
      <c r="AJ957" s="104" t="e">
        <f t="shared" si="439"/>
        <v>#VALUE!</v>
      </c>
      <c r="AK957" s="104" t="e">
        <f t="shared" si="440"/>
        <v>#N/A</v>
      </c>
      <c r="AL957" s="104" t="e">
        <f t="shared" si="441"/>
        <v>#N/A</v>
      </c>
      <c r="AM957" s="104" t="e">
        <f t="shared" si="442"/>
        <v>#N/A</v>
      </c>
      <c r="AN957" s="104" t="e">
        <f t="shared" si="426"/>
        <v>#N/A</v>
      </c>
      <c r="AO957" s="104" t="e">
        <f t="shared" si="427"/>
        <v>#N/A</v>
      </c>
      <c r="AP957" s="104" t="e">
        <f t="shared" si="428"/>
        <v>#N/A</v>
      </c>
      <c r="AQ957" s="104" t="e">
        <f t="shared" si="429"/>
        <v>#N/A</v>
      </c>
      <c r="AR957" s="105" t="str">
        <f t="shared" si="421"/>
        <v/>
      </c>
      <c r="AS957" s="105" t="str">
        <f t="shared" si="422"/>
        <v/>
      </c>
      <c r="AT957" s="108" t="str">
        <f t="shared" si="423"/>
        <v/>
      </c>
      <c r="AU957" s="108" t="str">
        <f t="shared" si="424"/>
        <v/>
      </c>
      <c r="AV957" s="107" t="str">
        <f>IF(ISNUMBER(O957),IF(VLOOKUP($A957,Stand!C:J,8,FALSE)="Short",AT957,AU957),"")</f>
        <v/>
      </c>
      <c r="AW957" s="109" t="str">
        <f t="shared" si="430"/>
        <v/>
      </c>
      <c r="AX957" s="109" t="str">
        <f t="shared" si="431"/>
        <v/>
      </c>
      <c r="AY957" s="112" t="str">
        <f>IF(ISNUMBER(O957),IF(AND(VLOOKUP($D957,Merchantability!$B:$C,2,0)="Yes",$E957&gt;=VLOOKUP($D957,Merchantability!$B:$D,3,0),$E957&lt;=VLOOKUP($D957,Merchantability!$B:$E,4,0)),(AV957*O957)*(1-$H957/100),""),"")</f>
        <v/>
      </c>
      <c r="AZ957" s="116"/>
      <c r="BA957" s="116"/>
      <c r="BB957" s="116"/>
      <c r="BE957" s="62"/>
      <c r="BF957" s="63"/>
    </row>
    <row r="958" spans="1:58" ht="12.75" customHeight="1" x14ac:dyDescent="0.25">
      <c r="A958" s="313"/>
      <c r="B958" s="328"/>
      <c r="C958" s="329"/>
      <c r="D958" s="328"/>
      <c r="E958" s="330"/>
      <c r="F958" s="328"/>
      <c r="G958" s="329"/>
      <c r="H958" s="329"/>
      <c r="I958" s="328"/>
      <c r="J958" s="383"/>
      <c r="K958" s="329"/>
      <c r="L958" s="329"/>
      <c r="M958" s="76"/>
      <c r="N958" s="103" t="str">
        <f>IF(A958="","",VLOOKUP(A958,Stand!C:K,9,0))</f>
        <v/>
      </c>
      <c r="O958" s="104" t="str">
        <f t="shared" si="416"/>
        <v/>
      </c>
      <c r="P958" s="105" t="str">
        <f t="shared" si="417"/>
        <v/>
      </c>
      <c r="Q958" s="105" t="str">
        <f t="shared" si="432"/>
        <v/>
      </c>
      <c r="R958" s="103" t="str">
        <f t="shared" si="418"/>
        <v/>
      </c>
      <c r="S958" s="103" t="str">
        <f t="shared" si="419"/>
        <v/>
      </c>
      <c r="T958" s="106" t="str">
        <f t="shared" si="433"/>
        <v/>
      </c>
      <c r="U958" s="106" t="str">
        <f t="shared" si="434"/>
        <v/>
      </c>
      <c r="V958" s="106" t="str">
        <f t="shared" si="435"/>
        <v/>
      </c>
      <c r="W958" s="105" t="str">
        <f t="shared" si="420"/>
        <v/>
      </c>
      <c r="X958" s="104" t="str">
        <f t="shared" si="425"/>
        <v/>
      </c>
      <c r="Y958" s="104" t="str">
        <f t="array" ref="Y958">IFERROR(IF(ISNUMBER(O958),IF(COUNT(IF(A958=$A$2:$A$2427,IF(D958=$D$2:$D$2427,IF($X$2:$X$2427&gt;0,1))))&gt;0,SUM(IF(A958=$A$2:$A$2427,IF(D958=$D$2:$D$2427,$X$2:$X$2427)))/COUNT(IF(A958=$A$2:$A$2427,IF(D958=$D$2:$D$2427,IF(ISNUMBER($X$2:$X$2427),1)))),0),""),0)</f>
        <v/>
      </c>
      <c r="Z958" s="104" t="str">
        <f>IF(ISNUMBER(O958),IF(I958&gt;0,(10^(VLOOKUP(D958,'Species Codes'!B:C,2,0)+VLOOKUP(D958,'Species Codes'!B:D,3,0)*LOG(E958)+VLOOKUP(D958,'Species Codes'!B:E,4,0)*LOG(I958))),0),"")</f>
        <v/>
      </c>
      <c r="AA958" s="104" t="str">
        <f>IFERROR((VLOOKUP(D958,'Species Codes'!B:G,6,0)*Z958)/2000,"")</f>
        <v/>
      </c>
      <c r="AB958" s="104" t="e">
        <f>IF(Z958&gt;0,((IF(OR(D958="DF",D958="RA")=TRUE,EXP(VLOOKUP(D958,'Species Codes'!B:I,8,0)+VLOOKUP(D958,'Species Codes'!B:J,9,0)*(LN((E958*2.54)))),IF(OR(D958="PY",D958="RC",D958="WH",D958="NF")=TRUE,VLOOKUP(D958,'Species Codes'!B:I,8,0)+VLOOKUP(D958,'Species Codes'!B:J,9,0)*((E958*2.54)^2)*(I958*0.3048),IF(OR(D958="MD",D958="BM",D958="GA")=TRUE,((VLOOKUP(D958,'Species Codes'!B:I,8,0)*(((((E958*2.54)+VLOOKUP(D958,'Species Codes'!B:J,9,0))/VLOOKUP(D958,'Species Codes'!B:K,10,0))^VLOOKUP(D958,'Species Codes'!B:L,11,0))*((I958*0.3048)^VLOOKUP(D958,'Species Codes'!B:M,12,0))))-(VLOOKUP(D958,'Species Codes'!B:I,8,0)*((((E958*2.54)^VLOOKUP(D958,'Species Codes'!B:L,11,0))*((I958*0.3048)^VLOOKUP(D958,'Species Codes'!B:M,12,0))))))*35.3*VLOOKUP(D958,'Species Codes'!B:G,6,0)/2.2046,VLOOKUP(D958,'Species Codes'!B:I,8,0)+VLOOKUP(D958,'Species Codes'!B:J,9,0)*(((E958*2.54)/100)^2)*(I958*0.3048)))))*0.0011023),0)</f>
        <v>#N/A</v>
      </c>
      <c r="AC958" s="104" t="e">
        <f>IF(Z958&gt;0,((IF(OR(D958="RA",D958="OA",D958="OT",D958="UN",D958="PC"),EXP(VLOOKUP(D958,'Species Codes'!B:O,14,0)+VLOOKUP(D958,'Species Codes'!B:P,15,0)*LN((E958*2.54)))-EXP(VLOOKUP(D958,'Species Codes'!B:O,14,0)+VLOOKUP(D958,'Species Codes'!B:P,15,0)*LN((E958*2.54)))*(1/(VLOOKUP(D958,'Species Codes'!B:Q,16,0)+VLOOKUP(D958,'Species Codes'!B:R,17,0)*((E958*2.54)^VLOOKUP(D958,'Species Codes'!B:S,18,0)))),IF(OR(D958="BM",D958="MD",D958="OA"),EXP(VLOOKUP(D958,'Species Codes'!B:O,14,0)+VLOOKUP(D958,'Species Codes'!B:P,15,0)*LN((E958*2.54)))*(1-(1/(VLOOKUP(D958,'Species Codes'!B:Q,16,0)+VLOOKUP(D958,'Species Codes'!B:R,17,0)*((E958*2.54)^VLOOKUP(D958,'Species Codes'!B:S,18,0)))))/1000,IF(D958="DF",EXP(VLOOKUP(D958,'Species Codes'!B:O,14,0)+VLOOKUP(D958,'Species Codes'!B:P,15,0)*LN((E958*2.54))),VLOOKUP(D958,'Species Codes'!B:O,14,0)+VLOOKUP(D958,'Species Codes'!B:P,15,0)*(((E958*2.54)/100)^2)*(I958*0.3048)))))*0.0011023),0)</f>
        <v>#N/A</v>
      </c>
      <c r="AD958" s="104" t="e">
        <f t="shared" si="436"/>
        <v>#N/A</v>
      </c>
      <c r="AE958" s="104" t="e">
        <f t="shared" si="437"/>
        <v>#N/A</v>
      </c>
      <c r="AF958" s="104" t="e">
        <f>IF(AND(VLOOKUP($D958,Merchantability!$B:$C,2,0)="Yes",$E958&gt;=VLOOKUP($D958,Merchantability!$B:$D,3,0),$E958&lt;=VLOOKUP($D958,Merchantability!$B:$E,4,0)),AA958,0)</f>
        <v>#N/A</v>
      </c>
      <c r="AG958" s="104" t="e">
        <f>IF(AND(VLOOKUP($D958,Merchantability!$B:$C,2,0)="Yes",$E958&gt;=VLOOKUP($D958,Merchantability!$B:$D,3,0),$E958&lt;=VLOOKUP($D958,Merchantability!$B:$E,4,0)),AB958,0)</f>
        <v>#N/A</v>
      </c>
      <c r="AH958" s="104" t="e">
        <f>IF(AND(VLOOKUP($D958,Merchantability!$B:$C,2,0)="Yes",$E958&gt;=VLOOKUP($D958,Merchantability!$B:$D,3,0),$E958&lt;=VLOOKUP($D958,Merchantability!$B:$E,4,0)),AC958,0)</f>
        <v>#N/A</v>
      </c>
      <c r="AI958" s="104" t="e">
        <f t="shared" si="438"/>
        <v>#N/A</v>
      </c>
      <c r="AJ958" s="104" t="e">
        <f t="shared" si="439"/>
        <v>#VALUE!</v>
      </c>
      <c r="AK958" s="104" t="e">
        <f t="shared" si="440"/>
        <v>#N/A</v>
      </c>
      <c r="AL958" s="104" t="e">
        <f t="shared" si="441"/>
        <v>#N/A</v>
      </c>
      <c r="AM958" s="104" t="e">
        <f t="shared" si="442"/>
        <v>#N/A</v>
      </c>
      <c r="AN958" s="104" t="e">
        <f t="shared" si="426"/>
        <v>#N/A</v>
      </c>
      <c r="AO958" s="104" t="e">
        <f t="shared" si="427"/>
        <v>#N/A</v>
      </c>
      <c r="AP958" s="104" t="e">
        <f t="shared" si="428"/>
        <v>#N/A</v>
      </c>
      <c r="AQ958" s="104" t="e">
        <f t="shared" si="429"/>
        <v>#N/A</v>
      </c>
      <c r="AR958" s="105" t="str">
        <f t="shared" si="421"/>
        <v/>
      </c>
      <c r="AS958" s="105" t="str">
        <f t="shared" si="422"/>
        <v/>
      </c>
      <c r="AT958" s="108" t="str">
        <f t="shared" si="423"/>
        <v/>
      </c>
      <c r="AU958" s="108" t="str">
        <f t="shared" si="424"/>
        <v/>
      </c>
      <c r="AV958" s="107" t="str">
        <f>IF(ISNUMBER(O958),IF(VLOOKUP($A958,Stand!C:J,8,FALSE)="Short",AT958,AU958),"")</f>
        <v/>
      </c>
      <c r="AW958" s="109" t="str">
        <f t="shared" si="430"/>
        <v/>
      </c>
      <c r="AX958" s="109" t="str">
        <f t="shared" si="431"/>
        <v/>
      </c>
      <c r="AY958" s="112" t="str">
        <f>IF(ISNUMBER(O958),IF(AND(VLOOKUP($D958,Merchantability!$B:$C,2,0)="Yes",$E958&gt;=VLOOKUP($D958,Merchantability!$B:$D,3,0),$E958&lt;=VLOOKUP($D958,Merchantability!$B:$E,4,0)),(AV958*O958)*(1-$H958/100),""),"")</f>
        <v/>
      </c>
      <c r="AZ958" s="116"/>
      <c r="BA958" s="116"/>
      <c r="BB958" s="116"/>
      <c r="BE958" s="62"/>
      <c r="BF958" s="63"/>
    </row>
    <row r="959" spans="1:58" ht="12.75" customHeight="1" x14ac:dyDescent="0.25">
      <c r="A959" s="313"/>
      <c r="B959" s="328"/>
      <c r="C959" s="329"/>
      <c r="D959" s="328"/>
      <c r="E959" s="330"/>
      <c r="F959" s="328"/>
      <c r="G959" s="329"/>
      <c r="H959" s="329"/>
      <c r="I959" s="328"/>
      <c r="J959" s="383"/>
      <c r="K959" s="329"/>
      <c r="L959" s="329"/>
      <c r="M959" s="76"/>
      <c r="N959" s="103" t="str">
        <f>IF(A959="","",VLOOKUP(A959,Stand!C:K,9,0))</f>
        <v/>
      </c>
      <c r="O959" s="104" t="str">
        <f t="shared" si="416"/>
        <v/>
      </c>
      <c r="P959" s="105" t="str">
        <f t="shared" si="417"/>
        <v/>
      </c>
      <c r="Q959" s="105" t="str">
        <f t="shared" si="432"/>
        <v/>
      </c>
      <c r="R959" s="103" t="str">
        <f t="shared" si="418"/>
        <v/>
      </c>
      <c r="S959" s="103" t="str">
        <f t="shared" si="419"/>
        <v/>
      </c>
      <c r="T959" s="106" t="str">
        <f t="shared" si="433"/>
        <v/>
      </c>
      <c r="U959" s="106" t="str">
        <f t="shared" si="434"/>
        <v/>
      </c>
      <c r="V959" s="106" t="str">
        <f t="shared" si="435"/>
        <v/>
      </c>
      <c r="W959" s="105" t="str">
        <f t="shared" si="420"/>
        <v/>
      </c>
      <c r="X959" s="104" t="str">
        <f t="shared" si="425"/>
        <v/>
      </c>
      <c r="Y959" s="104" t="str">
        <f t="array" ref="Y959">IFERROR(IF(ISNUMBER(O959),IF(COUNT(IF(A959=$A$2:$A$2427,IF(D959=$D$2:$D$2427,IF($X$2:$X$2427&gt;0,1))))&gt;0,SUM(IF(A959=$A$2:$A$2427,IF(D959=$D$2:$D$2427,$X$2:$X$2427)))/COUNT(IF(A959=$A$2:$A$2427,IF(D959=$D$2:$D$2427,IF(ISNUMBER($X$2:$X$2427),1)))),0),""),0)</f>
        <v/>
      </c>
      <c r="Z959" s="104" t="str">
        <f>IF(ISNUMBER(O959),IF(I959&gt;0,(10^(VLOOKUP(D959,'Species Codes'!B:C,2,0)+VLOOKUP(D959,'Species Codes'!B:D,3,0)*LOG(E959)+VLOOKUP(D959,'Species Codes'!B:E,4,0)*LOG(I959))),0),"")</f>
        <v/>
      </c>
      <c r="AA959" s="104" t="str">
        <f>IFERROR((VLOOKUP(D959,'Species Codes'!B:G,6,0)*Z959)/2000,"")</f>
        <v/>
      </c>
      <c r="AB959" s="104" t="e">
        <f>IF(Z959&gt;0,((IF(OR(D959="DF",D959="RA")=TRUE,EXP(VLOOKUP(D959,'Species Codes'!B:I,8,0)+VLOOKUP(D959,'Species Codes'!B:J,9,0)*(LN((E959*2.54)))),IF(OR(D959="PY",D959="RC",D959="WH",D959="NF")=TRUE,VLOOKUP(D959,'Species Codes'!B:I,8,0)+VLOOKUP(D959,'Species Codes'!B:J,9,0)*((E959*2.54)^2)*(I959*0.3048),IF(OR(D959="MD",D959="BM",D959="GA")=TRUE,((VLOOKUP(D959,'Species Codes'!B:I,8,0)*(((((E959*2.54)+VLOOKUP(D959,'Species Codes'!B:J,9,0))/VLOOKUP(D959,'Species Codes'!B:K,10,0))^VLOOKUP(D959,'Species Codes'!B:L,11,0))*((I959*0.3048)^VLOOKUP(D959,'Species Codes'!B:M,12,0))))-(VLOOKUP(D959,'Species Codes'!B:I,8,0)*((((E959*2.54)^VLOOKUP(D959,'Species Codes'!B:L,11,0))*((I959*0.3048)^VLOOKUP(D959,'Species Codes'!B:M,12,0))))))*35.3*VLOOKUP(D959,'Species Codes'!B:G,6,0)/2.2046,VLOOKUP(D959,'Species Codes'!B:I,8,0)+VLOOKUP(D959,'Species Codes'!B:J,9,0)*(((E959*2.54)/100)^2)*(I959*0.3048)))))*0.0011023),0)</f>
        <v>#N/A</v>
      </c>
      <c r="AC959" s="104" t="e">
        <f>IF(Z959&gt;0,((IF(OR(D959="RA",D959="OA",D959="OT",D959="UN",D959="PC"),EXP(VLOOKUP(D959,'Species Codes'!B:O,14,0)+VLOOKUP(D959,'Species Codes'!B:P,15,0)*LN((E959*2.54)))-EXP(VLOOKUP(D959,'Species Codes'!B:O,14,0)+VLOOKUP(D959,'Species Codes'!B:P,15,0)*LN((E959*2.54)))*(1/(VLOOKUP(D959,'Species Codes'!B:Q,16,0)+VLOOKUP(D959,'Species Codes'!B:R,17,0)*((E959*2.54)^VLOOKUP(D959,'Species Codes'!B:S,18,0)))),IF(OR(D959="BM",D959="MD",D959="OA"),EXP(VLOOKUP(D959,'Species Codes'!B:O,14,0)+VLOOKUP(D959,'Species Codes'!B:P,15,0)*LN((E959*2.54)))*(1-(1/(VLOOKUP(D959,'Species Codes'!B:Q,16,0)+VLOOKUP(D959,'Species Codes'!B:R,17,0)*((E959*2.54)^VLOOKUP(D959,'Species Codes'!B:S,18,0)))))/1000,IF(D959="DF",EXP(VLOOKUP(D959,'Species Codes'!B:O,14,0)+VLOOKUP(D959,'Species Codes'!B:P,15,0)*LN((E959*2.54))),VLOOKUP(D959,'Species Codes'!B:O,14,0)+VLOOKUP(D959,'Species Codes'!B:P,15,0)*(((E959*2.54)/100)^2)*(I959*0.3048)))))*0.0011023),0)</f>
        <v>#N/A</v>
      </c>
      <c r="AD959" s="104" t="e">
        <f t="shared" si="436"/>
        <v>#N/A</v>
      </c>
      <c r="AE959" s="104" t="e">
        <f t="shared" si="437"/>
        <v>#N/A</v>
      </c>
      <c r="AF959" s="104" t="e">
        <f>IF(AND(VLOOKUP($D959,Merchantability!$B:$C,2,0)="Yes",$E959&gt;=VLOOKUP($D959,Merchantability!$B:$D,3,0),$E959&lt;=VLOOKUP($D959,Merchantability!$B:$E,4,0)),AA959,0)</f>
        <v>#N/A</v>
      </c>
      <c r="AG959" s="104" t="e">
        <f>IF(AND(VLOOKUP($D959,Merchantability!$B:$C,2,0)="Yes",$E959&gt;=VLOOKUP($D959,Merchantability!$B:$D,3,0),$E959&lt;=VLOOKUP($D959,Merchantability!$B:$E,4,0)),AB959,0)</f>
        <v>#N/A</v>
      </c>
      <c r="AH959" s="104" t="e">
        <f>IF(AND(VLOOKUP($D959,Merchantability!$B:$C,2,0)="Yes",$E959&gt;=VLOOKUP($D959,Merchantability!$B:$D,3,0),$E959&lt;=VLOOKUP($D959,Merchantability!$B:$E,4,0)),AC959,0)</f>
        <v>#N/A</v>
      </c>
      <c r="AI959" s="104" t="e">
        <f t="shared" si="438"/>
        <v>#N/A</v>
      </c>
      <c r="AJ959" s="104" t="e">
        <f t="shared" si="439"/>
        <v>#VALUE!</v>
      </c>
      <c r="AK959" s="104" t="e">
        <f t="shared" si="440"/>
        <v>#N/A</v>
      </c>
      <c r="AL959" s="104" t="e">
        <f t="shared" si="441"/>
        <v>#N/A</v>
      </c>
      <c r="AM959" s="104" t="e">
        <f t="shared" si="442"/>
        <v>#N/A</v>
      </c>
      <c r="AN959" s="104" t="e">
        <f t="shared" si="426"/>
        <v>#N/A</v>
      </c>
      <c r="AO959" s="104" t="e">
        <f t="shared" si="427"/>
        <v>#N/A</v>
      </c>
      <c r="AP959" s="104" t="e">
        <f t="shared" si="428"/>
        <v>#N/A</v>
      </c>
      <c r="AQ959" s="104" t="e">
        <f t="shared" si="429"/>
        <v>#N/A</v>
      </c>
      <c r="AR959" s="105" t="str">
        <f t="shared" si="421"/>
        <v/>
      </c>
      <c r="AS959" s="105" t="str">
        <f t="shared" si="422"/>
        <v/>
      </c>
      <c r="AT959" s="108" t="str">
        <f t="shared" si="423"/>
        <v/>
      </c>
      <c r="AU959" s="108" t="str">
        <f t="shared" si="424"/>
        <v/>
      </c>
      <c r="AV959" s="107" t="str">
        <f>IF(ISNUMBER(O959),IF(VLOOKUP($A959,Stand!C:J,8,FALSE)="Short",AT959,AU959),"")</f>
        <v/>
      </c>
      <c r="AW959" s="109" t="str">
        <f t="shared" si="430"/>
        <v/>
      </c>
      <c r="AX959" s="109" t="str">
        <f t="shared" si="431"/>
        <v/>
      </c>
      <c r="AY959" s="112" t="str">
        <f>IF(ISNUMBER(O959),IF(AND(VLOOKUP($D959,Merchantability!$B:$C,2,0)="Yes",$E959&gt;=VLOOKUP($D959,Merchantability!$B:$D,3,0),$E959&lt;=VLOOKUP($D959,Merchantability!$B:$E,4,0)),(AV959*O959)*(1-$H959/100),""),"")</f>
        <v/>
      </c>
      <c r="AZ959" s="116"/>
      <c r="BA959" s="116"/>
      <c r="BB959" s="116"/>
      <c r="BE959" s="62"/>
      <c r="BF959" s="63"/>
    </row>
    <row r="960" spans="1:58" ht="12.75" customHeight="1" x14ac:dyDescent="0.25">
      <c r="A960" s="313"/>
      <c r="B960" s="328"/>
      <c r="C960" s="329"/>
      <c r="D960" s="328"/>
      <c r="E960" s="330"/>
      <c r="F960" s="328"/>
      <c r="G960" s="329"/>
      <c r="H960" s="329"/>
      <c r="I960" s="328"/>
      <c r="J960" s="383"/>
      <c r="K960" s="329"/>
      <c r="L960" s="329"/>
      <c r="M960" s="76"/>
      <c r="N960" s="103" t="str">
        <f>IF(A960="","",VLOOKUP(A960,Stand!C:K,9,0))</f>
        <v/>
      </c>
      <c r="O960" s="104" t="str">
        <f t="shared" si="416"/>
        <v/>
      </c>
      <c r="P960" s="105" t="str">
        <f t="shared" si="417"/>
        <v/>
      </c>
      <c r="Q960" s="105" t="str">
        <f t="shared" si="432"/>
        <v/>
      </c>
      <c r="R960" s="103" t="str">
        <f t="shared" si="418"/>
        <v/>
      </c>
      <c r="S960" s="103" t="str">
        <f t="shared" si="419"/>
        <v/>
      </c>
      <c r="T960" s="106" t="str">
        <f t="shared" si="433"/>
        <v/>
      </c>
      <c r="U960" s="106" t="str">
        <f t="shared" si="434"/>
        <v/>
      </c>
      <c r="V960" s="106" t="str">
        <f t="shared" si="435"/>
        <v/>
      </c>
      <c r="W960" s="105" t="str">
        <f t="shared" si="420"/>
        <v/>
      </c>
      <c r="X960" s="104" t="str">
        <f t="shared" si="425"/>
        <v/>
      </c>
      <c r="Y960" s="104" t="str">
        <f t="array" ref="Y960">IFERROR(IF(ISNUMBER(O960),IF(COUNT(IF(A960=$A$2:$A$2427,IF(D960=$D$2:$D$2427,IF($X$2:$X$2427&gt;0,1))))&gt;0,SUM(IF(A960=$A$2:$A$2427,IF(D960=$D$2:$D$2427,$X$2:$X$2427)))/COUNT(IF(A960=$A$2:$A$2427,IF(D960=$D$2:$D$2427,IF(ISNUMBER($X$2:$X$2427),1)))),0),""),0)</f>
        <v/>
      </c>
      <c r="Z960" s="104" t="str">
        <f>IF(ISNUMBER(O960),IF(I960&gt;0,(10^(VLOOKUP(D960,'Species Codes'!B:C,2,0)+VLOOKUP(D960,'Species Codes'!B:D,3,0)*LOG(E960)+VLOOKUP(D960,'Species Codes'!B:E,4,0)*LOG(I960))),0),"")</f>
        <v/>
      </c>
      <c r="AA960" s="104" t="str">
        <f>IFERROR((VLOOKUP(D960,'Species Codes'!B:G,6,0)*Z960)/2000,"")</f>
        <v/>
      </c>
      <c r="AB960" s="104" t="e">
        <f>IF(Z960&gt;0,((IF(OR(D960="DF",D960="RA")=TRUE,EXP(VLOOKUP(D960,'Species Codes'!B:I,8,0)+VLOOKUP(D960,'Species Codes'!B:J,9,0)*(LN((E960*2.54)))),IF(OR(D960="PY",D960="RC",D960="WH",D960="NF")=TRUE,VLOOKUP(D960,'Species Codes'!B:I,8,0)+VLOOKUP(D960,'Species Codes'!B:J,9,0)*((E960*2.54)^2)*(I960*0.3048),IF(OR(D960="MD",D960="BM",D960="GA")=TRUE,((VLOOKUP(D960,'Species Codes'!B:I,8,0)*(((((E960*2.54)+VLOOKUP(D960,'Species Codes'!B:J,9,0))/VLOOKUP(D960,'Species Codes'!B:K,10,0))^VLOOKUP(D960,'Species Codes'!B:L,11,0))*((I960*0.3048)^VLOOKUP(D960,'Species Codes'!B:M,12,0))))-(VLOOKUP(D960,'Species Codes'!B:I,8,0)*((((E960*2.54)^VLOOKUP(D960,'Species Codes'!B:L,11,0))*((I960*0.3048)^VLOOKUP(D960,'Species Codes'!B:M,12,0))))))*35.3*VLOOKUP(D960,'Species Codes'!B:G,6,0)/2.2046,VLOOKUP(D960,'Species Codes'!B:I,8,0)+VLOOKUP(D960,'Species Codes'!B:J,9,0)*(((E960*2.54)/100)^2)*(I960*0.3048)))))*0.0011023),0)</f>
        <v>#N/A</v>
      </c>
      <c r="AC960" s="104" t="e">
        <f>IF(Z960&gt;0,((IF(OR(D960="RA",D960="OA",D960="OT",D960="UN",D960="PC"),EXP(VLOOKUP(D960,'Species Codes'!B:O,14,0)+VLOOKUP(D960,'Species Codes'!B:P,15,0)*LN((E960*2.54)))-EXP(VLOOKUP(D960,'Species Codes'!B:O,14,0)+VLOOKUP(D960,'Species Codes'!B:P,15,0)*LN((E960*2.54)))*(1/(VLOOKUP(D960,'Species Codes'!B:Q,16,0)+VLOOKUP(D960,'Species Codes'!B:R,17,0)*((E960*2.54)^VLOOKUP(D960,'Species Codes'!B:S,18,0)))),IF(OR(D960="BM",D960="MD",D960="OA"),EXP(VLOOKUP(D960,'Species Codes'!B:O,14,0)+VLOOKUP(D960,'Species Codes'!B:P,15,0)*LN((E960*2.54)))*(1-(1/(VLOOKUP(D960,'Species Codes'!B:Q,16,0)+VLOOKUP(D960,'Species Codes'!B:R,17,0)*((E960*2.54)^VLOOKUP(D960,'Species Codes'!B:S,18,0)))))/1000,IF(D960="DF",EXP(VLOOKUP(D960,'Species Codes'!B:O,14,0)+VLOOKUP(D960,'Species Codes'!B:P,15,0)*LN((E960*2.54))),VLOOKUP(D960,'Species Codes'!B:O,14,0)+VLOOKUP(D960,'Species Codes'!B:P,15,0)*(((E960*2.54)/100)^2)*(I960*0.3048)))))*0.0011023),0)</f>
        <v>#N/A</v>
      </c>
      <c r="AD960" s="104" t="e">
        <f t="shared" si="436"/>
        <v>#N/A</v>
      </c>
      <c r="AE960" s="104" t="e">
        <f t="shared" si="437"/>
        <v>#N/A</v>
      </c>
      <c r="AF960" s="104" t="e">
        <f>IF(AND(VLOOKUP($D960,Merchantability!$B:$C,2,0)="Yes",$E960&gt;=VLOOKUP($D960,Merchantability!$B:$D,3,0),$E960&lt;=VLOOKUP($D960,Merchantability!$B:$E,4,0)),AA960,0)</f>
        <v>#N/A</v>
      </c>
      <c r="AG960" s="104" t="e">
        <f>IF(AND(VLOOKUP($D960,Merchantability!$B:$C,2,0)="Yes",$E960&gt;=VLOOKUP($D960,Merchantability!$B:$D,3,0),$E960&lt;=VLOOKUP($D960,Merchantability!$B:$E,4,0)),AB960,0)</f>
        <v>#N/A</v>
      </c>
      <c r="AH960" s="104" t="e">
        <f>IF(AND(VLOOKUP($D960,Merchantability!$B:$C,2,0)="Yes",$E960&gt;=VLOOKUP($D960,Merchantability!$B:$D,3,0),$E960&lt;=VLOOKUP($D960,Merchantability!$B:$E,4,0)),AC960,0)</f>
        <v>#N/A</v>
      </c>
      <c r="AI960" s="104" t="e">
        <f t="shared" si="438"/>
        <v>#N/A</v>
      </c>
      <c r="AJ960" s="104" t="e">
        <f t="shared" si="439"/>
        <v>#VALUE!</v>
      </c>
      <c r="AK960" s="104" t="e">
        <f t="shared" si="440"/>
        <v>#N/A</v>
      </c>
      <c r="AL960" s="104" t="e">
        <f t="shared" si="441"/>
        <v>#N/A</v>
      </c>
      <c r="AM960" s="104" t="e">
        <f t="shared" si="442"/>
        <v>#N/A</v>
      </c>
      <c r="AN960" s="104" t="e">
        <f t="shared" si="426"/>
        <v>#N/A</v>
      </c>
      <c r="AO960" s="104" t="e">
        <f t="shared" si="427"/>
        <v>#N/A</v>
      </c>
      <c r="AP960" s="104" t="e">
        <f t="shared" si="428"/>
        <v>#N/A</v>
      </c>
      <c r="AQ960" s="104" t="e">
        <f t="shared" si="429"/>
        <v>#N/A</v>
      </c>
      <c r="AR960" s="105" t="str">
        <f t="shared" si="421"/>
        <v/>
      </c>
      <c r="AS960" s="105" t="str">
        <f t="shared" si="422"/>
        <v/>
      </c>
      <c r="AT960" s="108" t="str">
        <f t="shared" si="423"/>
        <v/>
      </c>
      <c r="AU960" s="108" t="str">
        <f t="shared" si="424"/>
        <v/>
      </c>
      <c r="AV960" s="107" t="str">
        <f>IF(ISNUMBER(O960),IF(VLOOKUP($A960,Stand!C:J,8,FALSE)="Short",AT960,AU960),"")</f>
        <v/>
      </c>
      <c r="AW960" s="109" t="str">
        <f t="shared" si="430"/>
        <v/>
      </c>
      <c r="AX960" s="109" t="str">
        <f t="shared" si="431"/>
        <v/>
      </c>
      <c r="AY960" s="112" t="str">
        <f>IF(ISNUMBER(O960),IF(AND(VLOOKUP($D960,Merchantability!$B:$C,2,0)="Yes",$E960&gt;=VLOOKUP($D960,Merchantability!$B:$D,3,0),$E960&lt;=VLOOKUP($D960,Merchantability!$B:$E,4,0)),(AV960*O960)*(1-$H960/100),""),"")</f>
        <v/>
      </c>
      <c r="AZ960" s="116"/>
      <c r="BA960" s="116"/>
      <c r="BB960" s="116"/>
      <c r="BE960" s="62"/>
      <c r="BF960" s="63"/>
    </row>
    <row r="961" spans="1:58" ht="12.75" customHeight="1" x14ac:dyDescent="0.25">
      <c r="A961" s="313"/>
      <c r="B961" s="328"/>
      <c r="C961" s="329"/>
      <c r="D961" s="328"/>
      <c r="E961" s="330"/>
      <c r="F961" s="328"/>
      <c r="G961" s="329"/>
      <c r="H961" s="329"/>
      <c r="I961" s="328"/>
      <c r="J961" s="383"/>
      <c r="K961" s="329"/>
      <c r="L961" s="329"/>
      <c r="M961" s="76"/>
      <c r="N961" s="103" t="str">
        <f>IF(A961="","",VLOOKUP(A961,Stand!C:K,9,0))</f>
        <v/>
      </c>
      <c r="O961" s="104" t="str">
        <f t="shared" si="416"/>
        <v/>
      </c>
      <c r="P961" s="105" t="str">
        <f t="shared" si="417"/>
        <v/>
      </c>
      <c r="Q961" s="105" t="str">
        <f t="shared" si="432"/>
        <v/>
      </c>
      <c r="R961" s="103" t="str">
        <f t="shared" si="418"/>
        <v/>
      </c>
      <c r="S961" s="103" t="str">
        <f t="shared" si="419"/>
        <v/>
      </c>
      <c r="T961" s="106" t="str">
        <f t="shared" si="433"/>
        <v/>
      </c>
      <c r="U961" s="106" t="str">
        <f t="shared" si="434"/>
        <v/>
      </c>
      <c r="V961" s="106" t="str">
        <f t="shared" si="435"/>
        <v/>
      </c>
      <c r="W961" s="105" t="str">
        <f t="shared" si="420"/>
        <v/>
      </c>
      <c r="X961" s="104" t="str">
        <f t="shared" si="425"/>
        <v/>
      </c>
      <c r="Y961" s="104" t="str">
        <f t="array" ref="Y961">IFERROR(IF(ISNUMBER(O961),IF(COUNT(IF(A961=$A$2:$A$2427,IF(D961=$D$2:$D$2427,IF($X$2:$X$2427&gt;0,1))))&gt;0,SUM(IF(A961=$A$2:$A$2427,IF(D961=$D$2:$D$2427,$X$2:$X$2427)))/COUNT(IF(A961=$A$2:$A$2427,IF(D961=$D$2:$D$2427,IF(ISNUMBER($X$2:$X$2427),1)))),0),""),0)</f>
        <v/>
      </c>
      <c r="Z961" s="104" t="str">
        <f>IF(ISNUMBER(O961),IF(I961&gt;0,(10^(VLOOKUP(D961,'Species Codes'!B:C,2,0)+VLOOKUP(D961,'Species Codes'!B:D,3,0)*LOG(E961)+VLOOKUP(D961,'Species Codes'!B:E,4,0)*LOG(I961))),0),"")</f>
        <v/>
      </c>
      <c r="AA961" s="104" t="str">
        <f>IFERROR((VLOOKUP(D961,'Species Codes'!B:G,6,0)*Z961)/2000,"")</f>
        <v/>
      </c>
      <c r="AB961" s="104" t="e">
        <f>IF(Z961&gt;0,((IF(OR(D961="DF",D961="RA")=TRUE,EXP(VLOOKUP(D961,'Species Codes'!B:I,8,0)+VLOOKUP(D961,'Species Codes'!B:J,9,0)*(LN((E961*2.54)))),IF(OR(D961="PY",D961="RC",D961="WH",D961="NF")=TRUE,VLOOKUP(D961,'Species Codes'!B:I,8,0)+VLOOKUP(D961,'Species Codes'!B:J,9,0)*((E961*2.54)^2)*(I961*0.3048),IF(OR(D961="MD",D961="BM",D961="GA")=TRUE,((VLOOKUP(D961,'Species Codes'!B:I,8,0)*(((((E961*2.54)+VLOOKUP(D961,'Species Codes'!B:J,9,0))/VLOOKUP(D961,'Species Codes'!B:K,10,0))^VLOOKUP(D961,'Species Codes'!B:L,11,0))*((I961*0.3048)^VLOOKUP(D961,'Species Codes'!B:M,12,0))))-(VLOOKUP(D961,'Species Codes'!B:I,8,0)*((((E961*2.54)^VLOOKUP(D961,'Species Codes'!B:L,11,0))*((I961*0.3048)^VLOOKUP(D961,'Species Codes'!B:M,12,0))))))*35.3*VLOOKUP(D961,'Species Codes'!B:G,6,0)/2.2046,VLOOKUP(D961,'Species Codes'!B:I,8,0)+VLOOKUP(D961,'Species Codes'!B:J,9,0)*(((E961*2.54)/100)^2)*(I961*0.3048)))))*0.0011023),0)</f>
        <v>#N/A</v>
      </c>
      <c r="AC961" s="104" t="e">
        <f>IF(Z961&gt;0,((IF(OR(D961="RA",D961="OA",D961="OT",D961="UN",D961="PC"),EXP(VLOOKUP(D961,'Species Codes'!B:O,14,0)+VLOOKUP(D961,'Species Codes'!B:P,15,0)*LN((E961*2.54)))-EXP(VLOOKUP(D961,'Species Codes'!B:O,14,0)+VLOOKUP(D961,'Species Codes'!B:P,15,0)*LN((E961*2.54)))*(1/(VLOOKUP(D961,'Species Codes'!B:Q,16,0)+VLOOKUP(D961,'Species Codes'!B:R,17,0)*((E961*2.54)^VLOOKUP(D961,'Species Codes'!B:S,18,0)))),IF(OR(D961="BM",D961="MD",D961="OA"),EXP(VLOOKUP(D961,'Species Codes'!B:O,14,0)+VLOOKUP(D961,'Species Codes'!B:P,15,0)*LN((E961*2.54)))*(1-(1/(VLOOKUP(D961,'Species Codes'!B:Q,16,0)+VLOOKUP(D961,'Species Codes'!B:R,17,0)*((E961*2.54)^VLOOKUP(D961,'Species Codes'!B:S,18,0)))))/1000,IF(D961="DF",EXP(VLOOKUP(D961,'Species Codes'!B:O,14,0)+VLOOKUP(D961,'Species Codes'!B:P,15,0)*LN((E961*2.54))),VLOOKUP(D961,'Species Codes'!B:O,14,0)+VLOOKUP(D961,'Species Codes'!B:P,15,0)*(((E961*2.54)/100)^2)*(I961*0.3048)))))*0.0011023),0)</f>
        <v>#N/A</v>
      </c>
      <c r="AD961" s="104" t="e">
        <f t="shared" si="436"/>
        <v>#N/A</v>
      </c>
      <c r="AE961" s="104" t="e">
        <f t="shared" si="437"/>
        <v>#N/A</v>
      </c>
      <c r="AF961" s="104" t="e">
        <f>IF(AND(VLOOKUP($D961,Merchantability!$B:$C,2,0)="Yes",$E961&gt;=VLOOKUP($D961,Merchantability!$B:$D,3,0),$E961&lt;=VLOOKUP($D961,Merchantability!$B:$E,4,0)),AA961,0)</f>
        <v>#N/A</v>
      </c>
      <c r="AG961" s="104" t="e">
        <f>IF(AND(VLOOKUP($D961,Merchantability!$B:$C,2,0)="Yes",$E961&gt;=VLOOKUP($D961,Merchantability!$B:$D,3,0),$E961&lt;=VLOOKUP($D961,Merchantability!$B:$E,4,0)),AB961,0)</f>
        <v>#N/A</v>
      </c>
      <c r="AH961" s="104" t="e">
        <f>IF(AND(VLOOKUP($D961,Merchantability!$B:$C,2,0)="Yes",$E961&gt;=VLOOKUP($D961,Merchantability!$B:$D,3,0),$E961&lt;=VLOOKUP($D961,Merchantability!$B:$E,4,0)),AC961,0)</f>
        <v>#N/A</v>
      </c>
      <c r="AI961" s="104" t="e">
        <f t="shared" si="438"/>
        <v>#N/A</v>
      </c>
      <c r="AJ961" s="104" t="e">
        <f t="shared" si="439"/>
        <v>#VALUE!</v>
      </c>
      <c r="AK961" s="104" t="e">
        <f t="shared" si="440"/>
        <v>#N/A</v>
      </c>
      <c r="AL961" s="104" t="e">
        <f t="shared" si="441"/>
        <v>#N/A</v>
      </c>
      <c r="AM961" s="104" t="e">
        <f t="shared" si="442"/>
        <v>#N/A</v>
      </c>
      <c r="AN961" s="104" t="e">
        <f t="shared" si="426"/>
        <v>#N/A</v>
      </c>
      <c r="AO961" s="104" t="e">
        <f t="shared" si="427"/>
        <v>#N/A</v>
      </c>
      <c r="AP961" s="104" t="e">
        <f t="shared" si="428"/>
        <v>#N/A</v>
      </c>
      <c r="AQ961" s="104" t="e">
        <f t="shared" si="429"/>
        <v>#N/A</v>
      </c>
      <c r="AR961" s="105" t="str">
        <f t="shared" si="421"/>
        <v/>
      </c>
      <c r="AS961" s="105" t="str">
        <f t="shared" si="422"/>
        <v/>
      </c>
      <c r="AT961" s="108" t="str">
        <f t="shared" si="423"/>
        <v/>
      </c>
      <c r="AU961" s="108" t="str">
        <f t="shared" si="424"/>
        <v/>
      </c>
      <c r="AV961" s="107" t="str">
        <f>IF(ISNUMBER(O961),IF(VLOOKUP($A961,Stand!C:J,8,FALSE)="Short",AT961,AU961),"")</f>
        <v/>
      </c>
      <c r="AW961" s="109" t="str">
        <f t="shared" si="430"/>
        <v/>
      </c>
      <c r="AX961" s="109" t="str">
        <f t="shared" si="431"/>
        <v/>
      </c>
      <c r="AY961" s="112" t="str">
        <f>IF(ISNUMBER(O961),IF(AND(VLOOKUP($D961,Merchantability!$B:$C,2,0)="Yes",$E961&gt;=VLOOKUP($D961,Merchantability!$B:$D,3,0),$E961&lt;=VLOOKUP($D961,Merchantability!$B:$E,4,0)),(AV961*O961)*(1-$H961/100),""),"")</f>
        <v/>
      </c>
      <c r="AZ961" s="116"/>
      <c r="BA961" s="116"/>
      <c r="BB961" s="116"/>
      <c r="BE961" s="62"/>
      <c r="BF961" s="63"/>
    </row>
    <row r="962" spans="1:58" ht="12.75" customHeight="1" x14ac:dyDescent="0.25">
      <c r="A962" s="313"/>
      <c r="B962" s="328"/>
      <c r="C962" s="329"/>
      <c r="D962" s="328"/>
      <c r="E962" s="330"/>
      <c r="F962" s="328"/>
      <c r="G962" s="329"/>
      <c r="H962" s="329"/>
      <c r="I962" s="328"/>
      <c r="J962" s="383"/>
      <c r="K962" s="329"/>
      <c r="L962" s="329"/>
      <c r="M962" s="76"/>
      <c r="N962" s="103" t="str">
        <f>IF(A962="","",VLOOKUP(A962,Stand!C:K,9,0))</f>
        <v/>
      </c>
      <c r="O962" s="104" t="str">
        <f t="shared" ref="O962:O1025" si="443">IF(E962&gt;0,IF(G962&gt;1,G962*(43560/(N962^2*3.14)),43560/(N962^2*3.14)),"")</f>
        <v/>
      </c>
      <c r="P962" s="105" t="str">
        <f t="shared" ref="P962:P1025" si="444">IF(ISNUMBER(O962),E962*O962,"")</f>
        <v/>
      </c>
      <c r="Q962" s="105" t="str">
        <f t="shared" si="432"/>
        <v/>
      </c>
      <c r="R962" s="103" t="str">
        <f t="shared" ref="R962:R1025" si="445">IF(ISNUMBER(O962),E962^2*0.005454*O962,"")</f>
        <v/>
      </c>
      <c r="S962" s="103" t="str">
        <f t="shared" ref="S962:S1025" si="446">IF(ISNUMBER(O962),(E962/10)^1.7*O962,"")</f>
        <v/>
      </c>
      <c r="T962" s="106" t="str">
        <f t="shared" si="433"/>
        <v/>
      </c>
      <c r="U962" s="106" t="str">
        <f t="shared" si="434"/>
        <v/>
      </c>
      <c r="V962" s="106" t="str">
        <f t="shared" si="435"/>
        <v/>
      </c>
      <c r="W962" s="105" t="str">
        <f t="shared" ref="W962:W1025" si="447">IF(AND(ISNUMBER(O962),I962&gt;0),I962/(E962/12),"")</f>
        <v/>
      </c>
      <c r="X962" s="104" t="str">
        <f t="shared" si="425"/>
        <v/>
      </c>
      <c r="Y962" s="104" t="str">
        <f t="array" ref="Y962">IFERROR(IF(ISNUMBER(O962),IF(COUNT(IF(A962=$A$2:$A$2427,IF(D962=$D$2:$D$2427,IF($X$2:$X$2427&gt;0,1))))&gt;0,SUM(IF(A962=$A$2:$A$2427,IF(D962=$D$2:$D$2427,$X$2:$X$2427)))/COUNT(IF(A962=$A$2:$A$2427,IF(D962=$D$2:$D$2427,IF(ISNUMBER($X$2:$X$2427),1)))),0),""),0)</f>
        <v/>
      </c>
      <c r="Z962" s="104" t="str">
        <f>IF(ISNUMBER(O962),IF(I962&gt;0,(10^(VLOOKUP(D962,'Species Codes'!B:C,2,0)+VLOOKUP(D962,'Species Codes'!B:D,3,0)*LOG(E962)+VLOOKUP(D962,'Species Codes'!B:E,4,0)*LOG(I962))),0),"")</f>
        <v/>
      </c>
      <c r="AA962" s="104" t="str">
        <f>IFERROR((VLOOKUP(D962,'Species Codes'!B:G,6,0)*Z962)/2000,"")</f>
        <v/>
      </c>
      <c r="AB962" s="104" t="e">
        <f>IF(Z962&gt;0,((IF(OR(D962="DF",D962="RA")=TRUE,EXP(VLOOKUP(D962,'Species Codes'!B:I,8,0)+VLOOKUP(D962,'Species Codes'!B:J,9,0)*(LN((E962*2.54)))),IF(OR(D962="PY",D962="RC",D962="WH",D962="NF")=TRUE,VLOOKUP(D962,'Species Codes'!B:I,8,0)+VLOOKUP(D962,'Species Codes'!B:J,9,0)*((E962*2.54)^2)*(I962*0.3048),IF(OR(D962="MD",D962="BM",D962="GA")=TRUE,((VLOOKUP(D962,'Species Codes'!B:I,8,0)*(((((E962*2.54)+VLOOKUP(D962,'Species Codes'!B:J,9,0))/VLOOKUP(D962,'Species Codes'!B:K,10,0))^VLOOKUP(D962,'Species Codes'!B:L,11,0))*((I962*0.3048)^VLOOKUP(D962,'Species Codes'!B:M,12,0))))-(VLOOKUP(D962,'Species Codes'!B:I,8,0)*((((E962*2.54)^VLOOKUP(D962,'Species Codes'!B:L,11,0))*((I962*0.3048)^VLOOKUP(D962,'Species Codes'!B:M,12,0))))))*35.3*VLOOKUP(D962,'Species Codes'!B:G,6,0)/2.2046,VLOOKUP(D962,'Species Codes'!B:I,8,0)+VLOOKUP(D962,'Species Codes'!B:J,9,0)*(((E962*2.54)/100)^2)*(I962*0.3048)))))*0.0011023),0)</f>
        <v>#N/A</v>
      </c>
      <c r="AC962" s="104" t="e">
        <f>IF(Z962&gt;0,((IF(OR(D962="RA",D962="OA",D962="OT",D962="UN",D962="PC"),EXP(VLOOKUP(D962,'Species Codes'!B:O,14,0)+VLOOKUP(D962,'Species Codes'!B:P,15,0)*LN((E962*2.54)))-EXP(VLOOKUP(D962,'Species Codes'!B:O,14,0)+VLOOKUP(D962,'Species Codes'!B:P,15,0)*LN((E962*2.54)))*(1/(VLOOKUP(D962,'Species Codes'!B:Q,16,0)+VLOOKUP(D962,'Species Codes'!B:R,17,0)*((E962*2.54)^VLOOKUP(D962,'Species Codes'!B:S,18,0)))),IF(OR(D962="BM",D962="MD",D962="OA"),EXP(VLOOKUP(D962,'Species Codes'!B:O,14,0)+VLOOKUP(D962,'Species Codes'!B:P,15,0)*LN((E962*2.54)))*(1-(1/(VLOOKUP(D962,'Species Codes'!B:Q,16,0)+VLOOKUP(D962,'Species Codes'!B:R,17,0)*((E962*2.54)^VLOOKUP(D962,'Species Codes'!B:S,18,0)))))/1000,IF(D962="DF",EXP(VLOOKUP(D962,'Species Codes'!B:O,14,0)+VLOOKUP(D962,'Species Codes'!B:P,15,0)*LN((E962*2.54))),VLOOKUP(D962,'Species Codes'!B:O,14,0)+VLOOKUP(D962,'Species Codes'!B:P,15,0)*(((E962*2.54)/100)^2)*(I962*0.3048)))))*0.0011023),0)</f>
        <v>#N/A</v>
      </c>
      <c r="AD962" s="104" t="e">
        <f t="shared" si="436"/>
        <v>#N/A</v>
      </c>
      <c r="AE962" s="104" t="e">
        <f t="shared" si="437"/>
        <v>#N/A</v>
      </c>
      <c r="AF962" s="104" t="e">
        <f>IF(AND(VLOOKUP($D962,Merchantability!$B:$C,2,0)="Yes",$E962&gt;=VLOOKUP($D962,Merchantability!$B:$D,3,0),$E962&lt;=VLOOKUP($D962,Merchantability!$B:$E,4,0)),AA962,0)</f>
        <v>#N/A</v>
      </c>
      <c r="AG962" s="104" t="e">
        <f>IF(AND(VLOOKUP($D962,Merchantability!$B:$C,2,0)="Yes",$E962&gt;=VLOOKUP($D962,Merchantability!$B:$D,3,0),$E962&lt;=VLOOKUP($D962,Merchantability!$B:$E,4,0)),AB962,0)</f>
        <v>#N/A</v>
      </c>
      <c r="AH962" s="104" t="e">
        <f>IF(AND(VLOOKUP($D962,Merchantability!$B:$C,2,0)="Yes",$E962&gt;=VLOOKUP($D962,Merchantability!$B:$D,3,0),$E962&lt;=VLOOKUP($D962,Merchantability!$B:$E,4,0)),AC962,0)</f>
        <v>#N/A</v>
      </c>
      <c r="AI962" s="104" t="e">
        <f t="shared" si="438"/>
        <v>#N/A</v>
      </c>
      <c r="AJ962" s="104" t="e">
        <f t="shared" si="439"/>
        <v>#VALUE!</v>
      </c>
      <c r="AK962" s="104" t="e">
        <f t="shared" si="440"/>
        <v>#N/A</v>
      </c>
      <c r="AL962" s="104" t="e">
        <f t="shared" si="441"/>
        <v>#N/A</v>
      </c>
      <c r="AM962" s="104" t="e">
        <f t="shared" si="442"/>
        <v>#N/A</v>
      </c>
      <c r="AN962" s="104" t="e">
        <f t="shared" si="426"/>
        <v>#N/A</v>
      </c>
      <c r="AO962" s="104" t="e">
        <f t="shared" si="427"/>
        <v>#N/A</v>
      </c>
      <c r="AP962" s="104" t="e">
        <f t="shared" si="428"/>
        <v>#N/A</v>
      </c>
      <c r="AQ962" s="104" t="e">
        <f t="shared" si="429"/>
        <v>#N/A</v>
      </c>
      <c r="AR962" s="105" t="str">
        <f t="shared" ref="AR962:AR1025" si="448">IF(ISNUMBER(O962),IF(Y962&gt;0,((Y962*(E962^2*0.005454-0.087266))/0.912733),0),"")</f>
        <v/>
      </c>
      <c r="AS962" s="105" t="str">
        <f t="shared" ref="AS962:AS1025" si="449">IF(ISNUMBER(O962),AR962*(0.993-0.993*(0.62^(E962-6))),"")</f>
        <v/>
      </c>
      <c r="AT962" s="108" t="str">
        <f t="shared" ref="AT962:AT1025" si="450">IF(ISNUMBER(O962),IF(AS962&gt;0,IF(Y962&gt;0,(AS962*10^(0.174439+0.117594*(LOG(E962,10))*(LOG(Y962/0.912733,10))-8.210585/E962^2+0.236693*(LOG(Y962/0.912733,10))-0.00001345*(Y962/0.912733)^2-0.00001937*E962^2)),0),0),"")</f>
        <v/>
      </c>
      <c r="AU962" s="108" t="str">
        <f t="shared" ref="AU962:AU1025" si="451">IF(ISNUMBER(O962),IF(AS962&gt;0,IF(Y962&gt;0,AT962*(1.001491-(6.92497/Y962)+(0.00001351*(E962^2))),0),0),"")</f>
        <v/>
      </c>
      <c r="AV962" s="107" t="str">
        <f>IF(ISNUMBER(O962),IF(VLOOKUP($A962,Stand!C:J,8,FALSE)="Short",AT962,AU962),"")</f>
        <v/>
      </c>
      <c r="AW962" s="109" t="str">
        <f t="shared" si="430"/>
        <v/>
      </c>
      <c r="AX962" s="109" t="str">
        <f t="shared" si="431"/>
        <v/>
      </c>
      <c r="AY962" s="112" t="str">
        <f>IF(ISNUMBER(O962),IF(AND(VLOOKUP($D962,Merchantability!$B:$C,2,0)="Yes",$E962&gt;=VLOOKUP($D962,Merchantability!$B:$D,3,0),$E962&lt;=VLOOKUP($D962,Merchantability!$B:$E,4,0)),(AV962*O962)*(1-$H962/100),""),"")</f>
        <v/>
      </c>
      <c r="AZ962" s="116"/>
      <c r="BA962" s="116"/>
      <c r="BB962" s="116"/>
      <c r="BE962" s="62"/>
      <c r="BF962" s="63"/>
    </row>
    <row r="963" spans="1:58" ht="12.75" customHeight="1" x14ac:dyDescent="0.25">
      <c r="A963" s="313"/>
      <c r="B963" s="328"/>
      <c r="C963" s="329"/>
      <c r="D963" s="328"/>
      <c r="E963" s="330"/>
      <c r="F963" s="328"/>
      <c r="G963" s="329"/>
      <c r="H963" s="329"/>
      <c r="I963" s="328"/>
      <c r="J963" s="383"/>
      <c r="K963" s="329"/>
      <c r="L963" s="329"/>
      <c r="M963" s="76"/>
      <c r="N963" s="103" t="str">
        <f>IF(A963="","",VLOOKUP(A963,Stand!C:K,9,0))</f>
        <v/>
      </c>
      <c r="O963" s="104" t="str">
        <f t="shared" si="443"/>
        <v/>
      </c>
      <c r="P963" s="105" t="str">
        <f t="shared" si="444"/>
        <v/>
      </c>
      <c r="Q963" s="105" t="str">
        <f t="shared" si="432"/>
        <v/>
      </c>
      <c r="R963" s="103" t="str">
        <f t="shared" si="445"/>
        <v/>
      </c>
      <c r="S963" s="103" t="str">
        <f t="shared" si="446"/>
        <v/>
      </c>
      <c r="T963" s="106" t="str">
        <f t="shared" si="433"/>
        <v/>
      </c>
      <c r="U963" s="106" t="str">
        <f t="shared" si="434"/>
        <v/>
      </c>
      <c r="V963" s="106" t="str">
        <f t="shared" si="435"/>
        <v/>
      </c>
      <c r="W963" s="105" t="str">
        <f t="shared" si="447"/>
        <v/>
      </c>
      <c r="X963" s="104" t="str">
        <f t="shared" ref="X963:X1026" si="452">IF(ISNUMBER(O963),IF(I963&gt;0,IF(E963&gt;0,(0.912733*Z963)/(1.033*(1+1.382937*EXP(-4.015292*E963/10))*((E963^2)*0.005454+0.087266)-0.174533),""),""),"")</f>
        <v/>
      </c>
      <c r="Y963" s="104" t="str">
        <f t="array" ref="Y963">IFERROR(IF(ISNUMBER(O963),IF(COUNT(IF(A963=$A$2:$A$2427,IF(D963=$D$2:$D$2427,IF($X$2:$X$2427&gt;0,1))))&gt;0,SUM(IF(A963=$A$2:$A$2427,IF(D963=$D$2:$D$2427,$X$2:$X$2427)))/COUNT(IF(A963=$A$2:$A$2427,IF(D963=$D$2:$D$2427,IF(ISNUMBER($X$2:$X$2427),1)))),0),""),0)</f>
        <v/>
      </c>
      <c r="Z963" s="104" t="str">
        <f>IF(ISNUMBER(O963),IF(I963&gt;0,(10^(VLOOKUP(D963,'Species Codes'!B:C,2,0)+VLOOKUP(D963,'Species Codes'!B:D,3,0)*LOG(E963)+VLOOKUP(D963,'Species Codes'!B:E,4,0)*LOG(I963))),0),"")</f>
        <v/>
      </c>
      <c r="AA963" s="104" t="str">
        <f>IFERROR((VLOOKUP(D963,'Species Codes'!B:G,6,0)*Z963)/2000,"")</f>
        <v/>
      </c>
      <c r="AB963" s="104" t="e">
        <f>IF(Z963&gt;0,((IF(OR(D963="DF",D963="RA")=TRUE,EXP(VLOOKUP(D963,'Species Codes'!B:I,8,0)+VLOOKUP(D963,'Species Codes'!B:J,9,0)*(LN((E963*2.54)))),IF(OR(D963="PY",D963="RC",D963="WH",D963="NF")=TRUE,VLOOKUP(D963,'Species Codes'!B:I,8,0)+VLOOKUP(D963,'Species Codes'!B:J,9,0)*((E963*2.54)^2)*(I963*0.3048),IF(OR(D963="MD",D963="BM",D963="GA")=TRUE,((VLOOKUP(D963,'Species Codes'!B:I,8,0)*(((((E963*2.54)+VLOOKUP(D963,'Species Codes'!B:J,9,0))/VLOOKUP(D963,'Species Codes'!B:K,10,0))^VLOOKUP(D963,'Species Codes'!B:L,11,0))*((I963*0.3048)^VLOOKUP(D963,'Species Codes'!B:M,12,0))))-(VLOOKUP(D963,'Species Codes'!B:I,8,0)*((((E963*2.54)^VLOOKUP(D963,'Species Codes'!B:L,11,0))*((I963*0.3048)^VLOOKUP(D963,'Species Codes'!B:M,12,0))))))*35.3*VLOOKUP(D963,'Species Codes'!B:G,6,0)/2.2046,VLOOKUP(D963,'Species Codes'!B:I,8,0)+VLOOKUP(D963,'Species Codes'!B:J,9,0)*(((E963*2.54)/100)^2)*(I963*0.3048)))))*0.0011023),0)</f>
        <v>#N/A</v>
      </c>
      <c r="AC963" s="104" t="e">
        <f>IF(Z963&gt;0,((IF(OR(D963="RA",D963="OA",D963="OT",D963="UN",D963="PC"),EXP(VLOOKUP(D963,'Species Codes'!B:O,14,0)+VLOOKUP(D963,'Species Codes'!B:P,15,0)*LN((E963*2.54)))-EXP(VLOOKUP(D963,'Species Codes'!B:O,14,0)+VLOOKUP(D963,'Species Codes'!B:P,15,0)*LN((E963*2.54)))*(1/(VLOOKUP(D963,'Species Codes'!B:Q,16,0)+VLOOKUP(D963,'Species Codes'!B:R,17,0)*((E963*2.54)^VLOOKUP(D963,'Species Codes'!B:S,18,0)))),IF(OR(D963="BM",D963="MD",D963="OA"),EXP(VLOOKUP(D963,'Species Codes'!B:O,14,0)+VLOOKUP(D963,'Species Codes'!B:P,15,0)*LN((E963*2.54)))*(1-(1/(VLOOKUP(D963,'Species Codes'!B:Q,16,0)+VLOOKUP(D963,'Species Codes'!B:R,17,0)*((E963*2.54)^VLOOKUP(D963,'Species Codes'!B:S,18,0)))))/1000,IF(D963="DF",EXP(VLOOKUP(D963,'Species Codes'!B:O,14,0)+VLOOKUP(D963,'Species Codes'!B:P,15,0)*LN((E963*2.54))),VLOOKUP(D963,'Species Codes'!B:O,14,0)+VLOOKUP(D963,'Species Codes'!B:P,15,0)*(((E963*2.54)/100)^2)*(I963*0.3048)))))*0.0011023),0)</f>
        <v>#N/A</v>
      </c>
      <c r="AD963" s="104" t="e">
        <f t="shared" si="436"/>
        <v>#N/A</v>
      </c>
      <c r="AE963" s="104" t="e">
        <f t="shared" si="437"/>
        <v>#N/A</v>
      </c>
      <c r="AF963" s="104" t="e">
        <f>IF(AND(VLOOKUP($D963,Merchantability!$B:$C,2,0)="Yes",$E963&gt;=VLOOKUP($D963,Merchantability!$B:$D,3,0),$E963&lt;=VLOOKUP($D963,Merchantability!$B:$E,4,0)),AA963,0)</f>
        <v>#N/A</v>
      </c>
      <c r="AG963" s="104" t="e">
        <f>IF(AND(VLOOKUP($D963,Merchantability!$B:$C,2,0)="Yes",$E963&gt;=VLOOKUP($D963,Merchantability!$B:$D,3,0),$E963&lt;=VLOOKUP($D963,Merchantability!$B:$E,4,0)),AB963,0)</f>
        <v>#N/A</v>
      </c>
      <c r="AH963" s="104" t="e">
        <f>IF(AND(VLOOKUP($D963,Merchantability!$B:$C,2,0)="Yes",$E963&gt;=VLOOKUP($D963,Merchantability!$B:$D,3,0),$E963&lt;=VLOOKUP($D963,Merchantability!$B:$E,4,0)),AC963,0)</f>
        <v>#N/A</v>
      </c>
      <c r="AI963" s="104" t="e">
        <f t="shared" si="438"/>
        <v>#N/A</v>
      </c>
      <c r="AJ963" s="104" t="e">
        <f t="shared" si="439"/>
        <v>#VALUE!</v>
      </c>
      <c r="AK963" s="104" t="e">
        <f t="shared" si="440"/>
        <v>#N/A</v>
      </c>
      <c r="AL963" s="104" t="e">
        <f t="shared" si="441"/>
        <v>#N/A</v>
      </c>
      <c r="AM963" s="104" t="e">
        <f t="shared" si="442"/>
        <v>#N/A</v>
      </c>
      <c r="AN963" s="104" t="e">
        <f t="shared" ref="AN963:AN1026" si="453">AF963*$O963</f>
        <v>#N/A</v>
      </c>
      <c r="AO963" s="104" t="e">
        <f t="shared" ref="AO963:AO1026" si="454">AG963*$O963</f>
        <v>#N/A</v>
      </c>
      <c r="AP963" s="104" t="e">
        <f t="shared" ref="AP963:AP1026" si="455">AH963*$O963</f>
        <v>#N/A</v>
      </c>
      <c r="AQ963" s="104" t="e">
        <f t="shared" ref="AQ963:AQ1026" si="456">SUM(AN963:AP963)</f>
        <v>#N/A</v>
      </c>
      <c r="AR963" s="105" t="str">
        <f t="shared" si="448"/>
        <v/>
      </c>
      <c r="AS963" s="105" t="str">
        <f t="shared" si="449"/>
        <v/>
      </c>
      <c r="AT963" s="108" t="str">
        <f t="shared" si="450"/>
        <v/>
      </c>
      <c r="AU963" s="108" t="str">
        <f t="shared" si="451"/>
        <v/>
      </c>
      <c r="AV963" s="107" t="str">
        <f>IF(ISNUMBER(O963),IF(VLOOKUP($A963,Stand!C:J,8,FALSE)="Short",AT963,AU963),"")</f>
        <v/>
      </c>
      <c r="AW963" s="109" t="str">
        <f t="shared" ref="AW963:AW1026" si="457">IF(ISNUMBER(O963),AV963*O963,"")</f>
        <v/>
      </c>
      <c r="AX963" s="109" t="str">
        <f t="shared" ref="AX963:AX1026" si="458">IF(ISNUMBER(O963),AW963*(1-$H963/100),"")</f>
        <v/>
      </c>
      <c r="AY963" s="112" t="str">
        <f>IF(ISNUMBER(O963),IF(AND(VLOOKUP($D963,Merchantability!$B:$C,2,0)="Yes",$E963&gt;=VLOOKUP($D963,Merchantability!$B:$D,3,0),$E963&lt;=VLOOKUP($D963,Merchantability!$B:$E,4,0)),(AV963*O963)*(1-$H963/100),""),"")</f>
        <v/>
      </c>
      <c r="AZ963" s="116"/>
      <c r="BA963" s="116"/>
      <c r="BB963" s="116"/>
      <c r="BE963" s="62"/>
      <c r="BF963" s="63"/>
    </row>
    <row r="964" spans="1:58" ht="12.75" customHeight="1" x14ac:dyDescent="0.25">
      <c r="A964" s="313"/>
      <c r="B964" s="328"/>
      <c r="C964" s="329"/>
      <c r="D964" s="328"/>
      <c r="E964" s="330"/>
      <c r="F964" s="328"/>
      <c r="G964" s="329"/>
      <c r="H964" s="329"/>
      <c r="I964" s="328"/>
      <c r="J964" s="383"/>
      <c r="K964" s="329"/>
      <c r="L964" s="329"/>
      <c r="M964" s="76"/>
      <c r="N964" s="103" t="str">
        <f>IF(A964="","",VLOOKUP(A964,Stand!C:K,9,0))</f>
        <v/>
      </c>
      <c r="O964" s="104" t="str">
        <f t="shared" si="443"/>
        <v/>
      </c>
      <c r="P964" s="105" t="str">
        <f t="shared" si="444"/>
        <v/>
      </c>
      <c r="Q964" s="105" t="str">
        <f t="shared" si="432"/>
        <v/>
      </c>
      <c r="R964" s="103" t="str">
        <f t="shared" si="445"/>
        <v/>
      </c>
      <c r="S964" s="103" t="str">
        <f t="shared" si="446"/>
        <v/>
      </c>
      <c r="T964" s="106" t="str">
        <f t="shared" si="433"/>
        <v/>
      </c>
      <c r="U964" s="106" t="str">
        <f t="shared" si="434"/>
        <v/>
      </c>
      <c r="V964" s="106" t="str">
        <f t="shared" si="435"/>
        <v/>
      </c>
      <c r="W964" s="105" t="str">
        <f t="shared" si="447"/>
        <v/>
      </c>
      <c r="X964" s="104" t="str">
        <f t="shared" si="452"/>
        <v/>
      </c>
      <c r="Y964" s="104" t="str">
        <f t="array" ref="Y964">IFERROR(IF(ISNUMBER(O964),IF(COUNT(IF(A964=$A$2:$A$2427,IF(D964=$D$2:$D$2427,IF($X$2:$X$2427&gt;0,1))))&gt;0,SUM(IF(A964=$A$2:$A$2427,IF(D964=$D$2:$D$2427,$X$2:$X$2427)))/COUNT(IF(A964=$A$2:$A$2427,IF(D964=$D$2:$D$2427,IF(ISNUMBER($X$2:$X$2427),1)))),0),""),0)</f>
        <v/>
      </c>
      <c r="Z964" s="104" t="str">
        <f>IF(ISNUMBER(O964),IF(I964&gt;0,(10^(VLOOKUP(D964,'Species Codes'!B:C,2,0)+VLOOKUP(D964,'Species Codes'!B:D,3,0)*LOG(E964)+VLOOKUP(D964,'Species Codes'!B:E,4,0)*LOG(I964))),0),"")</f>
        <v/>
      </c>
      <c r="AA964" s="104" t="str">
        <f>IFERROR((VLOOKUP(D964,'Species Codes'!B:G,6,0)*Z964)/2000,"")</f>
        <v/>
      </c>
      <c r="AB964" s="104" t="e">
        <f>IF(Z964&gt;0,((IF(OR(D964="DF",D964="RA")=TRUE,EXP(VLOOKUP(D964,'Species Codes'!B:I,8,0)+VLOOKUP(D964,'Species Codes'!B:J,9,0)*(LN((E964*2.54)))),IF(OR(D964="PY",D964="RC",D964="WH",D964="NF")=TRUE,VLOOKUP(D964,'Species Codes'!B:I,8,0)+VLOOKUP(D964,'Species Codes'!B:J,9,0)*((E964*2.54)^2)*(I964*0.3048),IF(OR(D964="MD",D964="BM",D964="GA")=TRUE,((VLOOKUP(D964,'Species Codes'!B:I,8,0)*(((((E964*2.54)+VLOOKUP(D964,'Species Codes'!B:J,9,0))/VLOOKUP(D964,'Species Codes'!B:K,10,0))^VLOOKUP(D964,'Species Codes'!B:L,11,0))*((I964*0.3048)^VLOOKUP(D964,'Species Codes'!B:M,12,0))))-(VLOOKUP(D964,'Species Codes'!B:I,8,0)*((((E964*2.54)^VLOOKUP(D964,'Species Codes'!B:L,11,0))*((I964*0.3048)^VLOOKUP(D964,'Species Codes'!B:M,12,0))))))*35.3*VLOOKUP(D964,'Species Codes'!B:G,6,0)/2.2046,VLOOKUP(D964,'Species Codes'!B:I,8,0)+VLOOKUP(D964,'Species Codes'!B:J,9,0)*(((E964*2.54)/100)^2)*(I964*0.3048)))))*0.0011023),0)</f>
        <v>#N/A</v>
      </c>
      <c r="AC964" s="104" t="e">
        <f>IF(Z964&gt;0,((IF(OR(D964="RA",D964="OA",D964="OT",D964="UN",D964="PC"),EXP(VLOOKUP(D964,'Species Codes'!B:O,14,0)+VLOOKUP(D964,'Species Codes'!B:P,15,0)*LN((E964*2.54)))-EXP(VLOOKUP(D964,'Species Codes'!B:O,14,0)+VLOOKUP(D964,'Species Codes'!B:P,15,0)*LN((E964*2.54)))*(1/(VLOOKUP(D964,'Species Codes'!B:Q,16,0)+VLOOKUP(D964,'Species Codes'!B:R,17,0)*((E964*2.54)^VLOOKUP(D964,'Species Codes'!B:S,18,0)))),IF(OR(D964="BM",D964="MD",D964="OA"),EXP(VLOOKUP(D964,'Species Codes'!B:O,14,0)+VLOOKUP(D964,'Species Codes'!B:P,15,0)*LN((E964*2.54)))*(1-(1/(VLOOKUP(D964,'Species Codes'!B:Q,16,0)+VLOOKUP(D964,'Species Codes'!B:R,17,0)*((E964*2.54)^VLOOKUP(D964,'Species Codes'!B:S,18,0)))))/1000,IF(D964="DF",EXP(VLOOKUP(D964,'Species Codes'!B:O,14,0)+VLOOKUP(D964,'Species Codes'!B:P,15,0)*LN((E964*2.54))),VLOOKUP(D964,'Species Codes'!B:O,14,0)+VLOOKUP(D964,'Species Codes'!B:P,15,0)*(((E964*2.54)/100)^2)*(I964*0.3048)))))*0.0011023),0)</f>
        <v>#N/A</v>
      </c>
      <c r="AD964" s="104" t="e">
        <f t="shared" si="436"/>
        <v>#N/A</v>
      </c>
      <c r="AE964" s="104" t="e">
        <f t="shared" si="437"/>
        <v>#N/A</v>
      </c>
      <c r="AF964" s="104" t="e">
        <f>IF(AND(VLOOKUP($D964,Merchantability!$B:$C,2,0)="Yes",$E964&gt;=VLOOKUP($D964,Merchantability!$B:$D,3,0),$E964&lt;=VLOOKUP($D964,Merchantability!$B:$E,4,0)),AA964,0)</f>
        <v>#N/A</v>
      </c>
      <c r="AG964" s="104" t="e">
        <f>IF(AND(VLOOKUP($D964,Merchantability!$B:$C,2,0)="Yes",$E964&gt;=VLOOKUP($D964,Merchantability!$B:$D,3,0),$E964&lt;=VLOOKUP($D964,Merchantability!$B:$E,4,0)),AB964,0)</f>
        <v>#N/A</v>
      </c>
      <c r="AH964" s="104" t="e">
        <f>IF(AND(VLOOKUP($D964,Merchantability!$B:$C,2,0)="Yes",$E964&gt;=VLOOKUP($D964,Merchantability!$B:$D,3,0),$E964&lt;=VLOOKUP($D964,Merchantability!$B:$E,4,0)),AC964,0)</f>
        <v>#N/A</v>
      </c>
      <c r="AI964" s="104" t="e">
        <f t="shared" si="438"/>
        <v>#N/A</v>
      </c>
      <c r="AJ964" s="104" t="e">
        <f t="shared" si="439"/>
        <v>#VALUE!</v>
      </c>
      <c r="AK964" s="104" t="e">
        <f t="shared" si="440"/>
        <v>#N/A</v>
      </c>
      <c r="AL964" s="104" t="e">
        <f t="shared" si="441"/>
        <v>#N/A</v>
      </c>
      <c r="AM964" s="104" t="e">
        <f t="shared" si="442"/>
        <v>#N/A</v>
      </c>
      <c r="AN964" s="104" t="e">
        <f t="shared" si="453"/>
        <v>#N/A</v>
      </c>
      <c r="AO964" s="104" t="e">
        <f t="shared" si="454"/>
        <v>#N/A</v>
      </c>
      <c r="AP964" s="104" t="e">
        <f t="shared" si="455"/>
        <v>#N/A</v>
      </c>
      <c r="AQ964" s="104" t="e">
        <f t="shared" si="456"/>
        <v>#N/A</v>
      </c>
      <c r="AR964" s="105" t="str">
        <f t="shared" si="448"/>
        <v/>
      </c>
      <c r="AS964" s="105" t="str">
        <f t="shared" si="449"/>
        <v/>
      </c>
      <c r="AT964" s="108" t="str">
        <f t="shared" si="450"/>
        <v/>
      </c>
      <c r="AU964" s="108" t="str">
        <f t="shared" si="451"/>
        <v/>
      </c>
      <c r="AV964" s="107" t="str">
        <f>IF(ISNUMBER(O964),IF(VLOOKUP($A964,Stand!C:J,8,FALSE)="Short",AT964,AU964),"")</f>
        <v/>
      </c>
      <c r="AW964" s="109" t="str">
        <f t="shared" si="457"/>
        <v/>
      </c>
      <c r="AX964" s="109" t="str">
        <f t="shared" si="458"/>
        <v/>
      </c>
      <c r="AY964" s="112" t="str">
        <f>IF(ISNUMBER(O964),IF(AND(VLOOKUP($D964,Merchantability!$B:$C,2,0)="Yes",$E964&gt;=VLOOKUP($D964,Merchantability!$B:$D,3,0),$E964&lt;=VLOOKUP($D964,Merchantability!$B:$E,4,0)),(AV964*O964)*(1-$H964/100),""),"")</f>
        <v/>
      </c>
      <c r="AZ964" s="116"/>
      <c r="BA964" s="116"/>
      <c r="BB964" s="116"/>
      <c r="BE964" s="62"/>
      <c r="BF964" s="63"/>
    </row>
    <row r="965" spans="1:58" ht="12.75" customHeight="1" x14ac:dyDescent="0.25">
      <c r="A965" s="313"/>
      <c r="B965" s="328"/>
      <c r="C965" s="329"/>
      <c r="D965" s="328"/>
      <c r="E965" s="330"/>
      <c r="F965" s="328"/>
      <c r="G965" s="329"/>
      <c r="H965" s="329"/>
      <c r="I965" s="328"/>
      <c r="J965" s="383"/>
      <c r="K965" s="329"/>
      <c r="L965" s="329"/>
      <c r="M965" s="76"/>
      <c r="N965" s="103" t="str">
        <f>IF(A965="","",VLOOKUP(A965,Stand!C:K,9,0))</f>
        <v/>
      </c>
      <c r="O965" s="104" t="str">
        <f t="shared" si="443"/>
        <v/>
      </c>
      <c r="P965" s="105" t="str">
        <f t="shared" si="444"/>
        <v/>
      </c>
      <c r="Q965" s="105" t="str">
        <f t="shared" si="432"/>
        <v/>
      </c>
      <c r="R965" s="103" t="str">
        <f t="shared" si="445"/>
        <v/>
      </c>
      <c r="S965" s="103" t="str">
        <f t="shared" si="446"/>
        <v/>
      </c>
      <c r="T965" s="106" t="str">
        <f t="shared" si="433"/>
        <v/>
      </c>
      <c r="U965" s="106" t="str">
        <f t="shared" si="434"/>
        <v/>
      </c>
      <c r="V965" s="106" t="str">
        <f t="shared" si="435"/>
        <v/>
      </c>
      <c r="W965" s="105" t="str">
        <f t="shared" si="447"/>
        <v/>
      </c>
      <c r="X965" s="104" t="str">
        <f t="shared" si="452"/>
        <v/>
      </c>
      <c r="Y965" s="104" t="str">
        <f t="array" ref="Y965">IFERROR(IF(ISNUMBER(O965),IF(COUNT(IF(A965=$A$2:$A$2427,IF(D965=$D$2:$D$2427,IF($X$2:$X$2427&gt;0,1))))&gt;0,SUM(IF(A965=$A$2:$A$2427,IF(D965=$D$2:$D$2427,$X$2:$X$2427)))/COUNT(IF(A965=$A$2:$A$2427,IF(D965=$D$2:$D$2427,IF(ISNUMBER($X$2:$X$2427),1)))),0),""),0)</f>
        <v/>
      </c>
      <c r="Z965" s="104" t="str">
        <f>IF(ISNUMBER(O965),IF(I965&gt;0,(10^(VLOOKUP(D965,'Species Codes'!B:C,2,0)+VLOOKUP(D965,'Species Codes'!B:D,3,0)*LOG(E965)+VLOOKUP(D965,'Species Codes'!B:E,4,0)*LOG(I965))),0),"")</f>
        <v/>
      </c>
      <c r="AA965" s="104" t="str">
        <f>IFERROR((VLOOKUP(D965,'Species Codes'!B:G,6,0)*Z965)/2000,"")</f>
        <v/>
      </c>
      <c r="AB965" s="104" t="e">
        <f>IF(Z965&gt;0,((IF(OR(D965="DF",D965="RA")=TRUE,EXP(VLOOKUP(D965,'Species Codes'!B:I,8,0)+VLOOKUP(D965,'Species Codes'!B:J,9,0)*(LN((E965*2.54)))),IF(OR(D965="PY",D965="RC",D965="WH",D965="NF")=TRUE,VLOOKUP(D965,'Species Codes'!B:I,8,0)+VLOOKUP(D965,'Species Codes'!B:J,9,0)*((E965*2.54)^2)*(I965*0.3048),IF(OR(D965="MD",D965="BM",D965="GA")=TRUE,((VLOOKUP(D965,'Species Codes'!B:I,8,0)*(((((E965*2.54)+VLOOKUP(D965,'Species Codes'!B:J,9,0))/VLOOKUP(D965,'Species Codes'!B:K,10,0))^VLOOKUP(D965,'Species Codes'!B:L,11,0))*((I965*0.3048)^VLOOKUP(D965,'Species Codes'!B:M,12,0))))-(VLOOKUP(D965,'Species Codes'!B:I,8,0)*((((E965*2.54)^VLOOKUP(D965,'Species Codes'!B:L,11,0))*((I965*0.3048)^VLOOKUP(D965,'Species Codes'!B:M,12,0))))))*35.3*VLOOKUP(D965,'Species Codes'!B:G,6,0)/2.2046,VLOOKUP(D965,'Species Codes'!B:I,8,0)+VLOOKUP(D965,'Species Codes'!B:J,9,0)*(((E965*2.54)/100)^2)*(I965*0.3048)))))*0.0011023),0)</f>
        <v>#N/A</v>
      </c>
      <c r="AC965" s="104" t="e">
        <f>IF(Z965&gt;0,((IF(OR(D965="RA",D965="OA",D965="OT",D965="UN",D965="PC"),EXP(VLOOKUP(D965,'Species Codes'!B:O,14,0)+VLOOKUP(D965,'Species Codes'!B:P,15,0)*LN((E965*2.54)))-EXP(VLOOKUP(D965,'Species Codes'!B:O,14,0)+VLOOKUP(D965,'Species Codes'!B:P,15,0)*LN((E965*2.54)))*(1/(VLOOKUP(D965,'Species Codes'!B:Q,16,0)+VLOOKUP(D965,'Species Codes'!B:R,17,0)*((E965*2.54)^VLOOKUP(D965,'Species Codes'!B:S,18,0)))),IF(OR(D965="BM",D965="MD",D965="OA"),EXP(VLOOKUP(D965,'Species Codes'!B:O,14,0)+VLOOKUP(D965,'Species Codes'!B:P,15,0)*LN((E965*2.54)))*(1-(1/(VLOOKUP(D965,'Species Codes'!B:Q,16,0)+VLOOKUP(D965,'Species Codes'!B:R,17,0)*((E965*2.54)^VLOOKUP(D965,'Species Codes'!B:S,18,0)))))/1000,IF(D965="DF",EXP(VLOOKUP(D965,'Species Codes'!B:O,14,0)+VLOOKUP(D965,'Species Codes'!B:P,15,0)*LN((E965*2.54))),VLOOKUP(D965,'Species Codes'!B:O,14,0)+VLOOKUP(D965,'Species Codes'!B:P,15,0)*(((E965*2.54)/100)^2)*(I965*0.3048)))))*0.0011023),0)</f>
        <v>#N/A</v>
      </c>
      <c r="AD965" s="104" t="e">
        <f t="shared" si="436"/>
        <v>#N/A</v>
      </c>
      <c r="AE965" s="104" t="e">
        <f t="shared" si="437"/>
        <v>#N/A</v>
      </c>
      <c r="AF965" s="104" t="e">
        <f>IF(AND(VLOOKUP($D965,Merchantability!$B:$C,2,0)="Yes",$E965&gt;=VLOOKUP($D965,Merchantability!$B:$D,3,0),$E965&lt;=VLOOKUP($D965,Merchantability!$B:$E,4,0)),AA965,0)</f>
        <v>#N/A</v>
      </c>
      <c r="AG965" s="104" t="e">
        <f>IF(AND(VLOOKUP($D965,Merchantability!$B:$C,2,0)="Yes",$E965&gt;=VLOOKUP($D965,Merchantability!$B:$D,3,0),$E965&lt;=VLOOKUP($D965,Merchantability!$B:$E,4,0)),AB965,0)</f>
        <v>#N/A</v>
      </c>
      <c r="AH965" s="104" t="e">
        <f>IF(AND(VLOOKUP($D965,Merchantability!$B:$C,2,0)="Yes",$E965&gt;=VLOOKUP($D965,Merchantability!$B:$D,3,0),$E965&lt;=VLOOKUP($D965,Merchantability!$B:$E,4,0)),AC965,0)</f>
        <v>#N/A</v>
      </c>
      <c r="AI965" s="104" t="e">
        <f t="shared" si="438"/>
        <v>#N/A</v>
      </c>
      <c r="AJ965" s="104" t="e">
        <f t="shared" si="439"/>
        <v>#VALUE!</v>
      </c>
      <c r="AK965" s="104" t="e">
        <f t="shared" si="440"/>
        <v>#N/A</v>
      </c>
      <c r="AL965" s="104" t="e">
        <f t="shared" si="441"/>
        <v>#N/A</v>
      </c>
      <c r="AM965" s="104" t="e">
        <f t="shared" si="442"/>
        <v>#N/A</v>
      </c>
      <c r="AN965" s="104" t="e">
        <f t="shared" si="453"/>
        <v>#N/A</v>
      </c>
      <c r="AO965" s="104" t="e">
        <f t="shared" si="454"/>
        <v>#N/A</v>
      </c>
      <c r="AP965" s="104" t="e">
        <f t="shared" si="455"/>
        <v>#N/A</v>
      </c>
      <c r="AQ965" s="104" t="e">
        <f t="shared" si="456"/>
        <v>#N/A</v>
      </c>
      <c r="AR965" s="105" t="str">
        <f t="shared" si="448"/>
        <v/>
      </c>
      <c r="AS965" s="105" t="str">
        <f t="shared" si="449"/>
        <v/>
      </c>
      <c r="AT965" s="108" t="str">
        <f t="shared" si="450"/>
        <v/>
      </c>
      <c r="AU965" s="108" t="str">
        <f t="shared" si="451"/>
        <v/>
      </c>
      <c r="AV965" s="107" t="str">
        <f>IF(ISNUMBER(O965),IF(VLOOKUP($A965,Stand!C:J,8,FALSE)="Short",AT965,AU965),"")</f>
        <v/>
      </c>
      <c r="AW965" s="109" t="str">
        <f t="shared" si="457"/>
        <v/>
      </c>
      <c r="AX965" s="109" t="str">
        <f t="shared" si="458"/>
        <v/>
      </c>
      <c r="AY965" s="112" t="str">
        <f>IF(ISNUMBER(O965),IF(AND(VLOOKUP($D965,Merchantability!$B:$C,2,0)="Yes",$E965&gt;=VLOOKUP($D965,Merchantability!$B:$D,3,0),$E965&lt;=VLOOKUP($D965,Merchantability!$B:$E,4,0)),(AV965*O965)*(1-$H965/100),""),"")</f>
        <v/>
      </c>
      <c r="AZ965" s="116"/>
      <c r="BA965" s="116"/>
      <c r="BB965" s="116"/>
      <c r="BE965" s="62"/>
      <c r="BF965" s="63"/>
    </row>
    <row r="966" spans="1:58" ht="12.75" customHeight="1" x14ac:dyDescent="0.25">
      <c r="A966" s="313"/>
      <c r="B966" s="328"/>
      <c r="C966" s="329"/>
      <c r="D966" s="328"/>
      <c r="E966" s="330"/>
      <c r="F966" s="328"/>
      <c r="G966" s="329"/>
      <c r="H966" s="329"/>
      <c r="I966" s="328"/>
      <c r="J966" s="383"/>
      <c r="K966" s="329"/>
      <c r="L966" s="329"/>
      <c r="M966" s="76"/>
      <c r="N966" s="103" t="str">
        <f>IF(A966="","",VLOOKUP(A966,Stand!C:K,9,0))</f>
        <v/>
      </c>
      <c r="O966" s="104" t="str">
        <f t="shared" si="443"/>
        <v/>
      </c>
      <c r="P966" s="105" t="str">
        <f t="shared" si="444"/>
        <v/>
      </c>
      <c r="Q966" s="105" t="str">
        <f t="shared" si="432"/>
        <v/>
      </c>
      <c r="R966" s="103" t="str">
        <f t="shared" si="445"/>
        <v/>
      </c>
      <c r="S966" s="103" t="str">
        <f t="shared" si="446"/>
        <v/>
      </c>
      <c r="T966" s="106" t="str">
        <f t="shared" si="433"/>
        <v/>
      </c>
      <c r="U966" s="106" t="str">
        <f t="shared" si="434"/>
        <v/>
      </c>
      <c r="V966" s="106" t="str">
        <f t="shared" si="435"/>
        <v/>
      </c>
      <c r="W966" s="105" t="str">
        <f t="shared" si="447"/>
        <v/>
      </c>
      <c r="X966" s="104" t="str">
        <f t="shared" si="452"/>
        <v/>
      </c>
      <c r="Y966" s="104" t="str">
        <f t="array" ref="Y966">IFERROR(IF(ISNUMBER(O966),IF(COUNT(IF(A966=$A$2:$A$2427,IF(D966=$D$2:$D$2427,IF($X$2:$X$2427&gt;0,1))))&gt;0,SUM(IF(A966=$A$2:$A$2427,IF(D966=$D$2:$D$2427,$X$2:$X$2427)))/COUNT(IF(A966=$A$2:$A$2427,IF(D966=$D$2:$D$2427,IF(ISNUMBER($X$2:$X$2427),1)))),0),""),0)</f>
        <v/>
      </c>
      <c r="Z966" s="104" t="str">
        <f>IF(ISNUMBER(O966),IF(I966&gt;0,(10^(VLOOKUP(D966,'Species Codes'!B:C,2,0)+VLOOKUP(D966,'Species Codes'!B:D,3,0)*LOG(E966)+VLOOKUP(D966,'Species Codes'!B:E,4,0)*LOG(I966))),0),"")</f>
        <v/>
      </c>
      <c r="AA966" s="104" t="str">
        <f>IFERROR((VLOOKUP(D966,'Species Codes'!B:G,6,0)*Z966)/2000,"")</f>
        <v/>
      </c>
      <c r="AB966" s="104" t="e">
        <f>IF(Z966&gt;0,((IF(OR(D966="DF",D966="RA")=TRUE,EXP(VLOOKUP(D966,'Species Codes'!B:I,8,0)+VLOOKUP(D966,'Species Codes'!B:J,9,0)*(LN((E966*2.54)))),IF(OR(D966="PY",D966="RC",D966="WH",D966="NF")=TRUE,VLOOKUP(D966,'Species Codes'!B:I,8,0)+VLOOKUP(D966,'Species Codes'!B:J,9,0)*((E966*2.54)^2)*(I966*0.3048),IF(OR(D966="MD",D966="BM",D966="GA")=TRUE,((VLOOKUP(D966,'Species Codes'!B:I,8,0)*(((((E966*2.54)+VLOOKUP(D966,'Species Codes'!B:J,9,0))/VLOOKUP(D966,'Species Codes'!B:K,10,0))^VLOOKUP(D966,'Species Codes'!B:L,11,0))*((I966*0.3048)^VLOOKUP(D966,'Species Codes'!B:M,12,0))))-(VLOOKUP(D966,'Species Codes'!B:I,8,0)*((((E966*2.54)^VLOOKUP(D966,'Species Codes'!B:L,11,0))*((I966*0.3048)^VLOOKUP(D966,'Species Codes'!B:M,12,0))))))*35.3*VLOOKUP(D966,'Species Codes'!B:G,6,0)/2.2046,VLOOKUP(D966,'Species Codes'!B:I,8,0)+VLOOKUP(D966,'Species Codes'!B:J,9,0)*(((E966*2.54)/100)^2)*(I966*0.3048)))))*0.0011023),0)</f>
        <v>#N/A</v>
      </c>
      <c r="AC966" s="104" t="e">
        <f>IF(Z966&gt;0,((IF(OR(D966="RA",D966="OA",D966="OT",D966="UN",D966="PC"),EXP(VLOOKUP(D966,'Species Codes'!B:O,14,0)+VLOOKUP(D966,'Species Codes'!B:P,15,0)*LN((E966*2.54)))-EXP(VLOOKUP(D966,'Species Codes'!B:O,14,0)+VLOOKUP(D966,'Species Codes'!B:P,15,0)*LN((E966*2.54)))*(1/(VLOOKUP(D966,'Species Codes'!B:Q,16,0)+VLOOKUP(D966,'Species Codes'!B:R,17,0)*((E966*2.54)^VLOOKUP(D966,'Species Codes'!B:S,18,0)))),IF(OR(D966="BM",D966="MD",D966="OA"),EXP(VLOOKUP(D966,'Species Codes'!B:O,14,0)+VLOOKUP(D966,'Species Codes'!B:P,15,0)*LN((E966*2.54)))*(1-(1/(VLOOKUP(D966,'Species Codes'!B:Q,16,0)+VLOOKUP(D966,'Species Codes'!B:R,17,0)*((E966*2.54)^VLOOKUP(D966,'Species Codes'!B:S,18,0)))))/1000,IF(D966="DF",EXP(VLOOKUP(D966,'Species Codes'!B:O,14,0)+VLOOKUP(D966,'Species Codes'!B:P,15,0)*LN((E966*2.54))),VLOOKUP(D966,'Species Codes'!B:O,14,0)+VLOOKUP(D966,'Species Codes'!B:P,15,0)*(((E966*2.54)/100)^2)*(I966*0.3048)))))*0.0011023),0)</f>
        <v>#N/A</v>
      </c>
      <c r="AD966" s="104" t="e">
        <f t="shared" si="436"/>
        <v>#N/A</v>
      </c>
      <c r="AE966" s="104" t="e">
        <f t="shared" si="437"/>
        <v>#N/A</v>
      </c>
      <c r="AF966" s="104" t="e">
        <f>IF(AND(VLOOKUP($D966,Merchantability!$B:$C,2,0)="Yes",$E966&gt;=VLOOKUP($D966,Merchantability!$B:$D,3,0),$E966&lt;=VLOOKUP($D966,Merchantability!$B:$E,4,0)),AA966,0)</f>
        <v>#N/A</v>
      </c>
      <c r="AG966" s="104" t="e">
        <f>IF(AND(VLOOKUP($D966,Merchantability!$B:$C,2,0)="Yes",$E966&gt;=VLOOKUP($D966,Merchantability!$B:$D,3,0),$E966&lt;=VLOOKUP($D966,Merchantability!$B:$E,4,0)),AB966,0)</f>
        <v>#N/A</v>
      </c>
      <c r="AH966" s="104" t="e">
        <f>IF(AND(VLOOKUP($D966,Merchantability!$B:$C,2,0)="Yes",$E966&gt;=VLOOKUP($D966,Merchantability!$B:$D,3,0),$E966&lt;=VLOOKUP($D966,Merchantability!$B:$E,4,0)),AC966,0)</f>
        <v>#N/A</v>
      </c>
      <c r="AI966" s="104" t="e">
        <f t="shared" si="438"/>
        <v>#N/A</v>
      </c>
      <c r="AJ966" s="104" t="e">
        <f t="shared" si="439"/>
        <v>#VALUE!</v>
      </c>
      <c r="AK966" s="104" t="e">
        <f t="shared" si="440"/>
        <v>#N/A</v>
      </c>
      <c r="AL966" s="104" t="e">
        <f t="shared" si="441"/>
        <v>#N/A</v>
      </c>
      <c r="AM966" s="104" t="e">
        <f t="shared" si="442"/>
        <v>#N/A</v>
      </c>
      <c r="AN966" s="104" t="e">
        <f t="shared" si="453"/>
        <v>#N/A</v>
      </c>
      <c r="AO966" s="104" t="e">
        <f t="shared" si="454"/>
        <v>#N/A</v>
      </c>
      <c r="AP966" s="104" t="e">
        <f t="shared" si="455"/>
        <v>#N/A</v>
      </c>
      <c r="AQ966" s="104" t="e">
        <f t="shared" si="456"/>
        <v>#N/A</v>
      </c>
      <c r="AR966" s="105" t="str">
        <f t="shared" si="448"/>
        <v/>
      </c>
      <c r="AS966" s="105" t="str">
        <f t="shared" si="449"/>
        <v/>
      </c>
      <c r="AT966" s="108" t="str">
        <f t="shared" si="450"/>
        <v/>
      </c>
      <c r="AU966" s="108" t="str">
        <f t="shared" si="451"/>
        <v/>
      </c>
      <c r="AV966" s="107" t="str">
        <f>IF(ISNUMBER(O966),IF(VLOOKUP($A966,Stand!C:J,8,FALSE)="Short",AT966,AU966),"")</f>
        <v/>
      </c>
      <c r="AW966" s="109" t="str">
        <f t="shared" si="457"/>
        <v/>
      </c>
      <c r="AX966" s="109" t="str">
        <f t="shared" si="458"/>
        <v/>
      </c>
      <c r="AY966" s="112" t="str">
        <f>IF(ISNUMBER(O966),IF(AND(VLOOKUP($D966,Merchantability!$B:$C,2,0)="Yes",$E966&gt;=VLOOKUP($D966,Merchantability!$B:$D,3,0),$E966&lt;=VLOOKUP($D966,Merchantability!$B:$E,4,0)),(AV966*O966)*(1-$H966/100),""),"")</f>
        <v/>
      </c>
      <c r="AZ966" s="116"/>
      <c r="BA966" s="116"/>
      <c r="BB966" s="116"/>
      <c r="BE966" s="62"/>
      <c r="BF966" s="63"/>
    </row>
    <row r="967" spans="1:58" ht="12.75" customHeight="1" x14ac:dyDescent="0.25">
      <c r="A967" s="313"/>
      <c r="B967" s="328"/>
      <c r="C967" s="329"/>
      <c r="D967" s="328"/>
      <c r="E967" s="330"/>
      <c r="F967" s="328"/>
      <c r="G967" s="329"/>
      <c r="H967" s="329"/>
      <c r="I967" s="328"/>
      <c r="J967" s="383"/>
      <c r="K967" s="329"/>
      <c r="L967" s="329"/>
      <c r="M967" s="76"/>
      <c r="N967" s="103" t="str">
        <f>IF(A967="","",VLOOKUP(A967,Stand!C:K,9,0))</f>
        <v/>
      </c>
      <c r="O967" s="104" t="str">
        <f t="shared" si="443"/>
        <v/>
      </c>
      <c r="P967" s="105" t="str">
        <f t="shared" si="444"/>
        <v/>
      </c>
      <c r="Q967" s="105" t="str">
        <f t="shared" si="432"/>
        <v/>
      </c>
      <c r="R967" s="103" t="str">
        <f t="shared" si="445"/>
        <v/>
      </c>
      <c r="S967" s="103" t="str">
        <f t="shared" si="446"/>
        <v/>
      </c>
      <c r="T967" s="106" t="str">
        <f t="shared" si="433"/>
        <v/>
      </c>
      <c r="U967" s="106" t="str">
        <f t="shared" si="434"/>
        <v/>
      </c>
      <c r="V967" s="106" t="str">
        <f t="shared" si="435"/>
        <v/>
      </c>
      <c r="W967" s="105" t="str">
        <f t="shared" si="447"/>
        <v/>
      </c>
      <c r="X967" s="104" t="str">
        <f t="shared" si="452"/>
        <v/>
      </c>
      <c r="Y967" s="104" t="str">
        <f t="array" ref="Y967">IFERROR(IF(ISNUMBER(O967),IF(COUNT(IF(A967=$A$2:$A$2427,IF(D967=$D$2:$D$2427,IF($X$2:$X$2427&gt;0,1))))&gt;0,SUM(IF(A967=$A$2:$A$2427,IF(D967=$D$2:$D$2427,$X$2:$X$2427)))/COUNT(IF(A967=$A$2:$A$2427,IF(D967=$D$2:$D$2427,IF(ISNUMBER($X$2:$X$2427),1)))),0),""),0)</f>
        <v/>
      </c>
      <c r="Z967" s="104" t="str">
        <f>IF(ISNUMBER(O967),IF(I967&gt;0,(10^(VLOOKUP(D967,'Species Codes'!B:C,2,0)+VLOOKUP(D967,'Species Codes'!B:D,3,0)*LOG(E967)+VLOOKUP(D967,'Species Codes'!B:E,4,0)*LOG(I967))),0),"")</f>
        <v/>
      </c>
      <c r="AA967" s="104" t="str">
        <f>IFERROR((VLOOKUP(D967,'Species Codes'!B:G,6,0)*Z967)/2000,"")</f>
        <v/>
      </c>
      <c r="AB967" s="104" t="e">
        <f>IF(Z967&gt;0,((IF(OR(D967="DF",D967="RA")=TRUE,EXP(VLOOKUP(D967,'Species Codes'!B:I,8,0)+VLOOKUP(D967,'Species Codes'!B:J,9,0)*(LN((E967*2.54)))),IF(OR(D967="PY",D967="RC",D967="WH",D967="NF")=TRUE,VLOOKUP(D967,'Species Codes'!B:I,8,0)+VLOOKUP(D967,'Species Codes'!B:J,9,0)*((E967*2.54)^2)*(I967*0.3048),IF(OR(D967="MD",D967="BM",D967="GA")=TRUE,((VLOOKUP(D967,'Species Codes'!B:I,8,0)*(((((E967*2.54)+VLOOKUP(D967,'Species Codes'!B:J,9,0))/VLOOKUP(D967,'Species Codes'!B:K,10,0))^VLOOKUP(D967,'Species Codes'!B:L,11,0))*((I967*0.3048)^VLOOKUP(D967,'Species Codes'!B:M,12,0))))-(VLOOKUP(D967,'Species Codes'!B:I,8,0)*((((E967*2.54)^VLOOKUP(D967,'Species Codes'!B:L,11,0))*((I967*0.3048)^VLOOKUP(D967,'Species Codes'!B:M,12,0))))))*35.3*VLOOKUP(D967,'Species Codes'!B:G,6,0)/2.2046,VLOOKUP(D967,'Species Codes'!B:I,8,0)+VLOOKUP(D967,'Species Codes'!B:J,9,0)*(((E967*2.54)/100)^2)*(I967*0.3048)))))*0.0011023),0)</f>
        <v>#N/A</v>
      </c>
      <c r="AC967" s="104" t="e">
        <f>IF(Z967&gt;0,((IF(OR(D967="RA",D967="OA",D967="OT",D967="UN",D967="PC"),EXP(VLOOKUP(D967,'Species Codes'!B:O,14,0)+VLOOKUP(D967,'Species Codes'!B:P,15,0)*LN((E967*2.54)))-EXP(VLOOKUP(D967,'Species Codes'!B:O,14,0)+VLOOKUP(D967,'Species Codes'!B:P,15,0)*LN((E967*2.54)))*(1/(VLOOKUP(D967,'Species Codes'!B:Q,16,0)+VLOOKUP(D967,'Species Codes'!B:R,17,0)*((E967*2.54)^VLOOKUP(D967,'Species Codes'!B:S,18,0)))),IF(OR(D967="BM",D967="MD",D967="OA"),EXP(VLOOKUP(D967,'Species Codes'!B:O,14,0)+VLOOKUP(D967,'Species Codes'!B:P,15,0)*LN((E967*2.54)))*(1-(1/(VLOOKUP(D967,'Species Codes'!B:Q,16,0)+VLOOKUP(D967,'Species Codes'!B:R,17,0)*((E967*2.54)^VLOOKUP(D967,'Species Codes'!B:S,18,0)))))/1000,IF(D967="DF",EXP(VLOOKUP(D967,'Species Codes'!B:O,14,0)+VLOOKUP(D967,'Species Codes'!B:P,15,0)*LN((E967*2.54))),VLOOKUP(D967,'Species Codes'!B:O,14,0)+VLOOKUP(D967,'Species Codes'!B:P,15,0)*(((E967*2.54)/100)^2)*(I967*0.3048)))))*0.0011023),0)</f>
        <v>#N/A</v>
      </c>
      <c r="AD967" s="104" t="e">
        <f t="shared" si="436"/>
        <v>#N/A</v>
      </c>
      <c r="AE967" s="104" t="e">
        <f t="shared" si="437"/>
        <v>#N/A</v>
      </c>
      <c r="AF967" s="104" t="e">
        <f>IF(AND(VLOOKUP($D967,Merchantability!$B:$C,2,0)="Yes",$E967&gt;=VLOOKUP($D967,Merchantability!$B:$D,3,0),$E967&lt;=VLOOKUP($D967,Merchantability!$B:$E,4,0)),AA967,0)</f>
        <v>#N/A</v>
      </c>
      <c r="AG967" s="104" t="e">
        <f>IF(AND(VLOOKUP($D967,Merchantability!$B:$C,2,0)="Yes",$E967&gt;=VLOOKUP($D967,Merchantability!$B:$D,3,0),$E967&lt;=VLOOKUP($D967,Merchantability!$B:$E,4,0)),AB967,0)</f>
        <v>#N/A</v>
      </c>
      <c r="AH967" s="104" t="e">
        <f>IF(AND(VLOOKUP($D967,Merchantability!$B:$C,2,0)="Yes",$E967&gt;=VLOOKUP($D967,Merchantability!$B:$D,3,0),$E967&lt;=VLOOKUP($D967,Merchantability!$B:$E,4,0)),AC967,0)</f>
        <v>#N/A</v>
      </c>
      <c r="AI967" s="104" t="e">
        <f t="shared" si="438"/>
        <v>#N/A</v>
      </c>
      <c r="AJ967" s="104" t="e">
        <f t="shared" si="439"/>
        <v>#VALUE!</v>
      </c>
      <c r="AK967" s="104" t="e">
        <f t="shared" si="440"/>
        <v>#N/A</v>
      </c>
      <c r="AL967" s="104" t="e">
        <f t="shared" si="441"/>
        <v>#N/A</v>
      </c>
      <c r="AM967" s="104" t="e">
        <f t="shared" si="442"/>
        <v>#N/A</v>
      </c>
      <c r="AN967" s="104" t="e">
        <f t="shared" si="453"/>
        <v>#N/A</v>
      </c>
      <c r="AO967" s="104" t="e">
        <f t="shared" si="454"/>
        <v>#N/A</v>
      </c>
      <c r="AP967" s="104" t="e">
        <f t="shared" si="455"/>
        <v>#N/A</v>
      </c>
      <c r="AQ967" s="104" t="e">
        <f t="shared" si="456"/>
        <v>#N/A</v>
      </c>
      <c r="AR967" s="105" t="str">
        <f t="shared" si="448"/>
        <v/>
      </c>
      <c r="AS967" s="105" t="str">
        <f t="shared" si="449"/>
        <v/>
      </c>
      <c r="AT967" s="108" t="str">
        <f t="shared" si="450"/>
        <v/>
      </c>
      <c r="AU967" s="108" t="str">
        <f t="shared" si="451"/>
        <v/>
      </c>
      <c r="AV967" s="107" t="str">
        <f>IF(ISNUMBER(O967),IF(VLOOKUP($A967,Stand!C:J,8,FALSE)="Short",AT967,AU967),"")</f>
        <v/>
      </c>
      <c r="AW967" s="109" t="str">
        <f t="shared" si="457"/>
        <v/>
      </c>
      <c r="AX967" s="109" t="str">
        <f t="shared" si="458"/>
        <v/>
      </c>
      <c r="AY967" s="112" t="str">
        <f>IF(ISNUMBER(O967),IF(AND(VLOOKUP($D967,Merchantability!$B:$C,2,0)="Yes",$E967&gt;=VLOOKUP($D967,Merchantability!$B:$D,3,0),$E967&lt;=VLOOKUP($D967,Merchantability!$B:$E,4,0)),(AV967*O967)*(1-$H967/100),""),"")</f>
        <v/>
      </c>
      <c r="AZ967" s="116"/>
      <c r="BA967" s="116"/>
      <c r="BB967" s="116"/>
      <c r="BE967" s="62"/>
      <c r="BF967" s="63"/>
    </row>
    <row r="968" spans="1:58" ht="12.75" customHeight="1" x14ac:dyDescent="0.25">
      <c r="A968" s="313"/>
      <c r="B968" s="328"/>
      <c r="C968" s="329"/>
      <c r="D968" s="328"/>
      <c r="E968" s="330"/>
      <c r="F968" s="328"/>
      <c r="G968" s="329"/>
      <c r="H968" s="329"/>
      <c r="I968" s="328"/>
      <c r="J968" s="383"/>
      <c r="K968" s="329"/>
      <c r="L968" s="329"/>
      <c r="M968" s="76"/>
      <c r="N968" s="103" t="str">
        <f>IF(A968="","",VLOOKUP(A968,Stand!C:K,9,0))</f>
        <v/>
      </c>
      <c r="O968" s="104" t="str">
        <f t="shared" si="443"/>
        <v/>
      </c>
      <c r="P968" s="105" t="str">
        <f t="shared" si="444"/>
        <v/>
      </c>
      <c r="Q968" s="105" t="str">
        <f t="shared" si="432"/>
        <v/>
      </c>
      <c r="R968" s="103" t="str">
        <f t="shared" si="445"/>
        <v/>
      </c>
      <c r="S968" s="103" t="str">
        <f t="shared" si="446"/>
        <v/>
      </c>
      <c r="T968" s="106" t="str">
        <f t="shared" si="433"/>
        <v/>
      </c>
      <c r="U968" s="106" t="str">
        <f t="shared" si="434"/>
        <v/>
      </c>
      <c r="V968" s="106" t="str">
        <f t="shared" si="435"/>
        <v/>
      </c>
      <c r="W968" s="105" t="str">
        <f t="shared" si="447"/>
        <v/>
      </c>
      <c r="X968" s="104" t="str">
        <f t="shared" si="452"/>
        <v/>
      </c>
      <c r="Y968" s="104" t="str">
        <f t="array" ref="Y968">IFERROR(IF(ISNUMBER(O968),IF(COUNT(IF(A968=$A$2:$A$2427,IF(D968=$D$2:$D$2427,IF($X$2:$X$2427&gt;0,1))))&gt;0,SUM(IF(A968=$A$2:$A$2427,IF(D968=$D$2:$D$2427,$X$2:$X$2427)))/COUNT(IF(A968=$A$2:$A$2427,IF(D968=$D$2:$D$2427,IF(ISNUMBER($X$2:$X$2427),1)))),0),""),0)</f>
        <v/>
      </c>
      <c r="Z968" s="104" t="str">
        <f>IF(ISNUMBER(O968),IF(I968&gt;0,(10^(VLOOKUP(D968,'Species Codes'!B:C,2,0)+VLOOKUP(D968,'Species Codes'!B:D,3,0)*LOG(E968)+VLOOKUP(D968,'Species Codes'!B:E,4,0)*LOG(I968))),0),"")</f>
        <v/>
      </c>
      <c r="AA968" s="104" t="str">
        <f>IFERROR((VLOOKUP(D968,'Species Codes'!B:G,6,0)*Z968)/2000,"")</f>
        <v/>
      </c>
      <c r="AB968" s="104" t="e">
        <f>IF(Z968&gt;0,((IF(OR(D968="DF",D968="RA")=TRUE,EXP(VLOOKUP(D968,'Species Codes'!B:I,8,0)+VLOOKUP(D968,'Species Codes'!B:J,9,0)*(LN((E968*2.54)))),IF(OR(D968="PY",D968="RC",D968="WH",D968="NF")=TRUE,VLOOKUP(D968,'Species Codes'!B:I,8,0)+VLOOKUP(D968,'Species Codes'!B:J,9,0)*((E968*2.54)^2)*(I968*0.3048),IF(OR(D968="MD",D968="BM",D968="GA")=TRUE,((VLOOKUP(D968,'Species Codes'!B:I,8,0)*(((((E968*2.54)+VLOOKUP(D968,'Species Codes'!B:J,9,0))/VLOOKUP(D968,'Species Codes'!B:K,10,0))^VLOOKUP(D968,'Species Codes'!B:L,11,0))*((I968*0.3048)^VLOOKUP(D968,'Species Codes'!B:M,12,0))))-(VLOOKUP(D968,'Species Codes'!B:I,8,0)*((((E968*2.54)^VLOOKUP(D968,'Species Codes'!B:L,11,0))*((I968*0.3048)^VLOOKUP(D968,'Species Codes'!B:M,12,0))))))*35.3*VLOOKUP(D968,'Species Codes'!B:G,6,0)/2.2046,VLOOKUP(D968,'Species Codes'!B:I,8,0)+VLOOKUP(D968,'Species Codes'!B:J,9,0)*(((E968*2.54)/100)^2)*(I968*0.3048)))))*0.0011023),0)</f>
        <v>#N/A</v>
      </c>
      <c r="AC968" s="104" t="e">
        <f>IF(Z968&gt;0,((IF(OR(D968="RA",D968="OA",D968="OT",D968="UN",D968="PC"),EXP(VLOOKUP(D968,'Species Codes'!B:O,14,0)+VLOOKUP(D968,'Species Codes'!B:P,15,0)*LN((E968*2.54)))-EXP(VLOOKUP(D968,'Species Codes'!B:O,14,0)+VLOOKUP(D968,'Species Codes'!B:P,15,0)*LN((E968*2.54)))*(1/(VLOOKUP(D968,'Species Codes'!B:Q,16,0)+VLOOKUP(D968,'Species Codes'!B:R,17,0)*((E968*2.54)^VLOOKUP(D968,'Species Codes'!B:S,18,0)))),IF(OR(D968="BM",D968="MD",D968="OA"),EXP(VLOOKUP(D968,'Species Codes'!B:O,14,0)+VLOOKUP(D968,'Species Codes'!B:P,15,0)*LN((E968*2.54)))*(1-(1/(VLOOKUP(D968,'Species Codes'!B:Q,16,0)+VLOOKUP(D968,'Species Codes'!B:R,17,0)*((E968*2.54)^VLOOKUP(D968,'Species Codes'!B:S,18,0)))))/1000,IF(D968="DF",EXP(VLOOKUP(D968,'Species Codes'!B:O,14,0)+VLOOKUP(D968,'Species Codes'!B:P,15,0)*LN((E968*2.54))),VLOOKUP(D968,'Species Codes'!B:O,14,0)+VLOOKUP(D968,'Species Codes'!B:P,15,0)*(((E968*2.54)/100)^2)*(I968*0.3048)))))*0.0011023),0)</f>
        <v>#N/A</v>
      </c>
      <c r="AD968" s="104" t="e">
        <f t="shared" si="436"/>
        <v>#N/A</v>
      </c>
      <c r="AE968" s="104" t="e">
        <f t="shared" si="437"/>
        <v>#N/A</v>
      </c>
      <c r="AF968" s="104" t="e">
        <f>IF(AND(VLOOKUP($D968,Merchantability!$B:$C,2,0)="Yes",$E968&gt;=VLOOKUP($D968,Merchantability!$B:$D,3,0),$E968&lt;=VLOOKUP($D968,Merchantability!$B:$E,4,0)),AA968,0)</f>
        <v>#N/A</v>
      </c>
      <c r="AG968" s="104" t="e">
        <f>IF(AND(VLOOKUP($D968,Merchantability!$B:$C,2,0)="Yes",$E968&gt;=VLOOKUP($D968,Merchantability!$B:$D,3,0),$E968&lt;=VLOOKUP($D968,Merchantability!$B:$E,4,0)),AB968,0)</f>
        <v>#N/A</v>
      </c>
      <c r="AH968" s="104" t="e">
        <f>IF(AND(VLOOKUP($D968,Merchantability!$B:$C,2,0)="Yes",$E968&gt;=VLOOKUP($D968,Merchantability!$B:$D,3,0),$E968&lt;=VLOOKUP($D968,Merchantability!$B:$E,4,0)),AC968,0)</f>
        <v>#N/A</v>
      </c>
      <c r="AI968" s="104" t="e">
        <f t="shared" si="438"/>
        <v>#N/A</v>
      </c>
      <c r="AJ968" s="104" t="e">
        <f t="shared" si="439"/>
        <v>#VALUE!</v>
      </c>
      <c r="AK968" s="104" t="e">
        <f t="shared" si="440"/>
        <v>#N/A</v>
      </c>
      <c r="AL968" s="104" t="e">
        <f t="shared" si="441"/>
        <v>#N/A</v>
      </c>
      <c r="AM968" s="104" t="e">
        <f t="shared" si="442"/>
        <v>#N/A</v>
      </c>
      <c r="AN968" s="104" t="e">
        <f t="shared" si="453"/>
        <v>#N/A</v>
      </c>
      <c r="AO968" s="104" t="e">
        <f t="shared" si="454"/>
        <v>#N/A</v>
      </c>
      <c r="AP968" s="104" t="e">
        <f t="shared" si="455"/>
        <v>#N/A</v>
      </c>
      <c r="AQ968" s="104" t="e">
        <f t="shared" si="456"/>
        <v>#N/A</v>
      </c>
      <c r="AR968" s="105" t="str">
        <f t="shared" si="448"/>
        <v/>
      </c>
      <c r="AS968" s="105" t="str">
        <f t="shared" si="449"/>
        <v/>
      </c>
      <c r="AT968" s="108" t="str">
        <f t="shared" si="450"/>
        <v/>
      </c>
      <c r="AU968" s="108" t="str">
        <f t="shared" si="451"/>
        <v/>
      </c>
      <c r="AV968" s="107" t="str">
        <f>IF(ISNUMBER(O968),IF(VLOOKUP($A968,Stand!C:J,8,FALSE)="Short",AT968,AU968),"")</f>
        <v/>
      </c>
      <c r="AW968" s="109" t="str">
        <f t="shared" si="457"/>
        <v/>
      </c>
      <c r="AX968" s="109" t="str">
        <f t="shared" si="458"/>
        <v/>
      </c>
      <c r="AY968" s="112" t="str">
        <f>IF(ISNUMBER(O968),IF(AND(VLOOKUP($D968,Merchantability!$B:$C,2,0)="Yes",$E968&gt;=VLOOKUP($D968,Merchantability!$B:$D,3,0),$E968&lt;=VLOOKUP($D968,Merchantability!$B:$E,4,0)),(AV968*O968)*(1-$H968/100),""),"")</f>
        <v/>
      </c>
      <c r="AZ968" s="116"/>
      <c r="BA968" s="116"/>
      <c r="BB968" s="116"/>
      <c r="BE968" s="62"/>
      <c r="BF968" s="63"/>
    </row>
    <row r="969" spans="1:58" ht="12.75" customHeight="1" x14ac:dyDescent="0.25">
      <c r="A969" s="313"/>
      <c r="B969" s="328"/>
      <c r="C969" s="329"/>
      <c r="D969" s="328"/>
      <c r="E969" s="330"/>
      <c r="F969" s="328"/>
      <c r="G969" s="329"/>
      <c r="H969" s="329"/>
      <c r="I969" s="328"/>
      <c r="J969" s="383"/>
      <c r="K969" s="329"/>
      <c r="L969" s="329"/>
      <c r="M969" s="76"/>
      <c r="N969" s="103" t="str">
        <f>IF(A969="","",VLOOKUP(A969,Stand!C:K,9,0))</f>
        <v/>
      </c>
      <c r="O969" s="104" t="str">
        <f t="shared" si="443"/>
        <v/>
      </c>
      <c r="P969" s="105" t="str">
        <f t="shared" si="444"/>
        <v/>
      </c>
      <c r="Q969" s="105" t="str">
        <f t="shared" si="432"/>
        <v/>
      </c>
      <c r="R969" s="103" t="str">
        <f t="shared" si="445"/>
        <v/>
      </c>
      <c r="S969" s="103" t="str">
        <f t="shared" si="446"/>
        <v/>
      </c>
      <c r="T969" s="106" t="str">
        <f t="shared" si="433"/>
        <v/>
      </c>
      <c r="U969" s="106" t="str">
        <f t="shared" si="434"/>
        <v/>
      </c>
      <c r="V969" s="106" t="str">
        <f t="shared" si="435"/>
        <v/>
      </c>
      <c r="W969" s="105" t="str">
        <f t="shared" si="447"/>
        <v/>
      </c>
      <c r="X969" s="104" t="str">
        <f t="shared" si="452"/>
        <v/>
      </c>
      <c r="Y969" s="104" t="str">
        <f t="array" ref="Y969">IFERROR(IF(ISNUMBER(O969),IF(COUNT(IF(A969=$A$2:$A$2427,IF(D969=$D$2:$D$2427,IF($X$2:$X$2427&gt;0,1))))&gt;0,SUM(IF(A969=$A$2:$A$2427,IF(D969=$D$2:$D$2427,$X$2:$X$2427)))/COUNT(IF(A969=$A$2:$A$2427,IF(D969=$D$2:$D$2427,IF(ISNUMBER($X$2:$X$2427),1)))),0),""),0)</f>
        <v/>
      </c>
      <c r="Z969" s="104" t="str">
        <f>IF(ISNUMBER(O969),IF(I969&gt;0,(10^(VLOOKUP(D969,'Species Codes'!B:C,2,0)+VLOOKUP(D969,'Species Codes'!B:D,3,0)*LOG(E969)+VLOOKUP(D969,'Species Codes'!B:E,4,0)*LOG(I969))),0),"")</f>
        <v/>
      </c>
      <c r="AA969" s="104" t="str">
        <f>IFERROR((VLOOKUP(D969,'Species Codes'!B:G,6,0)*Z969)/2000,"")</f>
        <v/>
      </c>
      <c r="AB969" s="104" t="e">
        <f>IF(Z969&gt;0,((IF(OR(D969="DF",D969="RA")=TRUE,EXP(VLOOKUP(D969,'Species Codes'!B:I,8,0)+VLOOKUP(D969,'Species Codes'!B:J,9,0)*(LN((E969*2.54)))),IF(OR(D969="PY",D969="RC",D969="WH",D969="NF")=TRUE,VLOOKUP(D969,'Species Codes'!B:I,8,0)+VLOOKUP(D969,'Species Codes'!B:J,9,0)*((E969*2.54)^2)*(I969*0.3048),IF(OR(D969="MD",D969="BM",D969="GA")=TRUE,((VLOOKUP(D969,'Species Codes'!B:I,8,0)*(((((E969*2.54)+VLOOKUP(D969,'Species Codes'!B:J,9,0))/VLOOKUP(D969,'Species Codes'!B:K,10,0))^VLOOKUP(D969,'Species Codes'!B:L,11,0))*((I969*0.3048)^VLOOKUP(D969,'Species Codes'!B:M,12,0))))-(VLOOKUP(D969,'Species Codes'!B:I,8,0)*((((E969*2.54)^VLOOKUP(D969,'Species Codes'!B:L,11,0))*((I969*0.3048)^VLOOKUP(D969,'Species Codes'!B:M,12,0))))))*35.3*VLOOKUP(D969,'Species Codes'!B:G,6,0)/2.2046,VLOOKUP(D969,'Species Codes'!B:I,8,0)+VLOOKUP(D969,'Species Codes'!B:J,9,0)*(((E969*2.54)/100)^2)*(I969*0.3048)))))*0.0011023),0)</f>
        <v>#N/A</v>
      </c>
      <c r="AC969" s="104" t="e">
        <f>IF(Z969&gt;0,((IF(OR(D969="RA",D969="OA",D969="OT",D969="UN",D969="PC"),EXP(VLOOKUP(D969,'Species Codes'!B:O,14,0)+VLOOKUP(D969,'Species Codes'!B:P,15,0)*LN((E969*2.54)))-EXP(VLOOKUP(D969,'Species Codes'!B:O,14,0)+VLOOKUP(D969,'Species Codes'!B:P,15,0)*LN((E969*2.54)))*(1/(VLOOKUP(D969,'Species Codes'!B:Q,16,0)+VLOOKUP(D969,'Species Codes'!B:R,17,0)*((E969*2.54)^VLOOKUP(D969,'Species Codes'!B:S,18,0)))),IF(OR(D969="BM",D969="MD",D969="OA"),EXP(VLOOKUP(D969,'Species Codes'!B:O,14,0)+VLOOKUP(D969,'Species Codes'!B:P,15,0)*LN((E969*2.54)))*(1-(1/(VLOOKUP(D969,'Species Codes'!B:Q,16,0)+VLOOKUP(D969,'Species Codes'!B:R,17,0)*((E969*2.54)^VLOOKUP(D969,'Species Codes'!B:S,18,0)))))/1000,IF(D969="DF",EXP(VLOOKUP(D969,'Species Codes'!B:O,14,0)+VLOOKUP(D969,'Species Codes'!B:P,15,0)*LN((E969*2.54))),VLOOKUP(D969,'Species Codes'!B:O,14,0)+VLOOKUP(D969,'Species Codes'!B:P,15,0)*(((E969*2.54)/100)^2)*(I969*0.3048)))))*0.0011023),0)</f>
        <v>#N/A</v>
      </c>
      <c r="AD969" s="104" t="e">
        <f t="shared" si="436"/>
        <v>#N/A</v>
      </c>
      <c r="AE969" s="104" t="e">
        <f t="shared" si="437"/>
        <v>#N/A</v>
      </c>
      <c r="AF969" s="104" t="e">
        <f>IF(AND(VLOOKUP($D969,Merchantability!$B:$C,2,0)="Yes",$E969&gt;=VLOOKUP($D969,Merchantability!$B:$D,3,0),$E969&lt;=VLOOKUP($D969,Merchantability!$B:$E,4,0)),AA969,0)</f>
        <v>#N/A</v>
      </c>
      <c r="AG969" s="104" t="e">
        <f>IF(AND(VLOOKUP($D969,Merchantability!$B:$C,2,0)="Yes",$E969&gt;=VLOOKUP($D969,Merchantability!$B:$D,3,0),$E969&lt;=VLOOKUP($D969,Merchantability!$B:$E,4,0)),AB969,0)</f>
        <v>#N/A</v>
      </c>
      <c r="AH969" s="104" t="e">
        <f>IF(AND(VLOOKUP($D969,Merchantability!$B:$C,2,0)="Yes",$E969&gt;=VLOOKUP($D969,Merchantability!$B:$D,3,0),$E969&lt;=VLOOKUP($D969,Merchantability!$B:$E,4,0)),AC969,0)</f>
        <v>#N/A</v>
      </c>
      <c r="AI969" s="104" t="e">
        <f t="shared" si="438"/>
        <v>#N/A</v>
      </c>
      <c r="AJ969" s="104" t="e">
        <f t="shared" si="439"/>
        <v>#VALUE!</v>
      </c>
      <c r="AK969" s="104" t="e">
        <f t="shared" si="440"/>
        <v>#N/A</v>
      </c>
      <c r="AL969" s="104" t="e">
        <f t="shared" si="441"/>
        <v>#N/A</v>
      </c>
      <c r="AM969" s="104" t="e">
        <f t="shared" si="442"/>
        <v>#N/A</v>
      </c>
      <c r="AN969" s="104" t="e">
        <f t="shared" si="453"/>
        <v>#N/A</v>
      </c>
      <c r="AO969" s="104" t="e">
        <f t="shared" si="454"/>
        <v>#N/A</v>
      </c>
      <c r="AP969" s="104" t="e">
        <f t="shared" si="455"/>
        <v>#N/A</v>
      </c>
      <c r="AQ969" s="104" t="e">
        <f t="shared" si="456"/>
        <v>#N/A</v>
      </c>
      <c r="AR969" s="105" t="str">
        <f t="shared" si="448"/>
        <v/>
      </c>
      <c r="AS969" s="105" t="str">
        <f t="shared" si="449"/>
        <v/>
      </c>
      <c r="AT969" s="108" t="str">
        <f t="shared" si="450"/>
        <v/>
      </c>
      <c r="AU969" s="108" t="str">
        <f t="shared" si="451"/>
        <v/>
      </c>
      <c r="AV969" s="107" t="str">
        <f>IF(ISNUMBER(O969),IF(VLOOKUP($A969,Stand!C:J,8,FALSE)="Short",AT969,AU969),"")</f>
        <v/>
      </c>
      <c r="AW969" s="109" t="str">
        <f t="shared" si="457"/>
        <v/>
      </c>
      <c r="AX969" s="109" t="str">
        <f t="shared" si="458"/>
        <v/>
      </c>
      <c r="AY969" s="112" t="str">
        <f>IF(ISNUMBER(O969),IF(AND(VLOOKUP($D969,Merchantability!$B:$C,2,0)="Yes",$E969&gt;=VLOOKUP($D969,Merchantability!$B:$D,3,0),$E969&lt;=VLOOKUP($D969,Merchantability!$B:$E,4,0)),(AV969*O969)*(1-$H969/100),""),"")</f>
        <v/>
      </c>
      <c r="AZ969" s="116"/>
      <c r="BA969" s="116"/>
      <c r="BB969" s="116"/>
      <c r="BE969" s="62"/>
      <c r="BF969" s="63"/>
    </row>
    <row r="970" spans="1:58" ht="12.75" customHeight="1" x14ac:dyDescent="0.25">
      <c r="A970" s="313"/>
      <c r="B970" s="328"/>
      <c r="C970" s="329"/>
      <c r="D970" s="328"/>
      <c r="E970" s="330"/>
      <c r="F970" s="328"/>
      <c r="G970" s="329"/>
      <c r="H970" s="329"/>
      <c r="I970" s="328"/>
      <c r="J970" s="383"/>
      <c r="K970" s="329"/>
      <c r="L970" s="329"/>
      <c r="M970" s="76"/>
      <c r="N970" s="103" t="str">
        <f>IF(A970="","",VLOOKUP(A970,Stand!C:K,9,0))</f>
        <v/>
      </c>
      <c r="O970" s="104" t="str">
        <f t="shared" si="443"/>
        <v/>
      </c>
      <c r="P970" s="105" t="str">
        <f t="shared" si="444"/>
        <v/>
      </c>
      <c r="Q970" s="105" t="str">
        <f t="shared" si="432"/>
        <v/>
      </c>
      <c r="R970" s="103" t="str">
        <f t="shared" si="445"/>
        <v/>
      </c>
      <c r="S970" s="103" t="str">
        <f t="shared" si="446"/>
        <v/>
      </c>
      <c r="T970" s="106" t="str">
        <f t="shared" si="433"/>
        <v/>
      </c>
      <c r="U970" s="106" t="str">
        <f t="shared" si="434"/>
        <v/>
      </c>
      <c r="V970" s="106" t="str">
        <f t="shared" si="435"/>
        <v/>
      </c>
      <c r="W970" s="105" t="str">
        <f t="shared" si="447"/>
        <v/>
      </c>
      <c r="X970" s="104" t="str">
        <f t="shared" si="452"/>
        <v/>
      </c>
      <c r="Y970" s="104" t="str">
        <f t="array" ref="Y970">IFERROR(IF(ISNUMBER(O970),IF(COUNT(IF(A970=$A$2:$A$2427,IF(D970=$D$2:$D$2427,IF($X$2:$X$2427&gt;0,1))))&gt;0,SUM(IF(A970=$A$2:$A$2427,IF(D970=$D$2:$D$2427,$X$2:$X$2427)))/COUNT(IF(A970=$A$2:$A$2427,IF(D970=$D$2:$D$2427,IF(ISNUMBER($X$2:$X$2427),1)))),0),""),0)</f>
        <v/>
      </c>
      <c r="Z970" s="104" t="str">
        <f>IF(ISNUMBER(O970),IF(I970&gt;0,(10^(VLOOKUP(D970,'Species Codes'!B:C,2,0)+VLOOKUP(D970,'Species Codes'!B:D,3,0)*LOG(E970)+VLOOKUP(D970,'Species Codes'!B:E,4,0)*LOG(I970))),0),"")</f>
        <v/>
      </c>
      <c r="AA970" s="104" t="str">
        <f>IFERROR((VLOOKUP(D970,'Species Codes'!B:G,6,0)*Z970)/2000,"")</f>
        <v/>
      </c>
      <c r="AB970" s="104" t="e">
        <f>IF(Z970&gt;0,((IF(OR(D970="DF",D970="RA")=TRUE,EXP(VLOOKUP(D970,'Species Codes'!B:I,8,0)+VLOOKUP(D970,'Species Codes'!B:J,9,0)*(LN((E970*2.54)))),IF(OR(D970="PY",D970="RC",D970="WH",D970="NF")=TRUE,VLOOKUP(D970,'Species Codes'!B:I,8,0)+VLOOKUP(D970,'Species Codes'!B:J,9,0)*((E970*2.54)^2)*(I970*0.3048),IF(OR(D970="MD",D970="BM",D970="GA")=TRUE,((VLOOKUP(D970,'Species Codes'!B:I,8,0)*(((((E970*2.54)+VLOOKUP(D970,'Species Codes'!B:J,9,0))/VLOOKUP(D970,'Species Codes'!B:K,10,0))^VLOOKUP(D970,'Species Codes'!B:L,11,0))*((I970*0.3048)^VLOOKUP(D970,'Species Codes'!B:M,12,0))))-(VLOOKUP(D970,'Species Codes'!B:I,8,0)*((((E970*2.54)^VLOOKUP(D970,'Species Codes'!B:L,11,0))*((I970*0.3048)^VLOOKUP(D970,'Species Codes'!B:M,12,0))))))*35.3*VLOOKUP(D970,'Species Codes'!B:G,6,0)/2.2046,VLOOKUP(D970,'Species Codes'!B:I,8,0)+VLOOKUP(D970,'Species Codes'!B:J,9,0)*(((E970*2.54)/100)^2)*(I970*0.3048)))))*0.0011023),0)</f>
        <v>#N/A</v>
      </c>
      <c r="AC970" s="104" t="e">
        <f>IF(Z970&gt;0,((IF(OR(D970="RA",D970="OA",D970="OT",D970="UN",D970="PC"),EXP(VLOOKUP(D970,'Species Codes'!B:O,14,0)+VLOOKUP(D970,'Species Codes'!B:P,15,0)*LN((E970*2.54)))-EXP(VLOOKUP(D970,'Species Codes'!B:O,14,0)+VLOOKUP(D970,'Species Codes'!B:P,15,0)*LN((E970*2.54)))*(1/(VLOOKUP(D970,'Species Codes'!B:Q,16,0)+VLOOKUP(D970,'Species Codes'!B:R,17,0)*((E970*2.54)^VLOOKUP(D970,'Species Codes'!B:S,18,0)))),IF(OR(D970="BM",D970="MD",D970="OA"),EXP(VLOOKUP(D970,'Species Codes'!B:O,14,0)+VLOOKUP(D970,'Species Codes'!B:P,15,0)*LN((E970*2.54)))*(1-(1/(VLOOKUP(D970,'Species Codes'!B:Q,16,0)+VLOOKUP(D970,'Species Codes'!B:R,17,0)*((E970*2.54)^VLOOKUP(D970,'Species Codes'!B:S,18,0)))))/1000,IF(D970="DF",EXP(VLOOKUP(D970,'Species Codes'!B:O,14,0)+VLOOKUP(D970,'Species Codes'!B:P,15,0)*LN((E970*2.54))),VLOOKUP(D970,'Species Codes'!B:O,14,0)+VLOOKUP(D970,'Species Codes'!B:P,15,0)*(((E970*2.54)/100)^2)*(I970*0.3048)))))*0.0011023),0)</f>
        <v>#N/A</v>
      </c>
      <c r="AD970" s="104" t="e">
        <f t="shared" si="436"/>
        <v>#N/A</v>
      </c>
      <c r="AE970" s="104" t="e">
        <f t="shared" si="437"/>
        <v>#N/A</v>
      </c>
      <c r="AF970" s="104" t="e">
        <f>IF(AND(VLOOKUP($D970,Merchantability!$B:$C,2,0)="Yes",$E970&gt;=VLOOKUP($D970,Merchantability!$B:$D,3,0),$E970&lt;=VLOOKUP($D970,Merchantability!$B:$E,4,0)),AA970,0)</f>
        <v>#N/A</v>
      </c>
      <c r="AG970" s="104" t="e">
        <f>IF(AND(VLOOKUP($D970,Merchantability!$B:$C,2,0)="Yes",$E970&gt;=VLOOKUP($D970,Merchantability!$B:$D,3,0),$E970&lt;=VLOOKUP($D970,Merchantability!$B:$E,4,0)),AB970,0)</f>
        <v>#N/A</v>
      </c>
      <c r="AH970" s="104" t="e">
        <f>IF(AND(VLOOKUP($D970,Merchantability!$B:$C,2,0)="Yes",$E970&gt;=VLOOKUP($D970,Merchantability!$B:$D,3,0),$E970&lt;=VLOOKUP($D970,Merchantability!$B:$E,4,0)),AC970,0)</f>
        <v>#N/A</v>
      </c>
      <c r="AI970" s="104" t="e">
        <f t="shared" si="438"/>
        <v>#N/A</v>
      </c>
      <c r="AJ970" s="104" t="e">
        <f t="shared" si="439"/>
        <v>#VALUE!</v>
      </c>
      <c r="AK970" s="104" t="e">
        <f t="shared" si="440"/>
        <v>#N/A</v>
      </c>
      <c r="AL970" s="104" t="e">
        <f t="shared" si="441"/>
        <v>#N/A</v>
      </c>
      <c r="AM970" s="104" t="e">
        <f t="shared" si="442"/>
        <v>#N/A</v>
      </c>
      <c r="AN970" s="104" t="e">
        <f t="shared" si="453"/>
        <v>#N/A</v>
      </c>
      <c r="AO970" s="104" t="e">
        <f t="shared" si="454"/>
        <v>#N/A</v>
      </c>
      <c r="AP970" s="104" t="e">
        <f t="shared" si="455"/>
        <v>#N/A</v>
      </c>
      <c r="AQ970" s="104" t="e">
        <f t="shared" si="456"/>
        <v>#N/A</v>
      </c>
      <c r="AR970" s="105" t="str">
        <f t="shared" si="448"/>
        <v/>
      </c>
      <c r="AS970" s="105" t="str">
        <f t="shared" si="449"/>
        <v/>
      </c>
      <c r="AT970" s="108" t="str">
        <f t="shared" si="450"/>
        <v/>
      </c>
      <c r="AU970" s="108" t="str">
        <f t="shared" si="451"/>
        <v/>
      </c>
      <c r="AV970" s="107" t="str">
        <f>IF(ISNUMBER(O970),IF(VLOOKUP($A970,Stand!C:J,8,FALSE)="Short",AT970,AU970),"")</f>
        <v/>
      </c>
      <c r="AW970" s="109" t="str">
        <f t="shared" si="457"/>
        <v/>
      </c>
      <c r="AX970" s="109" t="str">
        <f t="shared" si="458"/>
        <v/>
      </c>
      <c r="AY970" s="112" t="str">
        <f>IF(ISNUMBER(O970),IF(AND(VLOOKUP($D970,Merchantability!$B:$C,2,0)="Yes",$E970&gt;=VLOOKUP($D970,Merchantability!$B:$D,3,0),$E970&lt;=VLOOKUP($D970,Merchantability!$B:$E,4,0)),(AV970*O970)*(1-$H970/100),""),"")</f>
        <v/>
      </c>
      <c r="AZ970" s="116"/>
      <c r="BA970" s="116"/>
      <c r="BB970" s="116"/>
      <c r="BE970" s="62"/>
      <c r="BF970" s="63"/>
    </row>
    <row r="971" spans="1:58" ht="12.75" customHeight="1" x14ac:dyDescent="0.25">
      <c r="A971" s="313"/>
      <c r="B971" s="328"/>
      <c r="C971" s="329"/>
      <c r="D971" s="328"/>
      <c r="E971" s="330"/>
      <c r="F971" s="328"/>
      <c r="G971" s="329"/>
      <c r="H971" s="329"/>
      <c r="I971" s="328"/>
      <c r="J971" s="383"/>
      <c r="K971" s="329"/>
      <c r="L971" s="329"/>
      <c r="M971" s="76"/>
      <c r="N971" s="103" t="str">
        <f>IF(A971="","",VLOOKUP(A971,Stand!C:K,9,0))</f>
        <v/>
      </c>
      <c r="O971" s="104" t="str">
        <f t="shared" si="443"/>
        <v/>
      </c>
      <c r="P971" s="105" t="str">
        <f t="shared" si="444"/>
        <v/>
      </c>
      <c r="Q971" s="105" t="str">
        <f t="shared" si="432"/>
        <v/>
      </c>
      <c r="R971" s="103" t="str">
        <f t="shared" si="445"/>
        <v/>
      </c>
      <c r="S971" s="103" t="str">
        <f t="shared" si="446"/>
        <v/>
      </c>
      <c r="T971" s="106" t="str">
        <f t="shared" si="433"/>
        <v/>
      </c>
      <c r="U971" s="106" t="str">
        <f t="shared" si="434"/>
        <v/>
      </c>
      <c r="V971" s="106" t="str">
        <f t="shared" si="435"/>
        <v/>
      </c>
      <c r="W971" s="105" t="str">
        <f t="shared" si="447"/>
        <v/>
      </c>
      <c r="X971" s="104" t="str">
        <f t="shared" si="452"/>
        <v/>
      </c>
      <c r="Y971" s="104" t="str">
        <f t="array" ref="Y971">IFERROR(IF(ISNUMBER(O971),IF(COUNT(IF(A971=$A$2:$A$2427,IF(D971=$D$2:$D$2427,IF($X$2:$X$2427&gt;0,1))))&gt;0,SUM(IF(A971=$A$2:$A$2427,IF(D971=$D$2:$D$2427,$X$2:$X$2427)))/COUNT(IF(A971=$A$2:$A$2427,IF(D971=$D$2:$D$2427,IF(ISNUMBER($X$2:$X$2427),1)))),0),""),0)</f>
        <v/>
      </c>
      <c r="Z971" s="104" t="str">
        <f>IF(ISNUMBER(O971),IF(I971&gt;0,(10^(VLOOKUP(D971,'Species Codes'!B:C,2,0)+VLOOKUP(D971,'Species Codes'!B:D,3,0)*LOG(E971)+VLOOKUP(D971,'Species Codes'!B:E,4,0)*LOG(I971))),0),"")</f>
        <v/>
      </c>
      <c r="AA971" s="104" t="str">
        <f>IFERROR((VLOOKUP(D971,'Species Codes'!B:G,6,0)*Z971)/2000,"")</f>
        <v/>
      </c>
      <c r="AB971" s="104" t="e">
        <f>IF(Z971&gt;0,((IF(OR(D971="DF",D971="RA")=TRUE,EXP(VLOOKUP(D971,'Species Codes'!B:I,8,0)+VLOOKUP(D971,'Species Codes'!B:J,9,0)*(LN((E971*2.54)))),IF(OR(D971="PY",D971="RC",D971="WH",D971="NF")=TRUE,VLOOKUP(D971,'Species Codes'!B:I,8,0)+VLOOKUP(D971,'Species Codes'!B:J,9,0)*((E971*2.54)^2)*(I971*0.3048),IF(OR(D971="MD",D971="BM",D971="GA")=TRUE,((VLOOKUP(D971,'Species Codes'!B:I,8,0)*(((((E971*2.54)+VLOOKUP(D971,'Species Codes'!B:J,9,0))/VLOOKUP(D971,'Species Codes'!B:K,10,0))^VLOOKUP(D971,'Species Codes'!B:L,11,0))*((I971*0.3048)^VLOOKUP(D971,'Species Codes'!B:M,12,0))))-(VLOOKUP(D971,'Species Codes'!B:I,8,0)*((((E971*2.54)^VLOOKUP(D971,'Species Codes'!B:L,11,0))*((I971*0.3048)^VLOOKUP(D971,'Species Codes'!B:M,12,0))))))*35.3*VLOOKUP(D971,'Species Codes'!B:G,6,0)/2.2046,VLOOKUP(D971,'Species Codes'!B:I,8,0)+VLOOKUP(D971,'Species Codes'!B:J,9,0)*(((E971*2.54)/100)^2)*(I971*0.3048)))))*0.0011023),0)</f>
        <v>#N/A</v>
      </c>
      <c r="AC971" s="104" t="e">
        <f>IF(Z971&gt;0,((IF(OR(D971="RA",D971="OA",D971="OT",D971="UN",D971="PC"),EXP(VLOOKUP(D971,'Species Codes'!B:O,14,0)+VLOOKUP(D971,'Species Codes'!B:P,15,0)*LN((E971*2.54)))-EXP(VLOOKUP(D971,'Species Codes'!B:O,14,0)+VLOOKUP(D971,'Species Codes'!B:P,15,0)*LN((E971*2.54)))*(1/(VLOOKUP(D971,'Species Codes'!B:Q,16,0)+VLOOKUP(D971,'Species Codes'!B:R,17,0)*((E971*2.54)^VLOOKUP(D971,'Species Codes'!B:S,18,0)))),IF(OR(D971="BM",D971="MD",D971="OA"),EXP(VLOOKUP(D971,'Species Codes'!B:O,14,0)+VLOOKUP(D971,'Species Codes'!B:P,15,0)*LN((E971*2.54)))*(1-(1/(VLOOKUP(D971,'Species Codes'!B:Q,16,0)+VLOOKUP(D971,'Species Codes'!B:R,17,0)*((E971*2.54)^VLOOKUP(D971,'Species Codes'!B:S,18,0)))))/1000,IF(D971="DF",EXP(VLOOKUP(D971,'Species Codes'!B:O,14,0)+VLOOKUP(D971,'Species Codes'!B:P,15,0)*LN((E971*2.54))),VLOOKUP(D971,'Species Codes'!B:O,14,0)+VLOOKUP(D971,'Species Codes'!B:P,15,0)*(((E971*2.54)/100)^2)*(I971*0.3048)))))*0.0011023),0)</f>
        <v>#N/A</v>
      </c>
      <c r="AD971" s="104" t="e">
        <f t="shared" si="436"/>
        <v>#N/A</v>
      </c>
      <c r="AE971" s="104" t="e">
        <f t="shared" si="437"/>
        <v>#N/A</v>
      </c>
      <c r="AF971" s="104" t="e">
        <f>IF(AND(VLOOKUP($D971,Merchantability!$B:$C,2,0)="Yes",$E971&gt;=VLOOKUP($D971,Merchantability!$B:$D,3,0),$E971&lt;=VLOOKUP($D971,Merchantability!$B:$E,4,0)),AA971,0)</f>
        <v>#N/A</v>
      </c>
      <c r="AG971" s="104" t="e">
        <f>IF(AND(VLOOKUP($D971,Merchantability!$B:$C,2,0)="Yes",$E971&gt;=VLOOKUP($D971,Merchantability!$B:$D,3,0),$E971&lt;=VLOOKUP($D971,Merchantability!$B:$E,4,0)),AB971,0)</f>
        <v>#N/A</v>
      </c>
      <c r="AH971" s="104" t="e">
        <f>IF(AND(VLOOKUP($D971,Merchantability!$B:$C,2,0)="Yes",$E971&gt;=VLOOKUP($D971,Merchantability!$B:$D,3,0),$E971&lt;=VLOOKUP($D971,Merchantability!$B:$E,4,0)),AC971,0)</f>
        <v>#N/A</v>
      </c>
      <c r="AI971" s="104" t="e">
        <f t="shared" si="438"/>
        <v>#N/A</v>
      </c>
      <c r="AJ971" s="104" t="e">
        <f t="shared" si="439"/>
        <v>#VALUE!</v>
      </c>
      <c r="AK971" s="104" t="e">
        <f t="shared" si="440"/>
        <v>#N/A</v>
      </c>
      <c r="AL971" s="104" t="e">
        <f t="shared" si="441"/>
        <v>#N/A</v>
      </c>
      <c r="AM971" s="104" t="e">
        <f t="shared" si="442"/>
        <v>#N/A</v>
      </c>
      <c r="AN971" s="104" t="e">
        <f t="shared" si="453"/>
        <v>#N/A</v>
      </c>
      <c r="AO971" s="104" t="e">
        <f t="shared" si="454"/>
        <v>#N/A</v>
      </c>
      <c r="AP971" s="104" t="e">
        <f t="shared" si="455"/>
        <v>#N/A</v>
      </c>
      <c r="AQ971" s="104" t="e">
        <f t="shared" si="456"/>
        <v>#N/A</v>
      </c>
      <c r="AR971" s="105" t="str">
        <f t="shared" si="448"/>
        <v/>
      </c>
      <c r="AS971" s="105" t="str">
        <f t="shared" si="449"/>
        <v/>
      </c>
      <c r="AT971" s="108" t="str">
        <f t="shared" si="450"/>
        <v/>
      </c>
      <c r="AU971" s="108" t="str">
        <f t="shared" si="451"/>
        <v/>
      </c>
      <c r="AV971" s="107" t="str">
        <f>IF(ISNUMBER(O971),IF(VLOOKUP($A971,Stand!C:J,8,FALSE)="Short",AT971,AU971),"")</f>
        <v/>
      </c>
      <c r="AW971" s="109" t="str">
        <f t="shared" si="457"/>
        <v/>
      </c>
      <c r="AX971" s="109" t="str">
        <f t="shared" si="458"/>
        <v/>
      </c>
      <c r="AY971" s="112" t="str">
        <f>IF(ISNUMBER(O971),IF(AND(VLOOKUP($D971,Merchantability!$B:$C,2,0)="Yes",$E971&gt;=VLOOKUP($D971,Merchantability!$B:$D,3,0),$E971&lt;=VLOOKUP($D971,Merchantability!$B:$E,4,0)),(AV971*O971)*(1-$H971/100),""),"")</f>
        <v/>
      </c>
      <c r="AZ971" s="116"/>
      <c r="BA971" s="116"/>
      <c r="BB971" s="116"/>
      <c r="BE971" s="62"/>
      <c r="BF971" s="63"/>
    </row>
    <row r="972" spans="1:58" ht="12.75" customHeight="1" x14ac:dyDescent="0.25">
      <c r="A972" s="313"/>
      <c r="B972" s="328"/>
      <c r="C972" s="329"/>
      <c r="D972" s="328"/>
      <c r="E972" s="330"/>
      <c r="F972" s="328"/>
      <c r="G972" s="329"/>
      <c r="H972" s="329"/>
      <c r="I972" s="328"/>
      <c r="J972" s="383"/>
      <c r="K972" s="329"/>
      <c r="L972" s="329"/>
      <c r="M972" s="76"/>
      <c r="N972" s="103" t="str">
        <f>IF(A972="","",VLOOKUP(A972,Stand!C:K,9,0))</f>
        <v/>
      </c>
      <c r="O972" s="104" t="str">
        <f t="shared" si="443"/>
        <v/>
      </c>
      <c r="P972" s="105" t="str">
        <f t="shared" si="444"/>
        <v/>
      </c>
      <c r="Q972" s="105" t="str">
        <f t="shared" si="432"/>
        <v/>
      </c>
      <c r="R972" s="103" t="str">
        <f t="shared" si="445"/>
        <v/>
      </c>
      <c r="S972" s="103" t="str">
        <f t="shared" si="446"/>
        <v/>
      </c>
      <c r="T972" s="106" t="str">
        <f t="shared" si="433"/>
        <v/>
      </c>
      <c r="U972" s="106" t="str">
        <f t="shared" si="434"/>
        <v/>
      </c>
      <c r="V972" s="106" t="str">
        <f t="shared" si="435"/>
        <v/>
      </c>
      <c r="W972" s="105" t="str">
        <f t="shared" si="447"/>
        <v/>
      </c>
      <c r="X972" s="104" t="str">
        <f t="shared" si="452"/>
        <v/>
      </c>
      <c r="Y972" s="104" t="str">
        <f t="array" ref="Y972">IFERROR(IF(ISNUMBER(O972),IF(COUNT(IF(A972=$A$2:$A$2427,IF(D972=$D$2:$D$2427,IF($X$2:$X$2427&gt;0,1))))&gt;0,SUM(IF(A972=$A$2:$A$2427,IF(D972=$D$2:$D$2427,$X$2:$X$2427)))/COUNT(IF(A972=$A$2:$A$2427,IF(D972=$D$2:$D$2427,IF(ISNUMBER($X$2:$X$2427),1)))),0),""),0)</f>
        <v/>
      </c>
      <c r="Z972" s="104" t="str">
        <f>IF(ISNUMBER(O972),IF(I972&gt;0,(10^(VLOOKUP(D972,'Species Codes'!B:C,2,0)+VLOOKUP(D972,'Species Codes'!B:D,3,0)*LOG(E972)+VLOOKUP(D972,'Species Codes'!B:E,4,0)*LOG(I972))),0),"")</f>
        <v/>
      </c>
      <c r="AA972" s="104" t="str">
        <f>IFERROR((VLOOKUP(D972,'Species Codes'!B:G,6,0)*Z972)/2000,"")</f>
        <v/>
      </c>
      <c r="AB972" s="104" t="e">
        <f>IF(Z972&gt;0,((IF(OR(D972="DF",D972="RA")=TRUE,EXP(VLOOKUP(D972,'Species Codes'!B:I,8,0)+VLOOKUP(D972,'Species Codes'!B:J,9,0)*(LN((E972*2.54)))),IF(OR(D972="PY",D972="RC",D972="WH",D972="NF")=TRUE,VLOOKUP(D972,'Species Codes'!B:I,8,0)+VLOOKUP(D972,'Species Codes'!B:J,9,0)*((E972*2.54)^2)*(I972*0.3048),IF(OR(D972="MD",D972="BM",D972="GA")=TRUE,((VLOOKUP(D972,'Species Codes'!B:I,8,0)*(((((E972*2.54)+VLOOKUP(D972,'Species Codes'!B:J,9,0))/VLOOKUP(D972,'Species Codes'!B:K,10,0))^VLOOKUP(D972,'Species Codes'!B:L,11,0))*((I972*0.3048)^VLOOKUP(D972,'Species Codes'!B:M,12,0))))-(VLOOKUP(D972,'Species Codes'!B:I,8,0)*((((E972*2.54)^VLOOKUP(D972,'Species Codes'!B:L,11,0))*((I972*0.3048)^VLOOKUP(D972,'Species Codes'!B:M,12,0))))))*35.3*VLOOKUP(D972,'Species Codes'!B:G,6,0)/2.2046,VLOOKUP(D972,'Species Codes'!B:I,8,0)+VLOOKUP(D972,'Species Codes'!B:J,9,0)*(((E972*2.54)/100)^2)*(I972*0.3048)))))*0.0011023),0)</f>
        <v>#N/A</v>
      </c>
      <c r="AC972" s="104" t="e">
        <f>IF(Z972&gt;0,((IF(OR(D972="RA",D972="OA",D972="OT",D972="UN",D972="PC"),EXP(VLOOKUP(D972,'Species Codes'!B:O,14,0)+VLOOKUP(D972,'Species Codes'!B:P,15,0)*LN((E972*2.54)))-EXP(VLOOKUP(D972,'Species Codes'!B:O,14,0)+VLOOKUP(D972,'Species Codes'!B:P,15,0)*LN((E972*2.54)))*(1/(VLOOKUP(D972,'Species Codes'!B:Q,16,0)+VLOOKUP(D972,'Species Codes'!B:R,17,0)*((E972*2.54)^VLOOKUP(D972,'Species Codes'!B:S,18,0)))),IF(OR(D972="BM",D972="MD",D972="OA"),EXP(VLOOKUP(D972,'Species Codes'!B:O,14,0)+VLOOKUP(D972,'Species Codes'!B:P,15,0)*LN((E972*2.54)))*(1-(1/(VLOOKUP(D972,'Species Codes'!B:Q,16,0)+VLOOKUP(D972,'Species Codes'!B:R,17,0)*((E972*2.54)^VLOOKUP(D972,'Species Codes'!B:S,18,0)))))/1000,IF(D972="DF",EXP(VLOOKUP(D972,'Species Codes'!B:O,14,0)+VLOOKUP(D972,'Species Codes'!B:P,15,0)*LN((E972*2.54))),VLOOKUP(D972,'Species Codes'!B:O,14,0)+VLOOKUP(D972,'Species Codes'!B:P,15,0)*(((E972*2.54)/100)^2)*(I972*0.3048)))))*0.0011023),0)</f>
        <v>#N/A</v>
      </c>
      <c r="AD972" s="104" t="e">
        <f t="shared" si="436"/>
        <v>#N/A</v>
      </c>
      <c r="AE972" s="104" t="e">
        <f t="shared" si="437"/>
        <v>#N/A</v>
      </c>
      <c r="AF972" s="104" t="e">
        <f>IF(AND(VLOOKUP($D972,Merchantability!$B:$C,2,0)="Yes",$E972&gt;=VLOOKUP($D972,Merchantability!$B:$D,3,0),$E972&lt;=VLOOKUP($D972,Merchantability!$B:$E,4,0)),AA972,0)</f>
        <v>#N/A</v>
      </c>
      <c r="AG972" s="104" t="e">
        <f>IF(AND(VLOOKUP($D972,Merchantability!$B:$C,2,0)="Yes",$E972&gt;=VLOOKUP($D972,Merchantability!$B:$D,3,0),$E972&lt;=VLOOKUP($D972,Merchantability!$B:$E,4,0)),AB972,0)</f>
        <v>#N/A</v>
      </c>
      <c r="AH972" s="104" t="e">
        <f>IF(AND(VLOOKUP($D972,Merchantability!$B:$C,2,0)="Yes",$E972&gt;=VLOOKUP($D972,Merchantability!$B:$D,3,0),$E972&lt;=VLOOKUP($D972,Merchantability!$B:$E,4,0)),AC972,0)</f>
        <v>#N/A</v>
      </c>
      <c r="AI972" s="104" t="e">
        <f t="shared" si="438"/>
        <v>#N/A</v>
      </c>
      <c r="AJ972" s="104" t="e">
        <f t="shared" si="439"/>
        <v>#VALUE!</v>
      </c>
      <c r="AK972" s="104" t="e">
        <f t="shared" si="440"/>
        <v>#N/A</v>
      </c>
      <c r="AL972" s="104" t="e">
        <f t="shared" si="441"/>
        <v>#N/A</v>
      </c>
      <c r="AM972" s="104" t="e">
        <f t="shared" si="442"/>
        <v>#N/A</v>
      </c>
      <c r="AN972" s="104" t="e">
        <f t="shared" si="453"/>
        <v>#N/A</v>
      </c>
      <c r="AO972" s="104" t="e">
        <f t="shared" si="454"/>
        <v>#N/A</v>
      </c>
      <c r="AP972" s="104" t="e">
        <f t="shared" si="455"/>
        <v>#N/A</v>
      </c>
      <c r="AQ972" s="104" t="e">
        <f t="shared" si="456"/>
        <v>#N/A</v>
      </c>
      <c r="AR972" s="105" t="str">
        <f t="shared" si="448"/>
        <v/>
      </c>
      <c r="AS972" s="105" t="str">
        <f t="shared" si="449"/>
        <v/>
      </c>
      <c r="AT972" s="108" t="str">
        <f t="shared" si="450"/>
        <v/>
      </c>
      <c r="AU972" s="108" t="str">
        <f t="shared" si="451"/>
        <v/>
      </c>
      <c r="AV972" s="107" t="str">
        <f>IF(ISNUMBER(O972),IF(VLOOKUP($A972,Stand!C:J,8,FALSE)="Short",AT972,AU972),"")</f>
        <v/>
      </c>
      <c r="AW972" s="109" t="str">
        <f t="shared" si="457"/>
        <v/>
      </c>
      <c r="AX972" s="109" t="str">
        <f t="shared" si="458"/>
        <v/>
      </c>
      <c r="AY972" s="112" t="str">
        <f>IF(ISNUMBER(O972),IF(AND(VLOOKUP($D972,Merchantability!$B:$C,2,0)="Yes",$E972&gt;=VLOOKUP($D972,Merchantability!$B:$D,3,0),$E972&lt;=VLOOKUP($D972,Merchantability!$B:$E,4,0)),(AV972*O972)*(1-$H972/100),""),"")</f>
        <v/>
      </c>
      <c r="AZ972" s="116"/>
      <c r="BA972" s="116"/>
      <c r="BB972" s="116"/>
      <c r="BE972" s="62"/>
      <c r="BF972" s="63"/>
    </row>
    <row r="973" spans="1:58" ht="12.75" customHeight="1" x14ac:dyDescent="0.25">
      <c r="A973" s="313"/>
      <c r="B973" s="328"/>
      <c r="C973" s="329"/>
      <c r="D973" s="328"/>
      <c r="E973" s="330"/>
      <c r="F973" s="328"/>
      <c r="G973" s="329"/>
      <c r="H973" s="329"/>
      <c r="I973" s="328"/>
      <c r="J973" s="383"/>
      <c r="K973" s="329"/>
      <c r="L973" s="329"/>
      <c r="M973" s="76"/>
      <c r="N973" s="103" t="str">
        <f>IF(A973="","",VLOOKUP(A973,Stand!C:K,9,0))</f>
        <v/>
      </c>
      <c r="O973" s="104" t="str">
        <f t="shared" si="443"/>
        <v/>
      </c>
      <c r="P973" s="105" t="str">
        <f t="shared" si="444"/>
        <v/>
      </c>
      <c r="Q973" s="105" t="str">
        <f t="shared" si="432"/>
        <v/>
      </c>
      <c r="R973" s="103" t="str">
        <f t="shared" si="445"/>
        <v/>
      </c>
      <c r="S973" s="103" t="str">
        <f t="shared" si="446"/>
        <v/>
      </c>
      <c r="T973" s="106" t="str">
        <f t="shared" si="433"/>
        <v/>
      </c>
      <c r="U973" s="106" t="str">
        <f t="shared" si="434"/>
        <v/>
      </c>
      <c r="V973" s="106" t="str">
        <f t="shared" si="435"/>
        <v/>
      </c>
      <c r="W973" s="105" t="str">
        <f t="shared" si="447"/>
        <v/>
      </c>
      <c r="X973" s="104" t="str">
        <f t="shared" si="452"/>
        <v/>
      </c>
      <c r="Y973" s="104" t="str">
        <f t="array" ref="Y973">IFERROR(IF(ISNUMBER(O973),IF(COUNT(IF(A973=$A$2:$A$2427,IF(D973=$D$2:$D$2427,IF($X$2:$X$2427&gt;0,1))))&gt;0,SUM(IF(A973=$A$2:$A$2427,IF(D973=$D$2:$D$2427,$X$2:$X$2427)))/COUNT(IF(A973=$A$2:$A$2427,IF(D973=$D$2:$D$2427,IF(ISNUMBER($X$2:$X$2427),1)))),0),""),0)</f>
        <v/>
      </c>
      <c r="Z973" s="104" t="str">
        <f>IF(ISNUMBER(O973),IF(I973&gt;0,(10^(VLOOKUP(D973,'Species Codes'!B:C,2,0)+VLOOKUP(D973,'Species Codes'!B:D,3,0)*LOG(E973)+VLOOKUP(D973,'Species Codes'!B:E,4,0)*LOG(I973))),0),"")</f>
        <v/>
      </c>
      <c r="AA973" s="104" t="str">
        <f>IFERROR((VLOOKUP(D973,'Species Codes'!B:G,6,0)*Z973)/2000,"")</f>
        <v/>
      </c>
      <c r="AB973" s="104" t="e">
        <f>IF(Z973&gt;0,((IF(OR(D973="DF",D973="RA")=TRUE,EXP(VLOOKUP(D973,'Species Codes'!B:I,8,0)+VLOOKUP(D973,'Species Codes'!B:J,9,0)*(LN((E973*2.54)))),IF(OR(D973="PY",D973="RC",D973="WH",D973="NF")=TRUE,VLOOKUP(D973,'Species Codes'!B:I,8,0)+VLOOKUP(D973,'Species Codes'!B:J,9,0)*((E973*2.54)^2)*(I973*0.3048),IF(OR(D973="MD",D973="BM",D973="GA")=TRUE,((VLOOKUP(D973,'Species Codes'!B:I,8,0)*(((((E973*2.54)+VLOOKUP(D973,'Species Codes'!B:J,9,0))/VLOOKUP(D973,'Species Codes'!B:K,10,0))^VLOOKUP(D973,'Species Codes'!B:L,11,0))*((I973*0.3048)^VLOOKUP(D973,'Species Codes'!B:M,12,0))))-(VLOOKUP(D973,'Species Codes'!B:I,8,0)*((((E973*2.54)^VLOOKUP(D973,'Species Codes'!B:L,11,0))*((I973*0.3048)^VLOOKUP(D973,'Species Codes'!B:M,12,0))))))*35.3*VLOOKUP(D973,'Species Codes'!B:G,6,0)/2.2046,VLOOKUP(D973,'Species Codes'!B:I,8,0)+VLOOKUP(D973,'Species Codes'!B:J,9,0)*(((E973*2.54)/100)^2)*(I973*0.3048)))))*0.0011023),0)</f>
        <v>#N/A</v>
      </c>
      <c r="AC973" s="104" t="e">
        <f>IF(Z973&gt;0,((IF(OR(D973="RA",D973="OA",D973="OT",D973="UN",D973="PC"),EXP(VLOOKUP(D973,'Species Codes'!B:O,14,0)+VLOOKUP(D973,'Species Codes'!B:P,15,0)*LN((E973*2.54)))-EXP(VLOOKUP(D973,'Species Codes'!B:O,14,0)+VLOOKUP(D973,'Species Codes'!B:P,15,0)*LN((E973*2.54)))*(1/(VLOOKUP(D973,'Species Codes'!B:Q,16,0)+VLOOKUP(D973,'Species Codes'!B:R,17,0)*((E973*2.54)^VLOOKUP(D973,'Species Codes'!B:S,18,0)))),IF(OR(D973="BM",D973="MD",D973="OA"),EXP(VLOOKUP(D973,'Species Codes'!B:O,14,0)+VLOOKUP(D973,'Species Codes'!B:P,15,0)*LN((E973*2.54)))*(1-(1/(VLOOKUP(D973,'Species Codes'!B:Q,16,0)+VLOOKUP(D973,'Species Codes'!B:R,17,0)*((E973*2.54)^VLOOKUP(D973,'Species Codes'!B:S,18,0)))))/1000,IF(D973="DF",EXP(VLOOKUP(D973,'Species Codes'!B:O,14,0)+VLOOKUP(D973,'Species Codes'!B:P,15,0)*LN((E973*2.54))),VLOOKUP(D973,'Species Codes'!B:O,14,0)+VLOOKUP(D973,'Species Codes'!B:P,15,0)*(((E973*2.54)/100)^2)*(I973*0.3048)))))*0.0011023),0)</f>
        <v>#N/A</v>
      </c>
      <c r="AD973" s="104" t="e">
        <f t="shared" si="436"/>
        <v>#N/A</v>
      </c>
      <c r="AE973" s="104" t="e">
        <f t="shared" si="437"/>
        <v>#N/A</v>
      </c>
      <c r="AF973" s="104" t="e">
        <f>IF(AND(VLOOKUP($D973,Merchantability!$B:$C,2,0)="Yes",$E973&gt;=VLOOKUP($D973,Merchantability!$B:$D,3,0),$E973&lt;=VLOOKUP($D973,Merchantability!$B:$E,4,0)),AA973,0)</f>
        <v>#N/A</v>
      </c>
      <c r="AG973" s="104" t="e">
        <f>IF(AND(VLOOKUP($D973,Merchantability!$B:$C,2,0)="Yes",$E973&gt;=VLOOKUP($D973,Merchantability!$B:$D,3,0),$E973&lt;=VLOOKUP($D973,Merchantability!$B:$E,4,0)),AB973,0)</f>
        <v>#N/A</v>
      </c>
      <c r="AH973" s="104" t="e">
        <f>IF(AND(VLOOKUP($D973,Merchantability!$B:$C,2,0)="Yes",$E973&gt;=VLOOKUP($D973,Merchantability!$B:$D,3,0),$E973&lt;=VLOOKUP($D973,Merchantability!$B:$E,4,0)),AC973,0)</f>
        <v>#N/A</v>
      </c>
      <c r="AI973" s="104" t="e">
        <f t="shared" si="438"/>
        <v>#N/A</v>
      </c>
      <c r="AJ973" s="104" t="e">
        <f t="shared" si="439"/>
        <v>#VALUE!</v>
      </c>
      <c r="AK973" s="104" t="e">
        <f t="shared" si="440"/>
        <v>#N/A</v>
      </c>
      <c r="AL973" s="104" t="e">
        <f t="shared" si="441"/>
        <v>#N/A</v>
      </c>
      <c r="AM973" s="104" t="e">
        <f t="shared" si="442"/>
        <v>#N/A</v>
      </c>
      <c r="AN973" s="104" t="e">
        <f t="shared" si="453"/>
        <v>#N/A</v>
      </c>
      <c r="AO973" s="104" t="e">
        <f t="shared" si="454"/>
        <v>#N/A</v>
      </c>
      <c r="AP973" s="104" t="e">
        <f t="shared" si="455"/>
        <v>#N/A</v>
      </c>
      <c r="AQ973" s="104" t="e">
        <f t="shared" si="456"/>
        <v>#N/A</v>
      </c>
      <c r="AR973" s="105" t="str">
        <f t="shared" si="448"/>
        <v/>
      </c>
      <c r="AS973" s="105" t="str">
        <f t="shared" si="449"/>
        <v/>
      </c>
      <c r="AT973" s="108" t="str">
        <f t="shared" si="450"/>
        <v/>
      </c>
      <c r="AU973" s="108" t="str">
        <f t="shared" si="451"/>
        <v/>
      </c>
      <c r="AV973" s="107" t="str">
        <f>IF(ISNUMBER(O973),IF(VLOOKUP($A973,Stand!C:J,8,FALSE)="Short",AT973,AU973),"")</f>
        <v/>
      </c>
      <c r="AW973" s="109" t="str">
        <f t="shared" si="457"/>
        <v/>
      </c>
      <c r="AX973" s="109" t="str">
        <f t="shared" si="458"/>
        <v/>
      </c>
      <c r="AY973" s="112" t="str">
        <f>IF(ISNUMBER(O973),IF(AND(VLOOKUP($D973,Merchantability!$B:$C,2,0)="Yes",$E973&gt;=VLOOKUP($D973,Merchantability!$B:$D,3,0),$E973&lt;=VLOOKUP($D973,Merchantability!$B:$E,4,0)),(AV973*O973)*(1-$H973/100),""),"")</f>
        <v/>
      </c>
      <c r="AZ973" s="116"/>
      <c r="BA973" s="116"/>
      <c r="BB973" s="116"/>
      <c r="BE973" s="62"/>
      <c r="BF973" s="63"/>
    </row>
    <row r="974" spans="1:58" ht="12.75" customHeight="1" x14ac:dyDescent="0.25">
      <c r="A974" s="313"/>
      <c r="B974" s="328"/>
      <c r="C974" s="329"/>
      <c r="D974" s="328"/>
      <c r="E974" s="330"/>
      <c r="F974" s="328"/>
      <c r="G974" s="329"/>
      <c r="H974" s="329"/>
      <c r="I974" s="328"/>
      <c r="J974" s="383"/>
      <c r="K974" s="329"/>
      <c r="L974" s="329"/>
      <c r="M974" s="76"/>
      <c r="N974" s="103" t="str">
        <f>IF(A974="","",VLOOKUP(A974,Stand!C:K,9,0))</f>
        <v/>
      </c>
      <c r="O974" s="104" t="str">
        <f t="shared" si="443"/>
        <v/>
      </c>
      <c r="P974" s="105" t="str">
        <f t="shared" si="444"/>
        <v/>
      </c>
      <c r="Q974" s="105" t="str">
        <f t="shared" si="432"/>
        <v/>
      </c>
      <c r="R974" s="103" t="str">
        <f t="shared" si="445"/>
        <v/>
      </c>
      <c r="S974" s="103" t="str">
        <f t="shared" si="446"/>
        <v/>
      </c>
      <c r="T974" s="106" t="str">
        <f t="shared" si="433"/>
        <v/>
      </c>
      <c r="U974" s="106" t="str">
        <f t="shared" si="434"/>
        <v/>
      </c>
      <c r="V974" s="106" t="str">
        <f t="shared" si="435"/>
        <v/>
      </c>
      <c r="W974" s="105" t="str">
        <f t="shared" si="447"/>
        <v/>
      </c>
      <c r="X974" s="104" t="str">
        <f t="shared" si="452"/>
        <v/>
      </c>
      <c r="Y974" s="104" t="str">
        <f t="array" ref="Y974">IFERROR(IF(ISNUMBER(O974),IF(COUNT(IF(A974=$A$2:$A$2427,IF(D974=$D$2:$D$2427,IF($X$2:$X$2427&gt;0,1))))&gt;0,SUM(IF(A974=$A$2:$A$2427,IF(D974=$D$2:$D$2427,$X$2:$X$2427)))/COUNT(IF(A974=$A$2:$A$2427,IF(D974=$D$2:$D$2427,IF(ISNUMBER($X$2:$X$2427),1)))),0),""),0)</f>
        <v/>
      </c>
      <c r="Z974" s="104" t="str">
        <f>IF(ISNUMBER(O974),IF(I974&gt;0,(10^(VLOOKUP(D974,'Species Codes'!B:C,2,0)+VLOOKUP(D974,'Species Codes'!B:D,3,0)*LOG(E974)+VLOOKUP(D974,'Species Codes'!B:E,4,0)*LOG(I974))),0),"")</f>
        <v/>
      </c>
      <c r="AA974" s="104" t="str">
        <f>IFERROR((VLOOKUP(D974,'Species Codes'!B:G,6,0)*Z974)/2000,"")</f>
        <v/>
      </c>
      <c r="AB974" s="104" t="e">
        <f>IF(Z974&gt;0,((IF(OR(D974="DF",D974="RA")=TRUE,EXP(VLOOKUP(D974,'Species Codes'!B:I,8,0)+VLOOKUP(D974,'Species Codes'!B:J,9,0)*(LN((E974*2.54)))),IF(OR(D974="PY",D974="RC",D974="WH",D974="NF")=TRUE,VLOOKUP(D974,'Species Codes'!B:I,8,0)+VLOOKUP(D974,'Species Codes'!B:J,9,0)*((E974*2.54)^2)*(I974*0.3048),IF(OR(D974="MD",D974="BM",D974="GA")=TRUE,((VLOOKUP(D974,'Species Codes'!B:I,8,0)*(((((E974*2.54)+VLOOKUP(D974,'Species Codes'!B:J,9,0))/VLOOKUP(D974,'Species Codes'!B:K,10,0))^VLOOKUP(D974,'Species Codes'!B:L,11,0))*((I974*0.3048)^VLOOKUP(D974,'Species Codes'!B:M,12,0))))-(VLOOKUP(D974,'Species Codes'!B:I,8,0)*((((E974*2.54)^VLOOKUP(D974,'Species Codes'!B:L,11,0))*((I974*0.3048)^VLOOKUP(D974,'Species Codes'!B:M,12,0))))))*35.3*VLOOKUP(D974,'Species Codes'!B:G,6,0)/2.2046,VLOOKUP(D974,'Species Codes'!B:I,8,0)+VLOOKUP(D974,'Species Codes'!B:J,9,0)*(((E974*2.54)/100)^2)*(I974*0.3048)))))*0.0011023),0)</f>
        <v>#N/A</v>
      </c>
      <c r="AC974" s="104" t="e">
        <f>IF(Z974&gt;0,((IF(OR(D974="RA",D974="OA",D974="OT",D974="UN",D974="PC"),EXP(VLOOKUP(D974,'Species Codes'!B:O,14,0)+VLOOKUP(D974,'Species Codes'!B:P,15,0)*LN((E974*2.54)))-EXP(VLOOKUP(D974,'Species Codes'!B:O,14,0)+VLOOKUP(D974,'Species Codes'!B:P,15,0)*LN((E974*2.54)))*(1/(VLOOKUP(D974,'Species Codes'!B:Q,16,0)+VLOOKUP(D974,'Species Codes'!B:R,17,0)*((E974*2.54)^VLOOKUP(D974,'Species Codes'!B:S,18,0)))),IF(OR(D974="BM",D974="MD",D974="OA"),EXP(VLOOKUP(D974,'Species Codes'!B:O,14,0)+VLOOKUP(D974,'Species Codes'!B:P,15,0)*LN((E974*2.54)))*(1-(1/(VLOOKUP(D974,'Species Codes'!B:Q,16,0)+VLOOKUP(D974,'Species Codes'!B:R,17,0)*((E974*2.54)^VLOOKUP(D974,'Species Codes'!B:S,18,0)))))/1000,IF(D974="DF",EXP(VLOOKUP(D974,'Species Codes'!B:O,14,0)+VLOOKUP(D974,'Species Codes'!B:P,15,0)*LN((E974*2.54))),VLOOKUP(D974,'Species Codes'!B:O,14,0)+VLOOKUP(D974,'Species Codes'!B:P,15,0)*(((E974*2.54)/100)^2)*(I974*0.3048)))))*0.0011023),0)</f>
        <v>#N/A</v>
      </c>
      <c r="AD974" s="104" t="e">
        <f t="shared" si="436"/>
        <v>#N/A</v>
      </c>
      <c r="AE974" s="104" t="e">
        <f t="shared" si="437"/>
        <v>#N/A</v>
      </c>
      <c r="AF974" s="104" t="e">
        <f>IF(AND(VLOOKUP($D974,Merchantability!$B:$C,2,0)="Yes",$E974&gt;=VLOOKUP($D974,Merchantability!$B:$D,3,0),$E974&lt;=VLOOKUP($D974,Merchantability!$B:$E,4,0)),AA974,0)</f>
        <v>#N/A</v>
      </c>
      <c r="AG974" s="104" t="e">
        <f>IF(AND(VLOOKUP($D974,Merchantability!$B:$C,2,0)="Yes",$E974&gt;=VLOOKUP($D974,Merchantability!$B:$D,3,0),$E974&lt;=VLOOKUP($D974,Merchantability!$B:$E,4,0)),AB974,0)</f>
        <v>#N/A</v>
      </c>
      <c r="AH974" s="104" t="e">
        <f>IF(AND(VLOOKUP($D974,Merchantability!$B:$C,2,0)="Yes",$E974&gt;=VLOOKUP($D974,Merchantability!$B:$D,3,0),$E974&lt;=VLOOKUP($D974,Merchantability!$B:$E,4,0)),AC974,0)</f>
        <v>#N/A</v>
      </c>
      <c r="AI974" s="104" t="e">
        <f t="shared" si="438"/>
        <v>#N/A</v>
      </c>
      <c r="AJ974" s="104" t="e">
        <f t="shared" si="439"/>
        <v>#VALUE!</v>
      </c>
      <c r="AK974" s="104" t="e">
        <f t="shared" si="440"/>
        <v>#N/A</v>
      </c>
      <c r="AL974" s="104" t="e">
        <f t="shared" si="441"/>
        <v>#N/A</v>
      </c>
      <c r="AM974" s="104" t="e">
        <f t="shared" si="442"/>
        <v>#N/A</v>
      </c>
      <c r="AN974" s="104" t="e">
        <f t="shared" si="453"/>
        <v>#N/A</v>
      </c>
      <c r="AO974" s="104" t="e">
        <f t="shared" si="454"/>
        <v>#N/A</v>
      </c>
      <c r="AP974" s="104" t="e">
        <f t="shared" si="455"/>
        <v>#N/A</v>
      </c>
      <c r="AQ974" s="104" t="e">
        <f t="shared" si="456"/>
        <v>#N/A</v>
      </c>
      <c r="AR974" s="105" t="str">
        <f t="shared" si="448"/>
        <v/>
      </c>
      <c r="AS974" s="105" t="str">
        <f t="shared" si="449"/>
        <v/>
      </c>
      <c r="AT974" s="108" t="str">
        <f t="shared" si="450"/>
        <v/>
      </c>
      <c r="AU974" s="108" t="str">
        <f t="shared" si="451"/>
        <v/>
      </c>
      <c r="AV974" s="107" t="str">
        <f>IF(ISNUMBER(O974),IF(VLOOKUP($A974,Stand!C:J,8,FALSE)="Short",AT974,AU974),"")</f>
        <v/>
      </c>
      <c r="AW974" s="109" t="str">
        <f t="shared" si="457"/>
        <v/>
      </c>
      <c r="AX974" s="109" t="str">
        <f t="shared" si="458"/>
        <v/>
      </c>
      <c r="AY974" s="112" t="str">
        <f>IF(ISNUMBER(O974),IF(AND(VLOOKUP($D974,Merchantability!$B:$C,2,0)="Yes",$E974&gt;=VLOOKUP($D974,Merchantability!$B:$D,3,0),$E974&lt;=VLOOKUP($D974,Merchantability!$B:$E,4,0)),(AV974*O974)*(1-$H974/100),""),"")</f>
        <v/>
      </c>
      <c r="AZ974" s="116"/>
      <c r="BA974" s="116"/>
      <c r="BB974" s="116"/>
      <c r="BE974" s="62"/>
      <c r="BF974" s="63"/>
    </row>
    <row r="975" spans="1:58" ht="12.75" customHeight="1" x14ac:dyDescent="0.25">
      <c r="A975" s="313"/>
      <c r="B975" s="328"/>
      <c r="C975" s="329"/>
      <c r="D975" s="328"/>
      <c r="E975" s="330"/>
      <c r="F975" s="328"/>
      <c r="G975" s="329"/>
      <c r="H975" s="329"/>
      <c r="I975" s="328"/>
      <c r="J975" s="383"/>
      <c r="K975" s="329"/>
      <c r="L975" s="329"/>
      <c r="M975" s="76"/>
      <c r="N975" s="103" t="str">
        <f>IF(A975="","",VLOOKUP(A975,Stand!C:K,9,0))</f>
        <v/>
      </c>
      <c r="O975" s="104" t="str">
        <f t="shared" si="443"/>
        <v/>
      </c>
      <c r="P975" s="105" t="str">
        <f t="shared" si="444"/>
        <v/>
      </c>
      <c r="Q975" s="105" t="str">
        <f t="shared" si="432"/>
        <v/>
      </c>
      <c r="R975" s="103" t="str">
        <f t="shared" si="445"/>
        <v/>
      </c>
      <c r="S975" s="103" t="str">
        <f t="shared" si="446"/>
        <v/>
      </c>
      <c r="T975" s="106" t="str">
        <f t="shared" si="433"/>
        <v/>
      </c>
      <c r="U975" s="106" t="str">
        <f t="shared" si="434"/>
        <v/>
      </c>
      <c r="V975" s="106" t="str">
        <f t="shared" si="435"/>
        <v/>
      </c>
      <c r="W975" s="105" t="str">
        <f t="shared" si="447"/>
        <v/>
      </c>
      <c r="X975" s="104" t="str">
        <f t="shared" si="452"/>
        <v/>
      </c>
      <c r="Y975" s="104" t="str">
        <f t="array" ref="Y975">IFERROR(IF(ISNUMBER(O975),IF(COUNT(IF(A975=$A$2:$A$2427,IF(D975=$D$2:$D$2427,IF($X$2:$X$2427&gt;0,1))))&gt;0,SUM(IF(A975=$A$2:$A$2427,IF(D975=$D$2:$D$2427,$X$2:$X$2427)))/COUNT(IF(A975=$A$2:$A$2427,IF(D975=$D$2:$D$2427,IF(ISNUMBER($X$2:$X$2427),1)))),0),""),0)</f>
        <v/>
      </c>
      <c r="Z975" s="104" t="str">
        <f>IF(ISNUMBER(O975),IF(I975&gt;0,(10^(VLOOKUP(D975,'Species Codes'!B:C,2,0)+VLOOKUP(D975,'Species Codes'!B:D,3,0)*LOG(E975)+VLOOKUP(D975,'Species Codes'!B:E,4,0)*LOG(I975))),0),"")</f>
        <v/>
      </c>
      <c r="AA975" s="104" t="str">
        <f>IFERROR((VLOOKUP(D975,'Species Codes'!B:G,6,0)*Z975)/2000,"")</f>
        <v/>
      </c>
      <c r="AB975" s="104" t="e">
        <f>IF(Z975&gt;0,((IF(OR(D975="DF",D975="RA")=TRUE,EXP(VLOOKUP(D975,'Species Codes'!B:I,8,0)+VLOOKUP(D975,'Species Codes'!B:J,9,0)*(LN((E975*2.54)))),IF(OR(D975="PY",D975="RC",D975="WH",D975="NF")=TRUE,VLOOKUP(D975,'Species Codes'!B:I,8,0)+VLOOKUP(D975,'Species Codes'!B:J,9,0)*((E975*2.54)^2)*(I975*0.3048),IF(OR(D975="MD",D975="BM",D975="GA")=TRUE,((VLOOKUP(D975,'Species Codes'!B:I,8,0)*(((((E975*2.54)+VLOOKUP(D975,'Species Codes'!B:J,9,0))/VLOOKUP(D975,'Species Codes'!B:K,10,0))^VLOOKUP(D975,'Species Codes'!B:L,11,0))*((I975*0.3048)^VLOOKUP(D975,'Species Codes'!B:M,12,0))))-(VLOOKUP(D975,'Species Codes'!B:I,8,0)*((((E975*2.54)^VLOOKUP(D975,'Species Codes'!B:L,11,0))*((I975*0.3048)^VLOOKUP(D975,'Species Codes'!B:M,12,0))))))*35.3*VLOOKUP(D975,'Species Codes'!B:G,6,0)/2.2046,VLOOKUP(D975,'Species Codes'!B:I,8,0)+VLOOKUP(D975,'Species Codes'!B:J,9,0)*(((E975*2.54)/100)^2)*(I975*0.3048)))))*0.0011023),0)</f>
        <v>#N/A</v>
      </c>
      <c r="AC975" s="104" t="e">
        <f>IF(Z975&gt;0,((IF(OR(D975="RA",D975="OA",D975="OT",D975="UN",D975="PC"),EXP(VLOOKUP(D975,'Species Codes'!B:O,14,0)+VLOOKUP(D975,'Species Codes'!B:P,15,0)*LN((E975*2.54)))-EXP(VLOOKUP(D975,'Species Codes'!B:O,14,0)+VLOOKUP(D975,'Species Codes'!B:P,15,0)*LN((E975*2.54)))*(1/(VLOOKUP(D975,'Species Codes'!B:Q,16,0)+VLOOKUP(D975,'Species Codes'!B:R,17,0)*((E975*2.54)^VLOOKUP(D975,'Species Codes'!B:S,18,0)))),IF(OR(D975="BM",D975="MD",D975="OA"),EXP(VLOOKUP(D975,'Species Codes'!B:O,14,0)+VLOOKUP(D975,'Species Codes'!B:P,15,0)*LN((E975*2.54)))*(1-(1/(VLOOKUP(D975,'Species Codes'!B:Q,16,0)+VLOOKUP(D975,'Species Codes'!B:R,17,0)*((E975*2.54)^VLOOKUP(D975,'Species Codes'!B:S,18,0)))))/1000,IF(D975="DF",EXP(VLOOKUP(D975,'Species Codes'!B:O,14,0)+VLOOKUP(D975,'Species Codes'!B:P,15,0)*LN((E975*2.54))),VLOOKUP(D975,'Species Codes'!B:O,14,0)+VLOOKUP(D975,'Species Codes'!B:P,15,0)*(((E975*2.54)/100)^2)*(I975*0.3048)))))*0.0011023),0)</f>
        <v>#N/A</v>
      </c>
      <c r="AD975" s="104" t="e">
        <f t="shared" si="436"/>
        <v>#N/A</v>
      </c>
      <c r="AE975" s="104" t="e">
        <f t="shared" si="437"/>
        <v>#N/A</v>
      </c>
      <c r="AF975" s="104" t="e">
        <f>IF(AND(VLOOKUP($D975,Merchantability!$B:$C,2,0)="Yes",$E975&gt;=VLOOKUP($D975,Merchantability!$B:$D,3,0),$E975&lt;=VLOOKUP($D975,Merchantability!$B:$E,4,0)),AA975,0)</f>
        <v>#N/A</v>
      </c>
      <c r="AG975" s="104" t="e">
        <f>IF(AND(VLOOKUP($D975,Merchantability!$B:$C,2,0)="Yes",$E975&gt;=VLOOKUP($D975,Merchantability!$B:$D,3,0),$E975&lt;=VLOOKUP($D975,Merchantability!$B:$E,4,0)),AB975,0)</f>
        <v>#N/A</v>
      </c>
      <c r="AH975" s="104" t="e">
        <f>IF(AND(VLOOKUP($D975,Merchantability!$B:$C,2,0)="Yes",$E975&gt;=VLOOKUP($D975,Merchantability!$B:$D,3,0),$E975&lt;=VLOOKUP($D975,Merchantability!$B:$E,4,0)),AC975,0)</f>
        <v>#N/A</v>
      </c>
      <c r="AI975" s="104" t="e">
        <f t="shared" si="438"/>
        <v>#N/A</v>
      </c>
      <c r="AJ975" s="104" t="e">
        <f t="shared" si="439"/>
        <v>#VALUE!</v>
      </c>
      <c r="AK975" s="104" t="e">
        <f t="shared" si="440"/>
        <v>#N/A</v>
      </c>
      <c r="AL975" s="104" t="e">
        <f t="shared" si="441"/>
        <v>#N/A</v>
      </c>
      <c r="AM975" s="104" t="e">
        <f t="shared" si="442"/>
        <v>#N/A</v>
      </c>
      <c r="AN975" s="104" t="e">
        <f t="shared" si="453"/>
        <v>#N/A</v>
      </c>
      <c r="AO975" s="104" t="e">
        <f t="shared" si="454"/>
        <v>#N/A</v>
      </c>
      <c r="AP975" s="104" t="e">
        <f t="shared" si="455"/>
        <v>#N/A</v>
      </c>
      <c r="AQ975" s="104" t="e">
        <f t="shared" si="456"/>
        <v>#N/A</v>
      </c>
      <c r="AR975" s="105" t="str">
        <f t="shared" si="448"/>
        <v/>
      </c>
      <c r="AS975" s="105" t="str">
        <f t="shared" si="449"/>
        <v/>
      </c>
      <c r="AT975" s="108" t="str">
        <f t="shared" si="450"/>
        <v/>
      </c>
      <c r="AU975" s="108" t="str">
        <f t="shared" si="451"/>
        <v/>
      </c>
      <c r="AV975" s="107" t="str">
        <f>IF(ISNUMBER(O975),IF(VLOOKUP($A975,Stand!C:J,8,FALSE)="Short",AT975,AU975),"")</f>
        <v/>
      </c>
      <c r="AW975" s="109" t="str">
        <f t="shared" si="457"/>
        <v/>
      </c>
      <c r="AX975" s="109" t="str">
        <f t="shared" si="458"/>
        <v/>
      </c>
      <c r="AY975" s="112" t="str">
        <f>IF(ISNUMBER(O975),IF(AND(VLOOKUP($D975,Merchantability!$B:$C,2,0)="Yes",$E975&gt;=VLOOKUP($D975,Merchantability!$B:$D,3,0),$E975&lt;=VLOOKUP($D975,Merchantability!$B:$E,4,0)),(AV975*O975)*(1-$H975/100),""),"")</f>
        <v/>
      </c>
      <c r="AZ975" s="116"/>
      <c r="BA975" s="116"/>
      <c r="BB975" s="116"/>
      <c r="BE975" s="62"/>
      <c r="BF975" s="63"/>
    </row>
    <row r="976" spans="1:58" ht="12.75" customHeight="1" x14ac:dyDescent="0.25">
      <c r="A976" s="313"/>
      <c r="B976" s="328"/>
      <c r="C976" s="329"/>
      <c r="D976" s="328"/>
      <c r="E976" s="330"/>
      <c r="F976" s="328"/>
      <c r="G976" s="329"/>
      <c r="H976" s="329"/>
      <c r="I976" s="328"/>
      <c r="J976" s="383"/>
      <c r="K976" s="329"/>
      <c r="L976" s="329"/>
      <c r="M976" s="76"/>
      <c r="N976" s="103" t="str">
        <f>IF(A976="","",VLOOKUP(A976,Stand!C:K,9,0))</f>
        <v/>
      </c>
      <c r="O976" s="104" t="str">
        <f t="shared" si="443"/>
        <v/>
      </c>
      <c r="P976" s="105" t="str">
        <f t="shared" si="444"/>
        <v/>
      </c>
      <c r="Q976" s="105" t="str">
        <f t="shared" si="432"/>
        <v/>
      </c>
      <c r="R976" s="103" t="str">
        <f t="shared" si="445"/>
        <v/>
      </c>
      <c r="S976" s="103" t="str">
        <f t="shared" si="446"/>
        <v/>
      </c>
      <c r="T976" s="106" t="str">
        <f t="shared" si="433"/>
        <v/>
      </c>
      <c r="U976" s="106" t="str">
        <f t="shared" si="434"/>
        <v/>
      </c>
      <c r="V976" s="106" t="str">
        <f t="shared" si="435"/>
        <v/>
      </c>
      <c r="W976" s="105" t="str">
        <f t="shared" si="447"/>
        <v/>
      </c>
      <c r="X976" s="104" t="str">
        <f t="shared" si="452"/>
        <v/>
      </c>
      <c r="Y976" s="104" t="str">
        <f t="array" ref="Y976">IFERROR(IF(ISNUMBER(O976),IF(COUNT(IF(A976=$A$2:$A$2427,IF(D976=$D$2:$D$2427,IF($X$2:$X$2427&gt;0,1))))&gt;0,SUM(IF(A976=$A$2:$A$2427,IF(D976=$D$2:$D$2427,$X$2:$X$2427)))/COUNT(IF(A976=$A$2:$A$2427,IF(D976=$D$2:$D$2427,IF(ISNUMBER($X$2:$X$2427),1)))),0),""),0)</f>
        <v/>
      </c>
      <c r="Z976" s="104" t="str">
        <f>IF(ISNUMBER(O976),IF(I976&gt;0,(10^(VLOOKUP(D976,'Species Codes'!B:C,2,0)+VLOOKUP(D976,'Species Codes'!B:D,3,0)*LOG(E976)+VLOOKUP(D976,'Species Codes'!B:E,4,0)*LOG(I976))),0),"")</f>
        <v/>
      </c>
      <c r="AA976" s="104" t="str">
        <f>IFERROR((VLOOKUP(D976,'Species Codes'!B:G,6,0)*Z976)/2000,"")</f>
        <v/>
      </c>
      <c r="AB976" s="104" t="e">
        <f>IF(Z976&gt;0,((IF(OR(D976="DF",D976="RA")=TRUE,EXP(VLOOKUP(D976,'Species Codes'!B:I,8,0)+VLOOKUP(D976,'Species Codes'!B:J,9,0)*(LN((E976*2.54)))),IF(OR(D976="PY",D976="RC",D976="WH",D976="NF")=TRUE,VLOOKUP(D976,'Species Codes'!B:I,8,0)+VLOOKUP(D976,'Species Codes'!B:J,9,0)*((E976*2.54)^2)*(I976*0.3048),IF(OR(D976="MD",D976="BM",D976="GA")=TRUE,((VLOOKUP(D976,'Species Codes'!B:I,8,0)*(((((E976*2.54)+VLOOKUP(D976,'Species Codes'!B:J,9,0))/VLOOKUP(D976,'Species Codes'!B:K,10,0))^VLOOKUP(D976,'Species Codes'!B:L,11,0))*((I976*0.3048)^VLOOKUP(D976,'Species Codes'!B:M,12,0))))-(VLOOKUP(D976,'Species Codes'!B:I,8,0)*((((E976*2.54)^VLOOKUP(D976,'Species Codes'!B:L,11,0))*((I976*0.3048)^VLOOKUP(D976,'Species Codes'!B:M,12,0))))))*35.3*VLOOKUP(D976,'Species Codes'!B:G,6,0)/2.2046,VLOOKUP(D976,'Species Codes'!B:I,8,0)+VLOOKUP(D976,'Species Codes'!B:J,9,0)*(((E976*2.54)/100)^2)*(I976*0.3048)))))*0.0011023),0)</f>
        <v>#N/A</v>
      </c>
      <c r="AC976" s="104" t="e">
        <f>IF(Z976&gt;0,((IF(OR(D976="RA",D976="OA",D976="OT",D976="UN",D976="PC"),EXP(VLOOKUP(D976,'Species Codes'!B:O,14,0)+VLOOKUP(D976,'Species Codes'!B:P,15,0)*LN((E976*2.54)))-EXP(VLOOKUP(D976,'Species Codes'!B:O,14,0)+VLOOKUP(D976,'Species Codes'!B:P,15,0)*LN((E976*2.54)))*(1/(VLOOKUP(D976,'Species Codes'!B:Q,16,0)+VLOOKUP(D976,'Species Codes'!B:R,17,0)*((E976*2.54)^VLOOKUP(D976,'Species Codes'!B:S,18,0)))),IF(OR(D976="BM",D976="MD",D976="OA"),EXP(VLOOKUP(D976,'Species Codes'!B:O,14,0)+VLOOKUP(D976,'Species Codes'!B:P,15,0)*LN((E976*2.54)))*(1-(1/(VLOOKUP(D976,'Species Codes'!B:Q,16,0)+VLOOKUP(D976,'Species Codes'!B:R,17,0)*((E976*2.54)^VLOOKUP(D976,'Species Codes'!B:S,18,0)))))/1000,IF(D976="DF",EXP(VLOOKUP(D976,'Species Codes'!B:O,14,0)+VLOOKUP(D976,'Species Codes'!B:P,15,0)*LN((E976*2.54))),VLOOKUP(D976,'Species Codes'!B:O,14,0)+VLOOKUP(D976,'Species Codes'!B:P,15,0)*(((E976*2.54)/100)^2)*(I976*0.3048)))))*0.0011023),0)</f>
        <v>#N/A</v>
      </c>
      <c r="AD976" s="104" t="e">
        <f t="shared" si="436"/>
        <v>#N/A</v>
      </c>
      <c r="AE976" s="104" t="e">
        <f t="shared" si="437"/>
        <v>#N/A</v>
      </c>
      <c r="AF976" s="104" t="e">
        <f>IF(AND(VLOOKUP($D976,Merchantability!$B:$C,2,0)="Yes",$E976&gt;=VLOOKUP($D976,Merchantability!$B:$D,3,0),$E976&lt;=VLOOKUP($D976,Merchantability!$B:$E,4,0)),AA976,0)</f>
        <v>#N/A</v>
      </c>
      <c r="AG976" s="104" t="e">
        <f>IF(AND(VLOOKUP($D976,Merchantability!$B:$C,2,0)="Yes",$E976&gt;=VLOOKUP($D976,Merchantability!$B:$D,3,0),$E976&lt;=VLOOKUP($D976,Merchantability!$B:$E,4,0)),AB976,0)</f>
        <v>#N/A</v>
      </c>
      <c r="AH976" s="104" t="e">
        <f>IF(AND(VLOOKUP($D976,Merchantability!$B:$C,2,0)="Yes",$E976&gt;=VLOOKUP($D976,Merchantability!$B:$D,3,0),$E976&lt;=VLOOKUP($D976,Merchantability!$B:$E,4,0)),AC976,0)</f>
        <v>#N/A</v>
      </c>
      <c r="AI976" s="104" t="e">
        <f t="shared" si="438"/>
        <v>#N/A</v>
      </c>
      <c r="AJ976" s="104" t="e">
        <f t="shared" si="439"/>
        <v>#VALUE!</v>
      </c>
      <c r="AK976" s="104" t="e">
        <f t="shared" si="440"/>
        <v>#N/A</v>
      </c>
      <c r="AL976" s="104" t="e">
        <f t="shared" si="441"/>
        <v>#N/A</v>
      </c>
      <c r="AM976" s="104" t="e">
        <f t="shared" si="442"/>
        <v>#N/A</v>
      </c>
      <c r="AN976" s="104" t="e">
        <f t="shared" si="453"/>
        <v>#N/A</v>
      </c>
      <c r="AO976" s="104" t="e">
        <f t="shared" si="454"/>
        <v>#N/A</v>
      </c>
      <c r="AP976" s="104" t="e">
        <f t="shared" si="455"/>
        <v>#N/A</v>
      </c>
      <c r="AQ976" s="104" t="e">
        <f t="shared" si="456"/>
        <v>#N/A</v>
      </c>
      <c r="AR976" s="105" t="str">
        <f t="shared" si="448"/>
        <v/>
      </c>
      <c r="AS976" s="105" t="str">
        <f t="shared" si="449"/>
        <v/>
      </c>
      <c r="AT976" s="108" t="str">
        <f t="shared" si="450"/>
        <v/>
      </c>
      <c r="AU976" s="108" t="str">
        <f t="shared" si="451"/>
        <v/>
      </c>
      <c r="AV976" s="107" t="str">
        <f>IF(ISNUMBER(O976),IF(VLOOKUP($A976,Stand!C:J,8,FALSE)="Short",AT976,AU976),"")</f>
        <v/>
      </c>
      <c r="AW976" s="109" t="str">
        <f t="shared" si="457"/>
        <v/>
      </c>
      <c r="AX976" s="109" t="str">
        <f t="shared" si="458"/>
        <v/>
      </c>
      <c r="AY976" s="112" t="str">
        <f>IF(ISNUMBER(O976),IF(AND(VLOOKUP($D976,Merchantability!$B:$C,2,0)="Yes",$E976&gt;=VLOOKUP($D976,Merchantability!$B:$D,3,0),$E976&lt;=VLOOKUP($D976,Merchantability!$B:$E,4,0)),(AV976*O976)*(1-$H976/100),""),"")</f>
        <v/>
      </c>
      <c r="AZ976" s="116"/>
      <c r="BA976" s="116"/>
      <c r="BB976" s="116"/>
      <c r="BE976" s="62"/>
      <c r="BF976" s="63"/>
    </row>
    <row r="977" spans="1:58" ht="12.75" customHeight="1" x14ac:dyDescent="0.25">
      <c r="A977" s="313"/>
      <c r="B977" s="328"/>
      <c r="C977" s="329"/>
      <c r="D977" s="328"/>
      <c r="E977" s="330"/>
      <c r="F977" s="328"/>
      <c r="G977" s="329"/>
      <c r="H977" s="329"/>
      <c r="I977" s="328"/>
      <c r="J977" s="383"/>
      <c r="K977" s="329"/>
      <c r="L977" s="329"/>
      <c r="M977" s="76"/>
      <c r="N977" s="103" t="str">
        <f>IF(A977="","",VLOOKUP(A977,Stand!C:K,9,0))</f>
        <v/>
      </c>
      <c r="O977" s="104" t="str">
        <f t="shared" si="443"/>
        <v/>
      </c>
      <c r="P977" s="105" t="str">
        <f t="shared" si="444"/>
        <v/>
      </c>
      <c r="Q977" s="105" t="str">
        <f t="shared" si="432"/>
        <v/>
      </c>
      <c r="R977" s="103" t="str">
        <f t="shared" si="445"/>
        <v/>
      </c>
      <c r="S977" s="103" t="str">
        <f t="shared" si="446"/>
        <v/>
      </c>
      <c r="T977" s="106" t="str">
        <f t="shared" si="433"/>
        <v/>
      </c>
      <c r="U977" s="106" t="str">
        <f t="shared" si="434"/>
        <v/>
      </c>
      <c r="V977" s="106" t="str">
        <f t="shared" si="435"/>
        <v/>
      </c>
      <c r="W977" s="105" t="str">
        <f t="shared" si="447"/>
        <v/>
      </c>
      <c r="X977" s="104" t="str">
        <f t="shared" si="452"/>
        <v/>
      </c>
      <c r="Y977" s="104" t="str">
        <f t="array" ref="Y977">IFERROR(IF(ISNUMBER(O977),IF(COUNT(IF(A977=$A$2:$A$2427,IF(D977=$D$2:$D$2427,IF($X$2:$X$2427&gt;0,1))))&gt;0,SUM(IF(A977=$A$2:$A$2427,IF(D977=$D$2:$D$2427,$X$2:$X$2427)))/COUNT(IF(A977=$A$2:$A$2427,IF(D977=$D$2:$D$2427,IF(ISNUMBER($X$2:$X$2427),1)))),0),""),0)</f>
        <v/>
      </c>
      <c r="Z977" s="104" t="str">
        <f>IF(ISNUMBER(O977),IF(I977&gt;0,(10^(VLOOKUP(D977,'Species Codes'!B:C,2,0)+VLOOKUP(D977,'Species Codes'!B:D,3,0)*LOG(E977)+VLOOKUP(D977,'Species Codes'!B:E,4,0)*LOG(I977))),0),"")</f>
        <v/>
      </c>
      <c r="AA977" s="104" t="str">
        <f>IFERROR((VLOOKUP(D977,'Species Codes'!B:G,6,0)*Z977)/2000,"")</f>
        <v/>
      </c>
      <c r="AB977" s="104" t="e">
        <f>IF(Z977&gt;0,((IF(OR(D977="DF",D977="RA")=TRUE,EXP(VLOOKUP(D977,'Species Codes'!B:I,8,0)+VLOOKUP(D977,'Species Codes'!B:J,9,0)*(LN((E977*2.54)))),IF(OR(D977="PY",D977="RC",D977="WH",D977="NF")=TRUE,VLOOKUP(D977,'Species Codes'!B:I,8,0)+VLOOKUP(D977,'Species Codes'!B:J,9,0)*((E977*2.54)^2)*(I977*0.3048),IF(OR(D977="MD",D977="BM",D977="GA")=TRUE,((VLOOKUP(D977,'Species Codes'!B:I,8,0)*(((((E977*2.54)+VLOOKUP(D977,'Species Codes'!B:J,9,0))/VLOOKUP(D977,'Species Codes'!B:K,10,0))^VLOOKUP(D977,'Species Codes'!B:L,11,0))*((I977*0.3048)^VLOOKUP(D977,'Species Codes'!B:M,12,0))))-(VLOOKUP(D977,'Species Codes'!B:I,8,0)*((((E977*2.54)^VLOOKUP(D977,'Species Codes'!B:L,11,0))*((I977*0.3048)^VLOOKUP(D977,'Species Codes'!B:M,12,0))))))*35.3*VLOOKUP(D977,'Species Codes'!B:G,6,0)/2.2046,VLOOKUP(D977,'Species Codes'!B:I,8,0)+VLOOKUP(D977,'Species Codes'!B:J,9,0)*(((E977*2.54)/100)^2)*(I977*0.3048)))))*0.0011023),0)</f>
        <v>#N/A</v>
      </c>
      <c r="AC977" s="104" t="e">
        <f>IF(Z977&gt;0,((IF(OR(D977="RA",D977="OA",D977="OT",D977="UN",D977="PC"),EXP(VLOOKUP(D977,'Species Codes'!B:O,14,0)+VLOOKUP(D977,'Species Codes'!B:P,15,0)*LN((E977*2.54)))-EXP(VLOOKUP(D977,'Species Codes'!B:O,14,0)+VLOOKUP(D977,'Species Codes'!B:P,15,0)*LN((E977*2.54)))*(1/(VLOOKUP(D977,'Species Codes'!B:Q,16,0)+VLOOKUP(D977,'Species Codes'!B:R,17,0)*((E977*2.54)^VLOOKUP(D977,'Species Codes'!B:S,18,0)))),IF(OR(D977="BM",D977="MD",D977="OA"),EXP(VLOOKUP(D977,'Species Codes'!B:O,14,0)+VLOOKUP(D977,'Species Codes'!B:P,15,0)*LN((E977*2.54)))*(1-(1/(VLOOKUP(D977,'Species Codes'!B:Q,16,0)+VLOOKUP(D977,'Species Codes'!B:R,17,0)*((E977*2.54)^VLOOKUP(D977,'Species Codes'!B:S,18,0)))))/1000,IF(D977="DF",EXP(VLOOKUP(D977,'Species Codes'!B:O,14,0)+VLOOKUP(D977,'Species Codes'!B:P,15,0)*LN((E977*2.54))),VLOOKUP(D977,'Species Codes'!B:O,14,0)+VLOOKUP(D977,'Species Codes'!B:P,15,0)*(((E977*2.54)/100)^2)*(I977*0.3048)))))*0.0011023),0)</f>
        <v>#N/A</v>
      </c>
      <c r="AD977" s="104" t="e">
        <f t="shared" si="436"/>
        <v>#N/A</v>
      </c>
      <c r="AE977" s="104" t="e">
        <f t="shared" si="437"/>
        <v>#N/A</v>
      </c>
      <c r="AF977" s="104" t="e">
        <f>IF(AND(VLOOKUP($D977,Merchantability!$B:$C,2,0)="Yes",$E977&gt;=VLOOKUP($D977,Merchantability!$B:$D,3,0),$E977&lt;=VLOOKUP($D977,Merchantability!$B:$E,4,0)),AA977,0)</f>
        <v>#N/A</v>
      </c>
      <c r="AG977" s="104" t="e">
        <f>IF(AND(VLOOKUP($D977,Merchantability!$B:$C,2,0)="Yes",$E977&gt;=VLOOKUP($D977,Merchantability!$B:$D,3,0),$E977&lt;=VLOOKUP($D977,Merchantability!$B:$E,4,0)),AB977,0)</f>
        <v>#N/A</v>
      </c>
      <c r="AH977" s="104" t="e">
        <f>IF(AND(VLOOKUP($D977,Merchantability!$B:$C,2,0)="Yes",$E977&gt;=VLOOKUP($D977,Merchantability!$B:$D,3,0),$E977&lt;=VLOOKUP($D977,Merchantability!$B:$E,4,0)),AC977,0)</f>
        <v>#N/A</v>
      </c>
      <c r="AI977" s="104" t="e">
        <f t="shared" si="438"/>
        <v>#N/A</v>
      </c>
      <c r="AJ977" s="104" t="e">
        <f t="shared" si="439"/>
        <v>#VALUE!</v>
      </c>
      <c r="AK977" s="104" t="e">
        <f t="shared" si="440"/>
        <v>#N/A</v>
      </c>
      <c r="AL977" s="104" t="e">
        <f t="shared" si="441"/>
        <v>#N/A</v>
      </c>
      <c r="AM977" s="104" t="e">
        <f t="shared" si="442"/>
        <v>#N/A</v>
      </c>
      <c r="AN977" s="104" t="e">
        <f t="shared" si="453"/>
        <v>#N/A</v>
      </c>
      <c r="AO977" s="104" t="e">
        <f t="shared" si="454"/>
        <v>#N/A</v>
      </c>
      <c r="AP977" s="104" t="e">
        <f t="shared" si="455"/>
        <v>#N/A</v>
      </c>
      <c r="AQ977" s="104" t="e">
        <f t="shared" si="456"/>
        <v>#N/A</v>
      </c>
      <c r="AR977" s="105" t="str">
        <f t="shared" si="448"/>
        <v/>
      </c>
      <c r="AS977" s="105" t="str">
        <f t="shared" si="449"/>
        <v/>
      </c>
      <c r="AT977" s="108" t="str">
        <f t="shared" si="450"/>
        <v/>
      </c>
      <c r="AU977" s="108" t="str">
        <f t="shared" si="451"/>
        <v/>
      </c>
      <c r="AV977" s="107" t="str">
        <f>IF(ISNUMBER(O977),IF(VLOOKUP($A977,Stand!C:J,8,FALSE)="Short",AT977,AU977),"")</f>
        <v/>
      </c>
      <c r="AW977" s="109" t="str">
        <f t="shared" si="457"/>
        <v/>
      </c>
      <c r="AX977" s="109" t="str">
        <f t="shared" si="458"/>
        <v/>
      </c>
      <c r="AY977" s="112" t="str">
        <f>IF(ISNUMBER(O977),IF(AND(VLOOKUP($D977,Merchantability!$B:$C,2,0)="Yes",$E977&gt;=VLOOKUP($D977,Merchantability!$B:$D,3,0),$E977&lt;=VLOOKUP($D977,Merchantability!$B:$E,4,0)),(AV977*O977)*(1-$H977/100),""),"")</f>
        <v/>
      </c>
      <c r="AZ977" s="116"/>
      <c r="BA977" s="116"/>
      <c r="BB977" s="116"/>
      <c r="BE977" s="62"/>
      <c r="BF977" s="63"/>
    </row>
    <row r="978" spans="1:58" ht="12.75" customHeight="1" x14ac:dyDescent="0.25">
      <c r="A978" s="313"/>
      <c r="B978" s="328"/>
      <c r="C978" s="329"/>
      <c r="D978" s="328"/>
      <c r="E978" s="330"/>
      <c r="F978" s="328"/>
      <c r="G978" s="329"/>
      <c r="H978" s="329"/>
      <c r="I978" s="328"/>
      <c r="J978" s="383"/>
      <c r="K978" s="329"/>
      <c r="L978" s="329"/>
      <c r="M978" s="76"/>
      <c r="N978" s="103" t="str">
        <f>IF(A978="","",VLOOKUP(A978,Stand!C:K,9,0))</f>
        <v/>
      </c>
      <c r="O978" s="104" t="str">
        <f t="shared" si="443"/>
        <v/>
      </c>
      <c r="P978" s="105" t="str">
        <f t="shared" si="444"/>
        <v/>
      </c>
      <c r="Q978" s="105" t="str">
        <f t="shared" si="432"/>
        <v/>
      </c>
      <c r="R978" s="103" t="str">
        <f t="shared" si="445"/>
        <v/>
      </c>
      <c r="S978" s="103" t="str">
        <f t="shared" si="446"/>
        <v/>
      </c>
      <c r="T978" s="106" t="str">
        <f t="shared" si="433"/>
        <v/>
      </c>
      <c r="U978" s="106" t="str">
        <f t="shared" si="434"/>
        <v/>
      </c>
      <c r="V978" s="106" t="str">
        <f t="shared" si="435"/>
        <v/>
      </c>
      <c r="W978" s="105" t="str">
        <f t="shared" si="447"/>
        <v/>
      </c>
      <c r="X978" s="104" t="str">
        <f t="shared" si="452"/>
        <v/>
      </c>
      <c r="Y978" s="104" t="str">
        <f t="array" ref="Y978">IFERROR(IF(ISNUMBER(O978),IF(COUNT(IF(A978=$A$2:$A$2427,IF(D978=$D$2:$D$2427,IF($X$2:$X$2427&gt;0,1))))&gt;0,SUM(IF(A978=$A$2:$A$2427,IF(D978=$D$2:$D$2427,$X$2:$X$2427)))/COUNT(IF(A978=$A$2:$A$2427,IF(D978=$D$2:$D$2427,IF(ISNUMBER($X$2:$X$2427),1)))),0),""),0)</f>
        <v/>
      </c>
      <c r="Z978" s="104" t="str">
        <f>IF(ISNUMBER(O978),IF(I978&gt;0,(10^(VLOOKUP(D978,'Species Codes'!B:C,2,0)+VLOOKUP(D978,'Species Codes'!B:D,3,0)*LOG(E978)+VLOOKUP(D978,'Species Codes'!B:E,4,0)*LOG(I978))),0),"")</f>
        <v/>
      </c>
      <c r="AA978" s="104" t="str">
        <f>IFERROR((VLOOKUP(D978,'Species Codes'!B:G,6,0)*Z978)/2000,"")</f>
        <v/>
      </c>
      <c r="AB978" s="104" t="e">
        <f>IF(Z978&gt;0,((IF(OR(D978="DF",D978="RA")=TRUE,EXP(VLOOKUP(D978,'Species Codes'!B:I,8,0)+VLOOKUP(D978,'Species Codes'!B:J,9,0)*(LN((E978*2.54)))),IF(OR(D978="PY",D978="RC",D978="WH",D978="NF")=TRUE,VLOOKUP(D978,'Species Codes'!B:I,8,0)+VLOOKUP(D978,'Species Codes'!B:J,9,0)*((E978*2.54)^2)*(I978*0.3048),IF(OR(D978="MD",D978="BM",D978="GA")=TRUE,((VLOOKUP(D978,'Species Codes'!B:I,8,0)*(((((E978*2.54)+VLOOKUP(D978,'Species Codes'!B:J,9,0))/VLOOKUP(D978,'Species Codes'!B:K,10,0))^VLOOKUP(D978,'Species Codes'!B:L,11,0))*((I978*0.3048)^VLOOKUP(D978,'Species Codes'!B:M,12,0))))-(VLOOKUP(D978,'Species Codes'!B:I,8,0)*((((E978*2.54)^VLOOKUP(D978,'Species Codes'!B:L,11,0))*((I978*0.3048)^VLOOKUP(D978,'Species Codes'!B:M,12,0))))))*35.3*VLOOKUP(D978,'Species Codes'!B:G,6,0)/2.2046,VLOOKUP(D978,'Species Codes'!B:I,8,0)+VLOOKUP(D978,'Species Codes'!B:J,9,0)*(((E978*2.54)/100)^2)*(I978*0.3048)))))*0.0011023),0)</f>
        <v>#N/A</v>
      </c>
      <c r="AC978" s="104" t="e">
        <f>IF(Z978&gt;0,((IF(OR(D978="RA",D978="OA",D978="OT",D978="UN",D978="PC"),EXP(VLOOKUP(D978,'Species Codes'!B:O,14,0)+VLOOKUP(D978,'Species Codes'!B:P,15,0)*LN((E978*2.54)))-EXP(VLOOKUP(D978,'Species Codes'!B:O,14,0)+VLOOKUP(D978,'Species Codes'!B:P,15,0)*LN((E978*2.54)))*(1/(VLOOKUP(D978,'Species Codes'!B:Q,16,0)+VLOOKUP(D978,'Species Codes'!B:R,17,0)*((E978*2.54)^VLOOKUP(D978,'Species Codes'!B:S,18,0)))),IF(OR(D978="BM",D978="MD",D978="OA"),EXP(VLOOKUP(D978,'Species Codes'!B:O,14,0)+VLOOKUP(D978,'Species Codes'!B:P,15,0)*LN((E978*2.54)))*(1-(1/(VLOOKUP(D978,'Species Codes'!B:Q,16,0)+VLOOKUP(D978,'Species Codes'!B:R,17,0)*((E978*2.54)^VLOOKUP(D978,'Species Codes'!B:S,18,0)))))/1000,IF(D978="DF",EXP(VLOOKUP(D978,'Species Codes'!B:O,14,0)+VLOOKUP(D978,'Species Codes'!B:P,15,0)*LN((E978*2.54))),VLOOKUP(D978,'Species Codes'!B:O,14,0)+VLOOKUP(D978,'Species Codes'!B:P,15,0)*(((E978*2.54)/100)^2)*(I978*0.3048)))))*0.0011023),0)</f>
        <v>#N/A</v>
      </c>
      <c r="AD978" s="104" t="e">
        <f t="shared" si="436"/>
        <v>#N/A</v>
      </c>
      <c r="AE978" s="104" t="e">
        <f t="shared" si="437"/>
        <v>#N/A</v>
      </c>
      <c r="AF978" s="104" t="e">
        <f>IF(AND(VLOOKUP($D978,Merchantability!$B:$C,2,0)="Yes",$E978&gt;=VLOOKUP($D978,Merchantability!$B:$D,3,0),$E978&lt;=VLOOKUP($D978,Merchantability!$B:$E,4,0)),AA978,0)</f>
        <v>#N/A</v>
      </c>
      <c r="AG978" s="104" t="e">
        <f>IF(AND(VLOOKUP($D978,Merchantability!$B:$C,2,0)="Yes",$E978&gt;=VLOOKUP($D978,Merchantability!$B:$D,3,0),$E978&lt;=VLOOKUP($D978,Merchantability!$B:$E,4,0)),AB978,0)</f>
        <v>#N/A</v>
      </c>
      <c r="AH978" s="104" t="e">
        <f>IF(AND(VLOOKUP($D978,Merchantability!$B:$C,2,0)="Yes",$E978&gt;=VLOOKUP($D978,Merchantability!$B:$D,3,0),$E978&lt;=VLOOKUP($D978,Merchantability!$B:$E,4,0)),AC978,0)</f>
        <v>#N/A</v>
      </c>
      <c r="AI978" s="104" t="e">
        <f t="shared" si="438"/>
        <v>#N/A</v>
      </c>
      <c r="AJ978" s="104" t="e">
        <f t="shared" si="439"/>
        <v>#VALUE!</v>
      </c>
      <c r="AK978" s="104" t="e">
        <f t="shared" si="440"/>
        <v>#N/A</v>
      </c>
      <c r="AL978" s="104" t="e">
        <f t="shared" si="441"/>
        <v>#N/A</v>
      </c>
      <c r="AM978" s="104" t="e">
        <f t="shared" si="442"/>
        <v>#N/A</v>
      </c>
      <c r="AN978" s="104" t="e">
        <f t="shared" si="453"/>
        <v>#N/A</v>
      </c>
      <c r="AO978" s="104" t="e">
        <f t="shared" si="454"/>
        <v>#N/A</v>
      </c>
      <c r="AP978" s="104" t="e">
        <f t="shared" si="455"/>
        <v>#N/A</v>
      </c>
      <c r="AQ978" s="104" t="e">
        <f t="shared" si="456"/>
        <v>#N/A</v>
      </c>
      <c r="AR978" s="105" t="str">
        <f t="shared" si="448"/>
        <v/>
      </c>
      <c r="AS978" s="105" t="str">
        <f t="shared" si="449"/>
        <v/>
      </c>
      <c r="AT978" s="108" t="str">
        <f t="shared" si="450"/>
        <v/>
      </c>
      <c r="AU978" s="108" t="str">
        <f t="shared" si="451"/>
        <v/>
      </c>
      <c r="AV978" s="107" t="str">
        <f>IF(ISNUMBER(O978),IF(VLOOKUP($A978,Stand!C:J,8,FALSE)="Short",AT978,AU978),"")</f>
        <v/>
      </c>
      <c r="AW978" s="109" t="str">
        <f t="shared" si="457"/>
        <v/>
      </c>
      <c r="AX978" s="109" t="str">
        <f t="shared" si="458"/>
        <v/>
      </c>
      <c r="AY978" s="112" t="str">
        <f>IF(ISNUMBER(O978),IF(AND(VLOOKUP($D978,Merchantability!$B:$C,2,0)="Yes",$E978&gt;=VLOOKUP($D978,Merchantability!$B:$D,3,0),$E978&lt;=VLOOKUP($D978,Merchantability!$B:$E,4,0)),(AV978*O978)*(1-$H978/100),""),"")</f>
        <v/>
      </c>
      <c r="AZ978" s="116"/>
      <c r="BA978" s="116"/>
      <c r="BB978" s="116"/>
      <c r="BE978" s="62"/>
      <c r="BF978" s="63"/>
    </row>
    <row r="979" spans="1:58" ht="12.75" customHeight="1" x14ac:dyDescent="0.25">
      <c r="A979" s="313"/>
      <c r="B979" s="328"/>
      <c r="C979" s="329"/>
      <c r="D979" s="328"/>
      <c r="E979" s="330"/>
      <c r="F979" s="328"/>
      <c r="G979" s="329"/>
      <c r="H979" s="329"/>
      <c r="I979" s="328"/>
      <c r="J979" s="383"/>
      <c r="K979" s="329"/>
      <c r="L979" s="329"/>
      <c r="M979" s="76"/>
      <c r="N979" s="103" t="str">
        <f>IF(A979="","",VLOOKUP(A979,Stand!C:K,9,0))</f>
        <v/>
      </c>
      <c r="O979" s="104" t="str">
        <f t="shared" si="443"/>
        <v/>
      </c>
      <c r="P979" s="105" t="str">
        <f t="shared" si="444"/>
        <v/>
      </c>
      <c r="Q979" s="105" t="str">
        <f t="shared" si="432"/>
        <v/>
      </c>
      <c r="R979" s="103" t="str">
        <f t="shared" si="445"/>
        <v/>
      </c>
      <c r="S979" s="103" t="str">
        <f t="shared" si="446"/>
        <v/>
      </c>
      <c r="T979" s="106" t="str">
        <f t="shared" si="433"/>
        <v/>
      </c>
      <c r="U979" s="106" t="str">
        <f t="shared" si="434"/>
        <v/>
      </c>
      <c r="V979" s="106" t="str">
        <f t="shared" si="435"/>
        <v/>
      </c>
      <c r="W979" s="105" t="str">
        <f t="shared" si="447"/>
        <v/>
      </c>
      <c r="X979" s="104" t="str">
        <f t="shared" si="452"/>
        <v/>
      </c>
      <c r="Y979" s="104" t="str">
        <f t="array" ref="Y979">IFERROR(IF(ISNUMBER(O979),IF(COUNT(IF(A979=$A$2:$A$2427,IF(D979=$D$2:$D$2427,IF($X$2:$X$2427&gt;0,1))))&gt;0,SUM(IF(A979=$A$2:$A$2427,IF(D979=$D$2:$D$2427,$X$2:$X$2427)))/COUNT(IF(A979=$A$2:$A$2427,IF(D979=$D$2:$D$2427,IF(ISNUMBER($X$2:$X$2427),1)))),0),""),0)</f>
        <v/>
      </c>
      <c r="Z979" s="104" t="str">
        <f>IF(ISNUMBER(O979),IF(I979&gt;0,(10^(VLOOKUP(D979,'Species Codes'!B:C,2,0)+VLOOKUP(D979,'Species Codes'!B:D,3,0)*LOG(E979)+VLOOKUP(D979,'Species Codes'!B:E,4,0)*LOG(I979))),0),"")</f>
        <v/>
      </c>
      <c r="AA979" s="104" t="str">
        <f>IFERROR((VLOOKUP(D979,'Species Codes'!B:G,6,0)*Z979)/2000,"")</f>
        <v/>
      </c>
      <c r="AB979" s="104" t="e">
        <f>IF(Z979&gt;0,((IF(OR(D979="DF",D979="RA")=TRUE,EXP(VLOOKUP(D979,'Species Codes'!B:I,8,0)+VLOOKUP(D979,'Species Codes'!B:J,9,0)*(LN((E979*2.54)))),IF(OR(D979="PY",D979="RC",D979="WH",D979="NF")=TRUE,VLOOKUP(D979,'Species Codes'!B:I,8,0)+VLOOKUP(D979,'Species Codes'!B:J,9,0)*((E979*2.54)^2)*(I979*0.3048),IF(OR(D979="MD",D979="BM",D979="GA")=TRUE,((VLOOKUP(D979,'Species Codes'!B:I,8,0)*(((((E979*2.54)+VLOOKUP(D979,'Species Codes'!B:J,9,0))/VLOOKUP(D979,'Species Codes'!B:K,10,0))^VLOOKUP(D979,'Species Codes'!B:L,11,0))*((I979*0.3048)^VLOOKUP(D979,'Species Codes'!B:M,12,0))))-(VLOOKUP(D979,'Species Codes'!B:I,8,0)*((((E979*2.54)^VLOOKUP(D979,'Species Codes'!B:L,11,0))*((I979*0.3048)^VLOOKUP(D979,'Species Codes'!B:M,12,0))))))*35.3*VLOOKUP(D979,'Species Codes'!B:G,6,0)/2.2046,VLOOKUP(D979,'Species Codes'!B:I,8,0)+VLOOKUP(D979,'Species Codes'!B:J,9,0)*(((E979*2.54)/100)^2)*(I979*0.3048)))))*0.0011023),0)</f>
        <v>#N/A</v>
      </c>
      <c r="AC979" s="104" t="e">
        <f>IF(Z979&gt;0,((IF(OR(D979="RA",D979="OA",D979="OT",D979="UN",D979="PC"),EXP(VLOOKUP(D979,'Species Codes'!B:O,14,0)+VLOOKUP(D979,'Species Codes'!B:P,15,0)*LN((E979*2.54)))-EXP(VLOOKUP(D979,'Species Codes'!B:O,14,0)+VLOOKUP(D979,'Species Codes'!B:P,15,0)*LN((E979*2.54)))*(1/(VLOOKUP(D979,'Species Codes'!B:Q,16,0)+VLOOKUP(D979,'Species Codes'!B:R,17,0)*((E979*2.54)^VLOOKUP(D979,'Species Codes'!B:S,18,0)))),IF(OR(D979="BM",D979="MD",D979="OA"),EXP(VLOOKUP(D979,'Species Codes'!B:O,14,0)+VLOOKUP(D979,'Species Codes'!B:P,15,0)*LN((E979*2.54)))*(1-(1/(VLOOKUP(D979,'Species Codes'!B:Q,16,0)+VLOOKUP(D979,'Species Codes'!B:R,17,0)*((E979*2.54)^VLOOKUP(D979,'Species Codes'!B:S,18,0)))))/1000,IF(D979="DF",EXP(VLOOKUP(D979,'Species Codes'!B:O,14,0)+VLOOKUP(D979,'Species Codes'!B:P,15,0)*LN((E979*2.54))),VLOOKUP(D979,'Species Codes'!B:O,14,0)+VLOOKUP(D979,'Species Codes'!B:P,15,0)*(((E979*2.54)/100)^2)*(I979*0.3048)))))*0.0011023),0)</f>
        <v>#N/A</v>
      </c>
      <c r="AD979" s="104" t="e">
        <f t="shared" si="436"/>
        <v>#N/A</v>
      </c>
      <c r="AE979" s="104" t="e">
        <f t="shared" si="437"/>
        <v>#N/A</v>
      </c>
      <c r="AF979" s="104" t="e">
        <f>IF(AND(VLOOKUP($D979,Merchantability!$B:$C,2,0)="Yes",$E979&gt;=VLOOKUP($D979,Merchantability!$B:$D,3,0),$E979&lt;=VLOOKUP($D979,Merchantability!$B:$E,4,0)),AA979,0)</f>
        <v>#N/A</v>
      </c>
      <c r="AG979" s="104" t="e">
        <f>IF(AND(VLOOKUP($D979,Merchantability!$B:$C,2,0)="Yes",$E979&gt;=VLOOKUP($D979,Merchantability!$B:$D,3,0),$E979&lt;=VLOOKUP($D979,Merchantability!$B:$E,4,0)),AB979,0)</f>
        <v>#N/A</v>
      </c>
      <c r="AH979" s="104" t="e">
        <f>IF(AND(VLOOKUP($D979,Merchantability!$B:$C,2,0)="Yes",$E979&gt;=VLOOKUP($D979,Merchantability!$B:$D,3,0),$E979&lt;=VLOOKUP($D979,Merchantability!$B:$E,4,0)),AC979,0)</f>
        <v>#N/A</v>
      </c>
      <c r="AI979" s="104" t="e">
        <f t="shared" si="438"/>
        <v>#N/A</v>
      </c>
      <c r="AJ979" s="104" t="e">
        <f t="shared" si="439"/>
        <v>#VALUE!</v>
      </c>
      <c r="AK979" s="104" t="e">
        <f t="shared" si="440"/>
        <v>#N/A</v>
      </c>
      <c r="AL979" s="104" t="e">
        <f t="shared" si="441"/>
        <v>#N/A</v>
      </c>
      <c r="AM979" s="104" t="e">
        <f t="shared" si="442"/>
        <v>#N/A</v>
      </c>
      <c r="AN979" s="104" t="e">
        <f t="shared" si="453"/>
        <v>#N/A</v>
      </c>
      <c r="AO979" s="104" t="e">
        <f t="shared" si="454"/>
        <v>#N/A</v>
      </c>
      <c r="AP979" s="104" t="e">
        <f t="shared" si="455"/>
        <v>#N/A</v>
      </c>
      <c r="AQ979" s="104" t="e">
        <f t="shared" si="456"/>
        <v>#N/A</v>
      </c>
      <c r="AR979" s="105" t="str">
        <f t="shared" si="448"/>
        <v/>
      </c>
      <c r="AS979" s="105" t="str">
        <f t="shared" si="449"/>
        <v/>
      </c>
      <c r="AT979" s="108" t="str">
        <f t="shared" si="450"/>
        <v/>
      </c>
      <c r="AU979" s="108" t="str">
        <f t="shared" si="451"/>
        <v/>
      </c>
      <c r="AV979" s="107" t="str">
        <f>IF(ISNUMBER(O979),IF(VLOOKUP($A979,Stand!C:J,8,FALSE)="Short",AT979,AU979),"")</f>
        <v/>
      </c>
      <c r="AW979" s="109" t="str">
        <f t="shared" si="457"/>
        <v/>
      </c>
      <c r="AX979" s="109" t="str">
        <f t="shared" si="458"/>
        <v/>
      </c>
      <c r="AY979" s="112" t="str">
        <f>IF(ISNUMBER(O979),IF(AND(VLOOKUP($D979,Merchantability!$B:$C,2,0)="Yes",$E979&gt;=VLOOKUP($D979,Merchantability!$B:$D,3,0),$E979&lt;=VLOOKUP($D979,Merchantability!$B:$E,4,0)),(AV979*O979)*(1-$H979/100),""),"")</f>
        <v/>
      </c>
      <c r="AZ979" s="116"/>
      <c r="BA979" s="116"/>
      <c r="BB979" s="116"/>
      <c r="BE979" s="62"/>
      <c r="BF979" s="63"/>
    </row>
    <row r="980" spans="1:58" ht="12.75" customHeight="1" x14ac:dyDescent="0.25">
      <c r="A980" s="313"/>
      <c r="B980" s="328"/>
      <c r="C980" s="329"/>
      <c r="D980" s="328"/>
      <c r="E980" s="330"/>
      <c r="F980" s="328"/>
      <c r="G980" s="329"/>
      <c r="H980" s="329"/>
      <c r="I980" s="328"/>
      <c r="J980" s="383"/>
      <c r="K980" s="329"/>
      <c r="L980" s="329"/>
      <c r="M980" s="76"/>
      <c r="N980" s="103" t="str">
        <f>IF(A980="","",VLOOKUP(A980,Stand!C:K,9,0))</f>
        <v/>
      </c>
      <c r="O980" s="104" t="str">
        <f t="shared" si="443"/>
        <v/>
      </c>
      <c r="P980" s="105" t="str">
        <f t="shared" si="444"/>
        <v/>
      </c>
      <c r="Q980" s="105" t="str">
        <f t="shared" si="432"/>
        <v/>
      </c>
      <c r="R980" s="103" t="str">
        <f t="shared" si="445"/>
        <v/>
      </c>
      <c r="S980" s="103" t="str">
        <f t="shared" si="446"/>
        <v/>
      </c>
      <c r="T980" s="106" t="str">
        <f t="shared" si="433"/>
        <v/>
      </c>
      <c r="U980" s="106" t="str">
        <f t="shared" si="434"/>
        <v/>
      </c>
      <c r="V980" s="106" t="str">
        <f t="shared" si="435"/>
        <v/>
      </c>
      <c r="W980" s="105" t="str">
        <f t="shared" si="447"/>
        <v/>
      </c>
      <c r="X980" s="104" t="str">
        <f t="shared" si="452"/>
        <v/>
      </c>
      <c r="Y980" s="104" t="str">
        <f t="array" ref="Y980">IFERROR(IF(ISNUMBER(O980),IF(COUNT(IF(A980=$A$2:$A$2427,IF(D980=$D$2:$D$2427,IF($X$2:$X$2427&gt;0,1))))&gt;0,SUM(IF(A980=$A$2:$A$2427,IF(D980=$D$2:$D$2427,$X$2:$X$2427)))/COUNT(IF(A980=$A$2:$A$2427,IF(D980=$D$2:$D$2427,IF(ISNUMBER($X$2:$X$2427),1)))),0),""),0)</f>
        <v/>
      </c>
      <c r="Z980" s="104" t="str">
        <f>IF(ISNUMBER(O980),IF(I980&gt;0,(10^(VLOOKUP(D980,'Species Codes'!B:C,2,0)+VLOOKUP(D980,'Species Codes'!B:D,3,0)*LOG(E980)+VLOOKUP(D980,'Species Codes'!B:E,4,0)*LOG(I980))),0),"")</f>
        <v/>
      </c>
      <c r="AA980" s="104" t="str">
        <f>IFERROR((VLOOKUP(D980,'Species Codes'!B:G,6,0)*Z980)/2000,"")</f>
        <v/>
      </c>
      <c r="AB980" s="104" t="e">
        <f>IF(Z980&gt;0,((IF(OR(D980="DF",D980="RA")=TRUE,EXP(VLOOKUP(D980,'Species Codes'!B:I,8,0)+VLOOKUP(D980,'Species Codes'!B:J,9,0)*(LN((E980*2.54)))),IF(OR(D980="PY",D980="RC",D980="WH",D980="NF")=TRUE,VLOOKUP(D980,'Species Codes'!B:I,8,0)+VLOOKUP(D980,'Species Codes'!B:J,9,0)*((E980*2.54)^2)*(I980*0.3048),IF(OR(D980="MD",D980="BM",D980="GA")=TRUE,((VLOOKUP(D980,'Species Codes'!B:I,8,0)*(((((E980*2.54)+VLOOKUP(D980,'Species Codes'!B:J,9,0))/VLOOKUP(D980,'Species Codes'!B:K,10,0))^VLOOKUP(D980,'Species Codes'!B:L,11,0))*((I980*0.3048)^VLOOKUP(D980,'Species Codes'!B:M,12,0))))-(VLOOKUP(D980,'Species Codes'!B:I,8,0)*((((E980*2.54)^VLOOKUP(D980,'Species Codes'!B:L,11,0))*((I980*0.3048)^VLOOKUP(D980,'Species Codes'!B:M,12,0))))))*35.3*VLOOKUP(D980,'Species Codes'!B:G,6,0)/2.2046,VLOOKUP(D980,'Species Codes'!B:I,8,0)+VLOOKUP(D980,'Species Codes'!B:J,9,0)*(((E980*2.54)/100)^2)*(I980*0.3048)))))*0.0011023),0)</f>
        <v>#N/A</v>
      </c>
      <c r="AC980" s="104" t="e">
        <f>IF(Z980&gt;0,((IF(OR(D980="RA",D980="OA",D980="OT",D980="UN",D980="PC"),EXP(VLOOKUP(D980,'Species Codes'!B:O,14,0)+VLOOKUP(D980,'Species Codes'!B:P,15,0)*LN((E980*2.54)))-EXP(VLOOKUP(D980,'Species Codes'!B:O,14,0)+VLOOKUP(D980,'Species Codes'!B:P,15,0)*LN((E980*2.54)))*(1/(VLOOKUP(D980,'Species Codes'!B:Q,16,0)+VLOOKUP(D980,'Species Codes'!B:R,17,0)*((E980*2.54)^VLOOKUP(D980,'Species Codes'!B:S,18,0)))),IF(OR(D980="BM",D980="MD",D980="OA"),EXP(VLOOKUP(D980,'Species Codes'!B:O,14,0)+VLOOKUP(D980,'Species Codes'!B:P,15,0)*LN((E980*2.54)))*(1-(1/(VLOOKUP(D980,'Species Codes'!B:Q,16,0)+VLOOKUP(D980,'Species Codes'!B:R,17,0)*((E980*2.54)^VLOOKUP(D980,'Species Codes'!B:S,18,0)))))/1000,IF(D980="DF",EXP(VLOOKUP(D980,'Species Codes'!B:O,14,0)+VLOOKUP(D980,'Species Codes'!B:P,15,0)*LN((E980*2.54))),VLOOKUP(D980,'Species Codes'!B:O,14,0)+VLOOKUP(D980,'Species Codes'!B:P,15,0)*(((E980*2.54)/100)^2)*(I980*0.3048)))))*0.0011023),0)</f>
        <v>#N/A</v>
      </c>
      <c r="AD980" s="104" t="e">
        <f t="shared" si="436"/>
        <v>#N/A</v>
      </c>
      <c r="AE980" s="104" t="e">
        <f t="shared" si="437"/>
        <v>#N/A</v>
      </c>
      <c r="AF980" s="104" t="e">
        <f>IF(AND(VLOOKUP($D980,Merchantability!$B:$C,2,0)="Yes",$E980&gt;=VLOOKUP($D980,Merchantability!$B:$D,3,0),$E980&lt;=VLOOKUP($D980,Merchantability!$B:$E,4,0)),AA980,0)</f>
        <v>#N/A</v>
      </c>
      <c r="AG980" s="104" t="e">
        <f>IF(AND(VLOOKUP($D980,Merchantability!$B:$C,2,0)="Yes",$E980&gt;=VLOOKUP($D980,Merchantability!$B:$D,3,0),$E980&lt;=VLOOKUP($D980,Merchantability!$B:$E,4,0)),AB980,0)</f>
        <v>#N/A</v>
      </c>
      <c r="AH980" s="104" t="e">
        <f>IF(AND(VLOOKUP($D980,Merchantability!$B:$C,2,0)="Yes",$E980&gt;=VLOOKUP($D980,Merchantability!$B:$D,3,0),$E980&lt;=VLOOKUP($D980,Merchantability!$B:$E,4,0)),AC980,0)</f>
        <v>#N/A</v>
      </c>
      <c r="AI980" s="104" t="e">
        <f t="shared" si="438"/>
        <v>#N/A</v>
      </c>
      <c r="AJ980" s="104" t="e">
        <f t="shared" si="439"/>
        <v>#VALUE!</v>
      </c>
      <c r="AK980" s="104" t="e">
        <f t="shared" si="440"/>
        <v>#N/A</v>
      </c>
      <c r="AL980" s="104" t="e">
        <f t="shared" si="441"/>
        <v>#N/A</v>
      </c>
      <c r="AM980" s="104" t="e">
        <f t="shared" si="442"/>
        <v>#N/A</v>
      </c>
      <c r="AN980" s="104" t="e">
        <f t="shared" si="453"/>
        <v>#N/A</v>
      </c>
      <c r="AO980" s="104" t="e">
        <f t="shared" si="454"/>
        <v>#N/A</v>
      </c>
      <c r="AP980" s="104" t="e">
        <f t="shared" si="455"/>
        <v>#N/A</v>
      </c>
      <c r="AQ980" s="104" t="e">
        <f t="shared" si="456"/>
        <v>#N/A</v>
      </c>
      <c r="AR980" s="105" t="str">
        <f t="shared" si="448"/>
        <v/>
      </c>
      <c r="AS980" s="105" t="str">
        <f t="shared" si="449"/>
        <v/>
      </c>
      <c r="AT980" s="108" t="str">
        <f t="shared" si="450"/>
        <v/>
      </c>
      <c r="AU980" s="108" t="str">
        <f t="shared" si="451"/>
        <v/>
      </c>
      <c r="AV980" s="107" t="str">
        <f>IF(ISNUMBER(O980),IF(VLOOKUP($A980,Stand!C:J,8,FALSE)="Short",AT980,AU980),"")</f>
        <v/>
      </c>
      <c r="AW980" s="109" t="str">
        <f t="shared" si="457"/>
        <v/>
      </c>
      <c r="AX980" s="109" t="str">
        <f t="shared" si="458"/>
        <v/>
      </c>
      <c r="AY980" s="112" t="str">
        <f>IF(ISNUMBER(O980),IF(AND(VLOOKUP($D980,Merchantability!$B:$C,2,0)="Yes",$E980&gt;=VLOOKUP($D980,Merchantability!$B:$D,3,0),$E980&lt;=VLOOKUP($D980,Merchantability!$B:$E,4,0)),(AV980*O980)*(1-$H980/100),""),"")</f>
        <v/>
      </c>
      <c r="AZ980" s="116"/>
      <c r="BA980" s="116"/>
      <c r="BB980" s="116"/>
      <c r="BE980" s="62"/>
      <c r="BF980" s="63"/>
    </row>
    <row r="981" spans="1:58" ht="12.75" customHeight="1" x14ac:dyDescent="0.25">
      <c r="A981" s="313"/>
      <c r="B981" s="328"/>
      <c r="C981" s="329"/>
      <c r="D981" s="328"/>
      <c r="E981" s="330"/>
      <c r="F981" s="328"/>
      <c r="G981" s="329"/>
      <c r="H981" s="329"/>
      <c r="I981" s="328"/>
      <c r="J981" s="383"/>
      <c r="K981" s="329"/>
      <c r="L981" s="329"/>
      <c r="M981" s="76"/>
      <c r="N981" s="103" t="str">
        <f>IF(A981="","",VLOOKUP(A981,Stand!C:K,9,0))</f>
        <v/>
      </c>
      <c r="O981" s="104" t="str">
        <f t="shared" si="443"/>
        <v/>
      </c>
      <c r="P981" s="105" t="str">
        <f t="shared" si="444"/>
        <v/>
      </c>
      <c r="Q981" s="105" t="str">
        <f t="shared" si="432"/>
        <v/>
      </c>
      <c r="R981" s="103" t="str">
        <f t="shared" si="445"/>
        <v/>
      </c>
      <c r="S981" s="103" t="str">
        <f t="shared" si="446"/>
        <v/>
      </c>
      <c r="T981" s="106" t="str">
        <f t="shared" si="433"/>
        <v/>
      </c>
      <c r="U981" s="106" t="str">
        <f t="shared" si="434"/>
        <v/>
      </c>
      <c r="V981" s="106" t="str">
        <f t="shared" si="435"/>
        <v/>
      </c>
      <c r="W981" s="105" t="str">
        <f t="shared" si="447"/>
        <v/>
      </c>
      <c r="X981" s="104" t="str">
        <f t="shared" si="452"/>
        <v/>
      </c>
      <c r="Y981" s="104" t="str">
        <f t="array" ref="Y981">IFERROR(IF(ISNUMBER(O981),IF(COUNT(IF(A981=$A$2:$A$2427,IF(D981=$D$2:$D$2427,IF($X$2:$X$2427&gt;0,1))))&gt;0,SUM(IF(A981=$A$2:$A$2427,IF(D981=$D$2:$D$2427,$X$2:$X$2427)))/COUNT(IF(A981=$A$2:$A$2427,IF(D981=$D$2:$D$2427,IF(ISNUMBER($X$2:$X$2427),1)))),0),""),0)</f>
        <v/>
      </c>
      <c r="Z981" s="104" t="str">
        <f>IF(ISNUMBER(O981),IF(I981&gt;0,(10^(VLOOKUP(D981,'Species Codes'!B:C,2,0)+VLOOKUP(D981,'Species Codes'!B:D,3,0)*LOG(E981)+VLOOKUP(D981,'Species Codes'!B:E,4,0)*LOG(I981))),0),"")</f>
        <v/>
      </c>
      <c r="AA981" s="104" t="str">
        <f>IFERROR((VLOOKUP(D981,'Species Codes'!B:G,6,0)*Z981)/2000,"")</f>
        <v/>
      </c>
      <c r="AB981" s="104" t="e">
        <f>IF(Z981&gt;0,((IF(OR(D981="DF",D981="RA")=TRUE,EXP(VLOOKUP(D981,'Species Codes'!B:I,8,0)+VLOOKUP(D981,'Species Codes'!B:J,9,0)*(LN((E981*2.54)))),IF(OR(D981="PY",D981="RC",D981="WH",D981="NF")=TRUE,VLOOKUP(D981,'Species Codes'!B:I,8,0)+VLOOKUP(D981,'Species Codes'!B:J,9,0)*((E981*2.54)^2)*(I981*0.3048),IF(OR(D981="MD",D981="BM",D981="GA")=TRUE,((VLOOKUP(D981,'Species Codes'!B:I,8,0)*(((((E981*2.54)+VLOOKUP(D981,'Species Codes'!B:J,9,0))/VLOOKUP(D981,'Species Codes'!B:K,10,0))^VLOOKUP(D981,'Species Codes'!B:L,11,0))*((I981*0.3048)^VLOOKUP(D981,'Species Codes'!B:M,12,0))))-(VLOOKUP(D981,'Species Codes'!B:I,8,0)*((((E981*2.54)^VLOOKUP(D981,'Species Codes'!B:L,11,0))*((I981*0.3048)^VLOOKUP(D981,'Species Codes'!B:M,12,0))))))*35.3*VLOOKUP(D981,'Species Codes'!B:G,6,0)/2.2046,VLOOKUP(D981,'Species Codes'!B:I,8,0)+VLOOKUP(D981,'Species Codes'!B:J,9,0)*(((E981*2.54)/100)^2)*(I981*0.3048)))))*0.0011023),0)</f>
        <v>#N/A</v>
      </c>
      <c r="AC981" s="104" t="e">
        <f>IF(Z981&gt;0,((IF(OR(D981="RA",D981="OA",D981="OT",D981="UN",D981="PC"),EXP(VLOOKUP(D981,'Species Codes'!B:O,14,0)+VLOOKUP(D981,'Species Codes'!B:P,15,0)*LN((E981*2.54)))-EXP(VLOOKUP(D981,'Species Codes'!B:O,14,0)+VLOOKUP(D981,'Species Codes'!B:P,15,0)*LN((E981*2.54)))*(1/(VLOOKUP(D981,'Species Codes'!B:Q,16,0)+VLOOKUP(D981,'Species Codes'!B:R,17,0)*((E981*2.54)^VLOOKUP(D981,'Species Codes'!B:S,18,0)))),IF(OR(D981="BM",D981="MD",D981="OA"),EXP(VLOOKUP(D981,'Species Codes'!B:O,14,0)+VLOOKUP(D981,'Species Codes'!B:P,15,0)*LN((E981*2.54)))*(1-(1/(VLOOKUP(D981,'Species Codes'!B:Q,16,0)+VLOOKUP(D981,'Species Codes'!B:R,17,0)*((E981*2.54)^VLOOKUP(D981,'Species Codes'!B:S,18,0)))))/1000,IF(D981="DF",EXP(VLOOKUP(D981,'Species Codes'!B:O,14,0)+VLOOKUP(D981,'Species Codes'!B:P,15,0)*LN((E981*2.54))),VLOOKUP(D981,'Species Codes'!B:O,14,0)+VLOOKUP(D981,'Species Codes'!B:P,15,0)*(((E981*2.54)/100)^2)*(I981*0.3048)))))*0.0011023),0)</f>
        <v>#N/A</v>
      </c>
      <c r="AD981" s="104" t="e">
        <f t="shared" si="436"/>
        <v>#N/A</v>
      </c>
      <c r="AE981" s="104" t="e">
        <f t="shared" si="437"/>
        <v>#N/A</v>
      </c>
      <c r="AF981" s="104" t="e">
        <f>IF(AND(VLOOKUP($D981,Merchantability!$B:$C,2,0)="Yes",$E981&gt;=VLOOKUP($D981,Merchantability!$B:$D,3,0),$E981&lt;=VLOOKUP($D981,Merchantability!$B:$E,4,0)),AA981,0)</f>
        <v>#N/A</v>
      </c>
      <c r="AG981" s="104" t="e">
        <f>IF(AND(VLOOKUP($D981,Merchantability!$B:$C,2,0)="Yes",$E981&gt;=VLOOKUP($D981,Merchantability!$B:$D,3,0),$E981&lt;=VLOOKUP($D981,Merchantability!$B:$E,4,0)),AB981,0)</f>
        <v>#N/A</v>
      </c>
      <c r="AH981" s="104" t="e">
        <f>IF(AND(VLOOKUP($D981,Merchantability!$B:$C,2,0)="Yes",$E981&gt;=VLOOKUP($D981,Merchantability!$B:$D,3,0),$E981&lt;=VLOOKUP($D981,Merchantability!$B:$E,4,0)),AC981,0)</f>
        <v>#N/A</v>
      </c>
      <c r="AI981" s="104" t="e">
        <f t="shared" si="438"/>
        <v>#N/A</v>
      </c>
      <c r="AJ981" s="104" t="e">
        <f t="shared" si="439"/>
        <v>#VALUE!</v>
      </c>
      <c r="AK981" s="104" t="e">
        <f t="shared" si="440"/>
        <v>#N/A</v>
      </c>
      <c r="AL981" s="104" t="e">
        <f t="shared" si="441"/>
        <v>#N/A</v>
      </c>
      <c r="AM981" s="104" t="e">
        <f t="shared" si="442"/>
        <v>#N/A</v>
      </c>
      <c r="AN981" s="104" t="e">
        <f t="shared" si="453"/>
        <v>#N/A</v>
      </c>
      <c r="AO981" s="104" t="e">
        <f t="shared" si="454"/>
        <v>#N/A</v>
      </c>
      <c r="AP981" s="104" t="e">
        <f t="shared" si="455"/>
        <v>#N/A</v>
      </c>
      <c r="AQ981" s="104" t="e">
        <f t="shared" si="456"/>
        <v>#N/A</v>
      </c>
      <c r="AR981" s="105" t="str">
        <f t="shared" si="448"/>
        <v/>
      </c>
      <c r="AS981" s="105" t="str">
        <f t="shared" si="449"/>
        <v/>
      </c>
      <c r="AT981" s="108" t="str">
        <f t="shared" si="450"/>
        <v/>
      </c>
      <c r="AU981" s="108" t="str">
        <f t="shared" si="451"/>
        <v/>
      </c>
      <c r="AV981" s="107" t="str">
        <f>IF(ISNUMBER(O981),IF(VLOOKUP($A981,Stand!C:J,8,FALSE)="Short",AT981,AU981),"")</f>
        <v/>
      </c>
      <c r="AW981" s="109" t="str">
        <f t="shared" si="457"/>
        <v/>
      </c>
      <c r="AX981" s="109" t="str">
        <f t="shared" si="458"/>
        <v/>
      </c>
      <c r="AY981" s="112" t="str">
        <f>IF(ISNUMBER(O981),IF(AND(VLOOKUP($D981,Merchantability!$B:$C,2,0)="Yes",$E981&gt;=VLOOKUP($D981,Merchantability!$B:$D,3,0),$E981&lt;=VLOOKUP($D981,Merchantability!$B:$E,4,0)),(AV981*O981)*(1-$H981/100),""),"")</f>
        <v/>
      </c>
      <c r="AZ981" s="116"/>
      <c r="BA981" s="116"/>
      <c r="BB981" s="116"/>
      <c r="BE981" s="62"/>
      <c r="BF981" s="63"/>
    </row>
    <row r="982" spans="1:58" ht="12.75" customHeight="1" x14ac:dyDescent="0.25">
      <c r="A982" s="313"/>
      <c r="B982" s="328"/>
      <c r="C982" s="329"/>
      <c r="D982" s="328"/>
      <c r="E982" s="330"/>
      <c r="F982" s="328"/>
      <c r="G982" s="329"/>
      <c r="H982" s="329"/>
      <c r="I982" s="328"/>
      <c r="J982" s="383"/>
      <c r="K982" s="329"/>
      <c r="L982" s="329"/>
      <c r="M982" s="76"/>
      <c r="N982" s="103" t="str">
        <f>IF(A982="","",VLOOKUP(A982,Stand!C:K,9,0))</f>
        <v/>
      </c>
      <c r="O982" s="104" t="str">
        <f t="shared" si="443"/>
        <v/>
      </c>
      <c r="P982" s="105" t="str">
        <f t="shared" si="444"/>
        <v/>
      </c>
      <c r="Q982" s="105" t="str">
        <f t="shared" si="432"/>
        <v/>
      </c>
      <c r="R982" s="103" t="str">
        <f t="shared" si="445"/>
        <v/>
      </c>
      <c r="S982" s="103" t="str">
        <f t="shared" si="446"/>
        <v/>
      </c>
      <c r="T982" s="106" t="str">
        <f t="shared" si="433"/>
        <v/>
      </c>
      <c r="U982" s="106" t="str">
        <f t="shared" si="434"/>
        <v/>
      </c>
      <c r="V982" s="106" t="str">
        <f t="shared" si="435"/>
        <v/>
      </c>
      <c r="W982" s="105" t="str">
        <f t="shared" si="447"/>
        <v/>
      </c>
      <c r="X982" s="104" t="str">
        <f t="shared" si="452"/>
        <v/>
      </c>
      <c r="Y982" s="104" t="str">
        <f t="array" ref="Y982">IFERROR(IF(ISNUMBER(O982),IF(COUNT(IF(A982=$A$2:$A$2427,IF(D982=$D$2:$D$2427,IF($X$2:$X$2427&gt;0,1))))&gt;0,SUM(IF(A982=$A$2:$A$2427,IF(D982=$D$2:$D$2427,$X$2:$X$2427)))/COUNT(IF(A982=$A$2:$A$2427,IF(D982=$D$2:$D$2427,IF(ISNUMBER($X$2:$X$2427),1)))),0),""),0)</f>
        <v/>
      </c>
      <c r="Z982" s="104" t="str">
        <f>IF(ISNUMBER(O982),IF(I982&gt;0,(10^(VLOOKUP(D982,'Species Codes'!B:C,2,0)+VLOOKUP(D982,'Species Codes'!B:D,3,0)*LOG(E982)+VLOOKUP(D982,'Species Codes'!B:E,4,0)*LOG(I982))),0),"")</f>
        <v/>
      </c>
      <c r="AA982" s="104" t="str">
        <f>IFERROR((VLOOKUP(D982,'Species Codes'!B:G,6,0)*Z982)/2000,"")</f>
        <v/>
      </c>
      <c r="AB982" s="104" t="e">
        <f>IF(Z982&gt;0,((IF(OR(D982="DF",D982="RA")=TRUE,EXP(VLOOKUP(D982,'Species Codes'!B:I,8,0)+VLOOKUP(D982,'Species Codes'!B:J,9,0)*(LN((E982*2.54)))),IF(OR(D982="PY",D982="RC",D982="WH",D982="NF")=TRUE,VLOOKUP(D982,'Species Codes'!B:I,8,0)+VLOOKUP(D982,'Species Codes'!B:J,9,0)*((E982*2.54)^2)*(I982*0.3048),IF(OR(D982="MD",D982="BM",D982="GA")=TRUE,((VLOOKUP(D982,'Species Codes'!B:I,8,0)*(((((E982*2.54)+VLOOKUP(D982,'Species Codes'!B:J,9,0))/VLOOKUP(D982,'Species Codes'!B:K,10,0))^VLOOKUP(D982,'Species Codes'!B:L,11,0))*((I982*0.3048)^VLOOKUP(D982,'Species Codes'!B:M,12,0))))-(VLOOKUP(D982,'Species Codes'!B:I,8,0)*((((E982*2.54)^VLOOKUP(D982,'Species Codes'!B:L,11,0))*((I982*0.3048)^VLOOKUP(D982,'Species Codes'!B:M,12,0))))))*35.3*VLOOKUP(D982,'Species Codes'!B:G,6,0)/2.2046,VLOOKUP(D982,'Species Codes'!B:I,8,0)+VLOOKUP(D982,'Species Codes'!B:J,9,0)*(((E982*2.54)/100)^2)*(I982*0.3048)))))*0.0011023),0)</f>
        <v>#N/A</v>
      </c>
      <c r="AC982" s="104" t="e">
        <f>IF(Z982&gt;0,((IF(OR(D982="RA",D982="OA",D982="OT",D982="UN",D982="PC"),EXP(VLOOKUP(D982,'Species Codes'!B:O,14,0)+VLOOKUP(D982,'Species Codes'!B:P,15,0)*LN((E982*2.54)))-EXP(VLOOKUP(D982,'Species Codes'!B:O,14,0)+VLOOKUP(D982,'Species Codes'!B:P,15,0)*LN((E982*2.54)))*(1/(VLOOKUP(D982,'Species Codes'!B:Q,16,0)+VLOOKUP(D982,'Species Codes'!B:R,17,0)*((E982*2.54)^VLOOKUP(D982,'Species Codes'!B:S,18,0)))),IF(OR(D982="BM",D982="MD",D982="OA"),EXP(VLOOKUP(D982,'Species Codes'!B:O,14,0)+VLOOKUP(D982,'Species Codes'!B:P,15,0)*LN((E982*2.54)))*(1-(1/(VLOOKUP(D982,'Species Codes'!B:Q,16,0)+VLOOKUP(D982,'Species Codes'!B:R,17,0)*((E982*2.54)^VLOOKUP(D982,'Species Codes'!B:S,18,0)))))/1000,IF(D982="DF",EXP(VLOOKUP(D982,'Species Codes'!B:O,14,0)+VLOOKUP(D982,'Species Codes'!B:P,15,0)*LN((E982*2.54))),VLOOKUP(D982,'Species Codes'!B:O,14,0)+VLOOKUP(D982,'Species Codes'!B:P,15,0)*(((E982*2.54)/100)^2)*(I982*0.3048)))))*0.0011023),0)</f>
        <v>#N/A</v>
      </c>
      <c r="AD982" s="104" t="e">
        <f t="shared" si="436"/>
        <v>#N/A</v>
      </c>
      <c r="AE982" s="104" t="e">
        <f t="shared" si="437"/>
        <v>#N/A</v>
      </c>
      <c r="AF982" s="104" t="e">
        <f>IF(AND(VLOOKUP($D982,Merchantability!$B:$C,2,0)="Yes",$E982&gt;=VLOOKUP($D982,Merchantability!$B:$D,3,0),$E982&lt;=VLOOKUP($D982,Merchantability!$B:$E,4,0)),AA982,0)</f>
        <v>#N/A</v>
      </c>
      <c r="AG982" s="104" t="e">
        <f>IF(AND(VLOOKUP($D982,Merchantability!$B:$C,2,0)="Yes",$E982&gt;=VLOOKUP($D982,Merchantability!$B:$D,3,0),$E982&lt;=VLOOKUP($D982,Merchantability!$B:$E,4,0)),AB982,0)</f>
        <v>#N/A</v>
      </c>
      <c r="AH982" s="104" t="e">
        <f>IF(AND(VLOOKUP($D982,Merchantability!$B:$C,2,0)="Yes",$E982&gt;=VLOOKUP($D982,Merchantability!$B:$D,3,0),$E982&lt;=VLOOKUP($D982,Merchantability!$B:$E,4,0)),AC982,0)</f>
        <v>#N/A</v>
      </c>
      <c r="AI982" s="104" t="e">
        <f t="shared" si="438"/>
        <v>#N/A</v>
      </c>
      <c r="AJ982" s="104" t="e">
        <f t="shared" si="439"/>
        <v>#VALUE!</v>
      </c>
      <c r="AK982" s="104" t="e">
        <f t="shared" si="440"/>
        <v>#N/A</v>
      </c>
      <c r="AL982" s="104" t="e">
        <f t="shared" si="441"/>
        <v>#N/A</v>
      </c>
      <c r="AM982" s="104" t="e">
        <f t="shared" si="442"/>
        <v>#N/A</v>
      </c>
      <c r="AN982" s="104" t="e">
        <f t="shared" si="453"/>
        <v>#N/A</v>
      </c>
      <c r="AO982" s="104" t="e">
        <f t="shared" si="454"/>
        <v>#N/A</v>
      </c>
      <c r="AP982" s="104" t="e">
        <f t="shared" si="455"/>
        <v>#N/A</v>
      </c>
      <c r="AQ982" s="104" t="e">
        <f t="shared" si="456"/>
        <v>#N/A</v>
      </c>
      <c r="AR982" s="105" t="str">
        <f t="shared" si="448"/>
        <v/>
      </c>
      <c r="AS982" s="105" t="str">
        <f t="shared" si="449"/>
        <v/>
      </c>
      <c r="AT982" s="108" t="str">
        <f t="shared" si="450"/>
        <v/>
      </c>
      <c r="AU982" s="108" t="str">
        <f t="shared" si="451"/>
        <v/>
      </c>
      <c r="AV982" s="107" t="str">
        <f>IF(ISNUMBER(O982),IF(VLOOKUP($A982,Stand!C:J,8,FALSE)="Short",AT982,AU982),"")</f>
        <v/>
      </c>
      <c r="AW982" s="109" t="str">
        <f t="shared" si="457"/>
        <v/>
      </c>
      <c r="AX982" s="109" t="str">
        <f t="shared" si="458"/>
        <v/>
      </c>
      <c r="AY982" s="112" t="str">
        <f>IF(ISNUMBER(O982),IF(AND(VLOOKUP($D982,Merchantability!$B:$C,2,0)="Yes",$E982&gt;=VLOOKUP($D982,Merchantability!$B:$D,3,0),$E982&lt;=VLOOKUP($D982,Merchantability!$B:$E,4,0)),(AV982*O982)*(1-$H982/100),""),"")</f>
        <v/>
      </c>
      <c r="AZ982" s="116"/>
      <c r="BA982" s="116"/>
      <c r="BB982" s="116"/>
      <c r="BE982" s="62"/>
      <c r="BF982" s="63"/>
    </row>
    <row r="983" spans="1:58" ht="12.75" customHeight="1" x14ac:dyDescent="0.25">
      <c r="A983" s="313"/>
      <c r="B983" s="328"/>
      <c r="C983" s="329"/>
      <c r="D983" s="328"/>
      <c r="E983" s="330"/>
      <c r="F983" s="328"/>
      <c r="G983" s="329"/>
      <c r="H983" s="329"/>
      <c r="I983" s="328"/>
      <c r="J983" s="383"/>
      <c r="K983" s="329"/>
      <c r="L983" s="329"/>
      <c r="M983" s="76"/>
      <c r="N983" s="103" t="str">
        <f>IF(A983="","",VLOOKUP(A983,Stand!C:K,9,0))</f>
        <v/>
      </c>
      <c r="O983" s="104" t="str">
        <f t="shared" si="443"/>
        <v/>
      </c>
      <c r="P983" s="105" t="str">
        <f t="shared" si="444"/>
        <v/>
      </c>
      <c r="Q983" s="105" t="str">
        <f t="shared" si="432"/>
        <v/>
      </c>
      <c r="R983" s="103" t="str">
        <f t="shared" si="445"/>
        <v/>
      </c>
      <c r="S983" s="103" t="str">
        <f t="shared" si="446"/>
        <v/>
      </c>
      <c r="T983" s="106" t="str">
        <f t="shared" si="433"/>
        <v/>
      </c>
      <c r="U983" s="106" t="str">
        <f t="shared" si="434"/>
        <v/>
      </c>
      <c r="V983" s="106" t="str">
        <f t="shared" si="435"/>
        <v/>
      </c>
      <c r="W983" s="105" t="str">
        <f t="shared" si="447"/>
        <v/>
      </c>
      <c r="X983" s="104" t="str">
        <f t="shared" si="452"/>
        <v/>
      </c>
      <c r="Y983" s="104" t="str">
        <f t="array" ref="Y983">IFERROR(IF(ISNUMBER(O983),IF(COUNT(IF(A983=$A$2:$A$2427,IF(D983=$D$2:$D$2427,IF($X$2:$X$2427&gt;0,1))))&gt;0,SUM(IF(A983=$A$2:$A$2427,IF(D983=$D$2:$D$2427,$X$2:$X$2427)))/COUNT(IF(A983=$A$2:$A$2427,IF(D983=$D$2:$D$2427,IF(ISNUMBER($X$2:$X$2427),1)))),0),""),0)</f>
        <v/>
      </c>
      <c r="Z983" s="104" t="str">
        <f>IF(ISNUMBER(O983),IF(I983&gt;0,(10^(VLOOKUP(D983,'Species Codes'!B:C,2,0)+VLOOKUP(D983,'Species Codes'!B:D,3,0)*LOG(E983)+VLOOKUP(D983,'Species Codes'!B:E,4,0)*LOG(I983))),0),"")</f>
        <v/>
      </c>
      <c r="AA983" s="104" t="str">
        <f>IFERROR((VLOOKUP(D983,'Species Codes'!B:G,6,0)*Z983)/2000,"")</f>
        <v/>
      </c>
      <c r="AB983" s="104" t="e">
        <f>IF(Z983&gt;0,((IF(OR(D983="DF",D983="RA")=TRUE,EXP(VLOOKUP(D983,'Species Codes'!B:I,8,0)+VLOOKUP(D983,'Species Codes'!B:J,9,0)*(LN((E983*2.54)))),IF(OR(D983="PY",D983="RC",D983="WH",D983="NF")=TRUE,VLOOKUP(D983,'Species Codes'!B:I,8,0)+VLOOKUP(D983,'Species Codes'!B:J,9,0)*((E983*2.54)^2)*(I983*0.3048),IF(OR(D983="MD",D983="BM",D983="GA")=TRUE,((VLOOKUP(D983,'Species Codes'!B:I,8,0)*(((((E983*2.54)+VLOOKUP(D983,'Species Codes'!B:J,9,0))/VLOOKUP(D983,'Species Codes'!B:K,10,0))^VLOOKUP(D983,'Species Codes'!B:L,11,0))*((I983*0.3048)^VLOOKUP(D983,'Species Codes'!B:M,12,0))))-(VLOOKUP(D983,'Species Codes'!B:I,8,0)*((((E983*2.54)^VLOOKUP(D983,'Species Codes'!B:L,11,0))*((I983*0.3048)^VLOOKUP(D983,'Species Codes'!B:M,12,0))))))*35.3*VLOOKUP(D983,'Species Codes'!B:G,6,0)/2.2046,VLOOKUP(D983,'Species Codes'!B:I,8,0)+VLOOKUP(D983,'Species Codes'!B:J,9,0)*(((E983*2.54)/100)^2)*(I983*0.3048)))))*0.0011023),0)</f>
        <v>#N/A</v>
      </c>
      <c r="AC983" s="104" t="e">
        <f>IF(Z983&gt;0,((IF(OR(D983="RA",D983="OA",D983="OT",D983="UN",D983="PC"),EXP(VLOOKUP(D983,'Species Codes'!B:O,14,0)+VLOOKUP(D983,'Species Codes'!B:P,15,0)*LN((E983*2.54)))-EXP(VLOOKUP(D983,'Species Codes'!B:O,14,0)+VLOOKUP(D983,'Species Codes'!B:P,15,0)*LN((E983*2.54)))*(1/(VLOOKUP(D983,'Species Codes'!B:Q,16,0)+VLOOKUP(D983,'Species Codes'!B:R,17,0)*((E983*2.54)^VLOOKUP(D983,'Species Codes'!B:S,18,0)))),IF(OR(D983="BM",D983="MD",D983="OA"),EXP(VLOOKUP(D983,'Species Codes'!B:O,14,0)+VLOOKUP(D983,'Species Codes'!B:P,15,0)*LN((E983*2.54)))*(1-(1/(VLOOKUP(D983,'Species Codes'!B:Q,16,0)+VLOOKUP(D983,'Species Codes'!B:R,17,0)*((E983*2.54)^VLOOKUP(D983,'Species Codes'!B:S,18,0)))))/1000,IF(D983="DF",EXP(VLOOKUP(D983,'Species Codes'!B:O,14,0)+VLOOKUP(D983,'Species Codes'!B:P,15,0)*LN((E983*2.54))),VLOOKUP(D983,'Species Codes'!B:O,14,0)+VLOOKUP(D983,'Species Codes'!B:P,15,0)*(((E983*2.54)/100)^2)*(I983*0.3048)))))*0.0011023),0)</f>
        <v>#N/A</v>
      </c>
      <c r="AD983" s="104" t="e">
        <f t="shared" si="436"/>
        <v>#N/A</v>
      </c>
      <c r="AE983" s="104" t="e">
        <f t="shared" si="437"/>
        <v>#N/A</v>
      </c>
      <c r="AF983" s="104" t="e">
        <f>IF(AND(VLOOKUP($D983,Merchantability!$B:$C,2,0)="Yes",$E983&gt;=VLOOKUP($D983,Merchantability!$B:$D,3,0),$E983&lt;=VLOOKUP($D983,Merchantability!$B:$E,4,0)),AA983,0)</f>
        <v>#N/A</v>
      </c>
      <c r="AG983" s="104" t="e">
        <f>IF(AND(VLOOKUP($D983,Merchantability!$B:$C,2,0)="Yes",$E983&gt;=VLOOKUP($D983,Merchantability!$B:$D,3,0),$E983&lt;=VLOOKUP($D983,Merchantability!$B:$E,4,0)),AB983,0)</f>
        <v>#N/A</v>
      </c>
      <c r="AH983" s="104" t="e">
        <f>IF(AND(VLOOKUP($D983,Merchantability!$B:$C,2,0)="Yes",$E983&gt;=VLOOKUP($D983,Merchantability!$B:$D,3,0),$E983&lt;=VLOOKUP($D983,Merchantability!$B:$E,4,0)),AC983,0)</f>
        <v>#N/A</v>
      </c>
      <c r="AI983" s="104" t="e">
        <f t="shared" si="438"/>
        <v>#N/A</v>
      </c>
      <c r="AJ983" s="104" t="e">
        <f t="shared" si="439"/>
        <v>#VALUE!</v>
      </c>
      <c r="AK983" s="104" t="e">
        <f t="shared" si="440"/>
        <v>#N/A</v>
      </c>
      <c r="AL983" s="104" t="e">
        <f t="shared" si="441"/>
        <v>#N/A</v>
      </c>
      <c r="AM983" s="104" t="e">
        <f t="shared" si="442"/>
        <v>#N/A</v>
      </c>
      <c r="AN983" s="104" t="e">
        <f t="shared" si="453"/>
        <v>#N/A</v>
      </c>
      <c r="AO983" s="104" t="e">
        <f t="shared" si="454"/>
        <v>#N/A</v>
      </c>
      <c r="AP983" s="104" t="e">
        <f t="shared" si="455"/>
        <v>#N/A</v>
      </c>
      <c r="AQ983" s="104" t="e">
        <f t="shared" si="456"/>
        <v>#N/A</v>
      </c>
      <c r="AR983" s="105" t="str">
        <f t="shared" si="448"/>
        <v/>
      </c>
      <c r="AS983" s="105" t="str">
        <f t="shared" si="449"/>
        <v/>
      </c>
      <c r="AT983" s="108" t="str">
        <f t="shared" si="450"/>
        <v/>
      </c>
      <c r="AU983" s="108" t="str">
        <f t="shared" si="451"/>
        <v/>
      </c>
      <c r="AV983" s="107" t="str">
        <f>IF(ISNUMBER(O983),IF(VLOOKUP($A983,Stand!C:J,8,FALSE)="Short",AT983,AU983),"")</f>
        <v/>
      </c>
      <c r="AW983" s="109" t="str">
        <f t="shared" si="457"/>
        <v/>
      </c>
      <c r="AX983" s="109" t="str">
        <f t="shared" si="458"/>
        <v/>
      </c>
      <c r="AY983" s="112" t="str">
        <f>IF(ISNUMBER(O983),IF(AND(VLOOKUP($D983,Merchantability!$B:$C,2,0)="Yes",$E983&gt;=VLOOKUP($D983,Merchantability!$B:$D,3,0),$E983&lt;=VLOOKUP($D983,Merchantability!$B:$E,4,0)),(AV983*O983)*(1-$H983/100),""),"")</f>
        <v/>
      </c>
      <c r="AZ983" s="116"/>
      <c r="BA983" s="116"/>
      <c r="BB983" s="116"/>
      <c r="BE983" s="62"/>
      <c r="BF983" s="63"/>
    </row>
    <row r="984" spans="1:58" ht="12.75" customHeight="1" x14ac:dyDescent="0.25">
      <c r="A984" s="313"/>
      <c r="B984" s="328"/>
      <c r="C984" s="329"/>
      <c r="D984" s="328"/>
      <c r="E984" s="330"/>
      <c r="F984" s="328"/>
      <c r="G984" s="329"/>
      <c r="H984" s="329"/>
      <c r="I984" s="328"/>
      <c r="J984" s="383"/>
      <c r="K984" s="329"/>
      <c r="L984" s="329"/>
      <c r="M984" s="76"/>
      <c r="N984" s="103" t="str">
        <f>IF(A984="","",VLOOKUP(A984,Stand!C:K,9,0))</f>
        <v/>
      </c>
      <c r="O984" s="104" t="str">
        <f t="shared" si="443"/>
        <v/>
      </c>
      <c r="P984" s="105" t="str">
        <f t="shared" si="444"/>
        <v/>
      </c>
      <c r="Q984" s="105" t="str">
        <f t="shared" si="432"/>
        <v/>
      </c>
      <c r="R984" s="103" t="str">
        <f t="shared" si="445"/>
        <v/>
      </c>
      <c r="S984" s="103" t="str">
        <f t="shared" si="446"/>
        <v/>
      </c>
      <c r="T984" s="106" t="str">
        <f t="shared" si="433"/>
        <v/>
      </c>
      <c r="U984" s="106" t="str">
        <f t="shared" si="434"/>
        <v/>
      </c>
      <c r="V984" s="106" t="str">
        <f t="shared" si="435"/>
        <v/>
      </c>
      <c r="W984" s="105" t="str">
        <f t="shared" si="447"/>
        <v/>
      </c>
      <c r="X984" s="104" t="str">
        <f t="shared" si="452"/>
        <v/>
      </c>
      <c r="Y984" s="104" t="str">
        <f t="array" ref="Y984">IFERROR(IF(ISNUMBER(O984),IF(COUNT(IF(A984=$A$2:$A$2427,IF(D984=$D$2:$D$2427,IF($X$2:$X$2427&gt;0,1))))&gt;0,SUM(IF(A984=$A$2:$A$2427,IF(D984=$D$2:$D$2427,$X$2:$X$2427)))/COUNT(IF(A984=$A$2:$A$2427,IF(D984=$D$2:$D$2427,IF(ISNUMBER($X$2:$X$2427),1)))),0),""),0)</f>
        <v/>
      </c>
      <c r="Z984" s="104" t="str">
        <f>IF(ISNUMBER(O984),IF(I984&gt;0,(10^(VLOOKUP(D984,'Species Codes'!B:C,2,0)+VLOOKUP(D984,'Species Codes'!B:D,3,0)*LOG(E984)+VLOOKUP(D984,'Species Codes'!B:E,4,0)*LOG(I984))),0),"")</f>
        <v/>
      </c>
      <c r="AA984" s="104" t="str">
        <f>IFERROR((VLOOKUP(D984,'Species Codes'!B:G,6,0)*Z984)/2000,"")</f>
        <v/>
      </c>
      <c r="AB984" s="104" t="e">
        <f>IF(Z984&gt;0,((IF(OR(D984="DF",D984="RA")=TRUE,EXP(VLOOKUP(D984,'Species Codes'!B:I,8,0)+VLOOKUP(D984,'Species Codes'!B:J,9,0)*(LN((E984*2.54)))),IF(OR(D984="PY",D984="RC",D984="WH",D984="NF")=TRUE,VLOOKUP(D984,'Species Codes'!B:I,8,0)+VLOOKUP(D984,'Species Codes'!B:J,9,0)*((E984*2.54)^2)*(I984*0.3048),IF(OR(D984="MD",D984="BM",D984="GA")=TRUE,((VLOOKUP(D984,'Species Codes'!B:I,8,0)*(((((E984*2.54)+VLOOKUP(D984,'Species Codes'!B:J,9,0))/VLOOKUP(D984,'Species Codes'!B:K,10,0))^VLOOKUP(D984,'Species Codes'!B:L,11,0))*((I984*0.3048)^VLOOKUP(D984,'Species Codes'!B:M,12,0))))-(VLOOKUP(D984,'Species Codes'!B:I,8,0)*((((E984*2.54)^VLOOKUP(D984,'Species Codes'!B:L,11,0))*((I984*0.3048)^VLOOKUP(D984,'Species Codes'!B:M,12,0))))))*35.3*VLOOKUP(D984,'Species Codes'!B:G,6,0)/2.2046,VLOOKUP(D984,'Species Codes'!B:I,8,0)+VLOOKUP(D984,'Species Codes'!B:J,9,0)*(((E984*2.54)/100)^2)*(I984*0.3048)))))*0.0011023),0)</f>
        <v>#N/A</v>
      </c>
      <c r="AC984" s="104" t="e">
        <f>IF(Z984&gt;0,((IF(OR(D984="RA",D984="OA",D984="OT",D984="UN",D984="PC"),EXP(VLOOKUP(D984,'Species Codes'!B:O,14,0)+VLOOKUP(D984,'Species Codes'!B:P,15,0)*LN((E984*2.54)))-EXP(VLOOKUP(D984,'Species Codes'!B:O,14,0)+VLOOKUP(D984,'Species Codes'!B:P,15,0)*LN((E984*2.54)))*(1/(VLOOKUP(D984,'Species Codes'!B:Q,16,0)+VLOOKUP(D984,'Species Codes'!B:R,17,0)*((E984*2.54)^VLOOKUP(D984,'Species Codes'!B:S,18,0)))),IF(OR(D984="BM",D984="MD",D984="OA"),EXP(VLOOKUP(D984,'Species Codes'!B:O,14,0)+VLOOKUP(D984,'Species Codes'!B:P,15,0)*LN((E984*2.54)))*(1-(1/(VLOOKUP(D984,'Species Codes'!B:Q,16,0)+VLOOKUP(D984,'Species Codes'!B:R,17,0)*((E984*2.54)^VLOOKUP(D984,'Species Codes'!B:S,18,0)))))/1000,IF(D984="DF",EXP(VLOOKUP(D984,'Species Codes'!B:O,14,0)+VLOOKUP(D984,'Species Codes'!B:P,15,0)*LN((E984*2.54))),VLOOKUP(D984,'Species Codes'!B:O,14,0)+VLOOKUP(D984,'Species Codes'!B:P,15,0)*(((E984*2.54)/100)^2)*(I984*0.3048)))))*0.0011023),0)</f>
        <v>#N/A</v>
      </c>
      <c r="AD984" s="104" t="e">
        <f t="shared" si="436"/>
        <v>#N/A</v>
      </c>
      <c r="AE984" s="104" t="e">
        <f t="shared" si="437"/>
        <v>#N/A</v>
      </c>
      <c r="AF984" s="104" t="e">
        <f>IF(AND(VLOOKUP($D984,Merchantability!$B:$C,2,0)="Yes",$E984&gt;=VLOOKUP($D984,Merchantability!$B:$D,3,0),$E984&lt;=VLOOKUP($D984,Merchantability!$B:$E,4,0)),AA984,0)</f>
        <v>#N/A</v>
      </c>
      <c r="AG984" s="104" t="e">
        <f>IF(AND(VLOOKUP($D984,Merchantability!$B:$C,2,0)="Yes",$E984&gt;=VLOOKUP($D984,Merchantability!$B:$D,3,0),$E984&lt;=VLOOKUP($D984,Merchantability!$B:$E,4,0)),AB984,0)</f>
        <v>#N/A</v>
      </c>
      <c r="AH984" s="104" t="e">
        <f>IF(AND(VLOOKUP($D984,Merchantability!$B:$C,2,0)="Yes",$E984&gt;=VLOOKUP($D984,Merchantability!$B:$D,3,0),$E984&lt;=VLOOKUP($D984,Merchantability!$B:$E,4,0)),AC984,0)</f>
        <v>#N/A</v>
      </c>
      <c r="AI984" s="104" t="e">
        <f t="shared" si="438"/>
        <v>#N/A</v>
      </c>
      <c r="AJ984" s="104" t="e">
        <f t="shared" si="439"/>
        <v>#VALUE!</v>
      </c>
      <c r="AK984" s="104" t="e">
        <f t="shared" si="440"/>
        <v>#N/A</v>
      </c>
      <c r="AL984" s="104" t="e">
        <f t="shared" si="441"/>
        <v>#N/A</v>
      </c>
      <c r="AM984" s="104" t="e">
        <f t="shared" si="442"/>
        <v>#N/A</v>
      </c>
      <c r="AN984" s="104" t="e">
        <f t="shared" si="453"/>
        <v>#N/A</v>
      </c>
      <c r="AO984" s="104" t="e">
        <f t="shared" si="454"/>
        <v>#N/A</v>
      </c>
      <c r="AP984" s="104" t="e">
        <f t="shared" si="455"/>
        <v>#N/A</v>
      </c>
      <c r="AQ984" s="104" t="e">
        <f t="shared" si="456"/>
        <v>#N/A</v>
      </c>
      <c r="AR984" s="105" t="str">
        <f t="shared" si="448"/>
        <v/>
      </c>
      <c r="AS984" s="105" t="str">
        <f t="shared" si="449"/>
        <v/>
      </c>
      <c r="AT984" s="108" t="str">
        <f t="shared" si="450"/>
        <v/>
      </c>
      <c r="AU984" s="108" t="str">
        <f t="shared" si="451"/>
        <v/>
      </c>
      <c r="AV984" s="107" t="str">
        <f>IF(ISNUMBER(O984),IF(VLOOKUP($A984,Stand!C:J,8,FALSE)="Short",AT984,AU984),"")</f>
        <v/>
      </c>
      <c r="AW984" s="109" t="str">
        <f t="shared" si="457"/>
        <v/>
      </c>
      <c r="AX984" s="109" t="str">
        <f t="shared" si="458"/>
        <v/>
      </c>
      <c r="AY984" s="112" t="str">
        <f>IF(ISNUMBER(O984),IF(AND(VLOOKUP($D984,Merchantability!$B:$C,2,0)="Yes",$E984&gt;=VLOOKUP($D984,Merchantability!$B:$D,3,0),$E984&lt;=VLOOKUP($D984,Merchantability!$B:$E,4,0)),(AV984*O984)*(1-$H984/100),""),"")</f>
        <v/>
      </c>
      <c r="AZ984" s="116"/>
      <c r="BA984" s="116"/>
      <c r="BB984" s="116"/>
      <c r="BE984" s="62"/>
      <c r="BF984" s="63"/>
    </row>
    <row r="985" spans="1:58" ht="12.75" customHeight="1" x14ac:dyDescent="0.25">
      <c r="A985" s="313"/>
      <c r="B985" s="328"/>
      <c r="C985" s="329"/>
      <c r="D985" s="328"/>
      <c r="E985" s="330"/>
      <c r="F985" s="328"/>
      <c r="G985" s="329"/>
      <c r="H985" s="329"/>
      <c r="I985" s="328"/>
      <c r="J985" s="383"/>
      <c r="K985" s="329"/>
      <c r="L985" s="329"/>
      <c r="M985" s="76"/>
      <c r="N985" s="103" t="str">
        <f>IF(A985="","",VLOOKUP(A985,Stand!C:K,9,0))</f>
        <v/>
      </c>
      <c r="O985" s="104" t="str">
        <f t="shared" si="443"/>
        <v/>
      </c>
      <c r="P985" s="105" t="str">
        <f t="shared" si="444"/>
        <v/>
      </c>
      <c r="Q985" s="105" t="str">
        <f t="shared" si="432"/>
        <v/>
      </c>
      <c r="R985" s="103" t="str">
        <f t="shared" si="445"/>
        <v/>
      </c>
      <c r="S985" s="103" t="str">
        <f t="shared" si="446"/>
        <v/>
      </c>
      <c r="T985" s="106" t="str">
        <f t="shared" si="433"/>
        <v/>
      </c>
      <c r="U985" s="106" t="str">
        <f t="shared" si="434"/>
        <v/>
      </c>
      <c r="V985" s="106" t="str">
        <f t="shared" si="435"/>
        <v/>
      </c>
      <c r="W985" s="105" t="str">
        <f t="shared" si="447"/>
        <v/>
      </c>
      <c r="X985" s="104" t="str">
        <f t="shared" si="452"/>
        <v/>
      </c>
      <c r="Y985" s="104" t="str">
        <f t="array" ref="Y985">IFERROR(IF(ISNUMBER(O985),IF(COUNT(IF(A985=$A$2:$A$2427,IF(D985=$D$2:$D$2427,IF($X$2:$X$2427&gt;0,1))))&gt;0,SUM(IF(A985=$A$2:$A$2427,IF(D985=$D$2:$D$2427,$X$2:$X$2427)))/COUNT(IF(A985=$A$2:$A$2427,IF(D985=$D$2:$D$2427,IF(ISNUMBER($X$2:$X$2427),1)))),0),""),0)</f>
        <v/>
      </c>
      <c r="Z985" s="104" t="str">
        <f>IF(ISNUMBER(O985),IF(I985&gt;0,(10^(VLOOKUP(D985,'Species Codes'!B:C,2,0)+VLOOKUP(D985,'Species Codes'!B:D,3,0)*LOG(E985)+VLOOKUP(D985,'Species Codes'!B:E,4,0)*LOG(I985))),0),"")</f>
        <v/>
      </c>
      <c r="AA985" s="104" t="str">
        <f>IFERROR((VLOOKUP(D985,'Species Codes'!B:G,6,0)*Z985)/2000,"")</f>
        <v/>
      </c>
      <c r="AB985" s="104" t="e">
        <f>IF(Z985&gt;0,((IF(OR(D985="DF",D985="RA")=TRUE,EXP(VLOOKUP(D985,'Species Codes'!B:I,8,0)+VLOOKUP(D985,'Species Codes'!B:J,9,0)*(LN((E985*2.54)))),IF(OR(D985="PY",D985="RC",D985="WH",D985="NF")=TRUE,VLOOKUP(D985,'Species Codes'!B:I,8,0)+VLOOKUP(D985,'Species Codes'!B:J,9,0)*((E985*2.54)^2)*(I985*0.3048),IF(OR(D985="MD",D985="BM",D985="GA")=TRUE,((VLOOKUP(D985,'Species Codes'!B:I,8,0)*(((((E985*2.54)+VLOOKUP(D985,'Species Codes'!B:J,9,0))/VLOOKUP(D985,'Species Codes'!B:K,10,0))^VLOOKUP(D985,'Species Codes'!B:L,11,0))*((I985*0.3048)^VLOOKUP(D985,'Species Codes'!B:M,12,0))))-(VLOOKUP(D985,'Species Codes'!B:I,8,0)*((((E985*2.54)^VLOOKUP(D985,'Species Codes'!B:L,11,0))*((I985*0.3048)^VLOOKUP(D985,'Species Codes'!B:M,12,0))))))*35.3*VLOOKUP(D985,'Species Codes'!B:G,6,0)/2.2046,VLOOKUP(D985,'Species Codes'!B:I,8,0)+VLOOKUP(D985,'Species Codes'!B:J,9,0)*(((E985*2.54)/100)^2)*(I985*0.3048)))))*0.0011023),0)</f>
        <v>#N/A</v>
      </c>
      <c r="AC985" s="104" t="e">
        <f>IF(Z985&gt;0,((IF(OR(D985="RA",D985="OA",D985="OT",D985="UN",D985="PC"),EXP(VLOOKUP(D985,'Species Codes'!B:O,14,0)+VLOOKUP(D985,'Species Codes'!B:P,15,0)*LN((E985*2.54)))-EXP(VLOOKUP(D985,'Species Codes'!B:O,14,0)+VLOOKUP(D985,'Species Codes'!B:P,15,0)*LN((E985*2.54)))*(1/(VLOOKUP(D985,'Species Codes'!B:Q,16,0)+VLOOKUP(D985,'Species Codes'!B:R,17,0)*((E985*2.54)^VLOOKUP(D985,'Species Codes'!B:S,18,0)))),IF(OR(D985="BM",D985="MD",D985="OA"),EXP(VLOOKUP(D985,'Species Codes'!B:O,14,0)+VLOOKUP(D985,'Species Codes'!B:P,15,0)*LN((E985*2.54)))*(1-(1/(VLOOKUP(D985,'Species Codes'!B:Q,16,0)+VLOOKUP(D985,'Species Codes'!B:R,17,0)*((E985*2.54)^VLOOKUP(D985,'Species Codes'!B:S,18,0)))))/1000,IF(D985="DF",EXP(VLOOKUP(D985,'Species Codes'!B:O,14,0)+VLOOKUP(D985,'Species Codes'!B:P,15,0)*LN((E985*2.54))),VLOOKUP(D985,'Species Codes'!B:O,14,0)+VLOOKUP(D985,'Species Codes'!B:P,15,0)*(((E985*2.54)/100)^2)*(I985*0.3048)))))*0.0011023),0)</f>
        <v>#N/A</v>
      </c>
      <c r="AD985" s="104" t="e">
        <f t="shared" si="436"/>
        <v>#N/A</v>
      </c>
      <c r="AE985" s="104" t="e">
        <f t="shared" si="437"/>
        <v>#N/A</v>
      </c>
      <c r="AF985" s="104" t="e">
        <f>IF(AND(VLOOKUP($D985,Merchantability!$B:$C,2,0)="Yes",$E985&gt;=VLOOKUP($D985,Merchantability!$B:$D,3,0),$E985&lt;=VLOOKUP($D985,Merchantability!$B:$E,4,0)),AA985,0)</f>
        <v>#N/A</v>
      </c>
      <c r="AG985" s="104" t="e">
        <f>IF(AND(VLOOKUP($D985,Merchantability!$B:$C,2,0)="Yes",$E985&gt;=VLOOKUP($D985,Merchantability!$B:$D,3,0),$E985&lt;=VLOOKUP($D985,Merchantability!$B:$E,4,0)),AB985,0)</f>
        <v>#N/A</v>
      </c>
      <c r="AH985" s="104" t="e">
        <f>IF(AND(VLOOKUP($D985,Merchantability!$B:$C,2,0)="Yes",$E985&gt;=VLOOKUP($D985,Merchantability!$B:$D,3,0),$E985&lt;=VLOOKUP($D985,Merchantability!$B:$E,4,0)),AC985,0)</f>
        <v>#N/A</v>
      </c>
      <c r="AI985" s="104" t="e">
        <f t="shared" si="438"/>
        <v>#N/A</v>
      </c>
      <c r="AJ985" s="104" t="e">
        <f t="shared" si="439"/>
        <v>#VALUE!</v>
      </c>
      <c r="AK985" s="104" t="e">
        <f t="shared" si="440"/>
        <v>#N/A</v>
      </c>
      <c r="AL985" s="104" t="e">
        <f t="shared" si="441"/>
        <v>#N/A</v>
      </c>
      <c r="AM985" s="104" t="e">
        <f t="shared" si="442"/>
        <v>#N/A</v>
      </c>
      <c r="AN985" s="104" t="e">
        <f t="shared" si="453"/>
        <v>#N/A</v>
      </c>
      <c r="AO985" s="104" t="e">
        <f t="shared" si="454"/>
        <v>#N/A</v>
      </c>
      <c r="AP985" s="104" t="e">
        <f t="shared" si="455"/>
        <v>#N/A</v>
      </c>
      <c r="AQ985" s="104" t="e">
        <f t="shared" si="456"/>
        <v>#N/A</v>
      </c>
      <c r="AR985" s="105" t="str">
        <f t="shared" si="448"/>
        <v/>
      </c>
      <c r="AS985" s="105" t="str">
        <f t="shared" si="449"/>
        <v/>
      </c>
      <c r="AT985" s="108" t="str">
        <f t="shared" si="450"/>
        <v/>
      </c>
      <c r="AU985" s="108" t="str">
        <f t="shared" si="451"/>
        <v/>
      </c>
      <c r="AV985" s="107" t="str">
        <f>IF(ISNUMBER(O985),IF(VLOOKUP($A985,Stand!C:J,8,FALSE)="Short",AT985,AU985),"")</f>
        <v/>
      </c>
      <c r="AW985" s="109" t="str">
        <f t="shared" si="457"/>
        <v/>
      </c>
      <c r="AX985" s="109" t="str">
        <f t="shared" si="458"/>
        <v/>
      </c>
      <c r="AY985" s="112" t="str">
        <f>IF(ISNUMBER(O985),IF(AND(VLOOKUP($D985,Merchantability!$B:$C,2,0)="Yes",$E985&gt;=VLOOKUP($D985,Merchantability!$B:$D,3,0),$E985&lt;=VLOOKUP($D985,Merchantability!$B:$E,4,0)),(AV985*O985)*(1-$H985/100),""),"")</f>
        <v/>
      </c>
      <c r="AZ985" s="116"/>
      <c r="BA985" s="116"/>
      <c r="BB985" s="116"/>
      <c r="BE985" s="62"/>
      <c r="BF985" s="63"/>
    </row>
    <row r="986" spans="1:58" ht="12.75" customHeight="1" x14ac:dyDescent="0.25">
      <c r="A986" s="313"/>
      <c r="B986" s="328"/>
      <c r="C986" s="329"/>
      <c r="D986" s="328"/>
      <c r="E986" s="330"/>
      <c r="F986" s="328"/>
      <c r="G986" s="329"/>
      <c r="H986" s="329"/>
      <c r="I986" s="328"/>
      <c r="J986" s="383"/>
      <c r="K986" s="329"/>
      <c r="L986" s="329"/>
      <c r="M986" s="76"/>
      <c r="N986" s="103" t="str">
        <f>IF(A986="","",VLOOKUP(A986,Stand!C:K,9,0))</f>
        <v/>
      </c>
      <c r="O986" s="104" t="str">
        <f t="shared" si="443"/>
        <v/>
      </c>
      <c r="P986" s="105" t="str">
        <f t="shared" si="444"/>
        <v/>
      </c>
      <c r="Q986" s="105" t="str">
        <f t="shared" si="432"/>
        <v/>
      </c>
      <c r="R986" s="103" t="str">
        <f t="shared" si="445"/>
        <v/>
      </c>
      <c r="S986" s="103" t="str">
        <f t="shared" si="446"/>
        <v/>
      </c>
      <c r="T986" s="106" t="str">
        <f t="shared" si="433"/>
        <v/>
      </c>
      <c r="U986" s="106" t="str">
        <f t="shared" si="434"/>
        <v/>
      </c>
      <c r="V986" s="106" t="str">
        <f t="shared" si="435"/>
        <v/>
      </c>
      <c r="W986" s="105" t="str">
        <f t="shared" si="447"/>
        <v/>
      </c>
      <c r="X986" s="104" t="str">
        <f t="shared" si="452"/>
        <v/>
      </c>
      <c r="Y986" s="104" t="str">
        <f t="array" ref="Y986">IFERROR(IF(ISNUMBER(O986),IF(COUNT(IF(A986=$A$2:$A$2427,IF(D986=$D$2:$D$2427,IF($X$2:$X$2427&gt;0,1))))&gt;0,SUM(IF(A986=$A$2:$A$2427,IF(D986=$D$2:$D$2427,$X$2:$X$2427)))/COUNT(IF(A986=$A$2:$A$2427,IF(D986=$D$2:$D$2427,IF(ISNUMBER($X$2:$X$2427),1)))),0),""),0)</f>
        <v/>
      </c>
      <c r="Z986" s="104" t="str">
        <f>IF(ISNUMBER(O986),IF(I986&gt;0,(10^(VLOOKUP(D986,'Species Codes'!B:C,2,0)+VLOOKUP(D986,'Species Codes'!B:D,3,0)*LOG(E986)+VLOOKUP(D986,'Species Codes'!B:E,4,0)*LOG(I986))),0),"")</f>
        <v/>
      </c>
      <c r="AA986" s="104" t="str">
        <f>IFERROR((VLOOKUP(D986,'Species Codes'!B:G,6,0)*Z986)/2000,"")</f>
        <v/>
      </c>
      <c r="AB986" s="104" t="e">
        <f>IF(Z986&gt;0,((IF(OR(D986="DF",D986="RA")=TRUE,EXP(VLOOKUP(D986,'Species Codes'!B:I,8,0)+VLOOKUP(D986,'Species Codes'!B:J,9,0)*(LN((E986*2.54)))),IF(OR(D986="PY",D986="RC",D986="WH",D986="NF")=TRUE,VLOOKUP(D986,'Species Codes'!B:I,8,0)+VLOOKUP(D986,'Species Codes'!B:J,9,0)*((E986*2.54)^2)*(I986*0.3048),IF(OR(D986="MD",D986="BM",D986="GA")=TRUE,((VLOOKUP(D986,'Species Codes'!B:I,8,0)*(((((E986*2.54)+VLOOKUP(D986,'Species Codes'!B:J,9,0))/VLOOKUP(D986,'Species Codes'!B:K,10,0))^VLOOKUP(D986,'Species Codes'!B:L,11,0))*((I986*0.3048)^VLOOKUP(D986,'Species Codes'!B:M,12,0))))-(VLOOKUP(D986,'Species Codes'!B:I,8,0)*((((E986*2.54)^VLOOKUP(D986,'Species Codes'!B:L,11,0))*((I986*0.3048)^VLOOKUP(D986,'Species Codes'!B:M,12,0))))))*35.3*VLOOKUP(D986,'Species Codes'!B:G,6,0)/2.2046,VLOOKUP(D986,'Species Codes'!B:I,8,0)+VLOOKUP(D986,'Species Codes'!B:J,9,0)*(((E986*2.54)/100)^2)*(I986*0.3048)))))*0.0011023),0)</f>
        <v>#N/A</v>
      </c>
      <c r="AC986" s="104" t="e">
        <f>IF(Z986&gt;0,((IF(OR(D986="RA",D986="OA",D986="OT",D986="UN",D986="PC"),EXP(VLOOKUP(D986,'Species Codes'!B:O,14,0)+VLOOKUP(D986,'Species Codes'!B:P,15,0)*LN((E986*2.54)))-EXP(VLOOKUP(D986,'Species Codes'!B:O,14,0)+VLOOKUP(D986,'Species Codes'!B:P,15,0)*LN((E986*2.54)))*(1/(VLOOKUP(D986,'Species Codes'!B:Q,16,0)+VLOOKUP(D986,'Species Codes'!B:R,17,0)*((E986*2.54)^VLOOKUP(D986,'Species Codes'!B:S,18,0)))),IF(OR(D986="BM",D986="MD",D986="OA"),EXP(VLOOKUP(D986,'Species Codes'!B:O,14,0)+VLOOKUP(D986,'Species Codes'!B:P,15,0)*LN((E986*2.54)))*(1-(1/(VLOOKUP(D986,'Species Codes'!B:Q,16,0)+VLOOKUP(D986,'Species Codes'!B:R,17,0)*((E986*2.54)^VLOOKUP(D986,'Species Codes'!B:S,18,0)))))/1000,IF(D986="DF",EXP(VLOOKUP(D986,'Species Codes'!B:O,14,0)+VLOOKUP(D986,'Species Codes'!B:P,15,0)*LN((E986*2.54))),VLOOKUP(D986,'Species Codes'!B:O,14,0)+VLOOKUP(D986,'Species Codes'!B:P,15,0)*(((E986*2.54)/100)^2)*(I986*0.3048)))))*0.0011023),0)</f>
        <v>#N/A</v>
      </c>
      <c r="AD986" s="104" t="e">
        <f t="shared" si="436"/>
        <v>#N/A</v>
      </c>
      <c r="AE986" s="104" t="e">
        <f t="shared" si="437"/>
        <v>#N/A</v>
      </c>
      <c r="AF986" s="104" t="e">
        <f>IF(AND(VLOOKUP($D986,Merchantability!$B:$C,2,0)="Yes",$E986&gt;=VLOOKUP($D986,Merchantability!$B:$D,3,0),$E986&lt;=VLOOKUP($D986,Merchantability!$B:$E,4,0)),AA986,0)</f>
        <v>#N/A</v>
      </c>
      <c r="AG986" s="104" t="e">
        <f>IF(AND(VLOOKUP($D986,Merchantability!$B:$C,2,0)="Yes",$E986&gt;=VLOOKUP($D986,Merchantability!$B:$D,3,0),$E986&lt;=VLOOKUP($D986,Merchantability!$B:$E,4,0)),AB986,0)</f>
        <v>#N/A</v>
      </c>
      <c r="AH986" s="104" t="e">
        <f>IF(AND(VLOOKUP($D986,Merchantability!$B:$C,2,0)="Yes",$E986&gt;=VLOOKUP($D986,Merchantability!$B:$D,3,0),$E986&lt;=VLOOKUP($D986,Merchantability!$B:$E,4,0)),AC986,0)</f>
        <v>#N/A</v>
      </c>
      <c r="AI986" s="104" t="e">
        <f t="shared" si="438"/>
        <v>#N/A</v>
      </c>
      <c r="AJ986" s="104" t="e">
        <f t="shared" si="439"/>
        <v>#VALUE!</v>
      </c>
      <c r="AK986" s="104" t="e">
        <f t="shared" si="440"/>
        <v>#N/A</v>
      </c>
      <c r="AL986" s="104" t="e">
        <f t="shared" si="441"/>
        <v>#N/A</v>
      </c>
      <c r="AM986" s="104" t="e">
        <f t="shared" si="442"/>
        <v>#N/A</v>
      </c>
      <c r="AN986" s="104" t="e">
        <f t="shared" si="453"/>
        <v>#N/A</v>
      </c>
      <c r="AO986" s="104" t="e">
        <f t="shared" si="454"/>
        <v>#N/A</v>
      </c>
      <c r="AP986" s="104" t="e">
        <f t="shared" si="455"/>
        <v>#N/A</v>
      </c>
      <c r="AQ986" s="104" t="e">
        <f t="shared" si="456"/>
        <v>#N/A</v>
      </c>
      <c r="AR986" s="105" t="str">
        <f t="shared" si="448"/>
        <v/>
      </c>
      <c r="AS986" s="105" t="str">
        <f t="shared" si="449"/>
        <v/>
      </c>
      <c r="AT986" s="108" t="str">
        <f t="shared" si="450"/>
        <v/>
      </c>
      <c r="AU986" s="108" t="str">
        <f t="shared" si="451"/>
        <v/>
      </c>
      <c r="AV986" s="107" t="str">
        <f>IF(ISNUMBER(O986),IF(VLOOKUP($A986,Stand!C:J,8,FALSE)="Short",AT986,AU986),"")</f>
        <v/>
      </c>
      <c r="AW986" s="109" t="str">
        <f t="shared" si="457"/>
        <v/>
      </c>
      <c r="AX986" s="109" t="str">
        <f t="shared" si="458"/>
        <v/>
      </c>
      <c r="AY986" s="112" t="str">
        <f>IF(ISNUMBER(O986),IF(AND(VLOOKUP($D986,Merchantability!$B:$C,2,0)="Yes",$E986&gt;=VLOOKUP($D986,Merchantability!$B:$D,3,0),$E986&lt;=VLOOKUP($D986,Merchantability!$B:$E,4,0)),(AV986*O986)*(1-$H986/100),""),"")</f>
        <v/>
      </c>
      <c r="AZ986" s="116"/>
      <c r="BA986" s="116"/>
      <c r="BB986" s="116"/>
      <c r="BE986" s="62"/>
      <c r="BF986" s="63"/>
    </row>
    <row r="987" spans="1:58" ht="12.75" customHeight="1" x14ac:dyDescent="0.25">
      <c r="A987" s="313"/>
      <c r="B987" s="328"/>
      <c r="C987" s="329"/>
      <c r="D987" s="328"/>
      <c r="E987" s="330"/>
      <c r="F987" s="328"/>
      <c r="G987" s="329"/>
      <c r="H987" s="329"/>
      <c r="I987" s="328"/>
      <c r="J987" s="383"/>
      <c r="K987" s="329"/>
      <c r="L987" s="329"/>
      <c r="M987" s="76"/>
      <c r="N987" s="103" t="str">
        <f>IF(A987="","",VLOOKUP(A987,Stand!C:K,9,0))</f>
        <v/>
      </c>
      <c r="O987" s="104" t="str">
        <f t="shared" si="443"/>
        <v/>
      </c>
      <c r="P987" s="105" t="str">
        <f t="shared" si="444"/>
        <v/>
      </c>
      <c r="Q987" s="105" t="str">
        <f t="shared" si="432"/>
        <v/>
      </c>
      <c r="R987" s="103" t="str">
        <f t="shared" si="445"/>
        <v/>
      </c>
      <c r="S987" s="103" t="str">
        <f t="shared" si="446"/>
        <v/>
      </c>
      <c r="T987" s="106" t="str">
        <f t="shared" si="433"/>
        <v/>
      </c>
      <c r="U987" s="106" t="str">
        <f t="shared" si="434"/>
        <v/>
      </c>
      <c r="V987" s="106" t="str">
        <f t="shared" si="435"/>
        <v/>
      </c>
      <c r="W987" s="105" t="str">
        <f t="shared" si="447"/>
        <v/>
      </c>
      <c r="X987" s="104" t="str">
        <f t="shared" si="452"/>
        <v/>
      </c>
      <c r="Y987" s="104" t="str">
        <f t="array" ref="Y987">IFERROR(IF(ISNUMBER(O987),IF(COUNT(IF(A987=$A$2:$A$2427,IF(D987=$D$2:$D$2427,IF($X$2:$X$2427&gt;0,1))))&gt;0,SUM(IF(A987=$A$2:$A$2427,IF(D987=$D$2:$D$2427,$X$2:$X$2427)))/COUNT(IF(A987=$A$2:$A$2427,IF(D987=$D$2:$D$2427,IF(ISNUMBER($X$2:$X$2427),1)))),0),""),0)</f>
        <v/>
      </c>
      <c r="Z987" s="104" t="str">
        <f>IF(ISNUMBER(O987),IF(I987&gt;0,(10^(VLOOKUP(D987,'Species Codes'!B:C,2,0)+VLOOKUP(D987,'Species Codes'!B:D,3,0)*LOG(E987)+VLOOKUP(D987,'Species Codes'!B:E,4,0)*LOG(I987))),0),"")</f>
        <v/>
      </c>
      <c r="AA987" s="104" t="str">
        <f>IFERROR((VLOOKUP(D987,'Species Codes'!B:G,6,0)*Z987)/2000,"")</f>
        <v/>
      </c>
      <c r="AB987" s="104" t="e">
        <f>IF(Z987&gt;0,((IF(OR(D987="DF",D987="RA")=TRUE,EXP(VLOOKUP(D987,'Species Codes'!B:I,8,0)+VLOOKUP(D987,'Species Codes'!B:J,9,0)*(LN((E987*2.54)))),IF(OR(D987="PY",D987="RC",D987="WH",D987="NF")=TRUE,VLOOKUP(D987,'Species Codes'!B:I,8,0)+VLOOKUP(D987,'Species Codes'!B:J,9,0)*((E987*2.54)^2)*(I987*0.3048),IF(OR(D987="MD",D987="BM",D987="GA")=TRUE,((VLOOKUP(D987,'Species Codes'!B:I,8,0)*(((((E987*2.54)+VLOOKUP(D987,'Species Codes'!B:J,9,0))/VLOOKUP(D987,'Species Codes'!B:K,10,0))^VLOOKUP(D987,'Species Codes'!B:L,11,0))*((I987*0.3048)^VLOOKUP(D987,'Species Codes'!B:M,12,0))))-(VLOOKUP(D987,'Species Codes'!B:I,8,0)*((((E987*2.54)^VLOOKUP(D987,'Species Codes'!B:L,11,0))*((I987*0.3048)^VLOOKUP(D987,'Species Codes'!B:M,12,0))))))*35.3*VLOOKUP(D987,'Species Codes'!B:G,6,0)/2.2046,VLOOKUP(D987,'Species Codes'!B:I,8,0)+VLOOKUP(D987,'Species Codes'!B:J,9,0)*(((E987*2.54)/100)^2)*(I987*0.3048)))))*0.0011023),0)</f>
        <v>#N/A</v>
      </c>
      <c r="AC987" s="104" t="e">
        <f>IF(Z987&gt;0,((IF(OR(D987="RA",D987="OA",D987="OT",D987="UN",D987="PC"),EXP(VLOOKUP(D987,'Species Codes'!B:O,14,0)+VLOOKUP(D987,'Species Codes'!B:P,15,0)*LN((E987*2.54)))-EXP(VLOOKUP(D987,'Species Codes'!B:O,14,0)+VLOOKUP(D987,'Species Codes'!B:P,15,0)*LN((E987*2.54)))*(1/(VLOOKUP(D987,'Species Codes'!B:Q,16,0)+VLOOKUP(D987,'Species Codes'!B:R,17,0)*((E987*2.54)^VLOOKUP(D987,'Species Codes'!B:S,18,0)))),IF(OR(D987="BM",D987="MD",D987="OA"),EXP(VLOOKUP(D987,'Species Codes'!B:O,14,0)+VLOOKUP(D987,'Species Codes'!B:P,15,0)*LN((E987*2.54)))*(1-(1/(VLOOKUP(D987,'Species Codes'!B:Q,16,0)+VLOOKUP(D987,'Species Codes'!B:R,17,0)*((E987*2.54)^VLOOKUP(D987,'Species Codes'!B:S,18,0)))))/1000,IF(D987="DF",EXP(VLOOKUP(D987,'Species Codes'!B:O,14,0)+VLOOKUP(D987,'Species Codes'!B:P,15,0)*LN((E987*2.54))),VLOOKUP(D987,'Species Codes'!B:O,14,0)+VLOOKUP(D987,'Species Codes'!B:P,15,0)*(((E987*2.54)/100)^2)*(I987*0.3048)))))*0.0011023),0)</f>
        <v>#N/A</v>
      </c>
      <c r="AD987" s="104" t="e">
        <f t="shared" si="436"/>
        <v>#N/A</v>
      </c>
      <c r="AE987" s="104" t="e">
        <f t="shared" si="437"/>
        <v>#N/A</v>
      </c>
      <c r="AF987" s="104" t="e">
        <f>IF(AND(VLOOKUP($D987,Merchantability!$B:$C,2,0)="Yes",$E987&gt;=VLOOKUP($D987,Merchantability!$B:$D,3,0),$E987&lt;=VLOOKUP($D987,Merchantability!$B:$E,4,0)),AA987,0)</f>
        <v>#N/A</v>
      </c>
      <c r="AG987" s="104" t="e">
        <f>IF(AND(VLOOKUP($D987,Merchantability!$B:$C,2,0)="Yes",$E987&gt;=VLOOKUP($D987,Merchantability!$B:$D,3,0),$E987&lt;=VLOOKUP($D987,Merchantability!$B:$E,4,0)),AB987,0)</f>
        <v>#N/A</v>
      </c>
      <c r="AH987" s="104" t="e">
        <f>IF(AND(VLOOKUP($D987,Merchantability!$B:$C,2,0)="Yes",$E987&gt;=VLOOKUP($D987,Merchantability!$B:$D,3,0),$E987&lt;=VLOOKUP($D987,Merchantability!$B:$E,4,0)),AC987,0)</f>
        <v>#N/A</v>
      </c>
      <c r="AI987" s="104" t="e">
        <f t="shared" si="438"/>
        <v>#N/A</v>
      </c>
      <c r="AJ987" s="104" t="e">
        <f t="shared" si="439"/>
        <v>#VALUE!</v>
      </c>
      <c r="AK987" s="104" t="e">
        <f t="shared" si="440"/>
        <v>#N/A</v>
      </c>
      <c r="AL987" s="104" t="e">
        <f t="shared" si="441"/>
        <v>#N/A</v>
      </c>
      <c r="AM987" s="104" t="e">
        <f t="shared" si="442"/>
        <v>#N/A</v>
      </c>
      <c r="AN987" s="104" t="e">
        <f t="shared" si="453"/>
        <v>#N/A</v>
      </c>
      <c r="AO987" s="104" t="e">
        <f t="shared" si="454"/>
        <v>#N/A</v>
      </c>
      <c r="AP987" s="104" t="e">
        <f t="shared" si="455"/>
        <v>#N/A</v>
      </c>
      <c r="AQ987" s="104" t="e">
        <f t="shared" si="456"/>
        <v>#N/A</v>
      </c>
      <c r="AR987" s="105" t="str">
        <f t="shared" si="448"/>
        <v/>
      </c>
      <c r="AS987" s="105" t="str">
        <f t="shared" si="449"/>
        <v/>
      </c>
      <c r="AT987" s="108" t="str">
        <f t="shared" si="450"/>
        <v/>
      </c>
      <c r="AU987" s="108" t="str">
        <f t="shared" si="451"/>
        <v/>
      </c>
      <c r="AV987" s="107" t="str">
        <f>IF(ISNUMBER(O987),IF(VLOOKUP($A987,Stand!C:J,8,FALSE)="Short",AT987,AU987),"")</f>
        <v/>
      </c>
      <c r="AW987" s="109" t="str">
        <f t="shared" si="457"/>
        <v/>
      </c>
      <c r="AX987" s="109" t="str">
        <f t="shared" si="458"/>
        <v/>
      </c>
      <c r="AY987" s="112" t="str">
        <f>IF(ISNUMBER(O987),IF(AND(VLOOKUP($D987,Merchantability!$B:$C,2,0)="Yes",$E987&gt;=VLOOKUP($D987,Merchantability!$B:$D,3,0),$E987&lt;=VLOOKUP($D987,Merchantability!$B:$E,4,0)),(AV987*O987)*(1-$H987/100),""),"")</f>
        <v/>
      </c>
      <c r="AZ987" s="116"/>
      <c r="BA987" s="116"/>
      <c r="BB987" s="116"/>
      <c r="BE987" s="62"/>
      <c r="BF987" s="63"/>
    </row>
    <row r="988" spans="1:58" ht="12.75" customHeight="1" x14ac:dyDescent="0.25">
      <c r="A988" s="313"/>
      <c r="B988" s="328"/>
      <c r="C988" s="329"/>
      <c r="D988" s="328"/>
      <c r="E988" s="330"/>
      <c r="F988" s="328"/>
      <c r="G988" s="329"/>
      <c r="H988" s="329"/>
      <c r="I988" s="328"/>
      <c r="J988" s="383"/>
      <c r="K988" s="329"/>
      <c r="L988" s="329"/>
      <c r="M988" s="76"/>
      <c r="N988" s="103" t="str">
        <f>IF(A988="","",VLOOKUP(A988,Stand!C:K,9,0))</f>
        <v/>
      </c>
      <c r="O988" s="104" t="str">
        <f t="shared" si="443"/>
        <v/>
      </c>
      <c r="P988" s="105" t="str">
        <f t="shared" si="444"/>
        <v/>
      </c>
      <c r="Q988" s="105" t="str">
        <f t="shared" si="432"/>
        <v/>
      </c>
      <c r="R988" s="103" t="str">
        <f t="shared" si="445"/>
        <v/>
      </c>
      <c r="S988" s="103" t="str">
        <f t="shared" si="446"/>
        <v/>
      </c>
      <c r="T988" s="106" t="str">
        <f t="shared" si="433"/>
        <v/>
      </c>
      <c r="U988" s="106" t="str">
        <f t="shared" si="434"/>
        <v/>
      </c>
      <c r="V988" s="106" t="str">
        <f t="shared" si="435"/>
        <v/>
      </c>
      <c r="W988" s="105" t="str">
        <f t="shared" si="447"/>
        <v/>
      </c>
      <c r="X988" s="104" t="str">
        <f t="shared" si="452"/>
        <v/>
      </c>
      <c r="Y988" s="104" t="str">
        <f t="array" ref="Y988">IFERROR(IF(ISNUMBER(O988),IF(COUNT(IF(A988=$A$2:$A$2427,IF(D988=$D$2:$D$2427,IF($X$2:$X$2427&gt;0,1))))&gt;0,SUM(IF(A988=$A$2:$A$2427,IF(D988=$D$2:$D$2427,$X$2:$X$2427)))/COUNT(IF(A988=$A$2:$A$2427,IF(D988=$D$2:$D$2427,IF(ISNUMBER($X$2:$X$2427),1)))),0),""),0)</f>
        <v/>
      </c>
      <c r="Z988" s="104" t="str">
        <f>IF(ISNUMBER(O988),IF(I988&gt;0,(10^(VLOOKUP(D988,'Species Codes'!B:C,2,0)+VLOOKUP(D988,'Species Codes'!B:D,3,0)*LOG(E988)+VLOOKUP(D988,'Species Codes'!B:E,4,0)*LOG(I988))),0),"")</f>
        <v/>
      </c>
      <c r="AA988" s="104" t="str">
        <f>IFERROR((VLOOKUP(D988,'Species Codes'!B:G,6,0)*Z988)/2000,"")</f>
        <v/>
      </c>
      <c r="AB988" s="104" t="e">
        <f>IF(Z988&gt;0,((IF(OR(D988="DF",D988="RA")=TRUE,EXP(VLOOKUP(D988,'Species Codes'!B:I,8,0)+VLOOKUP(D988,'Species Codes'!B:J,9,0)*(LN((E988*2.54)))),IF(OR(D988="PY",D988="RC",D988="WH",D988="NF")=TRUE,VLOOKUP(D988,'Species Codes'!B:I,8,0)+VLOOKUP(D988,'Species Codes'!B:J,9,0)*((E988*2.54)^2)*(I988*0.3048),IF(OR(D988="MD",D988="BM",D988="GA")=TRUE,((VLOOKUP(D988,'Species Codes'!B:I,8,0)*(((((E988*2.54)+VLOOKUP(D988,'Species Codes'!B:J,9,0))/VLOOKUP(D988,'Species Codes'!B:K,10,0))^VLOOKUP(D988,'Species Codes'!B:L,11,0))*((I988*0.3048)^VLOOKUP(D988,'Species Codes'!B:M,12,0))))-(VLOOKUP(D988,'Species Codes'!B:I,8,0)*((((E988*2.54)^VLOOKUP(D988,'Species Codes'!B:L,11,0))*((I988*0.3048)^VLOOKUP(D988,'Species Codes'!B:M,12,0))))))*35.3*VLOOKUP(D988,'Species Codes'!B:G,6,0)/2.2046,VLOOKUP(D988,'Species Codes'!B:I,8,0)+VLOOKUP(D988,'Species Codes'!B:J,9,0)*(((E988*2.54)/100)^2)*(I988*0.3048)))))*0.0011023),0)</f>
        <v>#N/A</v>
      </c>
      <c r="AC988" s="104" t="e">
        <f>IF(Z988&gt;0,((IF(OR(D988="RA",D988="OA",D988="OT",D988="UN",D988="PC"),EXP(VLOOKUP(D988,'Species Codes'!B:O,14,0)+VLOOKUP(D988,'Species Codes'!B:P,15,0)*LN((E988*2.54)))-EXP(VLOOKUP(D988,'Species Codes'!B:O,14,0)+VLOOKUP(D988,'Species Codes'!B:P,15,0)*LN((E988*2.54)))*(1/(VLOOKUP(D988,'Species Codes'!B:Q,16,0)+VLOOKUP(D988,'Species Codes'!B:R,17,0)*((E988*2.54)^VLOOKUP(D988,'Species Codes'!B:S,18,0)))),IF(OR(D988="BM",D988="MD",D988="OA"),EXP(VLOOKUP(D988,'Species Codes'!B:O,14,0)+VLOOKUP(D988,'Species Codes'!B:P,15,0)*LN((E988*2.54)))*(1-(1/(VLOOKUP(D988,'Species Codes'!B:Q,16,0)+VLOOKUP(D988,'Species Codes'!B:R,17,0)*((E988*2.54)^VLOOKUP(D988,'Species Codes'!B:S,18,0)))))/1000,IF(D988="DF",EXP(VLOOKUP(D988,'Species Codes'!B:O,14,0)+VLOOKUP(D988,'Species Codes'!B:P,15,0)*LN((E988*2.54))),VLOOKUP(D988,'Species Codes'!B:O,14,0)+VLOOKUP(D988,'Species Codes'!B:P,15,0)*(((E988*2.54)/100)^2)*(I988*0.3048)))))*0.0011023),0)</f>
        <v>#N/A</v>
      </c>
      <c r="AD988" s="104" t="e">
        <f t="shared" si="436"/>
        <v>#N/A</v>
      </c>
      <c r="AE988" s="104" t="e">
        <f t="shared" si="437"/>
        <v>#N/A</v>
      </c>
      <c r="AF988" s="104" t="e">
        <f>IF(AND(VLOOKUP($D988,Merchantability!$B:$C,2,0)="Yes",$E988&gt;=VLOOKUP($D988,Merchantability!$B:$D,3,0),$E988&lt;=VLOOKUP($D988,Merchantability!$B:$E,4,0)),AA988,0)</f>
        <v>#N/A</v>
      </c>
      <c r="AG988" s="104" t="e">
        <f>IF(AND(VLOOKUP($D988,Merchantability!$B:$C,2,0)="Yes",$E988&gt;=VLOOKUP($D988,Merchantability!$B:$D,3,0),$E988&lt;=VLOOKUP($D988,Merchantability!$B:$E,4,0)),AB988,0)</f>
        <v>#N/A</v>
      </c>
      <c r="AH988" s="104" t="e">
        <f>IF(AND(VLOOKUP($D988,Merchantability!$B:$C,2,0)="Yes",$E988&gt;=VLOOKUP($D988,Merchantability!$B:$D,3,0),$E988&lt;=VLOOKUP($D988,Merchantability!$B:$E,4,0)),AC988,0)</f>
        <v>#N/A</v>
      </c>
      <c r="AI988" s="104" t="e">
        <f t="shared" si="438"/>
        <v>#N/A</v>
      </c>
      <c r="AJ988" s="104" t="e">
        <f t="shared" si="439"/>
        <v>#VALUE!</v>
      </c>
      <c r="AK988" s="104" t="e">
        <f t="shared" si="440"/>
        <v>#N/A</v>
      </c>
      <c r="AL988" s="104" t="e">
        <f t="shared" si="441"/>
        <v>#N/A</v>
      </c>
      <c r="AM988" s="104" t="e">
        <f t="shared" si="442"/>
        <v>#N/A</v>
      </c>
      <c r="AN988" s="104" t="e">
        <f t="shared" si="453"/>
        <v>#N/A</v>
      </c>
      <c r="AO988" s="104" t="e">
        <f t="shared" si="454"/>
        <v>#N/A</v>
      </c>
      <c r="AP988" s="104" t="e">
        <f t="shared" si="455"/>
        <v>#N/A</v>
      </c>
      <c r="AQ988" s="104" t="e">
        <f t="shared" si="456"/>
        <v>#N/A</v>
      </c>
      <c r="AR988" s="105" t="str">
        <f t="shared" si="448"/>
        <v/>
      </c>
      <c r="AS988" s="105" t="str">
        <f t="shared" si="449"/>
        <v/>
      </c>
      <c r="AT988" s="108" t="str">
        <f t="shared" si="450"/>
        <v/>
      </c>
      <c r="AU988" s="108" t="str">
        <f t="shared" si="451"/>
        <v/>
      </c>
      <c r="AV988" s="107" t="str">
        <f>IF(ISNUMBER(O988),IF(VLOOKUP($A988,Stand!C:J,8,FALSE)="Short",AT988,AU988),"")</f>
        <v/>
      </c>
      <c r="AW988" s="109" t="str">
        <f t="shared" si="457"/>
        <v/>
      </c>
      <c r="AX988" s="109" t="str">
        <f t="shared" si="458"/>
        <v/>
      </c>
      <c r="AY988" s="112" t="str">
        <f>IF(ISNUMBER(O988),IF(AND(VLOOKUP($D988,Merchantability!$B:$C,2,0)="Yes",$E988&gt;=VLOOKUP($D988,Merchantability!$B:$D,3,0),$E988&lt;=VLOOKUP($D988,Merchantability!$B:$E,4,0)),(AV988*O988)*(1-$H988/100),""),"")</f>
        <v/>
      </c>
      <c r="AZ988" s="116"/>
      <c r="BA988" s="116"/>
      <c r="BB988" s="116"/>
      <c r="BE988" s="62"/>
      <c r="BF988" s="63"/>
    </row>
    <row r="989" spans="1:58" ht="12.75" customHeight="1" x14ac:dyDescent="0.25">
      <c r="A989" s="313"/>
      <c r="B989" s="328"/>
      <c r="C989" s="329"/>
      <c r="D989" s="328"/>
      <c r="E989" s="330"/>
      <c r="F989" s="328"/>
      <c r="G989" s="329"/>
      <c r="H989" s="329"/>
      <c r="I989" s="328"/>
      <c r="J989" s="383"/>
      <c r="K989" s="329"/>
      <c r="L989" s="329"/>
      <c r="M989" s="76"/>
      <c r="N989" s="103" t="str">
        <f>IF(A989="","",VLOOKUP(A989,Stand!C:K,9,0))</f>
        <v/>
      </c>
      <c r="O989" s="104" t="str">
        <f t="shared" si="443"/>
        <v/>
      </c>
      <c r="P989" s="105" t="str">
        <f t="shared" si="444"/>
        <v/>
      </c>
      <c r="Q989" s="105" t="str">
        <f t="shared" ref="Q989:Q1052" si="459">IF(AND(ISNUMBER(O989),I989&gt;0),I989*O989,"")</f>
        <v/>
      </c>
      <c r="R989" s="103" t="str">
        <f t="shared" si="445"/>
        <v/>
      </c>
      <c r="S989" s="103" t="str">
        <f t="shared" si="446"/>
        <v/>
      </c>
      <c r="T989" s="106" t="str">
        <f t="shared" ref="T989:T1052" si="460">IF(AND(ISNUMBER(O989),J989&gt;0),J989/100,"")</f>
        <v/>
      </c>
      <c r="U989" s="106" t="str">
        <f t="shared" ref="U989:U1052" si="461">IF(AND(ISNUMBER(O989),J989&gt;0),T989*O989,"")</f>
        <v/>
      </c>
      <c r="V989" s="106" t="str">
        <f t="shared" ref="V989:V1052" si="462">IF(AND(ISNUMBER(O989),I989&gt;0),W989*O989,"")</f>
        <v/>
      </c>
      <c r="W989" s="105" t="str">
        <f t="shared" si="447"/>
        <v/>
      </c>
      <c r="X989" s="104" t="str">
        <f t="shared" si="452"/>
        <v/>
      </c>
      <c r="Y989" s="104" t="str">
        <f t="array" ref="Y989">IFERROR(IF(ISNUMBER(O989),IF(COUNT(IF(A989=$A$2:$A$2427,IF(D989=$D$2:$D$2427,IF($X$2:$X$2427&gt;0,1))))&gt;0,SUM(IF(A989=$A$2:$A$2427,IF(D989=$D$2:$D$2427,$X$2:$X$2427)))/COUNT(IF(A989=$A$2:$A$2427,IF(D989=$D$2:$D$2427,IF(ISNUMBER($X$2:$X$2427),1)))),0),""),0)</f>
        <v/>
      </c>
      <c r="Z989" s="104" t="str">
        <f>IF(ISNUMBER(O989),IF(I989&gt;0,(10^(VLOOKUP(D989,'Species Codes'!B:C,2,0)+VLOOKUP(D989,'Species Codes'!B:D,3,0)*LOG(E989)+VLOOKUP(D989,'Species Codes'!B:E,4,0)*LOG(I989))),0),"")</f>
        <v/>
      </c>
      <c r="AA989" s="104" t="str">
        <f>IFERROR((VLOOKUP(D989,'Species Codes'!B:G,6,0)*Z989)/2000,"")</f>
        <v/>
      </c>
      <c r="AB989" s="104" t="e">
        <f>IF(Z989&gt;0,((IF(OR(D989="DF",D989="RA")=TRUE,EXP(VLOOKUP(D989,'Species Codes'!B:I,8,0)+VLOOKUP(D989,'Species Codes'!B:J,9,0)*(LN((E989*2.54)))),IF(OR(D989="PY",D989="RC",D989="WH",D989="NF")=TRUE,VLOOKUP(D989,'Species Codes'!B:I,8,0)+VLOOKUP(D989,'Species Codes'!B:J,9,0)*((E989*2.54)^2)*(I989*0.3048),IF(OR(D989="MD",D989="BM",D989="GA")=TRUE,((VLOOKUP(D989,'Species Codes'!B:I,8,0)*(((((E989*2.54)+VLOOKUP(D989,'Species Codes'!B:J,9,0))/VLOOKUP(D989,'Species Codes'!B:K,10,0))^VLOOKUP(D989,'Species Codes'!B:L,11,0))*((I989*0.3048)^VLOOKUP(D989,'Species Codes'!B:M,12,0))))-(VLOOKUP(D989,'Species Codes'!B:I,8,0)*((((E989*2.54)^VLOOKUP(D989,'Species Codes'!B:L,11,0))*((I989*0.3048)^VLOOKUP(D989,'Species Codes'!B:M,12,0))))))*35.3*VLOOKUP(D989,'Species Codes'!B:G,6,0)/2.2046,VLOOKUP(D989,'Species Codes'!B:I,8,0)+VLOOKUP(D989,'Species Codes'!B:J,9,0)*(((E989*2.54)/100)^2)*(I989*0.3048)))))*0.0011023),0)</f>
        <v>#N/A</v>
      </c>
      <c r="AC989" s="104" t="e">
        <f>IF(Z989&gt;0,((IF(OR(D989="RA",D989="OA",D989="OT",D989="UN",D989="PC"),EXP(VLOOKUP(D989,'Species Codes'!B:O,14,0)+VLOOKUP(D989,'Species Codes'!B:P,15,0)*LN((E989*2.54)))-EXP(VLOOKUP(D989,'Species Codes'!B:O,14,0)+VLOOKUP(D989,'Species Codes'!B:P,15,0)*LN((E989*2.54)))*(1/(VLOOKUP(D989,'Species Codes'!B:Q,16,0)+VLOOKUP(D989,'Species Codes'!B:R,17,0)*((E989*2.54)^VLOOKUP(D989,'Species Codes'!B:S,18,0)))),IF(OR(D989="BM",D989="MD",D989="OA"),EXP(VLOOKUP(D989,'Species Codes'!B:O,14,0)+VLOOKUP(D989,'Species Codes'!B:P,15,0)*LN((E989*2.54)))*(1-(1/(VLOOKUP(D989,'Species Codes'!B:Q,16,0)+VLOOKUP(D989,'Species Codes'!B:R,17,0)*((E989*2.54)^VLOOKUP(D989,'Species Codes'!B:S,18,0)))))/1000,IF(D989="DF",EXP(VLOOKUP(D989,'Species Codes'!B:O,14,0)+VLOOKUP(D989,'Species Codes'!B:P,15,0)*LN((E989*2.54))),VLOOKUP(D989,'Species Codes'!B:O,14,0)+VLOOKUP(D989,'Species Codes'!B:P,15,0)*(((E989*2.54)/100)^2)*(I989*0.3048)))))*0.0011023),0)</f>
        <v>#N/A</v>
      </c>
      <c r="AD989" s="104" t="e">
        <f t="shared" ref="AD989:AD1052" si="463">SUM(AA989:AC989)</f>
        <v>#N/A</v>
      </c>
      <c r="AE989" s="104" t="e">
        <f t="shared" ref="AE989:AE1052" si="464">AD989*O989</f>
        <v>#N/A</v>
      </c>
      <c r="AF989" s="104" t="e">
        <f>IF(AND(VLOOKUP($D989,Merchantability!$B:$C,2,0)="Yes",$E989&gt;=VLOOKUP($D989,Merchantability!$B:$D,3,0),$E989&lt;=VLOOKUP($D989,Merchantability!$B:$E,4,0)),AA989,0)</f>
        <v>#N/A</v>
      </c>
      <c r="AG989" s="104" t="e">
        <f>IF(AND(VLOOKUP($D989,Merchantability!$B:$C,2,0)="Yes",$E989&gt;=VLOOKUP($D989,Merchantability!$B:$D,3,0),$E989&lt;=VLOOKUP($D989,Merchantability!$B:$E,4,0)),AB989,0)</f>
        <v>#N/A</v>
      </c>
      <c r="AH989" s="104" t="e">
        <f>IF(AND(VLOOKUP($D989,Merchantability!$B:$C,2,0)="Yes",$E989&gt;=VLOOKUP($D989,Merchantability!$B:$D,3,0),$E989&lt;=VLOOKUP($D989,Merchantability!$B:$E,4,0)),AC989,0)</f>
        <v>#N/A</v>
      </c>
      <c r="AI989" s="104" t="e">
        <f t="shared" ref="AI989:AI1052" si="465">SUM(AF989:AH989)</f>
        <v>#N/A</v>
      </c>
      <c r="AJ989" s="104" t="e">
        <f t="shared" ref="AJ989:AJ1052" si="466">AA989*$O989</f>
        <v>#VALUE!</v>
      </c>
      <c r="AK989" s="104" t="e">
        <f t="shared" ref="AK989:AK1052" si="467">AB989*$O989</f>
        <v>#N/A</v>
      </c>
      <c r="AL989" s="104" t="e">
        <f t="shared" ref="AL989:AL1052" si="468">AC989*$O989</f>
        <v>#N/A</v>
      </c>
      <c r="AM989" s="104" t="e">
        <f t="shared" ref="AM989:AM1052" si="469">AD989*$O989</f>
        <v>#N/A</v>
      </c>
      <c r="AN989" s="104" t="e">
        <f t="shared" si="453"/>
        <v>#N/A</v>
      </c>
      <c r="AO989" s="104" t="e">
        <f t="shared" si="454"/>
        <v>#N/A</v>
      </c>
      <c r="AP989" s="104" t="e">
        <f t="shared" si="455"/>
        <v>#N/A</v>
      </c>
      <c r="AQ989" s="104" t="e">
        <f t="shared" si="456"/>
        <v>#N/A</v>
      </c>
      <c r="AR989" s="105" t="str">
        <f t="shared" si="448"/>
        <v/>
      </c>
      <c r="AS989" s="105" t="str">
        <f t="shared" si="449"/>
        <v/>
      </c>
      <c r="AT989" s="108" t="str">
        <f t="shared" si="450"/>
        <v/>
      </c>
      <c r="AU989" s="108" t="str">
        <f t="shared" si="451"/>
        <v/>
      </c>
      <c r="AV989" s="107" t="str">
        <f>IF(ISNUMBER(O989),IF(VLOOKUP($A989,Stand!C:J,8,FALSE)="Short",AT989,AU989),"")</f>
        <v/>
      </c>
      <c r="AW989" s="109" t="str">
        <f t="shared" si="457"/>
        <v/>
      </c>
      <c r="AX989" s="109" t="str">
        <f t="shared" si="458"/>
        <v/>
      </c>
      <c r="AY989" s="112" t="str">
        <f>IF(ISNUMBER(O989),IF(AND(VLOOKUP($D989,Merchantability!$B:$C,2,0)="Yes",$E989&gt;=VLOOKUP($D989,Merchantability!$B:$D,3,0),$E989&lt;=VLOOKUP($D989,Merchantability!$B:$E,4,0)),(AV989*O989)*(1-$H989/100),""),"")</f>
        <v/>
      </c>
      <c r="AZ989" s="116"/>
      <c r="BA989" s="116"/>
      <c r="BB989" s="116"/>
      <c r="BE989" s="62"/>
      <c r="BF989" s="63"/>
    </row>
    <row r="990" spans="1:58" ht="12.75" customHeight="1" x14ac:dyDescent="0.25">
      <c r="A990" s="313"/>
      <c r="B990" s="328"/>
      <c r="C990" s="329"/>
      <c r="D990" s="328"/>
      <c r="E990" s="330"/>
      <c r="F990" s="328"/>
      <c r="G990" s="329"/>
      <c r="H990" s="329"/>
      <c r="I990" s="328"/>
      <c r="J990" s="383"/>
      <c r="K990" s="329"/>
      <c r="L990" s="329"/>
      <c r="M990" s="76"/>
      <c r="N990" s="103" t="str">
        <f>IF(A990="","",VLOOKUP(A990,Stand!C:K,9,0))</f>
        <v/>
      </c>
      <c r="O990" s="104" t="str">
        <f t="shared" si="443"/>
        <v/>
      </c>
      <c r="P990" s="105" t="str">
        <f t="shared" si="444"/>
        <v/>
      </c>
      <c r="Q990" s="105" t="str">
        <f t="shared" si="459"/>
        <v/>
      </c>
      <c r="R990" s="103" t="str">
        <f t="shared" si="445"/>
        <v/>
      </c>
      <c r="S990" s="103" t="str">
        <f t="shared" si="446"/>
        <v/>
      </c>
      <c r="T990" s="106" t="str">
        <f t="shared" si="460"/>
        <v/>
      </c>
      <c r="U990" s="106" t="str">
        <f t="shared" si="461"/>
        <v/>
      </c>
      <c r="V990" s="106" t="str">
        <f t="shared" si="462"/>
        <v/>
      </c>
      <c r="W990" s="105" t="str">
        <f t="shared" si="447"/>
        <v/>
      </c>
      <c r="X990" s="104" t="str">
        <f t="shared" si="452"/>
        <v/>
      </c>
      <c r="Y990" s="104" t="str">
        <f t="array" ref="Y990">IFERROR(IF(ISNUMBER(O990),IF(COUNT(IF(A990=$A$2:$A$2427,IF(D990=$D$2:$D$2427,IF($X$2:$X$2427&gt;0,1))))&gt;0,SUM(IF(A990=$A$2:$A$2427,IF(D990=$D$2:$D$2427,$X$2:$X$2427)))/COUNT(IF(A990=$A$2:$A$2427,IF(D990=$D$2:$D$2427,IF(ISNUMBER($X$2:$X$2427),1)))),0),""),0)</f>
        <v/>
      </c>
      <c r="Z990" s="104" t="str">
        <f>IF(ISNUMBER(O990),IF(I990&gt;0,(10^(VLOOKUP(D990,'Species Codes'!B:C,2,0)+VLOOKUP(D990,'Species Codes'!B:D,3,0)*LOG(E990)+VLOOKUP(D990,'Species Codes'!B:E,4,0)*LOG(I990))),0),"")</f>
        <v/>
      </c>
      <c r="AA990" s="104" t="str">
        <f>IFERROR((VLOOKUP(D990,'Species Codes'!B:G,6,0)*Z990)/2000,"")</f>
        <v/>
      </c>
      <c r="AB990" s="104" t="e">
        <f>IF(Z990&gt;0,((IF(OR(D990="DF",D990="RA")=TRUE,EXP(VLOOKUP(D990,'Species Codes'!B:I,8,0)+VLOOKUP(D990,'Species Codes'!B:J,9,0)*(LN((E990*2.54)))),IF(OR(D990="PY",D990="RC",D990="WH",D990="NF")=TRUE,VLOOKUP(D990,'Species Codes'!B:I,8,0)+VLOOKUP(D990,'Species Codes'!B:J,9,0)*((E990*2.54)^2)*(I990*0.3048),IF(OR(D990="MD",D990="BM",D990="GA")=TRUE,((VLOOKUP(D990,'Species Codes'!B:I,8,0)*(((((E990*2.54)+VLOOKUP(D990,'Species Codes'!B:J,9,0))/VLOOKUP(D990,'Species Codes'!B:K,10,0))^VLOOKUP(D990,'Species Codes'!B:L,11,0))*((I990*0.3048)^VLOOKUP(D990,'Species Codes'!B:M,12,0))))-(VLOOKUP(D990,'Species Codes'!B:I,8,0)*((((E990*2.54)^VLOOKUP(D990,'Species Codes'!B:L,11,0))*((I990*0.3048)^VLOOKUP(D990,'Species Codes'!B:M,12,0))))))*35.3*VLOOKUP(D990,'Species Codes'!B:G,6,0)/2.2046,VLOOKUP(D990,'Species Codes'!B:I,8,0)+VLOOKUP(D990,'Species Codes'!B:J,9,0)*(((E990*2.54)/100)^2)*(I990*0.3048)))))*0.0011023),0)</f>
        <v>#N/A</v>
      </c>
      <c r="AC990" s="104" t="e">
        <f>IF(Z990&gt;0,((IF(OR(D990="RA",D990="OA",D990="OT",D990="UN",D990="PC"),EXP(VLOOKUP(D990,'Species Codes'!B:O,14,0)+VLOOKUP(D990,'Species Codes'!B:P,15,0)*LN((E990*2.54)))-EXP(VLOOKUP(D990,'Species Codes'!B:O,14,0)+VLOOKUP(D990,'Species Codes'!B:P,15,0)*LN((E990*2.54)))*(1/(VLOOKUP(D990,'Species Codes'!B:Q,16,0)+VLOOKUP(D990,'Species Codes'!B:R,17,0)*((E990*2.54)^VLOOKUP(D990,'Species Codes'!B:S,18,0)))),IF(OR(D990="BM",D990="MD",D990="OA"),EXP(VLOOKUP(D990,'Species Codes'!B:O,14,0)+VLOOKUP(D990,'Species Codes'!B:P,15,0)*LN((E990*2.54)))*(1-(1/(VLOOKUP(D990,'Species Codes'!B:Q,16,0)+VLOOKUP(D990,'Species Codes'!B:R,17,0)*((E990*2.54)^VLOOKUP(D990,'Species Codes'!B:S,18,0)))))/1000,IF(D990="DF",EXP(VLOOKUP(D990,'Species Codes'!B:O,14,0)+VLOOKUP(D990,'Species Codes'!B:P,15,0)*LN((E990*2.54))),VLOOKUP(D990,'Species Codes'!B:O,14,0)+VLOOKUP(D990,'Species Codes'!B:P,15,0)*(((E990*2.54)/100)^2)*(I990*0.3048)))))*0.0011023),0)</f>
        <v>#N/A</v>
      </c>
      <c r="AD990" s="104" t="e">
        <f t="shared" si="463"/>
        <v>#N/A</v>
      </c>
      <c r="AE990" s="104" t="e">
        <f t="shared" si="464"/>
        <v>#N/A</v>
      </c>
      <c r="AF990" s="104" t="e">
        <f>IF(AND(VLOOKUP($D990,Merchantability!$B:$C,2,0)="Yes",$E990&gt;=VLOOKUP($D990,Merchantability!$B:$D,3,0),$E990&lt;=VLOOKUP($D990,Merchantability!$B:$E,4,0)),AA990,0)</f>
        <v>#N/A</v>
      </c>
      <c r="AG990" s="104" t="e">
        <f>IF(AND(VLOOKUP($D990,Merchantability!$B:$C,2,0)="Yes",$E990&gt;=VLOOKUP($D990,Merchantability!$B:$D,3,0),$E990&lt;=VLOOKUP($D990,Merchantability!$B:$E,4,0)),AB990,0)</f>
        <v>#N/A</v>
      </c>
      <c r="AH990" s="104" t="e">
        <f>IF(AND(VLOOKUP($D990,Merchantability!$B:$C,2,0)="Yes",$E990&gt;=VLOOKUP($D990,Merchantability!$B:$D,3,0),$E990&lt;=VLOOKUP($D990,Merchantability!$B:$E,4,0)),AC990,0)</f>
        <v>#N/A</v>
      </c>
      <c r="AI990" s="104" t="e">
        <f t="shared" si="465"/>
        <v>#N/A</v>
      </c>
      <c r="AJ990" s="104" t="e">
        <f t="shared" si="466"/>
        <v>#VALUE!</v>
      </c>
      <c r="AK990" s="104" t="e">
        <f t="shared" si="467"/>
        <v>#N/A</v>
      </c>
      <c r="AL990" s="104" t="e">
        <f t="shared" si="468"/>
        <v>#N/A</v>
      </c>
      <c r="AM990" s="104" t="e">
        <f t="shared" si="469"/>
        <v>#N/A</v>
      </c>
      <c r="AN990" s="104" t="e">
        <f t="shared" si="453"/>
        <v>#N/A</v>
      </c>
      <c r="AO990" s="104" t="e">
        <f t="shared" si="454"/>
        <v>#N/A</v>
      </c>
      <c r="AP990" s="104" t="e">
        <f t="shared" si="455"/>
        <v>#N/A</v>
      </c>
      <c r="AQ990" s="104" t="e">
        <f t="shared" si="456"/>
        <v>#N/A</v>
      </c>
      <c r="AR990" s="105" t="str">
        <f t="shared" si="448"/>
        <v/>
      </c>
      <c r="AS990" s="105" t="str">
        <f t="shared" si="449"/>
        <v/>
      </c>
      <c r="AT990" s="108" t="str">
        <f t="shared" si="450"/>
        <v/>
      </c>
      <c r="AU990" s="108" t="str">
        <f t="shared" si="451"/>
        <v/>
      </c>
      <c r="AV990" s="107" t="str">
        <f>IF(ISNUMBER(O990),IF(VLOOKUP($A990,Stand!C:J,8,FALSE)="Short",AT990,AU990),"")</f>
        <v/>
      </c>
      <c r="AW990" s="109" t="str">
        <f t="shared" si="457"/>
        <v/>
      </c>
      <c r="AX990" s="109" t="str">
        <f t="shared" si="458"/>
        <v/>
      </c>
      <c r="AY990" s="112" t="str">
        <f>IF(ISNUMBER(O990),IF(AND(VLOOKUP($D990,Merchantability!$B:$C,2,0)="Yes",$E990&gt;=VLOOKUP($D990,Merchantability!$B:$D,3,0),$E990&lt;=VLOOKUP($D990,Merchantability!$B:$E,4,0)),(AV990*O990)*(1-$H990/100),""),"")</f>
        <v/>
      </c>
      <c r="AZ990" s="116"/>
      <c r="BA990" s="116"/>
      <c r="BB990" s="116"/>
      <c r="BE990" s="62"/>
      <c r="BF990" s="63"/>
    </row>
    <row r="991" spans="1:58" ht="12.75" customHeight="1" x14ac:dyDescent="0.25">
      <c r="A991" s="313"/>
      <c r="B991" s="328"/>
      <c r="C991" s="329"/>
      <c r="D991" s="328"/>
      <c r="E991" s="330"/>
      <c r="F991" s="328"/>
      <c r="G991" s="329"/>
      <c r="H991" s="329"/>
      <c r="I991" s="328"/>
      <c r="J991" s="383"/>
      <c r="K991" s="329"/>
      <c r="L991" s="329"/>
      <c r="M991" s="76"/>
      <c r="N991" s="103" t="str">
        <f>IF(A991="","",VLOOKUP(A991,Stand!C:K,9,0))</f>
        <v/>
      </c>
      <c r="O991" s="104" t="str">
        <f t="shared" si="443"/>
        <v/>
      </c>
      <c r="P991" s="105" t="str">
        <f t="shared" si="444"/>
        <v/>
      </c>
      <c r="Q991" s="105" t="str">
        <f t="shared" si="459"/>
        <v/>
      </c>
      <c r="R991" s="103" t="str">
        <f t="shared" si="445"/>
        <v/>
      </c>
      <c r="S991" s="103" t="str">
        <f t="shared" si="446"/>
        <v/>
      </c>
      <c r="T991" s="106" t="str">
        <f t="shared" si="460"/>
        <v/>
      </c>
      <c r="U991" s="106" t="str">
        <f t="shared" si="461"/>
        <v/>
      </c>
      <c r="V991" s="106" t="str">
        <f t="shared" si="462"/>
        <v/>
      </c>
      <c r="W991" s="105" t="str">
        <f t="shared" si="447"/>
        <v/>
      </c>
      <c r="X991" s="104" t="str">
        <f t="shared" si="452"/>
        <v/>
      </c>
      <c r="Y991" s="104" t="str">
        <f t="array" ref="Y991">IFERROR(IF(ISNUMBER(O991),IF(COUNT(IF(A991=$A$2:$A$2427,IF(D991=$D$2:$D$2427,IF($X$2:$X$2427&gt;0,1))))&gt;0,SUM(IF(A991=$A$2:$A$2427,IF(D991=$D$2:$D$2427,$X$2:$X$2427)))/COUNT(IF(A991=$A$2:$A$2427,IF(D991=$D$2:$D$2427,IF(ISNUMBER($X$2:$X$2427),1)))),0),""),0)</f>
        <v/>
      </c>
      <c r="Z991" s="104" t="str">
        <f>IF(ISNUMBER(O991),IF(I991&gt;0,(10^(VLOOKUP(D991,'Species Codes'!B:C,2,0)+VLOOKUP(D991,'Species Codes'!B:D,3,0)*LOG(E991)+VLOOKUP(D991,'Species Codes'!B:E,4,0)*LOG(I991))),0),"")</f>
        <v/>
      </c>
      <c r="AA991" s="104" t="str">
        <f>IFERROR((VLOOKUP(D991,'Species Codes'!B:G,6,0)*Z991)/2000,"")</f>
        <v/>
      </c>
      <c r="AB991" s="104" t="e">
        <f>IF(Z991&gt;0,((IF(OR(D991="DF",D991="RA")=TRUE,EXP(VLOOKUP(D991,'Species Codes'!B:I,8,0)+VLOOKUP(D991,'Species Codes'!B:J,9,0)*(LN((E991*2.54)))),IF(OR(D991="PY",D991="RC",D991="WH",D991="NF")=TRUE,VLOOKUP(D991,'Species Codes'!B:I,8,0)+VLOOKUP(D991,'Species Codes'!B:J,9,0)*((E991*2.54)^2)*(I991*0.3048),IF(OR(D991="MD",D991="BM",D991="GA")=TRUE,((VLOOKUP(D991,'Species Codes'!B:I,8,0)*(((((E991*2.54)+VLOOKUP(D991,'Species Codes'!B:J,9,0))/VLOOKUP(D991,'Species Codes'!B:K,10,0))^VLOOKUP(D991,'Species Codes'!B:L,11,0))*((I991*0.3048)^VLOOKUP(D991,'Species Codes'!B:M,12,0))))-(VLOOKUP(D991,'Species Codes'!B:I,8,0)*((((E991*2.54)^VLOOKUP(D991,'Species Codes'!B:L,11,0))*((I991*0.3048)^VLOOKUP(D991,'Species Codes'!B:M,12,0))))))*35.3*VLOOKUP(D991,'Species Codes'!B:G,6,0)/2.2046,VLOOKUP(D991,'Species Codes'!B:I,8,0)+VLOOKUP(D991,'Species Codes'!B:J,9,0)*(((E991*2.54)/100)^2)*(I991*0.3048)))))*0.0011023),0)</f>
        <v>#N/A</v>
      </c>
      <c r="AC991" s="104" t="e">
        <f>IF(Z991&gt;0,((IF(OR(D991="RA",D991="OA",D991="OT",D991="UN",D991="PC"),EXP(VLOOKUP(D991,'Species Codes'!B:O,14,0)+VLOOKUP(D991,'Species Codes'!B:P,15,0)*LN((E991*2.54)))-EXP(VLOOKUP(D991,'Species Codes'!B:O,14,0)+VLOOKUP(D991,'Species Codes'!B:P,15,0)*LN((E991*2.54)))*(1/(VLOOKUP(D991,'Species Codes'!B:Q,16,0)+VLOOKUP(D991,'Species Codes'!B:R,17,0)*((E991*2.54)^VLOOKUP(D991,'Species Codes'!B:S,18,0)))),IF(OR(D991="BM",D991="MD",D991="OA"),EXP(VLOOKUP(D991,'Species Codes'!B:O,14,0)+VLOOKUP(D991,'Species Codes'!B:P,15,0)*LN((E991*2.54)))*(1-(1/(VLOOKUP(D991,'Species Codes'!B:Q,16,0)+VLOOKUP(D991,'Species Codes'!B:R,17,0)*((E991*2.54)^VLOOKUP(D991,'Species Codes'!B:S,18,0)))))/1000,IF(D991="DF",EXP(VLOOKUP(D991,'Species Codes'!B:O,14,0)+VLOOKUP(D991,'Species Codes'!B:P,15,0)*LN((E991*2.54))),VLOOKUP(D991,'Species Codes'!B:O,14,0)+VLOOKUP(D991,'Species Codes'!B:P,15,0)*(((E991*2.54)/100)^2)*(I991*0.3048)))))*0.0011023),0)</f>
        <v>#N/A</v>
      </c>
      <c r="AD991" s="104" t="e">
        <f t="shared" si="463"/>
        <v>#N/A</v>
      </c>
      <c r="AE991" s="104" t="e">
        <f t="shared" si="464"/>
        <v>#N/A</v>
      </c>
      <c r="AF991" s="104" t="e">
        <f>IF(AND(VLOOKUP($D991,Merchantability!$B:$C,2,0)="Yes",$E991&gt;=VLOOKUP($D991,Merchantability!$B:$D,3,0),$E991&lt;=VLOOKUP($D991,Merchantability!$B:$E,4,0)),AA991,0)</f>
        <v>#N/A</v>
      </c>
      <c r="AG991" s="104" t="e">
        <f>IF(AND(VLOOKUP($D991,Merchantability!$B:$C,2,0)="Yes",$E991&gt;=VLOOKUP($D991,Merchantability!$B:$D,3,0),$E991&lt;=VLOOKUP($D991,Merchantability!$B:$E,4,0)),AB991,0)</f>
        <v>#N/A</v>
      </c>
      <c r="AH991" s="104" t="e">
        <f>IF(AND(VLOOKUP($D991,Merchantability!$B:$C,2,0)="Yes",$E991&gt;=VLOOKUP($D991,Merchantability!$B:$D,3,0),$E991&lt;=VLOOKUP($D991,Merchantability!$B:$E,4,0)),AC991,0)</f>
        <v>#N/A</v>
      </c>
      <c r="AI991" s="104" t="e">
        <f t="shared" si="465"/>
        <v>#N/A</v>
      </c>
      <c r="AJ991" s="104" t="e">
        <f t="shared" si="466"/>
        <v>#VALUE!</v>
      </c>
      <c r="AK991" s="104" t="e">
        <f t="shared" si="467"/>
        <v>#N/A</v>
      </c>
      <c r="AL991" s="104" t="e">
        <f t="shared" si="468"/>
        <v>#N/A</v>
      </c>
      <c r="AM991" s="104" t="e">
        <f t="shared" si="469"/>
        <v>#N/A</v>
      </c>
      <c r="AN991" s="104" t="e">
        <f t="shared" si="453"/>
        <v>#N/A</v>
      </c>
      <c r="AO991" s="104" t="e">
        <f t="shared" si="454"/>
        <v>#N/A</v>
      </c>
      <c r="AP991" s="104" t="e">
        <f t="shared" si="455"/>
        <v>#N/A</v>
      </c>
      <c r="AQ991" s="104" t="e">
        <f t="shared" si="456"/>
        <v>#N/A</v>
      </c>
      <c r="AR991" s="105" t="str">
        <f t="shared" si="448"/>
        <v/>
      </c>
      <c r="AS991" s="105" t="str">
        <f t="shared" si="449"/>
        <v/>
      </c>
      <c r="AT991" s="108" t="str">
        <f t="shared" si="450"/>
        <v/>
      </c>
      <c r="AU991" s="108" t="str">
        <f t="shared" si="451"/>
        <v/>
      </c>
      <c r="AV991" s="107" t="str">
        <f>IF(ISNUMBER(O991),IF(VLOOKUP($A991,Stand!C:J,8,FALSE)="Short",AT991,AU991),"")</f>
        <v/>
      </c>
      <c r="AW991" s="109" t="str">
        <f t="shared" si="457"/>
        <v/>
      </c>
      <c r="AX991" s="109" t="str">
        <f t="shared" si="458"/>
        <v/>
      </c>
      <c r="AY991" s="112" t="str">
        <f>IF(ISNUMBER(O991),IF(AND(VLOOKUP($D991,Merchantability!$B:$C,2,0)="Yes",$E991&gt;=VLOOKUP($D991,Merchantability!$B:$D,3,0),$E991&lt;=VLOOKUP($D991,Merchantability!$B:$E,4,0)),(AV991*O991)*(1-$H991/100),""),"")</f>
        <v/>
      </c>
      <c r="AZ991" s="116"/>
      <c r="BA991" s="116"/>
      <c r="BB991" s="116"/>
      <c r="BE991" s="62"/>
      <c r="BF991" s="63"/>
    </row>
    <row r="992" spans="1:58" ht="12.75" customHeight="1" x14ac:dyDescent="0.25">
      <c r="A992" s="313"/>
      <c r="B992" s="328"/>
      <c r="C992" s="329"/>
      <c r="D992" s="328"/>
      <c r="E992" s="330"/>
      <c r="F992" s="328"/>
      <c r="G992" s="329"/>
      <c r="H992" s="329"/>
      <c r="I992" s="328"/>
      <c r="J992" s="383"/>
      <c r="K992" s="329"/>
      <c r="L992" s="329"/>
      <c r="M992" s="76"/>
      <c r="N992" s="103" t="str">
        <f>IF(A992="","",VLOOKUP(A992,Stand!C:K,9,0))</f>
        <v/>
      </c>
      <c r="O992" s="104" t="str">
        <f t="shared" si="443"/>
        <v/>
      </c>
      <c r="P992" s="105" t="str">
        <f t="shared" si="444"/>
        <v/>
      </c>
      <c r="Q992" s="105" t="str">
        <f t="shared" si="459"/>
        <v/>
      </c>
      <c r="R992" s="103" t="str">
        <f t="shared" si="445"/>
        <v/>
      </c>
      <c r="S992" s="103" t="str">
        <f t="shared" si="446"/>
        <v/>
      </c>
      <c r="T992" s="106" t="str">
        <f t="shared" si="460"/>
        <v/>
      </c>
      <c r="U992" s="106" t="str">
        <f t="shared" si="461"/>
        <v/>
      </c>
      <c r="V992" s="106" t="str">
        <f t="shared" si="462"/>
        <v/>
      </c>
      <c r="W992" s="105" t="str">
        <f t="shared" si="447"/>
        <v/>
      </c>
      <c r="X992" s="104" t="str">
        <f t="shared" si="452"/>
        <v/>
      </c>
      <c r="Y992" s="104" t="str">
        <f t="array" ref="Y992">IFERROR(IF(ISNUMBER(O992),IF(COUNT(IF(A992=$A$2:$A$2427,IF(D992=$D$2:$D$2427,IF($X$2:$X$2427&gt;0,1))))&gt;0,SUM(IF(A992=$A$2:$A$2427,IF(D992=$D$2:$D$2427,$X$2:$X$2427)))/COUNT(IF(A992=$A$2:$A$2427,IF(D992=$D$2:$D$2427,IF(ISNUMBER($X$2:$X$2427),1)))),0),""),0)</f>
        <v/>
      </c>
      <c r="Z992" s="104" t="str">
        <f>IF(ISNUMBER(O992),IF(I992&gt;0,(10^(VLOOKUP(D992,'Species Codes'!B:C,2,0)+VLOOKUP(D992,'Species Codes'!B:D,3,0)*LOG(E992)+VLOOKUP(D992,'Species Codes'!B:E,4,0)*LOG(I992))),0),"")</f>
        <v/>
      </c>
      <c r="AA992" s="104" t="str">
        <f>IFERROR((VLOOKUP(D992,'Species Codes'!B:G,6,0)*Z992)/2000,"")</f>
        <v/>
      </c>
      <c r="AB992" s="104" t="e">
        <f>IF(Z992&gt;0,((IF(OR(D992="DF",D992="RA")=TRUE,EXP(VLOOKUP(D992,'Species Codes'!B:I,8,0)+VLOOKUP(D992,'Species Codes'!B:J,9,0)*(LN((E992*2.54)))),IF(OR(D992="PY",D992="RC",D992="WH",D992="NF")=TRUE,VLOOKUP(D992,'Species Codes'!B:I,8,0)+VLOOKUP(D992,'Species Codes'!B:J,9,0)*((E992*2.54)^2)*(I992*0.3048),IF(OR(D992="MD",D992="BM",D992="GA")=TRUE,((VLOOKUP(D992,'Species Codes'!B:I,8,0)*(((((E992*2.54)+VLOOKUP(D992,'Species Codes'!B:J,9,0))/VLOOKUP(D992,'Species Codes'!B:K,10,0))^VLOOKUP(D992,'Species Codes'!B:L,11,0))*((I992*0.3048)^VLOOKUP(D992,'Species Codes'!B:M,12,0))))-(VLOOKUP(D992,'Species Codes'!B:I,8,0)*((((E992*2.54)^VLOOKUP(D992,'Species Codes'!B:L,11,0))*((I992*0.3048)^VLOOKUP(D992,'Species Codes'!B:M,12,0))))))*35.3*VLOOKUP(D992,'Species Codes'!B:G,6,0)/2.2046,VLOOKUP(D992,'Species Codes'!B:I,8,0)+VLOOKUP(D992,'Species Codes'!B:J,9,0)*(((E992*2.54)/100)^2)*(I992*0.3048)))))*0.0011023),0)</f>
        <v>#N/A</v>
      </c>
      <c r="AC992" s="104" t="e">
        <f>IF(Z992&gt;0,((IF(OR(D992="RA",D992="OA",D992="OT",D992="UN",D992="PC"),EXP(VLOOKUP(D992,'Species Codes'!B:O,14,0)+VLOOKUP(D992,'Species Codes'!B:P,15,0)*LN((E992*2.54)))-EXP(VLOOKUP(D992,'Species Codes'!B:O,14,0)+VLOOKUP(D992,'Species Codes'!B:P,15,0)*LN((E992*2.54)))*(1/(VLOOKUP(D992,'Species Codes'!B:Q,16,0)+VLOOKUP(D992,'Species Codes'!B:R,17,0)*((E992*2.54)^VLOOKUP(D992,'Species Codes'!B:S,18,0)))),IF(OR(D992="BM",D992="MD",D992="OA"),EXP(VLOOKUP(D992,'Species Codes'!B:O,14,0)+VLOOKUP(D992,'Species Codes'!B:P,15,0)*LN((E992*2.54)))*(1-(1/(VLOOKUP(D992,'Species Codes'!B:Q,16,0)+VLOOKUP(D992,'Species Codes'!B:R,17,0)*((E992*2.54)^VLOOKUP(D992,'Species Codes'!B:S,18,0)))))/1000,IF(D992="DF",EXP(VLOOKUP(D992,'Species Codes'!B:O,14,0)+VLOOKUP(D992,'Species Codes'!B:P,15,0)*LN((E992*2.54))),VLOOKUP(D992,'Species Codes'!B:O,14,0)+VLOOKUP(D992,'Species Codes'!B:P,15,0)*(((E992*2.54)/100)^2)*(I992*0.3048)))))*0.0011023),0)</f>
        <v>#N/A</v>
      </c>
      <c r="AD992" s="104" t="e">
        <f t="shared" si="463"/>
        <v>#N/A</v>
      </c>
      <c r="AE992" s="104" t="e">
        <f t="shared" si="464"/>
        <v>#N/A</v>
      </c>
      <c r="AF992" s="104" t="e">
        <f>IF(AND(VLOOKUP($D992,Merchantability!$B:$C,2,0)="Yes",$E992&gt;=VLOOKUP($D992,Merchantability!$B:$D,3,0),$E992&lt;=VLOOKUP($D992,Merchantability!$B:$E,4,0)),AA992,0)</f>
        <v>#N/A</v>
      </c>
      <c r="AG992" s="104" t="e">
        <f>IF(AND(VLOOKUP($D992,Merchantability!$B:$C,2,0)="Yes",$E992&gt;=VLOOKUP($D992,Merchantability!$B:$D,3,0),$E992&lt;=VLOOKUP($D992,Merchantability!$B:$E,4,0)),AB992,0)</f>
        <v>#N/A</v>
      </c>
      <c r="AH992" s="104" t="e">
        <f>IF(AND(VLOOKUP($D992,Merchantability!$B:$C,2,0)="Yes",$E992&gt;=VLOOKUP($D992,Merchantability!$B:$D,3,0),$E992&lt;=VLOOKUP($D992,Merchantability!$B:$E,4,0)),AC992,0)</f>
        <v>#N/A</v>
      </c>
      <c r="AI992" s="104" t="e">
        <f t="shared" si="465"/>
        <v>#N/A</v>
      </c>
      <c r="AJ992" s="104" t="e">
        <f t="shared" si="466"/>
        <v>#VALUE!</v>
      </c>
      <c r="AK992" s="104" t="e">
        <f t="shared" si="467"/>
        <v>#N/A</v>
      </c>
      <c r="AL992" s="104" t="e">
        <f t="shared" si="468"/>
        <v>#N/A</v>
      </c>
      <c r="AM992" s="104" t="e">
        <f t="shared" si="469"/>
        <v>#N/A</v>
      </c>
      <c r="AN992" s="104" t="e">
        <f t="shared" si="453"/>
        <v>#N/A</v>
      </c>
      <c r="AO992" s="104" t="e">
        <f t="shared" si="454"/>
        <v>#N/A</v>
      </c>
      <c r="AP992" s="104" t="e">
        <f t="shared" si="455"/>
        <v>#N/A</v>
      </c>
      <c r="AQ992" s="104" t="e">
        <f t="shared" si="456"/>
        <v>#N/A</v>
      </c>
      <c r="AR992" s="105" t="str">
        <f t="shared" si="448"/>
        <v/>
      </c>
      <c r="AS992" s="105" t="str">
        <f t="shared" si="449"/>
        <v/>
      </c>
      <c r="AT992" s="108" t="str">
        <f t="shared" si="450"/>
        <v/>
      </c>
      <c r="AU992" s="108" t="str">
        <f t="shared" si="451"/>
        <v/>
      </c>
      <c r="AV992" s="107" t="str">
        <f>IF(ISNUMBER(O992),IF(VLOOKUP($A992,Stand!C:J,8,FALSE)="Short",AT992,AU992),"")</f>
        <v/>
      </c>
      <c r="AW992" s="109" t="str">
        <f t="shared" si="457"/>
        <v/>
      </c>
      <c r="AX992" s="109" t="str">
        <f t="shared" si="458"/>
        <v/>
      </c>
      <c r="AY992" s="112" t="str">
        <f>IF(ISNUMBER(O992),IF(AND(VLOOKUP($D992,Merchantability!$B:$C,2,0)="Yes",$E992&gt;=VLOOKUP($D992,Merchantability!$B:$D,3,0),$E992&lt;=VLOOKUP($D992,Merchantability!$B:$E,4,0)),(AV992*O992)*(1-$H992/100),""),"")</f>
        <v/>
      </c>
      <c r="AZ992" s="116"/>
      <c r="BA992" s="116"/>
      <c r="BB992" s="116"/>
      <c r="BE992" s="62"/>
      <c r="BF992" s="63"/>
    </row>
    <row r="993" spans="1:58" ht="12.75" customHeight="1" x14ac:dyDescent="0.25">
      <c r="A993" s="313"/>
      <c r="B993" s="328"/>
      <c r="C993" s="329"/>
      <c r="D993" s="328"/>
      <c r="E993" s="330"/>
      <c r="F993" s="328"/>
      <c r="G993" s="329"/>
      <c r="H993" s="329"/>
      <c r="I993" s="328"/>
      <c r="J993" s="383"/>
      <c r="K993" s="329"/>
      <c r="L993" s="329"/>
      <c r="M993" s="76"/>
      <c r="N993" s="103" t="str">
        <f>IF(A993="","",VLOOKUP(A993,Stand!C:K,9,0))</f>
        <v/>
      </c>
      <c r="O993" s="104" t="str">
        <f t="shared" si="443"/>
        <v/>
      </c>
      <c r="P993" s="105" t="str">
        <f t="shared" si="444"/>
        <v/>
      </c>
      <c r="Q993" s="105" t="str">
        <f t="shared" si="459"/>
        <v/>
      </c>
      <c r="R993" s="103" t="str">
        <f t="shared" si="445"/>
        <v/>
      </c>
      <c r="S993" s="103" t="str">
        <f t="shared" si="446"/>
        <v/>
      </c>
      <c r="T993" s="106" t="str">
        <f t="shared" si="460"/>
        <v/>
      </c>
      <c r="U993" s="106" t="str">
        <f t="shared" si="461"/>
        <v/>
      </c>
      <c r="V993" s="106" t="str">
        <f t="shared" si="462"/>
        <v/>
      </c>
      <c r="W993" s="105" t="str">
        <f t="shared" si="447"/>
        <v/>
      </c>
      <c r="X993" s="104" t="str">
        <f t="shared" si="452"/>
        <v/>
      </c>
      <c r="Y993" s="104" t="str">
        <f t="array" ref="Y993">IFERROR(IF(ISNUMBER(O993),IF(COUNT(IF(A993=$A$2:$A$2427,IF(D993=$D$2:$D$2427,IF($X$2:$X$2427&gt;0,1))))&gt;0,SUM(IF(A993=$A$2:$A$2427,IF(D993=$D$2:$D$2427,$X$2:$X$2427)))/COUNT(IF(A993=$A$2:$A$2427,IF(D993=$D$2:$D$2427,IF(ISNUMBER($X$2:$X$2427),1)))),0),""),0)</f>
        <v/>
      </c>
      <c r="Z993" s="104" t="str">
        <f>IF(ISNUMBER(O993),IF(I993&gt;0,(10^(VLOOKUP(D993,'Species Codes'!B:C,2,0)+VLOOKUP(D993,'Species Codes'!B:D,3,0)*LOG(E993)+VLOOKUP(D993,'Species Codes'!B:E,4,0)*LOG(I993))),0),"")</f>
        <v/>
      </c>
      <c r="AA993" s="104" t="str">
        <f>IFERROR((VLOOKUP(D993,'Species Codes'!B:G,6,0)*Z993)/2000,"")</f>
        <v/>
      </c>
      <c r="AB993" s="104" t="e">
        <f>IF(Z993&gt;0,((IF(OR(D993="DF",D993="RA")=TRUE,EXP(VLOOKUP(D993,'Species Codes'!B:I,8,0)+VLOOKUP(D993,'Species Codes'!B:J,9,0)*(LN((E993*2.54)))),IF(OR(D993="PY",D993="RC",D993="WH",D993="NF")=TRUE,VLOOKUP(D993,'Species Codes'!B:I,8,0)+VLOOKUP(D993,'Species Codes'!B:J,9,0)*((E993*2.54)^2)*(I993*0.3048),IF(OR(D993="MD",D993="BM",D993="GA")=TRUE,((VLOOKUP(D993,'Species Codes'!B:I,8,0)*(((((E993*2.54)+VLOOKUP(D993,'Species Codes'!B:J,9,0))/VLOOKUP(D993,'Species Codes'!B:K,10,0))^VLOOKUP(D993,'Species Codes'!B:L,11,0))*((I993*0.3048)^VLOOKUP(D993,'Species Codes'!B:M,12,0))))-(VLOOKUP(D993,'Species Codes'!B:I,8,0)*((((E993*2.54)^VLOOKUP(D993,'Species Codes'!B:L,11,0))*((I993*0.3048)^VLOOKUP(D993,'Species Codes'!B:M,12,0))))))*35.3*VLOOKUP(D993,'Species Codes'!B:G,6,0)/2.2046,VLOOKUP(D993,'Species Codes'!B:I,8,0)+VLOOKUP(D993,'Species Codes'!B:J,9,0)*(((E993*2.54)/100)^2)*(I993*0.3048)))))*0.0011023),0)</f>
        <v>#N/A</v>
      </c>
      <c r="AC993" s="104" t="e">
        <f>IF(Z993&gt;0,((IF(OR(D993="RA",D993="OA",D993="OT",D993="UN",D993="PC"),EXP(VLOOKUP(D993,'Species Codes'!B:O,14,0)+VLOOKUP(D993,'Species Codes'!B:P,15,0)*LN((E993*2.54)))-EXP(VLOOKUP(D993,'Species Codes'!B:O,14,0)+VLOOKUP(D993,'Species Codes'!B:P,15,0)*LN((E993*2.54)))*(1/(VLOOKUP(D993,'Species Codes'!B:Q,16,0)+VLOOKUP(D993,'Species Codes'!B:R,17,0)*((E993*2.54)^VLOOKUP(D993,'Species Codes'!B:S,18,0)))),IF(OR(D993="BM",D993="MD",D993="OA"),EXP(VLOOKUP(D993,'Species Codes'!B:O,14,0)+VLOOKUP(D993,'Species Codes'!B:P,15,0)*LN((E993*2.54)))*(1-(1/(VLOOKUP(D993,'Species Codes'!B:Q,16,0)+VLOOKUP(D993,'Species Codes'!B:R,17,0)*((E993*2.54)^VLOOKUP(D993,'Species Codes'!B:S,18,0)))))/1000,IF(D993="DF",EXP(VLOOKUP(D993,'Species Codes'!B:O,14,0)+VLOOKUP(D993,'Species Codes'!B:P,15,0)*LN((E993*2.54))),VLOOKUP(D993,'Species Codes'!B:O,14,0)+VLOOKUP(D993,'Species Codes'!B:P,15,0)*(((E993*2.54)/100)^2)*(I993*0.3048)))))*0.0011023),0)</f>
        <v>#N/A</v>
      </c>
      <c r="AD993" s="104" t="e">
        <f t="shared" si="463"/>
        <v>#N/A</v>
      </c>
      <c r="AE993" s="104" t="e">
        <f t="shared" si="464"/>
        <v>#N/A</v>
      </c>
      <c r="AF993" s="104" t="e">
        <f>IF(AND(VLOOKUP($D993,Merchantability!$B:$C,2,0)="Yes",$E993&gt;=VLOOKUP($D993,Merchantability!$B:$D,3,0),$E993&lt;=VLOOKUP($D993,Merchantability!$B:$E,4,0)),AA993,0)</f>
        <v>#N/A</v>
      </c>
      <c r="AG993" s="104" t="e">
        <f>IF(AND(VLOOKUP($D993,Merchantability!$B:$C,2,0)="Yes",$E993&gt;=VLOOKUP($D993,Merchantability!$B:$D,3,0),$E993&lt;=VLOOKUP($D993,Merchantability!$B:$E,4,0)),AB993,0)</f>
        <v>#N/A</v>
      </c>
      <c r="AH993" s="104" t="e">
        <f>IF(AND(VLOOKUP($D993,Merchantability!$B:$C,2,0)="Yes",$E993&gt;=VLOOKUP($D993,Merchantability!$B:$D,3,0),$E993&lt;=VLOOKUP($D993,Merchantability!$B:$E,4,0)),AC993,0)</f>
        <v>#N/A</v>
      </c>
      <c r="AI993" s="104" t="e">
        <f t="shared" si="465"/>
        <v>#N/A</v>
      </c>
      <c r="AJ993" s="104" t="e">
        <f t="shared" si="466"/>
        <v>#VALUE!</v>
      </c>
      <c r="AK993" s="104" t="e">
        <f t="shared" si="467"/>
        <v>#N/A</v>
      </c>
      <c r="AL993" s="104" t="e">
        <f t="shared" si="468"/>
        <v>#N/A</v>
      </c>
      <c r="AM993" s="104" t="e">
        <f t="shared" si="469"/>
        <v>#N/A</v>
      </c>
      <c r="AN993" s="104" t="e">
        <f t="shared" si="453"/>
        <v>#N/A</v>
      </c>
      <c r="AO993" s="104" t="e">
        <f t="shared" si="454"/>
        <v>#N/A</v>
      </c>
      <c r="AP993" s="104" t="e">
        <f t="shared" si="455"/>
        <v>#N/A</v>
      </c>
      <c r="AQ993" s="104" t="e">
        <f t="shared" si="456"/>
        <v>#N/A</v>
      </c>
      <c r="AR993" s="105" t="str">
        <f t="shared" si="448"/>
        <v/>
      </c>
      <c r="AS993" s="105" t="str">
        <f t="shared" si="449"/>
        <v/>
      </c>
      <c r="AT993" s="108" t="str">
        <f t="shared" si="450"/>
        <v/>
      </c>
      <c r="AU993" s="108" t="str">
        <f t="shared" si="451"/>
        <v/>
      </c>
      <c r="AV993" s="107" t="str">
        <f>IF(ISNUMBER(O993),IF(VLOOKUP($A993,Stand!C:J,8,FALSE)="Short",AT993,AU993),"")</f>
        <v/>
      </c>
      <c r="AW993" s="109" t="str">
        <f t="shared" si="457"/>
        <v/>
      </c>
      <c r="AX993" s="109" t="str">
        <f t="shared" si="458"/>
        <v/>
      </c>
      <c r="AY993" s="112" t="str">
        <f>IF(ISNUMBER(O993),IF(AND(VLOOKUP($D993,Merchantability!$B:$C,2,0)="Yes",$E993&gt;=VLOOKUP($D993,Merchantability!$B:$D,3,0),$E993&lt;=VLOOKUP($D993,Merchantability!$B:$E,4,0)),(AV993*O993)*(1-$H993/100),""),"")</f>
        <v/>
      </c>
      <c r="AZ993" s="116"/>
      <c r="BA993" s="116"/>
      <c r="BB993" s="116"/>
      <c r="BE993" s="62"/>
      <c r="BF993" s="63"/>
    </row>
    <row r="994" spans="1:58" ht="12.75" customHeight="1" x14ac:dyDescent="0.25">
      <c r="A994" s="313"/>
      <c r="B994" s="328"/>
      <c r="C994" s="329"/>
      <c r="D994" s="328"/>
      <c r="E994" s="330"/>
      <c r="F994" s="328"/>
      <c r="G994" s="329"/>
      <c r="H994" s="329"/>
      <c r="I994" s="328"/>
      <c r="J994" s="383"/>
      <c r="K994" s="329"/>
      <c r="L994" s="329"/>
      <c r="M994" s="76"/>
      <c r="N994" s="103" t="str">
        <f>IF(A994="","",VLOOKUP(A994,Stand!C:K,9,0))</f>
        <v/>
      </c>
      <c r="O994" s="104" t="str">
        <f t="shared" si="443"/>
        <v/>
      </c>
      <c r="P994" s="105" t="str">
        <f t="shared" si="444"/>
        <v/>
      </c>
      <c r="Q994" s="105" t="str">
        <f t="shared" si="459"/>
        <v/>
      </c>
      <c r="R994" s="103" t="str">
        <f t="shared" si="445"/>
        <v/>
      </c>
      <c r="S994" s="103" t="str">
        <f t="shared" si="446"/>
        <v/>
      </c>
      <c r="T994" s="106" t="str">
        <f t="shared" si="460"/>
        <v/>
      </c>
      <c r="U994" s="106" t="str">
        <f t="shared" si="461"/>
        <v/>
      </c>
      <c r="V994" s="106" t="str">
        <f t="shared" si="462"/>
        <v/>
      </c>
      <c r="W994" s="105" t="str">
        <f t="shared" si="447"/>
        <v/>
      </c>
      <c r="X994" s="104" t="str">
        <f t="shared" si="452"/>
        <v/>
      </c>
      <c r="Y994" s="104" t="str">
        <f t="array" ref="Y994">IFERROR(IF(ISNUMBER(O994),IF(COUNT(IF(A994=$A$2:$A$2427,IF(D994=$D$2:$D$2427,IF($X$2:$X$2427&gt;0,1))))&gt;0,SUM(IF(A994=$A$2:$A$2427,IF(D994=$D$2:$D$2427,$X$2:$X$2427)))/COUNT(IF(A994=$A$2:$A$2427,IF(D994=$D$2:$D$2427,IF(ISNUMBER($X$2:$X$2427),1)))),0),""),0)</f>
        <v/>
      </c>
      <c r="Z994" s="104" t="str">
        <f>IF(ISNUMBER(O994),IF(I994&gt;0,(10^(VLOOKUP(D994,'Species Codes'!B:C,2,0)+VLOOKUP(D994,'Species Codes'!B:D,3,0)*LOG(E994)+VLOOKUP(D994,'Species Codes'!B:E,4,0)*LOG(I994))),0),"")</f>
        <v/>
      </c>
      <c r="AA994" s="104" t="str">
        <f>IFERROR((VLOOKUP(D994,'Species Codes'!B:G,6,0)*Z994)/2000,"")</f>
        <v/>
      </c>
      <c r="AB994" s="104" t="e">
        <f>IF(Z994&gt;0,((IF(OR(D994="DF",D994="RA")=TRUE,EXP(VLOOKUP(D994,'Species Codes'!B:I,8,0)+VLOOKUP(D994,'Species Codes'!B:J,9,0)*(LN((E994*2.54)))),IF(OR(D994="PY",D994="RC",D994="WH",D994="NF")=TRUE,VLOOKUP(D994,'Species Codes'!B:I,8,0)+VLOOKUP(D994,'Species Codes'!B:J,9,0)*((E994*2.54)^2)*(I994*0.3048),IF(OR(D994="MD",D994="BM",D994="GA")=TRUE,((VLOOKUP(D994,'Species Codes'!B:I,8,0)*(((((E994*2.54)+VLOOKUP(D994,'Species Codes'!B:J,9,0))/VLOOKUP(D994,'Species Codes'!B:K,10,0))^VLOOKUP(D994,'Species Codes'!B:L,11,0))*((I994*0.3048)^VLOOKUP(D994,'Species Codes'!B:M,12,0))))-(VLOOKUP(D994,'Species Codes'!B:I,8,0)*((((E994*2.54)^VLOOKUP(D994,'Species Codes'!B:L,11,0))*((I994*0.3048)^VLOOKUP(D994,'Species Codes'!B:M,12,0))))))*35.3*VLOOKUP(D994,'Species Codes'!B:G,6,0)/2.2046,VLOOKUP(D994,'Species Codes'!B:I,8,0)+VLOOKUP(D994,'Species Codes'!B:J,9,0)*(((E994*2.54)/100)^2)*(I994*0.3048)))))*0.0011023),0)</f>
        <v>#N/A</v>
      </c>
      <c r="AC994" s="104" t="e">
        <f>IF(Z994&gt;0,((IF(OR(D994="RA",D994="OA",D994="OT",D994="UN",D994="PC"),EXP(VLOOKUP(D994,'Species Codes'!B:O,14,0)+VLOOKUP(D994,'Species Codes'!B:P,15,0)*LN((E994*2.54)))-EXP(VLOOKUP(D994,'Species Codes'!B:O,14,0)+VLOOKUP(D994,'Species Codes'!B:P,15,0)*LN((E994*2.54)))*(1/(VLOOKUP(D994,'Species Codes'!B:Q,16,0)+VLOOKUP(D994,'Species Codes'!B:R,17,0)*((E994*2.54)^VLOOKUP(D994,'Species Codes'!B:S,18,0)))),IF(OR(D994="BM",D994="MD",D994="OA"),EXP(VLOOKUP(D994,'Species Codes'!B:O,14,0)+VLOOKUP(D994,'Species Codes'!B:P,15,0)*LN((E994*2.54)))*(1-(1/(VLOOKUP(D994,'Species Codes'!B:Q,16,0)+VLOOKUP(D994,'Species Codes'!B:R,17,0)*((E994*2.54)^VLOOKUP(D994,'Species Codes'!B:S,18,0)))))/1000,IF(D994="DF",EXP(VLOOKUP(D994,'Species Codes'!B:O,14,0)+VLOOKUP(D994,'Species Codes'!B:P,15,0)*LN((E994*2.54))),VLOOKUP(D994,'Species Codes'!B:O,14,0)+VLOOKUP(D994,'Species Codes'!B:P,15,0)*(((E994*2.54)/100)^2)*(I994*0.3048)))))*0.0011023),0)</f>
        <v>#N/A</v>
      </c>
      <c r="AD994" s="104" t="e">
        <f t="shared" si="463"/>
        <v>#N/A</v>
      </c>
      <c r="AE994" s="104" t="e">
        <f t="shared" si="464"/>
        <v>#N/A</v>
      </c>
      <c r="AF994" s="104" t="e">
        <f>IF(AND(VLOOKUP($D994,Merchantability!$B:$C,2,0)="Yes",$E994&gt;=VLOOKUP($D994,Merchantability!$B:$D,3,0),$E994&lt;=VLOOKUP($D994,Merchantability!$B:$E,4,0)),AA994,0)</f>
        <v>#N/A</v>
      </c>
      <c r="AG994" s="104" t="e">
        <f>IF(AND(VLOOKUP($D994,Merchantability!$B:$C,2,0)="Yes",$E994&gt;=VLOOKUP($D994,Merchantability!$B:$D,3,0),$E994&lt;=VLOOKUP($D994,Merchantability!$B:$E,4,0)),AB994,0)</f>
        <v>#N/A</v>
      </c>
      <c r="AH994" s="104" t="e">
        <f>IF(AND(VLOOKUP($D994,Merchantability!$B:$C,2,0)="Yes",$E994&gt;=VLOOKUP($D994,Merchantability!$B:$D,3,0),$E994&lt;=VLOOKUP($D994,Merchantability!$B:$E,4,0)),AC994,0)</f>
        <v>#N/A</v>
      </c>
      <c r="AI994" s="104" t="e">
        <f t="shared" si="465"/>
        <v>#N/A</v>
      </c>
      <c r="AJ994" s="104" t="e">
        <f t="shared" si="466"/>
        <v>#VALUE!</v>
      </c>
      <c r="AK994" s="104" t="e">
        <f t="shared" si="467"/>
        <v>#N/A</v>
      </c>
      <c r="AL994" s="104" t="e">
        <f t="shared" si="468"/>
        <v>#N/A</v>
      </c>
      <c r="AM994" s="104" t="e">
        <f t="shared" si="469"/>
        <v>#N/A</v>
      </c>
      <c r="AN994" s="104" t="e">
        <f t="shared" si="453"/>
        <v>#N/A</v>
      </c>
      <c r="AO994" s="104" t="e">
        <f t="shared" si="454"/>
        <v>#N/A</v>
      </c>
      <c r="AP994" s="104" t="e">
        <f t="shared" si="455"/>
        <v>#N/A</v>
      </c>
      <c r="AQ994" s="104" t="e">
        <f t="shared" si="456"/>
        <v>#N/A</v>
      </c>
      <c r="AR994" s="105" t="str">
        <f t="shared" si="448"/>
        <v/>
      </c>
      <c r="AS994" s="105" t="str">
        <f t="shared" si="449"/>
        <v/>
      </c>
      <c r="AT994" s="108" t="str">
        <f t="shared" si="450"/>
        <v/>
      </c>
      <c r="AU994" s="108" t="str">
        <f t="shared" si="451"/>
        <v/>
      </c>
      <c r="AV994" s="107" t="str">
        <f>IF(ISNUMBER(O994),IF(VLOOKUP($A994,Stand!C:J,8,FALSE)="Short",AT994,AU994),"")</f>
        <v/>
      </c>
      <c r="AW994" s="109" t="str">
        <f t="shared" si="457"/>
        <v/>
      </c>
      <c r="AX994" s="109" t="str">
        <f t="shared" si="458"/>
        <v/>
      </c>
      <c r="AY994" s="112" t="str">
        <f>IF(ISNUMBER(O994),IF(AND(VLOOKUP($D994,Merchantability!$B:$C,2,0)="Yes",$E994&gt;=VLOOKUP($D994,Merchantability!$B:$D,3,0),$E994&lt;=VLOOKUP($D994,Merchantability!$B:$E,4,0)),(AV994*O994)*(1-$H994/100),""),"")</f>
        <v/>
      </c>
      <c r="AZ994" s="116"/>
      <c r="BA994" s="116"/>
      <c r="BB994" s="116"/>
      <c r="BE994" s="62"/>
      <c r="BF994" s="63"/>
    </row>
    <row r="995" spans="1:58" ht="12.75" customHeight="1" x14ac:dyDescent="0.25">
      <c r="A995" s="313"/>
      <c r="B995" s="328"/>
      <c r="C995" s="329"/>
      <c r="D995" s="328"/>
      <c r="E995" s="330"/>
      <c r="F995" s="328"/>
      <c r="G995" s="329"/>
      <c r="H995" s="329"/>
      <c r="I995" s="328"/>
      <c r="J995" s="383"/>
      <c r="K995" s="329"/>
      <c r="L995" s="329"/>
      <c r="M995" s="76"/>
      <c r="N995" s="103" t="str">
        <f>IF(A995="","",VLOOKUP(A995,Stand!C:K,9,0))</f>
        <v/>
      </c>
      <c r="O995" s="104" t="str">
        <f t="shared" si="443"/>
        <v/>
      </c>
      <c r="P995" s="105" t="str">
        <f t="shared" si="444"/>
        <v/>
      </c>
      <c r="Q995" s="105" t="str">
        <f t="shared" si="459"/>
        <v/>
      </c>
      <c r="R995" s="103" t="str">
        <f t="shared" si="445"/>
        <v/>
      </c>
      <c r="S995" s="103" t="str">
        <f t="shared" si="446"/>
        <v/>
      </c>
      <c r="T995" s="106" t="str">
        <f t="shared" si="460"/>
        <v/>
      </c>
      <c r="U995" s="106" t="str">
        <f t="shared" si="461"/>
        <v/>
      </c>
      <c r="V995" s="106" t="str">
        <f t="shared" si="462"/>
        <v/>
      </c>
      <c r="W995" s="105" t="str">
        <f t="shared" si="447"/>
        <v/>
      </c>
      <c r="X995" s="104" t="str">
        <f t="shared" si="452"/>
        <v/>
      </c>
      <c r="Y995" s="104" t="str">
        <f t="array" ref="Y995">IFERROR(IF(ISNUMBER(O995),IF(COUNT(IF(A995=$A$2:$A$2427,IF(D995=$D$2:$D$2427,IF($X$2:$X$2427&gt;0,1))))&gt;0,SUM(IF(A995=$A$2:$A$2427,IF(D995=$D$2:$D$2427,$X$2:$X$2427)))/COUNT(IF(A995=$A$2:$A$2427,IF(D995=$D$2:$D$2427,IF(ISNUMBER($X$2:$X$2427),1)))),0),""),0)</f>
        <v/>
      </c>
      <c r="Z995" s="104" t="str">
        <f>IF(ISNUMBER(O995),IF(I995&gt;0,(10^(VLOOKUP(D995,'Species Codes'!B:C,2,0)+VLOOKUP(D995,'Species Codes'!B:D,3,0)*LOG(E995)+VLOOKUP(D995,'Species Codes'!B:E,4,0)*LOG(I995))),0),"")</f>
        <v/>
      </c>
      <c r="AA995" s="104" t="str">
        <f>IFERROR((VLOOKUP(D995,'Species Codes'!B:G,6,0)*Z995)/2000,"")</f>
        <v/>
      </c>
      <c r="AB995" s="104" t="e">
        <f>IF(Z995&gt;0,((IF(OR(D995="DF",D995="RA")=TRUE,EXP(VLOOKUP(D995,'Species Codes'!B:I,8,0)+VLOOKUP(D995,'Species Codes'!B:J,9,0)*(LN((E995*2.54)))),IF(OR(D995="PY",D995="RC",D995="WH",D995="NF")=TRUE,VLOOKUP(D995,'Species Codes'!B:I,8,0)+VLOOKUP(D995,'Species Codes'!B:J,9,0)*((E995*2.54)^2)*(I995*0.3048),IF(OR(D995="MD",D995="BM",D995="GA")=TRUE,((VLOOKUP(D995,'Species Codes'!B:I,8,0)*(((((E995*2.54)+VLOOKUP(D995,'Species Codes'!B:J,9,0))/VLOOKUP(D995,'Species Codes'!B:K,10,0))^VLOOKUP(D995,'Species Codes'!B:L,11,0))*((I995*0.3048)^VLOOKUP(D995,'Species Codes'!B:M,12,0))))-(VLOOKUP(D995,'Species Codes'!B:I,8,0)*((((E995*2.54)^VLOOKUP(D995,'Species Codes'!B:L,11,0))*((I995*0.3048)^VLOOKUP(D995,'Species Codes'!B:M,12,0))))))*35.3*VLOOKUP(D995,'Species Codes'!B:G,6,0)/2.2046,VLOOKUP(D995,'Species Codes'!B:I,8,0)+VLOOKUP(D995,'Species Codes'!B:J,9,0)*(((E995*2.54)/100)^2)*(I995*0.3048)))))*0.0011023),0)</f>
        <v>#N/A</v>
      </c>
      <c r="AC995" s="104" t="e">
        <f>IF(Z995&gt;0,((IF(OR(D995="RA",D995="OA",D995="OT",D995="UN",D995="PC"),EXP(VLOOKUP(D995,'Species Codes'!B:O,14,0)+VLOOKUP(D995,'Species Codes'!B:P,15,0)*LN((E995*2.54)))-EXP(VLOOKUP(D995,'Species Codes'!B:O,14,0)+VLOOKUP(D995,'Species Codes'!B:P,15,0)*LN((E995*2.54)))*(1/(VLOOKUP(D995,'Species Codes'!B:Q,16,0)+VLOOKUP(D995,'Species Codes'!B:R,17,0)*((E995*2.54)^VLOOKUP(D995,'Species Codes'!B:S,18,0)))),IF(OR(D995="BM",D995="MD",D995="OA"),EXP(VLOOKUP(D995,'Species Codes'!B:O,14,0)+VLOOKUP(D995,'Species Codes'!B:P,15,0)*LN((E995*2.54)))*(1-(1/(VLOOKUP(D995,'Species Codes'!B:Q,16,0)+VLOOKUP(D995,'Species Codes'!B:R,17,0)*((E995*2.54)^VLOOKUP(D995,'Species Codes'!B:S,18,0)))))/1000,IF(D995="DF",EXP(VLOOKUP(D995,'Species Codes'!B:O,14,0)+VLOOKUP(D995,'Species Codes'!B:P,15,0)*LN((E995*2.54))),VLOOKUP(D995,'Species Codes'!B:O,14,0)+VLOOKUP(D995,'Species Codes'!B:P,15,0)*(((E995*2.54)/100)^2)*(I995*0.3048)))))*0.0011023),0)</f>
        <v>#N/A</v>
      </c>
      <c r="AD995" s="104" t="e">
        <f t="shared" si="463"/>
        <v>#N/A</v>
      </c>
      <c r="AE995" s="104" t="e">
        <f t="shared" si="464"/>
        <v>#N/A</v>
      </c>
      <c r="AF995" s="104" t="e">
        <f>IF(AND(VLOOKUP($D995,Merchantability!$B:$C,2,0)="Yes",$E995&gt;=VLOOKUP($D995,Merchantability!$B:$D,3,0),$E995&lt;=VLOOKUP($D995,Merchantability!$B:$E,4,0)),AA995,0)</f>
        <v>#N/A</v>
      </c>
      <c r="AG995" s="104" t="e">
        <f>IF(AND(VLOOKUP($D995,Merchantability!$B:$C,2,0)="Yes",$E995&gt;=VLOOKUP($D995,Merchantability!$B:$D,3,0),$E995&lt;=VLOOKUP($D995,Merchantability!$B:$E,4,0)),AB995,0)</f>
        <v>#N/A</v>
      </c>
      <c r="AH995" s="104" t="e">
        <f>IF(AND(VLOOKUP($D995,Merchantability!$B:$C,2,0)="Yes",$E995&gt;=VLOOKUP($D995,Merchantability!$B:$D,3,0),$E995&lt;=VLOOKUP($D995,Merchantability!$B:$E,4,0)),AC995,0)</f>
        <v>#N/A</v>
      </c>
      <c r="AI995" s="104" t="e">
        <f t="shared" si="465"/>
        <v>#N/A</v>
      </c>
      <c r="AJ995" s="104" t="e">
        <f t="shared" si="466"/>
        <v>#VALUE!</v>
      </c>
      <c r="AK995" s="104" t="e">
        <f t="shared" si="467"/>
        <v>#N/A</v>
      </c>
      <c r="AL995" s="104" t="e">
        <f t="shared" si="468"/>
        <v>#N/A</v>
      </c>
      <c r="AM995" s="104" t="e">
        <f t="shared" si="469"/>
        <v>#N/A</v>
      </c>
      <c r="AN995" s="104" t="e">
        <f t="shared" si="453"/>
        <v>#N/A</v>
      </c>
      <c r="AO995" s="104" t="e">
        <f t="shared" si="454"/>
        <v>#N/A</v>
      </c>
      <c r="AP995" s="104" t="e">
        <f t="shared" si="455"/>
        <v>#N/A</v>
      </c>
      <c r="AQ995" s="104" t="e">
        <f t="shared" si="456"/>
        <v>#N/A</v>
      </c>
      <c r="AR995" s="105" t="str">
        <f t="shared" si="448"/>
        <v/>
      </c>
      <c r="AS995" s="105" t="str">
        <f t="shared" si="449"/>
        <v/>
      </c>
      <c r="AT995" s="108" t="str">
        <f t="shared" si="450"/>
        <v/>
      </c>
      <c r="AU995" s="108" t="str">
        <f t="shared" si="451"/>
        <v/>
      </c>
      <c r="AV995" s="107" t="str">
        <f>IF(ISNUMBER(O995),IF(VLOOKUP($A995,Stand!C:J,8,FALSE)="Short",AT995,AU995),"")</f>
        <v/>
      </c>
      <c r="AW995" s="109" t="str">
        <f t="shared" si="457"/>
        <v/>
      </c>
      <c r="AX995" s="109" t="str">
        <f t="shared" si="458"/>
        <v/>
      </c>
      <c r="AY995" s="112" t="str">
        <f>IF(ISNUMBER(O995),IF(AND(VLOOKUP($D995,Merchantability!$B:$C,2,0)="Yes",$E995&gt;=VLOOKUP($D995,Merchantability!$B:$D,3,0),$E995&lt;=VLOOKUP($D995,Merchantability!$B:$E,4,0)),(AV995*O995)*(1-$H995/100),""),"")</f>
        <v/>
      </c>
      <c r="AZ995" s="116"/>
      <c r="BA995" s="116"/>
      <c r="BB995" s="116"/>
      <c r="BE995" s="62"/>
      <c r="BF995" s="63"/>
    </row>
    <row r="996" spans="1:58" ht="12.75" customHeight="1" x14ac:dyDescent="0.25">
      <c r="A996" s="313"/>
      <c r="B996" s="328"/>
      <c r="C996" s="329"/>
      <c r="D996" s="328"/>
      <c r="E996" s="330"/>
      <c r="F996" s="328"/>
      <c r="G996" s="329"/>
      <c r="H996" s="329"/>
      <c r="I996" s="328"/>
      <c r="J996" s="383"/>
      <c r="K996" s="329"/>
      <c r="L996" s="329"/>
      <c r="M996" s="76"/>
      <c r="N996" s="103" t="str">
        <f>IF(A996="","",VLOOKUP(A996,Stand!C:K,9,0))</f>
        <v/>
      </c>
      <c r="O996" s="104" t="str">
        <f t="shared" si="443"/>
        <v/>
      </c>
      <c r="P996" s="105" t="str">
        <f t="shared" si="444"/>
        <v/>
      </c>
      <c r="Q996" s="105" t="str">
        <f t="shared" si="459"/>
        <v/>
      </c>
      <c r="R996" s="103" t="str">
        <f t="shared" si="445"/>
        <v/>
      </c>
      <c r="S996" s="103" t="str">
        <f t="shared" si="446"/>
        <v/>
      </c>
      <c r="T996" s="106" t="str">
        <f t="shared" si="460"/>
        <v/>
      </c>
      <c r="U996" s="106" t="str">
        <f t="shared" si="461"/>
        <v/>
      </c>
      <c r="V996" s="106" t="str">
        <f t="shared" si="462"/>
        <v/>
      </c>
      <c r="W996" s="105" t="str">
        <f t="shared" si="447"/>
        <v/>
      </c>
      <c r="X996" s="104" t="str">
        <f t="shared" si="452"/>
        <v/>
      </c>
      <c r="Y996" s="104" t="str">
        <f t="array" ref="Y996">IFERROR(IF(ISNUMBER(O996),IF(COUNT(IF(A996=$A$2:$A$2427,IF(D996=$D$2:$D$2427,IF($X$2:$X$2427&gt;0,1))))&gt;0,SUM(IF(A996=$A$2:$A$2427,IF(D996=$D$2:$D$2427,$X$2:$X$2427)))/COUNT(IF(A996=$A$2:$A$2427,IF(D996=$D$2:$D$2427,IF(ISNUMBER($X$2:$X$2427),1)))),0),""),0)</f>
        <v/>
      </c>
      <c r="Z996" s="104" t="str">
        <f>IF(ISNUMBER(O996),IF(I996&gt;0,(10^(VLOOKUP(D996,'Species Codes'!B:C,2,0)+VLOOKUP(D996,'Species Codes'!B:D,3,0)*LOG(E996)+VLOOKUP(D996,'Species Codes'!B:E,4,0)*LOG(I996))),0),"")</f>
        <v/>
      </c>
      <c r="AA996" s="104" t="str">
        <f>IFERROR((VLOOKUP(D996,'Species Codes'!B:G,6,0)*Z996)/2000,"")</f>
        <v/>
      </c>
      <c r="AB996" s="104" t="e">
        <f>IF(Z996&gt;0,((IF(OR(D996="DF",D996="RA")=TRUE,EXP(VLOOKUP(D996,'Species Codes'!B:I,8,0)+VLOOKUP(D996,'Species Codes'!B:J,9,0)*(LN((E996*2.54)))),IF(OR(D996="PY",D996="RC",D996="WH",D996="NF")=TRUE,VLOOKUP(D996,'Species Codes'!B:I,8,0)+VLOOKUP(D996,'Species Codes'!B:J,9,0)*((E996*2.54)^2)*(I996*0.3048),IF(OR(D996="MD",D996="BM",D996="GA")=TRUE,((VLOOKUP(D996,'Species Codes'!B:I,8,0)*(((((E996*2.54)+VLOOKUP(D996,'Species Codes'!B:J,9,0))/VLOOKUP(D996,'Species Codes'!B:K,10,0))^VLOOKUP(D996,'Species Codes'!B:L,11,0))*((I996*0.3048)^VLOOKUP(D996,'Species Codes'!B:M,12,0))))-(VLOOKUP(D996,'Species Codes'!B:I,8,0)*((((E996*2.54)^VLOOKUP(D996,'Species Codes'!B:L,11,0))*((I996*0.3048)^VLOOKUP(D996,'Species Codes'!B:M,12,0))))))*35.3*VLOOKUP(D996,'Species Codes'!B:G,6,0)/2.2046,VLOOKUP(D996,'Species Codes'!B:I,8,0)+VLOOKUP(D996,'Species Codes'!B:J,9,0)*(((E996*2.54)/100)^2)*(I996*0.3048)))))*0.0011023),0)</f>
        <v>#N/A</v>
      </c>
      <c r="AC996" s="104" t="e">
        <f>IF(Z996&gt;0,((IF(OR(D996="RA",D996="OA",D996="OT",D996="UN",D996="PC"),EXP(VLOOKUP(D996,'Species Codes'!B:O,14,0)+VLOOKUP(D996,'Species Codes'!B:P,15,0)*LN((E996*2.54)))-EXP(VLOOKUP(D996,'Species Codes'!B:O,14,0)+VLOOKUP(D996,'Species Codes'!B:P,15,0)*LN((E996*2.54)))*(1/(VLOOKUP(D996,'Species Codes'!B:Q,16,0)+VLOOKUP(D996,'Species Codes'!B:R,17,0)*((E996*2.54)^VLOOKUP(D996,'Species Codes'!B:S,18,0)))),IF(OR(D996="BM",D996="MD",D996="OA"),EXP(VLOOKUP(D996,'Species Codes'!B:O,14,0)+VLOOKUP(D996,'Species Codes'!B:P,15,0)*LN((E996*2.54)))*(1-(1/(VLOOKUP(D996,'Species Codes'!B:Q,16,0)+VLOOKUP(D996,'Species Codes'!B:R,17,0)*((E996*2.54)^VLOOKUP(D996,'Species Codes'!B:S,18,0)))))/1000,IF(D996="DF",EXP(VLOOKUP(D996,'Species Codes'!B:O,14,0)+VLOOKUP(D996,'Species Codes'!B:P,15,0)*LN((E996*2.54))),VLOOKUP(D996,'Species Codes'!B:O,14,0)+VLOOKUP(D996,'Species Codes'!B:P,15,0)*(((E996*2.54)/100)^2)*(I996*0.3048)))))*0.0011023),0)</f>
        <v>#N/A</v>
      </c>
      <c r="AD996" s="104" t="e">
        <f t="shared" si="463"/>
        <v>#N/A</v>
      </c>
      <c r="AE996" s="104" t="e">
        <f t="shared" si="464"/>
        <v>#N/A</v>
      </c>
      <c r="AF996" s="104" t="e">
        <f>IF(AND(VLOOKUP($D996,Merchantability!$B:$C,2,0)="Yes",$E996&gt;=VLOOKUP($D996,Merchantability!$B:$D,3,0),$E996&lt;=VLOOKUP($D996,Merchantability!$B:$E,4,0)),AA996,0)</f>
        <v>#N/A</v>
      </c>
      <c r="AG996" s="104" t="e">
        <f>IF(AND(VLOOKUP($D996,Merchantability!$B:$C,2,0)="Yes",$E996&gt;=VLOOKUP($D996,Merchantability!$B:$D,3,0),$E996&lt;=VLOOKUP($D996,Merchantability!$B:$E,4,0)),AB996,0)</f>
        <v>#N/A</v>
      </c>
      <c r="AH996" s="104" t="e">
        <f>IF(AND(VLOOKUP($D996,Merchantability!$B:$C,2,0)="Yes",$E996&gt;=VLOOKUP($D996,Merchantability!$B:$D,3,0),$E996&lt;=VLOOKUP($D996,Merchantability!$B:$E,4,0)),AC996,0)</f>
        <v>#N/A</v>
      </c>
      <c r="AI996" s="104" t="e">
        <f t="shared" si="465"/>
        <v>#N/A</v>
      </c>
      <c r="AJ996" s="104" t="e">
        <f t="shared" si="466"/>
        <v>#VALUE!</v>
      </c>
      <c r="AK996" s="104" t="e">
        <f t="shared" si="467"/>
        <v>#N/A</v>
      </c>
      <c r="AL996" s="104" t="e">
        <f t="shared" si="468"/>
        <v>#N/A</v>
      </c>
      <c r="AM996" s="104" t="e">
        <f t="shared" si="469"/>
        <v>#N/A</v>
      </c>
      <c r="AN996" s="104" t="e">
        <f t="shared" si="453"/>
        <v>#N/A</v>
      </c>
      <c r="AO996" s="104" t="e">
        <f t="shared" si="454"/>
        <v>#N/A</v>
      </c>
      <c r="AP996" s="104" t="e">
        <f t="shared" si="455"/>
        <v>#N/A</v>
      </c>
      <c r="AQ996" s="104" t="e">
        <f t="shared" si="456"/>
        <v>#N/A</v>
      </c>
      <c r="AR996" s="105" t="str">
        <f t="shared" si="448"/>
        <v/>
      </c>
      <c r="AS996" s="105" t="str">
        <f t="shared" si="449"/>
        <v/>
      </c>
      <c r="AT996" s="108" t="str">
        <f t="shared" si="450"/>
        <v/>
      </c>
      <c r="AU996" s="108" t="str">
        <f t="shared" si="451"/>
        <v/>
      </c>
      <c r="AV996" s="107" t="str">
        <f>IF(ISNUMBER(O996),IF(VLOOKUP($A996,Stand!C:J,8,FALSE)="Short",AT996,AU996),"")</f>
        <v/>
      </c>
      <c r="AW996" s="109" t="str">
        <f t="shared" si="457"/>
        <v/>
      </c>
      <c r="AX996" s="109" t="str">
        <f t="shared" si="458"/>
        <v/>
      </c>
      <c r="AY996" s="112" t="str">
        <f>IF(ISNUMBER(O996),IF(AND(VLOOKUP($D996,Merchantability!$B:$C,2,0)="Yes",$E996&gt;=VLOOKUP($D996,Merchantability!$B:$D,3,0),$E996&lt;=VLOOKUP($D996,Merchantability!$B:$E,4,0)),(AV996*O996)*(1-$H996/100),""),"")</f>
        <v/>
      </c>
      <c r="AZ996" s="116"/>
      <c r="BA996" s="116"/>
      <c r="BB996" s="116"/>
      <c r="BE996" s="62"/>
      <c r="BF996" s="63"/>
    </row>
    <row r="997" spans="1:58" ht="12.75" customHeight="1" x14ac:dyDescent="0.25">
      <c r="A997" s="313"/>
      <c r="B997" s="328"/>
      <c r="C997" s="329"/>
      <c r="D997" s="328"/>
      <c r="E997" s="330"/>
      <c r="F997" s="328"/>
      <c r="G997" s="329"/>
      <c r="H997" s="329"/>
      <c r="I997" s="328"/>
      <c r="J997" s="383"/>
      <c r="K997" s="329"/>
      <c r="L997" s="329"/>
      <c r="M997" s="76"/>
      <c r="N997" s="103" t="str">
        <f>IF(A997="","",VLOOKUP(A997,Stand!C:K,9,0))</f>
        <v/>
      </c>
      <c r="O997" s="104" t="str">
        <f t="shared" si="443"/>
        <v/>
      </c>
      <c r="P997" s="105" t="str">
        <f t="shared" si="444"/>
        <v/>
      </c>
      <c r="Q997" s="105" t="str">
        <f t="shared" si="459"/>
        <v/>
      </c>
      <c r="R997" s="103" t="str">
        <f t="shared" si="445"/>
        <v/>
      </c>
      <c r="S997" s="103" t="str">
        <f t="shared" si="446"/>
        <v/>
      </c>
      <c r="T997" s="106" t="str">
        <f t="shared" si="460"/>
        <v/>
      </c>
      <c r="U997" s="106" t="str">
        <f t="shared" si="461"/>
        <v/>
      </c>
      <c r="V997" s="106" t="str">
        <f t="shared" si="462"/>
        <v/>
      </c>
      <c r="W997" s="105" t="str">
        <f t="shared" si="447"/>
        <v/>
      </c>
      <c r="X997" s="104" t="str">
        <f t="shared" si="452"/>
        <v/>
      </c>
      <c r="Y997" s="104" t="str">
        <f t="array" ref="Y997">IFERROR(IF(ISNUMBER(O997),IF(COUNT(IF(A997=$A$2:$A$2427,IF(D997=$D$2:$D$2427,IF($X$2:$X$2427&gt;0,1))))&gt;0,SUM(IF(A997=$A$2:$A$2427,IF(D997=$D$2:$D$2427,$X$2:$X$2427)))/COUNT(IF(A997=$A$2:$A$2427,IF(D997=$D$2:$D$2427,IF(ISNUMBER($X$2:$X$2427),1)))),0),""),0)</f>
        <v/>
      </c>
      <c r="Z997" s="104" t="str">
        <f>IF(ISNUMBER(O997),IF(I997&gt;0,(10^(VLOOKUP(D997,'Species Codes'!B:C,2,0)+VLOOKUP(D997,'Species Codes'!B:D,3,0)*LOG(E997)+VLOOKUP(D997,'Species Codes'!B:E,4,0)*LOG(I997))),0),"")</f>
        <v/>
      </c>
      <c r="AA997" s="104" t="str">
        <f>IFERROR((VLOOKUP(D997,'Species Codes'!B:G,6,0)*Z997)/2000,"")</f>
        <v/>
      </c>
      <c r="AB997" s="104" t="e">
        <f>IF(Z997&gt;0,((IF(OR(D997="DF",D997="RA")=TRUE,EXP(VLOOKUP(D997,'Species Codes'!B:I,8,0)+VLOOKUP(D997,'Species Codes'!B:J,9,0)*(LN((E997*2.54)))),IF(OR(D997="PY",D997="RC",D997="WH",D997="NF")=TRUE,VLOOKUP(D997,'Species Codes'!B:I,8,0)+VLOOKUP(D997,'Species Codes'!B:J,9,0)*((E997*2.54)^2)*(I997*0.3048),IF(OR(D997="MD",D997="BM",D997="GA")=TRUE,((VLOOKUP(D997,'Species Codes'!B:I,8,0)*(((((E997*2.54)+VLOOKUP(D997,'Species Codes'!B:J,9,0))/VLOOKUP(D997,'Species Codes'!B:K,10,0))^VLOOKUP(D997,'Species Codes'!B:L,11,0))*((I997*0.3048)^VLOOKUP(D997,'Species Codes'!B:M,12,0))))-(VLOOKUP(D997,'Species Codes'!B:I,8,0)*((((E997*2.54)^VLOOKUP(D997,'Species Codes'!B:L,11,0))*((I997*0.3048)^VLOOKUP(D997,'Species Codes'!B:M,12,0))))))*35.3*VLOOKUP(D997,'Species Codes'!B:G,6,0)/2.2046,VLOOKUP(D997,'Species Codes'!B:I,8,0)+VLOOKUP(D997,'Species Codes'!B:J,9,0)*(((E997*2.54)/100)^2)*(I997*0.3048)))))*0.0011023),0)</f>
        <v>#N/A</v>
      </c>
      <c r="AC997" s="104" t="e">
        <f>IF(Z997&gt;0,((IF(OR(D997="RA",D997="OA",D997="OT",D997="UN",D997="PC"),EXP(VLOOKUP(D997,'Species Codes'!B:O,14,0)+VLOOKUP(D997,'Species Codes'!B:P,15,0)*LN((E997*2.54)))-EXP(VLOOKUP(D997,'Species Codes'!B:O,14,0)+VLOOKUP(D997,'Species Codes'!B:P,15,0)*LN((E997*2.54)))*(1/(VLOOKUP(D997,'Species Codes'!B:Q,16,0)+VLOOKUP(D997,'Species Codes'!B:R,17,0)*((E997*2.54)^VLOOKUP(D997,'Species Codes'!B:S,18,0)))),IF(OR(D997="BM",D997="MD",D997="OA"),EXP(VLOOKUP(D997,'Species Codes'!B:O,14,0)+VLOOKUP(D997,'Species Codes'!B:P,15,0)*LN((E997*2.54)))*(1-(1/(VLOOKUP(D997,'Species Codes'!B:Q,16,0)+VLOOKUP(D997,'Species Codes'!B:R,17,0)*((E997*2.54)^VLOOKUP(D997,'Species Codes'!B:S,18,0)))))/1000,IF(D997="DF",EXP(VLOOKUP(D997,'Species Codes'!B:O,14,0)+VLOOKUP(D997,'Species Codes'!B:P,15,0)*LN((E997*2.54))),VLOOKUP(D997,'Species Codes'!B:O,14,0)+VLOOKUP(D997,'Species Codes'!B:P,15,0)*(((E997*2.54)/100)^2)*(I997*0.3048)))))*0.0011023),0)</f>
        <v>#N/A</v>
      </c>
      <c r="AD997" s="104" t="e">
        <f t="shared" si="463"/>
        <v>#N/A</v>
      </c>
      <c r="AE997" s="104" t="e">
        <f t="shared" si="464"/>
        <v>#N/A</v>
      </c>
      <c r="AF997" s="104" t="e">
        <f>IF(AND(VLOOKUP($D997,Merchantability!$B:$C,2,0)="Yes",$E997&gt;=VLOOKUP($D997,Merchantability!$B:$D,3,0),$E997&lt;=VLOOKUP($D997,Merchantability!$B:$E,4,0)),AA997,0)</f>
        <v>#N/A</v>
      </c>
      <c r="AG997" s="104" t="e">
        <f>IF(AND(VLOOKUP($D997,Merchantability!$B:$C,2,0)="Yes",$E997&gt;=VLOOKUP($D997,Merchantability!$B:$D,3,0),$E997&lt;=VLOOKUP($D997,Merchantability!$B:$E,4,0)),AB997,0)</f>
        <v>#N/A</v>
      </c>
      <c r="AH997" s="104" t="e">
        <f>IF(AND(VLOOKUP($D997,Merchantability!$B:$C,2,0)="Yes",$E997&gt;=VLOOKUP($D997,Merchantability!$B:$D,3,0),$E997&lt;=VLOOKUP($D997,Merchantability!$B:$E,4,0)),AC997,0)</f>
        <v>#N/A</v>
      </c>
      <c r="AI997" s="104" t="e">
        <f t="shared" si="465"/>
        <v>#N/A</v>
      </c>
      <c r="AJ997" s="104" t="e">
        <f t="shared" si="466"/>
        <v>#VALUE!</v>
      </c>
      <c r="AK997" s="104" t="e">
        <f t="shared" si="467"/>
        <v>#N/A</v>
      </c>
      <c r="AL997" s="104" t="e">
        <f t="shared" si="468"/>
        <v>#N/A</v>
      </c>
      <c r="AM997" s="104" t="e">
        <f t="shared" si="469"/>
        <v>#N/A</v>
      </c>
      <c r="AN997" s="104" t="e">
        <f t="shared" si="453"/>
        <v>#N/A</v>
      </c>
      <c r="AO997" s="104" t="e">
        <f t="shared" si="454"/>
        <v>#N/A</v>
      </c>
      <c r="AP997" s="104" t="e">
        <f t="shared" si="455"/>
        <v>#N/A</v>
      </c>
      <c r="AQ997" s="104" t="e">
        <f t="shared" si="456"/>
        <v>#N/A</v>
      </c>
      <c r="AR997" s="105" t="str">
        <f t="shared" si="448"/>
        <v/>
      </c>
      <c r="AS997" s="105" t="str">
        <f t="shared" si="449"/>
        <v/>
      </c>
      <c r="AT997" s="108" t="str">
        <f t="shared" si="450"/>
        <v/>
      </c>
      <c r="AU997" s="108" t="str">
        <f t="shared" si="451"/>
        <v/>
      </c>
      <c r="AV997" s="107" t="str">
        <f>IF(ISNUMBER(O997),IF(VLOOKUP($A997,Stand!C:J,8,FALSE)="Short",AT997,AU997),"")</f>
        <v/>
      </c>
      <c r="AW997" s="109" t="str">
        <f t="shared" si="457"/>
        <v/>
      </c>
      <c r="AX997" s="109" t="str">
        <f t="shared" si="458"/>
        <v/>
      </c>
      <c r="AY997" s="112" t="str">
        <f>IF(ISNUMBER(O997),IF(AND(VLOOKUP($D997,Merchantability!$B:$C,2,0)="Yes",$E997&gt;=VLOOKUP($D997,Merchantability!$B:$D,3,0),$E997&lt;=VLOOKUP($D997,Merchantability!$B:$E,4,0)),(AV997*O997)*(1-$H997/100),""),"")</f>
        <v/>
      </c>
      <c r="AZ997" s="116"/>
      <c r="BA997" s="116"/>
      <c r="BB997" s="116"/>
      <c r="BE997" s="62"/>
      <c r="BF997" s="63"/>
    </row>
    <row r="998" spans="1:58" ht="12.75" customHeight="1" x14ac:dyDescent="0.25">
      <c r="A998" s="313"/>
      <c r="B998" s="328"/>
      <c r="C998" s="329"/>
      <c r="D998" s="328"/>
      <c r="E998" s="330"/>
      <c r="F998" s="328"/>
      <c r="G998" s="329"/>
      <c r="H998" s="329"/>
      <c r="I998" s="328"/>
      <c r="J998" s="383"/>
      <c r="K998" s="329"/>
      <c r="L998" s="329"/>
      <c r="M998" s="76"/>
      <c r="N998" s="103" t="str">
        <f>IF(A998="","",VLOOKUP(A998,Stand!C:K,9,0))</f>
        <v/>
      </c>
      <c r="O998" s="104" t="str">
        <f t="shared" si="443"/>
        <v/>
      </c>
      <c r="P998" s="105" t="str">
        <f t="shared" si="444"/>
        <v/>
      </c>
      <c r="Q998" s="105" t="str">
        <f t="shared" si="459"/>
        <v/>
      </c>
      <c r="R998" s="103" t="str">
        <f t="shared" si="445"/>
        <v/>
      </c>
      <c r="S998" s="103" t="str">
        <f t="shared" si="446"/>
        <v/>
      </c>
      <c r="T998" s="106" t="str">
        <f t="shared" si="460"/>
        <v/>
      </c>
      <c r="U998" s="106" t="str">
        <f t="shared" si="461"/>
        <v/>
      </c>
      <c r="V998" s="106" t="str">
        <f t="shared" si="462"/>
        <v/>
      </c>
      <c r="W998" s="105" t="str">
        <f t="shared" si="447"/>
        <v/>
      </c>
      <c r="X998" s="104" t="str">
        <f t="shared" si="452"/>
        <v/>
      </c>
      <c r="Y998" s="104" t="str">
        <f t="array" ref="Y998">IFERROR(IF(ISNUMBER(O998),IF(COUNT(IF(A998=$A$2:$A$2427,IF(D998=$D$2:$D$2427,IF($X$2:$X$2427&gt;0,1))))&gt;0,SUM(IF(A998=$A$2:$A$2427,IF(D998=$D$2:$D$2427,$X$2:$X$2427)))/COUNT(IF(A998=$A$2:$A$2427,IF(D998=$D$2:$D$2427,IF(ISNUMBER($X$2:$X$2427),1)))),0),""),0)</f>
        <v/>
      </c>
      <c r="Z998" s="104" t="str">
        <f>IF(ISNUMBER(O998),IF(I998&gt;0,(10^(VLOOKUP(D998,'Species Codes'!B:C,2,0)+VLOOKUP(D998,'Species Codes'!B:D,3,0)*LOG(E998)+VLOOKUP(D998,'Species Codes'!B:E,4,0)*LOG(I998))),0),"")</f>
        <v/>
      </c>
      <c r="AA998" s="104" t="str">
        <f>IFERROR((VLOOKUP(D998,'Species Codes'!B:G,6,0)*Z998)/2000,"")</f>
        <v/>
      </c>
      <c r="AB998" s="104" t="e">
        <f>IF(Z998&gt;0,((IF(OR(D998="DF",D998="RA")=TRUE,EXP(VLOOKUP(D998,'Species Codes'!B:I,8,0)+VLOOKUP(D998,'Species Codes'!B:J,9,0)*(LN((E998*2.54)))),IF(OR(D998="PY",D998="RC",D998="WH",D998="NF")=TRUE,VLOOKUP(D998,'Species Codes'!B:I,8,0)+VLOOKUP(D998,'Species Codes'!B:J,9,0)*((E998*2.54)^2)*(I998*0.3048),IF(OR(D998="MD",D998="BM",D998="GA")=TRUE,((VLOOKUP(D998,'Species Codes'!B:I,8,0)*(((((E998*2.54)+VLOOKUP(D998,'Species Codes'!B:J,9,0))/VLOOKUP(D998,'Species Codes'!B:K,10,0))^VLOOKUP(D998,'Species Codes'!B:L,11,0))*((I998*0.3048)^VLOOKUP(D998,'Species Codes'!B:M,12,0))))-(VLOOKUP(D998,'Species Codes'!B:I,8,0)*((((E998*2.54)^VLOOKUP(D998,'Species Codes'!B:L,11,0))*((I998*0.3048)^VLOOKUP(D998,'Species Codes'!B:M,12,0))))))*35.3*VLOOKUP(D998,'Species Codes'!B:G,6,0)/2.2046,VLOOKUP(D998,'Species Codes'!B:I,8,0)+VLOOKUP(D998,'Species Codes'!B:J,9,0)*(((E998*2.54)/100)^2)*(I998*0.3048)))))*0.0011023),0)</f>
        <v>#N/A</v>
      </c>
      <c r="AC998" s="104" t="e">
        <f>IF(Z998&gt;0,((IF(OR(D998="RA",D998="OA",D998="OT",D998="UN",D998="PC"),EXP(VLOOKUP(D998,'Species Codes'!B:O,14,0)+VLOOKUP(D998,'Species Codes'!B:P,15,0)*LN((E998*2.54)))-EXP(VLOOKUP(D998,'Species Codes'!B:O,14,0)+VLOOKUP(D998,'Species Codes'!B:P,15,0)*LN((E998*2.54)))*(1/(VLOOKUP(D998,'Species Codes'!B:Q,16,0)+VLOOKUP(D998,'Species Codes'!B:R,17,0)*((E998*2.54)^VLOOKUP(D998,'Species Codes'!B:S,18,0)))),IF(OR(D998="BM",D998="MD",D998="OA"),EXP(VLOOKUP(D998,'Species Codes'!B:O,14,0)+VLOOKUP(D998,'Species Codes'!B:P,15,0)*LN((E998*2.54)))*(1-(1/(VLOOKUP(D998,'Species Codes'!B:Q,16,0)+VLOOKUP(D998,'Species Codes'!B:R,17,0)*((E998*2.54)^VLOOKUP(D998,'Species Codes'!B:S,18,0)))))/1000,IF(D998="DF",EXP(VLOOKUP(D998,'Species Codes'!B:O,14,0)+VLOOKUP(D998,'Species Codes'!B:P,15,0)*LN((E998*2.54))),VLOOKUP(D998,'Species Codes'!B:O,14,0)+VLOOKUP(D998,'Species Codes'!B:P,15,0)*(((E998*2.54)/100)^2)*(I998*0.3048)))))*0.0011023),0)</f>
        <v>#N/A</v>
      </c>
      <c r="AD998" s="104" t="e">
        <f t="shared" si="463"/>
        <v>#N/A</v>
      </c>
      <c r="AE998" s="104" t="e">
        <f t="shared" si="464"/>
        <v>#N/A</v>
      </c>
      <c r="AF998" s="104" t="e">
        <f>IF(AND(VLOOKUP($D998,Merchantability!$B:$C,2,0)="Yes",$E998&gt;=VLOOKUP($D998,Merchantability!$B:$D,3,0),$E998&lt;=VLOOKUP($D998,Merchantability!$B:$E,4,0)),AA998,0)</f>
        <v>#N/A</v>
      </c>
      <c r="AG998" s="104" t="e">
        <f>IF(AND(VLOOKUP($D998,Merchantability!$B:$C,2,0)="Yes",$E998&gt;=VLOOKUP($D998,Merchantability!$B:$D,3,0),$E998&lt;=VLOOKUP($D998,Merchantability!$B:$E,4,0)),AB998,0)</f>
        <v>#N/A</v>
      </c>
      <c r="AH998" s="104" t="e">
        <f>IF(AND(VLOOKUP($D998,Merchantability!$B:$C,2,0)="Yes",$E998&gt;=VLOOKUP($D998,Merchantability!$B:$D,3,0),$E998&lt;=VLOOKUP($D998,Merchantability!$B:$E,4,0)),AC998,0)</f>
        <v>#N/A</v>
      </c>
      <c r="AI998" s="104" t="e">
        <f t="shared" si="465"/>
        <v>#N/A</v>
      </c>
      <c r="AJ998" s="104" t="e">
        <f t="shared" si="466"/>
        <v>#VALUE!</v>
      </c>
      <c r="AK998" s="104" t="e">
        <f t="shared" si="467"/>
        <v>#N/A</v>
      </c>
      <c r="AL998" s="104" t="e">
        <f t="shared" si="468"/>
        <v>#N/A</v>
      </c>
      <c r="AM998" s="104" t="e">
        <f t="shared" si="469"/>
        <v>#N/A</v>
      </c>
      <c r="AN998" s="104" t="e">
        <f t="shared" si="453"/>
        <v>#N/A</v>
      </c>
      <c r="AO998" s="104" t="e">
        <f t="shared" si="454"/>
        <v>#N/A</v>
      </c>
      <c r="AP998" s="104" t="e">
        <f t="shared" si="455"/>
        <v>#N/A</v>
      </c>
      <c r="AQ998" s="104" t="e">
        <f t="shared" si="456"/>
        <v>#N/A</v>
      </c>
      <c r="AR998" s="105" t="str">
        <f t="shared" si="448"/>
        <v/>
      </c>
      <c r="AS998" s="105" t="str">
        <f t="shared" si="449"/>
        <v/>
      </c>
      <c r="AT998" s="108" t="str">
        <f t="shared" si="450"/>
        <v/>
      </c>
      <c r="AU998" s="108" t="str">
        <f t="shared" si="451"/>
        <v/>
      </c>
      <c r="AV998" s="107" t="str">
        <f>IF(ISNUMBER(O998),IF(VLOOKUP($A998,Stand!C:J,8,FALSE)="Short",AT998,AU998),"")</f>
        <v/>
      </c>
      <c r="AW998" s="109" t="str">
        <f t="shared" si="457"/>
        <v/>
      </c>
      <c r="AX998" s="109" t="str">
        <f t="shared" si="458"/>
        <v/>
      </c>
      <c r="AY998" s="112" t="str">
        <f>IF(ISNUMBER(O998),IF(AND(VLOOKUP($D998,Merchantability!$B:$C,2,0)="Yes",$E998&gt;=VLOOKUP($D998,Merchantability!$B:$D,3,0),$E998&lt;=VLOOKUP($D998,Merchantability!$B:$E,4,0)),(AV998*O998)*(1-$H998/100),""),"")</f>
        <v/>
      </c>
      <c r="AZ998" s="116"/>
      <c r="BA998" s="116"/>
      <c r="BB998" s="116"/>
      <c r="BE998" s="62"/>
      <c r="BF998" s="63"/>
    </row>
    <row r="999" spans="1:58" ht="12.75" customHeight="1" x14ac:dyDescent="0.25">
      <c r="A999" s="313"/>
      <c r="B999" s="328"/>
      <c r="C999" s="329"/>
      <c r="D999" s="328"/>
      <c r="E999" s="330"/>
      <c r="F999" s="328"/>
      <c r="G999" s="329"/>
      <c r="H999" s="329"/>
      <c r="I999" s="328"/>
      <c r="J999" s="383"/>
      <c r="K999" s="329"/>
      <c r="L999" s="329"/>
      <c r="M999" s="76"/>
      <c r="N999" s="103" t="str">
        <f>IF(A999="","",VLOOKUP(A999,Stand!C:K,9,0))</f>
        <v/>
      </c>
      <c r="O999" s="104" t="str">
        <f t="shared" si="443"/>
        <v/>
      </c>
      <c r="P999" s="105" t="str">
        <f t="shared" si="444"/>
        <v/>
      </c>
      <c r="Q999" s="105" t="str">
        <f t="shared" si="459"/>
        <v/>
      </c>
      <c r="R999" s="103" t="str">
        <f t="shared" si="445"/>
        <v/>
      </c>
      <c r="S999" s="103" t="str">
        <f t="shared" si="446"/>
        <v/>
      </c>
      <c r="T999" s="106" t="str">
        <f t="shared" si="460"/>
        <v/>
      </c>
      <c r="U999" s="106" t="str">
        <f t="shared" si="461"/>
        <v/>
      </c>
      <c r="V999" s="106" t="str">
        <f t="shared" si="462"/>
        <v/>
      </c>
      <c r="W999" s="105" t="str">
        <f t="shared" si="447"/>
        <v/>
      </c>
      <c r="X999" s="104" t="str">
        <f t="shared" si="452"/>
        <v/>
      </c>
      <c r="Y999" s="104" t="str">
        <f t="array" ref="Y999">IFERROR(IF(ISNUMBER(O999),IF(COUNT(IF(A999=$A$2:$A$2427,IF(D999=$D$2:$D$2427,IF($X$2:$X$2427&gt;0,1))))&gt;0,SUM(IF(A999=$A$2:$A$2427,IF(D999=$D$2:$D$2427,$X$2:$X$2427)))/COUNT(IF(A999=$A$2:$A$2427,IF(D999=$D$2:$D$2427,IF(ISNUMBER($X$2:$X$2427),1)))),0),""),0)</f>
        <v/>
      </c>
      <c r="Z999" s="104" t="str">
        <f>IF(ISNUMBER(O999),IF(I999&gt;0,(10^(VLOOKUP(D999,'Species Codes'!B:C,2,0)+VLOOKUP(D999,'Species Codes'!B:D,3,0)*LOG(E999)+VLOOKUP(D999,'Species Codes'!B:E,4,0)*LOG(I999))),0),"")</f>
        <v/>
      </c>
      <c r="AA999" s="104" t="str">
        <f>IFERROR((VLOOKUP(D999,'Species Codes'!B:G,6,0)*Z999)/2000,"")</f>
        <v/>
      </c>
      <c r="AB999" s="104" t="e">
        <f>IF(Z999&gt;0,((IF(OR(D999="DF",D999="RA")=TRUE,EXP(VLOOKUP(D999,'Species Codes'!B:I,8,0)+VLOOKUP(D999,'Species Codes'!B:J,9,0)*(LN((E999*2.54)))),IF(OR(D999="PY",D999="RC",D999="WH",D999="NF")=TRUE,VLOOKUP(D999,'Species Codes'!B:I,8,0)+VLOOKUP(D999,'Species Codes'!B:J,9,0)*((E999*2.54)^2)*(I999*0.3048),IF(OR(D999="MD",D999="BM",D999="GA")=TRUE,((VLOOKUP(D999,'Species Codes'!B:I,8,0)*(((((E999*2.54)+VLOOKUP(D999,'Species Codes'!B:J,9,0))/VLOOKUP(D999,'Species Codes'!B:K,10,0))^VLOOKUP(D999,'Species Codes'!B:L,11,0))*((I999*0.3048)^VLOOKUP(D999,'Species Codes'!B:M,12,0))))-(VLOOKUP(D999,'Species Codes'!B:I,8,0)*((((E999*2.54)^VLOOKUP(D999,'Species Codes'!B:L,11,0))*((I999*0.3048)^VLOOKUP(D999,'Species Codes'!B:M,12,0))))))*35.3*VLOOKUP(D999,'Species Codes'!B:G,6,0)/2.2046,VLOOKUP(D999,'Species Codes'!B:I,8,0)+VLOOKUP(D999,'Species Codes'!B:J,9,0)*(((E999*2.54)/100)^2)*(I999*0.3048)))))*0.0011023),0)</f>
        <v>#N/A</v>
      </c>
      <c r="AC999" s="104" t="e">
        <f>IF(Z999&gt;0,((IF(OR(D999="RA",D999="OA",D999="OT",D999="UN",D999="PC"),EXP(VLOOKUP(D999,'Species Codes'!B:O,14,0)+VLOOKUP(D999,'Species Codes'!B:P,15,0)*LN((E999*2.54)))-EXP(VLOOKUP(D999,'Species Codes'!B:O,14,0)+VLOOKUP(D999,'Species Codes'!B:P,15,0)*LN((E999*2.54)))*(1/(VLOOKUP(D999,'Species Codes'!B:Q,16,0)+VLOOKUP(D999,'Species Codes'!B:R,17,0)*((E999*2.54)^VLOOKUP(D999,'Species Codes'!B:S,18,0)))),IF(OR(D999="BM",D999="MD",D999="OA"),EXP(VLOOKUP(D999,'Species Codes'!B:O,14,0)+VLOOKUP(D999,'Species Codes'!B:P,15,0)*LN((E999*2.54)))*(1-(1/(VLOOKUP(D999,'Species Codes'!B:Q,16,0)+VLOOKUP(D999,'Species Codes'!B:R,17,0)*((E999*2.54)^VLOOKUP(D999,'Species Codes'!B:S,18,0)))))/1000,IF(D999="DF",EXP(VLOOKUP(D999,'Species Codes'!B:O,14,0)+VLOOKUP(D999,'Species Codes'!B:P,15,0)*LN((E999*2.54))),VLOOKUP(D999,'Species Codes'!B:O,14,0)+VLOOKUP(D999,'Species Codes'!B:P,15,0)*(((E999*2.54)/100)^2)*(I999*0.3048)))))*0.0011023),0)</f>
        <v>#N/A</v>
      </c>
      <c r="AD999" s="104" t="e">
        <f t="shared" si="463"/>
        <v>#N/A</v>
      </c>
      <c r="AE999" s="104" t="e">
        <f t="shared" si="464"/>
        <v>#N/A</v>
      </c>
      <c r="AF999" s="104" t="e">
        <f>IF(AND(VLOOKUP($D999,Merchantability!$B:$C,2,0)="Yes",$E999&gt;=VLOOKUP($D999,Merchantability!$B:$D,3,0),$E999&lt;=VLOOKUP($D999,Merchantability!$B:$E,4,0)),AA999,0)</f>
        <v>#N/A</v>
      </c>
      <c r="AG999" s="104" t="e">
        <f>IF(AND(VLOOKUP($D999,Merchantability!$B:$C,2,0)="Yes",$E999&gt;=VLOOKUP($D999,Merchantability!$B:$D,3,0),$E999&lt;=VLOOKUP($D999,Merchantability!$B:$E,4,0)),AB999,0)</f>
        <v>#N/A</v>
      </c>
      <c r="AH999" s="104" t="e">
        <f>IF(AND(VLOOKUP($D999,Merchantability!$B:$C,2,0)="Yes",$E999&gt;=VLOOKUP($D999,Merchantability!$B:$D,3,0),$E999&lt;=VLOOKUP($D999,Merchantability!$B:$E,4,0)),AC999,0)</f>
        <v>#N/A</v>
      </c>
      <c r="AI999" s="104" t="e">
        <f t="shared" si="465"/>
        <v>#N/A</v>
      </c>
      <c r="AJ999" s="104" t="e">
        <f t="shared" si="466"/>
        <v>#VALUE!</v>
      </c>
      <c r="AK999" s="104" t="e">
        <f t="shared" si="467"/>
        <v>#N/A</v>
      </c>
      <c r="AL999" s="104" t="e">
        <f t="shared" si="468"/>
        <v>#N/A</v>
      </c>
      <c r="AM999" s="104" t="e">
        <f t="shared" si="469"/>
        <v>#N/A</v>
      </c>
      <c r="AN999" s="104" t="e">
        <f t="shared" si="453"/>
        <v>#N/A</v>
      </c>
      <c r="AO999" s="104" t="e">
        <f t="shared" si="454"/>
        <v>#N/A</v>
      </c>
      <c r="AP999" s="104" t="e">
        <f t="shared" si="455"/>
        <v>#N/A</v>
      </c>
      <c r="AQ999" s="104" t="e">
        <f t="shared" si="456"/>
        <v>#N/A</v>
      </c>
      <c r="AR999" s="105" t="str">
        <f t="shared" si="448"/>
        <v/>
      </c>
      <c r="AS999" s="105" t="str">
        <f t="shared" si="449"/>
        <v/>
      </c>
      <c r="AT999" s="108" t="str">
        <f t="shared" si="450"/>
        <v/>
      </c>
      <c r="AU999" s="108" t="str">
        <f t="shared" si="451"/>
        <v/>
      </c>
      <c r="AV999" s="107" t="str">
        <f>IF(ISNUMBER(O999),IF(VLOOKUP($A999,Stand!C:J,8,FALSE)="Short",AT999,AU999),"")</f>
        <v/>
      </c>
      <c r="AW999" s="109" t="str">
        <f t="shared" si="457"/>
        <v/>
      </c>
      <c r="AX999" s="109" t="str">
        <f t="shared" si="458"/>
        <v/>
      </c>
      <c r="AY999" s="112" t="str">
        <f>IF(ISNUMBER(O999),IF(AND(VLOOKUP($D999,Merchantability!$B:$C,2,0)="Yes",$E999&gt;=VLOOKUP($D999,Merchantability!$B:$D,3,0),$E999&lt;=VLOOKUP($D999,Merchantability!$B:$E,4,0)),(AV999*O999)*(1-$H999/100),""),"")</f>
        <v/>
      </c>
      <c r="AZ999" s="116"/>
      <c r="BA999" s="116"/>
      <c r="BB999" s="116"/>
      <c r="BE999" s="62"/>
      <c r="BF999" s="63"/>
    </row>
    <row r="1000" spans="1:58" ht="12.75" customHeight="1" x14ac:dyDescent="0.25">
      <c r="A1000" s="313"/>
      <c r="B1000" s="328"/>
      <c r="C1000" s="329"/>
      <c r="D1000" s="328"/>
      <c r="E1000" s="330"/>
      <c r="F1000" s="328"/>
      <c r="G1000" s="329"/>
      <c r="H1000" s="329"/>
      <c r="I1000" s="328"/>
      <c r="J1000" s="383"/>
      <c r="K1000" s="329"/>
      <c r="L1000" s="329"/>
      <c r="M1000" s="76"/>
      <c r="N1000" s="103" t="str">
        <f>IF(A1000="","",VLOOKUP(A1000,Stand!C:K,9,0))</f>
        <v/>
      </c>
      <c r="O1000" s="104" t="str">
        <f t="shared" si="443"/>
        <v/>
      </c>
      <c r="P1000" s="105" t="str">
        <f t="shared" si="444"/>
        <v/>
      </c>
      <c r="Q1000" s="105" t="str">
        <f t="shared" si="459"/>
        <v/>
      </c>
      <c r="R1000" s="103" t="str">
        <f t="shared" si="445"/>
        <v/>
      </c>
      <c r="S1000" s="103" t="str">
        <f t="shared" si="446"/>
        <v/>
      </c>
      <c r="T1000" s="106" t="str">
        <f t="shared" si="460"/>
        <v/>
      </c>
      <c r="U1000" s="106" t="str">
        <f t="shared" si="461"/>
        <v/>
      </c>
      <c r="V1000" s="106" t="str">
        <f t="shared" si="462"/>
        <v/>
      </c>
      <c r="W1000" s="105" t="str">
        <f t="shared" si="447"/>
        <v/>
      </c>
      <c r="X1000" s="104" t="str">
        <f t="shared" si="452"/>
        <v/>
      </c>
      <c r="Y1000" s="104" t="str">
        <f t="array" ref="Y1000">IFERROR(IF(ISNUMBER(O1000),IF(COUNT(IF(A1000=$A$2:$A$2427,IF(D1000=$D$2:$D$2427,IF($X$2:$X$2427&gt;0,1))))&gt;0,SUM(IF(A1000=$A$2:$A$2427,IF(D1000=$D$2:$D$2427,$X$2:$X$2427)))/COUNT(IF(A1000=$A$2:$A$2427,IF(D1000=$D$2:$D$2427,IF(ISNUMBER($X$2:$X$2427),1)))),0),""),0)</f>
        <v/>
      </c>
      <c r="Z1000" s="104" t="str">
        <f>IF(ISNUMBER(O1000),IF(I1000&gt;0,(10^(VLOOKUP(D1000,'Species Codes'!B:C,2,0)+VLOOKUP(D1000,'Species Codes'!B:D,3,0)*LOG(E1000)+VLOOKUP(D1000,'Species Codes'!B:E,4,0)*LOG(I1000))),0),"")</f>
        <v/>
      </c>
      <c r="AA1000" s="104" t="str">
        <f>IFERROR((VLOOKUP(D1000,'Species Codes'!B:G,6,0)*Z1000)/2000,"")</f>
        <v/>
      </c>
      <c r="AB1000" s="104" t="e">
        <f>IF(Z1000&gt;0,((IF(OR(D1000="DF",D1000="RA")=TRUE,EXP(VLOOKUP(D1000,'Species Codes'!B:I,8,0)+VLOOKUP(D1000,'Species Codes'!B:J,9,0)*(LN((E1000*2.54)))),IF(OR(D1000="PY",D1000="RC",D1000="WH",D1000="NF")=TRUE,VLOOKUP(D1000,'Species Codes'!B:I,8,0)+VLOOKUP(D1000,'Species Codes'!B:J,9,0)*((E1000*2.54)^2)*(I1000*0.3048),IF(OR(D1000="MD",D1000="BM",D1000="GA")=TRUE,((VLOOKUP(D1000,'Species Codes'!B:I,8,0)*(((((E1000*2.54)+VLOOKUP(D1000,'Species Codes'!B:J,9,0))/VLOOKUP(D1000,'Species Codes'!B:K,10,0))^VLOOKUP(D1000,'Species Codes'!B:L,11,0))*((I1000*0.3048)^VLOOKUP(D1000,'Species Codes'!B:M,12,0))))-(VLOOKUP(D1000,'Species Codes'!B:I,8,0)*((((E1000*2.54)^VLOOKUP(D1000,'Species Codes'!B:L,11,0))*((I1000*0.3048)^VLOOKUP(D1000,'Species Codes'!B:M,12,0))))))*35.3*VLOOKUP(D1000,'Species Codes'!B:G,6,0)/2.2046,VLOOKUP(D1000,'Species Codes'!B:I,8,0)+VLOOKUP(D1000,'Species Codes'!B:J,9,0)*(((E1000*2.54)/100)^2)*(I1000*0.3048)))))*0.0011023),0)</f>
        <v>#N/A</v>
      </c>
      <c r="AC1000" s="104" t="e">
        <f>IF(Z1000&gt;0,((IF(OR(D1000="RA",D1000="OA",D1000="OT",D1000="UN",D1000="PC"),EXP(VLOOKUP(D1000,'Species Codes'!B:O,14,0)+VLOOKUP(D1000,'Species Codes'!B:P,15,0)*LN((E1000*2.54)))-EXP(VLOOKUP(D1000,'Species Codes'!B:O,14,0)+VLOOKUP(D1000,'Species Codes'!B:P,15,0)*LN((E1000*2.54)))*(1/(VLOOKUP(D1000,'Species Codes'!B:Q,16,0)+VLOOKUP(D1000,'Species Codes'!B:R,17,0)*((E1000*2.54)^VLOOKUP(D1000,'Species Codes'!B:S,18,0)))),IF(OR(D1000="BM",D1000="MD",D1000="OA"),EXP(VLOOKUP(D1000,'Species Codes'!B:O,14,0)+VLOOKUP(D1000,'Species Codes'!B:P,15,0)*LN((E1000*2.54)))*(1-(1/(VLOOKUP(D1000,'Species Codes'!B:Q,16,0)+VLOOKUP(D1000,'Species Codes'!B:R,17,0)*((E1000*2.54)^VLOOKUP(D1000,'Species Codes'!B:S,18,0)))))/1000,IF(D1000="DF",EXP(VLOOKUP(D1000,'Species Codes'!B:O,14,0)+VLOOKUP(D1000,'Species Codes'!B:P,15,0)*LN((E1000*2.54))),VLOOKUP(D1000,'Species Codes'!B:O,14,0)+VLOOKUP(D1000,'Species Codes'!B:P,15,0)*(((E1000*2.54)/100)^2)*(I1000*0.3048)))))*0.0011023),0)</f>
        <v>#N/A</v>
      </c>
      <c r="AD1000" s="104" t="e">
        <f t="shared" si="463"/>
        <v>#N/A</v>
      </c>
      <c r="AE1000" s="104" t="e">
        <f t="shared" si="464"/>
        <v>#N/A</v>
      </c>
      <c r="AF1000" s="104" t="e">
        <f>IF(AND(VLOOKUP($D1000,Merchantability!$B:$C,2,0)="Yes",$E1000&gt;=VLOOKUP($D1000,Merchantability!$B:$D,3,0),$E1000&lt;=VLOOKUP($D1000,Merchantability!$B:$E,4,0)),AA1000,0)</f>
        <v>#N/A</v>
      </c>
      <c r="AG1000" s="104" t="e">
        <f>IF(AND(VLOOKUP($D1000,Merchantability!$B:$C,2,0)="Yes",$E1000&gt;=VLOOKUP($D1000,Merchantability!$B:$D,3,0),$E1000&lt;=VLOOKUP($D1000,Merchantability!$B:$E,4,0)),AB1000,0)</f>
        <v>#N/A</v>
      </c>
      <c r="AH1000" s="104" t="e">
        <f>IF(AND(VLOOKUP($D1000,Merchantability!$B:$C,2,0)="Yes",$E1000&gt;=VLOOKUP($D1000,Merchantability!$B:$D,3,0),$E1000&lt;=VLOOKUP($D1000,Merchantability!$B:$E,4,0)),AC1000,0)</f>
        <v>#N/A</v>
      </c>
      <c r="AI1000" s="104" t="e">
        <f t="shared" si="465"/>
        <v>#N/A</v>
      </c>
      <c r="AJ1000" s="104" t="e">
        <f t="shared" si="466"/>
        <v>#VALUE!</v>
      </c>
      <c r="AK1000" s="104" t="e">
        <f t="shared" si="467"/>
        <v>#N/A</v>
      </c>
      <c r="AL1000" s="104" t="e">
        <f t="shared" si="468"/>
        <v>#N/A</v>
      </c>
      <c r="AM1000" s="104" t="e">
        <f t="shared" si="469"/>
        <v>#N/A</v>
      </c>
      <c r="AN1000" s="104" t="e">
        <f t="shared" si="453"/>
        <v>#N/A</v>
      </c>
      <c r="AO1000" s="104" t="e">
        <f t="shared" si="454"/>
        <v>#N/A</v>
      </c>
      <c r="AP1000" s="104" t="e">
        <f t="shared" si="455"/>
        <v>#N/A</v>
      </c>
      <c r="AQ1000" s="104" t="e">
        <f t="shared" si="456"/>
        <v>#N/A</v>
      </c>
      <c r="AR1000" s="105" t="str">
        <f t="shared" si="448"/>
        <v/>
      </c>
      <c r="AS1000" s="105" t="str">
        <f t="shared" si="449"/>
        <v/>
      </c>
      <c r="AT1000" s="108" t="str">
        <f t="shared" si="450"/>
        <v/>
      </c>
      <c r="AU1000" s="108" t="str">
        <f t="shared" si="451"/>
        <v/>
      </c>
      <c r="AV1000" s="107" t="str">
        <f>IF(ISNUMBER(O1000),IF(VLOOKUP($A1000,Stand!C:J,8,FALSE)="Short",AT1000,AU1000),"")</f>
        <v/>
      </c>
      <c r="AW1000" s="109" t="str">
        <f t="shared" si="457"/>
        <v/>
      </c>
      <c r="AX1000" s="109" t="str">
        <f t="shared" si="458"/>
        <v/>
      </c>
      <c r="AY1000" s="112" t="str">
        <f>IF(ISNUMBER(O1000),IF(AND(VLOOKUP($D1000,Merchantability!$B:$C,2,0)="Yes",$E1000&gt;=VLOOKUP($D1000,Merchantability!$B:$D,3,0),$E1000&lt;=VLOOKUP($D1000,Merchantability!$B:$E,4,0)),(AV1000*O1000)*(1-$H1000/100),""),"")</f>
        <v/>
      </c>
      <c r="AZ1000" s="116"/>
      <c r="BA1000" s="116"/>
      <c r="BB1000" s="116"/>
      <c r="BE1000" s="62"/>
      <c r="BF1000" s="63"/>
    </row>
    <row r="1001" spans="1:58" ht="12.75" customHeight="1" x14ac:dyDescent="0.25">
      <c r="A1001" s="313"/>
      <c r="B1001" s="328"/>
      <c r="C1001" s="329"/>
      <c r="D1001" s="328"/>
      <c r="E1001" s="330"/>
      <c r="F1001" s="328"/>
      <c r="G1001" s="329"/>
      <c r="H1001" s="329"/>
      <c r="I1001" s="328"/>
      <c r="J1001" s="383"/>
      <c r="K1001" s="329"/>
      <c r="L1001" s="329"/>
      <c r="M1001" s="76"/>
      <c r="N1001" s="103" t="str">
        <f>IF(A1001="","",VLOOKUP(A1001,Stand!C:K,9,0))</f>
        <v/>
      </c>
      <c r="O1001" s="104" t="str">
        <f t="shared" si="443"/>
        <v/>
      </c>
      <c r="P1001" s="105" t="str">
        <f t="shared" si="444"/>
        <v/>
      </c>
      <c r="Q1001" s="105" t="str">
        <f t="shared" si="459"/>
        <v/>
      </c>
      <c r="R1001" s="103" t="str">
        <f t="shared" si="445"/>
        <v/>
      </c>
      <c r="S1001" s="103" t="str">
        <f t="shared" si="446"/>
        <v/>
      </c>
      <c r="T1001" s="106" t="str">
        <f t="shared" si="460"/>
        <v/>
      </c>
      <c r="U1001" s="106" t="str">
        <f t="shared" si="461"/>
        <v/>
      </c>
      <c r="V1001" s="106" t="str">
        <f t="shared" si="462"/>
        <v/>
      </c>
      <c r="W1001" s="105" t="str">
        <f t="shared" si="447"/>
        <v/>
      </c>
      <c r="X1001" s="104" t="str">
        <f t="shared" si="452"/>
        <v/>
      </c>
      <c r="Y1001" s="104" t="str">
        <f t="array" ref="Y1001">IFERROR(IF(ISNUMBER(O1001),IF(COUNT(IF(A1001=$A$2:$A$2427,IF(D1001=$D$2:$D$2427,IF($X$2:$X$2427&gt;0,1))))&gt;0,SUM(IF(A1001=$A$2:$A$2427,IF(D1001=$D$2:$D$2427,$X$2:$X$2427)))/COUNT(IF(A1001=$A$2:$A$2427,IF(D1001=$D$2:$D$2427,IF(ISNUMBER($X$2:$X$2427),1)))),0),""),0)</f>
        <v/>
      </c>
      <c r="Z1001" s="104" t="str">
        <f>IF(ISNUMBER(O1001),IF(I1001&gt;0,(10^(VLOOKUP(D1001,'Species Codes'!B:C,2,0)+VLOOKUP(D1001,'Species Codes'!B:D,3,0)*LOG(E1001)+VLOOKUP(D1001,'Species Codes'!B:E,4,0)*LOG(I1001))),0),"")</f>
        <v/>
      </c>
      <c r="AA1001" s="104" t="str">
        <f>IFERROR((VLOOKUP(D1001,'Species Codes'!B:G,6,0)*Z1001)/2000,"")</f>
        <v/>
      </c>
      <c r="AB1001" s="104" t="e">
        <f>IF(Z1001&gt;0,((IF(OR(D1001="DF",D1001="RA")=TRUE,EXP(VLOOKUP(D1001,'Species Codes'!B:I,8,0)+VLOOKUP(D1001,'Species Codes'!B:J,9,0)*(LN((E1001*2.54)))),IF(OR(D1001="PY",D1001="RC",D1001="WH",D1001="NF")=TRUE,VLOOKUP(D1001,'Species Codes'!B:I,8,0)+VLOOKUP(D1001,'Species Codes'!B:J,9,0)*((E1001*2.54)^2)*(I1001*0.3048),IF(OR(D1001="MD",D1001="BM",D1001="GA")=TRUE,((VLOOKUP(D1001,'Species Codes'!B:I,8,0)*(((((E1001*2.54)+VLOOKUP(D1001,'Species Codes'!B:J,9,0))/VLOOKUP(D1001,'Species Codes'!B:K,10,0))^VLOOKUP(D1001,'Species Codes'!B:L,11,0))*((I1001*0.3048)^VLOOKUP(D1001,'Species Codes'!B:M,12,0))))-(VLOOKUP(D1001,'Species Codes'!B:I,8,0)*((((E1001*2.54)^VLOOKUP(D1001,'Species Codes'!B:L,11,0))*((I1001*0.3048)^VLOOKUP(D1001,'Species Codes'!B:M,12,0))))))*35.3*VLOOKUP(D1001,'Species Codes'!B:G,6,0)/2.2046,VLOOKUP(D1001,'Species Codes'!B:I,8,0)+VLOOKUP(D1001,'Species Codes'!B:J,9,0)*(((E1001*2.54)/100)^2)*(I1001*0.3048)))))*0.0011023),0)</f>
        <v>#N/A</v>
      </c>
      <c r="AC1001" s="104" t="e">
        <f>IF(Z1001&gt;0,((IF(OR(D1001="RA",D1001="OA",D1001="OT",D1001="UN",D1001="PC"),EXP(VLOOKUP(D1001,'Species Codes'!B:O,14,0)+VLOOKUP(D1001,'Species Codes'!B:P,15,0)*LN((E1001*2.54)))-EXP(VLOOKUP(D1001,'Species Codes'!B:O,14,0)+VLOOKUP(D1001,'Species Codes'!B:P,15,0)*LN((E1001*2.54)))*(1/(VLOOKUP(D1001,'Species Codes'!B:Q,16,0)+VLOOKUP(D1001,'Species Codes'!B:R,17,0)*((E1001*2.54)^VLOOKUP(D1001,'Species Codes'!B:S,18,0)))),IF(OR(D1001="BM",D1001="MD",D1001="OA"),EXP(VLOOKUP(D1001,'Species Codes'!B:O,14,0)+VLOOKUP(D1001,'Species Codes'!B:P,15,0)*LN((E1001*2.54)))*(1-(1/(VLOOKUP(D1001,'Species Codes'!B:Q,16,0)+VLOOKUP(D1001,'Species Codes'!B:R,17,0)*((E1001*2.54)^VLOOKUP(D1001,'Species Codes'!B:S,18,0)))))/1000,IF(D1001="DF",EXP(VLOOKUP(D1001,'Species Codes'!B:O,14,0)+VLOOKUP(D1001,'Species Codes'!B:P,15,0)*LN((E1001*2.54))),VLOOKUP(D1001,'Species Codes'!B:O,14,0)+VLOOKUP(D1001,'Species Codes'!B:P,15,0)*(((E1001*2.54)/100)^2)*(I1001*0.3048)))))*0.0011023),0)</f>
        <v>#N/A</v>
      </c>
      <c r="AD1001" s="104" t="e">
        <f t="shared" si="463"/>
        <v>#N/A</v>
      </c>
      <c r="AE1001" s="104" t="e">
        <f t="shared" si="464"/>
        <v>#N/A</v>
      </c>
      <c r="AF1001" s="104" t="e">
        <f>IF(AND(VLOOKUP($D1001,Merchantability!$B:$C,2,0)="Yes",$E1001&gt;=VLOOKUP($D1001,Merchantability!$B:$D,3,0),$E1001&lt;=VLOOKUP($D1001,Merchantability!$B:$E,4,0)),AA1001,0)</f>
        <v>#N/A</v>
      </c>
      <c r="AG1001" s="104" t="e">
        <f>IF(AND(VLOOKUP($D1001,Merchantability!$B:$C,2,0)="Yes",$E1001&gt;=VLOOKUP($D1001,Merchantability!$B:$D,3,0),$E1001&lt;=VLOOKUP($D1001,Merchantability!$B:$E,4,0)),AB1001,0)</f>
        <v>#N/A</v>
      </c>
      <c r="AH1001" s="104" t="e">
        <f>IF(AND(VLOOKUP($D1001,Merchantability!$B:$C,2,0)="Yes",$E1001&gt;=VLOOKUP($D1001,Merchantability!$B:$D,3,0),$E1001&lt;=VLOOKUP($D1001,Merchantability!$B:$E,4,0)),AC1001,0)</f>
        <v>#N/A</v>
      </c>
      <c r="AI1001" s="104" t="e">
        <f t="shared" si="465"/>
        <v>#N/A</v>
      </c>
      <c r="AJ1001" s="104" t="e">
        <f t="shared" si="466"/>
        <v>#VALUE!</v>
      </c>
      <c r="AK1001" s="104" t="e">
        <f t="shared" si="467"/>
        <v>#N/A</v>
      </c>
      <c r="AL1001" s="104" t="e">
        <f t="shared" si="468"/>
        <v>#N/A</v>
      </c>
      <c r="AM1001" s="104" t="e">
        <f t="shared" si="469"/>
        <v>#N/A</v>
      </c>
      <c r="AN1001" s="104" t="e">
        <f t="shared" si="453"/>
        <v>#N/A</v>
      </c>
      <c r="AO1001" s="104" t="e">
        <f t="shared" si="454"/>
        <v>#N/A</v>
      </c>
      <c r="AP1001" s="104" t="e">
        <f t="shared" si="455"/>
        <v>#N/A</v>
      </c>
      <c r="AQ1001" s="104" t="e">
        <f t="shared" si="456"/>
        <v>#N/A</v>
      </c>
      <c r="AR1001" s="105" t="str">
        <f t="shared" si="448"/>
        <v/>
      </c>
      <c r="AS1001" s="105" t="str">
        <f t="shared" si="449"/>
        <v/>
      </c>
      <c r="AT1001" s="108" t="str">
        <f t="shared" si="450"/>
        <v/>
      </c>
      <c r="AU1001" s="108" t="str">
        <f t="shared" si="451"/>
        <v/>
      </c>
      <c r="AV1001" s="107" t="str">
        <f>IF(ISNUMBER(O1001),IF(VLOOKUP($A1001,Stand!C:J,8,FALSE)="Short",AT1001,AU1001),"")</f>
        <v/>
      </c>
      <c r="AW1001" s="109" t="str">
        <f t="shared" si="457"/>
        <v/>
      </c>
      <c r="AX1001" s="109" t="str">
        <f t="shared" si="458"/>
        <v/>
      </c>
      <c r="AY1001" s="112" t="str">
        <f>IF(ISNUMBER(O1001),IF(AND(VLOOKUP($D1001,Merchantability!$B:$C,2,0)="Yes",$E1001&gt;=VLOOKUP($D1001,Merchantability!$B:$D,3,0),$E1001&lt;=VLOOKUP($D1001,Merchantability!$B:$E,4,0)),(AV1001*O1001)*(1-$H1001/100),""),"")</f>
        <v/>
      </c>
      <c r="AZ1001" s="116"/>
      <c r="BA1001" s="116"/>
      <c r="BB1001" s="116"/>
      <c r="BE1001" s="62"/>
      <c r="BF1001" s="63"/>
    </row>
    <row r="1002" spans="1:58" ht="12.75" customHeight="1" x14ac:dyDescent="0.25">
      <c r="A1002" s="313"/>
      <c r="B1002" s="328"/>
      <c r="C1002" s="329"/>
      <c r="D1002" s="328"/>
      <c r="E1002" s="330"/>
      <c r="F1002" s="328"/>
      <c r="G1002" s="329"/>
      <c r="H1002" s="329"/>
      <c r="I1002" s="328"/>
      <c r="J1002" s="383"/>
      <c r="K1002" s="329"/>
      <c r="L1002" s="329"/>
      <c r="M1002" s="76"/>
      <c r="N1002" s="103" t="str">
        <f>IF(A1002="","",VLOOKUP(A1002,Stand!C:K,9,0))</f>
        <v/>
      </c>
      <c r="O1002" s="104" t="str">
        <f t="shared" si="443"/>
        <v/>
      </c>
      <c r="P1002" s="105" t="str">
        <f t="shared" si="444"/>
        <v/>
      </c>
      <c r="Q1002" s="105" t="str">
        <f t="shared" si="459"/>
        <v/>
      </c>
      <c r="R1002" s="103" t="str">
        <f t="shared" si="445"/>
        <v/>
      </c>
      <c r="S1002" s="103" t="str">
        <f t="shared" si="446"/>
        <v/>
      </c>
      <c r="T1002" s="106" t="str">
        <f t="shared" si="460"/>
        <v/>
      </c>
      <c r="U1002" s="106" t="str">
        <f t="shared" si="461"/>
        <v/>
      </c>
      <c r="V1002" s="106" t="str">
        <f t="shared" si="462"/>
        <v/>
      </c>
      <c r="W1002" s="105" t="str">
        <f t="shared" si="447"/>
        <v/>
      </c>
      <c r="X1002" s="104" t="str">
        <f t="shared" si="452"/>
        <v/>
      </c>
      <c r="Y1002" s="104" t="str">
        <f t="array" ref="Y1002">IFERROR(IF(ISNUMBER(O1002),IF(COUNT(IF(A1002=$A$2:$A$2427,IF(D1002=$D$2:$D$2427,IF($X$2:$X$2427&gt;0,1))))&gt;0,SUM(IF(A1002=$A$2:$A$2427,IF(D1002=$D$2:$D$2427,$X$2:$X$2427)))/COUNT(IF(A1002=$A$2:$A$2427,IF(D1002=$D$2:$D$2427,IF(ISNUMBER($X$2:$X$2427),1)))),0),""),0)</f>
        <v/>
      </c>
      <c r="Z1002" s="104" t="str">
        <f>IF(ISNUMBER(O1002),IF(I1002&gt;0,(10^(VLOOKUP(D1002,'Species Codes'!B:C,2,0)+VLOOKUP(D1002,'Species Codes'!B:D,3,0)*LOG(E1002)+VLOOKUP(D1002,'Species Codes'!B:E,4,0)*LOG(I1002))),0),"")</f>
        <v/>
      </c>
      <c r="AA1002" s="104" t="str">
        <f>IFERROR((VLOOKUP(D1002,'Species Codes'!B:G,6,0)*Z1002)/2000,"")</f>
        <v/>
      </c>
      <c r="AB1002" s="104" t="e">
        <f>IF(Z1002&gt;0,((IF(OR(D1002="DF",D1002="RA")=TRUE,EXP(VLOOKUP(D1002,'Species Codes'!B:I,8,0)+VLOOKUP(D1002,'Species Codes'!B:J,9,0)*(LN((E1002*2.54)))),IF(OR(D1002="PY",D1002="RC",D1002="WH",D1002="NF")=TRUE,VLOOKUP(D1002,'Species Codes'!B:I,8,0)+VLOOKUP(D1002,'Species Codes'!B:J,9,0)*((E1002*2.54)^2)*(I1002*0.3048),IF(OR(D1002="MD",D1002="BM",D1002="GA")=TRUE,((VLOOKUP(D1002,'Species Codes'!B:I,8,0)*(((((E1002*2.54)+VLOOKUP(D1002,'Species Codes'!B:J,9,0))/VLOOKUP(D1002,'Species Codes'!B:K,10,0))^VLOOKUP(D1002,'Species Codes'!B:L,11,0))*((I1002*0.3048)^VLOOKUP(D1002,'Species Codes'!B:M,12,0))))-(VLOOKUP(D1002,'Species Codes'!B:I,8,0)*((((E1002*2.54)^VLOOKUP(D1002,'Species Codes'!B:L,11,0))*((I1002*0.3048)^VLOOKUP(D1002,'Species Codes'!B:M,12,0))))))*35.3*VLOOKUP(D1002,'Species Codes'!B:G,6,0)/2.2046,VLOOKUP(D1002,'Species Codes'!B:I,8,0)+VLOOKUP(D1002,'Species Codes'!B:J,9,0)*(((E1002*2.54)/100)^2)*(I1002*0.3048)))))*0.0011023),0)</f>
        <v>#N/A</v>
      </c>
      <c r="AC1002" s="104" t="e">
        <f>IF(Z1002&gt;0,((IF(OR(D1002="RA",D1002="OA",D1002="OT",D1002="UN",D1002="PC"),EXP(VLOOKUP(D1002,'Species Codes'!B:O,14,0)+VLOOKUP(D1002,'Species Codes'!B:P,15,0)*LN((E1002*2.54)))-EXP(VLOOKUP(D1002,'Species Codes'!B:O,14,0)+VLOOKUP(D1002,'Species Codes'!B:P,15,0)*LN((E1002*2.54)))*(1/(VLOOKUP(D1002,'Species Codes'!B:Q,16,0)+VLOOKUP(D1002,'Species Codes'!B:R,17,0)*((E1002*2.54)^VLOOKUP(D1002,'Species Codes'!B:S,18,0)))),IF(OR(D1002="BM",D1002="MD",D1002="OA"),EXP(VLOOKUP(D1002,'Species Codes'!B:O,14,0)+VLOOKUP(D1002,'Species Codes'!B:P,15,0)*LN((E1002*2.54)))*(1-(1/(VLOOKUP(D1002,'Species Codes'!B:Q,16,0)+VLOOKUP(D1002,'Species Codes'!B:R,17,0)*((E1002*2.54)^VLOOKUP(D1002,'Species Codes'!B:S,18,0)))))/1000,IF(D1002="DF",EXP(VLOOKUP(D1002,'Species Codes'!B:O,14,0)+VLOOKUP(D1002,'Species Codes'!B:P,15,0)*LN((E1002*2.54))),VLOOKUP(D1002,'Species Codes'!B:O,14,0)+VLOOKUP(D1002,'Species Codes'!B:P,15,0)*(((E1002*2.54)/100)^2)*(I1002*0.3048)))))*0.0011023),0)</f>
        <v>#N/A</v>
      </c>
      <c r="AD1002" s="104" t="e">
        <f t="shared" si="463"/>
        <v>#N/A</v>
      </c>
      <c r="AE1002" s="104" t="e">
        <f t="shared" si="464"/>
        <v>#N/A</v>
      </c>
      <c r="AF1002" s="104" t="e">
        <f>IF(AND(VLOOKUP($D1002,Merchantability!$B:$C,2,0)="Yes",$E1002&gt;=VLOOKUP($D1002,Merchantability!$B:$D,3,0),$E1002&lt;=VLOOKUP($D1002,Merchantability!$B:$E,4,0)),AA1002,0)</f>
        <v>#N/A</v>
      </c>
      <c r="AG1002" s="104" t="e">
        <f>IF(AND(VLOOKUP($D1002,Merchantability!$B:$C,2,0)="Yes",$E1002&gt;=VLOOKUP($D1002,Merchantability!$B:$D,3,0),$E1002&lt;=VLOOKUP($D1002,Merchantability!$B:$E,4,0)),AB1002,0)</f>
        <v>#N/A</v>
      </c>
      <c r="AH1002" s="104" t="e">
        <f>IF(AND(VLOOKUP($D1002,Merchantability!$B:$C,2,0)="Yes",$E1002&gt;=VLOOKUP($D1002,Merchantability!$B:$D,3,0),$E1002&lt;=VLOOKUP($D1002,Merchantability!$B:$E,4,0)),AC1002,0)</f>
        <v>#N/A</v>
      </c>
      <c r="AI1002" s="104" t="e">
        <f t="shared" si="465"/>
        <v>#N/A</v>
      </c>
      <c r="AJ1002" s="104" t="e">
        <f t="shared" si="466"/>
        <v>#VALUE!</v>
      </c>
      <c r="AK1002" s="104" t="e">
        <f t="shared" si="467"/>
        <v>#N/A</v>
      </c>
      <c r="AL1002" s="104" t="e">
        <f t="shared" si="468"/>
        <v>#N/A</v>
      </c>
      <c r="AM1002" s="104" t="e">
        <f t="shared" si="469"/>
        <v>#N/A</v>
      </c>
      <c r="AN1002" s="104" t="e">
        <f t="shared" si="453"/>
        <v>#N/A</v>
      </c>
      <c r="AO1002" s="104" t="e">
        <f t="shared" si="454"/>
        <v>#N/A</v>
      </c>
      <c r="AP1002" s="104" t="e">
        <f t="shared" si="455"/>
        <v>#N/A</v>
      </c>
      <c r="AQ1002" s="104" t="e">
        <f t="shared" si="456"/>
        <v>#N/A</v>
      </c>
      <c r="AR1002" s="105" t="str">
        <f t="shared" si="448"/>
        <v/>
      </c>
      <c r="AS1002" s="105" t="str">
        <f t="shared" si="449"/>
        <v/>
      </c>
      <c r="AT1002" s="108" t="str">
        <f t="shared" si="450"/>
        <v/>
      </c>
      <c r="AU1002" s="108" t="str">
        <f t="shared" si="451"/>
        <v/>
      </c>
      <c r="AV1002" s="107" t="str">
        <f>IF(ISNUMBER(O1002),IF(VLOOKUP($A1002,Stand!C:J,8,FALSE)="Short",AT1002,AU1002),"")</f>
        <v/>
      </c>
      <c r="AW1002" s="109" t="str">
        <f t="shared" si="457"/>
        <v/>
      </c>
      <c r="AX1002" s="109" t="str">
        <f t="shared" si="458"/>
        <v/>
      </c>
      <c r="AY1002" s="112" t="str">
        <f>IF(ISNUMBER(O1002),IF(AND(VLOOKUP($D1002,Merchantability!$B:$C,2,0)="Yes",$E1002&gt;=VLOOKUP($D1002,Merchantability!$B:$D,3,0),$E1002&lt;=VLOOKUP($D1002,Merchantability!$B:$E,4,0)),(AV1002*O1002)*(1-$H1002/100),""),"")</f>
        <v/>
      </c>
      <c r="AZ1002" s="116"/>
      <c r="BA1002" s="116"/>
      <c r="BB1002" s="116"/>
      <c r="BE1002" s="62"/>
      <c r="BF1002" s="63"/>
    </row>
    <row r="1003" spans="1:58" ht="12.75" customHeight="1" x14ac:dyDescent="0.25">
      <c r="A1003" s="313"/>
      <c r="B1003" s="328"/>
      <c r="C1003" s="329"/>
      <c r="D1003" s="328"/>
      <c r="E1003" s="330"/>
      <c r="F1003" s="328"/>
      <c r="G1003" s="329"/>
      <c r="H1003" s="329"/>
      <c r="I1003" s="328"/>
      <c r="J1003" s="383"/>
      <c r="K1003" s="329"/>
      <c r="L1003" s="329"/>
      <c r="M1003" s="76"/>
      <c r="N1003" s="103" t="str">
        <f>IF(A1003="","",VLOOKUP(A1003,Stand!C:K,9,0))</f>
        <v/>
      </c>
      <c r="O1003" s="104" t="str">
        <f t="shared" si="443"/>
        <v/>
      </c>
      <c r="P1003" s="105" t="str">
        <f t="shared" si="444"/>
        <v/>
      </c>
      <c r="Q1003" s="105" t="str">
        <f t="shared" si="459"/>
        <v/>
      </c>
      <c r="R1003" s="103" t="str">
        <f t="shared" si="445"/>
        <v/>
      </c>
      <c r="S1003" s="103" t="str">
        <f t="shared" si="446"/>
        <v/>
      </c>
      <c r="T1003" s="106" t="str">
        <f t="shared" si="460"/>
        <v/>
      </c>
      <c r="U1003" s="106" t="str">
        <f t="shared" si="461"/>
        <v/>
      </c>
      <c r="V1003" s="106" t="str">
        <f t="shared" si="462"/>
        <v/>
      </c>
      <c r="W1003" s="105" t="str">
        <f t="shared" si="447"/>
        <v/>
      </c>
      <c r="X1003" s="104" t="str">
        <f t="shared" si="452"/>
        <v/>
      </c>
      <c r="Y1003" s="104" t="str">
        <f t="array" ref="Y1003">IFERROR(IF(ISNUMBER(O1003),IF(COUNT(IF(A1003=$A$2:$A$2427,IF(D1003=$D$2:$D$2427,IF($X$2:$X$2427&gt;0,1))))&gt;0,SUM(IF(A1003=$A$2:$A$2427,IF(D1003=$D$2:$D$2427,$X$2:$X$2427)))/COUNT(IF(A1003=$A$2:$A$2427,IF(D1003=$D$2:$D$2427,IF(ISNUMBER($X$2:$X$2427),1)))),0),""),0)</f>
        <v/>
      </c>
      <c r="Z1003" s="104" t="str">
        <f>IF(ISNUMBER(O1003),IF(I1003&gt;0,(10^(VLOOKUP(D1003,'Species Codes'!B:C,2,0)+VLOOKUP(D1003,'Species Codes'!B:D,3,0)*LOG(E1003)+VLOOKUP(D1003,'Species Codes'!B:E,4,0)*LOG(I1003))),0),"")</f>
        <v/>
      </c>
      <c r="AA1003" s="104" t="str">
        <f>IFERROR((VLOOKUP(D1003,'Species Codes'!B:G,6,0)*Z1003)/2000,"")</f>
        <v/>
      </c>
      <c r="AB1003" s="104" t="e">
        <f>IF(Z1003&gt;0,((IF(OR(D1003="DF",D1003="RA")=TRUE,EXP(VLOOKUP(D1003,'Species Codes'!B:I,8,0)+VLOOKUP(D1003,'Species Codes'!B:J,9,0)*(LN((E1003*2.54)))),IF(OR(D1003="PY",D1003="RC",D1003="WH",D1003="NF")=TRUE,VLOOKUP(D1003,'Species Codes'!B:I,8,0)+VLOOKUP(D1003,'Species Codes'!B:J,9,0)*((E1003*2.54)^2)*(I1003*0.3048),IF(OR(D1003="MD",D1003="BM",D1003="GA")=TRUE,((VLOOKUP(D1003,'Species Codes'!B:I,8,0)*(((((E1003*2.54)+VLOOKUP(D1003,'Species Codes'!B:J,9,0))/VLOOKUP(D1003,'Species Codes'!B:K,10,0))^VLOOKUP(D1003,'Species Codes'!B:L,11,0))*((I1003*0.3048)^VLOOKUP(D1003,'Species Codes'!B:M,12,0))))-(VLOOKUP(D1003,'Species Codes'!B:I,8,0)*((((E1003*2.54)^VLOOKUP(D1003,'Species Codes'!B:L,11,0))*((I1003*0.3048)^VLOOKUP(D1003,'Species Codes'!B:M,12,0))))))*35.3*VLOOKUP(D1003,'Species Codes'!B:G,6,0)/2.2046,VLOOKUP(D1003,'Species Codes'!B:I,8,0)+VLOOKUP(D1003,'Species Codes'!B:J,9,0)*(((E1003*2.54)/100)^2)*(I1003*0.3048)))))*0.0011023),0)</f>
        <v>#N/A</v>
      </c>
      <c r="AC1003" s="104" t="e">
        <f>IF(Z1003&gt;0,((IF(OR(D1003="RA",D1003="OA",D1003="OT",D1003="UN",D1003="PC"),EXP(VLOOKUP(D1003,'Species Codes'!B:O,14,0)+VLOOKUP(D1003,'Species Codes'!B:P,15,0)*LN((E1003*2.54)))-EXP(VLOOKUP(D1003,'Species Codes'!B:O,14,0)+VLOOKUP(D1003,'Species Codes'!B:P,15,0)*LN((E1003*2.54)))*(1/(VLOOKUP(D1003,'Species Codes'!B:Q,16,0)+VLOOKUP(D1003,'Species Codes'!B:R,17,0)*((E1003*2.54)^VLOOKUP(D1003,'Species Codes'!B:S,18,0)))),IF(OR(D1003="BM",D1003="MD",D1003="OA"),EXP(VLOOKUP(D1003,'Species Codes'!B:O,14,0)+VLOOKUP(D1003,'Species Codes'!B:P,15,0)*LN((E1003*2.54)))*(1-(1/(VLOOKUP(D1003,'Species Codes'!B:Q,16,0)+VLOOKUP(D1003,'Species Codes'!B:R,17,0)*((E1003*2.54)^VLOOKUP(D1003,'Species Codes'!B:S,18,0)))))/1000,IF(D1003="DF",EXP(VLOOKUP(D1003,'Species Codes'!B:O,14,0)+VLOOKUP(D1003,'Species Codes'!B:P,15,0)*LN((E1003*2.54))),VLOOKUP(D1003,'Species Codes'!B:O,14,0)+VLOOKUP(D1003,'Species Codes'!B:P,15,0)*(((E1003*2.54)/100)^2)*(I1003*0.3048)))))*0.0011023),0)</f>
        <v>#N/A</v>
      </c>
      <c r="AD1003" s="104" t="e">
        <f t="shared" si="463"/>
        <v>#N/A</v>
      </c>
      <c r="AE1003" s="104" t="e">
        <f t="shared" si="464"/>
        <v>#N/A</v>
      </c>
      <c r="AF1003" s="104" t="e">
        <f>IF(AND(VLOOKUP($D1003,Merchantability!$B:$C,2,0)="Yes",$E1003&gt;=VLOOKUP($D1003,Merchantability!$B:$D,3,0),$E1003&lt;=VLOOKUP($D1003,Merchantability!$B:$E,4,0)),AA1003,0)</f>
        <v>#N/A</v>
      </c>
      <c r="AG1003" s="104" t="e">
        <f>IF(AND(VLOOKUP($D1003,Merchantability!$B:$C,2,0)="Yes",$E1003&gt;=VLOOKUP($D1003,Merchantability!$B:$D,3,0),$E1003&lt;=VLOOKUP($D1003,Merchantability!$B:$E,4,0)),AB1003,0)</f>
        <v>#N/A</v>
      </c>
      <c r="AH1003" s="104" t="e">
        <f>IF(AND(VLOOKUP($D1003,Merchantability!$B:$C,2,0)="Yes",$E1003&gt;=VLOOKUP($D1003,Merchantability!$B:$D,3,0),$E1003&lt;=VLOOKUP($D1003,Merchantability!$B:$E,4,0)),AC1003,0)</f>
        <v>#N/A</v>
      </c>
      <c r="AI1003" s="104" t="e">
        <f t="shared" si="465"/>
        <v>#N/A</v>
      </c>
      <c r="AJ1003" s="104" t="e">
        <f t="shared" si="466"/>
        <v>#VALUE!</v>
      </c>
      <c r="AK1003" s="104" t="e">
        <f t="shared" si="467"/>
        <v>#N/A</v>
      </c>
      <c r="AL1003" s="104" t="e">
        <f t="shared" si="468"/>
        <v>#N/A</v>
      </c>
      <c r="AM1003" s="104" t="e">
        <f t="shared" si="469"/>
        <v>#N/A</v>
      </c>
      <c r="AN1003" s="104" t="e">
        <f t="shared" si="453"/>
        <v>#N/A</v>
      </c>
      <c r="AO1003" s="104" t="e">
        <f t="shared" si="454"/>
        <v>#N/A</v>
      </c>
      <c r="AP1003" s="104" t="e">
        <f t="shared" si="455"/>
        <v>#N/A</v>
      </c>
      <c r="AQ1003" s="104" t="e">
        <f t="shared" si="456"/>
        <v>#N/A</v>
      </c>
      <c r="AR1003" s="105" t="str">
        <f t="shared" si="448"/>
        <v/>
      </c>
      <c r="AS1003" s="105" t="str">
        <f t="shared" si="449"/>
        <v/>
      </c>
      <c r="AT1003" s="108" t="str">
        <f t="shared" si="450"/>
        <v/>
      </c>
      <c r="AU1003" s="108" t="str">
        <f t="shared" si="451"/>
        <v/>
      </c>
      <c r="AV1003" s="107" t="str">
        <f>IF(ISNUMBER(O1003),IF(VLOOKUP($A1003,Stand!C:J,8,FALSE)="Short",AT1003,AU1003),"")</f>
        <v/>
      </c>
      <c r="AW1003" s="109" t="str">
        <f t="shared" si="457"/>
        <v/>
      </c>
      <c r="AX1003" s="109" t="str">
        <f t="shared" si="458"/>
        <v/>
      </c>
      <c r="AY1003" s="112" t="str">
        <f>IF(ISNUMBER(O1003),IF(AND(VLOOKUP($D1003,Merchantability!$B:$C,2,0)="Yes",$E1003&gt;=VLOOKUP($D1003,Merchantability!$B:$D,3,0),$E1003&lt;=VLOOKUP($D1003,Merchantability!$B:$E,4,0)),(AV1003*O1003)*(1-$H1003/100),""),"")</f>
        <v/>
      </c>
      <c r="AZ1003" s="116"/>
      <c r="BA1003" s="116"/>
      <c r="BB1003" s="116"/>
      <c r="BE1003" s="62"/>
      <c r="BF1003" s="63"/>
    </row>
    <row r="1004" spans="1:58" ht="12.75" customHeight="1" x14ac:dyDescent="0.25">
      <c r="A1004" s="313"/>
      <c r="B1004" s="328"/>
      <c r="C1004" s="329"/>
      <c r="D1004" s="328"/>
      <c r="E1004" s="330"/>
      <c r="F1004" s="328"/>
      <c r="G1004" s="329"/>
      <c r="H1004" s="329"/>
      <c r="I1004" s="328"/>
      <c r="J1004" s="383"/>
      <c r="K1004" s="329"/>
      <c r="L1004" s="329"/>
      <c r="M1004" s="76"/>
      <c r="N1004" s="103" t="str">
        <f>IF(A1004="","",VLOOKUP(A1004,Stand!C:K,9,0))</f>
        <v/>
      </c>
      <c r="O1004" s="104" t="str">
        <f t="shared" si="443"/>
        <v/>
      </c>
      <c r="P1004" s="105" t="str">
        <f t="shared" si="444"/>
        <v/>
      </c>
      <c r="Q1004" s="105" t="str">
        <f t="shared" si="459"/>
        <v/>
      </c>
      <c r="R1004" s="103" t="str">
        <f t="shared" si="445"/>
        <v/>
      </c>
      <c r="S1004" s="103" t="str">
        <f t="shared" si="446"/>
        <v/>
      </c>
      <c r="T1004" s="106" t="str">
        <f t="shared" si="460"/>
        <v/>
      </c>
      <c r="U1004" s="106" t="str">
        <f t="shared" si="461"/>
        <v/>
      </c>
      <c r="V1004" s="106" t="str">
        <f t="shared" si="462"/>
        <v/>
      </c>
      <c r="W1004" s="105" t="str">
        <f t="shared" si="447"/>
        <v/>
      </c>
      <c r="X1004" s="104" t="str">
        <f t="shared" si="452"/>
        <v/>
      </c>
      <c r="Y1004" s="104" t="str">
        <f t="array" ref="Y1004">IFERROR(IF(ISNUMBER(O1004),IF(COUNT(IF(A1004=$A$2:$A$2427,IF(D1004=$D$2:$D$2427,IF($X$2:$X$2427&gt;0,1))))&gt;0,SUM(IF(A1004=$A$2:$A$2427,IF(D1004=$D$2:$D$2427,$X$2:$X$2427)))/COUNT(IF(A1004=$A$2:$A$2427,IF(D1004=$D$2:$D$2427,IF(ISNUMBER($X$2:$X$2427),1)))),0),""),0)</f>
        <v/>
      </c>
      <c r="Z1004" s="104" t="str">
        <f>IF(ISNUMBER(O1004),IF(I1004&gt;0,(10^(VLOOKUP(D1004,'Species Codes'!B:C,2,0)+VLOOKUP(D1004,'Species Codes'!B:D,3,0)*LOG(E1004)+VLOOKUP(D1004,'Species Codes'!B:E,4,0)*LOG(I1004))),0),"")</f>
        <v/>
      </c>
      <c r="AA1004" s="104" t="str">
        <f>IFERROR((VLOOKUP(D1004,'Species Codes'!B:G,6,0)*Z1004)/2000,"")</f>
        <v/>
      </c>
      <c r="AB1004" s="104" t="e">
        <f>IF(Z1004&gt;0,((IF(OR(D1004="DF",D1004="RA")=TRUE,EXP(VLOOKUP(D1004,'Species Codes'!B:I,8,0)+VLOOKUP(D1004,'Species Codes'!B:J,9,0)*(LN((E1004*2.54)))),IF(OR(D1004="PY",D1004="RC",D1004="WH",D1004="NF")=TRUE,VLOOKUP(D1004,'Species Codes'!B:I,8,0)+VLOOKUP(D1004,'Species Codes'!B:J,9,0)*((E1004*2.54)^2)*(I1004*0.3048),IF(OR(D1004="MD",D1004="BM",D1004="GA")=TRUE,((VLOOKUP(D1004,'Species Codes'!B:I,8,0)*(((((E1004*2.54)+VLOOKUP(D1004,'Species Codes'!B:J,9,0))/VLOOKUP(D1004,'Species Codes'!B:K,10,0))^VLOOKUP(D1004,'Species Codes'!B:L,11,0))*((I1004*0.3048)^VLOOKUP(D1004,'Species Codes'!B:M,12,0))))-(VLOOKUP(D1004,'Species Codes'!B:I,8,0)*((((E1004*2.54)^VLOOKUP(D1004,'Species Codes'!B:L,11,0))*((I1004*0.3048)^VLOOKUP(D1004,'Species Codes'!B:M,12,0))))))*35.3*VLOOKUP(D1004,'Species Codes'!B:G,6,0)/2.2046,VLOOKUP(D1004,'Species Codes'!B:I,8,0)+VLOOKUP(D1004,'Species Codes'!B:J,9,0)*(((E1004*2.54)/100)^2)*(I1004*0.3048)))))*0.0011023),0)</f>
        <v>#N/A</v>
      </c>
      <c r="AC1004" s="104" t="e">
        <f>IF(Z1004&gt;0,((IF(OR(D1004="RA",D1004="OA",D1004="OT",D1004="UN",D1004="PC"),EXP(VLOOKUP(D1004,'Species Codes'!B:O,14,0)+VLOOKUP(D1004,'Species Codes'!B:P,15,0)*LN((E1004*2.54)))-EXP(VLOOKUP(D1004,'Species Codes'!B:O,14,0)+VLOOKUP(D1004,'Species Codes'!B:P,15,0)*LN((E1004*2.54)))*(1/(VLOOKUP(D1004,'Species Codes'!B:Q,16,0)+VLOOKUP(D1004,'Species Codes'!B:R,17,0)*((E1004*2.54)^VLOOKUP(D1004,'Species Codes'!B:S,18,0)))),IF(OR(D1004="BM",D1004="MD",D1004="OA"),EXP(VLOOKUP(D1004,'Species Codes'!B:O,14,0)+VLOOKUP(D1004,'Species Codes'!B:P,15,0)*LN((E1004*2.54)))*(1-(1/(VLOOKUP(D1004,'Species Codes'!B:Q,16,0)+VLOOKUP(D1004,'Species Codes'!B:R,17,0)*((E1004*2.54)^VLOOKUP(D1004,'Species Codes'!B:S,18,0)))))/1000,IF(D1004="DF",EXP(VLOOKUP(D1004,'Species Codes'!B:O,14,0)+VLOOKUP(D1004,'Species Codes'!B:P,15,0)*LN((E1004*2.54))),VLOOKUP(D1004,'Species Codes'!B:O,14,0)+VLOOKUP(D1004,'Species Codes'!B:P,15,0)*(((E1004*2.54)/100)^2)*(I1004*0.3048)))))*0.0011023),0)</f>
        <v>#N/A</v>
      </c>
      <c r="AD1004" s="104" t="e">
        <f t="shared" si="463"/>
        <v>#N/A</v>
      </c>
      <c r="AE1004" s="104" t="e">
        <f t="shared" si="464"/>
        <v>#N/A</v>
      </c>
      <c r="AF1004" s="104" t="e">
        <f>IF(AND(VLOOKUP($D1004,Merchantability!$B:$C,2,0)="Yes",$E1004&gt;=VLOOKUP($D1004,Merchantability!$B:$D,3,0),$E1004&lt;=VLOOKUP($D1004,Merchantability!$B:$E,4,0)),AA1004,0)</f>
        <v>#N/A</v>
      </c>
      <c r="AG1004" s="104" t="e">
        <f>IF(AND(VLOOKUP($D1004,Merchantability!$B:$C,2,0)="Yes",$E1004&gt;=VLOOKUP($D1004,Merchantability!$B:$D,3,0),$E1004&lt;=VLOOKUP($D1004,Merchantability!$B:$E,4,0)),AB1004,0)</f>
        <v>#N/A</v>
      </c>
      <c r="AH1004" s="104" t="e">
        <f>IF(AND(VLOOKUP($D1004,Merchantability!$B:$C,2,0)="Yes",$E1004&gt;=VLOOKUP($D1004,Merchantability!$B:$D,3,0),$E1004&lt;=VLOOKUP($D1004,Merchantability!$B:$E,4,0)),AC1004,0)</f>
        <v>#N/A</v>
      </c>
      <c r="AI1004" s="104" t="e">
        <f t="shared" si="465"/>
        <v>#N/A</v>
      </c>
      <c r="AJ1004" s="104" t="e">
        <f t="shared" si="466"/>
        <v>#VALUE!</v>
      </c>
      <c r="AK1004" s="104" t="e">
        <f t="shared" si="467"/>
        <v>#N/A</v>
      </c>
      <c r="AL1004" s="104" t="e">
        <f t="shared" si="468"/>
        <v>#N/A</v>
      </c>
      <c r="AM1004" s="104" t="e">
        <f t="shared" si="469"/>
        <v>#N/A</v>
      </c>
      <c r="AN1004" s="104" t="e">
        <f t="shared" si="453"/>
        <v>#N/A</v>
      </c>
      <c r="AO1004" s="104" t="e">
        <f t="shared" si="454"/>
        <v>#N/A</v>
      </c>
      <c r="AP1004" s="104" t="e">
        <f t="shared" si="455"/>
        <v>#N/A</v>
      </c>
      <c r="AQ1004" s="104" t="e">
        <f t="shared" si="456"/>
        <v>#N/A</v>
      </c>
      <c r="AR1004" s="105" t="str">
        <f t="shared" si="448"/>
        <v/>
      </c>
      <c r="AS1004" s="105" t="str">
        <f t="shared" si="449"/>
        <v/>
      </c>
      <c r="AT1004" s="108" t="str">
        <f t="shared" si="450"/>
        <v/>
      </c>
      <c r="AU1004" s="108" t="str">
        <f t="shared" si="451"/>
        <v/>
      </c>
      <c r="AV1004" s="107" t="str">
        <f>IF(ISNUMBER(O1004),IF(VLOOKUP($A1004,Stand!C:J,8,FALSE)="Short",AT1004,AU1004),"")</f>
        <v/>
      </c>
      <c r="AW1004" s="109" t="str">
        <f t="shared" si="457"/>
        <v/>
      </c>
      <c r="AX1004" s="109" t="str">
        <f t="shared" si="458"/>
        <v/>
      </c>
      <c r="AY1004" s="112" t="str">
        <f>IF(ISNUMBER(O1004),IF(AND(VLOOKUP($D1004,Merchantability!$B:$C,2,0)="Yes",$E1004&gt;=VLOOKUP($D1004,Merchantability!$B:$D,3,0),$E1004&lt;=VLOOKUP($D1004,Merchantability!$B:$E,4,0)),(AV1004*O1004)*(1-$H1004/100),""),"")</f>
        <v/>
      </c>
      <c r="AZ1004" s="116"/>
      <c r="BA1004" s="116"/>
      <c r="BB1004" s="116"/>
      <c r="BE1004" s="62"/>
      <c r="BF1004" s="63"/>
    </row>
    <row r="1005" spans="1:58" ht="12.75" customHeight="1" x14ac:dyDescent="0.25">
      <c r="A1005" s="313"/>
      <c r="B1005" s="328"/>
      <c r="C1005" s="329"/>
      <c r="D1005" s="328"/>
      <c r="E1005" s="330"/>
      <c r="F1005" s="328"/>
      <c r="G1005" s="329"/>
      <c r="H1005" s="329"/>
      <c r="I1005" s="328"/>
      <c r="J1005" s="383"/>
      <c r="K1005" s="329"/>
      <c r="L1005" s="329"/>
      <c r="M1005" s="76"/>
      <c r="N1005" s="103" t="str">
        <f>IF(A1005="","",VLOOKUP(A1005,Stand!C:K,9,0))</f>
        <v/>
      </c>
      <c r="O1005" s="104" t="str">
        <f t="shared" si="443"/>
        <v/>
      </c>
      <c r="P1005" s="105" t="str">
        <f t="shared" si="444"/>
        <v/>
      </c>
      <c r="Q1005" s="105" t="str">
        <f t="shared" si="459"/>
        <v/>
      </c>
      <c r="R1005" s="103" t="str">
        <f t="shared" si="445"/>
        <v/>
      </c>
      <c r="S1005" s="103" t="str">
        <f t="shared" si="446"/>
        <v/>
      </c>
      <c r="T1005" s="106" t="str">
        <f t="shared" si="460"/>
        <v/>
      </c>
      <c r="U1005" s="106" t="str">
        <f t="shared" si="461"/>
        <v/>
      </c>
      <c r="V1005" s="106" t="str">
        <f t="shared" si="462"/>
        <v/>
      </c>
      <c r="W1005" s="105" t="str">
        <f t="shared" si="447"/>
        <v/>
      </c>
      <c r="X1005" s="104" t="str">
        <f t="shared" si="452"/>
        <v/>
      </c>
      <c r="Y1005" s="104" t="str">
        <f t="array" ref="Y1005">IFERROR(IF(ISNUMBER(O1005),IF(COUNT(IF(A1005=$A$2:$A$2427,IF(D1005=$D$2:$D$2427,IF($X$2:$X$2427&gt;0,1))))&gt;0,SUM(IF(A1005=$A$2:$A$2427,IF(D1005=$D$2:$D$2427,$X$2:$X$2427)))/COUNT(IF(A1005=$A$2:$A$2427,IF(D1005=$D$2:$D$2427,IF(ISNUMBER($X$2:$X$2427),1)))),0),""),0)</f>
        <v/>
      </c>
      <c r="Z1005" s="104" t="str">
        <f>IF(ISNUMBER(O1005),IF(I1005&gt;0,(10^(VLOOKUP(D1005,'Species Codes'!B:C,2,0)+VLOOKUP(D1005,'Species Codes'!B:D,3,0)*LOG(E1005)+VLOOKUP(D1005,'Species Codes'!B:E,4,0)*LOG(I1005))),0),"")</f>
        <v/>
      </c>
      <c r="AA1005" s="104" t="str">
        <f>IFERROR((VLOOKUP(D1005,'Species Codes'!B:G,6,0)*Z1005)/2000,"")</f>
        <v/>
      </c>
      <c r="AB1005" s="104" t="e">
        <f>IF(Z1005&gt;0,((IF(OR(D1005="DF",D1005="RA")=TRUE,EXP(VLOOKUP(D1005,'Species Codes'!B:I,8,0)+VLOOKUP(D1005,'Species Codes'!B:J,9,0)*(LN((E1005*2.54)))),IF(OR(D1005="PY",D1005="RC",D1005="WH",D1005="NF")=TRUE,VLOOKUP(D1005,'Species Codes'!B:I,8,0)+VLOOKUP(D1005,'Species Codes'!B:J,9,0)*((E1005*2.54)^2)*(I1005*0.3048),IF(OR(D1005="MD",D1005="BM",D1005="GA")=TRUE,((VLOOKUP(D1005,'Species Codes'!B:I,8,0)*(((((E1005*2.54)+VLOOKUP(D1005,'Species Codes'!B:J,9,0))/VLOOKUP(D1005,'Species Codes'!B:K,10,0))^VLOOKUP(D1005,'Species Codes'!B:L,11,0))*((I1005*0.3048)^VLOOKUP(D1005,'Species Codes'!B:M,12,0))))-(VLOOKUP(D1005,'Species Codes'!B:I,8,0)*((((E1005*2.54)^VLOOKUP(D1005,'Species Codes'!B:L,11,0))*((I1005*0.3048)^VLOOKUP(D1005,'Species Codes'!B:M,12,0))))))*35.3*VLOOKUP(D1005,'Species Codes'!B:G,6,0)/2.2046,VLOOKUP(D1005,'Species Codes'!B:I,8,0)+VLOOKUP(D1005,'Species Codes'!B:J,9,0)*(((E1005*2.54)/100)^2)*(I1005*0.3048)))))*0.0011023),0)</f>
        <v>#N/A</v>
      </c>
      <c r="AC1005" s="104" t="e">
        <f>IF(Z1005&gt;0,((IF(OR(D1005="RA",D1005="OA",D1005="OT",D1005="UN",D1005="PC"),EXP(VLOOKUP(D1005,'Species Codes'!B:O,14,0)+VLOOKUP(D1005,'Species Codes'!B:P,15,0)*LN((E1005*2.54)))-EXP(VLOOKUP(D1005,'Species Codes'!B:O,14,0)+VLOOKUP(D1005,'Species Codes'!B:P,15,0)*LN((E1005*2.54)))*(1/(VLOOKUP(D1005,'Species Codes'!B:Q,16,0)+VLOOKUP(D1005,'Species Codes'!B:R,17,0)*((E1005*2.54)^VLOOKUP(D1005,'Species Codes'!B:S,18,0)))),IF(OR(D1005="BM",D1005="MD",D1005="OA"),EXP(VLOOKUP(D1005,'Species Codes'!B:O,14,0)+VLOOKUP(D1005,'Species Codes'!B:P,15,0)*LN((E1005*2.54)))*(1-(1/(VLOOKUP(D1005,'Species Codes'!B:Q,16,0)+VLOOKUP(D1005,'Species Codes'!B:R,17,0)*((E1005*2.54)^VLOOKUP(D1005,'Species Codes'!B:S,18,0)))))/1000,IF(D1005="DF",EXP(VLOOKUP(D1005,'Species Codes'!B:O,14,0)+VLOOKUP(D1005,'Species Codes'!B:P,15,0)*LN((E1005*2.54))),VLOOKUP(D1005,'Species Codes'!B:O,14,0)+VLOOKUP(D1005,'Species Codes'!B:P,15,0)*(((E1005*2.54)/100)^2)*(I1005*0.3048)))))*0.0011023),0)</f>
        <v>#N/A</v>
      </c>
      <c r="AD1005" s="104" t="e">
        <f t="shared" si="463"/>
        <v>#N/A</v>
      </c>
      <c r="AE1005" s="104" t="e">
        <f t="shared" si="464"/>
        <v>#N/A</v>
      </c>
      <c r="AF1005" s="104" t="e">
        <f>IF(AND(VLOOKUP($D1005,Merchantability!$B:$C,2,0)="Yes",$E1005&gt;=VLOOKUP($D1005,Merchantability!$B:$D,3,0),$E1005&lt;=VLOOKUP($D1005,Merchantability!$B:$E,4,0)),AA1005,0)</f>
        <v>#N/A</v>
      </c>
      <c r="AG1005" s="104" t="e">
        <f>IF(AND(VLOOKUP($D1005,Merchantability!$B:$C,2,0)="Yes",$E1005&gt;=VLOOKUP($D1005,Merchantability!$B:$D,3,0),$E1005&lt;=VLOOKUP($D1005,Merchantability!$B:$E,4,0)),AB1005,0)</f>
        <v>#N/A</v>
      </c>
      <c r="AH1005" s="104" t="e">
        <f>IF(AND(VLOOKUP($D1005,Merchantability!$B:$C,2,0)="Yes",$E1005&gt;=VLOOKUP($D1005,Merchantability!$B:$D,3,0),$E1005&lt;=VLOOKUP($D1005,Merchantability!$B:$E,4,0)),AC1005,0)</f>
        <v>#N/A</v>
      </c>
      <c r="AI1005" s="104" t="e">
        <f t="shared" si="465"/>
        <v>#N/A</v>
      </c>
      <c r="AJ1005" s="104" t="e">
        <f t="shared" si="466"/>
        <v>#VALUE!</v>
      </c>
      <c r="AK1005" s="104" t="e">
        <f t="shared" si="467"/>
        <v>#N/A</v>
      </c>
      <c r="AL1005" s="104" t="e">
        <f t="shared" si="468"/>
        <v>#N/A</v>
      </c>
      <c r="AM1005" s="104" t="e">
        <f t="shared" si="469"/>
        <v>#N/A</v>
      </c>
      <c r="AN1005" s="104" t="e">
        <f t="shared" si="453"/>
        <v>#N/A</v>
      </c>
      <c r="AO1005" s="104" t="e">
        <f t="shared" si="454"/>
        <v>#N/A</v>
      </c>
      <c r="AP1005" s="104" t="e">
        <f t="shared" si="455"/>
        <v>#N/A</v>
      </c>
      <c r="AQ1005" s="104" t="e">
        <f t="shared" si="456"/>
        <v>#N/A</v>
      </c>
      <c r="AR1005" s="105" t="str">
        <f t="shared" si="448"/>
        <v/>
      </c>
      <c r="AS1005" s="105" t="str">
        <f t="shared" si="449"/>
        <v/>
      </c>
      <c r="AT1005" s="108" t="str">
        <f t="shared" si="450"/>
        <v/>
      </c>
      <c r="AU1005" s="108" t="str">
        <f t="shared" si="451"/>
        <v/>
      </c>
      <c r="AV1005" s="107" t="str">
        <f>IF(ISNUMBER(O1005),IF(VLOOKUP($A1005,Stand!C:J,8,FALSE)="Short",AT1005,AU1005),"")</f>
        <v/>
      </c>
      <c r="AW1005" s="109" t="str">
        <f t="shared" si="457"/>
        <v/>
      </c>
      <c r="AX1005" s="109" t="str">
        <f t="shared" si="458"/>
        <v/>
      </c>
      <c r="AY1005" s="112" t="str">
        <f>IF(ISNUMBER(O1005),IF(AND(VLOOKUP($D1005,Merchantability!$B:$C,2,0)="Yes",$E1005&gt;=VLOOKUP($D1005,Merchantability!$B:$D,3,0),$E1005&lt;=VLOOKUP($D1005,Merchantability!$B:$E,4,0)),(AV1005*O1005)*(1-$H1005/100),""),"")</f>
        <v/>
      </c>
      <c r="AZ1005" s="116"/>
      <c r="BA1005" s="116"/>
      <c r="BB1005" s="116"/>
      <c r="BE1005" s="62"/>
      <c r="BF1005" s="63"/>
    </row>
    <row r="1006" spans="1:58" ht="12.75" customHeight="1" x14ac:dyDescent="0.25">
      <c r="A1006" s="313"/>
      <c r="B1006" s="328"/>
      <c r="C1006" s="329"/>
      <c r="D1006" s="328"/>
      <c r="E1006" s="330"/>
      <c r="F1006" s="328"/>
      <c r="G1006" s="329"/>
      <c r="H1006" s="329"/>
      <c r="I1006" s="328"/>
      <c r="J1006" s="383"/>
      <c r="K1006" s="329"/>
      <c r="L1006" s="329"/>
      <c r="M1006" s="76"/>
      <c r="N1006" s="103" t="str">
        <f>IF(A1006="","",VLOOKUP(A1006,Stand!C:K,9,0))</f>
        <v/>
      </c>
      <c r="O1006" s="104" t="str">
        <f t="shared" si="443"/>
        <v/>
      </c>
      <c r="P1006" s="105" t="str">
        <f t="shared" si="444"/>
        <v/>
      </c>
      <c r="Q1006" s="105" t="str">
        <f t="shared" si="459"/>
        <v/>
      </c>
      <c r="R1006" s="103" t="str">
        <f t="shared" si="445"/>
        <v/>
      </c>
      <c r="S1006" s="103" t="str">
        <f t="shared" si="446"/>
        <v/>
      </c>
      <c r="T1006" s="106" t="str">
        <f t="shared" si="460"/>
        <v/>
      </c>
      <c r="U1006" s="106" t="str">
        <f t="shared" si="461"/>
        <v/>
      </c>
      <c r="V1006" s="106" t="str">
        <f t="shared" si="462"/>
        <v/>
      </c>
      <c r="W1006" s="105" t="str">
        <f t="shared" si="447"/>
        <v/>
      </c>
      <c r="X1006" s="104" t="str">
        <f t="shared" si="452"/>
        <v/>
      </c>
      <c r="Y1006" s="104" t="str">
        <f t="array" ref="Y1006">IFERROR(IF(ISNUMBER(O1006),IF(COUNT(IF(A1006=$A$2:$A$2427,IF(D1006=$D$2:$D$2427,IF($X$2:$X$2427&gt;0,1))))&gt;0,SUM(IF(A1006=$A$2:$A$2427,IF(D1006=$D$2:$D$2427,$X$2:$X$2427)))/COUNT(IF(A1006=$A$2:$A$2427,IF(D1006=$D$2:$D$2427,IF(ISNUMBER($X$2:$X$2427),1)))),0),""),0)</f>
        <v/>
      </c>
      <c r="Z1006" s="104" t="str">
        <f>IF(ISNUMBER(O1006),IF(I1006&gt;0,(10^(VLOOKUP(D1006,'Species Codes'!B:C,2,0)+VLOOKUP(D1006,'Species Codes'!B:D,3,0)*LOG(E1006)+VLOOKUP(D1006,'Species Codes'!B:E,4,0)*LOG(I1006))),0),"")</f>
        <v/>
      </c>
      <c r="AA1006" s="104" t="str">
        <f>IFERROR((VLOOKUP(D1006,'Species Codes'!B:G,6,0)*Z1006)/2000,"")</f>
        <v/>
      </c>
      <c r="AB1006" s="104" t="e">
        <f>IF(Z1006&gt;0,((IF(OR(D1006="DF",D1006="RA")=TRUE,EXP(VLOOKUP(D1006,'Species Codes'!B:I,8,0)+VLOOKUP(D1006,'Species Codes'!B:J,9,0)*(LN((E1006*2.54)))),IF(OR(D1006="PY",D1006="RC",D1006="WH",D1006="NF")=TRUE,VLOOKUP(D1006,'Species Codes'!B:I,8,0)+VLOOKUP(D1006,'Species Codes'!B:J,9,0)*((E1006*2.54)^2)*(I1006*0.3048),IF(OR(D1006="MD",D1006="BM",D1006="GA")=TRUE,((VLOOKUP(D1006,'Species Codes'!B:I,8,0)*(((((E1006*2.54)+VLOOKUP(D1006,'Species Codes'!B:J,9,0))/VLOOKUP(D1006,'Species Codes'!B:K,10,0))^VLOOKUP(D1006,'Species Codes'!B:L,11,0))*((I1006*0.3048)^VLOOKUP(D1006,'Species Codes'!B:M,12,0))))-(VLOOKUP(D1006,'Species Codes'!B:I,8,0)*((((E1006*2.54)^VLOOKUP(D1006,'Species Codes'!B:L,11,0))*((I1006*0.3048)^VLOOKUP(D1006,'Species Codes'!B:M,12,0))))))*35.3*VLOOKUP(D1006,'Species Codes'!B:G,6,0)/2.2046,VLOOKUP(D1006,'Species Codes'!B:I,8,0)+VLOOKUP(D1006,'Species Codes'!B:J,9,0)*(((E1006*2.54)/100)^2)*(I1006*0.3048)))))*0.0011023),0)</f>
        <v>#N/A</v>
      </c>
      <c r="AC1006" s="104" t="e">
        <f>IF(Z1006&gt;0,((IF(OR(D1006="RA",D1006="OA",D1006="OT",D1006="UN",D1006="PC"),EXP(VLOOKUP(D1006,'Species Codes'!B:O,14,0)+VLOOKUP(D1006,'Species Codes'!B:P,15,0)*LN((E1006*2.54)))-EXP(VLOOKUP(D1006,'Species Codes'!B:O,14,0)+VLOOKUP(D1006,'Species Codes'!B:P,15,0)*LN((E1006*2.54)))*(1/(VLOOKUP(D1006,'Species Codes'!B:Q,16,0)+VLOOKUP(D1006,'Species Codes'!B:R,17,0)*((E1006*2.54)^VLOOKUP(D1006,'Species Codes'!B:S,18,0)))),IF(OR(D1006="BM",D1006="MD",D1006="OA"),EXP(VLOOKUP(D1006,'Species Codes'!B:O,14,0)+VLOOKUP(D1006,'Species Codes'!B:P,15,0)*LN((E1006*2.54)))*(1-(1/(VLOOKUP(D1006,'Species Codes'!B:Q,16,0)+VLOOKUP(D1006,'Species Codes'!B:R,17,0)*((E1006*2.54)^VLOOKUP(D1006,'Species Codes'!B:S,18,0)))))/1000,IF(D1006="DF",EXP(VLOOKUP(D1006,'Species Codes'!B:O,14,0)+VLOOKUP(D1006,'Species Codes'!B:P,15,0)*LN((E1006*2.54))),VLOOKUP(D1006,'Species Codes'!B:O,14,0)+VLOOKUP(D1006,'Species Codes'!B:P,15,0)*(((E1006*2.54)/100)^2)*(I1006*0.3048)))))*0.0011023),0)</f>
        <v>#N/A</v>
      </c>
      <c r="AD1006" s="104" t="e">
        <f t="shared" si="463"/>
        <v>#N/A</v>
      </c>
      <c r="AE1006" s="104" t="e">
        <f t="shared" si="464"/>
        <v>#N/A</v>
      </c>
      <c r="AF1006" s="104" t="e">
        <f>IF(AND(VLOOKUP($D1006,Merchantability!$B:$C,2,0)="Yes",$E1006&gt;=VLOOKUP($D1006,Merchantability!$B:$D,3,0),$E1006&lt;=VLOOKUP($D1006,Merchantability!$B:$E,4,0)),AA1006,0)</f>
        <v>#N/A</v>
      </c>
      <c r="AG1006" s="104" t="e">
        <f>IF(AND(VLOOKUP($D1006,Merchantability!$B:$C,2,0)="Yes",$E1006&gt;=VLOOKUP($D1006,Merchantability!$B:$D,3,0),$E1006&lt;=VLOOKUP($D1006,Merchantability!$B:$E,4,0)),AB1006,0)</f>
        <v>#N/A</v>
      </c>
      <c r="AH1006" s="104" t="e">
        <f>IF(AND(VLOOKUP($D1006,Merchantability!$B:$C,2,0)="Yes",$E1006&gt;=VLOOKUP($D1006,Merchantability!$B:$D,3,0),$E1006&lt;=VLOOKUP($D1006,Merchantability!$B:$E,4,0)),AC1006,0)</f>
        <v>#N/A</v>
      </c>
      <c r="AI1006" s="104" t="e">
        <f t="shared" si="465"/>
        <v>#N/A</v>
      </c>
      <c r="AJ1006" s="104" t="e">
        <f t="shared" si="466"/>
        <v>#VALUE!</v>
      </c>
      <c r="AK1006" s="104" t="e">
        <f t="shared" si="467"/>
        <v>#N/A</v>
      </c>
      <c r="AL1006" s="104" t="e">
        <f t="shared" si="468"/>
        <v>#N/A</v>
      </c>
      <c r="AM1006" s="104" t="e">
        <f t="shared" si="469"/>
        <v>#N/A</v>
      </c>
      <c r="AN1006" s="104" t="e">
        <f t="shared" si="453"/>
        <v>#N/A</v>
      </c>
      <c r="AO1006" s="104" t="e">
        <f t="shared" si="454"/>
        <v>#N/A</v>
      </c>
      <c r="AP1006" s="104" t="e">
        <f t="shared" si="455"/>
        <v>#N/A</v>
      </c>
      <c r="AQ1006" s="104" t="e">
        <f t="shared" si="456"/>
        <v>#N/A</v>
      </c>
      <c r="AR1006" s="105" t="str">
        <f t="shared" si="448"/>
        <v/>
      </c>
      <c r="AS1006" s="105" t="str">
        <f t="shared" si="449"/>
        <v/>
      </c>
      <c r="AT1006" s="108" t="str">
        <f t="shared" si="450"/>
        <v/>
      </c>
      <c r="AU1006" s="108" t="str">
        <f t="shared" si="451"/>
        <v/>
      </c>
      <c r="AV1006" s="107" t="str">
        <f>IF(ISNUMBER(O1006),IF(VLOOKUP($A1006,Stand!C:J,8,FALSE)="Short",AT1006,AU1006),"")</f>
        <v/>
      </c>
      <c r="AW1006" s="109" t="str">
        <f t="shared" si="457"/>
        <v/>
      </c>
      <c r="AX1006" s="109" t="str">
        <f t="shared" si="458"/>
        <v/>
      </c>
      <c r="AY1006" s="112" t="str">
        <f>IF(ISNUMBER(O1006),IF(AND(VLOOKUP($D1006,Merchantability!$B:$C,2,0)="Yes",$E1006&gt;=VLOOKUP($D1006,Merchantability!$B:$D,3,0),$E1006&lt;=VLOOKUP($D1006,Merchantability!$B:$E,4,0)),(AV1006*O1006)*(1-$H1006/100),""),"")</f>
        <v/>
      </c>
      <c r="AZ1006" s="116"/>
      <c r="BA1006" s="116"/>
      <c r="BB1006" s="116"/>
      <c r="BE1006" s="62"/>
      <c r="BF1006" s="63"/>
    </row>
    <row r="1007" spans="1:58" ht="12.75" customHeight="1" x14ac:dyDescent="0.25">
      <c r="A1007" s="313"/>
      <c r="B1007" s="328"/>
      <c r="C1007" s="329"/>
      <c r="D1007" s="328"/>
      <c r="E1007" s="330"/>
      <c r="F1007" s="328"/>
      <c r="G1007" s="329"/>
      <c r="H1007" s="329"/>
      <c r="I1007" s="328"/>
      <c r="J1007" s="383"/>
      <c r="K1007" s="329"/>
      <c r="L1007" s="329"/>
      <c r="M1007" s="76"/>
      <c r="N1007" s="103" t="str">
        <f>IF(A1007="","",VLOOKUP(A1007,Stand!C:K,9,0))</f>
        <v/>
      </c>
      <c r="O1007" s="104" t="str">
        <f t="shared" si="443"/>
        <v/>
      </c>
      <c r="P1007" s="105" t="str">
        <f t="shared" si="444"/>
        <v/>
      </c>
      <c r="Q1007" s="105" t="str">
        <f t="shared" si="459"/>
        <v/>
      </c>
      <c r="R1007" s="103" t="str">
        <f t="shared" si="445"/>
        <v/>
      </c>
      <c r="S1007" s="103" t="str">
        <f t="shared" si="446"/>
        <v/>
      </c>
      <c r="T1007" s="106" t="str">
        <f t="shared" si="460"/>
        <v/>
      </c>
      <c r="U1007" s="106" t="str">
        <f t="shared" si="461"/>
        <v/>
      </c>
      <c r="V1007" s="106" t="str">
        <f t="shared" si="462"/>
        <v/>
      </c>
      <c r="W1007" s="105" t="str">
        <f t="shared" si="447"/>
        <v/>
      </c>
      <c r="X1007" s="104" t="str">
        <f t="shared" si="452"/>
        <v/>
      </c>
      <c r="Y1007" s="104" t="str">
        <f t="array" ref="Y1007">IFERROR(IF(ISNUMBER(O1007),IF(COUNT(IF(A1007=$A$2:$A$2427,IF(D1007=$D$2:$D$2427,IF($X$2:$X$2427&gt;0,1))))&gt;0,SUM(IF(A1007=$A$2:$A$2427,IF(D1007=$D$2:$D$2427,$X$2:$X$2427)))/COUNT(IF(A1007=$A$2:$A$2427,IF(D1007=$D$2:$D$2427,IF(ISNUMBER($X$2:$X$2427),1)))),0),""),0)</f>
        <v/>
      </c>
      <c r="Z1007" s="104" t="str">
        <f>IF(ISNUMBER(O1007),IF(I1007&gt;0,(10^(VLOOKUP(D1007,'Species Codes'!B:C,2,0)+VLOOKUP(D1007,'Species Codes'!B:D,3,0)*LOG(E1007)+VLOOKUP(D1007,'Species Codes'!B:E,4,0)*LOG(I1007))),0),"")</f>
        <v/>
      </c>
      <c r="AA1007" s="104" t="str">
        <f>IFERROR((VLOOKUP(D1007,'Species Codes'!B:G,6,0)*Z1007)/2000,"")</f>
        <v/>
      </c>
      <c r="AB1007" s="104" t="e">
        <f>IF(Z1007&gt;0,((IF(OR(D1007="DF",D1007="RA")=TRUE,EXP(VLOOKUP(D1007,'Species Codes'!B:I,8,0)+VLOOKUP(D1007,'Species Codes'!B:J,9,0)*(LN((E1007*2.54)))),IF(OR(D1007="PY",D1007="RC",D1007="WH",D1007="NF")=TRUE,VLOOKUP(D1007,'Species Codes'!B:I,8,0)+VLOOKUP(D1007,'Species Codes'!B:J,9,0)*((E1007*2.54)^2)*(I1007*0.3048),IF(OR(D1007="MD",D1007="BM",D1007="GA")=TRUE,((VLOOKUP(D1007,'Species Codes'!B:I,8,0)*(((((E1007*2.54)+VLOOKUP(D1007,'Species Codes'!B:J,9,0))/VLOOKUP(D1007,'Species Codes'!B:K,10,0))^VLOOKUP(D1007,'Species Codes'!B:L,11,0))*((I1007*0.3048)^VLOOKUP(D1007,'Species Codes'!B:M,12,0))))-(VLOOKUP(D1007,'Species Codes'!B:I,8,0)*((((E1007*2.54)^VLOOKUP(D1007,'Species Codes'!B:L,11,0))*((I1007*0.3048)^VLOOKUP(D1007,'Species Codes'!B:M,12,0))))))*35.3*VLOOKUP(D1007,'Species Codes'!B:G,6,0)/2.2046,VLOOKUP(D1007,'Species Codes'!B:I,8,0)+VLOOKUP(D1007,'Species Codes'!B:J,9,0)*(((E1007*2.54)/100)^2)*(I1007*0.3048)))))*0.0011023),0)</f>
        <v>#N/A</v>
      </c>
      <c r="AC1007" s="104" t="e">
        <f>IF(Z1007&gt;0,((IF(OR(D1007="RA",D1007="OA",D1007="OT",D1007="UN",D1007="PC"),EXP(VLOOKUP(D1007,'Species Codes'!B:O,14,0)+VLOOKUP(D1007,'Species Codes'!B:P,15,0)*LN((E1007*2.54)))-EXP(VLOOKUP(D1007,'Species Codes'!B:O,14,0)+VLOOKUP(D1007,'Species Codes'!B:P,15,0)*LN((E1007*2.54)))*(1/(VLOOKUP(D1007,'Species Codes'!B:Q,16,0)+VLOOKUP(D1007,'Species Codes'!B:R,17,0)*((E1007*2.54)^VLOOKUP(D1007,'Species Codes'!B:S,18,0)))),IF(OR(D1007="BM",D1007="MD",D1007="OA"),EXP(VLOOKUP(D1007,'Species Codes'!B:O,14,0)+VLOOKUP(D1007,'Species Codes'!B:P,15,0)*LN((E1007*2.54)))*(1-(1/(VLOOKUP(D1007,'Species Codes'!B:Q,16,0)+VLOOKUP(D1007,'Species Codes'!B:R,17,0)*((E1007*2.54)^VLOOKUP(D1007,'Species Codes'!B:S,18,0)))))/1000,IF(D1007="DF",EXP(VLOOKUP(D1007,'Species Codes'!B:O,14,0)+VLOOKUP(D1007,'Species Codes'!B:P,15,0)*LN((E1007*2.54))),VLOOKUP(D1007,'Species Codes'!B:O,14,0)+VLOOKUP(D1007,'Species Codes'!B:P,15,0)*(((E1007*2.54)/100)^2)*(I1007*0.3048)))))*0.0011023),0)</f>
        <v>#N/A</v>
      </c>
      <c r="AD1007" s="104" t="e">
        <f t="shared" si="463"/>
        <v>#N/A</v>
      </c>
      <c r="AE1007" s="104" t="e">
        <f t="shared" si="464"/>
        <v>#N/A</v>
      </c>
      <c r="AF1007" s="104" t="e">
        <f>IF(AND(VLOOKUP($D1007,Merchantability!$B:$C,2,0)="Yes",$E1007&gt;=VLOOKUP($D1007,Merchantability!$B:$D,3,0),$E1007&lt;=VLOOKUP($D1007,Merchantability!$B:$E,4,0)),AA1007,0)</f>
        <v>#N/A</v>
      </c>
      <c r="AG1007" s="104" t="e">
        <f>IF(AND(VLOOKUP($D1007,Merchantability!$B:$C,2,0)="Yes",$E1007&gt;=VLOOKUP($D1007,Merchantability!$B:$D,3,0),$E1007&lt;=VLOOKUP($D1007,Merchantability!$B:$E,4,0)),AB1007,0)</f>
        <v>#N/A</v>
      </c>
      <c r="AH1007" s="104" t="e">
        <f>IF(AND(VLOOKUP($D1007,Merchantability!$B:$C,2,0)="Yes",$E1007&gt;=VLOOKUP($D1007,Merchantability!$B:$D,3,0),$E1007&lt;=VLOOKUP($D1007,Merchantability!$B:$E,4,0)),AC1007,0)</f>
        <v>#N/A</v>
      </c>
      <c r="AI1007" s="104" t="e">
        <f t="shared" si="465"/>
        <v>#N/A</v>
      </c>
      <c r="AJ1007" s="104" t="e">
        <f t="shared" si="466"/>
        <v>#VALUE!</v>
      </c>
      <c r="AK1007" s="104" t="e">
        <f t="shared" si="467"/>
        <v>#N/A</v>
      </c>
      <c r="AL1007" s="104" t="e">
        <f t="shared" si="468"/>
        <v>#N/A</v>
      </c>
      <c r="AM1007" s="104" t="e">
        <f t="shared" si="469"/>
        <v>#N/A</v>
      </c>
      <c r="AN1007" s="104" t="e">
        <f t="shared" si="453"/>
        <v>#N/A</v>
      </c>
      <c r="AO1007" s="104" t="e">
        <f t="shared" si="454"/>
        <v>#N/A</v>
      </c>
      <c r="AP1007" s="104" t="e">
        <f t="shared" si="455"/>
        <v>#N/A</v>
      </c>
      <c r="AQ1007" s="104" t="e">
        <f t="shared" si="456"/>
        <v>#N/A</v>
      </c>
      <c r="AR1007" s="105" t="str">
        <f t="shared" si="448"/>
        <v/>
      </c>
      <c r="AS1007" s="105" t="str">
        <f t="shared" si="449"/>
        <v/>
      </c>
      <c r="AT1007" s="108" t="str">
        <f t="shared" si="450"/>
        <v/>
      </c>
      <c r="AU1007" s="108" t="str">
        <f t="shared" si="451"/>
        <v/>
      </c>
      <c r="AV1007" s="107" t="str">
        <f>IF(ISNUMBER(O1007),IF(VLOOKUP($A1007,Stand!C:J,8,FALSE)="Short",AT1007,AU1007),"")</f>
        <v/>
      </c>
      <c r="AW1007" s="109" t="str">
        <f t="shared" si="457"/>
        <v/>
      </c>
      <c r="AX1007" s="109" t="str">
        <f t="shared" si="458"/>
        <v/>
      </c>
      <c r="AY1007" s="112" t="str">
        <f>IF(ISNUMBER(O1007),IF(AND(VLOOKUP($D1007,Merchantability!$B:$C,2,0)="Yes",$E1007&gt;=VLOOKUP($D1007,Merchantability!$B:$D,3,0),$E1007&lt;=VLOOKUP($D1007,Merchantability!$B:$E,4,0)),(AV1007*O1007)*(1-$H1007/100),""),"")</f>
        <v/>
      </c>
      <c r="AZ1007" s="116"/>
      <c r="BA1007" s="116"/>
      <c r="BB1007" s="116"/>
      <c r="BE1007" s="62"/>
      <c r="BF1007" s="63"/>
    </row>
    <row r="1008" spans="1:58" ht="12.75" customHeight="1" x14ac:dyDescent="0.25">
      <c r="A1008" s="313"/>
      <c r="B1008" s="328"/>
      <c r="C1008" s="329"/>
      <c r="D1008" s="328"/>
      <c r="E1008" s="330"/>
      <c r="F1008" s="328"/>
      <c r="G1008" s="329"/>
      <c r="H1008" s="329"/>
      <c r="I1008" s="328"/>
      <c r="J1008" s="383"/>
      <c r="K1008" s="329"/>
      <c r="L1008" s="329"/>
      <c r="M1008" s="76"/>
      <c r="N1008" s="103" t="str">
        <f>IF(A1008="","",VLOOKUP(A1008,Stand!C:K,9,0))</f>
        <v/>
      </c>
      <c r="O1008" s="104" t="str">
        <f t="shared" si="443"/>
        <v/>
      </c>
      <c r="P1008" s="105" t="str">
        <f t="shared" si="444"/>
        <v/>
      </c>
      <c r="Q1008" s="105" t="str">
        <f t="shared" si="459"/>
        <v/>
      </c>
      <c r="R1008" s="103" t="str">
        <f t="shared" si="445"/>
        <v/>
      </c>
      <c r="S1008" s="103" t="str">
        <f t="shared" si="446"/>
        <v/>
      </c>
      <c r="T1008" s="106" t="str">
        <f t="shared" si="460"/>
        <v/>
      </c>
      <c r="U1008" s="106" t="str">
        <f t="shared" si="461"/>
        <v/>
      </c>
      <c r="V1008" s="106" t="str">
        <f t="shared" si="462"/>
        <v/>
      </c>
      <c r="W1008" s="105" t="str">
        <f t="shared" si="447"/>
        <v/>
      </c>
      <c r="X1008" s="104" t="str">
        <f t="shared" si="452"/>
        <v/>
      </c>
      <c r="Y1008" s="104" t="str">
        <f t="array" ref="Y1008">IFERROR(IF(ISNUMBER(O1008),IF(COUNT(IF(A1008=$A$2:$A$2427,IF(D1008=$D$2:$D$2427,IF($X$2:$X$2427&gt;0,1))))&gt;0,SUM(IF(A1008=$A$2:$A$2427,IF(D1008=$D$2:$D$2427,$X$2:$X$2427)))/COUNT(IF(A1008=$A$2:$A$2427,IF(D1008=$D$2:$D$2427,IF(ISNUMBER($X$2:$X$2427),1)))),0),""),0)</f>
        <v/>
      </c>
      <c r="Z1008" s="104" t="str">
        <f>IF(ISNUMBER(O1008),IF(I1008&gt;0,(10^(VLOOKUP(D1008,'Species Codes'!B:C,2,0)+VLOOKUP(D1008,'Species Codes'!B:D,3,0)*LOG(E1008)+VLOOKUP(D1008,'Species Codes'!B:E,4,0)*LOG(I1008))),0),"")</f>
        <v/>
      </c>
      <c r="AA1008" s="104" t="str">
        <f>IFERROR((VLOOKUP(D1008,'Species Codes'!B:G,6,0)*Z1008)/2000,"")</f>
        <v/>
      </c>
      <c r="AB1008" s="104" t="e">
        <f>IF(Z1008&gt;0,((IF(OR(D1008="DF",D1008="RA")=TRUE,EXP(VLOOKUP(D1008,'Species Codes'!B:I,8,0)+VLOOKUP(D1008,'Species Codes'!B:J,9,0)*(LN((E1008*2.54)))),IF(OR(D1008="PY",D1008="RC",D1008="WH",D1008="NF")=TRUE,VLOOKUP(D1008,'Species Codes'!B:I,8,0)+VLOOKUP(D1008,'Species Codes'!B:J,9,0)*((E1008*2.54)^2)*(I1008*0.3048),IF(OR(D1008="MD",D1008="BM",D1008="GA")=TRUE,((VLOOKUP(D1008,'Species Codes'!B:I,8,0)*(((((E1008*2.54)+VLOOKUP(D1008,'Species Codes'!B:J,9,0))/VLOOKUP(D1008,'Species Codes'!B:K,10,0))^VLOOKUP(D1008,'Species Codes'!B:L,11,0))*((I1008*0.3048)^VLOOKUP(D1008,'Species Codes'!B:M,12,0))))-(VLOOKUP(D1008,'Species Codes'!B:I,8,0)*((((E1008*2.54)^VLOOKUP(D1008,'Species Codes'!B:L,11,0))*((I1008*0.3048)^VLOOKUP(D1008,'Species Codes'!B:M,12,0))))))*35.3*VLOOKUP(D1008,'Species Codes'!B:G,6,0)/2.2046,VLOOKUP(D1008,'Species Codes'!B:I,8,0)+VLOOKUP(D1008,'Species Codes'!B:J,9,0)*(((E1008*2.54)/100)^2)*(I1008*0.3048)))))*0.0011023),0)</f>
        <v>#N/A</v>
      </c>
      <c r="AC1008" s="104" t="e">
        <f>IF(Z1008&gt;0,((IF(OR(D1008="RA",D1008="OA",D1008="OT",D1008="UN",D1008="PC"),EXP(VLOOKUP(D1008,'Species Codes'!B:O,14,0)+VLOOKUP(D1008,'Species Codes'!B:P,15,0)*LN((E1008*2.54)))-EXP(VLOOKUP(D1008,'Species Codes'!B:O,14,0)+VLOOKUP(D1008,'Species Codes'!B:P,15,0)*LN((E1008*2.54)))*(1/(VLOOKUP(D1008,'Species Codes'!B:Q,16,0)+VLOOKUP(D1008,'Species Codes'!B:R,17,0)*((E1008*2.54)^VLOOKUP(D1008,'Species Codes'!B:S,18,0)))),IF(OR(D1008="BM",D1008="MD",D1008="OA"),EXP(VLOOKUP(D1008,'Species Codes'!B:O,14,0)+VLOOKUP(D1008,'Species Codes'!B:P,15,0)*LN((E1008*2.54)))*(1-(1/(VLOOKUP(D1008,'Species Codes'!B:Q,16,0)+VLOOKUP(D1008,'Species Codes'!B:R,17,0)*((E1008*2.54)^VLOOKUP(D1008,'Species Codes'!B:S,18,0)))))/1000,IF(D1008="DF",EXP(VLOOKUP(D1008,'Species Codes'!B:O,14,0)+VLOOKUP(D1008,'Species Codes'!B:P,15,0)*LN((E1008*2.54))),VLOOKUP(D1008,'Species Codes'!B:O,14,0)+VLOOKUP(D1008,'Species Codes'!B:P,15,0)*(((E1008*2.54)/100)^2)*(I1008*0.3048)))))*0.0011023),0)</f>
        <v>#N/A</v>
      </c>
      <c r="AD1008" s="104" t="e">
        <f t="shared" si="463"/>
        <v>#N/A</v>
      </c>
      <c r="AE1008" s="104" t="e">
        <f t="shared" si="464"/>
        <v>#N/A</v>
      </c>
      <c r="AF1008" s="104" t="e">
        <f>IF(AND(VLOOKUP($D1008,Merchantability!$B:$C,2,0)="Yes",$E1008&gt;=VLOOKUP($D1008,Merchantability!$B:$D,3,0),$E1008&lt;=VLOOKUP($D1008,Merchantability!$B:$E,4,0)),AA1008,0)</f>
        <v>#N/A</v>
      </c>
      <c r="AG1008" s="104" t="e">
        <f>IF(AND(VLOOKUP($D1008,Merchantability!$B:$C,2,0)="Yes",$E1008&gt;=VLOOKUP($D1008,Merchantability!$B:$D,3,0),$E1008&lt;=VLOOKUP($D1008,Merchantability!$B:$E,4,0)),AB1008,0)</f>
        <v>#N/A</v>
      </c>
      <c r="AH1008" s="104" t="e">
        <f>IF(AND(VLOOKUP($D1008,Merchantability!$B:$C,2,0)="Yes",$E1008&gt;=VLOOKUP($D1008,Merchantability!$B:$D,3,0),$E1008&lt;=VLOOKUP($D1008,Merchantability!$B:$E,4,0)),AC1008,0)</f>
        <v>#N/A</v>
      </c>
      <c r="AI1008" s="104" t="e">
        <f t="shared" si="465"/>
        <v>#N/A</v>
      </c>
      <c r="AJ1008" s="104" t="e">
        <f t="shared" si="466"/>
        <v>#VALUE!</v>
      </c>
      <c r="AK1008" s="104" t="e">
        <f t="shared" si="467"/>
        <v>#N/A</v>
      </c>
      <c r="AL1008" s="104" t="e">
        <f t="shared" si="468"/>
        <v>#N/A</v>
      </c>
      <c r="AM1008" s="104" t="e">
        <f t="shared" si="469"/>
        <v>#N/A</v>
      </c>
      <c r="AN1008" s="104" t="e">
        <f t="shared" si="453"/>
        <v>#N/A</v>
      </c>
      <c r="AO1008" s="104" t="e">
        <f t="shared" si="454"/>
        <v>#N/A</v>
      </c>
      <c r="AP1008" s="104" t="e">
        <f t="shared" si="455"/>
        <v>#N/A</v>
      </c>
      <c r="AQ1008" s="104" t="e">
        <f t="shared" si="456"/>
        <v>#N/A</v>
      </c>
      <c r="AR1008" s="105" t="str">
        <f t="shared" si="448"/>
        <v/>
      </c>
      <c r="AS1008" s="105" t="str">
        <f t="shared" si="449"/>
        <v/>
      </c>
      <c r="AT1008" s="108" t="str">
        <f t="shared" si="450"/>
        <v/>
      </c>
      <c r="AU1008" s="108" t="str">
        <f t="shared" si="451"/>
        <v/>
      </c>
      <c r="AV1008" s="107" t="str">
        <f>IF(ISNUMBER(O1008),IF(VLOOKUP($A1008,Stand!C:J,8,FALSE)="Short",AT1008,AU1008),"")</f>
        <v/>
      </c>
      <c r="AW1008" s="109" t="str">
        <f t="shared" si="457"/>
        <v/>
      </c>
      <c r="AX1008" s="109" t="str">
        <f t="shared" si="458"/>
        <v/>
      </c>
      <c r="AY1008" s="112" t="str">
        <f>IF(ISNUMBER(O1008),IF(AND(VLOOKUP($D1008,Merchantability!$B:$C,2,0)="Yes",$E1008&gt;=VLOOKUP($D1008,Merchantability!$B:$D,3,0),$E1008&lt;=VLOOKUP($D1008,Merchantability!$B:$E,4,0)),(AV1008*O1008)*(1-$H1008/100),""),"")</f>
        <v/>
      </c>
      <c r="AZ1008" s="116"/>
      <c r="BA1008" s="116"/>
      <c r="BB1008" s="116"/>
      <c r="BE1008" s="62"/>
      <c r="BF1008" s="63"/>
    </row>
    <row r="1009" spans="1:58" ht="12.75" customHeight="1" x14ac:dyDescent="0.25">
      <c r="A1009" s="313"/>
      <c r="B1009" s="328"/>
      <c r="C1009" s="329"/>
      <c r="D1009" s="328"/>
      <c r="E1009" s="330"/>
      <c r="F1009" s="328"/>
      <c r="G1009" s="329"/>
      <c r="H1009" s="329"/>
      <c r="I1009" s="328"/>
      <c r="J1009" s="383"/>
      <c r="K1009" s="329"/>
      <c r="L1009" s="329"/>
      <c r="M1009" s="76"/>
      <c r="N1009" s="103" t="str">
        <f>IF(A1009="","",VLOOKUP(A1009,Stand!C:K,9,0))</f>
        <v/>
      </c>
      <c r="O1009" s="104" t="str">
        <f t="shared" si="443"/>
        <v/>
      </c>
      <c r="P1009" s="105" t="str">
        <f t="shared" si="444"/>
        <v/>
      </c>
      <c r="Q1009" s="105" t="str">
        <f t="shared" si="459"/>
        <v/>
      </c>
      <c r="R1009" s="103" t="str">
        <f t="shared" si="445"/>
        <v/>
      </c>
      <c r="S1009" s="103" t="str">
        <f t="shared" si="446"/>
        <v/>
      </c>
      <c r="T1009" s="106" t="str">
        <f t="shared" si="460"/>
        <v/>
      </c>
      <c r="U1009" s="106" t="str">
        <f t="shared" si="461"/>
        <v/>
      </c>
      <c r="V1009" s="106" t="str">
        <f t="shared" si="462"/>
        <v/>
      </c>
      <c r="W1009" s="105" t="str">
        <f t="shared" si="447"/>
        <v/>
      </c>
      <c r="X1009" s="104" t="str">
        <f t="shared" si="452"/>
        <v/>
      </c>
      <c r="Y1009" s="104" t="str">
        <f t="array" ref="Y1009">IFERROR(IF(ISNUMBER(O1009),IF(COUNT(IF(A1009=$A$2:$A$2427,IF(D1009=$D$2:$D$2427,IF($X$2:$X$2427&gt;0,1))))&gt;0,SUM(IF(A1009=$A$2:$A$2427,IF(D1009=$D$2:$D$2427,$X$2:$X$2427)))/COUNT(IF(A1009=$A$2:$A$2427,IF(D1009=$D$2:$D$2427,IF(ISNUMBER($X$2:$X$2427),1)))),0),""),0)</f>
        <v/>
      </c>
      <c r="Z1009" s="104" t="str">
        <f>IF(ISNUMBER(O1009),IF(I1009&gt;0,(10^(VLOOKUP(D1009,'Species Codes'!B:C,2,0)+VLOOKUP(D1009,'Species Codes'!B:D,3,0)*LOG(E1009)+VLOOKUP(D1009,'Species Codes'!B:E,4,0)*LOG(I1009))),0),"")</f>
        <v/>
      </c>
      <c r="AA1009" s="104" t="str">
        <f>IFERROR((VLOOKUP(D1009,'Species Codes'!B:G,6,0)*Z1009)/2000,"")</f>
        <v/>
      </c>
      <c r="AB1009" s="104" t="e">
        <f>IF(Z1009&gt;0,((IF(OR(D1009="DF",D1009="RA")=TRUE,EXP(VLOOKUP(D1009,'Species Codes'!B:I,8,0)+VLOOKUP(D1009,'Species Codes'!B:J,9,0)*(LN((E1009*2.54)))),IF(OR(D1009="PY",D1009="RC",D1009="WH",D1009="NF")=TRUE,VLOOKUP(D1009,'Species Codes'!B:I,8,0)+VLOOKUP(D1009,'Species Codes'!B:J,9,0)*((E1009*2.54)^2)*(I1009*0.3048),IF(OR(D1009="MD",D1009="BM",D1009="GA")=TRUE,((VLOOKUP(D1009,'Species Codes'!B:I,8,0)*(((((E1009*2.54)+VLOOKUP(D1009,'Species Codes'!B:J,9,0))/VLOOKUP(D1009,'Species Codes'!B:K,10,0))^VLOOKUP(D1009,'Species Codes'!B:L,11,0))*((I1009*0.3048)^VLOOKUP(D1009,'Species Codes'!B:M,12,0))))-(VLOOKUP(D1009,'Species Codes'!B:I,8,0)*((((E1009*2.54)^VLOOKUP(D1009,'Species Codes'!B:L,11,0))*((I1009*0.3048)^VLOOKUP(D1009,'Species Codes'!B:M,12,0))))))*35.3*VLOOKUP(D1009,'Species Codes'!B:G,6,0)/2.2046,VLOOKUP(D1009,'Species Codes'!B:I,8,0)+VLOOKUP(D1009,'Species Codes'!B:J,9,0)*(((E1009*2.54)/100)^2)*(I1009*0.3048)))))*0.0011023),0)</f>
        <v>#N/A</v>
      </c>
      <c r="AC1009" s="104" t="e">
        <f>IF(Z1009&gt;0,((IF(OR(D1009="RA",D1009="OA",D1009="OT",D1009="UN",D1009="PC"),EXP(VLOOKUP(D1009,'Species Codes'!B:O,14,0)+VLOOKUP(D1009,'Species Codes'!B:P,15,0)*LN((E1009*2.54)))-EXP(VLOOKUP(D1009,'Species Codes'!B:O,14,0)+VLOOKUP(D1009,'Species Codes'!B:P,15,0)*LN((E1009*2.54)))*(1/(VLOOKUP(D1009,'Species Codes'!B:Q,16,0)+VLOOKUP(D1009,'Species Codes'!B:R,17,0)*((E1009*2.54)^VLOOKUP(D1009,'Species Codes'!B:S,18,0)))),IF(OR(D1009="BM",D1009="MD",D1009="OA"),EXP(VLOOKUP(D1009,'Species Codes'!B:O,14,0)+VLOOKUP(D1009,'Species Codes'!B:P,15,0)*LN((E1009*2.54)))*(1-(1/(VLOOKUP(D1009,'Species Codes'!B:Q,16,0)+VLOOKUP(D1009,'Species Codes'!B:R,17,0)*((E1009*2.54)^VLOOKUP(D1009,'Species Codes'!B:S,18,0)))))/1000,IF(D1009="DF",EXP(VLOOKUP(D1009,'Species Codes'!B:O,14,0)+VLOOKUP(D1009,'Species Codes'!B:P,15,0)*LN((E1009*2.54))),VLOOKUP(D1009,'Species Codes'!B:O,14,0)+VLOOKUP(D1009,'Species Codes'!B:P,15,0)*(((E1009*2.54)/100)^2)*(I1009*0.3048)))))*0.0011023),0)</f>
        <v>#N/A</v>
      </c>
      <c r="AD1009" s="104" t="e">
        <f t="shared" si="463"/>
        <v>#N/A</v>
      </c>
      <c r="AE1009" s="104" t="e">
        <f t="shared" si="464"/>
        <v>#N/A</v>
      </c>
      <c r="AF1009" s="104" t="e">
        <f>IF(AND(VLOOKUP($D1009,Merchantability!$B:$C,2,0)="Yes",$E1009&gt;=VLOOKUP($D1009,Merchantability!$B:$D,3,0),$E1009&lt;=VLOOKUP($D1009,Merchantability!$B:$E,4,0)),AA1009,0)</f>
        <v>#N/A</v>
      </c>
      <c r="AG1009" s="104" t="e">
        <f>IF(AND(VLOOKUP($D1009,Merchantability!$B:$C,2,0)="Yes",$E1009&gt;=VLOOKUP($D1009,Merchantability!$B:$D,3,0),$E1009&lt;=VLOOKUP($D1009,Merchantability!$B:$E,4,0)),AB1009,0)</f>
        <v>#N/A</v>
      </c>
      <c r="AH1009" s="104" t="e">
        <f>IF(AND(VLOOKUP($D1009,Merchantability!$B:$C,2,0)="Yes",$E1009&gt;=VLOOKUP($D1009,Merchantability!$B:$D,3,0),$E1009&lt;=VLOOKUP($D1009,Merchantability!$B:$E,4,0)),AC1009,0)</f>
        <v>#N/A</v>
      </c>
      <c r="AI1009" s="104" t="e">
        <f t="shared" si="465"/>
        <v>#N/A</v>
      </c>
      <c r="AJ1009" s="104" t="e">
        <f t="shared" si="466"/>
        <v>#VALUE!</v>
      </c>
      <c r="AK1009" s="104" t="e">
        <f t="shared" si="467"/>
        <v>#N/A</v>
      </c>
      <c r="AL1009" s="104" t="e">
        <f t="shared" si="468"/>
        <v>#N/A</v>
      </c>
      <c r="AM1009" s="104" t="e">
        <f t="shared" si="469"/>
        <v>#N/A</v>
      </c>
      <c r="AN1009" s="104" t="e">
        <f t="shared" si="453"/>
        <v>#N/A</v>
      </c>
      <c r="AO1009" s="104" t="e">
        <f t="shared" si="454"/>
        <v>#N/A</v>
      </c>
      <c r="AP1009" s="104" t="e">
        <f t="shared" si="455"/>
        <v>#N/A</v>
      </c>
      <c r="AQ1009" s="104" t="e">
        <f t="shared" si="456"/>
        <v>#N/A</v>
      </c>
      <c r="AR1009" s="105" t="str">
        <f t="shared" si="448"/>
        <v/>
      </c>
      <c r="AS1009" s="105" t="str">
        <f t="shared" si="449"/>
        <v/>
      </c>
      <c r="AT1009" s="108" t="str">
        <f t="shared" si="450"/>
        <v/>
      </c>
      <c r="AU1009" s="108" t="str">
        <f t="shared" si="451"/>
        <v/>
      </c>
      <c r="AV1009" s="107" t="str">
        <f>IF(ISNUMBER(O1009),IF(VLOOKUP($A1009,Stand!C:J,8,FALSE)="Short",AT1009,AU1009),"")</f>
        <v/>
      </c>
      <c r="AW1009" s="109" t="str">
        <f t="shared" si="457"/>
        <v/>
      </c>
      <c r="AX1009" s="109" t="str">
        <f t="shared" si="458"/>
        <v/>
      </c>
      <c r="AY1009" s="112" t="str">
        <f>IF(ISNUMBER(O1009),IF(AND(VLOOKUP($D1009,Merchantability!$B:$C,2,0)="Yes",$E1009&gt;=VLOOKUP($D1009,Merchantability!$B:$D,3,0),$E1009&lt;=VLOOKUP($D1009,Merchantability!$B:$E,4,0)),(AV1009*O1009)*(1-$H1009/100),""),"")</f>
        <v/>
      </c>
      <c r="AZ1009" s="116"/>
      <c r="BA1009" s="116"/>
      <c r="BB1009" s="116"/>
      <c r="BE1009" s="62"/>
      <c r="BF1009" s="63"/>
    </row>
    <row r="1010" spans="1:58" ht="12.75" customHeight="1" x14ac:dyDescent="0.25">
      <c r="A1010" s="313"/>
      <c r="B1010" s="328"/>
      <c r="C1010" s="329"/>
      <c r="D1010" s="328"/>
      <c r="E1010" s="330"/>
      <c r="F1010" s="328"/>
      <c r="G1010" s="329"/>
      <c r="H1010" s="329"/>
      <c r="I1010" s="328"/>
      <c r="J1010" s="383"/>
      <c r="K1010" s="329"/>
      <c r="L1010" s="329"/>
      <c r="M1010" s="76"/>
      <c r="N1010" s="103" t="str">
        <f>IF(A1010="","",VLOOKUP(A1010,Stand!C:K,9,0))</f>
        <v/>
      </c>
      <c r="O1010" s="104" t="str">
        <f t="shared" si="443"/>
        <v/>
      </c>
      <c r="P1010" s="105" t="str">
        <f t="shared" si="444"/>
        <v/>
      </c>
      <c r="Q1010" s="105" t="str">
        <f t="shared" si="459"/>
        <v/>
      </c>
      <c r="R1010" s="103" t="str">
        <f t="shared" si="445"/>
        <v/>
      </c>
      <c r="S1010" s="103" t="str">
        <f t="shared" si="446"/>
        <v/>
      </c>
      <c r="T1010" s="106" t="str">
        <f t="shared" si="460"/>
        <v/>
      </c>
      <c r="U1010" s="106" t="str">
        <f t="shared" si="461"/>
        <v/>
      </c>
      <c r="V1010" s="106" t="str">
        <f t="shared" si="462"/>
        <v/>
      </c>
      <c r="W1010" s="105" t="str">
        <f t="shared" si="447"/>
        <v/>
      </c>
      <c r="X1010" s="104" t="str">
        <f t="shared" si="452"/>
        <v/>
      </c>
      <c r="Y1010" s="104" t="str">
        <f t="array" ref="Y1010">IFERROR(IF(ISNUMBER(O1010),IF(COUNT(IF(A1010=$A$2:$A$2427,IF(D1010=$D$2:$D$2427,IF($X$2:$X$2427&gt;0,1))))&gt;0,SUM(IF(A1010=$A$2:$A$2427,IF(D1010=$D$2:$D$2427,$X$2:$X$2427)))/COUNT(IF(A1010=$A$2:$A$2427,IF(D1010=$D$2:$D$2427,IF(ISNUMBER($X$2:$X$2427),1)))),0),""),0)</f>
        <v/>
      </c>
      <c r="Z1010" s="104" t="str">
        <f>IF(ISNUMBER(O1010),IF(I1010&gt;0,(10^(VLOOKUP(D1010,'Species Codes'!B:C,2,0)+VLOOKUP(D1010,'Species Codes'!B:D,3,0)*LOG(E1010)+VLOOKUP(D1010,'Species Codes'!B:E,4,0)*LOG(I1010))),0),"")</f>
        <v/>
      </c>
      <c r="AA1010" s="104" t="str">
        <f>IFERROR((VLOOKUP(D1010,'Species Codes'!B:G,6,0)*Z1010)/2000,"")</f>
        <v/>
      </c>
      <c r="AB1010" s="104" t="e">
        <f>IF(Z1010&gt;0,((IF(OR(D1010="DF",D1010="RA")=TRUE,EXP(VLOOKUP(D1010,'Species Codes'!B:I,8,0)+VLOOKUP(D1010,'Species Codes'!B:J,9,0)*(LN((E1010*2.54)))),IF(OR(D1010="PY",D1010="RC",D1010="WH",D1010="NF")=TRUE,VLOOKUP(D1010,'Species Codes'!B:I,8,0)+VLOOKUP(D1010,'Species Codes'!B:J,9,0)*((E1010*2.54)^2)*(I1010*0.3048),IF(OR(D1010="MD",D1010="BM",D1010="GA")=TRUE,((VLOOKUP(D1010,'Species Codes'!B:I,8,0)*(((((E1010*2.54)+VLOOKUP(D1010,'Species Codes'!B:J,9,0))/VLOOKUP(D1010,'Species Codes'!B:K,10,0))^VLOOKUP(D1010,'Species Codes'!B:L,11,0))*((I1010*0.3048)^VLOOKUP(D1010,'Species Codes'!B:M,12,0))))-(VLOOKUP(D1010,'Species Codes'!B:I,8,0)*((((E1010*2.54)^VLOOKUP(D1010,'Species Codes'!B:L,11,0))*((I1010*0.3048)^VLOOKUP(D1010,'Species Codes'!B:M,12,0))))))*35.3*VLOOKUP(D1010,'Species Codes'!B:G,6,0)/2.2046,VLOOKUP(D1010,'Species Codes'!B:I,8,0)+VLOOKUP(D1010,'Species Codes'!B:J,9,0)*(((E1010*2.54)/100)^2)*(I1010*0.3048)))))*0.0011023),0)</f>
        <v>#N/A</v>
      </c>
      <c r="AC1010" s="104" t="e">
        <f>IF(Z1010&gt;0,((IF(OR(D1010="RA",D1010="OA",D1010="OT",D1010="UN",D1010="PC"),EXP(VLOOKUP(D1010,'Species Codes'!B:O,14,0)+VLOOKUP(D1010,'Species Codes'!B:P,15,0)*LN((E1010*2.54)))-EXP(VLOOKUP(D1010,'Species Codes'!B:O,14,0)+VLOOKUP(D1010,'Species Codes'!B:P,15,0)*LN((E1010*2.54)))*(1/(VLOOKUP(D1010,'Species Codes'!B:Q,16,0)+VLOOKUP(D1010,'Species Codes'!B:R,17,0)*((E1010*2.54)^VLOOKUP(D1010,'Species Codes'!B:S,18,0)))),IF(OR(D1010="BM",D1010="MD",D1010="OA"),EXP(VLOOKUP(D1010,'Species Codes'!B:O,14,0)+VLOOKUP(D1010,'Species Codes'!B:P,15,0)*LN((E1010*2.54)))*(1-(1/(VLOOKUP(D1010,'Species Codes'!B:Q,16,0)+VLOOKUP(D1010,'Species Codes'!B:R,17,0)*((E1010*2.54)^VLOOKUP(D1010,'Species Codes'!B:S,18,0)))))/1000,IF(D1010="DF",EXP(VLOOKUP(D1010,'Species Codes'!B:O,14,0)+VLOOKUP(D1010,'Species Codes'!B:P,15,0)*LN((E1010*2.54))),VLOOKUP(D1010,'Species Codes'!B:O,14,0)+VLOOKUP(D1010,'Species Codes'!B:P,15,0)*(((E1010*2.54)/100)^2)*(I1010*0.3048)))))*0.0011023),0)</f>
        <v>#N/A</v>
      </c>
      <c r="AD1010" s="104" t="e">
        <f t="shared" si="463"/>
        <v>#N/A</v>
      </c>
      <c r="AE1010" s="104" t="e">
        <f t="shared" si="464"/>
        <v>#N/A</v>
      </c>
      <c r="AF1010" s="104" t="e">
        <f>IF(AND(VLOOKUP($D1010,Merchantability!$B:$C,2,0)="Yes",$E1010&gt;=VLOOKUP($D1010,Merchantability!$B:$D,3,0),$E1010&lt;=VLOOKUP($D1010,Merchantability!$B:$E,4,0)),AA1010,0)</f>
        <v>#N/A</v>
      </c>
      <c r="AG1010" s="104" t="e">
        <f>IF(AND(VLOOKUP($D1010,Merchantability!$B:$C,2,0)="Yes",$E1010&gt;=VLOOKUP($D1010,Merchantability!$B:$D,3,0),$E1010&lt;=VLOOKUP($D1010,Merchantability!$B:$E,4,0)),AB1010,0)</f>
        <v>#N/A</v>
      </c>
      <c r="AH1010" s="104" t="e">
        <f>IF(AND(VLOOKUP($D1010,Merchantability!$B:$C,2,0)="Yes",$E1010&gt;=VLOOKUP($D1010,Merchantability!$B:$D,3,0),$E1010&lt;=VLOOKUP($D1010,Merchantability!$B:$E,4,0)),AC1010,0)</f>
        <v>#N/A</v>
      </c>
      <c r="AI1010" s="104" t="e">
        <f t="shared" si="465"/>
        <v>#N/A</v>
      </c>
      <c r="AJ1010" s="104" t="e">
        <f t="shared" si="466"/>
        <v>#VALUE!</v>
      </c>
      <c r="AK1010" s="104" t="e">
        <f t="shared" si="467"/>
        <v>#N/A</v>
      </c>
      <c r="AL1010" s="104" t="e">
        <f t="shared" si="468"/>
        <v>#N/A</v>
      </c>
      <c r="AM1010" s="104" t="e">
        <f t="shared" si="469"/>
        <v>#N/A</v>
      </c>
      <c r="AN1010" s="104" t="e">
        <f t="shared" si="453"/>
        <v>#N/A</v>
      </c>
      <c r="AO1010" s="104" t="e">
        <f t="shared" si="454"/>
        <v>#N/A</v>
      </c>
      <c r="AP1010" s="104" t="e">
        <f t="shared" si="455"/>
        <v>#N/A</v>
      </c>
      <c r="AQ1010" s="104" t="e">
        <f t="shared" si="456"/>
        <v>#N/A</v>
      </c>
      <c r="AR1010" s="105" t="str">
        <f t="shared" si="448"/>
        <v/>
      </c>
      <c r="AS1010" s="105" t="str">
        <f t="shared" si="449"/>
        <v/>
      </c>
      <c r="AT1010" s="108" t="str">
        <f t="shared" si="450"/>
        <v/>
      </c>
      <c r="AU1010" s="108" t="str">
        <f t="shared" si="451"/>
        <v/>
      </c>
      <c r="AV1010" s="107" t="str">
        <f>IF(ISNUMBER(O1010),IF(VLOOKUP($A1010,Stand!C:J,8,FALSE)="Short",AT1010,AU1010),"")</f>
        <v/>
      </c>
      <c r="AW1010" s="109" t="str">
        <f t="shared" si="457"/>
        <v/>
      </c>
      <c r="AX1010" s="109" t="str">
        <f t="shared" si="458"/>
        <v/>
      </c>
      <c r="AY1010" s="112" t="str">
        <f>IF(ISNUMBER(O1010),IF(AND(VLOOKUP($D1010,Merchantability!$B:$C,2,0)="Yes",$E1010&gt;=VLOOKUP($D1010,Merchantability!$B:$D,3,0),$E1010&lt;=VLOOKUP($D1010,Merchantability!$B:$E,4,0)),(AV1010*O1010)*(1-$H1010/100),""),"")</f>
        <v/>
      </c>
      <c r="AZ1010" s="116"/>
      <c r="BA1010" s="116"/>
      <c r="BB1010" s="116"/>
      <c r="BE1010" s="62"/>
      <c r="BF1010" s="63"/>
    </row>
    <row r="1011" spans="1:58" ht="12.75" customHeight="1" x14ac:dyDescent="0.25">
      <c r="A1011" s="313"/>
      <c r="B1011" s="328"/>
      <c r="C1011" s="329"/>
      <c r="D1011" s="328"/>
      <c r="E1011" s="330"/>
      <c r="F1011" s="328"/>
      <c r="G1011" s="329"/>
      <c r="H1011" s="329"/>
      <c r="I1011" s="328"/>
      <c r="J1011" s="383"/>
      <c r="K1011" s="329"/>
      <c r="L1011" s="329"/>
      <c r="M1011" s="76"/>
      <c r="N1011" s="103" t="str">
        <f>IF(A1011="","",VLOOKUP(A1011,Stand!C:K,9,0))</f>
        <v/>
      </c>
      <c r="O1011" s="104" t="str">
        <f t="shared" si="443"/>
        <v/>
      </c>
      <c r="P1011" s="105" t="str">
        <f t="shared" si="444"/>
        <v/>
      </c>
      <c r="Q1011" s="105" t="str">
        <f t="shared" si="459"/>
        <v/>
      </c>
      <c r="R1011" s="103" t="str">
        <f t="shared" si="445"/>
        <v/>
      </c>
      <c r="S1011" s="103" t="str">
        <f t="shared" si="446"/>
        <v/>
      </c>
      <c r="T1011" s="106" t="str">
        <f t="shared" si="460"/>
        <v/>
      </c>
      <c r="U1011" s="106" t="str">
        <f t="shared" si="461"/>
        <v/>
      </c>
      <c r="V1011" s="106" t="str">
        <f t="shared" si="462"/>
        <v/>
      </c>
      <c r="W1011" s="105" t="str">
        <f t="shared" si="447"/>
        <v/>
      </c>
      <c r="X1011" s="104" t="str">
        <f t="shared" si="452"/>
        <v/>
      </c>
      <c r="Y1011" s="104" t="str">
        <f t="array" ref="Y1011">IFERROR(IF(ISNUMBER(O1011),IF(COUNT(IF(A1011=$A$2:$A$2427,IF(D1011=$D$2:$D$2427,IF($X$2:$X$2427&gt;0,1))))&gt;0,SUM(IF(A1011=$A$2:$A$2427,IF(D1011=$D$2:$D$2427,$X$2:$X$2427)))/COUNT(IF(A1011=$A$2:$A$2427,IF(D1011=$D$2:$D$2427,IF(ISNUMBER($X$2:$X$2427),1)))),0),""),0)</f>
        <v/>
      </c>
      <c r="Z1011" s="104" t="str">
        <f>IF(ISNUMBER(O1011),IF(I1011&gt;0,(10^(VLOOKUP(D1011,'Species Codes'!B:C,2,0)+VLOOKUP(D1011,'Species Codes'!B:D,3,0)*LOG(E1011)+VLOOKUP(D1011,'Species Codes'!B:E,4,0)*LOG(I1011))),0),"")</f>
        <v/>
      </c>
      <c r="AA1011" s="104" t="str">
        <f>IFERROR((VLOOKUP(D1011,'Species Codes'!B:G,6,0)*Z1011)/2000,"")</f>
        <v/>
      </c>
      <c r="AB1011" s="104" t="e">
        <f>IF(Z1011&gt;0,((IF(OR(D1011="DF",D1011="RA")=TRUE,EXP(VLOOKUP(D1011,'Species Codes'!B:I,8,0)+VLOOKUP(D1011,'Species Codes'!B:J,9,0)*(LN((E1011*2.54)))),IF(OR(D1011="PY",D1011="RC",D1011="WH",D1011="NF")=TRUE,VLOOKUP(D1011,'Species Codes'!B:I,8,0)+VLOOKUP(D1011,'Species Codes'!B:J,9,0)*((E1011*2.54)^2)*(I1011*0.3048),IF(OR(D1011="MD",D1011="BM",D1011="GA")=TRUE,((VLOOKUP(D1011,'Species Codes'!B:I,8,0)*(((((E1011*2.54)+VLOOKUP(D1011,'Species Codes'!B:J,9,0))/VLOOKUP(D1011,'Species Codes'!B:K,10,0))^VLOOKUP(D1011,'Species Codes'!B:L,11,0))*((I1011*0.3048)^VLOOKUP(D1011,'Species Codes'!B:M,12,0))))-(VLOOKUP(D1011,'Species Codes'!B:I,8,0)*((((E1011*2.54)^VLOOKUP(D1011,'Species Codes'!B:L,11,0))*((I1011*0.3048)^VLOOKUP(D1011,'Species Codes'!B:M,12,0))))))*35.3*VLOOKUP(D1011,'Species Codes'!B:G,6,0)/2.2046,VLOOKUP(D1011,'Species Codes'!B:I,8,0)+VLOOKUP(D1011,'Species Codes'!B:J,9,0)*(((E1011*2.54)/100)^2)*(I1011*0.3048)))))*0.0011023),0)</f>
        <v>#N/A</v>
      </c>
      <c r="AC1011" s="104" t="e">
        <f>IF(Z1011&gt;0,((IF(OR(D1011="RA",D1011="OA",D1011="OT",D1011="UN",D1011="PC"),EXP(VLOOKUP(D1011,'Species Codes'!B:O,14,0)+VLOOKUP(D1011,'Species Codes'!B:P,15,0)*LN((E1011*2.54)))-EXP(VLOOKUP(D1011,'Species Codes'!B:O,14,0)+VLOOKUP(D1011,'Species Codes'!B:P,15,0)*LN((E1011*2.54)))*(1/(VLOOKUP(D1011,'Species Codes'!B:Q,16,0)+VLOOKUP(D1011,'Species Codes'!B:R,17,0)*((E1011*2.54)^VLOOKUP(D1011,'Species Codes'!B:S,18,0)))),IF(OR(D1011="BM",D1011="MD",D1011="OA"),EXP(VLOOKUP(D1011,'Species Codes'!B:O,14,0)+VLOOKUP(D1011,'Species Codes'!B:P,15,0)*LN((E1011*2.54)))*(1-(1/(VLOOKUP(D1011,'Species Codes'!B:Q,16,0)+VLOOKUP(D1011,'Species Codes'!B:R,17,0)*((E1011*2.54)^VLOOKUP(D1011,'Species Codes'!B:S,18,0)))))/1000,IF(D1011="DF",EXP(VLOOKUP(D1011,'Species Codes'!B:O,14,0)+VLOOKUP(D1011,'Species Codes'!B:P,15,0)*LN((E1011*2.54))),VLOOKUP(D1011,'Species Codes'!B:O,14,0)+VLOOKUP(D1011,'Species Codes'!B:P,15,0)*(((E1011*2.54)/100)^2)*(I1011*0.3048)))))*0.0011023),0)</f>
        <v>#N/A</v>
      </c>
      <c r="AD1011" s="104" t="e">
        <f t="shared" si="463"/>
        <v>#N/A</v>
      </c>
      <c r="AE1011" s="104" t="e">
        <f t="shared" si="464"/>
        <v>#N/A</v>
      </c>
      <c r="AF1011" s="104" t="e">
        <f>IF(AND(VLOOKUP($D1011,Merchantability!$B:$C,2,0)="Yes",$E1011&gt;=VLOOKUP($D1011,Merchantability!$B:$D,3,0),$E1011&lt;=VLOOKUP($D1011,Merchantability!$B:$E,4,0)),AA1011,0)</f>
        <v>#N/A</v>
      </c>
      <c r="AG1011" s="104" t="e">
        <f>IF(AND(VLOOKUP($D1011,Merchantability!$B:$C,2,0)="Yes",$E1011&gt;=VLOOKUP($D1011,Merchantability!$B:$D,3,0),$E1011&lt;=VLOOKUP($D1011,Merchantability!$B:$E,4,0)),AB1011,0)</f>
        <v>#N/A</v>
      </c>
      <c r="AH1011" s="104" t="e">
        <f>IF(AND(VLOOKUP($D1011,Merchantability!$B:$C,2,0)="Yes",$E1011&gt;=VLOOKUP($D1011,Merchantability!$B:$D,3,0),$E1011&lt;=VLOOKUP($D1011,Merchantability!$B:$E,4,0)),AC1011,0)</f>
        <v>#N/A</v>
      </c>
      <c r="AI1011" s="104" t="e">
        <f t="shared" si="465"/>
        <v>#N/A</v>
      </c>
      <c r="AJ1011" s="104" t="e">
        <f t="shared" si="466"/>
        <v>#VALUE!</v>
      </c>
      <c r="AK1011" s="104" t="e">
        <f t="shared" si="467"/>
        <v>#N/A</v>
      </c>
      <c r="AL1011" s="104" t="e">
        <f t="shared" si="468"/>
        <v>#N/A</v>
      </c>
      <c r="AM1011" s="104" t="e">
        <f t="shared" si="469"/>
        <v>#N/A</v>
      </c>
      <c r="AN1011" s="104" t="e">
        <f t="shared" si="453"/>
        <v>#N/A</v>
      </c>
      <c r="AO1011" s="104" t="e">
        <f t="shared" si="454"/>
        <v>#N/A</v>
      </c>
      <c r="AP1011" s="104" t="e">
        <f t="shared" si="455"/>
        <v>#N/A</v>
      </c>
      <c r="AQ1011" s="104" t="e">
        <f t="shared" si="456"/>
        <v>#N/A</v>
      </c>
      <c r="AR1011" s="105" t="str">
        <f t="shared" si="448"/>
        <v/>
      </c>
      <c r="AS1011" s="105" t="str">
        <f t="shared" si="449"/>
        <v/>
      </c>
      <c r="AT1011" s="108" t="str">
        <f t="shared" si="450"/>
        <v/>
      </c>
      <c r="AU1011" s="108" t="str">
        <f t="shared" si="451"/>
        <v/>
      </c>
      <c r="AV1011" s="107" t="str">
        <f>IF(ISNUMBER(O1011),IF(VLOOKUP($A1011,Stand!C:J,8,FALSE)="Short",AT1011,AU1011),"")</f>
        <v/>
      </c>
      <c r="AW1011" s="109" t="str">
        <f t="shared" si="457"/>
        <v/>
      </c>
      <c r="AX1011" s="109" t="str">
        <f t="shared" si="458"/>
        <v/>
      </c>
      <c r="AY1011" s="112" t="str">
        <f>IF(ISNUMBER(O1011),IF(AND(VLOOKUP($D1011,Merchantability!$B:$C,2,0)="Yes",$E1011&gt;=VLOOKUP($D1011,Merchantability!$B:$D,3,0),$E1011&lt;=VLOOKUP($D1011,Merchantability!$B:$E,4,0)),(AV1011*O1011)*(1-$H1011/100),""),"")</f>
        <v/>
      </c>
      <c r="AZ1011" s="116"/>
      <c r="BA1011" s="116"/>
      <c r="BB1011" s="116"/>
      <c r="BE1011" s="62"/>
      <c r="BF1011" s="63"/>
    </row>
    <row r="1012" spans="1:58" ht="12.75" customHeight="1" x14ac:dyDescent="0.25">
      <c r="A1012" s="313"/>
      <c r="B1012" s="328"/>
      <c r="C1012" s="329"/>
      <c r="D1012" s="328"/>
      <c r="E1012" s="330"/>
      <c r="F1012" s="328"/>
      <c r="G1012" s="329"/>
      <c r="H1012" s="329"/>
      <c r="I1012" s="328"/>
      <c r="J1012" s="383"/>
      <c r="K1012" s="329"/>
      <c r="L1012" s="329"/>
      <c r="M1012" s="76"/>
      <c r="N1012" s="103" t="str">
        <f>IF(A1012="","",VLOOKUP(A1012,Stand!C:K,9,0))</f>
        <v/>
      </c>
      <c r="O1012" s="104" t="str">
        <f t="shared" si="443"/>
        <v/>
      </c>
      <c r="P1012" s="105" t="str">
        <f t="shared" si="444"/>
        <v/>
      </c>
      <c r="Q1012" s="105" t="str">
        <f t="shared" si="459"/>
        <v/>
      </c>
      <c r="R1012" s="103" t="str">
        <f t="shared" si="445"/>
        <v/>
      </c>
      <c r="S1012" s="103" t="str">
        <f t="shared" si="446"/>
        <v/>
      </c>
      <c r="T1012" s="106" t="str">
        <f t="shared" si="460"/>
        <v/>
      </c>
      <c r="U1012" s="106" t="str">
        <f t="shared" si="461"/>
        <v/>
      </c>
      <c r="V1012" s="106" t="str">
        <f t="shared" si="462"/>
        <v/>
      </c>
      <c r="W1012" s="105" t="str">
        <f t="shared" si="447"/>
        <v/>
      </c>
      <c r="X1012" s="104" t="str">
        <f t="shared" si="452"/>
        <v/>
      </c>
      <c r="Y1012" s="104" t="str">
        <f t="array" ref="Y1012">IFERROR(IF(ISNUMBER(O1012),IF(COUNT(IF(A1012=$A$2:$A$2427,IF(D1012=$D$2:$D$2427,IF($X$2:$X$2427&gt;0,1))))&gt;0,SUM(IF(A1012=$A$2:$A$2427,IF(D1012=$D$2:$D$2427,$X$2:$X$2427)))/COUNT(IF(A1012=$A$2:$A$2427,IF(D1012=$D$2:$D$2427,IF(ISNUMBER($X$2:$X$2427),1)))),0),""),0)</f>
        <v/>
      </c>
      <c r="Z1012" s="104" t="str">
        <f>IF(ISNUMBER(O1012),IF(I1012&gt;0,(10^(VLOOKUP(D1012,'Species Codes'!B:C,2,0)+VLOOKUP(D1012,'Species Codes'!B:D,3,0)*LOG(E1012)+VLOOKUP(D1012,'Species Codes'!B:E,4,0)*LOG(I1012))),0),"")</f>
        <v/>
      </c>
      <c r="AA1012" s="104" t="str">
        <f>IFERROR((VLOOKUP(D1012,'Species Codes'!B:G,6,0)*Z1012)/2000,"")</f>
        <v/>
      </c>
      <c r="AB1012" s="104" t="e">
        <f>IF(Z1012&gt;0,((IF(OR(D1012="DF",D1012="RA")=TRUE,EXP(VLOOKUP(D1012,'Species Codes'!B:I,8,0)+VLOOKUP(D1012,'Species Codes'!B:J,9,0)*(LN((E1012*2.54)))),IF(OR(D1012="PY",D1012="RC",D1012="WH",D1012="NF")=TRUE,VLOOKUP(D1012,'Species Codes'!B:I,8,0)+VLOOKUP(D1012,'Species Codes'!B:J,9,0)*((E1012*2.54)^2)*(I1012*0.3048),IF(OR(D1012="MD",D1012="BM",D1012="GA")=TRUE,((VLOOKUP(D1012,'Species Codes'!B:I,8,0)*(((((E1012*2.54)+VLOOKUP(D1012,'Species Codes'!B:J,9,0))/VLOOKUP(D1012,'Species Codes'!B:K,10,0))^VLOOKUP(D1012,'Species Codes'!B:L,11,0))*((I1012*0.3048)^VLOOKUP(D1012,'Species Codes'!B:M,12,0))))-(VLOOKUP(D1012,'Species Codes'!B:I,8,0)*((((E1012*2.54)^VLOOKUP(D1012,'Species Codes'!B:L,11,0))*((I1012*0.3048)^VLOOKUP(D1012,'Species Codes'!B:M,12,0))))))*35.3*VLOOKUP(D1012,'Species Codes'!B:G,6,0)/2.2046,VLOOKUP(D1012,'Species Codes'!B:I,8,0)+VLOOKUP(D1012,'Species Codes'!B:J,9,0)*(((E1012*2.54)/100)^2)*(I1012*0.3048)))))*0.0011023),0)</f>
        <v>#N/A</v>
      </c>
      <c r="AC1012" s="104" t="e">
        <f>IF(Z1012&gt;0,((IF(OR(D1012="RA",D1012="OA",D1012="OT",D1012="UN",D1012="PC"),EXP(VLOOKUP(D1012,'Species Codes'!B:O,14,0)+VLOOKUP(D1012,'Species Codes'!B:P,15,0)*LN((E1012*2.54)))-EXP(VLOOKUP(D1012,'Species Codes'!B:O,14,0)+VLOOKUP(D1012,'Species Codes'!B:P,15,0)*LN((E1012*2.54)))*(1/(VLOOKUP(D1012,'Species Codes'!B:Q,16,0)+VLOOKUP(D1012,'Species Codes'!B:R,17,0)*((E1012*2.54)^VLOOKUP(D1012,'Species Codes'!B:S,18,0)))),IF(OR(D1012="BM",D1012="MD",D1012="OA"),EXP(VLOOKUP(D1012,'Species Codes'!B:O,14,0)+VLOOKUP(D1012,'Species Codes'!B:P,15,0)*LN((E1012*2.54)))*(1-(1/(VLOOKUP(D1012,'Species Codes'!B:Q,16,0)+VLOOKUP(D1012,'Species Codes'!B:R,17,0)*((E1012*2.54)^VLOOKUP(D1012,'Species Codes'!B:S,18,0)))))/1000,IF(D1012="DF",EXP(VLOOKUP(D1012,'Species Codes'!B:O,14,0)+VLOOKUP(D1012,'Species Codes'!B:P,15,0)*LN((E1012*2.54))),VLOOKUP(D1012,'Species Codes'!B:O,14,0)+VLOOKUP(D1012,'Species Codes'!B:P,15,0)*(((E1012*2.54)/100)^2)*(I1012*0.3048)))))*0.0011023),0)</f>
        <v>#N/A</v>
      </c>
      <c r="AD1012" s="104" t="e">
        <f t="shared" si="463"/>
        <v>#N/A</v>
      </c>
      <c r="AE1012" s="104" t="e">
        <f t="shared" si="464"/>
        <v>#N/A</v>
      </c>
      <c r="AF1012" s="104" t="e">
        <f>IF(AND(VLOOKUP($D1012,Merchantability!$B:$C,2,0)="Yes",$E1012&gt;=VLOOKUP($D1012,Merchantability!$B:$D,3,0),$E1012&lt;=VLOOKUP($D1012,Merchantability!$B:$E,4,0)),AA1012,0)</f>
        <v>#N/A</v>
      </c>
      <c r="AG1012" s="104" t="e">
        <f>IF(AND(VLOOKUP($D1012,Merchantability!$B:$C,2,0)="Yes",$E1012&gt;=VLOOKUP($D1012,Merchantability!$B:$D,3,0),$E1012&lt;=VLOOKUP($D1012,Merchantability!$B:$E,4,0)),AB1012,0)</f>
        <v>#N/A</v>
      </c>
      <c r="AH1012" s="104" t="e">
        <f>IF(AND(VLOOKUP($D1012,Merchantability!$B:$C,2,0)="Yes",$E1012&gt;=VLOOKUP($D1012,Merchantability!$B:$D,3,0),$E1012&lt;=VLOOKUP($D1012,Merchantability!$B:$E,4,0)),AC1012,0)</f>
        <v>#N/A</v>
      </c>
      <c r="AI1012" s="104" t="e">
        <f t="shared" si="465"/>
        <v>#N/A</v>
      </c>
      <c r="AJ1012" s="104" t="e">
        <f t="shared" si="466"/>
        <v>#VALUE!</v>
      </c>
      <c r="AK1012" s="104" t="e">
        <f t="shared" si="467"/>
        <v>#N/A</v>
      </c>
      <c r="AL1012" s="104" t="e">
        <f t="shared" si="468"/>
        <v>#N/A</v>
      </c>
      <c r="AM1012" s="104" t="e">
        <f t="shared" si="469"/>
        <v>#N/A</v>
      </c>
      <c r="AN1012" s="104" t="e">
        <f t="shared" si="453"/>
        <v>#N/A</v>
      </c>
      <c r="AO1012" s="104" t="e">
        <f t="shared" si="454"/>
        <v>#N/A</v>
      </c>
      <c r="AP1012" s="104" t="e">
        <f t="shared" si="455"/>
        <v>#N/A</v>
      </c>
      <c r="AQ1012" s="104" t="e">
        <f t="shared" si="456"/>
        <v>#N/A</v>
      </c>
      <c r="AR1012" s="105" t="str">
        <f t="shared" si="448"/>
        <v/>
      </c>
      <c r="AS1012" s="105" t="str">
        <f t="shared" si="449"/>
        <v/>
      </c>
      <c r="AT1012" s="108" t="str">
        <f t="shared" si="450"/>
        <v/>
      </c>
      <c r="AU1012" s="108" t="str">
        <f t="shared" si="451"/>
        <v/>
      </c>
      <c r="AV1012" s="107" t="str">
        <f>IF(ISNUMBER(O1012),IF(VLOOKUP($A1012,Stand!C:J,8,FALSE)="Short",AT1012,AU1012),"")</f>
        <v/>
      </c>
      <c r="AW1012" s="109" t="str">
        <f t="shared" si="457"/>
        <v/>
      </c>
      <c r="AX1012" s="109" t="str">
        <f t="shared" si="458"/>
        <v/>
      </c>
      <c r="AY1012" s="112" t="str">
        <f>IF(ISNUMBER(O1012),IF(AND(VLOOKUP($D1012,Merchantability!$B:$C,2,0)="Yes",$E1012&gt;=VLOOKUP($D1012,Merchantability!$B:$D,3,0),$E1012&lt;=VLOOKUP($D1012,Merchantability!$B:$E,4,0)),(AV1012*O1012)*(1-$H1012/100),""),"")</f>
        <v/>
      </c>
      <c r="AZ1012" s="116"/>
      <c r="BA1012" s="116"/>
      <c r="BB1012" s="116"/>
      <c r="BE1012" s="62"/>
      <c r="BF1012" s="63"/>
    </row>
    <row r="1013" spans="1:58" ht="12.75" customHeight="1" x14ac:dyDescent="0.25">
      <c r="A1013" s="313"/>
      <c r="B1013" s="328"/>
      <c r="C1013" s="329"/>
      <c r="D1013" s="328"/>
      <c r="E1013" s="330"/>
      <c r="F1013" s="328"/>
      <c r="G1013" s="329"/>
      <c r="H1013" s="329"/>
      <c r="I1013" s="328"/>
      <c r="J1013" s="383"/>
      <c r="K1013" s="329"/>
      <c r="L1013" s="329"/>
      <c r="M1013" s="76"/>
      <c r="N1013" s="103" t="str">
        <f>IF(A1013="","",VLOOKUP(A1013,Stand!C:K,9,0))</f>
        <v/>
      </c>
      <c r="O1013" s="104" t="str">
        <f t="shared" si="443"/>
        <v/>
      </c>
      <c r="P1013" s="105" t="str">
        <f t="shared" si="444"/>
        <v/>
      </c>
      <c r="Q1013" s="105" t="str">
        <f t="shared" si="459"/>
        <v/>
      </c>
      <c r="R1013" s="103" t="str">
        <f t="shared" si="445"/>
        <v/>
      </c>
      <c r="S1013" s="103" t="str">
        <f t="shared" si="446"/>
        <v/>
      </c>
      <c r="T1013" s="106" t="str">
        <f t="shared" si="460"/>
        <v/>
      </c>
      <c r="U1013" s="106" t="str">
        <f t="shared" si="461"/>
        <v/>
      </c>
      <c r="V1013" s="106" t="str">
        <f t="shared" si="462"/>
        <v/>
      </c>
      <c r="W1013" s="105" t="str">
        <f t="shared" si="447"/>
        <v/>
      </c>
      <c r="X1013" s="104" t="str">
        <f t="shared" si="452"/>
        <v/>
      </c>
      <c r="Y1013" s="104" t="str">
        <f t="array" ref="Y1013">IFERROR(IF(ISNUMBER(O1013),IF(COUNT(IF(A1013=$A$2:$A$2427,IF(D1013=$D$2:$D$2427,IF($X$2:$X$2427&gt;0,1))))&gt;0,SUM(IF(A1013=$A$2:$A$2427,IF(D1013=$D$2:$D$2427,$X$2:$X$2427)))/COUNT(IF(A1013=$A$2:$A$2427,IF(D1013=$D$2:$D$2427,IF(ISNUMBER($X$2:$X$2427),1)))),0),""),0)</f>
        <v/>
      </c>
      <c r="Z1013" s="104" t="str">
        <f>IF(ISNUMBER(O1013),IF(I1013&gt;0,(10^(VLOOKUP(D1013,'Species Codes'!B:C,2,0)+VLOOKUP(D1013,'Species Codes'!B:D,3,0)*LOG(E1013)+VLOOKUP(D1013,'Species Codes'!B:E,4,0)*LOG(I1013))),0),"")</f>
        <v/>
      </c>
      <c r="AA1013" s="104" t="str">
        <f>IFERROR((VLOOKUP(D1013,'Species Codes'!B:G,6,0)*Z1013)/2000,"")</f>
        <v/>
      </c>
      <c r="AB1013" s="104" t="e">
        <f>IF(Z1013&gt;0,((IF(OR(D1013="DF",D1013="RA")=TRUE,EXP(VLOOKUP(D1013,'Species Codes'!B:I,8,0)+VLOOKUP(D1013,'Species Codes'!B:J,9,0)*(LN((E1013*2.54)))),IF(OR(D1013="PY",D1013="RC",D1013="WH",D1013="NF")=TRUE,VLOOKUP(D1013,'Species Codes'!B:I,8,0)+VLOOKUP(D1013,'Species Codes'!B:J,9,0)*((E1013*2.54)^2)*(I1013*0.3048),IF(OR(D1013="MD",D1013="BM",D1013="GA")=TRUE,((VLOOKUP(D1013,'Species Codes'!B:I,8,0)*(((((E1013*2.54)+VLOOKUP(D1013,'Species Codes'!B:J,9,0))/VLOOKUP(D1013,'Species Codes'!B:K,10,0))^VLOOKUP(D1013,'Species Codes'!B:L,11,0))*((I1013*0.3048)^VLOOKUP(D1013,'Species Codes'!B:M,12,0))))-(VLOOKUP(D1013,'Species Codes'!B:I,8,0)*((((E1013*2.54)^VLOOKUP(D1013,'Species Codes'!B:L,11,0))*((I1013*0.3048)^VLOOKUP(D1013,'Species Codes'!B:M,12,0))))))*35.3*VLOOKUP(D1013,'Species Codes'!B:G,6,0)/2.2046,VLOOKUP(D1013,'Species Codes'!B:I,8,0)+VLOOKUP(D1013,'Species Codes'!B:J,9,0)*(((E1013*2.54)/100)^2)*(I1013*0.3048)))))*0.0011023),0)</f>
        <v>#N/A</v>
      </c>
      <c r="AC1013" s="104" t="e">
        <f>IF(Z1013&gt;0,((IF(OR(D1013="RA",D1013="OA",D1013="OT",D1013="UN",D1013="PC"),EXP(VLOOKUP(D1013,'Species Codes'!B:O,14,0)+VLOOKUP(D1013,'Species Codes'!B:P,15,0)*LN((E1013*2.54)))-EXP(VLOOKUP(D1013,'Species Codes'!B:O,14,0)+VLOOKUP(D1013,'Species Codes'!B:P,15,0)*LN((E1013*2.54)))*(1/(VLOOKUP(D1013,'Species Codes'!B:Q,16,0)+VLOOKUP(D1013,'Species Codes'!B:R,17,0)*((E1013*2.54)^VLOOKUP(D1013,'Species Codes'!B:S,18,0)))),IF(OR(D1013="BM",D1013="MD",D1013="OA"),EXP(VLOOKUP(D1013,'Species Codes'!B:O,14,0)+VLOOKUP(D1013,'Species Codes'!B:P,15,0)*LN((E1013*2.54)))*(1-(1/(VLOOKUP(D1013,'Species Codes'!B:Q,16,0)+VLOOKUP(D1013,'Species Codes'!B:R,17,0)*((E1013*2.54)^VLOOKUP(D1013,'Species Codes'!B:S,18,0)))))/1000,IF(D1013="DF",EXP(VLOOKUP(D1013,'Species Codes'!B:O,14,0)+VLOOKUP(D1013,'Species Codes'!B:P,15,0)*LN((E1013*2.54))),VLOOKUP(D1013,'Species Codes'!B:O,14,0)+VLOOKUP(D1013,'Species Codes'!B:P,15,0)*(((E1013*2.54)/100)^2)*(I1013*0.3048)))))*0.0011023),0)</f>
        <v>#N/A</v>
      </c>
      <c r="AD1013" s="104" t="e">
        <f t="shared" si="463"/>
        <v>#N/A</v>
      </c>
      <c r="AE1013" s="104" t="e">
        <f t="shared" si="464"/>
        <v>#N/A</v>
      </c>
      <c r="AF1013" s="104" t="e">
        <f>IF(AND(VLOOKUP($D1013,Merchantability!$B:$C,2,0)="Yes",$E1013&gt;=VLOOKUP($D1013,Merchantability!$B:$D,3,0),$E1013&lt;=VLOOKUP($D1013,Merchantability!$B:$E,4,0)),AA1013,0)</f>
        <v>#N/A</v>
      </c>
      <c r="AG1013" s="104" t="e">
        <f>IF(AND(VLOOKUP($D1013,Merchantability!$B:$C,2,0)="Yes",$E1013&gt;=VLOOKUP($D1013,Merchantability!$B:$D,3,0),$E1013&lt;=VLOOKUP($D1013,Merchantability!$B:$E,4,0)),AB1013,0)</f>
        <v>#N/A</v>
      </c>
      <c r="AH1013" s="104" t="e">
        <f>IF(AND(VLOOKUP($D1013,Merchantability!$B:$C,2,0)="Yes",$E1013&gt;=VLOOKUP($D1013,Merchantability!$B:$D,3,0),$E1013&lt;=VLOOKUP($D1013,Merchantability!$B:$E,4,0)),AC1013,0)</f>
        <v>#N/A</v>
      </c>
      <c r="AI1013" s="104" t="e">
        <f t="shared" si="465"/>
        <v>#N/A</v>
      </c>
      <c r="AJ1013" s="104" t="e">
        <f t="shared" si="466"/>
        <v>#VALUE!</v>
      </c>
      <c r="AK1013" s="104" t="e">
        <f t="shared" si="467"/>
        <v>#N/A</v>
      </c>
      <c r="AL1013" s="104" t="e">
        <f t="shared" si="468"/>
        <v>#N/A</v>
      </c>
      <c r="AM1013" s="104" t="e">
        <f t="shared" si="469"/>
        <v>#N/A</v>
      </c>
      <c r="AN1013" s="104" t="e">
        <f t="shared" si="453"/>
        <v>#N/A</v>
      </c>
      <c r="AO1013" s="104" t="e">
        <f t="shared" si="454"/>
        <v>#N/A</v>
      </c>
      <c r="AP1013" s="104" t="e">
        <f t="shared" si="455"/>
        <v>#N/A</v>
      </c>
      <c r="AQ1013" s="104" t="e">
        <f t="shared" si="456"/>
        <v>#N/A</v>
      </c>
      <c r="AR1013" s="105" t="str">
        <f t="shared" si="448"/>
        <v/>
      </c>
      <c r="AS1013" s="105" t="str">
        <f t="shared" si="449"/>
        <v/>
      </c>
      <c r="AT1013" s="108" t="str">
        <f t="shared" si="450"/>
        <v/>
      </c>
      <c r="AU1013" s="108" t="str">
        <f t="shared" si="451"/>
        <v/>
      </c>
      <c r="AV1013" s="107" t="str">
        <f>IF(ISNUMBER(O1013),IF(VLOOKUP($A1013,Stand!C:J,8,FALSE)="Short",AT1013,AU1013),"")</f>
        <v/>
      </c>
      <c r="AW1013" s="109" t="str">
        <f t="shared" si="457"/>
        <v/>
      </c>
      <c r="AX1013" s="109" t="str">
        <f t="shared" si="458"/>
        <v/>
      </c>
      <c r="AY1013" s="112" t="str">
        <f>IF(ISNUMBER(O1013),IF(AND(VLOOKUP($D1013,Merchantability!$B:$C,2,0)="Yes",$E1013&gt;=VLOOKUP($D1013,Merchantability!$B:$D,3,0),$E1013&lt;=VLOOKUP($D1013,Merchantability!$B:$E,4,0)),(AV1013*O1013)*(1-$H1013/100),""),"")</f>
        <v/>
      </c>
      <c r="AZ1013" s="116"/>
      <c r="BA1013" s="116"/>
      <c r="BB1013" s="116"/>
      <c r="BE1013" s="62"/>
      <c r="BF1013" s="63"/>
    </row>
    <row r="1014" spans="1:58" ht="12.75" customHeight="1" x14ac:dyDescent="0.25">
      <c r="A1014" s="313"/>
      <c r="B1014" s="328"/>
      <c r="C1014" s="329"/>
      <c r="D1014" s="328"/>
      <c r="E1014" s="330"/>
      <c r="F1014" s="328"/>
      <c r="G1014" s="329"/>
      <c r="H1014" s="329"/>
      <c r="I1014" s="328"/>
      <c r="J1014" s="383"/>
      <c r="K1014" s="329"/>
      <c r="L1014" s="329"/>
      <c r="M1014" s="76"/>
      <c r="N1014" s="103" t="str">
        <f>IF(A1014="","",VLOOKUP(A1014,Stand!C:K,9,0))</f>
        <v/>
      </c>
      <c r="O1014" s="104" t="str">
        <f t="shared" si="443"/>
        <v/>
      </c>
      <c r="P1014" s="105" t="str">
        <f t="shared" si="444"/>
        <v/>
      </c>
      <c r="Q1014" s="105" t="str">
        <f t="shared" si="459"/>
        <v/>
      </c>
      <c r="R1014" s="103" t="str">
        <f t="shared" si="445"/>
        <v/>
      </c>
      <c r="S1014" s="103" t="str">
        <f t="shared" si="446"/>
        <v/>
      </c>
      <c r="T1014" s="106" t="str">
        <f t="shared" si="460"/>
        <v/>
      </c>
      <c r="U1014" s="106" t="str">
        <f t="shared" si="461"/>
        <v/>
      </c>
      <c r="V1014" s="106" t="str">
        <f t="shared" si="462"/>
        <v/>
      </c>
      <c r="W1014" s="105" t="str">
        <f t="shared" si="447"/>
        <v/>
      </c>
      <c r="X1014" s="104" t="str">
        <f t="shared" si="452"/>
        <v/>
      </c>
      <c r="Y1014" s="104" t="str">
        <f t="array" ref="Y1014">IFERROR(IF(ISNUMBER(O1014),IF(COUNT(IF(A1014=$A$2:$A$2427,IF(D1014=$D$2:$D$2427,IF($X$2:$X$2427&gt;0,1))))&gt;0,SUM(IF(A1014=$A$2:$A$2427,IF(D1014=$D$2:$D$2427,$X$2:$X$2427)))/COUNT(IF(A1014=$A$2:$A$2427,IF(D1014=$D$2:$D$2427,IF(ISNUMBER($X$2:$X$2427),1)))),0),""),0)</f>
        <v/>
      </c>
      <c r="Z1014" s="104" t="str">
        <f>IF(ISNUMBER(O1014),IF(I1014&gt;0,(10^(VLOOKUP(D1014,'Species Codes'!B:C,2,0)+VLOOKUP(D1014,'Species Codes'!B:D,3,0)*LOG(E1014)+VLOOKUP(D1014,'Species Codes'!B:E,4,0)*LOG(I1014))),0),"")</f>
        <v/>
      </c>
      <c r="AA1014" s="104" t="str">
        <f>IFERROR((VLOOKUP(D1014,'Species Codes'!B:G,6,0)*Z1014)/2000,"")</f>
        <v/>
      </c>
      <c r="AB1014" s="104" t="e">
        <f>IF(Z1014&gt;0,((IF(OR(D1014="DF",D1014="RA")=TRUE,EXP(VLOOKUP(D1014,'Species Codes'!B:I,8,0)+VLOOKUP(D1014,'Species Codes'!B:J,9,0)*(LN((E1014*2.54)))),IF(OR(D1014="PY",D1014="RC",D1014="WH",D1014="NF")=TRUE,VLOOKUP(D1014,'Species Codes'!B:I,8,0)+VLOOKUP(D1014,'Species Codes'!B:J,9,0)*((E1014*2.54)^2)*(I1014*0.3048),IF(OR(D1014="MD",D1014="BM",D1014="GA")=TRUE,((VLOOKUP(D1014,'Species Codes'!B:I,8,0)*(((((E1014*2.54)+VLOOKUP(D1014,'Species Codes'!B:J,9,0))/VLOOKUP(D1014,'Species Codes'!B:K,10,0))^VLOOKUP(D1014,'Species Codes'!B:L,11,0))*((I1014*0.3048)^VLOOKUP(D1014,'Species Codes'!B:M,12,0))))-(VLOOKUP(D1014,'Species Codes'!B:I,8,0)*((((E1014*2.54)^VLOOKUP(D1014,'Species Codes'!B:L,11,0))*((I1014*0.3048)^VLOOKUP(D1014,'Species Codes'!B:M,12,0))))))*35.3*VLOOKUP(D1014,'Species Codes'!B:G,6,0)/2.2046,VLOOKUP(D1014,'Species Codes'!B:I,8,0)+VLOOKUP(D1014,'Species Codes'!B:J,9,0)*(((E1014*2.54)/100)^2)*(I1014*0.3048)))))*0.0011023),0)</f>
        <v>#N/A</v>
      </c>
      <c r="AC1014" s="104" t="e">
        <f>IF(Z1014&gt;0,((IF(OR(D1014="RA",D1014="OA",D1014="OT",D1014="UN",D1014="PC"),EXP(VLOOKUP(D1014,'Species Codes'!B:O,14,0)+VLOOKUP(D1014,'Species Codes'!B:P,15,0)*LN((E1014*2.54)))-EXP(VLOOKUP(D1014,'Species Codes'!B:O,14,0)+VLOOKUP(D1014,'Species Codes'!B:P,15,0)*LN((E1014*2.54)))*(1/(VLOOKUP(D1014,'Species Codes'!B:Q,16,0)+VLOOKUP(D1014,'Species Codes'!B:R,17,0)*((E1014*2.54)^VLOOKUP(D1014,'Species Codes'!B:S,18,0)))),IF(OR(D1014="BM",D1014="MD",D1014="OA"),EXP(VLOOKUP(D1014,'Species Codes'!B:O,14,0)+VLOOKUP(D1014,'Species Codes'!B:P,15,0)*LN((E1014*2.54)))*(1-(1/(VLOOKUP(D1014,'Species Codes'!B:Q,16,0)+VLOOKUP(D1014,'Species Codes'!B:R,17,0)*((E1014*2.54)^VLOOKUP(D1014,'Species Codes'!B:S,18,0)))))/1000,IF(D1014="DF",EXP(VLOOKUP(D1014,'Species Codes'!B:O,14,0)+VLOOKUP(D1014,'Species Codes'!B:P,15,0)*LN((E1014*2.54))),VLOOKUP(D1014,'Species Codes'!B:O,14,0)+VLOOKUP(D1014,'Species Codes'!B:P,15,0)*(((E1014*2.54)/100)^2)*(I1014*0.3048)))))*0.0011023),0)</f>
        <v>#N/A</v>
      </c>
      <c r="AD1014" s="104" t="e">
        <f t="shared" si="463"/>
        <v>#N/A</v>
      </c>
      <c r="AE1014" s="104" t="e">
        <f t="shared" si="464"/>
        <v>#N/A</v>
      </c>
      <c r="AF1014" s="104" t="e">
        <f>IF(AND(VLOOKUP($D1014,Merchantability!$B:$C,2,0)="Yes",$E1014&gt;=VLOOKUP($D1014,Merchantability!$B:$D,3,0),$E1014&lt;=VLOOKUP($D1014,Merchantability!$B:$E,4,0)),AA1014,0)</f>
        <v>#N/A</v>
      </c>
      <c r="AG1014" s="104" t="e">
        <f>IF(AND(VLOOKUP($D1014,Merchantability!$B:$C,2,0)="Yes",$E1014&gt;=VLOOKUP($D1014,Merchantability!$B:$D,3,0),$E1014&lt;=VLOOKUP($D1014,Merchantability!$B:$E,4,0)),AB1014,0)</f>
        <v>#N/A</v>
      </c>
      <c r="AH1014" s="104" t="e">
        <f>IF(AND(VLOOKUP($D1014,Merchantability!$B:$C,2,0)="Yes",$E1014&gt;=VLOOKUP($D1014,Merchantability!$B:$D,3,0),$E1014&lt;=VLOOKUP($D1014,Merchantability!$B:$E,4,0)),AC1014,0)</f>
        <v>#N/A</v>
      </c>
      <c r="AI1014" s="104" t="e">
        <f t="shared" si="465"/>
        <v>#N/A</v>
      </c>
      <c r="AJ1014" s="104" t="e">
        <f t="shared" si="466"/>
        <v>#VALUE!</v>
      </c>
      <c r="AK1014" s="104" t="e">
        <f t="shared" si="467"/>
        <v>#N/A</v>
      </c>
      <c r="AL1014" s="104" t="e">
        <f t="shared" si="468"/>
        <v>#N/A</v>
      </c>
      <c r="AM1014" s="104" t="e">
        <f t="shared" si="469"/>
        <v>#N/A</v>
      </c>
      <c r="AN1014" s="104" t="e">
        <f t="shared" si="453"/>
        <v>#N/A</v>
      </c>
      <c r="AO1014" s="104" t="e">
        <f t="shared" si="454"/>
        <v>#N/A</v>
      </c>
      <c r="AP1014" s="104" t="e">
        <f t="shared" si="455"/>
        <v>#N/A</v>
      </c>
      <c r="AQ1014" s="104" t="e">
        <f t="shared" si="456"/>
        <v>#N/A</v>
      </c>
      <c r="AR1014" s="105" t="str">
        <f t="shared" si="448"/>
        <v/>
      </c>
      <c r="AS1014" s="105" t="str">
        <f t="shared" si="449"/>
        <v/>
      </c>
      <c r="AT1014" s="108" t="str">
        <f t="shared" si="450"/>
        <v/>
      </c>
      <c r="AU1014" s="108" t="str">
        <f t="shared" si="451"/>
        <v/>
      </c>
      <c r="AV1014" s="107" t="str">
        <f>IF(ISNUMBER(O1014),IF(VLOOKUP($A1014,Stand!C:J,8,FALSE)="Short",AT1014,AU1014),"")</f>
        <v/>
      </c>
      <c r="AW1014" s="109" t="str">
        <f t="shared" si="457"/>
        <v/>
      </c>
      <c r="AX1014" s="109" t="str">
        <f t="shared" si="458"/>
        <v/>
      </c>
      <c r="AY1014" s="112" t="str">
        <f>IF(ISNUMBER(O1014),IF(AND(VLOOKUP($D1014,Merchantability!$B:$C,2,0)="Yes",$E1014&gt;=VLOOKUP($D1014,Merchantability!$B:$D,3,0),$E1014&lt;=VLOOKUP($D1014,Merchantability!$B:$E,4,0)),(AV1014*O1014)*(1-$H1014/100),""),"")</f>
        <v/>
      </c>
      <c r="AZ1014" s="116"/>
      <c r="BA1014" s="116"/>
      <c r="BB1014" s="116"/>
      <c r="BE1014" s="62"/>
      <c r="BF1014" s="63"/>
    </row>
    <row r="1015" spans="1:58" ht="12.75" customHeight="1" x14ac:dyDescent="0.25">
      <c r="A1015" s="313"/>
      <c r="B1015" s="328"/>
      <c r="C1015" s="329"/>
      <c r="D1015" s="328"/>
      <c r="E1015" s="330"/>
      <c r="F1015" s="328"/>
      <c r="G1015" s="329"/>
      <c r="H1015" s="329"/>
      <c r="I1015" s="328"/>
      <c r="J1015" s="383"/>
      <c r="K1015" s="329"/>
      <c r="L1015" s="329"/>
      <c r="M1015" s="76"/>
      <c r="N1015" s="103" t="str">
        <f>IF(A1015="","",VLOOKUP(A1015,Stand!C:K,9,0))</f>
        <v/>
      </c>
      <c r="O1015" s="104" t="str">
        <f t="shared" si="443"/>
        <v/>
      </c>
      <c r="P1015" s="105" t="str">
        <f t="shared" si="444"/>
        <v/>
      </c>
      <c r="Q1015" s="105" t="str">
        <f t="shared" si="459"/>
        <v/>
      </c>
      <c r="R1015" s="103" t="str">
        <f t="shared" si="445"/>
        <v/>
      </c>
      <c r="S1015" s="103" t="str">
        <f t="shared" si="446"/>
        <v/>
      </c>
      <c r="T1015" s="106" t="str">
        <f t="shared" si="460"/>
        <v/>
      </c>
      <c r="U1015" s="106" t="str">
        <f t="shared" si="461"/>
        <v/>
      </c>
      <c r="V1015" s="106" t="str">
        <f t="shared" si="462"/>
        <v/>
      </c>
      <c r="W1015" s="105" t="str">
        <f t="shared" si="447"/>
        <v/>
      </c>
      <c r="X1015" s="104" t="str">
        <f t="shared" si="452"/>
        <v/>
      </c>
      <c r="Y1015" s="104" t="str">
        <f t="array" ref="Y1015">IFERROR(IF(ISNUMBER(O1015),IF(COUNT(IF(A1015=$A$2:$A$2427,IF(D1015=$D$2:$D$2427,IF($X$2:$X$2427&gt;0,1))))&gt;0,SUM(IF(A1015=$A$2:$A$2427,IF(D1015=$D$2:$D$2427,$X$2:$X$2427)))/COUNT(IF(A1015=$A$2:$A$2427,IF(D1015=$D$2:$D$2427,IF(ISNUMBER($X$2:$X$2427),1)))),0),""),0)</f>
        <v/>
      </c>
      <c r="Z1015" s="104" t="str">
        <f>IF(ISNUMBER(O1015),IF(I1015&gt;0,(10^(VLOOKUP(D1015,'Species Codes'!B:C,2,0)+VLOOKUP(D1015,'Species Codes'!B:D,3,0)*LOG(E1015)+VLOOKUP(D1015,'Species Codes'!B:E,4,0)*LOG(I1015))),0),"")</f>
        <v/>
      </c>
      <c r="AA1015" s="104" t="str">
        <f>IFERROR((VLOOKUP(D1015,'Species Codes'!B:G,6,0)*Z1015)/2000,"")</f>
        <v/>
      </c>
      <c r="AB1015" s="104" t="e">
        <f>IF(Z1015&gt;0,((IF(OR(D1015="DF",D1015="RA")=TRUE,EXP(VLOOKUP(D1015,'Species Codes'!B:I,8,0)+VLOOKUP(D1015,'Species Codes'!B:J,9,0)*(LN((E1015*2.54)))),IF(OR(D1015="PY",D1015="RC",D1015="WH",D1015="NF")=TRUE,VLOOKUP(D1015,'Species Codes'!B:I,8,0)+VLOOKUP(D1015,'Species Codes'!B:J,9,0)*((E1015*2.54)^2)*(I1015*0.3048),IF(OR(D1015="MD",D1015="BM",D1015="GA")=TRUE,((VLOOKUP(D1015,'Species Codes'!B:I,8,0)*(((((E1015*2.54)+VLOOKUP(D1015,'Species Codes'!B:J,9,0))/VLOOKUP(D1015,'Species Codes'!B:K,10,0))^VLOOKUP(D1015,'Species Codes'!B:L,11,0))*((I1015*0.3048)^VLOOKUP(D1015,'Species Codes'!B:M,12,0))))-(VLOOKUP(D1015,'Species Codes'!B:I,8,0)*((((E1015*2.54)^VLOOKUP(D1015,'Species Codes'!B:L,11,0))*((I1015*0.3048)^VLOOKUP(D1015,'Species Codes'!B:M,12,0))))))*35.3*VLOOKUP(D1015,'Species Codes'!B:G,6,0)/2.2046,VLOOKUP(D1015,'Species Codes'!B:I,8,0)+VLOOKUP(D1015,'Species Codes'!B:J,9,0)*(((E1015*2.54)/100)^2)*(I1015*0.3048)))))*0.0011023),0)</f>
        <v>#N/A</v>
      </c>
      <c r="AC1015" s="104" t="e">
        <f>IF(Z1015&gt;0,((IF(OR(D1015="RA",D1015="OA",D1015="OT",D1015="UN",D1015="PC"),EXP(VLOOKUP(D1015,'Species Codes'!B:O,14,0)+VLOOKUP(D1015,'Species Codes'!B:P,15,0)*LN((E1015*2.54)))-EXP(VLOOKUP(D1015,'Species Codes'!B:O,14,0)+VLOOKUP(D1015,'Species Codes'!B:P,15,0)*LN((E1015*2.54)))*(1/(VLOOKUP(D1015,'Species Codes'!B:Q,16,0)+VLOOKUP(D1015,'Species Codes'!B:R,17,0)*((E1015*2.54)^VLOOKUP(D1015,'Species Codes'!B:S,18,0)))),IF(OR(D1015="BM",D1015="MD",D1015="OA"),EXP(VLOOKUP(D1015,'Species Codes'!B:O,14,0)+VLOOKUP(D1015,'Species Codes'!B:P,15,0)*LN((E1015*2.54)))*(1-(1/(VLOOKUP(D1015,'Species Codes'!B:Q,16,0)+VLOOKUP(D1015,'Species Codes'!B:R,17,0)*((E1015*2.54)^VLOOKUP(D1015,'Species Codes'!B:S,18,0)))))/1000,IF(D1015="DF",EXP(VLOOKUP(D1015,'Species Codes'!B:O,14,0)+VLOOKUP(D1015,'Species Codes'!B:P,15,0)*LN((E1015*2.54))),VLOOKUP(D1015,'Species Codes'!B:O,14,0)+VLOOKUP(D1015,'Species Codes'!B:P,15,0)*(((E1015*2.54)/100)^2)*(I1015*0.3048)))))*0.0011023),0)</f>
        <v>#N/A</v>
      </c>
      <c r="AD1015" s="104" t="e">
        <f t="shared" si="463"/>
        <v>#N/A</v>
      </c>
      <c r="AE1015" s="104" t="e">
        <f t="shared" si="464"/>
        <v>#N/A</v>
      </c>
      <c r="AF1015" s="104" t="e">
        <f>IF(AND(VLOOKUP($D1015,Merchantability!$B:$C,2,0)="Yes",$E1015&gt;=VLOOKUP($D1015,Merchantability!$B:$D,3,0),$E1015&lt;=VLOOKUP($D1015,Merchantability!$B:$E,4,0)),AA1015,0)</f>
        <v>#N/A</v>
      </c>
      <c r="AG1015" s="104" t="e">
        <f>IF(AND(VLOOKUP($D1015,Merchantability!$B:$C,2,0)="Yes",$E1015&gt;=VLOOKUP($D1015,Merchantability!$B:$D,3,0),$E1015&lt;=VLOOKUP($D1015,Merchantability!$B:$E,4,0)),AB1015,0)</f>
        <v>#N/A</v>
      </c>
      <c r="AH1015" s="104" t="e">
        <f>IF(AND(VLOOKUP($D1015,Merchantability!$B:$C,2,0)="Yes",$E1015&gt;=VLOOKUP($D1015,Merchantability!$B:$D,3,0),$E1015&lt;=VLOOKUP($D1015,Merchantability!$B:$E,4,0)),AC1015,0)</f>
        <v>#N/A</v>
      </c>
      <c r="AI1015" s="104" t="e">
        <f t="shared" si="465"/>
        <v>#N/A</v>
      </c>
      <c r="AJ1015" s="104" t="e">
        <f t="shared" si="466"/>
        <v>#VALUE!</v>
      </c>
      <c r="AK1015" s="104" t="e">
        <f t="shared" si="467"/>
        <v>#N/A</v>
      </c>
      <c r="AL1015" s="104" t="e">
        <f t="shared" si="468"/>
        <v>#N/A</v>
      </c>
      <c r="AM1015" s="104" t="e">
        <f t="shared" si="469"/>
        <v>#N/A</v>
      </c>
      <c r="AN1015" s="104" t="e">
        <f t="shared" si="453"/>
        <v>#N/A</v>
      </c>
      <c r="AO1015" s="104" t="e">
        <f t="shared" si="454"/>
        <v>#N/A</v>
      </c>
      <c r="AP1015" s="104" t="e">
        <f t="shared" si="455"/>
        <v>#N/A</v>
      </c>
      <c r="AQ1015" s="104" t="e">
        <f t="shared" si="456"/>
        <v>#N/A</v>
      </c>
      <c r="AR1015" s="105" t="str">
        <f t="shared" si="448"/>
        <v/>
      </c>
      <c r="AS1015" s="105" t="str">
        <f t="shared" si="449"/>
        <v/>
      </c>
      <c r="AT1015" s="108" t="str">
        <f t="shared" si="450"/>
        <v/>
      </c>
      <c r="AU1015" s="108" t="str">
        <f t="shared" si="451"/>
        <v/>
      </c>
      <c r="AV1015" s="107" t="str">
        <f>IF(ISNUMBER(O1015),IF(VLOOKUP($A1015,Stand!C:J,8,FALSE)="Short",AT1015,AU1015),"")</f>
        <v/>
      </c>
      <c r="AW1015" s="109" t="str">
        <f t="shared" si="457"/>
        <v/>
      </c>
      <c r="AX1015" s="109" t="str">
        <f t="shared" si="458"/>
        <v/>
      </c>
      <c r="AY1015" s="112" t="str">
        <f>IF(ISNUMBER(O1015),IF(AND(VLOOKUP($D1015,Merchantability!$B:$C,2,0)="Yes",$E1015&gt;=VLOOKUP($D1015,Merchantability!$B:$D,3,0),$E1015&lt;=VLOOKUP($D1015,Merchantability!$B:$E,4,0)),(AV1015*O1015)*(1-$H1015/100),""),"")</f>
        <v/>
      </c>
      <c r="AZ1015" s="116"/>
      <c r="BA1015" s="116"/>
      <c r="BB1015" s="116"/>
      <c r="BE1015" s="62"/>
      <c r="BF1015" s="63"/>
    </row>
    <row r="1016" spans="1:58" ht="12.75" customHeight="1" x14ac:dyDescent="0.25">
      <c r="A1016" s="313"/>
      <c r="B1016" s="328"/>
      <c r="C1016" s="329"/>
      <c r="D1016" s="328"/>
      <c r="E1016" s="330"/>
      <c r="F1016" s="328"/>
      <c r="G1016" s="329"/>
      <c r="H1016" s="329"/>
      <c r="I1016" s="328"/>
      <c r="J1016" s="383"/>
      <c r="K1016" s="329"/>
      <c r="L1016" s="329"/>
      <c r="M1016" s="76"/>
      <c r="N1016" s="103" t="str">
        <f>IF(A1016="","",VLOOKUP(A1016,Stand!C:K,9,0))</f>
        <v/>
      </c>
      <c r="O1016" s="104" t="str">
        <f t="shared" si="443"/>
        <v/>
      </c>
      <c r="P1016" s="105" t="str">
        <f t="shared" si="444"/>
        <v/>
      </c>
      <c r="Q1016" s="105" t="str">
        <f t="shared" si="459"/>
        <v/>
      </c>
      <c r="R1016" s="103" t="str">
        <f t="shared" si="445"/>
        <v/>
      </c>
      <c r="S1016" s="103" t="str">
        <f t="shared" si="446"/>
        <v/>
      </c>
      <c r="T1016" s="106" t="str">
        <f t="shared" si="460"/>
        <v/>
      </c>
      <c r="U1016" s="106" t="str">
        <f t="shared" si="461"/>
        <v/>
      </c>
      <c r="V1016" s="106" t="str">
        <f t="shared" si="462"/>
        <v/>
      </c>
      <c r="W1016" s="105" t="str">
        <f t="shared" si="447"/>
        <v/>
      </c>
      <c r="X1016" s="104" t="str">
        <f t="shared" si="452"/>
        <v/>
      </c>
      <c r="Y1016" s="104" t="str">
        <f t="array" ref="Y1016">IFERROR(IF(ISNUMBER(O1016),IF(COUNT(IF(A1016=$A$2:$A$2427,IF(D1016=$D$2:$D$2427,IF($X$2:$X$2427&gt;0,1))))&gt;0,SUM(IF(A1016=$A$2:$A$2427,IF(D1016=$D$2:$D$2427,$X$2:$X$2427)))/COUNT(IF(A1016=$A$2:$A$2427,IF(D1016=$D$2:$D$2427,IF(ISNUMBER($X$2:$X$2427),1)))),0),""),0)</f>
        <v/>
      </c>
      <c r="Z1016" s="104" t="str">
        <f>IF(ISNUMBER(O1016),IF(I1016&gt;0,(10^(VLOOKUP(D1016,'Species Codes'!B:C,2,0)+VLOOKUP(D1016,'Species Codes'!B:D,3,0)*LOG(E1016)+VLOOKUP(D1016,'Species Codes'!B:E,4,0)*LOG(I1016))),0),"")</f>
        <v/>
      </c>
      <c r="AA1016" s="104" t="str">
        <f>IFERROR((VLOOKUP(D1016,'Species Codes'!B:G,6,0)*Z1016)/2000,"")</f>
        <v/>
      </c>
      <c r="AB1016" s="104" t="e">
        <f>IF(Z1016&gt;0,((IF(OR(D1016="DF",D1016="RA")=TRUE,EXP(VLOOKUP(D1016,'Species Codes'!B:I,8,0)+VLOOKUP(D1016,'Species Codes'!B:J,9,0)*(LN((E1016*2.54)))),IF(OR(D1016="PY",D1016="RC",D1016="WH",D1016="NF")=TRUE,VLOOKUP(D1016,'Species Codes'!B:I,8,0)+VLOOKUP(D1016,'Species Codes'!B:J,9,0)*((E1016*2.54)^2)*(I1016*0.3048),IF(OR(D1016="MD",D1016="BM",D1016="GA")=TRUE,((VLOOKUP(D1016,'Species Codes'!B:I,8,0)*(((((E1016*2.54)+VLOOKUP(D1016,'Species Codes'!B:J,9,0))/VLOOKUP(D1016,'Species Codes'!B:K,10,0))^VLOOKUP(D1016,'Species Codes'!B:L,11,0))*((I1016*0.3048)^VLOOKUP(D1016,'Species Codes'!B:M,12,0))))-(VLOOKUP(D1016,'Species Codes'!B:I,8,0)*((((E1016*2.54)^VLOOKUP(D1016,'Species Codes'!B:L,11,0))*((I1016*0.3048)^VLOOKUP(D1016,'Species Codes'!B:M,12,0))))))*35.3*VLOOKUP(D1016,'Species Codes'!B:G,6,0)/2.2046,VLOOKUP(D1016,'Species Codes'!B:I,8,0)+VLOOKUP(D1016,'Species Codes'!B:J,9,0)*(((E1016*2.54)/100)^2)*(I1016*0.3048)))))*0.0011023),0)</f>
        <v>#N/A</v>
      </c>
      <c r="AC1016" s="104" t="e">
        <f>IF(Z1016&gt;0,((IF(OR(D1016="RA",D1016="OA",D1016="OT",D1016="UN",D1016="PC"),EXP(VLOOKUP(D1016,'Species Codes'!B:O,14,0)+VLOOKUP(D1016,'Species Codes'!B:P,15,0)*LN((E1016*2.54)))-EXP(VLOOKUP(D1016,'Species Codes'!B:O,14,0)+VLOOKUP(D1016,'Species Codes'!B:P,15,0)*LN((E1016*2.54)))*(1/(VLOOKUP(D1016,'Species Codes'!B:Q,16,0)+VLOOKUP(D1016,'Species Codes'!B:R,17,0)*((E1016*2.54)^VLOOKUP(D1016,'Species Codes'!B:S,18,0)))),IF(OR(D1016="BM",D1016="MD",D1016="OA"),EXP(VLOOKUP(D1016,'Species Codes'!B:O,14,0)+VLOOKUP(D1016,'Species Codes'!B:P,15,0)*LN((E1016*2.54)))*(1-(1/(VLOOKUP(D1016,'Species Codes'!B:Q,16,0)+VLOOKUP(D1016,'Species Codes'!B:R,17,0)*((E1016*2.54)^VLOOKUP(D1016,'Species Codes'!B:S,18,0)))))/1000,IF(D1016="DF",EXP(VLOOKUP(D1016,'Species Codes'!B:O,14,0)+VLOOKUP(D1016,'Species Codes'!B:P,15,0)*LN((E1016*2.54))),VLOOKUP(D1016,'Species Codes'!B:O,14,0)+VLOOKUP(D1016,'Species Codes'!B:P,15,0)*(((E1016*2.54)/100)^2)*(I1016*0.3048)))))*0.0011023),0)</f>
        <v>#N/A</v>
      </c>
      <c r="AD1016" s="104" t="e">
        <f t="shared" si="463"/>
        <v>#N/A</v>
      </c>
      <c r="AE1016" s="104" t="e">
        <f t="shared" si="464"/>
        <v>#N/A</v>
      </c>
      <c r="AF1016" s="104" t="e">
        <f>IF(AND(VLOOKUP($D1016,Merchantability!$B:$C,2,0)="Yes",$E1016&gt;=VLOOKUP($D1016,Merchantability!$B:$D,3,0),$E1016&lt;=VLOOKUP($D1016,Merchantability!$B:$E,4,0)),AA1016,0)</f>
        <v>#N/A</v>
      </c>
      <c r="AG1016" s="104" t="e">
        <f>IF(AND(VLOOKUP($D1016,Merchantability!$B:$C,2,0)="Yes",$E1016&gt;=VLOOKUP($D1016,Merchantability!$B:$D,3,0),$E1016&lt;=VLOOKUP($D1016,Merchantability!$B:$E,4,0)),AB1016,0)</f>
        <v>#N/A</v>
      </c>
      <c r="AH1016" s="104" t="e">
        <f>IF(AND(VLOOKUP($D1016,Merchantability!$B:$C,2,0)="Yes",$E1016&gt;=VLOOKUP($D1016,Merchantability!$B:$D,3,0),$E1016&lt;=VLOOKUP($D1016,Merchantability!$B:$E,4,0)),AC1016,0)</f>
        <v>#N/A</v>
      </c>
      <c r="AI1016" s="104" t="e">
        <f t="shared" si="465"/>
        <v>#N/A</v>
      </c>
      <c r="AJ1016" s="104" t="e">
        <f t="shared" si="466"/>
        <v>#VALUE!</v>
      </c>
      <c r="AK1016" s="104" t="e">
        <f t="shared" si="467"/>
        <v>#N/A</v>
      </c>
      <c r="AL1016" s="104" t="e">
        <f t="shared" si="468"/>
        <v>#N/A</v>
      </c>
      <c r="AM1016" s="104" t="e">
        <f t="shared" si="469"/>
        <v>#N/A</v>
      </c>
      <c r="AN1016" s="104" t="e">
        <f t="shared" si="453"/>
        <v>#N/A</v>
      </c>
      <c r="AO1016" s="104" t="e">
        <f t="shared" si="454"/>
        <v>#N/A</v>
      </c>
      <c r="AP1016" s="104" t="e">
        <f t="shared" si="455"/>
        <v>#N/A</v>
      </c>
      <c r="AQ1016" s="104" t="e">
        <f t="shared" si="456"/>
        <v>#N/A</v>
      </c>
      <c r="AR1016" s="105" t="str">
        <f t="shared" si="448"/>
        <v/>
      </c>
      <c r="AS1016" s="105" t="str">
        <f t="shared" si="449"/>
        <v/>
      </c>
      <c r="AT1016" s="108" t="str">
        <f t="shared" si="450"/>
        <v/>
      </c>
      <c r="AU1016" s="108" t="str">
        <f t="shared" si="451"/>
        <v/>
      </c>
      <c r="AV1016" s="107" t="str">
        <f>IF(ISNUMBER(O1016),IF(VLOOKUP($A1016,Stand!C:J,8,FALSE)="Short",AT1016,AU1016),"")</f>
        <v/>
      </c>
      <c r="AW1016" s="109" t="str">
        <f t="shared" si="457"/>
        <v/>
      </c>
      <c r="AX1016" s="109" t="str">
        <f t="shared" si="458"/>
        <v/>
      </c>
      <c r="AY1016" s="112" t="str">
        <f>IF(ISNUMBER(O1016),IF(AND(VLOOKUP($D1016,Merchantability!$B:$C,2,0)="Yes",$E1016&gt;=VLOOKUP($D1016,Merchantability!$B:$D,3,0),$E1016&lt;=VLOOKUP($D1016,Merchantability!$B:$E,4,0)),(AV1016*O1016)*(1-$H1016/100),""),"")</f>
        <v/>
      </c>
      <c r="AZ1016" s="116"/>
      <c r="BA1016" s="116"/>
      <c r="BB1016" s="116"/>
      <c r="BE1016" s="62"/>
      <c r="BF1016" s="63"/>
    </row>
    <row r="1017" spans="1:58" ht="12.75" customHeight="1" x14ac:dyDescent="0.25">
      <c r="A1017" s="313"/>
      <c r="B1017" s="328"/>
      <c r="C1017" s="329"/>
      <c r="D1017" s="328"/>
      <c r="E1017" s="330"/>
      <c r="F1017" s="328"/>
      <c r="G1017" s="329"/>
      <c r="H1017" s="329"/>
      <c r="I1017" s="328"/>
      <c r="J1017" s="383"/>
      <c r="K1017" s="329"/>
      <c r="L1017" s="329"/>
      <c r="M1017" s="76"/>
      <c r="N1017" s="103" t="str">
        <f>IF(A1017="","",VLOOKUP(A1017,Stand!C:K,9,0))</f>
        <v/>
      </c>
      <c r="O1017" s="104" t="str">
        <f t="shared" si="443"/>
        <v/>
      </c>
      <c r="P1017" s="105" t="str">
        <f t="shared" si="444"/>
        <v/>
      </c>
      <c r="Q1017" s="105" t="str">
        <f t="shared" si="459"/>
        <v/>
      </c>
      <c r="R1017" s="103" t="str">
        <f t="shared" si="445"/>
        <v/>
      </c>
      <c r="S1017" s="103" t="str">
        <f t="shared" si="446"/>
        <v/>
      </c>
      <c r="T1017" s="106" t="str">
        <f t="shared" si="460"/>
        <v/>
      </c>
      <c r="U1017" s="106" t="str">
        <f t="shared" si="461"/>
        <v/>
      </c>
      <c r="V1017" s="106" t="str">
        <f t="shared" si="462"/>
        <v/>
      </c>
      <c r="W1017" s="105" t="str">
        <f t="shared" si="447"/>
        <v/>
      </c>
      <c r="X1017" s="104" t="str">
        <f t="shared" si="452"/>
        <v/>
      </c>
      <c r="Y1017" s="104" t="str">
        <f t="array" ref="Y1017">IFERROR(IF(ISNUMBER(O1017),IF(COUNT(IF(A1017=$A$2:$A$2427,IF(D1017=$D$2:$D$2427,IF($X$2:$X$2427&gt;0,1))))&gt;0,SUM(IF(A1017=$A$2:$A$2427,IF(D1017=$D$2:$D$2427,$X$2:$X$2427)))/COUNT(IF(A1017=$A$2:$A$2427,IF(D1017=$D$2:$D$2427,IF(ISNUMBER($X$2:$X$2427),1)))),0),""),0)</f>
        <v/>
      </c>
      <c r="Z1017" s="104" t="str">
        <f>IF(ISNUMBER(O1017),IF(I1017&gt;0,(10^(VLOOKUP(D1017,'Species Codes'!B:C,2,0)+VLOOKUP(D1017,'Species Codes'!B:D,3,0)*LOG(E1017)+VLOOKUP(D1017,'Species Codes'!B:E,4,0)*LOG(I1017))),0),"")</f>
        <v/>
      </c>
      <c r="AA1017" s="104" t="str">
        <f>IFERROR((VLOOKUP(D1017,'Species Codes'!B:G,6,0)*Z1017)/2000,"")</f>
        <v/>
      </c>
      <c r="AB1017" s="104" t="e">
        <f>IF(Z1017&gt;0,((IF(OR(D1017="DF",D1017="RA")=TRUE,EXP(VLOOKUP(D1017,'Species Codes'!B:I,8,0)+VLOOKUP(D1017,'Species Codes'!B:J,9,0)*(LN((E1017*2.54)))),IF(OR(D1017="PY",D1017="RC",D1017="WH",D1017="NF")=TRUE,VLOOKUP(D1017,'Species Codes'!B:I,8,0)+VLOOKUP(D1017,'Species Codes'!B:J,9,0)*((E1017*2.54)^2)*(I1017*0.3048),IF(OR(D1017="MD",D1017="BM",D1017="GA")=TRUE,((VLOOKUP(D1017,'Species Codes'!B:I,8,0)*(((((E1017*2.54)+VLOOKUP(D1017,'Species Codes'!B:J,9,0))/VLOOKUP(D1017,'Species Codes'!B:K,10,0))^VLOOKUP(D1017,'Species Codes'!B:L,11,0))*((I1017*0.3048)^VLOOKUP(D1017,'Species Codes'!B:M,12,0))))-(VLOOKUP(D1017,'Species Codes'!B:I,8,0)*((((E1017*2.54)^VLOOKUP(D1017,'Species Codes'!B:L,11,0))*((I1017*0.3048)^VLOOKUP(D1017,'Species Codes'!B:M,12,0))))))*35.3*VLOOKUP(D1017,'Species Codes'!B:G,6,0)/2.2046,VLOOKUP(D1017,'Species Codes'!B:I,8,0)+VLOOKUP(D1017,'Species Codes'!B:J,9,0)*(((E1017*2.54)/100)^2)*(I1017*0.3048)))))*0.0011023),0)</f>
        <v>#N/A</v>
      </c>
      <c r="AC1017" s="104" t="e">
        <f>IF(Z1017&gt;0,((IF(OR(D1017="RA",D1017="OA",D1017="OT",D1017="UN",D1017="PC"),EXP(VLOOKUP(D1017,'Species Codes'!B:O,14,0)+VLOOKUP(D1017,'Species Codes'!B:P,15,0)*LN((E1017*2.54)))-EXP(VLOOKUP(D1017,'Species Codes'!B:O,14,0)+VLOOKUP(D1017,'Species Codes'!B:P,15,0)*LN((E1017*2.54)))*(1/(VLOOKUP(D1017,'Species Codes'!B:Q,16,0)+VLOOKUP(D1017,'Species Codes'!B:R,17,0)*((E1017*2.54)^VLOOKUP(D1017,'Species Codes'!B:S,18,0)))),IF(OR(D1017="BM",D1017="MD",D1017="OA"),EXP(VLOOKUP(D1017,'Species Codes'!B:O,14,0)+VLOOKUP(D1017,'Species Codes'!B:P,15,0)*LN((E1017*2.54)))*(1-(1/(VLOOKUP(D1017,'Species Codes'!B:Q,16,0)+VLOOKUP(D1017,'Species Codes'!B:R,17,0)*((E1017*2.54)^VLOOKUP(D1017,'Species Codes'!B:S,18,0)))))/1000,IF(D1017="DF",EXP(VLOOKUP(D1017,'Species Codes'!B:O,14,0)+VLOOKUP(D1017,'Species Codes'!B:P,15,0)*LN((E1017*2.54))),VLOOKUP(D1017,'Species Codes'!B:O,14,0)+VLOOKUP(D1017,'Species Codes'!B:P,15,0)*(((E1017*2.54)/100)^2)*(I1017*0.3048)))))*0.0011023),0)</f>
        <v>#N/A</v>
      </c>
      <c r="AD1017" s="104" t="e">
        <f t="shared" si="463"/>
        <v>#N/A</v>
      </c>
      <c r="AE1017" s="104" t="e">
        <f t="shared" si="464"/>
        <v>#N/A</v>
      </c>
      <c r="AF1017" s="104" t="e">
        <f>IF(AND(VLOOKUP($D1017,Merchantability!$B:$C,2,0)="Yes",$E1017&gt;=VLOOKUP($D1017,Merchantability!$B:$D,3,0),$E1017&lt;=VLOOKUP($D1017,Merchantability!$B:$E,4,0)),AA1017,0)</f>
        <v>#N/A</v>
      </c>
      <c r="AG1017" s="104" t="e">
        <f>IF(AND(VLOOKUP($D1017,Merchantability!$B:$C,2,0)="Yes",$E1017&gt;=VLOOKUP($D1017,Merchantability!$B:$D,3,0),$E1017&lt;=VLOOKUP($D1017,Merchantability!$B:$E,4,0)),AB1017,0)</f>
        <v>#N/A</v>
      </c>
      <c r="AH1017" s="104" t="e">
        <f>IF(AND(VLOOKUP($D1017,Merchantability!$B:$C,2,0)="Yes",$E1017&gt;=VLOOKUP($D1017,Merchantability!$B:$D,3,0),$E1017&lt;=VLOOKUP($D1017,Merchantability!$B:$E,4,0)),AC1017,0)</f>
        <v>#N/A</v>
      </c>
      <c r="AI1017" s="104" t="e">
        <f t="shared" si="465"/>
        <v>#N/A</v>
      </c>
      <c r="AJ1017" s="104" t="e">
        <f t="shared" si="466"/>
        <v>#VALUE!</v>
      </c>
      <c r="AK1017" s="104" t="e">
        <f t="shared" si="467"/>
        <v>#N/A</v>
      </c>
      <c r="AL1017" s="104" t="e">
        <f t="shared" si="468"/>
        <v>#N/A</v>
      </c>
      <c r="AM1017" s="104" t="e">
        <f t="shared" si="469"/>
        <v>#N/A</v>
      </c>
      <c r="AN1017" s="104" t="e">
        <f t="shared" si="453"/>
        <v>#N/A</v>
      </c>
      <c r="AO1017" s="104" t="e">
        <f t="shared" si="454"/>
        <v>#N/A</v>
      </c>
      <c r="AP1017" s="104" t="e">
        <f t="shared" si="455"/>
        <v>#N/A</v>
      </c>
      <c r="AQ1017" s="104" t="e">
        <f t="shared" si="456"/>
        <v>#N/A</v>
      </c>
      <c r="AR1017" s="105" t="str">
        <f t="shared" si="448"/>
        <v/>
      </c>
      <c r="AS1017" s="105" t="str">
        <f t="shared" si="449"/>
        <v/>
      </c>
      <c r="AT1017" s="108" t="str">
        <f t="shared" si="450"/>
        <v/>
      </c>
      <c r="AU1017" s="108" t="str">
        <f t="shared" si="451"/>
        <v/>
      </c>
      <c r="AV1017" s="107" t="str">
        <f>IF(ISNUMBER(O1017),IF(VLOOKUP($A1017,Stand!C:J,8,FALSE)="Short",AT1017,AU1017),"")</f>
        <v/>
      </c>
      <c r="AW1017" s="109" t="str">
        <f t="shared" si="457"/>
        <v/>
      </c>
      <c r="AX1017" s="109" t="str">
        <f t="shared" si="458"/>
        <v/>
      </c>
      <c r="AY1017" s="112" t="str">
        <f>IF(ISNUMBER(O1017),IF(AND(VLOOKUP($D1017,Merchantability!$B:$C,2,0)="Yes",$E1017&gt;=VLOOKUP($D1017,Merchantability!$B:$D,3,0),$E1017&lt;=VLOOKUP($D1017,Merchantability!$B:$E,4,0)),(AV1017*O1017)*(1-$H1017/100),""),"")</f>
        <v/>
      </c>
      <c r="AZ1017" s="116"/>
      <c r="BA1017" s="116"/>
      <c r="BB1017" s="116"/>
      <c r="BE1017" s="62"/>
      <c r="BF1017" s="63"/>
    </row>
    <row r="1018" spans="1:58" ht="12.75" customHeight="1" x14ac:dyDescent="0.25">
      <c r="A1018" s="313"/>
      <c r="B1018" s="328"/>
      <c r="C1018" s="329"/>
      <c r="D1018" s="328"/>
      <c r="E1018" s="330"/>
      <c r="F1018" s="328"/>
      <c r="G1018" s="329"/>
      <c r="H1018" s="329"/>
      <c r="I1018" s="328"/>
      <c r="J1018" s="383"/>
      <c r="K1018" s="329"/>
      <c r="L1018" s="329"/>
      <c r="M1018" s="76"/>
      <c r="N1018" s="103" t="str">
        <f>IF(A1018="","",VLOOKUP(A1018,Stand!C:K,9,0))</f>
        <v/>
      </c>
      <c r="O1018" s="104" t="str">
        <f t="shared" si="443"/>
        <v/>
      </c>
      <c r="P1018" s="105" t="str">
        <f t="shared" si="444"/>
        <v/>
      </c>
      <c r="Q1018" s="105" t="str">
        <f t="shared" si="459"/>
        <v/>
      </c>
      <c r="R1018" s="103" t="str">
        <f t="shared" si="445"/>
        <v/>
      </c>
      <c r="S1018" s="103" t="str">
        <f t="shared" si="446"/>
        <v/>
      </c>
      <c r="T1018" s="106" t="str">
        <f t="shared" si="460"/>
        <v/>
      </c>
      <c r="U1018" s="106" t="str">
        <f t="shared" si="461"/>
        <v/>
      </c>
      <c r="V1018" s="106" t="str">
        <f t="shared" si="462"/>
        <v/>
      </c>
      <c r="W1018" s="105" t="str">
        <f t="shared" si="447"/>
        <v/>
      </c>
      <c r="X1018" s="104" t="str">
        <f t="shared" si="452"/>
        <v/>
      </c>
      <c r="Y1018" s="104" t="str">
        <f t="array" ref="Y1018">IFERROR(IF(ISNUMBER(O1018),IF(COUNT(IF(A1018=$A$2:$A$2427,IF(D1018=$D$2:$D$2427,IF($X$2:$X$2427&gt;0,1))))&gt;0,SUM(IF(A1018=$A$2:$A$2427,IF(D1018=$D$2:$D$2427,$X$2:$X$2427)))/COUNT(IF(A1018=$A$2:$A$2427,IF(D1018=$D$2:$D$2427,IF(ISNUMBER($X$2:$X$2427),1)))),0),""),0)</f>
        <v/>
      </c>
      <c r="Z1018" s="104" t="str">
        <f>IF(ISNUMBER(O1018),IF(I1018&gt;0,(10^(VLOOKUP(D1018,'Species Codes'!B:C,2,0)+VLOOKUP(D1018,'Species Codes'!B:D,3,0)*LOG(E1018)+VLOOKUP(D1018,'Species Codes'!B:E,4,0)*LOG(I1018))),0),"")</f>
        <v/>
      </c>
      <c r="AA1018" s="104" t="str">
        <f>IFERROR((VLOOKUP(D1018,'Species Codes'!B:G,6,0)*Z1018)/2000,"")</f>
        <v/>
      </c>
      <c r="AB1018" s="104" t="e">
        <f>IF(Z1018&gt;0,((IF(OR(D1018="DF",D1018="RA")=TRUE,EXP(VLOOKUP(D1018,'Species Codes'!B:I,8,0)+VLOOKUP(D1018,'Species Codes'!B:J,9,0)*(LN((E1018*2.54)))),IF(OR(D1018="PY",D1018="RC",D1018="WH",D1018="NF")=TRUE,VLOOKUP(D1018,'Species Codes'!B:I,8,0)+VLOOKUP(D1018,'Species Codes'!B:J,9,0)*((E1018*2.54)^2)*(I1018*0.3048),IF(OR(D1018="MD",D1018="BM",D1018="GA")=TRUE,((VLOOKUP(D1018,'Species Codes'!B:I,8,0)*(((((E1018*2.54)+VLOOKUP(D1018,'Species Codes'!B:J,9,0))/VLOOKUP(D1018,'Species Codes'!B:K,10,0))^VLOOKUP(D1018,'Species Codes'!B:L,11,0))*((I1018*0.3048)^VLOOKUP(D1018,'Species Codes'!B:M,12,0))))-(VLOOKUP(D1018,'Species Codes'!B:I,8,0)*((((E1018*2.54)^VLOOKUP(D1018,'Species Codes'!B:L,11,0))*((I1018*0.3048)^VLOOKUP(D1018,'Species Codes'!B:M,12,0))))))*35.3*VLOOKUP(D1018,'Species Codes'!B:G,6,0)/2.2046,VLOOKUP(D1018,'Species Codes'!B:I,8,0)+VLOOKUP(D1018,'Species Codes'!B:J,9,0)*(((E1018*2.54)/100)^2)*(I1018*0.3048)))))*0.0011023),0)</f>
        <v>#N/A</v>
      </c>
      <c r="AC1018" s="104" t="e">
        <f>IF(Z1018&gt;0,((IF(OR(D1018="RA",D1018="OA",D1018="OT",D1018="UN",D1018="PC"),EXP(VLOOKUP(D1018,'Species Codes'!B:O,14,0)+VLOOKUP(D1018,'Species Codes'!B:P,15,0)*LN((E1018*2.54)))-EXP(VLOOKUP(D1018,'Species Codes'!B:O,14,0)+VLOOKUP(D1018,'Species Codes'!B:P,15,0)*LN((E1018*2.54)))*(1/(VLOOKUP(D1018,'Species Codes'!B:Q,16,0)+VLOOKUP(D1018,'Species Codes'!B:R,17,0)*((E1018*2.54)^VLOOKUP(D1018,'Species Codes'!B:S,18,0)))),IF(OR(D1018="BM",D1018="MD",D1018="OA"),EXP(VLOOKUP(D1018,'Species Codes'!B:O,14,0)+VLOOKUP(D1018,'Species Codes'!B:P,15,0)*LN((E1018*2.54)))*(1-(1/(VLOOKUP(D1018,'Species Codes'!B:Q,16,0)+VLOOKUP(D1018,'Species Codes'!B:R,17,0)*((E1018*2.54)^VLOOKUP(D1018,'Species Codes'!B:S,18,0)))))/1000,IF(D1018="DF",EXP(VLOOKUP(D1018,'Species Codes'!B:O,14,0)+VLOOKUP(D1018,'Species Codes'!B:P,15,0)*LN((E1018*2.54))),VLOOKUP(D1018,'Species Codes'!B:O,14,0)+VLOOKUP(D1018,'Species Codes'!B:P,15,0)*(((E1018*2.54)/100)^2)*(I1018*0.3048)))))*0.0011023),0)</f>
        <v>#N/A</v>
      </c>
      <c r="AD1018" s="104" t="e">
        <f t="shared" si="463"/>
        <v>#N/A</v>
      </c>
      <c r="AE1018" s="104" t="e">
        <f t="shared" si="464"/>
        <v>#N/A</v>
      </c>
      <c r="AF1018" s="104" t="e">
        <f>IF(AND(VLOOKUP($D1018,Merchantability!$B:$C,2,0)="Yes",$E1018&gt;=VLOOKUP($D1018,Merchantability!$B:$D,3,0),$E1018&lt;=VLOOKUP($D1018,Merchantability!$B:$E,4,0)),AA1018,0)</f>
        <v>#N/A</v>
      </c>
      <c r="AG1018" s="104" t="e">
        <f>IF(AND(VLOOKUP($D1018,Merchantability!$B:$C,2,0)="Yes",$E1018&gt;=VLOOKUP($D1018,Merchantability!$B:$D,3,0),$E1018&lt;=VLOOKUP($D1018,Merchantability!$B:$E,4,0)),AB1018,0)</f>
        <v>#N/A</v>
      </c>
      <c r="AH1018" s="104" t="e">
        <f>IF(AND(VLOOKUP($D1018,Merchantability!$B:$C,2,0)="Yes",$E1018&gt;=VLOOKUP($D1018,Merchantability!$B:$D,3,0),$E1018&lt;=VLOOKUP($D1018,Merchantability!$B:$E,4,0)),AC1018,0)</f>
        <v>#N/A</v>
      </c>
      <c r="AI1018" s="104" t="e">
        <f t="shared" si="465"/>
        <v>#N/A</v>
      </c>
      <c r="AJ1018" s="104" t="e">
        <f t="shared" si="466"/>
        <v>#VALUE!</v>
      </c>
      <c r="AK1018" s="104" t="e">
        <f t="shared" si="467"/>
        <v>#N/A</v>
      </c>
      <c r="AL1018" s="104" t="e">
        <f t="shared" si="468"/>
        <v>#N/A</v>
      </c>
      <c r="AM1018" s="104" t="e">
        <f t="shared" si="469"/>
        <v>#N/A</v>
      </c>
      <c r="AN1018" s="104" t="e">
        <f t="shared" si="453"/>
        <v>#N/A</v>
      </c>
      <c r="AO1018" s="104" t="e">
        <f t="shared" si="454"/>
        <v>#N/A</v>
      </c>
      <c r="AP1018" s="104" t="e">
        <f t="shared" si="455"/>
        <v>#N/A</v>
      </c>
      <c r="AQ1018" s="104" t="e">
        <f t="shared" si="456"/>
        <v>#N/A</v>
      </c>
      <c r="AR1018" s="105" t="str">
        <f t="shared" si="448"/>
        <v/>
      </c>
      <c r="AS1018" s="105" t="str">
        <f t="shared" si="449"/>
        <v/>
      </c>
      <c r="AT1018" s="108" t="str">
        <f t="shared" si="450"/>
        <v/>
      </c>
      <c r="AU1018" s="108" t="str">
        <f t="shared" si="451"/>
        <v/>
      </c>
      <c r="AV1018" s="107" t="str">
        <f>IF(ISNUMBER(O1018),IF(VLOOKUP($A1018,Stand!C:J,8,FALSE)="Short",AT1018,AU1018),"")</f>
        <v/>
      </c>
      <c r="AW1018" s="109" t="str">
        <f t="shared" si="457"/>
        <v/>
      </c>
      <c r="AX1018" s="109" t="str">
        <f t="shared" si="458"/>
        <v/>
      </c>
      <c r="AY1018" s="112" t="str">
        <f>IF(ISNUMBER(O1018),IF(AND(VLOOKUP($D1018,Merchantability!$B:$C,2,0)="Yes",$E1018&gt;=VLOOKUP($D1018,Merchantability!$B:$D,3,0),$E1018&lt;=VLOOKUP($D1018,Merchantability!$B:$E,4,0)),(AV1018*O1018)*(1-$H1018/100),""),"")</f>
        <v/>
      </c>
      <c r="AZ1018" s="116"/>
      <c r="BA1018" s="116"/>
      <c r="BB1018" s="116"/>
      <c r="BE1018" s="62"/>
      <c r="BF1018" s="63"/>
    </row>
    <row r="1019" spans="1:58" ht="12.75" customHeight="1" x14ac:dyDescent="0.25">
      <c r="A1019" s="313"/>
      <c r="B1019" s="328"/>
      <c r="C1019" s="329"/>
      <c r="D1019" s="328"/>
      <c r="E1019" s="330"/>
      <c r="F1019" s="328"/>
      <c r="G1019" s="329"/>
      <c r="H1019" s="329"/>
      <c r="I1019" s="328"/>
      <c r="J1019" s="383"/>
      <c r="K1019" s="329"/>
      <c r="L1019" s="329"/>
      <c r="M1019" s="76"/>
      <c r="N1019" s="103" t="str">
        <f>IF(A1019="","",VLOOKUP(A1019,Stand!C:K,9,0))</f>
        <v/>
      </c>
      <c r="O1019" s="104" t="str">
        <f t="shared" si="443"/>
        <v/>
      </c>
      <c r="P1019" s="105" t="str">
        <f t="shared" si="444"/>
        <v/>
      </c>
      <c r="Q1019" s="105" t="str">
        <f t="shared" si="459"/>
        <v/>
      </c>
      <c r="R1019" s="103" t="str">
        <f t="shared" si="445"/>
        <v/>
      </c>
      <c r="S1019" s="103" t="str">
        <f t="shared" si="446"/>
        <v/>
      </c>
      <c r="T1019" s="106" t="str">
        <f t="shared" si="460"/>
        <v/>
      </c>
      <c r="U1019" s="106" t="str">
        <f t="shared" si="461"/>
        <v/>
      </c>
      <c r="V1019" s="106" t="str">
        <f t="shared" si="462"/>
        <v/>
      </c>
      <c r="W1019" s="105" t="str">
        <f t="shared" si="447"/>
        <v/>
      </c>
      <c r="X1019" s="104" t="str">
        <f t="shared" si="452"/>
        <v/>
      </c>
      <c r="Y1019" s="104" t="str">
        <f t="array" ref="Y1019">IFERROR(IF(ISNUMBER(O1019),IF(COUNT(IF(A1019=$A$2:$A$2427,IF(D1019=$D$2:$D$2427,IF($X$2:$X$2427&gt;0,1))))&gt;0,SUM(IF(A1019=$A$2:$A$2427,IF(D1019=$D$2:$D$2427,$X$2:$X$2427)))/COUNT(IF(A1019=$A$2:$A$2427,IF(D1019=$D$2:$D$2427,IF(ISNUMBER($X$2:$X$2427),1)))),0),""),0)</f>
        <v/>
      </c>
      <c r="Z1019" s="104" t="str">
        <f>IF(ISNUMBER(O1019),IF(I1019&gt;0,(10^(VLOOKUP(D1019,'Species Codes'!B:C,2,0)+VLOOKUP(D1019,'Species Codes'!B:D,3,0)*LOG(E1019)+VLOOKUP(D1019,'Species Codes'!B:E,4,0)*LOG(I1019))),0),"")</f>
        <v/>
      </c>
      <c r="AA1019" s="104" t="str">
        <f>IFERROR((VLOOKUP(D1019,'Species Codes'!B:G,6,0)*Z1019)/2000,"")</f>
        <v/>
      </c>
      <c r="AB1019" s="104" t="e">
        <f>IF(Z1019&gt;0,((IF(OR(D1019="DF",D1019="RA")=TRUE,EXP(VLOOKUP(D1019,'Species Codes'!B:I,8,0)+VLOOKUP(D1019,'Species Codes'!B:J,9,0)*(LN((E1019*2.54)))),IF(OR(D1019="PY",D1019="RC",D1019="WH",D1019="NF")=TRUE,VLOOKUP(D1019,'Species Codes'!B:I,8,0)+VLOOKUP(D1019,'Species Codes'!B:J,9,0)*((E1019*2.54)^2)*(I1019*0.3048),IF(OR(D1019="MD",D1019="BM",D1019="GA")=TRUE,((VLOOKUP(D1019,'Species Codes'!B:I,8,0)*(((((E1019*2.54)+VLOOKUP(D1019,'Species Codes'!B:J,9,0))/VLOOKUP(D1019,'Species Codes'!B:K,10,0))^VLOOKUP(D1019,'Species Codes'!B:L,11,0))*((I1019*0.3048)^VLOOKUP(D1019,'Species Codes'!B:M,12,0))))-(VLOOKUP(D1019,'Species Codes'!B:I,8,0)*((((E1019*2.54)^VLOOKUP(D1019,'Species Codes'!B:L,11,0))*((I1019*0.3048)^VLOOKUP(D1019,'Species Codes'!B:M,12,0))))))*35.3*VLOOKUP(D1019,'Species Codes'!B:G,6,0)/2.2046,VLOOKUP(D1019,'Species Codes'!B:I,8,0)+VLOOKUP(D1019,'Species Codes'!B:J,9,0)*(((E1019*2.54)/100)^2)*(I1019*0.3048)))))*0.0011023),0)</f>
        <v>#N/A</v>
      </c>
      <c r="AC1019" s="104" t="e">
        <f>IF(Z1019&gt;0,((IF(OR(D1019="RA",D1019="OA",D1019="OT",D1019="UN",D1019="PC"),EXP(VLOOKUP(D1019,'Species Codes'!B:O,14,0)+VLOOKUP(D1019,'Species Codes'!B:P,15,0)*LN((E1019*2.54)))-EXP(VLOOKUP(D1019,'Species Codes'!B:O,14,0)+VLOOKUP(D1019,'Species Codes'!B:P,15,0)*LN((E1019*2.54)))*(1/(VLOOKUP(D1019,'Species Codes'!B:Q,16,0)+VLOOKUP(D1019,'Species Codes'!B:R,17,0)*((E1019*2.54)^VLOOKUP(D1019,'Species Codes'!B:S,18,0)))),IF(OR(D1019="BM",D1019="MD",D1019="OA"),EXP(VLOOKUP(D1019,'Species Codes'!B:O,14,0)+VLOOKUP(D1019,'Species Codes'!B:P,15,0)*LN((E1019*2.54)))*(1-(1/(VLOOKUP(D1019,'Species Codes'!B:Q,16,0)+VLOOKUP(D1019,'Species Codes'!B:R,17,0)*((E1019*2.54)^VLOOKUP(D1019,'Species Codes'!B:S,18,0)))))/1000,IF(D1019="DF",EXP(VLOOKUP(D1019,'Species Codes'!B:O,14,0)+VLOOKUP(D1019,'Species Codes'!B:P,15,0)*LN((E1019*2.54))),VLOOKUP(D1019,'Species Codes'!B:O,14,0)+VLOOKUP(D1019,'Species Codes'!B:P,15,0)*(((E1019*2.54)/100)^2)*(I1019*0.3048)))))*0.0011023),0)</f>
        <v>#N/A</v>
      </c>
      <c r="AD1019" s="104" t="e">
        <f t="shared" si="463"/>
        <v>#N/A</v>
      </c>
      <c r="AE1019" s="104" t="e">
        <f t="shared" si="464"/>
        <v>#N/A</v>
      </c>
      <c r="AF1019" s="104" t="e">
        <f>IF(AND(VLOOKUP($D1019,Merchantability!$B:$C,2,0)="Yes",$E1019&gt;=VLOOKUP($D1019,Merchantability!$B:$D,3,0),$E1019&lt;=VLOOKUP($D1019,Merchantability!$B:$E,4,0)),AA1019,0)</f>
        <v>#N/A</v>
      </c>
      <c r="AG1019" s="104" t="e">
        <f>IF(AND(VLOOKUP($D1019,Merchantability!$B:$C,2,0)="Yes",$E1019&gt;=VLOOKUP($D1019,Merchantability!$B:$D,3,0),$E1019&lt;=VLOOKUP($D1019,Merchantability!$B:$E,4,0)),AB1019,0)</f>
        <v>#N/A</v>
      </c>
      <c r="AH1019" s="104" t="e">
        <f>IF(AND(VLOOKUP($D1019,Merchantability!$B:$C,2,0)="Yes",$E1019&gt;=VLOOKUP($D1019,Merchantability!$B:$D,3,0),$E1019&lt;=VLOOKUP($D1019,Merchantability!$B:$E,4,0)),AC1019,0)</f>
        <v>#N/A</v>
      </c>
      <c r="AI1019" s="104" t="e">
        <f t="shared" si="465"/>
        <v>#N/A</v>
      </c>
      <c r="AJ1019" s="104" t="e">
        <f t="shared" si="466"/>
        <v>#VALUE!</v>
      </c>
      <c r="AK1019" s="104" t="e">
        <f t="shared" si="467"/>
        <v>#N/A</v>
      </c>
      <c r="AL1019" s="104" t="e">
        <f t="shared" si="468"/>
        <v>#N/A</v>
      </c>
      <c r="AM1019" s="104" t="e">
        <f t="shared" si="469"/>
        <v>#N/A</v>
      </c>
      <c r="AN1019" s="104" t="e">
        <f t="shared" si="453"/>
        <v>#N/A</v>
      </c>
      <c r="AO1019" s="104" t="e">
        <f t="shared" si="454"/>
        <v>#N/A</v>
      </c>
      <c r="AP1019" s="104" t="e">
        <f t="shared" si="455"/>
        <v>#N/A</v>
      </c>
      <c r="AQ1019" s="104" t="e">
        <f t="shared" si="456"/>
        <v>#N/A</v>
      </c>
      <c r="AR1019" s="105" t="str">
        <f t="shared" si="448"/>
        <v/>
      </c>
      <c r="AS1019" s="105" t="str">
        <f t="shared" si="449"/>
        <v/>
      </c>
      <c r="AT1019" s="108" t="str">
        <f t="shared" si="450"/>
        <v/>
      </c>
      <c r="AU1019" s="108" t="str">
        <f t="shared" si="451"/>
        <v/>
      </c>
      <c r="AV1019" s="107" t="str">
        <f>IF(ISNUMBER(O1019),IF(VLOOKUP($A1019,Stand!C:J,8,FALSE)="Short",AT1019,AU1019),"")</f>
        <v/>
      </c>
      <c r="AW1019" s="109" t="str">
        <f t="shared" si="457"/>
        <v/>
      </c>
      <c r="AX1019" s="109" t="str">
        <f t="shared" si="458"/>
        <v/>
      </c>
      <c r="AY1019" s="112" t="str">
        <f>IF(ISNUMBER(O1019),IF(AND(VLOOKUP($D1019,Merchantability!$B:$C,2,0)="Yes",$E1019&gt;=VLOOKUP($D1019,Merchantability!$B:$D,3,0),$E1019&lt;=VLOOKUP($D1019,Merchantability!$B:$E,4,0)),(AV1019*O1019)*(1-$H1019/100),""),"")</f>
        <v/>
      </c>
      <c r="AZ1019" s="116"/>
      <c r="BA1019" s="116"/>
      <c r="BB1019" s="116"/>
      <c r="BE1019" s="62"/>
      <c r="BF1019" s="63"/>
    </row>
    <row r="1020" spans="1:58" ht="12.75" customHeight="1" x14ac:dyDescent="0.25">
      <c r="A1020" s="313"/>
      <c r="B1020" s="328"/>
      <c r="C1020" s="329"/>
      <c r="D1020" s="328"/>
      <c r="E1020" s="330"/>
      <c r="F1020" s="328"/>
      <c r="G1020" s="329"/>
      <c r="H1020" s="329"/>
      <c r="I1020" s="328"/>
      <c r="J1020" s="383"/>
      <c r="K1020" s="329"/>
      <c r="L1020" s="329"/>
      <c r="M1020" s="76"/>
      <c r="N1020" s="103" t="str">
        <f>IF(A1020="","",VLOOKUP(A1020,Stand!C:K,9,0))</f>
        <v/>
      </c>
      <c r="O1020" s="104" t="str">
        <f t="shared" si="443"/>
        <v/>
      </c>
      <c r="P1020" s="105" t="str">
        <f t="shared" si="444"/>
        <v/>
      </c>
      <c r="Q1020" s="105" t="str">
        <f t="shared" si="459"/>
        <v/>
      </c>
      <c r="R1020" s="103" t="str">
        <f t="shared" si="445"/>
        <v/>
      </c>
      <c r="S1020" s="103" t="str">
        <f t="shared" si="446"/>
        <v/>
      </c>
      <c r="T1020" s="106" t="str">
        <f t="shared" si="460"/>
        <v/>
      </c>
      <c r="U1020" s="106" t="str">
        <f t="shared" si="461"/>
        <v/>
      </c>
      <c r="V1020" s="106" t="str">
        <f t="shared" si="462"/>
        <v/>
      </c>
      <c r="W1020" s="105" t="str">
        <f t="shared" si="447"/>
        <v/>
      </c>
      <c r="X1020" s="104" t="str">
        <f t="shared" si="452"/>
        <v/>
      </c>
      <c r="Y1020" s="104" t="str">
        <f t="array" ref="Y1020">IFERROR(IF(ISNUMBER(O1020),IF(COUNT(IF(A1020=$A$2:$A$2427,IF(D1020=$D$2:$D$2427,IF($X$2:$X$2427&gt;0,1))))&gt;0,SUM(IF(A1020=$A$2:$A$2427,IF(D1020=$D$2:$D$2427,$X$2:$X$2427)))/COUNT(IF(A1020=$A$2:$A$2427,IF(D1020=$D$2:$D$2427,IF(ISNUMBER($X$2:$X$2427),1)))),0),""),0)</f>
        <v/>
      </c>
      <c r="Z1020" s="104" t="str">
        <f>IF(ISNUMBER(O1020),IF(I1020&gt;0,(10^(VLOOKUP(D1020,'Species Codes'!B:C,2,0)+VLOOKUP(D1020,'Species Codes'!B:D,3,0)*LOG(E1020)+VLOOKUP(D1020,'Species Codes'!B:E,4,0)*LOG(I1020))),0),"")</f>
        <v/>
      </c>
      <c r="AA1020" s="104" t="str">
        <f>IFERROR((VLOOKUP(D1020,'Species Codes'!B:G,6,0)*Z1020)/2000,"")</f>
        <v/>
      </c>
      <c r="AB1020" s="104" t="e">
        <f>IF(Z1020&gt;0,((IF(OR(D1020="DF",D1020="RA")=TRUE,EXP(VLOOKUP(D1020,'Species Codes'!B:I,8,0)+VLOOKUP(D1020,'Species Codes'!B:J,9,0)*(LN((E1020*2.54)))),IF(OR(D1020="PY",D1020="RC",D1020="WH",D1020="NF")=TRUE,VLOOKUP(D1020,'Species Codes'!B:I,8,0)+VLOOKUP(D1020,'Species Codes'!B:J,9,0)*((E1020*2.54)^2)*(I1020*0.3048),IF(OR(D1020="MD",D1020="BM",D1020="GA")=TRUE,((VLOOKUP(D1020,'Species Codes'!B:I,8,0)*(((((E1020*2.54)+VLOOKUP(D1020,'Species Codes'!B:J,9,0))/VLOOKUP(D1020,'Species Codes'!B:K,10,0))^VLOOKUP(D1020,'Species Codes'!B:L,11,0))*((I1020*0.3048)^VLOOKUP(D1020,'Species Codes'!B:M,12,0))))-(VLOOKUP(D1020,'Species Codes'!B:I,8,0)*((((E1020*2.54)^VLOOKUP(D1020,'Species Codes'!B:L,11,0))*((I1020*0.3048)^VLOOKUP(D1020,'Species Codes'!B:M,12,0))))))*35.3*VLOOKUP(D1020,'Species Codes'!B:G,6,0)/2.2046,VLOOKUP(D1020,'Species Codes'!B:I,8,0)+VLOOKUP(D1020,'Species Codes'!B:J,9,0)*(((E1020*2.54)/100)^2)*(I1020*0.3048)))))*0.0011023),0)</f>
        <v>#N/A</v>
      </c>
      <c r="AC1020" s="104" t="e">
        <f>IF(Z1020&gt;0,((IF(OR(D1020="RA",D1020="OA",D1020="OT",D1020="UN",D1020="PC"),EXP(VLOOKUP(D1020,'Species Codes'!B:O,14,0)+VLOOKUP(D1020,'Species Codes'!B:P,15,0)*LN((E1020*2.54)))-EXP(VLOOKUP(D1020,'Species Codes'!B:O,14,0)+VLOOKUP(D1020,'Species Codes'!B:P,15,0)*LN((E1020*2.54)))*(1/(VLOOKUP(D1020,'Species Codes'!B:Q,16,0)+VLOOKUP(D1020,'Species Codes'!B:R,17,0)*((E1020*2.54)^VLOOKUP(D1020,'Species Codes'!B:S,18,0)))),IF(OR(D1020="BM",D1020="MD",D1020="OA"),EXP(VLOOKUP(D1020,'Species Codes'!B:O,14,0)+VLOOKUP(D1020,'Species Codes'!B:P,15,0)*LN((E1020*2.54)))*(1-(1/(VLOOKUP(D1020,'Species Codes'!B:Q,16,0)+VLOOKUP(D1020,'Species Codes'!B:R,17,0)*((E1020*2.54)^VLOOKUP(D1020,'Species Codes'!B:S,18,0)))))/1000,IF(D1020="DF",EXP(VLOOKUP(D1020,'Species Codes'!B:O,14,0)+VLOOKUP(D1020,'Species Codes'!B:P,15,0)*LN((E1020*2.54))),VLOOKUP(D1020,'Species Codes'!B:O,14,0)+VLOOKUP(D1020,'Species Codes'!B:P,15,0)*(((E1020*2.54)/100)^2)*(I1020*0.3048)))))*0.0011023),0)</f>
        <v>#N/A</v>
      </c>
      <c r="AD1020" s="104" t="e">
        <f t="shared" si="463"/>
        <v>#N/A</v>
      </c>
      <c r="AE1020" s="104" t="e">
        <f t="shared" si="464"/>
        <v>#N/A</v>
      </c>
      <c r="AF1020" s="104" t="e">
        <f>IF(AND(VLOOKUP($D1020,Merchantability!$B:$C,2,0)="Yes",$E1020&gt;=VLOOKUP($D1020,Merchantability!$B:$D,3,0),$E1020&lt;=VLOOKUP($D1020,Merchantability!$B:$E,4,0)),AA1020,0)</f>
        <v>#N/A</v>
      </c>
      <c r="AG1020" s="104" t="e">
        <f>IF(AND(VLOOKUP($D1020,Merchantability!$B:$C,2,0)="Yes",$E1020&gt;=VLOOKUP($D1020,Merchantability!$B:$D,3,0),$E1020&lt;=VLOOKUP($D1020,Merchantability!$B:$E,4,0)),AB1020,0)</f>
        <v>#N/A</v>
      </c>
      <c r="AH1020" s="104" t="e">
        <f>IF(AND(VLOOKUP($D1020,Merchantability!$B:$C,2,0)="Yes",$E1020&gt;=VLOOKUP($D1020,Merchantability!$B:$D,3,0),$E1020&lt;=VLOOKUP($D1020,Merchantability!$B:$E,4,0)),AC1020,0)</f>
        <v>#N/A</v>
      </c>
      <c r="AI1020" s="104" t="e">
        <f t="shared" si="465"/>
        <v>#N/A</v>
      </c>
      <c r="AJ1020" s="104" t="e">
        <f t="shared" si="466"/>
        <v>#VALUE!</v>
      </c>
      <c r="AK1020" s="104" t="e">
        <f t="shared" si="467"/>
        <v>#N/A</v>
      </c>
      <c r="AL1020" s="104" t="e">
        <f t="shared" si="468"/>
        <v>#N/A</v>
      </c>
      <c r="AM1020" s="104" t="e">
        <f t="shared" si="469"/>
        <v>#N/A</v>
      </c>
      <c r="AN1020" s="104" t="e">
        <f t="shared" si="453"/>
        <v>#N/A</v>
      </c>
      <c r="AO1020" s="104" t="e">
        <f t="shared" si="454"/>
        <v>#N/A</v>
      </c>
      <c r="AP1020" s="104" t="e">
        <f t="shared" si="455"/>
        <v>#N/A</v>
      </c>
      <c r="AQ1020" s="104" t="e">
        <f t="shared" si="456"/>
        <v>#N/A</v>
      </c>
      <c r="AR1020" s="105" t="str">
        <f t="shared" si="448"/>
        <v/>
      </c>
      <c r="AS1020" s="105" t="str">
        <f t="shared" si="449"/>
        <v/>
      </c>
      <c r="AT1020" s="108" t="str">
        <f t="shared" si="450"/>
        <v/>
      </c>
      <c r="AU1020" s="108" t="str">
        <f t="shared" si="451"/>
        <v/>
      </c>
      <c r="AV1020" s="107" t="str">
        <f>IF(ISNUMBER(O1020),IF(VLOOKUP($A1020,Stand!C:J,8,FALSE)="Short",AT1020,AU1020),"")</f>
        <v/>
      </c>
      <c r="AW1020" s="109" t="str">
        <f t="shared" si="457"/>
        <v/>
      </c>
      <c r="AX1020" s="109" t="str">
        <f t="shared" si="458"/>
        <v/>
      </c>
      <c r="AY1020" s="112" t="str">
        <f>IF(ISNUMBER(O1020),IF(AND(VLOOKUP($D1020,Merchantability!$B:$C,2,0)="Yes",$E1020&gt;=VLOOKUP($D1020,Merchantability!$B:$D,3,0),$E1020&lt;=VLOOKUP($D1020,Merchantability!$B:$E,4,0)),(AV1020*O1020)*(1-$H1020/100),""),"")</f>
        <v/>
      </c>
      <c r="AZ1020" s="116"/>
      <c r="BA1020" s="116"/>
      <c r="BB1020" s="116"/>
      <c r="BE1020" s="62"/>
      <c r="BF1020" s="63"/>
    </row>
    <row r="1021" spans="1:58" ht="12.75" customHeight="1" x14ac:dyDescent="0.25">
      <c r="A1021" s="313"/>
      <c r="B1021" s="328"/>
      <c r="C1021" s="329"/>
      <c r="D1021" s="328"/>
      <c r="E1021" s="330"/>
      <c r="F1021" s="328"/>
      <c r="G1021" s="329"/>
      <c r="H1021" s="329"/>
      <c r="I1021" s="328"/>
      <c r="J1021" s="383"/>
      <c r="K1021" s="329"/>
      <c r="L1021" s="329"/>
      <c r="M1021" s="76"/>
      <c r="N1021" s="103" t="str">
        <f>IF(A1021="","",VLOOKUP(A1021,Stand!C:K,9,0))</f>
        <v/>
      </c>
      <c r="O1021" s="104" t="str">
        <f t="shared" si="443"/>
        <v/>
      </c>
      <c r="P1021" s="105" t="str">
        <f t="shared" si="444"/>
        <v/>
      </c>
      <c r="Q1021" s="105" t="str">
        <f t="shared" si="459"/>
        <v/>
      </c>
      <c r="R1021" s="103" t="str">
        <f t="shared" si="445"/>
        <v/>
      </c>
      <c r="S1021" s="103" t="str">
        <f t="shared" si="446"/>
        <v/>
      </c>
      <c r="T1021" s="106" t="str">
        <f t="shared" si="460"/>
        <v/>
      </c>
      <c r="U1021" s="106" t="str">
        <f t="shared" si="461"/>
        <v/>
      </c>
      <c r="V1021" s="106" t="str">
        <f t="shared" si="462"/>
        <v/>
      </c>
      <c r="W1021" s="105" t="str">
        <f t="shared" si="447"/>
        <v/>
      </c>
      <c r="X1021" s="104" t="str">
        <f t="shared" si="452"/>
        <v/>
      </c>
      <c r="Y1021" s="104" t="str">
        <f t="array" ref="Y1021">IFERROR(IF(ISNUMBER(O1021),IF(COUNT(IF(A1021=$A$2:$A$2427,IF(D1021=$D$2:$D$2427,IF($X$2:$X$2427&gt;0,1))))&gt;0,SUM(IF(A1021=$A$2:$A$2427,IF(D1021=$D$2:$D$2427,$X$2:$X$2427)))/COUNT(IF(A1021=$A$2:$A$2427,IF(D1021=$D$2:$D$2427,IF(ISNUMBER($X$2:$X$2427),1)))),0),""),0)</f>
        <v/>
      </c>
      <c r="Z1021" s="104" t="str">
        <f>IF(ISNUMBER(O1021),IF(I1021&gt;0,(10^(VLOOKUP(D1021,'Species Codes'!B:C,2,0)+VLOOKUP(D1021,'Species Codes'!B:D,3,0)*LOG(E1021)+VLOOKUP(D1021,'Species Codes'!B:E,4,0)*LOG(I1021))),0),"")</f>
        <v/>
      </c>
      <c r="AA1021" s="104" t="str">
        <f>IFERROR((VLOOKUP(D1021,'Species Codes'!B:G,6,0)*Z1021)/2000,"")</f>
        <v/>
      </c>
      <c r="AB1021" s="104" t="e">
        <f>IF(Z1021&gt;0,((IF(OR(D1021="DF",D1021="RA")=TRUE,EXP(VLOOKUP(D1021,'Species Codes'!B:I,8,0)+VLOOKUP(D1021,'Species Codes'!B:J,9,0)*(LN((E1021*2.54)))),IF(OR(D1021="PY",D1021="RC",D1021="WH",D1021="NF")=TRUE,VLOOKUP(D1021,'Species Codes'!B:I,8,0)+VLOOKUP(D1021,'Species Codes'!B:J,9,0)*((E1021*2.54)^2)*(I1021*0.3048),IF(OR(D1021="MD",D1021="BM",D1021="GA")=TRUE,((VLOOKUP(D1021,'Species Codes'!B:I,8,0)*(((((E1021*2.54)+VLOOKUP(D1021,'Species Codes'!B:J,9,0))/VLOOKUP(D1021,'Species Codes'!B:K,10,0))^VLOOKUP(D1021,'Species Codes'!B:L,11,0))*((I1021*0.3048)^VLOOKUP(D1021,'Species Codes'!B:M,12,0))))-(VLOOKUP(D1021,'Species Codes'!B:I,8,0)*((((E1021*2.54)^VLOOKUP(D1021,'Species Codes'!B:L,11,0))*((I1021*0.3048)^VLOOKUP(D1021,'Species Codes'!B:M,12,0))))))*35.3*VLOOKUP(D1021,'Species Codes'!B:G,6,0)/2.2046,VLOOKUP(D1021,'Species Codes'!B:I,8,0)+VLOOKUP(D1021,'Species Codes'!B:J,9,0)*(((E1021*2.54)/100)^2)*(I1021*0.3048)))))*0.0011023),0)</f>
        <v>#N/A</v>
      </c>
      <c r="AC1021" s="104" t="e">
        <f>IF(Z1021&gt;0,((IF(OR(D1021="RA",D1021="OA",D1021="OT",D1021="UN",D1021="PC"),EXP(VLOOKUP(D1021,'Species Codes'!B:O,14,0)+VLOOKUP(D1021,'Species Codes'!B:P,15,0)*LN((E1021*2.54)))-EXP(VLOOKUP(D1021,'Species Codes'!B:O,14,0)+VLOOKUP(D1021,'Species Codes'!B:P,15,0)*LN((E1021*2.54)))*(1/(VLOOKUP(D1021,'Species Codes'!B:Q,16,0)+VLOOKUP(D1021,'Species Codes'!B:R,17,0)*((E1021*2.54)^VLOOKUP(D1021,'Species Codes'!B:S,18,0)))),IF(OR(D1021="BM",D1021="MD",D1021="OA"),EXP(VLOOKUP(D1021,'Species Codes'!B:O,14,0)+VLOOKUP(D1021,'Species Codes'!B:P,15,0)*LN((E1021*2.54)))*(1-(1/(VLOOKUP(D1021,'Species Codes'!B:Q,16,0)+VLOOKUP(D1021,'Species Codes'!B:R,17,0)*((E1021*2.54)^VLOOKUP(D1021,'Species Codes'!B:S,18,0)))))/1000,IF(D1021="DF",EXP(VLOOKUP(D1021,'Species Codes'!B:O,14,0)+VLOOKUP(D1021,'Species Codes'!B:P,15,0)*LN((E1021*2.54))),VLOOKUP(D1021,'Species Codes'!B:O,14,0)+VLOOKUP(D1021,'Species Codes'!B:P,15,0)*(((E1021*2.54)/100)^2)*(I1021*0.3048)))))*0.0011023),0)</f>
        <v>#N/A</v>
      </c>
      <c r="AD1021" s="104" t="e">
        <f t="shared" si="463"/>
        <v>#N/A</v>
      </c>
      <c r="AE1021" s="104" t="e">
        <f t="shared" si="464"/>
        <v>#N/A</v>
      </c>
      <c r="AF1021" s="104" t="e">
        <f>IF(AND(VLOOKUP($D1021,Merchantability!$B:$C,2,0)="Yes",$E1021&gt;=VLOOKUP($D1021,Merchantability!$B:$D,3,0),$E1021&lt;=VLOOKUP($D1021,Merchantability!$B:$E,4,0)),AA1021,0)</f>
        <v>#N/A</v>
      </c>
      <c r="AG1021" s="104" t="e">
        <f>IF(AND(VLOOKUP($D1021,Merchantability!$B:$C,2,0)="Yes",$E1021&gt;=VLOOKUP($D1021,Merchantability!$B:$D,3,0),$E1021&lt;=VLOOKUP($D1021,Merchantability!$B:$E,4,0)),AB1021,0)</f>
        <v>#N/A</v>
      </c>
      <c r="AH1021" s="104" t="e">
        <f>IF(AND(VLOOKUP($D1021,Merchantability!$B:$C,2,0)="Yes",$E1021&gt;=VLOOKUP($D1021,Merchantability!$B:$D,3,0),$E1021&lt;=VLOOKUP($D1021,Merchantability!$B:$E,4,0)),AC1021,0)</f>
        <v>#N/A</v>
      </c>
      <c r="AI1021" s="104" t="e">
        <f t="shared" si="465"/>
        <v>#N/A</v>
      </c>
      <c r="AJ1021" s="104" t="e">
        <f t="shared" si="466"/>
        <v>#VALUE!</v>
      </c>
      <c r="AK1021" s="104" t="e">
        <f t="shared" si="467"/>
        <v>#N/A</v>
      </c>
      <c r="AL1021" s="104" t="e">
        <f t="shared" si="468"/>
        <v>#N/A</v>
      </c>
      <c r="AM1021" s="104" t="e">
        <f t="shared" si="469"/>
        <v>#N/A</v>
      </c>
      <c r="AN1021" s="104" t="e">
        <f t="shared" si="453"/>
        <v>#N/A</v>
      </c>
      <c r="AO1021" s="104" t="e">
        <f t="shared" si="454"/>
        <v>#N/A</v>
      </c>
      <c r="AP1021" s="104" t="e">
        <f t="shared" si="455"/>
        <v>#N/A</v>
      </c>
      <c r="AQ1021" s="104" t="e">
        <f t="shared" si="456"/>
        <v>#N/A</v>
      </c>
      <c r="AR1021" s="105" t="str">
        <f t="shared" si="448"/>
        <v/>
      </c>
      <c r="AS1021" s="105" t="str">
        <f t="shared" si="449"/>
        <v/>
      </c>
      <c r="AT1021" s="108" t="str">
        <f t="shared" si="450"/>
        <v/>
      </c>
      <c r="AU1021" s="108" t="str">
        <f t="shared" si="451"/>
        <v/>
      </c>
      <c r="AV1021" s="107" t="str">
        <f>IF(ISNUMBER(O1021),IF(VLOOKUP($A1021,Stand!C:J,8,FALSE)="Short",AT1021,AU1021),"")</f>
        <v/>
      </c>
      <c r="AW1021" s="109" t="str">
        <f t="shared" si="457"/>
        <v/>
      </c>
      <c r="AX1021" s="109" t="str">
        <f t="shared" si="458"/>
        <v/>
      </c>
      <c r="AY1021" s="112" t="str">
        <f>IF(ISNUMBER(O1021),IF(AND(VLOOKUP($D1021,Merchantability!$B:$C,2,0)="Yes",$E1021&gt;=VLOOKUP($D1021,Merchantability!$B:$D,3,0),$E1021&lt;=VLOOKUP($D1021,Merchantability!$B:$E,4,0)),(AV1021*O1021)*(1-$H1021/100),""),"")</f>
        <v/>
      </c>
      <c r="AZ1021" s="116"/>
      <c r="BA1021" s="116"/>
      <c r="BB1021" s="116"/>
      <c r="BE1021" s="62"/>
      <c r="BF1021" s="63"/>
    </row>
    <row r="1022" spans="1:58" ht="12.75" customHeight="1" x14ac:dyDescent="0.25">
      <c r="A1022" s="313"/>
      <c r="B1022" s="328"/>
      <c r="C1022" s="329"/>
      <c r="D1022" s="328"/>
      <c r="E1022" s="330"/>
      <c r="F1022" s="328"/>
      <c r="G1022" s="329"/>
      <c r="H1022" s="329"/>
      <c r="I1022" s="328"/>
      <c r="J1022" s="383"/>
      <c r="K1022" s="329"/>
      <c r="L1022" s="329"/>
      <c r="M1022" s="76"/>
      <c r="N1022" s="103" t="str">
        <f>IF(A1022="","",VLOOKUP(A1022,Stand!C:K,9,0))</f>
        <v/>
      </c>
      <c r="O1022" s="104" t="str">
        <f t="shared" si="443"/>
        <v/>
      </c>
      <c r="P1022" s="105" t="str">
        <f t="shared" si="444"/>
        <v/>
      </c>
      <c r="Q1022" s="105" t="str">
        <f t="shared" si="459"/>
        <v/>
      </c>
      <c r="R1022" s="103" t="str">
        <f t="shared" si="445"/>
        <v/>
      </c>
      <c r="S1022" s="103" t="str">
        <f t="shared" si="446"/>
        <v/>
      </c>
      <c r="T1022" s="106" t="str">
        <f t="shared" si="460"/>
        <v/>
      </c>
      <c r="U1022" s="106" t="str">
        <f t="shared" si="461"/>
        <v/>
      </c>
      <c r="V1022" s="106" t="str">
        <f t="shared" si="462"/>
        <v/>
      </c>
      <c r="W1022" s="105" t="str">
        <f t="shared" si="447"/>
        <v/>
      </c>
      <c r="X1022" s="104" t="str">
        <f t="shared" si="452"/>
        <v/>
      </c>
      <c r="Y1022" s="104" t="str">
        <f t="array" ref="Y1022">IFERROR(IF(ISNUMBER(O1022),IF(COUNT(IF(A1022=$A$2:$A$2427,IF(D1022=$D$2:$D$2427,IF($X$2:$X$2427&gt;0,1))))&gt;0,SUM(IF(A1022=$A$2:$A$2427,IF(D1022=$D$2:$D$2427,$X$2:$X$2427)))/COUNT(IF(A1022=$A$2:$A$2427,IF(D1022=$D$2:$D$2427,IF(ISNUMBER($X$2:$X$2427),1)))),0),""),0)</f>
        <v/>
      </c>
      <c r="Z1022" s="104" t="str">
        <f>IF(ISNUMBER(O1022),IF(I1022&gt;0,(10^(VLOOKUP(D1022,'Species Codes'!B:C,2,0)+VLOOKUP(D1022,'Species Codes'!B:D,3,0)*LOG(E1022)+VLOOKUP(D1022,'Species Codes'!B:E,4,0)*LOG(I1022))),0),"")</f>
        <v/>
      </c>
      <c r="AA1022" s="104" t="str">
        <f>IFERROR((VLOOKUP(D1022,'Species Codes'!B:G,6,0)*Z1022)/2000,"")</f>
        <v/>
      </c>
      <c r="AB1022" s="104" t="e">
        <f>IF(Z1022&gt;0,((IF(OR(D1022="DF",D1022="RA")=TRUE,EXP(VLOOKUP(D1022,'Species Codes'!B:I,8,0)+VLOOKUP(D1022,'Species Codes'!B:J,9,0)*(LN((E1022*2.54)))),IF(OR(D1022="PY",D1022="RC",D1022="WH",D1022="NF")=TRUE,VLOOKUP(D1022,'Species Codes'!B:I,8,0)+VLOOKUP(D1022,'Species Codes'!B:J,9,0)*((E1022*2.54)^2)*(I1022*0.3048),IF(OR(D1022="MD",D1022="BM",D1022="GA")=TRUE,((VLOOKUP(D1022,'Species Codes'!B:I,8,0)*(((((E1022*2.54)+VLOOKUP(D1022,'Species Codes'!B:J,9,0))/VLOOKUP(D1022,'Species Codes'!B:K,10,0))^VLOOKUP(D1022,'Species Codes'!B:L,11,0))*((I1022*0.3048)^VLOOKUP(D1022,'Species Codes'!B:M,12,0))))-(VLOOKUP(D1022,'Species Codes'!B:I,8,0)*((((E1022*2.54)^VLOOKUP(D1022,'Species Codes'!B:L,11,0))*((I1022*0.3048)^VLOOKUP(D1022,'Species Codes'!B:M,12,0))))))*35.3*VLOOKUP(D1022,'Species Codes'!B:G,6,0)/2.2046,VLOOKUP(D1022,'Species Codes'!B:I,8,0)+VLOOKUP(D1022,'Species Codes'!B:J,9,0)*(((E1022*2.54)/100)^2)*(I1022*0.3048)))))*0.0011023),0)</f>
        <v>#N/A</v>
      </c>
      <c r="AC1022" s="104" t="e">
        <f>IF(Z1022&gt;0,((IF(OR(D1022="RA",D1022="OA",D1022="OT",D1022="UN",D1022="PC"),EXP(VLOOKUP(D1022,'Species Codes'!B:O,14,0)+VLOOKUP(D1022,'Species Codes'!B:P,15,0)*LN((E1022*2.54)))-EXP(VLOOKUP(D1022,'Species Codes'!B:O,14,0)+VLOOKUP(D1022,'Species Codes'!B:P,15,0)*LN((E1022*2.54)))*(1/(VLOOKUP(D1022,'Species Codes'!B:Q,16,0)+VLOOKUP(D1022,'Species Codes'!B:R,17,0)*((E1022*2.54)^VLOOKUP(D1022,'Species Codes'!B:S,18,0)))),IF(OR(D1022="BM",D1022="MD",D1022="OA"),EXP(VLOOKUP(D1022,'Species Codes'!B:O,14,0)+VLOOKUP(D1022,'Species Codes'!B:P,15,0)*LN((E1022*2.54)))*(1-(1/(VLOOKUP(D1022,'Species Codes'!B:Q,16,0)+VLOOKUP(D1022,'Species Codes'!B:R,17,0)*((E1022*2.54)^VLOOKUP(D1022,'Species Codes'!B:S,18,0)))))/1000,IF(D1022="DF",EXP(VLOOKUP(D1022,'Species Codes'!B:O,14,0)+VLOOKUP(D1022,'Species Codes'!B:P,15,0)*LN((E1022*2.54))),VLOOKUP(D1022,'Species Codes'!B:O,14,0)+VLOOKUP(D1022,'Species Codes'!B:P,15,0)*(((E1022*2.54)/100)^2)*(I1022*0.3048)))))*0.0011023),0)</f>
        <v>#N/A</v>
      </c>
      <c r="AD1022" s="104" t="e">
        <f t="shared" si="463"/>
        <v>#N/A</v>
      </c>
      <c r="AE1022" s="104" t="e">
        <f t="shared" si="464"/>
        <v>#N/A</v>
      </c>
      <c r="AF1022" s="104" t="e">
        <f>IF(AND(VLOOKUP($D1022,Merchantability!$B:$C,2,0)="Yes",$E1022&gt;=VLOOKUP($D1022,Merchantability!$B:$D,3,0),$E1022&lt;=VLOOKUP($D1022,Merchantability!$B:$E,4,0)),AA1022,0)</f>
        <v>#N/A</v>
      </c>
      <c r="AG1022" s="104" t="e">
        <f>IF(AND(VLOOKUP($D1022,Merchantability!$B:$C,2,0)="Yes",$E1022&gt;=VLOOKUP($D1022,Merchantability!$B:$D,3,0),$E1022&lt;=VLOOKUP($D1022,Merchantability!$B:$E,4,0)),AB1022,0)</f>
        <v>#N/A</v>
      </c>
      <c r="AH1022" s="104" t="e">
        <f>IF(AND(VLOOKUP($D1022,Merchantability!$B:$C,2,0)="Yes",$E1022&gt;=VLOOKUP($D1022,Merchantability!$B:$D,3,0),$E1022&lt;=VLOOKUP($D1022,Merchantability!$B:$E,4,0)),AC1022,0)</f>
        <v>#N/A</v>
      </c>
      <c r="AI1022" s="104" t="e">
        <f t="shared" si="465"/>
        <v>#N/A</v>
      </c>
      <c r="AJ1022" s="104" t="e">
        <f t="shared" si="466"/>
        <v>#VALUE!</v>
      </c>
      <c r="AK1022" s="104" t="e">
        <f t="shared" si="467"/>
        <v>#N/A</v>
      </c>
      <c r="AL1022" s="104" t="e">
        <f t="shared" si="468"/>
        <v>#N/A</v>
      </c>
      <c r="AM1022" s="104" t="e">
        <f t="shared" si="469"/>
        <v>#N/A</v>
      </c>
      <c r="AN1022" s="104" t="e">
        <f t="shared" si="453"/>
        <v>#N/A</v>
      </c>
      <c r="AO1022" s="104" t="e">
        <f t="shared" si="454"/>
        <v>#N/A</v>
      </c>
      <c r="AP1022" s="104" t="e">
        <f t="shared" si="455"/>
        <v>#N/A</v>
      </c>
      <c r="AQ1022" s="104" t="e">
        <f t="shared" si="456"/>
        <v>#N/A</v>
      </c>
      <c r="AR1022" s="105" t="str">
        <f t="shared" si="448"/>
        <v/>
      </c>
      <c r="AS1022" s="105" t="str">
        <f t="shared" si="449"/>
        <v/>
      </c>
      <c r="AT1022" s="108" t="str">
        <f t="shared" si="450"/>
        <v/>
      </c>
      <c r="AU1022" s="108" t="str">
        <f t="shared" si="451"/>
        <v/>
      </c>
      <c r="AV1022" s="107" t="str">
        <f>IF(ISNUMBER(O1022),IF(VLOOKUP($A1022,Stand!C:J,8,FALSE)="Short",AT1022,AU1022),"")</f>
        <v/>
      </c>
      <c r="AW1022" s="109" t="str">
        <f t="shared" si="457"/>
        <v/>
      </c>
      <c r="AX1022" s="109" t="str">
        <f t="shared" si="458"/>
        <v/>
      </c>
      <c r="AY1022" s="112" t="str">
        <f>IF(ISNUMBER(O1022),IF(AND(VLOOKUP($D1022,Merchantability!$B:$C,2,0)="Yes",$E1022&gt;=VLOOKUP($D1022,Merchantability!$B:$D,3,0),$E1022&lt;=VLOOKUP($D1022,Merchantability!$B:$E,4,0)),(AV1022*O1022)*(1-$H1022/100),""),"")</f>
        <v/>
      </c>
      <c r="AZ1022" s="116"/>
      <c r="BA1022" s="116"/>
      <c r="BB1022" s="116"/>
      <c r="BE1022" s="62"/>
      <c r="BF1022" s="63"/>
    </row>
    <row r="1023" spans="1:58" ht="12.75" customHeight="1" x14ac:dyDescent="0.25">
      <c r="A1023" s="313"/>
      <c r="B1023" s="328"/>
      <c r="C1023" s="329"/>
      <c r="D1023" s="328"/>
      <c r="E1023" s="330"/>
      <c r="F1023" s="328"/>
      <c r="G1023" s="329"/>
      <c r="H1023" s="329"/>
      <c r="I1023" s="328"/>
      <c r="J1023" s="383"/>
      <c r="K1023" s="329"/>
      <c r="L1023" s="329"/>
      <c r="M1023" s="76"/>
      <c r="N1023" s="103" t="str">
        <f>IF(A1023="","",VLOOKUP(A1023,Stand!C:K,9,0))</f>
        <v/>
      </c>
      <c r="O1023" s="104" t="str">
        <f t="shared" si="443"/>
        <v/>
      </c>
      <c r="P1023" s="105" t="str">
        <f t="shared" si="444"/>
        <v/>
      </c>
      <c r="Q1023" s="105" t="str">
        <f t="shared" si="459"/>
        <v/>
      </c>
      <c r="R1023" s="103" t="str">
        <f t="shared" si="445"/>
        <v/>
      </c>
      <c r="S1023" s="103" t="str">
        <f t="shared" si="446"/>
        <v/>
      </c>
      <c r="T1023" s="106" t="str">
        <f t="shared" si="460"/>
        <v/>
      </c>
      <c r="U1023" s="106" t="str">
        <f t="shared" si="461"/>
        <v/>
      </c>
      <c r="V1023" s="106" t="str">
        <f t="shared" si="462"/>
        <v/>
      </c>
      <c r="W1023" s="105" t="str">
        <f t="shared" si="447"/>
        <v/>
      </c>
      <c r="X1023" s="104" t="str">
        <f t="shared" si="452"/>
        <v/>
      </c>
      <c r="Y1023" s="104" t="str">
        <f t="array" ref="Y1023">IFERROR(IF(ISNUMBER(O1023),IF(COUNT(IF(A1023=$A$2:$A$2427,IF(D1023=$D$2:$D$2427,IF($X$2:$X$2427&gt;0,1))))&gt;0,SUM(IF(A1023=$A$2:$A$2427,IF(D1023=$D$2:$D$2427,$X$2:$X$2427)))/COUNT(IF(A1023=$A$2:$A$2427,IF(D1023=$D$2:$D$2427,IF(ISNUMBER($X$2:$X$2427),1)))),0),""),0)</f>
        <v/>
      </c>
      <c r="Z1023" s="104" t="str">
        <f>IF(ISNUMBER(O1023),IF(I1023&gt;0,(10^(VLOOKUP(D1023,'Species Codes'!B:C,2,0)+VLOOKUP(D1023,'Species Codes'!B:D,3,0)*LOG(E1023)+VLOOKUP(D1023,'Species Codes'!B:E,4,0)*LOG(I1023))),0),"")</f>
        <v/>
      </c>
      <c r="AA1023" s="104" t="str">
        <f>IFERROR((VLOOKUP(D1023,'Species Codes'!B:G,6,0)*Z1023)/2000,"")</f>
        <v/>
      </c>
      <c r="AB1023" s="104" t="e">
        <f>IF(Z1023&gt;0,((IF(OR(D1023="DF",D1023="RA")=TRUE,EXP(VLOOKUP(D1023,'Species Codes'!B:I,8,0)+VLOOKUP(D1023,'Species Codes'!B:J,9,0)*(LN((E1023*2.54)))),IF(OR(D1023="PY",D1023="RC",D1023="WH",D1023="NF")=TRUE,VLOOKUP(D1023,'Species Codes'!B:I,8,0)+VLOOKUP(D1023,'Species Codes'!B:J,9,0)*((E1023*2.54)^2)*(I1023*0.3048),IF(OR(D1023="MD",D1023="BM",D1023="GA")=TRUE,((VLOOKUP(D1023,'Species Codes'!B:I,8,0)*(((((E1023*2.54)+VLOOKUP(D1023,'Species Codes'!B:J,9,0))/VLOOKUP(D1023,'Species Codes'!B:K,10,0))^VLOOKUP(D1023,'Species Codes'!B:L,11,0))*((I1023*0.3048)^VLOOKUP(D1023,'Species Codes'!B:M,12,0))))-(VLOOKUP(D1023,'Species Codes'!B:I,8,0)*((((E1023*2.54)^VLOOKUP(D1023,'Species Codes'!B:L,11,0))*((I1023*0.3048)^VLOOKUP(D1023,'Species Codes'!B:M,12,0))))))*35.3*VLOOKUP(D1023,'Species Codes'!B:G,6,0)/2.2046,VLOOKUP(D1023,'Species Codes'!B:I,8,0)+VLOOKUP(D1023,'Species Codes'!B:J,9,0)*(((E1023*2.54)/100)^2)*(I1023*0.3048)))))*0.0011023),0)</f>
        <v>#N/A</v>
      </c>
      <c r="AC1023" s="104" t="e">
        <f>IF(Z1023&gt;0,((IF(OR(D1023="RA",D1023="OA",D1023="OT",D1023="UN",D1023="PC"),EXP(VLOOKUP(D1023,'Species Codes'!B:O,14,0)+VLOOKUP(D1023,'Species Codes'!B:P,15,0)*LN((E1023*2.54)))-EXP(VLOOKUP(D1023,'Species Codes'!B:O,14,0)+VLOOKUP(D1023,'Species Codes'!B:P,15,0)*LN((E1023*2.54)))*(1/(VLOOKUP(D1023,'Species Codes'!B:Q,16,0)+VLOOKUP(D1023,'Species Codes'!B:R,17,0)*((E1023*2.54)^VLOOKUP(D1023,'Species Codes'!B:S,18,0)))),IF(OR(D1023="BM",D1023="MD",D1023="OA"),EXP(VLOOKUP(D1023,'Species Codes'!B:O,14,0)+VLOOKUP(D1023,'Species Codes'!B:P,15,0)*LN((E1023*2.54)))*(1-(1/(VLOOKUP(D1023,'Species Codes'!B:Q,16,0)+VLOOKUP(D1023,'Species Codes'!B:R,17,0)*((E1023*2.54)^VLOOKUP(D1023,'Species Codes'!B:S,18,0)))))/1000,IF(D1023="DF",EXP(VLOOKUP(D1023,'Species Codes'!B:O,14,0)+VLOOKUP(D1023,'Species Codes'!B:P,15,0)*LN((E1023*2.54))),VLOOKUP(D1023,'Species Codes'!B:O,14,0)+VLOOKUP(D1023,'Species Codes'!B:P,15,0)*(((E1023*2.54)/100)^2)*(I1023*0.3048)))))*0.0011023),0)</f>
        <v>#N/A</v>
      </c>
      <c r="AD1023" s="104" t="e">
        <f t="shared" si="463"/>
        <v>#N/A</v>
      </c>
      <c r="AE1023" s="104" t="e">
        <f t="shared" si="464"/>
        <v>#N/A</v>
      </c>
      <c r="AF1023" s="104" t="e">
        <f>IF(AND(VLOOKUP($D1023,Merchantability!$B:$C,2,0)="Yes",$E1023&gt;=VLOOKUP($D1023,Merchantability!$B:$D,3,0),$E1023&lt;=VLOOKUP($D1023,Merchantability!$B:$E,4,0)),AA1023,0)</f>
        <v>#N/A</v>
      </c>
      <c r="AG1023" s="104" t="e">
        <f>IF(AND(VLOOKUP($D1023,Merchantability!$B:$C,2,0)="Yes",$E1023&gt;=VLOOKUP($D1023,Merchantability!$B:$D,3,0),$E1023&lt;=VLOOKUP($D1023,Merchantability!$B:$E,4,0)),AB1023,0)</f>
        <v>#N/A</v>
      </c>
      <c r="AH1023" s="104" t="e">
        <f>IF(AND(VLOOKUP($D1023,Merchantability!$B:$C,2,0)="Yes",$E1023&gt;=VLOOKUP($D1023,Merchantability!$B:$D,3,0),$E1023&lt;=VLOOKUP($D1023,Merchantability!$B:$E,4,0)),AC1023,0)</f>
        <v>#N/A</v>
      </c>
      <c r="AI1023" s="104" t="e">
        <f t="shared" si="465"/>
        <v>#N/A</v>
      </c>
      <c r="AJ1023" s="104" t="e">
        <f t="shared" si="466"/>
        <v>#VALUE!</v>
      </c>
      <c r="AK1023" s="104" t="e">
        <f t="shared" si="467"/>
        <v>#N/A</v>
      </c>
      <c r="AL1023" s="104" t="e">
        <f t="shared" si="468"/>
        <v>#N/A</v>
      </c>
      <c r="AM1023" s="104" t="e">
        <f t="shared" si="469"/>
        <v>#N/A</v>
      </c>
      <c r="AN1023" s="104" t="e">
        <f t="shared" si="453"/>
        <v>#N/A</v>
      </c>
      <c r="AO1023" s="104" t="e">
        <f t="shared" si="454"/>
        <v>#N/A</v>
      </c>
      <c r="AP1023" s="104" t="e">
        <f t="shared" si="455"/>
        <v>#N/A</v>
      </c>
      <c r="AQ1023" s="104" t="e">
        <f t="shared" si="456"/>
        <v>#N/A</v>
      </c>
      <c r="AR1023" s="105" t="str">
        <f t="shared" si="448"/>
        <v/>
      </c>
      <c r="AS1023" s="105" t="str">
        <f t="shared" si="449"/>
        <v/>
      </c>
      <c r="AT1023" s="108" t="str">
        <f t="shared" si="450"/>
        <v/>
      </c>
      <c r="AU1023" s="108" t="str">
        <f t="shared" si="451"/>
        <v/>
      </c>
      <c r="AV1023" s="107" t="str">
        <f>IF(ISNUMBER(O1023),IF(VLOOKUP($A1023,Stand!C:J,8,FALSE)="Short",AT1023,AU1023),"")</f>
        <v/>
      </c>
      <c r="AW1023" s="109" t="str">
        <f t="shared" si="457"/>
        <v/>
      </c>
      <c r="AX1023" s="109" t="str">
        <f t="shared" si="458"/>
        <v/>
      </c>
      <c r="AY1023" s="112" t="str">
        <f>IF(ISNUMBER(O1023),IF(AND(VLOOKUP($D1023,Merchantability!$B:$C,2,0)="Yes",$E1023&gt;=VLOOKUP($D1023,Merchantability!$B:$D,3,0),$E1023&lt;=VLOOKUP($D1023,Merchantability!$B:$E,4,0)),(AV1023*O1023)*(1-$H1023/100),""),"")</f>
        <v/>
      </c>
      <c r="AZ1023" s="116"/>
      <c r="BA1023" s="116"/>
      <c r="BB1023" s="116"/>
      <c r="BE1023" s="62"/>
      <c r="BF1023" s="63"/>
    </row>
    <row r="1024" spans="1:58" ht="12.75" customHeight="1" x14ac:dyDescent="0.25">
      <c r="A1024" s="313"/>
      <c r="B1024" s="328"/>
      <c r="C1024" s="329"/>
      <c r="D1024" s="328"/>
      <c r="E1024" s="330"/>
      <c r="F1024" s="328"/>
      <c r="G1024" s="329"/>
      <c r="H1024" s="329"/>
      <c r="I1024" s="328"/>
      <c r="J1024" s="383"/>
      <c r="K1024" s="329"/>
      <c r="L1024" s="329"/>
      <c r="M1024" s="76"/>
      <c r="N1024" s="103" t="str">
        <f>IF(A1024="","",VLOOKUP(A1024,Stand!C:K,9,0))</f>
        <v/>
      </c>
      <c r="O1024" s="104" t="str">
        <f t="shared" si="443"/>
        <v/>
      </c>
      <c r="P1024" s="105" t="str">
        <f t="shared" si="444"/>
        <v/>
      </c>
      <c r="Q1024" s="105" t="str">
        <f t="shared" si="459"/>
        <v/>
      </c>
      <c r="R1024" s="103" t="str">
        <f t="shared" si="445"/>
        <v/>
      </c>
      <c r="S1024" s="103" t="str">
        <f t="shared" si="446"/>
        <v/>
      </c>
      <c r="T1024" s="106" t="str">
        <f t="shared" si="460"/>
        <v/>
      </c>
      <c r="U1024" s="106" t="str">
        <f t="shared" si="461"/>
        <v/>
      </c>
      <c r="V1024" s="106" t="str">
        <f t="shared" si="462"/>
        <v/>
      </c>
      <c r="W1024" s="105" t="str">
        <f t="shared" si="447"/>
        <v/>
      </c>
      <c r="X1024" s="104" t="str">
        <f t="shared" si="452"/>
        <v/>
      </c>
      <c r="Y1024" s="104" t="str">
        <f t="array" ref="Y1024">IFERROR(IF(ISNUMBER(O1024),IF(COUNT(IF(A1024=$A$2:$A$2427,IF(D1024=$D$2:$D$2427,IF($X$2:$X$2427&gt;0,1))))&gt;0,SUM(IF(A1024=$A$2:$A$2427,IF(D1024=$D$2:$D$2427,$X$2:$X$2427)))/COUNT(IF(A1024=$A$2:$A$2427,IF(D1024=$D$2:$D$2427,IF(ISNUMBER($X$2:$X$2427),1)))),0),""),0)</f>
        <v/>
      </c>
      <c r="Z1024" s="104" t="str">
        <f>IF(ISNUMBER(O1024),IF(I1024&gt;0,(10^(VLOOKUP(D1024,'Species Codes'!B:C,2,0)+VLOOKUP(D1024,'Species Codes'!B:D,3,0)*LOG(E1024)+VLOOKUP(D1024,'Species Codes'!B:E,4,0)*LOG(I1024))),0),"")</f>
        <v/>
      </c>
      <c r="AA1024" s="104" t="str">
        <f>IFERROR((VLOOKUP(D1024,'Species Codes'!B:G,6,0)*Z1024)/2000,"")</f>
        <v/>
      </c>
      <c r="AB1024" s="104" t="e">
        <f>IF(Z1024&gt;0,((IF(OR(D1024="DF",D1024="RA")=TRUE,EXP(VLOOKUP(D1024,'Species Codes'!B:I,8,0)+VLOOKUP(D1024,'Species Codes'!B:J,9,0)*(LN((E1024*2.54)))),IF(OR(D1024="PY",D1024="RC",D1024="WH",D1024="NF")=TRUE,VLOOKUP(D1024,'Species Codes'!B:I,8,0)+VLOOKUP(D1024,'Species Codes'!B:J,9,0)*((E1024*2.54)^2)*(I1024*0.3048),IF(OR(D1024="MD",D1024="BM",D1024="GA")=TRUE,((VLOOKUP(D1024,'Species Codes'!B:I,8,0)*(((((E1024*2.54)+VLOOKUP(D1024,'Species Codes'!B:J,9,0))/VLOOKUP(D1024,'Species Codes'!B:K,10,0))^VLOOKUP(D1024,'Species Codes'!B:L,11,0))*((I1024*0.3048)^VLOOKUP(D1024,'Species Codes'!B:M,12,0))))-(VLOOKUP(D1024,'Species Codes'!B:I,8,0)*((((E1024*2.54)^VLOOKUP(D1024,'Species Codes'!B:L,11,0))*((I1024*0.3048)^VLOOKUP(D1024,'Species Codes'!B:M,12,0))))))*35.3*VLOOKUP(D1024,'Species Codes'!B:G,6,0)/2.2046,VLOOKUP(D1024,'Species Codes'!B:I,8,0)+VLOOKUP(D1024,'Species Codes'!B:J,9,0)*(((E1024*2.54)/100)^2)*(I1024*0.3048)))))*0.0011023),0)</f>
        <v>#N/A</v>
      </c>
      <c r="AC1024" s="104" t="e">
        <f>IF(Z1024&gt;0,((IF(OR(D1024="RA",D1024="OA",D1024="OT",D1024="UN",D1024="PC"),EXP(VLOOKUP(D1024,'Species Codes'!B:O,14,0)+VLOOKUP(D1024,'Species Codes'!B:P,15,0)*LN((E1024*2.54)))-EXP(VLOOKUP(D1024,'Species Codes'!B:O,14,0)+VLOOKUP(D1024,'Species Codes'!B:P,15,0)*LN((E1024*2.54)))*(1/(VLOOKUP(D1024,'Species Codes'!B:Q,16,0)+VLOOKUP(D1024,'Species Codes'!B:R,17,0)*((E1024*2.54)^VLOOKUP(D1024,'Species Codes'!B:S,18,0)))),IF(OR(D1024="BM",D1024="MD",D1024="OA"),EXP(VLOOKUP(D1024,'Species Codes'!B:O,14,0)+VLOOKUP(D1024,'Species Codes'!B:P,15,0)*LN((E1024*2.54)))*(1-(1/(VLOOKUP(D1024,'Species Codes'!B:Q,16,0)+VLOOKUP(D1024,'Species Codes'!B:R,17,0)*((E1024*2.54)^VLOOKUP(D1024,'Species Codes'!B:S,18,0)))))/1000,IF(D1024="DF",EXP(VLOOKUP(D1024,'Species Codes'!B:O,14,0)+VLOOKUP(D1024,'Species Codes'!B:P,15,0)*LN((E1024*2.54))),VLOOKUP(D1024,'Species Codes'!B:O,14,0)+VLOOKUP(D1024,'Species Codes'!B:P,15,0)*(((E1024*2.54)/100)^2)*(I1024*0.3048)))))*0.0011023),0)</f>
        <v>#N/A</v>
      </c>
      <c r="AD1024" s="104" t="e">
        <f t="shared" si="463"/>
        <v>#N/A</v>
      </c>
      <c r="AE1024" s="104" t="e">
        <f t="shared" si="464"/>
        <v>#N/A</v>
      </c>
      <c r="AF1024" s="104" t="e">
        <f>IF(AND(VLOOKUP($D1024,Merchantability!$B:$C,2,0)="Yes",$E1024&gt;=VLOOKUP($D1024,Merchantability!$B:$D,3,0),$E1024&lt;=VLOOKUP($D1024,Merchantability!$B:$E,4,0)),AA1024,0)</f>
        <v>#N/A</v>
      </c>
      <c r="AG1024" s="104" t="e">
        <f>IF(AND(VLOOKUP($D1024,Merchantability!$B:$C,2,0)="Yes",$E1024&gt;=VLOOKUP($D1024,Merchantability!$B:$D,3,0),$E1024&lt;=VLOOKUP($D1024,Merchantability!$B:$E,4,0)),AB1024,0)</f>
        <v>#N/A</v>
      </c>
      <c r="AH1024" s="104" t="e">
        <f>IF(AND(VLOOKUP($D1024,Merchantability!$B:$C,2,0)="Yes",$E1024&gt;=VLOOKUP($D1024,Merchantability!$B:$D,3,0),$E1024&lt;=VLOOKUP($D1024,Merchantability!$B:$E,4,0)),AC1024,0)</f>
        <v>#N/A</v>
      </c>
      <c r="AI1024" s="104" t="e">
        <f t="shared" si="465"/>
        <v>#N/A</v>
      </c>
      <c r="AJ1024" s="104" t="e">
        <f t="shared" si="466"/>
        <v>#VALUE!</v>
      </c>
      <c r="AK1024" s="104" t="e">
        <f t="shared" si="467"/>
        <v>#N/A</v>
      </c>
      <c r="AL1024" s="104" t="e">
        <f t="shared" si="468"/>
        <v>#N/A</v>
      </c>
      <c r="AM1024" s="104" t="e">
        <f t="shared" si="469"/>
        <v>#N/A</v>
      </c>
      <c r="AN1024" s="104" t="e">
        <f t="shared" si="453"/>
        <v>#N/A</v>
      </c>
      <c r="AO1024" s="104" t="e">
        <f t="shared" si="454"/>
        <v>#N/A</v>
      </c>
      <c r="AP1024" s="104" t="e">
        <f t="shared" si="455"/>
        <v>#N/A</v>
      </c>
      <c r="AQ1024" s="104" t="e">
        <f t="shared" si="456"/>
        <v>#N/A</v>
      </c>
      <c r="AR1024" s="105" t="str">
        <f t="shared" si="448"/>
        <v/>
      </c>
      <c r="AS1024" s="105" t="str">
        <f t="shared" si="449"/>
        <v/>
      </c>
      <c r="AT1024" s="108" t="str">
        <f t="shared" si="450"/>
        <v/>
      </c>
      <c r="AU1024" s="108" t="str">
        <f t="shared" si="451"/>
        <v/>
      </c>
      <c r="AV1024" s="107" t="str">
        <f>IF(ISNUMBER(O1024),IF(VLOOKUP($A1024,Stand!C:J,8,FALSE)="Short",AT1024,AU1024),"")</f>
        <v/>
      </c>
      <c r="AW1024" s="109" t="str">
        <f t="shared" si="457"/>
        <v/>
      </c>
      <c r="AX1024" s="109" t="str">
        <f t="shared" si="458"/>
        <v/>
      </c>
      <c r="AY1024" s="112" t="str">
        <f>IF(ISNUMBER(O1024),IF(AND(VLOOKUP($D1024,Merchantability!$B:$C,2,0)="Yes",$E1024&gt;=VLOOKUP($D1024,Merchantability!$B:$D,3,0),$E1024&lt;=VLOOKUP($D1024,Merchantability!$B:$E,4,0)),(AV1024*O1024)*(1-$H1024/100),""),"")</f>
        <v/>
      </c>
      <c r="AZ1024" s="116"/>
      <c r="BA1024" s="116"/>
      <c r="BB1024" s="116"/>
      <c r="BE1024" s="62"/>
      <c r="BF1024" s="63"/>
    </row>
    <row r="1025" spans="1:58" ht="12.75" customHeight="1" x14ac:dyDescent="0.25">
      <c r="A1025" s="313"/>
      <c r="B1025" s="328"/>
      <c r="C1025" s="329"/>
      <c r="D1025" s="328"/>
      <c r="E1025" s="330"/>
      <c r="F1025" s="328"/>
      <c r="G1025" s="329"/>
      <c r="H1025" s="329"/>
      <c r="I1025" s="328"/>
      <c r="J1025" s="383"/>
      <c r="K1025" s="329"/>
      <c r="L1025" s="329"/>
      <c r="M1025" s="76"/>
      <c r="N1025" s="103" t="str">
        <f>IF(A1025="","",VLOOKUP(A1025,Stand!C:K,9,0))</f>
        <v/>
      </c>
      <c r="O1025" s="104" t="str">
        <f t="shared" si="443"/>
        <v/>
      </c>
      <c r="P1025" s="105" t="str">
        <f t="shared" si="444"/>
        <v/>
      </c>
      <c r="Q1025" s="105" t="str">
        <f t="shared" si="459"/>
        <v/>
      </c>
      <c r="R1025" s="103" t="str">
        <f t="shared" si="445"/>
        <v/>
      </c>
      <c r="S1025" s="103" t="str">
        <f t="shared" si="446"/>
        <v/>
      </c>
      <c r="T1025" s="106" t="str">
        <f t="shared" si="460"/>
        <v/>
      </c>
      <c r="U1025" s="106" t="str">
        <f t="shared" si="461"/>
        <v/>
      </c>
      <c r="V1025" s="106" t="str">
        <f t="shared" si="462"/>
        <v/>
      </c>
      <c r="W1025" s="105" t="str">
        <f t="shared" si="447"/>
        <v/>
      </c>
      <c r="X1025" s="104" t="str">
        <f t="shared" si="452"/>
        <v/>
      </c>
      <c r="Y1025" s="104" t="str">
        <f t="array" ref="Y1025">IFERROR(IF(ISNUMBER(O1025),IF(COUNT(IF(A1025=$A$2:$A$2427,IF(D1025=$D$2:$D$2427,IF($X$2:$X$2427&gt;0,1))))&gt;0,SUM(IF(A1025=$A$2:$A$2427,IF(D1025=$D$2:$D$2427,$X$2:$X$2427)))/COUNT(IF(A1025=$A$2:$A$2427,IF(D1025=$D$2:$D$2427,IF(ISNUMBER($X$2:$X$2427),1)))),0),""),0)</f>
        <v/>
      </c>
      <c r="Z1025" s="104" t="str">
        <f>IF(ISNUMBER(O1025),IF(I1025&gt;0,(10^(VLOOKUP(D1025,'Species Codes'!B:C,2,0)+VLOOKUP(D1025,'Species Codes'!B:D,3,0)*LOG(E1025)+VLOOKUP(D1025,'Species Codes'!B:E,4,0)*LOG(I1025))),0),"")</f>
        <v/>
      </c>
      <c r="AA1025" s="104" t="str">
        <f>IFERROR((VLOOKUP(D1025,'Species Codes'!B:G,6,0)*Z1025)/2000,"")</f>
        <v/>
      </c>
      <c r="AB1025" s="104" t="e">
        <f>IF(Z1025&gt;0,((IF(OR(D1025="DF",D1025="RA")=TRUE,EXP(VLOOKUP(D1025,'Species Codes'!B:I,8,0)+VLOOKUP(D1025,'Species Codes'!B:J,9,0)*(LN((E1025*2.54)))),IF(OR(D1025="PY",D1025="RC",D1025="WH",D1025="NF")=TRUE,VLOOKUP(D1025,'Species Codes'!B:I,8,0)+VLOOKUP(D1025,'Species Codes'!B:J,9,0)*((E1025*2.54)^2)*(I1025*0.3048),IF(OR(D1025="MD",D1025="BM",D1025="GA")=TRUE,((VLOOKUP(D1025,'Species Codes'!B:I,8,0)*(((((E1025*2.54)+VLOOKUP(D1025,'Species Codes'!B:J,9,0))/VLOOKUP(D1025,'Species Codes'!B:K,10,0))^VLOOKUP(D1025,'Species Codes'!B:L,11,0))*((I1025*0.3048)^VLOOKUP(D1025,'Species Codes'!B:M,12,0))))-(VLOOKUP(D1025,'Species Codes'!B:I,8,0)*((((E1025*2.54)^VLOOKUP(D1025,'Species Codes'!B:L,11,0))*((I1025*0.3048)^VLOOKUP(D1025,'Species Codes'!B:M,12,0))))))*35.3*VLOOKUP(D1025,'Species Codes'!B:G,6,0)/2.2046,VLOOKUP(D1025,'Species Codes'!B:I,8,0)+VLOOKUP(D1025,'Species Codes'!B:J,9,0)*(((E1025*2.54)/100)^2)*(I1025*0.3048)))))*0.0011023),0)</f>
        <v>#N/A</v>
      </c>
      <c r="AC1025" s="104" t="e">
        <f>IF(Z1025&gt;0,((IF(OR(D1025="RA",D1025="OA",D1025="OT",D1025="UN",D1025="PC"),EXP(VLOOKUP(D1025,'Species Codes'!B:O,14,0)+VLOOKUP(D1025,'Species Codes'!B:P,15,0)*LN((E1025*2.54)))-EXP(VLOOKUP(D1025,'Species Codes'!B:O,14,0)+VLOOKUP(D1025,'Species Codes'!B:P,15,0)*LN((E1025*2.54)))*(1/(VLOOKUP(D1025,'Species Codes'!B:Q,16,0)+VLOOKUP(D1025,'Species Codes'!B:R,17,0)*((E1025*2.54)^VLOOKUP(D1025,'Species Codes'!B:S,18,0)))),IF(OR(D1025="BM",D1025="MD",D1025="OA"),EXP(VLOOKUP(D1025,'Species Codes'!B:O,14,0)+VLOOKUP(D1025,'Species Codes'!B:P,15,0)*LN((E1025*2.54)))*(1-(1/(VLOOKUP(D1025,'Species Codes'!B:Q,16,0)+VLOOKUP(D1025,'Species Codes'!B:R,17,0)*((E1025*2.54)^VLOOKUP(D1025,'Species Codes'!B:S,18,0)))))/1000,IF(D1025="DF",EXP(VLOOKUP(D1025,'Species Codes'!B:O,14,0)+VLOOKUP(D1025,'Species Codes'!B:P,15,0)*LN((E1025*2.54))),VLOOKUP(D1025,'Species Codes'!B:O,14,0)+VLOOKUP(D1025,'Species Codes'!B:P,15,0)*(((E1025*2.54)/100)^2)*(I1025*0.3048)))))*0.0011023),0)</f>
        <v>#N/A</v>
      </c>
      <c r="AD1025" s="104" t="e">
        <f t="shared" si="463"/>
        <v>#N/A</v>
      </c>
      <c r="AE1025" s="104" t="e">
        <f t="shared" si="464"/>
        <v>#N/A</v>
      </c>
      <c r="AF1025" s="104" t="e">
        <f>IF(AND(VLOOKUP($D1025,Merchantability!$B:$C,2,0)="Yes",$E1025&gt;=VLOOKUP($D1025,Merchantability!$B:$D,3,0),$E1025&lt;=VLOOKUP($D1025,Merchantability!$B:$E,4,0)),AA1025,0)</f>
        <v>#N/A</v>
      </c>
      <c r="AG1025" s="104" t="e">
        <f>IF(AND(VLOOKUP($D1025,Merchantability!$B:$C,2,0)="Yes",$E1025&gt;=VLOOKUP($D1025,Merchantability!$B:$D,3,0),$E1025&lt;=VLOOKUP($D1025,Merchantability!$B:$E,4,0)),AB1025,0)</f>
        <v>#N/A</v>
      </c>
      <c r="AH1025" s="104" t="e">
        <f>IF(AND(VLOOKUP($D1025,Merchantability!$B:$C,2,0)="Yes",$E1025&gt;=VLOOKUP($D1025,Merchantability!$B:$D,3,0),$E1025&lt;=VLOOKUP($D1025,Merchantability!$B:$E,4,0)),AC1025,0)</f>
        <v>#N/A</v>
      </c>
      <c r="AI1025" s="104" t="e">
        <f t="shared" si="465"/>
        <v>#N/A</v>
      </c>
      <c r="AJ1025" s="104" t="e">
        <f t="shared" si="466"/>
        <v>#VALUE!</v>
      </c>
      <c r="AK1025" s="104" t="e">
        <f t="shared" si="467"/>
        <v>#N/A</v>
      </c>
      <c r="AL1025" s="104" t="e">
        <f t="shared" si="468"/>
        <v>#N/A</v>
      </c>
      <c r="AM1025" s="104" t="e">
        <f t="shared" si="469"/>
        <v>#N/A</v>
      </c>
      <c r="AN1025" s="104" t="e">
        <f t="shared" si="453"/>
        <v>#N/A</v>
      </c>
      <c r="AO1025" s="104" t="e">
        <f t="shared" si="454"/>
        <v>#N/A</v>
      </c>
      <c r="AP1025" s="104" t="e">
        <f t="shared" si="455"/>
        <v>#N/A</v>
      </c>
      <c r="AQ1025" s="104" t="e">
        <f t="shared" si="456"/>
        <v>#N/A</v>
      </c>
      <c r="AR1025" s="105" t="str">
        <f t="shared" si="448"/>
        <v/>
      </c>
      <c r="AS1025" s="105" t="str">
        <f t="shared" si="449"/>
        <v/>
      </c>
      <c r="AT1025" s="108" t="str">
        <f t="shared" si="450"/>
        <v/>
      </c>
      <c r="AU1025" s="108" t="str">
        <f t="shared" si="451"/>
        <v/>
      </c>
      <c r="AV1025" s="107" t="str">
        <f>IF(ISNUMBER(O1025),IF(VLOOKUP($A1025,Stand!C:J,8,FALSE)="Short",AT1025,AU1025),"")</f>
        <v/>
      </c>
      <c r="AW1025" s="109" t="str">
        <f t="shared" si="457"/>
        <v/>
      </c>
      <c r="AX1025" s="109" t="str">
        <f t="shared" si="458"/>
        <v/>
      </c>
      <c r="AY1025" s="112" t="str">
        <f>IF(ISNUMBER(O1025),IF(AND(VLOOKUP($D1025,Merchantability!$B:$C,2,0)="Yes",$E1025&gt;=VLOOKUP($D1025,Merchantability!$B:$D,3,0),$E1025&lt;=VLOOKUP($D1025,Merchantability!$B:$E,4,0)),(AV1025*O1025)*(1-$H1025/100),""),"")</f>
        <v/>
      </c>
      <c r="AZ1025" s="116"/>
      <c r="BA1025" s="116"/>
      <c r="BB1025" s="116"/>
      <c r="BE1025" s="62"/>
      <c r="BF1025" s="63"/>
    </row>
    <row r="1026" spans="1:58" ht="12.75" customHeight="1" x14ac:dyDescent="0.25">
      <c r="A1026" s="313"/>
      <c r="B1026" s="328"/>
      <c r="C1026" s="329"/>
      <c r="D1026" s="328"/>
      <c r="E1026" s="330"/>
      <c r="F1026" s="328"/>
      <c r="G1026" s="329"/>
      <c r="H1026" s="329"/>
      <c r="I1026" s="328"/>
      <c r="J1026" s="383"/>
      <c r="K1026" s="329"/>
      <c r="L1026" s="329"/>
      <c r="M1026" s="76"/>
      <c r="N1026" s="103" t="str">
        <f>IF(A1026="","",VLOOKUP(A1026,Stand!C:K,9,0))</f>
        <v/>
      </c>
      <c r="O1026" s="104" t="str">
        <f t="shared" ref="O1026:O1089" si="470">IF(E1026&gt;0,IF(G1026&gt;1,G1026*(43560/(N1026^2*3.14)),43560/(N1026^2*3.14)),"")</f>
        <v/>
      </c>
      <c r="P1026" s="105" t="str">
        <f t="shared" ref="P1026:P1089" si="471">IF(ISNUMBER(O1026),E1026*O1026,"")</f>
        <v/>
      </c>
      <c r="Q1026" s="105" t="str">
        <f t="shared" si="459"/>
        <v/>
      </c>
      <c r="R1026" s="103" t="str">
        <f t="shared" ref="R1026:R1089" si="472">IF(ISNUMBER(O1026),E1026^2*0.005454*O1026,"")</f>
        <v/>
      </c>
      <c r="S1026" s="103" t="str">
        <f t="shared" ref="S1026:S1089" si="473">IF(ISNUMBER(O1026),(E1026/10)^1.7*O1026,"")</f>
        <v/>
      </c>
      <c r="T1026" s="106" t="str">
        <f t="shared" si="460"/>
        <v/>
      </c>
      <c r="U1026" s="106" t="str">
        <f t="shared" si="461"/>
        <v/>
      </c>
      <c r="V1026" s="106" t="str">
        <f t="shared" si="462"/>
        <v/>
      </c>
      <c r="W1026" s="105" t="str">
        <f t="shared" ref="W1026:W1089" si="474">IF(AND(ISNUMBER(O1026),I1026&gt;0),I1026/(E1026/12),"")</f>
        <v/>
      </c>
      <c r="X1026" s="104" t="str">
        <f t="shared" si="452"/>
        <v/>
      </c>
      <c r="Y1026" s="104" t="str">
        <f t="array" ref="Y1026">IFERROR(IF(ISNUMBER(O1026),IF(COUNT(IF(A1026=$A$2:$A$2427,IF(D1026=$D$2:$D$2427,IF($X$2:$X$2427&gt;0,1))))&gt;0,SUM(IF(A1026=$A$2:$A$2427,IF(D1026=$D$2:$D$2427,$X$2:$X$2427)))/COUNT(IF(A1026=$A$2:$A$2427,IF(D1026=$D$2:$D$2427,IF(ISNUMBER($X$2:$X$2427),1)))),0),""),0)</f>
        <v/>
      </c>
      <c r="Z1026" s="104" t="str">
        <f>IF(ISNUMBER(O1026),IF(I1026&gt;0,(10^(VLOOKUP(D1026,'Species Codes'!B:C,2,0)+VLOOKUP(D1026,'Species Codes'!B:D,3,0)*LOG(E1026)+VLOOKUP(D1026,'Species Codes'!B:E,4,0)*LOG(I1026))),0),"")</f>
        <v/>
      </c>
      <c r="AA1026" s="104" t="str">
        <f>IFERROR((VLOOKUP(D1026,'Species Codes'!B:G,6,0)*Z1026)/2000,"")</f>
        <v/>
      </c>
      <c r="AB1026" s="104" t="e">
        <f>IF(Z1026&gt;0,((IF(OR(D1026="DF",D1026="RA")=TRUE,EXP(VLOOKUP(D1026,'Species Codes'!B:I,8,0)+VLOOKUP(D1026,'Species Codes'!B:J,9,0)*(LN((E1026*2.54)))),IF(OR(D1026="PY",D1026="RC",D1026="WH",D1026="NF")=TRUE,VLOOKUP(D1026,'Species Codes'!B:I,8,0)+VLOOKUP(D1026,'Species Codes'!B:J,9,0)*((E1026*2.54)^2)*(I1026*0.3048),IF(OR(D1026="MD",D1026="BM",D1026="GA")=TRUE,((VLOOKUP(D1026,'Species Codes'!B:I,8,0)*(((((E1026*2.54)+VLOOKUP(D1026,'Species Codes'!B:J,9,0))/VLOOKUP(D1026,'Species Codes'!B:K,10,0))^VLOOKUP(D1026,'Species Codes'!B:L,11,0))*((I1026*0.3048)^VLOOKUP(D1026,'Species Codes'!B:M,12,0))))-(VLOOKUP(D1026,'Species Codes'!B:I,8,0)*((((E1026*2.54)^VLOOKUP(D1026,'Species Codes'!B:L,11,0))*((I1026*0.3048)^VLOOKUP(D1026,'Species Codes'!B:M,12,0))))))*35.3*VLOOKUP(D1026,'Species Codes'!B:G,6,0)/2.2046,VLOOKUP(D1026,'Species Codes'!B:I,8,0)+VLOOKUP(D1026,'Species Codes'!B:J,9,0)*(((E1026*2.54)/100)^2)*(I1026*0.3048)))))*0.0011023),0)</f>
        <v>#N/A</v>
      </c>
      <c r="AC1026" s="104" t="e">
        <f>IF(Z1026&gt;0,((IF(OR(D1026="RA",D1026="OA",D1026="OT",D1026="UN",D1026="PC"),EXP(VLOOKUP(D1026,'Species Codes'!B:O,14,0)+VLOOKUP(D1026,'Species Codes'!B:P,15,0)*LN((E1026*2.54)))-EXP(VLOOKUP(D1026,'Species Codes'!B:O,14,0)+VLOOKUP(D1026,'Species Codes'!B:P,15,0)*LN((E1026*2.54)))*(1/(VLOOKUP(D1026,'Species Codes'!B:Q,16,0)+VLOOKUP(D1026,'Species Codes'!B:R,17,0)*((E1026*2.54)^VLOOKUP(D1026,'Species Codes'!B:S,18,0)))),IF(OR(D1026="BM",D1026="MD",D1026="OA"),EXP(VLOOKUP(D1026,'Species Codes'!B:O,14,0)+VLOOKUP(D1026,'Species Codes'!B:P,15,0)*LN((E1026*2.54)))*(1-(1/(VLOOKUP(D1026,'Species Codes'!B:Q,16,0)+VLOOKUP(D1026,'Species Codes'!B:R,17,0)*((E1026*2.54)^VLOOKUP(D1026,'Species Codes'!B:S,18,0)))))/1000,IF(D1026="DF",EXP(VLOOKUP(D1026,'Species Codes'!B:O,14,0)+VLOOKUP(D1026,'Species Codes'!B:P,15,0)*LN((E1026*2.54))),VLOOKUP(D1026,'Species Codes'!B:O,14,0)+VLOOKUP(D1026,'Species Codes'!B:P,15,0)*(((E1026*2.54)/100)^2)*(I1026*0.3048)))))*0.0011023),0)</f>
        <v>#N/A</v>
      </c>
      <c r="AD1026" s="104" t="e">
        <f t="shared" si="463"/>
        <v>#N/A</v>
      </c>
      <c r="AE1026" s="104" t="e">
        <f t="shared" si="464"/>
        <v>#N/A</v>
      </c>
      <c r="AF1026" s="104" t="e">
        <f>IF(AND(VLOOKUP($D1026,Merchantability!$B:$C,2,0)="Yes",$E1026&gt;=VLOOKUP($D1026,Merchantability!$B:$D,3,0),$E1026&lt;=VLOOKUP($D1026,Merchantability!$B:$E,4,0)),AA1026,0)</f>
        <v>#N/A</v>
      </c>
      <c r="AG1026" s="104" t="e">
        <f>IF(AND(VLOOKUP($D1026,Merchantability!$B:$C,2,0)="Yes",$E1026&gt;=VLOOKUP($D1026,Merchantability!$B:$D,3,0),$E1026&lt;=VLOOKUP($D1026,Merchantability!$B:$E,4,0)),AB1026,0)</f>
        <v>#N/A</v>
      </c>
      <c r="AH1026" s="104" t="e">
        <f>IF(AND(VLOOKUP($D1026,Merchantability!$B:$C,2,0)="Yes",$E1026&gt;=VLOOKUP($D1026,Merchantability!$B:$D,3,0),$E1026&lt;=VLOOKUP($D1026,Merchantability!$B:$E,4,0)),AC1026,0)</f>
        <v>#N/A</v>
      </c>
      <c r="AI1026" s="104" t="e">
        <f t="shared" si="465"/>
        <v>#N/A</v>
      </c>
      <c r="AJ1026" s="104" t="e">
        <f t="shared" si="466"/>
        <v>#VALUE!</v>
      </c>
      <c r="AK1026" s="104" t="e">
        <f t="shared" si="467"/>
        <v>#N/A</v>
      </c>
      <c r="AL1026" s="104" t="e">
        <f t="shared" si="468"/>
        <v>#N/A</v>
      </c>
      <c r="AM1026" s="104" t="e">
        <f t="shared" si="469"/>
        <v>#N/A</v>
      </c>
      <c r="AN1026" s="104" t="e">
        <f t="shared" si="453"/>
        <v>#N/A</v>
      </c>
      <c r="AO1026" s="104" t="e">
        <f t="shared" si="454"/>
        <v>#N/A</v>
      </c>
      <c r="AP1026" s="104" t="e">
        <f t="shared" si="455"/>
        <v>#N/A</v>
      </c>
      <c r="AQ1026" s="104" t="e">
        <f t="shared" si="456"/>
        <v>#N/A</v>
      </c>
      <c r="AR1026" s="105" t="str">
        <f t="shared" ref="AR1026:AR1089" si="475">IF(ISNUMBER(O1026),IF(Y1026&gt;0,((Y1026*(E1026^2*0.005454-0.087266))/0.912733),0),"")</f>
        <v/>
      </c>
      <c r="AS1026" s="105" t="str">
        <f t="shared" ref="AS1026:AS1089" si="476">IF(ISNUMBER(O1026),AR1026*(0.993-0.993*(0.62^(E1026-6))),"")</f>
        <v/>
      </c>
      <c r="AT1026" s="108" t="str">
        <f t="shared" ref="AT1026:AT1089" si="477">IF(ISNUMBER(O1026),IF(AS1026&gt;0,IF(Y1026&gt;0,(AS1026*10^(0.174439+0.117594*(LOG(E1026,10))*(LOG(Y1026/0.912733,10))-8.210585/E1026^2+0.236693*(LOG(Y1026/0.912733,10))-0.00001345*(Y1026/0.912733)^2-0.00001937*E1026^2)),0),0),"")</f>
        <v/>
      </c>
      <c r="AU1026" s="108" t="str">
        <f t="shared" ref="AU1026:AU1089" si="478">IF(ISNUMBER(O1026),IF(AS1026&gt;0,IF(Y1026&gt;0,AT1026*(1.001491-(6.92497/Y1026)+(0.00001351*(E1026^2))),0),0),"")</f>
        <v/>
      </c>
      <c r="AV1026" s="107" t="str">
        <f>IF(ISNUMBER(O1026),IF(VLOOKUP($A1026,Stand!C:J,8,FALSE)="Short",AT1026,AU1026),"")</f>
        <v/>
      </c>
      <c r="AW1026" s="109" t="str">
        <f t="shared" si="457"/>
        <v/>
      </c>
      <c r="AX1026" s="109" t="str">
        <f t="shared" si="458"/>
        <v/>
      </c>
      <c r="AY1026" s="112" t="str">
        <f>IF(ISNUMBER(O1026),IF(AND(VLOOKUP($D1026,Merchantability!$B:$C,2,0)="Yes",$E1026&gt;=VLOOKUP($D1026,Merchantability!$B:$D,3,0),$E1026&lt;=VLOOKUP($D1026,Merchantability!$B:$E,4,0)),(AV1026*O1026)*(1-$H1026/100),""),"")</f>
        <v/>
      </c>
      <c r="AZ1026" s="116"/>
      <c r="BA1026" s="116"/>
      <c r="BB1026" s="116"/>
      <c r="BE1026" s="62"/>
      <c r="BF1026" s="63"/>
    </row>
    <row r="1027" spans="1:58" ht="12.75" customHeight="1" x14ac:dyDescent="0.25">
      <c r="A1027" s="313"/>
      <c r="B1027" s="328"/>
      <c r="C1027" s="329"/>
      <c r="D1027" s="328"/>
      <c r="E1027" s="330"/>
      <c r="F1027" s="328"/>
      <c r="G1027" s="329"/>
      <c r="H1027" s="329"/>
      <c r="I1027" s="328"/>
      <c r="J1027" s="383"/>
      <c r="K1027" s="329"/>
      <c r="L1027" s="329"/>
      <c r="M1027" s="76"/>
      <c r="N1027" s="103" t="str">
        <f>IF(A1027="","",VLOOKUP(A1027,Stand!C:K,9,0))</f>
        <v/>
      </c>
      <c r="O1027" s="104" t="str">
        <f t="shared" si="470"/>
        <v/>
      </c>
      <c r="P1027" s="105" t="str">
        <f t="shared" si="471"/>
        <v/>
      </c>
      <c r="Q1027" s="105" t="str">
        <f t="shared" si="459"/>
        <v/>
      </c>
      <c r="R1027" s="103" t="str">
        <f t="shared" si="472"/>
        <v/>
      </c>
      <c r="S1027" s="103" t="str">
        <f t="shared" si="473"/>
        <v/>
      </c>
      <c r="T1027" s="106" t="str">
        <f t="shared" si="460"/>
        <v/>
      </c>
      <c r="U1027" s="106" t="str">
        <f t="shared" si="461"/>
        <v/>
      </c>
      <c r="V1027" s="106" t="str">
        <f t="shared" si="462"/>
        <v/>
      </c>
      <c r="W1027" s="105" t="str">
        <f t="shared" si="474"/>
        <v/>
      </c>
      <c r="X1027" s="104" t="str">
        <f t="shared" ref="X1027:X1090" si="479">IF(ISNUMBER(O1027),IF(I1027&gt;0,IF(E1027&gt;0,(0.912733*Z1027)/(1.033*(1+1.382937*EXP(-4.015292*E1027/10))*((E1027^2)*0.005454+0.087266)-0.174533),""),""),"")</f>
        <v/>
      </c>
      <c r="Y1027" s="104" t="str">
        <f t="array" ref="Y1027">IFERROR(IF(ISNUMBER(O1027),IF(COUNT(IF(A1027=$A$2:$A$2427,IF(D1027=$D$2:$D$2427,IF($X$2:$X$2427&gt;0,1))))&gt;0,SUM(IF(A1027=$A$2:$A$2427,IF(D1027=$D$2:$D$2427,$X$2:$X$2427)))/COUNT(IF(A1027=$A$2:$A$2427,IF(D1027=$D$2:$D$2427,IF(ISNUMBER($X$2:$X$2427),1)))),0),""),0)</f>
        <v/>
      </c>
      <c r="Z1027" s="104" t="str">
        <f>IF(ISNUMBER(O1027),IF(I1027&gt;0,(10^(VLOOKUP(D1027,'Species Codes'!B:C,2,0)+VLOOKUP(D1027,'Species Codes'!B:D,3,0)*LOG(E1027)+VLOOKUP(D1027,'Species Codes'!B:E,4,0)*LOG(I1027))),0),"")</f>
        <v/>
      </c>
      <c r="AA1027" s="104" t="str">
        <f>IFERROR((VLOOKUP(D1027,'Species Codes'!B:G,6,0)*Z1027)/2000,"")</f>
        <v/>
      </c>
      <c r="AB1027" s="104" t="e">
        <f>IF(Z1027&gt;0,((IF(OR(D1027="DF",D1027="RA")=TRUE,EXP(VLOOKUP(D1027,'Species Codes'!B:I,8,0)+VLOOKUP(D1027,'Species Codes'!B:J,9,0)*(LN((E1027*2.54)))),IF(OR(D1027="PY",D1027="RC",D1027="WH",D1027="NF")=TRUE,VLOOKUP(D1027,'Species Codes'!B:I,8,0)+VLOOKUP(D1027,'Species Codes'!B:J,9,0)*((E1027*2.54)^2)*(I1027*0.3048),IF(OR(D1027="MD",D1027="BM",D1027="GA")=TRUE,((VLOOKUP(D1027,'Species Codes'!B:I,8,0)*(((((E1027*2.54)+VLOOKUP(D1027,'Species Codes'!B:J,9,0))/VLOOKUP(D1027,'Species Codes'!B:K,10,0))^VLOOKUP(D1027,'Species Codes'!B:L,11,0))*((I1027*0.3048)^VLOOKUP(D1027,'Species Codes'!B:M,12,0))))-(VLOOKUP(D1027,'Species Codes'!B:I,8,0)*((((E1027*2.54)^VLOOKUP(D1027,'Species Codes'!B:L,11,0))*((I1027*0.3048)^VLOOKUP(D1027,'Species Codes'!B:M,12,0))))))*35.3*VLOOKUP(D1027,'Species Codes'!B:G,6,0)/2.2046,VLOOKUP(D1027,'Species Codes'!B:I,8,0)+VLOOKUP(D1027,'Species Codes'!B:J,9,0)*(((E1027*2.54)/100)^2)*(I1027*0.3048)))))*0.0011023),0)</f>
        <v>#N/A</v>
      </c>
      <c r="AC1027" s="104" t="e">
        <f>IF(Z1027&gt;0,((IF(OR(D1027="RA",D1027="OA",D1027="OT",D1027="UN",D1027="PC"),EXP(VLOOKUP(D1027,'Species Codes'!B:O,14,0)+VLOOKUP(D1027,'Species Codes'!B:P,15,0)*LN((E1027*2.54)))-EXP(VLOOKUP(D1027,'Species Codes'!B:O,14,0)+VLOOKUP(D1027,'Species Codes'!B:P,15,0)*LN((E1027*2.54)))*(1/(VLOOKUP(D1027,'Species Codes'!B:Q,16,0)+VLOOKUP(D1027,'Species Codes'!B:R,17,0)*((E1027*2.54)^VLOOKUP(D1027,'Species Codes'!B:S,18,0)))),IF(OR(D1027="BM",D1027="MD",D1027="OA"),EXP(VLOOKUP(D1027,'Species Codes'!B:O,14,0)+VLOOKUP(D1027,'Species Codes'!B:P,15,0)*LN((E1027*2.54)))*(1-(1/(VLOOKUP(D1027,'Species Codes'!B:Q,16,0)+VLOOKUP(D1027,'Species Codes'!B:R,17,0)*((E1027*2.54)^VLOOKUP(D1027,'Species Codes'!B:S,18,0)))))/1000,IF(D1027="DF",EXP(VLOOKUP(D1027,'Species Codes'!B:O,14,0)+VLOOKUP(D1027,'Species Codes'!B:P,15,0)*LN((E1027*2.54))),VLOOKUP(D1027,'Species Codes'!B:O,14,0)+VLOOKUP(D1027,'Species Codes'!B:P,15,0)*(((E1027*2.54)/100)^2)*(I1027*0.3048)))))*0.0011023),0)</f>
        <v>#N/A</v>
      </c>
      <c r="AD1027" s="104" t="e">
        <f t="shared" si="463"/>
        <v>#N/A</v>
      </c>
      <c r="AE1027" s="104" t="e">
        <f t="shared" si="464"/>
        <v>#N/A</v>
      </c>
      <c r="AF1027" s="104" t="e">
        <f>IF(AND(VLOOKUP($D1027,Merchantability!$B:$C,2,0)="Yes",$E1027&gt;=VLOOKUP($D1027,Merchantability!$B:$D,3,0),$E1027&lt;=VLOOKUP($D1027,Merchantability!$B:$E,4,0)),AA1027,0)</f>
        <v>#N/A</v>
      </c>
      <c r="AG1027" s="104" t="e">
        <f>IF(AND(VLOOKUP($D1027,Merchantability!$B:$C,2,0)="Yes",$E1027&gt;=VLOOKUP($D1027,Merchantability!$B:$D,3,0),$E1027&lt;=VLOOKUP($D1027,Merchantability!$B:$E,4,0)),AB1027,0)</f>
        <v>#N/A</v>
      </c>
      <c r="AH1027" s="104" t="e">
        <f>IF(AND(VLOOKUP($D1027,Merchantability!$B:$C,2,0)="Yes",$E1027&gt;=VLOOKUP($D1027,Merchantability!$B:$D,3,0),$E1027&lt;=VLOOKUP($D1027,Merchantability!$B:$E,4,0)),AC1027,0)</f>
        <v>#N/A</v>
      </c>
      <c r="AI1027" s="104" t="e">
        <f t="shared" si="465"/>
        <v>#N/A</v>
      </c>
      <c r="AJ1027" s="104" t="e">
        <f t="shared" si="466"/>
        <v>#VALUE!</v>
      </c>
      <c r="AK1027" s="104" t="e">
        <f t="shared" si="467"/>
        <v>#N/A</v>
      </c>
      <c r="AL1027" s="104" t="e">
        <f t="shared" si="468"/>
        <v>#N/A</v>
      </c>
      <c r="AM1027" s="104" t="e">
        <f t="shared" si="469"/>
        <v>#N/A</v>
      </c>
      <c r="AN1027" s="104" t="e">
        <f t="shared" ref="AN1027:AN1090" si="480">AF1027*$O1027</f>
        <v>#N/A</v>
      </c>
      <c r="AO1027" s="104" t="e">
        <f t="shared" ref="AO1027:AO1090" si="481">AG1027*$O1027</f>
        <v>#N/A</v>
      </c>
      <c r="AP1027" s="104" t="e">
        <f t="shared" ref="AP1027:AP1090" si="482">AH1027*$O1027</f>
        <v>#N/A</v>
      </c>
      <c r="AQ1027" s="104" t="e">
        <f t="shared" ref="AQ1027:AQ1090" si="483">SUM(AN1027:AP1027)</f>
        <v>#N/A</v>
      </c>
      <c r="AR1027" s="105" t="str">
        <f t="shared" si="475"/>
        <v/>
      </c>
      <c r="AS1027" s="105" t="str">
        <f t="shared" si="476"/>
        <v/>
      </c>
      <c r="AT1027" s="108" t="str">
        <f t="shared" si="477"/>
        <v/>
      </c>
      <c r="AU1027" s="108" t="str">
        <f t="shared" si="478"/>
        <v/>
      </c>
      <c r="AV1027" s="107" t="str">
        <f>IF(ISNUMBER(O1027),IF(VLOOKUP($A1027,Stand!C:J,8,FALSE)="Short",AT1027,AU1027),"")</f>
        <v/>
      </c>
      <c r="AW1027" s="109" t="str">
        <f t="shared" ref="AW1027:AW1090" si="484">IF(ISNUMBER(O1027),AV1027*O1027,"")</f>
        <v/>
      </c>
      <c r="AX1027" s="109" t="str">
        <f t="shared" ref="AX1027:AX1090" si="485">IF(ISNUMBER(O1027),AW1027*(1-$H1027/100),"")</f>
        <v/>
      </c>
      <c r="AY1027" s="112" t="str">
        <f>IF(ISNUMBER(O1027),IF(AND(VLOOKUP($D1027,Merchantability!$B:$C,2,0)="Yes",$E1027&gt;=VLOOKUP($D1027,Merchantability!$B:$D,3,0),$E1027&lt;=VLOOKUP($D1027,Merchantability!$B:$E,4,0)),(AV1027*O1027)*(1-$H1027/100),""),"")</f>
        <v/>
      </c>
      <c r="AZ1027" s="116"/>
      <c r="BA1027" s="116"/>
      <c r="BB1027" s="116"/>
      <c r="BE1027" s="62"/>
      <c r="BF1027" s="63"/>
    </row>
    <row r="1028" spans="1:58" ht="12.75" customHeight="1" x14ac:dyDescent="0.25">
      <c r="A1028" s="313"/>
      <c r="B1028" s="328"/>
      <c r="C1028" s="329"/>
      <c r="D1028" s="328"/>
      <c r="E1028" s="330"/>
      <c r="F1028" s="328"/>
      <c r="G1028" s="329"/>
      <c r="H1028" s="329"/>
      <c r="I1028" s="328"/>
      <c r="J1028" s="383"/>
      <c r="K1028" s="329"/>
      <c r="L1028" s="329"/>
      <c r="M1028" s="76"/>
      <c r="N1028" s="103" t="str">
        <f>IF(A1028="","",VLOOKUP(A1028,Stand!C:K,9,0))</f>
        <v/>
      </c>
      <c r="O1028" s="104" t="str">
        <f t="shared" si="470"/>
        <v/>
      </c>
      <c r="P1028" s="105" t="str">
        <f t="shared" si="471"/>
        <v/>
      </c>
      <c r="Q1028" s="105" t="str">
        <f t="shared" si="459"/>
        <v/>
      </c>
      <c r="R1028" s="103" t="str">
        <f t="shared" si="472"/>
        <v/>
      </c>
      <c r="S1028" s="103" t="str">
        <f t="shared" si="473"/>
        <v/>
      </c>
      <c r="T1028" s="106" t="str">
        <f t="shared" si="460"/>
        <v/>
      </c>
      <c r="U1028" s="106" t="str">
        <f t="shared" si="461"/>
        <v/>
      </c>
      <c r="V1028" s="106" t="str">
        <f t="shared" si="462"/>
        <v/>
      </c>
      <c r="W1028" s="105" t="str">
        <f t="shared" si="474"/>
        <v/>
      </c>
      <c r="X1028" s="104" t="str">
        <f t="shared" si="479"/>
        <v/>
      </c>
      <c r="Y1028" s="104" t="str">
        <f t="array" ref="Y1028">IFERROR(IF(ISNUMBER(O1028),IF(COUNT(IF(A1028=$A$2:$A$2427,IF(D1028=$D$2:$D$2427,IF($X$2:$X$2427&gt;0,1))))&gt;0,SUM(IF(A1028=$A$2:$A$2427,IF(D1028=$D$2:$D$2427,$X$2:$X$2427)))/COUNT(IF(A1028=$A$2:$A$2427,IF(D1028=$D$2:$D$2427,IF(ISNUMBER($X$2:$X$2427),1)))),0),""),0)</f>
        <v/>
      </c>
      <c r="Z1028" s="104" t="str">
        <f>IF(ISNUMBER(O1028),IF(I1028&gt;0,(10^(VLOOKUP(D1028,'Species Codes'!B:C,2,0)+VLOOKUP(D1028,'Species Codes'!B:D,3,0)*LOG(E1028)+VLOOKUP(D1028,'Species Codes'!B:E,4,0)*LOG(I1028))),0),"")</f>
        <v/>
      </c>
      <c r="AA1028" s="104" t="str">
        <f>IFERROR((VLOOKUP(D1028,'Species Codes'!B:G,6,0)*Z1028)/2000,"")</f>
        <v/>
      </c>
      <c r="AB1028" s="104" t="e">
        <f>IF(Z1028&gt;0,((IF(OR(D1028="DF",D1028="RA")=TRUE,EXP(VLOOKUP(D1028,'Species Codes'!B:I,8,0)+VLOOKUP(D1028,'Species Codes'!B:J,9,0)*(LN((E1028*2.54)))),IF(OR(D1028="PY",D1028="RC",D1028="WH",D1028="NF")=TRUE,VLOOKUP(D1028,'Species Codes'!B:I,8,0)+VLOOKUP(D1028,'Species Codes'!B:J,9,0)*((E1028*2.54)^2)*(I1028*0.3048),IF(OR(D1028="MD",D1028="BM",D1028="GA")=TRUE,((VLOOKUP(D1028,'Species Codes'!B:I,8,0)*(((((E1028*2.54)+VLOOKUP(D1028,'Species Codes'!B:J,9,0))/VLOOKUP(D1028,'Species Codes'!B:K,10,0))^VLOOKUP(D1028,'Species Codes'!B:L,11,0))*((I1028*0.3048)^VLOOKUP(D1028,'Species Codes'!B:M,12,0))))-(VLOOKUP(D1028,'Species Codes'!B:I,8,0)*((((E1028*2.54)^VLOOKUP(D1028,'Species Codes'!B:L,11,0))*((I1028*0.3048)^VLOOKUP(D1028,'Species Codes'!B:M,12,0))))))*35.3*VLOOKUP(D1028,'Species Codes'!B:G,6,0)/2.2046,VLOOKUP(D1028,'Species Codes'!B:I,8,0)+VLOOKUP(D1028,'Species Codes'!B:J,9,0)*(((E1028*2.54)/100)^2)*(I1028*0.3048)))))*0.0011023),0)</f>
        <v>#N/A</v>
      </c>
      <c r="AC1028" s="104" t="e">
        <f>IF(Z1028&gt;0,((IF(OR(D1028="RA",D1028="OA",D1028="OT",D1028="UN",D1028="PC"),EXP(VLOOKUP(D1028,'Species Codes'!B:O,14,0)+VLOOKUP(D1028,'Species Codes'!B:P,15,0)*LN((E1028*2.54)))-EXP(VLOOKUP(D1028,'Species Codes'!B:O,14,0)+VLOOKUP(D1028,'Species Codes'!B:P,15,0)*LN((E1028*2.54)))*(1/(VLOOKUP(D1028,'Species Codes'!B:Q,16,0)+VLOOKUP(D1028,'Species Codes'!B:R,17,0)*((E1028*2.54)^VLOOKUP(D1028,'Species Codes'!B:S,18,0)))),IF(OR(D1028="BM",D1028="MD",D1028="OA"),EXP(VLOOKUP(D1028,'Species Codes'!B:O,14,0)+VLOOKUP(D1028,'Species Codes'!B:P,15,0)*LN((E1028*2.54)))*(1-(1/(VLOOKUP(D1028,'Species Codes'!B:Q,16,0)+VLOOKUP(D1028,'Species Codes'!B:R,17,0)*((E1028*2.54)^VLOOKUP(D1028,'Species Codes'!B:S,18,0)))))/1000,IF(D1028="DF",EXP(VLOOKUP(D1028,'Species Codes'!B:O,14,0)+VLOOKUP(D1028,'Species Codes'!B:P,15,0)*LN((E1028*2.54))),VLOOKUP(D1028,'Species Codes'!B:O,14,0)+VLOOKUP(D1028,'Species Codes'!B:P,15,0)*(((E1028*2.54)/100)^2)*(I1028*0.3048)))))*0.0011023),0)</f>
        <v>#N/A</v>
      </c>
      <c r="AD1028" s="104" t="e">
        <f t="shared" si="463"/>
        <v>#N/A</v>
      </c>
      <c r="AE1028" s="104" t="e">
        <f t="shared" si="464"/>
        <v>#N/A</v>
      </c>
      <c r="AF1028" s="104" t="e">
        <f>IF(AND(VLOOKUP($D1028,Merchantability!$B:$C,2,0)="Yes",$E1028&gt;=VLOOKUP($D1028,Merchantability!$B:$D,3,0),$E1028&lt;=VLOOKUP($D1028,Merchantability!$B:$E,4,0)),AA1028,0)</f>
        <v>#N/A</v>
      </c>
      <c r="AG1028" s="104" t="e">
        <f>IF(AND(VLOOKUP($D1028,Merchantability!$B:$C,2,0)="Yes",$E1028&gt;=VLOOKUP($D1028,Merchantability!$B:$D,3,0),$E1028&lt;=VLOOKUP($D1028,Merchantability!$B:$E,4,0)),AB1028,0)</f>
        <v>#N/A</v>
      </c>
      <c r="AH1028" s="104" t="e">
        <f>IF(AND(VLOOKUP($D1028,Merchantability!$B:$C,2,0)="Yes",$E1028&gt;=VLOOKUP($D1028,Merchantability!$B:$D,3,0),$E1028&lt;=VLOOKUP($D1028,Merchantability!$B:$E,4,0)),AC1028,0)</f>
        <v>#N/A</v>
      </c>
      <c r="AI1028" s="104" t="e">
        <f t="shared" si="465"/>
        <v>#N/A</v>
      </c>
      <c r="AJ1028" s="104" t="e">
        <f t="shared" si="466"/>
        <v>#VALUE!</v>
      </c>
      <c r="AK1028" s="104" t="e">
        <f t="shared" si="467"/>
        <v>#N/A</v>
      </c>
      <c r="AL1028" s="104" t="e">
        <f t="shared" si="468"/>
        <v>#N/A</v>
      </c>
      <c r="AM1028" s="104" t="e">
        <f t="shared" si="469"/>
        <v>#N/A</v>
      </c>
      <c r="AN1028" s="104" t="e">
        <f t="shared" si="480"/>
        <v>#N/A</v>
      </c>
      <c r="AO1028" s="104" t="e">
        <f t="shared" si="481"/>
        <v>#N/A</v>
      </c>
      <c r="AP1028" s="104" t="e">
        <f t="shared" si="482"/>
        <v>#N/A</v>
      </c>
      <c r="AQ1028" s="104" t="e">
        <f t="shared" si="483"/>
        <v>#N/A</v>
      </c>
      <c r="AR1028" s="105" t="str">
        <f t="shared" si="475"/>
        <v/>
      </c>
      <c r="AS1028" s="105" t="str">
        <f t="shared" si="476"/>
        <v/>
      </c>
      <c r="AT1028" s="108" t="str">
        <f t="shared" si="477"/>
        <v/>
      </c>
      <c r="AU1028" s="108" t="str">
        <f t="shared" si="478"/>
        <v/>
      </c>
      <c r="AV1028" s="107" t="str">
        <f>IF(ISNUMBER(O1028),IF(VLOOKUP($A1028,Stand!C:J,8,FALSE)="Short",AT1028,AU1028),"")</f>
        <v/>
      </c>
      <c r="AW1028" s="109" t="str">
        <f t="shared" si="484"/>
        <v/>
      </c>
      <c r="AX1028" s="109" t="str">
        <f t="shared" si="485"/>
        <v/>
      </c>
      <c r="AY1028" s="112" t="str">
        <f>IF(ISNUMBER(O1028),IF(AND(VLOOKUP($D1028,Merchantability!$B:$C,2,0)="Yes",$E1028&gt;=VLOOKUP($D1028,Merchantability!$B:$D,3,0),$E1028&lt;=VLOOKUP($D1028,Merchantability!$B:$E,4,0)),(AV1028*O1028)*(1-$H1028/100),""),"")</f>
        <v/>
      </c>
      <c r="AZ1028" s="116"/>
      <c r="BA1028" s="116"/>
      <c r="BB1028" s="116"/>
      <c r="BE1028" s="62"/>
      <c r="BF1028" s="63"/>
    </row>
    <row r="1029" spans="1:58" ht="12.75" customHeight="1" x14ac:dyDescent="0.25">
      <c r="A1029" s="313"/>
      <c r="B1029" s="328"/>
      <c r="C1029" s="329"/>
      <c r="D1029" s="328"/>
      <c r="E1029" s="330"/>
      <c r="F1029" s="328"/>
      <c r="G1029" s="329"/>
      <c r="H1029" s="329"/>
      <c r="I1029" s="328"/>
      <c r="J1029" s="383"/>
      <c r="K1029" s="329"/>
      <c r="L1029" s="329"/>
      <c r="M1029" s="76"/>
      <c r="N1029" s="103" t="str">
        <f>IF(A1029="","",VLOOKUP(A1029,Stand!C:K,9,0))</f>
        <v/>
      </c>
      <c r="O1029" s="104" t="str">
        <f t="shared" si="470"/>
        <v/>
      </c>
      <c r="P1029" s="105" t="str">
        <f t="shared" si="471"/>
        <v/>
      </c>
      <c r="Q1029" s="105" t="str">
        <f t="shared" si="459"/>
        <v/>
      </c>
      <c r="R1029" s="103" t="str">
        <f t="shared" si="472"/>
        <v/>
      </c>
      <c r="S1029" s="103" t="str">
        <f t="shared" si="473"/>
        <v/>
      </c>
      <c r="T1029" s="106" t="str">
        <f t="shared" si="460"/>
        <v/>
      </c>
      <c r="U1029" s="106" t="str">
        <f t="shared" si="461"/>
        <v/>
      </c>
      <c r="V1029" s="106" t="str">
        <f t="shared" si="462"/>
        <v/>
      </c>
      <c r="W1029" s="105" t="str">
        <f t="shared" si="474"/>
        <v/>
      </c>
      <c r="X1029" s="104" t="str">
        <f t="shared" si="479"/>
        <v/>
      </c>
      <c r="Y1029" s="104" t="str">
        <f t="array" ref="Y1029">IFERROR(IF(ISNUMBER(O1029),IF(COUNT(IF(A1029=$A$2:$A$2427,IF(D1029=$D$2:$D$2427,IF($X$2:$X$2427&gt;0,1))))&gt;0,SUM(IF(A1029=$A$2:$A$2427,IF(D1029=$D$2:$D$2427,$X$2:$X$2427)))/COUNT(IF(A1029=$A$2:$A$2427,IF(D1029=$D$2:$D$2427,IF(ISNUMBER($X$2:$X$2427),1)))),0),""),0)</f>
        <v/>
      </c>
      <c r="Z1029" s="104" t="str">
        <f>IF(ISNUMBER(O1029),IF(I1029&gt;0,(10^(VLOOKUP(D1029,'Species Codes'!B:C,2,0)+VLOOKUP(D1029,'Species Codes'!B:D,3,0)*LOG(E1029)+VLOOKUP(D1029,'Species Codes'!B:E,4,0)*LOG(I1029))),0),"")</f>
        <v/>
      </c>
      <c r="AA1029" s="104" t="str">
        <f>IFERROR((VLOOKUP(D1029,'Species Codes'!B:G,6,0)*Z1029)/2000,"")</f>
        <v/>
      </c>
      <c r="AB1029" s="104" t="e">
        <f>IF(Z1029&gt;0,((IF(OR(D1029="DF",D1029="RA")=TRUE,EXP(VLOOKUP(D1029,'Species Codes'!B:I,8,0)+VLOOKUP(D1029,'Species Codes'!B:J,9,0)*(LN((E1029*2.54)))),IF(OR(D1029="PY",D1029="RC",D1029="WH",D1029="NF")=TRUE,VLOOKUP(D1029,'Species Codes'!B:I,8,0)+VLOOKUP(D1029,'Species Codes'!B:J,9,0)*((E1029*2.54)^2)*(I1029*0.3048),IF(OR(D1029="MD",D1029="BM",D1029="GA")=TRUE,((VLOOKUP(D1029,'Species Codes'!B:I,8,0)*(((((E1029*2.54)+VLOOKUP(D1029,'Species Codes'!B:J,9,0))/VLOOKUP(D1029,'Species Codes'!B:K,10,0))^VLOOKUP(D1029,'Species Codes'!B:L,11,0))*((I1029*0.3048)^VLOOKUP(D1029,'Species Codes'!B:M,12,0))))-(VLOOKUP(D1029,'Species Codes'!B:I,8,0)*((((E1029*2.54)^VLOOKUP(D1029,'Species Codes'!B:L,11,0))*((I1029*0.3048)^VLOOKUP(D1029,'Species Codes'!B:M,12,0))))))*35.3*VLOOKUP(D1029,'Species Codes'!B:G,6,0)/2.2046,VLOOKUP(D1029,'Species Codes'!B:I,8,0)+VLOOKUP(D1029,'Species Codes'!B:J,9,0)*(((E1029*2.54)/100)^2)*(I1029*0.3048)))))*0.0011023),0)</f>
        <v>#N/A</v>
      </c>
      <c r="AC1029" s="104" t="e">
        <f>IF(Z1029&gt;0,((IF(OR(D1029="RA",D1029="OA",D1029="OT",D1029="UN",D1029="PC"),EXP(VLOOKUP(D1029,'Species Codes'!B:O,14,0)+VLOOKUP(D1029,'Species Codes'!B:P,15,0)*LN((E1029*2.54)))-EXP(VLOOKUP(D1029,'Species Codes'!B:O,14,0)+VLOOKUP(D1029,'Species Codes'!B:P,15,0)*LN((E1029*2.54)))*(1/(VLOOKUP(D1029,'Species Codes'!B:Q,16,0)+VLOOKUP(D1029,'Species Codes'!B:R,17,0)*((E1029*2.54)^VLOOKUP(D1029,'Species Codes'!B:S,18,0)))),IF(OR(D1029="BM",D1029="MD",D1029="OA"),EXP(VLOOKUP(D1029,'Species Codes'!B:O,14,0)+VLOOKUP(D1029,'Species Codes'!B:P,15,0)*LN((E1029*2.54)))*(1-(1/(VLOOKUP(D1029,'Species Codes'!B:Q,16,0)+VLOOKUP(D1029,'Species Codes'!B:R,17,0)*((E1029*2.54)^VLOOKUP(D1029,'Species Codes'!B:S,18,0)))))/1000,IF(D1029="DF",EXP(VLOOKUP(D1029,'Species Codes'!B:O,14,0)+VLOOKUP(D1029,'Species Codes'!B:P,15,0)*LN((E1029*2.54))),VLOOKUP(D1029,'Species Codes'!B:O,14,0)+VLOOKUP(D1029,'Species Codes'!B:P,15,0)*(((E1029*2.54)/100)^2)*(I1029*0.3048)))))*0.0011023),0)</f>
        <v>#N/A</v>
      </c>
      <c r="AD1029" s="104" t="e">
        <f t="shared" si="463"/>
        <v>#N/A</v>
      </c>
      <c r="AE1029" s="104" t="e">
        <f t="shared" si="464"/>
        <v>#N/A</v>
      </c>
      <c r="AF1029" s="104" t="e">
        <f>IF(AND(VLOOKUP($D1029,Merchantability!$B:$C,2,0)="Yes",$E1029&gt;=VLOOKUP($D1029,Merchantability!$B:$D,3,0),$E1029&lt;=VLOOKUP($D1029,Merchantability!$B:$E,4,0)),AA1029,0)</f>
        <v>#N/A</v>
      </c>
      <c r="AG1029" s="104" t="e">
        <f>IF(AND(VLOOKUP($D1029,Merchantability!$B:$C,2,0)="Yes",$E1029&gt;=VLOOKUP($D1029,Merchantability!$B:$D,3,0),$E1029&lt;=VLOOKUP($D1029,Merchantability!$B:$E,4,0)),AB1029,0)</f>
        <v>#N/A</v>
      </c>
      <c r="AH1029" s="104" t="e">
        <f>IF(AND(VLOOKUP($D1029,Merchantability!$B:$C,2,0)="Yes",$E1029&gt;=VLOOKUP($D1029,Merchantability!$B:$D,3,0),$E1029&lt;=VLOOKUP($D1029,Merchantability!$B:$E,4,0)),AC1029,0)</f>
        <v>#N/A</v>
      </c>
      <c r="AI1029" s="104" t="e">
        <f t="shared" si="465"/>
        <v>#N/A</v>
      </c>
      <c r="AJ1029" s="104" t="e">
        <f t="shared" si="466"/>
        <v>#VALUE!</v>
      </c>
      <c r="AK1029" s="104" t="e">
        <f t="shared" si="467"/>
        <v>#N/A</v>
      </c>
      <c r="AL1029" s="104" t="e">
        <f t="shared" si="468"/>
        <v>#N/A</v>
      </c>
      <c r="AM1029" s="104" t="e">
        <f t="shared" si="469"/>
        <v>#N/A</v>
      </c>
      <c r="AN1029" s="104" t="e">
        <f t="shared" si="480"/>
        <v>#N/A</v>
      </c>
      <c r="AO1029" s="104" t="e">
        <f t="shared" si="481"/>
        <v>#N/A</v>
      </c>
      <c r="AP1029" s="104" t="e">
        <f t="shared" si="482"/>
        <v>#N/A</v>
      </c>
      <c r="AQ1029" s="104" t="e">
        <f t="shared" si="483"/>
        <v>#N/A</v>
      </c>
      <c r="AR1029" s="105" t="str">
        <f t="shared" si="475"/>
        <v/>
      </c>
      <c r="AS1029" s="105" t="str">
        <f t="shared" si="476"/>
        <v/>
      </c>
      <c r="AT1029" s="108" t="str">
        <f t="shared" si="477"/>
        <v/>
      </c>
      <c r="AU1029" s="108" t="str">
        <f t="shared" si="478"/>
        <v/>
      </c>
      <c r="AV1029" s="107" t="str">
        <f>IF(ISNUMBER(O1029),IF(VLOOKUP($A1029,Stand!C:J,8,FALSE)="Short",AT1029,AU1029),"")</f>
        <v/>
      </c>
      <c r="AW1029" s="109" t="str">
        <f t="shared" si="484"/>
        <v/>
      </c>
      <c r="AX1029" s="109" t="str">
        <f t="shared" si="485"/>
        <v/>
      </c>
      <c r="AY1029" s="112" t="str">
        <f>IF(ISNUMBER(O1029),IF(AND(VLOOKUP($D1029,Merchantability!$B:$C,2,0)="Yes",$E1029&gt;=VLOOKUP($D1029,Merchantability!$B:$D,3,0),$E1029&lt;=VLOOKUP($D1029,Merchantability!$B:$E,4,0)),(AV1029*O1029)*(1-$H1029/100),""),"")</f>
        <v/>
      </c>
      <c r="AZ1029" s="116"/>
      <c r="BA1029" s="116"/>
      <c r="BB1029" s="116"/>
      <c r="BE1029" s="62"/>
      <c r="BF1029" s="63"/>
    </row>
    <row r="1030" spans="1:58" ht="12.75" customHeight="1" x14ac:dyDescent="0.25">
      <c r="A1030" s="313"/>
      <c r="B1030" s="328"/>
      <c r="C1030" s="329"/>
      <c r="D1030" s="328"/>
      <c r="E1030" s="330"/>
      <c r="F1030" s="328"/>
      <c r="G1030" s="329"/>
      <c r="H1030" s="329"/>
      <c r="I1030" s="328"/>
      <c r="J1030" s="383"/>
      <c r="K1030" s="329"/>
      <c r="L1030" s="329"/>
      <c r="M1030" s="76"/>
      <c r="N1030" s="103" t="str">
        <f>IF(A1030="","",VLOOKUP(A1030,Stand!C:K,9,0))</f>
        <v/>
      </c>
      <c r="O1030" s="104" t="str">
        <f t="shared" si="470"/>
        <v/>
      </c>
      <c r="P1030" s="105" t="str">
        <f t="shared" si="471"/>
        <v/>
      </c>
      <c r="Q1030" s="105" t="str">
        <f t="shared" si="459"/>
        <v/>
      </c>
      <c r="R1030" s="103" t="str">
        <f t="shared" si="472"/>
        <v/>
      </c>
      <c r="S1030" s="103" t="str">
        <f t="shared" si="473"/>
        <v/>
      </c>
      <c r="T1030" s="106" t="str">
        <f t="shared" si="460"/>
        <v/>
      </c>
      <c r="U1030" s="106" t="str">
        <f t="shared" si="461"/>
        <v/>
      </c>
      <c r="V1030" s="106" t="str">
        <f t="shared" si="462"/>
        <v/>
      </c>
      <c r="W1030" s="105" t="str">
        <f t="shared" si="474"/>
        <v/>
      </c>
      <c r="X1030" s="104" t="str">
        <f t="shared" si="479"/>
        <v/>
      </c>
      <c r="Y1030" s="104" t="str">
        <f t="array" ref="Y1030">IFERROR(IF(ISNUMBER(O1030),IF(COUNT(IF(A1030=$A$2:$A$2427,IF(D1030=$D$2:$D$2427,IF($X$2:$X$2427&gt;0,1))))&gt;0,SUM(IF(A1030=$A$2:$A$2427,IF(D1030=$D$2:$D$2427,$X$2:$X$2427)))/COUNT(IF(A1030=$A$2:$A$2427,IF(D1030=$D$2:$D$2427,IF(ISNUMBER($X$2:$X$2427),1)))),0),""),0)</f>
        <v/>
      </c>
      <c r="Z1030" s="104" t="str">
        <f>IF(ISNUMBER(O1030),IF(I1030&gt;0,(10^(VLOOKUP(D1030,'Species Codes'!B:C,2,0)+VLOOKUP(D1030,'Species Codes'!B:D,3,0)*LOG(E1030)+VLOOKUP(D1030,'Species Codes'!B:E,4,0)*LOG(I1030))),0),"")</f>
        <v/>
      </c>
      <c r="AA1030" s="104" t="str">
        <f>IFERROR((VLOOKUP(D1030,'Species Codes'!B:G,6,0)*Z1030)/2000,"")</f>
        <v/>
      </c>
      <c r="AB1030" s="104" t="e">
        <f>IF(Z1030&gt;0,((IF(OR(D1030="DF",D1030="RA")=TRUE,EXP(VLOOKUP(D1030,'Species Codes'!B:I,8,0)+VLOOKUP(D1030,'Species Codes'!B:J,9,0)*(LN((E1030*2.54)))),IF(OR(D1030="PY",D1030="RC",D1030="WH",D1030="NF")=TRUE,VLOOKUP(D1030,'Species Codes'!B:I,8,0)+VLOOKUP(D1030,'Species Codes'!B:J,9,0)*((E1030*2.54)^2)*(I1030*0.3048),IF(OR(D1030="MD",D1030="BM",D1030="GA")=TRUE,((VLOOKUP(D1030,'Species Codes'!B:I,8,0)*(((((E1030*2.54)+VLOOKUP(D1030,'Species Codes'!B:J,9,0))/VLOOKUP(D1030,'Species Codes'!B:K,10,0))^VLOOKUP(D1030,'Species Codes'!B:L,11,0))*((I1030*0.3048)^VLOOKUP(D1030,'Species Codes'!B:M,12,0))))-(VLOOKUP(D1030,'Species Codes'!B:I,8,0)*((((E1030*2.54)^VLOOKUP(D1030,'Species Codes'!B:L,11,0))*((I1030*0.3048)^VLOOKUP(D1030,'Species Codes'!B:M,12,0))))))*35.3*VLOOKUP(D1030,'Species Codes'!B:G,6,0)/2.2046,VLOOKUP(D1030,'Species Codes'!B:I,8,0)+VLOOKUP(D1030,'Species Codes'!B:J,9,0)*(((E1030*2.54)/100)^2)*(I1030*0.3048)))))*0.0011023),0)</f>
        <v>#N/A</v>
      </c>
      <c r="AC1030" s="104" t="e">
        <f>IF(Z1030&gt;0,((IF(OR(D1030="RA",D1030="OA",D1030="OT",D1030="UN",D1030="PC"),EXP(VLOOKUP(D1030,'Species Codes'!B:O,14,0)+VLOOKUP(D1030,'Species Codes'!B:P,15,0)*LN((E1030*2.54)))-EXP(VLOOKUP(D1030,'Species Codes'!B:O,14,0)+VLOOKUP(D1030,'Species Codes'!B:P,15,0)*LN((E1030*2.54)))*(1/(VLOOKUP(D1030,'Species Codes'!B:Q,16,0)+VLOOKUP(D1030,'Species Codes'!B:R,17,0)*((E1030*2.54)^VLOOKUP(D1030,'Species Codes'!B:S,18,0)))),IF(OR(D1030="BM",D1030="MD",D1030="OA"),EXP(VLOOKUP(D1030,'Species Codes'!B:O,14,0)+VLOOKUP(D1030,'Species Codes'!B:P,15,0)*LN((E1030*2.54)))*(1-(1/(VLOOKUP(D1030,'Species Codes'!B:Q,16,0)+VLOOKUP(D1030,'Species Codes'!B:R,17,0)*((E1030*2.54)^VLOOKUP(D1030,'Species Codes'!B:S,18,0)))))/1000,IF(D1030="DF",EXP(VLOOKUP(D1030,'Species Codes'!B:O,14,0)+VLOOKUP(D1030,'Species Codes'!B:P,15,0)*LN((E1030*2.54))),VLOOKUP(D1030,'Species Codes'!B:O,14,0)+VLOOKUP(D1030,'Species Codes'!B:P,15,0)*(((E1030*2.54)/100)^2)*(I1030*0.3048)))))*0.0011023),0)</f>
        <v>#N/A</v>
      </c>
      <c r="AD1030" s="104" t="e">
        <f t="shared" si="463"/>
        <v>#N/A</v>
      </c>
      <c r="AE1030" s="104" t="e">
        <f t="shared" si="464"/>
        <v>#N/A</v>
      </c>
      <c r="AF1030" s="104" t="e">
        <f>IF(AND(VLOOKUP($D1030,Merchantability!$B:$C,2,0)="Yes",$E1030&gt;=VLOOKUP($D1030,Merchantability!$B:$D,3,0),$E1030&lt;=VLOOKUP($D1030,Merchantability!$B:$E,4,0)),AA1030,0)</f>
        <v>#N/A</v>
      </c>
      <c r="AG1030" s="104" t="e">
        <f>IF(AND(VLOOKUP($D1030,Merchantability!$B:$C,2,0)="Yes",$E1030&gt;=VLOOKUP($D1030,Merchantability!$B:$D,3,0),$E1030&lt;=VLOOKUP($D1030,Merchantability!$B:$E,4,0)),AB1030,0)</f>
        <v>#N/A</v>
      </c>
      <c r="AH1030" s="104" t="e">
        <f>IF(AND(VLOOKUP($D1030,Merchantability!$B:$C,2,0)="Yes",$E1030&gt;=VLOOKUP($D1030,Merchantability!$B:$D,3,0),$E1030&lt;=VLOOKUP($D1030,Merchantability!$B:$E,4,0)),AC1030,0)</f>
        <v>#N/A</v>
      </c>
      <c r="AI1030" s="104" t="e">
        <f t="shared" si="465"/>
        <v>#N/A</v>
      </c>
      <c r="AJ1030" s="104" t="e">
        <f t="shared" si="466"/>
        <v>#VALUE!</v>
      </c>
      <c r="AK1030" s="104" t="e">
        <f t="shared" si="467"/>
        <v>#N/A</v>
      </c>
      <c r="AL1030" s="104" t="e">
        <f t="shared" si="468"/>
        <v>#N/A</v>
      </c>
      <c r="AM1030" s="104" t="e">
        <f t="shared" si="469"/>
        <v>#N/A</v>
      </c>
      <c r="AN1030" s="104" t="e">
        <f t="shared" si="480"/>
        <v>#N/A</v>
      </c>
      <c r="AO1030" s="104" t="e">
        <f t="shared" si="481"/>
        <v>#N/A</v>
      </c>
      <c r="AP1030" s="104" t="e">
        <f t="shared" si="482"/>
        <v>#N/A</v>
      </c>
      <c r="AQ1030" s="104" t="e">
        <f t="shared" si="483"/>
        <v>#N/A</v>
      </c>
      <c r="AR1030" s="105" t="str">
        <f t="shared" si="475"/>
        <v/>
      </c>
      <c r="AS1030" s="105" t="str">
        <f t="shared" si="476"/>
        <v/>
      </c>
      <c r="AT1030" s="108" t="str">
        <f t="shared" si="477"/>
        <v/>
      </c>
      <c r="AU1030" s="108" t="str">
        <f t="shared" si="478"/>
        <v/>
      </c>
      <c r="AV1030" s="107" t="str">
        <f>IF(ISNUMBER(O1030),IF(VLOOKUP($A1030,Stand!C:J,8,FALSE)="Short",AT1030,AU1030),"")</f>
        <v/>
      </c>
      <c r="AW1030" s="109" t="str">
        <f t="shared" si="484"/>
        <v/>
      </c>
      <c r="AX1030" s="109" t="str">
        <f t="shared" si="485"/>
        <v/>
      </c>
      <c r="AY1030" s="112" t="str">
        <f>IF(ISNUMBER(O1030),IF(AND(VLOOKUP($D1030,Merchantability!$B:$C,2,0)="Yes",$E1030&gt;=VLOOKUP($D1030,Merchantability!$B:$D,3,0),$E1030&lt;=VLOOKUP($D1030,Merchantability!$B:$E,4,0)),(AV1030*O1030)*(1-$H1030/100),""),"")</f>
        <v/>
      </c>
      <c r="AZ1030" s="116"/>
      <c r="BA1030" s="116"/>
      <c r="BB1030" s="116"/>
      <c r="BE1030" s="62"/>
      <c r="BF1030" s="63"/>
    </row>
    <row r="1031" spans="1:58" ht="12.75" customHeight="1" x14ac:dyDescent="0.25">
      <c r="A1031" s="313"/>
      <c r="B1031" s="328"/>
      <c r="C1031" s="329"/>
      <c r="D1031" s="328"/>
      <c r="E1031" s="330"/>
      <c r="F1031" s="328"/>
      <c r="G1031" s="329"/>
      <c r="H1031" s="329"/>
      <c r="I1031" s="328"/>
      <c r="J1031" s="383"/>
      <c r="K1031" s="329"/>
      <c r="L1031" s="329"/>
      <c r="M1031" s="76"/>
      <c r="N1031" s="103" t="str">
        <f>IF(A1031="","",VLOOKUP(A1031,Stand!C:K,9,0))</f>
        <v/>
      </c>
      <c r="O1031" s="104" t="str">
        <f t="shared" si="470"/>
        <v/>
      </c>
      <c r="P1031" s="105" t="str">
        <f t="shared" si="471"/>
        <v/>
      </c>
      <c r="Q1031" s="105" t="str">
        <f t="shared" si="459"/>
        <v/>
      </c>
      <c r="R1031" s="103" t="str">
        <f t="shared" si="472"/>
        <v/>
      </c>
      <c r="S1031" s="103" t="str">
        <f t="shared" si="473"/>
        <v/>
      </c>
      <c r="T1031" s="106" t="str">
        <f t="shared" si="460"/>
        <v/>
      </c>
      <c r="U1031" s="106" t="str">
        <f t="shared" si="461"/>
        <v/>
      </c>
      <c r="V1031" s="106" t="str">
        <f t="shared" si="462"/>
        <v/>
      </c>
      <c r="W1031" s="105" t="str">
        <f t="shared" si="474"/>
        <v/>
      </c>
      <c r="X1031" s="104" t="str">
        <f t="shared" si="479"/>
        <v/>
      </c>
      <c r="Y1031" s="104" t="str">
        <f t="array" ref="Y1031">IFERROR(IF(ISNUMBER(O1031),IF(COUNT(IF(A1031=$A$2:$A$2427,IF(D1031=$D$2:$D$2427,IF($X$2:$X$2427&gt;0,1))))&gt;0,SUM(IF(A1031=$A$2:$A$2427,IF(D1031=$D$2:$D$2427,$X$2:$X$2427)))/COUNT(IF(A1031=$A$2:$A$2427,IF(D1031=$D$2:$D$2427,IF(ISNUMBER($X$2:$X$2427),1)))),0),""),0)</f>
        <v/>
      </c>
      <c r="Z1031" s="104" t="str">
        <f>IF(ISNUMBER(O1031),IF(I1031&gt;0,(10^(VLOOKUP(D1031,'Species Codes'!B:C,2,0)+VLOOKUP(D1031,'Species Codes'!B:D,3,0)*LOG(E1031)+VLOOKUP(D1031,'Species Codes'!B:E,4,0)*LOG(I1031))),0),"")</f>
        <v/>
      </c>
      <c r="AA1031" s="104" t="str">
        <f>IFERROR((VLOOKUP(D1031,'Species Codes'!B:G,6,0)*Z1031)/2000,"")</f>
        <v/>
      </c>
      <c r="AB1031" s="104" t="e">
        <f>IF(Z1031&gt;0,((IF(OR(D1031="DF",D1031="RA")=TRUE,EXP(VLOOKUP(D1031,'Species Codes'!B:I,8,0)+VLOOKUP(D1031,'Species Codes'!B:J,9,0)*(LN((E1031*2.54)))),IF(OR(D1031="PY",D1031="RC",D1031="WH",D1031="NF")=TRUE,VLOOKUP(D1031,'Species Codes'!B:I,8,0)+VLOOKUP(D1031,'Species Codes'!B:J,9,0)*((E1031*2.54)^2)*(I1031*0.3048),IF(OR(D1031="MD",D1031="BM",D1031="GA")=TRUE,((VLOOKUP(D1031,'Species Codes'!B:I,8,0)*(((((E1031*2.54)+VLOOKUP(D1031,'Species Codes'!B:J,9,0))/VLOOKUP(D1031,'Species Codes'!B:K,10,0))^VLOOKUP(D1031,'Species Codes'!B:L,11,0))*((I1031*0.3048)^VLOOKUP(D1031,'Species Codes'!B:M,12,0))))-(VLOOKUP(D1031,'Species Codes'!B:I,8,0)*((((E1031*2.54)^VLOOKUP(D1031,'Species Codes'!B:L,11,0))*((I1031*0.3048)^VLOOKUP(D1031,'Species Codes'!B:M,12,0))))))*35.3*VLOOKUP(D1031,'Species Codes'!B:G,6,0)/2.2046,VLOOKUP(D1031,'Species Codes'!B:I,8,0)+VLOOKUP(D1031,'Species Codes'!B:J,9,0)*(((E1031*2.54)/100)^2)*(I1031*0.3048)))))*0.0011023),0)</f>
        <v>#N/A</v>
      </c>
      <c r="AC1031" s="104" t="e">
        <f>IF(Z1031&gt;0,((IF(OR(D1031="RA",D1031="OA",D1031="OT",D1031="UN",D1031="PC"),EXP(VLOOKUP(D1031,'Species Codes'!B:O,14,0)+VLOOKUP(D1031,'Species Codes'!B:P,15,0)*LN((E1031*2.54)))-EXP(VLOOKUP(D1031,'Species Codes'!B:O,14,0)+VLOOKUP(D1031,'Species Codes'!B:P,15,0)*LN((E1031*2.54)))*(1/(VLOOKUP(D1031,'Species Codes'!B:Q,16,0)+VLOOKUP(D1031,'Species Codes'!B:R,17,0)*((E1031*2.54)^VLOOKUP(D1031,'Species Codes'!B:S,18,0)))),IF(OR(D1031="BM",D1031="MD",D1031="OA"),EXP(VLOOKUP(D1031,'Species Codes'!B:O,14,0)+VLOOKUP(D1031,'Species Codes'!B:P,15,0)*LN((E1031*2.54)))*(1-(1/(VLOOKUP(D1031,'Species Codes'!B:Q,16,0)+VLOOKUP(D1031,'Species Codes'!B:R,17,0)*((E1031*2.54)^VLOOKUP(D1031,'Species Codes'!B:S,18,0)))))/1000,IF(D1031="DF",EXP(VLOOKUP(D1031,'Species Codes'!B:O,14,0)+VLOOKUP(D1031,'Species Codes'!B:P,15,0)*LN((E1031*2.54))),VLOOKUP(D1031,'Species Codes'!B:O,14,0)+VLOOKUP(D1031,'Species Codes'!B:P,15,0)*(((E1031*2.54)/100)^2)*(I1031*0.3048)))))*0.0011023),0)</f>
        <v>#N/A</v>
      </c>
      <c r="AD1031" s="104" t="e">
        <f t="shared" si="463"/>
        <v>#N/A</v>
      </c>
      <c r="AE1031" s="104" t="e">
        <f t="shared" si="464"/>
        <v>#N/A</v>
      </c>
      <c r="AF1031" s="104" t="e">
        <f>IF(AND(VLOOKUP($D1031,Merchantability!$B:$C,2,0)="Yes",$E1031&gt;=VLOOKUP($D1031,Merchantability!$B:$D,3,0),$E1031&lt;=VLOOKUP($D1031,Merchantability!$B:$E,4,0)),AA1031,0)</f>
        <v>#N/A</v>
      </c>
      <c r="AG1031" s="104" t="e">
        <f>IF(AND(VLOOKUP($D1031,Merchantability!$B:$C,2,0)="Yes",$E1031&gt;=VLOOKUP($D1031,Merchantability!$B:$D,3,0),$E1031&lt;=VLOOKUP($D1031,Merchantability!$B:$E,4,0)),AB1031,0)</f>
        <v>#N/A</v>
      </c>
      <c r="AH1031" s="104" t="e">
        <f>IF(AND(VLOOKUP($D1031,Merchantability!$B:$C,2,0)="Yes",$E1031&gt;=VLOOKUP($D1031,Merchantability!$B:$D,3,0),$E1031&lt;=VLOOKUP($D1031,Merchantability!$B:$E,4,0)),AC1031,0)</f>
        <v>#N/A</v>
      </c>
      <c r="AI1031" s="104" t="e">
        <f t="shared" si="465"/>
        <v>#N/A</v>
      </c>
      <c r="AJ1031" s="104" t="e">
        <f t="shared" si="466"/>
        <v>#VALUE!</v>
      </c>
      <c r="AK1031" s="104" t="e">
        <f t="shared" si="467"/>
        <v>#N/A</v>
      </c>
      <c r="AL1031" s="104" t="e">
        <f t="shared" si="468"/>
        <v>#N/A</v>
      </c>
      <c r="AM1031" s="104" t="e">
        <f t="shared" si="469"/>
        <v>#N/A</v>
      </c>
      <c r="AN1031" s="104" t="e">
        <f t="shared" si="480"/>
        <v>#N/A</v>
      </c>
      <c r="AO1031" s="104" t="e">
        <f t="shared" si="481"/>
        <v>#N/A</v>
      </c>
      <c r="AP1031" s="104" t="e">
        <f t="shared" si="482"/>
        <v>#N/A</v>
      </c>
      <c r="AQ1031" s="104" t="e">
        <f t="shared" si="483"/>
        <v>#N/A</v>
      </c>
      <c r="AR1031" s="105" t="str">
        <f t="shared" si="475"/>
        <v/>
      </c>
      <c r="AS1031" s="105" t="str">
        <f t="shared" si="476"/>
        <v/>
      </c>
      <c r="AT1031" s="108" t="str">
        <f t="shared" si="477"/>
        <v/>
      </c>
      <c r="AU1031" s="108" t="str">
        <f t="shared" si="478"/>
        <v/>
      </c>
      <c r="AV1031" s="107" t="str">
        <f>IF(ISNUMBER(O1031),IF(VLOOKUP($A1031,Stand!C:J,8,FALSE)="Short",AT1031,AU1031),"")</f>
        <v/>
      </c>
      <c r="AW1031" s="109" t="str">
        <f t="shared" si="484"/>
        <v/>
      </c>
      <c r="AX1031" s="109" t="str">
        <f t="shared" si="485"/>
        <v/>
      </c>
      <c r="AY1031" s="112" t="str">
        <f>IF(ISNUMBER(O1031),IF(AND(VLOOKUP($D1031,Merchantability!$B:$C,2,0)="Yes",$E1031&gt;=VLOOKUP($D1031,Merchantability!$B:$D,3,0),$E1031&lt;=VLOOKUP($D1031,Merchantability!$B:$E,4,0)),(AV1031*O1031)*(1-$H1031/100),""),"")</f>
        <v/>
      </c>
      <c r="AZ1031" s="116"/>
      <c r="BA1031" s="116"/>
      <c r="BB1031" s="116"/>
      <c r="BE1031" s="62"/>
      <c r="BF1031" s="63"/>
    </row>
    <row r="1032" spans="1:58" ht="12.75" customHeight="1" x14ac:dyDescent="0.25">
      <c r="A1032" s="313"/>
      <c r="B1032" s="328"/>
      <c r="C1032" s="329"/>
      <c r="D1032" s="328"/>
      <c r="E1032" s="330"/>
      <c r="F1032" s="328"/>
      <c r="G1032" s="329"/>
      <c r="H1032" s="329"/>
      <c r="I1032" s="328"/>
      <c r="J1032" s="383"/>
      <c r="K1032" s="329"/>
      <c r="L1032" s="329"/>
      <c r="M1032" s="76"/>
      <c r="N1032" s="103" t="str">
        <f>IF(A1032="","",VLOOKUP(A1032,Stand!C:K,9,0))</f>
        <v/>
      </c>
      <c r="O1032" s="104" t="str">
        <f t="shared" si="470"/>
        <v/>
      </c>
      <c r="P1032" s="105" t="str">
        <f t="shared" si="471"/>
        <v/>
      </c>
      <c r="Q1032" s="105" t="str">
        <f t="shared" si="459"/>
        <v/>
      </c>
      <c r="R1032" s="103" t="str">
        <f t="shared" si="472"/>
        <v/>
      </c>
      <c r="S1032" s="103" t="str">
        <f t="shared" si="473"/>
        <v/>
      </c>
      <c r="T1032" s="106" t="str">
        <f t="shared" si="460"/>
        <v/>
      </c>
      <c r="U1032" s="106" t="str">
        <f t="shared" si="461"/>
        <v/>
      </c>
      <c r="V1032" s="106" t="str">
        <f t="shared" si="462"/>
        <v/>
      </c>
      <c r="W1032" s="105" t="str">
        <f t="shared" si="474"/>
        <v/>
      </c>
      <c r="X1032" s="104" t="str">
        <f t="shared" si="479"/>
        <v/>
      </c>
      <c r="Y1032" s="104" t="str">
        <f t="array" ref="Y1032">IFERROR(IF(ISNUMBER(O1032),IF(COUNT(IF(A1032=$A$2:$A$2427,IF(D1032=$D$2:$D$2427,IF($X$2:$X$2427&gt;0,1))))&gt;0,SUM(IF(A1032=$A$2:$A$2427,IF(D1032=$D$2:$D$2427,$X$2:$X$2427)))/COUNT(IF(A1032=$A$2:$A$2427,IF(D1032=$D$2:$D$2427,IF(ISNUMBER($X$2:$X$2427),1)))),0),""),0)</f>
        <v/>
      </c>
      <c r="Z1032" s="104" t="str">
        <f>IF(ISNUMBER(O1032),IF(I1032&gt;0,(10^(VLOOKUP(D1032,'Species Codes'!B:C,2,0)+VLOOKUP(D1032,'Species Codes'!B:D,3,0)*LOG(E1032)+VLOOKUP(D1032,'Species Codes'!B:E,4,0)*LOG(I1032))),0),"")</f>
        <v/>
      </c>
      <c r="AA1032" s="104" t="str">
        <f>IFERROR((VLOOKUP(D1032,'Species Codes'!B:G,6,0)*Z1032)/2000,"")</f>
        <v/>
      </c>
      <c r="AB1032" s="104" t="e">
        <f>IF(Z1032&gt;0,((IF(OR(D1032="DF",D1032="RA")=TRUE,EXP(VLOOKUP(D1032,'Species Codes'!B:I,8,0)+VLOOKUP(D1032,'Species Codes'!B:J,9,0)*(LN((E1032*2.54)))),IF(OR(D1032="PY",D1032="RC",D1032="WH",D1032="NF")=TRUE,VLOOKUP(D1032,'Species Codes'!B:I,8,0)+VLOOKUP(D1032,'Species Codes'!B:J,9,0)*((E1032*2.54)^2)*(I1032*0.3048),IF(OR(D1032="MD",D1032="BM",D1032="GA")=TRUE,((VLOOKUP(D1032,'Species Codes'!B:I,8,0)*(((((E1032*2.54)+VLOOKUP(D1032,'Species Codes'!B:J,9,0))/VLOOKUP(D1032,'Species Codes'!B:K,10,0))^VLOOKUP(D1032,'Species Codes'!B:L,11,0))*((I1032*0.3048)^VLOOKUP(D1032,'Species Codes'!B:M,12,0))))-(VLOOKUP(D1032,'Species Codes'!B:I,8,0)*((((E1032*2.54)^VLOOKUP(D1032,'Species Codes'!B:L,11,0))*((I1032*0.3048)^VLOOKUP(D1032,'Species Codes'!B:M,12,0))))))*35.3*VLOOKUP(D1032,'Species Codes'!B:G,6,0)/2.2046,VLOOKUP(D1032,'Species Codes'!B:I,8,0)+VLOOKUP(D1032,'Species Codes'!B:J,9,0)*(((E1032*2.54)/100)^2)*(I1032*0.3048)))))*0.0011023),0)</f>
        <v>#N/A</v>
      </c>
      <c r="AC1032" s="104" t="e">
        <f>IF(Z1032&gt;0,((IF(OR(D1032="RA",D1032="OA",D1032="OT",D1032="UN",D1032="PC"),EXP(VLOOKUP(D1032,'Species Codes'!B:O,14,0)+VLOOKUP(D1032,'Species Codes'!B:P,15,0)*LN((E1032*2.54)))-EXP(VLOOKUP(D1032,'Species Codes'!B:O,14,0)+VLOOKUP(D1032,'Species Codes'!B:P,15,0)*LN((E1032*2.54)))*(1/(VLOOKUP(D1032,'Species Codes'!B:Q,16,0)+VLOOKUP(D1032,'Species Codes'!B:R,17,0)*((E1032*2.54)^VLOOKUP(D1032,'Species Codes'!B:S,18,0)))),IF(OR(D1032="BM",D1032="MD",D1032="OA"),EXP(VLOOKUP(D1032,'Species Codes'!B:O,14,0)+VLOOKUP(D1032,'Species Codes'!B:P,15,0)*LN((E1032*2.54)))*(1-(1/(VLOOKUP(D1032,'Species Codes'!B:Q,16,0)+VLOOKUP(D1032,'Species Codes'!B:R,17,0)*((E1032*2.54)^VLOOKUP(D1032,'Species Codes'!B:S,18,0)))))/1000,IF(D1032="DF",EXP(VLOOKUP(D1032,'Species Codes'!B:O,14,0)+VLOOKUP(D1032,'Species Codes'!B:P,15,0)*LN((E1032*2.54))),VLOOKUP(D1032,'Species Codes'!B:O,14,0)+VLOOKUP(D1032,'Species Codes'!B:P,15,0)*(((E1032*2.54)/100)^2)*(I1032*0.3048)))))*0.0011023),0)</f>
        <v>#N/A</v>
      </c>
      <c r="AD1032" s="104" t="e">
        <f t="shared" si="463"/>
        <v>#N/A</v>
      </c>
      <c r="AE1032" s="104" t="e">
        <f t="shared" si="464"/>
        <v>#N/A</v>
      </c>
      <c r="AF1032" s="104" t="e">
        <f>IF(AND(VLOOKUP($D1032,Merchantability!$B:$C,2,0)="Yes",$E1032&gt;=VLOOKUP($D1032,Merchantability!$B:$D,3,0),$E1032&lt;=VLOOKUP($D1032,Merchantability!$B:$E,4,0)),AA1032,0)</f>
        <v>#N/A</v>
      </c>
      <c r="AG1032" s="104" t="e">
        <f>IF(AND(VLOOKUP($D1032,Merchantability!$B:$C,2,0)="Yes",$E1032&gt;=VLOOKUP($D1032,Merchantability!$B:$D,3,0),$E1032&lt;=VLOOKUP($D1032,Merchantability!$B:$E,4,0)),AB1032,0)</f>
        <v>#N/A</v>
      </c>
      <c r="AH1032" s="104" t="e">
        <f>IF(AND(VLOOKUP($D1032,Merchantability!$B:$C,2,0)="Yes",$E1032&gt;=VLOOKUP($D1032,Merchantability!$B:$D,3,0),$E1032&lt;=VLOOKUP($D1032,Merchantability!$B:$E,4,0)),AC1032,0)</f>
        <v>#N/A</v>
      </c>
      <c r="AI1032" s="104" t="e">
        <f t="shared" si="465"/>
        <v>#N/A</v>
      </c>
      <c r="AJ1032" s="104" t="e">
        <f t="shared" si="466"/>
        <v>#VALUE!</v>
      </c>
      <c r="AK1032" s="104" t="e">
        <f t="shared" si="467"/>
        <v>#N/A</v>
      </c>
      <c r="AL1032" s="104" t="e">
        <f t="shared" si="468"/>
        <v>#N/A</v>
      </c>
      <c r="AM1032" s="104" t="e">
        <f t="shared" si="469"/>
        <v>#N/A</v>
      </c>
      <c r="AN1032" s="104" t="e">
        <f t="shared" si="480"/>
        <v>#N/A</v>
      </c>
      <c r="AO1032" s="104" t="e">
        <f t="shared" si="481"/>
        <v>#N/A</v>
      </c>
      <c r="AP1032" s="104" t="e">
        <f t="shared" si="482"/>
        <v>#N/A</v>
      </c>
      <c r="AQ1032" s="104" t="e">
        <f t="shared" si="483"/>
        <v>#N/A</v>
      </c>
      <c r="AR1032" s="105" t="str">
        <f t="shared" si="475"/>
        <v/>
      </c>
      <c r="AS1032" s="105" t="str">
        <f t="shared" si="476"/>
        <v/>
      </c>
      <c r="AT1032" s="108" t="str">
        <f t="shared" si="477"/>
        <v/>
      </c>
      <c r="AU1032" s="108" t="str">
        <f t="shared" si="478"/>
        <v/>
      </c>
      <c r="AV1032" s="107" t="str">
        <f>IF(ISNUMBER(O1032),IF(VLOOKUP($A1032,Stand!C:J,8,FALSE)="Short",AT1032,AU1032),"")</f>
        <v/>
      </c>
      <c r="AW1032" s="109" t="str">
        <f t="shared" si="484"/>
        <v/>
      </c>
      <c r="AX1032" s="109" t="str">
        <f t="shared" si="485"/>
        <v/>
      </c>
      <c r="AY1032" s="112" t="str">
        <f>IF(ISNUMBER(O1032),IF(AND(VLOOKUP($D1032,Merchantability!$B:$C,2,0)="Yes",$E1032&gt;=VLOOKUP($D1032,Merchantability!$B:$D,3,0),$E1032&lt;=VLOOKUP($D1032,Merchantability!$B:$E,4,0)),(AV1032*O1032)*(1-$H1032/100),""),"")</f>
        <v/>
      </c>
      <c r="AZ1032" s="116"/>
      <c r="BA1032" s="116"/>
      <c r="BB1032" s="116"/>
      <c r="BE1032" s="62"/>
      <c r="BF1032" s="63"/>
    </row>
    <row r="1033" spans="1:58" ht="12.75" customHeight="1" x14ac:dyDescent="0.25">
      <c r="A1033" s="313"/>
      <c r="B1033" s="328"/>
      <c r="C1033" s="329"/>
      <c r="D1033" s="328"/>
      <c r="E1033" s="330"/>
      <c r="F1033" s="328"/>
      <c r="G1033" s="329"/>
      <c r="H1033" s="329"/>
      <c r="I1033" s="328"/>
      <c r="J1033" s="383"/>
      <c r="K1033" s="329"/>
      <c r="L1033" s="329"/>
      <c r="M1033" s="76"/>
      <c r="N1033" s="103" t="str">
        <f>IF(A1033="","",VLOOKUP(A1033,Stand!C:K,9,0))</f>
        <v/>
      </c>
      <c r="O1033" s="104" t="str">
        <f t="shared" si="470"/>
        <v/>
      </c>
      <c r="P1033" s="105" t="str">
        <f t="shared" si="471"/>
        <v/>
      </c>
      <c r="Q1033" s="105" t="str">
        <f t="shared" si="459"/>
        <v/>
      </c>
      <c r="R1033" s="103" t="str">
        <f t="shared" si="472"/>
        <v/>
      </c>
      <c r="S1033" s="103" t="str">
        <f t="shared" si="473"/>
        <v/>
      </c>
      <c r="T1033" s="106" t="str">
        <f t="shared" si="460"/>
        <v/>
      </c>
      <c r="U1033" s="106" t="str">
        <f t="shared" si="461"/>
        <v/>
      </c>
      <c r="V1033" s="106" t="str">
        <f t="shared" si="462"/>
        <v/>
      </c>
      <c r="W1033" s="105" t="str">
        <f t="shared" si="474"/>
        <v/>
      </c>
      <c r="X1033" s="104" t="str">
        <f t="shared" si="479"/>
        <v/>
      </c>
      <c r="Y1033" s="104" t="str">
        <f t="array" ref="Y1033">IFERROR(IF(ISNUMBER(O1033),IF(COUNT(IF(A1033=$A$2:$A$2427,IF(D1033=$D$2:$D$2427,IF($X$2:$X$2427&gt;0,1))))&gt;0,SUM(IF(A1033=$A$2:$A$2427,IF(D1033=$D$2:$D$2427,$X$2:$X$2427)))/COUNT(IF(A1033=$A$2:$A$2427,IF(D1033=$D$2:$D$2427,IF(ISNUMBER($X$2:$X$2427),1)))),0),""),0)</f>
        <v/>
      </c>
      <c r="Z1033" s="104" t="str">
        <f>IF(ISNUMBER(O1033),IF(I1033&gt;0,(10^(VLOOKUP(D1033,'Species Codes'!B:C,2,0)+VLOOKUP(D1033,'Species Codes'!B:D,3,0)*LOG(E1033)+VLOOKUP(D1033,'Species Codes'!B:E,4,0)*LOG(I1033))),0),"")</f>
        <v/>
      </c>
      <c r="AA1033" s="104" t="str">
        <f>IFERROR((VLOOKUP(D1033,'Species Codes'!B:G,6,0)*Z1033)/2000,"")</f>
        <v/>
      </c>
      <c r="AB1033" s="104" t="e">
        <f>IF(Z1033&gt;0,((IF(OR(D1033="DF",D1033="RA")=TRUE,EXP(VLOOKUP(D1033,'Species Codes'!B:I,8,0)+VLOOKUP(D1033,'Species Codes'!B:J,9,0)*(LN((E1033*2.54)))),IF(OR(D1033="PY",D1033="RC",D1033="WH",D1033="NF")=TRUE,VLOOKUP(D1033,'Species Codes'!B:I,8,0)+VLOOKUP(D1033,'Species Codes'!B:J,9,0)*((E1033*2.54)^2)*(I1033*0.3048),IF(OR(D1033="MD",D1033="BM",D1033="GA")=TRUE,((VLOOKUP(D1033,'Species Codes'!B:I,8,0)*(((((E1033*2.54)+VLOOKUP(D1033,'Species Codes'!B:J,9,0))/VLOOKUP(D1033,'Species Codes'!B:K,10,0))^VLOOKUP(D1033,'Species Codes'!B:L,11,0))*((I1033*0.3048)^VLOOKUP(D1033,'Species Codes'!B:M,12,0))))-(VLOOKUP(D1033,'Species Codes'!B:I,8,0)*((((E1033*2.54)^VLOOKUP(D1033,'Species Codes'!B:L,11,0))*((I1033*0.3048)^VLOOKUP(D1033,'Species Codes'!B:M,12,0))))))*35.3*VLOOKUP(D1033,'Species Codes'!B:G,6,0)/2.2046,VLOOKUP(D1033,'Species Codes'!B:I,8,0)+VLOOKUP(D1033,'Species Codes'!B:J,9,0)*(((E1033*2.54)/100)^2)*(I1033*0.3048)))))*0.0011023),0)</f>
        <v>#N/A</v>
      </c>
      <c r="AC1033" s="104" t="e">
        <f>IF(Z1033&gt;0,((IF(OR(D1033="RA",D1033="OA",D1033="OT",D1033="UN",D1033="PC"),EXP(VLOOKUP(D1033,'Species Codes'!B:O,14,0)+VLOOKUP(D1033,'Species Codes'!B:P,15,0)*LN((E1033*2.54)))-EXP(VLOOKUP(D1033,'Species Codes'!B:O,14,0)+VLOOKUP(D1033,'Species Codes'!B:P,15,0)*LN((E1033*2.54)))*(1/(VLOOKUP(D1033,'Species Codes'!B:Q,16,0)+VLOOKUP(D1033,'Species Codes'!B:R,17,0)*((E1033*2.54)^VLOOKUP(D1033,'Species Codes'!B:S,18,0)))),IF(OR(D1033="BM",D1033="MD",D1033="OA"),EXP(VLOOKUP(D1033,'Species Codes'!B:O,14,0)+VLOOKUP(D1033,'Species Codes'!B:P,15,0)*LN((E1033*2.54)))*(1-(1/(VLOOKUP(D1033,'Species Codes'!B:Q,16,0)+VLOOKUP(D1033,'Species Codes'!B:R,17,0)*((E1033*2.54)^VLOOKUP(D1033,'Species Codes'!B:S,18,0)))))/1000,IF(D1033="DF",EXP(VLOOKUP(D1033,'Species Codes'!B:O,14,0)+VLOOKUP(D1033,'Species Codes'!B:P,15,0)*LN((E1033*2.54))),VLOOKUP(D1033,'Species Codes'!B:O,14,0)+VLOOKUP(D1033,'Species Codes'!B:P,15,0)*(((E1033*2.54)/100)^2)*(I1033*0.3048)))))*0.0011023),0)</f>
        <v>#N/A</v>
      </c>
      <c r="AD1033" s="104" t="e">
        <f t="shared" si="463"/>
        <v>#N/A</v>
      </c>
      <c r="AE1033" s="104" t="e">
        <f t="shared" si="464"/>
        <v>#N/A</v>
      </c>
      <c r="AF1033" s="104" t="e">
        <f>IF(AND(VLOOKUP($D1033,Merchantability!$B:$C,2,0)="Yes",$E1033&gt;=VLOOKUP($D1033,Merchantability!$B:$D,3,0),$E1033&lt;=VLOOKUP($D1033,Merchantability!$B:$E,4,0)),AA1033,0)</f>
        <v>#N/A</v>
      </c>
      <c r="AG1033" s="104" t="e">
        <f>IF(AND(VLOOKUP($D1033,Merchantability!$B:$C,2,0)="Yes",$E1033&gt;=VLOOKUP($D1033,Merchantability!$B:$D,3,0),$E1033&lt;=VLOOKUP($D1033,Merchantability!$B:$E,4,0)),AB1033,0)</f>
        <v>#N/A</v>
      </c>
      <c r="AH1033" s="104" t="e">
        <f>IF(AND(VLOOKUP($D1033,Merchantability!$B:$C,2,0)="Yes",$E1033&gt;=VLOOKUP($D1033,Merchantability!$B:$D,3,0),$E1033&lt;=VLOOKUP($D1033,Merchantability!$B:$E,4,0)),AC1033,0)</f>
        <v>#N/A</v>
      </c>
      <c r="AI1033" s="104" t="e">
        <f t="shared" si="465"/>
        <v>#N/A</v>
      </c>
      <c r="AJ1033" s="104" t="e">
        <f t="shared" si="466"/>
        <v>#VALUE!</v>
      </c>
      <c r="AK1033" s="104" t="e">
        <f t="shared" si="467"/>
        <v>#N/A</v>
      </c>
      <c r="AL1033" s="104" t="e">
        <f t="shared" si="468"/>
        <v>#N/A</v>
      </c>
      <c r="AM1033" s="104" t="e">
        <f t="shared" si="469"/>
        <v>#N/A</v>
      </c>
      <c r="AN1033" s="104" t="e">
        <f t="shared" si="480"/>
        <v>#N/A</v>
      </c>
      <c r="AO1033" s="104" t="e">
        <f t="shared" si="481"/>
        <v>#N/A</v>
      </c>
      <c r="AP1033" s="104" t="e">
        <f t="shared" si="482"/>
        <v>#N/A</v>
      </c>
      <c r="AQ1033" s="104" t="e">
        <f t="shared" si="483"/>
        <v>#N/A</v>
      </c>
      <c r="AR1033" s="105" t="str">
        <f t="shared" si="475"/>
        <v/>
      </c>
      <c r="AS1033" s="105" t="str">
        <f t="shared" si="476"/>
        <v/>
      </c>
      <c r="AT1033" s="108" t="str">
        <f t="shared" si="477"/>
        <v/>
      </c>
      <c r="AU1033" s="108" t="str">
        <f t="shared" si="478"/>
        <v/>
      </c>
      <c r="AV1033" s="107" t="str">
        <f>IF(ISNUMBER(O1033),IF(VLOOKUP($A1033,Stand!C:J,8,FALSE)="Short",AT1033,AU1033),"")</f>
        <v/>
      </c>
      <c r="AW1033" s="109" t="str">
        <f t="shared" si="484"/>
        <v/>
      </c>
      <c r="AX1033" s="109" t="str">
        <f t="shared" si="485"/>
        <v/>
      </c>
      <c r="AY1033" s="112" t="str">
        <f>IF(ISNUMBER(O1033),IF(AND(VLOOKUP($D1033,Merchantability!$B:$C,2,0)="Yes",$E1033&gt;=VLOOKUP($D1033,Merchantability!$B:$D,3,0),$E1033&lt;=VLOOKUP($D1033,Merchantability!$B:$E,4,0)),(AV1033*O1033)*(1-$H1033/100),""),"")</f>
        <v/>
      </c>
      <c r="AZ1033" s="116"/>
      <c r="BA1033" s="116"/>
      <c r="BB1033" s="116"/>
      <c r="BE1033" s="62"/>
      <c r="BF1033" s="63"/>
    </row>
    <row r="1034" spans="1:58" ht="12.75" customHeight="1" x14ac:dyDescent="0.25">
      <c r="A1034" s="313"/>
      <c r="B1034" s="328"/>
      <c r="C1034" s="329"/>
      <c r="D1034" s="328"/>
      <c r="E1034" s="330"/>
      <c r="F1034" s="328"/>
      <c r="G1034" s="329"/>
      <c r="H1034" s="329"/>
      <c r="I1034" s="328"/>
      <c r="J1034" s="383"/>
      <c r="K1034" s="329"/>
      <c r="L1034" s="329"/>
      <c r="M1034" s="76"/>
      <c r="N1034" s="103" t="str">
        <f>IF(A1034="","",VLOOKUP(A1034,Stand!C:K,9,0))</f>
        <v/>
      </c>
      <c r="O1034" s="104" t="str">
        <f t="shared" si="470"/>
        <v/>
      </c>
      <c r="P1034" s="105" t="str">
        <f t="shared" si="471"/>
        <v/>
      </c>
      <c r="Q1034" s="105" t="str">
        <f t="shared" si="459"/>
        <v/>
      </c>
      <c r="R1034" s="103" t="str">
        <f t="shared" si="472"/>
        <v/>
      </c>
      <c r="S1034" s="103" t="str">
        <f t="shared" si="473"/>
        <v/>
      </c>
      <c r="T1034" s="106" t="str">
        <f t="shared" si="460"/>
        <v/>
      </c>
      <c r="U1034" s="106" t="str">
        <f t="shared" si="461"/>
        <v/>
      </c>
      <c r="V1034" s="106" t="str">
        <f t="shared" si="462"/>
        <v/>
      </c>
      <c r="W1034" s="105" t="str">
        <f t="shared" si="474"/>
        <v/>
      </c>
      <c r="X1034" s="104" t="str">
        <f t="shared" si="479"/>
        <v/>
      </c>
      <c r="Y1034" s="104" t="str">
        <f t="array" ref="Y1034">IFERROR(IF(ISNUMBER(O1034),IF(COUNT(IF(A1034=$A$2:$A$2427,IF(D1034=$D$2:$D$2427,IF($X$2:$X$2427&gt;0,1))))&gt;0,SUM(IF(A1034=$A$2:$A$2427,IF(D1034=$D$2:$D$2427,$X$2:$X$2427)))/COUNT(IF(A1034=$A$2:$A$2427,IF(D1034=$D$2:$D$2427,IF(ISNUMBER($X$2:$X$2427),1)))),0),""),0)</f>
        <v/>
      </c>
      <c r="Z1034" s="104" t="str">
        <f>IF(ISNUMBER(O1034),IF(I1034&gt;0,(10^(VLOOKUP(D1034,'Species Codes'!B:C,2,0)+VLOOKUP(D1034,'Species Codes'!B:D,3,0)*LOG(E1034)+VLOOKUP(D1034,'Species Codes'!B:E,4,0)*LOG(I1034))),0),"")</f>
        <v/>
      </c>
      <c r="AA1034" s="104" t="str">
        <f>IFERROR((VLOOKUP(D1034,'Species Codes'!B:G,6,0)*Z1034)/2000,"")</f>
        <v/>
      </c>
      <c r="AB1034" s="104" t="e">
        <f>IF(Z1034&gt;0,((IF(OR(D1034="DF",D1034="RA")=TRUE,EXP(VLOOKUP(D1034,'Species Codes'!B:I,8,0)+VLOOKUP(D1034,'Species Codes'!B:J,9,0)*(LN((E1034*2.54)))),IF(OR(D1034="PY",D1034="RC",D1034="WH",D1034="NF")=TRUE,VLOOKUP(D1034,'Species Codes'!B:I,8,0)+VLOOKUP(D1034,'Species Codes'!B:J,9,0)*((E1034*2.54)^2)*(I1034*0.3048),IF(OR(D1034="MD",D1034="BM",D1034="GA")=TRUE,((VLOOKUP(D1034,'Species Codes'!B:I,8,0)*(((((E1034*2.54)+VLOOKUP(D1034,'Species Codes'!B:J,9,0))/VLOOKUP(D1034,'Species Codes'!B:K,10,0))^VLOOKUP(D1034,'Species Codes'!B:L,11,0))*((I1034*0.3048)^VLOOKUP(D1034,'Species Codes'!B:M,12,0))))-(VLOOKUP(D1034,'Species Codes'!B:I,8,0)*((((E1034*2.54)^VLOOKUP(D1034,'Species Codes'!B:L,11,0))*((I1034*0.3048)^VLOOKUP(D1034,'Species Codes'!B:M,12,0))))))*35.3*VLOOKUP(D1034,'Species Codes'!B:G,6,0)/2.2046,VLOOKUP(D1034,'Species Codes'!B:I,8,0)+VLOOKUP(D1034,'Species Codes'!B:J,9,0)*(((E1034*2.54)/100)^2)*(I1034*0.3048)))))*0.0011023),0)</f>
        <v>#N/A</v>
      </c>
      <c r="AC1034" s="104" t="e">
        <f>IF(Z1034&gt;0,((IF(OR(D1034="RA",D1034="OA",D1034="OT",D1034="UN",D1034="PC"),EXP(VLOOKUP(D1034,'Species Codes'!B:O,14,0)+VLOOKUP(D1034,'Species Codes'!B:P,15,0)*LN((E1034*2.54)))-EXP(VLOOKUP(D1034,'Species Codes'!B:O,14,0)+VLOOKUP(D1034,'Species Codes'!B:P,15,0)*LN((E1034*2.54)))*(1/(VLOOKUP(D1034,'Species Codes'!B:Q,16,0)+VLOOKUP(D1034,'Species Codes'!B:R,17,0)*((E1034*2.54)^VLOOKUP(D1034,'Species Codes'!B:S,18,0)))),IF(OR(D1034="BM",D1034="MD",D1034="OA"),EXP(VLOOKUP(D1034,'Species Codes'!B:O,14,0)+VLOOKUP(D1034,'Species Codes'!B:P,15,0)*LN((E1034*2.54)))*(1-(1/(VLOOKUP(D1034,'Species Codes'!B:Q,16,0)+VLOOKUP(D1034,'Species Codes'!B:R,17,0)*((E1034*2.54)^VLOOKUP(D1034,'Species Codes'!B:S,18,0)))))/1000,IF(D1034="DF",EXP(VLOOKUP(D1034,'Species Codes'!B:O,14,0)+VLOOKUP(D1034,'Species Codes'!B:P,15,0)*LN((E1034*2.54))),VLOOKUP(D1034,'Species Codes'!B:O,14,0)+VLOOKUP(D1034,'Species Codes'!B:P,15,0)*(((E1034*2.54)/100)^2)*(I1034*0.3048)))))*0.0011023),0)</f>
        <v>#N/A</v>
      </c>
      <c r="AD1034" s="104" t="e">
        <f t="shared" si="463"/>
        <v>#N/A</v>
      </c>
      <c r="AE1034" s="104" t="e">
        <f t="shared" si="464"/>
        <v>#N/A</v>
      </c>
      <c r="AF1034" s="104" t="e">
        <f>IF(AND(VLOOKUP($D1034,Merchantability!$B:$C,2,0)="Yes",$E1034&gt;=VLOOKUP($D1034,Merchantability!$B:$D,3,0),$E1034&lt;=VLOOKUP($D1034,Merchantability!$B:$E,4,0)),AA1034,0)</f>
        <v>#N/A</v>
      </c>
      <c r="AG1034" s="104" t="e">
        <f>IF(AND(VLOOKUP($D1034,Merchantability!$B:$C,2,0)="Yes",$E1034&gt;=VLOOKUP($D1034,Merchantability!$B:$D,3,0),$E1034&lt;=VLOOKUP($D1034,Merchantability!$B:$E,4,0)),AB1034,0)</f>
        <v>#N/A</v>
      </c>
      <c r="AH1034" s="104" t="e">
        <f>IF(AND(VLOOKUP($D1034,Merchantability!$B:$C,2,0)="Yes",$E1034&gt;=VLOOKUP($D1034,Merchantability!$B:$D,3,0),$E1034&lt;=VLOOKUP($D1034,Merchantability!$B:$E,4,0)),AC1034,0)</f>
        <v>#N/A</v>
      </c>
      <c r="AI1034" s="104" t="e">
        <f t="shared" si="465"/>
        <v>#N/A</v>
      </c>
      <c r="AJ1034" s="104" t="e">
        <f t="shared" si="466"/>
        <v>#VALUE!</v>
      </c>
      <c r="AK1034" s="104" t="e">
        <f t="shared" si="467"/>
        <v>#N/A</v>
      </c>
      <c r="AL1034" s="104" t="e">
        <f t="shared" si="468"/>
        <v>#N/A</v>
      </c>
      <c r="AM1034" s="104" t="e">
        <f t="shared" si="469"/>
        <v>#N/A</v>
      </c>
      <c r="AN1034" s="104" t="e">
        <f t="shared" si="480"/>
        <v>#N/A</v>
      </c>
      <c r="AO1034" s="104" t="e">
        <f t="shared" si="481"/>
        <v>#N/A</v>
      </c>
      <c r="AP1034" s="104" t="e">
        <f t="shared" si="482"/>
        <v>#N/A</v>
      </c>
      <c r="AQ1034" s="104" t="e">
        <f t="shared" si="483"/>
        <v>#N/A</v>
      </c>
      <c r="AR1034" s="105" t="str">
        <f t="shared" si="475"/>
        <v/>
      </c>
      <c r="AS1034" s="105" t="str">
        <f t="shared" si="476"/>
        <v/>
      </c>
      <c r="AT1034" s="108" t="str">
        <f t="shared" si="477"/>
        <v/>
      </c>
      <c r="AU1034" s="108" t="str">
        <f t="shared" si="478"/>
        <v/>
      </c>
      <c r="AV1034" s="107" t="str">
        <f>IF(ISNUMBER(O1034),IF(VLOOKUP($A1034,Stand!C:J,8,FALSE)="Short",AT1034,AU1034),"")</f>
        <v/>
      </c>
      <c r="AW1034" s="109" t="str">
        <f t="shared" si="484"/>
        <v/>
      </c>
      <c r="AX1034" s="109" t="str">
        <f t="shared" si="485"/>
        <v/>
      </c>
      <c r="AY1034" s="112" t="str">
        <f>IF(ISNUMBER(O1034),IF(AND(VLOOKUP($D1034,Merchantability!$B:$C,2,0)="Yes",$E1034&gt;=VLOOKUP($D1034,Merchantability!$B:$D,3,0),$E1034&lt;=VLOOKUP($D1034,Merchantability!$B:$E,4,0)),(AV1034*O1034)*(1-$H1034/100),""),"")</f>
        <v/>
      </c>
      <c r="AZ1034" s="116"/>
      <c r="BA1034" s="116"/>
      <c r="BB1034" s="116"/>
      <c r="BE1034" s="62"/>
      <c r="BF1034" s="63"/>
    </row>
    <row r="1035" spans="1:58" ht="12.75" customHeight="1" x14ac:dyDescent="0.25">
      <c r="A1035" s="313"/>
      <c r="B1035" s="328"/>
      <c r="C1035" s="329"/>
      <c r="D1035" s="328"/>
      <c r="E1035" s="330"/>
      <c r="F1035" s="328"/>
      <c r="G1035" s="329"/>
      <c r="H1035" s="329"/>
      <c r="I1035" s="328"/>
      <c r="J1035" s="383"/>
      <c r="K1035" s="329"/>
      <c r="L1035" s="329"/>
      <c r="M1035" s="76"/>
      <c r="N1035" s="103" t="str">
        <f>IF(A1035="","",VLOOKUP(A1035,Stand!C:K,9,0))</f>
        <v/>
      </c>
      <c r="O1035" s="104" t="str">
        <f t="shared" si="470"/>
        <v/>
      </c>
      <c r="P1035" s="105" t="str">
        <f t="shared" si="471"/>
        <v/>
      </c>
      <c r="Q1035" s="105" t="str">
        <f t="shared" si="459"/>
        <v/>
      </c>
      <c r="R1035" s="103" t="str">
        <f t="shared" si="472"/>
        <v/>
      </c>
      <c r="S1035" s="103" t="str">
        <f t="shared" si="473"/>
        <v/>
      </c>
      <c r="T1035" s="106" t="str">
        <f t="shared" si="460"/>
        <v/>
      </c>
      <c r="U1035" s="106" t="str">
        <f t="shared" si="461"/>
        <v/>
      </c>
      <c r="V1035" s="106" t="str">
        <f t="shared" si="462"/>
        <v/>
      </c>
      <c r="W1035" s="105" t="str">
        <f t="shared" si="474"/>
        <v/>
      </c>
      <c r="X1035" s="104" t="str">
        <f t="shared" si="479"/>
        <v/>
      </c>
      <c r="Y1035" s="104" t="str">
        <f t="array" ref="Y1035">IFERROR(IF(ISNUMBER(O1035),IF(COUNT(IF(A1035=$A$2:$A$2427,IF(D1035=$D$2:$D$2427,IF($X$2:$X$2427&gt;0,1))))&gt;0,SUM(IF(A1035=$A$2:$A$2427,IF(D1035=$D$2:$D$2427,$X$2:$X$2427)))/COUNT(IF(A1035=$A$2:$A$2427,IF(D1035=$D$2:$D$2427,IF(ISNUMBER($X$2:$X$2427),1)))),0),""),0)</f>
        <v/>
      </c>
      <c r="Z1035" s="104" t="str">
        <f>IF(ISNUMBER(O1035),IF(I1035&gt;0,(10^(VLOOKUP(D1035,'Species Codes'!B:C,2,0)+VLOOKUP(D1035,'Species Codes'!B:D,3,0)*LOG(E1035)+VLOOKUP(D1035,'Species Codes'!B:E,4,0)*LOG(I1035))),0),"")</f>
        <v/>
      </c>
      <c r="AA1035" s="104" t="str">
        <f>IFERROR((VLOOKUP(D1035,'Species Codes'!B:G,6,0)*Z1035)/2000,"")</f>
        <v/>
      </c>
      <c r="AB1035" s="104" t="e">
        <f>IF(Z1035&gt;0,((IF(OR(D1035="DF",D1035="RA")=TRUE,EXP(VLOOKUP(D1035,'Species Codes'!B:I,8,0)+VLOOKUP(D1035,'Species Codes'!B:J,9,0)*(LN((E1035*2.54)))),IF(OR(D1035="PY",D1035="RC",D1035="WH",D1035="NF")=TRUE,VLOOKUP(D1035,'Species Codes'!B:I,8,0)+VLOOKUP(D1035,'Species Codes'!B:J,9,0)*((E1035*2.54)^2)*(I1035*0.3048),IF(OR(D1035="MD",D1035="BM",D1035="GA")=TRUE,((VLOOKUP(D1035,'Species Codes'!B:I,8,0)*(((((E1035*2.54)+VLOOKUP(D1035,'Species Codes'!B:J,9,0))/VLOOKUP(D1035,'Species Codes'!B:K,10,0))^VLOOKUP(D1035,'Species Codes'!B:L,11,0))*((I1035*0.3048)^VLOOKUP(D1035,'Species Codes'!B:M,12,0))))-(VLOOKUP(D1035,'Species Codes'!B:I,8,0)*((((E1035*2.54)^VLOOKUP(D1035,'Species Codes'!B:L,11,0))*((I1035*0.3048)^VLOOKUP(D1035,'Species Codes'!B:M,12,0))))))*35.3*VLOOKUP(D1035,'Species Codes'!B:G,6,0)/2.2046,VLOOKUP(D1035,'Species Codes'!B:I,8,0)+VLOOKUP(D1035,'Species Codes'!B:J,9,0)*(((E1035*2.54)/100)^2)*(I1035*0.3048)))))*0.0011023),0)</f>
        <v>#N/A</v>
      </c>
      <c r="AC1035" s="104" t="e">
        <f>IF(Z1035&gt;0,((IF(OR(D1035="RA",D1035="OA",D1035="OT",D1035="UN",D1035="PC"),EXP(VLOOKUP(D1035,'Species Codes'!B:O,14,0)+VLOOKUP(D1035,'Species Codes'!B:P,15,0)*LN((E1035*2.54)))-EXP(VLOOKUP(D1035,'Species Codes'!B:O,14,0)+VLOOKUP(D1035,'Species Codes'!B:P,15,0)*LN((E1035*2.54)))*(1/(VLOOKUP(D1035,'Species Codes'!B:Q,16,0)+VLOOKUP(D1035,'Species Codes'!B:R,17,0)*((E1035*2.54)^VLOOKUP(D1035,'Species Codes'!B:S,18,0)))),IF(OR(D1035="BM",D1035="MD",D1035="OA"),EXP(VLOOKUP(D1035,'Species Codes'!B:O,14,0)+VLOOKUP(D1035,'Species Codes'!B:P,15,0)*LN((E1035*2.54)))*(1-(1/(VLOOKUP(D1035,'Species Codes'!B:Q,16,0)+VLOOKUP(D1035,'Species Codes'!B:R,17,0)*((E1035*2.54)^VLOOKUP(D1035,'Species Codes'!B:S,18,0)))))/1000,IF(D1035="DF",EXP(VLOOKUP(D1035,'Species Codes'!B:O,14,0)+VLOOKUP(D1035,'Species Codes'!B:P,15,0)*LN((E1035*2.54))),VLOOKUP(D1035,'Species Codes'!B:O,14,0)+VLOOKUP(D1035,'Species Codes'!B:P,15,0)*(((E1035*2.54)/100)^2)*(I1035*0.3048)))))*0.0011023),0)</f>
        <v>#N/A</v>
      </c>
      <c r="AD1035" s="104" t="e">
        <f t="shared" si="463"/>
        <v>#N/A</v>
      </c>
      <c r="AE1035" s="104" t="e">
        <f t="shared" si="464"/>
        <v>#N/A</v>
      </c>
      <c r="AF1035" s="104" t="e">
        <f>IF(AND(VLOOKUP($D1035,Merchantability!$B:$C,2,0)="Yes",$E1035&gt;=VLOOKUP($D1035,Merchantability!$B:$D,3,0),$E1035&lt;=VLOOKUP($D1035,Merchantability!$B:$E,4,0)),AA1035,0)</f>
        <v>#N/A</v>
      </c>
      <c r="AG1035" s="104" t="e">
        <f>IF(AND(VLOOKUP($D1035,Merchantability!$B:$C,2,0)="Yes",$E1035&gt;=VLOOKUP($D1035,Merchantability!$B:$D,3,0),$E1035&lt;=VLOOKUP($D1035,Merchantability!$B:$E,4,0)),AB1035,0)</f>
        <v>#N/A</v>
      </c>
      <c r="AH1035" s="104" t="e">
        <f>IF(AND(VLOOKUP($D1035,Merchantability!$B:$C,2,0)="Yes",$E1035&gt;=VLOOKUP($D1035,Merchantability!$B:$D,3,0),$E1035&lt;=VLOOKUP($D1035,Merchantability!$B:$E,4,0)),AC1035,0)</f>
        <v>#N/A</v>
      </c>
      <c r="AI1035" s="104" t="e">
        <f t="shared" si="465"/>
        <v>#N/A</v>
      </c>
      <c r="AJ1035" s="104" t="e">
        <f t="shared" si="466"/>
        <v>#VALUE!</v>
      </c>
      <c r="AK1035" s="104" t="e">
        <f t="shared" si="467"/>
        <v>#N/A</v>
      </c>
      <c r="AL1035" s="104" t="e">
        <f t="shared" si="468"/>
        <v>#N/A</v>
      </c>
      <c r="AM1035" s="104" t="e">
        <f t="shared" si="469"/>
        <v>#N/A</v>
      </c>
      <c r="AN1035" s="104" t="e">
        <f t="shared" si="480"/>
        <v>#N/A</v>
      </c>
      <c r="AO1035" s="104" t="e">
        <f t="shared" si="481"/>
        <v>#N/A</v>
      </c>
      <c r="AP1035" s="104" t="e">
        <f t="shared" si="482"/>
        <v>#N/A</v>
      </c>
      <c r="AQ1035" s="104" t="e">
        <f t="shared" si="483"/>
        <v>#N/A</v>
      </c>
      <c r="AR1035" s="105" t="str">
        <f t="shared" si="475"/>
        <v/>
      </c>
      <c r="AS1035" s="105" t="str">
        <f t="shared" si="476"/>
        <v/>
      </c>
      <c r="AT1035" s="108" t="str">
        <f t="shared" si="477"/>
        <v/>
      </c>
      <c r="AU1035" s="108" t="str">
        <f t="shared" si="478"/>
        <v/>
      </c>
      <c r="AV1035" s="107" t="str">
        <f>IF(ISNUMBER(O1035),IF(VLOOKUP($A1035,Stand!C:J,8,FALSE)="Short",AT1035,AU1035),"")</f>
        <v/>
      </c>
      <c r="AW1035" s="109" t="str">
        <f t="shared" si="484"/>
        <v/>
      </c>
      <c r="AX1035" s="109" t="str">
        <f t="shared" si="485"/>
        <v/>
      </c>
      <c r="AY1035" s="112" t="str">
        <f>IF(ISNUMBER(O1035),IF(AND(VLOOKUP($D1035,Merchantability!$B:$C,2,0)="Yes",$E1035&gt;=VLOOKUP($D1035,Merchantability!$B:$D,3,0),$E1035&lt;=VLOOKUP($D1035,Merchantability!$B:$E,4,0)),(AV1035*O1035)*(1-$H1035/100),""),"")</f>
        <v/>
      </c>
      <c r="AZ1035" s="116"/>
      <c r="BA1035" s="116"/>
      <c r="BB1035" s="116"/>
      <c r="BE1035" s="62"/>
      <c r="BF1035" s="63"/>
    </row>
    <row r="1036" spans="1:58" ht="12.75" customHeight="1" x14ac:dyDescent="0.25">
      <c r="A1036" s="313"/>
      <c r="B1036" s="328"/>
      <c r="C1036" s="329"/>
      <c r="D1036" s="328"/>
      <c r="E1036" s="330"/>
      <c r="F1036" s="328"/>
      <c r="G1036" s="329"/>
      <c r="H1036" s="329"/>
      <c r="I1036" s="328"/>
      <c r="J1036" s="383"/>
      <c r="K1036" s="329"/>
      <c r="L1036" s="329"/>
      <c r="M1036" s="76"/>
      <c r="N1036" s="103" t="str">
        <f>IF(A1036="","",VLOOKUP(A1036,Stand!C:K,9,0))</f>
        <v/>
      </c>
      <c r="O1036" s="104" t="str">
        <f t="shared" si="470"/>
        <v/>
      </c>
      <c r="P1036" s="105" t="str">
        <f t="shared" si="471"/>
        <v/>
      </c>
      <c r="Q1036" s="105" t="str">
        <f t="shared" si="459"/>
        <v/>
      </c>
      <c r="R1036" s="103" t="str">
        <f t="shared" si="472"/>
        <v/>
      </c>
      <c r="S1036" s="103" t="str">
        <f t="shared" si="473"/>
        <v/>
      </c>
      <c r="T1036" s="106" t="str">
        <f t="shared" si="460"/>
        <v/>
      </c>
      <c r="U1036" s="106" t="str">
        <f t="shared" si="461"/>
        <v/>
      </c>
      <c r="V1036" s="106" t="str">
        <f t="shared" si="462"/>
        <v/>
      </c>
      <c r="W1036" s="105" t="str">
        <f t="shared" si="474"/>
        <v/>
      </c>
      <c r="X1036" s="104" t="str">
        <f t="shared" si="479"/>
        <v/>
      </c>
      <c r="Y1036" s="104" t="str">
        <f t="array" ref="Y1036">IFERROR(IF(ISNUMBER(O1036),IF(COUNT(IF(A1036=$A$2:$A$2427,IF(D1036=$D$2:$D$2427,IF($X$2:$X$2427&gt;0,1))))&gt;0,SUM(IF(A1036=$A$2:$A$2427,IF(D1036=$D$2:$D$2427,$X$2:$X$2427)))/COUNT(IF(A1036=$A$2:$A$2427,IF(D1036=$D$2:$D$2427,IF(ISNUMBER($X$2:$X$2427),1)))),0),""),0)</f>
        <v/>
      </c>
      <c r="Z1036" s="104" t="str">
        <f>IF(ISNUMBER(O1036),IF(I1036&gt;0,(10^(VLOOKUP(D1036,'Species Codes'!B:C,2,0)+VLOOKUP(D1036,'Species Codes'!B:D,3,0)*LOG(E1036)+VLOOKUP(D1036,'Species Codes'!B:E,4,0)*LOG(I1036))),0),"")</f>
        <v/>
      </c>
      <c r="AA1036" s="104" t="str">
        <f>IFERROR((VLOOKUP(D1036,'Species Codes'!B:G,6,0)*Z1036)/2000,"")</f>
        <v/>
      </c>
      <c r="AB1036" s="104" t="e">
        <f>IF(Z1036&gt;0,((IF(OR(D1036="DF",D1036="RA")=TRUE,EXP(VLOOKUP(D1036,'Species Codes'!B:I,8,0)+VLOOKUP(D1036,'Species Codes'!B:J,9,0)*(LN((E1036*2.54)))),IF(OR(D1036="PY",D1036="RC",D1036="WH",D1036="NF")=TRUE,VLOOKUP(D1036,'Species Codes'!B:I,8,0)+VLOOKUP(D1036,'Species Codes'!B:J,9,0)*((E1036*2.54)^2)*(I1036*0.3048),IF(OR(D1036="MD",D1036="BM",D1036="GA")=TRUE,((VLOOKUP(D1036,'Species Codes'!B:I,8,0)*(((((E1036*2.54)+VLOOKUP(D1036,'Species Codes'!B:J,9,0))/VLOOKUP(D1036,'Species Codes'!B:K,10,0))^VLOOKUP(D1036,'Species Codes'!B:L,11,0))*((I1036*0.3048)^VLOOKUP(D1036,'Species Codes'!B:M,12,0))))-(VLOOKUP(D1036,'Species Codes'!B:I,8,0)*((((E1036*2.54)^VLOOKUP(D1036,'Species Codes'!B:L,11,0))*((I1036*0.3048)^VLOOKUP(D1036,'Species Codes'!B:M,12,0))))))*35.3*VLOOKUP(D1036,'Species Codes'!B:G,6,0)/2.2046,VLOOKUP(D1036,'Species Codes'!B:I,8,0)+VLOOKUP(D1036,'Species Codes'!B:J,9,0)*(((E1036*2.54)/100)^2)*(I1036*0.3048)))))*0.0011023),0)</f>
        <v>#N/A</v>
      </c>
      <c r="AC1036" s="104" t="e">
        <f>IF(Z1036&gt;0,((IF(OR(D1036="RA",D1036="OA",D1036="OT",D1036="UN",D1036="PC"),EXP(VLOOKUP(D1036,'Species Codes'!B:O,14,0)+VLOOKUP(D1036,'Species Codes'!B:P,15,0)*LN((E1036*2.54)))-EXP(VLOOKUP(D1036,'Species Codes'!B:O,14,0)+VLOOKUP(D1036,'Species Codes'!B:P,15,0)*LN((E1036*2.54)))*(1/(VLOOKUP(D1036,'Species Codes'!B:Q,16,0)+VLOOKUP(D1036,'Species Codes'!B:R,17,0)*((E1036*2.54)^VLOOKUP(D1036,'Species Codes'!B:S,18,0)))),IF(OR(D1036="BM",D1036="MD",D1036="OA"),EXP(VLOOKUP(D1036,'Species Codes'!B:O,14,0)+VLOOKUP(D1036,'Species Codes'!B:P,15,0)*LN((E1036*2.54)))*(1-(1/(VLOOKUP(D1036,'Species Codes'!B:Q,16,0)+VLOOKUP(D1036,'Species Codes'!B:R,17,0)*((E1036*2.54)^VLOOKUP(D1036,'Species Codes'!B:S,18,0)))))/1000,IF(D1036="DF",EXP(VLOOKUP(D1036,'Species Codes'!B:O,14,0)+VLOOKUP(D1036,'Species Codes'!B:P,15,0)*LN((E1036*2.54))),VLOOKUP(D1036,'Species Codes'!B:O,14,0)+VLOOKUP(D1036,'Species Codes'!B:P,15,0)*(((E1036*2.54)/100)^2)*(I1036*0.3048)))))*0.0011023),0)</f>
        <v>#N/A</v>
      </c>
      <c r="AD1036" s="104" t="e">
        <f t="shared" si="463"/>
        <v>#N/A</v>
      </c>
      <c r="AE1036" s="104" t="e">
        <f t="shared" si="464"/>
        <v>#N/A</v>
      </c>
      <c r="AF1036" s="104" t="e">
        <f>IF(AND(VLOOKUP($D1036,Merchantability!$B:$C,2,0)="Yes",$E1036&gt;=VLOOKUP($D1036,Merchantability!$B:$D,3,0),$E1036&lt;=VLOOKUP($D1036,Merchantability!$B:$E,4,0)),AA1036,0)</f>
        <v>#N/A</v>
      </c>
      <c r="AG1036" s="104" t="e">
        <f>IF(AND(VLOOKUP($D1036,Merchantability!$B:$C,2,0)="Yes",$E1036&gt;=VLOOKUP($D1036,Merchantability!$B:$D,3,0),$E1036&lt;=VLOOKUP($D1036,Merchantability!$B:$E,4,0)),AB1036,0)</f>
        <v>#N/A</v>
      </c>
      <c r="AH1036" s="104" t="e">
        <f>IF(AND(VLOOKUP($D1036,Merchantability!$B:$C,2,0)="Yes",$E1036&gt;=VLOOKUP($D1036,Merchantability!$B:$D,3,0),$E1036&lt;=VLOOKUP($D1036,Merchantability!$B:$E,4,0)),AC1036,0)</f>
        <v>#N/A</v>
      </c>
      <c r="AI1036" s="104" t="e">
        <f t="shared" si="465"/>
        <v>#N/A</v>
      </c>
      <c r="AJ1036" s="104" t="e">
        <f t="shared" si="466"/>
        <v>#VALUE!</v>
      </c>
      <c r="AK1036" s="104" t="e">
        <f t="shared" si="467"/>
        <v>#N/A</v>
      </c>
      <c r="AL1036" s="104" t="e">
        <f t="shared" si="468"/>
        <v>#N/A</v>
      </c>
      <c r="AM1036" s="104" t="e">
        <f t="shared" si="469"/>
        <v>#N/A</v>
      </c>
      <c r="AN1036" s="104" t="e">
        <f t="shared" si="480"/>
        <v>#N/A</v>
      </c>
      <c r="AO1036" s="104" t="e">
        <f t="shared" si="481"/>
        <v>#N/A</v>
      </c>
      <c r="AP1036" s="104" t="e">
        <f t="shared" si="482"/>
        <v>#N/A</v>
      </c>
      <c r="AQ1036" s="104" t="e">
        <f t="shared" si="483"/>
        <v>#N/A</v>
      </c>
      <c r="AR1036" s="105" t="str">
        <f t="shared" si="475"/>
        <v/>
      </c>
      <c r="AS1036" s="105" t="str">
        <f t="shared" si="476"/>
        <v/>
      </c>
      <c r="AT1036" s="108" t="str">
        <f t="shared" si="477"/>
        <v/>
      </c>
      <c r="AU1036" s="108" t="str">
        <f t="shared" si="478"/>
        <v/>
      </c>
      <c r="AV1036" s="107" t="str">
        <f>IF(ISNUMBER(O1036),IF(VLOOKUP($A1036,Stand!C:J,8,FALSE)="Short",AT1036,AU1036),"")</f>
        <v/>
      </c>
      <c r="AW1036" s="109" t="str">
        <f t="shared" si="484"/>
        <v/>
      </c>
      <c r="AX1036" s="109" t="str">
        <f t="shared" si="485"/>
        <v/>
      </c>
      <c r="AY1036" s="112" t="str">
        <f>IF(ISNUMBER(O1036),IF(AND(VLOOKUP($D1036,Merchantability!$B:$C,2,0)="Yes",$E1036&gt;=VLOOKUP($D1036,Merchantability!$B:$D,3,0),$E1036&lt;=VLOOKUP($D1036,Merchantability!$B:$E,4,0)),(AV1036*O1036)*(1-$H1036/100),""),"")</f>
        <v/>
      </c>
      <c r="AZ1036" s="116"/>
      <c r="BA1036" s="116"/>
      <c r="BB1036" s="116"/>
      <c r="BE1036" s="62"/>
      <c r="BF1036" s="63"/>
    </row>
    <row r="1037" spans="1:58" ht="12.75" customHeight="1" x14ac:dyDescent="0.25">
      <c r="A1037" s="313"/>
      <c r="B1037" s="328"/>
      <c r="C1037" s="329"/>
      <c r="D1037" s="328"/>
      <c r="E1037" s="330"/>
      <c r="F1037" s="328"/>
      <c r="G1037" s="329"/>
      <c r="H1037" s="329"/>
      <c r="I1037" s="328"/>
      <c r="J1037" s="383"/>
      <c r="K1037" s="329"/>
      <c r="L1037" s="329"/>
      <c r="M1037" s="76"/>
      <c r="N1037" s="103" t="str">
        <f>IF(A1037="","",VLOOKUP(A1037,Stand!C:K,9,0))</f>
        <v/>
      </c>
      <c r="O1037" s="104" t="str">
        <f t="shared" si="470"/>
        <v/>
      </c>
      <c r="P1037" s="105" t="str">
        <f t="shared" si="471"/>
        <v/>
      </c>
      <c r="Q1037" s="105" t="str">
        <f t="shared" si="459"/>
        <v/>
      </c>
      <c r="R1037" s="103" t="str">
        <f t="shared" si="472"/>
        <v/>
      </c>
      <c r="S1037" s="103" t="str">
        <f t="shared" si="473"/>
        <v/>
      </c>
      <c r="T1037" s="106" t="str">
        <f t="shared" si="460"/>
        <v/>
      </c>
      <c r="U1037" s="106" t="str">
        <f t="shared" si="461"/>
        <v/>
      </c>
      <c r="V1037" s="106" t="str">
        <f t="shared" si="462"/>
        <v/>
      </c>
      <c r="W1037" s="105" t="str">
        <f t="shared" si="474"/>
        <v/>
      </c>
      <c r="X1037" s="104" t="str">
        <f t="shared" si="479"/>
        <v/>
      </c>
      <c r="Y1037" s="104" t="str">
        <f t="array" ref="Y1037">IFERROR(IF(ISNUMBER(O1037),IF(COUNT(IF(A1037=$A$2:$A$2427,IF(D1037=$D$2:$D$2427,IF($X$2:$X$2427&gt;0,1))))&gt;0,SUM(IF(A1037=$A$2:$A$2427,IF(D1037=$D$2:$D$2427,$X$2:$X$2427)))/COUNT(IF(A1037=$A$2:$A$2427,IF(D1037=$D$2:$D$2427,IF(ISNUMBER($X$2:$X$2427),1)))),0),""),0)</f>
        <v/>
      </c>
      <c r="Z1037" s="104" t="str">
        <f>IF(ISNUMBER(O1037),IF(I1037&gt;0,(10^(VLOOKUP(D1037,'Species Codes'!B:C,2,0)+VLOOKUP(D1037,'Species Codes'!B:D,3,0)*LOG(E1037)+VLOOKUP(D1037,'Species Codes'!B:E,4,0)*LOG(I1037))),0),"")</f>
        <v/>
      </c>
      <c r="AA1037" s="104" t="str">
        <f>IFERROR((VLOOKUP(D1037,'Species Codes'!B:G,6,0)*Z1037)/2000,"")</f>
        <v/>
      </c>
      <c r="AB1037" s="104" t="e">
        <f>IF(Z1037&gt;0,((IF(OR(D1037="DF",D1037="RA")=TRUE,EXP(VLOOKUP(D1037,'Species Codes'!B:I,8,0)+VLOOKUP(D1037,'Species Codes'!B:J,9,0)*(LN((E1037*2.54)))),IF(OR(D1037="PY",D1037="RC",D1037="WH",D1037="NF")=TRUE,VLOOKUP(D1037,'Species Codes'!B:I,8,0)+VLOOKUP(D1037,'Species Codes'!B:J,9,0)*((E1037*2.54)^2)*(I1037*0.3048),IF(OR(D1037="MD",D1037="BM",D1037="GA")=TRUE,((VLOOKUP(D1037,'Species Codes'!B:I,8,0)*(((((E1037*2.54)+VLOOKUP(D1037,'Species Codes'!B:J,9,0))/VLOOKUP(D1037,'Species Codes'!B:K,10,0))^VLOOKUP(D1037,'Species Codes'!B:L,11,0))*((I1037*0.3048)^VLOOKUP(D1037,'Species Codes'!B:M,12,0))))-(VLOOKUP(D1037,'Species Codes'!B:I,8,0)*((((E1037*2.54)^VLOOKUP(D1037,'Species Codes'!B:L,11,0))*((I1037*0.3048)^VLOOKUP(D1037,'Species Codes'!B:M,12,0))))))*35.3*VLOOKUP(D1037,'Species Codes'!B:G,6,0)/2.2046,VLOOKUP(D1037,'Species Codes'!B:I,8,0)+VLOOKUP(D1037,'Species Codes'!B:J,9,0)*(((E1037*2.54)/100)^2)*(I1037*0.3048)))))*0.0011023),0)</f>
        <v>#N/A</v>
      </c>
      <c r="AC1037" s="104" t="e">
        <f>IF(Z1037&gt;0,((IF(OR(D1037="RA",D1037="OA",D1037="OT",D1037="UN",D1037="PC"),EXP(VLOOKUP(D1037,'Species Codes'!B:O,14,0)+VLOOKUP(D1037,'Species Codes'!B:P,15,0)*LN((E1037*2.54)))-EXP(VLOOKUP(D1037,'Species Codes'!B:O,14,0)+VLOOKUP(D1037,'Species Codes'!B:P,15,0)*LN((E1037*2.54)))*(1/(VLOOKUP(D1037,'Species Codes'!B:Q,16,0)+VLOOKUP(D1037,'Species Codes'!B:R,17,0)*((E1037*2.54)^VLOOKUP(D1037,'Species Codes'!B:S,18,0)))),IF(OR(D1037="BM",D1037="MD",D1037="OA"),EXP(VLOOKUP(D1037,'Species Codes'!B:O,14,0)+VLOOKUP(D1037,'Species Codes'!B:P,15,0)*LN((E1037*2.54)))*(1-(1/(VLOOKUP(D1037,'Species Codes'!B:Q,16,0)+VLOOKUP(D1037,'Species Codes'!B:R,17,0)*((E1037*2.54)^VLOOKUP(D1037,'Species Codes'!B:S,18,0)))))/1000,IF(D1037="DF",EXP(VLOOKUP(D1037,'Species Codes'!B:O,14,0)+VLOOKUP(D1037,'Species Codes'!B:P,15,0)*LN((E1037*2.54))),VLOOKUP(D1037,'Species Codes'!B:O,14,0)+VLOOKUP(D1037,'Species Codes'!B:P,15,0)*(((E1037*2.54)/100)^2)*(I1037*0.3048)))))*0.0011023),0)</f>
        <v>#N/A</v>
      </c>
      <c r="AD1037" s="104" t="e">
        <f t="shared" si="463"/>
        <v>#N/A</v>
      </c>
      <c r="AE1037" s="104" t="e">
        <f t="shared" si="464"/>
        <v>#N/A</v>
      </c>
      <c r="AF1037" s="104" t="e">
        <f>IF(AND(VLOOKUP($D1037,Merchantability!$B:$C,2,0)="Yes",$E1037&gt;=VLOOKUP($D1037,Merchantability!$B:$D,3,0),$E1037&lt;=VLOOKUP($D1037,Merchantability!$B:$E,4,0)),AA1037,0)</f>
        <v>#N/A</v>
      </c>
      <c r="AG1037" s="104" t="e">
        <f>IF(AND(VLOOKUP($D1037,Merchantability!$B:$C,2,0)="Yes",$E1037&gt;=VLOOKUP($D1037,Merchantability!$B:$D,3,0),$E1037&lt;=VLOOKUP($D1037,Merchantability!$B:$E,4,0)),AB1037,0)</f>
        <v>#N/A</v>
      </c>
      <c r="AH1037" s="104" t="e">
        <f>IF(AND(VLOOKUP($D1037,Merchantability!$B:$C,2,0)="Yes",$E1037&gt;=VLOOKUP($D1037,Merchantability!$B:$D,3,0),$E1037&lt;=VLOOKUP($D1037,Merchantability!$B:$E,4,0)),AC1037,0)</f>
        <v>#N/A</v>
      </c>
      <c r="AI1037" s="104" t="e">
        <f t="shared" si="465"/>
        <v>#N/A</v>
      </c>
      <c r="AJ1037" s="104" t="e">
        <f t="shared" si="466"/>
        <v>#VALUE!</v>
      </c>
      <c r="AK1037" s="104" t="e">
        <f t="shared" si="467"/>
        <v>#N/A</v>
      </c>
      <c r="AL1037" s="104" t="e">
        <f t="shared" si="468"/>
        <v>#N/A</v>
      </c>
      <c r="AM1037" s="104" t="e">
        <f t="shared" si="469"/>
        <v>#N/A</v>
      </c>
      <c r="AN1037" s="104" t="e">
        <f t="shared" si="480"/>
        <v>#N/A</v>
      </c>
      <c r="AO1037" s="104" t="e">
        <f t="shared" si="481"/>
        <v>#N/A</v>
      </c>
      <c r="AP1037" s="104" t="e">
        <f t="shared" si="482"/>
        <v>#N/A</v>
      </c>
      <c r="AQ1037" s="104" t="e">
        <f t="shared" si="483"/>
        <v>#N/A</v>
      </c>
      <c r="AR1037" s="105" t="str">
        <f t="shared" si="475"/>
        <v/>
      </c>
      <c r="AS1037" s="105" t="str">
        <f t="shared" si="476"/>
        <v/>
      </c>
      <c r="AT1037" s="108" t="str">
        <f t="shared" si="477"/>
        <v/>
      </c>
      <c r="AU1037" s="108" t="str">
        <f t="shared" si="478"/>
        <v/>
      </c>
      <c r="AV1037" s="107" t="str">
        <f>IF(ISNUMBER(O1037),IF(VLOOKUP($A1037,Stand!C:J,8,FALSE)="Short",AT1037,AU1037),"")</f>
        <v/>
      </c>
      <c r="AW1037" s="109" t="str">
        <f t="shared" si="484"/>
        <v/>
      </c>
      <c r="AX1037" s="109" t="str">
        <f t="shared" si="485"/>
        <v/>
      </c>
      <c r="AY1037" s="112" t="str">
        <f>IF(ISNUMBER(O1037),IF(AND(VLOOKUP($D1037,Merchantability!$B:$C,2,0)="Yes",$E1037&gt;=VLOOKUP($D1037,Merchantability!$B:$D,3,0),$E1037&lt;=VLOOKUP($D1037,Merchantability!$B:$E,4,0)),(AV1037*O1037)*(1-$H1037/100),""),"")</f>
        <v/>
      </c>
      <c r="AZ1037" s="116"/>
      <c r="BA1037" s="116"/>
      <c r="BB1037" s="116"/>
      <c r="BE1037" s="62"/>
      <c r="BF1037" s="63"/>
    </row>
    <row r="1038" spans="1:58" ht="12.75" customHeight="1" x14ac:dyDescent="0.25">
      <c r="A1038" s="313"/>
      <c r="B1038" s="328"/>
      <c r="C1038" s="329"/>
      <c r="D1038" s="328"/>
      <c r="E1038" s="330"/>
      <c r="F1038" s="328"/>
      <c r="G1038" s="329"/>
      <c r="H1038" s="329"/>
      <c r="I1038" s="328"/>
      <c r="J1038" s="383"/>
      <c r="K1038" s="329"/>
      <c r="L1038" s="329"/>
      <c r="M1038" s="76"/>
      <c r="N1038" s="103" t="str">
        <f>IF(A1038="","",VLOOKUP(A1038,Stand!C:K,9,0))</f>
        <v/>
      </c>
      <c r="O1038" s="104" t="str">
        <f t="shared" si="470"/>
        <v/>
      </c>
      <c r="P1038" s="105" t="str">
        <f t="shared" si="471"/>
        <v/>
      </c>
      <c r="Q1038" s="105" t="str">
        <f t="shared" si="459"/>
        <v/>
      </c>
      <c r="R1038" s="103" t="str">
        <f t="shared" si="472"/>
        <v/>
      </c>
      <c r="S1038" s="103" t="str">
        <f t="shared" si="473"/>
        <v/>
      </c>
      <c r="T1038" s="106" t="str">
        <f t="shared" si="460"/>
        <v/>
      </c>
      <c r="U1038" s="106" t="str">
        <f t="shared" si="461"/>
        <v/>
      </c>
      <c r="V1038" s="106" t="str">
        <f t="shared" si="462"/>
        <v/>
      </c>
      <c r="W1038" s="105" t="str">
        <f t="shared" si="474"/>
        <v/>
      </c>
      <c r="X1038" s="104" t="str">
        <f t="shared" si="479"/>
        <v/>
      </c>
      <c r="Y1038" s="104" t="str">
        <f t="array" ref="Y1038">IFERROR(IF(ISNUMBER(O1038),IF(COUNT(IF(A1038=$A$2:$A$2427,IF(D1038=$D$2:$D$2427,IF($X$2:$X$2427&gt;0,1))))&gt;0,SUM(IF(A1038=$A$2:$A$2427,IF(D1038=$D$2:$D$2427,$X$2:$X$2427)))/COUNT(IF(A1038=$A$2:$A$2427,IF(D1038=$D$2:$D$2427,IF(ISNUMBER($X$2:$X$2427),1)))),0),""),0)</f>
        <v/>
      </c>
      <c r="Z1038" s="104" t="str">
        <f>IF(ISNUMBER(O1038),IF(I1038&gt;0,(10^(VLOOKUP(D1038,'Species Codes'!B:C,2,0)+VLOOKUP(D1038,'Species Codes'!B:D,3,0)*LOG(E1038)+VLOOKUP(D1038,'Species Codes'!B:E,4,0)*LOG(I1038))),0),"")</f>
        <v/>
      </c>
      <c r="AA1038" s="104" t="str">
        <f>IFERROR((VLOOKUP(D1038,'Species Codes'!B:G,6,0)*Z1038)/2000,"")</f>
        <v/>
      </c>
      <c r="AB1038" s="104" t="e">
        <f>IF(Z1038&gt;0,((IF(OR(D1038="DF",D1038="RA")=TRUE,EXP(VLOOKUP(D1038,'Species Codes'!B:I,8,0)+VLOOKUP(D1038,'Species Codes'!B:J,9,0)*(LN((E1038*2.54)))),IF(OR(D1038="PY",D1038="RC",D1038="WH",D1038="NF")=TRUE,VLOOKUP(D1038,'Species Codes'!B:I,8,0)+VLOOKUP(D1038,'Species Codes'!B:J,9,0)*((E1038*2.54)^2)*(I1038*0.3048),IF(OR(D1038="MD",D1038="BM",D1038="GA")=TRUE,((VLOOKUP(D1038,'Species Codes'!B:I,8,0)*(((((E1038*2.54)+VLOOKUP(D1038,'Species Codes'!B:J,9,0))/VLOOKUP(D1038,'Species Codes'!B:K,10,0))^VLOOKUP(D1038,'Species Codes'!B:L,11,0))*((I1038*0.3048)^VLOOKUP(D1038,'Species Codes'!B:M,12,0))))-(VLOOKUP(D1038,'Species Codes'!B:I,8,0)*((((E1038*2.54)^VLOOKUP(D1038,'Species Codes'!B:L,11,0))*((I1038*0.3048)^VLOOKUP(D1038,'Species Codes'!B:M,12,0))))))*35.3*VLOOKUP(D1038,'Species Codes'!B:G,6,0)/2.2046,VLOOKUP(D1038,'Species Codes'!B:I,8,0)+VLOOKUP(D1038,'Species Codes'!B:J,9,0)*(((E1038*2.54)/100)^2)*(I1038*0.3048)))))*0.0011023),0)</f>
        <v>#N/A</v>
      </c>
      <c r="AC1038" s="104" t="e">
        <f>IF(Z1038&gt;0,((IF(OR(D1038="RA",D1038="OA",D1038="OT",D1038="UN",D1038="PC"),EXP(VLOOKUP(D1038,'Species Codes'!B:O,14,0)+VLOOKUP(D1038,'Species Codes'!B:P,15,0)*LN((E1038*2.54)))-EXP(VLOOKUP(D1038,'Species Codes'!B:O,14,0)+VLOOKUP(D1038,'Species Codes'!B:P,15,0)*LN((E1038*2.54)))*(1/(VLOOKUP(D1038,'Species Codes'!B:Q,16,0)+VLOOKUP(D1038,'Species Codes'!B:R,17,0)*((E1038*2.54)^VLOOKUP(D1038,'Species Codes'!B:S,18,0)))),IF(OR(D1038="BM",D1038="MD",D1038="OA"),EXP(VLOOKUP(D1038,'Species Codes'!B:O,14,0)+VLOOKUP(D1038,'Species Codes'!B:P,15,0)*LN((E1038*2.54)))*(1-(1/(VLOOKUP(D1038,'Species Codes'!B:Q,16,0)+VLOOKUP(D1038,'Species Codes'!B:R,17,0)*((E1038*2.54)^VLOOKUP(D1038,'Species Codes'!B:S,18,0)))))/1000,IF(D1038="DF",EXP(VLOOKUP(D1038,'Species Codes'!B:O,14,0)+VLOOKUP(D1038,'Species Codes'!B:P,15,0)*LN((E1038*2.54))),VLOOKUP(D1038,'Species Codes'!B:O,14,0)+VLOOKUP(D1038,'Species Codes'!B:P,15,0)*(((E1038*2.54)/100)^2)*(I1038*0.3048)))))*0.0011023),0)</f>
        <v>#N/A</v>
      </c>
      <c r="AD1038" s="104" t="e">
        <f t="shared" si="463"/>
        <v>#N/A</v>
      </c>
      <c r="AE1038" s="104" t="e">
        <f t="shared" si="464"/>
        <v>#N/A</v>
      </c>
      <c r="AF1038" s="104" t="e">
        <f>IF(AND(VLOOKUP($D1038,Merchantability!$B:$C,2,0)="Yes",$E1038&gt;=VLOOKUP($D1038,Merchantability!$B:$D,3,0),$E1038&lt;=VLOOKUP($D1038,Merchantability!$B:$E,4,0)),AA1038,0)</f>
        <v>#N/A</v>
      </c>
      <c r="AG1038" s="104" t="e">
        <f>IF(AND(VLOOKUP($D1038,Merchantability!$B:$C,2,0)="Yes",$E1038&gt;=VLOOKUP($D1038,Merchantability!$B:$D,3,0),$E1038&lt;=VLOOKUP($D1038,Merchantability!$B:$E,4,0)),AB1038,0)</f>
        <v>#N/A</v>
      </c>
      <c r="AH1038" s="104" t="e">
        <f>IF(AND(VLOOKUP($D1038,Merchantability!$B:$C,2,0)="Yes",$E1038&gt;=VLOOKUP($D1038,Merchantability!$B:$D,3,0),$E1038&lt;=VLOOKUP($D1038,Merchantability!$B:$E,4,0)),AC1038,0)</f>
        <v>#N/A</v>
      </c>
      <c r="AI1038" s="104" t="e">
        <f t="shared" si="465"/>
        <v>#N/A</v>
      </c>
      <c r="AJ1038" s="104" t="e">
        <f t="shared" si="466"/>
        <v>#VALUE!</v>
      </c>
      <c r="AK1038" s="104" t="e">
        <f t="shared" si="467"/>
        <v>#N/A</v>
      </c>
      <c r="AL1038" s="104" t="e">
        <f t="shared" si="468"/>
        <v>#N/A</v>
      </c>
      <c r="AM1038" s="104" t="e">
        <f t="shared" si="469"/>
        <v>#N/A</v>
      </c>
      <c r="AN1038" s="104" t="e">
        <f t="shared" si="480"/>
        <v>#N/A</v>
      </c>
      <c r="AO1038" s="104" t="e">
        <f t="shared" si="481"/>
        <v>#N/A</v>
      </c>
      <c r="AP1038" s="104" t="e">
        <f t="shared" si="482"/>
        <v>#N/A</v>
      </c>
      <c r="AQ1038" s="104" t="e">
        <f t="shared" si="483"/>
        <v>#N/A</v>
      </c>
      <c r="AR1038" s="105" t="str">
        <f t="shared" si="475"/>
        <v/>
      </c>
      <c r="AS1038" s="105" t="str">
        <f t="shared" si="476"/>
        <v/>
      </c>
      <c r="AT1038" s="108" t="str">
        <f t="shared" si="477"/>
        <v/>
      </c>
      <c r="AU1038" s="108" t="str">
        <f t="shared" si="478"/>
        <v/>
      </c>
      <c r="AV1038" s="107" t="str">
        <f>IF(ISNUMBER(O1038),IF(VLOOKUP($A1038,Stand!C:J,8,FALSE)="Short",AT1038,AU1038),"")</f>
        <v/>
      </c>
      <c r="AW1038" s="109" t="str">
        <f t="shared" si="484"/>
        <v/>
      </c>
      <c r="AX1038" s="109" t="str">
        <f t="shared" si="485"/>
        <v/>
      </c>
      <c r="AY1038" s="112" t="str">
        <f>IF(ISNUMBER(O1038),IF(AND(VLOOKUP($D1038,Merchantability!$B:$C,2,0)="Yes",$E1038&gt;=VLOOKUP($D1038,Merchantability!$B:$D,3,0),$E1038&lt;=VLOOKUP($D1038,Merchantability!$B:$E,4,0)),(AV1038*O1038)*(1-$H1038/100),""),"")</f>
        <v/>
      </c>
      <c r="AZ1038" s="116"/>
      <c r="BA1038" s="116"/>
      <c r="BB1038" s="116"/>
      <c r="BE1038" s="62"/>
      <c r="BF1038" s="63"/>
    </row>
    <row r="1039" spans="1:58" ht="12.75" customHeight="1" x14ac:dyDescent="0.25">
      <c r="A1039" s="313"/>
      <c r="B1039" s="328"/>
      <c r="C1039" s="329"/>
      <c r="D1039" s="328"/>
      <c r="E1039" s="330"/>
      <c r="F1039" s="328"/>
      <c r="G1039" s="329"/>
      <c r="H1039" s="329"/>
      <c r="I1039" s="328"/>
      <c r="J1039" s="383"/>
      <c r="K1039" s="329"/>
      <c r="L1039" s="329"/>
      <c r="M1039" s="76"/>
      <c r="N1039" s="103" t="str">
        <f>IF(A1039="","",VLOOKUP(A1039,Stand!C:K,9,0))</f>
        <v/>
      </c>
      <c r="O1039" s="104" t="str">
        <f t="shared" si="470"/>
        <v/>
      </c>
      <c r="P1039" s="105" t="str">
        <f t="shared" si="471"/>
        <v/>
      </c>
      <c r="Q1039" s="105" t="str">
        <f t="shared" si="459"/>
        <v/>
      </c>
      <c r="R1039" s="103" t="str">
        <f t="shared" si="472"/>
        <v/>
      </c>
      <c r="S1039" s="103" t="str">
        <f t="shared" si="473"/>
        <v/>
      </c>
      <c r="T1039" s="106" t="str">
        <f t="shared" si="460"/>
        <v/>
      </c>
      <c r="U1039" s="106" t="str">
        <f t="shared" si="461"/>
        <v/>
      </c>
      <c r="V1039" s="106" t="str">
        <f t="shared" si="462"/>
        <v/>
      </c>
      <c r="W1039" s="105" t="str">
        <f t="shared" si="474"/>
        <v/>
      </c>
      <c r="X1039" s="104" t="str">
        <f t="shared" si="479"/>
        <v/>
      </c>
      <c r="Y1039" s="104" t="str">
        <f t="array" ref="Y1039">IFERROR(IF(ISNUMBER(O1039),IF(COUNT(IF(A1039=$A$2:$A$2427,IF(D1039=$D$2:$D$2427,IF($X$2:$X$2427&gt;0,1))))&gt;0,SUM(IF(A1039=$A$2:$A$2427,IF(D1039=$D$2:$D$2427,$X$2:$X$2427)))/COUNT(IF(A1039=$A$2:$A$2427,IF(D1039=$D$2:$D$2427,IF(ISNUMBER($X$2:$X$2427),1)))),0),""),0)</f>
        <v/>
      </c>
      <c r="Z1039" s="104" t="str">
        <f>IF(ISNUMBER(O1039),IF(I1039&gt;0,(10^(VLOOKUP(D1039,'Species Codes'!B:C,2,0)+VLOOKUP(D1039,'Species Codes'!B:D,3,0)*LOG(E1039)+VLOOKUP(D1039,'Species Codes'!B:E,4,0)*LOG(I1039))),0),"")</f>
        <v/>
      </c>
      <c r="AA1039" s="104" t="str">
        <f>IFERROR((VLOOKUP(D1039,'Species Codes'!B:G,6,0)*Z1039)/2000,"")</f>
        <v/>
      </c>
      <c r="AB1039" s="104" t="e">
        <f>IF(Z1039&gt;0,((IF(OR(D1039="DF",D1039="RA")=TRUE,EXP(VLOOKUP(D1039,'Species Codes'!B:I,8,0)+VLOOKUP(D1039,'Species Codes'!B:J,9,0)*(LN((E1039*2.54)))),IF(OR(D1039="PY",D1039="RC",D1039="WH",D1039="NF")=TRUE,VLOOKUP(D1039,'Species Codes'!B:I,8,0)+VLOOKUP(D1039,'Species Codes'!B:J,9,0)*((E1039*2.54)^2)*(I1039*0.3048),IF(OR(D1039="MD",D1039="BM",D1039="GA")=TRUE,((VLOOKUP(D1039,'Species Codes'!B:I,8,0)*(((((E1039*2.54)+VLOOKUP(D1039,'Species Codes'!B:J,9,0))/VLOOKUP(D1039,'Species Codes'!B:K,10,0))^VLOOKUP(D1039,'Species Codes'!B:L,11,0))*((I1039*0.3048)^VLOOKUP(D1039,'Species Codes'!B:M,12,0))))-(VLOOKUP(D1039,'Species Codes'!B:I,8,0)*((((E1039*2.54)^VLOOKUP(D1039,'Species Codes'!B:L,11,0))*((I1039*0.3048)^VLOOKUP(D1039,'Species Codes'!B:M,12,0))))))*35.3*VLOOKUP(D1039,'Species Codes'!B:G,6,0)/2.2046,VLOOKUP(D1039,'Species Codes'!B:I,8,0)+VLOOKUP(D1039,'Species Codes'!B:J,9,0)*(((E1039*2.54)/100)^2)*(I1039*0.3048)))))*0.0011023),0)</f>
        <v>#N/A</v>
      </c>
      <c r="AC1039" s="104" t="e">
        <f>IF(Z1039&gt;0,((IF(OR(D1039="RA",D1039="OA",D1039="OT",D1039="UN",D1039="PC"),EXP(VLOOKUP(D1039,'Species Codes'!B:O,14,0)+VLOOKUP(D1039,'Species Codes'!B:P,15,0)*LN((E1039*2.54)))-EXP(VLOOKUP(D1039,'Species Codes'!B:O,14,0)+VLOOKUP(D1039,'Species Codes'!B:P,15,0)*LN((E1039*2.54)))*(1/(VLOOKUP(D1039,'Species Codes'!B:Q,16,0)+VLOOKUP(D1039,'Species Codes'!B:R,17,0)*((E1039*2.54)^VLOOKUP(D1039,'Species Codes'!B:S,18,0)))),IF(OR(D1039="BM",D1039="MD",D1039="OA"),EXP(VLOOKUP(D1039,'Species Codes'!B:O,14,0)+VLOOKUP(D1039,'Species Codes'!B:P,15,0)*LN((E1039*2.54)))*(1-(1/(VLOOKUP(D1039,'Species Codes'!B:Q,16,0)+VLOOKUP(D1039,'Species Codes'!B:R,17,0)*((E1039*2.54)^VLOOKUP(D1039,'Species Codes'!B:S,18,0)))))/1000,IF(D1039="DF",EXP(VLOOKUP(D1039,'Species Codes'!B:O,14,0)+VLOOKUP(D1039,'Species Codes'!B:P,15,0)*LN((E1039*2.54))),VLOOKUP(D1039,'Species Codes'!B:O,14,0)+VLOOKUP(D1039,'Species Codes'!B:P,15,0)*(((E1039*2.54)/100)^2)*(I1039*0.3048)))))*0.0011023),0)</f>
        <v>#N/A</v>
      </c>
      <c r="AD1039" s="104" t="e">
        <f t="shared" si="463"/>
        <v>#N/A</v>
      </c>
      <c r="AE1039" s="104" t="e">
        <f t="shared" si="464"/>
        <v>#N/A</v>
      </c>
      <c r="AF1039" s="104" t="e">
        <f>IF(AND(VLOOKUP($D1039,Merchantability!$B:$C,2,0)="Yes",$E1039&gt;=VLOOKUP($D1039,Merchantability!$B:$D,3,0),$E1039&lt;=VLOOKUP($D1039,Merchantability!$B:$E,4,0)),AA1039,0)</f>
        <v>#N/A</v>
      </c>
      <c r="AG1039" s="104" t="e">
        <f>IF(AND(VLOOKUP($D1039,Merchantability!$B:$C,2,0)="Yes",$E1039&gt;=VLOOKUP($D1039,Merchantability!$B:$D,3,0),$E1039&lt;=VLOOKUP($D1039,Merchantability!$B:$E,4,0)),AB1039,0)</f>
        <v>#N/A</v>
      </c>
      <c r="AH1039" s="104" t="e">
        <f>IF(AND(VLOOKUP($D1039,Merchantability!$B:$C,2,0)="Yes",$E1039&gt;=VLOOKUP($D1039,Merchantability!$B:$D,3,0),$E1039&lt;=VLOOKUP($D1039,Merchantability!$B:$E,4,0)),AC1039,0)</f>
        <v>#N/A</v>
      </c>
      <c r="AI1039" s="104" t="e">
        <f t="shared" si="465"/>
        <v>#N/A</v>
      </c>
      <c r="AJ1039" s="104" t="e">
        <f t="shared" si="466"/>
        <v>#VALUE!</v>
      </c>
      <c r="AK1039" s="104" t="e">
        <f t="shared" si="467"/>
        <v>#N/A</v>
      </c>
      <c r="AL1039" s="104" t="e">
        <f t="shared" si="468"/>
        <v>#N/A</v>
      </c>
      <c r="AM1039" s="104" t="e">
        <f t="shared" si="469"/>
        <v>#N/A</v>
      </c>
      <c r="AN1039" s="104" t="e">
        <f t="shared" si="480"/>
        <v>#N/A</v>
      </c>
      <c r="AO1039" s="104" t="e">
        <f t="shared" si="481"/>
        <v>#N/A</v>
      </c>
      <c r="AP1039" s="104" t="e">
        <f t="shared" si="482"/>
        <v>#N/A</v>
      </c>
      <c r="AQ1039" s="104" t="e">
        <f t="shared" si="483"/>
        <v>#N/A</v>
      </c>
      <c r="AR1039" s="105" t="str">
        <f t="shared" si="475"/>
        <v/>
      </c>
      <c r="AS1039" s="105" t="str">
        <f t="shared" si="476"/>
        <v/>
      </c>
      <c r="AT1039" s="108" t="str">
        <f t="shared" si="477"/>
        <v/>
      </c>
      <c r="AU1039" s="108" t="str">
        <f t="shared" si="478"/>
        <v/>
      </c>
      <c r="AV1039" s="107" t="str">
        <f>IF(ISNUMBER(O1039),IF(VLOOKUP($A1039,Stand!C:J,8,FALSE)="Short",AT1039,AU1039),"")</f>
        <v/>
      </c>
      <c r="AW1039" s="109" t="str">
        <f t="shared" si="484"/>
        <v/>
      </c>
      <c r="AX1039" s="109" t="str">
        <f t="shared" si="485"/>
        <v/>
      </c>
      <c r="AY1039" s="112" t="str">
        <f>IF(ISNUMBER(O1039),IF(AND(VLOOKUP($D1039,Merchantability!$B:$C,2,0)="Yes",$E1039&gt;=VLOOKUP($D1039,Merchantability!$B:$D,3,0),$E1039&lt;=VLOOKUP($D1039,Merchantability!$B:$E,4,0)),(AV1039*O1039)*(1-$H1039/100),""),"")</f>
        <v/>
      </c>
      <c r="AZ1039" s="116"/>
      <c r="BA1039" s="116"/>
      <c r="BB1039" s="116"/>
      <c r="BE1039" s="62"/>
      <c r="BF1039" s="63"/>
    </row>
    <row r="1040" spans="1:58" ht="12.75" customHeight="1" x14ac:dyDescent="0.25">
      <c r="A1040" s="313"/>
      <c r="B1040" s="328"/>
      <c r="C1040" s="329"/>
      <c r="D1040" s="328"/>
      <c r="E1040" s="330"/>
      <c r="F1040" s="328"/>
      <c r="G1040" s="329"/>
      <c r="H1040" s="329"/>
      <c r="I1040" s="328"/>
      <c r="J1040" s="383"/>
      <c r="K1040" s="329"/>
      <c r="L1040" s="329"/>
      <c r="M1040" s="76"/>
      <c r="N1040" s="103" t="str">
        <f>IF(A1040="","",VLOOKUP(A1040,Stand!C:K,9,0))</f>
        <v/>
      </c>
      <c r="O1040" s="104" t="str">
        <f t="shared" si="470"/>
        <v/>
      </c>
      <c r="P1040" s="105" t="str">
        <f t="shared" si="471"/>
        <v/>
      </c>
      <c r="Q1040" s="105" t="str">
        <f t="shared" si="459"/>
        <v/>
      </c>
      <c r="R1040" s="103" t="str">
        <f t="shared" si="472"/>
        <v/>
      </c>
      <c r="S1040" s="103" t="str">
        <f t="shared" si="473"/>
        <v/>
      </c>
      <c r="T1040" s="106" t="str">
        <f t="shared" si="460"/>
        <v/>
      </c>
      <c r="U1040" s="106" t="str">
        <f t="shared" si="461"/>
        <v/>
      </c>
      <c r="V1040" s="106" t="str">
        <f t="shared" si="462"/>
        <v/>
      </c>
      <c r="W1040" s="105" t="str">
        <f t="shared" si="474"/>
        <v/>
      </c>
      <c r="X1040" s="104" t="str">
        <f t="shared" si="479"/>
        <v/>
      </c>
      <c r="Y1040" s="104" t="str">
        <f t="array" ref="Y1040">IFERROR(IF(ISNUMBER(O1040),IF(COUNT(IF(A1040=$A$2:$A$2427,IF(D1040=$D$2:$D$2427,IF($X$2:$X$2427&gt;0,1))))&gt;0,SUM(IF(A1040=$A$2:$A$2427,IF(D1040=$D$2:$D$2427,$X$2:$X$2427)))/COUNT(IF(A1040=$A$2:$A$2427,IF(D1040=$D$2:$D$2427,IF(ISNUMBER($X$2:$X$2427),1)))),0),""),0)</f>
        <v/>
      </c>
      <c r="Z1040" s="104" t="str">
        <f>IF(ISNUMBER(O1040),IF(I1040&gt;0,(10^(VLOOKUP(D1040,'Species Codes'!B:C,2,0)+VLOOKUP(D1040,'Species Codes'!B:D,3,0)*LOG(E1040)+VLOOKUP(D1040,'Species Codes'!B:E,4,0)*LOG(I1040))),0),"")</f>
        <v/>
      </c>
      <c r="AA1040" s="104" t="str">
        <f>IFERROR((VLOOKUP(D1040,'Species Codes'!B:G,6,0)*Z1040)/2000,"")</f>
        <v/>
      </c>
      <c r="AB1040" s="104" t="e">
        <f>IF(Z1040&gt;0,((IF(OR(D1040="DF",D1040="RA")=TRUE,EXP(VLOOKUP(D1040,'Species Codes'!B:I,8,0)+VLOOKUP(D1040,'Species Codes'!B:J,9,0)*(LN((E1040*2.54)))),IF(OR(D1040="PY",D1040="RC",D1040="WH",D1040="NF")=TRUE,VLOOKUP(D1040,'Species Codes'!B:I,8,0)+VLOOKUP(D1040,'Species Codes'!B:J,9,0)*((E1040*2.54)^2)*(I1040*0.3048),IF(OR(D1040="MD",D1040="BM",D1040="GA")=TRUE,((VLOOKUP(D1040,'Species Codes'!B:I,8,0)*(((((E1040*2.54)+VLOOKUP(D1040,'Species Codes'!B:J,9,0))/VLOOKUP(D1040,'Species Codes'!B:K,10,0))^VLOOKUP(D1040,'Species Codes'!B:L,11,0))*((I1040*0.3048)^VLOOKUP(D1040,'Species Codes'!B:M,12,0))))-(VLOOKUP(D1040,'Species Codes'!B:I,8,0)*((((E1040*2.54)^VLOOKUP(D1040,'Species Codes'!B:L,11,0))*((I1040*0.3048)^VLOOKUP(D1040,'Species Codes'!B:M,12,0))))))*35.3*VLOOKUP(D1040,'Species Codes'!B:G,6,0)/2.2046,VLOOKUP(D1040,'Species Codes'!B:I,8,0)+VLOOKUP(D1040,'Species Codes'!B:J,9,0)*(((E1040*2.54)/100)^2)*(I1040*0.3048)))))*0.0011023),0)</f>
        <v>#N/A</v>
      </c>
      <c r="AC1040" s="104" t="e">
        <f>IF(Z1040&gt;0,((IF(OR(D1040="RA",D1040="OA",D1040="OT",D1040="UN",D1040="PC"),EXP(VLOOKUP(D1040,'Species Codes'!B:O,14,0)+VLOOKUP(D1040,'Species Codes'!B:P,15,0)*LN((E1040*2.54)))-EXP(VLOOKUP(D1040,'Species Codes'!B:O,14,0)+VLOOKUP(D1040,'Species Codes'!B:P,15,0)*LN((E1040*2.54)))*(1/(VLOOKUP(D1040,'Species Codes'!B:Q,16,0)+VLOOKUP(D1040,'Species Codes'!B:R,17,0)*((E1040*2.54)^VLOOKUP(D1040,'Species Codes'!B:S,18,0)))),IF(OR(D1040="BM",D1040="MD",D1040="OA"),EXP(VLOOKUP(D1040,'Species Codes'!B:O,14,0)+VLOOKUP(D1040,'Species Codes'!B:P,15,0)*LN((E1040*2.54)))*(1-(1/(VLOOKUP(D1040,'Species Codes'!B:Q,16,0)+VLOOKUP(D1040,'Species Codes'!B:R,17,0)*((E1040*2.54)^VLOOKUP(D1040,'Species Codes'!B:S,18,0)))))/1000,IF(D1040="DF",EXP(VLOOKUP(D1040,'Species Codes'!B:O,14,0)+VLOOKUP(D1040,'Species Codes'!B:P,15,0)*LN((E1040*2.54))),VLOOKUP(D1040,'Species Codes'!B:O,14,0)+VLOOKUP(D1040,'Species Codes'!B:P,15,0)*(((E1040*2.54)/100)^2)*(I1040*0.3048)))))*0.0011023),0)</f>
        <v>#N/A</v>
      </c>
      <c r="AD1040" s="104" t="e">
        <f t="shared" si="463"/>
        <v>#N/A</v>
      </c>
      <c r="AE1040" s="104" t="e">
        <f t="shared" si="464"/>
        <v>#N/A</v>
      </c>
      <c r="AF1040" s="104" t="e">
        <f>IF(AND(VLOOKUP($D1040,Merchantability!$B:$C,2,0)="Yes",$E1040&gt;=VLOOKUP($D1040,Merchantability!$B:$D,3,0),$E1040&lt;=VLOOKUP($D1040,Merchantability!$B:$E,4,0)),AA1040,0)</f>
        <v>#N/A</v>
      </c>
      <c r="AG1040" s="104" t="e">
        <f>IF(AND(VLOOKUP($D1040,Merchantability!$B:$C,2,0)="Yes",$E1040&gt;=VLOOKUP($D1040,Merchantability!$B:$D,3,0),$E1040&lt;=VLOOKUP($D1040,Merchantability!$B:$E,4,0)),AB1040,0)</f>
        <v>#N/A</v>
      </c>
      <c r="AH1040" s="104" t="e">
        <f>IF(AND(VLOOKUP($D1040,Merchantability!$B:$C,2,0)="Yes",$E1040&gt;=VLOOKUP($D1040,Merchantability!$B:$D,3,0),$E1040&lt;=VLOOKUP($D1040,Merchantability!$B:$E,4,0)),AC1040,0)</f>
        <v>#N/A</v>
      </c>
      <c r="AI1040" s="104" t="e">
        <f t="shared" si="465"/>
        <v>#N/A</v>
      </c>
      <c r="AJ1040" s="104" t="e">
        <f t="shared" si="466"/>
        <v>#VALUE!</v>
      </c>
      <c r="AK1040" s="104" t="e">
        <f t="shared" si="467"/>
        <v>#N/A</v>
      </c>
      <c r="AL1040" s="104" t="e">
        <f t="shared" si="468"/>
        <v>#N/A</v>
      </c>
      <c r="AM1040" s="104" t="e">
        <f t="shared" si="469"/>
        <v>#N/A</v>
      </c>
      <c r="AN1040" s="104" t="e">
        <f t="shared" si="480"/>
        <v>#N/A</v>
      </c>
      <c r="AO1040" s="104" t="e">
        <f t="shared" si="481"/>
        <v>#N/A</v>
      </c>
      <c r="AP1040" s="104" t="e">
        <f t="shared" si="482"/>
        <v>#N/A</v>
      </c>
      <c r="AQ1040" s="104" t="e">
        <f t="shared" si="483"/>
        <v>#N/A</v>
      </c>
      <c r="AR1040" s="105" t="str">
        <f t="shared" si="475"/>
        <v/>
      </c>
      <c r="AS1040" s="105" t="str">
        <f t="shared" si="476"/>
        <v/>
      </c>
      <c r="AT1040" s="108" t="str">
        <f t="shared" si="477"/>
        <v/>
      </c>
      <c r="AU1040" s="108" t="str">
        <f t="shared" si="478"/>
        <v/>
      </c>
      <c r="AV1040" s="107" t="str">
        <f>IF(ISNUMBER(O1040),IF(VLOOKUP($A1040,Stand!C:J,8,FALSE)="Short",AT1040,AU1040),"")</f>
        <v/>
      </c>
      <c r="AW1040" s="109" t="str">
        <f t="shared" si="484"/>
        <v/>
      </c>
      <c r="AX1040" s="109" t="str">
        <f t="shared" si="485"/>
        <v/>
      </c>
      <c r="AY1040" s="112" t="str">
        <f>IF(ISNUMBER(O1040),IF(AND(VLOOKUP($D1040,Merchantability!$B:$C,2,0)="Yes",$E1040&gt;=VLOOKUP($D1040,Merchantability!$B:$D,3,0),$E1040&lt;=VLOOKUP($D1040,Merchantability!$B:$E,4,0)),(AV1040*O1040)*(1-$H1040/100),""),"")</f>
        <v/>
      </c>
      <c r="AZ1040" s="116"/>
      <c r="BA1040" s="116"/>
      <c r="BB1040" s="116"/>
      <c r="BE1040" s="62"/>
      <c r="BF1040" s="63"/>
    </row>
    <row r="1041" spans="1:58" ht="12.75" customHeight="1" x14ac:dyDescent="0.25">
      <c r="A1041" s="313"/>
      <c r="B1041" s="328"/>
      <c r="C1041" s="329"/>
      <c r="D1041" s="328"/>
      <c r="E1041" s="330"/>
      <c r="F1041" s="328"/>
      <c r="G1041" s="329"/>
      <c r="H1041" s="329"/>
      <c r="I1041" s="328"/>
      <c r="J1041" s="383"/>
      <c r="K1041" s="329"/>
      <c r="L1041" s="329"/>
      <c r="M1041" s="76"/>
      <c r="N1041" s="103" t="str">
        <f>IF(A1041="","",VLOOKUP(A1041,Stand!C:K,9,0))</f>
        <v/>
      </c>
      <c r="O1041" s="104" t="str">
        <f t="shared" si="470"/>
        <v/>
      </c>
      <c r="P1041" s="105" t="str">
        <f t="shared" si="471"/>
        <v/>
      </c>
      <c r="Q1041" s="105" t="str">
        <f t="shared" si="459"/>
        <v/>
      </c>
      <c r="R1041" s="103" t="str">
        <f t="shared" si="472"/>
        <v/>
      </c>
      <c r="S1041" s="103" t="str">
        <f t="shared" si="473"/>
        <v/>
      </c>
      <c r="T1041" s="106" t="str">
        <f t="shared" si="460"/>
        <v/>
      </c>
      <c r="U1041" s="106" t="str">
        <f t="shared" si="461"/>
        <v/>
      </c>
      <c r="V1041" s="106" t="str">
        <f t="shared" si="462"/>
        <v/>
      </c>
      <c r="W1041" s="105" t="str">
        <f t="shared" si="474"/>
        <v/>
      </c>
      <c r="X1041" s="104" t="str">
        <f t="shared" si="479"/>
        <v/>
      </c>
      <c r="Y1041" s="104" t="str">
        <f t="array" ref="Y1041">IFERROR(IF(ISNUMBER(O1041),IF(COUNT(IF(A1041=$A$2:$A$2427,IF(D1041=$D$2:$D$2427,IF($X$2:$X$2427&gt;0,1))))&gt;0,SUM(IF(A1041=$A$2:$A$2427,IF(D1041=$D$2:$D$2427,$X$2:$X$2427)))/COUNT(IF(A1041=$A$2:$A$2427,IF(D1041=$D$2:$D$2427,IF(ISNUMBER($X$2:$X$2427),1)))),0),""),0)</f>
        <v/>
      </c>
      <c r="Z1041" s="104" t="str">
        <f>IF(ISNUMBER(O1041),IF(I1041&gt;0,(10^(VLOOKUP(D1041,'Species Codes'!B:C,2,0)+VLOOKUP(D1041,'Species Codes'!B:D,3,0)*LOG(E1041)+VLOOKUP(D1041,'Species Codes'!B:E,4,0)*LOG(I1041))),0),"")</f>
        <v/>
      </c>
      <c r="AA1041" s="104" t="str">
        <f>IFERROR((VLOOKUP(D1041,'Species Codes'!B:G,6,0)*Z1041)/2000,"")</f>
        <v/>
      </c>
      <c r="AB1041" s="104" t="e">
        <f>IF(Z1041&gt;0,((IF(OR(D1041="DF",D1041="RA")=TRUE,EXP(VLOOKUP(D1041,'Species Codes'!B:I,8,0)+VLOOKUP(D1041,'Species Codes'!B:J,9,0)*(LN((E1041*2.54)))),IF(OR(D1041="PY",D1041="RC",D1041="WH",D1041="NF")=TRUE,VLOOKUP(D1041,'Species Codes'!B:I,8,0)+VLOOKUP(D1041,'Species Codes'!B:J,9,0)*((E1041*2.54)^2)*(I1041*0.3048),IF(OR(D1041="MD",D1041="BM",D1041="GA")=TRUE,((VLOOKUP(D1041,'Species Codes'!B:I,8,0)*(((((E1041*2.54)+VLOOKUP(D1041,'Species Codes'!B:J,9,0))/VLOOKUP(D1041,'Species Codes'!B:K,10,0))^VLOOKUP(D1041,'Species Codes'!B:L,11,0))*((I1041*0.3048)^VLOOKUP(D1041,'Species Codes'!B:M,12,0))))-(VLOOKUP(D1041,'Species Codes'!B:I,8,0)*((((E1041*2.54)^VLOOKUP(D1041,'Species Codes'!B:L,11,0))*((I1041*0.3048)^VLOOKUP(D1041,'Species Codes'!B:M,12,0))))))*35.3*VLOOKUP(D1041,'Species Codes'!B:G,6,0)/2.2046,VLOOKUP(D1041,'Species Codes'!B:I,8,0)+VLOOKUP(D1041,'Species Codes'!B:J,9,0)*(((E1041*2.54)/100)^2)*(I1041*0.3048)))))*0.0011023),0)</f>
        <v>#N/A</v>
      </c>
      <c r="AC1041" s="104" t="e">
        <f>IF(Z1041&gt;0,((IF(OR(D1041="RA",D1041="OA",D1041="OT",D1041="UN",D1041="PC"),EXP(VLOOKUP(D1041,'Species Codes'!B:O,14,0)+VLOOKUP(D1041,'Species Codes'!B:P,15,0)*LN((E1041*2.54)))-EXP(VLOOKUP(D1041,'Species Codes'!B:O,14,0)+VLOOKUP(D1041,'Species Codes'!B:P,15,0)*LN((E1041*2.54)))*(1/(VLOOKUP(D1041,'Species Codes'!B:Q,16,0)+VLOOKUP(D1041,'Species Codes'!B:R,17,0)*((E1041*2.54)^VLOOKUP(D1041,'Species Codes'!B:S,18,0)))),IF(OR(D1041="BM",D1041="MD",D1041="OA"),EXP(VLOOKUP(D1041,'Species Codes'!B:O,14,0)+VLOOKUP(D1041,'Species Codes'!B:P,15,0)*LN((E1041*2.54)))*(1-(1/(VLOOKUP(D1041,'Species Codes'!B:Q,16,0)+VLOOKUP(D1041,'Species Codes'!B:R,17,0)*((E1041*2.54)^VLOOKUP(D1041,'Species Codes'!B:S,18,0)))))/1000,IF(D1041="DF",EXP(VLOOKUP(D1041,'Species Codes'!B:O,14,0)+VLOOKUP(D1041,'Species Codes'!B:P,15,0)*LN((E1041*2.54))),VLOOKUP(D1041,'Species Codes'!B:O,14,0)+VLOOKUP(D1041,'Species Codes'!B:P,15,0)*(((E1041*2.54)/100)^2)*(I1041*0.3048)))))*0.0011023),0)</f>
        <v>#N/A</v>
      </c>
      <c r="AD1041" s="104" t="e">
        <f t="shared" si="463"/>
        <v>#N/A</v>
      </c>
      <c r="AE1041" s="104" t="e">
        <f t="shared" si="464"/>
        <v>#N/A</v>
      </c>
      <c r="AF1041" s="104" t="e">
        <f>IF(AND(VLOOKUP($D1041,Merchantability!$B:$C,2,0)="Yes",$E1041&gt;=VLOOKUP($D1041,Merchantability!$B:$D,3,0),$E1041&lt;=VLOOKUP($D1041,Merchantability!$B:$E,4,0)),AA1041,0)</f>
        <v>#N/A</v>
      </c>
      <c r="AG1041" s="104" t="e">
        <f>IF(AND(VLOOKUP($D1041,Merchantability!$B:$C,2,0)="Yes",$E1041&gt;=VLOOKUP($D1041,Merchantability!$B:$D,3,0),$E1041&lt;=VLOOKUP($D1041,Merchantability!$B:$E,4,0)),AB1041,0)</f>
        <v>#N/A</v>
      </c>
      <c r="AH1041" s="104" t="e">
        <f>IF(AND(VLOOKUP($D1041,Merchantability!$B:$C,2,0)="Yes",$E1041&gt;=VLOOKUP($D1041,Merchantability!$B:$D,3,0),$E1041&lt;=VLOOKUP($D1041,Merchantability!$B:$E,4,0)),AC1041,0)</f>
        <v>#N/A</v>
      </c>
      <c r="AI1041" s="104" t="e">
        <f t="shared" si="465"/>
        <v>#N/A</v>
      </c>
      <c r="AJ1041" s="104" t="e">
        <f t="shared" si="466"/>
        <v>#VALUE!</v>
      </c>
      <c r="AK1041" s="104" t="e">
        <f t="shared" si="467"/>
        <v>#N/A</v>
      </c>
      <c r="AL1041" s="104" t="e">
        <f t="shared" si="468"/>
        <v>#N/A</v>
      </c>
      <c r="AM1041" s="104" t="e">
        <f t="shared" si="469"/>
        <v>#N/A</v>
      </c>
      <c r="AN1041" s="104" t="e">
        <f t="shared" si="480"/>
        <v>#N/A</v>
      </c>
      <c r="AO1041" s="104" t="e">
        <f t="shared" si="481"/>
        <v>#N/A</v>
      </c>
      <c r="AP1041" s="104" t="e">
        <f t="shared" si="482"/>
        <v>#N/A</v>
      </c>
      <c r="AQ1041" s="104" t="e">
        <f t="shared" si="483"/>
        <v>#N/A</v>
      </c>
      <c r="AR1041" s="105" t="str">
        <f t="shared" si="475"/>
        <v/>
      </c>
      <c r="AS1041" s="105" t="str">
        <f t="shared" si="476"/>
        <v/>
      </c>
      <c r="AT1041" s="108" t="str">
        <f t="shared" si="477"/>
        <v/>
      </c>
      <c r="AU1041" s="108" t="str">
        <f t="shared" si="478"/>
        <v/>
      </c>
      <c r="AV1041" s="107" t="str">
        <f>IF(ISNUMBER(O1041),IF(VLOOKUP($A1041,Stand!C:J,8,FALSE)="Short",AT1041,AU1041),"")</f>
        <v/>
      </c>
      <c r="AW1041" s="109" t="str">
        <f t="shared" si="484"/>
        <v/>
      </c>
      <c r="AX1041" s="109" t="str">
        <f t="shared" si="485"/>
        <v/>
      </c>
      <c r="AY1041" s="112" t="str">
        <f>IF(ISNUMBER(O1041),IF(AND(VLOOKUP($D1041,Merchantability!$B:$C,2,0)="Yes",$E1041&gt;=VLOOKUP($D1041,Merchantability!$B:$D,3,0),$E1041&lt;=VLOOKUP($D1041,Merchantability!$B:$E,4,0)),(AV1041*O1041)*(1-$H1041/100),""),"")</f>
        <v/>
      </c>
      <c r="AZ1041" s="116"/>
      <c r="BA1041" s="116"/>
      <c r="BB1041" s="116"/>
      <c r="BE1041" s="62"/>
      <c r="BF1041" s="63"/>
    </row>
    <row r="1042" spans="1:58" ht="12.75" customHeight="1" x14ac:dyDescent="0.25">
      <c r="A1042" s="313"/>
      <c r="B1042" s="328"/>
      <c r="C1042" s="329"/>
      <c r="D1042" s="328"/>
      <c r="E1042" s="330"/>
      <c r="F1042" s="328"/>
      <c r="G1042" s="329"/>
      <c r="H1042" s="329"/>
      <c r="I1042" s="328"/>
      <c r="J1042" s="383"/>
      <c r="K1042" s="329"/>
      <c r="L1042" s="329"/>
      <c r="M1042" s="76"/>
      <c r="N1042" s="103" t="str">
        <f>IF(A1042="","",VLOOKUP(A1042,Stand!C:K,9,0))</f>
        <v/>
      </c>
      <c r="O1042" s="104" t="str">
        <f t="shared" si="470"/>
        <v/>
      </c>
      <c r="P1042" s="105" t="str">
        <f t="shared" si="471"/>
        <v/>
      </c>
      <c r="Q1042" s="105" t="str">
        <f t="shared" si="459"/>
        <v/>
      </c>
      <c r="R1042" s="103" t="str">
        <f t="shared" si="472"/>
        <v/>
      </c>
      <c r="S1042" s="103" t="str">
        <f t="shared" si="473"/>
        <v/>
      </c>
      <c r="T1042" s="106" t="str">
        <f t="shared" si="460"/>
        <v/>
      </c>
      <c r="U1042" s="106" t="str">
        <f t="shared" si="461"/>
        <v/>
      </c>
      <c r="V1042" s="106" t="str">
        <f t="shared" si="462"/>
        <v/>
      </c>
      <c r="W1042" s="105" t="str">
        <f t="shared" si="474"/>
        <v/>
      </c>
      <c r="X1042" s="104" t="str">
        <f t="shared" si="479"/>
        <v/>
      </c>
      <c r="Y1042" s="104" t="str">
        <f t="array" ref="Y1042">IFERROR(IF(ISNUMBER(O1042),IF(COUNT(IF(A1042=$A$2:$A$2427,IF(D1042=$D$2:$D$2427,IF($X$2:$X$2427&gt;0,1))))&gt;0,SUM(IF(A1042=$A$2:$A$2427,IF(D1042=$D$2:$D$2427,$X$2:$X$2427)))/COUNT(IF(A1042=$A$2:$A$2427,IF(D1042=$D$2:$D$2427,IF(ISNUMBER($X$2:$X$2427),1)))),0),""),0)</f>
        <v/>
      </c>
      <c r="Z1042" s="104" t="str">
        <f>IF(ISNUMBER(O1042),IF(I1042&gt;0,(10^(VLOOKUP(D1042,'Species Codes'!B:C,2,0)+VLOOKUP(D1042,'Species Codes'!B:D,3,0)*LOG(E1042)+VLOOKUP(D1042,'Species Codes'!B:E,4,0)*LOG(I1042))),0),"")</f>
        <v/>
      </c>
      <c r="AA1042" s="104" t="str">
        <f>IFERROR((VLOOKUP(D1042,'Species Codes'!B:G,6,0)*Z1042)/2000,"")</f>
        <v/>
      </c>
      <c r="AB1042" s="104" t="e">
        <f>IF(Z1042&gt;0,((IF(OR(D1042="DF",D1042="RA")=TRUE,EXP(VLOOKUP(D1042,'Species Codes'!B:I,8,0)+VLOOKUP(D1042,'Species Codes'!B:J,9,0)*(LN((E1042*2.54)))),IF(OR(D1042="PY",D1042="RC",D1042="WH",D1042="NF")=TRUE,VLOOKUP(D1042,'Species Codes'!B:I,8,0)+VLOOKUP(D1042,'Species Codes'!B:J,9,0)*((E1042*2.54)^2)*(I1042*0.3048),IF(OR(D1042="MD",D1042="BM",D1042="GA")=TRUE,((VLOOKUP(D1042,'Species Codes'!B:I,8,0)*(((((E1042*2.54)+VLOOKUP(D1042,'Species Codes'!B:J,9,0))/VLOOKUP(D1042,'Species Codes'!B:K,10,0))^VLOOKUP(D1042,'Species Codes'!B:L,11,0))*((I1042*0.3048)^VLOOKUP(D1042,'Species Codes'!B:M,12,0))))-(VLOOKUP(D1042,'Species Codes'!B:I,8,0)*((((E1042*2.54)^VLOOKUP(D1042,'Species Codes'!B:L,11,0))*((I1042*0.3048)^VLOOKUP(D1042,'Species Codes'!B:M,12,0))))))*35.3*VLOOKUP(D1042,'Species Codes'!B:G,6,0)/2.2046,VLOOKUP(D1042,'Species Codes'!B:I,8,0)+VLOOKUP(D1042,'Species Codes'!B:J,9,0)*(((E1042*2.54)/100)^2)*(I1042*0.3048)))))*0.0011023),0)</f>
        <v>#N/A</v>
      </c>
      <c r="AC1042" s="104" t="e">
        <f>IF(Z1042&gt;0,((IF(OR(D1042="RA",D1042="OA",D1042="OT",D1042="UN",D1042="PC"),EXP(VLOOKUP(D1042,'Species Codes'!B:O,14,0)+VLOOKUP(D1042,'Species Codes'!B:P,15,0)*LN((E1042*2.54)))-EXP(VLOOKUP(D1042,'Species Codes'!B:O,14,0)+VLOOKUP(D1042,'Species Codes'!B:P,15,0)*LN((E1042*2.54)))*(1/(VLOOKUP(D1042,'Species Codes'!B:Q,16,0)+VLOOKUP(D1042,'Species Codes'!B:R,17,0)*((E1042*2.54)^VLOOKUP(D1042,'Species Codes'!B:S,18,0)))),IF(OR(D1042="BM",D1042="MD",D1042="OA"),EXP(VLOOKUP(D1042,'Species Codes'!B:O,14,0)+VLOOKUP(D1042,'Species Codes'!B:P,15,0)*LN((E1042*2.54)))*(1-(1/(VLOOKUP(D1042,'Species Codes'!B:Q,16,0)+VLOOKUP(D1042,'Species Codes'!B:R,17,0)*((E1042*2.54)^VLOOKUP(D1042,'Species Codes'!B:S,18,0)))))/1000,IF(D1042="DF",EXP(VLOOKUP(D1042,'Species Codes'!B:O,14,0)+VLOOKUP(D1042,'Species Codes'!B:P,15,0)*LN((E1042*2.54))),VLOOKUP(D1042,'Species Codes'!B:O,14,0)+VLOOKUP(D1042,'Species Codes'!B:P,15,0)*(((E1042*2.54)/100)^2)*(I1042*0.3048)))))*0.0011023),0)</f>
        <v>#N/A</v>
      </c>
      <c r="AD1042" s="104" t="e">
        <f t="shared" si="463"/>
        <v>#N/A</v>
      </c>
      <c r="AE1042" s="104" t="e">
        <f t="shared" si="464"/>
        <v>#N/A</v>
      </c>
      <c r="AF1042" s="104" t="e">
        <f>IF(AND(VLOOKUP($D1042,Merchantability!$B:$C,2,0)="Yes",$E1042&gt;=VLOOKUP($D1042,Merchantability!$B:$D,3,0),$E1042&lt;=VLOOKUP($D1042,Merchantability!$B:$E,4,0)),AA1042,0)</f>
        <v>#N/A</v>
      </c>
      <c r="AG1042" s="104" t="e">
        <f>IF(AND(VLOOKUP($D1042,Merchantability!$B:$C,2,0)="Yes",$E1042&gt;=VLOOKUP($D1042,Merchantability!$B:$D,3,0),$E1042&lt;=VLOOKUP($D1042,Merchantability!$B:$E,4,0)),AB1042,0)</f>
        <v>#N/A</v>
      </c>
      <c r="AH1042" s="104" t="e">
        <f>IF(AND(VLOOKUP($D1042,Merchantability!$B:$C,2,0)="Yes",$E1042&gt;=VLOOKUP($D1042,Merchantability!$B:$D,3,0),$E1042&lt;=VLOOKUP($D1042,Merchantability!$B:$E,4,0)),AC1042,0)</f>
        <v>#N/A</v>
      </c>
      <c r="AI1042" s="104" t="e">
        <f t="shared" si="465"/>
        <v>#N/A</v>
      </c>
      <c r="AJ1042" s="104" t="e">
        <f t="shared" si="466"/>
        <v>#VALUE!</v>
      </c>
      <c r="AK1042" s="104" t="e">
        <f t="shared" si="467"/>
        <v>#N/A</v>
      </c>
      <c r="AL1042" s="104" t="e">
        <f t="shared" si="468"/>
        <v>#N/A</v>
      </c>
      <c r="AM1042" s="104" t="e">
        <f t="shared" si="469"/>
        <v>#N/A</v>
      </c>
      <c r="AN1042" s="104" t="e">
        <f t="shared" si="480"/>
        <v>#N/A</v>
      </c>
      <c r="AO1042" s="104" t="e">
        <f t="shared" si="481"/>
        <v>#N/A</v>
      </c>
      <c r="AP1042" s="104" t="e">
        <f t="shared" si="482"/>
        <v>#N/A</v>
      </c>
      <c r="AQ1042" s="104" t="e">
        <f t="shared" si="483"/>
        <v>#N/A</v>
      </c>
      <c r="AR1042" s="105" t="str">
        <f t="shared" si="475"/>
        <v/>
      </c>
      <c r="AS1042" s="105" t="str">
        <f t="shared" si="476"/>
        <v/>
      </c>
      <c r="AT1042" s="108" t="str">
        <f t="shared" si="477"/>
        <v/>
      </c>
      <c r="AU1042" s="108" t="str">
        <f t="shared" si="478"/>
        <v/>
      </c>
      <c r="AV1042" s="107" t="str">
        <f>IF(ISNUMBER(O1042),IF(VLOOKUP($A1042,Stand!C:J,8,FALSE)="Short",AT1042,AU1042),"")</f>
        <v/>
      </c>
      <c r="AW1042" s="109" t="str">
        <f t="shared" si="484"/>
        <v/>
      </c>
      <c r="AX1042" s="109" t="str">
        <f t="shared" si="485"/>
        <v/>
      </c>
      <c r="AY1042" s="112" t="str">
        <f>IF(ISNUMBER(O1042),IF(AND(VLOOKUP($D1042,Merchantability!$B:$C,2,0)="Yes",$E1042&gt;=VLOOKUP($D1042,Merchantability!$B:$D,3,0),$E1042&lt;=VLOOKUP($D1042,Merchantability!$B:$E,4,0)),(AV1042*O1042)*(1-$H1042/100),""),"")</f>
        <v/>
      </c>
      <c r="AZ1042" s="116"/>
      <c r="BA1042" s="116"/>
      <c r="BB1042" s="116"/>
      <c r="BE1042" s="62"/>
      <c r="BF1042" s="63"/>
    </row>
    <row r="1043" spans="1:58" ht="12.75" customHeight="1" x14ac:dyDescent="0.25">
      <c r="A1043" s="313"/>
      <c r="B1043" s="328"/>
      <c r="C1043" s="329"/>
      <c r="D1043" s="328"/>
      <c r="E1043" s="330"/>
      <c r="F1043" s="328"/>
      <c r="G1043" s="329"/>
      <c r="H1043" s="329"/>
      <c r="I1043" s="328"/>
      <c r="J1043" s="383"/>
      <c r="K1043" s="329"/>
      <c r="L1043" s="329"/>
      <c r="M1043" s="76"/>
      <c r="N1043" s="103" t="str">
        <f>IF(A1043="","",VLOOKUP(A1043,Stand!C:K,9,0))</f>
        <v/>
      </c>
      <c r="O1043" s="104" t="str">
        <f t="shared" si="470"/>
        <v/>
      </c>
      <c r="P1043" s="105" t="str">
        <f t="shared" si="471"/>
        <v/>
      </c>
      <c r="Q1043" s="105" t="str">
        <f t="shared" si="459"/>
        <v/>
      </c>
      <c r="R1043" s="103" t="str">
        <f t="shared" si="472"/>
        <v/>
      </c>
      <c r="S1043" s="103" t="str">
        <f t="shared" si="473"/>
        <v/>
      </c>
      <c r="T1043" s="106" t="str">
        <f t="shared" si="460"/>
        <v/>
      </c>
      <c r="U1043" s="106" t="str">
        <f t="shared" si="461"/>
        <v/>
      </c>
      <c r="V1043" s="106" t="str">
        <f t="shared" si="462"/>
        <v/>
      </c>
      <c r="W1043" s="105" t="str">
        <f t="shared" si="474"/>
        <v/>
      </c>
      <c r="X1043" s="104" t="str">
        <f t="shared" si="479"/>
        <v/>
      </c>
      <c r="Y1043" s="104" t="str">
        <f t="array" ref="Y1043">IFERROR(IF(ISNUMBER(O1043),IF(COUNT(IF(A1043=$A$2:$A$2427,IF(D1043=$D$2:$D$2427,IF($X$2:$X$2427&gt;0,1))))&gt;0,SUM(IF(A1043=$A$2:$A$2427,IF(D1043=$D$2:$D$2427,$X$2:$X$2427)))/COUNT(IF(A1043=$A$2:$A$2427,IF(D1043=$D$2:$D$2427,IF(ISNUMBER($X$2:$X$2427),1)))),0),""),0)</f>
        <v/>
      </c>
      <c r="Z1043" s="104" t="str">
        <f>IF(ISNUMBER(O1043),IF(I1043&gt;0,(10^(VLOOKUP(D1043,'Species Codes'!B:C,2,0)+VLOOKUP(D1043,'Species Codes'!B:D,3,0)*LOG(E1043)+VLOOKUP(D1043,'Species Codes'!B:E,4,0)*LOG(I1043))),0),"")</f>
        <v/>
      </c>
      <c r="AA1043" s="104" t="str">
        <f>IFERROR((VLOOKUP(D1043,'Species Codes'!B:G,6,0)*Z1043)/2000,"")</f>
        <v/>
      </c>
      <c r="AB1043" s="104" t="e">
        <f>IF(Z1043&gt;0,((IF(OR(D1043="DF",D1043="RA")=TRUE,EXP(VLOOKUP(D1043,'Species Codes'!B:I,8,0)+VLOOKUP(D1043,'Species Codes'!B:J,9,0)*(LN((E1043*2.54)))),IF(OR(D1043="PY",D1043="RC",D1043="WH",D1043="NF")=TRUE,VLOOKUP(D1043,'Species Codes'!B:I,8,0)+VLOOKUP(D1043,'Species Codes'!B:J,9,0)*((E1043*2.54)^2)*(I1043*0.3048),IF(OR(D1043="MD",D1043="BM",D1043="GA")=TRUE,((VLOOKUP(D1043,'Species Codes'!B:I,8,0)*(((((E1043*2.54)+VLOOKUP(D1043,'Species Codes'!B:J,9,0))/VLOOKUP(D1043,'Species Codes'!B:K,10,0))^VLOOKUP(D1043,'Species Codes'!B:L,11,0))*((I1043*0.3048)^VLOOKUP(D1043,'Species Codes'!B:M,12,0))))-(VLOOKUP(D1043,'Species Codes'!B:I,8,0)*((((E1043*2.54)^VLOOKUP(D1043,'Species Codes'!B:L,11,0))*((I1043*0.3048)^VLOOKUP(D1043,'Species Codes'!B:M,12,0))))))*35.3*VLOOKUP(D1043,'Species Codes'!B:G,6,0)/2.2046,VLOOKUP(D1043,'Species Codes'!B:I,8,0)+VLOOKUP(D1043,'Species Codes'!B:J,9,0)*(((E1043*2.54)/100)^2)*(I1043*0.3048)))))*0.0011023),0)</f>
        <v>#N/A</v>
      </c>
      <c r="AC1043" s="104" t="e">
        <f>IF(Z1043&gt;0,((IF(OR(D1043="RA",D1043="OA",D1043="OT",D1043="UN",D1043="PC"),EXP(VLOOKUP(D1043,'Species Codes'!B:O,14,0)+VLOOKUP(D1043,'Species Codes'!B:P,15,0)*LN((E1043*2.54)))-EXP(VLOOKUP(D1043,'Species Codes'!B:O,14,0)+VLOOKUP(D1043,'Species Codes'!B:P,15,0)*LN((E1043*2.54)))*(1/(VLOOKUP(D1043,'Species Codes'!B:Q,16,0)+VLOOKUP(D1043,'Species Codes'!B:R,17,0)*((E1043*2.54)^VLOOKUP(D1043,'Species Codes'!B:S,18,0)))),IF(OR(D1043="BM",D1043="MD",D1043="OA"),EXP(VLOOKUP(D1043,'Species Codes'!B:O,14,0)+VLOOKUP(D1043,'Species Codes'!B:P,15,0)*LN((E1043*2.54)))*(1-(1/(VLOOKUP(D1043,'Species Codes'!B:Q,16,0)+VLOOKUP(D1043,'Species Codes'!B:R,17,0)*((E1043*2.54)^VLOOKUP(D1043,'Species Codes'!B:S,18,0)))))/1000,IF(D1043="DF",EXP(VLOOKUP(D1043,'Species Codes'!B:O,14,0)+VLOOKUP(D1043,'Species Codes'!B:P,15,0)*LN((E1043*2.54))),VLOOKUP(D1043,'Species Codes'!B:O,14,0)+VLOOKUP(D1043,'Species Codes'!B:P,15,0)*(((E1043*2.54)/100)^2)*(I1043*0.3048)))))*0.0011023),0)</f>
        <v>#N/A</v>
      </c>
      <c r="AD1043" s="104" t="e">
        <f t="shared" si="463"/>
        <v>#N/A</v>
      </c>
      <c r="AE1043" s="104" t="e">
        <f t="shared" si="464"/>
        <v>#N/A</v>
      </c>
      <c r="AF1043" s="104" t="e">
        <f>IF(AND(VLOOKUP($D1043,Merchantability!$B:$C,2,0)="Yes",$E1043&gt;=VLOOKUP($D1043,Merchantability!$B:$D,3,0),$E1043&lt;=VLOOKUP($D1043,Merchantability!$B:$E,4,0)),AA1043,0)</f>
        <v>#N/A</v>
      </c>
      <c r="AG1043" s="104" t="e">
        <f>IF(AND(VLOOKUP($D1043,Merchantability!$B:$C,2,0)="Yes",$E1043&gt;=VLOOKUP($D1043,Merchantability!$B:$D,3,0),$E1043&lt;=VLOOKUP($D1043,Merchantability!$B:$E,4,0)),AB1043,0)</f>
        <v>#N/A</v>
      </c>
      <c r="AH1043" s="104" t="e">
        <f>IF(AND(VLOOKUP($D1043,Merchantability!$B:$C,2,0)="Yes",$E1043&gt;=VLOOKUP($D1043,Merchantability!$B:$D,3,0),$E1043&lt;=VLOOKUP($D1043,Merchantability!$B:$E,4,0)),AC1043,0)</f>
        <v>#N/A</v>
      </c>
      <c r="AI1043" s="104" t="e">
        <f t="shared" si="465"/>
        <v>#N/A</v>
      </c>
      <c r="AJ1043" s="104" t="e">
        <f t="shared" si="466"/>
        <v>#VALUE!</v>
      </c>
      <c r="AK1043" s="104" t="e">
        <f t="shared" si="467"/>
        <v>#N/A</v>
      </c>
      <c r="AL1043" s="104" t="e">
        <f t="shared" si="468"/>
        <v>#N/A</v>
      </c>
      <c r="AM1043" s="104" t="e">
        <f t="shared" si="469"/>
        <v>#N/A</v>
      </c>
      <c r="AN1043" s="104" t="e">
        <f t="shared" si="480"/>
        <v>#N/A</v>
      </c>
      <c r="AO1043" s="104" t="e">
        <f t="shared" si="481"/>
        <v>#N/A</v>
      </c>
      <c r="AP1043" s="104" t="e">
        <f t="shared" si="482"/>
        <v>#N/A</v>
      </c>
      <c r="AQ1043" s="104" t="e">
        <f t="shared" si="483"/>
        <v>#N/A</v>
      </c>
      <c r="AR1043" s="105" t="str">
        <f t="shared" si="475"/>
        <v/>
      </c>
      <c r="AS1043" s="105" t="str">
        <f t="shared" si="476"/>
        <v/>
      </c>
      <c r="AT1043" s="108" t="str">
        <f t="shared" si="477"/>
        <v/>
      </c>
      <c r="AU1043" s="108" t="str">
        <f t="shared" si="478"/>
        <v/>
      </c>
      <c r="AV1043" s="107" t="str">
        <f>IF(ISNUMBER(O1043),IF(VLOOKUP($A1043,Stand!C:J,8,FALSE)="Short",AT1043,AU1043),"")</f>
        <v/>
      </c>
      <c r="AW1043" s="109" t="str">
        <f t="shared" si="484"/>
        <v/>
      </c>
      <c r="AX1043" s="109" t="str">
        <f t="shared" si="485"/>
        <v/>
      </c>
      <c r="AY1043" s="112" t="str">
        <f>IF(ISNUMBER(O1043),IF(AND(VLOOKUP($D1043,Merchantability!$B:$C,2,0)="Yes",$E1043&gt;=VLOOKUP($D1043,Merchantability!$B:$D,3,0),$E1043&lt;=VLOOKUP($D1043,Merchantability!$B:$E,4,0)),(AV1043*O1043)*(1-$H1043/100),""),"")</f>
        <v/>
      </c>
      <c r="AZ1043" s="116"/>
      <c r="BA1043" s="116"/>
      <c r="BB1043" s="116"/>
      <c r="BE1043" s="62"/>
      <c r="BF1043" s="63"/>
    </row>
    <row r="1044" spans="1:58" ht="12.75" customHeight="1" x14ac:dyDescent="0.25">
      <c r="A1044" s="313"/>
      <c r="B1044" s="328"/>
      <c r="C1044" s="329"/>
      <c r="D1044" s="328"/>
      <c r="E1044" s="330"/>
      <c r="F1044" s="328"/>
      <c r="G1044" s="329"/>
      <c r="H1044" s="329"/>
      <c r="I1044" s="328"/>
      <c r="J1044" s="383"/>
      <c r="K1044" s="329"/>
      <c r="L1044" s="329"/>
      <c r="M1044" s="76"/>
      <c r="N1044" s="103" t="str">
        <f>IF(A1044="","",VLOOKUP(A1044,Stand!C:K,9,0))</f>
        <v/>
      </c>
      <c r="O1044" s="104" t="str">
        <f t="shared" si="470"/>
        <v/>
      </c>
      <c r="P1044" s="105" t="str">
        <f t="shared" si="471"/>
        <v/>
      </c>
      <c r="Q1044" s="105" t="str">
        <f t="shared" si="459"/>
        <v/>
      </c>
      <c r="R1044" s="103" t="str">
        <f t="shared" si="472"/>
        <v/>
      </c>
      <c r="S1044" s="103" t="str">
        <f t="shared" si="473"/>
        <v/>
      </c>
      <c r="T1044" s="106" t="str">
        <f t="shared" si="460"/>
        <v/>
      </c>
      <c r="U1044" s="106" t="str">
        <f t="shared" si="461"/>
        <v/>
      </c>
      <c r="V1044" s="106" t="str">
        <f t="shared" si="462"/>
        <v/>
      </c>
      <c r="W1044" s="105" t="str">
        <f t="shared" si="474"/>
        <v/>
      </c>
      <c r="X1044" s="104" t="str">
        <f t="shared" si="479"/>
        <v/>
      </c>
      <c r="Y1044" s="104" t="str">
        <f t="array" ref="Y1044">IFERROR(IF(ISNUMBER(O1044),IF(COUNT(IF(A1044=$A$2:$A$2427,IF(D1044=$D$2:$D$2427,IF($X$2:$X$2427&gt;0,1))))&gt;0,SUM(IF(A1044=$A$2:$A$2427,IF(D1044=$D$2:$D$2427,$X$2:$X$2427)))/COUNT(IF(A1044=$A$2:$A$2427,IF(D1044=$D$2:$D$2427,IF(ISNUMBER($X$2:$X$2427),1)))),0),""),0)</f>
        <v/>
      </c>
      <c r="Z1044" s="104" t="str">
        <f>IF(ISNUMBER(O1044),IF(I1044&gt;0,(10^(VLOOKUP(D1044,'Species Codes'!B:C,2,0)+VLOOKUP(D1044,'Species Codes'!B:D,3,0)*LOG(E1044)+VLOOKUP(D1044,'Species Codes'!B:E,4,0)*LOG(I1044))),0),"")</f>
        <v/>
      </c>
      <c r="AA1044" s="104" t="str">
        <f>IFERROR((VLOOKUP(D1044,'Species Codes'!B:G,6,0)*Z1044)/2000,"")</f>
        <v/>
      </c>
      <c r="AB1044" s="104" t="e">
        <f>IF(Z1044&gt;0,((IF(OR(D1044="DF",D1044="RA")=TRUE,EXP(VLOOKUP(D1044,'Species Codes'!B:I,8,0)+VLOOKUP(D1044,'Species Codes'!B:J,9,0)*(LN((E1044*2.54)))),IF(OR(D1044="PY",D1044="RC",D1044="WH",D1044="NF")=TRUE,VLOOKUP(D1044,'Species Codes'!B:I,8,0)+VLOOKUP(D1044,'Species Codes'!B:J,9,0)*((E1044*2.54)^2)*(I1044*0.3048),IF(OR(D1044="MD",D1044="BM",D1044="GA")=TRUE,((VLOOKUP(D1044,'Species Codes'!B:I,8,0)*(((((E1044*2.54)+VLOOKUP(D1044,'Species Codes'!B:J,9,0))/VLOOKUP(D1044,'Species Codes'!B:K,10,0))^VLOOKUP(D1044,'Species Codes'!B:L,11,0))*((I1044*0.3048)^VLOOKUP(D1044,'Species Codes'!B:M,12,0))))-(VLOOKUP(D1044,'Species Codes'!B:I,8,0)*((((E1044*2.54)^VLOOKUP(D1044,'Species Codes'!B:L,11,0))*((I1044*0.3048)^VLOOKUP(D1044,'Species Codes'!B:M,12,0))))))*35.3*VLOOKUP(D1044,'Species Codes'!B:G,6,0)/2.2046,VLOOKUP(D1044,'Species Codes'!B:I,8,0)+VLOOKUP(D1044,'Species Codes'!B:J,9,0)*(((E1044*2.54)/100)^2)*(I1044*0.3048)))))*0.0011023),0)</f>
        <v>#N/A</v>
      </c>
      <c r="AC1044" s="104" t="e">
        <f>IF(Z1044&gt;0,((IF(OR(D1044="RA",D1044="OA",D1044="OT",D1044="UN",D1044="PC"),EXP(VLOOKUP(D1044,'Species Codes'!B:O,14,0)+VLOOKUP(D1044,'Species Codes'!B:P,15,0)*LN((E1044*2.54)))-EXP(VLOOKUP(D1044,'Species Codes'!B:O,14,0)+VLOOKUP(D1044,'Species Codes'!B:P,15,0)*LN((E1044*2.54)))*(1/(VLOOKUP(D1044,'Species Codes'!B:Q,16,0)+VLOOKUP(D1044,'Species Codes'!B:R,17,0)*((E1044*2.54)^VLOOKUP(D1044,'Species Codes'!B:S,18,0)))),IF(OR(D1044="BM",D1044="MD",D1044="OA"),EXP(VLOOKUP(D1044,'Species Codes'!B:O,14,0)+VLOOKUP(D1044,'Species Codes'!B:P,15,0)*LN((E1044*2.54)))*(1-(1/(VLOOKUP(D1044,'Species Codes'!B:Q,16,0)+VLOOKUP(D1044,'Species Codes'!B:R,17,0)*((E1044*2.54)^VLOOKUP(D1044,'Species Codes'!B:S,18,0)))))/1000,IF(D1044="DF",EXP(VLOOKUP(D1044,'Species Codes'!B:O,14,0)+VLOOKUP(D1044,'Species Codes'!B:P,15,0)*LN((E1044*2.54))),VLOOKUP(D1044,'Species Codes'!B:O,14,0)+VLOOKUP(D1044,'Species Codes'!B:P,15,0)*(((E1044*2.54)/100)^2)*(I1044*0.3048)))))*0.0011023),0)</f>
        <v>#N/A</v>
      </c>
      <c r="AD1044" s="104" t="e">
        <f t="shared" si="463"/>
        <v>#N/A</v>
      </c>
      <c r="AE1044" s="104" t="e">
        <f t="shared" si="464"/>
        <v>#N/A</v>
      </c>
      <c r="AF1044" s="104" t="e">
        <f>IF(AND(VLOOKUP($D1044,Merchantability!$B:$C,2,0)="Yes",$E1044&gt;=VLOOKUP($D1044,Merchantability!$B:$D,3,0),$E1044&lt;=VLOOKUP($D1044,Merchantability!$B:$E,4,0)),AA1044,0)</f>
        <v>#N/A</v>
      </c>
      <c r="AG1044" s="104" t="e">
        <f>IF(AND(VLOOKUP($D1044,Merchantability!$B:$C,2,0)="Yes",$E1044&gt;=VLOOKUP($D1044,Merchantability!$B:$D,3,0),$E1044&lt;=VLOOKUP($D1044,Merchantability!$B:$E,4,0)),AB1044,0)</f>
        <v>#N/A</v>
      </c>
      <c r="AH1044" s="104" t="e">
        <f>IF(AND(VLOOKUP($D1044,Merchantability!$B:$C,2,0)="Yes",$E1044&gt;=VLOOKUP($D1044,Merchantability!$B:$D,3,0),$E1044&lt;=VLOOKUP($D1044,Merchantability!$B:$E,4,0)),AC1044,0)</f>
        <v>#N/A</v>
      </c>
      <c r="AI1044" s="104" t="e">
        <f t="shared" si="465"/>
        <v>#N/A</v>
      </c>
      <c r="AJ1044" s="104" t="e">
        <f t="shared" si="466"/>
        <v>#VALUE!</v>
      </c>
      <c r="AK1044" s="104" t="e">
        <f t="shared" si="467"/>
        <v>#N/A</v>
      </c>
      <c r="AL1044" s="104" t="e">
        <f t="shared" si="468"/>
        <v>#N/A</v>
      </c>
      <c r="AM1044" s="104" t="e">
        <f t="shared" si="469"/>
        <v>#N/A</v>
      </c>
      <c r="AN1044" s="104" t="e">
        <f t="shared" si="480"/>
        <v>#N/A</v>
      </c>
      <c r="AO1044" s="104" t="e">
        <f t="shared" si="481"/>
        <v>#N/A</v>
      </c>
      <c r="AP1044" s="104" t="e">
        <f t="shared" si="482"/>
        <v>#N/A</v>
      </c>
      <c r="AQ1044" s="104" t="e">
        <f t="shared" si="483"/>
        <v>#N/A</v>
      </c>
      <c r="AR1044" s="105" t="str">
        <f t="shared" si="475"/>
        <v/>
      </c>
      <c r="AS1044" s="105" t="str">
        <f t="shared" si="476"/>
        <v/>
      </c>
      <c r="AT1044" s="108" t="str">
        <f t="shared" si="477"/>
        <v/>
      </c>
      <c r="AU1044" s="108" t="str">
        <f t="shared" si="478"/>
        <v/>
      </c>
      <c r="AV1044" s="107" t="str">
        <f>IF(ISNUMBER(O1044),IF(VLOOKUP($A1044,Stand!C:J,8,FALSE)="Short",AT1044,AU1044),"")</f>
        <v/>
      </c>
      <c r="AW1044" s="109" t="str">
        <f t="shared" si="484"/>
        <v/>
      </c>
      <c r="AX1044" s="109" t="str">
        <f t="shared" si="485"/>
        <v/>
      </c>
      <c r="AY1044" s="112" t="str">
        <f>IF(ISNUMBER(O1044),IF(AND(VLOOKUP($D1044,Merchantability!$B:$C,2,0)="Yes",$E1044&gt;=VLOOKUP($D1044,Merchantability!$B:$D,3,0),$E1044&lt;=VLOOKUP($D1044,Merchantability!$B:$E,4,0)),(AV1044*O1044)*(1-$H1044/100),""),"")</f>
        <v/>
      </c>
      <c r="AZ1044" s="116"/>
      <c r="BA1044" s="116"/>
      <c r="BB1044" s="116"/>
      <c r="BE1044" s="62"/>
      <c r="BF1044" s="63"/>
    </row>
    <row r="1045" spans="1:58" ht="12.75" customHeight="1" x14ac:dyDescent="0.25">
      <c r="A1045" s="313"/>
      <c r="B1045" s="328"/>
      <c r="C1045" s="329"/>
      <c r="D1045" s="328"/>
      <c r="E1045" s="330"/>
      <c r="F1045" s="328"/>
      <c r="G1045" s="329"/>
      <c r="H1045" s="329"/>
      <c r="I1045" s="328"/>
      <c r="J1045" s="383"/>
      <c r="K1045" s="329"/>
      <c r="L1045" s="329"/>
      <c r="M1045" s="76"/>
      <c r="N1045" s="103" t="str">
        <f>IF(A1045="","",VLOOKUP(A1045,Stand!C:K,9,0))</f>
        <v/>
      </c>
      <c r="O1045" s="104" t="str">
        <f t="shared" si="470"/>
        <v/>
      </c>
      <c r="P1045" s="105" t="str">
        <f t="shared" si="471"/>
        <v/>
      </c>
      <c r="Q1045" s="105" t="str">
        <f t="shared" si="459"/>
        <v/>
      </c>
      <c r="R1045" s="103" t="str">
        <f t="shared" si="472"/>
        <v/>
      </c>
      <c r="S1045" s="103" t="str">
        <f t="shared" si="473"/>
        <v/>
      </c>
      <c r="T1045" s="106" t="str">
        <f t="shared" si="460"/>
        <v/>
      </c>
      <c r="U1045" s="106" t="str">
        <f t="shared" si="461"/>
        <v/>
      </c>
      <c r="V1045" s="106" t="str">
        <f t="shared" si="462"/>
        <v/>
      </c>
      <c r="W1045" s="105" t="str">
        <f t="shared" si="474"/>
        <v/>
      </c>
      <c r="X1045" s="104" t="str">
        <f t="shared" si="479"/>
        <v/>
      </c>
      <c r="Y1045" s="104" t="str">
        <f t="array" ref="Y1045">IFERROR(IF(ISNUMBER(O1045),IF(COUNT(IF(A1045=$A$2:$A$2427,IF(D1045=$D$2:$D$2427,IF($X$2:$X$2427&gt;0,1))))&gt;0,SUM(IF(A1045=$A$2:$A$2427,IF(D1045=$D$2:$D$2427,$X$2:$X$2427)))/COUNT(IF(A1045=$A$2:$A$2427,IF(D1045=$D$2:$D$2427,IF(ISNUMBER($X$2:$X$2427),1)))),0),""),0)</f>
        <v/>
      </c>
      <c r="Z1045" s="104" t="str">
        <f>IF(ISNUMBER(O1045),IF(I1045&gt;0,(10^(VLOOKUP(D1045,'Species Codes'!B:C,2,0)+VLOOKUP(D1045,'Species Codes'!B:D,3,0)*LOG(E1045)+VLOOKUP(D1045,'Species Codes'!B:E,4,0)*LOG(I1045))),0),"")</f>
        <v/>
      </c>
      <c r="AA1045" s="104" t="str">
        <f>IFERROR((VLOOKUP(D1045,'Species Codes'!B:G,6,0)*Z1045)/2000,"")</f>
        <v/>
      </c>
      <c r="AB1045" s="104" t="e">
        <f>IF(Z1045&gt;0,((IF(OR(D1045="DF",D1045="RA")=TRUE,EXP(VLOOKUP(D1045,'Species Codes'!B:I,8,0)+VLOOKUP(D1045,'Species Codes'!B:J,9,0)*(LN((E1045*2.54)))),IF(OR(D1045="PY",D1045="RC",D1045="WH",D1045="NF")=TRUE,VLOOKUP(D1045,'Species Codes'!B:I,8,0)+VLOOKUP(D1045,'Species Codes'!B:J,9,0)*((E1045*2.54)^2)*(I1045*0.3048),IF(OR(D1045="MD",D1045="BM",D1045="GA")=TRUE,((VLOOKUP(D1045,'Species Codes'!B:I,8,0)*(((((E1045*2.54)+VLOOKUP(D1045,'Species Codes'!B:J,9,0))/VLOOKUP(D1045,'Species Codes'!B:K,10,0))^VLOOKUP(D1045,'Species Codes'!B:L,11,0))*((I1045*0.3048)^VLOOKUP(D1045,'Species Codes'!B:M,12,0))))-(VLOOKUP(D1045,'Species Codes'!B:I,8,0)*((((E1045*2.54)^VLOOKUP(D1045,'Species Codes'!B:L,11,0))*((I1045*0.3048)^VLOOKUP(D1045,'Species Codes'!B:M,12,0))))))*35.3*VLOOKUP(D1045,'Species Codes'!B:G,6,0)/2.2046,VLOOKUP(D1045,'Species Codes'!B:I,8,0)+VLOOKUP(D1045,'Species Codes'!B:J,9,0)*(((E1045*2.54)/100)^2)*(I1045*0.3048)))))*0.0011023),0)</f>
        <v>#N/A</v>
      </c>
      <c r="AC1045" s="104" t="e">
        <f>IF(Z1045&gt;0,((IF(OR(D1045="RA",D1045="OA",D1045="OT",D1045="UN",D1045="PC"),EXP(VLOOKUP(D1045,'Species Codes'!B:O,14,0)+VLOOKUP(D1045,'Species Codes'!B:P,15,0)*LN((E1045*2.54)))-EXP(VLOOKUP(D1045,'Species Codes'!B:O,14,0)+VLOOKUP(D1045,'Species Codes'!B:P,15,0)*LN((E1045*2.54)))*(1/(VLOOKUP(D1045,'Species Codes'!B:Q,16,0)+VLOOKUP(D1045,'Species Codes'!B:R,17,0)*((E1045*2.54)^VLOOKUP(D1045,'Species Codes'!B:S,18,0)))),IF(OR(D1045="BM",D1045="MD",D1045="OA"),EXP(VLOOKUP(D1045,'Species Codes'!B:O,14,0)+VLOOKUP(D1045,'Species Codes'!B:P,15,0)*LN((E1045*2.54)))*(1-(1/(VLOOKUP(D1045,'Species Codes'!B:Q,16,0)+VLOOKUP(D1045,'Species Codes'!B:R,17,0)*((E1045*2.54)^VLOOKUP(D1045,'Species Codes'!B:S,18,0)))))/1000,IF(D1045="DF",EXP(VLOOKUP(D1045,'Species Codes'!B:O,14,0)+VLOOKUP(D1045,'Species Codes'!B:P,15,0)*LN((E1045*2.54))),VLOOKUP(D1045,'Species Codes'!B:O,14,0)+VLOOKUP(D1045,'Species Codes'!B:P,15,0)*(((E1045*2.54)/100)^2)*(I1045*0.3048)))))*0.0011023),0)</f>
        <v>#N/A</v>
      </c>
      <c r="AD1045" s="104" t="e">
        <f t="shared" si="463"/>
        <v>#N/A</v>
      </c>
      <c r="AE1045" s="104" t="e">
        <f t="shared" si="464"/>
        <v>#N/A</v>
      </c>
      <c r="AF1045" s="104" t="e">
        <f>IF(AND(VLOOKUP($D1045,Merchantability!$B:$C,2,0)="Yes",$E1045&gt;=VLOOKUP($D1045,Merchantability!$B:$D,3,0),$E1045&lt;=VLOOKUP($D1045,Merchantability!$B:$E,4,0)),AA1045,0)</f>
        <v>#N/A</v>
      </c>
      <c r="AG1045" s="104" t="e">
        <f>IF(AND(VLOOKUP($D1045,Merchantability!$B:$C,2,0)="Yes",$E1045&gt;=VLOOKUP($D1045,Merchantability!$B:$D,3,0),$E1045&lt;=VLOOKUP($D1045,Merchantability!$B:$E,4,0)),AB1045,0)</f>
        <v>#N/A</v>
      </c>
      <c r="AH1045" s="104" t="e">
        <f>IF(AND(VLOOKUP($D1045,Merchantability!$B:$C,2,0)="Yes",$E1045&gt;=VLOOKUP($D1045,Merchantability!$B:$D,3,0),$E1045&lt;=VLOOKUP($D1045,Merchantability!$B:$E,4,0)),AC1045,0)</f>
        <v>#N/A</v>
      </c>
      <c r="AI1045" s="104" t="e">
        <f t="shared" si="465"/>
        <v>#N/A</v>
      </c>
      <c r="AJ1045" s="104" t="e">
        <f t="shared" si="466"/>
        <v>#VALUE!</v>
      </c>
      <c r="AK1045" s="104" t="e">
        <f t="shared" si="467"/>
        <v>#N/A</v>
      </c>
      <c r="AL1045" s="104" t="e">
        <f t="shared" si="468"/>
        <v>#N/A</v>
      </c>
      <c r="AM1045" s="104" t="e">
        <f t="shared" si="469"/>
        <v>#N/A</v>
      </c>
      <c r="AN1045" s="104" t="e">
        <f t="shared" si="480"/>
        <v>#N/A</v>
      </c>
      <c r="AO1045" s="104" t="e">
        <f t="shared" si="481"/>
        <v>#N/A</v>
      </c>
      <c r="AP1045" s="104" t="e">
        <f t="shared" si="482"/>
        <v>#N/A</v>
      </c>
      <c r="AQ1045" s="104" t="e">
        <f t="shared" si="483"/>
        <v>#N/A</v>
      </c>
      <c r="AR1045" s="105" t="str">
        <f t="shared" si="475"/>
        <v/>
      </c>
      <c r="AS1045" s="105" t="str">
        <f t="shared" si="476"/>
        <v/>
      </c>
      <c r="AT1045" s="108" t="str">
        <f t="shared" si="477"/>
        <v/>
      </c>
      <c r="AU1045" s="108" t="str">
        <f t="shared" si="478"/>
        <v/>
      </c>
      <c r="AV1045" s="107" t="str">
        <f>IF(ISNUMBER(O1045),IF(VLOOKUP($A1045,Stand!C:J,8,FALSE)="Short",AT1045,AU1045),"")</f>
        <v/>
      </c>
      <c r="AW1045" s="109" t="str">
        <f t="shared" si="484"/>
        <v/>
      </c>
      <c r="AX1045" s="109" t="str">
        <f t="shared" si="485"/>
        <v/>
      </c>
      <c r="AY1045" s="112" t="str">
        <f>IF(ISNUMBER(O1045),IF(AND(VLOOKUP($D1045,Merchantability!$B:$C,2,0)="Yes",$E1045&gt;=VLOOKUP($D1045,Merchantability!$B:$D,3,0),$E1045&lt;=VLOOKUP($D1045,Merchantability!$B:$E,4,0)),(AV1045*O1045)*(1-$H1045/100),""),"")</f>
        <v/>
      </c>
      <c r="AZ1045" s="116"/>
      <c r="BA1045" s="116"/>
      <c r="BB1045" s="116"/>
      <c r="BE1045" s="62"/>
      <c r="BF1045" s="63"/>
    </row>
    <row r="1046" spans="1:58" ht="12.75" customHeight="1" x14ac:dyDescent="0.25">
      <c r="A1046" s="313"/>
      <c r="B1046" s="328"/>
      <c r="C1046" s="329"/>
      <c r="D1046" s="328"/>
      <c r="E1046" s="330"/>
      <c r="F1046" s="328"/>
      <c r="G1046" s="329"/>
      <c r="H1046" s="329"/>
      <c r="I1046" s="328"/>
      <c r="J1046" s="383"/>
      <c r="K1046" s="329"/>
      <c r="L1046" s="329"/>
      <c r="M1046" s="76"/>
      <c r="N1046" s="103" t="str">
        <f>IF(A1046="","",VLOOKUP(A1046,Stand!C:K,9,0))</f>
        <v/>
      </c>
      <c r="O1046" s="104" t="str">
        <f t="shared" si="470"/>
        <v/>
      </c>
      <c r="P1046" s="105" t="str">
        <f t="shared" si="471"/>
        <v/>
      </c>
      <c r="Q1046" s="105" t="str">
        <f t="shared" si="459"/>
        <v/>
      </c>
      <c r="R1046" s="103" t="str">
        <f t="shared" si="472"/>
        <v/>
      </c>
      <c r="S1046" s="103" t="str">
        <f t="shared" si="473"/>
        <v/>
      </c>
      <c r="T1046" s="106" t="str">
        <f t="shared" si="460"/>
        <v/>
      </c>
      <c r="U1046" s="106" t="str">
        <f t="shared" si="461"/>
        <v/>
      </c>
      <c r="V1046" s="106" t="str">
        <f t="shared" si="462"/>
        <v/>
      </c>
      <c r="W1046" s="105" t="str">
        <f t="shared" si="474"/>
        <v/>
      </c>
      <c r="X1046" s="104" t="str">
        <f t="shared" si="479"/>
        <v/>
      </c>
      <c r="Y1046" s="104" t="str">
        <f t="array" ref="Y1046">IFERROR(IF(ISNUMBER(O1046),IF(COUNT(IF(A1046=$A$2:$A$2427,IF(D1046=$D$2:$D$2427,IF($X$2:$X$2427&gt;0,1))))&gt;0,SUM(IF(A1046=$A$2:$A$2427,IF(D1046=$D$2:$D$2427,$X$2:$X$2427)))/COUNT(IF(A1046=$A$2:$A$2427,IF(D1046=$D$2:$D$2427,IF(ISNUMBER($X$2:$X$2427),1)))),0),""),0)</f>
        <v/>
      </c>
      <c r="Z1046" s="104" t="str">
        <f>IF(ISNUMBER(O1046),IF(I1046&gt;0,(10^(VLOOKUP(D1046,'Species Codes'!B:C,2,0)+VLOOKUP(D1046,'Species Codes'!B:D,3,0)*LOG(E1046)+VLOOKUP(D1046,'Species Codes'!B:E,4,0)*LOG(I1046))),0),"")</f>
        <v/>
      </c>
      <c r="AA1046" s="104" t="str">
        <f>IFERROR((VLOOKUP(D1046,'Species Codes'!B:G,6,0)*Z1046)/2000,"")</f>
        <v/>
      </c>
      <c r="AB1046" s="104" t="e">
        <f>IF(Z1046&gt;0,((IF(OR(D1046="DF",D1046="RA")=TRUE,EXP(VLOOKUP(D1046,'Species Codes'!B:I,8,0)+VLOOKUP(D1046,'Species Codes'!B:J,9,0)*(LN((E1046*2.54)))),IF(OR(D1046="PY",D1046="RC",D1046="WH",D1046="NF")=TRUE,VLOOKUP(D1046,'Species Codes'!B:I,8,0)+VLOOKUP(D1046,'Species Codes'!B:J,9,0)*((E1046*2.54)^2)*(I1046*0.3048),IF(OR(D1046="MD",D1046="BM",D1046="GA")=TRUE,((VLOOKUP(D1046,'Species Codes'!B:I,8,0)*(((((E1046*2.54)+VLOOKUP(D1046,'Species Codes'!B:J,9,0))/VLOOKUP(D1046,'Species Codes'!B:K,10,0))^VLOOKUP(D1046,'Species Codes'!B:L,11,0))*((I1046*0.3048)^VLOOKUP(D1046,'Species Codes'!B:M,12,0))))-(VLOOKUP(D1046,'Species Codes'!B:I,8,0)*((((E1046*2.54)^VLOOKUP(D1046,'Species Codes'!B:L,11,0))*((I1046*0.3048)^VLOOKUP(D1046,'Species Codes'!B:M,12,0))))))*35.3*VLOOKUP(D1046,'Species Codes'!B:G,6,0)/2.2046,VLOOKUP(D1046,'Species Codes'!B:I,8,0)+VLOOKUP(D1046,'Species Codes'!B:J,9,0)*(((E1046*2.54)/100)^2)*(I1046*0.3048)))))*0.0011023),0)</f>
        <v>#N/A</v>
      </c>
      <c r="AC1046" s="104" t="e">
        <f>IF(Z1046&gt;0,((IF(OR(D1046="RA",D1046="OA",D1046="OT",D1046="UN",D1046="PC"),EXP(VLOOKUP(D1046,'Species Codes'!B:O,14,0)+VLOOKUP(D1046,'Species Codes'!B:P,15,0)*LN((E1046*2.54)))-EXP(VLOOKUP(D1046,'Species Codes'!B:O,14,0)+VLOOKUP(D1046,'Species Codes'!B:P,15,0)*LN((E1046*2.54)))*(1/(VLOOKUP(D1046,'Species Codes'!B:Q,16,0)+VLOOKUP(D1046,'Species Codes'!B:R,17,0)*((E1046*2.54)^VLOOKUP(D1046,'Species Codes'!B:S,18,0)))),IF(OR(D1046="BM",D1046="MD",D1046="OA"),EXP(VLOOKUP(D1046,'Species Codes'!B:O,14,0)+VLOOKUP(D1046,'Species Codes'!B:P,15,0)*LN((E1046*2.54)))*(1-(1/(VLOOKUP(D1046,'Species Codes'!B:Q,16,0)+VLOOKUP(D1046,'Species Codes'!B:R,17,0)*((E1046*2.54)^VLOOKUP(D1046,'Species Codes'!B:S,18,0)))))/1000,IF(D1046="DF",EXP(VLOOKUP(D1046,'Species Codes'!B:O,14,0)+VLOOKUP(D1046,'Species Codes'!B:P,15,0)*LN((E1046*2.54))),VLOOKUP(D1046,'Species Codes'!B:O,14,0)+VLOOKUP(D1046,'Species Codes'!B:P,15,0)*(((E1046*2.54)/100)^2)*(I1046*0.3048)))))*0.0011023),0)</f>
        <v>#N/A</v>
      </c>
      <c r="AD1046" s="104" t="e">
        <f t="shared" si="463"/>
        <v>#N/A</v>
      </c>
      <c r="AE1046" s="104" t="e">
        <f t="shared" si="464"/>
        <v>#N/A</v>
      </c>
      <c r="AF1046" s="104" t="e">
        <f>IF(AND(VLOOKUP($D1046,Merchantability!$B:$C,2,0)="Yes",$E1046&gt;=VLOOKUP($D1046,Merchantability!$B:$D,3,0),$E1046&lt;=VLOOKUP($D1046,Merchantability!$B:$E,4,0)),AA1046,0)</f>
        <v>#N/A</v>
      </c>
      <c r="AG1046" s="104" t="e">
        <f>IF(AND(VLOOKUP($D1046,Merchantability!$B:$C,2,0)="Yes",$E1046&gt;=VLOOKUP($D1046,Merchantability!$B:$D,3,0),$E1046&lt;=VLOOKUP($D1046,Merchantability!$B:$E,4,0)),AB1046,0)</f>
        <v>#N/A</v>
      </c>
      <c r="AH1046" s="104" t="e">
        <f>IF(AND(VLOOKUP($D1046,Merchantability!$B:$C,2,0)="Yes",$E1046&gt;=VLOOKUP($D1046,Merchantability!$B:$D,3,0),$E1046&lt;=VLOOKUP($D1046,Merchantability!$B:$E,4,0)),AC1046,0)</f>
        <v>#N/A</v>
      </c>
      <c r="AI1046" s="104" t="e">
        <f t="shared" si="465"/>
        <v>#N/A</v>
      </c>
      <c r="AJ1046" s="104" t="e">
        <f t="shared" si="466"/>
        <v>#VALUE!</v>
      </c>
      <c r="AK1046" s="104" t="e">
        <f t="shared" si="467"/>
        <v>#N/A</v>
      </c>
      <c r="AL1046" s="104" t="e">
        <f t="shared" si="468"/>
        <v>#N/A</v>
      </c>
      <c r="AM1046" s="104" t="e">
        <f t="shared" si="469"/>
        <v>#N/A</v>
      </c>
      <c r="AN1046" s="104" t="e">
        <f t="shared" si="480"/>
        <v>#N/A</v>
      </c>
      <c r="AO1046" s="104" t="e">
        <f t="shared" si="481"/>
        <v>#N/A</v>
      </c>
      <c r="AP1046" s="104" t="e">
        <f t="shared" si="482"/>
        <v>#N/A</v>
      </c>
      <c r="AQ1046" s="104" t="e">
        <f t="shared" si="483"/>
        <v>#N/A</v>
      </c>
      <c r="AR1046" s="105" t="str">
        <f t="shared" si="475"/>
        <v/>
      </c>
      <c r="AS1046" s="105" t="str">
        <f t="shared" si="476"/>
        <v/>
      </c>
      <c r="AT1046" s="108" t="str">
        <f t="shared" si="477"/>
        <v/>
      </c>
      <c r="AU1046" s="108" t="str">
        <f t="shared" si="478"/>
        <v/>
      </c>
      <c r="AV1046" s="107" t="str">
        <f>IF(ISNUMBER(O1046),IF(VLOOKUP($A1046,Stand!C:J,8,FALSE)="Short",AT1046,AU1046),"")</f>
        <v/>
      </c>
      <c r="AW1046" s="109" t="str">
        <f t="shared" si="484"/>
        <v/>
      </c>
      <c r="AX1046" s="109" t="str">
        <f t="shared" si="485"/>
        <v/>
      </c>
      <c r="AY1046" s="112" t="str">
        <f>IF(ISNUMBER(O1046),IF(AND(VLOOKUP($D1046,Merchantability!$B:$C,2,0)="Yes",$E1046&gt;=VLOOKUP($D1046,Merchantability!$B:$D,3,0),$E1046&lt;=VLOOKUP($D1046,Merchantability!$B:$E,4,0)),(AV1046*O1046)*(1-$H1046/100),""),"")</f>
        <v/>
      </c>
      <c r="AZ1046" s="116"/>
      <c r="BA1046" s="116"/>
      <c r="BB1046" s="116"/>
      <c r="BE1046" s="62"/>
      <c r="BF1046" s="63"/>
    </row>
    <row r="1047" spans="1:58" ht="12.75" customHeight="1" x14ac:dyDescent="0.25">
      <c r="A1047" s="313"/>
      <c r="B1047" s="328"/>
      <c r="C1047" s="329"/>
      <c r="D1047" s="328"/>
      <c r="E1047" s="330"/>
      <c r="F1047" s="328"/>
      <c r="G1047" s="329"/>
      <c r="H1047" s="329"/>
      <c r="I1047" s="328"/>
      <c r="J1047" s="383"/>
      <c r="K1047" s="329"/>
      <c r="L1047" s="329"/>
      <c r="M1047" s="76"/>
      <c r="N1047" s="103" t="str">
        <f>IF(A1047="","",VLOOKUP(A1047,Stand!C:K,9,0))</f>
        <v/>
      </c>
      <c r="O1047" s="104" t="str">
        <f t="shared" si="470"/>
        <v/>
      </c>
      <c r="P1047" s="105" t="str">
        <f t="shared" si="471"/>
        <v/>
      </c>
      <c r="Q1047" s="105" t="str">
        <f t="shared" si="459"/>
        <v/>
      </c>
      <c r="R1047" s="103" t="str">
        <f t="shared" si="472"/>
        <v/>
      </c>
      <c r="S1047" s="103" t="str">
        <f t="shared" si="473"/>
        <v/>
      </c>
      <c r="T1047" s="106" t="str">
        <f t="shared" si="460"/>
        <v/>
      </c>
      <c r="U1047" s="106" t="str">
        <f t="shared" si="461"/>
        <v/>
      </c>
      <c r="V1047" s="106" t="str">
        <f t="shared" si="462"/>
        <v/>
      </c>
      <c r="W1047" s="105" t="str">
        <f t="shared" si="474"/>
        <v/>
      </c>
      <c r="X1047" s="104" t="str">
        <f t="shared" si="479"/>
        <v/>
      </c>
      <c r="Y1047" s="104" t="str">
        <f t="array" ref="Y1047">IFERROR(IF(ISNUMBER(O1047),IF(COUNT(IF(A1047=$A$2:$A$2427,IF(D1047=$D$2:$D$2427,IF($X$2:$X$2427&gt;0,1))))&gt;0,SUM(IF(A1047=$A$2:$A$2427,IF(D1047=$D$2:$D$2427,$X$2:$X$2427)))/COUNT(IF(A1047=$A$2:$A$2427,IF(D1047=$D$2:$D$2427,IF(ISNUMBER($X$2:$X$2427),1)))),0),""),0)</f>
        <v/>
      </c>
      <c r="Z1047" s="104" t="str">
        <f>IF(ISNUMBER(O1047),IF(I1047&gt;0,(10^(VLOOKUP(D1047,'Species Codes'!B:C,2,0)+VLOOKUP(D1047,'Species Codes'!B:D,3,0)*LOG(E1047)+VLOOKUP(D1047,'Species Codes'!B:E,4,0)*LOG(I1047))),0),"")</f>
        <v/>
      </c>
      <c r="AA1047" s="104" t="str">
        <f>IFERROR((VLOOKUP(D1047,'Species Codes'!B:G,6,0)*Z1047)/2000,"")</f>
        <v/>
      </c>
      <c r="AB1047" s="104" t="e">
        <f>IF(Z1047&gt;0,((IF(OR(D1047="DF",D1047="RA")=TRUE,EXP(VLOOKUP(D1047,'Species Codes'!B:I,8,0)+VLOOKUP(D1047,'Species Codes'!B:J,9,0)*(LN((E1047*2.54)))),IF(OR(D1047="PY",D1047="RC",D1047="WH",D1047="NF")=TRUE,VLOOKUP(D1047,'Species Codes'!B:I,8,0)+VLOOKUP(D1047,'Species Codes'!B:J,9,0)*((E1047*2.54)^2)*(I1047*0.3048),IF(OR(D1047="MD",D1047="BM",D1047="GA")=TRUE,((VLOOKUP(D1047,'Species Codes'!B:I,8,0)*(((((E1047*2.54)+VLOOKUP(D1047,'Species Codes'!B:J,9,0))/VLOOKUP(D1047,'Species Codes'!B:K,10,0))^VLOOKUP(D1047,'Species Codes'!B:L,11,0))*((I1047*0.3048)^VLOOKUP(D1047,'Species Codes'!B:M,12,0))))-(VLOOKUP(D1047,'Species Codes'!B:I,8,0)*((((E1047*2.54)^VLOOKUP(D1047,'Species Codes'!B:L,11,0))*((I1047*0.3048)^VLOOKUP(D1047,'Species Codes'!B:M,12,0))))))*35.3*VLOOKUP(D1047,'Species Codes'!B:G,6,0)/2.2046,VLOOKUP(D1047,'Species Codes'!B:I,8,0)+VLOOKUP(D1047,'Species Codes'!B:J,9,0)*(((E1047*2.54)/100)^2)*(I1047*0.3048)))))*0.0011023),0)</f>
        <v>#N/A</v>
      </c>
      <c r="AC1047" s="104" t="e">
        <f>IF(Z1047&gt;0,((IF(OR(D1047="RA",D1047="OA",D1047="OT",D1047="UN",D1047="PC"),EXP(VLOOKUP(D1047,'Species Codes'!B:O,14,0)+VLOOKUP(D1047,'Species Codes'!B:P,15,0)*LN((E1047*2.54)))-EXP(VLOOKUP(D1047,'Species Codes'!B:O,14,0)+VLOOKUP(D1047,'Species Codes'!B:P,15,0)*LN((E1047*2.54)))*(1/(VLOOKUP(D1047,'Species Codes'!B:Q,16,0)+VLOOKUP(D1047,'Species Codes'!B:R,17,0)*((E1047*2.54)^VLOOKUP(D1047,'Species Codes'!B:S,18,0)))),IF(OR(D1047="BM",D1047="MD",D1047="OA"),EXP(VLOOKUP(D1047,'Species Codes'!B:O,14,0)+VLOOKUP(D1047,'Species Codes'!B:P,15,0)*LN((E1047*2.54)))*(1-(1/(VLOOKUP(D1047,'Species Codes'!B:Q,16,0)+VLOOKUP(D1047,'Species Codes'!B:R,17,0)*((E1047*2.54)^VLOOKUP(D1047,'Species Codes'!B:S,18,0)))))/1000,IF(D1047="DF",EXP(VLOOKUP(D1047,'Species Codes'!B:O,14,0)+VLOOKUP(D1047,'Species Codes'!B:P,15,0)*LN((E1047*2.54))),VLOOKUP(D1047,'Species Codes'!B:O,14,0)+VLOOKUP(D1047,'Species Codes'!B:P,15,0)*(((E1047*2.54)/100)^2)*(I1047*0.3048)))))*0.0011023),0)</f>
        <v>#N/A</v>
      </c>
      <c r="AD1047" s="104" t="e">
        <f t="shared" si="463"/>
        <v>#N/A</v>
      </c>
      <c r="AE1047" s="104" t="e">
        <f t="shared" si="464"/>
        <v>#N/A</v>
      </c>
      <c r="AF1047" s="104" t="e">
        <f>IF(AND(VLOOKUP($D1047,Merchantability!$B:$C,2,0)="Yes",$E1047&gt;=VLOOKUP($D1047,Merchantability!$B:$D,3,0),$E1047&lt;=VLOOKUP($D1047,Merchantability!$B:$E,4,0)),AA1047,0)</f>
        <v>#N/A</v>
      </c>
      <c r="AG1047" s="104" t="e">
        <f>IF(AND(VLOOKUP($D1047,Merchantability!$B:$C,2,0)="Yes",$E1047&gt;=VLOOKUP($D1047,Merchantability!$B:$D,3,0),$E1047&lt;=VLOOKUP($D1047,Merchantability!$B:$E,4,0)),AB1047,0)</f>
        <v>#N/A</v>
      </c>
      <c r="AH1047" s="104" t="e">
        <f>IF(AND(VLOOKUP($D1047,Merchantability!$B:$C,2,0)="Yes",$E1047&gt;=VLOOKUP($D1047,Merchantability!$B:$D,3,0),$E1047&lt;=VLOOKUP($D1047,Merchantability!$B:$E,4,0)),AC1047,0)</f>
        <v>#N/A</v>
      </c>
      <c r="AI1047" s="104" t="e">
        <f t="shared" si="465"/>
        <v>#N/A</v>
      </c>
      <c r="AJ1047" s="104" t="e">
        <f t="shared" si="466"/>
        <v>#VALUE!</v>
      </c>
      <c r="AK1047" s="104" t="e">
        <f t="shared" si="467"/>
        <v>#N/A</v>
      </c>
      <c r="AL1047" s="104" t="e">
        <f t="shared" si="468"/>
        <v>#N/A</v>
      </c>
      <c r="AM1047" s="104" t="e">
        <f t="shared" si="469"/>
        <v>#N/A</v>
      </c>
      <c r="AN1047" s="104" t="e">
        <f t="shared" si="480"/>
        <v>#N/A</v>
      </c>
      <c r="AO1047" s="104" t="e">
        <f t="shared" si="481"/>
        <v>#N/A</v>
      </c>
      <c r="AP1047" s="104" t="e">
        <f t="shared" si="482"/>
        <v>#N/A</v>
      </c>
      <c r="AQ1047" s="104" t="e">
        <f t="shared" si="483"/>
        <v>#N/A</v>
      </c>
      <c r="AR1047" s="105" t="str">
        <f t="shared" si="475"/>
        <v/>
      </c>
      <c r="AS1047" s="105" t="str">
        <f t="shared" si="476"/>
        <v/>
      </c>
      <c r="AT1047" s="108" t="str">
        <f t="shared" si="477"/>
        <v/>
      </c>
      <c r="AU1047" s="108" t="str">
        <f t="shared" si="478"/>
        <v/>
      </c>
      <c r="AV1047" s="107" t="str">
        <f>IF(ISNUMBER(O1047),IF(VLOOKUP($A1047,Stand!C:J,8,FALSE)="Short",AT1047,AU1047),"")</f>
        <v/>
      </c>
      <c r="AW1047" s="109" t="str">
        <f t="shared" si="484"/>
        <v/>
      </c>
      <c r="AX1047" s="109" t="str">
        <f t="shared" si="485"/>
        <v/>
      </c>
      <c r="AY1047" s="112" t="str">
        <f>IF(ISNUMBER(O1047),IF(AND(VLOOKUP($D1047,Merchantability!$B:$C,2,0)="Yes",$E1047&gt;=VLOOKUP($D1047,Merchantability!$B:$D,3,0),$E1047&lt;=VLOOKUP($D1047,Merchantability!$B:$E,4,0)),(AV1047*O1047)*(1-$H1047/100),""),"")</f>
        <v/>
      </c>
      <c r="AZ1047" s="116"/>
      <c r="BA1047" s="116"/>
      <c r="BB1047" s="116"/>
      <c r="BE1047" s="62"/>
      <c r="BF1047" s="63"/>
    </row>
    <row r="1048" spans="1:58" ht="12.75" customHeight="1" x14ac:dyDescent="0.25">
      <c r="A1048" s="313"/>
      <c r="B1048" s="328"/>
      <c r="C1048" s="329"/>
      <c r="D1048" s="328"/>
      <c r="E1048" s="330"/>
      <c r="F1048" s="328"/>
      <c r="G1048" s="329"/>
      <c r="H1048" s="329"/>
      <c r="I1048" s="328"/>
      <c r="J1048" s="383"/>
      <c r="K1048" s="329"/>
      <c r="L1048" s="329"/>
      <c r="M1048" s="76"/>
      <c r="N1048" s="103" t="str">
        <f>IF(A1048="","",VLOOKUP(A1048,Stand!C:K,9,0))</f>
        <v/>
      </c>
      <c r="O1048" s="104" t="str">
        <f t="shared" si="470"/>
        <v/>
      </c>
      <c r="P1048" s="105" t="str">
        <f t="shared" si="471"/>
        <v/>
      </c>
      <c r="Q1048" s="105" t="str">
        <f t="shared" si="459"/>
        <v/>
      </c>
      <c r="R1048" s="103" t="str">
        <f t="shared" si="472"/>
        <v/>
      </c>
      <c r="S1048" s="103" t="str">
        <f t="shared" si="473"/>
        <v/>
      </c>
      <c r="T1048" s="106" t="str">
        <f t="shared" si="460"/>
        <v/>
      </c>
      <c r="U1048" s="106" t="str">
        <f t="shared" si="461"/>
        <v/>
      </c>
      <c r="V1048" s="106" t="str">
        <f t="shared" si="462"/>
        <v/>
      </c>
      <c r="W1048" s="105" t="str">
        <f t="shared" si="474"/>
        <v/>
      </c>
      <c r="X1048" s="104" t="str">
        <f t="shared" si="479"/>
        <v/>
      </c>
      <c r="Y1048" s="104" t="str">
        <f t="array" ref="Y1048">IFERROR(IF(ISNUMBER(O1048),IF(COUNT(IF(A1048=$A$2:$A$2427,IF(D1048=$D$2:$D$2427,IF($X$2:$X$2427&gt;0,1))))&gt;0,SUM(IF(A1048=$A$2:$A$2427,IF(D1048=$D$2:$D$2427,$X$2:$X$2427)))/COUNT(IF(A1048=$A$2:$A$2427,IF(D1048=$D$2:$D$2427,IF(ISNUMBER($X$2:$X$2427),1)))),0),""),0)</f>
        <v/>
      </c>
      <c r="Z1048" s="104" t="str">
        <f>IF(ISNUMBER(O1048),IF(I1048&gt;0,(10^(VLOOKUP(D1048,'Species Codes'!B:C,2,0)+VLOOKUP(D1048,'Species Codes'!B:D,3,0)*LOG(E1048)+VLOOKUP(D1048,'Species Codes'!B:E,4,0)*LOG(I1048))),0),"")</f>
        <v/>
      </c>
      <c r="AA1048" s="104" t="str">
        <f>IFERROR((VLOOKUP(D1048,'Species Codes'!B:G,6,0)*Z1048)/2000,"")</f>
        <v/>
      </c>
      <c r="AB1048" s="104" t="e">
        <f>IF(Z1048&gt;0,((IF(OR(D1048="DF",D1048="RA")=TRUE,EXP(VLOOKUP(D1048,'Species Codes'!B:I,8,0)+VLOOKUP(D1048,'Species Codes'!B:J,9,0)*(LN((E1048*2.54)))),IF(OR(D1048="PY",D1048="RC",D1048="WH",D1048="NF")=TRUE,VLOOKUP(D1048,'Species Codes'!B:I,8,0)+VLOOKUP(D1048,'Species Codes'!B:J,9,0)*((E1048*2.54)^2)*(I1048*0.3048),IF(OR(D1048="MD",D1048="BM",D1048="GA")=TRUE,((VLOOKUP(D1048,'Species Codes'!B:I,8,0)*(((((E1048*2.54)+VLOOKUP(D1048,'Species Codes'!B:J,9,0))/VLOOKUP(D1048,'Species Codes'!B:K,10,0))^VLOOKUP(D1048,'Species Codes'!B:L,11,0))*((I1048*0.3048)^VLOOKUP(D1048,'Species Codes'!B:M,12,0))))-(VLOOKUP(D1048,'Species Codes'!B:I,8,0)*((((E1048*2.54)^VLOOKUP(D1048,'Species Codes'!B:L,11,0))*((I1048*0.3048)^VLOOKUP(D1048,'Species Codes'!B:M,12,0))))))*35.3*VLOOKUP(D1048,'Species Codes'!B:G,6,0)/2.2046,VLOOKUP(D1048,'Species Codes'!B:I,8,0)+VLOOKUP(D1048,'Species Codes'!B:J,9,0)*(((E1048*2.54)/100)^2)*(I1048*0.3048)))))*0.0011023),0)</f>
        <v>#N/A</v>
      </c>
      <c r="AC1048" s="104" t="e">
        <f>IF(Z1048&gt;0,((IF(OR(D1048="RA",D1048="OA",D1048="OT",D1048="UN",D1048="PC"),EXP(VLOOKUP(D1048,'Species Codes'!B:O,14,0)+VLOOKUP(D1048,'Species Codes'!B:P,15,0)*LN((E1048*2.54)))-EXP(VLOOKUP(D1048,'Species Codes'!B:O,14,0)+VLOOKUP(D1048,'Species Codes'!B:P,15,0)*LN((E1048*2.54)))*(1/(VLOOKUP(D1048,'Species Codes'!B:Q,16,0)+VLOOKUP(D1048,'Species Codes'!B:R,17,0)*((E1048*2.54)^VLOOKUP(D1048,'Species Codes'!B:S,18,0)))),IF(OR(D1048="BM",D1048="MD",D1048="OA"),EXP(VLOOKUP(D1048,'Species Codes'!B:O,14,0)+VLOOKUP(D1048,'Species Codes'!B:P,15,0)*LN((E1048*2.54)))*(1-(1/(VLOOKUP(D1048,'Species Codes'!B:Q,16,0)+VLOOKUP(D1048,'Species Codes'!B:R,17,0)*((E1048*2.54)^VLOOKUP(D1048,'Species Codes'!B:S,18,0)))))/1000,IF(D1048="DF",EXP(VLOOKUP(D1048,'Species Codes'!B:O,14,0)+VLOOKUP(D1048,'Species Codes'!B:P,15,0)*LN((E1048*2.54))),VLOOKUP(D1048,'Species Codes'!B:O,14,0)+VLOOKUP(D1048,'Species Codes'!B:P,15,0)*(((E1048*2.54)/100)^2)*(I1048*0.3048)))))*0.0011023),0)</f>
        <v>#N/A</v>
      </c>
      <c r="AD1048" s="104" t="e">
        <f t="shared" si="463"/>
        <v>#N/A</v>
      </c>
      <c r="AE1048" s="104" t="e">
        <f t="shared" si="464"/>
        <v>#N/A</v>
      </c>
      <c r="AF1048" s="104" t="e">
        <f>IF(AND(VLOOKUP($D1048,Merchantability!$B:$C,2,0)="Yes",$E1048&gt;=VLOOKUP($D1048,Merchantability!$B:$D,3,0),$E1048&lt;=VLOOKUP($D1048,Merchantability!$B:$E,4,0)),AA1048,0)</f>
        <v>#N/A</v>
      </c>
      <c r="AG1048" s="104" t="e">
        <f>IF(AND(VLOOKUP($D1048,Merchantability!$B:$C,2,0)="Yes",$E1048&gt;=VLOOKUP($D1048,Merchantability!$B:$D,3,0),$E1048&lt;=VLOOKUP($D1048,Merchantability!$B:$E,4,0)),AB1048,0)</f>
        <v>#N/A</v>
      </c>
      <c r="AH1048" s="104" t="e">
        <f>IF(AND(VLOOKUP($D1048,Merchantability!$B:$C,2,0)="Yes",$E1048&gt;=VLOOKUP($D1048,Merchantability!$B:$D,3,0),$E1048&lt;=VLOOKUP($D1048,Merchantability!$B:$E,4,0)),AC1048,0)</f>
        <v>#N/A</v>
      </c>
      <c r="AI1048" s="104" t="e">
        <f t="shared" si="465"/>
        <v>#N/A</v>
      </c>
      <c r="AJ1048" s="104" t="e">
        <f t="shared" si="466"/>
        <v>#VALUE!</v>
      </c>
      <c r="AK1048" s="104" t="e">
        <f t="shared" si="467"/>
        <v>#N/A</v>
      </c>
      <c r="AL1048" s="104" t="e">
        <f t="shared" si="468"/>
        <v>#N/A</v>
      </c>
      <c r="AM1048" s="104" t="e">
        <f t="shared" si="469"/>
        <v>#N/A</v>
      </c>
      <c r="AN1048" s="104" t="e">
        <f t="shared" si="480"/>
        <v>#N/A</v>
      </c>
      <c r="AO1048" s="104" t="e">
        <f t="shared" si="481"/>
        <v>#N/A</v>
      </c>
      <c r="AP1048" s="104" t="e">
        <f t="shared" si="482"/>
        <v>#N/A</v>
      </c>
      <c r="AQ1048" s="104" t="e">
        <f t="shared" si="483"/>
        <v>#N/A</v>
      </c>
      <c r="AR1048" s="105" t="str">
        <f t="shared" si="475"/>
        <v/>
      </c>
      <c r="AS1048" s="105" t="str">
        <f t="shared" si="476"/>
        <v/>
      </c>
      <c r="AT1048" s="108" t="str">
        <f t="shared" si="477"/>
        <v/>
      </c>
      <c r="AU1048" s="108" t="str">
        <f t="shared" si="478"/>
        <v/>
      </c>
      <c r="AV1048" s="107" t="str">
        <f>IF(ISNUMBER(O1048),IF(VLOOKUP($A1048,Stand!C:J,8,FALSE)="Short",AT1048,AU1048),"")</f>
        <v/>
      </c>
      <c r="AW1048" s="109" t="str">
        <f t="shared" si="484"/>
        <v/>
      </c>
      <c r="AX1048" s="109" t="str">
        <f t="shared" si="485"/>
        <v/>
      </c>
      <c r="AY1048" s="112" t="str">
        <f>IF(ISNUMBER(O1048),IF(AND(VLOOKUP($D1048,Merchantability!$B:$C,2,0)="Yes",$E1048&gt;=VLOOKUP($D1048,Merchantability!$B:$D,3,0),$E1048&lt;=VLOOKUP($D1048,Merchantability!$B:$E,4,0)),(AV1048*O1048)*(1-$H1048/100),""),"")</f>
        <v/>
      </c>
      <c r="AZ1048" s="116"/>
      <c r="BA1048" s="116"/>
      <c r="BB1048" s="116"/>
      <c r="BE1048" s="62"/>
      <c r="BF1048" s="63"/>
    </row>
    <row r="1049" spans="1:58" ht="12.75" customHeight="1" x14ac:dyDescent="0.25">
      <c r="A1049" s="313"/>
      <c r="B1049" s="328"/>
      <c r="C1049" s="329"/>
      <c r="D1049" s="328"/>
      <c r="E1049" s="330"/>
      <c r="F1049" s="328"/>
      <c r="G1049" s="329"/>
      <c r="H1049" s="329"/>
      <c r="I1049" s="328"/>
      <c r="J1049" s="383"/>
      <c r="K1049" s="329"/>
      <c r="L1049" s="329"/>
      <c r="M1049" s="76"/>
      <c r="N1049" s="103" t="str">
        <f>IF(A1049="","",VLOOKUP(A1049,Stand!C:K,9,0))</f>
        <v/>
      </c>
      <c r="O1049" s="104" t="str">
        <f t="shared" si="470"/>
        <v/>
      </c>
      <c r="P1049" s="105" t="str">
        <f t="shared" si="471"/>
        <v/>
      </c>
      <c r="Q1049" s="105" t="str">
        <f t="shared" si="459"/>
        <v/>
      </c>
      <c r="R1049" s="103" t="str">
        <f t="shared" si="472"/>
        <v/>
      </c>
      <c r="S1049" s="103" t="str">
        <f t="shared" si="473"/>
        <v/>
      </c>
      <c r="T1049" s="106" t="str">
        <f t="shared" si="460"/>
        <v/>
      </c>
      <c r="U1049" s="106" t="str">
        <f t="shared" si="461"/>
        <v/>
      </c>
      <c r="V1049" s="106" t="str">
        <f t="shared" si="462"/>
        <v/>
      </c>
      <c r="W1049" s="105" t="str">
        <f t="shared" si="474"/>
        <v/>
      </c>
      <c r="X1049" s="104" t="str">
        <f t="shared" si="479"/>
        <v/>
      </c>
      <c r="Y1049" s="104" t="str">
        <f t="array" ref="Y1049">IFERROR(IF(ISNUMBER(O1049),IF(COUNT(IF(A1049=$A$2:$A$2427,IF(D1049=$D$2:$D$2427,IF($X$2:$X$2427&gt;0,1))))&gt;0,SUM(IF(A1049=$A$2:$A$2427,IF(D1049=$D$2:$D$2427,$X$2:$X$2427)))/COUNT(IF(A1049=$A$2:$A$2427,IF(D1049=$D$2:$D$2427,IF(ISNUMBER($X$2:$X$2427),1)))),0),""),0)</f>
        <v/>
      </c>
      <c r="Z1049" s="104" t="str">
        <f>IF(ISNUMBER(O1049),IF(I1049&gt;0,(10^(VLOOKUP(D1049,'Species Codes'!B:C,2,0)+VLOOKUP(D1049,'Species Codes'!B:D,3,0)*LOG(E1049)+VLOOKUP(D1049,'Species Codes'!B:E,4,0)*LOG(I1049))),0),"")</f>
        <v/>
      </c>
      <c r="AA1049" s="104" t="str">
        <f>IFERROR((VLOOKUP(D1049,'Species Codes'!B:G,6,0)*Z1049)/2000,"")</f>
        <v/>
      </c>
      <c r="AB1049" s="104" t="e">
        <f>IF(Z1049&gt;0,((IF(OR(D1049="DF",D1049="RA")=TRUE,EXP(VLOOKUP(D1049,'Species Codes'!B:I,8,0)+VLOOKUP(D1049,'Species Codes'!B:J,9,0)*(LN((E1049*2.54)))),IF(OR(D1049="PY",D1049="RC",D1049="WH",D1049="NF")=TRUE,VLOOKUP(D1049,'Species Codes'!B:I,8,0)+VLOOKUP(D1049,'Species Codes'!B:J,9,0)*((E1049*2.54)^2)*(I1049*0.3048),IF(OR(D1049="MD",D1049="BM",D1049="GA")=TRUE,((VLOOKUP(D1049,'Species Codes'!B:I,8,0)*(((((E1049*2.54)+VLOOKUP(D1049,'Species Codes'!B:J,9,0))/VLOOKUP(D1049,'Species Codes'!B:K,10,0))^VLOOKUP(D1049,'Species Codes'!B:L,11,0))*((I1049*0.3048)^VLOOKUP(D1049,'Species Codes'!B:M,12,0))))-(VLOOKUP(D1049,'Species Codes'!B:I,8,0)*((((E1049*2.54)^VLOOKUP(D1049,'Species Codes'!B:L,11,0))*((I1049*0.3048)^VLOOKUP(D1049,'Species Codes'!B:M,12,0))))))*35.3*VLOOKUP(D1049,'Species Codes'!B:G,6,0)/2.2046,VLOOKUP(D1049,'Species Codes'!B:I,8,0)+VLOOKUP(D1049,'Species Codes'!B:J,9,0)*(((E1049*2.54)/100)^2)*(I1049*0.3048)))))*0.0011023),0)</f>
        <v>#N/A</v>
      </c>
      <c r="AC1049" s="104" t="e">
        <f>IF(Z1049&gt;0,((IF(OR(D1049="RA",D1049="OA",D1049="OT",D1049="UN",D1049="PC"),EXP(VLOOKUP(D1049,'Species Codes'!B:O,14,0)+VLOOKUP(D1049,'Species Codes'!B:P,15,0)*LN((E1049*2.54)))-EXP(VLOOKUP(D1049,'Species Codes'!B:O,14,0)+VLOOKUP(D1049,'Species Codes'!B:P,15,0)*LN((E1049*2.54)))*(1/(VLOOKUP(D1049,'Species Codes'!B:Q,16,0)+VLOOKUP(D1049,'Species Codes'!B:R,17,0)*((E1049*2.54)^VLOOKUP(D1049,'Species Codes'!B:S,18,0)))),IF(OR(D1049="BM",D1049="MD",D1049="OA"),EXP(VLOOKUP(D1049,'Species Codes'!B:O,14,0)+VLOOKUP(D1049,'Species Codes'!B:P,15,0)*LN((E1049*2.54)))*(1-(1/(VLOOKUP(D1049,'Species Codes'!B:Q,16,0)+VLOOKUP(D1049,'Species Codes'!B:R,17,0)*((E1049*2.54)^VLOOKUP(D1049,'Species Codes'!B:S,18,0)))))/1000,IF(D1049="DF",EXP(VLOOKUP(D1049,'Species Codes'!B:O,14,0)+VLOOKUP(D1049,'Species Codes'!B:P,15,0)*LN((E1049*2.54))),VLOOKUP(D1049,'Species Codes'!B:O,14,0)+VLOOKUP(D1049,'Species Codes'!B:P,15,0)*(((E1049*2.54)/100)^2)*(I1049*0.3048)))))*0.0011023),0)</f>
        <v>#N/A</v>
      </c>
      <c r="AD1049" s="104" t="e">
        <f t="shared" si="463"/>
        <v>#N/A</v>
      </c>
      <c r="AE1049" s="104" t="e">
        <f t="shared" si="464"/>
        <v>#N/A</v>
      </c>
      <c r="AF1049" s="104" t="e">
        <f>IF(AND(VLOOKUP($D1049,Merchantability!$B:$C,2,0)="Yes",$E1049&gt;=VLOOKUP($D1049,Merchantability!$B:$D,3,0),$E1049&lt;=VLOOKUP($D1049,Merchantability!$B:$E,4,0)),AA1049,0)</f>
        <v>#N/A</v>
      </c>
      <c r="AG1049" s="104" t="e">
        <f>IF(AND(VLOOKUP($D1049,Merchantability!$B:$C,2,0)="Yes",$E1049&gt;=VLOOKUP($D1049,Merchantability!$B:$D,3,0),$E1049&lt;=VLOOKUP($D1049,Merchantability!$B:$E,4,0)),AB1049,0)</f>
        <v>#N/A</v>
      </c>
      <c r="AH1049" s="104" t="e">
        <f>IF(AND(VLOOKUP($D1049,Merchantability!$B:$C,2,0)="Yes",$E1049&gt;=VLOOKUP($D1049,Merchantability!$B:$D,3,0),$E1049&lt;=VLOOKUP($D1049,Merchantability!$B:$E,4,0)),AC1049,0)</f>
        <v>#N/A</v>
      </c>
      <c r="AI1049" s="104" t="e">
        <f t="shared" si="465"/>
        <v>#N/A</v>
      </c>
      <c r="AJ1049" s="104" t="e">
        <f t="shared" si="466"/>
        <v>#VALUE!</v>
      </c>
      <c r="AK1049" s="104" t="e">
        <f t="shared" si="467"/>
        <v>#N/A</v>
      </c>
      <c r="AL1049" s="104" t="e">
        <f t="shared" si="468"/>
        <v>#N/A</v>
      </c>
      <c r="AM1049" s="104" t="e">
        <f t="shared" si="469"/>
        <v>#N/A</v>
      </c>
      <c r="AN1049" s="104" t="e">
        <f t="shared" si="480"/>
        <v>#N/A</v>
      </c>
      <c r="AO1049" s="104" t="e">
        <f t="shared" si="481"/>
        <v>#N/A</v>
      </c>
      <c r="AP1049" s="104" t="e">
        <f t="shared" si="482"/>
        <v>#N/A</v>
      </c>
      <c r="AQ1049" s="104" t="e">
        <f t="shared" si="483"/>
        <v>#N/A</v>
      </c>
      <c r="AR1049" s="105" t="str">
        <f t="shared" si="475"/>
        <v/>
      </c>
      <c r="AS1049" s="105" t="str">
        <f t="shared" si="476"/>
        <v/>
      </c>
      <c r="AT1049" s="108" t="str">
        <f t="shared" si="477"/>
        <v/>
      </c>
      <c r="AU1049" s="108" t="str">
        <f t="shared" si="478"/>
        <v/>
      </c>
      <c r="AV1049" s="107" t="str">
        <f>IF(ISNUMBER(O1049),IF(VLOOKUP($A1049,Stand!C:J,8,FALSE)="Short",AT1049,AU1049),"")</f>
        <v/>
      </c>
      <c r="AW1049" s="109" t="str">
        <f t="shared" si="484"/>
        <v/>
      </c>
      <c r="AX1049" s="109" t="str">
        <f t="shared" si="485"/>
        <v/>
      </c>
      <c r="AY1049" s="112" t="str">
        <f>IF(ISNUMBER(O1049),IF(AND(VLOOKUP($D1049,Merchantability!$B:$C,2,0)="Yes",$E1049&gt;=VLOOKUP($D1049,Merchantability!$B:$D,3,0),$E1049&lt;=VLOOKUP($D1049,Merchantability!$B:$E,4,0)),(AV1049*O1049)*(1-$H1049/100),""),"")</f>
        <v/>
      </c>
      <c r="AZ1049" s="116"/>
      <c r="BA1049" s="116"/>
      <c r="BB1049" s="116"/>
      <c r="BE1049" s="62"/>
      <c r="BF1049" s="63"/>
    </row>
    <row r="1050" spans="1:58" ht="12.75" customHeight="1" x14ac:dyDescent="0.25">
      <c r="A1050" s="313"/>
      <c r="B1050" s="328"/>
      <c r="C1050" s="329"/>
      <c r="D1050" s="328"/>
      <c r="E1050" s="330"/>
      <c r="F1050" s="328"/>
      <c r="G1050" s="329"/>
      <c r="H1050" s="329"/>
      <c r="I1050" s="328"/>
      <c r="J1050" s="383"/>
      <c r="K1050" s="329"/>
      <c r="L1050" s="329"/>
      <c r="M1050" s="76"/>
      <c r="N1050" s="103" t="str">
        <f>IF(A1050="","",VLOOKUP(A1050,Stand!C:K,9,0))</f>
        <v/>
      </c>
      <c r="O1050" s="104" t="str">
        <f t="shared" si="470"/>
        <v/>
      </c>
      <c r="P1050" s="105" t="str">
        <f t="shared" si="471"/>
        <v/>
      </c>
      <c r="Q1050" s="105" t="str">
        <f t="shared" si="459"/>
        <v/>
      </c>
      <c r="R1050" s="103" t="str">
        <f t="shared" si="472"/>
        <v/>
      </c>
      <c r="S1050" s="103" t="str">
        <f t="shared" si="473"/>
        <v/>
      </c>
      <c r="T1050" s="106" t="str">
        <f t="shared" si="460"/>
        <v/>
      </c>
      <c r="U1050" s="106" t="str">
        <f t="shared" si="461"/>
        <v/>
      </c>
      <c r="V1050" s="106" t="str">
        <f t="shared" si="462"/>
        <v/>
      </c>
      <c r="W1050" s="105" t="str">
        <f t="shared" si="474"/>
        <v/>
      </c>
      <c r="X1050" s="104" t="str">
        <f t="shared" si="479"/>
        <v/>
      </c>
      <c r="Y1050" s="104" t="str">
        <f t="array" ref="Y1050">IFERROR(IF(ISNUMBER(O1050),IF(COUNT(IF(A1050=$A$2:$A$2427,IF(D1050=$D$2:$D$2427,IF($X$2:$X$2427&gt;0,1))))&gt;0,SUM(IF(A1050=$A$2:$A$2427,IF(D1050=$D$2:$D$2427,$X$2:$X$2427)))/COUNT(IF(A1050=$A$2:$A$2427,IF(D1050=$D$2:$D$2427,IF(ISNUMBER($X$2:$X$2427),1)))),0),""),0)</f>
        <v/>
      </c>
      <c r="Z1050" s="104" t="str">
        <f>IF(ISNUMBER(O1050),IF(I1050&gt;0,(10^(VLOOKUP(D1050,'Species Codes'!B:C,2,0)+VLOOKUP(D1050,'Species Codes'!B:D,3,0)*LOG(E1050)+VLOOKUP(D1050,'Species Codes'!B:E,4,0)*LOG(I1050))),0),"")</f>
        <v/>
      </c>
      <c r="AA1050" s="104" t="str">
        <f>IFERROR((VLOOKUP(D1050,'Species Codes'!B:G,6,0)*Z1050)/2000,"")</f>
        <v/>
      </c>
      <c r="AB1050" s="104" t="e">
        <f>IF(Z1050&gt;0,((IF(OR(D1050="DF",D1050="RA")=TRUE,EXP(VLOOKUP(D1050,'Species Codes'!B:I,8,0)+VLOOKUP(D1050,'Species Codes'!B:J,9,0)*(LN((E1050*2.54)))),IF(OR(D1050="PY",D1050="RC",D1050="WH",D1050="NF")=TRUE,VLOOKUP(D1050,'Species Codes'!B:I,8,0)+VLOOKUP(D1050,'Species Codes'!B:J,9,0)*((E1050*2.54)^2)*(I1050*0.3048),IF(OR(D1050="MD",D1050="BM",D1050="GA")=TRUE,((VLOOKUP(D1050,'Species Codes'!B:I,8,0)*(((((E1050*2.54)+VLOOKUP(D1050,'Species Codes'!B:J,9,0))/VLOOKUP(D1050,'Species Codes'!B:K,10,0))^VLOOKUP(D1050,'Species Codes'!B:L,11,0))*((I1050*0.3048)^VLOOKUP(D1050,'Species Codes'!B:M,12,0))))-(VLOOKUP(D1050,'Species Codes'!B:I,8,0)*((((E1050*2.54)^VLOOKUP(D1050,'Species Codes'!B:L,11,0))*((I1050*0.3048)^VLOOKUP(D1050,'Species Codes'!B:M,12,0))))))*35.3*VLOOKUP(D1050,'Species Codes'!B:G,6,0)/2.2046,VLOOKUP(D1050,'Species Codes'!B:I,8,0)+VLOOKUP(D1050,'Species Codes'!B:J,9,0)*(((E1050*2.54)/100)^2)*(I1050*0.3048)))))*0.0011023),0)</f>
        <v>#N/A</v>
      </c>
      <c r="AC1050" s="104" t="e">
        <f>IF(Z1050&gt;0,((IF(OR(D1050="RA",D1050="OA",D1050="OT",D1050="UN",D1050="PC"),EXP(VLOOKUP(D1050,'Species Codes'!B:O,14,0)+VLOOKUP(D1050,'Species Codes'!B:P,15,0)*LN((E1050*2.54)))-EXP(VLOOKUP(D1050,'Species Codes'!B:O,14,0)+VLOOKUP(D1050,'Species Codes'!B:P,15,0)*LN((E1050*2.54)))*(1/(VLOOKUP(D1050,'Species Codes'!B:Q,16,0)+VLOOKUP(D1050,'Species Codes'!B:R,17,0)*((E1050*2.54)^VLOOKUP(D1050,'Species Codes'!B:S,18,0)))),IF(OR(D1050="BM",D1050="MD",D1050="OA"),EXP(VLOOKUP(D1050,'Species Codes'!B:O,14,0)+VLOOKUP(D1050,'Species Codes'!B:P,15,0)*LN((E1050*2.54)))*(1-(1/(VLOOKUP(D1050,'Species Codes'!B:Q,16,0)+VLOOKUP(D1050,'Species Codes'!B:R,17,0)*((E1050*2.54)^VLOOKUP(D1050,'Species Codes'!B:S,18,0)))))/1000,IF(D1050="DF",EXP(VLOOKUP(D1050,'Species Codes'!B:O,14,0)+VLOOKUP(D1050,'Species Codes'!B:P,15,0)*LN((E1050*2.54))),VLOOKUP(D1050,'Species Codes'!B:O,14,0)+VLOOKUP(D1050,'Species Codes'!B:P,15,0)*(((E1050*2.54)/100)^2)*(I1050*0.3048)))))*0.0011023),0)</f>
        <v>#N/A</v>
      </c>
      <c r="AD1050" s="104" t="e">
        <f t="shared" si="463"/>
        <v>#N/A</v>
      </c>
      <c r="AE1050" s="104" t="e">
        <f t="shared" si="464"/>
        <v>#N/A</v>
      </c>
      <c r="AF1050" s="104" t="e">
        <f>IF(AND(VLOOKUP($D1050,Merchantability!$B:$C,2,0)="Yes",$E1050&gt;=VLOOKUP($D1050,Merchantability!$B:$D,3,0),$E1050&lt;=VLOOKUP($D1050,Merchantability!$B:$E,4,0)),AA1050,0)</f>
        <v>#N/A</v>
      </c>
      <c r="AG1050" s="104" t="e">
        <f>IF(AND(VLOOKUP($D1050,Merchantability!$B:$C,2,0)="Yes",$E1050&gt;=VLOOKUP($D1050,Merchantability!$B:$D,3,0),$E1050&lt;=VLOOKUP($D1050,Merchantability!$B:$E,4,0)),AB1050,0)</f>
        <v>#N/A</v>
      </c>
      <c r="AH1050" s="104" t="e">
        <f>IF(AND(VLOOKUP($D1050,Merchantability!$B:$C,2,0)="Yes",$E1050&gt;=VLOOKUP($D1050,Merchantability!$B:$D,3,0),$E1050&lt;=VLOOKUP($D1050,Merchantability!$B:$E,4,0)),AC1050,0)</f>
        <v>#N/A</v>
      </c>
      <c r="AI1050" s="104" t="e">
        <f t="shared" si="465"/>
        <v>#N/A</v>
      </c>
      <c r="AJ1050" s="104" t="e">
        <f t="shared" si="466"/>
        <v>#VALUE!</v>
      </c>
      <c r="AK1050" s="104" t="e">
        <f t="shared" si="467"/>
        <v>#N/A</v>
      </c>
      <c r="AL1050" s="104" t="e">
        <f t="shared" si="468"/>
        <v>#N/A</v>
      </c>
      <c r="AM1050" s="104" t="e">
        <f t="shared" si="469"/>
        <v>#N/A</v>
      </c>
      <c r="AN1050" s="104" t="e">
        <f t="shared" si="480"/>
        <v>#N/A</v>
      </c>
      <c r="AO1050" s="104" t="e">
        <f t="shared" si="481"/>
        <v>#N/A</v>
      </c>
      <c r="AP1050" s="104" t="e">
        <f t="shared" si="482"/>
        <v>#N/A</v>
      </c>
      <c r="AQ1050" s="104" t="e">
        <f t="shared" si="483"/>
        <v>#N/A</v>
      </c>
      <c r="AR1050" s="105" t="str">
        <f t="shared" si="475"/>
        <v/>
      </c>
      <c r="AS1050" s="105" t="str">
        <f t="shared" si="476"/>
        <v/>
      </c>
      <c r="AT1050" s="108" t="str">
        <f t="shared" si="477"/>
        <v/>
      </c>
      <c r="AU1050" s="108" t="str">
        <f t="shared" si="478"/>
        <v/>
      </c>
      <c r="AV1050" s="107" t="str">
        <f>IF(ISNUMBER(O1050),IF(VLOOKUP($A1050,Stand!C:J,8,FALSE)="Short",AT1050,AU1050),"")</f>
        <v/>
      </c>
      <c r="AW1050" s="109" t="str">
        <f t="shared" si="484"/>
        <v/>
      </c>
      <c r="AX1050" s="109" t="str">
        <f t="shared" si="485"/>
        <v/>
      </c>
      <c r="AY1050" s="112" t="str">
        <f>IF(ISNUMBER(O1050),IF(AND(VLOOKUP($D1050,Merchantability!$B:$C,2,0)="Yes",$E1050&gt;=VLOOKUP($D1050,Merchantability!$B:$D,3,0),$E1050&lt;=VLOOKUP($D1050,Merchantability!$B:$E,4,0)),(AV1050*O1050)*(1-$H1050/100),""),"")</f>
        <v/>
      </c>
      <c r="AZ1050" s="116"/>
      <c r="BA1050" s="116"/>
      <c r="BB1050" s="116"/>
      <c r="BE1050" s="62"/>
      <c r="BF1050" s="63"/>
    </row>
    <row r="1051" spans="1:58" ht="12.75" customHeight="1" x14ac:dyDescent="0.25">
      <c r="A1051" s="313"/>
      <c r="B1051" s="328"/>
      <c r="C1051" s="329"/>
      <c r="D1051" s="328"/>
      <c r="E1051" s="330"/>
      <c r="F1051" s="328"/>
      <c r="G1051" s="329"/>
      <c r="H1051" s="329"/>
      <c r="I1051" s="328"/>
      <c r="J1051" s="383"/>
      <c r="K1051" s="329"/>
      <c r="L1051" s="329"/>
      <c r="M1051" s="76"/>
      <c r="N1051" s="103" t="str">
        <f>IF(A1051="","",VLOOKUP(A1051,Stand!C:K,9,0))</f>
        <v/>
      </c>
      <c r="O1051" s="104" t="str">
        <f t="shared" si="470"/>
        <v/>
      </c>
      <c r="P1051" s="105" t="str">
        <f t="shared" si="471"/>
        <v/>
      </c>
      <c r="Q1051" s="105" t="str">
        <f t="shared" si="459"/>
        <v/>
      </c>
      <c r="R1051" s="103" t="str">
        <f t="shared" si="472"/>
        <v/>
      </c>
      <c r="S1051" s="103" t="str">
        <f t="shared" si="473"/>
        <v/>
      </c>
      <c r="T1051" s="106" t="str">
        <f t="shared" si="460"/>
        <v/>
      </c>
      <c r="U1051" s="106" t="str">
        <f t="shared" si="461"/>
        <v/>
      </c>
      <c r="V1051" s="106" t="str">
        <f t="shared" si="462"/>
        <v/>
      </c>
      <c r="W1051" s="105" t="str">
        <f t="shared" si="474"/>
        <v/>
      </c>
      <c r="X1051" s="104" t="str">
        <f t="shared" si="479"/>
        <v/>
      </c>
      <c r="Y1051" s="104" t="str">
        <f t="array" ref="Y1051">IFERROR(IF(ISNUMBER(O1051),IF(COUNT(IF(A1051=$A$2:$A$2427,IF(D1051=$D$2:$D$2427,IF($X$2:$X$2427&gt;0,1))))&gt;0,SUM(IF(A1051=$A$2:$A$2427,IF(D1051=$D$2:$D$2427,$X$2:$X$2427)))/COUNT(IF(A1051=$A$2:$A$2427,IF(D1051=$D$2:$D$2427,IF(ISNUMBER($X$2:$X$2427),1)))),0),""),0)</f>
        <v/>
      </c>
      <c r="Z1051" s="104" t="str">
        <f>IF(ISNUMBER(O1051),IF(I1051&gt;0,(10^(VLOOKUP(D1051,'Species Codes'!B:C,2,0)+VLOOKUP(D1051,'Species Codes'!B:D,3,0)*LOG(E1051)+VLOOKUP(D1051,'Species Codes'!B:E,4,0)*LOG(I1051))),0),"")</f>
        <v/>
      </c>
      <c r="AA1051" s="104" t="str">
        <f>IFERROR((VLOOKUP(D1051,'Species Codes'!B:G,6,0)*Z1051)/2000,"")</f>
        <v/>
      </c>
      <c r="AB1051" s="104" t="e">
        <f>IF(Z1051&gt;0,((IF(OR(D1051="DF",D1051="RA")=TRUE,EXP(VLOOKUP(D1051,'Species Codes'!B:I,8,0)+VLOOKUP(D1051,'Species Codes'!B:J,9,0)*(LN((E1051*2.54)))),IF(OR(D1051="PY",D1051="RC",D1051="WH",D1051="NF")=TRUE,VLOOKUP(D1051,'Species Codes'!B:I,8,0)+VLOOKUP(D1051,'Species Codes'!B:J,9,0)*((E1051*2.54)^2)*(I1051*0.3048),IF(OR(D1051="MD",D1051="BM",D1051="GA")=TRUE,((VLOOKUP(D1051,'Species Codes'!B:I,8,0)*(((((E1051*2.54)+VLOOKUP(D1051,'Species Codes'!B:J,9,0))/VLOOKUP(D1051,'Species Codes'!B:K,10,0))^VLOOKUP(D1051,'Species Codes'!B:L,11,0))*((I1051*0.3048)^VLOOKUP(D1051,'Species Codes'!B:M,12,0))))-(VLOOKUP(D1051,'Species Codes'!B:I,8,0)*((((E1051*2.54)^VLOOKUP(D1051,'Species Codes'!B:L,11,0))*((I1051*0.3048)^VLOOKUP(D1051,'Species Codes'!B:M,12,0))))))*35.3*VLOOKUP(D1051,'Species Codes'!B:G,6,0)/2.2046,VLOOKUP(D1051,'Species Codes'!B:I,8,0)+VLOOKUP(D1051,'Species Codes'!B:J,9,0)*(((E1051*2.54)/100)^2)*(I1051*0.3048)))))*0.0011023),0)</f>
        <v>#N/A</v>
      </c>
      <c r="AC1051" s="104" t="e">
        <f>IF(Z1051&gt;0,((IF(OR(D1051="RA",D1051="OA",D1051="OT",D1051="UN",D1051="PC"),EXP(VLOOKUP(D1051,'Species Codes'!B:O,14,0)+VLOOKUP(D1051,'Species Codes'!B:P,15,0)*LN((E1051*2.54)))-EXP(VLOOKUP(D1051,'Species Codes'!B:O,14,0)+VLOOKUP(D1051,'Species Codes'!B:P,15,0)*LN((E1051*2.54)))*(1/(VLOOKUP(D1051,'Species Codes'!B:Q,16,0)+VLOOKUP(D1051,'Species Codes'!B:R,17,0)*((E1051*2.54)^VLOOKUP(D1051,'Species Codes'!B:S,18,0)))),IF(OR(D1051="BM",D1051="MD",D1051="OA"),EXP(VLOOKUP(D1051,'Species Codes'!B:O,14,0)+VLOOKUP(D1051,'Species Codes'!B:P,15,0)*LN((E1051*2.54)))*(1-(1/(VLOOKUP(D1051,'Species Codes'!B:Q,16,0)+VLOOKUP(D1051,'Species Codes'!B:R,17,0)*((E1051*2.54)^VLOOKUP(D1051,'Species Codes'!B:S,18,0)))))/1000,IF(D1051="DF",EXP(VLOOKUP(D1051,'Species Codes'!B:O,14,0)+VLOOKUP(D1051,'Species Codes'!B:P,15,0)*LN((E1051*2.54))),VLOOKUP(D1051,'Species Codes'!B:O,14,0)+VLOOKUP(D1051,'Species Codes'!B:P,15,0)*(((E1051*2.54)/100)^2)*(I1051*0.3048)))))*0.0011023),0)</f>
        <v>#N/A</v>
      </c>
      <c r="AD1051" s="104" t="e">
        <f t="shared" si="463"/>
        <v>#N/A</v>
      </c>
      <c r="AE1051" s="104" t="e">
        <f t="shared" si="464"/>
        <v>#N/A</v>
      </c>
      <c r="AF1051" s="104" t="e">
        <f>IF(AND(VLOOKUP($D1051,Merchantability!$B:$C,2,0)="Yes",$E1051&gt;=VLOOKUP($D1051,Merchantability!$B:$D,3,0),$E1051&lt;=VLOOKUP($D1051,Merchantability!$B:$E,4,0)),AA1051,0)</f>
        <v>#N/A</v>
      </c>
      <c r="AG1051" s="104" t="e">
        <f>IF(AND(VLOOKUP($D1051,Merchantability!$B:$C,2,0)="Yes",$E1051&gt;=VLOOKUP($D1051,Merchantability!$B:$D,3,0),$E1051&lt;=VLOOKUP($D1051,Merchantability!$B:$E,4,0)),AB1051,0)</f>
        <v>#N/A</v>
      </c>
      <c r="AH1051" s="104" t="e">
        <f>IF(AND(VLOOKUP($D1051,Merchantability!$B:$C,2,0)="Yes",$E1051&gt;=VLOOKUP($D1051,Merchantability!$B:$D,3,0),$E1051&lt;=VLOOKUP($D1051,Merchantability!$B:$E,4,0)),AC1051,0)</f>
        <v>#N/A</v>
      </c>
      <c r="AI1051" s="104" t="e">
        <f t="shared" si="465"/>
        <v>#N/A</v>
      </c>
      <c r="AJ1051" s="104" t="e">
        <f t="shared" si="466"/>
        <v>#VALUE!</v>
      </c>
      <c r="AK1051" s="104" t="e">
        <f t="shared" si="467"/>
        <v>#N/A</v>
      </c>
      <c r="AL1051" s="104" t="e">
        <f t="shared" si="468"/>
        <v>#N/A</v>
      </c>
      <c r="AM1051" s="104" t="e">
        <f t="shared" si="469"/>
        <v>#N/A</v>
      </c>
      <c r="AN1051" s="104" t="e">
        <f t="shared" si="480"/>
        <v>#N/A</v>
      </c>
      <c r="AO1051" s="104" t="e">
        <f t="shared" si="481"/>
        <v>#N/A</v>
      </c>
      <c r="AP1051" s="104" t="e">
        <f t="shared" si="482"/>
        <v>#N/A</v>
      </c>
      <c r="AQ1051" s="104" t="e">
        <f t="shared" si="483"/>
        <v>#N/A</v>
      </c>
      <c r="AR1051" s="105" t="str">
        <f t="shared" si="475"/>
        <v/>
      </c>
      <c r="AS1051" s="105" t="str">
        <f t="shared" si="476"/>
        <v/>
      </c>
      <c r="AT1051" s="108" t="str">
        <f t="shared" si="477"/>
        <v/>
      </c>
      <c r="AU1051" s="108" t="str">
        <f t="shared" si="478"/>
        <v/>
      </c>
      <c r="AV1051" s="107" t="str">
        <f>IF(ISNUMBER(O1051),IF(VLOOKUP($A1051,Stand!C:J,8,FALSE)="Short",AT1051,AU1051),"")</f>
        <v/>
      </c>
      <c r="AW1051" s="109" t="str">
        <f t="shared" si="484"/>
        <v/>
      </c>
      <c r="AX1051" s="109" t="str">
        <f t="shared" si="485"/>
        <v/>
      </c>
      <c r="AY1051" s="112" t="str">
        <f>IF(ISNUMBER(O1051),IF(AND(VLOOKUP($D1051,Merchantability!$B:$C,2,0)="Yes",$E1051&gt;=VLOOKUP($D1051,Merchantability!$B:$D,3,0),$E1051&lt;=VLOOKUP($D1051,Merchantability!$B:$E,4,0)),(AV1051*O1051)*(1-$H1051/100),""),"")</f>
        <v/>
      </c>
      <c r="AZ1051" s="116"/>
      <c r="BA1051" s="116"/>
      <c r="BB1051" s="116"/>
      <c r="BE1051" s="62"/>
      <c r="BF1051" s="63"/>
    </row>
    <row r="1052" spans="1:58" ht="12.75" customHeight="1" x14ac:dyDescent="0.25">
      <c r="A1052" s="313"/>
      <c r="B1052" s="328"/>
      <c r="C1052" s="329"/>
      <c r="D1052" s="328"/>
      <c r="E1052" s="330"/>
      <c r="F1052" s="328"/>
      <c r="G1052" s="329"/>
      <c r="H1052" s="329"/>
      <c r="I1052" s="328"/>
      <c r="J1052" s="383"/>
      <c r="K1052" s="329"/>
      <c r="L1052" s="329"/>
      <c r="M1052" s="76"/>
      <c r="N1052" s="103" t="str">
        <f>IF(A1052="","",VLOOKUP(A1052,Stand!C:K,9,0))</f>
        <v/>
      </c>
      <c r="O1052" s="104" t="str">
        <f t="shared" si="470"/>
        <v/>
      </c>
      <c r="P1052" s="105" t="str">
        <f t="shared" si="471"/>
        <v/>
      </c>
      <c r="Q1052" s="105" t="str">
        <f t="shared" si="459"/>
        <v/>
      </c>
      <c r="R1052" s="103" t="str">
        <f t="shared" si="472"/>
        <v/>
      </c>
      <c r="S1052" s="103" t="str">
        <f t="shared" si="473"/>
        <v/>
      </c>
      <c r="T1052" s="106" t="str">
        <f t="shared" si="460"/>
        <v/>
      </c>
      <c r="U1052" s="106" t="str">
        <f t="shared" si="461"/>
        <v/>
      </c>
      <c r="V1052" s="106" t="str">
        <f t="shared" si="462"/>
        <v/>
      </c>
      <c r="W1052" s="105" t="str">
        <f t="shared" si="474"/>
        <v/>
      </c>
      <c r="X1052" s="104" t="str">
        <f t="shared" si="479"/>
        <v/>
      </c>
      <c r="Y1052" s="104" t="str">
        <f t="array" ref="Y1052">IFERROR(IF(ISNUMBER(O1052),IF(COUNT(IF(A1052=$A$2:$A$2427,IF(D1052=$D$2:$D$2427,IF($X$2:$X$2427&gt;0,1))))&gt;0,SUM(IF(A1052=$A$2:$A$2427,IF(D1052=$D$2:$D$2427,$X$2:$X$2427)))/COUNT(IF(A1052=$A$2:$A$2427,IF(D1052=$D$2:$D$2427,IF(ISNUMBER($X$2:$X$2427),1)))),0),""),0)</f>
        <v/>
      </c>
      <c r="Z1052" s="104" t="str">
        <f>IF(ISNUMBER(O1052),IF(I1052&gt;0,(10^(VLOOKUP(D1052,'Species Codes'!B:C,2,0)+VLOOKUP(D1052,'Species Codes'!B:D,3,0)*LOG(E1052)+VLOOKUP(D1052,'Species Codes'!B:E,4,0)*LOG(I1052))),0),"")</f>
        <v/>
      </c>
      <c r="AA1052" s="104" t="str">
        <f>IFERROR((VLOOKUP(D1052,'Species Codes'!B:G,6,0)*Z1052)/2000,"")</f>
        <v/>
      </c>
      <c r="AB1052" s="104" t="e">
        <f>IF(Z1052&gt;0,((IF(OR(D1052="DF",D1052="RA")=TRUE,EXP(VLOOKUP(D1052,'Species Codes'!B:I,8,0)+VLOOKUP(D1052,'Species Codes'!B:J,9,0)*(LN((E1052*2.54)))),IF(OR(D1052="PY",D1052="RC",D1052="WH",D1052="NF")=TRUE,VLOOKUP(D1052,'Species Codes'!B:I,8,0)+VLOOKUP(D1052,'Species Codes'!B:J,9,0)*((E1052*2.54)^2)*(I1052*0.3048),IF(OR(D1052="MD",D1052="BM",D1052="GA")=TRUE,((VLOOKUP(D1052,'Species Codes'!B:I,8,0)*(((((E1052*2.54)+VLOOKUP(D1052,'Species Codes'!B:J,9,0))/VLOOKUP(D1052,'Species Codes'!B:K,10,0))^VLOOKUP(D1052,'Species Codes'!B:L,11,0))*((I1052*0.3048)^VLOOKUP(D1052,'Species Codes'!B:M,12,0))))-(VLOOKUP(D1052,'Species Codes'!B:I,8,0)*((((E1052*2.54)^VLOOKUP(D1052,'Species Codes'!B:L,11,0))*((I1052*0.3048)^VLOOKUP(D1052,'Species Codes'!B:M,12,0))))))*35.3*VLOOKUP(D1052,'Species Codes'!B:G,6,0)/2.2046,VLOOKUP(D1052,'Species Codes'!B:I,8,0)+VLOOKUP(D1052,'Species Codes'!B:J,9,0)*(((E1052*2.54)/100)^2)*(I1052*0.3048)))))*0.0011023),0)</f>
        <v>#N/A</v>
      </c>
      <c r="AC1052" s="104" t="e">
        <f>IF(Z1052&gt;0,((IF(OR(D1052="RA",D1052="OA",D1052="OT",D1052="UN",D1052="PC"),EXP(VLOOKUP(D1052,'Species Codes'!B:O,14,0)+VLOOKUP(D1052,'Species Codes'!B:P,15,0)*LN((E1052*2.54)))-EXP(VLOOKUP(D1052,'Species Codes'!B:O,14,0)+VLOOKUP(D1052,'Species Codes'!B:P,15,0)*LN((E1052*2.54)))*(1/(VLOOKUP(D1052,'Species Codes'!B:Q,16,0)+VLOOKUP(D1052,'Species Codes'!B:R,17,0)*((E1052*2.54)^VLOOKUP(D1052,'Species Codes'!B:S,18,0)))),IF(OR(D1052="BM",D1052="MD",D1052="OA"),EXP(VLOOKUP(D1052,'Species Codes'!B:O,14,0)+VLOOKUP(D1052,'Species Codes'!B:P,15,0)*LN((E1052*2.54)))*(1-(1/(VLOOKUP(D1052,'Species Codes'!B:Q,16,0)+VLOOKUP(D1052,'Species Codes'!B:R,17,0)*((E1052*2.54)^VLOOKUP(D1052,'Species Codes'!B:S,18,0)))))/1000,IF(D1052="DF",EXP(VLOOKUP(D1052,'Species Codes'!B:O,14,0)+VLOOKUP(D1052,'Species Codes'!B:P,15,0)*LN((E1052*2.54))),VLOOKUP(D1052,'Species Codes'!B:O,14,0)+VLOOKUP(D1052,'Species Codes'!B:P,15,0)*(((E1052*2.54)/100)^2)*(I1052*0.3048)))))*0.0011023),0)</f>
        <v>#N/A</v>
      </c>
      <c r="AD1052" s="104" t="e">
        <f t="shared" si="463"/>
        <v>#N/A</v>
      </c>
      <c r="AE1052" s="104" t="e">
        <f t="shared" si="464"/>
        <v>#N/A</v>
      </c>
      <c r="AF1052" s="104" t="e">
        <f>IF(AND(VLOOKUP($D1052,Merchantability!$B:$C,2,0)="Yes",$E1052&gt;=VLOOKUP($D1052,Merchantability!$B:$D,3,0),$E1052&lt;=VLOOKUP($D1052,Merchantability!$B:$E,4,0)),AA1052,0)</f>
        <v>#N/A</v>
      </c>
      <c r="AG1052" s="104" t="e">
        <f>IF(AND(VLOOKUP($D1052,Merchantability!$B:$C,2,0)="Yes",$E1052&gt;=VLOOKUP($D1052,Merchantability!$B:$D,3,0),$E1052&lt;=VLOOKUP($D1052,Merchantability!$B:$E,4,0)),AB1052,0)</f>
        <v>#N/A</v>
      </c>
      <c r="AH1052" s="104" t="e">
        <f>IF(AND(VLOOKUP($D1052,Merchantability!$B:$C,2,0)="Yes",$E1052&gt;=VLOOKUP($D1052,Merchantability!$B:$D,3,0),$E1052&lt;=VLOOKUP($D1052,Merchantability!$B:$E,4,0)),AC1052,0)</f>
        <v>#N/A</v>
      </c>
      <c r="AI1052" s="104" t="e">
        <f t="shared" si="465"/>
        <v>#N/A</v>
      </c>
      <c r="AJ1052" s="104" t="e">
        <f t="shared" si="466"/>
        <v>#VALUE!</v>
      </c>
      <c r="AK1052" s="104" t="e">
        <f t="shared" si="467"/>
        <v>#N/A</v>
      </c>
      <c r="AL1052" s="104" t="e">
        <f t="shared" si="468"/>
        <v>#N/A</v>
      </c>
      <c r="AM1052" s="104" t="e">
        <f t="shared" si="469"/>
        <v>#N/A</v>
      </c>
      <c r="AN1052" s="104" t="e">
        <f t="shared" si="480"/>
        <v>#N/A</v>
      </c>
      <c r="AO1052" s="104" t="e">
        <f t="shared" si="481"/>
        <v>#N/A</v>
      </c>
      <c r="AP1052" s="104" t="e">
        <f t="shared" si="482"/>
        <v>#N/A</v>
      </c>
      <c r="AQ1052" s="104" t="e">
        <f t="shared" si="483"/>
        <v>#N/A</v>
      </c>
      <c r="AR1052" s="105" t="str">
        <f t="shared" si="475"/>
        <v/>
      </c>
      <c r="AS1052" s="105" t="str">
        <f t="shared" si="476"/>
        <v/>
      </c>
      <c r="AT1052" s="108" t="str">
        <f t="shared" si="477"/>
        <v/>
      </c>
      <c r="AU1052" s="108" t="str">
        <f t="shared" si="478"/>
        <v/>
      </c>
      <c r="AV1052" s="107" t="str">
        <f>IF(ISNUMBER(O1052),IF(VLOOKUP($A1052,Stand!C:J,8,FALSE)="Short",AT1052,AU1052),"")</f>
        <v/>
      </c>
      <c r="AW1052" s="109" t="str">
        <f t="shared" si="484"/>
        <v/>
      </c>
      <c r="AX1052" s="109" t="str">
        <f t="shared" si="485"/>
        <v/>
      </c>
      <c r="AY1052" s="112" t="str">
        <f>IF(ISNUMBER(O1052),IF(AND(VLOOKUP($D1052,Merchantability!$B:$C,2,0)="Yes",$E1052&gt;=VLOOKUP($D1052,Merchantability!$B:$D,3,0),$E1052&lt;=VLOOKUP($D1052,Merchantability!$B:$E,4,0)),(AV1052*O1052)*(1-$H1052/100),""),"")</f>
        <v/>
      </c>
      <c r="AZ1052" s="116"/>
      <c r="BA1052" s="116"/>
      <c r="BB1052" s="116"/>
      <c r="BE1052" s="62"/>
      <c r="BF1052" s="63"/>
    </row>
    <row r="1053" spans="1:58" ht="12.75" customHeight="1" x14ac:dyDescent="0.25">
      <c r="A1053" s="313"/>
      <c r="B1053" s="328"/>
      <c r="C1053" s="329"/>
      <c r="D1053" s="328"/>
      <c r="E1053" s="330"/>
      <c r="F1053" s="328"/>
      <c r="G1053" s="329"/>
      <c r="H1053" s="329"/>
      <c r="I1053" s="328"/>
      <c r="J1053" s="383"/>
      <c r="K1053" s="329"/>
      <c r="L1053" s="329"/>
      <c r="M1053" s="76"/>
      <c r="N1053" s="103" t="str">
        <f>IF(A1053="","",VLOOKUP(A1053,Stand!C:K,9,0))</f>
        <v/>
      </c>
      <c r="O1053" s="104" t="str">
        <f t="shared" si="470"/>
        <v/>
      </c>
      <c r="P1053" s="105" t="str">
        <f t="shared" si="471"/>
        <v/>
      </c>
      <c r="Q1053" s="105" t="str">
        <f t="shared" ref="Q1053:Q1116" si="486">IF(AND(ISNUMBER(O1053),I1053&gt;0),I1053*O1053,"")</f>
        <v/>
      </c>
      <c r="R1053" s="103" t="str">
        <f t="shared" si="472"/>
        <v/>
      </c>
      <c r="S1053" s="103" t="str">
        <f t="shared" si="473"/>
        <v/>
      </c>
      <c r="T1053" s="106" t="str">
        <f t="shared" ref="T1053:T1116" si="487">IF(AND(ISNUMBER(O1053),J1053&gt;0),J1053/100,"")</f>
        <v/>
      </c>
      <c r="U1053" s="106" t="str">
        <f t="shared" ref="U1053:U1116" si="488">IF(AND(ISNUMBER(O1053),J1053&gt;0),T1053*O1053,"")</f>
        <v/>
      </c>
      <c r="V1053" s="106" t="str">
        <f t="shared" ref="V1053:V1116" si="489">IF(AND(ISNUMBER(O1053),I1053&gt;0),W1053*O1053,"")</f>
        <v/>
      </c>
      <c r="W1053" s="105" t="str">
        <f t="shared" si="474"/>
        <v/>
      </c>
      <c r="X1053" s="104" t="str">
        <f t="shared" si="479"/>
        <v/>
      </c>
      <c r="Y1053" s="104" t="str">
        <f t="array" ref="Y1053">IFERROR(IF(ISNUMBER(O1053),IF(COUNT(IF(A1053=$A$2:$A$2427,IF(D1053=$D$2:$D$2427,IF($X$2:$X$2427&gt;0,1))))&gt;0,SUM(IF(A1053=$A$2:$A$2427,IF(D1053=$D$2:$D$2427,$X$2:$X$2427)))/COUNT(IF(A1053=$A$2:$A$2427,IF(D1053=$D$2:$D$2427,IF(ISNUMBER($X$2:$X$2427),1)))),0),""),0)</f>
        <v/>
      </c>
      <c r="Z1053" s="104" t="str">
        <f>IF(ISNUMBER(O1053),IF(I1053&gt;0,(10^(VLOOKUP(D1053,'Species Codes'!B:C,2,0)+VLOOKUP(D1053,'Species Codes'!B:D,3,0)*LOG(E1053)+VLOOKUP(D1053,'Species Codes'!B:E,4,0)*LOG(I1053))),0),"")</f>
        <v/>
      </c>
      <c r="AA1053" s="104" t="str">
        <f>IFERROR((VLOOKUP(D1053,'Species Codes'!B:G,6,0)*Z1053)/2000,"")</f>
        <v/>
      </c>
      <c r="AB1053" s="104" t="e">
        <f>IF(Z1053&gt;0,((IF(OR(D1053="DF",D1053="RA")=TRUE,EXP(VLOOKUP(D1053,'Species Codes'!B:I,8,0)+VLOOKUP(D1053,'Species Codes'!B:J,9,0)*(LN((E1053*2.54)))),IF(OR(D1053="PY",D1053="RC",D1053="WH",D1053="NF")=TRUE,VLOOKUP(D1053,'Species Codes'!B:I,8,0)+VLOOKUP(D1053,'Species Codes'!B:J,9,0)*((E1053*2.54)^2)*(I1053*0.3048),IF(OR(D1053="MD",D1053="BM",D1053="GA")=TRUE,((VLOOKUP(D1053,'Species Codes'!B:I,8,0)*(((((E1053*2.54)+VLOOKUP(D1053,'Species Codes'!B:J,9,0))/VLOOKUP(D1053,'Species Codes'!B:K,10,0))^VLOOKUP(D1053,'Species Codes'!B:L,11,0))*((I1053*0.3048)^VLOOKUP(D1053,'Species Codes'!B:M,12,0))))-(VLOOKUP(D1053,'Species Codes'!B:I,8,0)*((((E1053*2.54)^VLOOKUP(D1053,'Species Codes'!B:L,11,0))*((I1053*0.3048)^VLOOKUP(D1053,'Species Codes'!B:M,12,0))))))*35.3*VLOOKUP(D1053,'Species Codes'!B:G,6,0)/2.2046,VLOOKUP(D1053,'Species Codes'!B:I,8,0)+VLOOKUP(D1053,'Species Codes'!B:J,9,0)*(((E1053*2.54)/100)^2)*(I1053*0.3048)))))*0.0011023),0)</f>
        <v>#N/A</v>
      </c>
      <c r="AC1053" s="104" t="e">
        <f>IF(Z1053&gt;0,((IF(OR(D1053="RA",D1053="OA",D1053="OT",D1053="UN",D1053="PC"),EXP(VLOOKUP(D1053,'Species Codes'!B:O,14,0)+VLOOKUP(D1053,'Species Codes'!B:P,15,0)*LN((E1053*2.54)))-EXP(VLOOKUP(D1053,'Species Codes'!B:O,14,0)+VLOOKUP(D1053,'Species Codes'!B:P,15,0)*LN((E1053*2.54)))*(1/(VLOOKUP(D1053,'Species Codes'!B:Q,16,0)+VLOOKUP(D1053,'Species Codes'!B:R,17,0)*((E1053*2.54)^VLOOKUP(D1053,'Species Codes'!B:S,18,0)))),IF(OR(D1053="BM",D1053="MD",D1053="OA"),EXP(VLOOKUP(D1053,'Species Codes'!B:O,14,0)+VLOOKUP(D1053,'Species Codes'!B:P,15,0)*LN((E1053*2.54)))*(1-(1/(VLOOKUP(D1053,'Species Codes'!B:Q,16,0)+VLOOKUP(D1053,'Species Codes'!B:R,17,0)*((E1053*2.54)^VLOOKUP(D1053,'Species Codes'!B:S,18,0)))))/1000,IF(D1053="DF",EXP(VLOOKUP(D1053,'Species Codes'!B:O,14,0)+VLOOKUP(D1053,'Species Codes'!B:P,15,0)*LN((E1053*2.54))),VLOOKUP(D1053,'Species Codes'!B:O,14,0)+VLOOKUP(D1053,'Species Codes'!B:P,15,0)*(((E1053*2.54)/100)^2)*(I1053*0.3048)))))*0.0011023),0)</f>
        <v>#N/A</v>
      </c>
      <c r="AD1053" s="104" t="e">
        <f t="shared" ref="AD1053:AD1116" si="490">SUM(AA1053:AC1053)</f>
        <v>#N/A</v>
      </c>
      <c r="AE1053" s="104" t="e">
        <f t="shared" ref="AE1053:AE1116" si="491">AD1053*O1053</f>
        <v>#N/A</v>
      </c>
      <c r="AF1053" s="104" t="e">
        <f>IF(AND(VLOOKUP($D1053,Merchantability!$B:$C,2,0)="Yes",$E1053&gt;=VLOOKUP($D1053,Merchantability!$B:$D,3,0),$E1053&lt;=VLOOKUP($D1053,Merchantability!$B:$E,4,0)),AA1053,0)</f>
        <v>#N/A</v>
      </c>
      <c r="AG1053" s="104" t="e">
        <f>IF(AND(VLOOKUP($D1053,Merchantability!$B:$C,2,0)="Yes",$E1053&gt;=VLOOKUP($D1053,Merchantability!$B:$D,3,0),$E1053&lt;=VLOOKUP($D1053,Merchantability!$B:$E,4,0)),AB1053,0)</f>
        <v>#N/A</v>
      </c>
      <c r="AH1053" s="104" t="e">
        <f>IF(AND(VLOOKUP($D1053,Merchantability!$B:$C,2,0)="Yes",$E1053&gt;=VLOOKUP($D1053,Merchantability!$B:$D,3,0),$E1053&lt;=VLOOKUP($D1053,Merchantability!$B:$E,4,0)),AC1053,0)</f>
        <v>#N/A</v>
      </c>
      <c r="AI1053" s="104" t="e">
        <f t="shared" ref="AI1053:AI1116" si="492">SUM(AF1053:AH1053)</f>
        <v>#N/A</v>
      </c>
      <c r="AJ1053" s="104" t="e">
        <f t="shared" ref="AJ1053:AJ1116" si="493">AA1053*$O1053</f>
        <v>#VALUE!</v>
      </c>
      <c r="AK1053" s="104" t="e">
        <f t="shared" ref="AK1053:AK1116" si="494">AB1053*$O1053</f>
        <v>#N/A</v>
      </c>
      <c r="AL1053" s="104" t="e">
        <f t="shared" ref="AL1053:AL1116" si="495">AC1053*$O1053</f>
        <v>#N/A</v>
      </c>
      <c r="AM1053" s="104" t="e">
        <f t="shared" ref="AM1053:AM1116" si="496">AD1053*$O1053</f>
        <v>#N/A</v>
      </c>
      <c r="AN1053" s="104" t="e">
        <f t="shared" si="480"/>
        <v>#N/A</v>
      </c>
      <c r="AO1053" s="104" t="e">
        <f t="shared" si="481"/>
        <v>#N/A</v>
      </c>
      <c r="AP1053" s="104" t="e">
        <f t="shared" si="482"/>
        <v>#N/A</v>
      </c>
      <c r="AQ1053" s="104" t="e">
        <f t="shared" si="483"/>
        <v>#N/A</v>
      </c>
      <c r="AR1053" s="105" t="str">
        <f t="shared" si="475"/>
        <v/>
      </c>
      <c r="AS1053" s="105" t="str">
        <f t="shared" si="476"/>
        <v/>
      </c>
      <c r="AT1053" s="108" t="str">
        <f t="shared" si="477"/>
        <v/>
      </c>
      <c r="AU1053" s="108" t="str">
        <f t="shared" si="478"/>
        <v/>
      </c>
      <c r="AV1053" s="107" t="str">
        <f>IF(ISNUMBER(O1053),IF(VLOOKUP($A1053,Stand!C:J,8,FALSE)="Short",AT1053,AU1053),"")</f>
        <v/>
      </c>
      <c r="AW1053" s="109" t="str">
        <f t="shared" si="484"/>
        <v/>
      </c>
      <c r="AX1053" s="109" t="str">
        <f t="shared" si="485"/>
        <v/>
      </c>
      <c r="AY1053" s="112" t="str">
        <f>IF(ISNUMBER(O1053),IF(AND(VLOOKUP($D1053,Merchantability!$B:$C,2,0)="Yes",$E1053&gt;=VLOOKUP($D1053,Merchantability!$B:$D,3,0),$E1053&lt;=VLOOKUP($D1053,Merchantability!$B:$E,4,0)),(AV1053*O1053)*(1-$H1053/100),""),"")</f>
        <v/>
      </c>
      <c r="AZ1053" s="116"/>
      <c r="BA1053" s="116"/>
      <c r="BB1053" s="116"/>
      <c r="BE1053" s="62"/>
      <c r="BF1053" s="63"/>
    </row>
    <row r="1054" spans="1:58" ht="12.75" customHeight="1" x14ac:dyDescent="0.25">
      <c r="A1054" s="313"/>
      <c r="B1054" s="328"/>
      <c r="C1054" s="329"/>
      <c r="D1054" s="328"/>
      <c r="E1054" s="330"/>
      <c r="F1054" s="328"/>
      <c r="G1054" s="329"/>
      <c r="H1054" s="329"/>
      <c r="I1054" s="328"/>
      <c r="J1054" s="383"/>
      <c r="K1054" s="329"/>
      <c r="L1054" s="329"/>
      <c r="M1054" s="76"/>
      <c r="N1054" s="103" t="str">
        <f>IF(A1054="","",VLOOKUP(A1054,Stand!C:K,9,0))</f>
        <v/>
      </c>
      <c r="O1054" s="104" t="str">
        <f t="shared" si="470"/>
        <v/>
      </c>
      <c r="P1054" s="105" t="str">
        <f t="shared" si="471"/>
        <v/>
      </c>
      <c r="Q1054" s="105" t="str">
        <f t="shared" si="486"/>
        <v/>
      </c>
      <c r="R1054" s="103" t="str">
        <f t="shared" si="472"/>
        <v/>
      </c>
      <c r="S1054" s="103" t="str">
        <f t="shared" si="473"/>
        <v/>
      </c>
      <c r="T1054" s="106" t="str">
        <f t="shared" si="487"/>
        <v/>
      </c>
      <c r="U1054" s="106" t="str">
        <f t="shared" si="488"/>
        <v/>
      </c>
      <c r="V1054" s="106" t="str">
        <f t="shared" si="489"/>
        <v/>
      </c>
      <c r="W1054" s="105" t="str">
        <f t="shared" si="474"/>
        <v/>
      </c>
      <c r="X1054" s="104" t="str">
        <f t="shared" si="479"/>
        <v/>
      </c>
      <c r="Y1054" s="104" t="str">
        <f t="array" ref="Y1054">IFERROR(IF(ISNUMBER(O1054),IF(COUNT(IF(A1054=$A$2:$A$2427,IF(D1054=$D$2:$D$2427,IF($X$2:$X$2427&gt;0,1))))&gt;0,SUM(IF(A1054=$A$2:$A$2427,IF(D1054=$D$2:$D$2427,$X$2:$X$2427)))/COUNT(IF(A1054=$A$2:$A$2427,IF(D1054=$D$2:$D$2427,IF(ISNUMBER($X$2:$X$2427),1)))),0),""),0)</f>
        <v/>
      </c>
      <c r="Z1054" s="104" t="str">
        <f>IF(ISNUMBER(O1054),IF(I1054&gt;0,(10^(VLOOKUP(D1054,'Species Codes'!B:C,2,0)+VLOOKUP(D1054,'Species Codes'!B:D,3,0)*LOG(E1054)+VLOOKUP(D1054,'Species Codes'!B:E,4,0)*LOG(I1054))),0),"")</f>
        <v/>
      </c>
      <c r="AA1054" s="104" t="str">
        <f>IFERROR((VLOOKUP(D1054,'Species Codes'!B:G,6,0)*Z1054)/2000,"")</f>
        <v/>
      </c>
      <c r="AB1054" s="104" t="e">
        <f>IF(Z1054&gt;0,((IF(OR(D1054="DF",D1054="RA")=TRUE,EXP(VLOOKUP(D1054,'Species Codes'!B:I,8,0)+VLOOKUP(D1054,'Species Codes'!B:J,9,0)*(LN((E1054*2.54)))),IF(OR(D1054="PY",D1054="RC",D1054="WH",D1054="NF")=TRUE,VLOOKUP(D1054,'Species Codes'!B:I,8,0)+VLOOKUP(D1054,'Species Codes'!B:J,9,0)*((E1054*2.54)^2)*(I1054*0.3048),IF(OR(D1054="MD",D1054="BM",D1054="GA")=TRUE,((VLOOKUP(D1054,'Species Codes'!B:I,8,0)*(((((E1054*2.54)+VLOOKUP(D1054,'Species Codes'!B:J,9,0))/VLOOKUP(D1054,'Species Codes'!B:K,10,0))^VLOOKUP(D1054,'Species Codes'!B:L,11,0))*((I1054*0.3048)^VLOOKUP(D1054,'Species Codes'!B:M,12,0))))-(VLOOKUP(D1054,'Species Codes'!B:I,8,0)*((((E1054*2.54)^VLOOKUP(D1054,'Species Codes'!B:L,11,0))*((I1054*0.3048)^VLOOKUP(D1054,'Species Codes'!B:M,12,0))))))*35.3*VLOOKUP(D1054,'Species Codes'!B:G,6,0)/2.2046,VLOOKUP(D1054,'Species Codes'!B:I,8,0)+VLOOKUP(D1054,'Species Codes'!B:J,9,0)*(((E1054*2.54)/100)^2)*(I1054*0.3048)))))*0.0011023),0)</f>
        <v>#N/A</v>
      </c>
      <c r="AC1054" s="104" t="e">
        <f>IF(Z1054&gt;0,((IF(OR(D1054="RA",D1054="OA",D1054="OT",D1054="UN",D1054="PC"),EXP(VLOOKUP(D1054,'Species Codes'!B:O,14,0)+VLOOKUP(D1054,'Species Codes'!B:P,15,0)*LN((E1054*2.54)))-EXP(VLOOKUP(D1054,'Species Codes'!B:O,14,0)+VLOOKUP(D1054,'Species Codes'!B:P,15,0)*LN((E1054*2.54)))*(1/(VLOOKUP(D1054,'Species Codes'!B:Q,16,0)+VLOOKUP(D1054,'Species Codes'!B:R,17,0)*((E1054*2.54)^VLOOKUP(D1054,'Species Codes'!B:S,18,0)))),IF(OR(D1054="BM",D1054="MD",D1054="OA"),EXP(VLOOKUP(D1054,'Species Codes'!B:O,14,0)+VLOOKUP(D1054,'Species Codes'!B:P,15,0)*LN((E1054*2.54)))*(1-(1/(VLOOKUP(D1054,'Species Codes'!B:Q,16,0)+VLOOKUP(D1054,'Species Codes'!B:R,17,0)*((E1054*2.54)^VLOOKUP(D1054,'Species Codes'!B:S,18,0)))))/1000,IF(D1054="DF",EXP(VLOOKUP(D1054,'Species Codes'!B:O,14,0)+VLOOKUP(D1054,'Species Codes'!B:P,15,0)*LN((E1054*2.54))),VLOOKUP(D1054,'Species Codes'!B:O,14,0)+VLOOKUP(D1054,'Species Codes'!B:P,15,0)*(((E1054*2.54)/100)^2)*(I1054*0.3048)))))*0.0011023),0)</f>
        <v>#N/A</v>
      </c>
      <c r="AD1054" s="104" t="e">
        <f t="shared" si="490"/>
        <v>#N/A</v>
      </c>
      <c r="AE1054" s="104" t="e">
        <f t="shared" si="491"/>
        <v>#N/A</v>
      </c>
      <c r="AF1054" s="104" t="e">
        <f>IF(AND(VLOOKUP($D1054,Merchantability!$B:$C,2,0)="Yes",$E1054&gt;=VLOOKUP($D1054,Merchantability!$B:$D,3,0),$E1054&lt;=VLOOKUP($D1054,Merchantability!$B:$E,4,0)),AA1054,0)</f>
        <v>#N/A</v>
      </c>
      <c r="AG1054" s="104" t="e">
        <f>IF(AND(VLOOKUP($D1054,Merchantability!$B:$C,2,0)="Yes",$E1054&gt;=VLOOKUP($D1054,Merchantability!$B:$D,3,0),$E1054&lt;=VLOOKUP($D1054,Merchantability!$B:$E,4,0)),AB1054,0)</f>
        <v>#N/A</v>
      </c>
      <c r="AH1054" s="104" t="e">
        <f>IF(AND(VLOOKUP($D1054,Merchantability!$B:$C,2,0)="Yes",$E1054&gt;=VLOOKUP($D1054,Merchantability!$B:$D,3,0),$E1054&lt;=VLOOKUP($D1054,Merchantability!$B:$E,4,0)),AC1054,0)</f>
        <v>#N/A</v>
      </c>
      <c r="AI1054" s="104" t="e">
        <f t="shared" si="492"/>
        <v>#N/A</v>
      </c>
      <c r="AJ1054" s="104" t="e">
        <f t="shared" si="493"/>
        <v>#VALUE!</v>
      </c>
      <c r="AK1054" s="104" t="e">
        <f t="shared" si="494"/>
        <v>#N/A</v>
      </c>
      <c r="AL1054" s="104" t="e">
        <f t="shared" si="495"/>
        <v>#N/A</v>
      </c>
      <c r="AM1054" s="104" t="e">
        <f t="shared" si="496"/>
        <v>#N/A</v>
      </c>
      <c r="AN1054" s="104" t="e">
        <f t="shared" si="480"/>
        <v>#N/A</v>
      </c>
      <c r="AO1054" s="104" t="e">
        <f t="shared" si="481"/>
        <v>#N/A</v>
      </c>
      <c r="AP1054" s="104" t="e">
        <f t="shared" si="482"/>
        <v>#N/A</v>
      </c>
      <c r="AQ1054" s="104" t="e">
        <f t="shared" si="483"/>
        <v>#N/A</v>
      </c>
      <c r="AR1054" s="105" t="str">
        <f t="shared" si="475"/>
        <v/>
      </c>
      <c r="AS1054" s="105" t="str">
        <f t="shared" si="476"/>
        <v/>
      </c>
      <c r="AT1054" s="108" t="str">
        <f t="shared" si="477"/>
        <v/>
      </c>
      <c r="AU1054" s="108" t="str">
        <f t="shared" si="478"/>
        <v/>
      </c>
      <c r="AV1054" s="107" t="str">
        <f>IF(ISNUMBER(O1054),IF(VLOOKUP($A1054,Stand!C:J,8,FALSE)="Short",AT1054,AU1054),"")</f>
        <v/>
      </c>
      <c r="AW1054" s="109" t="str">
        <f t="shared" si="484"/>
        <v/>
      </c>
      <c r="AX1054" s="109" t="str">
        <f t="shared" si="485"/>
        <v/>
      </c>
      <c r="AY1054" s="112" t="str">
        <f>IF(ISNUMBER(O1054),IF(AND(VLOOKUP($D1054,Merchantability!$B:$C,2,0)="Yes",$E1054&gt;=VLOOKUP($D1054,Merchantability!$B:$D,3,0),$E1054&lt;=VLOOKUP($D1054,Merchantability!$B:$E,4,0)),(AV1054*O1054)*(1-$H1054/100),""),"")</f>
        <v/>
      </c>
      <c r="AZ1054" s="116"/>
      <c r="BA1054" s="116"/>
      <c r="BB1054" s="116"/>
      <c r="BE1054" s="62"/>
      <c r="BF1054" s="63"/>
    </row>
    <row r="1055" spans="1:58" ht="12.75" customHeight="1" x14ac:dyDescent="0.25">
      <c r="A1055" s="313"/>
      <c r="B1055" s="328"/>
      <c r="C1055" s="329"/>
      <c r="D1055" s="328"/>
      <c r="E1055" s="330"/>
      <c r="F1055" s="328"/>
      <c r="G1055" s="329"/>
      <c r="H1055" s="329"/>
      <c r="I1055" s="328"/>
      <c r="J1055" s="383"/>
      <c r="K1055" s="329"/>
      <c r="L1055" s="329"/>
      <c r="M1055" s="76"/>
      <c r="N1055" s="103" t="str">
        <f>IF(A1055="","",VLOOKUP(A1055,Stand!C:K,9,0))</f>
        <v/>
      </c>
      <c r="O1055" s="104" t="str">
        <f t="shared" si="470"/>
        <v/>
      </c>
      <c r="P1055" s="105" t="str">
        <f t="shared" si="471"/>
        <v/>
      </c>
      <c r="Q1055" s="105" t="str">
        <f t="shared" si="486"/>
        <v/>
      </c>
      <c r="R1055" s="103" t="str">
        <f t="shared" si="472"/>
        <v/>
      </c>
      <c r="S1055" s="103" t="str">
        <f t="shared" si="473"/>
        <v/>
      </c>
      <c r="T1055" s="106" t="str">
        <f t="shared" si="487"/>
        <v/>
      </c>
      <c r="U1055" s="106" t="str">
        <f t="shared" si="488"/>
        <v/>
      </c>
      <c r="V1055" s="106" t="str">
        <f t="shared" si="489"/>
        <v/>
      </c>
      <c r="W1055" s="105" t="str">
        <f t="shared" si="474"/>
        <v/>
      </c>
      <c r="X1055" s="104" t="str">
        <f t="shared" si="479"/>
        <v/>
      </c>
      <c r="Y1055" s="104" t="str">
        <f t="array" ref="Y1055">IFERROR(IF(ISNUMBER(O1055),IF(COUNT(IF(A1055=$A$2:$A$2427,IF(D1055=$D$2:$D$2427,IF($X$2:$X$2427&gt;0,1))))&gt;0,SUM(IF(A1055=$A$2:$A$2427,IF(D1055=$D$2:$D$2427,$X$2:$X$2427)))/COUNT(IF(A1055=$A$2:$A$2427,IF(D1055=$D$2:$D$2427,IF(ISNUMBER($X$2:$X$2427),1)))),0),""),0)</f>
        <v/>
      </c>
      <c r="Z1055" s="104" t="str">
        <f>IF(ISNUMBER(O1055),IF(I1055&gt;0,(10^(VLOOKUP(D1055,'Species Codes'!B:C,2,0)+VLOOKUP(D1055,'Species Codes'!B:D,3,0)*LOG(E1055)+VLOOKUP(D1055,'Species Codes'!B:E,4,0)*LOG(I1055))),0),"")</f>
        <v/>
      </c>
      <c r="AA1055" s="104" t="str">
        <f>IFERROR((VLOOKUP(D1055,'Species Codes'!B:G,6,0)*Z1055)/2000,"")</f>
        <v/>
      </c>
      <c r="AB1055" s="104" t="e">
        <f>IF(Z1055&gt;0,((IF(OR(D1055="DF",D1055="RA")=TRUE,EXP(VLOOKUP(D1055,'Species Codes'!B:I,8,0)+VLOOKUP(D1055,'Species Codes'!B:J,9,0)*(LN((E1055*2.54)))),IF(OR(D1055="PY",D1055="RC",D1055="WH",D1055="NF")=TRUE,VLOOKUP(D1055,'Species Codes'!B:I,8,0)+VLOOKUP(D1055,'Species Codes'!B:J,9,0)*((E1055*2.54)^2)*(I1055*0.3048),IF(OR(D1055="MD",D1055="BM",D1055="GA")=TRUE,((VLOOKUP(D1055,'Species Codes'!B:I,8,0)*(((((E1055*2.54)+VLOOKUP(D1055,'Species Codes'!B:J,9,0))/VLOOKUP(D1055,'Species Codes'!B:K,10,0))^VLOOKUP(D1055,'Species Codes'!B:L,11,0))*((I1055*0.3048)^VLOOKUP(D1055,'Species Codes'!B:M,12,0))))-(VLOOKUP(D1055,'Species Codes'!B:I,8,0)*((((E1055*2.54)^VLOOKUP(D1055,'Species Codes'!B:L,11,0))*((I1055*0.3048)^VLOOKUP(D1055,'Species Codes'!B:M,12,0))))))*35.3*VLOOKUP(D1055,'Species Codes'!B:G,6,0)/2.2046,VLOOKUP(D1055,'Species Codes'!B:I,8,0)+VLOOKUP(D1055,'Species Codes'!B:J,9,0)*(((E1055*2.54)/100)^2)*(I1055*0.3048)))))*0.0011023),0)</f>
        <v>#N/A</v>
      </c>
      <c r="AC1055" s="104" t="e">
        <f>IF(Z1055&gt;0,((IF(OR(D1055="RA",D1055="OA",D1055="OT",D1055="UN",D1055="PC"),EXP(VLOOKUP(D1055,'Species Codes'!B:O,14,0)+VLOOKUP(D1055,'Species Codes'!B:P,15,0)*LN((E1055*2.54)))-EXP(VLOOKUP(D1055,'Species Codes'!B:O,14,0)+VLOOKUP(D1055,'Species Codes'!B:P,15,0)*LN((E1055*2.54)))*(1/(VLOOKUP(D1055,'Species Codes'!B:Q,16,0)+VLOOKUP(D1055,'Species Codes'!B:R,17,0)*((E1055*2.54)^VLOOKUP(D1055,'Species Codes'!B:S,18,0)))),IF(OR(D1055="BM",D1055="MD",D1055="OA"),EXP(VLOOKUP(D1055,'Species Codes'!B:O,14,0)+VLOOKUP(D1055,'Species Codes'!B:P,15,0)*LN((E1055*2.54)))*(1-(1/(VLOOKUP(D1055,'Species Codes'!B:Q,16,0)+VLOOKUP(D1055,'Species Codes'!B:R,17,0)*((E1055*2.54)^VLOOKUP(D1055,'Species Codes'!B:S,18,0)))))/1000,IF(D1055="DF",EXP(VLOOKUP(D1055,'Species Codes'!B:O,14,0)+VLOOKUP(D1055,'Species Codes'!B:P,15,0)*LN((E1055*2.54))),VLOOKUP(D1055,'Species Codes'!B:O,14,0)+VLOOKUP(D1055,'Species Codes'!B:P,15,0)*(((E1055*2.54)/100)^2)*(I1055*0.3048)))))*0.0011023),0)</f>
        <v>#N/A</v>
      </c>
      <c r="AD1055" s="104" t="e">
        <f t="shared" si="490"/>
        <v>#N/A</v>
      </c>
      <c r="AE1055" s="104" t="e">
        <f t="shared" si="491"/>
        <v>#N/A</v>
      </c>
      <c r="AF1055" s="104" t="e">
        <f>IF(AND(VLOOKUP($D1055,Merchantability!$B:$C,2,0)="Yes",$E1055&gt;=VLOOKUP($D1055,Merchantability!$B:$D,3,0),$E1055&lt;=VLOOKUP($D1055,Merchantability!$B:$E,4,0)),AA1055,0)</f>
        <v>#N/A</v>
      </c>
      <c r="AG1055" s="104" t="e">
        <f>IF(AND(VLOOKUP($D1055,Merchantability!$B:$C,2,0)="Yes",$E1055&gt;=VLOOKUP($D1055,Merchantability!$B:$D,3,0),$E1055&lt;=VLOOKUP($D1055,Merchantability!$B:$E,4,0)),AB1055,0)</f>
        <v>#N/A</v>
      </c>
      <c r="AH1055" s="104" t="e">
        <f>IF(AND(VLOOKUP($D1055,Merchantability!$B:$C,2,0)="Yes",$E1055&gt;=VLOOKUP($D1055,Merchantability!$B:$D,3,0),$E1055&lt;=VLOOKUP($D1055,Merchantability!$B:$E,4,0)),AC1055,0)</f>
        <v>#N/A</v>
      </c>
      <c r="AI1055" s="104" t="e">
        <f t="shared" si="492"/>
        <v>#N/A</v>
      </c>
      <c r="AJ1055" s="104" t="e">
        <f t="shared" si="493"/>
        <v>#VALUE!</v>
      </c>
      <c r="AK1055" s="104" t="e">
        <f t="shared" si="494"/>
        <v>#N/A</v>
      </c>
      <c r="AL1055" s="104" t="e">
        <f t="shared" si="495"/>
        <v>#N/A</v>
      </c>
      <c r="AM1055" s="104" t="e">
        <f t="shared" si="496"/>
        <v>#N/A</v>
      </c>
      <c r="AN1055" s="104" t="e">
        <f t="shared" si="480"/>
        <v>#N/A</v>
      </c>
      <c r="AO1055" s="104" t="e">
        <f t="shared" si="481"/>
        <v>#N/A</v>
      </c>
      <c r="AP1055" s="104" t="e">
        <f t="shared" si="482"/>
        <v>#N/A</v>
      </c>
      <c r="AQ1055" s="104" t="e">
        <f t="shared" si="483"/>
        <v>#N/A</v>
      </c>
      <c r="AR1055" s="105" t="str">
        <f t="shared" si="475"/>
        <v/>
      </c>
      <c r="AS1055" s="105" t="str">
        <f t="shared" si="476"/>
        <v/>
      </c>
      <c r="AT1055" s="108" t="str">
        <f t="shared" si="477"/>
        <v/>
      </c>
      <c r="AU1055" s="108" t="str">
        <f t="shared" si="478"/>
        <v/>
      </c>
      <c r="AV1055" s="107" t="str">
        <f>IF(ISNUMBER(O1055),IF(VLOOKUP($A1055,Stand!C:J,8,FALSE)="Short",AT1055,AU1055),"")</f>
        <v/>
      </c>
      <c r="AW1055" s="109" t="str">
        <f t="shared" si="484"/>
        <v/>
      </c>
      <c r="AX1055" s="109" t="str">
        <f t="shared" si="485"/>
        <v/>
      </c>
      <c r="AY1055" s="112" t="str">
        <f>IF(ISNUMBER(O1055),IF(AND(VLOOKUP($D1055,Merchantability!$B:$C,2,0)="Yes",$E1055&gt;=VLOOKUP($D1055,Merchantability!$B:$D,3,0),$E1055&lt;=VLOOKUP($D1055,Merchantability!$B:$E,4,0)),(AV1055*O1055)*(1-$H1055/100),""),"")</f>
        <v/>
      </c>
      <c r="AZ1055" s="116"/>
      <c r="BA1055" s="116"/>
      <c r="BB1055" s="116"/>
      <c r="BE1055" s="62"/>
      <c r="BF1055" s="63"/>
    </row>
    <row r="1056" spans="1:58" ht="12.75" customHeight="1" x14ac:dyDescent="0.25">
      <c r="A1056" s="313"/>
      <c r="B1056" s="328"/>
      <c r="C1056" s="329"/>
      <c r="D1056" s="328"/>
      <c r="E1056" s="330"/>
      <c r="F1056" s="328"/>
      <c r="G1056" s="329"/>
      <c r="H1056" s="329"/>
      <c r="I1056" s="328"/>
      <c r="J1056" s="383"/>
      <c r="K1056" s="329"/>
      <c r="L1056" s="329"/>
      <c r="M1056" s="76"/>
      <c r="N1056" s="103" t="str">
        <f>IF(A1056="","",VLOOKUP(A1056,Stand!C:K,9,0))</f>
        <v/>
      </c>
      <c r="O1056" s="104" t="str">
        <f t="shared" si="470"/>
        <v/>
      </c>
      <c r="P1056" s="105" t="str">
        <f t="shared" si="471"/>
        <v/>
      </c>
      <c r="Q1056" s="105" t="str">
        <f t="shared" si="486"/>
        <v/>
      </c>
      <c r="R1056" s="103" t="str">
        <f t="shared" si="472"/>
        <v/>
      </c>
      <c r="S1056" s="103" t="str">
        <f t="shared" si="473"/>
        <v/>
      </c>
      <c r="T1056" s="106" t="str">
        <f t="shared" si="487"/>
        <v/>
      </c>
      <c r="U1056" s="106" t="str">
        <f t="shared" si="488"/>
        <v/>
      </c>
      <c r="V1056" s="106" t="str">
        <f t="shared" si="489"/>
        <v/>
      </c>
      <c r="W1056" s="105" t="str">
        <f t="shared" si="474"/>
        <v/>
      </c>
      <c r="X1056" s="104" t="str">
        <f t="shared" si="479"/>
        <v/>
      </c>
      <c r="Y1056" s="104" t="str">
        <f t="array" ref="Y1056">IFERROR(IF(ISNUMBER(O1056),IF(COUNT(IF(A1056=$A$2:$A$2427,IF(D1056=$D$2:$D$2427,IF($X$2:$X$2427&gt;0,1))))&gt;0,SUM(IF(A1056=$A$2:$A$2427,IF(D1056=$D$2:$D$2427,$X$2:$X$2427)))/COUNT(IF(A1056=$A$2:$A$2427,IF(D1056=$D$2:$D$2427,IF(ISNUMBER($X$2:$X$2427),1)))),0),""),0)</f>
        <v/>
      </c>
      <c r="Z1056" s="104" t="str">
        <f>IF(ISNUMBER(O1056),IF(I1056&gt;0,(10^(VLOOKUP(D1056,'Species Codes'!B:C,2,0)+VLOOKUP(D1056,'Species Codes'!B:D,3,0)*LOG(E1056)+VLOOKUP(D1056,'Species Codes'!B:E,4,0)*LOG(I1056))),0),"")</f>
        <v/>
      </c>
      <c r="AA1056" s="104" t="str">
        <f>IFERROR((VLOOKUP(D1056,'Species Codes'!B:G,6,0)*Z1056)/2000,"")</f>
        <v/>
      </c>
      <c r="AB1056" s="104" t="e">
        <f>IF(Z1056&gt;0,((IF(OR(D1056="DF",D1056="RA")=TRUE,EXP(VLOOKUP(D1056,'Species Codes'!B:I,8,0)+VLOOKUP(D1056,'Species Codes'!B:J,9,0)*(LN((E1056*2.54)))),IF(OR(D1056="PY",D1056="RC",D1056="WH",D1056="NF")=TRUE,VLOOKUP(D1056,'Species Codes'!B:I,8,0)+VLOOKUP(D1056,'Species Codes'!B:J,9,0)*((E1056*2.54)^2)*(I1056*0.3048),IF(OR(D1056="MD",D1056="BM",D1056="GA")=TRUE,((VLOOKUP(D1056,'Species Codes'!B:I,8,0)*(((((E1056*2.54)+VLOOKUP(D1056,'Species Codes'!B:J,9,0))/VLOOKUP(D1056,'Species Codes'!B:K,10,0))^VLOOKUP(D1056,'Species Codes'!B:L,11,0))*((I1056*0.3048)^VLOOKUP(D1056,'Species Codes'!B:M,12,0))))-(VLOOKUP(D1056,'Species Codes'!B:I,8,0)*((((E1056*2.54)^VLOOKUP(D1056,'Species Codes'!B:L,11,0))*((I1056*0.3048)^VLOOKUP(D1056,'Species Codes'!B:M,12,0))))))*35.3*VLOOKUP(D1056,'Species Codes'!B:G,6,0)/2.2046,VLOOKUP(D1056,'Species Codes'!B:I,8,0)+VLOOKUP(D1056,'Species Codes'!B:J,9,0)*(((E1056*2.54)/100)^2)*(I1056*0.3048)))))*0.0011023),0)</f>
        <v>#N/A</v>
      </c>
      <c r="AC1056" s="104" t="e">
        <f>IF(Z1056&gt;0,((IF(OR(D1056="RA",D1056="OA",D1056="OT",D1056="UN",D1056="PC"),EXP(VLOOKUP(D1056,'Species Codes'!B:O,14,0)+VLOOKUP(D1056,'Species Codes'!B:P,15,0)*LN((E1056*2.54)))-EXP(VLOOKUP(D1056,'Species Codes'!B:O,14,0)+VLOOKUP(D1056,'Species Codes'!B:P,15,0)*LN((E1056*2.54)))*(1/(VLOOKUP(D1056,'Species Codes'!B:Q,16,0)+VLOOKUP(D1056,'Species Codes'!B:R,17,0)*((E1056*2.54)^VLOOKUP(D1056,'Species Codes'!B:S,18,0)))),IF(OR(D1056="BM",D1056="MD",D1056="OA"),EXP(VLOOKUP(D1056,'Species Codes'!B:O,14,0)+VLOOKUP(D1056,'Species Codes'!B:P,15,0)*LN((E1056*2.54)))*(1-(1/(VLOOKUP(D1056,'Species Codes'!B:Q,16,0)+VLOOKUP(D1056,'Species Codes'!B:R,17,0)*((E1056*2.54)^VLOOKUP(D1056,'Species Codes'!B:S,18,0)))))/1000,IF(D1056="DF",EXP(VLOOKUP(D1056,'Species Codes'!B:O,14,0)+VLOOKUP(D1056,'Species Codes'!B:P,15,0)*LN((E1056*2.54))),VLOOKUP(D1056,'Species Codes'!B:O,14,0)+VLOOKUP(D1056,'Species Codes'!B:P,15,0)*(((E1056*2.54)/100)^2)*(I1056*0.3048)))))*0.0011023),0)</f>
        <v>#N/A</v>
      </c>
      <c r="AD1056" s="104" t="e">
        <f t="shared" si="490"/>
        <v>#N/A</v>
      </c>
      <c r="AE1056" s="104" t="e">
        <f t="shared" si="491"/>
        <v>#N/A</v>
      </c>
      <c r="AF1056" s="104" t="e">
        <f>IF(AND(VLOOKUP($D1056,Merchantability!$B:$C,2,0)="Yes",$E1056&gt;=VLOOKUP($D1056,Merchantability!$B:$D,3,0),$E1056&lt;=VLOOKUP($D1056,Merchantability!$B:$E,4,0)),AA1056,0)</f>
        <v>#N/A</v>
      </c>
      <c r="AG1056" s="104" t="e">
        <f>IF(AND(VLOOKUP($D1056,Merchantability!$B:$C,2,0)="Yes",$E1056&gt;=VLOOKUP($D1056,Merchantability!$B:$D,3,0),$E1056&lt;=VLOOKUP($D1056,Merchantability!$B:$E,4,0)),AB1056,0)</f>
        <v>#N/A</v>
      </c>
      <c r="AH1056" s="104" t="e">
        <f>IF(AND(VLOOKUP($D1056,Merchantability!$B:$C,2,0)="Yes",$E1056&gt;=VLOOKUP($D1056,Merchantability!$B:$D,3,0),$E1056&lt;=VLOOKUP($D1056,Merchantability!$B:$E,4,0)),AC1056,0)</f>
        <v>#N/A</v>
      </c>
      <c r="AI1056" s="104" t="e">
        <f t="shared" si="492"/>
        <v>#N/A</v>
      </c>
      <c r="AJ1056" s="104" t="e">
        <f t="shared" si="493"/>
        <v>#VALUE!</v>
      </c>
      <c r="AK1056" s="104" t="e">
        <f t="shared" si="494"/>
        <v>#N/A</v>
      </c>
      <c r="AL1056" s="104" t="e">
        <f t="shared" si="495"/>
        <v>#N/A</v>
      </c>
      <c r="AM1056" s="104" t="e">
        <f t="shared" si="496"/>
        <v>#N/A</v>
      </c>
      <c r="AN1056" s="104" t="e">
        <f t="shared" si="480"/>
        <v>#N/A</v>
      </c>
      <c r="AO1056" s="104" t="e">
        <f t="shared" si="481"/>
        <v>#N/A</v>
      </c>
      <c r="AP1056" s="104" t="e">
        <f t="shared" si="482"/>
        <v>#N/A</v>
      </c>
      <c r="AQ1056" s="104" t="e">
        <f t="shared" si="483"/>
        <v>#N/A</v>
      </c>
      <c r="AR1056" s="105" t="str">
        <f t="shared" si="475"/>
        <v/>
      </c>
      <c r="AS1056" s="105" t="str">
        <f t="shared" si="476"/>
        <v/>
      </c>
      <c r="AT1056" s="108" t="str">
        <f t="shared" si="477"/>
        <v/>
      </c>
      <c r="AU1056" s="108" t="str">
        <f t="shared" si="478"/>
        <v/>
      </c>
      <c r="AV1056" s="107" t="str">
        <f>IF(ISNUMBER(O1056),IF(VLOOKUP($A1056,Stand!C:J,8,FALSE)="Short",AT1056,AU1056),"")</f>
        <v/>
      </c>
      <c r="AW1056" s="109" t="str">
        <f t="shared" si="484"/>
        <v/>
      </c>
      <c r="AX1056" s="109" t="str">
        <f t="shared" si="485"/>
        <v/>
      </c>
      <c r="AY1056" s="112" t="str">
        <f>IF(ISNUMBER(O1056),IF(AND(VLOOKUP($D1056,Merchantability!$B:$C,2,0)="Yes",$E1056&gt;=VLOOKUP($D1056,Merchantability!$B:$D,3,0),$E1056&lt;=VLOOKUP($D1056,Merchantability!$B:$E,4,0)),(AV1056*O1056)*(1-$H1056/100),""),"")</f>
        <v/>
      </c>
      <c r="AZ1056" s="116"/>
      <c r="BA1056" s="116"/>
      <c r="BB1056" s="116"/>
      <c r="BE1056" s="62"/>
      <c r="BF1056" s="63"/>
    </row>
    <row r="1057" spans="1:58" ht="12.75" customHeight="1" x14ac:dyDescent="0.25">
      <c r="A1057" s="313"/>
      <c r="B1057" s="328"/>
      <c r="C1057" s="329"/>
      <c r="D1057" s="328"/>
      <c r="E1057" s="330"/>
      <c r="F1057" s="328"/>
      <c r="G1057" s="329"/>
      <c r="H1057" s="329"/>
      <c r="I1057" s="328"/>
      <c r="J1057" s="383"/>
      <c r="K1057" s="329"/>
      <c r="L1057" s="329"/>
      <c r="M1057" s="76"/>
      <c r="N1057" s="103" t="str">
        <f>IF(A1057="","",VLOOKUP(A1057,Stand!C:K,9,0))</f>
        <v/>
      </c>
      <c r="O1057" s="104" t="str">
        <f t="shared" si="470"/>
        <v/>
      </c>
      <c r="P1057" s="105" t="str">
        <f t="shared" si="471"/>
        <v/>
      </c>
      <c r="Q1057" s="105" t="str">
        <f t="shared" si="486"/>
        <v/>
      </c>
      <c r="R1057" s="103" t="str">
        <f t="shared" si="472"/>
        <v/>
      </c>
      <c r="S1057" s="103" t="str">
        <f t="shared" si="473"/>
        <v/>
      </c>
      <c r="T1057" s="106" t="str">
        <f t="shared" si="487"/>
        <v/>
      </c>
      <c r="U1057" s="106" t="str">
        <f t="shared" si="488"/>
        <v/>
      </c>
      <c r="V1057" s="106" t="str">
        <f t="shared" si="489"/>
        <v/>
      </c>
      <c r="W1057" s="105" t="str">
        <f t="shared" si="474"/>
        <v/>
      </c>
      <c r="X1057" s="104" t="str">
        <f t="shared" si="479"/>
        <v/>
      </c>
      <c r="Y1057" s="104" t="str">
        <f t="array" ref="Y1057">IFERROR(IF(ISNUMBER(O1057),IF(COUNT(IF(A1057=$A$2:$A$2427,IF(D1057=$D$2:$D$2427,IF($X$2:$X$2427&gt;0,1))))&gt;0,SUM(IF(A1057=$A$2:$A$2427,IF(D1057=$D$2:$D$2427,$X$2:$X$2427)))/COUNT(IF(A1057=$A$2:$A$2427,IF(D1057=$D$2:$D$2427,IF(ISNUMBER($X$2:$X$2427),1)))),0),""),0)</f>
        <v/>
      </c>
      <c r="Z1057" s="104" t="str">
        <f>IF(ISNUMBER(O1057),IF(I1057&gt;0,(10^(VLOOKUP(D1057,'Species Codes'!B:C,2,0)+VLOOKUP(D1057,'Species Codes'!B:D,3,0)*LOG(E1057)+VLOOKUP(D1057,'Species Codes'!B:E,4,0)*LOG(I1057))),0),"")</f>
        <v/>
      </c>
      <c r="AA1057" s="104" t="str">
        <f>IFERROR((VLOOKUP(D1057,'Species Codes'!B:G,6,0)*Z1057)/2000,"")</f>
        <v/>
      </c>
      <c r="AB1057" s="104" t="e">
        <f>IF(Z1057&gt;0,((IF(OR(D1057="DF",D1057="RA")=TRUE,EXP(VLOOKUP(D1057,'Species Codes'!B:I,8,0)+VLOOKUP(D1057,'Species Codes'!B:J,9,0)*(LN((E1057*2.54)))),IF(OR(D1057="PY",D1057="RC",D1057="WH",D1057="NF")=TRUE,VLOOKUP(D1057,'Species Codes'!B:I,8,0)+VLOOKUP(D1057,'Species Codes'!B:J,9,0)*((E1057*2.54)^2)*(I1057*0.3048),IF(OR(D1057="MD",D1057="BM",D1057="GA")=TRUE,((VLOOKUP(D1057,'Species Codes'!B:I,8,0)*(((((E1057*2.54)+VLOOKUP(D1057,'Species Codes'!B:J,9,0))/VLOOKUP(D1057,'Species Codes'!B:K,10,0))^VLOOKUP(D1057,'Species Codes'!B:L,11,0))*((I1057*0.3048)^VLOOKUP(D1057,'Species Codes'!B:M,12,0))))-(VLOOKUP(D1057,'Species Codes'!B:I,8,0)*((((E1057*2.54)^VLOOKUP(D1057,'Species Codes'!B:L,11,0))*((I1057*0.3048)^VLOOKUP(D1057,'Species Codes'!B:M,12,0))))))*35.3*VLOOKUP(D1057,'Species Codes'!B:G,6,0)/2.2046,VLOOKUP(D1057,'Species Codes'!B:I,8,0)+VLOOKUP(D1057,'Species Codes'!B:J,9,0)*(((E1057*2.54)/100)^2)*(I1057*0.3048)))))*0.0011023),0)</f>
        <v>#N/A</v>
      </c>
      <c r="AC1057" s="104" t="e">
        <f>IF(Z1057&gt;0,((IF(OR(D1057="RA",D1057="OA",D1057="OT",D1057="UN",D1057="PC"),EXP(VLOOKUP(D1057,'Species Codes'!B:O,14,0)+VLOOKUP(D1057,'Species Codes'!B:P,15,0)*LN((E1057*2.54)))-EXP(VLOOKUP(D1057,'Species Codes'!B:O,14,0)+VLOOKUP(D1057,'Species Codes'!B:P,15,0)*LN((E1057*2.54)))*(1/(VLOOKUP(D1057,'Species Codes'!B:Q,16,0)+VLOOKUP(D1057,'Species Codes'!B:R,17,0)*((E1057*2.54)^VLOOKUP(D1057,'Species Codes'!B:S,18,0)))),IF(OR(D1057="BM",D1057="MD",D1057="OA"),EXP(VLOOKUP(D1057,'Species Codes'!B:O,14,0)+VLOOKUP(D1057,'Species Codes'!B:P,15,0)*LN((E1057*2.54)))*(1-(1/(VLOOKUP(D1057,'Species Codes'!B:Q,16,0)+VLOOKUP(D1057,'Species Codes'!B:R,17,0)*((E1057*2.54)^VLOOKUP(D1057,'Species Codes'!B:S,18,0)))))/1000,IF(D1057="DF",EXP(VLOOKUP(D1057,'Species Codes'!B:O,14,0)+VLOOKUP(D1057,'Species Codes'!B:P,15,0)*LN((E1057*2.54))),VLOOKUP(D1057,'Species Codes'!B:O,14,0)+VLOOKUP(D1057,'Species Codes'!B:P,15,0)*(((E1057*2.54)/100)^2)*(I1057*0.3048)))))*0.0011023),0)</f>
        <v>#N/A</v>
      </c>
      <c r="AD1057" s="104" t="e">
        <f t="shared" si="490"/>
        <v>#N/A</v>
      </c>
      <c r="AE1057" s="104" t="e">
        <f t="shared" si="491"/>
        <v>#N/A</v>
      </c>
      <c r="AF1057" s="104" t="e">
        <f>IF(AND(VLOOKUP($D1057,Merchantability!$B:$C,2,0)="Yes",$E1057&gt;=VLOOKUP($D1057,Merchantability!$B:$D,3,0),$E1057&lt;=VLOOKUP($D1057,Merchantability!$B:$E,4,0)),AA1057,0)</f>
        <v>#N/A</v>
      </c>
      <c r="AG1057" s="104" t="e">
        <f>IF(AND(VLOOKUP($D1057,Merchantability!$B:$C,2,0)="Yes",$E1057&gt;=VLOOKUP($D1057,Merchantability!$B:$D,3,0),$E1057&lt;=VLOOKUP($D1057,Merchantability!$B:$E,4,0)),AB1057,0)</f>
        <v>#N/A</v>
      </c>
      <c r="AH1057" s="104" t="e">
        <f>IF(AND(VLOOKUP($D1057,Merchantability!$B:$C,2,0)="Yes",$E1057&gt;=VLOOKUP($D1057,Merchantability!$B:$D,3,0),$E1057&lt;=VLOOKUP($D1057,Merchantability!$B:$E,4,0)),AC1057,0)</f>
        <v>#N/A</v>
      </c>
      <c r="AI1057" s="104" t="e">
        <f t="shared" si="492"/>
        <v>#N/A</v>
      </c>
      <c r="AJ1057" s="104" t="e">
        <f t="shared" si="493"/>
        <v>#VALUE!</v>
      </c>
      <c r="AK1057" s="104" t="e">
        <f t="shared" si="494"/>
        <v>#N/A</v>
      </c>
      <c r="AL1057" s="104" t="e">
        <f t="shared" si="495"/>
        <v>#N/A</v>
      </c>
      <c r="AM1057" s="104" t="e">
        <f t="shared" si="496"/>
        <v>#N/A</v>
      </c>
      <c r="AN1057" s="104" t="e">
        <f t="shared" si="480"/>
        <v>#N/A</v>
      </c>
      <c r="AO1057" s="104" t="e">
        <f t="shared" si="481"/>
        <v>#N/A</v>
      </c>
      <c r="AP1057" s="104" t="e">
        <f t="shared" si="482"/>
        <v>#N/A</v>
      </c>
      <c r="AQ1057" s="104" t="e">
        <f t="shared" si="483"/>
        <v>#N/A</v>
      </c>
      <c r="AR1057" s="105" t="str">
        <f t="shared" si="475"/>
        <v/>
      </c>
      <c r="AS1057" s="105" t="str">
        <f t="shared" si="476"/>
        <v/>
      </c>
      <c r="AT1057" s="108" t="str">
        <f t="shared" si="477"/>
        <v/>
      </c>
      <c r="AU1057" s="108" t="str">
        <f t="shared" si="478"/>
        <v/>
      </c>
      <c r="AV1057" s="107" t="str">
        <f>IF(ISNUMBER(O1057),IF(VLOOKUP($A1057,Stand!C:J,8,FALSE)="Short",AT1057,AU1057),"")</f>
        <v/>
      </c>
      <c r="AW1057" s="109" t="str">
        <f t="shared" si="484"/>
        <v/>
      </c>
      <c r="AX1057" s="109" t="str">
        <f t="shared" si="485"/>
        <v/>
      </c>
      <c r="AY1057" s="112" t="str">
        <f>IF(ISNUMBER(O1057),IF(AND(VLOOKUP($D1057,Merchantability!$B:$C,2,0)="Yes",$E1057&gt;=VLOOKUP($D1057,Merchantability!$B:$D,3,0),$E1057&lt;=VLOOKUP($D1057,Merchantability!$B:$E,4,0)),(AV1057*O1057)*(1-$H1057/100),""),"")</f>
        <v/>
      </c>
      <c r="AZ1057" s="116"/>
      <c r="BA1057" s="116"/>
      <c r="BB1057" s="116"/>
      <c r="BE1057" s="62"/>
      <c r="BF1057" s="63"/>
    </row>
    <row r="1058" spans="1:58" ht="12.75" customHeight="1" x14ac:dyDescent="0.25">
      <c r="A1058" s="313"/>
      <c r="B1058" s="328"/>
      <c r="C1058" s="329"/>
      <c r="D1058" s="328"/>
      <c r="E1058" s="330"/>
      <c r="F1058" s="328"/>
      <c r="G1058" s="329"/>
      <c r="H1058" s="329"/>
      <c r="I1058" s="328"/>
      <c r="J1058" s="383"/>
      <c r="K1058" s="329"/>
      <c r="L1058" s="329"/>
      <c r="M1058" s="76"/>
      <c r="N1058" s="103" t="str">
        <f>IF(A1058="","",VLOOKUP(A1058,Stand!C:K,9,0))</f>
        <v/>
      </c>
      <c r="O1058" s="104" t="str">
        <f t="shared" si="470"/>
        <v/>
      </c>
      <c r="P1058" s="105" t="str">
        <f t="shared" si="471"/>
        <v/>
      </c>
      <c r="Q1058" s="105" t="str">
        <f t="shared" si="486"/>
        <v/>
      </c>
      <c r="R1058" s="103" t="str">
        <f t="shared" si="472"/>
        <v/>
      </c>
      <c r="S1058" s="103" t="str">
        <f t="shared" si="473"/>
        <v/>
      </c>
      <c r="T1058" s="106" t="str">
        <f t="shared" si="487"/>
        <v/>
      </c>
      <c r="U1058" s="106" t="str">
        <f t="shared" si="488"/>
        <v/>
      </c>
      <c r="V1058" s="106" t="str">
        <f t="shared" si="489"/>
        <v/>
      </c>
      <c r="W1058" s="105" t="str">
        <f t="shared" si="474"/>
        <v/>
      </c>
      <c r="X1058" s="104" t="str">
        <f t="shared" si="479"/>
        <v/>
      </c>
      <c r="Y1058" s="104" t="str">
        <f t="array" ref="Y1058">IFERROR(IF(ISNUMBER(O1058),IF(COUNT(IF(A1058=$A$2:$A$2427,IF(D1058=$D$2:$D$2427,IF($X$2:$X$2427&gt;0,1))))&gt;0,SUM(IF(A1058=$A$2:$A$2427,IF(D1058=$D$2:$D$2427,$X$2:$X$2427)))/COUNT(IF(A1058=$A$2:$A$2427,IF(D1058=$D$2:$D$2427,IF(ISNUMBER($X$2:$X$2427),1)))),0),""),0)</f>
        <v/>
      </c>
      <c r="Z1058" s="104" t="str">
        <f>IF(ISNUMBER(O1058),IF(I1058&gt;0,(10^(VLOOKUP(D1058,'Species Codes'!B:C,2,0)+VLOOKUP(D1058,'Species Codes'!B:D,3,0)*LOG(E1058)+VLOOKUP(D1058,'Species Codes'!B:E,4,0)*LOG(I1058))),0),"")</f>
        <v/>
      </c>
      <c r="AA1058" s="104" t="str">
        <f>IFERROR((VLOOKUP(D1058,'Species Codes'!B:G,6,0)*Z1058)/2000,"")</f>
        <v/>
      </c>
      <c r="AB1058" s="104" t="e">
        <f>IF(Z1058&gt;0,((IF(OR(D1058="DF",D1058="RA")=TRUE,EXP(VLOOKUP(D1058,'Species Codes'!B:I,8,0)+VLOOKUP(D1058,'Species Codes'!B:J,9,0)*(LN((E1058*2.54)))),IF(OR(D1058="PY",D1058="RC",D1058="WH",D1058="NF")=TRUE,VLOOKUP(D1058,'Species Codes'!B:I,8,0)+VLOOKUP(D1058,'Species Codes'!B:J,9,0)*((E1058*2.54)^2)*(I1058*0.3048),IF(OR(D1058="MD",D1058="BM",D1058="GA")=TRUE,((VLOOKUP(D1058,'Species Codes'!B:I,8,0)*(((((E1058*2.54)+VLOOKUP(D1058,'Species Codes'!B:J,9,0))/VLOOKUP(D1058,'Species Codes'!B:K,10,0))^VLOOKUP(D1058,'Species Codes'!B:L,11,0))*((I1058*0.3048)^VLOOKUP(D1058,'Species Codes'!B:M,12,0))))-(VLOOKUP(D1058,'Species Codes'!B:I,8,0)*((((E1058*2.54)^VLOOKUP(D1058,'Species Codes'!B:L,11,0))*((I1058*0.3048)^VLOOKUP(D1058,'Species Codes'!B:M,12,0))))))*35.3*VLOOKUP(D1058,'Species Codes'!B:G,6,0)/2.2046,VLOOKUP(D1058,'Species Codes'!B:I,8,0)+VLOOKUP(D1058,'Species Codes'!B:J,9,0)*(((E1058*2.54)/100)^2)*(I1058*0.3048)))))*0.0011023),0)</f>
        <v>#N/A</v>
      </c>
      <c r="AC1058" s="104" t="e">
        <f>IF(Z1058&gt;0,((IF(OR(D1058="RA",D1058="OA",D1058="OT",D1058="UN",D1058="PC"),EXP(VLOOKUP(D1058,'Species Codes'!B:O,14,0)+VLOOKUP(D1058,'Species Codes'!B:P,15,0)*LN((E1058*2.54)))-EXP(VLOOKUP(D1058,'Species Codes'!B:O,14,0)+VLOOKUP(D1058,'Species Codes'!B:P,15,0)*LN((E1058*2.54)))*(1/(VLOOKUP(D1058,'Species Codes'!B:Q,16,0)+VLOOKUP(D1058,'Species Codes'!B:R,17,0)*((E1058*2.54)^VLOOKUP(D1058,'Species Codes'!B:S,18,0)))),IF(OR(D1058="BM",D1058="MD",D1058="OA"),EXP(VLOOKUP(D1058,'Species Codes'!B:O,14,0)+VLOOKUP(D1058,'Species Codes'!B:P,15,0)*LN((E1058*2.54)))*(1-(1/(VLOOKUP(D1058,'Species Codes'!B:Q,16,0)+VLOOKUP(D1058,'Species Codes'!B:R,17,0)*((E1058*2.54)^VLOOKUP(D1058,'Species Codes'!B:S,18,0)))))/1000,IF(D1058="DF",EXP(VLOOKUP(D1058,'Species Codes'!B:O,14,0)+VLOOKUP(D1058,'Species Codes'!B:P,15,0)*LN((E1058*2.54))),VLOOKUP(D1058,'Species Codes'!B:O,14,0)+VLOOKUP(D1058,'Species Codes'!B:P,15,0)*(((E1058*2.54)/100)^2)*(I1058*0.3048)))))*0.0011023),0)</f>
        <v>#N/A</v>
      </c>
      <c r="AD1058" s="104" t="e">
        <f t="shared" si="490"/>
        <v>#N/A</v>
      </c>
      <c r="AE1058" s="104" t="e">
        <f t="shared" si="491"/>
        <v>#N/A</v>
      </c>
      <c r="AF1058" s="104" t="e">
        <f>IF(AND(VLOOKUP($D1058,Merchantability!$B:$C,2,0)="Yes",$E1058&gt;=VLOOKUP($D1058,Merchantability!$B:$D,3,0),$E1058&lt;=VLOOKUP($D1058,Merchantability!$B:$E,4,0)),AA1058,0)</f>
        <v>#N/A</v>
      </c>
      <c r="AG1058" s="104" t="e">
        <f>IF(AND(VLOOKUP($D1058,Merchantability!$B:$C,2,0)="Yes",$E1058&gt;=VLOOKUP($D1058,Merchantability!$B:$D,3,0),$E1058&lt;=VLOOKUP($D1058,Merchantability!$B:$E,4,0)),AB1058,0)</f>
        <v>#N/A</v>
      </c>
      <c r="AH1058" s="104" t="e">
        <f>IF(AND(VLOOKUP($D1058,Merchantability!$B:$C,2,0)="Yes",$E1058&gt;=VLOOKUP($D1058,Merchantability!$B:$D,3,0),$E1058&lt;=VLOOKUP($D1058,Merchantability!$B:$E,4,0)),AC1058,0)</f>
        <v>#N/A</v>
      </c>
      <c r="AI1058" s="104" t="e">
        <f t="shared" si="492"/>
        <v>#N/A</v>
      </c>
      <c r="AJ1058" s="104" t="e">
        <f t="shared" si="493"/>
        <v>#VALUE!</v>
      </c>
      <c r="AK1058" s="104" t="e">
        <f t="shared" si="494"/>
        <v>#N/A</v>
      </c>
      <c r="AL1058" s="104" t="e">
        <f t="shared" si="495"/>
        <v>#N/A</v>
      </c>
      <c r="AM1058" s="104" t="e">
        <f t="shared" si="496"/>
        <v>#N/A</v>
      </c>
      <c r="AN1058" s="104" t="e">
        <f t="shared" si="480"/>
        <v>#N/A</v>
      </c>
      <c r="AO1058" s="104" t="e">
        <f t="shared" si="481"/>
        <v>#N/A</v>
      </c>
      <c r="AP1058" s="104" t="e">
        <f t="shared" si="482"/>
        <v>#N/A</v>
      </c>
      <c r="AQ1058" s="104" t="e">
        <f t="shared" si="483"/>
        <v>#N/A</v>
      </c>
      <c r="AR1058" s="105" t="str">
        <f t="shared" si="475"/>
        <v/>
      </c>
      <c r="AS1058" s="105" t="str">
        <f t="shared" si="476"/>
        <v/>
      </c>
      <c r="AT1058" s="108" t="str">
        <f t="shared" si="477"/>
        <v/>
      </c>
      <c r="AU1058" s="108" t="str">
        <f t="shared" si="478"/>
        <v/>
      </c>
      <c r="AV1058" s="107" t="str">
        <f>IF(ISNUMBER(O1058),IF(VLOOKUP($A1058,Stand!C:J,8,FALSE)="Short",AT1058,AU1058),"")</f>
        <v/>
      </c>
      <c r="AW1058" s="109" t="str">
        <f t="shared" si="484"/>
        <v/>
      </c>
      <c r="AX1058" s="109" t="str">
        <f t="shared" si="485"/>
        <v/>
      </c>
      <c r="AY1058" s="112" t="str">
        <f>IF(ISNUMBER(O1058),IF(AND(VLOOKUP($D1058,Merchantability!$B:$C,2,0)="Yes",$E1058&gt;=VLOOKUP($D1058,Merchantability!$B:$D,3,0),$E1058&lt;=VLOOKUP($D1058,Merchantability!$B:$E,4,0)),(AV1058*O1058)*(1-$H1058/100),""),"")</f>
        <v/>
      </c>
      <c r="AZ1058" s="116"/>
      <c r="BA1058" s="116"/>
      <c r="BB1058" s="116"/>
      <c r="BE1058" s="62"/>
      <c r="BF1058" s="63"/>
    </row>
    <row r="1059" spans="1:58" ht="12.75" customHeight="1" x14ac:dyDescent="0.25">
      <c r="A1059" s="313"/>
      <c r="B1059" s="328"/>
      <c r="C1059" s="329"/>
      <c r="D1059" s="328"/>
      <c r="E1059" s="330"/>
      <c r="F1059" s="328"/>
      <c r="G1059" s="329"/>
      <c r="H1059" s="329"/>
      <c r="I1059" s="328"/>
      <c r="J1059" s="383"/>
      <c r="K1059" s="329"/>
      <c r="L1059" s="329"/>
      <c r="M1059" s="76"/>
      <c r="N1059" s="103" t="str">
        <f>IF(A1059="","",VLOOKUP(A1059,Stand!C:K,9,0))</f>
        <v/>
      </c>
      <c r="O1059" s="104" t="str">
        <f t="shared" si="470"/>
        <v/>
      </c>
      <c r="P1059" s="105" t="str">
        <f t="shared" si="471"/>
        <v/>
      </c>
      <c r="Q1059" s="105" t="str">
        <f t="shared" si="486"/>
        <v/>
      </c>
      <c r="R1059" s="103" t="str">
        <f t="shared" si="472"/>
        <v/>
      </c>
      <c r="S1059" s="103" t="str">
        <f t="shared" si="473"/>
        <v/>
      </c>
      <c r="T1059" s="106" t="str">
        <f t="shared" si="487"/>
        <v/>
      </c>
      <c r="U1059" s="106" t="str">
        <f t="shared" si="488"/>
        <v/>
      </c>
      <c r="V1059" s="106" t="str">
        <f t="shared" si="489"/>
        <v/>
      </c>
      <c r="W1059" s="105" t="str">
        <f t="shared" si="474"/>
        <v/>
      </c>
      <c r="X1059" s="104" t="str">
        <f t="shared" si="479"/>
        <v/>
      </c>
      <c r="Y1059" s="104" t="str">
        <f t="array" ref="Y1059">IFERROR(IF(ISNUMBER(O1059),IF(COUNT(IF(A1059=$A$2:$A$2427,IF(D1059=$D$2:$D$2427,IF($X$2:$X$2427&gt;0,1))))&gt;0,SUM(IF(A1059=$A$2:$A$2427,IF(D1059=$D$2:$D$2427,$X$2:$X$2427)))/COUNT(IF(A1059=$A$2:$A$2427,IF(D1059=$D$2:$D$2427,IF(ISNUMBER($X$2:$X$2427),1)))),0),""),0)</f>
        <v/>
      </c>
      <c r="Z1059" s="104" t="str">
        <f>IF(ISNUMBER(O1059),IF(I1059&gt;0,(10^(VLOOKUP(D1059,'Species Codes'!B:C,2,0)+VLOOKUP(D1059,'Species Codes'!B:D,3,0)*LOG(E1059)+VLOOKUP(D1059,'Species Codes'!B:E,4,0)*LOG(I1059))),0),"")</f>
        <v/>
      </c>
      <c r="AA1059" s="104" t="str">
        <f>IFERROR((VLOOKUP(D1059,'Species Codes'!B:G,6,0)*Z1059)/2000,"")</f>
        <v/>
      </c>
      <c r="AB1059" s="104" t="e">
        <f>IF(Z1059&gt;0,((IF(OR(D1059="DF",D1059="RA")=TRUE,EXP(VLOOKUP(D1059,'Species Codes'!B:I,8,0)+VLOOKUP(D1059,'Species Codes'!B:J,9,0)*(LN((E1059*2.54)))),IF(OR(D1059="PY",D1059="RC",D1059="WH",D1059="NF")=TRUE,VLOOKUP(D1059,'Species Codes'!B:I,8,0)+VLOOKUP(D1059,'Species Codes'!B:J,9,0)*((E1059*2.54)^2)*(I1059*0.3048),IF(OR(D1059="MD",D1059="BM",D1059="GA")=TRUE,((VLOOKUP(D1059,'Species Codes'!B:I,8,0)*(((((E1059*2.54)+VLOOKUP(D1059,'Species Codes'!B:J,9,0))/VLOOKUP(D1059,'Species Codes'!B:K,10,0))^VLOOKUP(D1059,'Species Codes'!B:L,11,0))*((I1059*0.3048)^VLOOKUP(D1059,'Species Codes'!B:M,12,0))))-(VLOOKUP(D1059,'Species Codes'!B:I,8,0)*((((E1059*2.54)^VLOOKUP(D1059,'Species Codes'!B:L,11,0))*((I1059*0.3048)^VLOOKUP(D1059,'Species Codes'!B:M,12,0))))))*35.3*VLOOKUP(D1059,'Species Codes'!B:G,6,0)/2.2046,VLOOKUP(D1059,'Species Codes'!B:I,8,0)+VLOOKUP(D1059,'Species Codes'!B:J,9,0)*(((E1059*2.54)/100)^2)*(I1059*0.3048)))))*0.0011023),0)</f>
        <v>#N/A</v>
      </c>
      <c r="AC1059" s="104" t="e">
        <f>IF(Z1059&gt;0,((IF(OR(D1059="RA",D1059="OA",D1059="OT",D1059="UN",D1059="PC"),EXP(VLOOKUP(D1059,'Species Codes'!B:O,14,0)+VLOOKUP(D1059,'Species Codes'!B:P,15,0)*LN((E1059*2.54)))-EXP(VLOOKUP(D1059,'Species Codes'!B:O,14,0)+VLOOKUP(D1059,'Species Codes'!B:P,15,0)*LN((E1059*2.54)))*(1/(VLOOKUP(D1059,'Species Codes'!B:Q,16,0)+VLOOKUP(D1059,'Species Codes'!B:R,17,0)*((E1059*2.54)^VLOOKUP(D1059,'Species Codes'!B:S,18,0)))),IF(OR(D1059="BM",D1059="MD",D1059="OA"),EXP(VLOOKUP(D1059,'Species Codes'!B:O,14,0)+VLOOKUP(D1059,'Species Codes'!B:P,15,0)*LN((E1059*2.54)))*(1-(1/(VLOOKUP(D1059,'Species Codes'!B:Q,16,0)+VLOOKUP(D1059,'Species Codes'!B:R,17,0)*((E1059*2.54)^VLOOKUP(D1059,'Species Codes'!B:S,18,0)))))/1000,IF(D1059="DF",EXP(VLOOKUP(D1059,'Species Codes'!B:O,14,0)+VLOOKUP(D1059,'Species Codes'!B:P,15,0)*LN((E1059*2.54))),VLOOKUP(D1059,'Species Codes'!B:O,14,0)+VLOOKUP(D1059,'Species Codes'!B:P,15,0)*(((E1059*2.54)/100)^2)*(I1059*0.3048)))))*0.0011023),0)</f>
        <v>#N/A</v>
      </c>
      <c r="AD1059" s="104" t="e">
        <f t="shared" si="490"/>
        <v>#N/A</v>
      </c>
      <c r="AE1059" s="104" t="e">
        <f t="shared" si="491"/>
        <v>#N/A</v>
      </c>
      <c r="AF1059" s="104" t="e">
        <f>IF(AND(VLOOKUP($D1059,Merchantability!$B:$C,2,0)="Yes",$E1059&gt;=VLOOKUP($D1059,Merchantability!$B:$D,3,0),$E1059&lt;=VLOOKUP($D1059,Merchantability!$B:$E,4,0)),AA1059,0)</f>
        <v>#N/A</v>
      </c>
      <c r="AG1059" s="104" t="e">
        <f>IF(AND(VLOOKUP($D1059,Merchantability!$B:$C,2,0)="Yes",$E1059&gt;=VLOOKUP($D1059,Merchantability!$B:$D,3,0),$E1059&lt;=VLOOKUP($D1059,Merchantability!$B:$E,4,0)),AB1059,0)</f>
        <v>#N/A</v>
      </c>
      <c r="AH1059" s="104" t="e">
        <f>IF(AND(VLOOKUP($D1059,Merchantability!$B:$C,2,0)="Yes",$E1059&gt;=VLOOKUP($D1059,Merchantability!$B:$D,3,0),$E1059&lt;=VLOOKUP($D1059,Merchantability!$B:$E,4,0)),AC1059,0)</f>
        <v>#N/A</v>
      </c>
      <c r="AI1059" s="104" t="e">
        <f t="shared" si="492"/>
        <v>#N/A</v>
      </c>
      <c r="AJ1059" s="104" t="e">
        <f t="shared" si="493"/>
        <v>#VALUE!</v>
      </c>
      <c r="AK1059" s="104" t="e">
        <f t="shared" si="494"/>
        <v>#N/A</v>
      </c>
      <c r="AL1059" s="104" t="e">
        <f t="shared" si="495"/>
        <v>#N/A</v>
      </c>
      <c r="AM1059" s="104" t="e">
        <f t="shared" si="496"/>
        <v>#N/A</v>
      </c>
      <c r="AN1059" s="104" t="e">
        <f t="shared" si="480"/>
        <v>#N/A</v>
      </c>
      <c r="AO1059" s="104" t="e">
        <f t="shared" si="481"/>
        <v>#N/A</v>
      </c>
      <c r="AP1059" s="104" t="e">
        <f t="shared" si="482"/>
        <v>#N/A</v>
      </c>
      <c r="AQ1059" s="104" t="e">
        <f t="shared" si="483"/>
        <v>#N/A</v>
      </c>
      <c r="AR1059" s="105" t="str">
        <f t="shared" si="475"/>
        <v/>
      </c>
      <c r="AS1059" s="105" t="str">
        <f t="shared" si="476"/>
        <v/>
      </c>
      <c r="AT1059" s="108" t="str">
        <f t="shared" si="477"/>
        <v/>
      </c>
      <c r="AU1059" s="108" t="str">
        <f t="shared" si="478"/>
        <v/>
      </c>
      <c r="AV1059" s="107" t="str">
        <f>IF(ISNUMBER(O1059),IF(VLOOKUP($A1059,Stand!C:J,8,FALSE)="Short",AT1059,AU1059),"")</f>
        <v/>
      </c>
      <c r="AW1059" s="109" t="str">
        <f t="shared" si="484"/>
        <v/>
      </c>
      <c r="AX1059" s="109" t="str">
        <f t="shared" si="485"/>
        <v/>
      </c>
      <c r="AY1059" s="112" t="str">
        <f>IF(ISNUMBER(O1059),IF(AND(VLOOKUP($D1059,Merchantability!$B:$C,2,0)="Yes",$E1059&gt;=VLOOKUP($D1059,Merchantability!$B:$D,3,0),$E1059&lt;=VLOOKUP($D1059,Merchantability!$B:$E,4,0)),(AV1059*O1059)*(1-$H1059/100),""),"")</f>
        <v/>
      </c>
      <c r="AZ1059" s="116"/>
      <c r="BA1059" s="116"/>
      <c r="BB1059" s="116"/>
      <c r="BE1059" s="62"/>
      <c r="BF1059" s="63"/>
    </row>
    <row r="1060" spans="1:58" ht="12.75" customHeight="1" x14ac:dyDescent="0.25">
      <c r="A1060" s="313"/>
      <c r="B1060" s="328"/>
      <c r="C1060" s="329"/>
      <c r="D1060" s="328"/>
      <c r="E1060" s="330"/>
      <c r="F1060" s="328"/>
      <c r="G1060" s="329"/>
      <c r="H1060" s="329"/>
      <c r="I1060" s="328"/>
      <c r="J1060" s="383"/>
      <c r="K1060" s="329"/>
      <c r="L1060" s="329"/>
      <c r="M1060" s="76"/>
      <c r="N1060" s="103" t="str">
        <f>IF(A1060="","",VLOOKUP(A1060,Stand!C:K,9,0))</f>
        <v/>
      </c>
      <c r="O1060" s="104" t="str">
        <f t="shared" si="470"/>
        <v/>
      </c>
      <c r="P1060" s="105" t="str">
        <f t="shared" si="471"/>
        <v/>
      </c>
      <c r="Q1060" s="105" t="str">
        <f t="shared" si="486"/>
        <v/>
      </c>
      <c r="R1060" s="103" t="str">
        <f t="shared" si="472"/>
        <v/>
      </c>
      <c r="S1060" s="103" t="str">
        <f t="shared" si="473"/>
        <v/>
      </c>
      <c r="T1060" s="106" t="str">
        <f t="shared" si="487"/>
        <v/>
      </c>
      <c r="U1060" s="106" t="str">
        <f t="shared" si="488"/>
        <v/>
      </c>
      <c r="V1060" s="106" t="str">
        <f t="shared" si="489"/>
        <v/>
      </c>
      <c r="W1060" s="105" t="str">
        <f t="shared" si="474"/>
        <v/>
      </c>
      <c r="X1060" s="104" t="str">
        <f t="shared" si="479"/>
        <v/>
      </c>
      <c r="Y1060" s="104" t="str">
        <f t="array" ref="Y1060">IFERROR(IF(ISNUMBER(O1060),IF(COUNT(IF(A1060=$A$2:$A$2427,IF(D1060=$D$2:$D$2427,IF($X$2:$X$2427&gt;0,1))))&gt;0,SUM(IF(A1060=$A$2:$A$2427,IF(D1060=$D$2:$D$2427,$X$2:$X$2427)))/COUNT(IF(A1060=$A$2:$A$2427,IF(D1060=$D$2:$D$2427,IF(ISNUMBER($X$2:$X$2427),1)))),0),""),0)</f>
        <v/>
      </c>
      <c r="Z1060" s="104" t="str">
        <f>IF(ISNUMBER(O1060),IF(I1060&gt;0,(10^(VLOOKUP(D1060,'Species Codes'!B:C,2,0)+VLOOKUP(D1060,'Species Codes'!B:D,3,0)*LOG(E1060)+VLOOKUP(D1060,'Species Codes'!B:E,4,0)*LOG(I1060))),0),"")</f>
        <v/>
      </c>
      <c r="AA1060" s="104" t="str">
        <f>IFERROR((VLOOKUP(D1060,'Species Codes'!B:G,6,0)*Z1060)/2000,"")</f>
        <v/>
      </c>
      <c r="AB1060" s="104" t="e">
        <f>IF(Z1060&gt;0,((IF(OR(D1060="DF",D1060="RA")=TRUE,EXP(VLOOKUP(D1060,'Species Codes'!B:I,8,0)+VLOOKUP(D1060,'Species Codes'!B:J,9,0)*(LN((E1060*2.54)))),IF(OR(D1060="PY",D1060="RC",D1060="WH",D1060="NF")=TRUE,VLOOKUP(D1060,'Species Codes'!B:I,8,0)+VLOOKUP(D1060,'Species Codes'!B:J,9,0)*((E1060*2.54)^2)*(I1060*0.3048),IF(OR(D1060="MD",D1060="BM",D1060="GA")=TRUE,((VLOOKUP(D1060,'Species Codes'!B:I,8,0)*(((((E1060*2.54)+VLOOKUP(D1060,'Species Codes'!B:J,9,0))/VLOOKUP(D1060,'Species Codes'!B:K,10,0))^VLOOKUP(D1060,'Species Codes'!B:L,11,0))*((I1060*0.3048)^VLOOKUP(D1060,'Species Codes'!B:M,12,0))))-(VLOOKUP(D1060,'Species Codes'!B:I,8,0)*((((E1060*2.54)^VLOOKUP(D1060,'Species Codes'!B:L,11,0))*((I1060*0.3048)^VLOOKUP(D1060,'Species Codes'!B:M,12,0))))))*35.3*VLOOKUP(D1060,'Species Codes'!B:G,6,0)/2.2046,VLOOKUP(D1060,'Species Codes'!B:I,8,0)+VLOOKUP(D1060,'Species Codes'!B:J,9,0)*(((E1060*2.54)/100)^2)*(I1060*0.3048)))))*0.0011023),0)</f>
        <v>#N/A</v>
      </c>
      <c r="AC1060" s="104" t="e">
        <f>IF(Z1060&gt;0,((IF(OR(D1060="RA",D1060="OA",D1060="OT",D1060="UN",D1060="PC"),EXP(VLOOKUP(D1060,'Species Codes'!B:O,14,0)+VLOOKUP(D1060,'Species Codes'!B:P,15,0)*LN((E1060*2.54)))-EXP(VLOOKUP(D1060,'Species Codes'!B:O,14,0)+VLOOKUP(D1060,'Species Codes'!B:P,15,0)*LN((E1060*2.54)))*(1/(VLOOKUP(D1060,'Species Codes'!B:Q,16,0)+VLOOKUP(D1060,'Species Codes'!B:R,17,0)*((E1060*2.54)^VLOOKUP(D1060,'Species Codes'!B:S,18,0)))),IF(OR(D1060="BM",D1060="MD",D1060="OA"),EXP(VLOOKUP(D1060,'Species Codes'!B:O,14,0)+VLOOKUP(D1060,'Species Codes'!B:P,15,0)*LN((E1060*2.54)))*(1-(1/(VLOOKUP(D1060,'Species Codes'!B:Q,16,0)+VLOOKUP(D1060,'Species Codes'!B:R,17,0)*((E1060*2.54)^VLOOKUP(D1060,'Species Codes'!B:S,18,0)))))/1000,IF(D1060="DF",EXP(VLOOKUP(D1060,'Species Codes'!B:O,14,0)+VLOOKUP(D1060,'Species Codes'!B:P,15,0)*LN((E1060*2.54))),VLOOKUP(D1060,'Species Codes'!B:O,14,0)+VLOOKUP(D1060,'Species Codes'!B:P,15,0)*(((E1060*2.54)/100)^2)*(I1060*0.3048)))))*0.0011023),0)</f>
        <v>#N/A</v>
      </c>
      <c r="AD1060" s="104" t="e">
        <f t="shared" si="490"/>
        <v>#N/A</v>
      </c>
      <c r="AE1060" s="104" t="e">
        <f t="shared" si="491"/>
        <v>#N/A</v>
      </c>
      <c r="AF1060" s="104" t="e">
        <f>IF(AND(VLOOKUP($D1060,Merchantability!$B:$C,2,0)="Yes",$E1060&gt;=VLOOKUP($D1060,Merchantability!$B:$D,3,0),$E1060&lt;=VLOOKUP($D1060,Merchantability!$B:$E,4,0)),AA1060,0)</f>
        <v>#N/A</v>
      </c>
      <c r="AG1060" s="104" t="e">
        <f>IF(AND(VLOOKUP($D1060,Merchantability!$B:$C,2,0)="Yes",$E1060&gt;=VLOOKUP($D1060,Merchantability!$B:$D,3,0),$E1060&lt;=VLOOKUP($D1060,Merchantability!$B:$E,4,0)),AB1060,0)</f>
        <v>#N/A</v>
      </c>
      <c r="AH1060" s="104" t="e">
        <f>IF(AND(VLOOKUP($D1060,Merchantability!$B:$C,2,0)="Yes",$E1060&gt;=VLOOKUP($D1060,Merchantability!$B:$D,3,0),$E1060&lt;=VLOOKUP($D1060,Merchantability!$B:$E,4,0)),AC1060,0)</f>
        <v>#N/A</v>
      </c>
      <c r="AI1060" s="104" t="e">
        <f t="shared" si="492"/>
        <v>#N/A</v>
      </c>
      <c r="AJ1060" s="104" t="e">
        <f t="shared" si="493"/>
        <v>#VALUE!</v>
      </c>
      <c r="AK1060" s="104" t="e">
        <f t="shared" si="494"/>
        <v>#N/A</v>
      </c>
      <c r="AL1060" s="104" t="e">
        <f t="shared" si="495"/>
        <v>#N/A</v>
      </c>
      <c r="AM1060" s="104" t="e">
        <f t="shared" si="496"/>
        <v>#N/A</v>
      </c>
      <c r="AN1060" s="104" t="e">
        <f t="shared" si="480"/>
        <v>#N/A</v>
      </c>
      <c r="AO1060" s="104" t="e">
        <f t="shared" si="481"/>
        <v>#N/A</v>
      </c>
      <c r="AP1060" s="104" t="e">
        <f t="shared" si="482"/>
        <v>#N/A</v>
      </c>
      <c r="AQ1060" s="104" t="e">
        <f t="shared" si="483"/>
        <v>#N/A</v>
      </c>
      <c r="AR1060" s="105" t="str">
        <f t="shared" si="475"/>
        <v/>
      </c>
      <c r="AS1060" s="105" t="str">
        <f t="shared" si="476"/>
        <v/>
      </c>
      <c r="AT1060" s="108" t="str">
        <f t="shared" si="477"/>
        <v/>
      </c>
      <c r="AU1060" s="108" t="str">
        <f t="shared" si="478"/>
        <v/>
      </c>
      <c r="AV1060" s="107" t="str">
        <f>IF(ISNUMBER(O1060),IF(VLOOKUP($A1060,Stand!C:J,8,FALSE)="Short",AT1060,AU1060),"")</f>
        <v/>
      </c>
      <c r="AW1060" s="109" t="str">
        <f t="shared" si="484"/>
        <v/>
      </c>
      <c r="AX1060" s="109" t="str">
        <f t="shared" si="485"/>
        <v/>
      </c>
      <c r="AY1060" s="112" t="str">
        <f>IF(ISNUMBER(O1060),IF(AND(VLOOKUP($D1060,Merchantability!$B:$C,2,0)="Yes",$E1060&gt;=VLOOKUP($D1060,Merchantability!$B:$D,3,0),$E1060&lt;=VLOOKUP($D1060,Merchantability!$B:$E,4,0)),(AV1060*O1060)*(1-$H1060/100),""),"")</f>
        <v/>
      </c>
      <c r="AZ1060" s="116"/>
      <c r="BA1060" s="116"/>
      <c r="BB1060" s="116"/>
      <c r="BE1060" s="62"/>
      <c r="BF1060" s="63"/>
    </row>
    <row r="1061" spans="1:58" ht="12.75" customHeight="1" x14ac:dyDescent="0.25">
      <c r="A1061" s="313"/>
      <c r="B1061" s="328"/>
      <c r="C1061" s="329"/>
      <c r="D1061" s="328"/>
      <c r="E1061" s="330"/>
      <c r="F1061" s="328"/>
      <c r="G1061" s="329"/>
      <c r="H1061" s="329"/>
      <c r="I1061" s="328"/>
      <c r="J1061" s="383"/>
      <c r="K1061" s="329"/>
      <c r="L1061" s="329"/>
      <c r="M1061" s="76"/>
      <c r="N1061" s="103" t="str">
        <f>IF(A1061="","",VLOOKUP(A1061,Stand!C:K,9,0))</f>
        <v/>
      </c>
      <c r="O1061" s="104" t="str">
        <f t="shared" si="470"/>
        <v/>
      </c>
      <c r="P1061" s="105" t="str">
        <f t="shared" si="471"/>
        <v/>
      </c>
      <c r="Q1061" s="105" t="str">
        <f t="shared" si="486"/>
        <v/>
      </c>
      <c r="R1061" s="103" t="str">
        <f t="shared" si="472"/>
        <v/>
      </c>
      <c r="S1061" s="103" t="str">
        <f t="shared" si="473"/>
        <v/>
      </c>
      <c r="T1061" s="106" t="str">
        <f t="shared" si="487"/>
        <v/>
      </c>
      <c r="U1061" s="106" t="str">
        <f t="shared" si="488"/>
        <v/>
      </c>
      <c r="V1061" s="106" t="str">
        <f t="shared" si="489"/>
        <v/>
      </c>
      <c r="W1061" s="105" t="str">
        <f t="shared" si="474"/>
        <v/>
      </c>
      <c r="X1061" s="104" t="str">
        <f t="shared" si="479"/>
        <v/>
      </c>
      <c r="Y1061" s="104" t="str">
        <f t="array" ref="Y1061">IFERROR(IF(ISNUMBER(O1061),IF(COUNT(IF(A1061=$A$2:$A$2427,IF(D1061=$D$2:$D$2427,IF($X$2:$X$2427&gt;0,1))))&gt;0,SUM(IF(A1061=$A$2:$A$2427,IF(D1061=$D$2:$D$2427,$X$2:$X$2427)))/COUNT(IF(A1061=$A$2:$A$2427,IF(D1061=$D$2:$D$2427,IF(ISNUMBER($X$2:$X$2427),1)))),0),""),0)</f>
        <v/>
      </c>
      <c r="Z1061" s="104" t="str">
        <f>IF(ISNUMBER(O1061),IF(I1061&gt;0,(10^(VLOOKUP(D1061,'Species Codes'!B:C,2,0)+VLOOKUP(D1061,'Species Codes'!B:D,3,0)*LOG(E1061)+VLOOKUP(D1061,'Species Codes'!B:E,4,0)*LOG(I1061))),0),"")</f>
        <v/>
      </c>
      <c r="AA1061" s="104" t="str">
        <f>IFERROR((VLOOKUP(D1061,'Species Codes'!B:G,6,0)*Z1061)/2000,"")</f>
        <v/>
      </c>
      <c r="AB1061" s="104" t="e">
        <f>IF(Z1061&gt;0,((IF(OR(D1061="DF",D1061="RA")=TRUE,EXP(VLOOKUP(D1061,'Species Codes'!B:I,8,0)+VLOOKUP(D1061,'Species Codes'!B:J,9,0)*(LN((E1061*2.54)))),IF(OR(D1061="PY",D1061="RC",D1061="WH",D1061="NF")=TRUE,VLOOKUP(D1061,'Species Codes'!B:I,8,0)+VLOOKUP(D1061,'Species Codes'!B:J,9,0)*((E1061*2.54)^2)*(I1061*0.3048),IF(OR(D1061="MD",D1061="BM",D1061="GA")=TRUE,((VLOOKUP(D1061,'Species Codes'!B:I,8,0)*(((((E1061*2.54)+VLOOKUP(D1061,'Species Codes'!B:J,9,0))/VLOOKUP(D1061,'Species Codes'!B:K,10,0))^VLOOKUP(D1061,'Species Codes'!B:L,11,0))*((I1061*0.3048)^VLOOKUP(D1061,'Species Codes'!B:M,12,0))))-(VLOOKUP(D1061,'Species Codes'!B:I,8,0)*((((E1061*2.54)^VLOOKUP(D1061,'Species Codes'!B:L,11,0))*((I1061*0.3048)^VLOOKUP(D1061,'Species Codes'!B:M,12,0))))))*35.3*VLOOKUP(D1061,'Species Codes'!B:G,6,0)/2.2046,VLOOKUP(D1061,'Species Codes'!B:I,8,0)+VLOOKUP(D1061,'Species Codes'!B:J,9,0)*(((E1061*2.54)/100)^2)*(I1061*0.3048)))))*0.0011023),0)</f>
        <v>#N/A</v>
      </c>
      <c r="AC1061" s="104" t="e">
        <f>IF(Z1061&gt;0,((IF(OR(D1061="RA",D1061="OA",D1061="OT",D1061="UN",D1061="PC"),EXP(VLOOKUP(D1061,'Species Codes'!B:O,14,0)+VLOOKUP(D1061,'Species Codes'!B:P,15,0)*LN((E1061*2.54)))-EXP(VLOOKUP(D1061,'Species Codes'!B:O,14,0)+VLOOKUP(D1061,'Species Codes'!B:P,15,0)*LN((E1061*2.54)))*(1/(VLOOKUP(D1061,'Species Codes'!B:Q,16,0)+VLOOKUP(D1061,'Species Codes'!B:R,17,0)*((E1061*2.54)^VLOOKUP(D1061,'Species Codes'!B:S,18,0)))),IF(OR(D1061="BM",D1061="MD",D1061="OA"),EXP(VLOOKUP(D1061,'Species Codes'!B:O,14,0)+VLOOKUP(D1061,'Species Codes'!B:P,15,0)*LN((E1061*2.54)))*(1-(1/(VLOOKUP(D1061,'Species Codes'!B:Q,16,0)+VLOOKUP(D1061,'Species Codes'!B:R,17,0)*((E1061*2.54)^VLOOKUP(D1061,'Species Codes'!B:S,18,0)))))/1000,IF(D1061="DF",EXP(VLOOKUP(D1061,'Species Codes'!B:O,14,0)+VLOOKUP(D1061,'Species Codes'!B:P,15,0)*LN((E1061*2.54))),VLOOKUP(D1061,'Species Codes'!B:O,14,0)+VLOOKUP(D1061,'Species Codes'!B:P,15,0)*(((E1061*2.54)/100)^2)*(I1061*0.3048)))))*0.0011023),0)</f>
        <v>#N/A</v>
      </c>
      <c r="AD1061" s="104" t="e">
        <f t="shared" si="490"/>
        <v>#N/A</v>
      </c>
      <c r="AE1061" s="104" t="e">
        <f t="shared" si="491"/>
        <v>#N/A</v>
      </c>
      <c r="AF1061" s="104" t="e">
        <f>IF(AND(VLOOKUP($D1061,Merchantability!$B:$C,2,0)="Yes",$E1061&gt;=VLOOKUP($D1061,Merchantability!$B:$D,3,0),$E1061&lt;=VLOOKUP($D1061,Merchantability!$B:$E,4,0)),AA1061,0)</f>
        <v>#N/A</v>
      </c>
      <c r="AG1061" s="104" t="e">
        <f>IF(AND(VLOOKUP($D1061,Merchantability!$B:$C,2,0)="Yes",$E1061&gt;=VLOOKUP($D1061,Merchantability!$B:$D,3,0),$E1061&lt;=VLOOKUP($D1061,Merchantability!$B:$E,4,0)),AB1061,0)</f>
        <v>#N/A</v>
      </c>
      <c r="AH1061" s="104" t="e">
        <f>IF(AND(VLOOKUP($D1061,Merchantability!$B:$C,2,0)="Yes",$E1061&gt;=VLOOKUP($D1061,Merchantability!$B:$D,3,0),$E1061&lt;=VLOOKUP($D1061,Merchantability!$B:$E,4,0)),AC1061,0)</f>
        <v>#N/A</v>
      </c>
      <c r="AI1061" s="104" t="e">
        <f t="shared" si="492"/>
        <v>#N/A</v>
      </c>
      <c r="AJ1061" s="104" t="e">
        <f t="shared" si="493"/>
        <v>#VALUE!</v>
      </c>
      <c r="AK1061" s="104" t="e">
        <f t="shared" si="494"/>
        <v>#N/A</v>
      </c>
      <c r="AL1061" s="104" t="e">
        <f t="shared" si="495"/>
        <v>#N/A</v>
      </c>
      <c r="AM1061" s="104" t="e">
        <f t="shared" si="496"/>
        <v>#N/A</v>
      </c>
      <c r="AN1061" s="104" t="e">
        <f t="shared" si="480"/>
        <v>#N/A</v>
      </c>
      <c r="AO1061" s="104" t="e">
        <f t="shared" si="481"/>
        <v>#N/A</v>
      </c>
      <c r="AP1061" s="104" t="e">
        <f t="shared" si="482"/>
        <v>#N/A</v>
      </c>
      <c r="AQ1061" s="104" t="e">
        <f t="shared" si="483"/>
        <v>#N/A</v>
      </c>
      <c r="AR1061" s="105" t="str">
        <f t="shared" si="475"/>
        <v/>
      </c>
      <c r="AS1061" s="105" t="str">
        <f t="shared" si="476"/>
        <v/>
      </c>
      <c r="AT1061" s="108" t="str">
        <f t="shared" si="477"/>
        <v/>
      </c>
      <c r="AU1061" s="108" t="str">
        <f t="shared" si="478"/>
        <v/>
      </c>
      <c r="AV1061" s="107" t="str">
        <f>IF(ISNUMBER(O1061),IF(VLOOKUP($A1061,Stand!C:J,8,FALSE)="Short",AT1061,AU1061),"")</f>
        <v/>
      </c>
      <c r="AW1061" s="109" t="str">
        <f t="shared" si="484"/>
        <v/>
      </c>
      <c r="AX1061" s="109" t="str">
        <f t="shared" si="485"/>
        <v/>
      </c>
      <c r="AY1061" s="112" t="str">
        <f>IF(ISNUMBER(O1061),IF(AND(VLOOKUP($D1061,Merchantability!$B:$C,2,0)="Yes",$E1061&gt;=VLOOKUP($D1061,Merchantability!$B:$D,3,0),$E1061&lt;=VLOOKUP($D1061,Merchantability!$B:$E,4,0)),(AV1061*O1061)*(1-$H1061/100),""),"")</f>
        <v/>
      </c>
      <c r="AZ1061" s="116"/>
      <c r="BA1061" s="116"/>
      <c r="BB1061" s="116"/>
      <c r="BE1061" s="62"/>
      <c r="BF1061" s="63"/>
    </row>
    <row r="1062" spans="1:58" ht="12.75" customHeight="1" x14ac:dyDescent="0.25">
      <c r="A1062" s="313"/>
      <c r="B1062" s="328"/>
      <c r="C1062" s="329"/>
      <c r="D1062" s="328"/>
      <c r="E1062" s="330"/>
      <c r="F1062" s="328"/>
      <c r="G1062" s="329"/>
      <c r="H1062" s="329"/>
      <c r="I1062" s="328"/>
      <c r="J1062" s="383"/>
      <c r="K1062" s="329"/>
      <c r="L1062" s="329"/>
      <c r="M1062" s="76"/>
      <c r="N1062" s="103" t="str">
        <f>IF(A1062="","",VLOOKUP(A1062,Stand!C:K,9,0))</f>
        <v/>
      </c>
      <c r="O1062" s="104" t="str">
        <f t="shared" si="470"/>
        <v/>
      </c>
      <c r="P1062" s="105" t="str">
        <f t="shared" si="471"/>
        <v/>
      </c>
      <c r="Q1062" s="105" t="str">
        <f t="shared" si="486"/>
        <v/>
      </c>
      <c r="R1062" s="103" t="str">
        <f t="shared" si="472"/>
        <v/>
      </c>
      <c r="S1062" s="103" t="str">
        <f t="shared" si="473"/>
        <v/>
      </c>
      <c r="T1062" s="106" t="str">
        <f t="shared" si="487"/>
        <v/>
      </c>
      <c r="U1062" s="106" t="str">
        <f t="shared" si="488"/>
        <v/>
      </c>
      <c r="V1062" s="106" t="str">
        <f t="shared" si="489"/>
        <v/>
      </c>
      <c r="W1062" s="105" t="str">
        <f t="shared" si="474"/>
        <v/>
      </c>
      <c r="X1062" s="104" t="str">
        <f t="shared" si="479"/>
        <v/>
      </c>
      <c r="Y1062" s="104" t="str">
        <f t="array" ref="Y1062">IFERROR(IF(ISNUMBER(O1062),IF(COUNT(IF(A1062=$A$2:$A$2427,IF(D1062=$D$2:$D$2427,IF($X$2:$X$2427&gt;0,1))))&gt;0,SUM(IF(A1062=$A$2:$A$2427,IF(D1062=$D$2:$D$2427,$X$2:$X$2427)))/COUNT(IF(A1062=$A$2:$A$2427,IF(D1062=$D$2:$D$2427,IF(ISNUMBER($X$2:$X$2427),1)))),0),""),0)</f>
        <v/>
      </c>
      <c r="Z1062" s="104" t="str">
        <f>IF(ISNUMBER(O1062),IF(I1062&gt;0,(10^(VLOOKUP(D1062,'Species Codes'!B:C,2,0)+VLOOKUP(D1062,'Species Codes'!B:D,3,0)*LOG(E1062)+VLOOKUP(D1062,'Species Codes'!B:E,4,0)*LOG(I1062))),0),"")</f>
        <v/>
      </c>
      <c r="AA1062" s="104" t="str">
        <f>IFERROR((VLOOKUP(D1062,'Species Codes'!B:G,6,0)*Z1062)/2000,"")</f>
        <v/>
      </c>
      <c r="AB1062" s="104" t="e">
        <f>IF(Z1062&gt;0,((IF(OR(D1062="DF",D1062="RA")=TRUE,EXP(VLOOKUP(D1062,'Species Codes'!B:I,8,0)+VLOOKUP(D1062,'Species Codes'!B:J,9,0)*(LN((E1062*2.54)))),IF(OR(D1062="PY",D1062="RC",D1062="WH",D1062="NF")=TRUE,VLOOKUP(D1062,'Species Codes'!B:I,8,0)+VLOOKUP(D1062,'Species Codes'!B:J,9,0)*((E1062*2.54)^2)*(I1062*0.3048),IF(OR(D1062="MD",D1062="BM",D1062="GA")=TRUE,((VLOOKUP(D1062,'Species Codes'!B:I,8,0)*(((((E1062*2.54)+VLOOKUP(D1062,'Species Codes'!B:J,9,0))/VLOOKUP(D1062,'Species Codes'!B:K,10,0))^VLOOKUP(D1062,'Species Codes'!B:L,11,0))*((I1062*0.3048)^VLOOKUP(D1062,'Species Codes'!B:M,12,0))))-(VLOOKUP(D1062,'Species Codes'!B:I,8,0)*((((E1062*2.54)^VLOOKUP(D1062,'Species Codes'!B:L,11,0))*((I1062*0.3048)^VLOOKUP(D1062,'Species Codes'!B:M,12,0))))))*35.3*VLOOKUP(D1062,'Species Codes'!B:G,6,0)/2.2046,VLOOKUP(D1062,'Species Codes'!B:I,8,0)+VLOOKUP(D1062,'Species Codes'!B:J,9,0)*(((E1062*2.54)/100)^2)*(I1062*0.3048)))))*0.0011023),0)</f>
        <v>#N/A</v>
      </c>
      <c r="AC1062" s="104" t="e">
        <f>IF(Z1062&gt;0,((IF(OR(D1062="RA",D1062="OA",D1062="OT",D1062="UN",D1062="PC"),EXP(VLOOKUP(D1062,'Species Codes'!B:O,14,0)+VLOOKUP(D1062,'Species Codes'!B:P,15,0)*LN((E1062*2.54)))-EXP(VLOOKUP(D1062,'Species Codes'!B:O,14,0)+VLOOKUP(D1062,'Species Codes'!B:P,15,0)*LN((E1062*2.54)))*(1/(VLOOKUP(D1062,'Species Codes'!B:Q,16,0)+VLOOKUP(D1062,'Species Codes'!B:R,17,0)*((E1062*2.54)^VLOOKUP(D1062,'Species Codes'!B:S,18,0)))),IF(OR(D1062="BM",D1062="MD",D1062="OA"),EXP(VLOOKUP(D1062,'Species Codes'!B:O,14,0)+VLOOKUP(D1062,'Species Codes'!B:P,15,0)*LN((E1062*2.54)))*(1-(1/(VLOOKUP(D1062,'Species Codes'!B:Q,16,0)+VLOOKUP(D1062,'Species Codes'!B:R,17,0)*((E1062*2.54)^VLOOKUP(D1062,'Species Codes'!B:S,18,0)))))/1000,IF(D1062="DF",EXP(VLOOKUP(D1062,'Species Codes'!B:O,14,0)+VLOOKUP(D1062,'Species Codes'!B:P,15,0)*LN((E1062*2.54))),VLOOKUP(D1062,'Species Codes'!B:O,14,0)+VLOOKUP(D1062,'Species Codes'!B:P,15,0)*(((E1062*2.54)/100)^2)*(I1062*0.3048)))))*0.0011023),0)</f>
        <v>#N/A</v>
      </c>
      <c r="AD1062" s="104" t="e">
        <f t="shared" si="490"/>
        <v>#N/A</v>
      </c>
      <c r="AE1062" s="104" t="e">
        <f t="shared" si="491"/>
        <v>#N/A</v>
      </c>
      <c r="AF1062" s="104" t="e">
        <f>IF(AND(VLOOKUP($D1062,Merchantability!$B:$C,2,0)="Yes",$E1062&gt;=VLOOKUP($D1062,Merchantability!$B:$D,3,0),$E1062&lt;=VLOOKUP($D1062,Merchantability!$B:$E,4,0)),AA1062,0)</f>
        <v>#N/A</v>
      </c>
      <c r="AG1062" s="104" t="e">
        <f>IF(AND(VLOOKUP($D1062,Merchantability!$B:$C,2,0)="Yes",$E1062&gt;=VLOOKUP($D1062,Merchantability!$B:$D,3,0),$E1062&lt;=VLOOKUP($D1062,Merchantability!$B:$E,4,0)),AB1062,0)</f>
        <v>#N/A</v>
      </c>
      <c r="AH1062" s="104" t="e">
        <f>IF(AND(VLOOKUP($D1062,Merchantability!$B:$C,2,0)="Yes",$E1062&gt;=VLOOKUP($D1062,Merchantability!$B:$D,3,0),$E1062&lt;=VLOOKUP($D1062,Merchantability!$B:$E,4,0)),AC1062,0)</f>
        <v>#N/A</v>
      </c>
      <c r="AI1062" s="104" t="e">
        <f t="shared" si="492"/>
        <v>#N/A</v>
      </c>
      <c r="AJ1062" s="104" t="e">
        <f t="shared" si="493"/>
        <v>#VALUE!</v>
      </c>
      <c r="AK1062" s="104" t="e">
        <f t="shared" si="494"/>
        <v>#N/A</v>
      </c>
      <c r="AL1062" s="104" t="e">
        <f t="shared" si="495"/>
        <v>#N/A</v>
      </c>
      <c r="AM1062" s="104" t="e">
        <f t="shared" si="496"/>
        <v>#N/A</v>
      </c>
      <c r="AN1062" s="104" t="e">
        <f t="shared" si="480"/>
        <v>#N/A</v>
      </c>
      <c r="AO1062" s="104" t="e">
        <f t="shared" si="481"/>
        <v>#N/A</v>
      </c>
      <c r="AP1062" s="104" t="e">
        <f t="shared" si="482"/>
        <v>#N/A</v>
      </c>
      <c r="AQ1062" s="104" t="e">
        <f t="shared" si="483"/>
        <v>#N/A</v>
      </c>
      <c r="AR1062" s="105" t="str">
        <f t="shared" si="475"/>
        <v/>
      </c>
      <c r="AS1062" s="105" t="str">
        <f t="shared" si="476"/>
        <v/>
      </c>
      <c r="AT1062" s="108" t="str">
        <f t="shared" si="477"/>
        <v/>
      </c>
      <c r="AU1062" s="108" t="str">
        <f t="shared" si="478"/>
        <v/>
      </c>
      <c r="AV1062" s="107" t="str">
        <f>IF(ISNUMBER(O1062),IF(VLOOKUP($A1062,Stand!C:J,8,FALSE)="Short",AT1062,AU1062),"")</f>
        <v/>
      </c>
      <c r="AW1062" s="109" t="str">
        <f t="shared" si="484"/>
        <v/>
      </c>
      <c r="AX1062" s="109" t="str">
        <f t="shared" si="485"/>
        <v/>
      </c>
      <c r="AY1062" s="112" t="str">
        <f>IF(ISNUMBER(O1062),IF(AND(VLOOKUP($D1062,Merchantability!$B:$C,2,0)="Yes",$E1062&gt;=VLOOKUP($D1062,Merchantability!$B:$D,3,0),$E1062&lt;=VLOOKUP($D1062,Merchantability!$B:$E,4,0)),(AV1062*O1062)*(1-$H1062/100),""),"")</f>
        <v/>
      </c>
      <c r="AZ1062" s="116"/>
      <c r="BA1062" s="116"/>
      <c r="BB1062" s="116"/>
      <c r="BE1062" s="62"/>
      <c r="BF1062" s="63"/>
    </row>
    <row r="1063" spans="1:58" ht="12.75" customHeight="1" x14ac:dyDescent="0.25">
      <c r="A1063" s="313"/>
      <c r="B1063" s="328"/>
      <c r="C1063" s="329"/>
      <c r="D1063" s="328"/>
      <c r="E1063" s="330"/>
      <c r="F1063" s="328"/>
      <c r="G1063" s="329"/>
      <c r="H1063" s="329"/>
      <c r="I1063" s="328"/>
      <c r="J1063" s="383"/>
      <c r="K1063" s="329"/>
      <c r="L1063" s="329"/>
      <c r="M1063" s="76"/>
      <c r="N1063" s="103" t="str">
        <f>IF(A1063="","",VLOOKUP(A1063,Stand!C:K,9,0))</f>
        <v/>
      </c>
      <c r="O1063" s="104" t="str">
        <f t="shared" si="470"/>
        <v/>
      </c>
      <c r="P1063" s="105" t="str">
        <f t="shared" si="471"/>
        <v/>
      </c>
      <c r="Q1063" s="105" t="str">
        <f t="shared" si="486"/>
        <v/>
      </c>
      <c r="R1063" s="103" t="str">
        <f t="shared" si="472"/>
        <v/>
      </c>
      <c r="S1063" s="103" t="str">
        <f t="shared" si="473"/>
        <v/>
      </c>
      <c r="T1063" s="106" t="str">
        <f t="shared" si="487"/>
        <v/>
      </c>
      <c r="U1063" s="106" t="str">
        <f t="shared" si="488"/>
        <v/>
      </c>
      <c r="V1063" s="106" t="str">
        <f t="shared" si="489"/>
        <v/>
      </c>
      <c r="W1063" s="105" t="str">
        <f t="shared" si="474"/>
        <v/>
      </c>
      <c r="X1063" s="104" t="str">
        <f t="shared" si="479"/>
        <v/>
      </c>
      <c r="Y1063" s="104" t="str">
        <f t="array" ref="Y1063">IFERROR(IF(ISNUMBER(O1063),IF(COUNT(IF(A1063=$A$2:$A$2427,IF(D1063=$D$2:$D$2427,IF($X$2:$X$2427&gt;0,1))))&gt;0,SUM(IF(A1063=$A$2:$A$2427,IF(D1063=$D$2:$D$2427,$X$2:$X$2427)))/COUNT(IF(A1063=$A$2:$A$2427,IF(D1063=$D$2:$D$2427,IF(ISNUMBER($X$2:$X$2427),1)))),0),""),0)</f>
        <v/>
      </c>
      <c r="Z1063" s="104" t="str">
        <f>IF(ISNUMBER(O1063),IF(I1063&gt;0,(10^(VLOOKUP(D1063,'Species Codes'!B:C,2,0)+VLOOKUP(D1063,'Species Codes'!B:D,3,0)*LOG(E1063)+VLOOKUP(D1063,'Species Codes'!B:E,4,0)*LOG(I1063))),0),"")</f>
        <v/>
      </c>
      <c r="AA1063" s="104" t="str">
        <f>IFERROR((VLOOKUP(D1063,'Species Codes'!B:G,6,0)*Z1063)/2000,"")</f>
        <v/>
      </c>
      <c r="AB1063" s="104" t="e">
        <f>IF(Z1063&gt;0,((IF(OR(D1063="DF",D1063="RA")=TRUE,EXP(VLOOKUP(D1063,'Species Codes'!B:I,8,0)+VLOOKUP(D1063,'Species Codes'!B:J,9,0)*(LN((E1063*2.54)))),IF(OR(D1063="PY",D1063="RC",D1063="WH",D1063="NF")=TRUE,VLOOKUP(D1063,'Species Codes'!B:I,8,0)+VLOOKUP(D1063,'Species Codes'!B:J,9,0)*((E1063*2.54)^2)*(I1063*0.3048),IF(OR(D1063="MD",D1063="BM",D1063="GA")=TRUE,((VLOOKUP(D1063,'Species Codes'!B:I,8,0)*(((((E1063*2.54)+VLOOKUP(D1063,'Species Codes'!B:J,9,0))/VLOOKUP(D1063,'Species Codes'!B:K,10,0))^VLOOKUP(D1063,'Species Codes'!B:L,11,0))*((I1063*0.3048)^VLOOKUP(D1063,'Species Codes'!B:M,12,0))))-(VLOOKUP(D1063,'Species Codes'!B:I,8,0)*((((E1063*2.54)^VLOOKUP(D1063,'Species Codes'!B:L,11,0))*((I1063*0.3048)^VLOOKUP(D1063,'Species Codes'!B:M,12,0))))))*35.3*VLOOKUP(D1063,'Species Codes'!B:G,6,0)/2.2046,VLOOKUP(D1063,'Species Codes'!B:I,8,0)+VLOOKUP(D1063,'Species Codes'!B:J,9,0)*(((E1063*2.54)/100)^2)*(I1063*0.3048)))))*0.0011023),0)</f>
        <v>#N/A</v>
      </c>
      <c r="AC1063" s="104" t="e">
        <f>IF(Z1063&gt;0,((IF(OR(D1063="RA",D1063="OA",D1063="OT",D1063="UN",D1063="PC"),EXP(VLOOKUP(D1063,'Species Codes'!B:O,14,0)+VLOOKUP(D1063,'Species Codes'!B:P,15,0)*LN((E1063*2.54)))-EXP(VLOOKUP(D1063,'Species Codes'!B:O,14,0)+VLOOKUP(D1063,'Species Codes'!B:P,15,0)*LN((E1063*2.54)))*(1/(VLOOKUP(D1063,'Species Codes'!B:Q,16,0)+VLOOKUP(D1063,'Species Codes'!B:R,17,0)*((E1063*2.54)^VLOOKUP(D1063,'Species Codes'!B:S,18,0)))),IF(OR(D1063="BM",D1063="MD",D1063="OA"),EXP(VLOOKUP(D1063,'Species Codes'!B:O,14,0)+VLOOKUP(D1063,'Species Codes'!B:P,15,0)*LN((E1063*2.54)))*(1-(1/(VLOOKUP(D1063,'Species Codes'!B:Q,16,0)+VLOOKUP(D1063,'Species Codes'!B:R,17,0)*((E1063*2.54)^VLOOKUP(D1063,'Species Codes'!B:S,18,0)))))/1000,IF(D1063="DF",EXP(VLOOKUP(D1063,'Species Codes'!B:O,14,0)+VLOOKUP(D1063,'Species Codes'!B:P,15,0)*LN((E1063*2.54))),VLOOKUP(D1063,'Species Codes'!B:O,14,0)+VLOOKUP(D1063,'Species Codes'!B:P,15,0)*(((E1063*2.54)/100)^2)*(I1063*0.3048)))))*0.0011023),0)</f>
        <v>#N/A</v>
      </c>
      <c r="AD1063" s="104" t="e">
        <f t="shared" si="490"/>
        <v>#N/A</v>
      </c>
      <c r="AE1063" s="104" t="e">
        <f t="shared" si="491"/>
        <v>#N/A</v>
      </c>
      <c r="AF1063" s="104" t="e">
        <f>IF(AND(VLOOKUP($D1063,Merchantability!$B:$C,2,0)="Yes",$E1063&gt;=VLOOKUP($D1063,Merchantability!$B:$D,3,0),$E1063&lt;=VLOOKUP($D1063,Merchantability!$B:$E,4,0)),AA1063,0)</f>
        <v>#N/A</v>
      </c>
      <c r="AG1063" s="104" t="e">
        <f>IF(AND(VLOOKUP($D1063,Merchantability!$B:$C,2,0)="Yes",$E1063&gt;=VLOOKUP($D1063,Merchantability!$B:$D,3,0),$E1063&lt;=VLOOKUP($D1063,Merchantability!$B:$E,4,0)),AB1063,0)</f>
        <v>#N/A</v>
      </c>
      <c r="AH1063" s="104" t="e">
        <f>IF(AND(VLOOKUP($D1063,Merchantability!$B:$C,2,0)="Yes",$E1063&gt;=VLOOKUP($D1063,Merchantability!$B:$D,3,0),$E1063&lt;=VLOOKUP($D1063,Merchantability!$B:$E,4,0)),AC1063,0)</f>
        <v>#N/A</v>
      </c>
      <c r="AI1063" s="104" t="e">
        <f t="shared" si="492"/>
        <v>#N/A</v>
      </c>
      <c r="AJ1063" s="104" t="e">
        <f t="shared" si="493"/>
        <v>#VALUE!</v>
      </c>
      <c r="AK1063" s="104" t="e">
        <f t="shared" si="494"/>
        <v>#N/A</v>
      </c>
      <c r="AL1063" s="104" t="e">
        <f t="shared" si="495"/>
        <v>#N/A</v>
      </c>
      <c r="AM1063" s="104" t="e">
        <f t="shared" si="496"/>
        <v>#N/A</v>
      </c>
      <c r="AN1063" s="104" t="e">
        <f t="shared" si="480"/>
        <v>#N/A</v>
      </c>
      <c r="AO1063" s="104" t="e">
        <f t="shared" si="481"/>
        <v>#N/A</v>
      </c>
      <c r="AP1063" s="104" t="e">
        <f t="shared" si="482"/>
        <v>#N/A</v>
      </c>
      <c r="AQ1063" s="104" t="e">
        <f t="shared" si="483"/>
        <v>#N/A</v>
      </c>
      <c r="AR1063" s="105" t="str">
        <f t="shared" si="475"/>
        <v/>
      </c>
      <c r="AS1063" s="105" t="str">
        <f t="shared" si="476"/>
        <v/>
      </c>
      <c r="AT1063" s="108" t="str">
        <f t="shared" si="477"/>
        <v/>
      </c>
      <c r="AU1063" s="108" t="str">
        <f t="shared" si="478"/>
        <v/>
      </c>
      <c r="AV1063" s="107" t="str">
        <f>IF(ISNUMBER(O1063),IF(VLOOKUP($A1063,Stand!C:J,8,FALSE)="Short",AT1063,AU1063),"")</f>
        <v/>
      </c>
      <c r="AW1063" s="109" t="str">
        <f t="shared" si="484"/>
        <v/>
      </c>
      <c r="AX1063" s="109" t="str">
        <f t="shared" si="485"/>
        <v/>
      </c>
      <c r="AY1063" s="112" t="str">
        <f>IF(ISNUMBER(O1063),IF(AND(VLOOKUP($D1063,Merchantability!$B:$C,2,0)="Yes",$E1063&gt;=VLOOKUP($D1063,Merchantability!$B:$D,3,0),$E1063&lt;=VLOOKUP($D1063,Merchantability!$B:$E,4,0)),(AV1063*O1063)*(1-$H1063/100),""),"")</f>
        <v/>
      </c>
      <c r="AZ1063" s="116"/>
      <c r="BA1063" s="116"/>
      <c r="BB1063" s="116"/>
      <c r="BE1063" s="62"/>
      <c r="BF1063" s="63"/>
    </row>
    <row r="1064" spans="1:58" ht="12.75" customHeight="1" x14ac:dyDescent="0.25">
      <c r="A1064" s="313"/>
      <c r="B1064" s="328"/>
      <c r="C1064" s="329"/>
      <c r="D1064" s="328"/>
      <c r="E1064" s="330"/>
      <c r="F1064" s="328"/>
      <c r="G1064" s="329"/>
      <c r="H1064" s="329"/>
      <c r="I1064" s="328"/>
      <c r="J1064" s="383"/>
      <c r="K1064" s="329"/>
      <c r="L1064" s="329"/>
      <c r="M1064" s="76"/>
      <c r="N1064" s="103" t="str">
        <f>IF(A1064="","",VLOOKUP(A1064,Stand!C:K,9,0))</f>
        <v/>
      </c>
      <c r="O1064" s="104" t="str">
        <f t="shared" si="470"/>
        <v/>
      </c>
      <c r="P1064" s="105" t="str">
        <f t="shared" si="471"/>
        <v/>
      </c>
      <c r="Q1064" s="105" t="str">
        <f t="shared" si="486"/>
        <v/>
      </c>
      <c r="R1064" s="103" t="str">
        <f t="shared" si="472"/>
        <v/>
      </c>
      <c r="S1064" s="103" t="str">
        <f t="shared" si="473"/>
        <v/>
      </c>
      <c r="T1064" s="106" t="str">
        <f t="shared" si="487"/>
        <v/>
      </c>
      <c r="U1064" s="106" t="str">
        <f t="shared" si="488"/>
        <v/>
      </c>
      <c r="V1064" s="106" t="str">
        <f t="shared" si="489"/>
        <v/>
      </c>
      <c r="W1064" s="105" t="str">
        <f t="shared" si="474"/>
        <v/>
      </c>
      <c r="X1064" s="104" t="str">
        <f t="shared" si="479"/>
        <v/>
      </c>
      <c r="Y1064" s="104" t="str">
        <f t="array" ref="Y1064">IFERROR(IF(ISNUMBER(O1064),IF(COUNT(IF(A1064=$A$2:$A$2427,IF(D1064=$D$2:$D$2427,IF($X$2:$X$2427&gt;0,1))))&gt;0,SUM(IF(A1064=$A$2:$A$2427,IF(D1064=$D$2:$D$2427,$X$2:$X$2427)))/COUNT(IF(A1064=$A$2:$A$2427,IF(D1064=$D$2:$D$2427,IF(ISNUMBER($X$2:$X$2427),1)))),0),""),0)</f>
        <v/>
      </c>
      <c r="Z1064" s="104" t="str">
        <f>IF(ISNUMBER(O1064),IF(I1064&gt;0,(10^(VLOOKUP(D1064,'Species Codes'!B:C,2,0)+VLOOKUP(D1064,'Species Codes'!B:D,3,0)*LOG(E1064)+VLOOKUP(D1064,'Species Codes'!B:E,4,0)*LOG(I1064))),0),"")</f>
        <v/>
      </c>
      <c r="AA1064" s="104" t="str">
        <f>IFERROR((VLOOKUP(D1064,'Species Codes'!B:G,6,0)*Z1064)/2000,"")</f>
        <v/>
      </c>
      <c r="AB1064" s="104" t="e">
        <f>IF(Z1064&gt;0,((IF(OR(D1064="DF",D1064="RA")=TRUE,EXP(VLOOKUP(D1064,'Species Codes'!B:I,8,0)+VLOOKUP(D1064,'Species Codes'!B:J,9,0)*(LN((E1064*2.54)))),IF(OR(D1064="PY",D1064="RC",D1064="WH",D1064="NF")=TRUE,VLOOKUP(D1064,'Species Codes'!B:I,8,0)+VLOOKUP(D1064,'Species Codes'!B:J,9,0)*((E1064*2.54)^2)*(I1064*0.3048),IF(OR(D1064="MD",D1064="BM",D1064="GA")=TRUE,((VLOOKUP(D1064,'Species Codes'!B:I,8,0)*(((((E1064*2.54)+VLOOKUP(D1064,'Species Codes'!B:J,9,0))/VLOOKUP(D1064,'Species Codes'!B:K,10,0))^VLOOKUP(D1064,'Species Codes'!B:L,11,0))*((I1064*0.3048)^VLOOKUP(D1064,'Species Codes'!B:M,12,0))))-(VLOOKUP(D1064,'Species Codes'!B:I,8,0)*((((E1064*2.54)^VLOOKUP(D1064,'Species Codes'!B:L,11,0))*((I1064*0.3048)^VLOOKUP(D1064,'Species Codes'!B:M,12,0))))))*35.3*VLOOKUP(D1064,'Species Codes'!B:G,6,0)/2.2046,VLOOKUP(D1064,'Species Codes'!B:I,8,0)+VLOOKUP(D1064,'Species Codes'!B:J,9,0)*(((E1064*2.54)/100)^2)*(I1064*0.3048)))))*0.0011023),0)</f>
        <v>#N/A</v>
      </c>
      <c r="AC1064" s="104" t="e">
        <f>IF(Z1064&gt;0,((IF(OR(D1064="RA",D1064="OA",D1064="OT",D1064="UN",D1064="PC"),EXP(VLOOKUP(D1064,'Species Codes'!B:O,14,0)+VLOOKUP(D1064,'Species Codes'!B:P,15,0)*LN((E1064*2.54)))-EXP(VLOOKUP(D1064,'Species Codes'!B:O,14,0)+VLOOKUP(D1064,'Species Codes'!B:P,15,0)*LN((E1064*2.54)))*(1/(VLOOKUP(D1064,'Species Codes'!B:Q,16,0)+VLOOKUP(D1064,'Species Codes'!B:R,17,0)*((E1064*2.54)^VLOOKUP(D1064,'Species Codes'!B:S,18,0)))),IF(OR(D1064="BM",D1064="MD",D1064="OA"),EXP(VLOOKUP(D1064,'Species Codes'!B:O,14,0)+VLOOKUP(D1064,'Species Codes'!B:P,15,0)*LN((E1064*2.54)))*(1-(1/(VLOOKUP(D1064,'Species Codes'!B:Q,16,0)+VLOOKUP(D1064,'Species Codes'!B:R,17,0)*((E1064*2.54)^VLOOKUP(D1064,'Species Codes'!B:S,18,0)))))/1000,IF(D1064="DF",EXP(VLOOKUP(D1064,'Species Codes'!B:O,14,0)+VLOOKUP(D1064,'Species Codes'!B:P,15,0)*LN((E1064*2.54))),VLOOKUP(D1064,'Species Codes'!B:O,14,0)+VLOOKUP(D1064,'Species Codes'!B:P,15,0)*(((E1064*2.54)/100)^2)*(I1064*0.3048)))))*0.0011023),0)</f>
        <v>#N/A</v>
      </c>
      <c r="AD1064" s="104" t="e">
        <f t="shared" si="490"/>
        <v>#N/A</v>
      </c>
      <c r="AE1064" s="104" t="e">
        <f t="shared" si="491"/>
        <v>#N/A</v>
      </c>
      <c r="AF1064" s="104" t="e">
        <f>IF(AND(VLOOKUP($D1064,Merchantability!$B:$C,2,0)="Yes",$E1064&gt;=VLOOKUP($D1064,Merchantability!$B:$D,3,0),$E1064&lt;=VLOOKUP($D1064,Merchantability!$B:$E,4,0)),AA1064,0)</f>
        <v>#N/A</v>
      </c>
      <c r="AG1064" s="104" t="e">
        <f>IF(AND(VLOOKUP($D1064,Merchantability!$B:$C,2,0)="Yes",$E1064&gt;=VLOOKUP($D1064,Merchantability!$B:$D,3,0),$E1064&lt;=VLOOKUP($D1064,Merchantability!$B:$E,4,0)),AB1064,0)</f>
        <v>#N/A</v>
      </c>
      <c r="AH1064" s="104" t="e">
        <f>IF(AND(VLOOKUP($D1064,Merchantability!$B:$C,2,0)="Yes",$E1064&gt;=VLOOKUP($D1064,Merchantability!$B:$D,3,0),$E1064&lt;=VLOOKUP($D1064,Merchantability!$B:$E,4,0)),AC1064,0)</f>
        <v>#N/A</v>
      </c>
      <c r="AI1064" s="104" t="e">
        <f t="shared" si="492"/>
        <v>#N/A</v>
      </c>
      <c r="AJ1064" s="104" t="e">
        <f t="shared" si="493"/>
        <v>#VALUE!</v>
      </c>
      <c r="AK1064" s="104" t="e">
        <f t="shared" si="494"/>
        <v>#N/A</v>
      </c>
      <c r="AL1064" s="104" t="e">
        <f t="shared" si="495"/>
        <v>#N/A</v>
      </c>
      <c r="AM1064" s="104" t="e">
        <f t="shared" si="496"/>
        <v>#N/A</v>
      </c>
      <c r="AN1064" s="104" t="e">
        <f t="shared" si="480"/>
        <v>#N/A</v>
      </c>
      <c r="AO1064" s="104" t="e">
        <f t="shared" si="481"/>
        <v>#N/A</v>
      </c>
      <c r="AP1064" s="104" t="e">
        <f t="shared" si="482"/>
        <v>#N/A</v>
      </c>
      <c r="AQ1064" s="104" t="e">
        <f t="shared" si="483"/>
        <v>#N/A</v>
      </c>
      <c r="AR1064" s="105" t="str">
        <f t="shared" si="475"/>
        <v/>
      </c>
      <c r="AS1064" s="105" t="str">
        <f t="shared" si="476"/>
        <v/>
      </c>
      <c r="AT1064" s="108" t="str">
        <f t="shared" si="477"/>
        <v/>
      </c>
      <c r="AU1064" s="108" t="str">
        <f t="shared" si="478"/>
        <v/>
      </c>
      <c r="AV1064" s="107" t="str">
        <f>IF(ISNUMBER(O1064),IF(VLOOKUP($A1064,Stand!C:J,8,FALSE)="Short",AT1064,AU1064),"")</f>
        <v/>
      </c>
      <c r="AW1064" s="109" t="str">
        <f t="shared" si="484"/>
        <v/>
      </c>
      <c r="AX1064" s="109" t="str">
        <f t="shared" si="485"/>
        <v/>
      </c>
      <c r="AY1064" s="112" t="str">
        <f>IF(ISNUMBER(O1064),IF(AND(VLOOKUP($D1064,Merchantability!$B:$C,2,0)="Yes",$E1064&gt;=VLOOKUP($D1064,Merchantability!$B:$D,3,0),$E1064&lt;=VLOOKUP($D1064,Merchantability!$B:$E,4,0)),(AV1064*O1064)*(1-$H1064/100),""),"")</f>
        <v/>
      </c>
      <c r="AZ1064" s="116"/>
      <c r="BA1064" s="116"/>
      <c r="BB1064" s="116"/>
      <c r="BE1064" s="62"/>
      <c r="BF1064" s="63"/>
    </row>
    <row r="1065" spans="1:58" ht="12.75" customHeight="1" x14ac:dyDescent="0.25">
      <c r="A1065" s="313"/>
      <c r="B1065" s="328"/>
      <c r="C1065" s="329"/>
      <c r="D1065" s="328"/>
      <c r="E1065" s="330"/>
      <c r="F1065" s="328"/>
      <c r="G1065" s="329"/>
      <c r="H1065" s="329"/>
      <c r="I1065" s="328"/>
      <c r="J1065" s="383"/>
      <c r="K1065" s="329"/>
      <c r="L1065" s="329"/>
      <c r="M1065" s="76"/>
      <c r="N1065" s="103" t="str">
        <f>IF(A1065="","",VLOOKUP(A1065,Stand!C:K,9,0))</f>
        <v/>
      </c>
      <c r="O1065" s="104" t="str">
        <f t="shared" si="470"/>
        <v/>
      </c>
      <c r="P1065" s="105" t="str">
        <f t="shared" si="471"/>
        <v/>
      </c>
      <c r="Q1065" s="105" t="str">
        <f t="shared" si="486"/>
        <v/>
      </c>
      <c r="R1065" s="103" t="str">
        <f t="shared" si="472"/>
        <v/>
      </c>
      <c r="S1065" s="103" t="str">
        <f t="shared" si="473"/>
        <v/>
      </c>
      <c r="T1065" s="106" t="str">
        <f t="shared" si="487"/>
        <v/>
      </c>
      <c r="U1065" s="106" t="str">
        <f t="shared" si="488"/>
        <v/>
      </c>
      <c r="V1065" s="106" t="str">
        <f t="shared" si="489"/>
        <v/>
      </c>
      <c r="W1065" s="105" t="str">
        <f t="shared" si="474"/>
        <v/>
      </c>
      <c r="X1065" s="104" t="str">
        <f t="shared" si="479"/>
        <v/>
      </c>
      <c r="Y1065" s="104" t="str">
        <f t="array" ref="Y1065">IFERROR(IF(ISNUMBER(O1065),IF(COUNT(IF(A1065=$A$2:$A$2427,IF(D1065=$D$2:$D$2427,IF($X$2:$X$2427&gt;0,1))))&gt;0,SUM(IF(A1065=$A$2:$A$2427,IF(D1065=$D$2:$D$2427,$X$2:$X$2427)))/COUNT(IF(A1065=$A$2:$A$2427,IF(D1065=$D$2:$D$2427,IF(ISNUMBER($X$2:$X$2427),1)))),0),""),0)</f>
        <v/>
      </c>
      <c r="Z1065" s="104" t="str">
        <f>IF(ISNUMBER(O1065),IF(I1065&gt;0,(10^(VLOOKUP(D1065,'Species Codes'!B:C,2,0)+VLOOKUP(D1065,'Species Codes'!B:D,3,0)*LOG(E1065)+VLOOKUP(D1065,'Species Codes'!B:E,4,0)*LOG(I1065))),0),"")</f>
        <v/>
      </c>
      <c r="AA1065" s="104" t="str">
        <f>IFERROR((VLOOKUP(D1065,'Species Codes'!B:G,6,0)*Z1065)/2000,"")</f>
        <v/>
      </c>
      <c r="AB1065" s="104" t="e">
        <f>IF(Z1065&gt;0,((IF(OR(D1065="DF",D1065="RA")=TRUE,EXP(VLOOKUP(D1065,'Species Codes'!B:I,8,0)+VLOOKUP(D1065,'Species Codes'!B:J,9,0)*(LN((E1065*2.54)))),IF(OR(D1065="PY",D1065="RC",D1065="WH",D1065="NF")=TRUE,VLOOKUP(D1065,'Species Codes'!B:I,8,0)+VLOOKUP(D1065,'Species Codes'!B:J,9,0)*((E1065*2.54)^2)*(I1065*0.3048),IF(OR(D1065="MD",D1065="BM",D1065="GA")=TRUE,((VLOOKUP(D1065,'Species Codes'!B:I,8,0)*(((((E1065*2.54)+VLOOKUP(D1065,'Species Codes'!B:J,9,0))/VLOOKUP(D1065,'Species Codes'!B:K,10,0))^VLOOKUP(D1065,'Species Codes'!B:L,11,0))*((I1065*0.3048)^VLOOKUP(D1065,'Species Codes'!B:M,12,0))))-(VLOOKUP(D1065,'Species Codes'!B:I,8,0)*((((E1065*2.54)^VLOOKUP(D1065,'Species Codes'!B:L,11,0))*((I1065*0.3048)^VLOOKUP(D1065,'Species Codes'!B:M,12,0))))))*35.3*VLOOKUP(D1065,'Species Codes'!B:G,6,0)/2.2046,VLOOKUP(D1065,'Species Codes'!B:I,8,0)+VLOOKUP(D1065,'Species Codes'!B:J,9,0)*(((E1065*2.54)/100)^2)*(I1065*0.3048)))))*0.0011023),0)</f>
        <v>#N/A</v>
      </c>
      <c r="AC1065" s="104" t="e">
        <f>IF(Z1065&gt;0,((IF(OR(D1065="RA",D1065="OA",D1065="OT",D1065="UN",D1065="PC"),EXP(VLOOKUP(D1065,'Species Codes'!B:O,14,0)+VLOOKUP(D1065,'Species Codes'!B:P,15,0)*LN((E1065*2.54)))-EXP(VLOOKUP(D1065,'Species Codes'!B:O,14,0)+VLOOKUP(D1065,'Species Codes'!B:P,15,0)*LN((E1065*2.54)))*(1/(VLOOKUP(D1065,'Species Codes'!B:Q,16,0)+VLOOKUP(D1065,'Species Codes'!B:R,17,0)*((E1065*2.54)^VLOOKUP(D1065,'Species Codes'!B:S,18,0)))),IF(OR(D1065="BM",D1065="MD",D1065="OA"),EXP(VLOOKUP(D1065,'Species Codes'!B:O,14,0)+VLOOKUP(D1065,'Species Codes'!B:P,15,0)*LN((E1065*2.54)))*(1-(1/(VLOOKUP(D1065,'Species Codes'!B:Q,16,0)+VLOOKUP(D1065,'Species Codes'!B:R,17,0)*((E1065*2.54)^VLOOKUP(D1065,'Species Codes'!B:S,18,0)))))/1000,IF(D1065="DF",EXP(VLOOKUP(D1065,'Species Codes'!B:O,14,0)+VLOOKUP(D1065,'Species Codes'!B:P,15,0)*LN((E1065*2.54))),VLOOKUP(D1065,'Species Codes'!B:O,14,0)+VLOOKUP(D1065,'Species Codes'!B:P,15,0)*(((E1065*2.54)/100)^2)*(I1065*0.3048)))))*0.0011023),0)</f>
        <v>#N/A</v>
      </c>
      <c r="AD1065" s="104" t="e">
        <f t="shared" si="490"/>
        <v>#N/A</v>
      </c>
      <c r="AE1065" s="104" t="e">
        <f t="shared" si="491"/>
        <v>#N/A</v>
      </c>
      <c r="AF1065" s="104" t="e">
        <f>IF(AND(VLOOKUP($D1065,Merchantability!$B:$C,2,0)="Yes",$E1065&gt;=VLOOKUP($D1065,Merchantability!$B:$D,3,0),$E1065&lt;=VLOOKUP($D1065,Merchantability!$B:$E,4,0)),AA1065,0)</f>
        <v>#N/A</v>
      </c>
      <c r="AG1065" s="104" t="e">
        <f>IF(AND(VLOOKUP($D1065,Merchantability!$B:$C,2,0)="Yes",$E1065&gt;=VLOOKUP($D1065,Merchantability!$B:$D,3,0),$E1065&lt;=VLOOKUP($D1065,Merchantability!$B:$E,4,0)),AB1065,0)</f>
        <v>#N/A</v>
      </c>
      <c r="AH1065" s="104" t="e">
        <f>IF(AND(VLOOKUP($D1065,Merchantability!$B:$C,2,0)="Yes",$E1065&gt;=VLOOKUP($D1065,Merchantability!$B:$D,3,0),$E1065&lt;=VLOOKUP($D1065,Merchantability!$B:$E,4,0)),AC1065,0)</f>
        <v>#N/A</v>
      </c>
      <c r="AI1065" s="104" t="e">
        <f t="shared" si="492"/>
        <v>#N/A</v>
      </c>
      <c r="AJ1065" s="104" t="e">
        <f t="shared" si="493"/>
        <v>#VALUE!</v>
      </c>
      <c r="AK1065" s="104" t="e">
        <f t="shared" si="494"/>
        <v>#N/A</v>
      </c>
      <c r="AL1065" s="104" t="e">
        <f t="shared" si="495"/>
        <v>#N/A</v>
      </c>
      <c r="AM1065" s="104" t="e">
        <f t="shared" si="496"/>
        <v>#N/A</v>
      </c>
      <c r="AN1065" s="104" t="e">
        <f t="shared" si="480"/>
        <v>#N/A</v>
      </c>
      <c r="AO1065" s="104" t="e">
        <f t="shared" si="481"/>
        <v>#N/A</v>
      </c>
      <c r="AP1065" s="104" t="e">
        <f t="shared" si="482"/>
        <v>#N/A</v>
      </c>
      <c r="AQ1065" s="104" t="e">
        <f t="shared" si="483"/>
        <v>#N/A</v>
      </c>
      <c r="AR1065" s="105" t="str">
        <f t="shared" si="475"/>
        <v/>
      </c>
      <c r="AS1065" s="105" t="str">
        <f t="shared" si="476"/>
        <v/>
      </c>
      <c r="AT1065" s="108" t="str">
        <f t="shared" si="477"/>
        <v/>
      </c>
      <c r="AU1065" s="108" t="str">
        <f t="shared" si="478"/>
        <v/>
      </c>
      <c r="AV1065" s="107" t="str">
        <f>IF(ISNUMBER(O1065),IF(VLOOKUP($A1065,Stand!C:J,8,FALSE)="Short",AT1065,AU1065),"")</f>
        <v/>
      </c>
      <c r="AW1065" s="109" t="str">
        <f t="shared" si="484"/>
        <v/>
      </c>
      <c r="AX1065" s="109" t="str">
        <f t="shared" si="485"/>
        <v/>
      </c>
      <c r="AY1065" s="112" t="str">
        <f>IF(ISNUMBER(O1065),IF(AND(VLOOKUP($D1065,Merchantability!$B:$C,2,0)="Yes",$E1065&gt;=VLOOKUP($D1065,Merchantability!$B:$D,3,0),$E1065&lt;=VLOOKUP($D1065,Merchantability!$B:$E,4,0)),(AV1065*O1065)*(1-$H1065/100),""),"")</f>
        <v/>
      </c>
      <c r="AZ1065" s="116"/>
      <c r="BA1065" s="116"/>
      <c r="BB1065" s="116"/>
      <c r="BE1065" s="62"/>
      <c r="BF1065" s="63"/>
    </row>
    <row r="1066" spans="1:58" ht="12.75" customHeight="1" x14ac:dyDescent="0.25">
      <c r="A1066" s="313"/>
      <c r="B1066" s="328"/>
      <c r="C1066" s="329"/>
      <c r="D1066" s="328"/>
      <c r="E1066" s="330"/>
      <c r="F1066" s="328"/>
      <c r="G1066" s="329"/>
      <c r="H1066" s="329"/>
      <c r="I1066" s="328"/>
      <c r="J1066" s="383"/>
      <c r="K1066" s="329"/>
      <c r="L1066" s="329"/>
      <c r="M1066" s="76"/>
      <c r="N1066" s="103" t="str">
        <f>IF(A1066="","",VLOOKUP(A1066,Stand!C:K,9,0))</f>
        <v/>
      </c>
      <c r="O1066" s="104" t="str">
        <f t="shared" si="470"/>
        <v/>
      </c>
      <c r="P1066" s="105" t="str">
        <f t="shared" si="471"/>
        <v/>
      </c>
      <c r="Q1066" s="105" t="str">
        <f t="shared" si="486"/>
        <v/>
      </c>
      <c r="R1066" s="103" t="str">
        <f t="shared" si="472"/>
        <v/>
      </c>
      <c r="S1066" s="103" t="str">
        <f t="shared" si="473"/>
        <v/>
      </c>
      <c r="T1066" s="106" t="str">
        <f t="shared" si="487"/>
        <v/>
      </c>
      <c r="U1066" s="106" t="str">
        <f t="shared" si="488"/>
        <v/>
      </c>
      <c r="V1066" s="106" t="str">
        <f t="shared" si="489"/>
        <v/>
      </c>
      <c r="W1066" s="105" t="str">
        <f t="shared" si="474"/>
        <v/>
      </c>
      <c r="X1066" s="104" t="str">
        <f t="shared" si="479"/>
        <v/>
      </c>
      <c r="Y1066" s="104" t="str">
        <f t="array" ref="Y1066">IFERROR(IF(ISNUMBER(O1066),IF(COUNT(IF(A1066=$A$2:$A$2427,IF(D1066=$D$2:$D$2427,IF($X$2:$X$2427&gt;0,1))))&gt;0,SUM(IF(A1066=$A$2:$A$2427,IF(D1066=$D$2:$D$2427,$X$2:$X$2427)))/COUNT(IF(A1066=$A$2:$A$2427,IF(D1066=$D$2:$D$2427,IF(ISNUMBER($X$2:$X$2427),1)))),0),""),0)</f>
        <v/>
      </c>
      <c r="Z1066" s="104" t="str">
        <f>IF(ISNUMBER(O1066),IF(I1066&gt;0,(10^(VLOOKUP(D1066,'Species Codes'!B:C,2,0)+VLOOKUP(D1066,'Species Codes'!B:D,3,0)*LOG(E1066)+VLOOKUP(D1066,'Species Codes'!B:E,4,0)*LOG(I1066))),0),"")</f>
        <v/>
      </c>
      <c r="AA1066" s="104" t="str">
        <f>IFERROR((VLOOKUP(D1066,'Species Codes'!B:G,6,0)*Z1066)/2000,"")</f>
        <v/>
      </c>
      <c r="AB1066" s="104" t="e">
        <f>IF(Z1066&gt;0,((IF(OR(D1066="DF",D1066="RA")=TRUE,EXP(VLOOKUP(D1066,'Species Codes'!B:I,8,0)+VLOOKUP(D1066,'Species Codes'!B:J,9,0)*(LN((E1066*2.54)))),IF(OR(D1066="PY",D1066="RC",D1066="WH",D1066="NF")=TRUE,VLOOKUP(D1066,'Species Codes'!B:I,8,0)+VLOOKUP(D1066,'Species Codes'!B:J,9,0)*((E1066*2.54)^2)*(I1066*0.3048),IF(OR(D1066="MD",D1066="BM",D1066="GA")=TRUE,((VLOOKUP(D1066,'Species Codes'!B:I,8,0)*(((((E1066*2.54)+VLOOKUP(D1066,'Species Codes'!B:J,9,0))/VLOOKUP(D1066,'Species Codes'!B:K,10,0))^VLOOKUP(D1066,'Species Codes'!B:L,11,0))*((I1066*0.3048)^VLOOKUP(D1066,'Species Codes'!B:M,12,0))))-(VLOOKUP(D1066,'Species Codes'!B:I,8,0)*((((E1066*2.54)^VLOOKUP(D1066,'Species Codes'!B:L,11,0))*((I1066*0.3048)^VLOOKUP(D1066,'Species Codes'!B:M,12,0))))))*35.3*VLOOKUP(D1066,'Species Codes'!B:G,6,0)/2.2046,VLOOKUP(D1066,'Species Codes'!B:I,8,0)+VLOOKUP(D1066,'Species Codes'!B:J,9,0)*(((E1066*2.54)/100)^2)*(I1066*0.3048)))))*0.0011023),0)</f>
        <v>#N/A</v>
      </c>
      <c r="AC1066" s="104" t="e">
        <f>IF(Z1066&gt;0,((IF(OR(D1066="RA",D1066="OA",D1066="OT",D1066="UN",D1066="PC"),EXP(VLOOKUP(D1066,'Species Codes'!B:O,14,0)+VLOOKUP(D1066,'Species Codes'!B:P,15,0)*LN((E1066*2.54)))-EXP(VLOOKUP(D1066,'Species Codes'!B:O,14,0)+VLOOKUP(D1066,'Species Codes'!B:P,15,0)*LN((E1066*2.54)))*(1/(VLOOKUP(D1066,'Species Codes'!B:Q,16,0)+VLOOKUP(D1066,'Species Codes'!B:R,17,0)*((E1066*2.54)^VLOOKUP(D1066,'Species Codes'!B:S,18,0)))),IF(OR(D1066="BM",D1066="MD",D1066="OA"),EXP(VLOOKUP(D1066,'Species Codes'!B:O,14,0)+VLOOKUP(D1066,'Species Codes'!B:P,15,0)*LN((E1066*2.54)))*(1-(1/(VLOOKUP(D1066,'Species Codes'!B:Q,16,0)+VLOOKUP(D1066,'Species Codes'!B:R,17,0)*((E1066*2.54)^VLOOKUP(D1066,'Species Codes'!B:S,18,0)))))/1000,IF(D1066="DF",EXP(VLOOKUP(D1066,'Species Codes'!B:O,14,0)+VLOOKUP(D1066,'Species Codes'!B:P,15,0)*LN((E1066*2.54))),VLOOKUP(D1066,'Species Codes'!B:O,14,0)+VLOOKUP(D1066,'Species Codes'!B:P,15,0)*(((E1066*2.54)/100)^2)*(I1066*0.3048)))))*0.0011023),0)</f>
        <v>#N/A</v>
      </c>
      <c r="AD1066" s="104" t="e">
        <f t="shared" si="490"/>
        <v>#N/A</v>
      </c>
      <c r="AE1066" s="104" t="e">
        <f t="shared" si="491"/>
        <v>#N/A</v>
      </c>
      <c r="AF1066" s="104" t="e">
        <f>IF(AND(VLOOKUP($D1066,Merchantability!$B:$C,2,0)="Yes",$E1066&gt;=VLOOKUP($D1066,Merchantability!$B:$D,3,0),$E1066&lt;=VLOOKUP($D1066,Merchantability!$B:$E,4,0)),AA1066,0)</f>
        <v>#N/A</v>
      </c>
      <c r="AG1066" s="104" t="e">
        <f>IF(AND(VLOOKUP($D1066,Merchantability!$B:$C,2,0)="Yes",$E1066&gt;=VLOOKUP($D1066,Merchantability!$B:$D,3,0),$E1066&lt;=VLOOKUP($D1066,Merchantability!$B:$E,4,0)),AB1066,0)</f>
        <v>#N/A</v>
      </c>
      <c r="AH1066" s="104" t="e">
        <f>IF(AND(VLOOKUP($D1066,Merchantability!$B:$C,2,0)="Yes",$E1066&gt;=VLOOKUP($D1066,Merchantability!$B:$D,3,0),$E1066&lt;=VLOOKUP($D1066,Merchantability!$B:$E,4,0)),AC1066,0)</f>
        <v>#N/A</v>
      </c>
      <c r="AI1066" s="104" t="e">
        <f t="shared" si="492"/>
        <v>#N/A</v>
      </c>
      <c r="AJ1066" s="104" t="e">
        <f t="shared" si="493"/>
        <v>#VALUE!</v>
      </c>
      <c r="AK1066" s="104" t="e">
        <f t="shared" si="494"/>
        <v>#N/A</v>
      </c>
      <c r="AL1066" s="104" t="e">
        <f t="shared" si="495"/>
        <v>#N/A</v>
      </c>
      <c r="AM1066" s="104" t="e">
        <f t="shared" si="496"/>
        <v>#N/A</v>
      </c>
      <c r="AN1066" s="104" t="e">
        <f t="shared" si="480"/>
        <v>#N/A</v>
      </c>
      <c r="AO1066" s="104" t="e">
        <f t="shared" si="481"/>
        <v>#N/A</v>
      </c>
      <c r="AP1066" s="104" t="e">
        <f t="shared" si="482"/>
        <v>#N/A</v>
      </c>
      <c r="AQ1066" s="104" t="e">
        <f t="shared" si="483"/>
        <v>#N/A</v>
      </c>
      <c r="AR1066" s="105" t="str">
        <f t="shared" si="475"/>
        <v/>
      </c>
      <c r="AS1066" s="105" t="str">
        <f t="shared" si="476"/>
        <v/>
      </c>
      <c r="AT1066" s="108" t="str">
        <f t="shared" si="477"/>
        <v/>
      </c>
      <c r="AU1066" s="108" t="str">
        <f t="shared" si="478"/>
        <v/>
      </c>
      <c r="AV1066" s="107" t="str">
        <f>IF(ISNUMBER(O1066),IF(VLOOKUP($A1066,Stand!C:J,8,FALSE)="Short",AT1066,AU1066),"")</f>
        <v/>
      </c>
      <c r="AW1066" s="109" t="str">
        <f t="shared" si="484"/>
        <v/>
      </c>
      <c r="AX1066" s="109" t="str">
        <f t="shared" si="485"/>
        <v/>
      </c>
      <c r="AY1066" s="112" t="str">
        <f>IF(ISNUMBER(O1066),IF(AND(VLOOKUP($D1066,Merchantability!$B:$C,2,0)="Yes",$E1066&gt;=VLOOKUP($D1066,Merchantability!$B:$D,3,0),$E1066&lt;=VLOOKUP($D1066,Merchantability!$B:$E,4,0)),(AV1066*O1066)*(1-$H1066/100),""),"")</f>
        <v/>
      </c>
      <c r="AZ1066" s="116"/>
      <c r="BA1066" s="116"/>
      <c r="BB1066" s="116"/>
      <c r="BE1066" s="62"/>
      <c r="BF1066" s="63"/>
    </row>
    <row r="1067" spans="1:58" ht="12.75" customHeight="1" x14ac:dyDescent="0.25">
      <c r="A1067" s="313"/>
      <c r="B1067" s="328"/>
      <c r="C1067" s="329"/>
      <c r="D1067" s="328"/>
      <c r="E1067" s="330"/>
      <c r="F1067" s="328"/>
      <c r="G1067" s="329"/>
      <c r="H1067" s="329"/>
      <c r="I1067" s="328"/>
      <c r="J1067" s="383"/>
      <c r="K1067" s="329"/>
      <c r="L1067" s="329"/>
      <c r="M1067" s="76"/>
      <c r="N1067" s="103" t="str">
        <f>IF(A1067="","",VLOOKUP(A1067,Stand!C:K,9,0))</f>
        <v/>
      </c>
      <c r="O1067" s="104" t="str">
        <f t="shared" si="470"/>
        <v/>
      </c>
      <c r="P1067" s="105" t="str">
        <f t="shared" si="471"/>
        <v/>
      </c>
      <c r="Q1067" s="105" t="str">
        <f t="shared" si="486"/>
        <v/>
      </c>
      <c r="R1067" s="103" t="str">
        <f t="shared" si="472"/>
        <v/>
      </c>
      <c r="S1067" s="103" t="str">
        <f t="shared" si="473"/>
        <v/>
      </c>
      <c r="T1067" s="106" t="str">
        <f t="shared" si="487"/>
        <v/>
      </c>
      <c r="U1067" s="106" t="str">
        <f t="shared" si="488"/>
        <v/>
      </c>
      <c r="V1067" s="106" t="str">
        <f t="shared" si="489"/>
        <v/>
      </c>
      <c r="W1067" s="105" t="str">
        <f t="shared" si="474"/>
        <v/>
      </c>
      <c r="X1067" s="104" t="str">
        <f t="shared" si="479"/>
        <v/>
      </c>
      <c r="Y1067" s="104" t="str">
        <f t="array" ref="Y1067">IFERROR(IF(ISNUMBER(O1067),IF(COUNT(IF(A1067=$A$2:$A$2427,IF(D1067=$D$2:$D$2427,IF($X$2:$X$2427&gt;0,1))))&gt;0,SUM(IF(A1067=$A$2:$A$2427,IF(D1067=$D$2:$D$2427,$X$2:$X$2427)))/COUNT(IF(A1067=$A$2:$A$2427,IF(D1067=$D$2:$D$2427,IF(ISNUMBER($X$2:$X$2427),1)))),0),""),0)</f>
        <v/>
      </c>
      <c r="Z1067" s="104" t="str">
        <f>IF(ISNUMBER(O1067),IF(I1067&gt;0,(10^(VLOOKUP(D1067,'Species Codes'!B:C,2,0)+VLOOKUP(D1067,'Species Codes'!B:D,3,0)*LOG(E1067)+VLOOKUP(D1067,'Species Codes'!B:E,4,0)*LOG(I1067))),0),"")</f>
        <v/>
      </c>
      <c r="AA1067" s="104" t="str">
        <f>IFERROR((VLOOKUP(D1067,'Species Codes'!B:G,6,0)*Z1067)/2000,"")</f>
        <v/>
      </c>
      <c r="AB1067" s="104" t="e">
        <f>IF(Z1067&gt;0,((IF(OR(D1067="DF",D1067="RA")=TRUE,EXP(VLOOKUP(D1067,'Species Codes'!B:I,8,0)+VLOOKUP(D1067,'Species Codes'!B:J,9,0)*(LN((E1067*2.54)))),IF(OR(D1067="PY",D1067="RC",D1067="WH",D1067="NF")=TRUE,VLOOKUP(D1067,'Species Codes'!B:I,8,0)+VLOOKUP(D1067,'Species Codes'!B:J,9,0)*((E1067*2.54)^2)*(I1067*0.3048),IF(OR(D1067="MD",D1067="BM",D1067="GA")=TRUE,((VLOOKUP(D1067,'Species Codes'!B:I,8,0)*(((((E1067*2.54)+VLOOKUP(D1067,'Species Codes'!B:J,9,0))/VLOOKUP(D1067,'Species Codes'!B:K,10,0))^VLOOKUP(D1067,'Species Codes'!B:L,11,0))*((I1067*0.3048)^VLOOKUP(D1067,'Species Codes'!B:M,12,0))))-(VLOOKUP(D1067,'Species Codes'!B:I,8,0)*((((E1067*2.54)^VLOOKUP(D1067,'Species Codes'!B:L,11,0))*((I1067*0.3048)^VLOOKUP(D1067,'Species Codes'!B:M,12,0))))))*35.3*VLOOKUP(D1067,'Species Codes'!B:G,6,0)/2.2046,VLOOKUP(D1067,'Species Codes'!B:I,8,0)+VLOOKUP(D1067,'Species Codes'!B:J,9,0)*(((E1067*2.54)/100)^2)*(I1067*0.3048)))))*0.0011023),0)</f>
        <v>#N/A</v>
      </c>
      <c r="AC1067" s="104" t="e">
        <f>IF(Z1067&gt;0,((IF(OR(D1067="RA",D1067="OA",D1067="OT",D1067="UN",D1067="PC"),EXP(VLOOKUP(D1067,'Species Codes'!B:O,14,0)+VLOOKUP(D1067,'Species Codes'!B:P,15,0)*LN((E1067*2.54)))-EXP(VLOOKUP(D1067,'Species Codes'!B:O,14,0)+VLOOKUP(D1067,'Species Codes'!B:P,15,0)*LN((E1067*2.54)))*(1/(VLOOKUP(D1067,'Species Codes'!B:Q,16,0)+VLOOKUP(D1067,'Species Codes'!B:R,17,0)*((E1067*2.54)^VLOOKUP(D1067,'Species Codes'!B:S,18,0)))),IF(OR(D1067="BM",D1067="MD",D1067="OA"),EXP(VLOOKUP(D1067,'Species Codes'!B:O,14,0)+VLOOKUP(D1067,'Species Codes'!B:P,15,0)*LN((E1067*2.54)))*(1-(1/(VLOOKUP(D1067,'Species Codes'!B:Q,16,0)+VLOOKUP(D1067,'Species Codes'!B:R,17,0)*((E1067*2.54)^VLOOKUP(D1067,'Species Codes'!B:S,18,0)))))/1000,IF(D1067="DF",EXP(VLOOKUP(D1067,'Species Codes'!B:O,14,0)+VLOOKUP(D1067,'Species Codes'!B:P,15,0)*LN((E1067*2.54))),VLOOKUP(D1067,'Species Codes'!B:O,14,0)+VLOOKUP(D1067,'Species Codes'!B:P,15,0)*(((E1067*2.54)/100)^2)*(I1067*0.3048)))))*0.0011023),0)</f>
        <v>#N/A</v>
      </c>
      <c r="AD1067" s="104" t="e">
        <f t="shared" si="490"/>
        <v>#N/A</v>
      </c>
      <c r="AE1067" s="104" t="e">
        <f t="shared" si="491"/>
        <v>#N/A</v>
      </c>
      <c r="AF1067" s="104" t="e">
        <f>IF(AND(VLOOKUP($D1067,Merchantability!$B:$C,2,0)="Yes",$E1067&gt;=VLOOKUP($D1067,Merchantability!$B:$D,3,0),$E1067&lt;=VLOOKUP($D1067,Merchantability!$B:$E,4,0)),AA1067,0)</f>
        <v>#N/A</v>
      </c>
      <c r="AG1067" s="104" t="e">
        <f>IF(AND(VLOOKUP($D1067,Merchantability!$B:$C,2,0)="Yes",$E1067&gt;=VLOOKUP($D1067,Merchantability!$B:$D,3,0),$E1067&lt;=VLOOKUP($D1067,Merchantability!$B:$E,4,0)),AB1067,0)</f>
        <v>#N/A</v>
      </c>
      <c r="AH1067" s="104" t="e">
        <f>IF(AND(VLOOKUP($D1067,Merchantability!$B:$C,2,0)="Yes",$E1067&gt;=VLOOKUP($D1067,Merchantability!$B:$D,3,0),$E1067&lt;=VLOOKUP($D1067,Merchantability!$B:$E,4,0)),AC1067,0)</f>
        <v>#N/A</v>
      </c>
      <c r="AI1067" s="104" t="e">
        <f t="shared" si="492"/>
        <v>#N/A</v>
      </c>
      <c r="AJ1067" s="104" t="e">
        <f t="shared" si="493"/>
        <v>#VALUE!</v>
      </c>
      <c r="AK1067" s="104" t="e">
        <f t="shared" si="494"/>
        <v>#N/A</v>
      </c>
      <c r="AL1067" s="104" t="e">
        <f t="shared" si="495"/>
        <v>#N/A</v>
      </c>
      <c r="AM1067" s="104" t="e">
        <f t="shared" si="496"/>
        <v>#N/A</v>
      </c>
      <c r="AN1067" s="104" t="e">
        <f t="shared" si="480"/>
        <v>#N/A</v>
      </c>
      <c r="AO1067" s="104" t="e">
        <f t="shared" si="481"/>
        <v>#N/A</v>
      </c>
      <c r="AP1067" s="104" t="e">
        <f t="shared" si="482"/>
        <v>#N/A</v>
      </c>
      <c r="AQ1067" s="104" t="e">
        <f t="shared" si="483"/>
        <v>#N/A</v>
      </c>
      <c r="AR1067" s="105" t="str">
        <f t="shared" si="475"/>
        <v/>
      </c>
      <c r="AS1067" s="105" t="str">
        <f t="shared" si="476"/>
        <v/>
      </c>
      <c r="AT1067" s="108" t="str">
        <f t="shared" si="477"/>
        <v/>
      </c>
      <c r="AU1067" s="108" t="str">
        <f t="shared" si="478"/>
        <v/>
      </c>
      <c r="AV1067" s="107" t="str">
        <f>IF(ISNUMBER(O1067),IF(VLOOKUP($A1067,Stand!C:J,8,FALSE)="Short",AT1067,AU1067),"")</f>
        <v/>
      </c>
      <c r="AW1067" s="109" t="str">
        <f t="shared" si="484"/>
        <v/>
      </c>
      <c r="AX1067" s="109" t="str">
        <f t="shared" si="485"/>
        <v/>
      </c>
      <c r="AY1067" s="112" t="str">
        <f>IF(ISNUMBER(O1067),IF(AND(VLOOKUP($D1067,Merchantability!$B:$C,2,0)="Yes",$E1067&gt;=VLOOKUP($D1067,Merchantability!$B:$D,3,0),$E1067&lt;=VLOOKUP($D1067,Merchantability!$B:$E,4,0)),(AV1067*O1067)*(1-$H1067/100),""),"")</f>
        <v/>
      </c>
      <c r="AZ1067" s="116"/>
      <c r="BA1067" s="116"/>
      <c r="BB1067" s="116"/>
      <c r="BE1067" s="62"/>
      <c r="BF1067" s="63"/>
    </row>
    <row r="1068" spans="1:58" ht="12.75" customHeight="1" x14ac:dyDescent="0.25">
      <c r="A1068" s="313"/>
      <c r="B1068" s="328"/>
      <c r="C1068" s="329"/>
      <c r="D1068" s="328"/>
      <c r="E1068" s="330"/>
      <c r="F1068" s="328"/>
      <c r="G1068" s="329"/>
      <c r="H1068" s="329"/>
      <c r="I1068" s="328"/>
      <c r="J1068" s="383"/>
      <c r="K1068" s="329"/>
      <c r="L1068" s="329"/>
      <c r="M1068" s="76"/>
      <c r="N1068" s="103" t="str">
        <f>IF(A1068="","",VLOOKUP(A1068,Stand!C:K,9,0))</f>
        <v/>
      </c>
      <c r="O1068" s="104" t="str">
        <f t="shared" si="470"/>
        <v/>
      </c>
      <c r="P1068" s="105" t="str">
        <f t="shared" si="471"/>
        <v/>
      </c>
      <c r="Q1068" s="105" t="str">
        <f t="shared" si="486"/>
        <v/>
      </c>
      <c r="R1068" s="103" t="str">
        <f t="shared" si="472"/>
        <v/>
      </c>
      <c r="S1068" s="103" t="str">
        <f t="shared" si="473"/>
        <v/>
      </c>
      <c r="T1068" s="106" t="str">
        <f t="shared" si="487"/>
        <v/>
      </c>
      <c r="U1068" s="106" t="str">
        <f t="shared" si="488"/>
        <v/>
      </c>
      <c r="V1068" s="106" t="str">
        <f t="shared" si="489"/>
        <v/>
      </c>
      <c r="W1068" s="105" t="str">
        <f t="shared" si="474"/>
        <v/>
      </c>
      <c r="X1068" s="104" t="str">
        <f t="shared" si="479"/>
        <v/>
      </c>
      <c r="Y1068" s="104" t="str">
        <f t="array" ref="Y1068">IFERROR(IF(ISNUMBER(O1068),IF(COUNT(IF(A1068=$A$2:$A$2427,IF(D1068=$D$2:$D$2427,IF($X$2:$X$2427&gt;0,1))))&gt;0,SUM(IF(A1068=$A$2:$A$2427,IF(D1068=$D$2:$D$2427,$X$2:$X$2427)))/COUNT(IF(A1068=$A$2:$A$2427,IF(D1068=$D$2:$D$2427,IF(ISNUMBER($X$2:$X$2427),1)))),0),""),0)</f>
        <v/>
      </c>
      <c r="Z1068" s="104" t="str">
        <f>IF(ISNUMBER(O1068),IF(I1068&gt;0,(10^(VLOOKUP(D1068,'Species Codes'!B:C,2,0)+VLOOKUP(D1068,'Species Codes'!B:D,3,0)*LOG(E1068)+VLOOKUP(D1068,'Species Codes'!B:E,4,0)*LOG(I1068))),0),"")</f>
        <v/>
      </c>
      <c r="AA1068" s="104" t="str">
        <f>IFERROR((VLOOKUP(D1068,'Species Codes'!B:G,6,0)*Z1068)/2000,"")</f>
        <v/>
      </c>
      <c r="AB1068" s="104" t="e">
        <f>IF(Z1068&gt;0,((IF(OR(D1068="DF",D1068="RA")=TRUE,EXP(VLOOKUP(D1068,'Species Codes'!B:I,8,0)+VLOOKUP(D1068,'Species Codes'!B:J,9,0)*(LN((E1068*2.54)))),IF(OR(D1068="PY",D1068="RC",D1068="WH",D1068="NF")=TRUE,VLOOKUP(D1068,'Species Codes'!B:I,8,0)+VLOOKUP(D1068,'Species Codes'!B:J,9,0)*((E1068*2.54)^2)*(I1068*0.3048),IF(OR(D1068="MD",D1068="BM",D1068="GA")=TRUE,((VLOOKUP(D1068,'Species Codes'!B:I,8,0)*(((((E1068*2.54)+VLOOKUP(D1068,'Species Codes'!B:J,9,0))/VLOOKUP(D1068,'Species Codes'!B:K,10,0))^VLOOKUP(D1068,'Species Codes'!B:L,11,0))*((I1068*0.3048)^VLOOKUP(D1068,'Species Codes'!B:M,12,0))))-(VLOOKUP(D1068,'Species Codes'!B:I,8,0)*((((E1068*2.54)^VLOOKUP(D1068,'Species Codes'!B:L,11,0))*((I1068*0.3048)^VLOOKUP(D1068,'Species Codes'!B:M,12,0))))))*35.3*VLOOKUP(D1068,'Species Codes'!B:G,6,0)/2.2046,VLOOKUP(D1068,'Species Codes'!B:I,8,0)+VLOOKUP(D1068,'Species Codes'!B:J,9,0)*(((E1068*2.54)/100)^2)*(I1068*0.3048)))))*0.0011023),0)</f>
        <v>#N/A</v>
      </c>
      <c r="AC1068" s="104" t="e">
        <f>IF(Z1068&gt;0,((IF(OR(D1068="RA",D1068="OA",D1068="OT",D1068="UN",D1068="PC"),EXP(VLOOKUP(D1068,'Species Codes'!B:O,14,0)+VLOOKUP(D1068,'Species Codes'!B:P,15,0)*LN((E1068*2.54)))-EXP(VLOOKUP(D1068,'Species Codes'!B:O,14,0)+VLOOKUP(D1068,'Species Codes'!B:P,15,0)*LN((E1068*2.54)))*(1/(VLOOKUP(D1068,'Species Codes'!B:Q,16,0)+VLOOKUP(D1068,'Species Codes'!B:R,17,0)*((E1068*2.54)^VLOOKUP(D1068,'Species Codes'!B:S,18,0)))),IF(OR(D1068="BM",D1068="MD",D1068="OA"),EXP(VLOOKUP(D1068,'Species Codes'!B:O,14,0)+VLOOKUP(D1068,'Species Codes'!B:P,15,0)*LN((E1068*2.54)))*(1-(1/(VLOOKUP(D1068,'Species Codes'!B:Q,16,0)+VLOOKUP(D1068,'Species Codes'!B:R,17,0)*((E1068*2.54)^VLOOKUP(D1068,'Species Codes'!B:S,18,0)))))/1000,IF(D1068="DF",EXP(VLOOKUP(D1068,'Species Codes'!B:O,14,0)+VLOOKUP(D1068,'Species Codes'!B:P,15,0)*LN((E1068*2.54))),VLOOKUP(D1068,'Species Codes'!B:O,14,0)+VLOOKUP(D1068,'Species Codes'!B:P,15,0)*(((E1068*2.54)/100)^2)*(I1068*0.3048)))))*0.0011023),0)</f>
        <v>#N/A</v>
      </c>
      <c r="AD1068" s="104" t="e">
        <f t="shared" si="490"/>
        <v>#N/A</v>
      </c>
      <c r="AE1068" s="104" t="e">
        <f t="shared" si="491"/>
        <v>#N/A</v>
      </c>
      <c r="AF1068" s="104" t="e">
        <f>IF(AND(VLOOKUP($D1068,Merchantability!$B:$C,2,0)="Yes",$E1068&gt;=VLOOKUP($D1068,Merchantability!$B:$D,3,0),$E1068&lt;=VLOOKUP($D1068,Merchantability!$B:$E,4,0)),AA1068,0)</f>
        <v>#N/A</v>
      </c>
      <c r="AG1068" s="104" t="e">
        <f>IF(AND(VLOOKUP($D1068,Merchantability!$B:$C,2,0)="Yes",$E1068&gt;=VLOOKUP($D1068,Merchantability!$B:$D,3,0),$E1068&lt;=VLOOKUP($D1068,Merchantability!$B:$E,4,0)),AB1068,0)</f>
        <v>#N/A</v>
      </c>
      <c r="AH1068" s="104" t="e">
        <f>IF(AND(VLOOKUP($D1068,Merchantability!$B:$C,2,0)="Yes",$E1068&gt;=VLOOKUP($D1068,Merchantability!$B:$D,3,0),$E1068&lt;=VLOOKUP($D1068,Merchantability!$B:$E,4,0)),AC1068,0)</f>
        <v>#N/A</v>
      </c>
      <c r="AI1068" s="104" t="e">
        <f t="shared" si="492"/>
        <v>#N/A</v>
      </c>
      <c r="AJ1068" s="104" t="e">
        <f t="shared" si="493"/>
        <v>#VALUE!</v>
      </c>
      <c r="AK1068" s="104" t="e">
        <f t="shared" si="494"/>
        <v>#N/A</v>
      </c>
      <c r="AL1068" s="104" t="e">
        <f t="shared" si="495"/>
        <v>#N/A</v>
      </c>
      <c r="AM1068" s="104" t="e">
        <f t="shared" si="496"/>
        <v>#N/A</v>
      </c>
      <c r="AN1068" s="104" t="e">
        <f t="shared" si="480"/>
        <v>#N/A</v>
      </c>
      <c r="AO1068" s="104" t="e">
        <f t="shared" si="481"/>
        <v>#N/A</v>
      </c>
      <c r="AP1068" s="104" t="e">
        <f t="shared" si="482"/>
        <v>#N/A</v>
      </c>
      <c r="AQ1068" s="104" t="e">
        <f t="shared" si="483"/>
        <v>#N/A</v>
      </c>
      <c r="AR1068" s="105" t="str">
        <f t="shared" si="475"/>
        <v/>
      </c>
      <c r="AS1068" s="105" t="str">
        <f t="shared" si="476"/>
        <v/>
      </c>
      <c r="AT1068" s="108" t="str">
        <f t="shared" si="477"/>
        <v/>
      </c>
      <c r="AU1068" s="108" t="str">
        <f t="shared" si="478"/>
        <v/>
      </c>
      <c r="AV1068" s="107" t="str">
        <f>IF(ISNUMBER(O1068),IF(VLOOKUP($A1068,Stand!C:J,8,FALSE)="Short",AT1068,AU1068),"")</f>
        <v/>
      </c>
      <c r="AW1068" s="109" t="str">
        <f t="shared" si="484"/>
        <v/>
      </c>
      <c r="AX1068" s="109" t="str">
        <f t="shared" si="485"/>
        <v/>
      </c>
      <c r="AY1068" s="112" t="str">
        <f>IF(ISNUMBER(O1068),IF(AND(VLOOKUP($D1068,Merchantability!$B:$C,2,0)="Yes",$E1068&gt;=VLOOKUP($D1068,Merchantability!$B:$D,3,0),$E1068&lt;=VLOOKUP($D1068,Merchantability!$B:$E,4,0)),(AV1068*O1068)*(1-$H1068/100),""),"")</f>
        <v/>
      </c>
      <c r="AZ1068" s="116"/>
      <c r="BA1068" s="116"/>
      <c r="BB1068" s="116"/>
      <c r="BE1068" s="62"/>
      <c r="BF1068" s="63"/>
    </row>
    <row r="1069" spans="1:58" ht="12.75" customHeight="1" x14ac:dyDescent="0.25">
      <c r="A1069" s="313"/>
      <c r="B1069" s="328"/>
      <c r="C1069" s="329"/>
      <c r="D1069" s="328"/>
      <c r="E1069" s="330"/>
      <c r="F1069" s="328"/>
      <c r="G1069" s="329"/>
      <c r="H1069" s="329"/>
      <c r="I1069" s="328"/>
      <c r="J1069" s="383"/>
      <c r="K1069" s="329"/>
      <c r="L1069" s="329"/>
      <c r="M1069" s="76"/>
      <c r="N1069" s="103" t="str">
        <f>IF(A1069="","",VLOOKUP(A1069,Stand!C:K,9,0))</f>
        <v/>
      </c>
      <c r="O1069" s="104" t="str">
        <f t="shared" si="470"/>
        <v/>
      </c>
      <c r="P1069" s="105" t="str">
        <f t="shared" si="471"/>
        <v/>
      </c>
      <c r="Q1069" s="105" t="str">
        <f t="shared" si="486"/>
        <v/>
      </c>
      <c r="R1069" s="103" t="str">
        <f t="shared" si="472"/>
        <v/>
      </c>
      <c r="S1069" s="103" t="str">
        <f t="shared" si="473"/>
        <v/>
      </c>
      <c r="T1069" s="106" t="str">
        <f t="shared" si="487"/>
        <v/>
      </c>
      <c r="U1069" s="106" t="str">
        <f t="shared" si="488"/>
        <v/>
      </c>
      <c r="V1069" s="106" t="str">
        <f t="shared" si="489"/>
        <v/>
      </c>
      <c r="W1069" s="105" t="str">
        <f t="shared" si="474"/>
        <v/>
      </c>
      <c r="X1069" s="104" t="str">
        <f t="shared" si="479"/>
        <v/>
      </c>
      <c r="Y1069" s="104" t="str">
        <f t="array" ref="Y1069">IFERROR(IF(ISNUMBER(O1069),IF(COUNT(IF(A1069=$A$2:$A$2427,IF(D1069=$D$2:$D$2427,IF($X$2:$X$2427&gt;0,1))))&gt;0,SUM(IF(A1069=$A$2:$A$2427,IF(D1069=$D$2:$D$2427,$X$2:$X$2427)))/COUNT(IF(A1069=$A$2:$A$2427,IF(D1069=$D$2:$D$2427,IF(ISNUMBER($X$2:$X$2427),1)))),0),""),0)</f>
        <v/>
      </c>
      <c r="Z1069" s="104" t="str">
        <f>IF(ISNUMBER(O1069),IF(I1069&gt;0,(10^(VLOOKUP(D1069,'Species Codes'!B:C,2,0)+VLOOKUP(D1069,'Species Codes'!B:D,3,0)*LOG(E1069)+VLOOKUP(D1069,'Species Codes'!B:E,4,0)*LOG(I1069))),0),"")</f>
        <v/>
      </c>
      <c r="AA1069" s="104" t="str">
        <f>IFERROR((VLOOKUP(D1069,'Species Codes'!B:G,6,0)*Z1069)/2000,"")</f>
        <v/>
      </c>
      <c r="AB1069" s="104" t="e">
        <f>IF(Z1069&gt;0,((IF(OR(D1069="DF",D1069="RA")=TRUE,EXP(VLOOKUP(D1069,'Species Codes'!B:I,8,0)+VLOOKUP(D1069,'Species Codes'!B:J,9,0)*(LN((E1069*2.54)))),IF(OR(D1069="PY",D1069="RC",D1069="WH",D1069="NF")=TRUE,VLOOKUP(D1069,'Species Codes'!B:I,8,0)+VLOOKUP(D1069,'Species Codes'!B:J,9,0)*((E1069*2.54)^2)*(I1069*0.3048),IF(OR(D1069="MD",D1069="BM",D1069="GA")=TRUE,((VLOOKUP(D1069,'Species Codes'!B:I,8,0)*(((((E1069*2.54)+VLOOKUP(D1069,'Species Codes'!B:J,9,0))/VLOOKUP(D1069,'Species Codes'!B:K,10,0))^VLOOKUP(D1069,'Species Codes'!B:L,11,0))*((I1069*0.3048)^VLOOKUP(D1069,'Species Codes'!B:M,12,0))))-(VLOOKUP(D1069,'Species Codes'!B:I,8,0)*((((E1069*2.54)^VLOOKUP(D1069,'Species Codes'!B:L,11,0))*((I1069*0.3048)^VLOOKUP(D1069,'Species Codes'!B:M,12,0))))))*35.3*VLOOKUP(D1069,'Species Codes'!B:G,6,0)/2.2046,VLOOKUP(D1069,'Species Codes'!B:I,8,0)+VLOOKUP(D1069,'Species Codes'!B:J,9,0)*(((E1069*2.54)/100)^2)*(I1069*0.3048)))))*0.0011023),0)</f>
        <v>#N/A</v>
      </c>
      <c r="AC1069" s="104" t="e">
        <f>IF(Z1069&gt;0,((IF(OR(D1069="RA",D1069="OA",D1069="OT",D1069="UN",D1069="PC"),EXP(VLOOKUP(D1069,'Species Codes'!B:O,14,0)+VLOOKUP(D1069,'Species Codes'!B:P,15,0)*LN((E1069*2.54)))-EXP(VLOOKUP(D1069,'Species Codes'!B:O,14,0)+VLOOKUP(D1069,'Species Codes'!B:P,15,0)*LN((E1069*2.54)))*(1/(VLOOKUP(D1069,'Species Codes'!B:Q,16,0)+VLOOKUP(D1069,'Species Codes'!B:R,17,0)*((E1069*2.54)^VLOOKUP(D1069,'Species Codes'!B:S,18,0)))),IF(OR(D1069="BM",D1069="MD",D1069="OA"),EXP(VLOOKUP(D1069,'Species Codes'!B:O,14,0)+VLOOKUP(D1069,'Species Codes'!B:P,15,0)*LN((E1069*2.54)))*(1-(1/(VLOOKUP(D1069,'Species Codes'!B:Q,16,0)+VLOOKUP(D1069,'Species Codes'!B:R,17,0)*((E1069*2.54)^VLOOKUP(D1069,'Species Codes'!B:S,18,0)))))/1000,IF(D1069="DF",EXP(VLOOKUP(D1069,'Species Codes'!B:O,14,0)+VLOOKUP(D1069,'Species Codes'!B:P,15,0)*LN((E1069*2.54))),VLOOKUP(D1069,'Species Codes'!B:O,14,0)+VLOOKUP(D1069,'Species Codes'!B:P,15,0)*(((E1069*2.54)/100)^2)*(I1069*0.3048)))))*0.0011023),0)</f>
        <v>#N/A</v>
      </c>
      <c r="AD1069" s="104" t="e">
        <f t="shared" si="490"/>
        <v>#N/A</v>
      </c>
      <c r="AE1069" s="104" t="e">
        <f t="shared" si="491"/>
        <v>#N/A</v>
      </c>
      <c r="AF1069" s="104" t="e">
        <f>IF(AND(VLOOKUP($D1069,Merchantability!$B:$C,2,0)="Yes",$E1069&gt;=VLOOKUP($D1069,Merchantability!$B:$D,3,0),$E1069&lt;=VLOOKUP($D1069,Merchantability!$B:$E,4,0)),AA1069,0)</f>
        <v>#N/A</v>
      </c>
      <c r="AG1069" s="104" t="e">
        <f>IF(AND(VLOOKUP($D1069,Merchantability!$B:$C,2,0)="Yes",$E1069&gt;=VLOOKUP($D1069,Merchantability!$B:$D,3,0),$E1069&lt;=VLOOKUP($D1069,Merchantability!$B:$E,4,0)),AB1069,0)</f>
        <v>#N/A</v>
      </c>
      <c r="AH1069" s="104" t="e">
        <f>IF(AND(VLOOKUP($D1069,Merchantability!$B:$C,2,0)="Yes",$E1069&gt;=VLOOKUP($D1069,Merchantability!$B:$D,3,0),$E1069&lt;=VLOOKUP($D1069,Merchantability!$B:$E,4,0)),AC1069,0)</f>
        <v>#N/A</v>
      </c>
      <c r="AI1069" s="104" t="e">
        <f t="shared" si="492"/>
        <v>#N/A</v>
      </c>
      <c r="AJ1069" s="104" t="e">
        <f t="shared" si="493"/>
        <v>#VALUE!</v>
      </c>
      <c r="AK1069" s="104" t="e">
        <f t="shared" si="494"/>
        <v>#N/A</v>
      </c>
      <c r="AL1069" s="104" t="e">
        <f t="shared" si="495"/>
        <v>#N/A</v>
      </c>
      <c r="AM1069" s="104" t="e">
        <f t="shared" si="496"/>
        <v>#N/A</v>
      </c>
      <c r="AN1069" s="104" t="e">
        <f t="shared" si="480"/>
        <v>#N/A</v>
      </c>
      <c r="AO1069" s="104" t="e">
        <f t="shared" si="481"/>
        <v>#N/A</v>
      </c>
      <c r="AP1069" s="104" t="e">
        <f t="shared" si="482"/>
        <v>#N/A</v>
      </c>
      <c r="AQ1069" s="104" t="e">
        <f t="shared" si="483"/>
        <v>#N/A</v>
      </c>
      <c r="AR1069" s="105" t="str">
        <f t="shared" si="475"/>
        <v/>
      </c>
      <c r="AS1069" s="105" t="str">
        <f t="shared" si="476"/>
        <v/>
      </c>
      <c r="AT1069" s="108" t="str">
        <f t="shared" si="477"/>
        <v/>
      </c>
      <c r="AU1069" s="108" t="str">
        <f t="shared" si="478"/>
        <v/>
      </c>
      <c r="AV1069" s="107" t="str">
        <f>IF(ISNUMBER(O1069),IF(VLOOKUP($A1069,Stand!C:J,8,FALSE)="Short",AT1069,AU1069),"")</f>
        <v/>
      </c>
      <c r="AW1069" s="109" t="str">
        <f t="shared" si="484"/>
        <v/>
      </c>
      <c r="AX1069" s="109" t="str">
        <f t="shared" si="485"/>
        <v/>
      </c>
      <c r="AY1069" s="112" t="str">
        <f>IF(ISNUMBER(O1069),IF(AND(VLOOKUP($D1069,Merchantability!$B:$C,2,0)="Yes",$E1069&gt;=VLOOKUP($D1069,Merchantability!$B:$D,3,0),$E1069&lt;=VLOOKUP($D1069,Merchantability!$B:$E,4,0)),(AV1069*O1069)*(1-$H1069/100),""),"")</f>
        <v/>
      </c>
      <c r="AZ1069" s="116"/>
      <c r="BA1069" s="116"/>
      <c r="BB1069" s="116"/>
      <c r="BE1069" s="62"/>
      <c r="BF1069" s="63"/>
    </row>
    <row r="1070" spans="1:58" ht="12.75" customHeight="1" x14ac:dyDescent="0.25">
      <c r="A1070" s="313"/>
      <c r="B1070" s="328"/>
      <c r="C1070" s="329"/>
      <c r="D1070" s="328"/>
      <c r="E1070" s="330"/>
      <c r="F1070" s="328"/>
      <c r="G1070" s="329"/>
      <c r="H1070" s="329"/>
      <c r="I1070" s="328"/>
      <c r="J1070" s="383"/>
      <c r="K1070" s="329"/>
      <c r="L1070" s="329"/>
      <c r="M1070" s="76"/>
      <c r="N1070" s="103" t="str">
        <f>IF(A1070="","",VLOOKUP(A1070,Stand!C:K,9,0))</f>
        <v/>
      </c>
      <c r="O1070" s="104" t="str">
        <f t="shared" si="470"/>
        <v/>
      </c>
      <c r="P1070" s="105" t="str">
        <f t="shared" si="471"/>
        <v/>
      </c>
      <c r="Q1070" s="105" t="str">
        <f t="shared" si="486"/>
        <v/>
      </c>
      <c r="R1070" s="103" t="str">
        <f t="shared" si="472"/>
        <v/>
      </c>
      <c r="S1070" s="103" t="str">
        <f t="shared" si="473"/>
        <v/>
      </c>
      <c r="T1070" s="106" t="str">
        <f t="shared" si="487"/>
        <v/>
      </c>
      <c r="U1070" s="106" t="str">
        <f t="shared" si="488"/>
        <v/>
      </c>
      <c r="V1070" s="106" t="str">
        <f t="shared" si="489"/>
        <v/>
      </c>
      <c r="W1070" s="105" t="str">
        <f t="shared" si="474"/>
        <v/>
      </c>
      <c r="X1070" s="104" t="str">
        <f t="shared" si="479"/>
        <v/>
      </c>
      <c r="Y1070" s="104" t="str">
        <f t="array" ref="Y1070">IFERROR(IF(ISNUMBER(O1070),IF(COUNT(IF(A1070=$A$2:$A$2427,IF(D1070=$D$2:$D$2427,IF($X$2:$X$2427&gt;0,1))))&gt;0,SUM(IF(A1070=$A$2:$A$2427,IF(D1070=$D$2:$D$2427,$X$2:$X$2427)))/COUNT(IF(A1070=$A$2:$A$2427,IF(D1070=$D$2:$D$2427,IF(ISNUMBER($X$2:$X$2427),1)))),0),""),0)</f>
        <v/>
      </c>
      <c r="Z1070" s="104" t="str">
        <f>IF(ISNUMBER(O1070),IF(I1070&gt;0,(10^(VLOOKUP(D1070,'Species Codes'!B:C,2,0)+VLOOKUP(D1070,'Species Codes'!B:D,3,0)*LOG(E1070)+VLOOKUP(D1070,'Species Codes'!B:E,4,0)*LOG(I1070))),0),"")</f>
        <v/>
      </c>
      <c r="AA1070" s="104" t="str">
        <f>IFERROR((VLOOKUP(D1070,'Species Codes'!B:G,6,0)*Z1070)/2000,"")</f>
        <v/>
      </c>
      <c r="AB1070" s="104" t="e">
        <f>IF(Z1070&gt;0,((IF(OR(D1070="DF",D1070="RA")=TRUE,EXP(VLOOKUP(D1070,'Species Codes'!B:I,8,0)+VLOOKUP(D1070,'Species Codes'!B:J,9,0)*(LN((E1070*2.54)))),IF(OR(D1070="PY",D1070="RC",D1070="WH",D1070="NF")=TRUE,VLOOKUP(D1070,'Species Codes'!B:I,8,0)+VLOOKUP(D1070,'Species Codes'!B:J,9,0)*((E1070*2.54)^2)*(I1070*0.3048),IF(OR(D1070="MD",D1070="BM",D1070="GA")=TRUE,((VLOOKUP(D1070,'Species Codes'!B:I,8,0)*(((((E1070*2.54)+VLOOKUP(D1070,'Species Codes'!B:J,9,0))/VLOOKUP(D1070,'Species Codes'!B:K,10,0))^VLOOKUP(D1070,'Species Codes'!B:L,11,0))*((I1070*0.3048)^VLOOKUP(D1070,'Species Codes'!B:M,12,0))))-(VLOOKUP(D1070,'Species Codes'!B:I,8,0)*((((E1070*2.54)^VLOOKUP(D1070,'Species Codes'!B:L,11,0))*((I1070*0.3048)^VLOOKUP(D1070,'Species Codes'!B:M,12,0))))))*35.3*VLOOKUP(D1070,'Species Codes'!B:G,6,0)/2.2046,VLOOKUP(D1070,'Species Codes'!B:I,8,0)+VLOOKUP(D1070,'Species Codes'!B:J,9,0)*(((E1070*2.54)/100)^2)*(I1070*0.3048)))))*0.0011023),0)</f>
        <v>#N/A</v>
      </c>
      <c r="AC1070" s="104" t="e">
        <f>IF(Z1070&gt;0,((IF(OR(D1070="RA",D1070="OA",D1070="OT",D1070="UN",D1070="PC"),EXP(VLOOKUP(D1070,'Species Codes'!B:O,14,0)+VLOOKUP(D1070,'Species Codes'!B:P,15,0)*LN((E1070*2.54)))-EXP(VLOOKUP(D1070,'Species Codes'!B:O,14,0)+VLOOKUP(D1070,'Species Codes'!B:P,15,0)*LN((E1070*2.54)))*(1/(VLOOKUP(D1070,'Species Codes'!B:Q,16,0)+VLOOKUP(D1070,'Species Codes'!B:R,17,0)*((E1070*2.54)^VLOOKUP(D1070,'Species Codes'!B:S,18,0)))),IF(OR(D1070="BM",D1070="MD",D1070="OA"),EXP(VLOOKUP(D1070,'Species Codes'!B:O,14,0)+VLOOKUP(D1070,'Species Codes'!B:P,15,0)*LN((E1070*2.54)))*(1-(1/(VLOOKUP(D1070,'Species Codes'!B:Q,16,0)+VLOOKUP(D1070,'Species Codes'!B:R,17,0)*((E1070*2.54)^VLOOKUP(D1070,'Species Codes'!B:S,18,0)))))/1000,IF(D1070="DF",EXP(VLOOKUP(D1070,'Species Codes'!B:O,14,0)+VLOOKUP(D1070,'Species Codes'!B:P,15,0)*LN((E1070*2.54))),VLOOKUP(D1070,'Species Codes'!B:O,14,0)+VLOOKUP(D1070,'Species Codes'!B:P,15,0)*(((E1070*2.54)/100)^2)*(I1070*0.3048)))))*0.0011023),0)</f>
        <v>#N/A</v>
      </c>
      <c r="AD1070" s="104" t="e">
        <f t="shared" si="490"/>
        <v>#N/A</v>
      </c>
      <c r="AE1070" s="104" t="e">
        <f t="shared" si="491"/>
        <v>#N/A</v>
      </c>
      <c r="AF1070" s="104" t="e">
        <f>IF(AND(VLOOKUP($D1070,Merchantability!$B:$C,2,0)="Yes",$E1070&gt;=VLOOKUP($D1070,Merchantability!$B:$D,3,0),$E1070&lt;=VLOOKUP($D1070,Merchantability!$B:$E,4,0)),AA1070,0)</f>
        <v>#N/A</v>
      </c>
      <c r="AG1070" s="104" t="e">
        <f>IF(AND(VLOOKUP($D1070,Merchantability!$B:$C,2,0)="Yes",$E1070&gt;=VLOOKUP($D1070,Merchantability!$B:$D,3,0),$E1070&lt;=VLOOKUP($D1070,Merchantability!$B:$E,4,0)),AB1070,0)</f>
        <v>#N/A</v>
      </c>
      <c r="AH1070" s="104" t="e">
        <f>IF(AND(VLOOKUP($D1070,Merchantability!$B:$C,2,0)="Yes",$E1070&gt;=VLOOKUP($D1070,Merchantability!$B:$D,3,0),$E1070&lt;=VLOOKUP($D1070,Merchantability!$B:$E,4,0)),AC1070,0)</f>
        <v>#N/A</v>
      </c>
      <c r="AI1070" s="104" t="e">
        <f t="shared" si="492"/>
        <v>#N/A</v>
      </c>
      <c r="AJ1070" s="104" t="e">
        <f t="shared" si="493"/>
        <v>#VALUE!</v>
      </c>
      <c r="AK1070" s="104" t="e">
        <f t="shared" si="494"/>
        <v>#N/A</v>
      </c>
      <c r="AL1070" s="104" t="e">
        <f t="shared" si="495"/>
        <v>#N/A</v>
      </c>
      <c r="AM1070" s="104" t="e">
        <f t="shared" si="496"/>
        <v>#N/A</v>
      </c>
      <c r="AN1070" s="104" t="e">
        <f t="shared" si="480"/>
        <v>#N/A</v>
      </c>
      <c r="AO1070" s="104" t="e">
        <f t="shared" si="481"/>
        <v>#N/A</v>
      </c>
      <c r="AP1070" s="104" t="e">
        <f t="shared" si="482"/>
        <v>#N/A</v>
      </c>
      <c r="AQ1070" s="104" t="e">
        <f t="shared" si="483"/>
        <v>#N/A</v>
      </c>
      <c r="AR1070" s="105" t="str">
        <f t="shared" si="475"/>
        <v/>
      </c>
      <c r="AS1070" s="105" t="str">
        <f t="shared" si="476"/>
        <v/>
      </c>
      <c r="AT1070" s="108" t="str">
        <f t="shared" si="477"/>
        <v/>
      </c>
      <c r="AU1070" s="108" t="str">
        <f t="shared" si="478"/>
        <v/>
      </c>
      <c r="AV1070" s="107" t="str">
        <f>IF(ISNUMBER(O1070),IF(VLOOKUP($A1070,Stand!C:J,8,FALSE)="Short",AT1070,AU1070),"")</f>
        <v/>
      </c>
      <c r="AW1070" s="109" t="str">
        <f t="shared" si="484"/>
        <v/>
      </c>
      <c r="AX1070" s="109" t="str">
        <f t="shared" si="485"/>
        <v/>
      </c>
      <c r="AY1070" s="112" t="str">
        <f>IF(ISNUMBER(O1070),IF(AND(VLOOKUP($D1070,Merchantability!$B:$C,2,0)="Yes",$E1070&gt;=VLOOKUP($D1070,Merchantability!$B:$D,3,0),$E1070&lt;=VLOOKUP($D1070,Merchantability!$B:$E,4,0)),(AV1070*O1070)*(1-$H1070/100),""),"")</f>
        <v/>
      </c>
      <c r="AZ1070" s="116"/>
      <c r="BA1070" s="116"/>
      <c r="BB1070" s="116"/>
      <c r="BE1070" s="62"/>
      <c r="BF1070" s="63"/>
    </row>
    <row r="1071" spans="1:58" ht="12.75" customHeight="1" x14ac:dyDescent="0.25">
      <c r="A1071" s="313"/>
      <c r="B1071" s="328"/>
      <c r="C1071" s="329"/>
      <c r="D1071" s="328"/>
      <c r="E1071" s="330"/>
      <c r="F1071" s="328"/>
      <c r="G1071" s="329"/>
      <c r="H1071" s="329"/>
      <c r="I1071" s="328"/>
      <c r="J1071" s="383"/>
      <c r="K1071" s="329"/>
      <c r="L1071" s="329"/>
      <c r="M1071" s="76"/>
      <c r="N1071" s="103" t="str">
        <f>IF(A1071="","",VLOOKUP(A1071,Stand!C:K,9,0))</f>
        <v/>
      </c>
      <c r="O1071" s="104" t="str">
        <f t="shared" si="470"/>
        <v/>
      </c>
      <c r="P1071" s="105" t="str">
        <f t="shared" si="471"/>
        <v/>
      </c>
      <c r="Q1071" s="105" t="str">
        <f t="shared" si="486"/>
        <v/>
      </c>
      <c r="R1071" s="103" t="str">
        <f t="shared" si="472"/>
        <v/>
      </c>
      <c r="S1071" s="103" t="str">
        <f t="shared" si="473"/>
        <v/>
      </c>
      <c r="T1071" s="106" t="str">
        <f t="shared" si="487"/>
        <v/>
      </c>
      <c r="U1071" s="106" t="str">
        <f t="shared" si="488"/>
        <v/>
      </c>
      <c r="V1071" s="106" t="str">
        <f t="shared" si="489"/>
        <v/>
      </c>
      <c r="W1071" s="105" t="str">
        <f t="shared" si="474"/>
        <v/>
      </c>
      <c r="X1071" s="104" t="str">
        <f t="shared" si="479"/>
        <v/>
      </c>
      <c r="Y1071" s="104" t="str">
        <f t="array" ref="Y1071">IFERROR(IF(ISNUMBER(O1071),IF(COUNT(IF(A1071=$A$2:$A$2427,IF(D1071=$D$2:$D$2427,IF($X$2:$X$2427&gt;0,1))))&gt;0,SUM(IF(A1071=$A$2:$A$2427,IF(D1071=$D$2:$D$2427,$X$2:$X$2427)))/COUNT(IF(A1071=$A$2:$A$2427,IF(D1071=$D$2:$D$2427,IF(ISNUMBER($X$2:$X$2427),1)))),0),""),0)</f>
        <v/>
      </c>
      <c r="Z1071" s="104" t="str">
        <f>IF(ISNUMBER(O1071),IF(I1071&gt;0,(10^(VLOOKUP(D1071,'Species Codes'!B:C,2,0)+VLOOKUP(D1071,'Species Codes'!B:D,3,0)*LOG(E1071)+VLOOKUP(D1071,'Species Codes'!B:E,4,0)*LOG(I1071))),0),"")</f>
        <v/>
      </c>
      <c r="AA1071" s="104" t="str">
        <f>IFERROR((VLOOKUP(D1071,'Species Codes'!B:G,6,0)*Z1071)/2000,"")</f>
        <v/>
      </c>
      <c r="AB1071" s="104" t="e">
        <f>IF(Z1071&gt;0,((IF(OR(D1071="DF",D1071="RA")=TRUE,EXP(VLOOKUP(D1071,'Species Codes'!B:I,8,0)+VLOOKUP(D1071,'Species Codes'!B:J,9,0)*(LN((E1071*2.54)))),IF(OR(D1071="PY",D1071="RC",D1071="WH",D1071="NF")=TRUE,VLOOKUP(D1071,'Species Codes'!B:I,8,0)+VLOOKUP(D1071,'Species Codes'!B:J,9,0)*((E1071*2.54)^2)*(I1071*0.3048),IF(OR(D1071="MD",D1071="BM",D1071="GA")=TRUE,((VLOOKUP(D1071,'Species Codes'!B:I,8,0)*(((((E1071*2.54)+VLOOKUP(D1071,'Species Codes'!B:J,9,0))/VLOOKUP(D1071,'Species Codes'!B:K,10,0))^VLOOKUP(D1071,'Species Codes'!B:L,11,0))*((I1071*0.3048)^VLOOKUP(D1071,'Species Codes'!B:M,12,0))))-(VLOOKUP(D1071,'Species Codes'!B:I,8,0)*((((E1071*2.54)^VLOOKUP(D1071,'Species Codes'!B:L,11,0))*((I1071*0.3048)^VLOOKUP(D1071,'Species Codes'!B:M,12,0))))))*35.3*VLOOKUP(D1071,'Species Codes'!B:G,6,0)/2.2046,VLOOKUP(D1071,'Species Codes'!B:I,8,0)+VLOOKUP(D1071,'Species Codes'!B:J,9,0)*(((E1071*2.54)/100)^2)*(I1071*0.3048)))))*0.0011023),0)</f>
        <v>#N/A</v>
      </c>
      <c r="AC1071" s="104" t="e">
        <f>IF(Z1071&gt;0,((IF(OR(D1071="RA",D1071="OA",D1071="OT",D1071="UN",D1071="PC"),EXP(VLOOKUP(D1071,'Species Codes'!B:O,14,0)+VLOOKUP(D1071,'Species Codes'!B:P,15,0)*LN((E1071*2.54)))-EXP(VLOOKUP(D1071,'Species Codes'!B:O,14,0)+VLOOKUP(D1071,'Species Codes'!B:P,15,0)*LN((E1071*2.54)))*(1/(VLOOKUP(D1071,'Species Codes'!B:Q,16,0)+VLOOKUP(D1071,'Species Codes'!B:R,17,0)*((E1071*2.54)^VLOOKUP(D1071,'Species Codes'!B:S,18,0)))),IF(OR(D1071="BM",D1071="MD",D1071="OA"),EXP(VLOOKUP(D1071,'Species Codes'!B:O,14,0)+VLOOKUP(D1071,'Species Codes'!B:P,15,0)*LN((E1071*2.54)))*(1-(1/(VLOOKUP(D1071,'Species Codes'!B:Q,16,0)+VLOOKUP(D1071,'Species Codes'!B:R,17,0)*((E1071*2.54)^VLOOKUP(D1071,'Species Codes'!B:S,18,0)))))/1000,IF(D1071="DF",EXP(VLOOKUP(D1071,'Species Codes'!B:O,14,0)+VLOOKUP(D1071,'Species Codes'!B:P,15,0)*LN((E1071*2.54))),VLOOKUP(D1071,'Species Codes'!B:O,14,0)+VLOOKUP(D1071,'Species Codes'!B:P,15,0)*(((E1071*2.54)/100)^2)*(I1071*0.3048)))))*0.0011023),0)</f>
        <v>#N/A</v>
      </c>
      <c r="AD1071" s="104" t="e">
        <f t="shared" si="490"/>
        <v>#N/A</v>
      </c>
      <c r="AE1071" s="104" t="e">
        <f t="shared" si="491"/>
        <v>#N/A</v>
      </c>
      <c r="AF1071" s="104" t="e">
        <f>IF(AND(VLOOKUP($D1071,Merchantability!$B:$C,2,0)="Yes",$E1071&gt;=VLOOKUP($D1071,Merchantability!$B:$D,3,0),$E1071&lt;=VLOOKUP($D1071,Merchantability!$B:$E,4,0)),AA1071,0)</f>
        <v>#N/A</v>
      </c>
      <c r="AG1071" s="104" t="e">
        <f>IF(AND(VLOOKUP($D1071,Merchantability!$B:$C,2,0)="Yes",$E1071&gt;=VLOOKUP($D1071,Merchantability!$B:$D,3,0),$E1071&lt;=VLOOKUP($D1071,Merchantability!$B:$E,4,0)),AB1071,0)</f>
        <v>#N/A</v>
      </c>
      <c r="AH1071" s="104" t="e">
        <f>IF(AND(VLOOKUP($D1071,Merchantability!$B:$C,2,0)="Yes",$E1071&gt;=VLOOKUP($D1071,Merchantability!$B:$D,3,0),$E1071&lt;=VLOOKUP($D1071,Merchantability!$B:$E,4,0)),AC1071,0)</f>
        <v>#N/A</v>
      </c>
      <c r="AI1071" s="104" t="e">
        <f t="shared" si="492"/>
        <v>#N/A</v>
      </c>
      <c r="AJ1071" s="104" t="e">
        <f t="shared" si="493"/>
        <v>#VALUE!</v>
      </c>
      <c r="AK1071" s="104" t="e">
        <f t="shared" si="494"/>
        <v>#N/A</v>
      </c>
      <c r="AL1071" s="104" t="e">
        <f t="shared" si="495"/>
        <v>#N/A</v>
      </c>
      <c r="AM1071" s="104" t="e">
        <f t="shared" si="496"/>
        <v>#N/A</v>
      </c>
      <c r="AN1071" s="104" t="e">
        <f t="shared" si="480"/>
        <v>#N/A</v>
      </c>
      <c r="AO1071" s="104" t="e">
        <f t="shared" si="481"/>
        <v>#N/A</v>
      </c>
      <c r="AP1071" s="104" t="e">
        <f t="shared" si="482"/>
        <v>#N/A</v>
      </c>
      <c r="AQ1071" s="104" t="e">
        <f t="shared" si="483"/>
        <v>#N/A</v>
      </c>
      <c r="AR1071" s="105" t="str">
        <f t="shared" si="475"/>
        <v/>
      </c>
      <c r="AS1071" s="105" t="str">
        <f t="shared" si="476"/>
        <v/>
      </c>
      <c r="AT1071" s="108" t="str">
        <f t="shared" si="477"/>
        <v/>
      </c>
      <c r="AU1071" s="108" t="str">
        <f t="shared" si="478"/>
        <v/>
      </c>
      <c r="AV1071" s="107" t="str">
        <f>IF(ISNUMBER(O1071),IF(VLOOKUP($A1071,Stand!C:J,8,FALSE)="Short",AT1071,AU1071),"")</f>
        <v/>
      </c>
      <c r="AW1071" s="109" t="str">
        <f t="shared" si="484"/>
        <v/>
      </c>
      <c r="AX1071" s="109" t="str">
        <f t="shared" si="485"/>
        <v/>
      </c>
      <c r="AY1071" s="112" t="str">
        <f>IF(ISNUMBER(O1071),IF(AND(VLOOKUP($D1071,Merchantability!$B:$C,2,0)="Yes",$E1071&gt;=VLOOKUP($D1071,Merchantability!$B:$D,3,0),$E1071&lt;=VLOOKUP($D1071,Merchantability!$B:$E,4,0)),(AV1071*O1071)*(1-$H1071/100),""),"")</f>
        <v/>
      </c>
      <c r="AZ1071" s="116"/>
      <c r="BA1071" s="116"/>
      <c r="BB1071" s="116"/>
      <c r="BE1071" s="62"/>
      <c r="BF1071" s="63"/>
    </row>
    <row r="1072" spans="1:58" ht="12.75" customHeight="1" x14ac:dyDescent="0.25">
      <c r="A1072" s="313"/>
      <c r="B1072" s="328"/>
      <c r="C1072" s="329"/>
      <c r="D1072" s="328"/>
      <c r="E1072" s="330"/>
      <c r="F1072" s="328"/>
      <c r="G1072" s="329"/>
      <c r="H1072" s="329"/>
      <c r="I1072" s="328"/>
      <c r="J1072" s="383"/>
      <c r="K1072" s="329"/>
      <c r="L1072" s="329"/>
      <c r="M1072" s="76"/>
      <c r="N1072" s="103" t="str">
        <f>IF(A1072="","",VLOOKUP(A1072,Stand!C:K,9,0))</f>
        <v/>
      </c>
      <c r="O1072" s="104" t="str">
        <f t="shared" si="470"/>
        <v/>
      </c>
      <c r="P1072" s="105" t="str">
        <f t="shared" si="471"/>
        <v/>
      </c>
      <c r="Q1072" s="105" t="str">
        <f t="shared" si="486"/>
        <v/>
      </c>
      <c r="R1072" s="103" t="str">
        <f t="shared" si="472"/>
        <v/>
      </c>
      <c r="S1072" s="103" t="str">
        <f t="shared" si="473"/>
        <v/>
      </c>
      <c r="T1072" s="106" t="str">
        <f t="shared" si="487"/>
        <v/>
      </c>
      <c r="U1072" s="106" t="str">
        <f t="shared" si="488"/>
        <v/>
      </c>
      <c r="V1072" s="106" t="str">
        <f t="shared" si="489"/>
        <v/>
      </c>
      <c r="W1072" s="105" t="str">
        <f t="shared" si="474"/>
        <v/>
      </c>
      <c r="X1072" s="104" t="str">
        <f t="shared" si="479"/>
        <v/>
      </c>
      <c r="Y1072" s="104" t="str">
        <f t="array" ref="Y1072">IFERROR(IF(ISNUMBER(O1072),IF(COUNT(IF(A1072=$A$2:$A$2427,IF(D1072=$D$2:$D$2427,IF($X$2:$X$2427&gt;0,1))))&gt;0,SUM(IF(A1072=$A$2:$A$2427,IF(D1072=$D$2:$D$2427,$X$2:$X$2427)))/COUNT(IF(A1072=$A$2:$A$2427,IF(D1072=$D$2:$D$2427,IF(ISNUMBER($X$2:$X$2427),1)))),0),""),0)</f>
        <v/>
      </c>
      <c r="Z1072" s="104" t="str">
        <f>IF(ISNUMBER(O1072),IF(I1072&gt;0,(10^(VLOOKUP(D1072,'Species Codes'!B:C,2,0)+VLOOKUP(D1072,'Species Codes'!B:D,3,0)*LOG(E1072)+VLOOKUP(D1072,'Species Codes'!B:E,4,0)*LOG(I1072))),0),"")</f>
        <v/>
      </c>
      <c r="AA1072" s="104" t="str">
        <f>IFERROR((VLOOKUP(D1072,'Species Codes'!B:G,6,0)*Z1072)/2000,"")</f>
        <v/>
      </c>
      <c r="AB1072" s="104" t="e">
        <f>IF(Z1072&gt;0,((IF(OR(D1072="DF",D1072="RA")=TRUE,EXP(VLOOKUP(D1072,'Species Codes'!B:I,8,0)+VLOOKUP(D1072,'Species Codes'!B:J,9,0)*(LN((E1072*2.54)))),IF(OR(D1072="PY",D1072="RC",D1072="WH",D1072="NF")=TRUE,VLOOKUP(D1072,'Species Codes'!B:I,8,0)+VLOOKUP(D1072,'Species Codes'!B:J,9,0)*((E1072*2.54)^2)*(I1072*0.3048),IF(OR(D1072="MD",D1072="BM",D1072="GA")=TRUE,((VLOOKUP(D1072,'Species Codes'!B:I,8,0)*(((((E1072*2.54)+VLOOKUP(D1072,'Species Codes'!B:J,9,0))/VLOOKUP(D1072,'Species Codes'!B:K,10,0))^VLOOKUP(D1072,'Species Codes'!B:L,11,0))*((I1072*0.3048)^VLOOKUP(D1072,'Species Codes'!B:M,12,0))))-(VLOOKUP(D1072,'Species Codes'!B:I,8,0)*((((E1072*2.54)^VLOOKUP(D1072,'Species Codes'!B:L,11,0))*((I1072*0.3048)^VLOOKUP(D1072,'Species Codes'!B:M,12,0))))))*35.3*VLOOKUP(D1072,'Species Codes'!B:G,6,0)/2.2046,VLOOKUP(D1072,'Species Codes'!B:I,8,0)+VLOOKUP(D1072,'Species Codes'!B:J,9,0)*(((E1072*2.54)/100)^2)*(I1072*0.3048)))))*0.0011023),0)</f>
        <v>#N/A</v>
      </c>
      <c r="AC1072" s="104" t="e">
        <f>IF(Z1072&gt;0,((IF(OR(D1072="RA",D1072="OA",D1072="OT",D1072="UN",D1072="PC"),EXP(VLOOKUP(D1072,'Species Codes'!B:O,14,0)+VLOOKUP(D1072,'Species Codes'!B:P,15,0)*LN((E1072*2.54)))-EXP(VLOOKUP(D1072,'Species Codes'!B:O,14,0)+VLOOKUP(D1072,'Species Codes'!B:P,15,0)*LN((E1072*2.54)))*(1/(VLOOKUP(D1072,'Species Codes'!B:Q,16,0)+VLOOKUP(D1072,'Species Codes'!B:R,17,0)*((E1072*2.54)^VLOOKUP(D1072,'Species Codes'!B:S,18,0)))),IF(OR(D1072="BM",D1072="MD",D1072="OA"),EXP(VLOOKUP(D1072,'Species Codes'!B:O,14,0)+VLOOKUP(D1072,'Species Codes'!B:P,15,0)*LN((E1072*2.54)))*(1-(1/(VLOOKUP(D1072,'Species Codes'!B:Q,16,0)+VLOOKUP(D1072,'Species Codes'!B:R,17,0)*((E1072*2.54)^VLOOKUP(D1072,'Species Codes'!B:S,18,0)))))/1000,IF(D1072="DF",EXP(VLOOKUP(D1072,'Species Codes'!B:O,14,0)+VLOOKUP(D1072,'Species Codes'!B:P,15,0)*LN((E1072*2.54))),VLOOKUP(D1072,'Species Codes'!B:O,14,0)+VLOOKUP(D1072,'Species Codes'!B:P,15,0)*(((E1072*2.54)/100)^2)*(I1072*0.3048)))))*0.0011023),0)</f>
        <v>#N/A</v>
      </c>
      <c r="AD1072" s="104" t="e">
        <f t="shared" si="490"/>
        <v>#N/A</v>
      </c>
      <c r="AE1072" s="104" t="e">
        <f t="shared" si="491"/>
        <v>#N/A</v>
      </c>
      <c r="AF1072" s="104" t="e">
        <f>IF(AND(VLOOKUP($D1072,Merchantability!$B:$C,2,0)="Yes",$E1072&gt;=VLOOKUP($D1072,Merchantability!$B:$D,3,0),$E1072&lt;=VLOOKUP($D1072,Merchantability!$B:$E,4,0)),AA1072,0)</f>
        <v>#N/A</v>
      </c>
      <c r="AG1072" s="104" t="e">
        <f>IF(AND(VLOOKUP($D1072,Merchantability!$B:$C,2,0)="Yes",$E1072&gt;=VLOOKUP($D1072,Merchantability!$B:$D,3,0),$E1072&lt;=VLOOKUP($D1072,Merchantability!$B:$E,4,0)),AB1072,0)</f>
        <v>#N/A</v>
      </c>
      <c r="AH1072" s="104" t="e">
        <f>IF(AND(VLOOKUP($D1072,Merchantability!$B:$C,2,0)="Yes",$E1072&gt;=VLOOKUP($D1072,Merchantability!$B:$D,3,0),$E1072&lt;=VLOOKUP($D1072,Merchantability!$B:$E,4,0)),AC1072,0)</f>
        <v>#N/A</v>
      </c>
      <c r="AI1072" s="104" t="e">
        <f t="shared" si="492"/>
        <v>#N/A</v>
      </c>
      <c r="AJ1072" s="104" t="e">
        <f t="shared" si="493"/>
        <v>#VALUE!</v>
      </c>
      <c r="AK1072" s="104" t="e">
        <f t="shared" si="494"/>
        <v>#N/A</v>
      </c>
      <c r="AL1072" s="104" t="e">
        <f t="shared" si="495"/>
        <v>#N/A</v>
      </c>
      <c r="AM1072" s="104" t="e">
        <f t="shared" si="496"/>
        <v>#N/A</v>
      </c>
      <c r="AN1072" s="104" t="e">
        <f t="shared" si="480"/>
        <v>#N/A</v>
      </c>
      <c r="AO1072" s="104" t="e">
        <f t="shared" si="481"/>
        <v>#N/A</v>
      </c>
      <c r="AP1072" s="104" t="e">
        <f t="shared" si="482"/>
        <v>#N/A</v>
      </c>
      <c r="AQ1072" s="104" t="e">
        <f t="shared" si="483"/>
        <v>#N/A</v>
      </c>
      <c r="AR1072" s="105" t="str">
        <f t="shared" si="475"/>
        <v/>
      </c>
      <c r="AS1072" s="105" t="str">
        <f t="shared" si="476"/>
        <v/>
      </c>
      <c r="AT1072" s="108" t="str">
        <f t="shared" si="477"/>
        <v/>
      </c>
      <c r="AU1072" s="108" t="str">
        <f t="shared" si="478"/>
        <v/>
      </c>
      <c r="AV1072" s="107" t="str">
        <f>IF(ISNUMBER(O1072),IF(VLOOKUP($A1072,Stand!C:J,8,FALSE)="Short",AT1072,AU1072),"")</f>
        <v/>
      </c>
      <c r="AW1072" s="109" t="str">
        <f t="shared" si="484"/>
        <v/>
      </c>
      <c r="AX1072" s="109" t="str">
        <f t="shared" si="485"/>
        <v/>
      </c>
      <c r="AY1072" s="112" t="str">
        <f>IF(ISNUMBER(O1072),IF(AND(VLOOKUP($D1072,Merchantability!$B:$C,2,0)="Yes",$E1072&gt;=VLOOKUP($D1072,Merchantability!$B:$D,3,0),$E1072&lt;=VLOOKUP($D1072,Merchantability!$B:$E,4,0)),(AV1072*O1072)*(1-$H1072/100),""),"")</f>
        <v/>
      </c>
      <c r="AZ1072" s="116"/>
      <c r="BA1072" s="116"/>
      <c r="BB1072" s="116"/>
      <c r="BE1072" s="62"/>
      <c r="BF1072" s="63"/>
    </row>
    <row r="1073" spans="1:58" ht="12.75" customHeight="1" x14ac:dyDescent="0.25">
      <c r="A1073" s="313"/>
      <c r="B1073" s="328"/>
      <c r="C1073" s="329"/>
      <c r="D1073" s="328"/>
      <c r="E1073" s="330"/>
      <c r="F1073" s="328"/>
      <c r="G1073" s="329"/>
      <c r="H1073" s="329"/>
      <c r="I1073" s="328"/>
      <c r="J1073" s="383"/>
      <c r="K1073" s="329"/>
      <c r="L1073" s="329"/>
      <c r="M1073" s="76"/>
      <c r="N1073" s="103" t="str">
        <f>IF(A1073="","",VLOOKUP(A1073,Stand!C:K,9,0))</f>
        <v/>
      </c>
      <c r="O1073" s="104" t="str">
        <f t="shared" si="470"/>
        <v/>
      </c>
      <c r="P1073" s="105" t="str">
        <f t="shared" si="471"/>
        <v/>
      </c>
      <c r="Q1073" s="105" t="str">
        <f t="shared" si="486"/>
        <v/>
      </c>
      <c r="R1073" s="103" t="str">
        <f t="shared" si="472"/>
        <v/>
      </c>
      <c r="S1073" s="103" t="str">
        <f t="shared" si="473"/>
        <v/>
      </c>
      <c r="T1073" s="106" t="str">
        <f t="shared" si="487"/>
        <v/>
      </c>
      <c r="U1073" s="106" t="str">
        <f t="shared" si="488"/>
        <v/>
      </c>
      <c r="V1073" s="106" t="str">
        <f t="shared" si="489"/>
        <v/>
      </c>
      <c r="W1073" s="105" t="str">
        <f t="shared" si="474"/>
        <v/>
      </c>
      <c r="X1073" s="104" t="str">
        <f t="shared" si="479"/>
        <v/>
      </c>
      <c r="Y1073" s="104" t="str">
        <f t="array" ref="Y1073">IFERROR(IF(ISNUMBER(O1073),IF(COUNT(IF(A1073=$A$2:$A$2427,IF(D1073=$D$2:$D$2427,IF($X$2:$X$2427&gt;0,1))))&gt;0,SUM(IF(A1073=$A$2:$A$2427,IF(D1073=$D$2:$D$2427,$X$2:$X$2427)))/COUNT(IF(A1073=$A$2:$A$2427,IF(D1073=$D$2:$D$2427,IF(ISNUMBER($X$2:$X$2427),1)))),0),""),0)</f>
        <v/>
      </c>
      <c r="Z1073" s="104" t="str">
        <f>IF(ISNUMBER(O1073),IF(I1073&gt;0,(10^(VLOOKUP(D1073,'Species Codes'!B:C,2,0)+VLOOKUP(D1073,'Species Codes'!B:D,3,0)*LOG(E1073)+VLOOKUP(D1073,'Species Codes'!B:E,4,0)*LOG(I1073))),0),"")</f>
        <v/>
      </c>
      <c r="AA1073" s="104" t="str">
        <f>IFERROR((VLOOKUP(D1073,'Species Codes'!B:G,6,0)*Z1073)/2000,"")</f>
        <v/>
      </c>
      <c r="AB1073" s="104" t="e">
        <f>IF(Z1073&gt;0,((IF(OR(D1073="DF",D1073="RA")=TRUE,EXP(VLOOKUP(D1073,'Species Codes'!B:I,8,0)+VLOOKUP(D1073,'Species Codes'!B:J,9,0)*(LN((E1073*2.54)))),IF(OR(D1073="PY",D1073="RC",D1073="WH",D1073="NF")=TRUE,VLOOKUP(D1073,'Species Codes'!B:I,8,0)+VLOOKUP(D1073,'Species Codes'!B:J,9,0)*((E1073*2.54)^2)*(I1073*0.3048),IF(OR(D1073="MD",D1073="BM",D1073="GA")=TRUE,((VLOOKUP(D1073,'Species Codes'!B:I,8,0)*(((((E1073*2.54)+VLOOKUP(D1073,'Species Codes'!B:J,9,0))/VLOOKUP(D1073,'Species Codes'!B:K,10,0))^VLOOKUP(D1073,'Species Codes'!B:L,11,0))*((I1073*0.3048)^VLOOKUP(D1073,'Species Codes'!B:M,12,0))))-(VLOOKUP(D1073,'Species Codes'!B:I,8,0)*((((E1073*2.54)^VLOOKUP(D1073,'Species Codes'!B:L,11,0))*((I1073*0.3048)^VLOOKUP(D1073,'Species Codes'!B:M,12,0))))))*35.3*VLOOKUP(D1073,'Species Codes'!B:G,6,0)/2.2046,VLOOKUP(D1073,'Species Codes'!B:I,8,0)+VLOOKUP(D1073,'Species Codes'!B:J,9,0)*(((E1073*2.54)/100)^2)*(I1073*0.3048)))))*0.0011023),0)</f>
        <v>#N/A</v>
      </c>
      <c r="AC1073" s="104" t="e">
        <f>IF(Z1073&gt;0,((IF(OR(D1073="RA",D1073="OA",D1073="OT",D1073="UN",D1073="PC"),EXP(VLOOKUP(D1073,'Species Codes'!B:O,14,0)+VLOOKUP(D1073,'Species Codes'!B:P,15,0)*LN((E1073*2.54)))-EXP(VLOOKUP(D1073,'Species Codes'!B:O,14,0)+VLOOKUP(D1073,'Species Codes'!B:P,15,0)*LN((E1073*2.54)))*(1/(VLOOKUP(D1073,'Species Codes'!B:Q,16,0)+VLOOKUP(D1073,'Species Codes'!B:R,17,0)*((E1073*2.54)^VLOOKUP(D1073,'Species Codes'!B:S,18,0)))),IF(OR(D1073="BM",D1073="MD",D1073="OA"),EXP(VLOOKUP(D1073,'Species Codes'!B:O,14,0)+VLOOKUP(D1073,'Species Codes'!B:P,15,0)*LN((E1073*2.54)))*(1-(1/(VLOOKUP(D1073,'Species Codes'!B:Q,16,0)+VLOOKUP(D1073,'Species Codes'!B:R,17,0)*((E1073*2.54)^VLOOKUP(D1073,'Species Codes'!B:S,18,0)))))/1000,IF(D1073="DF",EXP(VLOOKUP(D1073,'Species Codes'!B:O,14,0)+VLOOKUP(D1073,'Species Codes'!B:P,15,0)*LN((E1073*2.54))),VLOOKUP(D1073,'Species Codes'!B:O,14,0)+VLOOKUP(D1073,'Species Codes'!B:P,15,0)*(((E1073*2.54)/100)^2)*(I1073*0.3048)))))*0.0011023),0)</f>
        <v>#N/A</v>
      </c>
      <c r="AD1073" s="104" t="e">
        <f t="shared" si="490"/>
        <v>#N/A</v>
      </c>
      <c r="AE1073" s="104" t="e">
        <f t="shared" si="491"/>
        <v>#N/A</v>
      </c>
      <c r="AF1073" s="104" t="e">
        <f>IF(AND(VLOOKUP($D1073,Merchantability!$B:$C,2,0)="Yes",$E1073&gt;=VLOOKUP($D1073,Merchantability!$B:$D,3,0),$E1073&lt;=VLOOKUP($D1073,Merchantability!$B:$E,4,0)),AA1073,0)</f>
        <v>#N/A</v>
      </c>
      <c r="AG1073" s="104" t="e">
        <f>IF(AND(VLOOKUP($D1073,Merchantability!$B:$C,2,0)="Yes",$E1073&gt;=VLOOKUP($D1073,Merchantability!$B:$D,3,0),$E1073&lt;=VLOOKUP($D1073,Merchantability!$B:$E,4,0)),AB1073,0)</f>
        <v>#N/A</v>
      </c>
      <c r="AH1073" s="104" t="e">
        <f>IF(AND(VLOOKUP($D1073,Merchantability!$B:$C,2,0)="Yes",$E1073&gt;=VLOOKUP($D1073,Merchantability!$B:$D,3,0),$E1073&lt;=VLOOKUP($D1073,Merchantability!$B:$E,4,0)),AC1073,0)</f>
        <v>#N/A</v>
      </c>
      <c r="AI1073" s="104" t="e">
        <f t="shared" si="492"/>
        <v>#N/A</v>
      </c>
      <c r="AJ1073" s="104" t="e">
        <f t="shared" si="493"/>
        <v>#VALUE!</v>
      </c>
      <c r="AK1073" s="104" t="e">
        <f t="shared" si="494"/>
        <v>#N/A</v>
      </c>
      <c r="AL1073" s="104" t="e">
        <f t="shared" si="495"/>
        <v>#N/A</v>
      </c>
      <c r="AM1073" s="104" t="e">
        <f t="shared" si="496"/>
        <v>#N/A</v>
      </c>
      <c r="AN1073" s="104" t="e">
        <f t="shared" si="480"/>
        <v>#N/A</v>
      </c>
      <c r="AO1073" s="104" t="e">
        <f t="shared" si="481"/>
        <v>#N/A</v>
      </c>
      <c r="AP1073" s="104" t="e">
        <f t="shared" si="482"/>
        <v>#N/A</v>
      </c>
      <c r="AQ1073" s="104" t="e">
        <f t="shared" si="483"/>
        <v>#N/A</v>
      </c>
      <c r="AR1073" s="105" t="str">
        <f t="shared" si="475"/>
        <v/>
      </c>
      <c r="AS1073" s="105" t="str">
        <f t="shared" si="476"/>
        <v/>
      </c>
      <c r="AT1073" s="108" t="str">
        <f t="shared" si="477"/>
        <v/>
      </c>
      <c r="AU1073" s="108" t="str">
        <f t="shared" si="478"/>
        <v/>
      </c>
      <c r="AV1073" s="107" t="str">
        <f>IF(ISNUMBER(O1073),IF(VLOOKUP($A1073,Stand!C:J,8,FALSE)="Short",AT1073,AU1073),"")</f>
        <v/>
      </c>
      <c r="AW1073" s="109" t="str">
        <f t="shared" si="484"/>
        <v/>
      </c>
      <c r="AX1073" s="109" t="str">
        <f t="shared" si="485"/>
        <v/>
      </c>
      <c r="AY1073" s="112" t="str">
        <f>IF(ISNUMBER(O1073),IF(AND(VLOOKUP($D1073,Merchantability!$B:$C,2,0)="Yes",$E1073&gt;=VLOOKUP($D1073,Merchantability!$B:$D,3,0),$E1073&lt;=VLOOKUP($D1073,Merchantability!$B:$E,4,0)),(AV1073*O1073)*(1-$H1073/100),""),"")</f>
        <v/>
      </c>
      <c r="AZ1073" s="116"/>
      <c r="BA1073" s="116"/>
      <c r="BB1073" s="116"/>
      <c r="BE1073" s="62"/>
      <c r="BF1073" s="63"/>
    </row>
    <row r="1074" spans="1:58" ht="12.75" customHeight="1" x14ac:dyDescent="0.25">
      <c r="A1074" s="313"/>
      <c r="B1074" s="328"/>
      <c r="C1074" s="329"/>
      <c r="D1074" s="328"/>
      <c r="E1074" s="330"/>
      <c r="F1074" s="328"/>
      <c r="G1074" s="329"/>
      <c r="H1074" s="329"/>
      <c r="I1074" s="328"/>
      <c r="J1074" s="383"/>
      <c r="K1074" s="329"/>
      <c r="L1074" s="329"/>
      <c r="M1074" s="76"/>
      <c r="N1074" s="103" t="str">
        <f>IF(A1074="","",VLOOKUP(A1074,Stand!C:K,9,0))</f>
        <v/>
      </c>
      <c r="O1074" s="104" t="str">
        <f t="shared" si="470"/>
        <v/>
      </c>
      <c r="P1074" s="105" t="str">
        <f t="shared" si="471"/>
        <v/>
      </c>
      <c r="Q1074" s="105" t="str">
        <f t="shared" si="486"/>
        <v/>
      </c>
      <c r="R1074" s="103" t="str">
        <f t="shared" si="472"/>
        <v/>
      </c>
      <c r="S1074" s="103" t="str">
        <f t="shared" si="473"/>
        <v/>
      </c>
      <c r="T1074" s="106" t="str">
        <f t="shared" si="487"/>
        <v/>
      </c>
      <c r="U1074" s="106" t="str">
        <f t="shared" si="488"/>
        <v/>
      </c>
      <c r="V1074" s="106" t="str">
        <f t="shared" si="489"/>
        <v/>
      </c>
      <c r="W1074" s="105" t="str">
        <f t="shared" si="474"/>
        <v/>
      </c>
      <c r="X1074" s="104" t="str">
        <f t="shared" si="479"/>
        <v/>
      </c>
      <c r="Y1074" s="104" t="str">
        <f t="array" ref="Y1074">IFERROR(IF(ISNUMBER(O1074),IF(COUNT(IF(A1074=$A$2:$A$2427,IF(D1074=$D$2:$D$2427,IF($X$2:$X$2427&gt;0,1))))&gt;0,SUM(IF(A1074=$A$2:$A$2427,IF(D1074=$D$2:$D$2427,$X$2:$X$2427)))/COUNT(IF(A1074=$A$2:$A$2427,IF(D1074=$D$2:$D$2427,IF(ISNUMBER($X$2:$X$2427),1)))),0),""),0)</f>
        <v/>
      </c>
      <c r="Z1074" s="104" t="str">
        <f>IF(ISNUMBER(O1074),IF(I1074&gt;0,(10^(VLOOKUP(D1074,'Species Codes'!B:C,2,0)+VLOOKUP(D1074,'Species Codes'!B:D,3,0)*LOG(E1074)+VLOOKUP(D1074,'Species Codes'!B:E,4,0)*LOG(I1074))),0),"")</f>
        <v/>
      </c>
      <c r="AA1074" s="104" t="str">
        <f>IFERROR((VLOOKUP(D1074,'Species Codes'!B:G,6,0)*Z1074)/2000,"")</f>
        <v/>
      </c>
      <c r="AB1074" s="104" t="e">
        <f>IF(Z1074&gt;0,((IF(OR(D1074="DF",D1074="RA")=TRUE,EXP(VLOOKUP(D1074,'Species Codes'!B:I,8,0)+VLOOKUP(D1074,'Species Codes'!B:J,9,0)*(LN((E1074*2.54)))),IF(OR(D1074="PY",D1074="RC",D1074="WH",D1074="NF")=TRUE,VLOOKUP(D1074,'Species Codes'!B:I,8,0)+VLOOKUP(D1074,'Species Codes'!B:J,9,0)*((E1074*2.54)^2)*(I1074*0.3048),IF(OR(D1074="MD",D1074="BM",D1074="GA")=TRUE,((VLOOKUP(D1074,'Species Codes'!B:I,8,0)*(((((E1074*2.54)+VLOOKUP(D1074,'Species Codes'!B:J,9,0))/VLOOKUP(D1074,'Species Codes'!B:K,10,0))^VLOOKUP(D1074,'Species Codes'!B:L,11,0))*((I1074*0.3048)^VLOOKUP(D1074,'Species Codes'!B:M,12,0))))-(VLOOKUP(D1074,'Species Codes'!B:I,8,0)*((((E1074*2.54)^VLOOKUP(D1074,'Species Codes'!B:L,11,0))*((I1074*0.3048)^VLOOKUP(D1074,'Species Codes'!B:M,12,0))))))*35.3*VLOOKUP(D1074,'Species Codes'!B:G,6,0)/2.2046,VLOOKUP(D1074,'Species Codes'!B:I,8,0)+VLOOKUP(D1074,'Species Codes'!B:J,9,0)*(((E1074*2.54)/100)^2)*(I1074*0.3048)))))*0.0011023),0)</f>
        <v>#N/A</v>
      </c>
      <c r="AC1074" s="104" t="e">
        <f>IF(Z1074&gt;0,((IF(OR(D1074="RA",D1074="OA",D1074="OT",D1074="UN",D1074="PC"),EXP(VLOOKUP(D1074,'Species Codes'!B:O,14,0)+VLOOKUP(D1074,'Species Codes'!B:P,15,0)*LN((E1074*2.54)))-EXP(VLOOKUP(D1074,'Species Codes'!B:O,14,0)+VLOOKUP(D1074,'Species Codes'!B:P,15,0)*LN((E1074*2.54)))*(1/(VLOOKUP(D1074,'Species Codes'!B:Q,16,0)+VLOOKUP(D1074,'Species Codes'!B:R,17,0)*((E1074*2.54)^VLOOKUP(D1074,'Species Codes'!B:S,18,0)))),IF(OR(D1074="BM",D1074="MD",D1074="OA"),EXP(VLOOKUP(D1074,'Species Codes'!B:O,14,0)+VLOOKUP(D1074,'Species Codes'!B:P,15,0)*LN((E1074*2.54)))*(1-(1/(VLOOKUP(D1074,'Species Codes'!B:Q,16,0)+VLOOKUP(D1074,'Species Codes'!B:R,17,0)*((E1074*2.54)^VLOOKUP(D1074,'Species Codes'!B:S,18,0)))))/1000,IF(D1074="DF",EXP(VLOOKUP(D1074,'Species Codes'!B:O,14,0)+VLOOKUP(D1074,'Species Codes'!B:P,15,0)*LN((E1074*2.54))),VLOOKUP(D1074,'Species Codes'!B:O,14,0)+VLOOKUP(D1074,'Species Codes'!B:P,15,0)*(((E1074*2.54)/100)^2)*(I1074*0.3048)))))*0.0011023),0)</f>
        <v>#N/A</v>
      </c>
      <c r="AD1074" s="104" t="e">
        <f t="shared" si="490"/>
        <v>#N/A</v>
      </c>
      <c r="AE1074" s="104" t="e">
        <f t="shared" si="491"/>
        <v>#N/A</v>
      </c>
      <c r="AF1074" s="104" t="e">
        <f>IF(AND(VLOOKUP($D1074,Merchantability!$B:$C,2,0)="Yes",$E1074&gt;=VLOOKUP($D1074,Merchantability!$B:$D,3,0),$E1074&lt;=VLOOKUP($D1074,Merchantability!$B:$E,4,0)),AA1074,0)</f>
        <v>#N/A</v>
      </c>
      <c r="AG1074" s="104" t="e">
        <f>IF(AND(VLOOKUP($D1074,Merchantability!$B:$C,2,0)="Yes",$E1074&gt;=VLOOKUP($D1074,Merchantability!$B:$D,3,0),$E1074&lt;=VLOOKUP($D1074,Merchantability!$B:$E,4,0)),AB1074,0)</f>
        <v>#N/A</v>
      </c>
      <c r="AH1074" s="104" t="e">
        <f>IF(AND(VLOOKUP($D1074,Merchantability!$B:$C,2,0)="Yes",$E1074&gt;=VLOOKUP($D1074,Merchantability!$B:$D,3,0),$E1074&lt;=VLOOKUP($D1074,Merchantability!$B:$E,4,0)),AC1074,0)</f>
        <v>#N/A</v>
      </c>
      <c r="AI1074" s="104" t="e">
        <f t="shared" si="492"/>
        <v>#N/A</v>
      </c>
      <c r="AJ1074" s="104" t="e">
        <f t="shared" si="493"/>
        <v>#VALUE!</v>
      </c>
      <c r="AK1074" s="104" t="e">
        <f t="shared" si="494"/>
        <v>#N/A</v>
      </c>
      <c r="AL1074" s="104" t="e">
        <f t="shared" si="495"/>
        <v>#N/A</v>
      </c>
      <c r="AM1074" s="104" t="e">
        <f t="shared" si="496"/>
        <v>#N/A</v>
      </c>
      <c r="AN1074" s="104" t="e">
        <f t="shared" si="480"/>
        <v>#N/A</v>
      </c>
      <c r="AO1074" s="104" t="e">
        <f t="shared" si="481"/>
        <v>#N/A</v>
      </c>
      <c r="AP1074" s="104" t="e">
        <f t="shared" si="482"/>
        <v>#N/A</v>
      </c>
      <c r="AQ1074" s="104" t="e">
        <f t="shared" si="483"/>
        <v>#N/A</v>
      </c>
      <c r="AR1074" s="105" t="str">
        <f t="shared" si="475"/>
        <v/>
      </c>
      <c r="AS1074" s="105" t="str">
        <f t="shared" si="476"/>
        <v/>
      </c>
      <c r="AT1074" s="108" t="str">
        <f t="shared" si="477"/>
        <v/>
      </c>
      <c r="AU1074" s="108" t="str">
        <f t="shared" si="478"/>
        <v/>
      </c>
      <c r="AV1074" s="107" t="str">
        <f>IF(ISNUMBER(O1074),IF(VLOOKUP($A1074,Stand!C:J,8,FALSE)="Short",AT1074,AU1074),"")</f>
        <v/>
      </c>
      <c r="AW1074" s="109" t="str">
        <f t="shared" si="484"/>
        <v/>
      </c>
      <c r="AX1074" s="109" t="str">
        <f t="shared" si="485"/>
        <v/>
      </c>
      <c r="AY1074" s="112" t="str">
        <f>IF(ISNUMBER(O1074),IF(AND(VLOOKUP($D1074,Merchantability!$B:$C,2,0)="Yes",$E1074&gt;=VLOOKUP($D1074,Merchantability!$B:$D,3,0),$E1074&lt;=VLOOKUP($D1074,Merchantability!$B:$E,4,0)),(AV1074*O1074)*(1-$H1074/100),""),"")</f>
        <v/>
      </c>
      <c r="AZ1074" s="116"/>
      <c r="BA1074" s="116"/>
      <c r="BB1074" s="116"/>
      <c r="BE1074" s="62"/>
      <c r="BF1074" s="63"/>
    </row>
    <row r="1075" spans="1:58" ht="12.75" customHeight="1" x14ac:dyDescent="0.25">
      <c r="A1075" s="313"/>
      <c r="B1075" s="328"/>
      <c r="C1075" s="329"/>
      <c r="D1075" s="328"/>
      <c r="E1075" s="330"/>
      <c r="F1075" s="328"/>
      <c r="G1075" s="329"/>
      <c r="H1075" s="329"/>
      <c r="I1075" s="328"/>
      <c r="J1075" s="383"/>
      <c r="K1075" s="329"/>
      <c r="L1075" s="329"/>
      <c r="M1075" s="76"/>
      <c r="N1075" s="103" t="str">
        <f>IF(A1075="","",VLOOKUP(A1075,Stand!C:K,9,0))</f>
        <v/>
      </c>
      <c r="O1075" s="104" t="str">
        <f t="shared" si="470"/>
        <v/>
      </c>
      <c r="P1075" s="105" t="str">
        <f t="shared" si="471"/>
        <v/>
      </c>
      <c r="Q1075" s="105" t="str">
        <f t="shared" si="486"/>
        <v/>
      </c>
      <c r="R1075" s="103" t="str">
        <f t="shared" si="472"/>
        <v/>
      </c>
      <c r="S1075" s="103" t="str">
        <f t="shared" si="473"/>
        <v/>
      </c>
      <c r="T1075" s="106" t="str">
        <f t="shared" si="487"/>
        <v/>
      </c>
      <c r="U1075" s="106" t="str">
        <f t="shared" si="488"/>
        <v/>
      </c>
      <c r="V1075" s="106" t="str">
        <f t="shared" si="489"/>
        <v/>
      </c>
      <c r="W1075" s="105" t="str">
        <f t="shared" si="474"/>
        <v/>
      </c>
      <c r="X1075" s="104" t="str">
        <f t="shared" si="479"/>
        <v/>
      </c>
      <c r="Y1075" s="104" t="str">
        <f t="array" ref="Y1075">IFERROR(IF(ISNUMBER(O1075),IF(COUNT(IF(A1075=$A$2:$A$2427,IF(D1075=$D$2:$D$2427,IF($X$2:$X$2427&gt;0,1))))&gt;0,SUM(IF(A1075=$A$2:$A$2427,IF(D1075=$D$2:$D$2427,$X$2:$X$2427)))/COUNT(IF(A1075=$A$2:$A$2427,IF(D1075=$D$2:$D$2427,IF(ISNUMBER($X$2:$X$2427),1)))),0),""),0)</f>
        <v/>
      </c>
      <c r="Z1075" s="104" t="str">
        <f>IF(ISNUMBER(O1075),IF(I1075&gt;0,(10^(VLOOKUP(D1075,'Species Codes'!B:C,2,0)+VLOOKUP(D1075,'Species Codes'!B:D,3,0)*LOG(E1075)+VLOOKUP(D1075,'Species Codes'!B:E,4,0)*LOG(I1075))),0),"")</f>
        <v/>
      </c>
      <c r="AA1075" s="104" t="str">
        <f>IFERROR((VLOOKUP(D1075,'Species Codes'!B:G,6,0)*Z1075)/2000,"")</f>
        <v/>
      </c>
      <c r="AB1075" s="104" t="e">
        <f>IF(Z1075&gt;0,((IF(OR(D1075="DF",D1075="RA")=TRUE,EXP(VLOOKUP(D1075,'Species Codes'!B:I,8,0)+VLOOKUP(D1075,'Species Codes'!B:J,9,0)*(LN((E1075*2.54)))),IF(OR(D1075="PY",D1075="RC",D1075="WH",D1075="NF")=TRUE,VLOOKUP(D1075,'Species Codes'!B:I,8,0)+VLOOKUP(D1075,'Species Codes'!B:J,9,0)*((E1075*2.54)^2)*(I1075*0.3048),IF(OR(D1075="MD",D1075="BM",D1075="GA")=TRUE,((VLOOKUP(D1075,'Species Codes'!B:I,8,0)*(((((E1075*2.54)+VLOOKUP(D1075,'Species Codes'!B:J,9,0))/VLOOKUP(D1075,'Species Codes'!B:K,10,0))^VLOOKUP(D1075,'Species Codes'!B:L,11,0))*((I1075*0.3048)^VLOOKUP(D1075,'Species Codes'!B:M,12,0))))-(VLOOKUP(D1075,'Species Codes'!B:I,8,0)*((((E1075*2.54)^VLOOKUP(D1075,'Species Codes'!B:L,11,0))*((I1075*0.3048)^VLOOKUP(D1075,'Species Codes'!B:M,12,0))))))*35.3*VLOOKUP(D1075,'Species Codes'!B:G,6,0)/2.2046,VLOOKUP(D1075,'Species Codes'!B:I,8,0)+VLOOKUP(D1075,'Species Codes'!B:J,9,0)*(((E1075*2.54)/100)^2)*(I1075*0.3048)))))*0.0011023),0)</f>
        <v>#N/A</v>
      </c>
      <c r="AC1075" s="104" t="e">
        <f>IF(Z1075&gt;0,((IF(OR(D1075="RA",D1075="OA",D1075="OT",D1075="UN",D1075="PC"),EXP(VLOOKUP(D1075,'Species Codes'!B:O,14,0)+VLOOKUP(D1075,'Species Codes'!B:P,15,0)*LN((E1075*2.54)))-EXP(VLOOKUP(D1075,'Species Codes'!B:O,14,0)+VLOOKUP(D1075,'Species Codes'!B:P,15,0)*LN((E1075*2.54)))*(1/(VLOOKUP(D1075,'Species Codes'!B:Q,16,0)+VLOOKUP(D1075,'Species Codes'!B:R,17,0)*((E1075*2.54)^VLOOKUP(D1075,'Species Codes'!B:S,18,0)))),IF(OR(D1075="BM",D1075="MD",D1075="OA"),EXP(VLOOKUP(D1075,'Species Codes'!B:O,14,0)+VLOOKUP(D1075,'Species Codes'!B:P,15,0)*LN((E1075*2.54)))*(1-(1/(VLOOKUP(D1075,'Species Codes'!B:Q,16,0)+VLOOKUP(D1075,'Species Codes'!B:R,17,0)*((E1075*2.54)^VLOOKUP(D1075,'Species Codes'!B:S,18,0)))))/1000,IF(D1075="DF",EXP(VLOOKUP(D1075,'Species Codes'!B:O,14,0)+VLOOKUP(D1075,'Species Codes'!B:P,15,0)*LN((E1075*2.54))),VLOOKUP(D1075,'Species Codes'!B:O,14,0)+VLOOKUP(D1075,'Species Codes'!B:P,15,0)*(((E1075*2.54)/100)^2)*(I1075*0.3048)))))*0.0011023),0)</f>
        <v>#N/A</v>
      </c>
      <c r="AD1075" s="104" t="e">
        <f t="shared" si="490"/>
        <v>#N/A</v>
      </c>
      <c r="AE1075" s="104" t="e">
        <f t="shared" si="491"/>
        <v>#N/A</v>
      </c>
      <c r="AF1075" s="104" t="e">
        <f>IF(AND(VLOOKUP($D1075,Merchantability!$B:$C,2,0)="Yes",$E1075&gt;=VLOOKUP($D1075,Merchantability!$B:$D,3,0),$E1075&lt;=VLOOKUP($D1075,Merchantability!$B:$E,4,0)),AA1075,0)</f>
        <v>#N/A</v>
      </c>
      <c r="AG1075" s="104" t="e">
        <f>IF(AND(VLOOKUP($D1075,Merchantability!$B:$C,2,0)="Yes",$E1075&gt;=VLOOKUP($D1075,Merchantability!$B:$D,3,0),$E1075&lt;=VLOOKUP($D1075,Merchantability!$B:$E,4,0)),AB1075,0)</f>
        <v>#N/A</v>
      </c>
      <c r="AH1075" s="104" t="e">
        <f>IF(AND(VLOOKUP($D1075,Merchantability!$B:$C,2,0)="Yes",$E1075&gt;=VLOOKUP($D1075,Merchantability!$B:$D,3,0),$E1075&lt;=VLOOKUP($D1075,Merchantability!$B:$E,4,0)),AC1075,0)</f>
        <v>#N/A</v>
      </c>
      <c r="AI1075" s="104" t="e">
        <f t="shared" si="492"/>
        <v>#N/A</v>
      </c>
      <c r="AJ1075" s="104" t="e">
        <f t="shared" si="493"/>
        <v>#VALUE!</v>
      </c>
      <c r="AK1075" s="104" t="e">
        <f t="shared" si="494"/>
        <v>#N/A</v>
      </c>
      <c r="AL1075" s="104" t="e">
        <f t="shared" si="495"/>
        <v>#N/A</v>
      </c>
      <c r="AM1075" s="104" t="e">
        <f t="shared" si="496"/>
        <v>#N/A</v>
      </c>
      <c r="AN1075" s="104" t="e">
        <f t="shared" si="480"/>
        <v>#N/A</v>
      </c>
      <c r="AO1075" s="104" t="e">
        <f t="shared" si="481"/>
        <v>#N/A</v>
      </c>
      <c r="AP1075" s="104" t="e">
        <f t="shared" si="482"/>
        <v>#N/A</v>
      </c>
      <c r="AQ1075" s="104" t="e">
        <f t="shared" si="483"/>
        <v>#N/A</v>
      </c>
      <c r="AR1075" s="105" t="str">
        <f t="shared" si="475"/>
        <v/>
      </c>
      <c r="AS1075" s="105" t="str">
        <f t="shared" si="476"/>
        <v/>
      </c>
      <c r="AT1075" s="108" t="str">
        <f t="shared" si="477"/>
        <v/>
      </c>
      <c r="AU1075" s="108" t="str">
        <f t="shared" si="478"/>
        <v/>
      </c>
      <c r="AV1075" s="107" t="str">
        <f>IF(ISNUMBER(O1075),IF(VLOOKUP($A1075,Stand!C:J,8,FALSE)="Short",AT1075,AU1075),"")</f>
        <v/>
      </c>
      <c r="AW1075" s="109" t="str">
        <f t="shared" si="484"/>
        <v/>
      </c>
      <c r="AX1075" s="109" t="str">
        <f t="shared" si="485"/>
        <v/>
      </c>
      <c r="AY1075" s="112" t="str">
        <f>IF(ISNUMBER(O1075),IF(AND(VLOOKUP($D1075,Merchantability!$B:$C,2,0)="Yes",$E1075&gt;=VLOOKUP($D1075,Merchantability!$B:$D,3,0),$E1075&lt;=VLOOKUP($D1075,Merchantability!$B:$E,4,0)),(AV1075*O1075)*(1-$H1075/100),""),"")</f>
        <v/>
      </c>
      <c r="AZ1075" s="116"/>
      <c r="BA1075" s="116"/>
      <c r="BB1075" s="116"/>
      <c r="BE1075" s="62"/>
      <c r="BF1075" s="63"/>
    </row>
    <row r="1076" spans="1:58" ht="12.75" customHeight="1" x14ac:dyDescent="0.25">
      <c r="A1076" s="313"/>
      <c r="B1076" s="328"/>
      <c r="C1076" s="329"/>
      <c r="D1076" s="328"/>
      <c r="E1076" s="330"/>
      <c r="F1076" s="328"/>
      <c r="G1076" s="329"/>
      <c r="H1076" s="329"/>
      <c r="I1076" s="328"/>
      <c r="J1076" s="383"/>
      <c r="K1076" s="329"/>
      <c r="L1076" s="329"/>
      <c r="M1076" s="76"/>
      <c r="N1076" s="103" t="str">
        <f>IF(A1076="","",VLOOKUP(A1076,Stand!C:K,9,0))</f>
        <v/>
      </c>
      <c r="O1076" s="104" t="str">
        <f t="shared" si="470"/>
        <v/>
      </c>
      <c r="P1076" s="105" t="str">
        <f t="shared" si="471"/>
        <v/>
      </c>
      <c r="Q1076" s="105" t="str">
        <f t="shared" si="486"/>
        <v/>
      </c>
      <c r="R1076" s="103" t="str">
        <f t="shared" si="472"/>
        <v/>
      </c>
      <c r="S1076" s="103" t="str">
        <f t="shared" si="473"/>
        <v/>
      </c>
      <c r="T1076" s="106" t="str">
        <f t="shared" si="487"/>
        <v/>
      </c>
      <c r="U1076" s="106" t="str">
        <f t="shared" si="488"/>
        <v/>
      </c>
      <c r="V1076" s="106" t="str">
        <f t="shared" si="489"/>
        <v/>
      </c>
      <c r="W1076" s="105" t="str">
        <f t="shared" si="474"/>
        <v/>
      </c>
      <c r="X1076" s="104" t="str">
        <f t="shared" si="479"/>
        <v/>
      </c>
      <c r="Y1076" s="104" t="str">
        <f t="array" ref="Y1076">IFERROR(IF(ISNUMBER(O1076),IF(COUNT(IF(A1076=$A$2:$A$2427,IF(D1076=$D$2:$D$2427,IF($X$2:$X$2427&gt;0,1))))&gt;0,SUM(IF(A1076=$A$2:$A$2427,IF(D1076=$D$2:$D$2427,$X$2:$X$2427)))/COUNT(IF(A1076=$A$2:$A$2427,IF(D1076=$D$2:$D$2427,IF(ISNUMBER($X$2:$X$2427),1)))),0),""),0)</f>
        <v/>
      </c>
      <c r="Z1076" s="104" t="str">
        <f>IF(ISNUMBER(O1076),IF(I1076&gt;0,(10^(VLOOKUP(D1076,'Species Codes'!B:C,2,0)+VLOOKUP(D1076,'Species Codes'!B:D,3,0)*LOG(E1076)+VLOOKUP(D1076,'Species Codes'!B:E,4,0)*LOG(I1076))),0),"")</f>
        <v/>
      </c>
      <c r="AA1076" s="104" t="str">
        <f>IFERROR((VLOOKUP(D1076,'Species Codes'!B:G,6,0)*Z1076)/2000,"")</f>
        <v/>
      </c>
      <c r="AB1076" s="104" t="e">
        <f>IF(Z1076&gt;0,((IF(OR(D1076="DF",D1076="RA")=TRUE,EXP(VLOOKUP(D1076,'Species Codes'!B:I,8,0)+VLOOKUP(D1076,'Species Codes'!B:J,9,0)*(LN((E1076*2.54)))),IF(OR(D1076="PY",D1076="RC",D1076="WH",D1076="NF")=TRUE,VLOOKUP(D1076,'Species Codes'!B:I,8,0)+VLOOKUP(D1076,'Species Codes'!B:J,9,0)*((E1076*2.54)^2)*(I1076*0.3048),IF(OR(D1076="MD",D1076="BM",D1076="GA")=TRUE,((VLOOKUP(D1076,'Species Codes'!B:I,8,0)*(((((E1076*2.54)+VLOOKUP(D1076,'Species Codes'!B:J,9,0))/VLOOKUP(D1076,'Species Codes'!B:K,10,0))^VLOOKUP(D1076,'Species Codes'!B:L,11,0))*((I1076*0.3048)^VLOOKUP(D1076,'Species Codes'!B:M,12,0))))-(VLOOKUP(D1076,'Species Codes'!B:I,8,0)*((((E1076*2.54)^VLOOKUP(D1076,'Species Codes'!B:L,11,0))*((I1076*0.3048)^VLOOKUP(D1076,'Species Codes'!B:M,12,0))))))*35.3*VLOOKUP(D1076,'Species Codes'!B:G,6,0)/2.2046,VLOOKUP(D1076,'Species Codes'!B:I,8,0)+VLOOKUP(D1076,'Species Codes'!B:J,9,0)*(((E1076*2.54)/100)^2)*(I1076*0.3048)))))*0.0011023),0)</f>
        <v>#N/A</v>
      </c>
      <c r="AC1076" s="104" t="e">
        <f>IF(Z1076&gt;0,((IF(OR(D1076="RA",D1076="OA",D1076="OT",D1076="UN",D1076="PC"),EXP(VLOOKUP(D1076,'Species Codes'!B:O,14,0)+VLOOKUP(D1076,'Species Codes'!B:P,15,0)*LN((E1076*2.54)))-EXP(VLOOKUP(D1076,'Species Codes'!B:O,14,0)+VLOOKUP(D1076,'Species Codes'!B:P,15,0)*LN((E1076*2.54)))*(1/(VLOOKUP(D1076,'Species Codes'!B:Q,16,0)+VLOOKUP(D1076,'Species Codes'!B:R,17,0)*((E1076*2.54)^VLOOKUP(D1076,'Species Codes'!B:S,18,0)))),IF(OR(D1076="BM",D1076="MD",D1076="OA"),EXP(VLOOKUP(D1076,'Species Codes'!B:O,14,0)+VLOOKUP(D1076,'Species Codes'!B:P,15,0)*LN((E1076*2.54)))*(1-(1/(VLOOKUP(D1076,'Species Codes'!B:Q,16,0)+VLOOKUP(D1076,'Species Codes'!B:R,17,0)*((E1076*2.54)^VLOOKUP(D1076,'Species Codes'!B:S,18,0)))))/1000,IF(D1076="DF",EXP(VLOOKUP(D1076,'Species Codes'!B:O,14,0)+VLOOKUP(D1076,'Species Codes'!B:P,15,0)*LN((E1076*2.54))),VLOOKUP(D1076,'Species Codes'!B:O,14,0)+VLOOKUP(D1076,'Species Codes'!B:P,15,0)*(((E1076*2.54)/100)^2)*(I1076*0.3048)))))*0.0011023),0)</f>
        <v>#N/A</v>
      </c>
      <c r="AD1076" s="104" t="e">
        <f t="shared" si="490"/>
        <v>#N/A</v>
      </c>
      <c r="AE1076" s="104" t="e">
        <f t="shared" si="491"/>
        <v>#N/A</v>
      </c>
      <c r="AF1076" s="104" t="e">
        <f>IF(AND(VLOOKUP($D1076,Merchantability!$B:$C,2,0)="Yes",$E1076&gt;=VLOOKUP($D1076,Merchantability!$B:$D,3,0),$E1076&lt;=VLOOKUP($D1076,Merchantability!$B:$E,4,0)),AA1076,0)</f>
        <v>#N/A</v>
      </c>
      <c r="AG1076" s="104" t="e">
        <f>IF(AND(VLOOKUP($D1076,Merchantability!$B:$C,2,0)="Yes",$E1076&gt;=VLOOKUP($D1076,Merchantability!$B:$D,3,0),$E1076&lt;=VLOOKUP($D1076,Merchantability!$B:$E,4,0)),AB1076,0)</f>
        <v>#N/A</v>
      </c>
      <c r="AH1076" s="104" t="e">
        <f>IF(AND(VLOOKUP($D1076,Merchantability!$B:$C,2,0)="Yes",$E1076&gt;=VLOOKUP($D1076,Merchantability!$B:$D,3,0),$E1076&lt;=VLOOKUP($D1076,Merchantability!$B:$E,4,0)),AC1076,0)</f>
        <v>#N/A</v>
      </c>
      <c r="AI1076" s="104" t="e">
        <f t="shared" si="492"/>
        <v>#N/A</v>
      </c>
      <c r="AJ1076" s="104" t="e">
        <f t="shared" si="493"/>
        <v>#VALUE!</v>
      </c>
      <c r="AK1076" s="104" t="e">
        <f t="shared" si="494"/>
        <v>#N/A</v>
      </c>
      <c r="AL1076" s="104" t="e">
        <f t="shared" si="495"/>
        <v>#N/A</v>
      </c>
      <c r="AM1076" s="104" t="e">
        <f t="shared" si="496"/>
        <v>#N/A</v>
      </c>
      <c r="AN1076" s="104" t="e">
        <f t="shared" si="480"/>
        <v>#N/A</v>
      </c>
      <c r="AO1076" s="104" t="e">
        <f t="shared" si="481"/>
        <v>#N/A</v>
      </c>
      <c r="AP1076" s="104" t="e">
        <f t="shared" si="482"/>
        <v>#N/A</v>
      </c>
      <c r="AQ1076" s="104" t="e">
        <f t="shared" si="483"/>
        <v>#N/A</v>
      </c>
      <c r="AR1076" s="105" t="str">
        <f t="shared" si="475"/>
        <v/>
      </c>
      <c r="AS1076" s="105" t="str">
        <f t="shared" si="476"/>
        <v/>
      </c>
      <c r="AT1076" s="108" t="str">
        <f t="shared" si="477"/>
        <v/>
      </c>
      <c r="AU1076" s="108" t="str">
        <f t="shared" si="478"/>
        <v/>
      </c>
      <c r="AV1076" s="107" t="str">
        <f>IF(ISNUMBER(O1076),IF(VLOOKUP($A1076,Stand!C:J,8,FALSE)="Short",AT1076,AU1076),"")</f>
        <v/>
      </c>
      <c r="AW1076" s="109" t="str">
        <f t="shared" si="484"/>
        <v/>
      </c>
      <c r="AX1076" s="109" t="str">
        <f t="shared" si="485"/>
        <v/>
      </c>
      <c r="AY1076" s="112" t="str">
        <f>IF(ISNUMBER(O1076),IF(AND(VLOOKUP($D1076,Merchantability!$B:$C,2,0)="Yes",$E1076&gt;=VLOOKUP($D1076,Merchantability!$B:$D,3,0),$E1076&lt;=VLOOKUP($D1076,Merchantability!$B:$E,4,0)),(AV1076*O1076)*(1-$H1076/100),""),"")</f>
        <v/>
      </c>
      <c r="AZ1076" s="116"/>
      <c r="BA1076" s="116"/>
      <c r="BB1076" s="116"/>
      <c r="BE1076" s="62"/>
      <c r="BF1076" s="63"/>
    </row>
    <row r="1077" spans="1:58" ht="12.75" customHeight="1" x14ac:dyDescent="0.25">
      <c r="A1077" s="313"/>
      <c r="B1077" s="328"/>
      <c r="C1077" s="329"/>
      <c r="D1077" s="328"/>
      <c r="E1077" s="330"/>
      <c r="F1077" s="328"/>
      <c r="G1077" s="329"/>
      <c r="H1077" s="329"/>
      <c r="I1077" s="328"/>
      <c r="J1077" s="383"/>
      <c r="K1077" s="329"/>
      <c r="L1077" s="329"/>
      <c r="M1077" s="76"/>
      <c r="N1077" s="103" t="str">
        <f>IF(A1077="","",VLOOKUP(A1077,Stand!C:K,9,0))</f>
        <v/>
      </c>
      <c r="O1077" s="104" t="str">
        <f t="shared" si="470"/>
        <v/>
      </c>
      <c r="P1077" s="105" t="str">
        <f t="shared" si="471"/>
        <v/>
      </c>
      <c r="Q1077" s="105" t="str">
        <f t="shared" si="486"/>
        <v/>
      </c>
      <c r="R1077" s="103" t="str">
        <f t="shared" si="472"/>
        <v/>
      </c>
      <c r="S1077" s="103" t="str">
        <f t="shared" si="473"/>
        <v/>
      </c>
      <c r="T1077" s="106" t="str">
        <f t="shared" si="487"/>
        <v/>
      </c>
      <c r="U1077" s="106" t="str">
        <f t="shared" si="488"/>
        <v/>
      </c>
      <c r="V1077" s="106" t="str">
        <f t="shared" si="489"/>
        <v/>
      </c>
      <c r="W1077" s="105" t="str">
        <f t="shared" si="474"/>
        <v/>
      </c>
      <c r="X1077" s="104" t="str">
        <f t="shared" si="479"/>
        <v/>
      </c>
      <c r="Y1077" s="104" t="str">
        <f t="array" ref="Y1077">IFERROR(IF(ISNUMBER(O1077),IF(COUNT(IF(A1077=$A$2:$A$2427,IF(D1077=$D$2:$D$2427,IF($X$2:$X$2427&gt;0,1))))&gt;0,SUM(IF(A1077=$A$2:$A$2427,IF(D1077=$D$2:$D$2427,$X$2:$X$2427)))/COUNT(IF(A1077=$A$2:$A$2427,IF(D1077=$D$2:$D$2427,IF(ISNUMBER($X$2:$X$2427),1)))),0),""),0)</f>
        <v/>
      </c>
      <c r="Z1077" s="104" t="str">
        <f>IF(ISNUMBER(O1077),IF(I1077&gt;0,(10^(VLOOKUP(D1077,'Species Codes'!B:C,2,0)+VLOOKUP(D1077,'Species Codes'!B:D,3,0)*LOG(E1077)+VLOOKUP(D1077,'Species Codes'!B:E,4,0)*LOG(I1077))),0),"")</f>
        <v/>
      </c>
      <c r="AA1077" s="104" t="str">
        <f>IFERROR((VLOOKUP(D1077,'Species Codes'!B:G,6,0)*Z1077)/2000,"")</f>
        <v/>
      </c>
      <c r="AB1077" s="104" t="e">
        <f>IF(Z1077&gt;0,((IF(OR(D1077="DF",D1077="RA")=TRUE,EXP(VLOOKUP(D1077,'Species Codes'!B:I,8,0)+VLOOKUP(D1077,'Species Codes'!B:J,9,0)*(LN((E1077*2.54)))),IF(OR(D1077="PY",D1077="RC",D1077="WH",D1077="NF")=TRUE,VLOOKUP(D1077,'Species Codes'!B:I,8,0)+VLOOKUP(D1077,'Species Codes'!B:J,9,0)*((E1077*2.54)^2)*(I1077*0.3048),IF(OR(D1077="MD",D1077="BM",D1077="GA")=TRUE,((VLOOKUP(D1077,'Species Codes'!B:I,8,0)*(((((E1077*2.54)+VLOOKUP(D1077,'Species Codes'!B:J,9,0))/VLOOKUP(D1077,'Species Codes'!B:K,10,0))^VLOOKUP(D1077,'Species Codes'!B:L,11,0))*((I1077*0.3048)^VLOOKUP(D1077,'Species Codes'!B:M,12,0))))-(VLOOKUP(D1077,'Species Codes'!B:I,8,0)*((((E1077*2.54)^VLOOKUP(D1077,'Species Codes'!B:L,11,0))*((I1077*0.3048)^VLOOKUP(D1077,'Species Codes'!B:M,12,0))))))*35.3*VLOOKUP(D1077,'Species Codes'!B:G,6,0)/2.2046,VLOOKUP(D1077,'Species Codes'!B:I,8,0)+VLOOKUP(D1077,'Species Codes'!B:J,9,0)*(((E1077*2.54)/100)^2)*(I1077*0.3048)))))*0.0011023),0)</f>
        <v>#N/A</v>
      </c>
      <c r="AC1077" s="104" t="e">
        <f>IF(Z1077&gt;0,((IF(OR(D1077="RA",D1077="OA",D1077="OT",D1077="UN",D1077="PC"),EXP(VLOOKUP(D1077,'Species Codes'!B:O,14,0)+VLOOKUP(D1077,'Species Codes'!B:P,15,0)*LN((E1077*2.54)))-EXP(VLOOKUP(D1077,'Species Codes'!B:O,14,0)+VLOOKUP(D1077,'Species Codes'!B:P,15,0)*LN((E1077*2.54)))*(1/(VLOOKUP(D1077,'Species Codes'!B:Q,16,0)+VLOOKUP(D1077,'Species Codes'!B:R,17,0)*((E1077*2.54)^VLOOKUP(D1077,'Species Codes'!B:S,18,0)))),IF(OR(D1077="BM",D1077="MD",D1077="OA"),EXP(VLOOKUP(D1077,'Species Codes'!B:O,14,0)+VLOOKUP(D1077,'Species Codes'!B:P,15,0)*LN((E1077*2.54)))*(1-(1/(VLOOKUP(D1077,'Species Codes'!B:Q,16,0)+VLOOKUP(D1077,'Species Codes'!B:R,17,0)*((E1077*2.54)^VLOOKUP(D1077,'Species Codes'!B:S,18,0)))))/1000,IF(D1077="DF",EXP(VLOOKUP(D1077,'Species Codes'!B:O,14,0)+VLOOKUP(D1077,'Species Codes'!B:P,15,0)*LN((E1077*2.54))),VLOOKUP(D1077,'Species Codes'!B:O,14,0)+VLOOKUP(D1077,'Species Codes'!B:P,15,0)*(((E1077*2.54)/100)^2)*(I1077*0.3048)))))*0.0011023),0)</f>
        <v>#N/A</v>
      </c>
      <c r="AD1077" s="104" t="e">
        <f t="shared" si="490"/>
        <v>#N/A</v>
      </c>
      <c r="AE1077" s="104" t="e">
        <f t="shared" si="491"/>
        <v>#N/A</v>
      </c>
      <c r="AF1077" s="104" t="e">
        <f>IF(AND(VLOOKUP($D1077,Merchantability!$B:$C,2,0)="Yes",$E1077&gt;=VLOOKUP($D1077,Merchantability!$B:$D,3,0),$E1077&lt;=VLOOKUP($D1077,Merchantability!$B:$E,4,0)),AA1077,0)</f>
        <v>#N/A</v>
      </c>
      <c r="AG1077" s="104" t="e">
        <f>IF(AND(VLOOKUP($D1077,Merchantability!$B:$C,2,0)="Yes",$E1077&gt;=VLOOKUP($D1077,Merchantability!$B:$D,3,0),$E1077&lt;=VLOOKUP($D1077,Merchantability!$B:$E,4,0)),AB1077,0)</f>
        <v>#N/A</v>
      </c>
      <c r="AH1077" s="104" t="e">
        <f>IF(AND(VLOOKUP($D1077,Merchantability!$B:$C,2,0)="Yes",$E1077&gt;=VLOOKUP($D1077,Merchantability!$B:$D,3,0),$E1077&lt;=VLOOKUP($D1077,Merchantability!$B:$E,4,0)),AC1077,0)</f>
        <v>#N/A</v>
      </c>
      <c r="AI1077" s="104" t="e">
        <f t="shared" si="492"/>
        <v>#N/A</v>
      </c>
      <c r="AJ1077" s="104" t="e">
        <f t="shared" si="493"/>
        <v>#VALUE!</v>
      </c>
      <c r="AK1077" s="104" t="e">
        <f t="shared" si="494"/>
        <v>#N/A</v>
      </c>
      <c r="AL1077" s="104" t="e">
        <f t="shared" si="495"/>
        <v>#N/A</v>
      </c>
      <c r="AM1077" s="104" t="e">
        <f t="shared" si="496"/>
        <v>#N/A</v>
      </c>
      <c r="AN1077" s="104" t="e">
        <f t="shared" si="480"/>
        <v>#N/A</v>
      </c>
      <c r="AO1077" s="104" t="e">
        <f t="shared" si="481"/>
        <v>#N/A</v>
      </c>
      <c r="AP1077" s="104" t="e">
        <f t="shared" si="482"/>
        <v>#N/A</v>
      </c>
      <c r="AQ1077" s="104" t="e">
        <f t="shared" si="483"/>
        <v>#N/A</v>
      </c>
      <c r="AR1077" s="105" t="str">
        <f t="shared" si="475"/>
        <v/>
      </c>
      <c r="AS1077" s="105" t="str">
        <f t="shared" si="476"/>
        <v/>
      </c>
      <c r="AT1077" s="108" t="str">
        <f t="shared" si="477"/>
        <v/>
      </c>
      <c r="AU1077" s="108" t="str">
        <f t="shared" si="478"/>
        <v/>
      </c>
      <c r="AV1077" s="107" t="str">
        <f>IF(ISNUMBER(O1077),IF(VLOOKUP($A1077,Stand!C:J,8,FALSE)="Short",AT1077,AU1077),"")</f>
        <v/>
      </c>
      <c r="AW1077" s="109" t="str">
        <f t="shared" si="484"/>
        <v/>
      </c>
      <c r="AX1077" s="109" t="str">
        <f t="shared" si="485"/>
        <v/>
      </c>
      <c r="AY1077" s="112" t="str">
        <f>IF(ISNUMBER(O1077),IF(AND(VLOOKUP($D1077,Merchantability!$B:$C,2,0)="Yes",$E1077&gt;=VLOOKUP($D1077,Merchantability!$B:$D,3,0),$E1077&lt;=VLOOKUP($D1077,Merchantability!$B:$E,4,0)),(AV1077*O1077)*(1-$H1077/100),""),"")</f>
        <v/>
      </c>
      <c r="AZ1077" s="116"/>
      <c r="BA1077" s="116"/>
      <c r="BB1077" s="116"/>
      <c r="BE1077" s="62"/>
      <c r="BF1077" s="63"/>
    </row>
    <row r="1078" spans="1:58" ht="12.75" customHeight="1" x14ac:dyDescent="0.25">
      <c r="A1078" s="313"/>
      <c r="B1078" s="328"/>
      <c r="C1078" s="329"/>
      <c r="D1078" s="328"/>
      <c r="E1078" s="330"/>
      <c r="F1078" s="328"/>
      <c r="G1078" s="329"/>
      <c r="H1078" s="329"/>
      <c r="I1078" s="328"/>
      <c r="J1078" s="383"/>
      <c r="K1078" s="329"/>
      <c r="L1078" s="329"/>
      <c r="M1078" s="76"/>
      <c r="N1078" s="103" t="str">
        <f>IF(A1078="","",VLOOKUP(A1078,Stand!C:K,9,0))</f>
        <v/>
      </c>
      <c r="O1078" s="104" t="str">
        <f t="shared" si="470"/>
        <v/>
      </c>
      <c r="P1078" s="105" t="str">
        <f t="shared" si="471"/>
        <v/>
      </c>
      <c r="Q1078" s="105" t="str">
        <f t="shared" si="486"/>
        <v/>
      </c>
      <c r="R1078" s="103" t="str">
        <f t="shared" si="472"/>
        <v/>
      </c>
      <c r="S1078" s="103" t="str">
        <f t="shared" si="473"/>
        <v/>
      </c>
      <c r="T1078" s="106" t="str">
        <f t="shared" si="487"/>
        <v/>
      </c>
      <c r="U1078" s="106" t="str">
        <f t="shared" si="488"/>
        <v/>
      </c>
      <c r="V1078" s="106" t="str">
        <f t="shared" si="489"/>
        <v/>
      </c>
      <c r="W1078" s="105" t="str">
        <f t="shared" si="474"/>
        <v/>
      </c>
      <c r="X1078" s="104" t="str">
        <f t="shared" si="479"/>
        <v/>
      </c>
      <c r="Y1078" s="104" t="str">
        <f t="array" ref="Y1078">IFERROR(IF(ISNUMBER(O1078),IF(COUNT(IF(A1078=$A$2:$A$2427,IF(D1078=$D$2:$D$2427,IF($X$2:$X$2427&gt;0,1))))&gt;0,SUM(IF(A1078=$A$2:$A$2427,IF(D1078=$D$2:$D$2427,$X$2:$X$2427)))/COUNT(IF(A1078=$A$2:$A$2427,IF(D1078=$D$2:$D$2427,IF(ISNUMBER($X$2:$X$2427),1)))),0),""),0)</f>
        <v/>
      </c>
      <c r="Z1078" s="104" t="str">
        <f>IF(ISNUMBER(O1078),IF(I1078&gt;0,(10^(VLOOKUP(D1078,'Species Codes'!B:C,2,0)+VLOOKUP(D1078,'Species Codes'!B:D,3,0)*LOG(E1078)+VLOOKUP(D1078,'Species Codes'!B:E,4,0)*LOG(I1078))),0),"")</f>
        <v/>
      </c>
      <c r="AA1078" s="104" t="str">
        <f>IFERROR((VLOOKUP(D1078,'Species Codes'!B:G,6,0)*Z1078)/2000,"")</f>
        <v/>
      </c>
      <c r="AB1078" s="104" t="e">
        <f>IF(Z1078&gt;0,((IF(OR(D1078="DF",D1078="RA")=TRUE,EXP(VLOOKUP(D1078,'Species Codes'!B:I,8,0)+VLOOKUP(D1078,'Species Codes'!B:J,9,0)*(LN((E1078*2.54)))),IF(OR(D1078="PY",D1078="RC",D1078="WH",D1078="NF")=TRUE,VLOOKUP(D1078,'Species Codes'!B:I,8,0)+VLOOKUP(D1078,'Species Codes'!B:J,9,0)*((E1078*2.54)^2)*(I1078*0.3048),IF(OR(D1078="MD",D1078="BM",D1078="GA")=TRUE,((VLOOKUP(D1078,'Species Codes'!B:I,8,0)*(((((E1078*2.54)+VLOOKUP(D1078,'Species Codes'!B:J,9,0))/VLOOKUP(D1078,'Species Codes'!B:K,10,0))^VLOOKUP(D1078,'Species Codes'!B:L,11,0))*((I1078*0.3048)^VLOOKUP(D1078,'Species Codes'!B:M,12,0))))-(VLOOKUP(D1078,'Species Codes'!B:I,8,0)*((((E1078*2.54)^VLOOKUP(D1078,'Species Codes'!B:L,11,0))*((I1078*0.3048)^VLOOKUP(D1078,'Species Codes'!B:M,12,0))))))*35.3*VLOOKUP(D1078,'Species Codes'!B:G,6,0)/2.2046,VLOOKUP(D1078,'Species Codes'!B:I,8,0)+VLOOKUP(D1078,'Species Codes'!B:J,9,0)*(((E1078*2.54)/100)^2)*(I1078*0.3048)))))*0.0011023),0)</f>
        <v>#N/A</v>
      </c>
      <c r="AC1078" s="104" t="e">
        <f>IF(Z1078&gt;0,((IF(OR(D1078="RA",D1078="OA",D1078="OT",D1078="UN",D1078="PC"),EXP(VLOOKUP(D1078,'Species Codes'!B:O,14,0)+VLOOKUP(D1078,'Species Codes'!B:P,15,0)*LN((E1078*2.54)))-EXP(VLOOKUP(D1078,'Species Codes'!B:O,14,0)+VLOOKUP(D1078,'Species Codes'!B:P,15,0)*LN((E1078*2.54)))*(1/(VLOOKUP(D1078,'Species Codes'!B:Q,16,0)+VLOOKUP(D1078,'Species Codes'!B:R,17,0)*((E1078*2.54)^VLOOKUP(D1078,'Species Codes'!B:S,18,0)))),IF(OR(D1078="BM",D1078="MD",D1078="OA"),EXP(VLOOKUP(D1078,'Species Codes'!B:O,14,0)+VLOOKUP(D1078,'Species Codes'!B:P,15,0)*LN((E1078*2.54)))*(1-(1/(VLOOKUP(D1078,'Species Codes'!B:Q,16,0)+VLOOKUP(D1078,'Species Codes'!B:R,17,0)*((E1078*2.54)^VLOOKUP(D1078,'Species Codes'!B:S,18,0)))))/1000,IF(D1078="DF",EXP(VLOOKUP(D1078,'Species Codes'!B:O,14,0)+VLOOKUP(D1078,'Species Codes'!B:P,15,0)*LN((E1078*2.54))),VLOOKUP(D1078,'Species Codes'!B:O,14,0)+VLOOKUP(D1078,'Species Codes'!B:P,15,0)*(((E1078*2.54)/100)^2)*(I1078*0.3048)))))*0.0011023),0)</f>
        <v>#N/A</v>
      </c>
      <c r="AD1078" s="104" t="e">
        <f t="shared" si="490"/>
        <v>#N/A</v>
      </c>
      <c r="AE1078" s="104" t="e">
        <f t="shared" si="491"/>
        <v>#N/A</v>
      </c>
      <c r="AF1078" s="104" t="e">
        <f>IF(AND(VLOOKUP($D1078,Merchantability!$B:$C,2,0)="Yes",$E1078&gt;=VLOOKUP($D1078,Merchantability!$B:$D,3,0),$E1078&lt;=VLOOKUP($D1078,Merchantability!$B:$E,4,0)),AA1078,0)</f>
        <v>#N/A</v>
      </c>
      <c r="AG1078" s="104" t="e">
        <f>IF(AND(VLOOKUP($D1078,Merchantability!$B:$C,2,0)="Yes",$E1078&gt;=VLOOKUP($D1078,Merchantability!$B:$D,3,0),$E1078&lt;=VLOOKUP($D1078,Merchantability!$B:$E,4,0)),AB1078,0)</f>
        <v>#N/A</v>
      </c>
      <c r="AH1078" s="104" t="e">
        <f>IF(AND(VLOOKUP($D1078,Merchantability!$B:$C,2,0)="Yes",$E1078&gt;=VLOOKUP($D1078,Merchantability!$B:$D,3,0),$E1078&lt;=VLOOKUP($D1078,Merchantability!$B:$E,4,0)),AC1078,0)</f>
        <v>#N/A</v>
      </c>
      <c r="AI1078" s="104" t="e">
        <f t="shared" si="492"/>
        <v>#N/A</v>
      </c>
      <c r="AJ1078" s="104" t="e">
        <f t="shared" si="493"/>
        <v>#VALUE!</v>
      </c>
      <c r="AK1078" s="104" t="e">
        <f t="shared" si="494"/>
        <v>#N/A</v>
      </c>
      <c r="AL1078" s="104" t="e">
        <f t="shared" si="495"/>
        <v>#N/A</v>
      </c>
      <c r="AM1078" s="104" t="e">
        <f t="shared" si="496"/>
        <v>#N/A</v>
      </c>
      <c r="AN1078" s="104" t="e">
        <f t="shared" si="480"/>
        <v>#N/A</v>
      </c>
      <c r="AO1078" s="104" t="e">
        <f t="shared" si="481"/>
        <v>#N/A</v>
      </c>
      <c r="AP1078" s="104" t="e">
        <f t="shared" si="482"/>
        <v>#N/A</v>
      </c>
      <c r="AQ1078" s="104" t="e">
        <f t="shared" si="483"/>
        <v>#N/A</v>
      </c>
      <c r="AR1078" s="105" t="str">
        <f t="shared" si="475"/>
        <v/>
      </c>
      <c r="AS1078" s="105" t="str">
        <f t="shared" si="476"/>
        <v/>
      </c>
      <c r="AT1078" s="108" t="str">
        <f t="shared" si="477"/>
        <v/>
      </c>
      <c r="AU1078" s="108" t="str">
        <f t="shared" si="478"/>
        <v/>
      </c>
      <c r="AV1078" s="107" t="str">
        <f>IF(ISNUMBER(O1078),IF(VLOOKUP($A1078,Stand!C:J,8,FALSE)="Short",AT1078,AU1078),"")</f>
        <v/>
      </c>
      <c r="AW1078" s="109" t="str">
        <f t="shared" si="484"/>
        <v/>
      </c>
      <c r="AX1078" s="109" t="str">
        <f t="shared" si="485"/>
        <v/>
      </c>
      <c r="AY1078" s="112" t="str">
        <f>IF(ISNUMBER(O1078),IF(AND(VLOOKUP($D1078,Merchantability!$B:$C,2,0)="Yes",$E1078&gt;=VLOOKUP($D1078,Merchantability!$B:$D,3,0),$E1078&lt;=VLOOKUP($D1078,Merchantability!$B:$E,4,0)),(AV1078*O1078)*(1-$H1078/100),""),"")</f>
        <v/>
      </c>
      <c r="AZ1078" s="116"/>
      <c r="BA1078" s="116"/>
      <c r="BB1078" s="116"/>
      <c r="BE1078" s="62"/>
      <c r="BF1078" s="63"/>
    </row>
    <row r="1079" spans="1:58" ht="12.75" customHeight="1" x14ac:dyDescent="0.25">
      <c r="A1079" s="313"/>
      <c r="B1079" s="328"/>
      <c r="C1079" s="329"/>
      <c r="D1079" s="328"/>
      <c r="E1079" s="330"/>
      <c r="F1079" s="328"/>
      <c r="G1079" s="329"/>
      <c r="H1079" s="329"/>
      <c r="I1079" s="328"/>
      <c r="J1079" s="383"/>
      <c r="K1079" s="329"/>
      <c r="L1079" s="329"/>
      <c r="M1079" s="76"/>
      <c r="N1079" s="103" t="str">
        <f>IF(A1079="","",VLOOKUP(A1079,Stand!C:K,9,0))</f>
        <v/>
      </c>
      <c r="O1079" s="104" t="str">
        <f t="shared" si="470"/>
        <v/>
      </c>
      <c r="P1079" s="105" t="str">
        <f t="shared" si="471"/>
        <v/>
      </c>
      <c r="Q1079" s="105" t="str">
        <f t="shared" si="486"/>
        <v/>
      </c>
      <c r="R1079" s="103" t="str">
        <f t="shared" si="472"/>
        <v/>
      </c>
      <c r="S1079" s="103" t="str">
        <f t="shared" si="473"/>
        <v/>
      </c>
      <c r="T1079" s="106" t="str">
        <f t="shared" si="487"/>
        <v/>
      </c>
      <c r="U1079" s="106" t="str">
        <f t="shared" si="488"/>
        <v/>
      </c>
      <c r="V1079" s="106" t="str">
        <f t="shared" si="489"/>
        <v/>
      </c>
      <c r="W1079" s="105" t="str">
        <f t="shared" si="474"/>
        <v/>
      </c>
      <c r="X1079" s="104" t="str">
        <f t="shared" si="479"/>
        <v/>
      </c>
      <c r="Y1079" s="104" t="str">
        <f t="array" ref="Y1079">IFERROR(IF(ISNUMBER(O1079),IF(COUNT(IF(A1079=$A$2:$A$2427,IF(D1079=$D$2:$D$2427,IF($X$2:$X$2427&gt;0,1))))&gt;0,SUM(IF(A1079=$A$2:$A$2427,IF(D1079=$D$2:$D$2427,$X$2:$X$2427)))/COUNT(IF(A1079=$A$2:$A$2427,IF(D1079=$D$2:$D$2427,IF(ISNUMBER($X$2:$X$2427),1)))),0),""),0)</f>
        <v/>
      </c>
      <c r="Z1079" s="104" t="str">
        <f>IF(ISNUMBER(O1079),IF(I1079&gt;0,(10^(VLOOKUP(D1079,'Species Codes'!B:C,2,0)+VLOOKUP(D1079,'Species Codes'!B:D,3,0)*LOG(E1079)+VLOOKUP(D1079,'Species Codes'!B:E,4,0)*LOG(I1079))),0),"")</f>
        <v/>
      </c>
      <c r="AA1079" s="104" t="str">
        <f>IFERROR((VLOOKUP(D1079,'Species Codes'!B:G,6,0)*Z1079)/2000,"")</f>
        <v/>
      </c>
      <c r="AB1079" s="104" t="e">
        <f>IF(Z1079&gt;0,((IF(OR(D1079="DF",D1079="RA")=TRUE,EXP(VLOOKUP(D1079,'Species Codes'!B:I,8,0)+VLOOKUP(D1079,'Species Codes'!B:J,9,0)*(LN((E1079*2.54)))),IF(OR(D1079="PY",D1079="RC",D1079="WH",D1079="NF")=TRUE,VLOOKUP(D1079,'Species Codes'!B:I,8,0)+VLOOKUP(D1079,'Species Codes'!B:J,9,0)*((E1079*2.54)^2)*(I1079*0.3048),IF(OR(D1079="MD",D1079="BM",D1079="GA")=TRUE,((VLOOKUP(D1079,'Species Codes'!B:I,8,0)*(((((E1079*2.54)+VLOOKUP(D1079,'Species Codes'!B:J,9,0))/VLOOKUP(D1079,'Species Codes'!B:K,10,0))^VLOOKUP(D1079,'Species Codes'!B:L,11,0))*((I1079*0.3048)^VLOOKUP(D1079,'Species Codes'!B:M,12,0))))-(VLOOKUP(D1079,'Species Codes'!B:I,8,0)*((((E1079*2.54)^VLOOKUP(D1079,'Species Codes'!B:L,11,0))*((I1079*0.3048)^VLOOKUP(D1079,'Species Codes'!B:M,12,0))))))*35.3*VLOOKUP(D1079,'Species Codes'!B:G,6,0)/2.2046,VLOOKUP(D1079,'Species Codes'!B:I,8,0)+VLOOKUP(D1079,'Species Codes'!B:J,9,0)*(((E1079*2.54)/100)^2)*(I1079*0.3048)))))*0.0011023),0)</f>
        <v>#N/A</v>
      </c>
      <c r="AC1079" s="104" t="e">
        <f>IF(Z1079&gt;0,((IF(OR(D1079="RA",D1079="OA",D1079="OT",D1079="UN",D1079="PC"),EXP(VLOOKUP(D1079,'Species Codes'!B:O,14,0)+VLOOKUP(D1079,'Species Codes'!B:P,15,0)*LN((E1079*2.54)))-EXP(VLOOKUP(D1079,'Species Codes'!B:O,14,0)+VLOOKUP(D1079,'Species Codes'!B:P,15,0)*LN((E1079*2.54)))*(1/(VLOOKUP(D1079,'Species Codes'!B:Q,16,0)+VLOOKUP(D1079,'Species Codes'!B:R,17,0)*((E1079*2.54)^VLOOKUP(D1079,'Species Codes'!B:S,18,0)))),IF(OR(D1079="BM",D1079="MD",D1079="OA"),EXP(VLOOKUP(D1079,'Species Codes'!B:O,14,0)+VLOOKUP(D1079,'Species Codes'!B:P,15,0)*LN((E1079*2.54)))*(1-(1/(VLOOKUP(D1079,'Species Codes'!B:Q,16,0)+VLOOKUP(D1079,'Species Codes'!B:R,17,0)*((E1079*2.54)^VLOOKUP(D1079,'Species Codes'!B:S,18,0)))))/1000,IF(D1079="DF",EXP(VLOOKUP(D1079,'Species Codes'!B:O,14,0)+VLOOKUP(D1079,'Species Codes'!B:P,15,0)*LN((E1079*2.54))),VLOOKUP(D1079,'Species Codes'!B:O,14,0)+VLOOKUP(D1079,'Species Codes'!B:P,15,0)*(((E1079*2.54)/100)^2)*(I1079*0.3048)))))*0.0011023),0)</f>
        <v>#N/A</v>
      </c>
      <c r="AD1079" s="104" t="e">
        <f t="shared" si="490"/>
        <v>#N/A</v>
      </c>
      <c r="AE1079" s="104" t="e">
        <f t="shared" si="491"/>
        <v>#N/A</v>
      </c>
      <c r="AF1079" s="104" t="e">
        <f>IF(AND(VLOOKUP($D1079,Merchantability!$B:$C,2,0)="Yes",$E1079&gt;=VLOOKUP($D1079,Merchantability!$B:$D,3,0),$E1079&lt;=VLOOKUP($D1079,Merchantability!$B:$E,4,0)),AA1079,0)</f>
        <v>#N/A</v>
      </c>
      <c r="AG1079" s="104" t="e">
        <f>IF(AND(VLOOKUP($D1079,Merchantability!$B:$C,2,0)="Yes",$E1079&gt;=VLOOKUP($D1079,Merchantability!$B:$D,3,0),$E1079&lt;=VLOOKUP($D1079,Merchantability!$B:$E,4,0)),AB1079,0)</f>
        <v>#N/A</v>
      </c>
      <c r="AH1079" s="104" t="e">
        <f>IF(AND(VLOOKUP($D1079,Merchantability!$B:$C,2,0)="Yes",$E1079&gt;=VLOOKUP($D1079,Merchantability!$B:$D,3,0),$E1079&lt;=VLOOKUP($D1079,Merchantability!$B:$E,4,0)),AC1079,0)</f>
        <v>#N/A</v>
      </c>
      <c r="AI1079" s="104" t="e">
        <f t="shared" si="492"/>
        <v>#N/A</v>
      </c>
      <c r="AJ1079" s="104" t="e">
        <f t="shared" si="493"/>
        <v>#VALUE!</v>
      </c>
      <c r="AK1079" s="104" t="e">
        <f t="shared" si="494"/>
        <v>#N/A</v>
      </c>
      <c r="AL1079" s="104" t="e">
        <f t="shared" si="495"/>
        <v>#N/A</v>
      </c>
      <c r="AM1079" s="104" t="e">
        <f t="shared" si="496"/>
        <v>#N/A</v>
      </c>
      <c r="AN1079" s="104" t="e">
        <f t="shared" si="480"/>
        <v>#N/A</v>
      </c>
      <c r="AO1079" s="104" t="e">
        <f t="shared" si="481"/>
        <v>#N/A</v>
      </c>
      <c r="AP1079" s="104" t="e">
        <f t="shared" si="482"/>
        <v>#N/A</v>
      </c>
      <c r="AQ1079" s="104" t="e">
        <f t="shared" si="483"/>
        <v>#N/A</v>
      </c>
      <c r="AR1079" s="105" t="str">
        <f t="shared" si="475"/>
        <v/>
      </c>
      <c r="AS1079" s="105" t="str">
        <f t="shared" si="476"/>
        <v/>
      </c>
      <c r="AT1079" s="108" t="str">
        <f t="shared" si="477"/>
        <v/>
      </c>
      <c r="AU1079" s="108" t="str">
        <f t="shared" si="478"/>
        <v/>
      </c>
      <c r="AV1079" s="107" t="str">
        <f>IF(ISNUMBER(O1079),IF(VLOOKUP($A1079,Stand!C:J,8,FALSE)="Short",AT1079,AU1079),"")</f>
        <v/>
      </c>
      <c r="AW1079" s="109" t="str">
        <f t="shared" si="484"/>
        <v/>
      </c>
      <c r="AX1079" s="109" t="str">
        <f t="shared" si="485"/>
        <v/>
      </c>
      <c r="AY1079" s="112" t="str">
        <f>IF(ISNUMBER(O1079),IF(AND(VLOOKUP($D1079,Merchantability!$B:$C,2,0)="Yes",$E1079&gt;=VLOOKUP($D1079,Merchantability!$B:$D,3,0),$E1079&lt;=VLOOKUP($D1079,Merchantability!$B:$E,4,0)),(AV1079*O1079)*(1-$H1079/100),""),"")</f>
        <v/>
      </c>
      <c r="AZ1079" s="116"/>
      <c r="BA1079" s="116"/>
      <c r="BB1079" s="116"/>
      <c r="BE1079" s="62"/>
      <c r="BF1079" s="63"/>
    </row>
    <row r="1080" spans="1:58" ht="12.75" customHeight="1" x14ac:dyDescent="0.25">
      <c r="A1080" s="313"/>
      <c r="B1080" s="328"/>
      <c r="C1080" s="329"/>
      <c r="D1080" s="328"/>
      <c r="E1080" s="330"/>
      <c r="F1080" s="328"/>
      <c r="G1080" s="329"/>
      <c r="H1080" s="329"/>
      <c r="I1080" s="328"/>
      <c r="J1080" s="383"/>
      <c r="K1080" s="329"/>
      <c r="L1080" s="329"/>
      <c r="M1080" s="76"/>
      <c r="N1080" s="103" t="str">
        <f>IF(A1080="","",VLOOKUP(A1080,Stand!C:K,9,0))</f>
        <v/>
      </c>
      <c r="O1080" s="104" t="str">
        <f t="shared" si="470"/>
        <v/>
      </c>
      <c r="P1080" s="105" t="str">
        <f t="shared" si="471"/>
        <v/>
      </c>
      <c r="Q1080" s="105" t="str">
        <f t="shared" si="486"/>
        <v/>
      </c>
      <c r="R1080" s="103" t="str">
        <f t="shared" si="472"/>
        <v/>
      </c>
      <c r="S1080" s="103" t="str">
        <f t="shared" si="473"/>
        <v/>
      </c>
      <c r="T1080" s="106" t="str">
        <f t="shared" si="487"/>
        <v/>
      </c>
      <c r="U1080" s="106" t="str">
        <f t="shared" si="488"/>
        <v/>
      </c>
      <c r="V1080" s="106" t="str">
        <f t="shared" si="489"/>
        <v/>
      </c>
      <c r="W1080" s="105" t="str">
        <f t="shared" si="474"/>
        <v/>
      </c>
      <c r="X1080" s="104" t="str">
        <f t="shared" si="479"/>
        <v/>
      </c>
      <c r="Y1080" s="104" t="str">
        <f t="array" ref="Y1080">IFERROR(IF(ISNUMBER(O1080),IF(COUNT(IF(A1080=$A$2:$A$2427,IF(D1080=$D$2:$D$2427,IF($X$2:$X$2427&gt;0,1))))&gt;0,SUM(IF(A1080=$A$2:$A$2427,IF(D1080=$D$2:$D$2427,$X$2:$X$2427)))/COUNT(IF(A1080=$A$2:$A$2427,IF(D1080=$D$2:$D$2427,IF(ISNUMBER($X$2:$X$2427),1)))),0),""),0)</f>
        <v/>
      </c>
      <c r="Z1080" s="104" t="str">
        <f>IF(ISNUMBER(O1080),IF(I1080&gt;0,(10^(VLOOKUP(D1080,'Species Codes'!B:C,2,0)+VLOOKUP(D1080,'Species Codes'!B:D,3,0)*LOG(E1080)+VLOOKUP(D1080,'Species Codes'!B:E,4,0)*LOG(I1080))),0),"")</f>
        <v/>
      </c>
      <c r="AA1080" s="104" t="str">
        <f>IFERROR((VLOOKUP(D1080,'Species Codes'!B:G,6,0)*Z1080)/2000,"")</f>
        <v/>
      </c>
      <c r="AB1080" s="104" t="e">
        <f>IF(Z1080&gt;0,((IF(OR(D1080="DF",D1080="RA")=TRUE,EXP(VLOOKUP(D1080,'Species Codes'!B:I,8,0)+VLOOKUP(D1080,'Species Codes'!B:J,9,0)*(LN((E1080*2.54)))),IF(OR(D1080="PY",D1080="RC",D1080="WH",D1080="NF")=TRUE,VLOOKUP(D1080,'Species Codes'!B:I,8,0)+VLOOKUP(D1080,'Species Codes'!B:J,9,0)*((E1080*2.54)^2)*(I1080*0.3048),IF(OR(D1080="MD",D1080="BM",D1080="GA")=TRUE,((VLOOKUP(D1080,'Species Codes'!B:I,8,0)*(((((E1080*2.54)+VLOOKUP(D1080,'Species Codes'!B:J,9,0))/VLOOKUP(D1080,'Species Codes'!B:K,10,0))^VLOOKUP(D1080,'Species Codes'!B:L,11,0))*((I1080*0.3048)^VLOOKUP(D1080,'Species Codes'!B:M,12,0))))-(VLOOKUP(D1080,'Species Codes'!B:I,8,0)*((((E1080*2.54)^VLOOKUP(D1080,'Species Codes'!B:L,11,0))*((I1080*0.3048)^VLOOKUP(D1080,'Species Codes'!B:M,12,0))))))*35.3*VLOOKUP(D1080,'Species Codes'!B:G,6,0)/2.2046,VLOOKUP(D1080,'Species Codes'!B:I,8,0)+VLOOKUP(D1080,'Species Codes'!B:J,9,0)*(((E1080*2.54)/100)^2)*(I1080*0.3048)))))*0.0011023),0)</f>
        <v>#N/A</v>
      </c>
      <c r="AC1080" s="104" t="e">
        <f>IF(Z1080&gt;0,((IF(OR(D1080="RA",D1080="OA",D1080="OT",D1080="UN",D1080="PC"),EXP(VLOOKUP(D1080,'Species Codes'!B:O,14,0)+VLOOKUP(D1080,'Species Codes'!B:P,15,0)*LN((E1080*2.54)))-EXP(VLOOKUP(D1080,'Species Codes'!B:O,14,0)+VLOOKUP(D1080,'Species Codes'!B:P,15,0)*LN((E1080*2.54)))*(1/(VLOOKUP(D1080,'Species Codes'!B:Q,16,0)+VLOOKUP(D1080,'Species Codes'!B:R,17,0)*((E1080*2.54)^VLOOKUP(D1080,'Species Codes'!B:S,18,0)))),IF(OR(D1080="BM",D1080="MD",D1080="OA"),EXP(VLOOKUP(D1080,'Species Codes'!B:O,14,0)+VLOOKUP(D1080,'Species Codes'!B:P,15,0)*LN((E1080*2.54)))*(1-(1/(VLOOKUP(D1080,'Species Codes'!B:Q,16,0)+VLOOKUP(D1080,'Species Codes'!B:R,17,0)*((E1080*2.54)^VLOOKUP(D1080,'Species Codes'!B:S,18,0)))))/1000,IF(D1080="DF",EXP(VLOOKUP(D1080,'Species Codes'!B:O,14,0)+VLOOKUP(D1080,'Species Codes'!B:P,15,0)*LN((E1080*2.54))),VLOOKUP(D1080,'Species Codes'!B:O,14,0)+VLOOKUP(D1080,'Species Codes'!B:P,15,0)*(((E1080*2.54)/100)^2)*(I1080*0.3048)))))*0.0011023),0)</f>
        <v>#N/A</v>
      </c>
      <c r="AD1080" s="104" t="e">
        <f t="shared" si="490"/>
        <v>#N/A</v>
      </c>
      <c r="AE1080" s="104" t="e">
        <f t="shared" si="491"/>
        <v>#N/A</v>
      </c>
      <c r="AF1080" s="104" t="e">
        <f>IF(AND(VLOOKUP($D1080,Merchantability!$B:$C,2,0)="Yes",$E1080&gt;=VLOOKUP($D1080,Merchantability!$B:$D,3,0),$E1080&lt;=VLOOKUP($D1080,Merchantability!$B:$E,4,0)),AA1080,0)</f>
        <v>#N/A</v>
      </c>
      <c r="AG1080" s="104" t="e">
        <f>IF(AND(VLOOKUP($D1080,Merchantability!$B:$C,2,0)="Yes",$E1080&gt;=VLOOKUP($D1080,Merchantability!$B:$D,3,0),$E1080&lt;=VLOOKUP($D1080,Merchantability!$B:$E,4,0)),AB1080,0)</f>
        <v>#N/A</v>
      </c>
      <c r="AH1080" s="104" t="e">
        <f>IF(AND(VLOOKUP($D1080,Merchantability!$B:$C,2,0)="Yes",$E1080&gt;=VLOOKUP($D1080,Merchantability!$B:$D,3,0),$E1080&lt;=VLOOKUP($D1080,Merchantability!$B:$E,4,0)),AC1080,0)</f>
        <v>#N/A</v>
      </c>
      <c r="AI1080" s="104" t="e">
        <f t="shared" si="492"/>
        <v>#N/A</v>
      </c>
      <c r="AJ1080" s="104" t="e">
        <f t="shared" si="493"/>
        <v>#VALUE!</v>
      </c>
      <c r="AK1080" s="104" t="e">
        <f t="shared" si="494"/>
        <v>#N/A</v>
      </c>
      <c r="AL1080" s="104" t="e">
        <f t="shared" si="495"/>
        <v>#N/A</v>
      </c>
      <c r="AM1080" s="104" t="e">
        <f t="shared" si="496"/>
        <v>#N/A</v>
      </c>
      <c r="AN1080" s="104" t="e">
        <f t="shared" si="480"/>
        <v>#N/A</v>
      </c>
      <c r="AO1080" s="104" t="e">
        <f t="shared" si="481"/>
        <v>#N/A</v>
      </c>
      <c r="AP1080" s="104" t="e">
        <f t="shared" si="482"/>
        <v>#N/A</v>
      </c>
      <c r="AQ1080" s="104" t="e">
        <f t="shared" si="483"/>
        <v>#N/A</v>
      </c>
      <c r="AR1080" s="105" t="str">
        <f t="shared" si="475"/>
        <v/>
      </c>
      <c r="AS1080" s="105" t="str">
        <f t="shared" si="476"/>
        <v/>
      </c>
      <c r="AT1080" s="108" t="str">
        <f t="shared" si="477"/>
        <v/>
      </c>
      <c r="AU1080" s="108" t="str">
        <f t="shared" si="478"/>
        <v/>
      </c>
      <c r="AV1080" s="107" t="str">
        <f>IF(ISNUMBER(O1080),IF(VLOOKUP($A1080,Stand!C:J,8,FALSE)="Short",AT1080,AU1080),"")</f>
        <v/>
      </c>
      <c r="AW1080" s="109" t="str">
        <f t="shared" si="484"/>
        <v/>
      </c>
      <c r="AX1080" s="109" t="str">
        <f t="shared" si="485"/>
        <v/>
      </c>
      <c r="AY1080" s="112" t="str">
        <f>IF(ISNUMBER(O1080),IF(AND(VLOOKUP($D1080,Merchantability!$B:$C,2,0)="Yes",$E1080&gt;=VLOOKUP($D1080,Merchantability!$B:$D,3,0),$E1080&lt;=VLOOKUP($D1080,Merchantability!$B:$E,4,0)),(AV1080*O1080)*(1-$H1080/100),""),"")</f>
        <v/>
      </c>
      <c r="AZ1080" s="116"/>
      <c r="BA1080" s="116"/>
      <c r="BB1080" s="116"/>
      <c r="BE1080" s="62"/>
      <c r="BF1080" s="63"/>
    </row>
    <row r="1081" spans="1:58" ht="12.75" customHeight="1" x14ac:dyDescent="0.25">
      <c r="A1081" s="313"/>
      <c r="B1081" s="328"/>
      <c r="C1081" s="329"/>
      <c r="D1081" s="328"/>
      <c r="E1081" s="330"/>
      <c r="F1081" s="328"/>
      <c r="G1081" s="329"/>
      <c r="H1081" s="329"/>
      <c r="I1081" s="328"/>
      <c r="J1081" s="383"/>
      <c r="K1081" s="329"/>
      <c r="L1081" s="329"/>
      <c r="M1081" s="76"/>
      <c r="N1081" s="103" t="str">
        <f>IF(A1081="","",VLOOKUP(A1081,Stand!C:K,9,0))</f>
        <v/>
      </c>
      <c r="O1081" s="104" t="str">
        <f t="shared" si="470"/>
        <v/>
      </c>
      <c r="P1081" s="105" t="str">
        <f t="shared" si="471"/>
        <v/>
      </c>
      <c r="Q1081" s="105" t="str">
        <f t="shared" si="486"/>
        <v/>
      </c>
      <c r="R1081" s="103" t="str">
        <f t="shared" si="472"/>
        <v/>
      </c>
      <c r="S1081" s="103" t="str">
        <f t="shared" si="473"/>
        <v/>
      </c>
      <c r="T1081" s="106" t="str">
        <f t="shared" si="487"/>
        <v/>
      </c>
      <c r="U1081" s="106" t="str">
        <f t="shared" si="488"/>
        <v/>
      </c>
      <c r="V1081" s="106" t="str">
        <f t="shared" si="489"/>
        <v/>
      </c>
      <c r="W1081" s="105" t="str">
        <f t="shared" si="474"/>
        <v/>
      </c>
      <c r="X1081" s="104" t="str">
        <f t="shared" si="479"/>
        <v/>
      </c>
      <c r="Y1081" s="104" t="str">
        <f t="array" ref="Y1081">IFERROR(IF(ISNUMBER(O1081),IF(COUNT(IF(A1081=$A$2:$A$2427,IF(D1081=$D$2:$D$2427,IF($X$2:$X$2427&gt;0,1))))&gt;0,SUM(IF(A1081=$A$2:$A$2427,IF(D1081=$D$2:$D$2427,$X$2:$X$2427)))/COUNT(IF(A1081=$A$2:$A$2427,IF(D1081=$D$2:$D$2427,IF(ISNUMBER($X$2:$X$2427),1)))),0),""),0)</f>
        <v/>
      </c>
      <c r="Z1081" s="104" t="str">
        <f>IF(ISNUMBER(O1081),IF(I1081&gt;0,(10^(VLOOKUP(D1081,'Species Codes'!B:C,2,0)+VLOOKUP(D1081,'Species Codes'!B:D,3,0)*LOG(E1081)+VLOOKUP(D1081,'Species Codes'!B:E,4,0)*LOG(I1081))),0),"")</f>
        <v/>
      </c>
      <c r="AA1081" s="104" t="str">
        <f>IFERROR((VLOOKUP(D1081,'Species Codes'!B:G,6,0)*Z1081)/2000,"")</f>
        <v/>
      </c>
      <c r="AB1081" s="104" t="e">
        <f>IF(Z1081&gt;0,((IF(OR(D1081="DF",D1081="RA")=TRUE,EXP(VLOOKUP(D1081,'Species Codes'!B:I,8,0)+VLOOKUP(D1081,'Species Codes'!B:J,9,0)*(LN((E1081*2.54)))),IF(OR(D1081="PY",D1081="RC",D1081="WH",D1081="NF")=TRUE,VLOOKUP(D1081,'Species Codes'!B:I,8,0)+VLOOKUP(D1081,'Species Codes'!B:J,9,0)*((E1081*2.54)^2)*(I1081*0.3048),IF(OR(D1081="MD",D1081="BM",D1081="GA")=TRUE,((VLOOKUP(D1081,'Species Codes'!B:I,8,0)*(((((E1081*2.54)+VLOOKUP(D1081,'Species Codes'!B:J,9,0))/VLOOKUP(D1081,'Species Codes'!B:K,10,0))^VLOOKUP(D1081,'Species Codes'!B:L,11,0))*((I1081*0.3048)^VLOOKUP(D1081,'Species Codes'!B:M,12,0))))-(VLOOKUP(D1081,'Species Codes'!B:I,8,0)*((((E1081*2.54)^VLOOKUP(D1081,'Species Codes'!B:L,11,0))*((I1081*0.3048)^VLOOKUP(D1081,'Species Codes'!B:M,12,0))))))*35.3*VLOOKUP(D1081,'Species Codes'!B:G,6,0)/2.2046,VLOOKUP(D1081,'Species Codes'!B:I,8,0)+VLOOKUP(D1081,'Species Codes'!B:J,9,0)*(((E1081*2.54)/100)^2)*(I1081*0.3048)))))*0.0011023),0)</f>
        <v>#N/A</v>
      </c>
      <c r="AC1081" s="104" t="e">
        <f>IF(Z1081&gt;0,((IF(OR(D1081="RA",D1081="OA",D1081="OT",D1081="UN",D1081="PC"),EXP(VLOOKUP(D1081,'Species Codes'!B:O,14,0)+VLOOKUP(D1081,'Species Codes'!B:P,15,0)*LN((E1081*2.54)))-EXP(VLOOKUP(D1081,'Species Codes'!B:O,14,0)+VLOOKUP(D1081,'Species Codes'!B:P,15,0)*LN((E1081*2.54)))*(1/(VLOOKUP(D1081,'Species Codes'!B:Q,16,0)+VLOOKUP(D1081,'Species Codes'!B:R,17,0)*((E1081*2.54)^VLOOKUP(D1081,'Species Codes'!B:S,18,0)))),IF(OR(D1081="BM",D1081="MD",D1081="OA"),EXP(VLOOKUP(D1081,'Species Codes'!B:O,14,0)+VLOOKUP(D1081,'Species Codes'!B:P,15,0)*LN((E1081*2.54)))*(1-(1/(VLOOKUP(D1081,'Species Codes'!B:Q,16,0)+VLOOKUP(D1081,'Species Codes'!B:R,17,0)*((E1081*2.54)^VLOOKUP(D1081,'Species Codes'!B:S,18,0)))))/1000,IF(D1081="DF",EXP(VLOOKUP(D1081,'Species Codes'!B:O,14,0)+VLOOKUP(D1081,'Species Codes'!B:P,15,0)*LN((E1081*2.54))),VLOOKUP(D1081,'Species Codes'!B:O,14,0)+VLOOKUP(D1081,'Species Codes'!B:P,15,0)*(((E1081*2.54)/100)^2)*(I1081*0.3048)))))*0.0011023),0)</f>
        <v>#N/A</v>
      </c>
      <c r="AD1081" s="104" t="e">
        <f t="shared" si="490"/>
        <v>#N/A</v>
      </c>
      <c r="AE1081" s="104" t="e">
        <f t="shared" si="491"/>
        <v>#N/A</v>
      </c>
      <c r="AF1081" s="104" t="e">
        <f>IF(AND(VLOOKUP($D1081,Merchantability!$B:$C,2,0)="Yes",$E1081&gt;=VLOOKUP($D1081,Merchantability!$B:$D,3,0),$E1081&lt;=VLOOKUP($D1081,Merchantability!$B:$E,4,0)),AA1081,0)</f>
        <v>#N/A</v>
      </c>
      <c r="AG1081" s="104" t="e">
        <f>IF(AND(VLOOKUP($D1081,Merchantability!$B:$C,2,0)="Yes",$E1081&gt;=VLOOKUP($D1081,Merchantability!$B:$D,3,0),$E1081&lt;=VLOOKUP($D1081,Merchantability!$B:$E,4,0)),AB1081,0)</f>
        <v>#N/A</v>
      </c>
      <c r="AH1081" s="104" t="e">
        <f>IF(AND(VLOOKUP($D1081,Merchantability!$B:$C,2,0)="Yes",$E1081&gt;=VLOOKUP($D1081,Merchantability!$B:$D,3,0),$E1081&lt;=VLOOKUP($D1081,Merchantability!$B:$E,4,0)),AC1081,0)</f>
        <v>#N/A</v>
      </c>
      <c r="AI1081" s="104" t="e">
        <f t="shared" si="492"/>
        <v>#N/A</v>
      </c>
      <c r="AJ1081" s="104" t="e">
        <f t="shared" si="493"/>
        <v>#VALUE!</v>
      </c>
      <c r="AK1081" s="104" t="e">
        <f t="shared" si="494"/>
        <v>#N/A</v>
      </c>
      <c r="AL1081" s="104" t="e">
        <f t="shared" si="495"/>
        <v>#N/A</v>
      </c>
      <c r="AM1081" s="104" t="e">
        <f t="shared" si="496"/>
        <v>#N/A</v>
      </c>
      <c r="AN1081" s="104" t="e">
        <f t="shared" si="480"/>
        <v>#N/A</v>
      </c>
      <c r="AO1081" s="104" t="e">
        <f t="shared" si="481"/>
        <v>#N/A</v>
      </c>
      <c r="AP1081" s="104" t="e">
        <f t="shared" si="482"/>
        <v>#N/A</v>
      </c>
      <c r="AQ1081" s="104" t="e">
        <f t="shared" si="483"/>
        <v>#N/A</v>
      </c>
      <c r="AR1081" s="105" t="str">
        <f t="shared" si="475"/>
        <v/>
      </c>
      <c r="AS1081" s="105" t="str">
        <f t="shared" si="476"/>
        <v/>
      </c>
      <c r="AT1081" s="108" t="str">
        <f t="shared" si="477"/>
        <v/>
      </c>
      <c r="AU1081" s="108" t="str">
        <f t="shared" si="478"/>
        <v/>
      </c>
      <c r="AV1081" s="107" t="str">
        <f>IF(ISNUMBER(O1081),IF(VLOOKUP($A1081,Stand!C:J,8,FALSE)="Short",AT1081,AU1081),"")</f>
        <v/>
      </c>
      <c r="AW1081" s="109" t="str">
        <f t="shared" si="484"/>
        <v/>
      </c>
      <c r="AX1081" s="109" t="str">
        <f t="shared" si="485"/>
        <v/>
      </c>
      <c r="AY1081" s="112" t="str">
        <f>IF(ISNUMBER(O1081),IF(AND(VLOOKUP($D1081,Merchantability!$B:$C,2,0)="Yes",$E1081&gt;=VLOOKUP($D1081,Merchantability!$B:$D,3,0),$E1081&lt;=VLOOKUP($D1081,Merchantability!$B:$E,4,0)),(AV1081*O1081)*(1-$H1081/100),""),"")</f>
        <v/>
      </c>
      <c r="AZ1081" s="116"/>
      <c r="BA1081" s="116"/>
      <c r="BB1081" s="116"/>
      <c r="BE1081" s="62"/>
      <c r="BF1081" s="63"/>
    </row>
    <row r="1082" spans="1:58" ht="12.75" customHeight="1" x14ac:dyDescent="0.25">
      <c r="A1082" s="313"/>
      <c r="B1082" s="328"/>
      <c r="C1082" s="329"/>
      <c r="D1082" s="328"/>
      <c r="E1082" s="330"/>
      <c r="F1082" s="328"/>
      <c r="G1082" s="329"/>
      <c r="H1082" s="329"/>
      <c r="I1082" s="328"/>
      <c r="J1082" s="383"/>
      <c r="K1082" s="329"/>
      <c r="L1082" s="329"/>
      <c r="M1082" s="76"/>
      <c r="N1082" s="103" t="str">
        <f>IF(A1082="","",VLOOKUP(A1082,Stand!C:K,9,0))</f>
        <v/>
      </c>
      <c r="O1082" s="104" t="str">
        <f t="shared" si="470"/>
        <v/>
      </c>
      <c r="P1082" s="105" t="str">
        <f t="shared" si="471"/>
        <v/>
      </c>
      <c r="Q1082" s="105" t="str">
        <f t="shared" si="486"/>
        <v/>
      </c>
      <c r="R1082" s="103" t="str">
        <f t="shared" si="472"/>
        <v/>
      </c>
      <c r="S1082" s="103" t="str">
        <f t="shared" si="473"/>
        <v/>
      </c>
      <c r="T1082" s="106" t="str">
        <f t="shared" si="487"/>
        <v/>
      </c>
      <c r="U1082" s="106" t="str">
        <f t="shared" si="488"/>
        <v/>
      </c>
      <c r="V1082" s="106" t="str">
        <f t="shared" si="489"/>
        <v/>
      </c>
      <c r="W1082" s="105" t="str">
        <f t="shared" si="474"/>
        <v/>
      </c>
      <c r="X1082" s="104" t="str">
        <f t="shared" si="479"/>
        <v/>
      </c>
      <c r="Y1082" s="104" t="str">
        <f t="array" ref="Y1082">IFERROR(IF(ISNUMBER(O1082),IF(COUNT(IF(A1082=$A$2:$A$2427,IF(D1082=$D$2:$D$2427,IF($X$2:$X$2427&gt;0,1))))&gt;0,SUM(IF(A1082=$A$2:$A$2427,IF(D1082=$D$2:$D$2427,$X$2:$X$2427)))/COUNT(IF(A1082=$A$2:$A$2427,IF(D1082=$D$2:$D$2427,IF(ISNUMBER($X$2:$X$2427),1)))),0),""),0)</f>
        <v/>
      </c>
      <c r="Z1082" s="104" t="str">
        <f>IF(ISNUMBER(O1082),IF(I1082&gt;0,(10^(VLOOKUP(D1082,'Species Codes'!B:C,2,0)+VLOOKUP(D1082,'Species Codes'!B:D,3,0)*LOG(E1082)+VLOOKUP(D1082,'Species Codes'!B:E,4,0)*LOG(I1082))),0),"")</f>
        <v/>
      </c>
      <c r="AA1082" s="104" t="str">
        <f>IFERROR((VLOOKUP(D1082,'Species Codes'!B:G,6,0)*Z1082)/2000,"")</f>
        <v/>
      </c>
      <c r="AB1082" s="104" t="e">
        <f>IF(Z1082&gt;0,((IF(OR(D1082="DF",D1082="RA")=TRUE,EXP(VLOOKUP(D1082,'Species Codes'!B:I,8,0)+VLOOKUP(D1082,'Species Codes'!B:J,9,0)*(LN((E1082*2.54)))),IF(OR(D1082="PY",D1082="RC",D1082="WH",D1082="NF")=TRUE,VLOOKUP(D1082,'Species Codes'!B:I,8,0)+VLOOKUP(D1082,'Species Codes'!B:J,9,0)*((E1082*2.54)^2)*(I1082*0.3048),IF(OR(D1082="MD",D1082="BM",D1082="GA")=TRUE,((VLOOKUP(D1082,'Species Codes'!B:I,8,0)*(((((E1082*2.54)+VLOOKUP(D1082,'Species Codes'!B:J,9,0))/VLOOKUP(D1082,'Species Codes'!B:K,10,0))^VLOOKUP(D1082,'Species Codes'!B:L,11,0))*((I1082*0.3048)^VLOOKUP(D1082,'Species Codes'!B:M,12,0))))-(VLOOKUP(D1082,'Species Codes'!B:I,8,0)*((((E1082*2.54)^VLOOKUP(D1082,'Species Codes'!B:L,11,0))*((I1082*0.3048)^VLOOKUP(D1082,'Species Codes'!B:M,12,0))))))*35.3*VLOOKUP(D1082,'Species Codes'!B:G,6,0)/2.2046,VLOOKUP(D1082,'Species Codes'!B:I,8,0)+VLOOKUP(D1082,'Species Codes'!B:J,9,0)*(((E1082*2.54)/100)^2)*(I1082*0.3048)))))*0.0011023),0)</f>
        <v>#N/A</v>
      </c>
      <c r="AC1082" s="104" t="e">
        <f>IF(Z1082&gt;0,((IF(OR(D1082="RA",D1082="OA",D1082="OT",D1082="UN",D1082="PC"),EXP(VLOOKUP(D1082,'Species Codes'!B:O,14,0)+VLOOKUP(D1082,'Species Codes'!B:P,15,0)*LN((E1082*2.54)))-EXP(VLOOKUP(D1082,'Species Codes'!B:O,14,0)+VLOOKUP(D1082,'Species Codes'!B:P,15,0)*LN((E1082*2.54)))*(1/(VLOOKUP(D1082,'Species Codes'!B:Q,16,0)+VLOOKUP(D1082,'Species Codes'!B:R,17,0)*((E1082*2.54)^VLOOKUP(D1082,'Species Codes'!B:S,18,0)))),IF(OR(D1082="BM",D1082="MD",D1082="OA"),EXP(VLOOKUP(D1082,'Species Codes'!B:O,14,0)+VLOOKUP(D1082,'Species Codes'!B:P,15,0)*LN((E1082*2.54)))*(1-(1/(VLOOKUP(D1082,'Species Codes'!B:Q,16,0)+VLOOKUP(D1082,'Species Codes'!B:R,17,0)*((E1082*2.54)^VLOOKUP(D1082,'Species Codes'!B:S,18,0)))))/1000,IF(D1082="DF",EXP(VLOOKUP(D1082,'Species Codes'!B:O,14,0)+VLOOKUP(D1082,'Species Codes'!B:P,15,0)*LN((E1082*2.54))),VLOOKUP(D1082,'Species Codes'!B:O,14,0)+VLOOKUP(D1082,'Species Codes'!B:P,15,0)*(((E1082*2.54)/100)^2)*(I1082*0.3048)))))*0.0011023),0)</f>
        <v>#N/A</v>
      </c>
      <c r="AD1082" s="104" t="e">
        <f t="shared" si="490"/>
        <v>#N/A</v>
      </c>
      <c r="AE1082" s="104" t="e">
        <f t="shared" si="491"/>
        <v>#N/A</v>
      </c>
      <c r="AF1082" s="104" t="e">
        <f>IF(AND(VLOOKUP($D1082,Merchantability!$B:$C,2,0)="Yes",$E1082&gt;=VLOOKUP($D1082,Merchantability!$B:$D,3,0),$E1082&lt;=VLOOKUP($D1082,Merchantability!$B:$E,4,0)),AA1082,0)</f>
        <v>#N/A</v>
      </c>
      <c r="AG1082" s="104" t="e">
        <f>IF(AND(VLOOKUP($D1082,Merchantability!$B:$C,2,0)="Yes",$E1082&gt;=VLOOKUP($D1082,Merchantability!$B:$D,3,0),$E1082&lt;=VLOOKUP($D1082,Merchantability!$B:$E,4,0)),AB1082,0)</f>
        <v>#N/A</v>
      </c>
      <c r="AH1082" s="104" t="e">
        <f>IF(AND(VLOOKUP($D1082,Merchantability!$B:$C,2,0)="Yes",$E1082&gt;=VLOOKUP($D1082,Merchantability!$B:$D,3,0),$E1082&lt;=VLOOKUP($D1082,Merchantability!$B:$E,4,0)),AC1082,0)</f>
        <v>#N/A</v>
      </c>
      <c r="AI1082" s="104" t="e">
        <f t="shared" si="492"/>
        <v>#N/A</v>
      </c>
      <c r="AJ1082" s="104" t="e">
        <f t="shared" si="493"/>
        <v>#VALUE!</v>
      </c>
      <c r="AK1082" s="104" t="e">
        <f t="shared" si="494"/>
        <v>#N/A</v>
      </c>
      <c r="AL1082" s="104" t="e">
        <f t="shared" si="495"/>
        <v>#N/A</v>
      </c>
      <c r="AM1082" s="104" t="e">
        <f t="shared" si="496"/>
        <v>#N/A</v>
      </c>
      <c r="AN1082" s="104" t="e">
        <f t="shared" si="480"/>
        <v>#N/A</v>
      </c>
      <c r="AO1082" s="104" t="e">
        <f t="shared" si="481"/>
        <v>#N/A</v>
      </c>
      <c r="AP1082" s="104" t="e">
        <f t="shared" si="482"/>
        <v>#N/A</v>
      </c>
      <c r="AQ1082" s="104" t="e">
        <f t="shared" si="483"/>
        <v>#N/A</v>
      </c>
      <c r="AR1082" s="105" t="str">
        <f t="shared" si="475"/>
        <v/>
      </c>
      <c r="AS1082" s="105" t="str">
        <f t="shared" si="476"/>
        <v/>
      </c>
      <c r="AT1082" s="108" t="str">
        <f t="shared" si="477"/>
        <v/>
      </c>
      <c r="AU1082" s="108" t="str">
        <f t="shared" si="478"/>
        <v/>
      </c>
      <c r="AV1082" s="107" t="str">
        <f>IF(ISNUMBER(O1082),IF(VLOOKUP($A1082,Stand!C:J,8,FALSE)="Short",AT1082,AU1082),"")</f>
        <v/>
      </c>
      <c r="AW1082" s="109" t="str">
        <f t="shared" si="484"/>
        <v/>
      </c>
      <c r="AX1082" s="109" t="str">
        <f t="shared" si="485"/>
        <v/>
      </c>
      <c r="AY1082" s="112" t="str">
        <f>IF(ISNUMBER(O1082),IF(AND(VLOOKUP($D1082,Merchantability!$B:$C,2,0)="Yes",$E1082&gt;=VLOOKUP($D1082,Merchantability!$B:$D,3,0),$E1082&lt;=VLOOKUP($D1082,Merchantability!$B:$E,4,0)),(AV1082*O1082)*(1-$H1082/100),""),"")</f>
        <v/>
      </c>
      <c r="AZ1082" s="116"/>
      <c r="BA1082" s="116"/>
      <c r="BB1082" s="116"/>
      <c r="BE1082" s="62"/>
      <c r="BF1082" s="63"/>
    </row>
    <row r="1083" spans="1:58" ht="12.75" customHeight="1" x14ac:dyDescent="0.25">
      <c r="A1083" s="313"/>
      <c r="B1083" s="328"/>
      <c r="C1083" s="329"/>
      <c r="D1083" s="328"/>
      <c r="E1083" s="330"/>
      <c r="F1083" s="328"/>
      <c r="G1083" s="329"/>
      <c r="H1083" s="329"/>
      <c r="I1083" s="328"/>
      <c r="J1083" s="383"/>
      <c r="K1083" s="329"/>
      <c r="L1083" s="329"/>
      <c r="M1083" s="76"/>
      <c r="N1083" s="103" t="str">
        <f>IF(A1083="","",VLOOKUP(A1083,Stand!C:K,9,0))</f>
        <v/>
      </c>
      <c r="O1083" s="104" t="str">
        <f t="shared" si="470"/>
        <v/>
      </c>
      <c r="P1083" s="105" t="str">
        <f t="shared" si="471"/>
        <v/>
      </c>
      <c r="Q1083" s="105" t="str">
        <f t="shared" si="486"/>
        <v/>
      </c>
      <c r="R1083" s="103" t="str">
        <f t="shared" si="472"/>
        <v/>
      </c>
      <c r="S1083" s="103" t="str">
        <f t="shared" si="473"/>
        <v/>
      </c>
      <c r="T1083" s="106" t="str">
        <f t="shared" si="487"/>
        <v/>
      </c>
      <c r="U1083" s="106" t="str">
        <f t="shared" si="488"/>
        <v/>
      </c>
      <c r="V1083" s="106" t="str">
        <f t="shared" si="489"/>
        <v/>
      </c>
      <c r="W1083" s="105" t="str">
        <f t="shared" si="474"/>
        <v/>
      </c>
      <c r="X1083" s="104" t="str">
        <f t="shared" si="479"/>
        <v/>
      </c>
      <c r="Y1083" s="104" t="str">
        <f t="array" ref="Y1083">IFERROR(IF(ISNUMBER(O1083),IF(COUNT(IF(A1083=$A$2:$A$2427,IF(D1083=$D$2:$D$2427,IF($X$2:$X$2427&gt;0,1))))&gt;0,SUM(IF(A1083=$A$2:$A$2427,IF(D1083=$D$2:$D$2427,$X$2:$X$2427)))/COUNT(IF(A1083=$A$2:$A$2427,IF(D1083=$D$2:$D$2427,IF(ISNUMBER($X$2:$X$2427),1)))),0),""),0)</f>
        <v/>
      </c>
      <c r="Z1083" s="104" t="str">
        <f>IF(ISNUMBER(O1083),IF(I1083&gt;0,(10^(VLOOKUP(D1083,'Species Codes'!B:C,2,0)+VLOOKUP(D1083,'Species Codes'!B:D,3,0)*LOG(E1083)+VLOOKUP(D1083,'Species Codes'!B:E,4,0)*LOG(I1083))),0),"")</f>
        <v/>
      </c>
      <c r="AA1083" s="104" t="str">
        <f>IFERROR((VLOOKUP(D1083,'Species Codes'!B:G,6,0)*Z1083)/2000,"")</f>
        <v/>
      </c>
      <c r="AB1083" s="104" t="e">
        <f>IF(Z1083&gt;0,((IF(OR(D1083="DF",D1083="RA")=TRUE,EXP(VLOOKUP(D1083,'Species Codes'!B:I,8,0)+VLOOKUP(D1083,'Species Codes'!B:J,9,0)*(LN((E1083*2.54)))),IF(OR(D1083="PY",D1083="RC",D1083="WH",D1083="NF")=TRUE,VLOOKUP(D1083,'Species Codes'!B:I,8,0)+VLOOKUP(D1083,'Species Codes'!B:J,9,0)*((E1083*2.54)^2)*(I1083*0.3048),IF(OR(D1083="MD",D1083="BM",D1083="GA")=TRUE,((VLOOKUP(D1083,'Species Codes'!B:I,8,0)*(((((E1083*2.54)+VLOOKUP(D1083,'Species Codes'!B:J,9,0))/VLOOKUP(D1083,'Species Codes'!B:K,10,0))^VLOOKUP(D1083,'Species Codes'!B:L,11,0))*((I1083*0.3048)^VLOOKUP(D1083,'Species Codes'!B:M,12,0))))-(VLOOKUP(D1083,'Species Codes'!B:I,8,0)*((((E1083*2.54)^VLOOKUP(D1083,'Species Codes'!B:L,11,0))*((I1083*0.3048)^VLOOKUP(D1083,'Species Codes'!B:M,12,0))))))*35.3*VLOOKUP(D1083,'Species Codes'!B:G,6,0)/2.2046,VLOOKUP(D1083,'Species Codes'!B:I,8,0)+VLOOKUP(D1083,'Species Codes'!B:J,9,0)*(((E1083*2.54)/100)^2)*(I1083*0.3048)))))*0.0011023),0)</f>
        <v>#N/A</v>
      </c>
      <c r="AC1083" s="104" t="e">
        <f>IF(Z1083&gt;0,((IF(OR(D1083="RA",D1083="OA",D1083="OT",D1083="UN",D1083="PC"),EXP(VLOOKUP(D1083,'Species Codes'!B:O,14,0)+VLOOKUP(D1083,'Species Codes'!B:P,15,0)*LN((E1083*2.54)))-EXP(VLOOKUP(D1083,'Species Codes'!B:O,14,0)+VLOOKUP(D1083,'Species Codes'!B:P,15,0)*LN((E1083*2.54)))*(1/(VLOOKUP(D1083,'Species Codes'!B:Q,16,0)+VLOOKUP(D1083,'Species Codes'!B:R,17,0)*((E1083*2.54)^VLOOKUP(D1083,'Species Codes'!B:S,18,0)))),IF(OR(D1083="BM",D1083="MD",D1083="OA"),EXP(VLOOKUP(D1083,'Species Codes'!B:O,14,0)+VLOOKUP(D1083,'Species Codes'!B:P,15,0)*LN((E1083*2.54)))*(1-(1/(VLOOKUP(D1083,'Species Codes'!B:Q,16,0)+VLOOKUP(D1083,'Species Codes'!B:R,17,0)*((E1083*2.54)^VLOOKUP(D1083,'Species Codes'!B:S,18,0)))))/1000,IF(D1083="DF",EXP(VLOOKUP(D1083,'Species Codes'!B:O,14,0)+VLOOKUP(D1083,'Species Codes'!B:P,15,0)*LN((E1083*2.54))),VLOOKUP(D1083,'Species Codes'!B:O,14,0)+VLOOKUP(D1083,'Species Codes'!B:P,15,0)*(((E1083*2.54)/100)^2)*(I1083*0.3048)))))*0.0011023),0)</f>
        <v>#N/A</v>
      </c>
      <c r="AD1083" s="104" t="e">
        <f t="shared" si="490"/>
        <v>#N/A</v>
      </c>
      <c r="AE1083" s="104" t="e">
        <f t="shared" si="491"/>
        <v>#N/A</v>
      </c>
      <c r="AF1083" s="104" t="e">
        <f>IF(AND(VLOOKUP($D1083,Merchantability!$B:$C,2,0)="Yes",$E1083&gt;=VLOOKUP($D1083,Merchantability!$B:$D,3,0),$E1083&lt;=VLOOKUP($D1083,Merchantability!$B:$E,4,0)),AA1083,0)</f>
        <v>#N/A</v>
      </c>
      <c r="AG1083" s="104" t="e">
        <f>IF(AND(VLOOKUP($D1083,Merchantability!$B:$C,2,0)="Yes",$E1083&gt;=VLOOKUP($D1083,Merchantability!$B:$D,3,0),$E1083&lt;=VLOOKUP($D1083,Merchantability!$B:$E,4,0)),AB1083,0)</f>
        <v>#N/A</v>
      </c>
      <c r="AH1083" s="104" t="e">
        <f>IF(AND(VLOOKUP($D1083,Merchantability!$B:$C,2,0)="Yes",$E1083&gt;=VLOOKUP($D1083,Merchantability!$B:$D,3,0),$E1083&lt;=VLOOKUP($D1083,Merchantability!$B:$E,4,0)),AC1083,0)</f>
        <v>#N/A</v>
      </c>
      <c r="AI1083" s="104" t="e">
        <f t="shared" si="492"/>
        <v>#N/A</v>
      </c>
      <c r="AJ1083" s="104" t="e">
        <f t="shared" si="493"/>
        <v>#VALUE!</v>
      </c>
      <c r="AK1083" s="104" t="e">
        <f t="shared" si="494"/>
        <v>#N/A</v>
      </c>
      <c r="AL1083" s="104" t="e">
        <f t="shared" si="495"/>
        <v>#N/A</v>
      </c>
      <c r="AM1083" s="104" t="e">
        <f t="shared" si="496"/>
        <v>#N/A</v>
      </c>
      <c r="AN1083" s="104" t="e">
        <f t="shared" si="480"/>
        <v>#N/A</v>
      </c>
      <c r="AO1083" s="104" t="e">
        <f t="shared" si="481"/>
        <v>#N/A</v>
      </c>
      <c r="AP1083" s="104" t="e">
        <f t="shared" si="482"/>
        <v>#N/A</v>
      </c>
      <c r="AQ1083" s="104" t="e">
        <f t="shared" si="483"/>
        <v>#N/A</v>
      </c>
      <c r="AR1083" s="105" t="str">
        <f t="shared" si="475"/>
        <v/>
      </c>
      <c r="AS1083" s="105" t="str">
        <f t="shared" si="476"/>
        <v/>
      </c>
      <c r="AT1083" s="108" t="str">
        <f t="shared" si="477"/>
        <v/>
      </c>
      <c r="AU1083" s="108" t="str">
        <f t="shared" si="478"/>
        <v/>
      </c>
      <c r="AV1083" s="107" t="str">
        <f>IF(ISNUMBER(O1083),IF(VLOOKUP($A1083,Stand!C:J,8,FALSE)="Short",AT1083,AU1083),"")</f>
        <v/>
      </c>
      <c r="AW1083" s="109" t="str">
        <f t="shared" si="484"/>
        <v/>
      </c>
      <c r="AX1083" s="109" t="str">
        <f t="shared" si="485"/>
        <v/>
      </c>
      <c r="AY1083" s="112" t="str">
        <f>IF(ISNUMBER(O1083),IF(AND(VLOOKUP($D1083,Merchantability!$B:$C,2,0)="Yes",$E1083&gt;=VLOOKUP($D1083,Merchantability!$B:$D,3,0),$E1083&lt;=VLOOKUP($D1083,Merchantability!$B:$E,4,0)),(AV1083*O1083)*(1-$H1083/100),""),"")</f>
        <v/>
      </c>
      <c r="AZ1083" s="116"/>
      <c r="BA1083" s="116"/>
      <c r="BB1083" s="116"/>
      <c r="BE1083" s="62"/>
      <c r="BF1083" s="63"/>
    </row>
    <row r="1084" spans="1:58" ht="12.75" customHeight="1" x14ac:dyDescent="0.25">
      <c r="A1084" s="313"/>
      <c r="B1084" s="328"/>
      <c r="C1084" s="329"/>
      <c r="D1084" s="328"/>
      <c r="E1084" s="330"/>
      <c r="F1084" s="328"/>
      <c r="G1084" s="329"/>
      <c r="H1084" s="329"/>
      <c r="I1084" s="328"/>
      <c r="J1084" s="383"/>
      <c r="K1084" s="329"/>
      <c r="L1084" s="329"/>
      <c r="M1084" s="76"/>
      <c r="N1084" s="103" t="str">
        <f>IF(A1084="","",VLOOKUP(A1084,Stand!C:K,9,0))</f>
        <v/>
      </c>
      <c r="O1084" s="104" t="str">
        <f t="shared" si="470"/>
        <v/>
      </c>
      <c r="P1084" s="105" t="str">
        <f t="shared" si="471"/>
        <v/>
      </c>
      <c r="Q1084" s="105" t="str">
        <f t="shared" si="486"/>
        <v/>
      </c>
      <c r="R1084" s="103" t="str">
        <f t="shared" si="472"/>
        <v/>
      </c>
      <c r="S1084" s="103" t="str">
        <f t="shared" si="473"/>
        <v/>
      </c>
      <c r="T1084" s="106" t="str">
        <f t="shared" si="487"/>
        <v/>
      </c>
      <c r="U1084" s="106" t="str">
        <f t="shared" si="488"/>
        <v/>
      </c>
      <c r="V1084" s="106" t="str">
        <f t="shared" si="489"/>
        <v/>
      </c>
      <c r="W1084" s="105" t="str">
        <f t="shared" si="474"/>
        <v/>
      </c>
      <c r="X1084" s="104" t="str">
        <f t="shared" si="479"/>
        <v/>
      </c>
      <c r="Y1084" s="104" t="str">
        <f t="array" ref="Y1084">IFERROR(IF(ISNUMBER(O1084),IF(COUNT(IF(A1084=$A$2:$A$2427,IF(D1084=$D$2:$D$2427,IF($X$2:$X$2427&gt;0,1))))&gt;0,SUM(IF(A1084=$A$2:$A$2427,IF(D1084=$D$2:$D$2427,$X$2:$X$2427)))/COUNT(IF(A1084=$A$2:$A$2427,IF(D1084=$D$2:$D$2427,IF(ISNUMBER($X$2:$X$2427),1)))),0),""),0)</f>
        <v/>
      </c>
      <c r="Z1084" s="104" t="str">
        <f>IF(ISNUMBER(O1084),IF(I1084&gt;0,(10^(VLOOKUP(D1084,'Species Codes'!B:C,2,0)+VLOOKUP(D1084,'Species Codes'!B:D,3,0)*LOG(E1084)+VLOOKUP(D1084,'Species Codes'!B:E,4,0)*LOG(I1084))),0),"")</f>
        <v/>
      </c>
      <c r="AA1084" s="104" t="str">
        <f>IFERROR((VLOOKUP(D1084,'Species Codes'!B:G,6,0)*Z1084)/2000,"")</f>
        <v/>
      </c>
      <c r="AB1084" s="104" t="e">
        <f>IF(Z1084&gt;0,((IF(OR(D1084="DF",D1084="RA")=TRUE,EXP(VLOOKUP(D1084,'Species Codes'!B:I,8,0)+VLOOKUP(D1084,'Species Codes'!B:J,9,0)*(LN((E1084*2.54)))),IF(OR(D1084="PY",D1084="RC",D1084="WH",D1084="NF")=TRUE,VLOOKUP(D1084,'Species Codes'!B:I,8,0)+VLOOKUP(D1084,'Species Codes'!B:J,9,0)*((E1084*2.54)^2)*(I1084*0.3048),IF(OR(D1084="MD",D1084="BM",D1084="GA")=TRUE,((VLOOKUP(D1084,'Species Codes'!B:I,8,0)*(((((E1084*2.54)+VLOOKUP(D1084,'Species Codes'!B:J,9,0))/VLOOKUP(D1084,'Species Codes'!B:K,10,0))^VLOOKUP(D1084,'Species Codes'!B:L,11,0))*((I1084*0.3048)^VLOOKUP(D1084,'Species Codes'!B:M,12,0))))-(VLOOKUP(D1084,'Species Codes'!B:I,8,0)*((((E1084*2.54)^VLOOKUP(D1084,'Species Codes'!B:L,11,0))*((I1084*0.3048)^VLOOKUP(D1084,'Species Codes'!B:M,12,0))))))*35.3*VLOOKUP(D1084,'Species Codes'!B:G,6,0)/2.2046,VLOOKUP(D1084,'Species Codes'!B:I,8,0)+VLOOKUP(D1084,'Species Codes'!B:J,9,0)*(((E1084*2.54)/100)^2)*(I1084*0.3048)))))*0.0011023),0)</f>
        <v>#N/A</v>
      </c>
      <c r="AC1084" s="104" t="e">
        <f>IF(Z1084&gt;0,((IF(OR(D1084="RA",D1084="OA",D1084="OT",D1084="UN",D1084="PC"),EXP(VLOOKUP(D1084,'Species Codes'!B:O,14,0)+VLOOKUP(D1084,'Species Codes'!B:P,15,0)*LN((E1084*2.54)))-EXP(VLOOKUP(D1084,'Species Codes'!B:O,14,0)+VLOOKUP(D1084,'Species Codes'!B:P,15,0)*LN((E1084*2.54)))*(1/(VLOOKUP(D1084,'Species Codes'!B:Q,16,0)+VLOOKUP(D1084,'Species Codes'!B:R,17,0)*((E1084*2.54)^VLOOKUP(D1084,'Species Codes'!B:S,18,0)))),IF(OR(D1084="BM",D1084="MD",D1084="OA"),EXP(VLOOKUP(D1084,'Species Codes'!B:O,14,0)+VLOOKUP(D1084,'Species Codes'!B:P,15,0)*LN((E1084*2.54)))*(1-(1/(VLOOKUP(D1084,'Species Codes'!B:Q,16,0)+VLOOKUP(D1084,'Species Codes'!B:R,17,0)*((E1084*2.54)^VLOOKUP(D1084,'Species Codes'!B:S,18,0)))))/1000,IF(D1084="DF",EXP(VLOOKUP(D1084,'Species Codes'!B:O,14,0)+VLOOKUP(D1084,'Species Codes'!B:P,15,0)*LN((E1084*2.54))),VLOOKUP(D1084,'Species Codes'!B:O,14,0)+VLOOKUP(D1084,'Species Codes'!B:P,15,0)*(((E1084*2.54)/100)^2)*(I1084*0.3048)))))*0.0011023),0)</f>
        <v>#N/A</v>
      </c>
      <c r="AD1084" s="104" t="e">
        <f t="shared" si="490"/>
        <v>#N/A</v>
      </c>
      <c r="AE1084" s="104" t="e">
        <f t="shared" si="491"/>
        <v>#N/A</v>
      </c>
      <c r="AF1084" s="104" t="e">
        <f>IF(AND(VLOOKUP($D1084,Merchantability!$B:$C,2,0)="Yes",$E1084&gt;=VLOOKUP($D1084,Merchantability!$B:$D,3,0),$E1084&lt;=VLOOKUP($D1084,Merchantability!$B:$E,4,0)),AA1084,0)</f>
        <v>#N/A</v>
      </c>
      <c r="AG1084" s="104" t="e">
        <f>IF(AND(VLOOKUP($D1084,Merchantability!$B:$C,2,0)="Yes",$E1084&gt;=VLOOKUP($D1084,Merchantability!$B:$D,3,0),$E1084&lt;=VLOOKUP($D1084,Merchantability!$B:$E,4,0)),AB1084,0)</f>
        <v>#N/A</v>
      </c>
      <c r="AH1084" s="104" t="e">
        <f>IF(AND(VLOOKUP($D1084,Merchantability!$B:$C,2,0)="Yes",$E1084&gt;=VLOOKUP($D1084,Merchantability!$B:$D,3,0),$E1084&lt;=VLOOKUP($D1084,Merchantability!$B:$E,4,0)),AC1084,0)</f>
        <v>#N/A</v>
      </c>
      <c r="AI1084" s="104" t="e">
        <f t="shared" si="492"/>
        <v>#N/A</v>
      </c>
      <c r="AJ1084" s="104" t="e">
        <f t="shared" si="493"/>
        <v>#VALUE!</v>
      </c>
      <c r="AK1084" s="104" t="e">
        <f t="shared" si="494"/>
        <v>#N/A</v>
      </c>
      <c r="AL1084" s="104" t="e">
        <f t="shared" si="495"/>
        <v>#N/A</v>
      </c>
      <c r="AM1084" s="104" t="e">
        <f t="shared" si="496"/>
        <v>#N/A</v>
      </c>
      <c r="AN1084" s="104" t="e">
        <f t="shared" si="480"/>
        <v>#N/A</v>
      </c>
      <c r="AO1084" s="104" t="e">
        <f t="shared" si="481"/>
        <v>#N/A</v>
      </c>
      <c r="AP1084" s="104" t="e">
        <f t="shared" si="482"/>
        <v>#N/A</v>
      </c>
      <c r="AQ1084" s="104" t="e">
        <f t="shared" si="483"/>
        <v>#N/A</v>
      </c>
      <c r="AR1084" s="105" t="str">
        <f t="shared" si="475"/>
        <v/>
      </c>
      <c r="AS1084" s="105" t="str">
        <f t="shared" si="476"/>
        <v/>
      </c>
      <c r="AT1084" s="108" t="str">
        <f t="shared" si="477"/>
        <v/>
      </c>
      <c r="AU1084" s="108" t="str">
        <f t="shared" si="478"/>
        <v/>
      </c>
      <c r="AV1084" s="107" t="str">
        <f>IF(ISNUMBER(O1084),IF(VLOOKUP($A1084,Stand!C:J,8,FALSE)="Short",AT1084,AU1084),"")</f>
        <v/>
      </c>
      <c r="AW1084" s="109" t="str">
        <f t="shared" si="484"/>
        <v/>
      </c>
      <c r="AX1084" s="109" t="str">
        <f t="shared" si="485"/>
        <v/>
      </c>
      <c r="AY1084" s="112" t="str">
        <f>IF(ISNUMBER(O1084),IF(AND(VLOOKUP($D1084,Merchantability!$B:$C,2,0)="Yes",$E1084&gt;=VLOOKUP($D1084,Merchantability!$B:$D,3,0),$E1084&lt;=VLOOKUP($D1084,Merchantability!$B:$E,4,0)),(AV1084*O1084)*(1-$H1084/100),""),"")</f>
        <v/>
      </c>
      <c r="AZ1084" s="116"/>
      <c r="BA1084" s="116"/>
      <c r="BB1084" s="116"/>
      <c r="BE1084" s="62"/>
      <c r="BF1084" s="63"/>
    </row>
    <row r="1085" spans="1:58" ht="12.75" customHeight="1" x14ac:dyDescent="0.25">
      <c r="A1085" s="313"/>
      <c r="B1085" s="328"/>
      <c r="C1085" s="329"/>
      <c r="D1085" s="328"/>
      <c r="E1085" s="330"/>
      <c r="F1085" s="328"/>
      <c r="G1085" s="329"/>
      <c r="H1085" s="329"/>
      <c r="I1085" s="328"/>
      <c r="J1085" s="383"/>
      <c r="K1085" s="329"/>
      <c r="L1085" s="329"/>
      <c r="M1085" s="76"/>
      <c r="N1085" s="103" t="str">
        <f>IF(A1085="","",VLOOKUP(A1085,Stand!C:K,9,0))</f>
        <v/>
      </c>
      <c r="O1085" s="104" t="str">
        <f t="shared" si="470"/>
        <v/>
      </c>
      <c r="P1085" s="105" t="str">
        <f t="shared" si="471"/>
        <v/>
      </c>
      <c r="Q1085" s="105" t="str">
        <f t="shared" si="486"/>
        <v/>
      </c>
      <c r="R1085" s="103" t="str">
        <f t="shared" si="472"/>
        <v/>
      </c>
      <c r="S1085" s="103" t="str">
        <f t="shared" si="473"/>
        <v/>
      </c>
      <c r="T1085" s="106" t="str">
        <f t="shared" si="487"/>
        <v/>
      </c>
      <c r="U1085" s="106" t="str">
        <f t="shared" si="488"/>
        <v/>
      </c>
      <c r="V1085" s="106" t="str">
        <f t="shared" si="489"/>
        <v/>
      </c>
      <c r="W1085" s="105" t="str">
        <f t="shared" si="474"/>
        <v/>
      </c>
      <c r="X1085" s="104" t="str">
        <f t="shared" si="479"/>
        <v/>
      </c>
      <c r="Y1085" s="104" t="str">
        <f t="array" ref="Y1085">IFERROR(IF(ISNUMBER(O1085),IF(COUNT(IF(A1085=$A$2:$A$2427,IF(D1085=$D$2:$D$2427,IF($X$2:$X$2427&gt;0,1))))&gt;0,SUM(IF(A1085=$A$2:$A$2427,IF(D1085=$D$2:$D$2427,$X$2:$X$2427)))/COUNT(IF(A1085=$A$2:$A$2427,IF(D1085=$D$2:$D$2427,IF(ISNUMBER($X$2:$X$2427),1)))),0),""),0)</f>
        <v/>
      </c>
      <c r="Z1085" s="104" t="str">
        <f>IF(ISNUMBER(O1085),IF(I1085&gt;0,(10^(VLOOKUP(D1085,'Species Codes'!B:C,2,0)+VLOOKUP(D1085,'Species Codes'!B:D,3,0)*LOG(E1085)+VLOOKUP(D1085,'Species Codes'!B:E,4,0)*LOG(I1085))),0),"")</f>
        <v/>
      </c>
      <c r="AA1085" s="104" t="str">
        <f>IFERROR((VLOOKUP(D1085,'Species Codes'!B:G,6,0)*Z1085)/2000,"")</f>
        <v/>
      </c>
      <c r="AB1085" s="104" t="e">
        <f>IF(Z1085&gt;0,((IF(OR(D1085="DF",D1085="RA")=TRUE,EXP(VLOOKUP(D1085,'Species Codes'!B:I,8,0)+VLOOKUP(D1085,'Species Codes'!B:J,9,0)*(LN((E1085*2.54)))),IF(OR(D1085="PY",D1085="RC",D1085="WH",D1085="NF")=TRUE,VLOOKUP(D1085,'Species Codes'!B:I,8,0)+VLOOKUP(D1085,'Species Codes'!B:J,9,0)*((E1085*2.54)^2)*(I1085*0.3048),IF(OR(D1085="MD",D1085="BM",D1085="GA")=TRUE,((VLOOKUP(D1085,'Species Codes'!B:I,8,0)*(((((E1085*2.54)+VLOOKUP(D1085,'Species Codes'!B:J,9,0))/VLOOKUP(D1085,'Species Codes'!B:K,10,0))^VLOOKUP(D1085,'Species Codes'!B:L,11,0))*((I1085*0.3048)^VLOOKUP(D1085,'Species Codes'!B:M,12,0))))-(VLOOKUP(D1085,'Species Codes'!B:I,8,0)*((((E1085*2.54)^VLOOKUP(D1085,'Species Codes'!B:L,11,0))*((I1085*0.3048)^VLOOKUP(D1085,'Species Codes'!B:M,12,0))))))*35.3*VLOOKUP(D1085,'Species Codes'!B:G,6,0)/2.2046,VLOOKUP(D1085,'Species Codes'!B:I,8,0)+VLOOKUP(D1085,'Species Codes'!B:J,9,0)*(((E1085*2.54)/100)^2)*(I1085*0.3048)))))*0.0011023),0)</f>
        <v>#N/A</v>
      </c>
      <c r="AC1085" s="104" t="e">
        <f>IF(Z1085&gt;0,((IF(OR(D1085="RA",D1085="OA",D1085="OT",D1085="UN",D1085="PC"),EXP(VLOOKUP(D1085,'Species Codes'!B:O,14,0)+VLOOKUP(D1085,'Species Codes'!B:P,15,0)*LN((E1085*2.54)))-EXP(VLOOKUP(D1085,'Species Codes'!B:O,14,0)+VLOOKUP(D1085,'Species Codes'!B:P,15,0)*LN((E1085*2.54)))*(1/(VLOOKUP(D1085,'Species Codes'!B:Q,16,0)+VLOOKUP(D1085,'Species Codes'!B:R,17,0)*((E1085*2.54)^VLOOKUP(D1085,'Species Codes'!B:S,18,0)))),IF(OR(D1085="BM",D1085="MD",D1085="OA"),EXP(VLOOKUP(D1085,'Species Codes'!B:O,14,0)+VLOOKUP(D1085,'Species Codes'!B:P,15,0)*LN((E1085*2.54)))*(1-(1/(VLOOKUP(D1085,'Species Codes'!B:Q,16,0)+VLOOKUP(D1085,'Species Codes'!B:R,17,0)*((E1085*2.54)^VLOOKUP(D1085,'Species Codes'!B:S,18,0)))))/1000,IF(D1085="DF",EXP(VLOOKUP(D1085,'Species Codes'!B:O,14,0)+VLOOKUP(D1085,'Species Codes'!B:P,15,0)*LN((E1085*2.54))),VLOOKUP(D1085,'Species Codes'!B:O,14,0)+VLOOKUP(D1085,'Species Codes'!B:P,15,0)*(((E1085*2.54)/100)^2)*(I1085*0.3048)))))*0.0011023),0)</f>
        <v>#N/A</v>
      </c>
      <c r="AD1085" s="104" t="e">
        <f t="shared" si="490"/>
        <v>#N/A</v>
      </c>
      <c r="AE1085" s="104" t="e">
        <f t="shared" si="491"/>
        <v>#N/A</v>
      </c>
      <c r="AF1085" s="104" t="e">
        <f>IF(AND(VLOOKUP($D1085,Merchantability!$B:$C,2,0)="Yes",$E1085&gt;=VLOOKUP($D1085,Merchantability!$B:$D,3,0),$E1085&lt;=VLOOKUP($D1085,Merchantability!$B:$E,4,0)),AA1085,0)</f>
        <v>#N/A</v>
      </c>
      <c r="AG1085" s="104" t="e">
        <f>IF(AND(VLOOKUP($D1085,Merchantability!$B:$C,2,0)="Yes",$E1085&gt;=VLOOKUP($D1085,Merchantability!$B:$D,3,0),$E1085&lt;=VLOOKUP($D1085,Merchantability!$B:$E,4,0)),AB1085,0)</f>
        <v>#N/A</v>
      </c>
      <c r="AH1085" s="104" t="e">
        <f>IF(AND(VLOOKUP($D1085,Merchantability!$B:$C,2,0)="Yes",$E1085&gt;=VLOOKUP($D1085,Merchantability!$B:$D,3,0),$E1085&lt;=VLOOKUP($D1085,Merchantability!$B:$E,4,0)),AC1085,0)</f>
        <v>#N/A</v>
      </c>
      <c r="AI1085" s="104" t="e">
        <f t="shared" si="492"/>
        <v>#N/A</v>
      </c>
      <c r="AJ1085" s="104" t="e">
        <f t="shared" si="493"/>
        <v>#VALUE!</v>
      </c>
      <c r="AK1085" s="104" t="e">
        <f t="shared" si="494"/>
        <v>#N/A</v>
      </c>
      <c r="AL1085" s="104" t="e">
        <f t="shared" si="495"/>
        <v>#N/A</v>
      </c>
      <c r="AM1085" s="104" t="e">
        <f t="shared" si="496"/>
        <v>#N/A</v>
      </c>
      <c r="AN1085" s="104" t="e">
        <f t="shared" si="480"/>
        <v>#N/A</v>
      </c>
      <c r="AO1085" s="104" t="e">
        <f t="shared" si="481"/>
        <v>#N/A</v>
      </c>
      <c r="AP1085" s="104" t="e">
        <f t="shared" si="482"/>
        <v>#N/A</v>
      </c>
      <c r="AQ1085" s="104" t="e">
        <f t="shared" si="483"/>
        <v>#N/A</v>
      </c>
      <c r="AR1085" s="105" t="str">
        <f t="shared" si="475"/>
        <v/>
      </c>
      <c r="AS1085" s="105" t="str">
        <f t="shared" si="476"/>
        <v/>
      </c>
      <c r="AT1085" s="108" t="str">
        <f t="shared" si="477"/>
        <v/>
      </c>
      <c r="AU1085" s="108" t="str">
        <f t="shared" si="478"/>
        <v/>
      </c>
      <c r="AV1085" s="107" t="str">
        <f>IF(ISNUMBER(O1085),IF(VLOOKUP($A1085,Stand!C:J,8,FALSE)="Short",AT1085,AU1085),"")</f>
        <v/>
      </c>
      <c r="AW1085" s="109" t="str">
        <f t="shared" si="484"/>
        <v/>
      </c>
      <c r="AX1085" s="109" t="str">
        <f t="shared" si="485"/>
        <v/>
      </c>
      <c r="AY1085" s="112" t="str">
        <f>IF(ISNUMBER(O1085),IF(AND(VLOOKUP($D1085,Merchantability!$B:$C,2,0)="Yes",$E1085&gt;=VLOOKUP($D1085,Merchantability!$B:$D,3,0),$E1085&lt;=VLOOKUP($D1085,Merchantability!$B:$E,4,0)),(AV1085*O1085)*(1-$H1085/100),""),"")</f>
        <v/>
      </c>
      <c r="AZ1085" s="116"/>
      <c r="BA1085" s="116"/>
      <c r="BB1085" s="116"/>
      <c r="BE1085" s="62"/>
      <c r="BF1085" s="63"/>
    </row>
    <row r="1086" spans="1:58" ht="12.75" customHeight="1" x14ac:dyDescent="0.25">
      <c r="A1086" s="313"/>
      <c r="B1086" s="328"/>
      <c r="C1086" s="329"/>
      <c r="D1086" s="328"/>
      <c r="E1086" s="330"/>
      <c r="F1086" s="328"/>
      <c r="G1086" s="329"/>
      <c r="H1086" s="329"/>
      <c r="I1086" s="328"/>
      <c r="J1086" s="383"/>
      <c r="K1086" s="329"/>
      <c r="L1086" s="329"/>
      <c r="M1086" s="76"/>
      <c r="N1086" s="103" t="str">
        <f>IF(A1086="","",VLOOKUP(A1086,Stand!C:K,9,0))</f>
        <v/>
      </c>
      <c r="O1086" s="104" t="str">
        <f t="shared" si="470"/>
        <v/>
      </c>
      <c r="P1086" s="105" t="str">
        <f t="shared" si="471"/>
        <v/>
      </c>
      <c r="Q1086" s="105" t="str">
        <f t="shared" si="486"/>
        <v/>
      </c>
      <c r="R1086" s="103" t="str">
        <f t="shared" si="472"/>
        <v/>
      </c>
      <c r="S1086" s="103" t="str">
        <f t="shared" si="473"/>
        <v/>
      </c>
      <c r="T1086" s="106" t="str">
        <f t="shared" si="487"/>
        <v/>
      </c>
      <c r="U1086" s="106" t="str">
        <f t="shared" si="488"/>
        <v/>
      </c>
      <c r="V1086" s="106" t="str">
        <f t="shared" si="489"/>
        <v/>
      </c>
      <c r="W1086" s="105" t="str">
        <f t="shared" si="474"/>
        <v/>
      </c>
      <c r="X1086" s="104" t="str">
        <f t="shared" si="479"/>
        <v/>
      </c>
      <c r="Y1086" s="104" t="str">
        <f t="array" ref="Y1086">IFERROR(IF(ISNUMBER(O1086),IF(COUNT(IF(A1086=$A$2:$A$2427,IF(D1086=$D$2:$D$2427,IF($X$2:$X$2427&gt;0,1))))&gt;0,SUM(IF(A1086=$A$2:$A$2427,IF(D1086=$D$2:$D$2427,$X$2:$X$2427)))/COUNT(IF(A1086=$A$2:$A$2427,IF(D1086=$D$2:$D$2427,IF(ISNUMBER($X$2:$X$2427),1)))),0),""),0)</f>
        <v/>
      </c>
      <c r="Z1086" s="104" t="str">
        <f>IF(ISNUMBER(O1086),IF(I1086&gt;0,(10^(VLOOKUP(D1086,'Species Codes'!B:C,2,0)+VLOOKUP(D1086,'Species Codes'!B:D,3,0)*LOG(E1086)+VLOOKUP(D1086,'Species Codes'!B:E,4,0)*LOG(I1086))),0),"")</f>
        <v/>
      </c>
      <c r="AA1086" s="104" t="str">
        <f>IFERROR((VLOOKUP(D1086,'Species Codes'!B:G,6,0)*Z1086)/2000,"")</f>
        <v/>
      </c>
      <c r="AB1086" s="104" t="e">
        <f>IF(Z1086&gt;0,((IF(OR(D1086="DF",D1086="RA")=TRUE,EXP(VLOOKUP(D1086,'Species Codes'!B:I,8,0)+VLOOKUP(D1086,'Species Codes'!B:J,9,0)*(LN((E1086*2.54)))),IF(OR(D1086="PY",D1086="RC",D1086="WH",D1086="NF")=TRUE,VLOOKUP(D1086,'Species Codes'!B:I,8,0)+VLOOKUP(D1086,'Species Codes'!B:J,9,0)*((E1086*2.54)^2)*(I1086*0.3048),IF(OR(D1086="MD",D1086="BM",D1086="GA")=TRUE,((VLOOKUP(D1086,'Species Codes'!B:I,8,0)*(((((E1086*2.54)+VLOOKUP(D1086,'Species Codes'!B:J,9,0))/VLOOKUP(D1086,'Species Codes'!B:K,10,0))^VLOOKUP(D1086,'Species Codes'!B:L,11,0))*((I1086*0.3048)^VLOOKUP(D1086,'Species Codes'!B:M,12,0))))-(VLOOKUP(D1086,'Species Codes'!B:I,8,0)*((((E1086*2.54)^VLOOKUP(D1086,'Species Codes'!B:L,11,0))*((I1086*0.3048)^VLOOKUP(D1086,'Species Codes'!B:M,12,0))))))*35.3*VLOOKUP(D1086,'Species Codes'!B:G,6,0)/2.2046,VLOOKUP(D1086,'Species Codes'!B:I,8,0)+VLOOKUP(D1086,'Species Codes'!B:J,9,0)*(((E1086*2.54)/100)^2)*(I1086*0.3048)))))*0.0011023),0)</f>
        <v>#N/A</v>
      </c>
      <c r="AC1086" s="104" t="e">
        <f>IF(Z1086&gt;0,((IF(OR(D1086="RA",D1086="OA",D1086="OT",D1086="UN",D1086="PC"),EXP(VLOOKUP(D1086,'Species Codes'!B:O,14,0)+VLOOKUP(D1086,'Species Codes'!B:P,15,0)*LN((E1086*2.54)))-EXP(VLOOKUP(D1086,'Species Codes'!B:O,14,0)+VLOOKUP(D1086,'Species Codes'!B:P,15,0)*LN((E1086*2.54)))*(1/(VLOOKUP(D1086,'Species Codes'!B:Q,16,0)+VLOOKUP(D1086,'Species Codes'!B:R,17,0)*((E1086*2.54)^VLOOKUP(D1086,'Species Codes'!B:S,18,0)))),IF(OR(D1086="BM",D1086="MD",D1086="OA"),EXP(VLOOKUP(D1086,'Species Codes'!B:O,14,0)+VLOOKUP(D1086,'Species Codes'!B:P,15,0)*LN((E1086*2.54)))*(1-(1/(VLOOKUP(D1086,'Species Codes'!B:Q,16,0)+VLOOKUP(D1086,'Species Codes'!B:R,17,0)*((E1086*2.54)^VLOOKUP(D1086,'Species Codes'!B:S,18,0)))))/1000,IF(D1086="DF",EXP(VLOOKUP(D1086,'Species Codes'!B:O,14,0)+VLOOKUP(D1086,'Species Codes'!B:P,15,0)*LN((E1086*2.54))),VLOOKUP(D1086,'Species Codes'!B:O,14,0)+VLOOKUP(D1086,'Species Codes'!B:P,15,0)*(((E1086*2.54)/100)^2)*(I1086*0.3048)))))*0.0011023),0)</f>
        <v>#N/A</v>
      </c>
      <c r="AD1086" s="104" t="e">
        <f t="shared" si="490"/>
        <v>#N/A</v>
      </c>
      <c r="AE1086" s="104" t="e">
        <f t="shared" si="491"/>
        <v>#N/A</v>
      </c>
      <c r="AF1086" s="104" t="e">
        <f>IF(AND(VLOOKUP($D1086,Merchantability!$B:$C,2,0)="Yes",$E1086&gt;=VLOOKUP($D1086,Merchantability!$B:$D,3,0),$E1086&lt;=VLOOKUP($D1086,Merchantability!$B:$E,4,0)),AA1086,0)</f>
        <v>#N/A</v>
      </c>
      <c r="AG1086" s="104" t="e">
        <f>IF(AND(VLOOKUP($D1086,Merchantability!$B:$C,2,0)="Yes",$E1086&gt;=VLOOKUP($D1086,Merchantability!$B:$D,3,0),$E1086&lt;=VLOOKUP($D1086,Merchantability!$B:$E,4,0)),AB1086,0)</f>
        <v>#N/A</v>
      </c>
      <c r="AH1086" s="104" t="e">
        <f>IF(AND(VLOOKUP($D1086,Merchantability!$B:$C,2,0)="Yes",$E1086&gt;=VLOOKUP($D1086,Merchantability!$B:$D,3,0),$E1086&lt;=VLOOKUP($D1086,Merchantability!$B:$E,4,0)),AC1086,0)</f>
        <v>#N/A</v>
      </c>
      <c r="AI1086" s="104" t="e">
        <f t="shared" si="492"/>
        <v>#N/A</v>
      </c>
      <c r="AJ1086" s="104" t="e">
        <f t="shared" si="493"/>
        <v>#VALUE!</v>
      </c>
      <c r="AK1086" s="104" t="e">
        <f t="shared" si="494"/>
        <v>#N/A</v>
      </c>
      <c r="AL1086" s="104" t="e">
        <f t="shared" si="495"/>
        <v>#N/A</v>
      </c>
      <c r="AM1086" s="104" t="e">
        <f t="shared" si="496"/>
        <v>#N/A</v>
      </c>
      <c r="AN1086" s="104" t="e">
        <f t="shared" si="480"/>
        <v>#N/A</v>
      </c>
      <c r="AO1086" s="104" t="e">
        <f t="shared" si="481"/>
        <v>#N/A</v>
      </c>
      <c r="AP1086" s="104" t="e">
        <f t="shared" si="482"/>
        <v>#N/A</v>
      </c>
      <c r="AQ1086" s="104" t="e">
        <f t="shared" si="483"/>
        <v>#N/A</v>
      </c>
      <c r="AR1086" s="105" t="str">
        <f t="shared" si="475"/>
        <v/>
      </c>
      <c r="AS1086" s="105" t="str">
        <f t="shared" si="476"/>
        <v/>
      </c>
      <c r="AT1086" s="108" t="str">
        <f t="shared" si="477"/>
        <v/>
      </c>
      <c r="AU1086" s="108" t="str">
        <f t="shared" si="478"/>
        <v/>
      </c>
      <c r="AV1086" s="107" t="str">
        <f>IF(ISNUMBER(O1086),IF(VLOOKUP($A1086,Stand!C:J,8,FALSE)="Short",AT1086,AU1086),"")</f>
        <v/>
      </c>
      <c r="AW1086" s="109" t="str">
        <f t="shared" si="484"/>
        <v/>
      </c>
      <c r="AX1086" s="109" t="str">
        <f t="shared" si="485"/>
        <v/>
      </c>
      <c r="AY1086" s="112" t="str">
        <f>IF(ISNUMBER(O1086),IF(AND(VLOOKUP($D1086,Merchantability!$B:$C,2,0)="Yes",$E1086&gt;=VLOOKUP($D1086,Merchantability!$B:$D,3,0),$E1086&lt;=VLOOKUP($D1086,Merchantability!$B:$E,4,0)),(AV1086*O1086)*(1-$H1086/100),""),"")</f>
        <v/>
      </c>
      <c r="AZ1086" s="116"/>
      <c r="BA1086" s="116"/>
      <c r="BB1086" s="116"/>
      <c r="BE1086" s="62"/>
      <c r="BF1086" s="63"/>
    </row>
    <row r="1087" spans="1:58" ht="12.75" customHeight="1" x14ac:dyDescent="0.25">
      <c r="A1087" s="313"/>
      <c r="B1087" s="328"/>
      <c r="C1087" s="329"/>
      <c r="D1087" s="328"/>
      <c r="E1087" s="330"/>
      <c r="F1087" s="328"/>
      <c r="G1087" s="329"/>
      <c r="H1087" s="329"/>
      <c r="I1087" s="328"/>
      <c r="J1087" s="383"/>
      <c r="K1087" s="329"/>
      <c r="L1087" s="329"/>
      <c r="M1087" s="76"/>
      <c r="N1087" s="103" t="str">
        <f>IF(A1087="","",VLOOKUP(A1087,Stand!C:K,9,0))</f>
        <v/>
      </c>
      <c r="O1087" s="104" t="str">
        <f t="shared" si="470"/>
        <v/>
      </c>
      <c r="P1087" s="105" t="str">
        <f t="shared" si="471"/>
        <v/>
      </c>
      <c r="Q1087" s="105" t="str">
        <f t="shared" si="486"/>
        <v/>
      </c>
      <c r="R1087" s="103" t="str">
        <f t="shared" si="472"/>
        <v/>
      </c>
      <c r="S1087" s="103" t="str">
        <f t="shared" si="473"/>
        <v/>
      </c>
      <c r="T1087" s="106" t="str">
        <f t="shared" si="487"/>
        <v/>
      </c>
      <c r="U1087" s="106" t="str">
        <f t="shared" si="488"/>
        <v/>
      </c>
      <c r="V1087" s="106" t="str">
        <f t="shared" si="489"/>
        <v/>
      </c>
      <c r="W1087" s="105" t="str">
        <f t="shared" si="474"/>
        <v/>
      </c>
      <c r="X1087" s="104" t="str">
        <f t="shared" si="479"/>
        <v/>
      </c>
      <c r="Y1087" s="104" t="str">
        <f t="array" ref="Y1087">IFERROR(IF(ISNUMBER(O1087),IF(COUNT(IF(A1087=$A$2:$A$2427,IF(D1087=$D$2:$D$2427,IF($X$2:$X$2427&gt;0,1))))&gt;0,SUM(IF(A1087=$A$2:$A$2427,IF(D1087=$D$2:$D$2427,$X$2:$X$2427)))/COUNT(IF(A1087=$A$2:$A$2427,IF(D1087=$D$2:$D$2427,IF(ISNUMBER($X$2:$X$2427),1)))),0),""),0)</f>
        <v/>
      </c>
      <c r="Z1087" s="104" t="str">
        <f>IF(ISNUMBER(O1087),IF(I1087&gt;0,(10^(VLOOKUP(D1087,'Species Codes'!B:C,2,0)+VLOOKUP(D1087,'Species Codes'!B:D,3,0)*LOG(E1087)+VLOOKUP(D1087,'Species Codes'!B:E,4,0)*LOG(I1087))),0),"")</f>
        <v/>
      </c>
      <c r="AA1087" s="104" t="str">
        <f>IFERROR((VLOOKUP(D1087,'Species Codes'!B:G,6,0)*Z1087)/2000,"")</f>
        <v/>
      </c>
      <c r="AB1087" s="104" t="e">
        <f>IF(Z1087&gt;0,((IF(OR(D1087="DF",D1087="RA")=TRUE,EXP(VLOOKUP(D1087,'Species Codes'!B:I,8,0)+VLOOKUP(D1087,'Species Codes'!B:J,9,0)*(LN((E1087*2.54)))),IF(OR(D1087="PY",D1087="RC",D1087="WH",D1087="NF")=TRUE,VLOOKUP(D1087,'Species Codes'!B:I,8,0)+VLOOKUP(D1087,'Species Codes'!B:J,9,0)*((E1087*2.54)^2)*(I1087*0.3048),IF(OR(D1087="MD",D1087="BM",D1087="GA")=TRUE,((VLOOKUP(D1087,'Species Codes'!B:I,8,0)*(((((E1087*2.54)+VLOOKUP(D1087,'Species Codes'!B:J,9,0))/VLOOKUP(D1087,'Species Codes'!B:K,10,0))^VLOOKUP(D1087,'Species Codes'!B:L,11,0))*((I1087*0.3048)^VLOOKUP(D1087,'Species Codes'!B:M,12,0))))-(VLOOKUP(D1087,'Species Codes'!B:I,8,0)*((((E1087*2.54)^VLOOKUP(D1087,'Species Codes'!B:L,11,0))*((I1087*0.3048)^VLOOKUP(D1087,'Species Codes'!B:M,12,0))))))*35.3*VLOOKUP(D1087,'Species Codes'!B:G,6,0)/2.2046,VLOOKUP(D1087,'Species Codes'!B:I,8,0)+VLOOKUP(D1087,'Species Codes'!B:J,9,0)*(((E1087*2.54)/100)^2)*(I1087*0.3048)))))*0.0011023),0)</f>
        <v>#N/A</v>
      </c>
      <c r="AC1087" s="104" t="e">
        <f>IF(Z1087&gt;0,((IF(OR(D1087="RA",D1087="OA",D1087="OT",D1087="UN",D1087="PC"),EXP(VLOOKUP(D1087,'Species Codes'!B:O,14,0)+VLOOKUP(D1087,'Species Codes'!B:P,15,0)*LN((E1087*2.54)))-EXP(VLOOKUP(D1087,'Species Codes'!B:O,14,0)+VLOOKUP(D1087,'Species Codes'!B:P,15,0)*LN((E1087*2.54)))*(1/(VLOOKUP(D1087,'Species Codes'!B:Q,16,0)+VLOOKUP(D1087,'Species Codes'!B:R,17,0)*((E1087*2.54)^VLOOKUP(D1087,'Species Codes'!B:S,18,0)))),IF(OR(D1087="BM",D1087="MD",D1087="OA"),EXP(VLOOKUP(D1087,'Species Codes'!B:O,14,0)+VLOOKUP(D1087,'Species Codes'!B:P,15,0)*LN((E1087*2.54)))*(1-(1/(VLOOKUP(D1087,'Species Codes'!B:Q,16,0)+VLOOKUP(D1087,'Species Codes'!B:R,17,0)*((E1087*2.54)^VLOOKUP(D1087,'Species Codes'!B:S,18,0)))))/1000,IF(D1087="DF",EXP(VLOOKUP(D1087,'Species Codes'!B:O,14,0)+VLOOKUP(D1087,'Species Codes'!B:P,15,0)*LN((E1087*2.54))),VLOOKUP(D1087,'Species Codes'!B:O,14,0)+VLOOKUP(D1087,'Species Codes'!B:P,15,0)*(((E1087*2.54)/100)^2)*(I1087*0.3048)))))*0.0011023),0)</f>
        <v>#N/A</v>
      </c>
      <c r="AD1087" s="104" t="e">
        <f t="shared" si="490"/>
        <v>#N/A</v>
      </c>
      <c r="AE1087" s="104" t="e">
        <f t="shared" si="491"/>
        <v>#N/A</v>
      </c>
      <c r="AF1087" s="104" t="e">
        <f>IF(AND(VLOOKUP($D1087,Merchantability!$B:$C,2,0)="Yes",$E1087&gt;=VLOOKUP($D1087,Merchantability!$B:$D,3,0),$E1087&lt;=VLOOKUP($D1087,Merchantability!$B:$E,4,0)),AA1087,0)</f>
        <v>#N/A</v>
      </c>
      <c r="AG1087" s="104" t="e">
        <f>IF(AND(VLOOKUP($D1087,Merchantability!$B:$C,2,0)="Yes",$E1087&gt;=VLOOKUP($D1087,Merchantability!$B:$D,3,0),$E1087&lt;=VLOOKUP($D1087,Merchantability!$B:$E,4,0)),AB1087,0)</f>
        <v>#N/A</v>
      </c>
      <c r="AH1087" s="104" t="e">
        <f>IF(AND(VLOOKUP($D1087,Merchantability!$B:$C,2,0)="Yes",$E1087&gt;=VLOOKUP($D1087,Merchantability!$B:$D,3,0),$E1087&lt;=VLOOKUP($D1087,Merchantability!$B:$E,4,0)),AC1087,0)</f>
        <v>#N/A</v>
      </c>
      <c r="AI1087" s="104" t="e">
        <f t="shared" si="492"/>
        <v>#N/A</v>
      </c>
      <c r="AJ1087" s="104" t="e">
        <f t="shared" si="493"/>
        <v>#VALUE!</v>
      </c>
      <c r="AK1087" s="104" t="e">
        <f t="shared" si="494"/>
        <v>#N/A</v>
      </c>
      <c r="AL1087" s="104" t="e">
        <f t="shared" si="495"/>
        <v>#N/A</v>
      </c>
      <c r="AM1087" s="104" t="e">
        <f t="shared" si="496"/>
        <v>#N/A</v>
      </c>
      <c r="AN1087" s="104" t="e">
        <f t="shared" si="480"/>
        <v>#N/A</v>
      </c>
      <c r="AO1087" s="104" t="e">
        <f t="shared" si="481"/>
        <v>#N/A</v>
      </c>
      <c r="AP1087" s="104" t="e">
        <f t="shared" si="482"/>
        <v>#N/A</v>
      </c>
      <c r="AQ1087" s="104" t="e">
        <f t="shared" si="483"/>
        <v>#N/A</v>
      </c>
      <c r="AR1087" s="105" t="str">
        <f t="shared" si="475"/>
        <v/>
      </c>
      <c r="AS1087" s="105" t="str">
        <f t="shared" si="476"/>
        <v/>
      </c>
      <c r="AT1087" s="108" t="str">
        <f t="shared" si="477"/>
        <v/>
      </c>
      <c r="AU1087" s="108" t="str">
        <f t="shared" si="478"/>
        <v/>
      </c>
      <c r="AV1087" s="107" t="str">
        <f>IF(ISNUMBER(O1087),IF(VLOOKUP($A1087,Stand!C:J,8,FALSE)="Short",AT1087,AU1087),"")</f>
        <v/>
      </c>
      <c r="AW1087" s="109" t="str">
        <f t="shared" si="484"/>
        <v/>
      </c>
      <c r="AX1087" s="109" t="str">
        <f t="shared" si="485"/>
        <v/>
      </c>
      <c r="AY1087" s="112" t="str">
        <f>IF(ISNUMBER(O1087),IF(AND(VLOOKUP($D1087,Merchantability!$B:$C,2,0)="Yes",$E1087&gt;=VLOOKUP($D1087,Merchantability!$B:$D,3,0),$E1087&lt;=VLOOKUP($D1087,Merchantability!$B:$E,4,0)),(AV1087*O1087)*(1-$H1087/100),""),"")</f>
        <v/>
      </c>
      <c r="AZ1087" s="116"/>
      <c r="BA1087" s="116"/>
      <c r="BB1087" s="116"/>
      <c r="BE1087" s="62"/>
      <c r="BF1087" s="63"/>
    </row>
    <row r="1088" spans="1:58" ht="12.75" customHeight="1" x14ac:dyDescent="0.25">
      <c r="A1088" s="313"/>
      <c r="B1088" s="328"/>
      <c r="C1088" s="329"/>
      <c r="D1088" s="328"/>
      <c r="E1088" s="330"/>
      <c r="F1088" s="328"/>
      <c r="G1088" s="329"/>
      <c r="H1088" s="329"/>
      <c r="I1088" s="328"/>
      <c r="J1088" s="383"/>
      <c r="K1088" s="329"/>
      <c r="L1088" s="329"/>
      <c r="M1088" s="76"/>
      <c r="N1088" s="103" t="str">
        <f>IF(A1088="","",VLOOKUP(A1088,Stand!C:K,9,0))</f>
        <v/>
      </c>
      <c r="O1088" s="104" t="str">
        <f t="shared" si="470"/>
        <v/>
      </c>
      <c r="P1088" s="105" t="str">
        <f t="shared" si="471"/>
        <v/>
      </c>
      <c r="Q1088" s="105" t="str">
        <f t="shared" si="486"/>
        <v/>
      </c>
      <c r="R1088" s="103" t="str">
        <f t="shared" si="472"/>
        <v/>
      </c>
      <c r="S1088" s="103" t="str">
        <f t="shared" si="473"/>
        <v/>
      </c>
      <c r="T1088" s="106" t="str">
        <f t="shared" si="487"/>
        <v/>
      </c>
      <c r="U1088" s="106" t="str">
        <f t="shared" si="488"/>
        <v/>
      </c>
      <c r="V1088" s="106" t="str">
        <f t="shared" si="489"/>
        <v/>
      </c>
      <c r="W1088" s="105" t="str">
        <f t="shared" si="474"/>
        <v/>
      </c>
      <c r="X1088" s="104" t="str">
        <f t="shared" si="479"/>
        <v/>
      </c>
      <c r="Y1088" s="104" t="str">
        <f t="array" ref="Y1088">IFERROR(IF(ISNUMBER(O1088),IF(COUNT(IF(A1088=$A$2:$A$2427,IF(D1088=$D$2:$D$2427,IF($X$2:$X$2427&gt;0,1))))&gt;0,SUM(IF(A1088=$A$2:$A$2427,IF(D1088=$D$2:$D$2427,$X$2:$X$2427)))/COUNT(IF(A1088=$A$2:$A$2427,IF(D1088=$D$2:$D$2427,IF(ISNUMBER($X$2:$X$2427),1)))),0),""),0)</f>
        <v/>
      </c>
      <c r="Z1088" s="104" t="str">
        <f>IF(ISNUMBER(O1088),IF(I1088&gt;0,(10^(VLOOKUP(D1088,'Species Codes'!B:C,2,0)+VLOOKUP(D1088,'Species Codes'!B:D,3,0)*LOG(E1088)+VLOOKUP(D1088,'Species Codes'!B:E,4,0)*LOG(I1088))),0),"")</f>
        <v/>
      </c>
      <c r="AA1088" s="104" t="str">
        <f>IFERROR((VLOOKUP(D1088,'Species Codes'!B:G,6,0)*Z1088)/2000,"")</f>
        <v/>
      </c>
      <c r="AB1088" s="104" t="e">
        <f>IF(Z1088&gt;0,((IF(OR(D1088="DF",D1088="RA")=TRUE,EXP(VLOOKUP(D1088,'Species Codes'!B:I,8,0)+VLOOKUP(D1088,'Species Codes'!B:J,9,0)*(LN((E1088*2.54)))),IF(OR(D1088="PY",D1088="RC",D1088="WH",D1088="NF")=TRUE,VLOOKUP(D1088,'Species Codes'!B:I,8,0)+VLOOKUP(D1088,'Species Codes'!B:J,9,0)*((E1088*2.54)^2)*(I1088*0.3048),IF(OR(D1088="MD",D1088="BM",D1088="GA")=TRUE,((VLOOKUP(D1088,'Species Codes'!B:I,8,0)*(((((E1088*2.54)+VLOOKUP(D1088,'Species Codes'!B:J,9,0))/VLOOKUP(D1088,'Species Codes'!B:K,10,0))^VLOOKUP(D1088,'Species Codes'!B:L,11,0))*((I1088*0.3048)^VLOOKUP(D1088,'Species Codes'!B:M,12,0))))-(VLOOKUP(D1088,'Species Codes'!B:I,8,0)*((((E1088*2.54)^VLOOKUP(D1088,'Species Codes'!B:L,11,0))*((I1088*0.3048)^VLOOKUP(D1088,'Species Codes'!B:M,12,0))))))*35.3*VLOOKUP(D1088,'Species Codes'!B:G,6,0)/2.2046,VLOOKUP(D1088,'Species Codes'!B:I,8,0)+VLOOKUP(D1088,'Species Codes'!B:J,9,0)*(((E1088*2.54)/100)^2)*(I1088*0.3048)))))*0.0011023),0)</f>
        <v>#N/A</v>
      </c>
      <c r="AC1088" s="104" t="e">
        <f>IF(Z1088&gt;0,((IF(OR(D1088="RA",D1088="OA",D1088="OT",D1088="UN",D1088="PC"),EXP(VLOOKUP(D1088,'Species Codes'!B:O,14,0)+VLOOKUP(D1088,'Species Codes'!B:P,15,0)*LN((E1088*2.54)))-EXP(VLOOKUP(D1088,'Species Codes'!B:O,14,0)+VLOOKUP(D1088,'Species Codes'!B:P,15,0)*LN((E1088*2.54)))*(1/(VLOOKUP(D1088,'Species Codes'!B:Q,16,0)+VLOOKUP(D1088,'Species Codes'!B:R,17,0)*((E1088*2.54)^VLOOKUP(D1088,'Species Codes'!B:S,18,0)))),IF(OR(D1088="BM",D1088="MD",D1088="OA"),EXP(VLOOKUP(D1088,'Species Codes'!B:O,14,0)+VLOOKUP(D1088,'Species Codes'!B:P,15,0)*LN((E1088*2.54)))*(1-(1/(VLOOKUP(D1088,'Species Codes'!B:Q,16,0)+VLOOKUP(D1088,'Species Codes'!B:R,17,0)*((E1088*2.54)^VLOOKUP(D1088,'Species Codes'!B:S,18,0)))))/1000,IF(D1088="DF",EXP(VLOOKUP(D1088,'Species Codes'!B:O,14,0)+VLOOKUP(D1088,'Species Codes'!B:P,15,0)*LN((E1088*2.54))),VLOOKUP(D1088,'Species Codes'!B:O,14,0)+VLOOKUP(D1088,'Species Codes'!B:P,15,0)*(((E1088*2.54)/100)^2)*(I1088*0.3048)))))*0.0011023),0)</f>
        <v>#N/A</v>
      </c>
      <c r="AD1088" s="104" t="e">
        <f t="shared" si="490"/>
        <v>#N/A</v>
      </c>
      <c r="AE1088" s="104" t="e">
        <f t="shared" si="491"/>
        <v>#N/A</v>
      </c>
      <c r="AF1088" s="104" t="e">
        <f>IF(AND(VLOOKUP($D1088,Merchantability!$B:$C,2,0)="Yes",$E1088&gt;=VLOOKUP($D1088,Merchantability!$B:$D,3,0),$E1088&lt;=VLOOKUP($D1088,Merchantability!$B:$E,4,0)),AA1088,0)</f>
        <v>#N/A</v>
      </c>
      <c r="AG1088" s="104" t="e">
        <f>IF(AND(VLOOKUP($D1088,Merchantability!$B:$C,2,0)="Yes",$E1088&gt;=VLOOKUP($D1088,Merchantability!$B:$D,3,0),$E1088&lt;=VLOOKUP($D1088,Merchantability!$B:$E,4,0)),AB1088,0)</f>
        <v>#N/A</v>
      </c>
      <c r="AH1088" s="104" t="e">
        <f>IF(AND(VLOOKUP($D1088,Merchantability!$B:$C,2,0)="Yes",$E1088&gt;=VLOOKUP($D1088,Merchantability!$B:$D,3,0),$E1088&lt;=VLOOKUP($D1088,Merchantability!$B:$E,4,0)),AC1088,0)</f>
        <v>#N/A</v>
      </c>
      <c r="AI1088" s="104" t="e">
        <f t="shared" si="492"/>
        <v>#N/A</v>
      </c>
      <c r="AJ1088" s="104" t="e">
        <f t="shared" si="493"/>
        <v>#VALUE!</v>
      </c>
      <c r="AK1088" s="104" t="e">
        <f t="shared" si="494"/>
        <v>#N/A</v>
      </c>
      <c r="AL1088" s="104" t="e">
        <f t="shared" si="495"/>
        <v>#N/A</v>
      </c>
      <c r="AM1088" s="104" t="e">
        <f t="shared" si="496"/>
        <v>#N/A</v>
      </c>
      <c r="AN1088" s="104" t="e">
        <f t="shared" si="480"/>
        <v>#N/A</v>
      </c>
      <c r="AO1088" s="104" t="e">
        <f t="shared" si="481"/>
        <v>#N/A</v>
      </c>
      <c r="AP1088" s="104" t="e">
        <f t="shared" si="482"/>
        <v>#N/A</v>
      </c>
      <c r="AQ1088" s="104" t="e">
        <f t="shared" si="483"/>
        <v>#N/A</v>
      </c>
      <c r="AR1088" s="105" t="str">
        <f t="shared" si="475"/>
        <v/>
      </c>
      <c r="AS1088" s="105" t="str">
        <f t="shared" si="476"/>
        <v/>
      </c>
      <c r="AT1088" s="108" t="str">
        <f t="shared" si="477"/>
        <v/>
      </c>
      <c r="AU1088" s="108" t="str">
        <f t="shared" si="478"/>
        <v/>
      </c>
      <c r="AV1088" s="107" t="str">
        <f>IF(ISNUMBER(O1088),IF(VLOOKUP($A1088,Stand!C:J,8,FALSE)="Short",AT1088,AU1088),"")</f>
        <v/>
      </c>
      <c r="AW1088" s="109" t="str">
        <f t="shared" si="484"/>
        <v/>
      </c>
      <c r="AX1088" s="109" t="str">
        <f t="shared" si="485"/>
        <v/>
      </c>
      <c r="AY1088" s="112" t="str">
        <f>IF(ISNUMBER(O1088),IF(AND(VLOOKUP($D1088,Merchantability!$B:$C,2,0)="Yes",$E1088&gt;=VLOOKUP($D1088,Merchantability!$B:$D,3,0),$E1088&lt;=VLOOKUP($D1088,Merchantability!$B:$E,4,0)),(AV1088*O1088)*(1-$H1088/100),""),"")</f>
        <v/>
      </c>
      <c r="AZ1088" s="116"/>
      <c r="BA1088" s="116"/>
      <c r="BB1088" s="116"/>
      <c r="BE1088" s="62"/>
      <c r="BF1088" s="63"/>
    </row>
    <row r="1089" spans="1:58" ht="12.75" customHeight="1" x14ac:dyDescent="0.25">
      <c r="A1089" s="313"/>
      <c r="B1089" s="328"/>
      <c r="C1089" s="329"/>
      <c r="D1089" s="328"/>
      <c r="E1089" s="330"/>
      <c r="F1089" s="328"/>
      <c r="G1089" s="329"/>
      <c r="H1089" s="329"/>
      <c r="I1089" s="328"/>
      <c r="J1089" s="383"/>
      <c r="K1089" s="329"/>
      <c r="L1089" s="329"/>
      <c r="M1089" s="76"/>
      <c r="N1089" s="103" t="str">
        <f>IF(A1089="","",VLOOKUP(A1089,Stand!C:K,9,0))</f>
        <v/>
      </c>
      <c r="O1089" s="104" t="str">
        <f t="shared" si="470"/>
        <v/>
      </c>
      <c r="P1089" s="105" t="str">
        <f t="shared" si="471"/>
        <v/>
      </c>
      <c r="Q1089" s="105" t="str">
        <f t="shared" si="486"/>
        <v/>
      </c>
      <c r="R1089" s="103" t="str">
        <f t="shared" si="472"/>
        <v/>
      </c>
      <c r="S1089" s="103" t="str">
        <f t="shared" si="473"/>
        <v/>
      </c>
      <c r="T1089" s="106" t="str">
        <f t="shared" si="487"/>
        <v/>
      </c>
      <c r="U1089" s="106" t="str">
        <f t="shared" si="488"/>
        <v/>
      </c>
      <c r="V1089" s="106" t="str">
        <f t="shared" si="489"/>
        <v/>
      </c>
      <c r="W1089" s="105" t="str">
        <f t="shared" si="474"/>
        <v/>
      </c>
      <c r="X1089" s="104" t="str">
        <f t="shared" si="479"/>
        <v/>
      </c>
      <c r="Y1089" s="104" t="str">
        <f t="array" ref="Y1089">IFERROR(IF(ISNUMBER(O1089),IF(COUNT(IF(A1089=$A$2:$A$2427,IF(D1089=$D$2:$D$2427,IF($X$2:$X$2427&gt;0,1))))&gt;0,SUM(IF(A1089=$A$2:$A$2427,IF(D1089=$D$2:$D$2427,$X$2:$X$2427)))/COUNT(IF(A1089=$A$2:$A$2427,IF(D1089=$D$2:$D$2427,IF(ISNUMBER($X$2:$X$2427),1)))),0),""),0)</f>
        <v/>
      </c>
      <c r="Z1089" s="104" t="str">
        <f>IF(ISNUMBER(O1089),IF(I1089&gt;0,(10^(VLOOKUP(D1089,'Species Codes'!B:C,2,0)+VLOOKUP(D1089,'Species Codes'!B:D,3,0)*LOG(E1089)+VLOOKUP(D1089,'Species Codes'!B:E,4,0)*LOG(I1089))),0),"")</f>
        <v/>
      </c>
      <c r="AA1089" s="104" t="str">
        <f>IFERROR((VLOOKUP(D1089,'Species Codes'!B:G,6,0)*Z1089)/2000,"")</f>
        <v/>
      </c>
      <c r="AB1089" s="104" t="e">
        <f>IF(Z1089&gt;0,((IF(OR(D1089="DF",D1089="RA")=TRUE,EXP(VLOOKUP(D1089,'Species Codes'!B:I,8,0)+VLOOKUP(D1089,'Species Codes'!B:J,9,0)*(LN((E1089*2.54)))),IF(OR(D1089="PY",D1089="RC",D1089="WH",D1089="NF")=TRUE,VLOOKUP(D1089,'Species Codes'!B:I,8,0)+VLOOKUP(D1089,'Species Codes'!B:J,9,0)*((E1089*2.54)^2)*(I1089*0.3048),IF(OR(D1089="MD",D1089="BM",D1089="GA")=TRUE,((VLOOKUP(D1089,'Species Codes'!B:I,8,0)*(((((E1089*2.54)+VLOOKUP(D1089,'Species Codes'!B:J,9,0))/VLOOKUP(D1089,'Species Codes'!B:K,10,0))^VLOOKUP(D1089,'Species Codes'!B:L,11,0))*((I1089*0.3048)^VLOOKUP(D1089,'Species Codes'!B:M,12,0))))-(VLOOKUP(D1089,'Species Codes'!B:I,8,0)*((((E1089*2.54)^VLOOKUP(D1089,'Species Codes'!B:L,11,0))*((I1089*0.3048)^VLOOKUP(D1089,'Species Codes'!B:M,12,0))))))*35.3*VLOOKUP(D1089,'Species Codes'!B:G,6,0)/2.2046,VLOOKUP(D1089,'Species Codes'!B:I,8,0)+VLOOKUP(D1089,'Species Codes'!B:J,9,0)*(((E1089*2.54)/100)^2)*(I1089*0.3048)))))*0.0011023),0)</f>
        <v>#N/A</v>
      </c>
      <c r="AC1089" s="104" t="e">
        <f>IF(Z1089&gt;0,((IF(OR(D1089="RA",D1089="OA",D1089="OT",D1089="UN",D1089="PC"),EXP(VLOOKUP(D1089,'Species Codes'!B:O,14,0)+VLOOKUP(D1089,'Species Codes'!B:P,15,0)*LN((E1089*2.54)))-EXP(VLOOKUP(D1089,'Species Codes'!B:O,14,0)+VLOOKUP(D1089,'Species Codes'!B:P,15,0)*LN((E1089*2.54)))*(1/(VLOOKUP(D1089,'Species Codes'!B:Q,16,0)+VLOOKUP(D1089,'Species Codes'!B:R,17,0)*((E1089*2.54)^VLOOKUP(D1089,'Species Codes'!B:S,18,0)))),IF(OR(D1089="BM",D1089="MD",D1089="OA"),EXP(VLOOKUP(D1089,'Species Codes'!B:O,14,0)+VLOOKUP(D1089,'Species Codes'!B:P,15,0)*LN((E1089*2.54)))*(1-(1/(VLOOKUP(D1089,'Species Codes'!B:Q,16,0)+VLOOKUP(D1089,'Species Codes'!B:R,17,0)*((E1089*2.54)^VLOOKUP(D1089,'Species Codes'!B:S,18,0)))))/1000,IF(D1089="DF",EXP(VLOOKUP(D1089,'Species Codes'!B:O,14,0)+VLOOKUP(D1089,'Species Codes'!B:P,15,0)*LN((E1089*2.54))),VLOOKUP(D1089,'Species Codes'!B:O,14,0)+VLOOKUP(D1089,'Species Codes'!B:P,15,0)*(((E1089*2.54)/100)^2)*(I1089*0.3048)))))*0.0011023),0)</f>
        <v>#N/A</v>
      </c>
      <c r="AD1089" s="104" t="e">
        <f t="shared" si="490"/>
        <v>#N/A</v>
      </c>
      <c r="AE1089" s="104" t="e">
        <f t="shared" si="491"/>
        <v>#N/A</v>
      </c>
      <c r="AF1089" s="104" t="e">
        <f>IF(AND(VLOOKUP($D1089,Merchantability!$B:$C,2,0)="Yes",$E1089&gt;=VLOOKUP($D1089,Merchantability!$B:$D,3,0),$E1089&lt;=VLOOKUP($D1089,Merchantability!$B:$E,4,0)),AA1089,0)</f>
        <v>#N/A</v>
      </c>
      <c r="AG1089" s="104" t="e">
        <f>IF(AND(VLOOKUP($D1089,Merchantability!$B:$C,2,0)="Yes",$E1089&gt;=VLOOKUP($D1089,Merchantability!$B:$D,3,0),$E1089&lt;=VLOOKUP($D1089,Merchantability!$B:$E,4,0)),AB1089,0)</f>
        <v>#N/A</v>
      </c>
      <c r="AH1089" s="104" t="e">
        <f>IF(AND(VLOOKUP($D1089,Merchantability!$B:$C,2,0)="Yes",$E1089&gt;=VLOOKUP($D1089,Merchantability!$B:$D,3,0),$E1089&lt;=VLOOKUP($D1089,Merchantability!$B:$E,4,0)),AC1089,0)</f>
        <v>#N/A</v>
      </c>
      <c r="AI1089" s="104" t="e">
        <f t="shared" si="492"/>
        <v>#N/A</v>
      </c>
      <c r="AJ1089" s="104" t="e">
        <f t="shared" si="493"/>
        <v>#VALUE!</v>
      </c>
      <c r="AK1089" s="104" t="e">
        <f t="shared" si="494"/>
        <v>#N/A</v>
      </c>
      <c r="AL1089" s="104" t="e">
        <f t="shared" si="495"/>
        <v>#N/A</v>
      </c>
      <c r="AM1089" s="104" t="e">
        <f t="shared" si="496"/>
        <v>#N/A</v>
      </c>
      <c r="AN1089" s="104" t="e">
        <f t="shared" si="480"/>
        <v>#N/A</v>
      </c>
      <c r="AO1089" s="104" t="e">
        <f t="shared" si="481"/>
        <v>#N/A</v>
      </c>
      <c r="AP1089" s="104" t="e">
        <f t="shared" si="482"/>
        <v>#N/A</v>
      </c>
      <c r="AQ1089" s="104" t="e">
        <f t="shared" si="483"/>
        <v>#N/A</v>
      </c>
      <c r="AR1089" s="105" t="str">
        <f t="shared" si="475"/>
        <v/>
      </c>
      <c r="AS1089" s="105" t="str">
        <f t="shared" si="476"/>
        <v/>
      </c>
      <c r="AT1089" s="108" t="str">
        <f t="shared" si="477"/>
        <v/>
      </c>
      <c r="AU1089" s="108" t="str">
        <f t="shared" si="478"/>
        <v/>
      </c>
      <c r="AV1089" s="107" t="str">
        <f>IF(ISNUMBER(O1089),IF(VLOOKUP($A1089,Stand!C:J,8,FALSE)="Short",AT1089,AU1089),"")</f>
        <v/>
      </c>
      <c r="AW1089" s="109" t="str">
        <f t="shared" si="484"/>
        <v/>
      </c>
      <c r="AX1089" s="109" t="str">
        <f t="shared" si="485"/>
        <v/>
      </c>
      <c r="AY1089" s="112" t="str">
        <f>IF(ISNUMBER(O1089),IF(AND(VLOOKUP($D1089,Merchantability!$B:$C,2,0)="Yes",$E1089&gt;=VLOOKUP($D1089,Merchantability!$B:$D,3,0),$E1089&lt;=VLOOKUP($D1089,Merchantability!$B:$E,4,0)),(AV1089*O1089)*(1-$H1089/100),""),"")</f>
        <v/>
      </c>
      <c r="AZ1089" s="116"/>
      <c r="BA1089" s="116"/>
      <c r="BB1089" s="116"/>
      <c r="BE1089" s="62"/>
      <c r="BF1089" s="63"/>
    </row>
    <row r="1090" spans="1:58" ht="12.75" customHeight="1" x14ac:dyDescent="0.25">
      <c r="A1090" s="313"/>
      <c r="B1090" s="328"/>
      <c r="C1090" s="329"/>
      <c r="D1090" s="328"/>
      <c r="E1090" s="330"/>
      <c r="F1090" s="328"/>
      <c r="G1090" s="329"/>
      <c r="H1090" s="329"/>
      <c r="I1090" s="328"/>
      <c r="J1090" s="383"/>
      <c r="K1090" s="329"/>
      <c r="L1090" s="329"/>
      <c r="M1090" s="76"/>
      <c r="N1090" s="103" t="str">
        <f>IF(A1090="","",VLOOKUP(A1090,Stand!C:K,9,0))</f>
        <v/>
      </c>
      <c r="O1090" s="104" t="str">
        <f t="shared" ref="O1090:O1153" si="497">IF(E1090&gt;0,IF(G1090&gt;1,G1090*(43560/(N1090^2*3.14)),43560/(N1090^2*3.14)),"")</f>
        <v/>
      </c>
      <c r="P1090" s="105" t="str">
        <f t="shared" ref="P1090:P1153" si="498">IF(ISNUMBER(O1090),E1090*O1090,"")</f>
        <v/>
      </c>
      <c r="Q1090" s="105" t="str">
        <f t="shared" si="486"/>
        <v/>
      </c>
      <c r="R1090" s="103" t="str">
        <f t="shared" ref="R1090:R1153" si="499">IF(ISNUMBER(O1090),E1090^2*0.005454*O1090,"")</f>
        <v/>
      </c>
      <c r="S1090" s="103" t="str">
        <f t="shared" ref="S1090:S1153" si="500">IF(ISNUMBER(O1090),(E1090/10)^1.7*O1090,"")</f>
        <v/>
      </c>
      <c r="T1090" s="106" t="str">
        <f t="shared" si="487"/>
        <v/>
      </c>
      <c r="U1090" s="106" t="str">
        <f t="shared" si="488"/>
        <v/>
      </c>
      <c r="V1090" s="106" t="str">
        <f t="shared" si="489"/>
        <v/>
      </c>
      <c r="W1090" s="105" t="str">
        <f t="shared" ref="W1090:W1153" si="501">IF(AND(ISNUMBER(O1090),I1090&gt;0),I1090/(E1090/12),"")</f>
        <v/>
      </c>
      <c r="X1090" s="104" t="str">
        <f t="shared" si="479"/>
        <v/>
      </c>
      <c r="Y1090" s="104" t="str">
        <f t="array" ref="Y1090">IFERROR(IF(ISNUMBER(O1090),IF(COUNT(IF(A1090=$A$2:$A$2427,IF(D1090=$D$2:$D$2427,IF($X$2:$X$2427&gt;0,1))))&gt;0,SUM(IF(A1090=$A$2:$A$2427,IF(D1090=$D$2:$D$2427,$X$2:$X$2427)))/COUNT(IF(A1090=$A$2:$A$2427,IF(D1090=$D$2:$D$2427,IF(ISNUMBER($X$2:$X$2427),1)))),0),""),0)</f>
        <v/>
      </c>
      <c r="Z1090" s="104" t="str">
        <f>IF(ISNUMBER(O1090),IF(I1090&gt;0,(10^(VLOOKUP(D1090,'Species Codes'!B:C,2,0)+VLOOKUP(D1090,'Species Codes'!B:D,3,0)*LOG(E1090)+VLOOKUP(D1090,'Species Codes'!B:E,4,0)*LOG(I1090))),0),"")</f>
        <v/>
      </c>
      <c r="AA1090" s="104" t="str">
        <f>IFERROR((VLOOKUP(D1090,'Species Codes'!B:G,6,0)*Z1090)/2000,"")</f>
        <v/>
      </c>
      <c r="AB1090" s="104" t="e">
        <f>IF(Z1090&gt;0,((IF(OR(D1090="DF",D1090="RA")=TRUE,EXP(VLOOKUP(D1090,'Species Codes'!B:I,8,0)+VLOOKUP(D1090,'Species Codes'!B:J,9,0)*(LN((E1090*2.54)))),IF(OR(D1090="PY",D1090="RC",D1090="WH",D1090="NF")=TRUE,VLOOKUP(D1090,'Species Codes'!B:I,8,0)+VLOOKUP(D1090,'Species Codes'!B:J,9,0)*((E1090*2.54)^2)*(I1090*0.3048),IF(OR(D1090="MD",D1090="BM",D1090="GA")=TRUE,((VLOOKUP(D1090,'Species Codes'!B:I,8,0)*(((((E1090*2.54)+VLOOKUP(D1090,'Species Codes'!B:J,9,0))/VLOOKUP(D1090,'Species Codes'!B:K,10,0))^VLOOKUP(D1090,'Species Codes'!B:L,11,0))*((I1090*0.3048)^VLOOKUP(D1090,'Species Codes'!B:M,12,0))))-(VLOOKUP(D1090,'Species Codes'!B:I,8,0)*((((E1090*2.54)^VLOOKUP(D1090,'Species Codes'!B:L,11,0))*((I1090*0.3048)^VLOOKUP(D1090,'Species Codes'!B:M,12,0))))))*35.3*VLOOKUP(D1090,'Species Codes'!B:G,6,0)/2.2046,VLOOKUP(D1090,'Species Codes'!B:I,8,0)+VLOOKUP(D1090,'Species Codes'!B:J,9,0)*(((E1090*2.54)/100)^2)*(I1090*0.3048)))))*0.0011023),0)</f>
        <v>#N/A</v>
      </c>
      <c r="AC1090" s="104" t="e">
        <f>IF(Z1090&gt;0,((IF(OR(D1090="RA",D1090="OA",D1090="OT",D1090="UN",D1090="PC"),EXP(VLOOKUP(D1090,'Species Codes'!B:O,14,0)+VLOOKUP(D1090,'Species Codes'!B:P,15,0)*LN((E1090*2.54)))-EXP(VLOOKUP(D1090,'Species Codes'!B:O,14,0)+VLOOKUP(D1090,'Species Codes'!B:P,15,0)*LN((E1090*2.54)))*(1/(VLOOKUP(D1090,'Species Codes'!B:Q,16,0)+VLOOKUP(D1090,'Species Codes'!B:R,17,0)*((E1090*2.54)^VLOOKUP(D1090,'Species Codes'!B:S,18,0)))),IF(OR(D1090="BM",D1090="MD",D1090="OA"),EXP(VLOOKUP(D1090,'Species Codes'!B:O,14,0)+VLOOKUP(D1090,'Species Codes'!B:P,15,0)*LN((E1090*2.54)))*(1-(1/(VLOOKUP(D1090,'Species Codes'!B:Q,16,0)+VLOOKUP(D1090,'Species Codes'!B:R,17,0)*((E1090*2.54)^VLOOKUP(D1090,'Species Codes'!B:S,18,0)))))/1000,IF(D1090="DF",EXP(VLOOKUP(D1090,'Species Codes'!B:O,14,0)+VLOOKUP(D1090,'Species Codes'!B:P,15,0)*LN((E1090*2.54))),VLOOKUP(D1090,'Species Codes'!B:O,14,0)+VLOOKUP(D1090,'Species Codes'!B:P,15,0)*(((E1090*2.54)/100)^2)*(I1090*0.3048)))))*0.0011023),0)</f>
        <v>#N/A</v>
      </c>
      <c r="AD1090" s="104" t="e">
        <f t="shared" si="490"/>
        <v>#N/A</v>
      </c>
      <c r="AE1090" s="104" t="e">
        <f t="shared" si="491"/>
        <v>#N/A</v>
      </c>
      <c r="AF1090" s="104" t="e">
        <f>IF(AND(VLOOKUP($D1090,Merchantability!$B:$C,2,0)="Yes",$E1090&gt;=VLOOKUP($D1090,Merchantability!$B:$D,3,0),$E1090&lt;=VLOOKUP($D1090,Merchantability!$B:$E,4,0)),AA1090,0)</f>
        <v>#N/A</v>
      </c>
      <c r="AG1090" s="104" t="e">
        <f>IF(AND(VLOOKUP($D1090,Merchantability!$B:$C,2,0)="Yes",$E1090&gt;=VLOOKUP($D1090,Merchantability!$B:$D,3,0),$E1090&lt;=VLOOKUP($D1090,Merchantability!$B:$E,4,0)),AB1090,0)</f>
        <v>#N/A</v>
      </c>
      <c r="AH1090" s="104" t="e">
        <f>IF(AND(VLOOKUP($D1090,Merchantability!$B:$C,2,0)="Yes",$E1090&gt;=VLOOKUP($D1090,Merchantability!$B:$D,3,0),$E1090&lt;=VLOOKUP($D1090,Merchantability!$B:$E,4,0)),AC1090,0)</f>
        <v>#N/A</v>
      </c>
      <c r="AI1090" s="104" t="e">
        <f t="shared" si="492"/>
        <v>#N/A</v>
      </c>
      <c r="AJ1090" s="104" t="e">
        <f t="shared" si="493"/>
        <v>#VALUE!</v>
      </c>
      <c r="AK1090" s="104" t="e">
        <f t="shared" si="494"/>
        <v>#N/A</v>
      </c>
      <c r="AL1090" s="104" t="e">
        <f t="shared" si="495"/>
        <v>#N/A</v>
      </c>
      <c r="AM1090" s="104" t="e">
        <f t="shared" si="496"/>
        <v>#N/A</v>
      </c>
      <c r="AN1090" s="104" t="e">
        <f t="shared" si="480"/>
        <v>#N/A</v>
      </c>
      <c r="AO1090" s="104" t="e">
        <f t="shared" si="481"/>
        <v>#N/A</v>
      </c>
      <c r="AP1090" s="104" t="e">
        <f t="shared" si="482"/>
        <v>#N/A</v>
      </c>
      <c r="AQ1090" s="104" t="e">
        <f t="shared" si="483"/>
        <v>#N/A</v>
      </c>
      <c r="AR1090" s="105" t="str">
        <f t="shared" ref="AR1090:AR1153" si="502">IF(ISNUMBER(O1090),IF(Y1090&gt;0,((Y1090*(E1090^2*0.005454-0.087266))/0.912733),0),"")</f>
        <v/>
      </c>
      <c r="AS1090" s="105" t="str">
        <f t="shared" ref="AS1090:AS1153" si="503">IF(ISNUMBER(O1090),AR1090*(0.993-0.993*(0.62^(E1090-6))),"")</f>
        <v/>
      </c>
      <c r="AT1090" s="108" t="str">
        <f t="shared" ref="AT1090:AT1153" si="504">IF(ISNUMBER(O1090),IF(AS1090&gt;0,IF(Y1090&gt;0,(AS1090*10^(0.174439+0.117594*(LOG(E1090,10))*(LOG(Y1090/0.912733,10))-8.210585/E1090^2+0.236693*(LOG(Y1090/0.912733,10))-0.00001345*(Y1090/0.912733)^2-0.00001937*E1090^2)),0),0),"")</f>
        <v/>
      </c>
      <c r="AU1090" s="108" t="str">
        <f t="shared" ref="AU1090:AU1153" si="505">IF(ISNUMBER(O1090),IF(AS1090&gt;0,IF(Y1090&gt;0,AT1090*(1.001491-(6.92497/Y1090)+(0.00001351*(E1090^2))),0),0),"")</f>
        <v/>
      </c>
      <c r="AV1090" s="107" t="str">
        <f>IF(ISNUMBER(O1090),IF(VLOOKUP($A1090,Stand!C:J,8,FALSE)="Short",AT1090,AU1090),"")</f>
        <v/>
      </c>
      <c r="AW1090" s="109" t="str">
        <f t="shared" si="484"/>
        <v/>
      </c>
      <c r="AX1090" s="109" t="str">
        <f t="shared" si="485"/>
        <v/>
      </c>
      <c r="AY1090" s="112" t="str">
        <f>IF(ISNUMBER(O1090),IF(AND(VLOOKUP($D1090,Merchantability!$B:$C,2,0)="Yes",$E1090&gt;=VLOOKUP($D1090,Merchantability!$B:$D,3,0),$E1090&lt;=VLOOKUP($D1090,Merchantability!$B:$E,4,0)),(AV1090*O1090)*(1-$H1090/100),""),"")</f>
        <v/>
      </c>
      <c r="AZ1090" s="116"/>
      <c r="BA1090" s="116"/>
      <c r="BB1090" s="116"/>
      <c r="BE1090" s="62"/>
      <c r="BF1090" s="63"/>
    </row>
    <row r="1091" spans="1:58" ht="12.75" customHeight="1" x14ac:dyDescent="0.25">
      <c r="A1091" s="313"/>
      <c r="B1091" s="328"/>
      <c r="C1091" s="329"/>
      <c r="D1091" s="328"/>
      <c r="E1091" s="330"/>
      <c r="F1091" s="328"/>
      <c r="G1091" s="329"/>
      <c r="H1091" s="329"/>
      <c r="I1091" s="328"/>
      <c r="J1091" s="383"/>
      <c r="K1091" s="329"/>
      <c r="L1091" s="329"/>
      <c r="M1091" s="76"/>
      <c r="N1091" s="103" t="str">
        <f>IF(A1091="","",VLOOKUP(A1091,Stand!C:K,9,0))</f>
        <v/>
      </c>
      <c r="O1091" s="104" t="str">
        <f t="shared" si="497"/>
        <v/>
      </c>
      <c r="P1091" s="105" t="str">
        <f t="shared" si="498"/>
        <v/>
      </c>
      <c r="Q1091" s="105" t="str">
        <f t="shared" si="486"/>
        <v/>
      </c>
      <c r="R1091" s="103" t="str">
        <f t="shared" si="499"/>
        <v/>
      </c>
      <c r="S1091" s="103" t="str">
        <f t="shared" si="500"/>
        <v/>
      </c>
      <c r="T1091" s="106" t="str">
        <f t="shared" si="487"/>
        <v/>
      </c>
      <c r="U1091" s="106" t="str">
        <f t="shared" si="488"/>
        <v/>
      </c>
      <c r="V1091" s="106" t="str">
        <f t="shared" si="489"/>
        <v/>
      </c>
      <c r="W1091" s="105" t="str">
        <f t="shared" si="501"/>
        <v/>
      </c>
      <c r="X1091" s="104" t="str">
        <f t="shared" ref="X1091:X1154" si="506">IF(ISNUMBER(O1091),IF(I1091&gt;0,IF(E1091&gt;0,(0.912733*Z1091)/(1.033*(1+1.382937*EXP(-4.015292*E1091/10))*((E1091^2)*0.005454+0.087266)-0.174533),""),""),"")</f>
        <v/>
      </c>
      <c r="Y1091" s="104" t="str">
        <f t="array" ref="Y1091">IFERROR(IF(ISNUMBER(O1091),IF(COUNT(IF(A1091=$A$2:$A$2427,IF(D1091=$D$2:$D$2427,IF($X$2:$X$2427&gt;0,1))))&gt;0,SUM(IF(A1091=$A$2:$A$2427,IF(D1091=$D$2:$D$2427,$X$2:$X$2427)))/COUNT(IF(A1091=$A$2:$A$2427,IF(D1091=$D$2:$D$2427,IF(ISNUMBER($X$2:$X$2427),1)))),0),""),0)</f>
        <v/>
      </c>
      <c r="Z1091" s="104" t="str">
        <f>IF(ISNUMBER(O1091),IF(I1091&gt;0,(10^(VLOOKUP(D1091,'Species Codes'!B:C,2,0)+VLOOKUP(D1091,'Species Codes'!B:D,3,0)*LOG(E1091)+VLOOKUP(D1091,'Species Codes'!B:E,4,0)*LOG(I1091))),0),"")</f>
        <v/>
      </c>
      <c r="AA1091" s="104" t="str">
        <f>IFERROR((VLOOKUP(D1091,'Species Codes'!B:G,6,0)*Z1091)/2000,"")</f>
        <v/>
      </c>
      <c r="AB1091" s="104" t="e">
        <f>IF(Z1091&gt;0,((IF(OR(D1091="DF",D1091="RA")=TRUE,EXP(VLOOKUP(D1091,'Species Codes'!B:I,8,0)+VLOOKUP(D1091,'Species Codes'!B:J,9,0)*(LN((E1091*2.54)))),IF(OR(D1091="PY",D1091="RC",D1091="WH",D1091="NF")=TRUE,VLOOKUP(D1091,'Species Codes'!B:I,8,0)+VLOOKUP(D1091,'Species Codes'!B:J,9,0)*((E1091*2.54)^2)*(I1091*0.3048),IF(OR(D1091="MD",D1091="BM",D1091="GA")=TRUE,((VLOOKUP(D1091,'Species Codes'!B:I,8,0)*(((((E1091*2.54)+VLOOKUP(D1091,'Species Codes'!B:J,9,0))/VLOOKUP(D1091,'Species Codes'!B:K,10,0))^VLOOKUP(D1091,'Species Codes'!B:L,11,0))*((I1091*0.3048)^VLOOKUP(D1091,'Species Codes'!B:M,12,0))))-(VLOOKUP(D1091,'Species Codes'!B:I,8,0)*((((E1091*2.54)^VLOOKUP(D1091,'Species Codes'!B:L,11,0))*((I1091*0.3048)^VLOOKUP(D1091,'Species Codes'!B:M,12,0))))))*35.3*VLOOKUP(D1091,'Species Codes'!B:G,6,0)/2.2046,VLOOKUP(D1091,'Species Codes'!B:I,8,0)+VLOOKUP(D1091,'Species Codes'!B:J,9,0)*(((E1091*2.54)/100)^2)*(I1091*0.3048)))))*0.0011023),0)</f>
        <v>#N/A</v>
      </c>
      <c r="AC1091" s="104" t="e">
        <f>IF(Z1091&gt;0,((IF(OR(D1091="RA",D1091="OA",D1091="OT",D1091="UN",D1091="PC"),EXP(VLOOKUP(D1091,'Species Codes'!B:O,14,0)+VLOOKUP(D1091,'Species Codes'!B:P,15,0)*LN((E1091*2.54)))-EXP(VLOOKUP(D1091,'Species Codes'!B:O,14,0)+VLOOKUP(D1091,'Species Codes'!B:P,15,0)*LN((E1091*2.54)))*(1/(VLOOKUP(D1091,'Species Codes'!B:Q,16,0)+VLOOKUP(D1091,'Species Codes'!B:R,17,0)*((E1091*2.54)^VLOOKUP(D1091,'Species Codes'!B:S,18,0)))),IF(OR(D1091="BM",D1091="MD",D1091="OA"),EXP(VLOOKUP(D1091,'Species Codes'!B:O,14,0)+VLOOKUP(D1091,'Species Codes'!B:P,15,0)*LN((E1091*2.54)))*(1-(1/(VLOOKUP(D1091,'Species Codes'!B:Q,16,0)+VLOOKUP(D1091,'Species Codes'!B:R,17,0)*((E1091*2.54)^VLOOKUP(D1091,'Species Codes'!B:S,18,0)))))/1000,IF(D1091="DF",EXP(VLOOKUP(D1091,'Species Codes'!B:O,14,0)+VLOOKUP(D1091,'Species Codes'!B:P,15,0)*LN((E1091*2.54))),VLOOKUP(D1091,'Species Codes'!B:O,14,0)+VLOOKUP(D1091,'Species Codes'!B:P,15,0)*(((E1091*2.54)/100)^2)*(I1091*0.3048)))))*0.0011023),0)</f>
        <v>#N/A</v>
      </c>
      <c r="AD1091" s="104" t="e">
        <f t="shared" si="490"/>
        <v>#N/A</v>
      </c>
      <c r="AE1091" s="104" t="e">
        <f t="shared" si="491"/>
        <v>#N/A</v>
      </c>
      <c r="AF1091" s="104" t="e">
        <f>IF(AND(VLOOKUP($D1091,Merchantability!$B:$C,2,0)="Yes",$E1091&gt;=VLOOKUP($D1091,Merchantability!$B:$D,3,0),$E1091&lt;=VLOOKUP($D1091,Merchantability!$B:$E,4,0)),AA1091,0)</f>
        <v>#N/A</v>
      </c>
      <c r="AG1091" s="104" t="e">
        <f>IF(AND(VLOOKUP($D1091,Merchantability!$B:$C,2,0)="Yes",$E1091&gt;=VLOOKUP($D1091,Merchantability!$B:$D,3,0),$E1091&lt;=VLOOKUP($D1091,Merchantability!$B:$E,4,0)),AB1091,0)</f>
        <v>#N/A</v>
      </c>
      <c r="AH1091" s="104" t="e">
        <f>IF(AND(VLOOKUP($D1091,Merchantability!$B:$C,2,0)="Yes",$E1091&gt;=VLOOKUP($D1091,Merchantability!$B:$D,3,0),$E1091&lt;=VLOOKUP($D1091,Merchantability!$B:$E,4,0)),AC1091,0)</f>
        <v>#N/A</v>
      </c>
      <c r="AI1091" s="104" t="e">
        <f t="shared" si="492"/>
        <v>#N/A</v>
      </c>
      <c r="AJ1091" s="104" t="e">
        <f t="shared" si="493"/>
        <v>#VALUE!</v>
      </c>
      <c r="AK1091" s="104" t="e">
        <f t="shared" si="494"/>
        <v>#N/A</v>
      </c>
      <c r="AL1091" s="104" t="e">
        <f t="shared" si="495"/>
        <v>#N/A</v>
      </c>
      <c r="AM1091" s="104" t="e">
        <f t="shared" si="496"/>
        <v>#N/A</v>
      </c>
      <c r="AN1091" s="104" t="e">
        <f t="shared" ref="AN1091:AN1154" si="507">AF1091*$O1091</f>
        <v>#N/A</v>
      </c>
      <c r="AO1091" s="104" t="e">
        <f t="shared" ref="AO1091:AO1154" si="508">AG1091*$O1091</f>
        <v>#N/A</v>
      </c>
      <c r="AP1091" s="104" t="e">
        <f t="shared" ref="AP1091:AP1154" si="509">AH1091*$O1091</f>
        <v>#N/A</v>
      </c>
      <c r="AQ1091" s="104" t="e">
        <f t="shared" ref="AQ1091:AQ1154" si="510">SUM(AN1091:AP1091)</f>
        <v>#N/A</v>
      </c>
      <c r="AR1091" s="105" t="str">
        <f t="shared" si="502"/>
        <v/>
      </c>
      <c r="AS1091" s="105" t="str">
        <f t="shared" si="503"/>
        <v/>
      </c>
      <c r="AT1091" s="108" t="str">
        <f t="shared" si="504"/>
        <v/>
      </c>
      <c r="AU1091" s="108" t="str">
        <f t="shared" si="505"/>
        <v/>
      </c>
      <c r="AV1091" s="107" t="str">
        <f>IF(ISNUMBER(O1091),IF(VLOOKUP($A1091,Stand!C:J,8,FALSE)="Short",AT1091,AU1091),"")</f>
        <v/>
      </c>
      <c r="AW1091" s="109" t="str">
        <f t="shared" ref="AW1091:AW1154" si="511">IF(ISNUMBER(O1091),AV1091*O1091,"")</f>
        <v/>
      </c>
      <c r="AX1091" s="109" t="str">
        <f t="shared" ref="AX1091:AX1154" si="512">IF(ISNUMBER(O1091),AW1091*(1-$H1091/100),"")</f>
        <v/>
      </c>
      <c r="AY1091" s="112" t="str">
        <f>IF(ISNUMBER(O1091),IF(AND(VLOOKUP($D1091,Merchantability!$B:$C,2,0)="Yes",$E1091&gt;=VLOOKUP($D1091,Merchantability!$B:$D,3,0),$E1091&lt;=VLOOKUP($D1091,Merchantability!$B:$E,4,0)),(AV1091*O1091)*(1-$H1091/100),""),"")</f>
        <v/>
      </c>
      <c r="AZ1091" s="116"/>
      <c r="BA1091" s="116"/>
      <c r="BB1091" s="116"/>
      <c r="BE1091" s="62"/>
      <c r="BF1091" s="63"/>
    </row>
    <row r="1092" spans="1:58" ht="12.75" customHeight="1" x14ac:dyDescent="0.25">
      <c r="A1092" s="313"/>
      <c r="B1092" s="328"/>
      <c r="C1092" s="329"/>
      <c r="D1092" s="328"/>
      <c r="E1092" s="330"/>
      <c r="F1092" s="328"/>
      <c r="G1092" s="329"/>
      <c r="H1092" s="329"/>
      <c r="I1092" s="328"/>
      <c r="J1092" s="383"/>
      <c r="K1092" s="329"/>
      <c r="L1092" s="329"/>
      <c r="M1092" s="76"/>
      <c r="N1092" s="103" t="str">
        <f>IF(A1092="","",VLOOKUP(A1092,Stand!C:K,9,0))</f>
        <v/>
      </c>
      <c r="O1092" s="104" t="str">
        <f t="shared" si="497"/>
        <v/>
      </c>
      <c r="P1092" s="105" t="str">
        <f t="shared" si="498"/>
        <v/>
      </c>
      <c r="Q1092" s="105" t="str">
        <f t="shared" si="486"/>
        <v/>
      </c>
      <c r="R1092" s="103" t="str">
        <f t="shared" si="499"/>
        <v/>
      </c>
      <c r="S1092" s="103" t="str">
        <f t="shared" si="500"/>
        <v/>
      </c>
      <c r="T1092" s="106" t="str">
        <f t="shared" si="487"/>
        <v/>
      </c>
      <c r="U1092" s="106" t="str">
        <f t="shared" si="488"/>
        <v/>
      </c>
      <c r="V1092" s="106" t="str">
        <f t="shared" si="489"/>
        <v/>
      </c>
      <c r="W1092" s="105" t="str">
        <f t="shared" si="501"/>
        <v/>
      </c>
      <c r="X1092" s="104" t="str">
        <f t="shared" si="506"/>
        <v/>
      </c>
      <c r="Y1092" s="104" t="str">
        <f t="array" ref="Y1092">IFERROR(IF(ISNUMBER(O1092),IF(COUNT(IF(A1092=$A$2:$A$2427,IF(D1092=$D$2:$D$2427,IF($X$2:$X$2427&gt;0,1))))&gt;0,SUM(IF(A1092=$A$2:$A$2427,IF(D1092=$D$2:$D$2427,$X$2:$X$2427)))/COUNT(IF(A1092=$A$2:$A$2427,IF(D1092=$D$2:$D$2427,IF(ISNUMBER($X$2:$X$2427),1)))),0),""),0)</f>
        <v/>
      </c>
      <c r="Z1092" s="104" t="str">
        <f>IF(ISNUMBER(O1092),IF(I1092&gt;0,(10^(VLOOKUP(D1092,'Species Codes'!B:C,2,0)+VLOOKUP(D1092,'Species Codes'!B:D,3,0)*LOG(E1092)+VLOOKUP(D1092,'Species Codes'!B:E,4,0)*LOG(I1092))),0),"")</f>
        <v/>
      </c>
      <c r="AA1092" s="104" t="str">
        <f>IFERROR((VLOOKUP(D1092,'Species Codes'!B:G,6,0)*Z1092)/2000,"")</f>
        <v/>
      </c>
      <c r="AB1092" s="104" t="e">
        <f>IF(Z1092&gt;0,((IF(OR(D1092="DF",D1092="RA")=TRUE,EXP(VLOOKUP(D1092,'Species Codes'!B:I,8,0)+VLOOKUP(D1092,'Species Codes'!B:J,9,0)*(LN((E1092*2.54)))),IF(OR(D1092="PY",D1092="RC",D1092="WH",D1092="NF")=TRUE,VLOOKUP(D1092,'Species Codes'!B:I,8,0)+VLOOKUP(D1092,'Species Codes'!B:J,9,0)*((E1092*2.54)^2)*(I1092*0.3048),IF(OR(D1092="MD",D1092="BM",D1092="GA")=TRUE,((VLOOKUP(D1092,'Species Codes'!B:I,8,0)*(((((E1092*2.54)+VLOOKUP(D1092,'Species Codes'!B:J,9,0))/VLOOKUP(D1092,'Species Codes'!B:K,10,0))^VLOOKUP(D1092,'Species Codes'!B:L,11,0))*((I1092*0.3048)^VLOOKUP(D1092,'Species Codes'!B:M,12,0))))-(VLOOKUP(D1092,'Species Codes'!B:I,8,0)*((((E1092*2.54)^VLOOKUP(D1092,'Species Codes'!B:L,11,0))*((I1092*0.3048)^VLOOKUP(D1092,'Species Codes'!B:M,12,0))))))*35.3*VLOOKUP(D1092,'Species Codes'!B:G,6,0)/2.2046,VLOOKUP(D1092,'Species Codes'!B:I,8,0)+VLOOKUP(D1092,'Species Codes'!B:J,9,0)*(((E1092*2.54)/100)^2)*(I1092*0.3048)))))*0.0011023),0)</f>
        <v>#N/A</v>
      </c>
      <c r="AC1092" s="104" t="e">
        <f>IF(Z1092&gt;0,((IF(OR(D1092="RA",D1092="OA",D1092="OT",D1092="UN",D1092="PC"),EXP(VLOOKUP(D1092,'Species Codes'!B:O,14,0)+VLOOKUP(D1092,'Species Codes'!B:P,15,0)*LN((E1092*2.54)))-EXP(VLOOKUP(D1092,'Species Codes'!B:O,14,0)+VLOOKUP(D1092,'Species Codes'!B:P,15,0)*LN((E1092*2.54)))*(1/(VLOOKUP(D1092,'Species Codes'!B:Q,16,0)+VLOOKUP(D1092,'Species Codes'!B:R,17,0)*((E1092*2.54)^VLOOKUP(D1092,'Species Codes'!B:S,18,0)))),IF(OR(D1092="BM",D1092="MD",D1092="OA"),EXP(VLOOKUP(D1092,'Species Codes'!B:O,14,0)+VLOOKUP(D1092,'Species Codes'!B:P,15,0)*LN((E1092*2.54)))*(1-(1/(VLOOKUP(D1092,'Species Codes'!B:Q,16,0)+VLOOKUP(D1092,'Species Codes'!B:R,17,0)*((E1092*2.54)^VLOOKUP(D1092,'Species Codes'!B:S,18,0)))))/1000,IF(D1092="DF",EXP(VLOOKUP(D1092,'Species Codes'!B:O,14,0)+VLOOKUP(D1092,'Species Codes'!B:P,15,0)*LN((E1092*2.54))),VLOOKUP(D1092,'Species Codes'!B:O,14,0)+VLOOKUP(D1092,'Species Codes'!B:P,15,0)*(((E1092*2.54)/100)^2)*(I1092*0.3048)))))*0.0011023),0)</f>
        <v>#N/A</v>
      </c>
      <c r="AD1092" s="104" t="e">
        <f t="shared" si="490"/>
        <v>#N/A</v>
      </c>
      <c r="AE1092" s="104" t="e">
        <f t="shared" si="491"/>
        <v>#N/A</v>
      </c>
      <c r="AF1092" s="104" t="e">
        <f>IF(AND(VLOOKUP($D1092,Merchantability!$B:$C,2,0)="Yes",$E1092&gt;=VLOOKUP($D1092,Merchantability!$B:$D,3,0),$E1092&lt;=VLOOKUP($D1092,Merchantability!$B:$E,4,0)),AA1092,0)</f>
        <v>#N/A</v>
      </c>
      <c r="AG1092" s="104" t="e">
        <f>IF(AND(VLOOKUP($D1092,Merchantability!$B:$C,2,0)="Yes",$E1092&gt;=VLOOKUP($D1092,Merchantability!$B:$D,3,0),$E1092&lt;=VLOOKUP($D1092,Merchantability!$B:$E,4,0)),AB1092,0)</f>
        <v>#N/A</v>
      </c>
      <c r="AH1092" s="104" t="e">
        <f>IF(AND(VLOOKUP($D1092,Merchantability!$B:$C,2,0)="Yes",$E1092&gt;=VLOOKUP($D1092,Merchantability!$B:$D,3,0),$E1092&lt;=VLOOKUP($D1092,Merchantability!$B:$E,4,0)),AC1092,0)</f>
        <v>#N/A</v>
      </c>
      <c r="AI1092" s="104" t="e">
        <f t="shared" si="492"/>
        <v>#N/A</v>
      </c>
      <c r="AJ1092" s="104" t="e">
        <f t="shared" si="493"/>
        <v>#VALUE!</v>
      </c>
      <c r="AK1092" s="104" t="e">
        <f t="shared" si="494"/>
        <v>#N/A</v>
      </c>
      <c r="AL1092" s="104" t="e">
        <f t="shared" si="495"/>
        <v>#N/A</v>
      </c>
      <c r="AM1092" s="104" t="e">
        <f t="shared" si="496"/>
        <v>#N/A</v>
      </c>
      <c r="AN1092" s="104" t="e">
        <f t="shared" si="507"/>
        <v>#N/A</v>
      </c>
      <c r="AO1092" s="104" t="e">
        <f t="shared" si="508"/>
        <v>#N/A</v>
      </c>
      <c r="AP1092" s="104" t="e">
        <f t="shared" si="509"/>
        <v>#N/A</v>
      </c>
      <c r="AQ1092" s="104" t="e">
        <f t="shared" si="510"/>
        <v>#N/A</v>
      </c>
      <c r="AR1092" s="105" t="str">
        <f t="shared" si="502"/>
        <v/>
      </c>
      <c r="AS1092" s="105" t="str">
        <f t="shared" si="503"/>
        <v/>
      </c>
      <c r="AT1092" s="108" t="str">
        <f t="shared" si="504"/>
        <v/>
      </c>
      <c r="AU1092" s="108" t="str">
        <f t="shared" si="505"/>
        <v/>
      </c>
      <c r="AV1092" s="107" t="str">
        <f>IF(ISNUMBER(O1092),IF(VLOOKUP($A1092,Stand!C:J,8,FALSE)="Short",AT1092,AU1092),"")</f>
        <v/>
      </c>
      <c r="AW1092" s="109" t="str">
        <f t="shared" si="511"/>
        <v/>
      </c>
      <c r="AX1092" s="109" t="str">
        <f t="shared" si="512"/>
        <v/>
      </c>
      <c r="AY1092" s="112" t="str">
        <f>IF(ISNUMBER(O1092),IF(AND(VLOOKUP($D1092,Merchantability!$B:$C,2,0)="Yes",$E1092&gt;=VLOOKUP($D1092,Merchantability!$B:$D,3,0),$E1092&lt;=VLOOKUP($D1092,Merchantability!$B:$E,4,0)),(AV1092*O1092)*(1-$H1092/100),""),"")</f>
        <v/>
      </c>
      <c r="AZ1092" s="116"/>
      <c r="BA1092" s="116"/>
      <c r="BB1092" s="116"/>
      <c r="BE1092" s="62"/>
      <c r="BF1092" s="63"/>
    </row>
    <row r="1093" spans="1:58" ht="12.75" customHeight="1" x14ac:dyDescent="0.25">
      <c r="A1093" s="313"/>
      <c r="B1093" s="328"/>
      <c r="C1093" s="329"/>
      <c r="D1093" s="328"/>
      <c r="E1093" s="330"/>
      <c r="F1093" s="328"/>
      <c r="G1093" s="329"/>
      <c r="H1093" s="329"/>
      <c r="I1093" s="328"/>
      <c r="J1093" s="383"/>
      <c r="K1093" s="329"/>
      <c r="L1093" s="329"/>
      <c r="M1093" s="76"/>
      <c r="N1093" s="103" t="str">
        <f>IF(A1093="","",VLOOKUP(A1093,Stand!C:K,9,0))</f>
        <v/>
      </c>
      <c r="O1093" s="104" t="str">
        <f t="shared" si="497"/>
        <v/>
      </c>
      <c r="P1093" s="105" t="str">
        <f t="shared" si="498"/>
        <v/>
      </c>
      <c r="Q1093" s="105" t="str">
        <f t="shared" si="486"/>
        <v/>
      </c>
      <c r="R1093" s="103" t="str">
        <f t="shared" si="499"/>
        <v/>
      </c>
      <c r="S1093" s="103" t="str">
        <f t="shared" si="500"/>
        <v/>
      </c>
      <c r="T1093" s="106" t="str">
        <f t="shared" si="487"/>
        <v/>
      </c>
      <c r="U1093" s="106" t="str">
        <f t="shared" si="488"/>
        <v/>
      </c>
      <c r="V1093" s="106" t="str">
        <f t="shared" si="489"/>
        <v/>
      </c>
      <c r="W1093" s="105" t="str">
        <f t="shared" si="501"/>
        <v/>
      </c>
      <c r="X1093" s="104" t="str">
        <f t="shared" si="506"/>
        <v/>
      </c>
      <c r="Y1093" s="104" t="str">
        <f t="array" ref="Y1093">IFERROR(IF(ISNUMBER(O1093),IF(COUNT(IF(A1093=$A$2:$A$2427,IF(D1093=$D$2:$D$2427,IF($X$2:$X$2427&gt;0,1))))&gt;0,SUM(IF(A1093=$A$2:$A$2427,IF(D1093=$D$2:$D$2427,$X$2:$X$2427)))/COUNT(IF(A1093=$A$2:$A$2427,IF(D1093=$D$2:$D$2427,IF(ISNUMBER($X$2:$X$2427),1)))),0),""),0)</f>
        <v/>
      </c>
      <c r="Z1093" s="104" t="str">
        <f>IF(ISNUMBER(O1093),IF(I1093&gt;0,(10^(VLOOKUP(D1093,'Species Codes'!B:C,2,0)+VLOOKUP(D1093,'Species Codes'!B:D,3,0)*LOG(E1093)+VLOOKUP(D1093,'Species Codes'!B:E,4,0)*LOG(I1093))),0),"")</f>
        <v/>
      </c>
      <c r="AA1093" s="104" t="str">
        <f>IFERROR((VLOOKUP(D1093,'Species Codes'!B:G,6,0)*Z1093)/2000,"")</f>
        <v/>
      </c>
      <c r="AB1093" s="104" t="e">
        <f>IF(Z1093&gt;0,((IF(OR(D1093="DF",D1093="RA")=TRUE,EXP(VLOOKUP(D1093,'Species Codes'!B:I,8,0)+VLOOKUP(D1093,'Species Codes'!B:J,9,0)*(LN((E1093*2.54)))),IF(OR(D1093="PY",D1093="RC",D1093="WH",D1093="NF")=TRUE,VLOOKUP(D1093,'Species Codes'!B:I,8,0)+VLOOKUP(D1093,'Species Codes'!B:J,9,0)*((E1093*2.54)^2)*(I1093*0.3048),IF(OR(D1093="MD",D1093="BM",D1093="GA")=TRUE,((VLOOKUP(D1093,'Species Codes'!B:I,8,0)*(((((E1093*2.54)+VLOOKUP(D1093,'Species Codes'!B:J,9,0))/VLOOKUP(D1093,'Species Codes'!B:K,10,0))^VLOOKUP(D1093,'Species Codes'!B:L,11,0))*((I1093*0.3048)^VLOOKUP(D1093,'Species Codes'!B:M,12,0))))-(VLOOKUP(D1093,'Species Codes'!B:I,8,0)*((((E1093*2.54)^VLOOKUP(D1093,'Species Codes'!B:L,11,0))*((I1093*0.3048)^VLOOKUP(D1093,'Species Codes'!B:M,12,0))))))*35.3*VLOOKUP(D1093,'Species Codes'!B:G,6,0)/2.2046,VLOOKUP(D1093,'Species Codes'!B:I,8,0)+VLOOKUP(D1093,'Species Codes'!B:J,9,0)*(((E1093*2.54)/100)^2)*(I1093*0.3048)))))*0.0011023),0)</f>
        <v>#N/A</v>
      </c>
      <c r="AC1093" s="104" t="e">
        <f>IF(Z1093&gt;0,((IF(OR(D1093="RA",D1093="OA",D1093="OT",D1093="UN",D1093="PC"),EXP(VLOOKUP(D1093,'Species Codes'!B:O,14,0)+VLOOKUP(D1093,'Species Codes'!B:P,15,0)*LN((E1093*2.54)))-EXP(VLOOKUP(D1093,'Species Codes'!B:O,14,0)+VLOOKUP(D1093,'Species Codes'!B:P,15,0)*LN((E1093*2.54)))*(1/(VLOOKUP(D1093,'Species Codes'!B:Q,16,0)+VLOOKUP(D1093,'Species Codes'!B:R,17,0)*((E1093*2.54)^VLOOKUP(D1093,'Species Codes'!B:S,18,0)))),IF(OR(D1093="BM",D1093="MD",D1093="OA"),EXP(VLOOKUP(D1093,'Species Codes'!B:O,14,0)+VLOOKUP(D1093,'Species Codes'!B:P,15,0)*LN((E1093*2.54)))*(1-(1/(VLOOKUP(D1093,'Species Codes'!B:Q,16,0)+VLOOKUP(D1093,'Species Codes'!B:R,17,0)*((E1093*2.54)^VLOOKUP(D1093,'Species Codes'!B:S,18,0)))))/1000,IF(D1093="DF",EXP(VLOOKUP(D1093,'Species Codes'!B:O,14,0)+VLOOKUP(D1093,'Species Codes'!B:P,15,0)*LN((E1093*2.54))),VLOOKUP(D1093,'Species Codes'!B:O,14,0)+VLOOKUP(D1093,'Species Codes'!B:P,15,0)*(((E1093*2.54)/100)^2)*(I1093*0.3048)))))*0.0011023),0)</f>
        <v>#N/A</v>
      </c>
      <c r="AD1093" s="104" t="e">
        <f t="shared" si="490"/>
        <v>#N/A</v>
      </c>
      <c r="AE1093" s="104" t="e">
        <f t="shared" si="491"/>
        <v>#N/A</v>
      </c>
      <c r="AF1093" s="104" t="e">
        <f>IF(AND(VLOOKUP($D1093,Merchantability!$B:$C,2,0)="Yes",$E1093&gt;=VLOOKUP($D1093,Merchantability!$B:$D,3,0),$E1093&lt;=VLOOKUP($D1093,Merchantability!$B:$E,4,0)),AA1093,0)</f>
        <v>#N/A</v>
      </c>
      <c r="AG1093" s="104" t="e">
        <f>IF(AND(VLOOKUP($D1093,Merchantability!$B:$C,2,0)="Yes",$E1093&gt;=VLOOKUP($D1093,Merchantability!$B:$D,3,0),$E1093&lt;=VLOOKUP($D1093,Merchantability!$B:$E,4,0)),AB1093,0)</f>
        <v>#N/A</v>
      </c>
      <c r="AH1093" s="104" t="e">
        <f>IF(AND(VLOOKUP($D1093,Merchantability!$B:$C,2,0)="Yes",$E1093&gt;=VLOOKUP($D1093,Merchantability!$B:$D,3,0),$E1093&lt;=VLOOKUP($D1093,Merchantability!$B:$E,4,0)),AC1093,0)</f>
        <v>#N/A</v>
      </c>
      <c r="AI1093" s="104" t="e">
        <f t="shared" si="492"/>
        <v>#N/A</v>
      </c>
      <c r="AJ1093" s="104" t="e">
        <f t="shared" si="493"/>
        <v>#VALUE!</v>
      </c>
      <c r="AK1093" s="104" t="e">
        <f t="shared" si="494"/>
        <v>#N/A</v>
      </c>
      <c r="AL1093" s="104" t="e">
        <f t="shared" si="495"/>
        <v>#N/A</v>
      </c>
      <c r="AM1093" s="104" t="e">
        <f t="shared" si="496"/>
        <v>#N/A</v>
      </c>
      <c r="AN1093" s="104" t="e">
        <f t="shared" si="507"/>
        <v>#N/A</v>
      </c>
      <c r="AO1093" s="104" t="e">
        <f t="shared" si="508"/>
        <v>#N/A</v>
      </c>
      <c r="AP1093" s="104" t="e">
        <f t="shared" si="509"/>
        <v>#N/A</v>
      </c>
      <c r="AQ1093" s="104" t="e">
        <f t="shared" si="510"/>
        <v>#N/A</v>
      </c>
      <c r="AR1093" s="105" t="str">
        <f t="shared" si="502"/>
        <v/>
      </c>
      <c r="AS1093" s="105" t="str">
        <f t="shared" si="503"/>
        <v/>
      </c>
      <c r="AT1093" s="108" t="str">
        <f t="shared" si="504"/>
        <v/>
      </c>
      <c r="AU1093" s="108" t="str">
        <f t="shared" si="505"/>
        <v/>
      </c>
      <c r="AV1093" s="107" t="str">
        <f>IF(ISNUMBER(O1093),IF(VLOOKUP($A1093,Stand!C:J,8,FALSE)="Short",AT1093,AU1093),"")</f>
        <v/>
      </c>
      <c r="AW1093" s="109" t="str">
        <f t="shared" si="511"/>
        <v/>
      </c>
      <c r="AX1093" s="109" t="str">
        <f t="shared" si="512"/>
        <v/>
      </c>
      <c r="AY1093" s="112" t="str">
        <f>IF(ISNUMBER(O1093),IF(AND(VLOOKUP($D1093,Merchantability!$B:$C,2,0)="Yes",$E1093&gt;=VLOOKUP($D1093,Merchantability!$B:$D,3,0),$E1093&lt;=VLOOKUP($D1093,Merchantability!$B:$E,4,0)),(AV1093*O1093)*(1-$H1093/100),""),"")</f>
        <v/>
      </c>
      <c r="AZ1093" s="116"/>
      <c r="BA1093" s="116"/>
      <c r="BB1093" s="116"/>
      <c r="BE1093" s="62"/>
      <c r="BF1093" s="63"/>
    </row>
    <row r="1094" spans="1:58" ht="12.75" customHeight="1" x14ac:dyDescent="0.25">
      <c r="A1094" s="313"/>
      <c r="B1094" s="328"/>
      <c r="C1094" s="329"/>
      <c r="D1094" s="328"/>
      <c r="E1094" s="330"/>
      <c r="F1094" s="328"/>
      <c r="G1094" s="329"/>
      <c r="H1094" s="329"/>
      <c r="I1094" s="328"/>
      <c r="J1094" s="383"/>
      <c r="K1094" s="329"/>
      <c r="L1094" s="329"/>
      <c r="M1094" s="76"/>
      <c r="N1094" s="103" t="str">
        <f>IF(A1094="","",VLOOKUP(A1094,Stand!C:K,9,0))</f>
        <v/>
      </c>
      <c r="O1094" s="104" t="str">
        <f t="shared" si="497"/>
        <v/>
      </c>
      <c r="P1094" s="105" t="str">
        <f t="shared" si="498"/>
        <v/>
      </c>
      <c r="Q1094" s="105" t="str">
        <f t="shared" si="486"/>
        <v/>
      </c>
      <c r="R1094" s="103" t="str">
        <f t="shared" si="499"/>
        <v/>
      </c>
      <c r="S1094" s="103" t="str">
        <f t="shared" si="500"/>
        <v/>
      </c>
      <c r="T1094" s="106" t="str">
        <f t="shared" si="487"/>
        <v/>
      </c>
      <c r="U1094" s="106" t="str">
        <f t="shared" si="488"/>
        <v/>
      </c>
      <c r="V1094" s="106" t="str">
        <f t="shared" si="489"/>
        <v/>
      </c>
      <c r="W1094" s="105" t="str">
        <f t="shared" si="501"/>
        <v/>
      </c>
      <c r="X1094" s="104" t="str">
        <f t="shared" si="506"/>
        <v/>
      </c>
      <c r="Y1094" s="104" t="str">
        <f t="array" ref="Y1094">IFERROR(IF(ISNUMBER(O1094),IF(COUNT(IF(A1094=$A$2:$A$2427,IF(D1094=$D$2:$D$2427,IF($X$2:$X$2427&gt;0,1))))&gt;0,SUM(IF(A1094=$A$2:$A$2427,IF(D1094=$D$2:$D$2427,$X$2:$X$2427)))/COUNT(IF(A1094=$A$2:$A$2427,IF(D1094=$D$2:$D$2427,IF(ISNUMBER($X$2:$X$2427),1)))),0),""),0)</f>
        <v/>
      </c>
      <c r="Z1094" s="104" t="str">
        <f>IF(ISNUMBER(O1094),IF(I1094&gt;0,(10^(VLOOKUP(D1094,'Species Codes'!B:C,2,0)+VLOOKUP(D1094,'Species Codes'!B:D,3,0)*LOG(E1094)+VLOOKUP(D1094,'Species Codes'!B:E,4,0)*LOG(I1094))),0),"")</f>
        <v/>
      </c>
      <c r="AA1094" s="104" t="str">
        <f>IFERROR((VLOOKUP(D1094,'Species Codes'!B:G,6,0)*Z1094)/2000,"")</f>
        <v/>
      </c>
      <c r="AB1094" s="104" t="e">
        <f>IF(Z1094&gt;0,((IF(OR(D1094="DF",D1094="RA")=TRUE,EXP(VLOOKUP(D1094,'Species Codes'!B:I,8,0)+VLOOKUP(D1094,'Species Codes'!B:J,9,0)*(LN((E1094*2.54)))),IF(OR(D1094="PY",D1094="RC",D1094="WH",D1094="NF")=TRUE,VLOOKUP(D1094,'Species Codes'!B:I,8,0)+VLOOKUP(D1094,'Species Codes'!B:J,9,0)*((E1094*2.54)^2)*(I1094*0.3048),IF(OR(D1094="MD",D1094="BM",D1094="GA")=TRUE,((VLOOKUP(D1094,'Species Codes'!B:I,8,0)*(((((E1094*2.54)+VLOOKUP(D1094,'Species Codes'!B:J,9,0))/VLOOKUP(D1094,'Species Codes'!B:K,10,0))^VLOOKUP(D1094,'Species Codes'!B:L,11,0))*((I1094*0.3048)^VLOOKUP(D1094,'Species Codes'!B:M,12,0))))-(VLOOKUP(D1094,'Species Codes'!B:I,8,0)*((((E1094*2.54)^VLOOKUP(D1094,'Species Codes'!B:L,11,0))*((I1094*0.3048)^VLOOKUP(D1094,'Species Codes'!B:M,12,0))))))*35.3*VLOOKUP(D1094,'Species Codes'!B:G,6,0)/2.2046,VLOOKUP(D1094,'Species Codes'!B:I,8,0)+VLOOKUP(D1094,'Species Codes'!B:J,9,0)*(((E1094*2.54)/100)^2)*(I1094*0.3048)))))*0.0011023),0)</f>
        <v>#N/A</v>
      </c>
      <c r="AC1094" s="104" t="e">
        <f>IF(Z1094&gt;0,((IF(OR(D1094="RA",D1094="OA",D1094="OT",D1094="UN",D1094="PC"),EXP(VLOOKUP(D1094,'Species Codes'!B:O,14,0)+VLOOKUP(D1094,'Species Codes'!B:P,15,0)*LN((E1094*2.54)))-EXP(VLOOKUP(D1094,'Species Codes'!B:O,14,0)+VLOOKUP(D1094,'Species Codes'!B:P,15,0)*LN((E1094*2.54)))*(1/(VLOOKUP(D1094,'Species Codes'!B:Q,16,0)+VLOOKUP(D1094,'Species Codes'!B:R,17,0)*((E1094*2.54)^VLOOKUP(D1094,'Species Codes'!B:S,18,0)))),IF(OR(D1094="BM",D1094="MD",D1094="OA"),EXP(VLOOKUP(D1094,'Species Codes'!B:O,14,0)+VLOOKUP(D1094,'Species Codes'!B:P,15,0)*LN((E1094*2.54)))*(1-(1/(VLOOKUP(D1094,'Species Codes'!B:Q,16,0)+VLOOKUP(D1094,'Species Codes'!B:R,17,0)*((E1094*2.54)^VLOOKUP(D1094,'Species Codes'!B:S,18,0)))))/1000,IF(D1094="DF",EXP(VLOOKUP(D1094,'Species Codes'!B:O,14,0)+VLOOKUP(D1094,'Species Codes'!B:P,15,0)*LN((E1094*2.54))),VLOOKUP(D1094,'Species Codes'!B:O,14,0)+VLOOKUP(D1094,'Species Codes'!B:P,15,0)*(((E1094*2.54)/100)^2)*(I1094*0.3048)))))*0.0011023),0)</f>
        <v>#N/A</v>
      </c>
      <c r="AD1094" s="104" t="e">
        <f t="shared" si="490"/>
        <v>#N/A</v>
      </c>
      <c r="AE1094" s="104" t="e">
        <f t="shared" si="491"/>
        <v>#N/A</v>
      </c>
      <c r="AF1094" s="104" t="e">
        <f>IF(AND(VLOOKUP($D1094,Merchantability!$B:$C,2,0)="Yes",$E1094&gt;=VLOOKUP($D1094,Merchantability!$B:$D,3,0),$E1094&lt;=VLOOKUP($D1094,Merchantability!$B:$E,4,0)),AA1094,0)</f>
        <v>#N/A</v>
      </c>
      <c r="AG1094" s="104" t="e">
        <f>IF(AND(VLOOKUP($D1094,Merchantability!$B:$C,2,0)="Yes",$E1094&gt;=VLOOKUP($D1094,Merchantability!$B:$D,3,0),$E1094&lt;=VLOOKUP($D1094,Merchantability!$B:$E,4,0)),AB1094,0)</f>
        <v>#N/A</v>
      </c>
      <c r="AH1094" s="104" t="e">
        <f>IF(AND(VLOOKUP($D1094,Merchantability!$B:$C,2,0)="Yes",$E1094&gt;=VLOOKUP($D1094,Merchantability!$B:$D,3,0),$E1094&lt;=VLOOKUP($D1094,Merchantability!$B:$E,4,0)),AC1094,0)</f>
        <v>#N/A</v>
      </c>
      <c r="AI1094" s="104" t="e">
        <f t="shared" si="492"/>
        <v>#N/A</v>
      </c>
      <c r="AJ1094" s="104" t="e">
        <f t="shared" si="493"/>
        <v>#VALUE!</v>
      </c>
      <c r="AK1094" s="104" t="e">
        <f t="shared" si="494"/>
        <v>#N/A</v>
      </c>
      <c r="AL1094" s="104" t="e">
        <f t="shared" si="495"/>
        <v>#N/A</v>
      </c>
      <c r="AM1094" s="104" t="e">
        <f t="shared" si="496"/>
        <v>#N/A</v>
      </c>
      <c r="AN1094" s="104" t="e">
        <f t="shared" si="507"/>
        <v>#N/A</v>
      </c>
      <c r="AO1094" s="104" t="e">
        <f t="shared" si="508"/>
        <v>#N/A</v>
      </c>
      <c r="AP1094" s="104" t="e">
        <f t="shared" si="509"/>
        <v>#N/A</v>
      </c>
      <c r="AQ1094" s="104" t="e">
        <f t="shared" si="510"/>
        <v>#N/A</v>
      </c>
      <c r="AR1094" s="105" t="str">
        <f t="shared" si="502"/>
        <v/>
      </c>
      <c r="AS1094" s="105" t="str">
        <f t="shared" si="503"/>
        <v/>
      </c>
      <c r="AT1094" s="108" t="str">
        <f t="shared" si="504"/>
        <v/>
      </c>
      <c r="AU1094" s="108" t="str">
        <f t="shared" si="505"/>
        <v/>
      </c>
      <c r="AV1094" s="107" t="str">
        <f>IF(ISNUMBER(O1094),IF(VLOOKUP($A1094,Stand!C:J,8,FALSE)="Short",AT1094,AU1094),"")</f>
        <v/>
      </c>
      <c r="AW1094" s="109" t="str">
        <f t="shared" si="511"/>
        <v/>
      </c>
      <c r="AX1094" s="109" t="str">
        <f t="shared" si="512"/>
        <v/>
      </c>
      <c r="AY1094" s="112" t="str">
        <f>IF(ISNUMBER(O1094),IF(AND(VLOOKUP($D1094,Merchantability!$B:$C,2,0)="Yes",$E1094&gt;=VLOOKUP($D1094,Merchantability!$B:$D,3,0),$E1094&lt;=VLOOKUP($D1094,Merchantability!$B:$E,4,0)),(AV1094*O1094)*(1-$H1094/100),""),"")</f>
        <v/>
      </c>
      <c r="AZ1094" s="116"/>
      <c r="BA1094" s="116"/>
      <c r="BB1094" s="116"/>
      <c r="BE1094" s="62"/>
      <c r="BF1094" s="63"/>
    </row>
    <row r="1095" spans="1:58" ht="12.75" customHeight="1" x14ac:dyDescent="0.25">
      <c r="A1095" s="313"/>
      <c r="B1095" s="328"/>
      <c r="C1095" s="329"/>
      <c r="D1095" s="328"/>
      <c r="E1095" s="330"/>
      <c r="F1095" s="328"/>
      <c r="G1095" s="329"/>
      <c r="H1095" s="329"/>
      <c r="I1095" s="328"/>
      <c r="J1095" s="383"/>
      <c r="K1095" s="329"/>
      <c r="L1095" s="329"/>
      <c r="M1095" s="76"/>
      <c r="N1095" s="103" t="str">
        <f>IF(A1095="","",VLOOKUP(A1095,Stand!C:K,9,0))</f>
        <v/>
      </c>
      <c r="O1095" s="104" t="str">
        <f t="shared" si="497"/>
        <v/>
      </c>
      <c r="P1095" s="105" t="str">
        <f t="shared" si="498"/>
        <v/>
      </c>
      <c r="Q1095" s="105" t="str">
        <f t="shared" si="486"/>
        <v/>
      </c>
      <c r="R1095" s="103" t="str">
        <f t="shared" si="499"/>
        <v/>
      </c>
      <c r="S1095" s="103" t="str">
        <f t="shared" si="500"/>
        <v/>
      </c>
      <c r="T1095" s="106" t="str">
        <f t="shared" si="487"/>
        <v/>
      </c>
      <c r="U1095" s="106" t="str">
        <f t="shared" si="488"/>
        <v/>
      </c>
      <c r="V1095" s="106" t="str">
        <f t="shared" si="489"/>
        <v/>
      </c>
      <c r="W1095" s="105" t="str">
        <f t="shared" si="501"/>
        <v/>
      </c>
      <c r="X1095" s="104" t="str">
        <f t="shared" si="506"/>
        <v/>
      </c>
      <c r="Y1095" s="104" t="str">
        <f t="array" ref="Y1095">IFERROR(IF(ISNUMBER(O1095),IF(COUNT(IF(A1095=$A$2:$A$2427,IF(D1095=$D$2:$D$2427,IF($X$2:$X$2427&gt;0,1))))&gt;0,SUM(IF(A1095=$A$2:$A$2427,IF(D1095=$D$2:$D$2427,$X$2:$X$2427)))/COUNT(IF(A1095=$A$2:$A$2427,IF(D1095=$D$2:$D$2427,IF(ISNUMBER($X$2:$X$2427),1)))),0),""),0)</f>
        <v/>
      </c>
      <c r="Z1095" s="104" t="str">
        <f>IF(ISNUMBER(O1095),IF(I1095&gt;0,(10^(VLOOKUP(D1095,'Species Codes'!B:C,2,0)+VLOOKUP(D1095,'Species Codes'!B:D,3,0)*LOG(E1095)+VLOOKUP(D1095,'Species Codes'!B:E,4,0)*LOG(I1095))),0),"")</f>
        <v/>
      </c>
      <c r="AA1095" s="104" t="str">
        <f>IFERROR((VLOOKUP(D1095,'Species Codes'!B:G,6,0)*Z1095)/2000,"")</f>
        <v/>
      </c>
      <c r="AB1095" s="104" t="e">
        <f>IF(Z1095&gt;0,((IF(OR(D1095="DF",D1095="RA")=TRUE,EXP(VLOOKUP(D1095,'Species Codes'!B:I,8,0)+VLOOKUP(D1095,'Species Codes'!B:J,9,0)*(LN((E1095*2.54)))),IF(OR(D1095="PY",D1095="RC",D1095="WH",D1095="NF")=TRUE,VLOOKUP(D1095,'Species Codes'!B:I,8,0)+VLOOKUP(D1095,'Species Codes'!B:J,9,0)*((E1095*2.54)^2)*(I1095*0.3048),IF(OR(D1095="MD",D1095="BM",D1095="GA")=TRUE,((VLOOKUP(D1095,'Species Codes'!B:I,8,0)*(((((E1095*2.54)+VLOOKUP(D1095,'Species Codes'!B:J,9,0))/VLOOKUP(D1095,'Species Codes'!B:K,10,0))^VLOOKUP(D1095,'Species Codes'!B:L,11,0))*((I1095*0.3048)^VLOOKUP(D1095,'Species Codes'!B:M,12,0))))-(VLOOKUP(D1095,'Species Codes'!B:I,8,0)*((((E1095*2.54)^VLOOKUP(D1095,'Species Codes'!B:L,11,0))*((I1095*0.3048)^VLOOKUP(D1095,'Species Codes'!B:M,12,0))))))*35.3*VLOOKUP(D1095,'Species Codes'!B:G,6,0)/2.2046,VLOOKUP(D1095,'Species Codes'!B:I,8,0)+VLOOKUP(D1095,'Species Codes'!B:J,9,0)*(((E1095*2.54)/100)^2)*(I1095*0.3048)))))*0.0011023),0)</f>
        <v>#N/A</v>
      </c>
      <c r="AC1095" s="104" t="e">
        <f>IF(Z1095&gt;0,((IF(OR(D1095="RA",D1095="OA",D1095="OT",D1095="UN",D1095="PC"),EXP(VLOOKUP(D1095,'Species Codes'!B:O,14,0)+VLOOKUP(D1095,'Species Codes'!B:P,15,0)*LN((E1095*2.54)))-EXP(VLOOKUP(D1095,'Species Codes'!B:O,14,0)+VLOOKUP(D1095,'Species Codes'!B:P,15,0)*LN((E1095*2.54)))*(1/(VLOOKUP(D1095,'Species Codes'!B:Q,16,0)+VLOOKUP(D1095,'Species Codes'!B:R,17,0)*((E1095*2.54)^VLOOKUP(D1095,'Species Codes'!B:S,18,0)))),IF(OR(D1095="BM",D1095="MD",D1095="OA"),EXP(VLOOKUP(D1095,'Species Codes'!B:O,14,0)+VLOOKUP(D1095,'Species Codes'!B:P,15,0)*LN((E1095*2.54)))*(1-(1/(VLOOKUP(D1095,'Species Codes'!B:Q,16,0)+VLOOKUP(D1095,'Species Codes'!B:R,17,0)*((E1095*2.54)^VLOOKUP(D1095,'Species Codes'!B:S,18,0)))))/1000,IF(D1095="DF",EXP(VLOOKUP(D1095,'Species Codes'!B:O,14,0)+VLOOKUP(D1095,'Species Codes'!B:P,15,0)*LN((E1095*2.54))),VLOOKUP(D1095,'Species Codes'!B:O,14,0)+VLOOKUP(D1095,'Species Codes'!B:P,15,0)*(((E1095*2.54)/100)^2)*(I1095*0.3048)))))*0.0011023),0)</f>
        <v>#N/A</v>
      </c>
      <c r="AD1095" s="104" t="e">
        <f t="shared" si="490"/>
        <v>#N/A</v>
      </c>
      <c r="AE1095" s="104" t="e">
        <f t="shared" si="491"/>
        <v>#N/A</v>
      </c>
      <c r="AF1095" s="104" t="e">
        <f>IF(AND(VLOOKUP($D1095,Merchantability!$B:$C,2,0)="Yes",$E1095&gt;=VLOOKUP($D1095,Merchantability!$B:$D,3,0),$E1095&lt;=VLOOKUP($D1095,Merchantability!$B:$E,4,0)),AA1095,0)</f>
        <v>#N/A</v>
      </c>
      <c r="AG1095" s="104" t="e">
        <f>IF(AND(VLOOKUP($D1095,Merchantability!$B:$C,2,0)="Yes",$E1095&gt;=VLOOKUP($D1095,Merchantability!$B:$D,3,0),$E1095&lt;=VLOOKUP($D1095,Merchantability!$B:$E,4,0)),AB1095,0)</f>
        <v>#N/A</v>
      </c>
      <c r="AH1095" s="104" t="e">
        <f>IF(AND(VLOOKUP($D1095,Merchantability!$B:$C,2,0)="Yes",$E1095&gt;=VLOOKUP($D1095,Merchantability!$B:$D,3,0),$E1095&lt;=VLOOKUP($D1095,Merchantability!$B:$E,4,0)),AC1095,0)</f>
        <v>#N/A</v>
      </c>
      <c r="AI1095" s="104" t="e">
        <f t="shared" si="492"/>
        <v>#N/A</v>
      </c>
      <c r="AJ1095" s="104" t="e">
        <f t="shared" si="493"/>
        <v>#VALUE!</v>
      </c>
      <c r="AK1095" s="104" t="e">
        <f t="shared" si="494"/>
        <v>#N/A</v>
      </c>
      <c r="AL1095" s="104" t="e">
        <f t="shared" si="495"/>
        <v>#N/A</v>
      </c>
      <c r="AM1095" s="104" t="e">
        <f t="shared" si="496"/>
        <v>#N/A</v>
      </c>
      <c r="AN1095" s="104" t="e">
        <f t="shared" si="507"/>
        <v>#N/A</v>
      </c>
      <c r="AO1095" s="104" t="e">
        <f t="shared" si="508"/>
        <v>#N/A</v>
      </c>
      <c r="AP1095" s="104" t="e">
        <f t="shared" si="509"/>
        <v>#N/A</v>
      </c>
      <c r="AQ1095" s="104" t="e">
        <f t="shared" si="510"/>
        <v>#N/A</v>
      </c>
      <c r="AR1095" s="105" t="str">
        <f t="shared" si="502"/>
        <v/>
      </c>
      <c r="AS1095" s="105" t="str">
        <f t="shared" si="503"/>
        <v/>
      </c>
      <c r="AT1095" s="108" t="str">
        <f t="shared" si="504"/>
        <v/>
      </c>
      <c r="AU1095" s="108" t="str">
        <f t="shared" si="505"/>
        <v/>
      </c>
      <c r="AV1095" s="107" t="str">
        <f>IF(ISNUMBER(O1095),IF(VLOOKUP($A1095,Stand!C:J,8,FALSE)="Short",AT1095,AU1095),"")</f>
        <v/>
      </c>
      <c r="AW1095" s="109" t="str">
        <f t="shared" si="511"/>
        <v/>
      </c>
      <c r="AX1095" s="109" t="str">
        <f t="shared" si="512"/>
        <v/>
      </c>
      <c r="AY1095" s="112" t="str">
        <f>IF(ISNUMBER(O1095),IF(AND(VLOOKUP($D1095,Merchantability!$B:$C,2,0)="Yes",$E1095&gt;=VLOOKUP($D1095,Merchantability!$B:$D,3,0),$E1095&lt;=VLOOKUP($D1095,Merchantability!$B:$E,4,0)),(AV1095*O1095)*(1-$H1095/100),""),"")</f>
        <v/>
      </c>
      <c r="AZ1095" s="116"/>
      <c r="BA1095" s="116"/>
      <c r="BB1095" s="116"/>
      <c r="BE1095" s="62"/>
      <c r="BF1095" s="63"/>
    </row>
    <row r="1096" spans="1:58" ht="12.75" customHeight="1" x14ac:dyDescent="0.25">
      <c r="A1096" s="313"/>
      <c r="B1096" s="328"/>
      <c r="C1096" s="329"/>
      <c r="D1096" s="328"/>
      <c r="E1096" s="330"/>
      <c r="F1096" s="328"/>
      <c r="G1096" s="329"/>
      <c r="H1096" s="329"/>
      <c r="I1096" s="328"/>
      <c r="J1096" s="383"/>
      <c r="K1096" s="329"/>
      <c r="L1096" s="329"/>
      <c r="M1096" s="76"/>
      <c r="N1096" s="103" t="str">
        <f>IF(A1096="","",VLOOKUP(A1096,Stand!C:K,9,0))</f>
        <v/>
      </c>
      <c r="O1096" s="104" t="str">
        <f t="shared" si="497"/>
        <v/>
      </c>
      <c r="P1096" s="105" t="str">
        <f t="shared" si="498"/>
        <v/>
      </c>
      <c r="Q1096" s="105" t="str">
        <f t="shared" si="486"/>
        <v/>
      </c>
      <c r="R1096" s="103" t="str">
        <f t="shared" si="499"/>
        <v/>
      </c>
      <c r="S1096" s="103" t="str">
        <f t="shared" si="500"/>
        <v/>
      </c>
      <c r="T1096" s="106" t="str">
        <f t="shared" si="487"/>
        <v/>
      </c>
      <c r="U1096" s="106" t="str">
        <f t="shared" si="488"/>
        <v/>
      </c>
      <c r="V1096" s="106" t="str">
        <f t="shared" si="489"/>
        <v/>
      </c>
      <c r="W1096" s="105" t="str">
        <f t="shared" si="501"/>
        <v/>
      </c>
      <c r="X1096" s="104" t="str">
        <f t="shared" si="506"/>
        <v/>
      </c>
      <c r="Y1096" s="104" t="str">
        <f t="array" ref="Y1096">IFERROR(IF(ISNUMBER(O1096),IF(COUNT(IF(A1096=$A$2:$A$2427,IF(D1096=$D$2:$D$2427,IF($X$2:$X$2427&gt;0,1))))&gt;0,SUM(IF(A1096=$A$2:$A$2427,IF(D1096=$D$2:$D$2427,$X$2:$X$2427)))/COUNT(IF(A1096=$A$2:$A$2427,IF(D1096=$D$2:$D$2427,IF(ISNUMBER($X$2:$X$2427),1)))),0),""),0)</f>
        <v/>
      </c>
      <c r="Z1096" s="104" t="str">
        <f>IF(ISNUMBER(O1096),IF(I1096&gt;0,(10^(VLOOKUP(D1096,'Species Codes'!B:C,2,0)+VLOOKUP(D1096,'Species Codes'!B:D,3,0)*LOG(E1096)+VLOOKUP(D1096,'Species Codes'!B:E,4,0)*LOG(I1096))),0),"")</f>
        <v/>
      </c>
      <c r="AA1096" s="104" t="str">
        <f>IFERROR((VLOOKUP(D1096,'Species Codes'!B:G,6,0)*Z1096)/2000,"")</f>
        <v/>
      </c>
      <c r="AB1096" s="104" t="e">
        <f>IF(Z1096&gt;0,((IF(OR(D1096="DF",D1096="RA")=TRUE,EXP(VLOOKUP(D1096,'Species Codes'!B:I,8,0)+VLOOKUP(D1096,'Species Codes'!B:J,9,0)*(LN((E1096*2.54)))),IF(OR(D1096="PY",D1096="RC",D1096="WH",D1096="NF")=TRUE,VLOOKUP(D1096,'Species Codes'!B:I,8,0)+VLOOKUP(D1096,'Species Codes'!B:J,9,0)*((E1096*2.54)^2)*(I1096*0.3048),IF(OR(D1096="MD",D1096="BM",D1096="GA")=TRUE,((VLOOKUP(D1096,'Species Codes'!B:I,8,0)*(((((E1096*2.54)+VLOOKUP(D1096,'Species Codes'!B:J,9,0))/VLOOKUP(D1096,'Species Codes'!B:K,10,0))^VLOOKUP(D1096,'Species Codes'!B:L,11,0))*((I1096*0.3048)^VLOOKUP(D1096,'Species Codes'!B:M,12,0))))-(VLOOKUP(D1096,'Species Codes'!B:I,8,0)*((((E1096*2.54)^VLOOKUP(D1096,'Species Codes'!B:L,11,0))*((I1096*0.3048)^VLOOKUP(D1096,'Species Codes'!B:M,12,0))))))*35.3*VLOOKUP(D1096,'Species Codes'!B:G,6,0)/2.2046,VLOOKUP(D1096,'Species Codes'!B:I,8,0)+VLOOKUP(D1096,'Species Codes'!B:J,9,0)*(((E1096*2.54)/100)^2)*(I1096*0.3048)))))*0.0011023),0)</f>
        <v>#N/A</v>
      </c>
      <c r="AC1096" s="104" t="e">
        <f>IF(Z1096&gt;0,((IF(OR(D1096="RA",D1096="OA",D1096="OT",D1096="UN",D1096="PC"),EXP(VLOOKUP(D1096,'Species Codes'!B:O,14,0)+VLOOKUP(D1096,'Species Codes'!B:P,15,0)*LN((E1096*2.54)))-EXP(VLOOKUP(D1096,'Species Codes'!B:O,14,0)+VLOOKUP(D1096,'Species Codes'!B:P,15,0)*LN((E1096*2.54)))*(1/(VLOOKUP(D1096,'Species Codes'!B:Q,16,0)+VLOOKUP(D1096,'Species Codes'!B:R,17,0)*((E1096*2.54)^VLOOKUP(D1096,'Species Codes'!B:S,18,0)))),IF(OR(D1096="BM",D1096="MD",D1096="OA"),EXP(VLOOKUP(D1096,'Species Codes'!B:O,14,0)+VLOOKUP(D1096,'Species Codes'!B:P,15,0)*LN((E1096*2.54)))*(1-(1/(VLOOKUP(D1096,'Species Codes'!B:Q,16,0)+VLOOKUP(D1096,'Species Codes'!B:R,17,0)*((E1096*2.54)^VLOOKUP(D1096,'Species Codes'!B:S,18,0)))))/1000,IF(D1096="DF",EXP(VLOOKUP(D1096,'Species Codes'!B:O,14,0)+VLOOKUP(D1096,'Species Codes'!B:P,15,0)*LN((E1096*2.54))),VLOOKUP(D1096,'Species Codes'!B:O,14,0)+VLOOKUP(D1096,'Species Codes'!B:P,15,0)*(((E1096*2.54)/100)^2)*(I1096*0.3048)))))*0.0011023),0)</f>
        <v>#N/A</v>
      </c>
      <c r="AD1096" s="104" t="e">
        <f t="shared" si="490"/>
        <v>#N/A</v>
      </c>
      <c r="AE1096" s="104" t="e">
        <f t="shared" si="491"/>
        <v>#N/A</v>
      </c>
      <c r="AF1096" s="104" t="e">
        <f>IF(AND(VLOOKUP($D1096,Merchantability!$B:$C,2,0)="Yes",$E1096&gt;=VLOOKUP($D1096,Merchantability!$B:$D,3,0),$E1096&lt;=VLOOKUP($D1096,Merchantability!$B:$E,4,0)),AA1096,0)</f>
        <v>#N/A</v>
      </c>
      <c r="AG1096" s="104" t="e">
        <f>IF(AND(VLOOKUP($D1096,Merchantability!$B:$C,2,0)="Yes",$E1096&gt;=VLOOKUP($D1096,Merchantability!$B:$D,3,0),$E1096&lt;=VLOOKUP($D1096,Merchantability!$B:$E,4,0)),AB1096,0)</f>
        <v>#N/A</v>
      </c>
      <c r="AH1096" s="104" t="e">
        <f>IF(AND(VLOOKUP($D1096,Merchantability!$B:$C,2,0)="Yes",$E1096&gt;=VLOOKUP($D1096,Merchantability!$B:$D,3,0),$E1096&lt;=VLOOKUP($D1096,Merchantability!$B:$E,4,0)),AC1096,0)</f>
        <v>#N/A</v>
      </c>
      <c r="AI1096" s="104" t="e">
        <f t="shared" si="492"/>
        <v>#N/A</v>
      </c>
      <c r="AJ1096" s="104" t="e">
        <f t="shared" si="493"/>
        <v>#VALUE!</v>
      </c>
      <c r="AK1096" s="104" t="e">
        <f t="shared" si="494"/>
        <v>#N/A</v>
      </c>
      <c r="AL1096" s="104" t="e">
        <f t="shared" si="495"/>
        <v>#N/A</v>
      </c>
      <c r="AM1096" s="104" t="e">
        <f t="shared" si="496"/>
        <v>#N/A</v>
      </c>
      <c r="AN1096" s="104" t="e">
        <f t="shared" si="507"/>
        <v>#N/A</v>
      </c>
      <c r="AO1096" s="104" t="e">
        <f t="shared" si="508"/>
        <v>#N/A</v>
      </c>
      <c r="AP1096" s="104" t="e">
        <f t="shared" si="509"/>
        <v>#N/A</v>
      </c>
      <c r="AQ1096" s="104" t="e">
        <f t="shared" si="510"/>
        <v>#N/A</v>
      </c>
      <c r="AR1096" s="105" t="str">
        <f t="shared" si="502"/>
        <v/>
      </c>
      <c r="AS1096" s="105" t="str">
        <f t="shared" si="503"/>
        <v/>
      </c>
      <c r="AT1096" s="108" t="str">
        <f t="shared" si="504"/>
        <v/>
      </c>
      <c r="AU1096" s="108" t="str">
        <f t="shared" si="505"/>
        <v/>
      </c>
      <c r="AV1096" s="107" t="str">
        <f>IF(ISNUMBER(O1096),IF(VLOOKUP($A1096,Stand!C:J,8,FALSE)="Short",AT1096,AU1096),"")</f>
        <v/>
      </c>
      <c r="AW1096" s="109" t="str">
        <f t="shared" si="511"/>
        <v/>
      </c>
      <c r="AX1096" s="109" t="str">
        <f t="shared" si="512"/>
        <v/>
      </c>
      <c r="AY1096" s="112" t="str">
        <f>IF(ISNUMBER(O1096),IF(AND(VLOOKUP($D1096,Merchantability!$B:$C,2,0)="Yes",$E1096&gt;=VLOOKUP($D1096,Merchantability!$B:$D,3,0),$E1096&lt;=VLOOKUP($D1096,Merchantability!$B:$E,4,0)),(AV1096*O1096)*(1-$H1096/100),""),"")</f>
        <v/>
      </c>
      <c r="AZ1096" s="116"/>
      <c r="BA1096" s="116"/>
      <c r="BB1096" s="116"/>
      <c r="BE1096" s="62"/>
      <c r="BF1096" s="63"/>
    </row>
    <row r="1097" spans="1:58" ht="12.75" customHeight="1" x14ac:dyDescent="0.25">
      <c r="A1097" s="313"/>
      <c r="B1097" s="328"/>
      <c r="C1097" s="329"/>
      <c r="D1097" s="328"/>
      <c r="E1097" s="330"/>
      <c r="F1097" s="328"/>
      <c r="G1097" s="329"/>
      <c r="H1097" s="329"/>
      <c r="I1097" s="328"/>
      <c r="J1097" s="383"/>
      <c r="K1097" s="329"/>
      <c r="L1097" s="329"/>
      <c r="M1097" s="76"/>
      <c r="N1097" s="103" t="str">
        <f>IF(A1097="","",VLOOKUP(A1097,Stand!C:K,9,0))</f>
        <v/>
      </c>
      <c r="O1097" s="104" t="str">
        <f t="shared" si="497"/>
        <v/>
      </c>
      <c r="P1097" s="105" t="str">
        <f t="shared" si="498"/>
        <v/>
      </c>
      <c r="Q1097" s="105" t="str">
        <f t="shared" si="486"/>
        <v/>
      </c>
      <c r="R1097" s="103" t="str">
        <f t="shared" si="499"/>
        <v/>
      </c>
      <c r="S1097" s="103" t="str">
        <f t="shared" si="500"/>
        <v/>
      </c>
      <c r="T1097" s="106" t="str">
        <f t="shared" si="487"/>
        <v/>
      </c>
      <c r="U1097" s="106" t="str">
        <f t="shared" si="488"/>
        <v/>
      </c>
      <c r="V1097" s="106" t="str">
        <f t="shared" si="489"/>
        <v/>
      </c>
      <c r="W1097" s="105" t="str">
        <f t="shared" si="501"/>
        <v/>
      </c>
      <c r="X1097" s="104" t="str">
        <f t="shared" si="506"/>
        <v/>
      </c>
      <c r="Y1097" s="104" t="str">
        <f t="array" ref="Y1097">IFERROR(IF(ISNUMBER(O1097),IF(COUNT(IF(A1097=$A$2:$A$2427,IF(D1097=$D$2:$D$2427,IF($X$2:$X$2427&gt;0,1))))&gt;0,SUM(IF(A1097=$A$2:$A$2427,IF(D1097=$D$2:$D$2427,$X$2:$X$2427)))/COUNT(IF(A1097=$A$2:$A$2427,IF(D1097=$D$2:$D$2427,IF(ISNUMBER($X$2:$X$2427),1)))),0),""),0)</f>
        <v/>
      </c>
      <c r="Z1097" s="104" t="str">
        <f>IF(ISNUMBER(O1097),IF(I1097&gt;0,(10^(VLOOKUP(D1097,'Species Codes'!B:C,2,0)+VLOOKUP(D1097,'Species Codes'!B:D,3,0)*LOG(E1097)+VLOOKUP(D1097,'Species Codes'!B:E,4,0)*LOG(I1097))),0),"")</f>
        <v/>
      </c>
      <c r="AA1097" s="104" t="str">
        <f>IFERROR((VLOOKUP(D1097,'Species Codes'!B:G,6,0)*Z1097)/2000,"")</f>
        <v/>
      </c>
      <c r="AB1097" s="104" t="e">
        <f>IF(Z1097&gt;0,((IF(OR(D1097="DF",D1097="RA")=TRUE,EXP(VLOOKUP(D1097,'Species Codes'!B:I,8,0)+VLOOKUP(D1097,'Species Codes'!B:J,9,0)*(LN((E1097*2.54)))),IF(OR(D1097="PY",D1097="RC",D1097="WH",D1097="NF")=TRUE,VLOOKUP(D1097,'Species Codes'!B:I,8,0)+VLOOKUP(D1097,'Species Codes'!B:J,9,0)*((E1097*2.54)^2)*(I1097*0.3048),IF(OR(D1097="MD",D1097="BM",D1097="GA")=TRUE,((VLOOKUP(D1097,'Species Codes'!B:I,8,0)*(((((E1097*2.54)+VLOOKUP(D1097,'Species Codes'!B:J,9,0))/VLOOKUP(D1097,'Species Codes'!B:K,10,0))^VLOOKUP(D1097,'Species Codes'!B:L,11,0))*((I1097*0.3048)^VLOOKUP(D1097,'Species Codes'!B:M,12,0))))-(VLOOKUP(D1097,'Species Codes'!B:I,8,0)*((((E1097*2.54)^VLOOKUP(D1097,'Species Codes'!B:L,11,0))*((I1097*0.3048)^VLOOKUP(D1097,'Species Codes'!B:M,12,0))))))*35.3*VLOOKUP(D1097,'Species Codes'!B:G,6,0)/2.2046,VLOOKUP(D1097,'Species Codes'!B:I,8,0)+VLOOKUP(D1097,'Species Codes'!B:J,9,0)*(((E1097*2.54)/100)^2)*(I1097*0.3048)))))*0.0011023),0)</f>
        <v>#N/A</v>
      </c>
      <c r="AC1097" s="104" t="e">
        <f>IF(Z1097&gt;0,((IF(OR(D1097="RA",D1097="OA",D1097="OT",D1097="UN",D1097="PC"),EXP(VLOOKUP(D1097,'Species Codes'!B:O,14,0)+VLOOKUP(D1097,'Species Codes'!B:P,15,0)*LN((E1097*2.54)))-EXP(VLOOKUP(D1097,'Species Codes'!B:O,14,0)+VLOOKUP(D1097,'Species Codes'!B:P,15,0)*LN((E1097*2.54)))*(1/(VLOOKUP(D1097,'Species Codes'!B:Q,16,0)+VLOOKUP(D1097,'Species Codes'!B:R,17,0)*((E1097*2.54)^VLOOKUP(D1097,'Species Codes'!B:S,18,0)))),IF(OR(D1097="BM",D1097="MD",D1097="OA"),EXP(VLOOKUP(D1097,'Species Codes'!B:O,14,0)+VLOOKUP(D1097,'Species Codes'!B:P,15,0)*LN((E1097*2.54)))*(1-(1/(VLOOKUP(D1097,'Species Codes'!B:Q,16,0)+VLOOKUP(D1097,'Species Codes'!B:R,17,0)*((E1097*2.54)^VLOOKUP(D1097,'Species Codes'!B:S,18,0)))))/1000,IF(D1097="DF",EXP(VLOOKUP(D1097,'Species Codes'!B:O,14,0)+VLOOKUP(D1097,'Species Codes'!B:P,15,0)*LN((E1097*2.54))),VLOOKUP(D1097,'Species Codes'!B:O,14,0)+VLOOKUP(D1097,'Species Codes'!B:P,15,0)*(((E1097*2.54)/100)^2)*(I1097*0.3048)))))*0.0011023),0)</f>
        <v>#N/A</v>
      </c>
      <c r="AD1097" s="104" t="e">
        <f t="shared" si="490"/>
        <v>#N/A</v>
      </c>
      <c r="AE1097" s="104" t="e">
        <f t="shared" si="491"/>
        <v>#N/A</v>
      </c>
      <c r="AF1097" s="104" t="e">
        <f>IF(AND(VLOOKUP($D1097,Merchantability!$B:$C,2,0)="Yes",$E1097&gt;=VLOOKUP($D1097,Merchantability!$B:$D,3,0),$E1097&lt;=VLOOKUP($D1097,Merchantability!$B:$E,4,0)),AA1097,0)</f>
        <v>#N/A</v>
      </c>
      <c r="AG1097" s="104" t="e">
        <f>IF(AND(VLOOKUP($D1097,Merchantability!$B:$C,2,0)="Yes",$E1097&gt;=VLOOKUP($D1097,Merchantability!$B:$D,3,0),$E1097&lt;=VLOOKUP($D1097,Merchantability!$B:$E,4,0)),AB1097,0)</f>
        <v>#N/A</v>
      </c>
      <c r="AH1097" s="104" t="e">
        <f>IF(AND(VLOOKUP($D1097,Merchantability!$B:$C,2,0)="Yes",$E1097&gt;=VLOOKUP($D1097,Merchantability!$B:$D,3,0),$E1097&lt;=VLOOKUP($D1097,Merchantability!$B:$E,4,0)),AC1097,0)</f>
        <v>#N/A</v>
      </c>
      <c r="AI1097" s="104" t="e">
        <f t="shared" si="492"/>
        <v>#N/A</v>
      </c>
      <c r="AJ1097" s="104" t="e">
        <f t="shared" si="493"/>
        <v>#VALUE!</v>
      </c>
      <c r="AK1097" s="104" t="e">
        <f t="shared" si="494"/>
        <v>#N/A</v>
      </c>
      <c r="AL1097" s="104" t="e">
        <f t="shared" si="495"/>
        <v>#N/A</v>
      </c>
      <c r="AM1097" s="104" t="e">
        <f t="shared" si="496"/>
        <v>#N/A</v>
      </c>
      <c r="AN1097" s="104" t="e">
        <f t="shared" si="507"/>
        <v>#N/A</v>
      </c>
      <c r="AO1097" s="104" t="e">
        <f t="shared" si="508"/>
        <v>#N/A</v>
      </c>
      <c r="AP1097" s="104" t="e">
        <f t="shared" si="509"/>
        <v>#N/A</v>
      </c>
      <c r="AQ1097" s="104" t="e">
        <f t="shared" si="510"/>
        <v>#N/A</v>
      </c>
      <c r="AR1097" s="105" t="str">
        <f t="shared" si="502"/>
        <v/>
      </c>
      <c r="AS1097" s="105" t="str">
        <f t="shared" si="503"/>
        <v/>
      </c>
      <c r="AT1097" s="108" t="str">
        <f t="shared" si="504"/>
        <v/>
      </c>
      <c r="AU1097" s="108" t="str">
        <f t="shared" si="505"/>
        <v/>
      </c>
      <c r="AV1097" s="107" t="str">
        <f>IF(ISNUMBER(O1097),IF(VLOOKUP($A1097,Stand!C:J,8,FALSE)="Short",AT1097,AU1097),"")</f>
        <v/>
      </c>
      <c r="AW1097" s="109" t="str">
        <f t="shared" si="511"/>
        <v/>
      </c>
      <c r="AX1097" s="109" t="str">
        <f t="shared" si="512"/>
        <v/>
      </c>
      <c r="AY1097" s="112" t="str">
        <f>IF(ISNUMBER(O1097),IF(AND(VLOOKUP($D1097,Merchantability!$B:$C,2,0)="Yes",$E1097&gt;=VLOOKUP($D1097,Merchantability!$B:$D,3,0),$E1097&lt;=VLOOKUP($D1097,Merchantability!$B:$E,4,0)),(AV1097*O1097)*(1-$H1097/100),""),"")</f>
        <v/>
      </c>
      <c r="AZ1097" s="116"/>
      <c r="BA1097" s="116"/>
      <c r="BB1097" s="116"/>
      <c r="BE1097" s="62"/>
      <c r="BF1097" s="63"/>
    </row>
    <row r="1098" spans="1:58" ht="12.75" customHeight="1" x14ac:dyDescent="0.25">
      <c r="A1098" s="313"/>
      <c r="B1098" s="328"/>
      <c r="C1098" s="329"/>
      <c r="D1098" s="328"/>
      <c r="E1098" s="330"/>
      <c r="F1098" s="328"/>
      <c r="G1098" s="329"/>
      <c r="H1098" s="329"/>
      <c r="I1098" s="328"/>
      <c r="J1098" s="383"/>
      <c r="K1098" s="329"/>
      <c r="L1098" s="329"/>
      <c r="M1098" s="76"/>
      <c r="N1098" s="103" t="str">
        <f>IF(A1098="","",VLOOKUP(A1098,Stand!C:K,9,0))</f>
        <v/>
      </c>
      <c r="O1098" s="104" t="str">
        <f t="shared" si="497"/>
        <v/>
      </c>
      <c r="P1098" s="105" t="str">
        <f t="shared" si="498"/>
        <v/>
      </c>
      <c r="Q1098" s="105" t="str">
        <f t="shared" si="486"/>
        <v/>
      </c>
      <c r="R1098" s="103" t="str">
        <f t="shared" si="499"/>
        <v/>
      </c>
      <c r="S1098" s="103" t="str">
        <f t="shared" si="500"/>
        <v/>
      </c>
      <c r="T1098" s="106" t="str">
        <f t="shared" si="487"/>
        <v/>
      </c>
      <c r="U1098" s="106" t="str">
        <f t="shared" si="488"/>
        <v/>
      </c>
      <c r="V1098" s="106" t="str">
        <f t="shared" si="489"/>
        <v/>
      </c>
      <c r="W1098" s="105" t="str">
        <f t="shared" si="501"/>
        <v/>
      </c>
      <c r="X1098" s="104" t="str">
        <f t="shared" si="506"/>
        <v/>
      </c>
      <c r="Y1098" s="104" t="str">
        <f t="array" ref="Y1098">IFERROR(IF(ISNUMBER(O1098),IF(COUNT(IF(A1098=$A$2:$A$2427,IF(D1098=$D$2:$D$2427,IF($X$2:$X$2427&gt;0,1))))&gt;0,SUM(IF(A1098=$A$2:$A$2427,IF(D1098=$D$2:$D$2427,$X$2:$X$2427)))/COUNT(IF(A1098=$A$2:$A$2427,IF(D1098=$D$2:$D$2427,IF(ISNUMBER($X$2:$X$2427),1)))),0),""),0)</f>
        <v/>
      </c>
      <c r="Z1098" s="104" t="str">
        <f>IF(ISNUMBER(O1098),IF(I1098&gt;0,(10^(VLOOKUP(D1098,'Species Codes'!B:C,2,0)+VLOOKUP(D1098,'Species Codes'!B:D,3,0)*LOG(E1098)+VLOOKUP(D1098,'Species Codes'!B:E,4,0)*LOG(I1098))),0),"")</f>
        <v/>
      </c>
      <c r="AA1098" s="104" t="str">
        <f>IFERROR((VLOOKUP(D1098,'Species Codes'!B:G,6,0)*Z1098)/2000,"")</f>
        <v/>
      </c>
      <c r="AB1098" s="104" t="e">
        <f>IF(Z1098&gt;0,((IF(OR(D1098="DF",D1098="RA")=TRUE,EXP(VLOOKUP(D1098,'Species Codes'!B:I,8,0)+VLOOKUP(D1098,'Species Codes'!B:J,9,0)*(LN((E1098*2.54)))),IF(OR(D1098="PY",D1098="RC",D1098="WH",D1098="NF")=TRUE,VLOOKUP(D1098,'Species Codes'!B:I,8,0)+VLOOKUP(D1098,'Species Codes'!B:J,9,0)*((E1098*2.54)^2)*(I1098*0.3048),IF(OR(D1098="MD",D1098="BM",D1098="GA")=TRUE,((VLOOKUP(D1098,'Species Codes'!B:I,8,0)*(((((E1098*2.54)+VLOOKUP(D1098,'Species Codes'!B:J,9,0))/VLOOKUP(D1098,'Species Codes'!B:K,10,0))^VLOOKUP(D1098,'Species Codes'!B:L,11,0))*((I1098*0.3048)^VLOOKUP(D1098,'Species Codes'!B:M,12,0))))-(VLOOKUP(D1098,'Species Codes'!B:I,8,0)*((((E1098*2.54)^VLOOKUP(D1098,'Species Codes'!B:L,11,0))*((I1098*0.3048)^VLOOKUP(D1098,'Species Codes'!B:M,12,0))))))*35.3*VLOOKUP(D1098,'Species Codes'!B:G,6,0)/2.2046,VLOOKUP(D1098,'Species Codes'!B:I,8,0)+VLOOKUP(D1098,'Species Codes'!B:J,9,0)*(((E1098*2.54)/100)^2)*(I1098*0.3048)))))*0.0011023),0)</f>
        <v>#N/A</v>
      </c>
      <c r="AC1098" s="104" t="e">
        <f>IF(Z1098&gt;0,((IF(OR(D1098="RA",D1098="OA",D1098="OT",D1098="UN",D1098="PC"),EXP(VLOOKUP(D1098,'Species Codes'!B:O,14,0)+VLOOKUP(D1098,'Species Codes'!B:P,15,0)*LN((E1098*2.54)))-EXP(VLOOKUP(D1098,'Species Codes'!B:O,14,0)+VLOOKUP(D1098,'Species Codes'!B:P,15,0)*LN((E1098*2.54)))*(1/(VLOOKUP(D1098,'Species Codes'!B:Q,16,0)+VLOOKUP(D1098,'Species Codes'!B:R,17,0)*((E1098*2.54)^VLOOKUP(D1098,'Species Codes'!B:S,18,0)))),IF(OR(D1098="BM",D1098="MD",D1098="OA"),EXP(VLOOKUP(D1098,'Species Codes'!B:O,14,0)+VLOOKUP(D1098,'Species Codes'!B:P,15,0)*LN((E1098*2.54)))*(1-(1/(VLOOKUP(D1098,'Species Codes'!B:Q,16,0)+VLOOKUP(D1098,'Species Codes'!B:R,17,0)*((E1098*2.54)^VLOOKUP(D1098,'Species Codes'!B:S,18,0)))))/1000,IF(D1098="DF",EXP(VLOOKUP(D1098,'Species Codes'!B:O,14,0)+VLOOKUP(D1098,'Species Codes'!B:P,15,0)*LN((E1098*2.54))),VLOOKUP(D1098,'Species Codes'!B:O,14,0)+VLOOKUP(D1098,'Species Codes'!B:P,15,0)*(((E1098*2.54)/100)^2)*(I1098*0.3048)))))*0.0011023),0)</f>
        <v>#N/A</v>
      </c>
      <c r="AD1098" s="104" t="e">
        <f t="shared" si="490"/>
        <v>#N/A</v>
      </c>
      <c r="AE1098" s="104" t="e">
        <f t="shared" si="491"/>
        <v>#N/A</v>
      </c>
      <c r="AF1098" s="104" t="e">
        <f>IF(AND(VLOOKUP($D1098,Merchantability!$B:$C,2,0)="Yes",$E1098&gt;=VLOOKUP($D1098,Merchantability!$B:$D,3,0),$E1098&lt;=VLOOKUP($D1098,Merchantability!$B:$E,4,0)),AA1098,0)</f>
        <v>#N/A</v>
      </c>
      <c r="AG1098" s="104" t="e">
        <f>IF(AND(VLOOKUP($D1098,Merchantability!$B:$C,2,0)="Yes",$E1098&gt;=VLOOKUP($D1098,Merchantability!$B:$D,3,0),$E1098&lt;=VLOOKUP($D1098,Merchantability!$B:$E,4,0)),AB1098,0)</f>
        <v>#N/A</v>
      </c>
      <c r="AH1098" s="104" t="e">
        <f>IF(AND(VLOOKUP($D1098,Merchantability!$B:$C,2,0)="Yes",$E1098&gt;=VLOOKUP($D1098,Merchantability!$B:$D,3,0),$E1098&lt;=VLOOKUP($D1098,Merchantability!$B:$E,4,0)),AC1098,0)</f>
        <v>#N/A</v>
      </c>
      <c r="AI1098" s="104" t="e">
        <f t="shared" si="492"/>
        <v>#N/A</v>
      </c>
      <c r="AJ1098" s="104" t="e">
        <f t="shared" si="493"/>
        <v>#VALUE!</v>
      </c>
      <c r="AK1098" s="104" t="e">
        <f t="shared" si="494"/>
        <v>#N/A</v>
      </c>
      <c r="AL1098" s="104" t="e">
        <f t="shared" si="495"/>
        <v>#N/A</v>
      </c>
      <c r="AM1098" s="104" t="e">
        <f t="shared" si="496"/>
        <v>#N/A</v>
      </c>
      <c r="AN1098" s="104" t="e">
        <f t="shared" si="507"/>
        <v>#N/A</v>
      </c>
      <c r="AO1098" s="104" t="e">
        <f t="shared" si="508"/>
        <v>#N/A</v>
      </c>
      <c r="AP1098" s="104" t="e">
        <f t="shared" si="509"/>
        <v>#N/A</v>
      </c>
      <c r="AQ1098" s="104" t="e">
        <f t="shared" si="510"/>
        <v>#N/A</v>
      </c>
      <c r="AR1098" s="105" t="str">
        <f t="shared" si="502"/>
        <v/>
      </c>
      <c r="AS1098" s="105" t="str">
        <f t="shared" si="503"/>
        <v/>
      </c>
      <c r="AT1098" s="108" t="str">
        <f t="shared" si="504"/>
        <v/>
      </c>
      <c r="AU1098" s="108" t="str">
        <f t="shared" si="505"/>
        <v/>
      </c>
      <c r="AV1098" s="107" t="str">
        <f>IF(ISNUMBER(O1098),IF(VLOOKUP($A1098,Stand!C:J,8,FALSE)="Short",AT1098,AU1098),"")</f>
        <v/>
      </c>
      <c r="AW1098" s="109" t="str">
        <f t="shared" si="511"/>
        <v/>
      </c>
      <c r="AX1098" s="109" t="str">
        <f t="shared" si="512"/>
        <v/>
      </c>
      <c r="AY1098" s="112" t="str">
        <f>IF(ISNUMBER(O1098),IF(AND(VLOOKUP($D1098,Merchantability!$B:$C,2,0)="Yes",$E1098&gt;=VLOOKUP($D1098,Merchantability!$B:$D,3,0),$E1098&lt;=VLOOKUP($D1098,Merchantability!$B:$E,4,0)),(AV1098*O1098)*(1-$H1098/100),""),"")</f>
        <v/>
      </c>
      <c r="AZ1098" s="116"/>
      <c r="BA1098" s="116"/>
      <c r="BB1098" s="116"/>
      <c r="BE1098" s="62"/>
      <c r="BF1098" s="63"/>
    </row>
    <row r="1099" spans="1:58" ht="12.75" customHeight="1" x14ac:dyDescent="0.25">
      <c r="A1099" s="313"/>
      <c r="B1099" s="328"/>
      <c r="C1099" s="329"/>
      <c r="D1099" s="328"/>
      <c r="E1099" s="330"/>
      <c r="F1099" s="328"/>
      <c r="G1099" s="329"/>
      <c r="H1099" s="329"/>
      <c r="I1099" s="328"/>
      <c r="J1099" s="383"/>
      <c r="K1099" s="329"/>
      <c r="L1099" s="329"/>
      <c r="M1099" s="76"/>
      <c r="N1099" s="103" t="str">
        <f>IF(A1099="","",VLOOKUP(A1099,Stand!C:K,9,0))</f>
        <v/>
      </c>
      <c r="O1099" s="104" t="str">
        <f t="shared" si="497"/>
        <v/>
      </c>
      <c r="P1099" s="105" t="str">
        <f t="shared" si="498"/>
        <v/>
      </c>
      <c r="Q1099" s="105" t="str">
        <f t="shared" si="486"/>
        <v/>
      </c>
      <c r="R1099" s="103" t="str">
        <f t="shared" si="499"/>
        <v/>
      </c>
      <c r="S1099" s="103" t="str">
        <f t="shared" si="500"/>
        <v/>
      </c>
      <c r="T1099" s="106" t="str">
        <f t="shared" si="487"/>
        <v/>
      </c>
      <c r="U1099" s="106" t="str">
        <f t="shared" si="488"/>
        <v/>
      </c>
      <c r="V1099" s="106" t="str">
        <f t="shared" si="489"/>
        <v/>
      </c>
      <c r="W1099" s="105" t="str">
        <f t="shared" si="501"/>
        <v/>
      </c>
      <c r="X1099" s="104" t="str">
        <f t="shared" si="506"/>
        <v/>
      </c>
      <c r="Y1099" s="104" t="str">
        <f t="array" ref="Y1099">IFERROR(IF(ISNUMBER(O1099),IF(COUNT(IF(A1099=$A$2:$A$2427,IF(D1099=$D$2:$D$2427,IF($X$2:$X$2427&gt;0,1))))&gt;0,SUM(IF(A1099=$A$2:$A$2427,IF(D1099=$D$2:$D$2427,$X$2:$X$2427)))/COUNT(IF(A1099=$A$2:$A$2427,IF(D1099=$D$2:$D$2427,IF(ISNUMBER($X$2:$X$2427),1)))),0),""),0)</f>
        <v/>
      </c>
      <c r="Z1099" s="104" t="str">
        <f>IF(ISNUMBER(O1099),IF(I1099&gt;0,(10^(VLOOKUP(D1099,'Species Codes'!B:C,2,0)+VLOOKUP(D1099,'Species Codes'!B:D,3,0)*LOG(E1099)+VLOOKUP(D1099,'Species Codes'!B:E,4,0)*LOG(I1099))),0),"")</f>
        <v/>
      </c>
      <c r="AA1099" s="104" t="str">
        <f>IFERROR((VLOOKUP(D1099,'Species Codes'!B:G,6,0)*Z1099)/2000,"")</f>
        <v/>
      </c>
      <c r="AB1099" s="104" t="e">
        <f>IF(Z1099&gt;0,((IF(OR(D1099="DF",D1099="RA")=TRUE,EXP(VLOOKUP(D1099,'Species Codes'!B:I,8,0)+VLOOKUP(D1099,'Species Codes'!B:J,9,0)*(LN((E1099*2.54)))),IF(OR(D1099="PY",D1099="RC",D1099="WH",D1099="NF")=TRUE,VLOOKUP(D1099,'Species Codes'!B:I,8,0)+VLOOKUP(D1099,'Species Codes'!B:J,9,0)*((E1099*2.54)^2)*(I1099*0.3048),IF(OR(D1099="MD",D1099="BM",D1099="GA")=TRUE,((VLOOKUP(D1099,'Species Codes'!B:I,8,0)*(((((E1099*2.54)+VLOOKUP(D1099,'Species Codes'!B:J,9,0))/VLOOKUP(D1099,'Species Codes'!B:K,10,0))^VLOOKUP(D1099,'Species Codes'!B:L,11,0))*((I1099*0.3048)^VLOOKUP(D1099,'Species Codes'!B:M,12,0))))-(VLOOKUP(D1099,'Species Codes'!B:I,8,0)*((((E1099*2.54)^VLOOKUP(D1099,'Species Codes'!B:L,11,0))*((I1099*0.3048)^VLOOKUP(D1099,'Species Codes'!B:M,12,0))))))*35.3*VLOOKUP(D1099,'Species Codes'!B:G,6,0)/2.2046,VLOOKUP(D1099,'Species Codes'!B:I,8,0)+VLOOKUP(D1099,'Species Codes'!B:J,9,0)*(((E1099*2.54)/100)^2)*(I1099*0.3048)))))*0.0011023),0)</f>
        <v>#N/A</v>
      </c>
      <c r="AC1099" s="104" t="e">
        <f>IF(Z1099&gt;0,((IF(OR(D1099="RA",D1099="OA",D1099="OT",D1099="UN",D1099="PC"),EXP(VLOOKUP(D1099,'Species Codes'!B:O,14,0)+VLOOKUP(D1099,'Species Codes'!B:P,15,0)*LN((E1099*2.54)))-EXP(VLOOKUP(D1099,'Species Codes'!B:O,14,0)+VLOOKUP(D1099,'Species Codes'!B:P,15,0)*LN((E1099*2.54)))*(1/(VLOOKUP(D1099,'Species Codes'!B:Q,16,0)+VLOOKUP(D1099,'Species Codes'!B:R,17,0)*((E1099*2.54)^VLOOKUP(D1099,'Species Codes'!B:S,18,0)))),IF(OR(D1099="BM",D1099="MD",D1099="OA"),EXP(VLOOKUP(D1099,'Species Codes'!B:O,14,0)+VLOOKUP(D1099,'Species Codes'!B:P,15,0)*LN((E1099*2.54)))*(1-(1/(VLOOKUP(D1099,'Species Codes'!B:Q,16,0)+VLOOKUP(D1099,'Species Codes'!B:R,17,0)*((E1099*2.54)^VLOOKUP(D1099,'Species Codes'!B:S,18,0)))))/1000,IF(D1099="DF",EXP(VLOOKUP(D1099,'Species Codes'!B:O,14,0)+VLOOKUP(D1099,'Species Codes'!B:P,15,0)*LN((E1099*2.54))),VLOOKUP(D1099,'Species Codes'!B:O,14,0)+VLOOKUP(D1099,'Species Codes'!B:P,15,0)*(((E1099*2.54)/100)^2)*(I1099*0.3048)))))*0.0011023),0)</f>
        <v>#N/A</v>
      </c>
      <c r="AD1099" s="104" t="e">
        <f t="shared" si="490"/>
        <v>#N/A</v>
      </c>
      <c r="AE1099" s="104" t="e">
        <f t="shared" si="491"/>
        <v>#N/A</v>
      </c>
      <c r="AF1099" s="104" t="e">
        <f>IF(AND(VLOOKUP($D1099,Merchantability!$B:$C,2,0)="Yes",$E1099&gt;=VLOOKUP($D1099,Merchantability!$B:$D,3,0),$E1099&lt;=VLOOKUP($D1099,Merchantability!$B:$E,4,0)),AA1099,0)</f>
        <v>#N/A</v>
      </c>
      <c r="AG1099" s="104" t="e">
        <f>IF(AND(VLOOKUP($D1099,Merchantability!$B:$C,2,0)="Yes",$E1099&gt;=VLOOKUP($D1099,Merchantability!$B:$D,3,0),$E1099&lt;=VLOOKUP($D1099,Merchantability!$B:$E,4,0)),AB1099,0)</f>
        <v>#N/A</v>
      </c>
      <c r="AH1099" s="104" t="e">
        <f>IF(AND(VLOOKUP($D1099,Merchantability!$B:$C,2,0)="Yes",$E1099&gt;=VLOOKUP($D1099,Merchantability!$B:$D,3,0),$E1099&lt;=VLOOKUP($D1099,Merchantability!$B:$E,4,0)),AC1099,0)</f>
        <v>#N/A</v>
      </c>
      <c r="AI1099" s="104" t="e">
        <f t="shared" si="492"/>
        <v>#N/A</v>
      </c>
      <c r="AJ1099" s="104" t="e">
        <f t="shared" si="493"/>
        <v>#VALUE!</v>
      </c>
      <c r="AK1099" s="104" t="e">
        <f t="shared" si="494"/>
        <v>#N/A</v>
      </c>
      <c r="AL1099" s="104" t="e">
        <f t="shared" si="495"/>
        <v>#N/A</v>
      </c>
      <c r="AM1099" s="104" t="e">
        <f t="shared" si="496"/>
        <v>#N/A</v>
      </c>
      <c r="AN1099" s="104" t="e">
        <f t="shared" si="507"/>
        <v>#N/A</v>
      </c>
      <c r="AO1099" s="104" t="e">
        <f t="shared" si="508"/>
        <v>#N/A</v>
      </c>
      <c r="AP1099" s="104" t="e">
        <f t="shared" si="509"/>
        <v>#N/A</v>
      </c>
      <c r="AQ1099" s="104" t="e">
        <f t="shared" si="510"/>
        <v>#N/A</v>
      </c>
      <c r="AR1099" s="105" t="str">
        <f t="shared" si="502"/>
        <v/>
      </c>
      <c r="AS1099" s="105" t="str">
        <f t="shared" si="503"/>
        <v/>
      </c>
      <c r="AT1099" s="108" t="str">
        <f t="shared" si="504"/>
        <v/>
      </c>
      <c r="AU1099" s="108" t="str">
        <f t="shared" si="505"/>
        <v/>
      </c>
      <c r="AV1099" s="107" t="str">
        <f>IF(ISNUMBER(O1099),IF(VLOOKUP($A1099,Stand!C:J,8,FALSE)="Short",AT1099,AU1099),"")</f>
        <v/>
      </c>
      <c r="AW1099" s="109" t="str">
        <f t="shared" si="511"/>
        <v/>
      </c>
      <c r="AX1099" s="109" t="str">
        <f t="shared" si="512"/>
        <v/>
      </c>
      <c r="AY1099" s="112" t="str">
        <f>IF(ISNUMBER(O1099),IF(AND(VLOOKUP($D1099,Merchantability!$B:$C,2,0)="Yes",$E1099&gt;=VLOOKUP($D1099,Merchantability!$B:$D,3,0),$E1099&lt;=VLOOKUP($D1099,Merchantability!$B:$E,4,0)),(AV1099*O1099)*(1-$H1099/100),""),"")</f>
        <v/>
      </c>
      <c r="AZ1099" s="116"/>
      <c r="BA1099" s="116"/>
      <c r="BB1099" s="116"/>
      <c r="BE1099" s="62"/>
      <c r="BF1099" s="63"/>
    </row>
    <row r="1100" spans="1:58" ht="12.75" customHeight="1" x14ac:dyDescent="0.25">
      <c r="A1100" s="313"/>
      <c r="B1100" s="328"/>
      <c r="C1100" s="329"/>
      <c r="D1100" s="328"/>
      <c r="E1100" s="330"/>
      <c r="F1100" s="328"/>
      <c r="G1100" s="329"/>
      <c r="H1100" s="329"/>
      <c r="I1100" s="328"/>
      <c r="J1100" s="383"/>
      <c r="K1100" s="329"/>
      <c r="L1100" s="329"/>
      <c r="M1100" s="76"/>
      <c r="N1100" s="103" t="str">
        <f>IF(A1100="","",VLOOKUP(A1100,Stand!C:K,9,0))</f>
        <v/>
      </c>
      <c r="O1100" s="104" t="str">
        <f t="shared" si="497"/>
        <v/>
      </c>
      <c r="P1100" s="105" t="str">
        <f t="shared" si="498"/>
        <v/>
      </c>
      <c r="Q1100" s="105" t="str">
        <f t="shared" si="486"/>
        <v/>
      </c>
      <c r="R1100" s="103" t="str">
        <f t="shared" si="499"/>
        <v/>
      </c>
      <c r="S1100" s="103" t="str">
        <f t="shared" si="500"/>
        <v/>
      </c>
      <c r="T1100" s="106" t="str">
        <f t="shared" si="487"/>
        <v/>
      </c>
      <c r="U1100" s="106" t="str">
        <f t="shared" si="488"/>
        <v/>
      </c>
      <c r="V1100" s="106" t="str">
        <f t="shared" si="489"/>
        <v/>
      </c>
      <c r="W1100" s="105" t="str">
        <f t="shared" si="501"/>
        <v/>
      </c>
      <c r="X1100" s="104" t="str">
        <f t="shared" si="506"/>
        <v/>
      </c>
      <c r="Y1100" s="104" t="str">
        <f t="array" ref="Y1100">IFERROR(IF(ISNUMBER(O1100),IF(COUNT(IF(A1100=$A$2:$A$2427,IF(D1100=$D$2:$D$2427,IF($X$2:$X$2427&gt;0,1))))&gt;0,SUM(IF(A1100=$A$2:$A$2427,IF(D1100=$D$2:$D$2427,$X$2:$X$2427)))/COUNT(IF(A1100=$A$2:$A$2427,IF(D1100=$D$2:$D$2427,IF(ISNUMBER($X$2:$X$2427),1)))),0),""),0)</f>
        <v/>
      </c>
      <c r="Z1100" s="104" t="str">
        <f>IF(ISNUMBER(O1100),IF(I1100&gt;0,(10^(VLOOKUP(D1100,'Species Codes'!B:C,2,0)+VLOOKUP(D1100,'Species Codes'!B:D,3,0)*LOG(E1100)+VLOOKUP(D1100,'Species Codes'!B:E,4,0)*LOG(I1100))),0),"")</f>
        <v/>
      </c>
      <c r="AA1100" s="104" t="str">
        <f>IFERROR((VLOOKUP(D1100,'Species Codes'!B:G,6,0)*Z1100)/2000,"")</f>
        <v/>
      </c>
      <c r="AB1100" s="104" t="e">
        <f>IF(Z1100&gt;0,((IF(OR(D1100="DF",D1100="RA")=TRUE,EXP(VLOOKUP(D1100,'Species Codes'!B:I,8,0)+VLOOKUP(D1100,'Species Codes'!B:J,9,0)*(LN((E1100*2.54)))),IF(OR(D1100="PY",D1100="RC",D1100="WH",D1100="NF")=TRUE,VLOOKUP(D1100,'Species Codes'!B:I,8,0)+VLOOKUP(D1100,'Species Codes'!B:J,9,0)*((E1100*2.54)^2)*(I1100*0.3048),IF(OR(D1100="MD",D1100="BM",D1100="GA")=TRUE,((VLOOKUP(D1100,'Species Codes'!B:I,8,0)*(((((E1100*2.54)+VLOOKUP(D1100,'Species Codes'!B:J,9,0))/VLOOKUP(D1100,'Species Codes'!B:K,10,0))^VLOOKUP(D1100,'Species Codes'!B:L,11,0))*((I1100*0.3048)^VLOOKUP(D1100,'Species Codes'!B:M,12,0))))-(VLOOKUP(D1100,'Species Codes'!B:I,8,0)*((((E1100*2.54)^VLOOKUP(D1100,'Species Codes'!B:L,11,0))*((I1100*0.3048)^VLOOKUP(D1100,'Species Codes'!B:M,12,0))))))*35.3*VLOOKUP(D1100,'Species Codes'!B:G,6,0)/2.2046,VLOOKUP(D1100,'Species Codes'!B:I,8,0)+VLOOKUP(D1100,'Species Codes'!B:J,9,0)*(((E1100*2.54)/100)^2)*(I1100*0.3048)))))*0.0011023),0)</f>
        <v>#N/A</v>
      </c>
      <c r="AC1100" s="104" t="e">
        <f>IF(Z1100&gt;0,((IF(OR(D1100="RA",D1100="OA",D1100="OT",D1100="UN",D1100="PC"),EXP(VLOOKUP(D1100,'Species Codes'!B:O,14,0)+VLOOKUP(D1100,'Species Codes'!B:P,15,0)*LN((E1100*2.54)))-EXP(VLOOKUP(D1100,'Species Codes'!B:O,14,0)+VLOOKUP(D1100,'Species Codes'!B:P,15,0)*LN((E1100*2.54)))*(1/(VLOOKUP(D1100,'Species Codes'!B:Q,16,0)+VLOOKUP(D1100,'Species Codes'!B:R,17,0)*((E1100*2.54)^VLOOKUP(D1100,'Species Codes'!B:S,18,0)))),IF(OR(D1100="BM",D1100="MD",D1100="OA"),EXP(VLOOKUP(D1100,'Species Codes'!B:O,14,0)+VLOOKUP(D1100,'Species Codes'!B:P,15,0)*LN((E1100*2.54)))*(1-(1/(VLOOKUP(D1100,'Species Codes'!B:Q,16,0)+VLOOKUP(D1100,'Species Codes'!B:R,17,0)*((E1100*2.54)^VLOOKUP(D1100,'Species Codes'!B:S,18,0)))))/1000,IF(D1100="DF",EXP(VLOOKUP(D1100,'Species Codes'!B:O,14,0)+VLOOKUP(D1100,'Species Codes'!B:P,15,0)*LN((E1100*2.54))),VLOOKUP(D1100,'Species Codes'!B:O,14,0)+VLOOKUP(D1100,'Species Codes'!B:P,15,0)*(((E1100*2.54)/100)^2)*(I1100*0.3048)))))*0.0011023),0)</f>
        <v>#N/A</v>
      </c>
      <c r="AD1100" s="104" t="e">
        <f t="shared" si="490"/>
        <v>#N/A</v>
      </c>
      <c r="AE1100" s="104" t="e">
        <f t="shared" si="491"/>
        <v>#N/A</v>
      </c>
      <c r="AF1100" s="104" t="e">
        <f>IF(AND(VLOOKUP($D1100,Merchantability!$B:$C,2,0)="Yes",$E1100&gt;=VLOOKUP($D1100,Merchantability!$B:$D,3,0),$E1100&lt;=VLOOKUP($D1100,Merchantability!$B:$E,4,0)),AA1100,0)</f>
        <v>#N/A</v>
      </c>
      <c r="AG1100" s="104" t="e">
        <f>IF(AND(VLOOKUP($D1100,Merchantability!$B:$C,2,0)="Yes",$E1100&gt;=VLOOKUP($D1100,Merchantability!$B:$D,3,0),$E1100&lt;=VLOOKUP($D1100,Merchantability!$B:$E,4,0)),AB1100,0)</f>
        <v>#N/A</v>
      </c>
      <c r="AH1100" s="104" t="e">
        <f>IF(AND(VLOOKUP($D1100,Merchantability!$B:$C,2,0)="Yes",$E1100&gt;=VLOOKUP($D1100,Merchantability!$B:$D,3,0),$E1100&lt;=VLOOKUP($D1100,Merchantability!$B:$E,4,0)),AC1100,0)</f>
        <v>#N/A</v>
      </c>
      <c r="AI1100" s="104" t="e">
        <f t="shared" si="492"/>
        <v>#N/A</v>
      </c>
      <c r="AJ1100" s="104" t="e">
        <f t="shared" si="493"/>
        <v>#VALUE!</v>
      </c>
      <c r="AK1100" s="104" t="e">
        <f t="shared" si="494"/>
        <v>#N/A</v>
      </c>
      <c r="AL1100" s="104" t="e">
        <f t="shared" si="495"/>
        <v>#N/A</v>
      </c>
      <c r="AM1100" s="104" t="e">
        <f t="shared" si="496"/>
        <v>#N/A</v>
      </c>
      <c r="AN1100" s="104" t="e">
        <f t="shared" si="507"/>
        <v>#N/A</v>
      </c>
      <c r="AO1100" s="104" t="e">
        <f t="shared" si="508"/>
        <v>#N/A</v>
      </c>
      <c r="AP1100" s="104" t="e">
        <f t="shared" si="509"/>
        <v>#N/A</v>
      </c>
      <c r="AQ1100" s="104" t="e">
        <f t="shared" si="510"/>
        <v>#N/A</v>
      </c>
      <c r="AR1100" s="105" t="str">
        <f t="shared" si="502"/>
        <v/>
      </c>
      <c r="AS1100" s="105" t="str">
        <f t="shared" si="503"/>
        <v/>
      </c>
      <c r="AT1100" s="108" t="str">
        <f t="shared" si="504"/>
        <v/>
      </c>
      <c r="AU1100" s="108" t="str">
        <f t="shared" si="505"/>
        <v/>
      </c>
      <c r="AV1100" s="107" t="str">
        <f>IF(ISNUMBER(O1100),IF(VLOOKUP($A1100,Stand!C:J,8,FALSE)="Short",AT1100,AU1100),"")</f>
        <v/>
      </c>
      <c r="AW1100" s="109" t="str">
        <f t="shared" si="511"/>
        <v/>
      </c>
      <c r="AX1100" s="109" t="str">
        <f t="shared" si="512"/>
        <v/>
      </c>
      <c r="AY1100" s="112" t="str">
        <f>IF(ISNUMBER(O1100),IF(AND(VLOOKUP($D1100,Merchantability!$B:$C,2,0)="Yes",$E1100&gt;=VLOOKUP($D1100,Merchantability!$B:$D,3,0),$E1100&lt;=VLOOKUP($D1100,Merchantability!$B:$E,4,0)),(AV1100*O1100)*(1-$H1100/100),""),"")</f>
        <v/>
      </c>
      <c r="AZ1100" s="116"/>
      <c r="BA1100" s="116"/>
      <c r="BB1100" s="116"/>
      <c r="BE1100" s="62"/>
      <c r="BF1100" s="63"/>
    </row>
    <row r="1101" spans="1:58" ht="12.75" customHeight="1" x14ac:dyDescent="0.25">
      <c r="A1101" s="313"/>
      <c r="B1101" s="328"/>
      <c r="C1101" s="329"/>
      <c r="D1101" s="328"/>
      <c r="E1101" s="330"/>
      <c r="F1101" s="328"/>
      <c r="G1101" s="329"/>
      <c r="H1101" s="329"/>
      <c r="I1101" s="328"/>
      <c r="J1101" s="383"/>
      <c r="K1101" s="329"/>
      <c r="L1101" s="329"/>
      <c r="M1101" s="76"/>
      <c r="N1101" s="103" t="str">
        <f>IF(A1101="","",VLOOKUP(A1101,Stand!C:K,9,0))</f>
        <v/>
      </c>
      <c r="O1101" s="104" t="str">
        <f t="shared" si="497"/>
        <v/>
      </c>
      <c r="P1101" s="105" t="str">
        <f t="shared" si="498"/>
        <v/>
      </c>
      <c r="Q1101" s="105" t="str">
        <f t="shared" si="486"/>
        <v/>
      </c>
      <c r="R1101" s="103" t="str">
        <f t="shared" si="499"/>
        <v/>
      </c>
      <c r="S1101" s="103" t="str">
        <f t="shared" si="500"/>
        <v/>
      </c>
      <c r="T1101" s="106" t="str">
        <f t="shared" si="487"/>
        <v/>
      </c>
      <c r="U1101" s="106" t="str">
        <f t="shared" si="488"/>
        <v/>
      </c>
      <c r="V1101" s="106" t="str">
        <f t="shared" si="489"/>
        <v/>
      </c>
      <c r="W1101" s="105" t="str">
        <f t="shared" si="501"/>
        <v/>
      </c>
      <c r="X1101" s="104" t="str">
        <f t="shared" si="506"/>
        <v/>
      </c>
      <c r="Y1101" s="104" t="str">
        <f t="array" ref="Y1101">IFERROR(IF(ISNUMBER(O1101),IF(COUNT(IF(A1101=$A$2:$A$2427,IF(D1101=$D$2:$D$2427,IF($X$2:$X$2427&gt;0,1))))&gt;0,SUM(IF(A1101=$A$2:$A$2427,IF(D1101=$D$2:$D$2427,$X$2:$X$2427)))/COUNT(IF(A1101=$A$2:$A$2427,IF(D1101=$D$2:$D$2427,IF(ISNUMBER($X$2:$X$2427),1)))),0),""),0)</f>
        <v/>
      </c>
      <c r="Z1101" s="104" t="str">
        <f>IF(ISNUMBER(O1101),IF(I1101&gt;0,(10^(VLOOKUP(D1101,'Species Codes'!B:C,2,0)+VLOOKUP(D1101,'Species Codes'!B:D,3,0)*LOG(E1101)+VLOOKUP(D1101,'Species Codes'!B:E,4,0)*LOG(I1101))),0),"")</f>
        <v/>
      </c>
      <c r="AA1101" s="104" t="str">
        <f>IFERROR((VLOOKUP(D1101,'Species Codes'!B:G,6,0)*Z1101)/2000,"")</f>
        <v/>
      </c>
      <c r="AB1101" s="104" t="e">
        <f>IF(Z1101&gt;0,((IF(OR(D1101="DF",D1101="RA")=TRUE,EXP(VLOOKUP(D1101,'Species Codes'!B:I,8,0)+VLOOKUP(D1101,'Species Codes'!B:J,9,0)*(LN((E1101*2.54)))),IF(OR(D1101="PY",D1101="RC",D1101="WH",D1101="NF")=TRUE,VLOOKUP(D1101,'Species Codes'!B:I,8,0)+VLOOKUP(D1101,'Species Codes'!B:J,9,0)*((E1101*2.54)^2)*(I1101*0.3048),IF(OR(D1101="MD",D1101="BM",D1101="GA")=TRUE,((VLOOKUP(D1101,'Species Codes'!B:I,8,0)*(((((E1101*2.54)+VLOOKUP(D1101,'Species Codes'!B:J,9,0))/VLOOKUP(D1101,'Species Codes'!B:K,10,0))^VLOOKUP(D1101,'Species Codes'!B:L,11,0))*((I1101*0.3048)^VLOOKUP(D1101,'Species Codes'!B:M,12,0))))-(VLOOKUP(D1101,'Species Codes'!B:I,8,0)*((((E1101*2.54)^VLOOKUP(D1101,'Species Codes'!B:L,11,0))*((I1101*0.3048)^VLOOKUP(D1101,'Species Codes'!B:M,12,0))))))*35.3*VLOOKUP(D1101,'Species Codes'!B:G,6,0)/2.2046,VLOOKUP(D1101,'Species Codes'!B:I,8,0)+VLOOKUP(D1101,'Species Codes'!B:J,9,0)*(((E1101*2.54)/100)^2)*(I1101*0.3048)))))*0.0011023),0)</f>
        <v>#N/A</v>
      </c>
      <c r="AC1101" s="104" t="e">
        <f>IF(Z1101&gt;0,((IF(OR(D1101="RA",D1101="OA",D1101="OT",D1101="UN",D1101="PC"),EXP(VLOOKUP(D1101,'Species Codes'!B:O,14,0)+VLOOKUP(D1101,'Species Codes'!B:P,15,0)*LN((E1101*2.54)))-EXP(VLOOKUP(D1101,'Species Codes'!B:O,14,0)+VLOOKUP(D1101,'Species Codes'!B:P,15,0)*LN((E1101*2.54)))*(1/(VLOOKUP(D1101,'Species Codes'!B:Q,16,0)+VLOOKUP(D1101,'Species Codes'!B:R,17,0)*((E1101*2.54)^VLOOKUP(D1101,'Species Codes'!B:S,18,0)))),IF(OR(D1101="BM",D1101="MD",D1101="OA"),EXP(VLOOKUP(D1101,'Species Codes'!B:O,14,0)+VLOOKUP(D1101,'Species Codes'!B:P,15,0)*LN((E1101*2.54)))*(1-(1/(VLOOKUP(D1101,'Species Codes'!B:Q,16,0)+VLOOKUP(D1101,'Species Codes'!B:R,17,0)*((E1101*2.54)^VLOOKUP(D1101,'Species Codes'!B:S,18,0)))))/1000,IF(D1101="DF",EXP(VLOOKUP(D1101,'Species Codes'!B:O,14,0)+VLOOKUP(D1101,'Species Codes'!B:P,15,0)*LN((E1101*2.54))),VLOOKUP(D1101,'Species Codes'!B:O,14,0)+VLOOKUP(D1101,'Species Codes'!B:P,15,0)*(((E1101*2.54)/100)^2)*(I1101*0.3048)))))*0.0011023),0)</f>
        <v>#N/A</v>
      </c>
      <c r="AD1101" s="104" t="e">
        <f t="shared" si="490"/>
        <v>#N/A</v>
      </c>
      <c r="AE1101" s="104" t="e">
        <f t="shared" si="491"/>
        <v>#N/A</v>
      </c>
      <c r="AF1101" s="104" t="e">
        <f>IF(AND(VLOOKUP($D1101,Merchantability!$B:$C,2,0)="Yes",$E1101&gt;=VLOOKUP($D1101,Merchantability!$B:$D,3,0),$E1101&lt;=VLOOKUP($D1101,Merchantability!$B:$E,4,0)),AA1101,0)</f>
        <v>#N/A</v>
      </c>
      <c r="AG1101" s="104" t="e">
        <f>IF(AND(VLOOKUP($D1101,Merchantability!$B:$C,2,0)="Yes",$E1101&gt;=VLOOKUP($D1101,Merchantability!$B:$D,3,0),$E1101&lt;=VLOOKUP($D1101,Merchantability!$B:$E,4,0)),AB1101,0)</f>
        <v>#N/A</v>
      </c>
      <c r="AH1101" s="104" t="e">
        <f>IF(AND(VLOOKUP($D1101,Merchantability!$B:$C,2,0)="Yes",$E1101&gt;=VLOOKUP($D1101,Merchantability!$B:$D,3,0),$E1101&lt;=VLOOKUP($D1101,Merchantability!$B:$E,4,0)),AC1101,0)</f>
        <v>#N/A</v>
      </c>
      <c r="AI1101" s="104" t="e">
        <f t="shared" si="492"/>
        <v>#N/A</v>
      </c>
      <c r="AJ1101" s="104" t="e">
        <f t="shared" si="493"/>
        <v>#VALUE!</v>
      </c>
      <c r="AK1101" s="104" t="e">
        <f t="shared" si="494"/>
        <v>#N/A</v>
      </c>
      <c r="AL1101" s="104" t="e">
        <f t="shared" si="495"/>
        <v>#N/A</v>
      </c>
      <c r="AM1101" s="104" t="e">
        <f t="shared" si="496"/>
        <v>#N/A</v>
      </c>
      <c r="AN1101" s="104" t="e">
        <f t="shared" si="507"/>
        <v>#N/A</v>
      </c>
      <c r="AO1101" s="104" t="e">
        <f t="shared" si="508"/>
        <v>#N/A</v>
      </c>
      <c r="AP1101" s="104" t="e">
        <f t="shared" si="509"/>
        <v>#N/A</v>
      </c>
      <c r="AQ1101" s="104" t="e">
        <f t="shared" si="510"/>
        <v>#N/A</v>
      </c>
      <c r="AR1101" s="105" t="str">
        <f t="shared" si="502"/>
        <v/>
      </c>
      <c r="AS1101" s="105" t="str">
        <f t="shared" si="503"/>
        <v/>
      </c>
      <c r="AT1101" s="108" t="str">
        <f t="shared" si="504"/>
        <v/>
      </c>
      <c r="AU1101" s="108" t="str">
        <f t="shared" si="505"/>
        <v/>
      </c>
      <c r="AV1101" s="107" t="str">
        <f>IF(ISNUMBER(O1101),IF(VLOOKUP($A1101,Stand!C:J,8,FALSE)="Short",AT1101,AU1101),"")</f>
        <v/>
      </c>
      <c r="AW1101" s="109" t="str">
        <f t="shared" si="511"/>
        <v/>
      </c>
      <c r="AX1101" s="109" t="str">
        <f t="shared" si="512"/>
        <v/>
      </c>
      <c r="AY1101" s="112" t="str">
        <f>IF(ISNUMBER(O1101),IF(AND(VLOOKUP($D1101,Merchantability!$B:$C,2,0)="Yes",$E1101&gt;=VLOOKUP($D1101,Merchantability!$B:$D,3,0),$E1101&lt;=VLOOKUP($D1101,Merchantability!$B:$E,4,0)),(AV1101*O1101)*(1-$H1101/100),""),"")</f>
        <v/>
      </c>
      <c r="AZ1101" s="116"/>
      <c r="BA1101" s="116"/>
      <c r="BB1101" s="116"/>
      <c r="BE1101" s="62"/>
      <c r="BF1101" s="63"/>
    </row>
    <row r="1102" spans="1:58" ht="12.75" customHeight="1" x14ac:dyDescent="0.25">
      <c r="A1102" s="313"/>
      <c r="B1102" s="328"/>
      <c r="C1102" s="329"/>
      <c r="D1102" s="328"/>
      <c r="E1102" s="330"/>
      <c r="F1102" s="328"/>
      <c r="G1102" s="329"/>
      <c r="H1102" s="329"/>
      <c r="I1102" s="328"/>
      <c r="J1102" s="383"/>
      <c r="K1102" s="329"/>
      <c r="L1102" s="329"/>
      <c r="M1102" s="76"/>
      <c r="N1102" s="103" t="str">
        <f>IF(A1102="","",VLOOKUP(A1102,Stand!C:K,9,0))</f>
        <v/>
      </c>
      <c r="O1102" s="104" t="str">
        <f t="shared" si="497"/>
        <v/>
      </c>
      <c r="P1102" s="105" t="str">
        <f t="shared" si="498"/>
        <v/>
      </c>
      <c r="Q1102" s="105" t="str">
        <f t="shared" si="486"/>
        <v/>
      </c>
      <c r="R1102" s="103" t="str">
        <f t="shared" si="499"/>
        <v/>
      </c>
      <c r="S1102" s="103" t="str">
        <f t="shared" si="500"/>
        <v/>
      </c>
      <c r="T1102" s="106" t="str">
        <f t="shared" si="487"/>
        <v/>
      </c>
      <c r="U1102" s="106" t="str">
        <f t="shared" si="488"/>
        <v/>
      </c>
      <c r="V1102" s="106" t="str">
        <f t="shared" si="489"/>
        <v/>
      </c>
      <c r="W1102" s="105" t="str">
        <f t="shared" si="501"/>
        <v/>
      </c>
      <c r="X1102" s="104" t="str">
        <f t="shared" si="506"/>
        <v/>
      </c>
      <c r="Y1102" s="104" t="str">
        <f t="array" ref="Y1102">IFERROR(IF(ISNUMBER(O1102),IF(COUNT(IF(A1102=$A$2:$A$2427,IF(D1102=$D$2:$D$2427,IF($X$2:$X$2427&gt;0,1))))&gt;0,SUM(IF(A1102=$A$2:$A$2427,IF(D1102=$D$2:$D$2427,$X$2:$X$2427)))/COUNT(IF(A1102=$A$2:$A$2427,IF(D1102=$D$2:$D$2427,IF(ISNUMBER($X$2:$X$2427),1)))),0),""),0)</f>
        <v/>
      </c>
      <c r="Z1102" s="104" t="str">
        <f>IF(ISNUMBER(O1102),IF(I1102&gt;0,(10^(VLOOKUP(D1102,'Species Codes'!B:C,2,0)+VLOOKUP(D1102,'Species Codes'!B:D,3,0)*LOG(E1102)+VLOOKUP(D1102,'Species Codes'!B:E,4,0)*LOG(I1102))),0),"")</f>
        <v/>
      </c>
      <c r="AA1102" s="104" t="str">
        <f>IFERROR((VLOOKUP(D1102,'Species Codes'!B:G,6,0)*Z1102)/2000,"")</f>
        <v/>
      </c>
      <c r="AB1102" s="104" t="e">
        <f>IF(Z1102&gt;0,((IF(OR(D1102="DF",D1102="RA")=TRUE,EXP(VLOOKUP(D1102,'Species Codes'!B:I,8,0)+VLOOKUP(D1102,'Species Codes'!B:J,9,0)*(LN((E1102*2.54)))),IF(OR(D1102="PY",D1102="RC",D1102="WH",D1102="NF")=TRUE,VLOOKUP(D1102,'Species Codes'!B:I,8,0)+VLOOKUP(D1102,'Species Codes'!B:J,9,0)*((E1102*2.54)^2)*(I1102*0.3048),IF(OR(D1102="MD",D1102="BM",D1102="GA")=TRUE,((VLOOKUP(D1102,'Species Codes'!B:I,8,0)*(((((E1102*2.54)+VLOOKUP(D1102,'Species Codes'!B:J,9,0))/VLOOKUP(D1102,'Species Codes'!B:K,10,0))^VLOOKUP(D1102,'Species Codes'!B:L,11,0))*((I1102*0.3048)^VLOOKUP(D1102,'Species Codes'!B:M,12,0))))-(VLOOKUP(D1102,'Species Codes'!B:I,8,0)*((((E1102*2.54)^VLOOKUP(D1102,'Species Codes'!B:L,11,0))*((I1102*0.3048)^VLOOKUP(D1102,'Species Codes'!B:M,12,0))))))*35.3*VLOOKUP(D1102,'Species Codes'!B:G,6,0)/2.2046,VLOOKUP(D1102,'Species Codes'!B:I,8,0)+VLOOKUP(D1102,'Species Codes'!B:J,9,0)*(((E1102*2.54)/100)^2)*(I1102*0.3048)))))*0.0011023),0)</f>
        <v>#N/A</v>
      </c>
      <c r="AC1102" s="104" t="e">
        <f>IF(Z1102&gt;0,((IF(OR(D1102="RA",D1102="OA",D1102="OT",D1102="UN",D1102="PC"),EXP(VLOOKUP(D1102,'Species Codes'!B:O,14,0)+VLOOKUP(D1102,'Species Codes'!B:P,15,0)*LN((E1102*2.54)))-EXP(VLOOKUP(D1102,'Species Codes'!B:O,14,0)+VLOOKUP(D1102,'Species Codes'!B:P,15,0)*LN((E1102*2.54)))*(1/(VLOOKUP(D1102,'Species Codes'!B:Q,16,0)+VLOOKUP(D1102,'Species Codes'!B:R,17,0)*((E1102*2.54)^VLOOKUP(D1102,'Species Codes'!B:S,18,0)))),IF(OR(D1102="BM",D1102="MD",D1102="OA"),EXP(VLOOKUP(D1102,'Species Codes'!B:O,14,0)+VLOOKUP(D1102,'Species Codes'!B:P,15,0)*LN((E1102*2.54)))*(1-(1/(VLOOKUP(D1102,'Species Codes'!B:Q,16,0)+VLOOKUP(D1102,'Species Codes'!B:R,17,0)*((E1102*2.54)^VLOOKUP(D1102,'Species Codes'!B:S,18,0)))))/1000,IF(D1102="DF",EXP(VLOOKUP(D1102,'Species Codes'!B:O,14,0)+VLOOKUP(D1102,'Species Codes'!B:P,15,0)*LN((E1102*2.54))),VLOOKUP(D1102,'Species Codes'!B:O,14,0)+VLOOKUP(D1102,'Species Codes'!B:P,15,0)*(((E1102*2.54)/100)^2)*(I1102*0.3048)))))*0.0011023),0)</f>
        <v>#N/A</v>
      </c>
      <c r="AD1102" s="104" t="e">
        <f t="shared" si="490"/>
        <v>#N/A</v>
      </c>
      <c r="AE1102" s="104" t="e">
        <f t="shared" si="491"/>
        <v>#N/A</v>
      </c>
      <c r="AF1102" s="104" t="e">
        <f>IF(AND(VLOOKUP($D1102,Merchantability!$B:$C,2,0)="Yes",$E1102&gt;=VLOOKUP($D1102,Merchantability!$B:$D,3,0),$E1102&lt;=VLOOKUP($D1102,Merchantability!$B:$E,4,0)),AA1102,0)</f>
        <v>#N/A</v>
      </c>
      <c r="AG1102" s="104" t="e">
        <f>IF(AND(VLOOKUP($D1102,Merchantability!$B:$C,2,0)="Yes",$E1102&gt;=VLOOKUP($D1102,Merchantability!$B:$D,3,0),$E1102&lt;=VLOOKUP($D1102,Merchantability!$B:$E,4,0)),AB1102,0)</f>
        <v>#N/A</v>
      </c>
      <c r="AH1102" s="104" t="e">
        <f>IF(AND(VLOOKUP($D1102,Merchantability!$B:$C,2,0)="Yes",$E1102&gt;=VLOOKUP($D1102,Merchantability!$B:$D,3,0),$E1102&lt;=VLOOKUP($D1102,Merchantability!$B:$E,4,0)),AC1102,0)</f>
        <v>#N/A</v>
      </c>
      <c r="AI1102" s="104" t="e">
        <f t="shared" si="492"/>
        <v>#N/A</v>
      </c>
      <c r="AJ1102" s="104" t="e">
        <f t="shared" si="493"/>
        <v>#VALUE!</v>
      </c>
      <c r="AK1102" s="104" t="e">
        <f t="shared" si="494"/>
        <v>#N/A</v>
      </c>
      <c r="AL1102" s="104" t="e">
        <f t="shared" si="495"/>
        <v>#N/A</v>
      </c>
      <c r="AM1102" s="104" t="e">
        <f t="shared" si="496"/>
        <v>#N/A</v>
      </c>
      <c r="AN1102" s="104" t="e">
        <f t="shared" si="507"/>
        <v>#N/A</v>
      </c>
      <c r="AO1102" s="104" t="e">
        <f t="shared" si="508"/>
        <v>#N/A</v>
      </c>
      <c r="AP1102" s="104" t="e">
        <f t="shared" si="509"/>
        <v>#N/A</v>
      </c>
      <c r="AQ1102" s="104" t="e">
        <f t="shared" si="510"/>
        <v>#N/A</v>
      </c>
      <c r="AR1102" s="105" t="str">
        <f t="shared" si="502"/>
        <v/>
      </c>
      <c r="AS1102" s="105" t="str">
        <f t="shared" si="503"/>
        <v/>
      </c>
      <c r="AT1102" s="108" t="str">
        <f t="shared" si="504"/>
        <v/>
      </c>
      <c r="AU1102" s="108" t="str">
        <f t="shared" si="505"/>
        <v/>
      </c>
      <c r="AV1102" s="107" t="str">
        <f>IF(ISNUMBER(O1102),IF(VLOOKUP($A1102,Stand!C:J,8,FALSE)="Short",AT1102,AU1102),"")</f>
        <v/>
      </c>
      <c r="AW1102" s="109" t="str">
        <f t="shared" si="511"/>
        <v/>
      </c>
      <c r="AX1102" s="109" t="str">
        <f t="shared" si="512"/>
        <v/>
      </c>
      <c r="AY1102" s="112" t="str">
        <f>IF(ISNUMBER(O1102),IF(AND(VLOOKUP($D1102,Merchantability!$B:$C,2,0)="Yes",$E1102&gt;=VLOOKUP($D1102,Merchantability!$B:$D,3,0),$E1102&lt;=VLOOKUP($D1102,Merchantability!$B:$E,4,0)),(AV1102*O1102)*(1-$H1102/100),""),"")</f>
        <v/>
      </c>
      <c r="AZ1102" s="116"/>
      <c r="BA1102" s="116"/>
      <c r="BB1102" s="116"/>
      <c r="BE1102" s="62"/>
      <c r="BF1102" s="63"/>
    </row>
    <row r="1103" spans="1:58" ht="12.75" customHeight="1" x14ac:dyDescent="0.25">
      <c r="A1103" s="313"/>
      <c r="B1103" s="328"/>
      <c r="C1103" s="329"/>
      <c r="D1103" s="328"/>
      <c r="E1103" s="330"/>
      <c r="F1103" s="328"/>
      <c r="G1103" s="329"/>
      <c r="H1103" s="329"/>
      <c r="I1103" s="328"/>
      <c r="J1103" s="383"/>
      <c r="K1103" s="329"/>
      <c r="L1103" s="329"/>
      <c r="M1103" s="76"/>
      <c r="N1103" s="103" t="str">
        <f>IF(A1103="","",VLOOKUP(A1103,Stand!C:K,9,0))</f>
        <v/>
      </c>
      <c r="O1103" s="104" t="str">
        <f t="shared" si="497"/>
        <v/>
      </c>
      <c r="P1103" s="105" t="str">
        <f t="shared" si="498"/>
        <v/>
      </c>
      <c r="Q1103" s="105" t="str">
        <f t="shared" si="486"/>
        <v/>
      </c>
      <c r="R1103" s="103" t="str">
        <f t="shared" si="499"/>
        <v/>
      </c>
      <c r="S1103" s="103" t="str">
        <f t="shared" si="500"/>
        <v/>
      </c>
      <c r="T1103" s="106" t="str">
        <f t="shared" si="487"/>
        <v/>
      </c>
      <c r="U1103" s="106" t="str">
        <f t="shared" si="488"/>
        <v/>
      </c>
      <c r="V1103" s="106" t="str">
        <f t="shared" si="489"/>
        <v/>
      </c>
      <c r="W1103" s="105" t="str">
        <f t="shared" si="501"/>
        <v/>
      </c>
      <c r="X1103" s="104" t="str">
        <f t="shared" si="506"/>
        <v/>
      </c>
      <c r="Y1103" s="104" t="str">
        <f t="array" ref="Y1103">IFERROR(IF(ISNUMBER(O1103),IF(COUNT(IF(A1103=$A$2:$A$2427,IF(D1103=$D$2:$D$2427,IF($X$2:$X$2427&gt;0,1))))&gt;0,SUM(IF(A1103=$A$2:$A$2427,IF(D1103=$D$2:$D$2427,$X$2:$X$2427)))/COUNT(IF(A1103=$A$2:$A$2427,IF(D1103=$D$2:$D$2427,IF(ISNUMBER($X$2:$X$2427),1)))),0),""),0)</f>
        <v/>
      </c>
      <c r="Z1103" s="104" t="str">
        <f>IF(ISNUMBER(O1103),IF(I1103&gt;0,(10^(VLOOKUP(D1103,'Species Codes'!B:C,2,0)+VLOOKUP(D1103,'Species Codes'!B:D,3,0)*LOG(E1103)+VLOOKUP(D1103,'Species Codes'!B:E,4,0)*LOG(I1103))),0),"")</f>
        <v/>
      </c>
      <c r="AA1103" s="104" t="str">
        <f>IFERROR((VLOOKUP(D1103,'Species Codes'!B:G,6,0)*Z1103)/2000,"")</f>
        <v/>
      </c>
      <c r="AB1103" s="104" t="e">
        <f>IF(Z1103&gt;0,((IF(OR(D1103="DF",D1103="RA")=TRUE,EXP(VLOOKUP(D1103,'Species Codes'!B:I,8,0)+VLOOKUP(D1103,'Species Codes'!B:J,9,0)*(LN((E1103*2.54)))),IF(OR(D1103="PY",D1103="RC",D1103="WH",D1103="NF")=TRUE,VLOOKUP(D1103,'Species Codes'!B:I,8,0)+VLOOKUP(D1103,'Species Codes'!B:J,9,0)*((E1103*2.54)^2)*(I1103*0.3048),IF(OR(D1103="MD",D1103="BM",D1103="GA")=TRUE,((VLOOKUP(D1103,'Species Codes'!B:I,8,0)*(((((E1103*2.54)+VLOOKUP(D1103,'Species Codes'!B:J,9,0))/VLOOKUP(D1103,'Species Codes'!B:K,10,0))^VLOOKUP(D1103,'Species Codes'!B:L,11,0))*((I1103*0.3048)^VLOOKUP(D1103,'Species Codes'!B:M,12,0))))-(VLOOKUP(D1103,'Species Codes'!B:I,8,0)*((((E1103*2.54)^VLOOKUP(D1103,'Species Codes'!B:L,11,0))*((I1103*0.3048)^VLOOKUP(D1103,'Species Codes'!B:M,12,0))))))*35.3*VLOOKUP(D1103,'Species Codes'!B:G,6,0)/2.2046,VLOOKUP(D1103,'Species Codes'!B:I,8,0)+VLOOKUP(D1103,'Species Codes'!B:J,9,0)*(((E1103*2.54)/100)^2)*(I1103*0.3048)))))*0.0011023),0)</f>
        <v>#N/A</v>
      </c>
      <c r="AC1103" s="104" t="e">
        <f>IF(Z1103&gt;0,((IF(OR(D1103="RA",D1103="OA",D1103="OT",D1103="UN",D1103="PC"),EXP(VLOOKUP(D1103,'Species Codes'!B:O,14,0)+VLOOKUP(D1103,'Species Codes'!B:P,15,0)*LN((E1103*2.54)))-EXP(VLOOKUP(D1103,'Species Codes'!B:O,14,0)+VLOOKUP(D1103,'Species Codes'!B:P,15,0)*LN((E1103*2.54)))*(1/(VLOOKUP(D1103,'Species Codes'!B:Q,16,0)+VLOOKUP(D1103,'Species Codes'!B:R,17,0)*((E1103*2.54)^VLOOKUP(D1103,'Species Codes'!B:S,18,0)))),IF(OR(D1103="BM",D1103="MD",D1103="OA"),EXP(VLOOKUP(D1103,'Species Codes'!B:O,14,0)+VLOOKUP(D1103,'Species Codes'!B:P,15,0)*LN((E1103*2.54)))*(1-(1/(VLOOKUP(D1103,'Species Codes'!B:Q,16,0)+VLOOKUP(D1103,'Species Codes'!B:R,17,0)*((E1103*2.54)^VLOOKUP(D1103,'Species Codes'!B:S,18,0)))))/1000,IF(D1103="DF",EXP(VLOOKUP(D1103,'Species Codes'!B:O,14,0)+VLOOKUP(D1103,'Species Codes'!B:P,15,0)*LN((E1103*2.54))),VLOOKUP(D1103,'Species Codes'!B:O,14,0)+VLOOKUP(D1103,'Species Codes'!B:P,15,0)*(((E1103*2.54)/100)^2)*(I1103*0.3048)))))*0.0011023),0)</f>
        <v>#N/A</v>
      </c>
      <c r="AD1103" s="104" t="e">
        <f t="shared" si="490"/>
        <v>#N/A</v>
      </c>
      <c r="AE1103" s="104" t="e">
        <f t="shared" si="491"/>
        <v>#N/A</v>
      </c>
      <c r="AF1103" s="104" t="e">
        <f>IF(AND(VLOOKUP($D1103,Merchantability!$B:$C,2,0)="Yes",$E1103&gt;=VLOOKUP($D1103,Merchantability!$B:$D,3,0),$E1103&lt;=VLOOKUP($D1103,Merchantability!$B:$E,4,0)),AA1103,0)</f>
        <v>#N/A</v>
      </c>
      <c r="AG1103" s="104" t="e">
        <f>IF(AND(VLOOKUP($D1103,Merchantability!$B:$C,2,0)="Yes",$E1103&gt;=VLOOKUP($D1103,Merchantability!$B:$D,3,0),$E1103&lt;=VLOOKUP($D1103,Merchantability!$B:$E,4,0)),AB1103,0)</f>
        <v>#N/A</v>
      </c>
      <c r="AH1103" s="104" t="e">
        <f>IF(AND(VLOOKUP($D1103,Merchantability!$B:$C,2,0)="Yes",$E1103&gt;=VLOOKUP($D1103,Merchantability!$B:$D,3,0),$E1103&lt;=VLOOKUP($D1103,Merchantability!$B:$E,4,0)),AC1103,0)</f>
        <v>#N/A</v>
      </c>
      <c r="AI1103" s="104" t="e">
        <f t="shared" si="492"/>
        <v>#N/A</v>
      </c>
      <c r="AJ1103" s="104" t="e">
        <f t="shared" si="493"/>
        <v>#VALUE!</v>
      </c>
      <c r="AK1103" s="104" t="e">
        <f t="shared" si="494"/>
        <v>#N/A</v>
      </c>
      <c r="AL1103" s="104" t="e">
        <f t="shared" si="495"/>
        <v>#N/A</v>
      </c>
      <c r="AM1103" s="104" t="e">
        <f t="shared" si="496"/>
        <v>#N/A</v>
      </c>
      <c r="AN1103" s="104" t="e">
        <f t="shared" si="507"/>
        <v>#N/A</v>
      </c>
      <c r="AO1103" s="104" t="e">
        <f t="shared" si="508"/>
        <v>#N/A</v>
      </c>
      <c r="AP1103" s="104" t="e">
        <f t="shared" si="509"/>
        <v>#N/A</v>
      </c>
      <c r="AQ1103" s="104" t="e">
        <f t="shared" si="510"/>
        <v>#N/A</v>
      </c>
      <c r="AR1103" s="105" t="str">
        <f t="shared" si="502"/>
        <v/>
      </c>
      <c r="AS1103" s="105" t="str">
        <f t="shared" si="503"/>
        <v/>
      </c>
      <c r="AT1103" s="108" t="str">
        <f t="shared" si="504"/>
        <v/>
      </c>
      <c r="AU1103" s="108" t="str">
        <f t="shared" si="505"/>
        <v/>
      </c>
      <c r="AV1103" s="107" t="str">
        <f>IF(ISNUMBER(O1103),IF(VLOOKUP($A1103,Stand!C:J,8,FALSE)="Short",AT1103,AU1103),"")</f>
        <v/>
      </c>
      <c r="AW1103" s="109" t="str">
        <f t="shared" si="511"/>
        <v/>
      </c>
      <c r="AX1103" s="109" t="str">
        <f t="shared" si="512"/>
        <v/>
      </c>
      <c r="AY1103" s="112" t="str">
        <f>IF(ISNUMBER(O1103),IF(AND(VLOOKUP($D1103,Merchantability!$B:$C,2,0)="Yes",$E1103&gt;=VLOOKUP($D1103,Merchantability!$B:$D,3,0),$E1103&lt;=VLOOKUP($D1103,Merchantability!$B:$E,4,0)),(AV1103*O1103)*(1-$H1103/100),""),"")</f>
        <v/>
      </c>
      <c r="AZ1103" s="116"/>
      <c r="BA1103" s="116"/>
      <c r="BB1103" s="116"/>
      <c r="BE1103" s="62"/>
      <c r="BF1103" s="63"/>
    </row>
    <row r="1104" spans="1:58" ht="12.75" customHeight="1" x14ac:dyDescent="0.25">
      <c r="A1104" s="313"/>
      <c r="B1104" s="328"/>
      <c r="C1104" s="329"/>
      <c r="D1104" s="328"/>
      <c r="E1104" s="330"/>
      <c r="F1104" s="328"/>
      <c r="G1104" s="329"/>
      <c r="H1104" s="329"/>
      <c r="I1104" s="328"/>
      <c r="J1104" s="383"/>
      <c r="K1104" s="329"/>
      <c r="L1104" s="329"/>
      <c r="M1104" s="76"/>
      <c r="N1104" s="103" t="str">
        <f>IF(A1104="","",VLOOKUP(A1104,Stand!C:K,9,0))</f>
        <v/>
      </c>
      <c r="O1104" s="104" t="str">
        <f t="shared" si="497"/>
        <v/>
      </c>
      <c r="P1104" s="105" t="str">
        <f t="shared" si="498"/>
        <v/>
      </c>
      <c r="Q1104" s="105" t="str">
        <f t="shared" si="486"/>
        <v/>
      </c>
      <c r="R1104" s="103" t="str">
        <f t="shared" si="499"/>
        <v/>
      </c>
      <c r="S1104" s="103" t="str">
        <f t="shared" si="500"/>
        <v/>
      </c>
      <c r="T1104" s="106" t="str">
        <f t="shared" si="487"/>
        <v/>
      </c>
      <c r="U1104" s="106" t="str">
        <f t="shared" si="488"/>
        <v/>
      </c>
      <c r="V1104" s="106" t="str">
        <f t="shared" si="489"/>
        <v/>
      </c>
      <c r="W1104" s="105" t="str">
        <f t="shared" si="501"/>
        <v/>
      </c>
      <c r="X1104" s="104" t="str">
        <f t="shared" si="506"/>
        <v/>
      </c>
      <c r="Y1104" s="104" t="str">
        <f t="array" ref="Y1104">IFERROR(IF(ISNUMBER(O1104),IF(COUNT(IF(A1104=$A$2:$A$2427,IF(D1104=$D$2:$D$2427,IF($X$2:$X$2427&gt;0,1))))&gt;0,SUM(IF(A1104=$A$2:$A$2427,IF(D1104=$D$2:$D$2427,$X$2:$X$2427)))/COUNT(IF(A1104=$A$2:$A$2427,IF(D1104=$D$2:$D$2427,IF(ISNUMBER($X$2:$X$2427),1)))),0),""),0)</f>
        <v/>
      </c>
      <c r="Z1104" s="104" t="str">
        <f>IF(ISNUMBER(O1104),IF(I1104&gt;0,(10^(VLOOKUP(D1104,'Species Codes'!B:C,2,0)+VLOOKUP(D1104,'Species Codes'!B:D,3,0)*LOG(E1104)+VLOOKUP(D1104,'Species Codes'!B:E,4,0)*LOG(I1104))),0),"")</f>
        <v/>
      </c>
      <c r="AA1104" s="104" t="str">
        <f>IFERROR((VLOOKUP(D1104,'Species Codes'!B:G,6,0)*Z1104)/2000,"")</f>
        <v/>
      </c>
      <c r="AB1104" s="104" t="e">
        <f>IF(Z1104&gt;0,((IF(OR(D1104="DF",D1104="RA")=TRUE,EXP(VLOOKUP(D1104,'Species Codes'!B:I,8,0)+VLOOKUP(D1104,'Species Codes'!B:J,9,0)*(LN((E1104*2.54)))),IF(OR(D1104="PY",D1104="RC",D1104="WH",D1104="NF")=TRUE,VLOOKUP(D1104,'Species Codes'!B:I,8,0)+VLOOKUP(D1104,'Species Codes'!B:J,9,0)*((E1104*2.54)^2)*(I1104*0.3048),IF(OR(D1104="MD",D1104="BM",D1104="GA")=TRUE,((VLOOKUP(D1104,'Species Codes'!B:I,8,0)*(((((E1104*2.54)+VLOOKUP(D1104,'Species Codes'!B:J,9,0))/VLOOKUP(D1104,'Species Codes'!B:K,10,0))^VLOOKUP(D1104,'Species Codes'!B:L,11,0))*((I1104*0.3048)^VLOOKUP(D1104,'Species Codes'!B:M,12,0))))-(VLOOKUP(D1104,'Species Codes'!B:I,8,0)*((((E1104*2.54)^VLOOKUP(D1104,'Species Codes'!B:L,11,0))*((I1104*0.3048)^VLOOKUP(D1104,'Species Codes'!B:M,12,0))))))*35.3*VLOOKUP(D1104,'Species Codes'!B:G,6,0)/2.2046,VLOOKUP(D1104,'Species Codes'!B:I,8,0)+VLOOKUP(D1104,'Species Codes'!B:J,9,0)*(((E1104*2.54)/100)^2)*(I1104*0.3048)))))*0.0011023),0)</f>
        <v>#N/A</v>
      </c>
      <c r="AC1104" s="104" t="e">
        <f>IF(Z1104&gt;0,((IF(OR(D1104="RA",D1104="OA",D1104="OT",D1104="UN",D1104="PC"),EXP(VLOOKUP(D1104,'Species Codes'!B:O,14,0)+VLOOKUP(D1104,'Species Codes'!B:P,15,0)*LN((E1104*2.54)))-EXP(VLOOKUP(D1104,'Species Codes'!B:O,14,0)+VLOOKUP(D1104,'Species Codes'!B:P,15,0)*LN((E1104*2.54)))*(1/(VLOOKUP(D1104,'Species Codes'!B:Q,16,0)+VLOOKUP(D1104,'Species Codes'!B:R,17,0)*((E1104*2.54)^VLOOKUP(D1104,'Species Codes'!B:S,18,0)))),IF(OR(D1104="BM",D1104="MD",D1104="OA"),EXP(VLOOKUP(D1104,'Species Codes'!B:O,14,0)+VLOOKUP(D1104,'Species Codes'!B:P,15,0)*LN((E1104*2.54)))*(1-(1/(VLOOKUP(D1104,'Species Codes'!B:Q,16,0)+VLOOKUP(D1104,'Species Codes'!B:R,17,0)*((E1104*2.54)^VLOOKUP(D1104,'Species Codes'!B:S,18,0)))))/1000,IF(D1104="DF",EXP(VLOOKUP(D1104,'Species Codes'!B:O,14,0)+VLOOKUP(D1104,'Species Codes'!B:P,15,0)*LN((E1104*2.54))),VLOOKUP(D1104,'Species Codes'!B:O,14,0)+VLOOKUP(D1104,'Species Codes'!B:P,15,0)*(((E1104*2.54)/100)^2)*(I1104*0.3048)))))*0.0011023),0)</f>
        <v>#N/A</v>
      </c>
      <c r="AD1104" s="104" t="e">
        <f t="shared" si="490"/>
        <v>#N/A</v>
      </c>
      <c r="AE1104" s="104" t="e">
        <f t="shared" si="491"/>
        <v>#N/A</v>
      </c>
      <c r="AF1104" s="104" t="e">
        <f>IF(AND(VLOOKUP($D1104,Merchantability!$B:$C,2,0)="Yes",$E1104&gt;=VLOOKUP($D1104,Merchantability!$B:$D,3,0),$E1104&lt;=VLOOKUP($D1104,Merchantability!$B:$E,4,0)),AA1104,0)</f>
        <v>#N/A</v>
      </c>
      <c r="AG1104" s="104" t="e">
        <f>IF(AND(VLOOKUP($D1104,Merchantability!$B:$C,2,0)="Yes",$E1104&gt;=VLOOKUP($D1104,Merchantability!$B:$D,3,0),$E1104&lt;=VLOOKUP($D1104,Merchantability!$B:$E,4,0)),AB1104,0)</f>
        <v>#N/A</v>
      </c>
      <c r="AH1104" s="104" t="e">
        <f>IF(AND(VLOOKUP($D1104,Merchantability!$B:$C,2,0)="Yes",$E1104&gt;=VLOOKUP($D1104,Merchantability!$B:$D,3,0),$E1104&lt;=VLOOKUP($D1104,Merchantability!$B:$E,4,0)),AC1104,0)</f>
        <v>#N/A</v>
      </c>
      <c r="AI1104" s="104" t="e">
        <f t="shared" si="492"/>
        <v>#N/A</v>
      </c>
      <c r="AJ1104" s="104" t="e">
        <f t="shared" si="493"/>
        <v>#VALUE!</v>
      </c>
      <c r="AK1104" s="104" t="e">
        <f t="shared" si="494"/>
        <v>#N/A</v>
      </c>
      <c r="AL1104" s="104" t="e">
        <f t="shared" si="495"/>
        <v>#N/A</v>
      </c>
      <c r="AM1104" s="104" t="e">
        <f t="shared" si="496"/>
        <v>#N/A</v>
      </c>
      <c r="AN1104" s="104" t="e">
        <f t="shared" si="507"/>
        <v>#N/A</v>
      </c>
      <c r="AO1104" s="104" t="e">
        <f t="shared" si="508"/>
        <v>#N/A</v>
      </c>
      <c r="AP1104" s="104" t="e">
        <f t="shared" si="509"/>
        <v>#N/A</v>
      </c>
      <c r="AQ1104" s="104" t="e">
        <f t="shared" si="510"/>
        <v>#N/A</v>
      </c>
      <c r="AR1104" s="105" t="str">
        <f t="shared" si="502"/>
        <v/>
      </c>
      <c r="AS1104" s="105" t="str">
        <f t="shared" si="503"/>
        <v/>
      </c>
      <c r="AT1104" s="108" t="str">
        <f t="shared" si="504"/>
        <v/>
      </c>
      <c r="AU1104" s="108" t="str">
        <f t="shared" si="505"/>
        <v/>
      </c>
      <c r="AV1104" s="107" t="str">
        <f>IF(ISNUMBER(O1104),IF(VLOOKUP($A1104,Stand!C:J,8,FALSE)="Short",AT1104,AU1104),"")</f>
        <v/>
      </c>
      <c r="AW1104" s="109" t="str">
        <f t="shared" si="511"/>
        <v/>
      </c>
      <c r="AX1104" s="109" t="str">
        <f t="shared" si="512"/>
        <v/>
      </c>
      <c r="AY1104" s="112" t="str">
        <f>IF(ISNUMBER(O1104),IF(AND(VLOOKUP($D1104,Merchantability!$B:$C,2,0)="Yes",$E1104&gt;=VLOOKUP($D1104,Merchantability!$B:$D,3,0),$E1104&lt;=VLOOKUP($D1104,Merchantability!$B:$E,4,0)),(AV1104*O1104)*(1-$H1104/100),""),"")</f>
        <v/>
      </c>
      <c r="AZ1104" s="116"/>
      <c r="BA1104" s="116"/>
      <c r="BB1104" s="116"/>
      <c r="BE1104" s="62"/>
      <c r="BF1104" s="63"/>
    </row>
    <row r="1105" spans="1:58" ht="12.75" customHeight="1" x14ac:dyDescent="0.25">
      <c r="A1105" s="313"/>
      <c r="B1105" s="328"/>
      <c r="C1105" s="329"/>
      <c r="D1105" s="328"/>
      <c r="E1105" s="330"/>
      <c r="F1105" s="328"/>
      <c r="G1105" s="329"/>
      <c r="H1105" s="329"/>
      <c r="I1105" s="328"/>
      <c r="J1105" s="383"/>
      <c r="K1105" s="329"/>
      <c r="L1105" s="329"/>
      <c r="M1105" s="76"/>
      <c r="N1105" s="103" t="str">
        <f>IF(A1105="","",VLOOKUP(A1105,Stand!C:K,9,0))</f>
        <v/>
      </c>
      <c r="O1105" s="104" t="str">
        <f t="shared" si="497"/>
        <v/>
      </c>
      <c r="P1105" s="105" t="str">
        <f t="shared" si="498"/>
        <v/>
      </c>
      <c r="Q1105" s="105" t="str">
        <f t="shared" si="486"/>
        <v/>
      </c>
      <c r="R1105" s="103" t="str">
        <f t="shared" si="499"/>
        <v/>
      </c>
      <c r="S1105" s="103" t="str">
        <f t="shared" si="500"/>
        <v/>
      </c>
      <c r="T1105" s="106" t="str">
        <f t="shared" si="487"/>
        <v/>
      </c>
      <c r="U1105" s="106" t="str">
        <f t="shared" si="488"/>
        <v/>
      </c>
      <c r="V1105" s="106" t="str">
        <f t="shared" si="489"/>
        <v/>
      </c>
      <c r="W1105" s="105" t="str">
        <f t="shared" si="501"/>
        <v/>
      </c>
      <c r="X1105" s="104" t="str">
        <f t="shared" si="506"/>
        <v/>
      </c>
      <c r="Y1105" s="104" t="str">
        <f t="array" ref="Y1105">IFERROR(IF(ISNUMBER(O1105),IF(COUNT(IF(A1105=$A$2:$A$2427,IF(D1105=$D$2:$D$2427,IF($X$2:$X$2427&gt;0,1))))&gt;0,SUM(IF(A1105=$A$2:$A$2427,IF(D1105=$D$2:$D$2427,$X$2:$X$2427)))/COUNT(IF(A1105=$A$2:$A$2427,IF(D1105=$D$2:$D$2427,IF(ISNUMBER($X$2:$X$2427),1)))),0),""),0)</f>
        <v/>
      </c>
      <c r="Z1105" s="104" t="str">
        <f>IF(ISNUMBER(O1105),IF(I1105&gt;0,(10^(VLOOKUP(D1105,'Species Codes'!B:C,2,0)+VLOOKUP(D1105,'Species Codes'!B:D,3,0)*LOG(E1105)+VLOOKUP(D1105,'Species Codes'!B:E,4,0)*LOG(I1105))),0),"")</f>
        <v/>
      </c>
      <c r="AA1105" s="104" t="str">
        <f>IFERROR((VLOOKUP(D1105,'Species Codes'!B:G,6,0)*Z1105)/2000,"")</f>
        <v/>
      </c>
      <c r="AB1105" s="104" t="e">
        <f>IF(Z1105&gt;0,((IF(OR(D1105="DF",D1105="RA")=TRUE,EXP(VLOOKUP(D1105,'Species Codes'!B:I,8,0)+VLOOKUP(D1105,'Species Codes'!B:J,9,0)*(LN((E1105*2.54)))),IF(OR(D1105="PY",D1105="RC",D1105="WH",D1105="NF")=TRUE,VLOOKUP(D1105,'Species Codes'!B:I,8,0)+VLOOKUP(D1105,'Species Codes'!B:J,9,0)*((E1105*2.54)^2)*(I1105*0.3048),IF(OR(D1105="MD",D1105="BM",D1105="GA")=TRUE,((VLOOKUP(D1105,'Species Codes'!B:I,8,0)*(((((E1105*2.54)+VLOOKUP(D1105,'Species Codes'!B:J,9,0))/VLOOKUP(D1105,'Species Codes'!B:K,10,0))^VLOOKUP(D1105,'Species Codes'!B:L,11,0))*((I1105*0.3048)^VLOOKUP(D1105,'Species Codes'!B:M,12,0))))-(VLOOKUP(D1105,'Species Codes'!B:I,8,0)*((((E1105*2.54)^VLOOKUP(D1105,'Species Codes'!B:L,11,0))*((I1105*0.3048)^VLOOKUP(D1105,'Species Codes'!B:M,12,0))))))*35.3*VLOOKUP(D1105,'Species Codes'!B:G,6,0)/2.2046,VLOOKUP(D1105,'Species Codes'!B:I,8,0)+VLOOKUP(D1105,'Species Codes'!B:J,9,0)*(((E1105*2.54)/100)^2)*(I1105*0.3048)))))*0.0011023),0)</f>
        <v>#N/A</v>
      </c>
      <c r="AC1105" s="104" t="e">
        <f>IF(Z1105&gt;0,((IF(OR(D1105="RA",D1105="OA",D1105="OT",D1105="UN",D1105="PC"),EXP(VLOOKUP(D1105,'Species Codes'!B:O,14,0)+VLOOKUP(D1105,'Species Codes'!B:P,15,0)*LN((E1105*2.54)))-EXP(VLOOKUP(D1105,'Species Codes'!B:O,14,0)+VLOOKUP(D1105,'Species Codes'!B:P,15,0)*LN((E1105*2.54)))*(1/(VLOOKUP(D1105,'Species Codes'!B:Q,16,0)+VLOOKUP(D1105,'Species Codes'!B:R,17,0)*((E1105*2.54)^VLOOKUP(D1105,'Species Codes'!B:S,18,0)))),IF(OR(D1105="BM",D1105="MD",D1105="OA"),EXP(VLOOKUP(D1105,'Species Codes'!B:O,14,0)+VLOOKUP(D1105,'Species Codes'!B:P,15,0)*LN((E1105*2.54)))*(1-(1/(VLOOKUP(D1105,'Species Codes'!B:Q,16,0)+VLOOKUP(D1105,'Species Codes'!B:R,17,0)*((E1105*2.54)^VLOOKUP(D1105,'Species Codes'!B:S,18,0)))))/1000,IF(D1105="DF",EXP(VLOOKUP(D1105,'Species Codes'!B:O,14,0)+VLOOKUP(D1105,'Species Codes'!B:P,15,0)*LN((E1105*2.54))),VLOOKUP(D1105,'Species Codes'!B:O,14,0)+VLOOKUP(D1105,'Species Codes'!B:P,15,0)*(((E1105*2.54)/100)^2)*(I1105*0.3048)))))*0.0011023),0)</f>
        <v>#N/A</v>
      </c>
      <c r="AD1105" s="104" t="e">
        <f t="shared" si="490"/>
        <v>#N/A</v>
      </c>
      <c r="AE1105" s="104" t="e">
        <f t="shared" si="491"/>
        <v>#N/A</v>
      </c>
      <c r="AF1105" s="104" t="e">
        <f>IF(AND(VLOOKUP($D1105,Merchantability!$B:$C,2,0)="Yes",$E1105&gt;=VLOOKUP($D1105,Merchantability!$B:$D,3,0),$E1105&lt;=VLOOKUP($D1105,Merchantability!$B:$E,4,0)),AA1105,0)</f>
        <v>#N/A</v>
      </c>
      <c r="AG1105" s="104" t="e">
        <f>IF(AND(VLOOKUP($D1105,Merchantability!$B:$C,2,0)="Yes",$E1105&gt;=VLOOKUP($D1105,Merchantability!$B:$D,3,0),$E1105&lt;=VLOOKUP($D1105,Merchantability!$B:$E,4,0)),AB1105,0)</f>
        <v>#N/A</v>
      </c>
      <c r="AH1105" s="104" t="e">
        <f>IF(AND(VLOOKUP($D1105,Merchantability!$B:$C,2,0)="Yes",$E1105&gt;=VLOOKUP($D1105,Merchantability!$B:$D,3,0),$E1105&lt;=VLOOKUP($D1105,Merchantability!$B:$E,4,0)),AC1105,0)</f>
        <v>#N/A</v>
      </c>
      <c r="AI1105" s="104" t="e">
        <f t="shared" si="492"/>
        <v>#N/A</v>
      </c>
      <c r="AJ1105" s="104" t="e">
        <f t="shared" si="493"/>
        <v>#VALUE!</v>
      </c>
      <c r="AK1105" s="104" t="e">
        <f t="shared" si="494"/>
        <v>#N/A</v>
      </c>
      <c r="AL1105" s="104" t="e">
        <f t="shared" si="495"/>
        <v>#N/A</v>
      </c>
      <c r="AM1105" s="104" t="e">
        <f t="shared" si="496"/>
        <v>#N/A</v>
      </c>
      <c r="AN1105" s="104" t="e">
        <f t="shared" si="507"/>
        <v>#N/A</v>
      </c>
      <c r="AO1105" s="104" t="e">
        <f t="shared" si="508"/>
        <v>#N/A</v>
      </c>
      <c r="AP1105" s="104" t="e">
        <f t="shared" si="509"/>
        <v>#N/A</v>
      </c>
      <c r="AQ1105" s="104" t="e">
        <f t="shared" si="510"/>
        <v>#N/A</v>
      </c>
      <c r="AR1105" s="105" t="str">
        <f t="shared" si="502"/>
        <v/>
      </c>
      <c r="AS1105" s="105" t="str">
        <f t="shared" si="503"/>
        <v/>
      </c>
      <c r="AT1105" s="108" t="str">
        <f t="shared" si="504"/>
        <v/>
      </c>
      <c r="AU1105" s="108" t="str">
        <f t="shared" si="505"/>
        <v/>
      </c>
      <c r="AV1105" s="107" t="str">
        <f>IF(ISNUMBER(O1105),IF(VLOOKUP($A1105,Stand!C:J,8,FALSE)="Short",AT1105,AU1105),"")</f>
        <v/>
      </c>
      <c r="AW1105" s="109" t="str">
        <f t="shared" si="511"/>
        <v/>
      </c>
      <c r="AX1105" s="109" t="str">
        <f t="shared" si="512"/>
        <v/>
      </c>
      <c r="AY1105" s="112" t="str">
        <f>IF(ISNUMBER(O1105),IF(AND(VLOOKUP($D1105,Merchantability!$B:$C,2,0)="Yes",$E1105&gt;=VLOOKUP($D1105,Merchantability!$B:$D,3,0),$E1105&lt;=VLOOKUP($D1105,Merchantability!$B:$E,4,0)),(AV1105*O1105)*(1-$H1105/100),""),"")</f>
        <v/>
      </c>
      <c r="AZ1105" s="116"/>
      <c r="BA1105" s="116"/>
      <c r="BB1105" s="116"/>
      <c r="BE1105" s="62"/>
      <c r="BF1105" s="63"/>
    </row>
    <row r="1106" spans="1:58" ht="12.75" customHeight="1" x14ac:dyDescent="0.25">
      <c r="A1106" s="313"/>
      <c r="B1106" s="328"/>
      <c r="C1106" s="329"/>
      <c r="D1106" s="328"/>
      <c r="E1106" s="330"/>
      <c r="F1106" s="328"/>
      <c r="G1106" s="329"/>
      <c r="H1106" s="329"/>
      <c r="I1106" s="328"/>
      <c r="J1106" s="383"/>
      <c r="K1106" s="329"/>
      <c r="L1106" s="329"/>
      <c r="M1106" s="76"/>
      <c r="N1106" s="103" t="str">
        <f>IF(A1106="","",VLOOKUP(A1106,Stand!C:K,9,0))</f>
        <v/>
      </c>
      <c r="O1106" s="104" t="str">
        <f t="shared" si="497"/>
        <v/>
      </c>
      <c r="P1106" s="105" t="str">
        <f t="shared" si="498"/>
        <v/>
      </c>
      <c r="Q1106" s="105" t="str">
        <f t="shared" si="486"/>
        <v/>
      </c>
      <c r="R1106" s="103" t="str">
        <f t="shared" si="499"/>
        <v/>
      </c>
      <c r="S1106" s="103" t="str">
        <f t="shared" si="500"/>
        <v/>
      </c>
      <c r="T1106" s="106" t="str">
        <f t="shared" si="487"/>
        <v/>
      </c>
      <c r="U1106" s="106" t="str">
        <f t="shared" si="488"/>
        <v/>
      </c>
      <c r="V1106" s="106" t="str">
        <f t="shared" si="489"/>
        <v/>
      </c>
      <c r="W1106" s="105" t="str">
        <f t="shared" si="501"/>
        <v/>
      </c>
      <c r="X1106" s="104" t="str">
        <f t="shared" si="506"/>
        <v/>
      </c>
      <c r="Y1106" s="104" t="str">
        <f t="array" ref="Y1106">IFERROR(IF(ISNUMBER(O1106),IF(COUNT(IF(A1106=$A$2:$A$2427,IF(D1106=$D$2:$D$2427,IF($X$2:$X$2427&gt;0,1))))&gt;0,SUM(IF(A1106=$A$2:$A$2427,IF(D1106=$D$2:$D$2427,$X$2:$X$2427)))/COUNT(IF(A1106=$A$2:$A$2427,IF(D1106=$D$2:$D$2427,IF(ISNUMBER($X$2:$X$2427),1)))),0),""),0)</f>
        <v/>
      </c>
      <c r="Z1106" s="104" t="str">
        <f>IF(ISNUMBER(O1106),IF(I1106&gt;0,(10^(VLOOKUP(D1106,'Species Codes'!B:C,2,0)+VLOOKUP(D1106,'Species Codes'!B:D,3,0)*LOG(E1106)+VLOOKUP(D1106,'Species Codes'!B:E,4,0)*LOG(I1106))),0),"")</f>
        <v/>
      </c>
      <c r="AA1106" s="104" t="str">
        <f>IFERROR((VLOOKUP(D1106,'Species Codes'!B:G,6,0)*Z1106)/2000,"")</f>
        <v/>
      </c>
      <c r="AB1106" s="104" t="e">
        <f>IF(Z1106&gt;0,((IF(OR(D1106="DF",D1106="RA")=TRUE,EXP(VLOOKUP(D1106,'Species Codes'!B:I,8,0)+VLOOKUP(D1106,'Species Codes'!B:J,9,0)*(LN((E1106*2.54)))),IF(OR(D1106="PY",D1106="RC",D1106="WH",D1106="NF")=TRUE,VLOOKUP(D1106,'Species Codes'!B:I,8,0)+VLOOKUP(D1106,'Species Codes'!B:J,9,0)*((E1106*2.54)^2)*(I1106*0.3048),IF(OR(D1106="MD",D1106="BM",D1106="GA")=TRUE,((VLOOKUP(D1106,'Species Codes'!B:I,8,0)*(((((E1106*2.54)+VLOOKUP(D1106,'Species Codes'!B:J,9,0))/VLOOKUP(D1106,'Species Codes'!B:K,10,0))^VLOOKUP(D1106,'Species Codes'!B:L,11,0))*((I1106*0.3048)^VLOOKUP(D1106,'Species Codes'!B:M,12,0))))-(VLOOKUP(D1106,'Species Codes'!B:I,8,0)*((((E1106*2.54)^VLOOKUP(D1106,'Species Codes'!B:L,11,0))*((I1106*0.3048)^VLOOKUP(D1106,'Species Codes'!B:M,12,0))))))*35.3*VLOOKUP(D1106,'Species Codes'!B:G,6,0)/2.2046,VLOOKUP(D1106,'Species Codes'!B:I,8,0)+VLOOKUP(D1106,'Species Codes'!B:J,9,0)*(((E1106*2.54)/100)^2)*(I1106*0.3048)))))*0.0011023),0)</f>
        <v>#N/A</v>
      </c>
      <c r="AC1106" s="104" t="e">
        <f>IF(Z1106&gt;0,((IF(OR(D1106="RA",D1106="OA",D1106="OT",D1106="UN",D1106="PC"),EXP(VLOOKUP(D1106,'Species Codes'!B:O,14,0)+VLOOKUP(D1106,'Species Codes'!B:P,15,0)*LN((E1106*2.54)))-EXP(VLOOKUP(D1106,'Species Codes'!B:O,14,0)+VLOOKUP(D1106,'Species Codes'!B:P,15,0)*LN((E1106*2.54)))*(1/(VLOOKUP(D1106,'Species Codes'!B:Q,16,0)+VLOOKUP(D1106,'Species Codes'!B:R,17,0)*((E1106*2.54)^VLOOKUP(D1106,'Species Codes'!B:S,18,0)))),IF(OR(D1106="BM",D1106="MD",D1106="OA"),EXP(VLOOKUP(D1106,'Species Codes'!B:O,14,0)+VLOOKUP(D1106,'Species Codes'!B:P,15,0)*LN((E1106*2.54)))*(1-(1/(VLOOKUP(D1106,'Species Codes'!B:Q,16,0)+VLOOKUP(D1106,'Species Codes'!B:R,17,0)*((E1106*2.54)^VLOOKUP(D1106,'Species Codes'!B:S,18,0)))))/1000,IF(D1106="DF",EXP(VLOOKUP(D1106,'Species Codes'!B:O,14,0)+VLOOKUP(D1106,'Species Codes'!B:P,15,0)*LN((E1106*2.54))),VLOOKUP(D1106,'Species Codes'!B:O,14,0)+VLOOKUP(D1106,'Species Codes'!B:P,15,0)*(((E1106*2.54)/100)^2)*(I1106*0.3048)))))*0.0011023),0)</f>
        <v>#N/A</v>
      </c>
      <c r="AD1106" s="104" t="e">
        <f t="shared" si="490"/>
        <v>#N/A</v>
      </c>
      <c r="AE1106" s="104" t="e">
        <f t="shared" si="491"/>
        <v>#N/A</v>
      </c>
      <c r="AF1106" s="104" t="e">
        <f>IF(AND(VLOOKUP($D1106,Merchantability!$B:$C,2,0)="Yes",$E1106&gt;=VLOOKUP($D1106,Merchantability!$B:$D,3,0),$E1106&lt;=VLOOKUP($D1106,Merchantability!$B:$E,4,0)),AA1106,0)</f>
        <v>#N/A</v>
      </c>
      <c r="AG1106" s="104" t="e">
        <f>IF(AND(VLOOKUP($D1106,Merchantability!$B:$C,2,0)="Yes",$E1106&gt;=VLOOKUP($D1106,Merchantability!$B:$D,3,0),$E1106&lt;=VLOOKUP($D1106,Merchantability!$B:$E,4,0)),AB1106,0)</f>
        <v>#N/A</v>
      </c>
      <c r="AH1106" s="104" t="e">
        <f>IF(AND(VLOOKUP($D1106,Merchantability!$B:$C,2,0)="Yes",$E1106&gt;=VLOOKUP($D1106,Merchantability!$B:$D,3,0),$E1106&lt;=VLOOKUP($D1106,Merchantability!$B:$E,4,0)),AC1106,0)</f>
        <v>#N/A</v>
      </c>
      <c r="AI1106" s="104" t="e">
        <f t="shared" si="492"/>
        <v>#N/A</v>
      </c>
      <c r="AJ1106" s="104" t="e">
        <f t="shared" si="493"/>
        <v>#VALUE!</v>
      </c>
      <c r="AK1106" s="104" t="e">
        <f t="shared" si="494"/>
        <v>#N/A</v>
      </c>
      <c r="AL1106" s="104" t="e">
        <f t="shared" si="495"/>
        <v>#N/A</v>
      </c>
      <c r="AM1106" s="104" t="e">
        <f t="shared" si="496"/>
        <v>#N/A</v>
      </c>
      <c r="AN1106" s="104" t="e">
        <f t="shared" si="507"/>
        <v>#N/A</v>
      </c>
      <c r="AO1106" s="104" t="e">
        <f t="shared" si="508"/>
        <v>#N/A</v>
      </c>
      <c r="AP1106" s="104" t="e">
        <f t="shared" si="509"/>
        <v>#N/A</v>
      </c>
      <c r="AQ1106" s="104" t="e">
        <f t="shared" si="510"/>
        <v>#N/A</v>
      </c>
      <c r="AR1106" s="105" t="str">
        <f t="shared" si="502"/>
        <v/>
      </c>
      <c r="AS1106" s="105" t="str">
        <f t="shared" si="503"/>
        <v/>
      </c>
      <c r="AT1106" s="108" t="str">
        <f t="shared" si="504"/>
        <v/>
      </c>
      <c r="AU1106" s="108" t="str">
        <f t="shared" si="505"/>
        <v/>
      </c>
      <c r="AV1106" s="107" t="str">
        <f>IF(ISNUMBER(O1106),IF(VLOOKUP($A1106,Stand!C:J,8,FALSE)="Short",AT1106,AU1106),"")</f>
        <v/>
      </c>
      <c r="AW1106" s="109" t="str">
        <f t="shared" si="511"/>
        <v/>
      </c>
      <c r="AX1106" s="109" t="str">
        <f t="shared" si="512"/>
        <v/>
      </c>
      <c r="AY1106" s="112" t="str">
        <f>IF(ISNUMBER(O1106),IF(AND(VLOOKUP($D1106,Merchantability!$B:$C,2,0)="Yes",$E1106&gt;=VLOOKUP($D1106,Merchantability!$B:$D,3,0),$E1106&lt;=VLOOKUP($D1106,Merchantability!$B:$E,4,0)),(AV1106*O1106)*(1-$H1106/100),""),"")</f>
        <v/>
      </c>
      <c r="AZ1106" s="116"/>
      <c r="BA1106" s="116"/>
      <c r="BB1106" s="116"/>
      <c r="BE1106" s="62"/>
      <c r="BF1106" s="63"/>
    </row>
    <row r="1107" spans="1:58" ht="12.75" customHeight="1" x14ac:dyDescent="0.25">
      <c r="A1107" s="313"/>
      <c r="B1107" s="328"/>
      <c r="C1107" s="329"/>
      <c r="D1107" s="328"/>
      <c r="E1107" s="330"/>
      <c r="F1107" s="328"/>
      <c r="G1107" s="329"/>
      <c r="H1107" s="329"/>
      <c r="I1107" s="328"/>
      <c r="J1107" s="383"/>
      <c r="K1107" s="329"/>
      <c r="L1107" s="329"/>
      <c r="M1107" s="76"/>
      <c r="N1107" s="103" t="str">
        <f>IF(A1107="","",VLOOKUP(A1107,Stand!C:K,9,0))</f>
        <v/>
      </c>
      <c r="O1107" s="104" t="str">
        <f t="shared" si="497"/>
        <v/>
      </c>
      <c r="P1107" s="105" t="str">
        <f t="shared" si="498"/>
        <v/>
      </c>
      <c r="Q1107" s="105" t="str">
        <f t="shared" si="486"/>
        <v/>
      </c>
      <c r="R1107" s="103" t="str">
        <f t="shared" si="499"/>
        <v/>
      </c>
      <c r="S1107" s="103" t="str">
        <f t="shared" si="500"/>
        <v/>
      </c>
      <c r="T1107" s="106" t="str">
        <f t="shared" si="487"/>
        <v/>
      </c>
      <c r="U1107" s="106" t="str">
        <f t="shared" si="488"/>
        <v/>
      </c>
      <c r="V1107" s="106" t="str">
        <f t="shared" si="489"/>
        <v/>
      </c>
      <c r="W1107" s="105" t="str">
        <f t="shared" si="501"/>
        <v/>
      </c>
      <c r="X1107" s="104" t="str">
        <f t="shared" si="506"/>
        <v/>
      </c>
      <c r="Y1107" s="104" t="str">
        <f t="array" ref="Y1107">IFERROR(IF(ISNUMBER(O1107),IF(COUNT(IF(A1107=$A$2:$A$2427,IF(D1107=$D$2:$D$2427,IF($X$2:$X$2427&gt;0,1))))&gt;0,SUM(IF(A1107=$A$2:$A$2427,IF(D1107=$D$2:$D$2427,$X$2:$X$2427)))/COUNT(IF(A1107=$A$2:$A$2427,IF(D1107=$D$2:$D$2427,IF(ISNUMBER($X$2:$X$2427),1)))),0),""),0)</f>
        <v/>
      </c>
      <c r="Z1107" s="104" t="str">
        <f>IF(ISNUMBER(O1107),IF(I1107&gt;0,(10^(VLOOKUP(D1107,'Species Codes'!B:C,2,0)+VLOOKUP(D1107,'Species Codes'!B:D,3,0)*LOG(E1107)+VLOOKUP(D1107,'Species Codes'!B:E,4,0)*LOG(I1107))),0),"")</f>
        <v/>
      </c>
      <c r="AA1107" s="104" t="str">
        <f>IFERROR((VLOOKUP(D1107,'Species Codes'!B:G,6,0)*Z1107)/2000,"")</f>
        <v/>
      </c>
      <c r="AB1107" s="104" t="e">
        <f>IF(Z1107&gt;0,((IF(OR(D1107="DF",D1107="RA")=TRUE,EXP(VLOOKUP(D1107,'Species Codes'!B:I,8,0)+VLOOKUP(D1107,'Species Codes'!B:J,9,0)*(LN((E1107*2.54)))),IF(OR(D1107="PY",D1107="RC",D1107="WH",D1107="NF")=TRUE,VLOOKUP(D1107,'Species Codes'!B:I,8,0)+VLOOKUP(D1107,'Species Codes'!B:J,9,0)*((E1107*2.54)^2)*(I1107*0.3048),IF(OR(D1107="MD",D1107="BM",D1107="GA")=TRUE,((VLOOKUP(D1107,'Species Codes'!B:I,8,0)*(((((E1107*2.54)+VLOOKUP(D1107,'Species Codes'!B:J,9,0))/VLOOKUP(D1107,'Species Codes'!B:K,10,0))^VLOOKUP(D1107,'Species Codes'!B:L,11,0))*((I1107*0.3048)^VLOOKUP(D1107,'Species Codes'!B:M,12,0))))-(VLOOKUP(D1107,'Species Codes'!B:I,8,0)*((((E1107*2.54)^VLOOKUP(D1107,'Species Codes'!B:L,11,0))*((I1107*0.3048)^VLOOKUP(D1107,'Species Codes'!B:M,12,0))))))*35.3*VLOOKUP(D1107,'Species Codes'!B:G,6,0)/2.2046,VLOOKUP(D1107,'Species Codes'!B:I,8,0)+VLOOKUP(D1107,'Species Codes'!B:J,9,0)*(((E1107*2.54)/100)^2)*(I1107*0.3048)))))*0.0011023),0)</f>
        <v>#N/A</v>
      </c>
      <c r="AC1107" s="104" t="e">
        <f>IF(Z1107&gt;0,((IF(OR(D1107="RA",D1107="OA",D1107="OT",D1107="UN",D1107="PC"),EXP(VLOOKUP(D1107,'Species Codes'!B:O,14,0)+VLOOKUP(D1107,'Species Codes'!B:P,15,0)*LN((E1107*2.54)))-EXP(VLOOKUP(D1107,'Species Codes'!B:O,14,0)+VLOOKUP(D1107,'Species Codes'!B:P,15,0)*LN((E1107*2.54)))*(1/(VLOOKUP(D1107,'Species Codes'!B:Q,16,0)+VLOOKUP(D1107,'Species Codes'!B:R,17,0)*((E1107*2.54)^VLOOKUP(D1107,'Species Codes'!B:S,18,0)))),IF(OR(D1107="BM",D1107="MD",D1107="OA"),EXP(VLOOKUP(D1107,'Species Codes'!B:O,14,0)+VLOOKUP(D1107,'Species Codes'!B:P,15,0)*LN((E1107*2.54)))*(1-(1/(VLOOKUP(D1107,'Species Codes'!B:Q,16,0)+VLOOKUP(D1107,'Species Codes'!B:R,17,0)*((E1107*2.54)^VLOOKUP(D1107,'Species Codes'!B:S,18,0)))))/1000,IF(D1107="DF",EXP(VLOOKUP(D1107,'Species Codes'!B:O,14,0)+VLOOKUP(D1107,'Species Codes'!B:P,15,0)*LN((E1107*2.54))),VLOOKUP(D1107,'Species Codes'!B:O,14,0)+VLOOKUP(D1107,'Species Codes'!B:P,15,0)*(((E1107*2.54)/100)^2)*(I1107*0.3048)))))*0.0011023),0)</f>
        <v>#N/A</v>
      </c>
      <c r="AD1107" s="104" t="e">
        <f t="shared" si="490"/>
        <v>#N/A</v>
      </c>
      <c r="AE1107" s="104" t="e">
        <f t="shared" si="491"/>
        <v>#N/A</v>
      </c>
      <c r="AF1107" s="104" t="e">
        <f>IF(AND(VLOOKUP($D1107,Merchantability!$B:$C,2,0)="Yes",$E1107&gt;=VLOOKUP($D1107,Merchantability!$B:$D,3,0),$E1107&lt;=VLOOKUP($D1107,Merchantability!$B:$E,4,0)),AA1107,0)</f>
        <v>#N/A</v>
      </c>
      <c r="AG1107" s="104" t="e">
        <f>IF(AND(VLOOKUP($D1107,Merchantability!$B:$C,2,0)="Yes",$E1107&gt;=VLOOKUP($D1107,Merchantability!$B:$D,3,0),$E1107&lt;=VLOOKUP($D1107,Merchantability!$B:$E,4,0)),AB1107,0)</f>
        <v>#N/A</v>
      </c>
      <c r="AH1107" s="104" t="e">
        <f>IF(AND(VLOOKUP($D1107,Merchantability!$B:$C,2,0)="Yes",$E1107&gt;=VLOOKUP($D1107,Merchantability!$B:$D,3,0),$E1107&lt;=VLOOKUP($D1107,Merchantability!$B:$E,4,0)),AC1107,0)</f>
        <v>#N/A</v>
      </c>
      <c r="AI1107" s="104" t="e">
        <f t="shared" si="492"/>
        <v>#N/A</v>
      </c>
      <c r="AJ1107" s="104" t="e">
        <f t="shared" si="493"/>
        <v>#VALUE!</v>
      </c>
      <c r="AK1107" s="104" t="e">
        <f t="shared" si="494"/>
        <v>#N/A</v>
      </c>
      <c r="AL1107" s="104" t="e">
        <f t="shared" si="495"/>
        <v>#N/A</v>
      </c>
      <c r="AM1107" s="104" t="e">
        <f t="shared" si="496"/>
        <v>#N/A</v>
      </c>
      <c r="AN1107" s="104" t="e">
        <f t="shared" si="507"/>
        <v>#N/A</v>
      </c>
      <c r="AO1107" s="104" t="e">
        <f t="shared" si="508"/>
        <v>#N/A</v>
      </c>
      <c r="AP1107" s="104" t="e">
        <f t="shared" si="509"/>
        <v>#N/A</v>
      </c>
      <c r="AQ1107" s="104" t="e">
        <f t="shared" si="510"/>
        <v>#N/A</v>
      </c>
      <c r="AR1107" s="105" t="str">
        <f t="shared" si="502"/>
        <v/>
      </c>
      <c r="AS1107" s="105" t="str">
        <f t="shared" si="503"/>
        <v/>
      </c>
      <c r="AT1107" s="108" t="str">
        <f t="shared" si="504"/>
        <v/>
      </c>
      <c r="AU1107" s="108" t="str">
        <f t="shared" si="505"/>
        <v/>
      </c>
      <c r="AV1107" s="107" t="str">
        <f>IF(ISNUMBER(O1107),IF(VLOOKUP($A1107,Stand!C:J,8,FALSE)="Short",AT1107,AU1107),"")</f>
        <v/>
      </c>
      <c r="AW1107" s="109" t="str">
        <f t="shared" si="511"/>
        <v/>
      </c>
      <c r="AX1107" s="109" t="str">
        <f t="shared" si="512"/>
        <v/>
      </c>
      <c r="AY1107" s="112" t="str">
        <f>IF(ISNUMBER(O1107),IF(AND(VLOOKUP($D1107,Merchantability!$B:$C,2,0)="Yes",$E1107&gt;=VLOOKUP($D1107,Merchantability!$B:$D,3,0),$E1107&lt;=VLOOKUP($D1107,Merchantability!$B:$E,4,0)),(AV1107*O1107)*(1-$H1107/100),""),"")</f>
        <v/>
      </c>
      <c r="AZ1107" s="116"/>
      <c r="BA1107" s="116"/>
      <c r="BB1107" s="116"/>
      <c r="BE1107" s="62"/>
      <c r="BF1107" s="63"/>
    </row>
    <row r="1108" spans="1:58" ht="12.75" customHeight="1" x14ac:dyDescent="0.25">
      <c r="A1108" s="313"/>
      <c r="B1108" s="328"/>
      <c r="C1108" s="329"/>
      <c r="D1108" s="328"/>
      <c r="E1108" s="330"/>
      <c r="F1108" s="328"/>
      <c r="G1108" s="329"/>
      <c r="H1108" s="329"/>
      <c r="I1108" s="328"/>
      <c r="J1108" s="383"/>
      <c r="K1108" s="329"/>
      <c r="L1108" s="329"/>
      <c r="M1108" s="76"/>
      <c r="N1108" s="103" t="str">
        <f>IF(A1108="","",VLOOKUP(A1108,Stand!C:K,9,0))</f>
        <v/>
      </c>
      <c r="O1108" s="104" t="str">
        <f t="shared" si="497"/>
        <v/>
      </c>
      <c r="P1108" s="105" t="str">
        <f t="shared" si="498"/>
        <v/>
      </c>
      <c r="Q1108" s="105" t="str">
        <f t="shared" si="486"/>
        <v/>
      </c>
      <c r="R1108" s="103" t="str">
        <f t="shared" si="499"/>
        <v/>
      </c>
      <c r="S1108" s="103" t="str">
        <f t="shared" si="500"/>
        <v/>
      </c>
      <c r="T1108" s="106" t="str">
        <f t="shared" si="487"/>
        <v/>
      </c>
      <c r="U1108" s="106" t="str">
        <f t="shared" si="488"/>
        <v/>
      </c>
      <c r="V1108" s="106" t="str">
        <f t="shared" si="489"/>
        <v/>
      </c>
      <c r="W1108" s="105" t="str">
        <f t="shared" si="501"/>
        <v/>
      </c>
      <c r="X1108" s="104" t="str">
        <f t="shared" si="506"/>
        <v/>
      </c>
      <c r="Y1108" s="104" t="str">
        <f t="array" ref="Y1108">IFERROR(IF(ISNUMBER(O1108),IF(COUNT(IF(A1108=$A$2:$A$2427,IF(D1108=$D$2:$D$2427,IF($X$2:$X$2427&gt;0,1))))&gt;0,SUM(IF(A1108=$A$2:$A$2427,IF(D1108=$D$2:$D$2427,$X$2:$X$2427)))/COUNT(IF(A1108=$A$2:$A$2427,IF(D1108=$D$2:$D$2427,IF(ISNUMBER($X$2:$X$2427),1)))),0),""),0)</f>
        <v/>
      </c>
      <c r="Z1108" s="104" t="str">
        <f>IF(ISNUMBER(O1108),IF(I1108&gt;0,(10^(VLOOKUP(D1108,'Species Codes'!B:C,2,0)+VLOOKUP(D1108,'Species Codes'!B:D,3,0)*LOG(E1108)+VLOOKUP(D1108,'Species Codes'!B:E,4,0)*LOG(I1108))),0),"")</f>
        <v/>
      </c>
      <c r="AA1108" s="104" t="str">
        <f>IFERROR((VLOOKUP(D1108,'Species Codes'!B:G,6,0)*Z1108)/2000,"")</f>
        <v/>
      </c>
      <c r="AB1108" s="104" t="e">
        <f>IF(Z1108&gt;0,((IF(OR(D1108="DF",D1108="RA")=TRUE,EXP(VLOOKUP(D1108,'Species Codes'!B:I,8,0)+VLOOKUP(D1108,'Species Codes'!B:J,9,0)*(LN((E1108*2.54)))),IF(OR(D1108="PY",D1108="RC",D1108="WH",D1108="NF")=TRUE,VLOOKUP(D1108,'Species Codes'!B:I,8,0)+VLOOKUP(D1108,'Species Codes'!B:J,9,0)*((E1108*2.54)^2)*(I1108*0.3048),IF(OR(D1108="MD",D1108="BM",D1108="GA")=TRUE,((VLOOKUP(D1108,'Species Codes'!B:I,8,0)*(((((E1108*2.54)+VLOOKUP(D1108,'Species Codes'!B:J,9,0))/VLOOKUP(D1108,'Species Codes'!B:K,10,0))^VLOOKUP(D1108,'Species Codes'!B:L,11,0))*((I1108*0.3048)^VLOOKUP(D1108,'Species Codes'!B:M,12,0))))-(VLOOKUP(D1108,'Species Codes'!B:I,8,0)*((((E1108*2.54)^VLOOKUP(D1108,'Species Codes'!B:L,11,0))*((I1108*0.3048)^VLOOKUP(D1108,'Species Codes'!B:M,12,0))))))*35.3*VLOOKUP(D1108,'Species Codes'!B:G,6,0)/2.2046,VLOOKUP(D1108,'Species Codes'!B:I,8,0)+VLOOKUP(D1108,'Species Codes'!B:J,9,0)*(((E1108*2.54)/100)^2)*(I1108*0.3048)))))*0.0011023),0)</f>
        <v>#N/A</v>
      </c>
      <c r="AC1108" s="104" t="e">
        <f>IF(Z1108&gt;0,((IF(OR(D1108="RA",D1108="OA",D1108="OT",D1108="UN",D1108="PC"),EXP(VLOOKUP(D1108,'Species Codes'!B:O,14,0)+VLOOKUP(D1108,'Species Codes'!B:P,15,0)*LN((E1108*2.54)))-EXP(VLOOKUP(D1108,'Species Codes'!B:O,14,0)+VLOOKUP(D1108,'Species Codes'!B:P,15,0)*LN((E1108*2.54)))*(1/(VLOOKUP(D1108,'Species Codes'!B:Q,16,0)+VLOOKUP(D1108,'Species Codes'!B:R,17,0)*((E1108*2.54)^VLOOKUP(D1108,'Species Codes'!B:S,18,0)))),IF(OR(D1108="BM",D1108="MD",D1108="OA"),EXP(VLOOKUP(D1108,'Species Codes'!B:O,14,0)+VLOOKUP(D1108,'Species Codes'!B:P,15,0)*LN((E1108*2.54)))*(1-(1/(VLOOKUP(D1108,'Species Codes'!B:Q,16,0)+VLOOKUP(D1108,'Species Codes'!B:R,17,0)*((E1108*2.54)^VLOOKUP(D1108,'Species Codes'!B:S,18,0)))))/1000,IF(D1108="DF",EXP(VLOOKUP(D1108,'Species Codes'!B:O,14,0)+VLOOKUP(D1108,'Species Codes'!B:P,15,0)*LN((E1108*2.54))),VLOOKUP(D1108,'Species Codes'!B:O,14,0)+VLOOKUP(D1108,'Species Codes'!B:P,15,0)*(((E1108*2.54)/100)^2)*(I1108*0.3048)))))*0.0011023),0)</f>
        <v>#N/A</v>
      </c>
      <c r="AD1108" s="104" t="e">
        <f t="shared" si="490"/>
        <v>#N/A</v>
      </c>
      <c r="AE1108" s="104" t="e">
        <f t="shared" si="491"/>
        <v>#N/A</v>
      </c>
      <c r="AF1108" s="104" t="e">
        <f>IF(AND(VLOOKUP($D1108,Merchantability!$B:$C,2,0)="Yes",$E1108&gt;=VLOOKUP($D1108,Merchantability!$B:$D,3,0),$E1108&lt;=VLOOKUP($D1108,Merchantability!$B:$E,4,0)),AA1108,0)</f>
        <v>#N/A</v>
      </c>
      <c r="AG1108" s="104" t="e">
        <f>IF(AND(VLOOKUP($D1108,Merchantability!$B:$C,2,0)="Yes",$E1108&gt;=VLOOKUP($D1108,Merchantability!$B:$D,3,0),$E1108&lt;=VLOOKUP($D1108,Merchantability!$B:$E,4,0)),AB1108,0)</f>
        <v>#N/A</v>
      </c>
      <c r="AH1108" s="104" t="e">
        <f>IF(AND(VLOOKUP($D1108,Merchantability!$B:$C,2,0)="Yes",$E1108&gt;=VLOOKUP($D1108,Merchantability!$B:$D,3,0),$E1108&lt;=VLOOKUP($D1108,Merchantability!$B:$E,4,0)),AC1108,0)</f>
        <v>#N/A</v>
      </c>
      <c r="AI1108" s="104" t="e">
        <f t="shared" si="492"/>
        <v>#N/A</v>
      </c>
      <c r="AJ1108" s="104" t="e">
        <f t="shared" si="493"/>
        <v>#VALUE!</v>
      </c>
      <c r="AK1108" s="104" t="e">
        <f t="shared" si="494"/>
        <v>#N/A</v>
      </c>
      <c r="AL1108" s="104" t="e">
        <f t="shared" si="495"/>
        <v>#N/A</v>
      </c>
      <c r="AM1108" s="104" t="e">
        <f t="shared" si="496"/>
        <v>#N/A</v>
      </c>
      <c r="AN1108" s="104" t="e">
        <f t="shared" si="507"/>
        <v>#N/A</v>
      </c>
      <c r="AO1108" s="104" t="e">
        <f t="shared" si="508"/>
        <v>#N/A</v>
      </c>
      <c r="AP1108" s="104" t="e">
        <f t="shared" si="509"/>
        <v>#N/A</v>
      </c>
      <c r="AQ1108" s="104" t="e">
        <f t="shared" si="510"/>
        <v>#N/A</v>
      </c>
      <c r="AR1108" s="105" t="str">
        <f t="shared" si="502"/>
        <v/>
      </c>
      <c r="AS1108" s="105" t="str">
        <f t="shared" si="503"/>
        <v/>
      </c>
      <c r="AT1108" s="108" t="str">
        <f t="shared" si="504"/>
        <v/>
      </c>
      <c r="AU1108" s="108" t="str">
        <f t="shared" si="505"/>
        <v/>
      </c>
      <c r="AV1108" s="107" t="str">
        <f>IF(ISNUMBER(O1108),IF(VLOOKUP($A1108,Stand!C:J,8,FALSE)="Short",AT1108,AU1108),"")</f>
        <v/>
      </c>
      <c r="AW1108" s="109" t="str">
        <f t="shared" si="511"/>
        <v/>
      </c>
      <c r="AX1108" s="109" t="str">
        <f t="shared" si="512"/>
        <v/>
      </c>
      <c r="AY1108" s="112" t="str">
        <f>IF(ISNUMBER(O1108),IF(AND(VLOOKUP($D1108,Merchantability!$B:$C,2,0)="Yes",$E1108&gt;=VLOOKUP($D1108,Merchantability!$B:$D,3,0),$E1108&lt;=VLOOKUP($D1108,Merchantability!$B:$E,4,0)),(AV1108*O1108)*(1-$H1108/100),""),"")</f>
        <v/>
      </c>
      <c r="AZ1108" s="116"/>
      <c r="BA1108" s="116"/>
      <c r="BB1108" s="116"/>
      <c r="BE1108" s="62"/>
      <c r="BF1108" s="63"/>
    </row>
    <row r="1109" spans="1:58" ht="12.75" customHeight="1" x14ac:dyDescent="0.25">
      <c r="A1109" s="313"/>
      <c r="B1109" s="328"/>
      <c r="C1109" s="329"/>
      <c r="D1109" s="328"/>
      <c r="E1109" s="330"/>
      <c r="F1109" s="328"/>
      <c r="G1109" s="329"/>
      <c r="H1109" s="329"/>
      <c r="I1109" s="328"/>
      <c r="J1109" s="383"/>
      <c r="K1109" s="329"/>
      <c r="L1109" s="329"/>
      <c r="M1109" s="76"/>
      <c r="N1109" s="103" t="str">
        <f>IF(A1109="","",VLOOKUP(A1109,Stand!C:K,9,0))</f>
        <v/>
      </c>
      <c r="O1109" s="104" t="str">
        <f t="shared" si="497"/>
        <v/>
      </c>
      <c r="P1109" s="105" t="str">
        <f t="shared" si="498"/>
        <v/>
      </c>
      <c r="Q1109" s="105" t="str">
        <f t="shared" si="486"/>
        <v/>
      </c>
      <c r="R1109" s="103" t="str">
        <f t="shared" si="499"/>
        <v/>
      </c>
      <c r="S1109" s="103" t="str">
        <f t="shared" si="500"/>
        <v/>
      </c>
      <c r="T1109" s="106" t="str">
        <f t="shared" si="487"/>
        <v/>
      </c>
      <c r="U1109" s="106" t="str">
        <f t="shared" si="488"/>
        <v/>
      </c>
      <c r="V1109" s="106" t="str">
        <f t="shared" si="489"/>
        <v/>
      </c>
      <c r="W1109" s="105" t="str">
        <f t="shared" si="501"/>
        <v/>
      </c>
      <c r="X1109" s="104" t="str">
        <f t="shared" si="506"/>
        <v/>
      </c>
      <c r="Y1109" s="104" t="str">
        <f t="array" ref="Y1109">IFERROR(IF(ISNUMBER(O1109),IF(COUNT(IF(A1109=$A$2:$A$2427,IF(D1109=$D$2:$D$2427,IF($X$2:$X$2427&gt;0,1))))&gt;0,SUM(IF(A1109=$A$2:$A$2427,IF(D1109=$D$2:$D$2427,$X$2:$X$2427)))/COUNT(IF(A1109=$A$2:$A$2427,IF(D1109=$D$2:$D$2427,IF(ISNUMBER($X$2:$X$2427),1)))),0),""),0)</f>
        <v/>
      </c>
      <c r="Z1109" s="104" t="str">
        <f>IF(ISNUMBER(O1109),IF(I1109&gt;0,(10^(VLOOKUP(D1109,'Species Codes'!B:C,2,0)+VLOOKUP(D1109,'Species Codes'!B:D,3,0)*LOG(E1109)+VLOOKUP(D1109,'Species Codes'!B:E,4,0)*LOG(I1109))),0),"")</f>
        <v/>
      </c>
      <c r="AA1109" s="104" t="str">
        <f>IFERROR((VLOOKUP(D1109,'Species Codes'!B:G,6,0)*Z1109)/2000,"")</f>
        <v/>
      </c>
      <c r="AB1109" s="104" t="e">
        <f>IF(Z1109&gt;0,((IF(OR(D1109="DF",D1109="RA")=TRUE,EXP(VLOOKUP(D1109,'Species Codes'!B:I,8,0)+VLOOKUP(D1109,'Species Codes'!B:J,9,0)*(LN((E1109*2.54)))),IF(OR(D1109="PY",D1109="RC",D1109="WH",D1109="NF")=TRUE,VLOOKUP(D1109,'Species Codes'!B:I,8,0)+VLOOKUP(D1109,'Species Codes'!B:J,9,0)*((E1109*2.54)^2)*(I1109*0.3048),IF(OR(D1109="MD",D1109="BM",D1109="GA")=TRUE,((VLOOKUP(D1109,'Species Codes'!B:I,8,0)*(((((E1109*2.54)+VLOOKUP(D1109,'Species Codes'!B:J,9,0))/VLOOKUP(D1109,'Species Codes'!B:K,10,0))^VLOOKUP(D1109,'Species Codes'!B:L,11,0))*((I1109*0.3048)^VLOOKUP(D1109,'Species Codes'!B:M,12,0))))-(VLOOKUP(D1109,'Species Codes'!B:I,8,0)*((((E1109*2.54)^VLOOKUP(D1109,'Species Codes'!B:L,11,0))*((I1109*0.3048)^VLOOKUP(D1109,'Species Codes'!B:M,12,0))))))*35.3*VLOOKUP(D1109,'Species Codes'!B:G,6,0)/2.2046,VLOOKUP(D1109,'Species Codes'!B:I,8,0)+VLOOKUP(D1109,'Species Codes'!B:J,9,0)*(((E1109*2.54)/100)^2)*(I1109*0.3048)))))*0.0011023),0)</f>
        <v>#N/A</v>
      </c>
      <c r="AC1109" s="104" t="e">
        <f>IF(Z1109&gt;0,((IF(OR(D1109="RA",D1109="OA",D1109="OT",D1109="UN",D1109="PC"),EXP(VLOOKUP(D1109,'Species Codes'!B:O,14,0)+VLOOKUP(D1109,'Species Codes'!B:P,15,0)*LN((E1109*2.54)))-EXP(VLOOKUP(D1109,'Species Codes'!B:O,14,0)+VLOOKUP(D1109,'Species Codes'!B:P,15,0)*LN((E1109*2.54)))*(1/(VLOOKUP(D1109,'Species Codes'!B:Q,16,0)+VLOOKUP(D1109,'Species Codes'!B:R,17,0)*((E1109*2.54)^VLOOKUP(D1109,'Species Codes'!B:S,18,0)))),IF(OR(D1109="BM",D1109="MD",D1109="OA"),EXP(VLOOKUP(D1109,'Species Codes'!B:O,14,0)+VLOOKUP(D1109,'Species Codes'!B:P,15,0)*LN((E1109*2.54)))*(1-(1/(VLOOKUP(D1109,'Species Codes'!B:Q,16,0)+VLOOKUP(D1109,'Species Codes'!B:R,17,0)*((E1109*2.54)^VLOOKUP(D1109,'Species Codes'!B:S,18,0)))))/1000,IF(D1109="DF",EXP(VLOOKUP(D1109,'Species Codes'!B:O,14,0)+VLOOKUP(D1109,'Species Codes'!B:P,15,0)*LN((E1109*2.54))),VLOOKUP(D1109,'Species Codes'!B:O,14,0)+VLOOKUP(D1109,'Species Codes'!B:P,15,0)*(((E1109*2.54)/100)^2)*(I1109*0.3048)))))*0.0011023),0)</f>
        <v>#N/A</v>
      </c>
      <c r="AD1109" s="104" t="e">
        <f t="shared" si="490"/>
        <v>#N/A</v>
      </c>
      <c r="AE1109" s="104" t="e">
        <f t="shared" si="491"/>
        <v>#N/A</v>
      </c>
      <c r="AF1109" s="104" t="e">
        <f>IF(AND(VLOOKUP($D1109,Merchantability!$B:$C,2,0)="Yes",$E1109&gt;=VLOOKUP($D1109,Merchantability!$B:$D,3,0),$E1109&lt;=VLOOKUP($D1109,Merchantability!$B:$E,4,0)),AA1109,0)</f>
        <v>#N/A</v>
      </c>
      <c r="AG1109" s="104" t="e">
        <f>IF(AND(VLOOKUP($D1109,Merchantability!$B:$C,2,0)="Yes",$E1109&gt;=VLOOKUP($D1109,Merchantability!$B:$D,3,0),$E1109&lt;=VLOOKUP($D1109,Merchantability!$B:$E,4,0)),AB1109,0)</f>
        <v>#N/A</v>
      </c>
      <c r="AH1109" s="104" t="e">
        <f>IF(AND(VLOOKUP($D1109,Merchantability!$B:$C,2,0)="Yes",$E1109&gt;=VLOOKUP($D1109,Merchantability!$B:$D,3,0),$E1109&lt;=VLOOKUP($D1109,Merchantability!$B:$E,4,0)),AC1109,0)</f>
        <v>#N/A</v>
      </c>
      <c r="AI1109" s="104" t="e">
        <f t="shared" si="492"/>
        <v>#N/A</v>
      </c>
      <c r="AJ1109" s="104" t="e">
        <f t="shared" si="493"/>
        <v>#VALUE!</v>
      </c>
      <c r="AK1109" s="104" t="e">
        <f t="shared" si="494"/>
        <v>#N/A</v>
      </c>
      <c r="AL1109" s="104" t="e">
        <f t="shared" si="495"/>
        <v>#N/A</v>
      </c>
      <c r="AM1109" s="104" t="e">
        <f t="shared" si="496"/>
        <v>#N/A</v>
      </c>
      <c r="AN1109" s="104" t="e">
        <f t="shared" si="507"/>
        <v>#N/A</v>
      </c>
      <c r="AO1109" s="104" t="e">
        <f t="shared" si="508"/>
        <v>#N/A</v>
      </c>
      <c r="AP1109" s="104" t="e">
        <f t="shared" si="509"/>
        <v>#N/A</v>
      </c>
      <c r="AQ1109" s="104" t="e">
        <f t="shared" si="510"/>
        <v>#N/A</v>
      </c>
      <c r="AR1109" s="105" t="str">
        <f t="shared" si="502"/>
        <v/>
      </c>
      <c r="AS1109" s="105" t="str">
        <f t="shared" si="503"/>
        <v/>
      </c>
      <c r="AT1109" s="108" t="str">
        <f t="shared" si="504"/>
        <v/>
      </c>
      <c r="AU1109" s="108" t="str">
        <f t="shared" si="505"/>
        <v/>
      </c>
      <c r="AV1109" s="107" t="str">
        <f>IF(ISNUMBER(O1109),IF(VLOOKUP($A1109,Stand!C:J,8,FALSE)="Short",AT1109,AU1109),"")</f>
        <v/>
      </c>
      <c r="AW1109" s="109" t="str">
        <f t="shared" si="511"/>
        <v/>
      </c>
      <c r="AX1109" s="109" t="str">
        <f t="shared" si="512"/>
        <v/>
      </c>
      <c r="AY1109" s="112" t="str">
        <f>IF(ISNUMBER(O1109),IF(AND(VLOOKUP($D1109,Merchantability!$B:$C,2,0)="Yes",$E1109&gt;=VLOOKUP($D1109,Merchantability!$B:$D,3,0),$E1109&lt;=VLOOKUP($D1109,Merchantability!$B:$E,4,0)),(AV1109*O1109)*(1-$H1109/100),""),"")</f>
        <v/>
      </c>
      <c r="AZ1109" s="116"/>
      <c r="BA1109" s="116"/>
      <c r="BB1109" s="116"/>
      <c r="BE1109" s="62"/>
      <c r="BF1109" s="63"/>
    </row>
    <row r="1110" spans="1:58" ht="12.75" customHeight="1" x14ac:dyDescent="0.25">
      <c r="A1110" s="313"/>
      <c r="B1110" s="328"/>
      <c r="C1110" s="329"/>
      <c r="D1110" s="328"/>
      <c r="E1110" s="330"/>
      <c r="F1110" s="328"/>
      <c r="G1110" s="329"/>
      <c r="H1110" s="329"/>
      <c r="I1110" s="328"/>
      <c r="J1110" s="383"/>
      <c r="K1110" s="329"/>
      <c r="L1110" s="329"/>
      <c r="M1110" s="76"/>
      <c r="N1110" s="103" t="str">
        <f>IF(A1110="","",VLOOKUP(A1110,Stand!C:K,9,0))</f>
        <v/>
      </c>
      <c r="O1110" s="104" t="str">
        <f t="shared" si="497"/>
        <v/>
      </c>
      <c r="P1110" s="105" t="str">
        <f t="shared" si="498"/>
        <v/>
      </c>
      <c r="Q1110" s="105" t="str">
        <f t="shared" si="486"/>
        <v/>
      </c>
      <c r="R1110" s="103" t="str">
        <f t="shared" si="499"/>
        <v/>
      </c>
      <c r="S1110" s="103" t="str">
        <f t="shared" si="500"/>
        <v/>
      </c>
      <c r="T1110" s="106" t="str">
        <f t="shared" si="487"/>
        <v/>
      </c>
      <c r="U1110" s="106" t="str">
        <f t="shared" si="488"/>
        <v/>
      </c>
      <c r="V1110" s="106" t="str">
        <f t="shared" si="489"/>
        <v/>
      </c>
      <c r="W1110" s="105" t="str">
        <f t="shared" si="501"/>
        <v/>
      </c>
      <c r="X1110" s="104" t="str">
        <f t="shared" si="506"/>
        <v/>
      </c>
      <c r="Y1110" s="104" t="str">
        <f t="array" ref="Y1110">IFERROR(IF(ISNUMBER(O1110),IF(COUNT(IF(A1110=$A$2:$A$2427,IF(D1110=$D$2:$D$2427,IF($X$2:$X$2427&gt;0,1))))&gt;0,SUM(IF(A1110=$A$2:$A$2427,IF(D1110=$D$2:$D$2427,$X$2:$X$2427)))/COUNT(IF(A1110=$A$2:$A$2427,IF(D1110=$D$2:$D$2427,IF(ISNUMBER($X$2:$X$2427),1)))),0),""),0)</f>
        <v/>
      </c>
      <c r="Z1110" s="104" t="str">
        <f>IF(ISNUMBER(O1110),IF(I1110&gt;0,(10^(VLOOKUP(D1110,'Species Codes'!B:C,2,0)+VLOOKUP(D1110,'Species Codes'!B:D,3,0)*LOG(E1110)+VLOOKUP(D1110,'Species Codes'!B:E,4,0)*LOG(I1110))),0),"")</f>
        <v/>
      </c>
      <c r="AA1110" s="104" t="str">
        <f>IFERROR((VLOOKUP(D1110,'Species Codes'!B:G,6,0)*Z1110)/2000,"")</f>
        <v/>
      </c>
      <c r="AB1110" s="104" t="e">
        <f>IF(Z1110&gt;0,((IF(OR(D1110="DF",D1110="RA")=TRUE,EXP(VLOOKUP(D1110,'Species Codes'!B:I,8,0)+VLOOKUP(D1110,'Species Codes'!B:J,9,0)*(LN((E1110*2.54)))),IF(OR(D1110="PY",D1110="RC",D1110="WH",D1110="NF")=TRUE,VLOOKUP(D1110,'Species Codes'!B:I,8,0)+VLOOKUP(D1110,'Species Codes'!B:J,9,0)*((E1110*2.54)^2)*(I1110*0.3048),IF(OR(D1110="MD",D1110="BM",D1110="GA")=TRUE,((VLOOKUP(D1110,'Species Codes'!B:I,8,0)*(((((E1110*2.54)+VLOOKUP(D1110,'Species Codes'!B:J,9,0))/VLOOKUP(D1110,'Species Codes'!B:K,10,0))^VLOOKUP(D1110,'Species Codes'!B:L,11,0))*((I1110*0.3048)^VLOOKUP(D1110,'Species Codes'!B:M,12,0))))-(VLOOKUP(D1110,'Species Codes'!B:I,8,0)*((((E1110*2.54)^VLOOKUP(D1110,'Species Codes'!B:L,11,0))*((I1110*0.3048)^VLOOKUP(D1110,'Species Codes'!B:M,12,0))))))*35.3*VLOOKUP(D1110,'Species Codes'!B:G,6,0)/2.2046,VLOOKUP(D1110,'Species Codes'!B:I,8,0)+VLOOKUP(D1110,'Species Codes'!B:J,9,0)*(((E1110*2.54)/100)^2)*(I1110*0.3048)))))*0.0011023),0)</f>
        <v>#N/A</v>
      </c>
      <c r="AC1110" s="104" t="e">
        <f>IF(Z1110&gt;0,((IF(OR(D1110="RA",D1110="OA",D1110="OT",D1110="UN",D1110="PC"),EXP(VLOOKUP(D1110,'Species Codes'!B:O,14,0)+VLOOKUP(D1110,'Species Codes'!B:P,15,0)*LN((E1110*2.54)))-EXP(VLOOKUP(D1110,'Species Codes'!B:O,14,0)+VLOOKUP(D1110,'Species Codes'!B:P,15,0)*LN((E1110*2.54)))*(1/(VLOOKUP(D1110,'Species Codes'!B:Q,16,0)+VLOOKUP(D1110,'Species Codes'!B:R,17,0)*((E1110*2.54)^VLOOKUP(D1110,'Species Codes'!B:S,18,0)))),IF(OR(D1110="BM",D1110="MD",D1110="OA"),EXP(VLOOKUP(D1110,'Species Codes'!B:O,14,0)+VLOOKUP(D1110,'Species Codes'!B:P,15,0)*LN((E1110*2.54)))*(1-(1/(VLOOKUP(D1110,'Species Codes'!B:Q,16,0)+VLOOKUP(D1110,'Species Codes'!B:R,17,0)*((E1110*2.54)^VLOOKUP(D1110,'Species Codes'!B:S,18,0)))))/1000,IF(D1110="DF",EXP(VLOOKUP(D1110,'Species Codes'!B:O,14,0)+VLOOKUP(D1110,'Species Codes'!B:P,15,0)*LN((E1110*2.54))),VLOOKUP(D1110,'Species Codes'!B:O,14,0)+VLOOKUP(D1110,'Species Codes'!B:P,15,0)*(((E1110*2.54)/100)^2)*(I1110*0.3048)))))*0.0011023),0)</f>
        <v>#N/A</v>
      </c>
      <c r="AD1110" s="104" t="e">
        <f t="shared" si="490"/>
        <v>#N/A</v>
      </c>
      <c r="AE1110" s="104" t="e">
        <f t="shared" si="491"/>
        <v>#N/A</v>
      </c>
      <c r="AF1110" s="104" t="e">
        <f>IF(AND(VLOOKUP($D1110,Merchantability!$B:$C,2,0)="Yes",$E1110&gt;=VLOOKUP($D1110,Merchantability!$B:$D,3,0),$E1110&lt;=VLOOKUP($D1110,Merchantability!$B:$E,4,0)),AA1110,0)</f>
        <v>#N/A</v>
      </c>
      <c r="AG1110" s="104" t="e">
        <f>IF(AND(VLOOKUP($D1110,Merchantability!$B:$C,2,0)="Yes",$E1110&gt;=VLOOKUP($D1110,Merchantability!$B:$D,3,0),$E1110&lt;=VLOOKUP($D1110,Merchantability!$B:$E,4,0)),AB1110,0)</f>
        <v>#N/A</v>
      </c>
      <c r="AH1110" s="104" t="e">
        <f>IF(AND(VLOOKUP($D1110,Merchantability!$B:$C,2,0)="Yes",$E1110&gt;=VLOOKUP($D1110,Merchantability!$B:$D,3,0),$E1110&lt;=VLOOKUP($D1110,Merchantability!$B:$E,4,0)),AC1110,0)</f>
        <v>#N/A</v>
      </c>
      <c r="AI1110" s="104" t="e">
        <f t="shared" si="492"/>
        <v>#N/A</v>
      </c>
      <c r="AJ1110" s="104" t="e">
        <f t="shared" si="493"/>
        <v>#VALUE!</v>
      </c>
      <c r="AK1110" s="104" t="e">
        <f t="shared" si="494"/>
        <v>#N/A</v>
      </c>
      <c r="AL1110" s="104" t="e">
        <f t="shared" si="495"/>
        <v>#N/A</v>
      </c>
      <c r="AM1110" s="104" t="e">
        <f t="shared" si="496"/>
        <v>#N/A</v>
      </c>
      <c r="AN1110" s="104" t="e">
        <f t="shared" si="507"/>
        <v>#N/A</v>
      </c>
      <c r="AO1110" s="104" t="e">
        <f t="shared" si="508"/>
        <v>#N/A</v>
      </c>
      <c r="AP1110" s="104" t="e">
        <f t="shared" si="509"/>
        <v>#N/A</v>
      </c>
      <c r="AQ1110" s="104" t="e">
        <f t="shared" si="510"/>
        <v>#N/A</v>
      </c>
      <c r="AR1110" s="105" t="str">
        <f t="shared" si="502"/>
        <v/>
      </c>
      <c r="AS1110" s="105" t="str">
        <f t="shared" si="503"/>
        <v/>
      </c>
      <c r="AT1110" s="108" t="str">
        <f t="shared" si="504"/>
        <v/>
      </c>
      <c r="AU1110" s="108" t="str">
        <f t="shared" si="505"/>
        <v/>
      </c>
      <c r="AV1110" s="107" t="str">
        <f>IF(ISNUMBER(O1110),IF(VLOOKUP($A1110,Stand!C:J,8,FALSE)="Short",AT1110,AU1110),"")</f>
        <v/>
      </c>
      <c r="AW1110" s="109" t="str">
        <f t="shared" si="511"/>
        <v/>
      </c>
      <c r="AX1110" s="109" t="str">
        <f t="shared" si="512"/>
        <v/>
      </c>
      <c r="AY1110" s="112" t="str">
        <f>IF(ISNUMBER(O1110),IF(AND(VLOOKUP($D1110,Merchantability!$B:$C,2,0)="Yes",$E1110&gt;=VLOOKUP($D1110,Merchantability!$B:$D,3,0),$E1110&lt;=VLOOKUP($D1110,Merchantability!$B:$E,4,0)),(AV1110*O1110)*(1-$H1110/100),""),"")</f>
        <v/>
      </c>
      <c r="AZ1110" s="116"/>
      <c r="BA1110" s="116"/>
      <c r="BB1110" s="116"/>
      <c r="BE1110" s="62"/>
      <c r="BF1110" s="63"/>
    </row>
    <row r="1111" spans="1:58" ht="12.75" customHeight="1" x14ac:dyDescent="0.25">
      <c r="A1111" s="313"/>
      <c r="B1111" s="328"/>
      <c r="C1111" s="329"/>
      <c r="D1111" s="328"/>
      <c r="E1111" s="330"/>
      <c r="F1111" s="328"/>
      <c r="G1111" s="329"/>
      <c r="H1111" s="329"/>
      <c r="I1111" s="328"/>
      <c r="J1111" s="383"/>
      <c r="K1111" s="329"/>
      <c r="L1111" s="329"/>
      <c r="M1111" s="76"/>
      <c r="N1111" s="103" t="str">
        <f>IF(A1111="","",VLOOKUP(A1111,Stand!C:K,9,0))</f>
        <v/>
      </c>
      <c r="O1111" s="104" t="str">
        <f t="shared" si="497"/>
        <v/>
      </c>
      <c r="P1111" s="105" t="str">
        <f t="shared" si="498"/>
        <v/>
      </c>
      <c r="Q1111" s="105" t="str">
        <f t="shared" si="486"/>
        <v/>
      </c>
      <c r="R1111" s="103" t="str">
        <f t="shared" si="499"/>
        <v/>
      </c>
      <c r="S1111" s="103" t="str">
        <f t="shared" si="500"/>
        <v/>
      </c>
      <c r="T1111" s="106" t="str">
        <f t="shared" si="487"/>
        <v/>
      </c>
      <c r="U1111" s="106" t="str">
        <f t="shared" si="488"/>
        <v/>
      </c>
      <c r="V1111" s="106" t="str">
        <f t="shared" si="489"/>
        <v/>
      </c>
      <c r="W1111" s="105" t="str">
        <f t="shared" si="501"/>
        <v/>
      </c>
      <c r="X1111" s="104" t="str">
        <f t="shared" si="506"/>
        <v/>
      </c>
      <c r="Y1111" s="104" t="str">
        <f t="array" ref="Y1111">IFERROR(IF(ISNUMBER(O1111),IF(COUNT(IF(A1111=$A$2:$A$2427,IF(D1111=$D$2:$D$2427,IF($X$2:$X$2427&gt;0,1))))&gt;0,SUM(IF(A1111=$A$2:$A$2427,IF(D1111=$D$2:$D$2427,$X$2:$X$2427)))/COUNT(IF(A1111=$A$2:$A$2427,IF(D1111=$D$2:$D$2427,IF(ISNUMBER($X$2:$X$2427),1)))),0),""),0)</f>
        <v/>
      </c>
      <c r="Z1111" s="104" t="str">
        <f>IF(ISNUMBER(O1111),IF(I1111&gt;0,(10^(VLOOKUP(D1111,'Species Codes'!B:C,2,0)+VLOOKUP(D1111,'Species Codes'!B:D,3,0)*LOG(E1111)+VLOOKUP(D1111,'Species Codes'!B:E,4,0)*LOG(I1111))),0),"")</f>
        <v/>
      </c>
      <c r="AA1111" s="104" t="str">
        <f>IFERROR((VLOOKUP(D1111,'Species Codes'!B:G,6,0)*Z1111)/2000,"")</f>
        <v/>
      </c>
      <c r="AB1111" s="104" t="e">
        <f>IF(Z1111&gt;0,((IF(OR(D1111="DF",D1111="RA")=TRUE,EXP(VLOOKUP(D1111,'Species Codes'!B:I,8,0)+VLOOKUP(D1111,'Species Codes'!B:J,9,0)*(LN((E1111*2.54)))),IF(OR(D1111="PY",D1111="RC",D1111="WH",D1111="NF")=TRUE,VLOOKUP(D1111,'Species Codes'!B:I,8,0)+VLOOKUP(D1111,'Species Codes'!B:J,9,0)*((E1111*2.54)^2)*(I1111*0.3048),IF(OR(D1111="MD",D1111="BM",D1111="GA")=TRUE,((VLOOKUP(D1111,'Species Codes'!B:I,8,0)*(((((E1111*2.54)+VLOOKUP(D1111,'Species Codes'!B:J,9,0))/VLOOKUP(D1111,'Species Codes'!B:K,10,0))^VLOOKUP(D1111,'Species Codes'!B:L,11,0))*((I1111*0.3048)^VLOOKUP(D1111,'Species Codes'!B:M,12,0))))-(VLOOKUP(D1111,'Species Codes'!B:I,8,0)*((((E1111*2.54)^VLOOKUP(D1111,'Species Codes'!B:L,11,0))*((I1111*0.3048)^VLOOKUP(D1111,'Species Codes'!B:M,12,0))))))*35.3*VLOOKUP(D1111,'Species Codes'!B:G,6,0)/2.2046,VLOOKUP(D1111,'Species Codes'!B:I,8,0)+VLOOKUP(D1111,'Species Codes'!B:J,9,0)*(((E1111*2.54)/100)^2)*(I1111*0.3048)))))*0.0011023),0)</f>
        <v>#N/A</v>
      </c>
      <c r="AC1111" s="104" t="e">
        <f>IF(Z1111&gt;0,((IF(OR(D1111="RA",D1111="OA",D1111="OT",D1111="UN",D1111="PC"),EXP(VLOOKUP(D1111,'Species Codes'!B:O,14,0)+VLOOKUP(D1111,'Species Codes'!B:P,15,0)*LN((E1111*2.54)))-EXP(VLOOKUP(D1111,'Species Codes'!B:O,14,0)+VLOOKUP(D1111,'Species Codes'!B:P,15,0)*LN((E1111*2.54)))*(1/(VLOOKUP(D1111,'Species Codes'!B:Q,16,0)+VLOOKUP(D1111,'Species Codes'!B:R,17,0)*((E1111*2.54)^VLOOKUP(D1111,'Species Codes'!B:S,18,0)))),IF(OR(D1111="BM",D1111="MD",D1111="OA"),EXP(VLOOKUP(D1111,'Species Codes'!B:O,14,0)+VLOOKUP(D1111,'Species Codes'!B:P,15,0)*LN((E1111*2.54)))*(1-(1/(VLOOKUP(D1111,'Species Codes'!B:Q,16,0)+VLOOKUP(D1111,'Species Codes'!B:R,17,0)*((E1111*2.54)^VLOOKUP(D1111,'Species Codes'!B:S,18,0)))))/1000,IF(D1111="DF",EXP(VLOOKUP(D1111,'Species Codes'!B:O,14,0)+VLOOKUP(D1111,'Species Codes'!B:P,15,0)*LN((E1111*2.54))),VLOOKUP(D1111,'Species Codes'!B:O,14,0)+VLOOKUP(D1111,'Species Codes'!B:P,15,0)*(((E1111*2.54)/100)^2)*(I1111*0.3048)))))*0.0011023),0)</f>
        <v>#N/A</v>
      </c>
      <c r="AD1111" s="104" t="e">
        <f t="shared" si="490"/>
        <v>#N/A</v>
      </c>
      <c r="AE1111" s="104" t="e">
        <f t="shared" si="491"/>
        <v>#N/A</v>
      </c>
      <c r="AF1111" s="104" t="e">
        <f>IF(AND(VLOOKUP($D1111,Merchantability!$B:$C,2,0)="Yes",$E1111&gt;=VLOOKUP($D1111,Merchantability!$B:$D,3,0),$E1111&lt;=VLOOKUP($D1111,Merchantability!$B:$E,4,0)),AA1111,0)</f>
        <v>#N/A</v>
      </c>
      <c r="AG1111" s="104" t="e">
        <f>IF(AND(VLOOKUP($D1111,Merchantability!$B:$C,2,0)="Yes",$E1111&gt;=VLOOKUP($D1111,Merchantability!$B:$D,3,0),$E1111&lt;=VLOOKUP($D1111,Merchantability!$B:$E,4,0)),AB1111,0)</f>
        <v>#N/A</v>
      </c>
      <c r="AH1111" s="104" t="e">
        <f>IF(AND(VLOOKUP($D1111,Merchantability!$B:$C,2,0)="Yes",$E1111&gt;=VLOOKUP($D1111,Merchantability!$B:$D,3,0),$E1111&lt;=VLOOKUP($D1111,Merchantability!$B:$E,4,0)),AC1111,0)</f>
        <v>#N/A</v>
      </c>
      <c r="AI1111" s="104" t="e">
        <f t="shared" si="492"/>
        <v>#N/A</v>
      </c>
      <c r="AJ1111" s="104" t="e">
        <f t="shared" si="493"/>
        <v>#VALUE!</v>
      </c>
      <c r="AK1111" s="104" t="e">
        <f t="shared" si="494"/>
        <v>#N/A</v>
      </c>
      <c r="AL1111" s="104" t="e">
        <f t="shared" si="495"/>
        <v>#N/A</v>
      </c>
      <c r="AM1111" s="104" t="e">
        <f t="shared" si="496"/>
        <v>#N/A</v>
      </c>
      <c r="AN1111" s="104" t="e">
        <f t="shared" si="507"/>
        <v>#N/A</v>
      </c>
      <c r="AO1111" s="104" t="e">
        <f t="shared" si="508"/>
        <v>#N/A</v>
      </c>
      <c r="AP1111" s="104" t="e">
        <f t="shared" si="509"/>
        <v>#N/A</v>
      </c>
      <c r="AQ1111" s="104" t="e">
        <f t="shared" si="510"/>
        <v>#N/A</v>
      </c>
      <c r="AR1111" s="105" t="str">
        <f t="shared" si="502"/>
        <v/>
      </c>
      <c r="AS1111" s="105" t="str">
        <f t="shared" si="503"/>
        <v/>
      </c>
      <c r="AT1111" s="108" t="str">
        <f t="shared" si="504"/>
        <v/>
      </c>
      <c r="AU1111" s="108" t="str">
        <f t="shared" si="505"/>
        <v/>
      </c>
      <c r="AV1111" s="107" t="str">
        <f>IF(ISNUMBER(O1111),IF(VLOOKUP($A1111,Stand!C:J,8,FALSE)="Short",AT1111,AU1111),"")</f>
        <v/>
      </c>
      <c r="AW1111" s="109" t="str">
        <f t="shared" si="511"/>
        <v/>
      </c>
      <c r="AX1111" s="109" t="str">
        <f t="shared" si="512"/>
        <v/>
      </c>
      <c r="AY1111" s="112" t="str">
        <f>IF(ISNUMBER(O1111),IF(AND(VLOOKUP($D1111,Merchantability!$B:$C,2,0)="Yes",$E1111&gt;=VLOOKUP($D1111,Merchantability!$B:$D,3,0),$E1111&lt;=VLOOKUP($D1111,Merchantability!$B:$E,4,0)),(AV1111*O1111)*(1-$H1111/100),""),"")</f>
        <v/>
      </c>
      <c r="AZ1111" s="116"/>
      <c r="BA1111" s="116"/>
      <c r="BB1111" s="116"/>
      <c r="BE1111" s="62"/>
      <c r="BF1111" s="63"/>
    </row>
    <row r="1112" spans="1:58" ht="12.75" customHeight="1" x14ac:dyDescent="0.25">
      <c r="A1112" s="313"/>
      <c r="B1112" s="328"/>
      <c r="C1112" s="329"/>
      <c r="D1112" s="328"/>
      <c r="E1112" s="330"/>
      <c r="F1112" s="328"/>
      <c r="G1112" s="329"/>
      <c r="H1112" s="329"/>
      <c r="I1112" s="328"/>
      <c r="J1112" s="383"/>
      <c r="K1112" s="329"/>
      <c r="L1112" s="329"/>
      <c r="M1112" s="76"/>
      <c r="N1112" s="103" t="str">
        <f>IF(A1112="","",VLOOKUP(A1112,Stand!C:K,9,0))</f>
        <v/>
      </c>
      <c r="O1112" s="104" t="str">
        <f t="shared" si="497"/>
        <v/>
      </c>
      <c r="P1112" s="105" t="str">
        <f t="shared" si="498"/>
        <v/>
      </c>
      <c r="Q1112" s="105" t="str">
        <f t="shared" si="486"/>
        <v/>
      </c>
      <c r="R1112" s="103" t="str">
        <f t="shared" si="499"/>
        <v/>
      </c>
      <c r="S1112" s="103" t="str">
        <f t="shared" si="500"/>
        <v/>
      </c>
      <c r="T1112" s="106" t="str">
        <f t="shared" si="487"/>
        <v/>
      </c>
      <c r="U1112" s="106" t="str">
        <f t="shared" si="488"/>
        <v/>
      </c>
      <c r="V1112" s="106" t="str">
        <f t="shared" si="489"/>
        <v/>
      </c>
      <c r="W1112" s="105" t="str">
        <f t="shared" si="501"/>
        <v/>
      </c>
      <c r="X1112" s="104" t="str">
        <f t="shared" si="506"/>
        <v/>
      </c>
      <c r="Y1112" s="104" t="str">
        <f t="array" ref="Y1112">IFERROR(IF(ISNUMBER(O1112),IF(COUNT(IF(A1112=$A$2:$A$2427,IF(D1112=$D$2:$D$2427,IF($X$2:$X$2427&gt;0,1))))&gt;0,SUM(IF(A1112=$A$2:$A$2427,IF(D1112=$D$2:$D$2427,$X$2:$X$2427)))/COUNT(IF(A1112=$A$2:$A$2427,IF(D1112=$D$2:$D$2427,IF(ISNUMBER($X$2:$X$2427),1)))),0),""),0)</f>
        <v/>
      </c>
      <c r="Z1112" s="104" t="str">
        <f>IF(ISNUMBER(O1112),IF(I1112&gt;0,(10^(VLOOKUP(D1112,'Species Codes'!B:C,2,0)+VLOOKUP(D1112,'Species Codes'!B:D,3,0)*LOG(E1112)+VLOOKUP(D1112,'Species Codes'!B:E,4,0)*LOG(I1112))),0),"")</f>
        <v/>
      </c>
      <c r="AA1112" s="104" t="str">
        <f>IFERROR((VLOOKUP(D1112,'Species Codes'!B:G,6,0)*Z1112)/2000,"")</f>
        <v/>
      </c>
      <c r="AB1112" s="104" t="e">
        <f>IF(Z1112&gt;0,((IF(OR(D1112="DF",D1112="RA")=TRUE,EXP(VLOOKUP(D1112,'Species Codes'!B:I,8,0)+VLOOKUP(D1112,'Species Codes'!B:J,9,0)*(LN((E1112*2.54)))),IF(OR(D1112="PY",D1112="RC",D1112="WH",D1112="NF")=TRUE,VLOOKUP(D1112,'Species Codes'!B:I,8,0)+VLOOKUP(D1112,'Species Codes'!B:J,9,0)*((E1112*2.54)^2)*(I1112*0.3048),IF(OR(D1112="MD",D1112="BM",D1112="GA")=TRUE,((VLOOKUP(D1112,'Species Codes'!B:I,8,0)*(((((E1112*2.54)+VLOOKUP(D1112,'Species Codes'!B:J,9,0))/VLOOKUP(D1112,'Species Codes'!B:K,10,0))^VLOOKUP(D1112,'Species Codes'!B:L,11,0))*((I1112*0.3048)^VLOOKUP(D1112,'Species Codes'!B:M,12,0))))-(VLOOKUP(D1112,'Species Codes'!B:I,8,0)*((((E1112*2.54)^VLOOKUP(D1112,'Species Codes'!B:L,11,0))*((I1112*0.3048)^VLOOKUP(D1112,'Species Codes'!B:M,12,0))))))*35.3*VLOOKUP(D1112,'Species Codes'!B:G,6,0)/2.2046,VLOOKUP(D1112,'Species Codes'!B:I,8,0)+VLOOKUP(D1112,'Species Codes'!B:J,9,0)*(((E1112*2.54)/100)^2)*(I1112*0.3048)))))*0.0011023),0)</f>
        <v>#N/A</v>
      </c>
      <c r="AC1112" s="104" t="e">
        <f>IF(Z1112&gt;0,((IF(OR(D1112="RA",D1112="OA",D1112="OT",D1112="UN",D1112="PC"),EXP(VLOOKUP(D1112,'Species Codes'!B:O,14,0)+VLOOKUP(D1112,'Species Codes'!B:P,15,0)*LN((E1112*2.54)))-EXP(VLOOKUP(D1112,'Species Codes'!B:O,14,0)+VLOOKUP(D1112,'Species Codes'!B:P,15,0)*LN((E1112*2.54)))*(1/(VLOOKUP(D1112,'Species Codes'!B:Q,16,0)+VLOOKUP(D1112,'Species Codes'!B:R,17,0)*((E1112*2.54)^VLOOKUP(D1112,'Species Codes'!B:S,18,0)))),IF(OR(D1112="BM",D1112="MD",D1112="OA"),EXP(VLOOKUP(D1112,'Species Codes'!B:O,14,0)+VLOOKUP(D1112,'Species Codes'!B:P,15,0)*LN((E1112*2.54)))*(1-(1/(VLOOKUP(D1112,'Species Codes'!B:Q,16,0)+VLOOKUP(D1112,'Species Codes'!B:R,17,0)*((E1112*2.54)^VLOOKUP(D1112,'Species Codes'!B:S,18,0)))))/1000,IF(D1112="DF",EXP(VLOOKUP(D1112,'Species Codes'!B:O,14,0)+VLOOKUP(D1112,'Species Codes'!B:P,15,0)*LN((E1112*2.54))),VLOOKUP(D1112,'Species Codes'!B:O,14,0)+VLOOKUP(D1112,'Species Codes'!B:P,15,0)*(((E1112*2.54)/100)^2)*(I1112*0.3048)))))*0.0011023),0)</f>
        <v>#N/A</v>
      </c>
      <c r="AD1112" s="104" t="e">
        <f t="shared" si="490"/>
        <v>#N/A</v>
      </c>
      <c r="AE1112" s="104" t="e">
        <f t="shared" si="491"/>
        <v>#N/A</v>
      </c>
      <c r="AF1112" s="104" t="e">
        <f>IF(AND(VLOOKUP($D1112,Merchantability!$B:$C,2,0)="Yes",$E1112&gt;=VLOOKUP($D1112,Merchantability!$B:$D,3,0),$E1112&lt;=VLOOKUP($D1112,Merchantability!$B:$E,4,0)),AA1112,0)</f>
        <v>#N/A</v>
      </c>
      <c r="AG1112" s="104" t="e">
        <f>IF(AND(VLOOKUP($D1112,Merchantability!$B:$C,2,0)="Yes",$E1112&gt;=VLOOKUP($D1112,Merchantability!$B:$D,3,0),$E1112&lt;=VLOOKUP($D1112,Merchantability!$B:$E,4,0)),AB1112,0)</f>
        <v>#N/A</v>
      </c>
      <c r="AH1112" s="104" t="e">
        <f>IF(AND(VLOOKUP($D1112,Merchantability!$B:$C,2,0)="Yes",$E1112&gt;=VLOOKUP($D1112,Merchantability!$B:$D,3,0),$E1112&lt;=VLOOKUP($D1112,Merchantability!$B:$E,4,0)),AC1112,0)</f>
        <v>#N/A</v>
      </c>
      <c r="AI1112" s="104" t="e">
        <f t="shared" si="492"/>
        <v>#N/A</v>
      </c>
      <c r="AJ1112" s="104" t="e">
        <f t="shared" si="493"/>
        <v>#VALUE!</v>
      </c>
      <c r="AK1112" s="104" t="e">
        <f t="shared" si="494"/>
        <v>#N/A</v>
      </c>
      <c r="AL1112" s="104" t="e">
        <f t="shared" si="495"/>
        <v>#N/A</v>
      </c>
      <c r="AM1112" s="104" t="e">
        <f t="shared" si="496"/>
        <v>#N/A</v>
      </c>
      <c r="AN1112" s="104" t="e">
        <f t="shared" si="507"/>
        <v>#N/A</v>
      </c>
      <c r="AO1112" s="104" t="e">
        <f t="shared" si="508"/>
        <v>#N/A</v>
      </c>
      <c r="AP1112" s="104" t="e">
        <f t="shared" si="509"/>
        <v>#N/A</v>
      </c>
      <c r="AQ1112" s="104" t="e">
        <f t="shared" si="510"/>
        <v>#N/A</v>
      </c>
      <c r="AR1112" s="105" t="str">
        <f t="shared" si="502"/>
        <v/>
      </c>
      <c r="AS1112" s="105" t="str">
        <f t="shared" si="503"/>
        <v/>
      </c>
      <c r="AT1112" s="108" t="str">
        <f t="shared" si="504"/>
        <v/>
      </c>
      <c r="AU1112" s="108" t="str">
        <f t="shared" si="505"/>
        <v/>
      </c>
      <c r="AV1112" s="107" t="str">
        <f>IF(ISNUMBER(O1112),IF(VLOOKUP($A1112,Stand!C:J,8,FALSE)="Short",AT1112,AU1112),"")</f>
        <v/>
      </c>
      <c r="AW1112" s="109" t="str">
        <f t="shared" si="511"/>
        <v/>
      </c>
      <c r="AX1112" s="109" t="str">
        <f t="shared" si="512"/>
        <v/>
      </c>
      <c r="AY1112" s="112" t="str">
        <f>IF(ISNUMBER(O1112),IF(AND(VLOOKUP($D1112,Merchantability!$B:$C,2,0)="Yes",$E1112&gt;=VLOOKUP($D1112,Merchantability!$B:$D,3,0),$E1112&lt;=VLOOKUP($D1112,Merchantability!$B:$E,4,0)),(AV1112*O1112)*(1-$H1112/100),""),"")</f>
        <v/>
      </c>
      <c r="AZ1112" s="116"/>
      <c r="BA1112" s="116"/>
      <c r="BB1112" s="116"/>
      <c r="BE1112" s="62"/>
      <c r="BF1112" s="63"/>
    </row>
    <row r="1113" spans="1:58" ht="12.75" customHeight="1" x14ac:dyDescent="0.25">
      <c r="A1113" s="313"/>
      <c r="B1113" s="328"/>
      <c r="C1113" s="329"/>
      <c r="D1113" s="328"/>
      <c r="E1113" s="330"/>
      <c r="F1113" s="328"/>
      <c r="G1113" s="329"/>
      <c r="H1113" s="329"/>
      <c r="I1113" s="328"/>
      <c r="J1113" s="383"/>
      <c r="K1113" s="329"/>
      <c r="L1113" s="329"/>
      <c r="M1113" s="76"/>
      <c r="N1113" s="103" t="str">
        <f>IF(A1113="","",VLOOKUP(A1113,Stand!C:K,9,0))</f>
        <v/>
      </c>
      <c r="O1113" s="104" t="str">
        <f t="shared" si="497"/>
        <v/>
      </c>
      <c r="P1113" s="105" t="str">
        <f t="shared" si="498"/>
        <v/>
      </c>
      <c r="Q1113" s="105" t="str">
        <f t="shared" si="486"/>
        <v/>
      </c>
      <c r="R1113" s="103" t="str">
        <f t="shared" si="499"/>
        <v/>
      </c>
      <c r="S1113" s="103" t="str">
        <f t="shared" si="500"/>
        <v/>
      </c>
      <c r="T1113" s="106" t="str">
        <f t="shared" si="487"/>
        <v/>
      </c>
      <c r="U1113" s="106" t="str">
        <f t="shared" si="488"/>
        <v/>
      </c>
      <c r="V1113" s="106" t="str">
        <f t="shared" si="489"/>
        <v/>
      </c>
      <c r="W1113" s="105" t="str">
        <f t="shared" si="501"/>
        <v/>
      </c>
      <c r="X1113" s="104" t="str">
        <f t="shared" si="506"/>
        <v/>
      </c>
      <c r="Y1113" s="104" t="str">
        <f t="array" ref="Y1113">IFERROR(IF(ISNUMBER(O1113),IF(COUNT(IF(A1113=$A$2:$A$2427,IF(D1113=$D$2:$D$2427,IF($X$2:$X$2427&gt;0,1))))&gt;0,SUM(IF(A1113=$A$2:$A$2427,IF(D1113=$D$2:$D$2427,$X$2:$X$2427)))/COUNT(IF(A1113=$A$2:$A$2427,IF(D1113=$D$2:$D$2427,IF(ISNUMBER($X$2:$X$2427),1)))),0),""),0)</f>
        <v/>
      </c>
      <c r="Z1113" s="104" t="str">
        <f>IF(ISNUMBER(O1113),IF(I1113&gt;0,(10^(VLOOKUP(D1113,'Species Codes'!B:C,2,0)+VLOOKUP(D1113,'Species Codes'!B:D,3,0)*LOG(E1113)+VLOOKUP(D1113,'Species Codes'!B:E,4,0)*LOG(I1113))),0),"")</f>
        <v/>
      </c>
      <c r="AA1113" s="104" t="str">
        <f>IFERROR((VLOOKUP(D1113,'Species Codes'!B:G,6,0)*Z1113)/2000,"")</f>
        <v/>
      </c>
      <c r="AB1113" s="104" t="e">
        <f>IF(Z1113&gt;0,((IF(OR(D1113="DF",D1113="RA")=TRUE,EXP(VLOOKUP(D1113,'Species Codes'!B:I,8,0)+VLOOKUP(D1113,'Species Codes'!B:J,9,0)*(LN((E1113*2.54)))),IF(OR(D1113="PY",D1113="RC",D1113="WH",D1113="NF")=TRUE,VLOOKUP(D1113,'Species Codes'!B:I,8,0)+VLOOKUP(D1113,'Species Codes'!B:J,9,0)*((E1113*2.54)^2)*(I1113*0.3048),IF(OR(D1113="MD",D1113="BM",D1113="GA")=TRUE,((VLOOKUP(D1113,'Species Codes'!B:I,8,0)*(((((E1113*2.54)+VLOOKUP(D1113,'Species Codes'!B:J,9,0))/VLOOKUP(D1113,'Species Codes'!B:K,10,0))^VLOOKUP(D1113,'Species Codes'!B:L,11,0))*((I1113*0.3048)^VLOOKUP(D1113,'Species Codes'!B:M,12,0))))-(VLOOKUP(D1113,'Species Codes'!B:I,8,0)*((((E1113*2.54)^VLOOKUP(D1113,'Species Codes'!B:L,11,0))*((I1113*0.3048)^VLOOKUP(D1113,'Species Codes'!B:M,12,0))))))*35.3*VLOOKUP(D1113,'Species Codes'!B:G,6,0)/2.2046,VLOOKUP(D1113,'Species Codes'!B:I,8,0)+VLOOKUP(D1113,'Species Codes'!B:J,9,0)*(((E1113*2.54)/100)^2)*(I1113*0.3048)))))*0.0011023),0)</f>
        <v>#N/A</v>
      </c>
      <c r="AC1113" s="104" t="e">
        <f>IF(Z1113&gt;0,((IF(OR(D1113="RA",D1113="OA",D1113="OT",D1113="UN",D1113="PC"),EXP(VLOOKUP(D1113,'Species Codes'!B:O,14,0)+VLOOKUP(D1113,'Species Codes'!B:P,15,0)*LN((E1113*2.54)))-EXP(VLOOKUP(D1113,'Species Codes'!B:O,14,0)+VLOOKUP(D1113,'Species Codes'!B:P,15,0)*LN((E1113*2.54)))*(1/(VLOOKUP(D1113,'Species Codes'!B:Q,16,0)+VLOOKUP(D1113,'Species Codes'!B:R,17,0)*((E1113*2.54)^VLOOKUP(D1113,'Species Codes'!B:S,18,0)))),IF(OR(D1113="BM",D1113="MD",D1113="OA"),EXP(VLOOKUP(D1113,'Species Codes'!B:O,14,0)+VLOOKUP(D1113,'Species Codes'!B:P,15,0)*LN((E1113*2.54)))*(1-(1/(VLOOKUP(D1113,'Species Codes'!B:Q,16,0)+VLOOKUP(D1113,'Species Codes'!B:R,17,0)*((E1113*2.54)^VLOOKUP(D1113,'Species Codes'!B:S,18,0)))))/1000,IF(D1113="DF",EXP(VLOOKUP(D1113,'Species Codes'!B:O,14,0)+VLOOKUP(D1113,'Species Codes'!B:P,15,0)*LN((E1113*2.54))),VLOOKUP(D1113,'Species Codes'!B:O,14,0)+VLOOKUP(D1113,'Species Codes'!B:P,15,0)*(((E1113*2.54)/100)^2)*(I1113*0.3048)))))*0.0011023),0)</f>
        <v>#N/A</v>
      </c>
      <c r="AD1113" s="104" t="e">
        <f t="shared" si="490"/>
        <v>#N/A</v>
      </c>
      <c r="AE1113" s="104" t="e">
        <f t="shared" si="491"/>
        <v>#N/A</v>
      </c>
      <c r="AF1113" s="104" t="e">
        <f>IF(AND(VLOOKUP($D1113,Merchantability!$B:$C,2,0)="Yes",$E1113&gt;=VLOOKUP($D1113,Merchantability!$B:$D,3,0),$E1113&lt;=VLOOKUP($D1113,Merchantability!$B:$E,4,0)),AA1113,0)</f>
        <v>#N/A</v>
      </c>
      <c r="AG1113" s="104" t="e">
        <f>IF(AND(VLOOKUP($D1113,Merchantability!$B:$C,2,0)="Yes",$E1113&gt;=VLOOKUP($D1113,Merchantability!$B:$D,3,0),$E1113&lt;=VLOOKUP($D1113,Merchantability!$B:$E,4,0)),AB1113,0)</f>
        <v>#N/A</v>
      </c>
      <c r="AH1113" s="104" t="e">
        <f>IF(AND(VLOOKUP($D1113,Merchantability!$B:$C,2,0)="Yes",$E1113&gt;=VLOOKUP($D1113,Merchantability!$B:$D,3,0),$E1113&lt;=VLOOKUP($D1113,Merchantability!$B:$E,4,0)),AC1113,0)</f>
        <v>#N/A</v>
      </c>
      <c r="AI1113" s="104" t="e">
        <f t="shared" si="492"/>
        <v>#N/A</v>
      </c>
      <c r="AJ1113" s="104" t="e">
        <f t="shared" si="493"/>
        <v>#VALUE!</v>
      </c>
      <c r="AK1113" s="104" t="e">
        <f t="shared" si="494"/>
        <v>#N/A</v>
      </c>
      <c r="AL1113" s="104" t="e">
        <f t="shared" si="495"/>
        <v>#N/A</v>
      </c>
      <c r="AM1113" s="104" t="e">
        <f t="shared" si="496"/>
        <v>#N/A</v>
      </c>
      <c r="AN1113" s="104" t="e">
        <f t="shared" si="507"/>
        <v>#N/A</v>
      </c>
      <c r="AO1113" s="104" t="e">
        <f t="shared" si="508"/>
        <v>#N/A</v>
      </c>
      <c r="AP1113" s="104" t="e">
        <f t="shared" si="509"/>
        <v>#N/A</v>
      </c>
      <c r="AQ1113" s="104" t="e">
        <f t="shared" si="510"/>
        <v>#N/A</v>
      </c>
      <c r="AR1113" s="105" t="str">
        <f t="shared" si="502"/>
        <v/>
      </c>
      <c r="AS1113" s="105" t="str">
        <f t="shared" si="503"/>
        <v/>
      </c>
      <c r="AT1113" s="108" t="str">
        <f t="shared" si="504"/>
        <v/>
      </c>
      <c r="AU1113" s="108" t="str">
        <f t="shared" si="505"/>
        <v/>
      </c>
      <c r="AV1113" s="107" t="str">
        <f>IF(ISNUMBER(O1113),IF(VLOOKUP($A1113,Stand!C:J,8,FALSE)="Short",AT1113,AU1113),"")</f>
        <v/>
      </c>
      <c r="AW1113" s="109" t="str">
        <f t="shared" si="511"/>
        <v/>
      </c>
      <c r="AX1113" s="109" t="str">
        <f t="shared" si="512"/>
        <v/>
      </c>
      <c r="AY1113" s="112" t="str">
        <f>IF(ISNUMBER(O1113),IF(AND(VLOOKUP($D1113,Merchantability!$B:$C,2,0)="Yes",$E1113&gt;=VLOOKUP($D1113,Merchantability!$B:$D,3,0),$E1113&lt;=VLOOKUP($D1113,Merchantability!$B:$E,4,0)),(AV1113*O1113)*(1-$H1113/100),""),"")</f>
        <v/>
      </c>
      <c r="AZ1113" s="116"/>
      <c r="BA1113" s="116"/>
      <c r="BB1113" s="116"/>
      <c r="BE1113" s="62"/>
      <c r="BF1113" s="63"/>
    </row>
    <row r="1114" spans="1:58" ht="12.75" customHeight="1" x14ac:dyDescent="0.25">
      <c r="A1114" s="313"/>
      <c r="B1114" s="328"/>
      <c r="C1114" s="329"/>
      <c r="D1114" s="328"/>
      <c r="E1114" s="330"/>
      <c r="F1114" s="328"/>
      <c r="G1114" s="329"/>
      <c r="H1114" s="329"/>
      <c r="I1114" s="328"/>
      <c r="J1114" s="383"/>
      <c r="K1114" s="329"/>
      <c r="L1114" s="329"/>
      <c r="M1114" s="76"/>
      <c r="N1114" s="103" t="str">
        <f>IF(A1114="","",VLOOKUP(A1114,Stand!C:K,9,0))</f>
        <v/>
      </c>
      <c r="O1114" s="104" t="str">
        <f t="shared" si="497"/>
        <v/>
      </c>
      <c r="P1114" s="105" t="str">
        <f t="shared" si="498"/>
        <v/>
      </c>
      <c r="Q1114" s="105" t="str">
        <f t="shared" si="486"/>
        <v/>
      </c>
      <c r="R1114" s="103" t="str">
        <f t="shared" si="499"/>
        <v/>
      </c>
      <c r="S1114" s="103" t="str">
        <f t="shared" si="500"/>
        <v/>
      </c>
      <c r="T1114" s="106" t="str">
        <f t="shared" si="487"/>
        <v/>
      </c>
      <c r="U1114" s="106" t="str">
        <f t="shared" si="488"/>
        <v/>
      </c>
      <c r="V1114" s="106" t="str">
        <f t="shared" si="489"/>
        <v/>
      </c>
      <c r="W1114" s="105" t="str">
        <f t="shared" si="501"/>
        <v/>
      </c>
      <c r="X1114" s="104" t="str">
        <f t="shared" si="506"/>
        <v/>
      </c>
      <c r="Y1114" s="104" t="str">
        <f t="array" ref="Y1114">IFERROR(IF(ISNUMBER(O1114),IF(COUNT(IF(A1114=$A$2:$A$2427,IF(D1114=$D$2:$D$2427,IF($X$2:$X$2427&gt;0,1))))&gt;0,SUM(IF(A1114=$A$2:$A$2427,IF(D1114=$D$2:$D$2427,$X$2:$X$2427)))/COUNT(IF(A1114=$A$2:$A$2427,IF(D1114=$D$2:$D$2427,IF(ISNUMBER($X$2:$X$2427),1)))),0),""),0)</f>
        <v/>
      </c>
      <c r="Z1114" s="104" t="str">
        <f>IF(ISNUMBER(O1114),IF(I1114&gt;0,(10^(VLOOKUP(D1114,'Species Codes'!B:C,2,0)+VLOOKUP(D1114,'Species Codes'!B:D,3,0)*LOG(E1114)+VLOOKUP(D1114,'Species Codes'!B:E,4,0)*LOG(I1114))),0),"")</f>
        <v/>
      </c>
      <c r="AA1114" s="104" t="str">
        <f>IFERROR((VLOOKUP(D1114,'Species Codes'!B:G,6,0)*Z1114)/2000,"")</f>
        <v/>
      </c>
      <c r="AB1114" s="104" t="e">
        <f>IF(Z1114&gt;0,((IF(OR(D1114="DF",D1114="RA")=TRUE,EXP(VLOOKUP(D1114,'Species Codes'!B:I,8,0)+VLOOKUP(D1114,'Species Codes'!B:J,9,0)*(LN((E1114*2.54)))),IF(OR(D1114="PY",D1114="RC",D1114="WH",D1114="NF")=TRUE,VLOOKUP(D1114,'Species Codes'!B:I,8,0)+VLOOKUP(D1114,'Species Codes'!B:J,9,0)*((E1114*2.54)^2)*(I1114*0.3048),IF(OR(D1114="MD",D1114="BM",D1114="GA")=TRUE,((VLOOKUP(D1114,'Species Codes'!B:I,8,0)*(((((E1114*2.54)+VLOOKUP(D1114,'Species Codes'!B:J,9,0))/VLOOKUP(D1114,'Species Codes'!B:K,10,0))^VLOOKUP(D1114,'Species Codes'!B:L,11,0))*((I1114*0.3048)^VLOOKUP(D1114,'Species Codes'!B:M,12,0))))-(VLOOKUP(D1114,'Species Codes'!B:I,8,0)*((((E1114*2.54)^VLOOKUP(D1114,'Species Codes'!B:L,11,0))*((I1114*0.3048)^VLOOKUP(D1114,'Species Codes'!B:M,12,0))))))*35.3*VLOOKUP(D1114,'Species Codes'!B:G,6,0)/2.2046,VLOOKUP(D1114,'Species Codes'!B:I,8,0)+VLOOKUP(D1114,'Species Codes'!B:J,9,0)*(((E1114*2.54)/100)^2)*(I1114*0.3048)))))*0.0011023),0)</f>
        <v>#N/A</v>
      </c>
      <c r="AC1114" s="104" t="e">
        <f>IF(Z1114&gt;0,((IF(OR(D1114="RA",D1114="OA",D1114="OT",D1114="UN",D1114="PC"),EXP(VLOOKUP(D1114,'Species Codes'!B:O,14,0)+VLOOKUP(D1114,'Species Codes'!B:P,15,0)*LN((E1114*2.54)))-EXP(VLOOKUP(D1114,'Species Codes'!B:O,14,0)+VLOOKUP(D1114,'Species Codes'!B:P,15,0)*LN((E1114*2.54)))*(1/(VLOOKUP(D1114,'Species Codes'!B:Q,16,0)+VLOOKUP(D1114,'Species Codes'!B:R,17,0)*((E1114*2.54)^VLOOKUP(D1114,'Species Codes'!B:S,18,0)))),IF(OR(D1114="BM",D1114="MD",D1114="OA"),EXP(VLOOKUP(D1114,'Species Codes'!B:O,14,0)+VLOOKUP(D1114,'Species Codes'!B:P,15,0)*LN((E1114*2.54)))*(1-(1/(VLOOKUP(D1114,'Species Codes'!B:Q,16,0)+VLOOKUP(D1114,'Species Codes'!B:R,17,0)*((E1114*2.54)^VLOOKUP(D1114,'Species Codes'!B:S,18,0)))))/1000,IF(D1114="DF",EXP(VLOOKUP(D1114,'Species Codes'!B:O,14,0)+VLOOKUP(D1114,'Species Codes'!B:P,15,0)*LN((E1114*2.54))),VLOOKUP(D1114,'Species Codes'!B:O,14,0)+VLOOKUP(D1114,'Species Codes'!B:P,15,0)*(((E1114*2.54)/100)^2)*(I1114*0.3048)))))*0.0011023),0)</f>
        <v>#N/A</v>
      </c>
      <c r="AD1114" s="104" t="e">
        <f t="shared" si="490"/>
        <v>#N/A</v>
      </c>
      <c r="AE1114" s="104" t="e">
        <f t="shared" si="491"/>
        <v>#N/A</v>
      </c>
      <c r="AF1114" s="104" t="e">
        <f>IF(AND(VLOOKUP($D1114,Merchantability!$B:$C,2,0)="Yes",$E1114&gt;=VLOOKUP($D1114,Merchantability!$B:$D,3,0),$E1114&lt;=VLOOKUP($D1114,Merchantability!$B:$E,4,0)),AA1114,0)</f>
        <v>#N/A</v>
      </c>
      <c r="AG1114" s="104" t="e">
        <f>IF(AND(VLOOKUP($D1114,Merchantability!$B:$C,2,0)="Yes",$E1114&gt;=VLOOKUP($D1114,Merchantability!$B:$D,3,0),$E1114&lt;=VLOOKUP($D1114,Merchantability!$B:$E,4,0)),AB1114,0)</f>
        <v>#N/A</v>
      </c>
      <c r="AH1114" s="104" t="e">
        <f>IF(AND(VLOOKUP($D1114,Merchantability!$B:$C,2,0)="Yes",$E1114&gt;=VLOOKUP($D1114,Merchantability!$B:$D,3,0),$E1114&lt;=VLOOKUP($D1114,Merchantability!$B:$E,4,0)),AC1114,0)</f>
        <v>#N/A</v>
      </c>
      <c r="AI1114" s="104" t="e">
        <f t="shared" si="492"/>
        <v>#N/A</v>
      </c>
      <c r="AJ1114" s="104" t="e">
        <f t="shared" si="493"/>
        <v>#VALUE!</v>
      </c>
      <c r="AK1114" s="104" t="e">
        <f t="shared" si="494"/>
        <v>#N/A</v>
      </c>
      <c r="AL1114" s="104" t="e">
        <f t="shared" si="495"/>
        <v>#N/A</v>
      </c>
      <c r="AM1114" s="104" t="e">
        <f t="shared" si="496"/>
        <v>#N/A</v>
      </c>
      <c r="AN1114" s="104" t="e">
        <f t="shared" si="507"/>
        <v>#N/A</v>
      </c>
      <c r="AO1114" s="104" t="e">
        <f t="shared" si="508"/>
        <v>#N/A</v>
      </c>
      <c r="AP1114" s="104" t="e">
        <f t="shared" si="509"/>
        <v>#N/A</v>
      </c>
      <c r="AQ1114" s="104" t="e">
        <f t="shared" si="510"/>
        <v>#N/A</v>
      </c>
      <c r="AR1114" s="105" t="str">
        <f t="shared" si="502"/>
        <v/>
      </c>
      <c r="AS1114" s="105" t="str">
        <f t="shared" si="503"/>
        <v/>
      </c>
      <c r="AT1114" s="108" t="str">
        <f t="shared" si="504"/>
        <v/>
      </c>
      <c r="AU1114" s="108" t="str">
        <f t="shared" si="505"/>
        <v/>
      </c>
      <c r="AV1114" s="107" t="str">
        <f>IF(ISNUMBER(O1114),IF(VLOOKUP($A1114,Stand!C:J,8,FALSE)="Short",AT1114,AU1114),"")</f>
        <v/>
      </c>
      <c r="AW1114" s="109" t="str">
        <f t="shared" si="511"/>
        <v/>
      </c>
      <c r="AX1114" s="109" t="str">
        <f t="shared" si="512"/>
        <v/>
      </c>
      <c r="AY1114" s="112" t="str">
        <f>IF(ISNUMBER(O1114),IF(AND(VLOOKUP($D1114,Merchantability!$B:$C,2,0)="Yes",$E1114&gt;=VLOOKUP($D1114,Merchantability!$B:$D,3,0),$E1114&lt;=VLOOKUP($D1114,Merchantability!$B:$E,4,0)),(AV1114*O1114)*(1-$H1114/100),""),"")</f>
        <v/>
      </c>
      <c r="AZ1114" s="116"/>
      <c r="BA1114" s="116"/>
      <c r="BB1114" s="116"/>
      <c r="BE1114" s="62"/>
      <c r="BF1114" s="63"/>
    </row>
    <row r="1115" spans="1:58" ht="12.75" customHeight="1" x14ac:dyDescent="0.25">
      <c r="A1115" s="313"/>
      <c r="B1115" s="328"/>
      <c r="C1115" s="329"/>
      <c r="D1115" s="328"/>
      <c r="E1115" s="330"/>
      <c r="F1115" s="328"/>
      <c r="G1115" s="329"/>
      <c r="H1115" s="329"/>
      <c r="I1115" s="328"/>
      <c r="J1115" s="383"/>
      <c r="K1115" s="329"/>
      <c r="L1115" s="329"/>
      <c r="M1115" s="76"/>
      <c r="N1115" s="103" t="str">
        <f>IF(A1115="","",VLOOKUP(A1115,Stand!C:K,9,0))</f>
        <v/>
      </c>
      <c r="O1115" s="104" t="str">
        <f t="shared" si="497"/>
        <v/>
      </c>
      <c r="P1115" s="105" t="str">
        <f t="shared" si="498"/>
        <v/>
      </c>
      <c r="Q1115" s="105" t="str">
        <f t="shared" si="486"/>
        <v/>
      </c>
      <c r="R1115" s="103" t="str">
        <f t="shared" si="499"/>
        <v/>
      </c>
      <c r="S1115" s="103" t="str">
        <f t="shared" si="500"/>
        <v/>
      </c>
      <c r="T1115" s="106" t="str">
        <f t="shared" si="487"/>
        <v/>
      </c>
      <c r="U1115" s="106" t="str">
        <f t="shared" si="488"/>
        <v/>
      </c>
      <c r="V1115" s="106" t="str">
        <f t="shared" si="489"/>
        <v/>
      </c>
      <c r="W1115" s="105" t="str">
        <f t="shared" si="501"/>
        <v/>
      </c>
      <c r="X1115" s="104" t="str">
        <f t="shared" si="506"/>
        <v/>
      </c>
      <c r="Y1115" s="104" t="str">
        <f t="array" ref="Y1115">IFERROR(IF(ISNUMBER(O1115),IF(COUNT(IF(A1115=$A$2:$A$2427,IF(D1115=$D$2:$D$2427,IF($X$2:$X$2427&gt;0,1))))&gt;0,SUM(IF(A1115=$A$2:$A$2427,IF(D1115=$D$2:$D$2427,$X$2:$X$2427)))/COUNT(IF(A1115=$A$2:$A$2427,IF(D1115=$D$2:$D$2427,IF(ISNUMBER($X$2:$X$2427),1)))),0),""),0)</f>
        <v/>
      </c>
      <c r="Z1115" s="104" t="str">
        <f>IF(ISNUMBER(O1115),IF(I1115&gt;0,(10^(VLOOKUP(D1115,'Species Codes'!B:C,2,0)+VLOOKUP(D1115,'Species Codes'!B:D,3,0)*LOG(E1115)+VLOOKUP(D1115,'Species Codes'!B:E,4,0)*LOG(I1115))),0),"")</f>
        <v/>
      </c>
      <c r="AA1115" s="104" t="str">
        <f>IFERROR((VLOOKUP(D1115,'Species Codes'!B:G,6,0)*Z1115)/2000,"")</f>
        <v/>
      </c>
      <c r="AB1115" s="104" t="e">
        <f>IF(Z1115&gt;0,((IF(OR(D1115="DF",D1115="RA")=TRUE,EXP(VLOOKUP(D1115,'Species Codes'!B:I,8,0)+VLOOKUP(D1115,'Species Codes'!B:J,9,0)*(LN((E1115*2.54)))),IF(OR(D1115="PY",D1115="RC",D1115="WH",D1115="NF")=TRUE,VLOOKUP(D1115,'Species Codes'!B:I,8,0)+VLOOKUP(D1115,'Species Codes'!B:J,9,0)*((E1115*2.54)^2)*(I1115*0.3048),IF(OR(D1115="MD",D1115="BM",D1115="GA")=TRUE,((VLOOKUP(D1115,'Species Codes'!B:I,8,0)*(((((E1115*2.54)+VLOOKUP(D1115,'Species Codes'!B:J,9,0))/VLOOKUP(D1115,'Species Codes'!B:K,10,0))^VLOOKUP(D1115,'Species Codes'!B:L,11,0))*((I1115*0.3048)^VLOOKUP(D1115,'Species Codes'!B:M,12,0))))-(VLOOKUP(D1115,'Species Codes'!B:I,8,0)*((((E1115*2.54)^VLOOKUP(D1115,'Species Codes'!B:L,11,0))*((I1115*0.3048)^VLOOKUP(D1115,'Species Codes'!B:M,12,0))))))*35.3*VLOOKUP(D1115,'Species Codes'!B:G,6,0)/2.2046,VLOOKUP(D1115,'Species Codes'!B:I,8,0)+VLOOKUP(D1115,'Species Codes'!B:J,9,0)*(((E1115*2.54)/100)^2)*(I1115*0.3048)))))*0.0011023),0)</f>
        <v>#N/A</v>
      </c>
      <c r="AC1115" s="104" t="e">
        <f>IF(Z1115&gt;0,((IF(OR(D1115="RA",D1115="OA",D1115="OT",D1115="UN",D1115="PC"),EXP(VLOOKUP(D1115,'Species Codes'!B:O,14,0)+VLOOKUP(D1115,'Species Codes'!B:P,15,0)*LN((E1115*2.54)))-EXP(VLOOKUP(D1115,'Species Codes'!B:O,14,0)+VLOOKUP(D1115,'Species Codes'!B:P,15,0)*LN((E1115*2.54)))*(1/(VLOOKUP(D1115,'Species Codes'!B:Q,16,0)+VLOOKUP(D1115,'Species Codes'!B:R,17,0)*((E1115*2.54)^VLOOKUP(D1115,'Species Codes'!B:S,18,0)))),IF(OR(D1115="BM",D1115="MD",D1115="OA"),EXP(VLOOKUP(D1115,'Species Codes'!B:O,14,0)+VLOOKUP(D1115,'Species Codes'!B:P,15,0)*LN((E1115*2.54)))*(1-(1/(VLOOKUP(D1115,'Species Codes'!B:Q,16,0)+VLOOKUP(D1115,'Species Codes'!B:R,17,0)*((E1115*2.54)^VLOOKUP(D1115,'Species Codes'!B:S,18,0)))))/1000,IF(D1115="DF",EXP(VLOOKUP(D1115,'Species Codes'!B:O,14,0)+VLOOKUP(D1115,'Species Codes'!B:P,15,0)*LN((E1115*2.54))),VLOOKUP(D1115,'Species Codes'!B:O,14,0)+VLOOKUP(D1115,'Species Codes'!B:P,15,0)*(((E1115*2.54)/100)^2)*(I1115*0.3048)))))*0.0011023),0)</f>
        <v>#N/A</v>
      </c>
      <c r="AD1115" s="104" t="e">
        <f t="shared" si="490"/>
        <v>#N/A</v>
      </c>
      <c r="AE1115" s="104" t="e">
        <f t="shared" si="491"/>
        <v>#N/A</v>
      </c>
      <c r="AF1115" s="104" t="e">
        <f>IF(AND(VLOOKUP($D1115,Merchantability!$B:$C,2,0)="Yes",$E1115&gt;=VLOOKUP($D1115,Merchantability!$B:$D,3,0),$E1115&lt;=VLOOKUP($D1115,Merchantability!$B:$E,4,0)),AA1115,0)</f>
        <v>#N/A</v>
      </c>
      <c r="AG1115" s="104" t="e">
        <f>IF(AND(VLOOKUP($D1115,Merchantability!$B:$C,2,0)="Yes",$E1115&gt;=VLOOKUP($D1115,Merchantability!$B:$D,3,0),$E1115&lt;=VLOOKUP($D1115,Merchantability!$B:$E,4,0)),AB1115,0)</f>
        <v>#N/A</v>
      </c>
      <c r="AH1115" s="104" t="e">
        <f>IF(AND(VLOOKUP($D1115,Merchantability!$B:$C,2,0)="Yes",$E1115&gt;=VLOOKUP($D1115,Merchantability!$B:$D,3,0),$E1115&lt;=VLOOKUP($D1115,Merchantability!$B:$E,4,0)),AC1115,0)</f>
        <v>#N/A</v>
      </c>
      <c r="AI1115" s="104" t="e">
        <f t="shared" si="492"/>
        <v>#N/A</v>
      </c>
      <c r="AJ1115" s="104" t="e">
        <f t="shared" si="493"/>
        <v>#VALUE!</v>
      </c>
      <c r="AK1115" s="104" t="e">
        <f t="shared" si="494"/>
        <v>#N/A</v>
      </c>
      <c r="AL1115" s="104" t="e">
        <f t="shared" si="495"/>
        <v>#N/A</v>
      </c>
      <c r="AM1115" s="104" t="e">
        <f t="shared" si="496"/>
        <v>#N/A</v>
      </c>
      <c r="AN1115" s="104" t="e">
        <f t="shared" si="507"/>
        <v>#N/A</v>
      </c>
      <c r="AO1115" s="104" t="e">
        <f t="shared" si="508"/>
        <v>#N/A</v>
      </c>
      <c r="AP1115" s="104" t="e">
        <f t="shared" si="509"/>
        <v>#N/A</v>
      </c>
      <c r="AQ1115" s="104" t="e">
        <f t="shared" si="510"/>
        <v>#N/A</v>
      </c>
      <c r="AR1115" s="105" t="str">
        <f t="shared" si="502"/>
        <v/>
      </c>
      <c r="AS1115" s="105" t="str">
        <f t="shared" si="503"/>
        <v/>
      </c>
      <c r="AT1115" s="108" t="str">
        <f t="shared" si="504"/>
        <v/>
      </c>
      <c r="AU1115" s="108" t="str">
        <f t="shared" si="505"/>
        <v/>
      </c>
      <c r="AV1115" s="107" t="str">
        <f>IF(ISNUMBER(O1115),IF(VLOOKUP($A1115,Stand!C:J,8,FALSE)="Short",AT1115,AU1115),"")</f>
        <v/>
      </c>
      <c r="AW1115" s="109" t="str">
        <f t="shared" si="511"/>
        <v/>
      </c>
      <c r="AX1115" s="109" t="str">
        <f t="shared" si="512"/>
        <v/>
      </c>
      <c r="AY1115" s="112" t="str">
        <f>IF(ISNUMBER(O1115),IF(AND(VLOOKUP($D1115,Merchantability!$B:$C,2,0)="Yes",$E1115&gt;=VLOOKUP($D1115,Merchantability!$B:$D,3,0),$E1115&lt;=VLOOKUP($D1115,Merchantability!$B:$E,4,0)),(AV1115*O1115)*(1-$H1115/100),""),"")</f>
        <v/>
      </c>
      <c r="AZ1115" s="116"/>
      <c r="BA1115" s="116"/>
      <c r="BB1115" s="116"/>
      <c r="BE1115" s="62"/>
      <c r="BF1115" s="63"/>
    </row>
    <row r="1116" spans="1:58" ht="12.75" customHeight="1" x14ac:dyDescent="0.25">
      <c r="A1116" s="313"/>
      <c r="B1116" s="328"/>
      <c r="C1116" s="329"/>
      <c r="D1116" s="328"/>
      <c r="E1116" s="330"/>
      <c r="F1116" s="328"/>
      <c r="G1116" s="329"/>
      <c r="H1116" s="329"/>
      <c r="I1116" s="328"/>
      <c r="J1116" s="383"/>
      <c r="K1116" s="329"/>
      <c r="L1116" s="329"/>
      <c r="M1116" s="76"/>
      <c r="N1116" s="103" t="str">
        <f>IF(A1116="","",VLOOKUP(A1116,Stand!C:K,9,0))</f>
        <v/>
      </c>
      <c r="O1116" s="104" t="str">
        <f t="shared" si="497"/>
        <v/>
      </c>
      <c r="P1116" s="105" t="str">
        <f t="shared" si="498"/>
        <v/>
      </c>
      <c r="Q1116" s="105" t="str">
        <f t="shared" si="486"/>
        <v/>
      </c>
      <c r="R1116" s="103" t="str">
        <f t="shared" si="499"/>
        <v/>
      </c>
      <c r="S1116" s="103" t="str">
        <f t="shared" si="500"/>
        <v/>
      </c>
      <c r="T1116" s="106" t="str">
        <f t="shared" si="487"/>
        <v/>
      </c>
      <c r="U1116" s="106" t="str">
        <f t="shared" si="488"/>
        <v/>
      </c>
      <c r="V1116" s="106" t="str">
        <f t="shared" si="489"/>
        <v/>
      </c>
      <c r="W1116" s="105" t="str">
        <f t="shared" si="501"/>
        <v/>
      </c>
      <c r="X1116" s="104" t="str">
        <f t="shared" si="506"/>
        <v/>
      </c>
      <c r="Y1116" s="104" t="str">
        <f t="array" ref="Y1116">IFERROR(IF(ISNUMBER(O1116),IF(COUNT(IF(A1116=$A$2:$A$2427,IF(D1116=$D$2:$D$2427,IF($X$2:$X$2427&gt;0,1))))&gt;0,SUM(IF(A1116=$A$2:$A$2427,IF(D1116=$D$2:$D$2427,$X$2:$X$2427)))/COUNT(IF(A1116=$A$2:$A$2427,IF(D1116=$D$2:$D$2427,IF(ISNUMBER($X$2:$X$2427),1)))),0),""),0)</f>
        <v/>
      </c>
      <c r="Z1116" s="104" t="str">
        <f>IF(ISNUMBER(O1116),IF(I1116&gt;0,(10^(VLOOKUP(D1116,'Species Codes'!B:C,2,0)+VLOOKUP(D1116,'Species Codes'!B:D,3,0)*LOG(E1116)+VLOOKUP(D1116,'Species Codes'!B:E,4,0)*LOG(I1116))),0),"")</f>
        <v/>
      </c>
      <c r="AA1116" s="104" t="str">
        <f>IFERROR((VLOOKUP(D1116,'Species Codes'!B:G,6,0)*Z1116)/2000,"")</f>
        <v/>
      </c>
      <c r="AB1116" s="104" t="e">
        <f>IF(Z1116&gt;0,((IF(OR(D1116="DF",D1116="RA")=TRUE,EXP(VLOOKUP(D1116,'Species Codes'!B:I,8,0)+VLOOKUP(D1116,'Species Codes'!B:J,9,0)*(LN((E1116*2.54)))),IF(OR(D1116="PY",D1116="RC",D1116="WH",D1116="NF")=TRUE,VLOOKUP(D1116,'Species Codes'!B:I,8,0)+VLOOKUP(D1116,'Species Codes'!B:J,9,0)*((E1116*2.54)^2)*(I1116*0.3048),IF(OR(D1116="MD",D1116="BM",D1116="GA")=TRUE,((VLOOKUP(D1116,'Species Codes'!B:I,8,0)*(((((E1116*2.54)+VLOOKUP(D1116,'Species Codes'!B:J,9,0))/VLOOKUP(D1116,'Species Codes'!B:K,10,0))^VLOOKUP(D1116,'Species Codes'!B:L,11,0))*((I1116*0.3048)^VLOOKUP(D1116,'Species Codes'!B:M,12,0))))-(VLOOKUP(D1116,'Species Codes'!B:I,8,0)*((((E1116*2.54)^VLOOKUP(D1116,'Species Codes'!B:L,11,0))*((I1116*0.3048)^VLOOKUP(D1116,'Species Codes'!B:M,12,0))))))*35.3*VLOOKUP(D1116,'Species Codes'!B:G,6,0)/2.2046,VLOOKUP(D1116,'Species Codes'!B:I,8,0)+VLOOKUP(D1116,'Species Codes'!B:J,9,0)*(((E1116*2.54)/100)^2)*(I1116*0.3048)))))*0.0011023),0)</f>
        <v>#N/A</v>
      </c>
      <c r="AC1116" s="104" t="e">
        <f>IF(Z1116&gt;0,((IF(OR(D1116="RA",D1116="OA",D1116="OT",D1116="UN",D1116="PC"),EXP(VLOOKUP(D1116,'Species Codes'!B:O,14,0)+VLOOKUP(D1116,'Species Codes'!B:P,15,0)*LN((E1116*2.54)))-EXP(VLOOKUP(D1116,'Species Codes'!B:O,14,0)+VLOOKUP(D1116,'Species Codes'!B:P,15,0)*LN((E1116*2.54)))*(1/(VLOOKUP(D1116,'Species Codes'!B:Q,16,0)+VLOOKUP(D1116,'Species Codes'!B:R,17,0)*((E1116*2.54)^VLOOKUP(D1116,'Species Codes'!B:S,18,0)))),IF(OR(D1116="BM",D1116="MD",D1116="OA"),EXP(VLOOKUP(D1116,'Species Codes'!B:O,14,0)+VLOOKUP(D1116,'Species Codes'!B:P,15,0)*LN((E1116*2.54)))*(1-(1/(VLOOKUP(D1116,'Species Codes'!B:Q,16,0)+VLOOKUP(D1116,'Species Codes'!B:R,17,0)*((E1116*2.54)^VLOOKUP(D1116,'Species Codes'!B:S,18,0)))))/1000,IF(D1116="DF",EXP(VLOOKUP(D1116,'Species Codes'!B:O,14,0)+VLOOKUP(D1116,'Species Codes'!B:P,15,0)*LN((E1116*2.54))),VLOOKUP(D1116,'Species Codes'!B:O,14,0)+VLOOKUP(D1116,'Species Codes'!B:P,15,0)*(((E1116*2.54)/100)^2)*(I1116*0.3048)))))*0.0011023),0)</f>
        <v>#N/A</v>
      </c>
      <c r="AD1116" s="104" t="e">
        <f t="shared" si="490"/>
        <v>#N/A</v>
      </c>
      <c r="AE1116" s="104" t="e">
        <f t="shared" si="491"/>
        <v>#N/A</v>
      </c>
      <c r="AF1116" s="104" t="e">
        <f>IF(AND(VLOOKUP($D1116,Merchantability!$B:$C,2,0)="Yes",$E1116&gt;=VLOOKUP($D1116,Merchantability!$B:$D,3,0),$E1116&lt;=VLOOKUP($D1116,Merchantability!$B:$E,4,0)),AA1116,0)</f>
        <v>#N/A</v>
      </c>
      <c r="AG1116" s="104" t="e">
        <f>IF(AND(VLOOKUP($D1116,Merchantability!$B:$C,2,0)="Yes",$E1116&gt;=VLOOKUP($D1116,Merchantability!$B:$D,3,0),$E1116&lt;=VLOOKUP($D1116,Merchantability!$B:$E,4,0)),AB1116,0)</f>
        <v>#N/A</v>
      </c>
      <c r="AH1116" s="104" t="e">
        <f>IF(AND(VLOOKUP($D1116,Merchantability!$B:$C,2,0)="Yes",$E1116&gt;=VLOOKUP($D1116,Merchantability!$B:$D,3,0),$E1116&lt;=VLOOKUP($D1116,Merchantability!$B:$E,4,0)),AC1116,0)</f>
        <v>#N/A</v>
      </c>
      <c r="AI1116" s="104" t="e">
        <f t="shared" si="492"/>
        <v>#N/A</v>
      </c>
      <c r="AJ1116" s="104" t="e">
        <f t="shared" si="493"/>
        <v>#VALUE!</v>
      </c>
      <c r="AK1116" s="104" t="e">
        <f t="shared" si="494"/>
        <v>#N/A</v>
      </c>
      <c r="AL1116" s="104" t="e">
        <f t="shared" si="495"/>
        <v>#N/A</v>
      </c>
      <c r="AM1116" s="104" t="e">
        <f t="shared" si="496"/>
        <v>#N/A</v>
      </c>
      <c r="AN1116" s="104" t="e">
        <f t="shared" si="507"/>
        <v>#N/A</v>
      </c>
      <c r="AO1116" s="104" t="e">
        <f t="shared" si="508"/>
        <v>#N/A</v>
      </c>
      <c r="AP1116" s="104" t="e">
        <f t="shared" si="509"/>
        <v>#N/A</v>
      </c>
      <c r="AQ1116" s="104" t="e">
        <f t="shared" si="510"/>
        <v>#N/A</v>
      </c>
      <c r="AR1116" s="105" t="str">
        <f t="shared" si="502"/>
        <v/>
      </c>
      <c r="AS1116" s="105" t="str">
        <f t="shared" si="503"/>
        <v/>
      </c>
      <c r="AT1116" s="108" t="str">
        <f t="shared" si="504"/>
        <v/>
      </c>
      <c r="AU1116" s="108" t="str">
        <f t="shared" si="505"/>
        <v/>
      </c>
      <c r="AV1116" s="107" t="str">
        <f>IF(ISNUMBER(O1116),IF(VLOOKUP($A1116,Stand!C:J,8,FALSE)="Short",AT1116,AU1116),"")</f>
        <v/>
      </c>
      <c r="AW1116" s="109" t="str">
        <f t="shared" si="511"/>
        <v/>
      </c>
      <c r="AX1116" s="109" t="str">
        <f t="shared" si="512"/>
        <v/>
      </c>
      <c r="AY1116" s="112" t="str">
        <f>IF(ISNUMBER(O1116),IF(AND(VLOOKUP($D1116,Merchantability!$B:$C,2,0)="Yes",$E1116&gt;=VLOOKUP($D1116,Merchantability!$B:$D,3,0),$E1116&lt;=VLOOKUP($D1116,Merchantability!$B:$E,4,0)),(AV1116*O1116)*(1-$H1116/100),""),"")</f>
        <v/>
      </c>
      <c r="AZ1116" s="116"/>
      <c r="BA1116" s="116"/>
      <c r="BB1116" s="116"/>
      <c r="BE1116" s="62"/>
      <c r="BF1116" s="63"/>
    </row>
    <row r="1117" spans="1:58" ht="12.75" customHeight="1" x14ac:dyDescent="0.25">
      <c r="A1117" s="313"/>
      <c r="B1117" s="328"/>
      <c r="C1117" s="329"/>
      <c r="D1117" s="328"/>
      <c r="E1117" s="330"/>
      <c r="F1117" s="328"/>
      <c r="G1117" s="329"/>
      <c r="H1117" s="329"/>
      <c r="I1117" s="328"/>
      <c r="J1117" s="383"/>
      <c r="K1117" s="329"/>
      <c r="L1117" s="329"/>
      <c r="M1117" s="76"/>
      <c r="N1117" s="103" t="str">
        <f>IF(A1117="","",VLOOKUP(A1117,Stand!C:K,9,0))</f>
        <v/>
      </c>
      <c r="O1117" s="104" t="str">
        <f t="shared" si="497"/>
        <v/>
      </c>
      <c r="P1117" s="105" t="str">
        <f t="shared" si="498"/>
        <v/>
      </c>
      <c r="Q1117" s="105" t="str">
        <f t="shared" ref="Q1117:Q1180" si="513">IF(AND(ISNUMBER(O1117),I1117&gt;0),I1117*O1117,"")</f>
        <v/>
      </c>
      <c r="R1117" s="103" t="str">
        <f t="shared" si="499"/>
        <v/>
      </c>
      <c r="S1117" s="103" t="str">
        <f t="shared" si="500"/>
        <v/>
      </c>
      <c r="T1117" s="106" t="str">
        <f t="shared" ref="T1117:T1180" si="514">IF(AND(ISNUMBER(O1117),J1117&gt;0),J1117/100,"")</f>
        <v/>
      </c>
      <c r="U1117" s="106" t="str">
        <f t="shared" ref="U1117:U1180" si="515">IF(AND(ISNUMBER(O1117),J1117&gt;0),T1117*O1117,"")</f>
        <v/>
      </c>
      <c r="V1117" s="106" t="str">
        <f t="shared" ref="V1117:V1180" si="516">IF(AND(ISNUMBER(O1117),I1117&gt;0),W1117*O1117,"")</f>
        <v/>
      </c>
      <c r="W1117" s="105" t="str">
        <f t="shared" si="501"/>
        <v/>
      </c>
      <c r="X1117" s="104" t="str">
        <f t="shared" si="506"/>
        <v/>
      </c>
      <c r="Y1117" s="104" t="str">
        <f t="array" ref="Y1117">IFERROR(IF(ISNUMBER(O1117),IF(COUNT(IF(A1117=$A$2:$A$2427,IF(D1117=$D$2:$D$2427,IF($X$2:$X$2427&gt;0,1))))&gt;0,SUM(IF(A1117=$A$2:$A$2427,IF(D1117=$D$2:$D$2427,$X$2:$X$2427)))/COUNT(IF(A1117=$A$2:$A$2427,IF(D1117=$D$2:$D$2427,IF(ISNUMBER($X$2:$X$2427),1)))),0),""),0)</f>
        <v/>
      </c>
      <c r="Z1117" s="104" t="str">
        <f>IF(ISNUMBER(O1117),IF(I1117&gt;0,(10^(VLOOKUP(D1117,'Species Codes'!B:C,2,0)+VLOOKUP(D1117,'Species Codes'!B:D,3,0)*LOG(E1117)+VLOOKUP(D1117,'Species Codes'!B:E,4,0)*LOG(I1117))),0),"")</f>
        <v/>
      </c>
      <c r="AA1117" s="104" t="str">
        <f>IFERROR((VLOOKUP(D1117,'Species Codes'!B:G,6,0)*Z1117)/2000,"")</f>
        <v/>
      </c>
      <c r="AB1117" s="104" t="e">
        <f>IF(Z1117&gt;0,((IF(OR(D1117="DF",D1117="RA")=TRUE,EXP(VLOOKUP(D1117,'Species Codes'!B:I,8,0)+VLOOKUP(D1117,'Species Codes'!B:J,9,0)*(LN((E1117*2.54)))),IF(OR(D1117="PY",D1117="RC",D1117="WH",D1117="NF")=TRUE,VLOOKUP(D1117,'Species Codes'!B:I,8,0)+VLOOKUP(D1117,'Species Codes'!B:J,9,0)*((E1117*2.54)^2)*(I1117*0.3048),IF(OR(D1117="MD",D1117="BM",D1117="GA")=TRUE,((VLOOKUP(D1117,'Species Codes'!B:I,8,0)*(((((E1117*2.54)+VLOOKUP(D1117,'Species Codes'!B:J,9,0))/VLOOKUP(D1117,'Species Codes'!B:K,10,0))^VLOOKUP(D1117,'Species Codes'!B:L,11,0))*((I1117*0.3048)^VLOOKUP(D1117,'Species Codes'!B:M,12,0))))-(VLOOKUP(D1117,'Species Codes'!B:I,8,0)*((((E1117*2.54)^VLOOKUP(D1117,'Species Codes'!B:L,11,0))*((I1117*0.3048)^VLOOKUP(D1117,'Species Codes'!B:M,12,0))))))*35.3*VLOOKUP(D1117,'Species Codes'!B:G,6,0)/2.2046,VLOOKUP(D1117,'Species Codes'!B:I,8,0)+VLOOKUP(D1117,'Species Codes'!B:J,9,0)*(((E1117*2.54)/100)^2)*(I1117*0.3048)))))*0.0011023),0)</f>
        <v>#N/A</v>
      </c>
      <c r="AC1117" s="104" t="e">
        <f>IF(Z1117&gt;0,((IF(OR(D1117="RA",D1117="OA",D1117="OT",D1117="UN",D1117="PC"),EXP(VLOOKUP(D1117,'Species Codes'!B:O,14,0)+VLOOKUP(D1117,'Species Codes'!B:P,15,0)*LN((E1117*2.54)))-EXP(VLOOKUP(D1117,'Species Codes'!B:O,14,0)+VLOOKUP(D1117,'Species Codes'!B:P,15,0)*LN((E1117*2.54)))*(1/(VLOOKUP(D1117,'Species Codes'!B:Q,16,0)+VLOOKUP(D1117,'Species Codes'!B:R,17,0)*((E1117*2.54)^VLOOKUP(D1117,'Species Codes'!B:S,18,0)))),IF(OR(D1117="BM",D1117="MD",D1117="OA"),EXP(VLOOKUP(D1117,'Species Codes'!B:O,14,0)+VLOOKUP(D1117,'Species Codes'!B:P,15,0)*LN((E1117*2.54)))*(1-(1/(VLOOKUP(D1117,'Species Codes'!B:Q,16,0)+VLOOKUP(D1117,'Species Codes'!B:R,17,0)*((E1117*2.54)^VLOOKUP(D1117,'Species Codes'!B:S,18,0)))))/1000,IF(D1117="DF",EXP(VLOOKUP(D1117,'Species Codes'!B:O,14,0)+VLOOKUP(D1117,'Species Codes'!B:P,15,0)*LN((E1117*2.54))),VLOOKUP(D1117,'Species Codes'!B:O,14,0)+VLOOKUP(D1117,'Species Codes'!B:P,15,0)*(((E1117*2.54)/100)^2)*(I1117*0.3048)))))*0.0011023),0)</f>
        <v>#N/A</v>
      </c>
      <c r="AD1117" s="104" t="e">
        <f t="shared" ref="AD1117:AD1180" si="517">SUM(AA1117:AC1117)</f>
        <v>#N/A</v>
      </c>
      <c r="AE1117" s="104" t="e">
        <f t="shared" ref="AE1117:AE1180" si="518">AD1117*O1117</f>
        <v>#N/A</v>
      </c>
      <c r="AF1117" s="104" t="e">
        <f>IF(AND(VLOOKUP($D1117,Merchantability!$B:$C,2,0)="Yes",$E1117&gt;=VLOOKUP($D1117,Merchantability!$B:$D,3,0),$E1117&lt;=VLOOKUP($D1117,Merchantability!$B:$E,4,0)),AA1117,0)</f>
        <v>#N/A</v>
      </c>
      <c r="AG1117" s="104" t="e">
        <f>IF(AND(VLOOKUP($D1117,Merchantability!$B:$C,2,0)="Yes",$E1117&gt;=VLOOKUP($D1117,Merchantability!$B:$D,3,0),$E1117&lt;=VLOOKUP($D1117,Merchantability!$B:$E,4,0)),AB1117,0)</f>
        <v>#N/A</v>
      </c>
      <c r="AH1117" s="104" t="e">
        <f>IF(AND(VLOOKUP($D1117,Merchantability!$B:$C,2,0)="Yes",$E1117&gt;=VLOOKUP($D1117,Merchantability!$B:$D,3,0),$E1117&lt;=VLOOKUP($D1117,Merchantability!$B:$E,4,0)),AC1117,0)</f>
        <v>#N/A</v>
      </c>
      <c r="AI1117" s="104" t="e">
        <f t="shared" ref="AI1117:AI1180" si="519">SUM(AF1117:AH1117)</f>
        <v>#N/A</v>
      </c>
      <c r="AJ1117" s="104" t="e">
        <f t="shared" ref="AJ1117:AJ1180" si="520">AA1117*$O1117</f>
        <v>#VALUE!</v>
      </c>
      <c r="AK1117" s="104" t="e">
        <f t="shared" ref="AK1117:AK1180" si="521">AB1117*$O1117</f>
        <v>#N/A</v>
      </c>
      <c r="AL1117" s="104" t="e">
        <f t="shared" ref="AL1117:AL1180" si="522">AC1117*$O1117</f>
        <v>#N/A</v>
      </c>
      <c r="AM1117" s="104" t="e">
        <f t="shared" ref="AM1117:AM1180" si="523">AD1117*$O1117</f>
        <v>#N/A</v>
      </c>
      <c r="AN1117" s="104" t="e">
        <f t="shared" si="507"/>
        <v>#N/A</v>
      </c>
      <c r="AO1117" s="104" t="e">
        <f t="shared" si="508"/>
        <v>#N/A</v>
      </c>
      <c r="AP1117" s="104" t="e">
        <f t="shared" si="509"/>
        <v>#N/A</v>
      </c>
      <c r="AQ1117" s="104" t="e">
        <f t="shared" si="510"/>
        <v>#N/A</v>
      </c>
      <c r="AR1117" s="105" t="str">
        <f t="shared" si="502"/>
        <v/>
      </c>
      <c r="AS1117" s="105" t="str">
        <f t="shared" si="503"/>
        <v/>
      </c>
      <c r="AT1117" s="108" t="str">
        <f t="shared" si="504"/>
        <v/>
      </c>
      <c r="AU1117" s="108" t="str">
        <f t="shared" si="505"/>
        <v/>
      </c>
      <c r="AV1117" s="107" t="str">
        <f>IF(ISNUMBER(O1117),IF(VLOOKUP($A1117,Stand!C:J,8,FALSE)="Short",AT1117,AU1117),"")</f>
        <v/>
      </c>
      <c r="AW1117" s="109" t="str">
        <f t="shared" si="511"/>
        <v/>
      </c>
      <c r="AX1117" s="109" t="str">
        <f t="shared" si="512"/>
        <v/>
      </c>
      <c r="AY1117" s="112" t="str">
        <f>IF(ISNUMBER(O1117),IF(AND(VLOOKUP($D1117,Merchantability!$B:$C,2,0)="Yes",$E1117&gt;=VLOOKUP($D1117,Merchantability!$B:$D,3,0),$E1117&lt;=VLOOKUP($D1117,Merchantability!$B:$E,4,0)),(AV1117*O1117)*(1-$H1117/100),""),"")</f>
        <v/>
      </c>
      <c r="AZ1117" s="116"/>
      <c r="BA1117" s="116"/>
      <c r="BB1117" s="116"/>
      <c r="BE1117" s="62"/>
      <c r="BF1117" s="63"/>
    </row>
    <row r="1118" spans="1:58" ht="12.75" customHeight="1" x14ac:dyDescent="0.25">
      <c r="A1118" s="313"/>
      <c r="B1118" s="328"/>
      <c r="C1118" s="329"/>
      <c r="D1118" s="328"/>
      <c r="E1118" s="330"/>
      <c r="F1118" s="328"/>
      <c r="G1118" s="329"/>
      <c r="H1118" s="329"/>
      <c r="I1118" s="328"/>
      <c r="J1118" s="383"/>
      <c r="K1118" s="329"/>
      <c r="L1118" s="329"/>
      <c r="M1118" s="76"/>
      <c r="N1118" s="103" t="str">
        <f>IF(A1118="","",VLOOKUP(A1118,Stand!C:K,9,0))</f>
        <v/>
      </c>
      <c r="O1118" s="104" t="str">
        <f t="shared" si="497"/>
        <v/>
      </c>
      <c r="P1118" s="105" t="str">
        <f t="shared" si="498"/>
        <v/>
      </c>
      <c r="Q1118" s="105" t="str">
        <f t="shared" si="513"/>
        <v/>
      </c>
      <c r="R1118" s="103" t="str">
        <f t="shared" si="499"/>
        <v/>
      </c>
      <c r="S1118" s="103" t="str">
        <f t="shared" si="500"/>
        <v/>
      </c>
      <c r="T1118" s="106" t="str">
        <f t="shared" si="514"/>
        <v/>
      </c>
      <c r="U1118" s="106" t="str">
        <f t="shared" si="515"/>
        <v/>
      </c>
      <c r="V1118" s="106" t="str">
        <f t="shared" si="516"/>
        <v/>
      </c>
      <c r="W1118" s="105" t="str">
        <f t="shared" si="501"/>
        <v/>
      </c>
      <c r="X1118" s="104" t="str">
        <f t="shared" si="506"/>
        <v/>
      </c>
      <c r="Y1118" s="104" t="str">
        <f t="array" ref="Y1118">IFERROR(IF(ISNUMBER(O1118),IF(COUNT(IF(A1118=$A$2:$A$2427,IF(D1118=$D$2:$D$2427,IF($X$2:$X$2427&gt;0,1))))&gt;0,SUM(IF(A1118=$A$2:$A$2427,IF(D1118=$D$2:$D$2427,$X$2:$X$2427)))/COUNT(IF(A1118=$A$2:$A$2427,IF(D1118=$D$2:$D$2427,IF(ISNUMBER($X$2:$X$2427),1)))),0),""),0)</f>
        <v/>
      </c>
      <c r="Z1118" s="104" t="str">
        <f>IF(ISNUMBER(O1118),IF(I1118&gt;0,(10^(VLOOKUP(D1118,'Species Codes'!B:C,2,0)+VLOOKUP(D1118,'Species Codes'!B:D,3,0)*LOG(E1118)+VLOOKUP(D1118,'Species Codes'!B:E,4,0)*LOG(I1118))),0),"")</f>
        <v/>
      </c>
      <c r="AA1118" s="104" t="str">
        <f>IFERROR((VLOOKUP(D1118,'Species Codes'!B:G,6,0)*Z1118)/2000,"")</f>
        <v/>
      </c>
      <c r="AB1118" s="104" t="e">
        <f>IF(Z1118&gt;0,((IF(OR(D1118="DF",D1118="RA")=TRUE,EXP(VLOOKUP(D1118,'Species Codes'!B:I,8,0)+VLOOKUP(D1118,'Species Codes'!B:J,9,0)*(LN((E1118*2.54)))),IF(OR(D1118="PY",D1118="RC",D1118="WH",D1118="NF")=TRUE,VLOOKUP(D1118,'Species Codes'!B:I,8,0)+VLOOKUP(D1118,'Species Codes'!B:J,9,0)*((E1118*2.54)^2)*(I1118*0.3048),IF(OR(D1118="MD",D1118="BM",D1118="GA")=TRUE,((VLOOKUP(D1118,'Species Codes'!B:I,8,0)*(((((E1118*2.54)+VLOOKUP(D1118,'Species Codes'!B:J,9,0))/VLOOKUP(D1118,'Species Codes'!B:K,10,0))^VLOOKUP(D1118,'Species Codes'!B:L,11,0))*((I1118*0.3048)^VLOOKUP(D1118,'Species Codes'!B:M,12,0))))-(VLOOKUP(D1118,'Species Codes'!B:I,8,0)*((((E1118*2.54)^VLOOKUP(D1118,'Species Codes'!B:L,11,0))*((I1118*0.3048)^VLOOKUP(D1118,'Species Codes'!B:M,12,0))))))*35.3*VLOOKUP(D1118,'Species Codes'!B:G,6,0)/2.2046,VLOOKUP(D1118,'Species Codes'!B:I,8,0)+VLOOKUP(D1118,'Species Codes'!B:J,9,0)*(((E1118*2.54)/100)^2)*(I1118*0.3048)))))*0.0011023),0)</f>
        <v>#N/A</v>
      </c>
      <c r="AC1118" s="104" t="e">
        <f>IF(Z1118&gt;0,((IF(OR(D1118="RA",D1118="OA",D1118="OT",D1118="UN",D1118="PC"),EXP(VLOOKUP(D1118,'Species Codes'!B:O,14,0)+VLOOKUP(D1118,'Species Codes'!B:P,15,0)*LN((E1118*2.54)))-EXP(VLOOKUP(D1118,'Species Codes'!B:O,14,0)+VLOOKUP(D1118,'Species Codes'!B:P,15,0)*LN((E1118*2.54)))*(1/(VLOOKUP(D1118,'Species Codes'!B:Q,16,0)+VLOOKUP(D1118,'Species Codes'!B:R,17,0)*((E1118*2.54)^VLOOKUP(D1118,'Species Codes'!B:S,18,0)))),IF(OR(D1118="BM",D1118="MD",D1118="OA"),EXP(VLOOKUP(D1118,'Species Codes'!B:O,14,0)+VLOOKUP(D1118,'Species Codes'!B:P,15,0)*LN((E1118*2.54)))*(1-(1/(VLOOKUP(D1118,'Species Codes'!B:Q,16,0)+VLOOKUP(D1118,'Species Codes'!B:R,17,0)*((E1118*2.54)^VLOOKUP(D1118,'Species Codes'!B:S,18,0)))))/1000,IF(D1118="DF",EXP(VLOOKUP(D1118,'Species Codes'!B:O,14,0)+VLOOKUP(D1118,'Species Codes'!B:P,15,0)*LN((E1118*2.54))),VLOOKUP(D1118,'Species Codes'!B:O,14,0)+VLOOKUP(D1118,'Species Codes'!B:P,15,0)*(((E1118*2.54)/100)^2)*(I1118*0.3048)))))*0.0011023),0)</f>
        <v>#N/A</v>
      </c>
      <c r="AD1118" s="104" t="e">
        <f t="shared" si="517"/>
        <v>#N/A</v>
      </c>
      <c r="AE1118" s="104" t="e">
        <f t="shared" si="518"/>
        <v>#N/A</v>
      </c>
      <c r="AF1118" s="104" t="e">
        <f>IF(AND(VLOOKUP($D1118,Merchantability!$B:$C,2,0)="Yes",$E1118&gt;=VLOOKUP($D1118,Merchantability!$B:$D,3,0),$E1118&lt;=VLOOKUP($D1118,Merchantability!$B:$E,4,0)),AA1118,0)</f>
        <v>#N/A</v>
      </c>
      <c r="AG1118" s="104" t="e">
        <f>IF(AND(VLOOKUP($D1118,Merchantability!$B:$C,2,0)="Yes",$E1118&gt;=VLOOKUP($D1118,Merchantability!$B:$D,3,0),$E1118&lt;=VLOOKUP($D1118,Merchantability!$B:$E,4,0)),AB1118,0)</f>
        <v>#N/A</v>
      </c>
      <c r="AH1118" s="104" t="e">
        <f>IF(AND(VLOOKUP($D1118,Merchantability!$B:$C,2,0)="Yes",$E1118&gt;=VLOOKUP($D1118,Merchantability!$B:$D,3,0),$E1118&lt;=VLOOKUP($D1118,Merchantability!$B:$E,4,0)),AC1118,0)</f>
        <v>#N/A</v>
      </c>
      <c r="AI1118" s="104" t="e">
        <f t="shared" si="519"/>
        <v>#N/A</v>
      </c>
      <c r="AJ1118" s="104" t="e">
        <f t="shared" si="520"/>
        <v>#VALUE!</v>
      </c>
      <c r="AK1118" s="104" t="e">
        <f t="shared" si="521"/>
        <v>#N/A</v>
      </c>
      <c r="AL1118" s="104" t="e">
        <f t="shared" si="522"/>
        <v>#N/A</v>
      </c>
      <c r="AM1118" s="104" t="e">
        <f t="shared" si="523"/>
        <v>#N/A</v>
      </c>
      <c r="AN1118" s="104" t="e">
        <f t="shared" si="507"/>
        <v>#N/A</v>
      </c>
      <c r="AO1118" s="104" t="e">
        <f t="shared" si="508"/>
        <v>#N/A</v>
      </c>
      <c r="AP1118" s="104" t="e">
        <f t="shared" si="509"/>
        <v>#N/A</v>
      </c>
      <c r="AQ1118" s="104" t="e">
        <f t="shared" si="510"/>
        <v>#N/A</v>
      </c>
      <c r="AR1118" s="105" t="str">
        <f t="shared" si="502"/>
        <v/>
      </c>
      <c r="AS1118" s="105" t="str">
        <f t="shared" si="503"/>
        <v/>
      </c>
      <c r="AT1118" s="108" t="str">
        <f t="shared" si="504"/>
        <v/>
      </c>
      <c r="AU1118" s="108" t="str">
        <f t="shared" si="505"/>
        <v/>
      </c>
      <c r="AV1118" s="107" t="str">
        <f>IF(ISNUMBER(O1118),IF(VLOOKUP($A1118,Stand!C:J,8,FALSE)="Short",AT1118,AU1118),"")</f>
        <v/>
      </c>
      <c r="AW1118" s="109" t="str">
        <f t="shared" si="511"/>
        <v/>
      </c>
      <c r="AX1118" s="109" t="str">
        <f t="shared" si="512"/>
        <v/>
      </c>
      <c r="AY1118" s="112" t="str">
        <f>IF(ISNUMBER(O1118),IF(AND(VLOOKUP($D1118,Merchantability!$B:$C,2,0)="Yes",$E1118&gt;=VLOOKUP($D1118,Merchantability!$B:$D,3,0),$E1118&lt;=VLOOKUP($D1118,Merchantability!$B:$E,4,0)),(AV1118*O1118)*(1-$H1118/100),""),"")</f>
        <v/>
      </c>
      <c r="AZ1118" s="116"/>
      <c r="BA1118" s="116"/>
      <c r="BB1118" s="116"/>
      <c r="BE1118" s="62"/>
      <c r="BF1118" s="63"/>
    </row>
    <row r="1119" spans="1:58" ht="12.75" customHeight="1" x14ac:dyDescent="0.25">
      <c r="A1119" s="313"/>
      <c r="B1119" s="328"/>
      <c r="C1119" s="329"/>
      <c r="D1119" s="328"/>
      <c r="E1119" s="330"/>
      <c r="F1119" s="328"/>
      <c r="G1119" s="329"/>
      <c r="H1119" s="329"/>
      <c r="I1119" s="328"/>
      <c r="J1119" s="383"/>
      <c r="K1119" s="329"/>
      <c r="L1119" s="329"/>
      <c r="M1119" s="76"/>
      <c r="N1119" s="103" t="str">
        <f>IF(A1119="","",VLOOKUP(A1119,Stand!C:K,9,0))</f>
        <v/>
      </c>
      <c r="O1119" s="104" t="str">
        <f t="shared" si="497"/>
        <v/>
      </c>
      <c r="P1119" s="105" t="str">
        <f t="shared" si="498"/>
        <v/>
      </c>
      <c r="Q1119" s="105" t="str">
        <f t="shared" si="513"/>
        <v/>
      </c>
      <c r="R1119" s="103" t="str">
        <f t="shared" si="499"/>
        <v/>
      </c>
      <c r="S1119" s="103" t="str">
        <f t="shared" si="500"/>
        <v/>
      </c>
      <c r="T1119" s="106" t="str">
        <f t="shared" si="514"/>
        <v/>
      </c>
      <c r="U1119" s="106" t="str">
        <f t="shared" si="515"/>
        <v/>
      </c>
      <c r="V1119" s="106" t="str">
        <f t="shared" si="516"/>
        <v/>
      </c>
      <c r="W1119" s="105" t="str">
        <f t="shared" si="501"/>
        <v/>
      </c>
      <c r="X1119" s="104" t="str">
        <f t="shared" si="506"/>
        <v/>
      </c>
      <c r="Y1119" s="104" t="str">
        <f t="array" ref="Y1119">IFERROR(IF(ISNUMBER(O1119),IF(COUNT(IF(A1119=$A$2:$A$2427,IF(D1119=$D$2:$D$2427,IF($X$2:$X$2427&gt;0,1))))&gt;0,SUM(IF(A1119=$A$2:$A$2427,IF(D1119=$D$2:$D$2427,$X$2:$X$2427)))/COUNT(IF(A1119=$A$2:$A$2427,IF(D1119=$D$2:$D$2427,IF(ISNUMBER($X$2:$X$2427),1)))),0),""),0)</f>
        <v/>
      </c>
      <c r="Z1119" s="104" t="str">
        <f>IF(ISNUMBER(O1119),IF(I1119&gt;0,(10^(VLOOKUP(D1119,'Species Codes'!B:C,2,0)+VLOOKUP(D1119,'Species Codes'!B:D,3,0)*LOG(E1119)+VLOOKUP(D1119,'Species Codes'!B:E,4,0)*LOG(I1119))),0),"")</f>
        <v/>
      </c>
      <c r="AA1119" s="104" t="str">
        <f>IFERROR((VLOOKUP(D1119,'Species Codes'!B:G,6,0)*Z1119)/2000,"")</f>
        <v/>
      </c>
      <c r="AB1119" s="104" t="e">
        <f>IF(Z1119&gt;0,((IF(OR(D1119="DF",D1119="RA")=TRUE,EXP(VLOOKUP(D1119,'Species Codes'!B:I,8,0)+VLOOKUP(D1119,'Species Codes'!B:J,9,0)*(LN((E1119*2.54)))),IF(OR(D1119="PY",D1119="RC",D1119="WH",D1119="NF")=TRUE,VLOOKUP(D1119,'Species Codes'!B:I,8,0)+VLOOKUP(D1119,'Species Codes'!B:J,9,0)*((E1119*2.54)^2)*(I1119*0.3048),IF(OR(D1119="MD",D1119="BM",D1119="GA")=TRUE,((VLOOKUP(D1119,'Species Codes'!B:I,8,0)*(((((E1119*2.54)+VLOOKUP(D1119,'Species Codes'!B:J,9,0))/VLOOKUP(D1119,'Species Codes'!B:K,10,0))^VLOOKUP(D1119,'Species Codes'!B:L,11,0))*((I1119*0.3048)^VLOOKUP(D1119,'Species Codes'!B:M,12,0))))-(VLOOKUP(D1119,'Species Codes'!B:I,8,0)*((((E1119*2.54)^VLOOKUP(D1119,'Species Codes'!B:L,11,0))*((I1119*0.3048)^VLOOKUP(D1119,'Species Codes'!B:M,12,0))))))*35.3*VLOOKUP(D1119,'Species Codes'!B:G,6,0)/2.2046,VLOOKUP(D1119,'Species Codes'!B:I,8,0)+VLOOKUP(D1119,'Species Codes'!B:J,9,0)*(((E1119*2.54)/100)^2)*(I1119*0.3048)))))*0.0011023),0)</f>
        <v>#N/A</v>
      </c>
      <c r="AC1119" s="104" t="e">
        <f>IF(Z1119&gt;0,((IF(OR(D1119="RA",D1119="OA",D1119="OT",D1119="UN",D1119="PC"),EXP(VLOOKUP(D1119,'Species Codes'!B:O,14,0)+VLOOKUP(D1119,'Species Codes'!B:P,15,0)*LN((E1119*2.54)))-EXP(VLOOKUP(D1119,'Species Codes'!B:O,14,0)+VLOOKUP(D1119,'Species Codes'!B:P,15,0)*LN((E1119*2.54)))*(1/(VLOOKUP(D1119,'Species Codes'!B:Q,16,0)+VLOOKUP(D1119,'Species Codes'!B:R,17,0)*((E1119*2.54)^VLOOKUP(D1119,'Species Codes'!B:S,18,0)))),IF(OR(D1119="BM",D1119="MD",D1119="OA"),EXP(VLOOKUP(D1119,'Species Codes'!B:O,14,0)+VLOOKUP(D1119,'Species Codes'!B:P,15,0)*LN((E1119*2.54)))*(1-(1/(VLOOKUP(D1119,'Species Codes'!B:Q,16,0)+VLOOKUP(D1119,'Species Codes'!B:R,17,0)*((E1119*2.54)^VLOOKUP(D1119,'Species Codes'!B:S,18,0)))))/1000,IF(D1119="DF",EXP(VLOOKUP(D1119,'Species Codes'!B:O,14,0)+VLOOKUP(D1119,'Species Codes'!B:P,15,0)*LN((E1119*2.54))),VLOOKUP(D1119,'Species Codes'!B:O,14,0)+VLOOKUP(D1119,'Species Codes'!B:P,15,0)*(((E1119*2.54)/100)^2)*(I1119*0.3048)))))*0.0011023),0)</f>
        <v>#N/A</v>
      </c>
      <c r="AD1119" s="104" t="e">
        <f t="shared" si="517"/>
        <v>#N/A</v>
      </c>
      <c r="AE1119" s="104" t="e">
        <f t="shared" si="518"/>
        <v>#N/A</v>
      </c>
      <c r="AF1119" s="104" t="e">
        <f>IF(AND(VLOOKUP($D1119,Merchantability!$B:$C,2,0)="Yes",$E1119&gt;=VLOOKUP($D1119,Merchantability!$B:$D,3,0),$E1119&lt;=VLOOKUP($D1119,Merchantability!$B:$E,4,0)),AA1119,0)</f>
        <v>#N/A</v>
      </c>
      <c r="AG1119" s="104" t="e">
        <f>IF(AND(VLOOKUP($D1119,Merchantability!$B:$C,2,0)="Yes",$E1119&gt;=VLOOKUP($D1119,Merchantability!$B:$D,3,0),$E1119&lt;=VLOOKUP($D1119,Merchantability!$B:$E,4,0)),AB1119,0)</f>
        <v>#N/A</v>
      </c>
      <c r="AH1119" s="104" t="e">
        <f>IF(AND(VLOOKUP($D1119,Merchantability!$B:$C,2,0)="Yes",$E1119&gt;=VLOOKUP($D1119,Merchantability!$B:$D,3,0),$E1119&lt;=VLOOKUP($D1119,Merchantability!$B:$E,4,0)),AC1119,0)</f>
        <v>#N/A</v>
      </c>
      <c r="AI1119" s="104" t="e">
        <f t="shared" si="519"/>
        <v>#N/A</v>
      </c>
      <c r="AJ1119" s="104" t="e">
        <f t="shared" si="520"/>
        <v>#VALUE!</v>
      </c>
      <c r="AK1119" s="104" t="e">
        <f t="shared" si="521"/>
        <v>#N/A</v>
      </c>
      <c r="AL1119" s="104" t="e">
        <f t="shared" si="522"/>
        <v>#N/A</v>
      </c>
      <c r="AM1119" s="104" t="e">
        <f t="shared" si="523"/>
        <v>#N/A</v>
      </c>
      <c r="AN1119" s="104" t="e">
        <f t="shared" si="507"/>
        <v>#N/A</v>
      </c>
      <c r="AO1119" s="104" t="e">
        <f t="shared" si="508"/>
        <v>#N/A</v>
      </c>
      <c r="AP1119" s="104" t="e">
        <f t="shared" si="509"/>
        <v>#N/A</v>
      </c>
      <c r="AQ1119" s="104" t="e">
        <f t="shared" si="510"/>
        <v>#N/A</v>
      </c>
      <c r="AR1119" s="105" t="str">
        <f t="shared" si="502"/>
        <v/>
      </c>
      <c r="AS1119" s="105" t="str">
        <f t="shared" si="503"/>
        <v/>
      </c>
      <c r="AT1119" s="108" t="str">
        <f t="shared" si="504"/>
        <v/>
      </c>
      <c r="AU1119" s="108" t="str">
        <f t="shared" si="505"/>
        <v/>
      </c>
      <c r="AV1119" s="107" t="str">
        <f>IF(ISNUMBER(O1119),IF(VLOOKUP($A1119,Stand!C:J,8,FALSE)="Short",AT1119,AU1119),"")</f>
        <v/>
      </c>
      <c r="AW1119" s="109" t="str">
        <f t="shared" si="511"/>
        <v/>
      </c>
      <c r="AX1119" s="109" t="str">
        <f t="shared" si="512"/>
        <v/>
      </c>
      <c r="AY1119" s="112" t="str">
        <f>IF(ISNUMBER(O1119),IF(AND(VLOOKUP($D1119,Merchantability!$B:$C,2,0)="Yes",$E1119&gt;=VLOOKUP($D1119,Merchantability!$B:$D,3,0),$E1119&lt;=VLOOKUP($D1119,Merchantability!$B:$E,4,0)),(AV1119*O1119)*(1-$H1119/100),""),"")</f>
        <v/>
      </c>
      <c r="AZ1119" s="116"/>
      <c r="BA1119" s="116"/>
      <c r="BB1119" s="116"/>
      <c r="BE1119" s="62"/>
      <c r="BF1119" s="63"/>
    </row>
    <row r="1120" spans="1:58" ht="12.75" customHeight="1" x14ac:dyDescent="0.25">
      <c r="A1120" s="313"/>
      <c r="B1120" s="328"/>
      <c r="C1120" s="329"/>
      <c r="D1120" s="328"/>
      <c r="E1120" s="330"/>
      <c r="F1120" s="328"/>
      <c r="G1120" s="329"/>
      <c r="H1120" s="329"/>
      <c r="I1120" s="328"/>
      <c r="J1120" s="383"/>
      <c r="K1120" s="329"/>
      <c r="L1120" s="329"/>
      <c r="M1120" s="76"/>
      <c r="N1120" s="103" t="str">
        <f>IF(A1120="","",VLOOKUP(A1120,Stand!C:K,9,0))</f>
        <v/>
      </c>
      <c r="O1120" s="104" t="str">
        <f t="shared" si="497"/>
        <v/>
      </c>
      <c r="P1120" s="105" t="str">
        <f t="shared" si="498"/>
        <v/>
      </c>
      <c r="Q1120" s="105" t="str">
        <f t="shared" si="513"/>
        <v/>
      </c>
      <c r="R1120" s="103" t="str">
        <f t="shared" si="499"/>
        <v/>
      </c>
      <c r="S1120" s="103" t="str">
        <f t="shared" si="500"/>
        <v/>
      </c>
      <c r="T1120" s="106" t="str">
        <f t="shared" si="514"/>
        <v/>
      </c>
      <c r="U1120" s="106" t="str">
        <f t="shared" si="515"/>
        <v/>
      </c>
      <c r="V1120" s="106" t="str">
        <f t="shared" si="516"/>
        <v/>
      </c>
      <c r="W1120" s="105" t="str">
        <f t="shared" si="501"/>
        <v/>
      </c>
      <c r="X1120" s="104" t="str">
        <f t="shared" si="506"/>
        <v/>
      </c>
      <c r="Y1120" s="104" t="str">
        <f t="array" ref="Y1120">IFERROR(IF(ISNUMBER(O1120),IF(COUNT(IF(A1120=$A$2:$A$2427,IF(D1120=$D$2:$D$2427,IF($X$2:$X$2427&gt;0,1))))&gt;0,SUM(IF(A1120=$A$2:$A$2427,IF(D1120=$D$2:$D$2427,$X$2:$X$2427)))/COUNT(IF(A1120=$A$2:$A$2427,IF(D1120=$D$2:$D$2427,IF(ISNUMBER($X$2:$X$2427),1)))),0),""),0)</f>
        <v/>
      </c>
      <c r="Z1120" s="104" t="str">
        <f>IF(ISNUMBER(O1120),IF(I1120&gt;0,(10^(VLOOKUP(D1120,'Species Codes'!B:C,2,0)+VLOOKUP(D1120,'Species Codes'!B:D,3,0)*LOG(E1120)+VLOOKUP(D1120,'Species Codes'!B:E,4,0)*LOG(I1120))),0),"")</f>
        <v/>
      </c>
      <c r="AA1120" s="104" t="str">
        <f>IFERROR((VLOOKUP(D1120,'Species Codes'!B:G,6,0)*Z1120)/2000,"")</f>
        <v/>
      </c>
      <c r="AB1120" s="104" t="e">
        <f>IF(Z1120&gt;0,((IF(OR(D1120="DF",D1120="RA")=TRUE,EXP(VLOOKUP(D1120,'Species Codes'!B:I,8,0)+VLOOKUP(D1120,'Species Codes'!B:J,9,0)*(LN((E1120*2.54)))),IF(OR(D1120="PY",D1120="RC",D1120="WH",D1120="NF")=TRUE,VLOOKUP(D1120,'Species Codes'!B:I,8,0)+VLOOKUP(D1120,'Species Codes'!B:J,9,0)*((E1120*2.54)^2)*(I1120*0.3048),IF(OR(D1120="MD",D1120="BM",D1120="GA")=TRUE,((VLOOKUP(D1120,'Species Codes'!B:I,8,0)*(((((E1120*2.54)+VLOOKUP(D1120,'Species Codes'!B:J,9,0))/VLOOKUP(D1120,'Species Codes'!B:K,10,0))^VLOOKUP(D1120,'Species Codes'!B:L,11,0))*((I1120*0.3048)^VLOOKUP(D1120,'Species Codes'!B:M,12,0))))-(VLOOKUP(D1120,'Species Codes'!B:I,8,0)*((((E1120*2.54)^VLOOKUP(D1120,'Species Codes'!B:L,11,0))*((I1120*0.3048)^VLOOKUP(D1120,'Species Codes'!B:M,12,0))))))*35.3*VLOOKUP(D1120,'Species Codes'!B:G,6,0)/2.2046,VLOOKUP(D1120,'Species Codes'!B:I,8,0)+VLOOKUP(D1120,'Species Codes'!B:J,9,0)*(((E1120*2.54)/100)^2)*(I1120*0.3048)))))*0.0011023),0)</f>
        <v>#N/A</v>
      </c>
      <c r="AC1120" s="104" t="e">
        <f>IF(Z1120&gt;0,((IF(OR(D1120="RA",D1120="OA",D1120="OT",D1120="UN",D1120="PC"),EXP(VLOOKUP(D1120,'Species Codes'!B:O,14,0)+VLOOKUP(D1120,'Species Codes'!B:P,15,0)*LN((E1120*2.54)))-EXP(VLOOKUP(D1120,'Species Codes'!B:O,14,0)+VLOOKUP(D1120,'Species Codes'!B:P,15,0)*LN((E1120*2.54)))*(1/(VLOOKUP(D1120,'Species Codes'!B:Q,16,0)+VLOOKUP(D1120,'Species Codes'!B:R,17,0)*((E1120*2.54)^VLOOKUP(D1120,'Species Codes'!B:S,18,0)))),IF(OR(D1120="BM",D1120="MD",D1120="OA"),EXP(VLOOKUP(D1120,'Species Codes'!B:O,14,0)+VLOOKUP(D1120,'Species Codes'!B:P,15,0)*LN((E1120*2.54)))*(1-(1/(VLOOKUP(D1120,'Species Codes'!B:Q,16,0)+VLOOKUP(D1120,'Species Codes'!B:R,17,0)*((E1120*2.54)^VLOOKUP(D1120,'Species Codes'!B:S,18,0)))))/1000,IF(D1120="DF",EXP(VLOOKUP(D1120,'Species Codes'!B:O,14,0)+VLOOKUP(D1120,'Species Codes'!B:P,15,0)*LN((E1120*2.54))),VLOOKUP(D1120,'Species Codes'!B:O,14,0)+VLOOKUP(D1120,'Species Codes'!B:P,15,0)*(((E1120*2.54)/100)^2)*(I1120*0.3048)))))*0.0011023),0)</f>
        <v>#N/A</v>
      </c>
      <c r="AD1120" s="104" t="e">
        <f t="shared" si="517"/>
        <v>#N/A</v>
      </c>
      <c r="AE1120" s="104" t="e">
        <f t="shared" si="518"/>
        <v>#N/A</v>
      </c>
      <c r="AF1120" s="104" t="e">
        <f>IF(AND(VLOOKUP($D1120,Merchantability!$B:$C,2,0)="Yes",$E1120&gt;=VLOOKUP($D1120,Merchantability!$B:$D,3,0),$E1120&lt;=VLOOKUP($D1120,Merchantability!$B:$E,4,0)),AA1120,0)</f>
        <v>#N/A</v>
      </c>
      <c r="AG1120" s="104" t="e">
        <f>IF(AND(VLOOKUP($D1120,Merchantability!$B:$C,2,0)="Yes",$E1120&gt;=VLOOKUP($D1120,Merchantability!$B:$D,3,0),$E1120&lt;=VLOOKUP($D1120,Merchantability!$B:$E,4,0)),AB1120,0)</f>
        <v>#N/A</v>
      </c>
      <c r="AH1120" s="104" t="e">
        <f>IF(AND(VLOOKUP($D1120,Merchantability!$B:$C,2,0)="Yes",$E1120&gt;=VLOOKUP($D1120,Merchantability!$B:$D,3,0),$E1120&lt;=VLOOKUP($D1120,Merchantability!$B:$E,4,0)),AC1120,0)</f>
        <v>#N/A</v>
      </c>
      <c r="AI1120" s="104" t="e">
        <f t="shared" si="519"/>
        <v>#N/A</v>
      </c>
      <c r="AJ1120" s="104" t="e">
        <f t="shared" si="520"/>
        <v>#VALUE!</v>
      </c>
      <c r="AK1120" s="104" t="e">
        <f t="shared" si="521"/>
        <v>#N/A</v>
      </c>
      <c r="AL1120" s="104" t="e">
        <f t="shared" si="522"/>
        <v>#N/A</v>
      </c>
      <c r="AM1120" s="104" t="e">
        <f t="shared" si="523"/>
        <v>#N/A</v>
      </c>
      <c r="AN1120" s="104" t="e">
        <f t="shared" si="507"/>
        <v>#N/A</v>
      </c>
      <c r="AO1120" s="104" t="e">
        <f t="shared" si="508"/>
        <v>#N/A</v>
      </c>
      <c r="AP1120" s="104" t="e">
        <f t="shared" si="509"/>
        <v>#N/A</v>
      </c>
      <c r="AQ1120" s="104" t="e">
        <f t="shared" si="510"/>
        <v>#N/A</v>
      </c>
      <c r="AR1120" s="105" t="str">
        <f t="shared" si="502"/>
        <v/>
      </c>
      <c r="AS1120" s="105" t="str">
        <f t="shared" si="503"/>
        <v/>
      </c>
      <c r="AT1120" s="108" t="str">
        <f t="shared" si="504"/>
        <v/>
      </c>
      <c r="AU1120" s="108" t="str">
        <f t="shared" si="505"/>
        <v/>
      </c>
      <c r="AV1120" s="107" t="str">
        <f>IF(ISNUMBER(O1120),IF(VLOOKUP($A1120,Stand!C:J,8,FALSE)="Short",AT1120,AU1120),"")</f>
        <v/>
      </c>
      <c r="AW1120" s="109" t="str">
        <f t="shared" si="511"/>
        <v/>
      </c>
      <c r="AX1120" s="109" t="str">
        <f t="shared" si="512"/>
        <v/>
      </c>
      <c r="AY1120" s="112" t="str">
        <f>IF(ISNUMBER(O1120),IF(AND(VLOOKUP($D1120,Merchantability!$B:$C,2,0)="Yes",$E1120&gt;=VLOOKUP($D1120,Merchantability!$B:$D,3,0),$E1120&lt;=VLOOKUP($D1120,Merchantability!$B:$E,4,0)),(AV1120*O1120)*(1-$H1120/100),""),"")</f>
        <v/>
      </c>
      <c r="AZ1120" s="116"/>
      <c r="BA1120" s="116"/>
      <c r="BB1120" s="116"/>
      <c r="BE1120" s="62"/>
      <c r="BF1120" s="63"/>
    </row>
    <row r="1121" spans="1:58" ht="12.75" customHeight="1" x14ac:dyDescent="0.25">
      <c r="A1121" s="313"/>
      <c r="B1121" s="328"/>
      <c r="C1121" s="329"/>
      <c r="D1121" s="328"/>
      <c r="E1121" s="330"/>
      <c r="F1121" s="328"/>
      <c r="G1121" s="329"/>
      <c r="H1121" s="329"/>
      <c r="I1121" s="328"/>
      <c r="J1121" s="383"/>
      <c r="K1121" s="329"/>
      <c r="L1121" s="329"/>
      <c r="M1121" s="76"/>
      <c r="N1121" s="103" t="str">
        <f>IF(A1121="","",VLOOKUP(A1121,Stand!C:K,9,0))</f>
        <v/>
      </c>
      <c r="O1121" s="104" t="str">
        <f t="shared" si="497"/>
        <v/>
      </c>
      <c r="P1121" s="105" t="str">
        <f t="shared" si="498"/>
        <v/>
      </c>
      <c r="Q1121" s="105" t="str">
        <f t="shared" si="513"/>
        <v/>
      </c>
      <c r="R1121" s="103" t="str">
        <f t="shared" si="499"/>
        <v/>
      </c>
      <c r="S1121" s="103" t="str">
        <f t="shared" si="500"/>
        <v/>
      </c>
      <c r="T1121" s="106" t="str">
        <f t="shared" si="514"/>
        <v/>
      </c>
      <c r="U1121" s="106" t="str">
        <f t="shared" si="515"/>
        <v/>
      </c>
      <c r="V1121" s="106" t="str">
        <f t="shared" si="516"/>
        <v/>
      </c>
      <c r="W1121" s="105" t="str">
        <f t="shared" si="501"/>
        <v/>
      </c>
      <c r="X1121" s="104" t="str">
        <f t="shared" si="506"/>
        <v/>
      </c>
      <c r="Y1121" s="104" t="str">
        <f t="array" ref="Y1121">IFERROR(IF(ISNUMBER(O1121),IF(COUNT(IF(A1121=$A$2:$A$2427,IF(D1121=$D$2:$D$2427,IF($X$2:$X$2427&gt;0,1))))&gt;0,SUM(IF(A1121=$A$2:$A$2427,IF(D1121=$D$2:$D$2427,$X$2:$X$2427)))/COUNT(IF(A1121=$A$2:$A$2427,IF(D1121=$D$2:$D$2427,IF(ISNUMBER($X$2:$X$2427),1)))),0),""),0)</f>
        <v/>
      </c>
      <c r="Z1121" s="104" t="str">
        <f>IF(ISNUMBER(O1121),IF(I1121&gt;0,(10^(VLOOKUP(D1121,'Species Codes'!B:C,2,0)+VLOOKUP(D1121,'Species Codes'!B:D,3,0)*LOG(E1121)+VLOOKUP(D1121,'Species Codes'!B:E,4,0)*LOG(I1121))),0),"")</f>
        <v/>
      </c>
      <c r="AA1121" s="104" t="str">
        <f>IFERROR((VLOOKUP(D1121,'Species Codes'!B:G,6,0)*Z1121)/2000,"")</f>
        <v/>
      </c>
      <c r="AB1121" s="104" t="e">
        <f>IF(Z1121&gt;0,((IF(OR(D1121="DF",D1121="RA")=TRUE,EXP(VLOOKUP(D1121,'Species Codes'!B:I,8,0)+VLOOKUP(D1121,'Species Codes'!B:J,9,0)*(LN((E1121*2.54)))),IF(OR(D1121="PY",D1121="RC",D1121="WH",D1121="NF")=TRUE,VLOOKUP(D1121,'Species Codes'!B:I,8,0)+VLOOKUP(D1121,'Species Codes'!B:J,9,0)*((E1121*2.54)^2)*(I1121*0.3048),IF(OR(D1121="MD",D1121="BM",D1121="GA")=TRUE,((VLOOKUP(D1121,'Species Codes'!B:I,8,0)*(((((E1121*2.54)+VLOOKUP(D1121,'Species Codes'!B:J,9,0))/VLOOKUP(D1121,'Species Codes'!B:K,10,0))^VLOOKUP(D1121,'Species Codes'!B:L,11,0))*((I1121*0.3048)^VLOOKUP(D1121,'Species Codes'!B:M,12,0))))-(VLOOKUP(D1121,'Species Codes'!B:I,8,0)*((((E1121*2.54)^VLOOKUP(D1121,'Species Codes'!B:L,11,0))*((I1121*0.3048)^VLOOKUP(D1121,'Species Codes'!B:M,12,0))))))*35.3*VLOOKUP(D1121,'Species Codes'!B:G,6,0)/2.2046,VLOOKUP(D1121,'Species Codes'!B:I,8,0)+VLOOKUP(D1121,'Species Codes'!B:J,9,0)*(((E1121*2.54)/100)^2)*(I1121*0.3048)))))*0.0011023),0)</f>
        <v>#N/A</v>
      </c>
      <c r="AC1121" s="104" t="e">
        <f>IF(Z1121&gt;0,((IF(OR(D1121="RA",D1121="OA",D1121="OT",D1121="UN",D1121="PC"),EXP(VLOOKUP(D1121,'Species Codes'!B:O,14,0)+VLOOKUP(D1121,'Species Codes'!B:P,15,0)*LN((E1121*2.54)))-EXP(VLOOKUP(D1121,'Species Codes'!B:O,14,0)+VLOOKUP(D1121,'Species Codes'!B:P,15,0)*LN((E1121*2.54)))*(1/(VLOOKUP(D1121,'Species Codes'!B:Q,16,0)+VLOOKUP(D1121,'Species Codes'!B:R,17,0)*((E1121*2.54)^VLOOKUP(D1121,'Species Codes'!B:S,18,0)))),IF(OR(D1121="BM",D1121="MD",D1121="OA"),EXP(VLOOKUP(D1121,'Species Codes'!B:O,14,0)+VLOOKUP(D1121,'Species Codes'!B:P,15,0)*LN((E1121*2.54)))*(1-(1/(VLOOKUP(D1121,'Species Codes'!B:Q,16,0)+VLOOKUP(D1121,'Species Codes'!B:R,17,0)*((E1121*2.54)^VLOOKUP(D1121,'Species Codes'!B:S,18,0)))))/1000,IF(D1121="DF",EXP(VLOOKUP(D1121,'Species Codes'!B:O,14,0)+VLOOKUP(D1121,'Species Codes'!B:P,15,0)*LN((E1121*2.54))),VLOOKUP(D1121,'Species Codes'!B:O,14,0)+VLOOKUP(D1121,'Species Codes'!B:P,15,0)*(((E1121*2.54)/100)^2)*(I1121*0.3048)))))*0.0011023),0)</f>
        <v>#N/A</v>
      </c>
      <c r="AD1121" s="104" t="e">
        <f t="shared" si="517"/>
        <v>#N/A</v>
      </c>
      <c r="AE1121" s="104" t="e">
        <f t="shared" si="518"/>
        <v>#N/A</v>
      </c>
      <c r="AF1121" s="104" t="e">
        <f>IF(AND(VLOOKUP($D1121,Merchantability!$B:$C,2,0)="Yes",$E1121&gt;=VLOOKUP($D1121,Merchantability!$B:$D,3,0),$E1121&lt;=VLOOKUP($D1121,Merchantability!$B:$E,4,0)),AA1121,0)</f>
        <v>#N/A</v>
      </c>
      <c r="AG1121" s="104" t="e">
        <f>IF(AND(VLOOKUP($D1121,Merchantability!$B:$C,2,0)="Yes",$E1121&gt;=VLOOKUP($D1121,Merchantability!$B:$D,3,0),$E1121&lt;=VLOOKUP($D1121,Merchantability!$B:$E,4,0)),AB1121,0)</f>
        <v>#N/A</v>
      </c>
      <c r="AH1121" s="104" t="e">
        <f>IF(AND(VLOOKUP($D1121,Merchantability!$B:$C,2,0)="Yes",$E1121&gt;=VLOOKUP($D1121,Merchantability!$B:$D,3,0),$E1121&lt;=VLOOKUP($D1121,Merchantability!$B:$E,4,0)),AC1121,0)</f>
        <v>#N/A</v>
      </c>
      <c r="AI1121" s="104" t="e">
        <f t="shared" si="519"/>
        <v>#N/A</v>
      </c>
      <c r="AJ1121" s="104" t="e">
        <f t="shared" si="520"/>
        <v>#VALUE!</v>
      </c>
      <c r="AK1121" s="104" t="e">
        <f t="shared" si="521"/>
        <v>#N/A</v>
      </c>
      <c r="AL1121" s="104" t="e">
        <f t="shared" si="522"/>
        <v>#N/A</v>
      </c>
      <c r="AM1121" s="104" t="e">
        <f t="shared" si="523"/>
        <v>#N/A</v>
      </c>
      <c r="AN1121" s="104" t="e">
        <f t="shared" si="507"/>
        <v>#N/A</v>
      </c>
      <c r="AO1121" s="104" t="e">
        <f t="shared" si="508"/>
        <v>#N/A</v>
      </c>
      <c r="AP1121" s="104" t="e">
        <f t="shared" si="509"/>
        <v>#N/A</v>
      </c>
      <c r="AQ1121" s="104" t="e">
        <f t="shared" si="510"/>
        <v>#N/A</v>
      </c>
      <c r="AR1121" s="105" t="str">
        <f t="shared" si="502"/>
        <v/>
      </c>
      <c r="AS1121" s="105" t="str">
        <f t="shared" si="503"/>
        <v/>
      </c>
      <c r="AT1121" s="108" t="str">
        <f t="shared" si="504"/>
        <v/>
      </c>
      <c r="AU1121" s="108" t="str">
        <f t="shared" si="505"/>
        <v/>
      </c>
      <c r="AV1121" s="107" t="str">
        <f>IF(ISNUMBER(O1121),IF(VLOOKUP($A1121,Stand!C:J,8,FALSE)="Short",AT1121,AU1121),"")</f>
        <v/>
      </c>
      <c r="AW1121" s="109" t="str">
        <f t="shared" si="511"/>
        <v/>
      </c>
      <c r="AX1121" s="109" t="str">
        <f t="shared" si="512"/>
        <v/>
      </c>
      <c r="AY1121" s="112" t="str">
        <f>IF(ISNUMBER(O1121),IF(AND(VLOOKUP($D1121,Merchantability!$B:$C,2,0)="Yes",$E1121&gt;=VLOOKUP($D1121,Merchantability!$B:$D,3,0),$E1121&lt;=VLOOKUP($D1121,Merchantability!$B:$E,4,0)),(AV1121*O1121)*(1-$H1121/100),""),"")</f>
        <v/>
      </c>
      <c r="AZ1121" s="116"/>
      <c r="BA1121" s="116"/>
      <c r="BB1121" s="116"/>
      <c r="BE1121" s="62"/>
      <c r="BF1121" s="63"/>
    </row>
    <row r="1122" spans="1:58" ht="12.75" customHeight="1" x14ac:dyDescent="0.25">
      <c r="A1122" s="313"/>
      <c r="B1122" s="328"/>
      <c r="C1122" s="329"/>
      <c r="D1122" s="328"/>
      <c r="E1122" s="330"/>
      <c r="F1122" s="328"/>
      <c r="G1122" s="329"/>
      <c r="H1122" s="329"/>
      <c r="I1122" s="328"/>
      <c r="J1122" s="383"/>
      <c r="K1122" s="329"/>
      <c r="L1122" s="329"/>
      <c r="M1122" s="76"/>
      <c r="N1122" s="103" t="str">
        <f>IF(A1122="","",VLOOKUP(A1122,Stand!C:K,9,0))</f>
        <v/>
      </c>
      <c r="O1122" s="104" t="str">
        <f t="shared" si="497"/>
        <v/>
      </c>
      <c r="P1122" s="105" t="str">
        <f t="shared" si="498"/>
        <v/>
      </c>
      <c r="Q1122" s="105" t="str">
        <f t="shared" si="513"/>
        <v/>
      </c>
      <c r="R1122" s="103" t="str">
        <f t="shared" si="499"/>
        <v/>
      </c>
      <c r="S1122" s="103" t="str">
        <f t="shared" si="500"/>
        <v/>
      </c>
      <c r="T1122" s="106" t="str">
        <f t="shared" si="514"/>
        <v/>
      </c>
      <c r="U1122" s="106" t="str">
        <f t="shared" si="515"/>
        <v/>
      </c>
      <c r="V1122" s="106" t="str">
        <f t="shared" si="516"/>
        <v/>
      </c>
      <c r="W1122" s="105" t="str">
        <f t="shared" si="501"/>
        <v/>
      </c>
      <c r="X1122" s="104" t="str">
        <f t="shared" si="506"/>
        <v/>
      </c>
      <c r="Y1122" s="104" t="str">
        <f t="array" ref="Y1122">IFERROR(IF(ISNUMBER(O1122),IF(COUNT(IF(A1122=$A$2:$A$2427,IF(D1122=$D$2:$D$2427,IF($X$2:$X$2427&gt;0,1))))&gt;0,SUM(IF(A1122=$A$2:$A$2427,IF(D1122=$D$2:$D$2427,$X$2:$X$2427)))/COUNT(IF(A1122=$A$2:$A$2427,IF(D1122=$D$2:$D$2427,IF(ISNUMBER($X$2:$X$2427),1)))),0),""),0)</f>
        <v/>
      </c>
      <c r="Z1122" s="104" t="str">
        <f>IF(ISNUMBER(O1122),IF(I1122&gt;0,(10^(VLOOKUP(D1122,'Species Codes'!B:C,2,0)+VLOOKUP(D1122,'Species Codes'!B:D,3,0)*LOG(E1122)+VLOOKUP(D1122,'Species Codes'!B:E,4,0)*LOG(I1122))),0),"")</f>
        <v/>
      </c>
      <c r="AA1122" s="104" t="str">
        <f>IFERROR((VLOOKUP(D1122,'Species Codes'!B:G,6,0)*Z1122)/2000,"")</f>
        <v/>
      </c>
      <c r="AB1122" s="104" t="e">
        <f>IF(Z1122&gt;0,((IF(OR(D1122="DF",D1122="RA")=TRUE,EXP(VLOOKUP(D1122,'Species Codes'!B:I,8,0)+VLOOKUP(D1122,'Species Codes'!B:J,9,0)*(LN((E1122*2.54)))),IF(OR(D1122="PY",D1122="RC",D1122="WH",D1122="NF")=TRUE,VLOOKUP(D1122,'Species Codes'!B:I,8,0)+VLOOKUP(D1122,'Species Codes'!B:J,9,0)*((E1122*2.54)^2)*(I1122*0.3048),IF(OR(D1122="MD",D1122="BM",D1122="GA")=TRUE,((VLOOKUP(D1122,'Species Codes'!B:I,8,0)*(((((E1122*2.54)+VLOOKUP(D1122,'Species Codes'!B:J,9,0))/VLOOKUP(D1122,'Species Codes'!B:K,10,0))^VLOOKUP(D1122,'Species Codes'!B:L,11,0))*((I1122*0.3048)^VLOOKUP(D1122,'Species Codes'!B:M,12,0))))-(VLOOKUP(D1122,'Species Codes'!B:I,8,0)*((((E1122*2.54)^VLOOKUP(D1122,'Species Codes'!B:L,11,0))*((I1122*0.3048)^VLOOKUP(D1122,'Species Codes'!B:M,12,0))))))*35.3*VLOOKUP(D1122,'Species Codes'!B:G,6,0)/2.2046,VLOOKUP(D1122,'Species Codes'!B:I,8,0)+VLOOKUP(D1122,'Species Codes'!B:J,9,0)*(((E1122*2.54)/100)^2)*(I1122*0.3048)))))*0.0011023),0)</f>
        <v>#N/A</v>
      </c>
      <c r="AC1122" s="104" t="e">
        <f>IF(Z1122&gt;0,((IF(OR(D1122="RA",D1122="OA",D1122="OT",D1122="UN",D1122="PC"),EXP(VLOOKUP(D1122,'Species Codes'!B:O,14,0)+VLOOKUP(D1122,'Species Codes'!B:P,15,0)*LN((E1122*2.54)))-EXP(VLOOKUP(D1122,'Species Codes'!B:O,14,0)+VLOOKUP(D1122,'Species Codes'!B:P,15,0)*LN((E1122*2.54)))*(1/(VLOOKUP(D1122,'Species Codes'!B:Q,16,0)+VLOOKUP(D1122,'Species Codes'!B:R,17,0)*((E1122*2.54)^VLOOKUP(D1122,'Species Codes'!B:S,18,0)))),IF(OR(D1122="BM",D1122="MD",D1122="OA"),EXP(VLOOKUP(D1122,'Species Codes'!B:O,14,0)+VLOOKUP(D1122,'Species Codes'!B:P,15,0)*LN((E1122*2.54)))*(1-(1/(VLOOKUP(D1122,'Species Codes'!B:Q,16,0)+VLOOKUP(D1122,'Species Codes'!B:R,17,0)*((E1122*2.54)^VLOOKUP(D1122,'Species Codes'!B:S,18,0)))))/1000,IF(D1122="DF",EXP(VLOOKUP(D1122,'Species Codes'!B:O,14,0)+VLOOKUP(D1122,'Species Codes'!B:P,15,0)*LN((E1122*2.54))),VLOOKUP(D1122,'Species Codes'!B:O,14,0)+VLOOKUP(D1122,'Species Codes'!B:P,15,0)*(((E1122*2.54)/100)^2)*(I1122*0.3048)))))*0.0011023),0)</f>
        <v>#N/A</v>
      </c>
      <c r="AD1122" s="104" t="e">
        <f t="shared" si="517"/>
        <v>#N/A</v>
      </c>
      <c r="AE1122" s="104" t="e">
        <f t="shared" si="518"/>
        <v>#N/A</v>
      </c>
      <c r="AF1122" s="104" t="e">
        <f>IF(AND(VLOOKUP($D1122,Merchantability!$B:$C,2,0)="Yes",$E1122&gt;=VLOOKUP($D1122,Merchantability!$B:$D,3,0),$E1122&lt;=VLOOKUP($D1122,Merchantability!$B:$E,4,0)),AA1122,0)</f>
        <v>#N/A</v>
      </c>
      <c r="AG1122" s="104" t="e">
        <f>IF(AND(VLOOKUP($D1122,Merchantability!$B:$C,2,0)="Yes",$E1122&gt;=VLOOKUP($D1122,Merchantability!$B:$D,3,0),$E1122&lt;=VLOOKUP($D1122,Merchantability!$B:$E,4,0)),AB1122,0)</f>
        <v>#N/A</v>
      </c>
      <c r="AH1122" s="104" t="e">
        <f>IF(AND(VLOOKUP($D1122,Merchantability!$B:$C,2,0)="Yes",$E1122&gt;=VLOOKUP($D1122,Merchantability!$B:$D,3,0),$E1122&lt;=VLOOKUP($D1122,Merchantability!$B:$E,4,0)),AC1122,0)</f>
        <v>#N/A</v>
      </c>
      <c r="AI1122" s="104" t="e">
        <f t="shared" si="519"/>
        <v>#N/A</v>
      </c>
      <c r="AJ1122" s="104" t="e">
        <f t="shared" si="520"/>
        <v>#VALUE!</v>
      </c>
      <c r="AK1122" s="104" t="e">
        <f t="shared" si="521"/>
        <v>#N/A</v>
      </c>
      <c r="AL1122" s="104" t="e">
        <f t="shared" si="522"/>
        <v>#N/A</v>
      </c>
      <c r="AM1122" s="104" t="e">
        <f t="shared" si="523"/>
        <v>#N/A</v>
      </c>
      <c r="AN1122" s="104" t="e">
        <f t="shared" si="507"/>
        <v>#N/A</v>
      </c>
      <c r="AO1122" s="104" t="e">
        <f t="shared" si="508"/>
        <v>#N/A</v>
      </c>
      <c r="AP1122" s="104" t="e">
        <f t="shared" si="509"/>
        <v>#N/A</v>
      </c>
      <c r="AQ1122" s="104" t="e">
        <f t="shared" si="510"/>
        <v>#N/A</v>
      </c>
      <c r="AR1122" s="105" t="str">
        <f t="shared" si="502"/>
        <v/>
      </c>
      <c r="AS1122" s="105" t="str">
        <f t="shared" si="503"/>
        <v/>
      </c>
      <c r="AT1122" s="108" t="str">
        <f t="shared" si="504"/>
        <v/>
      </c>
      <c r="AU1122" s="108" t="str">
        <f t="shared" si="505"/>
        <v/>
      </c>
      <c r="AV1122" s="107" t="str">
        <f>IF(ISNUMBER(O1122),IF(VLOOKUP($A1122,Stand!C:J,8,FALSE)="Short",AT1122,AU1122),"")</f>
        <v/>
      </c>
      <c r="AW1122" s="109" t="str">
        <f t="shared" si="511"/>
        <v/>
      </c>
      <c r="AX1122" s="109" t="str">
        <f t="shared" si="512"/>
        <v/>
      </c>
      <c r="AY1122" s="112" t="str">
        <f>IF(ISNUMBER(O1122),IF(AND(VLOOKUP($D1122,Merchantability!$B:$C,2,0)="Yes",$E1122&gt;=VLOOKUP($D1122,Merchantability!$B:$D,3,0),$E1122&lt;=VLOOKUP($D1122,Merchantability!$B:$E,4,0)),(AV1122*O1122)*(1-$H1122/100),""),"")</f>
        <v/>
      </c>
      <c r="AZ1122" s="116"/>
      <c r="BA1122" s="116"/>
      <c r="BB1122" s="116"/>
      <c r="BE1122" s="62"/>
      <c r="BF1122" s="63"/>
    </row>
    <row r="1123" spans="1:58" ht="12.75" customHeight="1" x14ac:dyDescent="0.25">
      <c r="A1123" s="313"/>
      <c r="B1123" s="328"/>
      <c r="C1123" s="329"/>
      <c r="D1123" s="328"/>
      <c r="E1123" s="330"/>
      <c r="F1123" s="328"/>
      <c r="G1123" s="329"/>
      <c r="H1123" s="329"/>
      <c r="I1123" s="328"/>
      <c r="J1123" s="383"/>
      <c r="K1123" s="329"/>
      <c r="L1123" s="329"/>
      <c r="M1123" s="76"/>
      <c r="N1123" s="103" t="str">
        <f>IF(A1123="","",VLOOKUP(A1123,Stand!C:K,9,0))</f>
        <v/>
      </c>
      <c r="O1123" s="104" t="str">
        <f t="shared" si="497"/>
        <v/>
      </c>
      <c r="P1123" s="105" t="str">
        <f t="shared" si="498"/>
        <v/>
      </c>
      <c r="Q1123" s="105" t="str">
        <f t="shared" si="513"/>
        <v/>
      </c>
      <c r="R1123" s="103" t="str">
        <f t="shared" si="499"/>
        <v/>
      </c>
      <c r="S1123" s="103" t="str">
        <f t="shared" si="500"/>
        <v/>
      </c>
      <c r="T1123" s="106" t="str">
        <f t="shared" si="514"/>
        <v/>
      </c>
      <c r="U1123" s="106" t="str">
        <f t="shared" si="515"/>
        <v/>
      </c>
      <c r="V1123" s="106" t="str">
        <f t="shared" si="516"/>
        <v/>
      </c>
      <c r="W1123" s="105" t="str">
        <f t="shared" si="501"/>
        <v/>
      </c>
      <c r="X1123" s="104" t="str">
        <f t="shared" si="506"/>
        <v/>
      </c>
      <c r="Y1123" s="104" t="str">
        <f t="array" ref="Y1123">IFERROR(IF(ISNUMBER(O1123),IF(COUNT(IF(A1123=$A$2:$A$2427,IF(D1123=$D$2:$D$2427,IF($X$2:$X$2427&gt;0,1))))&gt;0,SUM(IF(A1123=$A$2:$A$2427,IF(D1123=$D$2:$D$2427,$X$2:$X$2427)))/COUNT(IF(A1123=$A$2:$A$2427,IF(D1123=$D$2:$D$2427,IF(ISNUMBER($X$2:$X$2427),1)))),0),""),0)</f>
        <v/>
      </c>
      <c r="Z1123" s="104" t="str">
        <f>IF(ISNUMBER(O1123),IF(I1123&gt;0,(10^(VLOOKUP(D1123,'Species Codes'!B:C,2,0)+VLOOKUP(D1123,'Species Codes'!B:D,3,0)*LOG(E1123)+VLOOKUP(D1123,'Species Codes'!B:E,4,0)*LOG(I1123))),0),"")</f>
        <v/>
      </c>
      <c r="AA1123" s="104" t="str">
        <f>IFERROR((VLOOKUP(D1123,'Species Codes'!B:G,6,0)*Z1123)/2000,"")</f>
        <v/>
      </c>
      <c r="AB1123" s="104" t="e">
        <f>IF(Z1123&gt;0,((IF(OR(D1123="DF",D1123="RA")=TRUE,EXP(VLOOKUP(D1123,'Species Codes'!B:I,8,0)+VLOOKUP(D1123,'Species Codes'!B:J,9,0)*(LN((E1123*2.54)))),IF(OR(D1123="PY",D1123="RC",D1123="WH",D1123="NF")=TRUE,VLOOKUP(D1123,'Species Codes'!B:I,8,0)+VLOOKUP(D1123,'Species Codes'!B:J,9,0)*((E1123*2.54)^2)*(I1123*0.3048),IF(OR(D1123="MD",D1123="BM",D1123="GA")=TRUE,((VLOOKUP(D1123,'Species Codes'!B:I,8,0)*(((((E1123*2.54)+VLOOKUP(D1123,'Species Codes'!B:J,9,0))/VLOOKUP(D1123,'Species Codes'!B:K,10,0))^VLOOKUP(D1123,'Species Codes'!B:L,11,0))*((I1123*0.3048)^VLOOKUP(D1123,'Species Codes'!B:M,12,0))))-(VLOOKUP(D1123,'Species Codes'!B:I,8,0)*((((E1123*2.54)^VLOOKUP(D1123,'Species Codes'!B:L,11,0))*((I1123*0.3048)^VLOOKUP(D1123,'Species Codes'!B:M,12,0))))))*35.3*VLOOKUP(D1123,'Species Codes'!B:G,6,0)/2.2046,VLOOKUP(D1123,'Species Codes'!B:I,8,0)+VLOOKUP(D1123,'Species Codes'!B:J,9,0)*(((E1123*2.54)/100)^2)*(I1123*0.3048)))))*0.0011023),0)</f>
        <v>#N/A</v>
      </c>
      <c r="AC1123" s="104" t="e">
        <f>IF(Z1123&gt;0,((IF(OR(D1123="RA",D1123="OA",D1123="OT",D1123="UN",D1123="PC"),EXP(VLOOKUP(D1123,'Species Codes'!B:O,14,0)+VLOOKUP(D1123,'Species Codes'!B:P,15,0)*LN((E1123*2.54)))-EXP(VLOOKUP(D1123,'Species Codes'!B:O,14,0)+VLOOKUP(D1123,'Species Codes'!B:P,15,0)*LN((E1123*2.54)))*(1/(VLOOKUP(D1123,'Species Codes'!B:Q,16,0)+VLOOKUP(D1123,'Species Codes'!B:R,17,0)*((E1123*2.54)^VLOOKUP(D1123,'Species Codes'!B:S,18,0)))),IF(OR(D1123="BM",D1123="MD",D1123="OA"),EXP(VLOOKUP(D1123,'Species Codes'!B:O,14,0)+VLOOKUP(D1123,'Species Codes'!B:P,15,0)*LN((E1123*2.54)))*(1-(1/(VLOOKUP(D1123,'Species Codes'!B:Q,16,0)+VLOOKUP(D1123,'Species Codes'!B:R,17,0)*((E1123*2.54)^VLOOKUP(D1123,'Species Codes'!B:S,18,0)))))/1000,IF(D1123="DF",EXP(VLOOKUP(D1123,'Species Codes'!B:O,14,0)+VLOOKUP(D1123,'Species Codes'!B:P,15,0)*LN((E1123*2.54))),VLOOKUP(D1123,'Species Codes'!B:O,14,0)+VLOOKUP(D1123,'Species Codes'!B:P,15,0)*(((E1123*2.54)/100)^2)*(I1123*0.3048)))))*0.0011023),0)</f>
        <v>#N/A</v>
      </c>
      <c r="AD1123" s="104" t="e">
        <f t="shared" si="517"/>
        <v>#N/A</v>
      </c>
      <c r="AE1123" s="104" t="e">
        <f t="shared" si="518"/>
        <v>#N/A</v>
      </c>
      <c r="AF1123" s="104" t="e">
        <f>IF(AND(VLOOKUP($D1123,Merchantability!$B:$C,2,0)="Yes",$E1123&gt;=VLOOKUP($D1123,Merchantability!$B:$D,3,0),$E1123&lt;=VLOOKUP($D1123,Merchantability!$B:$E,4,0)),AA1123,0)</f>
        <v>#N/A</v>
      </c>
      <c r="AG1123" s="104" t="e">
        <f>IF(AND(VLOOKUP($D1123,Merchantability!$B:$C,2,0)="Yes",$E1123&gt;=VLOOKUP($D1123,Merchantability!$B:$D,3,0),$E1123&lt;=VLOOKUP($D1123,Merchantability!$B:$E,4,0)),AB1123,0)</f>
        <v>#N/A</v>
      </c>
      <c r="AH1123" s="104" t="e">
        <f>IF(AND(VLOOKUP($D1123,Merchantability!$B:$C,2,0)="Yes",$E1123&gt;=VLOOKUP($D1123,Merchantability!$B:$D,3,0),$E1123&lt;=VLOOKUP($D1123,Merchantability!$B:$E,4,0)),AC1123,0)</f>
        <v>#N/A</v>
      </c>
      <c r="AI1123" s="104" t="e">
        <f t="shared" si="519"/>
        <v>#N/A</v>
      </c>
      <c r="AJ1123" s="104" t="e">
        <f t="shared" si="520"/>
        <v>#VALUE!</v>
      </c>
      <c r="AK1123" s="104" t="e">
        <f t="shared" si="521"/>
        <v>#N/A</v>
      </c>
      <c r="AL1123" s="104" t="e">
        <f t="shared" si="522"/>
        <v>#N/A</v>
      </c>
      <c r="AM1123" s="104" t="e">
        <f t="shared" si="523"/>
        <v>#N/A</v>
      </c>
      <c r="AN1123" s="104" t="e">
        <f t="shared" si="507"/>
        <v>#N/A</v>
      </c>
      <c r="AO1123" s="104" t="e">
        <f t="shared" si="508"/>
        <v>#N/A</v>
      </c>
      <c r="AP1123" s="104" t="e">
        <f t="shared" si="509"/>
        <v>#N/A</v>
      </c>
      <c r="AQ1123" s="104" t="e">
        <f t="shared" si="510"/>
        <v>#N/A</v>
      </c>
      <c r="AR1123" s="105" t="str">
        <f t="shared" si="502"/>
        <v/>
      </c>
      <c r="AS1123" s="105" t="str">
        <f t="shared" si="503"/>
        <v/>
      </c>
      <c r="AT1123" s="108" t="str">
        <f t="shared" si="504"/>
        <v/>
      </c>
      <c r="AU1123" s="108" t="str">
        <f t="shared" si="505"/>
        <v/>
      </c>
      <c r="AV1123" s="107" t="str">
        <f>IF(ISNUMBER(O1123),IF(VLOOKUP($A1123,Stand!C:J,8,FALSE)="Short",AT1123,AU1123),"")</f>
        <v/>
      </c>
      <c r="AW1123" s="109" t="str">
        <f t="shared" si="511"/>
        <v/>
      </c>
      <c r="AX1123" s="109" t="str">
        <f t="shared" si="512"/>
        <v/>
      </c>
      <c r="AY1123" s="112" t="str">
        <f>IF(ISNUMBER(O1123),IF(AND(VLOOKUP($D1123,Merchantability!$B:$C,2,0)="Yes",$E1123&gt;=VLOOKUP($D1123,Merchantability!$B:$D,3,0),$E1123&lt;=VLOOKUP($D1123,Merchantability!$B:$E,4,0)),(AV1123*O1123)*(1-$H1123/100),""),"")</f>
        <v/>
      </c>
      <c r="AZ1123" s="116"/>
      <c r="BA1123" s="116"/>
      <c r="BB1123" s="116"/>
      <c r="BE1123" s="62"/>
      <c r="BF1123" s="63"/>
    </row>
    <row r="1124" spans="1:58" ht="12.75" customHeight="1" x14ac:dyDescent="0.25">
      <c r="A1124" s="313"/>
      <c r="B1124" s="328"/>
      <c r="C1124" s="329"/>
      <c r="D1124" s="328"/>
      <c r="E1124" s="330"/>
      <c r="F1124" s="328"/>
      <c r="G1124" s="329"/>
      <c r="H1124" s="329"/>
      <c r="I1124" s="328"/>
      <c r="J1124" s="383"/>
      <c r="K1124" s="329"/>
      <c r="L1124" s="329"/>
      <c r="M1124" s="76"/>
      <c r="N1124" s="103" t="str">
        <f>IF(A1124="","",VLOOKUP(A1124,Stand!C:K,9,0))</f>
        <v/>
      </c>
      <c r="O1124" s="104" t="str">
        <f t="shared" si="497"/>
        <v/>
      </c>
      <c r="P1124" s="105" t="str">
        <f t="shared" si="498"/>
        <v/>
      </c>
      <c r="Q1124" s="105" t="str">
        <f t="shared" si="513"/>
        <v/>
      </c>
      <c r="R1124" s="103" t="str">
        <f t="shared" si="499"/>
        <v/>
      </c>
      <c r="S1124" s="103" t="str">
        <f t="shared" si="500"/>
        <v/>
      </c>
      <c r="T1124" s="106" t="str">
        <f t="shared" si="514"/>
        <v/>
      </c>
      <c r="U1124" s="106" t="str">
        <f t="shared" si="515"/>
        <v/>
      </c>
      <c r="V1124" s="106" t="str">
        <f t="shared" si="516"/>
        <v/>
      </c>
      <c r="W1124" s="105" t="str">
        <f t="shared" si="501"/>
        <v/>
      </c>
      <c r="X1124" s="104" t="str">
        <f t="shared" si="506"/>
        <v/>
      </c>
      <c r="Y1124" s="104" t="str">
        <f t="array" ref="Y1124">IFERROR(IF(ISNUMBER(O1124),IF(COUNT(IF(A1124=$A$2:$A$2427,IF(D1124=$D$2:$D$2427,IF($X$2:$X$2427&gt;0,1))))&gt;0,SUM(IF(A1124=$A$2:$A$2427,IF(D1124=$D$2:$D$2427,$X$2:$X$2427)))/COUNT(IF(A1124=$A$2:$A$2427,IF(D1124=$D$2:$D$2427,IF(ISNUMBER($X$2:$X$2427),1)))),0),""),0)</f>
        <v/>
      </c>
      <c r="Z1124" s="104" t="str">
        <f>IF(ISNUMBER(O1124),IF(I1124&gt;0,(10^(VLOOKUP(D1124,'Species Codes'!B:C,2,0)+VLOOKUP(D1124,'Species Codes'!B:D,3,0)*LOG(E1124)+VLOOKUP(D1124,'Species Codes'!B:E,4,0)*LOG(I1124))),0),"")</f>
        <v/>
      </c>
      <c r="AA1124" s="104" t="str">
        <f>IFERROR((VLOOKUP(D1124,'Species Codes'!B:G,6,0)*Z1124)/2000,"")</f>
        <v/>
      </c>
      <c r="AB1124" s="104" t="e">
        <f>IF(Z1124&gt;0,((IF(OR(D1124="DF",D1124="RA")=TRUE,EXP(VLOOKUP(D1124,'Species Codes'!B:I,8,0)+VLOOKUP(D1124,'Species Codes'!B:J,9,0)*(LN((E1124*2.54)))),IF(OR(D1124="PY",D1124="RC",D1124="WH",D1124="NF")=TRUE,VLOOKUP(D1124,'Species Codes'!B:I,8,0)+VLOOKUP(D1124,'Species Codes'!B:J,9,0)*((E1124*2.54)^2)*(I1124*0.3048),IF(OR(D1124="MD",D1124="BM",D1124="GA")=TRUE,((VLOOKUP(D1124,'Species Codes'!B:I,8,0)*(((((E1124*2.54)+VLOOKUP(D1124,'Species Codes'!B:J,9,0))/VLOOKUP(D1124,'Species Codes'!B:K,10,0))^VLOOKUP(D1124,'Species Codes'!B:L,11,0))*((I1124*0.3048)^VLOOKUP(D1124,'Species Codes'!B:M,12,0))))-(VLOOKUP(D1124,'Species Codes'!B:I,8,0)*((((E1124*2.54)^VLOOKUP(D1124,'Species Codes'!B:L,11,0))*((I1124*0.3048)^VLOOKUP(D1124,'Species Codes'!B:M,12,0))))))*35.3*VLOOKUP(D1124,'Species Codes'!B:G,6,0)/2.2046,VLOOKUP(D1124,'Species Codes'!B:I,8,0)+VLOOKUP(D1124,'Species Codes'!B:J,9,0)*(((E1124*2.54)/100)^2)*(I1124*0.3048)))))*0.0011023),0)</f>
        <v>#N/A</v>
      </c>
      <c r="AC1124" s="104" t="e">
        <f>IF(Z1124&gt;0,((IF(OR(D1124="RA",D1124="OA",D1124="OT",D1124="UN",D1124="PC"),EXP(VLOOKUP(D1124,'Species Codes'!B:O,14,0)+VLOOKUP(D1124,'Species Codes'!B:P,15,0)*LN((E1124*2.54)))-EXP(VLOOKUP(D1124,'Species Codes'!B:O,14,0)+VLOOKUP(D1124,'Species Codes'!B:P,15,0)*LN((E1124*2.54)))*(1/(VLOOKUP(D1124,'Species Codes'!B:Q,16,0)+VLOOKUP(D1124,'Species Codes'!B:R,17,0)*((E1124*2.54)^VLOOKUP(D1124,'Species Codes'!B:S,18,0)))),IF(OR(D1124="BM",D1124="MD",D1124="OA"),EXP(VLOOKUP(D1124,'Species Codes'!B:O,14,0)+VLOOKUP(D1124,'Species Codes'!B:P,15,0)*LN((E1124*2.54)))*(1-(1/(VLOOKUP(D1124,'Species Codes'!B:Q,16,0)+VLOOKUP(D1124,'Species Codes'!B:R,17,0)*((E1124*2.54)^VLOOKUP(D1124,'Species Codes'!B:S,18,0)))))/1000,IF(D1124="DF",EXP(VLOOKUP(D1124,'Species Codes'!B:O,14,0)+VLOOKUP(D1124,'Species Codes'!B:P,15,0)*LN((E1124*2.54))),VLOOKUP(D1124,'Species Codes'!B:O,14,0)+VLOOKUP(D1124,'Species Codes'!B:P,15,0)*(((E1124*2.54)/100)^2)*(I1124*0.3048)))))*0.0011023),0)</f>
        <v>#N/A</v>
      </c>
      <c r="AD1124" s="104" t="e">
        <f t="shared" si="517"/>
        <v>#N/A</v>
      </c>
      <c r="AE1124" s="104" t="e">
        <f t="shared" si="518"/>
        <v>#N/A</v>
      </c>
      <c r="AF1124" s="104" t="e">
        <f>IF(AND(VLOOKUP($D1124,Merchantability!$B:$C,2,0)="Yes",$E1124&gt;=VLOOKUP($D1124,Merchantability!$B:$D,3,0),$E1124&lt;=VLOOKUP($D1124,Merchantability!$B:$E,4,0)),AA1124,0)</f>
        <v>#N/A</v>
      </c>
      <c r="AG1124" s="104" t="e">
        <f>IF(AND(VLOOKUP($D1124,Merchantability!$B:$C,2,0)="Yes",$E1124&gt;=VLOOKUP($D1124,Merchantability!$B:$D,3,0),$E1124&lt;=VLOOKUP($D1124,Merchantability!$B:$E,4,0)),AB1124,0)</f>
        <v>#N/A</v>
      </c>
      <c r="AH1124" s="104" t="e">
        <f>IF(AND(VLOOKUP($D1124,Merchantability!$B:$C,2,0)="Yes",$E1124&gt;=VLOOKUP($D1124,Merchantability!$B:$D,3,0),$E1124&lt;=VLOOKUP($D1124,Merchantability!$B:$E,4,0)),AC1124,0)</f>
        <v>#N/A</v>
      </c>
      <c r="AI1124" s="104" t="e">
        <f t="shared" si="519"/>
        <v>#N/A</v>
      </c>
      <c r="AJ1124" s="104" t="e">
        <f t="shared" si="520"/>
        <v>#VALUE!</v>
      </c>
      <c r="AK1124" s="104" t="e">
        <f t="shared" si="521"/>
        <v>#N/A</v>
      </c>
      <c r="AL1124" s="104" t="e">
        <f t="shared" si="522"/>
        <v>#N/A</v>
      </c>
      <c r="AM1124" s="104" t="e">
        <f t="shared" si="523"/>
        <v>#N/A</v>
      </c>
      <c r="AN1124" s="104" t="e">
        <f t="shared" si="507"/>
        <v>#N/A</v>
      </c>
      <c r="AO1124" s="104" t="e">
        <f t="shared" si="508"/>
        <v>#N/A</v>
      </c>
      <c r="AP1124" s="104" t="e">
        <f t="shared" si="509"/>
        <v>#N/A</v>
      </c>
      <c r="AQ1124" s="104" t="e">
        <f t="shared" si="510"/>
        <v>#N/A</v>
      </c>
      <c r="AR1124" s="105" t="str">
        <f t="shared" si="502"/>
        <v/>
      </c>
      <c r="AS1124" s="105" t="str">
        <f t="shared" si="503"/>
        <v/>
      </c>
      <c r="AT1124" s="108" t="str">
        <f t="shared" si="504"/>
        <v/>
      </c>
      <c r="AU1124" s="108" t="str">
        <f t="shared" si="505"/>
        <v/>
      </c>
      <c r="AV1124" s="107" t="str">
        <f>IF(ISNUMBER(O1124),IF(VLOOKUP($A1124,Stand!C:J,8,FALSE)="Short",AT1124,AU1124),"")</f>
        <v/>
      </c>
      <c r="AW1124" s="109" t="str">
        <f t="shared" si="511"/>
        <v/>
      </c>
      <c r="AX1124" s="109" t="str">
        <f t="shared" si="512"/>
        <v/>
      </c>
      <c r="AY1124" s="112" t="str">
        <f>IF(ISNUMBER(O1124),IF(AND(VLOOKUP($D1124,Merchantability!$B:$C,2,0)="Yes",$E1124&gt;=VLOOKUP($D1124,Merchantability!$B:$D,3,0),$E1124&lt;=VLOOKUP($D1124,Merchantability!$B:$E,4,0)),(AV1124*O1124)*(1-$H1124/100),""),"")</f>
        <v/>
      </c>
      <c r="AZ1124" s="116"/>
      <c r="BA1124" s="116"/>
      <c r="BB1124" s="116"/>
      <c r="BE1124" s="62"/>
      <c r="BF1124" s="63"/>
    </row>
    <row r="1125" spans="1:58" ht="12.75" customHeight="1" x14ac:dyDescent="0.25">
      <c r="A1125" s="313"/>
      <c r="B1125" s="328"/>
      <c r="C1125" s="329"/>
      <c r="D1125" s="328"/>
      <c r="E1125" s="330"/>
      <c r="F1125" s="328"/>
      <c r="G1125" s="329"/>
      <c r="H1125" s="329"/>
      <c r="I1125" s="328"/>
      <c r="J1125" s="383"/>
      <c r="K1125" s="329"/>
      <c r="L1125" s="329"/>
      <c r="M1125" s="76"/>
      <c r="N1125" s="103" t="str">
        <f>IF(A1125="","",VLOOKUP(A1125,Stand!C:K,9,0))</f>
        <v/>
      </c>
      <c r="O1125" s="104" t="str">
        <f t="shared" si="497"/>
        <v/>
      </c>
      <c r="P1125" s="105" t="str">
        <f t="shared" si="498"/>
        <v/>
      </c>
      <c r="Q1125" s="105" t="str">
        <f t="shared" si="513"/>
        <v/>
      </c>
      <c r="R1125" s="103" t="str">
        <f t="shared" si="499"/>
        <v/>
      </c>
      <c r="S1125" s="103" t="str">
        <f t="shared" si="500"/>
        <v/>
      </c>
      <c r="T1125" s="106" t="str">
        <f t="shared" si="514"/>
        <v/>
      </c>
      <c r="U1125" s="106" t="str">
        <f t="shared" si="515"/>
        <v/>
      </c>
      <c r="V1125" s="106" t="str">
        <f t="shared" si="516"/>
        <v/>
      </c>
      <c r="W1125" s="105" t="str">
        <f t="shared" si="501"/>
        <v/>
      </c>
      <c r="X1125" s="104" t="str">
        <f t="shared" si="506"/>
        <v/>
      </c>
      <c r="Y1125" s="104" t="str">
        <f t="array" ref="Y1125">IFERROR(IF(ISNUMBER(O1125),IF(COUNT(IF(A1125=$A$2:$A$2427,IF(D1125=$D$2:$D$2427,IF($X$2:$X$2427&gt;0,1))))&gt;0,SUM(IF(A1125=$A$2:$A$2427,IF(D1125=$D$2:$D$2427,$X$2:$X$2427)))/COUNT(IF(A1125=$A$2:$A$2427,IF(D1125=$D$2:$D$2427,IF(ISNUMBER($X$2:$X$2427),1)))),0),""),0)</f>
        <v/>
      </c>
      <c r="Z1125" s="104" t="str">
        <f>IF(ISNUMBER(O1125),IF(I1125&gt;0,(10^(VLOOKUP(D1125,'Species Codes'!B:C,2,0)+VLOOKUP(D1125,'Species Codes'!B:D,3,0)*LOG(E1125)+VLOOKUP(D1125,'Species Codes'!B:E,4,0)*LOG(I1125))),0),"")</f>
        <v/>
      </c>
      <c r="AA1125" s="104" t="str">
        <f>IFERROR((VLOOKUP(D1125,'Species Codes'!B:G,6,0)*Z1125)/2000,"")</f>
        <v/>
      </c>
      <c r="AB1125" s="104" t="e">
        <f>IF(Z1125&gt;0,((IF(OR(D1125="DF",D1125="RA")=TRUE,EXP(VLOOKUP(D1125,'Species Codes'!B:I,8,0)+VLOOKUP(D1125,'Species Codes'!B:J,9,0)*(LN((E1125*2.54)))),IF(OR(D1125="PY",D1125="RC",D1125="WH",D1125="NF")=TRUE,VLOOKUP(D1125,'Species Codes'!B:I,8,0)+VLOOKUP(D1125,'Species Codes'!B:J,9,0)*((E1125*2.54)^2)*(I1125*0.3048),IF(OR(D1125="MD",D1125="BM",D1125="GA")=TRUE,((VLOOKUP(D1125,'Species Codes'!B:I,8,0)*(((((E1125*2.54)+VLOOKUP(D1125,'Species Codes'!B:J,9,0))/VLOOKUP(D1125,'Species Codes'!B:K,10,0))^VLOOKUP(D1125,'Species Codes'!B:L,11,0))*((I1125*0.3048)^VLOOKUP(D1125,'Species Codes'!B:M,12,0))))-(VLOOKUP(D1125,'Species Codes'!B:I,8,0)*((((E1125*2.54)^VLOOKUP(D1125,'Species Codes'!B:L,11,0))*((I1125*0.3048)^VLOOKUP(D1125,'Species Codes'!B:M,12,0))))))*35.3*VLOOKUP(D1125,'Species Codes'!B:G,6,0)/2.2046,VLOOKUP(D1125,'Species Codes'!B:I,8,0)+VLOOKUP(D1125,'Species Codes'!B:J,9,0)*(((E1125*2.54)/100)^2)*(I1125*0.3048)))))*0.0011023),0)</f>
        <v>#N/A</v>
      </c>
      <c r="AC1125" s="104" t="e">
        <f>IF(Z1125&gt;0,((IF(OR(D1125="RA",D1125="OA",D1125="OT",D1125="UN",D1125="PC"),EXP(VLOOKUP(D1125,'Species Codes'!B:O,14,0)+VLOOKUP(D1125,'Species Codes'!B:P,15,0)*LN((E1125*2.54)))-EXP(VLOOKUP(D1125,'Species Codes'!B:O,14,0)+VLOOKUP(D1125,'Species Codes'!B:P,15,0)*LN((E1125*2.54)))*(1/(VLOOKUP(D1125,'Species Codes'!B:Q,16,0)+VLOOKUP(D1125,'Species Codes'!B:R,17,0)*((E1125*2.54)^VLOOKUP(D1125,'Species Codes'!B:S,18,0)))),IF(OR(D1125="BM",D1125="MD",D1125="OA"),EXP(VLOOKUP(D1125,'Species Codes'!B:O,14,0)+VLOOKUP(D1125,'Species Codes'!B:P,15,0)*LN((E1125*2.54)))*(1-(1/(VLOOKUP(D1125,'Species Codes'!B:Q,16,0)+VLOOKUP(D1125,'Species Codes'!B:R,17,0)*((E1125*2.54)^VLOOKUP(D1125,'Species Codes'!B:S,18,0)))))/1000,IF(D1125="DF",EXP(VLOOKUP(D1125,'Species Codes'!B:O,14,0)+VLOOKUP(D1125,'Species Codes'!B:P,15,0)*LN((E1125*2.54))),VLOOKUP(D1125,'Species Codes'!B:O,14,0)+VLOOKUP(D1125,'Species Codes'!B:P,15,0)*(((E1125*2.54)/100)^2)*(I1125*0.3048)))))*0.0011023),0)</f>
        <v>#N/A</v>
      </c>
      <c r="AD1125" s="104" t="e">
        <f t="shared" si="517"/>
        <v>#N/A</v>
      </c>
      <c r="AE1125" s="104" t="e">
        <f t="shared" si="518"/>
        <v>#N/A</v>
      </c>
      <c r="AF1125" s="104" t="e">
        <f>IF(AND(VLOOKUP($D1125,Merchantability!$B:$C,2,0)="Yes",$E1125&gt;=VLOOKUP($D1125,Merchantability!$B:$D,3,0),$E1125&lt;=VLOOKUP($D1125,Merchantability!$B:$E,4,0)),AA1125,0)</f>
        <v>#N/A</v>
      </c>
      <c r="AG1125" s="104" t="e">
        <f>IF(AND(VLOOKUP($D1125,Merchantability!$B:$C,2,0)="Yes",$E1125&gt;=VLOOKUP($D1125,Merchantability!$B:$D,3,0),$E1125&lt;=VLOOKUP($D1125,Merchantability!$B:$E,4,0)),AB1125,0)</f>
        <v>#N/A</v>
      </c>
      <c r="AH1125" s="104" t="e">
        <f>IF(AND(VLOOKUP($D1125,Merchantability!$B:$C,2,0)="Yes",$E1125&gt;=VLOOKUP($D1125,Merchantability!$B:$D,3,0),$E1125&lt;=VLOOKUP($D1125,Merchantability!$B:$E,4,0)),AC1125,0)</f>
        <v>#N/A</v>
      </c>
      <c r="AI1125" s="104" t="e">
        <f t="shared" si="519"/>
        <v>#N/A</v>
      </c>
      <c r="AJ1125" s="104" t="e">
        <f t="shared" si="520"/>
        <v>#VALUE!</v>
      </c>
      <c r="AK1125" s="104" t="e">
        <f t="shared" si="521"/>
        <v>#N/A</v>
      </c>
      <c r="AL1125" s="104" t="e">
        <f t="shared" si="522"/>
        <v>#N/A</v>
      </c>
      <c r="AM1125" s="104" t="e">
        <f t="shared" si="523"/>
        <v>#N/A</v>
      </c>
      <c r="AN1125" s="104" t="e">
        <f t="shared" si="507"/>
        <v>#N/A</v>
      </c>
      <c r="AO1125" s="104" t="e">
        <f t="shared" si="508"/>
        <v>#N/A</v>
      </c>
      <c r="AP1125" s="104" t="e">
        <f t="shared" si="509"/>
        <v>#N/A</v>
      </c>
      <c r="AQ1125" s="104" t="e">
        <f t="shared" si="510"/>
        <v>#N/A</v>
      </c>
      <c r="AR1125" s="105" t="str">
        <f t="shared" si="502"/>
        <v/>
      </c>
      <c r="AS1125" s="105" t="str">
        <f t="shared" si="503"/>
        <v/>
      </c>
      <c r="AT1125" s="108" t="str">
        <f t="shared" si="504"/>
        <v/>
      </c>
      <c r="AU1125" s="108" t="str">
        <f t="shared" si="505"/>
        <v/>
      </c>
      <c r="AV1125" s="107" t="str">
        <f>IF(ISNUMBER(O1125),IF(VLOOKUP($A1125,Stand!C:J,8,FALSE)="Short",AT1125,AU1125),"")</f>
        <v/>
      </c>
      <c r="AW1125" s="109" t="str">
        <f t="shared" si="511"/>
        <v/>
      </c>
      <c r="AX1125" s="109" t="str">
        <f t="shared" si="512"/>
        <v/>
      </c>
      <c r="AY1125" s="112" t="str">
        <f>IF(ISNUMBER(O1125),IF(AND(VLOOKUP($D1125,Merchantability!$B:$C,2,0)="Yes",$E1125&gt;=VLOOKUP($D1125,Merchantability!$B:$D,3,0),$E1125&lt;=VLOOKUP($D1125,Merchantability!$B:$E,4,0)),(AV1125*O1125)*(1-$H1125/100),""),"")</f>
        <v/>
      </c>
      <c r="AZ1125" s="116"/>
      <c r="BA1125" s="116"/>
      <c r="BB1125" s="116"/>
      <c r="BE1125" s="62"/>
      <c r="BF1125" s="63"/>
    </row>
    <row r="1126" spans="1:58" ht="12.75" customHeight="1" x14ac:dyDescent="0.25">
      <c r="A1126" s="313"/>
      <c r="B1126" s="328"/>
      <c r="C1126" s="329"/>
      <c r="D1126" s="328"/>
      <c r="E1126" s="330"/>
      <c r="F1126" s="328"/>
      <c r="G1126" s="329"/>
      <c r="H1126" s="329"/>
      <c r="I1126" s="328"/>
      <c r="J1126" s="383"/>
      <c r="K1126" s="329"/>
      <c r="L1126" s="329"/>
      <c r="M1126" s="76"/>
      <c r="N1126" s="103" t="str">
        <f>IF(A1126="","",VLOOKUP(A1126,Stand!C:K,9,0))</f>
        <v/>
      </c>
      <c r="O1126" s="104" t="str">
        <f t="shared" si="497"/>
        <v/>
      </c>
      <c r="P1126" s="105" t="str">
        <f t="shared" si="498"/>
        <v/>
      </c>
      <c r="Q1126" s="105" t="str">
        <f t="shared" si="513"/>
        <v/>
      </c>
      <c r="R1126" s="103" t="str">
        <f t="shared" si="499"/>
        <v/>
      </c>
      <c r="S1126" s="103" t="str">
        <f t="shared" si="500"/>
        <v/>
      </c>
      <c r="T1126" s="106" t="str">
        <f t="shared" si="514"/>
        <v/>
      </c>
      <c r="U1126" s="106" t="str">
        <f t="shared" si="515"/>
        <v/>
      </c>
      <c r="V1126" s="106" t="str">
        <f t="shared" si="516"/>
        <v/>
      </c>
      <c r="W1126" s="105" t="str">
        <f t="shared" si="501"/>
        <v/>
      </c>
      <c r="X1126" s="104" t="str">
        <f t="shared" si="506"/>
        <v/>
      </c>
      <c r="Y1126" s="104" t="str">
        <f t="array" ref="Y1126">IFERROR(IF(ISNUMBER(O1126),IF(COUNT(IF(A1126=$A$2:$A$2427,IF(D1126=$D$2:$D$2427,IF($X$2:$X$2427&gt;0,1))))&gt;0,SUM(IF(A1126=$A$2:$A$2427,IF(D1126=$D$2:$D$2427,$X$2:$X$2427)))/COUNT(IF(A1126=$A$2:$A$2427,IF(D1126=$D$2:$D$2427,IF(ISNUMBER($X$2:$X$2427),1)))),0),""),0)</f>
        <v/>
      </c>
      <c r="Z1126" s="104" t="str">
        <f>IF(ISNUMBER(O1126),IF(I1126&gt;0,(10^(VLOOKUP(D1126,'Species Codes'!B:C,2,0)+VLOOKUP(D1126,'Species Codes'!B:D,3,0)*LOG(E1126)+VLOOKUP(D1126,'Species Codes'!B:E,4,0)*LOG(I1126))),0),"")</f>
        <v/>
      </c>
      <c r="AA1126" s="104" t="str">
        <f>IFERROR((VLOOKUP(D1126,'Species Codes'!B:G,6,0)*Z1126)/2000,"")</f>
        <v/>
      </c>
      <c r="AB1126" s="104" t="e">
        <f>IF(Z1126&gt;0,((IF(OR(D1126="DF",D1126="RA")=TRUE,EXP(VLOOKUP(D1126,'Species Codes'!B:I,8,0)+VLOOKUP(D1126,'Species Codes'!B:J,9,0)*(LN((E1126*2.54)))),IF(OR(D1126="PY",D1126="RC",D1126="WH",D1126="NF")=TRUE,VLOOKUP(D1126,'Species Codes'!B:I,8,0)+VLOOKUP(D1126,'Species Codes'!B:J,9,0)*((E1126*2.54)^2)*(I1126*0.3048),IF(OR(D1126="MD",D1126="BM",D1126="GA")=TRUE,((VLOOKUP(D1126,'Species Codes'!B:I,8,0)*(((((E1126*2.54)+VLOOKUP(D1126,'Species Codes'!B:J,9,0))/VLOOKUP(D1126,'Species Codes'!B:K,10,0))^VLOOKUP(D1126,'Species Codes'!B:L,11,0))*((I1126*0.3048)^VLOOKUP(D1126,'Species Codes'!B:M,12,0))))-(VLOOKUP(D1126,'Species Codes'!B:I,8,0)*((((E1126*2.54)^VLOOKUP(D1126,'Species Codes'!B:L,11,0))*((I1126*0.3048)^VLOOKUP(D1126,'Species Codes'!B:M,12,0))))))*35.3*VLOOKUP(D1126,'Species Codes'!B:G,6,0)/2.2046,VLOOKUP(D1126,'Species Codes'!B:I,8,0)+VLOOKUP(D1126,'Species Codes'!B:J,9,0)*(((E1126*2.54)/100)^2)*(I1126*0.3048)))))*0.0011023),0)</f>
        <v>#N/A</v>
      </c>
      <c r="AC1126" s="104" t="e">
        <f>IF(Z1126&gt;0,((IF(OR(D1126="RA",D1126="OA",D1126="OT",D1126="UN",D1126="PC"),EXP(VLOOKUP(D1126,'Species Codes'!B:O,14,0)+VLOOKUP(D1126,'Species Codes'!B:P,15,0)*LN((E1126*2.54)))-EXP(VLOOKUP(D1126,'Species Codes'!B:O,14,0)+VLOOKUP(D1126,'Species Codes'!B:P,15,0)*LN((E1126*2.54)))*(1/(VLOOKUP(D1126,'Species Codes'!B:Q,16,0)+VLOOKUP(D1126,'Species Codes'!B:R,17,0)*((E1126*2.54)^VLOOKUP(D1126,'Species Codes'!B:S,18,0)))),IF(OR(D1126="BM",D1126="MD",D1126="OA"),EXP(VLOOKUP(D1126,'Species Codes'!B:O,14,0)+VLOOKUP(D1126,'Species Codes'!B:P,15,0)*LN((E1126*2.54)))*(1-(1/(VLOOKUP(D1126,'Species Codes'!B:Q,16,0)+VLOOKUP(D1126,'Species Codes'!B:R,17,0)*((E1126*2.54)^VLOOKUP(D1126,'Species Codes'!B:S,18,0)))))/1000,IF(D1126="DF",EXP(VLOOKUP(D1126,'Species Codes'!B:O,14,0)+VLOOKUP(D1126,'Species Codes'!B:P,15,0)*LN((E1126*2.54))),VLOOKUP(D1126,'Species Codes'!B:O,14,0)+VLOOKUP(D1126,'Species Codes'!B:P,15,0)*(((E1126*2.54)/100)^2)*(I1126*0.3048)))))*0.0011023),0)</f>
        <v>#N/A</v>
      </c>
      <c r="AD1126" s="104" t="e">
        <f t="shared" si="517"/>
        <v>#N/A</v>
      </c>
      <c r="AE1126" s="104" t="e">
        <f t="shared" si="518"/>
        <v>#N/A</v>
      </c>
      <c r="AF1126" s="104" t="e">
        <f>IF(AND(VLOOKUP($D1126,Merchantability!$B:$C,2,0)="Yes",$E1126&gt;=VLOOKUP($D1126,Merchantability!$B:$D,3,0),$E1126&lt;=VLOOKUP($D1126,Merchantability!$B:$E,4,0)),AA1126,0)</f>
        <v>#N/A</v>
      </c>
      <c r="AG1126" s="104" t="e">
        <f>IF(AND(VLOOKUP($D1126,Merchantability!$B:$C,2,0)="Yes",$E1126&gt;=VLOOKUP($D1126,Merchantability!$B:$D,3,0),$E1126&lt;=VLOOKUP($D1126,Merchantability!$B:$E,4,0)),AB1126,0)</f>
        <v>#N/A</v>
      </c>
      <c r="AH1126" s="104" t="e">
        <f>IF(AND(VLOOKUP($D1126,Merchantability!$B:$C,2,0)="Yes",$E1126&gt;=VLOOKUP($D1126,Merchantability!$B:$D,3,0),$E1126&lt;=VLOOKUP($D1126,Merchantability!$B:$E,4,0)),AC1126,0)</f>
        <v>#N/A</v>
      </c>
      <c r="AI1126" s="104" t="e">
        <f t="shared" si="519"/>
        <v>#N/A</v>
      </c>
      <c r="AJ1126" s="104" t="e">
        <f t="shared" si="520"/>
        <v>#VALUE!</v>
      </c>
      <c r="AK1126" s="104" t="e">
        <f t="shared" si="521"/>
        <v>#N/A</v>
      </c>
      <c r="AL1126" s="104" t="e">
        <f t="shared" si="522"/>
        <v>#N/A</v>
      </c>
      <c r="AM1126" s="104" t="e">
        <f t="shared" si="523"/>
        <v>#N/A</v>
      </c>
      <c r="AN1126" s="104" t="e">
        <f t="shared" si="507"/>
        <v>#N/A</v>
      </c>
      <c r="AO1126" s="104" t="e">
        <f t="shared" si="508"/>
        <v>#N/A</v>
      </c>
      <c r="AP1126" s="104" t="e">
        <f t="shared" si="509"/>
        <v>#N/A</v>
      </c>
      <c r="AQ1126" s="104" t="e">
        <f t="shared" si="510"/>
        <v>#N/A</v>
      </c>
      <c r="AR1126" s="105" t="str">
        <f t="shared" si="502"/>
        <v/>
      </c>
      <c r="AS1126" s="105" t="str">
        <f t="shared" si="503"/>
        <v/>
      </c>
      <c r="AT1126" s="108" t="str">
        <f t="shared" si="504"/>
        <v/>
      </c>
      <c r="AU1126" s="108" t="str">
        <f t="shared" si="505"/>
        <v/>
      </c>
      <c r="AV1126" s="107" t="str">
        <f>IF(ISNUMBER(O1126),IF(VLOOKUP($A1126,Stand!C:J,8,FALSE)="Short",AT1126,AU1126),"")</f>
        <v/>
      </c>
      <c r="AW1126" s="109" t="str">
        <f t="shared" si="511"/>
        <v/>
      </c>
      <c r="AX1126" s="109" t="str">
        <f t="shared" si="512"/>
        <v/>
      </c>
      <c r="AY1126" s="112" t="str">
        <f>IF(ISNUMBER(O1126),IF(AND(VLOOKUP($D1126,Merchantability!$B:$C,2,0)="Yes",$E1126&gt;=VLOOKUP($D1126,Merchantability!$B:$D,3,0),$E1126&lt;=VLOOKUP($D1126,Merchantability!$B:$E,4,0)),(AV1126*O1126)*(1-$H1126/100),""),"")</f>
        <v/>
      </c>
      <c r="AZ1126" s="116"/>
      <c r="BA1126" s="116"/>
      <c r="BB1126" s="116"/>
      <c r="BE1126" s="62"/>
      <c r="BF1126" s="63"/>
    </row>
    <row r="1127" spans="1:58" ht="12.75" customHeight="1" x14ac:dyDescent="0.25">
      <c r="A1127" s="313"/>
      <c r="B1127" s="328"/>
      <c r="C1127" s="329"/>
      <c r="D1127" s="328"/>
      <c r="E1127" s="330"/>
      <c r="F1127" s="328"/>
      <c r="G1127" s="329"/>
      <c r="H1127" s="329"/>
      <c r="I1127" s="328"/>
      <c r="J1127" s="383"/>
      <c r="K1127" s="329"/>
      <c r="L1127" s="329"/>
      <c r="M1127" s="76"/>
      <c r="N1127" s="103" t="str">
        <f>IF(A1127="","",VLOOKUP(A1127,Stand!C:K,9,0))</f>
        <v/>
      </c>
      <c r="O1127" s="104" t="str">
        <f t="shared" si="497"/>
        <v/>
      </c>
      <c r="P1127" s="105" t="str">
        <f t="shared" si="498"/>
        <v/>
      </c>
      <c r="Q1127" s="105" t="str">
        <f t="shared" si="513"/>
        <v/>
      </c>
      <c r="R1127" s="103" t="str">
        <f t="shared" si="499"/>
        <v/>
      </c>
      <c r="S1127" s="103" t="str">
        <f t="shared" si="500"/>
        <v/>
      </c>
      <c r="T1127" s="106" t="str">
        <f t="shared" si="514"/>
        <v/>
      </c>
      <c r="U1127" s="106" t="str">
        <f t="shared" si="515"/>
        <v/>
      </c>
      <c r="V1127" s="106" t="str">
        <f t="shared" si="516"/>
        <v/>
      </c>
      <c r="W1127" s="105" t="str">
        <f t="shared" si="501"/>
        <v/>
      </c>
      <c r="X1127" s="104" t="str">
        <f t="shared" si="506"/>
        <v/>
      </c>
      <c r="Y1127" s="104" t="str">
        <f t="array" ref="Y1127">IFERROR(IF(ISNUMBER(O1127),IF(COUNT(IF(A1127=$A$2:$A$2427,IF(D1127=$D$2:$D$2427,IF($X$2:$X$2427&gt;0,1))))&gt;0,SUM(IF(A1127=$A$2:$A$2427,IF(D1127=$D$2:$D$2427,$X$2:$X$2427)))/COUNT(IF(A1127=$A$2:$A$2427,IF(D1127=$D$2:$D$2427,IF(ISNUMBER($X$2:$X$2427),1)))),0),""),0)</f>
        <v/>
      </c>
      <c r="Z1127" s="104" t="str">
        <f>IF(ISNUMBER(O1127),IF(I1127&gt;0,(10^(VLOOKUP(D1127,'Species Codes'!B:C,2,0)+VLOOKUP(D1127,'Species Codes'!B:D,3,0)*LOG(E1127)+VLOOKUP(D1127,'Species Codes'!B:E,4,0)*LOG(I1127))),0),"")</f>
        <v/>
      </c>
      <c r="AA1127" s="104" t="str">
        <f>IFERROR((VLOOKUP(D1127,'Species Codes'!B:G,6,0)*Z1127)/2000,"")</f>
        <v/>
      </c>
      <c r="AB1127" s="104" t="e">
        <f>IF(Z1127&gt;0,((IF(OR(D1127="DF",D1127="RA")=TRUE,EXP(VLOOKUP(D1127,'Species Codes'!B:I,8,0)+VLOOKUP(D1127,'Species Codes'!B:J,9,0)*(LN((E1127*2.54)))),IF(OR(D1127="PY",D1127="RC",D1127="WH",D1127="NF")=TRUE,VLOOKUP(D1127,'Species Codes'!B:I,8,0)+VLOOKUP(D1127,'Species Codes'!B:J,9,0)*((E1127*2.54)^2)*(I1127*0.3048),IF(OR(D1127="MD",D1127="BM",D1127="GA")=TRUE,((VLOOKUP(D1127,'Species Codes'!B:I,8,0)*(((((E1127*2.54)+VLOOKUP(D1127,'Species Codes'!B:J,9,0))/VLOOKUP(D1127,'Species Codes'!B:K,10,0))^VLOOKUP(D1127,'Species Codes'!B:L,11,0))*((I1127*0.3048)^VLOOKUP(D1127,'Species Codes'!B:M,12,0))))-(VLOOKUP(D1127,'Species Codes'!B:I,8,0)*((((E1127*2.54)^VLOOKUP(D1127,'Species Codes'!B:L,11,0))*((I1127*0.3048)^VLOOKUP(D1127,'Species Codes'!B:M,12,0))))))*35.3*VLOOKUP(D1127,'Species Codes'!B:G,6,0)/2.2046,VLOOKUP(D1127,'Species Codes'!B:I,8,0)+VLOOKUP(D1127,'Species Codes'!B:J,9,0)*(((E1127*2.54)/100)^2)*(I1127*0.3048)))))*0.0011023),0)</f>
        <v>#N/A</v>
      </c>
      <c r="AC1127" s="104" t="e">
        <f>IF(Z1127&gt;0,((IF(OR(D1127="RA",D1127="OA",D1127="OT",D1127="UN",D1127="PC"),EXP(VLOOKUP(D1127,'Species Codes'!B:O,14,0)+VLOOKUP(D1127,'Species Codes'!B:P,15,0)*LN((E1127*2.54)))-EXP(VLOOKUP(D1127,'Species Codes'!B:O,14,0)+VLOOKUP(D1127,'Species Codes'!B:P,15,0)*LN((E1127*2.54)))*(1/(VLOOKUP(D1127,'Species Codes'!B:Q,16,0)+VLOOKUP(D1127,'Species Codes'!B:R,17,0)*((E1127*2.54)^VLOOKUP(D1127,'Species Codes'!B:S,18,0)))),IF(OR(D1127="BM",D1127="MD",D1127="OA"),EXP(VLOOKUP(D1127,'Species Codes'!B:O,14,0)+VLOOKUP(D1127,'Species Codes'!B:P,15,0)*LN((E1127*2.54)))*(1-(1/(VLOOKUP(D1127,'Species Codes'!B:Q,16,0)+VLOOKUP(D1127,'Species Codes'!B:R,17,0)*((E1127*2.54)^VLOOKUP(D1127,'Species Codes'!B:S,18,0)))))/1000,IF(D1127="DF",EXP(VLOOKUP(D1127,'Species Codes'!B:O,14,0)+VLOOKUP(D1127,'Species Codes'!B:P,15,0)*LN((E1127*2.54))),VLOOKUP(D1127,'Species Codes'!B:O,14,0)+VLOOKUP(D1127,'Species Codes'!B:P,15,0)*(((E1127*2.54)/100)^2)*(I1127*0.3048)))))*0.0011023),0)</f>
        <v>#N/A</v>
      </c>
      <c r="AD1127" s="104" t="e">
        <f t="shared" si="517"/>
        <v>#N/A</v>
      </c>
      <c r="AE1127" s="104" t="e">
        <f t="shared" si="518"/>
        <v>#N/A</v>
      </c>
      <c r="AF1127" s="104" t="e">
        <f>IF(AND(VLOOKUP($D1127,Merchantability!$B:$C,2,0)="Yes",$E1127&gt;=VLOOKUP($D1127,Merchantability!$B:$D,3,0),$E1127&lt;=VLOOKUP($D1127,Merchantability!$B:$E,4,0)),AA1127,0)</f>
        <v>#N/A</v>
      </c>
      <c r="AG1127" s="104" t="e">
        <f>IF(AND(VLOOKUP($D1127,Merchantability!$B:$C,2,0)="Yes",$E1127&gt;=VLOOKUP($D1127,Merchantability!$B:$D,3,0),$E1127&lt;=VLOOKUP($D1127,Merchantability!$B:$E,4,0)),AB1127,0)</f>
        <v>#N/A</v>
      </c>
      <c r="AH1127" s="104" t="e">
        <f>IF(AND(VLOOKUP($D1127,Merchantability!$B:$C,2,0)="Yes",$E1127&gt;=VLOOKUP($D1127,Merchantability!$B:$D,3,0),$E1127&lt;=VLOOKUP($D1127,Merchantability!$B:$E,4,0)),AC1127,0)</f>
        <v>#N/A</v>
      </c>
      <c r="AI1127" s="104" t="e">
        <f t="shared" si="519"/>
        <v>#N/A</v>
      </c>
      <c r="AJ1127" s="104" t="e">
        <f t="shared" si="520"/>
        <v>#VALUE!</v>
      </c>
      <c r="AK1127" s="104" t="e">
        <f t="shared" si="521"/>
        <v>#N/A</v>
      </c>
      <c r="AL1127" s="104" t="e">
        <f t="shared" si="522"/>
        <v>#N/A</v>
      </c>
      <c r="AM1127" s="104" t="e">
        <f t="shared" si="523"/>
        <v>#N/A</v>
      </c>
      <c r="AN1127" s="104" t="e">
        <f t="shared" si="507"/>
        <v>#N/A</v>
      </c>
      <c r="AO1127" s="104" t="e">
        <f t="shared" si="508"/>
        <v>#N/A</v>
      </c>
      <c r="AP1127" s="104" t="e">
        <f t="shared" si="509"/>
        <v>#N/A</v>
      </c>
      <c r="AQ1127" s="104" t="e">
        <f t="shared" si="510"/>
        <v>#N/A</v>
      </c>
      <c r="AR1127" s="105" t="str">
        <f t="shared" si="502"/>
        <v/>
      </c>
      <c r="AS1127" s="105" t="str">
        <f t="shared" si="503"/>
        <v/>
      </c>
      <c r="AT1127" s="108" t="str">
        <f t="shared" si="504"/>
        <v/>
      </c>
      <c r="AU1127" s="108" t="str">
        <f t="shared" si="505"/>
        <v/>
      </c>
      <c r="AV1127" s="107" t="str">
        <f>IF(ISNUMBER(O1127),IF(VLOOKUP($A1127,Stand!C:J,8,FALSE)="Short",AT1127,AU1127),"")</f>
        <v/>
      </c>
      <c r="AW1127" s="109" t="str">
        <f t="shared" si="511"/>
        <v/>
      </c>
      <c r="AX1127" s="109" t="str">
        <f t="shared" si="512"/>
        <v/>
      </c>
      <c r="AY1127" s="112" t="str">
        <f>IF(ISNUMBER(O1127),IF(AND(VLOOKUP($D1127,Merchantability!$B:$C,2,0)="Yes",$E1127&gt;=VLOOKUP($D1127,Merchantability!$B:$D,3,0),$E1127&lt;=VLOOKUP($D1127,Merchantability!$B:$E,4,0)),(AV1127*O1127)*(1-$H1127/100),""),"")</f>
        <v/>
      </c>
      <c r="AZ1127" s="116"/>
      <c r="BA1127" s="116"/>
      <c r="BB1127" s="116"/>
      <c r="BE1127" s="62"/>
      <c r="BF1127" s="63"/>
    </row>
    <row r="1128" spans="1:58" ht="12.75" customHeight="1" x14ac:dyDescent="0.25">
      <c r="A1128" s="313"/>
      <c r="B1128" s="328"/>
      <c r="C1128" s="329"/>
      <c r="D1128" s="328"/>
      <c r="E1128" s="330"/>
      <c r="F1128" s="328"/>
      <c r="G1128" s="329"/>
      <c r="H1128" s="329"/>
      <c r="I1128" s="328"/>
      <c r="J1128" s="383"/>
      <c r="K1128" s="329"/>
      <c r="L1128" s="329"/>
      <c r="M1128" s="76"/>
      <c r="N1128" s="103" t="str">
        <f>IF(A1128="","",VLOOKUP(A1128,Stand!C:K,9,0))</f>
        <v/>
      </c>
      <c r="O1128" s="104" t="str">
        <f t="shared" si="497"/>
        <v/>
      </c>
      <c r="P1128" s="105" t="str">
        <f t="shared" si="498"/>
        <v/>
      </c>
      <c r="Q1128" s="105" t="str">
        <f t="shared" si="513"/>
        <v/>
      </c>
      <c r="R1128" s="103" t="str">
        <f t="shared" si="499"/>
        <v/>
      </c>
      <c r="S1128" s="103" t="str">
        <f t="shared" si="500"/>
        <v/>
      </c>
      <c r="T1128" s="106" t="str">
        <f t="shared" si="514"/>
        <v/>
      </c>
      <c r="U1128" s="106" t="str">
        <f t="shared" si="515"/>
        <v/>
      </c>
      <c r="V1128" s="106" t="str">
        <f t="shared" si="516"/>
        <v/>
      </c>
      <c r="W1128" s="105" t="str">
        <f t="shared" si="501"/>
        <v/>
      </c>
      <c r="X1128" s="104" t="str">
        <f t="shared" si="506"/>
        <v/>
      </c>
      <c r="Y1128" s="104" t="str">
        <f t="array" ref="Y1128">IFERROR(IF(ISNUMBER(O1128),IF(COUNT(IF(A1128=$A$2:$A$2427,IF(D1128=$D$2:$D$2427,IF($X$2:$X$2427&gt;0,1))))&gt;0,SUM(IF(A1128=$A$2:$A$2427,IF(D1128=$D$2:$D$2427,$X$2:$X$2427)))/COUNT(IF(A1128=$A$2:$A$2427,IF(D1128=$D$2:$D$2427,IF(ISNUMBER($X$2:$X$2427),1)))),0),""),0)</f>
        <v/>
      </c>
      <c r="Z1128" s="104" t="str">
        <f>IF(ISNUMBER(O1128),IF(I1128&gt;0,(10^(VLOOKUP(D1128,'Species Codes'!B:C,2,0)+VLOOKUP(D1128,'Species Codes'!B:D,3,0)*LOG(E1128)+VLOOKUP(D1128,'Species Codes'!B:E,4,0)*LOG(I1128))),0),"")</f>
        <v/>
      </c>
      <c r="AA1128" s="104" t="str">
        <f>IFERROR((VLOOKUP(D1128,'Species Codes'!B:G,6,0)*Z1128)/2000,"")</f>
        <v/>
      </c>
      <c r="AB1128" s="104" t="e">
        <f>IF(Z1128&gt;0,((IF(OR(D1128="DF",D1128="RA")=TRUE,EXP(VLOOKUP(D1128,'Species Codes'!B:I,8,0)+VLOOKUP(D1128,'Species Codes'!B:J,9,0)*(LN((E1128*2.54)))),IF(OR(D1128="PY",D1128="RC",D1128="WH",D1128="NF")=TRUE,VLOOKUP(D1128,'Species Codes'!B:I,8,0)+VLOOKUP(D1128,'Species Codes'!B:J,9,0)*((E1128*2.54)^2)*(I1128*0.3048),IF(OR(D1128="MD",D1128="BM",D1128="GA")=TRUE,((VLOOKUP(D1128,'Species Codes'!B:I,8,0)*(((((E1128*2.54)+VLOOKUP(D1128,'Species Codes'!B:J,9,0))/VLOOKUP(D1128,'Species Codes'!B:K,10,0))^VLOOKUP(D1128,'Species Codes'!B:L,11,0))*((I1128*0.3048)^VLOOKUP(D1128,'Species Codes'!B:M,12,0))))-(VLOOKUP(D1128,'Species Codes'!B:I,8,0)*((((E1128*2.54)^VLOOKUP(D1128,'Species Codes'!B:L,11,0))*((I1128*0.3048)^VLOOKUP(D1128,'Species Codes'!B:M,12,0))))))*35.3*VLOOKUP(D1128,'Species Codes'!B:G,6,0)/2.2046,VLOOKUP(D1128,'Species Codes'!B:I,8,0)+VLOOKUP(D1128,'Species Codes'!B:J,9,0)*(((E1128*2.54)/100)^2)*(I1128*0.3048)))))*0.0011023),0)</f>
        <v>#N/A</v>
      </c>
      <c r="AC1128" s="104" t="e">
        <f>IF(Z1128&gt;0,((IF(OR(D1128="RA",D1128="OA",D1128="OT",D1128="UN",D1128="PC"),EXP(VLOOKUP(D1128,'Species Codes'!B:O,14,0)+VLOOKUP(D1128,'Species Codes'!B:P,15,0)*LN((E1128*2.54)))-EXP(VLOOKUP(D1128,'Species Codes'!B:O,14,0)+VLOOKUP(D1128,'Species Codes'!B:P,15,0)*LN((E1128*2.54)))*(1/(VLOOKUP(D1128,'Species Codes'!B:Q,16,0)+VLOOKUP(D1128,'Species Codes'!B:R,17,0)*((E1128*2.54)^VLOOKUP(D1128,'Species Codes'!B:S,18,0)))),IF(OR(D1128="BM",D1128="MD",D1128="OA"),EXP(VLOOKUP(D1128,'Species Codes'!B:O,14,0)+VLOOKUP(D1128,'Species Codes'!B:P,15,0)*LN((E1128*2.54)))*(1-(1/(VLOOKUP(D1128,'Species Codes'!B:Q,16,0)+VLOOKUP(D1128,'Species Codes'!B:R,17,0)*((E1128*2.54)^VLOOKUP(D1128,'Species Codes'!B:S,18,0)))))/1000,IF(D1128="DF",EXP(VLOOKUP(D1128,'Species Codes'!B:O,14,0)+VLOOKUP(D1128,'Species Codes'!B:P,15,0)*LN((E1128*2.54))),VLOOKUP(D1128,'Species Codes'!B:O,14,0)+VLOOKUP(D1128,'Species Codes'!B:P,15,0)*(((E1128*2.54)/100)^2)*(I1128*0.3048)))))*0.0011023),0)</f>
        <v>#N/A</v>
      </c>
      <c r="AD1128" s="104" t="e">
        <f t="shared" si="517"/>
        <v>#N/A</v>
      </c>
      <c r="AE1128" s="104" t="e">
        <f t="shared" si="518"/>
        <v>#N/A</v>
      </c>
      <c r="AF1128" s="104" t="e">
        <f>IF(AND(VLOOKUP($D1128,Merchantability!$B:$C,2,0)="Yes",$E1128&gt;=VLOOKUP($D1128,Merchantability!$B:$D,3,0),$E1128&lt;=VLOOKUP($D1128,Merchantability!$B:$E,4,0)),AA1128,0)</f>
        <v>#N/A</v>
      </c>
      <c r="AG1128" s="104" t="e">
        <f>IF(AND(VLOOKUP($D1128,Merchantability!$B:$C,2,0)="Yes",$E1128&gt;=VLOOKUP($D1128,Merchantability!$B:$D,3,0),$E1128&lt;=VLOOKUP($D1128,Merchantability!$B:$E,4,0)),AB1128,0)</f>
        <v>#N/A</v>
      </c>
      <c r="AH1128" s="104" t="e">
        <f>IF(AND(VLOOKUP($D1128,Merchantability!$B:$C,2,0)="Yes",$E1128&gt;=VLOOKUP($D1128,Merchantability!$B:$D,3,0),$E1128&lt;=VLOOKUP($D1128,Merchantability!$B:$E,4,0)),AC1128,0)</f>
        <v>#N/A</v>
      </c>
      <c r="AI1128" s="104" t="e">
        <f t="shared" si="519"/>
        <v>#N/A</v>
      </c>
      <c r="AJ1128" s="104" t="e">
        <f t="shared" si="520"/>
        <v>#VALUE!</v>
      </c>
      <c r="AK1128" s="104" t="e">
        <f t="shared" si="521"/>
        <v>#N/A</v>
      </c>
      <c r="AL1128" s="104" t="e">
        <f t="shared" si="522"/>
        <v>#N/A</v>
      </c>
      <c r="AM1128" s="104" t="e">
        <f t="shared" si="523"/>
        <v>#N/A</v>
      </c>
      <c r="AN1128" s="104" t="e">
        <f t="shared" si="507"/>
        <v>#N/A</v>
      </c>
      <c r="AO1128" s="104" t="e">
        <f t="shared" si="508"/>
        <v>#N/A</v>
      </c>
      <c r="AP1128" s="104" t="e">
        <f t="shared" si="509"/>
        <v>#N/A</v>
      </c>
      <c r="AQ1128" s="104" t="e">
        <f t="shared" si="510"/>
        <v>#N/A</v>
      </c>
      <c r="AR1128" s="105" t="str">
        <f t="shared" si="502"/>
        <v/>
      </c>
      <c r="AS1128" s="105" t="str">
        <f t="shared" si="503"/>
        <v/>
      </c>
      <c r="AT1128" s="108" t="str">
        <f t="shared" si="504"/>
        <v/>
      </c>
      <c r="AU1128" s="108" t="str">
        <f t="shared" si="505"/>
        <v/>
      </c>
      <c r="AV1128" s="107" t="str">
        <f>IF(ISNUMBER(O1128),IF(VLOOKUP($A1128,Stand!C:J,8,FALSE)="Short",AT1128,AU1128),"")</f>
        <v/>
      </c>
      <c r="AW1128" s="109" t="str">
        <f t="shared" si="511"/>
        <v/>
      </c>
      <c r="AX1128" s="109" t="str">
        <f t="shared" si="512"/>
        <v/>
      </c>
      <c r="AY1128" s="112" t="str">
        <f>IF(ISNUMBER(O1128),IF(AND(VLOOKUP($D1128,Merchantability!$B:$C,2,0)="Yes",$E1128&gt;=VLOOKUP($D1128,Merchantability!$B:$D,3,0),$E1128&lt;=VLOOKUP($D1128,Merchantability!$B:$E,4,0)),(AV1128*O1128)*(1-$H1128/100),""),"")</f>
        <v/>
      </c>
      <c r="AZ1128" s="116"/>
      <c r="BA1128" s="116"/>
      <c r="BB1128" s="116"/>
      <c r="BE1128" s="62"/>
      <c r="BF1128" s="63"/>
    </row>
    <row r="1129" spans="1:58" ht="12.75" customHeight="1" x14ac:dyDescent="0.25">
      <c r="A1129" s="313"/>
      <c r="B1129" s="328"/>
      <c r="C1129" s="329"/>
      <c r="D1129" s="328"/>
      <c r="E1129" s="330"/>
      <c r="F1129" s="328"/>
      <c r="G1129" s="329"/>
      <c r="H1129" s="329"/>
      <c r="I1129" s="328"/>
      <c r="J1129" s="383"/>
      <c r="K1129" s="329"/>
      <c r="L1129" s="329"/>
      <c r="M1129" s="76"/>
      <c r="N1129" s="103" t="str">
        <f>IF(A1129="","",VLOOKUP(A1129,Stand!C:K,9,0))</f>
        <v/>
      </c>
      <c r="O1129" s="104" t="str">
        <f t="shared" si="497"/>
        <v/>
      </c>
      <c r="P1129" s="105" t="str">
        <f t="shared" si="498"/>
        <v/>
      </c>
      <c r="Q1129" s="105" t="str">
        <f t="shared" si="513"/>
        <v/>
      </c>
      <c r="R1129" s="103" t="str">
        <f t="shared" si="499"/>
        <v/>
      </c>
      <c r="S1129" s="103" t="str">
        <f t="shared" si="500"/>
        <v/>
      </c>
      <c r="T1129" s="106" t="str">
        <f t="shared" si="514"/>
        <v/>
      </c>
      <c r="U1129" s="106" t="str">
        <f t="shared" si="515"/>
        <v/>
      </c>
      <c r="V1129" s="106" t="str">
        <f t="shared" si="516"/>
        <v/>
      </c>
      <c r="W1129" s="105" t="str">
        <f t="shared" si="501"/>
        <v/>
      </c>
      <c r="X1129" s="104" t="str">
        <f t="shared" si="506"/>
        <v/>
      </c>
      <c r="Y1129" s="104" t="str">
        <f t="array" ref="Y1129">IFERROR(IF(ISNUMBER(O1129),IF(COUNT(IF(A1129=$A$2:$A$2427,IF(D1129=$D$2:$D$2427,IF($X$2:$X$2427&gt;0,1))))&gt;0,SUM(IF(A1129=$A$2:$A$2427,IF(D1129=$D$2:$D$2427,$X$2:$X$2427)))/COUNT(IF(A1129=$A$2:$A$2427,IF(D1129=$D$2:$D$2427,IF(ISNUMBER($X$2:$X$2427),1)))),0),""),0)</f>
        <v/>
      </c>
      <c r="Z1129" s="104" t="str">
        <f>IF(ISNUMBER(O1129),IF(I1129&gt;0,(10^(VLOOKUP(D1129,'Species Codes'!B:C,2,0)+VLOOKUP(D1129,'Species Codes'!B:D,3,0)*LOG(E1129)+VLOOKUP(D1129,'Species Codes'!B:E,4,0)*LOG(I1129))),0),"")</f>
        <v/>
      </c>
      <c r="AA1129" s="104" t="str">
        <f>IFERROR((VLOOKUP(D1129,'Species Codes'!B:G,6,0)*Z1129)/2000,"")</f>
        <v/>
      </c>
      <c r="AB1129" s="104" t="e">
        <f>IF(Z1129&gt;0,((IF(OR(D1129="DF",D1129="RA")=TRUE,EXP(VLOOKUP(D1129,'Species Codes'!B:I,8,0)+VLOOKUP(D1129,'Species Codes'!B:J,9,0)*(LN((E1129*2.54)))),IF(OR(D1129="PY",D1129="RC",D1129="WH",D1129="NF")=TRUE,VLOOKUP(D1129,'Species Codes'!B:I,8,0)+VLOOKUP(D1129,'Species Codes'!B:J,9,0)*((E1129*2.54)^2)*(I1129*0.3048),IF(OR(D1129="MD",D1129="BM",D1129="GA")=TRUE,((VLOOKUP(D1129,'Species Codes'!B:I,8,0)*(((((E1129*2.54)+VLOOKUP(D1129,'Species Codes'!B:J,9,0))/VLOOKUP(D1129,'Species Codes'!B:K,10,0))^VLOOKUP(D1129,'Species Codes'!B:L,11,0))*((I1129*0.3048)^VLOOKUP(D1129,'Species Codes'!B:M,12,0))))-(VLOOKUP(D1129,'Species Codes'!B:I,8,0)*((((E1129*2.54)^VLOOKUP(D1129,'Species Codes'!B:L,11,0))*((I1129*0.3048)^VLOOKUP(D1129,'Species Codes'!B:M,12,0))))))*35.3*VLOOKUP(D1129,'Species Codes'!B:G,6,0)/2.2046,VLOOKUP(D1129,'Species Codes'!B:I,8,0)+VLOOKUP(D1129,'Species Codes'!B:J,9,0)*(((E1129*2.54)/100)^2)*(I1129*0.3048)))))*0.0011023),0)</f>
        <v>#N/A</v>
      </c>
      <c r="AC1129" s="104" t="e">
        <f>IF(Z1129&gt;0,((IF(OR(D1129="RA",D1129="OA",D1129="OT",D1129="UN",D1129="PC"),EXP(VLOOKUP(D1129,'Species Codes'!B:O,14,0)+VLOOKUP(D1129,'Species Codes'!B:P,15,0)*LN((E1129*2.54)))-EXP(VLOOKUP(D1129,'Species Codes'!B:O,14,0)+VLOOKUP(D1129,'Species Codes'!B:P,15,0)*LN((E1129*2.54)))*(1/(VLOOKUP(D1129,'Species Codes'!B:Q,16,0)+VLOOKUP(D1129,'Species Codes'!B:R,17,0)*((E1129*2.54)^VLOOKUP(D1129,'Species Codes'!B:S,18,0)))),IF(OR(D1129="BM",D1129="MD",D1129="OA"),EXP(VLOOKUP(D1129,'Species Codes'!B:O,14,0)+VLOOKUP(D1129,'Species Codes'!B:P,15,0)*LN((E1129*2.54)))*(1-(1/(VLOOKUP(D1129,'Species Codes'!B:Q,16,0)+VLOOKUP(D1129,'Species Codes'!B:R,17,0)*((E1129*2.54)^VLOOKUP(D1129,'Species Codes'!B:S,18,0)))))/1000,IF(D1129="DF",EXP(VLOOKUP(D1129,'Species Codes'!B:O,14,0)+VLOOKUP(D1129,'Species Codes'!B:P,15,0)*LN((E1129*2.54))),VLOOKUP(D1129,'Species Codes'!B:O,14,0)+VLOOKUP(D1129,'Species Codes'!B:P,15,0)*(((E1129*2.54)/100)^2)*(I1129*0.3048)))))*0.0011023),0)</f>
        <v>#N/A</v>
      </c>
      <c r="AD1129" s="104" t="e">
        <f t="shared" si="517"/>
        <v>#N/A</v>
      </c>
      <c r="AE1129" s="104" t="e">
        <f t="shared" si="518"/>
        <v>#N/A</v>
      </c>
      <c r="AF1129" s="104" t="e">
        <f>IF(AND(VLOOKUP($D1129,Merchantability!$B:$C,2,0)="Yes",$E1129&gt;=VLOOKUP($D1129,Merchantability!$B:$D,3,0),$E1129&lt;=VLOOKUP($D1129,Merchantability!$B:$E,4,0)),AA1129,0)</f>
        <v>#N/A</v>
      </c>
      <c r="AG1129" s="104" t="e">
        <f>IF(AND(VLOOKUP($D1129,Merchantability!$B:$C,2,0)="Yes",$E1129&gt;=VLOOKUP($D1129,Merchantability!$B:$D,3,0),$E1129&lt;=VLOOKUP($D1129,Merchantability!$B:$E,4,0)),AB1129,0)</f>
        <v>#N/A</v>
      </c>
      <c r="AH1129" s="104" t="e">
        <f>IF(AND(VLOOKUP($D1129,Merchantability!$B:$C,2,0)="Yes",$E1129&gt;=VLOOKUP($D1129,Merchantability!$B:$D,3,0),$E1129&lt;=VLOOKUP($D1129,Merchantability!$B:$E,4,0)),AC1129,0)</f>
        <v>#N/A</v>
      </c>
      <c r="AI1129" s="104" t="e">
        <f t="shared" si="519"/>
        <v>#N/A</v>
      </c>
      <c r="AJ1129" s="104" t="e">
        <f t="shared" si="520"/>
        <v>#VALUE!</v>
      </c>
      <c r="AK1129" s="104" t="e">
        <f t="shared" si="521"/>
        <v>#N/A</v>
      </c>
      <c r="AL1129" s="104" t="e">
        <f t="shared" si="522"/>
        <v>#N/A</v>
      </c>
      <c r="AM1129" s="104" t="e">
        <f t="shared" si="523"/>
        <v>#N/A</v>
      </c>
      <c r="AN1129" s="104" t="e">
        <f t="shared" si="507"/>
        <v>#N/A</v>
      </c>
      <c r="AO1129" s="104" t="e">
        <f t="shared" si="508"/>
        <v>#N/A</v>
      </c>
      <c r="AP1129" s="104" t="e">
        <f t="shared" si="509"/>
        <v>#N/A</v>
      </c>
      <c r="AQ1129" s="104" t="e">
        <f t="shared" si="510"/>
        <v>#N/A</v>
      </c>
      <c r="AR1129" s="105" t="str">
        <f t="shared" si="502"/>
        <v/>
      </c>
      <c r="AS1129" s="105" t="str">
        <f t="shared" si="503"/>
        <v/>
      </c>
      <c r="AT1129" s="108" t="str">
        <f t="shared" si="504"/>
        <v/>
      </c>
      <c r="AU1129" s="108" t="str">
        <f t="shared" si="505"/>
        <v/>
      </c>
      <c r="AV1129" s="107" t="str">
        <f>IF(ISNUMBER(O1129),IF(VLOOKUP($A1129,Stand!C:J,8,FALSE)="Short",AT1129,AU1129),"")</f>
        <v/>
      </c>
      <c r="AW1129" s="109" t="str">
        <f t="shared" si="511"/>
        <v/>
      </c>
      <c r="AX1129" s="109" t="str">
        <f t="shared" si="512"/>
        <v/>
      </c>
      <c r="AY1129" s="112" t="str">
        <f>IF(ISNUMBER(O1129),IF(AND(VLOOKUP($D1129,Merchantability!$B:$C,2,0)="Yes",$E1129&gt;=VLOOKUP($D1129,Merchantability!$B:$D,3,0),$E1129&lt;=VLOOKUP($D1129,Merchantability!$B:$E,4,0)),(AV1129*O1129)*(1-$H1129/100),""),"")</f>
        <v/>
      </c>
      <c r="AZ1129" s="116"/>
      <c r="BA1129" s="116"/>
      <c r="BB1129" s="116"/>
      <c r="BE1129" s="62"/>
      <c r="BF1129" s="63"/>
    </row>
    <row r="1130" spans="1:58" ht="12.75" customHeight="1" x14ac:dyDescent="0.25">
      <c r="A1130" s="313"/>
      <c r="B1130" s="328"/>
      <c r="C1130" s="329"/>
      <c r="D1130" s="328"/>
      <c r="E1130" s="330"/>
      <c r="F1130" s="328"/>
      <c r="G1130" s="329"/>
      <c r="H1130" s="329"/>
      <c r="I1130" s="328"/>
      <c r="J1130" s="383"/>
      <c r="K1130" s="329"/>
      <c r="L1130" s="329"/>
      <c r="M1130" s="76"/>
      <c r="N1130" s="103" t="str">
        <f>IF(A1130="","",VLOOKUP(A1130,Stand!C:K,9,0))</f>
        <v/>
      </c>
      <c r="O1130" s="104" t="str">
        <f t="shared" si="497"/>
        <v/>
      </c>
      <c r="P1130" s="105" t="str">
        <f t="shared" si="498"/>
        <v/>
      </c>
      <c r="Q1130" s="105" t="str">
        <f t="shared" si="513"/>
        <v/>
      </c>
      <c r="R1130" s="103" t="str">
        <f t="shared" si="499"/>
        <v/>
      </c>
      <c r="S1130" s="103" t="str">
        <f t="shared" si="500"/>
        <v/>
      </c>
      <c r="T1130" s="106" t="str">
        <f t="shared" si="514"/>
        <v/>
      </c>
      <c r="U1130" s="106" t="str">
        <f t="shared" si="515"/>
        <v/>
      </c>
      <c r="V1130" s="106" t="str">
        <f t="shared" si="516"/>
        <v/>
      </c>
      <c r="W1130" s="105" t="str">
        <f t="shared" si="501"/>
        <v/>
      </c>
      <c r="X1130" s="104" t="str">
        <f t="shared" si="506"/>
        <v/>
      </c>
      <c r="Y1130" s="104" t="str">
        <f t="array" ref="Y1130">IFERROR(IF(ISNUMBER(O1130),IF(COUNT(IF(A1130=$A$2:$A$2427,IF(D1130=$D$2:$D$2427,IF($X$2:$X$2427&gt;0,1))))&gt;0,SUM(IF(A1130=$A$2:$A$2427,IF(D1130=$D$2:$D$2427,$X$2:$X$2427)))/COUNT(IF(A1130=$A$2:$A$2427,IF(D1130=$D$2:$D$2427,IF(ISNUMBER($X$2:$X$2427),1)))),0),""),0)</f>
        <v/>
      </c>
      <c r="Z1130" s="104" t="str">
        <f>IF(ISNUMBER(O1130),IF(I1130&gt;0,(10^(VLOOKUP(D1130,'Species Codes'!B:C,2,0)+VLOOKUP(D1130,'Species Codes'!B:D,3,0)*LOG(E1130)+VLOOKUP(D1130,'Species Codes'!B:E,4,0)*LOG(I1130))),0),"")</f>
        <v/>
      </c>
      <c r="AA1130" s="104" t="str">
        <f>IFERROR((VLOOKUP(D1130,'Species Codes'!B:G,6,0)*Z1130)/2000,"")</f>
        <v/>
      </c>
      <c r="AB1130" s="104" t="e">
        <f>IF(Z1130&gt;0,((IF(OR(D1130="DF",D1130="RA")=TRUE,EXP(VLOOKUP(D1130,'Species Codes'!B:I,8,0)+VLOOKUP(D1130,'Species Codes'!B:J,9,0)*(LN((E1130*2.54)))),IF(OR(D1130="PY",D1130="RC",D1130="WH",D1130="NF")=TRUE,VLOOKUP(D1130,'Species Codes'!B:I,8,0)+VLOOKUP(D1130,'Species Codes'!B:J,9,0)*((E1130*2.54)^2)*(I1130*0.3048),IF(OR(D1130="MD",D1130="BM",D1130="GA")=TRUE,((VLOOKUP(D1130,'Species Codes'!B:I,8,0)*(((((E1130*2.54)+VLOOKUP(D1130,'Species Codes'!B:J,9,0))/VLOOKUP(D1130,'Species Codes'!B:K,10,0))^VLOOKUP(D1130,'Species Codes'!B:L,11,0))*((I1130*0.3048)^VLOOKUP(D1130,'Species Codes'!B:M,12,0))))-(VLOOKUP(D1130,'Species Codes'!B:I,8,0)*((((E1130*2.54)^VLOOKUP(D1130,'Species Codes'!B:L,11,0))*((I1130*0.3048)^VLOOKUP(D1130,'Species Codes'!B:M,12,0))))))*35.3*VLOOKUP(D1130,'Species Codes'!B:G,6,0)/2.2046,VLOOKUP(D1130,'Species Codes'!B:I,8,0)+VLOOKUP(D1130,'Species Codes'!B:J,9,0)*(((E1130*2.54)/100)^2)*(I1130*0.3048)))))*0.0011023),0)</f>
        <v>#N/A</v>
      </c>
      <c r="AC1130" s="104" t="e">
        <f>IF(Z1130&gt;0,((IF(OR(D1130="RA",D1130="OA",D1130="OT",D1130="UN",D1130="PC"),EXP(VLOOKUP(D1130,'Species Codes'!B:O,14,0)+VLOOKUP(D1130,'Species Codes'!B:P,15,0)*LN((E1130*2.54)))-EXP(VLOOKUP(D1130,'Species Codes'!B:O,14,0)+VLOOKUP(D1130,'Species Codes'!B:P,15,0)*LN((E1130*2.54)))*(1/(VLOOKUP(D1130,'Species Codes'!B:Q,16,0)+VLOOKUP(D1130,'Species Codes'!B:R,17,0)*((E1130*2.54)^VLOOKUP(D1130,'Species Codes'!B:S,18,0)))),IF(OR(D1130="BM",D1130="MD",D1130="OA"),EXP(VLOOKUP(D1130,'Species Codes'!B:O,14,0)+VLOOKUP(D1130,'Species Codes'!B:P,15,0)*LN((E1130*2.54)))*(1-(1/(VLOOKUP(D1130,'Species Codes'!B:Q,16,0)+VLOOKUP(D1130,'Species Codes'!B:R,17,0)*((E1130*2.54)^VLOOKUP(D1130,'Species Codes'!B:S,18,0)))))/1000,IF(D1130="DF",EXP(VLOOKUP(D1130,'Species Codes'!B:O,14,0)+VLOOKUP(D1130,'Species Codes'!B:P,15,0)*LN((E1130*2.54))),VLOOKUP(D1130,'Species Codes'!B:O,14,0)+VLOOKUP(D1130,'Species Codes'!B:P,15,0)*(((E1130*2.54)/100)^2)*(I1130*0.3048)))))*0.0011023),0)</f>
        <v>#N/A</v>
      </c>
      <c r="AD1130" s="104" t="e">
        <f t="shared" si="517"/>
        <v>#N/A</v>
      </c>
      <c r="AE1130" s="104" t="e">
        <f t="shared" si="518"/>
        <v>#N/A</v>
      </c>
      <c r="AF1130" s="104" t="e">
        <f>IF(AND(VLOOKUP($D1130,Merchantability!$B:$C,2,0)="Yes",$E1130&gt;=VLOOKUP($D1130,Merchantability!$B:$D,3,0),$E1130&lt;=VLOOKUP($D1130,Merchantability!$B:$E,4,0)),AA1130,0)</f>
        <v>#N/A</v>
      </c>
      <c r="AG1130" s="104" t="e">
        <f>IF(AND(VLOOKUP($D1130,Merchantability!$B:$C,2,0)="Yes",$E1130&gt;=VLOOKUP($D1130,Merchantability!$B:$D,3,0),$E1130&lt;=VLOOKUP($D1130,Merchantability!$B:$E,4,0)),AB1130,0)</f>
        <v>#N/A</v>
      </c>
      <c r="AH1130" s="104" t="e">
        <f>IF(AND(VLOOKUP($D1130,Merchantability!$B:$C,2,0)="Yes",$E1130&gt;=VLOOKUP($D1130,Merchantability!$B:$D,3,0),$E1130&lt;=VLOOKUP($D1130,Merchantability!$B:$E,4,0)),AC1130,0)</f>
        <v>#N/A</v>
      </c>
      <c r="AI1130" s="104" t="e">
        <f t="shared" si="519"/>
        <v>#N/A</v>
      </c>
      <c r="AJ1130" s="104" t="e">
        <f t="shared" si="520"/>
        <v>#VALUE!</v>
      </c>
      <c r="AK1130" s="104" t="e">
        <f t="shared" si="521"/>
        <v>#N/A</v>
      </c>
      <c r="AL1130" s="104" t="e">
        <f t="shared" si="522"/>
        <v>#N/A</v>
      </c>
      <c r="AM1130" s="104" t="e">
        <f t="shared" si="523"/>
        <v>#N/A</v>
      </c>
      <c r="AN1130" s="104" t="e">
        <f t="shared" si="507"/>
        <v>#N/A</v>
      </c>
      <c r="AO1130" s="104" t="e">
        <f t="shared" si="508"/>
        <v>#N/A</v>
      </c>
      <c r="AP1130" s="104" t="e">
        <f t="shared" si="509"/>
        <v>#N/A</v>
      </c>
      <c r="AQ1130" s="104" t="e">
        <f t="shared" si="510"/>
        <v>#N/A</v>
      </c>
      <c r="AR1130" s="105" t="str">
        <f t="shared" si="502"/>
        <v/>
      </c>
      <c r="AS1130" s="105" t="str">
        <f t="shared" si="503"/>
        <v/>
      </c>
      <c r="AT1130" s="108" t="str">
        <f t="shared" si="504"/>
        <v/>
      </c>
      <c r="AU1130" s="108" t="str">
        <f t="shared" si="505"/>
        <v/>
      </c>
      <c r="AV1130" s="107" t="str">
        <f>IF(ISNUMBER(O1130),IF(VLOOKUP($A1130,Stand!C:J,8,FALSE)="Short",AT1130,AU1130),"")</f>
        <v/>
      </c>
      <c r="AW1130" s="109" t="str">
        <f t="shared" si="511"/>
        <v/>
      </c>
      <c r="AX1130" s="109" t="str">
        <f t="shared" si="512"/>
        <v/>
      </c>
      <c r="AY1130" s="112" t="str">
        <f>IF(ISNUMBER(O1130),IF(AND(VLOOKUP($D1130,Merchantability!$B:$C,2,0)="Yes",$E1130&gt;=VLOOKUP($D1130,Merchantability!$B:$D,3,0),$E1130&lt;=VLOOKUP($D1130,Merchantability!$B:$E,4,0)),(AV1130*O1130)*(1-$H1130/100),""),"")</f>
        <v/>
      </c>
      <c r="AZ1130" s="116"/>
      <c r="BA1130" s="116"/>
      <c r="BB1130" s="116"/>
      <c r="BE1130" s="62"/>
      <c r="BF1130" s="63"/>
    </row>
    <row r="1131" spans="1:58" ht="12.75" customHeight="1" x14ac:dyDescent="0.25">
      <c r="A1131" s="313"/>
      <c r="B1131" s="328"/>
      <c r="C1131" s="329"/>
      <c r="D1131" s="328"/>
      <c r="E1131" s="330"/>
      <c r="F1131" s="328"/>
      <c r="G1131" s="329"/>
      <c r="H1131" s="329"/>
      <c r="I1131" s="328"/>
      <c r="J1131" s="383"/>
      <c r="K1131" s="329"/>
      <c r="L1131" s="329"/>
      <c r="M1131" s="76"/>
      <c r="N1131" s="103" t="str">
        <f>IF(A1131="","",VLOOKUP(A1131,Stand!C:K,9,0))</f>
        <v/>
      </c>
      <c r="O1131" s="104" t="str">
        <f t="shared" si="497"/>
        <v/>
      </c>
      <c r="P1131" s="105" t="str">
        <f t="shared" si="498"/>
        <v/>
      </c>
      <c r="Q1131" s="105" t="str">
        <f t="shared" si="513"/>
        <v/>
      </c>
      <c r="R1131" s="103" t="str">
        <f t="shared" si="499"/>
        <v/>
      </c>
      <c r="S1131" s="103" t="str">
        <f t="shared" si="500"/>
        <v/>
      </c>
      <c r="T1131" s="106" t="str">
        <f t="shared" si="514"/>
        <v/>
      </c>
      <c r="U1131" s="106" t="str">
        <f t="shared" si="515"/>
        <v/>
      </c>
      <c r="V1131" s="106" t="str">
        <f t="shared" si="516"/>
        <v/>
      </c>
      <c r="W1131" s="105" t="str">
        <f t="shared" si="501"/>
        <v/>
      </c>
      <c r="X1131" s="104" t="str">
        <f t="shared" si="506"/>
        <v/>
      </c>
      <c r="Y1131" s="104" t="str">
        <f t="array" ref="Y1131">IFERROR(IF(ISNUMBER(O1131),IF(COUNT(IF(A1131=$A$2:$A$2427,IF(D1131=$D$2:$D$2427,IF($X$2:$X$2427&gt;0,1))))&gt;0,SUM(IF(A1131=$A$2:$A$2427,IF(D1131=$D$2:$D$2427,$X$2:$X$2427)))/COUNT(IF(A1131=$A$2:$A$2427,IF(D1131=$D$2:$D$2427,IF(ISNUMBER($X$2:$X$2427),1)))),0),""),0)</f>
        <v/>
      </c>
      <c r="Z1131" s="104" t="str">
        <f>IF(ISNUMBER(O1131),IF(I1131&gt;0,(10^(VLOOKUP(D1131,'Species Codes'!B:C,2,0)+VLOOKUP(D1131,'Species Codes'!B:D,3,0)*LOG(E1131)+VLOOKUP(D1131,'Species Codes'!B:E,4,0)*LOG(I1131))),0),"")</f>
        <v/>
      </c>
      <c r="AA1131" s="104" t="str">
        <f>IFERROR((VLOOKUP(D1131,'Species Codes'!B:G,6,0)*Z1131)/2000,"")</f>
        <v/>
      </c>
      <c r="AB1131" s="104" t="e">
        <f>IF(Z1131&gt;0,((IF(OR(D1131="DF",D1131="RA")=TRUE,EXP(VLOOKUP(D1131,'Species Codes'!B:I,8,0)+VLOOKUP(D1131,'Species Codes'!B:J,9,0)*(LN((E1131*2.54)))),IF(OR(D1131="PY",D1131="RC",D1131="WH",D1131="NF")=TRUE,VLOOKUP(D1131,'Species Codes'!B:I,8,0)+VLOOKUP(D1131,'Species Codes'!B:J,9,0)*((E1131*2.54)^2)*(I1131*0.3048),IF(OR(D1131="MD",D1131="BM",D1131="GA")=TRUE,((VLOOKUP(D1131,'Species Codes'!B:I,8,0)*(((((E1131*2.54)+VLOOKUP(D1131,'Species Codes'!B:J,9,0))/VLOOKUP(D1131,'Species Codes'!B:K,10,0))^VLOOKUP(D1131,'Species Codes'!B:L,11,0))*((I1131*0.3048)^VLOOKUP(D1131,'Species Codes'!B:M,12,0))))-(VLOOKUP(D1131,'Species Codes'!B:I,8,0)*((((E1131*2.54)^VLOOKUP(D1131,'Species Codes'!B:L,11,0))*((I1131*0.3048)^VLOOKUP(D1131,'Species Codes'!B:M,12,0))))))*35.3*VLOOKUP(D1131,'Species Codes'!B:G,6,0)/2.2046,VLOOKUP(D1131,'Species Codes'!B:I,8,0)+VLOOKUP(D1131,'Species Codes'!B:J,9,0)*(((E1131*2.54)/100)^2)*(I1131*0.3048)))))*0.0011023),0)</f>
        <v>#N/A</v>
      </c>
      <c r="AC1131" s="104" t="e">
        <f>IF(Z1131&gt;0,((IF(OR(D1131="RA",D1131="OA",D1131="OT",D1131="UN",D1131="PC"),EXP(VLOOKUP(D1131,'Species Codes'!B:O,14,0)+VLOOKUP(D1131,'Species Codes'!B:P,15,0)*LN((E1131*2.54)))-EXP(VLOOKUP(D1131,'Species Codes'!B:O,14,0)+VLOOKUP(D1131,'Species Codes'!B:P,15,0)*LN((E1131*2.54)))*(1/(VLOOKUP(D1131,'Species Codes'!B:Q,16,0)+VLOOKUP(D1131,'Species Codes'!B:R,17,0)*((E1131*2.54)^VLOOKUP(D1131,'Species Codes'!B:S,18,0)))),IF(OR(D1131="BM",D1131="MD",D1131="OA"),EXP(VLOOKUP(D1131,'Species Codes'!B:O,14,0)+VLOOKUP(D1131,'Species Codes'!B:P,15,0)*LN((E1131*2.54)))*(1-(1/(VLOOKUP(D1131,'Species Codes'!B:Q,16,0)+VLOOKUP(D1131,'Species Codes'!B:R,17,0)*((E1131*2.54)^VLOOKUP(D1131,'Species Codes'!B:S,18,0)))))/1000,IF(D1131="DF",EXP(VLOOKUP(D1131,'Species Codes'!B:O,14,0)+VLOOKUP(D1131,'Species Codes'!B:P,15,0)*LN((E1131*2.54))),VLOOKUP(D1131,'Species Codes'!B:O,14,0)+VLOOKUP(D1131,'Species Codes'!B:P,15,0)*(((E1131*2.54)/100)^2)*(I1131*0.3048)))))*0.0011023),0)</f>
        <v>#N/A</v>
      </c>
      <c r="AD1131" s="104" t="e">
        <f t="shared" si="517"/>
        <v>#N/A</v>
      </c>
      <c r="AE1131" s="104" t="e">
        <f t="shared" si="518"/>
        <v>#N/A</v>
      </c>
      <c r="AF1131" s="104" t="e">
        <f>IF(AND(VLOOKUP($D1131,Merchantability!$B:$C,2,0)="Yes",$E1131&gt;=VLOOKUP($D1131,Merchantability!$B:$D,3,0),$E1131&lt;=VLOOKUP($D1131,Merchantability!$B:$E,4,0)),AA1131,0)</f>
        <v>#N/A</v>
      </c>
      <c r="AG1131" s="104" t="e">
        <f>IF(AND(VLOOKUP($D1131,Merchantability!$B:$C,2,0)="Yes",$E1131&gt;=VLOOKUP($D1131,Merchantability!$B:$D,3,0),$E1131&lt;=VLOOKUP($D1131,Merchantability!$B:$E,4,0)),AB1131,0)</f>
        <v>#N/A</v>
      </c>
      <c r="AH1131" s="104" t="e">
        <f>IF(AND(VLOOKUP($D1131,Merchantability!$B:$C,2,0)="Yes",$E1131&gt;=VLOOKUP($D1131,Merchantability!$B:$D,3,0),$E1131&lt;=VLOOKUP($D1131,Merchantability!$B:$E,4,0)),AC1131,0)</f>
        <v>#N/A</v>
      </c>
      <c r="AI1131" s="104" t="e">
        <f t="shared" si="519"/>
        <v>#N/A</v>
      </c>
      <c r="AJ1131" s="104" t="e">
        <f t="shared" si="520"/>
        <v>#VALUE!</v>
      </c>
      <c r="AK1131" s="104" t="e">
        <f t="shared" si="521"/>
        <v>#N/A</v>
      </c>
      <c r="AL1131" s="104" t="e">
        <f t="shared" si="522"/>
        <v>#N/A</v>
      </c>
      <c r="AM1131" s="104" t="e">
        <f t="shared" si="523"/>
        <v>#N/A</v>
      </c>
      <c r="AN1131" s="104" t="e">
        <f t="shared" si="507"/>
        <v>#N/A</v>
      </c>
      <c r="AO1131" s="104" t="e">
        <f t="shared" si="508"/>
        <v>#N/A</v>
      </c>
      <c r="AP1131" s="104" t="e">
        <f t="shared" si="509"/>
        <v>#N/A</v>
      </c>
      <c r="AQ1131" s="104" t="e">
        <f t="shared" si="510"/>
        <v>#N/A</v>
      </c>
      <c r="AR1131" s="105" t="str">
        <f t="shared" si="502"/>
        <v/>
      </c>
      <c r="AS1131" s="105" t="str">
        <f t="shared" si="503"/>
        <v/>
      </c>
      <c r="AT1131" s="108" t="str">
        <f t="shared" si="504"/>
        <v/>
      </c>
      <c r="AU1131" s="108" t="str">
        <f t="shared" si="505"/>
        <v/>
      </c>
      <c r="AV1131" s="107" t="str">
        <f>IF(ISNUMBER(O1131),IF(VLOOKUP($A1131,Stand!C:J,8,FALSE)="Short",AT1131,AU1131),"")</f>
        <v/>
      </c>
      <c r="AW1131" s="109" t="str">
        <f t="shared" si="511"/>
        <v/>
      </c>
      <c r="AX1131" s="109" t="str">
        <f t="shared" si="512"/>
        <v/>
      </c>
      <c r="AY1131" s="112" t="str">
        <f>IF(ISNUMBER(O1131),IF(AND(VLOOKUP($D1131,Merchantability!$B:$C,2,0)="Yes",$E1131&gt;=VLOOKUP($D1131,Merchantability!$B:$D,3,0),$E1131&lt;=VLOOKUP($D1131,Merchantability!$B:$E,4,0)),(AV1131*O1131)*(1-$H1131/100),""),"")</f>
        <v/>
      </c>
      <c r="AZ1131" s="116"/>
      <c r="BA1131" s="116"/>
      <c r="BB1131" s="116"/>
      <c r="BE1131" s="62"/>
      <c r="BF1131" s="63"/>
    </row>
    <row r="1132" spans="1:58" ht="12.75" customHeight="1" x14ac:dyDescent="0.25">
      <c r="A1132" s="313"/>
      <c r="B1132" s="328"/>
      <c r="C1132" s="329"/>
      <c r="D1132" s="328"/>
      <c r="E1132" s="330"/>
      <c r="F1132" s="328"/>
      <c r="G1132" s="329"/>
      <c r="H1132" s="329"/>
      <c r="I1132" s="328"/>
      <c r="J1132" s="383"/>
      <c r="K1132" s="329"/>
      <c r="L1132" s="329"/>
      <c r="M1132" s="76"/>
      <c r="N1132" s="103" t="str">
        <f>IF(A1132="","",VLOOKUP(A1132,Stand!C:K,9,0))</f>
        <v/>
      </c>
      <c r="O1132" s="104" t="str">
        <f t="shared" si="497"/>
        <v/>
      </c>
      <c r="P1132" s="105" t="str">
        <f t="shared" si="498"/>
        <v/>
      </c>
      <c r="Q1132" s="105" t="str">
        <f t="shared" si="513"/>
        <v/>
      </c>
      <c r="R1132" s="103" t="str">
        <f t="shared" si="499"/>
        <v/>
      </c>
      <c r="S1132" s="103" t="str">
        <f t="shared" si="500"/>
        <v/>
      </c>
      <c r="T1132" s="106" t="str">
        <f t="shared" si="514"/>
        <v/>
      </c>
      <c r="U1132" s="106" t="str">
        <f t="shared" si="515"/>
        <v/>
      </c>
      <c r="V1132" s="106" t="str">
        <f t="shared" si="516"/>
        <v/>
      </c>
      <c r="W1132" s="105" t="str">
        <f t="shared" si="501"/>
        <v/>
      </c>
      <c r="X1132" s="104" t="str">
        <f t="shared" si="506"/>
        <v/>
      </c>
      <c r="Y1132" s="104" t="str">
        <f t="array" ref="Y1132">IFERROR(IF(ISNUMBER(O1132),IF(COUNT(IF(A1132=$A$2:$A$2427,IF(D1132=$D$2:$D$2427,IF($X$2:$X$2427&gt;0,1))))&gt;0,SUM(IF(A1132=$A$2:$A$2427,IF(D1132=$D$2:$D$2427,$X$2:$X$2427)))/COUNT(IF(A1132=$A$2:$A$2427,IF(D1132=$D$2:$D$2427,IF(ISNUMBER($X$2:$X$2427),1)))),0),""),0)</f>
        <v/>
      </c>
      <c r="Z1132" s="104" t="str">
        <f>IF(ISNUMBER(O1132),IF(I1132&gt;0,(10^(VLOOKUP(D1132,'Species Codes'!B:C,2,0)+VLOOKUP(D1132,'Species Codes'!B:D,3,0)*LOG(E1132)+VLOOKUP(D1132,'Species Codes'!B:E,4,0)*LOG(I1132))),0),"")</f>
        <v/>
      </c>
      <c r="AA1132" s="104" t="str">
        <f>IFERROR((VLOOKUP(D1132,'Species Codes'!B:G,6,0)*Z1132)/2000,"")</f>
        <v/>
      </c>
      <c r="AB1132" s="104" t="e">
        <f>IF(Z1132&gt;0,((IF(OR(D1132="DF",D1132="RA")=TRUE,EXP(VLOOKUP(D1132,'Species Codes'!B:I,8,0)+VLOOKUP(D1132,'Species Codes'!B:J,9,0)*(LN((E1132*2.54)))),IF(OR(D1132="PY",D1132="RC",D1132="WH",D1132="NF")=TRUE,VLOOKUP(D1132,'Species Codes'!B:I,8,0)+VLOOKUP(D1132,'Species Codes'!B:J,9,0)*((E1132*2.54)^2)*(I1132*0.3048),IF(OR(D1132="MD",D1132="BM",D1132="GA")=TRUE,((VLOOKUP(D1132,'Species Codes'!B:I,8,0)*(((((E1132*2.54)+VLOOKUP(D1132,'Species Codes'!B:J,9,0))/VLOOKUP(D1132,'Species Codes'!B:K,10,0))^VLOOKUP(D1132,'Species Codes'!B:L,11,0))*((I1132*0.3048)^VLOOKUP(D1132,'Species Codes'!B:M,12,0))))-(VLOOKUP(D1132,'Species Codes'!B:I,8,0)*((((E1132*2.54)^VLOOKUP(D1132,'Species Codes'!B:L,11,0))*((I1132*0.3048)^VLOOKUP(D1132,'Species Codes'!B:M,12,0))))))*35.3*VLOOKUP(D1132,'Species Codes'!B:G,6,0)/2.2046,VLOOKUP(D1132,'Species Codes'!B:I,8,0)+VLOOKUP(D1132,'Species Codes'!B:J,9,0)*(((E1132*2.54)/100)^2)*(I1132*0.3048)))))*0.0011023),0)</f>
        <v>#N/A</v>
      </c>
      <c r="AC1132" s="104" t="e">
        <f>IF(Z1132&gt;0,((IF(OR(D1132="RA",D1132="OA",D1132="OT",D1132="UN",D1132="PC"),EXP(VLOOKUP(D1132,'Species Codes'!B:O,14,0)+VLOOKUP(D1132,'Species Codes'!B:P,15,0)*LN((E1132*2.54)))-EXP(VLOOKUP(D1132,'Species Codes'!B:O,14,0)+VLOOKUP(D1132,'Species Codes'!B:P,15,0)*LN((E1132*2.54)))*(1/(VLOOKUP(D1132,'Species Codes'!B:Q,16,0)+VLOOKUP(D1132,'Species Codes'!B:R,17,0)*((E1132*2.54)^VLOOKUP(D1132,'Species Codes'!B:S,18,0)))),IF(OR(D1132="BM",D1132="MD",D1132="OA"),EXP(VLOOKUP(D1132,'Species Codes'!B:O,14,0)+VLOOKUP(D1132,'Species Codes'!B:P,15,0)*LN((E1132*2.54)))*(1-(1/(VLOOKUP(D1132,'Species Codes'!B:Q,16,0)+VLOOKUP(D1132,'Species Codes'!B:R,17,0)*((E1132*2.54)^VLOOKUP(D1132,'Species Codes'!B:S,18,0)))))/1000,IF(D1132="DF",EXP(VLOOKUP(D1132,'Species Codes'!B:O,14,0)+VLOOKUP(D1132,'Species Codes'!B:P,15,0)*LN((E1132*2.54))),VLOOKUP(D1132,'Species Codes'!B:O,14,0)+VLOOKUP(D1132,'Species Codes'!B:P,15,0)*(((E1132*2.54)/100)^2)*(I1132*0.3048)))))*0.0011023),0)</f>
        <v>#N/A</v>
      </c>
      <c r="AD1132" s="104" t="e">
        <f t="shared" si="517"/>
        <v>#N/A</v>
      </c>
      <c r="AE1132" s="104" t="e">
        <f t="shared" si="518"/>
        <v>#N/A</v>
      </c>
      <c r="AF1132" s="104" t="e">
        <f>IF(AND(VLOOKUP($D1132,Merchantability!$B:$C,2,0)="Yes",$E1132&gt;=VLOOKUP($D1132,Merchantability!$B:$D,3,0),$E1132&lt;=VLOOKUP($D1132,Merchantability!$B:$E,4,0)),AA1132,0)</f>
        <v>#N/A</v>
      </c>
      <c r="AG1132" s="104" t="e">
        <f>IF(AND(VLOOKUP($D1132,Merchantability!$B:$C,2,0)="Yes",$E1132&gt;=VLOOKUP($D1132,Merchantability!$B:$D,3,0),$E1132&lt;=VLOOKUP($D1132,Merchantability!$B:$E,4,0)),AB1132,0)</f>
        <v>#N/A</v>
      </c>
      <c r="AH1132" s="104" t="e">
        <f>IF(AND(VLOOKUP($D1132,Merchantability!$B:$C,2,0)="Yes",$E1132&gt;=VLOOKUP($D1132,Merchantability!$B:$D,3,0),$E1132&lt;=VLOOKUP($D1132,Merchantability!$B:$E,4,0)),AC1132,0)</f>
        <v>#N/A</v>
      </c>
      <c r="AI1132" s="104" t="e">
        <f t="shared" si="519"/>
        <v>#N/A</v>
      </c>
      <c r="AJ1132" s="104" t="e">
        <f t="shared" si="520"/>
        <v>#VALUE!</v>
      </c>
      <c r="AK1132" s="104" t="e">
        <f t="shared" si="521"/>
        <v>#N/A</v>
      </c>
      <c r="AL1132" s="104" t="e">
        <f t="shared" si="522"/>
        <v>#N/A</v>
      </c>
      <c r="AM1132" s="104" t="e">
        <f t="shared" si="523"/>
        <v>#N/A</v>
      </c>
      <c r="AN1132" s="104" t="e">
        <f t="shared" si="507"/>
        <v>#N/A</v>
      </c>
      <c r="AO1132" s="104" t="e">
        <f t="shared" si="508"/>
        <v>#N/A</v>
      </c>
      <c r="AP1132" s="104" t="e">
        <f t="shared" si="509"/>
        <v>#N/A</v>
      </c>
      <c r="AQ1132" s="104" t="e">
        <f t="shared" si="510"/>
        <v>#N/A</v>
      </c>
      <c r="AR1132" s="105" t="str">
        <f t="shared" si="502"/>
        <v/>
      </c>
      <c r="AS1132" s="105" t="str">
        <f t="shared" si="503"/>
        <v/>
      </c>
      <c r="AT1132" s="108" t="str">
        <f t="shared" si="504"/>
        <v/>
      </c>
      <c r="AU1132" s="108" t="str">
        <f t="shared" si="505"/>
        <v/>
      </c>
      <c r="AV1132" s="107" t="str">
        <f>IF(ISNUMBER(O1132),IF(VLOOKUP($A1132,Stand!C:J,8,FALSE)="Short",AT1132,AU1132),"")</f>
        <v/>
      </c>
      <c r="AW1132" s="109" t="str">
        <f t="shared" si="511"/>
        <v/>
      </c>
      <c r="AX1132" s="109" t="str">
        <f t="shared" si="512"/>
        <v/>
      </c>
      <c r="AY1132" s="112" t="str">
        <f>IF(ISNUMBER(O1132),IF(AND(VLOOKUP($D1132,Merchantability!$B:$C,2,0)="Yes",$E1132&gt;=VLOOKUP($D1132,Merchantability!$B:$D,3,0),$E1132&lt;=VLOOKUP($D1132,Merchantability!$B:$E,4,0)),(AV1132*O1132)*(1-$H1132/100),""),"")</f>
        <v/>
      </c>
      <c r="AZ1132" s="116"/>
      <c r="BA1132" s="116"/>
      <c r="BB1132" s="116"/>
      <c r="BE1132" s="62"/>
      <c r="BF1132" s="63"/>
    </row>
    <row r="1133" spans="1:58" ht="12.75" customHeight="1" x14ac:dyDescent="0.25">
      <c r="A1133" s="313"/>
      <c r="B1133" s="328"/>
      <c r="C1133" s="329"/>
      <c r="D1133" s="328"/>
      <c r="E1133" s="330"/>
      <c r="F1133" s="328"/>
      <c r="G1133" s="329"/>
      <c r="H1133" s="329"/>
      <c r="I1133" s="328"/>
      <c r="J1133" s="383"/>
      <c r="K1133" s="329"/>
      <c r="L1133" s="329"/>
      <c r="M1133" s="76"/>
      <c r="N1133" s="103" t="str">
        <f>IF(A1133="","",VLOOKUP(A1133,Stand!C:K,9,0))</f>
        <v/>
      </c>
      <c r="O1133" s="104" t="str">
        <f t="shared" si="497"/>
        <v/>
      </c>
      <c r="P1133" s="105" t="str">
        <f t="shared" si="498"/>
        <v/>
      </c>
      <c r="Q1133" s="105" t="str">
        <f t="shared" si="513"/>
        <v/>
      </c>
      <c r="R1133" s="103" t="str">
        <f t="shared" si="499"/>
        <v/>
      </c>
      <c r="S1133" s="103" t="str">
        <f t="shared" si="500"/>
        <v/>
      </c>
      <c r="T1133" s="106" t="str">
        <f t="shared" si="514"/>
        <v/>
      </c>
      <c r="U1133" s="106" t="str">
        <f t="shared" si="515"/>
        <v/>
      </c>
      <c r="V1133" s="106" t="str">
        <f t="shared" si="516"/>
        <v/>
      </c>
      <c r="W1133" s="105" t="str">
        <f t="shared" si="501"/>
        <v/>
      </c>
      <c r="X1133" s="104" t="str">
        <f t="shared" si="506"/>
        <v/>
      </c>
      <c r="Y1133" s="104" t="str">
        <f t="array" ref="Y1133">IFERROR(IF(ISNUMBER(O1133),IF(COUNT(IF(A1133=$A$2:$A$2427,IF(D1133=$D$2:$D$2427,IF($X$2:$X$2427&gt;0,1))))&gt;0,SUM(IF(A1133=$A$2:$A$2427,IF(D1133=$D$2:$D$2427,$X$2:$X$2427)))/COUNT(IF(A1133=$A$2:$A$2427,IF(D1133=$D$2:$D$2427,IF(ISNUMBER($X$2:$X$2427),1)))),0),""),0)</f>
        <v/>
      </c>
      <c r="Z1133" s="104" t="str">
        <f>IF(ISNUMBER(O1133),IF(I1133&gt;0,(10^(VLOOKUP(D1133,'Species Codes'!B:C,2,0)+VLOOKUP(D1133,'Species Codes'!B:D,3,0)*LOG(E1133)+VLOOKUP(D1133,'Species Codes'!B:E,4,0)*LOG(I1133))),0),"")</f>
        <v/>
      </c>
      <c r="AA1133" s="104" t="str">
        <f>IFERROR((VLOOKUP(D1133,'Species Codes'!B:G,6,0)*Z1133)/2000,"")</f>
        <v/>
      </c>
      <c r="AB1133" s="104" t="e">
        <f>IF(Z1133&gt;0,((IF(OR(D1133="DF",D1133="RA")=TRUE,EXP(VLOOKUP(D1133,'Species Codes'!B:I,8,0)+VLOOKUP(D1133,'Species Codes'!B:J,9,0)*(LN((E1133*2.54)))),IF(OR(D1133="PY",D1133="RC",D1133="WH",D1133="NF")=TRUE,VLOOKUP(D1133,'Species Codes'!B:I,8,0)+VLOOKUP(D1133,'Species Codes'!B:J,9,0)*((E1133*2.54)^2)*(I1133*0.3048),IF(OR(D1133="MD",D1133="BM",D1133="GA")=TRUE,((VLOOKUP(D1133,'Species Codes'!B:I,8,0)*(((((E1133*2.54)+VLOOKUP(D1133,'Species Codes'!B:J,9,0))/VLOOKUP(D1133,'Species Codes'!B:K,10,0))^VLOOKUP(D1133,'Species Codes'!B:L,11,0))*((I1133*0.3048)^VLOOKUP(D1133,'Species Codes'!B:M,12,0))))-(VLOOKUP(D1133,'Species Codes'!B:I,8,0)*((((E1133*2.54)^VLOOKUP(D1133,'Species Codes'!B:L,11,0))*((I1133*0.3048)^VLOOKUP(D1133,'Species Codes'!B:M,12,0))))))*35.3*VLOOKUP(D1133,'Species Codes'!B:G,6,0)/2.2046,VLOOKUP(D1133,'Species Codes'!B:I,8,0)+VLOOKUP(D1133,'Species Codes'!B:J,9,0)*(((E1133*2.54)/100)^2)*(I1133*0.3048)))))*0.0011023),0)</f>
        <v>#N/A</v>
      </c>
      <c r="AC1133" s="104" t="e">
        <f>IF(Z1133&gt;0,((IF(OR(D1133="RA",D1133="OA",D1133="OT",D1133="UN",D1133="PC"),EXP(VLOOKUP(D1133,'Species Codes'!B:O,14,0)+VLOOKUP(D1133,'Species Codes'!B:P,15,0)*LN((E1133*2.54)))-EXP(VLOOKUP(D1133,'Species Codes'!B:O,14,0)+VLOOKUP(D1133,'Species Codes'!B:P,15,0)*LN((E1133*2.54)))*(1/(VLOOKUP(D1133,'Species Codes'!B:Q,16,0)+VLOOKUP(D1133,'Species Codes'!B:R,17,0)*((E1133*2.54)^VLOOKUP(D1133,'Species Codes'!B:S,18,0)))),IF(OR(D1133="BM",D1133="MD",D1133="OA"),EXP(VLOOKUP(D1133,'Species Codes'!B:O,14,0)+VLOOKUP(D1133,'Species Codes'!B:P,15,0)*LN((E1133*2.54)))*(1-(1/(VLOOKUP(D1133,'Species Codes'!B:Q,16,0)+VLOOKUP(D1133,'Species Codes'!B:R,17,0)*((E1133*2.54)^VLOOKUP(D1133,'Species Codes'!B:S,18,0)))))/1000,IF(D1133="DF",EXP(VLOOKUP(D1133,'Species Codes'!B:O,14,0)+VLOOKUP(D1133,'Species Codes'!B:P,15,0)*LN((E1133*2.54))),VLOOKUP(D1133,'Species Codes'!B:O,14,0)+VLOOKUP(D1133,'Species Codes'!B:P,15,0)*(((E1133*2.54)/100)^2)*(I1133*0.3048)))))*0.0011023),0)</f>
        <v>#N/A</v>
      </c>
      <c r="AD1133" s="104" t="e">
        <f t="shared" si="517"/>
        <v>#N/A</v>
      </c>
      <c r="AE1133" s="104" t="e">
        <f t="shared" si="518"/>
        <v>#N/A</v>
      </c>
      <c r="AF1133" s="104" t="e">
        <f>IF(AND(VLOOKUP($D1133,Merchantability!$B:$C,2,0)="Yes",$E1133&gt;=VLOOKUP($D1133,Merchantability!$B:$D,3,0),$E1133&lt;=VLOOKUP($D1133,Merchantability!$B:$E,4,0)),AA1133,0)</f>
        <v>#N/A</v>
      </c>
      <c r="AG1133" s="104" t="e">
        <f>IF(AND(VLOOKUP($D1133,Merchantability!$B:$C,2,0)="Yes",$E1133&gt;=VLOOKUP($D1133,Merchantability!$B:$D,3,0),$E1133&lt;=VLOOKUP($D1133,Merchantability!$B:$E,4,0)),AB1133,0)</f>
        <v>#N/A</v>
      </c>
      <c r="AH1133" s="104" t="e">
        <f>IF(AND(VLOOKUP($D1133,Merchantability!$B:$C,2,0)="Yes",$E1133&gt;=VLOOKUP($D1133,Merchantability!$B:$D,3,0),$E1133&lt;=VLOOKUP($D1133,Merchantability!$B:$E,4,0)),AC1133,0)</f>
        <v>#N/A</v>
      </c>
      <c r="AI1133" s="104" t="e">
        <f t="shared" si="519"/>
        <v>#N/A</v>
      </c>
      <c r="AJ1133" s="104" t="e">
        <f t="shared" si="520"/>
        <v>#VALUE!</v>
      </c>
      <c r="AK1133" s="104" t="e">
        <f t="shared" si="521"/>
        <v>#N/A</v>
      </c>
      <c r="AL1133" s="104" t="e">
        <f t="shared" si="522"/>
        <v>#N/A</v>
      </c>
      <c r="AM1133" s="104" t="e">
        <f t="shared" si="523"/>
        <v>#N/A</v>
      </c>
      <c r="AN1133" s="104" t="e">
        <f t="shared" si="507"/>
        <v>#N/A</v>
      </c>
      <c r="AO1133" s="104" t="e">
        <f t="shared" si="508"/>
        <v>#N/A</v>
      </c>
      <c r="AP1133" s="104" t="e">
        <f t="shared" si="509"/>
        <v>#N/A</v>
      </c>
      <c r="AQ1133" s="104" t="e">
        <f t="shared" si="510"/>
        <v>#N/A</v>
      </c>
      <c r="AR1133" s="105" t="str">
        <f t="shared" si="502"/>
        <v/>
      </c>
      <c r="AS1133" s="105" t="str">
        <f t="shared" si="503"/>
        <v/>
      </c>
      <c r="AT1133" s="108" t="str">
        <f t="shared" si="504"/>
        <v/>
      </c>
      <c r="AU1133" s="108" t="str">
        <f t="shared" si="505"/>
        <v/>
      </c>
      <c r="AV1133" s="107" t="str">
        <f>IF(ISNUMBER(O1133),IF(VLOOKUP($A1133,Stand!C:J,8,FALSE)="Short",AT1133,AU1133),"")</f>
        <v/>
      </c>
      <c r="AW1133" s="109" t="str">
        <f t="shared" si="511"/>
        <v/>
      </c>
      <c r="AX1133" s="109" t="str">
        <f t="shared" si="512"/>
        <v/>
      </c>
      <c r="AY1133" s="112" t="str">
        <f>IF(ISNUMBER(O1133),IF(AND(VLOOKUP($D1133,Merchantability!$B:$C,2,0)="Yes",$E1133&gt;=VLOOKUP($D1133,Merchantability!$B:$D,3,0),$E1133&lt;=VLOOKUP($D1133,Merchantability!$B:$E,4,0)),(AV1133*O1133)*(1-$H1133/100),""),"")</f>
        <v/>
      </c>
      <c r="AZ1133" s="116"/>
      <c r="BA1133" s="116"/>
      <c r="BB1133" s="116"/>
      <c r="BE1133" s="62"/>
      <c r="BF1133" s="63"/>
    </row>
    <row r="1134" spans="1:58" ht="12.75" customHeight="1" x14ac:dyDescent="0.25">
      <c r="A1134" s="313"/>
      <c r="B1134" s="328"/>
      <c r="C1134" s="329"/>
      <c r="D1134" s="328"/>
      <c r="E1134" s="330"/>
      <c r="F1134" s="328"/>
      <c r="G1134" s="329"/>
      <c r="H1134" s="329"/>
      <c r="I1134" s="328"/>
      <c r="J1134" s="383"/>
      <c r="K1134" s="329"/>
      <c r="L1134" s="329"/>
      <c r="M1134" s="76"/>
      <c r="N1134" s="103" t="str">
        <f>IF(A1134="","",VLOOKUP(A1134,Stand!C:K,9,0))</f>
        <v/>
      </c>
      <c r="O1134" s="104" t="str">
        <f t="shared" si="497"/>
        <v/>
      </c>
      <c r="P1134" s="105" t="str">
        <f t="shared" si="498"/>
        <v/>
      </c>
      <c r="Q1134" s="105" t="str">
        <f t="shared" si="513"/>
        <v/>
      </c>
      <c r="R1134" s="103" t="str">
        <f t="shared" si="499"/>
        <v/>
      </c>
      <c r="S1134" s="103" t="str">
        <f t="shared" si="500"/>
        <v/>
      </c>
      <c r="T1134" s="106" t="str">
        <f t="shared" si="514"/>
        <v/>
      </c>
      <c r="U1134" s="106" t="str">
        <f t="shared" si="515"/>
        <v/>
      </c>
      <c r="V1134" s="106" t="str">
        <f t="shared" si="516"/>
        <v/>
      </c>
      <c r="W1134" s="105" t="str">
        <f t="shared" si="501"/>
        <v/>
      </c>
      <c r="X1134" s="104" t="str">
        <f t="shared" si="506"/>
        <v/>
      </c>
      <c r="Y1134" s="104" t="str">
        <f t="array" ref="Y1134">IFERROR(IF(ISNUMBER(O1134),IF(COUNT(IF(A1134=$A$2:$A$2427,IF(D1134=$D$2:$D$2427,IF($X$2:$X$2427&gt;0,1))))&gt;0,SUM(IF(A1134=$A$2:$A$2427,IF(D1134=$D$2:$D$2427,$X$2:$X$2427)))/COUNT(IF(A1134=$A$2:$A$2427,IF(D1134=$D$2:$D$2427,IF(ISNUMBER($X$2:$X$2427),1)))),0),""),0)</f>
        <v/>
      </c>
      <c r="Z1134" s="104" t="str">
        <f>IF(ISNUMBER(O1134),IF(I1134&gt;0,(10^(VLOOKUP(D1134,'Species Codes'!B:C,2,0)+VLOOKUP(D1134,'Species Codes'!B:D,3,0)*LOG(E1134)+VLOOKUP(D1134,'Species Codes'!B:E,4,0)*LOG(I1134))),0),"")</f>
        <v/>
      </c>
      <c r="AA1134" s="104" t="str">
        <f>IFERROR((VLOOKUP(D1134,'Species Codes'!B:G,6,0)*Z1134)/2000,"")</f>
        <v/>
      </c>
      <c r="AB1134" s="104" t="e">
        <f>IF(Z1134&gt;0,((IF(OR(D1134="DF",D1134="RA")=TRUE,EXP(VLOOKUP(D1134,'Species Codes'!B:I,8,0)+VLOOKUP(D1134,'Species Codes'!B:J,9,0)*(LN((E1134*2.54)))),IF(OR(D1134="PY",D1134="RC",D1134="WH",D1134="NF")=TRUE,VLOOKUP(D1134,'Species Codes'!B:I,8,0)+VLOOKUP(D1134,'Species Codes'!B:J,9,0)*((E1134*2.54)^2)*(I1134*0.3048),IF(OR(D1134="MD",D1134="BM",D1134="GA")=TRUE,((VLOOKUP(D1134,'Species Codes'!B:I,8,0)*(((((E1134*2.54)+VLOOKUP(D1134,'Species Codes'!B:J,9,0))/VLOOKUP(D1134,'Species Codes'!B:K,10,0))^VLOOKUP(D1134,'Species Codes'!B:L,11,0))*((I1134*0.3048)^VLOOKUP(D1134,'Species Codes'!B:M,12,0))))-(VLOOKUP(D1134,'Species Codes'!B:I,8,0)*((((E1134*2.54)^VLOOKUP(D1134,'Species Codes'!B:L,11,0))*((I1134*0.3048)^VLOOKUP(D1134,'Species Codes'!B:M,12,0))))))*35.3*VLOOKUP(D1134,'Species Codes'!B:G,6,0)/2.2046,VLOOKUP(D1134,'Species Codes'!B:I,8,0)+VLOOKUP(D1134,'Species Codes'!B:J,9,0)*(((E1134*2.54)/100)^2)*(I1134*0.3048)))))*0.0011023),0)</f>
        <v>#N/A</v>
      </c>
      <c r="AC1134" s="104" t="e">
        <f>IF(Z1134&gt;0,((IF(OR(D1134="RA",D1134="OA",D1134="OT",D1134="UN",D1134="PC"),EXP(VLOOKUP(D1134,'Species Codes'!B:O,14,0)+VLOOKUP(D1134,'Species Codes'!B:P,15,0)*LN((E1134*2.54)))-EXP(VLOOKUP(D1134,'Species Codes'!B:O,14,0)+VLOOKUP(D1134,'Species Codes'!B:P,15,0)*LN((E1134*2.54)))*(1/(VLOOKUP(D1134,'Species Codes'!B:Q,16,0)+VLOOKUP(D1134,'Species Codes'!B:R,17,0)*((E1134*2.54)^VLOOKUP(D1134,'Species Codes'!B:S,18,0)))),IF(OR(D1134="BM",D1134="MD",D1134="OA"),EXP(VLOOKUP(D1134,'Species Codes'!B:O,14,0)+VLOOKUP(D1134,'Species Codes'!B:P,15,0)*LN((E1134*2.54)))*(1-(1/(VLOOKUP(D1134,'Species Codes'!B:Q,16,0)+VLOOKUP(D1134,'Species Codes'!B:R,17,0)*((E1134*2.54)^VLOOKUP(D1134,'Species Codes'!B:S,18,0)))))/1000,IF(D1134="DF",EXP(VLOOKUP(D1134,'Species Codes'!B:O,14,0)+VLOOKUP(D1134,'Species Codes'!B:P,15,0)*LN((E1134*2.54))),VLOOKUP(D1134,'Species Codes'!B:O,14,0)+VLOOKUP(D1134,'Species Codes'!B:P,15,0)*(((E1134*2.54)/100)^2)*(I1134*0.3048)))))*0.0011023),0)</f>
        <v>#N/A</v>
      </c>
      <c r="AD1134" s="104" t="e">
        <f t="shared" si="517"/>
        <v>#N/A</v>
      </c>
      <c r="AE1134" s="104" t="e">
        <f t="shared" si="518"/>
        <v>#N/A</v>
      </c>
      <c r="AF1134" s="104" t="e">
        <f>IF(AND(VLOOKUP($D1134,Merchantability!$B:$C,2,0)="Yes",$E1134&gt;=VLOOKUP($D1134,Merchantability!$B:$D,3,0),$E1134&lt;=VLOOKUP($D1134,Merchantability!$B:$E,4,0)),AA1134,0)</f>
        <v>#N/A</v>
      </c>
      <c r="AG1134" s="104" t="e">
        <f>IF(AND(VLOOKUP($D1134,Merchantability!$B:$C,2,0)="Yes",$E1134&gt;=VLOOKUP($D1134,Merchantability!$B:$D,3,0),$E1134&lt;=VLOOKUP($D1134,Merchantability!$B:$E,4,0)),AB1134,0)</f>
        <v>#N/A</v>
      </c>
      <c r="AH1134" s="104" t="e">
        <f>IF(AND(VLOOKUP($D1134,Merchantability!$B:$C,2,0)="Yes",$E1134&gt;=VLOOKUP($D1134,Merchantability!$B:$D,3,0),$E1134&lt;=VLOOKUP($D1134,Merchantability!$B:$E,4,0)),AC1134,0)</f>
        <v>#N/A</v>
      </c>
      <c r="AI1134" s="104" t="e">
        <f t="shared" si="519"/>
        <v>#N/A</v>
      </c>
      <c r="AJ1134" s="104" t="e">
        <f t="shared" si="520"/>
        <v>#VALUE!</v>
      </c>
      <c r="AK1134" s="104" t="e">
        <f t="shared" si="521"/>
        <v>#N/A</v>
      </c>
      <c r="AL1134" s="104" t="e">
        <f t="shared" si="522"/>
        <v>#N/A</v>
      </c>
      <c r="AM1134" s="104" t="e">
        <f t="shared" si="523"/>
        <v>#N/A</v>
      </c>
      <c r="AN1134" s="104" t="e">
        <f t="shared" si="507"/>
        <v>#N/A</v>
      </c>
      <c r="AO1134" s="104" t="e">
        <f t="shared" si="508"/>
        <v>#N/A</v>
      </c>
      <c r="AP1134" s="104" t="e">
        <f t="shared" si="509"/>
        <v>#N/A</v>
      </c>
      <c r="AQ1134" s="104" t="e">
        <f t="shared" si="510"/>
        <v>#N/A</v>
      </c>
      <c r="AR1134" s="105" t="str">
        <f t="shared" si="502"/>
        <v/>
      </c>
      <c r="AS1134" s="105" t="str">
        <f t="shared" si="503"/>
        <v/>
      </c>
      <c r="AT1134" s="108" t="str">
        <f t="shared" si="504"/>
        <v/>
      </c>
      <c r="AU1134" s="108" t="str">
        <f t="shared" si="505"/>
        <v/>
      </c>
      <c r="AV1134" s="107" t="str">
        <f>IF(ISNUMBER(O1134),IF(VLOOKUP($A1134,Stand!C:J,8,FALSE)="Short",AT1134,AU1134),"")</f>
        <v/>
      </c>
      <c r="AW1134" s="109" t="str">
        <f t="shared" si="511"/>
        <v/>
      </c>
      <c r="AX1134" s="109" t="str">
        <f t="shared" si="512"/>
        <v/>
      </c>
      <c r="AY1134" s="112" t="str">
        <f>IF(ISNUMBER(O1134),IF(AND(VLOOKUP($D1134,Merchantability!$B:$C,2,0)="Yes",$E1134&gt;=VLOOKUP($D1134,Merchantability!$B:$D,3,0),$E1134&lt;=VLOOKUP($D1134,Merchantability!$B:$E,4,0)),(AV1134*O1134)*(1-$H1134/100),""),"")</f>
        <v/>
      </c>
      <c r="AZ1134" s="116"/>
      <c r="BA1134" s="116"/>
      <c r="BB1134" s="116"/>
      <c r="BE1134" s="62"/>
      <c r="BF1134" s="63"/>
    </row>
    <row r="1135" spans="1:58" ht="12.75" customHeight="1" x14ac:dyDescent="0.25">
      <c r="A1135" s="313"/>
      <c r="B1135" s="328"/>
      <c r="C1135" s="329"/>
      <c r="D1135" s="328"/>
      <c r="E1135" s="330"/>
      <c r="F1135" s="328"/>
      <c r="G1135" s="329"/>
      <c r="H1135" s="329"/>
      <c r="I1135" s="328"/>
      <c r="J1135" s="383"/>
      <c r="K1135" s="329"/>
      <c r="L1135" s="329"/>
      <c r="M1135" s="76"/>
      <c r="N1135" s="103" t="str">
        <f>IF(A1135="","",VLOOKUP(A1135,Stand!C:K,9,0))</f>
        <v/>
      </c>
      <c r="O1135" s="104" t="str">
        <f t="shared" si="497"/>
        <v/>
      </c>
      <c r="P1135" s="105" t="str">
        <f t="shared" si="498"/>
        <v/>
      </c>
      <c r="Q1135" s="105" t="str">
        <f t="shared" si="513"/>
        <v/>
      </c>
      <c r="R1135" s="103" t="str">
        <f t="shared" si="499"/>
        <v/>
      </c>
      <c r="S1135" s="103" t="str">
        <f t="shared" si="500"/>
        <v/>
      </c>
      <c r="T1135" s="106" t="str">
        <f t="shared" si="514"/>
        <v/>
      </c>
      <c r="U1135" s="106" t="str">
        <f t="shared" si="515"/>
        <v/>
      </c>
      <c r="V1135" s="106" t="str">
        <f t="shared" si="516"/>
        <v/>
      </c>
      <c r="W1135" s="105" t="str">
        <f t="shared" si="501"/>
        <v/>
      </c>
      <c r="X1135" s="104" t="str">
        <f t="shared" si="506"/>
        <v/>
      </c>
      <c r="Y1135" s="104" t="str">
        <f t="array" ref="Y1135">IFERROR(IF(ISNUMBER(O1135),IF(COUNT(IF(A1135=$A$2:$A$2427,IF(D1135=$D$2:$D$2427,IF($X$2:$X$2427&gt;0,1))))&gt;0,SUM(IF(A1135=$A$2:$A$2427,IF(D1135=$D$2:$D$2427,$X$2:$X$2427)))/COUNT(IF(A1135=$A$2:$A$2427,IF(D1135=$D$2:$D$2427,IF(ISNUMBER($X$2:$X$2427),1)))),0),""),0)</f>
        <v/>
      </c>
      <c r="Z1135" s="104" t="str">
        <f>IF(ISNUMBER(O1135),IF(I1135&gt;0,(10^(VLOOKUP(D1135,'Species Codes'!B:C,2,0)+VLOOKUP(D1135,'Species Codes'!B:D,3,0)*LOG(E1135)+VLOOKUP(D1135,'Species Codes'!B:E,4,0)*LOG(I1135))),0),"")</f>
        <v/>
      </c>
      <c r="AA1135" s="104" t="str">
        <f>IFERROR((VLOOKUP(D1135,'Species Codes'!B:G,6,0)*Z1135)/2000,"")</f>
        <v/>
      </c>
      <c r="AB1135" s="104" t="e">
        <f>IF(Z1135&gt;0,((IF(OR(D1135="DF",D1135="RA")=TRUE,EXP(VLOOKUP(D1135,'Species Codes'!B:I,8,0)+VLOOKUP(D1135,'Species Codes'!B:J,9,0)*(LN((E1135*2.54)))),IF(OR(D1135="PY",D1135="RC",D1135="WH",D1135="NF")=TRUE,VLOOKUP(D1135,'Species Codes'!B:I,8,0)+VLOOKUP(D1135,'Species Codes'!B:J,9,0)*((E1135*2.54)^2)*(I1135*0.3048),IF(OR(D1135="MD",D1135="BM",D1135="GA")=TRUE,((VLOOKUP(D1135,'Species Codes'!B:I,8,0)*(((((E1135*2.54)+VLOOKUP(D1135,'Species Codes'!B:J,9,0))/VLOOKUP(D1135,'Species Codes'!B:K,10,0))^VLOOKUP(D1135,'Species Codes'!B:L,11,0))*((I1135*0.3048)^VLOOKUP(D1135,'Species Codes'!B:M,12,0))))-(VLOOKUP(D1135,'Species Codes'!B:I,8,0)*((((E1135*2.54)^VLOOKUP(D1135,'Species Codes'!B:L,11,0))*((I1135*0.3048)^VLOOKUP(D1135,'Species Codes'!B:M,12,0))))))*35.3*VLOOKUP(D1135,'Species Codes'!B:G,6,0)/2.2046,VLOOKUP(D1135,'Species Codes'!B:I,8,0)+VLOOKUP(D1135,'Species Codes'!B:J,9,0)*(((E1135*2.54)/100)^2)*(I1135*0.3048)))))*0.0011023),0)</f>
        <v>#N/A</v>
      </c>
      <c r="AC1135" s="104" t="e">
        <f>IF(Z1135&gt;0,((IF(OR(D1135="RA",D1135="OA",D1135="OT",D1135="UN",D1135="PC"),EXP(VLOOKUP(D1135,'Species Codes'!B:O,14,0)+VLOOKUP(D1135,'Species Codes'!B:P,15,0)*LN((E1135*2.54)))-EXP(VLOOKUP(D1135,'Species Codes'!B:O,14,0)+VLOOKUP(D1135,'Species Codes'!B:P,15,0)*LN((E1135*2.54)))*(1/(VLOOKUP(D1135,'Species Codes'!B:Q,16,0)+VLOOKUP(D1135,'Species Codes'!B:R,17,0)*((E1135*2.54)^VLOOKUP(D1135,'Species Codes'!B:S,18,0)))),IF(OR(D1135="BM",D1135="MD",D1135="OA"),EXP(VLOOKUP(D1135,'Species Codes'!B:O,14,0)+VLOOKUP(D1135,'Species Codes'!B:P,15,0)*LN((E1135*2.54)))*(1-(1/(VLOOKUP(D1135,'Species Codes'!B:Q,16,0)+VLOOKUP(D1135,'Species Codes'!B:R,17,0)*((E1135*2.54)^VLOOKUP(D1135,'Species Codes'!B:S,18,0)))))/1000,IF(D1135="DF",EXP(VLOOKUP(D1135,'Species Codes'!B:O,14,0)+VLOOKUP(D1135,'Species Codes'!B:P,15,0)*LN((E1135*2.54))),VLOOKUP(D1135,'Species Codes'!B:O,14,0)+VLOOKUP(D1135,'Species Codes'!B:P,15,0)*(((E1135*2.54)/100)^2)*(I1135*0.3048)))))*0.0011023),0)</f>
        <v>#N/A</v>
      </c>
      <c r="AD1135" s="104" t="e">
        <f t="shared" si="517"/>
        <v>#N/A</v>
      </c>
      <c r="AE1135" s="104" t="e">
        <f t="shared" si="518"/>
        <v>#N/A</v>
      </c>
      <c r="AF1135" s="104" t="e">
        <f>IF(AND(VLOOKUP($D1135,Merchantability!$B:$C,2,0)="Yes",$E1135&gt;=VLOOKUP($D1135,Merchantability!$B:$D,3,0),$E1135&lt;=VLOOKUP($D1135,Merchantability!$B:$E,4,0)),AA1135,0)</f>
        <v>#N/A</v>
      </c>
      <c r="AG1135" s="104" t="e">
        <f>IF(AND(VLOOKUP($D1135,Merchantability!$B:$C,2,0)="Yes",$E1135&gt;=VLOOKUP($D1135,Merchantability!$B:$D,3,0),$E1135&lt;=VLOOKUP($D1135,Merchantability!$B:$E,4,0)),AB1135,0)</f>
        <v>#N/A</v>
      </c>
      <c r="AH1135" s="104" t="e">
        <f>IF(AND(VLOOKUP($D1135,Merchantability!$B:$C,2,0)="Yes",$E1135&gt;=VLOOKUP($D1135,Merchantability!$B:$D,3,0),$E1135&lt;=VLOOKUP($D1135,Merchantability!$B:$E,4,0)),AC1135,0)</f>
        <v>#N/A</v>
      </c>
      <c r="AI1135" s="104" t="e">
        <f t="shared" si="519"/>
        <v>#N/A</v>
      </c>
      <c r="AJ1135" s="104" t="e">
        <f t="shared" si="520"/>
        <v>#VALUE!</v>
      </c>
      <c r="AK1135" s="104" t="e">
        <f t="shared" si="521"/>
        <v>#N/A</v>
      </c>
      <c r="AL1135" s="104" t="e">
        <f t="shared" si="522"/>
        <v>#N/A</v>
      </c>
      <c r="AM1135" s="104" t="e">
        <f t="shared" si="523"/>
        <v>#N/A</v>
      </c>
      <c r="AN1135" s="104" t="e">
        <f t="shared" si="507"/>
        <v>#N/A</v>
      </c>
      <c r="AO1135" s="104" t="e">
        <f t="shared" si="508"/>
        <v>#N/A</v>
      </c>
      <c r="AP1135" s="104" t="e">
        <f t="shared" si="509"/>
        <v>#N/A</v>
      </c>
      <c r="AQ1135" s="104" t="e">
        <f t="shared" si="510"/>
        <v>#N/A</v>
      </c>
      <c r="AR1135" s="105" t="str">
        <f t="shared" si="502"/>
        <v/>
      </c>
      <c r="AS1135" s="105" t="str">
        <f t="shared" si="503"/>
        <v/>
      </c>
      <c r="AT1135" s="108" t="str">
        <f t="shared" si="504"/>
        <v/>
      </c>
      <c r="AU1135" s="108" t="str">
        <f t="shared" si="505"/>
        <v/>
      </c>
      <c r="AV1135" s="107" t="str">
        <f>IF(ISNUMBER(O1135),IF(VLOOKUP($A1135,Stand!C:J,8,FALSE)="Short",AT1135,AU1135),"")</f>
        <v/>
      </c>
      <c r="AW1135" s="109" t="str">
        <f t="shared" si="511"/>
        <v/>
      </c>
      <c r="AX1135" s="109" t="str">
        <f t="shared" si="512"/>
        <v/>
      </c>
      <c r="AY1135" s="112" t="str">
        <f>IF(ISNUMBER(O1135),IF(AND(VLOOKUP($D1135,Merchantability!$B:$C,2,0)="Yes",$E1135&gt;=VLOOKUP($D1135,Merchantability!$B:$D,3,0),$E1135&lt;=VLOOKUP($D1135,Merchantability!$B:$E,4,0)),(AV1135*O1135)*(1-$H1135/100),""),"")</f>
        <v/>
      </c>
      <c r="AZ1135" s="116"/>
      <c r="BA1135" s="116"/>
      <c r="BB1135" s="116"/>
      <c r="BE1135" s="62"/>
      <c r="BF1135" s="63"/>
    </row>
    <row r="1136" spans="1:58" ht="12.75" customHeight="1" x14ac:dyDescent="0.25">
      <c r="A1136" s="313"/>
      <c r="B1136" s="328"/>
      <c r="C1136" s="329"/>
      <c r="D1136" s="328"/>
      <c r="E1136" s="330"/>
      <c r="F1136" s="328"/>
      <c r="G1136" s="329"/>
      <c r="H1136" s="329"/>
      <c r="I1136" s="328"/>
      <c r="J1136" s="383"/>
      <c r="K1136" s="329"/>
      <c r="L1136" s="329"/>
      <c r="M1136" s="76"/>
      <c r="N1136" s="103" t="str">
        <f>IF(A1136="","",VLOOKUP(A1136,Stand!C:K,9,0))</f>
        <v/>
      </c>
      <c r="O1136" s="104" t="str">
        <f t="shared" si="497"/>
        <v/>
      </c>
      <c r="P1136" s="105" t="str">
        <f t="shared" si="498"/>
        <v/>
      </c>
      <c r="Q1136" s="105" t="str">
        <f t="shared" si="513"/>
        <v/>
      </c>
      <c r="R1136" s="103" t="str">
        <f t="shared" si="499"/>
        <v/>
      </c>
      <c r="S1136" s="103" t="str">
        <f t="shared" si="500"/>
        <v/>
      </c>
      <c r="T1136" s="106" t="str">
        <f t="shared" si="514"/>
        <v/>
      </c>
      <c r="U1136" s="106" t="str">
        <f t="shared" si="515"/>
        <v/>
      </c>
      <c r="V1136" s="106" t="str">
        <f t="shared" si="516"/>
        <v/>
      </c>
      <c r="W1136" s="105" t="str">
        <f t="shared" si="501"/>
        <v/>
      </c>
      <c r="X1136" s="104" t="str">
        <f t="shared" si="506"/>
        <v/>
      </c>
      <c r="Y1136" s="104" t="str">
        <f t="array" ref="Y1136">IFERROR(IF(ISNUMBER(O1136),IF(COUNT(IF(A1136=$A$2:$A$2427,IF(D1136=$D$2:$D$2427,IF($X$2:$X$2427&gt;0,1))))&gt;0,SUM(IF(A1136=$A$2:$A$2427,IF(D1136=$D$2:$D$2427,$X$2:$X$2427)))/COUNT(IF(A1136=$A$2:$A$2427,IF(D1136=$D$2:$D$2427,IF(ISNUMBER($X$2:$X$2427),1)))),0),""),0)</f>
        <v/>
      </c>
      <c r="Z1136" s="104" t="str">
        <f>IF(ISNUMBER(O1136),IF(I1136&gt;0,(10^(VLOOKUP(D1136,'Species Codes'!B:C,2,0)+VLOOKUP(D1136,'Species Codes'!B:D,3,0)*LOG(E1136)+VLOOKUP(D1136,'Species Codes'!B:E,4,0)*LOG(I1136))),0),"")</f>
        <v/>
      </c>
      <c r="AA1136" s="104" t="str">
        <f>IFERROR((VLOOKUP(D1136,'Species Codes'!B:G,6,0)*Z1136)/2000,"")</f>
        <v/>
      </c>
      <c r="AB1136" s="104" t="e">
        <f>IF(Z1136&gt;0,((IF(OR(D1136="DF",D1136="RA")=TRUE,EXP(VLOOKUP(D1136,'Species Codes'!B:I,8,0)+VLOOKUP(D1136,'Species Codes'!B:J,9,0)*(LN((E1136*2.54)))),IF(OR(D1136="PY",D1136="RC",D1136="WH",D1136="NF")=TRUE,VLOOKUP(D1136,'Species Codes'!B:I,8,0)+VLOOKUP(D1136,'Species Codes'!B:J,9,0)*((E1136*2.54)^2)*(I1136*0.3048),IF(OR(D1136="MD",D1136="BM",D1136="GA")=TRUE,((VLOOKUP(D1136,'Species Codes'!B:I,8,0)*(((((E1136*2.54)+VLOOKUP(D1136,'Species Codes'!B:J,9,0))/VLOOKUP(D1136,'Species Codes'!B:K,10,0))^VLOOKUP(D1136,'Species Codes'!B:L,11,0))*((I1136*0.3048)^VLOOKUP(D1136,'Species Codes'!B:M,12,0))))-(VLOOKUP(D1136,'Species Codes'!B:I,8,0)*((((E1136*2.54)^VLOOKUP(D1136,'Species Codes'!B:L,11,0))*((I1136*0.3048)^VLOOKUP(D1136,'Species Codes'!B:M,12,0))))))*35.3*VLOOKUP(D1136,'Species Codes'!B:G,6,0)/2.2046,VLOOKUP(D1136,'Species Codes'!B:I,8,0)+VLOOKUP(D1136,'Species Codes'!B:J,9,0)*(((E1136*2.54)/100)^2)*(I1136*0.3048)))))*0.0011023),0)</f>
        <v>#N/A</v>
      </c>
      <c r="AC1136" s="104" t="e">
        <f>IF(Z1136&gt;0,((IF(OR(D1136="RA",D1136="OA",D1136="OT",D1136="UN",D1136="PC"),EXP(VLOOKUP(D1136,'Species Codes'!B:O,14,0)+VLOOKUP(D1136,'Species Codes'!B:P,15,0)*LN((E1136*2.54)))-EXP(VLOOKUP(D1136,'Species Codes'!B:O,14,0)+VLOOKUP(D1136,'Species Codes'!B:P,15,0)*LN((E1136*2.54)))*(1/(VLOOKUP(D1136,'Species Codes'!B:Q,16,0)+VLOOKUP(D1136,'Species Codes'!B:R,17,0)*((E1136*2.54)^VLOOKUP(D1136,'Species Codes'!B:S,18,0)))),IF(OR(D1136="BM",D1136="MD",D1136="OA"),EXP(VLOOKUP(D1136,'Species Codes'!B:O,14,0)+VLOOKUP(D1136,'Species Codes'!B:P,15,0)*LN((E1136*2.54)))*(1-(1/(VLOOKUP(D1136,'Species Codes'!B:Q,16,0)+VLOOKUP(D1136,'Species Codes'!B:R,17,0)*((E1136*2.54)^VLOOKUP(D1136,'Species Codes'!B:S,18,0)))))/1000,IF(D1136="DF",EXP(VLOOKUP(D1136,'Species Codes'!B:O,14,0)+VLOOKUP(D1136,'Species Codes'!B:P,15,0)*LN((E1136*2.54))),VLOOKUP(D1136,'Species Codes'!B:O,14,0)+VLOOKUP(D1136,'Species Codes'!B:P,15,0)*(((E1136*2.54)/100)^2)*(I1136*0.3048)))))*0.0011023),0)</f>
        <v>#N/A</v>
      </c>
      <c r="AD1136" s="104" t="e">
        <f t="shared" si="517"/>
        <v>#N/A</v>
      </c>
      <c r="AE1136" s="104" t="e">
        <f t="shared" si="518"/>
        <v>#N/A</v>
      </c>
      <c r="AF1136" s="104" t="e">
        <f>IF(AND(VLOOKUP($D1136,Merchantability!$B:$C,2,0)="Yes",$E1136&gt;=VLOOKUP($D1136,Merchantability!$B:$D,3,0),$E1136&lt;=VLOOKUP($D1136,Merchantability!$B:$E,4,0)),AA1136,0)</f>
        <v>#N/A</v>
      </c>
      <c r="AG1136" s="104" t="e">
        <f>IF(AND(VLOOKUP($D1136,Merchantability!$B:$C,2,0)="Yes",$E1136&gt;=VLOOKUP($D1136,Merchantability!$B:$D,3,0),$E1136&lt;=VLOOKUP($D1136,Merchantability!$B:$E,4,0)),AB1136,0)</f>
        <v>#N/A</v>
      </c>
      <c r="AH1136" s="104" t="e">
        <f>IF(AND(VLOOKUP($D1136,Merchantability!$B:$C,2,0)="Yes",$E1136&gt;=VLOOKUP($D1136,Merchantability!$B:$D,3,0),$E1136&lt;=VLOOKUP($D1136,Merchantability!$B:$E,4,0)),AC1136,0)</f>
        <v>#N/A</v>
      </c>
      <c r="AI1136" s="104" t="e">
        <f t="shared" si="519"/>
        <v>#N/A</v>
      </c>
      <c r="AJ1136" s="104" t="e">
        <f t="shared" si="520"/>
        <v>#VALUE!</v>
      </c>
      <c r="AK1136" s="104" t="e">
        <f t="shared" si="521"/>
        <v>#N/A</v>
      </c>
      <c r="AL1136" s="104" t="e">
        <f t="shared" si="522"/>
        <v>#N/A</v>
      </c>
      <c r="AM1136" s="104" t="e">
        <f t="shared" si="523"/>
        <v>#N/A</v>
      </c>
      <c r="AN1136" s="104" t="e">
        <f t="shared" si="507"/>
        <v>#N/A</v>
      </c>
      <c r="AO1136" s="104" t="e">
        <f t="shared" si="508"/>
        <v>#N/A</v>
      </c>
      <c r="AP1136" s="104" t="e">
        <f t="shared" si="509"/>
        <v>#N/A</v>
      </c>
      <c r="AQ1136" s="104" t="e">
        <f t="shared" si="510"/>
        <v>#N/A</v>
      </c>
      <c r="AR1136" s="105" t="str">
        <f t="shared" si="502"/>
        <v/>
      </c>
      <c r="AS1136" s="105" t="str">
        <f t="shared" si="503"/>
        <v/>
      </c>
      <c r="AT1136" s="108" t="str">
        <f t="shared" si="504"/>
        <v/>
      </c>
      <c r="AU1136" s="108" t="str">
        <f t="shared" si="505"/>
        <v/>
      </c>
      <c r="AV1136" s="107" t="str">
        <f>IF(ISNUMBER(O1136),IF(VLOOKUP($A1136,Stand!C:J,8,FALSE)="Short",AT1136,AU1136),"")</f>
        <v/>
      </c>
      <c r="AW1136" s="109" t="str">
        <f t="shared" si="511"/>
        <v/>
      </c>
      <c r="AX1136" s="109" t="str">
        <f t="shared" si="512"/>
        <v/>
      </c>
      <c r="AY1136" s="112" t="str">
        <f>IF(ISNUMBER(O1136),IF(AND(VLOOKUP($D1136,Merchantability!$B:$C,2,0)="Yes",$E1136&gt;=VLOOKUP($D1136,Merchantability!$B:$D,3,0),$E1136&lt;=VLOOKUP($D1136,Merchantability!$B:$E,4,0)),(AV1136*O1136)*(1-$H1136/100),""),"")</f>
        <v/>
      </c>
      <c r="AZ1136" s="116"/>
      <c r="BA1136" s="116"/>
      <c r="BB1136" s="116"/>
      <c r="BE1136" s="62"/>
      <c r="BF1136" s="63"/>
    </row>
    <row r="1137" spans="1:58" ht="12.75" customHeight="1" x14ac:dyDescent="0.25">
      <c r="A1137" s="313"/>
      <c r="B1137" s="328"/>
      <c r="C1137" s="329"/>
      <c r="D1137" s="328"/>
      <c r="E1137" s="330"/>
      <c r="F1137" s="328"/>
      <c r="G1137" s="329"/>
      <c r="H1137" s="329"/>
      <c r="I1137" s="328"/>
      <c r="J1137" s="383"/>
      <c r="K1137" s="329"/>
      <c r="L1137" s="329"/>
      <c r="M1137" s="76"/>
      <c r="N1137" s="103" t="str">
        <f>IF(A1137="","",VLOOKUP(A1137,Stand!C:K,9,0))</f>
        <v/>
      </c>
      <c r="O1137" s="104" t="str">
        <f t="shared" si="497"/>
        <v/>
      </c>
      <c r="P1137" s="105" t="str">
        <f t="shared" si="498"/>
        <v/>
      </c>
      <c r="Q1137" s="105" t="str">
        <f t="shared" si="513"/>
        <v/>
      </c>
      <c r="R1137" s="103" t="str">
        <f t="shared" si="499"/>
        <v/>
      </c>
      <c r="S1137" s="103" t="str">
        <f t="shared" si="500"/>
        <v/>
      </c>
      <c r="T1137" s="106" t="str">
        <f t="shared" si="514"/>
        <v/>
      </c>
      <c r="U1137" s="106" t="str">
        <f t="shared" si="515"/>
        <v/>
      </c>
      <c r="V1137" s="106" t="str">
        <f t="shared" si="516"/>
        <v/>
      </c>
      <c r="W1137" s="105" t="str">
        <f t="shared" si="501"/>
        <v/>
      </c>
      <c r="X1137" s="104" t="str">
        <f t="shared" si="506"/>
        <v/>
      </c>
      <c r="Y1137" s="104" t="str">
        <f t="array" ref="Y1137">IFERROR(IF(ISNUMBER(O1137),IF(COUNT(IF(A1137=$A$2:$A$2427,IF(D1137=$D$2:$D$2427,IF($X$2:$X$2427&gt;0,1))))&gt;0,SUM(IF(A1137=$A$2:$A$2427,IF(D1137=$D$2:$D$2427,$X$2:$X$2427)))/COUNT(IF(A1137=$A$2:$A$2427,IF(D1137=$D$2:$D$2427,IF(ISNUMBER($X$2:$X$2427),1)))),0),""),0)</f>
        <v/>
      </c>
      <c r="Z1137" s="104" t="str">
        <f>IF(ISNUMBER(O1137),IF(I1137&gt;0,(10^(VLOOKUP(D1137,'Species Codes'!B:C,2,0)+VLOOKUP(D1137,'Species Codes'!B:D,3,0)*LOG(E1137)+VLOOKUP(D1137,'Species Codes'!B:E,4,0)*LOG(I1137))),0),"")</f>
        <v/>
      </c>
      <c r="AA1137" s="104" t="str">
        <f>IFERROR((VLOOKUP(D1137,'Species Codes'!B:G,6,0)*Z1137)/2000,"")</f>
        <v/>
      </c>
      <c r="AB1137" s="104" t="e">
        <f>IF(Z1137&gt;0,((IF(OR(D1137="DF",D1137="RA")=TRUE,EXP(VLOOKUP(D1137,'Species Codes'!B:I,8,0)+VLOOKUP(D1137,'Species Codes'!B:J,9,0)*(LN((E1137*2.54)))),IF(OR(D1137="PY",D1137="RC",D1137="WH",D1137="NF")=TRUE,VLOOKUP(D1137,'Species Codes'!B:I,8,0)+VLOOKUP(D1137,'Species Codes'!B:J,9,0)*((E1137*2.54)^2)*(I1137*0.3048),IF(OR(D1137="MD",D1137="BM",D1137="GA")=TRUE,((VLOOKUP(D1137,'Species Codes'!B:I,8,0)*(((((E1137*2.54)+VLOOKUP(D1137,'Species Codes'!B:J,9,0))/VLOOKUP(D1137,'Species Codes'!B:K,10,0))^VLOOKUP(D1137,'Species Codes'!B:L,11,0))*((I1137*0.3048)^VLOOKUP(D1137,'Species Codes'!B:M,12,0))))-(VLOOKUP(D1137,'Species Codes'!B:I,8,0)*((((E1137*2.54)^VLOOKUP(D1137,'Species Codes'!B:L,11,0))*((I1137*0.3048)^VLOOKUP(D1137,'Species Codes'!B:M,12,0))))))*35.3*VLOOKUP(D1137,'Species Codes'!B:G,6,0)/2.2046,VLOOKUP(D1137,'Species Codes'!B:I,8,0)+VLOOKUP(D1137,'Species Codes'!B:J,9,0)*(((E1137*2.54)/100)^2)*(I1137*0.3048)))))*0.0011023),0)</f>
        <v>#N/A</v>
      </c>
      <c r="AC1137" s="104" t="e">
        <f>IF(Z1137&gt;0,((IF(OR(D1137="RA",D1137="OA",D1137="OT",D1137="UN",D1137="PC"),EXP(VLOOKUP(D1137,'Species Codes'!B:O,14,0)+VLOOKUP(D1137,'Species Codes'!B:P,15,0)*LN((E1137*2.54)))-EXP(VLOOKUP(D1137,'Species Codes'!B:O,14,0)+VLOOKUP(D1137,'Species Codes'!B:P,15,0)*LN((E1137*2.54)))*(1/(VLOOKUP(D1137,'Species Codes'!B:Q,16,0)+VLOOKUP(D1137,'Species Codes'!B:R,17,0)*((E1137*2.54)^VLOOKUP(D1137,'Species Codes'!B:S,18,0)))),IF(OR(D1137="BM",D1137="MD",D1137="OA"),EXP(VLOOKUP(D1137,'Species Codes'!B:O,14,0)+VLOOKUP(D1137,'Species Codes'!B:P,15,0)*LN((E1137*2.54)))*(1-(1/(VLOOKUP(D1137,'Species Codes'!B:Q,16,0)+VLOOKUP(D1137,'Species Codes'!B:R,17,0)*((E1137*2.54)^VLOOKUP(D1137,'Species Codes'!B:S,18,0)))))/1000,IF(D1137="DF",EXP(VLOOKUP(D1137,'Species Codes'!B:O,14,0)+VLOOKUP(D1137,'Species Codes'!B:P,15,0)*LN((E1137*2.54))),VLOOKUP(D1137,'Species Codes'!B:O,14,0)+VLOOKUP(D1137,'Species Codes'!B:P,15,0)*(((E1137*2.54)/100)^2)*(I1137*0.3048)))))*0.0011023),0)</f>
        <v>#N/A</v>
      </c>
      <c r="AD1137" s="104" t="e">
        <f t="shared" si="517"/>
        <v>#N/A</v>
      </c>
      <c r="AE1137" s="104" t="e">
        <f t="shared" si="518"/>
        <v>#N/A</v>
      </c>
      <c r="AF1137" s="104" t="e">
        <f>IF(AND(VLOOKUP($D1137,Merchantability!$B:$C,2,0)="Yes",$E1137&gt;=VLOOKUP($D1137,Merchantability!$B:$D,3,0),$E1137&lt;=VLOOKUP($D1137,Merchantability!$B:$E,4,0)),AA1137,0)</f>
        <v>#N/A</v>
      </c>
      <c r="AG1137" s="104" t="e">
        <f>IF(AND(VLOOKUP($D1137,Merchantability!$B:$C,2,0)="Yes",$E1137&gt;=VLOOKUP($D1137,Merchantability!$B:$D,3,0),$E1137&lt;=VLOOKUP($D1137,Merchantability!$B:$E,4,0)),AB1137,0)</f>
        <v>#N/A</v>
      </c>
      <c r="AH1137" s="104" t="e">
        <f>IF(AND(VLOOKUP($D1137,Merchantability!$B:$C,2,0)="Yes",$E1137&gt;=VLOOKUP($D1137,Merchantability!$B:$D,3,0),$E1137&lt;=VLOOKUP($D1137,Merchantability!$B:$E,4,0)),AC1137,0)</f>
        <v>#N/A</v>
      </c>
      <c r="AI1137" s="104" t="e">
        <f t="shared" si="519"/>
        <v>#N/A</v>
      </c>
      <c r="AJ1137" s="104" t="e">
        <f t="shared" si="520"/>
        <v>#VALUE!</v>
      </c>
      <c r="AK1137" s="104" t="e">
        <f t="shared" si="521"/>
        <v>#N/A</v>
      </c>
      <c r="AL1137" s="104" t="e">
        <f t="shared" si="522"/>
        <v>#N/A</v>
      </c>
      <c r="AM1137" s="104" t="e">
        <f t="shared" si="523"/>
        <v>#N/A</v>
      </c>
      <c r="AN1137" s="104" t="e">
        <f t="shared" si="507"/>
        <v>#N/A</v>
      </c>
      <c r="AO1137" s="104" t="e">
        <f t="shared" si="508"/>
        <v>#N/A</v>
      </c>
      <c r="AP1137" s="104" t="e">
        <f t="shared" si="509"/>
        <v>#N/A</v>
      </c>
      <c r="AQ1137" s="104" t="e">
        <f t="shared" si="510"/>
        <v>#N/A</v>
      </c>
      <c r="AR1137" s="105" t="str">
        <f t="shared" si="502"/>
        <v/>
      </c>
      <c r="AS1137" s="105" t="str">
        <f t="shared" si="503"/>
        <v/>
      </c>
      <c r="AT1137" s="108" t="str">
        <f t="shared" si="504"/>
        <v/>
      </c>
      <c r="AU1137" s="108" t="str">
        <f t="shared" si="505"/>
        <v/>
      </c>
      <c r="AV1137" s="107" t="str">
        <f>IF(ISNUMBER(O1137),IF(VLOOKUP($A1137,Stand!C:J,8,FALSE)="Short",AT1137,AU1137),"")</f>
        <v/>
      </c>
      <c r="AW1137" s="109" t="str">
        <f t="shared" si="511"/>
        <v/>
      </c>
      <c r="AX1137" s="109" t="str">
        <f t="shared" si="512"/>
        <v/>
      </c>
      <c r="AY1137" s="112" t="str">
        <f>IF(ISNUMBER(O1137),IF(AND(VLOOKUP($D1137,Merchantability!$B:$C,2,0)="Yes",$E1137&gt;=VLOOKUP($D1137,Merchantability!$B:$D,3,0),$E1137&lt;=VLOOKUP($D1137,Merchantability!$B:$E,4,0)),(AV1137*O1137)*(1-$H1137/100),""),"")</f>
        <v/>
      </c>
      <c r="AZ1137" s="116"/>
      <c r="BA1137" s="116"/>
      <c r="BB1137" s="116"/>
      <c r="BE1137" s="62"/>
      <c r="BF1137" s="63"/>
    </row>
    <row r="1138" spans="1:58" ht="12.75" customHeight="1" x14ac:dyDescent="0.25">
      <c r="A1138" s="313"/>
      <c r="B1138" s="328"/>
      <c r="C1138" s="329"/>
      <c r="D1138" s="328"/>
      <c r="E1138" s="330"/>
      <c r="F1138" s="328"/>
      <c r="G1138" s="329"/>
      <c r="H1138" s="329"/>
      <c r="I1138" s="328"/>
      <c r="J1138" s="383"/>
      <c r="K1138" s="329"/>
      <c r="L1138" s="329"/>
      <c r="M1138" s="76"/>
      <c r="N1138" s="103" t="str">
        <f>IF(A1138="","",VLOOKUP(A1138,Stand!C:K,9,0))</f>
        <v/>
      </c>
      <c r="O1138" s="104" t="str">
        <f t="shared" si="497"/>
        <v/>
      </c>
      <c r="P1138" s="105" t="str">
        <f t="shared" si="498"/>
        <v/>
      </c>
      <c r="Q1138" s="105" t="str">
        <f t="shared" si="513"/>
        <v/>
      </c>
      <c r="R1138" s="103" t="str">
        <f t="shared" si="499"/>
        <v/>
      </c>
      <c r="S1138" s="103" t="str">
        <f t="shared" si="500"/>
        <v/>
      </c>
      <c r="T1138" s="106" t="str">
        <f t="shared" si="514"/>
        <v/>
      </c>
      <c r="U1138" s="106" t="str">
        <f t="shared" si="515"/>
        <v/>
      </c>
      <c r="V1138" s="106" t="str">
        <f t="shared" si="516"/>
        <v/>
      </c>
      <c r="W1138" s="105" t="str">
        <f t="shared" si="501"/>
        <v/>
      </c>
      <c r="X1138" s="104" t="str">
        <f t="shared" si="506"/>
        <v/>
      </c>
      <c r="Y1138" s="104" t="str">
        <f t="array" ref="Y1138">IFERROR(IF(ISNUMBER(O1138),IF(COUNT(IF(A1138=$A$2:$A$2427,IF(D1138=$D$2:$D$2427,IF($X$2:$X$2427&gt;0,1))))&gt;0,SUM(IF(A1138=$A$2:$A$2427,IF(D1138=$D$2:$D$2427,$X$2:$X$2427)))/COUNT(IF(A1138=$A$2:$A$2427,IF(D1138=$D$2:$D$2427,IF(ISNUMBER($X$2:$X$2427),1)))),0),""),0)</f>
        <v/>
      </c>
      <c r="Z1138" s="104" t="str">
        <f>IF(ISNUMBER(O1138),IF(I1138&gt;0,(10^(VLOOKUP(D1138,'Species Codes'!B:C,2,0)+VLOOKUP(D1138,'Species Codes'!B:D,3,0)*LOG(E1138)+VLOOKUP(D1138,'Species Codes'!B:E,4,0)*LOG(I1138))),0),"")</f>
        <v/>
      </c>
      <c r="AA1138" s="104" t="str">
        <f>IFERROR((VLOOKUP(D1138,'Species Codes'!B:G,6,0)*Z1138)/2000,"")</f>
        <v/>
      </c>
      <c r="AB1138" s="104" t="e">
        <f>IF(Z1138&gt;0,((IF(OR(D1138="DF",D1138="RA")=TRUE,EXP(VLOOKUP(D1138,'Species Codes'!B:I,8,0)+VLOOKUP(D1138,'Species Codes'!B:J,9,0)*(LN((E1138*2.54)))),IF(OR(D1138="PY",D1138="RC",D1138="WH",D1138="NF")=TRUE,VLOOKUP(D1138,'Species Codes'!B:I,8,0)+VLOOKUP(D1138,'Species Codes'!B:J,9,0)*((E1138*2.54)^2)*(I1138*0.3048),IF(OR(D1138="MD",D1138="BM",D1138="GA")=TRUE,((VLOOKUP(D1138,'Species Codes'!B:I,8,0)*(((((E1138*2.54)+VLOOKUP(D1138,'Species Codes'!B:J,9,0))/VLOOKUP(D1138,'Species Codes'!B:K,10,0))^VLOOKUP(D1138,'Species Codes'!B:L,11,0))*((I1138*0.3048)^VLOOKUP(D1138,'Species Codes'!B:M,12,0))))-(VLOOKUP(D1138,'Species Codes'!B:I,8,0)*((((E1138*2.54)^VLOOKUP(D1138,'Species Codes'!B:L,11,0))*((I1138*0.3048)^VLOOKUP(D1138,'Species Codes'!B:M,12,0))))))*35.3*VLOOKUP(D1138,'Species Codes'!B:G,6,0)/2.2046,VLOOKUP(D1138,'Species Codes'!B:I,8,0)+VLOOKUP(D1138,'Species Codes'!B:J,9,0)*(((E1138*2.54)/100)^2)*(I1138*0.3048)))))*0.0011023),0)</f>
        <v>#N/A</v>
      </c>
      <c r="AC1138" s="104" t="e">
        <f>IF(Z1138&gt;0,((IF(OR(D1138="RA",D1138="OA",D1138="OT",D1138="UN",D1138="PC"),EXP(VLOOKUP(D1138,'Species Codes'!B:O,14,0)+VLOOKUP(D1138,'Species Codes'!B:P,15,0)*LN((E1138*2.54)))-EXP(VLOOKUP(D1138,'Species Codes'!B:O,14,0)+VLOOKUP(D1138,'Species Codes'!B:P,15,0)*LN((E1138*2.54)))*(1/(VLOOKUP(D1138,'Species Codes'!B:Q,16,0)+VLOOKUP(D1138,'Species Codes'!B:R,17,0)*((E1138*2.54)^VLOOKUP(D1138,'Species Codes'!B:S,18,0)))),IF(OR(D1138="BM",D1138="MD",D1138="OA"),EXP(VLOOKUP(D1138,'Species Codes'!B:O,14,0)+VLOOKUP(D1138,'Species Codes'!B:P,15,0)*LN((E1138*2.54)))*(1-(1/(VLOOKUP(D1138,'Species Codes'!B:Q,16,0)+VLOOKUP(D1138,'Species Codes'!B:R,17,0)*((E1138*2.54)^VLOOKUP(D1138,'Species Codes'!B:S,18,0)))))/1000,IF(D1138="DF",EXP(VLOOKUP(D1138,'Species Codes'!B:O,14,0)+VLOOKUP(D1138,'Species Codes'!B:P,15,0)*LN((E1138*2.54))),VLOOKUP(D1138,'Species Codes'!B:O,14,0)+VLOOKUP(D1138,'Species Codes'!B:P,15,0)*(((E1138*2.54)/100)^2)*(I1138*0.3048)))))*0.0011023),0)</f>
        <v>#N/A</v>
      </c>
      <c r="AD1138" s="104" t="e">
        <f t="shared" si="517"/>
        <v>#N/A</v>
      </c>
      <c r="AE1138" s="104" t="e">
        <f t="shared" si="518"/>
        <v>#N/A</v>
      </c>
      <c r="AF1138" s="104" t="e">
        <f>IF(AND(VLOOKUP($D1138,Merchantability!$B:$C,2,0)="Yes",$E1138&gt;=VLOOKUP($D1138,Merchantability!$B:$D,3,0),$E1138&lt;=VLOOKUP($D1138,Merchantability!$B:$E,4,0)),AA1138,0)</f>
        <v>#N/A</v>
      </c>
      <c r="AG1138" s="104" t="e">
        <f>IF(AND(VLOOKUP($D1138,Merchantability!$B:$C,2,0)="Yes",$E1138&gt;=VLOOKUP($D1138,Merchantability!$B:$D,3,0),$E1138&lt;=VLOOKUP($D1138,Merchantability!$B:$E,4,0)),AB1138,0)</f>
        <v>#N/A</v>
      </c>
      <c r="AH1138" s="104" t="e">
        <f>IF(AND(VLOOKUP($D1138,Merchantability!$B:$C,2,0)="Yes",$E1138&gt;=VLOOKUP($D1138,Merchantability!$B:$D,3,0),$E1138&lt;=VLOOKUP($D1138,Merchantability!$B:$E,4,0)),AC1138,0)</f>
        <v>#N/A</v>
      </c>
      <c r="AI1138" s="104" t="e">
        <f t="shared" si="519"/>
        <v>#N/A</v>
      </c>
      <c r="AJ1138" s="104" t="e">
        <f t="shared" si="520"/>
        <v>#VALUE!</v>
      </c>
      <c r="AK1138" s="104" t="e">
        <f t="shared" si="521"/>
        <v>#N/A</v>
      </c>
      <c r="AL1138" s="104" t="e">
        <f t="shared" si="522"/>
        <v>#N/A</v>
      </c>
      <c r="AM1138" s="104" t="e">
        <f t="shared" si="523"/>
        <v>#N/A</v>
      </c>
      <c r="AN1138" s="104" t="e">
        <f t="shared" si="507"/>
        <v>#N/A</v>
      </c>
      <c r="AO1138" s="104" t="e">
        <f t="shared" si="508"/>
        <v>#N/A</v>
      </c>
      <c r="AP1138" s="104" t="e">
        <f t="shared" si="509"/>
        <v>#N/A</v>
      </c>
      <c r="AQ1138" s="104" t="e">
        <f t="shared" si="510"/>
        <v>#N/A</v>
      </c>
      <c r="AR1138" s="105" t="str">
        <f t="shared" si="502"/>
        <v/>
      </c>
      <c r="AS1138" s="105" t="str">
        <f t="shared" si="503"/>
        <v/>
      </c>
      <c r="AT1138" s="108" t="str">
        <f t="shared" si="504"/>
        <v/>
      </c>
      <c r="AU1138" s="108" t="str">
        <f t="shared" si="505"/>
        <v/>
      </c>
      <c r="AV1138" s="107" t="str">
        <f>IF(ISNUMBER(O1138),IF(VLOOKUP($A1138,Stand!C:J,8,FALSE)="Short",AT1138,AU1138),"")</f>
        <v/>
      </c>
      <c r="AW1138" s="109" t="str">
        <f t="shared" si="511"/>
        <v/>
      </c>
      <c r="AX1138" s="109" t="str">
        <f t="shared" si="512"/>
        <v/>
      </c>
      <c r="AY1138" s="112" t="str">
        <f>IF(ISNUMBER(O1138),IF(AND(VLOOKUP($D1138,Merchantability!$B:$C,2,0)="Yes",$E1138&gt;=VLOOKUP($D1138,Merchantability!$B:$D,3,0),$E1138&lt;=VLOOKUP($D1138,Merchantability!$B:$E,4,0)),(AV1138*O1138)*(1-$H1138/100),""),"")</f>
        <v/>
      </c>
      <c r="AZ1138" s="116"/>
      <c r="BA1138" s="116"/>
      <c r="BB1138" s="116"/>
      <c r="BE1138" s="62"/>
      <c r="BF1138" s="63"/>
    </row>
    <row r="1139" spans="1:58" ht="12.75" customHeight="1" x14ac:dyDescent="0.25">
      <c r="A1139" s="313"/>
      <c r="B1139" s="328"/>
      <c r="C1139" s="329"/>
      <c r="D1139" s="328"/>
      <c r="E1139" s="330"/>
      <c r="F1139" s="328"/>
      <c r="G1139" s="329"/>
      <c r="H1139" s="329"/>
      <c r="I1139" s="328"/>
      <c r="J1139" s="383"/>
      <c r="K1139" s="329"/>
      <c r="L1139" s="329"/>
      <c r="M1139" s="76"/>
      <c r="N1139" s="103" t="str">
        <f>IF(A1139="","",VLOOKUP(A1139,Stand!C:K,9,0))</f>
        <v/>
      </c>
      <c r="O1139" s="104" t="str">
        <f t="shared" si="497"/>
        <v/>
      </c>
      <c r="P1139" s="105" t="str">
        <f t="shared" si="498"/>
        <v/>
      </c>
      <c r="Q1139" s="105" t="str">
        <f t="shared" si="513"/>
        <v/>
      </c>
      <c r="R1139" s="103" t="str">
        <f t="shared" si="499"/>
        <v/>
      </c>
      <c r="S1139" s="103" t="str">
        <f t="shared" si="500"/>
        <v/>
      </c>
      <c r="T1139" s="106" t="str">
        <f t="shared" si="514"/>
        <v/>
      </c>
      <c r="U1139" s="106" t="str">
        <f t="shared" si="515"/>
        <v/>
      </c>
      <c r="V1139" s="106" t="str">
        <f t="shared" si="516"/>
        <v/>
      </c>
      <c r="W1139" s="105" t="str">
        <f t="shared" si="501"/>
        <v/>
      </c>
      <c r="X1139" s="104" t="str">
        <f t="shared" si="506"/>
        <v/>
      </c>
      <c r="Y1139" s="104" t="str">
        <f t="array" ref="Y1139">IFERROR(IF(ISNUMBER(O1139),IF(COUNT(IF(A1139=$A$2:$A$2427,IF(D1139=$D$2:$D$2427,IF($X$2:$X$2427&gt;0,1))))&gt;0,SUM(IF(A1139=$A$2:$A$2427,IF(D1139=$D$2:$D$2427,$X$2:$X$2427)))/COUNT(IF(A1139=$A$2:$A$2427,IF(D1139=$D$2:$D$2427,IF(ISNUMBER($X$2:$X$2427),1)))),0),""),0)</f>
        <v/>
      </c>
      <c r="Z1139" s="104" t="str">
        <f>IF(ISNUMBER(O1139),IF(I1139&gt;0,(10^(VLOOKUP(D1139,'Species Codes'!B:C,2,0)+VLOOKUP(D1139,'Species Codes'!B:D,3,0)*LOG(E1139)+VLOOKUP(D1139,'Species Codes'!B:E,4,0)*LOG(I1139))),0),"")</f>
        <v/>
      </c>
      <c r="AA1139" s="104" t="str">
        <f>IFERROR((VLOOKUP(D1139,'Species Codes'!B:G,6,0)*Z1139)/2000,"")</f>
        <v/>
      </c>
      <c r="AB1139" s="104" t="e">
        <f>IF(Z1139&gt;0,((IF(OR(D1139="DF",D1139="RA")=TRUE,EXP(VLOOKUP(D1139,'Species Codes'!B:I,8,0)+VLOOKUP(D1139,'Species Codes'!B:J,9,0)*(LN((E1139*2.54)))),IF(OR(D1139="PY",D1139="RC",D1139="WH",D1139="NF")=TRUE,VLOOKUP(D1139,'Species Codes'!B:I,8,0)+VLOOKUP(D1139,'Species Codes'!B:J,9,0)*((E1139*2.54)^2)*(I1139*0.3048),IF(OR(D1139="MD",D1139="BM",D1139="GA")=TRUE,((VLOOKUP(D1139,'Species Codes'!B:I,8,0)*(((((E1139*2.54)+VLOOKUP(D1139,'Species Codes'!B:J,9,0))/VLOOKUP(D1139,'Species Codes'!B:K,10,0))^VLOOKUP(D1139,'Species Codes'!B:L,11,0))*((I1139*0.3048)^VLOOKUP(D1139,'Species Codes'!B:M,12,0))))-(VLOOKUP(D1139,'Species Codes'!B:I,8,0)*((((E1139*2.54)^VLOOKUP(D1139,'Species Codes'!B:L,11,0))*((I1139*0.3048)^VLOOKUP(D1139,'Species Codes'!B:M,12,0))))))*35.3*VLOOKUP(D1139,'Species Codes'!B:G,6,0)/2.2046,VLOOKUP(D1139,'Species Codes'!B:I,8,0)+VLOOKUP(D1139,'Species Codes'!B:J,9,0)*(((E1139*2.54)/100)^2)*(I1139*0.3048)))))*0.0011023),0)</f>
        <v>#N/A</v>
      </c>
      <c r="AC1139" s="104" t="e">
        <f>IF(Z1139&gt;0,((IF(OR(D1139="RA",D1139="OA",D1139="OT",D1139="UN",D1139="PC"),EXP(VLOOKUP(D1139,'Species Codes'!B:O,14,0)+VLOOKUP(D1139,'Species Codes'!B:P,15,0)*LN((E1139*2.54)))-EXP(VLOOKUP(D1139,'Species Codes'!B:O,14,0)+VLOOKUP(D1139,'Species Codes'!B:P,15,0)*LN((E1139*2.54)))*(1/(VLOOKUP(D1139,'Species Codes'!B:Q,16,0)+VLOOKUP(D1139,'Species Codes'!B:R,17,0)*((E1139*2.54)^VLOOKUP(D1139,'Species Codes'!B:S,18,0)))),IF(OR(D1139="BM",D1139="MD",D1139="OA"),EXP(VLOOKUP(D1139,'Species Codes'!B:O,14,0)+VLOOKUP(D1139,'Species Codes'!B:P,15,0)*LN((E1139*2.54)))*(1-(1/(VLOOKUP(D1139,'Species Codes'!B:Q,16,0)+VLOOKUP(D1139,'Species Codes'!B:R,17,0)*((E1139*2.54)^VLOOKUP(D1139,'Species Codes'!B:S,18,0)))))/1000,IF(D1139="DF",EXP(VLOOKUP(D1139,'Species Codes'!B:O,14,0)+VLOOKUP(D1139,'Species Codes'!B:P,15,0)*LN((E1139*2.54))),VLOOKUP(D1139,'Species Codes'!B:O,14,0)+VLOOKUP(D1139,'Species Codes'!B:P,15,0)*(((E1139*2.54)/100)^2)*(I1139*0.3048)))))*0.0011023),0)</f>
        <v>#N/A</v>
      </c>
      <c r="AD1139" s="104" t="e">
        <f t="shared" si="517"/>
        <v>#N/A</v>
      </c>
      <c r="AE1139" s="104" t="e">
        <f t="shared" si="518"/>
        <v>#N/A</v>
      </c>
      <c r="AF1139" s="104" t="e">
        <f>IF(AND(VLOOKUP($D1139,Merchantability!$B:$C,2,0)="Yes",$E1139&gt;=VLOOKUP($D1139,Merchantability!$B:$D,3,0),$E1139&lt;=VLOOKUP($D1139,Merchantability!$B:$E,4,0)),AA1139,0)</f>
        <v>#N/A</v>
      </c>
      <c r="AG1139" s="104" t="e">
        <f>IF(AND(VLOOKUP($D1139,Merchantability!$B:$C,2,0)="Yes",$E1139&gt;=VLOOKUP($D1139,Merchantability!$B:$D,3,0),$E1139&lt;=VLOOKUP($D1139,Merchantability!$B:$E,4,0)),AB1139,0)</f>
        <v>#N/A</v>
      </c>
      <c r="AH1139" s="104" t="e">
        <f>IF(AND(VLOOKUP($D1139,Merchantability!$B:$C,2,0)="Yes",$E1139&gt;=VLOOKUP($D1139,Merchantability!$B:$D,3,0),$E1139&lt;=VLOOKUP($D1139,Merchantability!$B:$E,4,0)),AC1139,0)</f>
        <v>#N/A</v>
      </c>
      <c r="AI1139" s="104" t="e">
        <f t="shared" si="519"/>
        <v>#N/A</v>
      </c>
      <c r="AJ1139" s="104" t="e">
        <f t="shared" si="520"/>
        <v>#VALUE!</v>
      </c>
      <c r="AK1139" s="104" t="e">
        <f t="shared" si="521"/>
        <v>#N/A</v>
      </c>
      <c r="AL1139" s="104" t="e">
        <f t="shared" si="522"/>
        <v>#N/A</v>
      </c>
      <c r="AM1139" s="104" t="e">
        <f t="shared" si="523"/>
        <v>#N/A</v>
      </c>
      <c r="AN1139" s="104" t="e">
        <f t="shared" si="507"/>
        <v>#N/A</v>
      </c>
      <c r="AO1139" s="104" t="e">
        <f t="shared" si="508"/>
        <v>#N/A</v>
      </c>
      <c r="AP1139" s="104" t="e">
        <f t="shared" si="509"/>
        <v>#N/A</v>
      </c>
      <c r="AQ1139" s="104" t="e">
        <f t="shared" si="510"/>
        <v>#N/A</v>
      </c>
      <c r="AR1139" s="105" t="str">
        <f t="shared" si="502"/>
        <v/>
      </c>
      <c r="AS1139" s="105" t="str">
        <f t="shared" si="503"/>
        <v/>
      </c>
      <c r="AT1139" s="108" t="str">
        <f t="shared" si="504"/>
        <v/>
      </c>
      <c r="AU1139" s="108" t="str">
        <f t="shared" si="505"/>
        <v/>
      </c>
      <c r="AV1139" s="107" t="str">
        <f>IF(ISNUMBER(O1139),IF(VLOOKUP($A1139,Stand!C:J,8,FALSE)="Short",AT1139,AU1139),"")</f>
        <v/>
      </c>
      <c r="AW1139" s="109" t="str">
        <f t="shared" si="511"/>
        <v/>
      </c>
      <c r="AX1139" s="109" t="str">
        <f t="shared" si="512"/>
        <v/>
      </c>
      <c r="AY1139" s="112" t="str">
        <f>IF(ISNUMBER(O1139),IF(AND(VLOOKUP($D1139,Merchantability!$B:$C,2,0)="Yes",$E1139&gt;=VLOOKUP($D1139,Merchantability!$B:$D,3,0),$E1139&lt;=VLOOKUP($D1139,Merchantability!$B:$E,4,0)),(AV1139*O1139)*(1-$H1139/100),""),"")</f>
        <v/>
      </c>
      <c r="AZ1139" s="116"/>
      <c r="BA1139" s="116"/>
      <c r="BB1139" s="116"/>
      <c r="BE1139" s="62"/>
      <c r="BF1139" s="63"/>
    </row>
    <row r="1140" spans="1:58" ht="12.75" customHeight="1" x14ac:dyDescent="0.25">
      <c r="A1140" s="313"/>
      <c r="B1140" s="328"/>
      <c r="C1140" s="329"/>
      <c r="D1140" s="328"/>
      <c r="E1140" s="330"/>
      <c r="F1140" s="328"/>
      <c r="G1140" s="329"/>
      <c r="H1140" s="329"/>
      <c r="I1140" s="328"/>
      <c r="J1140" s="383"/>
      <c r="K1140" s="329"/>
      <c r="L1140" s="329"/>
      <c r="M1140" s="76"/>
      <c r="N1140" s="103" t="str">
        <f>IF(A1140="","",VLOOKUP(A1140,Stand!C:K,9,0))</f>
        <v/>
      </c>
      <c r="O1140" s="104" t="str">
        <f t="shared" si="497"/>
        <v/>
      </c>
      <c r="P1140" s="105" t="str">
        <f t="shared" si="498"/>
        <v/>
      </c>
      <c r="Q1140" s="105" t="str">
        <f t="shared" si="513"/>
        <v/>
      </c>
      <c r="R1140" s="103" t="str">
        <f t="shared" si="499"/>
        <v/>
      </c>
      <c r="S1140" s="103" t="str">
        <f t="shared" si="500"/>
        <v/>
      </c>
      <c r="T1140" s="106" t="str">
        <f t="shared" si="514"/>
        <v/>
      </c>
      <c r="U1140" s="106" t="str">
        <f t="shared" si="515"/>
        <v/>
      </c>
      <c r="V1140" s="106" t="str">
        <f t="shared" si="516"/>
        <v/>
      </c>
      <c r="W1140" s="105" t="str">
        <f t="shared" si="501"/>
        <v/>
      </c>
      <c r="X1140" s="104" t="str">
        <f t="shared" si="506"/>
        <v/>
      </c>
      <c r="Y1140" s="104" t="str">
        <f t="array" ref="Y1140">IFERROR(IF(ISNUMBER(O1140),IF(COUNT(IF(A1140=$A$2:$A$2427,IF(D1140=$D$2:$D$2427,IF($X$2:$X$2427&gt;0,1))))&gt;0,SUM(IF(A1140=$A$2:$A$2427,IF(D1140=$D$2:$D$2427,$X$2:$X$2427)))/COUNT(IF(A1140=$A$2:$A$2427,IF(D1140=$D$2:$D$2427,IF(ISNUMBER($X$2:$X$2427),1)))),0),""),0)</f>
        <v/>
      </c>
      <c r="Z1140" s="104" t="str">
        <f>IF(ISNUMBER(O1140),IF(I1140&gt;0,(10^(VLOOKUP(D1140,'Species Codes'!B:C,2,0)+VLOOKUP(D1140,'Species Codes'!B:D,3,0)*LOG(E1140)+VLOOKUP(D1140,'Species Codes'!B:E,4,0)*LOG(I1140))),0),"")</f>
        <v/>
      </c>
      <c r="AA1140" s="104" t="str">
        <f>IFERROR((VLOOKUP(D1140,'Species Codes'!B:G,6,0)*Z1140)/2000,"")</f>
        <v/>
      </c>
      <c r="AB1140" s="104" t="e">
        <f>IF(Z1140&gt;0,((IF(OR(D1140="DF",D1140="RA")=TRUE,EXP(VLOOKUP(D1140,'Species Codes'!B:I,8,0)+VLOOKUP(D1140,'Species Codes'!B:J,9,0)*(LN((E1140*2.54)))),IF(OR(D1140="PY",D1140="RC",D1140="WH",D1140="NF")=TRUE,VLOOKUP(D1140,'Species Codes'!B:I,8,0)+VLOOKUP(D1140,'Species Codes'!B:J,9,0)*((E1140*2.54)^2)*(I1140*0.3048),IF(OR(D1140="MD",D1140="BM",D1140="GA")=TRUE,((VLOOKUP(D1140,'Species Codes'!B:I,8,0)*(((((E1140*2.54)+VLOOKUP(D1140,'Species Codes'!B:J,9,0))/VLOOKUP(D1140,'Species Codes'!B:K,10,0))^VLOOKUP(D1140,'Species Codes'!B:L,11,0))*((I1140*0.3048)^VLOOKUP(D1140,'Species Codes'!B:M,12,0))))-(VLOOKUP(D1140,'Species Codes'!B:I,8,0)*((((E1140*2.54)^VLOOKUP(D1140,'Species Codes'!B:L,11,0))*((I1140*0.3048)^VLOOKUP(D1140,'Species Codes'!B:M,12,0))))))*35.3*VLOOKUP(D1140,'Species Codes'!B:G,6,0)/2.2046,VLOOKUP(D1140,'Species Codes'!B:I,8,0)+VLOOKUP(D1140,'Species Codes'!B:J,9,0)*(((E1140*2.54)/100)^2)*(I1140*0.3048)))))*0.0011023),0)</f>
        <v>#N/A</v>
      </c>
      <c r="AC1140" s="104" t="e">
        <f>IF(Z1140&gt;0,((IF(OR(D1140="RA",D1140="OA",D1140="OT",D1140="UN",D1140="PC"),EXP(VLOOKUP(D1140,'Species Codes'!B:O,14,0)+VLOOKUP(D1140,'Species Codes'!B:P,15,0)*LN((E1140*2.54)))-EXP(VLOOKUP(D1140,'Species Codes'!B:O,14,0)+VLOOKUP(D1140,'Species Codes'!B:P,15,0)*LN((E1140*2.54)))*(1/(VLOOKUP(D1140,'Species Codes'!B:Q,16,0)+VLOOKUP(D1140,'Species Codes'!B:R,17,0)*((E1140*2.54)^VLOOKUP(D1140,'Species Codes'!B:S,18,0)))),IF(OR(D1140="BM",D1140="MD",D1140="OA"),EXP(VLOOKUP(D1140,'Species Codes'!B:O,14,0)+VLOOKUP(D1140,'Species Codes'!B:P,15,0)*LN((E1140*2.54)))*(1-(1/(VLOOKUP(D1140,'Species Codes'!B:Q,16,0)+VLOOKUP(D1140,'Species Codes'!B:R,17,0)*((E1140*2.54)^VLOOKUP(D1140,'Species Codes'!B:S,18,0)))))/1000,IF(D1140="DF",EXP(VLOOKUP(D1140,'Species Codes'!B:O,14,0)+VLOOKUP(D1140,'Species Codes'!B:P,15,0)*LN((E1140*2.54))),VLOOKUP(D1140,'Species Codes'!B:O,14,0)+VLOOKUP(D1140,'Species Codes'!B:P,15,0)*(((E1140*2.54)/100)^2)*(I1140*0.3048)))))*0.0011023),0)</f>
        <v>#N/A</v>
      </c>
      <c r="AD1140" s="104" t="e">
        <f t="shared" si="517"/>
        <v>#N/A</v>
      </c>
      <c r="AE1140" s="104" t="e">
        <f t="shared" si="518"/>
        <v>#N/A</v>
      </c>
      <c r="AF1140" s="104" t="e">
        <f>IF(AND(VLOOKUP($D1140,Merchantability!$B:$C,2,0)="Yes",$E1140&gt;=VLOOKUP($D1140,Merchantability!$B:$D,3,0),$E1140&lt;=VLOOKUP($D1140,Merchantability!$B:$E,4,0)),AA1140,0)</f>
        <v>#N/A</v>
      </c>
      <c r="AG1140" s="104" t="e">
        <f>IF(AND(VLOOKUP($D1140,Merchantability!$B:$C,2,0)="Yes",$E1140&gt;=VLOOKUP($D1140,Merchantability!$B:$D,3,0),$E1140&lt;=VLOOKUP($D1140,Merchantability!$B:$E,4,0)),AB1140,0)</f>
        <v>#N/A</v>
      </c>
      <c r="AH1140" s="104" t="e">
        <f>IF(AND(VLOOKUP($D1140,Merchantability!$B:$C,2,0)="Yes",$E1140&gt;=VLOOKUP($D1140,Merchantability!$B:$D,3,0),$E1140&lt;=VLOOKUP($D1140,Merchantability!$B:$E,4,0)),AC1140,0)</f>
        <v>#N/A</v>
      </c>
      <c r="AI1140" s="104" t="e">
        <f t="shared" si="519"/>
        <v>#N/A</v>
      </c>
      <c r="AJ1140" s="104" t="e">
        <f t="shared" si="520"/>
        <v>#VALUE!</v>
      </c>
      <c r="AK1140" s="104" t="e">
        <f t="shared" si="521"/>
        <v>#N/A</v>
      </c>
      <c r="AL1140" s="104" t="e">
        <f t="shared" si="522"/>
        <v>#N/A</v>
      </c>
      <c r="AM1140" s="104" t="e">
        <f t="shared" si="523"/>
        <v>#N/A</v>
      </c>
      <c r="AN1140" s="104" t="e">
        <f t="shared" si="507"/>
        <v>#N/A</v>
      </c>
      <c r="AO1140" s="104" t="e">
        <f t="shared" si="508"/>
        <v>#N/A</v>
      </c>
      <c r="AP1140" s="104" t="e">
        <f t="shared" si="509"/>
        <v>#N/A</v>
      </c>
      <c r="AQ1140" s="104" t="e">
        <f t="shared" si="510"/>
        <v>#N/A</v>
      </c>
      <c r="AR1140" s="105" t="str">
        <f t="shared" si="502"/>
        <v/>
      </c>
      <c r="AS1140" s="105" t="str">
        <f t="shared" si="503"/>
        <v/>
      </c>
      <c r="AT1140" s="108" t="str">
        <f t="shared" si="504"/>
        <v/>
      </c>
      <c r="AU1140" s="108" t="str">
        <f t="shared" si="505"/>
        <v/>
      </c>
      <c r="AV1140" s="107" t="str">
        <f>IF(ISNUMBER(O1140),IF(VLOOKUP($A1140,Stand!C:J,8,FALSE)="Short",AT1140,AU1140),"")</f>
        <v/>
      </c>
      <c r="AW1140" s="109" t="str">
        <f t="shared" si="511"/>
        <v/>
      </c>
      <c r="AX1140" s="109" t="str">
        <f t="shared" si="512"/>
        <v/>
      </c>
      <c r="AY1140" s="112" t="str">
        <f>IF(ISNUMBER(O1140),IF(AND(VLOOKUP($D1140,Merchantability!$B:$C,2,0)="Yes",$E1140&gt;=VLOOKUP($D1140,Merchantability!$B:$D,3,0),$E1140&lt;=VLOOKUP($D1140,Merchantability!$B:$E,4,0)),(AV1140*O1140)*(1-$H1140/100),""),"")</f>
        <v/>
      </c>
      <c r="AZ1140" s="116"/>
      <c r="BA1140" s="116"/>
      <c r="BB1140" s="116"/>
      <c r="BE1140" s="62"/>
      <c r="BF1140" s="63"/>
    </row>
    <row r="1141" spans="1:58" ht="12.75" customHeight="1" x14ac:dyDescent="0.25">
      <c r="A1141" s="313"/>
      <c r="B1141" s="328"/>
      <c r="C1141" s="329"/>
      <c r="D1141" s="328"/>
      <c r="E1141" s="330"/>
      <c r="F1141" s="328"/>
      <c r="G1141" s="329"/>
      <c r="H1141" s="329"/>
      <c r="I1141" s="328"/>
      <c r="J1141" s="383"/>
      <c r="K1141" s="329"/>
      <c r="L1141" s="329"/>
      <c r="M1141" s="76"/>
      <c r="N1141" s="103" t="str">
        <f>IF(A1141="","",VLOOKUP(A1141,Stand!C:K,9,0))</f>
        <v/>
      </c>
      <c r="O1141" s="104" t="str">
        <f t="shared" si="497"/>
        <v/>
      </c>
      <c r="P1141" s="105" t="str">
        <f t="shared" si="498"/>
        <v/>
      </c>
      <c r="Q1141" s="105" t="str">
        <f t="shared" si="513"/>
        <v/>
      </c>
      <c r="R1141" s="103" t="str">
        <f t="shared" si="499"/>
        <v/>
      </c>
      <c r="S1141" s="103" t="str">
        <f t="shared" si="500"/>
        <v/>
      </c>
      <c r="T1141" s="106" t="str">
        <f t="shared" si="514"/>
        <v/>
      </c>
      <c r="U1141" s="106" t="str">
        <f t="shared" si="515"/>
        <v/>
      </c>
      <c r="V1141" s="106" t="str">
        <f t="shared" si="516"/>
        <v/>
      </c>
      <c r="W1141" s="105" t="str">
        <f t="shared" si="501"/>
        <v/>
      </c>
      <c r="X1141" s="104" t="str">
        <f t="shared" si="506"/>
        <v/>
      </c>
      <c r="Y1141" s="104" t="str">
        <f t="array" ref="Y1141">IFERROR(IF(ISNUMBER(O1141),IF(COUNT(IF(A1141=$A$2:$A$2427,IF(D1141=$D$2:$D$2427,IF($X$2:$X$2427&gt;0,1))))&gt;0,SUM(IF(A1141=$A$2:$A$2427,IF(D1141=$D$2:$D$2427,$X$2:$X$2427)))/COUNT(IF(A1141=$A$2:$A$2427,IF(D1141=$D$2:$D$2427,IF(ISNUMBER($X$2:$X$2427),1)))),0),""),0)</f>
        <v/>
      </c>
      <c r="Z1141" s="104" t="str">
        <f>IF(ISNUMBER(O1141),IF(I1141&gt;0,(10^(VLOOKUP(D1141,'Species Codes'!B:C,2,0)+VLOOKUP(D1141,'Species Codes'!B:D,3,0)*LOG(E1141)+VLOOKUP(D1141,'Species Codes'!B:E,4,0)*LOG(I1141))),0),"")</f>
        <v/>
      </c>
      <c r="AA1141" s="104" t="str">
        <f>IFERROR((VLOOKUP(D1141,'Species Codes'!B:G,6,0)*Z1141)/2000,"")</f>
        <v/>
      </c>
      <c r="AB1141" s="104" t="e">
        <f>IF(Z1141&gt;0,((IF(OR(D1141="DF",D1141="RA")=TRUE,EXP(VLOOKUP(D1141,'Species Codes'!B:I,8,0)+VLOOKUP(D1141,'Species Codes'!B:J,9,0)*(LN((E1141*2.54)))),IF(OR(D1141="PY",D1141="RC",D1141="WH",D1141="NF")=TRUE,VLOOKUP(D1141,'Species Codes'!B:I,8,0)+VLOOKUP(D1141,'Species Codes'!B:J,9,0)*((E1141*2.54)^2)*(I1141*0.3048),IF(OR(D1141="MD",D1141="BM",D1141="GA")=TRUE,((VLOOKUP(D1141,'Species Codes'!B:I,8,0)*(((((E1141*2.54)+VLOOKUP(D1141,'Species Codes'!B:J,9,0))/VLOOKUP(D1141,'Species Codes'!B:K,10,0))^VLOOKUP(D1141,'Species Codes'!B:L,11,0))*((I1141*0.3048)^VLOOKUP(D1141,'Species Codes'!B:M,12,0))))-(VLOOKUP(D1141,'Species Codes'!B:I,8,0)*((((E1141*2.54)^VLOOKUP(D1141,'Species Codes'!B:L,11,0))*((I1141*0.3048)^VLOOKUP(D1141,'Species Codes'!B:M,12,0))))))*35.3*VLOOKUP(D1141,'Species Codes'!B:G,6,0)/2.2046,VLOOKUP(D1141,'Species Codes'!B:I,8,0)+VLOOKUP(D1141,'Species Codes'!B:J,9,0)*(((E1141*2.54)/100)^2)*(I1141*0.3048)))))*0.0011023),0)</f>
        <v>#N/A</v>
      </c>
      <c r="AC1141" s="104" t="e">
        <f>IF(Z1141&gt;0,((IF(OR(D1141="RA",D1141="OA",D1141="OT",D1141="UN",D1141="PC"),EXP(VLOOKUP(D1141,'Species Codes'!B:O,14,0)+VLOOKUP(D1141,'Species Codes'!B:P,15,0)*LN((E1141*2.54)))-EXP(VLOOKUP(D1141,'Species Codes'!B:O,14,0)+VLOOKUP(D1141,'Species Codes'!B:P,15,0)*LN((E1141*2.54)))*(1/(VLOOKUP(D1141,'Species Codes'!B:Q,16,0)+VLOOKUP(D1141,'Species Codes'!B:R,17,0)*((E1141*2.54)^VLOOKUP(D1141,'Species Codes'!B:S,18,0)))),IF(OR(D1141="BM",D1141="MD",D1141="OA"),EXP(VLOOKUP(D1141,'Species Codes'!B:O,14,0)+VLOOKUP(D1141,'Species Codes'!B:P,15,0)*LN((E1141*2.54)))*(1-(1/(VLOOKUP(D1141,'Species Codes'!B:Q,16,0)+VLOOKUP(D1141,'Species Codes'!B:R,17,0)*((E1141*2.54)^VLOOKUP(D1141,'Species Codes'!B:S,18,0)))))/1000,IF(D1141="DF",EXP(VLOOKUP(D1141,'Species Codes'!B:O,14,0)+VLOOKUP(D1141,'Species Codes'!B:P,15,0)*LN((E1141*2.54))),VLOOKUP(D1141,'Species Codes'!B:O,14,0)+VLOOKUP(D1141,'Species Codes'!B:P,15,0)*(((E1141*2.54)/100)^2)*(I1141*0.3048)))))*0.0011023),0)</f>
        <v>#N/A</v>
      </c>
      <c r="AD1141" s="104" t="e">
        <f t="shared" si="517"/>
        <v>#N/A</v>
      </c>
      <c r="AE1141" s="104" t="e">
        <f t="shared" si="518"/>
        <v>#N/A</v>
      </c>
      <c r="AF1141" s="104" t="e">
        <f>IF(AND(VLOOKUP($D1141,Merchantability!$B:$C,2,0)="Yes",$E1141&gt;=VLOOKUP($D1141,Merchantability!$B:$D,3,0),$E1141&lt;=VLOOKUP($D1141,Merchantability!$B:$E,4,0)),AA1141,0)</f>
        <v>#N/A</v>
      </c>
      <c r="AG1141" s="104" t="e">
        <f>IF(AND(VLOOKUP($D1141,Merchantability!$B:$C,2,0)="Yes",$E1141&gt;=VLOOKUP($D1141,Merchantability!$B:$D,3,0),$E1141&lt;=VLOOKUP($D1141,Merchantability!$B:$E,4,0)),AB1141,0)</f>
        <v>#N/A</v>
      </c>
      <c r="AH1141" s="104" t="e">
        <f>IF(AND(VLOOKUP($D1141,Merchantability!$B:$C,2,0)="Yes",$E1141&gt;=VLOOKUP($D1141,Merchantability!$B:$D,3,0),$E1141&lt;=VLOOKUP($D1141,Merchantability!$B:$E,4,0)),AC1141,0)</f>
        <v>#N/A</v>
      </c>
      <c r="AI1141" s="104" t="e">
        <f t="shared" si="519"/>
        <v>#N/A</v>
      </c>
      <c r="AJ1141" s="104" t="e">
        <f t="shared" si="520"/>
        <v>#VALUE!</v>
      </c>
      <c r="AK1141" s="104" t="e">
        <f t="shared" si="521"/>
        <v>#N/A</v>
      </c>
      <c r="AL1141" s="104" t="e">
        <f t="shared" si="522"/>
        <v>#N/A</v>
      </c>
      <c r="AM1141" s="104" t="e">
        <f t="shared" si="523"/>
        <v>#N/A</v>
      </c>
      <c r="AN1141" s="104" t="e">
        <f t="shared" si="507"/>
        <v>#N/A</v>
      </c>
      <c r="AO1141" s="104" t="e">
        <f t="shared" si="508"/>
        <v>#N/A</v>
      </c>
      <c r="AP1141" s="104" t="e">
        <f t="shared" si="509"/>
        <v>#N/A</v>
      </c>
      <c r="AQ1141" s="104" t="e">
        <f t="shared" si="510"/>
        <v>#N/A</v>
      </c>
      <c r="AR1141" s="105" t="str">
        <f t="shared" si="502"/>
        <v/>
      </c>
      <c r="AS1141" s="105" t="str">
        <f t="shared" si="503"/>
        <v/>
      </c>
      <c r="AT1141" s="108" t="str">
        <f t="shared" si="504"/>
        <v/>
      </c>
      <c r="AU1141" s="108" t="str">
        <f t="shared" si="505"/>
        <v/>
      </c>
      <c r="AV1141" s="107" t="str">
        <f>IF(ISNUMBER(O1141),IF(VLOOKUP($A1141,Stand!C:J,8,FALSE)="Short",AT1141,AU1141),"")</f>
        <v/>
      </c>
      <c r="AW1141" s="109" t="str">
        <f t="shared" si="511"/>
        <v/>
      </c>
      <c r="AX1141" s="109" t="str">
        <f t="shared" si="512"/>
        <v/>
      </c>
      <c r="AY1141" s="112" t="str">
        <f>IF(ISNUMBER(O1141),IF(AND(VLOOKUP($D1141,Merchantability!$B:$C,2,0)="Yes",$E1141&gt;=VLOOKUP($D1141,Merchantability!$B:$D,3,0),$E1141&lt;=VLOOKUP($D1141,Merchantability!$B:$E,4,0)),(AV1141*O1141)*(1-$H1141/100),""),"")</f>
        <v/>
      </c>
      <c r="AZ1141" s="116"/>
      <c r="BA1141" s="116"/>
      <c r="BB1141" s="116"/>
      <c r="BE1141" s="62"/>
      <c r="BF1141" s="63"/>
    </row>
    <row r="1142" spans="1:58" ht="12.75" customHeight="1" x14ac:dyDescent="0.25">
      <c r="A1142" s="313"/>
      <c r="B1142" s="328"/>
      <c r="C1142" s="329"/>
      <c r="D1142" s="328"/>
      <c r="E1142" s="330"/>
      <c r="F1142" s="328"/>
      <c r="G1142" s="329"/>
      <c r="H1142" s="329"/>
      <c r="I1142" s="328"/>
      <c r="J1142" s="383"/>
      <c r="K1142" s="329"/>
      <c r="L1142" s="329"/>
      <c r="M1142" s="76"/>
      <c r="N1142" s="103" t="str">
        <f>IF(A1142="","",VLOOKUP(A1142,Stand!C:K,9,0))</f>
        <v/>
      </c>
      <c r="O1142" s="104" t="str">
        <f t="shared" si="497"/>
        <v/>
      </c>
      <c r="P1142" s="105" t="str">
        <f t="shared" si="498"/>
        <v/>
      </c>
      <c r="Q1142" s="105" t="str">
        <f t="shared" si="513"/>
        <v/>
      </c>
      <c r="R1142" s="103" t="str">
        <f t="shared" si="499"/>
        <v/>
      </c>
      <c r="S1142" s="103" t="str">
        <f t="shared" si="500"/>
        <v/>
      </c>
      <c r="T1142" s="106" t="str">
        <f t="shared" si="514"/>
        <v/>
      </c>
      <c r="U1142" s="106" t="str">
        <f t="shared" si="515"/>
        <v/>
      </c>
      <c r="V1142" s="106" t="str">
        <f t="shared" si="516"/>
        <v/>
      </c>
      <c r="W1142" s="105" t="str">
        <f t="shared" si="501"/>
        <v/>
      </c>
      <c r="X1142" s="104" t="str">
        <f t="shared" si="506"/>
        <v/>
      </c>
      <c r="Y1142" s="104" t="str">
        <f t="array" ref="Y1142">IFERROR(IF(ISNUMBER(O1142),IF(COUNT(IF(A1142=$A$2:$A$2427,IF(D1142=$D$2:$D$2427,IF($X$2:$X$2427&gt;0,1))))&gt;0,SUM(IF(A1142=$A$2:$A$2427,IF(D1142=$D$2:$D$2427,$X$2:$X$2427)))/COUNT(IF(A1142=$A$2:$A$2427,IF(D1142=$D$2:$D$2427,IF(ISNUMBER($X$2:$X$2427),1)))),0),""),0)</f>
        <v/>
      </c>
      <c r="Z1142" s="104" t="str">
        <f>IF(ISNUMBER(O1142),IF(I1142&gt;0,(10^(VLOOKUP(D1142,'Species Codes'!B:C,2,0)+VLOOKUP(D1142,'Species Codes'!B:D,3,0)*LOG(E1142)+VLOOKUP(D1142,'Species Codes'!B:E,4,0)*LOG(I1142))),0),"")</f>
        <v/>
      </c>
      <c r="AA1142" s="104" t="str">
        <f>IFERROR((VLOOKUP(D1142,'Species Codes'!B:G,6,0)*Z1142)/2000,"")</f>
        <v/>
      </c>
      <c r="AB1142" s="104" t="e">
        <f>IF(Z1142&gt;0,((IF(OR(D1142="DF",D1142="RA")=TRUE,EXP(VLOOKUP(D1142,'Species Codes'!B:I,8,0)+VLOOKUP(D1142,'Species Codes'!B:J,9,0)*(LN((E1142*2.54)))),IF(OR(D1142="PY",D1142="RC",D1142="WH",D1142="NF")=TRUE,VLOOKUP(D1142,'Species Codes'!B:I,8,0)+VLOOKUP(D1142,'Species Codes'!B:J,9,0)*((E1142*2.54)^2)*(I1142*0.3048),IF(OR(D1142="MD",D1142="BM",D1142="GA")=TRUE,((VLOOKUP(D1142,'Species Codes'!B:I,8,0)*(((((E1142*2.54)+VLOOKUP(D1142,'Species Codes'!B:J,9,0))/VLOOKUP(D1142,'Species Codes'!B:K,10,0))^VLOOKUP(D1142,'Species Codes'!B:L,11,0))*((I1142*0.3048)^VLOOKUP(D1142,'Species Codes'!B:M,12,0))))-(VLOOKUP(D1142,'Species Codes'!B:I,8,0)*((((E1142*2.54)^VLOOKUP(D1142,'Species Codes'!B:L,11,0))*((I1142*0.3048)^VLOOKUP(D1142,'Species Codes'!B:M,12,0))))))*35.3*VLOOKUP(D1142,'Species Codes'!B:G,6,0)/2.2046,VLOOKUP(D1142,'Species Codes'!B:I,8,0)+VLOOKUP(D1142,'Species Codes'!B:J,9,0)*(((E1142*2.54)/100)^2)*(I1142*0.3048)))))*0.0011023),0)</f>
        <v>#N/A</v>
      </c>
      <c r="AC1142" s="104" t="e">
        <f>IF(Z1142&gt;0,((IF(OR(D1142="RA",D1142="OA",D1142="OT",D1142="UN",D1142="PC"),EXP(VLOOKUP(D1142,'Species Codes'!B:O,14,0)+VLOOKUP(D1142,'Species Codes'!B:P,15,0)*LN((E1142*2.54)))-EXP(VLOOKUP(D1142,'Species Codes'!B:O,14,0)+VLOOKUP(D1142,'Species Codes'!B:P,15,0)*LN((E1142*2.54)))*(1/(VLOOKUP(D1142,'Species Codes'!B:Q,16,0)+VLOOKUP(D1142,'Species Codes'!B:R,17,0)*((E1142*2.54)^VLOOKUP(D1142,'Species Codes'!B:S,18,0)))),IF(OR(D1142="BM",D1142="MD",D1142="OA"),EXP(VLOOKUP(D1142,'Species Codes'!B:O,14,0)+VLOOKUP(D1142,'Species Codes'!B:P,15,0)*LN((E1142*2.54)))*(1-(1/(VLOOKUP(D1142,'Species Codes'!B:Q,16,0)+VLOOKUP(D1142,'Species Codes'!B:R,17,0)*((E1142*2.54)^VLOOKUP(D1142,'Species Codes'!B:S,18,0)))))/1000,IF(D1142="DF",EXP(VLOOKUP(D1142,'Species Codes'!B:O,14,0)+VLOOKUP(D1142,'Species Codes'!B:P,15,0)*LN((E1142*2.54))),VLOOKUP(D1142,'Species Codes'!B:O,14,0)+VLOOKUP(D1142,'Species Codes'!B:P,15,0)*(((E1142*2.54)/100)^2)*(I1142*0.3048)))))*0.0011023),0)</f>
        <v>#N/A</v>
      </c>
      <c r="AD1142" s="104" t="e">
        <f t="shared" si="517"/>
        <v>#N/A</v>
      </c>
      <c r="AE1142" s="104" t="e">
        <f t="shared" si="518"/>
        <v>#N/A</v>
      </c>
      <c r="AF1142" s="104" t="e">
        <f>IF(AND(VLOOKUP($D1142,Merchantability!$B:$C,2,0)="Yes",$E1142&gt;=VLOOKUP($D1142,Merchantability!$B:$D,3,0),$E1142&lt;=VLOOKUP($D1142,Merchantability!$B:$E,4,0)),AA1142,0)</f>
        <v>#N/A</v>
      </c>
      <c r="AG1142" s="104" t="e">
        <f>IF(AND(VLOOKUP($D1142,Merchantability!$B:$C,2,0)="Yes",$E1142&gt;=VLOOKUP($D1142,Merchantability!$B:$D,3,0),$E1142&lt;=VLOOKUP($D1142,Merchantability!$B:$E,4,0)),AB1142,0)</f>
        <v>#N/A</v>
      </c>
      <c r="AH1142" s="104" t="e">
        <f>IF(AND(VLOOKUP($D1142,Merchantability!$B:$C,2,0)="Yes",$E1142&gt;=VLOOKUP($D1142,Merchantability!$B:$D,3,0),$E1142&lt;=VLOOKUP($D1142,Merchantability!$B:$E,4,0)),AC1142,0)</f>
        <v>#N/A</v>
      </c>
      <c r="AI1142" s="104" t="e">
        <f t="shared" si="519"/>
        <v>#N/A</v>
      </c>
      <c r="AJ1142" s="104" t="e">
        <f t="shared" si="520"/>
        <v>#VALUE!</v>
      </c>
      <c r="AK1142" s="104" t="e">
        <f t="shared" si="521"/>
        <v>#N/A</v>
      </c>
      <c r="AL1142" s="104" t="e">
        <f t="shared" si="522"/>
        <v>#N/A</v>
      </c>
      <c r="AM1142" s="104" t="e">
        <f t="shared" si="523"/>
        <v>#N/A</v>
      </c>
      <c r="AN1142" s="104" t="e">
        <f t="shared" si="507"/>
        <v>#N/A</v>
      </c>
      <c r="AO1142" s="104" t="e">
        <f t="shared" si="508"/>
        <v>#N/A</v>
      </c>
      <c r="AP1142" s="104" t="e">
        <f t="shared" si="509"/>
        <v>#N/A</v>
      </c>
      <c r="AQ1142" s="104" t="e">
        <f t="shared" si="510"/>
        <v>#N/A</v>
      </c>
      <c r="AR1142" s="105" t="str">
        <f t="shared" si="502"/>
        <v/>
      </c>
      <c r="AS1142" s="105" t="str">
        <f t="shared" si="503"/>
        <v/>
      </c>
      <c r="AT1142" s="108" t="str">
        <f t="shared" si="504"/>
        <v/>
      </c>
      <c r="AU1142" s="108" t="str">
        <f t="shared" si="505"/>
        <v/>
      </c>
      <c r="AV1142" s="107" t="str">
        <f>IF(ISNUMBER(O1142),IF(VLOOKUP($A1142,Stand!C:J,8,FALSE)="Short",AT1142,AU1142),"")</f>
        <v/>
      </c>
      <c r="AW1142" s="109" t="str">
        <f t="shared" si="511"/>
        <v/>
      </c>
      <c r="AX1142" s="109" t="str">
        <f t="shared" si="512"/>
        <v/>
      </c>
      <c r="AY1142" s="112" t="str">
        <f>IF(ISNUMBER(O1142),IF(AND(VLOOKUP($D1142,Merchantability!$B:$C,2,0)="Yes",$E1142&gt;=VLOOKUP($D1142,Merchantability!$B:$D,3,0),$E1142&lt;=VLOOKUP($D1142,Merchantability!$B:$E,4,0)),(AV1142*O1142)*(1-$H1142/100),""),"")</f>
        <v/>
      </c>
      <c r="AZ1142" s="116"/>
      <c r="BA1142" s="116"/>
      <c r="BB1142" s="116"/>
      <c r="BE1142" s="62"/>
      <c r="BF1142" s="63"/>
    </row>
    <row r="1143" spans="1:58" ht="12.75" customHeight="1" x14ac:dyDescent="0.25">
      <c r="A1143" s="313"/>
      <c r="B1143" s="328"/>
      <c r="C1143" s="329"/>
      <c r="D1143" s="328"/>
      <c r="E1143" s="330"/>
      <c r="F1143" s="328"/>
      <c r="G1143" s="329"/>
      <c r="H1143" s="329"/>
      <c r="I1143" s="328"/>
      <c r="J1143" s="383"/>
      <c r="K1143" s="329"/>
      <c r="L1143" s="329"/>
      <c r="M1143" s="76"/>
      <c r="N1143" s="103" t="str">
        <f>IF(A1143="","",VLOOKUP(A1143,Stand!C:K,9,0))</f>
        <v/>
      </c>
      <c r="O1143" s="104" t="str">
        <f t="shared" si="497"/>
        <v/>
      </c>
      <c r="P1143" s="105" t="str">
        <f t="shared" si="498"/>
        <v/>
      </c>
      <c r="Q1143" s="105" t="str">
        <f t="shared" si="513"/>
        <v/>
      </c>
      <c r="R1143" s="103" t="str">
        <f t="shared" si="499"/>
        <v/>
      </c>
      <c r="S1143" s="103" t="str">
        <f t="shared" si="500"/>
        <v/>
      </c>
      <c r="T1143" s="106" t="str">
        <f t="shared" si="514"/>
        <v/>
      </c>
      <c r="U1143" s="106" t="str">
        <f t="shared" si="515"/>
        <v/>
      </c>
      <c r="V1143" s="106" t="str">
        <f t="shared" si="516"/>
        <v/>
      </c>
      <c r="W1143" s="105" t="str">
        <f t="shared" si="501"/>
        <v/>
      </c>
      <c r="X1143" s="104" t="str">
        <f t="shared" si="506"/>
        <v/>
      </c>
      <c r="Y1143" s="104" t="str">
        <f t="array" ref="Y1143">IFERROR(IF(ISNUMBER(O1143),IF(COUNT(IF(A1143=$A$2:$A$2427,IF(D1143=$D$2:$D$2427,IF($X$2:$X$2427&gt;0,1))))&gt;0,SUM(IF(A1143=$A$2:$A$2427,IF(D1143=$D$2:$D$2427,$X$2:$X$2427)))/COUNT(IF(A1143=$A$2:$A$2427,IF(D1143=$D$2:$D$2427,IF(ISNUMBER($X$2:$X$2427),1)))),0),""),0)</f>
        <v/>
      </c>
      <c r="Z1143" s="104" t="str">
        <f>IF(ISNUMBER(O1143),IF(I1143&gt;0,(10^(VLOOKUP(D1143,'Species Codes'!B:C,2,0)+VLOOKUP(D1143,'Species Codes'!B:D,3,0)*LOG(E1143)+VLOOKUP(D1143,'Species Codes'!B:E,4,0)*LOG(I1143))),0),"")</f>
        <v/>
      </c>
      <c r="AA1143" s="104" t="str">
        <f>IFERROR((VLOOKUP(D1143,'Species Codes'!B:G,6,0)*Z1143)/2000,"")</f>
        <v/>
      </c>
      <c r="AB1143" s="104" t="e">
        <f>IF(Z1143&gt;0,((IF(OR(D1143="DF",D1143="RA")=TRUE,EXP(VLOOKUP(D1143,'Species Codes'!B:I,8,0)+VLOOKUP(D1143,'Species Codes'!B:J,9,0)*(LN((E1143*2.54)))),IF(OR(D1143="PY",D1143="RC",D1143="WH",D1143="NF")=TRUE,VLOOKUP(D1143,'Species Codes'!B:I,8,0)+VLOOKUP(D1143,'Species Codes'!B:J,9,0)*((E1143*2.54)^2)*(I1143*0.3048),IF(OR(D1143="MD",D1143="BM",D1143="GA")=TRUE,((VLOOKUP(D1143,'Species Codes'!B:I,8,0)*(((((E1143*2.54)+VLOOKUP(D1143,'Species Codes'!B:J,9,0))/VLOOKUP(D1143,'Species Codes'!B:K,10,0))^VLOOKUP(D1143,'Species Codes'!B:L,11,0))*((I1143*0.3048)^VLOOKUP(D1143,'Species Codes'!B:M,12,0))))-(VLOOKUP(D1143,'Species Codes'!B:I,8,0)*((((E1143*2.54)^VLOOKUP(D1143,'Species Codes'!B:L,11,0))*((I1143*0.3048)^VLOOKUP(D1143,'Species Codes'!B:M,12,0))))))*35.3*VLOOKUP(D1143,'Species Codes'!B:G,6,0)/2.2046,VLOOKUP(D1143,'Species Codes'!B:I,8,0)+VLOOKUP(D1143,'Species Codes'!B:J,9,0)*(((E1143*2.54)/100)^2)*(I1143*0.3048)))))*0.0011023),0)</f>
        <v>#N/A</v>
      </c>
      <c r="AC1143" s="104" t="e">
        <f>IF(Z1143&gt;0,((IF(OR(D1143="RA",D1143="OA",D1143="OT",D1143="UN",D1143="PC"),EXP(VLOOKUP(D1143,'Species Codes'!B:O,14,0)+VLOOKUP(D1143,'Species Codes'!B:P,15,0)*LN((E1143*2.54)))-EXP(VLOOKUP(D1143,'Species Codes'!B:O,14,0)+VLOOKUP(D1143,'Species Codes'!B:P,15,0)*LN((E1143*2.54)))*(1/(VLOOKUP(D1143,'Species Codes'!B:Q,16,0)+VLOOKUP(D1143,'Species Codes'!B:R,17,0)*((E1143*2.54)^VLOOKUP(D1143,'Species Codes'!B:S,18,0)))),IF(OR(D1143="BM",D1143="MD",D1143="OA"),EXP(VLOOKUP(D1143,'Species Codes'!B:O,14,0)+VLOOKUP(D1143,'Species Codes'!B:P,15,0)*LN((E1143*2.54)))*(1-(1/(VLOOKUP(D1143,'Species Codes'!B:Q,16,0)+VLOOKUP(D1143,'Species Codes'!B:R,17,0)*((E1143*2.54)^VLOOKUP(D1143,'Species Codes'!B:S,18,0)))))/1000,IF(D1143="DF",EXP(VLOOKUP(D1143,'Species Codes'!B:O,14,0)+VLOOKUP(D1143,'Species Codes'!B:P,15,0)*LN((E1143*2.54))),VLOOKUP(D1143,'Species Codes'!B:O,14,0)+VLOOKUP(D1143,'Species Codes'!B:P,15,0)*(((E1143*2.54)/100)^2)*(I1143*0.3048)))))*0.0011023),0)</f>
        <v>#N/A</v>
      </c>
      <c r="AD1143" s="104" t="e">
        <f t="shared" si="517"/>
        <v>#N/A</v>
      </c>
      <c r="AE1143" s="104" t="e">
        <f t="shared" si="518"/>
        <v>#N/A</v>
      </c>
      <c r="AF1143" s="104" t="e">
        <f>IF(AND(VLOOKUP($D1143,Merchantability!$B:$C,2,0)="Yes",$E1143&gt;=VLOOKUP($D1143,Merchantability!$B:$D,3,0),$E1143&lt;=VLOOKUP($D1143,Merchantability!$B:$E,4,0)),AA1143,0)</f>
        <v>#N/A</v>
      </c>
      <c r="AG1143" s="104" t="e">
        <f>IF(AND(VLOOKUP($D1143,Merchantability!$B:$C,2,0)="Yes",$E1143&gt;=VLOOKUP($D1143,Merchantability!$B:$D,3,0),$E1143&lt;=VLOOKUP($D1143,Merchantability!$B:$E,4,0)),AB1143,0)</f>
        <v>#N/A</v>
      </c>
      <c r="AH1143" s="104" t="e">
        <f>IF(AND(VLOOKUP($D1143,Merchantability!$B:$C,2,0)="Yes",$E1143&gt;=VLOOKUP($D1143,Merchantability!$B:$D,3,0),$E1143&lt;=VLOOKUP($D1143,Merchantability!$B:$E,4,0)),AC1143,0)</f>
        <v>#N/A</v>
      </c>
      <c r="AI1143" s="104" t="e">
        <f t="shared" si="519"/>
        <v>#N/A</v>
      </c>
      <c r="AJ1143" s="104" t="e">
        <f t="shared" si="520"/>
        <v>#VALUE!</v>
      </c>
      <c r="AK1143" s="104" t="e">
        <f t="shared" si="521"/>
        <v>#N/A</v>
      </c>
      <c r="AL1143" s="104" t="e">
        <f t="shared" si="522"/>
        <v>#N/A</v>
      </c>
      <c r="AM1143" s="104" t="e">
        <f t="shared" si="523"/>
        <v>#N/A</v>
      </c>
      <c r="AN1143" s="104" t="e">
        <f t="shared" si="507"/>
        <v>#N/A</v>
      </c>
      <c r="AO1143" s="104" t="e">
        <f t="shared" si="508"/>
        <v>#N/A</v>
      </c>
      <c r="AP1143" s="104" t="e">
        <f t="shared" si="509"/>
        <v>#N/A</v>
      </c>
      <c r="AQ1143" s="104" t="e">
        <f t="shared" si="510"/>
        <v>#N/A</v>
      </c>
      <c r="AR1143" s="105" t="str">
        <f t="shared" si="502"/>
        <v/>
      </c>
      <c r="AS1143" s="105" t="str">
        <f t="shared" si="503"/>
        <v/>
      </c>
      <c r="AT1143" s="108" t="str">
        <f t="shared" si="504"/>
        <v/>
      </c>
      <c r="AU1143" s="108" t="str">
        <f t="shared" si="505"/>
        <v/>
      </c>
      <c r="AV1143" s="107" t="str">
        <f>IF(ISNUMBER(O1143),IF(VLOOKUP($A1143,Stand!C:J,8,FALSE)="Short",AT1143,AU1143),"")</f>
        <v/>
      </c>
      <c r="AW1143" s="109" t="str">
        <f t="shared" si="511"/>
        <v/>
      </c>
      <c r="AX1143" s="109" t="str">
        <f t="shared" si="512"/>
        <v/>
      </c>
      <c r="AY1143" s="112" t="str">
        <f>IF(ISNUMBER(O1143),IF(AND(VLOOKUP($D1143,Merchantability!$B:$C,2,0)="Yes",$E1143&gt;=VLOOKUP($D1143,Merchantability!$B:$D,3,0),$E1143&lt;=VLOOKUP($D1143,Merchantability!$B:$E,4,0)),(AV1143*O1143)*(1-$H1143/100),""),"")</f>
        <v/>
      </c>
      <c r="AZ1143" s="116"/>
      <c r="BA1143" s="116"/>
      <c r="BB1143" s="116"/>
      <c r="BE1143" s="62"/>
      <c r="BF1143" s="63"/>
    </row>
    <row r="1144" spans="1:58" ht="12.75" customHeight="1" x14ac:dyDescent="0.25">
      <c r="A1144" s="313"/>
      <c r="B1144" s="328"/>
      <c r="C1144" s="329"/>
      <c r="D1144" s="328"/>
      <c r="E1144" s="330"/>
      <c r="F1144" s="328"/>
      <c r="G1144" s="329"/>
      <c r="H1144" s="329"/>
      <c r="I1144" s="328"/>
      <c r="J1144" s="383"/>
      <c r="K1144" s="329"/>
      <c r="L1144" s="329"/>
      <c r="M1144" s="76"/>
      <c r="N1144" s="103" t="str">
        <f>IF(A1144="","",VLOOKUP(A1144,Stand!C:K,9,0))</f>
        <v/>
      </c>
      <c r="O1144" s="104" t="str">
        <f t="shared" si="497"/>
        <v/>
      </c>
      <c r="P1144" s="105" t="str">
        <f t="shared" si="498"/>
        <v/>
      </c>
      <c r="Q1144" s="105" t="str">
        <f t="shared" si="513"/>
        <v/>
      </c>
      <c r="R1144" s="103" t="str">
        <f t="shared" si="499"/>
        <v/>
      </c>
      <c r="S1144" s="103" t="str">
        <f t="shared" si="500"/>
        <v/>
      </c>
      <c r="T1144" s="106" t="str">
        <f t="shared" si="514"/>
        <v/>
      </c>
      <c r="U1144" s="106" t="str">
        <f t="shared" si="515"/>
        <v/>
      </c>
      <c r="V1144" s="106" t="str">
        <f t="shared" si="516"/>
        <v/>
      </c>
      <c r="W1144" s="105" t="str">
        <f t="shared" si="501"/>
        <v/>
      </c>
      <c r="X1144" s="104" t="str">
        <f t="shared" si="506"/>
        <v/>
      </c>
      <c r="Y1144" s="104" t="str">
        <f t="array" ref="Y1144">IFERROR(IF(ISNUMBER(O1144),IF(COUNT(IF(A1144=$A$2:$A$2427,IF(D1144=$D$2:$D$2427,IF($X$2:$X$2427&gt;0,1))))&gt;0,SUM(IF(A1144=$A$2:$A$2427,IF(D1144=$D$2:$D$2427,$X$2:$X$2427)))/COUNT(IF(A1144=$A$2:$A$2427,IF(D1144=$D$2:$D$2427,IF(ISNUMBER($X$2:$X$2427),1)))),0),""),0)</f>
        <v/>
      </c>
      <c r="Z1144" s="104" t="str">
        <f>IF(ISNUMBER(O1144),IF(I1144&gt;0,(10^(VLOOKUP(D1144,'Species Codes'!B:C,2,0)+VLOOKUP(D1144,'Species Codes'!B:D,3,0)*LOG(E1144)+VLOOKUP(D1144,'Species Codes'!B:E,4,0)*LOG(I1144))),0),"")</f>
        <v/>
      </c>
      <c r="AA1144" s="104" t="str">
        <f>IFERROR((VLOOKUP(D1144,'Species Codes'!B:G,6,0)*Z1144)/2000,"")</f>
        <v/>
      </c>
      <c r="AB1144" s="104" t="e">
        <f>IF(Z1144&gt;0,((IF(OR(D1144="DF",D1144="RA")=TRUE,EXP(VLOOKUP(D1144,'Species Codes'!B:I,8,0)+VLOOKUP(D1144,'Species Codes'!B:J,9,0)*(LN((E1144*2.54)))),IF(OR(D1144="PY",D1144="RC",D1144="WH",D1144="NF")=TRUE,VLOOKUP(D1144,'Species Codes'!B:I,8,0)+VLOOKUP(D1144,'Species Codes'!B:J,9,0)*((E1144*2.54)^2)*(I1144*0.3048),IF(OR(D1144="MD",D1144="BM",D1144="GA")=TRUE,((VLOOKUP(D1144,'Species Codes'!B:I,8,0)*(((((E1144*2.54)+VLOOKUP(D1144,'Species Codes'!B:J,9,0))/VLOOKUP(D1144,'Species Codes'!B:K,10,0))^VLOOKUP(D1144,'Species Codes'!B:L,11,0))*((I1144*0.3048)^VLOOKUP(D1144,'Species Codes'!B:M,12,0))))-(VLOOKUP(D1144,'Species Codes'!B:I,8,0)*((((E1144*2.54)^VLOOKUP(D1144,'Species Codes'!B:L,11,0))*((I1144*0.3048)^VLOOKUP(D1144,'Species Codes'!B:M,12,0))))))*35.3*VLOOKUP(D1144,'Species Codes'!B:G,6,0)/2.2046,VLOOKUP(D1144,'Species Codes'!B:I,8,0)+VLOOKUP(D1144,'Species Codes'!B:J,9,0)*(((E1144*2.54)/100)^2)*(I1144*0.3048)))))*0.0011023),0)</f>
        <v>#N/A</v>
      </c>
      <c r="AC1144" s="104" t="e">
        <f>IF(Z1144&gt;0,((IF(OR(D1144="RA",D1144="OA",D1144="OT",D1144="UN",D1144="PC"),EXP(VLOOKUP(D1144,'Species Codes'!B:O,14,0)+VLOOKUP(D1144,'Species Codes'!B:P,15,0)*LN((E1144*2.54)))-EXP(VLOOKUP(D1144,'Species Codes'!B:O,14,0)+VLOOKUP(D1144,'Species Codes'!B:P,15,0)*LN((E1144*2.54)))*(1/(VLOOKUP(D1144,'Species Codes'!B:Q,16,0)+VLOOKUP(D1144,'Species Codes'!B:R,17,0)*((E1144*2.54)^VLOOKUP(D1144,'Species Codes'!B:S,18,0)))),IF(OR(D1144="BM",D1144="MD",D1144="OA"),EXP(VLOOKUP(D1144,'Species Codes'!B:O,14,0)+VLOOKUP(D1144,'Species Codes'!B:P,15,0)*LN((E1144*2.54)))*(1-(1/(VLOOKUP(D1144,'Species Codes'!B:Q,16,0)+VLOOKUP(D1144,'Species Codes'!B:R,17,0)*((E1144*2.54)^VLOOKUP(D1144,'Species Codes'!B:S,18,0)))))/1000,IF(D1144="DF",EXP(VLOOKUP(D1144,'Species Codes'!B:O,14,0)+VLOOKUP(D1144,'Species Codes'!B:P,15,0)*LN((E1144*2.54))),VLOOKUP(D1144,'Species Codes'!B:O,14,0)+VLOOKUP(D1144,'Species Codes'!B:P,15,0)*(((E1144*2.54)/100)^2)*(I1144*0.3048)))))*0.0011023),0)</f>
        <v>#N/A</v>
      </c>
      <c r="AD1144" s="104" t="e">
        <f t="shared" si="517"/>
        <v>#N/A</v>
      </c>
      <c r="AE1144" s="104" t="e">
        <f t="shared" si="518"/>
        <v>#N/A</v>
      </c>
      <c r="AF1144" s="104" t="e">
        <f>IF(AND(VLOOKUP($D1144,Merchantability!$B:$C,2,0)="Yes",$E1144&gt;=VLOOKUP($D1144,Merchantability!$B:$D,3,0),$E1144&lt;=VLOOKUP($D1144,Merchantability!$B:$E,4,0)),AA1144,0)</f>
        <v>#N/A</v>
      </c>
      <c r="AG1144" s="104" t="e">
        <f>IF(AND(VLOOKUP($D1144,Merchantability!$B:$C,2,0)="Yes",$E1144&gt;=VLOOKUP($D1144,Merchantability!$B:$D,3,0),$E1144&lt;=VLOOKUP($D1144,Merchantability!$B:$E,4,0)),AB1144,0)</f>
        <v>#N/A</v>
      </c>
      <c r="AH1144" s="104" t="e">
        <f>IF(AND(VLOOKUP($D1144,Merchantability!$B:$C,2,0)="Yes",$E1144&gt;=VLOOKUP($D1144,Merchantability!$B:$D,3,0),$E1144&lt;=VLOOKUP($D1144,Merchantability!$B:$E,4,0)),AC1144,0)</f>
        <v>#N/A</v>
      </c>
      <c r="AI1144" s="104" t="e">
        <f t="shared" si="519"/>
        <v>#N/A</v>
      </c>
      <c r="AJ1144" s="104" t="e">
        <f t="shared" si="520"/>
        <v>#VALUE!</v>
      </c>
      <c r="AK1144" s="104" t="e">
        <f t="shared" si="521"/>
        <v>#N/A</v>
      </c>
      <c r="AL1144" s="104" t="e">
        <f t="shared" si="522"/>
        <v>#N/A</v>
      </c>
      <c r="AM1144" s="104" t="e">
        <f t="shared" si="523"/>
        <v>#N/A</v>
      </c>
      <c r="AN1144" s="104" t="e">
        <f t="shared" si="507"/>
        <v>#N/A</v>
      </c>
      <c r="AO1144" s="104" t="e">
        <f t="shared" si="508"/>
        <v>#N/A</v>
      </c>
      <c r="AP1144" s="104" t="e">
        <f t="shared" si="509"/>
        <v>#N/A</v>
      </c>
      <c r="AQ1144" s="104" t="e">
        <f t="shared" si="510"/>
        <v>#N/A</v>
      </c>
      <c r="AR1144" s="105" t="str">
        <f t="shared" si="502"/>
        <v/>
      </c>
      <c r="AS1144" s="105" t="str">
        <f t="shared" si="503"/>
        <v/>
      </c>
      <c r="AT1144" s="108" t="str">
        <f t="shared" si="504"/>
        <v/>
      </c>
      <c r="AU1144" s="108" t="str">
        <f t="shared" si="505"/>
        <v/>
      </c>
      <c r="AV1144" s="107" t="str">
        <f>IF(ISNUMBER(O1144),IF(VLOOKUP($A1144,Stand!C:J,8,FALSE)="Short",AT1144,AU1144),"")</f>
        <v/>
      </c>
      <c r="AW1144" s="109" t="str">
        <f t="shared" si="511"/>
        <v/>
      </c>
      <c r="AX1144" s="109" t="str">
        <f t="shared" si="512"/>
        <v/>
      </c>
      <c r="AY1144" s="112" t="str">
        <f>IF(ISNUMBER(O1144),IF(AND(VLOOKUP($D1144,Merchantability!$B:$C,2,0)="Yes",$E1144&gt;=VLOOKUP($D1144,Merchantability!$B:$D,3,0),$E1144&lt;=VLOOKUP($D1144,Merchantability!$B:$E,4,0)),(AV1144*O1144)*(1-$H1144/100),""),"")</f>
        <v/>
      </c>
      <c r="AZ1144" s="116"/>
      <c r="BA1144" s="116"/>
      <c r="BB1144" s="116"/>
      <c r="BE1144" s="62"/>
      <c r="BF1144" s="63"/>
    </row>
    <row r="1145" spans="1:58" ht="12.75" customHeight="1" x14ac:dyDescent="0.25">
      <c r="A1145" s="313"/>
      <c r="B1145" s="328"/>
      <c r="C1145" s="329"/>
      <c r="D1145" s="328"/>
      <c r="E1145" s="330"/>
      <c r="F1145" s="328"/>
      <c r="G1145" s="329"/>
      <c r="H1145" s="329"/>
      <c r="I1145" s="328"/>
      <c r="J1145" s="383"/>
      <c r="K1145" s="329"/>
      <c r="L1145" s="329"/>
      <c r="M1145" s="76"/>
      <c r="N1145" s="103" t="str">
        <f>IF(A1145="","",VLOOKUP(A1145,Stand!C:K,9,0))</f>
        <v/>
      </c>
      <c r="O1145" s="104" t="str">
        <f t="shared" si="497"/>
        <v/>
      </c>
      <c r="P1145" s="105" t="str">
        <f t="shared" si="498"/>
        <v/>
      </c>
      <c r="Q1145" s="105" t="str">
        <f t="shared" si="513"/>
        <v/>
      </c>
      <c r="R1145" s="103" t="str">
        <f t="shared" si="499"/>
        <v/>
      </c>
      <c r="S1145" s="103" t="str">
        <f t="shared" si="500"/>
        <v/>
      </c>
      <c r="T1145" s="106" t="str">
        <f t="shared" si="514"/>
        <v/>
      </c>
      <c r="U1145" s="106" t="str">
        <f t="shared" si="515"/>
        <v/>
      </c>
      <c r="V1145" s="106" t="str">
        <f t="shared" si="516"/>
        <v/>
      </c>
      <c r="W1145" s="105" t="str">
        <f t="shared" si="501"/>
        <v/>
      </c>
      <c r="X1145" s="104" t="str">
        <f t="shared" si="506"/>
        <v/>
      </c>
      <c r="Y1145" s="104" t="str">
        <f t="array" ref="Y1145">IFERROR(IF(ISNUMBER(O1145),IF(COUNT(IF(A1145=$A$2:$A$2427,IF(D1145=$D$2:$D$2427,IF($X$2:$X$2427&gt;0,1))))&gt;0,SUM(IF(A1145=$A$2:$A$2427,IF(D1145=$D$2:$D$2427,$X$2:$X$2427)))/COUNT(IF(A1145=$A$2:$A$2427,IF(D1145=$D$2:$D$2427,IF(ISNUMBER($X$2:$X$2427),1)))),0),""),0)</f>
        <v/>
      </c>
      <c r="Z1145" s="104" t="str">
        <f>IF(ISNUMBER(O1145),IF(I1145&gt;0,(10^(VLOOKUP(D1145,'Species Codes'!B:C,2,0)+VLOOKUP(D1145,'Species Codes'!B:D,3,0)*LOG(E1145)+VLOOKUP(D1145,'Species Codes'!B:E,4,0)*LOG(I1145))),0),"")</f>
        <v/>
      </c>
      <c r="AA1145" s="104" t="str">
        <f>IFERROR((VLOOKUP(D1145,'Species Codes'!B:G,6,0)*Z1145)/2000,"")</f>
        <v/>
      </c>
      <c r="AB1145" s="104" t="e">
        <f>IF(Z1145&gt;0,((IF(OR(D1145="DF",D1145="RA")=TRUE,EXP(VLOOKUP(D1145,'Species Codes'!B:I,8,0)+VLOOKUP(D1145,'Species Codes'!B:J,9,0)*(LN((E1145*2.54)))),IF(OR(D1145="PY",D1145="RC",D1145="WH",D1145="NF")=TRUE,VLOOKUP(D1145,'Species Codes'!B:I,8,0)+VLOOKUP(D1145,'Species Codes'!B:J,9,0)*((E1145*2.54)^2)*(I1145*0.3048),IF(OR(D1145="MD",D1145="BM",D1145="GA")=TRUE,((VLOOKUP(D1145,'Species Codes'!B:I,8,0)*(((((E1145*2.54)+VLOOKUP(D1145,'Species Codes'!B:J,9,0))/VLOOKUP(D1145,'Species Codes'!B:K,10,0))^VLOOKUP(D1145,'Species Codes'!B:L,11,0))*((I1145*0.3048)^VLOOKUP(D1145,'Species Codes'!B:M,12,0))))-(VLOOKUP(D1145,'Species Codes'!B:I,8,0)*((((E1145*2.54)^VLOOKUP(D1145,'Species Codes'!B:L,11,0))*((I1145*0.3048)^VLOOKUP(D1145,'Species Codes'!B:M,12,0))))))*35.3*VLOOKUP(D1145,'Species Codes'!B:G,6,0)/2.2046,VLOOKUP(D1145,'Species Codes'!B:I,8,0)+VLOOKUP(D1145,'Species Codes'!B:J,9,0)*(((E1145*2.54)/100)^2)*(I1145*0.3048)))))*0.0011023),0)</f>
        <v>#N/A</v>
      </c>
      <c r="AC1145" s="104" t="e">
        <f>IF(Z1145&gt;0,((IF(OR(D1145="RA",D1145="OA",D1145="OT",D1145="UN",D1145="PC"),EXP(VLOOKUP(D1145,'Species Codes'!B:O,14,0)+VLOOKUP(D1145,'Species Codes'!B:P,15,0)*LN((E1145*2.54)))-EXP(VLOOKUP(D1145,'Species Codes'!B:O,14,0)+VLOOKUP(D1145,'Species Codes'!B:P,15,0)*LN((E1145*2.54)))*(1/(VLOOKUP(D1145,'Species Codes'!B:Q,16,0)+VLOOKUP(D1145,'Species Codes'!B:R,17,0)*((E1145*2.54)^VLOOKUP(D1145,'Species Codes'!B:S,18,0)))),IF(OR(D1145="BM",D1145="MD",D1145="OA"),EXP(VLOOKUP(D1145,'Species Codes'!B:O,14,0)+VLOOKUP(D1145,'Species Codes'!B:P,15,0)*LN((E1145*2.54)))*(1-(1/(VLOOKUP(D1145,'Species Codes'!B:Q,16,0)+VLOOKUP(D1145,'Species Codes'!B:R,17,0)*((E1145*2.54)^VLOOKUP(D1145,'Species Codes'!B:S,18,0)))))/1000,IF(D1145="DF",EXP(VLOOKUP(D1145,'Species Codes'!B:O,14,0)+VLOOKUP(D1145,'Species Codes'!B:P,15,0)*LN((E1145*2.54))),VLOOKUP(D1145,'Species Codes'!B:O,14,0)+VLOOKUP(D1145,'Species Codes'!B:P,15,0)*(((E1145*2.54)/100)^2)*(I1145*0.3048)))))*0.0011023),0)</f>
        <v>#N/A</v>
      </c>
      <c r="AD1145" s="104" t="e">
        <f t="shared" si="517"/>
        <v>#N/A</v>
      </c>
      <c r="AE1145" s="104" t="e">
        <f t="shared" si="518"/>
        <v>#N/A</v>
      </c>
      <c r="AF1145" s="104" t="e">
        <f>IF(AND(VLOOKUP($D1145,Merchantability!$B:$C,2,0)="Yes",$E1145&gt;=VLOOKUP($D1145,Merchantability!$B:$D,3,0),$E1145&lt;=VLOOKUP($D1145,Merchantability!$B:$E,4,0)),AA1145,0)</f>
        <v>#N/A</v>
      </c>
      <c r="AG1145" s="104" t="e">
        <f>IF(AND(VLOOKUP($D1145,Merchantability!$B:$C,2,0)="Yes",$E1145&gt;=VLOOKUP($D1145,Merchantability!$B:$D,3,0),$E1145&lt;=VLOOKUP($D1145,Merchantability!$B:$E,4,0)),AB1145,0)</f>
        <v>#N/A</v>
      </c>
      <c r="AH1145" s="104" t="e">
        <f>IF(AND(VLOOKUP($D1145,Merchantability!$B:$C,2,0)="Yes",$E1145&gt;=VLOOKUP($D1145,Merchantability!$B:$D,3,0),$E1145&lt;=VLOOKUP($D1145,Merchantability!$B:$E,4,0)),AC1145,0)</f>
        <v>#N/A</v>
      </c>
      <c r="AI1145" s="104" t="e">
        <f t="shared" si="519"/>
        <v>#N/A</v>
      </c>
      <c r="AJ1145" s="104" t="e">
        <f t="shared" si="520"/>
        <v>#VALUE!</v>
      </c>
      <c r="AK1145" s="104" t="e">
        <f t="shared" si="521"/>
        <v>#N/A</v>
      </c>
      <c r="AL1145" s="104" t="e">
        <f t="shared" si="522"/>
        <v>#N/A</v>
      </c>
      <c r="AM1145" s="104" t="e">
        <f t="shared" si="523"/>
        <v>#N/A</v>
      </c>
      <c r="AN1145" s="104" t="e">
        <f t="shared" si="507"/>
        <v>#N/A</v>
      </c>
      <c r="AO1145" s="104" t="e">
        <f t="shared" si="508"/>
        <v>#N/A</v>
      </c>
      <c r="AP1145" s="104" t="e">
        <f t="shared" si="509"/>
        <v>#N/A</v>
      </c>
      <c r="AQ1145" s="104" t="e">
        <f t="shared" si="510"/>
        <v>#N/A</v>
      </c>
      <c r="AR1145" s="105" t="str">
        <f t="shared" si="502"/>
        <v/>
      </c>
      <c r="AS1145" s="105" t="str">
        <f t="shared" si="503"/>
        <v/>
      </c>
      <c r="AT1145" s="108" t="str">
        <f t="shared" si="504"/>
        <v/>
      </c>
      <c r="AU1145" s="108" t="str">
        <f t="shared" si="505"/>
        <v/>
      </c>
      <c r="AV1145" s="107" t="str">
        <f>IF(ISNUMBER(O1145),IF(VLOOKUP($A1145,Stand!C:J,8,FALSE)="Short",AT1145,AU1145),"")</f>
        <v/>
      </c>
      <c r="AW1145" s="109" t="str">
        <f t="shared" si="511"/>
        <v/>
      </c>
      <c r="AX1145" s="109" t="str">
        <f t="shared" si="512"/>
        <v/>
      </c>
      <c r="AY1145" s="112" t="str">
        <f>IF(ISNUMBER(O1145),IF(AND(VLOOKUP($D1145,Merchantability!$B:$C,2,0)="Yes",$E1145&gt;=VLOOKUP($D1145,Merchantability!$B:$D,3,0),$E1145&lt;=VLOOKUP($D1145,Merchantability!$B:$E,4,0)),(AV1145*O1145)*(1-$H1145/100),""),"")</f>
        <v/>
      </c>
      <c r="AZ1145" s="116"/>
      <c r="BA1145" s="116"/>
      <c r="BB1145" s="116"/>
      <c r="BE1145" s="62"/>
      <c r="BF1145" s="63"/>
    </row>
    <row r="1146" spans="1:58" ht="12.75" customHeight="1" x14ac:dyDescent="0.25">
      <c r="A1146" s="313"/>
      <c r="B1146" s="328"/>
      <c r="C1146" s="329"/>
      <c r="D1146" s="328"/>
      <c r="E1146" s="330"/>
      <c r="F1146" s="328"/>
      <c r="G1146" s="329"/>
      <c r="H1146" s="329"/>
      <c r="I1146" s="328"/>
      <c r="J1146" s="383"/>
      <c r="K1146" s="329"/>
      <c r="L1146" s="329"/>
      <c r="M1146" s="76"/>
      <c r="N1146" s="103" t="str">
        <f>IF(A1146="","",VLOOKUP(A1146,Stand!C:K,9,0))</f>
        <v/>
      </c>
      <c r="O1146" s="104" t="str">
        <f t="shared" si="497"/>
        <v/>
      </c>
      <c r="P1146" s="105" t="str">
        <f t="shared" si="498"/>
        <v/>
      </c>
      <c r="Q1146" s="105" t="str">
        <f t="shared" si="513"/>
        <v/>
      </c>
      <c r="R1146" s="103" t="str">
        <f t="shared" si="499"/>
        <v/>
      </c>
      <c r="S1146" s="103" t="str">
        <f t="shared" si="500"/>
        <v/>
      </c>
      <c r="T1146" s="106" t="str">
        <f t="shared" si="514"/>
        <v/>
      </c>
      <c r="U1146" s="106" t="str">
        <f t="shared" si="515"/>
        <v/>
      </c>
      <c r="V1146" s="106" t="str">
        <f t="shared" si="516"/>
        <v/>
      </c>
      <c r="W1146" s="105" t="str">
        <f t="shared" si="501"/>
        <v/>
      </c>
      <c r="X1146" s="104" t="str">
        <f t="shared" si="506"/>
        <v/>
      </c>
      <c r="Y1146" s="104" t="str">
        <f t="array" ref="Y1146">IFERROR(IF(ISNUMBER(O1146),IF(COUNT(IF(A1146=$A$2:$A$2427,IF(D1146=$D$2:$D$2427,IF($X$2:$X$2427&gt;0,1))))&gt;0,SUM(IF(A1146=$A$2:$A$2427,IF(D1146=$D$2:$D$2427,$X$2:$X$2427)))/COUNT(IF(A1146=$A$2:$A$2427,IF(D1146=$D$2:$D$2427,IF(ISNUMBER($X$2:$X$2427),1)))),0),""),0)</f>
        <v/>
      </c>
      <c r="Z1146" s="104" t="str">
        <f>IF(ISNUMBER(O1146),IF(I1146&gt;0,(10^(VLOOKUP(D1146,'Species Codes'!B:C,2,0)+VLOOKUP(D1146,'Species Codes'!B:D,3,0)*LOG(E1146)+VLOOKUP(D1146,'Species Codes'!B:E,4,0)*LOG(I1146))),0),"")</f>
        <v/>
      </c>
      <c r="AA1146" s="104" t="str">
        <f>IFERROR((VLOOKUP(D1146,'Species Codes'!B:G,6,0)*Z1146)/2000,"")</f>
        <v/>
      </c>
      <c r="AB1146" s="104" t="e">
        <f>IF(Z1146&gt;0,((IF(OR(D1146="DF",D1146="RA")=TRUE,EXP(VLOOKUP(D1146,'Species Codes'!B:I,8,0)+VLOOKUP(D1146,'Species Codes'!B:J,9,0)*(LN((E1146*2.54)))),IF(OR(D1146="PY",D1146="RC",D1146="WH",D1146="NF")=TRUE,VLOOKUP(D1146,'Species Codes'!B:I,8,0)+VLOOKUP(D1146,'Species Codes'!B:J,9,0)*((E1146*2.54)^2)*(I1146*0.3048),IF(OR(D1146="MD",D1146="BM",D1146="GA")=TRUE,((VLOOKUP(D1146,'Species Codes'!B:I,8,0)*(((((E1146*2.54)+VLOOKUP(D1146,'Species Codes'!B:J,9,0))/VLOOKUP(D1146,'Species Codes'!B:K,10,0))^VLOOKUP(D1146,'Species Codes'!B:L,11,0))*((I1146*0.3048)^VLOOKUP(D1146,'Species Codes'!B:M,12,0))))-(VLOOKUP(D1146,'Species Codes'!B:I,8,0)*((((E1146*2.54)^VLOOKUP(D1146,'Species Codes'!B:L,11,0))*((I1146*0.3048)^VLOOKUP(D1146,'Species Codes'!B:M,12,0))))))*35.3*VLOOKUP(D1146,'Species Codes'!B:G,6,0)/2.2046,VLOOKUP(D1146,'Species Codes'!B:I,8,0)+VLOOKUP(D1146,'Species Codes'!B:J,9,0)*(((E1146*2.54)/100)^2)*(I1146*0.3048)))))*0.0011023),0)</f>
        <v>#N/A</v>
      </c>
      <c r="AC1146" s="104" t="e">
        <f>IF(Z1146&gt;0,((IF(OR(D1146="RA",D1146="OA",D1146="OT",D1146="UN",D1146="PC"),EXP(VLOOKUP(D1146,'Species Codes'!B:O,14,0)+VLOOKUP(D1146,'Species Codes'!B:P,15,0)*LN((E1146*2.54)))-EXP(VLOOKUP(D1146,'Species Codes'!B:O,14,0)+VLOOKUP(D1146,'Species Codes'!B:P,15,0)*LN((E1146*2.54)))*(1/(VLOOKUP(D1146,'Species Codes'!B:Q,16,0)+VLOOKUP(D1146,'Species Codes'!B:R,17,0)*((E1146*2.54)^VLOOKUP(D1146,'Species Codes'!B:S,18,0)))),IF(OR(D1146="BM",D1146="MD",D1146="OA"),EXP(VLOOKUP(D1146,'Species Codes'!B:O,14,0)+VLOOKUP(D1146,'Species Codes'!B:P,15,0)*LN((E1146*2.54)))*(1-(1/(VLOOKUP(D1146,'Species Codes'!B:Q,16,0)+VLOOKUP(D1146,'Species Codes'!B:R,17,0)*((E1146*2.54)^VLOOKUP(D1146,'Species Codes'!B:S,18,0)))))/1000,IF(D1146="DF",EXP(VLOOKUP(D1146,'Species Codes'!B:O,14,0)+VLOOKUP(D1146,'Species Codes'!B:P,15,0)*LN((E1146*2.54))),VLOOKUP(D1146,'Species Codes'!B:O,14,0)+VLOOKUP(D1146,'Species Codes'!B:P,15,0)*(((E1146*2.54)/100)^2)*(I1146*0.3048)))))*0.0011023),0)</f>
        <v>#N/A</v>
      </c>
      <c r="AD1146" s="104" t="e">
        <f t="shared" si="517"/>
        <v>#N/A</v>
      </c>
      <c r="AE1146" s="104" t="e">
        <f t="shared" si="518"/>
        <v>#N/A</v>
      </c>
      <c r="AF1146" s="104" t="e">
        <f>IF(AND(VLOOKUP($D1146,Merchantability!$B:$C,2,0)="Yes",$E1146&gt;=VLOOKUP($D1146,Merchantability!$B:$D,3,0),$E1146&lt;=VLOOKUP($D1146,Merchantability!$B:$E,4,0)),AA1146,0)</f>
        <v>#N/A</v>
      </c>
      <c r="AG1146" s="104" t="e">
        <f>IF(AND(VLOOKUP($D1146,Merchantability!$B:$C,2,0)="Yes",$E1146&gt;=VLOOKUP($D1146,Merchantability!$B:$D,3,0),$E1146&lt;=VLOOKUP($D1146,Merchantability!$B:$E,4,0)),AB1146,0)</f>
        <v>#N/A</v>
      </c>
      <c r="AH1146" s="104" t="e">
        <f>IF(AND(VLOOKUP($D1146,Merchantability!$B:$C,2,0)="Yes",$E1146&gt;=VLOOKUP($D1146,Merchantability!$B:$D,3,0),$E1146&lt;=VLOOKUP($D1146,Merchantability!$B:$E,4,0)),AC1146,0)</f>
        <v>#N/A</v>
      </c>
      <c r="AI1146" s="104" t="e">
        <f t="shared" si="519"/>
        <v>#N/A</v>
      </c>
      <c r="AJ1146" s="104" t="e">
        <f t="shared" si="520"/>
        <v>#VALUE!</v>
      </c>
      <c r="AK1146" s="104" t="e">
        <f t="shared" si="521"/>
        <v>#N/A</v>
      </c>
      <c r="AL1146" s="104" t="e">
        <f t="shared" si="522"/>
        <v>#N/A</v>
      </c>
      <c r="AM1146" s="104" t="e">
        <f t="shared" si="523"/>
        <v>#N/A</v>
      </c>
      <c r="AN1146" s="104" t="e">
        <f t="shared" si="507"/>
        <v>#N/A</v>
      </c>
      <c r="AO1146" s="104" t="e">
        <f t="shared" si="508"/>
        <v>#N/A</v>
      </c>
      <c r="AP1146" s="104" t="e">
        <f t="shared" si="509"/>
        <v>#N/A</v>
      </c>
      <c r="AQ1146" s="104" t="e">
        <f t="shared" si="510"/>
        <v>#N/A</v>
      </c>
      <c r="AR1146" s="105" t="str">
        <f t="shared" si="502"/>
        <v/>
      </c>
      <c r="AS1146" s="105" t="str">
        <f t="shared" si="503"/>
        <v/>
      </c>
      <c r="AT1146" s="108" t="str">
        <f t="shared" si="504"/>
        <v/>
      </c>
      <c r="AU1146" s="108" t="str">
        <f t="shared" si="505"/>
        <v/>
      </c>
      <c r="AV1146" s="107" t="str">
        <f>IF(ISNUMBER(O1146),IF(VLOOKUP($A1146,Stand!C:J,8,FALSE)="Short",AT1146,AU1146),"")</f>
        <v/>
      </c>
      <c r="AW1146" s="109" t="str">
        <f t="shared" si="511"/>
        <v/>
      </c>
      <c r="AX1146" s="109" t="str">
        <f t="shared" si="512"/>
        <v/>
      </c>
      <c r="AY1146" s="112" t="str">
        <f>IF(ISNUMBER(O1146),IF(AND(VLOOKUP($D1146,Merchantability!$B:$C,2,0)="Yes",$E1146&gt;=VLOOKUP($D1146,Merchantability!$B:$D,3,0),$E1146&lt;=VLOOKUP($D1146,Merchantability!$B:$E,4,0)),(AV1146*O1146)*(1-$H1146/100),""),"")</f>
        <v/>
      </c>
      <c r="AZ1146" s="116"/>
      <c r="BA1146" s="116"/>
      <c r="BB1146" s="116"/>
      <c r="BE1146" s="62"/>
      <c r="BF1146" s="63"/>
    </row>
    <row r="1147" spans="1:58" ht="12.75" customHeight="1" x14ac:dyDescent="0.25">
      <c r="A1147" s="313"/>
      <c r="B1147" s="328"/>
      <c r="C1147" s="329"/>
      <c r="D1147" s="328"/>
      <c r="E1147" s="330"/>
      <c r="F1147" s="328"/>
      <c r="G1147" s="329"/>
      <c r="H1147" s="329"/>
      <c r="I1147" s="328"/>
      <c r="J1147" s="383"/>
      <c r="K1147" s="329"/>
      <c r="L1147" s="329"/>
      <c r="M1147" s="76"/>
      <c r="N1147" s="103" t="str">
        <f>IF(A1147="","",VLOOKUP(A1147,Stand!C:K,9,0))</f>
        <v/>
      </c>
      <c r="O1147" s="104" t="str">
        <f t="shared" si="497"/>
        <v/>
      </c>
      <c r="P1147" s="105" t="str">
        <f t="shared" si="498"/>
        <v/>
      </c>
      <c r="Q1147" s="105" t="str">
        <f t="shared" si="513"/>
        <v/>
      </c>
      <c r="R1147" s="103" t="str">
        <f t="shared" si="499"/>
        <v/>
      </c>
      <c r="S1147" s="103" t="str">
        <f t="shared" si="500"/>
        <v/>
      </c>
      <c r="T1147" s="106" t="str">
        <f t="shared" si="514"/>
        <v/>
      </c>
      <c r="U1147" s="106" t="str">
        <f t="shared" si="515"/>
        <v/>
      </c>
      <c r="V1147" s="106" t="str">
        <f t="shared" si="516"/>
        <v/>
      </c>
      <c r="W1147" s="105" t="str">
        <f t="shared" si="501"/>
        <v/>
      </c>
      <c r="X1147" s="104" t="str">
        <f t="shared" si="506"/>
        <v/>
      </c>
      <c r="Y1147" s="104" t="str">
        <f t="array" ref="Y1147">IFERROR(IF(ISNUMBER(O1147),IF(COUNT(IF(A1147=$A$2:$A$2427,IF(D1147=$D$2:$D$2427,IF($X$2:$X$2427&gt;0,1))))&gt;0,SUM(IF(A1147=$A$2:$A$2427,IF(D1147=$D$2:$D$2427,$X$2:$X$2427)))/COUNT(IF(A1147=$A$2:$A$2427,IF(D1147=$D$2:$D$2427,IF(ISNUMBER($X$2:$X$2427),1)))),0),""),0)</f>
        <v/>
      </c>
      <c r="Z1147" s="104" t="str">
        <f>IF(ISNUMBER(O1147),IF(I1147&gt;0,(10^(VLOOKUP(D1147,'Species Codes'!B:C,2,0)+VLOOKUP(D1147,'Species Codes'!B:D,3,0)*LOG(E1147)+VLOOKUP(D1147,'Species Codes'!B:E,4,0)*LOG(I1147))),0),"")</f>
        <v/>
      </c>
      <c r="AA1147" s="104" t="str">
        <f>IFERROR((VLOOKUP(D1147,'Species Codes'!B:G,6,0)*Z1147)/2000,"")</f>
        <v/>
      </c>
      <c r="AB1147" s="104" t="e">
        <f>IF(Z1147&gt;0,((IF(OR(D1147="DF",D1147="RA")=TRUE,EXP(VLOOKUP(D1147,'Species Codes'!B:I,8,0)+VLOOKUP(D1147,'Species Codes'!B:J,9,0)*(LN((E1147*2.54)))),IF(OR(D1147="PY",D1147="RC",D1147="WH",D1147="NF")=TRUE,VLOOKUP(D1147,'Species Codes'!B:I,8,0)+VLOOKUP(D1147,'Species Codes'!B:J,9,0)*((E1147*2.54)^2)*(I1147*0.3048),IF(OR(D1147="MD",D1147="BM",D1147="GA")=TRUE,((VLOOKUP(D1147,'Species Codes'!B:I,8,0)*(((((E1147*2.54)+VLOOKUP(D1147,'Species Codes'!B:J,9,0))/VLOOKUP(D1147,'Species Codes'!B:K,10,0))^VLOOKUP(D1147,'Species Codes'!B:L,11,0))*((I1147*0.3048)^VLOOKUP(D1147,'Species Codes'!B:M,12,0))))-(VLOOKUP(D1147,'Species Codes'!B:I,8,0)*((((E1147*2.54)^VLOOKUP(D1147,'Species Codes'!B:L,11,0))*((I1147*0.3048)^VLOOKUP(D1147,'Species Codes'!B:M,12,0))))))*35.3*VLOOKUP(D1147,'Species Codes'!B:G,6,0)/2.2046,VLOOKUP(D1147,'Species Codes'!B:I,8,0)+VLOOKUP(D1147,'Species Codes'!B:J,9,0)*(((E1147*2.54)/100)^2)*(I1147*0.3048)))))*0.0011023),0)</f>
        <v>#N/A</v>
      </c>
      <c r="AC1147" s="104" t="e">
        <f>IF(Z1147&gt;0,((IF(OR(D1147="RA",D1147="OA",D1147="OT",D1147="UN",D1147="PC"),EXP(VLOOKUP(D1147,'Species Codes'!B:O,14,0)+VLOOKUP(D1147,'Species Codes'!B:P,15,0)*LN((E1147*2.54)))-EXP(VLOOKUP(D1147,'Species Codes'!B:O,14,0)+VLOOKUP(D1147,'Species Codes'!B:P,15,0)*LN((E1147*2.54)))*(1/(VLOOKUP(D1147,'Species Codes'!B:Q,16,0)+VLOOKUP(D1147,'Species Codes'!B:R,17,0)*((E1147*2.54)^VLOOKUP(D1147,'Species Codes'!B:S,18,0)))),IF(OR(D1147="BM",D1147="MD",D1147="OA"),EXP(VLOOKUP(D1147,'Species Codes'!B:O,14,0)+VLOOKUP(D1147,'Species Codes'!B:P,15,0)*LN((E1147*2.54)))*(1-(1/(VLOOKUP(D1147,'Species Codes'!B:Q,16,0)+VLOOKUP(D1147,'Species Codes'!B:R,17,0)*((E1147*2.54)^VLOOKUP(D1147,'Species Codes'!B:S,18,0)))))/1000,IF(D1147="DF",EXP(VLOOKUP(D1147,'Species Codes'!B:O,14,0)+VLOOKUP(D1147,'Species Codes'!B:P,15,0)*LN((E1147*2.54))),VLOOKUP(D1147,'Species Codes'!B:O,14,0)+VLOOKUP(D1147,'Species Codes'!B:P,15,0)*(((E1147*2.54)/100)^2)*(I1147*0.3048)))))*0.0011023),0)</f>
        <v>#N/A</v>
      </c>
      <c r="AD1147" s="104" t="e">
        <f t="shared" si="517"/>
        <v>#N/A</v>
      </c>
      <c r="AE1147" s="104" t="e">
        <f t="shared" si="518"/>
        <v>#N/A</v>
      </c>
      <c r="AF1147" s="104" t="e">
        <f>IF(AND(VLOOKUP($D1147,Merchantability!$B:$C,2,0)="Yes",$E1147&gt;=VLOOKUP($D1147,Merchantability!$B:$D,3,0),$E1147&lt;=VLOOKUP($D1147,Merchantability!$B:$E,4,0)),AA1147,0)</f>
        <v>#N/A</v>
      </c>
      <c r="AG1147" s="104" t="e">
        <f>IF(AND(VLOOKUP($D1147,Merchantability!$B:$C,2,0)="Yes",$E1147&gt;=VLOOKUP($D1147,Merchantability!$B:$D,3,0),$E1147&lt;=VLOOKUP($D1147,Merchantability!$B:$E,4,0)),AB1147,0)</f>
        <v>#N/A</v>
      </c>
      <c r="AH1147" s="104" t="e">
        <f>IF(AND(VLOOKUP($D1147,Merchantability!$B:$C,2,0)="Yes",$E1147&gt;=VLOOKUP($D1147,Merchantability!$B:$D,3,0),$E1147&lt;=VLOOKUP($D1147,Merchantability!$B:$E,4,0)),AC1147,0)</f>
        <v>#N/A</v>
      </c>
      <c r="AI1147" s="104" t="e">
        <f t="shared" si="519"/>
        <v>#N/A</v>
      </c>
      <c r="AJ1147" s="104" t="e">
        <f t="shared" si="520"/>
        <v>#VALUE!</v>
      </c>
      <c r="AK1147" s="104" t="e">
        <f t="shared" si="521"/>
        <v>#N/A</v>
      </c>
      <c r="AL1147" s="104" t="e">
        <f t="shared" si="522"/>
        <v>#N/A</v>
      </c>
      <c r="AM1147" s="104" t="e">
        <f t="shared" si="523"/>
        <v>#N/A</v>
      </c>
      <c r="AN1147" s="104" t="e">
        <f t="shared" si="507"/>
        <v>#N/A</v>
      </c>
      <c r="AO1147" s="104" t="e">
        <f t="shared" si="508"/>
        <v>#N/A</v>
      </c>
      <c r="AP1147" s="104" t="e">
        <f t="shared" si="509"/>
        <v>#N/A</v>
      </c>
      <c r="AQ1147" s="104" t="e">
        <f t="shared" si="510"/>
        <v>#N/A</v>
      </c>
      <c r="AR1147" s="105" t="str">
        <f t="shared" si="502"/>
        <v/>
      </c>
      <c r="AS1147" s="105" t="str">
        <f t="shared" si="503"/>
        <v/>
      </c>
      <c r="AT1147" s="108" t="str">
        <f t="shared" si="504"/>
        <v/>
      </c>
      <c r="AU1147" s="108" t="str">
        <f t="shared" si="505"/>
        <v/>
      </c>
      <c r="AV1147" s="107" t="str">
        <f>IF(ISNUMBER(O1147),IF(VLOOKUP($A1147,Stand!C:J,8,FALSE)="Short",AT1147,AU1147),"")</f>
        <v/>
      </c>
      <c r="AW1147" s="109" t="str">
        <f t="shared" si="511"/>
        <v/>
      </c>
      <c r="AX1147" s="109" t="str">
        <f t="shared" si="512"/>
        <v/>
      </c>
      <c r="AY1147" s="112" t="str">
        <f>IF(ISNUMBER(O1147),IF(AND(VLOOKUP($D1147,Merchantability!$B:$C,2,0)="Yes",$E1147&gt;=VLOOKUP($D1147,Merchantability!$B:$D,3,0),$E1147&lt;=VLOOKUP($D1147,Merchantability!$B:$E,4,0)),(AV1147*O1147)*(1-$H1147/100),""),"")</f>
        <v/>
      </c>
      <c r="AZ1147" s="116"/>
      <c r="BA1147" s="116"/>
      <c r="BB1147" s="116"/>
      <c r="BE1147" s="62"/>
      <c r="BF1147" s="63"/>
    </row>
    <row r="1148" spans="1:58" ht="12.75" customHeight="1" x14ac:dyDescent="0.25">
      <c r="A1148" s="313"/>
      <c r="B1148" s="328"/>
      <c r="C1148" s="329"/>
      <c r="D1148" s="328"/>
      <c r="E1148" s="330"/>
      <c r="F1148" s="328"/>
      <c r="G1148" s="329"/>
      <c r="H1148" s="329"/>
      <c r="I1148" s="328"/>
      <c r="J1148" s="383"/>
      <c r="K1148" s="329"/>
      <c r="L1148" s="329"/>
      <c r="M1148" s="76"/>
      <c r="N1148" s="103" t="str">
        <f>IF(A1148="","",VLOOKUP(A1148,Stand!C:K,9,0))</f>
        <v/>
      </c>
      <c r="O1148" s="104" t="str">
        <f t="shared" si="497"/>
        <v/>
      </c>
      <c r="P1148" s="105" t="str">
        <f t="shared" si="498"/>
        <v/>
      </c>
      <c r="Q1148" s="105" t="str">
        <f t="shared" si="513"/>
        <v/>
      </c>
      <c r="R1148" s="103" t="str">
        <f t="shared" si="499"/>
        <v/>
      </c>
      <c r="S1148" s="103" t="str">
        <f t="shared" si="500"/>
        <v/>
      </c>
      <c r="T1148" s="106" t="str">
        <f t="shared" si="514"/>
        <v/>
      </c>
      <c r="U1148" s="106" t="str">
        <f t="shared" si="515"/>
        <v/>
      </c>
      <c r="V1148" s="106" t="str">
        <f t="shared" si="516"/>
        <v/>
      </c>
      <c r="W1148" s="105" t="str">
        <f t="shared" si="501"/>
        <v/>
      </c>
      <c r="X1148" s="104" t="str">
        <f t="shared" si="506"/>
        <v/>
      </c>
      <c r="Y1148" s="104" t="str">
        <f t="array" ref="Y1148">IFERROR(IF(ISNUMBER(O1148),IF(COUNT(IF(A1148=$A$2:$A$2427,IF(D1148=$D$2:$D$2427,IF($X$2:$X$2427&gt;0,1))))&gt;0,SUM(IF(A1148=$A$2:$A$2427,IF(D1148=$D$2:$D$2427,$X$2:$X$2427)))/COUNT(IF(A1148=$A$2:$A$2427,IF(D1148=$D$2:$D$2427,IF(ISNUMBER($X$2:$X$2427),1)))),0),""),0)</f>
        <v/>
      </c>
      <c r="Z1148" s="104" t="str">
        <f>IF(ISNUMBER(O1148),IF(I1148&gt;0,(10^(VLOOKUP(D1148,'Species Codes'!B:C,2,0)+VLOOKUP(D1148,'Species Codes'!B:D,3,0)*LOG(E1148)+VLOOKUP(D1148,'Species Codes'!B:E,4,0)*LOG(I1148))),0),"")</f>
        <v/>
      </c>
      <c r="AA1148" s="104" t="str">
        <f>IFERROR((VLOOKUP(D1148,'Species Codes'!B:G,6,0)*Z1148)/2000,"")</f>
        <v/>
      </c>
      <c r="AB1148" s="104" t="e">
        <f>IF(Z1148&gt;0,((IF(OR(D1148="DF",D1148="RA")=TRUE,EXP(VLOOKUP(D1148,'Species Codes'!B:I,8,0)+VLOOKUP(D1148,'Species Codes'!B:J,9,0)*(LN((E1148*2.54)))),IF(OR(D1148="PY",D1148="RC",D1148="WH",D1148="NF")=TRUE,VLOOKUP(D1148,'Species Codes'!B:I,8,0)+VLOOKUP(D1148,'Species Codes'!B:J,9,0)*((E1148*2.54)^2)*(I1148*0.3048),IF(OR(D1148="MD",D1148="BM",D1148="GA")=TRUE,((VLOOKUP(D1148,'Species Codes'!B:I,8,0)*(((((E1148*2.54)+VLOOKUP(D1148,'Species Codes'!B:J,9,0))/VLOOKUP(D1148,'Species Codes'!B:K,10,0))^VLOOKUP(D1148,'Species Codes'!B:L,11,0))*((I1148*0.3048)^VLOOKUP(D1148,'Species Codes'!B:M,12,0))))-(VLOOKUP(D1148,'Species Codes'!B:I,8,0)*((((E1148*2.54)^VLOOKUP(D1148,'Species Codes'!B:L,11,0))*((I1148*0.3048)^VLOOKUP(D1148,'Species Codes'!B:M,12,0))))))*35.3*VLOOKUP(D1148,'Species Codes'!B:G,6,0)/2.2046,VLOOKUP(D1148,'Species Codes'!B:I,8,0)+VLOOKUP(D1148,'Species Codes'!B:J,9,0)*(((E1148*2.54)/100)^2)*(I1148*0.3048)))))*0.0011023),0)</f>
        <v>#N/A</v>
      </c>
      <c r="AC1148" s="104" t="e">
        <f>IF(Z1148&gt;0,((IF(OR(D1148="RA",D1148="OA",D1148="OT",D1148="UN",D1148="PC"),EXP(VLOOKUP(D1148,'Species Codes'!B:O,14,0)+VLOOKUP(D1148,'Species Codes'!B:P,15,0)*LN((E1148*2.54)))-EXP(VLOOKUP(D1148,'Species Codes'!B:O,14,0)+VLOOKUP(D1148,'Species Codes'!B:P,15,0)*LN((E1148*2.54)))*(1/(VLOOKUP(D1148,'Species Codes'!B:Q,16,0)+VLOOKUP(D1148,'Species Codes'!B:R,17,0)*((E1148*2.54)^VLOOKUP(D1148,'Species Codes'!B:S,18,0)))),IF(OR(D1148="BM",D1148="MD",D1148="OA"),EXP(VLOOKUP(D1148,'Species Codes'!B:O,14,0)+VLOOKUP(D1148,'Species Codes'!B:P,15,0)*LN((E1148*2.54)))*(1-(1/(VLOOKUP(D1148,'Species Codes'!B:Q,16,0)+VLOOKUP(D1148,'Species Codes'!B:R,17,0)*((E1148*2.54)^VLOOKUP(D1148,'Species Codes'!B:S,18,0)))))/1000,IF(D1148="DF",EXP(VLOOKUP(D1148,'Species Codes'!B:O,14,0)+VLOOKUP(D1148,'Species Codes'!B:P,15,0)*LN((E1148*2.54))),VLOOKUP(D1148,'Species Codes'!B:O,14,0)+VLOOKUP(D1148,'Species Codes'!B:P,15,0)*(((E1148*2.54)/100)^2)*(I1148*0.3048)))))*0.0011023),0)</f>
        <v>#N/A</v>
      </c>
      <c r="AD1148" s="104" t="e">
        <f t="shared" si="517"/>
        <v>#N/A</v>
      </c>
      <c r="AE1148" s="104" t="e">
        <f t="shared" si="518"/>
        <v>#N/A</v>
      </c>
      <c r="AF1148" s="104" t="e">
        <f>IF(AND(VLOOKUP($D1148,Merchantability!$B:$C,2,0)="Yes",$E1148&gt;=VLOOKUP($D1148,Merchantability!$B:$D,3,0),$E1148&lt;=VLOOKUP($D1148,Merchantability!$B:$E,4,0)),AA1148,0)</f>
        <v>#N/A</v>
      </c>
      <c r="AG1148" s="104" t="e">
        <f>IF(AND(VLOOKUP($D1148,Merchantability!$B:$C,2,0)="Yes",$E1148&gt;=VLOOKUP($D1148,Merchantability!$B:$D,3,0),$E1148&lt;=VLOOKUP($D1148,Merchantability!$B:$E,4,0)),AB1148,0)</f>
        <v>#N/A</v>
      </c>
      <c r="AH1148" s="104" t="e">
        <f>IF(AND(VLOOKUP($D1148,Merchantability!$B:$C,2,0)="Yes",$E1148&gt;=VLOOKUP($D1148,Merchantability!$B:$D,3,0),$E1148&lt;=VLOOKUP($D1148,Merchantability!$B:$E,4,0)),AC1148,0)</f>
        <v>#N/A</v>
      </c>
      <c r="AI1148" s="104" t="e">
        <f t="shared" si="519"/>
        <v>#N/A</v>
      </c>
      <c r="AJ1148" s="104" t="e">
        <f t="shared" si="520"/>
        <v>#VALUE!</v>
      </c>
      <c r="AK1148" s="104" t="e">
        <f t="shared" si="521"/>
        <v>#N/A</v>
      </c>
      <c r="AL1148" s="104" t="e">
        <f t="shared" si="522"/>
        <v>#N/A</v>
      </c>
      <c r="AM1148" s="104" t="e">
        <f t="shared" si="523"/>
        <v>#N/A</v>
      </c>
      <c r="AN1148" s="104" t="e">
        <f t="shared" si="507"/>
        <v>#N/A</v>
      </c>
      <c r="AO1148" s="104" t="e">
        <f t="shared" si="508"/>
        <v>#N/A</v>
      </c>
      <c r="AP1148" s="104" t="e">
        <f t="shared" si="509"/>
        <v>#N/A</v>
      </c>
      <c r="AQ1148" s="104" t="e">
        <f t="shared" si="510"/>
        <v>#N/A</v>
      </c>
      <c r="AR1148" s="105" t="str">
        <f t="shared" si="502"/>
        <v/>
      </c>
      <c r="AS1148" s="105" t="str">
        <f t="shared" si="503"/>
        <v/>
      </c>
      <c r="AT1148" s="108" t="str">
        <f t="shared" si="504"/>
        <v/>
      </c>
      <c r="AU1148" s="108" t="str">
        <f t="shared" si="505"/>
        <v/>
      </c>
      <c r="AV1148" s="107" t="str">
        <f>IF(ISNUMBER(O1148),IF(VLOOKUP($A1148,Stand!C:J,8,FALSE)="Short",AT1148,AU1148),"")</f>
        <v/>
      </c>
      <c r="AW1148" s="109" t="str">
        <f t="shared" si="511"/>
        <v/>
      </c>
      <c r="AX1148" s="109" t="str">
        <f t="shared" si="512"/>
        <v/>
      </c>
      <c r="AY1148" s="112" t="str">
        <f>IF(ISNUMBER(O1148),IF(AND(VLOOKUP($D1148,Merchantability!$B:$C,2,0)="Yes",$E1148&gt;=VLOOKUP($D1148,Merchantability!$B:$D,3,0),$E1148&lt;=VLOOKUP($D1148,Merchantability!$B:$E,4,0)),(AV1148*O1148)*(1-$H1148/100),""),"")</f>
        <v/>
      </c>
      <c r="AZ1148" s="116"/>
      <c r="BA1148" s="116"/>
      <c r="BB1148" s="116"/>
      <c r="BE1148" s="62"/>
      <c r="BF1148" s="63"/>
    </row>
    <row r="1149" spans="1:58" ht="12.75" customHeight="1" x14ac:dyDescent="0.25">
      <c r="A1149" s="313"/>
      <c r="B1149" s="328"/>
      <c r="C1149" s="329"/>
      <c r="D1149" s="328"/>
      <c r="E1149" s="330"/>
      <c r="F1149" s="328"/>
      <c r="G1149" s="329"/>
      <c r="H1149" s="329"/>
      <c r="I1149" s="328"/>
      <c r="J1149" s="383"/>
      <c r="K1149" s="329"/>
      <c r="L1149" s="329"/>
      <c r="M1149" s="76"/>
      <c r="N1149" s="103" t="str">
        <f>IF(A1149="","",VLOOKUP(A1149,Stand!C:K,9,0))</f>
        <v/>
      </c>
      <c r="O1149" s="104" t="str">
        <f t="shared" si="497"/>
        <v/>
      </c>
      <c r="P1149" s="105" t="str">
        <f t="shared" si="498"/>
        <v/>
      </c>
      <c r="Q1149" s="105" t="str">
        <f t="shared" si="513"/>
        <v/>
      </c>
      <c r="R1149" s="103" t="str">
        <f t="shared" si="499"/>
        <v/>
      </c>
      <c r="S1149" s="103" t="str">
        <f t="shared" si="500"/>
        <v/>
      </c>
      <c r="T1149" s="106" t="str">
        <f t="shared" si="514"/>
        <v/>
      </c>
      <c r="U1149" s="106" t="str">
        <f t="shared" si="515"/>
        <v/>
      </c>
      <c r="V1149" s="106" t="str">
        <f t="shared" si="516"/>
        <v/>
      </c>
      <c r="W1149" s="105" t="str">
        <f t="shared" si="501"/>
        <v/>
      </c>
      <c r="X1149" s="104" t="str">
        <f t="shared" si="506"/>
        <v/>
      </c>
      <c r="Y1149" s="104" t="str">
        <f t="array" ref="Y1149">IFERROR(IF(ISNUMBER(O1149),IF(COUNT(IF(A1149=$A$2:$A$2427,IF(D1149=$D$2:$D$2427,IF($X$2:$X$2427&gt;0,1))))&gt;0,SUM(IF(A1149=$A$2:$A$2427,IF(D1149=$D$2:$D$2427,$X$2:$X$2427)))/COUNT(IF(A1149=$A$2:$A$2427,IF(D1149=$D$2:$D$2427,IF(ISNUMBER($X$2:$X$2427),1)))),0),""),0)</f>
        <v/>
      </c>
      <c r="Z1149" s="104" t="str">
        <f>IF(ISNUMBER(O1149),IF(I1149&gt;0,(10^(VLOOKUP(D1149,'Species Codes'!B:C,2,0)+VLOOKUP(D1149,'Species Codes'!B:D,3,0)*LOG(E1149)+VLOOKUP(D1149,'Species Codes'!B:E,4,0)*LOG(I1149))),0),"")</f>
        <v/>
      </c>
      <c r="AA1149" s="104" t="str">
        <f>IFERROR((VLOOKUP(D1149,'Species Codes'!B:G,6,0)*Z1149)/2000,"")</f>
        <v/>
      </c>
      <c r="AB1149" s="104" t="e">
        <f>IF(Z1149&gt;0,((IF(OR(D1149="DF",D1149="RA")=TRUE,EXP(VLOOKUP(D1149,'Species Codes'!B:I,8,0)+VLOOKUP(D1149,'Species Codes'!B:J,9,0)*(LN((E1149*2.54)))),IF(OR(D1149="PY",D1149="RC",D1149="WH",D1149="NF")=TRUE,VLOOKUP(D1149,'Species Codes'!B:I,8,0)+VLOOKUP(D1149,'Species Codes'!B:J,9,0)*((E1149*2.54)^2)*(I1149*0.3048),IF(OR(D1149="MD",D1149="BM",D1149="GA")=TRUE,((VLOOKUP(D1149,'Species Codes'!B:I,8,0)*(((((E1149*2.54)+VLOOKUP(D1149,'Species Codes'!B:J,9,0))/VLOOKUP(D1149,'Species Codes'!B:K,10,0))^VLOOKUP(D1149,'Species Codes'!B:L,11,0))*((I1149*0.3048)^VLOOKUP(D1149,'Species Codes'!B:M,12,0))))-(VLOOKUP(D1149,'Species Codes'!B:I,8,0)*((((E1149*2.54)^VLOOKUP(D1149,'Species Codes'!B:L,11,0))*((I1149*0.3048)^VLOOKUP(D1149,'Species Codes'!B:M,12,0))))))*35.3*VLOOKUP(D1149,'Species Codes'!B:G,6,0)/2.2046,VLOOKUP(D1149,'Species Codes'!B:I,8,0)+VLOOKUP(D1149,'Species Codes'!B:J,9,0)*(((E1149*2.54)/100)^2)*(I1149*0.3048)))))*0.0011023),0)</f>
        <v>#N/A</v>
      </c>
      <c r="AC1149" s="104" t="e">
        <f>IF(Z1149&gt;0,((IF(OR(D1149="RA",D1149="OA",D1149="OT",D1149="UN",D1149="PC"),EXP(VLOOKUP(D1149,'Species Codes'!B:O,14,0)+VLOOKUP(D1149,'Species Codes'!B:P,15,0)*LN((E1149*2.54)))-EXP(VLOOKUP(D1149,'Species Codes'!B:O,14,0)+VLOOKUP(D1149,'Species Codes'!B:P,15,0)*LN((E1149*2.54)))*(1/(VLOOKUP(D1149,'Species Codes'!B:Q,16,0)+VLOOKUP(D1149,'Species Codes'!B:R,17,0)*((E1149*2.54)^VLOOKUP(D1149,'Species Codes'!B:S,18,0)))),IF(OR(D1149="BM",D1149="MD",D1149="OA"),EXP(VLOOKUP(D1149,'Species Codes'!B:O,14,0)+VLOOKUP(D1149,'Species Codes'!B:P,15,0)*LN((E1149*2.54)))*(1-(1/(VLOOKUP(D1149,'Species Codes'!B:Q,16,0)+VLOOKUP(D1149,'Species Codes'!B:R,17,0)*((E1149*2.54)^VLOOKUP(D1149,'Species Codes'!B:S,18,0)))))/1000,IF(D1149="DF",EXP(VLOOKUP(D1149,'Species Codes'!B:O,14,0)+VLOOKUP(D1149,'Species Codes'!B:P,15,0)*LN((E1149*2.54))),VLOOKUP(D1149,'Species Codes'!B:O,14,0)+VLOOKUP(D1149,'Species Codes'!B:P,15,0)*(((E1149*2.54)/100)^2)*(I1149*0.3048)))))*0.0011023),0)</f>
        <v>#N/A</v>
      </c>
      <c r="AD1149" s="104" t="e">
        <f t="shared" si="517"/>
        <v>#N/A</v>
      </c>
      <c r="AE1149" s="104" t="e">
        <f t="shared" si="518"/>
        <v>#N/A</v>
      </c>
      <c r="AF1149" s="104" t="e">
        <f>IF(AND(VLOOKUP($D1149,Merchantability!$B:$C,2,0)="Yes",$E1149&gt;=VLOOKUP($D1149,Merchantability!$B:$D,3,0),$E1149&lt;=VLOOKUP($D1149,Merchantability!$B:$E,4,0)),AA1149,0)</f>
        <v>#N/A</v>
      </c>
      <c r="AG1149" s="104" t="e">
        <f>IF(AND(VLOOKUP($D1149,Merchantability!$B:$C,2,0)="Yes",$E1149&gt;=VLOOKUP($D1149,Merchantability!$B:$D,3,0),$E1149&lt;=VLOOKUP($D1149,Merchantability!$B:$E,4,0)),AB1149,0)</f>
        <v>#N/A</v>
      </c>
      <c r="AH1149" s="104" t="e">
        <f>IF(AND(VLOOKUP($D1149,Merchantability!$B:$C,2,0)="Yes",$E1149&gt;=VLOOKUP($D1149,Merchantability!$B:$D,3,0),$E1149&lt;=VLOOKUP($D1149,Merchantability!$B:$E,4,0)),AC1149,0)</f>
        <v>#N/A</v>
      </c>
      <c r="AI1149" s="104" t="e">
        <f t="shared" si="519"/>
        <v>#N/A</v>
      </c>
      <c r="AJ1149" s="104" t="e">
        <f t="shared" si="520"/>
        <v>#VALUE!</v>
      </c>
      <c r="AK1149" s="104" t="e">
        <f t="shared" si="521"/>
        <v>#N/A</v>
      </c>
      <c r="AL1149" s="104" t="e">
        <f t="shared" si="522"/>
        <v>#N/A</v>
      </c>
      <c r="AM1149" s="104" t="e">
        <f t="shared" si="523"/>
        <v>#N/A</v>
      </c>
      <c r="AN1149" s="104" t="e">
        <f t="shared" si="507"/>
        <v>#N/A</v>
      </c>
      <c r="AO1149" s="104" t="e">
        <f t="shared" si="508"/>
        <v>#N/A</v>
      </c>
      <c r="AP1149" s="104" t="e">
        <f t="shared" si="509"/>
        <v>#N/A</v>
      </c>
      <c r="AQ1149" s="104" t="e">
        <f t="shared" si="510"/>
        <v>#N/A</v>
      </c>
      <c r="AR1149" s="105" t="str">
        <f t="shared" si="502"/>
        <v/>
      </c>
      <c r="AS1149" s="105" t="str">
        <f t="shared" si="503"/>
        <v/>
      </c>
      <c r="AT1149" s="108" t="str">
        <f t="shared" si="504"/>
        <v/>
      </c>
      <c r="AU1149" s="108" t="str">
        <f t="shared" si="505"/>
        <v/>
      </c>
      <c r="AV1149" s="107" t="str">
        <f>IF(ISNUMBER(O1149),IF(VLOOKUP($A1149,Stand!C:J,8,FALSE)="Short",AT1149,AU1149),"")</f>
        <v/>
      </c>
      <c r="AW1149" s="109" t="str">
        <f t="shared" si="511"/>
        <v/>
      </c>
      <c r="AX1149" s="109" t="str">
        <f t="shared" si="512"/>
        <v/>
      </c>
      <c r="AY1149" s="112" t="str">
        <f>IF(ISNUMBER(O1149),IF(AND(VLOOKUP($D1149,Merchantability!$B:$C,2,0)="Yes",$E1149&gt;=VLOOKUP($D1149,Merchantability!$B:$D,3,0),$E1149&lt;=VLOOKUP($D1149,Merchantability!$B:$E,4,0)),(AV1149*O1149)*(1-$H1149/100),""),"")</f>
        <v/>
      </c>
      <c r="AZ1149" s="116"/>
      <c r="BA1149" s="116"/>
      <c r="BB1149" s="116"/>
      <c r="BE1149" s="62"/>
      <c r="BF1149" s="63"/>
    </row>
    <row r="1150" spans="1:58" ht="12.75" customHeight="1" x14ac:dyDescent="0.25">
      <c r="A1150" s="313"/>
      <c r="B1150" s="328"/>
      <c r="C1150" s="329"/>
      <c r="D1150" s="328"/>
      <c r="E1150" s="330"/>
      <c r="F1150" s="328"/>
      <c r="G1150" s="329"/>
      <c r="H1150" s="329"/>
      <c r="I1150" s="328"/>
      <c r="J1150" s="383"/>
      <c r="K1150" s="329"/>
      <c r="L1150" s="329"/>
      <c r="M1150" s="76"/>
      <c r="N1150" s="103" t="str">
        <f>IF(A1150="","",VLOOKUP(A1150,Stand!C:K,9,0))</f>
        <v/>
      </c>
      <c r="O1150" s="104" t="str">
        <f t="shared" si="497"/>
        <v/>
      </c>
      <c r="P1150" s="105" t="str">
        <f t="shared" si="498"/>
        <v/>
      </c>
      <c r="Q1150" s="105" t="str">
        <f t="shared" si="513"/>
        <v/>
      </c>
      <c r="R1150" s="103" t="str">
        <f t="shared" si="499"/>
        <v/>
      </c>
      <c r="S1150" s="103" t="str">
        <f t="shared" si="500"/>
        <v/>
      </c>
      <c r="T1150" s="106" t="str">
        <f t="shared" si="514"/>
        <v/>
      </c>
      <c r="U1150" s="106" t="str">
        <f t="shared" si="515"/>
        <v/>
      </c>
      <c r="V1150" s="106" t="str">
        <f t="shared" si="516"/>
        <v/>
      </c>
      <c r="W1150" s="105" t="str">
        <f t="shared" si="501"/>
        <v/>
      </c>
      <c r="X1150" s="104" t="str">
        <f t="shared" si="506"/>
        <v/>
      </c>
      <c r="Y1150" s="104" t="str">
        <f t="array" ref="Y1150">IFERROR(IF(ISNUMBER(O1150),IF(COUNT(IF(A1150=$A$2:$A$2427,IF(D1150=$D$2:$D$2427,IF($X$2:$X$2427&gt;0,1))))&gt;0,SUM(IF(A1150=$A$2:$A$2427,IF(D1150=$D$2:$D$2427,$X$2:$X$2427)))/COUNT(IF(A1150=$A$2:$A$2427,IF(D1150=$D$2:$D$2427,IF(ISNUMBER($X$2:$X$2427),1)))),0),""),0)</f>
        <v/>
      </c>
      <c r="Z1150" s="104" t="str">
        <f>IF(ISNUMBER(O1150),IF(I1150&gt;0,(10^(VLOOKUP(D1150,'Species Codes'!B:C,2,0)+VLOOKUP(D1150,'Species Codes'!B:D,3,0)*LOG(E1150)+VLOOKUP(D1150,'Species Codes'!B:E,4,0)*LOG(I1150))),0),"")</f>
        <v/>
      </c>
      <c r="AA1150" s="104" t="str">
        <f>IFERROR((VLOOKUP(D1150,'Species Codes'!B:G,6,0)*Z1150)/2000,"")</f>
        <v/>
      </c>
      <c r="AB1150" s="104" t="e">
        <f>IF(Z1150&gt;0,((IF(OR(D1150="DF",D1150="RA")=TRUE,EXP(VLOOKUP(D1150,'Species Codes'!B:I,8,0)+VLOOKUP(D1150,'Species Codes'!B:J,9,0)*(LN((E1150*2.54)))),IF(OR(D1150="PY",D1150="RC",D1150="WH",D1150="NF")=TRUE,VLOOKUP(D1150,'Species Codes'!B:I,8,0)+VLOOKUP(D1150,'Species Codes'!B:J,9,0)*((E1150*2.54)^2)*(I1150*0.3048),IF(OR(D1150="MD",D1150="BM",D1150="GA")=TRUE,((VLOOKUP(D1150,'Species Codes'!B:I,8,0)*(((((E1150*2.54)+VLOOKUP(D1150,'Species Codes'!B:J,9,0))/VLOOKUP(D1150,'Species Codes'!B:K,10,0))^VLOOKUP(D1150,'Species Codes'!B:L,11,0))*((I1150*0.3048)^VLOOKUP(D1150,'Species Codes'!B:M,12,0))))-(VLOOKUP(D1150,'Species Codes'!B:I,8,0)*((((E1150*2.54)^VLOOKUP(D1150,'Species Codes'!B:L,11,0))*((I1150*0.3048)^VLOOKUP(D1150,'Species Codes'!B:M,12,0))))))*35.3*VLOOKUP(D1150,'Species Codes'!B:G,6,0)/2.2046,VLOOKUP(D1150,'Species Codes'!B:I,8,0)+VLOOKUP(D1150,'Species Codes'!B:J,9,0)*(((E1150*2.54)/100)^2)*(I1150*0.3048)))))*0.0011023),0)</f>
        <v>#N/A</v>
      </c>
      <c r="AC1150" s="104" t="e">
        <f>IF(Z1150&gt;0,((IF(OR(D1150="RA",D1150="OA",D1150="OT",D1150="UN",D1150="PC"),EXP(VLOOKUP(D1150,'Species Codes'!B:O,14,0)+VLOOKUP(D1150,'Species Codes'!B:P,15,0)*LN((E1150*2.54)))-EXP(VLOOKUP(D1150,'Species Codes'!B:O,14,0)+VLOOKUP(D1150,'Species Codes'!B:P,15,0)*LN((E1150*2.54)))*(1/(VLOOKUP(D1150,'Species Codes'!B:Q,16,0)+VLOOKUP(D1150,'Species Codes'!B:R,17,0)*((E1150*2.54)^VLOOKUP(D1150,'Species Codes'!B:S,18,0)))),IF(OR(D1150="BM",D1150="MD",D1150="OA"),EXP(VLOOKUP(D1150,'Species Codes'!B:O,14,0)+VLOOKUP(D1150,'Species Codes'!B:P,15,0)*LN((E1150*2.54)))*(1-(1/(VLOOKUP(D1150,'Species Codes'!B:Q,16,0)+VLOOKUP(D1150,'Species Codes'!B:R,17,0)*((E1150*2.54)^VLOOKUP(D1150,'Species Codes'!B:S,18,0)))))/1000,IF(D1150="DF",EXP(VLOOKUP(D1150,'Species Codes'!B:O,14,0)+VLOOKUP(D1150,'Species Codes'!B:P,15,0)*LN((E1150*2.54))),VLOOKUP(D1150,'Species Codes'!B:O,14,0)+VLOOKUP(D1150,'Species Codes'!B:P,15,0)*(((E1150*2.54)/100)^2)*(I1150*0.3048)))))*0.0011023),0)</f>
        <v>#N/A</v>
      </c>
      <c r="AD1150" s="104" t="e">
        <f t="shared" si="517"/>
        <v>#N/A</v>
      </c>
      <c r="AE1150" s="104" t="e">
        <f t="shared" si="518"/>
        <v>#N/A</v>
      </c>
      <c r="AF1150" s="104" t="e">
        <f>IF(AND(VLOOKUP($D1150,Merchantability!$B:$C,2,0)="Yes",$E1150&gt;=VLOOKUP($D1150,Merchantability!$B:$D,3,0),$E1150&lt;=VLOOKUP($D1150,Merchantability!$B:$E,4,0)),AA1150,0)</f>
        <v>#N/A</v>
      </c>
      <c r="AG1150" s="104" t="e">
        <f>IF(AND(VLOOKUP($D1150,Merchantability!$B:$C,2,0)="Yes",$E1150&gt;=VLOOKUP($D1150,Merchantability!$B:$D,3,0),$E1150&lt;=VLOOKUP($D1150,Merchantability!$B:$E,4,0)),AB1150,0)</f>
        <v>#N/A</v>
      </c>
      <c r="AH1150" s="104" t="e">
        <f>IF(AND(VLOOKUP($D1150,Merchantability!$B:$C,2,0)="Yes",$E1150&gt;=VLOOKUP($D1150,Merchantability!$B:$D,3,0),$E1150&lt;=VLOOKUP($D1150,Merchantability!$B:$E,4,0)),AC1150,0)</f>
        <v>#N/A</v>
      </c>
      <c r="AI1150" s="104" t="e">
        <f t="shared" si="519"/>
        <v>#N/A</v>
      </c>
      <c r="AJ1150" s="104" t="e">
        <f t="shared" si="520"/>
        <v>#VALUE!</v>
      </c>
      <c r="AK1150" s="104" t="e">
        <f t="shared" si="521"/>
        <v>#N/A</v>
      </c>
      <c r="AL1150" s="104" t="e">
        <f t="shared" si="522"/>
        <v>#N/A</v>
      </c>
      <c r="AM1150" s="104" t="e">
        <f t="shared" si="523"/>
        <v>#N/A</v>
      </c>
      <c r="AN1150" s="104" t="e">
        <f t="shared" si="507"/>
        <v>#N/A</v>
      </c>
      <c r="AO1150" s="104" t="e">
        <f t="shared" si="508"/>
        <v>#N/A</v>
      </c>
      <c r="AP1150" s="104" t="e">
        <f t="shared" si="509"/>
        <v>#N/A</v>
      </c>
      <c r="AQ1150" s="104" t="e">
        <f t="shared" si="510"/>
        <v>#N/A</v>
      </c>
      <c r="AR1150" s="105" t="str">
        <f t="shared" si="502"/>
        <v/>
      </c>
      <c r="AS1150" s="105" t="str">
        <f t="shared" si="503"/>
        <v/>
      </c>
      <c r="AT1150" s="108" t="str">
        <f t="shared" si="504"/>
        <v/>
      </c>
      <c r="AU1150" s="108" t="str">
        <f t="shared" si="505"/>
        <v/>
      </c>
      <c r="AV1150" s="107" t="str">
        <f>IF(ISNUMBER(O1150),IF(VLOOKUP($A1150,Stand!C:J,8,FALSE)="Short",AT1150,AU1150),"")</f>
        <v/>
      </c>
      <c r="AW1150" s="109" t="str">
        <f t="shared" si="511"/>
        <v/>
      </c>
      <c r="AX1150" s="109" t="str">
        <f t="shared" si="512"/>
        <v/>
      </c>
      <c r="AY1150" s="112" t="str">
        <f>IF(ISNUMBER(O1150),IF(AND(VLOOKUP($D1150,Merchantability!$B:$C,2,0)="Yes",$E1150&gt;=VLOOKUP($D1150,Merchantability!$B:$D,3,0),$E1150&lt;=VLOOKUP($D1150,Merchantability!$B:$E,4,0)),(AV1150*O1150)*(1-$H1150/100),""),"")</f>
        <v/>
      </c>
      <c r="AZ1150" s="116"/>
      <c r="BA1150" s="116"/>
      <c r="BB1150" s="116"/>
      <c r="BE1150" s="62"/>
      <c r="BF1150" s="63"/>
    </row>
    <row r="1151" spans="1:58" ht="12.75" customHeight="1" x14ac:dyDescent="0.25">
      <c r="A1151" s="313"/>
      <c r="B1151" s="328"/>
      <c r="C1151" s="329"/>
      <c r="D1151" s="328"/>
      <c r="E1151" s="330"/>
      <c r="F1151" s="328"/>
      <c r="G1151" s="329"/>
      <c r="H1151" s="329"/>
      <c r="I1151" s="328"/>
      <c r="J1151" s="383"/>
      <c r="K1151" s="329"/>
      <c r="L1151" s="329"/>
      <c r="M1151" s="76"/>
      <c r="N1151" s="103" t="str">
        <f>IF(A1151="","",VLOOKUP(A1151,Stand!C:K,9,0))</f>
        <v/>
      </c>
      <c r="O1151" s="104" t="str">
        <f t="shared" si="497"/>
        <v/>
      </c>
      <c r="P1151" s="105" t="str">
        <f t="shared" si="498"/>
        <v/>
      </c>
      <c r="Q1151" s="105" t="str">
        <f t="shared" si="513"/>
        <v/>
      </c>
      <c r="R1151" s="103" t="str">
        <f t="shared" si="499"/>
        <v/>
      </c>
      <c r="S1151" s="103" t="str">
        <f t="shared" si="500"/>
        <v/>
      </c>
      <c r="T1151" s="106" t="str">
        <f t="shared" si="514"/>
        <v/>
      </c>
      <c r="U1151" s="106" t="str">
        <f t="shared" si="515"/>
        <v/>
      </c>
      <c r="V1151" s="106" t="str">
        <f t="shared" si="516"/>
        <v/>
      </c>
      <c r="W1151" s="105" t="str">
        <f t="shared" si="501"/>
        <v/>
      </c>
      <c r="X1151" s="104" t="str">
        <f t="shared" si="506"/>
        <v/>
      </c>
      <c r="Y1151" s="104" t="str">
        <f t="array" ref="Y1151">IFERROR(IF(ISNUMBER(O1151),IF(COUNT(IF(A1151=$A$2:$A$2427,IF(D1151=$D$2:$D$2427,IF($X$2:$X$2427&gt;0,1))))&gt;0,SUM(IF(A1151=$A$2:$A$2427,IF(D1151=$D$2:$D$2427,$X$2:$X$2427)))/COUNT(IF(A1151=$A$2:$A$2427,IF(D1151=$D$2:$D$2427,IF(ISNUMBER($X$2:$X$2427),1)))),0),""),0)</f>
        <v/>
      </c>
      <c r="Z1151" s="104" t="str">
        <f>IF(ISNUMBER(O1151),IF(I1151&gt;0,(10^(VLOOKUP(D1151,'Species Codes'!B:C,2,0)+VLOOKUP(D1151,'Species Codes'!B:D,3,0)*LOG(E1151)+VLOOKUP(D1151,'Species Codes'!B:E,4,0)*LOG(I1151))),0),"")</f>
        <v/>
      </c>
      <c r="AA1151" s="104" t="str">
        <f>IFERROR((VLOOKUP(D1151,'Species Codes'!B:G,6,0)*Z1151)/2000,"")</f>
        <v/>
      </c>
      <c r="AB1151" s="104" t="e">
        <f>IF(Z1151&gt;0,((IF(OR(D1151="DF",D1151="RA")=TRUE,EXP(VLOOKUP(D1151,'Species Codes'!B:I,8,0)+VLOOKUP(D1151,'Species Codes'!B:J,9,0)*(LN((E1151*2.54)))),IF(OR(D1151="PY",D1151="RC",D1151="WH",D1151="NF")=TRUE,VLOOKUP(D1151,'Species Codes'!B:I,8,0)+VLOOKUP(D1151,'Species Codes'!B:J,9,0)*((E1151*2.54)^2)*(I1151*0.3048),IF(OR(D1151="MD",D1151="BM",D1151="GA")=TRUE,((VLOOKUP(D1151,'Species Codes'!B:I,8,0)*(((((E1151*2.54)+VLOOKUP(D1151,'Species Codes'!B:J,9,0))/VLOOKUP(D1151,'Species Codes'!B:K,10,0))^VLOOKUP(D1151,'Species Codes'!B:L,11,0))*((I1151*0.3048)^VLOOKUP(D1151,'Species Codes'!B:M,12,0))))-(VLOOKUP(D1151,'Species Codes'!B:I,8,0)*((((E1151*2.54)^VLOOKUP(D1151,'Species Codes'!B:L,11,0))*((I1151*0.3048)^VLOOKUP(D1151,'Species Codes'!B:M,12,0))))))*35.3*VLOOKUP(D1151,'Species Codes'!B:G,6,0)/2.2046,VLOOKUP(D1151,'Species Codes'!B:I,8,0)+VLOOKUP(D1151,'Species Codes'!B:J,9,0)*(((E1151*2.54)/100)^2)*(I1151*0.3048)))))*0.0011023),0)</f>
        <v>#N/A</v>
      </c>
      <c r="AC1151" s="104" t="e">
        <f>IF(Z1151&gt;0,((IF(OR(D1151="RA",D1151="OA",D1151="OT",D1151="UN",D1151="PC"),EXP(VLOOKUP(D1151,'Species Codes'!B:O,14,0)+VLOOKUP(D1151,'Species Codes'!B:P,15,0)*LN((E1151*2.54)))-EXP(VLOOKUP(D1151,'Species Codes'!B:O,14,0)+VLOOKUP(D1151,'Species Codes'!B:P,15,0)*LN((E1151*2.54)))*(1/(VLOOKUP(D1151,'Species Codes'!B:Q,16,0)+VLOOKUP(D1151,'Species Codes'!B:R,17,0)*((E1151*2.54)^VLOOKUP(D1151,'Species Codes'!B:S,18,0)))),IF(OR(D1151="BM",D1151="MD",D1151="OA"),EXP(VLOOKUP(D1151,'Species Codes'!B:O,14,0)+VLOOKUP(D1151,'Species Codes'!B:P,15,0)*LN((E1151*2.54)))*(1-(1/(VLOOKUP(D1151,'Species Codes'!B:Q,16,0)+VLOOKUP(D1151,'Species Codes'!B:R,17,0)*((E1151*2.54)^VLOOKUP(D1151,'Species Codes'!B:S,18,0)))))/1000,IF(D1151="DF",EXP(VLOOKUP(D1151,'Species Codes'!B:O,14,0)+VLOOKUP(D1151,'Species Codes'!B:P,15,0)*LN((E1151*2.54))),VLOOKUP(D1151,'Species Codes'!B:O,14,0)+VLOOKUP(D1151,'Species Codes'!B:P,15,0)*(((E1151*2.54)/100)^2)*(I1151*0.3048)))))*0.0011023),0)</f>
        <v>#N/A</v>
      </c>
      <c r="AD1151" s="104" t="e">
        <f t="shared" si="517"/>
        <v>#N/A</v>
      </c>
      <c r="AE1151" s="104" t="e">
        <f t="shared" si="518"/>
        <v>#N/A</v>
      </c>
      <c r="AF1151" s="104" t="e">
        <f>IF(AND(VLOOKUP($D1151,Merchantability!$B:$C,2,0)="Yes",$E1151&gt;=VLOOKUP($D1151,Merchantability!$B:$D,3,0),$E1151&lt;=VLOOKUP($D1151,Merchantability!$B:$E,4,0)),AA1151,0)</f>
        <v>#N/A</v>
      </c>
      <c r="AG1151" s="104" t="e">
        <f>IF(AND(VLOOKUP($D1151,Merchantability!$B:$C,2,0)="Yes",$E1151&gt;=VLOOKUP($D1151,Merchantability!$B:$D,3,0),$E1151&lt;=VLOOKUP($D1151,Merchantability!$B:$E,4,0)),AB1151,0)</f>
        <v>#N/A</v>
      </c>
      <c r="AH1151" s="104" t="e">
        <f>IF(AND(VLOOKUP($D1151,Merchantability!$B:$C,2,0)="Yes",$E1151&gt;=VLOOKUP($D1151,Merchantability!$B:$D,3,0),$E1151&lt;=VLOOKUP($D1151,Merchantability!$B:$E,4,0)),AC1151,0)</f>
        <v>#N/A</v>
      </c>
      <c r="AI1151" s="104" t="e">
        <f t="shared" si="519"/>
        <v>#N/A</v>
      </c>
      <c r="AJ1151" s="104" t="e">
        <f t="shared" si="520"/>
        <v>#VALUE!</v>
      </c>
      <c r="AK1151" s="104" t="e">
        <f t="shared" si="521"/>
        <v>#N/A</v>
      </c>
      <c r="AL1151" s="104" t="e">
        <f t="shared" si="522"/>
        <v>#N/A</v>
      </c>
      <c r="AM1151" s="104" t="e">
        <f t="shared" si="523"/>
        <v>#N/A</v>
      </c>
      <c r="AN1151" s="104" t="e">
        <f t="shared" si="507"/>
        <v>#N/A</v>
      </c>
      <c r="AO1151" s="104" t="e">
        <f t="shared" si="508"/>
        <v>#N/A</v>
      </c>
      <c r="AP1151" s="104" t="e">
        <f t="shared" si="509"/>
        <v>#N/A</v>
      </c>
      <c r="AQ1151" s="104" t="e">
        <f t="shared" si="510"/>
        <v>#N/A</v>
      </c>
      <c r="AR1151" s="105" t="str">
        <f t="shared" si="502"/>
        <v/>
      </c>
      <c r="AS1151" s="105" t="str">
        <f t="shared" si="503"/>
        <v/>
      </c>
      <c r="AT1151" s="108" t="str">
        <f t="shared" si="504"/>
        <v/>
      </c>
      <c r="AU1151" s="108" t="str">
        <f t="shared" si="505"/>
        <v/>
      </c>
      <c r="AV1151" s="107" t="str">
        <f>IF(ISNUMBER(O1151),IF(VLOOKUP($A1151,Stand!C:J,8,FALSE)="Short",AT1151,AU1151),"")</f>
        <v/>
      </c>
      <c r="AW1151" s="109" t="str">
        <f t="shared" si="511"/>
        <v/>
      </c>
      <c r="AX1151" s="109" t="str">
        <f t="shared" si="512"/>
        <v/>
      </c>
      <c r="AY1151" s="112" t="str">
        <f>IF(ISNUMBER(O1151),IF(AND(VLOOKUP($D1151,Merchantability!$B:$C,2,0)="Yes",$E1151&gt;=VLOOKUP($D1151,Merchantability!$B:$D,3,0),$E1151&lt;=VLOOKUP($D1151,Merchantability!$B:$E,4,0)),(AV1151*O1151)*(1-$H1151/100),""),"")</f>
        <v/>
      </c>
      <c r="AZ1151" s="116"/>
      <c r="BA1151" s="116"/>
      <c r="BB1151" s="116"/>
      <c r="BE1151" s="62"/>
      <c r="BF1151" s="63"/>
    </row>
    <row r="1152" spans="1:58" ht="12.75" customHeight="1" x14ac:dyDescent="0.25">
      <c r="A1152" s="313"/>
      <c r="B1152" s="328"/>
      <c r="C1152" s="329"/>
      <c r="D1152" s="328"/>
      <c r="E1152" s="330"/>
      <c r="F1152" s="328"/>
      <c r="G1152" s="329"/>
      <c r="H1152" s="329"/>
      <c r="I1152" s="328"/>
      <c r="J1152" s="383"/>
      <c r="K1152" s="329"/>
      <c r="L1152" s="329"/>
      <c r="M1152" s="76"/>
      <c r="N1152" s="103" t="str">
        <f>IF(A1152="","",VLOOKUP(A1152,Stand!C:K,9,0))</f>
        <v/>
      </c>
      <c r="O1152" s="104" t="str">
        <f t="shared" si="497"/>
        <v/>
      </c>
      <c r="P1152" s="105" t="str">
        <f t="shared" si="498"/>
        <v/>
      </c>
      <c r="Q1152" s="105" t="str">
        <f t="shared" si="513"/>
        <v/>
      </c>
      <c r="R1152" s="103" t="str">
        <f t="shared" si="499"/>
        <v/>
      </c>
      <c r="S1152" s="103" t="str">
        <f t="shared" si="500"/>
        <v/>
      </c>
      <c r="T1152" s="106" t="str">
        <f t="shared" si="514"/>
        <v/>
      </c>
      <c r="U1152" s="106" t="str">
        <f t="shared" si="515"/>
        <v/>
      </c>
      <c r="V1152" s="106" t="str">
        <f t="shared" si="516"/>
        <v/>
      </c>
      <c r="W1152" s="105" t="str">
        <f t="shared" si="501"/>
        <v/>
      </c>
      <c r="X1152" s="104" t="str">
        <f t="shared" si="506"/>
        <v/>
      </c>
      <c r="Y1152" s="104" t="str">
        <f t="array" ref="Y1152">IFERROR(IF(ISNUMBER(O1152),IF(COUNT(IF(A1152=$A$2:$A$2427,IF(D1152=$D$2:$D$2427,IF($X$2:$X$2427&gt;0,1))))&gt;0,SUM(IF(A1152=$A$2:$A$2427,IF(D1152=$D$2:$D$2427,$X$2:$X$2427)))/COUNT(IF(A1152=$A$2:$A$2427,IF(D1152=$D$2:$D$2427,IF(ISNUMBER($X$2:$X$2427),1)))),0),""),0)</f>
        <v/>
      </c>
      <c r="Z1152" s="104" t="str">
        <f>IF(ISNUMBER(O1152),IF(I1152&gt;0,(10^(VLOOKUP(D1152,'Species Codes'!B:C,2,0)+VLOOKUP(D1152,'Species Codes'!B:D,3,0)*LOG(E1152)+VLOOKUP(D1152,'Species Codes'!B:E,4,0)*LOG(I1152))),0),"")</f>
        <v/>
      </c>
      <c r="AA1152" s="104" t="str">
        <f>IFERROR((VLOOKUP(D1152,'Species Codes'!B:G,6,0)*Z1152)/2000,"")</f>
        <v/>
      </c>
      <c r="AB1152" s="104" t="e">
        <f>IF(Z1152&gt;0,((IF(OR(D1152="DF",D1152="RA")=TRUE,EXP(VLOOKUP(D1152,'Species Codes'!B:I,8,0)+VLOOKUP(D1152,'Species Codes'!B:J,9,0)*(LN((E1152*2.54)))),IF(OR(D1152="PY",D1152="RC",D1152="WH",D1152="NF")=TRUE,VLOOKUP(D1152,'Species Codes'!B:I,8,0)+VLOOKUP(D1152,'Species Codes'!B:J,9,0)*((E1152*2.54)^2)*(I1152*0.3048),IF(OR(D1152="MD",D1152="BM",D1152="GA")=TRUE,((VLOOKUP(D1152,'Species Codes'!B:I,8,0)*(((((E1152*2.54)+VLOOKUP(D1152,'Species Codes'!B:J,9,0))/VLOOKUP(D1152,'Species Codes'!B:K,10,0))^VLOOKUP(D1152,'Species Codes'!B:L,11,0))*((I1152*0.3048)^VLOOKUP(D1152,'Species Codes'!B:M,12,0))))-(VLOOKUP(D1152,'Species Codes'!B:I,8,0)*((((E1152*2.54)^VLOOKUP(D1152,'Species Codes'!B:L,11,0))*((I1152*0.3048)^VLOOKUP(D1152,'Species Codes'!B:M,12,0))))))*35.3*VLOOKUP(D1152,'Species Codes'!B:G,6,0)/2.2046,VLOOKUP(D1152,'Species Codes'!B:I,8,0)+VLOOKUP(D1152,'Species Codes'!B:J,9,0)*(((E1152*2.54)/100)^2)*(I1152*0.3048)))))*0.0011023),0)</f>
        <v>#N/A</v>
      </c>
      <c r="AC1152" s="104" t="e">
        <f>IF(Z1152&gt;0,((IF(OR(D1152="RA",D1152="OA",D1152="OT",D1152="UN",D1152="PC"),EXP(VLOOKUP(D1152,'Species Codes'!B:O,14,0)+VLOOKUP(D1152,'Species Codes'!B:P,15,0)*LN((E1152*2.54)))-EXP(VLOOKUP(D1152,'Species Codes'!B:O,14,0)+VLOOKUP(D1152,'Species Codes'!B:P,15,0)*LN((E1152*2.54)))*(1/(VLOOKUP(D1152,'Species Codes'!B:Q,16,0)+VLOOKUP(D1152,'Species Codes'!B:R,17,0)*((E1152*2.54)^VLOOKUP(D1152,'Species Codes'!B:S,18,0)))),IF(OR(D1152="BM",D1152="MD",D1152="OA"),EXP(VLOOKUP(D1152,'Species Codes'!B:O,14,0)+VLOOKUP(D1152,'Species Codes'!B:P,15,0)*LN((E1152*2.54)))*(1-(1/(VLOOKUP(D1152,'Species Codes'!B:Q,16,0)+VLOOKUP(D1152,'Species Codes'!B:R,17,0)*((E1152*2.54)^VLOOKUP(D1152,'Species Codes'!B:S,18,0)))))/1000,IF(D1152="DF",EXP(VLOOKUP(D1152,'Species Codes'!B:O,14,0)+VLOOKUP(D1152,'Species Codes'!B:P,15,0)*LN((E1152*2.54))),VLOOKUP(D1152,'Species Codes'!B:O,14,0)+VLOOKUP(D1152,'Species Codes'!B:P,15,0)*(((E1152*2.54)/100)^2)*(I1152*0.3048)))))*0.0011023),0)</f>
        <v>#N/A</v>
      </c>
      <c r="AD1152" s="104" t="e">
        <f t="shared" si="517"/>
        <v>#N/A</v>
      </c>
      <c r="AE1152" s="104" t="e">
        <f t="shared" si="518"/>
        <v>#N/A</v>
      </c>
      <c r="AF1152" s="104" t="e">
        <f>IF(AND(VLOOKUP($D1152,Merchantability!$B:$C,2,0)="Yes",$E1152&gt;=VLOOKUP($D1152,Merchantability!$B:$D,3,0),$E1152&lt;=VLOOKUP($D1152,Merchantability!$B:$E,4,0)),AA1152,0)</f>
        <v>#N/A</v>
      </c>
      <c r="AG1152" s="104" t="e">
        <f>IF(AND(VLOOKUP($D1152,Merchantability!$B:$C,2,0)="Yes",$E1152&gt;=VLOOKUP($D1152,Merchantability!$B:$D,3,0),$E1152&lt;=VLOOKUP($D1152,Merchantability!$B:$E,4,0)),AB1152,0)</f>
        <v>#N/A</v>
      </c>
      <c r="AH1152" s="104" t="e">
        <f>IF(AND(VLOOKUP($D1152,Merchantability!$B:$C,2,0)="Yes",$E1152&gt;=VLOOKUP($D1152,Merchantability!$B:$D,3,0),$E1152&lt;=VLOOKUP($D1152,Merchantability!$B:$E,4,0)),AC1152,0)</f>
        <v>#N/A</v>
      </c>
      <c r="AI1152" s="104" t="e">
        <f t="shared" si="519"/>
        <v>#N/A</v>
      </c>
      <c r="AJ1152" s="104" t="e">
        <f t="shared" si="520"/>
        <v>#VALUE!</v>
      </c>
      <c r="AK1152" s="104" t="e">
        <f t="shared" si="521"/>
        <v>#N/A</v>
      </c>
      <c r="AL1152" s="104" t="e">
        <f t="shared" si="522"/>
        <v>#N/A</v>
      </c>
      <c r="AM1152" s="104" t="e">
        <f t="shared" si="523"/>
        <v>#N/A</v>
      </c>
      <c r="AN1152" s="104" t="e">
        <f t="shared" si="507"/>
        <v>#N/A</v>
      </c>
      <c r="AO1152" s="104" t="e">
        <f t="shared" si="508"/>
        <v>#N/A</v>
      </c>
      <c r="AP1152" s="104" t="e">
        <f t="shared" si="509"/>
        <v>#N/A</v>
      </c>
      <c r="AQ1152" s="104" t="e">
        <f t="shared" si="510"/>
        <v>#N/A</v>
      </c>
      <c r="AR1152" s="105" t="str">
        <f t="shared" si="502"/>
        <v/>
      </c>
      <c r="AS1152" s="105" t="str">
        <f t="shared" si="503"/>
        <v/>
      </c>
      <c r="AT1152" s="108" t="str">
        <f t="shared" si="504"/>
        <v/>
      </c>
      <c r="AU1152" s="108" t="str">
        <f t="shared" si="505"/>
        <v/>
      </c>
      <c r="AV1152" s="107" t="str">
        <f>IF(ISNUMBER(O1152),IF(VLOOKUP($A1152,Stand!C:J,8,FALSE)="Short",AT1152,AU1152),"")</f>
        <v/>
      </c>
      <c r="AW1152" s="109" t="str">
        <f t="shared" si="511"/>
        <v/>
      </c>
      <c r="AX1152" s="109" t="str">
        <f t="shared" si="512"/>
        <v/>
      </c>
      <c r="AY1152" s="112" t="str">
        <f>IF(ISNUMBER(O1152),IF(AND(VLOOKUP($D1152,Merchantability!$B:$C,2,0)="Yes",$E1152&gt;=VLOOKUP($D1152,Merchantability!$B:$D,3,0),$E1152&lt;=VLOOKUP($D1152,Merchantability!$B:$E,4,0)),(AV1152*O1152)*(1-$H1152/100),""),"")</f>
        <v/>
      </c>
      <c r="AZ1152" s="116"/>
      <c r="BA1152" s="116"/>
      <c r="BB1152" s="116"/>
      <c r="BE1152" s="62"/>
      <c r="BF1152" s="63"/>
    </row>
    <row r="1153" spans="1:58" ht="12.75" customHeight="1" x14ac:dyDescent="0.25">
      <c r="A1153" s="313"/>
      <c r="B1153" s="328"/>
      <c r="C1153" s="329"/>
      <c r="D1153" s="328"/>
      <c r="E1153" s="330"/>
      <c r="F1153" s="328"/>
      <c r="G1153" s="329"/>
      <c r="H1153" s="329"/>
      <c r="I1153" s="328"/>
      <c r="J1153" s="383"/>
      <c r="K1153" s="329"/>
      <c r="L1153" s="329"/>
      <c r="M1153" s="76"/>
      <c r="N1153" s="103" t="str">
        <f>IF(A1153="","",VLOOKUP(A1153,Stand!C:K,9,0))</f>
        <v/>
      </c>
      <c r="O1153" s="104" t="str">
        <f t="shared" si="497"/>
        <v/>
      </c>
      <c r="P1153" s="105" t="str">
        <f t="shared" si="498"/>
        <v/>
      </c>
      <c r="Q1153" s="105" t="str">
        <f t="shared" si="513"/>
        <v/>
      </c>
      <c r="R1153" s="103" t="str">
        <f t="shared" si="499"/>
        <v/>
      </c>
      <c r="S1153" s="103" t="str">
        <f t="shared" si="500"/>
        <v/>
      </c>
      <c r="T1153" s="106" t="str">
        <f t="shared" si="514"/>
        <v/>
      </c>
      <c r="U1153" s="106" t="str">
        <f t="shared" si="515"/>
        <v/>
      </c>
      <c r="V1153" s="106" t="str">
        <f t="shared" si="516"/>
        <v/>
      </c>
      <c r="W1153" s="105" t="str">
        <f t="shared" si="501"/>
        <v/>
      </c>
      <c r="X1153" s="104" t="str">
        <f t="shared" si="506"/>
        <v/>
      </c>
      <c r="Y1153" s="104" t="str">
        <f t="array" ref="Y1153">IFERROR(IF(ISNUMBER(O1153),IF(COUNT(IF(A1153=$A$2:$A$2427,IF(D1153=$D$2:$D$2427,IF($X$2:$X$2427&gt;0,1))))&gt;0,SUM(IF(A1153=$A$2:$A$2427,IF(D1153=$D$2:$D$2427,$X$2:$X$2427)))/COUNT(IF(A1153=$A$2:$A$2427,IF(D1153=$D$2:$D$2427,IF(ISNUMBER($X$2:$X$2427),1)))),0),""),0)</f>
        <v/>
      </c>
      <c r="Z1153" s="104" t="str">
        <f>IF(ISNUMBER(O1153),IF(I1153&gt;0,(10^(VLOOKUP(D1153,'Species Codes'!B:C,2,0)+VLOOKUP(D1153,'Species Codes'!B:D,3,0)*LOG(E1153)+VLOOKUP(D1153,'Species Codes'!B:E,4,0)*LOG(I1153))),0),"")</f>
        <v/>
      </c>
      <c r="AA1153" s="104" t="str">
        <f>IFERROR((VLOOKUP(D1153,'Species Codes'!B:G,6,0)*Z1153)/2000,"")</f>
        <v/>
      </c>
      <c r="AB1153" s="104" t="e">
        <f>IF(Z1153&gt;0,((IF(OR(D1153="DF",D1153="RA")=TRUE,EXP(VLOOKUP(D1153,'Species Codes'!B:I,8,0)+VLOOKUP(D1153,'Species Codes'!B:J,9,0)*(LN((E1153*2.54)))),IF(OR(D1153="PY",D1153="RC",D1153="WH",D1153="NF")=TRUE,VLOOKUP(D1153,'Species Codes'!B:I,8,0)+VLOOKUP(D1153,'Species Codes'!B:J,9,0)*((E1153*2.54)^2)*(I1153*0.3048),IF(OR(D1153="MD",D1153="BM",D1153="GA")=TRUE,((VLOOKUP(D1153,'Species Codes'!B:I,8,0)*(((((E1153*2.54)+VLOOKUP(D1153,'Species Codes'!B:J,9,0))/VLOOKUP(D1153,'Species Codes'!B:K,10,0))^VLOOKUP(D1153,'Species Codes'!B:L,11,0))*((I1153*0.3048)^VLOOKUP(D1153,'Species Codes'!B:M,12,0))))-(VLOOKUP(D1153,'Species Codes'!B:I,8,0)*((((E1153*2.54)^VLOOKUP(D1153,'Species Codes'!B:L,11,0))*((I1153*0.3048)^VLOOKUP(D1153,'Species Codes'!B:M,12,0))))))*35.3*VLOOKUP(D1153,'Species Codes'!B:G,6,0)/2.2046,VLOOKUP(D1153,'Species Codes'!B:I,8,0)+VLOOKUP(D1153,'Species Codes'!B:J,9,0)*(((E1153*2.54)/100)^2)*(I1153*0.3048)))))*0.0011023),0)</f>
        <v>#N/A</v>
      </c>
      <c r="AC1153" s="104" t="e">
        <f>IF(Z1153&gt;0,((IF(OR(D1153="RA",D1153="OA",D1153="OT",D1153="UN",D1153="PC"),EXP(VLOOKUP(D1153,'Species Codes'!B:O,14,0)+VLOOKUP(D1153,'Species Codes'!B:P,15,0)*LN((E1153*2.54)))-EXP(VLOOKUP(D1153,'Species Codes'!B:O,14,0)+VLOOKUP(D1153,'Species Codes'!B:P,15,0)*LN((E1153*2.54)))*(1/(VLOOKUP(D1153,'Species Codes'!B:Q,16,0)+VLOOKUP(D1153,'Species Codes'!B:R,17,0)*((E1153*2.54)^VLOOKUP(D1153,'Species Codes'!B:S,18,0)))),IF(OR(D1153="BM",D1153="MD",D1153="OA"),EXP(VLOOKUP(D1153,'Species Codes'!B:O,14,0)+VLOOKUP(D1153,'Species Codes'!B:P,15,0)*LN((E1153*2.54)))*(1-(1/(VLOOKUP(D1153,'Species Codes'!B:Q,16,0)+VLOOKUP(D1153,'Species Codes'!B:R,17,0)*((E1153*2.54)^VLOOKUP(D1153,'Species Codes'!B:S,18,0)))))/1000,IF(D1153="DF",EXP(VLOOKUP(D1153,'Species Codes'!B:O,14,0)+VLOOKUP(D1153,'Species Codes'!B:P,15,0)*LN((E1153*2.54))),VLOOKUP(D1153,'Species Codes'!B:O,14,0)+VLOOKUP(D1153,'Species Codes'!B:P,15,0)*(((E1153*2.54)/100)^2)*(I1153*0.3048)))))*0.0011023),0)</f>
        <v>#N/A</v>
      </c>
      <c r="AD1153" s="104" t="e">
        <f t="shared" si="517"/>
        <v>#N/A</v>
      </c>
      <c r="AE1153" s="104" t="e">
        <f t="shared" si="518"/>
        <v>#N/A</v>
      </c>
      <c r="AF1153" s="104" t="e">
        <f>IF(AND(VLOOKUP($D1153,Merchantability!$B:$C,2,0)="Yes",$E1153&gt;=VLOOKUP($D1153,Merchantability!$B:$D,3,0),$E1153&lt;=VLOOKUP($D1153,Merchantability!$B:$E,4,0)),AA1153,0)</f>
        <v>#N/A</v>
      </c>
      <c r="AG1153" s="104" t="e">
        <f>IF(AND(VLOOKUP($D1153,Merchantability!$B:$C,2,0)="Yes",$E1153&gt;=VLOOKUP($D1153,Merchantability!$B:$D,3,0),$E1153&lt;=VLOOKUP($D1153,Merchantability!$B:$E,4,0)),AB1153,0)</f>
        <v>#N/A</v>
      </c>
      <c r="AH1153" s="104" t="e">
        <f>IF(AND(VLOOKUP($D1153,Merchantability!$B:$C,2,0)="Yes",$E1153&gt;=VLOOKUP($D1153,Merchantability!$B:$D,3,0),$E1153&lt;=VLOOKUP($D1153,Merchantability!$B:$E,4,0)),AC1153,0)</f>
        <v>#N/A</v>
      </c>
      <c r="AI1153" s="104" t="e">
        <f t="shared" si="519"/>
        <v>#N/A</v>
      </c>
      <c r="AJ1153" s="104" t="e">
        <f t="shared" si="520"/>
        <v>#VALUE!</v>
      </c>
      <c r="AK1153" s="104" t="e">
        <f t="shared" si="521"/>
        <v>#N/A</v>
      </c>
      <c r="AL1153" s="104" t="e">
        <f t="shared" si="522"/>
        <v>#N/A</v>
      </c>
      <c r="AM1153" s="104" t="e">
        <f t="shared" si="523"/>
        <v>#N/A</v>
      </c>
      <c r="AN1153" s="104" t="e">
        <f t="shared" si="507"/>
        <v>#N/A</v>
      </c>
      <c r="AO1153" s="104" t="e">
        <f t="shared" si="508"/>
        <v>#N/A</v>
      </c>
      <c r="AP1153" s="104" t="e">
        <f t="shared" si="509"/>
        <v>#N/A</v>
      </c>
      <c r="AQ1153" s="104" t="e">
        <f t="shared" si="510"/>
        <v>#N/A</v>
      </c>
      <c r="AR1153" s="105" t="str">
        <f t="shared" si="502"/>
        <v/>
      </c>
      <c r="AS1153" s="105" t="str">
        <f t="shared" si="503"/>
        <v/>
      </c>
      <c r="AT1153" s="108" t="str">
        <f t="shared" si="504"/>
        <v/>
      </c>
      <c r="AU1153" s="108" t="str">
        <f t="shared" si="505"/>
        <v/>
      </c>
      <c r="AV1153" s="107" t="str">
        <f>IF(ISNUMBER(O1153),IF(VLOOKUP($A1153,Stand!C:J,8,FALSE)="Short",AT1153,AU1153),"")</f>
        <v/>
      </c>
      <c r="AW1153" s="109" t="str">
        <f t="shared" si="511"/>
        <v/>
      </c>
      <c r="AX1153" s="109" t="str">
        <f t="shared" si="512"/>
        <v/>
      </c>
      <c r="AY1153" s="112" t="str">
        <f>IF(ISNUMBER(O1153),IF(AND(VLOOKUP($D1153,Merchantability!$B:$C,2,0)="Yes",$E1153&gt;=VLOOKUP($D1153,Merchantability!$B:$D,3,0),$E1153&lt;=VLOOKUP($D1153,Merchantability!$B:$E,4,0)),(AV1153*O1153)*(1-$H1153/100),""),"")</f>
        <v/>
      </c>
      <c r="AZ1153" s="116"/>
      <c r="BA1153" s="116"/>
      <c r="BB1153" s="116"/>
      <c r="BE1153" s="62"/>
      <c r="BF1153" s="63"/>
    </row>
    <row r="1154" spans="1:58" ht="12.75" customHeight="1" x14ac:dyDescent="0.25">
      <c r="A1154" s="313"/>
      <c r="B1154" s="328"/>
      <c r="C1154" s="329"/>
      <c r="D1154" s="328"/>
      <c r="E1154" s="330"/>
      <c r="F1154" s="328"/>
      <c r="G1154" s="329"/>
      <c r="H1154" s="329"/>
      <c r="I1154" s="328"/>
      <c r="J1154" s="383"/>
      <c r="K1154" s="329"/>
      <c r="L1154" s="329"/>
      <c r="M1154" s="76"/>
      <c r="N1154" s="103" t="str">
        <f>IF(A1154="","",VLOOKUP(A1154,Stand!C:K,9,0))</f>
        <v/>
      </c>
      <c r="O1154" s="104" t="str">
        <f t="shared" ref="O1154:O1217" si="524">IF(E1154&gt;0,IF(G1154&gt;1,G1154*(43560/(N1154^2*3.14)),43560/(N1154^2*3.14)),"")</f>
        <v/>
      </c>
      <c r="P1154" s="105" t="str">
        <f t="shared" ref="P1154:P1217" si="525">IF(ISNUMBER(O1154),E1154*O1154,"")</f>
        <v/>
      </c>
      <c r="Q1154" s="105" t="str">
        <f t="shared" si="513"/>
        <v/>
      </c>
      <c r="R1154" s="103" t="str">
        <f t="shared" ref="R1154:R1217" si="526">IF(ISNUMBER(O1154),E1154^2*0.005454*O1154,"")</f>
        <v/>
      </c>
      <c r="S1154" s="103" t="str">
        <f t="shared" ref="S1154:S1217" si="527">IF(ISNUMBER(O1154),(E1154/10)^1.7*O1154,"")</f>
        <v/>
      </c>
      <c r="T1154" s="106" t="str">
        <f t="shared" si="514"/>
        <v/>
      </c>
      <c r="U1154" s="106" t="str">
        <f t="shared" si="515"/>
        <v/>
      </c>
      <c r="V1154" s="106" t="str">
        <f t="shared" si="516"/>
        <v/>
      </c>
      <c r="W1154" s="105" t="str">
        <f t="shared" ref="W1154:W1217" si="528">IF(AND(ISNUMBER(O1154),I1154&gt;0),I1154/(E1154/12),"")</f>
        <v/>
      </c>
      <c r="X1154" s="104" t="str">
        <f t="shared" si="506"/>
        <v/>
      </c>
      <c r="Y1154" s="104" t="str">
        <f t="array" ref="Y1154">IFERROR(IF(ISNUMBER(O1154),IF(COUNT(IF(A1154=$A$2:$A$2427,IF(D1154=$D$2:$D$2427,IF($X$2:$X$2427&gt;0,1))))&gt;0,SUM(IF(A1154=$A$2:$A$2427,IF(D1154=$D$2:$D$2427,$X$2:$X$2427)))/COUNT(IF(A1154=$A$2:$A$2427,IF(D1154=$D$2:$D$2427,IF(ISNUMBER($X$2:$X$2427),1)))),0),""),0)</f>
        <v/>
      </c>
      <c r="Z1154" s="104" t="str">
        <f>IF(ISNUMBER(O1154),IF(I1154&gt;0,(10^(VLOOKUP(D1154,'Species Codes'!B:C,2,0)+VLOOKUP(D1154,'Species Codes'!B:D,3,0)*LOG(E1154)+VLOOKUP(D1154,'Species Codes'!B:E,4,0)*LOG(I1154))),0),"")</f>
        <v/>
      </c>
      <c r="AA1154" s="104" t="str">
        <f>IFERROR((VLOOKUP(D1154,'Species Codes'!B:G,6,0)*Z1154)/2000,"")</f>
        <v/>
      </c>
      <c r="AB1154" s="104" t="e">
        <f>IF(Z1154&gt;0,((IF(OR(D1154="DF",D1154="RA")=TRUE,EXP(VLOOKUP(D1154,'Species Codes'!B:I,8,0)+VLOOKUP(D1154,'Species Codes'!B:J,9,0)*(LN((E1154*2.54)))),IF(OR(D1154="PY",D1154="RC",D1154="WH",D1154="NF")=TRUE,VLOOKUP(D1154,'Species Codes'!B:I,8,0)+VLOOKUP(D1154,'Species Codes'!B:J,9,0)*((E1154*2.54)^2)*(I1154*0.3048),IF(OR(D1154="MD",D1154="BM",D1154="GA")=TRUE,((VLOOKUP(D1154,'Species Codes'!B:I,8,0)*(((((E1154*2.54)+VLOOKUP(D1154,'Species Codes'!B:J,9,0))/VLOOKUP(D1154,'Species Codes'!B:K,10,0))^VLOOKUP(D1154,'Species Codes'!B:L,11,0))*((I1154*0.3048)^VLOOKUP(D1154,'Species Codes'!B:M,12,0))))-(VLOOKUP(D1154,'Species Codes'!B:I,8,0)*((((E1154*2.54)^VLOOKUP(D1154,'Species Codes'!B:L,11,0))*((I1154*0.3048)^VLOOKUP(D1154,'Species Codes'!B:M,12,0))))))*35.3*VLOOKUP(D1154,'Species Codes'!B:G,6,0)/2.2046,VLOOKUP(D1154,'Species Codes'!B:I,8,0)+VLOOKUP(D1154,'Species Codes'!B:J,9,0)*(((E1154*2.54)/100)^2)*(I1154*0.3048)))))*0.0011023),0)</f>
        <v>#N/A</v>
      </c>
      <c r="AC1154" s="104" t="e">
        <f>IF(Z1154&gt;0,((IF(OR(D1154="RA",D1154="OA",D1154="OT",D1154="UN",D1154="PC"),EXP(VLOOKUP(D1154,'Species Codes'!B:O,14,0)+VLOOKUP(D1154,'Species Codes'!B:P,15,0)*LN((E1154*2.54)))-EXP(VLOOKUP(D1154,'Species Codes'!B:O,14,0)+VLOOKUP(D1154,'Species Codes'!B:P,15,0)*LN((E1154*2.54)))*(1/(VLOOKUP(D1154,'Species Codes'!B:Q,16,0)+VLOOKUP(D1154,'Species Codes'!B:R,17,0)*((E1154*2.54)^VLOOKUP(D1154,'Species Codes'!B:S,18,0)))),IF(OR(D1154="BM",D1154="MD",D1154="OA"),EXP(VLOOKUP(D1154,'Species Codes'!B:O,14,0)+VLOOKUP(D1154,'Species Codes'!B:P,15,0)*LN((E1154*2.54)))*(1-(1/(VLOOKUP(D1154,'Species Codes'!B:Q,16,0)+VLOOKUP(D1154,'Species Codes'!B:R,17,0)*((E1154*2.54)^VLOOKUP(D1154,'Species Codes'!B:S,18,0)))))/1000,IF(D1154="DF",EXP(VLOOKUP(D1154,'Species Codes'!B:O,14,0)+VLOOKUP(D1154,'Species Codes'!B:P,15,0)*LN((E1154*2.54))),VLOOKUP(D1154,'Species Codes'!B:O,14,0)+VLOOKUP(D1154,'Species Codes'!B:P,15,0)*(((E1154*2.54)/100)^2)*(I1154*0.3048)))))*0.0011023),0)</f>
        <v>#N/A</v>
      </c>
      <c r="AD1154" s="104" t="e">
        <f t="shared" si="517"/>
        <v>#N/A</v>
      </c>
      <c r="AE1154" s="104" t="e">
        <f t="shared" si="518"/>
        <v>#N/A</v>
      </c>
      <c r="AF1154" s="104" t="e">
        <f>IF(AND(VLOOKUP($D1154,Merchantability!$B:$C,2,0)="Yes",$E1154&gt;=VLOOKUP($D1154,Merchantability!$B:$D,3,0),$E1154&lt;=VLOOKUP($D1154,Merchantability!$B:$E,4,0)),AA1154,0)</f>
        <v>#N/A</v>
      </c>
      <c r="AG1154" s="104" t="e">
        <f>IF(AND(VLOOKUP($D1154,Merchantability!$B:$C,2,0)="Yes",$E1154&gt;=VLOOKUP($D1154,Merchantability!$B:$D,3,0),$E1154&lt;=VLOOKUP($D1154,Merchantability!$B:$E,4,0)),AB1154,0)</f>
        <v>#N/A</v>
      </c>
      <c r="AH1154" s="104" t="e">
        <f>IF(AND(VLOOKUP($D1154,Merchantability!$B:$C,2,0)="Yes",$E1154&gt;=VLOOKUP($D1154,Merchantability!$B:$D,3,0),$E1154&lt;=VLOOKUP($D1154,Merchantability!$B:$E,4,0)),AC1154,0)</f>
        <v>#N/A</v>
      </c>
      <c r="AI1154" s="104" t="e">
        <f t="shared" si="519"/>
        <v>#N/A</v>
      </c>
      <c r="AJ1154" s="104" t="e">
        <f t="shared" si="520"/>
        <v>#VALUE!</v>
      </c>
      <c r="AK1154" s="104" t="e">
        <f t="shared" si="521"/>
        <v>#N/A</v>
      </c>
      <c r="AL1154" s="104" t="e">
        <f t="shared" si="522"/>
        <v>#N/A</v>
      </c>
      <c r="AM1154" s="104" t="e">
        <f t="shared" si="523"/>
        <v>#N/A</v>
      </c>
      <c r="AN1154" s="104" t="e">
        <f t="shared" si="507"/>
        <v>#N/A</v>
      </c>
      <c r="AO1154" s="104" t="e">
        <f t="shared" si="508"/>
        <v>#N/A</v>
      </c>
      <c r="AP1154" s="104" t="e">
        <f t="shared" si="509"/>
        <v>#N/A</v>
      </c>
      <c r="AQ1154" s="104" t="e">
        <f t="shared" si="510"/>
        <v>#N/A</v>
      </c>
      <c r="AR1154" s="105" t="str">
        <f t="shared" ref="AR1154:AR1217" si="529">IF(ISNUMBER(O1154),IF(Y1154&gt;0,((Y1154*(E1154^2*0.005454-0.087266))/0.912733),0),"")</f>
        <v/>
      </c>
      <c r="AS1154" s="105" t="str">
        <f t="shared" ref="AS1154:AS1217" si="530">IF(ISNUMBER(O1154),AR1154*(0.993-0.993*(0.62^(E1154-6))),"")</f>
        <v/>
      </c>
      <c r="AT1154" s="108" t="str">
        <f t="shared" ref="AT1154:AT1217" si="531">IF(ISNUMBER(O1154),IF(AS1154&gt;0,IF(Y1154&gt;0,(AS1154*10^(0.174439+0.117594*(LOG(E1154,10))*(LOG(Y1154/0.912733,10))-8.210585/E1154^2+0.236693*(LOG(Y1154/0.912733,10))-0.00001345*(Y1154/0.912733)^2-0.00001937*E1154^2)),0),0),"")</f>
        <v/>
      </c>
      <c r="AU1154" s="108" t="str">
        <f t="shared" ref="AU1154:AU1217" si="532">IF(ISNUMBER(O1154),IF(AS1154&gt;0,IF(Y1154&gt;0,AT1154*(1.001491-(6.92497/Y1154)+(0.00001351*(E1154^2))),0),0),"")</f>
        <v/>
      </c>
      <c r="AV1154" s="107" t="str">
        <f>IF(ISNUMBER(O1154),IF(VLOOKUP($A1154,Stand!C:J,8,FALSE)="Short",AT1154,AU1154),"")</f>
        <v/>
      </c>
      <c r="AW1154" s="109" t="str">
        <f t="shared" si="511"/>
        <v/>
      </c>
      <c r="AX1154" s="109" t="str">
        <f t="shared" si="512"/>
        <v/>
      </c>
      <c r="AY1154" s="112" t="str">
        <f>IF(ISNUMBER(O1154),IF(AND(VLOOKUP($D1154,Merchantability!$B:$C,2,0)="Yes",$E1154&gt;=VLOOKUP($D1154,Merchantability!$B:$D,3,0),$E1154&lt;=VLOOKUP($D1154,Merchantability!$B:$E,4,0)),(AV1154*O1154)*(1-$H1154/100),""),"")</f>
        <v/>
      </c>
      <c r="AZ1154" s="116"/>
      <c r="BA1154" s="116"/>
      <c r="BB1154" s="116"/>
      <c r="BE1154" s="62"/>
      <c r="BF1154" s="63"/>
    </row>
    <row r="1155" spans="1:58" ht="12.75" customHeight="1" x14ac:dyDescent="0.25">
      <c r="A1155" s="313"/>
      <c r="B1155" s="328"/>
      <c r="C1155" s="329"/>
      <c r="D1155" s="328"/>
      <c r="E1155" s="330"/>
      <c r="F1155" s="328"/>
      <c r="G1155" s="329"/>
      <c r="H1155" s="329"/>
      <c r="I1155" s="328"/>
      <c r="J1155" s="383"/>
      <c r="K1155" s="329"/>
      <c r="L1155" s="329"/>
      <c r="M1155" s="76"/>
      <c r="N1155" s="103" t="str">
        <f>IF(A1155="","",VLOOKUP(A1155,Stand!C:K,9,0))</f>
        <v/>
      </c>
      <c r="O1155" s="104" t="str">
        <f t="shared" si="524"/>
        <v/>
      </c>
      <c r="P1155" s="105" t="str">
        <f t="shared" si="525"/>
        <v/>
      </c>
      <c r="Q1155" s="105" t="str">
        <f t="shared" si="513"/>
        <v/>
      </c>
      <c r="R1155" s="103" t="str">
        <f t="shared" si="526"/>
        <v/>
      </c>
      <c r="S1155" s="103" t="str">
        <f t="shared" si="527"/>
        <v/>
      </c>
      <c r="T1155" s="106" t="str">
        <f t="shared" si="514"/>
        <v/>
      </c>
      <c r="U1155" s="106" t="str">
        <f t="shared" si="515"/>
        <v/>
      </c>
      <c r="V1155" s="106" t="str">
        <f t="shared" si="516"/>
        <v/>
      </c>
      <c r="W1155" s="105" t="str">
        <f t="shared" si="528"/>
        <v/>
      </c>
      <c r="X1155" s="104" t="str">
        <f t="shared" ref="X1155:X1218" si="533">IF(ISNUMBER(O1155),IF(I1155&gt;0,IF(E1155&gt;0,(0.912733*Z1155)/(1.033*(1+1.382937*EXP(-4.015292*E1155/10))*((E1155^2)*0.005454+0.087266)-0.174533),""),""),"")</f>
        <v/>
      </c>
      <c r="Y1155" s="104" t="str">
        <f t="array" ref="Y1155">IFERROR(IF(ISNUMBER(O1155),IF(COUNT(IF(A1155=$A$2:$A$2427,IF(D1155=$D$2:$D$2427,IF($X$2:$X$2427&gt;0,1))))&gt;0,SUM(IF(A1155=$A$2:$A$2427,IF(D1155=$D$2:$D$2427,$X$2:$X$2427)))/COUNT(IF(A1155=$A$2:$A$2427,IF(D1155=$D$2:$D$2427,IF(ISNUMBER($X$2:$X$2427),1)))),0),""),0)</f>
        <v/>
      </c>
      <c r="Z1155" s="104" t="str">
        <f>IF(ISNUMBER(O1155),IF(I1155&gt;0,(10^(VLOOKUP(D1155,'Species Codes'!B:C,2,0)+VLOOKUP(D1155,'Species Codes'!B:D,3,0)*LOG(E1155)+VLOOKUP(D1155,'Species Codes'!B:E,4,0)*LOG(I1155))),0),"")</f>
        <v/>
      </c>
      <c r="AA1155" s="104" t="str">
        <f>IFERROR((VLOOKUP(D1155,'Species Codes'!B:G,6,0)*Z1155)/2000,"")</f>
        <v/>
      </c>
      <c r="AB1155" s="104" t="e">
        <f>IF(Z1155&gt;0,((IF(OR(D1155="DF",D1155="RA")=TRUE,EXP(VLOOKUP(D1155,'Species Codes'!B:I,8,0)+VLOOKUP(D1155,'Species Codes'!B:J,9,0)*(LN((E1155*2.54)))),IF(OR(D1155="PY",D1155="RC",D1155="WH",D1155="NF")=TRUE,VLOOKUP(D1155,'Species Codes'!B:I,8,0)+VLOOKUP(D1155,'Species Codes'!B:J,9,0)*((E1155*2.54)^2)*(I1155*0.3048),IF(OR(D1155="MD",D1155="BM",D1155="GA")=TRUE,((VLOOKUP(D1155,'Species Codes'!B:I,8,0)*(((((E1155*2.54)+VLOOKUP(D1155,'Species Codes'!B:J,9,0))/VLOOKUP(D1155,'Species Codes'!B:K,10,0))^VLOOKUP(D1155,'Species Codes'!B:L,11,0))*((I1155*0.3048)^VLOOKUP(D1155,'Species Codes'!B:M,12,0))))-(VLOOKUP(D1155,'Species Codes'!B:I,8,0)*((((E1155*2.54)^VLOOKUP(D1155,'Species Codes'!B:L,11,0))*((I1155*0.3048)^VLOOKUP(D1155,'Species Codes'!B:M,12,0))))))*35.3*VLOOKUP(D1155,'Species Codes'!B:G,6,0)/2.2046,VLOOKUP(D1155,'Species Codes'!B:I,8,0)+VLOOKUP(D1155,'Species Codes'!B:J,9,0)*(((E1155*2.54)/100)^2)*(I1155*0.3048)))))*0.0011023),0)</f>
        <v>#N/A</v>
      </c>
      <c r="AC1155" s="104" t="e">
        <f>IF(Z1155&gt;0,((IF(OR(D1155="RA",D1155="OA",D1155="OT",D1155="UN",D1155="PC"),EXP(VLOOKUP(D1155,'Species Codes'!B:O,14,0)+VLOOKUP(D1155,'Species Codes'!B:P,15,0)*LN((E1155*2.54)))-EXP(VLOOKUP(D1155,'Species Codes'!B:O,14,0)+VLOOKUP(D1155,'Species Codes'!B:P,15,0)*LN((E1155*2.54)))*(1/(VLOOKUP(D1155,'Species Codes'!B:Q,16,0)+VLOOKUP(D1155,'Species Codes'!B:R,17,0)*((E1155*2.54)^VLOOKUP(D1155,'Species Codes'!B:S,18,0)))),IF(OR(D1155="BM",D1155="MD",D1155="OA"),EXP(VLOOKUP(D1155,'Species Codes'!B:O,14,0)+VLOOKUP(D1155,'Species Codes'!B:P,15,0)*LN((E1155*2.54)))*(1-(1/(VLOOKUP(D1155,'Species Codes'!B:Q,16,0)+VLOOKUP(D1155,'Species Codes'!B:R,17,0)*((E1155*2.54)^VLOOKUP(D1155,'Species Codes'!B:S,18,0)))))/1000,IF(D1155="DF",EXP(VLOOKUP(D1155,'Species Codes'!B:O,14,0)+VLOOKUP(D1155,'Species Codes'!B:P,15,0)*LN((E1155*2.54))),VLOOKUP(D1155,'Species Codes'!B:O,14,0)+VLOOKUP(D1155,'Species Codes'!B:P,15,0)*(((E1155*2.54)/100)^2)*(I1155*0.3048)))))*0.0011023),0)</f>
        <v>#N/A</v>
      </c>
      <c r="AD1155" s="104" t="e">
        <f t="shared" si="517"/>
        <v>#N/A</v>
      </c>
      <c r="AE1155" s="104" t="e">
        <f t="shared" si="518"/>
        <v>#N/A</v>
      </c>
      <c r="AF1155" s="104" t="e">
        <f>IF(AND(VLOOKUP($D1155,Merchantability!$B:$C,2,0)="Yes",$E1155&gt;=VLOOKUP($D1155,Merchantability!$B:$D,3,0),$E1155&lt;=VLOOKUP($D1155,Merchantability!$B:$E,4,0)),AA1155,0)</f>
        <v>#N/A</v>
      </c>
      <c r="AG1155" s="104" t="e">
        <f>IF(AND(VLOOKUP($D1155,Merchantability!$B:$C,2,0)="Yes",$E1155&gt;=VLOOKUP($D1155,Merchantability!$B:$D,3,0),$E1155&lt;=VLOOKUP($D1155,Merchantability!$B:$E,4,0)),AB1155,0)</f>
        <v>#N/A</v>
      </c>
      <c r="AH1155" s="104" t="e">
        <f>IF(AND(VLOOKUP($D1155,Merchantability!$B:$C,2,0)="Yes",$E1155&gt;=VLOOKUP($D1155,Merchantability!$B:$D,3,0),$E1155&lt;=VLOOKUP($D1155,Merchantability!$B:$E,4,0)),AC1155,0)</f>
        <v>#N/A</v>
      </c>
      <c r="AI1155" s="104" t="e">
        <f t="shared" si="519"/>
        <v>#N/A</v>
      </c>
      <c r="AJ1155" s="104" t="e">
        <f t="shared" si="520"/>
        <v>#VALUE!</v>
      </c>
      <c r="AK1155" s="104" t="e">
        <f t="shared" si="521"/>
        <v>#N/A</v>
      </c>
      <c r="AL1155" s="104" t="e">
        <f t="shared" si="522"/>
        <v>#N/A</v>
      </c>
      <c r="AM1155" s="104" t="e">
        <f t="shared" si="523"/>
        <v>#N/A</v>
      </c>
      <c r="AN1155" s="104" t="e">
        <f t="shared" ref="AN1155:AN1218" si="534">AF1155*$O1155</f>
        <v>#N/A</v>
      </c>
      <c r="AO1155" s="104" t="e">
        <f t="shared" ref="AO1155:AO1218" si="535">AG1155*$O1155</f>
        <v>#N/A</v>
      </c>
      <c r="AP1155" s="104" t="e">
        <f t="shared" ref="AP1155:AP1218" si="536">AH1155*$O1155</f>
        <v>#N/A</v>
      </c>
      <c r="AQ1155" s="104" t="e">
        <f t="shared" ref="AQ1155:AQ1218" si="537">SUM(AN1155:AP1155)</f>
        <v>#N/A</v>
      </c>
      <c r="AR1155" s="105" t="str">
        <f t="shared" si="529"/>
        <v/>
      </c>
      <c r="AS1155" s="105" t="str">
        <f t="shared" si="530"/>
        <v/>
      </c>
      <c r="AT1155" s="108" t="str">
        <f t="shared" si="531"/>
        <v/>
      </c>
      <c r="AU1155" s="108" t="str">
        <f t="shared" si="532"/>
        <v/>
      </c>
      <c r="AV1155" s="107" t="str">
        <f>IF(ISNUMBER(O1155),IF(VLOOKUP($A1155,Stand!C:J,8,FALSE)="Short",AT1155,AU1155),"")</f>
        <v/>
      </c>
      <c r="AW1155" s="109" t="str">
        <f t="shared" ref="AW1155:AW1218" si="538">IF(ISNUMBER(O1155),AV1155*O1155,"")</f>
        <v/>
      </c>
      <c r="AX1155" s="109" t="str">
        <f t="shared" ref="AX1155:AX1218" si="539">IF(ISNUMBER(O1155),AW1155*(1-$H1155/100),"")</f>
        <v/>
      </c>
      <c r="AY1155" s="112" t="str">
        <f>IF(ISNUMBER(O1155),IF(AND(VLOOKUP($D1155,Merchantability!$B:$C,2,0)="Yes",$E1155&gt;=VLOOKUP($D1155,Merchantability!$B:$D,3,0),$E1155&lt;=VLOOKUP($D1155,Merchantability!$B:$E,4,0)),(AV1155*O1155)*(1-$H1155/100),""),"")</f>
        <v/>
      </c>
      <c r="AZ1155" s="116"/>
      <c r="BA1155" s="116"/>
      <c r="BB1155" s="116"/>
      <c r="BE1155" s="62"/>
      <c r="BF1155" s="63"/>
    </row>
    <row r="1156" spans="1:58" ht="12.75" customHeight="1" x14ac:dyDescent="0.25">
      <c r="A1156" s="313"/>
      <c r="B1156" s="328"/>
      <c r="C1156" s="329"/>
      <c r="D1156" s="328"/>
      <c r="E1156" s="330"/>
      <c r="F1156" s="328"/>
      <c r="G1156" s="329"/>
      <c r="H1156" s="329"/>
      <c r="I1156" s="328"/>
      <c r="J1156" s="383"/>
      <c r="K1156" s="329"/>
      <c r="L1156" s="329"/>
      <c r="M1156" s="76"/>
      <c r="N1156" s="103" t="str">
        <f>IF(A1156="","",VLOOKUP(A1156,Stand!C:K,9,0))</f>
        <v/>
      </c>
      <c r="O1156" s="104" t="str">
        <f t="shared" si="524"/>
        <v/>
      </c>
      <c r="P1156" s="105" t="str">
        <f t="shared" si="525"/>
        <v/>
      </c>
      <c r="Q1156" s="105" t="str">
        <f t="shared" si="513"/>
        <v/>
      </c>
      <c r="R1156" s="103" t="str">
        <f t="shared" si="526"/>
        <v/>
      </c>
      <c r="S1156" s="103" t="str">
        <f t="shared" si="527"/>
        <v/>
      </c>
      <c r="T1156" s="106" t="str">
        <f t="shared" si="514"/>
        <v/>
      </c>
      <c r="U1156" s="106" t="str">
        <f t="shared" si="515"/>
        <v/>
      </c>
      <c r="V1156" s="106" t="str">
        <f t="shared" si="516"/>
        <v/>
      </c>
      <c r="W1156" s="105" t="str">
        <f t="shared" si="528"/>
        <v/>
      </c>
      <c r="X1156" s="104" t="str">
        <f t="shared" si="533"/>
        <v/>
      </c>
      <c r="Y1156" s="104" t="str">
        <f t="array" ref="Y1156">IFERROR(IF(ISNUMBER(O1156),IF(COUNT(IF(A1156=$A$2:$A$2427,IF(D1156=$D$2:$D$2427,IF($X$2:$X$2427&gt;0,1))))&gt;0,SUM(IF(A1156=$A$2:$A$2427,IF(D1156=$D$2:$D$2427,$X$2:$X$2427)))/COUNT(IF(A1156=$A$2:$A$2427,IF(D1156=$D$2:$D$2427,IF(ISNUMBER($X$2:$X$2427),1)))),0),""),0)</f>
        <v/>
      </c>
      <c r="Z1156" s="104" t="str">
        <f>IF(ISNUMBER(O1156),IF(I1156&gt;0,(10^(VLOOKUP(D1156,'Species Codes'!B:C,2,0)+VLOOKUP(D1156,'Species Codes'!B:D,3,0)*LOG(E1156)+VLOOKUP(D1156,'Species Codes'!B:E,4,0)*LOG(I1156))),0),"")</f>
        <v/>
      </c>
      <c r="AA1156" s="104" t="str">
        <f>IFERROR((VLOOKUP(D1156,'Species Codes'!B:G,6,0)*Z1156)/2000,"")</f>
        <v/>
      </c>
      <c r="AB1156" s="104" t="e">
        <f>IF(Z1156&gt;0,((IF(OR(D1156="DF",D1156="RA")=TRUE,EXP(VLOOKUP(D1156,'Species Codes'!B:I,8,0)+VLOOKUP(D1156,'Species Codes'!B:J,9,0)*(LN((E1156*2.54)))),IF(OR(D1156="PY",D1156="RC",D1156="WH",D1156="NF")=TRUE,VLOOKUP(D1156,'Species Codes'!B:I,8,0)+VLOOKUP(D1156,'Species Codes'!B:J,9,0)*((E1156*2.54)^2)*(I1156*0.3048),IF(OR(D1156="MD",D1156="BM",D1156="GA")=TRUE,((VLOOKUP(D1156,'Species Codes'!B:I,8,0)*(((((E1156*2.54)+VLOOKUP(D1156,'Species Codes'!B:J,9,0))/VLOOKUP(D1156,'Species Codes'!B:K,10,0))^VLOOKUP(D1156,'Species Codes'!B:L,11,0))*((I1156*0.3048)^VLOOKUP(D1156,'Species Codes'!B:M,12,0))))-(VLOOKUP(D1156,'Species Codes'!B:I,8,0)*((((E1156*2.54)^VLOOKUP(D1156,'Species Codes'!B:L,11,0))*((I1156*0.3048)^VLOOKUP(D1156,'Species Codes'!B:M,12,0))))))*35.3*VLOOKUP(D1156,'Species Codes'!B:G,6,0)/2.2046,VLOOKUP(D1156,'Species Codes'!B:I,8,0)+VLOOKUP(D1156,'Species Codes'!B:J,9,0)*(((E1156*2.54)/100)^2)*(I1156*0.3048)))))*0.0011023),0)</f>
        <v>#N/A</v>
      </c>
      <c r="AC1156" s="104" t="e">
        <f>IF(Z1156&gt;0,((IF(OR(D1156="RA",D1156="OA",D1156="OT",D1156="UN",D1156="PC"),EXP(VLOOKUP(D1156,'Species Codes'!B:O,14,0)+VLOOKUP(D1156,'Species Codes'!B:P,15,0)*LN((E1156*2.54)))-EXP(VLOOKUP(D1156,'Species Codes'!B:O,14,0)+VLOOKUP(D1156,'Species Codes'!B:P,15,0)*LN((E1156*2.54)))*(1/(VLOOKUP(D1156,'Species Codes'!B:Q,16,0)+VLOOKUP(D1156,'Species Codes'!B:R,17,0)*((E1156*2.54)^VLOOKUP(D1156,'Species Codes'!B:S,18,0)))),IF(OR(D1156="BM",D1156="MD",D1156="OA"),EXP(VLOOKUP(D1156,'Species Codes'!B:O,14,0)+VLOOKUP(D1156,'Species Codes'!B:P,15,0)*LN((E1156*2.54)))*(1-(1/(VLOOKUP(D1156,'Species Codes'!B:Q,16,0)+VLOOKUP(D1156,'Species Codes'!B:R,17,0)*((E1156*2.54)^VLOOKUP(D1156,'Species Codes'!B:S,18,0)))))/1000,IF(D1156="DF",EXP(VLOOKUP(D1156,'Species Codes'!B:O,14,0)+VLOOKUP(D1156,'Species Codes'!B:P,15,0)*LN((E1156*2.54))),VLOOKUP(D1156,'Species Codes'!B:O,14,0)+VLOOKUP(D1156,'Species Codes'!B:P,15,0)*(((E1156*2.54)/100)^2)*(I1156*0.3048)))))*0.0011023),0)</f>
        <v>#N/A</v>
      </c>
      <c r="AD1156" s="104" t="e">
        <f t="shared" si="517"/>
        <v>#N/A</v>
      </c>
      <c r="AE1156" s="104" t="e">
        <f t="shared" si="518"/>
        <v>#N/A</v>
      </c>
      <c r="AF1156" s="104" t="e">
        <f>IF(AND(VLOOKUP($D1156,Merchantability!$B:$C,2,0)="Yes",$E1156&gt;=VLOOKUP($D1156,Merchantability!$B:$D,3,0),$E1156&lt;=VLOOKUP($D1156,Merchantability!$B:$E,4,0)),AA1156,0)</f>
        <v>#N/A</v>
      </c>
      <c r="AG1156" s="104" t="e">
        <f>IF(AND(VLOOKUP($D1156,Merchantability!$B:$C,2,0)="Yes",$E1156&gt;=VLOOKUP($D1156,Merchantability!$B:$D,3,0),$E1156&lt;=VLOOKUP($D1156,Merchantability!$B:$E,4,0)),AB1156,0)</f>
        <v>#N/A</v>
      </c>
      <c r="AH1156" s="104" t="e">
        <f>IF(AND(VLOOKUP($D1156,Merchantability!$B:$C,2,0)="Yes",$E1156&gt;=VLOOKUP($D1156,Merchantability!$B:$D,3,0),$E1156&lt;=VLOOKUP($D1156,Merchantability!$B:$E,4,0)),AC1156,0)</f>
        <v>#N/A</v>
      </c>
      <c r="AI1156" s="104" t="e">
        <f t="shared" si="519"/>
        <v>#N/A</v>
      </c>
      <c r="AJ1156" s="104" t="e">
        <f t="shared" si="520"/>
        <v>#VALUE!</v>
      </c>
      <c r="AK1156" s="104" t="e">
        <f t="shared" si="521"/>
        <v>#N/A</v>
      </c>
      <c r="AL1156" s="104" t="e">
        <f t="shared" si="522"/>
        <v>#N/A</v>
      </c>
      <c r="AM1156" s="104" t="e">
        <f t="shared" si="523"/>
        <v>#N/A</v>
      </c>
      <c r="AN1156" s="104" t="e">
        <f t="shared" si="534"/>
        <v>#N/A</v>
      </c>
      <c r="AO1156" s="104" t="e">
        <f t="shared" si="535"/>
        <v>#N/A</v>
      </c>
      <c r="AP1156" s="104" t="e">
        <f t="shared" si="536"/>
        <v>#N/A</v>
      </c>
      <c r="AQ1156" s="104" t="e">
        <f t="shared" si="537"/>
        <v>#N/A</v>
      </c>
      <c r="AR1156" s="105" t="str">
        <f t="shared" si="529"/>
        <v/>
      </c>
      <c r="AS1156" s="105" t="str">
        <f t="shared" si="530"/>
        <v/>
      </c>
      <c r="AT1156" s="108" t="str">
        <f t="shared" si="531"/>
        <v/>
      </c>
      <c r="AU1156" s="108" t="str">
        <f t="shared" si="532"/>
        <v/>
      </c>
      <c r="AV1156" s="107" t="str">
        <f>IF(ISNUMBER(O1156),IF(VLOOKUP($A1156,Stand!C:J,8,FALSE)="Short",AT1156,AU1156),"")</f>
        <v/>
      </c>
      <c r="AW1156" s="109" t="str">
        <f t="shared" si="538"/>
        <v/>
      </c>
      <c r="AX1156" s="109" t="str">
        <f t="shared" si="539"/>
        <v/>
      </c>
      <c r="AY1156" s="112" t="str">
        <f>IF(ISNUMBER(O1156),IF(AND(VLOOKUP($D1156,Merchantability!$B:$C,2,0)="Yes",$E1156&gt;=VLOOKUP($D1156,Merchantability!$B:$D,3,0),$E1156&lt;=VLOOKUP($D1156,Merchantability!$B:$E,4,0)),(AV1156*O1156)*(1-$H1156/100),""),"")</f>
        <v/>
      </c>
      <c r="AZ1156" s="116"/>
      <c r="BA1156" s="116"/>
      <c r="BB1156" s="116"/>
      <c r="BE1156" s="62"/>
      <c r="BF1156" s="63"/>
    </row>
    <row r="1157" spans="1:58" ht="12.75" customHeight="1" x14ac:dyDescent="0.25">
      <c r="A1157" s="313"/>
      <c r="B1157" s="328"/>
      <c r="C1157" s="329"/>
      <c r="D1157" s="328"/>
      <c r="E1157" s="330"/>
      <c r="F1157" s="328"/>
      <c r="G1157" s="329"/>
      <c r="H1157" s="329"/>
      <c r="I1157" s="328"/>
      <c r="J1157" s="383"/>
      <c r="K1157" s="329"/>
      <c r="L1157" s="329"/>
      <c r="M1157" s="76"/>
      <c r="N1157" s="103" t="str">
        <f>IF(A1157="","",VLOOKUP(A1157,Stand!C:K,9,0))</f>
        <v/>
      </c>
      <c r="O1157" s="104" t="str">
        <f t="shared" si="524"/>
        <v/>
      </c>
      <c r="P1157" s="105" t="str">
        <f t="shared" si="525"/>
        <v/>
      </c>
      <c r="Q1157" s="105" t="str">
        <f t="shared" si="513"/>
        <v/>
      </c>
      <c r="R1157" s="103" t="str">
        <f t="shared" si="526"/>
        <v/>
      </c>
      <c r="S1157" s="103" t="str">
        <f t="shared" si="527"/>
        <v/>
      </c>
      <c r="T1157" s="106" t="str">
        <f t="shared" si="514"/>
        <v/>
      </c>
      <c r="U1157" s="106" t="str">
        <f t="shared" si="515"/>
        <v/>
      </c>
      <c r="V1157" s="106" t="str">
        <f t="shared" si="516"/>
        <v/>
      </c>
      <c r="W1157" s="105" t="str">
        <f t="shared" si="528"/>
        <v/>
      </c>
      <c r="X1157" s="104" t="str">
        <f t="shared" si="533"/>
        <v/>
      </c>
      <c r="Y1157" s="104" t="str">
        <f t="array" ref="Y1157">IFERROR(IF(ISNUMBER(O1157),IF(COUNT(IF(A1157=$A$2:$A$2427,IF(D1157=$D$2:$D$2427,IF($X$2:$X$2427&gt;0,1))))&gt;0,SUM(IF(A1157=$A$2:$A$2427,IF(D1157=$D$2:$D$2427,$X$2:$X$2427)))/COUNT(IF(A1157=$A$2:$A$2427,IF(D1157=$D$2:$D$2427,IF(ISNUMBER($X$2:$X$2427),1)))),0),""),0)</f>
        <v/>
      </c>
      <c r="Z1157" s="104" t="str">
        <f>IF(ISNUMBER(O1157),IF(I1157&gt;0,(10^(VLOOKUP(D1157,'Species Codes'!B:C,2,0)+VLOOKUP(D1157,'Species Codes'!B:D,3,0)*LOG(E1157)+VLOOKUP(D1157,'Species Codes'!B:E,4,0)*LOG(I1157))),0),"")</f>
        <v/>
      </c>
      <c r="AA1157" s="104" t="str">
        <f>IFERROR((VLOOKUP(D1157,'Species Codes'!B:G,6,0)*Z1157)/2000,"")</f>
        <v/>
      </c>
      <c r="AB1157" s="104" t="e">
        <f>IF(Z1157&gt;0,((IF(OR(D1157="DF",D1157="RA")=TRUE,EXP(VLOOKUP(D1157,'Species Codes'!B:I,8,0)+VLOOKUP(D1157,'Species Codes'!B:J,9,0)*(LN((E1157*2.54)))),IF(OR(D1157="PY",D1157="RC",D1157="WH",D1157="NF")=TRUE,VLOOKUP(D1157,'Species Codes'!B:I,8,0)+VLOOKUP(D1157,'Species Codes'!B:J,9,0)*((E1157*2.54)^2)*(I1157*0.3048),IF(OR(D1157="MD",D1157="BM",D1157="GA")=TRUE,((VLOOKUP(D1157,'Species Codes'!B:I,8,0)*(((((E1157*2.54)+VLOOKUP(D1157,'Species Codes'!B:J,9,0))/VLOOKUP(D1157,'Species Codes'!B:K,10,0))^VLOOKUP(D1157,'Species Codes'!B:L,11,0))*((I1157*0.3048)^VLOOKUP(D1157,'Species Codes'!B:M,12,0))))-(VLOOKUP(D1157,'Species Codes'!B:I,8,0)*((((E1157*2.54)^VLOOKUP(D1157,'Species Codes'!B:L,11,0))*((I1157*0.3048)^VLOOKUP(D1157,'Species Codes'!B:M,12,0))))))*35.3*VLOOKUP(D1157,'Species Codes'!B:G,6,0)/2.2046,VLOOKUP(D1157,'Species Codes'!B:I,8,0)+VLOOKUP(D1157,'Species Codes'!B:J,9,0)*(((E1157*2.54)/100)^2)*(I1157*0.3048)))))*0.0011023),0)</f>
        <v>#N/A</v>
      </c>
      <c r="AC1157" s="104" t="e">
        <f>IF(Z1157&gt;0,((IF(OR(D1157="RA",D1157="OA",D1157="OT",D1157="UN",D1157="PC"),EXP(VLOOKUP(D1157,'Species Codes'!B:O,14,0)+VLOOKUP(D1157,'Species Codes'!B:P,15,0)*LN((E1157*2.54)))-EXP(VLOOKUP(D1157,'Species Codes'!B:O,14,0)+VLOOKUP(D1157,'Species Codes'!B:P,15,0)*LN((E1157*2.54)))*(1/(VLOOKUP(D1157,'Species Codes'!B:Q,16,0)+VLOOKUP(D1157,'Species Codes'!B:R,17,0)*((E1157*2.54)^VLOOKUP(D1157,'Species Codes'!B:S,18,0)))),IF(OR(D1157="BM",D1157="MD",D1157="OA"),EXP(VLOOKUP(D1157,'Species Codes'!B:O,14,0)+VLOOKUP(D1157,'Species Codes'!B:P,15,0)*LN((E1157*2.54)))*(1-(1/(VLOOKUP(D1157,'Species Codes'!B:Q,16,0)+VLOOKUP(D1157,'Species Codes'!B:R,17,0)*((E1157*2.54)^VLOOKUP(D1157,'Species Codes'!B:S,18,0)))))/1000,IF(D1157="DF",EXP(VLOOKUP(D1157,'Species Codes'!B:O,14,0)+VLOOKUP(D1157,'Species Codes'!B:P,15,0)*LN((E1157*2.54))),VLOOKUP(D1157,'Species Codes'!B:O,14,0)+VLOOKUP(D1157,'Species Codes'!B:P,15,0)*(((E1157*2.54)/100)^2)*(I1157*0.3048)))))*0.0011023),0)</f>
        <v>#N/A</v>
      </c>
      <c r="AD1157" s="104" t="e">
        <f t="shared" si="517"/>
        <v>#N/A</v>
      </c>
      <c r="AE1157" s="104" t="e">
        <f t="shared" si="518"/>
        <v>#N/A</v>
      </c>
      <c r="AF1157" s="104" t="e">
        <f>IF(AND(VLOOKUP($D1157,Merchantability!$B:$C,2,0)="Yes",$E1157&gt;=VLOOKUP($D1157,Merchantability!$B:$D,3,0),$E1157&lt;=VLOOKUP($D1157,Merchantability!$B:$E,4,0)),AA1157,0)</f>
        <v>#N/A</v>
      </c>
      <c r="AG1157" s="104" t="e">
        <f>IF(AND(VLOOKUP($D1157,Merchantability!$B:$C,2,0)="Yes",$E1157&gt;=VLOOKUP($D1157,Merchantability!$B:$D,3,0),$E1157&lt;=VLOOKUP($D1157,Merchantability!$B:$E,4,0)),AB1157,0)</f>
        <v>#N/A</v>
      </c>
      <c r="AH1157" s="104" t="e">
        <f>IF(AND(VLOOKUP($D1157,Merchantability!$B:$C,2,0)="Yes",$E1157&gt;=VLOOKUP($D1157,Merchantability!$B:$D,3,0),$E1157&lt;=VLOOKUP($D1157,Merchantability!$B:$E,4,0)),AC1157,0)</f>
        <v>#N/A</v>
      </c>
      <c r="AI1157" s="104" t="e">
        <f t="shared" si="519"/>
        <v>#N/A</v>
      </c>
      <c r="AJ1157" s="104" t="e">
        <f t="shared" si="520"/>
        <v>#VALUE!</v>
      </c>
      <c r="AK1157" s="104" t="e">
        <f t="shared" si="521"/>
        <v>#N/A</v>
      </c>
      <c r="AL1157" s="104" t="e">
        <f t="shared" si="522"/>
        <v>#N/A</v>
      </c>
      <c r="AM1157" s="104" t="e">
        <f t="shared" si="523"/>
        <v>#N/A</v>
      </c>
      <c r="AN1157" s="104" t="e">
        <f t="shared" si="534"/>
        <v>#N/A</v>
      </c>
      <c r="AO1157" s="104" t="e">
        <f t="shared" si="535"/>
        <v>#N/A</v>
      </c>
      <c r="AP1157" s="104" t="e">
        <f t="shared" si="536"/>
        <v>#N/A</v>
      </c>
      <c r="AQ1157" s="104" t="e">
        <f t="shared" si="537"/>
        <v>#N/A</v>
      </c>
      <c r="AR1157" s="105" t="str">
        <f t="shared" si="529"/>
        <v/>
      </c>
      <c r="AS1157" s="105" t="str">
        <f t="shared" si="530"/>
        <v/>
      </c>
      <c r="AT1157" s="108" t="str">
        <f t="shared" si="531"/>
        <v/>
      </c>
      <c r="AU1157" s="108" t="str">
        <f t="shared" si="532"/>
        <v/>
      </c>
      <c r="AV1157" s="107" t="str">
        <f>IF(ISNUMBER(O1157),IF(VLOOKUP($A1157,Stand!C:J,8,FALSE)="Short",AT1157,AU1157),"")</f>
        <v/>
      </c>
      <c r="AW1157" s="109" t="str">
        <f t="shared" si="538"/>
        <v/>
      </c>
      <c r="AX1157" s="109" t="str">
        <f t="shared" si="539"/>
        <v/>
      </c>
      <c r="AY1157" s="112" t="str">
        <f>IF(ISNUMBER(O1157),IF(AND(VLOOKUP($D1157,Merchantability!$B:$C,2,0)="Yes",$E1157&gt;=VLOOKUP($D1157,Merchantability!$B:$D,3,0),$E1157&lt;=VLOOKUP($D1157,Merchantability!$B:$E,4,0)),(AV1157*O1157)*(1-$H1157/100),""),"")</f>
        <v/>
      </c>
      <c r="AZ1157" s="116"/>
      <c r="BA1157" s="116"/>
      <c r="BB1157" s="116"/>
      <c r="BE1157" s="62"/>
      <c r="BF1157" s="63"/>
    </row>
    <row r="1158" spans="1:58" ht="12.75" customHeight="1" x14ac:dyDescent="0.25">
      <c r="A1158" s="313"/>
      <c r="B1158" s="328"/>
      <c r="C1158" s="329"/>
      <c r="D1158" s="328"/>
      <c r="E1158" s="330"/>
      <c r="F1158" s="328"/>
      <c r="G1158" s="329"/>
      <c r="H1158" s="329"/>
      <c r="I1158" s="328"/>
      <c r="J1158" s="383"/>
      <c r="K1158" s="329"/>
      <c r="L1158" s="329"/>
      <c r="M1158" s="76"/>
      <c r="N1158" s="103" t="str">
        <f>IF(A1158="","",VLOOKUP(A1158,Stand!C:K,9,0))</f>
        <v/>
      </c>
      <c r="O1158" s="104" t="str">
        <f t="shared" si="524"/>
        <v/>
      </c>
      <c r="P1158" s="105" t="str">
        <f t="shared" si="525"/>
        <v/>
      </c>
      <c r="Q1158" s="105" t="str">
        <f t="shared" si="513"/>
        <v/>
      </c>
      <c r="R1158" s="103" t="str">
        <f t="shared" si="526"/>
        <v/>
      </c>
      <c r="S1158" s="103" t="str">
        <f t="shared" si="527"/>
        <v/>
      </c>
      <c r="T1158" s="106" t="str">
        <f t="shared" si="514"/>
        <v/>
      </c>
      <c r="U1158" s="106" t="str">
        <f t="shared" si="515"/>
        <v/>
      </c>
      <c r="V1158" s="106" t="str">
        <f t="shared" si="516"/>
        <v/>
      </c>
      <c r="W1158" s="105" t="str">
        <f t="shared" si="528"/>
        <v/>
      </c>
      <c r="X1158" s="104" t="str">
        <f t="shared" si="533"/>
        <v/>
      </c>
      <c r="Y1158" s="104" t="str">
        <f t="array" ref="Y1158">IFERROR(IF(ISNUMBER(O1158),IF(COUNT(IF(A1158=$A$2:$A$2427,IF(D1158=$D$2:$D$2427,IF($X$2:$X$2427&gt;0,1))))&gt;0,SUM(IF(A1158=$A$2:$A$2427,IF(D1158=$D$2:$D$2427,$X$2:$X$2427)))/COUNT(IF(A1158=$A$2:$A$2427,IF(D1158=$D$2:$D$2427,IF(ISNUMBER($X$2:$X$2427),1)))),0),""),0)</f>
        <v/>
      </c>
      <c r="Z1158" s="104" t="str">
        <f>IF(ISNUMBER(O1158),IF(I1158&gt;0,(10^(VLOOKUP(D1158,'Species Codes'!B:C,2,0)+VLOOKUP(D1158,'Species Codes'!B:D,3,0)*LOG(E1158)+VLOOKUP(D1158,'Species Codes'!B:E,4,0)*LOG(I1158))),0),"")</f>
        <v/>
      </c>
      <c r="AA1158" s="104" t="str">
        <f>IFERROR((VLOOKUP(D1158,'Species Codes'!B:G,6,0)*Z1158)/2000,"")</f>
        <v/>
      </c>
      <c r="AB1158" s="104" t="e">
        <f>IF(Z1158&gt;0,((IF(OR(D1158="DF",D1158="RA")=TRUE,EXP(VLOOKUP(D1158,'Species Codes'!B:I,8,0)+VLOOKUP(D1158,'Species Codes'!B:J,9,0)*(LN((E1158*2.54)))),IF(OR(D1158="PY",D1158="RC",D1158="WH",D1158="NF")=TRUE,VLOOKUP(D1158,'Species Codes'!B:I,8,0)+VLOOKUP(D1158,'Species Codes'!B:J,9,0)*((E1158*2.54)^2)*(I1158*0.3048),IF(OR(D1158="MD",D1158="BM",D1158="GA")=TRUE,((VLOOKUP(D1158,'Species Codes'!B:I,8,0)*(((((E1158*2.54)+VLOOKUP(D1158,'Species Codes'!B:J,9,0))/VLOOKUP(D1158,'Species Codes'!B:K,10,0))^VLOOKUP(D1158,'Species Codes'!B:L,11,0))*((I1158*0.3048)^VLOOKUP(D1158,'Species Codes'!B:M,12,0))))-(VLOOKUP(D1158,'Species Codes'!B:I,8,0)*((((E1158*2.54)^VLOOKUP(D1158,'Species Codes'!B:L,11,0))*((I1158*0.3048)^VLOOKUP(D1158,'Species Codes'!B:M,12,0))))))*35.3*VLOOKUP(D1158,'Species Codes'!B:G,6,0)/2.2046,VLOOKUP(D1158,'Species Codes'!B:I,8,0)+VLOOKUP(D1158,'Species Codes'!B:J,9,0)*(((E1158*2.54)/100)^2)*(I1158*0.3048)))))*0.0011023),0)</f>
        <v>#N/A</v>
      </c>
      <c r="AC1158" s="104" t="e">
        <f>IF(Z1158&gt;0,((IF(OR(D1158="RA",D1158="OA",D1158="OT",D1158="UN",D1158="PC"),EXP(VLOOKUP(D1158,'Species Codes'!B:O,14,0)+VLOOKUP(D1158,'Species Codes'!B:P,15,0)*LN((E1158*2.54)))-EXP(VLOOKUP(D1158,'Species Codes'!B:O,14,0)+VLOOKUP(D1158,'Species Codes'!B:P,15,0)*LN((E1158*2.54)))*(1/(VLOOKUP(D1158,'Species Codes'!B:Q,16,0)+VLOOKUP(D1158,'Species Codes'!B:R,17,0)*((E1158*2.54)^VLOOKUP(D1158,'Species Codes'!B:S,18,0)))),IF(OR(D1158="BM",D1158="MD",D1158="OA"),EXP(VLOOKUP(D1158,'Species Codes'!B:O,14,0)+VLOOKUP(D1158,'Species Codes'!B:P,15,0)*LN((E1158*2.54)))*(1-(1/(VLOOKUP(D1158,'Species Codes'!B:Q,16,0)+VLOOKUP(D1158,'Species Codes'!B:R,17,0)*((E1158*2.54)^VLOOKUP(D1158,'Species Codes'!B:S,18,0)))))/1000,IF(D1158="DF",EXP(VLOOKUP(D1158,'Species Codes'!B:O,14,0)+VLOOKUP(D1158,'Species Codes'!B:P,15,0)*LN((E1158*2.54))),VLOOKUP(D1158,'Species Codes'!B:O,14,0)+VLOOKUP(D1158,'Species Codes'!B:P,15,0)*(((E1158*2.54)/100)^2)*(I1158*0.3048)))))*0.0011023),0)</f>
        <v>#N/A</v>
      </c>
      <c r="AD1158" s="104" t="e">
        <f t="shared" si="517"/>
        <v>#N/A</v>
      </c>
      <c r="AE1158" s="104" t="e">
        <f t="shared" si="518"/>
        <v>#N/A</v>
      </c>
      <c r="AF1158" s="104" t="e">
        <f>IF(AND(VLOOKUP($D1158,Merchantability!$B:$C,2,0)="Yes",$E1158&gt;=VLOOKUP($D1158,Merchantability!$B:$D,3,0),$E1158&lt;=VLOOKUP($D1158,Merchantability!$B:$E,4,0)),AA1158,0)</f>
        <v>#N/A</v>
      </c>
      <c r="AG1158" s="104" t="e">
        <f>IF(AND(VLOOKUP($D1158,Merchantability!$B:$C,2,0)="Yes",$E1158&gt;=VLOOKUP($D1158,Merchantability!$B:$D,3,0),$E1158&lt;=VLOOKUP($D1158,Merchantability!$B:$E,4,0)),AB1158,0)</f>
        <v>#N/A</v>
      </c>
      <c r="AH1158" s="104" t="e">
        <f>IF(AND(VLOOKUP($D1158,Merchantability!$B:$C,2,0)="Yes",$E1158&gt;=VLOOKUP($D1158,Merchantability!$B:$D,3,0),$E1158&lt;=VLOOKUP($D1158,Merchantability!$B:$E,4,0)),AC1158,0)</f>
        <v>#N/A</v>
      </c>
      <c r="AI1158" s="104" t="e">
        <f t="shared" si="519"/>
        <v>#N/A</v>
      </c>
      <c r="AJ1158" s="104" t="e">
        <f t="shared" si="520"/>
        <v>#VALUE!</v>
      </c>
      <c r="AK1158" s="104" t="e">
        <f t="shared" si="521"/>
        <v>#N/A</v>
      </c>
      <c r="AL1158" s="104" t="e">
        <f t="shared" si="522"/>
        <v>#N/A</v>
      </c>
      <c r="AM1158" s="104" t="e">
        <f t="shared" si="523"/>
        <v>#N/A</v>
      </c>
      <c r="AN1158" s="104" t="e">
        <f t="shared" si="534"/>
        <v>#N/A</v>
      </c>
      <c r="AO1158" s="104" t="e">
        <f t="shared" si="535"/>
        <v>#N/A</v>
      </c>
      <c r="AP1158" s="104" t="e">
        <f t="shared" si="536"/>
        <v>#N/A</v>
      </c>
      <c r="AQ1158" s="104" t="e">
        <f t="shared" si="537"/>
        <v>#N/A</v>
      </c>
      <c r="AR1158" s="105" t="str">
        <f t="shared" si="529"/>
        <v/>
      </c>
      <c r="AS1158" s="105" t="str">
        <f t="shared" si="530"/>
        <v/>
      </c>
      <c r="AT1158" s="108" t="str">
        <f t="shared" si="531"/>
        <v/>
      </c>
      <c r="AU1158" s="108" t="str">
        <f t="shared" si="532"/>
        <v/>
      </c>
      <c r="AV1158" s="107" t="str">
        <f>IF(ISNUMBER(O1158),IF(VLOOKUP($A1158,Stand!C:J,8,FALSE)="Short",AT1158,AU1158),"")</f>
        <v/>
      </c>
      <c r="AW1158" s="109" t="str">
        <f t="shared" si="538"/>
        <v/>
      </c>
      <c r="AX1158" s="109" t="str">
        <f t="shared" si="539"/>
        <v/>
      </c>
      <c r="AY1158" s="112" t="str">
        <f>IF(ISNUMBER(O1158),IF(AND(VLOOKUP($D1158,Merchantability!$B:$C,2,0)="Yes",$E1158&gt;=VLOOKUP($D1158,Merchantability!$B:$D,3,0),$E1158&lt;=VLOOKUP($D1158,Merchantability!$B:$E,4,0)),(AV1158*O1158)*(1-$H1158/100),""),"")</f>
        <v/>
      </c>
      <c r="AZ1158" s="116"/>
      <c r="BA1158" s="116"/>
      <c r="BB1158" s="116"/>
      <c r="BE1158" s="62"/>
      <c r="BF1158" s="63"/>
    </row>
    <row r="1159" spans="1:58" ht="12.75" customHeight="1" x14ac:dyDescent="0.25">
      <c r="A1159" s="313"/>
      <c r="B1159" s="328"/>
      <c r="C1159" s="329"/>
      <c r="D1159" s="328"/>
      <c r="E1159" s="330"/>
      <c r="F1159" s="328"/>
      <c r="G1159" s="329"/>
      <c r="H1159" s="329"/>
      <c r="I1159" s="328"/>
      <c r="J1159" s="383"/>
      <c r="K1159" s="329"/>
      <c r="L1159" s="329"/>
      <c r="M1159" s="76"/>
      <c r="N1159" s="103" t="str">
        <f>IF(A1159="","",VLOOKUP(A1159,Stand!C:K,9,0))</f>
        <v/>
      </c>
      <c r="O1159" s="104" t="str">
        <f t="shared" si="524"/>
        <v/>
      </c>
      <c r="P1159" s="105" t="str">
        <f t="shared" si="525"/>
        <v/>
      </c>
      <c r="Q1159" s="105" t="str">
        <f t="shared" si="513"/>
        <v/>
      </c>
      <c r="R1159" s="103" t="str">
        <f t="shared" si="526"/>
        <v/>
      </c>
      <c r="S1159" s="103" t="str">
        <f t="shared" si="527"/>
        <v/>
      </c>
      <c r="T1159" s="106" t="str">
        <f t="shared" si="514"/>
        <v/>
      </c>
      <c r="U1159" s="106" t="str">
        <f t="shared" si="515"/>
        <v/>
      </c>
      <c r="V1159" s="106" t="str">
        <f t="shared" si="516"/>
        <v/>
      </c>
      <c r="W1159" s="105" t="str">
        <f t="shared" si="528"/>
        <v/>
      </c>
      <c r="X1159" s="104" t="str">
        <f t="shared" si="533"/>
        <v/>
      </c>
      <c r="Y1159" s="104" t="str">
        <f t="array" ref="Y1159">IFERROR(IF(ISNUMBER(O1159),IF(COUNT(IF(A1159=$A$2:$A$2427,IF(D1159=$D$2:$D$2427,IF($X$2:$X$2427&gt;0,1))))&gt;0,SUM(IF(A1159=$A$2:$A$2427,IF(D1159=$D$2:$D$2427,$X$2:$X$2427)))/COUNT(IF(A1159=$A$2:$A$2427,IF(D1159=$D$2:$D$2427,IF(ISNUMBER($X$2:$X$2427),1)))),0),""),0)</f>
        <v/>
      </c>
      <c r="Z1159" s="104" t="str">
        <f>IF(ISNUMBER(O1159),IF(I1159&gt;0,(10^(VLOOKUP(D1159,'Species Codes'!B:C,2,0)+VLOOKUP(D1159,'Species Codes'!B:D,3,0)*LOG(E1159)+VLOOKUP(D1159,'Species Codes'!B:E,4,0)*LOG(I1159))),0),"")</f>
        <v/>
      </c>
      <c r="AA1159" s="104" t="str">
        <f>IFERROR((VLOOKUP(D1159,'Species Codes'!B:G,6,0)*Z1159)/2000,"")</f>
        <v/>
      </c>
      <c r="AB1159" s="104" t="e">
        <f>IF(Z1159&gt;0,((IF(OR(D1159="DF",D1159="RA")=TRUE,EXP(VLOOKUP(D1159,'Species Codes'!B:I,8,0)+VLOOKUP(D1159,'Species Codes'!B:J,9,0)*(LN((E1159*2.54)))),IF(OR(D1159="PY",D1159="RC",D1159="WH",D1159="NF")=TRUE,VLOOKUP(D1159,'Species Codes'!B:I,8,0)+VLOOKUP(D1159,'Species Codes'!B:J,9,0)*((E1159*2.54)^2)*(I1159*0.3048),IF(OR(D1159="MD",D1159="BM",D1159="GA")=TRUE,((VLOOKUP(D1159,'Species Codes'!B:I,8,0)*(((((E1159*2.54)+VLOOKUP(D1159,'Species Codes'!B:J,9,0))/VLOOKUP(D1159,'Species Codes'!B:K,10,0))^VLOOKUP(D1159,'Species Codes'!B:L,11,0))*((I1159*0.3048)^VLOOKUP(D1159,'Species Codes'!B:M,12,0))))-(VLOOKUP(D1159,'Species Codes'!B:I,8,0)*((((E1159*2.54)^VLOOKUP(D1159,'Species Codes'!B:L,11,0))*((I1159*0.3048)^VLOOKUP(D1159,'Species Codes'!B:M,12,0))))))*35.3*VLOOKUP(D1159,'Species Codes'!B:G,6,0)/2.2046,VLOOKUP(D1159,'Species Codes'!B:I,8,0)+VLOOKUP(D1159,'Species Codes'!B:J,9,0)*(((E1159*2.54)/100)^2)*(I1159*0.3048)))))*0.0011023),0)</f>
        <v>#N/A</v>
      </c>
      <c r="AC1159" s="104" t="e">
        <f>IF(Z1159&gt;0,((IF(OR(D1159="RA",D1159="OA",D1159="OT",D1159="UN",D1159="PC"),EXP(VLOOKUP(D1159,'Species Codes'!B:O,14,0)+VLOOKUP(D1159,'Species Codes'!B:P,15,0)*LN((E1159*2.54)))-EXP(VLOOKUP(D1159,'Species Codes'!B:O,14,0)+VLOOKUP(D1159,'Species Codes'!B:P,15,0)*LN((E1159*2.54)))*(1/(VLOOKUP(D1159,'Species Codes'!B:Q,16,0)+VLOOKUP(D1159,'Species Codes'!B:R,17,0)*((E1159*2.54)^VLOOKUP(D1159,'Species Codes'!B:S,18,0)))),IF(OR(D1159="BM",D1159="MD",D1159="OA"),EXP(VLOOKUP(D1159,'Species Codes'!B:O,14,0)+VLOOKUP(D1159,'Species Codes'!B:P,15,0)*LN((E1159*2.54)))*(1-(1/(VLOOKUP(D1159,'Species Codes'!B:Q,16,0)+VLOOKUP(D1159,'Species Codes'!B:R,17,0)*((E1159*2.54)^VLOOKUP(D1159,'Species Codes'!B:S,18,0)))))/1000,IF(D1159="DF",EXP(VLOOKUP(D1159,'Species Codes'!B:O,14,0)+VLOOKUP(D1159,'Species Codes'!B:P,15,0)*LN((E1159*2.54))),VLOOKUP(D1159,'Species Codes'!B:O,14,0)+VLOOKUP(D1159,'Species Codes'!B:P,15,0)*(((E1159*2.54)/100)^2)*(I1159*0.3048)))))*0.0011023),0)</f>
        <v>#N/A</v>
      </c>
      <c r="AD1159" s="104" t="e">
        <f t="shared" si="517"/>
        <v>#N/A</v>
      </c>
      <c r="AE1159" s="104" t="e">
        <f t="shared" si="518"/>
        <v>#N/A</v>
      </c>
      <c r="AF1159" s="104" t="e">
        <f>IF(AND(VLOOKUP($D1159,Merchantability!$B:$C,2,0)="Yes",$E1159&gt;=VLOOKUP($D1159,Merchantability!$B:$D,3,0),$E1159&lt;=VLOOKUP($D1159,Merchantability!$B:$E,4,0)),AA1159,0)</f>
        <v>#N/A</v>
      </c>
      <c r="AG1159" s="104" t="e">
        <f>IF(AND(VLOOKUP($D1159,Merchantability!$B:$C,2,0)="Yes",$E1159&gt;=VLOOKUP($D1159,Merchantability!$B:$D,3,0),$E1159&lt;=VLOOKUP($D1159,Merchantability!$B:$E,4,0)),AB1159,0)</f>
        <v>#N/A</v>
      </c>
      <c r="AH1159" s="104" t="e">
        <f>IF(AND(VLOOKUP($D1159,Merchantability!$B:$C,2,0)="Yes",$E1159&gt;=VLOOKUP($D1159,Merchantability!$B:$D,3,0),$E1159&lt;=VLOOKUP($D1159,Merchantability!$B:$E,4,0)),AC1159,0)</f>
        <v>#N/A</v>
      </c>
      <c r="AI1159" s="104" t="e">
        <f t="shared" si="519"/>
        <v>#N/A</v>
      </c>
      <c r="AJ1159" s="104" t="e">
        <f t="shared" si="520"/>
        <v>#VALUE!</v>
      </c>
      <c r="AK1159" s="104" t="e">
        <f t="shared" si="521"/>
        <v>#N/A</v>
      </c>
      <c r="AL1159" s="104" t="e">
        <f t="shared" si="522"/>
        <v>#N/A</v>
      </c>
      <c r="AM1159" s="104" t="e">
        <f t="shared" si="523"/>
        <v>#N/A</v>
      </c>
      <c r="AN1159" s="104" t="e">
        <f t="shared" si="534"/>
        <v>#N/A</v>
      </c>
      <c r="AO1159" s="104" t="e">
        <f t="shared" si="535"/>
        <v>#N/A</v>
      </c>
      <c r="AP1159" s="104" t="e">
        <f t="shared" si="536"/>
        <v>#N/A</v>
      </c>
      <c r="AQ1159" s="104" t="e">
        <f t="shared" si="537"/>
        <v>#N/A</v>
      </c>
      <c r="AR1159" s="105" t="str">
        <f t="shared" si="529"/>
        <v/>
      </c>
      <c r="AS1159" s="105" t="str">
        <f t="shared" si="530"/>
        <v/>
      </c>
      <c r="AT1159" s="108" t="str">
        <f t="shared" si="531"/>
        <v/>
      </c>
      <c r="AU1159" s="108" t="str">
        <f t="shared" si="532"/>
        <v/>
      </c>
      <c r="AV1159" s="107" t="str">
        <f>IF(ISNUMBER(O1159),IF(VLOOKUP($A1159,Stand!C:J,8,FALSE)="Short",AT1159,AU1159),"")</f>
        <v/>
      </c>
      <c r="AW1159" s="109" t="str">
        <f t="shared" si="538"/>
        <v/>
      </c>
      <c r="AX1159" s="109" t="str">
        <f t="shared" si="539"/>
        <v/>
      </c>
      <c r="AY1159" s="112" t="str">
        <f>IF(ISNUMBER(O1159),IF(AND(VLOOKUP($D1159,Merchantability!$B:$C,2,0)="Yes",$E1159&gt;=VLOOKUP($D1159,Merchantability!$B:$D,3,0),$E1159&lt;=VLOOKUP($D1159,Merchantability!$B:$E,4,0)),(AV1159*O1159)*(1-$H1159/100),""),"")</f>
        <v/>
      </c>
      <c r="AZ1159" s="116"/>
      <c r="BA1159" s="116"/>
      <c r="BB1159" s="116"/>
      <c r="BE1159" s="62"/>
      <c r="BF1159" s="63"/>
    </row>
    <row r="1160" spans="1:58" ht="12.75" customHeight="1" x14ac:dyDescent="0.25">
      <c r="A1160" s="313"/>
      <c r="B1160" s="328"/>
      <c r="C1160" s="329"/>
      <c r="D1160" s="328"/>
      <c r="E1160" s="330"/>
      <c r="F1160" s="328"/>
      <c r="G1160" s="329"/>
      <c r="H1160" s="329"/>
      <c r="I1160" s="328"/>
      <c r="J1160" s="383"/>
      <c r="K1160" s="329"/>
      <c r="L1160" s="329"/>
      <c r="M1160" s="76"/>
      <c r="N1160" s="103" t="str">
        <f>IF(A1160="","",VLOOKUP(A1160,Stand!C:K,9,0))</f>
        <v/>
      </c>
      <c r="O1160" s="104" t="str">
        <f t="shared" si="524"/>
        <v/>
      </c>
      <c r="P1160" s="105" t="str">
        <f t="shared" si="525"/>
        <v/>
      </c>
      <c r="Q1160" s="105" t="str">
        <f t="shared" si="513"/>
        <v/>
      </c>
      <c r="R1160" s="103" t="str">
        <f t="shared" si="526"/>
        <v/>
      </c>
      <c r="S1160" s="103" t="str">
        <f t="shared" si="527"/>
        <v/>
      </c>
      <c r="T1160" s="106" t="str">
        <f t="shared" si="514"/>
        <v/>
      </c>
      <c r="U1160" s="106" t="str">
        <f t="shared" si="515"/>
        <v/>
      </c>
      <c r="V1160" s="106" t="str">
        <f t="shared" si="516"/>
        <v/>
      </c>
      <c r="W1160" s="105" t="str">
        <f t="shared" si="528"/>
        <v/>
      </c>
      <c r="X1160" s="104" t="str">
        <f t="shared" si="533"/>
        <v/>
      </c>
      <c r="Y1160" s="104" t="str">
        <f t="array" ref="Y1160">IFERROR(IF(ISNUMBER(O1160),IF(COUNT(IF(A1160=$A$2:$A$2427,IF(D1160=$D$2:$D$2427,IF($X$2:$X$2427&gt;0,1))))&gt;0,SUM(IF(A1160=$A$2:$A$2427,IF(D1160=$D$2:$D$2427,$X$2:$X$2427)))/COUNT(IF(A1160=$A$2:$A$2427,IF(D1160=$D$2:$D$2427,IF(ISNUMBER($X$2:$X$2427),1)))),0),""),0)</f>
        <v/>
      </c>
      <c r="Z1160" s="104" t="str">
        <f>IF(ISNUMBER(O1160),IF(I1160&gt;0,(10^(VLOOKUP(D1160,'Species Codes'!B:C,2,0)+VLOOKUP(D1160,'Species Codes'!B:D,3,0)*LOG(E1160)+VLOOKUP(D1160,'Species Codes'!B:E,4,0)*LOG(I1160))),0),"")</f>
        <v/>
      </c>
      <c r="AA1160" s="104" t="str">
        <f>IFERROR((VLOOKUP(D1160,'Species Codes'!B:G,6,0)*Z1160)/2000,"")</f>
        <v/>
      </c>
      <c r="AB1160" s="104" t="e">
        <f>IF(Z1160&gt;0,((IF(OR(D1160="DF",D1160="RA")=TRUE,EXP(VLOOKUP(D1160,'Species Codes'!B:I,8,0)+VLOOKUP(D1160,'Species Codes'!B:J,9,0)*(LN((E1160*2.54)))),IF(OR(D1160="PY",D1160="RC",D1160="WH",D1160="NF")=TRUE,VLOOKUP(D1160,'Species Codes'!B:I,8,0)+VLOOKUP(D1160,'Species Codes'!B:J,9,0)*((E1160*2.54)^2)*(I1160*0.3048),IF(OR(D1160="MD",D1160="BM",D1160="GA")=TRUE,((VLOOKUP(D1160,'Species Codes'!B:I,8,0)*(((((E1160*2.54)+VLOOKUP(D1160,'Species Codes'!B:J,9,0))/VLOOKUP(D1160,'Species Codes'!B:K,10,0))^VLOOKUP(D1160,'Species Codes'!B:L,11,0))*((I1160*0.3048)^VLOOKUP(D1160,'Species Codes'!B:M,12,0))))-(VLOOKUP(D1160,'Species Codes'!B:I,8,0)*((((E1160*2.54)^VLOOKUP(D1160,'Species Codes'!B:L,11,0))*((I1160*0.3048)^VLOOKUP(D1160,'Species Codes'!B:M,12,0))))))*35.3*VLOOKUP(D1160,'Species Codes'!B:G,6,0)/2.2046,VLOOKUP(D1160,'Species Codes'!B:I,8,0)+VLOOKUP(D1160,'Species Codes'!B:J,9,0)*(((E1160*2.54)/100)^2)*(I1160*0.3048)))))*0.0011023),0)</f>
        <v>#N/A</v>
      </c>
      <c r="AC1160" s="104" t="e">
        <f>IF(Z1160&gt;0,((IF(OR(D1160="RA",D1160="OA",D1160="OT",D1160="UN",D1160="PC"),EXP(VLOOKUP(D1160,'Species Codes'!B:O,14,0)+VLOOKUP(D1160,'Species Codes'!B:P,15,0)*LN((E1160*2.54)))-EXP(VLOOKUP(D1160,'Species Codes'!B:O,14,0)+VLOOKUP(D1160,'Species Codes'!B:P,15,0)*LN((E1160*2.54)))*(1/(VLOOKUP(D1160,'Species Codes'!B:Q,16,0)+VLOOKUP(D1160,'Species Codes'!B:R,17,0)*((E1160*2.54)^VLOOKUP(D1160,'Species Codes'!B:S,18,0)))),IF(OR(D1160="BM",D1160="MD",D1160="OA"),EXP(VLOOKUP(D1160,'Species Codes'!B:O,14,0)+VLOOKUP(D1160,'Species Codes'!B:P,15,0)*LN((E1160*2.54)))*(1-(1/(VLOOKUP(D1160,'Species Codes'!B:Q,16,0)+VLOOKUP(D1160,'Species Codes'!B:R,17,0)*((E1160*2.54)^VLOOKUP(D1160,'Species Codes'!B:S,18,0)))))/1000,IF(D1160="DF",EXP(VLOOKUP(D1160,'Species Codes'!B:O,14,0)+VLOOKUP(D1160,'Species Codes'!B:P,15,0)*LN((E1160*2.54))),VLOOKUP(D1160,'Species Codes'!B:O,14,0)+VLOOKUP(D1160,'Species Codes'!B:P,15,0)*(((E1160*2.54)/100)^2)*(I1160*0.3048)))))*0.0011023),0)</f>
        <v>#N/A</v>
      </c>
      <c r="AD1160" s="104" t="e">
        <f t="shared" si="517"/>
        <v>#N/A</v>
      </c>
      <c r="AE1160" s="104" t="e">
        <f t="shared" si="518"/>
        <v>#N/A</v>
      </c>
      <c r="AF1160" s="104" t="e">
        <f>IF(AND(VLOOKUP($D1160,Merchantability!$B:$C,2,0)="Yes",$E1160&gt;=VLOOKUP($D1160,Merchantability!$B:$D,3,0),$E1160&lt;=VLOOKUP($D1160,Merchantability!$B:$E,4,0)),AA1160,0)</f>
        <v>#N/A</v>
      </c>
      <c r="AG1160" s="104" t="e">
        <f>IF(AND(VLOOKUP($D1160,Merchantability!$B:$C,2,0)="Yes",$E1160&gt;=VLOOKUP($D1160,Merchantability!$B:$D,3,0),$E1160&lt;=VLOOKUP($D1160,Merchantability!$B:$E,4,0)),AB1160,0)</f>
        <v>#N/A</v>
      </c>
      <c r="AH1160" s="104" t="e">
        <f>IF(AND(VLOOKUP($D1160,Merchantability!$B:$C,2,0)="Yes",$E1160&gt;=VLOOKUP($D1160,Merchantability!$B:$D,3,0),$E1160&lt;=VLOOKUP($D1160,Merchantability!$B:$E,4,0)),AC1160,0)</f>
        <v>#N/A</v>
      </c>
      <c r="AI1160" s="104" t="e">
        <f t="shared" si="519"/>
        <v>#N/A</v>
      </c>
      <c r="AJ1160" s="104" t="e">
        <f t="shared" si="520"/>
        <v>#VALUE!</v>
      </c>
      <c r="AK1160" s="104" t="e">
        <f t="shared" si="521"/>
        <v>#N/A</v>
      </c>
      <c r="AL1160" s="104" t="e">
        <f t="shared" si="522"/>
        <v>#N/A</v>
      </c>
      <c r="AM1160" s="104" t="e">
        <f t="shared" si="523"/>
        <v>#N/A</v>
      </c>
      <c r="AN1160" s="104" t="e">
        <f t="shared" si="534"/>
        <v>#N/A</v>
      </c>
      <c r="AO1160" s="104" t="e">
        <f t="shared" si="535"/>
        <v>#N/A</v>
      </c>
      <c r="AP1160" s="104" t="e">
        <f t="shared" si="536"/>
        <v>#N/A</v>
      </c>
      <c r="AQ1160" s="104" t="e">
        <f t="shared" si="537"/>
        <v>#N/A</v>
      </c>
      <c r="AR1160" s="105" t="str">
        <f t="shared" si="529"/>
        <v/>
      </c>
      <c r="AS1160" s="105" t="str">
        <f t="shared" si="530"/>
        <v/>
      </c>
      <c r="AT1160" s="108" t="str">
        <f t="shared" si="531"/>
        <v/>
      </c>
      <c r="AU1160" s="108" t="str">
        <f t="shared" si="532"/>
        <v/>
      </c>
      <c r="AV1160" s="107" t="str">
        <f>IF(ISNUMBER(O1160),IF(VLOOKUP($A1160,Stand!C:J,8,FALSE)="Short",AT1160,AU1160),"")</f>
        <v/>
      </c>
      <c r="AW1160" s="109" t="str">
        <f t="shared" si="538"/>
        <v/>
      </c>
      <c r="AX1160" s="109" t="str">
        <f t="shared" si="539"/>
        <v/>
      </c>
      <c r="AY1160" s="112" t="str">
        <f>IF(ISNUMBER(O1160),IF(AND(VLOOKUP($D1160,Merchantability!$B:$C,2,0)="Yes",$E1160&gt;=VLOOKUP($D1160,Merchantability!$B:$D,3,0),$E1160&lt;=VLOOKUP($D1160,Merchantability!$B:$E,4,0)),(AV1160*O1160)*(1-$H1160/100),""),"")</f>
        <v/>
      </c>
      <c r="AZ1160" s="116"/>
      <c r="BA1160" s="116"/>
      <c r="BB1160" s="116"/>
      <c r="BE1160" s="62"/>
      <c r="BF1160" s="63"/>
    </row>
    <row r="1161" spans="1:58" ht="12.75" customHeight="1" x14ac:dyDescent="0.25">
      <c r="A1161" s="313"/>
      <c r="B1161" s="328"/>
      <c r="C1161" s="329"/>
      <c r="D1161" s="328"/>
      <c r="E1161" s="330"/>
      <c r="F1161" s="328"/>
      <c r="G1161" s="329"/>
      <c r="H1161" s="329"/>
      <c r="I1161" s="328"/>
      <c r="J1161" s="383"/>
      <c r="K1161" s="329"/>
      <c r="L1161" s="329"/>
      <c r="M1161" s="76"/>
      <c r="N1161" s="103" t="str">
        <f>IF(A1161="","",VLOOKUP(A1161,Stand!C:K,9,0))</f>
        <v/>
      </c>
      <c r="O1161" s="104" t="str">
        <f t="shared" si="524"/>
        <v/>
      </c>
      <c r="P1161" s="105" t="str">
        <f t="shared" si="525"/>
        <v/>
      </c>
      <c r="Q1161" s="105" t="str">
        <f t="shared" si="513"/>
        <v/>
      </c>
      <c r="R1161" s="103" t="str">
        <f t="shared" si="526"/>
        <v/>
      </c>
      <c r="S1161" s="103" t="str">
        <f t="shared" si="527"/>
        <v/>
      </c>
      <c r="T1161" s="106" t="str">
        <f t="shared" si="514"/>
        <v/>
      </c>
      <c r="U1161" s="106" t="str">
        <f t="shared" si="515"/>
        <v/>
      </c>
      <c r="V1161" s="106" t="str">
        <f t="shared" si="516"/>
        <v/>
      </c>
      <c r="W1161" s="105" t="str">
        <f t="shared" si="528"/>
        <v/>
      </c>
      <c r="X1161" s="104" t="str">
        <f t="shared" si="533"/>
        <v/>
      </c>
      <c r="Y1161" s="104" t="str">
        <f t="array" ref="Y1161">IFERROR(IF(ISNUMBER(O1161),IF(COUNT(IF(A1161=$A$2:$A$2427,IF(D1161=$D$2:$D$2427,IF($X$2:$X$2427&gt;0,1))))&gt;0,SUM(IF(A1161=$A$2:$A$2427,IF(D1161=$D$2:$D$2427,$X$2:$X$2427)))/COUNT(IF(A1161=$A$2:$A$2427,IF(D1161=$D$2:$D$2427,IF(ISNUMBER($X$2:$X$2427),1)))),0),""),0)</f>
        <v/>
      </c>
      <c r="Z1161" s="104" t="str">
        <f>IF(ISNUMBER(O1161),IF(I1161&gt;0,(10^(VLOOKUP(D1161,'Species Codes'!B:C,2,0)+VLOOKUP(D1161,'Species Codes'!B:D,3,0)*LOG(E1161)+VLOOKUP(D1161,'Species Codes'!B:E,4,0)*LOG(I1161))),0),"")</f>
        <v/>
      </c>
      <c r="AA1161" s="104" t="str">
        <f>IFERROR((VLOOKUP(D1161,'Species Codes'!B:G,6,0)*Z1161)/2000,"")</f>
        <v/>
      </c>
      <c r="AB1161" s="104" t="e">
        <f>IF(Z1161&gt;0,((IF(OR(D1161="DF",D1161="RA")=TRUE,EXP(VLOOKUP(D1161,'Species Codes'!B:I,8,0)+VLOOKUP(D1161,'Species Codes'!B:J,9,0)*(LN((E1161*2.54)))),IF(OR(D1161="PY",D1161="RC",D1161="WH",D1161="NF")=TRUE,VLOOKUP(D1161,'Species Codes'!B:I,8,0)+VLOOKUP(D1161,'Species Codes'!B:J,9,0)*((E1161*2.54)^2)*(I1161*0.3048),IF(OR(D1161="MD",D1161="BM",D1161="GA")=TRUE,((VLOOKUP(D1161,'Species Codes'!B:I,8,0)*(((((E1161*2.54)+VLOOKUP(D1161,'Species Codes'!B:J,9,0))/VLOOKUP(D1161,'Species Codes'!B:K,10,0))^VLOOKUP(D1161,'Species Codes'!B:L,11,0))*((I1161*0.3048)^VLOOKUP(D1161,'Species Codes'!B:M,12,0))))-(VLOOKUP(D1161,'Species Codes'!B:I,8,0)*((((E1161*2.54)^VLOOKUP(D1161,'Species Codes'!B:L,11,0))*((I1161*0.3048)^VLOOKUP(D1161,'Species Codes'!B:M,12,0))))))*35.3*VLOOKUP(D1161,'Species Codes'!B:G,6,0)/2.2046,VLOOKUP(D1161,'Species Codes'!B:I,8,0)+VLOOKUP(D1161,'Species Codes'!B:J,9,0)*(((E1161*2.54)/100)^2)*(I1161*0.3048)))))*0.0011023),0)</f>
        <v>#N/A</v>
      </c>
      <c r="AC1161" s="104" t="e">
        <f>IF(Z1161&gt;0,((IF(OR(D1161="RA",D1161="OA",D1161="OT",D1161="UN",D1161="PC"),EXP(VLOOKUP(D1161,'Species Codes'!B:O,14,0)+VLOOKUP(D1161,'Species Codes'!B:P,15,0)*LN((E1161*2.54)))-EXP(VLOOKUP(D1161,'Species Codes'!B:O,14,0)+VLOOKUP(D1161,'Species Codes'!B:P,15,0)*LN((E1161*2.54)))*(1/(VLOOKUP(D1161,'Species Codes'!B:Q,16,0)+VLOOKUP(D1161,'Species Codes'!B:R,17,0)*((E1161*2.54)^VLOOKUP(D1161,'Species Codes'!B:S,18,0)))),IF(OR(D1161="BM",D1161="MD",D1161="OA"),EXP(VLOOKUP(D1161,'Species Codes'!B:O,14,0)+VLOOKUP(D1161,'Species Codes'!B:P,15,0)*LN((E1161*2.54)))*(1-(1/(VLOOKUP(D1161,'Species Codes'!B:Q,16,0)+VLOOKUP(D1161,'Species Codes'!B:R,17,0)*((E1161*2.54)^VLOOKUP(D1161,'Species Codes'!B:S,18,0)))))/1000,IF(D1161="DF",EXP(VLOOKUP(D1161,'Species Codes'!B:O,14,0)+VLOOKUP(D1161,'Species Codes'!B:P,15,0)*LN((E1161*2.54))),VLOOKUP(D1161,'Species Codes'!B:O,14,0)+VLOOKUP(D1161,'Species Codes'!B:P,15,0)*(((E1161*2.54)/100)^2)*(I1161*0.3048)))))*0.0011023),0)</f>
        <v>#N/A</v>
      </c>
      <c r="AD1161" s="104" t="e">
        <f t="shared" si="517"/>
        <v>#N/A</v>
      </c>
      <c r="AE1161" s="104" t="e">
        <f t="shared" si="518"/>
        <v>#N/A</v>
      </c>
      <c r="AF1161" s="104" t="e">
        <f>IF(AND(VLOOKUP($D1161,Merchantability!$B:$C,2,0)="Yes",$E1161&gt;=VLOOKUP($D1161,Merchantability!$B:$D,3,0),$E1161&lt;=VLOOKUP($D1161,Merchantability!$B:$E,4,0)),AA1161,0)</f>
        <v>#N/A</v>
      </c>
      <c r="AG1161" s="104" t="e">
        <f>IF(AND(VLOOKUP($D1161,Merchantability!$B:$C,2,0)="Yes",$E1161&gt;=VLOOKUP($D1161,Merchantability!$B:$D,3,0),$E1161&lt;=VLOOKUP($D1161,Merchantability!$B:$E,4,0)),AB1161,0)</f>
        <v>#N/A</v>
      </c>
      <c r="AH1161" s="104" t="e">
        <f>IF(AND(VLOOKUP($D1161,Merchantability!$B:$C,2,0)="Yes",$E1161&gt;=VLOOKUP($D1161,Merchantability!$B:$D,3,0),$E1161&lt;=VLOOKUP($D1161,Merchantability!$B:$E,4,0)),AC1161,0)</f>
        <v>#N/A</v>
      </c>
      <c r="AI1161" s="104" t="e">
        <f t="shared" si="519"/>
        <v>#N/A</v>
      </c>
      <c r="AJ1161" s="104" t="e">
        <f t="shared" si="520"/>
        <v>#VALUE!</v>
      </c>
      <c r="AK1161" s="104" t="e">
        <f t="shared" si="521"/>
        <v>#N/A</v>
      </c>
      <c r="AL1161" s="104" t="e">
        <f t="shared" si="522"/>
        <v>#N/A</v>
      </c>
      <c r="AM1161" s="104" t="e">
        <f t="shared" si="523"/>
        <v>#N/A</v>
      </c>
      <c r="AN1161" s="104" t="e">
        <f t="shared" si="534"/>
        <v>#N/A</v>
      </c>
      <c r="AO1161" s="104" t="e">
        <f t="shared" si="535"/>
        <v>#N/A</v>
      </c>
      <c r="AP1161" s="104" t="e">
        <f t="shared" si="536"/>
        <v>#N/A</v>
      </c>
      <c r="AQ1161" s="104" t="e">
        <f t="shared" si="537"/>
        <v>#N/A</v>
      </c>
      <c r="AR1161" s="105" t="str">
        <f t="shared" si="529"/>
        <v/>
      </c>
      <c r="AS1161" s="105" t="str">
        <f t="shared" si="530"/>
        <v/>
      </c>
      <c r="AT1161" s="108" t="str">
        <f t="shared" si="531"/>
        <v/>
      </c>
      <c r="AU1161" s="108" t="str">
        <f t="shared" si="532"/>
        <v/>
      </c>
      <c r="AV1161" s="107" t="str">
        <f>IF(ISNUMBER(O1161),IF(VLOOKUP($A1161,Stand!C:J,8,FALSE)="Short",AT1161,AU1161),"")</f>
        <v/>
      </c>
      <c r="AW1161" s="109" t="str">
        <f t="shared" si="538"/>
        <v/>
      </c>
      <c r="AX1161" s="109" t="str">
        <f t="shared" si="539"/>
        <v/>
      </c>
      <c r="AY1161" s="112" t="str">
        <f>IF(ISNUMBER(O1161),IF(AND(VLOOKUP($D1161,Merchantability!$B:$C,2,0)="Yes",$E1161&gt;=VLOOKUP($D1161,Merchantability!$B:$D,3,0),$E1161&lt;=VLOOKUP($D1161,Merchantability!$B:$E,4,0)),(AV1161*O1161)*(1-$H1161/100),""),"")</f>
        <v/>
      </c>
      <c r="AZ1161" s="116"/>
      <c r="BA1161" s="116"/>
      <c r="BB1161" s="116"/>
      <c r="BE1161" s="62"/>
      <c r="BF1161" s="63"/>
    </row>
    <row r="1162" spans="1:58" ht="12.75" customHeight="1" x14ac:dyDescent="0.25">
      <c r="A1162" s="313"/>
      <c r="B1162" s="328"/>
      <c r="C1162" s="329"/>
      <c r="D1162" s="328"/>
      <c r="E1162" s="330"/>
      <c r="F1162" s="328"/>
      <c r="G1162" s="329"/>
      <c r="H1162" s="329"/>
      <c r="I1162" s="328"/>
      <c r="J1162" s="383"/>
      <c r="K1162" s="329"/>
      <c r="L1162" s="329"/>
      <c r="M1162" s="76"/>
      <c r="N1162" s="103" t="str">
        <f>IF(A1162="","",VLOOKUP(A1162,Stand!C:K,9,0))</f>
        <v/>
      </c>
      <c r="O1162" s="104" t="str">
        <f t="shared" si="524"/>
        <v/>
      </c>
      <c r="P1162" s="105" t="str">
        <f t="shared" si="525"/>
        <v/>
      </c>
      <c r="Q1162" s="105" t="str">
        <f t="shared" si="513"/>
        <v/>
      </c>
      <c r="R1162" s="103" t="str">
        <f t="shared" si="526"/>
        <v/>
      </c>
      <c r="S1162" s="103" t="str">
        <f t="shared" si="527"/>
        <v/>
      </c>
      <c r="T1162" s="106" t="str">
        <f t="shared" si="514"/>
        <v/>
      </c>
      <c r="U1162" s="106" t="str">
        <f t="shared" si="515"/>
        <v/>
      </c>
      <c r="V1162" s="106" t="str">
        <f t="shared" si="516"/>
        <v/>
      </c>
      <c r="W1162" s="105" t="str">
        <f t="shared" si="528"/>
        <v/>
      </c>
      <c r="X1162" s="104" t="str">
        <f t="shared" si="533"/>
        <v/>
      </c>
      <c r="Y1162" s="104" t="str">
        <f t="array" ref="Y1162">IFERROR(IF(ISNUMBER(O1162),IF(COUNT(IF(A1162=$A$2:$A$2427,IF(D1162=$D$2:$D$2427,IF($X$2:$X$2427&gt;0,1))))&gt;0,SUM(IF(A1162=$A$2:$A$2427,IF(D1162=$D$2:$D$2427,$X$2:$X$2427)))/COUNT(IF(A1162=$A$2:$A$2427,IF(D1162=$D$2:$D$2427,IF(ISNUMBER($X$2:$X$2427),1)))),0),""),0)</f>
        <v/>
      </c>
      <c r="Z1162" s="104" t="str">
        <f>IF(ISNUMBER(O1162),IF(I1162&gt;0,(10^(VLOOKUP(D1162,'Species Codes'!B:C,2,0)+VLOOKUP(D1162,'Species Codes'!B:D,3,0)*LOG(E1162)+VLOOKUP(D1162,'Species Codes'!B:E,4,0)*LOG(I1162))),0),"")</f>
        <v/>
      </c>
      <c r="AA1162" s="104" t="str">
        <f>IFERROR((VLOOKUP(D1162,'Species Codes'!B:G,6,0)*Z1162)/2000,"")</f>
        <v/>
      </c>
      <c r="AB1162" s="104" t="e">
        <f>IF(Z1162&gt;0,((IF(OR(D1162="DF",D1162="RA")=TRUE,EXP(VLOOKUP(D1162,'Species Codes'!B:I,8,0)+VLOOKUP(D1162,'Species Codes'!B:J,9,0)*(LN((E1162*2.54)))),IF(OR(D1162="PY",D1162="RC",D1162="WH",D1162="NF")=TRUE,VLOOKUP(D1162,'Species Codes'!B:I,8,0)+VLOOKUP(D1162,'Species Codes'!B:J,9,0)*((E1162*2.54)^2)*(I1162*0.3048),IF(OR(D1162="MD",D1162="BM",D1162="GA")=TRUE,((VLOOKUP(D1162,'Species Codes'!B:I,8,0)*(((((E1162*2.54)+VLOOKUP(D1162,'Species Codes'!B:J,9,0))/VLOOKUP(D1162,'Species Codes'!B:K,10,0))^VLOOKUP(D1162,'Species Codes'!B:L,11,0))*((I1162*0.3048)^VLOOKUP(D1162,'Species Codes'!B:M,12,0))))-(VLOOKUP(D1162,'Species Codes'!B:I,8,0)*((((E1162*2.54)^VLOOKUP(D1162,'Species Codes'!B:L,11,0))*((I1162*0.3048)^VLOOKUP(D1162,'Species Codes'!B:M,12,0))))))*35.3*VLOOKUP(D1162,'Species Codes'!B:G,6,0)/2.2046,VLOOKUP(D1162,'Species Codes'!B:I,8,0)+VLOOKUP(D1162,'Species Codes'!B:J,9,0)*(((E1162*2.54)/100)^2)*(I1162*0.3048)))))*0.0011023),0)</f>
        <v>#N/A</v>
      </c>
      <c r="AC1162" s="104" t="e">
        <f>IF(Z1162&gt;0,((IF(OR(D1162="RA",D1162="OA",D1162="OT",D1162="UN",D1162="PC"),EXP(VLOOKUP(D1162,'Species Codes'!B:O,14,0)+VLOOKUP(D1162,'Species Codes'!B:P,15,0)*LN((E1162*2.54)))-EXP(VLOOKUP(D1162,'Species Codes'!B:O,14,0)+VLOOKUP(D1162,'Species Codes'!B:P,15,0)*LN((E1162*2.54)))*(1/(VLOOKUP(D1162,'Species Codes'!B:Q,16,0)+VLOOKUP(D1162,'Species Codes'!B:R,17,0)*((E1162*2.54)^VLOOKUP(D1162,'Species Codes'!B:S,18,0)))),IF(OR(D1162="BM",D1162="MD",D1162="OA"),EXP(VLOOKUP(D1162,'Species Codes'!B:O,14,0)+VLOOKUP(D1162,'Species Codes'!B:P,15,0)*LN((E1162*2.54)))*(1-(1/(VLOOKUP(D1162,'Species Codes'!B:Q,16,0)+VLOOKUP(D1162,'Species Codes'!B:R,17,0)*((E1162*2.54)^VLOOKUP(D1162,'Species Codes'!B:S,18,0)))))/1000,IF(D1162="DF",EXP(VLOOKUP(D1162,'Species Codes'!B:O,14,0)+VLOOKUP(D1162,'Species Codes'!B:P,15,0)*LN((E1162*2.54))),VLOOKUP(D1162,'Species Codes'!B:O,14,0)+VLOOKUP(D1162,'Species Codes'!B:P,15,0)*(((E1162*2.54)/100)^2)*(I1162*0.3048)))))*0.0011023),0)</f>
        <v>#N/A</v>
      </c>
      <c r="AD1162" s="104" t="e">
        <f t="shared" si="517"/>
        <v>#N/A</v>
      </c>
      <c r="AE1162" s="104" t="e">
        <f t="shared" si="518"/>
        <v>#N/A</v>
      </c>
      <c r="AF1162" s="104" t="e">
        <f>IF(AND(VLOOKUP($D1162,Merchantability!$B:$C,2,0)="Yes",$E1162&gt;=VLOOKUP($D1162,Merchantability!$B:$D,3,0),$E1162&lt;=VLOOKUP($D1162,Merchantability!$B:$E,4,0)),AA1162,0)</f>
        <v>#N/A</v>
      </c>
      <c r="AG1162" s="104" t="e">
        <f>IF(AND(VLOOKUP($D1162,Merchantability!$B:$C,2,0)="Yes",$E1162&gt;=VLOOKUP($D1162,Merchantability!$B:$D,3,0),$E1162&lt;=VLOOKUP($D1162,Merchantability!$B:$E,4,0)),AB1162,0)</f>
        <v>#N/A</v>
      </c>
      <c r="AH1162" s="104" t="e">
        <f>IF(AND(VLOOKUP($D1162,Merchantability!$B:$C,2,0)="Yes",$E1162&gt;=VLOOKUP($D1162,Merchantability!$B:$D,3,0),$E1162&lt;=VLOOKUP($D1162,Merchantability!$B:$E,4,0)),AC1162,0)</f>
        <v>#N/A</v>
      </c>
      <c r="AI1162" s="104" t="e">
        <f t="shared" si="519"/>
        <v>#N/A</v>
      </c>
      <c r="AJ1162" s="104" t="e">
        <f t="shared" si="520"/>
        <v>#VALUE!</v>
      </c>
      <c r="AK1162" s="104" t="e">
        <f t="shared" si="521"/>
        <v>#N/A</v>
      </c>
      <c r="AL1162" s="104" t="e">
        <f t="shared" si="522"/>
        <v>#N/A</v>
      </c>
      <c r="AM1162" s="104" t="e">
        <f t="shared" si="523"/>
        <v>#N/A</v>
      </c>
      <c r="AN1162" s="104" t="e">
        <f t="shared" si="534"/>
        <v>#N/A</v>
      </c>
      <c r="AO1162" s="104" t="e">
        <f t="shared" si="535"/>
        <v>#N/A</v>
      </c>
      <c r="AP1162" s="104" t="e">
        <f t="shared" si="536"/>
        <v>#N/A</v>
      </c>
      <c r="AQ1162" s="104" t="e">
        <f t="shared" si="537"/>
        <v>#N/A</v>
      </c>
      <c r="AR1162" s="105" t="str">
        <f t="shared" si="529"/>
        <v/>
      </c>
      <c r="AS1162" s="105" t="str">
        <f t="shared" si="530"/>
        <v/>
      </c>
      <c r="AT1162" s="108" t="str">
        <f t="shared" si="531"/>
        <v/>
      </c>
      <c r="AU1162" s="108" t="str">
        <f t="shared" si="532"/>
        <v/>
      </c>
      <c r="AV1162" s="107" t="str">
        <f>IF(ISNUMBER(O1162),IF(VLOOKUP($A1162,Stand!C:J,8,FALSE)="Short",AT1162,AU1162),"")</f>
        <v/>
      </c>
      <c r="AW1162" s="109" t="str">
        <f t="shared" si="538"/>
        <v/>
      </c>
      <c r="AX1162" s="109" t="str">
        <f t="shared" si="539"/>
        <v/>
      </c>
      <c r="AY1162" s="112" t="str">
        <f>IF(ISNUMBER(O1162),IF(AND(VLOOKUP($D1162,Merchantability!$B:$C,2,0)="Yes",$E1162&gt;=VLOOKUP($D1162,Merchantability!$B:$D,3,0),$E1162&lt;=VLOOKUP($D1162,Merchantability!$B:$E,4,0)),(AV1162*O1162)*(1-$H1162/100),""),"")</f>
        <v/>
      </c>
      <c r="AZ1162" s="116"/>
      <c r="BA1162" s="116"/>
      <c r="BB1162" s="116"/>
      <c r="BE1162" s="62"/>
      <c r="BF1162" s="63"/>
    </row>
    <row r="1163" spans="1:58" ht="12.75" customHeight="1" x14ac:dyDescent="0.25">
      <c r="A1163" s="313"/>
      <c r="B1163" s="328"/>
      <c r="C1163" s="329"/>
      <c r="D1163" s="328"/>
      <c r="E1163" s="330"/>
      <c r="F1163" s="328"/>
      <c r="G1163" s="329"/>
      <c r="H1163" s="329"/>
      <c r="I1163" s="328"/>
      <c r="J1163" s="383"/>
      <c r="K1163" s="329"/>
      <c r="L1163" s="329"/>
      <c r="M1163" s="76"/>
      <c r="N1163" s="103" t="str">
        <f>IF(A1163="","",VLOOKUP(A1163,Stand!C:K,9,0))</f>
        <v/>
      </c>
      <c r="O1163" s="104" t="str">
        <f t="shared" si="524"/>
        <v/>
      </c>
      <c r="P1163" s="105" t="str">
        <f t="shared" si="525"/>
        <v/>
      </c>
      <c r="Q1163" s="105" t="str">
        <f t="shared" si="513"/>
        <v/>
      </c>
      <c r="R1163" s="103" t="str">
        <f t="shared" si="526"/>
        <v/>
      </c>
      <c r="S1163" s="103" t="str">
        <f t="shared" si="527"/>
        <v/>
      </c>
      <c r="T1163" s="106" t="str">
        <f t="shared" si="514"/>
        <v/>
      </c>
      <c r="U1163" s="106" t="str">
        <f t="shared" si="515"/>
        <v/>
      </c>
      <c r="V1163" s="106" t="str">
        <f t="shared" si="516"/>
        <v/>
      </c>
      <c r="W1163" s="105" t="str">
        <f t="shared" si="528"/>
        <v/>
      </c>
      <c r="X1163" s="104" t="str">
        <f t="shared" si="533"/>
        <v/>
      </c>
      <c r="Y1163" s="104" t="str">
        <f t="array" ref="Y1163">IFERROR(IF(ISNUMBER(O1163),IF(COUNT(IF(A1163=$A$2:$A$2427,IF(D1163=$D$2:$D$2427,IF($X$2:$X$2427&gt;0,1))))&gt;0,SUM(IF(A1163=$A$2:$A$2427,IF(D1163=$D$2:$D$2427,$X$2:$X$2427)))/COUNT(IF(A1163=$A$2:$A$2427,IF(D1163=$D$2:$D$2427,IF(ISNUMBER($X$2:$X$2427),1)))),0),""),0)</f>
        <v/>
      </c>
      <c r="Z1163" s="104" t="str">
        <f>IF(ISNUMBER(O1163),IF(I1163&gt;0,(10^(VLOOKUP(D1163,'Species Codes'!B:C,2,0)+VLOOKUP(D1163,'Species Codes'!B:D,3,0)*LOG(E1163)+VLOOKUP(D1163,'Species Codes'!B:E,4,0)*LOG(I1163))),0),"")</f>
        <v/>
      </c>
      <c r="AA1163" s="104" t="str">
        <f>IFERROR((VLOOKUP(D1163,'Species Codes'!B:G,6,0)*Z1163)/2000,"")</f>
        <v/>
      </c>
      <c r="AB1163" s="104" t="e">
        <f>IF(Z1163&gt;0,((IF(OR(D1163="DF",D1163="RA")=TRUE,EXP(VLOOKUP(D1163,'Species Codes'!B:I,8,0)+VLOOKUP(D1163,'Species Codes'!B:J,9,0)*(LN((E1163*2.54)))),IF(OR(D1163="PY",D1163="RC",D1163="WH",D1163="NF")=TRUE,VLOOKUP(D1163,'Species Codes'!B:I,8,0)+VLOOKUP(D1163,'Species Codes'!B:J,9,0)*((E1163*2.54)^2)*(I1163*0.3048),IF(OR(D1163="MD",D1163="BM",D1163="GA")=TRUE,((VLOOKUP(D1163,'Species Codes'!B:I,8,0)*(((((E1163*2.54)+VLOOKUP(D1163,'Species Codes'!B:J,9,0))/VLOOKUP(D1163,'Species Codes'!B:K,10,0))^VLOOKUP(D1163,'Species Codes'!B:L,11,0))*((I1163*0.3048)^VLOOKUP(D1163,'Species Codes'!B:M,12,0))))-(VLOOKUP(D1163,'Species Codes'!B:I,8,0)*((((E1163*2.54)^VLOOKUP(D1163,'Species Codes'!B:L,11,0))*((I1163*0.3048)^VLOOKUP(D1163,'Species Codes'!B:M,12,0))))))*35.3*VLOOKUP(D1163,'Species Codes'!B:G,6,0)/2.2046,VLOOKUP(D1163,'Species Codes'!B:I,8,0)+VLOOKUP(D1163,'Species Codes'!B:J,9,0)*(((E1163*2.54)/100)^2)*(I1163*0.3048)))))*0.0011023),0)</f>
        <v>#N/A</v>
      </c>
      <c r="AC1163" s="104" t="e">
        <f>IF(Z1163&gt;0,((IF(OR(D1163="RA",D1163="OA",D1163="OT",D1163="UN",D1163="PC"),EXP(VLOOKUP(D1163,'Species Codes'!B:O,14,0)+VLOOKUP(D1163,'Species Codes'!B:P,15,0)*LN((E1163*2.54)))-EXP(VLOOKUP(D1163,'Species Codes'!B:O,14,0)+VLOOKUP(D1163,'Species Codes'!B:P,15,0)*LN((E1163*2.54)))*(1/(VLOOKUP(D1163,'Species Codes'!B:Q,16,0)+VLOOKUP(D1163,'Species Codes'!B:R,17,0)*((E1163*2.54)^VLOOKUP(D1163,'Species Codes'!B:S,18,0)))),IF(OR(D1163="BM",D1163="MD",D1163="OA"),EXP(VLOOKUP(D1163,'Species Codes'!B:O,14,0)+VLOOKUP(D1163,'Species Codes'!B:P,15,0)*LN((E1163*2.54)))*(1-(1/(VLOOKUP(D1163,'Species Codes'!B:Q,16,0)+VLOOKUP(D1163,'Species Codes'!B:R,17,0)*((E1163*2.54)^VLOOKUP(D1163,'Species Codes'!B:S,18,0)))))/1000,IF(D1163="DF",EXP(VLOOKUP(D1163,'Species Codes'!B:O,14,0)+VLOOKUP(D1163,'Species Codes'!B:P,15,0)*LN((E1163*2.54))),VLOOKUP(D1163,'Species Codes'!B:O,14,0)+VLOOKUP(D1163,'Species Codes'!B:P,15,0)*(((E1163*2.54)/100)^2)*(I1163*0.3048)))))*0.0011023),0)</f>
        <v>#N/A</v>
      </c>
      <c r="AD1163" s="104" t="e">
        <f t="shared" si="517"/>
        <v>#N/A</v>
      </c>
      <c r="AE1163" s="104" t="e">
        <f t="shared" si="518"/>
        <v>#N/A</v>
      </c>
      <c r="AF1163" s="104" t="e">
        <f>IF(AND(VLOOKUP($D1163,Merchantability!$B:$C,2,0)="Yes",$E1163&gt;=VLOOKUP($D1163,Merchantability!$B:$D,3,0),$E1163&lt;=VLOOKUP($D1163,Merchantability!$B:$E,4,0)),AA1163,0)</f>
        <v>#N/A</v>
      </c>
      <c r="AG1163" s="104" t="e">
        <f>IF(AND(VLOOKUP($D1163,Merchantability!$B:$C,2,0)="Yes",$E1163&gt;=VLOOKUP($D1163,Merchantability!$B:$D,3,0),$E1163&lt;=VLOOKUP($D1163,Merchantability!$B:$E,4,0)),AB1163,0)</f>
        <v>#N/A</v>
      </c>
      <c r="AH1163" s="104" t="e">
        <f>IF(AND(VLOOKUP($D1163,Merchantability!$B:$C,2,0)="Yes",$E1163&gt;=VLOOKUP($D1163,Merchantability!$B:$D,3,0),$E1163&lt;=VLOOKUP($D1163,Merchantability!$B:$E,4,0)),AC1163,0)</f>
        <v>#N/A</v>
      </c>
      <c r="AI1163" s="104" t="e">
        <f t="shared" si="519"/>
        <v>#N/A</v>
      </c>
      <c r="AJ1163" s="104" t="e">
        <f t="shared" si="520"/>
        <v>#VALUE!</v>
      </c>
      <c r="AK1163" s="104" t="e">
        <f t="shared" si="521"/>
        <v>#N/A</v>
      </c>
      <c r="AL1163" s="104" t="e">
        <f t="shared" si="522"/>
        <v>#N/A</v>
      </c>
      <c r="AM1163" s="104" t="e">
        <f t="shared" si="523"/>
        <v>#N/A</v>
      </c>
      <c r="AN1163" s="104" t="e">
        <f t="shared" si="534"/>
        <v>#N/A</v>
      </c>
      <c r="AO1163" s="104" t="e">
        <f t="shared" si="535"/>
        <v>#N/A</v>
      </c>
      <c r="AP1163" s="104" t="e">
        <f t="shared" si="536"/>
        <v>#N/A</v>
      </c>
      <c r="AQ1163" s="104" t="e">
        <f t="shared" si="537"/>
        <v>#N/A</v>
      </c>
      <c r="AR1163" s="105" t="str">
        <f t="shared" si="529"/>
        <v/>
      </c>
      <c r="AS1163" s="105" t="str">
        <f t="shared" si="530"/>
        <v/>
      </c>
      <c r="AT1163" s="108" t="str">
        <f t="shared" si="531"/>
        <v/>
      </c>
      <c r="AU1163" s="108" t="str">
        <f t="shared" si="532"/>
        <v/>
      </c>
      <c r="AV1163" s="107" t="str">
        <f>IF(ISNUMBER(O1163),IF(VLOOKUP($A1163,Stand!C:J,8,FALSE)="Short",AT1163,AU1163),"")</f>
        <v/>
      </c>
      <c r="AW1163" s="109" t="str">
        <f t="shared" si="538"/>
        <v/>
      </c>
      <c r="AX1163" s="109" t="str">
        <f t="shared" si="539"/>
        <v/>
      </c>
      <c r="AY1163" s="112" t="str">
        <f>IF(ISNUMBER(O1163),IF(AND(VLOOKUP($D1163,Merchantability!$B:$C,2,0)="Yes",$E1163&gt;=VLOOKUP($D1163,Merchantability!$B:$D,3,0),$E1163&lt;=VLOOKUP($D1163,Merchantability!$B:$E,4,0)),(AV1163*O1163)*(1-$H1163/100),""),"")</f>
        <v/>
      </c>
      <c r="AZ1163" s="116"/>
      <c r="BA1163" s="116"/>
      <c r="BB1163" s="116"/>
      <c r="BE1163" s="62"/>
      <c r="BF1163" s="63"/>
    </row>
    <row r="1164" spans="1:58" ht="12.75" customHeight="1" x14ac:dyDescent="0.25">
      <c r="A1164" s="313"/>
      <c r="B1164" s="328"/>
      <c r="C1164" s="329"/>
      <c r="D1164" s="328"/>
      <c r="E1164" s="330"/>
      <c r="F1164" s="328"/>
      <c r="G1164" s="329"/>
      <c r="H1164" s="329"/>
      <c r="I1164" s="328"/>
      <c r="J1164" s="383"/>
      <c r="K1164" s="329"/>
      <c r="L1164" s="329"/>
      <c r="M1164" s="76"/>
      <c r="N1164" s="103" t="str">
        <f>IF(A1164="","",VLOOKUP(A1164,Stand!C:K,9,0))</f>
        <v/>
      </c>
      <c r="O1164" s="104" t="str">
        <f t="shared" si="524"/>
        <v/>
      </c>
      <c r="P1164" s="105" t="str">
        <f t="shared" si="525"/>
        <v/>
      </c>
      <c r="Q1164" s="105" t="str">
        <f t="shared" si="513"/>
        <v/>
      </c>
      <c r="R1164" s="103" t="str">
        <f t="shared" si="526"/>
        <v/>
      </c>
      <c r="S1164" s="103" t="str">
        <f t="shared" si="527"/>
        <v/>
      </c>
      <c r="T1164" s="106" t="str">
        <f t="shared" si="514"/>
        <v/>
      </c>
      <c r="U1164" s="106" t="str">
        <f t="shared" si="515"/>
        <v/>
      </c>
      <c r="V1164" s="106" t="str">
        <f t="shared" si="516"/>
        <v/>
      </c>
      <c r="W1164" s="105" t="str">
        <f t="shared" si="528"/>
        <v/>
      </c>
      <c r="X1164" s="104" t="str">
        <f t="shared" si="533"/>
        <v/>
      </c>
      <c r="Y1164" s="104" t="str">
        <f t="array" ref="Y1164">IFERROR(IF(ISNUMBER(O1164),IF(COUNT(IF(A1164=$A$2:$A$2427,IF(D1164=$D$2:$D$2427,IF($X$2:$X$2427&gt;0,1))))&gt;0,SUM(IF(A1164=$A$2:$A$2427,IF(D1164=$D$2:$D$2427,$X$2:$X$2427)))/COUNT(IF(A1164=$A$2:$A$2427,IF(D1164=$D$2:$D$2427,IF(ISNUMBER($X$2:$X$2427),1)))),0),""),0)</f>
        <v/>
      </c>
      <c r="Z1164" s="104" t="str">
        <f>IF(ISNUMBER(O1164),IF(I1164&gt;0,(10^(VLOOKUP(D1164,'Species Codes'!B:C,2,0)+VLOOKUP(D1164,'Species Codes'!B:D,3,0)*LOG(E1164)+VLOOKUP(D1164,'Species Codes'!B:E,4,0)*LOG(I1164))),0),"")</f>
        <v/>
      </c>
      <c r="AA1164" s="104" t="str">
        <f>IFERROR((VLOOKUP(D1164,'Species Codes'!B:G,6,0)*Z1164)/2000,"")</f>
        <v/>
      </c>
      <c r="AB1164" s="104" t="e">
        <f>IF(Z1164&gt;0,((IF(OR(D1164="DF",D1164="RA")=TRUE,EXP(VLOOKUP(D1164,'Species Codes'!B:I,8,0)+VLOOKUP(D1164,'Species Codes'!B:J,9,0)*(LN((E1164*2.54)))),IF(OR(D1164="PY",D1164="RC",D1164="WH",D1164="NF")=TRUE,VLOOKUP(D1164,'Species Codes'!B:I,8,0)+VLOOKUP(D1164,'Species Codes'!B:J,9,0)*((E1164*2.54)^2)*(I1164*0.3048),IF(OR(D1164="MD",D1164="BM",D1164="GA")=TRUE,((VLOOKUP(D1164,'Species Codes'!B:I,8,0)*(((((E1164*2.54)+VLOOKUP(D1164,'Species Codes'!B:J,9,0))/VLOOKUP(D1164,'Species Codes'!B:K,10,0))^VLOOKUP(D1164,'Species Codes'!B:L,11,0))*((I1164*0.3048)^VLOOKUP(D1164,'Species Codes'!B:M,12,0))))-(VLOOKUP(D1164,'Species Codes'!B:I,8,0)*((((E1164*2.54)^VLOOKUP(D1164,'Species Codes'!B:L,11,0))*((I1164*0.3048)^VLOOKUP(D1164,'Species Codes'!B:M,12,0))))))*35.3*VLOOKUP(D1164,'Species Codes'!B:G,6,0)/2.2046,VLOOKUP(D1164,'Species Codes'!B:I,8,0)+VLOOKUP(D1164,'Species Codes'!B:J,9,0)*(((E1164*2.54)/100)^2)*(I1164*0.3048)))))*0.0011023),0)</f>
        <v>#N/A</v>
      </c>
      <c r="AC1164" s="104" t="e">
        <f>IF(Z1164&gt;0,((IF(OR(D1164="RA",D1164="OA",D1164="OT",D1164="UN",D1164="PC"),EXP(VLOOKUP(D1164,'Species Codes'!B:O,14,0)+VLOOKUP(D1164,'Species Codes'!B:P,15,0)*LN((E1164*2.54)))-EXP(VLOOKUP(D1164,'Species Codes'!B:O,14,0)+VLOOKUP(D1164,'Species Codes'!B:P,15,0)*LN((E1164*2.54)))*(1/(VLOOKUP(D1164,'Species Codes'!B:Q,16,0)+VLOOKUP(D1164,'Species Codes'!B:R,17,0)*((E1164*2.54)^VLOOKUP(D1164,'Species Codes'!B:S,18,0)))),IF(OR(D1164="BM",D1164="MD",D1164="OA"),EXP(VLOOKUP(D1164,'Species Codes'!B:O,14,0)+VLOOKUP(D1164,'Species Codes'!B:P,15,0)*LN((E1164*2.54)))*(1-(1/(VLOOKUP(D1164,'Species Codes'!B:Q,16,0)+VLOOKUP(D1164,'Species Codes'!B:R,17,0)*((E1164*2.54)^VLOOKUP(D1164,'Species Codes'!B:S,18,0)))))/1000,IF(D1164="DF",EXP(VLOOKUP(D1164,'Species Codes'!B:O,14,0)+VLOOKUP(D1164,'Species Codes'!B:P,15,0)*LN((E1164*2.54))),VLOOKUP(D1164,'Species Codes'!B:O,14,0)+VLOOKUP(D1164,'Species Codes'!B:P,15,0)*(((E1164*2.54)/100)^2)*(I1164*0.3048)))))*0.0011023),0)</f>
        <v>#N/A</v>
      </c>
      <c r="AD1164" s="104" t="e">
        <f t="shared" si="517"/>
        <v>#N/A</v>
      </c>
      <c r="AE1164" s="104" t="e">
        <f t="shared" si="518"/>
        <v>#N/A</v>
      </c>
      <c r="AF1164" s="104" t="e">
        <f>IF(AND(VLOOKUP($D1164,Merchantability!$B:$C,2,0)="Yes",$E1164&gt;=VLOOKUP($D1164,Merchantability!$B:$D,3,0),$E1164&lt;=VLOOKUP($D1164,Merchantability!$B:$E,4,0)),AA1164,0)</f>
        <v>#N/A</v>
      </c>
      <c r="AG1164" s="104" t="e">
        <f>IF(AND(VLOOKUP($D1164,Merchantability!$B:$C,2,0)="Yes",$E1164&gt;=VLOOKUP($D1164,Merchantability!$B:$D,3,0),$E1164&lt;=VLOOKUP($D1164,Merchantability!$B:$E,4,0)),AB1164,0)</f>
        <v>#N/A</v>
      </c>
      <c r="AH1164" s="104" t="e">
        <f>IF(AND(VLOOKUP($D1164,Merchantability!$B:$C,2,0)="Yes",$E1164&gt;=VLOOKUP($D1164,Merchantability!$B:$D,3,0),$E1164&lt;=VLOOKUP($D1164,Merchantability!$B:$E,4,0)),AC1164,0)</f>
        <v>#N/A</v>
      </c>
      <c r="AI1164" s="104" t="e">
        <f t="shared" si="519"/>
        <v>#N/A</v>
      </c>
      <c r="AJ1164" s="104" t="e">
        <f t="shared" si="520"/>
        <v>#VALUE!</v>
      </c>
      <c r="AK1164" s="104" t="e">
        <f t="shared" si="521"/>
        <v>#N/A</v>
      </c>
      <c r="AL1164" s="104" t="e">
        <f t="shared" si="522"/>
        <v>#N/A</v>
      </c>
      <c r="AM1164" s="104" t="e">
        <f t="shared" si="523"/>
        <v>#N/A</v>
      </c>
      <c r="AN1164" s="104" t="e">
        <f t="shared" si="534"/>
        <v>#N/A</v>
      </c>
      <c r="AO1164" s="104" t="e">
        <f t="shared" si="535"/>
        <v>#N/A</v>
      </c>
      <c r="AP1164" s="104" t="e">
        <f t="shared" si="536"/>
        <v>#N/A</v>
      </c>
      <c r="AQ1164" s="104" t="e">
        <f t="shared" si="537"/>
        <v>#N/A</v>
      </c>
      <c r="AR1164" s="105" t="str">
        <f t="shared" si="529"/>
        <v/>
      </c>
      <c r="AS1164" s="105" t="str">
        <f t="shared" si="530"/>
        <v/>
      </c>
      <c r="AT1164" s="108" t="str">
        <f t="shared" si="531"/>
        <v/>
      </c>
      <c r="AU1164" s="108" t="str">
        <f t="shared" si="532"/>
        <v/>
      </c>
      <c r="AV1164" s="107" t="str">
        <f>IF(ISNUMBER(O1164),IF(VLOOKUP($A1164,Stand!C:J,8,FALSE)="Short",AT1164,AU1164),"")</f>
        <v/>
      </c>
      <c r="AW1164" s="109" t="str">
        <f t="shared" si="538"/>
        <v/>
      </c>
      <c r="AX1164" s="109" t="str">
        <f t="shared" si="539"/>
        <v/>
      </c>
      <c r="AY1164" s="112" t="str">
        <f>IF(ISNUMBER(O1164),IF(AND(VLOOKUP($D1164,Merchantability!$B:$C,2,0)="Yes",$E1164&gt;=VLOOKUP($D1164,Merchantability!$B:$D,3,0),$E1164&lt;=VLOOKUP($D1164,Merchantability!$B:$E,4,0)),(AV1164*O1164)*(1-$H1164/100),""),"")</f>
        <v/>
      </c>
      <c r="AZ1164" s="116"/>
      <c r="BA1164" s="116"/>
      <c r="BB1164" s="116"/>
      <c r="BE1164" s="62"/>
      <c r="BF1164" s="63"/>
    </row>
    <row r="1165" spans="1:58" ht="12.75" customHeight="1" x14ac:dyDescent="0.25">
      <c r="A1165" s="313"/>
      <c r="B1165" s="328"/>
      <c r="C1165" s="329"/>
      <c r="D1165" s="328"/>
      <c r="E1165" s="330"/>
      <c r="F1165" s="328"/>
      <c r="G1165" s="329"/>
      <c r="H1165" s="329"/>
      <c r="I1165" s="328"/>
      <c r="J1165" s="383"/>
      <c r="K1165" s="329"/>
      <c r="L1165" s="329"/>
      <c r="M1165" s="76"/>
      <c r="N1165" s="103" t="str">
        <f>IF(A1165="","",VLOOKUP(A1165,Stand!C:K,9,0))</f>
        <v/>
      </c>
      <c r="O1165" s="104" t="str">
        <f t="shared" si="524"/>
        <v/>
      </c>
      <c r="P1165" s="105" t="str">
        <f t="shared" si="525"/>
        <v/>
      </c>
      <c r="Q1165" s="105" t="str">
        <f t="shared" si="513"/>
        <v/>
      </c>
      <c r="R1165" s="103" t="str">
        <f t="shared" si="526"/>
        <v/>
      </c>
      <c r="S1165" s="103" t="str">
        <f t="shared" si="527"/>
        <v/>
      </c>
      <c r="T1165" s="106" t="str">
        <f t="shared" si="514"/>
        <v/>
      </c>
      <c r="U1165" s="106" t="str">
        <f t="shared" si="515"/>
        <v/>
      </c>
      <c r="V1165" s="106" t="str">
        <f t="shared" si="516"/>
        <v/>
      </c>
      <c r="W1165" s="105" t="str">
        <f t="shared" si="528"/>
        <v/>
      </c>
      <c r="X1165" s="104" t="str">
        <f t="shared" si="533"/>
        <v/>
      </c>
      <c r="Y1165" s="104" t="str">
        <f t="array" ref="Y1165">IFERROR(IF(ISNUMBER(O1165),IF(COUNT(IF(A1165=$A$2:$A$2427,IF(D1165=$D$2:$D$2427,IF($X$2:$X$2427&gt;0,1))))&gt;0,SUM(IF(A1165=$A$2:$A$2427,IF(D1165=$D$2:$D$2427,$X$2:$X$2427)))/COUNT(IF(A1165=$A$2:$A$2427,IF(D1165=$D$2:$D$2427,IF(ISNUMBER($X$2:$X$2427),1)))),0),""),0)</f>
        <v/>
      </c>
      <c r="Z1165" s="104" t="str">
        <f>IF(ISNUMBER(O1165),IF(I1165&gt;0,(10^(VLOOKUP(D1165,'Species Codes'!B:C,2,0)+VLOOKUP(D1165,'Species Codes'!B:D,3,0)*LOG(E1165)+VLOOKUP(D1165,'Species Codes'!B:E,4,0)*LOG(I1165))),0),"")</f>
        <v/>
      </c>
      <c r="AA1165" s="104" t="str">
        <f>IFERROR((VLOOKUP(D1165,'Species Codes'!B:G,6,0)*Z1165)/2000,"")</f>
        <v/>
      </c>
      <c r="AB1165" s="104" t="e">
        <f>IF(Z1165&gt;0,((IF(OR(D1165="DF",D1165="RA")=TRUE,EXP(VLOOKUP(D1165,'Species Codes'!B:I,8,0)+VLOOKUP(D1165,'Species Codes'!B:J,9,0)*(LN((E1165*2.54)))),IF(OR(D1165="PY",D1165="RC",D1165="WH",D1165="NF")=TRUE,VLOOKUP(D1165,'Species Codes'!B:I,8,0)+VLOOKUP(D1165,'Species Codes'!B:J,9,0)*((E1165*2.54)^2)*(I1165*0.3048),IF(OR(D1165="MD",D1165="BM",D1165="GA")=TRUE,((VLOOKUP(D1165,'Species Codes'!B:I,8,0)*(((((E1165*2.54)+VLOOKUP(D1165,'Species Codes'!B:J,9,0))/VLOOKUP(D1165,'Species Codes'!B:K,10,0))^VLOOKUP(D1165,'Species Codes'!B:L,11,0))*((I1165*0.3048)^VLOOKUP(D1165,'Species Codes'!B:M,12,0))))-(VLOOKUP(D1165,'Species Codes'!B:I,8,0)*((((E1165*2.54)^VLOOKUP(D1165,'Species Codes'!B:L,11,0))*((I1165*0.3048)^VLOOKUP(D1165,'Species Codes'!B:M,12,0))))))*35.3*VLOOKUP(D1165,'Species Codes'!B:G,6,0)/2.2046,VLOOKUP(D1165,'Species Codes'!B:I,8,0)+VLOOKUP(D1165,'Species Codes'!B:J,9,0)*(((E1165*2.54)/100)^2)*(I1165*0.3048)))))*0.0011023),0)</f>
        <v>#N/A</v>
      </c>
      <c r="AC1165" s="104" t="e">
        <f>IF(Z1165&gt;0,((IF(OR(D1165="RA",D1165="OA",D1165="OT",D1165="UN",D1165="PC"),EXP(VLOOKUP(D1165,'Species Codes'!B:O,14,0)+VLOOKUP(D1165,'Species Codes'!B:P,15,0)*LN((E1165*2.54)))-EXP(VLOOKUP(D1165,'Species Codes'!B:O,14,0)+VLOOKUP(D1165,'Species Codes'!B:P,15,0)*LN((E1165*2.54)))*(1/(VLOOKUP(D1165,'Species Codes'!B:Q,16,0)+VLOOKUP(D1165,'Species Codes'!B:R,17,0)*((E1165*2.54)^VLOOKUP(D1165,'Species Codes'!B:S,18,0)))),IF(OR(D1165="BM",D1165="MD",D1165="OA"),EXP(VLOOKUP(D1165,'Species Codes'!B:O,14,0)+VLOOKUP(D1165,'Species Codes'!B:P,15,0)*LN((E1165*2.54)))*(1-(1/(VLOOKUP(D1165,'Species Codes'!B:Q,16,0)+VLOOKUP(D1165,'Species Codes'!B:R,17,0)*((E1165*2.54)^VLOOKUP(D1165,'Species Codes'!B:S,18,0)))))/1000,IF(D1165="DF",EXP(VLOOKUP(D1165,'Species Codes'!B:O,14,0)+VLOOKUP(D1165,'Species Codes'!B:P,15,0)*LN((E1165*2.54))),VLOOKUP(D1165,'Species Codes'!B:O,14,0)+VLOOKUP(D1165,'Species Codes'!B:P,15,0)*(((E1165*2.54)/100)^2)*(I1165*0.3048)))))*0.0011023),0)</f>
        <v>#N/A</v>
      </c>
      <c r="AD1165" s="104" t="e">
        <f t="shared" si="517"/>
        <v>#N/A</v>
      </c>
      <c r="AE1165" s="104" t="e">
        <f t="shared" si="518"/>
        <v>#N/A</v>
      </c>
      <c r="AF1165" s="104" t="e">
        <f>IF(AND(VLOOKUP($D1165,Merchantability!$B:$C,2,0)="Yes",$E1165&gt;=VLOOKUP($D1165,Merchantability!$B:$D,3,0),$E1165&lt;=VLOOKUP($D1165,Merchantability!$B:$E,4,0)),AA1165,0)</f>
        <v>#N/A</v>
      </c>
      <c r="AG1165" s="104" t="e">
        <f>IF(AND(VLOOKUP($D1165,Merchantability!$B:$C,2,0)="Yes",$E1165&gt;=VLOOKUP($D1165,Merchantability!$B:$D,3,0),$E1165&lt;=VLOOKUP($D1165,Merchantability!$B:$E,4,0)),AB1165,0)</f>
        <v>#N/A</v>
      </c>
      <c r="AH1165" s="104" t="e">
        <f>IF(AND(VLOOKUP($D1165,Merchantability!$B:$C,2,0)="Yes",$E1165&gt;=VLOOKUP($D1165,Merchantability!$B:$D,3,0),$E1165&lt;=VLOOKUP($D1165,Merchantability!$B:$E,4,0)),AC1165,0)</f>
        <v>#N/A</v>
      </c>
      <c r="AI1165" s="104" t="e">
        <f t="shared" si="519"/>
        <v>#N/A</v>
      </c>
      <c r="AJ1165" s="104" t="e">
        <f t="shared" si="520"/>
        <v>#VALUE!</v>
      </c>
      <c r="AK1165" s="104" t="e">
        <f t="shared" si="521"/>
        <v>#N/A</v>
      </c>
      <c r="AL1165" s="104" t="e">
        <f t="shared" si="522"/>
        <v>#N/A</v>
      </c>
      <c r="AM1165" s="104" t="e">
        <f t="shared" si="523"/>
        <v>#N/A</v>
      </c>
      <c r="AN1165" s="104" t="e">
        <f t="shared" si="534"/>
        <v>#N/A</v>
      </c>
      <c r="AO1165" s="104" t="e">
        <f t="shared" si="535"/>
        <v>#N/A</v>
      </c>
      <c r="AP1165" s="104" t="e">
        <f t="shared" si="536"/>
        <v>#N/A</v>
      </c>
      <c r="AQ1165" s="104" t="e">
        <f t="shared" si="537"/>
        <v>#N/A</v>
      </c>
      <c r="AR1165" s="105" t="str">
        <f t="shared" si="529"/>
        <v/>
      </c>
      <c r="AS1165" s="105" t="str">
        <f t="shared" si="530"/>
        <v/>
      </c>
      <c r="AT1165" s="108" t="str">
        <f t="shared" si="531"/>
        <v/>
      </c>
      <c r="AU1165" s="108" t="str">
        <f t="shared" si="532"/>
        <v/>
      </c>
      <c r="AV1165" s="107" t="str">
        <f>IF(ISNUMBER(O1165),IF(VLOOKUP($A1165,Stand!C:J,8,FALSE)="Short",AT1165,AU1165),"")</f>
        <v/>
      </c>
      <c r="AW1165" s="109" t="str">
        <f t="shared" si="538"/>
        <v/>
      </c>
      <c r="AX1165" s="109" t="str">
        <f t="shared" si="539"/>
        <v/>
      </c>
      <c r="AY1165" s="112" t="str">
        <f>IF(ISNUMBER(O1165),IF(AND(VLOOKUP($D1165,Merchantability!$B:$C,2,0)="Yes",$E1165&gt;=VLOOKUP($D1165,Merchantability!$B:$D,3,0),$E1165&lt;=VLOOKUP($D1165,Merchantability!$B:$E,4,0)),(AV1165*O1165)*(1-$H1165/100),""),"")</f>
        <v/>
      </c>
      <c r="AZ1165" s="116"/>
      <c r="BA1165" s="116"/>
      <c r="BB1165" s="116"/>
      <c r="BE1165" s="62"/>
      <c r="BF1165" s="63"/>
    </row>
    <row r="1166" spans="1:58" ht="12.75" customHeight="1" x14ac:dyDescent="0.25">
      <c r="A1166" s="313"/>
      <c r="B1166" s="328"/>
      <c r="C1166" s="329"/>
      <c r="D1166" s="328"/>
      <c r="E1166" s="330"/>
      <c r="F1166" s="328"/>
      <c r="G1166" s="329"/>
      <c r="H1166" s="329"/>
      <c r="I1166" s="328"/>
      <c r="J1166" s="383"/>
      <c r="K1166" s="329"/>
      <c r="L1166" s="329"/>
      <c r="M1166" s="76"/>
      <c r="N1166" s="103" t="str">
        <f>IF(A1166="","",VLOOKUP(A1166,Stand!C:K,9,0))</f>
        <v/>
      </c>
      <c r="O1166" s="104" t="str">
        <f t="shared" si="524"/>
        <v/>
      </c>
      <c r="P1166" s="105" t="str">
        <f t="shared" si="525"/>
        <v/>
      </c>
      <c r="Q1166" s="105" t="str">
        <f t="shared" si="513"/>
        <v/>
      </c>
      <c r="R1166" s="103" t="str">
        <f t="shared" si="526"/>
        <v/>
      </c>
      <c r="S1166" s="103" t="str">
        <f t="shared" si="527"/>
        <v/>
      </c>
      <c r="T1166" s="106" t="str">
        <f t="shared" si="514"/>
        <v/>
      </c>
      <c r="U1166" s="106" t="str">
        <f t="shared" si="515"/>
        <v/>
      </c>
      <c r="V1166" s="106" t="str">
        <f t="shared" si="516"/>
        <v/>
      </c>
      <c r="W1166" s="105" t="str">
        <f t="shared" si="528"/>
        <v/>
      </c>
      <c r="X1166" s="104" t="str">
        <f t="shared" si="533"/>
        <v/>
      </c>
      <c r="Y1166" s="104" t="str">
        <f t="array" ref="Y1166">IFERROR(IF(ISNUMBER(O1166),IF(COUNT(IF(A1166=$A$2:$A$2427,IF(D1166=$D$2:$D$2427,IF($X$2:$X$2427&gt;0,1))))&gt;0,SUM(IF(A1166=$A$2:$A$2427,IF(D1166=$D$2:$D$2427,$X$2:$X$2427)))/COUNT(IF(A1166=$A$2:$A$2427,IF(D1166=$D$2:$D$2427,IF(ISNUMBER($X$2:$X$2427),1)))),0),""),0)</f>
        <v/>
      </c>
      <c r="Z1166" s="104" t="str">
        <f>IF(ISNUMBER(O1166),IF(I1166&gt;0,(10^(VLOOKUP(D1166,'Species Codes'!B:C,2,0)+VLOOKUP(D1166,'Species Codes'!B:D,3,0)*LOG(E1166)+VLOOKUP(D1166,'Species Codes'!B:E,4,0)*LOG(I1166))),0),"")</f>
        <v/>
      </c>
      <c r="AA1166" s="104" t="str">
        <f>IFERROR((VLOOKUP(D1166,'Species Codes'!B:G,6,0)*Z1166)/2000,"")</f>
        <v/>
      </c>
      <c r="AB1166" s="104" t="e">
        <f>IF(Z1166&gt;0,((IF(OR(D1166="DF",D1166="RA")=TRUE,EXP(VLOOKUP(D1166,'Species Codes'!B:I,8,0)+VLOOKUP(D1166,'Species Codes'!B:J,9,0)*(LN((E1166*2.54)))),IF(OR(D1166="PY",D1166="RC",D1166="WH",D1166="NF")=TRUE,VLOOKUP(D1166,'Species Codes'!B:I,8,0)+VLOOKUP(D1166,'Species Codes'!B:J,9,0)*((E1166*2.54)^2)*(I1166*0.3048),IF(OR(D1166="MD",D1166="BM",D1166="GA")=TRUE,((VLOOKUP(D1166,'Species Codes'!B:I,8,0)*(((((E1166*2.54)+VLOOKUP(D1166,'Species Codes'!B:J,9,0))/VLOOKUP(D1166,'Species Codes'!B:K,10,0))^VLOOKUP(D1166,'Species Codes'!B:L,11,0))*((I1166*0.3048)^VLOOKUP(D1166,'Species Codes'!B:M,12,0))))-(VLOOKUP(D1166,'Species Codes'!B:I,8,0)*((((E1166*2.54)^VLOOKUP(D1166,'Species Codes'!B:L,11,0))*((I1166*0.3048)^VLOOKUP(D1166,'Species Codes'!B:M,12,0))))))*35.3*VLOOKUP(D1166,'Species Codes'!B:G,6,0)/2.2046,VLOOKUP(D1166,'Species Codes'!B:I,8,0)+VLOOKUP(D1166,'Species Codes'!B:J,9,0)*(((E1166*2.54)/100)^2)*(I1166*0.3048)))))*0.0011023),0)</f>
        <v>#N/A</v>
      </c>
      <c r="AC1166" s="104" t="e">
        <f>IF(Z1166&gt;0,((IF(OR(D1166="RA",D1166="OA",D1166="OT",D1166="UN",D1166="PC"),EXP(VLOOKUP(D1166,'Species Codes'!B:O,14,0)+VLOOKUP(D1166,'Species Codes'!B:P,15,0)*LN((E1166*2.54)))-EXP(VLOOKUP(D1166,'Species Codes'!B:O,14,0)+VLOOKUP(D1166,'Species Codes'!B:P,15,0)*LN((E1166*2.54)))*(1/(VLOOKUP(D1166,'Species Codes'!B:Q,16,0)+VLOOKUP(D1166,'Species Codes'!B:R,17,0)*((E1166*2.54)^VLOOKUP(D1166,'Species Codes'!B:S,18,0)))),IF(OR(D1166="BM",D1166="MD",D1166="OA"),EXP(VLOOKUP(D1166,'Species Codes'!B:O,14,0)+VLOOKUP(D1166,'Species Codes'!B:P,15,0)*LN((E1166*2.54)))*(1-(1/(VLOOKUP(D1166,'Species Codes'!B:Q,16,0)+VLOOKUP(D1166,'Species Codes'!B:R,17,0)*((E1166*2.54)^VLOOKUP(D1166,'Species Codes'!B:S,18,0)))))/1000,IF(D1166="DF",EXP(VLOOKUP(D1166,'Species Codes'!B:O,14,0)+VLOOKUP(D1166,'Species Codes'!B:P,15,0)*LN((E1166*2.54))),VLOOKUP(D1166,'Species Codes'!B:O,14,0)+VLOOKUP(D1166,'Species Codes'!B:P,15,0)*(((E1166*2.54)/100)^2)*(I1166*0.3048)))))*0.0011023),0)</f>
        <v>#N/A</v>
      </c>
      <c r="AD1166" s="104" t="e">
        <f t="shared" si="517"/>
        <v>#N/A</v>
      </c>
      <c r="AE1166" s="104" t="e">
        <f t="shared" si="518"/>
        <v>#N/A</v>
      </c>
      <c r="AF1166" s="104" t="e">
        <f>IF(AND(VLOOKUP($D1166,Merchantability!$B:$C,2,0)="Yes",$E1166&gt;=VLOOKUP($D1166,Merchantability!$B:$D,3,0),$E1166&lt;=VLOOKUP($D1166,Merchantability!$B:$E,4,0)),AA1166,0)</f>
        <v>#N/A</v>
      </c>
      <c r="AG1166" s="104" t="e">
        <f>IF(AND(VLOOKUP($D1166,Merchantability!$B:$C,2,0)="Yes",$E1166&gt;=VLOOKUP($D1166,Merchantability!$B:$D,3,0),$E1166&lt;=VLOOKUP($D1166,Merchantability!$B:$E,4,0)),AB1166,0)</f>
        <v>#N/A</v>
      </c>
      <c r="AH1166" s="104" t="e">
        <f>IF(AND(VLOOKUP($D1166,Merchantability!$B:$C,2,0)="Yes",$E1166&gt;=VLOOKUP($D1166,Merchantability!$B:$D,3,0),$E1166&lt;=VLOOKUP($D1166,Merchantability!$B:$E,4,0)),AC1166,0)</f>
        <v>#N/A</v>
      </c>
      <c r="AI1166" s="104" t="e">
        <f t="shared" si="519"/>
        <v>#N/A</v>
      </c>
      <c r="AJ1166" s="104" t="e">
        <f t="shared" si="520"/>
        <v>#VALUE!</v>
      </c>
      <c r="AK1166" s="104" t="e">
        <f t="shared" si="521"/>
        <v>#N/A</v>
      </c>
      <c r="AL1166" s="104" t="e">
        <f t="shared" si="522"/>
        <v>#N/A</v>
      </c>
      <c r="AM1166" s="104" t="e">
        <f t="shared" si="523"/>
        <v>#N/A</v>
      </c>
      <c r="AN1166" s="104" t="e">
        <f t="shared" si="534"/>
        <v>#N/A</v>
      </c>
      <c r="AO1166" s="104" t="e">
        <f t="shared" si="535"/>
        <v>#N/A</v>
      </c>
      <c r="AP1166" s="104" t="e">
        <f t="shared" si="536"/>
        <v>#N/A</v>
      </c>
      <c r="AQ1166" s="104" t="e">
        <f t="shared" si="537"/>
        <v>#N/A</v>
      </c>
      <c r="AR1166" s="105" t="str">
        <f t="shared" si="529"/>
        <v/>
      </c>
      <c r="AS1166" s="105" t="str">
        <f t="shared" si="530"/>
        <v/>
      </c>
      <c r="AT1166" s="108" t="str">
        <f t="shared" si="531"/>
        <v/>
      </c>
      <c r="AU1166" s="108" t="str">
        <f t="shared" si="532"/>
        <v/>
      </c>
      <c r="AV1166" s="107" t="str">
        <f>IF(ISNUMBER(O1166),IF(VLOOKUP($A1166,Stand!C:J,8,FALSE)="Short",AT1166,AU1166),"")</f>
        <v/>
      </c>
      <c r="AW1166" s="109" t="str">
        <f t="shared" si="538"/>
        <v/>
      </c>
      <c r="AX1166" s="109" t="str">
        <f t="shared" si="539"/>
        <v/>
      </c>
      <c r="AY1166" s="112" t="str">
        <f>IF(ISNUMBER(O1166),IF(AND(VLOOKUP($D1166,Merchantability!$B:$C,2,0)="Yes",$E1166&gt;=VLOOKUP($D1166,Merchantability!$B:$D,3,0),$E1166&lt;=VLOOKUP($D1166,Merchantability!$B:$E,4,0)),(AV1166*O1166)*(1-$H1166/100),""),"")</f>
        <v/>
      </c>
      <c r="AZ1166" s="116"/>
      <c r="BA1166" s="116"/>
      <c r="BB1166" s="116"/>
      <c r="BE1166" s="62"/>
      <c r="BF1166" s="63"/>
    </row>
    <row r="1167" spans="1:58" ht="12.75" customHeight="1" x14ac:dyDescent="0.25">
      <c r="A1167" s="313"/>
      <c r="B1167" s="328"/>
      <c r="C1167" s="329"/>
      <c r="D1167" s="328"/>
      <c r="E1167" s="330"/>
      <c r="F1167" s="328"/>
      <c r="G1167" s="329"/>
      <c r="H1167" s="329"/>
      <c r="I1167" s="328"/>
      <c r="J1167" s="383"/>
      <c r="K1167" s="329"/>
      <c r="L1167" s="329"/>
      <c r="M1167" s="76"/>
      <c r="N1167" s="103" t="str">
        <f>IF(A1167="","",VLOOKUP(A1167,Stand!C:K,9,0))</f>
        <v/>
      </c>
      <c r="O1167" s="104" t="str">
        <f t="shared" si="524"/>
        <v/>
      </c>
      <c r="P1167" s="105" t="str">
        <f t="shared" si="525"/>
        <v/>
      </c>
      <c r="Q1167" s="105" t="str">
        <f t="shared" si="513"/>
        <v/>
      </c>
      <c r="R1167" s="103" t="str">
        <f t="shared" si="526"/>
        <v/>
      </c>
      <c r="S1167" s="103" t="str">
        <f t="shared" si="527"/>
        <v/>
      </c>
      <c r="T1167" s="106" t="str">
        <f t="shared" si="514"/>
        <v/>
      </c>
      <c r="U1167" s="106" t="str">
        <f t="shared" si="515"/>
        <v/>
      </c>
      <c r="V1167" s="106" t="str">
        <f t="shared" si="516"/>
        <v/>
      </c>
      <c r="W1167" s="105" t="str">
        <f t="shared" si="528"/>
        <v/>
      </c>
      <c r="X1167" s="104" t="str">
        <f t="shared" si="533"/>
        <v/>
      </c>
      <c r="Y1167" s="104" t="str">
        <f t="array" ref="Y1167">IFERROR(IF(ISNUMBER(O1167),IF(COUNT(IF(A1167=$A$2:$A$2427,IF(D1167=$D$2:$D$2427,IF($X$2:$X$2427&gt;0,1))))&gt;0,SUM(IF(A1167=$A$2:$A$2427,IF(D1167=$D$2:$D$2427,$X$2:$X$2427)))/COUNT(IF(A1167=$A$2:$A$2427,IF(D1167=$D$2:$D$2427,IF(ISNUMBER($X$2:$X$2427),1)))),0),""),0)</f>
        <v/>
      </c>
      <c r="Z1167" s="104" t="str">
        <f>IF(ISNUMBER(O1167),IF(I1167&gt;0,(10^(VLOOKUP(D1167,'Species Codes'!B:C,2,0)+VLOOKUP(D1167,'Species Codes'!B:D,3,0)*LOG(E1167)+VLOOKUP(D1167,'Species Codes'!B:E,4,0)*LOG(I1167))),0),"")</f>
        <v/>
      </c>
      <c r="AA1167" s="104" t="str">
        <f>IFERROR((VLOOKUP(D1167,'Species Codes'!B:G,6,0)*Z1167)/2000,"")</f>
        <v/>
      </c>
      <c r="AB1167" s="104" t="e">
        <f>IF(Z1167&gt;0,((IF(OR(D1167="DF",D1167="RA")=TRUE,EXP(VLOOKUP(D1167,'Species Codes'!B:I,8,0)+VLOOKUP(D1167,'Species Codes'!B:J,9,0)*(LN((E1167*2.54)))),IF(OR(D1167="PY",D1167="RC",D1167="WH",D1167="NF")=TRUE,VLOOKUP(D1167,'Species Codes'!B:I,8,0)+VLOOKUP(D1167,'Species Codes'!B:J,9,0)*((E1167*2.54)^2)*(I1167*0.3048),IF(OR(D1167="MD",D1167="BM",D1167="GA")=TRUE,((VLOOKUP(D1167,'Species Codes'!B:I,8,0)*(((((E1167*2.54)+VLOOKUP(D1167,'Species Codes'!B:J,9,0))/VLOOKUP(D1167,'Species Codes'!B:K,10,0))^VLOOKUP(D1167,'Species Codes'!B:L,11,0))*((I1167*0.3048)^VLOOKUP(D1167,'Species Codes'!B:M,12,0))))-(VLOOKUP(D1167,'Species Codes'!B:I,8,0)*((((E1167*2.54)^VLOOKUP(D1167,'Species Codes'!B:L,11,0))*((I1167*0.3048)^VLOOKUP(D1167,'Species Codes'!B:M,12,0))))))*35.3*VLOOKUP(D1167,'Species Codes'!B:G,6,0)/2.2046,VLOOKUP(D1167,'Species Codes'!B:I,8,0)+VLOOKUP(D1167,'Species Codes'!B:J,9,0)*(((E1167*2.54)/100)^2)*(I1167*0.3048)))))*0.0011023),0)</f>
        <v>#N/A</v>
      </c>
      <c r="AC1167" s="104" t="e">
        <f>IF(Z1167&gt;0,((IF(OR(D1167="RA",D1167="OA",D1167="OT",D1167="UN",D1167="PC"),EXP(VLOOKUP(D1167,'Species Codes'!B:O,14,0)+VLOOKUP(D1167,'Species Codes'!B:P,15,0)*LN((E1167*2.54)))-EXP(VLOOKUP(D1167,'Species Codes'!B:O,14,0)+VLOOKUP(D1167,'Species Codes'!B:P,15,0)*LN((E1167*2.54)))*(1/(VLOOKUP(D1167,'Species Codes'!B:Q,16,0)+VLOOKUP(D1167,'Species Codes'!B:R,17,0)*((E1167*2.54)^VLOOKUP(D1167,'Species Codes'!B:S,18,0)))),IF(OR(D1167="BM",D1167="MD",D1167="OA"),EXP(VLOOKUP(D1167,'Species Codes'!B:O,14,0)+VLOOKUP(D1167,'Species Codes'!B:P,15,0)*LN((E1167*2.54)))*(1-(1/(VLOOKUP(D1167,'Species Codes'!B:Q,16,0)+VLOOKUP(D1167,'Species Codes'!B:R,17,0)*((E1167*2.54)^VLOOKUP(D1167,'Species Codes'!B:S,18,0)))))/1000,IF(D1167="DF",EXP(VLOOKUP(D1167,'Species Codes'!B:O,14,0)+VLOOKUP(D1167,'Species Codes'!B:P,15,0)*LN((E1167*2.54))),VLOOKUP(D1167,'Species Codes'!B:O,14,0)+VLOOKUP(D1167,'Species Codes'!B:P,15,0)*(((E1167*2.54)/100)^2)*(I1167*0.3048)))))*0.0011023),0)</f>
        <v>#N/A</v>
      </c>
      <c r="AD1167" s="104" t="e">
        <f t="shared" si="517"/>
        <v>#N/A</v>
      </c>
      <c r="AE1167" s="104" t="e">
        <f t="shared" si="518"/>
        <v>#N/A</v>
      </c>
      <c r="AF1167" s="104" t="e">
        <f>IF(AND(VLOOKUP($D1167,Merchantability!$B:$C,2,0)="Yes",$E1167&gt;=VLOOKUP($D1167,Merchantability!$B:$D,3,0),$E1167&lt;=VLOOKUP($D1167,Merchantability!$B:$E,4,0)),AA1167,0)</f>
        <v>#N/A</v>
      </c>
      <c r="AG1167" s="104" t="e">
        <f>IF(AND(VLOOKUP($D1167,Merchantability!$B:$C,2,0)="Yes",$E1167&gt;=VLOOKUP($D1167,Merchantability!$B:$D,3,0),$E1167&lt;=VLOOKUP($D1167,Merchantability!$B:$E,4,0)),AB1167,0)</f>
        <v>#N/A</v>
      </c>
      <c r="AH1167" s="104" t="e">
        <f>IF(AND(VLOOKUP($D1167,Merchantability!$B:$C,2,0)="Yes",$E1167&gt;=VLOOKUP($D1167,Merchantability!$B:$D,3,0),$E1167&lt;=VLOOKUP($D1167,Merchantability!$B:$E,4,0)),AC1167,0)</f>
        <v>#N/A</v>
      </c>
      <c r="AI1167" s="104" t="e">
        <f t="shared" si="519"/>
        <v>#N/A</v>
      </c>
      <c r="AJ1167" s="104" t="e">
        <f t="shared" si="520"/>
        <v>#VALUE!</v>
      </c>
      <c r="AK1167" s="104" t="e">
        <f t="shared" si="521"/>
        <v>#N/A</v>
      </c>
      <c r="AL1167" s="104" t="e">
        <f t="shared" si="522"/>
        <v>#N/A</v>
      </c>
      <c r="AM1167" s="104" t="e">
        <f t="shared" si="523"/>
        <v>#N/A</v>
      </c>
      <c r="AN1167" s="104" t="e">
        <f t="shared" si="534"/>
        <v>#N/A</v>
      </c>
      <c r="AO1167" s="104" t="e">
        <f t="shared" si="535"/>
        <v>#N/A</v>
      </c>
      <c r="AP1167" s="104" t="e">
        <f t="shared" si="536"/>
        <v>#N/A</v>
      </c>
      <c r="AQ1167" s="104" t="e">
        <f t="shared" si="537"/>
        <v>#N/A</v>
      </c>
      <c r="AR1167" s="105" t="str">
        <f t="shared" si="529"/>
        <v/>
      </c>
      <c r="AS1167" s="105" t="str">
        <f t="shared" si="530"/>
        <v/>
      </c>
      <c r="AT1167" s="108" t="str">
        <f t="shared" si="531"/>
        <v/>
      </c>
      <c r="AU1167" s="108" t="str">
        <f t="shared" si="532"/>
        <v/>
      </c>
      <c r="AV1167" s="107" t="str">
        <f>IF(ISNUMBER(O1167),IF(VLOOKUP($A1167,Stand!C:J,8,FALSE)="Short",AT1167,AU1167),"")</f>
        <v/>
      </c>
      <c r="AW1167" s="109" t="str">
        <f t="shared" si="538"/>
        <v/>
      </c>
      <c r="AX1167" s="109" t="str">
        <f t="shared" si="539"/>
        <v/>
      </c>
      <c r="AY1167" s="112" t="str">
        <f>IF(ISNUMBER(O1167),IF(AND(VLOOKUP($D1167,Merchantability!$B:$C,2,0)="Yes",$E1167&gt;=VLOOKUP($D1167,Merchantability!$B:$D,3,0),$E1167&lt;=VLOOKUP($D1167,Merchantability!$B:$E,4,0)),(AV1167*O1167)*(1-$H1167/100),""),"")</f>
        <v/>
      </c>
      <c r="AZ1167" s="116"/>
      <c r="BA1167" s="116"/>
      <c r="BB1167" s="116"/>
      <c r="BE1167" s="62"/>
      <c r="BF1167" s="63"/>
    </row>
    <row r="1168" spans="1:58" ht="12.75" customHeight="1" x14ac:dyDescent="0.25">
      <c r="A1168" s="313"/>
      <c r="B1168" s="328"/>
      <c r="C1168" s="329"/>
      <c r="D1168" s="328"/>
      <c r="E1168" s="330"/>
      <c r="F1168" s="328"/>
      <c r="G1168" s="329"/>
      <c r="H1168" s="329"/>
      <c r="I1168" s="328"/>
      <c r="J1168" s="383"/>
      <c r="K1168" s="329"/>
      <c r="L1168" s="329"/>
      <c r="M1168" s="76"/>
      <c r="N1168" s="103" t="str">
        <f>IF(A1168="","",VLOOKUP(A1168,Stand!C:K,9,0))</f>
        <v/>
      </c>
      <c r="O1168" s="104" t="str">
        <f t="shared" si="524"/>
        <v/>
      </c>
      <c r="P1168" s="105" t="str">
        <f t="shared" si="525"/>
        <v/>
      </c>
      <c r="Q1168" s="105" t="str">
        <f t="shared" si="513"/>
        <v/>
      </c>
      <c r="R1168" s="103" t="str">
        <f t="shared" si="526"/>
        <v/>
      </c>
      <c r="S1168" s="103" t="str">
        <f t="shared" si="527"/>
        <v/>
      </c>
      <c r="T1168" s="106" t="str">
        <f t="shared" si="514"/>
        <v/>
      </c>
      <c r="U1168" s="106" t="str">
        <f t="shared" si="515"/>
        <v/>
      </c>
      <c r="V1168" s="106" t="str">
        <f t="shared" si="516"/>
        <v/>
      </c>
      <c r="W1168" s="105" t="str">
        <f t="shared" si="528"/>
        <v/>
      </c>
      <c r="X1168" s="104" t="str">
        <f t="shared" si="533"/>
        <v/>
      </c>
      <c r="Y1168" s="104" t="str">
        <f t="array" ref="Y1168">IFERROR(IF(ISNUMBER(O1168),IF(COUNT(IF(A1168=$A$2:$A$2427,IF(D1168=$D$2:$D$2427,IF($X$2:$X$2427&gt;0,1))))&gt;0,SUM(IF(A1168=$A$2:$A$2427,IF(D1168=$D$2:$D$2427,$X$2:$X$2427)))/COUNT(IF(A1168=$A$2:$A$2427,IF(D1168=$D$2:$D$2427,IF(ISNUMBER($X$2:$X$2427),1)))),0),""),0)</f>
        <v/>
      </c>
      <c r="Z1168" s="104" t="str">
        <f>IF(ISNUMBER(O1168),IF(I1168&gt;0,(10^(VLOOKUP(D1168,'Species Codes'!B:C,2,0)+VLOOKUP(D1168,'Species Codes'!B:D,3,0)*LOG(E1168)+VLOOKUP(D1168,'Species Codes'!B:E,4,0)*LOG(I1168))),0),"")</f>
        <v/>
      </c>
      <c r="AA1168" s="104" t="str">
        <f>IFERROR((VLOOKUP(D1168,'Species Codes'!B:G,6,0)*Z1168)/2000,"")</f>
        <v/>
      </c>
      <c r="AB1168" s="104" t="e">
        <f>IF(Z1168&gt;0,((IF(OR(D1168="DF",D1168="RA")=TRUE,EXP(VLOOKUP(D1168,'Species Codes'!B:I,8,0)+VLOOKUP(D1168,'Species Codes'!B:J,9,0)*(LN((E1168*2.54)))),IF(OR(D1168="PY",D1168="RC",D1168="WH",D1168="NF")=TRUE,VLOOKUP(D1168,'Species Codes'!B:I,8,0)+VLOOKUP(D1168,'Species Codes'!B:J,9,0)*((E1168*2.54)^2)*(I1168*0.3048),IF(OR(D1168="MD",D1168="BM",D1168="GA")=TRUE,((VLOOKUP(D1168,'Species Codes'!B:I,8,0)*(((((E1168*2.54)+VLOOKUP(D1168,'Species Codes'!B:J,9,0))/VLOOKUP(D1168,'Species Codes'!B:K,10,0))^VLOOKUP(D1168,'Species Codes'!B:L,11,0))*((I1168*0.3048)^VLOOKUP(D1168,'Species Codes'!B:M,12,0))))-(VLOOKUP(D1168,'Species Codes'!B:I,8,0)*((((E1168*2.54)^VLOOKUP(D1168,'Species Codes'!B:L,11,0))*((I1168*0.3048)^VLOOKUP(D1168,'Species Codes'!B:M,12,0))))))*35.3*VLOOKUP(D1168,'Species Codes'!B:G,6,0)/2.2046,VLOOKUP(D1168,'Species Codes'!B:I,8,0)+VLOOKUP(D1168,'Species Codes'!B:J,9,0)*(((E1168*2.54)/100)^2)*(I1168*0.3048)))))*0.0011023),0)</f>
        <v>#N/A</v>
      </c>
      <c r="AC1168" s="104" t="e">
        <f>IF(Z1168&gt;0,((IF(OR(D1168="RA",D1168="OA",D1168="OT",D1168="UN",D1168="PC"),EXP(VLOOKUP(D1168,'Species Codes'!B:O,14,0)+VLOOKUP(D1168,'Species Codes'!B:P,15,0)*LN((E1168*2.54)))-EXP(VLOOKUP(D1168,'Species Codes'!B:O,14,0)+VLOOKUP(D1168,'Species Codes'!B:P,15,0)*LN((E1168*2.54)))*(1/(VLOOKUP(D1168,'Species Codes'!B:Q,16,0)+VLOOKUP(D1168,'Species Codes'!B:R,17,0)*((E1168*2.54)^VLOOKUP(D1168,'Species Codes'!B:S,18,0)))),IF(OR(D1168="BM",D1168="MD",D1168="OA"),EXP(VLOOKUP(D1168,'Species Codes'!B:O,14,0)+VLOOKUP(D1168,'Species Codes'!B:P,15,0)*LN((E1168*2.54)))*(1-(1/(VLOOKUP(D1168,'Species Codes'!B:Q,16,0)+VLOOKUP(D1168,'Species Codes'!B:R,17,0)*((E1168*2.54)^VLOOKUP(D1168,'Species Codes'!B:S,18,0)))))/1000,IF(D1168="DF",EXP(VLOOKUP(D1168,'Species Codes'!B:O,14,0)+VLOOKUP(D1168,'Species Codes'!B:P,15,0)*LN((E1168*2.54))),VLOOKUP(D1168,'Species Codes'!B:O,14,0)+VLOOKUP(D1168,'Species Codes'!B:P,15,0)*(((E1168*2.54)/100)^2)*(I1168*0.3048)))))*0.0011023),0)</f>
        <v>#N/A</v>
      </c>
      <c r="AD1168" s="104" t="e">
        <f t="shared" si="517"/>
        <v>#N/A</v>
      </c>
      <c r="AE1168" s="104" t="e">
        <f t="shared" si="518"/>
        <v>#N/A</v>
      </c>
      <c r="AF1168" s="104" t="e">
        <f>IF(AND(VLOOKUP($D1168,Merchantability!$B:$C,2,0)="Yes",$E1168&gt;=VLOOKUP($D1168,Merchantability!$B:$D,3,0),$E1168&lt;=VLOOKUP($D1168,Merchantability!$B:$E,4,0)),AA1168,0)</f>
        <v>#N/A</v>
      </c>
      <c r="AG1168" s="104" t="e">
        <f>IF(AND(VLOOKUP($D1168,Merchantability!$B:$C,2,0)="Yes",$E1168&gt;=VLOOKUP($D1168,Merchantability!$B:$D,3,0),$E1168&lt;=VLOOKUP($D1168,Merchantability!$B:$E,4,0)),AB1168,0)</f>
        <v>#N/A</v>
      </c>
      <c r="AH1168" s="104" t="e">
        <f>IF(AND(VLOOKUP($D1168,Merchantability!$B:$C,2,0)="Yes",$E1168&gt;=VLOOKUP($D1168,Merchantability!$B:$D,3,0),$E1168&lt;=VLOOKUP($D1168,Merchantability!$B:$E,4,0)),AC1168,0)</f>
        <v>#N/A</v>
      </c>
      <c r="AI1168" s="104" t="e">
        <f t="shared" si="519"/>
        <v>#N/A</v>
      </c>
      <c r="AJ1168" s="104" t="e">
        <f t="shared" si="520"/>
        <v>#VALUE!</v>
      </c>
      <c r="AK1168" s="104" t="e">
        <f t="shared" si="521"/>
        <v>#N/A</v>
      </c>
      <c r="AL1168" s="104" t="e">
        <f t="shared" si="522"/>
        <v>#N/A</v>
      </c>
      <c r="AM1168" s="104" t="e">
        <f t="shared" si="523"/>
        <v>#N/A</v>
      </c>
      <c r="AN1168" s="104" t="e">
        <f t="shared" si="534"/>
        <v>#N/A</v>
      </c>
      <c r="AO1168" s="104" t="e">
        <f t="shared" si="535"/>
        <v>#N/A</v>
      </c>
      <c r="AP1168" s="104" t="e">
        <f t="shared" si="536"/>
        <v>#N/A</v>
      </c>
      <c r="AQ1168" s="104" t="e">
        <f t="shared" si="537"/>
        <v>#N/A</v>
      </c>
      <c r="AR1168" s="105" t="str">
        <f t="shared" si="529"/>
        <v/>
      </c>
      <c r="AS1168" s="105" t="str">
        <f t="shared" si="530"/>
        <v/>
      </c>
      <c r="AT1168" s="108" t="str">
        <f t="shared" si="531"/>
        <v/>
      </c>
      <c r="AU1168" s="108" t="str">
        <f t="shared" si="532"/>
        <v/>
      </c>
      <c r="AV1168" s="107" t="str">
        <f>IF(ISNUMBER(O1168),IF(VLOOKUP($A1168,Stand!C:J,8,FALSE)="Short",AT1168,AU1168),"")</f>
        <v/>
      </c>
      <c r="AW1168" s="109" t="str">
        <f t="shared" si="538"/>
        <v/>
      </c>
      <c r="AX1168" s="109" t="str">
        <f t="shared" si="539"/>
        <v/>
      </c>
      <c r="AY1168" s="112" t="str">
        <f>IF(ISNUMBER(O1168),IF(AND(VLOOKUP($D1168,Merchantability!$B:$C,2,0)="Yes",$E1168&gt;=VLOOKUP($D1168,Merchantability!$B:$D,3,0),$E1168&lt;=VLOOKUP($D1168,Merchantability!$B:$E,4,0)),(AV1168*O1168)*(1-$H1168/100),""),"")</f>
        <v/>
      </c>
      <c r="AZ1168" s="116"/>
      <c r="BA1168" s="116"/>
      <c r="BB1168" s="116"/>
      <c r="BE1168" s="62"/>
      <c r="BF1168" s="63"/>
    </row>
    <row r="1169" spans="1:58" ht="12.75" customHeight="1" x14ac:dyDescent="0.25">
      <c r="A1169" s="313"/>
      <c r="B1169" s="328"/>
      <c r="C1169" s="329"/>
      <c r="D1169" s="328"/>
      <c r="E1169" s="330"/>
      <c r="F1169" s="328"/>
      <c r="G1169" s="329"/>
      <c r="H1169" s="329"/>
      <c r="I1169" s="328"/>
      <c r="J1169" s="383"/>
      <c r="K1169" s="329"/>
      <c r="L1169" s="329"/>
      <c r="M1169" s="76"/>
      <c r="N1169" s="103" t="str">
        <f>IF(A1169="","",VLOOKUP(A1169,Stand!C:K,9,0))</f>
        <v/>
      </c>
      <c r="O1169" s="104" t="str">
        <f t="shared" si="524"/>
        <v/>
      </c>
      <c r="P1169" s="105" t="str">
        <f t="shared" si="525"/>
        <v/>
      </c>
      <c r="Q1169" s="105" t="str">
        <f t="shared" si="513"/>
        <v/>
      </c>
      <c r="R1169" s="103" t="str">
        <f t="shared" si="526"/>
        <v/>
      </c>
      <c r="S1169" s="103" t="str">
        <f t="shared" si="527"/>
        <v/>
      </c>
      <c r="T1169" s="106" t="str">
        <f t="shared" si="514"/>
        <v/>
      </c>
      <c r="U1169" s="106" t="str">
        <f t="shared" si="515"/>
        <v/>
      </c>
      <c r="V1169" s="106" t="str">
        <f t="shared" si="516"/>
        <v/>
      </c>
      <c r="W1169" s="105" t="str">
        <f t="shared" si="528"/>
        <v/>
      </c>
      <c r="X1169" s="104" t="str">
        <f t="shared" si="533"/>
        <v/>
      </c>
      <c r="Y1169" s="104" t="str">
        <f t="array" ref="Y1169">IFERROR(IF(ISNUMBER(O1169),IF(COUNT(IF(A1169=$A$2:$A$2427,IF(D1169=$D$2:$D$2427,IF($X$2:$X$2427&gt;0,1))))&gt;0,SUM(IF(A1169=$A$2:$A$2427,IF(D1169=$D$2:$D$2427,$X$2:$X$2427)))/COUNT(IF(A1169=$A$2:$A$2427,IF(D1169=$D$2:$D$2427,IF(ISNUMBER($X$2:$X$2427),1)))),0),""),0)</f>
        <v/>
      </c>
      <c r="Z1169" s="104" t="str">
        <f>IF(ISNUMBER(O1169),IF(I1169&gt;0,(10^(VLOOKUP(D1169,'Species Codes'!B:C,2,0)+VLOOKUP(D1169,'Species Codes'!B:D,3,0)*LOG(E1169)+VLOOKUP(D1169,'Species Codes'!B:E,4,0)*LOG(I1169))),0),"")</f>
        <v/>
      </c>
      <c r="AA1169" s="104" t="str">
        <f>IFERROR((VLOOKUP(D1169,'Species Codes'!B:G,6,0)*Z1169)/2000,"")</f>
        <v/>
      </c>
      <c r="AB1169" s="104" t="e">
        <f>IF(Z1169&gt;0,((IF(OR(D1169="DF",D1169="RA")=TRUE,EXP(VLOOKUP(D1169,'Species Codes'!B:I,8,0)+VLOOKUP(D1169,'Species Codes'!B:J,9,0)*(LN((E1169*2.54)))),IF(OR(D1169="PY",D1169="RC",D1169="WH",D1169="NF")=TRUE,VLOOKUP(D1169,'Species Codes'!B:I,8,0)+VLOOKUP(D1169,'Species Codes'!B:J,9,0)*((E1169*2.54)^2)*(I1169*0.3048),IF(OR(D1169="MD",D1169="BM",D1169="GA")=TRUE,((VLOOKUP(D1169,'Species Codes'!B:I,8,0)*(((((E1169*2.54)+VLOOKUP(D1169,'Species Codes'!B:J,9,0))/VLOOKUP(D1169,'Species Codes'!B:K,10,0))^VLOOKUP(D1169,'Species Codes'!B:L,11,0))*((I1169*0.3048)^VLOOKUP(D1169,'Species Codes'!B:M,12,0))))-(VLOOKUP(D1169,'Species Codes'!B:I,8,0)*((((E1169*2.54)^VLOOKUP(D1169,'Species Codes'!B:L,11,0))*((I1169*0.3048)^VLOOKUP(D1169,'Species Codes'!B:M,12,0))))))*35.3*VLOOKUP(D1169,'Species Codes'!B:G,6,0)/2.2046,VLOOKUP(D1169,'Species Codes'!B:I,8,0)+VLOOKUP(D1169,'Species Codes'!B:J,9,0)*(((E1169*2.54)/100)^2)*(I1169*0.3048)))))*0.0011023),0)</f>
        <v>#N/A</v>
      </c>
      <c r="AC1169" s="104" t="e">
        <f>IF(Z1169&gt;0,((IF(OR(D1169="RA",D1169="OA",D1169="OT",D1169="UN",D1169="PC"),EXP(VLOOKUP(D1169,'Species Codes'!B:O,14,0)+VLOOKUP(D1169,'Species Codes'!B:P,15,0)*LN((E1169*2.54)))-EXP(VLOOKUP(D1169,'Species Codes'!B:O,14,0)+VLOOKUP(D1169,'Species Codes'!B:P,15,0)*LN((E1169*2.54)))*(1/(VLOOKUP(D1169,'Species Codes'!B:Q,16,0)+VLOOKUP(D1169,'Species Codes'!B:R,17,0)*((E1169*2.54)^VLOOKUP(D1169,'Species Codes'!B:S,18,0)))),IF(OR(D1169="BM",D1169="MD",D1169="OA"),EXP(VLOOKUP(D1169,'Species Codes'!B:O,14,0)+VLOOKUP(D1169,'Species Codes'!B:P,15,0)*LN((E1169*2.54)))*(1-(1/(VLOOKUP(D1169,'Species Codes'!B:Q,16,0)+VLOOKUP(D1169,'Species Codes'!B:R,17,0)*((E1169*2.54)^VLOOKUP(D1169,'Species Codes'!B:S,18,0)))))/1000,IF(D1169="DF",EXP(VLOOKUP(D1169,'Species Codes'!B:O,14,0)+VLOOKUP(D1169,'Species Codes'!B:P,15,0)*LN((E1169*2.54))),VLOOKUP(D1169,'Species Codes'!B:O,14,0)+VLOOKUP(D1169,'Species Codes'!B:P,15,0)*(((E1169*2.54)/100)^2)*(I1169*0.3048)))))*0.0011023),0)</f>
        <v>#N/A</v>
      </c>
      <c r="AD1169" s="104" t="e">
        <f t="shared" si="517"/>
        <v>#N/A</v>
      </c>
      <c r="AE1169" s="104" t="e">
        <f t="shared" si="518"/>
        <v>#N/A</v>
      </c>
      <c r="AF1169" s="104" t="e">
        <f>IF(AND(VLOOKUP($D1169,Merchantability!$B:$C,2,0)="Yes",$E1169&gt;=VLOOKUP($D1169,Merchantability!$B:$D,3,0),$E1169&lt;=VLOOKUP($D1169,Merchantability!$B:$E,4,0)),AA1169,0)</f>
        <v>#N/A</v>
      </c>
      <c r="AG1169" s="104" t="e">
        <f>IF(AND(VLOOKUP($D1169,Merchantability!$B:$C,2,0)="Yes",$E1169&gt;=VLOOKUP($D1169,Merchantability!$B:$D,3,0),$E1169&lt;=VLOOKUP($D1169,Merchantability!$B:$E,4,0)),AB1169,0)</f>
        <v>#N/A</v>
      </c>
      <c r="AH1169" s="104" t="e">
        <f>IF(AND(VLOOKUP($D1169,Merchantability!$B:$C,2,0)="Yes",$E1169&gt;=VLOOKUP($D1169,Merchantability!$B:$D,3,0),$E1169&lt;=VLOOKUP($D1169,Merchantability!$B:$E,4,0)),AC1169,0)</f>
        <v>#N/A</v>
      </c>
      <c r="AI1169" s="104" t="e">
        <f t="shared" si="519"/>
        <v>#N/A</v>
      </c>
      <c r="AJ1169" s="104" t="e">
        <f t="shared" si="520"/>
        <v>#VALUE!</v>
      </c>
      <c r="AK1169" s="104" t="e">
        <f t="shared" si="521"/>
        <v>#N/A</v>
      </c>
      <c r="AL1169" s="104" t="e">
        <f t="shared" si="522"/>
        <v>#N/A</v>
      </c>
      <c r="AM1169" s="104" t="e">
        <f t="shared" si="523"/>
        <v>#N/A</v>
      </c>
      <c r="AN1169" s="104" t="e">
        <f t="shared" si="534"/>
        <v>#N/A</v>
      </c>
      <c r="AO1169" s="104" t="e">
        <f t="shared" si="535"/>
        <v>#N/A</v>
      </c>
      <c r="AP1169" s="104" t="e">
        <f t="shared" si="536"/>
        <v>#N/A</v>
      </c>
      <c r="AQ1169" s="104" t="e">
        <f t="shared" si="537"/>
        <v>#N/A</v>
      </c>
      <c r="AR1169" s="105" t="str">
        <f t="shared" si="529"/>
        <v/>
      </c>
      <c r="AS1169" s="105" t="str">
        <f t="shared" si="530"/>
        <v/>
      </c>
      <c r="AT1169" s="108" t="str">
        <f t="shared" si="531"/>
        <v/>
      </c>
      <c r="AU1169" s="108" t="str">
        <f t="shared" si="532"/>
        <v/>
      </c>
      <c r="AV1169" s="107" t="str">
        <f>IF(ISNUMBER(O1169),IF(VLOOKUP($A1169,Stand!C:J,8,FALSE)="Short",AT1169,AU1169),"")</f>
        <v/>
      </c>
      <c r="AW1169" s="109" t="str">
        <f t="shared" si="538"/>
        <v/>
      </c>
      <c r="AX1169" s="109" t="str">
        <f t="shared" si="539"/>
        <v/>
      </c>
      <c r="AY1169" s="112" t="str">
        <f>IF(ISNUMBER(O1169),IF(AND(VLOOKUP($D1169,Merchantability!$B:$C,2,0)="Yes",$E1169&gt;=VLOOKUP($D1169,Merchantability!$B:$D,3,0),$E1169&lt;=VLOOKUP($D1169,Merchantability!$B:$E,4,0)),(AV1169*O1169)*(1-$H1169/100),""),"")</f>
        <v/>
      </c>
      <c r="AZ1169" s="116"/>
      <c r="BA1169" s="116"/>
      <c r="BB1169" s="116"/>
      <c r="BE1169" s="62"/>
      <c r="BF1169" s="63"/>
    </row>
    <row r="1170" spans="1:58" ht="12.75" customHeight="1" x14ac:dyDescent="0.25">
      <c r="A1170" s="313"/>
      <c r="B1170" s="328"/>
      <c r="C1170" s="329"/>
      <c r="D1170" s="328"/>
      <c r="E1170" s="330"/>
      <c r="F1170" s="328"/>
      <c r="G1170" s="329"/>
      <c r="H1170" s="329"/>
      <c r="I1170" s="328"/>
      <c r="J1170" s="383"/>
      <c r="K1170" s="329"/>
      <c r="L1170" s="329"/>
      <c r="M1170" s="76"/>
      <c r="N1170" s="103" t="str">
        <f>IF(A1170="","",VLOOKUP(A1170,Stand!C:K,9,0))</f>
        <v/>
      </c>
      <c r="O1170" s="104" t="str">
        <f t="shared" si="524"/>
        <v/>
      </c>
      <c r="P1170" s="105" t="str">
        <f t="shared" si="525"/>
        <v/>
      </c>
      <c r="Q1170" s="105" t="str">
        <f t="shared" si="513"/>
        <v/>
      </c>
      <c r="R1170" s="103" t="str">
        <f t="shared" si="526"/>
        <v/>
      </c>
      <c r="S1170" s="103" t="str">
        <f t="shared" si="527"/>
        <v/>
      </c>
      <c r="T1170" s="106" t="str">
        <f t="shared" si="514"/>
        <v/>
      </c>
      <c r="U1170" s="106" t="str">
        <f t="shared" si="515"/>
        <v/>
      </c>
      <c r="V1170" s="106" t="str">
        <f t="shared" si="516"/>
        <v/>
      </c>
      <c r="W1170" s="105" t="str">
        <f t="shared" si="528"/>
        <v/>
      </c>
      <c r="X1170" s="104" t="str">
        <f t="shared" si="533"/>
        <v/>
      </c>
      <c r="Y1170" s="104" t="str">
        <f t="array" ref="Y1170">IFERROR(IF(ISNUMBER(O1170),IF(COUNT(IF(A1170=$A$2:$A$2427,IF(D1170=$D$2:$D$2427,IF($X$2:$X$2427&gt;0,1))))&gt;0,SUM(IF(A1170=$A$2:$A$2427,IF(D1170=$D$2:$D$2427,$X$2:$X$2427)))/COUNT(IF(A1170=$A$2:$A$2427,IF(D1170=$D$2:$D$2427,IF(ISNUMBER($X$2:$X$2427),1)))),0),""),0)</f>
        <v/>
      </c>
      <c r="Z1170" s="104" t="str">
        <f>IF(ISNUMBER(O1170),IF(I1170&gt;0,(10^(VLOOKUP(D1170,'Species Codes'!B:C,2,0)+VLOOKUP(D1170,'Species Codes'!B:D,3,0)*LOG(E1170)+VLOOKUP(D1170,'Species Codes'!B:E,4,0)*LOG(I1170))),0),"")</f>
        <v/>
      </c>
      <c r="AA1170" s="104" t="str">
        <f>IFERROR((VLOOKUP(D1170,'Species Codes'!B:G,6,0)*Z1170)/2000,"")</f>
        <v/>
      </c>
      <c r="AB1170" s="104" t="e">
        <f>IF(Z1170&gt;0,((IF(OR(D1170="DF",D1170="RA")=TRUE,EXP(VLOOKUP(D1170,'Species Codes'!B:I,8,0)+VLOOKUP(D1170,'Species Codes'!B:J,9,0)*(LN((E1170*2.54)))),IF(OR(D1170="PY",D1170="RC",D1170="WH",D1170="NF")=TRUE,VLOOKUP(D1170,'Species Codes'!B:I,8,0)+VLOOKUP(D1170,'Species Codes'!B:J,9,0)*((E1170*2.54)^2)*(I1170*0.3048),IF(OR(D1170="MD",D1170="BM",D1170="GA")=TRUE,((VLOOKUP(D1170,'Species Codes'!B:I,8,0)*(((((E1170*2.54)+VLOOKUP(D1170,'Species Codes'!B:J,9,0))/VLOOKUP(D1170,'Species Codes'!B:K,10,0))^VLOOKUP(D1170,'Species Codes'!B:L,11,0))*((I1170*0.3048)^VLOOKUP(D1170,'Species Codes'!B:M,12,0))))-(VLOOKUP(D1170,'Species Codes'!B:I,8,0)*((((E1170*2.54)^VLOOKUP(D1170,'Species Codes'!B:L,11,0))*((I1170*0.3048)^VLOOKUP(D1170,'Species Codes'!B:M,12,0))))))*35.3*VLOOKUP(D1170,'Species Codes'!B:G,6,0)/2.2046,VLOOKUP(D1170,'Species Codes'!B:I,8,0)+VLOOKUP(D1170,'Species Codes'!B:J,9,0)*(((E1170*2.54)/100)^2)*(I1170*0.3048)))))*0.0011023),0)</f>
        <v>#N/A</v>
      </c>
      <c r="AC1170" s="104" t="e">
        <f>IF(Z1170&gt;0,((IF(OR(D1170="RA",D1170="OA",D1170="OT",D1170="UN",D1170="PC"),EXP(VLOOKUP(D1170,'Species Codes'!B:O,14,0)+VLOOKUP(D1170,'Species Codes'!B:P,15,0)*LN((E1170*2.54)))-EXP(VLOOKUP(D1170,'Species Codes'!B:O,14,0)+VLOOKUP(D1170,'Species Codes'!B:P,15,0)*LN((E1170*2.54)))*(1/(VLOOKUP(D1170,'Species Codes'!B:Q,16,0)+VLOOKUP(D1170,'Species Codes'!B:R,17,0)*((E1170*2.54)^VLOOKUP(D1170,'Species Codes'!B:S,18,0)))),IF(OR(D1170="BM",D1170="MD",D1170="OA"),EXP(VLOOKUP(D1170,'Species Codes'!B:O,14,0)+VLOOKUP(D1170,'Species Codes'!B:P,15,0)*LN((E1170*2.54)))*(1-(1/(VLOOKUP(D1170,'Species Codes'!B:Q,16,0)+VLOOKUP(D1170,'Species Codes'!B:R,17,0)*((E1170*2.54)^VLOOKUP(D1170,'Species Codes'!B:S,18,0)))))/1000,IF(D1170="DF",EXP(VLOOKUP(D1170,'Species Codes'!B:O,14,0)+VLOOKUP(D1170,'Species Codes'!B:P,15,0)*LN((E1170*2.54))),VLOOKUP(D1170,'Species Codes'!B:O,14,0)+VLOOKUP(D1170,'Species Codes'!B:P,15,0)*(((E1170*2.54)/100)^2)*(I1170*0.3048)))))*0.0011023),0)</f>
        <v>#N/A</v>
      </c>
      <c r="AD1170" s="104" t="e">
        <f t="shared" si="517"/>
        <v>#N/A</v>
      </c>
      <c r="AE1170" s="104" t="e">
        <f t="shared" si="518"/>
        <v>#N/A</v>
      </c>
      <c r="AF1170" s="104" t="e">
        <f>IF(AND(VLOOKUP($D1170,Merchantability!$B:$C,2,0)="Yes",$E1170&gt;=VLOOKUP($D1170,Merchantability!$B:$D,3,0),$E1170&lt;=VLOOKUP($D1170,Merchantability!$B:$E,4,0)),AA1170,0)</f>
        <v>#N/A</v>
      </c>
      <c r="AG1170" s="104" t="e">
        <f>IF(AND(VLOOKUP($D1170,Merchantability!$B:$C,2,0)="Yes",$E1170&gt;=VLOOKUP($D1170,Merchantability!$B:$D,3,0),$E1170&lt;=VLOOKUP($D1170,Merchantability!$B:$E,4,0)),AB1170,0)</f>
        <v>#N/A</v>
      </c>
      <c r="AH1170" s="104" t="e">
        <f>IF(AND(VLOOKUP($D1170,Merchantability!$B:$C,2,0)="Yes",$E1170&gt;=VLOOKUP($D1170,Merchantability!$B:$D,3,0),$E1170&lt;=VLOOKUP($D1170,Merchantability!$B:$E,4,0)),AC1170,0)</f>
        <v>#N/A</v>
      </c>
      <c r="AI1170" s="104" t="e">
        <f t="shared" si="519"/>
        <v>#N/A</v>
      </c>
      <c r="AJ1170" s="104" t="e">
        <f t="shared" si="520"/>
        <v>#VALUE!</v>
      </c>
      <c r="AK1170" s="104" t="e">
        <f t="shared" si="521"/>
        <v>#N/A</v>
      </c>
      <c r="AL1170" s="104" t="e">
        <f t="shared" si="522"/>
        <v>#N/A</v>
      </c>
      <c r="AM1170" s="104" t="e">
        <f t="shared" si="523"/>
        <v>#N/A</v>
      </c>
      <c r="AN1170" s="104" t="e">
        <f t="shared" si="534"/>
        <v>#N/A</v>
      </c>
      <c r="AO1170" s="104" t="e">
        <f t="shared" si="535"/>
        <v>#N/A</v>
      </c>
      <c r="AP1170" s="104" t="e">
        <f t="shared" si="536"/>
        <v>#N/A</v>
      </c>
      <c r="AQ1170" s="104" t="e">
        <f t="shared" si="537"/>
        <v>#N/A</v>
      </c>
      <c r="AR1170" s="105" t="str">
        <f t="shared" si="529"/>
        <v/>
      </c>
      <c r="AS1170" s="105" t="str">
        <f t="shared" si="530"/>
        <v/>
      </c>
      <c r="AT1170" s="108" t="str">
        <f t="shared" si="531"/>
        <v/>
      </c>
      <c r="AU1170" s="108" t="str">
        <f t="shared" si="532"/>
        <v/>
      </c>
      <c r="AV1170" s="107" t="str">
        <f>IF(ISNUMBER(O1170),IF(VLOOKUP($A1170,Stand!C:J,8,FALSE)="Short",AT1170,AU1170),"")</f>
        <v/>
      </c>
      <c r="AW1170" s="109" t="str">
        <f t="shared" si="538"/>
        <v/>
      </c>
      <c r="AX1170" s="109" t="str">
        <f t="shared" si="539"/>
        <v/>
      </c>
      <c r="AY1170" s="112" t="str">
        <f>IF(ISNUMBER(O1170),IF(AND(VLOOKUP($D1170,Merchantability!$B:$C,2,0)="Yes",$E1170&gt;=VLOOKUP($D1170,Merchantability!$B:$D,3,0),$E1170&lt;=VLOOKUP($D1170,Merchantability!$B:$E,4,0)),(AV1170*O1170)*(1-$H1170/100),""),"")</f>
        <v/>
      </c>
      <c r="AZ1170" s="116"/>
      <c r="BA1170" s="116"/>
      <c r="BB1170" s="116"/>
      <c r="BE1170" s="62"/>
      <c r="BF1170" s="63"/>
    </row>
    <row r="1171" spans="1:58" ht="12.75" customHeight="1" x14ac:dyDescent="0.25">
      <c r="A1171" s="313"/>
      <c r="B1171" s="328"/>
      <c r="C1171" s="329"/>
      <c r="D1171" s="328"/>
      <c r="E1171" s="330"/>
      <c r="F1171" s="328"/>
      <c r="G1171" s="329"/>
      <c r="H1171" s="329"/>
      <c r="I1171" s="328"/>
      <c r="J1171" s="383"/>
      <c r="K1171" s="329"/>
      <c r="L1171" s="329"/>
      <c r="M1171" s="76"/>
      <c r="N1171" s="103" t="str">
        <f>IF(A1171="","",VLOOKUP(A1171,Stand!C:K,9,0))</f>
        <v/>
      </c>
      <c r="O1171" s="104" t="str">
        <f t="shared" si="524"/>
        <v/>
      </c>
      <c r="P1171" s="105" t="str">
        <f t="shared" si="525"/>
        <v/>
      </c>
      <c r="Q1171" s="105" t="str">
        <f t="shared" si="513"/>
        <v/>
      </c>
      <c r="R1171" s="103" t="str">
        <f t="shared" si="526"/>
        <v/>
      </c>
      <c r="S1171" s="103" t="str">
        <f t="shared" si="527"/>
        <v/>
      </c>
      <c r="T1171" s="106" t="str">
        <f t="shared" si="514"/>
        <v/>
      </c>
      <c r="U1171" s="106" t="str">
        <f t="shared" si="515"/>
        <v/>
      </c>
      <c r="V1171" s="106" t="str">
        <f t="shared" si="516"/>
        <v/>
      </c>
      <c r="W1171" s="105" t="str">
        <f t="shared" si="528"/>
        <v/>
      </c>
      <c r="X1171" s="104" t="str">
        <f t="shared" si="533"/>
        <v/>
      </c>
      <c r="Y1171" s="104" t="str">
        <f t="array" ref="Y1171">IFERROR(IF(ISNUMBER(O1171),IF(COUNT(IF(A1171=$A$2:$A$2427,IF(D1171=$D$2:$D$2427,IF($X$2:$X$2427&gt;0,1))))&gt;0,SUM(IF(A1171=$A$2:$A$2427,IF(D1171=$D$2:$D$2427,$X$2:$X$2427)))/COUNT(IF(A1171=$A$2:$A$2427,IF(D1171=$D$2:$D$2427,IF(ISNUMBER($X$2:$X$2427),1)))),0),""),0)</f>
        <v/>
      </c>
      <c r="Z1171" s="104" t="str">
        <f>IF(ISNUMBER(O1171),IF(I1171&gt;0,(10^(VLOOKUP(D1171,'Species Codes'!B:C,2,0)+VLOOKUP(D1171,'Species Codes'!B:D,3,0)*LOG(E1171)+VLOOKUP(D1171,'Species Codes'!B:E,4,0)*LOG(I1171))),0),"")</f>
        <v/>
      </c>
      <c r="AA1171" s="104" t="str">
        <f>IFERROR((VLOOKUP(D1171,'Species Codes'!B:G,6,0)*Z1171)/2000,"")</f>
        <v/>
      </c>
      <c r="AB1171" s="104" t="e">
        <f>IF(Z1171&gt;0,((IF(OR(D1171="DF",D1171="RA")=TRUE,EXP(VLOOKUP(D1171,'Species Codes'!B:I,8,0)+VLOOKUP(D1171,'Species Codes'!B:J,9,0)*(LN((E1171*2.54)))),IF(OR(D1171="PY",D1171="RC",D1171="WH",D1171="NF")=TRUE,VLOOKUP(D1171,'Species Codes'!B:I,8,0)+VLOOKUP(D1171,'Species Codes'!B:J,9,0)*((E1171*2.54)^2)*(I1171*0.3048),IF(OR(D1171="MD",D1171="BM",D1171="GA")=TRUE,((VLOOKUP(D1171,'Species Codes'!B:I,8,0)*(((((E1171*2.54)+VLOOKUP(D1171,'Species Codes'!B:J,9,0))/VLOOKUP(D1171,'Species Codes'!B:K,10,0))^VLOOKUP(D1171,'Species Codes'!B:L,11,0))*((I1171*0.3048)^VLOOKUP(D1171,'Species Codes'!B:M,12,0))))-(VLOOKUP(D1171,'Species Codes'!B:I,8,0)*((((E1171*2.54)^VLOOKUP(D1171,'Species Codes'!B:L,11,0))*((I1171*0.3048)^VLOOKUP(D1171,'Species Codes'!B:M,12,0))))))*35.3*VLOOKUP(D1171,'Species Codes'!B:G,6,0)/2.2046,VLOOKUP(D1171,'Species Codes'!B:I,8,0)+VLOOKUP(D1171,'Species Codes'!B:J,9,0)*(((E1171*2.54)/100)^2)*(I1171*0.3048)))))*0.0011023),0)</f>
        <v>#N/A</v>
      </c>
      <c r="AC1171" s="104" t="e">
        <f>IF(Z1171&gt;0,((IF(OR(D1171="RA",D1171="OA",D1171="OT",D1171="UN",D1171="PC"),EXP(VLOOKUP(D1171,'Species Codes'!B:O,14,0)+VLOOKUP(D1171,'Species Codes'!B:P,15,0)*LN((E1171*2.54)))-EXP(VLOOKUP(D1171,'Species Codes'!B:O,14,0)+VLOOKUP(D1171,'Species Codes'!B:P,15,0)*LN((E1171*2.54)))*(1/(VLOOKUP(D1171,'Species Codes'!B:Q,16,0)+VLOOKUP(D1171,'Species Codes'!B:R,17,0)*((E1171*2.54)^VLOOKUP(D1171,'Species Codes'!B:S,18,0)))),IF(OR(D1171="BM",D1171="MD",D1171="OA"),EXP(VLOOKUP(D1171,'Species Codes'!B:O,14,0)+VLOOKUP(D1171,'Species Codes'!B:P,15,0)*LN((E1171*2.54)))*(1-(1/(VLOOKUP(D1171,'Species Codes'!B:Q,16,0)+VLOOKUP(D1171,'Species Codes'!B:R,17,0)*((E1171*2.54)^VLOOKUP(D1171,'Species Codes'!B:S,18,0)))))/1000,IF(D1171="DF",EXP(VLOOKUP(D1171,'Species Codes'!B:O,14,0)+VLOOKUP(D1171,'Species Codes'!B:P,15,0)*LN((E1171*2.54))),VLOOKUP(D1171,'Species Codes'!B:O,14,0)+VLOOKUP(D1171,'Species Codes'!B:P,15,0)*(((E1171*2.54)/100)^2)*(I1171*0.3048)))))*0.0011023),0)</f>
        <v>#N/A</v>
      </c>
      <c r="AD1171" s="104" t="e">
        <f t="shared" si="517"/>
        <v>#N/A</v>
      </c>
      <c r="AE1171" s="104" t="e">
        <f t="shared" si="518"/>
        <v>#N/A</v>
      </c>
      <c r="AF1171" s="104" t="e">
        <f>IF(AND(VLOOKUP($D1171,Merchantability!$B:$C,2,0)="Yes",$E1171&gt;=VLOOKUP($D1171,Merchantability!$B:$D,3,0),$E1171&lt;=VLOOKUP($D1171,Merchantability!$B:$E,4,0)),AA1171,0)</f>
        <v>#N/A</v>
      </c>
      <c r="AG1171" s="104" t="e">
        <f>IF(AND(VLOOKUP($D1171,Merchantability!$B:$C,2,0)="Yes",$E1171&gt;=VLOOKUP($D1171,Merchantability!$B:$D,3,0),$E1171&lt;=VLOOKUP($D1171,Merchantability!$B:$E,4,0)),AB1171,0)</f>
        <v>#N/A</v>
      </c>
      <c r="AH1171" s="104" t="e">
        <f>IF(AND(VLOOKUP($D1171,Merchantability!$B:$C,2,0)="Yes",$E1171&gt;=VLOOKUP($D1171,Merchantability!$B:$D,3,0),$E1171&lt;=VLOOKUP($D1171,Merchantability!$B:$E,4,0)),AC1171,0)</f>
        <v>#N/A</v>
      </c>
      <c r="AI1171" s="104" t="e">
        <f t="shared" si="519"/>
        <v>#N/A</v>
      </c>
      <c r="AJ1171" s="104" t="e">
        <f t="shared" si="520"/>
        <v>#VALUE!</v>
      </c>
      <c r="AK1171" s="104" t="e">
        <f t="shared" si="521"/>
        <v>#N/A</v>
      </c>
      <c r="AL1171" s="104" t="e">
        <f t="shared" si="522"/>
        <v>#N/A</v>
      </c>
      <c r="AM1171" s="104" t="e">
        <f t="shared" si="523"/>
        <v>#N/A</v>
      </c>
      <c r="AN1171" s="104" t="e">
        <f t="shared" si="534"/>
        <v>#N/A</v>
      </c>
      <c r="AO1171" s="104" t="e">
        <f t="shared" si="535"/>
        <v>#N/A</v>
      </c>
      <c r="AP1171" s="104" t="e">
        <f t="shared" si="536"/>
        <v>#N/A</v>
      </c>
      <c r="AQ1171" s="104" t="e">
        <f t="shared" si="537"/>
        <v>#N/A</v>
      </c>
      <c r="AR1171" s="105" t="str">
        <f t="shared" si="529"/>
        <v/>
      </c>
      <c r="AS1171" s="105" t="str">
        <f t="shared" si="530"/>
        <v/>
      </c>
      <c r="AT1171" s="108" t="str">
        <f t="shared" si="531"/>
        <v/>
      </c>
      <c r="AU1171" s="108" t="str">
        <f t="shared" si="532"/>
        <v/>
      </c>
      <c r="AV1171" s="107" t="str">
        <f>IF(ISNUMBER(O1171),IF(VLOOKUP($A1171,Stand!C:J,8,FALSE)="Short",AT1171,AU1171),"")</f>
        <v/>
      </c>
      <c r="AW1171" s="109" t="str">
        <f t="shared" si="538"/>
        <v/>
      </c>
      <c r="AX1171" s="109" t="str">
        <f t="shared" si="539"/>
        <v/>
      </c>
      <c r="AY1171" s="112" t="str">
        <f>IF(ISNUMBER(O1171),IF(AND(VLOOKUP($D1171,Merchantability!$B:$C,2,0)="Yes",$E1171&gt;=VLOOKUP($D1171,Merchantability!$B:$D,3,0),$E1171&lt;=VLOOKUP($D1171,Merchantability!$B:$E,4,0)),(AV1171*O1171)*(1-$H1171/100),""),"")</f>
        <v/>
      </c>
      <c r="AZ1171" s="116"/>
      <c r="BA1171" s="116"/>
      <c r="BB1171" s="116"/>
      <c r="BE1171" s="62"/>
      <c r="BF1171" s="63"/>
    </row>
    <row r="1172" spans="1:58" ht="12.75" customHeight="1" x14ac:dyDescent="0.25">
      <c r="A1172" s="313"/>
      <c r="B1172" s="328"/>
      <c r="C1172" s="329"/>
      <c r="D1172" s="328"/>
      <c r="E1172" s="330"/>
      <c r="F1172" s="328"/>
      <c r="G1172" s="329"/>
      <c r="H1172" s="329"/>
      <c r="I1172" s="328"/>
      <c r="J1172" s="383"/>
      <c r="K1172" s="329"/>
      <c r="L1172" s="329"/>
      <c r="M1172" s="76"/>
      <c r="N1172" s="103" t="str">
        <f>IF(A1172="","",VLOOKUP(A1172,Stand!C:K,9,0))</f>
        <v/>
      </c>
      <c r="O1172" s="104" t="str">
        <f t="shared" si="524"/>
        <v/>
      </c>
      <c r="P1172" s="105" t="str">
        <f t="shared" si="525"/>
        <v/>
      </c>
      <c r="Q1172" s="105" t="str">
        <f t="shared" si="513"/>
        <v/>
      </c>
      <c r="R1172" s="103" t="str">
        <f t="shared" si="526"/>
        <v/>
      </c>
      <c r="S1172" s="103" t="str">
        <f t="shared" si="527"/>
        <v/>
      </c>
      <c r="T1172" s="106" t="str">
        <f t="shared" si="514"/>
        <v/>
      </c>
      <c r="U1172" s="106" t="str">
        <f t="shared" si="515"/>
        <v/>
      </c>
      <c r="V1172" s="106" t="str">
        <f t="shared" si="516"/>
        <v/>
      </c>
      <c r="W1172" s="105" t="str">
        <f t="shared" si="528"/>
        <v/>
      </c>
      <c r="X1172" s="104" t="str">
        <f t="shared" si="533"/>
        <v/>
      </c>
      <c r="Y1172" s="104" t="str">
        <f t="array" ref="Y1172">IFERROR(IF(ISNUMBER(O1172),IF(COUNT(IF(A1172=$A$2:$A$2427,IF(D1172=$D$2:$D$2427,IF($X$2:$X$2427&gt;0,1))))&gt;0,SUM(IF(A1172=$A$2:$A$2427,IF(D1172=$D$2:$D$2427,$X$2:$X$2427)))/COUNT(IF(A1172=$A$2:$A$2427,IF(D1172=$D$2:$D$2427,IF(ISNUMBER($X$2:$X$2427),1)))),0),""),0)</f>
        <v/>
      </c>
      <c r="Z1172" s="104" t="str">
        <f>IF(ISNUMBER(O1172),IF(I1172&gt;0,(10^(VLOOKUP(D1172,'Species Codes'!B:C,2,0)+VLOOKUP(D1172,'Species Codes'!B:D,3,0)*LOG(E1172)+VLOOKUP(D1172,'Species Codes'!B:E,4,0)*LOG(I1172))),0),"")</f>
        <v/>
      </c>
      <c r="AA1172" s="104" t="str">
        <f>IFERROR((VLOOKUP(D1172,'Species Codes'!B:G,6,0)*Z1172)/2000,"")</f>
        <v/>
      </c>
      <c r="AB1172" s="104" t="e">
        <f>IF(Z1172&gt;0,((IF(OR(D1172="DF",D1172="RA")=TRUE,EXP(VLOOKUP(D1172,'Species Codes'!B:I,8,0)+VLOOKUP(D1172,'Species Codes'!B:J,9,0)*(LN((E1172*2.54)))),IF(OR(D1172="PY",D1172="RC",D1172="WH",D1172="NF")=TRUE,VLOOKUP(D1172,'Species Codes'!B:I,8,0)+VLOOKUP(D1172,'Species Codes'!B:J,9,0)*((E1172*2.54)^2)*(I1172*0.3048),IF(OR(D1172="MD",D1172="BM",D1172="GA")=TRUE,((VLOOKUP(D1172,'Species Codes'!B:I,8,0)*(((((E1172*2.54)+VLOOKUP(D1172,'Species Codes'!B:J,9,0))/VLOOKUP(D1172,'Species Codes'!B:K,10,0))^VLOOKUP(D1172,'Species Codes'!B:L,11,0))*((I1172*0.3048)^VLOOKUP(D1172,'Species Codes'!B:M,12,0))))-(VLOOKUP(D1172,'Species Codes'!B:I,8,0)*((((E1172*2.54)^VLOOKUP(D1172,'Species Codes'!B:L,11,0))*((I1172*0.3048)^VLOOKUP(D1172,'Species Codes'!B:M,12,0))))))*35.3*VLOOKUP(D1172,'Species Codes'!B:G,6,0)/2.2046,VLOOKUP(D1172,'Species Codes'!B:I,8,0)+VLOOKUP(D1172,'Species Codes'!B:J,9,0)*(((E1172*2.54)/100)^2)*(I1172*0.3048)))))*0.0011023),0)</f>
        <v>#N/A</v>
      </c>
      <c r="AC1172" s="104" t="e">
        <f>IF(Z1172&gt;0,((IF(OR(D1172="RA",D1172="OA",D1172="OT",D1172="UN",D1172="PC"),EXP(VLOOKUP(D1172,'Species Codes'!B:O,14,0)+VLOOKUP(D1172,'Species Codes'!B:P,15,0)*LN((E1172*2.54)))-EXP(VLOOKUP(D1172,'Species Codes'!B:O,14,0)+VLOOKUP(D1172,'Species Codes'!B:P,15,0)*LN((E1172*2.54)))*(1/(VLOOKUP(D1172,'Species Codes'!B:Q,16,0)+VLOOKUP(D1172,'Species Codes'!B:R,17,0)*((E1172*2.54)^VLOOKUP(D1172,'Species Codes'!B:S,18,0)))),IF(OR(D1172="BM",D1172="MD",D1172="OA"),EXP(VLOOKUP(D1172,'Species Codes'!B:O,14,0)+VLOOKUP(D1172,'Species Codes'!B:P,15,0)*LN((E1172*2.54)))*(1-(1/(VLOOKUP(D1172,'Species Codes'!B:Q,16,0)+VLOOKUP(D1172,'Species Codes'!B:R,17,0)*((E1172*2.54)^VLOOKUP(D1172,'Species Codes'!B:S,18,0)))))/1000,IF(D1172="DF",EXP(VLOOKUP(D1172,'Species Codes'!B:O,14,0)+VLOOKUP(D1172,'Species Codes'!B:P,15,0)*LN((E1172*2.54))),VLOOKUP(D1172,'Species Codes'!B:O,14,0)+VLOOKUP(D1172,'Species Codes'!B:P,15,0)*(((E1172*2.54)/100)^2)*(I1172*0.3048)))))*0.0011023),0)</f>
        <v>#N/A</v>
      </c>
      <c r="AD1172" s="104" t="e">
        <f t="shared" si="517"/>
        <v>#N/A</v>
      </c>
      <c r="AE1172" s="104" t="e">
        <f t="shared" si="518"/>
        <v>#N/A</v>
      </c>
      <c r="AF1172" s="104" t="e">
        <f>IF(AND(VLOOKUP($D1172,Merchantability!$B:$C,2,0)="Yes",$E1172&gt;=VLOOKUP($D1172,Merchantability!$B:$D,3,0),$E1172&lt;=VLOOKUP($D1172,Merchantability!$B:$E,4,0)),AA1172,0)</f>
        <v>#N/A</v>
      </c>
      <c r="AG1172" s="104" t="e">
        <f>IF(AND(VLOOKUP($D1172,Merchantability!$B:$C,2,0)="Yes",$E1172&gt;=VLOOKUP($D1172,Merchantability!$B:$D,3,0),$E1172&lt;=VLOOKUP($D1172,Merchantability!$B:$E,4,0)),AB1172,0)</f>
        <v>#N/A</v>
      </c>
      <c r="AH1172" s="104" t="e">
        <f>IF(AND(VLOOKUP($D1172,Merchantability!$B:$C,2,0)="Yes",$E1172&gt;=VLOOKUP($D1172,Merchantability!$B:$D,3,0),$E1172&lt;=VLOOKUP($D1172,Merchantability!$B:$E,4,0)),AC1172,0)</f>
        <v>#N/A</v>
      </c>
      <c r="AI1172" s="104" t="e">
        <f t="shared" si="519"/>
        <v>#N/A</v>
      </c>
      <c r="AJ1172" s="104" t="e">
        <f t="shared" si="520"/>
        <v>#VALUE!</v>
      </c>
      <c r="AK1172" s="104" t="e">
        <f t="shared" si="521"/>
        <v>#N/A</v>
      </c>
      <c r="AL1172" s="104" t="e">
        <f t="shared" si="522"/>
        <v>#N/A</v>
      </c>
      <c r="AM1172" s="104" t="e">
        <f t="shared" si="523"/>
        <v>#N/A</v>
      </c>
      <c r="AN1172" s="104" t="e">
        <f t="shared" si="534"/>
        <v>#N/A</v>
      </c>
      <c r="AO1172" s="104" t="e">
        <f t="shared" si="535"/>
        <v>#N/A</v>
      </c>
      <c r="AP1172" s="104" t="e">
        <f t="shared" si="536"/>
        <v>#N/A</v>
      </c>
      <c r="AQ1172" s="104" t="e">
        <f t="shared" si="537"/>
        <v>#N/A</v>
      </c>
      <c r="AR1172" s="105" t="str">
        <f t="shared" si="529"/>
        <v/>
      </c>
      <c r="AS1172" s="105" t="str">
        <f t="shared" si="530"/>
        <v/>
      </c>
      <c r="AT1172" s="108" t="str">
        <f t="shared" si="531"/>
        <v/>
      </c>
      <c r="AU1172" s="108" t="str">
        <f t="shared" si="532"/>
        <v/>
      </c>
      <c r="AV1172" s="107" t="str">
        <f>IF(ISNUMBER(O1172),IF(VLOOKUP($A1172,Stand!C:J,8,FALSE)="Short",AT1172,AU1172),"")</f>
        <v/>
      </c>
      <c r="AW1172" s="109" t="str">
        <f t="shared" si="538"/>
        <v/>
      </c>
      <c r="AX1172" s="109" t="str">
        <f t="shared" si="539"/>
        <v/>
      </c>
      <c r="AY1172" s="112" t="str">
        <f>IF(ISNUMBER(O1172),IF(AND(VLOOKUP($D1172,Merchantability!$B:$C,2,0)="Yes",$E1172&gt;=VLOOKUP($D1172,Merchantability!$B:$D,3,0),$E1172&lt;=VLOOKUP($D1172,Merchantability!$B:$E,4,0)),(AV1172*O1172)*(1-$H1172/100),""),"")</f>
        <v/>
      </c>
      <c r="AZ1172" s="116"/>
      <c r="BA1172" s="116"/>
      <c r="BB1172" s="116"/>
      <c r="BE1172" s="62"/>
      <c r="BF1172" s="63"/>
    </row>
    <row r="1173" spans="1:58" ht="12.75" customHeight="1" x14ac:dyDescent="0.25">
      <c r="A1173" s="313"/>
      <c r="B1173" s="328"/>
      <c r="C1173" s="329"/>
      <c r="D1173" s="328"/>
      <c r="E1173" s="330"/>
      <c r="F1173" s="328"/>
      <c r="G1173" s="329"/>
      <c r="H1173" s="329"/>
      <c r="I1173" s="328"/>
      <c r="J1173" s="383"/>
      <c r="K1173" s="329"/>
      <c r="L1173" s="329"/>
      <c r="M1173" s="76"/>
      <c r="N1173" s="103" t="str">
        <f>IF(A1173="","",VLOOKUP(A1173,Stand!C:K,9,0))</f>
        <v/>
      </c>
      <c r="O1173" s="104" t="str">
        <f t="shared" si="524"/>
        <v/>
      </c>
      <c r="P1173" s="105" t="str">
        <f t="shared" si="525"/>
        <v/>
      </c>
      <c r="Q1173" s="105" t="str">
        <f t="shared" si="513"/>
        <v/>
      </c>
      <c r="R1173" s="103" t="str">
        <f t="shared" si="526"/>
        <v/>
      </c>
      <c r="S1173" s="103" t="str">
        <f t="shared" si="527"/>
        <v/>
      </c>
      <c r="T1173" s="106" t="str">
        <f t="shared" si="514"/>
        <v/>
      </c>
      <c r="U1173" s="106" t="str">
        <f t="shared" si="515"/>
        <v/>
      </c>
      <c r="V1173" s="106" t="str">
        <f t="shared" si="516"/>
        <v/>
      </c>
      <c r="W1173" s="105" t="str">
        <f t="shared" si="528"/>
        <v/>
      </c>
      <c r="X1173" s="104" t="str">
        <f t="shared" si="533"/>
        <v/>
      </c>
      <c r="Y1173" s="104" t="str">
        <f t="array" ref="Y1173">IFERROR(IF(ISNUMBER(O1173),IF(COUNT(IF(A1173=$A$2:$A$2427,IF(D1173=$D$2:$D$2427,IF($X$2:$X$2427&gt;0,1))))&gt;0,SUM(IF(A1173=$A$2:$A$2427,IF(D1173=$D$2:$D$2427,$X$2:$X$2427)))/COUNT(IF(A1173=$A$2:$A$2427,IF(D1173=$D$2:$D$2427,IF(ISNUMBER($X$2:$X$2427),1)))),0),""),0)</f>
        <v/>
      </c>
      <c r="Z1173" s="104" t="str">
        <f>IF(ISNUMBER(O1173),IF(I1173&gt;0,(10^(VLOOKUP(D1173,'Species Codes'!B:C,2,0)+VLOOKUP(D1173,'Species Codes'!B:D,3,0)*LOG(E1173)+VLOOKUP(D1173,'Species Codes'!B:E,4,0)*LOG(I1173))),0),"")</f>
        <v/>
      </c>
      <c r="AA1173" s="104" t="str">
        <f>IFERROR((VLOOKUP(D1173,'Species Codes'!B:G,6,0)*Z1173)/2000,"")</f>
        <v/>
      </c>
      <c r="AB1173" s="104" t="e">
        <f>IF(Z1173&gt;0,((IF(OR(D1173="DF",D1173="RA")=TRUE,EXP(VLOOKUP(D1173,'Species Codes'!B:I,8,0)+VLOOKUP(D1173,'Species Codes'!B:J,9,0)*(LN((E1173*2.54)))),IF(OR(D1173="PY",D1173="RC",D1173="WH",D1173="NF")=TRUE,VLOOKUP(D1173,'Species Codes'!B:I,8,0)+VLOOKUP(D1173,'Species Codes'!B:J,9,0)*((E1173*2.54)^2)*(I1173*0.3048),IF(OR(D1173="MD",D1173="BM",D1173="GA")=TRUE,((VLOOKUP(D1173,'Species Codes'!B:I,8,0)*(((((E1173*2.54)+VLOOKUP(D1173,'Species Codes'!B:J,9,0))/VLOOKUP(D1173,'Species Codes'!B:K,10,0))^VLOOKUP(D1173,'Species Codes'!B:L,11,0))*((I1173*0.3048)^VLOOKUP(D1173,'Species Codes'!B:M,12,0))))-(VLOOKUP(D1173,'Species Codes'!B:I,8,0)*((((E1173*2.54)^VLOOKUP(D1173,'Species Codes'!B:L,11,0))*((I1173*0.3048)^VLOOKUP(D1173,'Species Codes'!B:M,12,0))))))*35.3*VLOOKUP(D1173,'Species Codes'!B:G,6,0)/2.2046,VLOOKUP(D1173,'Species Codes'!B:I,8,0)+VLOOKUP(D1173,'Species Codes'!B:J,9,0)*(((E1173*2.54)/100)^2)*(I1173*0.3048)))))*0.0011023),0)</f>
        <v>#N/A</v>
      </c>
      <c r="AC1173" s="104" t="e">
        <f>IF(Z1173&gt;0,((IF(OR(D1173="RA",D1173="OA",D1173="OT",D1173="UN",D1173="PC"),EXP(VLOOKUP(D1173,'Species Codes'!B:O,14,0)+VLOOKUP(D1173,'Species Codes'!B:P,15,0)*LN((E1173*2.54)))-EXP(VLOOKUP(D1173,'Species Codes'!B:O,14,0)+VLOOKUP(D1173,'Species Codes'!B:P,15,0)*LN((E1173*2.54)))*(1/(VLOOKUP(D1173,'Species Codes'!B:Q,16,0)+VLOOKUP(D1173,'Species Codes'!B:R,17,0)*((E1173*2.54)^VLOOKUP(D1173,'Species Codes'!B:S,18,0)))),IF(OR(D1173="BM",D1173="MD",D1173="OA"),EXP(VLOOKUP(D1173,'Species Codes'!B:O,14,0)+VLOOKUP(D1173,'Species Codes'!B:P,15,0)*LN((E1173*2.54)))*(1-(1/(VLOOKUP(D1173,'Species Codes'!B:Q,16,0)+VLOOKUP(D1173,'Species Codes'!B:R,17,0)*((E1173*2.54)^VLOOKUP(D1173,'Species Codes'!B:S,18,0)))))/1000,IF(D1173="DF",EXP(VLOOKUP(D1173,'Species Codes'!B:O,14,0)+VLOOKUP(D1173,'Species Codes'!B:P,15,0)*LN((E1173*2.54))),VLOOKUP(D1173,'Species Codes'!B:O,14,0)+VLOOKUP(D1173,'Species Codes'!B:P,15,0)*(((E1173*2.54)/100)^2)*(I1173*0.3048)))))*0.0011023),0)</f>
        <v>#N/A</v>
      </c>
      <c r="AD1173" s="104" t="e">
        <f t="shared" si="517"/>
        <v>#N/A</v>
      </c>
      <c r="AE1173" s="104" t="e">
        <f t="shared" si="518"/>
        <v>#N/A</v>
      </c>
      <c r="AF1173" s="104" t="e">
        <f>IF(AND(VLOOKUP($D1173,Merchantability!$B:$C,2,0)="Yes",$E1173&gt;=VLOOKUP($D1173,Merchantability!$B:$D,3,0),$E1173&lt;=VLOOKUP($D1173,Merchantability!$B:$E,4,0)),AA1173,0)</f>
        <v>#N/A</v>
      </c>
      <c r="AG1173" s="104" t="e">
        <f>IF(AND(VLOOKUP($D1173,Merchantability!$B:$C,2,0)="Yes",$E1173&gt;=VLOOKUP($D1173,Merchantability!$B:$D,3,0),$E1173&lt;=VLOOKUP($D1173,Merchantability!$B:$E,4,0)),AB1173,0)</f>
        <v>#N/A</v>
      </c>
      <c r="AH1173" s="104" t="e">
        <f>IF(AND(VLOOKUP($D1173,Merchantability!$B:$C,2,0)="Yes",$E1173&gt;=VLOOKUP($D1173,Merchantability!$B:$D,3,0),$E1173&lt;=VLOOKUP($D1173,Merchantability!$B:$E,4,0)),AC1173,0)</f>
        <v>#N/A</v>
      </c>
      <c r="AI1173" s="104" t="e">
        <f t="shared" si="519"/>
        <v>#N/A</v>
      </c>
      <c r="AJ1173" s="104" t="e">
        <f t="shared" si="520"/>
        <v>#VALUE!</v>
      </c>
      <c r="AK1173" s="104" t="e">
        <f t="shared" si="521"/>
        <v>#N/A</v>
      </c>
      <c r="AL1173" s="104" t="e">
        <f t="shared" si="522"/>
        <v>#N/A</v>
      </c>
      <c r="AM1173" s="104" t="e">
        <f t="shared" si="523"/>
        <v>#N/A</v>
      </c>
      <c r="AN1173" s="104" t="e">
        <f t="shared" si="534"/>
        <v>#N/A</v>
      </c>
      <c r="AO1173" s="104" t="e">
        <f t="shared" si="535"/>
        <v>#N/A</v>
      </c>
      <c r="AP1173" s="104" t="e">
        <f t="shared" si="536"/>
        <v>#N/A</v>
      </c>
      <c r="AQ1173" s="104" t="e">
        <f t="shared" si="537"/>
        <v>#N/A</v>
      </c>
      <c r="AR1173" s="105" t="str">
        <f t="shared" si="529"/>
        <v/>
      </c>
      <c r="AS1173" s="105" t="str">
        <f t="shared" si="530"/>
        <v/>
      </c>
      <c r="AT1173" s="108" t="str">
        <f t="shared" si="531"/>
        <v/>
      </c>
      <c r="AU1173" s="108" t="str">
        <f t="shared" si="532"/>
        <v/>
      </c>
      <c r="AV1173" s="107" t="str">
        <f>IF(ISNUMBER(O1173),IF(VLOOKUP($A1173,Stand!C:J,8,FALSE)="Short",AT1173,AU1173),"")</f>
        <v/>
      </c>
      <c r="AW1173" s="109" t="str">
        <f t="shared" si="538"/>
        <v/>
      </c>
      <c r="AX1173" s="109" t="str">
        <f t="shared" si="539"/>
        <v/>
      </c>
      <c r="AY1173" s="112" t="str">
        <f>IF(ISNUMBER(O1173),IF(AND(VLOOKUP($D1173,Merchantability!$B:$C,2,0)="Yes",$E1173&gt;=VLOOKUP($D1173,Merchantability!$B:$D,3,0),$E1173&lt;=VLOOKUP($D1173,Merchantability!$B:$E,4,0)),(AV1173*O1173)*(1-$H1173/100),""),"")</f>
        <v/>
      </c>
      <c r="AZ1173" s="116"/>
      <c r="BA1173" s="116"/>
      <c r="BB1173" s="116"/>
      <c r="BE1173" s="62"/>
      <c r="BF1173" s="63"/>
    </row>
    <row r="1174" spans="1:58" ht="12.75" customHeight="1" x14ac:dyDescent="0.25">
      <c r="A1174" s="313"/>
      <c r="B1174" s="328"/>
      <c r="C1174" s="329"/>
      <c r="D1174" s="328"/>
      <c r="E1174" s="330"/>
      <c r="F1174" s="328"/>
      <c r="G1174" s="329"/>
      <c r="H1174" s="329"/>
      <c r="I1174" s="328"/>
      <c r="J1174" s="383"/>
      <c r="K1174" s="329"/>
      <c r="L1174" s="329"/>
      <c r="M1174" s="76"/>
      <c r="N1174" s="103" t="str">
        <f>IF(A1174="","",VLOOKUP(A1174,Stand!C:K,9,0))</f>
        <v/>
      </c>
      <c r="O1174" s="104" t="str">
        <f t="shared" si="524"/>
        <v/>
      </c>
      <c r="P1174" s="105" t="str">
        <f t="shared" si="525"/>
        <v/>
      </c>
      <c r="Q1174" s="105" t="str">
        <f t="shared" si="513"/>
        <v/>
      </c>
      <c r="R1174" s="103" t="str">
        <f t="shared" si="526"/>
        <v/>
      </c>
      <c r="S1174" s="103" t="str">
        <f t="shared" si="527"/>
        <v/>
      </c>
      <c r="T1174" s="106" t="str">
        <f t="shared" si="514"/>
        <v/>
      </c>
      <c r="U1174" s="106" t="str">
        <f t="shared" si="515"/>
        <v/>
      </c>
      <c r="V1174" s="106" t="str">
        <f t="shared" si="516"/>
        <v/>
      </c>
      <c r="W1174" s="105" t="str">
        <f t="shared" si="528"/>
        <v/>
      </c>
      <c r="X1174" s="104" t="str">
        <f t="shared" si="533"/>
        <v/>
      </c>
      <c r="Y1174" s="104" t="str">
        <f t="array" ref="Y1174">IFERROR(IF(ISNUMBER(O1174),IF(COUNT(IF(A1174=$A$2:$A$2427,IF(D1174=$D$2:$D$2427,IF($X$2:$X$2427&gt;0,1))))&gt;0,SUM(IF(A1174=$A$2:$A$2427,IF(D1174=$D$2:$D$2427,$X$2:$X$2427)))/COUNT(IF(A1174=$A$2:$A$2427,IF(D1174=$D$2:$D$2427,IF(ISNUMBER($X$2:$X$2427),1)))),0),""),0)</f>
        <v/>
      </c>
      <c r="Z1174" s="104" t="str">
        <f>IF(ISNUMBER(O1174),IF(I1174&gt;0,(10^(VLOOKUP(D1174,'Species Codes'!B:C,2,0)+VLOOKUP(D1174,'Species Codes'!B:D,3,0)*LOG(E1174)+VLOOKUP(D1174,'Species Codes'!B:E,4,0)*LOG(I1174))),0),"")</f>
        <v/>
      </c>
      <c r="AA1174" s="104" t="str">
        <f>IFERROR((VLOOKUP(D1174,'Species Codes'!B:G,6,0)*Z1174)/2000,"")</f>
        <v/>
      </c>
      <c r="AB1174" s="104" t="e">
        <f>IF(Z1174&gt;0,((IF(OR(D1174="DF",D1174="RA")=TRUE,EXP(VLOOKUP(D1174,'Species Codes'!B:I,8,0)+VLOOKUP(D1174,'Species Codes'!B:J,9,0)*(LN((E1174*2.54)))),IF(OR(D1174="PY",D1174="RC",D1174="WH",D1174="NF")=TRUE,VLOOKUP(D1174,'Species Codes'!B:I,8,0)+VLOOKUP(D1174,'Species Codes'!B:J,9,0)*((E1174*2.54)^2)*(I1174*0.3048),IF(OR(D1174="MD",D1174="BM",D1174="GA")=TRUE,((VLOOKUP(D1174,'Species Codes'!B:I,8,0)*(((((E1174*2.54)+VLOOKUP(D1174,'Species Codes'!B:J,9,0))/VLOOKUP(D1174,'Species Codes'!B:K,10,0))^VLOOKUP(D1174,'Species Codes'!B:L,11,0))*((I1174*0.3048)^VLOOKUP(D1174,'Species Codes'!B:M,12,0))))-(VLOOKUP(D1174,'Species Codes'!B:I,8,0)*((((E1174*2.54)^VLOOKUP(D1174,'Species Codes'!B:L,11,0))*((I1174*0.3048)^VLOOKUP(D1174,'Species Codes'!B:M,12,0))))))*35.3*VLOOKUP(D1174,'Species Codes'!B:G,6,0)/2.2046,VLOOKUP(D1174,'Species Codes'!B:I,8,0)+VLOOKUP(D1174,'Species Codes'!B:J,9,0)*(((E1174*2.54)/100)^2)*(I1174*0.3048)))))*0.0011023),0)</f>
        <v>#N/A</v>
      </c>
      <c r="AC1174" s="104" t="e">
        <f>IF(Z1174&gt;0,((IF(OR(D1174="RA",D1174="OA",D1174="OT",D1174="UN",D1174="PC"),EXP(VLOOKUP(D1174,'Species Codes'!B:O,14,0)+VLOOKUP(D1174,'Species Codes'!B:P,15,0)*LN((E1174*2.54)))-EXP(VLOOKUP(D1174,'Species Codes'!B:O,14,0)+VLOOKUP(D1174,'Species Codes'!B:P,15,0)*LN((E1174*2.54)))*(1/(VLOOKUP(D1174,'Species Codes'!B:Q,16,0)+VLOOKUP(D1174,'Species Codes'!B:R,17,0)*((E1174*2.54)^VLOOKUP(D1174,'Species Codes'!B:S,18,0)))),IF(OR(D1174="BM",D1174="MD",D1174="OA"),EXP(VLOOKUP(D1174,'Species Codes'!B:O,14,0)+VLOOKUP(D1174,'Species Codes'!B:P,15,0)*LN((E1174*2.54)))*(1-(1/(VLOOKUP(D1174,'Species Codes'!B:Q,16,0)+VLOOKUP(D1174,'Species Codes'!B:R,17,0)*((E1174*2.54)^VLOOKUP(D1174,'Species Codes'!B:S,18,0)))))/1000,IF(D1174="DF",EXP(VLOOKUP(D1174,'Species Codes'!B:O,14,0)+VLOOKUP(D1174,'Species Codes'!B:P,15,0)*LN((E1174*2.54))),VLOOKUP(D1174,'Species Codes'!B:O,14,0)+VLOOKUP(D1174,'Species Codes'!B:P,15,0)*(((E1174*2.54)/100)^2)*(I1174*0.3048)))))*0.0011023),0)</f>
        <v>#N/A</v>
      </c>
      <c r="AD1174" s="104" t="e">
        <f t="shared" si="517"/>
        <v>#N/A</v>
      </c>
      <c r="AE1174" s="104" t="e">
        <f t="shared" si="518"/>
        <v>#N/A</v>
      </c>
      <c r="AF1174" s="104" t="e">
        <f>IF(AND(VLOOKUP($D1174,Merchantability!$B:$C,2,0)="Yes",$E1174&gt;=VLOOKUP($D1174,Merchantability!$B:$D,3,0),$E1174&lt;=VLOOKUP($D1174,Merchantability!$B:$E,4,0)),AA1174,0)</f>
        <v>#N/A</v>
      </c>
      <c r="AG1174" s="104" t="e">
        <f>IF(AND(VLOOKUP($D1174,Merchantability!$B:$C,2,0)="Yes",$E1174&gt;=VLOOKUP($D1174,Merchantability!$B:$D,3,0),$E1174&lt;=VLOOKUP($D1174,Merchantability!$B:$E,4,0)),AB1174,0)</f>
        <v>#N/A</v>
      </c>
      <c r="AH1174" s="104" t="e">
        <f>IF(AND(VLOOKUP($D1174,Merchantability!$B:$C,2,0)="Yes",$E1174&gt;=VLOOKUP($D1174,Merchantability!$B:$D,3,0),$E1174&lt;=VLOOKUP($D1174,Merchantability!$B:$E,4,0)),AC1174,0)</f>
        <v>#N/A</v>
      </c>
      <c r="AI1174" s="104" t="e">
        <f t="shared" si="519"/>
        <v>#N/A</v>
      </c>
      <c r="AJ1174" s="104" t="e">
        <f t="shared" si="520"/>
        <v>#VALUE!</v>
      </c>
      <c r="AK1174" s="104" t="e">
        <f t="shared" si="521"/>
        <v>#N/A</v>
      </c>
      <c r="AL1174" s="104" t="e">
        <f t="shared" si="522"/>
        <v>#N/A</v>
      </c>
      <c r="AM1174" s="104" t="e">
        <f t="shared" si="523"/>
        <v>#N/A</v>
      </c>
      <c r="AN1174" s="104" t="e">
        <f t="shared" si="534"/>
        <v>#N/A</v>
      </c>
      <c r="AO1174" s="104" t="e">
        <f t="shared" si="535"/>
        <v>#N/A</v>
      </c>
      <c r="AP1174" s="104" t="e">
        <f t="shared" si="536"/>
        <v>#N/A</v>
      </c>
      <c r="AQ1174" s="104" t="e">
        <f t="shared" si="537"/>
        <v>#N/A</v>
      </c>
      <c r="AR1174" s="105" t="str">
        <f t="shared" si="529"/>
        <v/>
      </c>
      <c r="AS1174" s="105" t="str">
        <f t="shared" si="530"/>
        <v/>
      </c>
      <c r="AT1174" s="108" t="str">
        <f t="shared" si="531"/>
        <v/>
      </c>
      <c r="AU1174" s="108" t="str">
        <f t="shared" si="532"/>
        <v/>
      </c>
      <c r="AV1174" s="107" t="str">
        <f>IF(ISNUMBER(O1174),IF(VLOOKUP($A1174,Stand!C:J,8,FALSE)="Short",AT1174,AU1174),"")</f>
        <v/>
      </c>
      <c r="AW1174" s="109" t="str">
        <f t="shared" si="538"/>
        <v/>
      </c>
      <c r="AX1174" s="109" t="str">
        <f t="shared" si="539"/>
        <v/>
      </c>
      <c r="AY1174" s="112" t="str">
        <f>IF(ISNUMBER(O1174),IF(AND(VLOOKUP($D1174,Merchantability!$B:$C,2,0)="Yes",$E1174&gt;=VLOOKUP($D1174,Merchantability!$B:$D,3,0),$E1174&lt;=VLOOKUP($D1174,Merchantability!$B:$E,4,0)),(AV1174*O1174)*(1-$H1174/100),""),"")</f>
        <v/>
      </c>
      <c r="AZ1174" s="116"/>
      <c r="BA1174" s="116"/>
      <c r="BB1174" s="116"/>
      <c r="BE1174" s="62"/>
      <c r="BF1174" s="63"/>
    </row>
    <row r="1175" spans="1:58" ht="12.75" customHeight="1" x14ac:dyDescent="0.25">
      <c r="A1175" s="313"/>
      <c r="B1175" s="328"/>
      <c r="C1175" s="329"/>
      <c r="D1175" s="328"/>
      <c r="E1175" s="330"/>
      <c r="F1175" s="328"/>
      <c r="G1175" s="329"/>
      <c r="H1175" s="329"/>
      <c r="I1175" s="328"/>
      <c r="J1175" s="383"/>
      <c r="K1175" s="329"/>
      <c r="L1175" s="329"/>
      <c r="M1175" s="76"/>
      <c r="N1175" s="103" t="str">
        <f>IF(A1175="","",VLOOKUP(A1175,Stand!C:K,9,0))</f>
        <v/>
      </c>
      <c r="O1175" s="104" t="str">
        <f t="shared" si="524"/>
        <v/>
      </c>
      <c r="P1175" s="105" t="str">
        <f t="shared" si="525"/>
        <v/>
      </c>
      <c r="Q1175" s="105" t="str">
        <f t="shared" si="513"/>
        <v/>
      </c>
      <c r="R1175" s="103" t="str">
        <f t="shared" si="526"/>
        <v/>
      </c>
      <c r="S1175" s="103" t="str">
        <f t="shared" si="527"/>
        <v/>
      </c>
      <c r="T1175" s="106" t="str">
        <f t="shared" si="514"/>
        <v/>
      </c>
      <c r="U1175" s="106" t="str">
        <f t="shared" si="515"/>
        <v/>
      </c>
      <c r="V1175" s="106" t="str">
        <f t="shared" si="516"/>
        <v/>
      </c>
      <c r="W1175" s="105" t="str">
        <f t="shared" si="528"/>
        <v/>
      </c>
      <c r="X1175" s="104" t="str">
        <f t="shared" si="533"/>
        <v/>
      </c>
      <c r="Y1175" s="104" t="str">
        <f t="array" ref="Y1175">IFERROR(IF(ISNUMBER(O1175),IF(COUNT(IF(A1175=$A$2:$A$2427,IF(D1175=$D$2:$D$2427,IF($X$2:$X$2427&gt;0,1))))&gt;0,SUM(IF(A1175=$A$2:$A$2427,IF(D1175=$D$2:$D$2427,$X$2:$X$2427)))/COUNT(IF(A1175=$A$2:$A$2427,IF(D1175=$D$2:$D$2427,IF(ISNUMBER($X$2:$X$2427),1)))),0),""),0)</f>
        <v/>
      </c>
      <c r="Z1175" s="104" t="str">
        <f>IF(ISNUMBER(O1175),IF(I1175&gt;0,(10^(VLOOKUP(D1175,'Species Codes'!B:C,2,0)+VLOOKUP(D1175,'Species Codes'!B:D,3,0)*LOG(E1175)+VLOOKUP(D1175,'Species Codes'!B:E,4,0)*LOG(I1175))),0),"")</f>
        <v/>
      </c>
      <c r="AA1175" s="104" t="str">
        <f>IFERROR((VLOOKUP(D1175,'Species Codes'!B:G,6,0)*Z1175)/2000,"")</f>
        <v/>
      </c>
      <c r="AB1175" s="104" t="e">
        <f>IF(Z1175&gt;0,((IF(OR(D1175="DF",D1175="RA")=TRUE,EXP(VLOOKUP(D1175,'Species Codes'!B:I,8,0)+VLOOKUP(D1175,'Species Codes'!B:J,9,0)*(LN((E1175*2.54)))),IF(OR(D1175="PY",D1175="RC",D1175="WH",D1175="NF")=TRUE,VLOOKUP(D1175,'Species Codes'!B:I,8,0)+VLOOKUP(D1175,'Species Codes'!B:J,9,0)*((E1175*2.54)^2)*(I1175*0.3048),IF(OR(D1175="MD",D1175="BM",D1175="GA")=TRUE,((VLOOKUP(D1175,'Species Codes'!B:I,8,0)*(((((E1175*2.54)+VLOOKUP(D1175,'Species Codes'!B:J,9,0))/VLOOKUP(D1175,'Species Codes'!B:K,10,0))^VLOOKUP(D1175,'Species Codes'!B:L,11,0))*((I1175*0.3048)^VLOOKUP(D1175,'Species Codes'!B:M,12,0))))-(VLOOKUP(D1175,'Species Codes'!B:I,8,0)*((((E1175*2.54)^VLOOKUP(D1175,'Species Codes'!B:L,11,0))*((I1175*0.3048)^VLOOKUP(D1175,'Species Codes'!B:M,12,0))))))*35.3*VLOOKUP(D1175,'Species Codes'!B:G,6,0)/2.2046,VLOOKUP(D1175,'Species Codes'!B:I,8,0)+VLOOKUP(D1175,'Species Codes'!B:J,9,0)*(((E1175*2.54)/100)^2)*(I1175*0.3048)))))*0.0011023),0)</f>
        <v>#N/A</v>
      </c>
      <c r="AC1175" s="104" t="e">
        <f>IF(Z1175&gt;0,((IF(OR(D1175="RA",D1175="OA",D1175="OT",D1175="UN",D1175="PC"),EXP(VLOOKUP(D1175,'Species Codes'!B:O,14,0)+VLOOKUP(D1175,'Species Codes'!B:P,15,0)*LN((E1175*2.54)))-EXP(VLOOKUP(D1175,'Species Codes'!B:O,14,0)+VLOOKUP(D1175,'Species Codes'!B:P,15,0)*LN((E1175*2.54)))*(1/(VLOOKUP(D1175,'Species Codes'!B:Q,16,0)+VLOOKUP(D1175,'Species Codes'!B:R,17,0)*((E1175*2.54)^VLOOKUP(D1175,'Species Codes'!B:S,18,0)))),IF(OR(D1175="BM",D1175="MD",D1175="OA"),EXP(VLOOKUP(D1175,'Species Codes'!B:O,14,0)+VLOOKUP(D1175,'Species Codes'!B:P,15,0)*LN((E1175*2.54)))*(1-(1/(VLOOKUP(D1175,'Species Codes'!B:Q,16,0)+VLOOKUP(D1175,'Species Codes'!B:R,17,0)*((E1175*2.54)^VLOOKUP(D1175,'Species Codes'!B:S,18,0)))))/1000,IF(D1175="DF",EXP(VLOOKUP(D1175,'Species Codes'!B:O,14,0)+VLOOKUP(D1175,'Species Codes'!B:P,15,0)*LN((E1175*2.54))),VLOOKUP(D1175,'Species Codes'!B:O,14,0)+VLOOKUP(D1175,'Species Codes'!B:P,15,0)*(((E1175*2.54)/100)^2)*(I1175*0.3048)))))*0.0011023),0)</f>
        <v>#N/A</v>
      </c>
      <c r="AD1175" s="104" t="e">
        <f t="shared" si="517"/>
        <v>#N/A</v>
      </c>
      <c r="AE1175" s="104" t="e">
        <f t="shared" si="518"/>
        <v>#N/A</v>
      </c>
      <c r="AF1175" s="104" t="e">
        <f>IF(AND(VLOOKUP($D1175,Merchantability!$B:$C,2,0)="Yes",$E1175&gt;=VLOOKUP($D1175,Merchantability!$B:$D,3,0),$E1175&lt;=VLOOKUP($D1175,Merchantability!$B:$E,4,0)),AA1175,0)</f>
        <v>#N/A</v>
      </c>
      <c r="AG1175" s="104" t="e">
        <f>IF(AND(VLOOKUP($D1175,Merchantability!$B:$C,2,0)="Yes",$E1175&gt;=VLOOKUP($D1175,Merchantability!$B:$D,3,0),$E1175&lt;=VLOOKUP($D1175,Merchantability!$B:$E,4,0)),AB1175,0)</f>
        <v>#N/A</v>
      </c>
      <c r="AH1175" s="104" t="e">
        <f>IF(AND(VLOOKUP($D1175,Merchantability!$B:$C,2,0)="Yes",$E1175&gt;=VLOOKUP($D1175,Merchantability!$B:$D,3,0),$E1175&lt;=VLOOKUP($D1175,Merchantability!$B:$E,4,0)),AC1175,0)</f>
        <v>#N/A</v>
      </c>
      <c r="AI1175" s="104" t="e">
        <f t="shared" si="519"/>
        <v>#N/A</v>
      </c>
      <c r="AJ1175" s="104" t="e">
        <f t="shared" si="520"/>
        <v>#VALUE!</v>
      </c>
      <c r="AK1175" s="104" t="e">
        <f t="shared" si="521"/>
        <v>#N/A</v>
      </c>
      <c r="AL1175" s="104" t="e">
        <f t="shared" si="522"/>
        <v>#N/A</v>
      </c>
      <c r="AM1175" s="104" t="e">
        <f t="shared" si="523"/>
        <v>#N/A</v>
      </c>
      <c r="AN1175" s="104" t="e">
        <f t="shared" si="534"/>
        <v>#N/A</v>
      </c>
      <c r="AO1175" s="104" t="e">
        <f t="shared" si="535"/>
        <v>#N/A</v>
      </c>
      <c r="AP1175" s="104" t="e">
        <f t="shared" si="536"/>
        <v>#N/A</v>
      </c>
      <c r="AQ1175" s="104" t="e">
        <f t="shared" si="537"/>
        <v>#N/A</v>
      </c>
      <c r="AR1175" s="105" t="str">
        <f t="shared" si="529"/>
        <v/>
      </c>
      <c r="AS1175" s="105" t="str">
        <f t="shared" si="530"/>
        <v/>
      </c>
      <c r="AT1175" s="108" t="str">
        <f t="shared" si="531"/>
        <v/>
      </c>
      <c r="AU1175" s="108" t="str">
        <f t="shared" si="532"/>
        <v/>
      </c>
      <c r="AV1175" s="107" t="str">
        <f>IF(ISNUMBER(O1175),IF(VLOOKUP($A1175,Stand!C:J,8,FALSE)="Short",AT1175,AU1175),"")</f>
        <v/>
      </c>
      <c r="AW1175" s="109" t="str">
        <f t="shared" si="538"/>
        <v/>
      </c>
      <c r="AX1175" s="109" t="str">
        <f t="shared" si="539"/>
        <v/>
      </c>
      <c r="AY1175" s="112" t="str">
        <f>IF(ISNUMBER(O1175),IF(AND(VLOOKUP($D1175,Merchantability!$B:$C,2,0)="Yes",$E1175&gt;=VLOOKUP($D1175,Merchantability!$B:$D,3,0),$E1175&lt;=VLOOKUP($D1175,Merchantability!$B:$E,4,0)),(AV1175*O1175)*(1-$H1175/100),""),"")</f>
        <v/>
      </c>
      <c r="AZ1175" s="116"/>
      <c r="BA1175" s="116"/>
      <c r="BB1175" s="116"/>
      <c r="BE1175" s="62"/>
      <c r="BF1175" s="63"/>
    </row>
    <row r="1176" spans="1:58" ht="12.75" customHeight="1" x14ac:dyDescent="0.25">
      <c r="A1176" s="313"/>
      <c r="B1176" s="328"/>
      <c r="C1176" s="329"/>
      <c r="D1176" s="328"/>
      <c r="E1176" s="330"/>
      <c r="F1176" s="328"/>
      <c r="G1176" s="329"/>
      <c r="H1176" s="329"/>
      <c r="I1176" s="328"/>
      <c r="J1176" s="383"/>
      <c r="K1176" s="329"/>
      <c r="L1176" s="329"/>
      <c r="M1176" s="76"/>
      <c r="N1176" s="103" t="str">
        <f>IF(A1176="","",VLOOKUP(A1176,Stand!C:K,9,0))</f>
        <v/>
      </c>
      <c r="O1176" s="104" t="str">
        <f t="shared" si="524"/>
        <v/>
      </c>
      <c r="P1176" s="105" t="str">
        <f t="shared" si="525"/>
        <v/>
      </c>
      <c r="Q1176" s="105" t="str">
        <f t="shared" si="513"/>
        <v/>
      </c>
      <c r="R1176" s="103" t="str">
        <f t="shared" si="526"/>
        <v/>
      </c>
      <c r="S1176" s="103" t="str">
        <f t="shared" si="527"/>
        <v/>
      </c>
      <c r="T1176" s="106" t="str">
        <f t="shared" si="514"/>
        <v/>
      </c>
      <c r="U1176" s="106" t="str">
        <f t="shared" si="515"/>
        <v/>
      </c>
      <c r="V1176" s="106" t="str">
        <f t="shared" si="516"/>
        <v/>
      </c>
      <c r="W1176" s="105" t="str">
        <f t="shared" si="528"/>
        <v/>
      </c>
      <c r="X1176" s="104" t="str">
        <f t="shared" si="533"/>
        <v/>
      </c>
      <c r="Y1176" s="104" t="str">
        <f t="array" ref="Y1176">IFERROR(IF(ISNUMBER(O1176),IF(COUNT(IF(A1176=$A$2:$A$2427,IF(D1176=$D$2:$D$2427,IF($X$2:$X$2427&gt;0,1))))&gt;0,SUM(IF(A1176=$A$2:$A$2427,IF(D1176=$D$2:$D$2427,$X$2:$X$2427)))/COUNT(IF(A1176=$A$2:$A$2427,IF(D1176=$D$2:$D$2427,IF(ISNUMBER($X$2:$X$2427),1)))),0),""),0)</f>
        <v/>
      </c>
      <c r="Z1176" s="104" t="str">
        <f>IF(ISNUMBER(O1176),IF(I1176&gt;0,(10^(VLOOKUP(D1176,'Species Codes'!B:C,2,0)+VLOOKUP(D1176,'Species Codes'!B:D,3,0)*LOG(E1176)+VLOOKUP(D1176,'Species Codes'!B:E,4,0)*LOG(I1176))),0),"")</f>
        <v/>
      </c>
      <c r="AA1176" s="104" t="str">
        <f>IFERROR((VLOOKUP(D1176,'Species Codes'!B:G,6,0)*Z1176)/2000,"")</f>
        <v/>
      </c>
      <c r="AB1176" s="104" t="e">
        <f>IF(Z1176&gt;0,((IF(OR(D1176="DF",D1176="RA")=TRUE,EXP(VLOOKUP(D1176,'Species Codes'!B:I,8,0)+VLOOKUP(D1176,'Species Codes'!B:J,9,0)*(LN((E1176*2.54)))),IF(OR(D1176="PY",D1176="RC",D1176="WH",D1176="NF")=TRUE,VLOOKUP(D1176,'Species Codes'!B:I,8,0)+VLOOKUP(D1176,'Species Codes'!B:J,9,0)*((E1176*2.54)^2)*(I1176*0.3048),IF(OR(D1176="MD",D1176="BM",D1176="GA")=TRUE,((VLOOKUP(D1176,'Species Codes'!B:I,8,0)*(((((E1176*2.54)+VLOOKUP(D1176,'Species Codes'!B:J,9,0))/VLOOKUP(D1176,'Species Codes'!B:K,10,0))^VLOOKUP(D1176,'Species Codes'!B:L,11,0))*((I1176*0.3048)^VLOOKUP(D1176,'Species Codes'!B:M,12,0))))-(VLOOKUP(D1176,'Species Codes'!B:I,8,0)*((((E1176*2.54)^VLOOKUP(D1176,'Species Codes'!B:L,11,0))*((I1176*0.3048)^VLOOKUP(D1176,'Species Codes'!B:M,12,0))))))*35.3*VLOOKUP(D1176,'Species Codes'!B:G,6,0)/2.2046,VLOOKUP(D1176,'Species Codes'!B:I,8,0)+VLOOKUP(D1176,'Species Codes'!B:J,9,0)*(((E1176*2.54)/100)^2)*(I1176*0.3048)))))*0.0011023),0)</f>
        <v>#N/A</v>
      </c>
      <c r="AC1176" s="104" t="e">
        <f>IF(Z1176&gt;0,((IF(OR(D1176="RA",D1176="OA",D1176="OT",D1176="UN",D1176="PC"),EXP(VLOOKUP(D1176,'Species Codes'!B:O,14,0)+VLOOKUP(D1176,'Species Codes'!B:P,15,0)*LN((E1176*2.54)))-EXP(VLOOKUP(D1176,'Species Codes'!B:O,14,0)+VLOOKUP(D1176,'Species Codes'!B:P,15,0)*LN((E1176*2.54)))*(1/(VLOOKUP(D1176,'Species Codes'!B:Q,16,0)+VLOOKUP(D1176,'Species Codes'!B:R,17,0)*((E1176*2.54)^VLOOKUP(D1176,'Species Codes'!B:S,18,0)))),IF(OR(D1176="BM",D1176="MD",D1176="OA"),EXP(VLOOKUP(D1176,'Species Codes'!B:O,14,0)+VLOOKUP(D1176,'Species Codes'!B:P,15,0)*LN((E1176*2.54)))*(1-(1/(VLOOKUP(D1176,'Species Codes'!B:Q,16,0)+VLOOKUP(D1176,'Species Codes'!B:R,17,0)*((E1176*2.54)^VLOOKUP(D1176,'Species Codes'!B:S,18,0)))))/1000,IF(D1176="DF",EXP(VLOOKUP(D1176,'Species Codes'!B:O,14,0)+VLOOKUP(D1176,'Species Codes'!B:P,15,0)*LN((E1176*2.54))),VLOOKUP(D1176,'Species Codes'!B:O,14,0)+VLOOKUP(D1176,'Species Codes'!B:P,15,0)*(((E1176*2.54)/100)^2)*(I1176*0.3048)))))*0.0011023),0)</f>
        <v>#N/A</v>
      </c>
      <c r="AD1176" s="104" t="e">
        <f t="shared" si="517"/>
        <v>#N/A</v>
      </c>
      <c r="AE1176" s="104" t="e">
        <f t="shared" si="518"/>
        <v>#N/A</v>
      </c>
      <c r="AF1176" s="104" t="e">
        <f>IF(AND(VLOOKUP($D1176,Merchantability!$B:$C,2,0)="Yes",$E1176&gt;=VLOOKUP($D1176,Merchantability!$B:$D,3,0),$E1176&lt;=VLOOKUP($D1176,Merchantability!$B:$E,4,0)),AA1176,0)</f>
        <v>#N/A</v>
      </c>
      <c r="AG1176" s="104" t="e">
        <f>IF(AND(VLOOKUP($D1176,Merchantability!$B:$C,2,0)="Yes",$E1176&gt;=VLOOKUP($D1176,Merchantability!$B:$D,3,0),$E1176&lt;=VLOOKUP($D1176,Merchantability!$B:$E,4,0)),AB1176,0)</f>
        <v>#N/A</v>
      </c>
      <c r="AH1176" s="104" t="e">
        <f>IF(AND(VLOOKUP($D1176,Merchantability!$B:$C,2,0)="Yes",$E1176&gt;=VLOOKUP($D1176,Merchantability!$B:$D,3,0),$E1176&lt;=VLOOKUP($D1176,Merchantability!$B:$E,4,0)),AC1176,0)</f>
        <v>#N/A</v>
      </c>
      <c r="AI1176" s="104" t="e">
        <f t="shared" si="519"/>
        <v>#N/A</v>
      </c>
      <c r="AJ1176" s="104" t="e">
        <f t="shared" si="520"/>
        <v>#VALUE!</v>
      </c>
      <c r="AK1176" s="104" t="e">
        <f t="shared" si="521"/>
        <v>#N/A</v>
      </c>
      <c r="AL1176" s="104" t="e">
        <f t="shared" si="522"/>
        <v>#N/A</v>
      </c>
      <c r="AM1176" s="104" t="e">
        <f t="shared" si="523"/>
        <v>#N/A</v>
      </c>
      <c r="AN1176" s="104" t="e">
        <f t="shared" si="534"/>
        <v>#N/A</v>
      </c>
      <c r="AO1176" s="104" t="e">
        <f t="shared" si="535"/>
        <v>#N/A</v>
      </c>
      <c r="AP1176" s="104" t="e">
        <f t="shared" si="536"/>
        <v>#N/A</v>
      </c>
      <c r="AQ1176" s="104" t="e">
        <f t="shared" si="537"/>
        <v>#N/A</v>
      </c>
      <c r="AR1176" s="105" t="str">
        <f t="shared" si="529"/>
        <v/>
      </c>
      <c r="AS1176" s="105" t="str">
        <f t="shared" si="530"/>
        <v/>
      </c>
      <c r="AT1176" s="108" t="str">
        <f t="shared" si="531"/>
        <v/>
      </c>
      <c r="AU1176" s="108" t="str">
        <f t="shared" si="532"/>
        <v/>
      </c>
      <c r="AV1176" s="107" t="str">
        <f>IF(ISNUMBER(O1176),IF(VLOOKUP($A1176,Stand!C:J,8,FALSE)="Short",AT1176,AU1176),"")</f>
        <v/>
      </c>
      <c r="AW1176" s="109" t="str">
        <f t="shared" si="538"/>
        <v/>
      </c>
      <c r="AX1176" s="109" t="str">
        <f t="shared" si="539"/>
        <v/>
      </c>
      <c r="AY1176" s="112" t="str">
        <f>IF(ISNUMBER(O1176),IF(AND(VLOOKUP($D1176,Merchantability!$B:$C,2,0)="Yes",$E1176&gt;=VLOOKUP($D1176,Merchantability!$B:$D,3,0),$E1176&lt;=VLOOKUP($D1176,Merchantability!$B:$E,4,0)),(AV1176*O1176)*(1-$H1176/100),""),"")</f>
        <v/>
      </c>
      <c r="AZ1176" s="116"/>
      <c r="BA1176" s="116"/>
      <c r="BB1176" s="116"/>
      <c r="BE1176" s="62"/>
      <c r="BF1176" s="63"/>
    </row>
    <row r="1177" spans="1:58" ht="12.75" customHeight="1" x14ac:dyDescent="0.25">
      <c r="A1177" s="313"/>
      <c r="B1177" s="328"/>
      <c r="C1177" s="329"/>
      <c r="D1177" s="328"/>
      <c r="E1177" s="330"/>
      <c r="F1177" s="328"/>
      <c r="G1177" s="329"/>
      <c r="H1177" s="329"/>
      <c r="I1177" s="328"/>
      <c r="J1177" s="383"/>
      <c r="K1177" s="329"/>
      <c r="L1177" s="329"/>
      <c r="M1177" s="76"/>
      <c r="N1177" s="103" t="str">
        <f>IF(A1177="","",VLOOKUP(A1177,Stand!C:K,9,0))</f>
        <v/>
      </c>
      <c r="O1177" s="104" t="str">
        <f t="shared" si="524"/>
        <v/>
      </c>
      <c r="P1177" s="105" t="str">
        <f t="shared" si="525"/>
        <v/>
      </c>
      <c r="Q1177" s="105" t="str">
        <f t="shared" si="513"/>
        <v/>
      </c>
      <c r="R1177" s="103" t="str">
        <f t="shared" si="526"/>
        <v/>
      </c>
      <c r="S1177" s="103" t="str">
        <f t="shared" si="527"/>
        <v/>
      </c>
      <c r="T1177" s="106" t="str">
        <f t="shared" si="514"/>
        <v/>
      </c>
      <c r="U1177" s="106" t="str">
        <f t="shared" si="515"/>
        <v/>
      </c>
      <c r="V1177" s="106" t="str">
        <f t="shared" si="516"/>
        <v/>
      </c>
      <c r="W1177" s="105" t="str">
        <f t="shared" si="528"/>
        <v/>
      </c>
      <c r="X1177" s="104" t="str">
        <f t="shared" si="533"/>
        <v/>
      </c>
      <c r="Y1177" s="104" t="str">
        <f t="array" ref="Y1177">IFERROR(IF(ISNUMBER(O1177),IF(COUNT(IF(A1177=$A$2:$A$2427,IF(D1177=$D$2:$D$2427,IF($X$2:$X$2427&gt;0,1))))&gt;0,SUM(IF(A1177=$A$2:$A$2427,IF(D1177=$D$2:$D$2427,$X$2:$X$2427)))/COUNT(IF(A1177=$A$2:$A$2427,IF(D1177=$D$2:$D$2427,IF(ISNUMBER($X$2:$X$2427),1)))),0),""),0)</f>
        <v/>
      </c>
      <c r="Z1177" s="104" t="str">
        <f>IF(ISNUMBER(O1177),IF(I1177&gt;0,(10^(VLOOKUP(D1177,'Species Codes'!B:C,2,0)+VLOOKUP(D1177,'Species Codes'!B:D,3,0)*LOG(E1177)+VLOOKUP(D1177,'Species Codes'!B:E,4,0)*LOG(I1177))),0),"")</f>
        <v/>
      </c>
      <c r="AA1177" s="104" t="str">
        <f>IFERROR((VLOOKUP(D1177,'Species Codes'!B:G,6,0)*Z1177)/2000,"")</f>
        <v/>
      </c>
      <c r="AB1177" s="104" t="e">
        <f>IF(Z1177&gt;0,((IF(OR(D1177="DF",D1177="RA")=TRUE,EXP(VLOOKUP(D1177,'Species Codes'!B:I,8,0)+VLOOKUP(D1177,'Species Codes'!B:J,9,0)*(LN((E1177*2.54)))),IF(OR(D1177="PY",D1177="RC",D1177="WH",D1177="NF")=TRUE,VLOOKUP(D1177,'Species Codes'!B:I,8,0)+VLOOKUP(D1177,'Species Codes'!B:J,9,0)*((E1177*2.54)^2)*(I1177*0.3048),IF(OR(D1177="MD",D1177="BM",D1177="GA")=TRUE,((VLOOKUP(D1177,'Species Codes'!B:I,8,0)*(((((E1177*2.54)+VLOOKUP(D1177,'Species Codes'!B:J,9,0))/VLOOKUP(D1177,'Species Codes'!B:K,10,0))^VLOOKUP(D1177,'Species Codes'!B:L,11,0))*((I1177*0.3048)^VLOOKUP(D1177,'Species Codes'!B:M,12,0))))-(VLOOKUP(D1177,'Species Codes'!B:I,8,0)*((((E1177*2.54)^VLOOKUP(D1177,'Species Codes'!B:L,11,0))*((I1177*0.3048)^VLOOKUP(D1177,'Species Codes'!B:M,12,0))))))*35.3*VLOOKUP(D1177,'Species Codes'!B:G,6,0)/2.2046,VLOOKUP(D1177,'Species Codes'!B:I,8,0)+VLOOKUP(D1177,'Species Codes'!B:J,9,0)*(((E1177*2.54)/100)^2)*(I1177*0.3048)))))*0.0011023),0)</f>
        <v>#N/A</v>
      </c>
      <c r="AC1177" s="104" t="e">
        <f>IF(Z1177&gt;0,((IF(OR(D1177="RA",D1177="OA",D1177="OT",D1177="UN",D1177="PC"),EXP(VLOOKUP(D1177,'Species Codes'!B:O,14,0)+VLOOKUP(D1177,'Species Codes'!B:P,15,0)*LN((E1177*2.54)))-EXP(VLOOKUP(D1177,'Species Codes'!B:O,14,0)+VLOOKUP(D1177,'Species Codes'!B:P,15,0)*LN((E1177*2.54)))*(1/(VLOOKUP(D1177,'Species Codes'!B:Q,16,0)+VLOOKUP(D1177,'Species Codes'!B:R,17,0)*((E1177*2.54)^VLOOKUP(D1177,'Species Codes'!B:S,18,0)))),IF(OR(D1177="BM",D1177="MD",D1177="OA"),EXP(VLOOKUP(D1177,'Species Codes'!B:O,14,0)+VLOOKUP(D1177,'Species Codes'!B:P,15,0)*LN((E1177*2.54)))*(1-(1/(VLOOKUP(D1177,'Species Codes'!B:Q,16,0)+VLOOKUP(D1177,'Species Codes'!B:R,17,0)*((E1177*2.54)^VLOOKUP(D1177,'Species Codes'!B:S,18,0)))))/1000,IF(D1177="DF",EXP(VLOOKUP(D1177,'Species Codes'!B:O,14,0)+VLOOKUP(D1177,'Species Codes'!B:P,15,0)*LN((E1177*2.54))),VLOOKUP(D1177,'Species Codes'!B:O,14,0)+VLOOKUP(D1177,'Species Codes'!B:P,15,0)*(((E1177*2.54)/100)^2)*(I1177*0.3048)))))*0.0011023),0)</f>
        <v>#N/A</v>
      </c>
      <c r="AD1177" s="104" t="e">
        <f t="shared" si="517"/>
        <v>#N/A</v>
      </c>
      <c r="AE1177" s="104" t="e">
        <f t="shared" si="518"/>
        <v>#N/A</v>
      </c>
      <c r="AF1177" s="104" t="e">
        <f>IF(AND(VLOOKUP($D1177,Merchantability!$B:$C,2,0)="Yes",$E1177&gt;=VLOOKUP($D1177,Merchantability!$B:$D,3,0),$E1177&lt;=VLOOKUP($D1177,Merchantability!$B:$E,4,0)),AA1177,0)</f>
        <v>#N/A</v>
      </c>
      <c r="AG1177" s="104" t="e">
        <f>IF(AND(VLOOKUP($D1177,Merchantability!$B:$C,2,0)="Yes",$E1177&gt;=VLOOKUP($D1177,Merchantability!$B:$D,3,0),$E1177&lt;=VLOOKUP($D1177,Merchantability!$B:$E,4,0)),AB1177,0)</f>
        <v>#N/A</v>
      </c>
      <c r="AH1177" s="104" t="e">
        <f>IF(AND(VLOOKUP($D1177,Merchantability!$B:$C,2,0)="Yes",$E1177&gt;=VLOOKUP($D1177,Merchantability!$B:$D,3,0),$E1177&lt;=VLOOKUP($D1177,Merchantability!$B:$E,4,0)),AC1177,0)</f>
        <v>#N/A</v>
      </c>
      <c r="AI1177" s="104" t="e">
        <f t="shared" si="519"/>
        <v>#N/A</v>
      </c>
      <c r="AJ1177" s="104" t="e">
        <f t="shared" si="520"/>
        <v>#VALUE!</v>
      </c>
      <c r="AK1177" s="104" t="e">
        <f t="shared" si="521"/>
        <v>#N/A</v>
      </c>
      <c r="AL1177" s="104" t="e">
        <f t="shared" si="522"/>
        <v>#N/A</v>
      </c>
      <c r="AM1177" s="104" t="e">
        <f t="shared" si="523"/>
        <v>#N/A</v>
      </c>
      <c r="AN1177" s="104" t="e">
        <f t="shared" si="534"/>
        <v>#N/A</v>
      </c>
      <c r="AO1177" s="104" t="e">
        <f t="shared" si="535"/>
        <v>#N/A</v>
      </c>
      <c r="AP1177" s="104" t="e">
        <f t="shared" si="536"/>
        <v>#N/A</v>
      </c>
      <c r="AQ1177" s="104" t="e">
        <f t="shared" si="537"/>
        <v>#N/A</v>
      </c>
      <c r="AR1177" s="105" t="str">
        <f t="shared" si="529"/>
        <v/>
      </c>
      <c r="AS1177" s="105" t="str">
        <f t="shared" si="530"/>
        <v/>
      </c>
      <c r="AT1177" s="108" t="str">
        <f t="shared" si="531"/>
        <v/>
      </c>
      <c r="AU1177" s="108" t="str">
        <f t="shared" si="532"/>
        <v/>
      </c>
      <c r="AV1177" s="107" t="str">
        <f>IF(ISNUMBER(O1177),IF(VLOOKUP($A1177,Stand!C:J,8,FALSE)="Short",AT1177,AU1177),"")</f>
        <v/>
      </c>
      <c r="AW1177" s="109" t="str">
        <f t="shared" si="538"/>
        <v/>
      </c>
      <c r="AX1177" s="109" t="str">
        <f t="shared" si="539"/>
        <v/>
      </c>
      <c r="AY1177" s="112" t="str">
        <f>IF(ISNUMBER(O1177),IF(AND(VLOOKUP($D1177,Merchantability!$B:$C,2,0)="Yes",$E1177&gt;=VLOOKUP($D1177,Merchantability!$B:$D,3,0),$E1177&lt;=VLOOKUP($D1177,Merchantability!$B:$E,4,0)),(AV1177*O1177)*(1-$H1177/100),""),"")</f>
        <v/>
      </c>
      <c r="AZ1177" s="116"/>
      <c r="BA1177" s="116"/>
      <c r="BB1177" s="116"/>
      <c r="BE1177" s="62"/>
      <c r="BF1177" s="63"/>
    </row>
    <row r="1178" spans="1:58" ht="12.75" customHeight="1" x14ac:dyDescent="0.25">
      <c r="A1178" s="313"/>
      <c r="B1178" s="328"/>
      <c r="C1178" s="329"/>
      <c r="D1178" s="328"/>
      <c r="E1178" s="330"/>
      <c r="F1178" s="328"/>
      <c r="G1178" s="329"/>
      <c r="H1178" s="329"/>
      <c r="I1178" s="328"/>
      <c r="J1178" s="383"/>
      <c r="K1178" s="329"/>
      <c r="L1178" s="329"/>
      <c r="M1178" s="76"/>
      <c r="N1178" s="103" t="str">
        <f>IF(A1178="","",VLOOKUP(A1178,Stand!C:K,9,0))</f>
        <v/>
      </c>
      <c r="O1178" s="104" t="str">
        <f t="shared" si="524"/>
        <v/>
      </c>
      <c r="P1178" s="105" t="str">
        <f t="shared" si="525"/>
        <v/>
      </c>
      <c r="Q1178" s="105" t="str">
        <f t="shared" si="513"/>
        <v/>
      </c>
      <c r="R1178" s="103" t="str">
        <f t="shared" si="526"/>
        <v/>
      </c>
      <c r="S1178" s="103" t="str">
        <f t="shared" si="527"/>
        <v/>
      </c>
      <c r="T1178" s="106" t="str">
        <f t="shared" si="514"/>
        <v/>
      </c>
      <c r="U1178" s="106" t="str">
        <f t="shared" si="515"/>
        <v/>
      </c>
      <c r="V1178" s="106" t="str">
        <f t="shared" si="516"/>
        <v/>
      </c>
      <c r="W1178" s="105" t="str">
        <f t="shared" si="528"/>
        <v/>
      </c>
      <c r="X1178" s="104" t="str">
        <f t="shared" si="533"/>
        <v/>
      </c>
      <c r="Y1178" s="104" t="str">
        <f t="array" ref="Y1178">IFERROR(IF(ISNUMBER(O1178),IF(COUNT(IF(A1178=$A$2:$A$2427,IF(D1178=$D$2:$D$2427,IF($X$2:$X$2427&gt;0,1))))&gt;0,SUM(IF(A1178=$A$2:$A$2427,IF(D1178=$D$2:$D$2427,$X$2:$X$2427)))/COUNT(IF(A1178=$A$2:$A$2427,IF(D1178=$D$2:$D$2427,IF(ISNUMBER($X$2:$X$2427),1)))),0),""),0)</f>
        <v/>
      </c>
      <c r="Z1178" s="104" t="str">
        <f>IF(ISNUMBER(O1178),IF(I1178&gt;0,(10^(VLOOKUP(D1178,'Species Codes'!B:C,2,0)+VLOOKUP(D1178,'Species Codes'!B:D,3,0)*LOG(E1178)+VLOOKUP(D1178,'Species Codes'!B:E,4,0)*LOG(I1178))),0),"")</f>
        <v/>
      </c>
      <c r="AA1178" s="104" t="str">
        <f>IFERROR((VLOOKUP(D1178,'Species Codes'!B:G,6,0)*Z1178)/2000,"")</f>
        <v/>
      </c>
      <c r="AB1178" s="104" t="e">
        <f>IF(Z1178&gt;0,((IF(OR(D1178="DF",D1178="RA")=TRUE,EXP(VLOOKUP(D1178,'Species Codes'!B:I,8,0)+VLOOKUP(D1178,'Species Codes'!B:J,9,0)*(LN((E1178*2.54)))),IF(OR(D1178="PY",D1178="RC",D1178="WH",D1178="NF")=TRUE,VLOOKUP(D1178,'Species Codes'!B:I,8,0)+VLOOKUP(D1178,'Species Codes'!B:J,9,0)*((E1178*2.54)^2)*(I1178*0.3048),IF(OR(D1178="MD",D1178="BM",D1178="GA")=TRUE,((VLOOKUP(D1178,'Species Codes'!B:I,8,0)*(((((E1178*2.54)+VLOOKUP(D1178,'Species Codes'!B:J,9,0))/VLOOKUP(D1178,'Species Codes'!B:K,10,0))^VLOOKUP(D1178,'Species Codes'!B:L,11,0))*((I1178*0.3048)^VLOOKUP(D1178,'Species Codes'!B:M,12,0))))-(VLOOKUP(D1178,'Species Codes'!B:I,8,0)*((((E1178*2.54)^VLOOKUP(D1178,'Species Codes'!B:L,11,0))*((I1178*0.3048)^VLOOKUP(D1178,'Species Codes'!B:M,12,0))))))*35.3*VLOOKUP(D1178,'Species Codes'!B:G,6,0)/2.2046,VLOOKUP(D1178,'Species Codes'!B:I,8,0)+VLOOKUP(D1178,'Species Codes'!B:J,9,0)*(((E1178*2.54)/100)^2)*(I1178*0.3048)))))*0.0011023),0)</f>
        <v>#N/A</v>
      </c>
      <c r="AC1178" s="104" t="e">
        <f>IF(Z1178&gt;0,((IF(OR(D1178="RA",D1178="OA",D1178="OT",D1178="UN",D1178="PC"),EXP(VLOOKUP(D1178,'Species Codes'!B:O,14,0)+VLOOKUP(D1178,'Species Codes'!B:P,15,0)*LN((E1178*2.54)))-EXP(VLOOKUP(D1178,'Species Codes'!B:O,14,0)+VLOOKUP(D1178,'Species Codes'!B:P,15,0)*LN((E1178*2.54)))*(1/(VLOOKUP(D1178,'Species Codes'!B:Q,16,0)+VLOOKUP(D1178,'Species Codes'!B:R,17,0)*((E1178*2.54)^VLOOKUP(D1178,'Species Codes'!B:S,18,0)))),IF(OR(D1178="BM",D1178="MD",D1178="OA"),EXP(VLOOKUP(D1178,'Species Codes'!B:O,14,0)+VLOOKUP(D1178,'Species Codes'!B:P,15,0)*LN((E1178*2.54)))*(1-(1/(VLOOKUP(D1178,'Species Codes'!B:Q,16,0)+VLOOKUP(D1178,'Species Codes'!B:R,17,0)*((E1178*2.54)^VLOOKUP(D1178,'Species Codes'!B:S,18,0)))))/1000,IF(D1178="DF",EXP(VLOOKUP(D1178,'Species Codes'!B:O,14,0)+VLOOKUP(D1178,'Species Codes'!B:P,15,0)*LN((E1178*2.54))),VLOOKUP(D1178,'Species Codes'!B:O,14,0)+VLOOKUP(D1178,'Species Codes'!B:P,15,0)*(((E1178*2.54)/100)^2)*(I1178*0.3048)))))*0.0011023),0)</f>
        <v>#N/A</v>
      </c>
      <c r="AD1178" s="104" t="e">
        <f t="shared" si="517"/>
        <v>#N/A</v>
      </c>
      <c r="AE1178" s="104" t="e">
        <f t="shared" si="518"/>
        <v>#N/A</v>
      </c>
      <c r="AF1178" s="104" t="e">
        <f>IF(AND(VLOOKUP($D1178,Merchantability!$B:$C,2,0)="Yes",$E1178&gt;=VLOOKUP($D1178,Merchantability!$B:$D,3,0),$E1178&lt;=VLOOKUP($D1178,Merchantability!$B:$E,4,0)),AA1178,0)</f>
        <v>#N/A</v>
      </c>
      <c r="AG1178" s="104" t="e">
        <f>IF(AND(VLOOKUP($D1178,Merchantability!$B:$C,2,0)="Yes",$E1178&gt;=VLOOKUP($D1178,Merchantability!$B:$D,3,0),$E1178&lt;=VLOOKUP($D1178,Merchantability!$B:$E,4,0)),AB1178,0)</f>
        <v>#N/A</v>
      </c>
      <c r="AH1178" s="104" t="e">
        <f>IF(AND(VLOOKUP($D1178,Merchantability!$B:$C,2,0)="Yes",$E1178&gt;=VLOOKUP($D1178,Merchantability!$B:$D,3,0),$E1178&lt;=VLOOKUP($D1178,Merchantability!$B:$E,4,0)),AC1178,0)</f>
        <v>#N/A</v>
      </c>
      <c r="AI1178" s="104" t="e">
        <f t="shared" si="519"/>
        <v>#N/A</v>
      </c>
      <c r="AJ1178" s="104" t="e">
        <f t="shared" si="520"/>
        <v>#VALUE!</v>
      </c>
      <c r="AK1178" s="104" t="e">
        <f t="shared" si="521"/>
        <v>#N/A</v>
      </c>
      <c r="AL1178" s="104" t="e">
        <f t="shared" si="522"/>
        <v>#N/A</v>
      </c>
      <c r="AM1178" s="104" t="e">
        <f t="shared" si="523"/>
        <v>#N/A</v>
      </c>
      <c r="AN1178" s="104" t="e">
        <f t="shared" si="534"/>
        <v>#N/A</v>
      </c>
      <c r="AO1178" s="104" t="e">
        <f t="shared" si="535"/>
        <v>#N/A</v>
      </c>
      <c r="AP1178" s="104" t="e">
        <f t="shared" si="536"/>
        <v>#N/A</v>
      </c>
      <c r="AQ1178" s="104" t="e">
        <f t="shared" si="537"/>
        <v>#N/A</v>
      </c>
      <c r="AR1178" s="105" t="str">
        <f t="shared" si="529"/>
        <v/>
      </c>
      <c r="AS1178" s="105" t="str">
        <f t="shared" si="530"/>
        <v/>
      </c>
      <c r="AT1178" s="108" t="str">
        <f t="shared" si="531"/>
        <v/>
      </c>
      <c r="AU1178" s="108" t="str">
        <f t="shared" si="532"/>
        <v/>
      </c>
      <c r="AV1178" s="107" t="str">
        <f>IF(ISNUMBER(O1178),IF(VLOOKUP($A1178,Stand!C:J,8,FALSE)="Short",AT1178,AU1178),"")</f>
        <v/>
      </c>
      <c r="AW1178" s="109" t="str">
        <f t="shared" si="538"/>
        <v/>
      </c>
      <c r="AX1178" s="109" t="str">
        <f t="shared" si="539"/>
        <v/>
      </c>
      <c r="AY1178" s="112" t="str">
        <f>IF(ISNUMBER(O1178),IF(AND(VLOOKUP($D1178,Merchantability!$B:$C,2,0)="Yes",$E1178&gt;=VLOOKUP($D1178,Merchantability!$B:$D,3,0),$E1178&lt;=VLOOKUP($D1178,Merchantability!$B:$E,4,0)),(AV1178*O1178)*(1-$H1178/100),""),"")</f>
        <v/>
      </c>
      <c r="AZ1178" s="116"/>
      <c r="BA1178" s="116"/>
      <c r="BB1178" s="116"/>
      <c r="BE1178" s="62"/>
      <c r="BF1178" s="63"/>
    </row>
    <row r="1179" spans="1:58" ht="12.75" customHeight="1" x14ac:dyDescent="0.25">
      <c r="A1179" s="313"/>
      <c r="B1179" s="328"/>
      <c r="C1179" s="329"/>
      <c r="D1179" s="328"/>
      <c r="E1179" s="330"/>
      <c r="F1179" s="328"/>
      <c r="G1179" s="329"/>
      <c r="H1179" s="329"/>
      <c r="I1179" s="328"/>
      <c r="J1179" s="383"/>
      <c r="K1179" s="329"/>
      <c r="L1179" s="329"/>
      <c r="M1179" s="76"/>
      <c r="N1179" s="103" t="str">
        <f>IF(A1179="","",VLOOKUP(A1179,Stand!C:K,9,0))</f>
        <v/>
      </c>
      <c r="O1179" s="104" t="str">
        <f t="shared" si="524"/>
        <v/>
      </c>
      <c r="P1179" s="105" t="str">
        <f t="shared" si="525"/>
        <v/>
      </c>
      <c r="Q1179" s="105" t="str">
        <f t="shared" si="513"/>
        <v/>
      </c>
      <c r="R1179" s="103" t="str">
        <f t="shared" si="526"/>
        <v/>
      </c>
      <c r="S1179" s="103" t="str">
        <f t="shared" si="527"/>
        <v/>
      </c>
      <c r="T1179" s="106" t="str">
        <f t="shared" si="514"/>
        <v/>
      </c>
      <c r="U1179" s="106" t="str">
        <f t="shared" si="515"/>
        <v/>
      </c>
      <c r="V1179" s="106" t="str">
        <f t="shared" si="516"/>
        <v/>
      </c>
      <c r="W1179" s="105" t="str">
        <f t="shared" si="528"/>
        <v/>
      </c>
      <c r="X1179" s="104" t="str">
        <f t="shared" si="533"/>
        <v/>
      </c>
      <c r="Y1179" s="104" t="str">
        <f t="array" ref="Y1179">IFERROR(IF(ISNUMBER(O1179),IF(COUNT(IF(A1179=$A$2:$A$2427,IF(D1179=$D$2:$D$2427,IF($X$2:$X$2427&gt;0,1))))&gt;0,SUM(IF(A1179=$A$2:$A$2427,IF(D1179=$D$2:$D$2427,$X$2:$X$2427)))/COUNT(IF(A1179=$A$2:$A$2427,IF(D1179=$D$2:$D$2427,IF(ISNUMBER($X$2:$X$2427),1)))),0),""),0)</f>
        <v/>
      </c>
      <c r="Z1179" s="104" t="str">
        <f>IF(ISNUMBER(O1179),IF(I1179&gt;0,(10^(VLOOKUP(D1179,'Species Codes'!B:C,2,0)+VLOOKUP(D1179,'Species Codes'!B:D,3,0)*LOG(E1179)+VLOOKUP(D1179,'Species Codes'!B:E,4,0)*LOG(I1179))),0),"")</f>
        <v/>
      </c>
      <c r="AA1179" s="104" t="str">
        <f>IFERROR((VLOOKUP(D1179,'Species Codes'!B:G,6,0)*Z1179)/2000,"")</f>
        <v/>
      </c>
      <c r="AB1179" s="104" t="e">
        <f>IF(Z1179&gt;0,((IF(OR(D1179="DF",D1179="RA")=TRUE,EXP(VLOOKUP(D1179,'Species Codes'!B:I,8,0)+VLOOKUP(D1179,'Species Codes'!B:J,9,0)*(LN((E1179*2.54)))),IF(OR(D1179="PY",D1179="RC",D1179="WH",D1179="NF")=TRUE,VLOOKUP(D1179,'Species Codes'!B:I,8,0)+VLOOKUP(D1179,'Species Codes'!B:J,9,0)*((E1179*2.54)^2)*(I1179*0.3048),IF(OR(D1179="MD",D1179="BM",D1179="GA")=TRUE,((VLOOKUP(D1179,'Species Codes'!B:I,8,0)*(((((E1179*2.54)+VLOOKUP(D1179,'Species Codes'!B:J,9,0))/VLOOKUP(D1179,'Species Codes'!B:K,10,0))^VLOOKUP(D1179,'Species Codes'!B:L,11,0))*((I1179*0.3048)^VLOOKUP(D1179,'Species Codes'!B:M,12,0))))-(VLOOKUP(D1179,'Species Codes'!B:I,8,0)*((((E1179*2.54)^VLOOKUP(D1179,'Species Codes'!B:L,11,0))*((I1179*0.3048)^VLOOKUP(D1179,'Species Codes'!B:M,12,0))))))*35.3*VLOOKUP(D1179,'Species Codes'!B:G,6,0)/2.2046,VLOOKUP(D1179,'Species Codes'!B:I,8,0)+VLOOKUP(D1179,'Species Codes'!B:J,9,0)*(((E1179*2.54)/100)^2)*(I1179*0.3048)))))*0.0011023),0)</f>
        <v>#N/A</v>
      </c>
      <c r="AC1179" s="104" t="e">
        <f>IF(Z1179&gt;0,((IF(OR(D1179="RA",D1179="OA",D1179="OT",D1179="UN",D1179="PC"),EXP(VLOOKUP(D1179,'Species Codes'!B:O,14,0)+VLOOKUP(D1179,'Species Codes'!B:P,15,0)*LN((E1179*2.54)))-EXP(VLOOKUP(D1179,'Species Codes'!B:O,14,0)+VLOOKUP(D1179,'Species Codes'!B:P,15,0)*LN((E1179*2.54)))*(1/(VLOOKUP(D1179,'Species Codes'!B:Q,16,0)+VLOOKUP(D1179,'Species Codes'!B:R,17,0)*((E1179*2.54)^VLOOKUP(D1179,'Species Codes'!B:S,18,0)))),IF(OR(D1179="BM",D1179="MD",D1179="OA"),EXP(VLOOKUP(D1179,'Species Codes'!B:O,14,0)+VLOOKUP(D1179,'Species Codes'!B:P,15,0)*LN((E1179*2.54)))*(1-(1/(VLOOKUP(D1179,'Species Codes'!B:Q,16,0)+VLOOKUP(D1179,'Species Codes'!B:R,17,0)*((E1179*2.54)^VLOOKUP(D1179,'Species Codes'!B:S,18,0)))))/1000,IF(D1179="DF",EXP(VLOOKUP(D1179,'Species Codes'!B:O,14,0)+VLOOKUP(D1179,'Species Codes'!B:P,15,0)*LN((E1179*2.54))),VLOOKUP(D1179,'Species Codes'!B:O,14,0)+VLOOKUP(D1179,'Species Codes'!B:P,15,0)*(((E1179*2.54)/100)^2)*(I1179*0.3048)))))*0.0011023),0)</f>
        <v>#N/A</v>
      </c>
      <c r="AD1179" s="104" t="e">
        <f t="shared" si="517"/>
        <v>#N/A</v>
      </c>
      <c r="AE1179" s="104" t="e">
        <f t="shared" si="518"/>
        <v>#N/A</v>
      </c>
      <c r="AF1179" s="104" t="e">
        <f>IF(AND(VLOOKUP($D1179,Merchantability!$B:$C,2,0)="Yes",$E1179&gt;=VLOOKUP($D1179,Merchantability!$B:$D,3,0),$E1179&lt;=VLOOKUP($D1179,Merchantability!$B:$E,4,0)),AA1179,0)</f>
        <v>#N/A</v>
      </c>
      <c r="AG1179" s="104" t="e">
        <f>IF(AND(VLOOKUP($D1179,Merchantability!$B:$C,2,0)="Yes",$E1179&gt;=VLOOKUP($D1179,Merchantability!$B:$D,3,0),$E1179&lt;=VLOOKUP($D1179,Merchantability!$B:$E,4,0)),AB1179,0)</f>
        <v>#N/A</v>
      </c>
      <c r="AH1179" s="104" t="e">
        <f>IF(AND(VLOOKUP($D1179,Merchantability!$B:$C,2,0)="Yes",$E1179&gt;=VLOOKUP($D1179,Merchantability!$B:$D,3,0),$E1179&lt;=VLOOKUP($D1179,Merchantability!$B:$E,4,0)),AC1179,0)</f>
        <v>#N/A</v>
      </c>
      <c r="AI1179" s="104" t="e">
        <f t="shared" si="519"/>
        <v>#N/A</v>
      </c>
      <c r="AJ1179" s="104" t="e">
        <f t="shared" si="520"/>
        <v>#VALUE!</v>
      </c>
      <c r="AK1179" s="104" t="e">
        <f t="shared" si="521"/>
        <v>#N/A</v>
      </c>
      <c r="AL1179" s="104" t="e">
        <f t="shared" si="522"/>
        <v>#N/A</v>
      </c>
      <c r="AM1179" s="104" t="e">
        <f t="shared" si="523"/>
        <v>#N/A</v>
      </c>
      <c r="AN1179" s="104" t="e">
        <f t="shared" si="534"/>
        <v>#N/A</v>
      </c>
      <c r="AO1179" s="104" t="e">
        <f t="shared" si="535"/>
        <v>#N/A</v>
      </c>
      <c r="AP1179" s="104" t="e">
        <f t="shared" si="536"/>
        <v>#N/A</v>
      </c>
      <c r="AQ1179" s="104" t="e">
        <f t="shared" si="537"/>
        <v>#N/A</v>
      </c>
      <c r="AR1179" s="105" t="str">
        <f t="shared" si="529"/>
        <v/>
      </c>
      <c r="AS1179" s="105" t="str">
        <f t="shared" si="530"/>
        <v/>
      </c>
      <c r="AT1179" s="108" t="str">
        <f t="shared" si="531"/>
        <v/>
      </c>
      <c r="AU1179" s="108" t="str">
        <f t="shared" si="532"/>
        <v/>
      </c>
      <c r="AV1179" s="107" t="str">
        <f>IF(ISNUMBER(O1179),IF(VLOOKUP($A1179,Stand!C:J,8,FALSE)="Short",AT1179,AU1179),"")</f>
        <v/>
      </c>
      <c r="AW1179" s="109" t="str">
        <f t="shared" si="538"/>
        <v/>
      </c>
      <c r="AX1179" s="109" t="str">
        <f t="shared" si="539"/>
        <v/>
      </c>
      <c r="AY1179" s="112" t="str">
        <f>IF(ISNUMBER(O1179),IF(AND(VLOOKUP($D1179,Merchantability!$B:$C,2,0)="Yes",$E1179&gt;=VLOOKUP($D1179,Merchantability!$B:$D,3,0),$E1179&lt;=VLOOKUP($D1179,Merchantability!$B:$E,4,0)),(AV1179*O1179)*(1-$H1179/100),""),"")</f>
        <v/>
      </c>
      <c r="AZ1179" s="116"/>
      <c r="BA1179" s="116"/>
      <c r="BB1179" s="116"/>
      <c r="BE1179" s="62"/>
      <c r="BF1179" s="63"/>
    </row>
    <row r="1180" spans="1:58" ht="12.75" customHeight="1" x14ac:dyDescent="0.25">
      <c r="A1180" s="313"/>
      <c r="B1180" s="328"/>
      <c r="C1180" s="329"/>
      <c r="D1180" s="328"/>
      <c r="E1180" s="330"/>
      <c r="F1180" s="328"/>
      <c r="G1180" s="329"/>
      <c r="H1180" s="329"/>
      <c r="I1180" s="328"/>
      <c r="J1180" s="383"/>
      <c r="K1180" s="329"/>
      <c r="L1180" s="329"/>
      <c r="M1180" s="76"/>
      <c r="N1180" s="103" t="str">
        <f>IF(A1180="","",VLOOKUP(A1180,Stand!C:K,9,0))</f>
        <v/>
      </c>
      <c r="O1180" s="104" t="str">
        <f t="shared" si="524"/>
        <v/>
      </c>
      <c r="P1180" s="105" t="str">
        <f t="shared" si="525"/>
        <v/>
      </c>
      <c r="Q1180" s="105" t="str">
        <f t="shared" si="513"/>
        <v/>
      </c>
      <c r="R1180" s="103" t="str">
        <f t="shared" si="526"/>
        <v/>
      </c>
      <c r="S1180" s="103" t="str">
        <f t="shared" si="527"/>
        <v/>
      </c>
      <c r="T1180" s="106" t="str">
        <f t="shared" si="514"/>
        <v/>
      </c>
      <c r="U1180" s="106" t="str">
        <f t="shared" si="515"/>
        <v/>
      </c>
      <c r="V1180" s="106" t="str">
        <f t="shared" si="516"/>
        <v/>
      </c>
      <c r="W1180" s="105" t="str">
        <f t="shared" si="528"/>
        <v/>
      </c>
      <c r="X1180" s="104" t="str">
        <f t="shared" si="533"/>
        <v/>
      </c>
      <c r="Y1180" s="104" t="str">
        <f t="array" ref="Y1180">IFERROR(IF(ISNUMBER(O1180),IF(COUNT(IF(A1180=$A$2:$A$2427,IF(D1180=$D$2:$D$2427,IF($X$2:$X$2427&gt;0,1))))&gt;0,SUM(IF(A1180=$A$2:$A$2427,IF(D1180=$D$2:$D$2427,$X$2:$X$2427)))/COUNT(IF(A1180=$A$2:$A$2427,IF(D1180=$D$2:$D$2427,IF(ISNUMBER($X$2:$X$2427),1)))),0),""),0)</f>
        <v/>
      </c>
      <c r="Z1180" s="104" t="str">
        <f>IF(ISNUMBER(O1180),IF(I1180&gt;0,(10^(VLOOKUP(D1180,'Species Codes'!B:C,2,0)+VLOOKUP(D1180,'Species Codes'!B:D,3,0)*LOG(E1180)+VLOOKUP(D1180,'Species Codes'!B:E,4,0)*LOG(I1180))),0),"")</f>
        <v/>
      </c>
      <c r="AA1180" s="104" t="str">
        <f>IFERROR((VLOOKUP(D1180,'Species Codes'!B:G,6,0)*Z1180)/2000,"")</f>
        <v/>
      </c>
      <c r="AB1180" s="104" t="e">
        <f>IF(Z1180&gt;0,((IF(OR(D1180="DF",D1180="RA")=TRUE,EXP(VLOOKUP(D1180,'Species Codes'!B:I,8,0)+VLOOKUP(D1180,'Species Codes'!B:J,9,0)*(LN((E1180*2.54)))),IF(OR(D1180="PY",D1180="RC",D1180="WH",D1180="NF")=TRUE,VLOOKUP(D1180,'Species Codes'!B:I,8,0)+VLOOKUP(D1180,'Species Codes'!B:J,9,0)*((E1180*2.54)^2)*(I1180*0.3048),IF(OR(D1180="MD",D1180="BM",D1180="GA")=TRUE,((VLOOKUP(D1180,'Species Codes'!B:I,8,0)*(((((E1180*2.54)+VLOOKUP(D1180,'Species Codes'!B:J,9,0))/VLOOKUP(D1180,'Species Codes'!B:K,10,0))^VLOOKUP(D1180,'Species Codes'!B:L,11,0))*((I1180*0.3048)^VLOOKUP(D1180,'Species Codes'!B:M,12,0))))-(VLOOKUP(D1180,'Species Codes'!B:I,8,0)*((((E1180*2.54)^VLOOKUP(D1180,'Species Codes'!B:L,11,0))*((I1180*0.3048)^VLOOKUP(D1180,'Species Codes'!B:M,12,0))))))*35.3*VLOOKUP(D1180,'Species Codes'!B:G,6,0)/2.2046,VLOOKUP(D1180,'Species Codes'!B:I,8,0)+VLOOKUP(D1180,'Species Codes'!B:J,9,0)*(((E1180*2.54)/100)^2)*(I1180*0.3048)))))*0.0011023),0)</f>
        <v>#N/A</v>
      </c>
      <c r="AC1180" s="104" t="e">
        <f>IF(Z1180&gt;0,((IF(OR(D1180="RA",D1180="OA",D1180="OT",D1180="UN",D1180="PC"),EXP(VLOOKUP(D1180,'Species Codes'!B:O,14,0)+VLOOKUP(D1180,'Species Codes'!B:P,15,0)*LN((E1180*2.54)))-EXP(VLOOKUP(D1180,'Species Codes'!B:O,14,0)+VLOOKUP(D1180,'Species Codes'!B:P,15,0)*LN((E1180*2.54)))*(1/(VLOOKUP(D1180,'Species Codes'!B:Q,16,0)+VLOOKUP(D1180,'Species Codes'!B:R,17,0)*((E1180*2.54)^VLOOKUP(D1180,'Species Codes'!B:S,18,0)))),IF(OR(D1180="BM",D1180="MD",D1180="OA"),EXP(VLOOKUP(D1180,'Species Codes'!B:O,14,0)+VLOOKUP(D1180,'Species Codes'!B:P,15,0)*LN((E1180*2.54)))*(1-(1/(VLOOKUP(D1180,'Species Codes'!B:Q,16,0)+VLOOKUP(D1180,'Species Codes'!B:R,17,0)*((E1180*2.54)^VLOOKUP(D1180,'Species Codes'!B:S,18,0)))))/1000,IF(D1180="DF",EXP(VLOOKUP(D1180,'Species Codes'!B:O,14,0)+VLOOKUP(D1180,'Species Codes'!B:P,15,0)*LN((E1180*2.54))),VLOOKUP(D1180,'Species Codes'!B:O,14,0)+VLOOKUP(D1180,'Species Codes'!B:P,15,0)*(((E1180*2.54)/100)^2)*(I1180*0.3048)))))*0.0011023),0)</f>
        <v>#N/A</v>
      </c>
      <c r="AD1180" s="104" t="e">
        <f t="shared" si="517"/>
        <v>#N/A</v>
      </c>
      <c r="AE1180" s="104" t="e">
        <f t="shared" si="518"/>
        <v>#N/A</v>
      </c>
      <c r="AF1180" s="104" t="e">
        <f>IF(AND(VLOOKUP($D1180,Merchantability!$B:$C,2,0)="Yes",$E1180&gt;=VLOOKUP($D1180,Merchantability!$B:$D,3,0),$E1180&lt;=VLOOKUP($D1180,Merchantability!$B:$E,4,0)),AA1180,0)</f>
        <v>#N/A</v>
      </c>
      <c r="AG1180" s="104" t="e">
        <f>IF(AND(VLOOKUP($D1180,Merchantability!$B:$C,2,0)="Yes",$E1180&gt;=VLOOKUP($D1180,Merchantability!$B:$D,3,0),$E1180&lt;=VLOOKUP($D1180,Merchantability!$B:$E,4,0)),AB1180,0)</f>
        <v>#N/A</v>
      </c>
      <c r="AH1180" s="104" t="e">
        <f>IF(AND(VLOOKUP($D1180,Merchantability!$B:$C,2,0)="Yes",$E1180&gt;=VLOOKUP($D1180,Merchantability!$B:$D,3,0),$E1180&lt;=VLOOKUP($D1180,Merchantability!$B:$E,4,0)),AC1180,0)</f>
        <v>#N/A</v>
      </c>
      <c r="AI1180" s="104" t="e">
        <f t="shared" si="519"/>
        <v>#N/A</v>
      </c>
      <c r="AJ1180" s="104" t="e">
        <f t="shared" si="520"/>
        <v>#VALUE!</v>
      </c>
      <c r="AK1180" s="104" t="e">
        <f t="shared" si="521"/>
        <v>#N/A</v>
      </c>
      <c r="AL1180" s="104" t="e">
        <f t="shared" si="522"/>
        <v>#N/A</v>
      </c>
      <c r="AM1180" s="104" t="e">
        <f t="shared" si="523"/>
        <v>#N/A</v>
      </c>
      <c r="AN1180" s="104" t="e">
        <f t="shared" si="534"/>
        <v>#N/A</v>
      </c>
      <c r="AO1180" s="104" t="e">
        <f t="shared" si="535"/>
        <v>#N/A</v>
      </c>
      <c r="AP1180" s="104" t="e">
        <f t="shared" si="536"/>
        <v>#N/A</v>
      </c>
      <c r="AQ1180" s="104" t="e">
        <f t="shared" si="537"/>
        <v>#N/A</v>
      </c>
      <c r="AR1180" s="105" t="str">
        <f t="shared" si="529"/>
        <v/>
      </c>
      <c r="AS1180" s="105" t="str">
        <f t="shared" si="530"/>
        <v/>
      </c>
      <c r="AT1180" s="108" t="str">
        <f t="shared" si="531"/>
        <v/>
      </c>
      <c r="AU1180" s="108" t="str">
        <f t="shared" si="532"/>
        <v/>
      </c>
      <c r="AV1180" s="107" t="str">
        <f>IF(ISNUMBER(O1180),IF(VLOOKUP($A1180,Stand!C:J,8,FALSE)="Short",AT1180,AU1180),"")</f>
        <v/>
      </c>
      <c r="AW1180" s="109" t="str">
        <f t="shared" si="538"/>
        <v/>
      </c>
      <c r="AX1180" s="109" t="str">
        <f t="shared" si="539"/>
        <v/>
      </c>
      <c r="AY1180" s="112" t="str">
        <f>IF(ISNUMBER(O1180),IF(AND(VLOOKUP($D1180,Merchantability!$B:$C,2,0)="Yes",$E1180&gt;=VLOOKUP($D1180,Merchantability!$B:$D,3,0),$E1180&lt;=VLOOKUP($D1180,Merchantability!$B:$E,4,0)),(AV1180*O1180)*(1-$H1180/100),""),"")</f>
        <v/>
      </c>
      <c r="AZ1180" s="116"/>
      <c r="BA1180" s="116"/>
      <c r="BB1180" s="116"/>
      <c r="BE1180" s="62"/>
      <c r="BF1180" s="63"/>
    </row>
    <row r="1181" spans="1:58" ht="12.75" customHeight="1" x14ac:dyDescent="0.25">
      <c r="A1181" s="313"/>
      <c r="B1181" s="328"/>
      <c r="C1181" s="329"/>
      <c r="D1181" s="328"/>
      <c r="E1181" s="330"/>
      <c r="F1181" s="328"/>
      <c r="G1181" s="329"/>
      <c r="H1181" s="329"/>
      <c r="I1181" s="328"/>
      <c r="J1181" s="383"/>
      <c r="K1181" s="329"/>
      <c r="L1181" s="329"/>
      <c r="M1181" s="76"/>
      <c r="N1181" s="103" t="str">
        <f>IF(A1181="","",VLOOKUP(A1181,Stand!C:K,9,0))</f>
        <v/>
      </c>
      <c r="O1181" s="104" t="str">
        <f t="shared" si="524"/>
        <v/>
      </c>
      <c r="P1181" s="105" t="str">
        <f t="shared" si="525"/>
        <v/>
      </c>
      <c r="Q1181" s="105" t="str">
        <f t="shared" ref="Q1181:Q1244" si="540">IF(AND(ISNUMBER(O1181),I1181&gt;0),I1181*O1181,"")</f>
        <v/>
      </c>
      <c r="R1181" s="103" t="str">
        <f t="shared" si="526"/>
        <v/>
      </c>
      <c r="S1181" s="103" t="str">
        <f t="shared" si="527"/>
        <v/>
      </c>
      <c r="T1181" s="106" t="str">
        <f t="shared" ref="T1181:T1244" si="541">IF(AND(ISNUMBER(O1181),J1181&gt;0),J1181/100,"")</f>
        <v/>
      </c>
      <c r="U1181" s="106" t="str">
        <f t="shared" ref="U1181:U1244" si="542">IF(AND(ISNUMBER(O1181),J1181&gt;0),T1181*O1181,"")</f>
        <v/>
      </c>
      <c r="V1181" s="106" t="str">
        <f t="shared" ref="V1181:V1244" si="543">IF(AND(ISNUMBER(O1181),I1181&gt;0),W1181*O1181,"")</f>
        <v/>
      </c>
      <c r="W1181" s="105" t="str">
        <f t="shared" si="528"/>
        <v/>
      </c>
      <c r="X1181" s="104" t="str">
        <f t="shared" si="533"/>
        <v/>
      </c>
      <c r="Y1181" s="104" t="str">
        <f t="array" ref="Y1181">IFERROR(IF(ISNUMBER(O1181),IF(COUNT(IF(A1181=$A$2:$A$2427,IF(D1181=$D$2:$D$2427,IF($X$2:$X$2427&gt;0,1))))&gt;0,SUM(IF(A1181=$A$2:$A$2427,IF(D1181=$D$2:$D$2427,$X$2:$X$2427)))/COUNT(IF(A1181=$A$2:$A$2427,IF(D1181=$D$2:$D$2427,IF(ISNUMBER($X$2:$X$2427),1)))),0),""),0)</f>
        <v/>
      </c>
      <c r="Z1181" s="104" t="str">
        <f>IF(ISNUMBER(O1181),IF(I1181&gt;0,(10^(VLOOKUP(D1181,'Species Codes'!B:C,2,0)+VLOOKUP(D1181,'Species Codes'!B:D,3,0)*LOG(E1181)+VLOOKUP(D1181,'Species Codes'!B:E,4,0)*LOG(I1181))),0),"")</f>
        <v/>
      </c>
      <c r="AA1181" s="104" t="str">
        <f>IFERROR((VLOOKUP(D1181,'Species Codes'!B:G,6,0)*Z1181)/2000,"")</f>
        <v/>
      </c>
      <c r="AB1181" s="104" t="e">
        <f>IF(Z1181&gt;0,((IF(OR(D1181="DF",D1181="RA")=TRUE,EXP(VLOOKUP(D1181,'Species Codes'!B:I,8,0)+VLOOKUP(D1181,'Species Codes'!B:J,9,0)*(LN((E1181*2.54)))),IF(OR(D1181="PY",D1181="RC",D1181="WH",D1181="NF")=TRUE,VLOOKUP(D1181,'Species Codes'!B:I,8,0)+VLOOKUP(D1181,'Species Codes'!B:J,9,0)*((E1181*2.54)^2)*(I1181*0.3048),IF(OR(D1181="MD",D1181="BM",D1181="GA")=TRUE,((VLOOKUP(D1181,'Species Codes'!B:I,8,0)*(((((E1181*2.54)+VLOOKUP(D1181,'Species Codes'!B:J,9,0))/VLOOKUP(D1181,'Species Codes'!B:K,10,0))^VLOOKUP(D1181,'Species Codes'!B:L,11,0))*((I1181*0.3048)^VLOOKUP(D1181,'Species Codes'!B:M,12,0))))-(VLOOKUP(D1181,'Species Codes'!B:I,8,0)*((((E1181*2.54)^VLOOKUP(D1181,'Species Codes'!B:L,11,0))*((I1181*0.3048)^VLOOKUP(D1181,'Species Codes'!B:M,12,0))))))*35.3*VLOOKUP(D1181,'Species Codes'!B:G,6,0)/2.2046,VLOOKUP(D1181,'Species Codes'!B:I,8,0)+VLOOKUP(D1181,'Species Codes'!B:J,9,0)*(((E1181*2.54)/100)^2)*(I1181*0.3048)))))*0.0011023),0)</f>
        <v>#N/A</v>
      </c>
      <c r="AC1181" s="104" t="e">
        <f>IF(Z1181&gt;0,((IF(OR(D1181="RA",D1181="OA",D1181="OT",D1181="UN",D1181="PC"),EXP(VLOOKUP(D1181,'Species Codes'!B:O,14,0)+VLOOKUP(D1181,'Species Codes'!B:P,15,0)*LN((E1181*2.54)))-EXP(VLOOKUP(D1181,'Species Codes'!B:O,14,0)+VLOOKUP(D1181,'Species Codes'!B:P,15,0)*LN((E1181*2.54)))*(1/(VLOOKUP(D1181,'Species Codes'!B:Q,16,0)+VLOOKUP(D1181,'Species Codes'!B:R,17,0)*((E1181*2.54)^VLOOKUP(D1181,'Species Codes'!B:S,18,0)))),IF(OR(D1181="BM",D1181="MD",D1181="OA"),EXP(VLOOKUP(D1181,'Species Codes'!B:O,14,0)+VLOOKUP(D1181,'Species Codes'!B:P,15,0)*LN((E1181*2.54)))*(1-(1/(VLOOKUP(D1181,'Species Codes'!B:Q,16,0)+VLOOKUP(D1181,'Species Codes'!B:R,17,0)*((E1181*2.54)^VLOOKUP(D1181,'Species Codes'!B:S,18,0)))))/1000,IF(D1181="DF",EXP(VLOOKUP(D1181,'Species Codes'!B:O,14,0)+VLOOKUP(D1181,'Species Codes'!B:P,15,0)*LN((E1181*2.54))),VLOOKUP(D1181,'Species Codes'!B:O,14,0)+VLOOKUP(D1181,'Species Codes'!B:P,15,0)*(((E1181*2.54)/100)^2)*(I1181*0.3048)))))*0.0011023),0)</f>
        <v>#N/A</v>
      </c>
      <c r="AD1181" s="104" t="e">
        <f t="shared" ref="AD1181:AD1244" si="544">SUM(AA1181:AC1181)</f>
        <v>#N/A</v>
      </c>
      <c r="AE1181" s="104" t="e">
        <f t="shared" ref="AE1181:AE1244" si="545">AD1181*O1181</f>
        <v>#N/A</v>
      </c>
      <c r="AF1181" s="104" t="e">
        <f>IF(AND(VLOOKUP($D1181,Merchantability!$B:$C,2,0)="Yes",$E1181&gt;=VLOOKUP($D1181,Merchantability!$B:$D,3,0),$E1181&lt;=VLOOKUP($D1181,Merchantability!$B:$E,4,0)),AA1181,0)</f>
        <v>#N/A</v>
      </c>
      <c r="AG1181" s="104" t="e">
        <f>IF(AND(VLOOKUP($D1181,Merchantability!$B:$C,2,0)="Yes",$E1181&gt;=VLOOKUP($D1181,Merchantability!$B:$D,3,0),$E1181&lt;=VLOOKUP($D1181,Merchantability!$B:$E,4,0)),AB1181,0)</f>
        <v>#N/A</v>
      </c>
      <c r="AH1181" s="104" t="e">
        <f>IF(AND(VLOOKUP($D1181,Merchantability!$B:$C,2,0)="Yes",$E1181&gt;=VLOOKUP($D1181,Merchantability!$B:$D,3,0),$E1181&lt;=VLOOKUP($D1181,Merchantability!$B:$E,4,0)),AC1181,0)</f>
        <v>#N/A</v>
      </c>
      <c r="AI1181" s="104" t="e">
        <f t="shared" ref="AI1181:AI1244" si="546">SUM(AF1181:AH1181)</f>
        <v>#N/A</v>
      </c>
      <c r="AJ1181" s="104" t="e">
        <f t="shared" ref="AJ1181:AJ1244" si="547">AA1181*$O1181</f>
        <v>#VALUE!</v>
      </c>
      <c r="AK1181" s="104" t="e">
        <f t="shared" ref="AK1181:AK1244" si="548">AB1181*$O1181</f>
        <v>#N/A</v>
      </c>
      <c r="AL1181" s="104" t="e">
        <f t="shared" ref="AL1181:AL1244" si="549">AC1181*$O1181</f>
        <v>#N/A</v>
      </c>
      <c r="AM1181" s="104" t="e">
        <f t="shared" ref="AM1181:AM1244" si="550">AD1181*$O1181</f>
        <v>#N/A</v>
      </c>
      <c r="AN1181" s="104" t="e">
        <f t="shared" si="534"/>
        <v>#N/A</v>
      </c>
      <c r="AO1181" s="104" t="e">
        <f t="shared" si="535"/>
        <v>#N/A</v>
      </c>
      <c r="AP1181" s="104" t="e">
        <f t="shared" si="536"/>
        <v>#N/A</v>
      </c>
      <c r="AQ1181" s="104" t="e">
        <f t="shared" si="537"/>
        <v>#N/A</v>
      </c>
      <c r="AR1181" s="105" t="str">
        <f t="shared" si="529"/>
        <v/>
      </c>
      <c r="AS1181" s="105" t="str">
        <f t="shared" si="530"/>
        <v/>
      </c>
      <c r="AT1181" s="108" t="str">
        <f t="shared" si="531"/>
        <v/>
      </c>
      <c r="AU1181" s="108" t="str">
        <f t="shared" si="532"/>
        <v/>
      </c>
      <c r="AV1181" s="107" t="str">
        <f>IF(ISNUMBER(O1181),IF(VLOOKUP($A1181,Stand!C:J,8,FALSE)="Short",AT1181,AU1181),"")</f>
        <v/>
      </c>
      <c r="AW1181" s="109" t="str">
        <f t="shared" si="538"/>
        <v/>
      </c>
      <c r="AX1181" s="109" t="str">
        <f t="shared" si="539"/>
        <v/>
      </c>
      <c r="AY1181" s="112" t="str">
        <f>IF(ISNUMBER(O1181),IF(AND(VLOOKUP($D1181,Merchantability!$B:$C,2,0)="Yes",$E1181&gt;=VLOOKUP($D1181,Merchantability!$B:$D,3,0),$E1181&lt;=VLOOKUP($D1181,Merchantability!$B:$E,4,0)),(AV1181*O1181)*(1-$H1181/100),""),"")</f>
        <v/>
      </c>
      <c r="AZ1181" s="116"/>
      <c r="BA1181" s="116"/>
      <c r="BB1181" s="116"/>
      <c r="BE1181" s="62"/>
      <c r="BF1181" s="63"/>
    </row>
    <row r="1182" spans="1:58" ht="12.75" customHeight="1" x14ac:dyDescent="0.25">
      <c r="A1182" s="313"/>
      <c r="B1182" s="328"/>
      <c r="C1182" s="329"/>
      <c r="D1182" s="328"/>
      <c r="E1182" s="330"/>
      <c r="F1182" s="328"/>
      <c r="G1182" s="329"/>
      <c r="H1182" s="329"/>
      <c r="I1182" s="328"/>
      <c r="J1182" s="383"/>
      <c r="K1182" s="329"/>
      <c r="L1182" s="329"/>
      <c r="M1182" s="76"/>
      <c r="N1182" s="103" t="str">
        <f>IF(A1182="","",VLOOKUP(A1182,Stand!C:K,9,0))</f>
        <v/>
      </c>
      <c r="O1182" s="104" t="str">
        <f t="shared" si="524"/>
        <v/>
      </c>
      <c r="P1182" s="105" t="str">
        <f t="shared" si="525"/>
        <v/>
      </c>
      <c r="Q1182" s="105" t="str">
        <f t="shared" si="540"/>
        <v/>
      </c>
      <c r="R1182" s="103" t="str">
        <f t="shared" si="526"/>
        <v/>
      </c>
      <c r="S1182" s="103" t="str">
        <f t="shared" si="527"/>
        <v/>
      </c>
      <c r="T1182" s="106" t="str">
        <f t="shared" si="541"/>
        <v/>
      </c>
      <c r="U1182" s="106" t="str">
        <f t="shared" si="542"/>
        <v/>
      </c>
      <c r="V1182" s="106" t="str">
        <f t="shared" si="543"/>
        <v/>
      </c>
      <c r="W1182" s="105" t="str">
        <f t="shared" si="528"/>
        <v/>
      </c>
      <c r="X1182" s="104" t="str">
        <f t="shared" si="533"/>
        <v/>
      </c>
      <c r="Y1182" s="104" t="str">
        <f t="array" ref="Y1182">IFERROR(IF(ISNUMBER(O1182),IF(COUNT(IF(A1182=$A$2:$A$2427,IF(D1182=$D$2:$D$2427,IF($X$2:$X$2427&gt;0,1))))&gt;0,SUM(IF(A1182=$A$2:$A$2427,IF(D1182=$D$2:$D$2427,$X$2:$X$2427)))/COUNT(IF(A1182=$A$2:$A$2427,IF(D1182=$D$2:$D$2427,IF(ISNUMBER($X$2:$X$2427),1)))),0),""),0)</f>
        <v/>
      </c>
      <c r="Z1182" s="104" t="str">
        <f>IF(ISNUMBER(O1182),IF(I1182&gt;0,(10^(VLOOKUP(D1182,'Species Codes'!B:C,2,0)+VLOOKUP(D1182,'Species Codes'!B:D,3,0)*LOG(E1182)+VLOOKUP(D1182,'Species Codes'!B:E,4,0)*LOG(I1182))),0),"")</f>
        <v/>
      </c>
      <c r="AA1182" s="104" t="str">
        <f>IFERROR((VLOOKUP(D1182,'Species Codes'!B:G,6,0)*Z1182)/2000,"")</f>
        <v/>
      </c>
      <c r="AB1182" s="104" t="e">
        <f>IF(Z1182&gt;0,((IF(OR(D1182="DF",D1182="RA")=TRUE,EXP(VLOOKUP(D1182,'Species Codes'!B:I,8,0)+VLOOKUP(D1182,'Species Codes'!B:J,9,0)*(LN((E1182*2.54)))),IF(OR(D1182="PY",D1182="RC",D1182="WH",D1182="NF")=TRUE,VLOOKUP(D1182,'Species Codes'!B:I,8,0)+VLOOKUP(D1182,'Species Codes'!B:J,9,0)*((E1182*2.54)^2)*(I1182*0.3048),IF(OR(D1182="MD",D1182="BM",D1182="GA")=TRUE,((VLOOKUP(D1182,'Species Codes'!B:I,8,0)*(((((E1182*2.54)+VLOOKUP(D1182,'Species Codes'!B:J,9,0))/VLOOKUP(D1182,'Species Codes'!B:K,10,0))^VLOOKUP(D1182,'Species Codes'!B:L,11,0))*((I1182*0.3048)^VLOOKUP(D1182,'Species Codes'!B:M,12,0))))-(VLOOKUP(D1182,'Species Codes'!B:I,8,0)*((((E1182*2.54)^VLOOKUP(D1182,'Species Codes'!B:L,11,0))*((I1182*0.3048)^VLOOKUP(D1182,'Species Codes'!B:M,12,0))))))*35.3*VLOOKUP(D1182,'Species Codes'!B:G,6,0)/2.2046,VLOOKUP(D1182,'Species Codes'!B:I,8,0)+VLOOKUP(D1182,'Species Codes'!B:J,9,0)*(((E1182*2.54)/100)^2)*(I1182*0.3048)))))*0.0011023),0)</f>
        <v>#N/A</v>
      </c>
      <c r="AC1182" s="104" t="e">
        <f>IF(Z1182&gt;0,((IF(OR(D1182="RA",D1182="OA",D1182="OT",D1182="UN",D1182="PC"),EXP(VLOOKUP(D1182,'Species Codes'!B:O,14,0)+VLOOKUP(D1182,'Species Codes'!B:P,15,0)*LN((E1182*2.54)))-EXP(VLOOKUP(D1182,'Species Codes'!B:O,14,0)+VLOOKUP(D1182,'Species Codes'!B:P,15,0)*LN((E1182*2.54)))*(1/(VLOOKUP(D1182,'Species Codes'!B:Q,16,0)+VLOOKUP(D1182,'Species Codes'!B:R,17,0)*((E1182*2.54)^VLOOKUP(D1182,'Species Codes'!B:S,18,0)))),IF(OR(D1182="BM",D1182="MD",D1182="OA"),EXP(VLOOKUP(D1182,'Species Codes'!B:O,14,0)+VLOOKUP(D1182,'Species Codes'!B:P,15,0)*LN((E1182*2.54)))*(1-(1/(VLOOKUP(D1182,'Species Codes'!B:Q,16,0)+VLOOKUP(D1182,'Species Codes'!B:R,17,0)*((E1182*2.54)^VLOOKUP(D1182,'Species Codes'!B:S,18,0)))))/1000,IF(D1182="DF",EXP(VLOOKUP(D1182,'Species Codes'!B:O,14,0)+VLOOKUP(D1182,'Species Codes'!B:P,15,0)*LN((E1182*2.54))),VLOOKUP(D1182,'Species Codes'!B:O,14,0)+VLOOKUP(D1182,'Species Codes'!B:P,15,0)*(((E1182*2.54)/100)^2)*(I1182*0.3048)))))*0.0011023),0)</f>
        <v>#N/A</v>
      </c>
      <c r="AD1182" s="104" t="e">
        <f t="shared" si="544"/>
        <v>#N/A</v>
      </c>
      <c r="AE1182" s="104" t="e">
        <f t="shared" si="545"/>
        <v>#N/A</v>
      </c>
      <c r="AF1182" s="104" t="e">
        <f>IF(AND(VLOOKUP($D1182,Merchantability!$B:$C,2,0)="Yes",$E1182&gt;=VLOOKUP($D1182,Merchantability!$B:$D,3,0),$E1182&lt;=VLOOKUP($D1182,Merchantability!$B:$E,4,0)),AA1182,0)</f>
        <v>#N/A</v>
      </c>
      <c r="AG1182" s="104" t="e">
        <f>IF(AND(VLOOKUP($D1182,Merchantability!$B:$C,2,0)="Yes",$E1182&gt;=VLOOKUP($D1182,Merchantability!$B:$D,3,0),$E1182&lt;=VLOOKUP($D1182,Merchantability!$B:$E,4,0)),AB1182,0)</f>
        <v>#N/A</v>
      </c>
      <c r="AH1182" s="104" t="e">
        <f>IF(AND(VLOOKUP($D1182,Merchantability!$B:$C,2,0)="Yes",$E1182&gt;=VLOOKUP($D1182,Merchantability!$B:$D,3,0),$E1182&lt;=VLOOKUP($D1182,Merchantability!$B:$E,4,0)),AC1182,0)</f>
        <v>#N/A</v>
      </c>
      <c r="AI1182" s="104" t="e">
        <f t="shared" si="546"/>
        <v>#N/A</v>
      </c>
      <c r="AJ1182" s="104" t="e">
        <f t="shared" si="547"/>
        <v>#VALUE!</v>
      </c>
      <c r="AK1182" s="104" t="e">
        <f t="shared" si="548"/>
        <v>#N/A</v>
      </c>
      <c r="AL1182" s="104" t="e">
        <f t="shared" si="549"/>
        <v>#N/A</v>
      </c>
      <c r="AM1182" s="104" t="e">
        <f t="shared" si="550"/>
        <v>#N/A</v>
      </c>
      <c r="AN1182" s="104" t="e">
        <f t="shared" si="534"/>
        <v>#N/A</v>
      </c>
      <c r="AO1182" s="104" t="e">
        <f t="shared" si="535"/>
        <v>#N/A</v>
      </c>
      <c r="AP1182" s="104" t="e">
        <f t="shared" si="536"/>
        <v>#N/A</v>
      </c>
      <c r="AQ1182" s="104" t="e">
        <f t="shared" si="537"/>
        <v>#N/A</v>
      </c>
      <c r="AR1182" s="105" t="str">
        <f t="shared" si="529"/>
        <v/>
      </c>
      <c r="AS1182" s="105" t="str">
        <f t="shared" si="530"/>
        <v/>
      </c>
      <c r="AT1182" s="108" t="str">
        <f t="shared" si="531"/>
        <v/>
      </c>
      <c r="AU1182" s="108" t="str">
        <f t="shared" si="532"/>
        <v/>
      </c>
      <c r="AV1182" s="107" t="str">
        <f>IF(ISNUMBER(O1182),IF(VLOOKUP($A1182,Stand!C:J,8,FALSE)="Short",AT1182,AU1182),"")</f>
        <v/>
      </c>
      <c r="AW1182" s="109" t="str">
        <f t="shared" si="538"/>
        <v/>
      </c>
      <c r="AX1182" s="109" t="str">
        <f t="shared" si="539"/>
        <v/>
      </c>
      <c r="AY1182" s="112" t="str">
        <f>IF(ISNUMBER(O1182),IF(AND(VLOOKUP($D1182,Merchantability!$B:$C,2,0)="Yes",$E1182&gt;=VLOOKUP($D1182,Merchantability!$B:$D,3,0),$E1182&lt;=VLOOKUP($D1182,Merchantability!$B:$E,4,0)),(AV1182*O1182)*(1-$H1182/100),""),"")</f>
        <v/>
      </c>
      <c r="AZ1182" s="116"/>
      <c r="BA1182" s="116"/>
      <c r="BB1182" s="116"/>
      <c r="BE1182" s="62"/>
      <c r="BF1182" s="63"/>
    </row>
    <row r="1183" spans="1:58" ht="12.75" customHeight="1" x14ac:dyDescent="0.25">
      <c r="A1183" s="313"/>
      <c r="B1183" s="328"/>
      <c r="C1183" s="329"/>
      <c r="D1183" s="328"/>
      <c r="E1183" s="330"/>
      <c r="F1183" s="328"/>
      <c r="G1183" s="329"/>
      <c r="H1183" s="329"/>
      <c r="I1183" s="328"/>
      <c r="J1183" s="383"/>
      <c r="K1183" s="329"/>
      <c r="L1183" s="329"/>
      <c r="M1183" s="76"/>
      <c r="N1183" s="103" t="str">
        <f>IF(A1183="","",VLOOKUP(A1183,Stand!C:K,9,0))</f>
        <v/>
      </c>
      <c r="O1183" s="104" t="str">
        <f t="shared" si="524"/>
        <v/>
      </c>
      <c r="P1183" s="105" t="str">
        <f t="shared" si="525"/>
        <v/>
      </c>
      <c r="Q1183" s="105" t="str">
        <f t="shared" si="540"/>
        <v/>
      </c>
      <c r="R1183" s="103" t="str">
        <f t="shared" si="526"/>
        <v/>
      </c>
      <c r="S1183" s="103" t="str">
        <f t="shared" si="527"/>
        <v/>
      </c>
      <c r="T1183" s="106" t="str">
        <f t="shared" si="541"/>
        <v/>
      </c>
      <c r="U1183" s="106" t="str">
        <f t="shared" si="542"/>
        <v/>
      </c>
      <c r="V1183" s="106" t="str">
        <f t="shared" si="543"/>
        <v/>
      </c>
      <c r="W1183" s="105" t="str">
        <f t="shared" si="528"/>
        <v/>
      </c>
      <c r="X1183" s="104" t="str">
        <f t="shared" si="533"/>
        <v/>
      </c>
      <c r="Y1183" s="104" t="str">
        <f t="array" ref="Y1183">IFERROR(IF(ISNUMBER(O1183),IF(COUNT(IF(A1183=$A$2:$A$2427,IF(D1183=$D$2:$D$2427,IF($X$2:$X$2427&gt;0,1))))&gt;0,SUM(IF(A1183=$A$2:$A$2427,IF(D1183=$D$2:$D$2427,$X$2:$X$2427)))/COUNT(IF(A1183=$A$2:$A$2427,IF(D1183=$D$2:$D$2427,IF(ISNUMBER($X$2:$X$2427),1)))),0),""),0)</f>
        <v/>
      </c>
      <c r="Z1183" s="104" t="str">
        <f>IF(ISNUMBER(O1183),IF(I1183&gt;0,(10^(VLOOKUP(D1183,'Species Codes'!B:C,2,0)+VLOOKUP(D1183,'Species Codes'!B:D,3,0)*LOG(E1183)+VLOOKUP(D1183,'Species Codes'!B:E,4,0)*LOG(I1183))),0),"")</f>
        <v/>
      </c>
      <c r="AA1183" s="104" t="str">
        <f>IFERROR((VLOOKUP(D1183,'Species Codes'!B:G,6,0)*Z1183)/2000,"")</f>
        <v/>
      </c>
      <c r="AB1183" s="104" t="e">
        <f>IF(Z1183&gt;0,((IF(OR(D1183="DF",D1183="RA")=TRUE,EXP(VLOOKUP(D1183,'Species Codes'!B:I,8,0)+VLOOKUP(D1183,'Species Codes'!B:J,9,0)*(LN((E1183*2.54)))),IF(OR(D1183="PY",D1183="RC",D1183="WH",D1183="NF")=TRUE,VLOOKUP(D1183,'Species Codes'!B:I,8,0)+VLOOKUP(D1183,'Species Codes'!B:J,9,0)*((E1183*2.54)^2)*(I1183*0.3048),IF(OR(D1183="MD",D1183="BM",D1183="GA")=TRUE,((VLOOKUP(D1183,'Species Codes'!B:I,8,0)*(((((E1183*2.54)+VLOOKUP(D1183,'Species Codes'!B:J,9,0))/VLOOKUP(D1183,'Species Codes'!B:K,10,0))^VLOOKUP(D1183,'Species Codes'!B:L,11,0))*((I1183*0.3048)^VLOOKUP(D1183,'Species Codes'!B:M,12,0))))-(VLOOKUP(D1183,'Species Codes'!B:I,8,0)*((((E1183*2.54)^VLOOKUP(D1183,'Species Codes'!B:L,11,0))*((I1183*0.3048)^VLOOKUP(D1183,'Species Codes'!B:M,12,0))))))*35.3*VLOOKUP(D1183,'Species Codes'!B:G,6,0)/2.2046,VLOOKUP(D1183,'Species Codes'!B:I,8,0)+VLOOKUP(D1183,'Species Codes'!B:J,9,0)*(((E1183*2.54)/100)^2)*(I1183*0.3048)))))*0.0011023),0)</f>
        <v>#N/A</v>
      </c>
      <c r="AC1183" s="104" t="e">
        <f>IF(Z1183&gt;0,((IF(OR(D1183="RA",D1183="OA",D1183="OT",D1183="UN",D1183="PC"),EXP(VLOOKUP(D1183,'Species Codes'!B:O,14,0)+VLOOKUP(D1183,'Species Codes'!B:P,15,0)*LN((E1183*2.54)))-EXP(VLOOKUP(D1183,'Species Codes'!B:O,14,0)+VLOOKUP(D1183,'Species Codes'!B:P,15,0)*LN((E1183*2.54)))*(1/(VLOOKUP(D1183,'Species Codes'!B:Q,16,0)+VLOOKUP(D1183,'Species Codes'!B:R,17,0)*((E1183*2.54)^VLOOKUP(D1183,'Species Codes'!B:S,18,0)))),IF(OR(D1183="BM",D1183="MD",D1183="OA"),EXP(VLOOKUP(D1183,'Species Codes'!B:O,14,0)+VLOOKUP(D1183,'Species Codes'!B:P,15,0)*LN((E1183*2.54)))*(1-(1/(VLOOKUP(D1183,'Species Codes'!B:Q,16,0)+VLOOKUP(D1183,'Species Codes'!B:R,17,0)*((E1183*2.54)^VLOOKUP(D1183,'Species Codes'!B:S,18,0)))))/1000,IF(D1183="DF",EXP(VLOOKUP(D1183,'Species Codes'!B:O,14,0)+VLOOKUP(D1183,'Species Codes'!B:P,15,0)*LN((E1183*2.54))),VLOOKUP(D1183,'Species Codes'!B:O,14,0)+VLOOKUP(D1183,'Species Codes'!B:P,15,0)*(((E1183*2.54)/100)^2)*(I1183*0.3048)))))*0.0011023),0)</f>
        <v>#N/A</v>
      </c>
      <c r="AD1183" s="104" t="e">
        <f t="shared" si="544"/>
        <v>#N/A</v>
      </c>
      <c r="AE1183" s="104" t="e">
        <f t="shared" si="545"/>
        <v>#N/A</v>
      </c>
      <c r="AF1183" s="104" t="e">
        <f>IF(AND(VLOOKUP($D1183,Merchantability!$B:$C,2,0)="Yes",$E1183&gt;=VLOOKUP($D1183,Merchantability!$B:$D,3,0),$E1183&lt;=VLOOKUP($D1183,Merchantability!$B:$E,4,0)),AA1183,0)</f>
        <v>#N/A</v>
      </c>
      <c r="AG1183" s="104" t="e">
        <f>IF(AND(VLOOKUP($D1183,Merchantability!$B:$C,2,0)="Yes",$E1183&gt;=VLOOKUP($D1183,Merchantability!$B:$D,3,0),$E1183&lt;=VLOOKUP($D1183,Merchantability!$B:$E,4,0)),AB1183,0)</f>
        <v>#N/A</v>
      </c>
      <c r="AH1183" s="104" t="e">
        <f>IF(AND(VLOOKUP($D1183,Merchantability!$B:$C,2,0)="Yes",$E1183&gt;=VLOOKUP($D1183,Merchantability!$B:$D,3,0),$E1183&lt;=VLOOKUP($D1183,Merchantability!$B:$E,4,0)),AC1183,0)</f>
        <v>#N/A</v>
      </c>
      <c r="AI1183" s="104" t="e">
        <f t="shared" si="546"/>
        <v>#N/A</v>
      </c>
      <c r="AJ1183" s="104" t="e">
        <f t="shared" si="547"/>
        <v>#VALUE!</v>
      </c>
      <c r="AK1183" s="104" t="e">
        <f t="shared" si="548"/>
        <v>#N/A</v>
      </c>
      <c r="AL1183" s="104" t="e">
        <f t="shared" si="549"/>
        <v>#N/A</v>
      </c>
      <c r="AM1183" s="104" t="e">
        <f t="shared" si="550"/>
        <v>#N/A</v>
      </c>
      <c r="AN1183" s="104" t="e">
        <f t="shared" si="534"/>
        <v>#N/A</v>
      </c>
      <c r="AO1183" s="104" t="e">
        <f t="shared" si="535"/>
        <v>#N/A</v>
      </c>
      <c r="AP1183" s="104" t="e">
        <f t="shared" si="536"/>
        <v>#N/A</v>
      </c>
      <c r="AQ1183" s="104" t="e">
        <f t="shared" si="537"/>
        <v>#N/A</v>
      </c>
      <c r="AR1183" s="105" t="str">
        <f t="shared" si="529"/>
        <v/>
      </c>
      <c r="AS1183" s="105" t="str">
        <f t="shared" si="530"/>
        <v/>
      </c>
      <c r="AT1183" s="108" t="str">
        <f t="shared" si="531"/>
        <v/>
      </c>
      <c r="AU1183" s="108" t="str">
        <f t="shared" si="532"/>
        <v/>
      </c>
      <c r="AV1183" s="107" t="str">
        <f>IF(ISNUMBER(O1183),IF(VLOOKUP($A1183,Stand!C:J,8,FALSE)="Short",AT1183,AU1183),"")</f>
        <v/>
      </c>
      <c r="AW1183" s="109" t="str">
        <f t="shared" si="538"/>
        <v/>
      </c>
      <c r="AX1183" s="109" t="str">
        <f t="shared" si="539"/>
        <v/>
      </c>
      <c r="AY1183" s="112" t="str">
        <f>IF(ISNUMBER(O1183),IF(AND(VLOOKUP($D1183,Merchantability!$B:$C,2,0)="Yes",$E1183&gt;=VLOOKUP($D1183,Merchantability!$B:$D,3,0),$E1183&lt;=VLOOKUP($D1183,Merchantability!$B:$E,4,0)),(AV1183*O1183)*(1-$H1183/100),""),"")</f>
        <v/>
      </c>
      <c r="AZ1183" s="116"/>
      <c r="BA1183" s="116"/>
      <c r="BB1183" s="116"/>
      <c r="BE1183" s="62"/>
      <c r="BF1183" s="63"/>
    </row>
    <row r="1184" spans="1:58" ht="12.75" customHeight="1" x14ac:dyDescent="0.25">
      <c r="A1184" s="313"/>
      <c r="B1184" s="328"/>
      <c r="C1184" s="329"/>
      <c r="D1184" s="328"/>
      <c r="E1184" s="330"/>
      <c r="F1184" s="328"/>
      <c r="G1184" s="329"/>
      <c r="H1184" s="329"/>
      <c r="I1184" s="328"/>
      <c r="J1184" s="383"/>
      <c r="K1184" s="329"/>
      <c r="L1184" s="329"/>
      <c r="M1184" s="76"/>
      <c r="N1184" s="103" t="str">
        <f>IF(A1184="","",VLOOKUP(A1184,Stand!C:K,9,0))</f>
        <v/>
      </c>
      <c r="O1184" s="104" t="str">
        <f t="shared" si="524"/>
        <v/>
      </c>
      <c r="P1184" s="105" t="str">
        <f t="shared" si="525"/>
        <v/>
      </c>
      <c r="Q1184" s="105" t="str">
        <f t="shared" si="540"/>
        <v/>
      </c>
      <c r="R1184" s="103" t="str">
        <f t="shared" si="526"/>
        <v/>
      </c>
      <c r="S1184" s="103" t="str">
        <f t="shared" si="527"/>
        <v/>
      </c>
      <c r="T1184" s="106" t="str">
        <f t="shared" si="541"/>
        <v/>
      </c>
      <c r="U1184" s="106" t="str">
        <f t="shared" si="542"/>
        <v/>
      </c>
      <c r="V1184" s="106" t="str">
        <f t="shared" si="543"/>
        <v/>
      </c>
      <c r="W1184" s="105" t="str">
        <f t="shared" si="528"/>
        <v/>
      </c>
      <c r="X1184" s="104" t="str">
        <f t="shared" si="533"/>
        <v/>
      </c>
      <c r="Y1184" s="104" t="str">
        <f t="array" ref="Y1184">IFERROR(IF(ISNUMBER(O1184),IF(COUNT(IF(A1184=$A$2:$A$2427,IF(D1184=$D$2:$D$2427,IF($X$2:$X$2427&gt;0,1))))&gt;0,SUM(IF(A1184=$A$2:$A$2427,IF(D1184=$D$2:$D$2427,$X$2:$X$2427)))/COUNT(IF(A1184=$A$2:$A$2427,IF(D1184=$D$2:$D$2427,IF(ISNUMBER($X$2:$X$2427),1)))),0),""),0)</f>
        <v/>
      </c>
      <c r="Z1184" s="104" t="str">
        <f>IF(ISNUMBER(O1184),IF(I1184&gt;0,(10^(VLOOKUP(D1184,'Species Codes'!B:C,2,0)+VLOOKUP(D1184,'Species Codes'!B:D,3,0)*LOG(E1184)+VLOOKUP(D1184,'Species Codes'!B:E,4,0)*LOG(I1184))),0),"")</f>
        <v/>
      </c>
      <c r="AA1184" s="104" t="str">
        <f>IFERROR((VLOOKUP(D1184,'Species Codes'!B:G,6,0)*Z1184)/2000,"")</f>
        <v/>
      </c>
      <c r="AB1184" s="104" t="e">
        <f>IF(Z1184&gt;0,((IF(OR(D1184="DF",D1184="RA")=TRUE,EXP(VLOOKUP(D1184,'Species Codes'!B:I,8,0)+VLOOKUP(D1184,'Species Codes'!B:J,9,0)*(LN((E1184*2.54)))),IF(OR(D1184="PY",D1184="RC",D1184="WH",D1184="NF")=TRUE,VLOOKUP(D1184,'Species Codes'!B:I,8,0)+VLOOKUP(D1184,'Species Codes'!B:J,9,0)*((E1184*2.54)^2)*(I1184*0.3048),IF(OR(D1184="MD",D1184="BM",D1184="GA")=TRUE,((VLOOKUP(D1184,'Species Codes'!B:I,8,0)*(((((E1184*2.54)+VLOOKUP(D1184,'Species Codes'!B:J,9,0))/VLOOKUP(D1184,'Species Codes'!B:K,10,0))^VLOOKUP(D1184,'Species Codes'!B:L,11,0))*((I1184*0.3048)^VLOOKUP(D1184,'Species Codes'!B:M,12,0))))-(VLOOKUP(D1184,'Species Codes'!B:I,8,0)*((((E1184*2.54)^VLOOKUP(D1184,'Species Codes'!B:L,11,0))*((I1184*0.3048)^VLOOKUP(D1184,'Species Codes'!B:M,12,0))))))*35.3*VLOOKUP(D1184,'Species Codes'!B:G,6,0)/2.2046,VLOOKUP(D1184,'Species Codes'!B:I,8,0)+VLOOKUP(D1184,'Species Codes'!B:J,9,0)*(((E1184*2.54)/100)^2)*(I1184*0.3048)))))*0.0011023),0)</f>
        <v>#N/A</v>
      </c>
      <c r="AC1184" s="104" t="e">
        <f>IF(Z1184&gt;0,((IF(OR(D1184="RA",D1184="OA",D1184="OT",D1184="UN",D1184="PC"),EXP(VLOOKUP(D1184,'Species Codes'!B:O,14,0)+VLOOKUP(D1184,'Species Codes'!B:P,15,0)*LN((E1184*2.54)))-EXP(VLOOKUP(D1184,'Species Codes'!B:O,14,0)+VLOOKUP(D1184,'Species Codes'!B:P,15,0)*LN((E1184*2.54)))*(1/(VLOOKUP(D1184,'Species Codes'!B:Q,16,0)+VLOOKUP(D1184,'Species Codes'!B:R,17,0)*((E1184*2.54)^VLOOKUP(D1184,'Species Codes'!B:S,18,0)))),IF(OR(D1184="BM",D1184="MD",D1184="OA"),EXP(VLOOKUP(D1184,'Species Codes'!B:O,14,0)+VLOOKUP(D1184,'Species Codes'!B:P,15,0)*LN((E1184*2.54)))*(1-(1/(VLOOKUP(D1184,'Species Codes'!B:Q,16,0)+VLOOKUP(D1184,'Species Codes'!B:R,17,0)*((E1184*2.54)^VLOOKUP(D1184,'Species Codes'!B:S,18,0)))))/1000,IF(D1184="DF",EXP(VLOOKUP(D1184,'Species Codes'!B:O,14,0)+VLOOKUP(D1184,'Species Codes'!B:P,15,0)*LN((E1184*2.54))),VLOOKUP(D1184,'Species Codes'!B:O,14,0)+VLOOKUP(D1184,'Species Codes'!B:P,15,0)*(((E1184*2.54)/100)^2)*(I1184*0.3048)))))*0.0011023),0)</f>
        <v>#N/A</v>
      </c>
      <c r="AD1184" s="104" t="e">
        <f t="shared" si="544"/>
        <v>#N/A</v>
      </c>
      <c r="AE1184" s="104" t="e">
        <f t="shared" si="545"/>
        <v>#N/A</v>
      </c>
      <c r="AF1184" s="104" t="e">
        <f>IF(AND(VLOOKUP($D1184,Merchantability!$B:$C,2,0)="Yes",$E1184&gt;=VLOOKUP($D1184,Merchantability!$B:$D,3,0),$E1184&lt;=VLOOKUP($D1184,Merchantability!$B:$E,4,0)),AA1184,0)</f>
        <v>#N/A</v>
      </c>
      <c r="AG1184" s="104" t="e">
        <f>IF(AND(VLOOKUP($D1184,Merchantability!$B:$C,2,0)="Yes",$E1184&gt;=VLOOKUP($D1184,Merchantability!$B:$D,3,0),$E1184&lt;=VLOOKUP($D1184,Merchantability!$B:$E,4,0)),AB1184,0)</f>
        <v>#N/A</v>
      </c>
      <c r="AH1184" s="104" t="e">
        <f>IF(AND(VLOOKUP($D1184,Merchantability!$B:$C,2,0)="Yes",$E1184&gt;=VLOOKUP($D1184,Merchantability!$B:$D,3,0),$E1184&lt;=VLOOKUP($D1184,Merchantability!$B:$E,4,0)),AC1184,0)</f>
        <v>#N/A</v>
      </c>
      <c r="AI1184" s="104" t="e">
        <f t="shared" si="546"/>
        <v>#N/A</v>
      </c>
      <c r="AJ1184" s="104" t="e">
        <f t="shared" si="547"/>
        <v>#VALUE!</v>
      </c>
      <c r="AK1184" s="104" t="e">
        <f t="shared" si="548"/>
        <v>#N/A</v>
      </c>
      <c r="AL1184" s="104" t="e">
        <f t="shared" si="549"/>
        <v>#N/A</v>
      </c>
      <c r="AM1184" s="104" t="e">
        <f t="shared" si="550"/>
        <v>#N/A</v>
      </c>
      <c r="AN1184" s="104" t="e">
        <f t="shared" si="534"/>
        <v>#N/A</v>
      </c>
      <c r="AO1184" s="104" t="e">
        <f t="shared" si="535"/>
        <v>#N/A</v>
      </c>
      <c r="AP1184" s="104" t="e">
        <f t="shared" si="536"/>
        <v>#N/A</v>
      </c>
      <c r="AQ1184" s="104" t="e">
        <f t="shared" si="537"/>
        <v>#N/A</v>
      </c>
      <c r="AR1184" s="105" t="str">
        <f t="shared" si="529"/>
        <v/>
      </c>
      <c r="AS1184" s="105" t="str">
        <f t="shared" si="530"/>
        <v/>
      </c>
      <c r="AT1184" s="108" t="str">
        <f t="shared" si="531"/>
        <v/>
      </c>
      <c r="AU1184" s="108" t="str">
        <f t="shared" si="532"/>
        <v/>
      </c>
      <c r="AV1184" s="107" t="str">
        <f>IF(ISNUMBER(O1184),IF(VLOOKUP($A1184,Stand!C:J,8,FALSE)="Short",AT1184,AU1184),"")</f>
        <v/>
      </c>
      <c r="AW1184" s="109" t="str">
        <f t="shared" si="538"/>
        <v/>
      </c>
      <c r="AX1184" s="109" t="str">
        <f t="shared" si="539"/>
        <v/>
      </c>
      <c r="AY1184" s="112" t="str">
        <f>IF(ISNUMBER(O1184),IF(AND(VLOOKUP($D1184,Merchantability!$B:$C,2,0)="Yes",$E1184&gt;=VLOOKUP($D1184,Merchantability!$B:$D,3,0),$E1184&lt;=VLOOKUP($D1184,Merchantability!$B:$E,4,0)),(AV1184*O1184)*(1-$H1184/100),""),"")</f>
        <v/>
      </c>
      <c r="AZ1184" s="116"/>
      <c r="BA1184" s="116"/>
      <c r="BB1184" s="116"/>
      <c r="BE1184" s="62"/>
      <c r="BF1184" s="63"/>
    </row>
    <row r="1185" spans="1:58" ht="12.75" customHeight="1" x14ac:dyDescent="0.25">
      <c r="A1185" s="313"/>
      <c r="B1185" s="328"/>
      <c r="C1185" s="329"/>
      <c r="D1185" s="328"/>
      <c r="E1185" s="330"/>
      <c r="F1185" s="328"/>
      <c r="G1185" s="329"/>
      <c r="H1185" s="329"/>
      <c r="I1185" s="328"/>
      <c r="J1185" s="383"/>
      <c r="K1185" s="329"/>
      <c r="L1185" s="329"/>
      <c r="M1185" s="76"/>
      <c r="N1185" s="103" t="str">
        <f>IF(A1185="","",VLOOKUP(A1185,Stand!C:K,9,0))</f>
        <v/>
      </c>
      <c r="O1185" s="104" t="str">
        <f t="shared" si="524"/>
        <v/>
      </c>
      <c r="P1185" s="105" t="str">
        <f t="shared" si="525"/>
        <v/>
      </c>
      <c r="Q1185" s="105" t="str">
        <f t="shared" si="540"/>
        <v/>
      </c>
      <c r="R1185" s="103" t="str">
        <f t="shared" si="526"/>
        <v/>
      </c>
      <c r="S1185" s="103" t="str">
        <f t="shared" si="527"/>
        <v/>
      </c>
      <c r="T1185" s="106" t="str">
        <f t="shared" si="541"/>
        <v/>
      </c>
      <c r="U1185" s="106" t="str">
        <f t="shared" si="542"/>
        <v/>
      </c>
      <c r="V1185" s="106" t="str">
        <f t="shared" si="543"/>
        <v/>
      </c>
      <c r="W1185" s="105" t="str">
        <f t="shared" si="528"/>
        <v/>
      </c>
      <c r="X1185" s="104" t="str">
        <f t="shared" si="533"/>
        <v/>
      </c>
      <c r="Y1185" s="104" t="str">
        <f t="array" ref="Y1185">IFERROR(IF(ISNUMBER(O1185),IF(COUNT(IF(A1185=$A$2:$A$2427,IF(D1185=$D$2:$D$2427,IF($X$2:$X$2427&gt;0,1))))&gt;0,SUM(IF(A1185=$A$2:$A$2427,IF(D1185=$D$2:$D$2427,$X$2:$X$2427)))/COUNT(IF(A1185=$A$2:$A$2427,IF(D1185=$D$2:$D$2427,IF(ISNUMBER($X$2:$X$2427),1)))),0),""),0)</f>
        <v/>
      </c>
      <c r="Z1185" s="104" t="str">
        <f>IF(ISNUMBER(O1185),IF(I1185&gt;0,(10^(VLOOKUP(D1185,'Species Codes'!B:C,2,0)+VLOOKUP(D1185,'Species Codes'!B:D,3,0)*LOG(E1185)+VLOOKUP(D1185,'Species Codes'!B:E,4,0)*LOG(I1185))),0),"")</f>
        <v/>
      </c>
      <c r="AA1185" s="104" t="str">
        <f>IFERROR((VLOOKUP(D1185,'Species Codes'!B:G,6,0)*Z1185)/2000,"")</f>
        <v/>
      </c>
      <c r="AB1185" s="104" t="e">
        <f>IF(Z1185&gt;0,((IF(OR(D1185="DF",D1185="RA")=TRUE,EXP(VLOOKUP(D1185,'Species Codes'!B:I,8,0)+VLOOKUP(D1185,'Species Codes'!B:J,9,0)*(LN((E1185*2.54)))),IF(OR(D1185="PY",D1185="RC",D1185="WH",D1185="NF")=TRUE,VLOOKUP(D1185,'Species Codes'!B:I,8,0)+VLOOKUP(D1185,'Species Codes'!B:J,9,0)*((E1185*2.54)^2)*(I1185*0.3048),IF(OR(D1185="MD",D1185="BM",D1185="GA")=TRUE,((VLOOKUP(D1185,'Species Codes'!B:I,8,0)*(((((E1185*2.54)+VLOOKUP(D1185,'Species Codes'!B:J,9,0))/VLOOKUP(D1185,'Species Codes'!B:K,10,0))^VLOOKUP(D1185,'Species Codes'!B:L,11,0))*((I1185*0.3048)^VLOOKUP(D1185,'Species Codes'!B:M,12,0))))-(VLOOKUP(D1185,'Species Codes'!B:I,8,0)*((((E1185*2.54)^VLOOKUP(D1185,'Species Codes'!B:L,11,0))*((I1185*0.3048)^VLOOKUP(D1185,'Species Codes'!B:M,12,0))))))*35.3*VLOOKUP(D1185,'Species Codes'!B:G,6,0)/2.2046,VLOOKUP(D1185,'Species Codes'!B:I,8,0)+VLOOKUP(D1185,'Species Codes'!B:J,9,0)*(((E1185*2.54)/100)^2)*(I1185*0.3048)))))*0.0011023),0)</f>
        <v>#N/A</v>
      </c>
      <c r="AC1185" s="104" t="e">
        <f>IF(Z1185&gt;0,((IF(OR(D1185="RA",D1185="OA",D1185="OT",D1185="UN",D1185="PC"),EXP(VLOOKUP(D1185,'Species Codes'!B:O,14,0)+VLOOKUP(D1185,'Species Codes'!B:P,15,0)*LN((E1185*2.54)))-EXP(VLOOKUP(D1185,'Species Codes'!B:O,14,0)+VLOOKUP(D1185,'Species Codes'!B:P,15,0)*LN((E1185*2.54)))*(1/(VLOOKUP(D1185,'Species Codes'!B:Q,16,0)+VLOOKUP(D1185,'Species Codes'!B:R,17,0)*((E1185*2.54)^VLOOKUP(D1185,'Species Codes'!B:S,18,0)))),IF(OR(D1185="BM",D1185="MD",D1185="OA"),EXP(VLOOKUP(D1185,'Species Codes'!B:O,14,0)+VLOOKUP(D1185,'Species Codes'!B:P,15,0)*LN((E1185*2.54)))*(1-(1/(VLOOKUP(D1185,'Species Codes'!B:Q,16,0)+VLOOKUP(D1185,'Species Codes'!B:R,17,0)*((E1185*2.54)^VLOOKUP(D1185,'Species Codes'!B:S,18,0)))))/1000,IF(D1185="DF",EXP(VLOOKUP(D1185,'Species Codes'!B:O,14,0)+VLOOKUP(D1185,'Species Codes'!B:P,15,0)*LN((E1185*2.54))),VLOOKUP(D1185,'Species Codes'!B:O,14,0)+VLOOKUP(D1185,'Species Codes'!B:P,15,0)*(((E1185*2.54)/100)^2)*(I1185*0.3048)))))*0.0011023),0)</f>
        <v>#N/A</v>
      </c>
      <c r="AD1185" s="104" t="e">
        <f t="shared" si="544"/>
        <v>#N/A</v>
      </c>
      <c r="AE1185" s="104" t="e">
        <f t="shared" si="545"/>
        <v>#N/A</v>
      </c>
      <c r="AF1185" s="104" t="e">
        <f>IF(AND(VLOOKUP($D1185,Merchantability!$B:$C,2,0)="Yes",$E1185&gt;=VLOOKUP($D1185,Merchantability!$B:$D,3,0),$E1185&lt;=VLOOKUP($D1185,Merchantability!$B:$E,4,0)),AA1185,0)</f>
        <v>#N/A</v>
      </c>
      <c r="AG1185" s="104" t="e">
        <f>IF(AND(VLOOKUP($D1185,Merchantability!$B:$C,2,0)="Yes",$E1185&gt;=VLOOKUP($D1185,Merchantability!$B:$D,3,0),$E1185&lt;=VLOOKUP($D1185,Merchantability!$B:$E,4,0)),AB1185,0)</f>
        <v>#N/A</v>
      </c>
      <c r="AH1185" s="104" t="e">
        <f>IF(AND(VLOOKUP($D1185,Merchantability!$B:$C,2,0)="Yes",$E1185&gt;=VLOOKUP($D1185,Merchantability!$B:$D,3,0),$E1185&lt;=VLOOKUP($D1185,Merchantability!$B:$E,4,0)),AC1185,0)</f>
        <v>#N/A</v>
      </c>
      <c r="AI1185" s="104" t="e">
        <f t="shared" si="546"/>
        <v>#N/A</v>
      </c>
      <c r="AJ1185" s="104" t="e">
        <f t="shared" si="547"/>
        <v>#VALUE!</v>
      </c>
      <c r="AK1185" s="104" t="e">
        <f t="shared" si="548"/>
        <v>#N/A</v>
      </c>
      <c r="AL1185" s="104" t="e">
        <f t="shared" si="549"/>
        <v>#N/A</v>
      </c>
      <c r="AM1185" s="104" t="e">
        <f t="shared" si="550"/>
        <v>#N/A</v>
      </c>
      <c r="AN1185" s="104" t="e">
        <f t="shared" si="534"/>
        <v>#N/A</v>
      </c>
      <c r="AO1185" s="104" t="e">
        <f t="shared" si="535"/>
        <v>#N/A</v>
      </c>
      <c r="AP1185" s="104" t="e">
        <f t="shared" si="536"/>
        <v>#N/A</v>
      </c>
      <c r="AQ1185" s="104" t="e">
        <f t="shared" si="537"/>
        <v>#N/A</v>
      </c>
      <c r="AR1185" s="105" t="str">
        <f t="shared" si="529"/>
        <v/>
      </c>
      <c r="AS1185" s="105" t="str">
        <f t="shared" si="530"/>
        <v/>
      </c>
      <c r="AT1185" s="108" t="str">
        <f t="shared" si="531"/>
        <v/>
      </c>
      <c r="AU1185" s="108" t="str">
        <f t="shared" si="532"/>
        <v/>
      </c>
      <c r="AV1185" s="107" t="str">
        <f>IF(ISNUMBER(O1185),IF(VLOOKUP($A1185,Stand!C:J,8,FALSE)="Short",AT1185,AU1185),"")</f>
        <v/>
      </c>
      <c r="AW1185" s="109" t="str">
        <f t="shared" si="538"/>
        <v/>
      </c>
      <c r="AX1185" s="109" t="str">
        <f t="shared" si="539"/>
        <v/>
      </c>
      <c r="AY1185" s="112" t="str">
        <f>IF(ISNUMBER(O1185),IF(AND(VLOOKUP($D1185,Merchantability!$B:$C,2,0)="Yes",$E1185&gt;=VLOOKUP($D1185,Merchantability!$B:$D,3,0),$E1185&lt;=VLOOKUP($D1185,Merchantability!$B:$E,4,0)),(AV1185*O1185)*(1-$H1185/100),""),"")</f>
        <v/>
      </c>
      <c r="AZ1185" s="116"/>
      <c r="BA1185" s="116"/>
      <c r="BB1185" s="116"/>
      <c r="BE1185" s="62"/>
      <c r="BF1185" s="63"/>
    </row>
    <row r="1186" spans="1:58" ht="12.75" customHeight="1" x14ac:dyDescent="0.25">
      <c r="A1186" s="313"/>
      <c r="B1186" s="328"/>
      <c r="C1186" s="329"/>
      <c r="D1186" s="328"/>
      <c r="E1186" s="330"/>
      <c r="F1186" s="328"/>
      <c r="G1186" s="329"/>
      <c r="H1186" s="329"/>
      <c r="I1186" s="328"/>
      <c r="J1186" s="383"/>
      <c r="K1186" s="329"/>
      <c r="L1186" s="329"/>
      <c r="M1186" s="76"/>
      <c r="N1186" s="103" t="str">
        <f>IF(A1186="","",VLOOKUP(A1186,Stand!C:K,9,0))</f>
        <v/>
      </c>
      <c r="O1186" s="104" t="str">
        <f t="shared" si="524"/>
        <v/>
      </c>
      <c r="P1186" s="105" t="str">
        <f t="shared" si="525"/>
        <v/>
      </c>
      <c r="Q1186" s="105" t="str">
        <f t="shared" si="540"/>
        <v/>
      </c>
      <c r="R1186" s="103" t="str">
        <f t="shared" si="526"/>
        <v/>
      </c>
      <c r="S1186" s="103" t="str">
        <f t="shared" si="527"/>
        <v/>
      </c>
      <c r="T1186" s="106" t="str">
        <f t="shared" si="541"/>
        <v/>
      </c>
      <c r="U1186" s="106" t="str">
        <f t="shared" si="542"/>
        <v/>
      </c>
      <c r="V1186" s="106" t="str">
        <f t="shared" si="543"/>
        <v/>
      </c>
      <c r="W1186" s="105" t="str">
        <f t="shared" si="528"/>
        <v/>
      </c>
      <c r="X1186" s="104" t="str">
        <f t="shared" si="533"/>
        <v/>
      </c>
      <c r="Y1186" s="104" t="str">
        <f t="array" ref="Y1186">IFERROR(IF(ISNUMBER(O1186),IF(COUNT(IF(A1186=$A$2:$A$2427,IF(D1186=$D$2:$D$2427,IF($X$2:$X$2427&gt;0,1))))&gt;0,SUM(IF(A1186=$A$2:$A$2427,IF(D1186=$D$2:$D$2427,$X$2:$X$2427)))/COUNT(IF(A1186=$A$2:$A$2427,IF(D1186=$D$2:$D$2427,IF(ISNUMBER($X$2:$X$2427),1)))),0),""),0)</f>
        <v/>
      </c>
      <c r="Z1186" s="104" t="str">
        <f>IF(ISNUMBER(O1186),IF(I1186&gt;0,(10^(VLOOKUP(D1186,'Species Codes'!B:C,2,0)+VLOOKUP(D1186,'Species Codes'!B:D,3,0)*LOG(E1186)+VLOOKUP(D1186,'Species Codes'!B:E,4,0)*LOG(I1186))),0),"")</f>
        <v/>
      </c>
      <c r="AA1186" s="104" t="str">
        <f>IFERROR((VLOOKUP(D1186,'Species Codes'!B:G,6,0)*Z1186)/2000,"")</f>
        <v/>
      </c>
      <c r="AB1186" s="104" t="e">
        <f>IF(Z1186&gt;0,((IF(OR(D1186="DF",D1186="RA")=TRUE,EXP(VLOOKUP(D1186,'Species Codes'!B:I,8,0)+VLOOKUP(D1186,'Species Codes'!B:J,9,0)*(LN((E1186*2.54)))),IF(OR(D1186="PY",D1186="RC",D1186="WH",D1186="NF")=TRUE,VLOOKUP(D1186,'Species Codes'!B:I,8,0)+VLOOKUP(D1186,'Species Codes'!B:J,9,0)*((E1186*2.54)^2)*(I1186*0.3048),IF(OR(D1186="MD",D1186="BM",D1186="GA")=TRUE,((VLOOKUP(D1186,'Species Codes'!B:I,8,0)*(((((E1186*2.54)+VLOOKUP(D1186,'Species Codes'!B:J,9,0))/VLOOKUP(D1186,'Species Codes'!B:K,10,0))^VLOOKUP(D1186,'Species Codes'!B:L,11,0))*((I1186*0.3048)^VLOOKUP(D1186,'Species Codes'!B:M,12,0))))-(VLOOKUP(D1186,'Species Codes'!B:I,8,0)*((((E1186*2.54)^VLOOKUP(D1186,'Species Codes'!B:L,11,0))*((I1186*0.3048)^VLOOKUP(D1186,'Species Codes'!B:M,12,0))))))*35.3*VLOOKUP(D1186,'Species Codes'!B:G,6,0)/2.2046,VLOOKUP(D1186,'Species Codes'!B:I,8,0)+VLOOKUP(D1186,'Species Codes'!B:J,9,0)*(((E1186*2.54)/100)^2)*(I1186*0.3048)))))*0.0011023),0)</f>
        <v>#N/A</v>
      </c>
      <c r="AC1186" s="104" t="e">
        <f>IF(Z1186&gt;0,((IF(OR(D1186="RA",D1186="OA",D1186="OT",D1186="UN",D1186="PC"),EXP(VLOOKUP(D1186,'Species Codes'!B:O,14,0)+VLOOKUP(D1186,'Species Codes'!B:P,15,0)*LN((E1186*2.54)))-EXP(VLOOKUP(D1186,'Species Codes'!B:O,14,0)+VLOOKUP(D1186,'Species Codes'!B:P,15,0)*LN((E1186*2.54)))*(1/(VLOOKUP(D1186,'Species Codes'!B:Q,16,0)+VLOOKUP(D1186,'Species Codes'!B:R,17,0)*((E1186*2.54)^VLOOKUP(D1186,'Species Codes'!B:S,18,0)))),IF(OR(D1186="BM",D1186="MD",D1186="OA"),EXP(VLOOKUP(D1186,'Species Codes'!B:O,14,0)+VLOOKUP(D1186,'Species Codes'!B:P,15,0)*LN((E1186*2.54)))*(1-(1/(VLOOKUP(D1186,'Species Codes'!B:Q,16,0)+VLOOKUP(D1186,'Species Codes'!B:R,17,0)*((E1186*2.54)^VLOOKUP(D1186,'Species Codes'!B:S,18,0)))))/1000,IF(D1186="DF",EXP(VLOOKUP(D1186,'Species Codes'!B:O,14,0)+VLOOKUP(D1186,'Species Codes'!B:P,15,0)*LN((E1186*2.54))),VLOOKUP(D1186,'Species Codes'!B:O,14,0)+VLOOKUP(D1186,'Species Codes'!B:P,15,0)*(((E1186*2.54)/100)^2)*(I1186*0.3048)))))*0.0011023),0)</f>
        <v>#N/A</v>
      </c>
      <c r="AD1186" s="104" t="e">
        <f t="shared" si="544"/>
        <v>#N/A</v>
      </c>
      <c r="AE1186" s="104" t="e">
        <f t="shared" si="545"/>
        <v>#N/A</v>
      </c>
      <c r="AF1186" s="104" t="e">
        <f>IF(AND(VLOOKUP($D1186,Merchantability!$B:$C,2,0)="Yes",$E1186&gt;=VLOOKUP($D1186,Merchantability!$B:$D,3,0),$E1186&lt;=VLOOKUP($D1186,Merchantability!$B:$E,4,0)),AA1186,0)</f>
        <v>#N/A</v>
      </c>
      <c r="AG1186" s="104" t="e">
        <f>IF(AND(VLOOKUP($D1186,Merchantability!$B:$C,2,0)="Yes",$E1186&gt;=VLOOKUP($D1186,Merchantability!$B:$D,3,0),$E1186&lt;=VLOOKUP($D1186,Merchantability!$B:$E,4,0)),AB1186,0)</f>
        <v>#N/A</v>
      </c>
      <c r="AH1186" s="104" t="e">
        <f>IF(AND(VLOOKUP($D1186,Merchantability!$B:$C,2,0)="Yes",$E1186&gt;=VLOOKUP($D1186,Merchantability!$B:$D,3,0),$E1186&lt;=VLOOKUP($D1186,Merchantability!$B:$E,4,0)),AC1186,0)</f>
        <v>#N/A</v>
      </c>
      <c r="AI1186" s="104" t="e">
        <f t="shared" si="546"/>
        <v>#N/A</v>
      </c>
      <c r="AJ1186" s="104" t="e">
        <f t="shared" si="547"/>
        <v>#VALUE!</v>
      </c>
      <c r="AK1186" s="104" t="e">
        <f t="shared" si="548"/>
        <v>#N/A</v>
      </c>
      <c r="AL1186" s="104" t="e">
        <f t="shared" si="549"/>
        <v>#N/A</v>
      </c>
      <c r="AM1186" s="104" t="e">
        <f t="shared" si="550"/>
        <v>#N/A</v>
      </c>
      <c r="AN1186" s="104" t="e">
        <f t="shared" si="534"/>
        <v>#N/A</v>
      </c>
      <c r="AO1186" s="104" t="e">
        <f t="shared" si="535"/>
        <v>#N/A</v>
      </c>
      <c r="AP1186" s="104" t="e">
        <f t="shared" si="536"/>
        <v>#N/A</v>
      </c>
      <c r="AQ1186" s="104" t="e">
        <f t="shared" si="537"/>
        <v>#N/A</v>
      </c>
      <c r="AR1186" s="105" t="str">
        <f t="shared" si="529"/>
        <v/>
      </c>
      <c r="AS1186" s="105" t="str">
        <f t="shared" si="530"/>
        <v/>
      </c>
      <c r="AT1186" s="108" t="str">
        <f t="shared" si="531"/>
        <v/>
      </c>
      <c r="AU1186" s="108" t="str">
        <f t="shared" si="532"/>
        <v/>
      </c>
      <c r="AV1186" s="107" t="str">
        <f>IF(ISNUMBER(O1186),IF(VLOOKUP($A1186,Stand!C:J,8,FALSE)="Short",AT1186,AU1186),"")</f>
        <v/>
      </c>
      <c r="AW1186" s="109" t="str">
        <f t="shared" si="538"/>
        <v/>
      </c>
      <c r="AX1186" s="109" t="str">
        <f t="shared" si="539"/>
        <v/>
      </c>
      <c r="AY1186" s="112" t="str">
        <f>IF(ISNUMBER(O1186),IF(AND(VLOOKUP($D1186,Merchantability!$B:$C,2,0)="Yes",$E1186&gt;=VLOOKUP($D1186,Merchantability!$B:$D,3,0),$E1186&lt;=VLOOKUP($D1186,Merchantability!$B:$E,4,0)),(AV1186*O1186)*(1-$H1186/100),""),"")</f>
        <v/>
      </c>
      <c r="AZ1186" s="116"/>
      <c r="BA1186" s="116"/>
      <c r="BB1186" s="116"/>
      <c r="BE1186" s="62"/>
      <c r="BF1186" s="63"/>
    </row>
    <row r="1187" spans="1:58" ht="12.75" customHeight="1" x14ac:dyDescent="0.25">
      <c r="A1187" s="313"/>
      <c r="B1187" s="328"/>
      <c r="C1187" s="329"/>
      <c r="D1187" s="328"/>
      <c r="E1187" s="330"/>
      <c r="F1187" s="328"/>
      <c r="G1187" s="329"/>
      <c r="H1187" s="329"/>
      <c r="I1187" s="328"/>
      <c r="J1187" s="383"/>
      <c r="K1187" s="329"/>
      <c r="L1187" s="329"/>
      <c r="M1187" s="76"/>
      <c r="N1187" s="103" t="str">
        <f>IF(A1187="","",VLOOKUP(A1187,Stand!C:K,9,0))</f>
        <v/>
      </c>
      <c r="O1187" s="104" t="str">
        <f t="shared" si="524"/>
        <v/>
      </c>
      <c r="P1187" s="105" t="str">
        <f t="shared" si="525"/>
        <v/>
      </c>
      <c r="Q1187" s="105" t="str">
        <f t="shared" si="540"/>
        <v/>
      </c>
      <c r="R1187" s="103" t="str">
        <f t="shared" si="526"/>
        <v/>
      </c>
      <c r="S1187" s="103" t="str">
        <f t="shared" si="527"/>
        <v/>
      </c>
      <c r="T1187" s="106" t="str">
        <f t="shared" si="541"/>
        <v/>
      </c>
      <c r="U1187" s="106" t="str">
        <f t="shared" si="542"/>
        <v/>
      </c>
      <c r="V1187" s="106" t="str">
        <f t="shared" si="543"/>
        <v/>
      </c>
      <c r="W1187" s="105" t="str">
        <f t="shared" si="528"/>
        <v/>
      </c>
      <c r="X1187" s="104" t="str">
        <f t="shared" si="533"/>
        <v/>
      </c>
      <c r="Y1187" s="104" t="str">
        <f t="array" ref="Y1187">IFERROR(IF(ISNUMBER(O1187),IF(COUNT(IF(A1187=$A$2:$A$2427,IF(D1187=$D$2:$D$2427,IF($X$2:$X$2427&gt;0,1))))&gt;0,SUM(IF(A1187=$A$2:$A$2427,IF(D1187=$D$2:$D$2427,$X$2:$X$2427)))/COUNT(IF(A1187=$A$2:$A$2427,IF(D1187=$D$2:$D$2427,IF(ISNUMBER($X$2:$X$2427),1)))),0),""),0)</f>
        <v/>
      </c>
      <c r="Z1187" s="104" t="str">
        <f>IF(ISNUMBER(O1187),IF(I1187&gt;0,(10^(VLOOKUP(D1187,'Species Codes'!B:C,2,0)+VLOOKUP(D1187,'Species Codes'!B:D,3,0)*LOG(E1187)+VLOOKUP(D1187,'Species Codes'!B:E,4,0)*LOG(I1187))),0),"")</f>
        <v/>
      </c>
      <c r="AA1187" s="104" t="str">
        <f>IFERROR((VLOOKUP(D1187,'Species Codes'!B:G,6,0)*Z1187)/2000,"")</f>
        <v/>
      </c>
      <c r="AB1187" s="104" t="e">
        <f>IF(Z1187&gt;0,((IF(OR(D1187="DF",D1187="RA")=TRUE,EXP(VLOOKUP(D1187,'Species Codes'!B:I,8,0)+VLOOKUP(D1187,'Species Codes'!B:J,9,0)*(LN((E1187*2.54)))),IF(OR(D1187="PY",D1187="RC",D1187="WH",D1187="NF")=TRUE,VLOOKUP(D1187,'Species Codes'!B:I,8,0)+VLOOKUP(D1187,'Species Codes'!B:J,9,0)*((E1187*2.54)^2)*(I1187*0.3048),IF(OR(D1187="MD",D1187="BM",D1187="GA")=TRUE,((VLOOKUP(D1187,'Species Codes'!B:I,8,0)*(((((E1187*2.54)+VLOOKUP(D1187,'Species Codes'!B:J,9,0))/VLOOKUP(D1187,'Species Codes'!B:K,10,0))^VLOOKUP(D1187,'Species Codes'!B:L,11,0))*((I1187*0.3048)^VLOOKUP(D1187,'Species Codes'!B:M,12,0))))-(VLOOKUP(D1187,'Species Codes'!B:I,8,0)*((((E1187*2.54)^VLOOKUP(D1187,'Species Codes'!B:L,11,0))*((I1187*0.3048)^VLOOKUP(D1187,'Species Codes'!B:M,12,0))))))*35.3*VLOOKUP(D1187,'Species Codes'!B:G,6,0)/2.2046,VLOOKUP(D1187,'Species Codes'!B:I,8,0)+VLOOKUP(D1187,'Species Codes'!B:J,9,0)*(((E1187*2.54)/100)^2)*(I1187*0.3048)))))*0.0011023),0)</f>
        <v>#N/A</v>
      </c>
      <c r="AC1187" s="104" t="e">
        <f>IF(Z1187&gt;0,((IF(OR(D1187="RA",D1187="OA",D1187="OT",D1187="UN",D1187="PC"),EXP(VLOOKUP(D1187,'Species Codes'!B:O,14,0)+VLOOKUP(D1187,'Species Codes'!B:P,15,0)*LN((E1187*2.54)))-EXP(VLOOKUP(D1187,'Species Codes'!B:O,14,0)+VLOOKUP(D1187,'Species Codes'!B:P,15,0)*LN((E1187*2.54)))*(1/(VLOOKUP(D1187,'Species Codes'!B:Q,16,0)+VLOOKUP(D1187,'Species Codes'!B:R,17,0)*((E1187*2.54)^VLOOKUP(D1187,'Species Codes'!B:S,18,0)))),IF(OR(D1187="BM",D1187="MD",D1187="OA"),EXP(VLOOKUP(D1187,'Species Codes'!B:O,14,0)+VLOOKUP(D1187,'Species Codes'!B:P,15,0)*LN((E1187*2.54)))*(1-(1/(VLOOKUP(D1187,'Species Codes'!B:Q,16,0)+VLOOKUP(D1187,'Species Codes'!B:R,17,0)*((E1187*2.54)^VLOOKUP(D1187,'Species Codes'!B:S,18,0)))))/1000,IF(D1187="DF",EXP(VLOOKUP(D1187,'Species Codes'!B:O,14,0)+VLOOKUP(D1187,'Species Codes'!B:P,15,0)*LN((E1187*2.54))),VLOOKUP(D1187,'Species Codes'!B:O,14,0)+VLOOKUP(D1187,'Species Codes'!B:P,15,0)*(((E1187*2.54)/100)^2)*(I1187*0.3048)))))*0.0011023),0)</f>
        <v>#N/A</v>
      </c>
      <c r="AD1187" s="104" t="e">
        <f t="shared" si="544"/>
        <v>#N/A</v>
      </c>
      <c r="AE1187" s="104" t="e">
        <f t="shared" si="545"/>
        <v>#N/A</v>
      </c>
      <c r="AF1187" s="104" t="e">
        <f>IF(AND(VLOOKUP($D1187,Merchantability!$B:$C,2,0)="Yes",$E1187&gt;=VLOOKUP($D1187,Merchantability!$B:$D,3,0),$E1187&lt;=VLOOKUP($D1187,Merchantability!$B:$E,4,0)),AA1187,0)</f>
        <v>#N/A</v>
      </c>
      <c r="AG1187" s="104" t="e">
        <f>IF(AND(VLOOKUP($D1187,Merchantability!$B:$C,2,0)="Yes",$E1187&gt;=VLOOKUP($D1187,Merchantability!$B:$D,3,0),$E1187&lt;=VLOOKUP($D1187,Merchantability!$B:$E,4,0)),AB1187,0)</f>
        <v>#N/A</v>
      </c>
      <c r="AH1187" s="104" t="e">
        <f>IF(AND(VLOOKUP($D1187,Merchantability!$B:$C,2,0)="Yes",$E1187&gt;=VLOOKUP($D1187,Merchantability!$B:$D,3,0),$E1187&lt;=VLOOKUP($D1187,Merchantability!$B:$E,4,0)),AC1187,0)</f>
        <v>#N/A</v>
      </c>
      <c r="AI1187" s="104" t="e">
        <f t="shared" si="546"/>
        <v>#N/A</v>
      </c>
      <c r="AJ1187" s="104" t="e">
        <f t="shared" si="547"/>
        <v>#VALUE!</v>
      </c>
      <c r="AK1187" s="104" t="e">
        <f t="shared" si="548"/>
        <v>#N/A</v>
      </c>
      <c r="AL1187" s="104" t="e">
        <f t="shared" si="549"/>
        <v>#N/A</v>
      </c>
      <c r="AM1187" s="104" t="e">
        <f t="shared" si="550"/>
        <v>#N/A</v>
      </c>
      <c r="AN1187" s="104" t="e">
        <f t="shared" si="534"/>
        <v>#N/A</v>
      </c>
      <c r="AO1187" s="104" t="e">
        <f t="shared" si="535"/>
        <v>#N/A</v>
      </c>
      <c r="AP1187" s="104" t="e">
        <f t="shared" si="536"/>
        <v>#N/A</v>
      </c>
      <c r="AQ1187" s="104" t="e">
        <f t="shared" si="537"/>
        <v>#N/A</v>
      </c>
      <c r="AR1187" s="105" t="str">
        <f t="shared" si="529"/>
        <v/>
      </c>
      <c r="AS1187" s="105" t="str">
        <f t="shared" si="530"/>
        <v/>
      </c>
      <c r="AT1187" s="108" t="str">
        <f t="shared" si="531"/>
        <v/>
      </c>
      <c r="AU1187" s="108" t="str">
        <f t="shared" si="532"/>
        <v/>
      </c>
      <c r="AV1187" s="107" t="str">
        <f>IF(ISNUMBER(O1187),IF(VLOOKUP($A1187,Stand!C:J,8,FALSE)="Short",AT1187,AU1187),"")</f>
        <v/>
      </c>
      <c r="AW1187" s="109" t="str">
        <f t="shared" si="538"/>
        <v/>
      </c>
      <c r="AX1187" s="109" t="str">
        <f t="shared" si="539"/>
        <v/>
      </c>
      <c r="AY1187" s="112" t="str">
        <f>IF(ISNUMBER(O1187),IF(AND(VLOOKUP($D1187,Merchantability!$B:$C,2,0)="Yes",$E1187&gt;=VLOOKUP($D1187,Merchantability!$B:$D,3,0),$E1187&lt;=VLOOKUP($D1187,Merchantability!$B:$E,4,0)),(AV1187*O1187)*(1-$H1187/100),""),"")</f>
        <v/>
      </c>
      <c r="AZ1187" s="116"/>
      <c r="BA1187" s="116"/>
      <c r="BB1187" s="116"/>
      <c r="BE1187" s="62"/>
      <c r="BF1187" s="63"/>
    </row>
    <row r="1188" spans="1:58" ht="12.75" customHeight="1" x14ac:dyDescent="0.25">
      <c r="A1188" s="313"/>
      <c r="B1188" s="328"/>
      <c r="C1188" s="329"/>
      <c r="D1188" s="328"/>
      <c r="E1188" s="330"/>
      <c r="F1188" s="328"/>
      <c r="G1188" s="329"/>
      <c r="H1188" s="329"/>
      <c r="I1188" s="328"/>
      <c r="J1188" s="383"/>
      <c r="K1188" s="329"/>
      <c r="L1188" s="329"/>
      <c r="M1188" s="76"/>
      <c r="N1188" s="103" t="str">
        <f>IF(A1188="","",VLOOKUP(A1188,Stand!C:K,9,0))</f>
        <v/>
      </c>
      <c r="O1188" s="104" t="str">
        <f t="shared" si="524"/>
        <v/>
      </c>
      <c r="P1188" s="105" t="str">
        <f t="shared" si="525"/>
        <v/>
      </c>
      <c r="Q1188" s="105" t="str">
        <f t="shared" si="540"/>
        <v/>
      </c>
      <c r="R1188" s="103" t="str">
        <f t="shared" si="526"/>
        <v/>
      </c>
      <c r="S1188" s="103" t="str">
        <f t="shared" si="527"/>
        <v/>
      </c>
      <c r="T1188" s="106" t="str">
        <f t="shared" si="541"/>
        <v/>
      </c>
      <c r="U1188" s="106" t="str">
        <f t="shared" si="542"/>
        <v/>
      </c>
      <c r="V1188" s="106" t="str">
        <f t="shared" si="543"/>
        <v/>
      </c>
      <c r="W1188" s="105" t="str">
        <f t="shared" si="528"/>
        <v/>
      </c>
      <c r="X1188" s="104" t="str">
        <f t="shared" si="533"/>
        <v/>
      </c>
      <c r="Y1188" s="104" t="str">
        <f t="array" ref="Y1188">IFERROR(IF(ISNUMBER(O1188),IF(COUNT(IF(A1188=$A$2:$A$2427,IF(D1188=$D$2:$D$2427,IF($X$2:$X$2427&gt;0,1))))&gt;0,SUM(IF(A1188=$A$2:$A$2427,IF(D1188=$D$2:$D$2427,$X$2:$X$2427)))/COUNT(IF(A1188=$A$2:$A$2427,IF(D1188=$D$2:$D$2427,IF(ISNUMBER($X$2:$X$2427),1)))),0),""),0)</f>
        <v/>
      </c>
      <c r="Z1188" s="104" t="str">
        <f>IF(ISNUMBER(O1188),IF(I1188&gt;0,(10^(VLOOKUP(D1188,'Species Codes'!B:C,2,0)+VLOOKUP(D1188,'Species Codes'!B:D,3,0)*LOG(E1188)+VLOOKUP(D1188,'Species Codes'!B:E,4,0)*LOG(I1188))),0),"")</f>
        <v/>
      </c>
      <c r="AA1188" s="104" t="str">
        <f>IFERROR((VLOOKUP(D1188,'Species Codes'!B:G,6,0)*Z1188)/2000,"")</f>
        <v/>
      </c>
      <c r="AB1188" s="104" t="e">
        <f>IF(Z1188&gt;0,((IF(OR(D1188="DF",D1188="RA")=TRUE,EXP(VLOOKUP(D1188,'Species Codes'!B:I,8,0)+VLOOKUP(D1188,'Species Codes'!B:J,9,0)*(LN((E1188*2.54)))),IF(OR(D1188="PY",D1188="RC",D1188="WH",D1188="NF")=TRUE,VLOOKUP(D1188,'Species Codes'!B:I,8,0)+VLOOKUP(D1188,'Species Codes'!B:J,9,0)*((E1188*2.54)^2)*(I1188*0.3048),IF(OR(D1188="MD",D1188="BM",D1188="GA")=TRUE,((VLOOKUP(D1188,'Species Codes'!B:I,8,0)*(((((E1188*2.54)+VLOOKUP(D1188,'Species Codes'!B:J,9,0))/VLOOKUP(D1188,'Species Codes'!B:K,10,0))^VLOOKUP(D1188,'Species Codes'!B:L,11,0))*((I1188*0.3048)^VLOOKUP(D1188,'Species Codes'!B:M,12,0))))-(VLOOKUP(D1188,'Species Codes'!B:I,8,0)*((((E1188*2.54)^VLOOKUP(D1188,'Species Codes'!B:L,11,0))*((I1188*0.3048)^VLOOKUP(D1188,'Species Codes'!B:M,12,0))))))*35.3*VLOOKUP(D1188,'Species Codes'!B:G,6,0)/2.2046,VLOOKUP(D1188,'Species Codes'!B:I,8,0)+VLOOKUP(D1188,'Species Codes'!B:J,9,0)*(((E1188*2.54)/100)^2)*(I1188*0.3048)))))*0.0011023),0)</f>
        <v>#N/A</v>
      </c>
      <c r="AC1188" s="104" t="e">
        <f>IF(Z1188&gt;0,((IF(OR(D1188="RA",D1188="OA",D1188="OT",D1188="UN",D1188="PC"),EXP(VLOOKUP(D1188,'Species Codes'!B:O,14,0)+VLOOKUP(D1188,'Species Codes'!B:P,15,0)*LN((E1188*2.54)))-EXP(VLOOKUP(D1188,'Species Codes'!B:O,14,0)+VLOOKUP(D1188,'Species Codes'!B:P,15,0)*LN((E1188*2.54)))*(1/(VLOOKUP(D1188,'Species Codes'!B:Q,16,0)+VLOOKUP(D1188,'Species Codes'!B:R,17,0)*((E1188*2.54)^VLOOKUP(D1188,'Species Codes'!B:S,18,0)))),IF(OR(D1188="BM",D1188="MD",D1188="OA"),EXP(VLOOKUP(D1188,'Species Codes'!B:O,14,0)+VLOOKUP(D1188,'Species Codes'!B:P,15,0)*LN((E1188*2.54)))*(1-(1/(VLOOKUP(D1188,'Species Codes'!B:Q,16,0)+VLOOKUP(D1188,'Species Codes'!B:R,17,0)*((E1188*2.54)^VLOOKUP(D1188,'Species Codes'!B:S,18,0)))))/1000,IF(D1188="DF",EXP(VLOOKUP(D1188,'Species Codes'!B:O,14,0)+VLOOKUP(D1188,'Species Codes'!B:P,15,0)*LN((E1188*2.54))),VLOOKUP(D1188,'Species Codes'!B:O,14,0)+VLOOKUP(D1188,'Species Codes'!B:P,15,0)*(((E1188*2.54)/100)^2)*(I1188*0.3048)))))*0.0011023),0)</f>
        <v>#N/A</v>
      </c>
      <c r="AD1188" s="104" t="e">
        <f t="shared" si="544"/>
        <v>#N/A</v>
      </c>
      <c r="AE1188" s="104" t="e">
        <f t="shared" si="545"/>
        <v>#N/A</v>
      </c>
      <c r="AF1188" s="104" t="e">
        <f>IF(AND(VLOOKUP($D1188,Merchantability!$B:$C,2,0)="Yes",$E1188&gt;=VLOOKUP($D1188,Merchantability!$B:$D,3,0),$E1188&lt;=VLOOKUP($D1188,Merchantability!$B:$E,4,0)),AA1188,0)</f>
        <v>#N/A</v>
      </c>
      <c r="AG1188" s="104" t="e">
        <f>IF(AND(VLOOKUP($D1188,Merchantability!$B:$C,2,0)="Yes",$E1188&gt;=VLOOKUP($D1188,Merchantability!$B:$D,3,0),$E1188&lt;=VLOOKUP($D1188,Merchantability!$B:$E,4,0)),AB1188,0)</f>
        <v>#N/A</v>
      </c>
      <c r="AH1188" s="104" t="e">
        <f>IF(AND(VLOOKUP($D1188,Merchantability!$B:$C,2,0)="Yes",$E1188&gt;=VLOOKUP($D1188,Merchantability!$B:$D,3,0),$E1188&lt;=VLOOKUP($D1188,Merchantability!$B:$E,4,0)),AC1188,0)</f>
        <v>#N/A</v>
      </c>
      <c r="AI1188" s="104" t="e">
        <f t="shared" si="546"/>
        <v>#N/A</v>
      </c>
      <c r="AJ1188" s="104" t="e">
        <f t="shared" si="547"/>
        <v>#VALUE!</v>
      </c>
      <c r="AK1188" s="104" t="e">
        <f t="shared" si="548"/>
        <v>#N/A</v>
      </c>
      <c r="AL1188" s="104" t="e">
        <f t="shared" si="549"/>
        <v>#N/A</v>
      </c>
      <c r="AM1188" s="104" t="e">
        <f t="shared" si="550"/>
        <v>#N/A</v>
      </c>
      <c r="AN1188" s="104" t="e">
        <f t="shared" si="534"/>
        <v>#N/A</v>
      </c>
      <c r="AO1188" s="104" t="e">
        <f t="shared" si="535"/>
        <v>#N/A</v>
      </c>
      <c r="AP1188" s="104" t="e">
        <f t="shared" si="536"/>
        <v>#N/A</v>
      </c>
      <c r="AQ1188" s="104" t="e">
        <f t="shared" si="537"/>
        <v>#N/A</v>
      </c>
      <c r="AR1188" s="105" t="str">
        <f t="shared" si="529"/>
        <v/>
      </c>
      <c r="AS1188" s="105" t="str">
        <f t="shared" si="530"/>
        <v/>
      </c>
      <c r="AT1188" s="108" t="str">
        <f t="shared" si="531"/>
        <v/>
      </c>
      <c r="AU1188" s="108" t="str">
        <f t="shared" si="532"/>
        <v/>
      </c>
      <c r="AV1188" s="107" t="str">
        <f>IF(ISNUMBER(O1188),IF(VLOOKUP($A1188,Stand!C:J,8,FALSE)="Short",AT1188,AU1188),"")</f>
        <v/>
      </c>
      <c r="AW1188" s="109" t="str">
        <f t="shared" si="538"/>
        <v/>
      </c>
      <c r="AX1188" s="109" t="str">
        <f t="shared" si="539"/>
        <v/>
      </c>
      <c r="AY1188" s="112" t="str">
        <f>IF(ISNUMBER(O1188),IF(AND(VLOOKUP($D1188,Merchantability!$B:$C,2,0)="Yes",$E1188&gt;=VLOOKUP($D1188,Merchantability!$B:$D,3,0),$E1188&lt;=VLOOKUP($D1188,Merchantability!$B:$E,4,0)),(AV1188*O1188)*(1-$H1188/100),""),"")</f>
        <v/>
      </c>
      <c r="AZ1188" s="116"/>
      <c r="BA1188" s="116"/>
      <c r="BB1188" s="116"/>
      <c r="BE1188" s="62"/>
      <c r="BF1188" s="63"/>
    </row>
    <row r="1189" spans="1:58" ht="12.75" customHeight="1" x14ac:dyDescent="0.25">
      <c r="A1189" s="313"/>
      <c r="B1189" s="328"/>
      <c r="C1189" s="329"/>
      <c r="D1189" s="328"/>
      <c r="E1189" s="330"/>
      <c r="F1189" s="328"/>
      <c r="G1189" s="329"/>
      <c r="H1189" s="329"/>
      <c r="I1189" s="328"/>
      <c r="J1189" s="383"/>
      <c r="K1189" s="329"/>
      <c r="L1189" s="329"/>
      <c r="M1189" s="76"/>
      <c r="N1189" s="103" t="str">
        <f>IF(A1189="","",VLOOKUP(A1189,Stand!C:K,9,0))</f>
        <v/>
      </c>
      <c r="O1189" s="104" t="str">
        <f t="shared" si="524"/>
        <v/>
      </c>
      <c r="P1189" s="105" t="str">
        <f t="shared" si="525"/>
        <v/>
      </c>
      <c r="Q1189" s="105" t="str">
        <f t="shared" si="540"/>
        <v/>
      </c>
      <c r="R1189" s="103" t="str">
        <f t="shared" si="526"/>
        <v/>
      </c>
      <c r="S1189" s="103" t="str">
        <f t="shared" si="527"/>
        <v/>
      </c>
      <c r="T1189" s="106" t="str">
        <f t="shared" si="541"/>
        <v/>
      </c>
      <c r="U1189" s="106" t="str">
        <f t="shared" si="542"/>
        <v/>
      </c>
      <c r="V1189" s="106" t="str">
        <f t="shared" si="543"/>
        <v/>
      </c>
      <c r="W1189" s="105" t="str">
        <f t="shared" si="528"/>
        <v/>
      </c>
      <c r="X1189" s="104" t="str">
        <f t="shared" si="533"/>
        <v/>
      </c>
      <c r="Y1189" s="104" t="str">
        <f t="array" ref="Y1189">IFERROR(IF(ISNUMBER(O1189),IF(COUNT(IF(A1189=$A$2:$A$2427,IF(D1189=$D$2:$D$2427,IF($X$2:$X$2427&gt;0,1))))&gt;0,SUM(IF(A1189=$A$2:$A$2427,IF(D1189=$D$2:$D$2427,$X$2:$X$2427)))/COUNT(IF(A1189=$A$2:$A$2427,IF(D1189=$D$2:$D$2427,IF(ISNUMBER($X$2:$X$2427),1)))),0),""),0)</f>
        <v/>
      </c>
      <c r="Z1189" s="104" t="str">
        <f>IF(ISNUMBER(O1189),IF(I1189&gt;0,(10^(VLOOKUP(D1189,'Species Codes'!B:C,2,0)+VLOOKUP(D1189,'Species Codes'!B:D,3,0)*LOG(E1189)+VLOOKUP(D1189,'Species Codes'!B:E,4,0)*LOG(I1189))),0),"")</f>
        <v/>
      </c>
      <c r="AA1189" s="104" t="str">
        <f>IFERROR((VLOOKUP(D1189,'Species Codes'!B:G,6,0)*Z1189)/2000,"")</f>
        <v/>
      </c>
      <c r="AB1189" s="104" t="e">
        <f>IF(Z1189&gt;0,((IF(OR(D1189="DF",D1189="RA")=TRUE,EXP(VLOOKUP(D1189,'Species Codes'!B:I,8,0)+VLOOKUP(D1189,'Species Codes'!B:J,9,0)*(LN((E1189*2.54)))),IF(OR(D1189="PY",D1189="RC",D1189="WH",D1189="NF")=TRUE,VLOOKUP(D1189,'Species Codes'!B:I,8,0)+VLOOKUP(D1189,'Species Codes'!B:J,9,0)*((E1189*2.54)^2)*(I1189*0.3048),IF(OR(D1189="MD",D1189="BM",D1189="GA")=TRUE,((VLOOKUP(D1189,'Species Codes'!B:I,8,0)*(((((E1189*2.54)+VLOOKUP(D1189,'Species Codes'!B:J,9,0))/VLOOKUP(D1189,'Species Codes'!B:K,10,0))^VLOOKUP(D1189,'Species Codes'!B:L,11,0))*((I1189*0.3048)^VLOOKUP(D1189,'Species Codes'!B:M,12,0))))-(VLOOKUP(D1189,'Species Codes'!B:I,8,0)*((((E1189*2.54)^VLOOKUP(D1189,'Species Codes'!B:L,11,0))*((I1189*0.3048)^VLOOKUP(D1189,'Species Codes'!B:M,12,0))))))*35.3*VLOOKUP(D1189,'Species Codes'!B:G,6,0)/2.2046,VLOOKUP(D1189,'Species Codes'!B:I,8,0)+VLOOKUP(D1189,'Species Codes'!B:J,9,0)*(((E1189*2.54)/100)^2)*(I1189*0.3048)))))*0.0011023),0)</f>
        <v>#N/A</v>
      </c>
      <c r="AC1189" s="104" t="e">
        <f>IF(Z1189&gt;0,((IF(OR(D1189="RA",D1189="OA",D1189="OT",D1189="UN",D1189="PC"),EXP(VLOOKUP(D1189,'Species Codes'!B:O,14,0)+VLOOKUP(D1189,'Species Codes'!B:P,15,0)*LN((E1189*2.54)))-EXP(VLOOKUP(D1189,'Species Codes'!B:O,14,0)+VLOOKUP(D1189,'Species Codes'!B:P,15,0)*LN((E1189*2.54)))*(1/(VLOOKUP(D1189,'Species Codes'!B:Q,16,0)+VLOOKUP(D1189,'Species Codes'!B:R,17,0)*((E1189*2.54)^VLOOKUP(D1189,'Species Codes'!B:S,18,0)))),IF(OR(D1189="BM",D1189="MD",D1189="OA"),EXP(VLOOKUP(D1189,'Species Codes'!B:O,14,0)+VLOOKUP(D1189,'Species Codes'!B:P,15,0)*LN((E1189*2.54)))*(1-(1/(VLOOKUP(D1189,'Species Codes'!B:Q,16,0)+VLOOKUP(D1189,'Species Codes'!B:R,17,0)*((E1189*2.54)^VLOOKUP(D1189,'Species Codes'!B:S,18,0)))))/1000,IF(D1189="DF",EXP(VLOOKUP(D1189,'Species Codes'!B:O,14,0)+VLOOKUP(D1189,'Species Codes'!B:P,15,0)*LN((E1189*2.54))),VLOOKUP(D1189,'Species Codes'!B:O,14,0)+VLOOKUP(D1189,'Species Codes'!B:P,15,0)*(((E1189*2.54)/100)^2)*(I1189*0.3048)))))*0.0011023),0)</f>
        <v>#N/A</v>
      </c>
      <c r="AD1189" s="104" t="e">
        <f t="shared" si="544"/>
        <v>#N/A</v>
      </c>
      <c r="AE1189" s="104" t="e">
        <f t="shared" si="545"/>
        <v>#N/A</v>
      </c>
      <c r="AF1189" s="104" t="e">
        <f>IF(AND(VLOOKUP($D1189,Merchantability!$B:$C,2,0)="Yes",$E1189&gt;=VLOOKUP($D1189,Merchantability!$B:$D,3,0),$E1189&lt;=VLOOKUP($D1189,Merchantability!$B:$E,4,0)),AA1189,0)</f>
        <v>#N/A</v>
      </c>
      <c r="AG1189" s="104" t="e">
        <f>IF(AND(VLOOKUP($D1189,Merchantability!$B:$C,2,0)="Yes",$E1189&gt;=VLOOKUP($D1189,Merchantability!$B:$D,3,0),$E1189&lt;=VLOOKUP($D1189,Merchantability!$B:$E,4,0)),AB1189,0)</f>
        <v>#N/A</v>
      </c>
      <c r="AH1189" s="104" t="e">
        <f>IF(AND(VLOOKUP($D1189,Merchantability!$B:$C,2,0)="Yes",$E1189&gt;=VLOOKUP($D1189,Merchantability!$B:$D,3,0),$E1189&lt;=VLOOKUP($D1189,Merchantability!$B:$E,4,0)),AC1189,0)</f>
        <v>#N/A</v>
      </c>
      <c r="AI1189" s="104" t="e">
        <f t="shared" si="546"/>
        <v>#N/A</v>
      </c>
      <c r="AJ1189" s="104" t="e">
        <f t="shared" si="547"/>
        <v>#VALUE!</v>
      </c>
      <c r="AK1189" s="104" t="e">
        <f t="shared" si="548"/>
        <v>#N/A</v>
      </c>
      <c r="AL1189" s="104" t="e">
        <f t="shared" si="549"/>
        <v>#N/A</v>
      </c>
      <c r="AM1189" s="104" t="e">
        <f t="shared" si="550"/>
        <v>#N/A</v>
      </c>
      <c r="AN1189" s="104" t="e">
        <f t="shared" si="534"/>
        <v>#N/A</v>
      </c>
      <c r="AO1189" s="104" t="e">
        <f t="shared" si="535"/>
        <v>#N/A</v>
      </c>
      <c r="AP1189" s="104" t="e">
        <f t="shared" si="536"/>
        <v>#N/A</v>
      </c>
      <c r="AQ1189" s="104" t="e">
        <f t="shared" si="537"/>
        <v>#N/A</v>
      </c>
      <c r="AR1189" s="105" t="str">
        <f t="shared" si="529"/>
        <v/>
      </c>
      <c r="AS1189" s="105" t="str">
        <f t="shared" si="530"/>
        <v/>
      </c>
      <c r="AT1189" s="108" t="str">
        <f t="shared" si="531"/>
        <v/>
      </c>
      <c r="AU1189" s="108" t="str">
        <f t="shared" si="532"/>
        <v/>
      </c>
      <c r="AV1189" s="107" t="str">
        <f>IF(ISNUMBER(O1189),IF(VLOOKUP($A1189,Stand!C:J,8,FALSE)="Short",AT1189,AU1189),"")</f>
        <v/>
      </c>
      <c r="AW1189" s="109" t="str">
        <f t="shared" si="538"/>
        <v/>
      </c>
      <c r="AX1189" s="109" t="str">
        <f t="shared" si="539"/>
        <v/>
      </c>
      <c r="AY1189" s="112" t="str">
        <f>IF(ISNUMBER(O1189),IF(AND(VLOOKUP($D1189,Merchantability!$B:$C,2,0)="Yes",$E1189&gt;=VLOOKUP($D1189,Merchantability!$B:$D,3,0),$E1189&lt;=VLOOKUP($D1189,Merchantability!$B:$E,4,0)),(AV1189*O1189)*(1-$H1189/100),""),"")</f>
        <v/>
      </c>
      <c r="AZ1189" s="116"/>
      <c r="BA1189" s="116"/>
      <c r="BB1189" s="116"/>
      <c r="BE1189" s="62"/>
      <c r="BF1189" s="63"/>
    </row>
    <row r="1190" spans="1:58" ht="12.75" customHeight="1" x14ac:dyDescent="0.25">
      <c r="A1190" s="313"/>
      <c r="B1190" s="328"/>
      <c r="C1190" s="329"/>
      <c r="D1190" s="328"/>
      <c r="E1190" s="330"/>
      <c r="F1190" s="328"/>
      <c r="G1190" s="329"/>
      <c r="H1190" s="329"/>
      <c r="I1190" s="328"/>
      <c r="J1190" s="383"/>
      <c r="K1190" s="329"/>
      <c r="L1190" s="329"/>
      <c r="M1190" s="76"/>
      <c r="N1190" s="103" t="str">
        <f>IF(A1190="","",VLOOKUP(A1190,Stand!C:K,9,0))</f>
        <v/>
      </c>
      <c r="O1190" s="104" t="str">
        <f t="shared" si="524"/>
        <v/>
      </c>
      <c r="P1190" s="105" t="str">
        <f t="shared" si="525"/>
        <v/>
      </c>
      <c r="Q1190" s="105" t="str">
        <f t="shared" si="540"/>
        <v/>
      </c>
      <c r="R1190" s="103" t="str">
        <f t="shared" si="526"/>
        <v/>
      </c>
      <c r="S1190" s="103" t="str">
        <f t="shared" si="527"/>
        <v/>
      </c>
      <c r="T1190" s="106" t="str">
        <f t="shared" si="541"/>
        <v/>
      </c>
      <c r="U1190" s="106" t="str">
        <f t="shared" si="542"/>
        <v/>
      </c>
      <c r="V1190" s="106" t="str">
        <f t="shared" si="543"/>
        <v/>
      </c>
      <c r="W1190" s="105" t="str">
        <f t="shared" si="528"/>
        <v/>
      </c>
      <c r="X1190" s="104" t="str">
        <f t="shared" si="533"/>
        <v/>
      </c>
      <c r="Y1190" s="104" t="str">
        <f t="array" ref="Y1190">IFERROR(IF(ISNUMBER(O1190),IF(COUNT(IF(A1190=$A$2:$A$2427,IF(D1190=$D$2:$D$2427,IF($X$2:$X$2427&gt;0,1))))&gt;0,SUM(IF(A1190=$A$2:$A$2427,IF(D1190=$D$2:$D$2427,$X$2:$X$2427)))/COUNT(IF(A1190=$A$2:$A$2427,IF(D1190=$D$2:$D$2427,IF(ISNUMBER($X$2:$X$2427),1)))),0),""),0)</f>
        <v/>
      </c>
      <c r="Z1190" s="104" t="str">
        <f>IF(ISNUMBER(O1190),IF(I1190&gt;0,(10^(VLOOKUP(D1190,'Species Codes'!B:C,2,0)+VLOOKUP(D1190,'Species Codes'!B:D,3,0)*LOG(E1190)+VLOOKUP(D1190,'Species Codes'!B:E,4,0)*LOG(I1190))),0),"")</f>
        <v/>
      </c>
      <c r="AA1190" s="104" t="str">
        <f>IFERROR((VLOOKUP(D1190,'Species Codes'!B:G,6,0)*Z1190)/2000,"")</f>
        <v/>
      </c>
      <c r="AB1190" s="104" t="e">
        <f>IF(Z1190&gt;0,((IF(OR(D1190="DF",D1190="RA")=TRUE,EXP(VLOOKUP(D1190,'Species Codes'!B:I,8,0)+VLOOKUP(D1190,'Species Codes'!B:J,9,0)*(LN((E1190*2.54)))),IF(OR(D1190="PY",D1190="RC",D1190="WH",D1190="NF")=TRUE,VLOOKUP(D1190,'Species Codes'!B:I,8,0)+VLOOKUP(D1190,'Species Codes'!B:J,9,0)*((E1190*2.54)^2)*(I1190*0.3048),IF(OR(D1190="MD",D1190="BM",D1190="GA")=TRUE,((VLOOKUP(D1190,'Species Codes'!B:I,8,0)*(((((E1190*2.54)+VLOOKUP(D1190,'Species Codes'!B:J,9,0))/VLOOKUP(D1190,'Species Codes'!B:K,10,0))^VLOOKUP(D1190,'Species Codes'!B:L,11,0))*((I1190*0.3048)^VLOOKUP(D1190,'Species Codes'!B:M,12,0))))-(VLOOKUP(D1190,'Species Codes'!B:I,8,0)*((((E1190*2.54)^VLOOKUP(D1190,'Species Codes'!B:L,11,0))*((I1190*0.3048)^VLOOKUP(D1190,'Species Codes'!B:M,12,0))))))*35.3*VLOOKUP(D1190,'Species Codes'!B:G,6,0)/2.2046,VLOOKUP(D1190,'Species Codes'!B:I,8,0)+VLOOKUP(D1190,'Species Codes'!B:J,9,0)*(((E1190*2.54)/100)^2)*(I1190*0.3048)))))*0.0011023),0)</f>
        <v>#N/A</v>
      </c>
      <c r="AC1190" s="104" t="e">
        <f>IF(Z1190&gt;0,((IF(OR(D1190="RA",D1190="OA",D1190="OT",D1190="UN",D1190="PC"),EXP(VLOOKUP(D1190,'Species Codes'!B:O,14,0)+VLOOKUP(D1190,'Species Codes'!B:P,15,0)*LN((E1190*2.54)))-EXP(VLOOKUP(D1190,'Species Codes'!B:O,14,0)+VLOOKUP(D1190,'Species Codes'!B:P,15,0)*LN((E1190*2.54)))*(1/(VLOOKUP(D1190,'Species Codes'!B:Q,16,0)+VLOOKUP(D1190,'Species Codes'!B:R,17,0)*((E1190*2.54)^VLOOKUP(D1190,'Species Codes'!B:S,18,0)))),IF(OR(D1190="BM",D1190="MD",D1190="OA"),EXP(VLOOKUP(D1190,'Species Codes'!B:O,14,0)+VLOOKUP(D1190,'Species Codes'!B:P,15,0)*LN((E1190*2.54)))*(1-(1/(VLOOKUP(D1190,'Species Codes'!B:Q,16,0)+VLOOKUP(D1190,'Species Codes'!B:R,17,0)*((E1190*2.54)^VLOOKUP(D1190,'Species Codes'!B:S,18,0)))))/1000,IF(D1190="DF",EXP(VLOOKUP(D1190,'Species Codes'!B:O,14,0)+VLOOKUP(D1190,'Species Codes'!B:P,15,0)*LN((E1190*2.54))),VLOOKUP(D1190,'Species Codes'!B:O,14,0)+VLOOKUP(D1190,'Species Codes'!B:P,15,0)*(((E1190*2.54)/100)^2)*(I1190*0.3048)))))*0.0011023),0)</f>
        <v>#N/A</v>
      </c>
      <c r="AD1190" s="104" t="e">
        <f t="shared" si="544"/>
        <v>#N/A</v>
      </c>
      <c r="AE1190" s="104" t="e">
        <f t="shared" si="545"/>
        <v>#N/A</v>
      </c>
      <c r="AF1190" s="104" t="e">
        <f>IF(AND(VLOOKUP($D1190,Merchantability!$B:$C,2,0)="Yes",$E1190&gt;=VLOOKUP($D1190,Merchantability!$B:$D,3,0),$E1190&lt;=VLOOKUP($D1190,Merchantability!$B:$E,4,0)),AA1190,0)</f>
        <v>#N/A</v>
      </c>
      <c r="AG1190" s="104" t="e">
        <f>IF(AND(VLOOKUP($D1190,Merchantability!$B:$C,2,0)="Yes",$E1190&gt;=VLOOKUP($D1190,Merchantability!$B:$D,3,0),$E1190&lt;=VLOOKUP($D1190,Merchantability!$B:$E,4,0)),AB1190,0)</f>
        <v>#N/A</v>
      </c>
      <c r="AH1190" s="104" t="e">
        <f>IF(AND(VLOOKUP($D1190,Merchantability!$B:$C,2,0)="Yes",$E1190&gt;=VLOOKUP($D1190,Merchantability!$B:$D,3,0),$E1190&lt;=VLOOKUP($D1190,Merchantability!$B:$E,4,0)),AC1190,0)</f>
        <v>#N/A</v>
      </c>
      <c r="AI1190" s="104" t="e">
        <f t="shared" si="546"/>
        <v>#N/A</v>
      </c>
      <c r="AJ1190" s="104" t="e">
        <f t="shared" si="547"/>
        <v>#VALUE!</v>
      </c>
      <c r="AK1190" s="104" t="e">
        <f t="shared" si="548"/>
        <v>#N/A</v>
      </c>
      <c r="AL1190" s="104" t="e">
        <f t="shared" si="549"/>
        <v>#N/A</v>
      </c>
      <c r="AM1190" s="104" t="e">
        <f t="shared" si="550"/>
        <v>#N/A</v>
      </c>
      <c r="AN1190" s="104" t="e">
        <f t="shared" si="534"/>
        <v>#N/A</v>
      </c>
      <c r="AO1190" s="104" t="e">
        <f t="shared" si="535"/>
        <v>#N/A</v>
      </c>
      <c r="AP1190" s="104" t="e">
        <f t="shared" si="536"/>
        <v>#N/A</v>
      </c>
      <c r="AQ1190" s="104" t="e">
        <f t="shared" si="537"/>
        <v>#N/A</v>
      </c>
      <c r="AR1190" s="105" t="str">
        <f t="shared" si="529"/>
        <v/>
      </c>
      <c r="AS1190" s="105" t="str">
        <f t="shared" si="530"/>
        <v/>
      </c>
      <c r="AT1190" s="108" t="str">
        <f t="shared" si="531"/>
        <v/>
      </c>
      <c r="AU1190" s="108" t="str">
        <f t="shared" si="532"/>
        <v/>
      </c>
      <c r="AV1190" s="107" t="str">
        <f>IF(ISNUMBER(O1190),IF(VLOOKUP($A1190,Stand!C:J,8,FALSE)="Short",AT1190,AU1190),"")</f>
        <v/>
      </c>
      <c r="AW1190" s="109" t="str">
        <f t="shared" si="538"/>
        <v/>
      </c>
      <c r="AX1190" s="109" t="str">
        <f t="shared" si="539"/>
        <v/>
      </c>
      <c r="AY1190" s="112" t="str">
        <f>IF(ISNUMBER(O1190),IF(AND(VLOOKUP($D1190,Merchantability!$B:$C,2,0)="Yes",$E1190&gt;=VLOOKUP($D1190,Merchantability!$B:$D,3,0),$E1190&lt;=VLOOKUP($D1190,Merchantability!$B:$E,4,0)),(AV1190*O1190)*(1-$H1190/100),""),"")</f>
        <v/>
      </c>
      <c r="AZ1190" s="116"/>
      <c r="BA1190" s="116"/>
      <c r="BB1190" s="116"/>
      <c r="BE1190" s="62"/>
      <c r="BF1190" s="63"/>
    </row>
    <row r="1191" spans="1:58" ht="12.75" customHeight="1" x14ac:dyDescent="0.25">
      <c r="A1191" s="313"/>
      <c r="B1191" s="328"/>
      <c r="C1191" s="329"/>
      <c r="D1191" s="328"/>
      <c r="E1191" s="330"/>
      <c r="F1191" s="328"/>
      <c r="G1191" s="329"/>
      <c r="H1191" s="329"/>
      <c r="I1191" s="328"/>
      <c r="J1191" s="383"/>
      <c r="K1191" s="329"/>
      <c r="L1191" s="329"/>
      <c r="M1191" s="76"/>
      <c r="N1191" s="103" t="str">
        <f>IF(A1191="","",VLOOKUP(A1191,Stand!C:K,9,0))</f>
        <v/>
      </c>
      <c r="O1191" s="104" t="str">
        <f t="shared" si="524"/>
        <v/>
      </c>
      <c r="P1191" s="105" t="str">
        <f t="shared" si="525"/>
        <v/>
      </c>
      <c r="Q1191" s="105" t="str">
        <f t="shared" si="540"/>
        <v/>
      </c>
      <c r="R1191" s="103" t="str">
        <f t="shared" si="526"/>
        <v/>
      </c>
      <c r="S1191" s="103" t="str">
        <f t="shared" si="527"/>
        <v/>
      </c>
      <c r="T1191" s="106" t="str">
        <f t="shared" si="541"/>
        <v/>
      </c>
      <c r="U1191" s="106" t="str">
        <f t="shared" si="542"/>
        <v/>
      </c>
      <c r="V1191" s="106" t="str">
        <f t="shared" si="543"/>
        <v/>
      </c>
      <c r="W1191" s="105" t="str">
        <f t="shared" si="528"/>
        <v/>
      </c>
      <c r="X1191" s="104" t="str">
        <f t="shared" si="533"/>
        <v/>
      </c>
      <c r="Y1191" s="104" t="str">
        <f t="array" ref="Y1191">IFERROR(IF(ISNUMBER(O1191),IF(COUNT(IF(A1191=$A$2:$A$2427,IF(D1191=$D$2:$D$2427,IF($X$2:$X$2427&gt;0,1))))&gt;0,SUM(IF(A1191=$A$2:$A$2427,IF(D1191=$D$2:$D$2427,$X$2:$X$2427)))/COUNT(IF(A1191=$A$2:$A$2427,IF(D1191=$D$2:$D$2427,IF(ISNUMBER($X$2:$X$2427),1)))),0),""),0)</f>
        <v/>
      </c>
      <c r="Z1191" s="104" t="str">
        <f>IF(ISNUMBER(O1191),IF(I1191&gt;0,(10^(VLOOKUP(D1191,'Species Codes'!B:C,2,0)+VLOOKUP(D1191,'Species Codes'!B:D,3,0)*LOG(E1191)+VLOOKUP(D1191,'Species Codes'!B:E,4,0)*LOG(I1191))),0),"")</f>
        <v/>
      </c>
      <c r="AA1191" s="104" t="str">
        <f>IFERROR((VLOOKUP(D1191,'Species Codes'!B:G,6,0)*Z1191)/2000,"")</f>
        <v/>
      </c>
      <c r="AB1191" s="104" t="e">
        <f>IF(Z1191&gt;0,((IF(OR(D1191="DF",D1191="RA")=TRUE,EXP(VLOOKUP(D1191,'Species Codes'!B:I,8,0)+VLOOKUP(D1191,'Species Codes'!B:J,9,0)*(LN((E1191*2.54)))),IF(OR(D1191="PY",D1191="RC",D1191="WH",D1191="NF")=TRUE,VLOOKUP(D1191,'Species Codes'!B:I,8,0)+VLOOKUP(D1191,'Species Codes'!B:J,9,0)*((E1191*2.54)^2)*(I1191*0.3048),IF(OR(D1191="MD",D1191="BM",D1191="GA")=TRUE,((VLOOKUP(D1191,'Species Codes'!B:I,8,0)*(((((E1191*2.54)+VLOOKUP(D1191,'Species Codes'!B:J,9,0))/VLOOKUP(D1191,'Species Codes'!B:K,10,0))^VLOOKUP(D1191,'Species Codes'!B:L,11,0))*((I1191*0.3048)^VLOOKUP(D1191,'Species Codes'!B:M,12,0))))-(VLOOKUP(D1191,'Species Codes'!B:I,8,0)*((((E1191*2.54)^VLOOKUP(D1191,'Species Codes'!B:L,11,0))*((I1191*0.3048)^VLOOKUP(D1191,'Species Codes'!B:M,12,0))))))*35.3*VLOOKUP(D1191,'Species Codes'!B:G,6,0)/2.2046,VLOOKUP(D1191,'Species Codes'!B:I,8,0)+VLOOKUP(D1191,'Species Codes'!B:J,9,0)*(((E1191*2.54)/100)^2)*(I1191*0.3048)))))*0.0011023),0)</f>
        <v>#N/A</v>
      </c>
      <c r="AC1191" s="104" t="e">
        <f>IF(Z1191&gt;0,((IF(OR(D1191="RA",D1191="OA",D1191="OT",D1191="UN",D1191="PC"),EXP(VLOOKUP(D1191,'Species Codes'!B:O,14,0)+VLOOKUP(D1191,'Species Codes'!B:P,15,0)*LN((E1191*2.54)))-EXP(VLOOKUP(D1191,'Species Codes'!B:O,14,0)+VLOOKUP(D1191,'Species Codes'!B:P,15,0)*LN((E1191*2.54)))*(1/(VLOOKUP(D1191,'Species Codes'!B:Q,16,0)+VLOOKUP(D1191,'Species Codes'!B:R,17,0)*((E1191*2.54)^VLOOKUP(D1191,'Species Codes'!B:S,18,0)))),IF(OR(D1191="BM",D1191="MD",D1191="OA"),EXP(VLOOKUP(D1191,'Species Codes'!B:O,14,0)+VLOOKUP(D1191,'Species Codes'!B:P,15,0)*LN((E1191*2.54)))*(1-(1/(VLOOKUP(D1191,'Species Codes'!B:Q,16,0)+VLOOKUP(D1191,'Species Codes'!B:R,17,0)*((E1191*2.54)^VLOOKUP(D1191,'Species Codes'!B:S,18,0)))))/1000,IF(D1191="DF",EXP(VLOOKUP(D1191,'Species Codes'!B:O,14,0)+VLOOKUP(D1191,'Species Codes'!B:P,15,0)*LN((E1191*2.54))),VLOOKUP(D1191,'Species Codes'!B:O,14,0)+VLOOKUP(D1191,'Species Codes'!B:P,15,0)*(((E1191*2.54)/100)^2)*(I1191*0.3048)))))*0.0011023),0)</f>
        <v>#N/A</v>
      </c>
      <c r="AD1191" s="104" t="e">
        <f t="shared" si="544"/>
        <v>#N/A</v>
      </c>
      <c r="AE1191" s="104" t="e">
        <f t="shared" si="545"/>
        <v>#N/A</v>
      </c>
      <c r="AF1191" s="104" t="e">
        <f>IF(AND(VLOOKUP($D1191,Merchantability!$B:$C,2,0)="Yes",$E1191&gt;=VLOOKUP($D1191,Merchantability!$B:$D,3,0),$E1191&lt;=VLOOKUP($D1191,Merchantability!$B:$E,4,0)),AA1191,0)</f>
        <v>#N/A</v>
      </c>
      <c r="AG1191" s="104" t="e">
        <f>IF(AND(VLOOKUP($D1191,Merchantability!$B:$C,2,0)="Yes",$E1191&gt;=VLOOKUP($D1191,Merchantability!$B:$D,3,0),$E1191&lt;=VLOOKUP($D1191,Merchantability!$B:$E,4,0)),AB1191,0)</f>
        <v>#N/A</v>
      </c>
      <c r="AH1191" s="104" t="e">
        <f>IF(AND(VLOOKUP($D1191,Merchantability!$B:$C,2,0)="Yes",$E1191&gt;=VLOOKUP($D1191,Merchantability!$B:$D,3,0),$E1191&lt;=VLOOKUP($D1191,Merchantability!$B:$E,4,0)),AC1191,0)</f>
        <v>#N/A</v>
      </c>
      <c r="AI1191" s="104" t="e">
        <f t="shared" si="546"/>
        <v>#N/A</v>
      </c>
      <c r="AJ1191" s="104" t="e">
        <f t="shared" si="547"/>
        <v>#VALUE!</v>
      </c>
      <c r="AK1191" s="104" t="e">
        <f t="shared" si="548"/>
        <v>#N/A</v>
      </c>
      <c r="AL1191" s="104" t="e">
        <f t="shared" si="549"/>
        <v>#N/A</v>
      </c>
      <c r="AM1191" s="104" t="e">
        <f t="shared" si="550"/>
        <v>#N/A</v>
      </c>
      <c r="AN1191" s="104" t="e">
        <f t="shared" si="534"/>
        <v>#N/A</v>
      </c>
      <c r="AO1191" s="104" t="e">
        <f t="shared" si="535"/>
        <v>#N/A</v>
      </c>
      <c r="AP1191" s="104" t="e">
        <f t="shared" si="536"/>
        <v>#N/A</v>
      </c>
      <c r="AQ1191" s="104" t="e">
        <f t="shared" si="537"/>
        <v>#N/A</v>
      </c>
      <c r="AR1191" s="105" t="str">
        <f t="shared" si="529"/>
        <v/>
      </c>
      <c r="AS1191" s="105" t="str">
        <f t="shared" si="530"/>
        <v/>
      </c>
      <c r="AT1191" s="108" t="str">
        <f t="shared" si="531"/>
        <v/>
      </c>
      <c r="AU1191" s="108" t="str">
        <f t="shared" si="532"/>
        <v/>
      </c>
      <c r="AV1191" s="107" t="str">
        <f>IF(ISNUMBER(O1191),IF(VLOOKUP($A1191,Stand!C:J,8,FALSE)="Short",AT1191,AU1191),"")</f>
        <v/>
      </c>
      <c r="AW1191" s="109" t="str">
        <f t="shared" si="538"/>
        <v/>
      </c>
      <c r="AX1191" s="109" t="str">
        <f t="shared" si="539"/>
        <v/>
      </c>
      <c r="AY1191" s="112" t="str">
        <f>IF(ISNUMBER(O1191),IF(AND(VLOOKUP($D1191,Merchantability!$B:$C,2,0)="Yes",$E1191&gt;=VLOOKUP($D1191,Merchantability!$B:$D,3,0),$E1191&lt;=VLOOKUP($D1191,Merchantability!$B:$E,4,0)),(AV1191*O1191)*(1-$H1191/100),""),"")</f>
        <v/>
      </c>
      <c r="AZ1191" s="116"/>
      <c r="BA1191" s="116"/>
      <c r="BB1191" s="116"/>
      <c r="BE1191" s="62"/>
      <c r="BF1191" s="63"/>
    </row>
    <row r="1192" spans="1:58" ht="12.75" customHeight="1" x14ac:dyDescent="0.25">
      <c r="A1192" s="313"/>
      <c r="B1192" s="328"/>
      <c r="C1192" s="329"/>
      <c r="D1192" s="328"/>
      <c r="E1192" s="330"/>
      <c r="F1192" s="328"/>
      <c r="G1192" s="329"/>
      <c r="H1192" s="329"/>
      <c r="I1192" s="328"/>
      <c r="J1192" s="383"/>
      <c r="K1192" s="329"/>
      <c r="L1192" s="329"/>
      <c r="M1192" s="76"/>
      <c r="N1192" s="103" t="str">
        <f>IF(A1192="","",VLOOKUP(A1192,Stand!C:K,9,0))</f>
        <v/>
      </c>
      <c r="O1192" s="104" t="str">
        <f t="shared" si="524"/>
        <v/>
      </c>
      <c r="P1192" s="105" t="str">
        <f t="shared" si="525"/>
        <v/>
      </c>
      <c r="Q1192" s="105" t="str">
        <f t="shared" si="540"/>
        <v/>
      </c>
      <c r="R1192" s="103" t="str">
        <f t="shared" si="526"/>
        <v/>
      </c>
      <c r="S1192" s="103" t="str">
        <f t="shared" si="527"/>
        <v/>
      </c>
      <c r="T1192" s="106" t="str">
        <f t="shared" si="541"/>
        <v/>
      </c>
      <c r="U1192" s="106" t="str">
        <f t="shared" si="542"/>
        <v/>
      </c>
      <c r="V1192" s="106" t="str">
        <f t="shared" si="543"/>
        <v/>
      </c>
      <c r="W1192" s="105" t="str">
        <f t="shared" si="528"/>
        <v/>
      </c>
      <c r="X1192" s="104" t="str">
        <f t="shared" si="533"/>
        <v/>
      </c>
      <c r="Y1192" s="104" t="str">
        <f t="array" ref="Y1192">IFERROR(IF(ISNUMBER(O1192),IF(COUNT(IF(A1192=$A$2:$A$2427,IF(D1192=$D$2:$D$2427,IF($X$2:$X$2427&gt;0,1))))&gt;0,SUM(IF(A1192=$A$2:$A$2427,IF(D1192=$D$2:$D$2427,$X$2:$X$2427)))/COUNT(IF(A1192=$A$2:$A$2427,IF(D1192=$D$2:$D$2427,IF(ISNUMBER($X$2:$X$2427),1)))),0),""),0)</f>
        <v/>
      </c>
      <c r="Z1192" s="104" t="str">
        <f>IF(ISNUMBER(O1192),IF(I1192&gt;0,(10^(VLOOKUP(D1192,'Species Codes'!B:C,2,0)+VLOOKUP(D1192,'Species Codes'!B:D,3,0)*LOG(E1192)+VLOOKUP(D1192,'Species Codes'!B:E,4,0)*LOG(I1192))),0),"")</f>
        <v/>
      </c>
      <c r="AA1192" s="104" t="str">
        <f>IFERROR((VLOOKUP(D1192,'Species Codes'!B:G,6,0)*Z1192)/2000,"")</f>
        <v/>
      </c>
      <c r="AB1192" s="104" t="e">
        <f>IF(Z1192&gt;0,((IF(OR(D1192="DF",D1192="RA")=TRUE,EXP(VLOOKUP(D1192,'Species Codes'!B:I,8,0)+VLOOKUP(D1192,'Species Codes'!B:J,9,0)*(LN((E1192*2.54)))),IF(OR(D1192="PY",D1192="RC",D1192="WH",D1192="NF")=TRUE,VLOOKUP(D1192,'Species Codes'!B:I,8,0)+VLOOKUP(D1192,'Species Codes'!B:J,9,0)*((E1192*2.54)^2)*(I1192*0.3048),IF(OR(D1192="MD",D1192="BM",D1192="GA")=TRUE,((VLOOKUP(D1192,'Species Codes'!B:I,8,0)*(((((E1192*2.54)+VLOOKUP(D1192,'Species Codes'!B:J,9,0))/VLOOKUP(D1192,'Species Codes'!B:K,10,0))^VLOOKUP(D1192,'Species Codes'!B:L,11,0))*((I1192*0.3048)^VLOOKUP(D1192,'Species Codes'!B:M,12,0))))-(VLOOKUP(D1192,'Species Codes'!B:I,8,0)*((((E1192*2.54)^VLOOKUP(D1192,'Species Codes'!B:L,11,0))*((I1192*0.3048)^VLOOKUP(D1192,'Species Codes'!B:M,12,0))))))*35.3*VLOOKUP(D1192,'Species Codes'!B:G,6,0)/2.2046,VLOOKUP(D1192,'Species Codes'!B:I,8,0)+VLOOKUP(D1192,'Species Codes'!B:J,9,0)*(((E1192*2.54)/100)^2)*(I1192*0.3048)))))*0.0011023),0)</f>
        <v>#N/A</v>
      </c>
      <c r="AC1192" s="104" t="e">
        <f>IF(Z1192&gt;0,((IF(OR(D1192="RA",D1192="OA",D1192="OT",D1192="UN",D1192="PC"),EXP(VLOOKUP(D1192,'Species Codes'!B:O,14,0)+VLOOKUP(D1192,'Species Codes'!B:P,15,0)*LN((E1192*2.54)))-EXP(VLOOKUP(D1192,'Species Codes'!B:O,14,0)+VLOOKUP(D1192,'Species Codes'!B:P,15,0)*LN((E1192*2.54)))*(1/(VLOOKUP(D1192,'Species Codes'!B:Q,16,0)+VLOOKUP(D1192,'Species Codes'!B:R,17,0)*((E1192*2.54)^VLOOKUP(D1192,'Species Codes'!B:S,18,0)))),IF(OR(D1192="BM",D1192="MD",D1192="OA"),EXP(VLOOKUP(D1192,'Species Codes'!B:O,14,0)+VLOOKUP(D1192,'Species Codes'!B:P,15,0)*LN((E1192*2.54)))*(1-(1/(VLOOKUP(D1192,'Species Codes'!B:Q,16,0)+VLOOKUP(D1192,'Species Codes'!B:R,17,0)*((E1192*2.54)^VLOOKUP(D1192,'Species Codes'!B:S,18,0)))))/1000,IF(D1192="DF",EXP(VLOOKUP(D1192,'Species Codes'!B:O,14,0)+VLOOKUP(D1192,'Species Codes'!B:P,15,0)*LN((E1192*2.54))),VLOOKUP(D1192,'Species Codes'!B:O,14,0)+VLOOKUP(D1192,'Species Codes'!B:P,15,0)*(((E1192*2.54)/100)^2)*(I1192*0.3048)))))*0.0011023),0)</f>
        <v>#N/A</v>
      </c>
      <c r="AD1192" s="104" t="e">
        <f t="shared" si="544"/>
        <v>#N/A</v>
      </c>
      <c r="AE1192" s="104" t="e">
        <f t="shared" si="545"/>
        <v>#N/A</v>
      </c>
      <c r="AF1192" s="104" t="e">
        <f>IF(AND(VLOOKUP($D1192,Merchantability!$B:$C,2,0)="Yes",$E1192&gt;=VLOOKUP($D1192,Merchantability!$B:$D,3,0),$E1192&lt;=VLOOKUP($D1192,Merchantability!$B:$E,4,0)),AA1192,0)</f>
        <v>#N/A</v>
      </c>
      <c r="AG1192" s="104" t="e">
        <f>IF(AND(VLOOKUP($D1192,Merchantability!$B:$C,2,0)="Yes",$E1192&gt;=VLOOKUP($D1192,Merchantability!$B:$D,3,0),$E1192&lt;=VLOOKUP($D1192,Merchantability!$B:$E,4,0)),AB1192,0)</f>
        <v>#N/A</v>
      </c>
      <c r="AH1192" s="104" t="e">
        <f>IF(AND(VLOOKUP($D1192,Merchantability!$B:$C,2,0)="Yes",$E1192&gt;=VLOOKUP($D1192,Merchantability!$B:$D,3,0),$E1192&lt;=VLOOKUP($D1192,Merchantability!$B:$E,4,0)),AC1192,0)</f>
        <v>#N/A</v>
      </c>
      <c r="AI1192" s="104" t="e">
        <f t="shared" si="546"/>
        <v>#N/A</v>
      </c>
      <c r="AJ1192" s="104" t="e">
        <f t="shared" si="547"/>
        <v>#VALUE!</v>
      </c>
      <c r="AK1192" s="104" t="e">
        <f t="shared" si="548"/>
        <v>#N/A</v>
      </c>
      <c r="AL1192" s="104" t="e">
        <f t="shared" si="549"/>
        <v>#N/A</v>
      </c>
      <c r="AM1192" s="104" t="e">
        <f t="shared" si="550"/>
        <v>#N/A</v>
      </c>
      <c r="AN1192" s="104" t="e">
        <f t="shared" si="534"/>
        <v>#N/A</v>
      </c>
      <c r="AO1192" s="104" t="e">
        <f t="shared" si="535"/>
        <v>#N/A</v>
      </c>
      <c r="AP1192" s="104" t="e">
        <f t="shared" si="536"/>
        <v>#N/A</v>
      </c>
      <c r="AQ1192" s="104" t="e">
        <f t="shared" si="537"/>
        <v>#N/A</v>
      </c>
      <c r="AR1192" s="105" t="str">
        <f t="shared" si="529"/>
        <v/>
      </c>
      <c r="AS1192" s="105" t="str">
        <f t="shared" si="530"/>
        <v/>
      </c>
      <c r="AT1192" s="108" t="str">
        <f t="shared" si="531"/>
        <v/>
      </c>
      <c r="AU1192" s="108" t="str">
        <f t="shared" si="532"/>
        <v/>
      </c>
      <c r="AV1192" s="107" t="str">
        <f>IF(ISNUMBER(O1192),IF(VLOOKUP($A1192,Stand!C:J,8,FALSE)="Short",AT1192,AU1192),"")</f>
        <v/>
      </c>
      <c r="AW1192" s="109" t="str">
        <f t="shared" si="538"/>
        <v/>
      </c>
      <c r="AX1192" s="109" t="str">
        <f t="shared" si="539"/>
        <v/>
      </c>
      <c r="AY1192" s="112" t="str">
        <f>IF(ISNUMBER(O1192),IF(AND(VLOOKUP($D1192,Merchantability!$B:$C,2,0)="Yes",$E1192&gt;=VLOOKUP($D1192,Merchantability!$B:$D,3,0),$E1192&lt;=VLOOKUP($D1192,Merchantability!$B:$E,4,0)),(AV1192*O1192)*(1-$H1192/100),""),"")</f>
        <v/>
      </c>
      <c r="AZ1192" s="116"/>
      <c r="BA1192" s="116"/>
      <c r="BB1192" s="116"/>
      <c r="BE1192" s="62"/>
      <c r="BF1192" s="63"/>
    </row>
    <row r="1193" spans="1:58" ht="12.75" customHeight="1" x14ac:dyDescent="0.25">
      <c r="A1193" s="313"/>
      <c r="B1193" s="328"/>
      <c r="C1193" s="329"/>
      <c r="D1193" s="328"/>
      <c r="E1193" s="330"/>
      <c r="F1193" s="328"/>
      <c r="G1193" s="329"/>
      <c r="H1193" s="329"/>
      <c r="I1193" s="328"/>
      <c r="J1193" s="383"/>
      <c r="K1193" s="329"/>
      <c r="L1193" s="329"/>
      <c r="M1193" s="76"/>
      <c r="N1193" s="103" t="str">
        <f>IF(A1193="","",VLOOKUP(A1193,Stand!C:K,9,0))</f>
        <v/>
      </c>
      <c r="O1193" s="104" t="str">
        <f t="shared" si="524"/>
        <v/>
      </c>
      <c r="P1193" s="105" t="str">
        <f t="shared" si="525"/>
        <v/>
      </c>
      <c r="Q1193" s="105" t="str">
        <f t="shared" si="540"/>
        <v/>
      </c>
      <c r="R1193" s="103" t="str">
        <f t="shared" si="526"/>
        <v/>
      </c>
      <c r="S1193" s="103" t="str">
        <f t="shared" si="527"/>
        <v/>
      </c>
      <c r="T1193" s="106" t="str">
        <f t="shared" si="541"/>
        <v/>
      </c>
      <c r="U1193" s="106" t="str">
        <f t="shared" si="542"/>
        <v/>
      </c>
      <c r="V1193" s="106" t="str">
        <f t="shared" si="543"/>
        <v/>
      </c>
      <c r="W1193" s="105" t="str">
        <f t="shared" si="528"/>
        <v/>
      </c>
      <c r="X1193" s="104" t="str">
        <f t="shared" si="533"/>
        <v/>
      </c>
      <c r="Y1193" s="104" t="str">
        <f t="array" ref="Y1193">IFERROR(IF(ISNUMBER(O1193),IF(COUNT(IF(A1193=$A$2:$A$2427,IF(D1193=$D$2:$D$2427,IF($X$2:$X$2427&gt;0,1))))&gt;0,SUM(IF(A1193=$A$2:$A$2427,IF(D1193=$D$2:$D$2427,$X$2:$X$2427)))/COUNT(IF(A1193=$A$2:$A$2427,IF(D1193=$D$2:$D$2427,IF(ISNUMBER($X$2:$X$2427),1)))),0),""),0)</f>
        <v/>
      </c>
      <c r="Z1193" s="104" t="str">
        <f>IF(ISNUMBER(O1193),IF(I1193&gt;0,(10^(VLOOKUP(D1193,'Species Codes'!B:C,2,0)+VLOOKUP(D1193,'Species Codes'!B:D,3,0)*LOG(E1193)+VLOOKUP(D1193,'Species Codes'!B:E,4,0)*LOG(I1193))),0),"")</f>
        <v/>
      </c>
      <c r="AA1193" s="104" t="str">
        <f>IFERROR((VLOOKUP(D1193,'Species Codes'!B:G,6,0)*Z1193)/2000,"")</f>
        <v/>
      </c>
      <c r="AB1193" s="104" t="e">
        <f>IF(Z1193&gt;0,((IF(OR(D1193="DF",D1193="RA")=TRUE,EXP(VLOOKUP(D1193,'Species Codes'!B:I,8,0)+VLOOKUP(D1193,'Species Codes'!B:J,9,0)*(LN((E1193*2.54)))),IF(OR(D1193="PY",D1193="RC",D1193="WH",D1193="NF")=TRUE,VLOOKUP(D1193,'Species Codes'!B:I,8,0)+VLOOKUP(D1193,'Species Codes'!B:J,9,0)*((E1193*2.54)^2)*(I1193*0.3048),IF(OR(D1193="MD",D1193="BM",D1193="GA")=TRUE,((VLOOKUP(D1193,'Species Codes'!B:I,8,0)*(((((E1193*2.54)+VLOOKUP(D1193,'Species Codes'!B:J,9,0))/VLOOKUP(D1193,'Species Codes'!B:K,10,0))^VLOOKUP(D1193,'Species Codes'!B:L,11,0))*((I1193*0.3048)^VLOOKUP(D1193,'Species Codes'!B:M,12,0))))-(VLOOKUP(D1193,'Species Codes'!B:I,8,0)*((((E1193*2.54)^VLOOKUP(D1193,'Species Codes'!B:L,11,0))*((I1193*0.3048)^VLOOKUP(D1193,'Species Codes'!B:M,12,0))))))*35.3*VLOOKUP(D1193,'Species Codes'!B:G,6,0)/2.2046,VLOOKUP(D1193,'Species Codes'!B:I,8,0)+VLOOKUP(D1193,'Species Codes'!B:J,9,0)*(((E1193*2.54)/100)^2)*(I1193*0.3048)))))*0.0011023),0)</f>
        <v>#N/A</v>
      </c>
      <c r="AC1193" s="104" t="e">
        <f>IF(Z1193&gt;0,((IF(OR(D1193="RA",D1193="OA",D1193="OT",D1193="UN",D1193="PC"),EXP(VLOOKUP(D1193,'Species Codes'!B:O,14,0)+VLOOKUP(D1193,'Species Codes'!B:P,15,0)*LN((E1193*2.54)))-EXP(VLOOKUP(D1193,'Species Codes'!B:O,14,0)+VLOOKUP(D1193,'Species Codes'!B:P,15,0)*LN((E1193*2.54)))*(1/(VLOOKUP(D1193,'Species Codes'!B:Q,16,0)+VLOOKUP(D1193,'Species Codes'!B:R,17,0)*((E1193*2.54)^VLOOKUP(D1193,'Species Codes'!B:S,18,0)))),IF(OR(D1193="BM",D1193="MD",D1193="OA"),EXP(VLOOKUP(D1193,'Species Codes'!B:O,14,0)+VLOOKUP(D1193,'Species Codes'!B:P,15,0)*LN((E1193*2.54)))*(1-(1/(VLOOKUP(D1193,'Species Codes'!B:Q,16,0)+VLOOKUP(D1193,'Species Codes'!B:R,17,0)*((E1193*2.54)^VLOOKUP(D1193,'Species Codes'!B:S,18,0)))))/1000,IF(D1193="DF",EXP(VLOOKUP(D1193,'Species Codes'!B:O,14,0)+VLOOKUP(D1193,'Species Codes'!B:P,15,0)*LN((E1193*2.54))),VLOOKUP(D1193,'Species Codes'!B:O,14,0)+VLOOKUP(D1193,'Species Codes'!B:P,15,0)*(((E1193*2.54)/100)^2)*(I1193*0.3048)))))*0.0011023),0)</f>
        <v>#N/A</v>
      </c>
      <c r="AD1193" s="104" t="e">
        <f t="shared" si="544"/>
        <v>#N/A</v>
      </c>
      <c r="AE1193" s="104" t="e">
        <f t="shared" si="545"/>
        <v>#N/A</v>
      </c>
      <c r="AF1193" s="104" t="e">
        <f>IF(AND(VLOOKUP($D1193,Merchantability!$B:$C,2,0)="Yes",$E1193&gt;=VLOOKUP($D1193,Merchantability!$B:$D,3,0),$E1193&lt;=VLOOKUP($D1193,Merchantability!$B:$E,4,0)),AA1193,0)</f>
        <v>#N/A</v>
      </c>
      <c r="AG1193" s="104" t="e">
        <f>IF(AND(VLOOKUP($D1193,Merchantability!$B:$C,2,0)="Yes",$E1193&gt;=VLOOKUP($D1193,Merchantability!$B:$D,3,0),$E1193&lt;=VLOOKUP($D1193,Merchantability!$B:$E,4,0)),AB1193,0)</f>
        <v>#N/A</v>
      </c>
      <c r="AH1193" s="104" t="e">
        <f>IF(AND(VLOOKUP($D1193,Merchantability!$B:$C,2,0)="Yes",$E1193&gt;=VLOOKUP($D1193,Merchantability!$B:$D,3,0),$E1193&lt;=VLOOKUP($D1193,Merchantability!$B:$E,4,0)),AC1193,0)</f>
        <v>#N/A</v>
      </c>
      <c r="AI1193" s="104" t="e">
        <f t="shared" si="546"/>
        <v>#N/A</v>
      </c>
      <c r="AJ1193" s="104" t="e">
        <f t="shared" si="547"/>
        <v>#VALUE!</v>
      </c>
      <c r="AK1193" s="104" t="e">
        <f t="shared" si="548"/>
        <v>#N/A</v>
      </c>
      <c r="AL1193" s="104" t="e">
        <f t="shared" si="549"/>
        <v>#N/A</v>
      </c>
      <c r="AM1193" s="104" t="e">
        <f t="shared" si="550"/>
        <v>#N/A</v>
      </c>
      <c r="AN1193" s="104" t="e">
        <f t="shared" si="534"/>
        <v>#N/A</v>
      </c>
      <c r="AO1193" s="104" t="e">
        <f t="shared" si="535"/>
        <v>#N/A</v>
      </c>
      <c r="AP1193" s="104" t="e">
        <f t="shared" si="536"/>
        <v>#N/A</v>
      </c>
      <c r="AQ1193" s="104" t="e">
        <f t="shared" si="537"/>
        <v>#N/A</v>
      </c>
      <c r="AR1193" s="105" t="str">
        <f t="shared" si="529"/>
        <v/>
      </c>
      <c r="AS1193" s="105" t="str">
        <f t="shared" si="530"/>
        <v/>
      </c>
      <c r="AT1193" s="108" t="str">
        <f t="shared" si="531"/>
        <v/>
      </c>
      <c r="AU1193" s="108" t="str">
        <f t="shared" si="532"/>
        <v/>
      </c>
      <c r="AV1193" s="107" t="str">
        <f>IF(ISNUMBER(O1193),IF(VLOOKUP($A1193,Stand!C:J,8,FALSE)="Short",AT1193,AU1193),"")</f>
        <v/>
      </c>
      <c r="AW1193" s="109" t="str">
        <f t="shared" si="538"/>
        <v/>
      </c>
      <c r="AX1193" s="109" t="str">
        <f t="shared" si="539"/>
        <v/>
      </c>
      <c r="AY1193" s="112" t="str">
        <f>IF(ISNUMBER(O1193),IF(AND(VLOOKUP($D1193,Merchantability!$B:$C,2,0)="Yes",$E1193&gt;=VLOOKUP($D1193,Merchantability!$B:$D,3,0),$E1193&lt;=VLOOKUP($D1193,Merchantability!$B:$E,4,0)),(AV1193*O1193)*(1-$H1193/100),""),"")</f>
        <v/>
      </c>
      <c r="AZ1193" s="116"/>
      <c r="BA1193" s="116"/>
      <c r="BB1193" s="116"/>
      <c r="BE1193" s="62"/>
      <c r="BF1193" s="63"/>
    </row>
    <row r="1194" spans="1:58" ht="12.75" customHeight="1" x14ac:dyDescent="0.25">
      <c r="A1194" s="313"/>
      <c r="B1194" s="328"/>
      <c r="C1194" s="329"/>
      <c r="D1194" s="328"/>
      <c r="E1194" s="330"/>
      <c r="F1194" s="328"/>
      <c r="G1194" s="329"/>
      <c r="H1194" s="329"/>
      <c r="I1194" s="328"/>
      <c r="J1194" s="383"/>
      <c r="K1194" s="329"/>
      <c r="L1194" s="329"/>
      <c r="M1194" s="76"/>
      <c r="N1194" s="103" t="str">
        <f>IF(A1194="","",VLOOKUP(A1194,Stand!C:K,9,0))</f>
        <v/>
      </c>
      <c r="O1194" s="104" t="str">
        <f t="shared" si="524"/>
        <v/>
      </c>
      <c r="P1194" s="105" t="str">
        <f t="shared" si="525"/>
        <v/>
      </c>
      <c r="Q1194" s="105" t="str">
        <f t="shared" si="540"/>
        <v/>
      </c>
      <c r="R1194" s="103" t="str">
        <f t="shared" si="526"/>
        <v/>
      </c>
      <c r="S1194" s="103" t="str">
        <f t="shared" si="527"/>
        <v/>
      </c>
      <c r="T1194" s="106" t="str">
        <f t="shared" si="541"/>
        <v/>
      </c>
      <c r="U1194" s="106" t="str">
        <f t="shared" si="542"/>
        <v/>
      </c>
      <c r="V1194" s="106" t="str">
        <f t="shared" si="543"/>
        <v/>
      </c>
      <c r="W1194" s="105" t="str">
        <f t="shared" si="528"/>
        <v/>
      </c>
      <c r="X1194" s="104" t="str">
        <f t="shared" si="533"/>
        <v/>
      </c>
      <c r="Y1194" s="104" t="str">
        <f t="array" ref="Y1194">IFERROR(IF(ISNUMBER(O1194),IF(COUNT(IF(A1194=$A$2:$A$2427,IF(D1194=$D$2:$D$2427,IF($X$2:$X$2427&gt;0,1))))&gt;0,SUM(IF(A1194=$A$2:$A$2427,IF(D1194=$D$2:$D$2427,$X$2:$X$2427)))/COUNT(IF(A1194=$A$2:$A$2427,IF(D1194=$D$2:$D$2427,IF(ISNUMBER($X$2:$X$2427),1)))),0),""),0)</f>
        <v/>
      </c>
      <c r="Z1194" s="104" t="str">
        <f>IF(ISNUMBER(O1194),IF(I1194&gt;0,(10^(VLOOKUP(D1194,'Species Codes'!B:C,2,0)+VLOOKUP(D1194,'Species Codes'!B:D,3,0)*LOG(E1194)+VLOOKUP(D1194,'Species Codes'!B:E,4,0)*LOG(I1194))),0),"")</f>
        <v/>
      </c>
      <c r="AA1194" s="104" t="str">
        <f>IFERROR((VLOOKUP(D1194,'Species Codes'!B:G,6,0)*Z1194)/2000,"")</f>
        <v/>
      </c>
      <c r="AB1194" s="104" t="e">
        <f>IF(Z1194&gt;0,((IF(OR(D1194="DF",D1194="RA")=TRUE,EXP(VLOOKUP(D1194,'Species Codes'!B:I,8,0)+VLOOKUP(D1194,'Species Codes'!B:J,9,0)*(LN((E1194*2.54)))),IF(OR(D1194="PY",D1194="RC",D1194="WH",D1194="NF")=TRUE,VLOOKUP(D1194,'Species Codes'!B:I,8,0)+VLOOKUP(D1194,'Species Codes'!B:J,9,0)*((E1194*2.54)^2)*(I1194*0.3048),IF(OR(D1194="MD",D1194="BM",D1194="GA")=TRUE,((VLOOKUP(D1194,'Species Codes'!B:I,8,0)*(((((E1194*2.54)+VLOOKUP(D1194,'Species Codes'!B:J,9,0))/VLOOKUP(D1194,'Species Codes'!B:K,10,0))^VLOOKUP(D1194,'Species Codes'!B:L,11,0))*((I1194*0.3048)^VLOOKUP(D1194,'Species Codes'!B:M,12,0))))-(VLOOKUP(D1194,'Species Codes'!B:I,8,0)*((((E1194*2.54)^VLOOKUP(D1194,'Species Codes'!B:L,11,0))*((I1194*0.3048)^VLOOKUP(D1194,'Species Codes'!B:M,12,0))))))*35.3*VLOOKUP(D1194,'Species Codes'!B:G,6,0)/2.2046,VLOOKUP(D1194,'Species Codes'!B:I,8,0)+VLOOKUP(D1194,'Species Codes'!B:J,9,0)*(((E1194*2.54)/100)^2)*(I1194*0.3048)))))*0.0011023),0)</f>
        <v>#N/A</v>
      </c>
      <c r="AC1194" s="104" t="e">
        <f>IF(Z1194&gt;0,((IF(OR(D1194="RA",D1194="OA",D1194="OT",D1194="UN",D1194="PC"),EXP(VLOOKUP(D1194,'Species Codes'!B:O,14,0)+VLOOKUP(D1194,'Species Codes'!B:P,15,0)*LN((E1194*2.54)))-EXP(VLOOKUP(D1194,'Species Codes'!B:O,14,0)+VLOOKUP(D1194,'Species Codes'!B:P,15,0)*LN((E1194*2.54)))*(1/(VLOOKUP(D1194,'Species Codes'!B:Q,16,0)+VLOOKUP(D1194,'Species Codes'!B:R,17,0)*((E1194*2.54)^VLOOKUP(D1194,'Species Codes'!B:S,18,0)))),IF(OR(D1194="BM",D1194="MD",D1194="OA"),EXP(VLOOKUP(D1194,'Species Codes'!B:O,14,0)+VLOOKUP(D1194,'Species Codes'!B:P,15,0)*LN((E1194*2.54)))*(1-(1/(VLOOKUP(D1194,'Species Codes'!B:Q,16,0)+VLOOKUP(D1194,'Species Codes'!B:R,17,0)*((E1194*2.54)^VLOOKUP(D1194,'Species Codes'!B:S,18,0)))))/1000,IF(D1194="DF",EXP(VLOOKUP(D1194,'Species Codes'!B:O,14,0)+VLOOKUP(D1194,'Species Codes'!B:P,15,0)*LN((E1194*2.54))),VLOOKUP(D1194,'Species Codes'!B:O,14,0)+VLOOKUP(D1194,'Species Codes'!B:P,15,0)*(((E1194*2.54)/100)^2)*(I1194*0.3048)))))*0.0011023),0)</f>
        <v>#N/A</v>
      </c>
      <c r="AD1194" s="104" t="e">
        <f t="shared" si="544"/>
        <v>#N/A</v>
      </c>
      <c r="AE1194" s="104" t="e">
        <f t="shared" si="545"/>
        <v>#N/A</v>
      </c>
      <c r="AF1194" s="104" t="e">
        <f>IF(AND(VLOOKUP($D1194,Merchantability!$B:$C,2,0)="Yes",$E1194&gt;=VLOOKUP($D1194,Merchantability!$B:$D,3,0),$E1194&lt;=VLOOKUP($D1194,Merchantability!$B:$E,4,0)),AA1194,0)</f>
        <v>#N/A</v>
      </c>
      <c r="AG1194" s="104" t="e">
        <f>IF(AND(VLOOKUP($D1194,Merchantability!$B:$C,2,0)="Yes",$E1194&gt;=VLOOKUP($D1194,Merchantability!$B:$D,3,0),$E1194&lt;=VLOOKUP($D1194,Merchantability!$B:$E,4,0)),AB1194,0)</f>
        <v>#N/A</v>
      </c>
      <c r="AH1194" s="104" t="e">
        <f>IF(AND(VLOOKUP($D1194,Merchantability!$B:$C,2,0)="Yes",$E1194&gt;=VLOOKUP($D1194,Merchantability!$B:$D,3,0),$E1194&lt;=VLOOKUP($D1194,Merchantability!$B:$E,4,0)),AC1194,0)</f>
        <v>#N/A</v>
      </c>
      <c r="AI1194" s="104" t="e">
        <f t="shared" si="546"/>
        <v>#N/A</v>
      </c>
      <c r="AJ1194" s="104" t="e">
        <f t="shared" si="547"/>
        <v>#VALUE!</v>
      </c>
      <c r="AK1194" s="104" t="e">
        <f t="shared" si="548"/>
        <v>#N/A</v>
      </c>
      <c r="AL1194" s="104" t="e">
        <f t="shared" si="549"/>
        <v>#N/A</v>
      </c>
      <c r="AM1194" s="104" t="e">
        <f t="shared" si="550"/>
        <v>#N/A</v>
      </c>
      <c r="AN1194" s="104" t="e">
        <f t="shared" si="534"/>
        <v>#N/A</v>
      </c>
      <c r="AO1194" s="104" t="e">
        <f t="shared" si="535"/>
        <v>#N/A</v>
      </c>
      <c r="AP1194" s="104" t="e">
        <f t="shared" si="536"/>
        <v>#N/A</v>
      </c>
      <c r="AQ1194" s="104" t="e">
        <f t="shared" si="537"/>
        <v>#N/A</v>
      </c>
      <c r="AR1194" s="105" t="str">
        <f t="shared" si="529"/>
        <v/>
      </c>
      <c r="AS1194" s="105" t="str">
        <f t="shared" si="530"/>
        <v/>
      </c>
      <c r="AT1194" s="108" t="str">
        <f t="shared" si="531"/>
        <v/>
      </c>
      <c r="AU1194" s="108" t="str">
        <f t="shared" si="532"/>
        <v/>
      </c>
      <c r="AV1194" s="107" t="str">
        <f>IF(ISNUMBER(O1194),IF(VLOOKUP($A1194,Stand!C:J,8,FALSE)="Short",AT1194,AU1194),"")</f>
        <v/>
      </c>
      <c r="AW1194" s="109" t="str">
        <f t="shared" si="538"/>
        <v/>
      </c>
      <c r="AX1194" s="109" t="str">
        <f t="shared" si="539"/>
        <v/>
      </c>
      <c r="AY1194" s="112" t="str">
        <f>IF(ISNUMBER(O1194),IF(AND(VLOOKUP($D1194,Merchantability!$B:$C,2,0)="Yes",$E1194&gt;=VLOOKUP($D1194,Merchantability!$B:$D,3,0),$E1194&lt;=VLOOKUP($D1194,Merchantability!$B:$E,4,0)),(AV1194*O1194)*(1-$H1194/100),""),"")</f>
        <v/>
      </c>
      <c r="AZ1194" s="116"/>
      <c r="BA1194" s="116"/>
      <c r="BB1194" s="116"/>
      <c r="BE1194" s="62"/>
      <c r="BF1194" s="63"/>
    </row>
    <row r="1195" spans="1:58" ht="12.75" customHeight="1" x14ac:dyDescent="0.25">
      <c r="A1195" s="313"/>
      <c r="B1195" s="328"/>
      <c r="C1195" s="329"/>
      <c r="D1195" s="328"/>
      <c r="E1195" s="330"/>
      <c r="F1195" s="328"/>
      <c r="G1195" s="329"/>
      <c r="H1195" s="329"/>
      <c r="I1195" s="328"/>
      <c r="J1195" s="383"/>
      <c r="K1195" s="329"/>
      <c r="L1195" s="329"/>
      <c r="M1195" s="76"/>
      <c r="N1195" s="103" t="str">
        <f>IF(A1195="","",VLOOKUP(A1195,Stand!C:K,9,0))</f>
        <v/>
      </c>
      <c r="O1195" s="104" t="str">
        <f t="shared" si="524"/>
        <v/>
      </c>
      <c r="P1195" s="105" t="str">
        <f t="shared" si="525"/>
        <v/>
      </c>
      <c r="Q1195" s="105" t="str">
        <f t="shared" si="540"/>
        <v/>
      </c>
      <c r="R1195" s="103" t="str">
        <f t="shared" si="526"/>
        <v/>
      </c>
      <c r="S1195" s="103" t="str">
        <f t="shared" si="527"/>
        <v/>
      </c>
      <c r="T1195" s="106" t="str">
        <f t="shared" si="541"/>
        <v/>
      </c>
      <c r="U1195" s="106" t="str">
        <f t="shared" si="542"/>
        <v/>
      </c>
      <c r="V1195" s="106" t="str">
        <f t="shared" si="543"/>
        <v/>
      </c>
      <c r="W1195" s="105" t="str">
        <f t="shared" si="528"/>
        <v/>
      </c>
      <c r="X1195" s="104" t="str">
        <f t="shared" si="533"/>
        <v/>
      </c>
      <c r="Y1195" s="104" t="str">
        <f t="array" ref="Y1195">IFERROR(IF(ISNUMBER(O1195),IF(COUNT(IF(A1195=$A$2:$A$2427,IF(D1195=$D$2:$D$2427,IF($X$2:$X$2427&gt;0,1))))&gt;0,SUM(IF(A1195=$A$2:$A$2427,IF(D1195=$D$2:$D$2427,$X$2:$X$2427)))/COUNT(IF(A1195=$A$2:$A$2427,IF(D1195=$D$2:$D$2427,IF(ISNUMBER($X$2:$X$2427),1)))),0),""),0)</f>
        <v/>
      </c>
      <c r="Z1195" s="104" t="str">
        <f>IF(ISNUMBER(O1195),IF(I1195&gt;0,(10^(VLOOKUP(D1195,'Species Codes'!B:C,2,0)+VLOOKUP(D1195,'Species Codes'!B:D,3,0)*LOG(E1195)+VLOOKUP(D1195,'Species Codes'!B:E,4,0)*LOG(I1195))),0),"")</f>
        <v/>
      </c>
      <c r="AA1195" s="104" t="str">
        <f>IFERROR((VLOOKUP(D1195,'Species Codes'!B:G,6,0)*Z1195)/2000,"")</f>
        <v/>
      </c>
      <c r="AB1195" s="104" t="e">
        <f>IF(Z1195&gt;0,((IF(OR(D1195="DF",D1195="RA")=TRUE,EXP(VLOOKUP(D1195,'Species Codes'!B:I,8,0)+VLOOKUP(D1195,'Species Codes'!B:J,9,0)*(LN((E1195*2.54)))),IF(OR(D1195="PY",D1195="RC",D1195="WH",D1195="NF")=TRUE,VLOOKUP(D1195,'Species Codes'!B:I,8,0)+VLOOKUP(D1195,'Species Codes'!B:J,9,0)*((E1195*2.54)^2)*(I1195*0.3048),IF(OR(D1195="MD",D1195="BM",D1195="GA")=TRUE,((VLOOKUP(D1195,'Species Codes'!B:I,8,0)*(((((E1195*2.54)+VLOOKUP(D1195,'Species Codes'!B:J,9,0))/VLOOKUP(D1195,'Species Codes'!B:K,10,0))^VLOOKUP(D1195,'Species Codes'!B:L,11,0))*((I1195*0.3048)^VLOOKUP(D1195,'Species Codes'!B:M,12,0))))-(VLOOKUP(D1195,'Species Codes'!B:I,8,0)*((((E1195*2.54)^VLOOKUP(D1195,'Species Codes'!B:L,11,0))*((I1195*0.3048)^VLOOKUP(D1195,'Species Codes'!B:M,12,0))))))*35.3*VLOOKUP(D1195,'Species Codes'!B:G,6,0)/2.2046,VLOOKUP(D1195,'Species Codes'!B:I,8,0)+VLOOKUP(D1195,'Species Codes'!B:J,9,0)*(((E1195*2.54)/100)^2)*(I1195*0.3048)))))*0.0011023),0)</f>
        <v>#N/A</v>
      </c>
      <c r="AC1195" s="104" t="e">
        <f>IF(Z1195&gt;0,((IF(OR(D1195="RA",D1195="OA",D1195="OT",D1195="UN",D1195="PC"),EXP(VLOOKUP(D1195,'Species Codes'!B:O,14,0)+VLOOKUP(D1195,'Species Codes'!B:P,15,0)*LN((E1195*2.54)))-EXP(VLOOKUP(D1195,'Species Codes'!B:O,14,0)+VLOOKUP(D1195,'Species Codes'!B:P,15,0)*LN((E1195*2.54)))*(1/(VLOOKUP(D1195,'Species Codes'!B:Q,16,0)+VLOOKUP(D1195,'Species Codes'!B:R,17,0)*((E1195*2.54)^VLOOKUP(D1195,'Species Codes'!B:S,18,0)))),IF(OR(D1195="BM",D1195="MD",D1195="OA"),EXP(VLOOKUP(D1195,'Species Codes'!B:O,14,0)+VLOOKUP(D1195,'Species Codes'!B:P,15,0)*LN((E1195*2.54)))*(1-(1/(VLOOKUP(D1195,'Species Codes'!B:Q,16,0)+VLOOKUP(D1195,'Species Codes'!B:R,17,0)*((E1195*2.54)^VLOOKUP(D1195,'Species Codes'!B:S,18,0)))))/1000,IF(D1195="DF",EXP(VLOOKUP(D1195,'Species Codes'!B:O,14,0)+VLOOKUP(D1195,'Species Codes'!B:P,15,0)*LN((E1195*2.54))),VLOOKUP(D1195,'Species Codes'!B:O,14,0)+VLOOKUP(D1195,'Species Codes'!B:P,15,0)*(((E1195*2.54)/100)^2)*(I1195*0.3048)))))*0.0011023),0)</f>
        <v>#N/A</v>
      </c>
      <c r="AD1195" s="104" t="e">
        <f t="shared" si="544"/>
        <v>#N/A</v>
      </c>
      <c r="AE1195" s="104" t="e">
        <f t="shared" si="545"/>
        <v>#N/A</v>
      </c>
      <c r="AF1195" s="104" t="e">
        <f>IF(AND(VLOOKUP($D1195,Merchantability!$B:$C,2,0)="Yes",$E1195&gt;=VLOOKUP($D1195,Merchantability!$B:$D,3,0),$E1195&lt;=VLOOKUP($D1195,Merchantability!$B:$E,4,0)),AA1195,0)</f>
        <v>#N/A</v>
      </c>
      <c r="AG1195" s="104" t="e">
        <f>IF(AND(VLOOKUP($D1195,Merchantability!$B:$C,2,0)="Yes",$E1195&gt;=VLOOKUP($D1195,Merchantability!$B:$D,3,0),$E1195&lt;=VLOOKUP($D1195,Merchantability!$B:$E,4,0)),AB1195,0)</f>
        <v>#N/A</v>
      </c>
      <c r="AH1195" s="104" t="e">
        <f>IF(AND(VLOOKUP($D1195,Merchantability!$B:$C,2,0)="Yes",$E1195&gt;=VLOOKUP($D1195,Merchantability!$B:$D,3,0),$E1195&lt;=VLOOKUP($D1195,Merchantability!$B:$E,4,0)),AC1195,0)</f>
        <v>#N/A</v>
      </c>
      <c r="AI1195" s="104" t="e">
        <f t="shared" si="546"/>
        <v>#N/A</v>
      </c>
      <c r="AJ1195" s="104" t="e">
        <f t="shared" si="547"/>
        <v>#VALUE!</v>
      </c>
      <c r="AK1195" s="104" t="e">
        <f t="shared" si="548"/>
        <v>#N/A</v>
      </c>
      <c r="AL1195" s="104" t="e">
        <f t="shared" si="549"/>
        <v>#N/A</v>
      </c>
      <c r="AM1195" s="104" t="e">
        <f t="shared" si="550"/>
        <v>#N/A</v>
      </c>
      <c r="AN1195" s="104" t="e">
        <f t="shared" si="534"/>
        <v>#N/A</v>
      </c>
      <c r="AO1195" s="104" t="e">
        <f t="shared" si="535"/>
        <v>#N/A</v>
      </c>
      <c r="AP1195" s="104" t="e">
        <f t="shared" si="536"/>
        <v>#N/A</v>
      </c>
      <c r="AQ1195" s="104" t="e">
        <f t="shared" si="537"/>
        <v>#N/A</v>
      </c>
      <c r="AR1195" s="105" t="str">
        <f t="shared" si="529"/>
        <v/>
      </c>
      <c r="AS1195" s="105" t="str">
        <f t="shared" si="530"/>
        <v/>
      </c>
      <c r="AT1195" s="108" t="str">
        <f t="shared" si="531"/>
        <v/>
      </c>
      <c r="AU1195" s="108" t="str">
        <f t="shared" si="532"/>
        <v/>
      </c>
      <c r="AV1195" s="107" t="str">
        <f>IF(ISNUMBER(O1195),IF(VLOOKUP($A1195,Stand!C:J,8,FALSE)="Short",AT1195,AU1195),"")</f>
        <v/>
      </c>
      <c r="AW1195" s="109" t="str">
        <f t="shared" si="538"/>
        <v/>
      </c>
      <c r="AX1195" s="109" t="str">
        <f t="shared" si="539"/>
        <v/>
      </c>
      <c r="AY1195" s="112" t="str">
        <f>IF(ISNUMBER(O1195),IF(AND(VLOOKUP($D1195,Merchantability!$B:$C,2,0)="Yes",$E1195&gt;=VLOOKUP($D1195,Merchantability!$B:$D,3,0),$E1195&lt;=VLOOKUP($D1195,Merchantability!$B:$E,4,0)),(AV1195*O1195)*(1-$H1195/100),""),"")</f>
        <v/>
      </c>
      <c r="AZ1195" s="116"/>
      <c r="BA1195" s="116"/>
      <c r="BB1195" s="116"/>
      <c r="BE1195" s="62"/>
      <c r="BF1195" s="63"/>
    </row>
    <row r="1196" spans="1:58" ht="12.75" customHeight="1" x14ac:dyDescent="0.25">
      <c r="A1196" s="313"/>
      <c r="B1196" s="328"/>
      <c r="C1196" s="329"/>
      <c r="D1196" s="328"/>
      <c r="E1196" s="330"/>
      <c r="F1196" s="328"/>
      <c r="G1196" s="329"/>
      <c r="H1196" s="329"/>
      <c r="I1196" s="328"/>
      <c r="J1196" s="383"/>
      <c r="K1196" s="329"/>
      <c r="L1196" s="329"/>
      <c r="M1196" s="76"/>
      <c r="N1196" s="103" t="str">
        <f>IF(A1196="","",VLOOKUP(A1196,Stand!C:K,9,0))</f>
        <v/>
      </c>
      <c r="O1196" s="104" t="str">
        <f t="shared" si="524"/>
        <v/>
      </c>
      <c r="P1196" s="105" t="str">
        <f t="shared" si="525"/>
        <v/>
      </c>
      <c r="Q1196" s="105" t="str">
        <f t="shared" si="540"/>
        <v/>
      </c>
      <c r="R1196" s="103" t="str">
        <f t="shared" si="526"/>
        <v/>
      </c>
      <c r="S1196" s="103" t="str">
        <f t="shared" si="527"/>
        <v/>
      </c>
      <c r="T1196" s="106" t="str">
        <f t="shared" si="541"/>
        <v/>
      </c>
      <c r="U1196" s="106" t="str">
        <f t="shared" si="542"/>
        <v/>
      </c>
      <c r="V1196" s="106" t="str">
        <f t="shared" si="543"/>
        <v/>
      </c>
      <c r="W1196" s="105" t="str">
        <f t="shared" si="528"/>
        <v/>
      </c>
      <c r="X1196" s="104" t="str">
        <f t="shared" si="533"/>
        <v/>
      </c>
      <c r="Y1196" s="104" t="str">
        <f t="array" ref="Y1196">IFERROR(IF(ISNUMBER(O1196),IF(COUNT(IF(A1196=$A$2:$A$2427,IF(D1196=$D$2:$D$2427,IF($X$2:$X$2427&gt;0,1))))&gt;0,SUM(IF(A1196=$A$2:$A$2427,IF(D1196=$D$2:$D$2427,$X$2:$X$2427)))/COUNT(IF(A1196=$A$2:$A$2427,IF(D1196=$D$2:$D$2427,IF(ISNUMBER($X$2:$X$2427),1)))),0),""),0)</f>
        <v/>
      </c>
      <c r="Z1196" s="104" t="str">
        <f>IF(ISNUMBER(O1196),IF(I1196&gt;0,(10^(VLOOKUP(D1196,'Species Codes'!B:C,2,0)+VLOOKUP(D1196,'Species Codes'!B:D,3,0)*LOG(E1196)+VLOOKUP(D1196,'Species Codes'!B:E,4,0)*LOG(I1196))),0),"")</f>
        <v/>
      </c>
      <c r="AA1196" s="104" t="str">
        <f>IFERROR((VLOOKUP(D1196,'Species Codes'!B:G,6,0)*Z1196)/2000,"")</f>
        <v/>
      </c>
      <c r="AB1196" s="104" t="e">
        <f>IF(Z1196&gt;0,((IF(OR(D1196="DF",D1196="RA")=TRUE,EXP(VLOOKUP(D1196,'Species Codes'!B:I,8,0)+VLOOKUP(D1196,'Species Codes'!B:J,9,0)*(LN((E1196*2.54)))),IF(OR(D1196="PY",D1196="RC",D1196="WH",D1196="NF")=TRUE,VLOOKUP(D1196,'Species Codes'!B:I,8,0)+VLOOKUP(D1196,'Species Codes'!B:J,9,0)*((E1196*2.54)^2)*(I1196*0.3048),IF(OR(D1196="MD",D1196="BM",D1196="GA")=TRUE,((VLOOKUP(D1196,'Species Codes'!B:I,8,0)*(((((E1196*2.54)+VLOOKUP(D1196,'Species Codes'!B:J,9,0))/VLOOKUP(D1196,'Species Codes'!B:K,10,0))^VLOOKUP(D1196,'Species Codes'!B:L,11,0))*((I1196*0.3048)^VLOOKUP(D1196,'Species Codes'!B:M,12,0))))-(VLOOKUP(D1196,'Species Codes'!B:I,8,0)*((((E1196*2.54)^VLOOKUP(D1196,'Species Codes'!B:L,11,0))*((I1196*0.3048)^VLOOKUP(D1196,'Species Codes'!B:M,12,0))))))*35.3*VLOOKUP(D1196,'Species Codes'!B:G,6,0)/2.2046,VLOOKUP(D1196,'Species Codes'!B:I,8,0)+VLOOKUP(D1196,'Species Codes'!B:J,9,0)*(((E1196*2.54)/100)^2)*(I1196*0.3048)))))*0.0011023),0)</f>
        <v>#N/A</v>
      </c>
      <c r="AC1196" s="104" t="e">
        <f>IF(Z1196&gt;0,((IF(OR(D1196="RA",D1196="OA",D1196="OT",D1196="UN",D1196="PC"),EXP(VLOOKUP(D1196,'Species Codes'!B:O,14,0)+VLOOKUP(D1196,'Species Codes'!B:P,15,0)*LN((E1196*2.54)))-EXP(VLOOKUP(D1196,'Species Codes'!B:O,14,0)+VLOOKUP(D1196,'Species Codes'!B:P,15,0)*LN((E1196*2.54)))*(1/(VLOOKUP(D1196,'Species Codes'!B:Q,16,0)+VLOOKUP(D1196,'Species Codes'!B:R,17,0)*((E1196*2.54)^VLOOKUP(D1196,'Species Codes'!B:S,18,0)))),IF(OR(D1196="BM",D1196="MD",D1196="OA"),EXP(VLOOKUP(D1196,'Species Codes'!B:O,14,0)+VLOOKUP(D1196,'Species Codes'!B:P,15,0)*LN((E1196*2.54)))*(1-(1/(VLOOKUP(D1196,'Species Codes'!B:Q,16,0)+VLOOKUP(D1196,'Species Codes'!B:R,17,0)*((E1196*2.54)^VLOOKUP(D1196,'Species Codes'!B:S,18,0)))))/1000,IF(D1196="DF",EXP(VLOOKUP(D1196,'Species Codes'!B:O,14,0)+VLOOKUP(D1196,'Species Codes'!B:P,15,0)*LN((E1196*2.54))),VLOOKUP(D1196,'Species Codes'!B:O,14,0)+VLOOKUP(D1196,'Species Codes'!B:P,15,0)*(((E1196*2.54)/100)^2)*(I1196*0.3048)))))*0.0011023),0)</f>
        <v>#N/A</v>
      </c>
      <c r="AD1196" s="104" t="e">
        <f t="shared" si="544"/>
        <v>#N/A</v>
      </c>
      <c r="AE1196" s="104" t="e">
        <f t="shared" si="545"/>
        <v>#N/A</v>
      </c>
      <c r="AF1196" s="104" t="e">
        <f>IF(AND(VLOOKUP($D1196,Merchantability!$B:$C,2,0)="Yes",$E1196&gt;=VLOOKUP($D1196,Merchantability!$B:$D,3,0),$E1196&lt;=VLOOKUP($D1196,Merchantability!$B:$E,4,0)),AA1196,0)</f>
        <v>#N/A</v>
      </c>
      <c r="AG1196" s="104" t="e">
        <f>IF(AND(VLOOKUP($D1196,Merchantability!$B:$C,2,0)="Yes",$E1196&gt;=VLOOKUP($D1196,Merchantability!$B:$D,3,0),$E1196&lt;=VLOOKUP($D1196,Merchantability!$B:$E,4,0)),AB1196,0)</f>
        <v>#N/A</v>
      </c>
      <c r="AH1196" s="104" t="e">
        <f>IF(AND(VLOOKUP($D1196,Merchantability!$B:$C,2,0)="Yes",$E1196&gt;=VLOOKUP($D1196,Merchantability!$B:$D,3,0),$E1196&lt;=VLOOKUP($D1196,Merchantability!$B:$E,4,0)),AC1196,0)</f>
        <v>#N/A</v>
      </c>
      <c r="AI1196" s="104" t="e">
        <f t="shared" si="546"/>
        <v>#N/A</v>
      </c>
      <c r="AJ1196" s="104" t="e">
        <f t="shared" si="547"/>
        <v>#VALUE!</v>
      </c>
      <c r="AK1196" s="104" t="e">
        <f t="shared" si="548"/>
        <v>#N/A</v>
      </c>
      <c r="AL1196" s="104" t="e">
        <f t="shared" si="549"/>
        <v>#N/A</v>
      </c>
      <c r="AM1196" s="104" t="e">
        <f t="shared" si="550"/>
        <v>#N/A</v>
      </c>
      <c r="AN1196" s="104" t="e">
        <f t="shared" si="534"/>
        <v>#N/A</v>
      </c>
      <c r="AO1196" s="104" t="e">
        <f t="shared" si="535"/>
        <v>#N/A</v>
      </c>
      <c r="AP1196" s="104" t="e">
        <f t="shared" si="536"/>
        <v>#N/A</v>
      </c>
      <c r="AQ1196" s="104" t="e">
        <f t="shared" si="537"/>
        <v>#N/A</v>
      </c>
      <c r="AR1196" s="105" t="str">
        <f t="shared" si="529"/>
        <v/>
      </c>
      <c r="AS1196" s="105" t="str">
        <f t="shared" si="530"/>
        <v/>
      </c>
      <c r="AT1196" s="108" t="str">
        <f t="shared" si="531"/>
        <v/>
      </c>
      <c r="AU1196" s="108" t="str">
        <f t="shared" si="532"/>
        <v/>
      </c>
      <c r="AV1196" s="107" t="str">
        <f>IF(ISNUMBER(O1196),IF(VLOOKUP($A1196,Stand!C:J,8,FALSE)="Short",AT1196,AU1196),"")</f>
        <v/>
      </c>
      <c r="AW1196" s="109" t="str">
        <f t="shared" si="538"/>
        <v/>
      </c>
      <c r="AX1196" s="109" t="str">
        <f t="shared" si="539"/>
        <v/>
      </c>
      <c r="AY1196" s="112" t="str">
        <f>IF(ISNUMBER(O1196),IF(AND(VLOOKUP($D1196,Merchantability!$B:$C,2,0)="Yes",$E1196&gt;=VLOOKUP($D1196,Merchantability!$B:$D,3,0),$E1196&lt;=VLOOKUP($D1196,Merchantability!$B:$E,4,0)),(AV1196*O1196)*(1-$H1196/100),""),"")</f>
        <v/>
      </c>
      <c r="AZ1196" s="116"/>
      <c r="BA1196" s="116"/>
      <c r="BB1196" s="116"/>
      <c r="BE1196" s="62"/>
      <c r="BF1196" s="63"/>
    </row>
    <row r="1197" spans="1:58" ht="12.75" customHeight="1" x14ac:dyDescent="0.25">
      <c r="A1197" s="313"/>
      <c r="B1197" s="328"/>
      <c r="C1197" s="329"/>
      <c r="D1197" s="328"/>
      <c r="E1197" s="330"/>
      <c r="F1197" s="328"/>
      <c r="G1197" s="329"/>
      <c r="H1197" s="329"/>
      <c r="I1197" s="328"/>
      <c r="J1197" s="383"/>
      <c r="K1197" s="329"/>
      <c r="L1197" s="329"/>
      <c r="M1197" s="76"/>
      <c r="N1197" s="103" t="str">
        <f>IF(A1197="","",VLOOKUP(A1197,Stand!C:K,9,0))</f>
        <v/>
      </c>
      <c r="O1197" s="104" t="str">
        <f t="shared" si="524"/>
        <v/>
      </c>
      <c r="P1197" s="105" t="str">
        <f t="shared" si="525"/>
        <v/>
      </c>
      <c r="Q1197" s="105" t="str">
        <f t="shared" si="540"/>
        <v/>
      </c>
      <c r="R1197" s="103" t="str">
        <f t="shared" si="526"/>
        <v/>
      </c>
      <c r="S1197" s="103" t="str">
        <f t="shared" si="527"/>
        <v/>
      </c>
      <c r="T1197" s="106" t="str">
        <f t="shared" si="541"/>
        <v/>
      </c>
      <c r="U1197" s="106" t="str">
        <f t="shared" si="542"/>
        <v/>
      </c>
      <c r="V1197" s="106" t="str">
        <f t="shared" si="543"/>
        <v/>
      </c>
      <c r="W1197" s="105" t="str">
        <f t="shared" si="528"/>
        <v/>
      </c>
      <c r="X1197" s="104" t="str">
        <f t="shared" si="533"/>
        <v/>
      </c>
      <c r="Y1197" s="104" t="str">
        <f t="array" ref="Y1197">IFERROR(IF(ISNUMBER(O1197),IF(COUNT(IF(A1197=$A$2:$A$2427,IF(D1197=$D$2:$D$2427,IF($X$2:$X$2427&gt;0,1))))&gt;0,SUM(IF(A1197=$A$2:$A$2427,IF(D1197=$D$2:$D$2427,$X$2:$X$2427)))/COUNT(IF(A1197=$A$2:$A$2427,IF(D1197=$D$2:$D$2427,IF(ISNUMBER($X$2:$X$2427),1)))),0),""),0)</f>
        <v/>
      </c>
      <c r="Z1197" s="104" t="str">
        <f>IF(ISNUMBER(O1197),IF(I1197&gt;0,(10^(VLOOKUP(D1197,'Species Codes'!B:C,2,0)+VLOOKUP(D1197,'Species Codes'!B:D,3,0)*LOG(E1197)+VLOOKUP(D1197,'Species Codes'!B:E,4,0)*LOG(I1197))),0),"")</f>
        <v/>
      </c>
      <c r="AA1197" s="104" t="str">
        <f>IFERROR((VLOOKUP(D1197,'Species Codes'!B:G,6,0)*Z1197)/2000,"")</f>
        <v/>
      </c>
      <c r="AB1197" s="104" t="e">
        <f>IF(Z1197&gt;0,((IF(OR(D1197="DF",D1197="RA")=TRUE,EXP(VLOOKUP(D1197,'Species Codes'!B:I,8,0)+VLOOKUP(D1197,'Species Codes'!B:J,9,0)*(LN((E1197*2.54)))),IF(OR(D1197="PY",D1197="RC",D1197="WH",D1197="NF")=TRUE,VLOOKUP(D1197,'Species Codes'!B:I,8,0)+VLOOKUP(D1197,'Species Codes'!B:J,9,0)*((E1197*2.54)^2)*(I1197*0.3048),IF(OR(D1197="MD",D1197="BM",D1197="GA")=TRUE,((VLOOKUP(D1197,'Species Codes'!B:I,8,0)*(((((E1197*2.54)+VLOOKUP(D1197,'Species Codes'!B:J,9,0))/VLOOKUP(D1197,'Species Codes'!B:K,10,0))^VLOOKUP(D1197,'Species Codes'!B:L,11,0))*((I1197*0.3048)^VLOOKUP(D1197,'Species Codes'!B:M,12,0))))-(VLOOKUP(D1197,'Species Codes'!B:I,8,0)*((((E1197*2.54)^VLOOKUP(D1197,'Species Codes'!B:L,11,0))*((I1197*0.3048)^VLOOKUP(D1197,'Species Codes'!B:M,12,0))))))*35.3*VLOOKUP(D1197,'Species Codes'!B:G,6,0)/2.2046,VLOOKUP(D1197,'Species Codes'!B:I,8,0)+VLOOKUP(D1197,'Species Codes'!B:J,9,0)*(((E1197*2.54)/100)^2)*(I1197*0.3048)))))*0.0011023),0)</f>
        <v>#N/A</v>
      </c>
      <c r="AC1197" s="104" t="e">
        <f>IF(Z1197&gt;0,((IF(OR(D1197="RA",D1197="OA",D1197="OT",D1197="UN",D1197="PC"),EXP(VLOOKUP(D1197,'Species Codes'!B:O,14,0)+VLOOKUP(D1197,'Species Codes'!B:P,15,0)*LN((E1197*2.54)))-EXP(VLOOKUP(D1197,'Species Codes'!B:O,14,0)+VLOOKUP(D1197,'Species Codes'!B:P,15,0)*LN((E1197*2.54)))*(1/(VLOOKUP(D1197,'Species Codes'!B:Q,16,0)+VLOOKUP(D1197,'Species Codes'!B:R,17,0)*((E1197*2.54)^VLOOKUP(D1197,'Species Codes'!B:S,18,0)))),IF(OR(D1197="BM",D1197="MD",D1197="OA"),EXP(VLOOKUP(D1197,'Species Codes'!B:O,14,0)+VLOOKUP(D1197,'Species Codes'!B:P,15,0)*LN((E1197*2.54)))*(1-(1/(VLOOKUP(D1197,'Species Codes'!B:Q,16,0)+VLOOKUP(D1197,'Species Codes'!B:R,17,0)*((E1197*2.54)^VLOOKUP(D1197,'Species Codes'!B:S,18,0)))))/1000,IF(D1197="DF",EXP(VLOOKUP(D1197,'Species Codes'!B:O,14,0)+VLOOKUP(D1197,'Species Codes'!B:P,15,0)*LN((E1197*2.54))),VLOOKUP(D1197,'Species Codes'!B:O,14,0)+VLOOKUP(D1197,'Species Codes'!B:P,15,0)*(((E1197*2.54)/100)^2)*(I1197*0.3048)))))*0.0011023),0)</f>
        <v>#N/A</v>
      </c>
      <c r="AD1197" s="104" t="e">
        <f t="shared" si="544"/>
        <v>#N/A</v>
      </c>
      <c r="AE1197" s="104" t="e">
        <f t="shared" si="545"/>
        <v>#N/A</v>
      </c>
      <c r="AF1197" s="104" t="e">
        <f>IF(AND(VLOOKUP($D1197,Merchantability!$B:$C,2,0)="Yes",$E1197&gt;=VLOOKUP($D1197,Merchantability!$B:$D,3,0),$E1197&lt;=VLOOKUP($D1197,Merchantability!$B:$E,4,0)),AA1197,0)</f>
        <v>#N/A</v>
      </c>
      <c r="AG1197" s="104" t="e">
        <f>IF(AND(VLOOKUP($D1197,Merchantability!$B:$C,2,0)="Yes",$E1197&gt;=VLOOKUP($D1197,Merchantability!$B:$D,3,0),$E1197&lt;=VLOOKUP($D1197,Merchantability!$B:$E,4,0)),AB1197,0)</f>
        <v>#N/A</v>
      </c>
      <c r="AH1197" s="104" t="e">
        <f>IF(AND(VLOOKUP($D1197,Merchantability!$B:$C,2,0)="Yes",$E1197&gt;=VLOOKUP($D1197,Merchantability!$B:$D,3,0),$E1197&lt;=VLOOKUP($D1197,Merchantability!$B:$E,4,0)),AC1197,0)</f>
        <v>#N/A</v>
      </c>
      <c r="AI1197" s="104" t="e">
        <f t="shared" si="546"/>
        <v>#N/A</v>
      </c>
      <c r="AJ1197" s="104" t="e">
        <f t="shared" si="547"/>
        <v>#VALUE!</v>
      </c>
      <c r="AK1197" s="104" t="e">
        <f t="shared" si="548"/>
        <v>#N/A</v>
      </c>
      <c r="AL1197" s="104" t="e">
        <f t="shared" si="549"/>
        <v>#N/A</v>
      </c>
      <c r="AM1197" s="104" t="e">
        <f t="shared" si="550"/>
        <v>#N/A</v>
      </c>
      <c r="AN1197" s="104" t="e">
        <f t="shared" si="534"/>
        <v>#N/A</v>
      </c>
      <c r="AO1197" s="104" t="e">
        <f t="shared" si="535"/>
        <v>#N/A</v>
      </c>
      <c r="AP1197" s="104" t="e">
        <f t="shared" si="536"/>
        <v>#N/A</v>
      </c>
      <c r="AQ1197" s="104" t="e">
        <f t="shared" si="537"/>
        <v>#N/A</v>
      </c>
      <c r="AR1197" s="105" t="str">
        <f t="shared" si="529"/>
        <v/>
      </c>
      <c r="AS1197" s="105" t="str">
        <f t="shared" si="530"/>
        <v/>
      </c>
      <c r="AT1197" s="108" t="str">
        <f t="shared" si="531"/>
        <v/>
      </c>
      <c r="AU1197" s="108" t="str">
        <f t="shared" si="532"/>
        <v/>
      </c>
      <c r="AV1197" s="107" t="str">
        <f>IF(ISNUMBER(O1197),IF(VLOOKUP($A1197,Stand!C:J,8,FALSE)="Short",AT1197,AU1197),"")</f>
        <v/>
      </c>
      <c r="AW1197" s="109" t="str">
        <f t="shared" si="538"/>
        <v/>
      </c>
      <c r="AX1197" s="109" t="str">
        <f t="shared" si="539"/>
        <v/>
      </c>
      <c r="AY1197" s="112" t="str">
        <f>IF(ISNUMBER(O1197),IF(AND(VLOOKUP($D1197,Merchantability!$B:$C,2,0)="Yes",$E1197&gt;=VLOOKUP($D1197,Merchantability!$B:$D,3,0),$E1197&lt;=VLOOKUP($D1197,Merchantability!$B:$E,4,0)),(AV1197*O1197)*(1-$H1197/100),""),"")</f>
        <v/>
      </c>
      <c r="AZ1197" s="116"/>
      <c r="BA1197" s="116"/>
      <c r="BB1197" s="116"/>
      <c r="BE1197" s="62"/>
      <c r="BF1197" s="63"/>
    </row>
    <row r="1198" spans="1:58" ht="12.75" customHeight="1" x14ac:dyDescent="0.25">
      <c r="A1198" s="313"/>
      <c r="B1198" s="328"/>
      <c r="C1198" s="329"/>
      <c r="D1198" s="328"/>
      <c r="E1198" s="330"/>
      <c r="F1198" s="328"/>
      <c r="G1198" s="329"/>
      <c r="H1198" s="329"/>
      <c r="I1198" s="328"/>
      <c r="J1198" s="383"/>
      <c r="K1198" s="329"/>
      <c r="L1198" s="329"/>
      <c r="M1198" s="76"/>
      <c r="N1198" s="103" t="str">
        <f>IF(A1198="","",VLOOKUP(A1198,Stand!C:K,9,0))</f>
        <v/>
      </c>
      <c r="O1198" s="104" t="str">
        <f t="shared" si="524"/>
        <v/>
      </c>
      <c r="P1198" s="105" t="str">
        <f t="shared" si="525"/>
        <v/>
      </c>
      <c r="Q1198" s="105" t="str">
        <f t="shared" si="540"/>
        <v/>
      </c>
      <c r="R1198" s="103" t="str">
        <f t="shared" si="526"/>
        <v/>
      </c>
      <c r="S1198" s="103" t="str">
        <f t="shared" si="527"/>
        <v/>
      </c>
      <c r="T1198" s="106" t="str">
        <f t="shared" si="541"/>
        <v/>
      </c>
      <c r="U1198" s="106" t="str">
        <f t="shared" si="542"/>
        <v/>
      </c>
      <c r="V1198" s="106" t="str">
        <f t="shared" si="543"/>
        <v/>
      </c>
      <c r="W1198" s="105" t="str">
        <f t="shared" si="528"/>
        <v/>
      </c>
      <c r="X1198" s="104" t="str">
        <f t="shared" si="533"/>
        <v/>
      </c>
      <c r="Y1198" s="104" t="str">
        <f t="array" ref="Y1198">IFERROR(IF(ISNUMBER(O1198),IF(COUNT(IF(A1198=$A$2:$A$2427,IF(D1198=$D$2:$D$2427,IF($X$2:$X$2427&gt;0,1))))&gt;0,SUM(IF(A1198=$A$2:$A$2427,IF(D1198=$D$2:$D$2427,$X$2:$X$2427)))/COUNT(IF(A1198=$A$2:$A$2427,IF(D1198=$D$2:$D$2427,IF(ISNUMBER($X$2:$X$2427),1)))),0),""),0)</f>
        <v/>
      </c>
      <c r="Z1198" s="104" t="str">
        <f>IF(ISNUMBER(O1198),IF(I1198&gt;0,(10^(VLOOKUP(D1198,'Species Codes'!B:C,2,0)+VLOOKUP(D1198,'Species Codes'!B:D,3,0)*LOG(E1198)+VLOOKUP(D1198,'Species Codes'!B:E,4,0)*LOG(I1198))),0),"")</f>
        <v/>
      </c>
      <c r="AA1198" s="104" t="str">
        <f>IFERROR((VLOOKUP(D1198,'Species Codes'!B:G,6,0)*Z1198)/2000,"")</f>
        <v/>
      </c>
      <c r="AB1198" s="104" t="e">
        <f>IF(Z1198&gt;0,((IF(OR(D1198="DF",D1198="RA")=TRUE,EXP(VLOOKUP(D1198,'Species Codes'!B:I,8,0)+VLOOKUP(D1198,'Species Codes'!B:J,9,0)*(LN((E1198*2.54)))),IF(OR(D1198="PY",D1198="RC",D1198="WH",D1198="NF")=TRUE,VLOOKUP(D1198,'Species Codes'!B:I,8,0)+VLOOKUP(D1198,'Species Codes'!B:J,9,0)*((E1198*2.54)^2)*(I1198*0.3048),IF(OR(D1198="MD",D1198="BM",D1198="GA")=TRUE,((VLOOKUP(D1198,'Species Codes'!B:I,8,0)*(((((E1198*2.54)+VLOOKUP(D1198,'Species Codes'!B:J,9,0))/VLOOKUP(D1198,'Species Codes'!B:K,10,0))^VLOOKUP(D1198,'Species Codes'!B:L,11,0))*((I1198*0.3048)^VLOOKUP(D1198,'Species Codes'!B:M,12,0))))-(VLOOKUP(D1198,'Species Codes'!B:I,8,0)*((((E1198*2.54)^VLOOKUP(D1198,'Species Codes'!B:L,11,0))*((I1198*0.3048)^VLOOKUP(D1198,'Species Codes'!B:M,12,0))))))*35.3*VLOOKUP(D1198,'Species Codes'!B:G,6,0)/2.2046,VLOOKUP(D1198,'Species Codes'!B:I,8,0)+VLOOKUP(D1198,'Species Codes'!B:J,9,0)*(((E1198*2.54)/100)^2)*(I1198*0.3048)))))*0.0011023),0)</f>
        <v>#N/A</v>
      </c>
      <c r="AC1198" s="104" t="e">
        <f>IF(Z1198&gt;0,((IF(OR(D1198="RA",D1198="OA",D1198="OT",D1198="UN",D1198="PC"),EXP(VLOOKUP(D1198,'Species Codes'!B:O,14,0)+VLOOKUP(D1198,'Species Codes'!B:P,15,0)*LN((E1198*2.54)))-EXP(VLOOKUP(D1198,'Species Codes'!B:O,14,0)+VLOOKUP(D1198,'Species Codes'!B:P,15,0)*LN((E1198*2.54)))*(1/(VLOOKUP(D1198,'Species Codes'!B:Q,16,0)+VLOOKUP(D1198,'Species Codes'!B:R,17,0)*((E1198*2.54)^VLOOKUP(D1198,'Species Codes'!B:S,18,0)))),IF(OR(D1198="BM",D1198="MD",D1198="OA"),EXP(VLOOKUP(D1198,'Species Codes'!B:O,14,0)+VLOOKUP(D1198,'Species Codes'!B:P,15,0)*LN((E1198*2.54)))*(1-(1/(VLOOKUP(D1198,'Species Codes'!B:Q,16,0)+VLOOKUP(D1198,'Species Codes'!B:R,17,0)*((E1198*2.54)^VLOOKUP(D1198,'Species Codes'!B:S,18,0)))))/1000,IF(D1198="DF",EXP(VLOOKUP(D1198,'Species Codes'!B:O,14,0)+VLOOKUP(D1198,'Species Codes'!B:P,15,0)*LN((E1198*2.54))),VLOOKUP(D1198,'Species Codes'!B:O,14,0)+VLOOKUP(D1198,'Species Codes'!B:P,15,0)*(((E1198*2.54)/100)^2)*(I1198*0.3048)))))*0.0011023),0)</f>
        <v>#N/A</v>
      </c>
      <c r="AD1198" s="104" t="e">
        <f t="shared" si="544"/>
        <v>#N/A</v>
      </c>
      <c r="AE1198" s="104" t="e">
        <f t="shared" si="545"/>
        <v>#N/A</v>
      </c>
      <c r="AF1198" s="104" t="e">
        <f>IF(AND(VLOOKUP($D1198,Merchantability!$B:$C,2,0)="Yes",$E1198&gt;=VLOOKUP($D1198,Merchantability!$B:$D,3,0),$E1198&lt;=VLOOKUP($D1198,Merchantability!$B:$E,4,0)),AA1198,0)</f>
        <v>#N/A</v>
      </c>
      <c r="AG1198" s="104" t="e">
        <f>IF(AND(VLOOKUP($D1198,Merchantability!$B:$C,2,0)="Yes",$E1198&gt;=VLOOKUP($D1198,Merchantability!$B:$D,3,0),$E1198&lt;=VLOOKUP($D1198,Merchantability!$B:$E,4,0)),AB1198,0)</f>
        <v>#N/A</v>
      </c>
      <c r="AH1198" s="104" t="e">
        <f>IF(AND(VLOOKUP($D1198,Merchantability!$B:$C,2,0)="Yes",$E1198&gt;=VLOOKUP($D1198,Merchantability!$B:$D,3,0),$E1198&lt;=VLOOKUP($D1198,Merchantability!$B:$E,4,0)),AC1198,0)</f>
        <v>#N/A</v>
      </c>
      <c r="AI1198" s="104" t="e">
        <f t="shared" si="546"/>
        <v>#N/A</v>
      </c>
      <c r="AJ1198" s="104" t="e">
        <f t="shared" si="547"/>
        <v>#VALUE!</v>
      </c>
      <c r="AK1198" s="104" t="e">
        <f t="shared" si="548"/>
        <v>#N/A</v>
      </c>
      <c r="AL1198" s="104" t="e">
        <f t="shared" si="549"/>
        <v>#N/A</v>
      </c>
      <c r="AM1198" s="104" t="e">
        <f t="shared" si="550"/>
        <v>#N/A</v>
      </c>
      <c r="AN1198" s="104" t="e">
        <f t="shared" si="534"/>
        <v>#N/A</v>
      </c>
      <c r="AO1198" s="104" t="e">
        <f t="shared" si="535"/>
        <v>#N/A</v>
      </c>
      <c r="AP1198" s="104" t="e">
        <f t="shared" si="536"/>
        <v>#N/A</v>
      </c>
      <c r="AQ1198" s="104" t="e">
        <f t="shared" si="537"/>
        <v>#N/A</v>
      </c>
      <c r="AR1198" s="105" t="str">
        <f t="shared" si="529"/>
        <v/>
      </c>
      <c r="AS1198" s="105" t="str">
        <f t="shared" si="530"/>
        <v/>
      </c>
      <c r="AT1198" s="108" t="str">
        <f t="shared" si="531"/>
        <v/>
      </c>
      <c r="AU1198" s="108" t="str">
        <f t="shared" si="532"/>
        <v/>
      </c>
      <c r="AV1198" s="107" t="str">
        <f>IF(ISNUMBER(O1198),IF(VLOOKUP($A1198,Stand!C:J,8,FALSE)="Short",AT1198,AU1198),"")</f>
        <v/>
      </c>
      <c r="AW1198" s="109" t="str">
        <f t="shared" si="538"/>
        <v/>
      </c>
      <c r="AX1198" s="109" t="str">
        <f t="shared" si="539"/>
        <v/>
      </c>
      <c r="AY1198" s="112" t="str">
        <f>IF(ISNUMBER(O1198),IF(AND(VLOOKUP($D1198,Merchantability!$B:$C,2,0)="Yes",$E1198&gt;=VLOOKUP($D1198,Merchantability!$B:$D,3,0),$E1198&lt;=VLOOKUP($D1198,Merchantability!$B:$E,4,0)),(AV1198*O1198)*(1-$H1198/100),""),"")</f>
        <v/>
      </c>
      <c r="AZ1198" s="116"/>
      <c r="BA1198" s="116"/>
      <c r="BB1198" s="116"/>
      <c r="BE1198" s="62"/>
      <c r="BF1198" s="63"/>
    </row>
    <row r="1199" spans="1:58" ht="12.75" customHeight="1" x14ac:dyDescent="0.25">
      <c r="A1199" s="313"/>
      <c r="B1199" s="328"/>
      <c r="C1199" s="329"/>
      <c r="D1199" s="328"/>
      <c r="E1199" s="330"/>
      <c r="F1199" s="328"/>
      <c r="G1199" s="329"/>
      <c r="H1199" s="329"/>
      <c r="I1199" s="328"/>
      <c r="J1199" s="383"/>
      <c r="K1199" s="329"/>
      <c r="L1199" s="329"/>
      <c r="M1199" s="76"/>
      <c r="N1199" s="103" t="str">
        <f>IF(A1199="","",VLOOKUP(A1199,Stand!C:K,9,0))</f>
        <v/>
      </c>
      <c r="O1199" s="104" t="str">
        <f t="shared" si="524"/>
        <v/>
      </c>
      <c r="P1199" s="105" t="str">
        <f t="shared" si="525"/>
        <v/>
      </c>
      <c r="Q1199" s="105" t="str">
        <f t="shared" si="540"/>
        <v/>
      </c>
      <c r="R1199" s="103" t="str">
        <f t="shared" si="526"/>
        <v/>
      </c>
      <c r="S1199" s="103" t="str">
        <f t="shared" si="527"/>
        <v/>
      </c>
      <c r="T1199" s="106" t="str">
        <f t="shared" si="541"/>
        <v/>
      </c>
      <c r="U1199" s="106" t="str">
        <f t="shared" si="542"/>
        <v/>
      </c>
      <c r="V1199" s="106" t="str">
        <f t="shared" si="543"/>
        <v/>
      </c>
      <c r="W1199" s="105" t="str">
        <f t="shared" si="528"/>
        <v/>
      </c>
      <c r="X1199" s="104" t="str">
        <f t="shared" si="533"/>
        <v/>
      </c>
      <c r="Y1199" s="104" t="str">
        <f t="array" ref="Y1199">IFERROR(IF(ISNUMBER(O1199),IF(COUNT(IF(A1199=$A$2:$A$2427,IF(D1199=$D$2:$D$2427,IF($X$2:$X$2427&gt;0,1))))&gt;0,SUM(IF(A1199=$A$2:$A$2427,IF(D1199=$D$2:$D$2427,$X$2:$X$2427)))/COUNT(IF(A1199=$A$2:$A$2427,IF(D1199=$D$2:$D$2427,IF(ISNUMBER($X$2:$X$2427),1)))),0),""),0)</f>
        <v/>
      </c>
      <c r="Z1199" s="104" t="str">
        <f>IF(ISNUMBER(O1199),IF(I1199&gt;0,(10^(VLOOKUP(D1199,'Species Codes'!B:C,2,0)+VLOOKUP(D1199,'Species Codes'!B:D,3,0)*LOG(E1199)+VLOOKUP(D1199,'Species Codes'!B:E,4,0)*LOG(I1199))),0),"")</f>
        <v/>
      </c>
      <c r="AA1199" s="104" t="str">
        <f>IFERROR((VLOOKUP(D1199,'Species Codes'!B:G,6,0)*Z1199)/2000,"")</f>
        <v/>
      </c>
      <c r="AB1199" s="104" t="e">
        <f>IF(Z1199&gt;0,((IF(OR(D1199="DF",D1199="RA")=TRUE,EXP(VLOOKUP(D1199,'Species Codes'!B:I,8,0)+VLOOKUP(D1199,'Species Codes'!B:J,9,0)*(LN((E1199*2.54)))),IF(OR(D1199="PY",D1199="RC",D1199="WH",D1199="NF")=TRUE,VLOOKUP(D1199,'Species Codes'!B:I,8,0)+VLOOKUP(D1199,'Species Codes'!B:J,9,0)*((E1199*2.54)^2)*(I1199*0.3048),IF(OR(D1199="MD",D1199="BM",D1199="GA")=TRUE,((VLOOKUP(D1199,'Species Codes'!B:I,8,0)*(((((E1199*2.54)+VLOOKUP(D1199,'Species Codes'!B:J,9,0))/VLOOKUP(D1199,'Species Codes'!B:K,10,0))^VLOOKUP(D1199,'Species Codes'!B:L,11,0))*((I1199*0.3048)^VLOOKUP(D1199,'Species Codes'!B:M,12,0))))-(VLOOKUP(D1199,'Species Codes'!B:I,8,0)*((((E1199*2.54)^VLOOKUP(D1199,'Species Codes'!B:L,11,0))*((I1199*0.3048)^VLOOKUP(D1199,'Species Codes'!B:M,12,0))))))*35.3*VLOOKUP(D1199,'Species Codes'!B:G,6,0)/2.2046,VLOOKUP(D1199,'Species Codes'!B:I,8,0)+VLOOKUP(D1199,'Species Codes'!B:J,9,0)*(((E1199*2.54)/100)^2)*(I1199*0.3048)))))*0.0011023),0)</f>
        <v>#N/A</v>
      </c>
      <c r="AC1199" s="104" t="e">
        <f>IF(Z1199&gt;0,((IF(OR(D1199="RA",D1199="OA",D1199="OT",D1199="UN",D1199="PC"),EXP(VLOOKUP(D1199,'Species Codes'!B:O,14,0)+VLOOKUP(D1199,'Species Codes'!B:P,15,0)*LN((E1199*2.54)))-EXP(VLOOKUP(D1199,'Species Codes'!B:O,14,0)+VLOOKUP(D1199,'Species Codes'!B:P,15,0)*LN((E1199*2.54)))*(1/(VLOOKUP(D1199,'Species Codes'!B:Q,16,0)+VLOOKUP(D1199,'Species Codes'!B:R,17,0)*((E1199*2.54)^VLOOKUP(D1199,'Species Codes'!B:S,18,0)))),IF(OR(D1199="BM",D1199="MD",D1199="OA"),EXP(VLOOKUP(D1199,'Species Codes'!B:O,14,0)+VLOOKUP(D1199,'Species Codes'!B:P,15,0)*LN((E1199*2.54)))*(1-(1/(VLOOKUP(D1199,'Species Codes'!B:Q,16,0)+VLOOKUP(D1199,'Species Codes'!B:R,17,0)*((E1199*2.54)^VLOOKUP(D1199,'Species Codes'!B:S,18,0)))))/1000,IF(D1199="DF",EXP(VLOOKUP(D1199,'Species Codes'!B:O,14,0)+VLOOKUP(D1199,'Species Codes'!B:P,15,0)*LN((E1199*2.54))),VLOOKUP(D1199,'Species Codes'!B:O,14,0)+VLOOKUP(D1199,'Species Codes'!B:P,15,0)*(((E1199*2.54)/100)^2)*(I1199*0.3048)))))*0.0011023),0)</f>
        <v>#N/A</v>
      </c>
      <c r="AD1199" s="104" t="e">
        <f t="shared" si="544"/>
        <v>#N/A</v>
      </c>
      <c r="AE1199" s="104" t="e">
        <f t="shared" si="545"/>
        <v>#N/A</v>
      </c>
      <c r="AF1199" s="104" t="e">
        <f>IF(AND(VLOOKUP($D1199,Merchantability!$B:$C,2,0)="Yes",$E1199&gt;=VLOOKUP($D1199,Merchantability!$B:$D,3,0),$E1199&lt;=VLOOKUP($D1199,Merchantability!$B:$E,4,0)),AA1199,0)</f>
        <v>#N/A</v>
      </c>
      <c r="AG1199" s="104" t="e">
        <f>IF(AND(VLOOKUP($D1199,Merchantability!$B:$C,2,0)="Yes",$E1199&gt;=VLOOKUP($D1199,Merchantability!$B:$D,3,0),$E1199&lt;=VLOOKUP($D1199,Merchantability!$B:$E,4,0)),AB1199,0)</f>
        <v>#N/A</v>
      </c>
      <c r="AH1199" s="104" t="e">
        <f>IF(AND(VLOOKUP($D1199,Merchantability!$B:$C,2,0)="Yes",$E1199&gt;=VLOOKUP($D1199,Merchantability!$B:$D,3,0),$E1199&lt;=VLOOKUP($D1199,Merchantability!$B:$E,4,0)),AC1199,0)</f>
        <v>#N/A</v>
      </c>
      <c r="AI1199" s="104" t="e">
        <f t="shared" si="546"/>
        <v>#N/A</v>
      </c>
      <c r="AJ1199" s="104" t="e">
        <f t="shared" si="547"/>
        <v>#VALUE!</v>
      </c>
      <c r="AK1199" s="104" t="e">
        <f t="shared" si="548"/>
        <v>#N/A</v>
      </c>
      <c r="AL1199" s="104" t="e">
        <f t="shared" si="549"/>
        <v>#N/A</v>
      </c>
      <c r="AM1199" s="104" t="e">
        <f t="shared" si="550"/>
        <v>#N/A</v>
      </c>
      <c r="AN1199" s="104" t="e">
        <f t="shared" si="534"/>
        <v>#N/A</v>
      </c>
      <c r="AO1199" s="104" t="e">
        <f t="shared" si="535"/>
        <v>#N/A</v>
      </c>
      <c r="AP1199" s="104" t="e">
        <f t="shared" si="536"/>
        <v>#N/A</v>
      </c>
      <c r="AQ1199" s="104" t="e">
        <f t="shared" si="537"/>
        <v>#N/A</v>
      </c>
      <c r="AR1199" s="105" t="str">
        <f t="shared" si="529"/>
        <v/>
      </c>
      <c r="AS1199" s="105" t="str">
        <f t="shared" si="530"/>
        <v/>
      </c>
      <c r="AT1199" s="108" t="str">
        <f t="shared" si="531"/>
        <v/>
      </c>
      <c r="AU1199" s="108" t="str">
        <f t="shared" si="532"/>
        <v/>
      </c>
      <c r="AV1199" s="107" t="str">
        <f>IF(ISNUMBER(O1199),IF(VLOOKUP($A1199,Stand!C:J,8,FALSE)="Short",AT1199,AU1199),"")</f>
        <v/>
      </c>
      <c r="AW1199" s="109" t="str">
        <f t="shared" si="538"/>
        <v/>
      </c>
      <c r="AX1199" s="109" t="str">
        <f t="shared" si="539"/>
        <v/>
      </c>
      <c r="AY1199" s="112" t="str">
        <f>IF(ISNUMBER(O1199),IF(AND(VLOOKUP($D1199,Merchantability!$B:$C,2,0)="Yes",$E1199&gt;=VLOOKUP($D1199,Merchantability!$B:$D,3,0),$E1199&lt;=VLOOKUP($D1199,Merchantability!$B:$E,4,0)),(AV1199*O1199)*(1-$H1199/100),""),"")</f>
        <v/>
      </c>
      <c r="AZ1199" s="116"/>
      <c r="BA1199" s="116"/>
      <c r="BB1199" s="116"/>
      <c r="BE1199" s="62"/>
      <c r="BF1199" s="63"/>
    </row>
    <row r="1200" spans="1:58" ht="12.75" customHeight="1" x14ac:dyDescent="0.25">
      <c r="A1200" s="313"/>
      <c r="B1200" s="328"/>
      <c r="C1200" s="329"/>
      <c r="D1200" s="328"/>
      <c r="E1200" s="330"/>
      <c r="F1200" s="328"/>
      <c r="G1200" s="329"/>
      <c r="H1200" s="329"/>
      <c r="I1200" s="328"/>
      <c r="J1200" s="383"/>
      <c r="K1200" s="329"/>
      <c r="L1200" s="329"/>
      <c r="M1200" s="76"/>
      <c r="N1200" s="103" t="str">
        <f>IF(A1200="","",VLOOKUP(A1200,Stand!C:K,9,0))</f>
        <v/>
      </c>
      <c r="O1200" s="104" t="str">
        <f t="shared" si="524"/>
        <v/>
      </c>
      <c r="P1200" s="105" t="str">
        <f t="shared" si="525"/>
        <v/>
      </c>
      <c r="Q1200" s="105" t="str">
        <f t="shared" si="540"/>
        <v/>
      </c>
      <c r="R1200" s="103" t="str">
        <f t="shared" si="526"/>
        <v/>
      </c>
      <c r="S1200" s="103" t="str">
        <f t="shared" si="527"/>
        <v/>
      </c>
      <c r="T1200" s="106" t="str">
        <f t="shared" si="541"/>
        <v/>
      </c>
      <c r="U1200" s="106" t="str">
        <f t="shared" si="542"/>
        <v/>
      </c>
      <c r="V1200" s="106" t="str">
        <f t="shared" si="543"/>
        <v/>
      </c>
      <c r="W1200" s="105" t="str">
        <f t="shared" si="528"/>
        <v/>
      </c>
      <c r="X1200" s="104" t="str">
        <f t="shared" si="533"/>
        <v/>
      </c>
      <c r="Y1200" s="104" t="str">
        <f t="array" ref="Y1200">IFERROR(IF(ISNUMBER(O1200),IF(COUNT(IF(A1200=$A$2:$A$2427,IF(D1200=$D$2:$D$2427,IF($X$2:$X$2427&gt;0,1))))&gt;0,SUM(IF(A1200=$A$2:$A$2427,IF(D1200=$D$2:$D$2427,$X$2:$X$2427)))/COUNT(IF(A1200=$A$2:$A$2427,IF(D1200=$D$2:$D$2427,IF(ISNUMBER($X$2:$X$2427),1)))),0),""),0)</f>
        <v/>
      </c>
      <c r="Z1200" s="104" t="str">
        <f>IF(ISNUMBER(O1200),IF(I1200&gt;0,(10^(VLOOKUP(D1200,'Species Codes'!B:C,2,0)+VLOOKUP(D1200,'Species Codes'!B:D,3,0)*LOG(E1200)+VLOOKUP(D1200,'Species Codes'!B:E,4,0)*LOG(I1200))),0),"")</f>
        <v/>
      </c>
      <c r="AA1200" s="104" t="str">
        <f>IFERROR((VLOOKUP(D1200,'Species Codes'!B:G,6,0)*Z1200)/2000,"")</f>
        <v/>
      </c>
      <c r="AB1200" s="104" t="e">
        <f>IF(Z1200&gt;0,((IF(OR(D1200="DF",D1200="RA")=TRUE,EXP(VLOOKUP(D1200,'Species Codes'!B:I,8,0)+VLOOKUP(D1200,'Species Codes'!B:J,9,0)*(LN((E1200*2.54)))),IF(OR(D1200="PY",D1200="RC",D1200="WH",D1200="NF")=TRUE,VLOOKUP(D1200,'Species Codes'!B:I,8,0)+VLOOKUP(D1200,'Species Codes'!B:J,9,0)*((E1200*2.54)^2)*(I1200*0.3048),IF(OR(D1200="MD",D1200="BM",D1200="GA")=TRUE,((VLOOKUP(D1200,'Species Codes'!B:I,8,0)*(((((E1200*2.54)+VLOOKUP(D1200,'Species Codes'!B:J,9,0))/VLOOKUP(D1200,'Species Codes'!B:K,10,0))^VLOOKUP(D1200,'Species Codes'!B:L,11,0))*((I1200*0.3048)^VLOOKUP(D1200,'Species Codes'!B:M,12,0))))-(VLOOKUP(D1200,'Species Codes'!B:I,8,0)*((((E1200*2.54)^VLOOKUP(D1200,'Species Codes'!B:L,11,0))*((I1200*0.3048)^VLOOKUP(D1200,'Species Codes'!B:M,12,0))))))*35.3*VLOOKUP(D1200,'Species Codes'!B:G,6,0)/2.2046,VLOOKUP(D1200,'Species Codes'!B:I,8,0)+VLOOKUP(D1200,'Species Codes'!B:J,9,0)*(((E1200*2.54)/100)^2)*(I1200*0.3048)))))*0.0011023),0)</f>
        <v>#N/A</v>
      </c>
      <c r="AC1200" s="104" t="e">
        <f>IF(Z1200&gt;0,((IF(OR(D1200="RA",D1200="OA",D1200="OT",D1200="UN",D1200="PC"),EXP(VLOOKUP(D1200,'Species Codes'!B:O,14,0)+VLOOKUP(D1200,'Species Codes'!B:P,15,0)*LN((E1200*2.54)))-EXP(VLOOKUP(D1200,'Species Codes'!B:O,14,0)+VLOOKUP(D1200,'Species Codes'!B:P,15,0)*LN((E1200*2.54)))*(1/(VLOOKUP(D1200,'Species Codes'!B:Q,16,0)+VLOOKUP(D1200,'Species Codes'!B:R,17,0)*((E1200*2.54)^VLOOKUP(D1200,'Species Codes'!B:S,18,0)))),IF(OR(D1200="BM",D1200="MD",D1200="OA"),EXP(VLOOKUP(D1200,'Species Codes'!B:O,14,0)+VLOOKUP(D1200,'Species Codes'!B:P,15,0)*LN((E1200*2.54)))*(1-(1/(VLOOKUP(D1200,'Species Codes'!B:Q,16,0)+VLOOKUP(D1200,'Species Codes'!B:R,17,0)*((E1200*2.54)^VLOOKUP(D1200,'Species Codes'!B:S,18,0)))))/1000,IF(D1200="DF",EXP(VLOOKUP(D1200,'Species Codes'!B:O,14,0)+VLOOKUP(D1200,'Species Codes'!B:P,15,0)*LN((E1200*2.54))),VLOOKUP(D1200,'Species Codes'!B:O,14,0)+VLOOKUP(D1200,'Species Codes'!B:P,15,0)*(((E1200*2.54)/100)^2)*(I1200*0.3048)))))*0.0011023),0)</f>
        <v>#N/A</v>
      </c>
      <c r="AD1200" s="104" t="e">
        <f t="shared" si="544"/>
        <v>#N/A</v>
      </c>
      <c r="AE1200" s="104" t="e">
        <f t="shared" si="545"/>
        <v>#N/A</v>
      </c>
      <c r="AF1200" s="104" t="e">
        <f>IF(AND(VLOOKUP($D1200,Merchantability!$B:$C,2,0)="Yes",$E1200&gt;=VLOOKUP($D1200,Merchantability!$B:$D,3,0),$E1200&lt;=VLOOKUP($D1200,Merchantability!$B:$E,4,0)),AA1200,0)</f>
        <v>#N/A</v>
      </c>
      <c r="AG1200" s="104" t="e">
        <f>IF(AND(VLOOKUP($D1200,Merchantability!$B:$C,2,0)="Yes",$E1200&gt;=VLOOKUP($D1200,Merchantability!$B:$D,3,0),$E1200&lt;=VLOOKUP($D1200,Merchantability!$B:$E,4,0)),AB1200,0)</f>
        <v>#N/A</v>
      </c>
      <c r="AH1200" s="104" t="e">
        <f>IF(AND(VLOOKUP($D1200,Merchantability!$B:$C,2,0)="Yes",$E1200&gt;=VLOOKUP($D1200,Merchantability!$B:$D,3,0),$E1200&lt;=VLOOKUP($D1200,Merchantability!$B:$E,4,0)),AC1200,0)</f>
        <v>#N/A</v>
      </c>
      <c r="AI1200" s="104" t="e">
        <f t="shared" si="546"/>
        <v>#N/A</v>
      </c>
      <c r="AJ1200" s="104" t="e">
        <f t="shared" si="547"/>
        <v>#VALUE!</v>
      </c>
      <c r="AK1200" s="104" t="e">
        <f t="shared" si="548"/>
        <v>#N/A</v>
      </c>
      <c r="AL1200" s="104" t="e">
        <f t="shared" si="549"/>
        <v>#N/A</v>
      </c>
      <c r="AM1200" s="104" t="e">
        <f t="shared" si="550"/>
        <v>#N/A</v>
      </c>
      <c r="AN1200" s="104" t="e">
        <f t="shared" si="534"/>
        <v>#N/A</v>
      </c>
      <c r="AO1200" s="104" t="e">
        <f t="shared" si="535"/>
        <v>#N/A</v>
      </c>
      <c r="AP1200" s="104" t="e">
        <f t="shared" si="536"/>
        <v>#N/A</v>
      </c>
      <c r="AQ1200" s="104" t="e">
        <f t="shared" si="537"/>
        <v>#N/A</v>
      </c>
      <c r="AR1200" s="105" t="str">
        <f t="shared" si="529"/>
        <v/>
      </c>
      <c r="AS1200" s="105" t="str">
        <f t="shared" si="530"/>
        <v/>
      </c>
      <c r="AT1200" s="108" t="str">
        <f t="shared" si="531"/>
        <v/>
      </c>
      <c r="AU1200" s="108" t="str">
        <f t="shared" si="532"/>
        <v/>
      </c>
      <c r="AV1200" s="107" t="str">
        <f>IF(ISNUMBER(O1200),IF(VLOOKUP($A1200,Stand!C:J,8,FALSE)="Short",AT1200,AU1200),"")</f>
        <v/>
      </c>
      <c r="AW1200" s="109" t="str">
        <f t="shared" si="538"/>
        <v/>
      </c>
      <c r="AX1200" s="109" t="str">
        <f t="shared" si="539"/>
        <v/>
      </c>
      <c r="AY1200" s="112" t="str">
        <f>IF(ISNUMBER(O1200),IF(AND(VLOOKUP($D1200,Merchantability!$B:$C,2,0)="Yes",$E1200&gt;=VLOOKUP($D1200,Merchantability!$B:$D,3,0),$E1200&lt;=VLOOKUP($D1200,Merchantability!$B:$E,4,0)),(AV1200*O1200)*(1-$H1200/100),""),"")</f>
        <v/>
      </c>
      <c r="AZ1200" s="116"/>
      <c r="BA1200" s="116"/>
      <c r="BB1200" s="116"/>
      <c r="BE1200" s="62"/>
      <c r="BF1200" s="63"/>
    </row>
    <row r="1201" spans="1:58" ht="12.75" customHeight="1" x14ac:dyDescent="0.25">
      <c r="A1201" s="313"/>
      <c r="B1201" s="328"/>
      <c r="C1201" s="329"/>
      <c r="D1201" s="328"/>
      <c r="E1201" s="330"/>
      <c r="F1201" s="328"/>
      <c r="G1201" s="329"/>
      <c r="H1201" s="329"/>
      <c r="I1201" s="328"/>
      <c r="J1201" s="383"/>
      <c r="K1201" s="329"/>
      <c r="L1201" s="329"/>
      <c r="M1201" s="76"/>
      <c r="N1201" s="103" t="str">
        <f>IF(A1201="","",VLOOKUP(A1201,Stand!C:K,9,0))</f>
        <v/>
      </c>
      <c r="O1201" s="104" t="str">
        <f t="shared" si="524"/>
        <v/>
      </c>
      <c r="P1201" s="105" t="str">
        <f t="shared" si="525"/>
        <v/>
      </c>
      <c r="Q1201" s="105" t="str">
        <f t="shared" si="540"/>
        <v/>
      </c>
      <c r="R1201" s="103" t="str">
        <f t="shared" si="526"/>
        <v/>
      </c>
      <c r="S1201" s="103" t="str">
        <f t="shared" si="527"/>
        <v/>
      </c>
      <c r="T1201" s="106" t="str">
        <f t="shared" si="541"/>
        <v/>
      </c>
      <c r="U1201" s="106" t="str">
        <f t="shared" si="542"/>
        <v/>
      </c>
      <c r="V1201" s="106" t="str">
        <f t="shared" si="543"/>
        <v/>
      </c>
      <c r="W1201" s="105" t="str">
        <f t="shared" si="528"/>
        <v/>
      </c>
      <c r="X1201" s="104" t="str">
        <f t="shared" si="533"/>
        <v/>
      </c>
      <c r="Y1201" s="104" t="str">
        <f t="array" ref="Y1201">IFERROR(IF(ISNUMBER(O1201),IF(COUNT(IF(A1201=$A$2:$A$2427,IF(D1201=$D$2:$D$2427,IF($X$2:$X$2427&gt;0,1))))&gt;0,SUM(IF(A1201=$A$2:$A$2427,IF(D1201=$D$2:$D$2427,$X$2:$X$2427)))/COUNT(IF(A1201=$A$2:$A$2427,IF(D1201=$D$2:$D$2427,IF(ISNUMBER($X$2:$X$2427),1)))),0),""),0)</f>
        <v/>
      </c>
      <c r="Z1201" s="104" t="str">
        <f>IF(ISNUMBER(O1201),IF(I1201&gt;0,(10^(VLOOKUP(D1201,'Species Codes'!B:C,2,0)+VLOOKUP(D1201,'Species Codes'!B:D,3,0)*LOG(E1201)+VLOOKUP(D1201,'Species Codes'!B:E,4,0)*LOG(I1201))),0),"")</f>
        <v/>
      </c>
      <c r="AA1201" s="104" t="str">
        <f>IFERROR((VLOOKUP(D1201,'Species Codes'!B:G,6,0)*Z1201)/2000,"")</f>
        <v/>
      </c>
      <c r="AB1201" s="104" t="e">
        <f>IF(Z1201&gt;0,((IF(OR(D1201="DF",D1201="RA")=TRUE,EXP(VLOOKUP(D1201,'Species Codes'!B:I,8,0)+VLOOKUP(D1201,'Species Codes'!B:J,9,0)*(LN((E1201*2.54)))),IF(OR(D1201="PY",D1201="RC",D1201="WH",D1201="NF")=TRUE,VLOOKUP(D1201,'Species Codes'!B:I,8,0)+VLOOKUP(D1201,'Species Codes'!B:J,9,0)*((E1201*2.54)^2)*(I1201*0.3048),IF(OR(D1201="MD",D1201="BM",D1201="GA")=TRUE,((VLOOKUP(D1201,'Species Codes'!B:I,8,0)*(((((E1201*2.54)+VLOOKUP(D1201,'Species Codes'!B:J,9,0))/VLOOKUP(D1201,'Species Codes'!B:K,10,0))^VLOOKUP(D1201,'Species Codes'!B:L,11,0))*((I1201*0.3048)^VLOOKUP(D1201,'Species Codes'!B:M,12,0))))-(VLOOKUP(D1201,'Species Codes'!B:I,8,0)*((((E1201*2.54)^VLOOKUP(D1201,'Species Codes'!B:L,11,0))*((I1201*0.3048)^VLOOKUP(D1201,'Species Codes'!B:M,12,0))))))*35.3*VLOOKUP(D1201,'Species Codes'!B:G,6,0)/2.2046,VLOOKUP(D1201,'Species Codes'!B:I,8,0)+VLOOKUP(D1201,'Species Codes'!B:J,9,0)*(((E1201*2.54)/100)^2)*(I1201*0.3048)))))*0.0011023),0)</f>
        <v>#N/A</v>
      </c>
      <c r="AC1201" s="104" t="e">
        <f>IF(Z1201&gt;0,((IF(OR(D1201="RA",D1201="OA",D1201="OT",D1201="UN",D1201="PC"),EXP(VLOOKUP(D1201,'Species Codes'!B:O,14,0)+VLOOKUP(D1201,'Species Codes'!B:P,15,0)*LN((E1201*2.54)))-EXP(VLOOKUP(D1201,'Species Codes'!B:O,14,0)+VLOOKUP(D1201,'Species Codes'!B:P,15,0)*LN((E1201*2.54)))*(1/(VLOOKUP(D1201,'Species Codes'!B:Q,16,0)+VLOOKUP(D1201,'Species Codes'!B:R,17,0)*((E1201*2.54)^VLOOKUP(D1201,'Species Codes'!B:S,18,0)))),IF(OR(D1201="BM",D1201="MD",D1201="OA"),EXP(VLOOKUP(D1201,'Species Codes'!B:O,14,0)+VLOOKUP(D1201,'Species Codes'!B:P,15,0)*LN((E1201*2.54)))*(1-(1/(VLOOKUP(D1201,'Species Codes'!B:Q,16,0)+VLOOKUP(D1201,'Species Codes'!B:R,17,0)*((E1201*2.54)^VLOOKUP(D1201,'Species Codes'!B:S,18,0)))))/1000,IF(D1201="DF",EXP(VLOOKUP(D1201,'Species Codes'!B:O,14,0)+VLOOKUP(D1201,'Species Codes'!B:P,15,0)*LN((E1201*2.54))),VLOOKUP(D1201,'Species Codes'!B:O,14,0)+VLOOKUP(D1201,'Species Codes'!B:P,15,0)*(((E1201*2.54)/100)^2)*(I1201*0.3048)))))*0.0011023),0)</f>
        <v>#N/A</v>
      </c>
      <c r="AD1201" s="104" t="e">
        <f t="shared" si="544"/>
        <v>#N/A</v>
      </c>
      <c r="AE1201" s="104" t="e">
        <f t="shared" si="545"/>
        <v>#N/A</v>
      </c>
      <c r="AF1201" s="104" t="e">
        <f>IF(AND(VLOOKUP($D1201,Merchantability!$B:$C,2,0)="Yes",$E1201&gt;=VLOOKUP($D1201,Merchantability!$B:$D,3,0),$E1201&lt;=VLOOKUP($D1201,Merchantability!$B:$E,4,0)),AA1201,0)</f>
        <v>#N/A</v>
      </c>
      <c r="AG1201" s="104" t="e">
        <f>IF(AND(VLOOKUP($D1201,Merchantability!$B:$C,2,0)="Yes",$E1201&gt;=VLOOKUP($D1201,Merchantability!$B:$D,3,0),$E1201&lt;=VLOOKUP($D1201,Merchantability!$B:$E,4,0)),AB1201,0)</f>
        <v>#N/A</v>
      </c>
      <c r="AH1201" s="104" t="e">
        <f>IF(AND(VLOOKUP($D1201,Merchantability!$B:$C,2,0)="Yes",$E1201&gt;=VLOOKUP($D1201,Merchantability!$B:$D,3,0),$E1201&lt;=VLOOKUP($D1201,Merchantability!$B:$E,4,0)),AC1201,0)</f>
        <v>#N/A</v>
      </c>
      <c r="AI1201" s="104" t="e">
        <f t="shared" si="546"/>
        <v>#N/A</v>
      </c>
      <c r="AJ1201" s="104" t="e">
        <f t="shared" si="547"/>
        <v>#VALUE!</v>
      </c>
      <c r="AK1201" s="104" t="e">
        <f t="shared" si="548"/>
        <v>#N/A</v>
      </c>
      <c r="AL1201" s="104" t="e">
        <f t="shared" si="549"/>
        <v>#N/A</v>
      </c>
      <c r="AM1201" s="104" t="e">
        <f t="shared" si="550"/>
        <v>#N/A</v>
      </c>
      <c r="AN1201" s="104" t="e">
        <f t="shared" si="534"/>
        <v>#N/A</v>
      </c>
      <c r="AO1201" s="104" t="e">
        <f t="shared" si="535"/>
        <v>#N/A</v>
      </c>
      <c r="AP1201" s="104" t="e">
        <f t="shared" si="536"/>
        <v>#N/A</v>
      </c>
      <c r="AQ1201" s="104" t="e">
        <f t="shared" si="537"/>
        <v>#N/A</v>
      </c>
      <c r="AR1201" s="105" t="str">
        <f t="shared" si="529"/>
        <v/>
      </c>
      <c r="AS1201" s="105" t="str">
        <f t="shared" si="530"/>
        <v/>
      </c>
      <c r="AT1201" s="108" t="str">
        <f t="shared" si="531"/>
        <v/>
      </c>
      <c r="AU1201" s="108" t="str">
        <f t="shared" si="532"/>
        <v/>
      </c>
      <c r="AV1201" s="107" t="str">
        <f>IF(ISNUMBER(O1201),IF(VLOOKUP($A1201,Stand!C:J,8,FALSE)="Short",AT1201,AU1201),"")</f>
        <v/>
      </c>
      <c r="AW1201" s="109" t="str">
        <f t="shared" si="538"/>
        <v/>
      </c>
      <c r="AX1201" s="109" t="str">
        <f t="shared" si="539"/>
        <v/>
      </c>
      <c r="AY1201" s="112" t="str">
        <f>IF(ISNUMBER(O1201),IF(AND(VLOOKUP($D1201,Merchantability!$B:$C,2,0)="Yes",$E1201&gt;=VLOOKUP($D1201,Merchantability!$B:$D,3,0),$E1201&lt;=VLOOKUP($D1201,Merchantability!$B:$E,4,0)),(AV1201*O1201)*(1-$H1201/100),""),"")</f>
        <v/>
      </c>
      <c r="AZ1201" s="116"/>
      <c r="BA1201" s="116"/>
      <c r="BB1201" s="116"/>
      <c r="BE1201" s="62"/>
      <c r="BF1201" s="63"/>
    </row>
    <row r="1202" spans="1:58" ht="12.75" customHeight="1" x14ac:dyDescent="0.25">
      <c r="A1202" s="313"/>
      <c r="B1202" s="328"/>
      <c r="C1202" s="329"/>
      <c r="D1202" s="328"/>
      <c r="E1202" s="330"/>
      <c r="F1202" s="328"/>
      <c r="G1202" s="329"/>
      <c r="H1202" s="329"/>
      <c r="I1202" s="328"/>
      <c r="J1202" s="383"/>
      <c r="K1202" s="329"/>
      <c r="L1202" s="329"/>
      <c r="M1202" s="76"/>
      <c r="N1202" s="103" t="str">
        <f>IF(A1202="","",VLOOKUP(A1202,Stand!C:K,9,0))</f>
        <v/>
      </c>
      <c r="O1202" s="104" t="str">
        <f t="shared" si="524"/>
        <v/>
      </c>
      <c r="P1202" s="105" t="str">
        <f t="shared" si="525"/>
        <v/>
      </c>
      <c r="Q1202" s="105" t="str">
        <f t="shared" si="540"/>
        <v/>
      </c>
      <c r="R1202" s="103" t="str">
        <f t="shared" si="526"/>
        <v/>
      </c>
      <c r="S1202" s="103" t="str">
        <f t="shared" si="527"/>
        <v/>
      </c>
      <c r="T1202" s="106" t="str">
        <f t="shared" si="541"/>
        <v/>
      </c>
      <c r="U1202" s="106" t="str">
        <f t="shared" si="542"/>
        <v/>
      </c>
      <c r="V1202" s="106" t="str">
        <f t="shared" si="543"/>
        <v/>
      </c>
      <c r="W1202" s="105" t="str">
        <f t="shared" si="528"/>
        <v/>
      </c>
      <c r="X1202" s="104" t="str">
        <f t="shared" si="533"/>
        <v/>
      </c>
      <c r="Y1202" s="104" t="str">
        <f t="array" ref="Y1202">IFERROR(IF(ISNUMBER(O1202),IF(COUNT(IF(A1202=$A$2:$A$2427,IF(D1202=$D$2:$D$2427,IF($X$2:$X$2427&gt;0,1))))&gt;0,SUM(IF(A1202=$A$2:$A$2427,IF(D1202=$D$2:$D$2427,$X$2:$X$2427)))/COUNT(IF(A1202=$A$2:$A$2427,IF(D1202=$D$2:$D$2427,IF(ISNUMBER($X$2:$X$2427),1)))),0),""),0)</f>
        <v/>
      </c>
      <c r="Z1202" s="104" t="str">
        <f>IF(ISNUMBER(O1202),IF(I1202&gt;0,(10^(VLOOKUP(D1202,'Species Codes'!B:C,2,0)+VLOOKUP(D1202,'Species Codes'!B:D,3,0)*LOG(E1202)+VLOOKUP(D1202,'Species Codes'!B:E,4,0)*LOG(I1202))),0),"")</f>
        <v/>
      </c>
      <c r="AA1202" s="104" t="str">
        <f>IFERROR((VLOOKUP(D1202,'Species Codes'!B:G,6,0)*Z1202)/2000,"")</f>
        <v/>
      </c>
      <c r="AB1202" s="104" t="e">
        <f>IF(Z1202&gt;0,((IF(OR(D1202="DF",D1202="RA")=TRUE,EXP(VLOOKUP(D1202,'Species Codes'!B:I,8,0)+VLOOKUP(D1202,'Species Codes'!B:J,9,0)*(LN((E1202*2.54)))),IF(OR(D1202="PY",D1202="RC",D1202="WH",D1202="NF")=TRUE,VLOOKUP(D1202,'Species Codes'!B:I,8,0)+VLOOKUP(D1202,'Species Codes'!B:J,9,0)*((E1202*2.54)^2)*(I1202*0.3048),IF(OR(D1202="MD",D1202="BM",D1202="GA")=TRUE,((VLOOKUP(D1202,'Species Codes'!B:I,8,0)*(((((E1202*2.54)+VLOOKUP(D1202,'Species Codes'!B:J,9,0))/VLOOKUP(D1202,'Species Codes'!B:K,10,0))^VLOOKUP(D1202,'Species Codes'!B:L,11,0))*((I1202*0.3048)^VLOOKUP(D1202,'Species Codes'!B:M,12,0))))-(VLOOKUP(D1202,'Species Codes'!B:I,8,0)*((((E1202*2.54)^VLOOKUP(D1202,'Species Codes'!B:L,11,0))*((I1202*0.3048)^VLOOKUP(D1202,'Species Codes'!B:M,12,0))))))*35.3*VLOOKUP(D1202,'Species Codes'!B:G,6,0)/2.2046,VLOOKUP(D1202,'Species Codes'!B:I,8,0)+VLOOKUP(D1202,'Species Codes'!B:J,9,0)*(((E1202*2.54)/100)^2)*(I1202*0.3048)))))*0.0011023),0)</f>
        <v>#N/A</v>
      </c>
      <c r="AC1202" s="104" t="e">
        <f>IF(Z1202&gt;0,((IF(OR(D1202="RA",D1202="OA",D1202="OT",D1202="UN",D1202="PC"),EXP(VLOOKUP(D1202,'Species Codes'!B:O,14,0)+VLOOKUP(D1202,'Species Codes'!B:P,15,0)*LN((E1202*2.54)))-EXP(VLOOKUP(D1202,'Species Codes'!B:O,14,0)+VLOOKUP(D1202,'Species Codes'!B:P,15,0)*LN((E1202*2.54)))*(1/(VLOOKUP(D1202,'Species Codes'!B:Q,16,0)+VLOOKUP(D1202,'Species Codes'!B:R,17,0)*((E1202*2.54)^VLOOKUP(D1202,'Species Codes'!B:S,18,0)))),IF(OR(D1202="BM",D1202="MD",D1202="OA"),EXP(VLOOKUP(D1202,'Species Codes'!B:O,14,0)+VLOOKUP(D1202,'Species Codes'!B:P,15,0)*LN((E1202*2.54)))*(1-(1/(VLOOKUP(D1202,'Species Codes'!B:Q,16,0)+VLOOKUP(D1202,'Species Codes'!B:R,17,0)*((E1202*2.54)^VLOOKUP(D1202,'Species Codes'!B:S,18,0)))))/1000,IF(D1202="DF",EXP(VLOOKUP(D1202,'Species Codes'!B:O,14,0)+VLOOKUP(D1202,'Species Codes'!B:P,15,0)*LN((E1202*2.54))),VLOOKUP(D1202,'Species Codes'!B:O,14,0)+VLOOKUP(D1202,'Species Codes'!B:P,15,0)*(((E1202*2.54)/100)^2)*(I1202*0.3048)))))*0.0011023),0)</f>
        <v>#N/A</v>
      </c>
      <c r="AD1202" s="104" t="e">
        <f t="shared" si="544"/>
        <v>#N/A</v>
      </c>
      <c r="AE1202" s="104" t="e">
        <f t="shared" si="545"/>
        <v>#N/A</v>
      </c>
      <c r="AF1202" s="104" t="e">
        <f>IF(AND(VLOOKUP($D1202,Merchantability!$B:$C,2,0)="Yes",$E1202&gt;=VLOOKUP($D1202,Merchantability!$B:$D,3,0),$E1202&lt;=VLOOKUP($D1202,Merchantability!$B:$E,4,0)),AA1202,0)</f>
        <v>#N/A</v>
      </c>
      <c r="AG1202" s="104" t="e">
        <f>IF(AND(VLOOKUP($D1202,Merchantability!$B:$C,2,0)="Yes",$E1202&gt;=VLOOKUP($D1202,Merchantability!$B:$D,3,0),$E1202&lt;=VLOOKUP($D1202,Merchantability!$B:$E,4,0)),AB1202,0)</f>
        <v>#N/A</v>
      </c>
      <c r="AH1202" s="104" t="e">
        <f>IF(AND(VLOOKUP($D1202,Merchantability!$B:$C,2,0)="Yes",$E1202&gt;=VLOOKUP($D1202,Merchantability!$B:$D,3,0),$E1202&lt;=VLOOKUP($D1202,Merchantability!$B:$E,4,0)),AC1202,0)</f>
        <v>#N/A</v>
      </c>
      <c r="AI1202" s="104" t="e">
        <f t="shared" si="546"/>
        <v>#N/A</v>
      </c>
      <c r="AJ1202" s="104" t="e">
        <f t="shared" si="547"/>
        <v>#VALUE!</v>
      </c>
      <c r="AK1202" s="104" t="e">
        <f t="shared" si="548"/>
        <v>#N/A</v>
      </c>
      <c r="AL1202" s="104" t="e">
        <f t="shared" si="549"/>
        <v>#N/A</v>
      </c>
      <c r="AM1202" s="104" t="e">
        <f t="shared" si="550"/>
        <v>#N/A</v>
      </c>
      <c r="AN1202" s="104" t="e">
        <f t="shared" si="534"/>
        <v>#N/A</v>
      </c>
      <c r="AO1202" s="104" t="e">
        <f t="shared" si="535"/>
        <v>#N/A</v>
      </c>
      <c r="AP1202" s="104" t="e">
        <f t="shared" si="536"/>
        <v>#N/A</v>
      </c>
      <c r="AQ1202" s="104" t="e">
        <f t="shared" si="537"/>
        <v>#N/A</v>
      </c>
      <c r="AR1202" s="105" t="str">
        <f t="shared" si="529"/>
        <v/>
      </c>
      <c r="AS1202" s="105" t="str">
        <f t="shared" si="530"/>
        <v/>
      </c>
      <c r="AT1202" s="108" t="str">
        <f t="shared" si="531"/>
        <v/>
      </c>
      <c r="AU1202" s="108" t="str">
        <f t="shared" si="532"/>
        <v/>
      </c>
      <c r="AV1202" s="107" t="str">
        <f>IF(ISNUMBER(O1202),IF(VLOOKUP($A1202,Stand!C:J,8,FALSE)="Short",AT1202,AU1202),"")</f>
        <v/>
      </c>
      <c r="AW1202" s="109" t="str">
        <f t="shared" si="538"/>
        <v/>
      </c>
      <c r="AX1202" s="109" t="str">
        <f t="shared" si="539"/>
        <v/>
      </c>
      <c r="AY1202" s="112" t="str">
        <f>IF(ISNUMBER(O1202),IF(AND(VLOOKUP($D1202,Merchantability!$B:$C,2,0)="Yes",$E1202&gt;=VLOOKUP($D1202,Merchantability!$B:$D,3,0),$E1202&lt;=VLOOKUP($D1202,Merchantability!$B:$E,4,0)),(AV1202*O1202)*(1-$H1202/100),""),"")</f>
        <v/>
      </c>
      <c r="AZ1202" s="116"/>
      <c r="BA1202" s="116"/>
      <c r="BB1202" s="116"/>
      <c r="BE1202" s="62"/>
      <c r="BF1202" s="63"/>
    </row>
    <row r="1203" spans="1:58" ht="12.75" customHeight="1" x14ac:dyDescent="0.25">
      <c r="A1203" s="313"/>
      <c r="B1203" s="328"/>
      <c r="C1203" s="329"/>
      <c r="D1203" s="328"/>
      <c r="E1203" s="330"/>
      <c r="F1203" s="328"/>
      <c r="G1203" s="329"/>
      <c r="H1203" s="329"/>
      <c r="I1203" s="328"/>
      <c r="J1203" s="383"/>
      <c r="K1203" s="329"/>
      <c r="L1203" s="329"/>
      <c r="M1203" s="76"/>
      <c r="N1203" s="103" t="str">
        <f>IF(A1203="","",VLOOKUP(A1203,Stand!C:K,9,0))</f>
        <v/>
      </c>
      <c r="O1203" s="104" t="str">
        <f t="shared" si="524"/>
        <v/>
      </c>
      <c r="P1203" s="105" t="str">
        <f t="shared" si="525"/>
        <v/>
      </c>
      <c r="Q1203" s="105" t="str">
        <f t="shared" si="540"/>
        <v/>
      </c>
      <c r="R1203" s="103" t="str">
        <f t="shared" si="526"/>
        <v/>
      </c>
      <c r="S1203" s="103" t="str">
        <f t="shared" si="527"/>
        <v/>
      </c>
      <c r="T1203" s="106" t="str">
        <f t="shared" si="541"/>
        <v/>
      </c>
      <c r="U1203" s="106" t="str">
        <f t="shared" si="542"/>
        <v/>
      </c>
      <c r="V1203" s="106" t="str">
        <f t="shared" si="543"/>
        <v/>
      </c>
      <c r="W1203" s="105" t="str">
        <f t="shared" si="528"/>
        <v/>
      </c>
      <c r="X1203" s="104" t="str">
        <f t="shared" si="533"/>
        <v/>
      </c>
      <c r="Y1203" s="104" t="str">
        <f t="array" ref="Y1203">IFERROR(IF(ISNUMBER(O1203),IF(COUNT(IF(A1203=$A$2:$A$2427,IF(D1203=$D$2:$D$2427,IF($X$2:$X$2427&gt;0,1))))&gt;0,SUM(IF(A1203=$A$2:$A$2427,IF(D1203=$D$2:$D$2427,$X$2:$X$2427)))/COUNT(IF(A1203=$A$2:$A$2427,IF(D1203=$D$2:$D$2427,IF(ISNUMBER($X$2:$X$2427),1)))),0),""),0)</f>
        <v/>
      </c>
      <c r="Z1203" s="104" t="str">
        <f>IF(ISNUMBER(O1203),IF(I1203&gt;0,(10^(VLOOKUP(D1203,'Species Codes'!B:C,2,0)+VLOOKUP(D1203,'Species Codes'!B:D,3,0)*LOG(E1203)+VLOOKUP(D1203,'Species Codes'!B:E,4,0)*LOG(I1203))),0),"")</f>
        <v/>
      </c>
      <c r="AA1203" s="104" t="str">
        <f>IFERROR((VLOOKUP(D1203,'Species Codes'!B:G,6,0)*Z1203)/2000,"")</f>
        <v/>
      </c>
      <c r="AB1203" s="104" t="e">
        <f>IF(Z1203&gt;0,((IF(OR(D1203="DF",D1203="RA")=TRUE,EXP(VLOOKUP(D1203,'Species Codes'!B:I,8,0)+VLOOKUP(D1203,'Species Codes'!B:J,9,0)*(LN((E1203*2.54)))),IF(OR(D1203="PY",D1203="RC",D1203="WH",D1203="NF")=TRUE,VLOOKUP(D1203,'Species Codes'!B:I,8,0)+VLOOKUP(D1203,'Species Codes'!B:J,9,0)*((E1203*2.54)^2)*(I1203*0.3048),IF(OR(D1203="MD",D1203="BM",D1203="GA")=TRUE,((VLOOKUP(D1203,'Species Codes'!B:I,8,0)*(((((E1203*2.54)+VLOOKUP(D1203,'Species Codes'!B:J,9,0))/VLOOKUP(D1203,'Species Codes'!B:K,10,0))^VLOOKUP(D1203,'Species Codes'!B:L,11,0))*((I1203*0.3048)^VLOOKUP(D1203,'Species Codes'!B:M,12,0))))-(VLOOKUP(D1203,'Species Codes'!B:I,8,0)*((((E1203*2.54)^VLOOKUP(D1203,'Species Codes'!B:L,11,0))*((I1203*0.3048)^VLOOKUP(D1203,'Species Codes'!B:M,12,0))))))*35.3*VLOOKUP(D1203,'Species Codes'!B:G,6,0)/2.2046,VLOOKUP(D1203,'Species Codes'!B:I,8,0)+VLOOKUP(D1203,'Species Codes'!B:J,9,0)*(((E1203*2.54)/100)^2)*(I1203*0.3048)))))*0.0011023),0)</f>
        <v>#N/A</v>
      </c>
      <c r="AC1203" s="104" t="e">
        <f>IF(Z1203&gt;0,((IF(OR(D1203="RA",D1203="OA",D1203="OT",D1203="UN",D1203="PC"),EXP(VLOOKUP(D1203,'Species Codes'!B:O,14,0)+VLOOKUP(D1203,'Species Codes'!B:P,15,0)*LN((E1203*2.54)))-EXP(VLOOKUP(D1203,'Species Codes'!B:O,14,0)+VLOOKUP(D1203,'Species Codes'!B:P,15,0)*LN((E1203*2.54)))*(1/(VLOOKUP(D1203,'Species Codes'!B:Q,16,0)+VLOOKUP(D1203,'Species Codes'!B:R,17,0)*((E1203*2.54)^VLOOKUP(D1203,'Species Codes'!B:S,18,0)))),IF(OR(D1203="BM",D1203="MD",D1203="OA"),EXP(VLOOKUP(D1203,'Species Codes'!B:O,14,0)+VLOOKUP(D1203,'Species Codes'!B:P,15,0)*LN((E1203*2.54)))*(1-(1/(VLOOKUP(D1203,'Species Codes'!B:Q,16,0)+VLOOKUP(D1203,'Species Codes'!B:R,17,0)*((E1203*2.54)^VLOOKUP(D1203,'Species Codes'!B:S,18,0)))))/1000,IF(D1203="DF",EXP(VLOOKUP(D1203,'Species Codes'!B:O,14,0)+VLOOKUP(D1203,'Species Codes'!B:P,15,0)*LN((E1203*2.54))),VLOOKUP(D1203,'Species Codes'!B:O,14,0)+VLOOKUP(D1203,'Species Codes'!B:P,15,0)*(((E1203*2.54)/100)^2)*(I1203*0.3048)))))*0.0011023),0)</f>
        <v>#N/A</v>
      </c>
      <c r="AD1203" s="104" t="e">
        <f t="shared" si="544"/>
        <v>#N/A</v>
      </c>
      <c r="AE1203" s="104" t="e">
        <f t="shared" si="545"/>
        <v>#N/A</v>
      </c>
      <c r="AF1203" s="104" t="e">
        <f>IF(AND(VLOOKUP($D1203,Merchantability!$B:$C,2,0)="Yes",$E1203&gt;=VLOOKUP($D1203,Merchantability!$B:$D,3,0),$E1203&lt;=VLOOKUP($D1203,Merchantability!$B:$E,4,0)),AA1203,0)</f>
        <v>#N/A</v>
      </c>
      <c r="AG1203" s="104" t="e">
        <f>IF(AND(VLOOKUP($D1203,Merchantability!$B:$C,2,0)="Yes",$E1203&gt;=VLOOKUP($D1203,Merchantability!$B:$D,3,0),$E1203&lt;=VLOOKUP($D1203,Merchantability!$B:$E,4,0)),AB1203,0)</f>
        <v>#N/A</v>
      </c>
      <c r="AH1203" s="104" t="e">
        <f>IF(AND(VLOOKUP($D1203,Merchantability!$B:$C,2,0)="Yes",$E1203&gt;=VLOOKUP($D1203,Merchantability!$B:$D,3,0),$E1203&lt;=VLOOKUP($D1203,Merchantability!$B:$E,4,0)),AC1203,0)</f>
        <v>#N/A</v>
      </c>
      <c r="AI1203" s="104" t="e">
        <f t="shared" si="546"/>
        <v>#N/A</v>
      </c>
      <c r="AJ1203" s="104" t="e">
        <f t="shared" si="547"/>
        <v>#VALUE!</v>
      </c>
      <c r="AK1203" s="104" t="e">
        <f t="shared" si="548"/>
        <v>#N/A</v>
      </c>
      <c r="AL1203" s="104" t="e">
        <f t="shared" si="549"/>
        <v>#N/A</v>
      </c>
      <c r="AM1203" s="104" t="e">
        <f t="shared" si="550"/>
        <v>#N/A</v>
      </c>
      <c r="AN1203" s="104" t="e">
        <f t="shared" si="534"/>
        <v>#N/A</v>
      </c>
      <c r="AO1203" s="104" t="e">
        <f t="shared" si="535"/>
        <v>#N/A</v>
      </c>
      <c r="AP1203" s="104" t="e">
        <f t="shared" si="536"/>
        <v>#N/A</v>
      </c>
      <c r="AQ1203" s="104" t="e">
        <f t="shared" si="537"/>
        <v>#N/A</v>
      </c>
      <c r="AR1203" s="105" t="str">
        <f t="shared" si="529"/>
        <v/>
      </c>
      <c r="AS1203" s="105" t="str">
        <f t="shared" si="530"/>
        <v/>
      </c>
      <c r="AT1203" s="108" t="str">
        <f t="shared" si="531"/>
        <v/>
      </c>
      <c r="AU1203" s="108" t="str">
        <f t="shared" si="532"/>
        <v/>
      </c>
      <c r="AV1203" s="107" t="str">
        <f>IF(ISNUMBER(O1203),IF(VLOOKUP($A1203,Stand!C:J,8,FALSE)="Short",AT1203,AU1203),"")</f>
        <v/>
      </c>
      <c r="AW1203" s="109" t="str">
        <f t="shared" si="538"/>
        <v/>
      </c>
      <c r="AX1203" s="109" t="str">
        <f t="shared" si="539"/>
        <v/>
      </c>
      <c r="AY1203" s="112" t="str">
        <f>IF(ISNUMBER(O1203),IF(AND(VLOOKUP($D1203,Merchantability!$B:$C,2,0)="Yes",$E1203&gt;=VLOOKUP($D1203,Merchantability!$B:$D,3,0),$E1203&lt;=VLOOKUP($D1203,Merchantability!$B:$E,4,0)),(AV1203*O1203)*(1-$H1203/100),""),"")</f>
        <v/>
      </c>
      <c r="AZ1203" s="116"/>
      <c r="BA1203" s="116"/>
      <c r="BB1203" s="116"/>
      <c r="BE1203" s="62"/>
      <c r="BF1203" s="63"/>
    </row>
    <row r="1204" spans="1:58" ht="12.75" customHeight="1" x14ac:dyDescent="0.25">
      <c r="A1204" s="313"/>
      <c r="B1204" s="328"/>
      <c r="C1204" s="329"/>
      <c r="D1204" s="328"/>
      <c r="E1204" s="330"/>
      <c r="F1204" s="328"/>
      <c r="G1204" s="329"/>
      <c r="H1204" s="329"/>
      <c r="I1204" s="328"/>
      <c r="J1204" s="383"/>
      <c r="K1204" s="329"/>
      <c r="L1204" s="329"/>
      <c r="M1204" s="76"/>
      <c r="N1204" s="103" t="str">
        <f>IF(A1204="","",VLOOKUP(A1204,Stand!C:K,9,0))</f>
        <v/>
      </c>
      <c r="O1204" s="104" t="str">
        <f t="shared" si="524"/>
        <v/>
      </c>
      <c r="P1204" s="105" t="str">
        <f t="shared" si="525"/>
        <v/>
      </c>
      <c r="Q1204" s="105" t="str">
        <f t="shared" si="540"/>
        <v/>
      </c>
      <c r="R1204" s="103" t="str">
        <f t="shared" si="526"/>
        <v/>
      </c>
      <c r="S1204" s="103" t="str">
        <f t="shared" si="527"/>
        <v/>
      </c>
      <c r="T1204" s="106" t="str">
        <f t="shared" si="541"/>
        <v/>
      </c>
      <c r="U1204" s="106" t="str">
        <f t="shared" si="542"/>
        <v/>
      </c>
      <c r="V1204" s="106" t="str">
        <f t="shared" si="543"/>
        <v/>
      </c>
      <c r="W1204" s="105" t="str">
        <f t="shared" si="528"/>
        <v/>
      </c>
      <c r="X1204" s="104" t="str">
        <f t="shared" si="533"/>
        <v/>
      </c>
      <c r="Y1204" s="104" t="str">
        <f t="array" ref="Y1204">IFERROR(IF(ISNUMBER(O1204),IF(COUNT(IF(A1204=$A$2:$A$2427,IF(D1204=$D$2:$D$2427,IF($X$2:$X$2427&gt;0,1))))&gt;0,SUM(IF(A1204=$A$2:$A$2427,IF(D1204=$D$2:$D$2427,$X$2:$X$2427)))/COUNT(IF(A1204=$A$2:$A$2427,IF(D1204=$D$2:$D$2427,IF(ISNUMBER($X$2:$X$2427),1)))),0),""),0)</f>
        <v/>
      </c>
      <c r="Z1204" s="104" t="str">
        <f>IF(ISNUMBER(O1204),IF(I1204&gt;0,(10^(VLOOKUP(D1204,'Species Codes'!B:C,2,0)+VLOOKUP(D1204,'Species Codes'!B:D,3,0)*LOG(E1204)+VLOOKUP(D1204,'Species Codes'!B:E,4,0)*LOG(I1204))),0),"")</f>
        <v/>
      </c>
      <c r="AA1204" s="104" t="str">
        <f>IFERROR((VLOOKUP(D1204,'Species Codes'!B:G,6,0)*Z1204)/2000,"")</f>
        <v/>
      </c>
      <c r="AB1204" s="104" t="e">
        <f>IF(Z1204&gt;0,((IF(OR(D1204="DF",D1204="RA")=TRUE,EXP(VLOOKUP(D1204,'Species Codes'!B:I,8,0)+VLOOKUP(D1204,'Species Codes'!B:J,9,0)*(LN((E1204*2.54)))),IF(OR(D1204="PY",D1204="RC",D1204="WH",D1204="NF")=TRUE,VLOOKUP(D1204,'Species Codes'!B:I,8,0)+VLOOKUP(D1204,'Species Codes'!B:J,9,0)*((E1204*2.54)^2)*(I1204*0.3048),IF(OR(D1204="MD",D1204="BM",D1204="GA")=TRUE,((VLOOKUP(D1204,'Species Codes'!B:I,8,0)*(((((E1204*2.54)+VLOOKUP(D1204,'Species Codes'!B:J,9,0))/VLOOKUP(D1204,'Species Codes'!B:K,10,0))^VLOOKUP(D1204,'Species Codes'!B:L,11,0))*((I1204*0.3048)^VLOOKUP(D1204,'Species Codes'!B:M,12,0))))-(VLOOKUP(D1204,'Species Codes'!B:I,8,0)*((((E1204*2.54)^VLOOKUP(D1204,'Species Codes'!B:L,11,0))*((I1204*0.3048)^VLOOKUP(D1204,'Species Codes'!B:M,12,0))))))*35.3*VLOOKUP(D1204,'Species Codes'!B:G,6,0)/2.2046,VLOOKUP(D1204,'Species Codes'!B:I,8,0)+VLOOKUP(D1204,'Species Codes'!B:J,9,0)*(((E1204*2.54)/100)^2)*(I1204*0.3048)))))*0.0011023),0)</f>
        <v>#N/A</v>
      </c>
      <c r="AC1204" s="104" t="e">
        <f>IF(Z1204&gt;0,((IF(OR(D1204="RA",D1204="OA",D1204="OT",D1204="UN",D1204="PC"),EXP(VLOOKUP(D1204,'Species Codes'!B:O,14,0)+VLOOKUP(D1204,'Species Codes'!B:P,15,0)*LN((E1204*2.54)))-EXP(VLOOKUP(D1204,'Species Codes'!B:O,14,0)+VLOOKUP(D1204,'Species Codes'!B:P,15,0)*LN((E1204*2.54)))*(1/(VLOOKUP(D1204,'Species Codes'!B:Q,16,0)+VLOOKUP(D1204,'Species Codes'!B:R,17,0)*((E1204*2.54)^VLOOKUP(D1204,'Species Codes'!B:S,18,0)))),IF(OR(D1204="BM",D1204="MD",D1204="OA"),EXP(VLOOKUP(D1204,'Species Codes'!B:O,14,0)+VLOOKUP(D1204,'Species Codes'!B:P,15,0)*LN((E1204*2.54)))*(1-(1/(VLOOKUP(D1204,'Species Codes'!B:Q,16,0)+VLOOKUP(D1204,'Species Codes'!B:R,17,0)*((E1204*2.54)^VLOOKUP(D1204,'Species Codes'!B:S,18,0)))))/1000,IF(D1204="DF",EXP(VLOOKUP(D1204,'Species Codes'!B:O,14,0)+VLOOKUP(D1204,'Species Codes'!B:P,15,0)*LN((E1204*2.54))),VLOOKUP(D1204,'Species Codes'!B:O,14,0)+VLOOKUP(D1204,'Species Codes'!B:P,15,0)*(((E1204*2.54)/100)^2)*(I1204*0.3048)))))*0.0011023),0)</f>
        <v>#N/A</v>
      </c>
      <c r="AD1204" s="104" t="e">
        <f t="shared" si="544"/>
        <v>#N/A</v>
      </c>
      <c r="AE1204" s="104" t="e">
        <f t="shared" si="545"/>
        <v>#N/A</v>
      </c>
      <c r="AF1204" s="104" t="e">
        <f>IF(AND(VLOOKUP($D1204,Merchantability!$B:$C,2,0)="Yes",$E1204&gt;=VLOOKUP($D1204,Merchantability!$B:$D,3,0),$E1204&lt;=VLOOKUP($D1204,Merchantability!$B:$E,4,0)),AA1204,0)</f>
        <v>#N/A</v>
      </c>
      <c r="AG1204" s="104" t="e">
        <f>IF(AND(VLOOKUP($D1204,Merchantability!$B:$C,2,0)="Yes",$E1204&gt;=VLOOKUP($D1204,Merchantability!$B:$D,3,0),$E1204&lt;=VLOOKUP($D1204,Merchantability!$B:$E,4,0)),AB1204,0)</f>
        <v>#N/A</v>
      </c>
      <c r="AH1204" s="104" t="e">
        <f>IF(AND(VLOOKUP($D1204,Merchantability!$B:$C,2,0)="Yes",$E1204&gt;=VLOOKUP($D1204,Merchantability!$B:$D,3,0),$E1204&lt;=VLOOKUP($D1204,Merchantability!$B:$E,4,0)),AC1204,0)</f>
        <v>#N/A</v>
      </c>
      <c r="AI1204" s="104" t="e">
        <f t="shared" si="546"/>
        <v>#N/A</v>
      </c>
      <c r="AJ1204" s="104" t="e">
        <f t="shared" si="547"/>
        <v>#VALUE!</v>
      </c>
      <c r="AK1204" s="104" t="e">
        <f t="shared" si="548"/>
        <v>#N/A</v>
      </c>
      <c r="AL1204" s="104" t="e">
        <f t="shared" si="549"/>
        <v>#N/A</v>
      </c>
      <c r="AM1204" s="104" t="e">
        <f t="shared" si="550"/>
        <v>#N/A</v>
      </c>
      <c r="AN1204" s="104" t="e">
        <f t="shared" si="534"/>
        <v>#N/A</v>
      </c>
      <c r="AO1204" s="104" t="e">
        <f t="shared" si="535"/>
        <v>#N/A</v>
      </c>
      <c r="AP1204" s="104" t="e">
        <f t="shared" si="536"/>
        <v>#N/A</v>
      </c>
      <c r="AQ1204" s="104" t="e">
        <f t="shared" si="537"/>
        <v>#N/A</v>
      </c>
      <c r="AR1204" s="105" t="str">
        <f t="shared" si="529"/>
        <v/>
      </c>
      <c r="AS1204" s="105" t="str">
        <f t="shared" si="530"/>
        <v/>
      </c>
      <c r="AT1204" s="108" t="str">
        <f t="shared" si="531"/>
        <v/>
      </c>
      <c r="AU1204" s="108" t="str">
        <f t="shared" si="532"/>
        <v/>
      </c>
      <c r="AV1204" s="107" t="str">
        <f>IF(ISNUMBER(O1204),IF(VLOOKUP($A1204,Stand!C:J,8,FALSE)="Short",AT1204,AU1204),"")</f>
        <v/>
      </c>
      <c r="AW1204" s="109" t="str">
        <f t="shared" si="538"/>
        <v/>
      </c>
      <c r="AX1204" s="109" t="str">
        <f t="shared" si="539"/>
        <v/>
      </c>
      <c r="AY1204" s="112" t="str">
        <f>IF(ISNUMBER(O1204),IF(AND(VLOOKUP($D1204,Merchantability!$B:$C,2,0)="Yes",$E1204&gt;=VLOOKUP($D1204,Merchantability!$B:$D,3,0),$E1204&lt;=VLOOKUP($D1204,Merchantability!$B:$E,4,0)),(AV1204*O1204)*(1-$H1204/100),""),"")</f>
        <v/>
      </c>
      <c r="AZ1204" s="116"/>
      <c r="BA1204" s="116"/>
      <c r="BB1204" s="116"/>
      <c r="BE1204" s="62"/>
      <c r="BF1204" s="63"/>
    </row>
    <row r="1205" spans="1:58" ht="12.75" customHeight="1" x14ac:dyDescent="0.25">
      <c r="A1205" s="313"/>
      <c r="B1205" s="328"/>
      <c r="C1205" s="329"/>
      <c r="D1205" s="328"/>
      <c r="E1205" s="330"/>
      <c r="F1205" s="328"/>
      <c r="G1205" s="329"/>
      <c r="H1205" s="329"/>
      <c r="I1205" s="328"/>
      <c r="J1205" s="383"/>
      <c r="K1205" s="329"/>
      <c r="L1205" s="329"/>
      <c r="M1205" s="76"/>
      <c r="N1205" s="103" t="str">
        <f>IF(A1205="","",VLOOKUP(A1205,Stand!C:K,9,0))</f>
        <v/>
      </c>
      <c r="O1205" s="104" t="str">
        <f t="shared" si="524"/>
        <v/>
      </c>
      <c r="P1205" s="105" t="str">
        <f t="shared" si="525"/>
        <v/>
      </c>
      <c r="Q1205" s="105" t="str">
        <f t="shared" si="540"/>
        <v/>
      </c>
      <c r="R1205" s="103" t="str">
        <f t="shared" si="526"/>
        <v/>
      </c>
      <c r="S1205" s="103" t="str">
        <f t="shared" si="527"/>
        <v/>
      </c>
      <c r="T1205" s="106" t="str">
        <f t="shared" si="541"/>
        <v/>
      </c>
      <c r="U1205" s="106" t="str">
        <f t="shared" si="542"/>
        <v/>
      </c>
      <c r="V1205" s="106" t="str">
        <f t="shared" si="543"/>
        <v/>
      </c>
      <c r="W1205" s="105" t="str">
        <f t="shared" si="528"/>
        <v/>
      </c>
      <c r="X1205" s="104" t="str">
        <f t="shared" si="533"/>
        <v/>
      </c>
      <c r="Y1205" s="104" t="str">
        <f t="array" ref="Y1205">IFERROR(IF(ISNUMBER(O1205),IF(COUNT(IF(A1205=$A$2:$A$2427,IF(D1205=$D$2:$D$2427,IF($X$2:$X$2427&gt;0,1))))&gt;0,SUM(IF(A1205=$A$2:$A$2427,IF(D1205=$D$2:$D$2427,$X$2:$X$2427)))/COUNT(IF(A1205=$A$2:$A$2427,IF(D1205=$D$2:$D$2427,IF(ISNUMBER($X$2:$X$2427),1)))),0),""),0)</f>
        <v/>
      </c>
      <c r="Z1205" s="104" t="str">
        <f>IF(ISNUMBER(O1205),IF(I1205&gt;0,(10^(VLOOKUP(D1205,'Species Codes'!B:C,2,0)+VLOOKUP(D1205,'Species Codes'!B:D,3,0)*LOG(E1205)+VLOOKUP(D1205,'Species Codes'!B:E,4,0)*LOG(I1205))),0),"")</f>
        <v/>
      </c>
      <c r="AA1205" s="104" t="str">
        <f>IFERROR((VLOOKUP(D1205,'Species Codes'!B:G,6,0)*Z1205)/2000,"")</f>
        <v/>
      </c>
      <c r="AB1205" s="104" t="e">
        <f>IF(Z1205&gt;0,((IF(OR(D1205="DF",D1205="RA")=TRUE,EXP(VLOOKUP(D1205,'Species Codes'!B:I,8,0)+VLOOKUP(D1205,'Species Codes'!B:J,9,0)*(LN((E1205*2.54)))),IF(OR(D1205="PY",D1205="RC",D1205="WH",D1205="NF")=TRUE,VLOOKUP(D1205,'Species Codes'!B:I,8,0)+VLOOKUP(D1205,'Species Codes'!B:J,9,0)*((E1205*2.54)^2)*(I1205*0.3048),IF(OR(D1205="MD",D1205="BM",D1205="GA")=TRUE,((VLOOKUP(D1205,'Species Codes'!B:I,8,0)*(((((E1205*2.54)+VLOOKUP(D1205,'Species Codes'!B:J,9,0))/VLOOKUP(D1205,'Species Codes'!B:K,10,0))^VLOOKUP(D1205,'Species Codes'!B:L,11,0))*((I1205*0.3048)^VLOOKUP(D1205,'Species Codes'!B:M,12,0))))-(VLOOKUP(D1205,'Species Codes'!B:I,8,0)*((((E1205*2.54)^VLOOKUP(D1205,'Species Codes'!B:L,11,0))*((I1205*0.3048)^VLOOKUP(D1205,'Species Codes'!B:M,12,0))))))*35.3*VLOOKUP(D1205,'Species Codes'!B:G,6,0)/2.2046,VLOOKUP(D1205,'Species Codes'!B:I,8,0)+VLOOKUP(D1205,'Species Codes'!B:J,9,0)*(((E1205*2.54)/100)^2)*(I1205*0.3048)))))*0.0011023),0)</f>
        <v>#N/A</v>
      </c>
      <c r="AC1205" s="104" t="e">
        <f>IF(Z1205&gt;0,((IF(OR(D1205="RA",D1205="OA",D1205="OT",D1205="UN",D1205="PC"),EXP(VLOOKUP(D1205,'Species Codes'!B:O,14,0)+VLOOKUP(D1205,'Species Codes'!B:P,15,0)*LN((E1205*2.54)))-EXP(VLOOKUP(D1205,'Species Codes'!B:O,14,0)+VLOOKUP(D1205,'Species Codes'!B:P,15,0)*LN((E1205*2.54)))*(1/(VLOOKUP(D1205,'Species Codes'!B:Q,16,0)+VLOOKUP(D1205,'Species Codes'!B:R,17,0)*((E1205*2.54)^VLOOKUP(D1205,'Species Codes'!B:S,18,0)))),IF(OR(D1205="BM",D1205="MD",D1205="OA"),EXP(VLOOKUP(D1205,'Species Codes'!B:O,14,0)+VLOOKUP(D1205,'Species Codes'!B:P,15,0)*LN((E1205*2.54)))*(1-(1/(VLOOKUP(D1205,'Species Codes'!B:Q,16,0)+VLOOKUP(D1205,'Species Codes'!B:R,17,0)*((E1205*2.54)^VLOOKUP(D1205,'Species Codes'!B:S,18,0)))))/1000,IF(D1205="DF",EXP(VLOOKUP(D1205,'Species Codes'!B:O,14,0)+VLOOKUP(D1205,'Species Codes'!B:P,15,0)*LN((E1205*2.54))),VLOOKUP(D1205,'Species Codes'!B:O,14,0)+VLOOKUP(D1205,'Species Codes'!B:P,15,0)*(((E1205*2.54)/100)^2)*(I1205*0.3048)))))*0.0011023),0)</f>
        <v>#N/A</v>
      </c>
      <c r="AD1205" s="104" t="e">
        <f t="shared" si="544"/>
        <v>#N/A</v>
      </c>
      <c r="AE1205" s="104" t="e">
        <f t="shared" si="545"/>
        <v>#N/A</v>
      </c>
      <c r="AF1205" s="104" t="e">
        <f>IF(AND(VLOOKUP($D1205,Merchantability!$B:$C,2,0)="Yes",$E1205&gt;=VLOOKUP($D1205,Merchantability!$B:$D,3,0),$E1205&lt;=VLOOKUP($D1205,Merchantability!$B:$E,4,0)),AA1205,0)</f>
        <v>#N/A</v>
      </c>
      <c r="AG1205" s="104" t="e">
        <f>IF(AND(VLOOKUP($D1205,Merchantability!$B:$C,2,0)="Yes",$E1205&gt;=VLOOKUP($D1205,Merchantability!$B:$D,3,0),$E1205&lt;=VLOOKUP($D1205,Merchantability!$B:$E,4,0)),AB1205,0)</f>
        <v>#N/A</v>
      </c>
      <c r="AH1205" s="104" t="e">
        <f>IF(AND(VLOOKUP($D1205,Merchantability!$B:$C,2,0)="Yes",$E1205&gt;=VLOOKUP($D1205,Merchantability!$B:$D,3,0),$E1205&lt;=VLOOKUP($D1205,Merchantability!$B:$E,4,0)),AC1205,0)</f>
        <v>#N/A</v>
      </c>
      <c r="AI1205" s="104" t="e">
        <f t="shared" si="546"/>
        <v>#N/A</v>
      </c>
      <c r="AJ1205" s="104" t="e">
        <f t="shared" si="547"/>
        <v>#VALUE!</v>
      </c>
      <c r="AK1205" s="104" t="e">
        <f t="shared" si="548"/>
        <v>#N/A</v>
      </c>
      <c r="AL1205" s="104" t="e">
        <f t="shared" si="549"/>
        <v>#N/A</v>
      </c>
      <c r="AM1205" s="104" t="e">
        <f t="shared" si="550"/>
        <v>#N/A</v>
      </c>
      <c r="AN1205" s="104" t="e">
        <f t="shared" si="534"/>
        <v>#N/A</v>
      </c>
      <c r="AO1205" s="104" t="e">
        <f t="shared" si="535"/>
        <v>#N/A</v>
      </c>
      <c r="AP1205" s="104" t="e">
        <f t="shared" si="536"/>
        <v>#N/A</v>
      </c>
      <c r="AQ1205" s="104" t="e">
        <f t="shared" si="537"/>
        <v>#N/A</v>
      </c>
      <c r="AR1205" s="105" t="str">
        <f t="shared" si="529"/>
        <v/>
      </c>
      <c r="AS1205" s="105" t="str">
        <f t="shared" si="530"/>
        <v/>
      </c>
      <c r="AT1205" s="108" t="str">
        <f t="shared" si="531"/>
        <v/>
      </c>
      <c r="AU1205" s="108" t="str">
        <f t="shared" si="532"/>
        <v/>
      </c>
      <c r="AV1205" s="107" t="str">
        <f>IF(ISNUMBER(O1205),IF(VLOOKUP($A1205,Stand!C:J,8,FALSE)="Short",AT1205,AU1205),"")</f>
        <v/>
      </c>
      <c r="AW1205" s="109" t="str">
        <f t="shared" si="538"/>
        <v/>
      </c>
      <c r="AX1205" s="109" t="str">
        <f t="shared" si="539"/>
        <v/>
      </c>
      <c r="AY1205" s="112" t="str">
        <f>IF(ISNUMBER(O1205),IF(AND(VLOOKUP($D1205,Merchantability!$B:$C,2,0)="Yes",$E1205&gt;=VLOOKUP($D1205,Merchantability!$B:$D,3,0),$E1205&lt;=VLOOKUP($D1205,Merchantability!$B:$E,4,0)),(AV1205*O1205)*(1-$H1205/100),""),"")</f>
        <v/>
      </c>
      <c r="AZ1205" s="116"/>
      <c r="BA1205" s="116"/>
      <c r="BB1205" s="116"/>
      <c r="BE1205" s="62"/>
      <c r="BF1205" s="63"/>
    </row>
    <row r="1206" spans="1:58" ht="12.75" customHeight="1" x14ac:dyDescent="0.25">
      <c r="A1206" s="313"/>
      <c r="B1206" s="328"/>
      <c r="C1206" s="329"/>
      <c r="D1206" s="328"/>
      <c r="E1206" s="330"/>
      <c r="F1206" s="328"/>
      <c r="G1206" s="329"/>
      <c r="H1206" s="329"/>
      <c r="I1206" s="328"/>
      <c r="J1206" s="383"/>
      <c r="K1206" s="329"/>
      <c r="L1206" s="329"/>
      <c r="M1206" s="76"/>
      <c r="N1206" s="103" t="str">
        <f>IF(A1206="","",VLOOKUP(A1206,Stand!C:K,9,0))</f>
        <v/>
      </c>
      <c r="O1206" s="104" t="str">
        <f t="shared" si="524"/>
        <v/>
      </c>
      <c r="P1206" s="105" t="str">
        <f t="shared" si="525"/>
        <v/>
      </c>
      <c r="Q1206" s="105" t="str">
        <f t="shared" si="540"/>
        <v/>
      </c>
      <c r="R1206" s="103" t="str">
        <f t="shared" si="526"/>
        <v/>
      </c>
      <c r="S1206" s="103" t="str">
        <f t="shared" si="527"/>
        <v/>
      </c>
      <c r="T1206" s="106" t="str">
        <f t="shared" si="541"/>
        <v/>
      </c>
      <c r="U1206" s="106" t="str">
        <f t="shared" si="542"/>
        <v/>
      </c>
      <c r="V1206" s="106" t="str">
        <f t="shared" si="543"/>
        <v/>
      </c>
      <c r="W1206" s="105" t="str">
        <f t="shared" si="528"/>
        <v/>
      </c>
      <c r="X1206" s="104" t="str">
        <f t="shared" si="533"/>
        <v/>
      </c>
      <c r="Y1206" s="104" t="str">
        <f t="array" ref="Y1206">IFERROR(IF(ISNUMBER(O1206),IF(COUNT(IF(A1206=$A$2:$A$2427,IF(D1206=$D$2:$D$2427,IF($X$2:$X$2427&gt;0,1))))&gt;0,SUM(IF(A1206=$A$2:$A$2427,IF(D1206=$D$2:$D$2427,$X$2:$X$2427)))/COUNT(IF(A1206=$A$2:$A$2427,IF(D1206=$D$2:$D$2427,IF(ISNUMBER($X$2:$X$2427),1)))),0),""),0)</f>
        <v/>
      </c>
      <c r="Z1206" s="104" t="str">
        <f>IF(ISNUMBER(O1206),IF(I1206&gt;0,(10^(VLOOKUP(D1206,'Species Codes'!B:C,2,0)+VLOOKUP(D1206,'Species Codes'!B:D,3,0)*LOG(E1206)+VLOOKUP(D1206,'Species Codes'!B:E,4,0)*LOG(I1206))),0),"")</f>
        <v/>
      </c>
      <c r="AA1206" s="104" t="str">
        <f>IFERROR((VLOOKUP(D1206,'Species Codes'!B:G,6,0)*Z1206)/2000,"")</f>
        <v/>
      </c>
      <c r="AB1206" s="104" t="e">
        <f>IF(Z1206&gt;0,((IF(OR(D1206="DF",D1206="RA")=TRUE,EXP(VLOOKUP(D1206,'Species Codes'!B:I,8,0)+VLOOKUP(D1206,'Species Codes'!B:J,9,0)*(LN((E1206*2.54)))),IF(OR(D1206="PY",D1206="RC",D1206="WH",D1206="NF")=TRUE,VLOOKUP(D1206,'Species Codes'!B:I,8,0)+VLOOKUP(D1206,'Species Codes'!B:J,9,0)*((E1206*2.54)^2)*(I1206*0.3048),IF(OR(D1206="MD",D1206="BM",D1206="GA")=TRUE,((VLOOKUP(D1206,'Species Codes'!B:I,8,0)*(((((E1206*2.54)+VLOOKUP(D1206,'Species Codes'!B:J,9,0))/VLOOKUP(D1206,'Species Codes'!B:K,10,0))^VLOOKUP(D1206,'Species Codes'!B:L,11,0))*((I1206*0.3048)^VLOOKUP(D1206,'Species Codes'!B:M,12,0))))-(VLOOKUP(D1206,'Species Codes'!B:I,8,0)*((((E1206*2.54)^VLOOKUP(D1206,'Species Codes'!B:L,11,0))*((I1206*0.3048)^VLOOKUP(D1206,'Species Codes'!B:M,12,0))))))*35.3*VLOOKUP(D1206,'Species Codes'!B:G,6,0)/2.2046,VLOOKUP(D1206,'Species Codes'!B:I,8,0)+VLOOKUP(D1206,'Species Codes'!B:J,9,0)*(((E1206*2.54)/100)^2)*(I1206*0.3048)))))*0.0011023),0)</f>
        <v>#N/A</v>
      </c>
      <c r="AC1206" s="104" t="e">
        <f>IF(Z1206&gt;0,((IF(OR(D1206="RA",D1206="OA",D1206="OT",D1206="UN",D1206="PC"),EXP(VLOOKUP(D1206,'Species Codes'!B:O,14,0)+VLOOKUP(D1206,'Species Codes'!B:P,15,0)*LN((E1206*2.54)))-EXP(VLOOKUP(D1206,'Species Codes'!B:O,14,0)+VLOOKUP(D1206,'Species Codes'!B:P,15,0)*LN((E1206*2.54)))*(1/(VLOOKUP(D1206,'Species Codes'!B:Q,16,0)+VLOOKUP(D1206,'Species Codes'!B:R,17,0)*((E1206*2.54)^VLOOKUP(D1206,'Species Codes'!B:S,18,0)))),IF(OR(D1206="BM",D1206="MD",D1206="OA"),EXP(VLOOKUP(D1206,'Species Codes'!B:O,14,0)+VLOOKUP(D1206,'Species Codes'!B:P,15,0)*LN((E1206*2.54)))*(1-(1/(VLOOKUP(D1206,'Species Codes'!B:Q,16,0)+VLOOKUP(D1206,'Species Codes'!B:R,17,0)*((E1206*2.54)^VLOOKUP(D1206,'Species Codes'!B:S,18,0)))))/1000,IF(D1206="DF",EXP(VLOOKUP(D1206,'Species Codes'!B:O,14,0)+VLOOKUP(D1206,'Species Codes'!B:P,15,0)*LN((E1206*2.54))),VLOOKUP(D1206,'Species Codes'!B:O,14,0)+VLOOKUP(D1206,'Species Codes'!B:P,15,0)*(((E1206*2.54)/100)^2)*(I1206*0.3048)))))*0.0011023),0)</f>
        <v>#N/A</v>
      </c>
      <c r="AD1206" s="104" t="e">
        <f t="shared" si="544"/>
        <v>#N/A</v>
      </c>
      <c r="AE1206" s="104" t="e">
        <f t="shared" si="545"/>
        <v>#N/A</v>
      </c>
      <c r="AF1206" s="104" t="e">
        <f>IF(AND(VLOOKUP($D1206,Merchantability!$B:$C,2,0)="Yes",$E1206&gt;=VLOOKUP($D1206,Merchantability!$B:$D,3,0),$E1206&lt;=VLOOKUP($D1206,Merchantability!$B:$E,4,0)),AA1206,0)</f>
        <v>#N/A</v>
      </c>
      <c r="AG1206" s="104" t="e">
        <f>IF(AND(VLOOKUP($D1206,Merchantability!$B:$C,2,0)="Yes",$E1206&gt;=VLOOKUP($D1206,Merchantability!$B:$D,3,0),$E1206&lt;=VLOOKUP($D1206,Merchantability!$B:$E,4,0)),AB1206,0)</f>
        <v>#N/A</v>
      </c>
      <c r="AH1206" s="104" t="e">
        <f>IF(AND(VLOOKUP($D1206,Merchantability!$B:$C,2,0)="Yes",$E1206&gt;=VLOOKUP($D1206,Merchantability!$B:$D,3,0),$E1206&lt;=VLOOKUP($D1206,Merchantability!$B:$E,4,0)),AC1206,0)</f>
        <v>#N/A</v>
      </c>
      <c r="AI1206" s="104" t="e">
        <f t="shared" si="546"/>
        <v>#N/A</v>
      </c>
      <c r="AJ1206" s="104" t="e">
        <f t="shared" si="547"/>
        <v>#VALUE!</v>
      </c>
      <c r="AK1206" s="104" t="e">
        <f t="shared" si="548"/>
        <v>#N/A</v>
      </c>
      <c r="AL1206" s="104" t="e">
        <f t="shared" si="549"/>
        <v>#N/A</v>
      </c>
      <c r="AM1206" s="104" t="e">
        <f t="shared" si="550"/>
        <v>#N/A</v>
      </c>
      <c r="AN1206" s="104" t="e">
        <f t="shared" si="534"/>
        <v>#N/A</v>
      </c>
      <c r="AO1206" s="104" t="e">
        <f t="shared" si="535"/>
        <v>#N/A</v>
      </c>
      <c r="AP1206" s="104" t="e">
        <f t="shared" si="536"/>
        <v>#N/A</v>
      </c>
      <c r="AQ1206" s="104" t="e">
        <f t="shared" si="537"/>
        <v>#N/A</v>
      </c>
      <c r="AR1206" s="105" t="str">
        <f t="shared" si="529"/>
        <v/>
      </c>
      <c r="AS1206" s="105" t="str">
        <f t="shared" si="530"/>
        <v/>
      </c>
      <c r="AT1206" s="108" t="str">
        <f t="shared" si="531"/>
        <v/>
      </c>
      <c r="AU1206" s="108" t="str">
        <f t="shared" si="532"/>
        <v/>
      </c>
      <c r="AV1206" s="107" t="str">
        <f>IF(ISNUMBER(O1206),IF(VLOOKUP($A1206,Stand!C:J,8,FALSE)="Short",AT1206,AU1206),"")</f>
        <v/>
      </c>
      <c r="AW1206" s="109" t="str">
        <f t="shared" si="538"/>
        <v/>
      </c>
      <c r="AX1206" s="109" t="str">
        <f t="shared" si="539"/>
        <v/>
      </c>
      <c r="AY1206" s="112" t="str">
        <f>IF(ISNUMBER(O1206),IF(AND(VLOOKUP($D1206,Merchantability!$B:$C,2,0)="Yes",$E1206&gt;=VLOOKUP($D1206,Merchantability!$B:$D,3,0),$E1206&lt;=VLOOKUP($D1206,Merchantability!$B:$E,4,0)),(AV1206*O1206)*(1-$H1206/100),""),"")</f>
        <v/>
      </c>
      <c r="AZ1206" s="116"/>
      <c r="BA1206" s="116"/>
      <c r="BB1206" s="116"/>
      <c r="BE1206" s="62"/>
      <c r="BF1206" s="63"/>
    </row>
    <row r="1207" spans="1:58" ht="12.75" customHeight="1" x14ac:dyDescent="0.25">
      <c r="A1207" s="313"/>
      <c r="B1207" s="328"/>
      <c r="C1207" s="329"/>
      <c r="D1207" s="328"/>
      <c r="E1207" s="330"/>
      <c r="F1207" s="328"/>
      <c r="G1207" s="329"/>
      <c r="H1207" s="329"/>
      <c r="I1207" s="328"/>
      <c r="J1207" s="383"/>
      <c r="K1207" s="329"/>
      <c r="L1207" s="329"/>
      <c r="M1207" s="76"/>
      <c r="N1207" s="103" t="str">
        <f>IF(A1207="","",VLOOKUP(A1207,Stand!C:K,9,0))</f>
        <v/>
      </c>
      <c r="O1207" s="104" t="str">
        <f t="shared" si="524"/>
        <v/>
      </c>
      <c r="P1207" s="105" t="str">
        <f t="shared" si="525"/>
        <v/>
      </c>
      <c r="Q1207" s="105" t="str">
        <f t="shared" si="540"/>
        <v/>
      </c>
      <c r="R1207" s="103" t="str">
        <f t="shared" si="526"/>
        <v/>
      </c>
      <c r="S1207" s="103" t="str">
        <f t="shared" si="527"/>
        <v/>
      </c>
      <c r="T1207" s="106" t="str">
        <f t="shared" si="541"/>
        <v/>
      </c>
      <c r="U1207" s="106" t="str">
        <f t="shared" si="542"/>
        <v/>
      </c>
      <c r="V1207" s="106" t="str">
        <f t="shared" si="543"/>
        <v/>
      </c>
      <c r="W1207" s="105" t="str">
        <f t="shared" si="528"/>
        <v/>
      </c>
      <c r="X1207" s="104" t="str">
        <f t="shared" si="533"/>
        <v/>
      </c>
      <c r="Y1207" s="104" t="str">
        <f t="array" ref="Y1207">IFERROR(IF(ISNUMBER(O1207),IF(COUNT(IF(A1207=$A$2:$A$2427,IF(D1207=$D$2:$D$2427,IF($X$2:$X$2427&gt;0,1))))&gt;0,SUM(IF(A1207=$A$2:$A$2427,IF(D1207=$D$2:$D$2427,$X$2:$X$2427)))/COUNT(IF(A1207=$A$2:$A$2427,IF(D1207=$D$2:$D$2427,IF(ISNUMBER($X$2:$X$2427),1)))),0),""),0)</f>
        <v/>
      </c>
      <c r="Z1207" s="104" t="str">
        <f>IF(ISNUMBER(O1207),IF(I1207&gt;0,(10^(VLOOKUP(D1207,'Species Codes'!B:C,2,0)+VLOOKUP(D1207,'Species Codes'!B:D,3,0)*LOG(E1207)+VLOOKUP(D1207,'Species Codes'!B:E,4,0)*LOG(I1207))),0),"")</f>
        <v/>
      </c>
      <c r="AA1207" s="104" t="str">
        <f>IFERROR((VLOOKUP(D1207,'Species Codes'!B:G,6,0)*Z1207)/2000,"")</f>
        <v/>
      </c>
      <c r="AB1207" s="104" t="e">
        <f>IF(Z1207&gt;0,((IF(OR(D1207="DF",D1207="RA")=TRUE,EXP(VLOOKUP(D1207,'Species Codes'!B:I,8,0)+VLOOKUP(D1207,'Species Codes'!B:J,9,0)*(LN((E1207*2.54)))),IF(OR(D1207="PY",D1207="RC",D1207="WH",D1207="NF")=TRUE,VLOOKUP(D1207,'Species Codes'!B:I,8,0)+VLOOKUP(D1207,'Species Codes'!B:J,9,0)*((E1207*2.54)^2)*(I1207*0.3048),IF(OR(D1207="MD",D1207="BM",D1207="GA")=TRUE,((VLOOKUP(D1207,'Species Codes'!B:I,8,0)*(((((E1207*2.54)+VLOOKUP(D1207,'Species Codes'!B:J,9,0))/VLOOKUP(D1207,'Species Codes'!B:K,10,0))^VLOOKUP(D1207,'Species Codes'!B:L,11,0))*((I1207*0.3048)^VLOOKUP(D1207,'Species Codes'!B:M,12,0))))-(VLOOKUP(D1207,'Species Codes'!B:I,8,0)*((((E1207*2.54)^VLOOKUP(D1207,'Species Codes'!B:L,11,0))*((I1207*0.3048)^VLOOKUP(D1207,'Species Codes'!B:M,12,0))))))*35.3*VLOOKUP(D1207,'Species Codes'!B:G,6,0)/2.2046,VLOOKUP(D1207,'Species Codes'!B:I,8,0)+VLOOKUP(D1207,'Species Codes'!B:J,9,0)*(((E1207*2.54)/100)^2)*(I1207*0.3048)))))*0.0011023),0)</f>
        <v>#N/A</v>
      </c>
      <c r="AC1207" s="104" t="e">
        <f>IF(Z1207&gt;0,((IF(OR(D1207="RA",D1207="OA",D1207="OT",D1207="UN",D1207="PC"),EXP(VLOOKUP(D1207,'Species Codes'!B:O,14,0)+VLOOKUP(D1207,'Species Codes'!B:P,15,0)*LN((E1207*2.54)))-EXP(VLOOKUP(D1207,'Species Codes'!B:O,14,0)+VLOOKUP(D1207,'Species Codes'!B:P,15,0)*LN((E1207*2.54)))*(1/(VLOOKUP(D1207,'Species Codes'!B:Q,16,0)+VLOOKUP(D1207,'Species Codes'!B:R,17,0)*((E1207*2.54)^VLOOKUP(D1207,'Species Codes'!B:S,18,0)))),IF(OR(D1207="BM",D1207="MD",D1207="OA"),EXP(VLOOKUP(D1207,'Species Codes'!B:O,14,0)+VLOOKUP(D1207,'Species Codes'!B:P,15,0)*LN((E1207*2.54)))*(1-(1/(VLOOKUP(D1207,'Species Codes'!B:Q,16,0)+VLOOKUP(D1207,'Species Codes'!B:R,17,0)*((E1207*2.54)^VLOOKUP(D1207,'Species Codes'!B:S,18,0)))))/1000,IF(D1207="DF",EXP(VLOOKUP(D1207,'Species Codes'!B:O,14,0)+VLOOKUP(D1207,'Species Codes'!B:P,15,0)*LN((E1207*2.54))),VLOOKUP(D1207,'Species Codes'!B:O,14,0)+VLOOKUP(D1207,'Species Codes'!B:P,15,0)*(((E1207*2.54)/100)^2)*(I1207*0.3048)))))*0.0011023),0)</f>
        <v>#N/A</v>
      </c>
      <c r="AD1207" s="104" t="e">
        <f t="shared" si="544"/>
        <v>#N/A</v>
      </c>
      <c r="AE1207" s="104" t="e">
        <f t="shared" si="545"/>
        <v>#N/A</v>
      </c>
      <c r="AF1207" s="104" t="e">
        <f>IF(AND(VLOOKUP($D1207,Merchantability!$B:$C,2,0)="Yes",$E1207&gt;=VLOOKUP($D1207,Merchantability!$B:$D,3,0),$E1207&lt;=VLOOKUP($D1207,Merchantability!$B:$E,4,0)),AA1207,0)</f>
        <v>#N/A</v>
      </c>
      <c r="AG1207" s="104" t="e">
        <f>IF(AND(VLOOKUP($D1207,Merchantability!$B:$C,2,0)="Yes",$E1207&gt;=VLOOKUP($D1207,Merchantability!$B:$D,3,0),$E1207&lt;=VLOOKUP($D1207,Merchantability!$B:$E,4,0)),AB1207,0)</f>
        <v>#N/A</v>
      </c>
      <c r="AH1207" s="104" t="e">
        <f>IF(AND(VLOOKUP($D1207,Merchantability!$B:$C,2,0)="Yes",$E1207&gt;=VLOOKUP($D1207,Merchantability!$B:$D,3,0),$E1207&lt;=VLOOKUP($D1207,Merchantability!$B:$E,4,0)),AC1207,0)</f>
        <v>#N/A</v>
      </c>
      <c r="AI1207" s="104" t="e">
        <f t="shared" si="546"/>
        <v>#N/A</v>
      </c>
      <c r="AJ1207" s="104" t="e">
        <f t="shared" si="547"/>
        <v>#VALUE!</v>
      </c>
      <c r="AK1207" s="104" t="e">
        <f t="shared" si="548"/>
        <v>#N/A</v>
      </c>
      <c r="AL1207" s="104" t="e">
        <f t="shared" si="549"/>
        <v>#N/A</v>
      </c>
      <c r="AM1207" s="104" t="e">
        <f t="shared" si="550"/>
        <v>#N/A</v>
      </c>
      <c r="AN1207" s="104" t="e">
        <f t="shared" si="534"/>
        <v>#N/A</v>
      </c>
      <c r="AO1207" s="104" t="e">
        <f t="shared" si="535"/>
        <v>#N/A</v>
      </c>
      <c r="AP1207" s="104" t="e">
        <f t="shared" si="536"/>
        <v>#N/A</v>
      </c>
      <c r="AQ1207" s="104" t="e">
        <f t="shared" si="537"/>
        <v>#N/A</v>
      </c>
      <c r="AR1207" s="105" t="str">
        <f t="shared" si="529"/>
        <v/>
      </c>
      <c r="AS1207" s="105" t="str">
        <f t="shared" si="530"/>
        <v/>
      </c>
      <c r="AT1207" s="108" t="str">
        <f t="shared" si="531"/>
        <v/>
      </c>
      <c r="AU1207" s="108" t="str">
        <f t="shared" si="532"/>
        <v/>
      </c>
      <c r="AV1207" s="107" t="str">
        <f>IF(ISNUMBER(O1207),IF(VLOOKUP($A1207,Stand!C:J,8,FALSE)="Short",AT1207,AU1207),"")</f>
        <v/>
      </c>
      <c r="AW1207" s="109" t="str">
        <f t="shared" si="538"/>
        <v/>
      </c>
      <c r="AX1207" s="109" t="str">
        <f t="shared" si="539"/>
        <v/>
      </c>
      <c r="AY1207" s="112" t="str">
        <f>IF(ISNUMBER(O1207),IF(AND(VLOOKUP($D1207,Merchantability!$B:$C,2,0)="Yes",$E1207&gt;=VLOOKUP($D1207,Merchantability!$B:$D,3,0),$E1207&lt;=VLOOKUP($D1207,Merchantability!$B:$E,4,0)),(AV1207*O1207)*(1-$H1207/100),""),"")</f>
        <v/>
      </c>
      <c r="AZ1207" s="116"/>
      <c r="BA1207" s="116"/>
      <c r="BB1207" s="116"/>
      <c r="BE1207" s="62"/>
      <c r="BF1207" s="63"/>
    </row>
    <row r="1208" spans="1:58" ht="12.75" customHeight="1" x14ac:dyDescent="0.25">
      <c r="A1208" s="313"/>
      <c r="B1208" s="328"/>
      <c r="C1208" s="329"/>
      <c r="D1208" s="328"/>
      <c r="E1208" s="330"/>
      <c r="F1208" s="328"/>
      <c r="G1208" s="329"/>
      <c r="H1208" s="329"/>
      <c r="I1208" s="328"/>
      <c r="J1208" s="383"/>
      <c r="K1208" s="329"/>
      <c r="L1208" s="329"/>
      <c r="M1208" s="76"/>
      <c r="N1208" s="103" t="str">
        <f>IF(A1208="","",VLOOKUP(A1208,Stand!C:K,9,0))</f>
        <v/>
      </c>
      <c r="O1208" s="104" t="str">
        <f t="shared" si="524"/>
        <v/>
      </c>
      <c r="P1208" s="105" t="str">
        <f t="shared" si="525"/>
        <v/>
      </c>
      <c r="Q1208" s="105" t="str">
        <f t="shared" si="540"/>
        <v/>
      </c>
      <c r="R1208" s="103" t="str">
        <f t="shared" si="526"/>
        <v/>
      </c>
      <c r="S1208" s="103" t="str">
        <f t="shared" si="527"/>
        <v/>
      </c>
      <c r="T1208" s="106" t="str">
        <f t="shared" si="541"/>
        <v/>
      </c>
      <c r="U1208" s="106" t="str">
        <f t="shared" si="542"/>
        <v/>
      </c>
      <c r="V1208" s="106" t="str">
        <f t="shared" si="543"/>
        <v/>
      </c>
      <c r="W1208" s="105" t="str">
        <f t="shared" si="528"/>
        <v/>
      </c>
      <c r="X1208" s="104" t="str">
        <f t="shared" si="533"/>
        <v/>
      </c>
      <c r="Y1208" s="104" t="str">
        <f t="array" ref="Y1208">IFERROR(IF(ISNUMBER(O1208),IF(COUNT(IF(A1208=$A$2:$A$2427,IF(D1208=$D$2:$D$2427,IF($X$2:$X$2427&gt;0,1))))&gt;0,SUM(IF(A1208=$A$2:$A$2427,IF(D1208=$D$2:$D$2427,$X$2:$X$2427)))/COUNT(IF(A1208=$A$2:$A$2427,IF(D1208=$D$2:$D$2427,IF(ISNUMBER($X$2:$X$2427),1)))),0),""),0)</f>
        <v/>
      </c>
      <c r="Z1208" s="104" t="str">
        <f>IF(ISNUMBER(O1208),IF(I1208&gt;0,(10^(VLOOKUP(D1208,'Species Codes'!B:C,2,0)+VLOOKUP(D1208,'Species Codes'!B:D,3,0)*LOG(E1208)+VLOOKUP(D1208,'Species Codes'!B:E,4,0)*LOG(I1208))),0),"")</f>
        <v/>
      </c>
      <c r="AA1208" s="104" t="str">
        <f>IFERROR((VLOOKUP(D1208,'Species Codes'!B:G,6,0)*Z1208)/2000,"")</f>
        <v/>
      </c>
      <c r="AB1208" s="104" t="e">
        <f>IF(Z1208&gt;0,((IF(OR(D1208="DF",D1208="RA")=TRUE,EXP(VLOOKUP(D1208,'Species Codes'!B:I,8,0)+VLOOKUP(D1208,'Species Codes'!B:J,9,0)*(LN((E1208*2.54)))),IF(OR(D1208="PY",D1208="RC",D1208="WH",D1208="NF")=TRUE,VLOOKUP(D1208,'Species Codes'!B:I,8,0)+VLOOKUP(D1208,'Species Codes'!B:J,9,0)*((E1208*2.54)^2)*(I1208*0.3048),IF(OR(D1208="MD",D1208="BM",D1208="GA")=TRUE,((VLOOKUP(D1208,'Species Codes'!B:I,8,0)*(((((E1208*2.54)+VLOOKUP(D1208,'Species Codes'!B:J,9,0))/VLOOKUP(D1208,'Species Codes'!B:K,10,0))^VLOOKUP(D1208,'Species Codes'!B:L,11,0))*((I1208*0.3048)^VLOOKUP(D1208,'Species Codes'!B:M,12,0))))-(VLOOKUP(D1208,'Species Codes'!B:I,8,0)*((((E1208*2.54)^VLOOKUP(D1208,'Species Codes'!B:L,11,0))*((I1208*0.3048)^VLOOKUP(D1208,'Species Codes'!B:M,12,0))))))*35.3*VLOOKUP(D1208,'Species Codes'!B:G,6,0)/2.2046,VLOOKUP(D1208,'Species Codes'!B:I,8,0)+VLOOKUP(D1208,'Species Codes'!B:J,9,0)*(((E1208*2.54)/100)^2)*(I1208*0.3048)))))*0.0011023),0)</f>
        <v>#N/A</v>
      </c>
      <c r="AC1208" s="104" t="e">
        <f>IF(Z1208&gt;0,((IF(OR(D1208="RA",D1208="OA",D1208="OT",D1208="UN",D1208="PC"),EXP(VLOOKUP(D1208,'Species Codes'!B:O,14,0)+VLOOKUP(D1208,'Species Codes'!B:P,15,0)*LN((E1208*2.54)))-EXP(VLOOKUP(D1208,'Species Codes'!B:O,14,0)+VLOOKUP(D1208,'Species Codes'!B:P,15,0)*LN((E1208*2.54)))*(1/(VLOOKUP(D1208,'Species Codes'!B:Q,16,0)+VLOOKUP(D1208,'Species Codes'!B:R,17,0)*((E1208*2.54)^VLOOKUP(D1208,'Species Codes'!B:S,18,0)))),IF(OR(D1208="BM",D1208="MD",D1208="OA"),EXP(VLOOKUP(D1208,'Species Codes'!B:O,14,0)+VLOOKUP(D1208,'Species Codes'!B:P,15,0)*LN((E1208*2.54)))*(1-(1/(VLOOKUP(D1208,'Species Codes'!B:Q,16,0)+VLOOKUP(D1208,'Species Codes'!B:R,17,0)*((E1208*2.54)^VLOOKUP(D1208,'Species Codes'!B:S,18,0)))))/1000,IF(D1208="DF",EXP(VLOOKUP(D1208,'Species Codes'!B:O,14,0)+VLOOKUP(D1208,'Species Codes'!B:P,15,0)*LN((E1208*2.54))),VLOOKUP(D1208,'Species Codes'!B:O,14,0)+VLOOKUP(D1208,'Species Codes'!B:P,15,0)*(((E1208*2.54)/100)^2)*(I1208*0.3048)))))*0.0011023),0)</f>
        <v>#N/A</v>
      </c>
      <c r="AD1208" s="104" t="e">
        <f t="shared" si="544"/>
        <v>#N/A</v>
      </c>
      <c r="AE1208" s="104" t="e">
        <f t="shared" si="545"/>
        <v>#N/A</v>
      </c>
      <c r="AF1208" s="104" t="e">
        <f>IF(AND(VLOOKUP($D1208,Merchantability!$B:$C,2,0)="Yes",$E1208&gt;=VLOOKUP($D1208,Merchantability!$B:$D,3,0),$E1208&lt;=VLOOKUP($D1208,Merchantability!$B:$E,4,0)),AA1208,0)</f>
        <v>#N/A</v>
      </c>
      <c r="AG1208" s="104" t="e">
        <f>IF(AND(VLOOKUP($D1208,Merchantability!$B:$C,2,0)="Yes",$E1208&gt;=VLOOKUP($D1208,Merchantability!$B:$D,3,0),$E1208&lt;=VLOOKUP($D1208,Merchantability!$B:$E,4,0)),AB1208,0)</f>
        <v>#N/A</v>
      </c>
      <c r="AH1208" s="104" t="e">
        <f>IF(AND(VLOOKUP($D1208,Merchantability!$B:$C,2,0)="Yes",$E1208&gt;=VLOOKUP($D1208,Merchantability!$B:$D,3,0),$E1208&lt;=VLOOKUP($D1208,Merchantability!$B:$E,4,0)),AC1208,0)</f>
        <v>#N/A</v>
      </c>
      <c r="AI1208" s="104" t="e">
        <f t="shared" si="546"/>
        <v>#N/A</v>
      </c>
      <c r="AJ1208" s="104" t="e">
        <f t="shared" si="547"/>
        <v>#VALUE!</v>
      </c>
      <c r="AK1208" s="104" t="e">
        <f t="shared" si="548"/>
        <v>#N/A</v>
      </c>
      <c r="AL1208" s="104" t="e">
        <f t="shared" si="549"/>
        <v>#N/A</v>
      </c>
      <c r="AM1208" s="104" t="e">
        <f t="shared" si="550"/>
        <v>#N/A</v>
      </c>
      <c r="AN1208" s="104" t="e">
        <f t="shared" si="534"/>
        <v>#N/A</v>
      </c>
      <c r="AO1208" s="104" t="e">
        <f t="shared" si="535"/>
        <v>#N/A</v>
      </c>
      <c r="AP1208" s="104" t="e">
        <f t="shared" si="536"/>
        <v>#N/A</v>
      </c>
      <c r="AQ1208" s="104" t="e">
        <f t="shared" si="537"/>
        <v>#N/A</v>
      </c>
      <c r="AR1208" s="105" t="str">
        <f t="shared" si="529"/>
        <v/>
      </c>
      <c r="AS1208" s="105" t="str">
        <f t="shared" si="530"/>
        <v/>
      </c>
      <c r="AT1208" s="108" t="str">
        <f t="shared" si="531"/>
        <v/>
      </c>
      <c r="AU1208" s="108" t="str">
        <f t="shared" si="532"/>
        <v/>
      </c>
      <c r="AV1208" s="107" t="str">
        <f>IF(ISNUMBER(O1208),IF(VLOOKUP($A1208,Stand!C:J,8,FALSE)="Short",AT1208,AU1208),"")</f>
        <v/>
      </c>
      <c r="AW1208" s="109" t="str">
        <f t="shared" si="538"/>
        <v/>
      </c>
      <c r="AX1208" s="109" t="str">
        <f t="shared" si="539"/>
        <v/>
      </c>
      <c r="AY1208" s="112" t="str">
        <f>IF(ISNUMBER(O1208),IF(AND(VLOOKUP($D1208,Merchantability!$B:$C,2,0)="Yes",$E1208&gt;=VLOOKUP($D1208,Merchantability!$B:$D,3,0),$E1208&lt;=VLOOKUP($D1208,Merchantability!$B:$E,4,0)),(AV1208*O1208)*(1-$H1208/100),""),"")</f>
        <v/>
      </c>
      <c r="AZ1208" s="116"/>
      <c r="BA1208" s="116"/>
      <c r="BB1208" s="116"/>
      <c r="BE1208" s="62"/>
      <c r="BF1208" s="63"/>
    </row>
    <row r="1209" spans="1:58" ht="12.75" customHeight="1" x14ac:dyDescent="0.25">
      <c r="A1209" s="313"/>
      <c r="B1209" s="328"/>
      <c r="C1209" s="329"/>
      <c r="D1209" s="328"/>
      <c r="E1209" s="330"/>
      <c r="F1209" s="328"/>
      <c r="G1209" s="329"/>
      <c r="H1209" s="329"/>
      <c r="I1209" s="328"/>
      <c r="J1209" s="383"/>
      <c r="K1209" s="329"/>
      <c r="L1209" s="329"/>
      <c r="M1209" s="76"/>
      <c r="N1209" s="103" t="str">
        <f>IF(A1209="","",VLOOKUP(A1209,Stand!C:K,9,0))</f>
        <v/>
      </c>
      <c r="O1209" s="104" t="str">
        <f t="shared" si="524"/>
        <v/>
      </c>
      <c r="P1209" s="105" t="str">
        <f t="shared" si="525"/>
        <v/>
      </c>
      <c r="Q1209" s="105" t="str">
        <f t="shared" si="540"/>
        <v/>
      </c>
      <c r="R1209" s="103" t="str">
        <f t="shared" si="526"/>
        <v/>
      </c>
      <c r="S1209" s="103" t="str">
        <f t="shared" si="527"/>
        <v/>
      </c>
      <c r="T1209" s="106" t="str">
        <f t="shared" si="541"/>
        <v/>
      </c>
      <c r="U1209" s="106" t="str">
        <f t="shared" si="542"/>
        <v/>
      </c>
      <c r="V1209" s="106" t="str">
        <f t="shared" si="543"/>
        <v/>
      </c>
      <c r="W1209" s="105" t="str">
        <f t="shared" si="528"/>
        <v/>
      </c>
      <c r="X1209" s="104" t="str">
        <f t="shared" si="533"/>
        <v/>
      </c>
      <c r="Y1209" s="104" t="str">
        <f t="array" ref="Y1209">IFERROR(IF(ISNUMBER(O1209),IF(COUNT(IF(A1209=$A$2:$A$2427,IF(D1209=$D$2:$D$2427,IF($X$2:$X$2427&gt;0,1))))&gt;0,SUM(IF(A1209=$A$2:$A$2427,IF(D1209=$D$2:$D$2427,$X$2:$X$2427)))/COUNT(IF(A1209=$A$2:$A$2427,IF(D1209=$D$2:$D$2427,IF(ISNUMBER($X$2:$X$2427),1)))),0),""),0)</f>
        <v/>
      </c>
      <c r="Z1209" s="104" t="str">
        <f>IF(ISNUMBER(O1209),IF(I1209&gt;0,(10^(VLOOKUP(D1209,'Species Codes'!B:C,2,0)+VLOOKUP(D1209,'Species Codes'!B:D,3,0)*LOG(E1209)+VLOOKUP(D1209,'Species Codes'!B:E,4,0)*LOG(I1209))),0),"")</f>
        <v/>
      </c>
      <c r="AA1209" s="104" t="str">
        <f>IFERROR((VLOOKUP(D1209,'Species Codes'!B:G,6,0)*Z1209)/2000,"")</f>
        <v/>
      </c>
      <c r="AB1209" s="104" t="e">
        <f>IF(Z1209&gt;0,((IF(OR(D1209="DF",D1209="RA")=TRUE,EXP(VLOOKUP(D1209,'Species Codes'!B:I,8,0)+VLOOKUP(D1209,'Species Codes'!B:J,9,0)*(LN((E1209*2.54)))),IF(OR(D1209="PY",D1209="RC",D1209="WH",D1209="NF")=TRUE,VLOOKUP(D1209,'Species Codes'!B:I,8,0)+VLOOKUP(D1209,'Species Codes'!B:J,9,0)*((E1209*2.54)^2)*(I1209*0.3048),IF(OR(D1209="MD",D1209="BM",D1209="GA")=TRUE,((VLOOKUP(D1209,'Species Codes'!B:I,8,0)*(((((E1209*2.54)+VLOOKUP(D1209,'Species Codes'!B:J,9,0))/VLOOKUP(D1209,'Species Codes'!B:K,10,0))^VLOOKUP(D1209,'Species Codes'!B:L,11,0))*((I1209*0.3048)^VLOOKUP(D1209,'Species Codes'!B:M,12,0))))-(VLOOKUP(D1209,'Species Codes'!B:I,8,0)*((((E1209*2.54)^VLOOKUP(D1209,'Species Codes'!B:L,11,0))*((I1209*0.3048)^VLOOKUP(D1209,'Species Codes'!B:M,12,0))))))*35.3*VLOOKUP(D1209,'Species Codes'!B:G,6,0)/2.2046,VLOOKUP(D1209,'Species Codes'!B:I,8,0)+VLOOKUP(D1209,'Species Codes'!B:J,9,0)*(((E1209*2.54)/100)^2)*(I1209*0.3048)))))*0.0011023),0)</f>
        <v>#N/A</v>
      </c>
      <c r="AC1209" s="104" t="e">
        <f>IF(Z1209&gt;0,((IF(OR(D1209="RA",D1209="OA",D1209="OT",D1209="UN",D1209="PC"),EXP(VLOOKUP(D1209,'Species Codes'!B:O,14,0)+VLOOKUP(D1209,'Species Codes'!B:P,15,0)*LN((E1209*2.54)))-EXP(VLOOKUP(D1209,'Species Codes'!B:O,14,0)+VLOOKUP(D1209,'Species Codes'!B:P,15,0)*LN((E1209*2.54)))*(1/(VLOOKUP(D1209,'Species Codes'!B:Q,16,0)+VLOOKUP(D1209,'Species Codes'!B:R,17,0)*((E1209*2.54)^VLOOKUP(D1209,'Species Codes'!B:S,18,0)))),IF(OR(D1209="BM",D1209="MD",D1209="OA"),EXP(VLOOKUP(D1209,'Species Codes'!B:O,14,0)+VLOOKUP(D1209,'Species Codes'!B:P,15,0)*LN((E1209*2.54)))*(1-(1/(VLOOKUP(D1209,'Species Codes'!B:Q,16,0)+VLOOKUP(D1209,'Species Codes'!B:R,17,0)*((E1209*2.54)^VLOOKUP(D1209,'Species Codes'!B:S,18,0)))))/1000,IF(D1209="DF",EXP(VLOOKUP(D1209,'Species Codes'!B:O,14,0)+VLOOKUP(D1209,'Species Codes'!B:P,15,0)*LN((E1209*2.54))),VLOOKUP(D1209,'Species Codes'!B:O,14,0)+VLOOKUP(D1209,'Species Codes'!B:P,15,0)*(((E1209*2.54)/100)^2)*(I1209*0.3048)))))*0.0011023),0)</f>
        <v>#N/A</v>
      </c>
      <c r="AD1209" s="104" t="e">
        <f t="shared" si="544"/>
        <v>#N/A</v>
      </c>
      <c r="AE1209" s="104" t="e">
        <f t="shared" si="545"/>
        <v>#N/A</v>
      </c>
      <c r="AF1209" s="104" t="e">
        <f>IF(AND(VLOOKUP($D1209,Merchantability!$B:$C,2,0)="Yes",$E1209&gt;=VLOOKUP($D1209,Merchantability!$B:$D,3,0),$E1209&lt;=VLOOKUP($D1209,Merchantability!$B:$E,4,0)),AA1209,0)</f>
        <v>#N/A</v>
      </c>
      <c r="AG1209" s="104" t="e">
        <f>IF(AND(VLOOKUP($D1209,Merchantability!$B:$C,2,0)="Yes",$E1209&gt;=VLOOKUP($D1209,Merchantability!$B:$D,3,0),$E1209&lt;=VLOOKUP($D1209,Merchantability!$B:$E,4,0)),AB1209,0)</f>
        <v>#N/A</v>
      </c>
      <c r="AH1209" s="104" t="e">
        <f>IF(AND(VLOOKUP($D1209,Merchantability!$B:$C,2,0)="Yes",$E1209&gt;=VLOOKUP($D1209,Merchantability!$B:$D,3,0),$E1209&lt;=VLOOKUP($D1209,Merchantability!$B:$E,4,0)),AC1209,0)</f>
        <v>#N/A</v>
      </c>
      <c r="AI1209" s="104" t="e">
        <f t="shared" si="546"/>
        <v>#N/A</v>
      </c>
      <c r="AJ1209" s="104" t="e">
        <f t="shared" si="547"/>
        <v>#VALUE!</v>
      </c>
      <c r="AK1209" s="104" t="e">
        <f t="shared" si="548"/>
        <v>#N/A</v>
      </c>
      <c r="AL1209" s="104" t="e">
        <f t="shared" si="549"/>
        <v>#N/A</v>
      </c>
      <c r="AM1209" s="104" t="e">
        <f t="shared" si="550"/>
        <v>#N/A</v>
      </c>
      <c r="AN1209" s="104" t="e">
        <f t="shared" si="534"/>
        <v>#N/A</v>
      </c>
      <c r="AO1209" s="104" t="e">
        <f t="shared" si="535"/>
        <v>#N/A</v>
      </c>
      <c r="AP1209" s="104" t="e">
        <f t="shared" si="536"/>
        <v>#N/A</v>
      </c>
      <c r="AQ1209" s="104" t="e">
        <f t="shared" si="537"/>
        <v>#N/A</v>
      </c>
      <c r="AR1209" s="105" t="str">
        <f t="shared" si="529"/>
        <v/>
      </c>
      <c r="AS1209" s="105" t="str">
        <f t="shared" si="530"/>
        <v/>
      </c>
      <c r="AT1209" s="108" t="str">
        <f t="shared" si="531"/>
        <v/>
      </c>
      <c r="AU1209" s="108" t="str">
        <f t="shared" si="532"/>
        <v/>
      </c>
      <c r="AV1209" s="107" t="str">
        <f>IF(ISNUMBER(O1209),IF(VLOOKUP($A1209,Stand!C:J,8,FALSE)="Short",AT1209,AU1209),"")</f>
        <v/>
      </c>
      <c r="AW1209" s="109" t="str">
        <f t="shared" si="538"/>
        <v/>
      </c>
      <c r="AX1209" s="109" t="str">
        <f t="shared" si="539"/>
        <v/>
      </c>
      <c r="AY1209" s="112" t="str">
        <f>IF(ISNUMBER(O1209),IF(AND(VLOOKUP($D1209,Merchantability!$B:$C,2,0)="Yes",$E1209&gt;=VLOOKUP($D1209,Merchantability!$B:$D,3,0),$E1209&lt;=VLOOKUP($D1209,Merchantability!$B:$E,4,0)),(AV1209*O1209)*(1-$H1209/100),""),"")</f>
        <v/>
      </c>
      <c r="AZ1209" s="116"/>
      <c r="BA1209" s="116"/>
      <c r="BB1209" s="116"/>
      <c r="BE1209" s="62"/>
      <c r="BF1209" s="63"/>
    </row>
    <row r="1210" spans="1:58" ht="12.75" customHeight="1" x14ac:dyDescent="0.25">
      <c r="A1210" s="313"/>
      <c r="B1210" s="328"/>
      <c r="C1210" s="329"/>
      <c r="D1210" s="328"/>
      <c r="E1210" s="330"/>
      <c r="F1210" s="328"/>
      <c r="G1210" s="329"/>
      <c r="H1210" s="329"/>
      <c r="I1210" s="328"/>
      <c r="J1210" s="383"/>
      <c r="K1210" s="329"/>
      <c r="L1210" s="329"/>
      <c r="M1210" s="76"/>
      <c r="N1210" s="103" t="str">
        <f>IF(A1210="","",VLOOKUP(A1210,Stand!C:K,9,0))</f>
        <v/>
      </c>
      <c r="O1210" s="104" t="str">
        <f t="shared" si="524"/>
        <v/>
      </c>
      <c r="P1210" s="105" t="str">
        <f t="shared" si="525"/>
        <v/>
      </c>
      <c r="Q1210" s="105" t="str">
        <f t="shared" si="540"/>
        <v/>
      </c>
      <c r="R1210" s="103" t="str">
        <f t="shared" si="526"/>
        <v/>
      </c>
      <c r="S1210" s="103" t="str">
        <f t="shared" si="527"/>
        <v/>
      </c>
      <c r="T1210" s="106" t="str">
        <f t="shared" si="541"/>
        <v/>
      </c>
      <c r="U1210" s="106" t="str">
        <f t="shared" si="542"/>
        <v/>
      </c>
      <c r="V1210" s="106" t="str">
        <f t="shared" si="543"/>
        <v/>
      </c>
      <c r="W1210" s="105" t="str">
        <f t="shared" si="528"/>
        <v/>
      </c>
      <c r="X1210" s="104" t="str">
        <f t="shared" si="533"/>
        <v/>
      </c>
      <c r="Y1210" s="104" t="str">
        <f t="array" ref="Y1210">IFERROR(IF(ISNUMBER(O1210),IF(COUNT(IF(A1210=$A$2:$A$2427,IF(D1210=$D$2:$D$2427,IF($X$2:$X$2427&gt;0,1))))&gt;0,SUM(IF(A1210=$A$2:$A$2427,IF(D1210=$D$2:$D$2427,$X$2:$X$2427)))/COUNT(IF(A1210=$A$2:$A$2427,IF(D1210=$D$2:$D$2427,IF(ISNUMBER($X$2:$X$2427),1)))),0),""),0)</f>
        <v/>
      </c>
      <c r="Z1210" s="104" t="str">
        <f>IF(ISNUMBER(O1210),IF(I1210&gt;0,(10^(VLOOKUP(D1210,'Species Codes'!B:C,2,0)+VLOOKUP(D1210,'Species Codes'!B:D,3,0)*LOG(E1210)+VLOOKUP(D1210,'Species Codes'!B:E,4,0)*LOG(I1210))),0),"")</f>
        <v/>
      </c>
      <c r="AA1210" s="104" t="str">
        <f>IFERROR((VLOOKUP(D1210,'Species Codes'!B:G,6,0)*Z1210)/2000,"")</f>
        <v/>
      </c>
      <c r="AB1210" s="104" t="e">
        <f>IF(Z1210&gt;0,((IF(OR(D1210="DF",D1210="RA")=TRUE,EXP(VLOOKUP(D1210,'Species Codes'!B:I,8,0)+VLOOKUP(D1210,'Species Codes'!B:J,9,0)*(LN((E1210*2.54)))),IF(OR(D1210="PY",D1210="RC",D1210="WH",D1210="NF")=TRUE,VLOOKUP(D1210,'Species Codes'!B:I,8,0)+VLOOKUP(D1210,'Species Codes'!B:J,9,0)*((E1210*2.54)^2)*(I1210*0.3048),IF(OR(D1210="MD",D1210="BM",D1210="GA")=TRUE,((VLOOKUP(D1210,'Species Codes'!B:I,8,0)*(((((E1210*2.54)+VLOOKUP(D1210,'Species Codes'!B:J,9,0))/VLOOKUP(D1210,'Species Codes'!B:K,10,0))^VLOOKUP(D1210,'Species Codes'!B:L,11,0))*((I1210*0.3048)^VLOOKUP(D1210,'Species Codes'!B:M,12,0))))-(VLOOKUP(D1210,'Species Codes'!B:I,8,0)*((((E1210*2.54)^VLOOKUP(D1210,'Species Codes'!B:L,11,0))*((I1210*0.3048)^VLOOKUP(D1210,'Species Codes'!B:M,12,0))))))*35.3*VLOOKUP(D1210,'Species Codes'!B:G,6,0)/2.2046,VLOOKUP(D1210,'Species Codes'!B:I,8,0)+VLOOKUP(D1210,'Species Codes'!B:J,9,0)*(((E1210*2.54)/100)^2)*(I1210*0.3048)))))*0.0011023),0)</f>
        <v>#N/A</v>
      </c>
      <c r="AC1210" s="104" t="e">
        <f>IF(Z1210&gt;0,((IF(OR(D1210="RA",D1210="OA",D1210="OT",D1210="UN",D1210="PC"),EXP(VLOOKUP(D1210,'Species Codes'!B:O,14,0)+VLOOKUP(D1210,'Species Codes'!B:P,15,0)*LN((E1210*2.54)))-EXP(VLOOKUP(D1210,'Species Codes'!B:O,14,0)+VLOOKUP(D1210,'Species Codes'!B:P,15,0)*LN((E1210*2.54)))*(1/(VLOOKUP(D1210,'Species Codes'!B:Q,16,0)+VLOOKUP(D1210,'Species Codes'!B:R,17,0)*((E1210*2.54)^VLOOKUP(D1210,'Species Codes'!B:S,18,0)))),IF(OR(D1210="BM",D1210="MD",D1210="OA"),EXP(VLOOKUP(D1210,'Species Codes'!B:O,14,0)+VLOOKUP(D1210,'Species Codes'!B:P,15,0)*LN((E1210*2.54)))*(1-(1/(VLOOKUP(D1210,'Species Codes'!B:Q,16,0)+VLOOKUP(D1210,'Species Codes'!B:R,17,0)*((E1210*2.54)^VLOOKUP(D1210,'Species Codes'!B:S,18,0)))))/1000,IF(D1210="DF",EXP(VLOOKUP(D1210,'Species Codes'!B:O,14,0)+VLOOKUP(D1210,'Species Codes'!B:P,15,0)*LN((E1210*2.54))),VLOOKUP(D1210,'Species Codes'!B:O,14,0)+VLOOKUP(D1210,'Species Codes'!B:P,15,0)*(((E1210*2.54)/100)^2)*(I1210*0.3048)))))*0.0011023),0)</f>
        <v>#N/A</v>
      </c>
      <c r="AD1210" s="104" t="e">
        <f t="shared" si="544"/>
        <v>#N/A</v>
      </c>
      <c r="AE1210" s="104" t="e">
        <f t="shared" si="545"/>
        <v>#N/A</v>
      </c>
      <c r="AF1210" s="104" t="e">
        <f>IF(AND(VLOOKUP($D1210,Merchantability!$B:$C,2,0)="Yes",$E1210&gt;=VLOOKUP($D1210,Merchantability!$B:$D,3,0),$E1210&lt;=VLOOKUP($D1210,Merchantability!$B:$E,4,0)),AA1210,0)</f>
        <v>#N/A</v>
      </c>
      <c r="AG1210" s="104" t="e">
        <f>IF(AND(VLOOKUP($D1210,Merchantability!$B:$C,2,0)="Yes",$E1210&gt;=VLOOKUP($D1210,Merchantability!$B:$D,3,0),$E1210&lt;=VLOOKUP($D1210,Merchantability!$B:$E,4,0)),AB1210,0)</f>
        <v>#N/A</v>
      </c>
      <c r="AH1210" s="104" t="e">
        <f>IF(AND(VLOOKUP($D1210,Merchantability!$B:$C,2,0)="Yes",$E1210&gt;=VLOOKUP($D1210,Merchantability!$B:$D,3,0),$E1210&lt;=VLOOKUP($D1210,Merchantability!$B:$E,4,0)),AC1210,0)</f>
        <v>#N/A</v>
      </c>
      <c r="AI1210" s="104" t="e">
        <f t="shared" si="546"/>
        <v>#N/A</v>
      </c>
      <c r="AJ1210" s="104" t="e">
        <f t="shared" si="547"/>
        <v>#VALUE!</v>
      </c>
      <c r="AK1210" s="104" t="e">
        <f t="shared" si="548"/>
        <v>#N/A</v>
      </c>
      <c r="AL1210" s="104" t="e">
        <f t="shared" si="549"/>
        <v>#N/A</v>
      </c>
      <c r="AM1210" s="104" t="e">
        <f t="shared" si="550"/>
        <v>#N/A</v>
      </c>
      <c r="AN1210" s="104" t="e">
        <f t="shared" si="534"/>
        <v>#N/A</v>
      </c>
      <c r="AO1210" s="104" t="e">
        <f t="shared" si="535"/>
        <v>#N/A</v>
      </c>
      <c r="AP1210" s="104" t="e">
        <f t="shared" si="536"/>
        <v>#N/A</v>
      </c>
      <c r="AQ1210" s="104" t="e">
        <f t="shared" si="537"/>
        <v>#N/A</v>
      </c>
      <c r="AR1210" s="105" t="str">
        <f t="shared" si="529"/>
        <v/>
      </c>
      <c r="AS1210" s="105" t="str">
        <f t="shared" si="530"/>
        <v/>
      </c>
      <c r="AT1210" s="108" t="str">
        <f t="shared" si="531"/>
        <v/>
      </c>
      <c r="AU1210" s="108" t="str">
        <f t="shared" si="532"/>
        <v/>
      </c>
      <c r="AV1210" s="107" t="str">
        <f>IF(ISNUMBER(O1210),IF(VLOOKUP($A1210,Stand!C:J,8,FALSE)="Short",AT1210,AU1210),"")</f>
        <v/>
      </c>
      <c r="AW1210" s="109" t="str">
        <f t="shared" si="538"/>
        <v/>
      </c>
      <c r="AX1210" s="109" t="str">
        <f t="shared" si="539"/>
        <v/>
      </c>
      <c r="AY1210" s="112" t="str">
        <f>IF(ISNUMBER(O1210),IF(AND(VLOOKUP($D1210,Merchantability!$B:$C,2,0)="Yes",$E1210&gt;=VLOOKUP($D1210,Merchantability!$B:$D,3,0),$E1210&lt;=VLOOKUP($D1210,Merchantability!$B:$E,4,0)),(AV1210*O1210)*(1-$H1210/100),""),"")</f>
        <v/>
      </c>
      <c r="AZ1210" s="116"/>
      <c r="BA1210" s="116"/>
      <c r="BB1210" s="116"/>
      <c r="BE1210" s="62"/>
      <c r="BF1210" s="63"/>
    </row>
    <row r="1211" spans="1:58" ht="12.75" customHeight="1" x14ac:dyDescent="0.25">
      <c r="A1211" s="313"/>
      <c r="B1211" s="328"/>
      <c r="C1211" s="329"/>
      <c r="D1211" s="328"/>
      <c r="E1211" s="330"/>
      <c r="F1211" s="328"/>
      <c r="G1211" s="329"/>
      <c r="H1211" s="329"/>
      <c r="I1211" s="328"/>
      <c r="J1211" s="383"/>
      <c r="K1211" s="329"/>
      <c r="L1211" s="329"/>
      <c r="M1211" s="76"/>
      <c r="N1211" s="103" t="str">
        <f>IF(A1211="","",VLOOKUP(A1211,Stand!C:K,9,0))</f>
        <v/>
      </c>
      <c r="O1211" s="104" t="str">
        <f t="shared" si="524"/>
        <v/>
      </c>
      <c r="P1211" s="105" t="str">
        <f t="shared" si="525"/>
        <v/>
      </c>
      <c r="Q1211" s="105" t="str">
        <f t="shared" si="540"/>
        <v/>
      </c>
      <c r="R1211" s="103" t="str">
        <f t="shared" si="526"/>
        <v/>
      </c>
      <c r="S1211" s="103" t="str">
        <f t="shared" si="527"/>
        <v/>
      </c>
      <c r="T1211" s="106" t="str">
        <f t="shared" si="541"/>
        <v/>
      </c>
      <c r="U1211" s="106" t="str">
        <f t="shared" si="542"/>
        <v/>
      </c>
      <c r="V1211" s="106" t="str">
        <f t="shared" si="543"/>
        <v/>
      </c>
      <c r="W1211" s="105" t="str">
        <f t="shared" si="528"/>
        <v/>
      </c>
      <c r="X1211" s="104" t="str">
        <f t="shared" si="533"/>
        <v/>
      </c>
      <c r="Y1211" s="104" t="str">
        <f t="array" ref="Y1211">IFERROR(IF(ISNUMBER(O1211),IF(COUNT(IF(A1211=$A$2:$A$2427,IF(D1211=$D$2:$D$2427,IF($X$2:$X$2427&gt;0,1))))&gt;0,SUM(IF(A1211=$A$2:$A$2427,IF(D1211=$D$2:$D$2427,$X$2:$X$2427)))/COUNT(IF(A1211=$A$2:$A$2427,IF(D1211=$D$2:$D$2427,IF(ISNUMBER($X$2:$X$2427),1)))),0),""),0)</f>
        <v/>
      </c>
      <c r="Z1211" s="104" t="str">
        <f>IF(ISNUMBER(O1211),IF(I1211&gt;0,(10^(VLOOKUP(D1211,'Species Codes'!B:C,2,0)+VLOOKUP(D1211,'Species Codes'!B:D,3,0)*LOG(E1211)+VLOOKUP(D1211,'Species Codes'!B:E,4,0)*LOG(I1211))),0),"")</f>
        <v/>
      </c>
      <c r="AA1211" s="104" t="str">
        <f>IFERROR((VLOOKUP(D1211,'Species Codes'!B:G,6,0)*Z1211)/2000,"")</f>
        <v/>
      </c>
      <c r="AB1211" s="104" t="e">
        <f>IF(Z1211&gt;0,((IF(OR(D1211="DF",D1211="RA")=TRUE,EXP(VLOOKUP(D1211,'Species Codes'!B:I,8,0)+VLOOKUP(D1211,'Species Codes'!B:J,9,0)*(LN((E1211*2.54)))),IF(OR(D1211="PY",D1211="RC",D1211="WH",D1211="NF")=TRUE,VLOOKUP(D1211,'Species Codes'!B:I,8,0)+VLOOKUP(D1211,'Species Codes'!B:J,9,0)*((E1211*2.54)^2)*(I1211*0.3048),IF(OR(D1211="MD",D1211="BM",D1211="GA")=TRUE,((VLOOKUP(D1211,'Species Codes'!B:I,8,0)*(((((E1211*2.54)+VLOOKUP(D1211,'Species Codes'!B:J,9,0))/VLOOKUP(D1211,'Species Codes'!B:K,10,0))^VLOOKUP(D1211,'Species Codes'!B:L,11,0))*((I1211*0.3048)^VLOOKUP(D1211,'Species Codes'!B:M,12,0))))-(VLOOKUP(D1211,'Species Codes'!B:I,8,0)*((((E1211*2.54)^VLOOKUP(D1211,'Species Codes'!B:L,11,0))*((I1211*0.3048)^VLOOKUP(D1211,'Species Codes'!B:M,12,0))))))*35.3*VLOOKUP(D1211,'Species Codes'!B:G,6,0)/2.2046,VLOOKUP(D1211,'Species Codes'!B:I,8,0)+VLOOKUP(D1211,'Species Codes'!B:J,9,0)*(((E1211*2.54)/100)^2)*(I1211*0.3048)))))*0.0011023),0)</f>
        <v>#N/A</v>
      </c>
      <c r="AC1211" s="104" t="e">
        <f>IF(Z1211&gt;0,((IF(OR(D1211="RA",D1211="OA",D1211="OT",D1211="UN",D1211="PC"),EXP(VLOOKUP(D1211,'Species Codes'!B:O,14,0)+VLOOKUP(D1211,'Species Codes'!B:P,15,0)*LN((E1211*2.54)))-EXP(VLOOKUP(D1211,'Species Codes'!B:O,14,0)+VLOOKUP(D1211,'Species Codes'!B:P,15,0)*LN((E1211*2.54)))*(1/(VLOOKUP(D1211,'Species Codes'!B:Q,16,0)+VLOOKUP(D1211,'Species Codes'!B:R,17,0)*((E1211*2.54)^VLOOKUP(D1211,'Species Codes'!B:S,18,0)))),IF(OR(D1211="BM",D1211="MD",D1211="OA"),EXP(VLOOKUP(D1211,'Species Codes'!B:O,14,0)+VLOOKUP(D1211,'Species Codes'!B:P,15,0)*LN((E1211*2.54)))*(1-(1/(VLOOKUP(D1211,'Species Codes'!B:Q,16,0)+VLOOKUP(D1211,'Species Codes'!B:R,17,0)*((E1211*2.54)^VLOOKUP(D1211,'Species Codes'!B:S,18,0)))))/1000,IF(D1211="DF",EXP(VLOOKUP(D1211,'Species Codes'!B:O,14,0)+VLOOKUP(D1211,'Species Codes'!B:P,15,0)*LN((E1211*2.54))),VLOOKUP(D1211,'Species Codes'!B:O,14,0)+VLOOKUP(D1211,'Species Codes'!B:P,15,0)*(((E1211*2.54)/100)^2)*(I1211*0.3048)))))*0.0011023),0)</f>
        <v>#N/A</v>
      </c>
      <c r="AD1211" s="104" t="e">
        <f t="shared" si="544"/>
        <v>#N/A</v>
      </c>
      <c r="AE1211" s="104" t="e">
        <f t="shared" si="545"/>
        <v>#N/A</v>
      </c>
      <c r="AF1211" s="104" t="e">
        <f>IF(AND(VLOOKUP($D1211,Merchantability!$B:$C,2,0)="Yes",$E1211&gt;=VLOOKUP($D1211,Merchantability!$B:$D,3,0),$E1211&lt;=VLOOKUP($D1211,Merchantability!$B:$E,4,0)),AA1211,0)</f>
        <v>#N/A</v>
      </c>
      <c r="AG1211" s="104" t="e">
        <f>IF(AND(VLOOKUP($D1211,Merchantability!$B:$C,2,0)="Yes",$E1211&gt;=VLOOKUP($D1211,Merchantability!$B:$D,3,0),$E1211&lt;=VLOOKUP($D1211,Merchantability!$B:$E,4,0)),AB1211,0)</f>
        <v>#N/A</v>
      </c>
      <c r="AH1211" s="104" t="e">
        <f>IF(AND(VLOOKUP($D1211,Merchantability!$B:$C,2,0)="Yes",$E1211&gt;=VLOOKUP($D1211,Merchantability!$B:$D,3,0),$E1211&lt;=VLOOKUP($D1211,Merchantability!$B:$E,4,0)),AC1211,0)</f>
        <v>#N/A</v>
      </c>
      <c r="AI1211" s="104" t="e">
        <f t="shared" si="546"/>
        <v>#N/A</v>
      </c>
      <c r="AJ1211" s="104" t="e">
        <f t="shared" si="547"/>
        <v>#VALUE!</v>
      </c>
      <c r="AK1211" s="104" t="e">
        <f t="shared" si="548"/>
        <v>#N/A</v>
      </c>
      <c r="AL1211" s="104" t="e">
        <f t="shared" si="549"/>
        <v>#N/A</v>
      </c>
      <c r="AM1211" s="104" t="e">
        <f t="shared" si="550"/>
        <v>#N/A</v>
      </c>
      <c r="AN1211" s="104" t="e">
        <f t="shared" si="534"/>
        <v>#N/A</v>
      </c>
      <c r="AO1211" s="104" t="e">
        <f t="shared" si="535"/>
        <v>#N/A</v>
      </c>
      <c r="AP1211" s="104" t="e">
        <f t="shared" si="536"/>
        <v>#N/A</v>
      </c>
      <c r="AQ1211" s="104" t="e">
        <f t="shared" si="537"/>
        <v>#N/A</v>
      </c>
      <c r="AR1211" s="105" t="str">
        <f t="shared" si="529"/>
        <v/>
      </c>
      <c r="AS1211" s="105" t="str">
        <f t="shared" si="530"/>
        <v/>
      </c>
      <c r="AT1211" s="108" t="str">
        <f t="shared" si="531"/>
        <v/>
      </c>
      <c r="AU1211" s="108" t="str">
        <f t="shared" si="532"/>
        <v/>
      </c>
      <c r="AV1211" s="107" t="str">
        <f>IF(ISNUMBER(O1211),IF(VLOOKUP($A1211,Stand!C:J,8,FALSE)="Short",AT1211,AU1211),"")</f>
        <v/>
      </c>
      <c r="AW1211" s="109" t="str">
        <f t="shared" si="538"/>
        <v/>
      </c>
      <c r="AX1211" s="109" t="str">
        <f t="shared" si="539"/>
        <v/>
      </c>
      <c r="AY1211" s="112" t="str">
        <f>IF(ISNUMBER(O1211),IF(AND(VLOOKUP($D1211,Merchantability!$B:$C,2,0)="Yes",$E1211&gt;=VLOOKUP($D1211,Merchantability!$B:$D,3,0),$E1211&lt;=VLOOKUP($D1211,Merchantability!$B:$E,4,0)),(AV1211*O1211)*(1-$H1211/100),""),"")</f>
        <v/>
      </c>
      <c r="AZ1211" s="116"/>
      <c r="BA1211" s="116"/>
      <c r="BB1211" s="116"/>
      <c r="BE1211" s="62"/>
      <c r="BF1211" s="63"/>
    </row>
    <row r="1212" spans="1:58" ht="12.75" customHeight="1" x14ac:dyDescent="0.25">
      <c r="A1212" s="313"/>
      <c r="B1212" s="328"/>
      <c r="C1212" s="329"/>
      <c r="D1212" s="328"/>
      <c r="E1212" s="330"/>
      <c r="F1212" s="328"/>
      <c r="G1212" s="329"/>
      <c r="H1212" s="329"/>
      <c r="I1212" s="328"/>
      <c r="J1212" s="383"/>
      <c r="K1212" s="329"/>
      <c r="L1212" s="329"/>
      <c r="M1212" s="76"/>
      <c r="N1212" s="103" t="str">
        <f>IF(A1212="","",VLOOKUP(A1212,Stand!C:K,9,0))</f>
        <v/>
      </c>
      <c r="O1212" s="104" t="str">
        <f t="shared" si="524"/>
        <v/>
      </c>
      <c r="P1212" s="105" t="str">
        <f t="shared" si="525"/>
        <v/>
      </c>
      <c r="Q1212" s="105" t="str">
        <f t="shared" si="540"/>
        <v/>
      </c>
      <c r="R1212" s="103" t="str">
        <f t="shared" si="526"/>
        <v/>
      </c>
      <c r="S1212" s="103" t="str">
        <f t="shared" si="527"/>
        <v/>
      </c>
      <c r="T1212" s="106" t="str">
        <f t="shared" si="541"/>
        <v/>
      </c>
      <c r="U1212" s="106" t="str">
        <f t="shared" si="542"/>
        <v/>
      </c>
      <c r="V1212" s="106" t="str">
        <f t="shared" si="543"/>
        <v/>
      </c>
      <c r="W1212" s="105" t="str">
        <f t="shared" si="528"/>
        <v/>
      </c>
      <c r="X1212" s="104" t="str">
        <f t="shared" si="533"/>
        <v/>
      </c>
      <c r="Y1212" s="104" t="str">
        <f t="array" ref="Y1212">IFERROR(IF(ISNUMBER(O1212),IF(COUNT(IF(A1212=$A$2:$A$2427,IF(D1212=$D$2:$D$2427,IF($X$2:$X$2427&gt;0,1))))&gt;0,SUM(IF(A1212=$A$2:$A$2427,IF(D1212=$D$2:$D$2427,$X$2:$X$2427)))/COUNT(IF(A1212=$A$2:$A$2427,IF(D1212=$D$2:$D$2427,IF(ISNUMBER($X$2:$X$2427),1)))),0),""),0)</f>
        <v/>
      </c>
      <c r="Z1212" s="104" t="str">
        <f>IF(ISNUMBER(O1212),IF(I1212&gt;0,(10^(VLOOKUP(D1212,'Species Codes'!B:C,2,0)+VLOOKUP(D1212,'Species Codes'!B:D,3,0)*LOG(E1212)+VLOOKUP(D1212,'Species Codes'!B:E,4,0)*LOG(I1212))),0),"")</f>
        <v/>
      </c>
      <c r="AA1212" s="104" t="str">
        <f>IFERROR((VLOOKUP(D1212,'Species Codes'!B:G,6,0)*Z1212)/2000,"")</f>
        <v/>
      </c>
      <c r="AB1212" s="104" t="e">
        <f>IF(Z1212&gt;0,((IF(OR(D1212="DF",D1212="RA")=TRUE,EXP(VLOOKUP(D1212,'Species Codes'!B:I,8,0)+VLOOKUP(D1212,'Species Codes'!B:J,9,0)*(LN((E1212*2.54)))),IF(OR(D1212="PY",D1212="RC",D1212="WH",D1212="NF")=TRUE,VLOOKUP(D1212,'Species Codes'!B:I,8,0)+VLOOKUP(D1212,'Species Codes'!B:J,9,0)*((E1212*2.54)^2)*(I1212*0.3048),IF(OR(D1212="MD",D1212="BM",D1212="GA")=TRUE,((VLOOKUP(D1212,'Species Codes'!B:I,8,0)*(((((E1212*2.54)+VLOOKUP(D1212,'Species Codes'!B:J,9,0))/VLOOKUP(D1212,'Species Codes'!B:K,10,0))^VLOOKUP(D1212,'Species Codes'!B:L,11,0))*((I1212*0.3048)^VLOOKUP(D1212,'Species Codes'!B:M,12,0))))-(VLOOKUP(D1212,'Species Codes'!B:I,8,0)*((((E1212*2.54)^VLOOKUP(D1212,'Species Codes'!B:L,11,0))*((I1212*0.3048)^VLOOKUP(D1212,'Species Codes'!B:M,12,0))))))*35.3*VLOOKUP(D1212,'Species Codes'!B:G,6,0)/2.2046,VLOOKUP(D1212,'Species Codes'!B:I,8,0)+VLOOKUP(D1212,'Species Codes'!B:J,9,0)*(((E1212*2.54)/100)^2)*(I1212*0.3048)))))*0.0011023),0)</f>
        <v>#N/A</v>
      </c>
      <c r="AC1212" s="104" t="e">
        <f>IF(Z1212&gt;0,((IF(OR(D1212="RA",D1212="OA",D1212="OT",D1212="UN",D1212="PC"),EXP(VLOOKUP(D1212,'Species Codes'!B:O,14,0)+VLOOKUP(D1212,'Species Codes'!B:P,15,0)*LN((E1212*2.54)))-EXP(VLOOKUP(D1212,'Species Codes'!B:O,14,0)+VLOOKUP(D1212,'Species Codes'!B:P,15,0)*LN((E1212*2.54)))*(1/(VLOOKUP(D1212,'Species Codes'!B:Q,16,0)+VLOOKUP(D1212,'Species Codes'!B:R,17,0)*((E1212*2.54)^VLOOKUP(D1212,'Species Codes'!B:S,18,0)))),IF(OR(D1212="BM",D1212="MD",D1212="OA"),EXP(VLOOKUP(D1212,'Species Codes'!B:O,14,0)+VLOOKUP(D1212,'Species Codes'!B:P,15,0)*LN((E1212*2.54)))*(1-(1/(VLOOKUP(D1212,'Species Codes'!B:Q,16,0)+VLOOKUP(D1212,'Species Codes'!B:R,17,0)*((E1212*2.54)^VLOOKUP(D1212,'Species Codes'!B:S,18,0)))))/1000,IF(D1212="DF",EXP(VLOOKUP(D1212,'Species Codes'!B:O,14,0)+VLOOKUP(D1212,'Species Codes'!B:P,15,0)*LN((E1212*2.54))),VLOOKUP(D1212,'Species Codes'!B:O,14,0)+VLOOKUP(D1212,'Species Codes'!B:P,15,0)*(((E1212*2.54)/100)^2)*(I1212*0.3048)))))*0.0011023),0)</f>
        <v>#N/A</v>
      </c>
      <c r="AD1212" s="104" t="e">
        <f t="shared" si="544"/>
        <v>#N/A</v>
      </c>
      <c r="AE1212" s="104" t="e">
        <f t="shared" si="545"/>
        <v>#N/A</v>
      </c>
      <c r="AF1212" s="104" t="e">
        <f>IF(AND(VLOOKUP($D1212,Merchantability!$B:$C,2,0)="Yes",$E1212&gt;=VLOOKUP($D1212,Merchantability!$B:$D,3,0),$E1212&lt;=VLOOKUP($D1212,Merchantability!$B:$E,4,0)),AA1212,0)</f>
        <v>#N/A</v>
      </c>
      <c r="AG1212" s="104" t="e">
        <f>IF(AND(VLOOKUP($D1212,Merchantability!$B:$C,2,0)="Yes",$E1212&gt;=VLOOKUP($D1212,Merchantability!$B:$D,3,0),$E1212&lt;=VLOOKUP($D1212,Merchantability!$B:$E,4,0)),AB1212,0)</f>
        <v>#N/A</v>
      </c>
      <c r="AH1212" s="104" t="e">
        <f>IF(AND(VLOOKUP($D1212,Merchantability!$B:$C,2,0)="Yes",$E1212&gt;=VLOOKUP($D1212,Merchantability!$B:$D,3,0),$E1212&lt;=VLOOKUP($D1212,Merchantability!$B:$E,4,0)),AC1212,0)</f>
        <v>#N/A</v>
      </c>
      <c r="AI1212" s="104" t="e">
        <f t="shared" si="546"/>
        <v>#N/A</v>
      </c>
      <c r="AJ1212" s="104" t="e">
        <f t="shared" si="547"/>
        <v>#VALUE!</v>
      </c>
      <c r="AK1212" s="104" t="e">
        <f t="shared" si="548"/>
        <v>#N/A</v>
      </c>
      <c r="AL1212" s="104" t="e">
        <f t="shared" si="549"/>
        <v>#N/A</v>
      </c>
      <c r="AM1212" s="104" t="e">
        <f t="shared" si="550"/>
        <v>#N/A</v>
      </c>
      <c r="AN1212" s="104" t="e">
        <f t="shared" si="534"/>
        <v>#N/A</v>
      </c>
      <c r="AO1212" s="104" t="e">
        <f t="shared" si="535"/>
        <v>#N/A</v>
      </c>
      <c r="AP1212" s="104" t="e">
        <f t="shared" si="536"/>
        <v>#N/A</v>
      </c>
      <c r="AQ1212" s="104" t="e">
        <f t="shared" si="537"/>
        <v>#N/A</v>
      </c>
      <c r="AR1212" s="105" t="str">
        <f t="shared" si="529"/>
        <v/>
      </c>
      <c r="AS1212" s="105" t="str">
        <f t="shared" si="530"/>
        <v/>
      </c>
      <c r="AT1212" s="108" t="str">
        <f t="shared" si="531"/>
        <v/>
      </c>
      <c r="AU1212" s="108" t="str">
        <f t="shared" si="532"/>
        <v/>
      </c>
      <c r="AV1212" s="107" t="str">
        <f>IF(ISNUMBER(O1212),IF(VLOOKUP($A1212,Stand!C:J,8,FALSE)="Short",AT1212,AU1212),"")</f>
        <v/>
      </c>
      <c r="AW1212" s="109" t="str">
        <f t="shared" si="538"/>
        <v/>
      </c>
      <c r="AX1212" s="109" t="str">
        <f t="shared" si="539"/>
        <v/>
      </c>
      <c r="AY1212" s="112" t="str">
        <f>IF(ISNUMBER(O1212),IF(AND(VLOOKUP($D1212,Merchantability!$B:$C,2,0)="Yes",$E1212&gt;=VLOOKUP($D1212,Merchantability!$B:$D,3,0),$E1212&lt;=VLOOKUP($D1212,Merchantability!$B:$E,4,0)),(AV1212*O1212)*(1-$H1212/100),""),"")</f>
        <v/>
      </c>
      <c r="AZ1212" s="116"/>
      <c r="BA1212" s="116"/>
      <c r="BB1212" s="116"/>
      <c r="BE1212" s="62"/>
      <c r="BF1212" s="63"/>
    </row>
    <row r="1213" spans="1:58" ht="12.75" customHeight="1" x14ac:dyDescent="0.25">
      <c r="A1213" s="313"/>
      <c r="B1213" s="328"/>
      <c r="C1213" s="329"/>
      <c r="D1213" s="328"/>
      <c r="E1213" s="330"/>
      <c r="F1213" s="328"/>
      <c r="G1213" s="329"/>
      <c r="H1213" s="329"/>
      <c r="I1213" s="328"/>
      <c r="J1213" s="383"/>
      <c r="K1213" s="329"/>
      <c r="L1213" s="329"/>
      <c r="M1213" s="76"/>
      <c r="N1213" s="103" t="str">
        <f>IF(A1213="","",VLOOKUP(A1213,Stand!C:K,9,0))</f>
        <v/>
      </c>
      <c r="O1213" s="104" t="str">
        <f t="shared" si="524"/>
        <v/>
      </c>
      <c r="P1213" s="105" t="str">
        <f t="shared" si="525"/>
        <v/>
      </c>
      <c r="Q1213" s="105" t="str">
        <f t="shared" si="540"/>
        <v/>
      </c>
      <c r="R1213" s="103" t="str">
        <f t="shared" si="526"/>
        <v/>
      </c>
      <c r="S1213" s="103" t="str">
        <f t="shared" si="527"/>
        <v/>
      </c>
      <c r="T1213" s="106" t="str">
        <f t="shared" si="541"/>
        <v/>
      </c>
      <c r="U1213" s="106" t="str">
        <f t="shared" si="542"/>
        <v/>
      </c>
      <c r="V1213" s="106" t="str">
        <f t="shared" si="543"/>
        <v/>
      </c>
      <c r="W1213" s="105" t="str">
        <f t="shared" si="528"/>
        <v/>
      </c>
      <c r="X1213" s="104" t="str">
        <f t="shared" si="533"/>
        <v/>
      </c>
      <c r="Y1213" s="104" t="str">
        <f t="array" ref="Y1213">IFERROR(IF(ISNUMBER(O1213),IF(COUNT(IF(A1213=$A$2:$A$2427,IF(D1213=$D$2:$D$2427,IF($X$2:$X$2427&gt;0,1))))&gt;0,SUM(IF(A1213=$A$2:$A$2427,IF(D1213=$D$2:$D$2427,$X$2:$X$2427)))/COUNT(IF(A1213=$A$2:$A$2427,IF(D1213=$D$2:$D$2427,IF(ISNUMBER($X$2:$X$2427),1)))),0),""),0)</f>
        <v/>
      </c>
      <c r="Z1213" s="104" t="str">
        <f>IF(ISNUMBER(O1213),IF(I1213&gt;0,(10^(VLOOKUP(D1213,'Species Codes'!B:C,2,0)+VLOOKUP(D1213,'Species Codes'!B:D,3,0)*LOG(E1213)+VLOOKUP(D1213,'Species Codes'!B:E,4,0)*LOG(I1213))),0),"")</f>
        <v/>
      </c>
      <c r="AA1213" s="104" t="str">
        <f>IFERROR((VLOOKUP(D1213,'Species Codes'!B:G,6,0)*Z1213)/2000,"")</f>
        <v/>
      </c>
      <c r="AB1213" s="104" t="e">
        <f>IF(Z1213&gt;0,((IF(OR(D1213="DF",D1213="RA")=TRUE,EXP(VLOOKUP(D1213,'Species Codes'!B:I,8,0)+VLOOKUP(D1213,'Species Codes'!B:J,9,0)*(LN((E1213*2.54)))),IF(OR(D1213="PY",D1213="RC",D1213="WH",D1213="NF")=TRUE,VLOOKUP(D1213,'Species Codes'!B:I,8,0)+VLOOKUP(D1213,'Species Codes'!B:J,9,0)*((E1213*2.54)^2)*(I1213*0.3048),IF(OR(D1213="MD",D1213="BM",D1213="GA")=TRUE,((VLOOKUP(D1213,'Species Codes'!B:I,8,0)*(((((E1213*2.54)+VLOOKUP(D1213,'Species Codes'!B:J,9,0))/VLOOKUP(D1213,'Species Codes'!B:K,10,0))^VLOOKUP(D1213,'Species Codes'!B:L,11,0))*((I1213*0.3048)^VLOOKUP(D1213,'Species Codes'!B:M,12,0))))-(VLOOKUP(D1213,'Species Codes'!B:I,8,0)*((((E1213*2.54)^VLOOKUP(D1213,'Species Codes'!B:L,11,0))*((I1213*0.3048)^VLOOKUP(D1213,'Species Codes'!B:M,12,0))))))*35.3*VLOOKUP(D1213,'Species Codes'!B:G,6,0)/2.2046,VLOOKUP(D1213,'Species Codes'!B:I,8,0)+VLOOKUP(D1213,'Species Codes'!B:J,9,0)*(((E1213*2.54)/100)^2)*(I1213*0.3048)))))*0.0011023),0)</f>
        <v>#N/A</v>
      </c>
      <c r="AC1213" s="104" t="e">
        <f>IF(Z1213&gt;0,((IF(OR(D1213="RA",D1213="OA",D1213="OT",D1213="UN",D1213="PC"),EXP(VLOOKUP(D1213,'Species Codes'!B:O,14,0)+VLOOKUP(D1213,'Species Codes'!B:P,15,0)*LN((E1213*2.54)))-EXP(VLOOKUP(D1213,'Species Codes'!B:O,14,0)+VLOOKUP(D1213,'Species Codes'!B:P,15,0)*LN((E1213*2.54)))*(1/(VLOOKUP(D1213,'Species Codes'!B:Q,16,0)+VLOOKUP(D1213,'Species Codes'!B:R,17,0)*((E1213*2.54)^VLOOKUP(D1213,'Species Codes'!B:S,18,0)))),IF(OR(D1213="BM",D1213="MD",D1213="OA"),EXP(VLOOKUP(D1213,'Species Codes'!B:O,14,0)+VLOOKUP(D1213,'Species Codes'!B:P,15,0)*LN((E1213*2.54)))*(1-(1/(VLOOKUP(D1213,'Species Codes'!B:Q,16,0)+VLOOKUP(D1213,'Species Codes'!B:R,17,0)*((E1213*2.54)^VLOOKUP(D1213,'Species Codes'!B:S,18,0)))))/1000,IF(D1213="DF",EXP(VLOOKUP(D1213,'Species Codes'!B:O,14,0)+VLOOKUP(D1213,'Species Codes'!B:P,15,0)*LN((E1213*2.54))),VLOOKUP(D1213,'Species Codes'!B:O,14,0)+VLOOKUP(D1213,'Species Codes'!B:P,15,0)*(((E1213*2.54)/100)^2)*(I1213*0.3048)))))*0.0011023),0)</f>
        <v>#N/A</v>
      </c>
      <c r="AD1213" s="104" t="e">
        <f t="shared" si="544"/>
        <v>#N/A</v>
      </c>
      <c r="AE1213" s="104" t="e">
        <f t="shared" si="545"/>
        <v>#N/A</v>
      </c>
      <c r="AF1213" s="104" t="e">
        <f>IF(AND(VLOOKUP($D1213,Merchantability!$B:$C,2,0)="Yes",$E1213&gt;=VLOOKUP($D1213,Merchantability!$B:$D,3,0),$E1213&lt;=VLOOKUP($D1213,Merchantability!$B:$E,4,0)),AA1213,0)</f>
        <v>#N/A</v>
      </c>
      <c r="AG1213" s="104" t="e">
        <f>IF(AND(VLOOKUP($D1213,Merchantability!$B:$C,2,0)="Yes",$E1213&gt;=VLOOKUP($D1213,Merchantability!$B:$D,3,0),$E1213&lt;=VLOOKUP($D1213,Merchantability!$B:$E,4,0)),AB1213,0)</f>
        <v>#N/A</v>
      </c>
      <c r="AH1213" s="104" t="e">
        <f>IF(AND(VLOOKUP($D1213,Merchantability!$B:$C,2,0)="Yes",$E1213&gt;=VLOOKUP($D1213,Merchantability!$B:$D,3,0),$E1213&lt;=VLOOKUP($D1213,Merchantability!$B:$E,4,0)),AC1213,0)</f>
        <v>#N/A</v>
      </c>
      <c r="AI1213" s="104" t="e">
        <f t="shared" si="546"/>
        <v>#N/A</v>
      </c>
      <c r="AJ1213" s="104" t="e">
        <f t="shared" si="547"/>
        <v>#VALUE!</v>
      </c>
      <c r="AK1213" s="104" t="e">
        <f t="shared" si="548"/>
        <v>#N/A</v>
      </c>
      <c r="AL1213" s="104" t="e">
        <f t="shared" si="549"/>
        <v>#N/A</v>
      </c>
      <c r="AM1213" s="104" t="e">
        <f t="shared" si="550"/>
        <v>#N/A</v>
      </c>
      <c r="AN1213" s="104" t="e">
        <f t="shared" si="534"/>
        <v>#N/A</v>
      </c>
      <c r="AO1213" s="104" t="e">
        <f t="shared" si="535"/>
        <v>#N/A</v>
      </c>
      <c r="AP1213" s="104" t="e">
        <f t="shared" si="536"/>
        <v>#N/A</v>
      </c>
      <c r="AQ1213" s="104" t="e">
        <f t="shared" si="537"/>
        <v>#N/A</v>
      </c>
      <c r="AR1213" s="105" t="str">
        <f t="shared" si="529"/>
        <v/>
      </c>
      <c r="AS1213" s="105" t="str">
        <f t="shared" si="530"/>
        <v/>
      </c>
      <c r="AT1213" s="108" t="str">
        <f t="shared" si="531"/>
        <v/>
      </c>
      <c r="AU1213" s="108" t="str">
        <f t="shared" si="532"/>
        <v/>
      </c>
      <c r="AV1213" s="107" t="str">
        <f>IF(ISNUMBER(O1213),IF(VLOOKUP($A1213,Stand!C:J,8,FALSE)="Short",AT1213,AU1213),"")</f>
        <v/>
      </c>
      <c r="AW1213" s="109" t="str">
        <f t="shared" si="538"/>
        <v/>
      </c>
      <c r="AX1213" s="109" t="str">
        <f t="shared" si="539"/>
        <v/>
      </c>
      <c r="AY1213" s="112" t="str">
        <f>IF(ISNUMBER(O1213),IF(AND(VLOOKUP($D1213,Merchantability!$B:$C,2,0)="Yes",$E1213&gt;=VLOOKUP($D1213,Merchantability!$B:$D,3,0),$E1213&lt;=VLOOKUP($D1213,Merchantability!$B:$E,4,0)),(AV1213*O1213)*(1-$H1213/100),""),"")</f>
        <v/>
      </c>
      <c r="AZ1213" s="116"/>
      <c r="BA1213" s="116"/>
      <c r="BB1213" s="116"/>
      <c r="BE1213" s="62"/>
      <c r="BF1213" s="63"/>
    </row>
    <row r="1214" spans="1:58" ht="12.75" customHeight="1" x14ac:dyDescent="0.25">
      <c r="A1214" s="313"/>
      <c r="B1214" s="328"/>
      <c r="C1214" s="329"/>
      <c r="D1214" s="328"/>
      <c r="E1214" s="330"/>
      <c r="F1214" s="328"/>
      <c r="G1214" s="329"/>
      <c r="H1214" s="329"/>
      <c r="I1214" s="328"/>
      <c r="J1214" s="383"/>
      <c r="K1214" s="329"/>
      <c r="L1214" s="329"/>
      <c r="M1214" s="76"/>
      <c r="N1214" s="103" t="str">
        <f>IF(A1214="","",VLOOKUP(A1214,Stand!C:K,9,0))</f>
        <v/>
      </c>
      <c r="O1214" s="104" t="str">
        <f t="shared" si="524"/>
        <v/>
      </c>
      <c r="P1214" s="105" t="str">
        <f t="shared" si="525"/>
        <v/>
      </c>
      <c r="Q1214" s="105" t="str">
        <f t="shared" si="540"/>
        <v/>
      </c>
      <c r="R1214" s="103" t="str">
        <f t="shared" si="526"/>
        <v/>
      </c>
      <c r="S1214" s="103" t="str">
        <f t="shared" si="527"/>
        <v/>
      </c>
      <c r="T1214" s="106" t="str">
        <f t="shared" si="541"/>
        <v/>
      </c>
      <c r="U1214" s="106" t="str">
        <f t="shared" si="542"/>
        <v/>
      </c>
      <c r="V1214" s="106" t="str">
        <f t="shared" si="543"/>
        <v/>
      </c>
      <c r="W1214" s="105" t="str">
        <f t="shared" si="528"/>
        <v/>
      </c>
      <c r="X1214" s="104" t="str">
        <f t="shared" si="533"/>
        <v/>
      </c>
      <c r="Y1214" s="104" t="str">
        <f t="array" ref="Y1214">IFERROR(IF(ISNUMBER(O1214),IF(COUNT(IF(A1214=$A$2:$A$2427,IF(D1214=$D$2:$D$2427,IF($X$2:$X$2427&gt;0,1))))&gt;0,SUM(IF(A1214=$A$2:$A$2427,IF(D1214=$D$2:$D$2427,$X$2:$X$2427)))/COUNT(IF(A1214=$A$2:$A$2427,IF(D1214=$D$2:$D$2427,IF(ISNUMBER($X$2:$X$2427),1)))),0),""),0)</f>
        <v/>
      </c>
      <c r="Z1214" s="104" t="str">
        <f>IF(ISNUMBER(O1214),IF(I1214&gt;0,(10^(VLOOKUP(D1214,'Species Codes'!B:C,2,0)+VLOOKUP(D1214,'Species Codes'!B:D,3,0)*LOG(E1214)+VLOOKUP(D1214,'Species Codes'!B:E,4,0)*LOG(I1214))),0),"")</f>
        <v/>
      </c>
      <c r="AA1214" s="104" t="str">
        <f>IFERROR((VLOOKUP(D1214,'Species Codes'!B:G,6,0)*Z1214)/2000,"")</f>
        <v/>
      </c>
      <c r="AB1214" s="104" t="e">
        <f>IF(Z1214&gt;0,((IF(OR(D1214="DF",D1214="RA")=TRUE,EXP(VLOOKUP(D1214,'Species Codes'!B:I,8,0)+VLOOKUP(D1214,'Species Codes'!B:J,9,0)*(LN((E1214*2.54)))),IF(OR(D1214="PY",D1214="RC",D1214="WH",D1214="NF")=TRUE,VLOOKUP(D1214,'Species Codes'!B:I,8,0)+VLOOKUP(D1214,'Species Codes'!B:J,9,0)*((E1214*2.54)^2)*(I1214*0.3048),IF(OR(D1214="MD",D1214="BM",D1214="GA")=TRUE,((VLOOKUP(D1214,'Species Codes'!B:I,8,0)*(((((E1214*2.54)+VLOOKUP(D1214,'Species Codes'!B:J,9,0))/VLOOKUP(D1214,'Species Codes'!B:K,10,0))^VLOOKUP(D1214,'Species Codes'!B:L,11,0))*((I1214*0.3048)^VLOOKUP(D1214,'Species Codes'!B:M,12,0))))-(VLOOKUP(D1214,'Species Codes'!B:I,8,0)*((((E1214*2.54)^VLOOKUP(D1214,'Species Codes'!B:L,11,0))*((I1214*0.3048)^VLOOKUP(D1214,'Species Codes'!B:M,12,0))))))*35.3*VLOOKUP(D1214,'Species Codes'!B:G,6,0)/2.2046,VLOOKUP(D1214,'Species Codes'!B:I,8,0)+VLOOKUP(D1214,'Species Codes'!B:J,9,0)*(((E1214*2.54)/100)^2)*(I1214*0.3048)))))*0.0011023),0)</f>
        <v>#N/A</v>
      </c>
      <c r="AC1214" s="104" t="e">
        <f>IF(Z1214&gt;0,((IF(OR(D1214="RA",D1214="OA",D1214="OT",D1214="UN",D1214="PC"),EXP(VLOOKUP(D1214,'Species Codes'!B:O,14,0)+VLOOKUP(D1214,'Species Codes'!B:P,15,0)*LN((E1214*2.54)))-EXP(VLOOKUP(D1214,'Species Codes'!B:O,14,0)+VLOOKUP(D1214,'Species Codes'!B:P,15,0)*LN((E1214*2.54)))*(1/(VLOOKUP(D1214,'Species Codes'!B:Q,16,0)+VLOOKUP(D1214,'Species Codes'!B:R,17,0)*((E1214*2.54)^VLOOKUP(D1214,'Species Codes'!B:S,18,0)))),IF(OR(D1214="BM",D1214="MD",D1214="OA"),EXP(VLOOKUP(D1214,'Species Codes'!B:O,14,0)+VLOOKUP(D1214,'Species Codes'!B:P,15,0)*LN((E1214*2.54)))*(1-(1/(VLOOKUP(D1214,'Species Codes'!B:Q,16,0)+VLOOKUP(D1214,'Species Codes'!B:R,17,0)*((E1214*2.54)^VLOOKUP(D1214,'Species Codes'!B:S,18,0)))))/1000,IF(D1214="DF",EXP(VLOOKUP(D1214,'Species Codes'!B:O,14,0)+VLOOKUP(D1214,'Species Codes'!B:P,15,0)*LN((E1214*2.54))),VLOOKUP(D1214,'Species Codes'!B:O,14,0)+VLOOKUP(D1214,'Species Codes'!B:P,15,0)*(((E1214*2.54)/100)^2)*(I1214*0.3048)))))*0.0011023),0)</f>
        <v>#N/A</v>
      </c>
      <c r="AD1214" s="104" t="e">
        <f t="shared" si="544"/>
        <v>#N/A</v>
      </c>
      <c r="AE1214" s="104" t="e">
        <f t="shared" si="545"/>
        <v>#N/A</v>
      </c>
      <c r="AF1214" s="104" t="e">
        <f>IF(AND(VLOOKUP($D1214,Merchantability!$B:$C,2,0)="Yes",$E1214&gt;=VLOOKUP($D1214,Merchantability!$B:$D,3,0),$E1214&lt;=VLOOKUP($D1214,Merchantability!$B:$E,4,0)),AA1214,0)</f>
        <v>#N/A</v>
      </c>
      <c r="AG1214" s="104" t="e">
        <f>IF(AND(VLOOKUP($D1214,Merchantability!$B:$C,2,0)="Yes",$E1214&gt;=VLOOKUP($D1214,Merchantability!$B:$D,3,0),$E1214&lt;=VLOOKUP($D1214,Merchantability!$B:$E,4,0)),AB1214,0)</f>
        <v>#N/A</v>
      </c>
      <c r="AH1214" s="104" t="e">
        <f>IF(AND(VLOOKUP($D1214,Merchantability!$B:$C,2,0)="Yes",$E1214&gt;=VLOOKUP($D1214,Merchantability!$B:$D,3,0),$E1214&lt;=VLOOKUP($D1214,Merchantability!$B:$E,4,0)),AC1214,0)</f>
        <v>#N/A</v>
      </c>
      <c r="AI1214" s="104" t="e">
        <f t="shared" si="546"/>
        <v>#N/A</v>
      </c>
      <c r="AJ1214" s="104" t="e">
        <f t="shared" si="547"/>
        <v>#VALUE!</v>
      </c>
      <c r="AK1214" s="104" t="e">
        <f t="shared" si="548"/>
        <v>#N/A</v>
      </c>
      <c r="AL1214" s="104" t="e">
        <f t="shared" si="549"/>
        <v>#N/A</v>
      </c>
      <c r="AM1214" s="104" t="e">
        <f t="shared" si="550"/>
        <v>#N/A</v>
      </c>
      <c r="AN1214" s="104" t="e">
        <f t="shared" si="534"/>
        <v>#N/A</v>
      </c>
      <c r="AO1214" s="104" t="e">
        <f t="shared" si="535"/>
        <v>#N/A</v>
      </c>
      <c r="AP1214" s="104" t="e">
        <f t="shared" si="536"/>
        <v>#N/A</v>
      </c>
      <c r="AQ1214" s="104" t="e">
        <f t="shared" si="537"/>
        <v>#N/A</v>
      </c>
      <c r="AR1214" s="105" t="str">
        <f t="shared" si="529"/>
        <v/>
      </c>
      <c r="AS1214" s="105" t="str">
        <f t="shared" si="530"/>
        <v/>
      </c>
      <c r="AT1214" s="108" t="str">
        <f t="shared" si="531"/>
        <v/>
      </c>
      <c r="AU1214" s="108" t="str">
        <f t="shared" si="532"/>
        <v/>
      </c>
      <c r="AV1214" s="107" t="str">
        <f>IF(ISNUMBER(O1214),IF(VLOOKUP($A1214,Stand!C:J,8,FALSE)="Short",AT1214,AU1214),"")</f>
        <v/>
      </c>
      <c r="AW1214" s="109" t="str">
        <f t="shared" si="538"/>
        <v/>
      </c>
      <c r="AX1214" s="109" t="str">
        <f t="shared" si="539"/>
        <v/>
      </c>
      <c r="AY1214" s="112" t="str">
        <f>IF(ISNUMBER(O1214),IF(AND(VLOOKUP($D1214,Merchantability!$B:$C,2,0)="Yes",$E1214&gt;=VLOOKUP($D1214,Merchantability!$B:$D,3,0),$E1214&lt;=VLOOKUP($D1214,Merchantability!$B:$E,4,0)),(AV1214*O1214)*(1-$H1214/100),""),"")</f>
        <v/>
      </c>
      <c r="AZ1214" s="116"/>
      <c r="BA1214" s="116"/>
      <c r="BB1214" s="116"/>
      <c r="BE1214" s="62"/>
      <c r="BF1214" s="63"/>
    </row>
    <row r="1215" spans="1:58" ht="12.75" customHeight="1" x14ac:dyDescent="0.25">
      <c r="A1215" s="313"/>
      <c r="B1215" s="328"/>
      <c r="C1215" s="329"/>
      <c r="D1215" s="328"/>
      <c r="E1215" s="330"/>
      <c r="F1215" s="328"/>
      <c r="G1215" s="329"/>
      <c r="H1215" s="329"/>
      <c r="I1215" s="328"/>
      <c r="J1215" s="383"/>
      <c r="K1215" s="329"/>
      <c r="L1215" s="329"/>
      <c r="M1215" s="76"/>
      <c r="N1215" s="103" t="str">
        <f>IF(A1215="","",VLOOKUP(A1215,Stand!C:K,9,0))</f>
        <v/>
      </c>
      <c r="O1215" s="104" t="str">
        <f t="shared" si="524"/>
        <v/>
      </c>
      <c r="P1215" s="105" t="str">
        <f t="shared" si="525"/>
        <v/>
      </c>
      <c r="Q1215" s="105" t="str">
        <f t="shared" si="540"/>
        <v/>
      </c>
      <c r="R1215" s="103" t="str">
        <f t="shared" si="526"/>
        <v/>
      </c>
      <c r="S1215" s="103" t="str">
        <f t="shared" si="527"/>
        <v/>
      </c>
      <c r="T1215" s="106" t="str">
        <f t="shared" si="541"/>
        <v/>
      </c>
      <c r="U1215" s="106" t="str">
        <f t="shared" si="542"/>
        <v/>
      </c>
      <c r="V1215" s="106" t="str">
        <f t="shared" si="543"/>
        <v/>
      </c>
      <c r="W1215" s="105" t="str">
        <f t="shared" si="528"/>
        <v/>
      </c>
      <c r="X1215" s="104" t="str">
        <f t="shared" si="533"/>
        <v/>
      </c>
      <c r="Y1215" s="104" t="str">
        <f t="array" ref="Y1215">IFERROR(IF(ISNUMBER(O1215),IF(COUNT(IF(A1215=$A$2:$A$2427,IF(D1215=$D$2:$D$2427,IF($X$2:$X$2427&gt;0,1))))&gt;0,SUM(IF(A1215=$A$2:$A$2427,IF(D1215=$D$2:$D$2427,$X$2:$X$2427)))/COUNT(IF(A1215=$A$2:$A$2427,IF(D1215=$D$2:$D$2427,IF(ISNUMBER($X$2:$X$2427),1)))),0),""),0)</f>
        <v/>
      </c>
      <c r="Z1215" s="104" t="str">
        <f>IF(ISNUMBER(O1215),IF(I1215&gt;0,(10^(VLOOKUP(D1215,'Species Codes'!B:C,2,0)+VLOOKUP(D1215,'Species Codes'!B:D,3,0)*LOG(E1215)+VLOOKUP(D1215,'Species Codes'!B:E,4,0)*LOG(I1215))),0),"")</f>
        <v/>
      </c>
      <c r="AA1215" s="104" t="str">
        <f>IFERROR((VLOOKUP(D1215,'Species Codes'!B:G,6,0)*Z1215)/2000,"")</f>
        <v/>
      </c>
      <c r="AB1215" s="104" t="e">
        <f>IF(Z1215&gt;0,((IF(OR(D1215="DF",D1215="RA")=TRUE,EXP(VLOOKUP(D1215,'Species Codes'!B:I,8,0)+VLOOKUP(D1215,'Species Codes'!B:J,9,0)*(LN((E1215*2.54)))),IF(OR(D1215="PY",D1215="RC",D1215="WH",D1215="NF")=TRUE,VLOOKUP(D1215,'Species Codes'!B:I,8,0)+VLOOKUP(D1215,'Species Codes'!B:J,9,0)*((E1215*2.54)^2)*(I1215*0.3048),IF(OR(D1215="MD",D1215="BM",D1215="GA")=TRUE,((VLOOKUP(D1215,'Species Codes'!B:I,8,0)*(((((E1215*2.54)+VLOOKUP(D1215,'Species Codes'!B:J,9,0))/VLOOKUP(D1215,'Species Codes'!B:K,10,0))^VLOOKUP(D1215,'Species Codes'!B:L,11,0))*((I1215*0.3048)^VLOOKUP(D1215,'Species Codes'!B:M,12,0))))-(VLOOKUP(D1215,'Species Codes'!B:I,8,0)*((((E1215*2.54)^VLOOKUP(D1215,'Species Codes'!B:L,11,0))*((I1215*0.3048)^VLOOKUP(D1215,'Species Codes'!B:M,12,0))))))*35.3*VLOOKUP(D1215,'Species Codes'!B:G,6,0)/2.2046,VLOOKUP(D1215,'Species Codes'!B:I,8,0)+VLOOKUP(D1215,'Species Codes'!B:J,9,0)*(((E1215*2.54)/100)^2)*(I1215*0.3048)))))*0.0011023),0)</f>
        <v>#N/A</v>
      </c>
      <c r="AC1215" s="104" t="e">
        <f>IF(Z1215&gt;0,((IF(OR(D1215="RA",D1215="OA",D1215="OT",D1215="UN",D1215="PC"),EXP(VLOOKUP(D1215,'Species Codes'!B:O,14,0)+VLOOKUP(D1215,'Species Codes'!B:P,15,0)*LN((E1215*2.54)))-EXP(VLOOKUP(D1215,'Species Codes'!B:O,14,0)+VLOOKUP(D1215,'Species Codes'!B:P,15,0)*LN((E1215*2.54)))*(1/(VLOOKUP(D1215,'Species Codes'!B:Q,16,0)+VLOOKUP(D1215,'Species Codes'!B:R,17,0)*((E1215*2.54)^VLOOKUP(D1215,'Species Codes'!B:S,18,0)))),IF(OR(D1215="BM",D1215="MD",D1215="OA"),EXP(VLOOKUP(D1215,'Species Codes'!B:O,14,0)+VLOOKUP(D1215,'Species Codes'!B:P,15,0)*LN((E1215*2.54)))*(1-(1/(VLOOKUP(D1215,'Species Codes'!B:Q,16,0)+VLOOKUP(D1215,'Species Codes'!B:R,17,0)*((E1215*2.54)^VLOOKUP(D1215,'Species Codes'!B:S,18,0)))))/1000,IF(D1215="DF",EXP(VLOOKUP(D1215,'Species Codes'!B:O,14,0)+VLOOKUP(D1215,'Species Codes'!B:P,15,0)*LN((E1215*2.54))),VLOOKUP(D1215,'Species Codes'!B:O,14,0)+VLOOKUP(D1215,'Species Codes'!B:P,15,0)*(((E1215*2.54)/100)^2)*(I1215*0.3048)))))*0.0011023),0)</f>
        <v>#N/A</v>
      </c>
      <c r="AD1215" s="104" t="e">
        <f t="shared" si="544"/>
        <v>#N/A</v>
      </c>
      <c r="AE1215" s="104" t="e">
        <f t="shared" si="545"/>
        <v>#N/A</v>
      </c>
      <c r="AF1215" s="104" t="e">
        <f>IF(AND(VLOOKUP($D1215,Merchantability!$B:$C,2,0)="Yes",$E1215&gt;=VLOOKUP($D1215,Merchantability!$B:$D,3,0),$E1215&lt;=VLOOKUP($D1215,Merchantability!$B:$E,4,0)),AA1215,0)</f>
        <v>#N/A</v>
      </c>
      <c r="AG1215" s="104" t="e">
        <f>IF(AND(VLOOKUP($D1215,Merchantability!$B:$C,2,0)="Yes",$E1215&gt;=VLOOKUP($D1215,Merchantability!$B:$D,3,0),$E1215&lt;=VLOOKUP($D1215,Merchantability!$B:$E,4,0)),AB1215,0)</f>
        <v>#N/A</v>
      </c>
      <c r="AH1215" s="104" t="e">
        <f>IF(AND(VLOOKUP($D1215,Merchantability!$B:$C,2,0)="Yes",$E1215&gt;=VLOOKUP($D1215,Merchantability!$B:$D,3,0),$E1215&lt;=VLOOKUP($D1215,Merchantability!$B:$E,4,0)),AC1215,0)</f>
        <v>#N/A</v>
      </c>
      <c r="AI1215" s="104" t="e">
        <f t="shared" si="546"/>
        <v>#N/A</v>
      </c>
      <c r="AJ1215" s="104" t="e">
        <f t="shared" si="547"/>
        <v>#VALUE!</v>
      </c>
      <c r="AK1215" s="104" t="e">
        <f t="shared" si="548"/>
        <v>#N/A</v>
      </c>
      <c r="AL1215" s="104" t="e">
        <f t="shared" si="549"/>
        <v>#N/A</v>
      </c>
      <c r="AM1215" s="104" t="e">
        <f t="shared" si="550"/>
        <v>#N/A</v>
      </c>
      <c r="AN1215" s="104" t="e">
        <f t="shared" si="534"/>
        <v>#N/A</v>
      </c>
      <c r="AO1215" s="104" t="e">
        <f t="shared" si="535"/>
        <v>#N/A</v>
      </c>
      <c r="AP1215" s="104" t="e">
        <f t="shared" si="536"/>
        <v>#N/A</v>
      </c>
      <c r="AQ1215" s="104" t="e">
        <f t="shared" si="537"/>
        <v>#N/A</v>
      </c>
      <c r="AR1215" s="105" t="str">
        <f t="shared" si="529"/>
        <v/>
      </c>
      <c r="AS1215" s="105" t="str">
        <f t="shared" si="530"/>
        <v/>
      </c>
      <c r="AT1215" s="108" t="str">
        <f t="shared" si="531"/>
        <v/>
      </c>
      <c r="AU1215" s="108" t="str">
        <f t="shared" si="532"/>
        <v/>
      </c>
      <c r="AV1215" s="107" t="str">
        <f>IF(ISNUMBER(O1215),IF(VLOOKUP($A1215,Stand!C:J,8,FALSE)="Short",AT1215,AU1215),"")</f>
        <v/>
      </c>
      <c r="AW1215" s="109" t="str">
        <f t="shared" si="538"/>
        <v/>
      </c>
      <c r="AX1215" s="109" t="str">
        <f t="shared" si="539"/>
        <v/>
      </c>
      <c r="AY1215" s="112" t="str">
        <f>IF(ISNUMBER(O1215),IF(AND(VLOOKUP($D1215,Merchantability!$B:$C,2,0)="Yes",$E1215&gt;=VLOOKUP($D1215,Merchantability!$B:$D,3,0),$E1215&lt;=VLOOKUP($D1215,Merchantability!$B:$E,4,0)),(AV1215*O1215)*(1-$H1215/100),""),"")</f>
        <v/>
      </c>
      <c r="AZ1215" s="116"/>
      <c r="BA1215" s="116"/>
      <c r="BB1215" s="116"/>
      <c r="BE1215" s="62"/>
      <c r="BF1215" s="63"/>
    </row>
    <row r="1216" spans="1:58" ht="12.75" customHeight="1" x14ac:dyDescent="0.25">
      <c r="A1216" s="313"/>
      <c r="B1216" s="328"/>
      <c r="C1216" s="329"/>
      <c r="D1216" s="328"/>
      <c r="E1216" s="330"/>
      <c r="F1216" s="328"/>
      <c r="G1216" s="329"/>
      <c r="H1216" s="329"/>
      <c r="I1216" s="328"/>
      <c r="J1216" s="383"/>
      <c r="K1216" s="329"/>
      <c r="L1216" s="329"/>
      <c r="M1216" s="76"/>
      <c r="N1216" s="103" t="str">
        <f>IF(A1216="","",VLOOKUP(A1216,Stand!C:K,9,0))</f>
        <v/>
      </c>
      <c r="O1216" s="104" t="str">
        <f t="shared" si="524"/>
        <v/>
      </c>
      <c r="P1216" s="105" t="str">
        <f t="shared" si="525"/>
        <v/>
      </c>
      <c r="Q1216" s="105" t="str">
        <f t="shared" si="540"/>
        <v/>
      </c>
      <c r="R1216" s="103" t="str">
        <f t="shared" si="526"/>
        <v/>
      </c>
      <c r="S1216" s="103" t="str">
        <f t="shared" si="527"/>
        <v/>
      </c>
      <c r="T1216" s="106" t="str">
        <f t="shared" si="541"/>
        <v/>
      </c>
      <c r="U1216" s="106" t="str">
        <f t="shared" si="542"/>
        <v/>
      </c>
      <c r="V1216" s="106" t="str">
        <f t="shared" si="543"/>
        <v/>
      </c>
      <c r="W1216" s="105" t="str">
        <f t="shared" si="528"/>
        <v/>
      </c>
      <c r="X1216" s="104" t="str">
        <f t="shared" si="533"/>
        <v/>
      </c>
      <c r="Y1216" s="104" t="str">
        <f t="array" ref="Y1216">IFERROR(IF(ISNUMBER(O1216),IF(COUNT(IF(A1216=$A$2:$A$2427,IF(D1216=$D$2:$D$2427,IF($X$2:$X$2427&gt;0,1))))&gt;0,SUM(IF(A1216=$A$2:$A$2427,IF(D1216=$D$2:$D$2427,$X$2:$X$2427)))/COUNT(IF(A1216=$A$2:$A$2427,IF(D1216=$D$2:$D$2427,IF(ISNUMBER($X$2:$X$2427),1)))),0),""),0)</f>
        <v/>
      </c>
      <c r="Z1216" s="104" t="str">
        <f>IF(ISNUMBER(O1216),IF(I1216&gt;0,(10^(VLOOKUP(D1216,'Species Codes'!B:C,2,0)+VLOOKUP(D1216,'Species Codes'!B:D,3,0)*LOG(E1216)+VLOOKUP(D1216,'Species Codes'!B:E,4,0)*LOG(I1216))),0),"")</f>
        <v/>
      </c>
      <c r="AA1216" s="104" t="str">
        <f>IFERROR((VLOOKUP(D1216,'Species Codes'!B:G,6,0)*Z1216)/2000,"")</f>
        <v/>
      </c>
      <c r="AB1216" s="104" t="e">
        <f>IF(Z1216&gt;0,((IF(OR(D1216="DF",D1216="RA")=TRUE,EXP(VLOOKUP(D1216,'Species Codes'!B:I,8,0)+VLOOKUP(D1216,'Species Codes'!B:J,9,0)*(LN((E1216*2.54)))),IF(OR(D1216="PY",D1216="RC",D1216="WH",D1216="NF")=TRUE,VLOOKUP(D1216,'Species Codes'!B:I,8,0)+VLOOKUP(D1216,'Species Codes'!B:J,9,0)*((E1216*2.54)^2)*(I1216*0.3048),IF(OR(D1216="MD",D1216="BM",D1216="GA")=TRUE,((VLOOKUP(D1216,'Species Codes'!B:I,8,0)*(((((E1216*2.54)+VLOOKUP(D1216,'Species Codes'!B:J,9,0))/VLOOKUP(D1216,'Species Codes'!B:K,10,0))^VLOOKUP(D1216,'Species Codes'!B:L,11,0))*((I1216*0.3048)^VLOOKUP(D1216,'Species Codes'!B:M,12,0))))-(VLOOKUP(D1216,'Species Codes'!B:I,8,0)*((((E1216*2.54)^VLOOKUP(D1216,'Species Codes'!B:L,11,0))*((I1216*0.3048)^VLOOKUP(D1216,'Species Codes'!B:M,12,0))))))*35.3*VLOOKUP(D1216,'Species Codes'!B:G,6,0)/2.2046,VLOOKUP(D1216,'Species Codes'!B:I,8,0)+VLOOKUP(D1216,'Species Codes'!B:J,9,0)*(((E1216*2.54)/100)^2)*(I1216*0.3048)))))*0.0011023),0)</f>
        <v>#N/A</v>
      </c>
      <c r="AC1216" s="104" t="e">
        <f>IF(Z1216&gt;0,((IF(OR(D1216="RA",D1216="OA",D1216="OT",D1216="UN",D1216="PC"),EXP(VLOOKUP(D1216,'Species Codes'!B:O,14,0)+VLOOKUP(D1216,'Species Codes'!B:P,15,0)*LN((E1216*2.54)))-EXP(VLOOKUP(D1216,'Species Codes'!B:O,14,0)+VLOOKUP(D1216,'Species Codes'!B:P,15,0)*LN((E1216*2.54)))*(1/(VLOOKUP(D1216,'Species Codes'!B:Q,16,0)+VLOOKUP(D1216,'Species Codes'!B:R,17,0)*((E1216*2.54)^VLOOKUP(D1216,'Species Codes'!B:S,18,0)))),IF(OR(D1216="BM",D1216="MD",D1216="OA"),EXP(VLOOKUP(D1216,'Species Codes'!B:O,14,0)+VLOOKUP(D1216,'Species Codes'!B:P,15,0)*LN((E1216*2.54)))*(1-(1/(VLOOKUP(D1216,'Species Codes'!B:Q,16,0)+VLOOKUP(D1216,'Species Codes'!B:R,17,0)*((E1216*2.54)^VLOOKUP(D1216,'Species Codes'!B:S,18,0)))))/1000,IF(D1216="DF",EXP(VLOOKUP(D1216,'Species Codes'!B:O,14,0)+VLOOKUP(D1216,'Species Codes'!B:P,15,0)*LN((E1216*2.54))),VLOOKUP(D1216,'Species Codes'!B:O,14,0)+VLOOKUP(D1216,'Species Codes'!B:P,15,0)*(((E1216*2.54)/100)^2)*(I1216*0.3048)))))*0.0011023),0)</f>
        <v>#N/A</v>
      </c>
      <c r="AD1216" s="104" t="e">
        <f t="shared" si="544"/>
        <v>#N/A</v>
      </c>
      <c r="AE1216" s="104" t="e">
        <f t="shared" si="545"/>
        <v>#N/A</v>
      </c>
      <c r="AF1216" s="104" t="e">
        <f>IF(AND(VLOOKUP($D1216,Merchantability!$B:$C,2,0)="Yes",$E1216&gt;=VLOOKUP($D1216,Merchantability!$B:$D,3,0),$E1216&lt;=VLOOKUP($D1216,Merchantability!$B:$E,4,0)),AA1216,0)</f>
        <v>#N/A</v>
      </c>
      <c r="AG1216" s="104" t="e">
        <f>IF(AND(VLOOKUP($D1216,Merchantability!$B:$C,2,0)="Yes",$E1216&gt;=VLOOKUP($D1216,Merchantability!$B:$D,3,0),$E1216&lt;=VLOOKUP($D1216,Merchantability!$B:$E,4,0)),AB1216,0)</f>
        <v>#N/A</v>
      </c>
      <c r="AH1216" s="104" t="e">
        <f>IF(AND(VLOOKUP($D1216,Merchantability!$B:$C,2,0)="Yes",$E1216&gt;=VLOOKUP($D1216,Merchantability!$B:$D,3,0),$E1216&lt;=VLOOKUP($D1216,Merchantability!$B:$E,4,0)),AC1216,0)</f>
        <v>#N/A</v>
      </c>
      <c r="AI1216" s="104" t="e">
        <f t="shared" si="546"/>
        <v>#N/A</v>
      </c>
      <c r="AJ1216" s="104" t="e">
        <f t="shared" si="547"/>
        <v>#VALUE!</v>
      </c>
      <c r="AK1216" s="104" t="e">
        <f t="shared" si="548"/>
        <v>#N/A</v>
      </c>
      <c r="AL1216" s="104" t="e">
        <f t="shared" si="549"/>
        <v>#N/A</v>
      </c>
      <c r="AM1216" s="104" t="e">
        <f t="shared" si="550"/>
        <v>#N/A</v>
      </c>
      <c r="AN1216" s="104" t="e">
        <f t="shared" si="534"/>
        <v>#N/A</v>
      </c>
      <c r="AO1216" s="104" t="e">
        <f t="shared" si="535"/>
        <v>#N/A</v>
      </c>
      <c r="AP1216" s="104" t="e">
        <f t="shared" si="536"/>
        <v>#N/A</v>
      </c>
      <c r="AQ1216" s="104" t="e">
        <f t="shared" si="537"/>
        <v>#N/A</v>
      </c>
      <c r="AR1216" s="105" t="str">
        <f t="shared" si="529"/>
        <v/>
      </c>
      <c r="AS1216" s="105" t="str">
        <f t="shared" si="530"/>
        <v/>
      </c>
      <c r="AT1216" s="108" t="str">
        <f t="shared" si="531"/>
        <v/>
      </c>
      <c r="AU1216" s="108" t="str">
        <f t="shared" si="532"/>
        <v/>
      </c>
      <c r="AV1216" s="107" t="str">
        <f>IF(ISNUMBER(O1216),IF(VLOOKUP($A1216,Stand!C:J,8,FALSE)="Short",AT1216,AU1216),"")</f>
        <v/>
      </c>
      <c r="AW1216" s="109" t="str">
        <f t="shared" si="538"/>
        <v/>
      </c>
      <c r="AX1216" s="109" t="str">
        <f t="shared" si="539"/>
        <v/>
      </c>
      <c r="AY1216" s="112" t="str">
        <f>IF(ISNUMBER(O1216),IF(AND(VLOOKUP($D1216,Merchantability!$B:$C,2,0)="Yes",$E1216&gt;=VLOOKUP($D1216,Merchantability!$B:$D,3,0),$E1216&lt;=VLOOKUP($D1216,Merchantability!$B:$E,4,0)),(AV1216*O1216)*(1-$H1216/100),""),"")</f>
        <v/>
      </c>
      <c r="AZ1216" s="116"/>
      <c r="BA1216" s="116"/>
      <c r="BB1216" s="116"/>
      <c r="BE1216" s="62"/>
      <c r="BF1216" s="63"/>
    </row>
    <row r="1217" spans="1:58" ht="12.75" customHeight="1" x14ac:dyDescent="0.25">
      <c r="A1217" s="313"/>
      <c r="B1217" s="328"/>
      <c r="C1217" s="329"/>
      <c r="D1217" s="328"/>
      <c r="E1217" s="330"/>
      <c r="F1217" s="328"/>
      <c r="G1217" s="329"/>
      <c r="H1217" s="329"/>
      <c r="I1217" s="328"/>
      <c r="J1217" s="383"/>
      <c r="K1217" s="329"/>
      <c r="L1217" s="329"/>
      <c r="M1217" s="76"/>
      <c r="N1217" s="103" t="str">
        <f>IF(A1217="","",VLOOKUP(A1217,Stand!C:K,9,0))</f>
        <v/>
      </c>
      <c r="O1217" s="104" t="str">
        <f t="shared" si="524"/>
        <v/>
      </c>
      <c r="P1217" s="105" t="str">
        <f t="shared" si="525"/>
        <v/>
      </c>
      <c r="Q1217" s="105" t="str">
        <f t="shared" si="540"/>
        <v/>
      </c>
      <c r="R1217" s="103" t="str">
        <f t="shared" si="526"/>
        <v/>
      </c>
      <c r="S1217" s="103" t="str">
        <f t="shared" si="527"/>
        <v/>
      </c>
      <c r="T1217" s="106" t="str">
        <f t="shared" si="541"/>
        <v/>
      </c>
      <c r="U1217" s="106" t="str">
        <f t="shared" si="542"/>
        <v/>
      </c>
      <c r="V1217" s="106" t="str">
        <f t="shared" si="543"/>
        <v/>
      </c>
      <c r="W1217" s="105" t="str">
        <f t="shared" si="528"/>
        <v/>
      </c>
      <c r="X1217" s="104" t="str">
        <f t="shared" si="533"/>
        <v/>
      </c>
      <c r="Y1217" s="104" t="str">
        <f t="array" ref="Y1217">IFERROR(IF(ISNUMBER(O1217),IF(COUNT(IF(A1217=$A$2:$A$2427,IF(D1217=$D$2:$D$2427,IF($X$2:$X$2427&gt;0,1))))&gt;0,SUM(IF(A1217=$A$2:$A$2427,IF(D1217=$D$2:$D$2427,$X$2:$X$2427)))/COUNT(IF(A1217=$A$2:$A$2427,IF(D1217=$D$2:$D$2427,IF(ISNUMBER($X$2:$X$2427),1)))),0),""),0)</f>
        <v/>
      </c>
      <c r="Z1217" s="104" t="str">
        <f>IF(ISNUMBER(O1217),IF(I1217&gt;0,(10^(VLOOKUP(D1217,'Species Codes'!B:C,2,0)+VLOOKUP(D1217,'Species Codes'!B:D,3,0)*LOG(E1217)+VLOOKUP(D1217,'Species Codes'!B:E,4,0)*LOG(I1217))),0),"")</f>
        <v/>
      </c>
      <c r="AA1217" s="104" t="str">
        <f>IFERROR((VLOOKUP(D1217,'Species Codes'!B:G,6,0)*Z1217)/2000,"")</f>
        <v/>
      </c>
      <c r="AB1217" s="104" t="e">
        <f>IF(Z1217&gt;0,((IF(OR(D1217="DF",D1217="RA")=TRUE,EXP(VLOOKUP(D1217,'Species Codes'!B:I,8,0)+VLOOKUP(D1217,'Species Codes'!B:J,9,0)*(LN((E1217*2.54)))),IF(OR(D1217="PY",D1217="RC",D1217="WH",D1217="NF")=TRUE,VLOOKUP(D1217,'Species Codes'!B:I,8,0)+VLOOKUP(D1217,'Species Codes'!B:J,9,0)*((E1217*2.54)^2)*(I1217*0.3048),IF(OR(D1217="MD",D1217="BM",D1217="GA")=TRUE,((VLOOKUP(D1217,'Species Codes'!B:I,8,0)*(((((E1217*2.54)+VLOOKUP(D1217,'Species Codes'!B:J,9,0))/VLOOKUP(D1217,'Species Codes'!B:K,10,0))^VLOOKUP(D1217,'Species Codes'!B:L,11,0))*((I1217*0.3048)^VLOOKUP(D1217,'Species Codes'!B:M,12,0))))-(VLOOKUP(D1217,'Species Codes'!B:I,8,0)*((((E1217*2.54)^VLOOKUP(D1217,'Species Codes'!B:L,11,0))*((I1217*0.3048)^VLOOKUP(D1217,'Species Codes'!B:M,12,0))))))*35.3*VLOOKUP(D1217,'Species Codes'!B:G,6,0)/2.2046,VLOOKUP(D1217,'Species Codes'!B:I,8,0)+VLOOKUP(D1217,'Species Codes'!B:J,9,0)*(((E1217*2.54)/100)^2)*(I1217*0.3048)))))*0.0011023),0)</f>
        <v>#N/A</v>
      </c>
      <c r="AC1217" s="104" t="e">
        <f>IF(Z1217&gt;0,((IF(OR(D1217="RA",D1217="OA",D1217="OT",D1217="UN",D1217="PC"),EXP(VLOOKUP(D1217,'Species Codes'!B:O,14,0)+VLOOKUP(D1217,'Species Codes'!B:P,15,0)*LN((E1217*2.54)))-EXP(VLOOKUP(D1217,'Species Codes'!B:O,14,0)+VLOOKUP(D1217,'Species Codes'!B:P,15,0)*LN((E1217*2.54)))*(1/(VLOOKUP(D1217,'Species Codes'!B:Q,16,0)+VLOOKUP(D1217,'Species Codes'!B:R,17,0)*((E1217*2.54)^VLOOKUP(D1217,'Species Codes'!B:S,18,0)))),IF(OR(D1217="BM",D1217="MD",D1217="OA"),EXP(VLOOKUP(D1217,'Species Codes'!B:O,14,0)+VLOOKUP(D1217,'Species Codes'!B:P,15,0)*LN((E1217*2.54)))*(1-(1/(VLOOKUP(D1217,'Species Codes'!B:Q,16,0)+VLOOKUP(D1217,'Species Codes'!B:R,17,0)*((E1217*2.54)^VLOOKUP(D1217,'Species Codes'!B:S,18,0)))))/1000,IF(D1217="DF",EXP(VLOOKUP(D1217,'Species Codes'!B:O,14,0)+VLOOKUP(D1217,'Species Codes'!B:P,15,0)*LN((E1217*2.54))),VLOOKUP(D1217,'Species Codes'!B:O,14,0)+VLOOKUP(D1217,'Species Codes'!B:P,15,0)*(((E1217*2.54)/100)^2)*(I1217*0.3048)))))*0.0011023),0)</f>
        <v>#N/A</v>
      </c>
      <c r="AD1217" s="104" t="e">
        <f t="shared" si="544"/>
        <v>#N/A</v>
      </c>
      <c r="AE1217" s="104" t="e">
        <f t="shared" si="545"/>
        <v>#N/A</v>
      </c>
      <c r="AF1217" s="104" t="e">
        <f>IF(AND(VLOOKUP($D1217,Merchantability!$B:$C,2,0)="Yes",$E1217&gt;=VLOOKUP($D1217,Merchantability!$B:$D,3,0),$E1217&lt;=VLOOKUP($D1217,Merchantability!$B:$E,4,0)),AA1217,0)</f>
        <v>#N/A</v>
      </c>
      <c r="AG1217" s="104" t="e">
        <f>IF(AND(VLOOKUP($D1217,Merchantability!$B:$C,2,0)="Yes",$E1217&gt;=VLOOKUP($D1217,Merchantability!$B:$D,3,0),$E1217&lt;=VLOOKUP($D1217,Merchantability!$B:$E,4,0)),AB1217,0)</f>
        <v>#N/A</v>
      </c>
      <c r="AH1217" s="104" t="e">
        <f>IF(AND(VLOOKUP($D1217,Merchantability!$B:$C,2,0)="Yes",$E1217&gt;=VLOOKUP($D1217,Merchantability!$B:$D,3,0),$E1217&lt;=VLOOKUP($D1217,Merchantability!$B:$E,4,0)),AC1217,0)</f>
        <v>#N/A</v>
      </c>
      <c r="AI1217" s="104" t="e">
        <f t="shared" si="546"/>
        <v>#N/A</v>
      </c>
      <c r="AJ1217" s="104" t="e">
        <f t="shared" si="547"/>
        <v>#VALUE!</v>
      </c>
      <c r="AK1217" s="104" t="e">
        <f t="shared" si="548"/>
        <v>#N/A</v>
      </c>
      <c r="AL1217" s="104" t="e">
        <f t="shared" si="549"/>
        <v>#N/A</v>
      </c>
      <c r="AM1217" s="104" t="e">
        <f t="shared" si="550"/>
        <v>#N/A</v>
      </c>
      <c r="AN1217" s="104" t="e">
        <f t="shared" si="534"/>
        <v>#N/A</v>
      </c>
      <c r="AO1217" s="104" t="e">
        <f t="shared" si="535"/>
        <v>#N/A</v>
      </c>
      <c r="AP1217" s="104" t="e">
        <f t="shared" si="536"/>
        <v>#N/A</v>
      </c>
      <c r="AQ1217" s="104" t="e">
        <f t="shared" si="537"/>
        <v>#N/A</v>
      </c>
      <c r="AR1217" s="105" t="str">
        <f t="shared" si="529"/>
        <v/>
      </c>
      <c r="AS1217" s="105" t="str">
        <f t="shared" si="530"/>
        <v/>
      </c>
      <c r="AT1217" s="108" t="str">
        <f t="shared" si="531"/>
        <v/>
      </c>
      <c r="AU1217" s="108" t="str">
        <f t="shared" si="532"/>
        <v/>
      </c>
      <c r="AV1217" s="107" t="str">
        <f>IF(ISNUMBER(O1217),IF(VLOOKUP($A1217,Stand!C:J,8,FALSE)="Short",AT1217,AU1217),"")</f>
        <v/>
      </c>
      <c r="AW1217" s="109" t="str">
        <f t="shared" si="538"/>
        <v/>
      </c>
      <c r="AX1217" s="109" t="str">
        <f t="shared" si="539"/>
        <v/>
      </c>
      <c r="AY1217" s="112" t="str">
        <f>IF(ISNUMBER(O1217),IF(AND(VLOOKUP($D1217,Merchantability!$B:$C,2,0)="Yes",$E1217&gt;=VLOOKUP($D1217,Merchantability!$B:$D,3,0),$E1217&lt;=VLOOKUP($D1217,Merchantability!$B:$E,4,0)),(AV1217*O1217)*(1-$H1217/100),""),"")</f>
        <v/>
      </c>
      <c r="AZ1217" s="116"/>
      <c r="BA1217" s="116"/>
      <c r="BB1217" s="116"/>
      <c r="BE1217" s="62"/>
      <c r="BF1217" s="63"/>
    </row>
    <row r="1218" spans="1:58" ht="12.75" customHeight="1" x14ac:dyDescent="0.25">
      <c r="A1218" s="313"/>
      <c r="B1218" s="328"/>
      <c r="C1218" s="329"/>
      <c r="D1218" s="328"/>
      <c r="E1218" s="330"/>
      <c r="F1218" s="328"/>
      <c r="G1218" s="329"/>
      <c r="H1218" s="329"/>
      <c r="I1218" s="328"/>
      <c r="J1218" s="383"/>
      <c r="K1218" s="329"/>
      <c r="L1218" s="329"/>
      <c r="M1218" s="76"/>
      <c r="N1218" s="103" t="str">
        <f>IF(A1218="","",VLOOKUP(A1218,Stand!C:K,9,0))</f>
        <v/>
      </c>
      <c r="O1218" s="104" t="str">
        <f t="shared" ref="O1218:O1281" si="551">IF(E1218&gt;0,IF(G1218&gt;1,G1218*(43560/(N1218^2*3.14)),43560/(N1218^2*3.14)),"")</f>
        <v/>
      </c>
      <c r="P1218" s="105" t="str">
        <f t="shared" ref="P1218:P1281" si="552">IF(ISNUMBER(O1218),E1218*O1218,"")</f>
        <v/>
      </c>
      <c r="Q1218" s="105" t="str">
        <f t="shared" si="540"/>
        <v/>
      </c>
      <c r="R1218" s="103" t="str">
        <f t="shared" ref="R1218:R1281" si="553">IF(ISNUMBER(O1218),E1218^2*0.005454*O1218,"")</f>
        <v/>
      </c>
      <c r="S1218" s="103" t="str">
        <f t="shared" ref="S1218:S1281" si="554">IF(ISNUMBER(O1218),(E1218/10)^1.7*O1218,"")</f>
        <v/>
      </c>
      <c r="T1218" s="106" t="str">
        <f t="shared" si="541"/>
        <v/>
      </c>
      <c r="U1218" s="106" t="str">
        <f t="shared" si="542"/>
        <v/>
      </c>
      <c r="V1218" s="106" t="str">
        <f t="shared" si="543"/>
        <v/>
      </c>
      <c r="W1218" s="105" t="str">
        <f t="shared" ref="W1218:W1281" si="555">IF(AND(ISNUMBER(O1218),I1218&gt;0),I1218/(E1218/12),"")</f>
        <v/>
      </c>
      <c r="X1218" s="104" t="str">
        <f t="shared" si="533"/>
        <v/>
      </c>
      <c r="Y1218" s="104" t="str">
        <f t="array" ref="Y1218">IFERROR(IF(ISNUMBER(O1218),IF(COUNT(IF(A1218=$A$2:$A$2427,IF(D1218=$D$2:$D$2427,IF($X$2:$X$2427&gt;0,1))))&gt;0,SUM(IF(A1218=$A$2:$A$2427,IF(D1218=$D$2:$D$2427,$X$2:$X$2427)))/COUNT(IF(A1218=$A$2:$A$2427,IF(D1218=$D$2:$D$2427,IF(ISNUMBER($X$2:$X$2427),1)))),0),""),0)</f>
        <v/>
      </c>
      <c r="Z1218" s="104" t="str">
        <f>IF(ISNUMBER(O1218),IF(I1218&gt;0,(10^(VLOOKUP(D1218,'Species Codes'!B:C,2,0)+VLOOKUP(D1218,'Species Codes'!B:D,3,0)*LOG(E1218)+VLOOKUP(D1218,'Species Codes'!B:E,4,0)*LOG(I1218))),0),"")</f>
        <v/>
      </c>
      <c r="AA1218" s="104" t="str">
        <f>IFERROR((VLOOKUP(D1218,'Species Codes'!B:G,6,0)*Z1218)/2000,"")</f>
        <v/>
      </c>
      <c r="AB1218" s="104" t="e">
        <f>IF(Z1218&gt;0,((IF(OR(D1218="DF",D1218="RA")=TRUE,EXP(VLOOKUP(D1218,'Species Codes'!B:I,8,0)+VLOOKUP(D1218,'Species Codes'!B:J,9,0)*(LN((E1218*2.54)))),IF(OR(D1218="PY",D1218="RC",D1218="WH",D1218="NF")=TRUE,VLOOKUP(D1218,'Species Codes'!B:I,8,0)+VLOOKUP(D1218,'Species Codes'!B:J,9,0)*((E1218*2.54)^2)*(I1218*0.3048),IF(OR(D1218="MD",D1218="BM",D1218="GA")=TRUE,((VLOOKUP(D1218,'Species Codes'!B:I,8,0)*(((((E1218*2.54)+VLOOKUP(D1218,'Species Codes'!B:J,9,0))/VLOOKUP(D1218,'Species Codes'!B:K,10,0))^VLOOKUP(D1218,'Species Codes'!B:L,11,0))*((I1218*0.3048)^VLOOKUP(D1218,'Species Codes'!B:M,12,0))))-(VLOOKUP(D1218,'Species Codes'!B:I,8,0)*((((E1218*2.54)^VLOOKUP(D1218,'Species Codes'!B:L,11,0))*((I1218*0.3048)^VLOOKUP(D1218,'Species Codes'!B:M,12,0))))))*35.3*VLOOKUP(D1218,'Species Codes'!B:G,6,0)/2.2046,VLOOKUP(D1218,'Species Codes'!B:I,8,0)+VLOOKUP(D1218,'Species Codes'!B:J,9,0)*(((E1218*2.54)/100)^2)*(I1218*0.3048)))))*0.0011023),0)</f>
        <v>#N/A</v>
      </c>
      <c r="AC1218" s="104" t="e">
        <f>IF(Z1218&gt;0,((IF(OR(D1218="RA",D1218="OA",D1218="OT",D1218="UN",D1218="PC"),EXP(VLOOKUP(D1218,'Species Codes'!B:O,14,0)+VLOOKUP(D1218,'Species Codes'!B:P,15,0)*LN((E1218*2.54)))-EXP(VLOOKUP(D1218,'Species Codes'!B:O,14,0)+VLOOKUP(D1218,'Species Codes'!B:P,15,0)*LN((E1218*2.54)))*(1/(VLOOKUP(D1218,'Species Codes'!B:Q,16,0)+VLOOKUP(D1218,'Species Codes'!B:R,17,0)*((E1218*2.54)^VLOOKUP(D1218,'Species Codes'!B:S,18,0)))),IF(OR(D1218="BM",D1218="MD",D1218="OA"),EXP(VLOOKUP(D1218,'Species Codes'!B:O,14,0)+VLOOKUP(D1218,'Species Codes'!B:P,15,0)*LN((E1218*2.54)))*(1-(1/(VLOOKUP(D1218,'Species Codes'!B:Q,16,0)+VLOOKUP(D1218,'Species Codes'!B:R,17,0)*((E1218*2.54)^VLOOKUP(D1218,'Species Codes'!B:S,18,0)))))/1000,IF(D1218="DF",EXP(VLOOKUP(D1218,'Species Codes'!B:O,14,0)+VLOOKUP(D1218,'Species Codes'!B:P,15,0)*LN((E1218*2.54))),VLOOKUP(D1218,'Species Codes'!B:O,14,0)+VLOOKUP(D1218,'Species Codes'!B:P,15,0)*(((E1218*2.54)/100)^2)*(I1218*0.3048)))))*0.0011023),0)</f>
        <v>#N/A</v>
      </c>
      <c r="AD1218" s="104" t="e">
        <f t="shared" si="544"/>
        <v>#N/A</v>
      </c>
      <c r="AE1218" s="104" t="e">
        <f t="shared" si="545"/>
        <v>#N/A</v>
      </c>
      <c r="AF1218" s="104" t="e">
        <f>IF(AND(VLOOKUP($D1218,Merchantability!$B:$C,2,0)="Yes",$E1218&gt;=VLOOKUP($D1218,Merchantability!$B:$D,3,0),$E1218&lt;=VLOOKUP($D1218,Merchantability!$B:$E,4,0)),AA1218,0)</f>
        <v>#N/A</v>
      </c>
      <c r="AG1218" s="104" t="e">
        <f>IF(AND(VLOOKUP($D1218,Merchantability!$B:$C,2,0)="Yes",$E1218&gt;=VLOOKUP($D1218,Merchantability!$B:$D,3,0),$E1218&lt;=VLOOKUP($D1218,Merchantability!$B:$E,4,0)),AB1218,0)</f>
        <v>#N/A</v>
      </c>
      <c r="AH1218" s="104" t="e">
        <f>IF(AND(VLOOKUP($D1218,Merchantability!$B:$C,2,0)="Yes",$E1218&gt;=VLOOKUP($D1218,Merchantability!$B:$D,3,0),$E1218&lt;=VLOOKUP($D1218,Merchantability!$B:$E,4,0)),AC1218,0)</f>
        <v>#N/A</v>
      </c>
      <c r="AI1218" s="104" t="e">
        <f t="shared" si="546"/>
        <v>#N/A</v>
      </c>
      <c r="AJ1218" s="104" t="e">
        <f t="shared" si="547"/>
        <v>#VALUE!</v>
      </c>
      <c r="AK1218" s="104" t="e">
        <f t="shared" si="548"/>
        <v>#N/A</v>
      </c>
      <c r="AL1218" s="104" t="e">
        <f t="shared" si="549"/>
        <v>#N/A</v>
      </c>
      <c r="AM1218" s="104" t="e">
        <f t="shared" si="550"/>
        <v>#N/A</v>
      </c>
      <c r="AN1218" s="104" t="e">
        <f t="shared" si="534"/>
        <v>#N/A</v>
      </c>
      <c r="AO1218" s="104" t="e">
        <f t="shared" si="535"/>
        <v>#N/A</v>
      </c>
      <c r="AP1218" s="104" t="e">
        <f t="shared" si="536"/>
        <v>#N/A</v>
      </c>
      <c r="AQ1218" s="104" t="e">
        <f t="shared" si="537"/>
        <v>#N/A</v>
      </c>
      <c r="AR1218" s="105" t="str">
        <f t="shared" ref="AR1218:AR1281" si="556">IF(ISNUMBER(O1218),IF(Y1218&gt;0,((Y1218*(E1218^2*0.005454-0.087266))/0.912733),0),"")</f>
        <v/>
      </c>
      <c r="AS1218" s="105" t="str">
        <f t="shared" ref="AS1218:AS1281" si="557">IF(ISNUMBER(O1218),AR1218*(0.993-0.993*(0.62^(E1218-6))),"")</f>
        <v/>
      </c>
      <c r="AT1218" s="108" t="str">
        <f t="shared" ref="AT1218:AT1281" si="558">IF(ISNUMBER(O1218),IF(AS1218&gt;0,IF(Y1218&gt;0,(AS1218*10^(0.174439+0.117594*(LOG(E1218,10))*(LOG(Y1218/0.912733,10))-8.210585/E1218^2+0.236693*(LOG(Y1218/0.912733,10))-0.00001345*(Y1218/0.912733)^2-0.00001937*E1218^2)),0),0),"")</f>
        <v/>
      </c>
      <c r="AU1218" s="108" t="str">
        <f t="shared" ref="AU1218:AU1281" si="559">IF(ISNUMBER(O1218),IF(AS1218&gt;0,IF(Y1218&gt;0,AT1218*(1.001491-(6.92497/Y1218)+(0.00001351*(E1218^2))),0),0),"")</f>
        <v/>
      </c>
      <c r="AV1218" s="107" t="str">
        <f>IF(ISNUMBER(O1218),IF(VLOOKUP($A1218,Stand!C:J,8,FALSE)="Short",AT1218,AU1218),"")</f>
        <v/>
      </c>
      <c r="AW1218" s="109" t="str">
        <f t="shared" si="538"/>
        <v/>
      </c>
      <c r="AX1218" s="109" t="str">
        <f t="shared" si="539"/>
        <v/>
      </c>
      <c r="AY1218" s="112" t="str">
        <f>IF(ISNUMBER(O1218),IF(AND(VLOOKUP($D1218,Merchantability!$B:$C,2,0)="Yes",$E1218&gt;=VLOOKUP($D1218,Merchantability!$B:$D,3,0),$E1218&lt;=VLOOKUP($D1218,Merchantability!$B:$E,4,0)),(AV1218*O1218)*(1-$H1218/100),""),"")</f>
        <v/>
      </c>
      <c r="AZ1218" s="116"/>
      <c r="BA1218" s="116"/>
      <c r="BB1218" s="116"/>
      <c r="BE1218" s="62"/>
      <c r="BF1218" s="63"/>
    </row>
    <row r="1219" spans="1:58" ht="12.75" customHeight="1" x14ac:dyDescent="0.25">
      <c r="A1219" s="313"/>
      <c r="B1219" s="328"/>
      <c r="C1219" s="329"/>
      <c r="D1219" s="328"/>
      <c r="E1219" s="330"/>
      <c r="F1219" s="328"/>
      <c r="G1219" s="329"/>
      <c r="H1219" s="329"/>
      <c r="I1219" s="328"/>
      <c r="J1219" s="383"/>
      <c r="K1219" s="329"/>
      <c r="L1219" s="329"/>
      <c r="M1219" s="76"/>
      <c r="N1219" s="103" t="str">
        <f>IF(A1219="","",VLOOKUP(A1219,Stand!C:K,9,0))</f>
        <v/>
      </c>
      <c r="O1219" s="104" t="str">
        <f t="shared" si="551"/>
        <v/>
      </c>
      <c r="P1219" s="105" t="str">
        <f t="shared" si="552"/>
        <v/>
      </c>
      <c r="Q1219" s="105" t="str">
        <f t="shared" si="540"/>
        <v/>
      </c>
      <c r="R1219" s="103" t="str">
        <f t="shared" si="553"/>
        <v/>
      </c>
      <c r="S1219" s="103" t="str">
        <f t="shared" si="554"/>
        <v/>
      </c>
      <c r="T1219" s="106" t="str">
        <f t="shared" si="541"/>
        <v/>
      </c>
      <c r="U1219" s="106" t="str">
        <f t="shared" si="542"/>
        <v/>
      </c>
      <c r="V1219" s="106" t="str">
        <f t="shared" si="543"/>
        <v/>
      </c>
      <c r="W1219" s="105" t="str">
        <f t="shared" si="555"/>
        <v/>
      </c>
      <c r="X1219" s="104" t="str">
        <f t="shared" ref="X1219:X1282" si="560">IF(ISNUMBER(O1219),IF(I1219&gt;0,IF(E1219&gt;0,(0.912733*Z1219)/(1.033*(1+1.382937*EXP(-4.015292*E1219/10))*((E1219^2)*0.005454+0.087266)-0.174533),""),""),"")</f>
        <v/>
      </c>
      <c r="Y1219" s="104" t="str">
        <f t="array" ref="Y1219">IFERROR(IF(ISNUMBER(O1219),IF(COUNT(IF(A1219=$A$2:$A$2427,IF(D1219=$D$2:$D$2427,IF($X$2:$X$2427&gt;0,1))))&gt;0,SUM(IF(A1219=$A$2:$A$2427,IF(D1219=$D$2:$D$2427,$X$2:$X$2427)))/COUNT(IF(A1219=$A$2:$A$2427,IF(D1219=$D$2:$D$2427,IF(ISNUMBER($X$2:$X$2427),1)))),0),""),0)</f>
        <v/>
      </c>
      <c r="Z1219" s="104" t="str">
        <f>IF(ISNUMBER(O1219),IF(I1219&gt;0,(10^(VLOOKUP(D1219,'Species Codes'!B:C,2,0)+VLOOKUP(D1219,'Species Codes'!B:D,3,0)*LOG(E1219)+VLOOKUP(D1219,'Species Codes'!B:E,4,0)*LOG(I1219))),0),"")</f>
        <v/>
      </c>
      <c r="AA1219" s="104" t="str">
        <f>IFERROR((VLOOKUP(D1219,'Species Codes'!B:G,6,0)*Z1219)/2000,"")</f>
        <v/>
      </c>
      <c r="AB1219" s="104" t="e">
        <f>IF(Z1219&gt;0,((IF(OR(D1219="DF",D1219="RA")=TRUE,EXP(VLOOKUP(D1219,'Species Codes'!B:I,8,0)+VLOOKUP(D1219,'Species Codes'!B:J,9,0)*(LN((E1219*2.54)))),IF(OR(D1219="PY",D1219="RC",D1219="WH",D1219="NF")=TRUE,VLOOKUP(D1219,'Species Codes'!B:I,8,0)+VLOOKUP(D1219,'Species Codes'!B:J,9,0)*((E1219*2.54)^2)*(I1219*0.3048),IF(OR(D1219="MD",D1219="BM",D1219="GA")=TRUE,((VLOOKUP(D1219,'Species Codes'!B:I,8,0)*(((((E1219*2.54)+VLOOKUP(D1219,'Species Codes'!B:J,9,0))/VLOOKUP(D1219,'Species Codes'!B:K,10,0))^VLOOKUP(D1219,'Species Codes'!B:L,11,0))*((I1219*0.3048)^VLOOKUP(D1219,'Species Codes'!B:M,12,0))))-(VLOOKUP(D1219,'Species Codes'!B:I,8,0)*((((E1219*2.54)^VLOOKUP(D1219,'Species Codes'!B:L,11,0))*((I1219*0.3048)^VLOOKUP(D1219,'Species Codes'!B:M,12,0))))))*35.3*VLOOKUP(D1219,'Species Codes'!B:G,6,0)/2.2046,VLOOKUP(D1219,'Species Codes'!B:I,8,0)+VLOOKUP(D1219,'Species Codes'!B:J,9,0)*(((E1219*2.54)/100)^2)*(I1219*0.3048)))))*0.0011023),0)</f>
        <v>#N/A</v>
      </c>
      <c r="AC1219" s="104" t="e">
        <f>IF(Z1219&gt;0,((IF(OR(D1219="RA",D1219="OA",D1219="OT",D1219="UN",D1219="PC"),EXP(VLOOKUP(D1219,'Species Codes'!B:O,14,0)+VLOOKUP(D1219,'Species Codes'!B:P,15,0)*LN((E1219*2.54)))-EXP(VLOOKUP(D1219,'Species Codes'!B:O,14,0)+VLOOKUP(D1219,'Species Codes'!B:P,15,0)*LN((E1219*2.54)))*(1/(VLOOKUP(D1219,'Species Codes'!B:Q,16,0)+VLOOKUP(D1219,'Species Codes'!B:R,17,0)*((E1219*2.54)^VLOOKUP(D1219,'Species Codes'!B:S,18,0)))),IF(OR(D1219="BM",D1219="MD",D1219="OA"),EXP(VLOOKUP(D1219,'Species Codes'!B:O,14,0)+VLOOKUP(D1219,'Species Codes'!B:P,15,0)*LN((E1219*2.54)))*(1-(1/(VLOOKUP(D1219,'Species Codes'!B:Q,16,0)+VLOOKUP(D1219,'Species Codes'!B:R,17,0)*((E1219*2.54)^VLOOKUP(D1219,'Species Codes'!B:S,18,0)))))/1000,IF(D1219="DF",EXP(VLOOKUP(D1219,'Species Codes'!B:O,14,0)+VLOOKUP(D1219,'Species Codes'!B:P,15,0)*LN((E1219*2.54))),VLOOKUP(D1219,'Species Codes'!B:O,14,0)+VLOOKUP(D1219,'Species Codes'!B:P,15,0)*(((E1219*2.54)/100)^2)*(I1219*0.3048)))))*0.0011023),0)</f>
        <v>#N/A</v>
      </c>
      <c r="AD1219" s="104" t="e">
        <f t="shared" si="544"/>
        <v>#N/A</v>
      </c>
      <c r="AE1219" s="104" t="e">
        <f t="shared" si="545"/>
        <v>#N/A</v>
      </c>
      <c r="AF1219" s="104" t="e">
        <f>IF(AND(VLOOKUP($D1219,Merchantability!$B:$C,2,0)="Yes",$E1219&gt;=VLOOKUP($D1219,Merchantability!$B:$D,3,0),$E1219&lt;=VLOOKUP($D1219,Merchantability!$B:$E,4,0)),AA1219,0)</f>
        <v>#N/A</v>
      </c>
      <c r="AG1219" s="104" t="e">
        <f>IF(AND(VLOOKUP($D1219,Merchantability!$B:$C,2,0)="Yes",$E1219&gt;=VLOOKUP($D1219,Merchantability!$B:$D,3,0),$E1219&lt;=VLOOKUP($D1219,Merchantability!$B:$E,4,0)),AB1219,0)</f>
        <v>#N/A</v>
      </c>
      <c r="AH1219" s="104" t="e">
        <f>IF(AND(VLOOKUP($D1219,Merchantability!$B:$C,2,0)="Yes",$E1219&gt;=VLOOKUP($D1219,Merchantability!$B:$D,3,0),$E1219&lt;=VLOOKUP($D1219,Merchantability!$B:$E,4,0)),AC1219,0)</f>
        <v>#N/A</v>
      </c>
      <c r="AI1219" s="104" t="e">
        <f t="shared" si="546"/>
        <v>#N/A</v>
      </c>
      <c r="AJ1219" s="104" t="e">
        <f t="shared" si="547"/>
        <v>#VALUE!</v>
      </c>
      <c r="AK1219" s="104" t="e">
        <f t="shared" si="548"/>
        <v>#N/A</v>
      </c>
      <c r="AL1219" s="104" t="e">
        <f t="shared" si="549"/>
        <v>#N/A</v>
      </c>
      <c r="AM1219" s="104" t="e">
        <f t="shared" si="550"/>
        <v>#N/A</v>
      </c>
      <c r="AN1219" s="104" t="e">
        <f t="shared" ref="AN1219:AN1282" si="561">AF1219*$O1219</f>
        <v>#N/A</v>
      </c>
      <c r="AO1219" s="104" t="e">
        <f t="shared" ref="AO1219:AO1282" si="562">AG1219*$O1219</f>
        <v>#N/A</v>
      </c>
      <c r="AP1219" s="104" t="e">
        <f t="shared" ref="AP1219:AP1282" si="563">AH1219*$O1219</f>
        <v>#N/A</v>
      </c>
      <c r="AQ1219" s="104" t="e">
        <f t="shared" ref="AQ1219:AQ1282" si="564">SUM(AN1219:AP1219)</f>
        <v>#N/A</v>
      </c>
      <c r="AR1219" s="105" t="str">
        <f t="shared" si="556"/>
        <v/>
      </c>
      <c r="AS1219" s="105" t="str">
        <f t="shared" si="557"/>
        <v/>
      </c>
      <c r="AT1219" s="108" t="str">
        <f t="shared" si="558"/>
        <v/>
      </c>
      <c r="AU1219" s="108" t="str">
        <f t="shared" si="559"/>
        <v/>
      </c>
      <c r="AV1219" s="107" t="str">
        <f>IF(ISNUMBER(O1219),IF(VLOOKUP($A1219,Stand!C:J,8,FALSE)="Short",AT1219,AU1219),"")</f>
        <v/>
      </c>
      <c r="AW1219" s="109" t="str">
        <f t="shared" ref="AW1219:AW1282" si="565">IF(ISNUMBER(O1219),AV1219*O1219,"")</f>
        <v/>
      </c>
      <c r="AX1219" s="109" t="str">
        <f t="shared" ref="AX1219:AX1282" si="566">IF(ISNUMBER(O1219),AW1219*(1-$H1219/100),"")</f>
        <v/>
      </c>
      <c r="AY1219" s="112" t="str">
        <f>IF(ISNUMBER(O1219),IF(AND(VLOOKUP($D1219,Merchantability!$B:$C,2,0)="Yes",$E1219&gt;=VLOOKUP($D1219,Merchantability!$B:$D,3,0),$E1219&lt;=VLOOKUP($D1219,Merchantability!$B:$E,4,0)),(AV1219*O1219)*(1-$H1219/100),""),"")</f>
        <v/>
      </c>
      <c r="AZ1219" s="116"/>
      <c r="BA1219" s="116"/>
      <c r="BB1219" s="116"/>
      <c r="BE1219" s="62"/>
      <c r="BF1219" s="63"/>
    </row>
    <row r="1220" spans="1:58" ht="12.75" customHeight="1" x14ac:dyDescent="0.25">
      <c r="A1220" s="313"/>
      <c r="B1220" s="328"/>
      <c r="C1220" s="329"/>
      <c r="D1220" s="328"/>
      <c r="E1220" s="330"/>
      <c r="F1220" s="328"/>
      <c r="G1220" s="329"/>
      <c r="H1220" s="329"/>
      <c r="I1220" s="328"/>
      <c r="J1220" s="383"/>
      <c r="K1220" s="329"/>
      <c r="L1220" s="329"/>
      <c r="M1220" s="76"/>
      <c r="N1220" s="103" t="str">
        <f>IF(A1220="","",VLOOKUP(A1220,Stand!C:K,9,0))</f>
        <v/>
      </c>
      <c r="O1220" s="104" t="str">
        <f t="shared" si="551"/>
        <v/>
      </c>
      <c r="P1220" s="105" t="str">
        <f t="shared" si="552"/>
        <v/>
      </c>
      <c r="Q1220" s="105" t="str">
        <f t="shared" si="540"/>
        <v/>
      </c>
      <c r="R1220" s="103" t="str">
        <f t="shared" si="553"/>
        <v/>
      </c>
      <c r="S1220" s="103" t="str">
        <f t="shared" si="554"/>
        <v/>
      </c>
      <c r="T1220" s="106" t="str">
        <f t="shared" si="541"/>
        <v/>
      </c>
      <c r="U1220" s="106" t="str">
        <f t="shared" si="542"/>
        <v/>
      </c>
      <c r="V1220" s="106" t="str">
        <f t="shared" si="543"/>
        <v/>
      </c>
      <c r="W1220" s="105" t="str">
        <f t="shared" si="555"/>
        <v/>
      </c>
      <c r="X1220" s="104" t="str">
        <f t="shared" si="560"/>
        <v/>
      </c>
      <c r="Y1220" s="104" t="str">
        <f t="array" ref="Y1220">IFERROR(IF(ISNUMBER(O1220),IF(COUNT(IF(A1220=$A$2:$A$2427,IF(D1220=$D$2:$D$2427,IF($X$2:$X$2427&gt;0,1))))&gt;0,SUM(IF(A1220=$A$2:$A$2427,IF(D1220=$D$2:$D$2427,$X$2:$X$2427)))/COUNT(IF(A1220=$A$2:$A$2427,IF(D1220=$D$2:$D$2427,IF(ISNUMBER($X$2:$X$2427),1)))),0),""),0)</f>
        <v/>
      </c>
      <c r="Z1220" s="104" t="str">
        <f>IF(ISNUMBER(O1220),IF(I1220&gt;0,(10^(VLOOKUP(D1220,'Species Codes'!B:C,2,0)+VLOOKUP(D1220,'Species Codes'!B:D,3,0)*LOG(E1220)+VLOOKUP(D1220,'Species Codes'!B:E,4,0)*LOG(I1220))),0),"")</f>
        <v/>
      </c>
      <c r="AA1220" s="104" t="str">
        <f>IFERROR((VLOOKUP(D1220,'Species Codes'!B:G,6,0)*Z1220)/2000,"")</f>
        <v/>
      </c>
      <c r="AB1220" s="104" t="e">
        <f>IF(Z1220&gt;0,((IF(OR(D1220="DF",D1220="RA")=TRUE,EXP(VLOOKUP(D1220,'Species Codes'!B:I,8,0)+VLOOKUP(D1220,'Species Codes'!B:J,9,0)*(LN((E1220*2.54)))),IF(OR(D1220="PY",D1220="RC",D1220="WH",D1220="NF")=TRUE,VLOOKUP(D1220,'Species Codes'!B:I,8,0)+VLOOKUP(D1220,'Species Codes'!B:J,9,0)*((E1220*2.54)^2)*(I1220*0.3048),IF(OR(D1220="MD",D1220="BM",D1220="GA")=TRUE,((VLOOKUP(D1220,'Species Codes'!B:I,8,0)*(((((E1220*2.54)+VLOOKUP(D1220,'Species Codes'!B:J,9,0))/VLOOKUP(D1220,'Species Codes'!B:K,10,0))^VLOOKUP(D1220,'Species Codes'!B:L,11,0))*((I1220*0.3048)^VLOOKUP(D1220,'Species Codes'!B:M,12,0))))-(VLOOKUP(D1220,'Species Codes'!B:I,8,0)*((((E1220*2.54)^VLOOKUP(D1220,'Species Codes'!B:L,11,0))*((I1220*0.3048)^VLOOKUP(D1220,'Species Codes'!B:M,12,0))))))*35.3*VLOOKUP(D1220,'Species Codes'!B:G,6,0)/2.2046,VLOOKUP(D1220,'Species Codes'!B:I,8,0)+VLOOKUP(D1220,'Species Codes'!B:J,9,0)*(((E1220*2.54)/100)^2)*(I1220*0.3048)))))*0.0011023),0)</f>
        <v>#N/A</v>
      </c>
      <c r="AC1220" s="104" t="e">
        <f>IF(Z1220&gt;0,((IF(OR(D1220="RA",D1220="OA",D1220="OT",D1220="UN",D1220="PC"),EXP(VLOOKUP(D1220,'Species Codes'!B:O,14,0)+VLOOKUP(D1220,'Species Codes'!B:P,15,0)*LN((E1220*2.54)))-EXP(VLOOKUP(D1220,'Species Codes'!B:O,14,0)+VLOOKUP(D1220,'Species Codes'!B:P,15,0)*LN((E1220*2.54)))*(1/(VLOOKUP(D1220,'Species Codes'!B:Q,16,0)+VLOOKUP(D1220,'Species Codes'!B:R,17,0)*((E1220*2.54)^VLOOKUP(D1220,'Species Codes'!B:S,18,0)))),IF(OR(D1220="BM",D1220="MD",D1220="OA"),EXP(VLOOKUP(D1220,'Species Codes'!B:O,14,0)+VLOOKUP(D1220,'Species Codes'!B:P,15,0)*LN((E1220*2.54)))*(1-(1/(VLOOKUP(D1220,'Species Codes'!B:Q,16,0)+VLOOKUP(D1220,'Species Codes'!B:R,17,0)*((E1220*2.54)^VLOOKUP(D1220,'Species Codes'!B:S,18,0)))))/1000,IF(D1220="DF",EXP(VLOOKUP(D1220,'Species Codes'!B:O,14,0)+VLOOKUP(D1220,'Species Codes'!B:P,15,0)*LN((E1220*2.54))),VLOOKUP(D1220,'Species Codes'!B:O,14,0)+VLOOKUP(D1220,'Species Codes'!B:P,15,0)*(((E1220*2.54)/100)^2)*(I1220*0.3048)))))*0.0011023),0)</f>
        <v>#N/A</v>
      </c>
      <c r="AD1220" s="104" t="e">
        <f t="shared" si="544"/>
        <v>#N/A</v>
      </c>
      <c r="AE1220" s="104" t="e">
        <f t="shared" si="545"/>
        <v>#N/A</v>
      </c>
      <c r="AF1220" s="104" t="e">
        <f>IF(AND(VLOOKUP($D1220,Merchantability!$B:$C,2,0)="Yes",$E1220&gt;=VLOOKUP($D1220,Merchantability!$B:$D,3,0),$E1220&lt;=VLOOKUP($D1220,Merchantability!$B:$E,4,0)),AA1220,0)</f>
        <v>#N/A</v>
      </c>
      <c r="AG1220" s="104" t="e">
        <f>IF(AND(VLOOKUP($D1220,Merchantability!$B:$C,2,0)="Yes",$E1220&gt;=VLOOKUP($D1220,Merchantability!$B:$D,3,0),$E1220&lt;=VLOOKUP($D1220,Merchantability!$B:$E,4,0)),AB1220,0)</f>
        <v>#N/A</v>
      </c>
      <c r="AH1220" s="104" t="e">
        <f>IF(AND(VLOOKUP($D1220,Merchantability!$B:$C,2,0)="Yes",$E1220&gt;=VLOOKUP($D1220,Merchantability!$B:$D,3,0),$E1220&lt;=VLOOKUP($D1220,Merchantability!$B:$E,4,0)),AC1220,0)</f>
        <v>#N/A</v>
      </c>
      <c r="AI1220" s="104" t="e">
        <f t="shared" si="546"/>
        <v>#N/A</v>
      </c>
      <c r="AJ1220" s="104" t="e">
        <f t="shared" si="547"/>
        <v>#VALUE!</v>
      </c>
      <c r="AK1220" s="104" t="e">
        <f t="shared" si="548"/>
        <v>#N/A</v>
      </c>
      <c r="AL1220" s="104" t="e">
        <f t="shared" si="549"/>
        <v>#N/A</v>
      </c>
      <c r="AM1220" s="104" t="e">
        <f t="shared" si="550"/>
        <v>#N/A</v>
      </c>
      <c r="AN1220" s="104" t="e">
        <f t="shared" si="561"/>
        <v>#N/A</v>
      </c>
      <c r="AO1220" s="104" t="e">
        <f t="shared" si="562"/>
        <v>#N/A</v>
      </c>
      <c r="AP1220" s="104" t="e">
        <f t="shared" si="563"/>
        <v>#N/A</v>
      </c>
      <c r="AQ1220" s="104" t="e">
        <f t="shared" si="564"/>
        <v>#N/A</v>
      </c>
      <c r="AR1220" s="105" t="str">
        <f t="shared" si="556"/>
        <v/>
      </c>
      <c r="AS1220" s="105" t="str">
        <f t="shared" si="557"/>
        <v/>
      </c>
      <c r="AT1220" s="108" t="str">
        <f t="shared" si="558"/>
        <v/>
      </c>
      <c r="AU1220" s="108" t="str">
        <f t="shared" si="559"/>
        <v/>
      </c>
      <c r="AV1220" s="107" t="str">
        <f>IF(ISNUMBER(O1220),IF(VLOOKUP($A1220,Stand!C:J,8,FALSE)="Short",AT1220,AU1220),"")</f>
        <v/>
      </c>
      <c r="AW1220" s="109" t="str">
        <f t="shared" si="565"/>
        <v/>
      </c>
      <c r="AX1220" s="109" t="str">
        <f t="shared" si="566"/>
        <v/>
      </c>
      <c r="AY1220" s="112" t="str">
        <f>IF(ISNUMBER(O1220),IF(AND(VLOOKUP($D1220,Merchantability!$B:$C,2,0)="Yes",$E1220&gt;=VLOOKUP($D1220,Merchantability!$B:$D,3,0),$E1220&lt;=VLOOKUP($D1220,Merchantability!$B:$E,4,0)),(AV1220*O1220)*(1-$H1220/100),""),"")</f>
        <v/>
      </c>
      <c r="AZ1220" s="116"/>
      <c r="BA1220" s="116"/>
      <c r="BB1220" s="116"/>
      <c r="BE1220" s="62"/>
      <c r="BF1220" s="63"/>
    </row>
    <row r="1221" spans="1:58" ht="12.75" customHeight="1" x14ac:dyDescent="0.25">
      <c r="A1221" s="313"/>
      <c r="B1221" s="328"/>
      <c r="C1221" s="329"/>
      <c r="D1221" s="328"/>
      <c r="E1221" s="330"/>
      <c r="F1221" s="328"/>
      <c r="G1221" s="329"/>
      <c r="H1221" s="329"/>
      <c r="I1221" s="328"/>
      <c r="J1221" s="383"/>
      <c r="K1221" s="329"/>
      <c r="L1221" s="329"/>
      <c r="M1221" s="76"/>
      <c r="N1221" s="103" t="str">
        <f>IF(A1221="","",VLOOKUP(A1221,Stand!C:K,9,0))</f>
        <v/>
      </c>
      <c r="O1221" s="104" t="str">
        <f t="shared" si="551"/>
        <v/>
      </c>
      <c r="P1221" s="105" t="str">
        <f t="shared" si="552"/>
        <v/>
      </c>
      <c r="Q1221" s="105" t="str">
        <f t="shared" si="540"/>
        <v/>
      </c>
      <c r="R1221" s="103" t="str">
        <f t="shared" si="553"/>
        <v/>
      </c>
      <c r="S1221" s="103" t="str">
        <f t="shared" si="554"/>
        <v/>
      </c>
      <c r="T1221" s="106" t="str">
        <f t="shared" si="541"/>
        <v/>
      </c>
      <c r="U1221" s="106" t="str">
        <f t="shared" si="542"/>
        <v/>
      </c>
      <c r="V1221" s="106" t="str">
        <f t="shared" si="543"/>
        <v/>
      </c>
      <c r="W1221" s="105" t="str">
        <f t="shared" si="555"/>
        <v/>
      </c>
      <c r="X1221" s="104" t="str">
        <f t="shared" si="560"/>
        <v/>
      </c>
      <c r="Y1221" s="104" t="str">
        <f t="array" ref="Y1221">IFERROR(IF(ISNUMBER(O1221),IF(COUNT(IF(A1221=$A$2:$A$2427,IF(D1221=$D$2:$D$2427,IF($X$2:$X$2427&gt;0,1))))&gt;0,SUM(IF(A1221=$A$2:$A$2427,IF(D1221=$D$2:$D$2427,$X$2:$X$2427)))/COUNT(IF(A1221=$A$2:$A$2427,IF(D1221=$D$2:$D$2427,IF(ISNUMBER($X$2:$X$2427),1)))),0),""),0)</f>
        <v/>
      </c>
      <c r="Z1221" s="104" t="str">
        <f>IF(ISNUMBER(O1221),IF(I1221&gt;0,(10^(VLOOKUP(D1221,'Species Codes'!B:C,2,0)+VLOOKUP(D1221,'Species Codes'!B:D,3,0)*LOG(E1221)+VLOOKUP(D1221,'Species Codes'!B:E,4,0)*LOG(I1221))),0),"")</f>
        <v/>
      </c>
      <c r="AA1221" s="104" t="str">
        <f>IFERROR((VLOOKUP(D1221,'Species Codes'!B:G,6,0)*Z1221)/2000,"")</f>
        <v/>
      </c>
      <c r="AB1221" s="104" t="e">
        <f>IF(Z1221&gt;0,((IF(OR(D1221="DF",D1221="RA")=TRUE,EXP(VLOOKUP(D1221,'Species Codes'!B:I,8,0)+VLOOKUP(D1221,'Species Codes'!B:J,9,0)*(LN((E1221*2.54)))),IF(OR(D1221="PY",D1221="RC",D1221="WH",D1221="NF")=TRUE,VLOOKUP(D1221,'Species Codes'!B:I,8,0)+VLOOKUP(D1221,'Species Codes'!B:J,9,0)*((E1221*2.54)^2)*(I1221*0.3048),IF(OR(D1221="MD",D1221="BM",D1221="GA")=TRUE,((VLOOKUP(D1221,'Species Codes'!B:I,8,0)*(((((E1221*2.54)+VLOOKUP(D1221,'Species Codes'!B:J,9,0))/VLOOKUP(D1221,'Species Codes'!B:K,10,0))^VLOOKUP(D1221,'Species Codes'!B:L,11,0))*((I1221*0.3048)^VLOOKUP(D1221,'Species Codes'!B:M,12,0))))-(VLOOKUP(D1221,'Species Codes'!B:I,8,0)*((((E1221*2.54)^VLOOKUP(D1221,'Species Codes'!B:L,11,0))*((I1221*0.3048)^VLOOKUP(D1221,'Species Codes'!B:M,12,0))))))*35.3*VLOOKUP(D1221,'Species Codes'!B:G,6,0)/2.2046,VLOOKUP(D1221,'Species Codes'!B:I,8,0)+VLOOKUP(D1221,'Species Codes'!B:J,9,0)*(((E1221*2.54)/100)^2)*(I1221*0.3048)))))*0.0011023),0)</f>
        <v>#N/A</v>
      </c>
      <c r="AC1221" s="104" t="e">
        <f>IF(Z1221&gt;0,((IF(OR(D1221="RA",D1221="OA",D1221="OT",D1221="UN",D1221="PC"),EXP(VLOOKUP(D1221,'Species Codes'!B:O,14,0)+VLOOKUP(D1221,'Species Codes'!B:P,15,0)*LN((E1221*2.54)))-EXP(VLOOKUP(D1221,'Species Codes'!B:O,14,0)+VLOOKUP(D1221,'Species Codes'!B:P,15,0)*LN((E1221*2.54)))*(1/(VLOOKUP(D1221,'Species Codes'!B:Q,16,0)+VLOOKUP(D1221,'Species Codes'!B:R,17,0)*((E1221*2.54)^VLOOKUP(D1221,'Species Codes'!B:S,18,0)))),IF(OR(D1221="BM",D1221="MD",D1221="OA"),EXP(VLOOKUP(D1221,'Species Codes'!B:O,14,0)+VLOOKUP(D1221,'Species Codes'!B:P,15,0)*LN((E1221*2.54)))*(1-(1/(VLOOKUP(D1221,'Species Codes'!B:Q,16,0)+VLOOKUP(D1221,'Species Codes'!B:R,17,0)*((E1221*2.54)^VLOOKUP(D1221,'Species Codes'!B:S,18,0)))))/1000,IF(D1221="DF",EXP(VLOOKUP(D1221,'Species Codes'!B:O,14,0)+VLOOKUP(D1221,'Species Codes'!B:P,15,0)*LN((E1221*2.54))),VLOOKUP(D1221,'Species Codes'!B:O,14,0)+VLOOKUP(D1221,'Species Codes'!B:P,15,0)*(((E1221*2.54)/100)^2)*(I1221*0.3048)))))*0.0011023),0)</f>
        <v>#N/A</v>
      </c>
      <c r="AD1221" s="104" t="e">
        <f t="shared" si="544"/>
        <v>#N/A</v>
      </c>
      <c r="AE1221" s="104" t="e">
        <f t="shared" si="545"/>
        <v>#N/A</v>
      </c>
      <c r="AF1221" s="104" t="e">
        <f>IF(AND(VLOOKUP($D1221,Merchantability!$B:$C,2,0)="Yes",$E1221&gt;=VLOOKUP($D1221,Merchantability!$B:$D,3,0),$E1221&lt;=VLOOKUP($D1221,Merchantability!$B:$E,4,0)),AA1221,0)</f>
        <v>#N/A</v>
      </c>
      <c r="AG1221" s="104" t="e">
        <f>IF(AND(VLOOKUP($D1221,Merchantability!$B:$C,2,0)="Yes",$E1221&gt;=VLOOKUP($D1221,Merchantability!$B:$D,3,0),$E1221&lt;=VLOOKUP($D1221,Merchantability!$B:$E,4,0)),AB1221,0)</f>
        <v>#N/A</v>
      </c>
      <c r="AH1221" s="104" t="e">
        <f>IF(AND(VLOOKUP($D1221,Merchantability!$B:$C,2,0)="Yes",$E1221&gt;=VLOOKUP($D1221,Merchantability!$B:$D,3,0),$E1221&lt;=VLOOKUP($D1221,Merchantability!$B:$E,4,0)),AC1221,0)</f>
        <v>#N/A</v>
      </c>
      <c r="AI1221" s="104" t="e">
        <f t="shared" si="546"/>
        <v>#N/A</v>
      </c>
      <c r="AJ1221" s="104" t="e">
        <f t="shared" si="547"/>
        <v>#VALUE!</v>
      </c>
      <c r="AK1221" s="104" t="e">
        <f t="shared" si="548"/>
        <v>#N/A</v>
      </c>
      <c r="AL1221" s="104" t="e">
        <f t="shared" si="549"/>
        <v>#N/A</v>
      </c>
      <c r="AM1221" s="104" t="e">
        <f t="shared" si="550"/>
        <v>#N/A</v>
      </c>
      <c r="AN1221" s="104" t="e">
        <f t="shared" si="561"/>
        <v>#N/A</v>
      </c>
      <c r="AO1221" s="104" t="e">
        <f t="shared" si="562"/>
        <v>#N/A</v>
      </c>
      <c r="AP1221" s="104" t="e">
        <f t="shared" si="563"/>
        <v>#N/A</v>
      </c>
      <c r="AQ1221" s="104" t="e">
        <f t="shared" si="564"/>
        <v>#N/A</v>
      </c>
      <c r="AR1221" s="105" t="str">
        <f t="shared" si="556"/>
        <v/>
      </c>
      <c r="AS1221" s="105" t="str">
        <f t="shared" si="557"/>
        <v/>
      </c>
      <c r="AT1221" s="108" t="str">
        <f t="shared" si="558"/>
        <v/>
      </c>
      <c r="AU1221" s="108" t="str">
        <f t="shared" si="559"/>
        <v/>
      </c>
      <c r="AV1221" s="107" t="str">
        <f>IF(ISNUMBER(O1221),IF(VLOOKUP($A1221,Stand!C:J,8,FALSE)="Short",AT1221,AU1221),"")</f>
        <v/>
      </c>
      <c r="AW1221" s="109" t="str">
        <f t="shared" si="565"/>
        <v/>
      </c>
      <c r="AX1221" s="109" t="str">
        <f t="shared" si="566"/>
        <v/>
      </c>
      <c r="AY1221" s="112" t="str">
        <f>IF(ISNUMBER(O1221),IF(AND(VLOOKUP($D1221,Merchantability!$B:$C,2,0)="Yes",$E1221&gt;=VLOOKUP($D1221,Merchantability!$B:$D,3,0),$E1221&lt;=VLOOKUP($D1221,Merchantability!$B:$E,4,0)),(AV1221*O1221)*(1-$H1221/100),""),"")</f>
        <v/>
      </c>
      <c r="AZ1221" s="116"/>
      <c r="BA1221" s="116"/>
      <c r="BB1221" s="116"/>
      <c r="BE1221" s="62"/>
      <c r="BF1221" s="63"/>
    </row>
    <row r="1222" spans="1:58" ht="12.75" customHeight="1" x14ac:dyDescent="0.25">
      <c r="A1222" s="313"/>
      <c r="B1222" s="328"/>
      <c r="C1222" s="329"/>
      <c r="D1222" s="328"/>
      <c r="E1222" s="330"/>
      <c r="F1222" s="328"/>
      <c r="G1222" s="329"/>
      <c r="H1222" s="329"/>
      <c r="I1222" s="328"/>
      <c r="J1222" s="383"/>
      <c r="K1222" s="329"/>
      <c r="L1222" s="329"/>
      <c r="M1222" s="76"/>
      <c r="N1222" s="103" t="str">
        <f>IF(A1222="","",VLOOKUP(A1222,Stand!C:K,9,0))</f>
        <v/>
      </c>
      <c r="O1222" s="104" t="str">
        <f t="shared" si="551"/>
        <v/>
      </c>
      <c r="P1222" s="105" t="str">
        <f t="shared" si="552"/>
        <v/>
      </c>
      <c r="Q1222" s="105" t="str">
        <f t="shared" si="540"/>
        <v/>
      </c>
      <c r="R1222" s="103" t="str">
        <f t="shared" si="553"/>
        <v/>
      </c>
      <c r="S1222" s="103" t="str">
        <f t="shared" si="554"/>
        <v/>
      </c>
      <c r="T1222" s="106" t="str">
        <f t="shared" si="541"/>
        <v/>
      </c>
      <c r="U1222" s="106" t="str">
        <f t="shared" si="542"/>
        <v/>
      </c>
      <c r="V1222" s="106" t="str">
        <f t="shared" si="543"/>
        <v/>
      </c>
      <c r="W1222" s="105" t="str">
        <f t="shared" si="555"/>
        <v/>
      </c>
      <c r="X1222" s="104" t="str">
        <f t="shared" si="560"/>
        <v/>
      </c>
      <c r="Y1222" s="104" t="str">
        <f t="array" ref="Y1222">IFERROR(IF(ISNUMBER(O1222),IF(COUNT(IF(A1222=$A$2:$A$2427,IF(D1222=$D$2:$D$2427,IF($X$2:$X$2427&gt;0,1))))&gt;0,SUM(IF(A1222=$A$2:$A$2427,IF(D1222=$D$2:$D$2427,$X$2:$X$2427)))/COUNT(IF(A1222=$A$2:$A$2427,IF(D1222=$D$2:$D$2427,IF(ISNUMBER($X$2:$X$2427),1)))),0),""),0)</f>
        <v/>
      </c>
      <c r="Z1222" s="104" t="str">
        <f>IF(ISNUMBER(O1222),IF(I1222&gt;0,(10^(VLOOKUP(D1222,'Species Codes'!B:C,2,0)+VLOOKUP(D1222,'Species Codes'!B:D,3,0)*LOG(E1222)+VLOOKUP(D1222,'Species Codes'!B:E,4,0)*LOG(I1222))),0),"")</f>
        <v/>
      </c>
      <c r="AA1222" s="104" t="str">
        <f>IFERROR((VLOOKUP(D1222,'Species Codes'!B:G,6,0)*Z1222)/2000,"")</f>
        <v/>
      </c>
      <c r="AB1222" s="104" t="e">
        <f>IF(Z1222&gt;0,((IF(OR(D1222="DF",D1222="RA")=TRUE,EXP(VLOOKUP(D1222,'Species Codes'!B:I,8,0)+VLOOKUP(D1222,'Species Codes'!B:J,9,0)*(LN((E1222*2.54)))),IF(OR(D1222="PY",D1222="RC",D1222="WH",D1222="NF")=TRUE,VLOOKUP(D1222,'Species Codes'!B:I,8,0)+VLOOKUP(D1222,'Species Codes'!B:J,9,0)*((E1222*2.54)^2)*(I1222*0.3048),IF(OR(D1222="MD",D1222="BM",D1222="GA")=TRUE,((VLOOKUP(D1222,'Species Codes'!B:I,8,0)*(((((E1222*2.54)+VLOOKUP(D1222,'Species Codes'!B:J,9,0))/VLOOKUP(D1222,'Species Codes'!B:K,10,0))^VLOOKUP(D1222,'Species Codes'!B:L,11,0))*((I1222*0.3048)^VLOOKUP(D1222,'Species Codes'!B:M,12,0))))-(VLOOKUP(D1222,'Species Codes'!B:I,8,0)*((((E1222*2.54)^VLOOKUP(D1222,'Species Codes'!B:L,11,0))*((I1222*0.3048)^VLOOKUP(D1222,'Species Codes'!B:M,12,0))))))*35.3*VLOOKUP(D1222,'Species Codes'!B:G,6,0)/2.2046,VLOOKUP(D1222,'Species Codes'!B:I,8,0)+VLOOKUP(D1222,'Species Codes'!B:J,9,0)*(((E1222*2.54)/100)^2)*(I1222*0.3048)))))*0.0011023),0)</f>
        <v>#N/A</v>
      </c>
      <c r="AC1222" s="104" t="e">
        <f>IF(Z1222&gt;0,((IF(OR(D1222="RA",D1222="OA",D1222="OT",D1222="UN",D1222="PC"),EXP(VLOOKUP(D1222,'Species Codes'!B:O,14,0)+VLOOKUP(D1222,'Species Codes'!B:P,15,0)*LN((E1222*2.54)))-EXP(VLOOKUP(D1222,'Species Codes'!B:O,14,0)+VLOOKUP(D1222,'Species Codes'!B:P,15,0)*LN((E1222*2.54)))*(1/(VLOOKUP(D1222,'Species Codes'!B:Q,16,0)+VLOOKUP(D1222,'Species Codes'!B:R,17,0)*((E1222*2.54)^VLOOKUP(D1222,'Species Codes'!B:S,18,0)))),IF(OR(D1222="BM",D1222="MD",D1222="OA"),EXP(VLOOKUP(D1222,'Species Codes'!B:O,14,0)+VLOOKUP(D1222,'Species Codes'!B:P,15,0)*LN((E1222*2.54)))*(1-(1/(VLOOKUP(D1222,'Species Codes'!B:Q,16,0)+VLOOKUP(D1222,'Species Codes'!B:R,17,0)*((E1222*2.54)^VLOOKUP(D1222,'Species Codes'!B:S,18,0)))))/1000,IF(D1222="DF",EXP(VLOOKUP(D1222,'Species Codes'!B:O,14,0)+VLOOKUP(D1222,'Species Codes'!B:P,15,0)*LN((E1222*2.54))),VLOOKUP(D1222,'Species Codes'!B:O,14,0)+VLOOKUP(D1222,'Species Codes'!B:P,15,0)*(((E1222*2.54)/100)^2)*(I1222*0.3048)))))*0.0011023),0)</f>
        <v>#N/A</v>
      </c>
      <c r="AD1222" s="104" t="e">
        <f t="shared" si="544"/>
        <v>#N/A</v>
      </c>
      <c r="AE1222" s="104" t="e">
        <f t="shared" si="545"/>
        <v>#N/A</v>
      </c>
      <c r="AF1222" s="104" t="e">
        <f>IF(AND(VLOOKUP($D1222,Merchantability!$B:$C,2,0)="Yes",$E1222&gt;=VLOOKUP($D1222,Merchantability!$B:$D,3,0),$E1222&lt;=VLOOKUP($D1222,Merchantability!$B:$E,4,0)),AA1222,0)</f>
        <v>#N/A</v>
      </c>
      <c r="AG1222" s="104" t="e">
        <f>IF(AND(VLOOKUP($D1222,Merchantability!$B:$C,2,0)="Yes",$E1222&gt;=VLOOKUP($D1222,Merchantability!$B:$D,3,0),$E1222&lt;=VLOOKUP($D1222,Merchantability!$B:$E,4,0)),AB1222,0)</f>
        <v>#N/A</v>
      </c>
      <c r="AH1222" s="104" t="e">
        <f>IF(AND(VLOOKUP($D1222,Merchantability!$B:$C,2,0)="Yes",$E1222&gt;=VLOOKUP($D1222,Merchantability!$B:$D,3,0),$E1222&lt;=VLOOKUP($D1222,Merchantability!$B:$E,4,0)),AC1222,0)</f>
        <v>#N/A</v>
      </c>
      <c r="AI1222" s="104" t="e">
        <f t="shared" si="546"/>
        <v>#N/A</v>
      </c>
      <c r="AJ1222" s="104" t="e">
        <f t="shared" si="547"/>
        <v>#VALUE!</v>
      </c>
      <c r="AK1222" s="104" t="e">
        <f t="shared" si="548"/>
        <v>#N/A</v>
      </c>
      <c r="AL1222" s="104" t="e">
        <f t="shared" si="549"/>
        <v>#N/A</v>
      </c>
      <c r="AM1222" s="104" t="e">
        <f t="shared" si="550"/>
        <v>#N/A</v>
      </c>
      <c r="AN1222" s="104" t="e">
        <f t="shared" si="561"/>
        <v>#N/A</v>
      </c>
      <c r="AO1222" s="104" t="e">
        <f t="shared" si="562"/>
        <v>#N/A</v>
      </c>
      <c r="AP1222" s="104" t="e">
        <f t="shared" si="563"/>
        <v>#N/A</v>
      </c>
      <c r="AQ1222" s="104" t="e">
        <f t="shared" si="564"/>
        <v>#N/A</v>
      </c>
      <c r="AR1222" s="105" t="str">
        <f t="shared" si="556"/>
        <v/>
      </c>
      <c r="AS1222" s="105" t="str">
        <f t="shared" si="557"/>
        <v/>
      </c>
      <c r="AT1222" s="108" t="str">
        <f t="shared" si="558"/>
        <v/>
      </c>
      <c r="AU1222" s="108" t="str">
        <f t="shared" si="559"/>
        <v/>
      </c>
      <c r="AV1222" s="107" t="str">
        <f>IF(ISNUMBER(O1222),IF(VLOOKUP($A1222,Stand!C:J,8,FALSE)="Short",AT1222,AU1222),"")</f>
        <v/>
      </c>
      <c r="AW1222" s="109" t="str">
        <f t="shared" si="565"/>
        <v/>
      </c>
      <c r="AX1222" s="109" t="str">
        <f t="shared" si="566"/>
        <v/>
      </c>
      <c r="AY1222" s="112" t="str">
        <f>IF(ISNUMBER(O1222),IF(AND(VLOOKUP($D1222,Merchantability!$B:$C,2,0)="Yes",$E1222&gt;=VLOOKUP($D1222,Merchantability!$B:$D,3,0),$E1222&lt;=VLOOKUP($D1222,Merchantability!$B:$E,4,0)),(AV1222*O1222)*(1-$H1222/100),""),"")</f>
        <v/>
      </c>
      <c r="AZ1222" s="116"/>
      <c r="BA1222" s="116"/>
      <c r="BB1222" s="116"/>
      <c r="BE1222" s="62"/>
      <c r="BF1222" s="63"/>
    </row>
    <row r="1223" spans="1:58" ht="12.75" customHeight="1" x14ac:dyDescent="0.25">
      <c r="A1223" s="313"/>
      <c r="B1223" s="328"/>
      <c r="C1223" s="329"/>
      <c r="D1223" s="328"/>
      <c r="E1223" s="330"/>
      <c r="F1223" s="328"/>
      <c r="G1223" s="329"/>
      <c r="H1223" s="329"/>
      <c r="I1223" s="328"/>
      <c r="J1223" s="383"/>
      <c r="K1223" s="329"/>
      <c r="L1223" s="329"/>
      <c r="M1223" s="76"/>
      <c r="N1223" s="103" t="str">
        <f>IF(A1223="","",VLOOKUP(A1223,Stand!C:K,9,0))</f>
        <v/>
      </c>
      <c r="O1223" s="104" t="str">
        <f t="shared" si="551"/>
        <v/>
      </c>
      <c r="P1223" s="105" t="str">
        <f t="shared" si="552"/>
        <v/>
      </c>
      <c r="Q1223" s="105" t="str">
        <f t="shared" si="540"/>
        <v/>
      </c>
      <c r="R1223" s="103" t="str">
        <f t="shared" si="553"/>
        <v/>
      </c>
      <c r="S1223" s="103" t="str">
        <f t="shared" si="554"/>
        <v/>
      </c>
      <c r="T1223" s="106" t="str">
        <f t="shared" si="541"/>
        <v/>
      </c>
      <c r="U1223" s="106" t="str">
        <f t="shared" si="542"/>
        <v/>
      </c>
      <c r="V1223" s="106" t="str">
        <f t="shared" si="543"/>
        <v/>
      </c>
      <c r="W1223" s="105" t="str">
        <f t="shared" si="555"/>
        <v/>
      </c>
      <c r="X1223" s="104" t="str">
        <f t="shared" si="560"/>
        <v/>
      </c>
      <c r="Y1223" s="104" t="str">
        <f t="array" ref="Y1223">IFERROR(IF(ISNUMBER(O1223),IF(COUNT(IF(A1223=$A$2:$A$2427,IF(D1223=$D$2:$D$2427,IF($X$2:$X$2427&gt;0,1))))&gt;0,SUM(IF(A1223=$A$2:$A$2427,IF(D1223=$D$2:$D$2427,$X$2:$X$2427)))/COUNT(IF(A1223=$A$2:$A$2427,IF(D1223=$D$2:$D$2427,IF(ISNUMBER($X$2:$X$2427),1)))),0),""),0)</f>
        <v/>
      </c>
      <c r="Z1223" s="104" t="str">
        <f>IF(ISNUMBER(O1223),IF(I1223&gt;0,(10^(VLOOKUP(D1223,'Species Codes'!B:C,2,0)+VLOOKUP(D1223,'Species Codes'!B:D,3,0)*LOG(E1223)+VLOOKUP(D1223,'Species Codes'!B:E,4,0)*LOG(I1223))),0),"")</f>
        <v/>
      </c>
      <c r="AA1223" s="104" t="str">
        <f>IFERROR((VLOOKUP(D1223,'Species Codes'!B:G,6,0)*Z1223)/2000,"")</f>
        <v/>
      </c>
      <c r="AB1223" s="104" t="e">
        <f>IF(Z1223&gt;0,((IF(OR(D1223="DF",D1223="RA")=TRUE,EXP(VLOOKUP(D1223,'Species Codes'!B:I,8,0)+VLOOKUP(D1223,'Species Codes'!B:J,9,0)*(LN((E1223*2.54)))),IF(OR(D1223="PY",D1223="RC",D1223="WH",D1223="NF")=TRUE,VLOOKUP(D1223,'Species Codes'!B:I,8,0)+VLOOKUP(D1223,'Species Codes'!B:J,9,0)*((E1223*2.54)^2)*(I1223*0.3048),IF(OR(D1223="MD",D1223="BM",D1223="GA")=TRUE,((VLOOKUP(D1223,'Species Codes'!B:I,8,0)*(((((E1223*2.54)+VLOOKUP(D1223,'Species Codes'!B:J,9,0))/VLOOKUP(D1223,'Species Codes'!B:K,10,0))^VLOOKUP(D1223,'Species Codes'!B:L,11,0))*((I1223*0.3048)^VLOOKUP(D1223,'Species Codes'!B:M,12,0))))-(VLOOKUP(D1223,'Species Codes'!B:I,8,0)*((((E1223*2.54)^VLOOKUP(D1223,'Species Codes'!B:L,11,0))*((I1223*0.3048)^VLOOKUP(D1223,'Species Codes'!B:M,12,0))))))*35.3*VLOOKUP(D1223,'Species Codes'!B:G,6,0)/2.2046,VLOOKUP(D1223,'Species Codes'!B:I,8,0)+VLOOKUP(D1223,'Species Codes'!B:J,9,0)*(((E1223*2.54)/100)^2)*(I1223*0.3048)))))*0.0011023),0)</f>
        <v>#N/A</v>
      </c>
      <c r="AC1223" s="104" t="e">
        <f>IF(Z1223&gt;0,((IF(OR(D1223="RA",D1223="OA",D1223="OT",D1223="UN",D1223="PC"),EXP(VLOOKUP(D1223,'Species Codes'!B:O,14,0)+VLOOKUP(D1223,'Species Codes'!B:P,15,0)*LN((E1223*2.54)))-EXP(VLOOKUP(D1223,'Species Codes'!B:O,14,0)+VLOOKUP(D1223,'Species Codes'!B:P,15,0)*LN((E1223*2.54)))*(1/(VLOOKUP(D1223,'Species Codes'!B:Q,16,0)+VLOOKUP(D1223,'Species Codes'!B:R,17,0)*((E1223*2.54)^VLOOKUP(D1223,'Species Codes'!B:S,18,0)))),IF(OR(D1223="BM",D1223="MD",D1223="OA"),EXP(VLOOKUP(D1223,'Species Codes'!B:O,14,0)+VLOOKUP(D1223,'Species Codes'!B:P,15,0)*LN((E1223*2.54)))*(1-(1/(VLOOKUP(D1223,'Species Codes'!B:Q,16,0)+VLOOKUP(D1223,'Species Codes'!B:R,17,0)*((E1223*2.54)^VLOOKUP(D1223,'Species Codes'!B:S,18,0)))))/1000,IF(D1223="DF",EXP(VLOOKUP(D1223,'Species Codes'!B:O,14,0)+VLOOKUP(D1223,'Species Codes'!B:P,15,0)*LN((E1223*2.54))),VLOOKUP(D1223,'Species Codes'!B:O,14,0)+VLOOKUP(D1223,'Species Codes'!B:P,15,0)*(((E1223*2.54)/100)^2)*(I1223*0.3048)))))*0.0011023),0)</f>
        <v>#N/A</v>
      </c>
      <c r="AD1223" s="104" t="e">
        <f t="shared" si="544"/>
        <v>#N/A</v>
      </c>
      <c r="AE1223" s="104" t="e">
        <f t="shared" si="545"/>
        <v>#N/A</v>
      </c>
      <c r="AF1223" s="104" t="e">
        <f>IF(AND(VLOOKUP($D1223,Merchantability!$B:$C,2,0)="Yes",$E1223&gt;=VLOOKUP($D1223,Merchantability!$B:$D,3,0),$E1223&lt;=VLOOKUP($D1223,Merchantability!$B:$E,4,0)),AA1223,0)</f>
        <v>#N/A</v>
      </c>
      <c r="AG1223" s="104" t="e">
        <f>IF(AND(VLOOKUP($D1223,Merchantability!$B:$C,2,0)="Yes",$E1223&gt;=VLOOKUP($D1223,Merchantability!$B:$D,3,0),$E1223&lt;=VLOOKUP($D1223,Merchantability!$B:$E,4,0)),AB1223,0)</f>
        <v>#N/A</v>
      </c>
      <c r="AH1223" s="104" t="e">
        <f>IF(AND(VLOOKUP($D1223,Merchantability!$B:$C,2,0)="Yes",$E1223&gt;=VLOOKUP($D1223,Merchantability!$B:$D,3,0),$E1223&lt;=VLOOKUP($D1223,Merchantability!$B:$E,4,0)),AC1223,0)</f>
        <v>#N/A</v>
      </c>
      <c r="AI1223" s="104" t="e">
        <f t="shared" si="546"/>
        <v>#N/A</v>
      </c>
      <c r="AJ1223" s="104" t="e">
        <f t="shared" si="547"/>
        <v>#VALUE!</v>
      </c>
      <c r="AK1223" s="104" t="e">
        <f t="shared" si="548"/>
        <v>#N/A</v>
      </c>
      <c r="AL1223" s="104" t="e">
        <f t="shared" si="549"/>
        <v>#N/A</v>
      </c>
      <c r="AM1223" s="104" t="e">
        <f t="shared" si="550"/>
        <v>#N/A</v>
      </c>
      <c r="AN1223" s="104" t="e">
        <f t="shared" si="561"/>
        <v>#N/A</v>
      </c>
      <c r="AO1223" s="104" t="e">
        <f t="shared" si="562"/>
        <v>#N/A</v>
      </c>
      <c r="AP1223" s="104" t="e">
        <f t="shared" si="563"/>
        <v>#N/A</v>
      </c>
      <c r="AQ1223" s="104" t="e">
        <f t="shared" si="564"/>
        <v>#N/A</v>
      </c>
      <c r="AR1223" s="105" t="str">
        <f t="shared" si="556"/>
        <v/>
      </c>
      <c r="AS1223" s="105" t="str">
        <f t="shared" si="557"/>
        <v/>
      </c>
      <c r="AT1223" s="108" t="str">
        <f t="shared" si="558"/>
        <v/>
      </c>
      <c r="AU1223" s="108" t="str">
        <f t="shared" si="559"/>
        <v/>
      </c>
      <c r="AV1223" s="107" t="str">
        <f>IF(ISNUMBER(O1223),IF(VLOOKUP($A1223,Stand!C:J,8,FALSE)="Short",AT1223,AU1223),"")</f>
        <v/>
      </c>
      <c r="AW1223" s="109" t="str">
        <f t="shared" si="565"/>
        <v/>
      </c>
      <c r="AX1223" s="109" t="str">
        <f t="shared" si="566"/>
        <v/>
      </c>
      <c r="AY1223" s="112" t="str">
        <f>IF(ISNUMBER(O1223),IF(AND(VLOOKUP($D1223,Merchantability!$B:$C,2,0)="Yes",$E1223&gt;=VLOOKUP($D1223,Merchantability!$B:$D,3,0),$E1223&lt;=VLOOKUP($D1223,Merchantability!$B:$E,4,0)),(AV1223*O1223)*(1-$H1223/100),""),"")</f>
        <v/>
      </c>
      <c r="AZ1223" s="116"/>
      <c r="BA1223" s="116"/>
      <c r="BB1223" s="116"/>
      <c r="BE1223" s="62"/>
      <c r="BF1223" s="63"/>
    </row>
    <row r="1224" spans="1:58" ht="12.75" customHeight="1" x14ac:dyDescent="0.25">
      <c r="A1224" s="313"/>
      <c r="B1224" s="328"/>
      <c r="C1224" s="329"/>
      <c r="D1224" s="328"/>
      <c r="E1224" s="330"/>
      <c r="F1224" s="328"/>
      <c r="G1224" s="329"/>
      <c r="H1224" s="329"/>
      <c r="I1224" s="328"/>
      <c r="J1224" s="383"/>
      <c r="K1224" s="329"/>
      <c r="L1224" s="329"/>
      <c r="M1224" s="76"/>
      <c r="N1224" s="103" t="str">
        <f>IF(A1224="","",VLOOKUP(A1224,Stand!C:K,9,0))</f>
        <v/>
      </c>
      <c r="O1224" s="104" t="str">
        <f t="shared" si="551"/>
        <v/>
      </c>
      <c r="P1224" s="105" t="str">
        <f t="shared" si="552"/>
        <v/>
      </c>
      <c r="Q1224" s="105" t="str">
        <f t="shared" si="540"/>
        <v/>
      </c>
      <c r="R1224" s="103" t="str">
        <f t="shared" si="553"/>
        <v/>
      </c>
      <c r="S1224" s="103" t="str">
        <f t="shared" si="554"/>
        <v/>
      </c>
      <c r="T1224" s="106" t="str">
        <f t="shared" si="541"/>
        <v/>
      </c>
      <c r="U1224" s="106" t="str">
        <f t="shared" si="542"/>
        <v/>
      </c>
      <c r="V1224" s="106" t="str">
        <f t="shared" si="543"/>
        <v/>
      </c>
      <c r="W1224" s="105" t="str">
        <f t="shared" si="555"/>
        <v/>
      </c>
      <c r="X1224" s="104" t="str">
        <f t="shared" si="560"/>
        <v/>
      </c>
      <c r="Y1224" s="104" t="str">
        <f t="array" ref="Y1224">IFERROR(IF(ISNUMBER(O1224),IF(COUNT(IF(A1224=$A$2:$A$2427,IF(D1224=$D$2:$D$2427,IF($X$2:$X$2427&gt;0,1))))&gt;0,SUM(IF(A1224=$A$2:$A$2427,IF(D1224=$D$2:$D$2427,$X$2:$X$2427)))/COUNT(IF(A1224=$A$2:$A$2427,IF(D1224=$D$2:$D$2427,IF(ISNUMBER($X$2:$X$2427),1)))),0),""),0)</f>
        <v/>
      </c>
      <c r="Z1224" s="104" t="str">
        <f>IF(ISNUMBER(O1224),IF(I1224&gt;0,(10^(VLOOKUP(D1224,'Species Codes'!B:C,2,0)+VLOOKUP(D1224,'Species Codes'!B:D,3,0)*LOG(E1224)+VLOOKUP(D1224,'Species Codes'!B:E,4,0)*LOG(I1224))),0),"")</f>
        <v/>
      </c>
      <c r="AA1224" s="104" t="str">
        <f>IFERROR((VLOOKUP(D1224,'Species Codes'!B:G,6,0)*Z1224)/2000,"")</f>
        <v/>
      </c>
      <c r="AB1224" s="104" t="e">
        <f>IF(Z1224&gt;0,((IF(OR(D1224="DF",D1224="RA")=TRUE,EXP(VLOOKUP(D1224,'Species Codes'!B:I,8,0)+VLOOKUP(D1224,'Species Codes'!B:J,9,0)*(LN((E1224*2.54)))),IF(OR(D1224="PY",D1224="RC",D1224="WH",D1224="NF")=TRUE,VLOOKUP(D1224,'Species Codes'!B:I,8,0)+VLOOKUP(D1224,'Species Codes'!B:J,9,0)*((E1224*2.54)^2)*(I1224*0.3048),IF(OR(D1224="MD",D1224="BM",D1224="GA")=TRUE,((VLOOKUP(D1224,'Species Codes'!B:I,8,0)*(((((E1224*2.54)+VLOOKUP(D1224,'Species Codes'!B:J,9,0))/VLOOKUP(D1224,'Species Codes'!B:K,10,0))^VLOOKUP(D1224,'Species Codes'!B:L,11,0))*((I1224*0.3048)^VLOOKUP(D1224,'Species Codes'!B:M,12,0))))-(VLOOKUP(D1224,'Species Codes'!B:I,8,0)*((((E1224*2.54)^VLOOKUP(D1224,'Species Codes'!B:L,11,0))*((I1224*0.3048)^VLOOKUP(D1224,'Species Codes'!B:M,12,0))))))*35.3*VLOOKUP(D1224,'Species Codes'!B:G,6,0)/2.2046,VLOOKUP(D1224,'Species Codes'!B:I,8,0)+VLOOKUP(D1224,'Species Codes'!B:J,9,0)*(((E1224*2.54)/100)^2)*(I1224*0.3048)))))*0.0011023),0)</f>
        <v>#N/A</v>
      </c>
      <c r="AC1224" s="104" t="e">
        <f>IF(Z1224&gt;0,((IF(OR(D1224="RA",D1224="OA",D1224="OT",D1224="UN",D1224="PC"),EXP(VLOOKUP(D1224,'Species Codes'!B:O,14,0)+VLOOKUP(D1224,'Species Codes'!B:P,15,0)*LN((E1224*2.54)))-EXP(VLOOKUP(D1224,'Species Codes'!B:O,14,0)+VLOOKUP(D1224,'Species Codes'!B:P,15,0)*LN((E1224*2.54)))*(1/(VLOOKUP(D1224,'Species Codes'!B:Q,16,0)+VLOOKUP(D1224,'Species Codes'!B:R,17,0)*((E1224*2.54)^VLOOKUP(D1224,'Species Codes'!B:S,18,0)))),IF(OR(D1224="BM",D1224="MD",D1224="OA"),EXP(VLOOKUP(D1224,'Species Codes'!B:O,14,0)+VLOOKUP(D1224,'Species Codes'!B:P,15,0)*LN((E1224*2.54)))*(1-(1/(VLOOKUP(D1224,'Species Codes'!B:Q,16,0)+VLOOKUP(D1224,'Species Codes'!B:R,17,0)*((E1224*2.54)^VLOOKUP(D1224,'Species Codes'!B:S,18,0)))))/1000,IF(D1224="DF",EXP(VLOOKUP(D1224,'Species Codes'!B:O,14,0)+VLOOKUP(D1224,'Species Codes'!B:P,15,0)*LN((E1224*2.54))),VLOOKUP(D1224,'Species Codes'!B:O,14,0)+VLOOKUP(D1224,'Species Codes'!B:P,15,0)*(((E1224*2.54)/100)^2)*(I1224*0.3048)))))*0.0011023),0)</f>
        <v>#N/A</v>
      </c>
      <c r="AD1224" s="104" t="e">
        <f t="shared" si="544"/>
        <v>#N/A</v>
      </c>
      <c r="AE1224" s="104" t="e">
        <f t="shared" si="545"/>
        <v>#N/A</v>
      </c>
      <c r="AF1224" s="104" t="e">
        <f>IF(AND(VLOOKUP($D1224,Merchantability!$B:$C,2,0)="Yes",$E1224&gt;=VLOOKUP($D1224,Merchantability!$B:$D,3,0),$E1224&lt;=VLOOKUP($D1224,Merchantability!$B:$E,4,0)),AA1224,0)</f>
        <v>#N/A</v>
      </c>
      <c r="AG1224" s="104" t="e">
        <f>IF(AND(VLOOKUP($D1224,Merchantability!$B:$C,2,0)="Yes",$E1224&gt;=VLOOKUP($D1224,Merchantability!$B:$D,3,0),$E1224&lt;=VLOOKUP($D1224,Merchantability!$B:$E,4,0)),AB1224,0)</f>
        <v>#N/A</v>
      </c>
      <c r="AH1224" s="104" t="e">
        <f>IF(AND(VLOOKUP($D1224,Merchantability!$B:$C,2,0)="Yes",$E1224&gt;=VLOOKUP($D1224,Merchantability!$B:$D,3,0),$E1224&lt;=VLOOKUP($D1224,Merchantability!$B:$E,4,0)),AC1224,0)</f>
        <v>#N/A</v>
      </c>
      <c r="AI1224" s="104" t="e">
        <f t="shared" si="546"/>
        <v>#N/A</v>
      </c>
      <c r="AJ1224" s="104" t="e">
        <f t="shared" si="547"/>
        <v>#VALUE!</v>
      </c>
      <c r="AK1224" s="104" t="e">
        <f t="shared" si="548"/>
        <v>#N/A</v>
      </c>
      <c r="AL1224" s="104" t="e">
        <f t="shared" si="549"/>
        <v>#N/A</v>
      </c>
      <c r="AM1224" s="104" t="e">
        <f t="shared" si="550"/>
        <v>#N/A</v>
      </c>
      <c r="AN1224" s="104" t="e">
        <f t="shared" si="561"/>
        <v>#N/A</v>
      </c>
      <c r="AO1224" s="104" t="e">
        <f t="shared" si="562"/>
        <v>#N/A</v>
      </c>
      <c r="AP1224" s="104" t="e">
        <f t="shared" si="563"/>
        <v>#N/A</v>
      </c>
      <c r="AQ1224" s="104" t="e">
        <f t="shared" si="564"/>
        <v>#N/A</v>
      </c>
      <c r="AR1224" s="105" t="str">
        <f t="shared" si="556"/>
        <v/>
      </c>
      <c r="AS1224" s="105" t="str">
        <f t="shared" si="557"/>
        <v/>
      </c>
      <c r="AT1224" s="108" t="str">
        <f t="shared" si="558"/>
        <v/>
      </c>
      <c r="AU1224" s="108" t="str">
        <f t="shared" si="559"/>
        <v/>
      </c>
      <c r="AV1224" s="107" t="str">
        <f>IF(ISNUMBER(O1224),IF(VLOOKUP($A1224,Stand!C:J,8,FALSE)="Short",AT1224,AU1224),"")</f>
        <v/>
      </c>
      <c r="AW1224" s="109" t="str">
        <f t="shared" si="565"/>
        <v/>
      </c>
      <c r="AX1224" s="109" t="str">
        <f t="shared" si="566"/>
        <v/>
      </c>
      <c r="AY1224" s="112" t="str">
        <f>IF(ISNUMBER(O1224),IF(AND(VLOOKUP($D1224,Merchantability!$B:$C,2,0)="Yes",$E1224&gt;=VLOOKUP($D1224,Merchantability!$B:$D,3,0),$E1224&lt;=VLOOKUP($D1224,Merchantability!$B:$E,4,0)),(AV1224*O1224)*(1-$H1224/100),""),"")</f>
        <v/>
      </c>
      <c r="AZ1224" s="116"/>
      <c r="BA1224" s="116"/>
      <c r="BB1224" s="116"/>
      <c r="BE1224" s="62"/>
      <c r="BF1224" s="63"/>
    </row>
    <row r="1225" spans="1:58" ht="12.75" customHeight="1" x14ac:dyDescent="0.25">
      <c r="A1225" s="313"/>
      <c r="B1225" s="328"/>
      <c r="C1225" s="329"/>
      <c r="D1225" s="328"/>
      <c r="E1225" s="330"/>
      <c r="F1225" s="328"/>
      <c r="G1225" s="329"/>
      <c r="H1225" s="329"/>
      <c r="I1225" s="328"/>
      <c r="J1225" s="383"/>
      <c r="K1225" s="329"/>
      <c r="L1225" s="329"/>
      <c r="M1225" s="76"/>
      <c r="N1225" s="103" t="str">
        <f>IF(A1225="","",VLOOKUP(A1225,Stand!C:K,9,0))</f>
        <v/>
      </c>
      <c r="O1225" s="104" t="str">
        <f t="shared" si="551"/>
        <v/>
      </c>
      <c r="P1225" s="105" t="str">
        <f t="shared" si="552"/>
        <v/>
      </c>
      <c r="Q1225" s="105" t="str">
        <f t="shared" si="540"/>
        <v/>
      </c>
      <c r="R1225" s="103" t="str">
        <f t="shared" si="553"/>
        <v/>
      </c>
      <c r="S1225" s="103" t="str">
        <f t="shared" si="554"/>
        <v/>
      </c>
      <c r="T1225" s="106" t="str">
        <f t="shared" si="541"/>
        <v/>
      </c>
      <c r="U1225" s="106" t="str">
        <f t="shared" si="542"/>
        <v/>
      </c>
      <c r="V1225" s="106" t="str">
        <f t="shared" si="543"/>
        <v/>
      </c>
      <c r="W1225" s="105" t="str">
        <f t="shared" si="555"/>
        <v/>
      </c>
      <c r="X1225" s="104" t="str">
        <f t="shared" si="560"/>
        <v/>
      </c>
      <c r="Y1225" s="104" t="str">
        <f t="array" ref="Y1225">IFERROR(IF(ISNUMBER(O1225),IF(COUNT(IF(A1225=$A$2:$A$2427,IF(D1225=$D$2:$D$2427,IF($X$2:$X$2427&gt;0,1))))&gt;0,SUM(IF(A1225=$A$2:$A$2427,IF(D1225=$D$2:$D$2427,$X$2:$X$2427)))/COUNT(IF(A1225=$A$2:$A$2427,IF(D1225=$D$2:$D$2427,IF(ISNUMBER($X$2:$X$2427),1)))),0),""),0)</f>
        <v/>
      </c>
      <c r="Z1225" s="104" t="str">
        <f>IF(ISNUMBER(O1225),IF(I1225&gt;0,(10^(VLOOKUP(D1225,'Species Codes'!B:C,2,0)+VLOOKUP(D1225,'Species Codes'!B:D,3,0)*LOG(E1225)+VLOOKUP(D1225,'Species Codes'!B:E,4,0)*LOG(I1225))),0),"")</f>
        <v/>
      </c>
      <c r="AA1225" s="104" t="str">
        <f>IFERROR((VLOOKUP(D1225,'Species Codes'!B:G,6,0)*Z1225)/2000,"")</f>
        <v/>
      </c>
      <c r="AB1225" s="104" t="e">
        <f>IF(Z1225&gt;0,((IF(OR(D1225="DF",D1225="RA")=TRUE,EXP(VLOOKUP(D1225,'Species Codes'!B:I,8,0)+VLOOKUP(D1225,'Species Codes'!B:J,9,0)*(LN((E1225*2.54)))),IF(OR(D1225="PY",D1225="RC",D1225="WH",D1225="NF")=TRUE,VLOOKUP(D1225,'Species Codes'!B:I,8,0)+VLOOKUP(D1225,'Species Codes'!B:J,9,0)*((E1225*2.54)^2)*(I1225*0.3048),IF(OR(D1225="MD",D1225="BM",D1225="GA")=TRUE,((VLOOKUP(D1225,'Species Codes'!B:I,8,0)*(((((E1225*2.54)+VLOOKUP(D1225,'Species Codes'!B:J,9,0))/VLOOKUP(D1225,'Species Codes'!B:K,10,0))^VLOOKUP(D1225,'Species Codes'!B:L,11,0))*((I1225*0.3048)^VLOOKUP(D1225,'Species Codes'!B:M,12,0))))-(VLOOKUP(D1225,'Species Codes'!B:I,8,0)*((((E1225*2.54)^VLOOKUP(D1225,'Species Codes'!B:L,11,0))*((I1225*0.3048)^VLOOKUP(D1225,'Species Codes'!B:M,12,0))))))*35.3*VLOOKUP(D1225,'Species Codes'!B:G,6,0)/2.2046,VLOOKUP(D1225,'Species Codes'!B:I,8,0)+VLOOKUP(D1225,'Species Codes'!B:J,9,0)*(((E1225*2.54)/100)^2)*(I1225*0.3048)))))*0.0011023),0)</f>
        <v>#N/A</v>
      </c>
      <c r="AC1225" s="104" t="e">
        <f>IF(Z1225&gt;0,((IF(OR(D1225="RA",D1225="OA",D1225="OT",D1225="UN",D1225="PC"),EXP(VLOOKUP(D1225,'Species Codes'!B:O,14,0)+VLOOKUP(D1225,'Species Codes'!B:P,15,0)*LN((E1225*2.54)))-EXP(VLOOKUP(D1225,'Species Codes'!B:O,14,0)+VLOOKUP(D1225,'Species Codes'!B:P,15,0)*LN((E1225*2.54)))*(1/(VLOOKUP(D1225,'Species Codes'!B:Q,16,0)+VLOOKUP(D1225,'Species Codes'!B:R,17,0)*((E1225*2.54)^VLOOKUP(D1225,'Species Codes'!B:S,18,0)))),IF(OR(D1225="BM",D1225="MD",D1225="OA"),EXP(VLOOKUP(D1225,'Species Codes'!B:O,14,0)+VLOOKUP(D1225,'Species Codes'!B:P,15,0)*LN((E1225*2.54)))*(1-(1/(VLOOKUP(D1225,'Species Codes'!B:Q,16,0)+VLOOKUP(D1225,'Species Codes'!B:R,17,0)*((E1225*2.54)^VLOOKUP(D1225,'Species Codes'!B:S,18,0)))))/1000,IF(D1225="DF",EXP(VLOOKUP(D1225,'Species Codes'!B:O,14,0)+VLOOKUP(D1225,'Species Codes'!B:P,15,0)*LN((E1225*2.54))),VLOOKUP(D1225,'Species Codes'!B:O,14,0)+VLOOKUP(D1225,'Species Codes'!B:P,15,0)*(((E1225*2.54)/100)^2)*(I1225*0.3048)))))*0.0011023),0)</f>
        <v>#N/A</v>
      </c>
      <c r="AD1225" s="104" t="e">
        <f t="shared" si="544"/>
        <v>#N/A</v>
      </c>
      <c r="AE1225" s="104" t="e">
        <f t="shared" si="545"/>
        <v>#N/A</v>
      </c>
      <c r="AF1225" s="104" t="e">
        <f>IF(AND(VLOOKUP($D1225,Merchantability!$B:$C,2,0)="Yes",$E1225&gt;=VLOOKUP($D1225,Merchantability!$B:$D,3,0),$E1225&lt;=VLOOKUP($D1225,Merchantability!$B:$E,4,0)),AA1225,0)</f>
        <v>#N/A</v>
      </c>
      <c r="AG1225" s="104" t="e">
        <f>IF(AND(VLOOKUP($D1225,Merchantability!$B:$C,2,0)="Yes",$E1225&gt;=VLOOKUP($D1225,Merchantability!$B:$D,3,0),$E1225&lt;=VLOOKUP($D1225,Merchantability!$B:$E,4,0)),AB1225,0)</f>
        <v>#N/A</v>
      </c>
      <c r="AH1225" s="104" t="e">
        <f>IF(AND(VLOOKUP($D1225,Merchantability!$B:$C,2,0)="Yes",$E1225&gt;=VLOOKUP($D1225,Merchantability!$B:$D,3,0),$E1225&lt;=VLOOKUP($D1225,Merchantability!$B:$E,4,0)),AC1225,0)</f>
        <v>#N/A</v>
      </c>
      <c r="AI1225" s="104" t="e">
        <f t="shared" si="546"/>
        <v>#N/A</v>
      </c>
      <c r="AJ1225" s="104" t="e">
        <f t="shared" si="547"/>
        <v>#VALUE!</v>
      </c>
      <c r="AK1225" s="104" t="e">
        <f t="shared" si="548"/>
        <v>#N/A</v>
      </c>
      <c r="AL1225" s="104" t="e">
        <f t="shared" si="549"/>
        <v>#N/A</v>
      </c>
      <c r="AM1225" s="104" t="e">
        <f t="shared" si="550"/>
        <v>#N/A</v>
      </c>
      <c r="AN1225" s="104" t="e">
        <f t="shared" si="561"/>
        <v>#N/A</v>
      </c>
      <c r="AO1225" s="104" t="e">
        <f t="shared" si="562"/>
        <v>#N/A</v>
      </c>
      <c r="AP1225" s="104" t="e">
        <f t="shared" si="563"/>
        <v>#N/A</v>
      </c>
      <c r="AQ1225" s="104" t="e">
        <f t="shared" si="564"/>
        <v>#N/A</v>
      </c>
      <c r="AR1225" s="105" t="str">
        <f t="shared" si="556"/>
        <v/>
      </c>
      <c r="AS1225" s="105" t="str">
        <f t="shared" si="557"/>
        <v/>
      </c>
      <c r="AT1225" s="108" t="str">
        <f t="shared" si="558"/>
        <v/>
      </c>
      <c r="AU1225" s="108" t="str">
        <f t="shared" si="559"/>
        <v/>
      </c>
      <c r="AV1225" s="107" t="str">
        <f>IF(ISNUMBER(O1225),IF(VLOOKUP($A1225,Stand!C:J,8,FALSE)="Short",AT1225,AU1225),"")</f>
        <v/>
      </c>
      <c r="AW1225" s="109" t="str">
        <f t="shared" si="565"/>
        <v/>
      </c>
      <c r="AX1225" s="109" t="str">
        <f t="shared" si="566"/>
        <v/>
      </c>
      <c r="AY1225" s="112" t="str">
        <f>IF(ISNUMBER(O1225),IF(AND(VLOOKUP($D1225,Merchantability!$B:$C,2,0)="Yes",$E1225&gt;=VLOOKUP($D1225,Merchantability!$B:$D,3,0),$E1225&lt;=VLOOKUP($D1225,Merchantability!$B:$E,4,0)),(AV1225*O1225)*(1-$H1225/100),""),"")</f>
        <v/>
      </c>
      <c r="AZ1225" s="116"/>
      <c r="BA1225" s="116"/>
      <c r="BB1225" s="116"/>
      <c r="BE1225" s="62"/>
      <c r="BF1225" s="63"/>
    </row>
    <row r="1226" spans="1:58" ht="12.75" customHeight="1" x14ac:dyDescent="0.25">
      <c r="A1226" s="313"/>
      <c r="B1226" s="328"/>
      <c r="C1226" s="329"/>
      <c r="D1226" s="328"/>
      <c r="E1226" s="330"/>
      <c r="F1226" s="328"/>
      <c r="G1226" s="329"/>
      <c r="H1226" s="329"/>
      <c r="I1226" s="328"/>
      <c r="J1226" s="383"/>
      <c r="K1226" s="329"/>
      <c r="L1226" s="329"/>
      <c r="M1226" s="76"/>
      <c r="N1226" s="103" t="str">
        <f>IF(A1226="","",VLOOKUP(A1226,Stand!C:K,9,0))</f>
        <v/>
      </c>
      <c r="O1226" s="104" t="str">
        <f t="shared" si="551"/>
        <v/>
      </c>
      <c r="P1226" s="105" t="str">
        <f t="shared" si="552"/>
        <v/>
      </c>
      <c r="Q1226" s="105" t="str">
        <f t="shared" si="540"/>
        <v/>
      </c>
      <c r="R1226" s="103" t="str">
        <f t="shared" si="553"/>
        <v/>
      </c>
      <c r="S1226" s="103" t="str">
        <f t="shared" si="554"/>
        <v/>
      </c>
      <c r="T1226" s="106" t="str">
        <f t="shared" si="541"/>
        <v/>
      </c>
      <c r="U1226" s="106" t="str">
        <f t="shared" si="542"/>
        <v/>
      </c>
      <c r="V1226" s="106" t="str">
        <f t="shared" si="543"/>
        <v/>
      </c>
      <c r="W1226" s="105" t="str">
        <f t="shared" si="555"/>
        <v/>
      </c>
      <c r="X1226" s="104" t="str">
        <f t="shared" si="560"/>
        <v/>
      </c>
      <c r="Y1226" s="104" t="str">
        <f t="array" ref="Y1226">IFERROR(IF(ISNUMBER(O1226),IF(COUNT(IF(A1226=$A$2:$A$2427,IF(D1226=$D$2:$D$2427,IF($X$2:$X$2427&gt;0,1))))&gt;0,SUM(IF(A1226=$A$2:$A$2427,IF(D1226=$D$2:$D$2427,$X$2:$X$2427)))/COUNT(IF(A1226=$A$2:$A$2427,IF(D1226=$D$2:$D$2427,IF(ISNUMBER($X$2:$X$2427),1)))),0),""),0)</f>
        <v/>
      </c>
      <c r="Z1226" s="104" t="str">
        <f>IF(ISNUMBER(O1226),IF(I1226&gt;0,(10^(VLOOKUP(D1226,'Species Codes'!B:C,2,0)+VLOOKUP(D1226,'Species Codes'!B:D,3,0)*LOG(E1226)+VLOOKUP(D1226,'Species Codes'!B:E,4,0)*LOG(I1226))),0),"")</f>
        <v/>
      </c>
      <c r="AA1226" s="104" t="str">
        <f>IFERROR((VLOOKUP(D1226,'Species Codes'!B:G,6,0)*Z1226)/2000,"")</f>
        <v/>
      </c>
      <c r="AB1226" s="104" t="e">
        <f>IF(Z1226&gt;0,((IF(OR(D1226="DF",D1226="RA")=TRUE,EXP(VLOOKUP(D1226,'Species Codes'!B:I,8,0)+VLOOKUP(D1226,'Species Codes'!B:J,9,0)*(LN((E1226*2.54)))),IF(OR(D1226="PY",D1226="RC",D1226="WH",D1226="NF")=TRUE,VLOOKUP(D1226,'Species Codes'!B:I,8,0)+VLOOKUP(D1226,'Species Codes'!B:J,9,0)*((E1226*2.54)^2)*(I1226*0.3048),IF(OR(D1226="MD",D1226="BM",D1226="GA")=TRUE,((VLOOKUP(D1226,'Species Codes'!B:I,8,0)*(((((E1226*2.54)+VLOOKUP(D1226,'Species Codes'!B:J,9,0))/VLOOKUP(D1226,'Species Codes'!B:K,10,0))^VLOOKUP(D1226,'Species Codes'!B:L,11,0))*((I1226*0.3048)^VLOOKUP(D1226,'Species Codes'!B:M,12,0))))-(VLOOKUP(D1226,'Species Codes'!B:I,8,0)*((((E1226*2.54)^VLOOKUP(D1226,'Species Codes'!B:L,11,0))*((I1226*0.3048)^VLOOKUP(D1226,'Species Codes'!B:M,12,0))))))*35.3*VLOOKUP(D1226,'Species Codes'!B:G,6,0)/2.2046,VLOOKUP(D1226,'Species Codes'!B:I,8,0)+VLOOKUP(D1226,'Species Codes'!B:J,9,0)*(((E1226*2.54)/100)^2)*(I1226*0.3048)))))*0.0011023),0)</f>
        <v>#N/A</v>
      </c>
      <c r="AC1226" s="104" t="e">
        <f>IF(Z1226&gt;0,((IF(OR(D1226="RA",D1226="OA",D1226="OT",D1226="UN",D1226="PC"),EXP(VLOOKUP(D1226,'Species Codes'!B:O,14,0)+VLOOKUP(D1226,'Species Codes'!B:P,15,0)*LN((E1226*2.54)))-EXP(VLOOKUP(D1226,'Species Codes'!B:O,14,0)+VLOOKUP(D1226,'Species Codes'!B:P,15,0)*LN((E1226*2.54)))*(1/(VLOOKUP(D1226,'Species Codes'!B:Q,16,0)+VLOOKUP(D1226,'Species Codes'!B:R,17,0)*((E1226*2.54)^VLOOKUP(D1226,'Species Codes'!B:S,18,0)))),IF(OR(D1226="BM",D1226="MD",D1226="OA"),EXP(VLOOKUP(D1226,'Species Codes'!B:O,14,0)+VLOOKUP(D1226,'Species Codes'!B:P,15,0)*LN((E1226*2.54)))*(1-(1/(VLOOKUP(D1226,'Species Codes'!B:Q,16,0)+VLOOKUP(D1226,'Species Codes'!B:R,17,0)*((E1226*2.54)^VLOOKUP(D1226,'Species Codes'!B:S,18,0)))))/1000,IF(D1226="DF",EXP(VLOOKUP(D1226,'Species Codes'!B:O,14,0)+VLOOKUP(D1226,'Species Codes'!B:P,15,0)*LN((E1226*2.54))),VLOOKUP(D1226,'Species Codes'!B:O,14,0)+VLOOKUP(D1226,'Species Codes'!B:P,15,0)*(((E1226*2.54)/100)^2)*(I1226*0.3048)))))*0.0011023),0)</f>
        <v>#N/A</v>
      </c>
      <c r="AD1226" s="104" t="e">
        <f t="shared" si="544"/>
        <v>#N/A</v>
      </c>
      <c r="AE1226" s="104" t="e">
        <f t="shared" si="545"/>
        <v>#N/A</v>
      </c>
      <c r="AF1226" s="104" t="e">
        <f>IF(AND(VLOOKUP($D1226,Merchantability!$B:$C,2,0)="Yes",$E1226&gt;=VLOOKUP($D1226,Merchantability!$B:$D,3,0),$E1226&lt;=VLOOKUP($D1226,Merchantability!$B:$E,4,0)),AA1226,0)</f>
        <v>#N/A</v>
      </c>
      <c r="AG1226" s="104" t="e">
        <f>IF(AND(VLOOKUP($D1226,Merchantability!$B:$C,2,0)="Yes",$E1226&gt;=VLOOKUP($D1226,Merchantability!$B:$D,3,0),$E1226&lt;=VLOOKUP($D1226,Merchantability!$B:$E,4,0)),AB1226,0)</f>
        <v>#N/A</v>
      </c>
      <c r="AH1226" s="104" t="e">
        <f>IF(AND(VLOOKUP($D1226,Merchantability!$B:$C,2,0)="Yes",$E1226&gt;=VLOOKUP($D1226,Merchantability!$B:$D,3,0),$E1226&lt;=VLOOKUP($D1226,Merchantability!$B:$E,4,0)),AC1226,0)</f>
        <v>#N/A</v>
      </c>
      <c r="AI1226" s="104" t="e">
        <f t="shared" si="546"/>
        <v>#N/A</v>
      </c>
      <c r="AJ1226" s="104" t="e">
        <f t="shared" si="547"/>
        <v>#VALUE!</v>
      </c>
      <c r="AK1226" s="104" t="e">
        <f t="shared" si="548"/>
        <v>#N/A</v>
      </c>
      <c r="AL1226" s="104" t="e">
        <f t="shared" si="549"/>
        <v>#N/A</v>
      </c>
      <c r="AM1226" s="104" t="e">
        <f t="shared" si="550"/>
        <v>#N/A</v>
      </c>
      <c r="AN1226" s="104" t="e">
        <f t="shared" si="561"/>
        <v>#N/A</v>
      </c>
      <c r="AO1226" s="104" t="e">
        <f t="shared" si="562"/>
        <v>#N/A</v>
      </c>
      <c r="AP1226" s="104" t="e">
        <f t="shared" si="563"/>
        <v>#N/A</v>
      </c>
      <c r="AQ1226" s="104" t="e">
        <f t="shared" si="564"/>
        <v>#N/A</v>
      </c>
      <c r="AR1226" s="105" t="str">
        <f t="shared" si="556"/>
        <v/>
      </c>
      <c r="AS1226" s="105" t="str">
        <f t="shared" si="557"/>
        <v/>
      </c>
      <c r="AT1226" s="108" t="str">
        <f t="shared" si="558"/>
        <v/>
      </c>
      <c r="AU1226" s="108" t="str">
        <f t="shared" si="559"/>
        <v/>
      </c>
      <c r="AV1226" s="107" t="str">
        <f>IF(ISNUMBER(O1226),IF(VLOOKUP($A1226,Stand!C:J,8,FALSE)="Short",AT1226,AU1226),"")</f>
        <v/>
      </c>
      <c r="AW1226" s="109" t="str">
        <f t="shared" si="565"/>
        <v/>
      </c>
      <c r="AX1226" s="109" t="str">
        <f t="shared" si="566"/>
        <v/>
      </c>
      <c r="AY1226" s="112" t="str">
        <f>IF(ISNUMBER(O1226),IF(AND(VLOOKUP($D1226,Merchantability!$B:$C,2,0)="Yes",$E1226&gt;=VLOOKUP($D1226,Merchantability!$B:$D,3,0),$E1226&lt;=VLOOKUP($D1226,Merchantability!$B:$E,4,0)),(AV1226*O1226)*(1-$H1226/100),""),"")</f>
        <v/>
      </c>
      <c r="AZ1226" s="116"/>
      <c r="BA1226" s="116"/>
      <c r="BB1226" s="116"/>
      <c r="BE1226" s="62"/>
      <c r="BF1226" s="63"/>
    </row>
    <row r="1227" spans="1:58" ht="12.75" customHeight="1" x14ac:dyDescent="0.25">
      <c r="A1227" s="313"/>
      <c r="B1227" s="328"/>
      <c r="C1227" s="329"/>
      <c r="D1227" s="328"/>
      <c r="E1227" s="330"/>
      <c r="F1227" s="328"/>
      <c r="G1227" s="329"/>
      <c r="H1227" s="329"/>
      <c r="I1227" s="328"/>
      <c r="J1227" s="383"/>
      <c r="K1227" s="329"/>
      <c r="L1227" s="329"/>
      <c r="M1227" s="76"/>
      <c r="N1227" s="103" t="str">
        <f>IF(A1227="","",VLOOKUP(A1227,Stand!C:K,9,0))</f>
        <v/>
      </c>
      <c r="O1227" s="104" t="str">
        <f t="shared" si="551"/>
        <v/>
      </c>
      <c r="P1227" s="105" t="str">
        <f t="shared" si="552"/>
        <v/>
      </c>
      <c r="Q1227" s="105" t="str">
        <f t="shared" si="540"/>
        <v/>
      </c>
      <c r="R1227" s="103" t="str">
        <f t="shared" si="553"/>
        <v/>
      </c>
      <c r="S1227" s="103" t="str">
        <f t="shared" si="554"/>
        <v/>
      </c>
      <c r="T1227" s="106" t="str">
        <f t="shared" si="541"/>
        <v/>
      </c>
      <c r="U1227" s="106" t="str">
        <f t="shared" si="542"/>
        <v/>
      </c>
      <c r="V1227" s="106" t="str">
        <f t="shared" si="543"/>
        <v/>
      </c>
      <c r="W1227" s="105" t="str">
        <f t="shared" si="555"/>
        <v/>
      </c>
      <c r="X1227" s="104" t="str">
        <f t="shared" si="560"/>
        <v/>
      </c>
      <c r="Y1227" s="104" t="str">
        <f t="array" ref="Y1227">IFERROR(IF(ISNUMBER(O1227),IF(COUNT(IF(A1227=$A$2:$A$2427,IF(D1227=$D$2:$D$2427,IF($X$2:$X$2427&gt;0,1))))&gt;0,SUM(IF(A1227=$A$2:$A$2427,IF(D1227=$D$2:$D$2427,$X$2:$X$2427)))/COUNT(IF(A1227=$A$2:$A$2427,IF(D1227=$D$2:$D$2427,IF(ISNUMBER($X$2:$X$2427),1)))),0),""),0)</f>
        <v/>
      </c>
      <c r="Z1227" s="104" t="str">
        <f>IF(ISNUMBER(O1227),IF(I1227&gt;0,(10^(VLOOKUP(D1227,'Species Codes'!B:C,2,0)+VLOOKUP(D1227,'Species Codes'!B:D,3,0)*LOG(E1227)+VLOOKUP(D1227,'Species Codes'!B:E,4,0)*LOG(I1227))),0),"")</f>
        <v/>
      </c>
      <c r="AA1227" s="104" t="str">
        <f>IFERROR((VLOOKUP(D1227,'Species Codes'!B:G,6,0)*Z1227)/2000,"")</f>
        <v/>
      </c>
      <c r="AB1227" s="104" t="e">
        <f>IF(Z1227&gt;0,((IF(OR(D1227="DF",D1227="RA")=TRUE,EXP(VLOOKUP(D1227,'Species Codes'!B:I,8,0)+VLOOKUP(D1227,'Species Codes'!B:J,9,0)*(LN((E1227*2.54)))),IF(OR(D1227="PY",D1227="RC",D1227="WH",D1227="NF")=TRUE,VLOOKUP(D1227,'Species Codes'!B:I,8,0)+VLOOKUP(D1227,'Species Codes'!B:J,9,0)*((E1227*2.54)^2)*(I1227*0.3048),IF(OR(D1227="MD",D1227="BM",D1227="GA")=TRUE,((VLOOKUP(D1227,'Species Codes'!B:I,8,0)*(((((E1227*2.54)+VLOOKUP(D1227,'Species Codes'!B:J,9,0))/VLOOKUP(D1227,'Species Codes'!B:K,10,0))^VLOOKUP(D1227,'Species Codes'!B:L,11,0))*((I1227*0.3048)^VLOOKUP(D1227,'Species Codes'!B:M,12,0))))-(VLOOKUP(D1227,'Species Codes'!B:I,8,0)*((((E1227*2.54)^VLOOKUP(D1227,'Species Codes'!B:L,11,0))*((I1227*0.3048)^VLOOKUP(D1227,'Species Codes'!B:M,12,0))))))*35.3*VLOOKUP(D1227,'Species Codes'!B:G,6,0)/2.2046,VLOOKUP(D1227,'Species Codes'!B:I,8,0)+VLOOKUP(D1227,'Species Codes'!B:J,9,0)*(((E1227*2.54)/100)^2)*(I1227*0.3048)))))*0.0011023),0)</f>
        <v>#N/A</v>
      </c>
      <c r="AC1227" s="104" t="e">
        <f>IF(Z1227&gt;0,((IF(OR(D1227="RA",D1227="OA",D1227="OT",D1227="UN",D1227="PC"),EXP(VLOOKUP(D1227,'Species Codes'!B:O,14,0)+VLOOKUP(D1227,'Species Codes'!B:P,15,0)*LN((E1227*2.54)))-EXP(VLOOKUP(D1227,'Species Codes'!B:O,14,0)+VLOOKUP(D1227,'Species Codes'!B:P,15,0)*LN((E1227*2.54)))*(1/(VLOOKUP(D1227,'Species Codes'!B:Q,16,0)+VLOOKUP(D1227,'Species Codes'!B:R,17,0)*((E1227*2.54)^VLOOKUP(D1227,'Species Codes'!B:S,18,0)))),IF(OR(D1227="BM",D1227="MD",D1227="OA"),EXP(VLOOKUP(D1227,'Species Codes'!B:O,14,0)+VLOOKUP(D1227,'Species Codes'!B:P,15,0)*LN((E1227*2.54)))*(1-(1/(VLOOKUP(D1227,'Species Codes'!B:Q,16,0)+VLOOKUP(D1227,'Species Codes'!B:R,17,0)*((E1227*2.54)^VLOOKUP(D1227,'Species Codes'!B:S,18,0)))))/1000,IF(D1227="DF",EXP(VLOOKUP(D1227,'Species Codes'!B:O,14,0)+VLOOKUP(D1227,'Species Codes'!B:P,15,0)*LN((E1227*2.54))),VLOOKUP(D1227,'Species Codes'!B:O,14,0)+VLOOKUP(D1227,'Species Codes'!B:P,15,0)*(((E1227*2.54)/100)^2)*(I1227*0.3048)))))*0.0011023),0)</f>
        <v>#N/A</v>
      </c>
      <c r="AD1227" s="104" t="e">
        <f t="shared" si="544"/>
        <v>#N/A</v>
      </c>
      <c r="AE1227" s="104" t="e">
        <f t="shared" si="545"/>
        <v>#N/A</v>
      </c>
      <c r="AF1227" s="104" t="e">
        <f>IF(AND(VLOOKUP($D1227,Merchantability!$B:$C,2,0)="Yes",$E1227&gt;=VLOOKUP($D1227,Merchantability!$B:$D,3,0),$E1227&lt;=VLOOKUP($D1227,Merchantability!$B:$E,4,0)),AA1227,0)</f>
        <v>#N/A</v>
      </c>
      <c r="AG1227" s="104" t="e">
        <f>IF(AND(VLOOKUP($D1227,Merchantability!$B:$C,2,0)="Yes",$E1227&gt;=VLOOKUP($D1227,Merchantability!$B:$D,3,0),$E1227&lt;=VLOOKUP($D1227,Merchantability!$B:$E,4,0)),AB1227,0)</f>
        <v>#N/A</v>
      </c>
      <c r="AH1227" s="104" t="e">
        <f>IF(AND(VLOOKUP($D1227,Merchantability!$B:$C,2,0)="Yes",$E1227&gt;=VLOOKUP($D1227,Merchantability!$B:$D,3,0),$E1227&lt;=VLOOKUP($D1227,Merchantability!$B:$E,4,0)),AC1227,0)</f>
        <v>#N/A</v>
      </c>
      <c r="AI1227" s="104" t="e">
        <f t="shared" si="546"/>
        <v>#N/A</v>
      </c>
      <c r="AJ1227" s="104" t="e">
        <f t="shared" si="547"/>
        <v>#VALUE!</v>
      </c>
      <c r="AK1227" s="104" t="e">
        <f t="shared" si="548"/>
        <v>#N/A</v>
      </c>
      <c r="AL1227" s="104" t="e">
        <f t="shared" si="549"/>
        <v>#N/A</v>
      </c>
      <c r="AM1227" s="104" t="e">
        <f t="shared" si="550"/>
        <v>#N/A</v>
      </c>
      <c r="AN1227" s="104" t="e">
        <f t="shared" si="561"/>
        <v>#N/A</v>
      </c>
      <c r="AO1227" s="104" t="e">
        <f t="shared" si="562"/>
        <v>#N/A</v>
      </c>
      <c r="AP1227" s="104" t="e">
        <f t="shared" si="563"/>
        <v>#N/A</v>
      </c>
      <c r="AQ1227" s="104" t="e">
        <f t="shared" si="564"/>
        <v>#N/A</v>
      </c>
      <c r="AR1227" s="105" t="str">
        <f t="shared" si="556"/>
        <v/>
      </c>
      <c r="AS1227" s="105" t="str">
        <f t="shared" si="557"/>
        <v/>
      </c>
      <c r="AT1227" s="108" t="str">
        <f t="shared" si="558"/>
        <v/>
      </c>
      <c r="AU1227" s="108" t="str">
        <f t="shared" si="559"/>
        <v/>
      </c>
      <c r="AV1227" s="107" t="str">
        <f>IF(ISNUMBER(O1227),IF(VLOOKUP($A1227,Stand!C:J,8,FALSE)="Short",AT1227,AU1227),"")</f>
        <v/>
      </c>
      <c r="AW1227" s="109" t="str">
        <f t="shared" si="565"/>
        <v/>
      </c>
      <c r="AX1227" s="109" t="str">
        <f t="shared" si="566"/>
        <v/>
      </c>
      <c r="AY1227" s="112" t="str">
        <f>IF(ISNUMBER(O1227),IF(AND(VLOOKUP($D1227,Merchantability!$B:$C,2,0)="Yes",$E1227&gt;=VLOOKUP($D1227,Merchantability!$B:$D,3,0),$E1227&lt;=VLOOKUP($D1227,Merchantability!$B:$E,4,0)),(AV1227*O1227)*(1-$H1227/100),""),"")</f>
        <v/>
      </c>
      <c r="AZ1227" s="116"/>
      <c r="BA1227" s="116"/>
      <c r="BB1227" s="116"/>
      <c r="BE1227" s="62"/>
      <c r="BF1227" s="63"/>
    </row>
    <row r="1228" spans="1:58" ht="12.75" customHeight="1" x14ac:dyDescent="0.25">
      <c r="A1228" s="313"/>
      <c r="B1228" s="328"/>
      <c r="C1228" s="329"/>
      <c r="D1228" s="328"/>
      <c r="E1228" s="330"/>
      <c r="F1228" s="328"/>
      <c r="G1228" s="329"/>
      <c r="H1228" s="329"/>
      <c r="I1228" s="328"/>
      <c r="J1228" s="383"/>
      <c r="K1228" s="329"/>
      <c r="L1228" s="329"/>
      <c r="M1228" s="76"/>
      <c r="N1228" s="103" t="str">
        <f>IF(A1228="","",VLOOKUP(A1228,Stand!C:K,9,0))</f>
        <v/>
      </c>
      <c r="O1228" s="104" t="str">
        <f t="shared" si="551"/>
        <v/>
      </c>
      <c r="P1228" s="105" t="str">
        <f t="shared" si="552"/>
        <v/>
      </c>
      <c r="Q1228" s="105" t="str">
        <f t="shared" si="540"/>
        <v/>
      </c>
      <c r="R1228" s="103" t="str">
        <f t="shared" si="553"/>
        <v/>
      </c>
      <c r="S1228" s="103" t="str">
        <f t="shared" si="554"/>
        <v/>
      </c>
      <c r="T1228" s="106" t="str">
        <f t="shared" si="541"/>
        <v/>
      </c>
      <c r="U1228" s="106" t="str">
        <f t="shared" si="542"/>
        <v/>
      </c>
      <c r="V1228" s="106" t="str">
        <f t="shared" si="543"/>
        <v/>
      </c>
      <c r="W1228" s="105" t="str">
        <f t="shared" si="555"/>
        <v/>
      </c>
      <c r="X1228" s="104" t="str">
        <f t="shared" si="560"/>
        <v/>
      </c>
      <c r="Y1228" s="104" t="str">
        <f t="array" ref="Y1228">IFERROR(IF(ISNUMBER(O1228),IF(COUNT(IF(A1228=$A$2:$A$2427,IF(D1228=$D$2:$D$2427,IF($X$2:$X$2427&gt;0,1))))&gt;0,SUM(IF(A1228=$A$2:$A$2427,IF(D1228=$D$2:$D$2427,$X$2:$X$2427)))/COUNT(IF(A1228=$A$2:$A$2427,IF(D1228=$D$2:$D$2427,IF(ISNUMBER($X$2:$X$2427),1)))),0),""),0)</f>
        <v/>
      </c>
      <c r="Z1228" s="104" t="str">
        <f>IF(ISNUMBER(O1228),IF(I1228&gt;0,(10^(VLOOKUP(D1228,'Species Codes'!B:C,2,0)+VLOOKUP(D1228,'Species Codes'!B:D,3,0)*LOG(E1228)+VLOOKUP(D1228,'Species Codes'!B:E,4,0)*LOG(I1228))),0),"")</f>
        <v/>
      </c>
      <c r="AA1228" s="104" t="str">
        <f>IFERROR((VLOOKUP(D1228,'Species Codes'!B:G,6,0)*Z1228)/2000,"")</f>
        <v/>
      </c>
      <c r="AB1228" s="104" t="e">
        <f>IF(Z1228&gt;0,((IF(OR(D1228="DF",D1228="RA")=TRUE,EXP(VLOOKUP(D1228,'Species Codes'!B:I,8,0)+VLOOKUP(D1228,'Species Codes'!B:J,9,0)*(LN((E1228*2.54)))),IF(OR(D1228="PY",D1228="RC",D1228="WH",D1228="NF")=TRUE,VLOOKUP(D1228,'Species Codes'!B:I,8,0)+VLOOKUP(D1228,'Species Codes'!B:J,9,0)*((E1228*2.54)^2)*(I1228*0.3048),IF(OR(D1228="MD",D1228="BM",D1228="GA")=TRUE,((VLOOKUP(D1228,'Species Codes'!B:I,8,0)*(((((E1228*2.54)+VLOOKUP(D1228,'Species Codes'!B:J,9,0))/VLOOKUP(D1228,'Species Codes'!B:K,10,0))^VLOOKUP(D1228,'Species Codes'!B:L,11,0))*((I1228*0.3048)^VLOOKUP(D1228,'Species Codes'!B:M,12,0))))-(VLOOKUP(D1228,'Species Codes'!B:I,8,0)*((((E1228*2.54)^VLOOKUP(D1228,'Species Codes'!B:L,11,0))*((I1228*0.3048)^VLOOKUP(D1228,'Species Codes'!B:M,12,0))))))*35.3*VLOOKUP(D1228,'Species Codes'!B:G,6,0)/2.2046,VLOOKUP(D1228,'Species Codes'!B:I,8,0)+VLOOKUP(D1228,'Species Codes'!B:J,9,0)*(((E1228*2.54)/100)^2)*(I1228*0.3048)))))*0.0011023),0)</f>
        <v>#N/A</v>
      </c>
      <c r="AC1228" s="104" t="e">
        <f>IF(Z1228&gt;0,((IF(OR(D1228="RA",D1228="OA",D1228="OT",D1228="UN",D1228="PC"),EXP(VLOOKUP(D1228,'Species Codes'!B:O,14,0)+VLOOKUP(D1228,'Species Codes'!B:P,15,0)*LN((E1228*2.54)))-EXP(VLOOKUP(D1228,'Species Codes'!B:O,14,0)+VLOOKUP(D1228,'Species Codes'!B:P,15,0)*LN((E1228*2.54)))*(1/(VLOOKUP(D1228,'Species Codes'!B:Q,16,0)+VLOOKUP(D1228,'Species Codes'!B:R,17,0)*((E1228*2.54)^VLOOKUP(D1228,'Species Codes'!B:S,18,0)))),IF(OR(D1228="BM",D1228="MD",D1228="OA"),EXP(VLOOKUP(D1228,'Species Codes'!B:O,14,0)+VLOOKUP(D1228,'Species Codes'!B:P,15,0)*LN((E1228*2.54)))*(1-(1/(VLOOKUP(D1228,'Species Codes'!B:Q,16,0)+VLOOKUP(D1228,'Species Codes'!B:R,17,0)*((E1228*2.54)^VLOOKUP(D1228,'Species Codes'!B:S,18,0)))))/1000,IF(D1228="DF",EXP(VLOOKUP(D1228,'Species Codes'!B:O,14,0)+VLOOKUP(D1228,'Species Codes'!B:P,15,0)*LN((E1228*2.54))),VLOOKUP(D1228,'Species Codes'!B:O,14,0)+VLOOKUP(D1228,'Species Codes'!B:P,15,0)*(((E1228*2.54)/100)^2)*(I1228*0.3048)))))*0.0011023),0)</f>
        <v>#N/A</v>
      </c>
      <c r="AD1228" s="104" t="e">
        <f t="shared" si="544"/>
        <v>#N/A</v>
      </c>
      <c r="AE1228" s="104" t="e">
        <f t="shared" si="545"/>
        <v>#N/A</v>
      </c>
      <c r="AF1228" s="104" t="e">
        <f>IF(AND(VLOOKUP($D1228,Merchantability!$B:$C,2,0)="Yes",$E1228&gt;=VLOOKUP($D1228,Merchantability!$B:$D,3,0),$E1228&lt;=VLOOKUP($D1228,Merchantability!$B:$E,4,0)),AA1228,0)</f>
        <v>#N/A</v>
      </c>
      <c r="AG1228" s="104" t="e">
        <f>IF(AND(VLOOKUP($D1228,Merchantability!$B:$C,2,0)="Yes",$E1228&gt;=VLOOKUP($D1228,Merchantability!$B:$D,3,0),$E1228&lt;=VLOOKUP($D1228,Merchantability!$B:$E,4,0)),AB1228,0)</f>
        <v>#N/A</v>
      </c>
      <c r="AH1228" s="104" t="e">
        <f>IF(AND(VLOOKUP($D1228,Merchantability!$B:$C,2,0)="Yes",$E1228&gt;=VLOOKUP($D1228,Merchantability!$B:$D,3,0),$E1228&lt;=VLOOKUP($D1228,Merchantability!$B:$E,4,0)),AC1228,0)</f>
        <v>#N/A</v>
      </c>
      <c r="AI1228" s="104" t="e">
        <f t="shared" si="546"/>
        <v>#N/A</v>
      </c>
      <c r="AJ1228" s="104" t="e">
        <f t="shared" si="547"/>
        <v>#VALUE!</v>
      </c>
      <c r="AK1228" s="104" t="e">
        <f t="shared" si="548"/>
        <v>#N/A</v>
      </c>
      <c r="AL1228" s="104" t="e">
        <f t="shared" si="549"/>
        <v>#N/A</v>
      </c>
      <c r="AM1228" s="104" t="e">
        <f t="shared" si="550"/>
        <v>#N/A</v>
      </c>
      <c r="AN1228" s="104" t="e">
        <f t="shared" si="561"/>
        <v>#N/A</v>
      </c>
      <c r="AO1228" s="104" t="e">
        <f t="shared" si="562"/>
        <v>#N/A</v>
      </c>
      <c r="AP1228" s="104" t="e">
        <f t="shared" si="563"/>
        <v>#N/A</v>
      </c>
      <c r="AQ1228" s="104" t="e">
        <f t="shared" si="564"/>
        <v>#N/A</v>
      </c>
      <c r="AR1228" s="105" t="str">
        <f t="shared" si="556"/>
        <v/>
      </c>
      <c r="AS1228" s="105" t="str">
        <f t="shared" si="557"/>
        <v/>
      </c>
      <c r="AT1228" s="108" t="str">
        <f t="shared" si="558"/>
        <v/>
      </c>
      <c r="AU1228" s="108" t="str">
        <f t="shared" si="559"/>
        <v/>
      </c>
      <c r="AV1228" s="107" t="str">
        <f>IF(ISNUMBER(O1228),IF(VLOOKUP($A1228,Stand!C:J,8,FALSE)="Short",AT1228,AU1228),"")</f>
        <v/>
      </c>
      <c r="AW1228" s="109" t="str">
        <f t="shared" si="565"/>
        <v/>
      </c>
      <c r="AX1228" s="109" t="str">
        <f t="shared" si="566"/>
        <v/>
      </c>
      <c r="AY1228" s="112" t="str">
        <f>IF(ISNUMBER(O1228),IF(AND(VLOOKUP($D1228,Merchantability!$B:$C,2,0)="Yes",$E1228&gt;=VLOOKUP($D1228,Merchantability!$B:$D,3,0),$E1228&lt;=VLOOKUP($D1228,Merchantability!$B:$E,4,0)),(AV1228*O1228)*(1-$H1228/100),""),"")</f>
        <v/>
      </c>
      <c r="AZ1228" s="116"/>
      <c r="BA1228" s="116"/>
      <c r="BB1228" s="116"/>
      <c r="BE1228" s="62"/>
      <c r="BF1228" s="63"/>
    </row>
    <row r="1229" spans="1:58" ht="12.75" customHeight="1" x14ac:dyDescent="0.25">
      <c r="A1229" s="313"/>
      <c r="B1229" s="328"/>
      <c r="C1229" s="329"/>
      <c r="D1229" s="328"/>
      <c r="E1229" s="330"/>
      <c r="F1229" s="328"/>
      <c r="G1229" s="329"/>
      <c r="H1229" s="329"/>
      <c r="I1229" s="328"/>
      <c r="J1229" s="383"/>
      <c r="K1229" s="329"/>
      <c r="L1229" s="329"/>
      <c r="M1229" s="76"/>
      <c r="N1229" s="103" t="str">
        <f>IF(A1229="","",VLOOKUP(A1229,Stand!C:K,9,0))</f>
        <v/>
      </c>
      <c r="O1229" s="104" t="str">
        <f t="shared" si="551"/>
        <v/>
      </c>
      <c r="P1229" s="105" t="str">
        <f t="shared" si="552"/>
        <v/>
      </c>
      <c r="Q1229" s="105" t="str">
        <f t="shared" si="540"/>
        <v/>
      </c>
      <c r="R1229" s="103" t="str">
        <f t="shared" si="553"/>
        <v/>
      </c>
      <c r="S1229" s="103" t="str">
        <f t="shared" si="554"/>
        <v/>
      </c>
      <c r="T1229" s="106" t="str">
        <f t="shared" si="541"/>
        <v/>
      </c>
      <c r="U1229" s="106" t="str">
        <f t="shared" si="542"/>
        <v/>
      </c>
      <c r="V1229" s="106" t="str">
        <f t="shared" si="543"/>
        <v/>
      </c>
      <c r="W1229" s="105" t="str">
        <f t="shared" si="555"/>
        <v/>
      </c>
      <c r="X1229" s="104" t="str">
        <f t="shared" si="560"/>
        <v/>
      </c>
      <c r="Y1229" s="104" t="str">
        <f t="array" ref="Y1229">IFERROR(IF(ISNUMBER(O1229),IF(COUNT(IF(A1229=$A$2:$A$2427,IF(D1229=$D$2:$D$2427,IF($X$2:$X$2427&gt;0,1))))&gt;0,SUM(IF(A1229=$A$2:$A$2427,IF(D1229=$D$2:$D$2427,$X$2:$X$2427)))/COUNT(IF(A1229=$A$2:$A$2427,IF(D1229=$D$2:$D$2427,IF(ISNUMBER($X$2:$X$2427),1)))),0),""),0)</f>
        <v/>
      </c>
      <c r="Z1229" s="104" t="str">
        <f>IF(ISNUMBER(O1229),IF(I1229&gt;0,(10^(VLOOKUP(D1229,'Species Codes'!B:C,2,0)+VLOOKUP(D1229,'Species Codes'!B:D,3,0)*LOG(E1229)+VLOOKUP(D1229,'Species Codes'!B:E,4,0)*LOG(I1229))),0),"")</f>
        <v/>
      </c>
      <c r="AA1229" s="104" t="str">
        <f>IFERROR((VLOOKUP(D1229,'Species Codes'!B:G,6,0)*Z1229)/2000,"")</f>
        <v/>
      </c>
      <c r="AB1229" s="104" t="e">
        <f>IF(Z1229&gt;0,((IF(OR(D1229="DF",D1229="RA")=TRUE,EXP(VLOOKUP(D1229,'Species Codes'!B:I,8,0)+VLOOKUP(D1229,'Species Codes'!B:J,9,0)*(LN((E1229*2.54)))),IF(OR(D1229="PY",D1229="RC",D1229="WH",D1229="NF")=TRUE,VLOOKUP(D1229,'Species Codes'!B:I,8,0)+VLOOKUP(D1229,'Species Codes'!B:J,9,0)*((E1229*2.54)^2)*(I1229*0.3048),IF(OR(D1229="MD",D1229="BM",D1229="GA")=TRUE,((VLOOKUP(D1229,'Species Codes'!B:I,8,0)*(((((E1229*2.54)+VLOOKUP(D1229,'Species Codes'!B:J,9,0))/VLOOKUP(D1229,'Species Codes'!B:K,10,0))^VLOOKUP(D1229,'Species Codes'!B:L,11,0))*((I1229*0.3048)^VLOOKUP(D1229,'Species Codes'!B:M,12,0))))-(VLOOKUP(D1229,'Species Codes'!B:I,8,0)*((((E1229*2.54)^VLOOKUP(D1229,'Species Codes'!B:L,11,0))*((I1229*0.3048)^VLOOKUP(D1229,'Species Codes'!B:M,12,0))))))*35.3*VLOOKUP(D1229,'Species Codes'!B:G,6,0)/2.2046,VLOOKUP(D1229,'Species Codes'!B:I,8,0)+VLOOKUP(D1229,'Species Codes'!B:J,9,0)*(((E1229*2.54)/100)^2)*(I1229*0.3048)))))*0.0011023),0)</f>
        <v>#N/A</v>
      </c>
      <c r="AC1229" s="104" t="e">
        <f>IF(Z1229&gt;0,((IF(OR(D1229="RA",D1229="OA",D1229="OT",D1229="UN",D1229="PC"),EXP(VLOOKUP(D1229,'Species Codes'!B:O,14,0)+VLOOKUP(D1229,'Species Codes'!B:P,15,0)*LN((E1229*2.54)))-EXP(VLOOKUP(D1229,'Species Codes'!B:O,14,0)+VLOOKUP(D1229,'Species Codes'!B:P,15,0)*LN((E1229*2.54)))*(1/(VLOOKUP(D1229,'Species Codes'!B:Q,16,0)+VLOOKUP(D1229,'Species Codes'!B:R,17,0)*((E1229*2.54)^VLOOKUP(D1229,'Species Codes'!B:S,18,0)))),IF(OR(D1229="BM",D1229="MD",D1229="OA"),EXP(VLOOKUP(D1229,'Species Codes'!B:O,14,0)+VLOOKUP(D1229,'Species Codes'!B:P,15,0)*LN((E1229*2.54)))*(1-(1/(VLOOKUP(D1229,'Species Codes'!B:Q,16,0)+VLOOKUP(D1229,'Species Codes'!B:R,17,0)*((E1229*2.54)^VLOOKUP(D1229,'Species Codes'!B:S,18,0)))))/1000,IF(D1229="DF",EXP(VLOOKUP(D1229,'Species Codes'!B:O,14,0)+VLOOKUP(D1229,'Species Codes'!B:P,15,0)*LN((E1229*2.54))),VLOOKUP(D1229,'Species Codes'!B:O,14,0)+VLOOKUP(D1229,'Species Codes'!B:P,15,0)*(((E1229*2.54)/100)^2)*(I1229*0.3048)))))*0.0011023),0)</f>
        <v>#N/A</v>
      </c>
      <c r="AD1229" s="104" t="e">
        <f t="shared" si="544"/>
        <v>#N/A</v>
      </c>
      <c r="AE1229" s="104" t="e">
        <f t="shared" si="545"/>
        <v>#N/A</v>
      </c>
      <c r="AF1229" s="104" t="e">
        <f>IF(AND(VLOOKUP($D1229,Merchantability!$B:$C,2,0)="Yes",$E1229&gt;=VLOOKUP($D1229,Merchantability!$B:$D,3,0),$E1229&lt;=VLOOKUP($D1229,Merchantability!$B:$E,4,0)),AA1229,0)</f>
        <v>#N/A</v>
      </c>
      <c r="AG1229" s="104" t="e">
        <f>IF(AND(VLOOKUP($D1229,Merchantability!$B:$C,2,0)="Yes",$E1229&gt;=VLOOKUP($D1229,Merchantability!$B:$D,3,0),$E1229&lt;=VLOOKUP($D1229,Merchantability!$B:$E,4,0)),AB1229,0)</f>
        <v>#N/A</v>
      </c>
      <c r="AH1229" s="104" t="e">
        <f>IF(AND(VLOOKUP($D1229,Merchantability!$B:$C,2,0)="Yes",$E1229&gt;=VLOOKUP($D1229,Merchantability!$B:$D,3,0),$E1229&lt;=VLOOKUP($D1229,Merchantability!$B:$E,4,0)),AC1229,0)</f>
        <v>#N/A</v>
      </c>
      <c r="AI1229" s="104" t="e">
        <f t="shared" si="546"/>
        <v>#N/A</v>
      </c>
      <c r="AJ1229" s="104" t="e">
        <f t="shared" si="547"/>
        <v>#VALUE!</v>
      </c>
      <c r="AK1229" s="104" t="e">
        <f t="shared" si="548"/>
        <v>#N/A</v>
      </c>
      <c r="AL1229" s="104" t="e">
        <f t="shared" si="549"/>
        <v>#N/A</v>
      </c>
      <c r="AM1229" s="104" t="e">
        <f t="shared" si="550"/>
        <v>#N/A</v>
      </c>
      <c r="AN1229" s="104" t="e">
        <f t="shared" si="561"/>
        <v>#N/A</v>
      </c>
      <c r="AO1229" s="104" t="e">
        <f t="shared" si="562"/>
        <v>#N/A</v>
      </c>
      <c r="AP1229" s="104" t="e">
        <f t="shared" si="563"/>
        <v>#N/A</v>
      </c>
      <c r="AQ1229" s="104" t="e">
        <f t="shared" si="564"/>
        <v>#N/A</v>
      </c>
      <c r="AR1229" s="105" t="str">
        <f t="shared" si="556"/>
        <v/>
      </c>
      <c r="AS1229" s="105" t="str">
        <f t="shared" si="557"/>
        <v/>
      </c>
      <c r="AT1229" s="108" t="str">
        <f t="shared" si="558"/>
        <v/>
      </c>
      <c r="AU1229" s="108" t="str">
        <f t="shared" si="559"/>
        <v/>
      </c>
      <c r="AV1229" s="107" t="str">
        <f>IF(ISNUMBER(O1229),IF(VLOOKUP($A1229,Stand!C:J,8,FALSE)="Short",AT1229,AU1229),"")</f>
        <v/>
      </c>
      <c r="AW1229" s="109" t="str">
        <f t="shared" si="565"/>
        <v/>
      </c>
      <c r="AX1229" s="109" t="str">
        <f t="shared" si="566"/>
        <v/>
      </c>
      <c r="AY1229" s="112" t="str">
        <f>IF(ISNUMBER(O1229),IF(AND(VLOOKUP($D1229,Merchantability!$B:$C,2,0)="Yes",$E1229&gt;=VLOOKUP($D1229,Merchantability!$B:$D,3,0),$E1229&lt;=VLOOKUP($D1229,Merchantability!$B:$E,4,0)),(AV1229*O1229)*(1-$H1229/100),""),"")</f>
        <v/>
      </c>
      <c r="AZ1229" s="116"/>
      <c r="BA1229" s="116"/>
      <c r="BB1229" s="116"/>
      <c r="BE1229" s="62"/>
      <c r="BF1229" s="63"/>
    </row>
    <row r="1230" spans="1:58" ht="12.75" customHeight="1" x14ac:dyDescent="0.25">
      <c r="A1230" s="313"/>
      <c r="B1230" s="328"/>
      <c r="C1230" s="329"/>
      <c r="D1230" s="328"/>
      <c r="E1230" s="330"/>
      <c r="F1230" s="328"/>
      <c r="G1230" s="329"/>
      <c r="H1230" s="329"/>
      <c r="I1230" s="328"/>
      <c r="J1230" s="383"/>
      <c r="K1230" s="329"/>
      <c r="L1230" s="329"/>
      <c r="M1230" s="76"/>
      <c r="N1230" s="103" t="str">
        <f>IF(A1230="","",VLOOKUP(A1230,Stand!C:K,9,0))</f>
        <v/>
      </c>
      <c r="O1230" s="104" t="str">
        <f t="shared" si="551"/>
        <v/>
      </c>
      <c r="P1230" s="105" t="str">
        <f t="shared" si="552"/>
        <v/>
      </c>
      <c r="Q1230" s="105" t="str">
        <f t="shared" si="540"/>
        <v/>
      </c>
      <c r="R1230" s="103" t="str">
        <f t="shared" si="553"/>
        <v/>
      </c>
      <c r="S1230" s="103" t="str">
        <f t="shared" si="554"/>
        <v/>
      </c>
      <c r="T1230" s="106" t="str">
        <f t="shared" si="541"/>
        <v/>
      </c>
      <c r="U1230" s="106" t="str">
        <f t="shared" si="542"/>
        <v/>
      </c>
      <c r="V1230" s="106" t="str">
        <f t="shared" si="543"/>
        <v/>
      </c>
      <c r="W1230" s="105" t="str">
        <f t="shared" si="555"/>
        <v/>
      </c>
      <c r="X1230" s="104" t="str">
        <f t="shared" si="560"/>
        <v/>
      </c>
      <c r="Y1230" s="104" t="str">
        <f t="array" ref="Y1230">IFERROR(IF(ISNUMBER(O1230),IF(COUNT(IF(A1230=$A$2:$A$2427,IF(D1230=$D$2:$D$2427,IF($X$2:$X$2427&gt;0,1))))&gt;0,SUM(IF(A1230=$A$2:$A$2427,IF(D1230=$D$2:$D$2427,$X$2:$X$2427)))/COUNT(IF(A1230=$A$2:$A$2427,IF(D1230=$D$2:$D$2427,IF(ISNUMBER($X$2:$X$2427),1)))),0),""),0)</f>
        <v/>
      </c>
      <c r="Z1230" s="104" t="str">
        <f>IF(ISNUMBER(O1230),IF(I1230&gt;0,(10^(VLOOKUP(D1230,'Species Codes'!B:C,2,0)+VLOOKUP(D1230,'Species Codes'!B:D,3,0)*LOG(E1230)+VLOOKUP(D1230,'Species Codes'!B:E,4,0)*LOG(I1230))),0),"")</f>
        <v/>
      </c>
      <c r="AA1230" s="104" t="str">
        <f>IFERROR((VLOOKUP(D1230,'Species Codes'!B:G,6,0)*Z1230)/2000,"")</f>
        <v/>
      </c>
      <c r="AB1230" s="104" t="e">
        <f>IF(Z1230&gt;0,((IF(OR(D1230="DF",D1230="RA")=TRUE,EXP(VLOOKUP(D1230,'Species Codes'!B:I,8,0)+VLOOKUP(D1230,'Species Codes'!B:J,9,0)*(LN((E1230*2.54)))),IF(OR(D1230="PY",D1230="RC",D1230="WH",D1230="NF")=TRUE,VLOOKUP(D1230,'Species Codes'!B:I,8,0)+VLOOKUP(D1230,'Species Codes'!B:J,9,0)*((E1230*2.54)^2)*(I1230*0.3048),IF(OR(D1230="MD",D1230="BM",D1230="GA")=TRUE,((VLOOKUP(D1230,'Species Codes'!B:I,8,0)*(((((E1230*2.54)+VLOOKUP(D1230,'Species Codes'!B:J,9,0))/VLOOKUP(D1230,'Species Codes'!B:K,10,0))^VLOOKUP(D1230,'Species Codes'!B:L,11,0))*((I1230*0.3048)^VLOOKUP(D1230,'Species Codes'!B:M,12,0))))-(VLOOKUP(D1230,'Species Codes'!B:I,8,0)*((((E1230*2.54)^VLOOKUP(D1230,'Species Codes'!B:L,11,0))*((I1230*0.3048)^VLOOKUP(D1230,'Species Codes'!B:M,12,0))))))*35.3*VLOOKUP(D1230,'Species Codes'!B:G,6,0)/2.2046,VLOOKUP(D1230,'Species Codes'!B:I,8,0)+VLOOKUP(D1230,'Species Codes'!B:J,9,0)*(((E1230*2.54)/100)^2)*(I1230*0.3048)))))*0.0011023),0)</f>
        <v>#N/A</v>
      </c>
      <c r="AC1230" s="104" t="e">
        <f>IF(Z1230&gt;0,((IF(OR(D1230="RA",D1230="OA",D1230="OT",D1230="UN",D1230="PC"),EXP(VLOOKUP(D1230,'Species Codes'!B:O,14,0)+VLOOKUP(D1230,'Species Codes'!B:P,15,0)*LN((E1230*2.54)))-EXP(VLOOKUP(D1230,'Species Codes'!B:O,14,0)+VLOOKUP(D1230,'Species Codes'!B:P,15,0)*LN((E1230*2.54)))*(1/(VLOOKUP(D1230,'Species Codes'!B:Q,16,0)+VLOOKUP(D1230,'Species Codes'!B:R,17,0)*((E1230*2.54)^VLOOKUP(D1230,'Species Codes'!B:S,18,0)))),IF(OR(D1230="BM",D1230="MD",D1230="OA"),EXP(VLOOKUP(D1230,'Species Codes'!B:O,14,0)+VLOOKUP(D1230,'Species Codes'!B:P,15,0)*LN((E1230*2.54)))*(1-(1/(VLOOKUP(D1230,'Species Codes'!B:Q,16,0)+VLOOKUP(D1230,'Species Codes'!B:R,17,0)*((E1230*2.54)^VLOOKUP(D1230,'Species Codes'!B:S,18,0)))))/1000,IF(D1230="DF",EXP(VLOOKUP(D1230,'Species Codes'!B:O,14,0)+VLOOKUP(D1230,'Species Codes'!B:P,15,0)*LN((E1230*2.54))),VLOOKUP(D1230,'Species Codes'!B:O,14,0)+VLOOKUP(D1230,'Species Codes'!B:P,15,0)*(((E1230*2.54)/100)^2)*(I1230*0.3048)))))*0.0011023),0)</f>
        <v>#N/A</v>
      </c>
      <c r="AD1230" s="104" t="e">
        <f t="shared" si="544"/>
        <v>#N/A</v>
      </c>
      <c r="AE1230" s="104" t="e">
        <f t="shared" si="545"/>
        <v>#N/A</v>
      </c>
      <c r="AF1230" s="104" t="e">
        <f>IF(AND(VLOOKUP($D1230,Merchantability!$B:$C,2,0)="Yes",$E1230&gt;=VLOOKUP($D1230,Merchantability!$B:$D,3,0),$E1230&lt;=VLOOKUP($D1230,Merchantability!$B:$E,4,0)),AA1230,0)</f>
        <v>#N/A</v>
      </c>
      <c r="AG1230" s="104" t="e">
        <f>IF(AND(VLOOKUP($D1230,Merchantability!$B:$C,2,0)="Yes",$E1230&gt;=VLOOKUP($D1230,Merchantability!$B:$D,3,0),$E1230&lt;=VLOOKUP($D1230,Merchantability!$B:$E,4,0)),AB1230,0)</f>
        <v>#N/A</v>
      </c>
      <c r="AH1230" s="104" t="e">
        <f>IF(AND(VLOOKUP($D1230,Merchantability!$B:$C,2,0)="Yes",$E1230&gt;=VLOOKUP($D1230,Merchantability!$B:$D,3,0),$E1230&lt;=VLOOKUP($D1230,Merchantability!$B:$E,4,0)),AC1230,0)</f>
        <v>#N/A</v>
      </c>
      <c r="AI1230" s="104" t="e">
        <f t="shared" si="546"/>
        <v>#N/A</v>
      </c>
      <c r="AJ1230" s="104" t="e">
        <f t="shared" si="547"/>
        <v>#VALUE!</v>
      </c>
      <c r="AK1230" s="104" t="e">
        <f t="shared" si="548"/>
        <v>#N/A</v>
      </c>
      <c r="AL1230" s="104" t="e">
        <f t="shared" si="549"/>
        <v>#N/A</v>
      </c>
      <c r="AM1230" s="104" t="e">
        <f t="shared" si="550"/>
        <v>#N/A</v>
      </c>
      <c r="AN1230" s="104" t="e">
        <f t="shared" si="561"/>
        <v>#N/A</v>
      </c>
      <c r="AO1230" s="104" t="e">
        <f t="shared" si="562"/>
        <v>#N/A</v>
      </c>
      <c r="AP1230" s="104" t="e">
        <f t="shared" si="563"/>
        <v>#N/A</v>
      </c>
      <c r="AQ1230" s="104" t="e">
        <f t="shared" si="564"/>
        <v>#N/A</v>
      </c>
      <c r="AR1230" s="105" t="str">
        <f t="shared" si="556"/>
        <v/>
      </c>
      <c r="AS1230" s="105" t="str">
        <f t="shared" si="557"/>
        <v/>
      </c>
      <c r="AT1230" s="108" t="str">
        <f t="shared" si="558"/>
        <v/>
      </c>
      <c r="AU1230" s="108" t="str">
        <f t="shared" si="559"/>
        <v/>
      </c>
      <c r="AV1230" s="107" t="str">
        <f>IF(ISNUMBER(O1230),IF(VLOOKUP($A1230,Stand!C:J,8,FALSE)="Short",AT1230,AU1230),"")</f>
        <v/>
      </c>
      <c r="AW1230" s="109" t="str">
        <f t="shared" si="565"/>
        <v/>
      </c>
      <c r="AX1230" s="109" t="str">
        <f t="shared" si="566"/>
        <v/>
      </c>
      <c r="AY1230" s="112" t="str">
        <f>IF(ISNUMBER(O1230),IF(AND(VLOOKUP($D1230,Merchantability!$B:$C,2,0)="Yes",$E1230&gt;=VLOOKUP($D1230,Merchantability!$B:$D,3,0),$E1230&lt;=VLOOKUP($D1230,Merchantability!$B:$E,4,0)),(AV1230*O1230)*(1-$H1230/100),""),"")</f>
        <v/>
      </c>
      <c r="AZ1230" s="116"/>
      <c r="BA1230" s="116"/>
      <c r="BB1230" s="116"/>
      <c r="BE1230" s="62"/>
      <c r="BF1230" s="63"/>
    </row>
    <row r="1231" spans="1:58" ht="12.75" customHeight="1" x14ac:dyDescent="0.25">
      <c r="A1231" s="313"/>
      <c r="B1231" s="328"/>
      <c r="C1231" s="329"/>
      <c r="D1231" s="328"/>
      <c r="E1231" s="330"/>
      <c r="F1231" s="328"/>
      <c r="G1231" s="329"/>
      <c r="H1231" s="329"/>
      <c r="I1231" s="328"/>
      <c r="J1231" s="383"/>
      <c r="K1231" s="329"/>
      <c r="L1231" s="329"/>
      <c r="M1231" s="76"/>
      <c r="N1231" s="103" t="str">
        <f>IF(A1231="","",VLOOKUP(A1231,Stand!C:K,9,0))</f>
        <v/>
      </c>
      <c r="O1231" s="104" t="str">
        <f t="shared" si="551"/>
        <v/>
      </c>
      <c r="P1231" s="105" t="str">
        <f t="shared" si="552"/>
        <v/>
      </c>
      <c r="Q1231" s="105" t="str">
        <f t="shared" si="540"/>
        <v/>
      </c>
      <c r="R1231" s="103" t="str">
        <f t="shared" si="553"/>
        <v/>
      </c>
      <c r="S1231" s="103" t="str">
        <f t="shared" si="554"/>
        <v/>
      </c>
      <c r="T1231" s="106" t="str">
        <f t="shared" si="541"/>
        <v/>
      </c>
      <c r="U1231" s="106" t="str">
        <f t="shared" si="542"/>
        <v/>
      </c>
      <c r="V1231" s="106" t="str">
        <f t="shared" si="543"/>
        <v/>
      </c>
      <c r="W1231" s="105" t="str">
        <f t="shared" si="555"/>
        <v/>
      </c>
      <c r="X1231" s="104" t="str">
        <f t="shared" si="560"/>
        <v/>
      </c>
      <c r="Y1231" s="104" t="str">
        <f t="array" ref="Y1231">IFERROR(IF(ISNUMBER(O1231),IF(COUNT(IF(A1231=$A$2:$A$2427,IF(D1231=$D$2:$D$2427,IF($X$2:$X$2427&gt;0,1))))&gt;0,SUM(IF(A1231=$A$2:$A$2427,IF(D1231=$D$2:$D$2427,$X$2:$X$2427)))/COUNT(IF(A1231=$A$2:$A$2427,IF(D1231=$D$2:$D$2427,IF(ISNUMBER($X$2:$X$2427),1)))),0),""),0)</f>
        <v/>
      </c>
      <c r="Z1231" s="104" t="str">
        <f>IF(ISNUMBER(O1231),IF(I1231&gt;0,(10^(VLOOKUP(D1231,'Species Codes'!B:C,2,0)+VLOOKUP(D1231,'Species Codes'!B:D,3,0)*LOG(E1231)+VLOOKUP(D1231,'Species Codes'!B:E,4,0)*LOG(I1231))),0),"")</f>
        <v/>
      </c>
      <c r="AA1231" s="104" t="str">
        <f>IFERROR((VLOOKUP(D1231,'Species Codes'!B:G,6,0)*Z1231)/2000,"")</f>
        <v/>
      </c>
      <c r="AB1231" s="104" t="e">
        <f>IF(Z1231&gt;0,((IF(OR(D1231="DF",D1231="RA")=TRUE,EXP(VLOOKUP(D1231,'Species Codes'!B:I,8,0)+VLOOKUP(D1231,'Species Codes'!B:J,9,0)*(LN((E1231*2.54)))),IF(OR(D1231="PY",D1231="RC",D1231="WH",D1231="NF")=TRUE,VLOOKUP(D1231,'Species Codes'!B:I,8,0)+VLOOKUP(D1231,'Species Codes'!B:J,9,0)*((E1231*2.54)^2)*(I1231*0.3048),IF(OR(D1231="MD",D1231="BM",D1231="GA")=TRUE,((VLOOKUP(D1231,'Species Codes'!B:I,8,0)*(((((E1231*2.54)+VLOOKUP(D1231,'Species Codes'!B:J,9,0))/VLOOKUP(D1231,'Species Codes'!B:K,10,0))^VLOOKUP(D1231,'Species Codes'!B:L,11,0))*((I1231*0.3048)^VLOOKUP(D1231,'Species Codes'!B:M,12,0))))-(VLOOKUP(D1231,'Species Codes'!B:I,8,0)*((((E1231*2.54)^VLOOKUP(D1231,'Species Codes'!B:L,11,0))*((I1231*0.3048)^VLOOKUP(D1231,'Species Codes'!B:M,12,0))))))*35.3*VLOOKUP(D1231,'Species Codes'!B:G,6,0)/2.2046,VLOOKUP(D1231,'Species Codes'!B:I,8,0)+VLOOKUP(D1231,'Species Codes'!B:J,9,0)*(((E1231*2.54)/100)^2)*(I1231*0.3048)))))*0.0011023),0)</f>
        <v>#N/A</v>
      </c>
      <c r="AC1231" s="104" t="e">
        <f>IF(Z1231&gt;0,((IF(OR(D1231="RA",D1231="OA",D1231="OT",D1231="UN",D1231="PC"),EXP(VLOOKUP(D1231,'Species Codes'!B:O,14,0)+VLOOKUP(D1231,'Species Codes'!B:P,15,0)*LN((E1231*2.54)))-EXP(VLOOKUP(D1231,'Species Codes'!B:O,14,0)+VLOOKUP(D1231,'Species Codes'!B:P,15,0)*LN((E1231*2.54)))*(1/(VLOOKUP(D1231,'Species Codes'!B:Q,16,0)+VLOOKUP(D1231,'Species Codes'!B:R,17,0)*((E1231*2.54)^VLOOKUP(D1231,'Species Codes'!B:S,18,0)))),IF(OR(D1231="BM",D1231="MD",D1231="OA"),EXP(VLOOKUP(D1231,'Species Codes'!B:O,14,0)+VLOOKUP(D1231,'Species Codes'!B:P,15,0)*LN((E1231*2.54)))*(1-(1/(VLOOKUP(D1231,'Species Codes'!B:Q,16,0)+VLOOKUP(D1231,'Species Codes'!B:R,17,0)*((E1231*2.54)^VLOOKUP(D1231,'Species Codes'!B:S,18,0)))))/1000,IF(D1231="DF",EXP(VLOOKUP(D1231,'Species Codes'!B:O,14,0)+VLOOKUP(D1231,'Species Codes'!B:P,15,0)*LN((E1231*2.54))),VLOOKUP(D1231,'Species Codes'!B:O,14,0)+VLOOKUP(D1231,'Species Codes'!B:P,15,0)*(((E1231*2.54)/100)^2)*(I1231*0.3048)))))*0.0011023),0)</f>
        <v>#N/A</v>
      </c>
      <c r="AD1231" s="104" t="e">
        <f t="shared" si="544"/>
        <v>#N/A</v>
      </c>
      <c r="AE1231" s="104" t="e">
        <f t="shared" si="545"/>
        <v>#N/A</v>
      </c>
      <c r="AF1231" s="104" t="e">
        <f>IF(AND(VLOOKUP($D1231,Merchantability!$B:$C,2,0)="Yes",$E1231&gt;=VLOOKUP($D1231,Merchantability!$B:$D,3,0),$E1231&lt;=VLOOKUP($D1231,Merchantability!$B:$E,4,0)),AA1231,0)</f>
        <v>#N/A</v>
      </c>
      <c r="AG1231" s="104" t="e">
        <f>IF(AND(VLOOKUP($D1231,Merchantability!$B:$C,2,0)="Yes",$E1231&gt;=VLOOKUP($D1231,Merchantability!$B:$D,3,0),$E1231&lt;=VLOOKUP($D1231,Merchantability!$B:$E,4,0)),AB1231,0)</f>
        <v>#N/A</v>
      </c>
      <c r="AH1231" s="104" t="e">
        <f>IF(AND(VLOOKUP($D1231,Merchantability!$B:$C,2,0)="Yes",$E1231&gt;=VLOOKUP($D1231,Merchantability!$B:$D,3,0),$E1231&lt;=VLOOKUP($D1231,Merchantability!$B:$E,4,0)),AC1231,0)</f>
        <v>#N/A</v>
      </c>
      <c r="AI1231" s="104" t="e">
        <f t="shared" si="546"/>
        <v>#N/A</v>
      </c>
      <c r="AJ1231" s="104" t="e">
        <f t="shared" si="547"/>
        <v>#VALUE!</v>
      </c>
      <c r="AK1231" s="104" t="e">
        <f t="shared" si="548"/>
        <v>#N/A</v>
      </c>
      <c r="AL1231" s="104" t="e">
        <f t="shared" si="549"/>
        <v>#N/A</v>
      </c>
      <c r="AM1231" s="104" t="e">
        <f t="shared" si="550"/>
        <v>#N/A</v>
      </c>
      <c r="AN1231" s="104" t="e">
        <f t="shared" si="561"/>
        <v>#N/A</v>
      </c>
      <c r="AO1231" s="104" t="e">
        <f t="shared" si="562"/>
        <v>#N/A</v>
      </c>
      <c r="AP1231" s="104" t="e">
        <f t="shared" si="563"/>
        <v>#N/A</v>
      </c>
      <c r="AQ1231" s="104" t="e">
        <f t="shared" si="564"/>
        <v>#N/A</v>
      </c>
      <c r="AR1231" s="105" t="str">
        <f t="shared" si="556"/>
        <v/>
      </c>
      <c r="AS1231" s="105" t="str">
        <f t="shared" si="557"/>
        <v/>
      </c>
      <c r="AT1231" s="108" t="str">
        <f t="shared" si="558"/>
        <v/>
      </c>
      <c r="AU1231" s="108" t="str">
        <f t="shared" si="559"/>
        <v/>
      </c>
      <c r="AV1231" s="107" t="str">
        <f>IF(ISNUMBER(O1231),IF(VLOOKUP($A1231,Stand!C:J,8,FALSE)="Short",AT1231,AU1231),"")</f>
        <v/>
      </c>
      <c r="AW1231" s="109" t="str">
        <f t="shared" si="565"/>
        <v/>
      </c>
      <c r="AX1231" s="109" t="str">
        <f t="shared" si="566"/>
        <v/>
      </c>
      <c r="AY1231" s="112" t="str">
        <f>IF(ISNUMBER(O1231),IF(AND(VLOOKUP($D1231,Merchantability!$B:$C,2,0)="Yes",$E1231&gt;=VLOOKUP($D1231,Merchantability!$B:$D,3,0),$E1231&lt;=VLOOKUP($D1231,Merchantability!$B:$E,4,0)),(AV1231*O1231)*(1-$H1231/100),""),"")</f>
        <v/>
      </c>
      <c r="AZ1231" s="116"/>
      <c r="BA1231" s="116"/>
      <c r="BB1231" s="116"/>
      <c r="BE1231" s="62"/>
      <c r="BF1231" s="63"/>
    </row>
    <row r="1232" spans="1:58" ht="12.75" customHeight="1" x14ac:dyDescent="0.25">
      <c r="A1232" s="313"/>
      <c r="B1232" s="328"/>
      <c r="C1232" s="329"/>
      <c r="D1232" s="328"/>
      <c r="E1232" s="330"/>
      <c r="F1232" s="328"/>
      <c r="G1232" s="329"/>
      <c r="H1232" s="329"/>
      <c r="I1232" s="328"/>
      <c r="J1232" s="383"/>
      <c r="K1232" s="329"/>
      <c r="L1232" s="329"/>
      <c r="M1232" s="76"/>
      <c r="N1232" s="103" t="str">
        <f>IF(A1232="","",VLOOKUP(A1232,Stand!C:K,9,0))</f>
        <v/>
      </c>
      <c r="O1232" s="104" t="str">
        <f t="shared" si="551"/>
        <v/>
      </c>
      <c r="P1232" s="105" t="str">
        <f t="shared" si="552"/>
        <v/>
      </c>
      <c r="Q1232" s="105" t="str">
        <f t="shared" si="540"/>
        <v/>
      </c>
      <c r="R1232" s="103" t="str">
        <f t="shared" si="553"/>
        <v/>
      </c>
      <c r="S1232" s="103" t="str">
        <f t="shared" si="554"/>
        <v/>
      </c>
      <c r="T1232" s="106" t="str">
        <f t="shared" si="541"/>
        <v/>
      </c>
      <c r="U1232" s="106" t="str">
        <f t="shared" si="542"/>
        <v/>
      </c>
      <c r="V1232" s="106" t="str">
        <f t="shared" si="543"/>
        <v/>
      </c>
      <c r="W1232" s="105" t="str">
        <f t="shared" si="555"/>
        <v/>
      </c>
      <c r="X1232" s="104" t="str">
        <f t="shared" si="560"/>
        <v/>
      </c>
      <c r="Y1232" s="104" t="str">
        <f t="array" ref="Y1232">IFERROR(IF(ISNUMBER(O1232),IF(COUNT(IF(A1232=$A$2:$A$2427,IF(D1232=$D$2:$D$2427,IF($X$2:$X$2427&gt;0,1))))&gt;0,SUM(IF(A1232=$A$2:$A$2427,IF(D1232=$D$2:$D$2427,$X$2:$X$2427)))/COUNT(IF(A1232=$A$2:$A$2427,IF(D1232=$D$2:$D$2427,IF(ISNUMBER($X$2:$X$2427),1)))),0),""),0)</f>
        <v/>
      </c>
      <c r="Z1232" s="104" t="str">
        <f>IF(ISNUMBER(O1232),IF(I1232&gt;0,(10^(VLOOKUP(D1232,'Species Codes'!B:C,2,0)+VLOOKUP(D1232,'Species Codes'!B:D,3,0)*LOG(E1232)+VLOOKUP(D1232,'Species Codes'!B:E,4,0)*LOG(I1232))),0),"")</f>
        <v/>
      </c>
      <c r="AA1232" s="104" t="str">
        <f>IFERROR((VLOOKUP(D1232,'Species Codes'!B:G,6,0)*Z1232)/2000,"")</f>
        <v/>
      </c>
      <c r="AB1232" s="104" t="e">
        <f>IF(Z1232&gt;0,((IF(OR(D1232="DF",D1232="RA")=TRUE,EXP(VLOOKUP(D1232,'Species Codes'!B:I,8,0)+VLOOKUP(D1232,'Species Codes'!B:J,9,0)*(LN((E1232*2.54)))),IF(OR(D1232="PY",D1232="RC",D1232="WH",D1232="NF")=TRUE,VLOOKUP(D1232,'Species Codes'!B:I,8,0)+VLOOKUP(D1232,'Species Codes'!B:J,9,0)*((E1232*2.54)^2)*(I1232*0.3048),IF(OR(D1232="MD",D1232="BM",D1232="GA")=TRUE,((VLOOKUP(D1232,'Species Codes'!B:I,8,0)*(((((E1232*2.54)+VLOOKUP(D1232,'Species Codes'!B:J,9,0))/VLOOKUP(D1232,'Species Codes'!B:K,10,0))^VLOOKUP(D1232,'Species Codes'!B:L,11,0))*((I1232*0.3048)^VLOOKUP(D1232,'Species Codes'!B:M,12,0))))-(VLOOKUP(D1232,'Species Codes'!B:I,8,0)*((((E1232*2.54)^VLOOKUP(D1232,'Species Codes'!B:L,11,0))*((I1232*0.3048)^VLOOKUP(D1232,'Species Codes'!B:M,12,0))))))*35.3*VLOOKUP(D1232,'Species Codes'!B:G,6,0)/2.2046,VLOOKUP(D1232,'Species Codes'!B:I,8,0)+VLOOKUP(D1232,'Species Codes'!B:J,9,0)*(((E1232*2.54)/100)^2)*(I1232*0.3048)))))*0.0011023),0)</f>
        <v>#N/A</v>
      </c>
      <c r="AC1232" s="104" t="e">
        <f>IF(Z1232&gt;0,((IF(OR(D1232="RA",D1232="OA",D1232="OT",D1232="UN",D1232="PC"),EXP(VLOOKUP(D1232,'Species Codes'!B:O,14,0)+VLOOKUP(D1232,'Species Codes'!B:P,15,0)*LN((E1232*2.54)))-EXP(VLOOKUP(D1232,'Species Codes'!B:O,14,0)+VLOOKUP(D1232,'Species Codes'!B:P,15,0)*LN((E1232*2.54)))*(1/(VLOOKUP(D1232,'Species Codes'!B:Q,16,0)+VLOOKUP(D1232,'Species Codes'!B:R,17,0)*((E1232*2.54)^VLOOKUP(D1232,'Species Codes'!B:S,18,0)))),IF(OR(D1232="BM",D1232="MD",D1232="OA"),EXP(VLOOKUP(D1232,'Species Codes'!B:O,14,0)+VLOOKUP(D1232,'Species Codes'!B:P,15,0)*LN((E1232*2.54)))*(1-(1/(VLOOKUP(D1232,'Species Codes'!B:Q,16,0)+VLOOKUP(D1232,'Species Codes'!B:R,17,0)*((E1232*2.54)^VLOOKUP(D1232,'Species Codes'!B:S,18,0)))))/1000,IF(D1232="DF",EXP(VLOOKUP(D1232,'Species Codes'!B:O,14,0)+VLOOKUP(D1232,'Species Codes'!B:P,15,0)*LN((E1232*2.54))),VLOOKUP(D1232,'Species Codes'!B:O,14,0)+VLOOKUP(D1232,'Species Codes'!B:P,15,0)*(((E1232*2.54)/100)^2)*(I1232*0.3048)))))*0.0011023),0)</f>
        <v>#N/A</v>
      </c>
      <c r="AD1232" s="104" t="e">
        <f t="shared" si="544"/>
        <v>#N/A</v>
      </c>
      <c r="AE1232" s="104" t="e">
        <f t="shared" si="545"/>
        <v>#N/A</v>
      </c>
      <c r="AF1232" s="104" t="e">
        <f>IF(AND(VLOOKUP($D1232,Merchantability!$B:$C,2,0)="Yes",$E1232&gt;=VLOOKUP($D1232,Merchantability!$B:$D,3,0),$E1232&lt;=VLOOKUP($D1232,Merchantability!$B:$E,4,0)),AA1232,0)</f>
        <v>#N/A</v>
      </c>
      <c r="AG1232" s="104" t="e">
        <f>IF(AND(VLOOKUP($D1232,Merchantability!$B:$C,2,0)="Yes",$E1232&gt;=VLOOKUP($D1232,Merchantability!$B:$D,3,0),$E1232&lt;=VLOOKUP($D1232,Merchantability!$B:$E,4,0)),AB1232,0)</f>
        <v>#N/A</v>
      </c>
      <c r="AH1232" s="104" t="e">
        <f>IF(AND(VLOOKUP($D1232,Merchantability!$B:$C,2,0)="Yes",$E1232&gt;=VLOOKUP($D1232,Merchantability!$B:$D,3,0),$E1232&lt;=VLOOKUP($D1232,Merchantability!$B:$E,4,0)),AC1232,0)</f>
        <v>#N/A</v>
      </c>
      <c r="AI1232" s="104" t="e">
        <f t="shared" si="546"/>
        <v>#N/A</v>
      </c>
      <c r="AJ1232" s="104" t="e">
        <f t="shared" si="547"/>
        <v>#VALUE!</v>
      </c>
      <c r="AK1232" s="104" t="e">
        <f t="shared" si="548"/>
        <v>#N/A</v>
      </c>
      <c r="AL1232" s="104" t="e">
        <f t="shared" si="549"/>
        <v>#N/A</v>
      </c>
      <c r="AM1232" s="104" t="e">
        <f t="shared" si="550"/>
        <v>#N/A</v>
      </c>
      <c r="AN1232" s="104" t="e">
        <f t="shared" si="561"/>
        <v>#N/A</v>
      </c>
      <c r="AO1232" s="104" t="e">
        <f t="shared" si="562"/>
        <v>#N/A</v>
      </c>
      <c r="AP1232" s="104" t="e">
        <f t="shared" si="563"/>
        <v>#N/A</v>
      </c>
      <c r="AQ1232" s="104" t="e">
        <f t="shared" si="564"/>
        <v>#N/A</v>
      </c>
      <c r="AR1232" s="105" t="str">
        <f t="shared" si="556"/>
        <v/>
      </c>
      <c r="AS1232" s="105" t="str">
        <f t="shared" si="557"/>
        <v/>
      </c>
      <c r="AT1232" s="108" t="str">
        <f t="shared" si="558"/>
        <v/>
      </c>
      <c r="AU1232" s="108" t="str">
        <f t="shared" si="559"/>
        <v/>
      </c>
      <c r="AV1232" s="107" t="str">
        <f>IF(ISNUMBER(O1232),IF(VLOOKUP($A1232,Stand!C:J,8,FALSE)="Short",AT1232,AU1232),"")</f>
        <v/>
      </c>
      <c r="AW1232" s="109" t="str">
        <f t="shared" si="565"/>
        <v/>
      </c>
      <c r="AX1232" s="109" t="str">
        <f t="shared" si="566"/>
        <v/>
      </c>
      <c r="AY1232" s="112" t="str">
        <f>IF(ISNUMBER(O1232),IF(AND(VLOOKUP($D1232,Merchantability!$B:$C,2,0)="Yes",$E1232&gt;=VLOOKUP($D1232,Merchantability!$B:$D,3,0),$E1232&lt;=VLOOKUP($D1232,Merchantability!$B:$E,4,0)),(AV1232*O1232)*(1-$H1232/100),""),"")</f>
        <v/>
      </c>
      <c r="AZ1232" s="116"/>
      <c r="BA1232" s="116"/>
      <c r="BB1232" s="116"/>
      <c r="BE1232" s="62"/>
      <c r="BF1232" s="63"/>
    </row>
    <row r="1233" spans="1:58" ht="12.75" customHeight="1" x14ac:dyDescent="0.25">
      <c r="A1233" s="313"/>
      <c r="B1233" s="328"/>
      <c r="C1233" s="329"/>
      <c r="D1233" s="328"/>
      <c r="E1233" s="330"/>
      <c r="F1233" s="328"/>
      <c r="G1233" s="329"/>
      <c r="H1233" s="329"/>
      <c r="I1233" s="328"/>
      <c r="J1233" s="383"/>
      <c r="K1233" s="329"/>
      <c r="L1233" s="329"/>
      <c r="M1233" s="76"/>
      <c r="N1233" s="103" t="str">
        <f>IF(A1233="","",VLOOKUP(A1233,Stand!C:K,9,0))</f>
        <v/>
      </c>
      <c r="O1233" s="104" t="str">
        <f t="shared" si="551"/>
        <v/>
      </c>
      <c r="P1233" s="105" t="str">
        <f t="shared" si="552"/>
        <v/>
      </c>
      <c r="Q1233" s="105" t="str">
        <f t="shared" si="540"/>
        <v/>
      </c>
      <c r="R1233" s="103" t="str">
        <f t="shared" si="553"/>
        <v/>
      </c>
      <c r="S1233" s="103" t="str">
        <f t="shared" si="554"/>
        <v/>
      </c>
      <c r="T1233" s="106" t="str">
        <f t="shared" si="541"/>
        <v/>
      </c>
      <c r="U1233" s="106" t="str">
        <f t="shared" si="542"/>
        <v/>
      </c>
      <c r="V1233" s="106" t="str">
        <f t="shared" si="543"/>
        <v/>
      </c>
      <c r="W1233" s="105" t="str">
        <f t="shared" si="555"/>
        <v/>
      </c>
      <c r="X1233" s="104" t="str">
        <f t="shared" si="560"/>
        <v/>
      </c>
      <c r="Y1233" s="104" t="str">
        <f t="array" ref="Y1233">IFERROR(IF(ISNUMBER(O1233),IF(COUNT(IF(A1233=$A$2:$A$2427,IF(D1233=$D$2:$D$2427,IF($X$2:$X$2427&gt;0,1))))&gt;0,SUM(IF(A1233=$A$2:$A$2427,IF(D1233=$D$2:$D$2427,$X$2:$X$2427)))/COUNT(IF(A1233=$A$2:$A$2427,IF(D1233=$D$2:$D$2427,IF(ISNUMBER($X$2:$X$2427),1)))),0),""),0)</f>
        <v/>
      </c>
      <c r="Z1233" s="104" t="str">
        <f>IF(ISNUMBER(O1233),IF(I1233&gt;0,(10^(VLOOKUP(D1233,'Species Codes'!B:C,2,0)+VLOOKUP(D1233,'Species Codes'!B:D,3,0)*LOG(E1233)+VLOOKUP(D1233,'Species Codes'!B:E,4,0)*LOG(I1233))),0),"")</f>
        <v/>
      </c>
      <c r="AA1233" s="104" t="str">
        <f>IFERROR((VLOOKUP(D1233,'Species Codes'!B:G,6,0)*Z1233)/2000,"")</f>
        <v/>
      </c>
      <c r="AB1233" s="104" t="e">
        <f>IF(Z1233&gt;0,((IF(OR(D1233="DF",D1233="RA")=TRUE,EXP(VLOOKUP(D1233,'Species Codes'!B:I,8,0)+VLOOKUP(D1233,'Species Codes'!B:J,9,0)*(LN((E1233*2.54)))),IF(OR(D1233="PY",D1233="RC",D1233="WH",D1233="NF")=TRUE,VLOOKUP(D1233,'Species Codes'!B:I,8,0)+VLOOKUP(D1233,'Species Codes'!B:J,9,0)*((E1233*2.54)^2)*(I1233*0.3048),IF(OR(D1233="MD",D1233="BM",D1233="GA")=TRUE,((VLOOKUP(D1233,'Species Codes'!B:I,8,0)*(((((E1233*2.54)+VLOOKUP(D1233,'Species Codes'!B:J,9,0))/VLOOKUP(D1233,'Species Codes'!B:K,10,0))^VLOOKUP(D1233,'Species Codes'!B:L,11,0))*((I1233*0.3048)^VLOOKUP(D1233,'Species Codes'!B:M,12,0))))-(VLOOKUP(D1233,'Species Codes'!B:I,8,0)*((((E1233*2.54)^VLOOKUP(D1233,'Species Codes'!B:L,11,0))*((I1233*0.3048)^VLOOKUP(D1233,'Species Codes'!B:M,12,0))))))*35.3*VLOOKUP(D1233,'Species Codes'!B:G,6,0)/2.2046,VLOOKUP(D1233,'Species Codes'!B:I,8,0)+VLOOKUP(D1233,'Species Codes'!B:J,9,0)*(((E1233*2.54)/100)^2)*(I1233*0.3048)))))*0.0011023),0)</f>
        <v>#N/A</v>
      </c>
      <c r="AC1233" s="104" t="e">
        <f>IF(Z1233&gt;0,((IF(OR(D1233="RA",D1233="OA",D1233="OT",D1233="UN",D1233="PC"),EXP(VLOOKUP(D1233,'Species Codes'!B:O,14,0)+VLOOKUP(D1233,'Species Codes'!B:P,15,0)*LN((E1233*2.54)))-EXP(VLOOKUP(D1233,'Species Codes'!B:O,14,0)+VLOOKUP(D1233,'Species Codes'!B:P,15,0)*LN((E1233*2.54)))*(1/(VLOOKUP(D1233,'Species Codes'!B:Q,16,0)+VLOOKUP(D1233,'Species Codes'!B:R,17,0)*((E1233*2.54)^VLOOKUP(D1233,'Species Codes'!B:S,18,0)))),IF(OR(D1233="BM",D1233="MD",D1233="OA"),EXP(VLOOKUP(D1233,'Species Codes'!B:O,14,0)+VLOOKUP(D1233,'Species Codes'!B:P,15,0)*LN((E1233*2.54)))*(1-(1/(VLOOKUP(D1233,'Species Codes'!B:Q,16,0)+VLOOKUP(D1233,'Species Codes'!B:R,17,0)*((E1233*2.54)^VLOOKUP(D1233,'Species Codes'!B:S,18,0)))))/1000,IF(D1233="DF",EXP(VLOOKUP(D1233,'Species Codes'!B:O,14,0)+VLOOKUP(D1233,'Species Codes'!B:P,15,0)*LN((E1233*2.54))),VLOOKUP(D1233,'Species Codes'!B:O,14,0)+VLOOKUP(D1233,'Species Codes'!B:P,15,0)*(((E1233*2.54)/100)^2)*(I1233*0.3048)))))*0.0011023),0)</f>
        <v>#N/A</v>
      </c>
      <c r="AD1233" s="104" t="e">
        <f t="shared" si="544"/>
        <v>#N/A</v>
      </c>
      <c r="AE1233" s="104" t="e">
        <f t="shared" si="545"/>
        <v>#N/A</v>
      </c>
      <c r="AF1233" s="104" t="e">
        <f>IF(AND(VLOOKUP($D1233,Merchantability!$B:$C,2,0)="Yes",$E1233&gt;=VLOOKUP($D1233,Merchantability!$B:$D,3,0),$E1233&lt;=VLOOKUP($D1233,Merchantability!$B:$E,4,0)),AA1233,0)</f>
        <v>#N/A</v>
      </c>
      <c r="AG1233" s="104" t="e">
        <f>IF(AND(VLOOKUP($D1233,Merchantability!$B:$C,2,0)="Yes",$E1233&gt;=VLOOKUP($D1233,Merchantability!$B:$D,3,0),$E1233&lt;=VLOOKUP($D1233,Merchantability!$B:$E,4,0)),AB1233,0)</f>
        <v>#N/A</v>
      </c>
      <c r="AH1233" s="104" t="e">
        <f>IF(AND(VLOOKUP($D1233,Merchantability!$B:$C,2,0)="Yes",$E1233&gt;=VLOOKUP($D1233,Merchantability!$B:$D,3,0),$E1233&lt;=VLOOKUP($D1233,Merchantability!$B:$E,4,0)),AC1233,0)</f>
        <v>#N/A</v>
      </c>
      <c r="AI1233" s="104" t="e">
        <f t="shared" si="546"/>
        <v>#N/A</v>
      </c>
      <c r="AJ1233" s="104" t="e">
        <f t="shared" si="547"/>
        <v>#VALUE!</v>
      </c>
      <c r="AK1233" s="104" t="e">
        <f t="shared" si="548"/>
        <v>#N/A</v>
      </c>
      <c r="AL1233" s="104" t="e">
        <f t="shared" si="549"/>
        <v>#N/A</v>
      </c>
      <c r="AM1233" s="104" t="e">
        <f t="shared" si="550"/>
        <v>#N/A</v>
      </c>
      <c r="AN1233" s="104" t="e">
        <f t="shared" si="561"/>
        <v>#N/A</v>
      </c>
      <c r="AO1233" s="104" t="e">
        <f t="shared" si="562"/>
        <v>#N/A</v>
      </c>
      <c r="AP1233" s="104" t="e">
        <f t="shared" si="563"/>
        <v>#N/A</v>
      </c>
      <c r="AQ1233" s="104" t="e">
        <f t="shared" si="564"/>
        <v>#N/A</v>
      </c>
      <c r="AR1233" s="105" t="str">
        <f t="shared" si="556"/>
        <v/>
      </c>
      <c r="AS1233" s="105" t="str">
        <f t="shared" si="557"/>
        <v/>
      </c>
      <c r="AT1233" s="108" t="str">
        <f t="shared" si="558"/>
        <v/>
      </c>
      <c r="AU1233" s="108" t="str">
        <f t="shared" si="559"/>
        <v/>
      </c>
      <c r="AV1233" s="107" t="str">
        <f>IF(ISNUMBER(O1233),IF(VLOOKUP($A1233,Stand!C:J,8,FALSE)="Short",AT1233,AU1233),"")</f>
        <v/>
      </c>
      <c r="AW1233" s="109" t="str">
        <f t="shared" si="565"/>
        <v/>
      </c>
      <c r="AX1233" s="109" t="str">
        <f t="shared" si="566"/>
        <v/>
      </c>
      <c r="AY1233" s="112" t="str">
        <f>IF(ISNUMBER(O1233),IF(AND(VLOOKUP($D1233,Merchantability!$B:$C,2,0)="Yes",$E1233&gt;=VLOOKUP($D1233,Merchantability!$B:$D,3,0),$E1233&lt;=VLOOKUP($D1233,Merchantability!$B:$E,4,0)),(AV1233*O1233)*(1-$H1233/100),""),"")</f>
        <v/>
      </c>
      <c r="AZ1233" s="116"/>
      <c r="BA1233" s="116"/>
      <c r="BB1233" s="116"/>
      <c r="BE1233" s="62"/>
      <c r="BF1233" s="63"/>
    </row>
    <row r="1234" spans="1:58" ht="12.75" customHeight="1" x14ac:dyDescent="0.25">
      <c r="A1234" s="313"/>
      <c r="B1234" s="328"/>
      <c r="C1234" s="329"/>
      <c r="D1234" s="328"/>
      <c r="E1234" s="330"/>
      <c r="F1234" s="328"/>
      <c r="G1234" s="329"/>
      <c r="H1234" s="329"/>
      <c r="I1234" s="328"/>
      <c r="J1234" s="383"/>
      <c r="K1234" s="329"/>
      <c r="L1234" s="329"/>
      <c r="M1234" s="76"/>
      <c r="N1234" s="103" t="str">
        <f>IF(A1234="","",VLOOKUP(A1234,Stand!C:K,9,0))</f>
        <v/>
      </c>
      <c r="O1234" s="104" t="str">
        <f t="shared" si="551"/>
        <v/>
      </c>
      <c r="P1234" s="105" t="str">
        <f t="shared" si="552"/>
        <v/>
      </c>
      <c r="Q1234" s="105" t="str">
        <f t="shared" si="540"/>
        <v/>
      </c>
      <c r="R1234" s="103" t="str">
        <f t="shared" si="553"/>
        <v/>
      </c>
      <c r="S1234" s="103" t="str">
        <f t="shared" si="554"/>
        <v/>
      </c>
      <c r="T1234" s="106" t="str">
        <f t="shared" si="541"/>
        <v/>
      </c>
      <c r="U1234" s="106" t="str">
        <f t="shared" si="542"/>
        <v/>
      </c>
      <c r="V1234" s="106" t="str">
        <f t="shared" si="543"/>
        <v/>
      </c>
      <c r="W1234" s="105" t="str">
        <f t="shared" si="555"/>
        <v/>
      </c>
      <c r="X1234" s="104" t="str">
        <f t="shared" si="560"/>
        <v/>
      </c>
      <c r="Y1234" s="104" t="str">
        <f t="array" ref="Y1234">IFERROR(IF(ISNUMBER(O1234),IF(COUNT(IF(A1234=$A$2:$A$2427,IF(D1234=$D$2:$D$2427,IF($X$2:$X$2427&gt;0,1))))&gt;0,SUM(IF(A1234=$A$2:$A$2427,IF(D1234=$D$2:$D$2427,$X$2:$X$2427)))/COUNT(IF(A1234=$A$2:$A$2427,IF(D1234=$D$2:$D$2427,IF(ISNUMBER($X$2:$X$2427),1)))),0),""),0)</f>
        <v/>
      </c>
      <c r="Z1234" s="104" t="str">
        <f>IF(ISNUMBER(O1234),IF(I1234&gt;0,(10^(VLOOKUP(D1234,'Species Codes'!B:C,2,0)+VLOOKUP(D1234,'Species Codes'!B:D,3,0)*LOG(E1234)+VLOOKUP(D1234,'Species Codes'!B:E,4,0)*LOG(I1234))),0),"")</f>
        <v/>
      </c>
      <c r="AA1234" s="104" t="str">
        <f>IFERROR((VLOOKUP(D1234,'Species Codes'!B:G,6,0)*Z1234)/2000,"")</f>
        <v/>
      </c>
      <c r="AB1234" s="104" t="e">
        <f>IF(Z1234&gt;0,((IF(OR(D1234="DF",D1234="RA")=TRUE,EXP(VLOOKUP(D1234,'Species Codes'!B:I,8,0)+VLOOKUP(D1234,'Species Codes'!B:J,9,0)*(LN((E1234*2.54)))),IF(OR(D1234="PY",D1234="RC",D1234="WH",D1234="NF")=TRUE,VLOOKUP(D1234,'Species Codes'!B:I,8,0)+VLOOKUP(D1234,'Species Codes'!B:J,9,0)*((E1234*2.54)^2)*(I1234*0.3048),IF(OR(D1234="MD",D1234="BM",D1234="GA")=TRUE,((VLOOKUP(D1234,'Species Codes'!B:I,8,0)*(((((E1234*2.54)+VLOOKUP(D1234,'Species Codes'!B:J,9,0))/VLOOKUP(D1234,'Species Codes'!B:K,10,0))^VLOOKUP(D1234,'Species Codes'!B:L,11,0))*((I1234*0.3048)^VLOOKUP(D1234,'Species Codes'!B:M,12,0))))-(VLOOKUP(D1234,'Species Codes'!B:I,8,0)*((((E1234*2.54)^VLOOKUP(D1234,'Species Codes'!B:L,11,0))*((I1234*0.3048)^VLOOKUP(D1234,'Species Codes'!B:M,12,0))))))*35.3*VLOOKUP(D1234,'Species Codes'!B:G,6,0)/2.2046,VLOOKUP(D1234,'Species Codes'!B:I,8,0)+VLOOKUP(D1234,'Species Codes'!B:J,9,0)*(((E1234*2.54)/100)^2)*(I1234*0.3048)))))*0.0011023),0)</f>
        <v>#N/A</v>
      </c>
      <c r="AC1234" s="104" t="e">
        <f>IF(Z1234&gt;0,((IF(OR(D1234="RA",D1234="OA",D1234="OT",D1234="UN",D1234="PC"),EXP(VLOOKUP(D1234,'Species Codes'!B:O,14,0)+VLOOKUP(D1234,'Species Codes'!B:P,15,0)*LN((E1234*2.54)))-EXP(VLOOKUP(D1234,'Species Codes'!B:O,14,0)+VLOOKUP(D1234,'Species Codes'!B:P,15,0)*LN((E1234*2.54)))*(1/(VLOOKUP(D1234,'Species Codes'!B:Q,16,0)+VLOOKUP(D1234,'Species Codes'!B:R,17,0)*((E1234*2.54)^VLOOKUP(D1234,'Species Codes'!B:S,18,0)))),IF(OR(D1234="BM",D1234="MD",D1234="OA"),EXP(VLOOKUP(D1234,'Species Codes'!B:O,14,0)+VLOOKUP(D1234,'Species Codes'!B:P,15,0)*LN((E1234*2.54)))*(1-(1/(VLOOKUP(D1234,'Species Codes'!B:Q,16,0)+VLOOKUP(D1234,'Species Codes'!B:R,17,0)*((E1234*2.54)^VLOOKUP(D1234,'Species Codes'!B:S,18,0)))))/1000,IF(D1234="DF",EXP(VLOOKUP(D1234,'Species Codes'!B:O,14,0)+VLOOKUP(D1234,'Species Codes'!B:P,15,0)*LN((E1234*2.54))),VLOOKUP(D1234,'Species Codes'!B:O,14,0)+VLOOKUP(D1234,'Species Codes'!B:P,15,0)*(((E1234*2.54)/100)^2)*(I1234*0.3048)))))*0.0011023),0)</f>
        <v>#N/A</v>
      </c>
      <c r="AD1234" s="104" t="e">
        <f t="shared" si="544"/>
        <v>#N/A</v>
      </c>
      <c r="AE1234" s="104" t="e">
        <f t="shared" si="545"/>
        <v>#N/A</v>
      </c>
      <c r="AF1234" s="104" t="e">
        <f>IF(AND(VLOOKUP($D1234,Merchantability!$B:$C,2,0)="Yes",$E1234&gt;=VLOOKUP($D1234,Merchantability!$B:$D,3,0),$E1234&lt;=VLOOKUP($D1234,Merchantability!$B:$E,4,0)),AA1234,0)</f>
        <v>#N/A</v>
      </c>
      <c r="AG1234" s="104" t="e">
        <f>IF(AND(VLOOKUP($D1234,Merchantability!$B:$C,2,0)="Yes",$E1234&gt;=VLOOKUP($D1234,Merchantability!$B:$D,3,0),$E1234&lt;=VLOOKUP($D1234,Merchantability!$B:$E,4,0)),AB1234,0)</f>
        <v>#N/A</v>
      </c>
      <c r="AH1234" s="104" t="e">
        <f>IF(AND(VLOOKUP($D1234,Merchantability!$B:$C,2,0)="Yes",$E1234&gt;=VLOOKUP($D1234,Merchantability!$B:$D,3,0),$E1234&lt;=VLOOKUP($D1234,Merchantability!$B:$E,4,0)),AC1234,0)</f>
        <v>#N/A</v>
      </c>
      <c r="AI1234" s="104" t="e">
        <f t="shared" si="546"/>
        <v>#N/A</v>
      </c>
      <c r="AJ1234" s="104" t="e">
        <f t="shared" si="547"/>
        <v>#VALUE!</v>
      </c>
      <c r="AK1234" s="104" t="e">
        <f t="shared" si="548"/>
        <v>#N/A</v>
      </c>
      <c r="AL1234" s="104" t="e">
        <f t="shared" si="549"/>
        <v>#N/A</v>
      </c>
      <c r="AM1234" s="104" t="e">
        <f t="shared" si="550"/>
        <v>#N/A</v>
      </c>
      <c r="AN1234" s="104" t="e">
        <f t="shared" si="561"/>
        <v>#N/A</v>
      </c>
      <c r="AO1234" s="104" t="e">
        <f t="shared" si="562"/>
        <v>#N/A</v>
      </c>
      <c r="AP1234" s="104" t="e">
        <f t="shared" si="563"/>
        <v>#N/A</v>
      </c>
      <c r="AQ1234" s="104" t="e">
        <f t="shared" si="564"/>
        <v>#N/A</v>
      </c>
      <c r="AR1234" s="105" t="str">
        <f t="shared" si="556"/>
        <v/>
      </c>
      <c r="AS1234" s="105" t="str">
        <f t="shared" si="557"/>
        <v/>
      </c>
      <c r="AT1234" s="108" t="str">
        <f t="shared" si="558"/>
        <v/>
      </c>
      <c r="AU1234" s="108" t="str">
        <f t="shared" si="559"/>
        <v/>
      </c>
      <c r="AV1234" s="107" t="str">
        <f>IF(ISNUMBER(O1234),IF(VLOOKUP($A1234,Stand!C:J,8,FALSE)="Short",AT1234,AU1234),"")</f>
        <v/>
      </c>
      <c r="AW1234" s="109" t="str">
        <f t="shared" si="565"/>
        <v/>
      </c>
      <c r="AX1234" s="109" t="str">
        <f t="shared" si="566"/>
        <v/>
      </c>
      <c r="AY1234" s="112" t="str">
        <f>IF(ISNUMBER(O1234),IF(AND(VLOOKUP($D1234,Merchantability!$B:$C,2,0)="Yes",$E1234&gt;=VLOOKUP($D1234,Merchantability!$B:$D,3,0),$E1234&lt;=VLOOKUP($D1234,Merchantability!$B:$E,4,0)),(AV1234*O1234)*(1-$H1234/100),""),"")</f>
        <v/>
      </c>
      <c r="AZ1234" s="116"/>
      <c r="BA1234" s="116"/>
      <c r="BB1234" s="116"/>
      <c r="BE1234" s="62"/>
      <c r="BF1234" s="63"/>
    </row>
    <row r="1235" spans="1:58" ht="12.75" customHeight="1" x14ac:dyDescent="0.25">
      <c r="A1235" s="313"/>
      <c r="B1235" s="328"/>
      <c r="C1235" s="329"/>
      <c r="D1235" s="328"/>
      <c r="E1235" s="330"/>
      <c r="F1235" s="328"/>
      <c r="G1235" s="329"/>
      <c r="H1235" s="329"/>
      <c r="I1235" s="328"/>
      <c r="J1235" s="383"/>
      <c r="K1235" s="329"/>
      <c r="L1235" s="329"/>
      <c r="M1235" s="76"/>
      <c r="N1235" s="103" t="str">
        <f>IF(A1235="","",VLOOKUP(A1235,Stand!C:K,9,0))</f>
        <v/>
      </c>
      <c r="O1235" s="104" t="str">
        <f t="shared" si="551"/>
        <v/>
      </c>
      <c r="P1235" s="105" t="str">
        <f t="shared" si="552"/>
        <v/>
      </c>
      <c r="Q1235" s="105" t="str">
        <f t="shared" si="540"/>
        <v/>
      </c>
      <c r="R1235" s="103" t="str">
        <f t="shared" si="553"/>
        <v/>
      </c>
      <c r="S1235" s="103" t="str">
        <f t="shared" si="554"/>
        <v/>
      </c>
      <c r="T1235" s="106" t="str">
        <f t="shared" si="541"/>
        <v/>
      </c>
      <c r="U1235" s="106" t="str">
        <f t="shared" si="542"/>
        <v/>
      </c>
      <c r="V1235" s="106" t="str">
        <f t="shared" si="543"/>
        <v/>
      </c>
      <c r="W1235" s="105" t="str">
        <f t="shared" si="555"/>
        <v/>
      </c>
      <c r="X1235" s="104" t="str">
        <f t="shared" si="560"/>
        <v/>
      </c>
      <c r="Y1235" s="104" t="str">
        <f t="array" ref="Y1235">IFERROR(IF(ISNUMBER(O1235),IF(COUNT(IF(A1235=$A$2:$A$2427,IF(D1235=$D$2:$D$2427,IF($X$2:$X$2427&gt;0,1))))&gt;0,SUM(IF(A1235=$A$2:$A$2427,IF(D1235=$D$2:$D$2427,$X$2:$X$2427)))/COUNT(IF(A1235=$A$2:$A$2427,IF(D1235=$D$2:$D$2427,IF(ISNUMBER($X$2:$X$2427),1)))),0),""),0)</f>
        <v/>
      </c>
      <c r="Z1235" s="104" t="str">
        <f>IF(ISNUMBER(O1235),IF(I1235&gt;0,(10^(VLOOKUP(D1235,'Species Codes'!B:C,2,0)+VLOOKUP(D1235,'Species Codes'!B:D,3,0)*LOG(E1235)+VLOOKUP(D1235,'Species Codes'!B:E,4,0)*LOG(I1235))),0),"")</f>
        <v/>
      </c>
      <c r="AA1235" s="104" t="str">
        <f>IFERROR((VLOOKUP(D1235,'Species Codes'!B:G,6,0)*Z1235)/2000,"")</f>
        <v/>
      </c>
      <c r="AB1235" s="104" t="e">
        <f>IF(Z1235&gt;0,((IF(OR(D1235="DF",D1235="RA")=TRUE,EXP(VLOOKUP(D1235,'Species Codes'!B:I,8,0)+VLOOKUP(D1235,'Species Codes'!B:J,9,0)*(LN((E1235*2.54)))),IF(OR(D1235="PY",D1235="RC",D1235="WH",D1235="NF")=TRUE,VLOOKUP(D1235,'Species Codes'!B:I,8,0)+VLOOKUP(D1235,'Species Codes'!B:J,9,0)*((E1235*2.54)^2)*(I1235*0.3048),IF(OR(D1235="MD",D1235="BM",D1235="GA")=TRUE,((VLOOKUP(D1235,'Species Codes'!B:I,8,0)*(((((E1235*2.54)+VLOOKUP(D1235,'Species Codes'!B:J,9,0))/VLOOKUP(D1235,'Species Codes'!B:K,10,0))^VLOOKUP(D1235,'Species Codes'!B:L,11,0))*((I1235*0.3048)^VLOOKUP(D1235,'Species Codes'!B:M,12,0))))-(VLOOKUP(D1235,'Species Codes'!B:I,8,0)*((((E1235*2.54)^VLOOKUP(D1235,'Species Codes'!B:L,11,0))*((I1235*0.3048)^VLOOKUP(D1235,'Species Codes'!B:M,12,0))))))*35.3*VLOOKUP(D1235,'Species Codes'!B:G,6,0)/2.2046,VLOOKUP(D1235,'Species Codes'!B:I,8,0)+VLOOKUP(D1235,'Species Codes'!B:J,9,0)*(((E1235*2.54)/100)^2)*(I1235*0.3048)))))*0.0011023),0)</f>
        <v>#N/A</v>
      </c>
      <c r="AC1235" s="104" t="e">
        <f>IF(Z1235&gt;0,((IF(OR(D1235="RA",D1235="OA",D1235="OT",D1235="UN",D1235="PC"),EXP(VLOOKUP(D1235,'Species Codes'!B:O,14,0)+VLOOKUP(D1235,'Species Codes'!B:P,15,0)*LN((E1235*2.54)))-EXP(VLOOKUP(D1235,'Species Codes'!B:O,14,0)+VLOOKUP(D1235,'Species Codes'!B:P,15,0)*LN((E1235*2.54)))*(1/(VLOOKUP(D1235,'Species Codes'!B:Q,16,0)+VLOOKUP(D1235,'Species Codes'!B:R,17,0)*((E1235*2.54)^VLOOKUP(D1235,'Species Codes'!B:S,18,0)))),IF(OR(D1235="BM",D1235="MD",D1235="OA"),EXP(VLOOKUP(D1235,'Species Codes'!B:O,14,0)+VLOOKUP(D1235,'Species Codes'!B:P,15,0)*LN((E1235*2.54)))*(1-(1/(VLOOKUP(D1235,'Species Codes'!B:Q,16,0)+VLOOKUP(D1235,'Species Codes'!B:R,17,0)*((E1235*2.54)^VLOOKUP(D1235,'Species Codes'!B:S,18,0)))))/1000,IF(D1235="DF",EXP(VLOOKUP(D1235,'Species Codes'!B:O,14,0)+VLOOKUP(D1235,'Species Codes'!B:P,15,0)*LN((E1235*2.54))),VLOOKUP(D1235,'Species Codes'!B:O,14,0)+VLOOKUP(D1235,'Species Codes'!B:P,15,0)*(((E1235*2.54)/100)^2)*(I1235*0.3048)))))*0.0011023),0)</f>
        <v>#N/A</v>
      </c>
      <c r="AD1235" s="104" t="e">
        <f t="shared" si="544"/>
        <v>#N/A</v>
      </c>
      <c r="AE1235" s="104" t="e">
        <f t="shared" si="545"/>
        <v>#N/A</v>
      </c>
      <c r="AF1235" s="104" t="e">
        <f>IF(AND(VLOOKUP($D1235,Merchantability!$B:$C,2,0)="Yes",$E1235&gt;=VLOOKUP($D1235,Merchantability!$B:$D,3,0),$E1235&lt;=VLOOKUP($D1235,Merchantability!$B:$E,4,0)),AA1235,0)</f>
        <v>#N/A</v>
      </c>
      <c r="AG1235" s="104" t="e">
        <f>IF(AND(VLOOKUP($D1235,Merchantability!$B:$C,2,0)="Yes",$E1235&gt;=VLOOKUP($D1235,Merchantability!$B:$D,3,0),$E1235&lt;=VLOOKUP($D1235,Merchantability!$B:$E,4,0)),AB1235,0)</f>
        <v>#N/A</v>
      </c>
      <c r="AH1235" s="104" t="e">
        <f>IF(AND(VLOOKUP($D1235,Merchantability!$B:$C,2,0)="Yes",$E1235&gt;=VLOOKUP($D1235,Merchantability!$B:$D,3,0),$E1235&lt;=VLOOKUP($D1235,Merchantability!$B:$E,4,0)),AC1235,0)</f>
        <v>#N/A</v>
      </c>
      <c r="AI1235" s="104" t="e">
        <f t="shared" si="546"/>
        <v>#N/A</v>
      </c>
      <c r="AJ1235" s="104" t="e">
        <f t="shared" si="547"/>
        <v>#VALUE!</v>
      </c>
      <c r="AK1235" s="104" t="e">
        <f t="shared" si="548"/>
        <v>#N/A</v>
      </c>
      <c r="AL1235" s="104" t="e">
        <f t="shared" si="549"/>
        <v>#N/A</v>
      </c>
      <c r="AM1235" s="104" t="e">
        <f t="shared" si="550"/>
        <v>#N/A</v>
      </c>
      <c r="AN1235" s="104" t="e">
        <f t="shared" si="561"/>
        <v>#N/A</v>
      </c>
      <c r="AO1235" s="104" t="e">
        <f t="shared" si="562"/>
        <v>#N/A</v>
      </c>
      <c r="AP1235" s="104" t="e">
        <f t="shared" si="563"/>
        <v>#N/A</v>
      </c>
      <c r="AQ1235" s="104" t="e">
        <f t="shared" si="564"/>
        <v>#N/A</v>
      </c>
      <c r="AR1235" s="105" t="str">
        <f t="shared" si="556"/>
        <v/>
      </c>
      <c r="AS1235" s="105" t="str">
        <f t="shared" si="557"/>
        <v/>
      </c>
      <c r="AT1235" s="108" t="str">
        <f t="shared" si="558"/>
        <v/>
      </c>
      <c r="AU1235" s="108" t="str">
        <f t="shared" si="559"/>
        <v/>
      </c>
      <c r="AV1235" s="107" t="str">
        <f>IF(ISNUMBER(O1235),IF(VLOOKUP($A1235,Stand!C:J,8,FALSE)="Short",AT1235,AU1235),"")</f>
        <v/>
      </c>
      <c r="AW1235" s="109" t="str">
        <f t="shared" si="565"/>
        <v/>
      </c>
      <c r="AX1235" s="109" t="str">
        <f t="shared" si="566"/>
        <v/>
      </c>
      <c r="AY1235" s="112" t="str">
        <f>IF(ISNUMBER(O1235),IF(AND(VLOOKUP($D1235,Merchantability!$B:$C,2,0)="Yes",$E1235&gt;=VLOOKUP($D1235,Merchantability!$B:$D,3,0),$E1235&lt;=VLOOKUP($D1235,Merchantability!$B:$E,4,0)),(AV1235*O1235)*(1-$H1235/100),""),"")</f>
        <v/>
      </c>
      <c r="AZ1235" s="116"/>
      <c r="BA1235" s="116"/>
      <c r="BB1235" s="116"/>
      <c r="BE1235" s="62"/>
      <c r="BF1235" s="63"/>
    </row>
    <row r="1236" spans="1:58" ht="12.75" customHeight="1" x14ac:dyDescent="0.25">
      <c r="A1236" s="313"/>
      <c r="B1236" s="328"/>
      <c r="C1236" s="329"/>
      <c r="D1236" s="328"/>
      <c r="E1236" s="330"/>
      <c r="F1236" s="328"/>
      <c r="G1236" s="329"/>
      <c r="H1236" s="329"/>
      <c r="I1236" s="328"/>
      <c r="J1236" s="383"/>
      <c r="K1236" s="329"/>
      <c r="L1236" s="329"/>
      <c r="M1236" s="76"/>
      <c r="N1236" s="103" t="str">
        <f>IF(A1236="","",VLOOKUP(A1236,Stand!C:K,9,0))</f>
        <v/>
      </c>
      <c r="O1236" s="104" t="str">
        <f t="shared" si="551"/>
        <v/>
      </c>
      <c r="P1236" s="105" t="str">
        <f t="shared" si="552"/>
        <v/>
      </c>
      <c r="Q1236" s="105" t="str">
        <f t="shared" si="540"/>
        <v/>
      </c>
      <c r="R1236" s="103" t="str">
        <f t="shared" si="553"/>
        <v/>
      </c>
      <c r="S1236" s="103" t="str">
        <f t="shared" si="554"/>
        <v/>
      </c>
      <c r="T1236" s="106" t="str">
        <f t="shared" si="541"/>
        <v/>
      </c>
      <c r="U1236" s="106" t="str">
        <f t="shared" si="542"/>
        <v/>
      </c>
      <c r="V1236" s="106" t="str">
        <f t="shared" si="543"/>
        <v/>
      </c>
      <c r="W1236" s="105" t="str">
        <f t="shared" si="555"/>
        <v/>
      </c>
      <c r="X1236" s="104" t="str">
        <f t="shared" si="560"/>
        <v/>
      </c>
      <c r="Y1236" s="104" t="str">
        <f t="array" ref="Y1236">IFERROR(IF(ISNUMBER(O1236),IF(COUNT(IF(A1236=$A$2:$A$2427,IF(D1236=$D$2:$D$2427,IF($X$2:$X$2427&gt;0,1))))&gt;0,SUM(IF(A1236=$A$2:$A$2427,IF(D1236=$D$2:$D$2427,$X$2:$X$2427)))/COUNT(IF(A1236=$A$2:$A$2427,IF(D1236=$D$2:$D$2427,IF(ISNUMBER($X$2:$X$2427),1)))),0),""),0)</f>
        <v/>
      </c>
      <c r="Z1236" s="104" t="str">
        <f>IF(ISNUMBER(O1236),IF(I1236&gt;0,(10^(VLOOKUP(D1236,'Species Codes'!B:C,2,0)+VLOOKUP(D1236,'Species Codes'!B:D,3,0)*LOG(E1236)+VLOOKUP(D1236,'Species Codes'!B:E,4,0)*LOG(I1236))),0),"")</f>
        <v/>
      </c>
      <c r="AA1236" s="104" t="str">
        <f>IFERROR((VLOOKUP(D1236,'Species Codes'!B:G,6,0)*Z1236)/2000,"")</f>
        <v/>
      </c>
      <c r="AB1236" s="104" t="e">
        <f>IF(Z1236&gt;0,((IF(OR(D1236="DF",D1236="RA")=TRUE,EXP(VLOOKUP(D1236,'Species Codes'!B:I,8,0)+VLOOKUP(D1236,'Species Codes'!B:J,9,0)*(LN((E1236*2.54)))),IF(OR(D1236="PY",D1236="RC",D1236="WH",D1236="NF")=TRUE,VLOOKUP(D1236,'Species Codes'!B:I,8,0)+VLOOKUP(D1236,'Species Codes'!B:J,9,0)*((E1236*2.54)^2)*(I1236*0.3048),IF(OR(D1236="MD",D1236="BM",D1236="GA")=TRUE,((VLOOKUP(D1236,'Species Codes'!B:I,8,0)*(((((E1236*2.54)+VLOOKUP(D1236,'Species Codes'!B:J,9,0))/VLOOKUP(D1236,'Species Codes'!B:K,10,0))^VLOOKUP(D1236,'Species Codes'!B:L,11,0))*((I1236*0.3048)^VLOOKUP(D1236,'Species Codes'!B:M,12,0))))-(VLOOKUP(D1236,'Species Codes'!B:I,8,0)*((((E1236*2.54)^VLOOKUP(D1236,'Species Codes'!B:L,11,0))*((I1236*0.3048)^VLOOKUP(D1236,'Species Codes'!B:M,12,0))))))*35.3*VLOOKUP(D1236,'Species Codes'!B:G,6,0)/2.2046,VLOOKUP(D1236,'Species Codes'!B:I,8,0)+VLOOKUP(D1236,'Species Codes'!B:J,9,0)*(((E1236*2.54)/100)^2)*(I1236*0.3048)))))*0.0011023),0)</f>
        <v>#N/A</v>
      </c>
      <c r="AC1236" s="104" t="e">
        <f>IF(Z1236&gt;0,((IF(OR(D1236="RA",D1236="OA",D1236="OT",D1236="UN",D1236="PC"),EXP(VLOOKUP(D1236,'Species Codes'!B:O,14,0)+VLOOKUP(D1236,'Species Codes'!B:P,15,0)*LN((E1236*2.54)))-EXP(VLOOKUP(D1236,'Species Codes'!B:O,14,0)+VLOOKUP(D1236,'Species Codes'!B:P,15,0)*LN((E1236*2.54)))*(1/(VLOOKUP(D1236,'Species Codes'!B:Q,16,0)+VLOOKUP(D1236,'Species Codes'!B:R,17,0)*((E1236*2.54)^VLOOKUP(D1236,'Species Codes'!B:S,18,0)))),IF(OR(D1236="BM",D1236="MD",D1236="OA"),EXP(VLOOKUP(D1236,'Species Codes'!B:O,14,0)+VLOOKUP(D1236,'Species Codes'!B:P,15,0)*LN((E1236*2.54)))*(1-(1/(VLOOKUP(D1236,'Species Codes'!B:Q,16,0)+VLOOKUP(D1236,'Species Codes'!B:R,17,0)*((E1236*2.54)^VLOOKUP(D1236,'Species Codes'!B:S,18,0)))))/1000,IF(D1236="DF",EXP(VLOOKUP(D1236,'Species Codes'!B:O,14,0)+VLOOKUP(D1236,'Species Codes'!B:P,15,0)*LN((E1236*2.54))),VLOOKUP(D1236,'Species Codes'!B:O,14,0)+VLOOKUP(D1236,'Species Codes'!B:P,15,0)*(((E1236*2.54)/100)^2)*(I1236*0.3048)))))*0.0011023),0)</f>
        <v>#N/A</v>
      </c>
      <c r="AD1236" s="104" t="e">
        <f t="shared" si="544"/>
        <v>#N/A</v>
      </c>
      <c r="AE1236" s="104" t="e">
        <f t="shared" si="545"/>
        <v>#N/A</v>
      </c>
      <c r="AF1236" s="104" t="e">
        <f>IF(AND(VLOOKUP($D1236,Merchantability!$B:$C,2,0)="Yes",$E1236&gt;=VLOOKUP($D1236,Merchantability!$B:$D,3,0),$E1236&lt;=VLOOKUP($D1236,Merchantability!$B:$E,4,0)),AA1236,0)</f>
        <v>#N/A</v>
      </c>
      <c r="AG1236" s="104" t="e">
        <f>IF(AND(VLOOKUP($D1236,Merchantability!$B:$C,2,0)="Yes",$E1236&gt;=VLOOKUP($D1236,Merchantability!$B:$D,3,0),$E1236&lt;=VLOOKUP($D1236,Merchantability!$B:$E,4,0)),AB1236,0)</f>
        <v>#N/A</v>
      </c>
      <c r="AH1236" s="104" t="e">
        <f>IF(AND(VLOOKUP($D1236,Merchantability!$B:$C,2,0)="Yes",$E1236&gt;=VLOOKUP($D1236,Merchantability!$B:$D,3,0),$E1236&lt;=VLOOKUP($D1236,Merchantability!$B:$E,4,0)),AC1236,0)</f>
        <v>#N/A</v>
      </c>
      <c r="AI1236" s="104" t="e">
        <f t="shared" si="546"/>
        <v>#N/A</v>
      </c>
      <c r="AJ1236" s="104" t="e">
        <f t="shared" si="547"/>
        <v>#VALUE!</v>
      </c>
      <c r="AK1236" s="104" t="e">
        <f t="shared" si="548"/>
        <v>#N/A</v>
      </c>
      <c r="AL1236" s="104" t="e">
        <f t="shared" si="549"/>
        <v>#N/A</v>
      </c>
      <c r="AM1236" s="104" t="e">
        <f t="shared" si="550"/>
        <v>#N/A</v>
      </c>
      <c r="AN1236" s="104" t="e">
        <f t="shared" si="561"/>
        <v>#N/A</v>
      </c>
      <c r="AO1236" s="104" t="e">
        <f t="shared" si="562"/>
        <v>#N/A</v>
      </c>
      <c r="AP1236" s="104" t="e">
        <f t="shared" si="563"/>
        <v>#N/A</v>
      </c>
      <c r="AQ1236" s="104" t="e">
        <f t="shared" si="564"/>
        <v>#N/A</v>
      </c>
      <c r="AR1236" s="105" t="str">
        <f t="shared" si="556"/>
        <v/>
      </c>
      <c r="AS1236" s="105" t="str">
        <f t="shared" si="557"/>
        <v/>
      </c>
      <c r="AT1236" s="108" t="str">
        <f t="shared" si="558"/>
        <v/>
      </c>
      <c r="AU1236" s="108" t="str">
        <f t="shared" si="559"/>
        <v/>
      </c>
      <c r="AV1236" s="107" t="str">
        <f>IF(ISNUMBER(O1236),IF(VLOOKUP($A1236,Stand!C:J,8,FALSE)="Short",AT1236,AU1236),"")</f>
        <v/>
      </c>
      <c r="AW1236" s="109" t="str">
        <f t="shared" si="565"/>
        <v/>
      </c>
      <c r="AX1236" s="109" t="str">
        <f t="shared" si="566"/>
        <v/>
      </c>
      <c r="AY1236" s="112" t="str">
        <f>IF(ISNUMBER(O1236),IF(AND(VLOOKUP($D1236,Merchantability!$B:$C,2,0)="Yes",$E1236&gt;=VLOOKUP($D1236,Merchantability!$B:$D,3,0),$E1236&lt;=VLOOKUP($D1236,Merchantability!$B:$E,4,0)),(AV1236*O1236)*(1-$H1236/100),""),"")</f>
        <v/>
      </c>
      <c r="AZ1236" s="116"/>
      <c r="BA1236" s="116"/>
      <c r="BB1236" s="116"/>
      <c r="BE1236" s="62"/>
      <c r="BF1236" s="63"/>
    </row>
    <row r="1237" spans="1:58" ht="12.75" customHeight="1" x14ac:dyDescent="0.25">
      <c r="A1237" s="313"/>
      <c r="B1237" s="328"/>
      <c r="C1237" s="329"/>
      <c r="D1237" s="328"/>
      <c r="E1237" s="330"/>
      <c r="F1237" s="328"/>
      <c r="G1237" s="329"/>
      <c r="H1237" s="329"/>
      <c r="I1237" s="328"/>
      <c r="J1237" s="383"/>
      <c r="K1237" s="329"/>
      <c r="L1237" s="329"/>
      <c r="M1237" s="76"/>
      <c r="N1237" s="103" t="str">
        <f>IF(A1237="","",VLOOKUP(A1237,Stand!C:K,9,0))</f>
        <v/>
      </c>
      <c r="O1237" s="104" t="str">
        <f t="shared" si="551"/>
        <v/>
      </c>
      <c r="P1237" s="105" t="str">
        <f t="shared" si="552"/>
        <v/>
      </c>
      <c r="Q1237" s="105" t="str">
        <f t="shared" si="540"/>
        <v/>
      </c>
      <c r="R1237" s="103" t="str">
        <f t="shared" si="553"/>
        <v/>
      </c>
      <c r="S1237" s="103" t="str">
        <f t="shared" si="554"/>
        <v/>
      </c>
      <c r="T1237" s="106" t="str">
        <f t="shared" si="541"/>
        <v/>
      </c>
      <c r="U1237" s="106" t="str">
        <f t="shared" si="542"/>
        <v/>
      </c>
      <c r="V1237" s="106" t="str">
        <f t="shared" si="543"/>
        <v/>
      </c>
      <c r="W1237" s="105" t="str">
        <f t="shared" si="555"/>
        <v/>
      </c>
      <c r="X1237" s="104" t="str">
        <f t="shared" si="560"/>
        <v/>
      </c>
      <c r="Y1237" s="104" t="str">
        <f t="array" ref="Y1237">IFERROR(IF(ISNUMBER(O1237),IF(COUNT(IF(A1237=$A$2:$A$2427,IF(D1237=$D$2:$D$2427,IF($X$2:$X$2427&gt;0,1))))&gt;0,SUM(IF(A1237=$A$2:$A$2427,IF(D1237=$D$2:$D$2427,$X$2:$X$2427)))/COUNT(IF(A1237=$A$2:$A$2427,IF(D1237=$D$2:$D$2427,IF(ISNUMBER($X$2:$X$2427),1)))),0),""),0)</f>
        <v/>
      </c>
      <c r="Z1237" s="104" t="str">
        <f>IF(ISNUMBER(O1237),IF(I1237&gt;0,(10^(VLOOKUP(D1237,'Species Codes'!B:C,2,0)+VLOOKUP(D1237,'Species Codes'!B:D,3,0)*LOG(E1237)+VLOOKUP(D1237,'Species Codes'!B:E,4,0)*LOG(I1237))),0),"")</f>
        <v/>
      </c>
      <c r="AA1237" s="104" t="str">
        <f>IFERROR((VLOOKUP(D1237,'Species Codes'!B:G,6,0)*Z1237)/2000,"")</f>
        <v/>
      </c>
      <c r="AB1237" s="104" t="e">
        <f>IF(Z1237&gt;0,((IF(OR(D1237="DF",D1237="RA")=TRUE,EXP(VLOOKUP(D1237,'Species Codes'!B:I,8,0)+VLOOKUP(D1237,'Species Codes'!B:J,9,0)*(LN((E1237*2.54)))),IF(OR(D1237="PY",D1237="RC",D1237="WH",D1237="NF")=TRUE,VLOOKUP(D1237,'Species Codes'!B:I,8,0)+VLOOKUP(D1237,'Species Codes'!B:J,9,0)*((E1237*2.54)^2)*(I1237*0.3048),IF(OR(D1237="MD",D1237="BM",D1237="GA")=TRUE,((VLOOKUP(D1237,'Species Codes'!B:I,8,0)*(((((E1237*2.54)+VLOOKUP(D1237,'Species Codes'!B:J,9,0))/VLOOKUP(D1237,'Species Codes'!B:K,10,0))^VLOOKUP(D1237,'Species Codes'!B:L,11,0))*((I1237*0.3048)^VLOOKUP(D1237,'Species Codes'!B:M,12,0))))-(VLOOKUP(D1237,'Species Codes'!B:I,8,0)*((((E1237*2.54)^VLOOKUP(D1237,'Species Codes'!B:L,11,0))*((I1237*0.3048)^VLOOKUP(D1237,'Species Codes'!B:M,12,0))))))*35.3*VLOOKUP(D1237,'Species Codes'!B:G,6,0)/2.2046,VLOOKUP(D1237,'Species Codes'!B:I,8,0)+VLOOKUP(D1237,'Species Codes'!B:J,9,0)*(((E1237*2.54)/100)^2)*(I1237*0.3048)))))*0.0011023),0)</f>
        <v>#N/A</v>
      </c>
      <c r="AC1237" s="104" t="e">
        <f>IF(Z1237&gt;0,((IF(OR(D1237="RA",D1237="OA",D1237="OT",D1237="UN",D1237="PC"),EXP(VLOOKUP(D1237,'Species Codes'!B:O,14,0)+VLOOKUP(D1237,'Species Codes'!B:P,15,0)*LN((E1237*2.54)))-EXP(VLOOKUP(D1237,'Species Codes'!B:O,14,0)+VLOOKUP(D1237,'Species Codes'!B:P,15,0)*LN((E1237*2.54)))*(1/(VLOOKUP(D1237,'Species Codes'!B:Q,16,0)+VLOOKUP(D1237,'Species Codes'!B:R,17,0)*((E1237*2.54)^VLOOKUP(D1237,'Species Codes'!B:S,18,0)))),IF(OR(D1237="BM",D1237="MD",D1237="OA"),EXP(VLOOKUP(D1237,'Species Codes'!B:O,14,0)+VLOOKUP(D1237,'Species Codes'!B:P,15,0)*LN((E1237*2.54)))*(1-(1/(VLOOKUP(D1237,'Species Codes'!B:Q,16,0)+VLOOKUP(D1237,'Species Codes'!B:R,17,0)*((E1237*2.54)^VLOOKUP(D1237,'Species Codes'!B:S,18,0)))))/1000,IF(D1237="DF",EXP(VLOOKUP(D1237,'Species Codes'!B:O,14,0)+VLOOKUP(D1237,'Species Codes'!B:P,15,0)*LN((E1237*2.54))),VLOOKUP(D1237,'Species Codes'!B:O,14,0)+VLOOKUP(D1237,'Species Codes'!B:P,15,0)*(((E1237*2.54)/100)^2)*(I1237*0.3048)))))*0.0011023),0)</f>
        <v>#N/A</v>
      </c>
      <c r="AD1237" s="104" t="e">
        <f t="shared" si="544"/>
        <v>#N/A</v>
      </c>
      <c r="AE1237" s="104" t="e">
        <f t="shared" si="545"/>
        <v>#N/A</v>
      </c>
      <c r="AF1237" s="104" t="e">
        <f>IF(AND(VLOOKUP($D1237,Merchantability!$B:$C,2,0)="Yes",$E1237&gt;=VLOOKUP($D1237,Merchantability!$B:$D,3,0),$E1237&lt;=VLOOKUP($D1237,Merchantability!$B:$E,4,0)),AA1237,0)</f>
        <v>#N/A</v>
      </c>
      <c r="AG1237" s="104" t="e">
        <f>IF(AND(VLOOKUP($D1237,Merchantability!$B:$C,2,0)="Yes",$E1237&gt;=VLOOKUP($D1237,Merchantability!$B:$D,3,0),$E1237&lt;=VLOOKUP($D1237,Merchantability!$B:$E,4,0)),AB1237,0)</f>
        <v>#N/A</v>
      </c>
      <c r="AH1237" s="104" t="e">
        <f>IF(AND(VLOOKUP($D1237,Merchantability!$B:$C,2,0)="Yes",$E1237&gt;=VLOOKUP($D1237,Merchantability!$B:$D,3,0),$E1237&lt;=VLOOKUP($D1237,Merchantability!$B:$E,4,0)),AC1237,0)</f>
        <v>#N/A</v>
      </c>
      <c r="AI1237" s="104" t="e">
        <f t="shared" si="546"/>
        <v>#N/A</v>
      </c>
      <c r="AJ1237" s="104" t="e">
        <f t="shared" si="547"/>
        <v>#VALUE!</v>
      </c>
      <c r="AK1237" s="104" t="e">
        <f t="shared" si="548"/>
        <v>#N/A</v>
      </c>
      <c r="AL1237" s="104" t="e">
        <f t="shared" si="549"/>
        <v>#N/A</v>
      </c>
      <c r="AM1237" s="104" t="e">
        <f t="shared" si="550"/>
        <v>#N/A</v>
      </c>
      <c r="AN1237" s="104" t="e">
        <f t="shared" si="561"/>
        <v>#N/A</v>
      </c>
      <c r="AO1237" s="104" t="e">
        <f t="shared" si="562"/>
        <v>#N/A</v>
      </c>
      <c r="AP1237" s="104" t="e">
        <f t="shared" si="563"/>
        <v>#N/A</v>
      </c>
      <c r="AQ1237" s="104" t="e">
        <f t="shared" si="564"/>
        <v>#N/A</v>
      </c>
      <c r="AR1237" s="105" t="str">
        <f t="shared" si="556"/>
        <v/>
      </c>
      <c r="AS1237" s="105" t="str">
        <f t="shared" si="557"/>
        <v/>
      </c>
      <c r="AT1237" s="108" t="str">
        <f t="shared" si="558"/>
        <v/>
      </c>
      <c r="AU1237" s="108" t="str">
        <f t="shared" si="559"/>
        <v/>
      </c>
      <c r="AV1237" s="107" t="str">
        <f>IF(ISNUMBER(O1237),IF(VLOOKUP($A1237,Stand!C:J,8,FALSE)="Short",AT1237,AU1237),"")</f>
        <v/>
      </c>
      <c r="AW1237" s="109" t="str">
        <f t="shared" si="565"/>
        <v/>
      </c>
      <c r="AX1237" s="109" t="str">
        <f t="shared" si="566"/>
        <v/>
      </c>
      <c r="AY1237" s="112" t="str">
        <f>IF(ISNUMBER(O1237),IF(AND(VLOOKUP($D1237,Merchantability!$B:$C,2,0)="Yes",$E1237&gt;=VLOOKUP($D1237,Merchantability!$B:$D,3,0),$E1237&lt;=VLOOKUP($D1237,Merchantability!$B:$E,4,0)),(AV1237*O1237)*(1-$H1237/100),""),"")</f>
        <v/>
      </c>
      <c r="AZ1237" s="116"/>
      <c r="BA1237" s="116"/>
      <c r="BB1237" s="116"/>
      <c r="BE1237" s="62"/>
      <c r="BF1237" s="63"/>
    </row>
    <row r="1238" spans="1:58" ht="12.75" customHeight="1" x14ac:dyDescent="0.25">
      <c r="A1238" s="313"/>
      <c r="B1238" s="328"/>
      <c r="C1238" s="329"/>
      <c r="D1238" s="328"/>
      <c r="E1238" s="330"/>
      <c r="F1238" s="328"/>
      <c r="G1238" s="329"/>
      <c r="H1238" s="329"/>
      <c r="I1238" s="328"/>
      <c r="J1238" s="383"/>
      <c r="K1238" s="329"/>
      <c r="L1238" s="329"/>
      <c r="M1238" s="76"/>
      <c r="N1238" s="103" t="str">
        <f>IF(A1238="","",VLOOKUP(A1238,Stand!C:K,9,0))</f>
        <v/>
      </c>
      <c r="O1238" s="104" t="str">
        <f t="shared" si="551"/>
        <v/>
      </c>
      <c r="P1238" s="105" t="str">
        <f t="shared" si="552"/>
        <v/>
      </c>
      <c r="Q1238" s="105" t="str">
        <f t="shared" si="540"/>
        <v/>
      </c>
      <c r="R1238" s="103" t="str">
        <f t="shared" si="553"/>
        <v/>
      </c>
      <c r="S1238" s="103" t="str">
        <f t="shared" si="554"/>
        <v/>
      </c>
      <c r="T1238" s="106" t="str">
        <f t="shared" si="541"/>
        <v/>
      </c>
      <c r="U1238" s="106" t="str">
        <f t="shared" si="542"/>
        <v/>
      </c>
      <c r="V1238" s="106" t="str">
        <f t="shared" si="543"/>
        <v/>
      </c>
      <c r="W1238" s="105" t="str">
        <f t="shared" si="555"/>
        <v/>
      </c>
      <c r="X1238" s="104" t="str">
        <f t="shared" si="560"/>
        <v/>
      </c>
      <c r="Y1238" s="104" t="str">
        <f t="array" ref="Y1238">IFERROR(IF(ISNUMBER(O1238),IF(COUNT(IF(A1238=$A$2:$A$2427,IF(D1238=$D$2:$D$2427,IF($X$2:$X$2427&gt;0,1))))&gt;0,SUM(IF(A1238=$A$2:$A$2427,IF(D1238=$D$2:$D$2427,$X$2:$X$2427)))/COUNT(IF(A1238=$A$2:$A$2427,IF(D1238=$D$2:$D$2427,IF(ISNUMBER($X$2:$X$2427),1)))),0),""),0)</f>
        <v/>
      </c>
      <c r="Z1238" s="104" t="str">
        <f>IF(ISNUMBER(O1238),IF(I1238&gt;0,(10^(VLOOKUP(D1238,'Species Codes'!B:C,2,0)+VLOOKUP(D1238,'Species Codes'!B:D,3,0)*LOG(E1238)+VLOOKUP(D1238,'Species Codes'!B:E,4,0)*LOG(I1238))),0),"")</f>
        <v/>
      </c>
      <c r="AA1238" s="104" t="str">
        <f>IFERROR((VLOOKUP(D1238,'Species Codes'!B:G,6,0)*Z1238)/2000,"")</f>
        <v/>
      </c>
      <c r="AB1238" s="104" t="e">
        <f>IF(Z1238&gt;0,((IF(OR(D1238="DF",D1238="RA")=TRUE,EXP(VLOOKUP(D1238,'Species Codes'!B:I,8,0)+VLOOKUP(D1238,'Species Codes'!B:J,9,0)*(LN((E1238*2.54)))),IF(OR(D1238="PY",D1238="RC",D1238="WH",D1238="NF")=TRUE,VLOOKUP(D1238,'Species Codes'!B:I,8,0)+VLOOKUP(D1238,'Species Codes'!B:J,9,0)*((E1238*2.54)^2)*(I1238*0.3048),IF(OR(D1238="MD",D1238="BM",D1238="GA")=TRUE,((VLOOKUP(D1238,'Species Codes'!B:I,8,0)*(((((E1238*2.54)+VLOOKUP(D1238,'Species Codes'!B:J,9,0))/VLOOKUP(D1238,'Species Codes'!B:K,10,0))^VLOOKUP(D1238,'Species Codes'!B:L,11,0))*((I1238*0.3048)^VLOOKUP(D1238,'Species Codes'!B:M,12,0))))-(VLOOKUP(D1238,'Species Codes'!B:I,8,0)*((((E1238*2.54)^VLOOKUP(D1238,'Species Codes'!B:L,11,0))*((I1238*0.3048)^VLOOKUP(D1238,'Species Codes'!B:M,12,0))))))*35.3*VLOOKUP(D1238,'Species Codes'!B:G,6,0)/2.2046,VLOOKUP(D1238,'Species Codes'!B:I,8,0)+VLOOKUP(D1238,'Species Codes'!B:J,9,0)*(((E1238*2.54)/100)^2)*(I1238*0.3048)))))*0.0011023),0)</f>
        <v>#N/A</v>
      </c>
      <c r="AC1238" s="104" t="e">
        <f>IF(Z1238&gt;0,((IF(OR(D1238="RA",D1238="OA",D1238="OT",D1238="UN",D1238="PC"),EXP(VLOOKUP(D1238,'Species Codes'!B:O,14,0)+VLOOKUP(D1238,'Species Codes'!B:P,15,0)*LN((E1238*2.54)))-EXP(VLOOKUP(D1238,'Species Codes'!B:O,14,0)+VLOOKUP(D1238,'Species Codes'!B:P,15,0)*LN((E1238*2.54)))*(1/(VLOOKUP(D1238,'Species Codes'!B:Q,16,0)+VLOOKUP(D1238,'Species Codes'!B:R,17,0)*((E1238*2.54)^VLOOKUP(D1238,'Species Codes'!B:S,18,0)))),IF(OR(D1238="BM",D1238="MD",D1238="OA"),EXP(VLOOKUP(D1238,'Species Codes'!B:O,14,0)+VLOOKUP(D1238,'Species Codes'!B:P,15,0)*LN((E1238*2.54)))*(1-(1/(VLOOKUP(D1238,'Species Codes'!B:Q,16,0)+VLOOKUP(D1238,'Species Codes'!B:R,17,0)*((E1238*2.54)^VLOOKUP(D1238,'Species Codes'!B:S,18,0)))))/1000,IF(D1238="DF",EXP(VLOOKUP(D1238,'Species Codes'!B:O,14,0)+VLOOKUP(D1238,'Species Codes'!B:P,15,0)*LN((E1238*2.54))),VLOOKUP(D1238,'Species Codes'!B:O,14,0)+VLOOKUP(D1238,'Species Codes'!B:P,15,0)*(((E1238*2.54)/100)^2)*(I1238*0.3048)))))*0.0011023),0)</f>
        <v>#N/A</v>
      </c>
      <c r="AD1238" s="104" t="e">
        <f t="shared" si="544"/>
        <v>#N/A</v>
      </c>
      <c r="AE1238" s="104" t="e">
        <f t="shared" si="545"/>
        <v>#N/A</v>
      </c>
      <c r="AF1238" s="104" t="e">
        <f>IF(AND(VLOOKUP($D1238,Merchantability!$B:$C,2,0)="Yes",$E1238&gt;=VLOOKUP($D1238,Merchantability!$B:$D,3,0),$E1238&lt;=VLOOKUP($D1238,Merchantability!$B:$E,4,0)),AA1238,0)</f>
        <v>#N/A</v>
      </c>
      <c r="AG1238" s="104" t="e">
        <f>IF(AND(VLOOKUP($D1238,Merchantability!$B:$C,2,0)="Yes",$E1238&gt;=VLOOKUP($D1238,Merchantability!$B:$D,3,0),$E1238&lt;=VLOOKUP($D1238,Merchantability!$B:$E,4,0)),AB1238,0)</f>
        <v>#N/A</v>
      </c>
      <c r="AH1238" s="104" t="e">
        <f>IF(AND(VLOOKUP($D1238,Merchantability!$B:$C,2,0)="Yes",$E1238&gt;=VLOOKUP($D1238,Merchantability!$B:$D,3,0),$E1238&lt;=VLOOKUP($D1238,Merchantability!$B:$E,4,0)),AC1238,0)</f>
        <v>#N/A</v>
      </c>
      <c r="AI1238" s="104" t="e">
        <f t="shared" si="546"/>
        <v>#N/A</v>
      </c>
      <c r="AJ1238" s="104" t="e">
        <f t="shared" si="547"/>
        <v>#VALUE!</v>
      </c>
      <c r="AK1238" s="104" t="e">
        <f t="shared" si="548"/>
        <v>#N/A</v>
      </c>
      <c r="AL1238" s="104" t="e">
        <f t="shared" si="549"/>
        <v>#N/A</v>
      </c>
      <c r="AM1238" s="104" t="e">
        <f t="shared" si="550"/>
        <v>#N/A</v>
      </c>
      <c r="AN1238" s="104" t="e">
        <f t="shared" si="561"/>
        <v>#N/A</v>
      </c>
      <c r="AO1238" s="104" t="e">
        <f t="shared" si="562"/>
        <v>#N/A</v>
      </c>
      <c r="AP1238" s="104" t="e">
        <f t="shared" si="563"/>
        <v>#N/A</v>
      </c>
      <c r="AQ1238" s="104" t="e">
        <f t="shared" si="564"/>
        <v>#N/A</v>
      </c>
      <c r="AR1238" s="105" t="str">
        <f t="shared" si="556"/>
        <v/>
      </c>
      <c r="AS1238" s="105" t="str">
        <f t="shared" si="557"/>
        <v/>
      </c>
      <c r="AT1238" s="108" t="str">
        <f t="shared" si="558"/>
        <v/>
      </c>
      <c r="AU1238" s="108" t="str">
        <f t="shared" si="559"/>
        <v/>
      </c>
      <c r="AV1238" s="107" t="str">
        <f>IF(ISNUMBER(O1238),IF(VLOOKUP($A1238,Stand!C:J,8,FALSE)="Short",AT1238,AU1238),"")</f>
        <v/>
      </c>
      <c r="AW1238" s="109" t="str">
        <f t="shared" si="565"/>
        <v/>
      </c>
      <c r="AX1238" s="109" t="str">
        <f t="shared" si="566"/>
        <v/>
      </c>
      <c r="AY1238" s="112" t="str">
        <f>IF(ISNUMBER(O1238),IF(AND(VLOOKUP($D1238,Merchantability!$B:$C,2,0)="Yes",$E1238&gt;=VLOOKUP($D1238,Merchantability!$B:$D,3,0),$E1238&lt;=VLOOKUP($D1238,Merchantability!$B:$E,4,0)),(AV1238*O1238)*(1-$H1238/100),""),"")</f>
        <v/>
      </c>
      <c r="AZ1238" s="116"/>
      <c r="BA1238" s="116"/>
      <c r="BB1238" s="116"/>
      <c r="BE1238" s="62"/>
      <c r="BF1238" s="63"/>
    </row>
    <row r="1239" spans="1:58" ht="12.75" customHeight="1" x14ac:dyDescent="0.25">
      <c r="A1239" s="313"/>
      <c r="B1239" s="328"/>
      <c r="C1239" s="329"/>
      <c r="D1239" s="328"/>
      <c r="E1239" s="330"/>
      <c r="F1239" s="328"/>
      <c r="G1239" s="329"/>
      <c r="H1239" s="329"/>
      <c r="I1239" s="328"/>
      <c r="J1239" s="383"/>
      <c r="K1239" s="329"/>
      <c r="L1239" s="329"/>
      <c r="M1239" s="76"/>
      <c r="N1239" s="103" t="str">
        <f>IF(A1239="","",VLOOKUP(A1239,Stand!C:K,9,0))</f>
        <v/>
      </c>
      <c r="O1239" s="104" t="str">
        <f t="shared" si="551"/>
        <v/>
      </c>
      <c r="P1239" s="105" t="str">
        <f t="shared" si="552"/>
        <v/>
      </c>
      <c r="Q1239" s="105" t="str">
        <f t="shared" si="540"/>
        <v/>
      </c>
      <c r="R1239" s="103" t="str">
        <f t="shared" si="553"/>
        <v/>
      </c>
      <c r="S1239" s="103" t="str">
        <f t="shared" si="554"/>
        <v/>
      </c>
      <c r="T1239" s="106" t="str">
        <f t="shared" si="541"/>
        <v/>
      </c>
      <c r="U1239" s="106" t="str">
        <f t="shared" si="542"/>
        <v/>
      </c>
      <c r="V1239" s="106" t="str">
        <f t="shared" si="543"/>
        <v/>
      </c>
      <c r="W1239" s="105" t="str">
        <f t="shared" si="555"/>
        <v/>
      </c>
      <c r="X1239" s="104" t="str">
        <f t="shared" si="560"/>
        <v/>
      </c>
      <c r="Y1239" s="104" t="str">
        <f t="array" ref="Y1239">IFERROR(IF(ISNUMBER(O1239),IF(COUNT(IF(A1239=$A$2:$A$2427,IF(D1239=$D$2:$D$2427,IF($X$2:$X$2427&gt;0,1))))&gt;0,SUM(IF(A1239=$A$2:$A$2427,IF(D1239=$D$2:$D$2427,$X$2:$X$2427)))/COUNT(IF(A1239=$A$2:$A$2427,IF(D1239=$D$2:$D$2427,IF(ISNUMBER($X$2:$X$2427),1)))),0),""),0)</f>
        <v/>
      </c>
      <c r="Z1239" s="104" t="str">
        <f>IF(ISNUMBER(O1239),IF(I1239&gt;0,(10^(VLOOKUP(D1239,'Species Codes'!B:C,2,0)+VLOOKUP(D1239,'Species Codes'!B:D,3,0)*LOG(E1239)+VLOOKUP(D1239,'Species Codes'!B:E,4,0)*LOG(I1239))),0),"")</f>
        <v/>
      </c>
      <c r="AA1239" s="104" t="str">
        <f>IFERROR((VLOOKUP(D1239,'Species Codes'!B:G,6,0)*Z1239)/2000,"")</f>
        <v/>
      </c>
      <c r="AB1239" s="104" t="e">
        <f>IF(Z1239&gt;0,((IF(OR(D1239="DF",D1239="RA")=TRUE,EXP(VLOOKUP(D1239,'Species Codes'!B:I,8,0)+VLOOKUP(D1239,'Species Codes'!B:J,9,0)*(LN((E1239*2.54)))),IF(OR(D1239="PY",D1239="RC",D1239="WH",D1239="NF")=TRUE,VLOOKUP(D1239,'Species Codes'!B:I,8,0)+VLOOKUP(D1239,'Species Codes'!B:J,9,0)*((E1239*2.54)^2)*(I1239*0.3048),IF(OR(D1239="MD",D1239="BM",D1239="GA")=TRUE,((VLOOKUP(D1239,'Species Codes'!B:I,8,0)*(((((E1239*2.54)+VLOOKUP(D1239,'Species Codes'!B:J,9,0))/VLOOKUP(D1239,'Species Codes'!B:K,10,0))^VLOOKUP(D1239,'Species Codes'!B:L,11,0))*((I1239*0.3048)^VLOOKUP(D1239,'Species Codes'!B:M,12,0))))-(VLOOKUP(D1239,'Species Codes'!B:I,8,0)*((((E1239*2.54)^VLOOKUP(D1239,'Species Codes'!B:L,11,0))*((I1239*0.3048)^VLOOKUP(D1239,'Species Codes'!B:M,12,0))))))*35.3*VLOOKUP(D1239,'Species Codes'!B:G,6,0)/2.2046,VLOOKUP(D1239,'Species Codes'!B:I,8,0)+VLOOKUP(D1239,'Species Codes'!B:J,9,0)*(((E1239*2.54)/100)^2)*(I1239*0.3048)))))*0.0011023),0)</f>
        <v>#N/A</v>
      </c>
      <c r="AC1239" s="104" t="e">
        <f>IF(Z1239&gt;0,((IF(OR(D1239="RA",D1239="OA",D1239="OT",D1239="UN",D1239="PC"),EXP(VLOOKUP(D1239,'Species Codes'!B:O,14,0)+VLOOKUP(D1239,'Species Codes'!B:P,15,0)*LN((E1239*2.54)))-EXP(VLOOKUP(D1239,'Species Codes'!B:O,14,0)+VLOOKUP(D1239,'Species Codes'!B:P,15,0)*LN((E1239*2.54)))*(1/(VLOOKUP(D1239,'Species Codes'!B:Q,16,0)+VLOOKUP(D1239,'Species Codes'!B:R,17,0)*((E1239*2.54)^VLOOKUP(D1239,'Species Codes'!B:S,18,0)))),IF(OR(D1239="BM",D1239="MD",D1239="OA"),EXP(VLOOKUP(D1239,'Species Codes'!B:O,14,0)+VLOOKUP(D1239,'Species Codes'!B:P,15,0)*LN((E1239*2.54)))*(1-(1/(VLOOKUP(D1239,'Species Codes'!B:Q,16,0)+VLOOKUP(D1239,'Species Codes'!B:R,17,0)*((E1239*2.54)^VLOOKUP(D1239,'Species Codes'!B:S,18,0)))))/1000,IF(D1239="DF",EXP(VLOOKUP(D1239,'Species Codes'!B:O,14,0)+VLOOKUP(D1239,'Species Codes'!B:P,15,0)*LN((E1239*2.54))),VLOOKUP(D1239,'Species Codes'!B:O,14,0)+VLOOKUP(D1239,'Species Codes'!B:P,15,0)*(((E1239*2.54)/100)^2)*(I1239*0.3048)))))*0.0011023),0)</f>
        <v>#N/A</v>
      </c>
      <c r="AD1239" s="104" t="e">
        <f t="shared" si="544"/>
        <v>#N/A</v>
      </c>
      <c r="AE1239" s="104" t="e">
        <f t="shared" si="545"/>
        <v>#N/A</v>
      </c>
      <c r="AF1239" s="104" t="e">
        <f>IF(AND(VLOOKUP($D1239,Merchantability!$B:$C,2,0)="Yes",$E1239&gt;=VLOOKUP($D1239,Merchantability!$B:$D,3,0),$E1239&lt;=VLOOKUP($D1239,Merchantability!$B:$E,4,0)),AA1239,0)</f>
        <v>#N/A</v>
      </c>
      <c r="AG1239" s="104" t="e">
        <f>IF(AND(VLOOKUP($D1239,Merchantability!$B:$C,2,0)="Yes",$E1239&gt;=VLOOKUP($D1239,Merchantability!$B:$D,3,0),$E1239&lt;=VLOOKUP($D1239,Merchantability!$B:$E,4,0)),AB1239,0)</f>
        <v>#N/A</v>
      </c>
      <c r="AH1239" s="104" t="e">
        <f>IF(AND(VLOOKUP($D1239,Merchantability!$B:$C,2,0)="Yes",$E1239&gt;=VLOOKUP($D1239,Merchantability!$B:$D,3,0),$E1239&lt;=VLOOKUP($D1239,Merchantability!$B:$E,4,0)),AC1239,0)</f>
        <v>#N/A</v>
      </c>
      <c r="AI1239" s="104" t="e">
        <f t="shared" si="546"/>
        <v>#N/A</v>
      </c>
      <c r="AJ1239" s="104" t="e">
        <f t="shared" si="547"/>
        <v>#VALUE!</v>
      </c>
      <c r="AK1239" s="104" t="e">
        <f t="shared" si="548"/>
        <v>#N/A</v>
      </c>
      <c r="AL1239" s="104" t="e">
        <f t="shared" si="549"/>
        <v>#N/A</v>
      </c>
      <c r="AM1239" s="104" t="e">
        <f t="shared" si="550"/>
        <v>#N/A</v>
      </c>
      <c r="AN1239" s="104" t="e">
        <f t="shared" si="561"/>
        <v>#N/A</v>
      </c>
      <c r="AO1239" s="104" t="e">
        <f t="shared" si="562"/>
        <v>#N/A</v>
      </c>
      <c r="AP1239" s="104" t="e">
        <f t="shared" si="563"/>
        <v>#N/A</v>
      </c>
      <c r="AQ1239" s="104" t="e">
        <f t="shared" si="564"/>
        <v>#N/A</v>
      </c>
      <c r="AR1239" s="105" t="str">
        <f t="shared" si="556"/>
        <v/>
      </c>
      <c r="AS1239" s="105" t="str">
        <f t="shared" si="557"/>
        <v/>
      </c>
      <c r="AT1239" s="108" t="str">
        <f t="shared" si="558"/>
        <v/>
      </c>
      <c r="AU1239" s="108" t="str">
        <f t="shared" si="559"/>
        <v/>
      </c>
      <c r="AV1239" s="107" t="str">
        <f>IF(ISNUMBER(O1239),IF(VLOOKUP($A1239,Stand!C:J,8,FALSE)="Short",AT1239,AU1239),"")</f>
        <v/>
      </c>
      <c r="AW1239" s="109" t="str">
        <f t="shared" si="565"/>
        <v/>
      </c>
      <c r="AX1239" s="109" t="str">
        <f t="shared" si="566"/>
        <v/>
      </c>
      <c r="AY1239" s="112" t="str">
        <f>IF(ISNUMBER(O1239),IF(AND(VLOOKUP($D1239,Merchantability!$B:$C,2,0)="Yes",$E1239&gt;=VLOOKUP($D1239,Merchantability!$B:$D,3,0),$E1239&lt;=VLOOKUP($D1239,Merchantability!$B:$E,4,0)),(AV1239*O1239)*(1-$H1239/100),""),"")</f>
        <v/>
      </c>
      <c r="AZ1239" s="116"/>
      <c r="BA1239" s="116"/>
      <c r="BB1239" s="116"/>
      <c r="BE1239" s="62"/>
      <c r="BF1239" s="63"/>
    </row>
    <row r="1240" spans="1:58" ht="12.75" customHeight="1" x14ac:dyDescent="0.25">
      <c r="A1240" s="313"/>
      <c r="B1240" s="328"/>
      <c r="C1240" s="329"/>
      <c r="D1240" s="328"/>
      <c r="E1240" s="330"/>
      <c r="F1240" s="328"/>
      <c r="G1240" s="329"/>
      <c r="H1240" s="329"/>
      <c r="I1240" s="328"/>
      <c r="J1240" s="383"/>
      <c r="K1240" s="329"/>
      <c r="L1240" s="329"/>
      <c r="M1240" s="76"/>
      <c r="N1240" s="103" t="str">
        <f>IF(A1240="","",VLOOKUP(A1240,Stand!C:K,9,0))</f>
        <v/>
      </c>
      <c r="O1240" s="104" t="str">
        <f t="shared" si="551"/>
        <v/>
      </c>
      <c r="P1240" s="105" t="str">
        <f t="shared" si="552"/>
        <v/>
      </c>
      <c r="Q1240" s="105" t="str">
        <f t="shared" si="540"/>
        <v/>
      </c>
      <c r="R1240" s="103" t="str">
        <f t="shared" si="553"/>
        <v/>
      </c>
      <c r="S1240" s="103" t="str">
        <f t="shared" si="554"/>
        <v/>
      </c>
      <c r="T1240" s="106" t="str">
        <f t="shared" si="541"/>
        <v/>
      </c>
      <c r="U1240" s="106" t="str">
        <f t="shared" si="542"/>
        <v/>
      </c>
      <c r="V1240" s="106" t="str">
        <f t="shared" si="543"/>
        <v/>
      </c>
      <c r="W1240" s="105" t="str">
        <f t="shared" si="555"/>
        <v/>
      </c>
      <c r="X1240" s="104" t="str">
        <f t="shared" si="560"/>
        <v/>
      </c>
      <c r="Y1240" s="104" t="str">
        <f t="array" ref="Y1240">IFERROR(IF(ISNUMBER(O1240),IF(COUNT(IF(A1240=$A$2:$A$2427,IF(D1240=$D$2:$D$2427,IF($X$2:$X$2427&gt;0,1))))&gt;0,SUM(IF(A1240=$A$2:$A$2427,IF(D1240=$D$2:$D$2427,$X$2:$X$2427)))/COUNT(IF(A1240=$A$2:$A$2427,IF(D1240=$D$2:$D$2427,IF(ISNUMBER($X$2:$X$2427),1)))),0),""),0)</f>
        <v/>
      </c>
      <c r="Z1240" s="104" t="str">
        <f>IF(ISNUMBER(O1240),IF(I1240&gt;0,(10^(VLOOKUP(D1240,'Species Codes'!B:C,2,0)+VLOOKUP(D1240,'Species Codes'!B:D,3,0)*LOG(E1240)+VLOOKUP(D1240,'Species Codes'!B:E,4,0)*LOG(I1240))),0),"")</f>
        <v/>
      </c>
      <c r="AA1240" s="104" t="str">
        <f>IFERROR((VLOOKUP(D1240,'Species Codes'!B:G,6,0)*Z1240)/2000,"")</f>
        <v/>
      </c>
      <c r="AB1240" s="104" t="e">
        <f>IF(Z1240&gt;0,((IF(OR(D1240="DF",D1240="RA")=TRUE,EXP(VLOOKUP(D1240,'Species Codes'!B:I,8,0)+VLOOKUP(D1240,'Species Codes'!B:J,9,0)*(LN((E1240*2.54)))),IF(OR(D1240="PY",D1240="RC",D1240="WH",D1240="NF")=TRUE,VLOOKUP(D1240,'Species Codes'!B:I,8,0)+VLOOKUP(D1240,'Species Codes'!B:J,9,0)*((E1240*2.54)^2)*(I1240*0.3048),IF(OR(D1240="MD",D1240="BM",D1240="GA")=TRUE,((VLOOKUP(D1240,'Species Codes'!B:I,8,0)*(((((E1240*2.54)+VLOOKUP(D1240,'Species Codes'!B:J,9,0))/VLOOKUP(D1240,'Species Codes'!B:K,10,0))^VLOOKUP(D1240,'Species Codes'!B:L,11,0))*((I1240*0.3048)^VLOOKUP(D1240,'Species Codes'!B:M,12,0))))-(VLOOKUP(D1240,'Species Codes'!B:I,8,0)*((((E1240*2.54)^VLOOKUP(D1240,'Species Codes'!B:L,11,0))*((I1240*0.3048)^VLOOKUP(D1240,'Species Codes'!B:M,12,0))))))*35.3*VLOOKUP(D1240,'Species Codes'!B:G,6,0)/2.2046,VLOOKUP(D1240,'Species Codes'!B:I,8,0)+VLOOKUP(D1240,'Species Codes'!B:J,9,0)*(((E1240*2.54)/100)^2)*(I1240*0.3048)))))*0.0011023),0)</f>
        <v>#N/A</v>
      </c>
      <c r="AC1240" s="104" t="e">
        <f>IF(Z1240&gt;0,((IF(OR(D1240="RA",D1240="OA",D1240="OT",D1240="UN",D1240="PC"),EXP(VLOOKUP(D1240,'Species Codes'!B:O,14,0)+VLOOKUP(D1240,'Species Codes'!B:P,15,0)*LN((E1240*2.54)))-EXP(VLOOKUP(D1240,'Species Codes'!B:O,14,0)+VLOOKUP(D1240,'Species Codes'!B:P,15,0)*LN((E1240*2.54)))*(1/(VLOOKUP(D1240,'Species Codes'!B:Q,16,0)+VLOOKUP(D1240,'Species Codes'!B:R,17,0)*((E1240*2.54)^VLOOKUP(D1240,'Species Codes'!B:S,18,0)))),IF(OR(D1240="BM",D1240="MD",D1240="OA"),EXP(VLOOKUP(D1240,'Species Codes'!B:O,14,0)+VLOOKUP(D1240,'Species Codes'!B:P,15,0)*LN((E1240*2.54)))*(1-(1/(VLOOKUP(D1240,'Species Codes'!B:Q,16,0)+VLOOKUP(D1240,'Species Codes'!B:R,17,0)*((E1240*2.54)^VLOOKUP(D1240,'Species Codes'!B:S,18,0)))))/1000,IF(D1240="DF",EXP(VLOOKUP(D1240,'Species Codes'!B:O,14,0)+VLOOKUP(D1240,'Species Codes'!B:P,15,0)*LN((E1240*2.54))),VLOOKUP(D1240,'Species Codes'!B:O,14,0)+VLOOKUP(D1240,'Species Codes'!B:P,15,0)*(((E1240*2.54)/100)^2)*(I1240*0.3048)))))*0.0011023),0)</f>
        <v>#N/A</v>
      </c>
      <c r="AD1240" s="104" t="e">
        <f t="shared" si="544"/>
        <v>#N/A</v>
      </c>
      <c r="AE1240" s="104" t="e">
        <f t="shared" si="545"/>
        <v>#N/A</v>
      </c>
      <c r="AF1240" s="104" t="e">
        <f>IF(AND(VLOOKUP($D1240,Merchantability!$B:$C,2,0)="Yes",$E1240&gt;=VLOOKUP($D1240,Merchantability!$B:$D,3,0),$E1240&lt;=VLOOKUP($D1240,Merchantability!$B:$E,4,0)),AA1240,0)</f>
        <v>#N/A</v>
      </c>
      <c r="AG1240" s="104" t="e">
        <f>IF(AND(VLOOKUP($D1240,Merchantability!$B:$C,2,0)="Yes",$E1240&gt;=VLOOKUP($D1240,Merchantability!$B:$D,3,0),$E1240&lt;=VLOOKUP($D1240,Merchantability!$B:$E,4,0)),AB1240,0)</f>
        <v>#N/A</v>
      </c>
      <c r="AH1240" s="104" t="e">
        <f>IF(AND(VLOOKUP($D1240,Merchantability!$B:$C,2,0)="Yes",$E1240&gt;=VLOOKUP($D1240,Merchantability!$B:$D,3,0),$E1240&lt;=VLOOKUP($D1240,Merchantability!$B:$E,4,0)),AC1240,0)</f>
        <v>#N/A</v>
      </c>
      <c r="AI1240" s="104" t="e">
        <f t="shared" si="546"/>
        <v>#N/A</v>
      </c>
      <c r="AJ1240" s="104" t="e">
        <f t="shared" si="547"/>
        <v>#VALUE!</v>
      </c>
      <c r="AK1240" s="104" t="e">
        <f t="shared" si="548"/>
        <v>#N/A</v>
      </c>
      <c r="AL1240" s="104" t="e">
        <f t="shared" si="549"/>
        <v>#N/A</v>
      </c>
      <c r="AM1240" s="104" t="e">
        <f t="shared" si="550"/>
        <v>#N/A</v>
      </c>
      <c r="AN1240" s="104" t="e">
        <f t="shared" si="561"/>
        <v>#N/A</v>
      </c>
      <c r="AO1240" s="104" t="e">
        <f t="shared" si="562"/>
        <v>#N/A</v>
      </c>
      <c r="AP1240" s="104" t="e">
        <f t="shared" si="563"/>
        <v>#N/A</v>
      </c>
      <c r="AQ1240" s="104" t="e">
        <f t="shared" si="564"/>
        <v>#N/A</v>
      </c>
      <c r="AR1240" s="105" t="str">
        <f t="shared" si="556"/>
        <v/>
      </c>
      <c r="AS1240" s="105" t="str">
        <f t="shared" si="557"/>
        <v/>
      </c>
      <c r="AT1240" s="108" t="str">
        <f t="shared" si="558"/>
        <v/>
      </c>
      <c r="AU1240" s="108" t="str">
        <f t="shared" si="559"/>
        <v/>
      </c>
      <c r="AV1240" s="107" t="str">
        <f>IF(ISNUMBER(O1240),IF(VLOOKUP($A1240,Stand!C:J,8,FALSE)="Short",AT1240,AU1240),"")</f>
        <v/>
      </c>
      <c r="AW1240" s="109" t="str">
        <f t="shared" si="565"/>
        <v/>
      </c>
      <c r="AX1240" s="109" t="str">
        <f t="shared" si="566"/>
        <v/>
      </c>
      <c r="AY1240" s="112" t="str">
        <f>IF(ISNUMBER(O1240),IF(AND(VLOOKUP($D1240,Merchantability!$B:$C,2,0)="Yes",$E1240&gt;=VLOOKUP($D1240,Merchantability!$B:$D,3,0),$E1240&lt;=VLOOKUP($D1240,Merchantability!$B:$E,4,0)),(AV1240*O1240)*(1-$H1240/100),""),"")</f>
        <v/>
      </c>
      <c r="AZ1240" s="116"/>
      <c r="BA1240" s="116"/>
      <c r="BB1240" s="116"/>
      <c r="BE1240" s="62"/>
      <c r="BF1240" s="63"/>
    </row>
    <row r="1241" spans="1:58" ht="12.75" customHeight="1" x14ac:dyDescent="0.25">
      <c r="A1241" s="313"/>
      <c r="B1241" s="328"/>
      <c r="C1241" s="329"/>
      <c r="D1241" s="328"/>
      <c r="E1241" s="330"/>
      <c r="F1241" s="328"/>
      <c r="G1241" s="329"/>
      <c r="H1241" s="329"/>
      <c r="I1241" s="328"/>
      <c r="J1241" s="383"/>
      <c r="K1241" s="329"/>
      <c r="L1241" s="329"/>
      <c r="M1241" s="76"/>
      <c r="N1241" s="103" t="str">
        <f>IF(A1241="","",VLOOKUP(A1241,Stand!C:K,9,0))</f>
        <v/>
      </c>
      <c r="O1241" s="104" t="str">
        <f t="shared" si="551"/>
        <v/>
      </c>
      <c r="P1241" s="105" t="str">
        <f t="shared" si="552"/>
        <v/>
      </c>
      <c r="Q1241" s="105" t="str">
        <f t="shared" si="540"/>
        <v/>
      </c>
      <c r="R1241" s="103" t="str">
        <f t="shared" si="553"/>
        <v/>
      </c>
      <c r="S1241" s="103" t="str">
        <f t="shared" si="554"/>
        <v/>
      </c>
      <c r="T1241" s="106" t="str">
        <f t="shared" si="541"/>
        <v/>
      </c>
      <c r="U1241" s="106" t="str">
        <f t="shared" si="542"/>
        <v/>
      </c>
      <c r="V1241" s="106" t="str">
        <f t="shared" si="543"/>
        <v/>
      </c>
      <c r="W1241" s="105" t="str">
        <f t="shared" si="555"/>
        <v/>
      </c>
      <c r="X1241" s="104" t="str">
        <f t="shared" si="560"/>
        <v/>
      </c>
      <c r="Y1241" s="104" t="str">
        <f t="array" ref="Y1241">IFERROR(IF(ISNUMBER(O1241),IF(COUNT(IF(A1241=$A$2:$A$2427,IF(D1241=$D$2:$D$2427,IF($X$2:$X$2427&gt;0,1))))&gt;0,SUM(IF(A1241=$A$2:$A$2427,IF(D1241=$D$2:$D$2427,$X$2:$X$2427)))/COUNT(IF(A1241=$A$2:$A$2427,IF(D1241=$D$2:$D$2427,IF(ISNUMBER($X$2:$X$2427),1)))),0),""),0)</f>
        <v/>
      </c>
      <c r="Z1241" s="104" t="str">
        <f>IF(ISNUMBER(O1241),IF(I1241&gt;0,(10^(VLOOKUP(D1241,'Species Codes'!B:C,2,0)+VLOOKUP(D1241,'Species Codes'!B:D,3,0)*LOG(E1241)+VLOOKUP(D1241,'Species Codes'!B:E,4,0)*LOG(I1241))),0),"")</f>
        <v/>
      </c>
      <c r="AA1241" s="104" t="str">
        <f>IFERROR((VLOOKUP(D1241,'Species Codes'!B:G,6,0)*Z1241)/2000,"")</f>
        <v/>
      </c>
      <c r="AB1241" s="104" t="e">
        <f>IF(Z1241&gt;0,((IF(OR(D1241="DF",D1241="RA")=TRUE,EXP(VLOOKUP(D1241,'Species Codes'!B:I,8,0)+VLOOKUP(D1241,'Species Codes'!B:J,9,0)*(LN((E1241*2.54)))),IF(OR(D1241="PY",D1241="RC",D1241="WH",D1241="NF")=TRUE,VLOOKUP(D1241,'Species Codes'!B:I,8,0)+VLOOKUP(D1241,'Species Codes'!B:J,9,0)*((E1241*2.54)^2)*(I1241*0.3048),IF(OR(D1241="MD",D1241="BM",D1241="GA")=TRUE,((VLOOKUP(D1241,'Species Codes'!B:I,8,0)*(((((E1241*2.54)+VLOOKUP(D1241,'Species Codes'!B:J,9,0))/VLOOKUP(D1241,'Species Codes'!B:K,10,0))^VLOOKUP(D1241,'Species Codes'!B:L,11,0))*((I1241*0.3048)^VLOOKUP(D1241,'Species Codes'!B:M,12,0))))-(VLOOKUP(D1241,'Species Codes'!B:I,8,0)*((((E1241*2.54)^VLOOKUP(D1241,'Species Codes'!B:L,11,0))*((I1241*0.3048)^VLOOKUP(D1241,'Species Codes'!B:M,12,0))))))*35.3*VLOOKUP(D1241,'Species Codes'!B:G,6,0)/2.2046,VLOOKUP(D1241,'Species Codes'!B:I,8,0)+VLOOKUP(D1241,'Species Codes'!B:J,9,0)*(((E1241*2.54)/100)^2)*(I1241*0.3048)))))*0.0011023),0)</f>
        <v>#N/A</v>
      </c>
      <c r="AC1241" s="104" t="e">
        <f>IF(Z1241&gt;0,((IF(OR(D1241="RA",D1241="OA",D1241="OT",D1241="UN",D1241="PC"),EXP(VLOOKUP(D1241,'Species Codes'!B:O,14,0)+VLOOKUP(D1241,'Species Codes'!B:P,15,0)*LN((E1241*2.54)))-EXP(VLOOKUP(D1241,'Species Codes'!B:O,14,0)+VLOOKUP(D1241,'Species Codes'!B:P,15,0)*LN((E1241*2.54)))*(1/(VLOOKUP(D1241,'Species Codes'!B:Q,16,0)+VLOOKUP(D1241,'Species Codes'!B:R,17,0)*((E1241*2.54)^VLOOKUP(D1241,'Species Codes'!B:S,18,0)))),IF(OR(D1241="BM",D1241="MD",D1241="OA"),EXP(VLOOKUP(D1241,'Species Codes'!B:O,14,0)+VLOOKUP(D1241,'Species Codes'!B:P,15,0)*LN((E1241*2.54)))*(1-(1/(VLOOKUP(D1241,'Species Codes'!B:Q,16,0)+VLOOKUP(D1241,'Species Codes'!B:R,17,0)*((E1241*2.54)^VLOOKUP(D1241,'Species Codes'!B:S,18,0)))))/1000,IF(D1241="DF",EXP(VLOOKUP(D1241,'Species Codes'!B:O,14,0)+VLOOKUP(D1241,'Species Codes'!B:P,15,0)*LN((E1241*2.54))),VLOOKUP(D1241,'Species Codes'!B:O,14,0)+VLOOKUP(D1241,'Species Codes'!B:P,15,0)*(((E1241*2.54)/100)^2)*(I1241*0.3048)))))*0.0011023),0)</f>
        <v>#N/A</v>
      </c>
      <c r="AD1241" s="104" t="e">
        <f t="shared" si="544"/>
        <v>#N/A</v>
      </c>
      <c r="AE1241" s="104" t="e">
        <f t="shared" si="545"/>
        <v>#N/A</v>
      </c>
      <c r="AF1241" s="104" t="e">
        <f>IF(AND(VLOOKUP($D1241,Merchantability!$B:$C,2,0)="Yes",$E1241&gt;=VLOOKUP($D1241,Merchantability!$B:$D,3,0),$E1241&lt;=VLOOKUP($D1241,Merchantability!$B:$E,4,0)),AA1241,0)</f>
        <v>#N/A</v>
      </c>
      <c r="AG1241" s="104" t="e">
        <f>IF(AND(VLOOKUP($D1241,Merchantability!$B:$C,2,0)="Yes",$E1241&gt;=VLOOKUP($D1241,Merchantability!$B:$D,3,0),$E1241&lt;=VLOOKUP($D1241,Merchantability!$B:$E,4,0)),AB1241,0)</f>
        <v>#N/A</v>
      </c>
      <c r="AH1241" s="104" t="e">
        <f>IF(AND(VLOOKUP($D1241,Merchantability!$B:$C,2,0)="Yes",$E1241&gt;=VLOOKUP($D1241,Merchantability!$B:$D,3,0),$E1241&lt;=VLOOKUP($D1241,Merchantability!$B:$E,4,0)),AC1241,0)</f>
        <v>#N/A</v>
      </c>
      <c r="AI1241" s="104" t="e">
        <f t="shared" si="546"/>
        <v>#N/A</v>
      </c>
      <c r="AJ1241" s="104" t="e">
        <f t="shared" si="547"/>
        <v>#VALUE!</v>
      </c>
      <c r="AK1241" s="104" t="e">
        <f t="shared" si="548"/>
        <v>#N/A</v>
      </c>
      <c r="AL1241" s="104" t="e">
        <f t="shared" si="549"/>
        <v>#N/A</v>
      </c>
      <c r="AM1241" s="104" t="e">
        <f t="shared" si="550"/>
        <v>#N/A</v>
      </c>
      <c r="AN1241" s="104" t="e">
        <f t="shared" si="561"/>
        <v>#N/A</v>
      </c>
      <c r="AO1241" s="104" t="e">
        <f t="shared" si="562"/>
        <v>#N/A</v>
      </c>
      <c r="AP1241" s="104" t="e">
        <f t="shared" si="563"/>
        <v>#N/A</v>
      </c>
      <c r="AQ1241" s="104" t="e">
        <f t="shared" si="564"/>
        <v>#N/A</v>
      </c>
      <c r="AR1241" s="105" t="str">
        <f t="shared" si="556"/>
        <v/>
      </c>
      <c r="AS1241" s="105" t="str">
        <f t="shared" si="557"/>
        <v/>
      </c>
      <c r="AT1241" s="108" t="str">
        <f t="shared" si="558"/>
        <v/>
      </c>
      <c r="AU1241" s="108" t="str">
        <f t="shared" si="559"/>
        <v/>
      </c>
      <c r="AV1241" s="107" t="str">
        <f>IF(ISNUMBER(O1241),IF(VLOOKUP($A1241,Stand!C:J,8,FALSE)="Short",AT1241,AU1241),"")</f>
        <v/>
      </c>
      <c r="AW1241" s="109" t="str">
        <f t="shared" si="565"/>
        <v/>
      </c>
      <c r="AX1241" s="109" t="str">
        <f t="shared" si="566"/>
        <v/>
      </c>
      <c r="AY1241" s="112" t="str">
        <f>IF(ISNUMBER(O1241),IF(AND(VLOOKUP($D1241,Merchantability!$B:$C,2,0)="Yes",$E1241&gt;=VLOOKUP($D1241,Merchantability!$B:$D,3,0),$E1241&lt;=VLOOKUP($D1241,Merchantability!$B:$E,4,0)),(AV1241*O1241)*(1-$H1241/100),""),"")</f>
        <v/>
      </c>
      <c r="AZ1241" s="116"/>
      <c r="BA1241" s="116"/>
      <c r="BB1241" s="116"/>
      <c r="BE1241" s="62"/>
      <c r="BF1241" s="63"/>
    </row>
    <row r="1242" spans="1:58" ht="12.75" customHeight="1" x14ac:dyDescent="0.25">
      <c r="A1242" s="313"/>
      <c r="B1242" s="328"/>
      <c r="C1242" s="329"/>
      <c r="D1242" s="328"/>
      <c r="E1242" s="330"/>
      <c r="F1242" s="328"/>
      <c r="G1242" s="329"/>
      <c r="H1242" s="329"/>
      <c r="I1242" s="328"/>
      <c r="J1242" s="383"/>
      <c r="K1242" s="329"/>
      <c r="L1242" s="329"/>
      <c r="M1242" s="76"/>
      <c r="N1242" s="103" t="str">
        <f>IF(A1242="","",VLOOKUP(A1242,Stand!C:K,9,0))</f>
        <v/>
      </c>
      <c r="O1242" s="104" t="str">
        <f t="shared" si="551"/>
        <v/>
      </c>
      <c r="P1242" s="105" t="str">
        <f t="shared" si="552"/>
        <v/>
      </c>
      <c r="Q1242" s="105" t="str">
        <f t="shared" si="540"/>
        <v/>
      </c>
      <c r="R1242" s="103" t="str">
        <f t="shared" si="553"/>
        <v/>
      </c>
      <c r="S1242" s="103" t="str">
        <f t="shared" si="554"/>
        <v/>
      </c>
      <c r="T1242" s="106" t="str">
        <f t="shared" si="541"/>
        <v/>
      </c>
      <c r="U1242" s="106" t="str">
        <f t="shared" si="542"/>
        <v/>
      </c>
      <c r="V1242" s="106" t="str">
        <f t="shared" si="543"/>
        <v/>
      </c>
      <c r="W1242" s="105" t="str">
        <f t="shared" si="555"/>
        <v/>
      </c>
      <c r="X1242" s="104" t="str">
        <f t="shared" si="560"/>
        <v/>
      </c>
      <c r="Y1242" s="104" t="str">
        <f t="array" ref="Y1242">IFERROR(IF(ISNUMBER(O1242),IF(COUNT(IF(A1242=$A$2:$A$2427,IF(D1242=$D$2:$D$2427,IF($X$2:$X$2427&gt;0,1))))&gt;0,SUM(IF(A1242=$A$2:$A$2427,IF(D1242=$D$2:$D$2427,$X$2:$X$2427)))/COUNT(IF(A1242=$A$2:$A$2427,IF(D1242=$D$2:$D$2427,IF(ISNUMBER($X$2:$X$2427),1)))),0),""),0)</f>
        <v/>
      </c>
      <c r="Z1242" s="104" t="str">
        <f>IF(ISNUMBER(O1242),IF(I1242&gt;0,(10^(VLOOKUP(D1242,'Species Codes'!B:C,2,0)+VLOOKUP(D1242,'Species Codes'!B:D,3,0)*LOG(E1242)+VLOOKUP(D1242,'Species Codes'!B:E,4,0)*LOG(I1242))),0),"")</f>
        <v/>
      </c>
      <c r="AA1242" s="104" t="str">
        <f>IFERROR((VLOOKUP(D1242,'Species Codes'!B:G,6,0)*Z1242)/2000,"")</f>
        <v/>
      </c>
      <c r="AB1242" s="104" t="e">
        <f>IF(Z1242&gt;0,((IF(OR(D1242="DF",D1242="RA")=TRUE,EXP(VLOOKUP(D1242,'Species Codes'!B:I,8,0)+VLOOKUP(D1242,'Species Codes'!B:J,9,0)*(LN((E1242*2.54)))),IF(OR(D1242="PY",D1242="RC",D1242="WH",D1242="NF")=TRUE,VLOOKUP(D1242,'Species Codes'!B:I,8,0)+VLOOKUP(D1242,'Species Codes'!B:J,9,0)*((E1242*2.54)^2)*(I1242*0.3048),IF(OR(D1242="MD",D1242="BM",D1242="GA")=TRUE,((VLOOKUP(D1242,'Species Codes'!B:I,8,0)*(((((E1242*2.54)+VLOOKUP(D1242,'Species Codes'!B:J,9,0))/VLOOKUP(D1242,'Species Codes'!B:K,10,0))^VLOOKUP(D1242,'Species Codes'!B:L,11,0))*((I1242*0.3048)^VLOOKUP(D1242,'Species Codes'!B:M,12,0))))-(VLOOKUP(D1242,'Species Codes'!B:I,8,0)*((((E1242*2.54)^VLOOKUP(D1242,'Species Codes'!B:L,11,0))*((I1242*0.3048)^VLOOKUP(D1242,'Species Codes'!B:M,12,0))))))*35.3*VLOOKUP(D1242,'Species Codes'!B:G,6,0)/2.2046,VLOOKUP(D1242,'Species Codes'!B:I,8,0)+VLOOKUP(D1242,'Species Codes'!B:J,9,0)*(((E1242*2.54)/100)^2)*(I1242*0.3048)))))*0.0011023),0)</f>
        <v>#N/A</v>
      </c>
      <c r="AC1242" s="104" t="e">
        <f>IF(Z1242&gt;0,((IF(OR(D1242="RA",D1242="OA",D1242="OT",D1242="UN",D1242="PC"),EXP(VLOOKUP(D1242,'Species Codes'!B:O,14,0)+VLOOKUP(D1242,'Species Codes'!B:P,15,0)*LN((E1242*2.54)))-EXP(VLOOKUP(D1242,'Species Codes'!B:O,14,0)+VLOOKUP(D1242,'Species Codes'!B:P,15,0)*LN((E1242*2.54)))*(1/(VLOOKUP(D1242,'Species Codes'!B:Q,16,0)+VLOOKUP(D1242,'Species Codes'!B:R,17,0)*((E1242*2.54)^VLOOKUP(D1242,'Species Codes'!B:S,18,0)))),IF(OR(D1242="BM",D1242="MD",D1242="OA"),EXP(VLOOKUP(D1242,'Species Codes'!B:O,14,0)+VLOOKUP(D1242,'Species Codes'!B:P,15,0)*LN((E1242*2.54)))*(1-(1/(VLOOKUP(D1242,'Species Codes'!B:Q,16,0)+VLOOKUP(D1242,'Species Codes'!B:R,17,0)*((E1242*2.54)^VLOOKUP(D1242,'Species Codes'!B:S,18,0)))))/1000,IF(D1242="DF",EXP(VLOOKUP(D1242,'Species Codes'!B:O,14,0)+VLOOKUP(D1242,'Species Codes'!B:P,15,0)*LN((E1242*2.54))),VLOOKUP(D1242,'Species Codes'!B:O,14,0)+VLOOKUP(D1242,'Species Codes'!B:P,15,0)*(((E1242*2.54)/100)^2)*(I1242*0.3048)))))*0.0011023),0)</f>
        <v>#N/A</v>
      </c>
      <c r="AD1242" s="104" t="e">
        <f t="shared" si="544"/>
        <v>#N/A</v>
      </c>
      <c r="AE1242" s="104" t="e">
        <f t="shared" si="545"/>
        <v>#N/A</v>
      </c>
      <c r="AF1242" s="104" t="e">
        <f>IF(AND(VLOOKUP($D1242,Merchantability!$B:$C,2,0)="Yes",$E1242&gt;=VLOOKUP($D1242,Merchantability!$B:$D,3,0),$E1242&lt;=VLOOKUP($D1242,Merchantability!$B:$E,4,0)),AA1242,0)</f>
        <v>#N/A</v>
      </c>
      <c r="AG1242" s="104" t="e">
        <f>IF(AND(VLOOKUP($D1242,Merchantability!$B:$C,2,0)="Yes",$E1242&gt;=VLOOKUP($D1242,Merchantability!$B:$D,3,0),$E1242&lt;=VLOOKUP($D1242,Merchantability!$B:$E,4,0)),AB1242,0)</f>
        <v>#N/A</v>
      </c>
      <c r="AH1242" s="104" t="e">
        <f>IF(AND(VLOOKUP($D1242,Merchantability!$B:$C,2,0)="Yes",$E1242&gt;=VLOOKUP($D1242,Merchantability!$B:$D,3,0),$E1242&lt;=VLOOKUP($D1242,Merchantability!$B:$E,4,0)),AC1242,0)</f>
        <v>#N/A</v>
      </c>
      <c r="AI1242" s="104" t="e">
        <f t="shared" si="546"/>
        <v>#N/A</v>
      </c>
      <c r="AJ1242" s="104" t="e">
        <f t="shared" si="547"/>
        <v>#VALUE!</v>
      </c>
      <c r="AK1242" s="104" t="e">
        <f t="shared" si="548"/>
        <v>#N/A</v>
      </c>
      <c r="AL1242" s="104" t="e">
        <f t="shared" si="549"/>
        <v>#N/A</v>
      </c>
      <c r="AM1242" s="104" t="e">
        <f t="shared" si="550"/>
        <v>#N/A</v>
      </c>
      <c r="AN1242" s="104" t="e">
        <f t="shared" si="561"/>
        <v>#N/A</v>
      </c>
      <c r="AO1242" s="104" t="e">
        <f t="shared" si="562"/>
        <v>#N/A</v>
      </c>
      <c r="AP1242" s="104" t="e">
        <f t="shared" si="563"/>
        <v>#N/A</v>
      </c>
      <c r="AQ1242" s="104" t="e">
        <f t="shared" si="564"/>
        <v>#N/A</v>
      </c>
      <c r="AR1242" s="105" t="str">
        <f t="shared" si="556"/>
        <v/>
      </c>
      <c r="AS1242" s="105" t="str">
        <f t="shared" si="557"/>
        <v/>
      </c>
      <c r="AT1242" s="108" t="str">
        <f t="shared" si="558"/>
        <v/>
      </c>
      <c r="AU1242" s="108" t="str">
        <f t="shared" si="559"/>
        <v/>
      </c>
      <c r="AV1242" s="107" t="str">
        <f>IF(ISNUMBER(O1242),IF(VLOOKUP($A1242,Stand!C:J,8,FALSE)="Short",AT1242,AU1242),"")</f>
        <v/>
      </c>
      <c r="AW1242" s="109" t="str">
        <f t="shared" si="565"/>
        <v/>
      </c>
      <c r="AX1242" s="109" t="str">
        <f t="shared" si="566"/>
        <v/>
      </c>
      <c r="AY1242" s="112" t="str">
        <f>IF(ISNUMBER(O1242),IF(AND(VLOOKUP($D1242,Merchantability!$B:$C,2,0)="Yes",$E1242&gt;=VLOOKUP($D1242,Merchantability!$B:$D,3,0),$E1242&lt;=VLOOKUP($D1242,Merchantability!$B:$E,4,0)),(AV1242*O1242)*(1-$H1242/100),""),"")</f>
        <v/>
      </c>
      <c r="AZ1242" s="116"/>
      <c r="BA1242" s="116"/>
      <c r="BB1242" s="116"/>
      <c r="BE1242" s="62"/>
      <c r="BF1242" s="63"/>
    </row>
    <row r="1243" spans="1:58" ht="12.75" customHeight="1" x14ac:dyDescent="0.25">
      <c r="A1243" s="313"/>
      <c r="B1243" s="328"/>
      <c r="C1243" s="329"/>
      <c r="D1243" s="328"/>
      <c r="E1243" s="330"/>
      <c r="F1243" s="328"/>
      <c r="G1243" s="329"/>
      <c r="H1243" s="329"/>
      <c r="I1243" s="328"/>
      <c r="J1243" s="383"/>
      <c r="K1243" s="329"/>
      <c r="L1243" s="329"/>
      <c r="M1243" s="76"/>
      <c r="N1243" s="103" t="str">
        <f>IF(A1243="","",VLOOKUP(A1243,Stand!C:K,9,0))</f>
        <v/>
      </c>
      <c r="O1243" s="104" t="str">
        <f t="shared" si="551"/>
        <v/>
      </c>
      <c r="P1243" s="105" t="str">
        <f t="shared" si="552"/>
        <v/>
      </c>
      <c r="Q1243" s="105" t="str">
        <f t="shared" si="540"/>
        <v/>
      </c>
      <c r="R1243" s="103" t="str">
        <f t="shared" si="553"/>
        <v/>
      </c>
      <c r="S1243" s="103" t="str">
        <f t="shared" si="554"/>
        <v/>
      </c>
      <c r="T1243" s="106" t="str">
        <f t="shared" si="541"/>
        <v/>
      </c>
      <c r="U1243" s="106" t="str">
        <f t="shared" si="542"/>
        <v/>
      </c>
      <c r="V1243" s="106" t="str">
        <f t="shared" si="543"/>
        <v/>
      </c>
      <c r="W1243" s="105" t="str">
        <f t="shared" si="555"/>
        <v/>
      </c>
      <c r="X1243" s="104" t="str">
        <f t="shared" si="560"/>
        <v/>
      </c>
      <c r="Y1243" s="104" t="str">
        <f t="array" ref="Y1243">IFERROR(IF(ISNUMBER(O1243),IF(COUNT(IF(A1243=$A$2:$A$2427,IF(D1243=$D$2:$D$2427,IF($X$2:$X$2427&gt;0,1))))&gt;0,SUM(IF(A1243=$A$2:$A$2427,IF(D1243=$D$2:$D$2427,$X$2:$X$2427)))/COUNT(IF(A1243=$A$2:$A$2427,IF(D1243=$D$2:$D$2427,IF(ISNUMBER($X$2:$X$2427),1)))),0),""),0)</f>
        <v/>
      </c>
      <c r="Z1243" s="104" t="str">
        <f>IF(ISNUMBER(O1243),IF(I1243&gt;0,(10^(VLOOKUP(D1243,'Species Codes'!B:C,2,0)+VLOOKUP(D1243,'Species Codes'!B:D,3,0)*LOG(E1243)+VLOOKUP(D1243,'Species Codes'!B:E,4,0)*LOG(I1243))),0),"")</f>
        <v/>
      </c>
      <c r="AA1243" s="104" t="str">
        <f>IFERROR((VLOOKUP(D1243,'Species Codes'!B:G,6,0)*Z1243)/2000,"")</f>
        <v/>
      </c>
      <c r="AB1243" s="104" t="e">
        <f>IF(Z1243&gt;0,((IF(OR(D1243="DF",D1243="RA")=TRUE,EXP(VLOOKUP(D1243,'Species Codes'!B:I,8,0)+VLOOKUP(D1243,'Species Codes'!B:J,9,0)*(LN((E1243*2.54)))),IF(OR(D1243="PY",D1243="RC",D1243="WH",D1243="NF")=TRUE,VLOOKUP(D1243,'Species Codes'!B:I,8,0)+VLOOKUP(D1243,'Species Codes'!B:J,9,0)*((E1243*2.54)^2)*(I1243*0.3048),IF(OR(D1243="MD",D1243="BM",D1243="GA")=TRUE,((VLOOKUP(D1243,'Species Codes'!B:I,8,0)*(((((E1243*2.54)+VLOOKUP(D1243,'Species Codes'!B:J,9,0))/VLOOKUP(D1243,'Species Codes'!B:K,10,0))^VLOOKUP(D1243,'Species Codes'!B:L,11,0))*((I1243*0.3048)^VLOOKUP(D1243,'Species Codes'!B:M,12,0))))-(VLOOKUP(D1243,'Species Codes'!B:I,8,0)*((((E1243*2.54)^VLOOKUP(D1243,'Species Codes'!B:L,11,0))*((I1243*0.3048)^VLOOKUP(D1243,'Species Codes'!B:M,12,0))))))*35.3*VLOOKUP(D1243,'Species Codes'!B:G,6,0)/2.2046,VLOOKUP(D1243,'Species Codes'!B:I,8,0)+VLOOKUP(D1243,'Species Codes'!B:J,9,0)*(((E1243*2.54)/100)^2)*(I1243*0.3048)))))*0.0011023),0)</f>
        <v>#N/A</v>
      </c>
      <c r="AC1243" s="104" t="e">
        <f>IF(Z1243&gt;0,((IF(OR(D1243="RA",D1243="OA",D1243="OT",D1243="UN",D1243="PC"),EXP(VLOOKUP(D1243,'Species Codes'!B:O,14,0)+VLOOKUP(D1243,'Species Codes'!B:P,15,0)*LN((E1243*2.54)))-EXP(VLOOKUP(D1243,'Species Codes'!B:O,14,0)+VLOOKUP(D1243,'Species Codes'!B:P,15,0)*LN((E1243*2.54)))*(1/(VLOOKUP(D1243,'Species Codes'!B:Q,16,0)+VLOOKUP(D1243,'Species Codes'!B:R,17,0)*((E1243*2.54)^VLOOKUP(D1243,'Species Codes'!B:S,18,0)))),IF(OR(D1243="BM",D1243="MD",D1243="OA"),EXP(VLOOKUP(D1243,'Species Codes'!B:O,14,0)+VLOOKUP(D1243,'Species Codes'!B:P,15,0)*LN((E1243*2.54)))*(1-(1/(VLOOKUP(D1243,'Species Codes'!B:Q,16,0)+VLOOKUP(D1243,'Species Codes'!B:R,17,0)*((E1243*2.54)^VLOOKUP(D1243,'Species Codes'!B:S,18,0)))))/1000,IF(D1243="DF",EXP(VLOOKUP(D1243,'Species Codes'!B:O,14,0)+VLOOKUP(D1243,'Species Codes'!B:P,15,0)*LN((E1243*2.54))),VLOOKUP(D1243,'Species Codes'!B:O,14,0)+VLOOKUP(D1243,'Species Codes'!B:P,15,0)*(((E1243*2.54)/100)^2)*(I1243*0.3048)))))*0.0011023),0)</f>
        <v>#N/A</v>
      </c>
      <c r="AD1243" s="104" t="e">
        <f t="shared" si="544"/>
        <v>#N/A</v>
      </c>
      <c r="AE1243" s="104" t="e">
        <f t="shared" si="545"/>
        <v>#N/A</v>
      </c>
      <c r="AF1243" s="104" t="e">
        <f>IF(AND(VLOOKUP($D1243,Merchantability!$B:$C,2,0)="Yes",$E1243&gt;=VLOOKUP($D1243,Merchantability!$B:$D,3,0),$E1243&lt;=VLOOKUP($D1243,Merchantability!$B:$E,4,0)),AA1243,0)</f>
        <v>#N/A</v>
      </c>
      <c r="AG1243" s="104" t="e">
        <f>IF(AND(VLOOKUP($D1243,Merchantability!$B:$C,2,0)="Yes",$E1243&gt;=VLOOKUP($D1243,Merchantability!$B:$D,3,0),$E1243&lt;=VLOOKUP($D1243,Merchantability!$B:$E,4,0)),AB1243,0)</f>
        <v>#N/A</v>
      </c>
      <c r="AH1243" s="104" t="e">
        <f>IF(AND(VLOOKUP($D1243,Merchantability!$B:$C,2,0)="Yes",$E1243&gt;=VLOOKUP($D1243,Merchantability!$B:$D,3,0),$E1243&lt;=VLOOKUP($D1243,Merchantability!$B:$E,4,0)),AC1243,0)</f>
        <v>#N/A</v>
      </c>
      <c r="AI1243" s="104" t="e">
        <f t="shared" si="546"/>
        <v>#N/A</v>
      </c>
      <c r="AJ1243" s="104" t="e">
        <f t="shared" si="547"/>
        <v>#VALUE!</v>
      </c>
      <c r="AK1243" s="104" t="e">
        <f t="shared" si="548"/>
        <v>#N/A</v>
      </c>
      <c r="AL1243" s="104" t="e">
        <f t="shared" si="549"/>
        <v>#N/A</v>
      </c>
      <c r="AM1243" s="104" t="e">
        <f t="shared" si="550"/>
        <v>#N/A</v>
      </c>
      <c r="AN1243" s="104" t="e">
        <f t="shared" si="561"/>
        <v>#N/A</v>
      </c>
      <c r="AO1243" s="104" t="e">
        <f t="shared" si="562"/>
        <v>#N/A</v>
      </c>
      <c r="AP1243" s="104" t="e">
        <f t="shared" si="563"/>
        <v>#N/A</v>
      </c>
      <c r="AQ1243" s="104" t="e">
        <f t="shared" si="564"/>
        <v>#N/A</v>
      </c>
      <c r="AR1243" s="105" t="str">
        <f t="shared" si="556"/>
        <v/>
      </c>
      <c r="AS1243" s="105" t="str">
        <f t="shared" si="557"/>
        <v/>
      </c>
      <c r="AT1243" s="108" t="str">
        <f t="shared" si="558"/>
        <v/>
      </c>
      <c r="AU1243" s="108" t="str">
        <f t="shared" si="559"/>
        <v/>
      </c>
      <c r="AV1243" s="107" t="str">
        <f>IF(ISNUMBER(O1243),IF(VLOOKUP($A1243,Stand!C:J,8,FALSE)="Short",AT1243,AU1243),"")</f>
        <v/>
      </c>
      <c r="AW1243" s="109" t="str">
        <f t="shared" si="565"/>
        <v/>
      </c>
      <c r="AX1243" s="109" t="str">
        <f t="shared" si="566"/>
        <v/>
      </c>
      <c r="AY1243" s="112" t="str">
        <f>IF(ISNUMBER(O1243),IF(AND(VLOOKUP($D1243,Merchantability!$B:$C,2,0)="Yes",$E1243&gt;=VLOOKUP($D1243,Merchantability!$B:$D,3,0),$E1243&lt;=VLOOKUP($D1243,Merchantability!$B:$E,4,0)),(AV1243*O1243)*(1-$H1243/100),""),"")</f>
        <v/>
      </c>
      <c r="AZ1243" s="116"/>
      <c r="BA1243" s="116"/>
      <c r="BB1243" s="116"/>
      <c r="BE1243" s="62"/>
      <c r="BF1243" s="63"/>
    </row>
    <row r="1244" spans="1:58" ht="12.75" customHeight="1" x14ac:dyDescent="0.25">
      <c r="A1244" s="313"/>
      <c r="B1244" s="328"/>
      <c r="C1244" s="329"/>
      <c r="D1244" s="328"/>
      <c r="E1244" s="330"/>
      <c r="F1244" s="328"/>
      <c r="G1244" s="329"/>
      <c r="H1244" s="329"/>
      <c r="I1244" s="328"/>
      <c r="J1244" s="383"/>
      <c r="K1244" s="329"/>
      <c r="L1244" s="329"/>
      <c r="M1244" s="76"/>
      <c r="N1244" s="103" t="str">
        <f>IF(A1244="","",VLOOKUP(A1244,Stand!C:K,9,0))</f>
        <v/>
      </c>
      <c r="O1244" s="104" t="str">
        <f t="shared" si="551"/>
        <v/>
      </c>
      <c r="P1244" s="105" t="str">
        <f t="shared" si="552"/>
        <v/>
      </c>
      <c r="Q1244" s="105" t="str">
        <f t="shared" si="540"/>
        <v/>
      </c>
      <c r="R1244" s="103" t="str">
        <f t="shared" si="553"/>
        <v/>
      </c>
      <c r="S1244" s="103" t="str">
        <f t="shared" si="554"/>
        <v/>
      </c>
      <c r="T1244" s="106" t="str">
        <f t="shared" si="541"/>
        <v/>
      </c>
      <c r="U1244" s="106" t="str">
        <f t="shared" si="542"/>
        <v/>
      </c>
      <c r="V1244" s="106" t="str">
        <f t="shared" si="543"/>
        <v/>
      </c>
      <c r="W1244" s="105" t="str">
        <f t="shared" si="555"/>
        <v/>
      </c>
      <c r="X1244" s="104" t="str">
        <f t="shared" si="560"/>
        <v/>
      </c>
      <c r="Y1244" s="104" t="str">
        <f t="array" ref="Y1244">IFERROR(IF(ISNUMBER(O1244),IF(COUNT(IF(A1244=$A$2:$A$2427,IF(D1244=$D$2:$D$2427,IF($X$2:$X$2427&gt;0,1))))&gt;0,SUM(IF(A1244=$A$2:$A$2427,IF(D1244=$D$2:$D$2427,$X$2:$X$2427)))/COUNT(IF(A1244=$A$2:$A$2427,IF(D1244=$D$2:$D$2427,IF(ISNUMBER($X$2:$X$2427),1)))),0),""),0)</f>
        <v/>
      </c>
      <c r="Z1244" s="104" t="str">
        <f>IF(ISNUMBER(O1244),IF(I1244&gt;0,(10^(VLOOKUP(D1244,'Species Codes'!B:C,2,0)+VLOOKUP(D1244,'Species Codes'!B:D,3,0)*LOG(E1244)+VLOOKUP(D1244,'Species Codes'!B:E,4,0)*LOG(I1244))),0),"")</f>
        <v/>
      </c>
      <c r="AA1244" s="104" t="str">
        <f>IFERROR((VLOOKUP(D1244,'Species Codes'!B:G,6,0)*Z1244)/2000,"")</f>
        <v/>
      </c>
      <c r="AB1244" s="104" t="e">
        <f>IF(Z1244&gt;0,((IF(OR(D1244="DF",D1244="RA")=TRUE,EXP(VLOOKUP(D1244,'Species Codes'!B:I,8,0)+VLOOKUP(D1244,'Species Codes'!B:J,9,0)*(LN((E1244*2.54)))),IF(OR(D1244="PY",D1244="RC",D1244="WH",D1244="NF")=TRUE,VLOOKUP(D1244,'Species Codes'!B:I,8,0)+VLOOKUP(D1244,'Species Codes'!B:J,9,0)*((E1244*2.54)^2)*(I1244*0.3048),IF(OR(D1244="MD",D1244="BM",D1244="GA")=TRUE,((VLOOKUP(D1244,'Species Codes'!B:I,8,0)*(((((E1244*2.54)+VLOOKUP(D1244,'Species Codes'!B:J,9,0))/VLOOKUP(D1244,'Species Codes'!B:K,10,0))^VLOOKUP(D1244,'Species Codes'!B:L,11,0))*((I1244*0.3048)^VLOOKUP(D1244,'Species Codes'!B:M,12,0))))-(VLOOKUP(D1244,'Species Codes'!B:I,8,0)*((((E1244*2.54)^VLOOKUP(D1244,'Species Codes'!B:L,11,0))*((I1244*0.3048)^VLOOKUP(D1244,'Species Codes'!B:M,12,0))))))*35.3*VLOOKUP(D1244,'Species Codes'!B:G,6,0)/2.2046,VLOOKUP(D1244,'Species Codes'!B:I,8,0)+VLOOKUP(D1244,'Species Codes'!B:J,9,0)*(((E1244*2.54)/100)^2)*(I1244*0.3048)))))*0.0011023),0)</f>
        <v>#N/A</v>
      </c>
      <c r="AC1244" s="104" t="e">
        <f>IF(Z1244&gt;0,((IF(OR(D1244="RA",D1244="OA",D1244="OT",D1244="UN",D1244="PC"),EXP(VLOOKUP(D1244,'Species Codes'!B:O,14,0)+VLOOKUP(D1244,'Species Codes'!B:P,15,0)*LN((E1244*2.54)))-EXP(VLOOKUP(D1244,'Species Codes'!B:O,14,0)+VLOOKUP(D1244,'Species Codes'!B:P,15,0)*LN((E1244*2.54)))*(1/(VLOOKUP(D1244,'Species Codes'!B:Q,16,0)+VLOOKUP(D1244,'Species Codes'!B:R,17,0)*((E1244*2.54)^VLOOKUP(D1244,'Species Codes'!B:S,18,0)))),IF(OR(D1244="BM",D1244="MD",D1244="OA"),EXP(VLOOKUP(D1244,'Species Codes'!B:O,14,0)+VLOOKUP(D1244,'Species Codes'!B:P,15,0)*LN((E1244*2.54)))*(1-(1/(VLOOKUP(D1244,'Species Codes'!B:Q,16,0)+VLOOKUP(D1244,'Species Codes'!B:R,17,0)*((E1244*2.54)^VLOOKUP(D1244,'Species Codes'!B:S,18,0)))))/1000,IF(D1244="DF",EXP(VLOOKUP(D1244,'Species Codes'!B:O,14,0)+VLOOKUP(D1244,'Species Codes'!B:P,15,0)*LN((E1244*2.54))),VLOOKUP(D1244,'Species Codes'!B:O,14,0)+VLOOKUP(D1244,'Species Codes'!B:P,15,0)*(((E1244*2.54)/100)^2)*(I1244*0.3048)))))*0.0011023),0)</f>
        <v>#N/A</v>
      </c>
      <c r="AD1244" s="104" t="e">
        <f t="shared" si="544"/>
        <v>#N/A</v>
      </c>
      <c r="AE1244" s="104" t="e">
        <f t="shared" si="545"/>
        <v>#N/A</v>
      </c>
      <c r="AF1244" s="104" t="e">
        <f>IF(AND(VLOOKUP($D1244,Merchantability!$B:$C,2,0)="Yes",$E1244&gt;=VLOOKUP($D1244,Merchantability!$B:$D,3,0),$E1244&lt;=VLOOKUP($D1244,Merchantability!$B:$E,4,0)),AA1244,0)</f>
        <v>#N/A</v>
      </c>
      <c r="AG1244" s="104" t="e">
        <f>IF(AND(VLOOKUP($D1244,Merchantability!$B:$C,2,0)="Yes",$E1244&gt;=VLOOKUP($D1244,Merchantability!$B:$D,3,0),$E1244&lt;=VLOOKUP($D1244,Merchantability!$B:$E,4,0)),AB1244,0)</f>
        <v>#N/A</v>
      </c>
      <c r="AH1244" s="104" t="e">
        <f>IF(AND(VLOOKUP($D1244,Merchantability!$B:$C,2,0)="Yes",$E1244&gt;=VLOOKUP($D1244,Merchantability!$B:$D,3,0),$E1244&lt;=VLOOKUP($D1244,Merchantability!$B:$E,4,0)),AC1244,0)</f>
        <v>#N/A</v>
      </c>
      <c r="AI1244" s="104" t="e">
        <f t="shared" si="546"/>
        <v>#N/A</v>
      </c>
      <c r="AJ1244" s="104" t="e">
        <f t="shared" si="547"/>
        <v>#VALUE!</v>
      </c>
      <c r="AK1244" s="104" t="e">
        <f t="shared" si="548"/>
        <v>#N/A</v>
      </c>
      <c r="AL1244" s="104" t="e">
        <f t="shared" si="549"/>
        <v>#N/A</v>
      </c>
      <c r="AM1244" s="104" t="e">
        <f t="shared" si="550"/>
        <v>#N/A</v>
      </c>
      <c r="AN1244" s="104" t="e">
        <f t="shared" si="561"/>
        <v>#N/A</v>
      </c>
      <c r="AO1244" s="104" t="e">
        <f t="shared" si="562"/>
        <v>#N/A</v>
      </c>
      <c r="AP1244" s="104" t="e">
        <f t="shared" si="563"/>
        <v>#N/A</v>
      </c>
      <c r="AQ1244" s="104" t="e">
        <f t="shared" si="564"/>
        <v>#N/A</v>
      </c>
      <c r="AR1244" s="105" t="str">
        <f t="shared" si="556"/>
        <v/>
      </c>
      <c r="AS1244" s="105" t="str">
        <f t="shared" si="557"/>
        <v/>
      </c>
      <c r="AT1244" s="108" t="str">
        <f t="shared" si="558"/>
        <v/>
      </c>
      <c r="AU1244" s="108" t="str">
        <f t="shared" si="559"/>
        <v/>
      </c>
      <c r="AV1244" s="107" t="str">
        <f>IF(ISNUMBER(O1244),IF(VLOOKUP($A1244,Stand!C:J,8,FALSE)="Short",AT1244,AU1244),"")</f>
        <v/>
      </c>
      <c r="AW1244" s="109" t="str">
        <f t="shared" si="565"/>
        <v/>
      </c>
      <c r="AX1244" s="109" t="str">
        <f t="shared" si="566"/>
        <v/>
      </c>
      <c r="AY1244" s="112" t="str">
        <f>IF(ISNUMBER(O1244),IF(AND(VLOOKUP($D1244,Merchantability!$B:$C,2,0)="Yes",$E1244&gt;=VLOOKUP($D1244,Merchantability!$B:$D,3,0),$E1244&lt;=VLOOKUP($D1244,Merchantability!$B:$E,4,0)),(AV1244*O1244)*(1-$H1244/100),""),"")</f>
        <v/>
      </c>
      <c r="AZ1244" s="116"/>
      <c r="BA1244" s="116"/>
      <c r="BB1244" s="116"/>
      <c r="BE1244" s="62"/>
      <c r="BF1244" s="63"/>
    </row>
    <row r="1245" spans="1:58" ht="12.75" customHeight="1" x14ac:dyDescent="0.25">
      <c r="A1245" s="313"/>
      <c r="B1245" s="328"/>
      <c r="C1245" s="329"/>
      <c r="D1245" s="328"/>
      <c r="E1245" s="330"/>
      <c r="F1245" s="328"/>
      <c r="G1245" s="329"/>
      <c r="H1245" s="329"/>
      <c r="I1245" s="328"/>
      <c r="J1245" s="383"/>
      <c r="K1245" s="329"/>
      <c r="L1245" s="329"/>
      <c r="M1245" s="76"/>
      <c r="N1245" s="103" t="str">
        <f>IF(A1245="","",VLOOKUP(A1245,Stand!C:K,9,0))</f>
        <v/>
      </c>
      <c r="O1245" s="104" t="str">
        <f t="shared" si="551"/>
        <v/>
      </c>
      <c r="P1245" s="105" t="str">
        <f t="shared" si="552"/>
        <v/>
      </c>
      <c r="Q1245" s="105" t="str">
        <f t="shared" ref="Q1245:Q1308" si="567">IF(AND(ISNUMBER(O1245),I1245&gt;0),I1245*O1245,"")</f>
        <v/>
      </c>
      <c r="R1245" s="103" t="str">
        <f t="shared" si="553"/>
        <v/>
      </c>
      <c r="S1245" s="103" t="str">
        <f t="shared" si="554"/>
        <v/>
      </c>
      <c r="T1245" s="106" t="str">
        <f t="shared" ref="T1245:T1308" si="568">IF(AND(ISNUMBER(O1245),J1245&gt;0),J1245/100,"")</f>
        <v/>
      </c>
      <c r="U1245" s="106" t="str">
        <f t="shared" ref="U1245:U1308" si="569">IF(AND(ISNUMBER(O1245),J1245&gt;0),T1245*O1245,"")</f>
        <v/>
      </c>
      <c r="V1245" s="106" t="str">
        <f t="shared" ref="V1245:V1308" si="570">IF(AND(ISNUMBER(O1245),I1245&gt;0),W1245*O1245,"")</f>
        <v/>
      </c>
      <c r="W1245" s="105" t="str">
        <f t="shared" si="555"/>
        <v/>
      </c>
      <c r="X1245" s="104" t="str">
        <f t="shared" si="560"/>
        <v/>
      </c>
      <c r="Y1245" s="104" t="str">
        <f t="array" ref="Y1245">IFERROR(IF(ISNUMBER(O1245),IF(COUNT(IF(A1245=$A$2:$A$2427,IF(D1245=$D$2:$D$2427,IF($X$2:$X$2427&gt;0,1))))&gt;0,SUM(IF(A1245=$A$2:$A$2427,IF(D1245=$D$2:$D$2427,$X$2:$X$2427)))/COUNT(IF(A1245=$A$2:$A$2427,IF(D1245=$D$2:$D$2427,IF(ISNUMBER($X$2:$X$2427),1)))),0),""),0)</f>
        <v/>
      </c>
      <c r="Z1245" s="104" t="str">
        <f>IF(ISNUMBER(O1245),IF(I1245&gt;0,(10^(VLOOKUP(D1245,'Species Codes'!B:C,2,0)+VLOOKUP(D1245,'Species Codes'!B:D,3,0)*LOG(E1245)+VLOOKUP(D1245,'Species Codes'!B:E,4,0)*LOG(I1245))),0),"")</f>
        <v/>
      </c>
      <c r="AA1245" s="104" t="str">
        <f>IFERROR((VLOOKUP(D1245,'Species Codes'!B:G,6,0)*Z1245)/2000,"")</f>
        <v/>
      </c>
      <c r="AB1245" s="104" t="e">
        <f>IF(Z1245&gt;0,((IF(OR(D1245="DF",D1245="RA")=TRUE,EXP(VLOOKUP(D1245,'Species Codes'!B:I,8,0)+VLOOKUP(D1245,'Species Codes'!B:J,9,0)*(LN((E1245*2.54)))),IF(OR(D1245="PY",D1245="RC",D1245="WH",D1245="NF")=TRUE,VLOOKUP(D1245,'Species Codes'!B:I,8,0)+VLOOKUP(D1245,'Species Codes'!B:J,9,0)*((E1245*2.54)^2)*(I1245*0.3048),IF(OR(D1245="MD",D1245="BM",D1245="GA")=TRUE,((VLOOKUP(D1245,'Species Codes'!B:I,8,0)*(((((E1245*2.54)+VLOOKUP(D1245,'Species Codes'!B:J,9,0))/VLOOKUP(D1245,'Species Codes'!B:K,10,0))^VLOOKUP(D1245,'Species Codes'!B:L,11,0))*((I1245*0.3048)^VLOOKUP(D1245,'Species Codes'!B:M,12,0))))-(VLOOKUP(D1245,'Species Codes'!B:I,8,0)*((((E1245*2.54)^VLOOKUP(D1245,'Species Codes'!B:L,11,0))*((I1245*0.3048)^VLOOKUP(D1245,'Species Codes'!B:M,12,0))))))*35.3*VLOOKUP(D1245,'Species Codes'!B:G,6,0)/2.2046,VLOOKUP(D1245,'Species Codes'!B:I,8,0)+VLOOKUP(D1245,'Species Codes'!B:J,9,0)*(((E1245*2.54)/100)^2)*(I1245*0.3048)))))*0.0011023),0)</f>
        <v>#N/A</v>
      </c>
      <c r="AC1245" s="104" t="e">
        <f>IF(Z1245&gt;0,((IF(OR(D1245="RA",D1245="OA",D1245="OT",D1245="UN",D1245="PC"),EXP(VLOOKUP(D1245,'Species Codes'!B:O,14,0)+VLOOKUP(D1245,'Species Codes'!B:P,15,0)*LN((E1245*2.54)))-EXP(VLOOKUP(D1245,'Species Codes'!B:O,14,0)+VLOOKUP(D1245,'Species Codes'!B:P,15,0)*LN((E1245*2.54)))*(1/(VLOOKUP(D1245,'Species Codes'!B:Q,16,0)+VLOOKUP(D1245,'Species Codes'!B:R,17,0)*((E1245*2.54)^VLOOKUP(D1245,'Species Codes'!B:S,18,0)))),IF(OR(D1245="BM",D1245="MD",D1245="OA"),EXP(VLOOKUP(D1245,'Species Codes'!B:O,14,0)+VLOOKUP(D1245,'Species Codes'!B:P,15,0)*LN((E1245*2.54)))*(1-(1/(VLOOKUP(D1245,'Species Codes'!B:Q,16,0)+VLOOKUP(D1245,'Species Codes'!B:R,17,0)*((E1245*2.54)^VLOOKUP(D1245,'Species Codes'!B:S,18,0)))))/1000,IF(D1245="DF",EXP(VLOOKUP(D1245,'Species Codes'!B:O,14,0)+VLOOKUP(D1245,'Species Codes'!B:P,15,0)*LN((E1245*2.54))),VLOOKUP(D1245,'Species Codes'!B:O,14,0)+VLOOKUP(D1245,'Species Codes'!B:P,15,0)*(((E1245*2.54)/100)^2)*(I1245*0.3048)))))*0.0011023),0)</f>
        <v>#N/A</v>
      </c>
      <c r="AD1245" s="104" t="e">
        <f t="shared" ref="AD1245:AD1308" si="571">SUM(AA1245:AC1245)</f>
        <v>#N/A</v>
      </c>
      <c r="AE1245" s="104" t="e">
        <f t="shared" ref="AE1245:AE1308" si="572">AD1245*O1245</f>
        <v>#N/A</v>
      </c>
      <c r="AF1245" s="104" t="e">
        <f>IF(AND(VLOOKUP($D1245,Merchantability!$B:$C,2,0)="Yes",$E1245&gt;=VLOOKUP($D1245,Merchantability!$B:$D,3,0),$E1245&lt;=VLOOKUP($D1245,Merchantability!$B:$E,4,0)),AA1245,0)</f>
        <v>#N/A</v>
      </c>
      <c r="AG1245" s="104" t="e">
        <f>IF(AND(VLOOKUP($D1245,Merchantability!$B:$C,2,0)="Yes",$E1245&gt;=VLOOKUP($D1245,Merchantability!$B:$D,3,0),$E1245&lt;=VLOOKUP($D1245,Merchantability!$B:$E,4,0)),AB1245,0)</f>
        <v>#N/A</v>
      </c>
      <c r="AH1245" s="104" t="e">
        <f>IF(AND(VLOOKUP($D1245,Merchantability!$B:$C,2,0)="Yes",$E1245&gt;=VLOOKUP($D1245,Merchantability!$B:$D,3,0),$E1245&lt;=VLOOKUP($D1245,Merchantability!$B:$E,4,0)),AC1245,0)</f>
        <v>#N/A</v>
      </c>
      <c r="AI1245" s="104" t="e">
        <f t="shared" ref="AI1245:AI1308" si="573">SUM(AF1245:AH1245)</f>
        <v>#N/A</v>
      </c>
      <c r="AJ1245" s="104" t="e">
        <f t="shared" ref="AJ1245:AJ1308" si="574">AA1245*$O1245</f>
        <v>#VALUE!</v>
      </c>
      <c r="AK1245" s="104" t="e">
        <f t="shared" ref="AK1245:AK1308" si="575">AB1245*$O1245</f>
        <v>#N/A</v>
      </c>
      <c r="AL1245" s="104" t="e">
        <f t="shared" ref="AL1245:AL1308" si="576">AC1245*$O1245</f>
        <v>#N/A</v>
      </c>
      <c r="AM1245" s="104" t="e">
        <f t="shared" ref="AM1245:AM1308" si="577">AD1245*$O1245</f>
        <v>#N/A</v>
      </c>
      <c r="AN1245" s="104" t="e">
        <f t="shared" si="561"/>
        <v>#N/A</v>
      </c>
      <c r="AO1245" s="104" t="e">
        <f t="shared" si="562"/>
        <v>#N/A</v>
      </c>
      <c r="AP1245" s="104" t="e">
        <f t="shared" si="563"/>
        <v>#N/A</v>
      </c>
      <c r="AQ1245" s="104" t="e">
        <f t="shared" si="564"/>
        <v>#N/A</v>
      </c>
      <c r="AR1245" s="105" t="str">
        <f t="shared" si="556"/>
        <v/>
      </c>
      <c r="AS1245" s="105" t="str">
        <f t="shared" si="557"/>
        <v/>
      </c>
      <c r="AT1245" s="108" t="str">
        <f t="shared" si="558"/>
        <v/>
      </c>
      <c r="AU1245" s="108" t="str">
        <f t="shared" si="559"/>
        <v/>
      </c>
      <c r="AV1245" s="107" t="str">
        <f>IF(ISNUMBER(O1245),IF(VLOOKUP($A1245,Stand!C:J,8,FALSE)="Short",AT1245,AU1245),"")</f>
        <v/>
      </c>
      <c r="AW1245" s="109" t="str">
        <f t="shared" si="565"/>
        <v/>
      </c>
      <c r="AX1245" s="109" t="str">
        <f t="shared" si="566"/>
        <v/>
      </c>
      <c r="AY1245" s="112" t="str">
        <f>IF(ISNUMBER(O1245),IF(AND(VLOOKUP($D1245,Merchantability!$B:$C,2,0)="Yes",$E1245&gt;=VLOOKUP($D1245,Merchantability!$B:$D,3,0),$E1245&lt;=VLOOKUP($D1245,Merchantability!$B:$E,4,0)),(AV1245*O1245)*(1-$H1245/100),""),"")</f>
        <v/>
      </c>
      <c r="AZ1245" s="116"/>
      <c r="BA1245" s="116"/>
      <c r="BB1245" s="116"/>
      <c r="BE1245" s="62"/>
      <c r="BF1245" s="63"/>
    </row>
    <row r="1246" spans="1:58" ht="12.75" customHeight="1" x14ac:dyDescent="0.25">
      <c r="A1246" s="313"/>
      <c r="B1246" s="328"/>
      <c r="C1246" s="329"/>
      <c r="D1246" s="328"/>
      <c r="E1246" s="330"/>
      <c r="F1246" s="328"/>
      <c r="G1246" s="329"/>
      <c r="H1246" s="329"/>
      <c r="I1246" s="328"/>
      <c r="J1246" s="383"/>
      <c r="K1246" s="329"/>
      <c r="L1246" s="329"/>
      <c r="M1246" s="76"/>
      <c r="N1246" s="103" t="str">
        <f>IF(A1246="","",VLOOKUP(A1246,Stand!C:K,9,0))</f>
        <v/>
      </c>
      <c r="O1246" s="104" t="str">
        <f t="shared" si="551"/>
        <v/>
      </c>
      <c r="P1246" s="105" t="str">
        <f t="shared" si="552"/>
        <v/>
      </c>
      <c r="Q1246" s="105" t="str">
        <f t="shared" si="567"/>
        <v/>
      </c>
      <c r="R1246" s="103" t="str">
        <f t="shared" si="553"/>
        <v/>
      </c>
      <c r="S1246" s="103" t="str">
        <f t="shared" si="554"/>
        <v/>
      </c>
      <c r="T1246" s="106" t="str">
        <f t="shared" si="568"/>
        <v/>
      </c>
      <c r="U1246" s="106" t="str">
        <f t="shared" si="569"/>
        <v/>
      </c>
      <c r="V1246" s="106" t="str">
        <f t="shared" si="570"/>
        <v/>
      </c>
      <c r="W1246" s="105" t="str">
        <f t="shared" si="555"/>
        <v/>
      </c>
      <c r="X1246" s="104" t="str">
        <f t="shared" si="560"/>
        <v/>
      </c>
      <c r="Y1246" s="104" t="str">
        <f t="array" ref="Y1246">IFERROR(IF(ISNUMBER(O1246),IF(COUNT(IF(A1246=$A$2:$A$2427,IF(D1246=$D$2:$D$2427,IF($X$2:$X$2427&gt;0,1))))&gt;0,SUM(IF(A1246=$A$2:$A$2427,IF(D1246=$D$2:$D$2427,$X$2:$X$2427)))/COUNT(IF(A1246=$A$2:$A$2427,IF(D1246=$D$2:$D$2427,IF(ISNUMBER($X$2:$X$2427),1)))),0),""),0)</f>
        <v/>
      </c>
      <c r="Z1246" s="104" t="str">
        <f>IF(ISNUMBER(O1246),IF(I1246&gt;0,(10^(VLOOKUP(D1246,'Species Codes'!B:C,2,0)+VLOOKUP(D1246,'Species Codes'!B:D,3,0)*LOG(E1246)+VLOOKUP(D1246,'Species Codes'!B:E,4,0)*LOG(I1246))),0),"")</f>
        <v/>
      </c>
      <c r="AA1246" s="104" t="str">
        <f>IFERROR((VLOOKUP(D1246,'Species Codes'!B:G,6,0)*Z1246)/2000,"")</f>
        <v/>
      </c>
      <c r="AB1246" s="104" t="e">
        <f>IF(Z1246&gt;0,((IF(OR(D1246="DF",D1246="RA")=TRUE,EXP(VLOOKUP(D1246,'Species Codes'!B:I,8,0)+VLOOKUP(D1246,'Species Codes'!B:J,9,0)*(LN((E1246*2.54)))),IF(OR(D1246="PY",D1246="RC",D1246="WH",D1246="NF")=TRUE,VLOOKUP(D1246,'Species Codes'!B:I,8,0)+VLOOKUP(D1246,'Species Codes'!B:J,9,0)*((E1246*2.54)^2)*(I1246*0.3048),IF(OR(D1246="MD",D1246="BM",D1246="GA")=TRUE,((VLOOKUP(D1246,'Species Codes'!B:I,8,0)*(((((E1246*2.54)+VLOOKUP(D1246,'Species Codes'!B:J,9,0))/VLOOKUP(D1246,'Species Codes'!B:K,10,0))^VLOOKUP(D1246,'Species Codes'!B:L,11,0))*((I1246*0.3048)^VLOOKUP(D1246,'Species Codes'!B:M,12,0))))-(VLOOKUP(D1246,'Species Codes'!B:I,8,0)*((((E1246*2.54)^VLOOKUP(D1246,'Species Codes'!B:L,11,0))*((I1246*0.3048)^VLOOKUP(D1246,'Species Codes'!B:M,12,0))))))*35.3*VLOOKUP(D1246,'Species Codes'!B:G,6,0)/2.2046,VLOOKUP(D1246,'Species Codes'!B:I,8,0)+VLOOKUP(D1246,'Species Codes'!B:J,9,0)*(((E1246*2.54)/100)^2)*(I1246*0.3048)))))*0.0011023),0)</f>
        <v>#N/A</v>
      </c>
      <c r="AC1246" s="104" t="e">
        <f>IF(Z1246&gt;0,((IF(OR(D1246="RA",D1246="OA",D1246="OT",D1246="UN",D1246="PC"),EXP(VLOOKUP(D1246,'Species Codes'!B:O,14,0)+VLOOKUP(D1246,'Species Codes'!B:P,15,0)*LN((E1246*2.54)))-EXP(VLOOKUP(D1246,'Species Codes'!B:O,14,0)+VLOOKUP(D1246,'Species Codes'!B:P,15,0)*LN((E1246*2.54)))*(1/(VLOOKUP(D1246,'Species Codes'!B:Q,16,0)+VLOOKUP(D1246,'Species Codes'!B:R,17,0)*((E1246*2.54)^VLOOKUP(D1246,'Species Codes'!B:S,18,0)))),IF(OR(D1246="BM",D1246="MD",D1246="OA"),EXP(VLOOKUP(D1246,'Species Codes'!B:O,14,0)+VLOOKUP(D1246,'Species Codes'!B:P,15,0)*LN((E1246*2.54)))*(1-(1/(VLOOKUP(D1246,'Species Codes'!B:Q,16,0)+VLOOKUP(D1246,'Species Codes'!B:R,17,0)*((E1246*2.54)^VLOOKUP(D1246,'Species Codes'!B:S,18,0)))))/1000,IF(D1246="DF",EXP(VLOOKUP(D1246,'Species Codes'!B:O,14,0)+VLOOKUP(D1246,'Species Codes'!B:P,15,0)*LN((E1246*2.54))),VLOOKUP(D1246,'Species Codes'!B:O,14,0)+VLOOKUP(D1246,'Species Codes'!B:P,15,0)*(((E1246*2.54)/100)^2)*(I1246*0.3048)))))*0.0011023),0)</f>
        <v>#N/A</v>
      </c>
      <c r="AD1246" s="104" t="e">
        <f t="shared" si="571"/>
        <v>#N/A</v>
      </c>
      <c r="AE1246" s="104" t="e">
        <f t="shared" si="572"/>
        <v>#N/A</v>
      </c>
      <c r="AF1246" s="104" t="e">
        <f>IF(AND(VLOOKUP($D1246,Merchantability!$B:$C,2,0)="Yes",$E1246&gt;=VLOOKUP($D1246,Merchantability!$B:$D,3,0),$E1246&lt;=VLOOKUP($D1246,Merchantability!$B:$E,4,0)),AA1246,0)</f>
        <v>#N/A</v>
      </c>
      <c r="AG1246" s="104" t="e">
        <f>IF(AND(VLOOKUP($D1246,Merchantability!$B:$C,2,0)="Yes",$E1246&gt;=VLOOKUP($D1246,Merchantability!$B:$D,3,0),$E1246&lt;=VLOOKUP($D1246,Merchantability!$B:$E,4,0)),AB1246,0)</f>
        <v>#N/A</v>
      </c>
      <c r="AH1246" s="104" t="e">
        <f>IF(AND(VLOOKUP($D1246,Merchantability!$B:$C,2,0)="Yes",$E1246&gt;=VLOOKUP($D1246,Merchantability!$B:$D,3,0),$E1246&lt;=VLOOKUP($D1246,Merchantability!$B:$E,4,0)),AC1246,0)</f>
        <v>#N/A</v>
      </c>
      <c r="AI1246" s="104" t="e">
        <f t="shared" si="573"/>
        <v>#N/A</v>
      </c>
      <c r="AJ1246" s="104" t="e">
        <f t="shared" si="574"/>
        <v>#VALUE!</v>
      </c>
      <c r="AK1246" s="104" t="e">
        <f t="shared" si="575"/>
        <v>#N/A</v>
      </c>
      <c r="AL1246" s="104" t="e">
        <f t="shared" si="576"/>
        <v>#N/A</v>
      </c>
      <c r="AM1246" s="104" t="e">
        <f t="shared" si="577"/>
        <v>#N/A</v>
      </c>
      <c r="AN1246" s="104" t="e">
        <f t="shared" si="561"/>
        <v>#N/A</v>
      </c>
      <c r="AO1246" s="104" t="e">
        <f t="shared" si="562"/>
        <v>#N/A</v>
      </c>
      <c r="AP1246" s="104" t="e">
        <f t="shared" si="563"/>
        <v>#N/A</v>
      </c>
      <c r="AQ1246" s="104" t="e">
        <f t="shared" si="564"/>
        <v>#N/A</v>
      </c>
      <c r="AR1246" s="105" t="str">
        <f t="shared" si="556"/>
        <v/>
      </c>
      <c r="AS1246" s="105" t="str">
        <f t="shared" si="557"/>
        <v/>
      </c>
      <c r="AT1246" s="108" t="str">
        <f t="shared" si="558"/>
        <v/>
      </c>
      <c r="AU1246" s="108" t="str">
        <f t="shared" si="559"/>
        <v/>
      </c>
      <c r="AV1246" s="107" t="str">
        <f>IF(ISNUMBER(O1246),IF(VLOOKUP($A1246,Stand!C:J,8,FALSE)="Short",AT1246,AU1246),"")</f>
        <v/>
      </c>
      <c r="AW1246" s="109" t="str">
        <f t="shared" si="565"/>
        <v/>
      </c>
      <c r="AX1246" s="109" t="str">
        <f t="shared" si="566"/>
        <v/>
      </c>
      <c r="AY1246" s="112" t="str">
        <f>IF(ISNUMBER(O1246),IF(AND(VLOOKUP($D1246,Merchantability!$B:$C,2,0)="Yes",$E1246&gt;=VLOOKUP($D1246,Merchantability!$B:$D,3,0),$E1246&lt;=VLOOKUP($D1246,Merchantability!$B:$E,4,0)),(AV1246*O1246)*(1-$H1246/100),""),"")</f>
        <v/>
      </c>
      <c r="AZ1246" s="116"/>
      <c r="BA1246" s="116"/>
      <c r="BB1246" s="116"/>
      <c r="BE1246" s="62"/>
      <c r="BF1246" s="63"/>
    </row>
    <row r="1247" spans="1:58" ht="12.75" customHeight="1" x14ac:dyDescent="0.25">
      <c r="A1247" s="313"/>
      <c r="B1247" s="328"/>
      <c r="C1247" s="329"/>
      <c r="D1247" s="328"/>
      <c r="E1247" s="330"/>
      <c r="F1247" s="328"/>
      <c r="G1247" s="329"/>
      <c r="H1247" s="329"/>
      <c r="I1247" s="328"/>
      <c r="J1247" s="383"/>
      <c r="K1247" s="329"/>
      <c r="L1247" s="329"/>
      <c r="M1247" s="76"/>
      <c r="N1247" s="103" t="str">
        <f>IF(A1247="","",VLOOKUP(A1247,Stand!C:K,9,0))</f>
        <v/>
      </c>
      <c r="O1247" s="104" t="str">
        <f t="shared" si="551"/>
        <v/>
      </c>
      <c r="P1247" s="105" t="str">
        <f t="shared" si="552"/>
        <v/>
      </c>
      <c r="Q1247" s="105" t="str">
        <f t="shared" si="567"/>
        <v/>
      </c>
      <c r="R1247" s="103" t="str">
        <f t="shared" si="553"/>
        <v/>
      </c>
      <c r="S1247" s="103" t="str">
        <f t="shared" si="554"/>
        <v/>
      </c>
      <c r="T1247" s="106" t="str">
        <f t="shared" si="568"/>
        <v/>
      </c>
      <c r="U1247" s="106" t="str">
        <f t="shared" si="569"/>
        <v/>
      </c>
      <c r="V1247" s="106" t="str">
        <f t="shared" si="570"/>
        <v/>
      </c>
      <c r="W1247" s="105" t="str">
        <f t="shared" si="555"/>
        <v/>
      </c>
      <c r="X1247" s="104" t="str">
        <f t="shared" si="560"/>
        <v/>
      </c>
      <c r="Y1247" s="104" t="str">
        <f t="array" ref="Y1247">IFERROR(IF(ISNUMBER(O1247),IF(COUNT(IF(A1247=$A$2:$A$2427,IF(D1247=$D$2:$D$2427,IF($X$2:$X$2427&gt;0,1))))&gt;0,SUM(IF(A1247=$A$2:$A$2427,IF(D1247=$D$2:$D$2427,$X$2:$X$2427)))/COUNT(IF(A1247=$A$2:$A$2427,IF(D1247=$D$2:$D$2427,IF(ISNUMBER($X$2:$X$2427),1)))),0),""),0)</f>
        <v/>
      </c>
      <c r="Z1247" s="104" t="str">
        <f>IF(ISNUMBER(O1247),IF(I1247&gt;0,(10^(VLOOKUP(D1247,'Species Codes'!B:C,2,0)+VLOOKUP(D1247,'Species Codes'!B:D,3,0)*LOG(E1247)+VLOOKUP(D1247,'Species Codes'!B:E,4,0)*LOG(I1247))),0),"")</f>
        <v/>
      </c>
      <c r="AA1247" s="104" t="str">
        <f>IFERROR((VLOOKUP(D1247,'Species Codes'!B:G,6,0)*Z1247)/2000,"")</f>
        <v/>
      </c>
      <c r="AB1247" s="104" t="e">
        <f>IF(Z1247&gt;0,((IF(OR(D1247="DF",D1247="RA")=TRUE,EXP(VLOOKUP(D1247,'Species Codes'!B:I,8,0)+VLOOKUP(D1247,'Species Codes'!B:J,9,0)*(LN((E1247*2.54)))),IF(OR(D1247="PY",D1247="RC",D1247="WH",D1247="NF")=TRUE,VLOOKUP(D1247,'Species Codes'!B:I,8,0)+VLOOKUP(D1247,'Species Codes'!B:J,9,0)*((E1247*2.54)^2)*(I1247*0.3048),IF(OR(D1247="MD",D1247="BM",D1247="GA")=TRUE,((VLOOKUP(D1247,'Species Codes'!B:I,8,0)*(((((E1247*2.54)+VLOOKUP(D1247,'Species Codes'!B:J,9,0))/VLOOKUP(D1247,'Species Codes'!B:K,10,0))^VLOOKUP(D1247,'Species Codes'!B:L,11,0))*((I1247*0.3048)^VLOOKUP(D1247,'Species Codes'!B:M,12,0))))-(VLOOKUP(D1247,'Species Codes'!B:I,8,0)*((((E1247*2.54)^VLOOKUP(D1247,'Species Codes'!B:L,11,0))*((I1247*0.3048)^VLOOKUP(D1247,'Species Codes'!B:M,12,0))))))*35.3*VLOOKUP(D1247,'Species Codes'!B:G,6,0)/2.2046,VLOOKUP(D1247,'Species Codes'!B:I,8,0)+VLOOKUP(D1247,'Species Codes'!B:J,9,0)*(((E1247*2.54)/100)^2)*(I1247*0.3048)))))*0.0011023),0)</f>
        <v>#N/A</v>
      </c>
      <c r="AC1247" s="104" t="e">
        <f>IF(Z1247&gt;0,((IF(OR(D1247="RA",D1247="OA",D1247="OT",D1247="UN",D1247="PC"),EXP(VLOOKUP(D1247,'Species Codes'!B:O,14,0)+VLOOKUP(D1247,'Species Codes'!B:P,15,0)*LN((E1247*2.54)))-EXP(VLOOKUP(D1247,'Species Codes'!B:O,14,0)+VLOOKUP(D1247,'Species Codes'!B:P,15,0)*LN((E1247*2.54)))*(1/(VLOOKUP(D1247,'Species Codes'!B:Q,16,0)+VLOOKUP(D1247,'Species Codes'!B:R,17,0)*((E1247*2.54)^VLOOKUP(D1247,'Species Codes'!B:S,18,0)))),IF(OR(D1247="BM",D1247="MD",D1247="OA"),EXP(VLOOKUP(D1247,'Species Codes'!B:O,14,0)+VLOOKUP(D1247,'Species Codes'!B:P,15,0)*LN((E1247*2.54)))*(1-(1/(VLOOKUP(D1247,'Species Codes'!B:Q,16,0)+VLOOKUP(D1247,'Species Codes'!B:R,17,0)*((E1247*2.54)^VLOOKUP(D1247,'Species Codes'!B:S,18,0)))))/1000,IF(D1247="DF",EXP(VLOOKUP(D1247,'Species Codes'!B:O,14,0)+VLOOKUP(D1247,'Species Codes'!B:P,15,0)*LN((E1247*2.54))),VLOOKUP(D1247,'Species Codes'!B:O,14,0)+VLOOKUP(D1247,'Species Codes'!B:P,15,0)*(((E1247*2.54)/100)^2)*(I1247*0.3048)))))*0.0011023),0)</f>
        <v>#N/A</v>
      </c>
      <c r="AD1247" s="104" t="e">
        <f t="shared" si="571"/>
        <v>#N/A</v>
      </c>
      <c r="AE1247" s="104" t="e">
        <f t="shared" si="572"/>
        <v>#N/A</v>
      </c>
      <c r="AF1247" s="104" t="e">
        <f>IF(AND(VLOOKUP($D1247,Merchantability!$B:$C,2,0)="Yes",$E1247&gt;=VLOOKUP($D1247,Merchantability!$B:$D,3,0),$E1247&lt;=VLOOKUP($D1247,Merchantability!$B:$E,4,0)),AA1247,0)</f>
        <v>#N/A</v>
      </c>
      <c r="AG1247" s="104" t="e">
        <f>IF(AND(VLOOKUP($D1247,Merchantability!$B:$C,2,0)="Yes",$E1247&gt;=VLOOKUP($D1247,Merchantability!$B:$D,3,0),$E1247&lt;=VLOOKUP($D1247,Merchantability!$B:$E,4,0)),AB1247,0)</f>
        <v>#N/A</v>
      </c>
      <c r="AH1247" s="104" t="e">
        <f>IF(AND(VLOOKUP($D1247,Merchantability!$B:$C,2,0)="Yes",$E1247&gt;=VLOOKUP($D1247,Merchantability!$B:$D,3,0),$E1247&lt;=VLOOKUP($D1247,Merchantability!$B:$E,4,0)),AC1247,0)</f>
        <v>#N/A</v>
      </c>
      <c r="AI1247" s="104" t="e">
        <f t="shared" si="573"/>
        <v>#N/A</v>
      </c>
      <c r="AJ1247" s="104" t="e">
        <f t="shared" si="574"/>
        <v>#VALUE!</v>
      </c>
      <c r="AK1247" s="104" t="e">
        <f t="shared" si="575"/>
        <v>#N/A</v>
      </c>
      <c r="AL1247" s="104" t="e">
        <f t="shared" si="576"/>
        <v>#N/A</v>
      </c>
      <c r="AM1247" s="104" t="e">
        <f t="shared" si="577"/>
        <v>#N/A</v>
      </c>
      <c r="AN1247" s="104" t="e">
        <f t="shared" si="561"/>
        <v>#N/A</v>
      </c>
      <c r="AO1247" s="104" t="e">
        <f t="shared" si="562"/>
        <v>#N/A</v>
      </c>
      <c r="AP1247" s="104" t="e">
        <f t="shared" si="563"/>
        <v>#N/A</v>
      </c>
      <c r="AQ1247" s="104" t="e">
        <f t="shared" si="564"/>
        <v>#N/A</v>
      </c>
      <c r="AR1247" s="105" t="str">
        <f t="shared" si="556"/>
        <v/>
      </c>
      <c r="AS1247" s="105" t="str">
        <f t="shared" si="557"/>
        <v/>
      </c>
      <c r="AT1247" s="108" t="str">
        <f t="shared" si="558"/>
        <v/>
      </c>
      <c r="AU1247" s="108" t="str">
        <f t="shared" si="559"/>
        <v/>
      </c>
      <c r="AV1247" s="107" t="str">
        <f>IF(ISNUMBER(O1247),IF(VLOOKUP($A1247,Stand!C:J,8,FALSE)="Short",AT1247,AU1247),"")</f>
        <v/>
      </c>
      <c r="AW1247" s="109" t="str">
        <f t="shared" si="565"/>
        <v/>
      </c>
      <c r="AX1247" s="109" t="str">
        <f t="shared" si="566"/>
        <v/>
      </c>
      <c r="AY1247" s="112" t="str">
        <f>IF(ISNUMBER(O1247),IF(AND(VLOOKUP($D1247,Merchantability!$B:$C,2,0)="Yes",$E1247&gt;=VLOOKUP($D1247,Merchantability!$B:$D,3,0),$E1247&lt;=VLOOKUP($D1247,Merchantability!$B:$E,4,0)),(AV1247*O1247)*(1-$H1247/100),""),"")</f>
        <v/>
      </c>
      <c r="AZ1247" s="116"/>
      <c r="BA1247" s="116"/>
      <c r="BB1247" s="116"/>
      <c r="BE1247" s="62"/>
      <c r="BF1247" s="63"/>
    </row>
    <row r="1248" spans="1:58" ht="12.75" customHeight="1" x14ac:dyDescent="0.25">
      <c r="A1248" s="313"/>
      <c r="B1248" s="328"/>
      <c r="C1248" s="329"/>
      <c r="D1248" s="328"/>
      <c r="E1248" s="330"/>
      <c r="F1248" s="328"/>
      <c r="G1248" s="329"/>
      <c r="H1248" s="329"/>
      <c r="I1248" s="328"/>
      <c r="J1248" s="383"/>
      <c r="K1248" s="329"/>
      <c r="L1248" s="329"/>
      <c r="M1248" s="76"/>
      <c r="N1248" s="103" t="str">
        <f>IF(A1248="","",VLOOKUP(A1248,Stand!C:K,9,0))</f>
        <v/>
      </c>
      <c r="O1248" s="104" t="str">
        <f t="shared" si="551"/>
        <v/>
      </c>
      <c r="P1248" s="105" t="str">
        <f t="shared" si="552"/>
        <v/>
      </c>
      <c r="Q1248" s="105" t="str">
        <f t="shared" si="567"/>
        <v/>
      </c>
      <c r="R1248" s="103" t="str">
        <f t="shared" si="553"/>
        <v/>
      </c>
      <c r="S1248" s="103" t="str">
        <f t="shared" si="554"/>
        <v/>
      </c>
      <c r="T1248" s="106" t="str">
        <f t="shared" si="568"/>
        <v/>
      </c>
      <c r="U1248" s="106" t="str">
        <f t="shared" si="569"/>
        <v/>
      </c>
      <c r="V1248" s="106" t="str">
        <f t="shared" si="570"/>
        <v/>
      </c>
      <c r="W1248" s="105" t="str">
        <f t="shared" si="555"/>
        <v/>
      </c>
      <c r="X1248" s="104" t="str">
        <f t="shared" si="560"/>
        <v/>
      </c>
      <c r="Y1248" s="104" t="str">
        <f t="array" ref="Y1248">IFERROR(IF(ISNUMBER(O1248),IF(COUNT(IF(A1248=$A$2:$A$2427,IF(D1248=$D$2:$D$2427,IF($X$2:$X$2427&gt;0,1))))&gt;0,SUM(IF(A1248=$A$2:$A$2427,IF(D1248=$D$2:$D$2427,$X$2:$X$2427)))/COUNT(IF(A1248=$A$2:$A$2427,IF(D1248=$D$2:$D$2427,IF(ISNUMBER($X$2:$X$2427),1)))),0),""),0)</f>
        <v/>
      </c>
      <c r="Z1248" s="104" t="str">
        <f>IF(ISNUMBER(O1248),IF(I1248&gt;0,(10^(VLOOKUP(D1248,'Species Codes'!B:C,2,0)+VLOOKUP(D1248,'Species Codes'!B:D,3,0)*LOG(E1248)+VLOOKUP(D1248,'Species Codes'!B:E,4,0)*LOG(I1248))),0),"")</f>
        <v/>
      </c>
      <c r="AA1248" s="104" t="str">
        <f>IFERROR((VLOOKUP(D1248,'Species Codes'!B:G,6,0)*Z1248)/2000,"")</f>
        <v/>
      </c>
      <c r="AB1248" s="104" t="e">
        <f>IF(Z1248&gt;0,((IF(OR(D1248="DF",D1248="RA")=TRUE,EXP(VLOOKUP(D1248,'Species Codes'!B:I,8,0)+VLOOKUP(D1248,'Species Codes'!B:J,9,0)*(LN((E1248*2.54)))),IF(OR(D1248="PY",D1248="RC",D1248="WH",D1248="NF")=TRUE,VLOOKUP(D1248,'Species Codes'!B:I,8,0)+VLOOKUP(D1248,'Species Codes'!B:J,9,0)*((E1248*2.54)^2)*(I1248*0.3048),IF(OR(D1248="MD",D1248="BM",D1248="GA")=TRUE,((VLOOKUP(D1248,'Species Codes'!B:I,8,0)*(((((E1248*2.54)+VLOOKUP(D1248,'Species Codes'!B:J,9,0))/VLOOKUP(D1248,'Species Codes'!B:K,10,0))^VLOOKUP(D1248,'Species Codes'!B:L,11,0))*((I1248*0.3048)^VLOOKUP(D1248,'Species Codes'!B:M,12,0))))-(VLOOKUP(D1248,'Species Codes'!B:I,8,0)*((((E1248*2.54)^VLOOKUP(D1248,'Species Codes'!B:L,11,0))*((I1248*0.3048)^VLOOKUP(D1248,'Species Codes'!B:M,12,0))))))*35.3*VLOOKUP(D1248,'Species Codes'!B:G,6,0)/2.2046,VLOOKUP(D1248,'Species Codes'!B:I,8,0)+VLOOKUP(D1248,'Species Codes'!B:J,9,0)*(((E1248*2.54)/100)^2)*(I1248*0.3048)))))*0.0011023),0)</f>
        <v>#N/A</v>
      </c>
      <c r="AC1248" s="104" t="e">
        <f>IF(Z1248&gt;0,((IF(OR(D1248="RA",D1248="OA",D1248="OT",D1248="UN",D1248="PC"),EXP(VLOOKUP(D1248,'Species Codes'!B:O,14,0)+VLOOKUP(D1248,'Species Codes'!B:P,15,0)*LN((E1248*2.54)))-EXP(VLOOKUP(D1248,'Species Codes'!B:O,14,0)+VLOOKUP(D1248,'Species Codes'!B:P,15,0)*LN((E1248*2.54)))*(1/(VLOOKUP(D1248,'Species Codes'!B:Q,16,0)+VLOOKUP(D1248,'Species Codes'!B:R,17,0)*((E1248*2.54)^VLOOKUP(D1248,'Species Codes'!B:S,18,0)))),IF(OR(D1248="BM",D1248="MD",D1248="OA"),EXP(VLOOKUP(D1248,'Species Codes'!B:O,14,0)+VLOOKUP(D1248,'Species Codes'!B:P,15,0)*LN((E1248*2.54)))*(1-(1/(VLOOKUP(D1248,'Species Codes'!B:Q,16,0)+VLOOKUP(D1248,'Species Codes'!B:R,17,0)*((E1248*2.54)^VLOOKUP(D1248,'Species Codes'!B:S,18,0)))))/1000,IF(D1248="DF",EXP(VLOOKUP(D1248,'Species Codes'!B:O,14,0)+VLOOKUP(D1248,'Species Codes'!B:P,15,0)*LN((E1248*2.54))),VLOOKUP(D1248,'Species Codes'!B:O,14,0)+VLOOKUP(D1248,'Species Codes'!B:P,15,0)*(((E1248*2.54)/100)^2)*(I1248*0.3048)))))*0.0011023),0)</f>
        <v>#N/A</v>
      </c>
      <c r="AD1248" s="104" t="e">
        <f t="shared" si="571"/>
        <v>#N/A</v>
      </c>
      <c r="AE1248" s="104" t="e">
        <f t="shared" si="572"/>
        <v>#N/A</v>
      </c>
      <c r="AF1248" s="104" t="e">
        <f>IF(AND(VLOOKUP($D1248,Merchantability!$B:$C,2,0)="Yes",$E1248&gt;=VLOOKUP($D1248,Merchantability!$B:$D,3,0),$E1248&lt;=VLOOKUP($D1248,Merchantability!$B:$E,4,0)),AA1248,0)</f>
        <v>#N/A</v>
      </c>
      <c r="AG1248" s="104" t="e">
        <f>IF(AND(VLOOKUP($D1248,Merchantability!$B:$C,2,0)="Yes",$E1248&gt;=VLOOKUP($D1248,Merchantability!$B:$D,3,0),$E1248&lt;=VLOOKUP($D1248,Merchantability!$B:$E,4,0)),AB1248,0)</f>
        <v>#N/A</v>
      </c>
      <c r="AH1248" s="104" t="e">
        <f>IF(AND(VLOOKUP($D1248,Merchantability!$B:$C,2,0)="Yes",$E1248&gt;=VLOOKUP($D1248,Merchantability!$B:$D,3,0),$E1248&lt;=VLOOKUP($D1248,Merchantability!$B:$E,4,0)),AC1248,0)</f>
        <v>#N/A</v>
      </c>
      <c r="AI1248" s="104" t="e">
        <f t="shared" si="573"/>
        <v>#N/A</v>
      </c>
      <c r="AJ1248" s="104" t="e">
        <f t="shared" si="574"/>
        <v>#VALUE!</v>
      </c>
      <c r="AK1248" s="104" t="e">
        <f t="shared" si="575"/>
        <v>#N/A</v>
      </c>
      <c r="AL1248" s="104" t="e">
        <f t="shared" si="576"/>
        <v>#N/A</v>
      </c>
      <c r="AM1248" s="104" t="e">
        <f t="shared" si="577"/>
        <v>#N/A</v>
      </c>
      <c r="AN1248" s="104" t="e">
        <f t="shared" si="561"/>
        <v>#N/A</v>
      </c>
      <c r="AO1248" s="104" t="e">
        <f t="shared" si="562"/>
        <v>#N/A</v>
      </c>
      <c r="AP1248" s="104" t="e">
        <f t="shared" si="563"/>
        <v>#N/A</v>
      </c>
      <c r="AQ1248" s="104" t="e">
        <f t="shared" si="564"/>
        <v>#N/A</v>
      </c>
      <c r="AR1248" s="105" t="str">
        <f t="shared" si="556"/>
        <v/>
      </c>
      <c r="AS1248" s="105" t="str">
        <f t="shared" si="557"/>
        <v/>
      </c>
      <c r="AT1248" s="108" t="str">
        <f t="shared" si="558"/>
        <v/>
      </c>
      <c r="AU1248" s="108" t="str">
        <f t="shared" si="559"/>
        <v/>
      </c>
      <c r="AV1248" s="107" t="str">
        <f>IF(ISNUMBER(O1248),IF(VLOOKUP($A1248,Stand!C:J,8,FALSE)="Short",AT1248,AU1248),"")</f>
        <v/>
      </c>
      <c r="AW1248" s="109" t="str">
        <f t="shared" si="565"/>
        <v/>
      </c>
      <c r="AX1248" s="109" t="str">
        <f t="shared" si="566"/>
        <v/>
      </c>
      <c r="AY1248" s="112" t="str">
        <f>IF(ISNUMBER(O1248),IF(AND(VLOOKUP($D1248,Merchantability!$B:$C,2,0)="Yes",$E1248&gt;=VLOOKUP($D1248,Merchantability!$B:$D,3,0),$E1248&lt;=VLOOKUP($D1248,Merchantability!$B:$E,4,0)),(AV1248*O1248)*(1-$H1248/100),""),"")</f>
        <v/>
      </c>
      <c r="AZ1248" s="116"/>
      <c r="BA1248" s="116"/>
      <c r="BB1248" s="116"/>
      <c r="BE1248" s="62"/>
      <c r="BF1248" s="63"/>
    </row>
    <row r="1249" spans="1:58" ht="12.75" customHeight="1" x14ac:dyDescent="0.25">
      <c r="A1249" s="313"/>
      <c r="B1249" s="328"/>
      <c r="C1249" s="329"/>
      <c r="D1249" s="328"/>
      <c r="E1249" s="330"/>
      <c r="F1249" s="328"/>
      <c r="G1249" s="329"/>
      <c r="H1249" s="329"/>
      <c r="I1249" s="328"/>
      <c r="J1249" s="383"/>
      <c r="K1249" s="329"/>
      <c r="L1249" s="329"/>
      <c r="M1249" s="76"/>
      <c r="N1249" s="103" t="str">
        <f>IF(A1249="","",VLOOKUP(A1249,Stand!C:K,9,0))</f>
        <v/>
      </c>
      <c r="O1249" s="104" t="str">
        <f t="shared" si="551"/>
        <v/>
      </c>
      <c r="P1249" s="105" t="str">
        <f t="shared" si="552"/>
        <v/>
      </c>
      <c r="Q1249" s="105" t="str">
        <f t="shared" si="567"/>
        <v/>
      </c>
      <c r="R1249" s="103" t="str">
        <f t="shared" si="553"/>
        <v/>
      </c>
      <c r="S1249" s="103" t="str">
        <f t="shared" si="554"/>
        <v/>
      </c>
      <c r="T1249" s="106" t="str">
        <f t="shared" si="568"/>
        <v/>
      </c>
      <c r="U1249" s="106" t="str">
        <f t="shared" si="569"/>
        <v/>
      </c>
      <c r="V1249" s="106" t="str">
        <f t="shared" si="570"/>
        <v/>
      </c>
      <c r="W1249" s="105" t="str">
        <f t="shared" si="555"/>
        <v/>
      </c>
      <c r="X1249" s="104" t="str">
        <f t="shared" si="560"/>
        <v/>
      </c>
      <c r="Y1249" s="104" t="str">
        <f t="array" ref="Y1249">IFERROR(IF(ISNUMBER(O1249),IF(COUNT(IF(A1249=$A$2:$A$2427,IF(D1249=$D$2:$D$2427,IF($X$2:$X$2427&gt;0,1))))&gt;0,SUM(IF(A1249=$A$2:$A$2427,IF(D1249=$D$2:$D$2427,$X$2:$X$2427)))/COUNT(IF(A1249=$A$2:$A$2427,IF(D1249=$D$2:$D$2427,IF(ISNUMBER($X$2:$X$2427),1)))),0),""),0)</f>
        <v/>
      </c>
      <c r="Z1249" s="104" t="str">
        <f>IF(ISNUMBER(O1249),IF(I1249&gt;0,(10^(VLOOKUP(D1249,'Species Codes'!B:C,2,0)+VLOOKUP(D1249,'Species Codes'!B:D,3,0)*LOG(E1249)+VLOOKUP(D1249,'Species Codes'!B:E,4,0)*LOG(I1249))),0),"")</f>
        <v/>
      </c>
      <c r="AA1249" s="104" t="str">
        <f>IFERROR((VLOOKUP(D1249,'Species Codes'!B:G,6,0)*Z1249)/2000,"")</f>
        <v/>
      </c>
      <c r="AB1249" s="104" t="e">
        <f>IF(Z1249&gt;0,((IF(OR(D1249="DF",D1249="RA")=TRUE,EXP(VLOOKUP(D1249,'Species Codes'!B:I,8,0)+VLOOKUP(D1249,'Species Codes'!B:J,9,0)*(LN((E1249*2.54)))),IF(OR(D1249="PY",D1249="RC",D1249="WH",D1249="NF")=TRUE,VLOOKUP(D1249,'Species Codes'!B:I,8,0)+VLOOKUP(D1249,'Species Codes'!B:J,9,0)*((E1249*2.54)^2)*(I1249*0.3048),IF(OR(D1249="MD",D1249="BM",D1249="GA")=TRUE,((VLOOKUP(D1249,'Species Codes'!B:I,8,0)*(((((E1249*2.54)+VLOOKUP(D1249,'Species Codes'!B:J,9,0))/VLOOKUP(D1249,'Species Codes'!B:K,10,0))^VLOOKUP(D1249,'Species Codes'!B:L,11,0))*((I1249*0.3048)^VLOOKUP(D1249,'Species Codes'!B:M,12,0))))-(VLOOKUP(D1249,'Species Codes'!B:I,8,0)*((((E1249*2.54)^VLOOKUP(D1249,'Species Codes'!B:L,11,0))*((I1249*0.3048)^VLOOKUP(D1249,'Species Codes'!B:M,12,0))))))*35.3*VLOOKUP(D1249,'Species Codes'!B:G,6,0)/2.2046,VLOOKUP(D1249,'Species Codes'!B:I,8,0)+VLOOKUP(D1249,'Species Codes'!B:J,9,0)*(((E1249*2.54)/100)^2)*(I1249*0.3048)))))*0.0011023),0)</f>
        <v>#N/A</v>
      </c>
      <c r="AC1249" s="104" t="e">
        <f>IF(Z1249&gt;0,((IF(OR(D1249="RA",D1249="OA",D1249="OT",D1249="UN",D1249="PC"),EXP(VLOOKUP(D1249,'Species Codes'!B:O,14,0)+VLOOKUP(D1249,'Species Codes'!B:P,15,0)*LN((E1249*2.54)))-EXP(VLOOKUP(D1249,'Species Codes'!B:O,14,0)+VLOOKUP(D1249,'Species Codes'!B:P,15,0)*LN((E1249*2.54)))*(1/(VLOOKUP(D1249,'Species Codes'!B:Q,16,0)+VLOOKUP(D1249,'Species Codes'!B:R,17,0)*((E1249*2.54)^VLOOKUP(D1249,'Species Codes'!B:S,18,0)))),IF(OR(D1249="BM",D1249="MD",D1249="OA"),EXP(VLOOKUP(D1249,'Species Codes'!B:O,14,0)+VLOOKUP(D1249,'Species Codes'!B:P,15,0)*LN((E1249*2.54)))*(1-(1/(VLOOKUP(D1249,'Species Codes'!B:Q,16,0)+VLOOKUP(D1249,'Species Codes'!B:R,17,0)*((E1249*2.54)^VLOOKUP(D1249,'Species Codes'!B:S,18,0)))))/1000,IF(D1249="DF",EXP(VLOOKUP(D1249,'Species Codes'!B:O,14,0)+VLOOKUP(D1249,'Species Codes'!B:P,15,0)*LN((E1249*2.54))),VLOOKUP(D1249,'Species Codes'!B:O,14,0)+VLOOKUP(D1249,'Species Codes'!B:P,15,0)*(((E1249*2.54)/100)^2)*(I1249*0.3048)))))*0.0011023),0)</f>
        <v>#N/A</v>
      </c>
      <c r="AD1249" s="104" t="e">
        <f t="shared" si="571"/>
        <v>#N/A</v>
      </c>
      <c r="AE1249" s="104" t="e">
        <f t="shared" si="572"/>
        <v>#N/A</v>
      </c>
      <c r="AF1249" s="104" t="e">
        <f>IF(AND(VLOOKUP($D1249,Merchantability!$B:$C,2,0)="Yes",$E1249&gt;=VLOOKUP($D1249,Merchantability!$B:$D,3,0),$E1249&lt;=VLOOKUP($D1249,Merchantability!$B:$E,4,0)),AA1249,0)</f>
        <v>#N/A</v>
      </c>
      <c r="AG1249" s="104" t="e">
        <f>IF(AND(VLOOKUP($D1249,Merchantability!$B:$C,2,0)="Yes",$E1249&gt;=VLOOKUP($D1249,Merchantability!$B:$D,3,0),$E1249&lt;=VLOOKUP($D1249,Merchantability!$B:$E,4,0)),AB1249,0)</f>
        <v>#N/A</v>
      </c>
      <c r="AH1249" s="104" t="e">
        <f>IF(AND(VLOOKUP($D1249,Merchantability!$B:$C,2,0)="Yes",$E1249&gt;=VLOOKUP($D1249,Merchantability!$B:$D,3,0),$E1249&lt;=VLOOKUP($D1249,Merchantability!$B:$E,4,0)),AC1249,0)</f>
        <v>#N/A</v>
      </c>
      <c r="AI1249" s="104" t="e">
        <f t="shared" si="573"/>
        <v>#N/A</v>
      </c>
      <c r="AJ1249" s="104" t="e">
        <f t="shared" si="574"/>
        <v>#VALUE!</v>
      </c>
      <c r="AK1249" s="104" t="e">
        <f t="shared" si="575"/>
        <v>#N/A</v>
      </c>
      <c r="AL1249" s="104" t="e">
        <f t="shared" si="576"/>
        <v>#N/A</v>
      </c>
      <c r="AM1249" s="104" t="e">
        <f t="shared" si="577"/>
        <v>#N/A</v>
      </c>
      <c r="AN1249" s="104" t="e">
        <f t="shared" si="561"/>
        <v>#N/A</v>
      </c>
      <c r="AO1249" s="104" t="e">
        <f t="shared" si="562"/>
        <v>#N/A</v>
      </c>
      <c r="AP1249" s="104" t="e">
        <f t="shared" si="563"/>
        <v>#N/A</v>
      </c>
      <c r="AQ1249" s="104" t="e">
        <f t="shared" si="564"/>
        <v>#N/A</v>
      </c>
      <c r="AR1249" s="105" t="str">
        <f t="shared" si="556"/>
        <v/>
      </c>
      <c r="AS1249" s="105" t="str">
        <f t="shared" si="557"/>
        <v/>
      </c>
      <c r="AT1249" s="108" t="str">
        <f t="shared" si="558"/>
        <v/>
      </c>
      <c r="AU1249" s="108" t="str">
        <f t="shared" si="559"/>
        <v/>
      </c>
      <c r="AV1249" s="107" t="str">
        <f>IF(ISNUMBER(O1249),IF(VLOOKUP($A1249,Stand!C:J,8,FALSE)="Short",AT1249,AU1249),"")</f>
        <v/>
      </c>
      <c r="AW1249" s="109" t="str">
        <f t="shared" si="565"/>
        <v/>
      </c>
      <c r="AX1249" s="109" t="str">
        <f t="shared" si="566"/>
        <v/>
      </c>
      <c r="AY1249" s="112" t="str">
        <f>IF(ISNUMBER(O1249),IF(AND(VLOOKUP($D1249,Merchantability!$B:$C,2,0)="Yes",$E1249&gt;=VLOOKUP($D1249,Merchantability!$B:$D,3,0),$E1249&lt;=VLOOKUP($D1249,Merchantability!$B:$E,4,0)),(AV1249*O1249)*(1-$H1249/100),""),"")</f>
        <v/>
      </c>
      <c r="AZ1249" s="116"/>
      <c r="BA1249" s="116"/>
      <c r="BB1249" s="116"/>
      <c r="BE1249" s="62"/>
      <c r="BF1249" s="63"/>
    </row>
    <row r="1250" spans="1:58" ht="12.75" customHeight="1" x14ac:dyDescent="0.25">
      <c r="A1250" s="313"/>
      <c r="B1250" s="328"/>
      <c r="C1250" s="329"/>
      <c r="D1250" s="328"/>
      <c r="E1250" s="330"/>
      <c r="F1250" s="328"/>
      <c r="G1250" s="329"/>
      <c r="H1250" s="329"/>
      <c r="I1250" s="328"/>
      <c r="J1250" s="383"/>
      <c r="K1250" s="329"/>
      <c r="L1250" s="329"/>
      <c r="M1250" s="76"/>
      <c r="N1250" s="103" t="str">
        <f>IF(A1250="","",VLOOKUP(A1250,Stand!C:K,9,0))</f>
        <v/>
      </c>
      <c r="O1250" s="104" t="str">
        <f t="shared" si="551"/>
        <v/>
      </c>
      <c r="P1250" s="105" t="str">
        <f t="shared" si="552"/>
        <v/>
      </c>
      <c r="Q1250" s="105" t="str">
        <f t="shared" si="567"/>
        <v/>
      </c>
      <c r="R1250" s="103" t="str">
        <f t="shared" si="553"/>
        <v/>
      </c>
      <c r="S1250" s="103" t="str">
        <f t="shared" si="554"/>
        <v/>
      </c>
      <c r="T1250" s="106" t="str">
        <f t="shared" si="568"/>
        <v/>
      </c>
      <c r="U1250" s="106" t="str">
        <f t="shared" si="569"/>
        <v/>
      </c>
      <c r="V1250" s="106" t="str">
        <f t="shared" si="570"/>
        <v/>
      </c>
      <c r="W1250" s="105" t="str">
        <f t="shared" si="555"/>
        <v/>
      </c>
      <c r="X1250" s="104" t="str">
        <f t="shared" si="560"/>
        <v/>
      </c>
      <c r="Y1250" s="104" t="str">
        <f t="array" ref="Y1250">IFERROR(IF(ISNUMBER(O1250),IF(COUNT(IF(A1250=$A$2:$A$2427,IF(D1250=$D$2:$D$2427,IF($X$2:$X$2427&gt;0,1))))&gt;0,SUM(IF(A1250=$A$2:$A$2427,IF(D1250=$D$2:$D$2427,$X$2:$X$2427)))/COUNT(IF(A1250=$A$2:$A$2427,IF(D1250=$D$2:$D$2427,IF(ISNUMBER($X$2:$X$2427),1)))),0),""),0)</f>
        <v/>
      </c>
      <c r="Z1250" s="104" t="str">
        <f>IF(ISNUMBER(O1250),IF(I1250&gt;0,(10^(VLOOKUP(D1250,'Species Codes'!B:C,2,0)+VLOOKUP(D1250,'Species Codes'!B:D,3,0)*LOG(E1250)+VLOOKUP(D1250,'Species Codes'!B:E,4,0)*LOG(I1250))),0),"")</f>
        <v/>
      </c>
      <c r="AA1250" s="104" t="str">
        <f>IFERROR((VLOOKUP(D1250,'Species Codes'!B:G,6,0)*Z1250)/2000,"")</f>
        <v/>
      </c>
      <c r="AB1250" s="104" t="e">
        <f>IF(Z1250&gt;0,((IF(OR(D1250="DF",D1250="RA")=TRUE,EXP(VLOOKUP(D1250,'Species Codes'!B:I,8,0)+VLOOKUP(D1250,'Species Codes'!B:J,9,0)*(LN((E1250*2.54)))),IF(OR(D1250="PY",D1250="RC",D1250="WH",D1250="NF")=TRUE,VLOOKUP(D1250,'Species Codes'!B:I,8,0)+VLOOKUP(D1250,'Species Codes'!B:J,9,0)*((E1250*2.54)^2)*(I1250*0.3048),IF(OR(D1250="MD",D1250="BM",D1250="GA")=TRUE,((VLOOKUP(D1250,'Species Codes'!B:I,8,0)*(((((E1250*2.54)+VLOOKUP(D1250,'Species Codes'!B:J,9,0))/VLOOKUP(D1250,'Species Codes'!B:K,10,0))^VLOOKUP(D1250,'Species Codes'!B:L,11,0))*((I1250*0.3048)^VLOOKUP(D1250,'Species Codes'!B:M,12,0))))-(VLOOKUP(D1250,'Species Codes'!B:I,8,0)*((((E1250*2.54)^VLOOKUP(D1250,'Species Codes'!B:L,11,0))*((I1250*0.3048)^VLOOKUP(D1250,'Species Codes'!B:M,12,0))))))*35.3*VLOOKUP(D1250,'Species Codes'!B:G,6,0)/2.2046,VLOOKUP(D1250,'Species Codes'!B:I,8,0)+VLOOKUP(D1250,'Species Codes'!B:J,9,0)*(((E1250*2.54)/100)^2)*(I1250*0.3048)))))*0.0011023),0)</f>
        <v>#N/A</v>
      </c>
      <c r="AC1250" s="104" t="e">
        <f>IF(Z1250&gt;0,((IF(OR(D1250="RA",D1250="OA",D1250="OT",D1250="UN",D1250="PC"),EXP(VLOOKUP(D1250,'Species Codes'!B:O,14,0)+VLOOKUP(D1250,'Species Codes'!B:P,15,0)*LN((E1250*2.54)))-EXP(VLOOKUP(D1250,'Species Codes'!B:O,14,0)+VLOOKUP(D1250,'Species Codes'!B:P,15,0)*LN((E1250*2.54)))*(1/(VLOOKUP(D1250,'Species Codes'!B:Q,16,0)+VLOOKUP(D1250,'Species Codes'!B:R,17,0)*((E1250*2.54)^VLOOKUP(D1250,'Species Codes'!B:S,18,0)))),IF(OR(D1250="BM",D1250="MD",D1250="OA"),EXP(VLOOKUP(D1250,'Species Codes'!B:O,14,0)+VLOOKUP(D1250,'Species Codes'!B:P,15,0)*LN((E1250*2.54)))*(1-(1/(VLOOKUP(D1250,'Species Codes'!B:Q,16,0)+VLOOKUP(D1250,'Species Codes'!B:R,17,0)*((E1250*2.54)^VLOOKUP(D1250,'Species Codes'!B:S,18,0)))))/1000,IF(D1250="DF",EXP(VLOOKUP(D1250,'Species Codes'!B:O,14,0)+VLOOKUP(D1250,'Species Codes'!B:P,15,0)*LN((E1250*2.54))),VLOOKUP(D1250,'Species Codes'!B:O,14,0)+VLOOKUP(D1250,'Species Codes'!B:P,15,0)*(((E1250*2.54)/100)^2)*(I1250*0.3048)))))*0.0011023),0)</f>
        <v>#N/A</v>
      </c>
      <c r="AD1250" s="104" t="e">
        <f t="shared" si="571"/>
        <v>#N/A</v>
      </c>
      <c r="AE1250" s="104" t="e">
        <f t="shared" si="572"/>
        <v>#N/A</v>
      </c>
      <c r="AF1250" s="104" t="e">
        <f>IF(AND(VLOOKUP($D1250,Merchantability!$B:$C,2,0)="Yes",$E1250&gt;=VLOOKUP($D1250,Merchantability!$B:$D,3,0),$E1250&lt;=VLOOKUP($D1250,Merchantability!$B:$E,4,0)),AA1250,0)</f>
        <v>#N/A</v>
      </c>
      <c r="AG1250" s="104" t="e">
        <f>IF(AND(VLOOKUP($D1250,Merchantability!$B:$C,2,0)="Yes",$E1250&gt;=VLOOKUP($D1250,Merchantability!$B:$D,3,0),$E1250&lt;=VLOOKUP($D1250,Merchantability!$B:$E,4,0)),AB1250,0)</f>
        <v>#N/A</v>
      </c>
      <c r="AH1250" s="104" t="e">
        <f>IF(AND(VLOOKUP($D1250,Merchantability!$B:$C,2,0)="Yes",$E1250&gt;=VLOOKUP($D1250,Merchantability!$B:$D,3,0),$E1250&lt;=VLOOKUP($D1250,Merchantability!$B:$E,4,0)),AC1250,0)</f>
        <v>#N/A</v>
      </c>
      <c r="AI1250" s="104" t="e">
        <f t="shared" si="573"/>
        <v>#N/A</v>
      </c>
      <c r="AJ1250" s="104" t="e">
        <f t="shared" si="574"/>
        <v>#VALUE!</v>
      </c>
      <c r="AK1250" s="104" t="e">
        <f t="shared" si="575"/>
        <v>#N/A</v>
      </c>
      <c r="AL1250" s="104" t="e">
        <f t="shared" si="576"/>
        <v>#N/A</v>
      </c>
      <c r="AM1250" s="104" t="e">
        <f t="shared" si="577"/>
        <v>#N/A</v>
      </c>
      <c r="AN1250" s="104" t="e">
        <f t="shared" si="561"/>
        <v>#N/A</v>
      </c>
      <c r="AO1250" s="104" t="e">
        <f t="shared" si="562"/>
        <v>#N/A</v>
      </c>
      <c r="AP1250" s="104" t="e">
        <f t="shared" si="563"/>
        <v>#N/A</v>
      </c>
      <c r="AQ1250" s="104" t="e">
        <f t="shared" si="564"/>
        <v>#N/A</v>
      </c>
      <c r="AR1250" s="105" t="str">
        <f t="shared" si="556"/>
        <v/>
      </c>
      <c r="AS1250" s="105" t="str">
        <f t="shared" si="557"/>
        <v/>
      </c>
      <c r="AT1250" s="108" t="str">
        <f t="shared" si="558"/>
        <v/>
      </c>
      <c r="AU1250" s="108" t="str">
        <f t="shared" si="559"/>
        <v/>
      </c>
      <c r="AV1250" s="107" t="str">
        <f>IF(ISNUMBER(O1250),IF(VLOOKUP($A1250,Stand!C:J,8,FALSE)="Short",AT1250,AU1250),"")</f>
        <v/>
      </c>
      <c r="AW1250" s="109" t="str">
        <f t="shared" si="565"/>
        <v/>
      </c>
      <c r="AX1250" s="109" t="str">
        <f t="shared" si="566"/>
        <v/>
      </c>
      <c r="AY1250" s="112" t="str">
        <f>IF(ISNUMBER(O1250),IF(AND(VLOOKUP($D1250,Merchantability!$B:$C,2,0)="Yes",$E1250&gt;=VLOOKUP($D1250,Merchantability!$B:$D,3,0),$E1250&lt;=VLOOKUP($D1250,Merchantability!$B:$E,4,0)),(AV1250*O1250)*(1-$H1250/100),""),"")</f>
        <v/>
      </c>
      <c r="AZ1250" s="116"/>
      <c r="BA1250" s="116"/>
      <c r="BB1250" s="116"/>
      <c r="BE1250" s="62"/>
      <c r="BF1250" s="63"/>
    </row>
    <row r="1251" spans="1:58" ht="12.75" customHeight="1" x14ac:dyDescent="0.25">
      <c r="A1251" s="313"/>
      <c r="B1251" s="328"/>
      <c r="C1251" s="329"/>
      <c r="D1251" s="328"/>
      <c r="E1251" s="330"/>
      <c r="F1251" s="328"/>
      <c r="G1251" s="329"/>
      <c r="H1251" s="329"/>
      <c r="I1251" s="328"/>
      <c r="J1251" s="383"/>
      <c r="K1251" s="329"/>
      <c r="L1251" s="329"/>
      <c r="M1251" s="76"/>
      <c r="N1251" s="103" t="str">
        <f>IF(A1251="","",VLOOKUP(A1251,Stand!C:K,9,0))</f>
        <v/>
      </c>
      <c r="O1251" s="104" t="str">
        <f t="shared" si="551"/>
        <v/>
      </c>
      <c r="P1251" s="105" t="str">
        <f t="shared" si="552"/>
        <v/>
      </c>
      <c r="Q1251" s="105" t="str">
        <f t="shared" si="567"/>
        <v/>
      </c>
      <c r="R1251" s="103" t="str">
        <f t="shared" si="553"/>
        <v/>
      </c>
      <c r="S1251" s="103" t="str">
        <f t="shared" si="554"/>
        <v/>
      </c>
      <c r="T1251" s="106" t="str">
        <f t="shared" si="568"/>
        <v/>
      </c>
      <c r="U1251" s="106" t="str">
        <f t="shared" si="569"/>
        <v/>
      </c>
      <c r="V1251" s="106" t="str">
        <f t="shared" si="570"/>
        <v/>
      </c>
      <c r="W1251" s="105" t="str">
        <f t="shared" si="555"/>
        <v/>
      </c>
      <c r="X1251" s="104" t="str">
        <f t="shared" si="560"/>
        <v/>
      </c>
      <c r="Y1251" s="104" t="str">
        <f t="array" ref="Y1251">IFERROR(IF(ISNUMBER(O1251),IF(COUNT(IF(A1251=$A$2:$A$2427,IF(D1251=$D$2:$D$2427,IF($X$2:$X$2427&gt;0,1))))&gt;0,SUM(IF(A1251=$A$2:$A$2427,IF(D1251=$D$2:$D$2427,$X$2:$X$2427)))/COUNT(IF(A1251=$A$2:$A$2427,IF(D1251=$D$2:$D$2427,IF(ISNUMBER($X$2:$X$2427),1)))),0),""),0)</f>
        <v/>
      </c>
      <c r="Z1251" s="104" t="str">
        <f>IF(ISNUMBER(O1251),IF(I1251&gt;0,(10^(VLOOKUP(D1251,'Species Codes'!B:C,2,0)+VLOOKUP(D1251,'Species Codes'!B:D,3,0)*LOG(E1251)+VLOOKUP(D1251,'Species Codes'!B:E,4,0)*LOG(I1251))),0),"")</f>
        <v/>
      </c>
      <c r="AA1251" s="104" t="str">
        <f>IFERROR((VLOOKUP(D1251,'Species Codes'!B:G,6,0)*Z1251)/2000,"")</f>
        <v/>
      </c>
      <c r="AB1251" s="104" t="e">
        <f>IF(Z1251&gt;0,((IF(OR(D1251="DF",D1251="RA")=TRUE,EXP(VLOOKUP(D1251,'Species Codes'!B:I,8,0)+VLOOKUP(D1251,'Species Codes'!B:J,9,0)*(LN((E1251*2.54)))),IF(OR(D1251="PY",D1251="RC",D1251="WH",D1251="NF")=TRUE,VLOOKUP(D1251,'Species Codes'!B:I,8,0)+VLOOKUP(D1251,'Species Codes'!B:J,9,0)*((E1251*2.54)^2)*(I1251*0.3048),IF(OR(D1251="MD",D1251="BM",D1251="GA")=TRUE,((VLOOKUP(D1251,'Species Codes'!B:I,8,0)*(((((E1251*2.54)+VLOOKUP(D1251,'Species Codes'!B:J,9,0))/VLOOKUP(D1251,'Species Codes'!B:K,10,0))^VLOOKUP(D1251,'Species Codes'!B:L,11,0))*((I1251*0.3048)^VLOOKUP(D1251,'Species Codes'!B:M,12,0))))-(VLOOKUP(D1251,'Species Codes'!B:I,8,0)*((((E1251*2.54)^VLOOKUP(D1251,'Species Codes'!B:L,11,0))*((I1251*0.3048)^VLOOKUP(D1251,'Species Codes'!B:M,12,0))))))*35.3*VLOOKUP(D1251,'Species Codes'!B:G,6,0)/2.2046,VLOOKUP(D1251,'Species Codes'!B:I,8,0)+VLOOKUP(D1251,'Species Codes'!B:J,9,0)*(((E1251*2.54)/100)^2)*(I1251*0.3048)))))*0.0011023),0)</f>
        <v>#N/A</v>
      </c>
      <c r="AC1251" s="104" t="e">
        <f>IF(Z1251&gt;0,((IF(OR(D1251="RA",D1251="OA",D1251="OT",D1251="UN",D1251="PC"),EXP(VLOOKUP(D1251,'Species Codes'!B:O,14,0)+VLOOKUP(D1251,'Species Codes'!B:P,15,0)*LN((E1251*2.54)))-EXP(VLOOKUP(D1251,'Species Codes'!B:O,14,0)+VLOOKUP(D1251,'Species Codes'!B:P,15,0)*LN((E1251*2.54)))*(1/(VLOOKUP(D1251,'Species Codes'!B:Q,16,0)+VLOOKUP(D1251,'Species Codes'!B:R,17,0)*((E1251*2.54)^VLOOKUP(D1251,'Species Codes'!B:S,18,0)))),IF(OR(D1251="BM",D1251="MD",D1251="OA"),EXP(VLOOKUP(D1251,'Species Codes'!B:O,14,0)+VLOOKUP(D1251,'Species Codes'!B:P,15,0)*LN((E1251*2.54)))*(1-(1/(VLOOKUP(D1251,'Species Codes'!B:Q,16,0)+VLOOKUP(D1251,'Species Codes'!B:R,17,0)*((E1251*2.54)^VLOOKUP(D1251,'Species Codes'!B:S,18,0)))))/1000,IF(D1251="DF",EXP(VLOOKUP(D1251,'Species Codes'!B:O,14,0)+VLOOKUP(D1251,'Species Codes'!B:P,15,0)*LN((E1251*2.54))),VLOOKUP(D1251,'Species Codes'!B:O,14,0)+VLOOKUP(D1251,'Species Codes'!B:P,15,0)*(((E1251*2.54)/100)^2)*(I1251*0.3048)))))*0.0011023),0)</f>
        <v>#N/A</v>
      </c>
      <c r="AD1251" s="104" t="e">
        <f t="shared" si="571"/>
        <v>#N/A</v>
      </c>
      <c r="AE1251" s="104" t="e">
        <f t="shared" si="572"/>
        <v>#N/A</v>
      </c>
      <c r="AF1251" s="104" t="e">
        <f>IF(AND(VLOOKUP($D1251,Merchantability!$B:$C,2,0)="Yes",$E1251&gt;=VLOOKUP($D1251,Merchantability!$B:$D,3,0),$E1251&lt;=VLOOKUP($D1251,Merchantability!$B:$E,4,0)),AA1251,0)</f>
        <v>#N/A</v>
      </c>
      <c r="AG1251" s="104" t="e">
        <f>IF(AND(VLOOKUP($D1251,Merchantability!$B:$C,2,0)="Yes",$E1251&gt;=VLOOKUP($D1251,Merchantability!$B:$D,3,0),$E1251&lt;=VLOOKUP($D1251,Merchantability!$B:$E,4,0)),AB1251,0)</f>
        <v>#N/A</v>
      </c>
      <c r="AH1251" s="104" t="e">
        <f>IF(AND(VLOOKUP($D1251,Merchantability!$B:$C,2,0)="Yes",$E1251&gt;=VLOOKUP($D1251,Merchantability!$B:$D,3,0),$E1251&lt;=VLOOKUP($D1251,Merchantability!$B:$E,4,0)),AC1251,0)</f>
        <v>#N/A</v>
      </c>
      <c r="AI1251" s="104" t="e">
        <f t="shared" si="573"/>
        <v>#N/A</v>
      </c>
      <c r="AJ1251" s="104" t="e">
        <f t="shared" si="574"/>
        <v>#VALUE!</v>
      </c>
      <c r="AK1251" s="104" t="e">
        <f t="shared" si="575"/>
        <v>#N/A</v>
      </c>
      <c r="AL1251" s="104" t="e">
        <f t="shared" si="576"/>
        <v>#N/A</v>
      </c>
      <c r="AM1251" s="104" t="e">
        <f t="shared" si="577"/>
        <v>#N/A</v>
      </c>
      <c r="AN1251" s="104" t="e">
        <f t="shared" si="561"/>
        <v>#N/A</v>
      </c>
      <c r="AO1251" s="104" t="e">
        <f t="shared" si="562"/>
        <v>#N/A</v>
      </c>
      <c r="AP1251" s="104" t="e">
        <f t="shared" si="563"/>
        <v>#N/A</v>
      </c>
      <c r="AQ1251" s="104" t="e">
        <f t="shared" si="564"/>
        <v>#N/A</v>
      </c>
      <c r="AR1251" s="105" t="str">
        <f t="shared" si="556"/>
        <v/>
      </c>
      <c r="AS1251" s="105" t="str">
        <f t="shared" si="557"/>
        <v/>
      </c>
      <c r="AT1251" s="108" t="str">
        <f t="shared" si="558"/>
        <v/>
      </c>
      <c r="AU1251" s="108" t="str">
        <f t="shared" si="559"/>
        <v/>
      </c>
      <c r="AV1251" s="107" t="str">
        <f>IF(ISNUMBER(O1251),IF(VLOOKUP($A1251,Stand!C:J,8,FALSE)="Short",AT1251,AU1251),"")</f>
        <v/>
      </c>
      <c r="AW1251" s="109" t="str">
        <f t="shared" si="565"/>
        <v/>
      </c>
      <c r="AX1251" s="109" t="str">
        <f t="shared" si="566"/>
        <v/>
      </c>
      <c r="AY1251" s="112" t="str">
        <f>IF(ISNUMBER(O1251),IF(AND(VLOOKUP($D1251,Merchantability!$B:$C,2,0)="Yes",$E1251&gt;=VLOOKUP($D1251,Merchantability!$B:$D,3,0),$E1251&lt;=VLOOKUP($D1251,Merchantability!$B:$E,4,0)),(AV1251*O1251)*(1-$H1251/100),""),"")</f>
        <v/>
      </c>
      <c r="AZ1251" s="116"/>
      <c r="BA1251" s="116"/>
      <c r="BB1251" s="116"/>
      <c r="BE1251" s="62"/>
      <c r="BF1251" s="63"/>
    </row>
    <row r="1252" spans="1:58" ht="12.75" customHeight="1" x14ac:dyDescent="0.25">
      <c r="A1252" s="313"/>
      <c r="B1252" s="328"/>
      <c r="C1252" s="329"/>
      <c r="D1252" s="328"/>
      <c r="E1252" s="330"/>
      <c r="F1252" s="328"/>
      <c r="G1252" s="329"/>
      <c r="H1252" s="329"/>
      <c r="I1252" s="328"/>
      <c r="J1252" s="383"/>
      <c r="K1252" s="329"/>
      <c r="L1252" s="329"/>
      <c r="M1252" s="76"/>
      <c r="N1252" s="103" t="str">
        <f>IF(A1252="","",VLOOKUP(A1252,Stand!C:K,9,0))</f>
        <v/>
      </c>
      <c r="O1252" s="104" t="str">
        <f t="shared" si="551"/>
        <v/>
      </c>
      <c r="P1252" s="105" t="str">
        <f t="shared" si="552"/>
        <v/>
      </c>
      <c r="Q1252" s="105" t="str">
        <f t="shared" si="567"/>
        <v/>
      </c>
      <c r="R1252" s="103" t="str">
        <f t="shared" si="553"/>
        <v/>
      </c>
      <c r="S1252" s="103" t="str">
        <f t="shared" si="554"/>
        <v/>
      </c>
      <c r="T1252" s="106" t="str">
        <f t="shared" si="568"/>
        <v/>
      </c>
      <c r="U1252" s="106" t="str">
        <f t="shared" si="569"/>
        <v/>
      </c>
      <c r="V1252" s="106" t="str">
        <f t="shared" si="570"/>
        <v/>
      </c>
      <c r="W1252" s="105" t="str">
        <f t="shared" si="555"/>
        <v/>
      </c>
      <c r="X1252" s="104" t="str">
        <f t="shared" si="560"/>
        <v/>
      </c>
      <c r="Y1252" s="104" t="str">
        <f t="array" ref="Y1252">IFERROR(IF(ISNUMBER(O1252),IF(COUNT(IF(A1252=$A$2:$A$2427,IF(D1252=$D$2:$D$2427,IF($X$2:$X$2427&gt;0,1))))&gt;0,SUM(IF(A1252=$A$2:$A$2427,IF(D1252=$D$2:$D$2427,$X$2:$X$2427)))/COUNT(IF(A1252=$A$2:$A$2427,IF(D1252=$D$2:$D$2427,IF(ISNUMBER($X$2:$X$2427),1)))),0),""),0)</f>
        <v/>
      </c>
      <c r="Z1252" s="104" t="str">
        <f>IF(ISNUMBER(O1252),IF(I1252&gt;0,(10^(VLOOKUP(D1252,'Species Codes'!B:C,2,0)+VLOOKUP(D1252,'Species Codes'!B:D,3,0)*LOG(E1252)+VLOOKUP(D1252,'Species Codes'!B:E,4,0)*LOG(I1252))),0),"")</f>
        <v/>
      </c>
      <c r="AA1252" s="104" t="str">
        <f>IFERROR((VLOOKUP(D1252,'Species Codes'!B:G,6,0)*Z1252)/2000,"")</f>
        <v/>
      </c>
      <c r="AB1252" s="104" t="e">
        <f>IF(Z1252&gt;0,((IF(OR(D1252="DF",D1252="RA")=TRUE,EXP(VLOOKUP(D1252,'Species Codes'!B:I,8,0)+VLOOKUP(D1252,'Species Codes'!B:J,9,0)*(LN((E1252*2.54)))),IF(OR(D1252="PY",D1252="RC",D1252="WH",D1252="NF")=TRUE,VLOOKUP(D1252,'Species Codes'!B:I,8,0)+VLOOKUP(D1252,'Species Codes'!B:J,9,0)*((E1252*2.54)^2)*(I1252*0.3048),IF(OR(D1252="MD",D1252="BM",D1252="GA")=TRUE,((VLOOKUP(D1252,'Species Codes'!B:I,8,0)*(((((E1252*2.54)+VLOOKUP(D1252,'Species Codes'!B:J,9,0))/VLOOKUP(D1252,'Species Codes'!B:K,10,0))^VLOOKUP(D1252,'Species Codes'!B:L,11,0))*((I1252*0.3048)^VLOOKUP(D1252,'Species Codes'!B:M,12,0))))-(VLOOKUP(D1252,'Species Codes'!B:I,8,0)*((((E1252*2.54)^VLOOKUP(D1252,'Species Codes'!B:L,11,0))*((I1252*0.3048)^VLOOKUP(D1252,'Species Codes'!B:M,12,0))))))*35.3*VLOOKUP(D1252,'Species Codes'!B:G,6,0)/2.2046,VLOOKUP(D1252,'Species Codes'!B:I,8,0)+VLOOKUP(D1252,'Species Codes'!B:J,9,0)*(((E1252*2.54)/100)^2)*(I1252*0.3048)))))*0.0011023),0)</f>
        <v>#N/A</v>
      </c>
      <c r="AC1252" s="104" t="e">
        <f>IF(Z1252&gt;0,((IF(OR(D1252="RA",D1252="OA",D1252="OT",D1252="UN",D1252="PC"),EXP(VLOOKUP(D1252,'Species Codes'!B:O,14,0)+VLOOKUP(D1252,'Species Codes'!B:P,15,0)*LN((E1252*2.54)))-EXP(VLOOKUP(D1252,'Species Codes'!B:O,14,0)+VLOOKUP(D1252,'Species Codes'!B:P,15,0)*LN((E1252*2.54)))*(1/(VLOOKUP(D1252,'Species Codes'!B:Q,16,0)+VLOOKUP(D1252,'Species Codes'!B:R,17,0)*((E1252*2.54)^VLOOKUP(D1252,'Species Codes'!B:S,18,0)))),IF(OR(D1252="BM",D1252="MD",D1252="OA"),EXP(VLOOKUP(D1252,'Species Codes'!B:O,14,0)+VLOOKUP(D1252,'Species Codes'!B:P,15,0)*LN((E1252*2.54)))*(1-(1/(VLOOKUP(D1252,'Species Codes'!B:Q,16,0)+VLOOKUP(D1252,'Species Codes'!B:R,17,0)*((E1252*2.54)^VLOOKUP(D1252,'Species Codes'!B:S,18,0)))))/1000,IF(D1252="DF",EXP(VLOOKUP(D1252,'Species Codes'!B:O,14,0)+VLOOKUP(D1252,'Species Codes'!B:P,15,0)*LN((E1252*2.54))),VLOOKUP(D1252,'Species Codes'!B:O,14,0)+VLOOKUP(D1252,'Species Codes'!B:P,15,0)*(((E1252*2.54)/100)^2)*(I1252*0.3048)))))*0.0011023),0)</f>
        <v>#N/A</v>
      </c>
      <c r="AD1252" s="104" t="e">
        <f t="shared" si="571"/>
        <v>#N/A</v>
      </c>
      <c r="AE1252" s="104" t="e">
        <f t="shared" si="572"/>
        <v>#N/A</v>
      </c>
      <c r="AF1252" s="104" t="e">
        <f>IF(AND(VLOOKUP($D1252,Merchantability!$B:$C,2,0)="Yes",$E1252&gt;=VLOOKUP($D1252,Merchantability!$B:$D,3,0),$E1252&lt;=VLOOKUP($D1252,Merchantability!$B:$E,4,0)),AA1252,0)</f>
        <v>#N/A</v>
      </c>
      <c r="AG1252" s="104" t="e">
        <f>IF(AND(VLOOKUP($D1252,Merchantability!$B:$C,2,0)="Yes",$E1252&gt;=VLOOKUP($D1252,Merchantability!$B:$D,3,0),$E1252&lt;=VLOOKUP($D1252,Merchantability!$B:$E,4,0)),AB1252,0)</f>
        <v>#N/A</v>
      </c>
      <c r="AH1252" s="104" t="e">
        <f>IF(AND(VLOOKUP($D1252,Merchantability!$B:$C,2,0)="Yes",$E1252&gt;=VLOOKUP($D1252,Merchantability!$B:$D,3,0),$E1252&lt;=VLOOKUP($D1252,Merchantability!$B:$E,4,0)),AC1252,0)</f>
        <v>#N/A</v>
      </c>
      <c r="AI1252" s="104" t="e">
        <f t="shared" si="573"/>
        <v>#N/A</v>
      </c>
      <c r="AJ1252" s="104" t="e">
        <f t="shared" si="574"/>
        <v>#VALUE!</v>
      </c>
      <c r="AK1252" s="104" t="e">
        <f t="shared" si="575"/>
        <v>#N/A</v>
      </c>
      <c r="AL1252" s="104" t="e">
        <f t="shared" si="576"/>
        <v>#N/A</v>
      </c>
      <c r="AM1252" s="104" t="e">
        <f t="shared" si="577"/>
        <v>#N/A</v>
      </c>
      <c r="AN1252" s="104" t="e">
        <f t="shared" si="561"/>
        <v>#N/A</v>
      </c>
      <c r="AO1252" s="104" t="e">
        <f t="shared" si="562"/>
        <v>#N/A</v>
      </c>
      <c r="AP1252" s="104" t="e">
        <f t="shared" si="563"/>
        <v>#N/A</v>
      </c>
      <c r="AQ1252" s="104" t="e">
        <f t="shared" si="564"/>
        <v>#N/A</v>
      </c>
      <c r="AR1252" s="105" t="str">
        <f t="shared" si="556"/>
        <v/>
      </c>
      <c r="AS1252" s="105" t="str">
        <f t="shared" si="557"/>
        <v/>
      </c>
      <c r="AT1252" s="108" t="str">
        <f t="shared" si="558"/>
        <v/>
      </c>
      <c r="AU1252" s="108" t="str">
        <f t="shared" si="559"/>
        <v/>
      </c>
      <c r="AV1252" s="107" t="str">
        <f>IF(ISNUMBER(O1252),IF(VLOOKUP($A1252,Stand!C:J,8,FALSE)="Short",AT1252,AU1252),"")</f>
        <v/>
      </c>
      <c r="AW1252" s="109" t="str">
        <f t="shared" si="565"/>
        <v/>
      </c>
      <c r="AX1252" s="109" t="str">
        <f t="shared" si="566"/>
        <v/>
      </c>
      <c r="AY1252" s="112" t="str">
        <f>IF(ISNUMBER(O1252),IF(AND(VLOOKUP($D1252,Merchantability!$B:$C,2,0)="Yes",$E1252&gt;=VLOOKUP($D1252,Merchantability!$B:$D,3,0),$E1252&lt;=VLOOKUP($D1252,Merchantability!$B:$E,4,0)),(AV1252*O1252)*(1-$H1252/100),""),"")</f>
        <v/>
      </c>
      <c r="AZ1252" s="116"/>
      <c r="BA1252" s="116"/>
      <c r="BB1252" s="116"/>
      <c r="BE1252" s="62"/>
      <c r="BF1252" s="63"/>
    </row>
    <row r="1253" spans="1:58" ht="12.75" customHeight="1" x14ac:dyDescent="0.25">
      <c r="A1253" s="313"/>
      <c r="B1253" s="328"/>
      <c r="C1253" s="329"/>
      <c r="D1253" s="328"/>
      <c r="E1253" s="330"/>
      <c r="F1253" s="328"/>
      <c r="G1253" s="329"/>
      <c r="H1253" s="329"/>
      <c r="I1253" s="328"/>
      <c r="J1253" s="383"/>
      <c r="K1253" s="329"/>
      <c r="L1253" s="329"/>
      <c r="M1253" s="76"/>
      <c r="N1253" s="103" t="str">
        <f>IF(A1253="","",VLOOKUP(A1253,Stand!C:K,9,0))</f>
        <v/>
      </c>
      <c r="O1253" s="104" t="str">
        <f t="shared" si="551"/>
        <v/>
      </c>
      <c r="P1253" s="105" t="str">
        <f t="shared" si="552"/>
        <v/>
      </c>
      <c r="Q1253" s="105" t="str">
        <f t="shared" si="567"/>
        <v/>
      </c>
      <c r="R1253" s="103" t="str">
        <f t="shared" si="553"/>
        <v/>
      </c>
      <c r="S1253" s="103" t="str">
        <f t="shared" si="554"/>
        <v/>
      </c>
      <c r="T1253" s="106" t="str">
        <f t="shared" si="568"/>
        <v/>
      </c>
      <c r="U1253" s="106" t="str">
        <f t="shared" si="569"/>
        <v/>
      </c>
      <c r="V1253" s="106" t="str">
        <f t="shared" si="570"/>
        <v/>
      </c>
      <c r="W1253" s="105" t="str">
        <f t="shared" si="555"/>
        <v/>
      </c>
      <c r="X1253" s="104" t="str">
        <f t="shared" si="560"/>
        <v/>
      </c>
      <c r="Y1253" s="104" t="str">
        <f t="array" ref="Y1253">IFERROR(IF(ISNUMBER(O1253),IF(COUNT(IF(A1253=$A$2:$A$2427,IF(D1253=$D$2:$D$2427,IF($X$2:$X$2427&gt;0,1))))&gt;0,SUM(IF(A1253=$A$2:$A$2427,IF(D1253=$D$2:$D$2427,$X$2:$X$2427)))/COUNT(IF(A1253=$A$2:$A$2427,IF(D1253=$D$2:$D$2427,IF(ISNUMBER($X$2:$X$2427),1)))),0),""),0)</f>
        <v/>
      </c>
      <c r="Z1253" s="104" t="str">
        <f>IF(ISNUMBER(O1253),IF(I1253&gt;0,(10^(VLOOKUP(D1253,'Species Codes'!B:C,2,0)+VLOOKUP(D1253,'Species Codes'!B:D,3,0)*LOG(E1253)+VLOOKUP(D1253,'Species Codes'!B:E,4,0)*LOG(I1253))),0),"")</f>
        <v/>
      </c>
      <c r="AA1253" s="104" t="str">
        <f>IFERROR((VLOOKUP(D1253,'Species Codes'!B:G,6,0)*Z1253)/2000,"")</f>
        <v/>
      </c>
      <c r="AB1253" s="104" t="e">
        <f>IF(Z1253&gt;0,((IF(OR(D1253="DF",D1253="RA")=TRUE,EXP(VLOOKUP(D1253,'Species Codes'!B:I,8,0)+VLOOKUP(D1253,'Species Codes'!B:J,9,0)*(LN((E1253*2.54)))),IF(OR(D1253="PY",D1253="RC",D1253="WH",D1253="NF")=TRUE,VLOOKUP(D1253,'Species Codes'!B:I,8,0)+VLOOKUP(D1253,'Species Codes'!B:J,9,0)*((E1253*2.54)^2)*(I1253*0.3048),IF(OR(D1253="MD",D1253="BM",D1253="GA")=TRUE,((VLOOKUP(D1253,'Species Codes'!B:I,8,0)*(((((E1253*2.54)+VLOOKUP(D1253,'Species Codes'!B:J,9,0))/VLOOKUP(D1253,'Species Codes'!B:K,10,0))^VLOOKUP(D1253,'Species Codes'!B:L,11,0))*((I1253*0.3048)^VLOOKUP(D1253,'Species Codes'!B:M,12,0))))-(VLOOKUP(D1253,'Species Codes'!B:I,8,0)*((((E1253*2.54)^VLOOKUP(D1253,'Species Codes'!B:L,11,0))*((I1253*0.3048)^VLOOKUP(D1253,'Species Codes'!B:M,12,0))))))*35.3*VLOOKUP(D1253,'Species Codes'!B:G,6,0)/2.2046,VLOOKUP(D1253,'Species Codes'!B:I,8,0)+VLOOKUP(D1253,'Species Codes'!B:J,9,0)*(((E1253*2.54)/100)^2)*(I1253*0.3048)))))*0.0011023),0)</f>
        <v>#N/A</v>
      </c>
      <c r="AC1253" s="104" t="e">
        <f>IF(Z1253&gt;0,((IF(OR(D1253="RA",D1253="OA",D1253="OT",D1253="UN",D1253="PC"),EXP(VLOOKUP(D1253,'Species Codes'!B:O,14,0)+VLOOKUP(D1253,'Species Codes'!B:P,15,0)*LN((E1253*2.54)))-EXP(VLOOKUP(D1253,'Species Codes'!B:O,14,0)+VLOOKUP(D1253,'Species Codes'!B:P,15,0)*LN((E1253*2.54)))*(1/(VLOOKUP(D1253,'Species Codes'!B:Q,16,0)+VLOOKUP(D1253,'Species Codes'!B:R,17,0)*((E1253*2.54)^VLOOKUP(D1253,'Species Codes'!B:S,18,0)))),IF(OR(D1253="BM",D1253="MD",D1253="OA"),EXP(VLOOKUP(D1253,'Species Codes'!B:O,14,0)+VLOOKUP(D1253,'Species Codes'!B:P,15,0)*LN((E1253*2.54)))*(1-(1/(VLOOKUP(D1253,'Species Codes'!B:Q,16,0)+VLOOKUP(D1253,'Species Codes'!B:R,17,0)*((E1253*2.54)^VLOOKUP(D1253,'Species Codes'!B:S,18,0)))))/1000,IF(D1253="DF",EXP(VLOOKUP(D1253,'Species Codes'!B:O,14,0)+VLOOKUP(D1253,'Species Codes'!B:P,15,0)*LN((E1253*2.54))),VLOOKUP(D1253,'Species Codes'!B:O,14,0)+VLOOKUP(D1253,'Species Codes'!B:P,15,0)*(((E1253*2.54)/100)^2)*(I1253*0.3048)))))*0.0011023),0)</f>
        <v>#N/A</v>
      </c>
      <c r="AD1253" s="104" t="e">
        <f t="shared" si="571"/>
        <v>#N/A</v>
      </c>
      <c r="AE1253" s="104" t="e">
        <f t="shared" si="572"/>
        <v>#N/A</v>
      </c>
      <c r="AF1253" s="104" t="e">
        <f>IF(AND(VLOOKUP($D1253,Merchantability!$B:$C,2,0)="Yes",$E1253&gt;=VLOOKUP($D1253,Merchantability!$B:$D,3,0),$E1253&lt;=VLOOKUP($D1253,Merchantability!$B:$E,4,0)),AA1253,0)</f>
        <v>#N/A</v>
      </c>
      <c r="AG1253" s="104" t="e">
        <f>IF(AND(VLOOKUP($D1253,Merchantability!$B:$C,2,0)="Yes",$E1253&gt;=VLOOKUP($D1253,Merchantability!$B:$D,3,0),$E1253&lt;=VLOOKUP($D1253,Merchantability!$B:$E,4,0)),AB1253,0)</f>
        <v>#N/A</v>
      </c>
      <c r="AH1253" s="104" t="e">
        <f>IF(AND(VLOOKUP($D1253,Merchantability!$B:$C,2,0)="Yes",$E1253&gt;=VLOOKUP($D1253,Merchantability!$B:$D,3,0),$E1253&lt;=VLOOKUP($D1253,Merchantability!$B:$E,4,0)),AC1253,0)</f>
        <v>#N/A</v>
      </c>
      <c r="AI1253" s="104" t="e">
        <f t="shared" si="573"/>
        <v>#N/A</v>
      </c>
      <c r="AJ1253" s="104" t="e">
        <f t="shared" si="574"/>
        <v>#VALUE!</v>
      </c>
      <c r="AK1253" s="104" t="e">
        <f t="shared" si="575"/>
        <v>#N/A</v>
      </c>
      <c r="AL1253" s="104" t="e">
        <f t="shared" si="576"/>
        <v>#N/A</v>
      </c>
      <c r="AM1253" s="104" t="e">
        <f t="shared" si="577"/>
        <v>#N/A</v>
      </c>
      <c r="AN1253" s="104" t="e">
        <f t="shared" si="561"/>
        <v>#N/A</v>
      </c>
      <c r="AO1253" s="104" t="e">
        <f t="shared" si="562"/>
        <v>#N/A</v>
      </c>
      <c r="AP1253" s="104" t="e">
        <f t="shared" si="563"/>
        <v>#N/A</v>
      </c>
      <c r="AQ1253" s="104" t="e">
        <f t="shared" si="564"/>
        <v>#N/A</v>
      </c>
      <c r="AR1253" s="105" t="str">
        <f t="shared" si="556"/>
        <v/>
      </c>
      <c r="AS1253" s="105" t="str">
        <f t="shared" si="557"/>
        <v/>
      </c>
      <c r="AT1253" s="108" t="str">
        <f t="shared" si="558"/>
        <v/>
      </c>
      <c r="AU1253" s="108" t="str">
        <f t="shared" si="559"/>
        <v/>
      </c>
      <c r="AV1253" s="107" t="str">
        <f>IF(ISNUMBER(O1253),IF(VLOOKUP($A1253,Stand!C:J,8,FALSE)="Short",AT1253,AU1253),"")</f>
        <v/>
      </c>
      <c r="AW1253" s="109" t="str">
        <f t="shared" si="565"/>
        <v/>
      </c>
      <c r="AX1253" s="109" t="str">
        <f t="shared" si="566"/>
        <v/>
      </c>
      <c r="AY1253" s="112" t="str">
        <f>IF(ISNUMBER(O1253),IF(AND(VLOOKUP($D1253,Merchantability!$B:$C,2,0)="Yes",$E1253&gt;=VLOOKUP($D1253,Merchantability!$B:$D,3,0),$E1253&lt;=VLOOKUP($D1253,Merchantability!$B:$E,4,0)),(AV1253*O1253)*(1-$H1253/100),""),"")</f>
        <v/>
      </c>
      <c r="AZ1253" s="116"/>
      <c r="BA1253" s="116"/>
      <c r="BB1253" s="116"/>
      <c r="BE1253" s="62"/>
      <c r="BF1253" s="63"/>
    </row>
    <row r="1254" spans="1:58" ht="12.75" customHeight="1" x14ac:dyDescent="0.25">
      <c r="A1254" s="313"/>
      <c r="B1254" s="328"/>
      <c r="C1254" s="329"/>
      <c r="D1254" s="328"/>
      <c r="E1254" s="330"/>
      <c r="F1254" s="328"/>
      <c r="G1254" s="329"/>
      <c r="H1254" s="329"/>
      <c r="I1254" s="328"/>
      <c r="J1254" s="383"/>
      <c r="K1254" s="329"/>
      <c r="L1254" s="329"/>
      <c r="M1254" s="76"/>
      <c r="N1254" s="103" t="str">
        <f>IF(A1254="","",VLOOKUP(A1254,Stand!C:K,9,0))</f>
        <v/>
      </c>
      <c r="O1254" s="104" t="str">
        <f t="shared" si="551"/>
        <v/>
      </c>
      <c r="P1254" s="105" t="str">
        <f t="shared" si="552"/>
        <v/>
      </c>
      <c r="Q1254" s="105" t="str">
        <f t="shared" si="567"/>
        <v/>
      </c>
      <c r="R1254" s="103" t="str">
        <f t="shared" si="553"/>
        <v/>
      </c>
      <c r="S1254" s="103" t="str">
        <f t="shared" si="554"/>
        <v/>
      </c>
      <c r="T1254" s="106" t="str">
        <f t="shared" si="568"/>
        <v/>
      </c>
      <c r="U1254" s="106" t="str">
        <f t="shared" si="569"/>
        <v/>
      </c>
      <c r="V1254" s="106" t="str">
        <f t="shared" si="570"/>
        <v/>
      </c>
      <c r="W1254" s="105" t="str">
        <f t="shared" si="555"/>
        <v/>
      </c>
      <c r="X1254" s="104" t="str">
        <f t="shared" si="560"/>
        <v/>
      </c>
      <c r="Y1254" s="104" t="str">
        <f t="array" ref="Y1254">IFERROR(IF(ISNUMBER(O1254),IF(COUNT(IF(A1254=$A$2:$A$2427,IF(D1254=$D$2:$D$2427,IF($X$2:$X$2427&gt;0,1))))&gt;0,SUM(IF(A1254=$A$2:$A$2427,IF(D1254=$D$2:$D$2427,$X$2:$X$2427)))/COUNT(IF(A1254=$A$2:$A$2427,IF(D1254=$D$2:$D$2427,IF(ISNUMBER($X$2:$X$2427),1)))),0),""),0)</f>
        <v/>
      </c>
      <c r="Z1254" s="104" t="str">
        <f>IF(ISNUMBER(O1254),IF(I1254&gt;0,(10^(VLOOKUP(D1254,'Species Codes'!B:C,2,0)+VLOOKUP(D1254,'Species Codes'!B:D,3,0)*LOG(E1254)+VLOOKUP(D1254,'Species Codes'!B:E,4,0)*LOG(I1254))),0),"")</f>
        <v/>
      </c>
      <c r="AA1254" s="104" t="str">
        <f>IFERROR((VLOOKUP(D1254,'Species Codes'!B:G,6,0)*Z1254)/2000,"")</f>
        <v/>
      </c>
      <c r="AB1254" s="104" t="e">
        <f>IF(Z1254&gt;0,((IF(OR(D1254="DF",D1254="RA")=TRUE,EXP(VLOOKUP(D1254,'Species Codes'!B:I,8,0)+VLOOKUP(D1254,'Species Codes'!B:J,9,0)*(LN((E1254*2.54)))),IF(OR(D1254="PY",D1254="RC",D1254="WH",D1254="NF")=TRUE,VLOOKUP(D1254,'Species Codes'!B:I,8,0)+VLOOKUP(D1254,'Species Codes'!B:J,9,0)*((E1254*2.54)^2)*(I1254*0.3048),IF(OR(D1254="MD",D1254="BM",D1254="GA")=TRUE,((VLOOKUP(D1254,'Species Codes'!B:I,8,0)*(((((E1254*2.54)+VLOOKUP(D1254,'Species Codes'!B:J,9,0))/VLOOKUP(D1254,'Species Codes'!B:K,10,0))^VLOOKUP(D1254,'Species Codes'!B:L,11,0))*((I1254*0.3048)^VLOOKUP(D1254,'Species Codes'!B:M,12,0))))-(VLOOKUP(D1254,'Species Codes'!B:I,8,0)*((((E1254*2.54)^VLOOKUP(D1254,'Species Codes'!B:L,11,0))*((I1254*0.3048)^VLOOKUP(D1254,'Species Codes'!B:M,12,0))))))*35.3*VLOOKUP(D1254,'Species Codes'!B:G,6,0)/2.2046,VLOOKUP(D1254,'Species Codes'!B:I,8,0)+VLOOKUP(D1254,'Species Codes'!B:J,9,0)*(((E1254*2.54)/100)^2)*(I1254*0.3048)))))*0.0011023),0)</f>
        <v>#N/A</v>
      </c>
      <c r="AC1254" s="104" t="e">
        <f>IF(Z1254&gt;0,((IF(OR(D1254="RA",D1254="OA",D1254="OT",D1254="UN",D1254="PC"),EXP(VLOOKUP(D1254,'Species Codes'!B:O,14,0)+VLOOKUP(D1254,'Species Codes'!B:P,15,0)*LN((E1254*2.54)))-EXP(VLOOKUP(D1254,'Species Codes'!B:O,14,0)+VLOOKUP(D1254,'Species Codes'!B:P,15,0)*LN((E1254*2.54)))*(1/(VLOOKUP(D1254,'Species Codes'!B:Q,16,0)+VLOOKUP(D1254,'Species Codes'!B:R,17,0)*((E1254*2.54)^VLOOKUP(D1254,'Species Codes'!B:S,18,0)))),IF(OR(D1254="BM",D1254="MD",D1254="OA"),EXP(VLOOKUP(D1254,'Species Codes'!B:O,14,0)+VLOOKUP(D1254,'Species Codes'!B:P,15,0)*LN((E1254*2.54)))*(1-(1/(VLOOKUP(D1254,'Species Codes'!B:Q,16,0)+VLOOKUP(D1254,'Species Codes'!B:R,17,0)*((E1254*2.54)^VLOOKUP(D1254,'Species Codes'!B:S,18,0)))))/1000,IF(D1254="DF",EXP(VLOOKUP(D1254,'Species Codes'!B:O,14,0)+VLOOKUP(D1254,'Species Codes'!B:P,15,0)*LN((E1254*2.54))),VLOOKUP(D1254,'Species Codes'!B:O,14,0)+VLOOKUP(D1254,'Species Codes'!B:P,15,0)*(((E1254*2.54)/100)^2)*(I1254*0.3048)))))*0.0011023),0)</f>
        <v>#N/A</v>
      </c>
      <c r="AD1254" s="104" t="e">
        <f t="shared" si="571"/>
        <v>#N/A</v>
      </c>
      <c r="AE1254" s="104" t="e">
        <f t="shared" si="572"/>
        <v>#N/A</v>
      </c>
      <c r="AF1254" s="104" t="e">
        <f>IF(AND(VLOOKUP($D1254,Merchantability!$B:$C,2,0)="Yes",$E1254&gt;=VLOOKUP($D1254,Merchantability!$B:$D,3,0),$E1254&lt;=VLOOKUP($D1254,Merchantability!$B:$E,4,0)),AA1254,0)</f>
        <v>#N/A</v>
      </c>
      <c r="AG1254" s="104" t="e">
        <f>IF(AND(VLOOKUP($D1254,Merchantability!$B:$C,2,0)="Yes",$E1254&gt;=VLOOKUP($D1254,Merchantability!$B:$D,3,0),$E1254&lt;=VLOOKUP($D1254,Merchantability!$B:$E,4,0)),AB1254,0)</f>
        <v>#N/A</v>
      </c>
      <c r="AH1254" s="104" t="e">
        <f>IF(AND(VLOOKUP($D1254,Merchantability!$B:$C,2,0)="Yes",$E1254&gt;=VLOOKUP($D1254,Merchantability!$B:$D,3,0),$E1254&lt;=VLOOKUP($D1254,Merchantability!$B:$E,4,0)),AC1254,0)</f>
        <v>#N/A</v>
      </c>
      <c r="AI1254" s="104" t="e">
        <f t="shared" si="573"/>
        <v>#N/A</v>
      </c>
      <c r="AJ1254" s="104" t="e">
        <f t="shared" si="574"/>
        <v>#VALUE!</v>
      </c>
      <c r="AK1254" s="104" t="e">
        <f t="shared" si="575"/>
        <v>#N/A</v>
      </c>
      <c r="AL1254" s="104" t="e">
        <f t="shared" si="576"/>
        <v>#N/A</v>
      </c>
      <c r="AM1254" s="104" t="e">
        <f t="shared" si="577"/>
        <v>#N/A</v>
      </c>
      <c r="AN1254" s="104" t="e">
        <f t="shared" si="561"/>
        <v>#N/A</v>
      </c>
      <c r="AO1254" s="104" t="e">
        <f t="shared" si="562"/>
        <v>#N/A</v>
      </c>
      <c r="AP1254" s="104" t="e">
        <f t="shared" si="563"/>
        <v>#N/A</v>
      </c>
      <c r="AQ1254" s="104" t="e">
        <f t="shared" si="564"/>
        <v>#N/A</v>
      </c>
      <c r="AR1254" s="105" t="str">
        <f t="shared" si="556"/>
        <v/>
      </c>
      <c r="AS1254" s="105" t="str">
        <f t="shared" si="557"/>
        <v/>
      </c>
      <c r="AT1254" s="108" t="str">
        <f t="shared" si="558"/>
        <v/>
      </c>
      <c r="AU1254" s="108" t="str">
        <f t="shared" si="559"/>
        <v/>
      </c>
      <c r="AV1254" s="107" t="str">
        <f>IF(ISNUMBER(O1254),IF(VLOOKUP($A1254,Stand!C:J,8,FALSE)="Short",AT1254,AU1254),"")</f>
        <v/>
      </c>
      <c r="AW1254" s="109" t="str">
        <f t="shared" si="565"/>
        <v/>
      </c>
      <c r="AX1254" s="109" t="str">
        <f t="shared" si="566"/>
        <v/>
      </c>
      <c r="AY1254" s="112" t="str">
        <f>IF(ISNUMBER(O1254),IF(AND(VLOOKUP($D1254,Merchantability!$B:$C,2,0)="Yes",$E1254&gt;=VLOOKUP($D1254,Merchantability!$B:$D,3,0),$E1254&lt;=VLOOKUP($D1254,Merchantability!$B:$E,4,0)),(AV1254*O1254)*(1-$H1254/100),""),"")</f>
        <v/>
      </c>
      <c r="AZ1254" s="116"/>
      <c r="BA1254" s="116"/>
      <c r="BB1254" s="116"/>
      <c r="BE1254" s="62"/>
      <c r="BF1254" s="63"/>
    </row>
    <row r="1255" spans="1:58" ht="12.75" customHeight="1" x14ac:dyDescent="0.25">
      <c r="A1255" s="313"/>
      <c r="B1255" s="328"/>
      <c r="C1255" s="329"/>
      <c r="D1255" s="328"/>
      <c r="E1255" s="330"/>
      <c r="F1255" s="328"/>
      <c r="G1255" s="329"/>
      <c r="H1255" s="329"/>
      <c r="I1255" s="328"/>
      <c r="J1255" s="383"/>
      <c r="K1255" s="329"/>
      <c r="L1255" s="329"/>
      <c r="M1255" s="76"/>
      <c r="N1255" s="103" t="str">
        <f>IF(A1255="","",VLOOKUP(A1255,Stand!C:K,9,0))</f>
        <v/>
      </c>
      <c r="O1255" s="104" t="str">
        <f t="shared" si="551"/>
        <v/>
      </c>
      <c r="P1255" s="105" t="str">
        <f t="shared" si="552"/>
        <v/>
      </c>
      <c r="Q1255" s="105" t="str">
        <f t="shared" si="567"/>
        <v/>
      </c>
      <c r="R1255" s="103" t="str">
        <f t="shared" si="553"/>
        <v/>
      </c>
      <c r="S1255" s="103" t="str">
        <f t="shared" si="554"/>
        <v/>
      </c>
      <c r="T1255" s="106" t="str">
        <f t="shared" si="568"/>
        <v/>
      </c>
      <c r="U1255" s="106" t="str">
        <f t="shared" si="569"/>
        <v/>
      </c>
      <c r="V1255" s="106" t="str">
        <f t="shared" si="570"/>
        <v/>
      </c>
      <c r="W1255" s="105" t="str">
        <f t="shared" si="555"/>
        <v/>
      </c>
      <c r="X1255" s="104" t="str">
        <f t="shared" si="560"/>
        <v/>
      </c>
      <c r="Y1255" s="104" t="str">
        <f t="array" ref="Y1255">IFERROR(IF(ISNUMBER(O1255),IF(COUNT(IF(A1255=$A$2:$A$2427,IF(D1255=$D$2:$D$2427,IF($X$2:$X$2427&gt;0,1))))&gt;0,SUM(IF(A1255=$A$2:$A$2427,IF(D1255=$D$2:$D$2427,$X$2:$X$2427)))/COUNT(IF(A1255=$A$2:$A$2427,IF(D1255=$D$2:$D$2427,IF(ISNUMBER($X$2:$X$2427),1)))),0),""),0)</f>
        <v/>
      </c>
      <c r="Z1255" s="104" t="str">
        <f>IF(ISNUMBER(O1255),IF(I1255&gt;0,(10^(VLOOKUP(D1255,'Species Codes'!B:C,2,0)+VLOOKUP(D1255,'Species Codes'!B:D,3,0)*LOG(E1255)+VLOOKUP(D1255,'Species Codes'!B:E,4,0)*LOG(I1255))),0),"")</f>
        <v/>
      </c>
      <c r="AA1255" s="104" t="str">
        <f>IFERROR((VLOOKUP(D1255,'Species Codes'!B:G,6,0)*Z1255)/2000,"")</f>
        <v/>
      </c>
      <c r="AB1255" s="104" t="e">
        <f>IF(Z1255&gt;0,((IF(OR(D1255="DF",D1255="RA")=TRUE,EXP(VLOOKUP(D1255,'Species Codes'!B:I,8,0)+VLOOKUP(D1255,'Species Codes'!B:J,9,0)*(LN((E1255*2.54)))),IF(OR(D1255="PY",D1255="RC",D1255="WH",D1255="NF")=TRUE,VLOOKUP(D1255,'Species Codes'!B:I,8,0)+VLOOKUP(D1255,'Species Codes'!B:J,9,0)*((E1255*2.54)^2)*(I1255*0.3048),IF(OR(D1255="MD",D1255="BM",D1255="GA")=TRUE,((VLOOKUP(D1255,'Species Codes'!B:I,8,0)*(((((E1255*2.54)+VLOOKUP(D1255,'Species Codes'!B:J,9,0))/VLOOKUP(D1255,'Species Codes'!B:K,10,0))^VLOOKUP(D1255,'Species Codes'!B:L,11,0))*((I1255*0.3048)^VLOOKUP(D1255,'Species Codes'!B:M,12,0))))-(VLOOKUP(D1255,'Species Codes'!B:I,8,0)*((((E1255*2.54)^VLOOKUP(D1255,'Species Codes'!B:L,11,0))*((I1255*0.3048)^VLOOKUP(D1255,'Species Codes'!B:M,12,0))))))*35.3*VLOOKUP(D1255,'Species Codes'!B:G,6,0)/2.2046,VLOOKUP(D1255,'Species Codes'!B:I,8,0)+VLOOKUP(D1255,'Species Codes'!B:J,9,0)*(((E1255*2.54)/100)^2)*(I1255*0.3048)))))*0.0011023),0)</f>
        <v>#N/A</v>
      </c>
      <c r="AC1255" s="104" t="e">
        <f>IF(Z1255&gt;0,((IF(OR(D1255="RA",D1255="OA",D1255="OT",D1255="UN",D1255="PC"),EXP(VLOOKUP(D1255,'Species Codes'!B:O,14,0)+VLOOKUP(D1255,'Species Codes'!B:P,15,0)*LN((E1255*2.54)))-EXP(VLOOKUP(D1255,'Species Codes'!B:O,14,0)+VLOOKUP(D1255,'Species Codes'!B:P,15,0)*LN((E1255*2.54)))*(1/(VLOOKUP(D1255,'Species Codes'!B:Q,16,0)+VLOOKUP(D1255,'Species Codes'!B:R,17,0)*((E1255*2.54)^VLOOKUP(D1255,'Species Codes'!B:S,18,0)))),IF(OR(D1255="BM",D1255="MD",D1255="OA"),EXP(VLOOKUP(D1255,'Species Codes'!B:O,14,0)+VLOOKUP(D1255,'Species Codes'!B:P,15,0)*LN((E1255*2.54)))*(1-(1/(VLOOKUP(D1255,'Species Codes'!B:Q,16,0)+VLOOKUP(D1255,'Species Codes'!B:R,17,0)*((E1255*2.54)^VLOOKUP(D1255,'Species Codes'!B:S,18,0)))))/1000,IF(D1255="DF",EXP(VLOOKUP(D1255,'Species Codes'!B:O,14,0)+VLOOKUP(D1255,'Species Codes'!B:P,15,0)*LN((E1255*2.54))),VLOOKUP(D1255,'Species Codes'!B:O,14,0)+VLOOKUP(D1255,'Species Codes'!B:P,15,0)*(((E1255*2.54)/100)^2)*(I1255*0.3048)))))*0.0011023),0)</f>
        <v>#N/A</v>
      </c>
      <c r="AD1255" s="104" t="e">
        <f t="shared" si="571"/>
        <v>#N/A</v>
      </c>
      <c r="AE1255" s="104" t="e">
        <f t="shared" si="572"/>
        <v>#N/A</v>
      </c>
      <c r="AF1255" s="104" t="e">
        <f>IF(AND(VLOOKUP($D1255,Merchantability!$B:$C,2,0)="Yes",$E1255&gt;=VLOOKUP($D1255,Merchantability!$B:$D,3,0),$E1255&lt;=VLOOKUP($D1255,Merchantability!$B:$E,4,0)),AA1255,0)</f>
        <v>#N/A</v>
      </c>
      <c r="AG1255" s="104" t="e">
        <f>IF(AND(VLOOKUP($D1255,Merchantability!$B:$C,2,0)="Yes",$E1255&gt;=VLOOKUP($D1255,Merchantability!$B:$D,3,0),$E1255&lt;=VLOOKUP($D1255,Merchantability!$B:$E,4,0)),AB1255,0)</f>
        <v>#N/A</v>
      </c>
      <c r="AH1255" s="104" t="e">
        <f>IF(AND(VLOOKUP($D1255,Merchantability!$B:$C,2,0)="Yes",$E1255&gt;=VLOOKUP($D1255,Merchantability!$B:$D,3,0),$E1255&lt;=VLOOKUP($D1255,Merchantability!$B:$E,4,0)),AC1255,0)</f>
        <v>#N/A</v>
      </c>
      <c r="AI1255" s="104" t="e">
        <f t="shared" si="573"/>
        <v>#N/A</v>
      </c>
      <c r="AJ1255" s="104" t="e">
        <f t="shared" si="574"/>
        <v>#VALUE!</v>
      </c>
      <c r="AK1255" s="104" t="e">
        <f t="shared" si="575"/>
        <v>#N/A</v>
      </c>
      <c r="AL1255" s="104" t="e">
        <f t="shared" si="576"/>
        <v>#N/A</v>
      </c>
      <c r="AM1255" s="104" t="e">
        <f t="shared" si="577"/>
        <v>#N/A</v>
      </c>
      <c r="AN1255" s="104" t="e">
        <f t="shared" si="561"/>
        <v>#N/A</v>
      </c>
      <c r="AO1255" s="104" t="e">
        <f t="shared" si="562"/>
        <v>#N/A</v>
      </c>
      <c r="AP1255" s="104" t="e">
        <f t="shared" si="563"/>
        <v>#N/A</v>
      </c>
      <c r="AQ1255" s="104" t="e">
        <f t="shared" si="564"/>
        <v>#N/A</v>
      </c>
      <c r="AR1255" s="105" t="str">
        <f t="shared" si="556"/>
        <v/>
      </c>
      <c r="AS1255" s="105" t="str">
        <f t="shared" si="557"/>
        <v/>
      </c>
      <c r="AT1255" s="108" t="str">
        <f t="shared" si="558"/>
        <v/>
      </c>
      <c r="AU1255" s="108" t="str">
        <f t="shared" si="559"/>
        <v/>
      </c>
      <c r="AV1255" s="107" t="str">
        <f>IF(ISNUMBER(O1255),IF(VLOOKUP($A1255,Stand!C:J,8,FALSE)="Short",AT1255,AU1255),"")</f>
        <v/>
      </c>
      <c r="AW1255" s="109" t="str">
        <f t="shared" si="565"/>
        <v/>
      </c>
      <c r="AX1255" s="109" t="str">
        <f t="shared" si="566"/>
        <v/>
      </c>
      <c r="AY1255" s="112" t="str">
        <f>IF(ISNUMBER(O1255),IF(AND(VLOOKUP($D1255,Merchantability!$B:$C,2,0)="Yes",$E1255&gt;=VLOOKUP($D1255,Merchantability!$B:$D,3,0),$E1255&lt;=VLOOKUP($D1255,Merchantability!$B:$E,4,0)),(AV1255*O1255)*(1-$H1255/100),""),"")</f>
        <v/>
      </c>
      <c r="AZ1255" s="116"/>
      <c r="BA1255" s="116"/>
      <c r="BB1255" s="116"/>
      <c r="BE1255" s="62"/>
      <c r="BF1255" s="63"/>
    </row>
    <row r="1256" spans="1:58" ht="12.75" customHeight="1" x14ac:dyDescent="0.25">
      <c r="A1256" s="313"/>
      <c r="B1256" s="328"/>
      <c r="C1256" s="329"/>
      <c r="D1256" s="328"/>
      <c r="E1256" s="330"/>
      <c r="F1256" s="328"/>
      <c r="G1256" s="329"/>
      <c r="H1256" s="329"/>
      <c r="I1256" s="328"/>
      <c r="J1256" s="383"/>
      <c r="K1256" s="329"/>
      <c r="L1256" s="329"/>
      <c r="M1256" s="76"/>
      <c r="N1256" s="103" t="str">
        <f>IF(A1256="","",VLOOKUP(A1256,Stand!C:K,9,0))</f>
        <v/>
      </c>
      <c r="O1256" s="104" t="str">
        <f t="shared" si="551"/>
        <v/>
      </c>
      <c r="P1256" s="105" t="str">
        <f t="shared" si="552"/>
        <v/>
      </c>
      <c r="Q1256" s="105" t="str">
        <f t="shared" si="567"/>
        <v/>
      </c>
      <c r="R1256" s="103" t="str">
        <f t="shared" si="553"/>
        <v/>
      </c>
      <c r="S1256" s="103" t="str">
        <f t="shared" si="554"/>
        <v/>
      </c>
      <c r="T1256" s="106" t="str">
        <f t="shared" si="568"/>
        <v/>
      </c>
      <c r="U1256" s="106" t="str">
        <f t="shared" si="569"/>
        <v/>
      </c>
      <c r="V1256" s="106" t="str">
        <f t="shared" si="570"/>
        <v/>
      </c>
      <c r="W1256" s="105" t="str">
        <f t="shared" si="555"/>
        <v/>
      </c>
      <c r="X1256" s="104" t="str">
        <f t="shared" si="560"/>
        <v/>
      </c>
      <c r="Y1256" s="104" t="str">
        <f t="array" ref="Y1256">IFERROR(IF(ISNUMBER(O1256),IF(COUNT(IF(A1256=$A$2:$A$2427,IF(D1256=$D$2:$D$2427,IF($X$2:$X$2427&gt;0,1))))&gt;0,SUM(IF(A1256=$A$2:$A$2427,IF(D1256=$D$2:$D$2427,$X$2:$X$2427)))/COUNT(IF(A1256=$A$2:$A$2427,IF(D1256=$D$2:$D$2427,IF(ISNUMBER($X$2:$X$2427),1)))),0),""),0)</f>
        <v/>
      </c>
      <c r="Z1256" s="104" t="str">
        <f>IF(ISNUMBER(O1256),IF(I1256&gt;0,(10^(VLOOKUP(D1256,'Species Codes'!B:C,2,0)+VLOOKUP(D1256,'Species Codes'!B:D,3,0)*LOG(E1256)+VLOOKUP(D1256,'Species Codes'!B:E,4,0)*LOG(I1256))),0),"")</f>
        <v/>
      </c>
      <c r="AA1256" s="104" t="str">
        <f>IFERROR((VLOOKUP(D1256,'Species Codes'!B:G,6,0)*Z1256)/2000,"")</f>
        <v/>
      </c>
      <c r="AB1256" s="104" t="e">
        <f>IF(Z1256&gt;0,((IF(OR(D1256="DF",D1256="RA")=TRUE,EXP(VLOOKUP(D1256,'Species Codes'!B:I,8,0)+VLOOKUP(D1256,'Species Codes'!B:J,9,0)*(LN((E1256*2.54)))),IF(OR(D1256="PY",D1256="RC",D1256="WH",D1256="NF")=TRUE,VLOOKUP(D1256,'Species Codes'!B:I,8,0)+VLOOKUP(D1256,'Species Codes'!B:J,9,0)*((E1256*2.54)^2)*(I1256*0.3048),IF(OR(D1256="MD",D1256="BM",D1256="GA")=TRUE,((VLOOKUP(D1256,'Species Codes'!B:I,8,0)*(((((E1256*2.54)+VLOOKUP(D1256,'Species Codes'!B:J,9,0))/VLOOKUP(D1256,'Species Codes'!B:K,10,0))^VLOOKUP(D1256,'Species Codes'!B:L,11,0))*((I1256*0.3048)^VLOOKUP(D1256,'Species Codes'!B:M,12,0))))-(VLOOKUP(D1256,'Species Codes'!B:I,8,0)*((((E1256*2.54)^VLOOKUP(D1256,'Species Codes'!B:L,11,0))*((I1256*0.3048)^VLOOKUP(D1256,'Species Codes'!B:M,12,0))))))*35.3*VLOOKUP(D1256,'Species Codes'!B:G,6,0)/2.2046,VLOOKUP(D1256,'Species Codes'!B:I,8,0)+VLOOKUP(D1256,'Species Codes'!B:J,9,0)*(((E1256*2.54)/100)^2)*(I1256*0.3048)))))*0.0011023),0)</f>
        <v>#N/A</v>
      </c>
      <c r="AC1256" s="104" t="e">
        <f>IF(Z1256&gt;0,((IF(OR(D1256="RA",D1256="OA",D1256="OT",D1256="UN",D1256="PC"),EXP(VLOOKUP(D1256,'Species Codes'!B:O,14,0)+VLOOKUP(D1256,'Species Codes'!B:P,15,0)*LN((E1256*2.54)))-EXP(VLOOKUP(D1256,'Species Codes'!B:O,14,0)+VLOOKUP(D1256,'Species Codes'!B:P,15,0)*LN((E1256*2.54)))*(1/(VLOOKUP(D1256,'Species Codes'!B:Q,16,0)+VLOOKUP(D1256,'Species Codes'!B:R,17,0)*((E1256*2.54)^VLOOKUP(D1256,'Species Codes'!B:S,18,0)))),IF(OR(D1256="BM",D1256="MD",D1256="OA"),EXP(VLOOKUP(D1256,'Species Codes'!B:O,14,0)+VLOOKUP(D1256,'Species Codes'!B:P,15,0)*LN((E1256*2.54)))*(1-(1/(VLOOKUP(D1256,'Species Codes'!B:Q,16,0)+VLOOKUP(D1256,'Species Codes'!B:R,17,0)*((E1256*2.54)^VLOOKUP(D1256,'Species Codes'!B:S,18,0)))))/1000,IF(D1256="DF",EXP(VLOOKUP(D1256,'Species Codes'!B:O,14,0)+VLOOKUP(D1256,'Species Codes'!B:P,15,0)*LN((E1256*2.54))),VLOOKUP(D1256,'Species Codes'!B:O,14,0)+VLOOKUP(D1256,'Species Codes'!B:P,15,0)*(((E1256*2.54)/100)^2)*(I1256*0.3048)))))*0.0011023),0)</f>
        <v>#N/A</v>
      </c>
      <c r="AD1256" s="104" t="e">
        <f t="shared" si="571"/>
        <v>#N/A</v>
      </c>
      <c r="AE1256" s="104" t="e">
        <f t="shared" si="572"/>
        <v>#N/A</v>
      </c>
      <c r="AF1256" s="104" t="e">
        <f>IF(AND(VLOOKUP($D1256,Merchantability!$B:$C,2,0)="Yes",$E1256&gt;=VLOOKUP($D1256,Merchantability!$B:$D,3,0),$E1256&lt;=VLOOKUP($D1256,Merchantability!$B:$E,4,0)),AA1256,0)</f>
        <v>#N/A</v>
      </c>
      <c r="AG1256" s="104" t="e">
        <f>IF(AND(VLOOKUP($D1256,Merchantability!$B:$C,2,0)="Yes",$E1256&gt;=VLOOKUP($D1256,Merchantability!$B:$D,3,0),$E1256&lt;=VLOOKUP($D1256,Merchantability!$B:$E,4,0)),AB1256,0)</f>
        <v>#N/A</v>
      </c>
      <c r="AH1256" s="104" t="e">
        <f>IF(AND(VLOOKUP($D1256,Merchantability!$B:$C,2,0)="Yes",$E1256&gt;=VLOOKUP($D1256,Merchantability!$B:$D,3,0),$E1256&lt;=VLOOKUP($D1256,Merchantability!$B:$E,4,0)),AC1256,0)</f>
        <v>#N/A</v>
      </c>
      <c r="AI1256" s="104" t="e">
        <f t="shared" si="573"/>
        <v>#N/A</v>
      </c>
      <c r="AJ1256" s="104" t="e">
        <f t="shared" si="574"/>
        <v>#VALUE!</v>
      </c>
      <c r="AK1256" s="104" t="e">
        <f t="shared" si="575"/>
        <v>#N/A</v>
      </c>
      <c r="AL1256" s="104" t="e">
        <f t="shared" si="576"/>
        <v>#N/A</v>
      </c>
      <c r="AM1256" s="104" t="e">
        <f t="shared" si="577"/>
        <v>#N/A</v>
      </c>
      <c r="AN1256" s="104" t="e">
        <f t="shared" si="561"/>
        <v>#N/A</v>
      </c>
      <c r="AO1256" s="104" t="e">
        <f t="shared" si="562"/>
        <v>#N/A</v>
      </c>
      <c r="AP1256" s="104" t="e">
        <f t="shared" si="563"/>
        <v>#N/A</v>
      </c>
      <c r="AQ1256" s="104" t="e">
        <f t="shared" si="564"/>
        <v>#N/A</v>
      </c>
      <c r="AR1256" s="105" t="str">
        <f t="shared" si="556"/>
        <v/>
      </c>
      <c r="AS1256" s="105" t="str">
        <f t="shared" si="557"/>
        <v/>
      </c>
      <c r="AT1256" s="108" t="str">
        <f t="shared" si="558"/>
        <v/>
      </c>
      <c r="AU1256" s="108" t="str">
        <f t="shared" si="559"/>
        <v/>
      </c>
      <c r="AV1256" s="107" t="str">
        <f>IF(ISNUMBER(O1256),IF(VLOOKUP($A1256,Stand!C:J,8,FALSE)="Short",AT1256,AU1256),"")</f>
        <v/>
      </c>
      <c r="AW1256" s="109" t="str">
        <f t="shared" si="565"/>
        <v/>
      </c>
      <c r="AX1256" s="109" t="str">
        <f t="shared" si="566"/>
        <v/>
      </c>
      <c r="AY1256" s="112" t="str">
        <f>IF(ISNUMBER(O1256),IF(AND(VLOOKUP($D1256,Merchantability!$B:$C,2,0)="Yes",$E1256&gt;=VLOOKUP($D1256,Merchantability!$B:$D,3,0),$E1256&lt;=VLOOKUP($D1256,Merchantability!$B:$E,4,0)),(AV1256*O1256)*(1-$H1256/100),""),"")</f>
        <v/>
      </c>
      <c r="AZ1256" s="116"/>
      <c r="BA1256" s="116"/>
      <c r="BB1256" s="116"/>
      <c r="BE1256" s="62"/>
      <c r="BF1256" s="63"/>
    </row>
    <row r="1257" spans="1:58" ht="12.75" customHeight="1" x14ac:dyDescent="0.25">
      <c r="A1257" s="313"/>
      <c r="B1257" s="328"/>
      <c r="C1257" s="329"/>
      <c r="D1257" s="328"/>
      <c r="E1257" s="330"/>
      <c r="F1257" s="328"/>
      <c r="G1257" s="329"/>
      <c r="H1257" s="329"/>
      <c r="I1257" s="328"/>
      <c r="J1257" s="383"/>
      <c r="K1257" s="329"/>
      <c r="L1257" s="329"/>
      <c r="M1257" s="76"/>
      <c r="N1257" s="103" t="str">
        <f>IF(A1257="","",VLOOKUP(A1257,Stand!C:K,9,0))</f>
        <v/>
      </c>
      <c r="O1257" s="104" t="str">
        <f t="shared" si="551"/>
        <v/>
      </c>
      <c r="P1257" s="105" t="str">
        <f t="shared" si="552"/>
        <v/>
      </c>
      <c r="Q1257" s="105" t="str">
        <f t="shared" si="567"/>
        <v/>
      </c>
      <c r="R1257" s="103" t="str">
        <f t="shared" si="553"/>
        <v/>
      </c>
      <c r="S1257" s="103" t="str">
        <f t="shared" si="554"/>
        <v/>
      </c>
      <c r="T1257" s="106" t="str">
        <f t="shared" si="568"/>
        <v/>
      </c>
      <c r="U1257" s="106" t="str">
        <f t="shared" si="569"/>
        <v/>
      </c>
      <c r="V1257" s="106" t="str">
        <f t="shared" si="570"/>
        <v/>
      </c>
      <c r="W1257" s="105" t="str">
        <f t="shared" si="555"/>
        <v/>
      </c>
      <c r="X1257" s="104" t="str">
        <f t="shared" si="560"/>
        <v/>
      </c>
      <c r="Y1257" s="104" t="str">
        <f t="array" ref="Y1257">IFERROR(IF(ISNUMBER(O1257),IF(COUNT(IF(A1257=$A$2:$A$2427,IF(D1257=$D$2:$D$2427,IF($X$2:$X$2427&gt;0,1))))&gt;0,SUM(IF(A1257=$A$2:$A$2427,IF(D1257=$D$2:$D$2427,$X$2:$X$2427)))/COUNT(IF(A1257=$A$2:$A$2427,IF(D1257=$D$2:$D$2427,IF(ISNUMBER($X$2:$X$2427),1)))),0),""),0)</f>
        <v/>
      </c>
      <c r="Z1257" s="104" t="str">
        <f>IF(ISNUMBER(O1257),IF(I1257&gt;0,(10^(VLOOKUP(D1257,'Species Codes'!B:C,2,0)+VLOOKUP(D1257,'Species Codes'!B:D,3,0)*LOG(E1257)+VLOOKUP(D1257,'Species Codes'!B:E,4,0)*LOG(I1257))),0),"")</f>
        <v/>
      </c>
      <c r="AA1257" s="104" t="str">
        <f>IFERROR((VLOOKUP(D1257,'Species Codes'!B:G,6,0)*Z1257)/2000,"")</f>
        <v/>
      </c>
      <c r="AB1257" s="104" t="e">
        <f>IF(Z1257&gt;0,((IF(OR(D1257="DF",D1257="RA")=TRUE,EXP(VLOOKUP(D1257,'Species Codes'!B:I,8,0)+VLOOKUP(D1257,'Species Codes'!B:J,9,0)*(LN((E1257*2.54)))),IF(OR(D1257="PY",D1257="RC",D1257="WH",D1257="NF")=TRUE,VLOOKUP(D1257,'Species Codes'!B:I,8,0)+VLOOKUP(D1257,'Species Codes'!B:J,9,0)*((E1257*2.54)^2)*(I1257*0.3048),IF(OR(D1257="MD",D1257="BM",D1257="GA")=TRUE,((VLOOKUP(D1257,'Species Codes'!B:I,8,0)*(((((E1257*2.54)+VLOOKUP(D1257,'Species Codes'!B:J,9,0))/VLOOKUP(D1257,'Species Codes'!B:K,10,0))^VLOOKUP(D1257,'Species Codes'!B:L,11,0))*((I1257*0.3048)^VLOOKUP(D1257,'Species Codes'!B:M,12,0))))-(VLOOKUP(D1257,'Species Codes'!B:I,8,0)*((((E1257*2.54)^VLOOKUP(D1257,'Species Codes'!B:L,11,0))*((I1257*0.3048)^VLOOKUP(D1257,'Species Codes'!B:M,12,0))))))*35.3*VLOOKUP(D1257,'Species Codes'!B:G,6,0)/2.2046,VLOOKUP(D1257,'Species Codes'!B:I,8,0)+VLOOKUP(D1257,'Species Codes'!B:J,9,0)*(((E1257*2.54)/100)^2)*(I1257*0.3048)))))*0.0011023),0)</f>
        <v>#N/A</v>
      </c>
      <c r="AC1257" s="104" t="e">
        <f>IF(Z1257&gt;0,((IF(OR(D1257="RA",D1257="OA",D1257="OT",D1257="UN",D1257="PC"),EXP(VLOOKUP(D1257,'Species Codes'!B:O,14,0)+VLOOKUP(D1257,'Species Codes'!B:P,15,0)*LN((E1257*2.54)))-EXP(VLOOKUP(D1257,'Species Codes'!B:O,14,0)+VLOOKUP(D1257,'Species Codes'!B:P,15,0)*LN((E1257*2.54)))*(1/(VLOOKUP(D1257,'Species Codes'!B:Q,16,0)+VLOOKUP(D1257,'Species Codes'!B:R,17,0)*((E1257*2.54)^VLOOKUP(D1257,'Species Codes'!B:S,18,0)))),IF(OR(D1257="BM",D1257="MD",D1257="OA"),EXP(VLOOKUP(D1257,'Species Codes'!B:O,14,0)+VLOOKUP(D1257,'Species Codes'!B:P,15,0)*LN((E1257*2.54)))*(1-(1/(VLOOKUP(D1257,'Species Codes'!B:Q,16,0)+VLOOKUP(D1257,'Species Codes'!B:R,17,0)*((E1257*2.54)^VLOOKUP(D1257,'Species Codes'!B:S,18,0)))))/1000,IF(D1257="DF",EXP(VLOOKUP(D1257,'Species Codes'!B:O,14,0)+VLOOKUP(D1257,'Species Codes'!B:P,15,0)*LN((E1257*2.54))),VLOOKUP(D1257,'Species Codes'!B:O,14,0)+VLOOKUP(D1257,'Species Codes'!B:P,15,0)*(((E1257*2.54)/100)^2)*(I1257*0.3048)))))*0.0011023),0)</f>
        <v>#N/A</v>
      </c>
      <c r="AD1257" s="104" t="e">
        <f t="shared" si="571"/>
        <v>#N/A</v>
      </c>
      <c r="AE1257" s="104" t="e">
        <f t="shared" si="572"/>
        <v>#N/A</v>
      </c>
      <c r="AF1257" s="104" t="e">
        <f>IF(AND(VLOOKUP($D1257,Merchantability!$B:$C,2,0)="Yes",$E1257&gt;=VLOOKUP($D1257,Merchantability!$B:$D,3,0),$E1257&lt;=VLOOKUP($D1257,Merchantability!$B:$E,4,0)),AA1257,0)</f>
        <v>#N/A</v>
      </c>
      <c r="AG1257" s="104" t="e">
        <f>IF(AND(VLOOKUP($D1257,Merchantability!$B:$C,2,0)="Yes",$E1257&gt;=VLOOKUP($D1257,Merchantability!$B:$D,3,0),$E1257&lt;=VLOOKUP($D1257,Merchantability!$B:$E,4,0)),AB1257,0)</f>
        <v>#N/A</v>
      </c>
      <c r="AH1257" s="104" t="e">
        <f>IF(AND(VLOOKUP($D1257,Merchantability!$B:$C,2,0)="Yes",$E1257&gt;=VLOOKUP($D1257,Merchantability!$B:$D,3,0),$E1257&lt;=VLOOKUP($D1257,Merchantability!$B:$E,4,0)),AC1257,0)</f>
        <v>#N/A</v>
      </c>
      <c r="AI1257" s="104" t="e">
        <f t="shared" si="573"/>
        <v>#N/A</v>
      </c>
      <c r="AJ1257" s="104" t="e">
        <f t="shared" si="574"/>
        <v>#VALUE!</v>
      </c>
      <c r="AK1257" s="104" t="e">
        <f t="shared" si="575"/>
        <v>#N/A</v>
      </c>
      <c r="AL1257" s="104" t="e">
        <f t="shared" si="576"/>
        <v>#N/A</v>
      </c>
      <c r="AM1257" s="104" t="e">
        <f t="shared" si="577"/>
        <v>#N/A</v>
      </c>
      <c r="AN1257" s="104" t="e">
        <f t="shared" si="561"/>
        <v>#N/A</v>
      </c>
      <c r="AO1257" s="104" t="e">
        <f t="shared" si="562"/>
        <v>#N/A</v>
      </c>
      <c r="AP1257" s="104" t="e">
        <f t="shared" si="563"/>
        <v>#N/A</v>
      </c>
      <c r="AQ1257" s="104" t="e">
        <f t="shared" si="564"/>
        <v>#N/A</v>
      </c>
      <c r="AR1257" s="105" t="str">
        <f t="shared" si="556"/>
        <v/>
      </c>
      <c r="AS1257" s="105" t="str">
        <f t="shared" si="557"/>
        <v/>
      </c>
      <c r="AT1257" s="108" t="str">
        <f t="shared" si="558"/>
        <v/>
      </c>
      <c r="AU1257" s="108" t="str">
        <f t="shared" si="559"/>
        <v/>
      </c>
      <c r="AV1257" s="107" t="str">
        <f>IF(ISNUMBER(O1257),IF(VLOOKUP($A1257,Stand!C:J,8,FALSE)="Short",AT1257,AU1257),"")</f>
        <v/>
      </c>
      <c r="AW1257" s="109" t="str">
        <f t="shared" si="565"/>
        <v/>
      </c>
      <c r="AX1257" s="109" t="str">
        <f t="shared" si="566"/>
        <v/>
      </c>
      <c r="AY1257" s="112" t="str">
        <f>IF(ISNUMBER(O1257),IF(AND(VLOOKUP($D1257,Merchantability!$B:$C,2,0)="Yes",$E1257&gt;=VLOOKUP($D1257,Merchantability!$B:$D,3,0),$E1257&lt;=VLOOKUP($D1257,Merchantability!$B:$E,4,0)),(AV1257*O1257)*(1-$H1257/100),""),"")</f>
        <v/>
      </c>
      <c r="AZ1257" s="116"/>
      <c r="BA1257" s="116"/>
      <c r="BB1257" s="116"/>
      <c r="BE1257" s="62"/>
      <c r="BF1257" s="63"/>
    </row>
    <row r="1258" spans="1:58" ht="12.75" customHeight="1" x14ac:dyDescent="0.25">
      <c r="A1258" s="333"/>
      <c r="B1258" s="334"/>
      <c r="C1258" s="332"/>
      <c r="D1258" s="334"/>
      <c r="E1258" s="335"/>
      <c r="F1258" s="334"/>
      <c r="G1258" s="332"/>
      <c r="H1258" s="332"/>
      <c r="I1258" s="334"/>
      <c r="J1258" s="336"/>
      <c r="K1258" s="332"/>
      <c r="L1258" s="332"/>
      <c r="M1258" s="76"/>
      <c r="N1258" s="103" t="str">
        <f>IF(A1258="","",VLOOKUP(A1258,Stand!C:K,9,0))</f>
        <v/>
      </c>
      <c r="O1258" s="104" t="str">
        <f t="shared" si="551"/>
        <v/>
      </c>
      <c r="P1258" s="105" t="str">
        <f t="shared" si="552"/>
        <v/>
      </c>
      <c r="Q1258" s="105" t="str">
        <f t="shared" si="567"/>
        <v/>
      </c>
      <c r="R1258" s="103" t="str">
        <f t="shared" si="553"/>
        <v/>
      </c>
      <c r="S1258" s="103" t="str">
        <f t="shared" si="554"/>
        <v/>
      </c>
      <c r="T1258" s="106" t="str">
        <f t="shared" si="568"/>
        <v/>
      </c>
      <c r="U1258" s="106" t="str">
        <f t="shared" si="569"/>
        <v/>
      </c>
      <c r="V1258" s="106" t="str">
        <f t="shared" si="570"/>
        <v/>
      </c>
      <c r="W1258" s="105" t="str">
        <f t="shared" si="555"/>
        <v/>
      </c>
      <c r="X1258" s="104" t="str">
        <f t="shared" si="560"/>
        <v/>
      </c>
      <c r="Y1258" s="104" t="str">
        <f t="array" ref="Y1258">IFERROR(IF(ISNUMBER(O1258),IF(COUNT(IF(A1258=$A$2:$A$2427,IF(D1258=$D$2:$D$2427,IF($X$2:$X$2427&gt;0,1))))&gt;0,SUM(IF(A1258=$A$2:$A$2427,IF(D1258=$D$2:$D$2427,$X$2:$X$2427)))/COUNT(IF(A1258=$A$2:$A$2427,IF(D1258=$D$2:$D$2427,IF(ISNUMBER($X$2:$X$2427),1)))),0),""),0)</f>
        <v/>
      </c>
      <c r="Z1258" s="104" t="str">
        <f>IF(ISNUMBER(O1258),IF(I1258&gt;0,(10^(VLOOKUP(D1258,'Species Codes'!B:C,2,0)+VLOOKUP(D1258,'Species Codes'!B:D,3,0)*LOG(E1258)+VLOOKUP(D1258,'Species Codes'!B:E,4,0)*LOG(I1258))),0),"")</f>
        <v/>
      </c>
      <c r="AA1258" s="104" t="str">
        <f>IFERROR((VLOOKUP(D1258,'Species Codes'!B:G,6,0)*Z1258)/2000,"")</f>
        <v/>
      </c>
      <c r="AB1258" s="104" t="e">
        <f>IF(Z1258&gt;0,((IF(OR(D1258="DF",D1258="RA")=TRUE,EXP(VLOOKUP(D1258,'Species Codes'!B:I,8,0)+VLOOKUP(D1258,'Species Codes'!B:J,9,0)*(LN((E1258*2.54)))),IF(OR(D1258="PY",D1258="RC",D1258="WH",D1258="NF")=TRUE,VLOOKUP(D1258,'Species Codes'!B:I,8,0)+VLOOKUP(D1258,'Species Codes'!B:J,9,0)*((E1258*2.54)^2)*(I1258*0.3048),IF(OR(D1258="MD",D1258="BM",D1258="GA")=TRUE,((VLOOKUP(D1258,'Species Codes'!B:I,8,0)*(((((E1258*2.54)+VLOOKUP(D1258,'Species Codes'!B:J,9,0))/VLOOKUP(D1258,'Species Codes'!B:K,10,0))^VLOOKUP(D1258,'Species Codes'!B:L,11,0))*((I1258*0.3048)^VLOOKUP(D1258,'Species Codes'!B:M,12,0))))-(VLOOKUP(D1258,'Species Codes'!B:I,8,0)*((((E1258*2.54)^VLOOKUP(D1258,'Species Codes'!B:L,11,0))*((I1258*0.3048)^VLOOKUP(D1258,'Species Codes'!B:M,12,0))))))*35.3*VLOOKUP(D1258,'Species Codes'!B:G,6,0)/2.2046,VLOOKUP(D1258,'Species Codes'!B:I,8,0)+VLOOKUP(D1258,'Species Codes'!B:J,9,0)*(((E1258*2.54)/100)^2)*(I1258*0.3048)))))*0.0011023),0)</f>
        <v>#N/A</v>
      </c>
      <c r="AC1258" s="104" t="e">
        <f>IF(Z1258&gt;0,((IF(OR(D1258="RA",D1258="OA",D1258="OT",D1258="UN",D1258="PC"),EXP(VLOOKUP(D1258,'Species Codes'!B:O,14,0)+VLOOKUP(D1258,'Species Codes'!B:P,15,0)*LN((E1258*2.54)))-EXP(VLOOKUP(D1258,'Species Codes'!B:O,14,0)+VLOOKUP(D1258,'Species Codes'!B:P,15,0)*LN((E1258*2.54)))*(1/(VLOOKUP(D1258,'Species Codes'!B:Q,16,0)+VLOOKUP(D1258,'Species Codes'!B:R,17,0)*((E1258*2.54)^VLOOKUP(D1258,'Species Codes'!B:S,18,0)))),IF(OR(D1258="BM",D1258="MD",D1258="OA"),EXP(VLOOKUP(D1258,'Species Codes'!B:O,14,0)+VLOOKUP(D1258,'Species Codes'!B:P,15,0)*LN((E1258*2.54)))*(1-(1/(VLOOKUP(D1258,'Species Codes'!B:Q,16,0)+VLOOKUP(D1258,'Species Codes'!B:R,17,0)*((E1258*2.54)^VLOOKUP(D1258,'Species Codes'!B:S,18,0)))))/1000,IF(D1258="DF",EXP(VLOOKUP(D1258,'Species Codes'!B:O,14,0)+VLOOKUP(D1258,'Species Codes'!B:P,15,0)*LN((E1258*2.54))),VLOOKUP(D1258,'Species Codes'!B:O,14,0)+VLOOKUP(D1258,'Species Codes'!B:P,15,0)*(((E1258*2.54)/100)^2)*(I1258*0.3048)))))*0.0011023),0)</f>
        <v>#N/A</v>
      </c>
      <c r="AD1258" s="104" t="e">
        <f t="shared" si="571"/>
        <v>#N/A</v>
      </c>
      <c r="AE1258" s="104" t="e">
        <f t="shared" si="572"/>
        <v>#N/A</v>
      </c>
      <c r="AF1258" s="104" t="e">
        <f>IF(AND(VLOOKUP($D1258,Merchantability!$B:$C,2,0)="Yes",$E1258&gt;=VLOOKUP($D1258,Merchantability!$B:$D,3,0),$E1258&lt;=VLOOKUP($D1258,Merchantability!$B:$E,4,0)),AA1258,0)</f>
        <v>#N/A</v>
      </c>
      <c r="AG1258" s="104" t="e">
        <f>IF(AND(VLOOKUP($D1258,Merchantability!$B:$C,2,0)="Yes",$E1258&gt;=VLOOKUP($D1258,Merchantability!$B:$D,3,0),$E1258&lt;=VLOOKUP($D1258,Merchantability!$B:$E,4,0)),AB1258,0)</f>
        <v>#N/A</v>
      </c>
      <c r="AH1258" s="104" t="e">
        <f>IF(AND(VLOOKUP($D1258,Merchantability!$B:$C,2,0)="Yes",$E1258&gt;=VLOOKUP($D1258,Merchantability!$B:$D,3,0),$E1258&lt;=VLOOKUP($D1258,Merchantability!$B:$E,4,0)),AC1258,0)</f>
        <v>#N/A</v>
      </c>
      <c r="AI1258" s="104" t="e">
        <f t="shared" si="573"/>
        <v>#N/A</v>
      </c>
      <c r="AJ1258" s="104" t="e">
        <f t="shared" si="574"/>
        <v>#VALUE!</v>
      </c>
      <c r="AK1258" s="104" t="e">
        <f t="shared" si="575"/>
        <v>#N/A</v>
      </c>
      <c r="AL1258" s="104" t="e">
        <f t="shared" si="576"/>
        <v>#N/A</v>
      </c>
      <c r="AM1258" s="104" t="e">
        <f t="shared" si="577"/>
        <v>#N/A</v>
      </c>
      <c r="AN1258" s="104" t="e">
        <f t="shared" si="561"/>
        <v>#N/A</v>
      </c>
      <c r="AO1258" s="104" t="e">
        <f t="shared" si="562"/>
        <v>#N/A</v>
      </c>
      <c r="AP1258" s="104" t="e">
        <f t="shared" si="563"/>
        <v>#N/A</v>
      </c>
      <c r="AQ1258" s="104" t="e">
        <f t="shared" si="564"/>
        <v>#N/A</v>
      </c>
      <c r="AR1258" s="105" t="str">
        <f t="shared" si="556"/>
        <v/>
      </c>
      <c r="AS1258" s="105" t="str">
        <f t="shared" si="557"/>
        <v/>
      </c>
      <c r="AT1258" s="108" t="str">
        <f t="shared" si="558"/>
        <v/>
      </c>
      <c r="AU1258" s="108" t="str">
        <f t="shared" si="559"/>
        <v/>
      </c>
      <c r="AV1258" s="107" t="str">
        <f>IF(ISNUMBER(O1258),IF(VLOOKUP($A1258,Stand!C:J,8,FALSE)="Short",AT1258,AU1258),"")</f>
        <v/>
      </c>
      <c r="AW1258" s="109" t="str">
        <f t="shared" si="565"/>
        <v/>
      </c>
      <c r="AX1258" s="109" t="str">
        <f t="shared" si="566"/>
        <v/>
      </c>
      <c r="AY1258" s="112" t="str">
        <f>IF(ISNUMBER(O1258),IF(AND(VLOOKUP($D1258,Merchantability!$B:$C,2,0)="Yes",$E1258&gt;=VLOOKUP($D1258,Merchantability!$B:$D,3,0),$E1258&lt;=VLOOKUP($D1258,Merchantability!$B:$E,4,0)),(AV1258*O1258)*(1-$H1258/100),""),"")</f>
        <v/>
      </c>
      <c r="AZ1258" s="116"/>
      <c r="BA1258" s="116"/>
      <c r="BB1258" s="116"/>
      <c r="BE1258" s="62"/>
      <c r="BF1258" s="63"/>
    </row>
    <row r="1259" spans="1:58" ht="12.75" customHeight="1" x14ac:dyDescent="0.25">
      <c r="A1259" s="333"/>
      <c r="B1259" s="334"/>
      <c r="C1259" s="332"/>
      <c r="D1259" s="334"/>
      <c r="E1259" s="335"/>
      <c r="F1259" s="334"/>
      <c r="G1259" s="332"/>
      <c r="H1259" s="332"/>
      <c r="I1259" s="334"/>
      <c r="J1259" s="336"/>
      <c r="K1259" s="332"/>
      <c r="L1259" s="332"/>
      <c r="M1259" s="76"/>
      <c r="N1259" s="103" t="str">
        <f>IF(A1259="","",VLOOKUP(A1259,Stand!C:K,9,0))</f>
        <v/>
      </c>
      <c r="O1259" s="104" t="str">
        <f t="shared" si="551"/>
        <v/>
      </c>
      <c r="P1259" s="105" t="str">
        <f t="shared" si="552"/>
        <v/>
      </c>
      <c r="Q1259" s="105" t="str">
        <f t="shared" si="567"/>
        <v/>
      </c>
      <c r="R1259" s="103" t="str">
        <f t="shared" si="553"/>
        <v/>
      </c>
      <c r="S1259" s="103" t="str">
        <f t="shared" si="554"/>
        <v/>
      </c>
      <c r="T1259" s="106" t="str">
        <f t="shared" si="568"/>
        <v/>
      </c>
      <c r="U1259" s="106" t="str">
        <f t="shared" si="569"/>
        <v/>
      </c>
      <c r="V1259" s="106" t="str">
        <f t="shared" si="570"/>
        <v/>
      </c>
      <c r="W1259" s="105" t="str">
        <f t="shared" si="555"/>
        <v/>
      </c>
      <c r="X1259" s="104" t="str">
        <f t="shared" si="560"/>
        <v/>
      </c>
      <c r="Y1259" s="104" t="str">
        <f t="array" ref="Y1259">IFERROR(IF(ISNUMBER(O1259),IF(COUNT(IF(A1259=$A$2:$A$2427,IF(D1259=$D$2:$D$2427,IF($X$2:$X$2427&gt;0,1))))&gt;0,SUM(IF(A1259=$A$2:$A$2427,IF(D1259=$D$2:$D$2427,$X$2:$X$2427)))/COUNT(IF(A1259=$A$2:$A$2427,IF(D1259=$D$2:$D$2427,IF(ISNUMBER($X$2:$X$2427),1)))),0),""),0)</f>
        <v/>
      </c>
      <c r="Z1259" s="104" t="str">
        <f>IF(ISNUMBER(O1259),IF(I1259&gt;0,(10^(VLOOKUP(D1259,'Species Codes'!B:C,2,0)+VLOOKUP(D1259,'Species Codes'!B:D,3,0)*LOG(E1259)+VLOOKUP(D1259,'Species Codes'!B:E,4,0)*LOG(I1259))),0),"")</f>
        <v/>
      </c>
      <c r="AA1259" s="104" t="str">
        <f>IFERROR((VLOOKUP(D1259,'Species Codes'!B:G,6,0)*Z1259)/2000,"")</f>
        <v/>
      </c>
      <c r="AB1259" s="104" t="e">
        <f>IF(Z1259&gt;0,((IF(OR(D1259="DF",D1259="RA")=TRUE,EXP(VLOOKUP(D1259,'Species Codes'!B:I,8,0)+VLOOKUP(D1259,'Species Codes'!B:J,9,0)*(LN((E1259*2.54)))),IF(OR(D1259="PY",D1259="RC",D1259="WH",D1259="NF")=TRUE,VLOOKUP(D1259,'Species Codes'!B:I,8,0)+VLOOKUP(D1259,'Species Codes'!B:J,9,0)*((E1259*2.54)^2)*(I1259*0.3048),IF(OR(D1259="MD",D1259="BM",D1259="GA")=TRUE,((VLOOKUP(D1259,'Species Codes'!B:I,8,0)*(((((E1259*2.54)+VLOOKUP(D1259,'Species Codes'!B:J,9,0))/VLOOKUP(D1259,'Species Codes'!B:K,10,0))^VLOOKUP(D1259,'Species Codes'!B:L,11,0))*((I1259*0.3048)^VLOOKUP(D1259,'Species Codes'!B:M,12,0))))-(VLOOKUP(D1259,'Species Codes'!B:I,8,0)*((((E1259*2.54)^VLOOKUP(D1259,'Species Codes'!B:L,11,0))*((I1259*0.3048)^VLOOKUP(D1259,'Species Codes'!B:M,12,0))))))*35.3*VLOOKUP(D1259,'Species Codes'!B:G,6,0)/2.2046,VLOOKUP(D1259,'Species Codes'!B:I,8,0)+VLOOKUP(D1259,'Species Codes'!B:J,9,0)*(((E1259*2.54)/100)^2)*(I1259*0.3048)))))*0.0011023),0)</f>
        <v>#N/A</v>
      </c>
      <c r="AC1259" s="104" t="e">
        <f>IF(Z1259&gt;0,((IF(OR(D1259="RA",D1259="OA",D1259="OT",D1259="UN",D1259="PC"),EXP(VLOOKUP(D1259,'Species Codes'!B:O,14,0)+VLOOKUP(D1259,'Species Codes'!B:P,15,0)*LN((E1259*2.54)))-EXP(VLOOKUP(D1259,'Species Codes'!B:O,14,0)+VLOOKUP(D1259,'Species Codes'!B:P,15,0)*LN((E1259*2.54)))*(1/(VLOOKUP(D1259,'Species Codes'!B:Q,16,0)+VLOOKUP(D1259,'Species Codes'!B:R,17,0)*((E1259*2.54)^VLOOKUP(D1259,'Species Codes'!B:S,18,0)))),IF(OR(D1259="BM",D1259="MD",D1259="OA"),EXP(VLOOKUP(D1259,'Species Codes'!B:O,14,0)+VLOOKUP(D1259,'Species Codes'!B:P,15,0)*LN((E1259*2.54)))*(1-(1/(VLOOKUP(D1259,'Species Codes'!B:Q,16,0)+VLOOKUP(D1259,'Species Codes'!B:R,17,0)*((E1259*2.54)^VLOOKUP(D1259,'Species Codes'!B:S,18,0)))))/1000,IF(D1259="DF",EXP(VLOOKUP(D1259,'Species Codes'!B:O,14,0)+VLOOKUP(D1259,'Species Codes'!B:P,15,0)*LN((E1259*2.54))),VLOOKUP(D1259,'Species Codes'!B:O,14,0)+VLOOKUP(D1259,'Species Codes'!B:P,15,0)*(((E1259*2.54)/100)^2)*(I1259*0.3048)))))*0.0011023),0)</f>
        <v>#N/A</v>
      </c>
      <c r="AD1259" s="104" t="e">
        <f t="shared" si="571"/>
        <v>#N/A</v>
      </c>
      <c r="AE1259" s="104" t="e">
        <f t="shared" si="572"/>
        <v>#N/A</v>
      </c>
      <c r="AF1259" s="104" t="e">
        <f>IF(AND(VLOOKUP($D1259,Merchantability!$B:$C,2,0)="Yes",$E1259&gt;=VLOOKUP($D1259,Merchantability!$B:$D,3,0),$E1259&lt;=VLOOKUP($D1259,Merchantability!$B:$E,4,0)),AA1259,0)</f>
        <v>#N/A</v>
      </c>
      <c r="AG1259" s="104" t="e">
        <f>IF(AND(VLOOKUP($D1259,Merchantability!$B:$C,2,0)="Yes",$E1259&gt;=VLOOKUP($D1259,Merchantability!$B:$D,3,0),$E1259&lt;=VLOOKUP($D1259,Merchantability!$B:$E,4,0)),AB1259,0)</f>
        <v>#N/A</v>
      </c>
      <c r="AH1259" s="104" t="e">
        <f>IF(AND(VLOOKUP($D1259,Merchantability!$B:$C,2,0)="Yes",$E1259&gt;=VLOOKUP($D1259,Merchantability!$B:$D,3,0),$E1259&lt;=VLOOKUP($D1259,Merchantability!$B:$E,4,0)),AC1259,0)</f>
        <v>#N/A</v>
      </c>
      <c r="AI1259" s="104" t="e">
        <f t="shared" si="573"/>
        <v>#N/A</v>
      </c>
      <c r="AJ1259" s="104" t="e">
        <f t="shared" si="574"/>
        <v>#VALUE!</v>
      </c>
      <c r="AK1259" s="104" t="e">
        <f t="shared" si="575"/>
        <v>#N/A</v>
      </c>
      <c r="AL1259" s="104" t="e">
        <f t="shared" si="576"/>
        <v>#N/A</v>
      </c>
      <c r="AM1259" s="104" t="e">
        <f t="shared" si="577"/>
        <v>#N/A</v>
      </c>
      <c r="AN1259" s="104" t="e">
        <f t="shared" si="561"/>
        <v>#N/A</v>
      </c>
      <c r="AO1259" s="104" t="e">
        <f t="shared" si="562"/>
        <v>#N/A</v>
      </c>
      <c r="AP1259" s="104" t="e">
        <f t="shared" si="563"/>
        <v>#N/A</v>
      </c>
      <c r="AQ1259" s="104" t="e">
        <f t="shared" si="564"/>
        <v>#N/A</v>
      </c>
      <c r="AR1259" s="105" t="str">
        <f t="shared" si="556"/>
        <v/>
      </c>
      <c r="AS1259" s="105" t="str">
        <f t="shared" si="557"/>
        <v/>
      </c>
      <c r="AT1259" s="108" t="str">
        <f t="shared" si="558"/>
        <v/>
      </c>
      <c r="AU1259" s="108" t="str">
        <f t="shared" si="559"/>
        <v/>
      </c>
      <c r="AV1259" s="107" t="str">
        <f>IF(ISNUMBER(O1259),IF(VLOOKUP($A1259,Stand!C:J,8,FALSE)="Short",AT1259,AU1259),"")</f>
        <v/>
      </c>
      <c r="AW1259" s="109" t="str">
        <f t="shared" si="565"/>
        <v/>
      </c>
      <c r="AX1259" s="109" t="str">
        <f t="shared" si="566"/>
        <v/>
      </c>
      <c r="AY1259" s="112" t="str">
        <f>IF(ISNUMBER(O1259),IF(AND(VLOOKUP($D1259,Merchantability!$B:$C,2,0)="Yes",$E1259&gt;=VLOOKUP($D1259,Merchantability!$B:$D,3,0),$E1259&lt;=VLOOKUP($D1259,Merchantability!$B:$E,4,0)),(AV1259*O1259)*(1-$H1259/100),""),"")</f>
        <v/>
      </c>
      <c r="AZ1259" s="116"/>
      <c r="BA1259" s="116"/>
      <c r="BB1259" s="116"/>
      <c r="BE1259" s="62"/>
      <c r="BF1259" s="63"/>
    </row>
    <row r="1260" spans="1:58" ht="12.75" customHeight="1" x14ac:dyDescent="0.25">
      <c r="A1260" s="333"/>
      <c r="B1260" s="334"/>
      <c r="C1260" s="332"/>
      <c r="D1260" s="334"/>
      <c r="E1260" s="335"/>
      <c r="F1260" s="334"/>
      <c r="G1260" s="332"/>
      <c r="H1260" s="332"/>
      <c r="I1260" s="334"/>
      <c r="J1260" s="336"/>
      <c r="K1260" s="332"/>
      <c r="L1260" s="332"/>
      <c r="M1260" s="76"/>
      <c r="N1260" s="103" t="str">
        <f>IF(A1260="","",VLOOKUP(A1260,Stand!C:K,9,0))</f>
        <v/>
      </c>
      <c r="O1260" s="104" t="str">
        <f t="shared" si="551"/>
        <v/>
      </c>
      <c r="P1260" s="105" t="str">
        <f t="shared" si="552"/>
        <v/>
      </c>
      <c r="Q1260" s="105" t="str">
        <f t="shared" si="567"/>
        <v/>
      </c>
      <c r="R1260" s="103" t="str">
        <f t="shared" si="553"/>
        <v/>
      </c>
      <c r="S1260" s="103" t="str">
        <f t="shared" si="554"/>
        <v/>
      </c>
      <c r="T1260" s="106" t="str">
        <f t="shared" si="568"/>
        <v/>
      </c>
      <c r="U1260" s="106" t="str">
        <f t="shared" si="569"/>
        <v/>
      </c>
      <c r="V1260" s="106" t="str">
        <f t="shared" si="570"/>
        <v/>
      </c>
      <c r="W1260" s="105" t="str">
        <f t="shared" si="555"/>
        <v/>
      </c>
      <c r="X1260" s="104" t="str">
        <f t="shared" si="560"/>
        <v/>
      </c>
      <c r="Y1260" s="104" t="str">
        <f t="array" ref="Y1260">IFERROR(IF(ISNUMBER(O1260),IF(COUNT(IF(A1260=$A$2:$A$2427,IF(D1260=$D$2:$D$2427,IF($X$2:$X$2427&gt;0,1))))&gt;0,SUM(IF(A1260=$A$2:$A$2427,IF(D1260=$D$2:$D$2427,$X$2:$X$2427)))/COUNT(IF(A1260=$A$2:$A$2427,IF(D1260=$D$2:$D$2427,IF(ISNUMBER($X$2:$X$2427),1)))),0),""),0)</f>
        <v/>
      </c>
      <c r="Z1260" s="104" t="str">
        <f>IF(ISNUMBER(O1260),IF(I1260&gt;0,(10^(VLOOKUP(D1260,'Species Codes'!B:C,2,0)+VLOOKUP(D1260,'Species Codes'!B:D,3,0)*LOG(E1260)+VLOOKUP(D1260,'Species Codes'!B:E,4,0)*LOG(I1260))),0),"")</f>
        <v/>
      </c>
      <c r="AA1260" s="104" t="str">
        <f>IFERROR((VLOOKUP(D1260,'Species Codes'!B:G,6,0)*Z1260)/2000,"")</f>
        <v/>
      </c>
      <c r="AB1260" s="104" t="e">
        <f>IF(Z1260&gt;0,((IF(OR(D1260="DF",D1260="RA")=TRUE,EXP(VLOOKUP(D1260,'Species Codes'!B:I,8,0)+VLOOKUP(D1260,'Species Codes'!B:J,9,0)*(LN((E1260*2.54)))),IF(OR(D1260="PY",D1260="RC",D1260="WH",D1260="NF")=TRUE,VLOOKUP(D1260,'Species Codes'!B:I,8,0)+VLOOKUP(D1260,'Species Codes'!B:J,9,0)*((E1260*2.54)^2)*(I1260*0.3048),IF(OR(D1260="MD",D1260="BM",D1260="GA")=TRUE,((VLOOKUP(D1260,'Species Codes'!B:I,8,0)*(((((E1260*2.54)+VLOOKUP(D1260,'Species Codes'!B:J,9,0))/VLOOKUP(D1260,'Species Codes'!B:K,10,0))^VLOOKUP(D1260,'Species Codes'!B:L,11,0))*((I1260*0.3048)^VLOOKUP(D1260,'Species Codes'!B:M,12,0))))-(VLOOKUP(D1260,'Species Codes'!B:I,8,0)*((((E1260*2.54)^VLOOKUP(D1260,'Species Codes'!B:L,11,0))*((I1260*0.3048)^VLOOKUP(D1260,'Species Codes'!B:M,12,0))))))*35.3*VLOOKUP(D1260,'Species Codes'!B:G,6,0)/2.2046,VLOOKUP(D1260,'Species Codes'!B:I,8,0)+VLOOKUP(D1260,'Species Codes'!B:J,9,0)*(((E1260*2.54)/100)^2)*(I1260*0.3048)))))*0.0011023),0)</f>
        <v>#N/A</v>
      </c>
      <c r="AC1260" s="104" t="e">
        <f>IF(Z1260&gt;0,((IF(OR(D1260="RA",D1260="OA",D1260="OT",D1260="UN",D1260="PC"),EXP(VLOOKUP(D1260,'Species Codes'!B:O,14,0)+VLOOKUP(D1260,'Species Codes'!B:P,15,0)*LN((E1260*2.54)))-EXP(VLOOKUP(D1260,'Species Codes'!B:O,14,0)+VLOOKUP(D1260,'Species Codes'!B:P,15,0)*LN((E1260*2.54)))*(1/(VLOOKUP(D1260,'Species Codes'!B:Q,16,0)+VLOOKUP(D1260,'Species Codes'!B:R,17,0)*((E1260*2.54)^VLOOKUP(D1260,'Species Codes'!B:S,18,0)))),IF(OR(D1260="BM",D1260="MD",D1260="OA"),EXP(VLOOKUP(D1260,'Species Codes'!B:O,14,0)+VLOOKUP(D1260,'Species Codes'!B:P,15,0)*LN((E1260*2.54)))*(1-(1/(VLOOKUP(D1260,'Species Codes'!B:Q,16,0)+VLOOKUP(D1260,'Species Codes'!B:R,17,0)*((E1260*2.54)^VLOOKUP(D1260,'Species Codes'!B:S,18,0)))))/1000,IF(D1260="DF",EXP(VLOOKUP(D1260,'Species Codes'!B:O,14,0)+VLOOKUP(D1260,'Species Codes'!B:P,15,0)*LN((E1260*2.54))),VLOOKUP(D1260,'Species Codes'!B:O,14,0)+VLOOKUP(D1260,'Species Codes'!B:P,15,0)*(((E1260*2.54)/100)^2)*(I1260*0.3048)))))*0.0011023),0)</f>
        <v>#N/A</v>
      </c>
      <c r="AD1260" s="104" t="e">
        <f t="shared" si="571"/>
        <v>#N/A</v>
      </c>
      <c r="AE1260" s="104" t="e">
        <f t="shared" si="572"/>
        <v>#N/A</v>
      </c>
      <c r="AF1260" s="104" t="e">
        <f>IF(AND(VLOOKUP($D1260,Merchantability!$B:$C,2,0)="Yes",$E1260&gt;=VLOOKUP($D1260,Merchantability!$B:$D,3,0),$E1260&lt;=VLOOKUP($D1260,Merchantability!$B:$E,4,0)),AA1260,0)</f>
        <v>#N/A</v>
      </c>
      <c r="AG1260" s="104" t="e">
        <f>IF(AND(VLOOKUP($D1260,Merchantability!$B:$C,2,0)="Yes",$E1260&gt;=VLOOKUP($D1260,Merchantability!$B:$D,3,0),$E1260&lt;=VLOOKUP($D1260,Merchantability!$B:$E,4,0)),AB1260,0)</f>
        <v>#N/A</v>
      </c>
      <c r="AH1260" s="104" t="e">
        <f>IF(AND(VLOOKUP($D1260,Merchantability!$B:$C,2,0)="Yes",$E1260&gt;=VLOOKUP($D1260,Merchantability!$B:$D,3,0),$E1260&lt;=VLOOKUP($D1260,Merchantability!$B:$E,4,0)),AC1260,0)</f>
        <v>#N/A</v>
      </c>
      <c r="AI1260" s="104" t="e">
        <f t="shared" si="573"/>
        <v>#N/A</v>
      </c>
      <c r="AJ1260" s="104" t="e">
        <f t="shared" si="574"/>
        <v>#VALUE!</v>
      </c>
      <c r="AK1260" s="104" t="e">
        <f t="shared" si="575"/>
        <v>#N/A</v>
      </c>
      <c r="AL1260" s="104" t="e">
        <f t="shared" si="576"/>
        <v>#N/A</v>
      </c>
      <c r="AM1260" s="104" t="e">
        <f t="shared" si="577"/>
        <v>#N/A</v>
      </c>
      <c r="AN1260" s="104" t="e">
        <f t="shared" si="561"/>
        <v>#N/A</v>
      </c>
      <c r="AO1260" s="104" t="e">
        <f t="shared" si="562"/>
        <v>#N/A</v>
      </c>
      <c r="AP1260" s="104" t="e">
        <f t="shared" si="563"/>
        <v>#N/A</v>
      </c>
      <c r="AQ1260" s="104" t="e">
        <f t="shared" si="564"/>
        <v>#N/A</v>
      </c>
      <c r="AR1260" s="105" t="str">
        <f t="shared" si="556"/>
        <v/>
      </c>
      <c r="AS1260" s="105" t="str">
        <f t="shared" si="557"/>
        <v/>
      </c>
      <c r="AT1260" s="108" t="str">
        <f t="shared" si="558"/>
        <v/>
      </c>
      <c r="AU1260" s="108" t="str">
        <f t="shared" si="559"/>
        <v/>
      </c>
      <c r="AV1260" s="107" t="str">
        <f>IF(ISNUMBER(O1260),IF(VLOOKUP($A1260,Stand!C:J,8,FALSE)="Short",AT1260,AU1260),"")</f>
        <v/>
      </c>
      <c r="AW1260" s="109" t="str">
        <f t="shared" si="565"/>
        <v/>
      </c>
      <c r="AX1260" s="109" t="str">
        <f t="shared" si="566"/>
        <v/>
      </c>
      <c r="AY1260" s="112" t="str">
        <f>IF(ISNUMBER(O1260),IF(AND(VLOOKUP($D1260,Merchantability!$B:$C,2,0)="Yes",$E1260&gt;=VLOOKUP($D1260,Merchantability!$B:$D,3,0),$E1260&lt;=VLOOKUP($D1260,Merchantability!$B:$E,4,0)),(AV1260*O1260)*(1-$H1260/100),""),"")</f>
        <v/>
      </c>
      <c r="AZ1260" s="116"/>
      <c r="BA1260" s="116"/>
      <c r="BB1260" s="116"/>
      <c r="BE1260" s="62"/>
      <c r="BF1260" s="63"/>
    </row>
    <row r="1261" spans="1:58" ht="12.75" customHeight="1" x14ac:dyDescent="0.25">
      <c r="A1261" s="333"/>
      <c r="B1261" s="334"/>
      <c r="C1261" s="332"/>
      <c r="D1261" s="334"/>
      <c r="E1261" s="335"/>
      <c r="F1261" s="334"/>
      <c r="G1261" s="332"/>
      <c r="H1261" s="332"/>
      <c r="I1261" s="334"/>
      <c r="J1261" s="336"/>
      <c r="K1261" s="332"/>
      <c r="L1261" s="332"/>
      <c r="M1261" s="76"/>
      <c r="N1261" s="103" t="str">
        <f>IF(A1261="","",VLOOKUP(A1261,Stand!C:K,9,0))</f>
        <v/>
      </c>
      <c r="O1261" s="104" t="str">
        <f t="shared" si="551"/>
        <v/>
      </c>
      <c r="P1261" s="105" t="str">
        <f t="shared" si="552"/>
        <v/>
      </c>
      <c r="Q1261" s="105" t="str">
        <f t="shared" si="567"/>
        <v/>
      </c>
      <c r="R1261" s="103" t="str">
        <f t="shared" si="553"/>
        <v/>
      </c>
      <c r="S1261" s="103" t="str">
        <f t="shared" si="554"/>
        <v/>
      </c>
      <c r="T1261" s="106" t="str">
        <f t="shared" si="568"/>
        <v/>
      </c>
      <c r="U1261" s="106" t="str">
        <f t="shared" si="569"/>
        <v/>
      </c>
      <c r="V1261" s="106" t="str">
        <f t="shared" si="570"/>
        <v/>
      </c>
      <c r="W1261" s="105" t="str">
        <f t="shared" si="555"/>
        <v/>
      </c>
      <c r="X1261" s="104" t="str">
        <f t="shared" si="560"/>
        <v/>
      </c>
      <c r="Y1261" s="104" t="str">
        <f t="array" ref="Y1261">IFERROR(IF(ISNUMBER(O1261),IF(COUNT(IF(A1261=$A$2:$A$2427,IF(D1261=$D$2:$D$2427,IF($X$2:$X$2427&gt;0,1))))&gt;0,SUM(IF(A1261=$A$2:$A$2427,IF(D1261=$D$2:$D$2427,$X$2:$X$2427)))/COUNT(IF(A1261=$A$2:$A$2427,IF(D1261=$D$2:$D$2427,IF(ISNUMBER($X$2:$X$2427),1)))),0),""),0)</f>
        <v/>
      </c>
      <c r="Z1261" s="104" t="str">
        <f>IF(ISNUMBER(O1261),IF(I1261&gt;0,(10^(VLOOKUP(D1261,'Species Codes'!B:C,2,0)+VLOOKUP(D1261,'Species Codes'!B:D,3,0)*LOG(E1261)+VLOOKUP(D1261,'Species Codes'!B:E,4,0)*LOG(I1261))),0),"")</f>
        <v/>
      </c>
      <c r="AA1261" s="104" t="str">
        <f>IFERROR((VLOOKUP(D1261,'Species Codes'!B:G,6,0)*Z1261)/2000,"")</f>
        <v/>
      </c>
      <c r="AB1261" s="104" t="e">
        <f>IF(Z1261&gt;0,((IF(OR(D1261="DF",D1261="RA")=TRUE,EXP(VLOOKUP(D1261,'Species Codes'!B:I,8,0)+VLOOKUP(D1261,'Species Codes'!B:J,9,0)*(LN((E1261*2.54)))),IF(OR(D1261="PY",D1261="RC",D1261="WH",D1261="NF")=TRUE,VLOOKUP(D1261,'Species Codes'!B:I,8,0)+VLOOKUP(D1261,'Species Codes'!B:J,9,0)*((E1261*2.54)^2)*(I1261*0.3048),IF(OR(D1261="MD",D1261="BM",D1261="GA")=TRUE,((VLOOKUP(D1261,'Species Codes'!B:I,8,0)*(((((E1261*2.54)+VLOOKUP(D1261,'Species Codes'!B:J,9,0))/VLOOKUP(D1261,'Species Codes'!B:K,10,0))^VLOOKUP(D1261,'Species Codes'!B:L,11,0))*((I1261*0.3048)^VLOOKUP(D1261,'Species Codes'!B:M,12,0))))-(VLOOKUP(D1261,'Species Codes'!B:I,8,0)*((((E1261*2.54)^VLOOKUP(D1261,'Species Codes'!B:L,11,0))*((I1261*0.3048)^VLOOKUP(D1261,'Species Codes'!B:M,12,0))))))*35.3*VLOOKUP(D1261,'Species Codes'!B:G,6,0)/2.2046,VLOOKUP(D1261,'Species Codes'!B:I,8,0)+VLOOKUP(D1261,'Species Codes'!B:J,9,0)*(((E1261*2.54)/100)^2)*(I1261*0.3048)))))*0.0011023),0)</f>
        <v>#N/A</v>
      </c>
      <c r="AC1261" s="104" t="e">
        <f>IF(Z1261&gt;0,((IF(OR(D1261="RA",D1261="OA",D1261="OT",D1261="UN",D1261="PC"),EXP(VLOOKUP(D1261,'Species Codes'!B:O,14,0)+VLOOKUP(D1261,'Species Codes'!B:P,15,0)*LN((E1261*2.54)))-EXP(VLOOKUP(D1261,'Species Codes'!B:O,14,0)+VLOOKUP(D1261,'Species Codes'!B:P,15,0)*LN((E1261*2.54)))*(1/(VLOOKUP(D1261,'Species Codes'!B:Q,16,0)+VLOOKUP(D1261,'Species Codes'!B:R,17,0)*((E1261*2.54)^VLOOKUP(D1261,'Species Codes'!B:S,18,0)))),IF(OR(D1261="BM",D1261="MD",D1261="OA"),EXP(VLOOKUP(D1261,'Species Codes'!B:O,14,0)+VLOOKUP(D1261,'Species Codes'!B:P,15,0)*LN((E1261*2.54)))*(1-(1/(VLOOKUP(D1261,'Species Codes'!B:Q,16,0)+VLOOKUP(D1261,'Species Codes'!B:R,17,0)*((E1261*2.54)^VLOOKUP(D1261,'Species Codes'!B:S,18,0)))))/1000,IF(D1261="DF",EXP(VLOOKUP(D1261,'Species Codes'!B:O,14,0)+VLOOKUP(D1261,'Species Codes'!B:P,15,0)*LN((E1261*2.54))),VLOOKUP(D1261,'Species Codes'!B:O,14,0)+VLOOKUP(D1261,'Species Codes'!B:P,15,0)*(((E1261*2.54)/100)^2)*(I1261*0.3048)))))*0.0011023),0)</f>
        <v>#N/A</v>
      </c>
      <c r="AD1261" s="104" t="e">
        <f t="shared" si="571"/>
        <v>#N/A</v>
      </c>
      <c r="AE1261" s="104" t="e">
        <f t="shared" si="572"/>
        <v>#N/A</v>
      </c>
      <c r="AF1261" s="104" t="e">
        <f>IF(AND(VLOOKUP($D1261,Merchantability!$B:$C,2,0)="Yes",$E1261&gt;=VLOOKUP($D1261,Merchantability!$B:$D,3,0),$E1261&lt;=VLOOKUP($D1261,Merchantability!$B:$E,4,0)),AA1261,0)</f>
        <v>#N/A</v>
      </c>
      <c r="AG1261" s="104" t="e">
        <f>IF(AND(VLOOKUP($D1261,Merchantability!$B:$C,2,0)="Yes",$E1261&gt;=VLOOKUP($D1261,Merchantability!$B:$D,3,0),$E1261&lt;=VLOOKUP($D1261,Merchantability!$B:$E,4,0)),AB1261,0)</f>
        <v>#N/A</v>
      </c>
      <c r="AH1261" s="104" t="e">
        <f>IF(AND(VLOOKUP($D1261,Merchantability!$B:$C,2,0)="Yes",$E1261&gt;=VLOOKUP($D1261,Merchantability!$B:$D,3,0),$E1261&lt;=VLOOKUP($D1261,Merchantability!$B:$E,4,0)),AC1261,0)</f>
        <v>#N/A</v>
      </c>
      <c r="AI1261" s="104" t="e">
        <f t="shared" si="573"/>
        <v>#N/A</v>
      </c>
      <c r="AJ1261" s="104" t="e">
        <f t="shared" si="574"/>
        <v>#VALUE!</v>
      </c>
      <c r="AK1261" s="104" t="e">
        <f t="shared" si="575"/>
        <v>#N/A</v>
      </c>
      <c r="AL1261" s="104" t="e">
        <f t="shared" si="576"/>
        <v>#N/A</v>
      </c>
      <c r="AM1261" s="104" t="e">
        <f t="shared" si="577"/>
        <v>#N/A</v>
      </c>
      <c r="AN1261" s="104" t="e">
        <f t="shared" si="561"/>
        <v>#N/A</v>
      </c>
      <c r="AO1261" s="104" t="e">
        <f t="shared" si="562"/>
        <v>#N/A</v>
      </c>
      <c r="AP1261" s="104" t="e">
        <f t="shared" si="563"/>
        <v>#N/A</v>
      </c>
      <c r="AQ1261" s="104" t="e">
        <f t="shared" si="564"/>
        <v>#N/A</v>
      </c>
      <c r="AR1261" s="105" t="str">
        <f t="shared" si="556"/>
        <v/>
      </c>
      <c r="AS1261" s="105" t="str">
        <f t="shared" si="557"/>
        <v/>
      </c>
      <c r="AT1261" s="108" t="str">
        <f t="shared" si="558"/>
        <v/>
      </c>
      <c r="AU1261" s="108" t="str">
        <f t="shared" si="559"/>
        <v/>
      </c>
      <c r="AV1261" s="107" t="str">
        <f>IF(ISNUMBER(O1261),IF(VLOOKUP($A1261,Stand!C:J,8,FALSE)="Short",AT1261,AU1261),"")</f>
        <v/>
      </c>
      <c r="AW1261" s="109" t="str">
        <f t="shared" si="565"/>
        <v/>
      </c>
      <c r="AX1261" s="109" t="str">
        <f t="shared" si="566"/>
        <v/>
      </c>
      <c r="AY1261" s="112" t="str">
        <f>IF(ISNUMBER(O1261),IF(AND(VLOOKUP($D1261,Merchantability!$B:$C,2,0)="Yes",$E1261&gt;=VLOOKUP($D1261,Merchantability!$B:$D,3,0),$E1261&lt;=VLOOKUP($D1261,Merchantability!$B:$E,4,0)),(AV1261*O1261)*(1-$H1261/100),""),"")</f>
        <v/>
      </c>
      <c r="AZ1261" s="116"/>
      <c r="BA1261" s="116"/>
      <c r="BB1261" s="116"/>
      <c r="BE1261" s="62"/>
      <c r="BF1261" s="63"/>
    </row>
    <row r="1262" spans="1:58" ht="12.75" customHeight="1" x14ac:dyDescent="0.25">
      <c r="A1262" s="333"/>
      <c r="B1262" s="334"/>
      <c r="C1262" s="332"/>
      <c r="D1262" s="334"/>
      <c r="E1262" s="335"/>
      <c r="F1262" s="334"/>
      <c r="G1262" s="332"/>
      <c r="H1262" s="332"/>
      <c r="I1262" s="334"/>
      <c r="J1262" s="336"/>
      <c r="K1262" s="332"/>
      <c r="L1262" s="332"/>
      <c r="M1262" s="76"/>
      <c r="N1262" s="103" t="str">
        <f>IF(A1262="","",VLOOKUP(A1262,Stand!C:K,9,0))</f>
        <v/>
      </c>
      <c r="O1262" s="104" t="str">
        <f t="shared" si="551"/>
        <v/>
      </c>
      <c r="P1262" s="105" t="str">
        <f t="shared" si="552"/>
        <v/>
      </c>
      <c r="Q1262" s="105" t="str">
        <f t="shared" si="567"/>
        <v/>
      </c>
      <c r="R1262" s="103" t="str">
        <f t="shared" si="553"/>
        <v/>
      </c>
      <c r="S1262" s="103" t="str">
        <f t="shared" si="554"/>
        <v/>
      </c>
      <c r="T1262" s="106" t="str">
        <f t="shared" si="568"/>
        <v/>
      </c>
      <c r="U1262" s="106" t="str">
        <f t="shared" si="569"/>
        <v/>
      </c>
      <c r="V1262" s="106" t="str">
        <f t="shared" si="570"/>
        <v/>
      </c>
      <c r="W1262" s="105" t="str">
        <f t="shared" si="555"/>
        <v/>
      </c>
      <c r="X1262" s="104" t="str">
        <f t="shared" si="560"/>
        <v/>
      </c>
      <c r="Y1262" s="104" t="str">
        <f t="array" ref="Y1262">IFERROR(IF(ISNUMBER(O1262),IF(COUNT(IF(A1262=$A$2:$A$2427,IF(D1262=$D$2:$D$2427,IF($X$2:$X$2427&gt;0,1))))&gt;0,SUM(IF(A1262=$A$2:$A$2427,IF(D1262=$D$2:$D$2427,$X$2:$X$2427)))/COUNT(IF(A1262=$A$2:$A$2427,IF(D1262=$D$2:$D$2427,IF(ISNUMBER($X$2:$X$2427),1)))),0),""),0)</f>
        <v/>
      </c>
      <c r="Z1262" s="104" t="str">
        <f>IF(ISNUMBER(O1262),IF(I1262&gt;0,(10^(VLOOKUP(D1262,'Species Codes'!B:C,2,0)+VLOOKUP(D1262,'Species Codes'!B:D,3,0)*LOG(E1262)+VLOOKUP(D1262,'Species Codes'!B:E,4,0)*LOG(I1262))),0),"")</f>
        <v/>
      </c>
      <c r="AA1262" s="104" t="str">
        <f>IFERROR((VLOOKUP(D1262,'Species Codes'!B:G,6,0)*Z1262)/2000,"")</f>
        <v/>
      </c>
      <c r="AB1262" s="104" t="e">
        <f>IF(Z1262&gt;0,((IF(OR(D1262="DF",D1262="RA")=TRUE,EXP(VLOOKUP(D1262,'Species Codes'!B:I,8,0)+VLOOKUP(D1262,'Species Codes'!B:J,9,0)*(LN((E1262*2.54)))),IF(OR(D1262="PY",D1262="RC",D1262="WH",D1262="NF")=TRUE,VLOOKUP(D1262,'Species Codes'!B:I,8,0)+VLOOKUP(D1262,'Species Codes'!B:J,9,0)*((E1262*2.54)^2)*(I1262*0.3048),IF(OR(D1262="MD",D1262="BM",D1262="GA")=TRUE,((VLOOKUP(D1262,'Species Codes'!B:I,8,0)*(((((E1262*2.54)+VLOOKUP(D1262,'Species Codes'!B:J,9,0))/VLOOKUP(D1262,'Species Codes'!B:K,10,0))^VLOOKUP(D1262,'Species Codes'!B:L,11,0))*((I1262*0.3048)^VLOOKUP(D1262,'Species Codes'!B:M,12,0))))-(VLOOKUP(D1262,'Species Codes'!B:I,8,0)*((((E1262*2.54)^VLOOKUP(D1262,'Species Codes'!B:L,11,0))*((I1262*0.3048)^VLOOKUP(D1262,'Species Codes'!B:M,12,0))))))*35.3*VLOOKUP(D1262,'Species Codes'!B:G,6,0)/2.2046,VLOOKUP(D1262,'Species Codes'!B:I,8,0)+VLOOKUP(D1262,'Species Codes'!B:J,9,0)*(((E1262*2.54)/100)^2)*(I1262*0.3048)))))*0.0011023),0)</f>
        <v>#N/A</v>
      </c>
      <c r="AC1262" s="104" t="e">
        <f>IF(Z1262&gt;0,((IF(OR(D1262="RA",D1262="OA",D1262="OT",D1262="UN",D1262="PC"),EXP(VLOOKUP(D1262,'Species Codes'!B:O,14,0)+VLOOKUP(D1262,'Species Codes'!B:P,15,0)*LN((E1262*2.54)))-EXP(VLOOKUP(D1262,'Species Codes'!B:O,14,0)+VLOOKUP(D1262,'Species Codes'!B:P,15,0)*LN((E1262*2.54)))*(1/(VLOOKUP(D1262,'Species Codes'!B:Q,16,0)+VLOOKUP(D1262,'Species Codes'!B:R,17,0)*((E1262*2.54)^VLOOKUP(D1262,'Species Codes'!B:S,18,0)))),IF(OR(D1262="BM",D1262="MD",D1262="OA"),EXP(VLOOKUP(D1262,'Species Codes'!B:O,14,0)+VLOOKUP(D1262,'Species Codes'!B:P,15,0)*LN((E1262*2.54)))*(1-(1/(VLOOKUP(D1262,'Species Codes'!B:Q,16,0)+VLOOKUP(D1262,'Species Codes'!B:R,17,0)*((E1262*2.54)^VLOOKUP(D1262,'Species Codes'!B:S,18,0)))))/1000,IF(D1262="DF",EXP(VLOOKUP(D1262,'Species Codes'!B:O,14,0)+VLOOKUP(D1262,'Species Codes'!B:P,15,0)*LN((E1262*2.54))),VLOOKUP(D1262,'Species Codes'!B:O,14,0)+VLOOKUP(D1262,'Species Codes'!B:P,15,0)*(((E1262*2.54)/100)^2)*(I1262*0.3048)))))*0.0011023),0)</f>
        <v>#N/A</v>
      </c>
      <c r="AD1262" s="104" t="e">
        <f t="shared" si="571"/>
        <v>#N/A</v>
      </c>
      <c r="AE1262" s="104" t="e">
        <f t="shared" si="572"/>
        <v>#N/A</v>
      </c>
      <c r="AF1262" s="104" t="e">
        <f>IF(AND(VLOOKUP($D1262,Merchantability!$B:$C,2,0)="Yes",$E1262&gt;=VLOOKUP($D1262,Merchantability!$B:$D,3,0),$E1262&lt;=VLOOKUP($D1262,Merchantability!$B:$E,4,0)),AA1262,0)</f>
        <v>#N/A</v>
      </c>
      <c r="AG1262" s="104" t="e">
        <f>IF(AND(VLOOKUP($D1262,Merchantability!$B:$C,2,0)="Yes",$E1262&gt;=VLOOKUP($D1262,Merchantability!$B:$D,3,0),$E1262&lt;=VLOOKUP($D1262,Merchantability!$B:$E,4,0)),AB1262,0)</f>
        <v>#N/A</v>
      </c>
      <c r="AH1262" s="104" t="e">
        <f>IF(AND(VLOOKUP($D1262,Merchantability!$B:$C,2,0)="Yes",$E1262&gt;=VLOOKUP($D1262,Merchantability!$B:$D,3,0),$E1262&lt;=VLOOKUP($D1262,Merchantability!$B:$E,4,0)),AC1262,0)</f>
        <v>#N/A</v>
      </c>
      <c r="AI1262" s="104" t="e">
        <f t="shared" si="573"/>
        <v>#N/A</v>
      </c>
      <c r="AJ1262" s="104" t="e">
        <f t="shared" si="574"/>
        <v>#VALUE!</v>
      </c>
      <c r="AK1262" s="104" t="e">
        <f t="shared" si="575"/>
        <v>#N/A</v>
      </c>
      <c r="AL1262" s="104" t="e">
        <f t="shared" si="576"/>
        <v>#N/A</v>
      </c>
      <c r="AM1262" s="104" t="e">
        <f t="shared" si="577"/>
        <v>#N/A</v>
      </c>
      <c r="AN1262" s="104" t="e">
        <f t="shared" si="561"/>
        <v>#N/A</v>
      </c>
      <c r="AO1262" s="104" t="e">
        <f t="shared" si="562"/>
        <v>#N/A</v>
      </c>
      <c r="AP1262" s="104" t="e">
        <f t="shared" si="563"/>
        <v>#N/A</v>
      </c>
      <c r="AQ1262" s="104" t="e">
        <f t="shared" si="564"/>
        <v>#N/A</v>
      </c>
      <c r="AR1262" s="105" t="str">
        <f t="shared" si="556"/>
        <v/>
      </c>
      <c r="AS1262" s="105" t="str">
        <f t="shared" si="557"/>
        <v/>
      </c>
      <c r="AT1262" s="108" t="str">
        <f t="shared" si="558"/>
        <v/>
      </c>
      <c r="AU1262" s="108" t="str">
        <f t="shared" si="559"/>
        <v/>
      </c>
      <c r="AV1262" s="107" t="str">
        <f>IF(ISNUMBER(O1262),IF(VLOOKUP($A1262,Stand!C:J,8,FALSE)="Short",AT1262,AU1262),"")</f>
        <v/>
      </c>
      <c r="AW1262" s="109" t="str">
        <f t="shared" si="565"/>
        <v/>
      </c>
      <c r="AX1262" s="109" t="str">
        <f t="shared" si="566"/>
        <v/>
      </c>
      <c r="AY1262" s="112" t="str">
        <f>IF(ISNUMBER(O1262),IF(AND(VLOOKUP($D1262,Merchantability!$B:$C,2,0)="Yes",$E1262&gt;=VLOOKUP($D1262,Merchantability!$B:$D,3,0),$E1262&lt;=VLOOKUP($D1262,Merchantability!$B:$E,4,0)),(AV1262*O1262)*(1-$H1262/100),""),"")</f>
        <v/>
      </c>
      <c r="AZ1262" s="116"/>
      <c r="BA1262" s="116"/>
      <c r="BB1262" s="116"/>
      <c r="BE1262" s="62"/>
      <c r="BF1262" s="63"/>
    </row>
    <row r="1263" spans="1:58" ht="12.75" customHeight="1" x14ac:dyDescent="0.25">
      <c r="A1263" s="333"/>
      <c r="B1263" s="334"/>
      <c r="C1263" s="332"/>
      <c r="D1263" s="334"/>
      <c r="E1263" s="335"/>
      <c r="F1263" s="334"/>
      <c r="G1263" s="332"/>
      <c r="H1263" s="332"/>
      <c r="I1263" s="334"/>
      <c r="J1263" s="336"/>
      <c r="K1263" s="332"/>
      <c r="L1263" s="332"/>
      <c r="M1263" s="76"/>
      <c r="N1263" s="103" t="str">
        <f>IF(A1263="","",VLOOKUP(A1263,Stand!C:K,9,0))</f>
        <v/>
      </c>
      <c r="O1263" s="104" t="str">
        <f t="shared" si="551"/>
        <v/>
      </c>
      <c r="P1263" s="105" t="str">
        <f t="shared" si="552"/>
        <v/>
      </c>
      <c r="Q1263" s="105" t="str">
        <f t="shared" si="567"/>
        <v/>
      </c>
      <c r="R1263" s="103" t="str">
        <f t="shared" si="553"/>
        <v/>
      </c>
      <c r="S1263" s="103" t="str">
        <f t="shared" si="554"/>
        <v/>
      </c>
      <c r="T1263" s="106" t="str">
        <f t="shared" si="568"/>
        <v/>
      </c>
      <c r="U1263" s="106" t="str">
        <f t="shared" si="569"/>
        <v/>
      </c>
      <c r="V1263" s="106" t="str">
        <f t="shared" si="570"/>
        <v/>
      </c>
      <c r="W1263" s="105" t="str">
        <f t="shared" si="555"/>
        <v/>
      </c>
      <c r="X1263" s="104" t="str">
        <f t="shared" si="560"/>
        <v/>
      </c>
      <c r="Y1263" s="104" t="str">
        <f t="array" ref="Y1263">IFERROR(IF(ISNUMBER(O1263),IF(COUNT(IF(A1263=$A$2:$A$2427,IF(D1263=$D$2:$D$2427,IF($X$2:$X$2427&gt;0,1))))&gt;0,SUM(IF(A1263=$A$2:$A$2427,IF(D1263=$D$2:$D$2427,$X$2:$X$2427)))/COUNT(IF(A1263=$A$2:$A$2427,IF(D1263=$D$2:$D$2427,IF(ISNUMBER($X$2:$X$2427),1)))),0),""),0)</f>
        <v/>
      </c>
      <c r="Z1263" s="104" t="str">
        <f>IF(ISNUMBER(O1263),IF(I1263&gt;0,(10^(VLOOKUP(D1263,'Species Codes'!B:C,2,0)+VLOOKUP(D1263,'Species Codes'!B:D,3,0)*LOG(E1263)+VLOOKUP(D1263,'Species Codes'!B:E,4,0)*LOG(I1263))),0),"")</f>
        <v/>
      </c>
      <c r="AA1263" s="104" t="str">
        <f>IFERROR((VLOOKUP(D1263,'Species Codes'!B:G,6,0)*Z1263)/2000,"")</f>
        <v/>
      </c>
      <c r="AB1263" s="104" t="e">
        <f>IF(Z1263&gt;0,((IF(OR(D1263="DF",D1263="RA")=TRUE,EXP(VLOOKUP(D1263,'Species Codes'!B:I,8,0)+VLOOKUP(D1263,'Species Codes'!B:J,9,0)*(LN((E1263*2.54)))),IF(OR(D1263="PY",D1263="RC",D1263="WH",D1263="NF")=TRUE,VLOOKUP(D1263,'Species Codes'!B:I,8,0)+VLOOKUP(D1263,'Species Codes'!B:J,9,0)*((E1263*2.54)^2)*(I1263*0.3048),IF(OR(D1263="MD",D1263="BM",D1263="GA")=TRUE,((VLOOKUP(D1263,'Species Codes'!B:I,8,0)*(((((E1263*2.54)+VLOOKUP(D1263,'Species Codes'!B:J,9,0))/VLOOKUP(D1263,'Species Codes'!B:K,10,0))^VLOOKUP(D1263,'Species Codes'!B:L,11,0))*((I1263*0.3048)^VLOOKUP(D1263,'Species Codes'!B:M,12,0))))-(VLOOKUP(D1263,'Species Codes'!B:I,8,0)*((((E1263*2.54)^VLOOKUP(D1263,'Species Codes'!B:L,11,0))*((I1263*0.3048)^VLOOKUP(D1263,'Species Codes'!B:M,12,0))))))*35.3*VLOOKUP(D1263,'Species Codes'!B:G,6,0)/2.2046,VLOOKUP(D1263,'Species Codes'!B:I,8,0)+VLOOKUP(D1263,'Species Codes'!B:J,9,0)*(((E1263*2.54)/100)^2)*(I1263*0.3048)))))*0.0011023),0)</f>
        <v>#N/A</v>
      </c>
      <c r="AC1263" s="104" t="e">
        <f>IF(Z1263&gt;0,((IF(OR(D1263="RA",D1263="OA",D1263="OT",D1263="UN",D1263="PC"),EXP(VLOOKUP(D1263,'Species Codes'!B:O,14,0)+VLOOKUP(D1263,'Species Codes'!B:P,15,0)*LN((E1263*2.54)))-EXP(VLOOKUP(D1263,'Species Codes'!B:O,14,0)+VLOOKUP(D1263,'Species Codes'!B:P,15,0)*LN((E1263*2.54)))*(1/(VLOOKUP(D1263,'Species Codes'!B:Q,16,0)+VLOOKUP(D1263,'Species Codes'!B:R,17,0)*((E1263*2.54)^VLOOKUP(D1263,'Species Codes'!B:S,18,0)))),IF(OR(D1263="BM",D1263="MD",D1263="OA"),EXP(VLOOKUP(D1263,'Species Codes'!B:O,14,0)+VLOOKUP(D1263,'Species Codes'!B:P,15,0)*LN((E1263*2.54)))*(1-(1/(VLOOKUP(D1263,'Species Codes'!B:Q,16,0)+VLOOKUP(D1263,'Species Codes'!B:R,17,0)*((E1263*2.54)^VLOOKUP(D1263,'Species Codes'!B:S,18,0)))))/1000,IF(D1263="DF",EXP(VLOOKUP(D1263,'Species Codes'!B:O,14,0)+VLOOKUP(D1263,'Species Codes'!B:P,15,0)*LN((E1263*2.54))),VLOOKUP(D1263,'Species Codes'!B:O,14,0)+VLOOKUP(D1263,'Species Codes'!B:P,15,0)*(((E1263*2.54)/100)^2)*(I1263*0.3048)))))*0.0011023),0)</f>
        <v>#N/A</v>
      </c>
      <c r="AD1263" s="104" t="e">
        <f t="shared" si="571"/>
        <v>#N/A</v>
      </c>
      <c r="AE1263" s="104" t="e">
        <f t="shared" si="572"/>
        <v>#N/A</v>
      </c>
      <c r="AF1263" s="104" t="e">
        <f>IF(AND(VLOOKUP($D1263,Merchantability!$B:$C,2,0)="Yes",$E1263&gt;=VLOOKUP($D1263,Merchantability!$B:$D,3,0),$E1263&lt;=VLOOKUP($D1263,Merchantability!$B:$E,4,0)),AA1263,0)</f>
        <v>#N/A</v>
      </c>
      <c r="AG1263" s="104" t="e">
        <f>IF(AND(VLOOKUP($D1263,Merchantability!$B:$C,2,0)="Yes",$E1263&gt;=VLOOKUP($D1263,Merchantability!$B:$D,3,0),$E1263&lt;=VLOOKUP($D1263,Merchantability!$B:$E,4,0)),AB1263,0)</f>
        <v>#N/A</v>
      </c>
      <c r="AH1263" s="104" t="e">
        <f>IF(AND(VLOOKUP($D1263,Merchantability!$B:$C,2,0)="Yes",$E1263&gt;=VLOOKUP($D1263,Merchantability!$B:$D,3,0),$E1263&lt;=VLOOKUP($D1263,Merchantability!$B:$E,4,0)),AC1263,0)</f>
        <v>#N/A</v>
      </c>
      <c r="AI1263" s="104" t="e">
        <f t="shared" si="573"/>
        <v>#N/A</v>
      </c>
      <c r="AJ1263" s="104" t="e">
        <f t="shared" si="574"/>
        <v>#VALUE!</v>
      </c>
      <c r="AK1263" s="104" t="e">
        <f t="shared" si="575"/>
        <v>#N/A</v>
      </c>
      <c r="AL1263" s="104" t="e">
        <f t="shared" si="576"/>
        <v>#N/A</v>
      </c>
      <c r="AM1263" s="104" t="e">
        <f t="shared" si="577"/>
        <v>#N/A</v>
      </c>
      <c r="AN1263" s="104" t="e">
        <f t="shared" si="561"/>
        <v>#N/A</v>
      </c>
      <c r="AO1263" s="104" t="e">
        <f t="shared" si="562"/>
        <v>#N/A</v>
      </c>
      <c r="AP1263" s="104" t="e">
        <f t="shared" si="563"/>
        <v>#N/A</v>
      </c>
      <c r="AQ1263" s="104" t="e">
        <f t="shared" si="564"/>
        <v>#N/A</v>
      </c>
      <c r="AR1263" s="105" t="str">
        <f t="shared" si="556"/>
        <v/>
      </c>
      <c r="AS1263" s="105" t="str">
        <f t="shared" si="557"/>
        <v/>
      </c>
      <c r="AT1263" s="108" t="str">
        <f t="shared" si="558"/>
        <v/>
      </c>
      <c r="AU1263" s="108" t="str">
        <f t="shared" si="559"/>
        <v/>
      </c>
      <c r="AV1263" s="107" t="str">
        <f>IF(ISNUMBER(O1263),IF(VLOOKUP($A1263,Stand!C:J,8,FALSE)="Short",AT1263,AU1263),"")</f>
        <v/>
      </c>
      <c r="AW1263" s="109" t="str">
        <f t="shared" si="565"/>
        <v/>
      </c>
      <c r="AX1263" s="109" t="str">
        <f t="shared" si="566"/>
        <v/>
      </c>
      <c r="AY1263" s="112" t="str">
        <f>IF(ISNUMBER(O1263),IF(AND(VLOOKUP($D1263,Merchantability!$B:$C,2,0)="Yes",$E1263&gt;=VLOOKUP($D1263,Merchantability!$B:$D,3,0),$E1263&lt;=VLOOKUP($D1263,Merchantability!$B:$E,4,0)),(AV1263*O1263)*(1-$H1263/100),""),"")</f>
        <v/>
      </c>
      <c r="AZ1263" s="116"/>
      <c r="BA1263" s="116"/>
      <c r="BB1263" s="116"/>
      <c r="BE1263" s="62"/>
      <c r="BF1263" s="63"/>
    </row>
    <row r="1264" spans="1:58" ht="12.75" customHeight="1" x14ac:dyDescent="0.25">
      <c r="A1264" s="333"/>
      <c r="B1264" s="334"/>
      <c r="C1264" s="332"/>
      <c r="D1264" s="334"/>
      <c r="E1264" s="335"/>
      <c r="F1264" s="334"/>
      <c r="G1264" s="332"/>
      <c r="H1264" s="332"/>
      <c r="I1264" s="334"/>
      <c r="J1264" s="336"/>
      <c r="K1264" s="332"/>
      <c r="L1264" s="332"/>
      <c r="M1264" s="76"/>
      <c r="N1264" s="103" t="str">
        <f>IF(A1264="","",VLOOKUP(A1264,Stand!C:K,9,0))</f>
        <v/>
      </c>
      <c r="O1264" s="104" t="str">
        <f t="shared" si="551"/>
        <v/>
      </c>
      <c r="P1264" s="105" t="str">
        <f t="shared" si="552"/>
        <v/>
      </c>
      <c r="Q1264" s="105" t="str">
        <f t="shared" si="567"/>
        <v/>
      </c>
      <c r="R1264" s="103" t="str">
        <f t="shared" si="553"/>
        <v/>
      </c>
      <c r="S1264" s="103" t="str">
        <f t="shared" si="554"/>
        <v/>
      </c>
      <c r="T1264" s="106" t="str">
        <f t="shared" si="568"/>
        <v/>
      </c>
      <c r="U1264" s="106" t="str">
        <f t="shared" si="569"/>
        <v/>
      </c>
      <c r="V1264" s="106" t="str">
        <f t="shared" si="570"/>
        <v/>
      </c>
      <c r="W1264" s="105" t="str">
        <f t="shared" si="555"/>
        <v/>
      </c>
      <c r="X1264" s="104" t="str">
        <f t="shared" si="560"/>
        <v/>
      </c>
      <c r="Y1264" s="104" t="str">
        <f t="array" ref="Y1264">IFERROR(IF(ISNUMBER(O1264),IF(COUNT(IF(A1264=$A$2:$A$2427,IF(D1264=$D$2:$D$2427,IF($X$2:$X$2427&gt;0,1))))&gt;0,SUM(IF(A1264=$A$2:$A$2427,IF(D1264=$D$2:$D$2427,$X$2:$X$2427)))/COUNT(IF(A1264=$A$2:$A$2427,IF(D1264=$D$2:$D$2427,IF(ISNUMBER($X$2:$X$2427),1)))),0),""),0)</f>
        <v/>
      </c>
      <c r="Z1264" s="104" t="str">
        <f>IF(ISNUMBER(O1264),IF(I1264&gt;0,(10^(VLOOKUP(D1264,'Species Codes'!B:C,2,0)+VLOOKUP(D1264,'Species Codes'!B:D,3,0)*LOG(E1264)+VLOOKUP(D1264,'Species Codes'!B:E,4,0)*LOG(I1264))),0),"")</f>
        <v/>
      </c>
      <c r="AA1264" s="104" t="str">
        <f>IFERROR((VLOOKUP(D1264,'Species Codes'!B:G,6,0)*Z1264)/2000,"")</f>
        <v/>
      </c>
      <c r="AB1264" s="104" t="e">
        <f>IF(Z1264&gt;0,((IF(OR(D1264="DF",D1264="RA")=TRUE,EXP(VLOOKUP(D1264,'Species Codes'!B:I,8,0)+VLOOKUP(D1264,'Species Codes'!B:J,9,0)*(LN((E1264*2.54)))),IF(OR(D1264="PY",D1264="RC",D1264="WH",D1264="NF")=TRUE,VLOOKUP(D1264,'Species Codes'!B:I,8,0)+VLOOKUP(D1264,'Species Codes'!B:J,9,0)*((E1264*2.54)^2)*(I1264*0.3048),IF(OR(D1264="MD",D1264="BM",D1264="GA")=TRUE,((VLOOKUP(D1264,'Species Codes'!B:I,8,0)*(((((E1264*2.54)+VLOOKUP(D1264,'Species Codes'!B:J,9,0))/VLOOKUP(D1264,'Species Codes'!B:K,10,0))^VLOOKUP(D1264,'Species Codes'!B:L,11,0))*((I1264*0.3048)^VLOOKUP(D1264,'Species Codes'!B:M,12,0))))-(VLOOKUP(D1264,'Species Codes'!B:I,8,0)*((((E1264*2.54)^VLOOKUP(D1264,'Species Codes'!B:L,11,0))*((I1264*0.3048)^VLOOKUP(D1264,'Species Codes'!B:M,12,0))))))*35.3*VLOOKUP(D1264,'Species Codes'!B:G,6,0)/2.2046,VLOOKUP(D1264,'Species Codes'!B:I,8,0)+VLOOKUP(D1264,'Species Codes'!B:J,9,0)*(((E1264*2.54)/100)^2)*(I1264*0.3048)))))*0.0011023),0)</f>
        <v>#N/A</v>
      </c>
      <c r="AC1264" s="104" t="e">
        <f>IF(Z1264&gt;0,((IF(OR(D1264="RA",D1264="OA",D1264="OT",D1264="UN",D1264="PC"),EXP(VLOOKUP(D1264,'Species Codes'!B:O,14,0)+VLOOKUP(D1264,'Species Codes'!B:P,15,0)*LN((E1264*2.54)))-EXP(VLOOKUP(D1264,'Species Codes'!B:O,14,0)+VLOOKUP(D1264,'Species Codes'!B:P,15,0)*LN((E1264*2.54)))*(1/(VLOOKUP(D1264,'Species Codes'!B:Q,16,0)+VLOOKUP(D1264,'Species Codes'!B:R,17,0)*((E1264*2.54)^VLOOKUP(D1264,'Species Codes'!B:S,18,0)))),IF(OR(D1264="BM",D1264="MD",D1264="OA"),EXP(VLOOKUP(D1264,'Species Codes'!B:O,14,0)+VLOOKUP(D1264,'Species Codes'!B:P,15,0)*LN((E1264*2.54)))*(1-(1/(VLOOKUP(D1264,'Species Codes'!B:Q,16,0)+VLOOKUP(D1264,'Species Codes'!B:R,17,0)*((E1264*2.54)^VLOOKUP(D1264,'Species Codes'!B:S,18,0)))))/1000,IF(D1264="DF",EXP(VLOOKUP(D1264,'Species Codes'!B:O,14,0)+VLOOKUP(D1264,'Species Codes'!B:P,15,0)*LN((E1264*2.54))),VLOOKUP(D1264,'Species Codes'!B:O,14,0)+VLOOKUP(D1264,'Species Codes'!B:P,15,0)*(((E1264*2.54)/100)^2)*(I1264*0.3048)))))*0.0011023),0)</f>
        <v>#N/A</v>
      </c>
      <c r="AD1264" s="104" t="e">
        <f t="shared" si="571"/>
        <v>#N/A</v>
      </c>
      <c r="AE1264" s="104" t="e">
        <f t="shared" si="572"/>
        <v>#N/A</v>
      </c>
      <c r="AF1264" s="104" t="e">
        <f>IF(AND(VLOOKUP($D1264,Merchantability!$B:$C,2,0)="Yes",$E1264&gt;=VLOOKUP($D1264,Merchantability!$B:$D,3,0),$E1264&lt;=VLOOKUP($D1264,Merchantability!$B:$E,4,0)),AA1264,0)</f>
        <v>#N/A</v>
      </c>
      <c r="AG1264" s="104" t="e">
        <f>IF(AND(VLOOKUP($D1264,Merchantability!$B:$C,2,0)="Yes",$E1264&gt;=VLOOKUP($D1264,Merchantability!$B:$D,3,0),$E1264&lt;=VLOOKUP($D1264,Merchantability!$B:$E,4,0)),AB1264,0)</f>
        <v>#N/A</v>
      </c>
      <c r="AH1264" s="104" t="e">
        <f>IF(AND(VLOOKUP($D1264,Merchantability!$B:$C,2,0)="Yes",$E1264&gt;=VLOOKUP($D1264,Merchantability!$B:$D,3,0),$E1264&lt;=VLOOKUP($D1264,Merchantability!$B:$E,4,0)),AC1264,0)</f>
        <v>#N/A</v>
      </c>
      <c r="AI1264" s="104" t="e">
        <f t="shared" si="573"/>
        <v>#N/A</v>
      </c>
      <c r="AJ1264" s="104" t="e">
        <f t="shared" si="574"/>
        <v>#VALUE!</v>
      </c>
      <c r="AK1264" s="104" t="e">
        <f t="shared" si="575"/>
        <v>#N/A</v>
      </c>
      <c r="AL1264" s="104" t="e">
        <f t="shared" si="576"/>
        <v>#N/A</v>
      </c>
      <c r="AM1264" s="104" t="e">
        <f t="shared" si="577"/>
        <v>#N/A</v>
      </c>
      <c r="AN1264" s="104" t="e">
        <f t="shared" si="561"/>
        <v>#N/A</v>
      </c>
      <c r="AO1264" s="104" t="e">
        <f t="shared" si="562"/>
        <v>#N/A</v>
      </c>
      <c r="AP1264" s="104" t="e">
        <f t="shared" si="563"/>
        <v>#N/A</v>
      </c>
      <c r="AQ1264" s="104" t="e">
        <f t="shared" si="564"/>
        <v>#N/A</v>
      </c>
      <c r="AR1264" s="105" t="str">
        <f t="shared" si="556"/>
        <v/>
      </c>
      <c r="AS1264" s="105" t="str">
        <f t="shared" si="557"/>
        <v/>
      </c>
      <c r="AT1264" s="108" t="str">
        <f t="shared" si="558"/>
        <v/>
      </c>
      <c r="AU1264" s="108" t="str">
        <f t="shared" si="559"/>
        <v/>
      </c>
      <c r="AV1264" s="107" t="str">
        <f>IF(ISNUMBER(O1264),IF(VLOOKUP($A1264,Stand!C:J,8,FALSE)="Short",AT1264,AU1264),"")</f>
        <v/>
      </c>
      <c r="AW1264" s="109" t="str">
        <f t="shared" si="565"/>
        <v/>
      </c>
      <c r="AX1264" s="109" t="str">
        <f t="shared" si="566"/>
        <v/>
      </c>
      <c r="AY1264" s="112" t="str">
        <f>IF(ISNUMBER(O1264),IF(AND(VLOOKUP($D1264,Merchantability!$B:$C,2,0)="Yes",$E1264&gt;=VLOOKUP($D1264,Merchantability!$B:$D,3,0),$E1264&lt;=VLOOKUP($D1264,Merchantability!$B:$E,4,0)),(AV1264*O1264)*(1-$H1264/100),""),"")</f>
        <v/>
      </c>
      <c r="AZ1264" s="116"/>
      <c r="BA1264" s="116"/>
      <c r="BB1264" s="116"/>
      <c r="BE1264" s="62"/>
      <c r="BF1264" s="63"/>
    </row>
    <row r="1265" spans="1:58" ht="12.75" customHeight="1" x14ac:dyDescent="0.25">
      <c r="A1265" s="333"/>
      <c r="B1265" s="334"/>
      <c r="C1265" s="332"/>
      <c r="D1265" s="334"/>
      <c r="E1265" s="335"/>
      <c r="F1265" s="334"/>
      <c r="G1265" s="332"/>
      <c r="H1265" s="332"/>
      <c r="I1265" s="334"/>
      <c r="J1265" s="336"/>
      <c r="K1265" s="332"/>
      <c r="L1265" s="332"/>
      <c r="M1265" s="76"/>
      <c r="N1265" s="103" t="str">
        <f>IF(A1265="","",VLOOKUP(A1265,Stand!C:K,9,0))</f>
        <v/>
      </c>
      <c r="O1265" s="104" t="str">
        <f t="shared" si="551"/>
        <v/>
      </c>
      <c r="P1265" s="105" t="str">
        <f t="shared" si="552"/>
        <v/>
      </c>
      <c r="Q1265" s="105" t="str">
        <f t="shared" si="567"/>
        <v/>
      </c>
      <c r="R1265" s="103" t="str">
        <f t="shared" si="553"/>
        <v/>
      </c>
      <c r="S1265" s="103" t="str">
        <f t="shared" si="554"/>
        <v/>
      </c>
      <c r="T1265" s="106" t="str">
        <f t="shared" si="568"/>
        <v/>
      </c>
      <c r="U1265" s="106" t="str">
        <f t="shared" si="569"/>
        <v/>
      </c>
      <c r="V1265" s="106" t="str">
        <f t="shared" si="570"/>
        <v/>
      </c>
      <c r="W1265" s="105" t="str">
        <f t="shared" si="555"/>
        <v/>
      </c>
      <c r="X1265" s="104" t="str">
        <f t="shared" si="560"/>
        <v/>
      </c>
      <c r="Y1265" s="104" t="str">
        <f t="array" ref="Y1265">IFERROR(IF(ISNUMBER(O1265),IF(COUNT(IF(A1265=$A$2:$A$2427,IF(D1265=$D$2:$D$2427,IF($X$2:$X$2427&gt;0,1))))&gt;0,SUM(IF(A1265=$A$2:$A$2427,IF(D1265=$D$2:$D$2427,$X$2:$X$2427)))/COUNT(IF(A1265=$A$2:$A$2427,IF(D1265=$D$2:$D$2427,IF(ISNUMBER($X$2:$X$2427),1)))),0),""),0)</f>
        <v/>
      </c>
      <c r="Z1265" s="104" t="str">
        <f>IF(ISNUMBER(O1265),IF(I1265&gt;0,(10^(VLOOKUP(D1265,'Species Codes'!B:C,2,0)+VLOOKUP(D1265,'Species Codes'!B:D,3,0)*LOG(E1265)+VLOOKUP(D1265,'Species Codes'!B:E,4,0)*LOG(I1265))),0),"")</f>
        <v/>
      </c>
      <c r="AA1265" s="104" t="str">
        <f>IFERROR((VLOOKUP(D1265,'Species Codes'!B:G,6,0)*Z1265)/2000,"")</f>
        <v/>
      </c>
      <c r="AB1265" s="104" t="e">
        <f>IF(Z1265&gt;0,((IF(OR(D1265="DF",D1265="RA")=TRUE,EXP(VLOOKUP(D1265,'Species Codes'!B:I,8,0)+VLOOKUP(D1265,'Species Codes'!B:J,9,0)*(LN((E1265*2.54)))),IF(OR(D1265="PY",D1265="RC",D1265="WH",D1265="NF")=TRUE,VLOOKUP(D1265,'Species Codes'!B:I,8,0)+VLOOKUP(D1265,'Species Codes'!B:J,9,0)*((E1265*2.54)^2)*(I1265*0.3048),IF(OR(D1265="MD",D1265="BM",D1265="GA")=TRUE,((VLOOKUP(D1265,'Species Codes'!B:I,8,0)*(((((E1265*2.54)+VLOOKUP(D1265,'Species Codes'!B:J,9,0))/VLOOKUP(D1265,'Species Codes'!B:K,10,0))^VLOOKUP(D1265,'Species Codes'!B:L,11,0))*((I1265*0.3048)^VLOOKUP(D1265,'Species Codes'!B:M,12,0))))-(VLOOKUP(D1265,'Species Codes'!B:I,8,0)*((((E1265*2.54)^VLOOKUP(D1265,'Species Codes'!B:L,11,0))*((I1265*0.3048)^VLOOKUP(D1265,'Species Codes'!B:M,12,0))))))*35.3*VLOOKUP(D1265,'Species Codes'!B:G,6,0)/2.2046,VLOOKUP(D1265,'Species Codes'!B:I,8,0)+VLOOKUP(D1265,'Species Codes'!B:J,9,0)*(((E1265*2.54)/100)^2)*(I1265*0.3048)))))*0.0011023),0)</f>
        <v>#N/A</v>
      </c>
      <c r="AC1265" s="104" t="e">
        <f>IF(Z1265&gt;0,((IF(OR(D1265="RA",D1265="OA",D1265="OT",D1265="UN",D1265="PC"),EXP(VLOOKUP(D1265,'Species Codes'!B:O,14,0)+VLOOKUP(D1265,'Species Codes'!B:P,15,0)*LN((E1265*2.54)))-EXP(VLOOKUP(D1265,'Species Codes'!B:O,14,0)+VLOOKUP(D1265,'Species Codes'!B:P,15,0)*LN((E1265*2.54)))*(1/(VLOOKUP(D1265,'Species Codes'!B:Q,16,0)+VLOOKUP(D1265,'Species Codes'!B:R,17,0)*((E1265*2.54)^VLOOKUP(D1265,'Species Codes'!B:S,18,0)))),IF(OR(D1265="BM",D1265="MD",D1265="OA"),EXP(VLOOKUP(D1265,'Species Codes'!B:O,14,0)+VLOOKUP(D1265,'Species Codes'!B:P,15,0)*LN((E1265*2.54)))*(1-(1/(VLOOKUP(D1265,'Species Codes'!B:Q,16,0)+VLOOKUP(D1265,'Species Codes'!B:R,17,0)*((E1265*2.54)^VLOOKUP(D1265,'Species Codes'!B:S,18,0)))))/1000,IF(D1265="DF",EXP(VLOOKUP(D1265,'Species Codes'!B:O,14,0)+VLOOKUP(D1265,'Species Codes'!B:P,15,0)*LN((E1265*2.54))),VLOOKUP(D1265,'Species Codes'!B:O,14,0)+VLOOKUP(D1265,'Species Codes'!B:P,15,0)*(((E1265*2.54)/100)^2)*(I1265*0.3048)))))*0.0011023),0)</f>
        <v>#N/A</v>
      </c>
      <c r="AD1265" s="104" t="e">
        <f t="shared" si="571"/>
        <v>#N/A</v>
      </c>
      <c r="AE1265" s="104" t="e">
        <f t="shared" si="572"/>
        <v>#N/A</v>
      </c>
      <c r="AF1265" s="104" t="e">
        <f>IF(AND(VLOOKUP($D1265,Merchantability!$B:$C,2,0)="Yes",$E1265&gt;=VLOOKUP($D1265,Merchantability!$B:$D,3,0),$E1265&lt;=VLOOKUP($D1265,Merchantability!$B:$E,4,0)),AA1265,0)</f>
        <v>#N/A</v>
      </c>
      <c r="AG1265" s="104" t="e">
        <f>IF(AND(VLOOKUP($D1265,Merchantability!$B:$C,2,0)="Yes",$E1265&gt;=VLOOKUP($D1265,Merchantability!$B:$D,3,0),$E1265&lt;=VLOOKUP($D1265,Merchantability!$B:$E,4,0)),AB1265,0)</f>
        <v>#N/A</v>
      </c>
      <c r="AH1265" s="104" t="e">
        <f>IF(AND(VLOOKUP($D1265,Merchantability!$B:$C,2,0)="Yes",$E1265&gt;=VLOOKUP($D1265,Merchantability!$B:$D,3,0),$E1265&lt;=VLOOKUP($D1265,Merchantability!$B:$E,4,0)),AC1265,0)</f>
        <v>#N/A</v>
      </c>
      <c r="AI1265" s="104" t="e">
        <f t="shared" si="573"/>
        <v>#N/A</v>
      </c>
      <c r="AJ1265" s="104" t="e">
        <f t="shared" si="574"/>
        <v>#VALUE!</v>
      </c>
      <c r="AK1265" s="104" t="e">
        <f t="shared" si="575"/>
        <v>#N/A</v>
      </c>
      <c r="AL1265" s="104" t="e">
        <f t="shared" si="576"/>
        <v>#N/A</v>
      </c>
      <c r="AM1265" s="104" t="e">
        <f t="shared" si="577"/>
        <v>#N/A</v>
      </c>
      <c r="AN1265" s="104" t="e">
        <f t="shared" si="561"/>
        <v>#N/A</v>
      </c>
      <c r="AO1265" s="104" t="e">
        <f t="shared" si="562"/>
        <v>#N/A</v>
      </c>
      <c r="AP1265" s="104" t="e">
        <f t="shared" si="563"/>
        <v>#N/A</v>
      </c>
      <c r="AQ1265" s="104" t="e">
        <f t="shared" si="564"/>
        <v>#N/A</v>
      </c>
      <c r="AR1265" s="105" t="str">
        <f t="shared" si="556"/>
        <v/>
      </c>
      <c r="AS1265" s="105" t="str">
        <f t="shared" si="557"/>
        <v/>
      </c>
      <c r="AT1265" s="108" t="str">
        <f t="shared" si="558"/>
        <v/>
      </c>
      <c r="AU1265" s="108" t="str">
        <f t="shared" si="559"/>
        <v/>
      </c>
      <c r="AV1265" s="107" t="str">
        <f>IF(ISNUMBER(O1265),IF(VLOOKUP($A1265,Stand!C:J,8,FALSE)="Short",AT1265,AU1265),"")</f>
        <v/>
      </c>
      <c r="AW1265" s="109" t="str">
        <f t="shared" si="565"/>
        <v/>
      </c>
      <c r="AX1265" s="109" t="str">
        <f t="shared" si="566"/>
        <v/>
      </c>
      <c r="AY1265" s="112" t="str">
        <f>IF(ISNUMBER(O1265),IF(AND(VLOOKUP($D1265,Merchantability!$B:$C,2,0)="Yes",$E1265&gt;=VLOOKUP($D1265,Merchantability!$B:$D,3,0),$E1265&lt;=VLOOKUP($D1265,Merchantability!$B:$E,4,0)),(AV1265*O1265)*(1-$H1265/100),""),"")</f>
        <v/>
      </c>
      <c r="AZ1265" s="116"/>
      <c r="BA1265" s="116"/>
      <c r="BB1265" s="116"/>
      <c r="BE1265" s="62"/>
      <c r="BF1265" s="63"/>
    </row>
    <row r="1266" spans="1:58" ht="12.75" customHeight="1" x14ac:dyDescent="0.25">
      <c r="A1266" s="333"/>
      <c r="B1266" s="334"/>
      <c r="C1266" s="332"/>
      <c r="D1266" s="334"/>
      <c r="E1266" s="335"/>
      <c r="F1266" s="334"/>
      <c r="G1266" s="332"/>
      <c r="H1266" s="332"/>
      <c r="I1266" s="334"/>
      <c r="J1266" s="336"/>
      <c r="K1266" s="332"/>
      <c r="L1266" s="332"/>
      <c r="M1266" s="76"/>
      <c r="N1266" s="103" t="str">
        <f>IF(A1266="","",VLOOKUP(A1266,Stand!C:K,9,0))</f>
        <v/>
      </c>
      <c r="O1266" s="104" t="str">
        <f t="shared" si="551"/>
        <v/>
      </c>
      <c r="P1266" s="105" t="str">
        <f t="shared" si="552"/>
        <v/>
      </c>
      <c r="Q1266" s="105" t="str">
        <f t="shared" si="567"/>
        <v/>
      </c>
      <c r="R1266" s="103" t="str">
        <f t="shared" si="553"/>
        <v/>
      </c>
      <c r="S1266" s="103" t="str">
        <f t="shared" si="554"/>
        <v/>
      </c>
      <c r="T1266" s="106" t="str">
        <f t="shared" si="568"/>
        <v/>
      </c>
      <c r="U1266" s="106" t="str">
        <f t="shared" si="569"/>
        <v/>
      </c>
      <c r="V1266" s="106" t="str">
        <f t="shared" si="570"/>
        <v/>
      </c>
      <c r="W1266" s="105" t="str">
        <f t="shared" si="555"/>
        <v/>
      </c>
      <c r="X1266" s="104" t="str">
        <f t="shared" si="560"/>
        <v/>
      </c>
      <c r="Y1266" s="104" t="str">
        <f t="array" ref="Y1266">IFERROR(IF(ISNUMBER(O1266),IF(COUNT(IF(A1266=$A$2:$A$2427,IF(D1266=$D$2:$D$2427,IF($X$2:$X$2427&gt;0,1))))&gt;0,SUM(IF(A1266=$A$2:$A$2427,IF(D1266=$D$2:$D$2427,$X$2:$X$2427)))/COUNT(IF(A1266=$A$2:$A$2427,IF(D1266=$D$2:$D$2427,IF(ISNUMBER($X$2:$X$2427),1)))),0),""),0)</f>
        <v/>
      </c>
      <c r="Z1266" s="104" t="str">
        <f>IF(ISNUMBER(O1266),IF(I1266&gt;0,(10^(VLOOKUP(D1266,'Species Codes'!B:C,2,0)+VLOOKUP(D1266,'Species Codes'!B:D,3,0)*LOG(E1266)+VLOOKUP(D1266,'Species Codes'!B:E,4,0)*LOG(I1266))),0),"")</f>
        <v/>
      </c>
      <c r="AA1266" s="104" t="str">
        <f>IFERROR((VLOOKUP(D1266,'Species Codes'!B:G,6,0)*Z1266)/2000,"")</f>
        <v/>
      </c>
      <c r="AB1266" s="104" t="e">
        <f>IF(Z1266&gt;0,((IF(OR(D1266="DF",D1266="RA")=TRUE,EXP(VLOOKUP(D1266,'Species Codes'!B:I,8,0)+VLOOKUP(D1266,'Species Codes'!B:J,9,0)*(LN((E1266*2.54)))),IF(OR(D1266="PY",D1266="RC",D1266="WH",D1266="NF")=TRUE,VLOOKUP(D1266,'Species Codes'!B:I,8,0)+VLOOKUP(D1266,'Species Codes'!B:J,9,0)*((E1266*2.54)^2)*(I1266*0.3048),IF(OR(D1266="MD",D1266="BM",D1266="GA")=TRUE,((VLOOKUP(D1266,'Species Codes'!B:I,8,0)*(((((E1266*2.54)+VLOOKUP(D1266,'Species Codes'!B:J,9,0))/VLOOKUP(D1266,'Species Codes'!B:K,10,0))^VLOOKUP(D1266,'Species Codes'!B:L,11,0))*((I1266*0.3048)^VLOOKUP(D1266,'Species Codes'!B:M,12,0))))-(VLOOKUP(D1266,'Species Codes'!B:I,8,0)*((((E1266*2.54)^VLOOKUP(D1266,'Species Codes'!B:L,11,0))*((I1266*0.3048)^VLOOKUP(D1266,'Species Codes'!B:M,12,0))))))*35.3*VLOOKUP(D1266,'Species Codes'!B:G,6,0)/2.2046,VLOOKUP(D1266,'Species Codes'!B:I,8,0)+VLOOKUP(D1266,'Species Codes'!B:J,9,0)*(((E1266*2.54)/100)^2)*(I1266*0.3048)))))*0.0011023),0)</f>
        <v>#N/A</v>
      </c>
      <c r="AC1266" s="104" t="e">
        <f>IF(Z1266&gt;0,((IF(OR(D1266="RA",D1266="OA",D1266="OT",D1266="UN",D1266="PC"),EXP(VLOOKUP(D1266,'Species Codes'!B:O,14,0)+VLOOKUP(D1266,'Species Codes'!B:P,15,0)*LN((E1266*2.54)))-EXP(VLOOKUP(D1266,'Species Codes'!B:O,14,0)+VLOOKUP(D1266,'Species Codes'!B:P,15,0)*LN((E1266*2.54)))*(1/(VLOOKUP(D1266,'Species Codes'!B:Q,16,0)+VLOOKUP(D1266,'Species Codes'!B:R,17,0)*((E1266*2.54)^VLOOKUP(D1266,'Species Codes'!B:S,18,0)))),IF(OR(D1266="BM",D1266="MD",D1266="OA"),EXP(VLOOKUP(D1266,'Species Codes'!B:O,14,0)+VLOOKUP(D1266,'Species Codes'!B:P,15,0)*LN((E1266*2.54)))*(1-(1/(VLOOKUP(D1266,'Species Codes'!B:Q,16,0)+VLOOKUP(D1266,'Species Codes'!B:R,17,0)*((E1266*2.54)^VLOOKUP(D1266,'Species Codes'!B:S,18,0)))))/1000,IF(D1266="DF",EXP(VLOOKUP(D1266,'Species Codes'!B:O,14,0)+VLOOKUP(D1266,'Species Codes'!B:P,15,0)*LN((E1266*2.54))),VLOOKUP(D1266,'Species Codes'!B:O,14,0)+VLOOKUP(D1266,'Species Codes'!B:P,15,0)*(((E1266*2.54)/100)^2)*(I1266*0.3048)))))*0.0011023),0)</f>
        <v>#N/A</v>
      </c>
      <c r="AD1266" s="104" t="e">
        <f t="shared" si="571"/>
        <v>#N/A</v>
      </c>
      <c r="AE1266" s="104" t="e">
        <f t="shared" si="572"/>
        <v>#N/A</v>
      </c>
      <c r="AF1266" s="104" t="e">
        <f>IF(AND(VLOOKUP($D1266,Merchantability!$B:$C,2,0)="Yes",$E1266&gt;=VLOOKUP($D1266,Merchantability!$B:$D,3,0),$E1266&lt;=VLOOKUP($D1266,Merchantability!$B:$E,4,0)),AA1266,0)</f>
        <v>#N/A</v>
      </c>
      <c r="AG1266" s="104" t="e">
        <f>IF(AND(VLOOKUP($D1266,Merchantability!$B:$C,2,0)="Yes",$E1266&gt;=VLOOKUP($D1266,Merchantability!$B:$D,3,0),$E1266&lt;=VLOOKUP($D1266,Merchantability!$B:$E,4,0)),AB1266,0)</f>
        <v>#N/A</v>
      </c>
      <c r="AH1266" s="104" t="e">
        <f>IF(AND(VLOOKUP($D1266,Merchantability!$B:$C,2,0)="Yes",$E1266&gt;=VLOOKUP($D1266,Merchantability!$B:$D,3,0),$E1266&lt;=VLOOKUP($D1266,Merchantability!$B:$E,4,0)),AC1266,0)</f>
        <v>#N/A</v>
      </c>
      <c r="AI1266" s="104" t="e">
        <f t="shared" si="573"/>
        <v>#N/A</v>
      </c>
      <c r="AJ1266" s="104" t="e">
        <f t="shared" si="574"/>
        <v>#VALUE!</v>
      </c>
      <c r="AK1266" s="104" t="e">
        <f t="shared" si="575"/>
        <v>#N/A</v>
      </c>
      <c r="AL1266" s="104" t="e">
        <f t="shared" si="576"/>
        <v>#N/A</v>
      </c>
      <c r="AM1266" s="104" t="e">
        <f t="shared" si="577"/>
        <v>#N/A</v>
      </c>
      <c r="AN1266" s="104" t="e">
        <f t="shared" si="561"/>
        <v>#N/A</v>
      </c>
      <c r="AO1266" s="104" t="e">
        <f t="shared" si="562"/>
        <v>#N/A</v>
      </c>
      <c r="AP1266" s="104" t="e">
        <f t="shared" si="563"/>
        <v>#N/A</v>
      </c>
      <c r="AQ1266" s="104" t="e">
        <f t="shared" si="564"/>
        <v>#N/A</v>
      </c>
      <c r="AR1266" s="105" t="str">
        <f t="shared" si="556"/>
        <v/>
      </c>
      <c r="AS1266" s="105" t="str">
        <f t="shared" si="557"/>
        <v/>
      </c>
      <c r="AT1266" s="108" t="str">
        <f t="shared" si="558"/>
        <v/>
      </c>
      <c r="AU1266" s="108" t="str">
        <f t="shared" si="559"/>
        <v/>
      </c>
      <c r="AV1266" s="107" t="str">
        <f>IF(ISNUMBER(O1266),IF(VLOOKUP($A1266,Stand!C:J,8,FALSE)="Short",AT1266,AU1266),"")</f>
        <v/>
      </c>
      <c r="AW1266" s="109" t="str">
        <f t="shared" si="565"/>
        <v/>
      </c>
      <c r="AX1266" s="109" t="str">
        <f t="shared" si="566"/>
        <v/>
      </c>
      <c r="AY1266" s="112" t="str">
        <f>IF(ISNUMBER(O1266),IF(AND(VLOOKUP($D1266,Merchantability!$B:$C,2,0)="Yes",$E1266&gt;=VLOOKUP($D1266,Merchantability!$B:$D,3,0),$E1266&lt;=VLOOKUP($D1266,Merchantability!$B:$E,4,0)),(AV1266*O1266)*(1-$H1266/100),""),"")</f>
        <v/>
      </c>
      <c r="AZ1266" s="116"/>
      <c r="BA1266" s="116"/>
      <c r="BB1266" s="116"/>
      <c r="BE1266" s="62"/>
      <c r="BF1266" s="63"/>
    </row>
    <row r="1267" spans="1:58" ht="12.75" customHeight="1" x14ac:dyDescent="0.25">
      <c r="A1267" s="333"/>
      <c r="B1267" s="334"/>
      <c r="C1267" s="332"/>
      <c r="D1267" s="334"/>
      <c r="E1267" s="335"/>
      <c r="F1267" s="334"/>
      <c r="G1267" s="332"/>
      <c r="H1267" s="332"/>
      <c r="I1267" s="334"/>
      <c r="J1267" s="336"/>
      <c r="K1267" s="332"/>
      <c r="L1267" s="332"/>
      <c r="M1267" s="76"/>
      <c r="N1267" s="103" t="str">
        <f>IF(A1267="","",VLOOKUP(A1267,Stand!C:K,9,0))</f>
        <v/>
      </c>
      <c r="O1267" s="104" t="str">
        <f t="shared" si="551"/>
        <v/>
      </c>
      <c r="P1267" s="105" t="str">
        <f t="shared" si="552"/>
        <v/>
      </c>
      <c r="Q1267" s="105" t="str">
        <f t="shared" si="567"/>
        <v/>
      </c>
      <c r="R1267" s="103" t="str">
        <f t="shared" si="553"/>
        <v/>
      </c>
      <c r="S1267" s="103" t="str">
        <f t="shared" si="554"/>
        <v/>
      </c>
      <c r="T1267" s="106" t="str">
        <f t="shared" si="568"/>
        <v/>
      </c>
      <c r="U1267" s="106" t="str">
        <f t="shared" si="569"/>
        <v/>
      </c>
      <c r="V1267" s="106" t="str">
        <f t="shared" si="570"/>
        <v/>
      </c>
      <c r="W1267" s="105" t="str">
        <f t="shared" si="555"/>
        <v/>
      </c>
      <c r="X1267" s="104" t="str">
        <f t="shared" si="560"/>
        <v/>
      </c>
      <c r="Y1267" s="104" t="str">
        <f t="array" ref="Y1267">IFERROR(IF(ISNUMBER(O1267),IF(COUNT(IF(A1267=$A$2:$A$2427,IF(D1267=$D$2:$D$2427,IF($X$2:$X$2427&gt;0,1))))&gt;0,SUM(IF(A1267=$A$2:$A$2427,IF(D1267=$D$2:$D$2427,$X$2:$X$2427)))/COUNT(IF(A1267=$A$2:$A$2427,IF(D1267=$D$2:$D$2427,IF(ISNUMBER($X$2:$X$2427),1)))),0),""),0)</f>
        <v/>
      </c>
      <c r="Z1267" s="104" t="str">
        <f>IF(ISNUMBER(O1267),IF(I1267&gt;0,(10^(VLOOKUP(D1267,'Species Codes'!B:C,2,0)+VLOOKUP(D1267,'Species Codes'!B:D,3,0)*LOG(E1267)+VLOOKUP(D1267,'Species Codes'!B:E,4,0)*LOG(I1267))),0),"")</f>
        <v/>
      </c>
      <c r="AA1267" s="104" t="str">
        <f>IFERROR((VLOOKUP(D1267,'Species Codes'!B:G,6,0)*Z1267)/2000,"")</f>
        <v/>
      </c>
      <c r="AB1267" s="104" t="e">
        <f>IF(Z1267&gt;0,((IF(OR(D1267="DF",D1267="RA")=TRUE,EXP(VLOOKUP(D1267,'Species Codes'!B:I,8,0)+VLOOKUP(D1267,'Species Codes'!B:J,9,0)*(LN((E1267*2.54)))),IF(OR(D1267="PY",D1267="RC",D1267="WH",D1267="NF")=TRUE,VLOOKUP(D1267,'Species Codes'!B:I,8,0)+VLOOKUP(D1267,'Species Codes'!B:J,9,0)*((E1267*2.54)^2)*(I1267*0.3048),IF(OR(D1267="MD",D1267="BM",D1267="GA")=TRUE,((VLOOKUP(D1267,'Species Codes'!B:I,8,0)*(((((E1267*2.54)+VLOOKUP(D1267,'Species Codes'!B:J,9,0))/VLOOKUP(D1267,'Species Codes'!B:K,10,0))^VLOOKUP(D1267,'Species Codes'!B:L,11,0))*((I1267*0.3048)^VLOOKUP(D1267,'Species Codes'!B:M,12,0))))-(VLOOKUP(D1267,'Species Codes'!B:I,8,0)*((((E1267*2.54)^VLOOKUP(D1267,'Species Codes'!B:L,11,0))*((I1267*0.3048)^VLOOKUP(D1267,'Species Codes'!B:M,12,0))))))*35.3*VLOOKUP(D1267,'Species Codes'!B:G,6,0)/2.2046,VLOOKUP(D1267,'Species Codes'!B:I,8,0)+VLOOKUP(D1267,'Species Codes'!B:J,9,0)*(((E1267*2.54)/100)^2)*(I1267*0.3048)))))*0.0011023),0)</f>
        <v>#N/A</v>
      </c>
      <c r="AC1267" s="104" t="e">
        <f>IF(Z1267&gt;0,((IF(OR(D1267="RA",D1267="OA",D1267="OT",D1267="UN",D1267="PC"),EXP(VLOOKUP(D1267,'Species Codes'!B:O,14,0)+VLOOKUP(D1267,'Species Codes'!B:P,15,0)*LN((E1267*2.54)))-EXP(VLOOKUP(D1267,'Species Codes'!B:O,14,0)+VLOOKUP(D1267,'Species Codes'!B:P,15,0)*LN((E1267*2.54)))*(1/(VLOOKUP(D1267,'Species Codes'!B:Q,16,0)+VLOOKUP(D1267,'Species Codes'!B:R,17,0)*((E1267*2.54)^VLOOKUP(D1267,'Species Codes'!B:S,18,0)))),IF(OR(D1267="BM",D1267="MD",D1267="OA"),EXP(VLOOKUP(D1267,'Species Codes'!B:O,14,0)+VLOOKUP(D1267,'Species Codes'!B:P,15,0)*LN((E1267*2.54)))*(1-(1/(VLOOKUP(D1267,'Species Codes'!B:Q,16,0)+VLOOKUP(D1267,'Species Codes'!B:R,17,0)*((E1267*2.54)^VLOOKUP(D1267,'Species Codes'!B:S,18,0)))))/1000,IF(D1267="DF",EXP(VLOOKUP(D1267,'Species Codes'!B:O,14,0)+VLOOKUP(D1267,'Species Codes'!B:P,15,0)*LN((E1267*2.54))),VLOOKUP(D1267,'Species Codes'!B:O,14,0)+VLOOKUP(D1267,'Species Codes'!B:P,15,0)*(((E1267*2.54)/100)^2)*(I1267*0.3048)))))*0.0011023),0)</f>
        <v>#N/A</v>
      </c>
      <c r="AD1267" s="104" t="e">
        <f t="shared" si="571"/>
        <v>#N/A</v>
      </c>
      <c r="AE1267" s="104" t="e">
        <f t="shared" si="572"/>
        <v>#N/A</v>
      </c>
      <c r="AF1267" s="104" t="e">
        <f>IF(AND(VLOOKUP($D1267,Merchantability!$B:$C,2,0)="Yes",$E1267&gt;=VLOOKUP($D1267,Merchantability!$B:$D,3,0),$E1267&lt;=VLOOKUP($D1267,Merchantability!$B:$E,4,0)),AA1267,0)</f>
        <v>#N/A</v>
      </c>
      <c r="AG1267" s="104" t="e">
        <f>IF(AND(VLOOKUP($D1267,Merchantability!$B:$C,2,0)="Yes",$E1267&gt;=VLOOKUP($D1267,Merchantability!$B:$D,3,0),$E1267&lt;=VLOOKUP($D1267,Merchantability!$B:$E,4,0)),AB1267,0)</f>
        <v>#N/A</v>
      </c>
      <c r="AH1267" s="104" t="e">
        <f>IF(AND(VLOOKUP($D1267,Merchantability!$B:$C,2,0)="Yes",$E1267&gt;=VLOOKUP($D1267,Merchantability!$B:$D,3,0),$E1267&lt;=VLOOKUP($D1267,Merchantability!$B:$E,4,0)),AC1267,0)</f>
        <v>#N/A</v>
      </c>
      <c r="AI1267" s="104" t="e">
        <f t="shared" si="573"/>
        <v>#N/A</v>
      </c>
      <c r="AJ1267" s="104" t="e">
        <f t="shared" si="574"/>
        <v>#VALUE!</v>
      </c>
      <c r="AK1267" s="104" t="e">
        <f t="shared" si="575"/>
        <v>#N/A</v>
      </c>
      <c r="AL1267" s="104" t="e">
        <f t="shared" si="576"/>
        <v>#N/A</v>
      </c>
      <c r="AM1267" s="104" t="e">
        <f t="shared" si="577"/>
        <v>#N/A</v>
      </c>
      <c r="AN1267" s="104" t="e">
        <f t="shared" si="561"/>
        <v>#N/A</v>
      </c>
      <c r="AO1267" s="104" t="e">
        <f t="shared" si="562"/>
        <v>#N/A</v>
      </c>
      <c r="AP1267" s="104" t="e">
        <f t="shared" si="563"/>
        <v>#N/A</v>
      </c>
      <c r="AQ1267" s="104" t="e">
        <f t="shared" si="564"/>
        <v>#N/A</v>
      </c>
      <c r="AR1267" s="105" t="str">
        <f t="shared" si="556"/>
        <v/>
      </c>
      <c r="AS1267" s="105" t="str">
        <f t="shared" si="557"/>
        <v/>
      </c>
      <c r="AT1267" s="108" t="str">
        <f t="shared" si="558"/>
        <v/>
      </c>
      <c r="AU1267" s="108" t="str">
        <f t="shared" si="559"/>
        <v/>
      </c>
      <c r="AV1267" s="107" t="str">
        <f>IF(ISNUMBER(O1267),IF(VLOOKUP($A1267,Stand!C:J,8,FALSE)="Short",AT1267,AU1267),"")</f>
        <v/>
      </c>
      <c r="AW1267" s="109" t="str">
        <f t="shared" si="565"/>
        <v/>
      </c>
      <c r="AX1267" s="109" t="str">
        <f t="shared" si="566"/>
        <v/>
      </c>
      <c r="AY1267" s="112" t="str">
        <f>IF(ISNUMBER(O1267),IF(AND(VLOOKUP($D1267,Merchantability!$B:$C,2,0)="Yes",$E1267&gt;=VLOOKUP($D1267,Merchantability!$B:$D,3,0),$E1267&lt;=VLOOKUP($D1267,Merchantability!$B:$E,4,0)),(AV1267*O1267)*(1-$H1267/100),""),"")</f>
        <v/>
      </c>
      <c r="AZ1267" s="116"/>
      <c r="BA1267" s="116"/>
      <c r="BB1267" s="116"/>
      <c r="BE1267" s="62"/>
      <c r="BF1267" s="63"/>
    </row>
    <row r="1268" spans="1:58" ht="12.75" customHeight="1" x14ac:dyDescent="0.25">
      <c r="A1268" s="333"/>
      <c r="B1268" s="334"/>
      <c r="C1268" s="332"/>
      <c r="D1268" s="334"/>
      <c r="E1268" s="335"/>
      <c r="F1268" s="334"/>
      <c r="G1268" s="332"/>
      <c r="H1268" s="332"/>
      <c r="I1268" s="334"/>
      <c r="J1268" s="336"/>
      <c r="K1268" s="332"/>
      <c r="L1268" s="332"/>
      <c r="M1268" s="76"/>
      <c r="N1268" s="103" t="str">
        <f>IF(A1268="","",VLOOKUP(A1268,Stand!C:K,9,0))</f>
        <v/>
      </c>
      <c r="O1268" s="104" t="str">
        <f t="shared" si="551"/>
        <v/>
      </c>
      <c r="P1268" s="105" t="str">
        <f t="shared" si="552"/>
        <v/>
      </c>
      <c r="Q1268" s="105" t="str">
        <f t="shared" si="567"/>
        <v/>
      </c>
      <c r="R1268" s="103" t="str">
        <f t="shared" si="553"/>
        <v/>
      </c>
      <c r="S1268" s="103" t="str">
        <f t="shared" si="554"/>
        <v/>
      </c>
      <c r="T1268" s="106" t="str">
        <f t="shared" si="568"/>
        <v/>
      </c>
      <c r="U1268" s="106" t="str">
        <f t="shared" si="569"/>
        <v/>
      </c>
      <c r="V1268" s="106" t="str">
        <f t="shared" si="570"/>
        <v/>
      </c>
      <c r="W1268" s="105" t="str">
        <f t="shared" si="555"/>
        <v/>
      </c>
      <c r="X1268" s="104" t="str">
        <f t="shared" si="560"/>
        <v/>
      </c>
      <c r="Y1268" s="104" t="str">
        <f t="array" ref="Y1268">IFERROR(IF(ISNUMBER(O1268),IF(COUNT(IF(A1268=$A$2:$A$2427,IF(D1268=$D$2:$D$2427,IF($X$2:$X$2427&gt;0,1))))&gt;0,SUM(IF(A1268=$A$2:$A$2427,IF(D1268=$D$2:$D$2427,$X$2:$X$2427)))/COUNT(IF(A1268=$A$2:$A$2427,IF(D1268=$D$2:$D$2427,IF(ISNUMBER($X$2:$X$2427),1)))),0),""),0)</f>
        <v/>
      </c>
      <c r="Z1268" s="104" t="str">
        <f>IF(ISNUMBER(O1268),IF(I1268&gt;0,(10^(VLOOKUP(D1268,'Species Codes'!B:C,2,0)+VLOOKUP(D1268,'Species Codes'!B:D,3,0)*LOG(E1268)+VLOOKUP(D1268,'Species Codes'!B:E,4,0)*LOG(I1268))),0),"")</f>
        <v/>
      </c>
      <c r="AA1268" s="104" t="str">
        <f>IFERROR((VLOOKUP(D1268,'Species Codes'!B:G,6,0)*Z1268)/2000,"")</f>
        <v/>
      </c>
      <c r="AB1268" s="104" t="e">
        <f>IF(Z1268&gt;0,((IF(OR(D1268="DF",D1268="RA")=TRUE,EXP(VLOOKUP(D1268,'Species Codes'!B:I,8,0)+VLOOKUP(D1268,'Species Codes'!B:J,9,0)*(LN((E1268*2.54)))),IF(OR(D1268="PY",D1268="RC",D1268="WH",D1268="NF")=TRUE,VLOOKUP(D1268,'Species Codes'!B:I,8,0)+VLOOKUP(D1268,'Species Codes'!B:J,9,0)*((E1268*2.54)^2)*(I1268*0.3048),IF(OR(D1268="MD",D1268="BM",D1268="GA")=TRUE,((VLOOKUP(D1268,'Species Codes'!B:I,8,0)*(((((E1268*2.54)+VLOOKUP(D1268,'Species Codes'!B:J,9,0))/VLOOKUP(D1268,'Species Codes'!B:K,10,0))^VLOOKUP(D1268,'Species Codes'!B:L,11,0))*((I1268*0.3048)^VLOOKUP(D1268,'Species Codes'!B:M,12,0))))-(VLOOKUP(D1268,'Species Codes'!B:I,8,0)*((((E1268*2.54)^VLOOKUP(D1268,'Species Codes'!B:L,11,0))*((I1268*0.3048)^VLOOKUP(D1268,'Species Codes'!B:M,12,0))))))*35.3*VLOOKUP(D1268,'Species Codes'!B:G,6,0)/2.2046,VLOOKUP(D1268,'Species Codes'!B:I,8,0)+VLOOKUP(D1268,'Species Codes'!B:J,9,0)*(((E1268*2.54)/100)^2)*(I1268*0.3048)))))*0.0011023),0)</f>
        <v>#N/A</v>
      </c>
      <c r="AC1268" s="104" t="e">
        <f>IF(Z1268&gt;0,((IF(OR(D1268="RA",D1268="OA",D1268="OT",D1268="UN",D1268="PC"),EXP(VLOOKUP(D1268,'Species Codes'!B:O,14,0)+VLOOKUP(D1268,'Species Codes'!B:P,15,0)*LN((E1268*2.54)))-EXP(VLOOKUP(D1268,'Species Codes'!B:O,14,0)+VLOOKUP(D1268,'Species Codes'!B:P,15,0)*LN((E1268*2.54)))*(1/(VLOOKUP(D1268,'Species Codes'!B:Q,16,0)+VLOOKUP(D1268,'Species Codes'!B:R,17,0)*((E1268*2.54)^VLOOKUP(D1268,'Species Codes'!B:S,18,0)))),IF(OR(D1268="BM",D1268="MD",D1268="OA"),EXP(VLOOKUP(D1268,'Species Codes'!B:O,14,0)+VLOOKUP(D1268,'Species Codes'!B:P,15,0)*LN((E1268*2.54)))*(1-(1/(VLOOKUP(D1268,'Species Codes'!B:Q,16,0)+VLOOKUP(D1268,'Species Codes'!B:R,17,0)*((E1268*2.54)^VLOOKUP(D1268,'Species Codes'!B:S,18,0)))))/1000,IF(D1268="DF",EXP(VLOOKUP(D1268,'Species Codes'!B:O,14,0)+VLOOKUP(D1268,'Species Codes'!B:P,15,0)*LN((E1268*2.54))),VLOOKUP(D1268,'Species Codes'!B:O,14,0)+VLOOKUP(D1268,'Species Codes'!B:P,15,0)*(((E1268*2.54)/100)^2)*(I1268*0.3048)))))*0.0011023),0)</f>
        <v>#N/A</v>
      </c>
      <c r="AD1268" s="104" t="e">
        <f t="shared" si="571"/>
        <v>#N/A</v>
      </c>
      <c r="AE1268" s="104" t="e">
        <f t="shared" si="572"/>
        <v>#N/A</v>
      </c>
      <c r="AF1268" s="104" t="e">
        <f>IF(AND(VLOOKUP($D1268,Merchantability!$B:$C,2,0)="Yes",$E1268&gt;=VLOOKUP($D1268,Merchantability!$B:$D,3,0),$E1268&lt;=VLOOKUP($D1268,Merchantability!$B:$E,4,0)),AA1268,0)</f>
        <v>#N/A</v>
      </c>
      <c r="AG1268" s="104" t="e">
        <f>IF(AND(VLOOKUP($D1268,Merchantability!$B:$C,2,0)="Yes",$E1268&gt;=VLOOKUP($D1268,Merchantability!$B:$D,3,0),$E1268&lt;=VLOOKUP($D1268,Merchantability!$B:$E,4,0)),AB1268,0)</f>
        <v>#N/A</v>
      </c>
      <c r="AH1268" s="104" t="e">
        <f>IF(AND(VLOOKUP($D1268,Merchantability!$B:$C,2,0)="Yes",$E1268&gt;=VLOOKUP($D1268,Merchantability!$B:$D,3,0),$E1268&lt;=VLOOKUP($D1268,Merchantability!$B:$E,4,0)),AC1268,0)</f>
        <v>#N/A</v>
      </c>
      <c r="AI1268" s="104" t="e">
        <f t="shared" si="573"/>
        <v>#N/A</v>
      </c>
      <c r="AJ1268" s="104" t="e">
        <f t="shared" si="574"/>
        <v>#VALUE!</v>
      </c>
      <c r="AK1268" s="104" t="e">
        <f t="shared" si="575"/>
        <v>#N/A</v>
      </c>
      <c r="AL1268" s="104" t="e">
        <f t="shared" si="576"/>
        <v>#N/A</v>
      </c>
      <c r="AM1268" s="104" t="e">
        <f t="shared" si="577"/>
        <v>#N/A</v>
      </c>
      <c r="AN1268" s="104" t="e">
        <f t="shared" si="561"/>
        <v>#N/A</v>
      </c>
      <c r="AO1268" s="104" t="e">
        <f t="shared" si="562"/>
        <v>#N/A</v>
      </c>
      <c r="AP1268" s="104" t="e">
        <f t="shared" si="563"/>
        <v>#N/A</v>
      </c>
      <c r="AQ1268" s="104" t="e">
        <f t="shared" si="564"/>
        <v>#N/A</v>
      </c>
      <c r="AR1268" s="105" t="str">
        <f t="shared" si="556"/>
        <v/>
      </c>
      <c r="AS1268" s="105" t="str">
        <f t="shared" si="557"/>
        <v/>
      </c>
      <c r="AT1268" s="108" t="str">
        <f t="shared" si="558"/>
        <v/>
      </c>
      <c r="AU1268" s="108" t="str">
        <f t="shared" si="559"/>
        <v/>
      </c>
      <c r="AV1268" s="107" t="str">
        <f>IF(ISNUMBER(O1268),IF(VLOOKUP($A1268,Stand!C:J,8,FALSE)="Short",AT1268,AU1268),"")</f>
        <v/>
      </c>
      <c r="AW1268" s="109" t="str">
        <f t="shared" si="565"/>
        <v/>
      </c>
      <c r="AX1268" s="109" t="str">
        <f t="shared" si="566"/>
        <v/>
      </c>
      <c r="AY1268" s="112" t="str">
        <f>IF(ISNUMBER(O1268),IF(AND(VLOOKUP($D1268,Merchantability!$B:$C,2,0)="Yes",$E1268&gt;=VLOOKUP($D1268,Merchantability!$B:$D,3,0),$E1268&lt;=VLOOKUP($D1268,Merchantability!$B:$E,4,0)),(AV1268*O1268)*(1-$H1268/100),""),"")</f>
        <v/>
      </c>
      <c r="AZ1268" s="116"/>
      <c r="BA1268" s="116"/>
      <c r="BB1268" s="116"/>
      <c r="BE1268" s="62"/>
      <c r="BF1268" s="63"/>
    </row>
    <row r="1269" spans="1:58" ht="12.75" customHeight="1" x14ac:dyDescent="0.25">
      <c r="A1269" s="333"/>
      <c r="B1269" s="334"/>
      <c r="C1269" s="332"/>
      <c r="D1269" s="334"/>
      <c r="E1269" s="335"/>
      <c r="F1269" s="334"/>
      <c r="G1269" s="332"/>
      <c r="H1269" s="332"/>
      <c r="I1269" s="334"/>
      <c r="J1269" s="336"/>
      <c r="K1269" s="332"/>
      <c r="L1269" s="332"/>
      <c r="M1269" s="76"/>
      <c r="N1269" s="103" t="str">
        <f>IF(A1269="","",VLOOKUP(A1269,Stand!C:K,9,0))</f>
        <v/>
      </c>
      <c r="O1269" s="104" t="str">
        <f t="shared" si="551"/>
        <v/>
      </c>
      <c r="P1269" s="105" t="str">
        <f t="shared" si="552"/>
        <v/>
      </c>
      <c r="Q1269" s="105" t="str">
        <f t="shared" si="567"/>
        <v/>
      </c>
      <c r="R1269" s="103" t="str">
        <f t="shared" si="553"/>
        <v/>
      </c>
      <c r="S1269" s="103" t="str">
        <f t="shared" si="554"/>
        <v/>
      </c>
      <c r="T1269" s="106" t="str">
        <f t="shared" si="568"/>
        <v/>
      </c>
      <c r="U1269" s="106" t="str">
        <f t="shared" si="569"/>
        <v/>
      </c>
      <c r="V1269" s="106" t="str">
        <f t="shared" si="570"/>
        <v/>
      </c>
      <c r="W1269" s="105" t="str">
        <f t="shared" si="555"/>
        <v/>
      </c>
      <c r="X1269" s="104" t="str">
        <f t="shared" si="560"/>
        <v/>
      </c>
      <c r="Y1269" s="104" t="str">
        <f t="array" ref="Y1269">IFERROR(IF(ISNUMBER(O1269),IF(COUNT(IF(A1269=$A$2:$A$2427,IF(D1269=$D$2:$D$2427,IF($X$2:$X$2427&gt;0,1))))&gt;0,SUM(IF(A1269=$A$2:$A$2427,IF(D1269=$D$2:$D$2427,$X$2:$X$2427)))/COUNT(IF(A1269=$A$2:$A$2427,IF(D1269=$D$2:$D$2427,IF(ISNUMBER($X$2:$X$2427),1)))),0),""),0)</f>
        <v/>
      </c>
      <c r="Z1269" s="104" t="str">
        <f>IF(ISNUMBER(O1269),IF(I1269&gt;0,(10^(VLOOKUP(D1269,'Species Codes'!B:C,2,0)+VLOOKUP(D1269,'Species Codes'!B:D,3,0)*LOG(E1269)+VLOOKUP(D1269,'Species Codes'!B:E,4,0)*LOG(I1269))),0),"")</f>
        <v/>
      </c>
      <c r="AA1269" s="104" t="str">
        <f>IFERROR((VLOOKUP(D1269,'Species Codes'!B:G,6,0)*Z1269)/2000,"")</f>
        <v/>
      </c>
      <c r="AB1269" s="104" t="e">
        <f>IF(Z1269&gt;0,((IF(OR(D1269="DF",D1269="RA")=TRUE,EXP(VLOOKUP(D1269,'Species Codes'!B:I,8,0)+VLOOKUP(D1269,'Species Codes'!B:J,9,0)*(LN((E1269*2.54)))),IF(OR(D1269="PY",D1269="RC",D1269="WH",D1269="NF")=TRUE,VLOOKUP(D1269,'Species Codes'!B:I,8,0)+VLOOKUP(D1269,'Species Codes'!B:J,9,0)*((E1269*2.54)^2)*(I1269*0.3048),IF(OR(D1269="MD",D1269="BM",D1269="GA")=TRUE,((VLOOKUP(D1269,'Species Codes'!B:I,8,0)*(((((E1269*2.54)+VLOOKUP(D1269,'Species Codes'!B:J,9,0))/VLOOKUP(D1269,'Species Codes'!B:K,10,0))^VLOOKUP(D1269,'Species Codes'!B:L,11,0))*((I1269*0.3048)^VLOOKUP(D1269,'Species Codes'!B:M,12,0))))-(VLOOKUP(D1269,'Species Codes'!B:I,8,0)*((((E1269*2.54)^VLOOKUP(D1269,'Species Codes'!B:L,11,0))*((I1269*0.3048)^VLOOKUP(D1269,'Species Codes'!B:M,12,0))))))*35.3*VLOOKUP(D1269,'Species Codes'!B:G,6,0)/2.2046,VLOOKUP(D1269,'Species Codes'!B:I,8,0)+VLOOKUP(D1269,'Species Codes'!B:J,9,0)*(((E1269*2.54)/100)^2)*(I1269*0.3048)))))*0.0011023),0)</f>
        <v>#N/A</v>
      </c>
      <c r="AC1269" s="104" t="e">
        <f>IF(Z1269&gt;0,((IF(OR(D1269="RA",D1269="OA",D1269="OT",D1269="UN",D1269="PC"),EXP(VLOOKUP(D1269,'Species Codes'!B:O,14,0)+VLOOKUP(D1269,'Species Codes'!B:P,15,0)*LN((E1269*2.54)))-EXP(VLOOKUP(D1269,'Species Codes'!B:O,14,0)+VLOOKUP(D1269,'Species Codes'!B:P,15,0)*LN((E1269*2.54)))*(1/(VLOOKUP(D1269,'Species Codes'!B:Q,16,0)+VLOOKUP(D1269,'Species Codes'!B:R,17,0)*((E1269*2.54)^VLOOKUP(D1269,'Species Codes'!B:S,18,0)))),IF(OR(D1269="BM",D1269="MD",D1269="OA"),EXP(VLOOKUP(D1269,'Species Codes'!B:O,14,0)+VLOOKUP(D1269,'Species Codes'!B:P,15,0)*LN((E1269*2.54)))*(1-(1/(VLOOKUP(D1269,'Species Codes'!B:Q,16,0)+VLOOKUP(D1269,'Species Codes'!B:R,17,0)*((E1269*2.54)^VLOOKUP(D1269,'Species Codes'!B:S,18,0)))))/1000,IF(D1269="DF",EXP(VLOOKUP(D1269,'Species Codes'!B:O,14,0)+VLOOKUP(D1269,'Species Codes'!B:P,15,0)*LN((E1269*2.54))),VLOOKUP(D1269,'Species Codes'!B:O,14,0)+VLOOKUP(D1269,'Species Codes'!B:P,15,0)*(((E1269*2.54)/100)^2)*(I1269*0.3048)))))*0.0011023),0)</f>
        <v>#N/A</v>
      </c>
      <c r="AD1269" s="104" t="e">
        <f t="shared" si="571"/>
        <v>#N/A</v>
      </c>
      <c r="AE1269" s="104" t="e">
        <f t="shared" si="572"/>
        <v>#N/A</v>
      </c>
      <c r="AF1269" s="104" t="e">
        <f>IF(AND(VLOOKUP($D1269,Merchantability!$B:$C,2,0)="Yes",$E1269&gt;=VLOOKUP($D1269,Merchantability!$B:$D,3,0),$E1269&lt;=VLOOKUP($D1269,Merchantability!$B:$E,4,0)),AA1269,0)</f>
        <v>#N/A</v>
      </c>
      <c r="AG1269" s="104" t="e">
        <f>IF(AND(VLOOKUP($D1269,Merchantability!$B:$C,2,0)="Yes",$E1269&gt;=VLOOKUP($D1269,Merchantability!$B:$D,3,0),$E1269&lt;=VLOOKUP($D1269,Merchantability!$B:$E,4,0)),AB1269,0)</f>
        <v>#N/A</v>
      </c>
      <c r="AH1269" s="104" t="e">
        <f>IF(AND(VLOOKUP($D1269,Merchantability!$B:$C,2,0)="Yes",$E1269&gt;=VLOOKUP($D1269,Merchantability!$B:$D,3,0),$E1269&lt;=VLOOKUP($D1269,Merchantability!$B:$E,4,0)),AC1269,0)</f>
        <v>#N/A</v>
      </c>
      <c r="AI1269" s="104" t="e">
        <f t="shared" si="573"/>
        <v>#N/A</v>
      </c>
      <c r="AJ1269" s="104" t="e">
        <f t="shared" si="574"/>
        <v>#VALUE!</v>
      </c>
      <c r="AK1269" s="104" t="e">
        <f t="shared" si="575"/>
        <v>#N/A</v>
      </c>
      <c r="AL1269" s="104" t="e">
        <f t="shared" si="576"/>
        <v>#N/A</v>
      </c>
      <c r="AM1269" s="104" t="e">
        <f t="shared" si="577"/>
        <v>#N/A</v>
      </c>
      <c r="AN1269" s="104" t="e">
        <f t="shared" si="561"/>
        <v>#N/A</v>
      </c>
      <c r="AO1269" s="104" t="e">
        <f t="shared" si="562"/>
        <v>#N/A</v>
      </c>
      <c r="AP1269" s="104" t="e">
        <f t="shared" si="563"/>
        <v>#N/A</v>
      </c>
      <c r="AQ1269" s="104" t="e">
        <f t="shared" si="564"/>
        <v>#N/A</v>
      </c>
      <c r="AR1269" s="105" t="str">
        <f t="shared" si="556"/>
        <v/>
      </c>
      <c r="AS1269" s="105" t="str">
        <f t="shared" si="557"/>
        <v/>
      </c>
      <c r="AT1269" s="108" t="str">
        <f t="shared" si="558"/>
        <v/>
      </c>
      <c r="AU1269" s="108" t="str">
        <f t="shared" si="559"/>
        <v/>
      </c>
      <c r="AV1269" s="107" t="str">
        <f>IF(ISNUMBER(O1269),IF(VLOOKUP($A1269,Stand!C:J,8,FALSE)="Short",AT1269,AU1269),"")</f>
        <v/>
      </c>
      <c r="AW1269" s="109" t="str">
        <f t="shared" si="565"/>
        <v/>
      </c>
      <c r="AX1269" s="109" t="str">
        <f t="shared" si="566"/>
        <v/>
      </c>
      <c r="AY1269" s="112" t="str">
        <f>IF(ISNUMBER(O1269),IF(AND(VLOOKUP($D1269,Merchantability!$B:$C,2,0)="Yes",$E1269&gt;=VLOOKUP($D1269,Merchantability!$B:$D,3,0),$E1269&lt;=VLOOKUP($D1269,Merchantability!$B:$E,4,0)),(AV1269*O1269)*(1-$H1269/100),""),"")</f>
        <v/>
      </c>
      <c r="AZ1269" s="116"/>
      <c r="BA1269" s="116"/>
      <c r="BB1269" s="116"/>
      <c r="BE1269" s="62"/>
      <c r="BF1269" s="63"/>
    </row>
    <row r="1270" spans="1:58" ht="12.75" customHeight="1" x14ac:dyDescent="0.25">
      <c r="A1270" s="333"/>
      <c r="B1270" s="334"/>
      <c r="C1270" s="332"/>
      <c r="D1270" s="334"/>
      <c r="E1270" s="335"/>
      <c r="F1270" s="334"/>
      <c r="G1270" s="332"/>
      <c r="H1270" s="332"/>
      <c r="I1270" s="334"/>
      <c r="J1270" s="336"/>
      <c r="K1270" s="332"/>
      <c r="L1270" s="332"/>
      <c r="M1270" s="76"/>
      <c r="N1270" s="103" t="str">
        <f>IF(A1270="","",VLOOKUP(A1270,Stand!C:K,9,0))</f>
        <v/>
      </c>
      <c r="O1270" s="104" t="str">
        <f t="shared" si="551"/>
        <v/>
      </c>
      <c r="P1270" s="105" t="str">
        <f t="shared" si="552"/>
        <v/>
      </c>
      <c r="Q1270" s="105" t="str">
        <f t="shared" si="567"/>
        <v/>
      </c>
      <c r="R1270" s="103" t="str">
        <f t="shared" si="553"/>
        <v/>
      </c>
      <c r="S1270" s="103" t="str">
        <f t="shared" si="554"/>
        <v/>
      </c>
      <c r="T1270" s="106" t="str">
        <f t="shared" si="568"/>
        <v/>
      </c>
      <c r="U1270" s="106" t="str">
        <f t="shared" si="569"/>
        <v/>
      </c>
      <c r="V1270" s="106" t="str">
        <f t="shared" si="570"/>
        <v/>
      </c>
      <c r="W1270" s="105" t="str">
        <f t="shared" si="555"/>
        <v/>
      </c>
      <c r="X1270" s="104" t="str">
        <f t="shared" si="560"/>
        <v/>
      </c>
      <c r="Y1270" s="104" t="str">
        <f t="array" ref="Y1270">IFERROR(IF(ISNUMBER(O1270),IF(COUNT(IF(A1270=$A$2:$A$2427,IF(D1270=$D$2:$D$2427,IF($X$2:$X$2427&gt;0,1))))&gt;0,SUM(IF(A1270=$A$2:$A$2427,IF(D1270=$D$2:$D$2427,$X$2:$X$2427)))/COUNT(IF(A1270=$A$2:$A$2427,IF(D1270=$D$2:$D$2427,IF(ISNUMBER($X$2:$X$2427),1)))),0),""),0)</f>
        <v/>
      </c>
      <c r="Z1270" s="104" t="str">
        <f>IF(ISNUMBER(O1270),IF(I1270&gt;0,(10^(VLOOKUP(D1270,'Species Codes'!B:C,2,0)+VLOOKUP(D1270,'Species Codes'!B:D,3,0)*LOG(E1270)+VLOOKUP(D1270,'Species Codes'!B:E,4,0)*LOG(I1270))),0),"")</f>
        <v/>
      </c>
      <c r="AA1270" s="104" t="str">
        <f>IFERROR((VLOOKUP(D1270,'Species Codes'!B:G,6,0)*Z1270)/2000,"")</f>
        <v/>
      </c>
      <c r="AB1270" s="104" t="e">
        <f>IF(Z1270&gt;0,((IF(OR(D1270="DF",D1270="RA")=TRUE,EXP(VLOOKUP(D1270,'Species Codes'!B:I,8,0)+VLOOKUP(D1270,'Species Codes'!B:J,9,0)*(LN((E1270*2.54)))),IF(OR(D1270="PY",D1270="RC",D1270="WH",D1270="NF")=TRUE,VLOOKUP(D1270,'Species Codes'!B:I,8,0)+VLOOKUP(D1270,'Species Codes'!B:J,9,0)*((E1270*2.54)^2)*(I1270*0.3048),IF(OR(D1270="MD",D1270="BM",D1270="GA")=TRUE,((VLOOKUP(D1270,'Species Codes'!B:I,8,0)*(((((E1270*2.54)+VLOOKUP(D1270,'Species Codes'!B:J,9,0))/VLOOKUP(D1270,'Species Codes'!B:K,10,0))^VLOOKUP(D1270,'Species Codes'!B:L,11,0))*((I1270*0.3048)^VLOOKUP(D1270,'Species Codes'!B:M,12,0))))-(VLOOKUP(D1270,'Species Codes'!B:I,8,0)*((((E1270*2.54)^VLOOKUP(D1270,'Species Codes'!B:L,11,0))*((I1270*0.3048)^VLOOKUP(D1270,'Species Codes'!B:M,12,0))))))*35.3*VLOOKUP(D1270,'Species Codes'!B:G,6,0)/2.2046,VLOOKUP(D1270,'Species Codes'!B:I,8,0)+VLOOKUP(D1270,'Species Codes'!B:J,9,0)*(((E1270*2.54)/100)^2)*(I1270*0.3048)))))*0.0011023),0)</f>
        <v>#N/A</v>
      </c>
      <c r="AC1270" s="104" t="e">
        <f>IF(Z1270&gt;0,((IF(OR(D1270="RA",D1270="OA",D1270="OT",D1270="UN",D1270="PC"),EXP(VLOOKUP(D1270,'Species Codes'!B:O,14,0)+VLOOKUP(D1270,'Species Codes'!B:P,15,0)*LN((E1270*2.54)))-EXP(VLOOKUP(D1270,'Species Codes'!B:O,14,0)+VLOOKUP(D1270,'Species Codes'!B:P,15,0)*LN((E1270*2.54)))*(1/(VLOOKUP(D1270,'Species Codes'!B:Q,16,0)+VLOOKUP(D1270,'Species Codes'!B:R,17,0)*((E1270*2.54)^VLOOKUP(D1270,'Species Codes'!B:S,18,0)))),IF(OR(D1270="BM",D1270="MD",D1270="OA"),EXP(VLOOKUP(D1270,'Species Codes'!B:O,14,0)+VLOOKUP(D1270,'Species Codes'!B:P,15,0)*LN((E1270*2.54)))*(1-(1/(VLOOKUP(D1270,'Species Codes'!B:Q,16,0)+VLOOKUP(D1270,'Species Codes'!B:R,17,0)*((E1270*2.54)^VLOOKUP(D1270,'Species Codes'!B:S,18,0)))))/1000,IF(D1270="DF",EXP(VLOOKUP(D1270,'Species Codes'!B:O,14,0)+VLOOKUP(D1270,'Species Codes'!B:P,15,0)*LN((E1270*2.54))),VLOOKUP(D1270,'Species Codes'!B:O,14,0)+VLOOKUP(D1270,'Species Codes'!B:P,15,0)*(((E1270*2.54)/100)^2)*(I1270*0.3048)))))*0.0011023),0)</f>
        <v>#N/A</v>
      </c>
      <c r="AD1270" s="104" t="e">
        <f t="shared" si="571"/>
        <v>#N/A</v>
      </c>
      <c r="AE1270" s="104" t="e">
        <f t="shared" si="572"/>
        <v>#N/A</v>
      </c>
      <c r="AF1270" s="104" t="e">
        <f>IF(AND(VLOOKUP($D1270,Merchantability!$B:$C,2,0)="Yes",$E1270&gt;=VLOOKUP($D1270,Merchantability!$B:$D,3,0),$E1270&lt;=VLOOKUP($D1270,Merchantability!$B:$E,4,0)),AA1270,0)</f>
        <v>#N/A</v>
      </c>
      <c r="AG1270" s="104" t="e">
        <f>IF(AND(VLOOKUP($D1270,Merchantability!$B:$C,2,0)="Yes",$E1270&gt;=VLOOKUP($D1270,Merchantability!$B:$D,3,0),$E1270&lt;=VLOOKUP($D1270,Merchantability!$B:$E,4,0)),AB1270,0)</f>
        <v>#N/A</v>
      </c>
      <c r="AH1270" s="104" t="e">
        <f>IF(AND(VLOOKUP($D1270,Merchantability!$B:$C,2,0)="Yes",$E1270&gt;=VLOOKUP($D1270,Merchantability!$B:$D,3,0),$E1270&lt;=VLOOKUP($D1270,Merchantability!$B:$E,4,0)),AC1270,0)</f>
        <v>#N/A</v>
      </c>
      <c r="AI1270" s="104" t="e">
        <f t="shared" si="573"/>
        <v>#N/A</v>
      </c>
      <c r="AJ1270" s="104" t="e">
        <f t="shared" si="574"/>
        <v>#VALUE!</v>
      </c>
      <c r="AK1270" s="104" t="e">
        <f t="shared" si="575"/>
        <v>#N/A</v>
      </c>
      <c r="AL1270" s="104" t="e">
        <f t="shared" si="576"/>
        <v>#N/A</v>
      </c>
      <c r="AM1270" s="104" t="e">
        <f t="shared" si="577"/>
        <v>#N/A</v>
      </c>
      <c r="AN1270" s="104" t="e">
        <f t="shared" si="561"/>
        <v>#N/A</v>
      </c>
      <c r="AO1270" s="104" t="e">
        <f t="shared" si="562"/>
        <v>#N/A</v>
      </c>
      <c r="AP1270" s="104" t="e">
        <f t="shared" si="563"/>
        <v>#N/A</v>
      </c>
      <c r="AQ1270" s="104" t="e">
        <f t="shared" si="564"/>
        <v>#N/A</v>
      </c>
      <c r="AR1270" s="105" t="str">
        <f t="shared" si="556"/>
        <v/>
      </c>
      <c r="AS1270" s="105" t="str">
        <f t="shared" si="557"/>
        <v/>
      </c>
      <c r="AT1270" s="108" t="str">
        <f t="shared" si="558"/>
        <v/>
      </c>
      <c r="AU1270" s="108" t="str">
        <f t="shared" si="559"/>
        <v/>
      </c>
      <c r="AV1270" s="107" t="str">
        <f>IF(ISNUMBER(O1270),IF(VLOOKUP($A1270,Stand!C:J,8,FALSE)="Short",AT1270,AU1270),"")</f>
        <v/>
      </c>
      <c r="AW1270" s="109" t="str">
        <f t="shared" si="565"/>
        <v/>
      </c>
      <c r="AX1270" s="109" t="str">
        <f t="shared" si="566"/>
        <v/>
      </c>
      <c r="AY1270" s="112" t="str">
        <f>IF(ISNUMBER(O1270),IF(AND(VLOOKUP($D1270,Merchantability!$B:$C,2,0)="Yes",$E1270&gt;=VLOOKUP($D1270,Merchantability!$B:$D,3,0),$E1270&lt;=VLOOKUP($D1270,Merchantability!$B:$E,4,0)),(AV1270*O1270)*(1-$H1270/100),""),"")</f>
        <v/>
      </c>
      <c r="AZ1270" s="116"/>
      <c r="BA1270" s="116"/>
      <c r="BB1270" s="116"/>
      <c r="BE1270" s="62"/>
      <c r="BF1270" s="63"/>
    </row>
    <row r="1271" spans="1:58" ht="12.75" customHeight="1" x14ac:dyDescent="0.25">
      <c r="A1271" s="333"/>
      <c r="B1271" s="334"/>
      <c r="C1271" s="332"/>
      <c r="D1271" s="334"/>
      <c r="E1271" s="335"/>
      <c r="F1271" s="334"/>
      <c r="G1271" s="332"/>
      <c r="H1271" s="332"/>
      <c r="I1271" s="334"/>
      <c r="J1271" s="336"/>
      <c r="K1271" s="332"/>
      <c r="L1271" s="332"/>
      <c r="M1271" s="76"/>
      <c r="N1271" s="103" t="str">
        <f>IF(A1271="","",VLOOKUP(A1271,Stand!C:K,9,0))</f>
        <v/>
      </c>
      <c r="O1271" s="104" t="str">
        <f t="shared" si="551"/>
        <v/>
      </c>
      <c r="P1271" s="105" t="str">
        <f t="shared" si="552"/>
        <v/>
      </c>
      <c r="Q1271" s="105" t="str">
        <f t="shared" si="567"/>
        <v/>
      </c>
      <c r="R1271" s="103" t="str">
        <f t="shared" si="553"/>
        <v/>
      </c>
      <c r="S1271" s="103" t="str">
        <f t="shared" si="554"/>
        <v/>
      </c>
      <c r="T1271" s="106" t="str">
        <f t="shared" si="568"/>
        <v/>
      </c>
      <c r="U1271" s="106" t="str">
        <f t="shared" si="569"/>
        <v/>
      </c>
      <c r="V1271" s="106" t="str">
        <f t="shared" si="570"/>
        <v/>
      </c>
      <c r="W1271" s="105" t="str">
        <f t="shared" si="555"/>
        <v/>
      </c>
      <c r="X1271" s="104" t="str">
        <f t="shared" si="560"/>
        <v/>
      </c>
      <c r="Y1271" s="104" t="str">
        <f t="array" ref="Y1271">IFERROR(IF(ISNUMBER(O1271),IF(COUNT(IF(A1271=$A$2:$A$2427,IF(D1271=$D$2:$D$2427,IF($X$2:$X$2427&gt;0,1))))&gt;0,SUM(IF(A1271=$A$2:$A$2427,IF(D1271=$D$2:$D$2427,$X$2:$X$2427)))/COUNT(IF(A1271=$A$2:$A$2427,IF(D1271=$D$2:$D$2427,IF(ISNUMBER($X$2:$X$2427),1)))),0),""),0)</f>
        <v/>
      </c>
      <c r="Z1271" s="104" t="str">
        <f>IF(ISNUMBER(O1271),IF(I1271&gt;0,(10^(VLOOKUP(D1271,'Species Codes'!B:C,2,0)+VLOOKUP(D1271,'Species Codes'!B:D,3,0)*LOG(E1271)+VLOOKUP(D1271,'Species Codes'!B:E,4,0)*LOG(I1271))),0),"")</f>
        <v/>
      </c>
      <c r="AA1271" s="104" t="str">
        <f>IFERROR((VLOOKUP(D1271,'Species Codes'!B:G,6,0)*Z1271)/2000,"")</f>
        <v/>
      </c>
      <c r="AB1271" s="104" t="e">
        <f>IF(Z1271&gt;0,((IF(OR(D1271="DF",D1271="RA")=TRUE,EXP(VLOOKUP(D1271,'Species Codes'!B:I,8,0)+VLOOKUP(D1271,'Species Codes'!B:J,9,0)*(LN((E1271*2.54)))),IF(OR(D1271="PY",D1271="RC",D1271="WH",D1271="NF")=TRUE,VLOOKUP(D1271,'Species Codes'!B:I,8,0)+VLOOKUP(D1271,'Species Codes'!B:J,9,0)*((E1271*2.54)^2)*(I1271*0.3048),IF(OR(D1271="MD",D1271="BM",D1271="GA")=TRUE,((VLOOKUP(D1271,'Species Codes'!B:I,8,0)*(((((E1271*2.54)+VLOOKUP(D1271,'Species Codes'!B:J,9,0))/VLOOKUP(D1271,'Species Codes'!B:K,10,0))^VLOOKUP(D1271,'Species Codes'!B:L,11,0))*((I1271*0.3048)^VLOOKUP(D1271,'Species Codes'!B:M,12,0))))-(VLOOKUP(D1271,'Species Codes'!B:I,8,0)*((((E1271*2.54)^VLOOKUP(D1271,'Species Codes'!B:L,11,0))*((I1271*0.3048)^VLOOKUP(D1271,'Species Codes'!B:M,12,0))))))*35.3*VLOOKUP(D1271,'Species Codes'!B:G,6,0)/2.2046,VLOOKUP(D1271,'Species Codes'!B:I,8,0)+VLOOKUP(D1271,'Species Codes'!B:J,9,0)*(((E1271*2.54)/100)^2)*(I1271*0.3048)))))*0.0011023),0)</f>
        <v>#N/A</v>
      </c>
      <c r="AC1271" s="104" t="e">
        <f>IF(Z1271&gt;0,((IF(OR(D1271="RA",D1271="OA",D1271="OT",D1271="UN",D1271="PC"),EXP(VLOOKUP(D1271,'Species Codes'!B:O,14,0)+VLOOKUP(D1271,'Species Codes'!B:P,15,0)*LN((E1271*2.54)))-EXP(VLOOKUP(D1271,'Species Codes'!B:O,14,0)+VLOOKUP(D1271,'Species Codes'!B:P,15,0)*LN((E1271*2.54)))*(1/(VLOOKUP(D1271,'Species Codes'!B:Q,16,0)+VLOOKUP(D1271,'Species Codes'!B:R,17,0)*((E1271*2.54)^VLOOKUP(D1271,'Species Codes'!B:S,18,0)))),IF(OR(D1271="BM",D1271="MD",D1271="OA"),EXP(VLOOKUP(D1271,'Species Codes'!B:O,14,0)+VLOOKUP(D1271,'Species Codes'!B:P,15,0)*LN((E1271*2.54)))*(1-(1/(VLOOKUP(D1271,'Species Codes'!B:Q,16,0)+VLOOKUP(D1271,'Species Codes'!B:R,17,0)*((E1271*2.54)^VLOOKUP(D1271,'Species Codes'!B:S,18,0)))))/1000,IF(D1271="DF",EXP(VLOOKUP(D1271,'Species Codes'!B:O,14,0)+VLOOKUP(D1271,'Species Codes'!B:P,15,0)*LN((E1271*2.54))),VLOOKUP(D1271,'Species Codes'!B:O,14,0)+VLOOKUP(D1271,'Species Codes'!B:P,15,0)*(((E1271*2.54)/100)^2)*(I1271*0.3048)))))*0.0011023),0)</f>
        <v>#N/A</v>
      </c>
      <c r="AD1271" s="104" t="e">
        <f t="shared" si="571"/>
        <v>#N/A</v>
      </c>
      <c r="AE1271" s="104" t="e">
        <f t="shared" si="572"/>
        <v>#N/A</v>
      </c>
      <c r="AF1271" s="104" t="e">
        <f>IF(AND(VLOOKUP($D1271,Merchantability!$B:$C,2,0)="Yes",$E1271&gt;=VLOOKUP($D1271,Merchantability!$B:$D,3,0),$E1271&lt;=VLOOKUP($D1271,Merchantability!$B:$E,4,0)),AA1271,0)</f>
        <v>#N/A</v>
      </c>
      <c r="AG1271" s="104" t="e">
        <f>IF(AND(VLOOKUP($D1271,Merchantability!$B:$C,2,0)="Yes",$E1271&gt;=VLOOKUP($D1271,Merchantability!$B:$D,3,0),$E1271&lt;=VLOOKUP($D1271,Merchantability!$B:$E,4,0)),AB1271,0)</f>
        <v>#N/A</v>
      </c>
      <c r="AH1271" s="104" t="e">
        <f>IF(AND(VLOOKUP($D1271,Merchantability!$B:$C,2,0)="Yes",$E1271&gt;=VLOOKUP($D1271,Merchantability!$B:$D,3,0),$E1271&lt;=VLOOKUP($D1271,Merchantability!$B:$E,4,0)),AC1271,0)</f>
        <v>#N/A</v>
      </c>
      <c r="AI1271" s="104" t="e">
        <f t="shared" si="573"/>
        <v>#N/A</v>
      </c>
      <c r="AJ1271" s="104" t="e">
        <f t="shared" si="574"/>
        <v>#VALUE!</v>
      </c>
      <c r="AK1271" s="104" t="e">
        <f t="shared" si="575"/>
        <v>#N/A</v>
      </c>
      <c r="AL1271" s="104" t="e">
        <f t="shared" si="576"/>
        <v>#N/A</v>
      </c>
      <c r="AM1271" s="104" t="e">
        <f t="shared" si="577"/>
        <v>#N/A</v>
      </c>
      <c r="AN1271" s="104" t="e">
        <f t="shared" si="561"/>
        <v>#N/A</v>
      </c>
      <c r="AO1271" s="104" t="e">
        <f t="shared" si="562"/>
        <v>#N/A</v>
      </c>
      <c r="AP1271" s="104" t="e">
        <f t="shared" si="563"/>
        <v>#N/A</v>
      </c>
      <c r="AQ1271" s="104" t="e">
        <f t="shared" si="564"/>
        <v>#N/A</v>
      </c>
      <c r="AR1271" s="105" t="str">
        <f t="shared" si="556"/>
        <v/>
      </c>
      <c r="AS1271" s="105" t="str">
        <f t="shared" si="557"/>
        <v/>
      </c>
      <c r="AT1271" s="108" t="str">
        <f t="shared" si="558"/>
        <v/>
      </c>
      <c r="AU1271" s="108" t="str">
        <f t="shared" si="559"/>
        <v/>
      </c>
      <c r="AV1271" s="107" t="str">
        <f>IF(ISNUMBER(O1271),IF(VLOOKUP($A1271,Stand!C:J,8,FALSE)="Short",AT1271,AU1271),"")</f>
        <v/>
      </c>
      <c r="AW1271" s="109" t="str">
        <f t="shared" si="565"/>
        <v/>
      </c>
      <c r="AX1271" s="109" t="str">
        <f t="shared" si="566"/>
        <v/>
      </c>
      <c r="AY1271" s="112" t="str">
        <f>IF(ISNUMBER(O1271),IF(AND(VLOOKUP($D1271,Merchantability!$B:$C,2,0)="Yes",$E1271&gt;=VLOOKUP($D1271,Merchantability!$B:$D,3,0),$E1271&lt;=VLOOKUP($D1271,Merchantability!$B:$E,4,0)),(AV1271*O1271)*(1-$H1271/100),""),"")</f>
        <v/>
      </c>
      <c r="AZ1271" s="116"/>
      <c r="BA1271" s="116"/>
      <c r="BB1271" s="116"/>
      <c r="BE1271" s="62"/>
      <c r="BF1271" s="63"/>
    </row>
    <row r="1272" spans="1:58" ht="12.75" customHeight="1" x14ac:dyDescent="0.25">
      <c r="A1272" s="333"/>
      <c r="B1272" s="334"/>
      <c r="C1272" s="332"/>
      <c r="D1272" s="334"/>
      <c r="E1272" s="335"/>
      <c r="F1272" s="334"/>
      <c r="G1272" s="332"/>
      <c r="H1272" s="332"/>
      <c r="I1272" s="334"/>
      <c r="J1272" s="336"/>
      <c r="K1272" s="332"/>
      <c r="L1272" s="332"/>
      <c r="M1272" s="76"/>
      <c r="N1272" s="103" t="str">
        <f>IF(A1272="","",VLOOKUP(A1272,Stand!C:K,9,0))</f>
        <v/>
      </c>
      <c r="O1272" s="104" t="str">
        <f t="shared" si="551"/>
        <v/>
      </c>
      <c r="P1272" s="105" t="str">
        <f t="shared" si="552"/>
        <v/>
      </c>
      <c r="Q1272" s="105" t="str">
        <f t="shared" si="567"/>
        <v/>
      </c>
      <c r="R1272" s="103" t="str">
        <f t="shared" si="553"/>
        <v/>
      </c>
      <c r="S1272" s="103" t="str">
        <f t="shared" si="554"/>
        <v/>
      </c>
      <c r="T1272" s="106" t="str">
        <f t="shared" si="568"/>
        <v/>
      </c>
      <c r="U1272" s="106" t="str">
        <f t="shared" si="569"/>
        <v/>
      </c>
      <c r="V1272" s="106" t="str">
        <f t="shared" si="570"/>
        <v/>
      </c>
      <c r="W1272" s="105" t="str">
        <f t="shared" si="555"/>
        <v/>
      </c>
      <c r="X1272" s="104" t="str">
        <f t="shared" si="560"/>
        <v/>
      </c>
      <c r="Y1272" s="104" t="str">
        <f t="array" ref="Y1272">IFERROR(IF(ISNUMBER(O1272),IF(COUNT(IF(A1272=$A$2:$A$2427,IF(D1272=$D$2:$D$2427,IF($X$2:$X$2427&gt;0,1))))&gt;0,SUM(IF(A1272=$A$2:$A$2427,IF(D1272=$D$2:$D$2427,$X$2:$X$2427)))/COUNT(IF(A1272=$A$2:$A$2427,IF(D1272=$D$2:$D$2427,IF(ISNUMBER($X$2:$X$2427),1)))),0),""),0)</f>
        <v/>
      </c>
      <c r="Z1272" s="104" t="str">
        <f>IF(ISNUMBER(O1272),IF(I1272&gt;0,(10^(VLOOKUP(D1272,'Species Codes'!B:C,2,0)+VLOOKUP(D1272,'Species Codes'!B:D,3,0)*LOG(E1272)+VLOOKUP(D1272,'Species Codes'!B:E,4,0)*LOG(I1272))),0),"")</f>
        <v/>
      </c>
      <c r="AA1272" s="104" t="str">
        <f>IFERROR((VLOOKUP(D1272,'Species Codes'!B:G,6,0)*Z1272)/2000,"")</f>
        <v/>
      </c>
      <c r="AB1272" s="104" t="e">
        <f>IF(Z1272&gt;0,((IF(OR(D1272="DF",D1272="RA")=TRUE,EXP(VLOOKUP(D1272,'Species Codes'!B:I,8,0)+VLOOKUP(D1272,'Species Codes'!B:J,9,0)*(LN((E1272*2.54)))),IF(OR(D1272="PY",D1272="RC",D1272="WH",D1272="NF")=TRUE,VLOOKUP(D1272,'Species Codes'!B:I,8,0)+VLOOKUP(D1272,'Species Codes'!B:J,9,0)*((E1272*2.54)^2)*(I1272*0.3048),IF(OR(D1272="MD",D1272="BM",D1272="GA")=TRUE,((VLOOKUP(D1272,'Species Codes'!B:I,8,0)*(((((E1272*2.54)+VLOOKUP(D1272,'Species Codes'!B:J,9,0))/VLOOKUP(D1272,'Species Codes'!B:K,10,0))^VLOOKUP(D1272,'Species Codes'!B:L,11,0))*((I1272*0.3048)^VLOOKUP(D1272,'Species Codes'!B:M,12,0))))-(VLOOKUP(D1272,'Species Codes'!B:I,8,0)*((((E1272*2.54)^VLOOKUP(D1272,'Species Codes'!B:L,11,0))*((I1272*0.3048)^VLOOKUP(D1272,'Species Codes'!B:M,12,0))))))*35.3*VLOOKUP(D1272,'Species Codes'!B:G,6,0)/2.2046,VLOOKUP(D1272,'Species Codes'!B:I,8,0)+VLOOKUP(D1272,'Species Codes'!B:J,9,0)*(((E1272*2.54)/100)^2)*(I1272*0.3048)))))*0.0011023),0)</f>
        <v>#N/A</v>
      </c>
      <c r="AC1272" s="104" t="e">
        <f>IF(Z1272&gt;0,((IF(OR(D1272="RA",D1272="OA",D1272="OT",D1272="UN",D1272="PC"),EXP(VLOOKUP(D1272,'Species Codes'!B:O,14,0)+VLOOKUP(D1272,'Species Codes'!B:P,15,0)*LN((E1272*2.54)))-EXP(VLOOKUP(D1272,'Species Codes'!B:O,14,0)+VLOOKUP(D1272,'Species Codes'!B:P,15,0)*LN((E1272*2.54)))*(1/(VLOOKUP(D1272,'Species Codes'!B:Q,16,0)+VLOOKUP(D1272,'Species Codes'!B:R,17,0)*((E1272*2.54)^VLOOKUP(D1272,'Species Codes'!B:S,18,0)))),IF(OR(D1272="BM",D1272="MD",D1272="OA"),EXP(VLOOKUP(D1272,'Species Codes'!B:O,14,0)+VLOOKUP(D1272,'Species Codes'!B:P,15,0)*LN((E1272*2.54)))*(1-(1/(VLOOKUP(D1272,'Species Codes'!B:Q,16,0)+VLOOKUP(D1272,'Species Codes'!B:R,17,0)*((E1272*2.54)^VLOOKUP(D1272,'Species Codes'!B:S,18,0)))))/1000,IF(D1272="DF",EXP(VLOOKUP(D1272,'Species Codes'!B:O,14,0)+VLOOKUP(D1272,'Species Codes'!B:P,15,0)*LN((E1272*2.54))),VLOOKUP(D1272,'Species Codes'!B:O,14,0)+VLOOKUP(D1272,'Species Codes'!B:P,15,0)*(((E1272*2.54)/100)^2)*(I1272*0.3048)))))*0.0011023),0)</f>
        <v>#N/A</v>
      </c>
      <c r="AD1272" s="104" t="e">
        <f t="shared" si="571"/>
        <v>#N/A</v>
      </c>
      <c r="AE1272" s="104" t="e">
        <f t="shared" si="572"/>
        <v>#N/A</v>
      </c>
      <c r="AF1272" s="104" t="e">
        <f>IF(AND(VLOOKUP($D1272,Merchantability!$B:$C,2,0)="Yes",$E1272&gt;=VLOOKUP($D1272,Merchantability!$B:$D,3,0),$E1272&lt;=VLOOKUP($D1272,Merchantability!$B:$E,4,0)),AA1272,0)</f>
        <v>#N/A</v>
      </c>
      <c r="AG1272" s="104" t="e">
        <f>IF(AND(VLOOKUP($D1272,Merchantability!$B:$C,2,0)="Yes",$E1272&gt;=VLOOKUP($D1272,Merchantability!$B:$D,3,0),$E1272&lt;=VLOOKUP($D1272,Merchantability!$B:$E,4,0)),AB1272,0)</f>
        <v>#N/A</v>
      </c>
      <c r="AH1272" s="104" t="e">
        <f>IF(AND(VLOOKUP($D1272,Merchantability!$B:$C,2,0)="Yes",$E1272&gt;=VLOOKUP($D1272,Merchantability!$B:$D,3,0),$E1272&lt;=VLOOKUP($D1272,Merchantability!$B:$E,4,0)),AC1272,0)</f>
        <v>#N/A</v>
      </c>
      <c r="AI1272" s="104" t="e">
        <f t="shared" si="573"/>
        <v>#N/A</v>
      </c>
      <c r="AJ1272" s="104" t="e">
        <f t="shared" si="574"/>
        <v>#VALUE!</v>
      </c>
      <c r="AK1272" s="104" t="e">
        <f t="shared" si="575"/>
        <v>#N/A</v>
      </c>
      <c r="AL1272" s="104" t="e">
        <f t="shared" si="576"/>
        <v>#N/A</v>
      </c>
      <c r="AM1272" s="104" t="e">
        <f t="shared" si="577"/>
        <v>#N/A</v>
      </c>
      <c r="AN1272" s="104" t="e">
        <f t="shared" si="561"/>
        <v>#N/A</v>
      </c>
      <c r="AO1272" s="104" t="e">
        <f t="shared" si="562"/>
        <v>#N/A</v>
      </c>
      <c r="AP1272" s="104" t="e">
        <f t="shared" si="563"/>
        <v>#N/A</v>
      </c>
      <c r="AQ1272" s="104" t="e">
        <f t="shared" si="564"/>
        <v>#N/A</v>
      </c>
      <c r="AR1272" s="105" t="str">
        <f t="shared" si="556"/>
        <v/>
      </c>
      <c r="AS1272" s="105" t="str">
        <f t="shared" si="557"/>
        <v/>
      </c>
      <c r="AT1272" s="108" t="str">
        <f t="shared" si="558"/>
        <v/>
      </c>
      <c r="AU1272" s="108" t="str">
        <f t="shared" si="559"/>
        <v/>
      </c>
      <c r="AV1272" s="107" t="str">
        <f>IF(ISNUMBER(O1272),IF(VLOOKUP($A1272,Stand!C:J,8,FALSE)="Short",AT1272,AU1272),"")</f>
        <v/>
      </c>
      <c r="AW1272" s="109" t="str">
        <f t="shared" si="565"/>
        <v/>
      </c>
      <c r="AX1272" s="109" t="str">
        <f t="shared" si="566"/>
        <v/>
      </c>
      <c r="AY1272" s="112" t="str">
        <f>IF(ISNUMBER(O1272),IF(AND(VLOOKUP($D1272,Merchantability!$B:$C,2,0)="Yes",$E1272&gt;=VLOOKUP($D1272,Merchantability!$B:$D,3,0),$E1272&lt;=VLOOKUP($D1272,Merchantability!$B:$E,4,0)),(AV1272*O1272)*(1-$H1272/100),""),"")</f>
        <v/>
      </c>
      <c r="AZ1272" s="116"/>
      <c r="BA1272" s="116"/>
      <c r="BB1272" s="116"/>
      <c r="BE1272" s="62"/>
      <c r="BF1272" s="63"/>
    </row>
    <row r="1273" spans="1:58" ht="12.75" customHeight="1" x14ac:dyDescent="0.25">
      <c r="A1273" s="333"/>
      <c r="B1273" s="334"/>
      <c r="C1273" s="332"/>
      <c r="D1273" s="334"/>
      <c r="E1273" s="335"/>
      <c r="F1273" s="334"/>
      <c r="G1273" s="332"/>
      <c r="H1273" s="332"/>
      <c r="I1273" s="334"/>
      <c r="J1273" s="336"/>
      <c r="K1273" s="332"/>
      <c r="L1273" s="332"/>
      <c r="M1273" s="76"/>
      <c r="N1273" s="103" t="str">
        <f>IF(A1273="","",VLOOKUP(A1273,Stand!C:K,9,0))</f>
        <v/>
      </c>
      <c r="O1273" s="104" t="str">
        <f t="shared" si="551"/>
        <v/>
      </c>
      <c r="P1273" s="105" t="str">
        <f t="shared" si="552"/>
        <v/>
      </c>
      <c r="Q1273" s="105" t="str">
        <f t="shared" si="567"/>
        <v/>
      </c>
      <c r="R1273" s="103" t="str">
        <f t="shared" si="553"/>
        <v/>
      </c>
      <c r="S1273" s="103" t="str">
        <f t="shared" si="554"/>
        <v/>
      </c>
      <c r="T1273" s="106" t="str">
        <f t="shared" si="568"/>
        <v/>
      </c>
      <c r="U1273" s="106" t="str">
        <f t="shared" si="569"/>
        <v/>
      </c>
      <c r="V1273" s="106" t="str">
        <f t="shared" si="570"/>
        <v/>
      </c>
      <c r="W1273" s="105" t="str">
        <f t="shared" si="555"/>
        <v/>
      </c>
      <c r="X1273" s="104" t="str">
        <f t="shared" si="560"/>
        <v/>
      </c>
      <c r="Y1273" s="104" t="str">
        <f t="array" ref="Y1273">IFERROR(IF(ISNUMBER(O1273),IF(COUNT(IF(A1273=$A$2:$A$2427,IF(D1273=$D$2:$D$2427,IF($X$2:$X$2427&gt;0,1))))&gt;0,SUM(IF(A1273=$A$2:$A$2427,IF(D1273=$D$2:$D$2427,$X$2:$X$2427)))/COUNT(IF(A1273=$A$2:$A$2427,IF(D1273=$D$2:$D$2427,IF(ISNUMBER($X$2:$X$2427),1)))),0),""),0)</f>
        <v/>
      </c>
      <c r="Z1273" s="104" t="str">
        <f>IF(ISNUMBER(O1273),IF(I1273&gt;0,(10^(VLOOKUP(D1273,'Species Codes'!B:C,2,0)+VLOOKUP(D1273,'Species Codes'!B:D,3,0)*LOG(E1273)+VLOOKUP(D1273,'Species Codes'!B:E,4,0)*LOG(I1273))),0),"")</f>
        <v/>
      </c>
      <c r="AA1273" s="104" t="str">
        <f>IFERROR((VLOOKUP(D1273,'Species Codes'!B:G,6,0)*Z1273)/2000,"")</f>
        <v/>
      </c>
      <c r="AB1273" s="104" t="e">
        <f>IF(Z1273&gt;0,((IF(OR(D1273="DF",D1273="RA")=TRUE,EXP(VLOOKUP(D1273,'Species Codes'!B:I,8,0)+VLOOKUP(D1273,'Species Codes'!B:J,9,0)*(LN((E1273*2.54)))),IF(OR(D1273="PY",D1273="RC",D1273="WH",D1273="NF")=TRUE,VLOOKUP(D1273,'Species Codes'!B:I,8,0)+VLOOKUP(D1273,'Species Codes'!B:J,9,0)*((E1273*2.54)^2)*(I1273*0.3048),IF(OR(D1273="MD",D1273="BM",D1273="GA")=TRUE,((VLOOKUP(D1273,'Species Codes'!B:I,8,0)*(((((E1273*2.54)+VLOOKUP(D1273,'Species Codes'!B:J,9,0))/VLOOKUP(D1273,'Species Codes'!B:K,10,0))^VLOOKUP(D1273,'Species Codes'!B:L,11,0))*((I1273*0.3048)^VLOOKUP(D1273,'Species Codes'!B:M,12,0))))-(VLOOKUP(D1273,'Species Codes'!B:I,8,0)*((((E1273*2.54)^VLOOKUP(D1273,'Species Codes'!B:L,11,0))*((I1273*0.3048)^VLOOKUP(D1273,'Species Codes'!B:M,12,0))))))*35.3*VLOOKUP(D1273,'Species Codes'!B:G,6,0)/2.2046,VLOOKUP(D1273,'Species Codes'!B:I,8,0)+VLOOKUP(D1273,'Species Codes'!B:J,9,0)*(((E1273*2.54)/100)^2)*(I1273*0.3048)))))*0.0011023),0)</f>
        <v>#N/A</v>
      </c>
      <c r="AC1273" s="104" t="e">
        <f>IF(Z1273&gt;0,((IF(OR(D1273="RA",D1273="OA",D1273="OT",D1273="UN",D1273="PC"),EXP(VLOOKUP(D1273,'Species Codes'!B:O,14,0)+VLOOKUP(D1273,'Species Codes'!B:P,15,0)*LN((E1273*2.54)))-EXP(VLOOKUP(D1273,'Species Codes'!B:O,14,0)+VLOOKUP(D1273,'Species Codes'!B:P,15,0)*LN((E1273*2.54)))*(1/(VLOOKUP(D1273,'Species Codes'!B:Q,16,0)+VLOOKUP(D1273,'Species Codes'!B:R,17,0)*((E1273*2.54)^VLOOKUP(D1273,'Species Codes'!B:S,18,0)))),IF(OR(D1273="BM",D1273="MD",D1273="OA"),EXP(VLOOKUP(D1273,'Species Codes'!B:O,14,0)+VLOOKUP(D1273,'Species Codes'!B:P,15,0)*LN((E1273*2.54)))*(1-(1/(VLOOKUP(D1273,'Species Codes'!B:Q,16,0)+VLOOKUP(D1273,'Species Codes'!B:R,17,0)*((E1273*2.54)^VLOOKUP(D1273,'Species Codes'!B:S,18,0)))))/1000,IF(D1273="DF",EXP(VLOOKUP(D1273,'Species Codes'!B:O,14,0)+VLOOKUP(D1273,'Species Codes'!B:P,15,0)*LN((E1273*2.54))),VLOOKUP(D1273,'Species Codes'!B:O,14,0)+VLOOKUP(D1273,'Species Codes'!B:P,15,0)*(((E1273*2.54)/100)^2)*(I1273*0.3048)))))*0.0011023),0)</f>
        <v>#N/A</v>
      </c>
      <c r="AD1273" s="104" t="e">
        <f t="shared" si="571"/>
        <v>#N/A</v>
      </c>
      <c r="AE1273" s="104" t="e">
        <f t="shared" si="572"/>
        <v>#N/A</v>
      </c>
      <c r="AF1273" s="104" t="e">
        <f>IF(AND(VLOOKUP($D1273,Merchantability!$B:$C,2,0)="Yes",$E1273&gt;=VLOOKUP($D1273,Merchantability!$B:$D,3,0),$E1273&lt;=VLOOKUP($D1273,Merchantability!$B:$E,4,0)),AA1273,0)</f>
        <v>#N/A</v>
      </c>
      <c r="AG1273" s="104" t="e">
        <f>IF(AND(VLOOKUP($D1273,Merchantability!$B:$C,2,0)="Yes",$E1273&gt;=VLOOKUP($D1273,Merchantability!$B:$D,3,0),$E1273&lt;=VLOOKUP($D1273,Merchantability!$B:$E,4,0)),AB1273,0)</f>
        <v>#N/A</v>
      </c>
      <c r="AH1273" s="104" t="e">
        <f>IF(AND(VLOOKUP($D1273,Merchantability!$B:$C,2,0)="Yes",$E1273&gt;=VLOOKUP($D1273,Merchantability!$B:$D,3,0),$E1273&lt;=VLOOKUP($D1273,Merchantability!$B:$E,4,0)),AC1273,0)</f>
        <v>#N/A</v>
      </c>
      <c r="AI1273" s="104" t="e">
        <f t="shared" si="573"/>
        <v>#N/A</v>
      </c>
      <c r="AJ1273" s="104" t="e">
        <f t="shared" si="574"/>
        <v>#VALUE!</v>
      </c>
      <c r="AK1273" s="104" t="e">
        <f t="shared" si="575"/>
        <v>#N/A</v>
      </c>
      <c r="AL1273" s="104" t="e">
        <f t="shared" si="576"/>
        <v>#N/A</v>
      </c>
      <c r="AM1273" s="104" t="e">
        <f t="shared" si="577"/>
        <v>#N/A</v>
      </c>
      <c r="AN1273" s="104" t="e">
        <f t="shared" si="561"/>
        <v>#N/A</v>
      </c>
      <c r="AO1273" s="104" t="e">
        <f t="shared" si="562"/>
        <v>#N/A</v>
      </c>
      <c r="AP1273" s="104" t="e">
        <f t="shared" si="563"/>
        <v>#N/A</v>
      </c>
      <c r="AQ1273" s="104" t="e">
        <f t="shared" si="564"/>
        <v>#N/A</v>
      </c>
      <c r="AR1273" s="105" t="str">
        <f t="shared" si="556"/>
        <v/>
      </c>
      <c r="AS1273" s="105" t="str">
        <f t="shared" si="557"/>
        <v/>
      </c>
      <c r="AT1273" s="108" t="str">
        <f t="shared" si="558"/>
        <v/>
      </c>
      <c r="AU1273" s="108" t="str">
        <f t="shared" si="559"/>
        <v/>
      </c>
      <c r="AV1273" s="107" t="str">
        <f>IF(ISNUMBER(O1273),IF(VLOOKUP($A1273,Stand!C:J,8,FALSE)="Short",AT1273,AU1273),"")</f>
        <v/>
      </c>
      <c r="AW1273" s="109" t="str">
        <f t="shared" si="565"/>
        <v/>
      </c>
      <c r="AX1273" s="109" t="str">
        <f t="shared" si="566"/>
        <v/>
      </c>
      <c r="AY1273" s="112" t="str">
        <f>IF(ISNUMBER(O1273),IF(AND(VLOOKUP($D1273,Merchantability!$B:$C,2,0)="Yes",$E1273&gt;=VLOOKUP($D1273,Merchantability!$B:$D,3,0),$E1273&lt;=VLOOKUP($D1273,Merchantability!$B:$E,4,0)),(AV1273*O1273)*(1-$H1273/100),""),"")</f>
        <v/>
      </c>
      <c r="AZ1273" s="116"/>
      <c r="BA1273" s="116"/>
      <c r="BB1273" s="116"/>
      <c r="BE1273" s="62"/>
      <c r="BF1273" s="63"/>
    </row>
    <row r="1274" spans="1:58" ht="12.75" customHeight="1" x14ac:dyDescent="0.25">
      <c r="A1274" s="333"/>
      <c r="B1274" s="334"/>
      <c r="C1274" s="332"/>
      <c r="D1274" s="334"/>
      <c r="E1274" s="335"/>
      <c r="F1274" s="334"/>
      <c r="G1274" s="332"/>
      <c r="H1274" s="332"/>
      <c r="I1274" s="334"/>
      <c r="J1274" s="336"/>
      <c r="K1274" s="332"/>
      <c r="L1274" s="332"/>
      <c r="M1274" s="76"/>
      <c r="N1274" s="103" t="str">
        <f>IF(A1274="","",VLOOKUP(A1274,Stand!C:K,9,0))</f>
        <v/>
      </c>
      <c r="O1274" s="104" t="str">
        <f t="shared" si="551"/>
        <v/>
      </c>
      <c r="P1274" s="105" t="str">
        <f t="shared" si="552"/>
        <v/>
      </c>
      <c r="Q1274" s="105" t="str">
        <f t="shared" si="567"/>
        <v/>
      </c>
      <c r="R1274" s="103" t="str">
        <f t="shared" si="553"/>
        <v/>
      </c>
      <c r="S1274" s="103" t="str">
        <f t="shared" si="554"/>
        <v/>
      </c>
      <c r="T1274" s="106" t="str">
        <f t="shared" si="568"/>
        <v/>
      </c>
      <c r="U1274" s="106" t="str">
        <f t="shared" si="569"/>
        <v/>
      </c>
      <c r="V1274" s="106" t="str">
        <f t="shared" si="570"/>
        <v/>
      </c>
      <c r="W1274" s="105" t="str">
        <f t="shared" si="555"/>
        <v/>
      </c>
      <c r="X1274" s="104" t="str">
        <f t="shared" si="560"/>
        <v/>
      </c>
      <c r="Y1274" s="104" t="str">
        <f t="array" ref="Y1274">IFERROR(IF(ISNUMBER(O1274),IF(COUNT(IF(A1274=$A$2:$A$2427,IF(D1274=$D$2:$D$2427,IF($X$2:$X$2427&gt;0,1))))&gt;0,SUM(IF(A1274=$A$2:$A$2427,IF(D1274=$D$2:$D$2427,$X$2:$X$2427)))/COUNT(IF(A1274=$A$2:$A$2427,IF(D1274=$D$2:$D$2427,IF(ISNUMBER($X$2:$X$2427),1)))),0),""),0)</f>
        <v/>
      </c>
      <c r="Z1274" s="104" t="str">
        <f>IF(ISNUMBER(O1274),IF(I1274&gt;0,(10^(VLOOKUP(D1274,'Species Codes'!B:C,2,0)+VLOOKUP(D1274,'Species Codes'!B:D,3,0)*LOG(E1274)+VLOOKUP(D1274,'Species Codes'!B:E,4,0)*LOG(I1274))),0),"")</f>
        <v/>
      </c>
      <c r="AA1274" s="104" t="str">
        <f>IFERROR((VLOOKUP(D1274,'Species Codes'!B:G,6,0)*Z1274)/2000,"")</f>
        <v/>
      </c>
      <c r="AB1274" s="104" t="e">
        <f>IF(Z1274&gt;0,((IF(OR(D1274="DF",D1274="RA")=TRUE,EXP(VLOOKUP(D1274,'Species Codes'!B:I,8,0)+VLOOKUP(D1274,'Species Codes'!B:J,9,0)*(LN((E1274*2.54)))),IF(OR(D1274="PY",D1274="RC",D1274="WH",D1274="NF")=TRUE,VLOOKUP(D1274,'Species Codes'!B:I,8,0)+VLOOKUP(D1274,'Species Codes'!B:J,9,0)*((E1274*2.54)^2)*(I1274*0.3048),IF(OR(D1274="MD",D1274="BM",D1274="GA")=TRUE,((VLOOKUP(D1274,'Species Codes'!B:I,8,0)*(((((E1274*2.54)+VLOOKUP(D1274,'Species Codes'!B:J,9,0))/VLOOKUP(D1274,'Species Codes'!B:K,10,0))^VLOOKUP(D1274,'Species Codes'!B:L,11,0))*((I1274*0.3048)^VLOOKUP(D1274,'Species Codes'!B:M,12,0))))-(VLOOKUP(D1274,'Species Codes'!B:I,8,0)*((((E1274*2.54)^VLOOKUP(D1274,'Species Codes'!B:L,11,0))*((I1274*0.3048)^VLOOKUP(D1274,'Species Codes'!B:M,12,0))))))*35.3*VLOOKUP(D1274,'Species Codes'!B:G,6,0)/2.2046,VLOOKUP(D1274,'Species Codes'!B:I,8,0)+VLOOKUP(D1274,'Species Codes'!B:J,9,0)*(((E1274*2.54)/100)^2)*(I1274*0.3048)))))*0.0011023),0)</f>
        <v>#N/A</v>
      </c>
      <c r="AC1274" s="104" t="e">
        <f>IF(Z1274&gt;0,((IF(OR(D1274="RA",D1274="OA",D1274="OT",D1274="UN",D1274="PC"),EXP(VLOOKUP(D1274,'Species Codes'!B:O,14,0)+VLOOKUP(D1274,'Species Codes'!B:P,15,0)*LN((E1274*2.54)))-EXP(VLOOKUP(D1274,'Species Codes'!B:O,14,0)+VLOOKUP(D1274,'Species Codes'!B:P,15,0)*LN((E1274*2.54)))*(1/(VLOOKUP(D1274,'Species Codes'!B:Q,16,0)+VLOOKUP(D1274,'Species Codes'!B:R,17,0)*((E1274*2.54)^VLOOKUP(D1274,'Species Codes'!B:S,18,0)))),IF(OR(D1274="BM",D1274="MD",D1274="OA"),EXP(VLOOKUP(D1274,'Species Codes'!B:O,14,0)+VLOOKUP(D1274,'Species Codes'!B:P,15,0)*LN((E1274*2.54)))*(1-(1/(VLOOKUP(D1274,'Species Codes'!B:Q,16,0)+VLOOKUP(D1274,'Species Codes'!B:R,17,0)*((E1274*2.54)^VLOOKUP(D1274,'Species Codes'!B:S,18,0)))))/1000,IF(D1274="DF",EXP(VLOOKUP(D1274,'Species Codes'!B:O,14,0)+VLOOKUP(D1274,'Species Codes'!B:P,15,0)*LN((E1274*2.54))),VLOOKUP(D1274,'Species Codes'!B:O,14,0)+VLOOKUP(D1274,'Species Codes'!B:P,15,0)*(((E1274*2.54)/100)^2)*(I1274*0.3048)))))*0.0011023),0)</f>
        <v>#N/A</v>
      </c>
      <c r="AD1274" s="104" t="e">
        <f t="shared" si="571"/>
        <v>#N/A</v>
      </c>
      <c r="AE1274" s="104" t="e">
        <f t="shared" si="572"/>
        <v>#N/A</v>
      </c>
      <c r="AF1274" s="104" t="e">
        <f>IF(AND(VLOOKUP($D1274,Merchantability!$B:$C,2,0)="Yes",$E1274&gt;=VLOOKUP($D1274,Merchantability!$B:$D,3,0),$E1274&lt;=VLOOKUP($D1274,Merchantability!$B:$E,4,0)),AA1274,0)</f>
        <v>#N/A</v>
      </c>
      <c r="AG1274" s="104" t="e">
        <f>IF(AND(VLOOKUP($D1274,Merchantability!$B:$C,2,0)="Yes",$E1274&gt;=VLOOKUP($D1274,Merchantability!$B:$D,3,0),$E1274&lt;=VLOOKUP($D1274,Merchantability!$B:$E,4,0)),AB1274,0)</f>
        <v>#N/A</v>
      </c>
      <c r="AH1274" s="104" t="e">
        <f>IF(AND(VLOOKUP($D1274,Merchantability!$B:$C,2,0)="Yes",$E1274&gt;=VLOOKUP($D1274,Merchantability!$B:$D,3,0),$E1274&lt;=VLOOKUP($D1274,Merchantability!$B:$E,4,0)),AC1274,0)</f>
        <v>#N/A</v>
      </c>
      <c r="AI1274" s="104" t="e">
        <f t="shared" si="573"/>
        <v>#N/A</v>
      </c>
      <c r="AJ1274" s="104" t="e">
        <f t="shared" si="574"/>
        <v>#VALUE!</v>
      </c>
      <c r="AK1274" s="104" t="e">
        <f t="shared" si="575"/>
        <v>#N/A</v>
      </c>
      <c r="AL1274" s="104" t="e">
        <f t="shared" si="576"/>
        <v>#N/A</v>
      </c>
      <c r="AM1274" s="104" t="e">
        <f t="shared" si="577"/>
        <v>#N/A</v>
      </c>
      <c r="AN1274" s="104" t="e">
        <f t="shared" si="561"/>
        <v>#N/A</v>
      </c>
      <c r="AO1274" s="104" t="e">
        <f t="shared" si="562"/>
        <v>#N/A</v>
      </c>
      <c r="AP1274" s="104" t="e">
        <f t="shared" si="563"/>
        <v>#N/A</v>
      </c>
      <c r="AQ1274" s="104" t="e">
        <f t="shared" si="564"/>
        <v>#N/A</v>
      </c>
      <c r="AR1274" s="105" t="str">
        <f t="shared" si="556"/>
        <v/>
      </c>
      <c r="AS1274" s="105" t="str">
        <f t="shared" si="557"/>
        <v/>
      </c>
      <c r="AT1274" s="108" t="str">
        <f t="shared" si="558"/>
        <v/>
      </c>
      <c r="AU1274" s="108" t="str">
        <f t="shared" si="559"/>
        <v/>
      </c>
      <c r="AV1274" s="107" t="str">
        <f>IF(ISNUMBER(O1274),IF(VLOOKUP($A1274,Stand!C:J,8,FALSE)="Short",AT1274,AU1274),"")</f>
        <v/>
      </c>
      <c r="AW1274" s="109" t="str">
        <f t="shared" si="565"/>
        <v/>
      </c>
      <c r="AX1274" s="109" t="str">
        <f t="shared" si="566"/>
        <v/>
      </c>
      <c r="AY1274" s="112" t="str">
        <f>IF(ISNUMBER(O1274),IF(AND(VLOOKUP($D1274,Merchantability!$B:$C,2,0)="Yes",$E1274&gt;=VLOOKUP($D1274,Merchantability!$B:$D,3,0),$E1274&lt;=VLOOKUP($D1274,Merchantability!$B:$E,4,0)),(AV1274*O1274)*(1-$H1274/100),""),"")</f>
        <v/>
      </c>
      <c r="AZ1274" s="116"/>
      <c r="BA1274" s="116"/>
      <c r="BB1274" s="116"/>
      <c r="BE1274" s="62"/>
      <c r="BF1274" s="63"/>
    </row>
    <row r="1275" spans="1:58" ht="12.75" customHeight="1" x14ac:dyDescent="0.25">
      <c r="A1275" s="333"/>
      <c r="B1275" s="334"/>
      <c r="C1275" s="332"/>
      <c r="D1275" s="334"/>
      <c r="E1275" s="335"/>
      <c r="F1275" s="334"/>
      <c r="G1275" s="332"/>
      <c r="H1275" s="332"/>
      <c r="I1275" s="334"/>
      <c r="J1275" s="336"/>
      <c r="K1275" s="332"/>
      <c r="L1275" s="332"/>
      <c r="M1275" s="76"/>
      <c r="N1275" s="103" t="str">
        <f>IF(A1275="","",VLOOKUP(A1275,Stand!C:K,9,0))</f>
        <v/>
      </c>
      <c r="O1275" s="104" t="str">
        <f t="shared" si="551"/>
        <v/>
      </c>
      <c r="P1275" s="105" t="str">
        <f t="shared" si="552"/>
        <v/>
      </c>
      <c r="Q1275" s="105" t="str">
        <f t="shared" si="567"/>
        <v/>
      </c>
      <c r="R1275" s="103" t="str">
        <f t="shared" si="553"/>
        <v/>
      </c>
      <c r="S1275" s="103" t="str">
        <f t="shared" si="554"/>
        <v/>
      </c>
      <c r="T1275" s="106" t="str">
        <f t="shared" si="568"/>
        <v/>
      </c>
      <c r="U1275" s="106" t="str">
        <f t="shared" si="569"/>
        <v/>
      </c>
      <c r="V1275" s="106" t="str">
        <f t="shared" si="570"/>
        <v/>
      </c>
      <c r="W1275" s="105" t="str">
        <f t="shared" si="555"/>
        <v/>
      </c>
      <c r="X1275" s="104" t="str">
        <f t="shared" si="560"/>
        <v/>
      </c>
      <c r="Y1275" s="104" t="str">
        <f t="array" ref="Y1275">IFERROR(IF(ISNUMBER(O1275),IF(COUNT(IF(A1275=$A$2:$A$2427,IF(D1275=$D$2:$D$2427,IF($X$2:$X$2427&gt;0,1))))&gt;0,SUM(IF(A1275=$A$2:$A$2427,IF(D1275=$D$2:$D$2427,$X$2:$X$2427)))/COUNT(IF(A1275=$A$2:$A$2427,IF(D1275=$D$2:$D$2427,IF(ISNUMBER($X$2:$X$2427),1)))),0),""),0)</f>
        <v/>
      </c>
      <c r="Z1275" s="104" t="str">
        <f>IF(ISNUMBER(O1275),IF(I1275&gt;0,(10^(VLOOKUP(D1275,'Species Codes'!B:C,2,0)+VLOOKUP(D1275,'Species Codes'!B:D,3,0)*LOG(E1275)+VLOOKUP(D1275,'Species Codes'!B:E,4,0)*LOG(I1275))),0),"")</f>
        <v/>
      </c>
      <c r="AA1275" s="104" t="str">
        <f>IFERROR((VLOOKUP(D1275,'Species Codes'!B:G,6,0)*Z1275)/2000,"")</f>
        <v/>
      </c>
      <c r="AB1275" s="104" t="e">
        <f>IF(Z1275&gt;0,((IF(OR(D1275="DF",D1275="RA")=TRUE,EXP(VLOOKUP(D1275,'Species Codes'!B:I,8,0)+VLOOKUP(D1275,'Species Codes'!B:J,9,0)*(LN((E1275*2.54)))),IF(OR(D1275="PY",D1275="RC",D1275="WH",D1275="NF")=TRUE,VLOOKUP(D1275,'Species Codes'!B:I,8,0)+VLOOKUP(D1275,'Species Codes'!B:J,9,0)*((E1275*2.54)^2)*(I1275*0.3048),IF(OR(D1275="MD",D1275="BM",D1275="GA")=TRUE,((VLOOKUP(D1275,'Species Codes'!B:I,8,0)*(((((E1275*2.54)+VLOOKUP(D1275,'Species Codes'!B:J,9,0))/VLOOKUP(D1275,'Species Codes'!B:K,10,0))^VLOOKUP(D1275,'Species Codes'!B:L,11,0))*((I1275*0.3048)^VLOOKUP(D1275,'Species Codes'!B:M,12,0))))-(VLOOKUP(D1275,'Species Codes'!B:I,8,0)*((((E1275*2.54)^VLOOKUP(D1275,'Species Codes'!B:L,11,0))*((I1275*0.3048)^VLOOKUP(D1275,'Species Codes'!B:M,12,0))))))*35.3*VLOOKUP(D1275,'Species Codes'!B:G,6,0)/2.2046,VLOOKUP(D1275,'Species Codes'!B:I,8,0)+VLOOKUP(D1275,'Species Codes'!B:J,9,0)*(((E1275*2.54)/100)^2)*(I1275*0.3048)))))*0.0011023),0)</f>
        <v>#N/A</v>
      </c>
      <c r="AC1275" s="104" t="e">
        <f>IF(Z1275&gt;0,((IF(OR(D1275="RA",D1275="OA",D1275="OT",D1275="UN",D1275="PC"),EXP(VLOOKUP(D1275,'Species Codes'!B:O,14,0)+VLOOKUP(D1275,'Species Codes'!B:P,15,0)*LN((E1275*2.54)))-EXP(VLOOKUP(D1275,'Species Codes'!B:O,14,0)+VLOOKUP(D1275,'Species Codes'!B:P,15,0)*LN((E1275*2.54)))*(1/(VLOOKUP(D1275,'Species Codes'!B:Q,16,0)+VLOOKUP(D1275,'Species Codes'!B:R,17,0)*((E1275*2.54)^VLOOKUP(D1275,'Species Codes'!B:S,18,0)))),IF(OR(D1275="BM",D1275="MD",D1275="OA"),EXP(VLOOKUP(D1275,'Species Codes'!B:O,14,0)+VLOOKUP(D1275,'Species Codes'!B:P,15,0)*LN((E1275*2.54)))*(1-(1/(VLOOKUP(D1275,'Species Codes'!B:Q,16,0)+VLOOKUP(D1275,'Species Codes'!B:R,17,0)*((E1275*2.54)^VLOOKUP(D1275,'Species Codes'!B:S,18,0)))))/1000,IF(D1275="DF",EXP(VLOOKUP(D1275,'Species Codes'!B:O,14,0)+VLOOKUP(D1275,'Species Codes'!B:P,15,0)*LN((E1275*2.54))),VLOOKUP(D1275,'Species Codes'!B:O,14,0)+VLOOKUP(D1275,'Species Codes'!B:P,15,0)*(((E1275*2.54)/100)^2)*(I1275*0.3048)))))*0.0011023),0)</f>
        <v>#N/A</v>
      </c>
      <c r="AD1275" s="104" t="e">
        <f t="shared" si="571"/>
        <v>#N/A</v>
      </c>
      <c r="AE1275" s="104" t="e">
        <f t="shared" si="572"/>
        <v>#N/A</v>
      </c>
      <c r="AF1275" s="104" t="e">
        <f>IF(AND(VLOOKUP($D1275,Merchantability!$B:$C,2,0)="Yes",$E1275&gt;=VLOOKUP($D1275,Merchantability!$B:$D,3,0),$E1275&lt;=VLOOKUP($D1275,Merchantability!$B:$E,4,0)),AA1275,0)</f>
        <v>#N/A</v>
      </c>
      <c r="AG1275" s="104" t="e">
        <f>IF(AND(VLOOKUP($D1275,Merchantability!$B:$C,2,0)="Yes",$E1275&gt;=VLOOKUP($D1275,Merchantability!$B:$D,3,0),$E1275&lt;=VLOOKUP($D1275,Merchantability!$B:$E,4,0)),AB1275,0)</f>
        <v>#N/A</v>
      </c>
      <c r="AH1275" s="104" t="e">
        <f>IF(AND(VLOOKUP($D1275,Merchantability!$B:$C,2,0)="Yes",$E1275&gt;=VLOOKUP($D1275,Merchantability!$B:$D,3,0),$E1275&lt;=VLOOKUP($D1275,Merchantability!$B:$E,4,0)),AC1275,0)</f>
        <v>#N/A</v>
      </c>
      <c r="AI1275" s="104" t="e">
        <f t="shared" si="573"/>
        <v>#N/A</v>
      </c>
      <c r="AJ1275" s="104" t="e">
        <f t="shared" si="574"/>
        <v>#VALUE!</v>
      </c>
      <c r="AK1275" s="104" t="e">
        <f t="shared" si="575"/>
        <v>#N/A</v>
      </c>
      <c r="AL1275" s="104" t="e">
        <f t="shared" si="576"/>
        <v>#N/A</v>
      </c>
      <c r="AM1275" s="104" t="e">
        <f t="shared" si="577"/>
        <v>#N/A</v>
      </c>
      <c r="AN1275" s="104" t="e">
        <f t="shared" si="561"/>
        <v>#N/A</v>
      </c>
      <c r="AO1275" s="104" t="e">
        <f t="shared" si="562"/>
        <v>#N/A</v>
      </c>
      <c r="AP1275" s="104" t="e">
        <f t="shared" si="563"/>
        <v>#N/A</v>
      </c>
      <c r="AQ1275" s="104" t="e">
        <f t="shared" si="564"/>
        <v>#N/A</v>
      </c>
      <c r="AR1275" s="105" t="str">
        <f t="shared" si="556"/>
        <v/>
      </c>
      <c r="AS1275" s="105" t="str">
        <f t="shared" si="557"/>
        <v/>
      </c>
      <c r="AT1275" s="108" t="str">
        <f t="shared" si="558"/>
        <v/>
      </c>
      <c r="AU1275" s="108" t="str">
        <f t="shared" si="559"/>
        <v/>
      </c>
      <c r="AV1275" s="107" t="str">
        <f>IF(ISNUMBER(O1275),IF(VLOOKUP($A1275,Stand!C:J,8,FALSE)="Short",AT1275,AU1275),"")</f>
        <v/>
      </c>
      <c r="AW1275" s="109" t="str">
        <f t="shared" si="565"/>
        <v/>
      </c>
      <c r="AX1275" s="109" t="str">
        <f t="shared" si="566"/>
        <v/>
      </c>
      <c r="AY1275" s="112" t="str">
        <f>IF(ISNUMBER(O1275),IF(AND(VLOOKUP($D1275,Merchantability!$B:$C,2,0)="Yes",$E1275&gt;=VLOOKUP($D1275,Merchantability!$B:$D,3,0),$E1275&lt;=VLOOKUP($D1275,Merchantability!$B:$E,4,0)),(AV1275*O1275)*(1-$H1275/100),""),"")</f>
        <v/>
      </c>
      <c r="AZ1275" s="116"/>
      <c r="BA1275" s="116"/>
      <c r="BB1275" s="116"/>
      <c r="BE1275" s="62"/>
      <c r="BF1275" s="63"/>
    </row>
    <row r="1276" spans="1:58" ht="12.75" customHeight="1" x14ac:dyDescent="0.25">
      <c r="A1276" s="333"/>
      <c r="B1276" s="334"/>
      <c r="C1276" s="332"/>
      <c r="D1276" s="334"/>
      <c r="E1276" s="335"/>
      <c r="F1276" s="334"/>
      <c r="G1276" s="332"/>
      <c r="H1276" s="332"/>
      <c r="I1276" s="334"/>
      <c r="J1276" s="336"/>
      <c r="K1276" s="332"/>
      <c r="L1276" s="332"/>
      <c r="M1276" s="76"/>
      <c r="N1276" s="103" t="str">
        <f>IF(A1276="","",VLOOKUP(A1276,Stand!C:K,9,0))</f>
        <v/>
      </c>
      <c r="O1276" s="104" t="str">
        <f t="shared" si="551"/>
        <v/>
      </c>
      <c r="P1276" s="105" t="str">
        <f t="shared" si="552"/>
        <v/>
      </c>
      <c r="Q1276" s="105" t="str">
        <f t="shared" si="567"/>
        <v/>
      </c>
      <c r="R1276" s="103" t="str">
        <f t="shared" si="553"/>
        <v/>
      </c>
      <c r="S1276" s="103" t="str">
        <f t="shared" si="554"/>
        <v/>
      </c>
      <c r="T1276" s="106" t="str">
        <f t="shared" si="568"/>
        <v/>
      </c>
      <c r="U1276" s="106" t="str">
        <f t="shared" si="569"/>
        <v/>
      </c>
      <c r="V1276" s="106" t="str">
        <f t="shared" si="570"/>
        <v/>
      </c>
      <c r="W1276" s="105" t="str">
        <f t="shared" si="555"/>
        <v/>
      </c>
      <c r="X1276" s="104" t="str">
        <f t="shared" si="560"/>
        <v/>
      </c>
      <c r="Y1276" s="104" t="str">
        <f t="array" ref="Y1276">IFERROR(IF(ISNUMBER(O1276),IF(COUNT(IF(A1276=$A$2:$A$2427,IF(D1276=$D$2:$D$2427,IF($X$2:$X$2427&gt;0,1))))&gt;0,SUM(IF(A1276=$A$2:$A$2427,IF(D1276=$D$2:$D$2427,$X$2:$X$2427)))/COUNT(IF(A1276=$A$2:$A$2427,IF(D1276=$D$2:$D$2427,IF(ISNUMBER($X$2:$X$2427),1)))),0),""),0)</f>
        <v/>
      </c>
      <c r="Z1276" s="104" t="str">
        <f>IF(ISNUMBER(O1276),IF(I1276&gt;0,(10^(VLOOKUP(D1276,'Species Codes'!B:C,2,0)+VLOOKUP(D1276,'Species Codes'!B:D,3,0)*LOG(E1276)+VLOOKUP(D1276,'Species Codes'!B:E,4,0)*LOG(I1276))),0),"")</f>
        <v/>
      </c>
      <c r="AA1276" s="104" t="str">
        <f>IFERROR((VLOOKUP(D1276,'Species Codes'!B:G,6,0)*Z1276)/2000,"")</f>
        <v/>
      </c>
      <c r="AB1276" s="104" t="e">
        <f>IF(Z1276&gt;0,((IF(OR(D1276="DF",D1276="RA")=TRUE,EXP(VLOOKUP(D1276,'Species Codes'!B:I,8,0)+VLOOKUP(D1276,'Species Codes'!B:J,9,0)*(LN((E1276*2.54)))),IF(OR(D1276="PY",D1276="RC",D1276="WH",D1276="NF")=TRUE,VLOOKUP(D1276,'Species Codes'!B:I,8,0)+VLOOKUP(D1276,'Species Codes'!B:J,9,0)*((E1276*2.54)^2)*(I1276*0.3048),IF(OR(D1276="MD",D1276="BM",D1276="GA")=TRUE,((VLOOKUP(D1276,'Species Codes'!B:I,8,0)*(((((E1276*2.54)+VLOOKUP(D1276,'Species Codes'!B:J,9,0))/VLOOKUP(D1276,'Species Codes'!B:K,10,0))^VLOOKUP(D1276,'Species Codes'!B:L,11,0))*((I1276*0.3048)^VLOOKUP(D1276,'Species Codes'!B:M,12,0))))-(VLOOKUP(D1276,'Species Codes'!B:I,8,0)*((((E1276*2.54)^VLOOKUP(D1276,'Species Codes'!B:L,11,0))*((I1276*0.3048)^VLOOKUP(D1276,'Species Codes'!B:M,12,0))))))*35.3*VLOOKUP(D1276,'Species Codes'!B:G,6,0)/2.2046,VLOOKUP(D1276,'Species Codes'!B:I,8,0)+VLOOKUP(D1276,'Species Codes'!B:J,9,0)*(((E1276*2.54)/100)^2)*(I1276*0.3048)))))*0.0011023),0)</f>
        <v>#N/A</v>
      </c>
      <c r="AC1276" s="104" t="e">
        <f>IF(Z1276&gt;0,((IF(OR(D1276="RA",D1276="OA",D1276="OT",D1276="UN",D1276="PC"),EXP(VLOOKUP(D1276,'Species Codes'!B:O,14,0)+VLOOKUP(D1276,'Species Codes'!B:P,15,0)*LN((E1276*2.54)))-EXP(VLOOKUP(D1276,'Species Codes'!B:O,14,0)+VLOOKUP(D1276,'Species Codes'!B:P,15,0)*LN((E1276*2.54)))*(1/(VLOOKUP(D1276,'Species Codes'!B:Q,16,0)+VLOOKUP(D1276,'Species Codes'!B:R,17,0)*((E1276*2.54)^VLOOKUP(D1276,'Species Codes'!B:S,18,0)))),IF(OR(D1276="BM",D1276="MD",D1276="OA"),EXP(VLOOKUP(D1276,'Species Codes'!B:O,14,0)+VLOOKUP(D1276,'Species Codes'!B:P,15,0)*LN((E1276*2.54)))*(1-(1/(VLOOKUP(D1276,'Species Codes'!B:Q,16,0)+VLOOKUP(D1276,'Species Codes'!B:R,17,0)*((E1276*2.54)^VLOOKUP(D1276,'Species Codes'!B:S,18,0)))))/1000,IF(D1276="DF",EXP(VLOOKUP(D1276,'Species Codes'!B:O,14,0)+VLOOKUP(D1276,'Species Codes'!B:P,15,0)*LN((E1276*2.54))),VLOOKUP(D1276,'Species Codes'!B:O,14,0)+VLOOKUP(D1276,'Species Codes'!B:P,15,0)*(((E1276*2.54)/100)^2)*(I1276*0.3048)))))*0.0011023),0)</f>
        <v>#N/A</v>
      </c>
      <c r="AD1276" s="104" t="e">
        <f t="shared" si="571"/>
        <v>#N/A</v>
      </c>
      <c r="AE1276" s="104" t="e">
        <f t="shared" si="572"/>
        <v>#N/A</v>
      </c>
      <c r="AF1276" s="104" t="e">
        <f>IF(AND(VLOOKUP($D1276,Merchantability!$B:$C,2,0)="Yes",$E1276&gt;=VLOOKUP($D1276,Merchantability!$B:$D,3,0),$E1276&lt;=VLOOKUP($D1276,Merchantability!$B:$E,4,0)),AA1276,0)</f>
        <v>#N/A</v>
      </c>
      <c r="AG1276" s="104" t="e">
        <f>IF(AND(VLOOKUP($D1276,Merchantability!$B:$C,2,0)="Yes",$E1276&gt;=VLOOKUP($D1276,Merchantability!$B:$D,3,0),$E1276&lt;=VLOOKUP($D1276,Merchantability!$B:$E,4,0)),AB1276,0)</f>
        <v>#N/A</v>
      </c>
      <c r="AH1276" s="104" t="e">
        <f>IF(AND(VLOOKUP($D1276,Merchantability!$B:$C,2,0)="Yes",$E1276&gt;=VLOOKUP($D1276,Merchantability!$B:$D,3,0),$E1276&lt;=VLOOKUP($D1276,Merchantability!$B:$E,4,0)),AC1276,0)</f>
        <v>#N/A</v>
      </c>
      <c r="AI1276" s="104" t="e">
        <f t="shared" si="573"/>
        <v>#N/A</v>
      </c>
      <c r="AJ1276" s="104" t="e">
        <f t="shared" si="574"/>
        <v>#VALUE!</v>
      </c>
      <c r="AK1276" s="104" t="e">
        <f t="shared" si="575"/>
        <v>#N/A</v>
      </c>
      <c r="AL1276" s="104" t="e">
        <f t="shared" si="576"/>
        <v>#N/A</v>
      </c>
      <c r="AM1276" s="104" t="e">
        <f t="shared" si="577"/>
        <v>#N/A</v>
      </c>
      <c r="AN1276" s="104" t="e">
        <f t="shared" si="561"/>
        <v>#N/A</v>
      </c>
      <c r="AO1276" s="104" t="e">
        <f t="shared" si="562"/>
        <v>#N/A</v>
      </c>
      <c r="AP1276" s="104" t="e">
        <f t="shared" si="563"/>
        <v>#N/A</v>
      </c>
      <c r="AQ1276" s="104" t="e">
        <f t="shared" si="564"/>
        <v>#N/A</v>
      </c>
      <c r="AR1276" s="105" t="str">
        <f t="shared" si="556"/>
        <v/>
      </c>
      <c r="AS1276" s="105" t="str">
        <f t="shared" si="557"/>
        <v/>
      </c>
      <c r="AT1276" s="108" t="str">
        <f t="shared" si="558"/>
        <v/>
      </c>
      <c r="AU1276" s="108" t="str">
        <f t="shared" si="559"/>
        <v/>
      </c>
      <c r="AV1276" s="107" t="str">
        <f>IF(ISNUMBER(O1276),IF(VLOOKUP($A1276,Stand!C:J,8,FALSE)="Short",AT1276,AU1276),"")</f>
        <v/>
      </c>
      <c r="AW1276" s="109" t="str">
        <f t="shared" si="565"/>
        <v/>
      </c>
      <c r="AX1276" s="109" t="str">
        <f t="shared" si="566"/>
        <v/>
      </c>
      <c r="AY1276" s="112" t="str">
        <f>IF(ISNUMBER(O1276),IF(AND(VLOOKUP($D1276,Merchantability!$B:$C,2,0)="Yes",$E1276&gt;=VLOOKUP($D1276,Merchantability!$B:$D,3,0),$E1276&lt;=VLOOKUP($D1276,Merchantability!$B:$E,4,0)),(AV1276*O1276)*(1-$H1276/100),""),"")</f>
        <v/>
      </c>
      <c r="AZ1276" s="116"/>
      <c r="BA1276" s="116"/>
      <c r="BB1276" s="116"/>
      <c r="BE1276" s="62"/>
      <c r="BF1276" s="63"/>
    </row>
    <row r="1277" spans="1:58" ht="12.75" customHeight="1" x14ac:dyDescent="0.25">
      <c r="A1277" s="333"/>
      <c r="B1277" s="334"/>
      <c r="C1277" s="332"/>
      <c r="D1277" s="334"/>
      <c r="E1277" s="335"/>
      <c r="F1277" s="334"/>
      <c r="G1277" s="332"/>
      <c r="H1277" s="332"/>
      <c r="I1277" s="334"/>
      <c r="J1277" s="336"/>
      <c r="K1277" s="332"/>
      <c r="L1277" s="332"/>
      <c r="M1277" s="76"/>
      <c r="N1277" s="103" t="str">
        <f>IF(A1277="","",VLOOKUP(A1277,Stand!C:K,9,0))</f>
        <v/>
      </c>
      <c r="O1277" s="104" t="str">
        <f t="shared" si="551"/>
        <v/>
      </c>
      <c r="P1277" s="105" t="str">
        <f t="shared" si="552"/>
        <v/>
      </c>
      <c r="Q1277" s="105" t="str">
        <f t="shared" si="567"/>
        <v/>
      </c>
      <c r="R1277" s="103" t="str">
        <f t="shared" si="553"/>
        <v/>
      </c>
      <c r="S1277" s="103" t="str">
        <f t="shared" si="554"/>
        <v/>
      </c>
      <c r="T1277" s="106" t="str">
        <f t="shared" si="568"/>
        <v/>
      </c>
      <c r="U1277" s="106" t="str">
        <f t="shared" si="569"/>
        <v/>
      </c>
      <c r="V1277" s="106" t="str">
        <f t="shared" si="570"/>
        <v/>
      </c>
      <c r="W1277" s="105" t="str">
        <f t="shared" si="555"/>
        <v/>
      </c>
      <c r="X1277" s="104" t="str">
        <f t="shared" si="560"/>
        <v/>
      </c>
      <c r="Y1277" s="104" t="str">
        <f t="array" ref="Y1277">IFERROR(IF(ISNUMBER(O1277),IF(COUNT(IF(A1277=$A$2:$A$2427,IF(D1277=$D$2:$D$2427,IF($X$2:$X$2427&gt;0,1))))&gt;0,SUM(IF(A1277=$A$2:$A$2427,IF(D1277=$D$2:$D$2427,$X$2:$X$2427)))/COUNT(IF(A1277=$A$2:$A$2427,IF(D1277=$D$2:$D$2427,IF(ISNUMBER($X$2:$X$2427),1)))),0),""),0)</f>
        <v/>
      </c>
      <c r="Z1277" s="104" t="str">
        <f>IF(ISNUMBER(O1277),IF(I1277&gt;0,(10^(VLOOKUP(D1277,'Species Codes'!B:C,2,0)+VLOOKUP(D1277,'Species Codes'!B:D,3,0)*LOG(E1277)+VLOOKUP(D1277,'Species Codes'!B:E,4,0)*LOG(I1277))),0),"")</f>
        <v/>
      </c>
      <c r="AA1277" s="104" t="str">
        <f>IFERROR((VLOOKUP(D1277,'Species Codes'!B:G,6,0)*Z1277)/2000,"")</f>
        <v/>
      </c>
      <c r="AB1277" s="104" t="e">
        <f>IF(Z1277&gt;0,((IF(OR(D1277="DF",D1277="RA")=TRUE,EXP(VLOOKUP(D1277,'Species Codes'!B:I,8,0)+VLOOKUP(D1277,'Species Codes'!B:J,9,0)*(LN((E1277*2.54)))),IF(OR(D1277="PY",D1277="RC",D1277="WH",D1277="NF")=TRUE,VLOOKUP(D1277,'Species Codes'!B:I,8,0)+VLOOKUP(D1277,'Species Codes'!B:J,9,0)*((E1277*2.54)^2)*(I1277*0.3048),IF(OR(D1277="MD",D1277="BM",D1277="GA")=TRUE,((VLOOKUP(D1277,'Species Codes'!B:I,8,0)*(((((E1277*2.54)+VLOOKUP(D1277,'Species Codes'!B:J,9,0))/VLOOKUP(D1277,'Species Codes'!B:K,10,0))^VLOOKUP(D1277,'Species Codes'!B:L,11,0))*((I1277*0.3048)^VLOOKUP(D1277,'Species Codes'!B:M,12,0))))-(VLOOKUP(D1277,'Species Codes'!B:I,8,0)*((((E1277*2.54)^VLOOKUP(D1277,'Species Codes'!B:L,11,0))*((I1277*0.3048)^VLOOKUP(D1277,'Species Codes'!B:M,12,0))))))*35.3*VLOOKUP(D1277,'Species Codes'!B:G,6,0)/2.2046,VLOOKUP(D1277,'Species Codes'!B:I,8,0)+VLOOKUP(D1277,'Species Codes'!B:J,9,0)*(((E1277*2.54)/100)^2)*(I1277*0.3048)))))*0.0011023),0)</f>
        <v>#N/A</v>
      </c>
      <c r="AC1277" s="104" t="e">
        <f>IF(Z1277&gt;0,((IF(OR(D1277="RA",D1277="OA",D1277="OT",D1277="UN",D1277="PC"),EXP(VLOOKUP(D1277,'Species Codes'!B:O,14,0)+VLOOKUP(D1277,'Species Codes'!B:P,15,0)*LN((E1277*2.54)))-EXP(VLOOKUP(D1277,'Species Codes'!B:O,14,0)+VLOOKUP(D1277,'Species Codes'!B:P,15,0)*LN((E1277*2.54)))*(1/(VLOOKUP(D1277,'Species Codes'!B:Q,16,0)+VLOOKUP(D1277,'Species Codes'!B:R,17,0)*((E1277*2.54)^VLOOKUP(D1277,'Species Codes'!B:S,18,0)))),IF(OR(D1277="BM",D1277="MD",D1277="OA"),EXP(VLOOKUP(D1277,'Species Codes'!B:O,14,0)+VLOOKUP(D1277,'Species Codes'!B:P,15,0)*LN((E1277*2.54)))*(1-(1/(VLOOKUP(D1277,'Species Codes'!B:Q,16,0)+VLOOKUP(D1277,'Species Codes'!B:R,17,0)*((E1277*2.54)^VLOOKUP(D1277,'Species Codes'!B:S,18,0)))))/1000,IF(D1277="DF",EXP(VLOOKUP(D1277,'Species Codes'!B:O,14,0)+VLOOKUP(D1277,'Species Codes'!B:P,15,0)*LN((E1277*2.54))),VLOOKUP(D1277,'Species Codes'!B:O,14,0)+VLOOKUP(D1277,'Species Codes'!B:P,15,0)*(((E1277*2.54)/100)^2)*(I1277*0.3048)))))*0.0011023),0)</f>
        <v>#N/A</v>
      </c>
      <c r="AD1277" s="104" t="e">
        <f t="shared" si="571"/>
        <v>#N/A</v>
      </c>
      <c r="AE1277" s="104" t="e">
        <f t="shared" si="572"/>
        <v>#N/A</v>
      </c>
      <c r="AF1277" s="104" t="e">
        <f>IF(AND(VLOOKUP($D1277,Merchantability!$B:$C,2,0)="Yes",$E1277&gt;=VLOOKUP($D1277,Merchantability!$B:$D,3,0),$E1277&lt;=VLOOKUP($D1277,Merchantability!$B:$E,4,0)),AA1277,0)</f>
        <v>#N/A</v>
      </c>
      <c r="AG1277" s="104" t="e">
        <f>IF(AND(VLOOKUP($D1277,Merchantability!$B:$C,2,0)="Yes",$E1277&gt;=VLOOKUP($D1277,Merchantability!$B:$D,3,0),$E1277&lt;=VLOOKUP($D1277,Merchantability!$B:$E,4,0)),AB1277,0)</f>
        <v>#N/A</v>
      </c>
      <c r="AH1277" s="104" t="e">
        <f>IF(AND(VLOOKUP($D1277,Merchantability!$B:$C,2,0)="Yes",$E1277&gt;=VLOOKUP($D1277,Merchantability!$B:$D,3,0),$E1277&lt;=VLOOKUP($D1277,Merchantability!$B:$E,4,0)),AC1277,0)</f>
        <v>#N/A</v>
      </c>
      <c r="AI1277" s="104" t="e">
        <f t="shared" si="573"/>
        <v>#N/A</v>
      </c>
      <c r="AJ1277" s="104" t="e">
        <f t="shared" si="574"/>
        <v>#VALUE!</v>
      </c>
      <c r="AK1277" s="104" t="e">
        <f t="shared" si="575"/>
        <v>#N/A</v>
      </c>
      <c r="AL1277" s="104" t="e">
        <f t="shared" si="576"/>
        <v>#N/A</v>
      </c>
      <c r="AM1277" s="104" t="e">
        <f t="shared" si="577"/>
        <v>#N/A</v>
      </c>
      <c r="AN1277" s="104" t="e">
        <f t="shared" si="561"/>
        <v>#N/A</v>
      </c>
      <c r="AO1277" s="104" t="e">
        <f t="shared" si="562"/>
        <v>#N/A</v>
      </c>
      <c r="AP1277" s="104" t="e">
        <f t="shared" si="563"/>
        <v>#N/A</v>
      </c>
      <c r="AQ1277" s="104" t="e">
        <f t="shared" si="564"/>
        <v>#N/A</v>
      </c>
      <c r="AR1277" s="105" t="str">
        <f t="shared" si="556"/>
        <v/>
      </c>
      <c r="AS1277" s="105" t="str">
        <f t="shared" si="557"/>
        <v/>
      </c>
      <c r="AT1277" s="108" t="str">
        <f t="shared" si="558"/>
        <v/>
      </c>
      <c r="AU1277" s="108" t="str">
        <f t="shared" si="559"/>
        <v/>
      </c>
      <c r="AV1277" s="107" t="str">
        <f>IF(ISNUMBER(O1277),IF(VLOOKUP($A1277,Stand!C:J,8,FALSE)="Short",AT1277,AU1277),"")</f>
        <v/>
      </c>
      <c r="AW1277" s="109" t="str">
        <f t="shared" si="565"/>
        <v/>
      </c>
      <c r="AX1277" s="109" t="str">
        <f t="shared" si="566"/>
        <v/>
      </c>
      <c r="AY1277" s="112" t="str">
        <f>IF(ISNUMBER(O1277),IF(AND(VLOOKUP($D1277,Merchantability!$B:$C,2,0)="Yes",$E1277&gt;=VLOOKUP($D1277,Merchantability!$B:$D,3,0),$E1277&lt;=VLOOKUP($D1277,Merchantability!$B:$E,4,0)),(AV1277*O1277)*(1-$H1277/100),""),"")</f>
        <v/>
      </c>
      <c r="AZ1277" s="116"/>
      <c r="BA1277" s="116"/>
      <c r="BB1277" s="116"/>
      <c r="BE1277" s="62"/>
      <c r="BF1277" s="63"/>
    </row>
    <row r="1278" spans="1:58" ht="12.75" customHeight="1" x14ac:dyDescent="0.25">
      <c r="A1278" s="333"/>
      <c r="B1278" s="334"/>
      <c r="C1278" s="332"/>
      <c r="D1278" s="334"/>
      <c r="E1278" s="335"/>
      <c r="F1278" s="334"/>
      <c r="G1278" s="332"/>
      <c r="H1278" s="332"/>
      <c r="I1278" s="334"/>
      <c r="J1278" s="336"/>
      <c r="K1278" s="332"/>
      <c r="L1278" s="332"/>
      <c r="M1278" s="76"/>
      <c r="N1278" s="103" t="str">
        <f>IF(A1278="","",VLOOKUP(A1278,Stand!C:K,9,0))</f>
        <v/>
      </c>
      <c r="O1278" s="104" t="str">
        <f t="shared" si="551"/>
        <v/>
      </c>
      <c r="P1278" s="105" t="str">
        <f t="shared" si="552"/>
        <v/>
      </c>
      <c r="Q1278" s="105" t="str">
        <f t="shared" si="567"/>
        <v/>
      </c>
      <c r="R1278" s="103" t="str">
        <f t="shared" si="553"/>
        <v/>
      </c>
      <c r="S1278" s="103" t="str">
        <f t="shared" si="554"/>
        <v/>
      </c>
      <c r="T1278" s="106" t="str">
        <f t="shared" si="568"/>
        <v/>
      </c>
      <c r="U1278" s="106" t="str">
        <f t="shared" si="569"/>
        <v/>
      </c>
      <c r="V1278" s="106" t="str">
        <f t="shared" si="570"/>
        <v/>
      </c>
      <c r="W1278" s="105" t="str">
        <f t="shared" si="555"/>
        <v/>
      </c>
      <c r="X1278" s="104" t="str">
        <f t="shared" si="560"/>
        <v/>
      </c>
      <c r="Y1278" s="104" t="str">
        <f t="array" ref="Y1278">IFERROR(IF(ISNUMBER(O1278),IF(COUNT(IF(A1278=$A$2:$A$2427,IF(D1278=$D$2:$D$2427,IF($X$2:$X$2427&gt;0,1))))&gt;0,SUM(IF(A1278=$A$2:$A$2427,IF(D1278=$D$2:$D$2427,$X$2:$X$2427)))/COUNT(IF(A1278=$A$2:$A$2427,IF(D1278=$D$2:$D$2427,IF(ISNUMBER($X$2:$X$2427),1)))),0),""),0)</f>
        <v/>
      </c>
      <c r="Z1278" s="104" t="str">
        <f>IF(ISNUMBER(O1278),IF(I1278&gt;0,(10^(VLOOKUP(D1278,'Species Codes'!B:C,2,0)+VLOOKUP(D1278,'Species Codes'!B:D,3,0)*LOG(E1278)+VLOOKUP(D1278,'Species Codes'!B:E,4,0)*LOG(I1278))),0),"")</f>
        <v/>
      </c>
      <c r="AA1278" s="104" t="str">
        <f>IFERROR((VLOOKUP(D1278,'Species Codes'!B:G,6,0)*Z1278)/2000,"")</f>
        <v/>
      </c>
      <c r="AB1278" s="104" t="e">
        <f>IF(Z1278&gt;0,((IF(OR(D1278="DF",D1278="RA")=TRUE,EXP(VLOOKUP(D1278,'Species Codes'!B:I,8,0)+VLOOKUP(D1278,'Species Codes'!B:J,9,0)*(LN((E1278*2.54)))),IF(OR(D1278="PY",D1278="RC",D1278="WH",D1278="NF")=TRUE,VLOOKUP(D1278,'Species Codes'!B:I,8,0)+VLOOKUP(D1278,'Species Codes'!B:J,9,0)*((E1278*2.54)^2)*(I1278*0.3048),IF(OR(D1278="MD",D1278="BM",D1278="GA")=TRUE,((VLOOKUP(D1278,'Species Codes'!B:I,8,0)*(((((E1278*2.54)+VLOOKUP(D1278,'Species Codes'!B:J,9,0))/VLOOKUP(D1278,'Species Codes'!B:K,10,0))^VLOOKUP(D1278,'Species Codes'!B:L,11,0))*((I1278*0.3048)^VLOOKUP(D1278,'Species Codes'!B:M,12,0))))-(VLOOKUP(D1278,'Species Codes'!B:I,8,0)*((((E1278*2.54)^VLOOKUP(D1278,'Species Codes'!B:L,11,0))*((I1278*0.3048)^VLOOKUP(D1278,'Species Codes'!B:M,12,0))))))*35.3*VLOOKUP(D1278,'Species Codes'!B:G,6,0)/2.2046,VLOOKUP(D1278,'Species Codes'!B:I,8,0)+VLOOKUP(D1278,'Species Codes'!B:J,9,0)*(((E1278*2.54)/100)^2)*(I1278*0.3048)))))*0.0011023),0)</f>
        <v>#N/A</v>
      </c>
      <c r="AC1278" s="104" t="e">
        <f>IF(Z1278&gt;0,((IF(OR(D1278="RA",D1278="OA",D1278="OT",D1278="UN",D1278="PC"),EXP(VLOOKUP(D1278,'Species Codes'!B:O,14,0)+VLOOKUP(D1278,'Species Codes'!B:P,15,0)*LN((E1278*2.54)))-EXP(VLOOKUP(D1278,'Species Codes'!B:O,14,0)+VLOOKUP(D1278,'Species Codes'!B:P,15,0)*LN((E1278*2.54)))*(1/(VLOOKUP(D1278,'Species Codes'!B:Q,16,0)+VLOOKUP(D1278,'Species Codes'!B:R,17,0)*((E1278*2.54)^VLOOKUP(D1278,'Species Codes'!B:S,18,0)))),IF(OR(D1278="BM",D1278="MD",D1278="OA"),EXP(VLOOKUP(D1278,'Species Codes'!B:O,14,0)+VLOOKUP(D1278,'Species Codes'!B:P,15,0)*LN((E1278*2.54)))*(1-(1/(VLOOKUP(D1278,'Species Codes'!B:Q,16,0)+VLOOKUP(D1278,'Species Codes'!B:R,17,0)*((E1278*2.54)^VLOOKUP(D1278,'Species Codes'!B:S,18,0)))))/1000,IF(D1278="DF",EXP(VLOOKUP(D1278,'Species Codes'!B:O,14,0)+VLOOKUP(D1278,'Species Codes'!B:P,15,0)*LN((E1278*2.54))),VLOOKUP(D1278,'Species Codes'!B:O,14,0)+VLOOKUP(D1278,'Species Codes'!B:P,15,0)*(((E1278*2.54)/100)^2)*(I1278*0.3048)))))*0.0011023),0)</f>
        <v>#N/A</v>
      </c>
      <c r="AD1278" s="104" t="e">
        <f t="shared" si="571"/>
        <v>#N/A</v>
      </c>
      <c r="AE1278" s="104" t="e">
        <f t="shared" si="572"/>
        <v>#N/A</v>
      </c>
      <c r="AF1278" s="104" t="e">
        <f>IF(AND(VLOOKUP($D1278,Merchantability!$B:$C,2,0)="Yes",$E1278&gt;=VLOOKUP($D1278,Merchantability!$B:$D,3,0),$E1278&lt;=VLOOKUP($D1278,Merchantability!$B:$E,4,0)),AA1278,0)</f>
        <v>#N/A</v>
      </c>
      <c r="AG1278" s="104" t="e">
        <f>IF(AND(VLOOKUP($D1278,Merchantability!$B:$C,2,0)="Yes",$E1278&gt;=VLOOKUP($D1278,Merchantability!$B:$D,3,0),$E1278&lt;=VLOOKUP($D1278,Merchantability!$B:$E,4,0)),AB1278,0)</f>
        <v>#N/A</v>
      </c>
      <c r="AH1278" s="104" t="e">
        <f>IF(AND(VLOOKUP($D1278,Merchantability!$B:$C,2,0)="Yes",$E1278&gt;=VLOOKUP($D1278,Merchantability!$B:$D,3,0),$E1278&lt;=VLOOKUP($D1278,Merchantability!$B:$E,4,0)),AC1278,0)</f>
        <v>#N/A</v>
      </c>
      <c r="AI1278" s="104" t="e">
        <f t="shared" si="573"/>
        <v>#N/A</v>
      </c>
      <c r="AJ1278" s="104" t="e">
        <f t="shared" si="574"/>
        <v>#VALUE!</v>
      </c>
      <c r="AK1278" s="104" t="e">
        <f t="shared" si="575"/>
        <v>#N/A</v>
      </c>
      <c r="AL1278" s="104" t="e">
        <f t="shared" si="576"/>
        <v>#N/A</v>
      </c>
      <c r="AM1278" s="104" t="e">
        <f t="shared" si="577"/>
        <v>#N/A</v>
      </c>
      <c r="AN1278" s="104" t="e">
        <f t="shared" si="561"/>
        <v>#N/A</v>
      </c>
      <c r="AO1278" s="104" t="e">
        <f t="shared" si="562"/>
        <v>#N/A</v>
      </c>
      <c r="AP1278" s="104" t="e">
        <f t="shared" si="563"/>
        <v>#N/A</v>
      </c>
      <c r="AQ1278" s="104" t="e">
        <f t="shared" si="564"/>
        <v>#N/A</v>
      </c>
      <c r="AR1278" s="105" t="str">
        <f t="shared" si="556"/>
        <v/>
      </c>
      <c r="AS1278" s="105" t="str">
        <f t="shared" si="557"/>
        <v/>
      </c>
      <c r="AT1278" s="108" t="str">
        <f t="shared" si="558"/>
        <v/>
      </c>
      <c r="AU1278" s="108" t="str">
        <f t="shared" si="559"/>
        <v/>
      </c>
      <c r="AV1278" s="107" t="str">
        <f>IF(ISNUMBER(O1278),IF(VLOOKUP($A1278,Stand!C:J,8,FALSE)="Short",AT1278,AU1278),"")</f>
        <v/>
      </c>
      <c r="AW1278" s="109" t="str">
        <f t="shared" si="565"/>
        <v/>
      </c>
      <c r="AX1278" s="109" t="str">
        <f t="shared" si="566"/>
        <v/>
      </c>
      <c r="AY1278" s="112" t="str">
        <f>IF(ISNUMBER(O1278),IF(AND(VLOOKUP($D1278,Merchantability!$B:$C,2,0)="Yes",$E1278&gt;=VLOOKUP($D1278,Merchantability!$B:$D,3,0),$E1278&lt;=VLOOKUP($D1278,Merchantability!$B:$E,4,0)),(AV1278*O1278)*(1-$H1278/100),""),"")</f>
        <v/>
      </c>
      <c r="AZ1278" s="116"/>
      <c r="BA1278" s="116"/>
      <c r="BB1278" s="116"/>
      <c r="BE1278" s="62"/>
      <c r="BF1278" s="63"/>
    </row>
    <row r="1279" spans="1:58" ht="12.75" customHeight="1" x14ac:dyDescent="0.25">
      <c r="A1279" s="333"/>
      <c r="B1279" s="334"/>
      <c r="C1279" s="332"/>
      <c r="D1279" s="334"/>
      <c r="E1279" s="335"/>
      <c r="F1279" s="334"/>
      <c r="G1279" s="332"/>
      <c r="H1279" s="332"/>
      <c r="I1279" s="334"/>
      <c r="J1279" s="336"/>
      <c r="K1279" s="332"/>
      <c r="L1279" s="332"/>
      <c r="M1279" s="76"/>
      <c r="N1279" s="103" t="str">
        <f>IF(A1279="","",VLOOKUP(A1279,Stand!C:K,9,0))</f>
        <v/>
      </c>
      <c r="O1279" s="104" t="str">
        <f t="shared" si="551"/>
        <v/>
      </c>
      <c r="P1279" s="105" t="str">
        <f t="shared" si="552"/>
        <v/>
      </c>
      <c r="Q1279" s="105" t="str">
        <f t="shared" si="567"/>
        <v/>
      </c>
      <c r="R1279" s="103" t="str">
        <f t="shared" si="553"/>
        <v/>
      </c>
      <c r="S1279" s="103" t="str">
        <f t="shared" si="554"/>
        <v/>
      </c>
      <c r="T1279" s="106" t="str">
        <f t="shared" si="568"/>
        <v/>
      </c>
      <c r="U1279" s="106" t="str">
        <f t="shared" si="569"/>
        <v/>
      </c>
      <c r="V1279" s="106" t="str">
        <f t="shared" si="570"/>
        <v/>
      </c>
      <c r="W1279" s="105" t="str">
        <f t="shared" si="555"/>
        <v/>
      </c>
      <c r="X1279" s="104" t="str">
        <f t="shared" si="560"/>
        <v/>
      </c>
      <c r="Y1279" s="104" t="str">
        <f t="array" ref="Y1279">IFERROR(IF(ISNUMBER(O1279),IF(COUNT(IF(A1279=$A$2:$A$2427,IF(D1279=$D$2:$D$2427,IF($X$2:$X$2427&gt;0,1))))&gt;0,SUM(IF(A1279=$A$2:$A$2427,IF(D1279=$D$2:$D$2427,$X$2:$X$2427)))/COUNT(IF(A1279=$A$2:$A$2427,IF(D1279=$D$2:$D$2427,IF(ISNUMBER($X$2:$X$2427),1)))),0),""),0)</f>
        <v/>
      </c>
      <c r="Z1279" s="104" t="str">
        <f>IF(ISNUMBER(O1279),IF(I1279&gt;0,(10^(VLOOKUP(D1279,'Species Codes'!B:C,2,0)+VLOOKUP(D1279,'Species Codes'!B:D,3,0)*LOG(E1279)+VLOOKUP(D1279,'Species Codes'!B:E,4,0)*LOG(I1279))),0),"")</f>
        <v/>
      </c>
      <c r="AA1279" s="104" t="str">
        <f>IFERROR((VLOOKUP(D1279,'Species Codes'!B:G,6,0)*Z1279)/2000,"")</f>
        <v/>
      </c>
      <c r="AB1279" s="104" t="e">
        <f>IF(Z1279&gt;0,((IF(OR(D1279="DF",D1279="RA")=TRUE,EXP(VLOOKUP(D1279,'Species Codes'!B:I,8,0)+VLOOKUP(D1279,'Species Codes'!B:J,9,0)*(LN((E1279*2.54)))),IF(OR(D1279="PY",D1279="RC",D1279="WH",D1279="NF")=TRUE,VLOOKUP(D1279,'Species Codes'!B:I,8,0)+VLOOKUP(D1279,'Species Codes'!B:J,9,0)*((E1279*2.54)^2)*(I1279*0.3048),IF(OR(D1279="MD",D1279="BM",D1279="GA")=TRUE,((VLOOKUP(D1279,'Species Codes'!B:I,8,0)*(((((E1279*2.54)+VLOOKUP(D1279,'Species Codes'!B:J,9,0))/VLOOKUP(D1279,'Species Codes'!B:K,10,0))^VLOOKUP(D1279,'Species Codes'!B:L,11,0))*((I1279*0.3048)^VLOOKUP(D1279,'Species Codes'!B:M,12,0))))-(VLOOKUP(D1279,'Species Codes'!B:I,8,0)*((((E1279*2.54)^VLOOKUP(D1279,'Species Codes'!B:L,11,0))*((I1279*0.3048)^VLOOKUP(D1279,'Species Codes'!B:M,12,0))))))*35.3*VLOOKUP(D1279,'Species Codes'!B:G,6,0)/2.2046,VLOOKUP(D1279,'Species Codes'!B:I,8,0)+VLOOKUP(D1279,'Species Codes'!B:J,9,0)*(((E1279*2.54)/100)^2)*(I1279*0.3048)))))*0.0011023),0)</f>
        <v>#N/A</v>
      </c>
      <c r="AC1279" s="104" t="e">
        <f>IF(Z1279&gt;0,((IF(OR(D1279="RA",D1279="OA",D1279="OT",D1279="UN",D1279="PC"),EXP(VLOOKUP(D1279,'Species Codes'!B:O,14,0)+VLOOKUP(D1279,'Species Codes'!B:P,15,0)*LN((E1279*2.54)))-EXP(VLOOKUP(D1279,'Species Codes'!B:O,14,0)+VLOOKUP(D1279,'Species Codes'!B:P,15,0)*LN((E1279*2.54)))*(1/(VLOOKUP(D1279,'Species Codes'!B:Q,16,0)+VLOOKUP(D1279,'Species Codes'!B:R,17,0)*((E1279*2.54)^VLOOKUP(D1279,'Species Codes'!B:S,18,0)))),IF(OR(D1279="BM",D1279="MD",D1279="OA"),EXP(VLOOKUP(D1279,'Species Codes'!B:O,14,0)+VLOOKUP(D1279,'Species Codes'!B:P,15,0)*LN((E1279*2.54)))*(1-(1/(VLOOKUP(D1279,'Species Codes'!B:Q,16,0)+VLOOKUP(D1279,'Species Codes'!B:R,17,0)*((E1279*2.54)^VLOOKUP(D1279,'Species Codes'!B:S,18,0)))))/1000,IF(D1279="DF",EXP(VLOOKUP(D1279,'Species Codes'!B:O,14,0)+VLOOKUP(D1279,'Species Codes'!B:P,15,0)*LN((E1279*2.54))),VLOOKUP(D1279,'Species Codes'!B:O,14,0)+VLOOKUP(D1279,'Species Codes'!B:P,15,0)*(((E1279*2.54)/100)^2)*(I1279*0.3048)))))*0.0011023),0)</f>
        <v>#N/A</v>
      </c>
      <c r="AD1279" s="104" t="e">
        <f t="shared" si="571"/>
        <v>#N/A</v>
      </c>
      <c r="AE1279" s="104" t="e">
        <f t="shared" si="572"/>
        <v>#N/A</v>
      </c>
      <c r="AF1279" s="104" t="e">
        <f>IF(AND(VLOOKUP($D1279,Merchantability!$B:$C,2,0)="Yes",$E1279&gt;=VLOOKUP($D1279,Merchantability!$B:$D,3,0),$E1279&lt;=VLOOKUP($D1279,Merchantability!$B:$E,4,0)),AA1279,0)</f>
        <v>#N/A</v>
      </c>
      <c r="AG1279" s="104" t="e">
        <f>IF(AND(VLOOKUP($D1279,Merchantability!$B:$C,2,0)="Yes",$E1279&gt;=VLOOKUP($D1279,Merchantability!$B:$D,3,0),$E1279&lt;=VLOOKUP($D1279,Merchantability!$B:$E,4,0)),AB1279,0)</f>
        <v>#N/A</v>
      </c>
      <c r="AH1279" s="104" t="e">
        <f>IF(AND(VLOOKUP($D1279,Merchantability!$B:$C,2,0)="Yes",$E1279&gt;=VLOOKUP($D1279,Merchantability!$B:$D,3,0),$E1279&lt;=VLOOKUP($D1279,Merchantability!$B:$E,4,0)),AC1279,0)</f>
        <v>#N/A</v>
      </c>
      <c r="AI1279" s="104" t="e">
        <f t="shared" si="573"/>
        <v>#N/A</v>
      </c>
      <c r="AJ1279" s="104" t="e">
        <f t="shared" si="574"/>
        <v>#VALUE!</v>
      </c>
      <c r="AK1279" s="104" t="e">
        <f t="shared" si="575"/>
        <v>#N/A</v>
      </c>
      <c r="AL1279" s="104" t="e">
        <f t="shared" si="576"/>
        <v>#N/A</v>
      </c>
      <c r="AM1279" s="104" t="e">
        <f t="shared" si="577"/>
        <v>#N/A</v>
      </c>
      <c r="AN1279" s="104" t="e">
        <f t="shared" si="561"/>
        <v>#N/A</v>
      </c>
      <c r="AO1279" s="104" t="e">
        <f t="shared" si="562"/>
        <v>#N/A</v>
      </c>
      <c r="AP1279" s="104" t="e">
        <f t="shared" si="563"/>
        <v>#N/A</v>
      </c>
      <c r="AQ1279" s="104" t="e">
        <f t="shared" si="564"/>
        <v>#N/A</v>
      </c>
      <c r="AR1279" s="105" t="str">
        <f t="shared" si="556"/>
        <v/>
      </c>
      <c r="AS1279" s="105" t="str">
        <f t="shared" si="557"/>
        <v/>
      </c>
      <c r="AT1279" s="108" t="str">
        <f t="shared" si="558"/>
        <v/>
      </c>
      <c r="AU1279" s="108" t="str">
        <f t="shared" si="559"/>
        <v/>
      </c>
      <c r="AV1279" s="107" t="str">
        <f>IF(ISNUMBER(O1279),IF(VLOOKUP($A1279,Stand!C:J,8,FALSE)="Short",AT1279,AU1279),"")</f>
        <v/>
      </c>
      <c r="AW1279" s="109" t="str">
        <f t="shared" si="565"/>
        <v/>
      </c>
      <c r="AX1279" s="109" t="str">
        <f t="shared" si="566"/>
        <v/>
      </c>
      <c r="AY1279" s="112" t="str">
        <f>IF(ISNUMBER(O1279),IF(AND(VLOOKUP($D1279,Merchantability!$B:$C,2,0)="Yes",$E1279&gt;=VLOOKUP($D1279,Merchantability!$B:$D,3,0),$E1279&lt;=VLOOKUP($D1279,Merchantability!$B:$E,4,0)),(AV1279*O1279)*(1-$H1279/100),""),"")</f>
        <v/>
      </c>
      <c r="AZ1279" s="116"/>
      <c r="BA1279" s="116"/>
      <c r="BB1279" s="116"/>
      <c r="BE1279" s="62"/>
      <c r="BF1279" s="63"/>
    </row>
    <row r="1280" spans="1:58" ht="12.75" customHeight="1" x14ac:dyDescent="0.25">
      <c r="A1280" s="333"/>
      <c r="B1280" s="334"/>
      <c r="C1280" s="332"/>
      <c r="D1280" s="334"/>
      <c r="E1280" s="335"/>
      <c r="F1280" s="334"/>
      <c r="G1280" s="332"/>
      <c r="H1280" s="332"/>
      <c r="I1280" s="334"/>
      <c r="J1280" s="336"/>
      <c r="K1280" s="332"/>
      <c r="L1280" s="332"/>
      <c r="M1280" s="76"/>
      <c r="N1280" s="103" t="str">
        <f>IF(A1280="","",VLOOKUP(A1280,Stand!C:K,9,0))</f>
        <v/>
      </c>
      <c r="O1280" s="104" t="str">
        <f t="shared" si="551"/>
        <v/>
      </c>
      <c r="P1280" s="105" t="str">
        <f t="shared" si="552"/>
        <v/>
      </c>
      <c r="Q1280" s="105" t="str">
        <f t="shared" si="567"/>
        <v/>
      </c>
      <c r="R1280" s="103" t="str">
        <f t="shared" si="553"/>
        <v/>
      </c>
      <c r="S1280" s="103" t="str">
        <f t="shared" si="554"/>
        <v/>
      </c>
      <c r="T1280" s="106" t="str">
        <f t="shared" si="568"/>
        <v/>
      </c>
      <c r="U1280" s="106" t="str">
        <f t="shared" si="569"/>
        <v/>
      </c>
      <c r="V1280" s="106" t="str">
        <f t="shared" si="570"/>
        <v/>
      </c>
      <c r="W1280" s="105" t="str">
        <f t="shared" si="555"/>
        <v/>
      </c>
      <c r="X1280" s="104" t="str">
        <f t="shared" si="560"/>
        <v/>
      </c>
      <c r="Y1280" s="104" t="str">
        <f t="array" ref="Y1280">IFERROR(IF(ISNUMBER(O1280),IF(COUNT(IF(A1280=$A$2:$A$2427,IF(D1280=$D$2:$D$2427,IF($X$2:$X$2427&gt;0,1))))&gt;0,SUM(IF(A1280=$A$2:$A$2427,IF(D1280=$D$2:$D$2427,$X$2:$X$2427)))/COUNT(IF(A1280=$A$2:$A$2427,IF(D1280=$D$2:$D$2427,IF(ISNUMBER($X$2:$X$2427),1)))),0),""),0)</f>
        <v/>
      </c>
      <c r="Z1280" s="104" t="str">
        <f>IF(ISNUMBER(O1280),IF(I1280&gt;0,(10^(VLOOKUP(D1280,'Species Codes'!B:C,2,0)+VLOOKUP(D1280,'Species Codes'!B:D,3,0)*LOG(E1280)+VLOOKUP(D1280,'Species Codes'!B:E,4,0)*LOG(I1280))),0),"")</f>
        <v/>
      </c>
      <c r="AA1280" s="104" t="str">
        <f>IFERROR((VLOOKUP(D1280,'Species Codes'!B:G,6,0)*Z1280)/2000,"")</f>
        <v/>
      </c>
      <c r="AB1280" s="104" t="e">
        <f>IF(Z1280&gt;0,((IF(OR(D1280="DF",D1280="RA")=TRUE,EXP(VLOOKUP(D1280,'Species Codes'!B:I,8,0)+VLOOKUP(D1280,'Species Codes'!B:J,9,0)*(LN((E1280*2.54)))),IF(OR(D1280="PY",D1280="RC",D1280="WH",D1280="NF")=TRUE,VLOOKUP(D1280,'Species Codes'!B:I,8,0)+VLOOKUP(D1280,'Species Codes'!B:J,9,0)*((E1280*2.54)^2)*(I1280*0.3048),IF(OR(D1280="MD",D1280="BM",D1280="GA")=TRUE,((VLOOKUP(D1280,'Species Codes'!B:I,8,0)*(((((E1280*2.54)+VLOOKUP(D1280,'Species Codes'!B:J,9,0))/VLOOKUP(D1280,'Species Codes'!B:K,10,0))^VLOOKUP(D1280,'Species Codes'!B:L,11,0))*((I1280*0.3048)^VLOOKUP(D1280,'Species Codes'!B:M,12,0))))-(VLOOKUP(D1280,'Species Codes'!B:I,8,0)*((((E1280*2.54)^VLOOKUP(D1280,'Species Codes'!B:L,11,0))*((I1280*0.3048)^VLOOKUP(D1280,'Species Codes'!B:M,12,0))))))*35.3*VLOOKUP(D1280,'Species Codes'!B:G,6,0)/2.2046,VLOOKUP(D1280,'Species Codes'!B:I,8,0)+VLOOKUP(D1280,'Species Codes'!B:J,9,0)*(((E1280*2.54)/100)^2)*(I1280*0.3048)))))*0.0011023),0)</f>
        <v>#N/A</v>
      </c>
      <c r="AC1280" s="104" t="e">
        <f>IF(Z1280&gt;0,((IF(OR(D1280="RA",D1280="OA",D1280="OT",D1280="UN",D1280="PC"),EXP(VLOOKUP(D1280,'Species Codes'!B:O,14,0)+VLOOKUP(D1280,'Species Codes'!B:P,15,0)*LN((E1280*2.54)))-EXP(VLOOKUP(D1280,'Species Codes'!B:O,14,0)+VLOOKUP(D1280,'Species Codes'!B:P,15,0)*LN((E1280*2.54)))*(1/(VLOOKUP(D1280,'Species Codes'!B:Q,16,0)+VLOOKUP(D1280,'Species Codes'!B:R,17,0)*((E1280*2.54)^VLOOKUP(D1280,'Species Codes'!B:S,18,0)))),IF(OR(D1280="BM",D1280="MD",D1280="OA"),EXP(VLOOKUP(D1280,'Species Codes'!B:O,14,0)+VLOOKUP(D1280,'Species Codes'!B:P,15,0)*LN((E1280*2.54)))*(1-(1/(VLOOKUP(D1280,'Species Codes'!B:Q,16,0)+VLOOKUP(D1280,'Species Codes'!B:R,17,0)*((E1280*2.54)^VLOOKUP(D1280,'Species Codes'!B:S,18,0)))))/1000,IF(D1280="DF",EXP(VLOOKUP(D1280,'Species Codes'!B:O,14,0)+VLOOKUP(D1280,'Species Codes'!B:P,15,0)*LN((E1280*2.54))),VLOOKUP(D1280,'Species Codes'!B:O,14,0)+VLOOKUP(D1280,'Species Codes'!B:P,15,0)*(((E1280*2.54)/100)^2)*(I1280*0.3048)))))*0.0011023),0)</f>
        <v>#N/A</v>
      </c>
      <c r="AD1280" s="104" t="e">
        <f t="shared" si="571"/>
        <v>#N/A</v>
      </c>
      <c r="AE1280" s="104" t="e">
        <f t="shared" si="572"/>
        <v>#N/A</v>
      </c>
      <c r="AF1280" s="104" t="e">
        <f>IF(AND(VLOOKUP($D1280,Merchantability!$B:$C,2,0)="Yes",$E1280&gt;=VLOOKUP($D1280,Merchantability!$B:$D,3,0),$E1280&lt;=VLOOKUP($D1280,Merchantability!$B:$E,4,0)),AA1280,0)</f>
        <v>#N/A</v>
      </c>
      <c r="AG1280" s="104" t="e">
        <f>IF(AND(VLOOKUP($D1280,Merchantability!$B:$C,2,0)="Yes",$E1280&gt;=VLOOKUP($D1280,Merchantability!$B:$D,3,0),$E1280&lt;=VLOOKUP($D1280,Merchantability!$B:$E,4,0)),AB1280,0)</f>
        <v>#N/A</v>
      </c>
      <c r="AH1280" s="104" t="e">
        <f>IF(AND(VLOOKUP($D1280,Merchantability!$B:$C,2,0)="Yes",$E1280&gt;=VLOOKUP($D1280,Merchantability!$B:$D,3,0),$E1280&lt;=VLOOKUP($D1280,Merchantability!$B:$E,4,0)),AC1280,0)</f>
        <v>#N/A</v>
      </c>
      <c r="AI1280" s="104" t="e">
        <f t="shared" si="573"/>
        <v>#N/A</v>
      </c>
      <c r="AJ1280" s="104" t="e">
        <f t="shared" si="574"/>
        <v>#VALUE!</v>
      </c>
      <c r="AK1280" s="104" t="e">
        <f t="shared" si="575"/>
        <v>#N/A</v>
      </c>
      <c r="AL1280" s="104" t="e">
        <f t="shared" si="576"/>
        <v>#N/A</v>
      </c>
      <c r="AM1280" s="104" t="e">
        <f t="shared" si="577"/>
        <v>#N/A</v>
      </c>
      <c r="AN1280" s="104" t="e">
        <f t="shared" si="561"/>
        <v>#N/A</v>
      </c>
      <c r="AO1280" s="104" t="e">
        <f t="shared" si="562"/>
        <v>#N/A</v>
      </c>
      <c r="AP1280" s="104" t="e">
        <f t="shared" si="563"/>
        <v>#N/A</v>
      </c>
      <c r="AQ1280" s="104" t="e">
        <f t="shared" si="564"/>
        <v>#N/A</v>
      </c>
      <c r="AR1280" s="105" t="str">
        <f t="shared" si="556"/>
        <v/>
      </c>
      <c r="AS1280" s="105" t="str">
        <f t="shared" si="557"/>
        <v/>
      </c>
      <c r="AT1280" s="108" t="str">
        <f t="shared" si="558"/>
        <v/>
      </c>
      <c r="AU1280" s="108" t="str">
        <f t="shared" si="559"/>
        <v/>
      </c>
      <c r="AV1280" s="107" t="str">
        <f>IF(ISNUMBER(O1280),IF(VLOOKUP($A1280,Stand!C:J,8,FALSE)="Short",AT1280,AU1280),"")</f>
        <v/>
      </c>
      <c r="AW1280" s="109" t="str">
        <f t="shared" si="565"/>
        <v/>
      </c>
      <c r="AX1280" s="109" t="str">
        <f t="shared" si="566"/>
        <v/>
      </c>
      <c r="AY1280" s="112" t="str">
        <f>IF(ISNUMBER(O1280),IF(AND(VLOOKUP($D1280,Merchantability!$B:$C,2,0)="Yes",$E1280&gt;=VLOOKUP($D1280,Merchantability!$B:$D,3,0),$E1280&lt;=VLOOKUP($D1280,Merchantability!$B:$E,4,0)),(AV1280*O1280)*(1-$H1280/100),""),"")</f>
        <v/>
      </c>
      <c r="AZ1280" s="116"/>
      <c r="BA1280" s="116"/>
      <c r="BB1280" s="116"/>
      <c r="BE1280" s="62"/>
      <c r="BF1280" s="63"/>
    </row>
    <row r="1281" spans="1:58" ht="12.75" customHeight="1" x14ac:dyDescent="0.25">
      <c r="A1281" s="333"/>
      <c r="B1281" s="334"/>
      <c r="C1281" s="332"/>
      <c r="D1281" s="334"/>
      <c r="E1281" s="335"/>
      <c r="F1281" s="334"/>
      <c r="G1281" s="332"/>
      <c r="H1281" s="332"/>
      <c r="I1281" s="334"/>
      <c r="J1281" s="336"/>
      <c r="K1281" s="332"/>
      <c r="L1281" s="332"/>
      <c r="M1281" s="76"/>
      <c r="N1281" s="103" t="str">
        <f>IF(A1281="","",VLOOKUP(A1281,Stand!C:K,9,0))</f>
        <v/>
      </c>
      <c r="O1281" s="104" t="str">
        <f t="shared" si="551"/>
        <v/>
      </c>
      <c r="P1281" s="105" t="str">
        <f t="shared" si="552"/>
        <v/>
      </c>
      <c r="Q1281" s="105" t="str">
        <f t="shared" si="567"/>
        <v/>
      </c>
      <c r="R1281" s="103" t="str">
        <f t="shared" si="553"/>
        <v/>
      </c>
      <c r="S1281" s="103" t="str">
        <f t="shared" si="554"/>
        <v/>
      </c>
      <c r="T1281" s="106" t="str">
        <f t="shared" si="568"/>
        <v/>
      </c>
      <c r="U1281" s="106" t="str">
        <f t="shared" si="569"/>
        <v/>
      </c>
      <c r="V1281" s="106" t="str">
        <f t="shared" si="570"/>
        <v/>
      </c>
      <c r="W1281" s="105" t="str">
        <f t="shared" si="555"/>
        <v/>
      </c>
      <c r="X1281" s="104" t="str">
        <f t="shared" si="560"/>
        <v/>
      </c>
      <c r="Y1281" s="104" t="str">
        <f t="array" ref="Y1281">IFERROR(IF(ISNUMBER(O1281),IF(COUNT(IF(A1281=$A$2:$A$2427,IF(D1281=$D$2:$D$2427,IF($X$2:$X$2427&gt;0,1))))&gt;0,SUM(IF(A1281=$A$2:$A$2427,IF(D1281=$D$2:$D$2427,$X$2:$X$2427)))/COUNT(IF(A1281=$A$2:$A$2427,IF(D1281=$D$2:$D$2427,IF(ISNUMBER($X$2:$X$2427),1)))),0),""),0)</f>
        <v/>
      </c>
      <c r="Z1281" s="104" t="str">
        <f>IF(ISNUMBER(O1281),IF(I1281&gt;0,(10^(VLOOKUP(D1281,'Species Codes'!B:C,2,0)+VLOOKUP(D1281,'Species Codes'!B:D,3,0)*LOG(E1281)+VLOOKUP(D1281,'Species Codes'!B:E,4,0)*LOG(I1281))),0),"")</f>
        <v/>
      </c>
      <c r="AA1281" s="104" t="str">
        <f>IFERROR((VLOOKUP(D1281,'Species Codes'!B:G,6,0)*Z1281)/2000,"")</f>
        <v/>
      </c>
      <c r="AB1281" s="104" t="e">
        <f>IF(Z1281&gt;0,((IF(OR(D1281="DF",D1281="RA")=TRUE,EXP(VLOOKUP(D1281,'Species Codes'!B:I,8,0)+VLOOKUP(D1281,'Species Codes'!B:J,9,0)*(LN((E1281*2.54)))),IF(OR(D1281="PY",D1281="RC",D1281="WH",D1281="NF")=TRUE,VLOOKUP(D1281,'Species Codes'!B:I,8,0)+VLOOKUP(D1281,'Species Codes'!B:J,9,0)*((E1281*2.54)^2)*(I1281*0.3048),IF(OR(D1281="MD",D1281="BM",D1281="GA")=TRUE,((VLOOKUP(D1281,'Species Codes'!B:I,8,0)*(((((E1281*2.54)+VLOOKUP(D1281,'Species Codes'!B:J,9,0))/VLOOKUP(D1281,'Species Codes'!B:K,10,0))^VLOOKUP(D1281,'Species Codes'!B:L,11,0))*((I1281*0.3048)^VLOOKUP(D1281,'Species Codes'!B:M,12,0))))-(VLOOKUP(D1281,'Species Codes'!B:I,8,0)*((((E1281*2.54)^VLOOKUP(D1281,'Species Codes'!B:L,11,0))*((I1281*0.3048)^VLOOKUP(D1281,'Species Codes'!B:M,12,0))))))*35.3*VLOOKUP(D1281,'Species Codes'!B:G,6,0)/2.2046,VLOOKUP(D1281,'Species Codes'!B:I,8,0)+VLOOKUP(D1281,'Species Codes'!B:J,9,0)*(((E1281*2.54)/100)^2)*(I1281*0.3048)))))*0.0011023),0)</f>
        <v>#N/A</v>
      </c>
      <c r="AC1281" s="104" t="e">
        <f>IF(Z1281&gt;0,((IF(OR(D1281="RA",D1281="OA",D1281="OT",D1281="UN",D1281="PC"),EXP(VLOOKUP(D1281,'Species Codes'!B:O,14,0)+VLOOKUP(D1281,'Species Codes'!B:P,15,0)*LN((E1281*2.54)))-EXP(VLOOKUP(D1281,'Species Codes'!B:O,14,0)+VLOOKUP(D1281,'Species Codes'!B:P,15,0)*LN((E1281*2.54)))*(1/(VLOOKUP(D1281,'Species Codes'!B:Q,16,0)+VLOOKUP(D1281,'Species Codes'!B:R,17,0)*((E1281*2.54)^VLOOKUP(D1281,'Species Codes'!B:S,18,0)))),IF(OR(D1281="BM",D1281="MD",D1281="OA"),EXP(VLOOKUP(D1281,'Species Codes'!B:O,14,0)+VLOOKUP(D1281,'Species Codes'!B:P,15,0)*LN((E1281*2.54)))*(1-(1/(VLOOKUP(D1281,'Species Codes'!B:Q,16,0)+VLOOKUP(D1281,'Species Codes'!B:R,17,0)*((E1281*2.54)^VLOOKUP(D1281,'Species Codes'!B:S,18,0)))))/1000,IF(D1281="DF",EXP(VLOOKUP(D1281,'Species Codes'!B:O,14,0)+VLOOKUP(D1281,'Species Codes'!B:P,15,0)*LN((E1281*2.54))),VLOOKUP(D1281,'Species Codes'!B:O,14,0)+VLOOKUP(D1281,'Species Codes'!B:P,15,0)*(((E1281*2.54)/100)^2)*(I1281*0.3048)))))*0.0011023),0)</f>
        <v>#N/A</v>
      </c>
      <c r="AD1281" s="104" t="e">
        <f t="shared" si="571"/>
        <v>#N/A</v>
      </c>
      <c r="AE1281" s="104" t="e">
        <f t="shared" si="572"/>
        <v>#N/A</v>
      </c>
      <c r="AF1281" s="104" t="e">
        <f>IF(AND(VLOOKUP($D1281,Merchantability!$B:$C,2,0)="Yes",$E1281&gt;=VLOOKUP($D1281,Merchantability!$B:$D,3,0),$E1281&lt;=VLOOKUP($D1281,Merchantability!$B:$E,4,0)),AA1281,0)</f>
        <v>#N/A</v>
      </c>
      <c r="AG1281" s="104" t="e">
        <f>IF(AND(VLOOKUP($D1281,Merchantability!$B:$C,2,0)="Yes",$E1281&gt;=VLOOKUP($D1281,Merchantability!$B:$D,3,0),$E1281&lt;=VLOOKUP($D1281,Merchantability!$B:$E,4,0)),AB1281,0)</f>
        <v>#N/A</v>
      </c>
      <c r="AH1281" s="104" t="e">
        <f>IF(AND(VLOOKUP($D1281,Merchantability!$B:$C,2,0)="Yes",$E1281&gt;=VLOOKUP($D1281,Merchantability!$B:$D,3,0),$E1281&lt;=VLOOKUP($D1281,Merchantability!$B:$E,4,0)),AC1281,0)</f>
        <v>#N/A</v>
      </c>
      <c r="AI1281" s="104" t="e">
        <f t="shared" si="573"/>
        <v>#N/A</v>
      </c>
      <c r="AJ1281" s="104" t="e">
        <f t="shared" si="574"/>
        <v>#VALUE!</v>
      </c>
      <c r="AK1281" s="104" t="e">
        <f t="shared" si="575"/>
        <v>#N/A</v>
      </c>
      <c r="AL1281" s="104" t="e">
        <f t="shared" si="576"/>
        <v>#N/A</v>
      </c>
      <c r="AM1281" s="104" t="e">
        <f t="shared" si="577"/>
        <v>#N/A</v>
      </c>
      <c r="AN1281" s="104" t="e">
        <f t="shared" si="561"/>
        <v>#N/A</v>
      </c>
      <c r="AO1281" s="104" t="e">
        <f t="shared" si="562"/>
        <v>#N/A</v>
      </c>
      <c r="AP1281" s="104" t="e">
        <f t="shared" si="563"/>
        <v>#N/A</v>
      </c>
      <c r="AQ1281" s="104" t="e">
        <f t="shared" si="564"/>
        <v>#N/A</v>
      </c>
      <c r="AR1281" s="105" t="str">
        <f t="shared" si="556"/>
        <v/>
      </c>
      <c r="AS1281" s="105" t="str">
        <f t="shared" si="557"/>
        <v/>
      </c>
      <c r="AT1281" s="108" t="str">
        <f t="shared" si="558"/>
        <v/>
      </c>
      <c r="AU1281" s="108" t="str">
        <f t="shared" si="559"/>
        <v/>
      </c>
      <c r="AV1281" s="107" t="str">
        <f>IF(ISNUMBER(O1281),IF(VLOOKUP($A1281,Stand!C:J,8,FALSE)="Short",AT1281,AU1281),"")</f>
        <v/>
      </c>
      <c r="AW1281" s="109" t="str">
        <f t="shared" si="565"/>
        <v/>
      </c>
      <c r="AX1281" s="109" t="str">
        <f t="shared" si="566"/>
        <v/>
      </c>
      <c r="AY1281" s="112" t="str">
        <f>IF(ISNUMBER(O1281),IF(AND(VLOOKUP($D1281,Merchantability!$B:$C,2,0)="Yes",$E1281&gt;=VLOOKUP($D1281,Merchantability!$B:$D,3,0),$E1281&lt;=VLOOKUP($D1281,Merchantability!$B:$E,4,0)),(AV1281*O1281)*(1-$H1281/100),""),"")</f>
        <v/>
      </c>
      <c r="AZ1281" s="116"/>
      <c r="BA1281" s="116"/>
      <c r="BB1281" s="116"/>
      <c r="BE1281" s="62"/>
      <c r="BF1281" s="63"/>
    </row>
    <row r="1282" spans="1:58" ht="12.75" customHeight="1" x14ac:dyDescent="0.25">
      <c r="A1282" s="333"/>
      <c r="B1282" s="334"/>
      <c r="C1282" s="332"/>
      <c r="D1282" s="334"/>
      <c r="E1282" s="335"/>
      <c r="F1282" s="334"/>
      <c r="G1282" s="332"/>
      <c r="H1282" s="332"/>
      <c r="I1282" s="334"/>
      <c r="J1282" s="336"/>
      <c r="K1282" s="332"/>
      <c r="L1282" s="332"/>
      <c r="M1282" s="76"/>
      <c r="N1282" s="103" t="str">
        <f>IF(A1282="","",VLOOKUP(A1282,Stand!C:K,9,0))</f>
        <v/>
      </c>
      <c r="O1282" s="104" t="str">
        <f t="shared" ref="O1282:O1345" si="578">IF(E1282&gt;0,IF(G1282&gt;1,G1282*(43560/(N1282^2*3.14)),43560/(N1282^2*3.14)),"")</f>
        <v/>
      </c>
      <c r="P1282" s="105" t="str">
        <f t="shared" ref="P1282:P1345" si="579">IF(ISNUMBER(O1282),E1282*O1282,"")</f>
        <v/>
      </c>
      <c r="Q1282" s="105" t="str">
        <f t="shared" si="567"/>
        <v/>
      </c>
      <c r="R1282" s="103" t="str">
        <f t="shared" ref="R1282:R1345" si="580">IF(ISNUMBER(O1282),E1282^2*0.005454*O1282,"")</f>
        <v/>
      </c>
      <c r="S1282" s="103" t="str">
        <f t="shared" ref="S1282:S1345" si="581">IF(ISNUMBER(O1282),(E1282/10)^1.7*O1282,"")</f>
        <v/>
      </c>
      <c r="T1282" s="106" t="str">
        <f t="shared" si="568"/>
        <v/>
      </c>
      <c r="U1282" s="106" t="str">
        <f t="shared" si="569"/>
        <v/>
      </c>
      <c r="V1282" s="106" t="str">
        <f t="shared" si="570"/>
        <v/>
      </c>
      <c r="W1282" s="105" t="str">
        <f t="shared" ref="W1282:W1345" si="582">IF(AND(ISNUMBER(O1282),I1282&gt;0),I1282/(E1282/12),"")</f>
        <v/>
      </c>
      <c r="X1282" s="104" t="str">
        <f t="shared" si="560"/>
        <v/>
      </c>
      <c r="Y1282" s="104" t="str">
        <f t="array" ref="Y1282">IFERROR(IF(ISNUMBER(O1282),IF(COUNT(IF(A1282=$A$2:$A$2427,IF(D1282=$D$2:$D$2427,IF($X$2:$X$2427&gt;0,1))))&gt;0,SUM(IF(A1282=$A$2:$A$2427,IF(D1282=$D$2:$D$2427,$X$2:$X$2427)))/COUNT(IF(A1282=$A$2:$A$2427,IF(D1282=$D$2:$D$2427,IF(ISNUMBER($X$2:$X$2427),1)))),0),""),0)</f>
        <v/>
      </c>
      <c r="Z1282" s="104" t="str">
        <f>IF(ISNUMBER(O1282),IF(I1282&gt;0,(10^(VLOOKUP(D1282,'Species Codes'!B:C,2,0)+VLOOKUP(D1282,'Species Codes'!B:D,3,0)*LOG(E1282)+VLOOKUP(D1282,'Species Codes'!B:E,4,0)*LOG(I1282))),0),"")</f>
        <v/>
      </c>
      <c r="AA1282" s="104" t="str">
        <f>IFERROR((VLOOKUP(D1282,'Species Codes'!B:G,6,0)*Z1282)/2000,"")</f>
        <v/>
      </c>
      <c r="AB1282" s="104" t="e">
        <f>IF(Z1282&gt;0,((IF(OR(D1282="DF",D1282="RA")=TRUE,EXP(VLOOKUP(D1282,'Species Codes'!B:I,8,0)+VLOOKUP(D1282,'Species Codes'!B:J,9,0)*(LN((E1282*2.54)))),IF(OR(D1282="PY",D1282="RC",D1282="WH",D1282="NF")=TRUE,VLOOKUP(D1282,'Species Codes'!B:I,8,0)+VLOOKUP(D1282,'Species Codes'!B:J,9,0)*((E1282*2.54)^2)*(I1282*0.3048),IF(OR(D1282="MD",D1282="BM",D1282="GA")=TRUE,((VLOOKUP(D1282,'Species Codes'!B:I,8,0)*(((((E1282*2.54)+VLOOKUP(D1282,'Species Codes'!B:J,9,0))/VLOOKUP(D1282,'Species Codes'!B:K,10,0))^VLOOKUP(D1282,'Species Codes'!B:L,11,0))*((I1282*0.3048)^VLOOKUP(D1282,'Species Codes'!B:M,12,0))))-(VLOOKUP(D1282,'Species Codes'!B:I,8,0)*((((E1282*2.54)^VLOOKUP(D1282,'Species Codes'!B:L,11,0))*((I1282*0.3048)^VLOOKUP(D1282,'Species Codes'!B:M,12,0))))))*35.3*VLOOKUP(D1282,'Species Codes'!B:G,6,0)/2.2046,VLOOKUP(D1282,'Species Codes'!B:I,8,0)+VLOOKUP(D1282,'Species Codes'!B:J,9,0)*(((E1282*2.54)/100)^2)*(I1282*0.3048)))))*0.0011023),0)</f>
        <v>#N/A</v>
      </c>
      <c r="AC1282" s="104" t="e">
        <f>IF(Z1282&gt;0,((IF(OR(D1282="RA",D1282="OA",D1282="OT",D1282="UN",D1282="PC"),EXP(VLOOKUP(D1282,'Species Codes'!B:O,14,0)+VLOOKUP(D1282,'Species Codes'!B:P,15,0)*LN((E1282*2.54)))-EXP(VLOOKUP(D1282,'Species Codes'!B:O,14,0)+VLOOKUP(D1282,'Species Codes'!B:P,15,0)*LN((E1282*2.54)))*(1/(VLOOKUP(D1282,'Species Codes'!B:Q,16,0)+VLOOKUP(D1282,'Species Codes'!B:R,17,0)*((E1282*2.54)^VLOOKUP(D1282,'Species Codes'!B:S,18,0)))),IF(OR(D1282="BM",D1282="MD",D1282="OA"),EXP(VLOOKUP(D1282,'Species Codes'!B:O,14,0)+VLOOKUP(D1282,'Species Codes'!B:P,15,0)*LN((E1282*2.54)))*(1-(1/(VLOOKUP(D1282,'Species Codes'!B:Q,16,0)+VLOOKUP(D1282,'Species Codes'!B:R,17,0)*((E1282*2.54)^VLOOKUP(D1282,'Species Codes'!B:S,18,0)))))/1000,IF(D1282="DF",EXP(VLOOKUP(D1282,'Species Codes'!B:O,14,0)+VLOOKUP(D1282,'Species Codes'!B:P,15,0)*LN((E1282*2.54))),VLOOKUP(D1282,'Species Codes'!B:O,14,0)+VLOOKUP(D1282,'Species Codes'!B:P,15,0)*(((E1282*2.54)/100)^2)*(I1282*0.3048)))))*0.0011023),0)</f>
        <v>#N/A</v>
      </c>
      <c r="AD1282" s="104" t="e">
        <f t="shared" si="571"/>
        <v>#N/A</v>
      </c>
      <c r="AE1282" s="104" t="e">
        <f t="shared" si="572"/>
        <v>#N/A</v>
      </c>
      <c r="AF1282" s="104" t="e">
        <f>IF(AND(VLOOKUP($D1282,Merchantability!$B:$C,2,0)="Yes",$E1282&gt;=VLOOKUP($D1282,Merchantability!$B:$D,3,0),$E1282&lt;=VLOOKUP($D1282,Merchantability!$B:$E,4,0)),AA1282,0)</f>
        <v>#N/A</v>
      </c>
      <c r="AG1282" s="104" t="e">
        <f>IF(AND(VLOOKUP($D1282,Merchantability!$B:$C,2,0)="Yes",$E1282&gt;=VLOOKUP($D1282,Merchantability!$B:$D,3,0),$E1282&lt;=VLOOKUP($D1282,Merchantability!$B:$E,4,0)),AB1282,0)</f>
        <v>#N/A</v>
      </c>
      <c r="AH1282" s="104" t="e">
        <f>IF(AND(VLOOKUP($D1282,Merchantability!$B:$C,2,0)="Yes",$E1282&gt;=VLOOKUP($D1282,Merchantability!$B:$D,3,0),$E1282&lt;=VLOOKUP($D1282,Merchantability!$B:$E,4,0)),AC1282,0)</f>
        <v>#N/A</v>
      </c>
      <c r="AI1282" s="104" t="e">
        <f t="shared" si="573"/>
        <v>#N/A</v>
      </c>
      <c r="AJ1282" s="104" t="e">
        <f t="shared" si="574"/>
        <v>#VALUE!</v>
      </c>
      <c r="AK1282" s="104" t="e">
        <f t="shared" si="575"/>
        <v>#N/A</v>
      </c>
      <c r="AL1282" s="104" t="e">
        <f t="shared" si="576"/>
        <v>#N/A</v>
      </c>
      <c r="AM1282" s="104" t="e">
        <f t="shared" si="577"/>
        <v>#N/A</v>
      </c>
      <c r="AN1282" s="104" t="e">
        <f t="shared" si="561"/>
        <v>#N/A</v>
      </c>
      <c r="AO1282" s="104" t="e">
        <f t="shared" si="562"/>
        <v>#N/A</v>
      </c>
      <c r="AP1282" s="104" t="e">
        <f t="shared" si="563"/>
        <v>#N/A</v>
      </c>
      <c r="AQ1282" s="104" t="e">
        <f t="shared" si="564"/>
        <v>#N/A</v>
      </c>
      <c r="AR1282" s="105" t="str">
        <f t="shared" ref="AR1282:AR1345" si="583">IF(ISNUMBER(O1282),IF(Y1282&gt;0,((Y1282*(E1282^2*0.005454-0.087266))/0.912733),0),"")</f>
        <v/>
      </c>
      <c r="AS1282" s="105" t="str">
        <f t="shared" ref="AS1282:AS1345" si="584">IF(ISNUMBER(O1282),AR1282*(0.993-0.993*(0.62^(E1282-6))),"")</f>
        <v/>
      </c>
      <c r="AT1282" s="108" t="str">
        <f t="shared" ref="AT1282:AT1345" si="585">IF(ISNUMBER(O1282),IF(AS1282&gt;0,IF(Y1282&gt;0,(AS1282*10^(0.174439+0.117594*(LOG(E1282,10))*(LOG(Y1282/0.912733,10))-8.210585/E1282^2+0.236693*(LOG(Y1282/0.912733,10))-0.00001345*(Y1282/0.912733)^2-0.00001937*E1282^2)),0),0),"")</f>
        <v/>
      </c>
      <c r="AU1282" s="108" t="str">
        <f t="shared" ref="AU1282:AU1345" si="586">IF(ISNUMBER(O1282),IF(AS1282&gt;0,IF(Y1282&gt;0,AT1282*(1.001491-(6.92497/Y1282)+(0.00001351*(E1282^2))),0),0),"")</f>
        <v/>
      </c>
      <c r="AV1282" s="107" t="str">
        <f>IF(ISNUMBER(O1282),IF(VLOOKUP($A1282,Stand!C:J,8,FALSE)="Short",AT1282,AU1282),"")</f>
        <v/>
      </c>
      <c r="AW1282" s="109" t="str">
        <f t="shared" si="565"/>
        <v/>
      </c>
      <c r="AX1282" s="109" t="str">
        <f t="shared" si="566"/>
        <v/>
      </c>
      <c r="AY1282" s="112" t="str">
        <f>IF(ISNUMBER(O1282),IF(AND(VLOOKUP($D1282,Merchantability!$B:$C,2,0)="Yes",$E1282&gt;=VLOOKUP($D1282,Merchantability!$B:$D,3,0),$E1282&lt;=VLOOKUP($D1282,Merchantability!$B:$E,4,0)),(AV1282*O1282)*(1-$H1282/100),""),"")</f>
        <v/>
      </c>
      <c r="AZ1282" s="116"/>
      <c r="BA1282" s="116"/>
      <c r="BB1282" s="116"/>
      <c r="BE1282" s="62"/>
      <c r="BF1282" s="63"/>
    </row>
    <row r="1283" spans="1:58" ht="12.75" customHeight="1" x14ac:dyDescent="0.25">
      <c r="A1283" s="333"/>
      <c r="B1283" s="334"/>
      <c r="C1283" s="332"/>
      <c r="D1283" s="334"/>
      <c r="E1283" s="335"/>
      <c r="F1283" s="334"/>
      <c r="G1283" s="332"/>
      <c r="H1283" s="332"/>
      <c r="I1283" s="334"/>
      <c r="J1283" s="336"/>
      <c r="K1283" s="332"/>
      <c r="L1283" s="332"/>
      <c r="M1283" s="76"/>
      <c r="N1283" s="103" t="str">
        <f>IF(A1283="","",VLOOKUP(A1283,Stand!C:K,9,0))</f>
        <v/>
      </c>
      <c r="O1283" s="104" t="str">
        <f t="shared" si="578"/>
        <v/>
      </c>
      <c r="P1283" s="105" t="str">
        <f t="shared" si="579"/>
        <v/>
      </c>
      <c r="Q1283" s="105" t="str">
        <f t="shared" si="567"/>
        <v/>
      </c>
      <c r="R1283" s="103" t="str">
        <f t="shared" si="580"/>
        <v/>
      </c>
      <c r="S1283" s="103" t="str">
        <f t="shared" si="581"/>
        <v/>
      </c>
      <c r="T1283" s="106" t="str">
        <f t="shared" si="568"/>
        <v/>
      </c>
      <c r="U1283" s="106" t="str">
        <f t="shared" si="569"/>
        <v/>
      </c>
      <c r="V1283" s="106" t="str">
        <f t="shared" si="570"/>
        <v/>
      </c>
      <c r="W1283" s="105" t="str">
        <f t="shared" si="582"/>
        <v/>
      </c>
      <c r="X1283" s="104" t="str">
        <f t="shared" ref="X1283:X1346" si="587">IF(ISNUMBER(O1283),IF(I1283&gt;0,IF(E1283&gt;0,(0.912733*Z1283)/(1.033*(1+1.382937*EXP(-4.015292*E1283/10))*((E1283^2)*0.005454+0.087266)-0.174533),""),""),"")</f>
        <v/>
      </c>
      <c r="Y1283" s="104" t="str">
        <f t="array" ref="Y1283">IFERROR(IF(ISNUMBER(O1283),IF(COUNT(IF(A1283=$A$2:$A$2427,IF(D1283=$D$2:$D$2427,IF($X$2:$X$2427&gt;0,1))))&gt;0,SUM(IF(A1283=$A$2:$A$2427,IF(D1283=$D$2:$D$2427,$X$2:$X$2427)))/COUNT(IF(A1283=$A$2:$A$2427,IF(D1283=$D$2:$D$2427,IF(ISNUMBER($X$2:$X$2427),1)))),0),""),0)</f>
        <v/>
      </c>
      <c r="Z1283" s="104" t="str">
        <f>IF(ISNUMBER(O1283),IF(I1283&gt;0,(10^(VLOOKUP(D1283,'Species Codes'!B:C,2,0)+VLOOKUP(D1283,'Species Codes'!B:D,3,0)*LOG(E1283)+VLOOKUP(D1283,'Species Codes'!B:E,4,0)*LOG(I1283))),0),"")</f>
        <v/>
      </c>
      <c r="AA1283" s="104" t="str">
        <f>IFERROR((VLOOKUP(D1283,'Species Codes'!B:G,6,0)*Z1283)/2000,"")</f>
        <v/>
      </c>
      <c r="AB1283" s="104" t="e">
        <f>IF(Z1283&gt;0,((IF(OR(D1283="DF",D1283="RA")=TRUE,EXP(VLOOKUP(D1283,'Species Codes'!B:I,8,0)+VLOOKUP(D1283,'Species Codes'!B:J,9,0)*(LN((E1283*2.54)))),IF(OR(D1283="PY",D1283="RC",D1283="WH",D1283="NF")=TRUE,VLOOKUP(D1283,'Species Codes'!B:I,8,0)+VLOOKUP(D1283,'Species Codes'!B:J,9,0)*((E1283*2.54)^2)*(I1283*0.3048),IF(OR(D1283="MD",D1283="BM",D1283="GA")=TRUE,((VLOOKUP(D1283,'Species Codes'!B:I,8,0)*(((((E1283*2.54)+VLOOKUP(D1283,'Species Codes'!B:J,9,0))/VLOOKUP(D1283,'Species Codes'!B:K,10,0))^VLOOKUP(D1283,'Species Codes'!B:L,11,0))*((I1283*0.3048)^VLOOKUP(D1283,'Species Codes'!B:M,12,0))))-(VLOOKUP(D1283,'Species Codes'!B:I,8,0)*((((E1283*2.54)^VLOOKUP(D1283,'Species Codes'!B:L,11,0))*((I1283*0.3048)^VLOOKUP(D1283,'Species Codes'!B:M,12,0))))))*35.3*VLOOKUP(D1283,'Species Codes'!B:G,6,0)/2.2046,VLOOKUP(D1283,'Species Codes'!B:I,8,0)+VLOOKUP(D1283,'Species Codes'!B:J,9,0)*(((E1283*2.54)/100)^2)*(I1283*0.3048)))))*0.0011023),0)</f>
        <v>#N/A</v>
      </c>
      <c r="AC1283" s="104" t="e">
        <f>IF(Z1283&gt;0,((IF(OR(D1283="RA",D1283="OA",D1283="OT",D1283="UN",D1283="PC"),EXP(VLOOKUP(D1283,'Species Codes'!B:O,14,0)+VLOOKUP(D1283,'Species Codes'!B:P,15,0)*LN((E1283*2.54)))-EXP(VLOOKUP(D1283,'Species Codes'!B:O,14,0)+VLOOKUP(D1283,'Species Codes'!B:P,15,0)*LN((E1283*2.54)))*(1/(VLOOKUP(D1283,'Species Codes'!B:Q,16,0)+VLOOKUP(D1283,'Species Codes'!B:R,17,0)*((E1283*2.54)^VLOOKUP(D1283,'Species Codes'!B:S,18,0)))),IF(OR(D1283="BM",D1283="MD",D1283="OA"),EXP(VLOOKUP(D1283,'Species Codes'!B:O,14,0)+VLOOKUP(D1283,'Species Codes'!B:P,15,0)*LN((E1283*2.54)))*(1-(1/(VLOOKUP(D1283,'Species Codes'!B:Q,16,0)+VLOOKUP(D1283,'Species Codes'!B:R,17,0)*((E1283*2.54)^VLOOKUP(D1283,'Species Codes'!B:S,18,0)))))/1000,IF(D1283="DF",EXP(VLOOKUP(D1283,'Species Codes'!B:O,14,0)+VLOOKUP(D1283,'Species Codes'!B:P,15,0)*LN((E1283*2.54))),VLOOKUP(D1283,'Species Codes'!B:O,14,0)+VLOOKUP(D1283,'Species Codes'!B:P,15,0)*(((E1283*2.54)/100)^2)*(I1283*0.3048)))))*0.0011023),0)</f>
        <v>#N/A</v>
      </c>
      <c r="AD1283" s="104" t="e">
        <f t="shared" si="571"/>
        <v>#N/A</v>
      </c>
      <c r="AE1283" s="104" t="e">
        <f t="shared" si="572"/>
        <v>#N/A</v>
      </c>
      <c r="AF1283" s="104" t="e">
        <f>IF(AND(VLOOKUP($D1283,Merchantability!$B:$C,2,0)="Yes",$E1283&gt;=VLOOKUP($D1283,Merchantability!$B:$D,3,0),$E1283&lt;=VLOOKUP($D1283,Merchantability!$B:$E,4,0)),AA1283,0)</f>
        <v>#N/A</v>
      </c>
      <c r="AG1283" s="104" t="e">
        <f>IF(AND(VLOOKUP($D1283,Merchantability!$B:$C,2,0)="Yes",$E1283&gt;=VLOOKUP($D1283,Merchantability!$B:$D,3,0),$E1283&lt;=VLOOKUP($D1283,Merchantability!$B:$E,4,0)),AB1283,0)</f>
        <v>#N/A</v>
      </c>
      <c r="AH1283" s="104" t="e">
        <f>IF(AND(VLOOKUP($D1283,Merchantability!$B:$C,2,0)="Yes",$E1283&gt;=VLOOKUP($D1283,Merchantability!$B:$D,3,0),$E1283&lt;=VLOOKUP($D1283,Merchantability!$B:$E,4,0)),AC1283,0)</f>
        <v>#N/A</v>
      </c>
      <c r="AI1283" s="104" t="e">
        <f t="shared" si="573"/>
        <v>#N/A</v>
      </c>
      <c r="AJ1283" s="104" t="e">
        <f t="shared" si="574"/>
        <v>#VALUE!</v>
      </c>
      <c r="AK1283" s="104" t="e">
        <f t="shared" si="575"/>
        <v>#N/A</v>
      </c>
      <c r="AL1283" s="104" t="e">
        <f t="shared" si="576"/>
        <v>#N/A</v>
      </c>
      <c r="AM1283" s="104" t="e">
        <f t="shared" si="577"/>
        <v>#N/A</v>
      </c>
      <c r="AN1283" s="104" t="e">
        <f t="shared" ref="AN1283:AN1346" si="588">AF1283*$O1283</f>
        <v>#N/A</v>
      </c>
      <c r="AO1283" s="104" t="e">
        <f t="shared" ref="AO1283:AO1346" si="589">AG1283*$O1283</f>
        <v>#N/A</v>
      </c>
      <c r="AP1283" s="104" t="e">
        <f t="shared" ref="AP1283:AP1346" si="590">AH1283*$O1283</f>
        <v>#N/A</v>
      </c>
      <c r="AQ1283" s="104" t="e">
        <f t="shared" ref="AQ1283:AQ1346" si="591">SUM(AN1283:AP1283)</f>
        <v>#N/A</v>
      </c>
      <c r="AR1283" s="105" t="str">
        <f t="shared" si="583"/>
        <v/>
      </c>
      <c r="AS1283" s="105" t="str">
        <f t="shared" si="584"/>
        <v/>
      </c>
      <c r="AT1283" s="108" t="str">
        <f t="shared" si="585"/>
        <v/>
      </c>
      <c r="AU1283" s="108" t="str">
        <f t="shared" si="586"/>
        <v/>
      </c>
      <c r="AV1283" s="107" t="str">
        <f>IF(ISNUMBER(O1283),IF(VLOOKUP($A1283,Stand!C:J,8,FALSE)="Short",AT1283,AU1283),"")</f>
        <v/>
      </c>
      <c r="AW1283" s="109" t="str">
        <f t="shared" ref="AW1283:AW1346" si="592">IF(ISNUMBER(O1283),AV1283*O1283,"")</f>
        <v/>
      </c>
      <c r="AX1283" s="109" t="str">
        <f t="shared" ref="AX1283:AX1346" si="593">IF(ISNUMBER(O1283),AW1283*(1-$H1283/100),"")</f>
        <v/>
      </c>
      <c r="AY1283" s="112" t="str">
        <f>IF(ISNUMBER(O1283),IF(AND(VLOOKUP($D1283,Merchantability!$B:$C,2,0)="Yes",$E1283&gt;=VLOOKUP($D1283,Merchantability!$B:$D,3,0),$E1283&lt;=VLOOKUP($D1283,Merchantability!$B:$E,4,0)),(AV1283*O1283)*(1-$H1283/100),""),"")</f>
        <v/>
      </c>
      <c r="AZ1283" s="116"/>
      <c r="BA1283" s="116"/>
      <c r="BB1283" s="116"/>
      <c r="BE1283" s="62"/>
      <c r="BF1283" s="63"/>
    </row>
    <row r="1284" spans="1:58" ht="12.75" customHeight="1" x14ac:dyDescent="0.25">
      <c r="A1284" s="333"/>
      <c r="B1284" s="334"/>
      <c r="C1284" s="332"/>
      <c r="D1284" s="334"/>
      <c r="E1284" s="335"/>
      <c r="F1284" s="334"/>
      <c r="G1284" s="332"/>
      <c r="H1284" s="332"/>
      <c r="I1284" s="334"/>
      <c r="J1284" s="336"/>
      <c r="K1284" s="332"/>
      <c r="L1284" s="332"/>
      <c r="M1284" s="76"/>
      <c r="N1284" s="103" t="str">
        <f>IF(A1284="","",VLOOKUP(A1284,Stand!C:K,9,0))</f>
        <v/>
      </c>
      <c r="O1284" s="104" t="str">
        <f t="shared" si="578"/>
        <v/>
      </c>
      <c r="P1284" s="105" t="str">
        <f t="shared" si="579"/>
        <v/>
      </c>
      <c r="Q1284" s="105" t="str">
        <f t="shared" si="567"/>
        <v/>
      </c>
      <c r="R1284" s="103" t="str">
        <f t="shared" si="580"/>
        <v/>
      </c>
      <c r="S1284" s="103" t="str">
        <f t="shared" si="581"/>
        <v/>
      </c>
      <c r="T1284" s="106" t="str">
        <f t="shared" si="568"/>
        <v/>
      </c>
      <c r="U1284" s="106" t="str">
        <f t="shared" si="569"/>
        <v/>
      </c>
      <c r="V1284" s="106" t="str">
        <f t="shared" si="570"/>
        <v/>
      </c>
      <c r="W1284" s="105" t="str">
        <f t="shared" si="582"/>
        <v/>
      </c>
      <c r="X1284" s="104" t="str">
        <f t="shared" si="587"/>
        <v/>
      </c>
      <c r="Y1284" s="104" t="str">
        <f t="array" ref="Y1284">IFERROR(IF(ISNUMBER(O1284),IF(COUNT(IF(A1284=$A$2:$A$2427,IF(D1284=$D$2:$D$2427,IF($X$2:$X$2427&gt;0,1))))&gt;0,SUM(IF(A1284=$A$2:$A$2427,IF(D1284=$D$2:$D$2427,$X$2:$X$2427)))/COUNT(IF(A1284=$A$2:$A$2427,IF(D1284=$D$2:$D$2427,IF(ISNUMBER($X$2:$X$2427),1)))),0),""),0)</f>
        <v/>
      </c>
      <c r="Z1284" s="104" t="str">
        <f>IF(ISNUMBER(O1284),IF(I1284&gt;0,(10^(VLOOKUP(D1284,'Species Codes'!B:C,2,0)+VLOOKUP(D1284,'Species Codes'!B:D,3,0)*LOG(E1284)+VLOOKUP(D1284,'Species Codes'!B:E,4,0)*LOG(I1284))),0),"")</f>
        <v/>
      </c>
      <c r="AA1284" s="104" t="str">
        <f>IFERROR((VLOOKUP(D1284,'Species Codes'!B:G,6,0)*Z1284)/2000,"")</f>
        <v/>
      </c>
      <c r="AB1284" s="104" t="e">
        <f>IF(Z1284&gt;0,((IF(OR(D1284="DF",D1284="RA")=TRUE,EXP(VLOOKUP(D1284,'Species Codes'!B:I,8,0)+VLOOKUP(D1284,'Species Codes'!B:J,9,0)*(LN((E1284*2.54)))),IF(OR(D1284="PY",D1284="RC",D1284="WH",D1284="NF")=TRUE,VLOOKUP(D1284,'Species Codes'!B:I,8,0)+VLOOKUP(D1284,'Species Codes'!B:J,9,0)*((E1284*2.54)^2)*(I1284*0.3048),IF(OR(D1284="MD",D1284="BM",D1284="GA")=TRUE,((VLOOKUP(D1284,'Species Codes'!B:I,8,0)*(((((E1284*2.54)+VLOOKUP(D1284,'Species Codes'!B:J,9,0))/VLOOKUP(D1284,'Species Codes'!B:K,10,0))^VLOOKUP(D1284,'Species Codes'!B:L,11,0))*((I1284*0.3048)^VLOOKUP(D1284,'Species Codes'!B:M,12,0))))-(VLOOKUP(D1284,'Species Codes'!B:I,8,0)*((((E1284*2.54)^VLOOKUP(D1284,'Species Codes'!B:L,11,0))*((I1284*0.3048)^VLOOKUP(D1284,'Species Codes'!B:M,12,0))))))*35.3*VLOOKUP(D1284,'Species Codes'!B:G,6,0)/2.2046,VLOOKUP(D1284,'Species Codes'!B:I,8,0)+VLOOKUP(D1284,'Species Codes'!B:J,9,0)*(((E1284*2.54)/100)^2)*(I1284*0.3048)))))*0.0011023),0)</f>
        <v>#N/A</v>
      </c>
      <c r="AC1284" s="104" t="e">
        <f>IF(Z1284&gt;0,((IF(OR(D1284="RA",D1284="OA",D1284="OT",D1284="UN",D1284="PC"),EXP(VLOOKUP(D1284,'Species Codes'!B:O,14,0)+VLOOKUP(D1284,'Species Codes'!B:P,15,0)*LN((E1284*2.54)))-EXP(VLOOKUP(D1284,'Species Codes'!B:O,14,0)+VLOOKUP(D1284,'Species Codes'!B:P,15,0)*LN((E1284*2.54)))*(1/(VLOOKUP(D1284,'Species Codes'!B:Q,16,0)+VLOOKUP(D1284,'Species Codes'!B:R,17,0)*((E1284*2.54)^VLOOKUP(D1284,'Species Codes'!B:S,18,0)))),IF(OR(D1284="BM",D1284="MD",D1284="OA"),EXP(VLOOKUP(D1284,'Species Codes'!B:O,14,0)+VLOOKUP(D1284,'Species Codes'!B:P,15,0)*LN((E1284*2.54)))*(1-(1/(VLOOKUP(D1284,'Species Codes'!B:Q,16,0)+VLOOKUP(D1284,'Species Codes'!B:R,17,0)*((E1284*2.54)^VLOOKUP(D1284,'Species Codes'!B:S,18,0)))))/1000,IF(D1284="DF",EXP(VLOOKUP(D1284,'Species Codes'!B:O,14,0)+VLOOKUP(D1284,'Species Codes'!B:P,15,0)*LN((E1284*2.54))),VLOOKUP(D1284,'Species Codes'!B:O,14,0)+VLOOKUP(D1284,'Species Codes'!B:P,15,0)*(((E1284*2.54)/100)^2)*(I1284*0.3048)))))*0.0011023),0)</f>
        <v>#N/A</v>
      </c>
      <c r="AD1284" s="104" t="e">
        <f t="shared" si="571"/>
        <v>#N/A</v>
      </c>
      <c r="AE1284" s="104" t="e">
        <f t="shared" si="572"/>
        <v>#N/A</v>
      </c>
      <c r="AF1284" s="104" t="e">
        <f>IF(AND(VLOOKUP($D1284,Merchantability!$B:$C,2,0)="Yes",$E1284&gt;=VLOOKUP($D1284,Merchantability!$B:$D,3,0),$E1284&lt;=VLOOKUP($D1284,Merchantability!$B:$E,4,0)),AA1284,0)</f>
        <v>#N/A</v>
      </c>
      <c r="AG1284" s="104" t="e">
        <f>IF(AND(VLOOKUP($D1284,Merchantability!$B:$C,2,0)="Yes",$E1284&gt;=VLOOKUP($D1284,Merchantability!$B:$D,3,0),$E1284&lt;=VLOOKUP($D1284,Merchantability!$B:$E,4,0)),AB1284,0)</f>
        <v>#N/A</v>
      </c>
      <c r="AH1284" s="104" t="e">
        <f>IF(AND(VLOOKUP($D1284,Merchantability!$B:$C,2,0)="Yes",$E1284&gt;=VLOOKUP($D1284,Merchantability!$B:$D,3,0),$E1284&lt;=VLOOKUP($D1284,Merchantability!$B:$E,4,0)),AC1284,0)</f>
        <v>#N/A</v>
      </c>
      <c r="AI1284" s="104" t="e">
        <f t="shared" si="573"/>
        <v>#N/A</v>
      </c>
      <c r="AJ1284" s="104" t="e">
        <f t="shared" si="574"/>
        <v>#VALUE!</v>
      </c>
      <c r="AK1284" s="104" t="e">
        <f t="shared" si="575"/>
        <v>#N/A</v>
      </c>
      <c r="AL1284" s="104" t="e">
        <f t="shared" si="576"/>
        <v>#N/A</v>
      </c>
      <c r="AM1284" s="104" t="e">
        <f t="shared" si="577"/>
        <v>#N/A</v>
      </c>
      <c r="AN1284" s="104" t="e">
        <f t="shared" si="588"/>
        <v>#N/A</v>
      </c>
      <c r="AO1284" s="104" t="e">
        <f t="shared" si="589"/>
        <v>#N/A</v>
      </c>
      <c r="AP1284" s="104" t="e">
        <f t="shared" si="590"/>
        <v>#N/A</v>
      </c>
      <c r="AQ1284" s="104" t="e">
        <f t="shared" si="591"/>
        <v>#N/A</v>
      </c>
      <c r="AR1284" s="105" t="str">
        <f t="shared" si="583"/>
        <v/>
      </c>
      <c r="AS1284" s="105" t="str">
        <f t="shared" si="584"/>
        <v/>
      </c>
      <c r="AT1284" s="108" t="str">
        <f t="shared" si="585"/>
        <v/>
      </c>
      <c r="AU1284" s="108" t="str">
        <f t="shared" si="586"/>
        <v/>
      </c>
      <c r="AV1284" s="107" t="str">
        <f>IF(ISNUMBER(O1284),IF(VLOOKUP($A1284,Stand!C:J,8,FALSE)="Short",AT1284,AU1284),"")</f>
        <v/>
      </c>
      <c r="AW1284" s="109" t="str">
        <f t="shared" si="592"/>
        <v/>
      </c>
      <c r="AX1284" s="109" t="str">
        <f t="shared" si="593"/>
        <v/>
      </c>
      <c r="AY1284" s="112" t="str">
        <f>IF(ISNUMBER(O1284),IF(AND(VLOOKUP($D1284,Merchantability!$B:$C,2,0)="Yes",$E1284&gt;=VLOOKUP($D1284,Merchantability!$B:$D,3,0),$E1284&lt;=VLOOKUP($D1284,Merchantability!$B:$E,4,0)),(AV1284*O1284)*(1-$H1284/100),""),"")</f>
        <v/>
      </c>
      <c r="AZ1284" s="116"/>
      <c r="BA1284" s="116"/>
      <c r="BB1284" s="116"/>
      <c r="BE1284" s="62"/>
      <c r="BF1284" s="63"/>
    </row>
    <row r="1285" spans="1:58" ht="12.75" customHeight="1" x14ac:dyDescent="0.25">
      <c r="A1285" s="333"/>
      <c r="B1285" s="334"/>
      <c r="C1285" s="332"/>
      <c r="D1285" s="334"/>
      <c r="E1285" s="335"/>
      <c r="F1285" s="334"/>
      <c r="G1285" s="332"/>
      <c r="H1285" s="332"/>
      <c r="I1285" s="334"/>
      <c r="J1285" s="336"/>
      <c r="K1285" s="332"/>
      <c r="L1285" s="332"/>
      <c r="M1285" s="76"/>
      <c r="N1285" s="103" t="str">
        <f>IF(A1285="","",VLOOKUP(A1285,Stand!C:K,9,0))</f>
        <v/>
      </c>
      <c r="O1285" s="104" t="str">
        <f t="shared" si="578"/>
        <v/>
      </c>
      <c r="P1285" s="105" t="str">
        <f t="shared" si="579"/>
        <v/>
      </c>
      <c r="Q1285" s="105" t="str">
        <f t="shared" si="567"/>
        <v/>
      </c>
      <c r="R1285" s="103" t="str">
        <f t="shared" si="580"/>
        <v/>
      </c>
      <c r="S1285" s="103" t="str">
        <f t="shared" si="581"/>
        <v/>
      </c>
      <c r="T1285" s="106" t="str">
        <f t="shared" si="568"/>
        <v/>
      </c>
      <c r="U1285" s="106" t="str">
        <f t="shared" si="569"/>
        <v/>
      </c>
      <c r="V1285" s="106" t="str">
        <f t="shared" si="570"/>
        <v/>
      </c>
      <c r="W1285" s="105" t="str">
        <f t="shared" si="582"/>
        <v/>
      </c>
      <c r="X1285" s="104" t="str">
        <f t="shared" si="587"/>
        <v/>
      </c>
      <c r="Y1285" s="104" t="str">
        <f t="array" ref="Y1285">IFERROR(IF(ISNUMBER(O1285),IF(COUNT(IF(A1285=$A$2:$A$2427,IF(D1285=$D$2:$D$2427,IF($X$2:$X$2427&gt;0,1))))&gt;0,SUM(IF(A1285=$A$2:$A$2427,IF(D1285=$D$2:$D$2427,$X$2:$X$2427)))/COUNT(IF(A1285=$A$2:$A$2427,IF(D1285=$D$2:$D$2427,IF(ISNUMBER($X$2:$X$2427),1)))),0),""),0)</f>
        <v/>
      </c>
      <c r="Z1285" s="104" t="str">
        <f>IF(ISNUMBER(O1285),IF(I1285&gt;0,(10^(VLOOKUP(D1285,'Species Codes'!B:C,2,0)+VLOOKUP(D1285,'Species Codes'!B:D,3,0)*LOG(E1285)+VLOOKUP(D1285,'Species Codes'!B:E,4,0)*LOG(I1285))),0),"")</f>
        <v/>
      </c>
      <c r="AA1285" s="104" t="str">
        <f>IFERROR((VLOOKUP(D1285,'Species Codes'!B:G,6,0)*Z1285)/2000,"")</f>
        <v/>
      </c>
      <c r="AB1285" s="104" t="e">
        <f>IF(Z1285&gt;0,((IF(OR(D1285="DF",D1285="RA")=TRUE,EXP(VLOOKUP(D1285,'Species Codes'!B:I,8,0)+VLOOKUP(D1285,'Species Codes'!B:J,9,0)*(LN((E1285*2.54)))),IF(OR(D1285="PY",D1285="RC",D1285="WH",D1285="NF")=TRUE,VLOOKUP(D1285,'Species Codes'!B:I,8,0)+VLOOKUP(D1285,'Species Codes'!B:J,9,0)*((E1285*2.54)^2)*(I1285*0.3048),IF(OR(D1285="MD",D1285="BM",D1285="GA")=TRUE,((VLOOKUP(D1285,'Species Codes'!B:I,8,0)*(((((E1285*2.54)+VLOOKUP(D1285,'Species Codes'!B:J,9,0))/VLOOKUP(D1285,'Species Codes'!B:K,10,0))^VLOOKUP(D1285,'Species Codes'!B:L,11,0))*((I1285*0.3048)^VLOOKUP(D1285,'Species Codes'!B:M,12,0))))-(VLOOKUP(D1285,'Species Codes'!B:I,8,0)*((((E1285*2.54)^VLOOKUP(D1285,'Species Codes'!B:L,11,0))*((I1285*0.3048)^VLOOKUP(D1285,'Species Codes'!B:M,12,0))))))*35.3*VLOOKUP(D1285,'Species Codes'!B:G,6,0)/2.2046,VLOOKUP(D1285,'Species Codes'!B:I,8,0)+VLOOKUP(D1285,'Species Codes'!B:J,9,0)*(((E1285*2.54)/100)^2)*(I1285*0.3048)))))*0.0011023),0)</f>
        <v>#N/A</v>
      </c>
      <c r="AC1285" s="104" t="e">
        <f>IF(Z1285&gt;0,((IF(OR(D1285="RA",D1285="OA",D1285="OT",D1285="UN",D1285="PC"),EXP(VLOOKUP(D1285,'Species Codes'!B:O,14,0)+VLOOKUP(D1285,'Species Codes'!B:P,15,0)*LN((E1285*2.54)))-EXP(VLOOKUP(D1285,'Species Codes'!B:O,14,0)+VLOOKUP(D1285,'Species Codes'!B:P,15,0)*LN((E1285*2.54)))*(1/(VLOOKUP(D1285,'Species Codes'!B:Q,16,0)+VLOOKUP(D1285,'Species Codes'!B:R,17,0)*((E1285*2.54)^VLOOKUP(D1285,'Species Codes'!B:S,18,0)))),IF(OR(D1285="BM",D1285="MD",D1285="OA"),EXP(VLOOKUP(D1285,'Species Codes'!B:O,14,0)+VLOOKUP(D1285,'Species Codes'!B:P,15,0)*LN((E1285*2.54)))*(1-(1/(VLOOKUP(D1285,'Species Codes'!B:Q,16,0)+VLOOKUP(D1285,'Species Codes'!B:R,17,0)*((E1285*2.54)^VLOOKUP(D1285,'Species Codes'!B:S,18,0)))))/1000,IF(D1285="DF",EXP(VLOOKUP(D1285,'Species Codes'!B:O,14,0)+VLOOKUP(D1285,'Species Codes'!B:P,15,0)*LN((E1285*2.54))),VLOOKUP(D1285,'Species Codes'!B:O,14,0)+VLOOKUP(D1285,'Species Codes'!B:P,15,0)*(((E1285*2.54)/100)^2)*(I1285*0.3048)))))*0.0011023),0)</f>
        <v>#N/A</v>
      </c>
      <c r="AD1285" s="104" t="e">
        <f t="shared" si="571"/>
        <v>#N/A</v>
      </c>
      <c r="AE1285" s="104" t="e">
        <f t="shared" si="572"/>
        <v>#N/A</v>
      </c>
      <c r="AF1285" s="104" t="e">
        <f>IF(AND(VLOOKUP($D1285,Merchantability!$B:$C,2,0)="Yes",$E1285&gt;=VLOOKUP($D1285,Merchantability!$B:$D,3,0),$E1285&lt;=VLOOKUP($D1285,Merchantability!$B:$E,4,0)),AA1285,0)</f>
        <v>#N/A</v>
      </c>
      <c r="AG1285" s="104" t="e">
        <f>IF(AND(VLOOKUP($D1285,Merchantability!$B:$C,2,0)="Yes",$E1285&gt;=VLOOKUP($D1285,Merchantability!$B:$D,3,0),$E1285&lt;=VLOOKUP($D1285,Merchantability!$B:$E,4,0)),AB1285,0)</f>
        <v>#N/A</v>
      </c>
      <c r="AH1285" s="104" t="e">
        <f>IF(AND(VLOOKUP($D1285,Merchantability!$B:$C,2,0)="Yes",$E1285&gt;=VLOOKUP($D1285,Merchantability!$B:$D,3,0),$E1285&lt;=VLOOKUP($D1285,Merchantability!$B:$E,4,0)),AC1285,0)</f>
        <v>#N/A</v>
      </c>
      <c r="AI1285" s="104" t="e">
        <f t="shared" si="573"/>
        <v>#N/A</v>
      </c>
      <c r="AJ1285" s="104" t="e">
        <f t="shared" si="574"/>
        <v>#VALUE!</v>
      </c>
      <c r="AK1285" s="104" t="e">
        <f t="shared" si="575"/>
        <v>#N/A</v>
      </c>
      <c r="AL1285" s="104" t="e">
        <f t="shared" si="576"/>
        <v>#N/A</v>
      </c>
      <c r="AM1285" s="104" t="e">
        <f t="shared" si="577"/>
        <v>#N/A</v>
      </c>
      <c r="AN1285" s="104" t="e">
        <f t="shared" si="588"/>
        <v>#N/A</v>
      </c>
      <c r="AO1285" s="104" t="e">
        <f t="shared" si="589"/>
        <v>#N/A</v>
      </c>
      <c r="AP1285" s="104" t="e">
        <f t="shared" si="590"/>
        <v>#N/A</v>
      </c>
      <c r="AQ1285" s="104" t="e">
        <f t="shared" si="591"/>
        <v>#N/A</v>
      </c>
      <c r="AR1285" s="105" t="str">
        <f t="shared" si="583"/>
        <v/>
      </c>
      <c r="AS1285" s="105" t="str">
        <f t="shared" si="584"/>
        <v/>
      </c>
      <c r="AT1285" s="108" t="str">
        <f t="shared" si="585"/>
        <v/>
      </c>
      <c r="AU1285" s="108" t="str">
        <f t="shared" si="586"/>
        <v/>
      </c>
      <c r="AV1285" s="107" t="str">
        <f>IF(ISNUMBER(O1285),IF(VLOOKUP($A1285,Stand!C:J,8,FALSE)="Short",AT1285,AU1285),"")</f>
        <v/>
      </c>
      <c r="AW1285" s="109" t="str">
        <f t="shared" si="592"/>
        <v/>
      </c>
      <c r="AX1285" s="109" t="str">
        <f t="shared" si="593"/>
        <v/>
      </c>
      <c r="AY1285" s="112" t="str">
        <f>IF(ISNUMBER(O1285),IF(AND(VLOOKUP($D1285,Merchantability!$B:$C,2,0)="Yes",$E1285&gt;=VLOOKUP($D1285,Merchantability!$B:$D,3,0),$E1285&lt;=VLOOKUP($D1285,Merchantability!$B:$E,4,0)),(AV1285*O1285)*(1-$H1285/100),""),"")</f>
        <v/>
      </c>
      <c r="AZ1285" s="116"/>
      <c r="BA1285" s="116"/>
      <c r="BB1285" s="116"/>
      <c r="BE1285" s="62"/>
      <c r="BF1285" s="63"/>
    </row>
    <row r="1286" spans="1:58" ht="12.75" customHeight="1" x14ac:dyDescent="0.25">
      <c r="A1286" s="333"/>
      <c r="B1286" s="334"/>
      <c r="C1286" s="332"/>
      <c r="D1286" s="334"/>
      <c r="E1286" s="335"/>
      <c r="F1286" s="334"/>
      <c r="G1286" s="332"/>
      <c r="H1286" s="332"/>
      <c r="I1286" s="334"/>
      <c r="J1286" s="336"/>
      <c r="K1286" s="332"/>
      <c r="L1286" s="332"/>
      <c r="M1286" s="76"/>
      <c r="N1286" s="103" t="str">
        <f>IF(A1286="","",VLOOKUP(A1286,Stand!C:K,9,0))</f>
        <v/>
      </c>
      <c r="O1286" s="104" t="str">
        <f t="shared" si="578"/>
        <v/>
      </c>
      <c r="P1286" s="105" t="str">
        <f t="shared" si="579"/>
        <v/>
      </c>
      <c r="Q1286" s="105" t="str">
        <f t="shared" si="567"/>
        <v/>
      </c>
      <c r="R1286" s="103" t="str">
        <f t="shared" si="580"/>
        <v/>
      </c>
      <c r="S1286" s="103" t="str">
        <f t="shared" si="581"/>
        <v/>
      </c>
      <c r="T1286" s="106" t="str">
        <f t="shared" si="568"/>
        <v/>
      </c>
      <c r="U1286" s="106" t="str">
        <f t="shared" si="569"/>
        <v/>
      </c>
      <c r="V1286" s="106" t="str">
        <f t="shared" si="570"/>
        <v/>
      </c>
      <c r="W1286" s="105" t="str">
        <f t="shared" si="582"/>
        <v/>
      </c>
      <c r="X1286" s="104" t="str">
        <f t="shared" si="587"/>
        <v/>
      </c>
      <c r="Y1286" s="104" t="str">
        <f t="array" ref="Y1286">IFERROR(IF(ISNUMBER(O1286),IF(COUNT(IF(A1286=$A$2:$A$2427,IF(D1286=$D$2:$D$2427,IF($X$2:$X$2427&gt;0,1))))&gt;0,SUM(IF(A1286=$A$2:$A$2427,IF(D1286=$D$2:$D$2427,$X$2:$X$2427)))/COUNT(IF(A1286=$A$2:$A$2427,IF(D1286=$D$2:$D$2427,IF(ISNUMBER($X$2:$X$2427),1)))),0),""),0)</f>
        <v/>
      </c>
      <c r="Z1286" s="104" t="str">
        <f>IF(ISNUMBER(O1286),IF(I1286&gt;0,(10^(VLOOKUP(D1286,'Species Codes'!B:C,2,0)+VLOOKUP(D1286,'Species Codes'!B:D,3,0)*LOG(E1286)+VLOOKUP(D1286,'Species Codes'!B:E,4,0)*LOG(I1286))),0),"")</f>
        <v/>
      </c>
      <c r="AA1286" s="104" t="str">
        <f>IFERROR((VLOOKUP(D1286,'Species Codes'!B:G,6,0)*Z1286)/2000,"")</f>
        <v/>
      </c>
      <c r="AB1286" s="104" t="e">
        <f>IF(Z1286&gt;0,((IF(OR(D1286="DF",D1286="RA")=TRUE,EXP(VLOOKUP(D1286,'Species Codes'!B:I,8,0)+VLOOKUP(D1286,'Species Codes'!B:J,9,0)*(LN((E1286*2.54)))),IF(OR(D1286="PY",D1286="RC",D1286="WH",D1286="NF")=TRUE,VLOOKUP(D1286,'Species Codes'!B:I,8,0)+VLOOKUP(D1286,'Species Codes'!B:J,9,0)*((E1286*2.54)^2)*(I1286*0.3048),IF(OR(D1286="MD",D1286="BM",D1286="GA")=TRUE,((VLOOKUP(D1286,'Species Codes'!B:I,8,0)*(((((E1286*2.54)+VLOOKUP(D1286,'Species Codes'!B:J,9,0))/VLOOKUP(D1286,'Species Codes'!B:K,10,0))^VLOOKUP(D1286,'Species Codes'!B:L,11,0))*((I1286*0.3048)^VLOOKUP(D1286,'Species Codes'!B:M,12,0))))-(VLOOKUP(D1286,'Species Codes'!B:I,8,0)*((((E1286*2.54)^VLOOKUP(D1286,'Species Codes'!B:L,11,0))*((I1286*0.3048)^VLOOKUP(D1286,'Species Codes'!B:M,12,0))))))*35.3*VLOOKUP(D1286,'Species Codes'!B:G,6,0)/2.2046,VLOOKUP(D1286,'Species Codes'!B:I,8,0)+VLOOKUP(D1286,'Species Codes'!B:J,9,0)*(((E1286*2.54)/100)^2)*(I1286*0.3048)))))*0.0011023),0)</f>
        <v>#N/A</v>
      </c>
      <c r="AC1286" s="104" t="e">
        <f>IF(Z1286&gt;0,((IF(OR(D1286="RA",D1286="OA",D1286="OT",D1286="UN",D1286="PC"),EXP(VLOOKUP(D1286,'Species Codes'!B:O,14,0)+VLOOKUP(D1286,'Species Codes'!B:P,15,0)*LN((E1286*2.54)))-EXP(VLOOKUP(D1286,'Species Codes'!B:O,14,0)+VLOOKUP(D1286,'Species Codes'!B:P,15,0)*LN((E1286*2.54)))*(1/(VLOOKUP(D1286,'Species Codes'!B:Q,16,0)+VLOOKUP(D1286,'Species Codes'!B:R,17,0)*((E1286*2.54)^VLOOKUP(D1286,'Species Codes'!B:S,18,0)))),IF(OR(D1286="BM",D1286="MD",D1286="OA"),EXP(VLOOKUP(D1286,'Species Codes'!B:O,14,0)+VLOOKUP(D1286,'Species Codes'!B:P,15,0)*LN((E1286*2.54)))*(1-(1/(VLOOKUP(D1286,'Species Codes'!B:Q,16,0)+VLOOKUP(D1286,'Species Codes'!B:R,17,0)*((E1286*2.54)^VLOOKUP(D1286,'Species Codes'!B:S,18,0)))))/1000,IF(D1286="DF",EXP(VLOOKUP(D1286,'Species Codes'!B:O,14,0)+VLOOKUP(D1286,'Species Codes'!B:P,15,0)*LN((E1286*2.54))),VLOOKUP(D1286,'Species Codes'!B:O,14,0)+VLOOKUP(D1286,'Species Codes'!B:P,15,0)*(((E1286*2.54)/100)^2)*(I1286*0.3048)))))*0.0011023),0)</f>
        <v>#N/A</v>
      </c>
      <c r="AD1286" s="104" t="e">
        <f t="shared" si="571"/>
        <v>#N/A</v>
      </c>
      <c r="AE1286" s="104" t="e">
        <f t="shared" si="572"/>
        <v>#N/A</v>
      </c>
      <c r="AF1286" s="104" t="e">
        <f>IF(AND(VLOOKUP($D1286,Merchantability!$B:$C,2,0)="Yes",$E1286&gt;=VLOOKUP($D1286,Merchantability!$B:$D,3,0),$E1286&lt;=VLOOKUP($D1286,Merchantability!$B:$E,4,0)),AA1286,0)</f>
        <v>#N/A</v>
      </c>
      <c r="AG1286" s="104" t="e">
        <f>IF(AND(VLOOKUP($D1286,Merchantability!$B:$C,2,0)="Yes",$E1286&gt;=VLOOKUP($D1286,Merchantability!$B:$D,3,0),$E1286&lt;=VLOOKUP($D1286,Merchantability!$B:$E,4,0)),AB1286,0)</f>
        <v>#N/A</v>
      </c>
      <c r="AH1286" s="104" t="e">
        <f>IF(AND(VLOOKUP($D1286,Merchantability!$B:$C,2,0)="Yes",$E1286&gt;=VLOOKUP($D1286,Merchantability!$B:$D,3,0),$E1286&lt;=VLOOKUP($D1286,Merchantability!$B:$E,4,0)),AC1286,0)</f>
        <v>#N/A</v>
      </c>
      <c r="AI1286" s="104" t="e">
        <f t="shared" si="573"/>
        <v>#N/A</v>
      </c>
      <c r="AJ1286" s="104" t="e">
        <f t="shared" si="574"/>
        <v>#VALUE!</v>
      </c>
      <c r="AK1286" s="104" t="e">
        <f t="shared" si="575"/>
        <v>#N/A</v>
      </c>
      <c r="AL1286" s="104" t="e">
        <f t="shared" si="576"/>
        <v>#N/A</v>
      </c>
      <c r="AM1286" s="104" t="e">
        <f t="shared" si="577"/>
        <v>#N/A</v>
      </c>
      <c r="AN1286" s="104" t="e">
        <f t="shared" si="588"/>
        <v>#N/A</v>
      </c>
      <c r="AO1286" s="104" t="e">
        <f t="shared" si="589"/>
        <v>#N/A</v>
      </c>
      <c r="AP1286" s="104" t="e">
        <f t="shared" si="590"/>
        <v>#N/A</v>
      </c>
      <c r="AQ1286" s="104" t="e">
        <f t="shared" si="591"/>
        <v>#N/A</v>
      </c>
      <c r="AR1286" s="105" t="str">
        <f t="shared" si="583"/>
        <v/>
      </c>
      <c r="AS1286" s="105" t="str">
        <f t="shared" si="584"/>
        <v/>
      </c>
      <c r="AT1286" s="108" t="str">
        <f t="shared" si="585"/>
        <v/>
      </c>
      <c r="AU1286" s="108" t="str">
        <f t="shared" si="586"/>
        <v/>
      </c>
      <c r="AV1286" s="107" t="str">
        <f>IF(ISNUMBER(O1286),IF(VLOOKUP($A1286,Stand!C:J,8,FALSE)="Short",AT1286,AU1286),"")</f>
        <v/>
      </c>
      <c r="AW1286" s="109" t="str">
        <f t="shared" si="592"/>
        <v/>
      </c>
      <c r="AX1286" s="109" t="str">
        <f t="shared" si="593"/>
        <v/>
      </c>
      <c r="AY1286" s="112" t="str">
        <f>IF(ISNUMBER(O1286),IF(AND(VLOOKUP($D1286,Merchantability!$B:$C,2,0)="Yes",$E1286&gt;=VLOOKUP($D1286,Merchantability!$B:$D,3,0),$E1286&lt;=VLOOKUP($D1286,Merchantability!$B:$E,4,0)),(AV1286*O1286)*(1-$H1286/100),""),"")</f>
        <v/>
      </c>
      <c r="AZ1286" s="116"/>
      <c r="BA1286" s="116"/>
      <c r="BB1286" s="116"/>
      <c r="BE1286" s="62"/>
      <c r="BF1286" s="63"/>
    </row>
    <row r="1287" spans="1:58" ht="12.75" customHeight="1" x14ac:dyDescent="0.25">
      <c r="A1287" s="333"/>
      <c r="B1287" s="334"/>
      <c r="C1287" s="332"/>
      <c r="D1287" s="334"/>
      <c r="E1287" s="335"/>
      <c r="F1287" s="334"/>
      <c r="G1287" s="332"/>
      <c r="H1287" s="332"/>
      <c r="I1287" s="334"/>
      <c r="J1287" s="336"/>
      <c r="K1287" s="332"/>
      <c r="L1287" s="332"/>
      <c r="M1287" s="76"/>
      <c r="N1287" s="103" t="str">
        <f>IF(A1287="","",VLOOKUP(A1287,Stand!C:K,9,0))</f>
        <v/>
      </c>
      <c r="O1287" s="104" t="str">
        <f t="shared" si="578"/>
        <v/>
      </c>
      <c r="P1287" s="105" t="str">
        <f t="shared" si="579"/>
        <v/>
      </c>
      <c r="Q1287" s="105" t="str">
        <f t="shared" si="567"/>
        <v/>
      </c>
      <c r="R1287" s="103" t="str">
        <f t="shared" si="580"/>
        <v/>
      </c>
      <c r="S1287" s="103" t="str">
        <f t="shared" si="581"/>
        <v/>
      </c>
      <c r="T1287" s="106" t="str">
        <f t="shared" si="568"/>
        <v/>
      </c>
      <c r="U1287" s="106" t="str">
        <f t="shared" si="569"/>
        <v/>
      </c>
      <c r="V1287" s="106" t="str">
        <f t="shared" si="570"/>
        <v/>
      </c>
      <c r="W1287" s="105" t="str">
        <f t="shared" si="582"/>
        <v/>
      </c>
      <c r="X1287" s="104" t="str">
        <f t="shared" si="587"/>
        <v/>
      </c>
      <c r="Y1287" s="104" t="str">
        <f t="array" ref="Y1287">IFERROR(IF(ISNUMBER(O1287),IF(COUNT(IF(A1287=$A$2:$A$2427,IF(D1287=$D$2:$D$2427,IF($X$2:$X$2427&gt;0,1))))&gt;0,SUM(IF(A1287=$A$2:$A$2427,IF(D1287=$D$2:$D$2427,$X$2:$X$2427)))/COUNT(IF(A1287=$A$2:$A$2427,IF(D1287=$D$2:$D$2427,IF(ISNUMBER($X$2:$X$2427),1)))),0),""),0)</f>
        <v/>
      </c>
      <c r="Z1287" s="104" t="str">
        <f>IF(ISNUMBER(O1287),IF(I1287&gt;0,(10^(VLOOKUP(D1287,'Species Codes'!B:C,2,0)+VLOOKUP(D1287,'Species Codes'!B:D,3,0)*LOG(E1287)+VLOOKUP(D1287,'Species Codes'!B:E,4,0)*LOG(I1287))),0),"")</f>
        <v/>
      </c>
      <c r="AA1287" s="104" t="str">
        <f>IFERROR((VLOOKUP(D1287,'Species Codes'!B:G,6,0)*Z1287)/2000,"")</f>
        <v/>
      </c>
      <c r="AB1287" s="104" t="e">
        <f>IF(Z1287&gt;0,((IF(OR(D1287="DF",D1287="RA")=TRUE,EXP(VLOOKUP(D1287,'Species Codes'!B:I,8,0)+VLOOKUP(D1287,'Species Codes'!B:J,9,0)*(LN((E1287*2.54)))),IF(OR(D1287="PY",D1287="RC",D1287="WH",D1287="NF")=TRUE,VLOOKUP(D1287,'Species Codes'!B:I,8,0)+VLOOKUP(D1287,'Species Codes'!B:J,9,0)*((E1287*2.54)^2)*(I1287*0.3048),IF(OR(D1287="MD",D1287="BM",D1287="GA")=TRUE,((VLOOKUP(D1287,'Species Codes'!B:I,8,0)*(((((E1287*2.54)+VLOOKUP(D1287,'Species Codes'!B:J,9,0))/VLOOKUP(D1287,'Species Codes'!B:K,10,0))^VLOOKUP(D1287,'Species Codes'!B:L,11,0))*((I1287*0.3048)^VLOOKUP(D1287,'Species Codes'!B:M,12,0))))-(VLOOKUP(D1287,'Species Codes'!B:I,8,0)*((((E1287*2.54)^VLOOKUP(D1287,'Species Codes'!B:L,11,0))*((I1287*0.3048)^VLOOKUP(D1287,'Species Codes'!B:M,12,0))))))*35.3*VLOOKUP(D1287,'Species Codes'!B:G,6,0)/2.2046,VLOOKUP(D1287,'Species Codes'!B:I,8,0)+VLOOKUP(D1287,'Species Codes'!B:J,9,0)*(((E1287*2.54)/100)^2)*(I1287*0.3048)))))*0.0011023),0)</f>
        <v>#N/A</v>
      </c>
      <c r="AC1287" s="104" t="e">
        <f>IF(Z1287&gt;0,((IF(OR(D1287="RA",D1287="OA",D1287="OT",D1287="UN",D1287="PC"),EXP(VLOOKUP(D1287,'Species Codes'!B:O,14,0)+VLOOKUP(D1287,'Species Codes'!B:P,15,0)*LN((E1287*2.54)))-EXP(VLOOKUP(D1287,'Species Codes'!B:O,14,0)+VLOOKUP(D1287,'Species Codes'!B:P,15,0)*LN((E1287*2.54)))*(1/(VLOOKUP(D1287,'Species Codes'!B:Q,16,0)+VLOOKUP(D1287,'Species Codes'!B:R,17,0)*((E1287*2.54)^VLOOKUP(D1287,'Species Codes'!B:S,18,0)))),IF(OR(D1287="BM",D1287="MD",D1287="OA"),EXP(VLOOKUP(D1287,'Species Codes'!B:O,14,0)+VLOOKUP(D1287,'Species Codes'!B:P,15,0)*LN((E1287*2.54)))*(1-(1/(VLOOKUP(D1287,'Species Codes'!B:Q,16,0)+VLOOKUP(D1287,'Species Codes'!B:R,17,0)*((E1287*2.54)^VLOOKUP(D1287,'Species Codes'!B:S,18,0)))))/1000,IF(D1287="DF",EXP(VLOOKUP(D1287,'Species Codes'!B:O,14,0)+VLOOKUP(D1287,'Species Codes'!B:P,15,0)*LN((E1287*2.54))),VLOOKUP(D1287,'Species Codes'!B:O,14,0)+VLOOKUP(D1287,'Species Codes'!B:P,15,0)*(((E1287*2.54)/100)^2)*(I1287*0.3048)))))*0.0011023),0)</f>
        <v>#N/A</v>
      </c>
      <c r="AD1287" s="104" t="e">
        <f t="shared" si="571"/>
        <v>#N/A</v>
      </c>
      <c r="AE1287" s="104" t="e">
        <f t="shared" si="572"/>
        <v>#N/A</v>
      </c>
      <c r="AF1287" s="104" t="e">
        <f>IF(AND(VLOOKUP($D1287,Merchantability!$B:$C,2,0)="Yes",$E1287&gt;=VLOOKUP($D1287,Merchantability!$B:$D,3,0),$E1287&lt;=VLOOKUP($D1287,Merchantability!$B:$E,4,0)),AA1287,0)</f>
        <v>#N/A</v>
      </c>
      <c r="AG1287" s="104" t="e">
        <f>IF(AND(VLOOKUP($D1287,Merchantability!$B:$C,2,0)="Yes",$E1287&gt;=VLOOKUP($D1287,Merchantability!$B:$D,3,0),$E1287&lt;=VLOOKUP($D1287,Merchantability!$B:$E,4,0)),AB1287,0)</f>
        <v>#N/A</v>
      </c>
      <c r="AH1287" s="104" t="e">
        <f>IF(AND(VLOOKUP($D1287,Merchantability!$B:$C,2,0)="Yes",$E1287&gt;=VLOOKUP($D1287,Merchantability!$B:$D,3,0),$E1287&lt;=VLOOKUP($D1287,Merchantability!$B:$E,4,0)),AC1287,0)</f>
        <v>#N/A</v>
      </c>
      <c r="AI1287" s="104" t="e">
        <f t="shared" si="573"/>
        <v>#N/A</v>
      </c>
      <c r="AJ1287" s="104" t="e">
        <f t="shared" si="574"/>
        <v>#VALUE!</v>
      </c>
      <c r="AK1287" s="104" t="e">
        <f t="shared" si="575"/>
        <v>#N/A</v>
      </c>
      <c r="AL1287" s="104" t="e">
        <f t="shared" si="576"/>
        <v>#N/A</v>
      </c>
      <c r="AM1287" s="104" t="e">
        <f t="shared" si="577"/>
        <v>#N/A</v>
      </c>
      <c r="AN1287" s="104" t="e">
        <f t="shared" si="588"/>
        <v>#N/A</v>
      </c>
      <c r="AO1287" s="104" t="e">
        <f t="shared" si="589"/>
        <v>#N/A</v>
      </c>
      <c r="AP1287" s="104" t="e">
        <f t="shared" si="590"/>
        <v>#N/A</v>
      </c>
      <c r="AQ1287" s="104" t="e">
        <f t="shared" si="591"/>
        <v>#N/A</v>
      </c>
      <c r="AR1287" s="105" t="str">
        <f t="shared" si="583"/>
        <v/>
      </c>
      <c r="AS1287" s="105" t="str">
        <f t="shared" si="584"/>
        <v/>
      </c>
      <c r="AT1287" s="108" t="str">
        <f t="shared" si="585"/>
        <v/>
      </c>
      <c r="AU1287" s="108" t="str">
        <f t="shared" si="586"/>
        <v/>
      </c>
      <c r="AV1287" s="107" t="str">
        <f>IF(ISNUMBER(O1287),IF(VLOOKUP($A1287,Stand!C:J,8,FALSE)="Short",AT1287,AU1287),"")</f>
        <v/>
      </c>
      <c r="AW1287" s="109" t="str">
        <f t="shared" si="592"/>
        <v/>
      </c>
      <c r="AX1287" s="109" t="str">
        <f t="shared" si="593"/>
        <v/>
      </c>
      <c r="AY1287" s="112" t="str">
        <f>IF(ISNUMBER(O1287),IF(AND(VLOOKUP($D1287,Merchantability!$B:$C,2,0)="Yes",$E1287&gt;=VLOOKUP($D1287,Merchantability!$B:$D,3,0),$E1287&lt;=VLOOKUP($D1287,Merchantability!$B:$E,4,0)),(AV1287*O1287)*(1-$H1287/100),""),"")</f>
        <v/>
      </c>
      <c r="AZ1287" s="116"/>
      <c r="BA1287" s="116"/>
      <c r="BB1287" s="116"/>
      <c r="BE1287" s="62"/>
      <c r="BF1287" s="63"/>
    </row>
    <row r="1288" spans="1:58" ht="12.75" customHeight="1" x14ac:dyDescent="0.25">
      <c r="A1288" s="333"/>
      <c r="B1288" s="334"/>
      <c r="C1288" s="332"/>
      <c r="D1288" s="334"/>
      <c r="E1288" s="335"/>
      <c r="F1288" s="334"/>
      <c r="G1288" s="332"/>
      <c r="H1288" s="332"/>
      <c r="I1288" s="334"/>
      <c r="J1288" s="336"/>
      <c r="K1288" s="332"/>
      <c r="L1288" s="332"/>
      <c r="M1288" s="76"/>
      <c r="N1288" s="103" t="str">
        <f>IF(A1288="","",VLOOKUP(A1288,Stand!C:K,9,0))</f>
        <v/>
      </c>
      <c r="O1288" s="104" t="str">
        <f t="shared" si="578"/>
        <v/>
      </c>
      <c r="P1288" s="105" t="str">
        <f t="shared" si="579"/>
        <v/>
      </c>
      <c r="Q1288" s="105" t="str">
        <f t="shared" si="567"/>
        <v/>
      </c>
      <c r="R1288" s="103" t="str">
        <f t="shared" si="580"/>
        <v/>
      </c>
      <c r="S1288" s="103" t="str">
        <f t="shared" si="581"/>
        <v/>
      </c>
      <c r="T1288" s="106" t="str">
        <f t="shared" si="568"/>
        <v/>
      </c>
      <c r="U1288" s="106" t="str">
        <f t="shared" si="569"/>
        <v/>
      </c>
      <c r="V1288" s="106" t="str">
        <f t="shared" si="570"/>
        <v/>
      </c>
      <c r="W1288" s="105" t="str">
        <f t="shared" si="582"/>
        <v/>
      </c>
      <c r="X1288" s="104" t="str">
        <f t="shared" si="587"/>
        <v/>
      </c>
      <c r="Y1288" s="104" t="str">
        <f t="array" ref="Y1288">IFERROR(IF(ISNUMBER(O1288),IF(COUNT(IF(A1288=$A$2:$A$2427,IF(D1288=$D$2:$D$2427,IF($X$2:$X$2427&gt;0,1))))&gt;0,SUM(IF(A1288=$A$2:$A$2427,IF(D1288=$D$2:$D$2427,$X$2:$X$2427)))/COUNT(IF(A1288=$A$2:$A$2427,IF(D1288=$D$2:$D$2427,IF(ISNUMBER($X$2:$X$2427),1)))),0),""),0)</f>
        <v/>
      </c>
      <c r="Z1288" s="104" t="str">
        <f>IF(ISNUMBER(O1288),IF(I1288&gt;0,(10^(VLOOKUP(D1288,'Species Codes'!B:C,2,0)+VLOOKUP(D1288,'Species Codes'!B:D,3,0)*LOG(E1288)+VLOOKUP(D1288,'Species Codes'!B:E,4,0)*LOG(I1288))),0),"")</f>
        <v/>
      </c>
      <c r="AA1288" s="104" t="str">
        <f>IFERROR((VLOOKUP(D1288,'Species Codes'!B:G,6,0)*Z1288)/2000,"")</f>
        <v/>
      </c>
      <c r="AB1288" s="104" t="e">
        <f>IF(Z1288&gt;0,((IF(OR(D1288="DF",D1288="RA")=TRUE,EXP(VLOOKUP(D1288,'Species Codes'!B:I,8,0)+VLOOKUP(D1288,'Species Codes'!B:J,9,0)*(LN((E1288*2.54)))),IF(OR(D1288="PY",D1288="RC",D1288="WH",D1288="NF")=TRUE,VLOOKUP(D1288,'Species Codes'!B:I,8,0)+VLOOKUP(D1288,'Species Codes'!B:J,9,0)*((E1288*2.54)^2)*(I1288*0.3048),IF(OR(D1288="MD",D1288="BM",D1288="GA")=TRUE,((VLOOKUP(D1288,'Species Codes'!B:I,8,0)*(((((E1288*2.54)+VLOOKUP(D1288,'Species Codes'!B:J,9,0))/VLOOKUP(D1288,'Species Codes'!B:K,10,0))^VLOOKUP(D1288,'Species Codes'!B:L,11,0))*((I1288*0.3048)^VLOOKUP(D1288,'Species Codes'!B:M,12,0))))-(VLOOKUP(D1288,'Species Codes'!B:I,8,0)*((((E1288*2.54)^VLOOKUP(D1288,'Species Codes'!B:L,11,0))*((I1288*0.3048)^VLOOKUP(D1288,'Species Codes'!B:M,12,0))))))*35.3*VLOOKUP(D1288,'Species Codes'!B:G,6,0)/2.2046,VLOOKUP(D1288,'Species Codes'!B:I,8,0)+VLOOKUP(D1288,'Species Codes'!B:J,9,0)*(((E1288*2.54)/100)^2)*(I1288*0.3048)))))*0.0011023),0)</f>
        <v>#N/A</v>
      </c>
      <c r="AC1288" s="104" t="e">
        <f>IF(Z1288&gt;0,((IF(OR(D1288="RA",D1288="OA",D1288="OT",D1288="UN",D1288="PC"),EXP(VLOOKUP(D1288,'Species Codes'!B:O,14,0)+VLOOKUP(D1288,'Species Codes'!B:P,15,0)*LN((E1288*2.54)))-EXP(VLOOKUP(D1288,'Species Codes'!B:O,14,0)+VLOOKUP(D1288,'Species Codes'!B:P,15,0)*LN((E1288*2.54)))*(1/(VLOOKUP(D1288,'Species Codes'!B:Q,16,0)+VLOOKUP(D1288,'Species Codes'!B:R,17,0)*((E1288*2.54)^VLOOKUP(D1288,'Species Codes'!B:S,18,0)))),IF(OR(D1288="BM",D1288="MD",D1288="OA"),EXP(VLOOKUP(D1288,'Species Codes'!B:O,14,0)+VLOOKUP(D1288,'Species Codes'!B:P,15,0)*LN((E1288*2.54)))*(1-(1/(VLOOKUP(D1288,'Species Codes'!B:Q,16,0)+VLOOKUP(D1288,'Species Codes'!B:R,17,0)*((E1288*2.54)^VLOOKUP(D1288,'Species Codes'!B:S,18,0)))))/1000,IF(D1288="DF",EXP(VLOOKUP(D1288,'Species Codes'!B:O,14,0)+VLOOKUP(D1288,'Species Codes'!B:P,15,0)*LN((E1288*2.54))),VLOOKUP(D1288,'Species Codes'!B:O,14,0)+VLOOKUP(D1288,'Species Codes'!B:P,15,0)*(((E1288*2.54)/100)^2)*(I1288*0.3048)))))*0.0011023),0)</f>
        <v>#N/A</v>
      </c>
      <c r="AD1288" s="104" t="e">
        <f t="shared" si="571"/>
        <v>#N/A</v>
      </c>
      <c r="AE1288" s="104" t="e">
        <f t="shared" si="572"/>
        <v>#N/A</v>
      </c>
      <c r="AF1288" s="104" t="e">
        <f>IF(AND(VLOOKUP($D1288,Merchantability!$B:$C,2,0)="Yes",$E1288&gt;=VLOOKUP($D1288,Merchantability!$B:$D,3,0),$E1288&lt;=VLOOKUP($D1288,Merchantability!$B:$E,4,0)),AA1288,0)</f>
        <v>#N/A</v>
      </c>
      <c r="AG1288" s="104" t="e">
        <f>IF(AND(VLOOKUP($D1288,Merchantability!$B:$C,2,0)="Yes",$E1288&gt;=VLOOKUP($D1288,Merchantability!$B:$D,3,0),$E1288&lt;=VLOOKUP($D1288,Merchantability!$B:$E,4,0)),AB1288,0)</f>
        <v>#N/A</v>
      </c>
      <c r="AH1288" s="104" t="e">
        <f>IF(AND(VLOOKUP($D1288,Merchantability!$B:$C,2,0)="Yes",$E1288&gt;=VLOOKUP($D1288,Merchantability!$B:$D,3,0),$E1288&lt;=VLOOKUP($D1288,Merchantability!$B:$E,4,0)),AC1288,0)</f>
        <v>#N/A</v>
      </c>
      <c r="AI1288" s="104" t="e">
        <f t="shared" si="573"/>
        <v>#N/A</v>
      </c>
      <c r="AJ1288" s="104" t="e">
        <f t="shared" si="574"/>
        <v>#VALUE!</v>
      </c>
      <c r="AK1288" s="104" t="e">
        <f t="shared" si="575"/>
        <v>#N/A</v>
      </c>
      <c r="AL1288" s="104" t="e">
        <f t="shared" si="576"/>
        <v>#N/A</v>
      </c>
      <c r="AM1288" s="104" t="e">
        <f t="shared" si="577"/>
        <v>#N/A</v>
      </c>
      <c r="AN1288" s="104" t="e">
        <f t="shared" si="588"/>
        <v>#N/A</v>
      </c>
      <c r="AO1288" s="104" t="e">
        <f t="shared" si="589"/>
        <v>#N/A</v>
      </c>
      <c r="AP1288" s="104" t="e">
        <f t="shared" si="590"/>
        <v>#N/A</v>
      </c>
      <c r="AQ1288" s="104" t="e">
        <f t="shared" si="591"/>
        <v>#N/A</v>
      </c>
      <c r="AR1288" s="105" t="str">
        <f t="shared" si="583"/>
        <v/>
      </c>
      <c r="AS1288" s="105" t="str">
        <f t="shared" si="584"/>
        <v/>
      </c>
      <c r="AT1288" s="108" t="str">
        <f t="shared" si="585"/>
        <v/>
      </c>
      <c r="AU1288" s="108" t="str">
        <f t="shared" si="586"/>
        <v/>
      </c>
      <c r="AV1288" s="107" t="str">
        <f>IF(ISNUMBER(O1288),IF(VLOOKUP($A1288,Stand!C:J,8,FALSE)="Short",AT1288,AU1288),"")</f>
        <v/>
      </c>
      <c r="AW1288" s="109" t="str">
        <f t="shared" si="592"/>
        <v/>
      </c>
      <c r="AX1288" s="109" t="str">
        <f t="shared" si="593"/>
        <v/>
      </c>
      <c r="AY1288" s="112" t="str">
        <f>IF(ISNUMBER(O1288),IF(AND(VLOOKUP($D1288,Merchantability!$B:$C,2,0)="Yes",$E1288&gt;=VLOOKUP($D1288,Merchantability!$B:$D,3,0),$E1288&lt;=VLOOKUP($D1288,Merchantability!$B:$E,4,0)),(AV1288*O1288)*(1-$H1288/100),""),"")</f>
        <v/>
      </c>
      <c r="AZ1288" s="116"/>
      <c r="BA1288" s="116"/>
      <c r="BB1288" s="116"/>
      <c r="BE1288" s="62"/>
      <c r="BF1288" s="63"/>
    </row>
    <row r="1289" spans="1:58" ht="12.75" customHeight="1" x14ac:dyDescent="0.25">
      <c r="A1289" s="333"/>
      <c r="B1289" s="334"/>
      <c r="C1289" s="332"/>
      <c r="D1289" s="334"/>
      <c r="E1289" s="335"/>
      <c r="F1289" s="334"/>
      <c r="G1289" s="332"/>
      <c r="H1289" s="332"/>
      <c r="I1289" s="334"/>
      <c r="J1289" s="336"/>
      <c r="K1289" s="332"/>
      <c r="L1289" s="332"/>
      <c r="M1289" s="76"/>
      <c r="N1289" s="103" t="str">
        <f>IF(A1289="","",VLOOKUP(A1289,Stand!C:K,9,0))</f>
        <v/>
      </c>
      <c r="O1289" s="104" t="str">
        <f t="shared" si="578"/>
        <v/>
      </c>
      <c r="P1289" s="105" t="str">
        <f t="shared" si="579"/>
        <v/>
      </c>
      <c r="Q1289" s="105" t="str">
        <f t="shared" si="567"/>
        <v/>
      </c>
      <c r="R1289" s="103" t="str">
        <f t="shared" si="580"/>
        <v/>
      </c>
      <c r="S1289" s="103" t="str">
        <f t="shared" si="581"/>
        <v/>
      </c>
      <c r="T1289" s="106" t="str">
        <f t="shared" si="568"/>
        <v/>
      </c>
      <c r="U1289" s="106" t="str">
        <f t="shared" si="569"/>
        <v/>
      </c>
      <c r="V1289" s="106" t="str">
        <f t="shared" si="570"/>
        <v/>
      </c>
      <c r="W1289" s="105" t="str">
        <f t="shared" si="582"/>
        <v/>
      </c>
      <c r="X1289" s="104" t="str">
        <f t="shared" si="587"/>
        <v/>
      </c>
      <c r="Y1289" s="104" t="str">
        <f t="array" ref="Y1289">IFERROR(IF(ISNUMBER(O1289),IF(COUNT(IF(A1289=$A$2:$A$2427,IF(D1289=$D$2:$D$2427,IF($X$2:$X$2427&gt;0,1))))&gt;0,SUM(IF(A1289=$A$2:$A$2427,IF(D1289=$D$2:$D$2427,$X$2:$X$2427)))/COUNT(IF(A1289=$A$2:$A$2427,IF(D1289=$D$2:$D$2427,IF(ISNUMBER($X$2:$X$2427),1)))),0),""),0)</f>
        <v/>
      </c>
      <c r="Z1289" s="104" t="str">
        <f>IF(ISNUMBER(O1289),IF(I1289&gt;0,(10^(VLOOKUP(D1289,'Species Codes'!B:C,2,0)+VLOOKUP(D1289,'Species Codes'!B:D,3,0)*LOG(E1289)+VLOOKUP(D1289,'Species Codes'!B:E,4,0)*LOG(I1289))),0),"")</f>
        <v/>
      </c>
      <c r="AA1289" s="104" t="str">
        <f>IFERROR((VLOOKUP(D1289,'Species Codes'!B:G,6,0)*Z1289)/2000,"")</f>
        <v/>
      </c>
      <c r="AB1289" s="104" t="e">
        <f>IF(Z1289&gt;0,((IF(OR(D1289="DF",D1289="RA")=TRUE,EXP(VLOOKUP(D1289,'Species Codes'!B:I,8,0)+VLOOKUP(D1289,'Species Codes'!B:J,9,0)*(LN((E1289*2.54)))),IF(OR(D1289="PY",D1289="RC",D1289="WH",D1289="NF")=TRUE,VLOOKUP(D1289,'Species Codes'!B:I,8,0)+VLOOKUP(D1289,'Species Codes'!B:J,9,0)*((E1289*2.54)^2)*(I1289*0.3048),IF(OR(D1289="MD",D1289="BM",D1289="GA")=TRUE,((VLOOKUP(D1289,'Species Codes'!B:I,8,0)*(((((E1289*2.54)+VLOOKUP(D1289,'Species Codes'!B:J,9,0))/VLOOKUP(D1289,'Species Codes'!B:K,10,0))^VLOOKUP(D1289,'Species Codes'!B:L,11,0))*((I1289*0.3048)^VLOOKUP(D1289,'Species Codes'!B:M,12,0))))-(VLOOKUP(D1289,'Species Codes'!B:I,8,0)*((((E1289*2.54)^VLOOKUP(D1289,'Species Codes'!B:L,11,0))*((I1289*0.3048)^VLOOKUP(D1289,'Species Codes'!B:M,12,0))))))*35.3*VLOOKUP(D1289,'Species Codes'!B:G,6,0)/2.2046,VLOOKUP(D1289,'Species Codes'!B:I,8,0)+VLOOKUP(D1289,'Species Codes'!B:J,9,0)*(((E1289*2.54)/100)^2)*(I1289*0.3048)))))*0.0011023),0)</f>
        <v>#N/A</v>
      </c>
      <c r="AC1289" s="104" t="e">
        <f>IF(Z1289&gt;0,((IF(OR(D1289="RA",D1289="OA",D1289="OT",D1289="UN",D1289="PC"),EXP(VLOOKUP(D1289,'Species Codes'!B:O,14,0)+VLOOKUP(D1289,'Species Codes'!B:P,15,0)*LN((E1289*2.54)))-EXP(VLOOKUP(D1289,'Species Codes'!B:O,14,0)+VLOOKUP(D1289,'Species Codes'!B:P,15,0)*LN((E1289*2.54)))*(1/(VLOOKUP(D1289,'Species Codes'!B:Q,16,0)+VLOOKUP(D1289,'Species Codes'!B:R,17,0)*((E1289*2.54)^VLOOKUP(D1289,'Species Codes'!B:S,18,0)))),IF(OR(D1289="BM",D1289="MD",D1289="OA"),EXP(VLOOKUP(D1289,'Species Codes'!B:O,14,0)+VLOOKUP(D1289,'Species Codes'!B:P,15,0)*LN((E1289*2.54)))*(1-(1/(VLOOKUP(D1289,'Species Codes'!B:Q,16,0)+VLOOKUP(D1289,'Species Codes'!B:R,17,0)*((E1289*2.54)^VLOOKUP(D1289,'Species Codes'!B:S,18,0)))))/1000,IF(D1289="DF",EXP(VLOOKUP(D1289,'Species Codes'!B:O,14,0)+VLOOKUP(D1289,'Species Codes'!B:P,15,0)*LN((E1289*2.54))),VLOOKUP(D1289,'Species Codes'!B:O,14,0)+VLOOKUP(D1289,'Species Codes'!B:P,15,0)*(((E1289*2.54)/100)^2)*(I1289*0.3048)))))*0.0011023),0)</f>
        <v>#N/A</v>
      </c>
      <c r="AD1289" s="104" t="e">
        <f t="shared" si="571"/>
        <v>#N/A</v>
      </c>
      <c r="AE1289" s="104" t="e">
        <f t="shared" si="572"/>
        <v>#N/A</v>
      </c>
      <c r="AF1289" s="104" t="e">
        <f>IF(AND(VLOOKUP($D1289,Merchantability!$B:$C,2,0)="Yes",$E1289&gt;=VLOOKUP($D1289,Merchantability!$B:$D,3,0),$E1289&lt;=VLOOKUP($D1289,Merchantability!$B:$E,4,0)),AA1289,0)</f>
        <v>#N/A</v>
      </c>
      <c r="AG1289" s="104" t="e">
        <f>IF(AND(VLOOKUP($D1289,Merchantability!$B:$C,2,0)="Yes",$E1289&gt;=VLOOKUP($D1289,Merchantability!$B:$D,3,0),$E1289&lt;=VLOOKUP($D1289,Merchantability!$B:$E,4,0)),AB1289,0)</f>
        <v>#N/A</v>
      </c>
      <c r="AH1289" s="104" t="e">
        <f>IF(AND(VLOOKUP($D1289,Merchantability!$B:$C,2,0)="Yes",$E1289&gt;=VLOOKUP($D1289,Merchantability!$B:$D,3,0),$E1289&lt;=VLOOKUP($D1289,Merchantability!$B:$E,4,0)),AC1289,0)</f>
        <v>#N/A</v>
      </c>
      <c r="AI1289" s="104" t="e">
        <f t="shared" si="573"/>
        <v>#N/A</v>
      </c>
      <c r="AJ1289" s="104" t="e">
        <f t="shared" si="574"/>
        <v>#VALUE!</v>
      </c>
      <c r="AK1289" s="104" t="e">
        <f t="shared" si="575"/>
        <v>#N/A</v>
      </c>
      <c r="AL1289" s="104" t="e">
        <f t="shared" si="576"/>
        <v>#N/A</v>
      </c>
      <c r="AM1289" s="104" t="e">
        <f t="shared" si="577"/>
        <v>#N/A</v>
      </c>
      <c r="AN1289" s="104" t="e">
        <f t="shared" si="588"/>
        <v>#N/A</v>
      </c>
      <c r="AO1289" s="104" t="e">
        <f t="shared" si="589"/>
        <v>#N/A</v>
      </c>
      <c r="AP1289" s="104" t="e">
        <f t="shared" si="590"/>
        <v>#N/A</v>
      </c>
      <c r="AQ1289" s="104" t="e">
        <f t="shared" si="591"/>
        <v>#N/A</v>
      </c>
      <c r="AR1289" s="105" t="str">
        <f t="shared" si="583"/>
        <v/>
      </c>
      <c r="AS1289" s="105" t="str">
        <f t="shared" si="584"/>
        <v/>
      </c>
      <c r="AT1289" s="108" t="str">
        <f t="shared" si="585"/>
        <v/>
      </c>
      <c r="AU1289" s="108" t="str">
        <f t="shared" si="586"/>
        <v/>
      </c>
      <c r="AV1289" s="107" t="str">
        <f>IF(ISNUMBER(O1289),IF(VLOOKUP($A1289,Stand!C:J,8,FALSE)="Short",AT1289,AU1289),"")</f>
        <v/>
      </c>
      <c r="AW1289" s="109" t="str">
        <f t="shared" si="592"/>
        <v/>
      </c>
      <c r="AX1289" s="109" t="str">
        <f t="shared" si="593"/>
        <v/>
      </c>
      <c r="AY1289" s="112" t="str">
        <f>IF(ISNUMBER(O1289),IF(AND(VLOOKUP($D1289,Merchantability!$B:$C,2,0)="Yes",$E1289&gt;=VLOOKUP($D1289,Merchantability!$B:$D,3,0),$E1289&lt;=VLOOKUP($D1289,Merchantability!$B:$E,4,0)),(AV1289*O1289)*(1-$H1289/100),""),"")</f>
        <v/>
      </c>
      <c r="AZ1289" s="116"/>
      <c r="BA1289" s="116"/>
      <c r="BB1289" s="116"/>
      <c r="BE1289" s="62"/>
      <c r="BF1289" s="63"/>
    </row>
    <row r="1290" spans="1:58" ht="12.75" customHeight="1" x14ac:dyDescent="0.25">
      <c r="A1290" s="333"/>
      <c r="B1290" s="334"/>
      <c r="C1290" s="332"/>
      <c r="D1290" s="334"/>
      <c r="E1290" s="335"/>
      <c r="F1290" s="334"/>
      <c r="G1290" s="332"/>
      <c r="H1290" s="332"/>
      <c r="I1290" s="334"/>
      <c r="J1290" s="336"/>
      <c r="K1290" s="332"/>
      <c r="L1290" s="332"/>
      <c r="M1290" s="76"/>
      <c r="N1290" s="103" t="str">
        <f>IF(A1290="","",VLOOKUP(A1290,Stand!C:K,9,0))</f>
        <v/>
      </c>
      <c r="O1290" s="104" t="str">
        <f t="shared" si="578"/>
        <v/>
      </c>
      <c r="P1290" s="105" t="str">
        <f t="shared" si="579"/>
        <v/>
      </c>
      <c r="Q1290" s="105" t="str">
        <f t="shared" si="567"/>
        <v/>
      </c>
      <c r="R1290" s="103" t="str">
        <f t="shared" si="580"/>
        <v/>
      </c>
      <c r="S1290" s="103" t="str">
        <f t="shared" si="581"/>
        <v/>
      </c>
      <c r="T1290" s="106" t="str">
        <f t="shared" si="568"/>
        <v/>
      </c>
      <c r="U1290" s="106" t="str">
        <f t="shared" si="569"/>
        <v/>
      </c>
      <c r="V1290" s="106" t="str">
        <f t="shared" si="570"/>
        <v/>
      </c>
      <c r="W1290" s="105" t="str">
        <f t="shared" si="582"/>
        <v/>
      </c>
      <c r="X1290" s="104" t="str">
        <f t="shared" si="587"/>
        <v/>
      </c>
      <c r="Y1290" s="104" t="str">
        <f t="array" ref="Y1290">IFERROR(IF(ISNUMBER(O1290),IF(COUNT(IF(A1290=$A$2:$A$2427,IF(D1290=$D$2:$D$2427,IF($X$2:$X$2427&gt;0,1))))&gt;0,SUM(IF(A1290=$A$2:$A$2427,IF(D1290=$D$2:$D$2427,$X$2:$X$2427)))/COUNT(IF(A1290=$A$2:$A$2427,IF(D1290=$D$2:$D$2427,IF(ISNUMBER($X$2:$X$2427),1)))),0),""),0)</f>
        <v/>
      </c>
      <c r="Z1290" s="104" t="str">
        <f>IF(ISNUMBER(O1290),IF(I1290&gt;0,(10^(VLOOKUP(D1290,'Species Codes'!B:C,2,0)+VLOOKUP(D1290,'Species Codes'!B:D,3,0)*LOG(E1290)+VLOOKUP(D1290,'Species Codes'!B:E,4,0)*LOG(I1290))),0),"")</f>
        <v/>
      </c>
      <c r="AA1290" s="104" t="str">
        <f>IFERROR((VLOOKUP(D1290,'Species Codes'!B:G,6,0)*Z1290)/2000,"")</f>
        <v/>
      </c>
      <c r="AB1290" s="104" t="e">
        <f>IF(Z1290&gt;0,((IF(OR(D1290="DF",D1290="RA")=TRUE,EXP(VLOOKUP(D1290,'Species Codes'!B:I,8,0)+VLOOKUP(D1290,'Species Codes'!B:J,9,0)*(LN((E1290*2.54)))),IF(OR(D1290="PY",D1290="RC",D1290="WH",D1290="NF")=TRUE,VLOOKUP(D1290,'Species Codes'!B:I,8,0)+VLOOKUP(D1290,'Species Codes'!B:J,9,0)*((E1290*2.54)^2)*(I1290*0.3048),IF(OR(D1290="MD",D1290="BM",D1290="GA")=TRUE,((VLOOKUP(D1290,'Species Codes'!B:I,8,0)*(((((E1290*2.54)+VLOOKUP(D1290,'Species Codes'!B:J,9,0))/VLOOKUP(D1290,'Species Codes'!B:K,10,0))^VLOOKUP(D1290,'Species Codes'!B:L,11,0))*((I1290*0.3048)^VLOOKUP(D1290,'Species Codes'!B:M,12,0))))-(VLOOKUP(D1290,'Species Codes'!B:I,8,0)*((((E1290*2.54)^VLOOKUP(D1290,'Species Codes'!B:L,11,0))*((I1290*0.3048)^VLOOKUP(D1290,'Species Codes'!B:M,12,0))))))*35.3*VLOOKUP(D1290,'Species Codes'!B:G,6,0)/2.2046,VLOOKUP(D1290,'Species Codes'!B:I,8,0)+VLOOKUP(D1290,'Species Codes'!B:J,9,0)*(((E1290*2.54)/100)^2)*(I1290*0.3048)))))*0.0011023),0)</f>
        <v>#N/A</v>
      </c>
      <c r="AC1290" s="104" t="e">
        <f>IF(Z1290&gt;0,((IF(OR(D1290="RA",D1290="OA",D1290="OT",D1290="UN",D1290="PC"),EXP(VLOOKUP(D1290,'Species Codes'!B:O,14,0)+VLOOKUP(D1290,'Species Codes'!B:P,15,0)*LN((E1290*2.54)))-EXP(VLOOKUP(D1290,'Species Codes'!B:O,14,0)+VLOOKUP(D1290,'Species Codes'!B:P,15,0)*LN((E1290*2.54)))*(1/(VLOOKUP(D1290,'Species Codes'!B:Q,16,0)+VLOOKUP(D1290,'Species Codes'!B:R,17,0)*((E1290*2.54)^VLOOKUP(D1290,'Species Codes'!B:S,18,0)))),IF(OR(D1290="BM",D1290="MD",D1290="OA"),EXP(VLOOKUP(D1290,'Species Codes'!B:O,14,0)+VLOOKUP(D1290,'Species Codes'!B:P,15,0)*LN((E1290*2.54)))*(1-(1/(VLOOKUP(D1290,'Species Codes'!B:Q,16,0)+VLOOKUP(D1290,'Species Codes'!B:R,17,0)*((E1290*2.54)^VLOOKUP(D1290,'Species Codes'!B:S,18,0)))))/1000,IF(D1290="DF",EXP(VLOOKUP(D1290,'Species Codes'!B:O,14,0)+VLOOKUP(D1290,'Species Codes'!B:P,15,0)*LN((E1290*2.54))),VLOOKUP(D1290,'Species Codes'!B:O,14,0)+VLOOKUP(D1290,'Species Codes'!B:P,15,0)*(((E1290*2.54)/100)^2)*(I1290*0.3048)))))*0.0011023),0)</f>
        <v>#N/A</v>
      </c>
      <c r="AD1290" s="104" t="e">
        <f t="shared" si="571"/>
        <v>#N/A</v>
      </c>
      <c r="AE1290" s="104" t="e">
        <f t="shared" si="572"/>
        <v>#N/A</v>
      </c>
      <c r="AF1290" s="104" t="e">
        <f>IF(AND(VLOOKUP($D1290,Merchantability!$B:$C,2,0)="Yes",$E1290&gt;=VLOOKUP($D1290,Merchantability!$B:$D,3,0),$E1290&lt;=VLOOKUP($D1290,Merchantability!$B:$E,4,0)),AA1290,0)</f>
        <v>#N/A</v>
      </c>
      <c r="AG1290" s="104" t="e">
        <f>IF(AND(VLOOKUP($D1290,Merchantability!$B:$C,2,0)="Yes",$E1290&gt;=VLOOKUP($D1290,Merchantability!$B:$D,3,0),$E1290&lt;=VLOOKUP($D1290,Merchantability!$B:$E,4,0)),AB1290,0)</f>
        <v>#N/A</v>
      </c>
      <c r="AH1290" s="104" t="e">
        <f>IF(AND(VLOOKUP($D1290,Merchantability!$B:$C,2,0)="Yes",$E1290&gt;=VLOOKUP($D1290,Merchantability!$B:$D,3,0),$E1290&lt;=VLOOKUP($D1290,Merchantability!$B:$E,4,0)),AC1290,0)</f>
        <v>#N/A</v>
      </c>
      <c r="AI1290" s="104" t="e">
        <f t="shared" si="573"/>
        <v>#N/A</v>
      </c>
      <c r="AJ1290" s="104" t="e">
        <f t="shared" si="574"/>
        <v>#VALUE!</v>
      </c>
      <c r="AK1290" s="104" t="e">
        <f t="shared" si="575"/>
        <v>#N/A</v>
      </c>
      <c r="AL1290" s="104" t="e">
        <f t="shared" si="576"/>
        <v>#N/A</v>
      </c>
      <c r="AM1290" s="104" t="e">
        <f t="shared" si="577"/>
        <v>#N/A</v>
      </c>
      <c r="AN1290" s="104" t="e">
        <f t="shared" si="588"/>
        <v>#N/A</v>
      </c>
      <c r="AO1290" s="104" t="e">
        <f t="shared" si="589"/>
        <v>#N/A</v>
      </c>
      <c r="AP1290" s="104" t="e">
        <f t="shared" si="590"/>
        <v>#N/A</v>
      </c>
      <c r="AQ1290" s="104" t="e">
        <f t="shared" si="591"/>
        <v>#N/A</v>
      </c>
      <c r="AR1290" s="105" t="str">
        <f t="shared" si="583"/>
        <v/>
      </c>
      <c r="AS1290" s="105" t="str">
        <f t="shared" si="584"/>
        <v/>
      </c>
      <c r="AT1290" s="108" t="str">
        <f t="shared" si="585"/>
        <v/>
      </c>
      <c r="AU1290" s="108" t="str">
        <f t="shared" si="586"/>
        <v/>
      </c>
      <c r="AV1290" s="107" t="str">
        <f>IF(ISNUMBER(O1290),IF(VLOOKUP($A1290,Stand!C:J,8,FALSE)="Short",AT1290,AU1290),"")</f>
        <v/>
      </c>
      <c r="AW1290" s="109" t="str">
        <f t="shared" si="592"/>
        <v/>
      </c>
      <c r="AX1290" s="109" t="str">
        <f t="shared" si="593"/>
        <v/>
      </c>
      <c r="AY1290" s="112" t="str">
        <f>IF(ISNUMBER(O1290),IF(AND(VLOOKUP($D1290,Merchantability!$B:$C,2,0)="Yes",$E1290&gt;=VLOOKUP($D1290,Merchantability!$B:$D,3,0),$E1290&lt;=VLOOKUP($D1290,Merchantability!$B:$E,4,0)),(AV1290*O1290)*(1-$H1290/100),""),"")</f>
        <v/>
      </c>
      <c r="AZ1290" s="116"/>
      <c r="BA1290" s="116"/>
      <c r="BB1290" s="116"/>
      <c r="BE1290" s="62"/>
      <c r="BF1290" s="63"/>
    </row>
    <row r="1291" spans="1:58" ht="12.75" customHeight="1" x14ac:dyDescent="0.25">
      <c r="A1291" s="333"/>
      <c r="B1291" s="334"/>
      <c r="C1291" s="332"/>
      <c r="D1291" s="334"/>
      <c r="E1291" s="335"/>
      <c r="F1291" s="334"/>
      <c r="G1291" s="332"/>
      <c r="H1291" s="332"/>
      <c r="I1291" s="334"/>
      <c r="J1291" s="336"/>
      <c r="K1291" s="332"/>
      <c r="L1291" s="332"/>
      <c r="M1291" s="76"/>
      <c r="N1291" s="103" t="str">
        <f>IF(A1291="","",VLOOKUP(A1291,Stand!C:K,9,0))</f>
        <v/>
      </c>
      <c r="O1291" s="104" t="str">
        <f t="shared" si="578"/>
        <v/>
      </c>
      <c r="P1291" s="105" t="str">
        <f t="shared" si="579"/>
        <v/>
      </c>
      <c r="Q1291" s="105" t="str">
        <f t="shared" si="567"/>
        <v/>
      </c>
      <c r="R1291" s="103" t="str">
        <f t="shared" si="580"/>
        <v/>
      </c>
      <c r="S1291" s="103" t="str">
        <f t="shared" si="581"/>
        <v/>
      </c>
      <c r="T1291" s="106" t="str">
        <f t="shared" si="568"/>
        <v/>
      </c>
      <c r="U1291" s="106" t="str">
        <f t="shared" si="569"/>
        <v/>
      </c>
      <c r="V1291" s="106" t="str">
        <f t="shared" si="570"/>
        <v/>
      </c>
      <c r="W1291" s="105" t="str">
        <f t="shared" si="582"/>
        <v/>
      </c>
      <c r="X1291" s="104" t="str">
        <f t="shared" si="587"/>
        <v/>
      </c>
      <c r="Y1291" s="104" t="str">
        <f t="array" ref="Y1291">IFERROR(IF(ISNUMBER(O1291),IF(COUNT(IF(A1291=$A$2:$A$2427,IF(D1291=$D$2:$D$2427,IF($X$2:$X$2427&gt;0,1))))&gt;0,SUM(IF(A1291=$A$2:$A$2427,IF(D1291=$D$2:$D$2427,$X$2:$X$2427)))/COUNT(IF(A1291=$A$2:$A$2427,IF(D1291=$D$2:$D$2427,IF(ISNUMBER($X$2:$X$2427),1)))),0),""),0)</f>
        <v/>
      </c>
      <c r="Z1291" s="104" t="str">
        <f>IF(ISNUMBER(O1291),IF(I1291&gt;0,(10^(VLOOKUP(D1291,'Species Codes'!B:C,2,0)+VLOOKUP(D1291,'Species Codes'!B:D,3,0)*LOG(E1291)+VLOOKUP(D1291,'Species Codes'!B:E,4,0)*LOG(I1291))),0),"")</f>
        <v/>
      </c>
      <c r="AA1291" s="104" t="str">
        <f>IFERROR((VLOOKUP(D1291,'Species Codes'!B:G,6,0)*Z1291)/2000,"")</f>
        <v/>
      </c>
      <c r="AB1291" s="104" t="e">
        <f>IF(Z1291&gt;0,((IF(OR(D1291="DF",D1291="RA")=TRUE,EXP(VLOOKUP(D1291,'Species Codes'!B:I,8,0)+VLOOKUP(D1291,'Species Codes'!B:J,9,0)*(LN((E1291*2.54)))),IF(OR(D1291="PY",D1291="RC",D1291="WH",D1291="NF")=TRUE,VLOOKUP(D1291,'Species Codes'!B:I,8,0)+VLOOKUP(D1291,'Species Codes'!B:J,9,0)*((E1291*2.54)^2)*(I1291*0.3048),IF(OR(D1291="MD",D1291="BM",D1291="GA")=TRUE,((VLOOKUP(D1291,'Species Codes'!B:I,8,0)*(((((E1291*2.54)+VLOOKUP(D1291,'Species Codes'!B:J,9,0))/VLOOKUP(D1291,'Species Codes'!B:K,10,0))^VLOOKUP(D1291,'Species Codes'!B:L,11,0))*((I1291*0.3048)^VLOOKUP(D1291,'Species Codes'!B:M,12,0))))-(VLOOKUP(D1291,'Species Codes'!B:I,8,0)*((((E1291*2.54)^VLOOKUP(D1291,'Species Codes'!B:L,11,0))*((I1291*0.3048)^VLOOKUP(D1291,'Species Codes'!B:M,12,0))))))*35.3*VLOOKUP(D1291,'Species Codes'!B:G,6,0)/2.2046,VLOOKUP(D1291,'Species Codes'!B:I,8,0)+VLOOKUP(D1291,'Species Codes'!B:J,9,0)*(((E1291*2.54)/100)^2)*(I1291*0.3048)))))*0.0011023),0)</f>
        <v>#N/A</v>
      </c>
      <c r="AC1291" s="104" t="e">
        <f>IF(Z1291&gt;0,((IF(OR(D1291="RA",D1291="OA",D1291="OT",D1291="UN",D1291="PC"),EXP(VLOOKUP(D1291,'Species Codes'!B:O,14,0)+VLOOKUP(D1291,'Species Codes'!B:P,15,0)*LN((E1291*2.54)))-EXP(VLOOKUP(D1291,'Species Codes'!B:O,14,0)+VLOOKUP(D1291,'Species Codes'!B:P,15,0)*LN((E1291*2.54)))*(1/(VLOOKUP(D1291,'Species Codes'!B:Q,16,0)+VLOOKUP(D1291,'Species Codes'!B:R,17,0)*((E1291*2.54)^VLOOKUP(D1291,'Species Codes'!B:S,18,0)))),IF(OR(D1291="BM",D1291="MD",D1291="OA"),EXP(VLOOKUP(D1291,'Species Codes'!B:O,14,0)+VLOOKUP(D1291,'Species Codes'!B:P,15,0)*LN((E1291*2.54)))*(1-(1/(VLOOKUP(D1291,'Species Codes'!B:Q,16,0)+VLOOKUP(D1291,'Species Codes'!B:R,17,0)*((E1291*2.54)^VLOOKUP(D1291,'Species Codes'!B:S,18,0)))))/1000,IF(D1291="DF",EXP(VLOOKUP(D1291,'Species Codes'!B:O,14,0)+VLOOKUP(D1291,'Species Codes'!B:P,15,0)*LN((E1291*2.54))),VLOOKUP(D1291,'Species Codes'!B:O,14,0)+VLOOKUP(D1291,'Species Codes'!B:P,15,0)*(((E1291*2.54)/100)^2)*(I1291*0.3048)))))*0.0011023),0)</f>
        <v>#N/A</v>
      </c>
      <c r="AD1291" s="104" t="e">
        <f t="shared" si="571"/>
        <v>#N/A</v>
      </c>
      <c r="AE1291" s="104" t="e">
        <f t="shared" si="572"/>
        <v>#N/A</v>
      </c>
      <c r="AF1291" s="104" t="e">
        <f>IF(AND(VLOOKUP($D1291,Merchantability!$B:$C,2,0)="Yes",$E1291&gt;=VLOOKUP($D1291,Merchantability!$B:$D,3,0),$E1291&lt;=VLOOKUP($D1291,Merchantability!$B:$E,4,0)),AA1291,0)</f>
        <v>#N/A</v>
      </c>
      <c r="AG1291" s="104" t="e">
        <f>IF(AND(VLOOKUP($D1291,Merchantability!$B:$C,2,0)="Yes",$E1291&gt;=VLOOKUP($D1291,Merchantability!$B:$D,3,0),$E1291&lt;=VLOOKUP($D1291,Merchantability!$B:$E,4,0)),AB1291,0)</f>
        <v>#N/A</v>
      </c>
      <c r="AH1291" s="104" t="e">
        <f>IF(AND(VLOOKUP($D1291,Merchantability!$B:$C,2,0)="Yes",$E1291&gt;=VLOOKUP($D1291,Merchantability!$B:$D,3,0),$E1291&lt;=VLOOKUP($D1291,Merchantability!$B:$E,4,0)),AC1291,0)</f>
        <v>#N/A</v>
      </c>
      <c r="AI1291" s="104" t="e">
        <f t="shared" si="573"/>
        <v>#N/A</v>
      </c>
      <c r="AJ1291" s="104" t="e">
        <f t="shared" si="574"/>
        <v>#VALUE!</v>
      </c>
      <c r="AK1291" s="104" t="e">
        <f t="shared" si="575"/>
        <v>#N/A</v>
      </c>
      <c r="AL1291" s="104" t="e">
        <f t="shared" si="576"/>
        <v>#N/A</v>
      </c>
      <c r="AM1291" s="104" t="e">
        <f t="shared" si="577"/>
        <v>#N/A</v>
      </c>
      <c r="AN1291" s="104" t="e">
        <f t="shared" si="588"/>
        <v>#N/A</v>
      </c>
      <c r="AO1291" s="104" t="e">
        <f t="shared" si="589"/>
        <v>#N/A</v>
      </c>
      <c r="AP1291" s="104" t="e">
        <f t="shared" si="590"/>
        <v>#N/A</v>
      </c>
      <c r="AQ1291" s="104" t="e">
        <f t="shared" si="591"/>
        <v>#N/A</v>
      </c>
      <c r="AR1291" s="105" t="str">
        <f t="shared" si="583"/>
        <v/>
      </c>
      <c r="AS1291" s="105" t="str">
        <f t="shared" si="584"/>
        <v/>
      </c>
      <c r="AT1291" s="108" t="str">
        <f t="shared" si="585"/>
        <v/>
      </c>
      <c r="AU1291" s="108" t="str">
        <f t="shared" si="586"/>
        <v/>
      </c>
      <c r="AV1291" s="107" t="str">
        <f>IF(ISNUMBER(O1291),IF(VLOOKUP($A1291,Stand!C:J,8,FALSE)="Short",AT1291,AU1291),"")</f>
        <v/>
      </c>
      <c r="AW1291" s="109" t="str">
        <f t="shared" si="592"/>
        <v/>
      </c>
      <c r="AX1291" s="109" t="str">
        <f t="shared" si="593"/>
        <v/>
      </c>
      <c r="AY1291" s="112" t="str">
        <f>IF(ISNUMBER(O1291),IF(AND(VLOOKUP($D1291,Merchantability!$B:$C,2,0)="Yes",$E1291&gt;=VLOOKUP($D1291,Merchantability!$B:$D,3,0),$E1291&lt;=VLOOKUP($D1291,Merchantability!$B:$E,4,0)),(AV1291*O1291)*(1-$H1291/100),""),"")</f>
        <v/>
      </c>
      <c r="AZ1291" s="116"/>
      <c r="BA1291" s="116"/>
      <c r="BB1291" s="116"/>
      <c r="BE1291" s="62"/>
      <c r="BF1291" s="63"/>
    </row>
    <row r="1292" spans="1:58" ht="12.75" customHeight="1" x14ac:dyDescent="0.25">
      <c r="A1292" s="333"/>
      <c r="B1292" s="334"/>
      <c r="C1292" s="332"/>
      <c r="D1292" s="334"/>
      <c r="E1292" s="335"/>
      <c r="F1292" s="334"/>
      <c r="G1292" s="332"/>
      <c r="H1292" s="332"/>
      <c r="I1292" s="334"/>
      <c r="J1292" s="336"/>
      <c r="K1292" s="332"/>
      <c r="L1292" s="332"/>
      <c r="M1292" s="76"/>
      <c r="N1292" s="103" t="str">
        <f>IF(A1292="","",VLOOKUP(A1292,Stand!C:K,9,0))</f>
        <v/>
      </c>
      <c r="O1292" s="104" t="str">
        <f t="shared" si="578"/>
        <v/>
      </c>
      <c r="P1292" s="105" t="str">
        <f t="shared" si="579"/>
        <v/>
      </c>
      <c r="Q1292" s="105" t="str">
        <f t="shared" si="567"/>
        <v/>
      </c>
      <c r="R1292" s="103" t="str">
        <f t="shared" si="580"/>
        <v/>
      </c>
      <c r="S1292" s="103" t="str">
        <f t="shared" si="581"/>
        <v/>
      </c>
      <c r="T1292" s="106" t="str">
        <f t="shared" si="568"/>
        <v/>
      </c>
      <c r="U1292" s="106" t="str">
        <f t="shared" si="569"/>
        <v/>
      </c>
      <c r="V1292" s="106" t="str">
        <f t="shared" si="570"/>
        <v/>
      </c>
      <c r="W1292" s="105" t="str">
        <f t="shared" si="582"/>
        <v/>
      </c>
      <c r="X1292" s="104" t="str">
        <f t="shared" si="587"/>
        <v/>
      </c>
      <c r="Y1292" s="104" t="str">
        <f t="array" ref="Y1292">IFERROR(IF(ISNUMBER(O1292),IF(COUNT(IF(A1292=$A$2:$A$2427,IF(D1292=$D$2:$D$2427,IF($X$2:$X$2427&gt;0,1))))&gt;0,SUM(IF(A1292=$A$2:$A$2427,IF(D1292=$D$2:$D$2427,$X$2:$X$2427)))/COUNT(IF(A1292=$A$2:$A$2427,IF(D1292=$D$2:$D$2427,IF(ISNUMBER($X$2:$X$2427),1)))),0),""),0)</f>
        <v/>
      </c>
      <c r="Z1292" s="104" t="str">
        <f>IF(ISNUMBER(O1292),IF(I1292&gt;0,(10^(VLOOKUP(D1292,'Species Codes'!B:C,2,0)+VLOOKUP(D1292,'Species Codes'!B:D,3,0)*LOG(E1292)+VLOOKUP(D1292,'Species Codes'!B:E,4,0)*LOG(I1292))),0),"")</f>
        <v/>
      </c>
      <c r="AA1292" s="104" t="str">
        <f>IFERROR((VLOOKUP(D1292,'Species Codes'!B:G,6,0)*Z1292)/2000,"")</f>
        <v/>
      </c>
      <c r="AB1292" s="104" t="e">
        <f>IF(Z1292&gt;0,((IF(OR(D1292="DF",D1292="RA")=TRUE,EXP(VLOOKUP(D1292,'Species Codes'!B:I,8,0)+VLOOKUP(D1292,'Species Codes'!B:J,9,0)*(LN((E1292*2.54)))),IF(OR(D1292="PY",D1292="RC",D1292="WH",D1292="NF")=TRUE,VLOOKUP(D1292,'Species Codes'!B:I,8,0)+VLOOKUP(D1292,'Species Codes'!B:J,9,0)*((E1292*2.54)^2)*(I1292*0.3048),IF(OR(D1292="MD",D1292="BM",D1292="GA")=TRUE,((VLOOKUP(D1292,'Species Codes'!B:I,8,0)*(((((E1292*2.54)+VLOOKUP(D1292,'Species Codes'!B:J,9,0))/VLOOKUP(D1292,'Species Codes'!B:K,10,0))^VLOOKUP(D1292,'Species Codes'!B:L,11,0))*((I1292*0.3048)^VLOOKUP(D1292,'Species Codes'!B:M,12,0))))-(VLOOKUP(D1292,'Species Codes'!B:I,8,0)*((((E1292*2.54)^VLOOKUP(D1292,'Species Codes'!B:L,11,0))*((I1292*0.3048)^VLOOKUP(D1292,'Species Codes'!B:M,12,0))))))*35.3*VLOOKUP(D1292,'Species Codes'!B:G,6,0)/2.2046,VLOOKUP(D1292,'Species Codes'!B:I,8,0)+VLOOKUP(D1292,'Species Codes'!B:J,9,0)*(((E1292*2.54)/100)^2)*(I1292*0.3048)))))*0.0011023),0)</f>
        <v>#N/A</v>
      </c>
      <c r="AC1292" s="104" t="e">
        <f>IF(Z1292&gt;0,((IF(OR(D1292="RA",D1292="OA",D1292="OT",D1292="UN",D1292="PC"),EXP(VLOOKUP(D1292,'Species Codes'!B:O,14,0)+VLOOKUP(D1292,'Species Codes'!B:P,15,0)*LN((E1292*2.54)))-EXP(VLOOKUP(D1292,'Species Codes'!B:O,14,0)+VLOOKUP(D1292,'Species Codes'!B:P,15,0)*LN((E1292*2.54)))*(1/(VLOOKUP(D1292,'Species Codes'!B:Q,16,0)+VLOOKUP(D1292,'Species Codes'!B:R,17,0)*((E1292*2.54)^VLOOKUP(D1292,'Species Codes'!B:S,18,0)))),IF(OR(D1292="BM",D1292="MD",D1292="OA"),EXP(VLOOKUP(D1292,'Species Codes'!B:O,14,0)+VLOOKUP(D1292,'Species Codes'!B:P,15,0)*LN((E1292*2.54)))*(1-(1/(VLOOKUP(D1292,'Species Codes'!B:Q,16,0)+VLOOKUP(D1292,'Species Codes'!B:R,17,0)*((E1292*2.54)^VLOOKUP(D1292,'Species Codes'!B:S,18,0)))))/1000,IF(D1292="DF",EXP(VLOOKUP(D1292,'Species Codes'!B:O,14,0)+VLOOKUP(D1292,'Species Codes'!B:P,15,0)*LN((E1292*2.54))),VLOOKUP(D1292,'Species Codes'!B:O,14,0)+VLOOKUP(D1292,'Species Codes'!B:P,15,0)*(((E1292*2.54)/100)^2)*(I1292*0.3048)))))*0.0011023),0)</f>
        <v>#N/A</v>
      </c>
      <c r="AD1292" s="104" t="e">
        <f t="shared" si="571"/>
        <v>#N/A</v>
      </c>
      <c r="AE1292" s="104" t="e">
        <f t="shared" si="572"/>
        <v>#N/A</v>
      </c>
      <c r="AF1292" s="104" t="e">
        <f>IF(AND(VLOOKUP($D1292,Merchantability!$B:$C,2,0)="Yes",$E1292&gt;=VLOOKUP($D1292,Merchantability!$B:$D,3,0),$E1292&lt;=VLOOKUP($D1292,Merchantability!$B:$E,4,0)),AA1292,0)</f>
        <v>#N/A</v>
      </c>
      <c r="AG1292" s="104" t="e">
        <f>IF(AND(VLOOKUP($D1292,Merchantability!$B:$C,2,0)="Yes",$E1292&gt;=VLOOKUP($D1292,Merchantability!$B:$D,3,0),$E1292&lt;=VLOOKUP($D1292,Merchantability!$B:$E,4,0)),AB1292,0)</f>
        <v>#N/A</v>
      </c>
      <c r="AH1292" s="104" t="e">
        <f>IF(AND(VLOOKUP($D1292,Merchantability!$B:$C,2,0)="Yes",$E1292&gt;=VLOOKUP($D1292,Merchantability!$B:$D,3,0),$E1292&lt;=VLOOKUP($D1292,Merchantability!$B:$E,4,0)),AC1292,0)</f>
        <v>#N/A</v>
      </c>
      <c r="AI1292" s="104" t="e">
        <f t="shared" si="573"/>
        <v>#N/A</v>
      </c>
      <c r="AJ1292" s="104" t="e">
        <f t="shared" si="574"/>
        <v>#VALUE!</v>
      </c>
      <c r="AK1292" s="104" t="e">
        <f t="shared" si="575"/>
        <v>#N/A</v>
      </c>
      <c r="AL1292" s="104" t="e">
        <f t="shared" si="576"/>
        <v>#N/A</v>
      </c>
      <c r="AM1292" s="104" t="e">
        <f t="shared" si="577"/>
        <v>#N/A</v>
      </c>
      <c r="AN1292" s="104" t="e">
        <f t="shared" si="588"/>
        <v>#N/A</v>
      </c>
      <c r="AO1292" s="104" t="e">
        <f t="shared" si="589"/>
        <v>#N/A</v>
      </c>
      <c r="AP1292" s="104" t="e">
        <f t="shared" si="590"/>
        <v>#N/A</v>
      </c>
      <c r="AQ1292" s="104" t="e">
        <f t="shared" si="591"/>
        <v>#N/A</v>
      </c>
      <c r="AR1292" s="105" t="str">
        <f t="shared" si="583"/>
        <v/>
      </c>
      <c r="AS1292" s="105" t="str">
        <f t="shared" si="584"/>
        <v/>
      </c>
      <c r="AT1292" s="108" t="str">
        <f t="shared" si="585"/>
        <v/>
      </c>
      <c r="AU1292" s="108" t="str">
        <f t="shared" si="586"/>
        <v/>
      </c>
      <c r="AV1292" s="107" t="str">
        <f>IF(ISNUMBER(O1292),IF(VLOOKUP($A1292,Stand!C:J,8,FALSE)="Short",AT1292,AU1292),"")</f>
        <v/>
      </c>
      <c r="AW1292" s="109" t="str">
        <f t="shared" si="592"/>
        <v/>
      </c>
      <c r="AX1292" s="109" t="str">
        <f t="shared" si="593"/>
        <v/>
      </c>
      <c r="AY1292" s="112" t="str">
        <f>IF(ISNUMBER(O1292),IF(AND(VLOOKUP($D1292,Merchantability!$B:$C,2,0)="Yes",$E1292&gt;=VLOOKUP($D1292,Merchantability!$B:$D,3,0),$E1292&lt;=VLOOKUP($D1292,Merchantability!$B:$E,4,0)),(AV1292*O1292)*(1-$H1292/100),""),"")</f>
        <v/>
      </c>
      <c r="AZ1292" s="116"/>
      <c r="BA1292" s="116"/>
      <c r="BB1292" s="116"/>
      <c r="BE1292" s="62"/>
      <c r="BF1292" s="63"/>
    </row>
    <row r="1293" spans="1:58" ht="12.75" customHeight="1" x14ac:dyDescent="0.25">
      <c r="A1293" s="333"/>
      <c r="B1293" s="334"/>
      <c r="C1293" s="332"/>
      <c r="D1293" s="334"/>
      <c r="E1293" s="335"/>
      <c r="F1293" s="334"/>
      <c r="G1293" s="332"/>
      <c r="H1293" s="332"/>
      <c r="I1293" s="334"/>
      <c r="J1293" s="336"/>
      <c r="K1293" s="332"/>
      <c r="L1293" s="332"/>
      <c r="M1293" s="76"/>
      <c r="N1293" s="103" t="str">
        <f>IF(A1293="","",VLOOKUP(A1293,Stand!C:K,9,0))</f>
        <v/>
      </c>
      <c r="O1293" s="104" t="str">
        <f t="shared" si="578"/>
        <v/>
      </c>
      <c r="P1293" s="105" t="str">
        <f t="shared" si="579"/>
        <v/>
      </c>
      <c r="Q1293" s="105" t="str">
        <f t="shared" si="567"/>
        <v/>
      </c>
      <c r="R1293" s="103" t="str">
        <f t="shared" si="580"/>
        <v/>
      </c>
      <c r="S1293" s="103" t="str">
        <f t="shared" si="581"/>
        <v/>
      </c>
      <c r="T1293" s="106" t="str">
        <f t="shared" si="568"/>
        <v/>
      </c>
      <c r="U1293" s="106" t="str">
        <f t="shared" si="569"/>
        <v/>
      </c>
      <c r="V1293" s="106" t="str">
        <f t="shared" si="570"/>
        <v/>
      </c>
      <c r="W1293" s="105" t="str">
        <f t="shared" si="582"/>
        <v/>
      </c>
      <c r="X1293" s="104" t="str">
        <f t="shared" si="587"/>
        <v/>
      </c>
      <c r="Y1293" s="104" t="str">
        <f t="array" ref="Y1293">IFERROR(IF(ISNUMBER(O1293),IF(COUNT(IF(A1293=$A$2:$A$2427,IF(D1293=$D$2:$D$2427,IF($X$2:$X$2427&gt;0,1))))&gt;0,SUM(IF(A1293=$A$2:$A$2427,IF(D1293=$D$2:$D$2427,$X$2:$X$2427)))/COUNT(IF(A1293=$A$2:$A$2427,IF(D1293=$D$2:$D$2427,IF(ISNUMBER($X$2:$X$2427),1)))),0),""),0)</f>
        <v/>
      </c>
      <c r="Z1293" s="104" t="str">
        <f>IF(ISNUMBER(O1293),IF(I1293&gt;0,(10^(VLOOKUP(D1293,'Species Codes'!B:C,2,0)+VLOOKUP(D1293,'Species Codes'!B:D,3,0)*LOG(E1293)+VLOOKUP(D1293,'Species Codes'!B:E,4,0)*LOG(I1293))),0),"")</f>
        <v/>
      </c>
      <c r="AA1293" s="104" t="str">
        <f>IFERROR((VLOOKUP(D1293,'Species Codes'!B:G,6,0)*Z1293)/2000,"")</f>
        <v/>
      </c>
      <c r="AB1293" s="104" t="e">
        <f>IF(Z1293&gt;0,((IF(OR(D1293="DF",D1293="RA")=TRUE,EXP(VLOOKUP(D1293,'Species Codes'!B:I,8,0)+VLOOKUP(D1293,'Species Codes'!B:J,9,0)*(LN((E1293*2.54)))),IF(OR(D1293="PY",D1293="RC",D1293="WH",D1293="NF")=TRUE,VLOOKUP(D1293,'Species Codes'!B:I,8,0)+VLOOKUP(D1293,'Species Codes'!B:J,9,0)*((E1293*2.54)^2)*(I1293*0.3048),IF(OR(D1293="MD",D1293="BM",D1293="GA")=TRUE,((VLOOKUP(D1293,'Species Codes'!B:I,8,0)*(((((E1293*2.54)+VLOOKUP(D1293,'Species Codes'!B:J,9,0))/VLOOKUP(D1293,'Species Codes'!B:K,10,0))^VLOOKUP(D1293,'Species Codes'!B:L,11,0))*((I1293*0.3048)^VLOOKUP(D1293,'Species Codes'!B:M,12,0))))-(VLOOKUP(D1293,'Species Codes'!B:I,8,0)*((((E1293*2.54)^VLOOKUP(D1293,'Species Codes'!B:L,11,0))*((I1293*0.3048)^VLOOKUP(D1293,'Species Codes'!B:M,12,0))))))*35.3*VLOOKUP(D1293,'Species Codes'!B:G,6,0)/2.2046,VLOOKUP(D1293,'Species Codes'!B:I,8,0)+VLOOKUP(D1293,'Species Codes'!B:J,9,0)*(((E1293*2.54)/100)^2)*(I1293*0.3048)))))*0.0011023),0)</f>
        <v>#N/A</v>
      </c>
      <c r="AC1293" s="104" t="e">
        <f>IF(Z1293&gt;0,((IF(OR(D1293="RA",D1293="OA",D1293="OT",D1293="UN",D1293="PC"),EXP(VLOOKUP(D1293,'Species Codes'!B:O,14,0)+VLOOKUP(D1293,'Species Codes'!B:P,15,0)*LN((E1293*2.54)))-EXP(VLOOKUP(D1293,'Species Codes'!B:O,14,0)+VLOOKUP(D1293,'Species Codes'!B:P,15,0)*LN((E1293*2.54)))*(1/(VLOOKUP(D1293,'Species Codes'!B:Q,16,0)+VLOOKUP(D1293,'Species Codes'!B:R,17,0)*((E1293*2.54)^VLOOKUP(D1293,'Species Codes'!B:S,18,0)))),IF(OR(D1293="BM",D1293="MD",D1293="OA"),EXP(VLOOKUP(D1293,'Species Codes'!B:O,14,0)+VLOOKUP(D1293,'Species Codes'!B:P,15,0)*LN((E1293*2.54)))*(1-(1/(VLOOKUP(D1293,'Species Codes'!B:Q,16,0)+VLOOKUP(D1293,'Species Codes'!B:R,17,0)*((E1293*2.54)^VLOOKUP(D1293,'Species Codes'!B:S,18,0)))))/1000,IF(D1293="DF",EXP(VLOOKUP(D1293,'Species Codes'!B:O,14,0)+VLOOKUP(D1293,'Species Codes'!B:P,15,0)*LN((E1293*2.54))),VLOOKUP(D1293,'Species Codes'!B:O,14,0)+VLOOKUP(D1293,'Species Codes'!B:P,15,0)*(((E1293*2.54)/100)^2)*(I1293*0.3048)))))*0.0011023),0)</f>
        <v>#N/A</v>
      </c>
      <c r="AD1293" s="104" t="e">
        <f t="shared" si="571"/>
        <v>#N/A</v>
      </c>
      <c r="AE1293" s="104" t="e">
        <f t="shared" si="572"/>
        <v>#N/A</v>
      </c>
      <c r="AF1293" s="104" t="e">
        <f>IF(AND(VLOOKUP($D1293,Merchantability!$B:$C,2,0)="Yes",$E1293&gt;=VLOOKUP($D1293,Merchantability!$B:$D,3,0),$E1293&lt;=VLOOKUP($D1293,Merchantability!$B:$E,4,0)),AA1293,0)</f>
        <v>#N/A</v>
      </c>
      <c r="AG1293" s="104" t="e">
        <f>IF(AND(VLOOKUP($D1293,Merchantability!$B:$C,2,0)="Yes",$E1293&gt;=VLOOKUP($D1293,Merchantability!$B:$D,3,0),$E1293&lt;=VLOOKUP($D1293,Merchantability!$B:$E,4,0)),AB1293,0)</f>
        <v>#N/A</v>
      </c>
      <c r="AH1293" s="104" t="e">
        <f>IF(AND(VLOOKUP($D1293,Merchantability!$B:$C,2,0)="Yes",$E1293&gt;=VLOOKUP($D1293,Merchantability!$B:$D,3,0),$E1293&lt;=VLOOKUP($D1293,Merchantability!$B:$E,4,0)),AC1293,0)</f>
        <v>#N/A</v>
      </c>
      <c r="AI1293" s="104" t="e">
        <f t="shared" si="573"/>
        <v>#N/A</v>
      </c>
      <c r="AJ1293" s="104" t="e">
        <f t="shared" si="574"/>
        <v>#VALUE!</v>
      </c>
      <c r="AK1293" s="104" t="e">
        <f t="shared" si="575"/>
        <v>#N/A</v>
      </c>
      <c r="AL1293" s="104" t="e">
        <f t="shared" si="576"/>
        <v>#N/A</v>
      </c>
      <c r="AM1293" s="104" t="e">
        <f t="shared" si="577"/>
        <v>#N/A</v>
      </c>
      <c r="AN1293" s="104" t="e">
        <f t="shared" si="588"/>
        <v>#N/A</v>
      </c>
      <c r="AO1293" s="104" t="e">
        <f t="shared" si="589"/>
        <v>#N/A</v>
      </c>
      <c r="AP1293" s="104" t="e">
        <f t="shared" si="590"/>
        <v>#N/A</v>
      </c>
      <c r="AQ1293" s="104" t="e">
        <f t="shared" si="591"/>
        <v>#N/A</v>
      </c>
      <c r="AR1293" s="105" t="str">
        <f t="shared" si="583"/>
        <v/>
      </c>
      <c r="AS1293" s="105" t="str">
        <f t="shared" si="584"/>
        <v/>
      </c>
      <c r="AT1293" s="108" t="str">
        <f t="shared" si="585"/>
        <v/>
      </c>
      <c r="AU1293" s="108" t="str">
        <f t="shared" si="586"/>
        <v/>
      </c>
      <c r="AV1293" s="107" t="str">
        <f>IF(ISNUMBER(O1293),IF(VLOOKUP($A1293,Stand!C:J,8,FALSE)="Short",AT1293,AU1293),"")</f>
        <v/>
      </c>
      <c r="AW1293" s="109" t="str">
        <f t="shared" si="592"/>
        <v/>
      </c>
      <c r="AX1293" s="109" t="str">
        <f t="shared" si="593"/>
        <v/>
      </c>
      <c r="AY1293" s="112" t="str">
        <f>IF(ISNUMBER(O1293),IF(AND(VLOOKUP($D1293,Merchantability!$B:$C,2,0)="Yes",$E1293&gt;=VLOOKUP($D1293,Merchantability!$B:$D,3,0),$E1293&lt;=VLOOKUP($D1293,Merchantability!$B:$E,4,0)),(AV1293*O1293)*(1-$H1293/100),""),"")</f>
        <v/>
      </c>
      <c r="AZ1293" s="116"/>
      <c r="BA1293" s="116"/>
      <c r="BB1293" s="116"/>
      <c r="BE1293" s="62"/>
      <c r="BF1293" s="63"/>
    </row>
    <row r="1294" spans="1:58" ht="12.75" customHeight="1" x14ac:dyDescent="0.25">
      <c r="A1294" s="333"/>
      <c r="B1294" s="334"/>
      <c r="C1294" s="332"/>
      <c r="D1294" s="334"/>
      <c r="E1294" s="335"/>
      <c r="F1294" s="334"/>
      <c r="G1294" s="332"/>
      <c r="H1294" s="332"/>
      <c r="I1294" s="334"/>
      <c r="J1294" s="336"/>
      <c r="K1294" s="332"/>
      <c r="L1294" s="332"/>
      <c r="M1294" s="76"/>
      <c r="N1294" s="103" t="str">
        <f>IF(A1294="","",VLOOKUP(A1294,Stand!C:K,9,0))</f>
        <v/>
      </c>
      <c r="O1294" s="104" t="str">
        <f t="shared" si="578"/>
        <v/>
      </c>
      <c r="P1294" s="105" t="str">
        <f t="shared" si="579"/>
        <v/>
      </c>
      <c r="Q1294" s="105" t="str">
        <f t="shared" si="567"/>
        <v/>
      </c>
      <c r="R1294" s="103" t="str">
        <f t="shared" si="580"/>
        <v/>
      </c>
      <c r="S1294" s="103" t="str">
        <f t="shared" si="581"/>
        <v/>
      </c>
      <c r="T1294" s="106" t="str">
        <f t="shared" si="568"/>
        <v/>
      </c>
      <c r="U1294" s="106" t="str">
        <f t="shared" si="569"/>
        <v/>
      </c>
      <c r="V1294" s="106" t="str">
        <f t="shared" si="570"/>
        <v/>
      </c>
      <c r="W1294" s="105" t="str">
        <f t="shared" si="582"/>
        <v/>
      </c>
      <c r="X1294" s="104" t="str">
        <f t="shared" si="587"/>
        <v/>
      </c>
      <c r="Y1294" s="104" t="str">
        <f t="array" ref="Y1294">IFERROR(IF(ISNUMBER(O1294),IF(COUNT(IF(A1294=$A$2:$A$2427,IF(D1294=$D$2:$D$2427,IF($X$2:$X$2427&gt;0,1))))&gt;0,SUM(IF(A1294=$A$2:$A$2427,IF(D1294=$D$2:$D$2427,$X$2:$X$2427)))/COUNT(IF(A1294=$A$2:$A$2427,IF(D1294=$D$2:$D$2427,IF(ISNUMBER($X$2:$X$2427),1)))),0),""),0)</f>
        <v/>
      </c>
      <c r="Z1294" s="104" t="str">
        <f>IF(ISNUMBER(O1294),IF(I1294&gt;0,(10^(VLOOKUP(D1294,'Species Codes'!B:C,2,0)+VLOOKUP(D1294,'Species Codes'!B:D,3,0)*LOG(E1294)+VLOOKUP(D1294,'Species Codes'!B:E,4,0)*LOG(I1294))),0),"")</f>
        <v/>
      </c>
      <c r="AA1294" s="104" t="str">
        <f>IFERROR((VLOOKUP(D1294,'Species Codes'!B:G,6,0)*Z1294)/2000,"")</f>
        <v/>
      </c>
      <c r="AB1294" s="104" t="e">
        <f>IF(Z1294&gt;0,((IF(OR(D1294="DF",D1294="RA")=TRUE,EXP(VLOOKUP(D1294,'Species Codes'!B:I,8,0)+VLOOKUP(D1294,'Species Codes'!B:J,9,0)*(LN((E1294*2.54)))),IF(OR(D1294="PY",D1294="RC",D1294="WH",D1294="NF")=TRUE,VLOOKUP(D1294,'Species Codes'!B:I,8,0)+VLOOKUP(D1294,'Species Codes'!B:J,9,0)*((E1294*2.54)^2)*(I1294*0.3048),IF(OR(D1294="MD",D1294="BM",D1294="GA")=TRUE,((VLOOKUP(D1294,'Species Codes'!B:I,8,0)*(((((E1294*2.54)+VLOOKUP(D1294,'Species Codes'!B:J,9,0))/VLOOKUP(D1294,'Species Codes'!B:K,10,0))^VLOOKUP(D1294,'Species Codes'!B:L,11,0))*((I1294*0.3048)^VLOOKUP(D1294,'Species Codes'!B:M,12,0))))-(VLOOKUP(D1294,'Species Codes'!B:I,8,0)*((((E1294*2.54)^VLOOKUP(D1294,'Species Codes'!B:L,11,0))*((I1294*0.3048)^VLOOKUP(D1294,'Species Codes'!B:M,12,0))))))*35.3*VLOOKUP(D1294,'Species Codes'!B:G,6,0)/2.2046,VLOOKUP(D1294,'Species Codes'!B:I,8,0)+VLOOKUP(D1294,'Species Codes'!B:J,9,0)*(((E1294*2.54)/100)^2)*(I1294*0.3048)))))*0.0011023),0)</f>
        <v>#N/A</v>
      </c>
      <c r="AC1294" s="104" t="e">
        <f>IF(Z1294&gt;0,((IF(OR(D1294="RA",D1294="OA",D1294="OT",D1294="UN",D1294="PC"),EXP(VLOOKUP(D1294,'Species Codes'!B:O,14,0)+VLOOKUP(D1294,'Species Codes'!B:P,15,0)*LN((E1294*2.54)))-EXP(VLOOKUP(D1294,'Species Codes'!B:O,14,0)+VLOOKUP(D1294,'Species Codes'!B:P,15,0)*LN((E1294*2.54)))*(1/(VLOOKUP(D1294,'Species Codes'!B:Q,16,0)+VLOOKUP(D1294,'Species Codes'!B:R,17,0)*((E1294*2.54)^VLOOKUP(D1294,'Species Codes'!B:S,18,0)))),IF(OR(D1294="BM",D1294="MD",D1294="OA"),EXP(VLOOKUP(D1294,'Species Codes'!B:O,14,0)+VLOOKUP(D1294,'Species Codes'!B:P,15,0)*LN((E1294*2.54)))*(1-(1/(VLOOKUP(D1294,'Species Codes'!B:Q,16,0)+VLOOKUP(D1294,'Species Codes'!B:R,17,0)*((E1294*2.54)^VLOOKUP(D1294,'Species Codes'!B:S,18,0)))))/1000,IF(D1294="DF",EXP(VLOOKUP(D1294,'Species Codes'!B:O,14,0)+VLOOKUP(D1294,'Species Codes'!B:P,15,0)*LN((E1294*2.54))),VLOOKUP(D1294,'Species Codes'!B:O,14,0)+VLOOKUP(D1294,'Species Codes'!B:P,15,0)*(((E1294*2.54)/100)^2)*(I1294*0.3048)))))*0.0011023),0)</f>
        <v>#N/A</v>
      </c>
      <c r="AD1294" s="104" t="e">
        <f t="shared" si="571"/>
        <v>#N/A</v>
      </c>
      <c r="AE1294" s="104" t="e">
        <f t="shared" si="572"/>
        <v>#N/A</v>
      </c>
      <c r="AF1294" s="104" t="e">
        <f>IF(AND(VLOOKUP($D1294,Merchantability!$B:$C,2,0)="Yes",$E1294&gt;=VLOOKUP($D1294,Merchantability!$B:$D,3,0),$E1294&lt;=VLOOKUP($D1294,Merchantability!$B:$E,4,0)),AA1294,0)</f>
        <v>#N/A</v>
      </c>
      <c r="AG1294" s="104" t="e">
        <f>IF(AND(VLOOKUP($D1294,Merchantability!$B:$C,2,0)="Yes",$E1294&gt;=VLOOKUP($D1294,Merchantability!$B:$D,3,0),$E1294&lt;=VLOOKUP($D1294,Merchantability!$B:$E,4,0)),AB1294,0)</f>
        <v>#N/A</v>
      </c>
      <c r="AH1294" s="104" t="e">
        <f>IF(AND(VLOOKUP($D1294,Merchantability!$B:$C,2,0)="Yes",$E1294&gt;=VLOOKUP($D1294,Merchantability!$B:$D,3,0),$E1294&lt;=VLOOKUP($D1294,Merchantability!$B:$E,4,0)),AC1294,0)</f>
        <v>#N/A</v>
      </c>
      <c r="AI1294" s="104" t="e">
        <f t="shared" si="573"/>
        <v>#N/A</v>
      </c>
      <c r="AJ1294" s="104" t="e">
        <f t="shared" si="574"/>
        <v>#VALUE!</v>
      </c>
      <c r="AK1294" s="104" t="e">
        <f t="shared" si="575"/>
        <v>#N/A</v>
      </c>
      <c r="AL1294" s="104" t="e">
        <f t="shared" si="576"/>
        <v>#N/A</v>
      </c>
      <c r="AM1294" s="104" t="e">
        <f t="shared" si="577"/>
        <v>#N/A</v>
      </c>
      <c r="AN1294" s="104" t="e">
        <f t="shared" si="588"/>
        <v>#N/A</v>
      </c>
      <c r="AO1294" s="104" t="e">
        <f t="shared" si="589"/>
        <v>#N/A</v>
      </c>
      <c r="AP1294" s="104" t="e">
        <f t="shared" si="590"/>
        <v>#N/A</v>
      </c>
      <c r="AQ1294" s="104" t="e">
        <f t="shared" si="591"/>
        <v>#N/A</v>
      </c>
      <c r="AR1294" s="105" t="str">
        <f t="shared" si="583"/>
        <v/>
      </c>
      <c r="AS1294" s="105" t="str">
        <f t="shared" si="584"/>
        <v/>
      </c>
      <c r="AT1294" s="108" t="str">
        <f t="shared" si="585"/>
        <v/>
      </c>
      <c r="AU1294" s="108" t="str">
        <f t="shared" si="586"/>
        <v/>
      </c>
      <c r="AV1294" s="107" t="str">
        <f>IF(ISNUMBER(O1294),IF(VLOOKUP($A1294,Stand!C:J,8,FALSE)="Short",AT1294,AU1294),"")</f>
        <v/>
      </c>
      <c r="AW1294" s="109" t="str">
        <f t="shared" si="592"/>
        <v/>
      </c>
      <c r="AX1294" s="109" t="str">
        <f t="shared" si="593"/>
        <v/>
      </c>
      <c r="AY1294" s="112" t="str">
        <f>IF(ISNUMBER(O1294),IF(AND(VLOOKUP($D1294,Merchantability!$B:$C,2,0)="Yes",$E1294&gt;=VLOOKUP($D1294,Merchantability!$B:$D,3,0),$E1294&lt;=VLOOKUP($D1294,Merchantability!$B:$E,4,0)),(AV1294*O1294)*(1-$H1294/100),""),"")</f>
        <v/>
      </c>
      <c r="AZ1294" s="116"/>
      <c r="BA1294" s="116"/>
      <c r="BB1294" s="116"/>
      <c r="BE1294" s="62"/>
      <c r="BF1294" s="63"/>
    </row>
    <row r="1295" spans="1:58" ht="12.75" customHeight="1" x14ac:dyDescent="0.25">
      <c r="A1295" s="333"/>
      <c r="B1295" s="334"/>
      <c r="C1295" s="332"/>
      <c r="D1295" s="334"/>
      <c r="E1295" s="335"/>
      <c r="F1295" s="334"/>
      <c r="G1295" s="332"/>
      <c r="H1295" s="332"/>
      <c r="I1295" s="334"/>
      <c r="J1295" s="336"/>
      <c r="K1295" s="332"/>
      <c r="L1295" s="332"/>
      <c r="M1295" s="76"/>
      <c r="N1295" s="103" t="str">
        <f>IF(A1295="","",VLOOKUP(A1295,Stand!C:K,9,0))</f>
        <v/>
      </c>
      <c r="O1295" s="104" t="str">
        <f t="shared" si="578"/>
        <v/>
      </c>
      <c r="P1295" s="105" t="str">
        <f t="shared" si="579"/>
        <v/>
      </c>
      <c r="Q1295" s="105" t="str">
        <f t="shared" si="567"/>
        <v/>
      </c>
      <c r="R1295" s="103" t="str">
        <f t="shared" si="580"/>
        <v/>
      </c>
      <c r="S1295" s="103" t="str">
        <f t="shared" si="581"/>
        <v/>
      </c>
      <c r="T1295" s="106" t="str">
        <f t="shared" si="568"/>
        <v/>
      </c>
      <c r="U1295" s="106" t="str">
        <f t="shared" si="569"/>
        <v/>
      </c>
      <c r="V1295" s="106" t="str">
        <f t="shared" si="570"/>
        <v/>
      </c>
      <c r="W1295" s="105" t="str">
        <f t="shared" si="582"/>
        <v/>
      </c>
      <c r="X1295" s="104" t="str">
        <f t="shared" si="587"/>
        <v/>
      </c>
      <c r="Y1295" s="104" t="str">
        <f t="array" ref="Y1295">IFERROR(IF(ISNUMBER(O1295),IF(COUNT(IF(A1295=$A$2:$A$2427,IF(D1295=$D$2:$D$2427,IF($X$2:$X$2427&gt;0,1))))&gt;0,SUM(IF(A1295=$A$2:$A$2427,IF(D1295=$D$2:$D$2427,$X$2:$X$2427)))/COUNT(IF(A1295=$A$2:$A$2427,IF(D1295=$D$2:$D$2427,IF(ISNUMBER($X$2:$X$2427),1)))),0),""),0)</f>
        <v/>
      </c>
      <c r="Z1295" s="104" t="str">
        <f>IF(ISNUMBER(O1295),IF(I1295&gt;0,(10^(VLOOKUP(D1295,'Species Codes'!B:C,2,0)+VLOOKUP(D1295,'Species Codes'!B:D,3,0)*LOG(E1295)+VLOOKUP(D1295,'Species Codes'!B:E,4,0)*LOG(I1295))),0),"")</f>
        <v/>
      </c>
      <c r="AA1295" s="104" t="str">
        <f>IFERROR((VLOOKUP(D1295,'Species Codes'!B:G,6,0)*Z1295)/2000,"")</f>
        <v/>
      </c>
      <c r="AB1295" s="104" t="e">
        <f>IF(Z1295&gt;0,((IF(OR(D1295="DF",D1295="RA")=TRUE,EXP(VLOOKUP(D1295,'Species Codes'!B:I,8,0)+VLOOKUP(D1295,'Species Codes'!B:J,9,0)*(LN((E1295*2.54)))),IF(OR(D1295="PY",D1295="RC",D1295="WH",D1295="NF")=TRUE,VLOOKUP(D1295,'Species Codes'!B:I,8,0)+VLOOKUP(D1295,'Species Codes'!B:J,9,0)*((E1295*2.54)^2)*(I1295*0.3048),IF(OR(D1295="MD",D1295="BM",D1295="GA")=TRUE,((VLOOKUP(D1295,'Species Codes'!B:I,8,0)*(((((E1295*2.54)+VLOOKUP(D1295,'Species Codes'!B:J,9,0))/VLOOKUP(D1295,'Species Codes'!B:K,10,0))^VLOOKUP(D1295,'Species Codes'!B:L,11,0))*((I1295*0.3048)^VLOOKUP(D1295,'Species Codes'!B:M,12,0))))-(VLOOKUP(D1295,'Species Codes'!B:I,8,0)*((((E1295*2.54)^VLOOKUP(D1295,'Species Codes'!B:L,11,0))*((I1295*0.3048)^VLOOKUP(D1295,'Species Codes'!B:M,12,0))))))*35.3*VLOOKUP(D1295,'Species Codes'!B:G,6,0)/2.2046,VLOOKUP(D1295,'Species Codes'!B:I,8,0)+VLOOKUP(D1295,'Species Codes'!B:J,9,0)*(((E1295*2.54)/100)^2)*(I1295*0.3048)))))*0.0011023),0)</f>
        <v>#N/A</v>
      </c>
      <c r="AC1295" s="104" t="e">
        <f>IF(Z1295&gt;0,((IF(OR(D1295="RA",D1295="OA",D1295="OT",D1295="UN",D1295="PC"),EXP(VLOOKUP(D1295,'Species Codes'!B:O,14,0)+VLOOKUP(D1295,'Species Codes'!B:P,15,0)*LN((E1295*2.54)))-EXP(VLOOKUP(D1295,'Species Codes'!B:O,14,0)+VLOOKUP(D1295,'Species Codes'!B:P,15,0)*LN((E1295*2.54)))*(1/(VLOOKUP(D1295,'Species Codes'!B:Q,16,0)+VLOOKUP(D1295,'Species Codes'!B:R,17,0)*((E1295*2.54)^VLOOKUP(D1295,'Species Codes'!B:S,18,0)))),IF(OR(D1295="BM",D1295="MD",D1295="OA"),EXP(VLOOKUP(D1295,'Species Codes'!B:O,14,0)+VLOOKUP(D1295,'Species Codes'!B:P,15,0)*LN((E1295*2.54)))*(1-(1/(VLOOKUP(D1295,'Species Codes'!B:Q,16,0)+VLOOKUP(D1295,'Species Codes'!B:R,17,0)*((E1295*2.54)^VLOOKUP(D1295,'Species Codes'!B:S,18,0)))))/1000,IF(D1295="DF",EXP(VLOOKUP(D1295,'Species Codes'!B:O,14,0)+VLOOKUP(D1295,'Species Codes'!B:P,15,0)*LN((E1295*2.54))),VLOOKUP(D1295,'Species Codes'!B:O,14,0)+VLOOKUP(D1295,'Species Codes'!B:P,15,0)*(((E1295*2.54)/100)^2)*(I1295*0.3048)))))*0.0011023),0)</f>
        <v>#N/A</v>
      </c>
      <c r="AD1295" s="104" t="e">
        <f t="shared" si="571"/>
        <v>#N/A</v>
      </c>
      <c r="AE1295" s="104" t="e">
        <f t="shared" si="572"/>
        <v>#N/A</v>
      </c>
      <c r="AF1295" s="104" t="e">
        <f>IF(AND(VLOOKUP($D1295,Merchantability!$B:$C,2,0)="Yes",$E1295&gt;=VLOOKUP($D1295,Merchantability!$B:$D,3,0),$E1295&lt;=VLOOKUP($D1295,Merchantability!$B:$E,4,0)),AA1295,0)</f>
        <v>#N/A</v>
      </c>
      <c r="AG1295" s="104" t="e">
        <f>IF(AND(VLOOKUP($D1295,Merchantability!$B:$C,2,0)="Yes",$E1295&gt;=VLOOKUP($D1295,Merchantability!$B:$D,3,0),$E1295&lt;=VLOOKUP($D1295,Merchantability!$B:$E,4,0)),AB1295,0)</f>
        <v>#N/A</v>
      </c>
      <c r="AH1295" s="104" t="e">
        <f>IF(AND(VLOOKUP($D1295,Merchantability!$B:$C,2,0)="Yes",$E1295&gt;=VLOOKUP($D1295,Merchantability!$B:$D,3,0),$E1295&lt;=VLOOKUP($D1295,Merchantability!$B:$E,4,0)),AC1295,0)</f>
        <v>#N/A</v>
      </c>
      <c r="AI1295" s="104" t="e">
        <f t="shared" si="573"/>
        <v>#N/A</v>
      </c>
      <c r="AJ1295" s="104" t="e">
        <f t="shared" si="574"/>
        <v>#VALUE!</v>
      </c>
      <c r="AK1295" s="104" t="e">
        <f t="shared" si="575"/>
        <v>#N/A</v>
      </c>
      <c r="AL1295" s="104" t="e">
        <f t="shared" si="576"/>
        <v>#N/A</v>
      </c>
      <c r="AM1295" s="104" t="e">
        <f t="shared" si="577"/>
        <v>#N/A</v>
      </c>
      <c r="AN1295" s="104" t="e">
        <f t="shared" si="588"/>
        <v>#N/A</v>
      </c>
      <c r="AO1295" s="104" t="e">
        <f t="shared" si="589"/>
        <v>#N/A</v>
      </c>
      <c r="AP1295" s="104" t="e">
        <f t="shared" si="590"/>
        <v>#N/A</v>
      </c>
      <c r="AQ1295" s="104" t="e">
        <f t="shared" si="591"/>
        <v>#N/A</v>
      </c>
      <c r="AR1295" s="105" t="str">
        <f t="shared" si="583"/>
        <v/>
      </c>
      <c r="AS1295" s="105" t="str">
        <f t="shared" si="584"/>
        <v/>
      </c>
      <c r="AT1295" s="108" t="str">
        <f t="shared" si="585"/>
        <v/>
      </c>
      <c r="AU1295" s="108" t="str">
        <f t="shared" si="586"/>
        <v/>
      </c>
      <c r="AV1295" s="107" t="str">
        <f>IF(ISNUMBER(O1295),IF(VLOOKUP($A1295,Stand!C:J,8,FALSE)="Short",AT1295,AU1295),"")</f>
        <v/>
      </c>
      <c r="AW1295" s="109" t="str">
        <f t="shared" si="592"/>
        <v/>
      </c>
      <c r="AX1295" s="109" t="str">
        <f t="shared" si="593"/>
        <v/>
      </c>
      <c r="AY1295" s="112" t="str">
        <f>IF(ISNUMBER(O1295),IF(AND(VLOOKUP($D1295,Merchantability!$B:$C,2,0)="Yes",$E1295&gt;=VLOOKUP($D1295,Merchantability!$B:$D,3,0),$E1295&lt;=VLOOKUP($D1295,Merchantability!$B:$E,4,0)),(AV1295*O1295)*(1-$H1295/100),""),"")</f>
        <v/>
      </c>
      <c r="AZ1295" s="116"/>
      <c r="BA1295" s="116"/>
      <c r="BB1295" s="116"/>
      <c r="BE1295" s="62"/>
      <c r="BF1295" s="63"/>
    </row>
    <row r="1296" spans="1:58" ht="12.75" customHeight="1" x14ac:dyDescent="0.25">
      <c r="A1296" s="333"/>
      <c r="B1296" s="334"/>
      <c r="C1296" s="332"/>
      <c r="D1296" s="334"/>
      <c r="E1296" s="335"/>
      <c r="F1296" s="334"/>
      <c r="G1296" s="332"/>
      <c r="H1296" s="332"/>
      <c r="I1296" s="334"/>
      <c r="J1296" s="336"/>
      <c r="K1296" s="332"/>
      <c r="L1296" s="332"/>
      <c r="M1296" s="76"/>
      <c r="N1296" s="103" t="str">
        <f>IF(A1296="","",VLOOKUP(A1296,Stand!C:K,9,0))</f>
        <v/>
      </c>
      <c r="O1296" s="104" t="str">
        <f t="shared" si="578"/>
        <v/>
      </c>
      <c r="P1296" s="105" t="str">
        <f t="shared" si="579"/>
        <v/>
      </c>
      <c r="Q1296" s="105" t="str">
        <f t="shared" si="567"/>
        <v/>
      </c>
      <c r="R1296" s="103" t="str">
        <f t="shared" si="580"/>
        <v/>
      </c>
      <c r="S1296" s="103" t="str">
        <f t="shared" si="581"/>
        <v/>
      </c>
      <c r="T1296" s="106" t="str">
        <f t="shared" si="568"/>
        <v/>
      </c>
      <c r="U1296" s="106" t="str">
        <f t="shared" si="569"/>
        <v/>
      </c>
      <c r="V1296" s="106" t="str">
        <f t="shared" si="570"/>
        <v/>
      </c>
      <c r="W1296" s="105" t="str">
        <f t="shared" si="582"/>
        <v/>
      </c>
      <c r="X1296" s="104" t="str">
        <f t="shared" si="587"/>
        <v/>
      </c>
      <c r="Y1296" s="104" t="str">
        <f t="array" ref="Y1296">IFERROR(IF(ISNUMBER(O1296),IF(COUNT(IF(A1296=$A$2:$A$2427,IF(D1296=$D$2:$D$2427,IF($X$2:$X$2427&gt;0,1))))&gt;0,SUM(IF(A1296=$A$2:$A$2427,IF(D1296=$D$2:$D$2427,$X$2:$X$2427)))/COUNT(IF(A1296=$A$2:$A$2427,IF(D1296=$D$2:$D$2427,IF(ISNUMBER($X$2:$X$2427),1)))),0),""),0)</f>
        <v/>
      </c>
      <c r="Z1296" s="104" t="str">
        <f>IF(ISNUMBER(O1296),IF(I1296&gt;0,(10^(VLOOKUP(D1296,'Species Codes'!B:C,2,0)+VLOOKUP(D1296,'Species Codes'!B:D,3,0)*LOG(E1296)+VLOOKUP(D1296,'Species Codes'!B:E,4,0)*LOG(I1296))),0),"")</f>
        <v/>
      </c>
      <c r="AA1296" s="104" t="str">
        <f>IFERROR((VLOOKUP(D1296,'Species Codes'!B:G,6,0)*Z1296)/2000,"")</f>
        <v/>
      </c>
      <c r="AB1296" s="104" t="e">
        <f>IF(Z1296&gt;0,((IF(OR(D1296="DF",D1296="RA")=TRUE,EXP(VLOOKUP(D1296,'Species Codes'!B:I,8,0)+VLOOKUP(D1296,'Species Codes'!B:J,9,0)*(LN((E1296*2.54)))),IF(OR(D1296="PY",D1296="RC",D1296="WH",D1296="NF")=TRUE,VLOOKUP(D1296,'Species Codes'!B:I,8,0)+VLOOKUP(D1296,'Species Codes'!B:J,9,0)*((E1296*2.54)^2)*(I1296*0.3048),IF(OR(D1296="MD",D1296="BM",D1296="GA")=TRUE,((VLOOKUP(D1296,'Species Codes'!B:I,8,0)*(((((E1296*2.54)+VLOOKUP(D1296,'Species Codes'!B:J,9,0))/VLOOKUP(D1296,'Species Codes'!B:K,10,0))^VLOOKUP(D1296,'Species Codes'!B:L,11,0))*((I1296*0.3048)^VLOOKUP(D1296,'Species Codes'!B:M,12,0))))-(VLOOKUP(D1296,'Species Codes'!B:I,8,0)*((((E1296*2.54)^VLOOKUP(D1296,'Species Codes'!B:L,11,0))*((I1296*0.3048)^VLOOKUP(D1296,'Species Codes'!B:M,12,0))))))*35.3*VLOOKUP(D1296,'Species Codes'!B:G,6,0)/2.2046,VLOOKUP(D1296,'Species Codes'!B:I,8,0)+VLOOKUP(D1296,'Species Codes'!B:J,9,0)*(((E1296*2.54)/100)^2)*(I1296*0.3048)))))*0.0011023),0)</f>
        <v>#N/A</v>
      </c>
      <c r="AC1296" s="104" t="e">
        <f>IF(Z1296&gt;0,((IF(OR(D1296="RA",D1296="OA",D1296="OT",D1296="UN",D1296="PC"),EXP(VLOOKUP(D1296,'Species Codes'!B:O,14,0)+VLOOKUP(D1296,'Species Codes'!B:P,15,0)*LN((E1296*2.54)))-EXP(VLOOKUP(D1296,'Species Codes'!B:O,14,0)+VLOOKUP(D1296,'Species Codes'!B:P,15,0)*LN((E1296*2.54)))*(1/(VLOOKUP(D1296,'Species Codes'!B:Q,16,0)+VLOOKUP(D1296,'Species Codes'!B:R,17,0)*((E1296*2.54)^VLOOKUP(D1296,'Species Codes'!B:S,18,0)))),IF(OR(D1296="BM",D1296="MD",D1296="OA"),EXP(VLOOKUP(D1296,'Species Codes'!B:O,14,0)+VLOOKUP(D1296,'Species Codes'!B:P,15,0)*LN((E1296*2.54)))*(1-(1/(VLOOKUP(D1296,'Species Codes'!B:Q,16,0)+VLOOKUP(D1296,'Species Codes'!B:R,17,0)*((E1296*2.54)^VLOOKUP(D1296,'Species Codes'!B:S,18,0)))))/1000,IF(D1296="DF",EXP(VLOOKUP(D1296,'Species Codes'!B:O,14,0)+VLOOKUP(D1296,'Species Codes'!B:P,15,0)*LN((E1296*2.54))),VLOOKUP(D1296,'Species Codes'!B:O,14,0)+VLOOKUP(D1296,'Species Codes'!B:P,15,0)*(((E1296*2.54)/100)^2)*(I1296*0.3048)))))*0.0011023),0)</f>
        <v>#N/A</v>
      </c>
      <c r="AD1296" s="104" t="e">
        <f t="shared" si="571"/>
        <v>#N/A</v>
      </c>
      <c r="AE1296" s="104" t="e">
        <f t="shared" si="572"/>
        <v>#N/A</v>
      </c>
      <c r="AF1296" s="104" t="e">
        <f>IF(AND(VLOOKUP($D1296,Merchantability!$B:$C,2,0)="Yes",$E1296&gt;=VLOOKUP($D1296,Merchantability!$B:$D,3,0),$E1296&lt;=VLOOKUP($D1296,Merchantability!$B:$E,4,0)),AA1296,0)</f>
        <v>#N/A</v>
      </c>
      <c r="AG1296" s="104" t="e">
        <f>IF(AND(VLOOKUP($D1296,Merchantability!$B:$C,2,0)="Yes",$E1296&gt;=VLOOKUP($D1296,Merchantability!$B:$D,3,0),$E1296&lt;=VLOOKUP($D1296,Merchantability!$B:$E,4,0)),AB1296,0)</f>
        <v>#N/A</v>
      </c>
      <c r="AH1296" s="104" t="e">
        <f>IF(AND(VLOOKUP($D1296,Merchantability!$B:$C,2,0)="Yes",$E1296&gt;=VLOOKUP($D1296,Merchantability!$B:$D,3,0),$E1296&lt;=VLOOKUP($D1296,Merchantability!$B:$E,4,0)),AC1296,0)</f>
        <v>#N/A</v>
      </c>
      <c r="AI1296" s="104" t="e">
        <f t="shared" si="573"/>
        <v>#N/A</v>
      </c>
      <c r="AJ1296" s="104" t="e">
        <f t="shared" si="574"/>
        <v>#VALUE!</v>
      </c>
      <c r="AK1296" s="104" t="e">
        <f t="shared" si="575"/>
        <v>#N/A</v>
      </c>
      <c r="AL1296" s="104" t="e">
        <f t="shared" si="576"/>
        <v>#N/A</v>
      </c>
      <c r="AM1296" s="104" t="e">
        <f t="shared" si="577"/>
        <v>#N/A</v>
      </c>
      <c r="AN1296" s="104" t="e">
        <f t="shared" si="588"/>
        <v>#N/A</v>
      </c>
      <c r="AO1296" s="104" t="e">
        <f t="shared" si="589"/>
        <v>#N/A</v>
      </c>
      <c r="AP1296" s="104" t="e">
        <f t="shared" si="590"/>
        <v>#N/A</v>
      </c>
      <c r="AQ1296" s="104" t="e">
        <f t="shared" si="591"/>
        <v>#N/A</v>
      </c>
      <c r="AR1296" s="105" t="str">
        <f t="shared" si="583"/>
        <v/>
      </c>
      <c r="AS1296" s="105" t="str">
        <f t="shared" si="584"/>
        <v/>
      </c>
      <c r="AT1296" s="108" t="str">
        <f t="shared" si="585"/>
        <v/>
      </c>
      <c r="AU1296" s="108" t="str">
        <f t="shared" si="586"/>
        <v/>
      </c>
      <c r="AV1296" s="107" t="str">
        <f>IF(ISNUMBER(O1296),IF(VLOOKUP($A1296,Stand!C:J,8,FALSE)="Short",AT1296,AU1296),"")</f>
        <v/>
      </c>
      <c r="AW1296" s="109" t="str">
        <f t="shared" si="592"/>
        <v/>
      </c>
      <c r="AX1296" s="109" t="str">
        <f t="shared" si="593"/>
        <v/>
      </c>
      <c r="AY1296" s="112" t="str">
        <f>IF(ISNUMBER(O1296),IF(AND(VLOOKUP($D1296,Merchantability!$B:$C,2,0)="Yes",$E1296&gt;=VLOOKUP($D1296,Merchantability!$B:$D,3,0),$E1296&lt;=VLOOKUP($D1296,Merchantability!$B:$E,4,0)),(AV1296*O1296)*(1-$H1296/100),""),"")</f>
        <v/>
      </c>
      <c r="AZ1296" s="116"/>
      <c r="BA1296" s="116"/>
      <c r="BB1296" s="116"/>
      <c r="BE1296" s="62"/>
      <c r="BF1296" s="63"/>
    </row>
    <row r="1297" spans="1:58" ht="12.75" customHeight="1" x14ac:dyDescent="0.25">
      <c r="A1297" s="333"/>
      <c r="B1297" s="334"/>
      <c r="C1297" s="332"/>
      <c r="D1297" s="334"/>
      <c r="E1297" s="335"/>
      <c r="F1297" s="334"/>
      <c r="G1297" s="332"/>
      <c r="H1297" s="332"/>
      <c r="I1297" s="334"/>
      <c r="J1297" s="336"/>
      <c r="K1297" s="332"/>
      <c r="L1297" s="332"/>
      <c r="M1297" s="76"/>
      <c r="N1297" s="103" t="str">
        <f>IF(A1297="","",VLOOKUP(A1297,Stand!C:K,9,0))</f>
        <v/>
      </c>
      <c r="O1297" s="104" t="str">
        <f t="shared" si="578"/>
        <v/>
      </c>
      <c r="P1297" s="105" t="str">
        <f t="shared" si="579"/>
        <v/>
      </c>
      <c r="Q1297" s="105" t="str">
        <f t="shared" si="567"/>
        <v/>
      </c>
      <c r="R1297" s="103" t="str">
        <f t="shared" si="580"/>
        <v/>
      </c>
      <c r="S1297" s="103" t="str">
        <f t="shared" si="581"/>
        <v/>
      </c>
      <c r="T1297" s="106" t="str">
        <f t="shared" si="568"/>
        <v/>
      </c>
      <c r="U1297" s="106" t="str">
        <f t="shared" si="569"/>
        <v/>
      </c>
      <c r="V1297" s="106" t="str">
        <f t="shared" si="570"/>
        <v/>
      </c>
      <c r="W1297" s="105" t="str">
        <f t="shared" si="582"/>
        <v/>
      </c>
      <c r="X1297" s="104" t="str">
        <f t="shared" si="587"/>
        <v/>
      </c>
      <c r="Y1297" s="104" t="str">
        <f t="array" ref="Y1297">IFERROR(IF(ISNUMBER(O1297),IF(COUNT(IF(A1297=$A$2:$A$2427,IF(D1297=$D$2:$D$2427,IF($X$2:$X$2427&gt;0,1))))&gt;0,SUM(IF(A1297=$A$2:$A$2427,IF(D1297=$D$2:$D$2427,$X$2:$X$2427)))/COUNT(IF(A1297=$A$2:$A$2427,IF(D1297=$D$2:$D$2427,IF(ISNUMBER($X$2:$X$2427),1)))),0),""),0)</f>
        <v/>
      </c>
      <c r="Z1297" s="104" t="str">
        <f>IF(ISNUMBER(O1297),IF(I1297&gt;0,(10^(VLOOKUP(D1297,'Species Codes'!B:C,2,0)+VLOOKUP(D1297,'Species Codes'!B:D,3,0)*LOG(E1297)+VLOOKUP(D1297,'Species Codes'!B:E,4,0)*LOG(I1297))),0),"")</f>
        <v/>
      </c>
      <c r="AA1297" s="104" t="str">
        <f>IFERROR((VLOOKUP(D1297,'Species Codes'!B:G,6,0)*Z1297)/2000,"")</f>
        <v/>
      </c>
      <c r="AB1297" s="104" t="e">
        <f>IF(Z1297&gt;0,((IF(OR(D1297="DF",D1297="RA")=TRUE,EXP(VLOOKUP(D1297,'Species Codes'!B:I,8,0)+VLOOKUP(D1297,'Species Codes'!B:J,9,0)*(LN((E1297*2.54)))),IF(OR(D1297="PY",D1297="RC",D1297="WH",D1297="NF")=TRUE,VLOOKUP(D1297,'Species Codes'!B:I,8,0)+VLOOKUP(D1297,'Species Codes'!B:J,9,0)*((E1297*2.54)^2)*(I1297*0.3048),IF(OR(D1297="MD",D1297="BM",D1297="GA")=TRUE,((VLOOKUP(D1297,'Species Codes'!B:I,8,0)*(((((E1297*2.54)+VLOOKUP(D1297,'Species Codes'!B:J,9,0))/VLOOKUP(D1297,'Species Codes'!B:K,10,0))^VLOOKUP(D1297,'Species Codes'!B:L,11,0))*((I1297*0.3048)^VLOOKUP(D1297,'Species Codes'!B:M,12,0))))-(VLOOKUP(D1297,'Species Codes'!B:I,8,0)*((((E1297*2.54)^VLOOKUP(D1297,'Species Codes'!B:L,11,0))*((I1297*0.3048)^VLOOKUP(D1297,'Species Codes'!B:M,12,0))))))*35.3*VLOOKUP(D1297,'Species Codes'!B:G,6,0)/2.2046,VLOOKUP(D1297,'Species Codes'!B:I,8,0)+VLOOKUP(D1297,'Species Codes'!B:J,9,0)*(((E1297*2.54)/100)^2)*(I1297*0.3048)))))*0.0011023),0)</f>
        <v>#N/A</v>
      </c>
      <c r="AC1297" s="104" t="e">
        <f>IF(Z1297&gt;0,((IF(OR(D1297="RA",D1297="OA",D1297="OT",D1297="UN",D1297="PC"),EXP(VLOOKUP(D1297,'Species Codes'!B:O,14,0)+VLOOKUP(D1297,'Species Codes'!B:P,15,0)*LN((E1297*2.54)))-EXP(VLOOKUP(D1297,'Species Codes'!B:O,14,0)+VLOOKUP(D1297,'Species Codes'!B:P,15,0)*LN((E1297*2.54)))*(1/(VLOOKUP(D1297,'Species Codes'!B:Q,16,0)+VLOOKUP(D1297,'Species Codes'!B:R,17,0)*((E1297*2.54)^VLOOKUP(D1297,'Species Codes'!B:S,18,0)))),IF(OR(D1297="BM",D1297="MD",D1297="OA"),EXP(VLOOKUP(D1297,'Species Codes'!B:O,14,0)+VLOOKUP(D1297,'Species Codes'!B:P,15,0)*LN((E1297*2.54)))*(1-(1/(VLOOKUP(D1297,'Species Codes'!B:Q,16,0)+VLOOKUP(D1297,'Species Codes'!B:R,17,0)*((E1297*2.54)^VLOOKUP(D1297,'Species Codes'!B:S,18,0)))))/1000,IF(D1297="DF",EXP(VLOOKUP(D1297,'Species Codes'!B:O,14,0)+VLOOKUP(D1297,'Species Codes'!B:P,15,0)*LN((E1297*2.54))),VLOOKUP(D1297,'Species Codes'!B:O,14,0)+VLOOKUP(D1297,'Species Codes'!B:P,15,0)*(((E1297*2.54)/100)^2)*(I1297*0.3048)))))*0.0011023),0)</f>
        <v>#N/A</v>
      </c>
      <c r="AD1297" s="104" t="e">
        <f t="shared" si="571"/>
        <v>#N/A</v>
      </c>
      <c r="AE1297" s="104" t="e">
        <f t="shared" si="572"/>
        <v>#N/A</v>
      </c>
      <c r="AF1297" s="104" t="e">
        <f>IF(AND(VLOOKUP($D1297,Merchantability!$B:$C,2,0)="Yes",$E1297&gt;=VLOOKUP($D1297,Merchantability!$B:$D,3,0),$E1297&lt;=VLOOKUP($D1297,Merchantability!$B:$E,4,0)),AA1297,0)</f>
        <v>#N/A</v>
      </c>
      <c r="AG1297" s="104" t="e">
        <f>IF(AND(VLOOKUP($D1297,Merchantability!$B:$C,2,0)="Yes",$E1297&gt;=VLOOKUP($D1297,Merchantability!$B:$D,3,0),$E1297&lt;=VLOOKUP($D1297,Merchantability!$B:$E,4,0)),AB1297,0)</f>
        <v>#N/A</v>
      </c>
      <c r="AH1297" s="104" t="e">
        <f>IF(AND(VLOOKUP($D1297,Merchantability!$B:$C,2,0)="Yes",$E1297&gt;=VLOOKUP($D1297,Merchantability!$B:$D,3,0),$E1297&lt;=VLOOKUP($D1297,Merchantability!$B:$E,4,0)),AC1297,0)</f>
        <v>#N/A</v>
      </c>
      <c r="AI1297" s="104" t="e">
        <f t="shared" si="573"/>
        <v>#N/A</v>
      </c>
      <c r="AJ1297" s="104" t="e">
        <f t="shared" si="574"/>
        <v>#VALUE!</v>
      </c>
      <c r="AK1297" s="104" t="e">
        <f t="shared" si="575"/>
        <v>#N/A</v>
      </c>
      <c r="AL1297" s="104" t="e">
        <f t="shared" si="576"/>
        <v>#N/A</v>
      </c>
      <c r="AM1297" s="104" t="e">
        <f t="shared" si="577"/>
        <v>#N/A</v>
      </c>
      <c r="AN1297" s="104" t="e">
        <f t="shared" si="588"/>
        <v>#N/A</v>
      </c>
      <c r="AO1297" s="104" t="e">
        <f t="shared" si="589"/>
        <v>#N/A</v>
      </c>
      <c r="AP1297" s="104" t="e">
        <f t="shared" si="590"/>
        <v>#N/A</v>
      </c>
      <c r="AQ1297" s="104" t="e">
        <f t="shared" si="591"/>
        <v>#N/A</v>
      </c>
      <c r="AR1297" s="105" t="str">
        <f t="shared" si="583"/>
        <v/>
      </c>
      <c r="AS1297" s="105" t="str">
        <f t="shared" si="584"/>
        <v/>
      </c>
      <c r="AT1297" s="108" t="str">
        <f t="shared" si="585"/>
        <v/>
      </c>
      <c r="AU1297" s="108" t="str">
        <f t="shared" si="586"/>
        <v/>
      </c>
      <c r="AV1297" s="107" t="str">
        <f>IF(ISNUMBER(O1297),IF(VLOOKUP($A1297,Stand!C:J,8,FALSE)="Short",AT1297,AU1297),"")</f>
        <v/>
      </c>
      <c r="AW1297" s="109" t="str">
        <f t="shared" si="592"/>
        <v/>
      </c>
      <c r="AX1297" s="109" t="str">
        <f t="shared" si="593"/>
        <v/>
      </c>
      <c r="AY1297" s="112" t="str">
        <f>IF(ISNUMBER(O1297),IF(AND(VLOOKUP($D1297,Merchantability!$B:$C,2,0)="Yes",$E1297&gt;=VLOOKUP($D1297,Merchantability!$B:$D,3,0),$E1297&lt;=VLOOKUP($D1297,Merchantability!$B:$E,4,0)),(AV1297*O1297)*(1-$H1297/100),""),"")</f>
        <v/>
      </c>
      <c r="AZ1297" s="116"/>
      <c r="BA1297" s="116"/>
      <c r="BB1297" s="116"/>
      <c r="BE1297" s="62"/>
      <c r="BF1297" s="63"/>
    </row>
    <row r="1298" spans="1:58" ht="12.75" customHeight="1" x14ac:dyDescent="0.25">
      <c r="A1298" s="333"/>
      <c r="B1298" s="334"/>
      <c r="C1298" s="332"/>
      <c r="D1298" s="334"/>
      <c r="E1298" s="335"/>
      <c r="F1298" s="334"/>
      <c r="G1298" s="332"/>
      <c r="H1298" s="332"/>
      <c r="I1298" s="334"/>
      <c r="J1298" s="336"/>
      <c r="K1298" s="332"/>
      <c r="L1298" s="332"/>
      <c r="M1298" s="76"/>
      <c r="N1298" s="103" t="str">
        <f>IF(A1298="","",VLOOKUP(A1298,Stand!C:K,9,0))</f>
        <v/>
      </c>
      <c r="O1298" s="104" t="str">
        <f t="shared" si="578"/>
        <v/>
      </c>
      <c r="P1298" s="105" t="str">
        <f t="shared" si="579"/>
        <v/>
      </c>
      <c r="Q1298" s="105" t="str">
        <f t="shared" si="567"/>
        <v/>
      </c>
      <c r="R1298" s="103" t="str">
        <f t="shared" si="580"/>
        <v/>
      </c>
      <c r="S1298" s="103" t="str">
        <f t="shared" si="581"/>
        <v/>
      </c>
      <c r="T1298" s="106" t="str">
        <f t="shared" si="568"/>
        <v/>
      </c>
      <c r="U1298" s="106" t="str">
        <f t="shared" si="569"/>
        <v/>
      </c>
      <c r="V1298" s="106" t="str">
        <f t="shared" si="570"/>
        <v/>
      </c>
      <c r="W1298" s="105" t="str">
        <f t="shared" si="582"/>
        <v/>
      </c>
      <c r="X1298" s="104" t="str">
        <f t="shared" si="587"/>
        <v/>
      </c>
      <c r="Y1298" s="104" t="str">
        <f t="array" ref="Y1298">IFERROR(IF(ISNUMBER(O1298),IF(COUNT(IF(A1298=$A$2:$A$2427,IF(D1298=$D$2:$D$2427,IF($X$2:$X$2427&gt;0,1))))&gt;0,SUM(IF(A1298=$A$2:$A$2427,IF(D1298=$D$2:$D$2427,$X$2:$X$2427)))/COUNT(IF(A1298=$A$2:$A$2427,IF(D1298=$D$2:$D$2427,IF(ISNUMBER($X$2:$X$2427),1)))),0),""),0)</f>
        <v/>
      </c>
      <c r="Z1298" s="104" t="str">
        <f>IF(ISNUMBER(O1298),IF(I1298&gt;0,(10^(VLOOKUP(D1298,'Species Codes'!B:C,2,0)+VLOOKUP(D1298,'Species Codes'!B:D,3,0)*LOG(E1298)+VLOOKUP(D1298,'Species Codes'!B:E,4,0)*LOG(I1298))),0),"")</f>
        <v/>
      </c>
      <c r="AA1298" s="104" t="str">
        <f>IFERROR((VLOOKUP(D1298,'Species Codes'!B:G,6,0)*Z1298)/2000,"")</f>
        <v/>
      </c>
      <c r="AB1298" s="104" t="e">
        <f>IF(Z1298&gt;0,((IF(OR(D1298="DF",D1298="RA")=TRUE,EXP(VLOOKUP(D1298,'Species Codes'!B:I,8,0)+VLOOKUP(D1298,'Species Codes'!B:J,9,0)*(LN((E1298*2.54)))),IF(OR(D1298="PY",D1298="RC",D1298="WH",D1298="NF")=TRUE,VLOOKUP(D1298,'Species Codes'!B:I,8,0)+VLOOKUP(D1298,'Species Codes'!B:J,9,0)*((E1298*2.54)^2)*(I1298*0.3048),IF(OR(D1298="MD",D1298="BM",D1298="GA")=TRUE,((VLOOKUP(D1298,'Species Codes'!B:I,8,0)*(((((E1298*2.54)+VLOOKUP(D1298,'Species Codes'!B:J,9,0))/VLOOKUP(D1298,'Species Codes'!B:K,10,0))^VLOOKUP(D1298,'Species Codes'!B:L,11,0))*((I1298*0.3048)^VLOOKUP(D1298,'Species Codes'!B:M,12,0))))-(VLOOKUP(D1298,'Species Codes'!B:I,8,0)*((((E1298*2.54)^VLOOKUP(D1298,'Species Codes'!B:L,11,0))*((I1298*0.3048)^VLOOKUP(D1298,'Species Codes'!B:M,12,0))))))*35.3*VLOOKUP(D1298,'Species Codes'!B:G,6,0)/2.2046,VLOOKUP(D1298,'Species Codes'!B:I,8,0)+VLOOKUP(D1298,'Species Codes'!B:J,9,0)*(((E1298*2.54)/100)^2)*(I1298*0.3048)))))*0.0011023),0)</f>
        <v>#N/A</v>
      </c>
      <c r="AC1298" s="104" t="e">
        <f>IF(Z1298&gt;0,((IF(OR(D1298="RA",D1298="OA",D1298="OT",D1298="UN",D1298="PC"),EXP(VLOOKUP(D1298,'Species Codes'!B:O,14,0)+VLOOKUP(D1298,'Species Codes'!B:P,15,0)*LN((E1298*2.54)))-EXP(VLOOKUP(D1298,'Species Codes'!B:O,14,0)+VLOOKUP(D1298,'Species Codes'!B:P,15,0)*LN((E1298*2.54)))*(1/(VLOOKUP(D1298,'Species Codes'!B:Q,16,0)+VLOOKUP(D1298,'Species Codes'!B:R,17,0)*((E1298*2.54)^VLOOKUP(D1298,'Species Codes'!B:S,18,0)))),IF(OR(D1298="BM",D1298="MD",D1298="OA"),EXP(VLOOKUP(D1298,'Species Codes'!B:O,14,0)+VLOOKUP(D1298,'Species Codes'!B:P,15,0)*LN((E1298*2.54)))*(1-(1/(VLOOKUP(D1298,'Species Codes'!B:Q,16,0)+VLOOKUP(D1298,'Species Codes'!B:R,17,0)*((E1298*2.54)^VLOOKUP(D1298,'Species Codes'!B:S,18,0)))))/1000,IF(D1298="DF",EXP(VLOOKUP(D1298,'Species Codes'!B:O,14,0)+VLOOKUP(D1298,'Species Codes'!B:P,15,0)*LN((E1298*2.54))),VLOOKUP(D1298,'Species Codes'!B:O,14,0)+VLOOKUP(D1298,'Species Codes'!B:P,15,0)*(((E1298*2.54)/100)^2)*(I1298*0.3048)))))*0.0011023),0)</f>
        <v>#N/A</v>
      </c>
      <c r="AD1298" s="104" t="e">
        <f t="shared" si="571"/>
        <v>#N/A</v>
      </c>
      <c r="AE1298" s="104" t="e">
        <f t="shared" si="572"/>
        <v>#N/A</v>
      </c>
      <c r="AF1298" s="104" t="e">
        <f>IF(AND(VLOOKUP($D1298,Merchantability!$B:$C,2,0)="Yes",$E1298&gt;=VLOOKUP($D1298,Merchantability!$B:$D,3,0),$E1298&lt;=VLOOKUP($D1298,Merchantability!$B:$E,4,0)),AA1298,0)</f>
        <v>#N/A</v>
      </c>
      <c r="AG1298" s="104" t="e">
        <f>IF(AND(VLOOKUP($D1298,Merchantability!$B:$C,2,0)="Yes",$E1298&gt;=VLOOKUP($D1298,Merchantability!$B:$D,3,0),$E1298&lt;=VLOOKUP($D1298,Merchantability!$B:$E,4,0)),AB1298,0)</f>
        <v>#N/A</v>
      </c>
      <c r="AH1298" s="104" t="e">
        <f>IF(AND(VLOOKUP($D1298,Merchantability!$B:$C,2,0)="Yes",$E1298&gt;=VLOOKUP($D1298,Merchantability!$B:$D,3,0),$E1298&lt;=VLOOKUP($D1298,Merchantability!$B:$E,4,0)),AC1298,0)</f>
        <v>#N/A</v>
      </c>
      <c r="AI1298" s="104" t="e">
        <f t="shared" si="573"/>
        <v>#N/A</v>
      </c>
      <c r="AJ1298" s="104" t="e">
        <f t="shared" si="574"/>
        <v>#VALUE!</v>
      </c>
      <c r="AK1298" s="104" t="e">
        <f t="shared" si="575"/>
        <v>#N/A</v>
      </c>
      <c r="AL1298" s="104" t="e">
        <f t="shared" si="576"/>
        <v>#N/A</v>
      </c>
      <c r="AM1298" s="104" t="e">
        <f t="shared" si="577"/>
        <v>#N/A</v>
      </c>
      <c r="AN1298" s="104" t="e">
        <f t="shared" si="588"/>
        <v>#N/A</v>
      </c>
      <c r="AO1298" s="104" t="e">
        <f t="shared" si="589"/>
        <v>#N/A</v>
      </c>
      <c r="AP1298" s="104" t="e">
        <f t="shared" si="590"/>
        <v>#N/A</v>
      </c>
      <c r="AQ1298" s="104" t="e">
        <f t="shared" si="591"/>
        <v>#N/A</v>
      </c>
      <c r="AR1298" s="105" t="str">
        <f t="shared" si="583"/>
        <v/>
      </c>
      <c r="AS1298" s="105" t="str">
        <f t="shared" si="584"/>
        <v/>
      </c>
      <c r="AT1298" s="108" t="str">
        <f t="shared" si="585"/>
        <v/>
      </c>
      <c r="AU1298" s="108" t="str">
        <f t="shared" si="586"/>
        <v/>
      </c>
      <c r="AV1298" s="107" t="str">
        <f>IF(ISNUMBER(O1298),IF(VLOOKUP($A1298,Stand!C:J,8,FALSE)="Short",AT1298,AU1298),"")</f>
        <v/>
      </c>
      <c r="AW1298" s="109" t="str">
        <f t="shared" si="592"/>
        <v/>
      </c>
      <c r="AX1298" s="109" t="str">
        <f t="shared" si="593"/>
        <v/>
      </c>
      <c r="AY1298" s="112" t="str">
        <f>IF(ISNUMBER(O1298),IF(AND(VLOOKUP($D1298,Merchantability!$B:$C,2,0)="Yes",$E1298&gt;=VLOOKUP($D1298,Merchantability!$B:$D,3,0),$E1298&lt;=VLOOKUP($D1298,Merchantability!$B:$E,4,0)),(AV1298*O1298)*(1-$H1298/100),""),"")</f>
        <v/>
      </c>
      <c r="AZ1298" s="116"/>
      <c r="BA1298" s="116"/>
      <c r="BB1298" s="116"/>
      <c r="BE1298" s="62"/>
      <c r="BF1298" s="63"/>
    </row>
    <row r="1299" spans="1:58" ht="12.75" customHeight="1" x14ac:dyDescent="0.25">
      <c r="A1299" s="333"/>
      <c r="B1299" s="334"/>
      <c r="C1299" s="332"/>
      <c r="D1299" s="334"/>
      <c r="E1299" s="335"/>
      <c r="F1299" s="334"/>
      <c r="G1299" s="332"/>
      <c r="H1299" s="332"/>
      <c r="I1299" s="334"/>
      <c r="J1299" s="336"/>
      <c r="K1299" s="332"/>
      <c r="L1299" s="332"/>
      <c r="M1299" s="76"/>
      <c r="N1299" s="103" t="str">
        <f>IF(A1299="","",VLOOKUP(A1299,Stand!C:K,9,0))</f>
        <v/>
      </c>
      <c r="O1299" s="104" t="str">
        <f t="shared" si="578"/>
        <v/>
      </c>
      <c r="P1299" s="105" t="str">
        <f t="shared" si="579"/>
        <v/>
      </c>
      <c r="Q1299" s="105" t="str">
        <f t="shared" si="567"/>
        <v/>
      </c>
      <c r="R1299" s="103" t="str">
        <f t="shared" si="580"/>
        <v/>
      </c>
      <c r="S1299" s="103" t="str">
        <f t="shared" si="581"/>
        <v/>
      </c>
      <c r="T1299" s="106" t="str">
        <f t="shared" si="568"/>
        <v/>
      </c>
      <c r="U1299" s="106" t="str">
        <f t="shared" si="569"/>
        <v/>
      </c>
      <c r="V1299" s="106" t="str">
        <f t="shared" si="570"/>
        <v/>
      </c>
      <c r="W1299" s="105" t="str">
        <f t="shared" si="582"/>
        <v/>
      </c>
      <c r="X1299" s="104" t="str">
        <f t="shared" si="587"/>
        <v/>
      </c>
      <c r="Y1299" s="104" t="str">
        <f t="array" ref="Y1299">IFERROR(IF(ISNUMBER(O1299),IF(COUNT(IF(A1299=$A$2:$A$2427,IF(D1299=$D$2:$D$2427,IF($X$2:$X$2427&gt;0,1))))&gt;0,SUM(IF(A1299=$A$2:$A$2427,IF(D1299=$D$2:$D$2427,$X$2:$X$2427)))/COUNT(IF(A1299=$A$2:$A$2427,IF(D1299=$D$2:$D$2427,IF(ISNUMBER($X$2:$X$2427),1)))),0),""),0)</f>
        <v/>
      </c>
      <c r="Z1299" s="104" t="str">
        <f>IF(ISNUMBER(O1299),IF(I1299&gt;0,(10^(VLOOKUP(D1299,'Species Codes'!B:C,2,0)+VLOOKUP(D1299,'Species Codes'!B:D,3,0)*LOG(E1299)+VLOOKUP(D1299,'Species Codes'!B:E,4,0)*LOG(I1299))),0),"")</f>
        <v/>
      </c>
      <c r="AA1299" s="104" t="str">
        <f>IFERROR((VLOOKUP(D1299,'Species Codes'!B:G,6,0)*Z1299)/2000,"")</f>
        <v/>
      </c>
      <c r="AB1299" s="104" t="e">
        <f>IF(Z1299&gt;0,((IF(OR(D1299="DF",D1299="RA")=TRUE,EXP(VLOOKUP(D1299,'Species Codes'!B:I,8,0)+VLOOKUP(D1299,'Species Codes'!B:J,9,0)*(LN((E1299*2.54)))),IF(OR(D1299="PY",D1299="RC",D1299="WH",D1299="NF")=TRUE,VLOOKUP(D1299,'Species Codes'!B:I,8,0)+VLOOKUP(D1299,'Species Codes'!B:J,9,0)*((E1299*2.54)^2)*(I1299*0.3048),IF(OR(D1299="MD",D1299="BM",D1299="GA")=TRUE,((VLOOKUP(D1299,'Species Codes'!B:I,8,0)*(((((E1299*2.54)+VLOOKUP(D1299,'Species Codes'!B:J,9,0))/VLOOKUP(D1299,'Species Codes'!B:K,10,0))^VLOOKUP(D1299,'Species Codes'!B:L,11,0))*((I1299*0.3048)^VLOOKUP(D1299,'Species Codes'!B:M,12,0))))-(VLOOKUP(D1299,'Species Codes'!B:I,8,0)*((((E1299*2.54)^VLOOKUP(D1299,'Species Codes'!B:L,11,0))*((I1299*0.3048)^VLOOKUP(D1299,'Species Codes'!B:M,12,0))))))*35.3*VLOOKUP(D1299,'Species Codes'!B:G,6,0)/2.2046,VLOOKUP(D1299,'Species Codes'!B:I,8,0)+VLOOKUP(D1299,'Species Codes'!B:J,9,0)*(((E1299*2.54)/100)^2)*(I1299*0.3048)))))*0.0011023),0)</f>
        <v>#N/A</v>
      </c>
      <c r="AC1299" s="104" t="e">
        <f>IF(Z1299&gt;0,((IF(OR(D1299="RA",D1299="OA",D1299="OT",D1299="UN",D1299="PC"),EXP(VLOOKUP(D1299,'Species Codes'!B:O,14,0)+VLOOKUP(D1299,'Species Codes'!B:P,15,0)*LN((E1299*2.54)))-EXP(VLOOKUP(D1299,'Species Codes'!B:O,14,0)+VLOOKUP(D1299,'Species Codes'!B:P,15,0)*LN((E1299*2.54)))*(1/(VLOOKUP(D1299,'Species Codes'!B:Q,16,0)+VLOOKUP(D1299,'Species Codes'!B:R,17,0)*((E1299*2.54)^VLOOKUP(D1299,'Species Codes'!B:S,18,0)))),IF(OR(D1299="BM",D1299="MD",D1299="OA"),EXP(VLOOKUP(D1299,'Species Codes'!B:O,14,0)+VLOOKUP(D1299,'Species Codes'!B:P,15,0)*LN((E1299*2.54)))*(1-(1/(VLOOKUP(D1299,'Species Codes'!B:Q,16,0)+VLOOKUP(D1299,'Species Codes'!B:R,17,0)*((E1299*2.54)^VLOOKUP(D1299,'Species Codes'!B:S,18,0)))))/1000,IF(D1299="DF",EXP(VLOOKUP(D1299,'Species Codes'!B:O,14,0)+VLOOKUP(D1299,'Species Codes'!B:P,15,0)*LN((E1299*2.54))),VLOOKUP(D1299,'Species Codes'!B:O,14,0)+VLOOKUP(D1299,'Species Codes'!B:P,15,0)*(((E1299*2.54)/100)^2)*(I1299*0.3048)))))*0.0011023),0)</f>
        <v>#N/A</v>
      </c>
      <c r="AD1299" s="104" t="e">
        <f t="shared" si="571"/>
        <v>#N/A</v>
      </c>
      <c r="AE1299" s="104" t="e">
        <f t="shared" si="572"/>
        <v>#N/A</v>
      </c>
      <c r="AF1299" s="104" t="e">
        <f>IF(AND(VLOOKUP($D1299,Merchantability!$B:$C,2,0)="Yes",$E1299&gt;=VLOOKUP($D1299,Merchantability!$B:$D,3,0),$E1299&lt;=VLOOKUP($D1299,Merchantability!$B:$E,4,0)),AA1299,0)</f>
        <v>#N/A</v>
      </c>
      <c r="AG1299" s="104" t="e">
        <f>IF(AND(VLOOKUP($D1299,Merchantability!$B:$C,2,0)="Yes",$E1299&gt;=VLOOKUP($D1299,Merchantability!$B:$D,3,0),$E1299&lt;=VLOOKUP($D1299,Merchantability!$B:$E,4,0)),AB1299,0)</f>
        <v>#N/A</v>
      </c>
      <c r="AH1299" s="104" t="e">
        <f>IF(AND(VLOOKUP($D1299,Merchantability!$B:$C,2,0)="Yes",$E1299&gt;=VLOOKUP($D1299,Merchantability!$B:$D,3,0),$E1299&lt;=VLOOKUP($D1299,Merchantability!$B:$E,4,0)),AC1299,0)</f>
        <v>#N/A</v>
      </c>
      <c r="AI1299" s="104" t="e">
        <f t="shared" si="573"/>
        <v>#N/A</v>
      </c>
      <c r="AJ1299" s="104" t="e">
        <f t="shared" si="574"/>
        <v>#VALUE!</v>
      </c>
      <c r="AK1299" s="104" t="e">
        <f t="shared" si="575"/>
        <v>#N/A</v>
      </c>
      <c r="AL1299" s="104" t="e">
        <f t="shared" si="576"/>
        <v>#N/A</v>
      </c>
      <c r="AM1299" s="104" t="e">
        <f t="shared" si="577"/>
        <v>#N/A</v>
      </c>
      <c r="AN1299" s="104" t="e">
        <f t="shared" si="588"/>
        <v>#N/A</v>
      </c>
      <c r="AO1299" s="104" t="e">
        <f t="shared" si="589"/>
        <v>#N/A</v>
      </c>
      <c r="AP1299" s="104" t="e">
        <f t="shared" si="590"/>
        <v>#N/A</v>
      </c>
      <c r="AQ1299" s="104" t="e">
        <f t="shared" si="591"/>
        <v>#N/A</v>
      </c>
      <c r="AR1299" s="105" t="str">
        <f t="shared" si="583"/>
        <v/>
      </c>
      <c r="AS1299" s="105" t="str">
        <f t="shared" si="584"/>
        <v/>
      </c>
      <c r="AT1299" s="108" t="str">
        <f t="shared" si="585"/>
        <v/>
      </c>
      <c r="AU1299" s="108" t="str">
        <f t="shared" si="586"/>
        <v/>
      </c>
      <c r="AV1299" s="107" t="str">
        <f>IF(ISNUMBER(O1299),IF(VLOOKUP($A1299,Stand!C:J,8,FALSE)="Short",AT1299,AU1299),"")</f>
        <v/>
      </c>
      <c r="AW1299" s="109" t="str">
        <f t="shared" si="592"/>
        <v/>
      </c>
      <c r="AX1299" s="109" t="str">
        <f t="shared" si="593"/>
        <v/>
      </c>
      <c r="AY1299" s="112" t="str">
        <f>IF(ISNUMBER(O1299),IF(AND(VLOOKUP($D1299,Merchantability!$B:$C,2,0)="Yes",$E1299&gt;=VLOOKUP($D1299,Merchantability!$B:$D,3,0),$E1299&lt;=VLOOKUP($D1299,Merchantability!$B:$E,4,0)),(AV1299*O1299)*(1-$H1299/100),""),"")</f>
        <v/>
      </c>
      <c r="AZ1299" s="116"/>
      <c r="BA1299" s="116"/>
      <c r="BB1299" s="116"/>
      <c r="BE1299" s="62"/>
      <c r="BF1299" s="63"/>
    </row>
    <row r="1300" spans="1:58" ht="12.75" customHeight="1" x14ac:dyDescent="0.25">
      <c r="A1300" s="333"/>
      <c r="B1300" s="334"/>
      <c r="C1300" s="332"/>
      <c r="D1300" s="334"/>
      <c r="E1300" s="335"/>
      <c r="F1300" s="334"/>
      <c r="G1300" s="332"/>
      <c r="H1300" s="332"/>
      <c r="I1300" s="334"/>
      <c r="J1300" s="336"/>
      <c r="K1300" s="332"/>
      <c r="L1300" s="332"/>
      <c r="M1300" s="76"/>
      <c r="N1300" s="103" t="str">
        <f>IF(A1300="","",VLOOKUP(A1300,Stand!C:K,9,0))</f>
        <v/>
      </c>
      <c r="O1300" s="104" t="str">
        <f t="shared" si="578"/>
        <v/>
      </c>
      <c r="P1300" s="105" t="str">
        <f t="shared" si="579"/>
        <v/>
      </c>
      <c r="Q1300" s="105" t="str">
        <f t="shared" si="567"/>
        <v/>
      </c>
      <c r="R1300" s="103" t="str">
        <f t="shared" si="580"/>
        <v/>
      </c>
      <c r="S1300" s="103" t="str">
        <f t="shared" si="581"/>
        <v/>
      </c>
      <c r="T1300" s="106" t="str">
        <f t="shared" si="568"/>
        <v/>
      </c>
      <c r="U1300" s="106" t="str">
        <f t="shared" si="569"/>
        <v/>
      </c>
      <c r="V1300" s="106" t="str">
        <f t="shared" si="570"/>
        <v/>
      </c>
      <c r="W1300" s="105" t="str">
        <f t="shared" si="582"/>
        <v/>
      </c>
      <c r="X1300" s="104" t="str">
        <f t="shared" si="587"/>
        <v/>
      </c>
      <c r="Y1300" s="104" t="str">
        <f t="array" ref="Y1300">IFERROR(IF(ISNUMBER(O1300),IF(COUNT(IF(A1300=$A$2:$A$2427,IF(D1300=$D$2:$D$2427,IF($X$2:$X$2427&gt;0,1))))&gt;0,SUM(IF(A1300=$A$2:$A$2427,IF(D1300=$D$2:$D$2427,$X$2:$X$2427)))/COUNT(IF(A1300=$A$2:$A$2427,IF(D1300=$D$2:$D$2427,IF(ISNUMBER($X$2:$X$2427),1)))),0),""),0)</f>
        <v/>
      </c>
      <c r="Z1300" s="104" t="str">
        <f>IF(ISNUMBER(O1300),IF(I1300&gt;0,(10^(VLOOKUP(D1300,'Species Codes'!B:C,2,0)+VLOOKUP(D1300,'Species Codes'!B:D,3,0)*LOG(E1300)+VLOOKUP(D1300,'Species Codes'!B:E,4,0)*LOG(I1300))),0),"")</f>
        <v/>
      </c>
      <c r="AA1300" s="104" t="str">
        <f>IFERROR((VLOOKUP(D1300,'Species Codes'!B:G,6,0)*Z1300)/2000,"")</f>
        <v/>
      </c>
      <c r="AB1300" s="104" t="e">
        <f>IF(Z1300&gt;0,((IF(OR(D1300="DF",D1300="RA")=TRUE,EXP(VLOOKUP(D1300,'Species Codes'!B:I,8,0)+VLOOKUP(D1300,'Species Codes'!B:J,9,0)*(LN((E1300*2.54)))),IF(OR(D1300="PY",D1300="RC",D1300="WH",D1300="NF")=TRUE,VLOOKUP(D1300,'Species Codes'!B:I,8,0)+VLOOKUP(D1300,'Species Codes'!B:J,9,0)*((E1300*2.54)^2)*(I1300*0.3048),IF(OR(D1300="MD",D1300="BM",D1300="GA")=TRUE,((VLOOKUP(D1300,'Species Codes'!B:I,8,0)*(((((E1300*2.54)+VLOOKUP(D1300,'Species Codes'!B:J,9,0))/VLOOKUP(D1300,'Species Codes'!B:K,10,0))^VLOOKUP(D1300,'Species Codes'!B:L,11,0))*((I1300*0.3048)^VLOOKUP(D1300,'Species Codes'!B:M,12,0))))-(VLOOKUP(D1300,'Species Codes'!B:I,8,0)*((((E1300*2.54)^VLOOKUP(D1300,'Species Codes'!B:L,11,0))*((I1300*0.3048)^VLOOKUP(D1300,'Species Codes'!B:M,12,0))))))*35.3*VLOOKUP(D1300,'Species Codes'!B:G,6,0)/2.2046,VLOOKUP(D1300,'Species Codes'!B:I,8,0)+VLOOKUP(D1300,'Species Codes'!B:J,9,0)*(((E1300*2.54)/100)^2)*(I1300*0.3048)))))*0.0011023),0)</f>
        <v>#N/A</v>
      </c>
      <c r="AC1300" s="104" t="e">
        <f>IF(Z1300&gt;0,((IF(OR(D1300="RA",D1300="OA",D1300="OT",D1300="UN",D1300="PC"),EXP(VLOOKUP(D1300,'Species Codes'!B:O,14,0)+VLOOKUP(D1300,'Species Codes'!B:P,15,0)*LN((E1300*2.54)))-EXP(VLOOKUP(D1300,'Species Codes'!B:O,14,0)+VLOOKUP(D1300,'Species Codes'!B:P,15,0)*LN((E1300*2.54)))*(1/(VLOOKUP(D1300,'Species Codes'!B:Q,16,0)+VLOOKUP(D1300,'Species Codes'!B:R,17,0)*((E1300*2.54)^VLOOKUP(D1300,'Species Codes'!B:S,18,0)))),IF(OR(D1300="BM",D1300="MD",D1300="OA"),EXP(VLOOKUP(D1300,'Species Codes'!B:O,14,0)+VLOOKUP(D1300,'Species Codes'!B:P,15,0)*LN((E1300*2.54)))*(1-(1/(VLOOKUP(D1300,'Species Codes'!B:Q,16,0)+VLOOKUP(D1300,'Species Codes'!B:R,17,0)*((E1300*2.54)^VLOOKUP(D1300,'Species Codes'!B:S,18,0)))))/1000,IF(D1300="DF",EXP(VLOOKUP(D1300,'Species Codes'!B:O,14,0)+VLOOKUP(D1300,'Species Codes'!B:P,15,0)*LN((E1300*2.54))),VLOOKUP(D1300,'Species Codes'!B:O,14,0)+VLOOKUP(D1300,'Species Codes'!B:P,15,0)*(((E1300*2.54)/100)^2)*(I1300*0.3048)))))*0.0011023),0)</f>
        <v>#N/A</v>
      </c>
      <c r="AD1300" s="104" t="e">
        <f t="shared" si="571"/>
        <v>#N/A</v>
      </c>
      <c r="AE1300" s="104" t="e">
        <f t="shared" si="572"/>
        <v>#N/A</v>
      </c>
      <c r="AF1300" s="104" t="e">
        <f>IF(AND(VLOOKUP($D1300,Merchantability!$B:$C,2,0)="Yes",$E1300&gt;=VLOOKUP($D1300,Merchantability!$B:$D,3,0),$E1300&lt;=VLOOKUP($D1300,Merchantability!$B:$E,4,0)),AA1300,0)</f>
        <v>#N/A</v>
      </c>
      <c r="AG1300" s="104" t="e">
        <f>IF(AND(VLOOKUP($D1300,Merchantability!$B:$C,2,0)="Yes",$E1300&gt;=VLOOKUP($D1300,Merchantability!$B:$D,3,0),$E1300&lt;=VLOOKUP($D1300,Merchantability!$B:$E,4,0)),AB1300,0)</f>
        <v>#N/A</v>
      </c>
      <c r="AH1300" s="104" t="e">
        <f>IF(AND(VLOOKUP($D1300,Merchantability!$B:$C,2,0)="Yes",$E1300&gt;=VLOOKUP($D1300,Merchantability!$B:$D,3,0),$E1300&lt;=VLOOKUP($D1300,Merchantability!$B:$E,4,0)),AC1300,0)</f>
        <v>#N/A</v>
      </c>
      <c r="AI1300" s="104" t="e">
        <f t="shared" si="573"/>
        <v>#N/A</v>
      </c>
      <c r="AJ1300" s="104" t="e">
        <f t="shared" si="574"/>
        <v>#VALUE!</v>
      </c>
      <c r="AK1300" s="104" t="e">
        <f t="shared" si="575"/>
        <v>#N/A</v>
      </c>
      <c r="AL1300" s="104" t="e">
        <f t="shared" si="576"/>
        <v>#N/A</v>
      </c>
      <c r="AM1300" s="104" t="e">
        <f t="shared" si="577"/>
        <v>#N/A</v>
      </c>
      <c r="AN1300" s="104" t="e">
        <f t="shared" si="588"/>
        <v>#N/A</v>
      </c>
      <c r="AO1300" s="104" t="e">
        <f t="shared" si="589"/>
        <v>#N/A</v>
      </c>
      <c r="AP1300" s="104" t="e">
        <f t="shared" si="590"/>
        <v>#N/A</v>
      </c>
      <c r="AQ1300" s="104" t="e">
        <f t="shared" si="591"/>
        <v>#N/A</v>
      </c>
      <c r="AR1300" s="105" t="str">
        <f t="shared" si="583"/>
        <v/>
      </c>
      <c r="AS1300" s="105" t="str">
        <f t="shared" si="584"/>
        <v/>
      </c>
      <c r="AT1300" s="108" t="str">
        <f t="shared" si="585"/>
        <v/>
      </c>
      <c r="AU1300" s="108" t="str">
        <f t="shared" si="586"/>
        <v/>
      </c>
      <c r="AV1300" s="107" t="str">
        <f>IF(ISNUMBER(O1300),IF(VLOOKUP($A1300,Stand!C:J,8,FALSE)="Short",AT1300,AU1300),"")</f>
        <v/>
      </c>
      <c r="AW1300" s="109" t="str">
        <f t="shared" si="592"/>
        <v/>
      </c>
      <c r="AX1300" s="109" t="str">
        <f t="shared" si="593"/>
        <v/>
      </c>
      <c r="AY1300" s="112" t="str">
        <f>IF(ISNUMBER(O1300),IF(AND(VLOOKUP($D1300,Merchantability!$B:$C,2,0)="Yes",$E1300&gt;=VLOOKUP($D1300,Merchantability!$B:$D,3,0),$E1300&lt;=VLOOKUP($D1300,Merchantability!$B:$E,4,0)),(AV1300*O1300)*(1-$H1300/100),""),"")</f>
        <v/>
      </c>
      <c r="AZ1300" s="116"/>
      <c r="BA1300" s="116"/>
      <c r="BB1300" s="116"/>
      <c r="BE1300" s="62"/>
      <c r="BF1300" s="63"/>
    </row>
    <row r="1301" spans="1:58" ht="12.75" customHeight="1" x14ac:dyDescent="0.25">
      <c r="A1301" s="333"/>
      <c r="B1301" s="334"/>
      <c r="C1301" s="332"/>
      <c r="D1301" s="334"/>
      <c r="E1301" s="335"/>
      <c r="F1301" s="334"/>
      <c r="G1301" s="332"/>
      <c r="H1301" s="332"/>
      <c r="I1301" s="334"/>
      <c r="J1301" s="336"/>
      <c r="K1301" s="332"/>
      <c r="L1301" s="332"/>
      <c r="M1301" s="76"/>
      <c r="N1301" s="103" t="str">
        <f>IF(A1301="","",VLOOKUP(A1301,Stand!C:K,9,0))</f>
        <v/>
      </c>
      <c r="O1301" s="104" t="str">
        <f t="shared" si="578"/>
        <v/>
      </c>
      <c r="P1301" s="105" t="str">
        <f t="shared" si="579"/>
        <v/>
      </c>
      <c r="Q1301" s="105" t="str">
        <f t="shared" si="567"/>
        <v/>
      </c>
      <c r="R1301" s="103" t="str">
        <f t="shared" si="580"/>
        <v/>
      </c>
      <c r="S1301" s="103" t="str">
        <f t="shared" si="581"/>
        <v/>
      </c>
      <c r="T1301" s="106" t="str">
        <f t="shared" si="568"/>
        <v/>
      </c>
      <c r="U1301" s="106" t="str">
        <f t="shared" si="569"/>
        <v/>
      </c>
      <c r="V1301" s="106" t="str">
        <f t="shared" si="570"/>
        <v/>
      </c>
      <c r="W1301" s="105" t="str">
        <f t="shared" si="582"/>
        <v/>
      </c>
      <c r="X1301" s="104" t="str">
        <f t="shared" si="587"/>
        <v/>
      </c>
      <c r="Y1301" s="104" t="str">
        <f t="array" ref="Y1301">IFERROR(IF(ISNUMBER(O1301),IF(COUNT(IF(A1301=$A$2:$A$2427,IF(D1301=$D$2:$D$2427,IF($X$2:$X$2427&gt;0,1))))&gt;0,SUM(IF(A1301=$A$2:$A$2427,IF(D1301=$D$2:$D$2427,$X$2:$X$2427)))/COUNT(IF(A1301=$A$2:$A$2427,IF(D1301=$D$2:$D$2427,IF(ISNUMBER($X$2:$X$2427),1)))),0),""),0)</f>
        <v/>
      </c>
      <c r="Z1301" s="104" t="str">
        <f>IF(ISNUMBER(O1301),IF(I1301&gt;0,(10^(VLOOKUP(D1301,'Species Codes'!B:C,2,0)+VLOOKUP(D1301,'Species Codes'!B:D,3,0)*LOG(E1301)+VLOOKUP(D1301,'Species Codes'!B:E,4,0)*LOG(I1301))),0),"")</f>
        <v/>
      </c>
      <c r="AA1301" s="104" t="str">
        <f>IFERROR((VLOOKUP(D1301,'Species Codes'!B:G,6,0)*Z1301)/2000,"")</f>
        <v/>
      </c>
      <c r="AB1301" s="104" t="e">
        <f>IF(Z1301&gt;0,((IF(OR(D1301="DF",D1301="RA")=TRUE,EXP(VLOOKUP(D1301,'Species Codes'!B:I,8,0)+VLOOKUP(D1301,'Species Codes'!B:J,9,0)*(LN((E1301*2.54)))),IF(OR(D1301="PY",D1301="RC",D1301="WH",D1301="NF")=TRUE,VLOOKUP(D1301,'Species Codes'!B:I,8,0)+VLOOKUP(D1301,'Species Codes'!B:J,9,0)*((E1301*2.54)^2)*(I1301*0.3048),IF(OR(D1301="MD",D1301="BM",D1301="GA")=TRUE,((VLOOKUP(D1301,'Species Codes'!B:I,8,0)*(((((E1301*2.54)+VLOOKUP(D1301,'Species Codes'!B:J,9,0))/VLOOKUP(D1301,'Species Codes'!B:K,10,0))^VLOOKUP(D1301,'Species Codes'!B:L,11,0))*((I1301*0.3048)^VLOOKUP(D1301,'Species Codes'!B:M,12,0))))-(VLOOKUP(D1301,'Species Codes'!B:I,8,0)*((((E1301*2.54)^VLOOKUP(D1301,'Species Codes'!B:L,11,0))*((I1301*0.3048)^VLOOKUP(D1301,'Species Codes'!B:M,12,0))))))*35.3*VLOOKUP(D1301,'Species Codes'!B:G,6,0)/2.2046,VLOOKUP(D1301,'Species Codes'!B:I,8,0)+VLOOKUP(D1301,'Species Codes'!B:J,9,0)*(((E1301*2.54)/100)^2)*(I1301*0.3048)))))*0.0011023),0)</f>
        <v>#N/A</v>
      </c>
      <c r="AC1301" s="104" t="e">
        <f>IF(Z1301&gt;0,((IF(OR(D1301="RA",D1301="OA",D1301="OT",D1301="UN",D1301="PC"),EXP(VLOOKUP(D1301,'Species Codes'!B:O,14,0)+VLOOKUP(D1301,'Species Codes'!B:P,15,0)*LN((E1301*2.54)))-EXP(VLOOKUP(D1301,'Species Codes'!B:O,14,0)+VLOOKUP(D1301,'Species Codes'!B:P,15,0)*LN((E1301*2.54)))*(1/(VLOOKUP(D1301,'Species Codes'!B:Q,16,0)+VLOOKUP(D1301,'Species Codes'!B:R,17,0)*((E1301*2.54)^VLOOKUP(D1301,'Species Codes'!B:S,18,0)))),IF(OR(D1301="BM",D1301="MD",D1301="OA"),EXP(VLOOKUP(D1301,'Species Codes'!B:O,14,0)+VLOOKUP(D1301,'Species Codes'!B:P,15,0)*LN((E1301*2.54)))*(1-(1/(VLOOKUP(D1301,'Species Codes'!B:Q,16,0)+VLOOKUP(D1301,'Species Codes'!B:R,17,0)*((E1301*2.54)^VLOOKUP(D1301,'Species Codes'!B:S,18,0)))))/1000,IF(D1301="DF",EXP(VLOOKUP(D1301,'Species Codes'!B:O,14,0)+VLOOKUP(D1301,'Species Codes'!B:P,15,0)*LN((E1301*2.54))),VLOOKUP(D1301,'Species Codes'!B:O,14,0)+VLOOKUP(D1301,'Species Codes'!B:P,15,0)*(((E1301*2.54)/100)^2)*(I1301*0.3048)))))*0.0011023),0)</f>
        <v>#N/A</v>
      </c>
      <c r="AD1301" s="104" t="e">
        <f t="shared" si="571"/>
        <v>#N/A</v>
      </c>
      <c r="AE1301" s="104" t="e">
        <f t="shared" si="572"/>
        <v>#N/A</v>
      </c>
      <c r="AF1301" s="104" t="e">
        <f>IF(AND(VLOOKUP($D1301,Merchantability!$B:$C,2,0)="Yes",$E1301&gt;=VLOOKUP($D1301,Merchantability!$B:$D,3,0),$E1301&lt;=VLOOKUP($D1301,Merchantability!$B:$E,4,0)),AA1301,0)</f>
        <v>#N/A</v>
      </c>
      <c r="AG1301" s="104" t="e">
        <f>IF(AND(VLOOKUP($D1301,Merchantability!$B:$C,2,0)="Yes",$E1301&gt;=VLOOKUP($D1301,Merchantability!$B:$D,3,0),$E1301&lt;=VLOOKUP($D1301,Merchantability!$B:$E,4,0)),AB1301,0)</f>
        <v>#N/A</v>
      </c>
      <c r="AH1301" s="104" t="e">
        <f>IF(AND(VLOOKUP($D1301,Merchantability!$B:$C,2,0)="Yes",$E1301&gt;=VLOOKUP($D1301,Merchantability!$B:$D,3,0),$E1301&lt;=VLOOKUP($D1301,Merchantability!$B:$E,4,0)),AC1301,0)</f>
        <v>#N/A</v>
      </c>
      <c r="AI1301" s="104" t="e">
        <f t="shared" si="573"/>
        <v>#N/A</v>
      </c>
      <c r="AJ1301" s="104" t="e">
        <f t="shared" si="574"/>
        <v>#VALUE!</v>
      </c>
      <c r="AK1301" s="104" t="e">
        <f t="shared" si="575"/>
        <v>#N/A</v>
      </c>
      <c r="AL1301" s="104" t="e">
        <f t="shared" si="576"/>
        <v>#N/A</v>
      </c>
      <c r="AM1301" s="104" t="e">
        <f t="shared" si="577"/>
        <v>#N/A</v>
      </c>
      <c r="AN1301" s="104" t="e">
        <f t="shared" si="588"/>
        <v>#N/A</v>
      </c>
      <c r="AO1301" s="104" t="e">
        <f t="shared" si="589"/>
        <v>#N/A</v>
      </c>
      <c r="AP1301" s="104" t="e">
        <f t="shared" si="590"/>
        <v>#N/A</v>
      </c>
      <c r="AQ1301" s="104" t="e">
        <f t="shared" si="591"/>
        <v>#N/A</v>
      </c>
      <c r="AR1301" s="105" t="str">
        <f t="shared" si="583"/>
        <v/>
      </c>
      <c r="AS1301" s="105" t="str">
        <f t="shared" si="584"/>
        <v/>
      </c>
      <c r="AT1301" s="108" t="str">
        <f t="shared" si="585"/>
        <v/>
      </c>
      <c r="AU1301" s="108" t="str">
        <f t="shared" si="586"/>
        <v/>
      </c>
      <c r="AV1301" s="107" t="str">
        <f>IF(ISNUMBER(O1301),IF(VLOOKUP($A1301,Stand!C:J,8,FALSE)="Short",AT1301,AU1301),"")</f>
        <v/>
      </c>
      <c r="AW1301" s="109" t="str">
        <f t="shared" si="592"/>
        <v/>
      </c>
      <c r="AX1301" s="109" t="str">
        <f t="shared" si="593"/>
        <v/>
      </c>
      <c r="AY1301" s="112" t="str">
        <f>IF(ISNUMBER(O1301),IF(AND(VLOOKUP($D1301,Merchantability!$B:$C,2,0)="Yes",$E1301&gt;=VLOOKUP($D1301,Merchantability!$B:$D,3,0),$E1301&lt;=VLOOKUP($D1301,Merchantability!$B:$E,4,0)),(AV1301*O1301)*(1-$H1301/100),""),"")</f>
        <v/>
      </c>
      <c r="AZ1301" s="116"/>
      <c r="BA1301" s="116"/>
      <c r="BB1301" s="116"/>
      <c r="BE1301" s="62"/>
      <c r="BF1301" s="63"/>
    </row>
    <row r="1302" spans="1:58" ht="12.75" customHeight="1" x14ac:dyDescent="0.25">
      <c r="A1302" s="333"/>
      <c r="B1302" s="334"/>
      <c r="C1302" s="332"/>
      <c r="D1302" s="334"/>
      <c r="E1302" s="335"/>
      <c r="F1302" s="334"/>
      <c r="G1302" s="332"/>
      <c r="H1302" s="332"/>
      <c r="I1302" s="334"/>
      <c r="J1302" s="336"/>
      <c r="K1302" s="332"/>
      <c r="L1302" s="332"/>
      <c r="M1302" s="76"/>
      <c r="N1302" s="103" t="str">
        <f>IF(A1302="","",VLOOKUP(A1302,Stand!C:K,9,0))</f>
        <v/>
      </c>
      <c r="O1302" s="104" t="str">
        <f t="shared" si="578"/>
        <v/>
      </c>
      <c r="P1302" s="105" t="str">
        <f t="shared" si="579"/>
        <v/>
      </c>
      <c r="Q1302" s="105" t="str">
        <f t="shared" si="567"/>
        <v/>
      </c>
      <c r="R1302" s="103" t="str">
        <f t="shared" si="580"/>
        <v/>
      </c>
      <c r="S1302" s="103" t="str">
        <f t="shared" si="581"/>
        <v/>
      </c>
      <c r="T1302" s="106" t="str">
        <f t="shared" si="568"/>
        <v/>
      </c>
      <c r="U1302" s="106" t="str">
        <f t="shared" si="569"/>
        <v/>
      </c>
      <c r="V1302" s="106" t="str">
        <f t="shared" si="570"/>
        <v/>
      </c>
      <c r="W1302" s="105" t="str">
        <f t="shared" si="582"/>
        <v/>
      </c>
      <c r="X1302" s="104" t="str">
        <f t="shared" si="587"/>
        <v/>
      </c>
      <c r="Y1302" s="104" t="str">
        <f t="array" ref="Y1302">IFERROR(IF(ISNUMBER(O1302),IF(COUNT(IF(A1302=$A$2:$A$2427,IF(D1302=$D$2:$D$2427,IF($X$2:$X$2427&gt;0,1))))&gt;0,SUM(IF(A1302=$A$2:$A$2427,IF(D1302=$D$2:$D$2427,$X$2:$X$2427)))/COUNT(IF(A1302=$A$2:$A$2427,IF(D1302=$D$2:$D$2427,IF(ISNUMBER($X$2:$X$2427),1)))),0),""),0)</f>
        <v/>
      </c>
      <c r="Z1302" s="104" t="str">
        <f>IF(ISNUMBER(O1302),IF(I1302&gt;0,(10^(VLOOKUP(D1302,'Species Codes'!B:C,2,0)+VLOOKUP(D1302,'Species Codes'!B:D,3,0)*LOG(E1302)+VLOOKUP(D1302,'Species Codes'!B:E,4,0)*LOG(I1302))),0),"")</f>
        <v/>
      </c>
      <c r="AA1302" s="104" t="str">
        <f>IFERROR((VLOOKUP(D1302,'Species Codes'!B:G,6,0)*Z1302)/2000,"")</f>
        <v/>
      </c>
      <c r="AB1302" s="104" t="e">
        <f>IF(Z1302&gt;0,((IF(OR(D1302="DF",D1302="RA")=TRUE,EXP(VLOOKUP(D1302,'Species Codes'!B:I,8,0)+VLOOKUP(D1302,'Species Codes'!B:J,9,0)*(LN((E1302*2.54)))),IF(OR(D1302="PY",D1302="RC",D1302="WH",D1302="NF")=TRUE,VLOOKUP(D1302,'Species Codes'!B:I,8,0)+VLOOKUP(D1302,'Species Codes'!B:J,9,0)*((E1302*2.54)^2)*(I1302*0.3048),IF(OR(D1302="MD",D1302="BM",D1302="GA")=TRUE,((VLOOKUP(D1302,'Species Codes'!B:I,8,0)*(((((E1302*2.54)+VLOOKUP(D1302,'Species Codes'!B:J,9,0))/VLOOKUP(D1302,'Species Codes'!B:K,10,0))^VLOOKUP(D1302,'Species Codes'!B:L,11,0))*((I1302*0.3048)^VLOOKUP(D1302,'Species Codes'!B:M,12,0))))-(VLOOKUP(D1302,'Species Codes'!B:I,8,0)*((((E1302*2.54)^VLOOKUP(D1302,'Species Codes'!B:L,11,0))*((I1302*0.3048)^VLOOKUP(D1302,'Species Codes'!B:M,12,0))))))*35.3*VLOOKUP(D1302,'Species Codes'!B:G,6,0)/2.2046,VLOOKUP(D1302,'Species Codes'!B:I,8,0)+VLOOKUP(D1302,'Species Codes'!B:J,9,0)*(((E1302*2.54)/100)^2)*(I1302*0.3048)))))*0.0011023),0)</f>
        <v>#N/A</v>
      </c>
      <c r="AC1302" s="104" t="e">
        <f>IF(Z1302&gt;0,((IF(OR(D1302="RA",D1302="OA",D1302="OT",D1302="UN",D1302="PC"),EXP(VLOOKUP(D1302,'Species Codes'!B:O,14,0)+VLOOKUP(D1302,'Species Codes'!B:P,15,0)*LN((E1302*2.54)))-EXP(VLOOKUP(D1302,'Species Codes'!B:O,14,0)+VLOOKUP(D1302,'Species Codes'!B:P,15,0)*LN((E1302*2.54)))*(1/(VLOOKUP(D1302,'Species Codes'!B:Q,16,0)+VLOOKUP(D1302,'Species Codes'!B:R,17,0)*((E1302*2.54)^VLOOKUP(D1302,'Species Codes'!B:S,18,0)))),IF(OR(D1302="BM",D1302="MD",D1302="OA"),EXP(VLOOKUP(D1302,'Species Codes'!B:O,14,0)+VLOOKUP(D1302,'Species Codes'!B:P,15,0)*LN((E1302*2.54)))*(1-(1/(VLOOKUP(D1302,'Species Codes'!B:Q,16,0)+VLOOKUP(D1302,'Species Codes'!B:R,17,0)*((E1302*2.54)^VLOOKUP(D1302,'Species Codes'!B:S,18,0)))))/1000,IF(D1302="DF",EXP(VLOOKUP(D1302,'Species Codes'!B:O,14,0)+VLOOKUP(D1302,'Species Codes'!B:P,15,0)*LN((E1302*2.54))),VLOOKUP(D1302,'Species Codes'!B:O,14,0)+VLOOKUP(D1302,'Species Codes'!B:P,15,0)*(((E1302*2.54)/100)^2)*(I1302*0.3048)))))*0.0011023),0)</f>
        <v>#N/A</v>
      </c>
      <c r="AD1302" s="104" t="e">
        <f t="shared" si="571"/>
        <v>#N/A</v>
      </c>
      <c r="AE1302" s="104" t="e">
        <f t="shared" si="572"/>
        <v>#N/A</v>
      </c>
      <c r="AF1302" s="104" t="e">
        <f>IF(AND(VLOOKUP($D1302,Merchantability!$B:$C,2,0)="Yes",$E1302&gt;=VLOOKUP($D1302,Merchantability!$B:$D,3,0),$E1302&lt;=VLOOKUP($D1302,Merchantability!$B:$E,4,0)),AA1302,0)</f>
        <v>#N/A</v>
      </c>
      <c r="AG1302" s="104" t="e">
        <f>IF(AND(VLOOKUP($D1302,Merchantability!$B:$C,2,0)="Yes",$E1302&gt;=VLOOKUP($D1302,Merchantability!$B:$D,3,0),$E1302&lt;=VLOOKUP($D1302,Merchantability!$B:$E,4,0)),AB1302,0)</f>
        <v>#N/A</v>
      </c>
      <c r="AH1302" s="104" t="e">
        <f>IF(AND(VLOOKUP($D1302,Merchantability!$B:$C,2,0)="Yes",$E1302&gt;=VLOOKUP($D1302,Merchantability!$B:$D,3,0),$E1302&lt;=VLOOKUP($D1302,Merchantability!$B:$E,4,0)),AC1302,0)</f>
        <v>#N/A</v>
      </c>
      <c r="AI1302" s="104" t="e">
        <f t="shared" si="573"/>
        <v>#N/A</v>
      </c>
      <c r="AJ1302" s="104" t="e">
        <f t="shared" si="574"/>
        <v>#VALUE!</v>
      </c>
      <c r="AK1302" s="104" t="e">
        <f t="shared" si="575"/>
        <v>#N/A</v>
      </c>
      <c r="AL1302" s="104" t="e">
        <f t="shared" si="576"/>
        <v>#N/A</v>
      </c>
      <c r="AM1302" s="104" t="e">
        <f t="shared" si="577"/>
        <v>#N/A</v>
      </c>
      <c r="AN1302" s="104" t="e">
        <f t="shared" si="588"/>
        <v>#N/A</v>
      </c>
      <c r="AO1302" s="104" t="e">
        <f t="shared" si="589"/>
        <v>#N/A</v>
      </c>
      <c r="AP1302" s="104" t="e">
        <f t="shared" si="590"/>
        <v>#N/A</v>
      </c>
      <c r="AQ1302" s="104" t="e">
        <f t="shared" si="591"/>
        <v>#N/A</v>
      </c>
      <c r="AR1302" s="105" t="str">
        <f t="shared" si="583"/>
        <v/>
      </c>
      <c r="AS1302" s="105" t="str">
        <f t="shared" si="584"/>
        <v/>
      </c>
      <c r="AT1302" s="108" t="str">
        <f t="shared" si="585"/>
        <v/>
      </c>
      <c r="AU1302" s="108" t="str">
        <f t="shared" si="586"/>
        <v/>
      </c>
      <c r="AV1302" s="107" t="str">
        <f>IF(ISNUMBER(O1302),IF(VLOOKUP($A1302,Stand!C:J,8,FALSE)="Short",AT1302,AU1302),"")</f>
        <v/>
      </c>
      <c r="AW1302" s="109" t="str">
        <f t="shared" si="592"/>
        <v/>
      </c>
      <c r="AX1302" s="109" t="str">
        <f t="shared" si="593"/>
        <v/>
      </c>
      <c r="AY1302" s="112" t="str">
        <f>IF(ISNUMBER(O1302),IF(AND(VLOOKUP($D1302,Merchantability!$B:$C,2,0)="Yes",$E1302&gt;=VLOOKUP($D1302,Merchantability!$B:$D,3,0),$E1302&lt;=VLOOKUP($D1302,Merchantability!$B:$E,4,0)),(AV1302*O1302)*(1-$H1302/100),""),"")</f>
        <v/>
      </c>
      <c r="AZ1302" s="116"/>
      <c r="BA1302" s="116"/>
      <c r="BB1302" s="116"/>
      <c r="BE1302" s="62"/>
      <c r="BF1302" s="63"/>
    </row>
    <row r="1303" spans="1:58" ht="12.75" customHeight="1" x14ac:dyDescent="0.25">
      <c r="A1303" s="333"/>
      <c r="B1303" s="334"/>
      <c r="C1303" s="332"/>
      <c r="D1303" s="334"/>
      <c r="E1303" s="335"/>
      <c r="F1303" s="334"/>
      <c r="G1303" s="332"/>
      <c r="H1303" s="332"/>
      <c r="I1303" s="334"/>
      <c r="J1303" s="336"/>
      <c r="K1303" s="332"/>
      <c r="L1303" s="332"/>
      <c r="M1303" s="76"/>
      <c r="N1303" s="103" t="str">
        <f>IF(A1303="","",VLOOKUP(A1303,Stand!C:K,9,0))</f>
        <v/>
      </c>
      <c r="O1303" s="104" t="str">
        <f t="shared" si="578"/>
        <v/>
      </c>
      <c r="P1303" s="105" t="str">
        <f t="shared" si="579"/>
        <v/>
      </c>
      <c r="Q1303" s="105" t="str">
        <f t="shared" si="567"/>
        <v/>
      </c>
      <c r="R1303" s="103" t="str">
        <f t="shared" si="580"/>
        <v/>
      </c>
      <c r="S1303" s="103" t="str">
        <f t="shared" si="581"/>
        <v/>
      </c>
      <c r="T1303" s="106" t="str">
        <f t="shared" si="568"/>
        <v/>
      </c>
      <c r="U1303" s="106" t="str">
        <f t="shared" si="569"/>
        <v/>
      </c>
      <c r="V1303" s="106" t="str">
        <f t="shared" si="570"/>
        <v/>
      </c>
      <c r="W1303" s="105" t="str">
        <f t="shared" si="582"/>
        <v/>
      </c>
      <c r="X1303" s="104" t="str">
        <f t="shared" si="587"/>
        <v/>
      </c>
      <c r="Y1303" s="104" t="str">
        <f t="array" ref="Y1303">IFERROR(IF(ISNUMBER(O1303),IF(COUNT(IF(A1303=$A$2:$A$2427,IF(D1303=$D$2:$D$2427,IF($X$2:$X$2427&gt;0,1))))&gt;0,SUM(IF(A1303=$A$2:$A$2427,IF(D1303=$D$2:$D$2427,$X$2:$X$2427)))/COUNT(IF(A1303=$A$2:$A$2427,IF(D1303=$D$2:$D$2427,IF(ISNUMBER($X$2:$X$2427),1)))),0),""),0)</f>
        <v/>
      </c>
      <c r="Z1303" s="104" t="str">
        <f>IF(ISNUMBER(O1303),IF(I1303&gt;0,(10^(VLOOKUP(D1303,'Species Codes'!B:C,2,0)+VLOOKUP(D1303,'Species Codes'!B:D,3,0)*LOG(E1303)+VLOOKUP(D1303,'Species Codes'!B:E,4,0)*LOG(I1303))),0),"")</f>
        <v/>
      </c>
      <c r="AA1303" s="104" t="str">
        <f>IFERROR((VLOOKUP(D1303,'Species Codes'!B:G,6,0)*Z1303)/2000,"")</f>
        <v/>
      </c>
      <c r="AB1303" s="104" t="e">
        <f>IF(Z1303&gt;0,((IF(OR(D1303="DF",D1303="RA")=TRUE,EXP(VLOOKUP(D1303,'Species Codes'!B:I,8,0)+VLOOKUP(D1303,'Species Codes'!B:J,9,0)*(LN((E1303*2.54)))),IF(OR(D1303="PY",D1303="RC",D1303="WH",D1303="NF")=TRUE,VLOOKUP(D1303,'Species Codes'!B:I,8,0)+VLOOKUP(D1303,'Species Codes'!B:J,9,0)*((E1303*2.54)^2)*(I1303*0.3048),IF(OR(D1303="MD",D1303="BM",D1303="GA")=TRUE,((VLOOKUP(D1303,'Species Codes'!B:I,8,0)*(((((E1303*2.54)+VLOOKUP(D1303,'Species Codes'!B:J,9,0))/VLOOKUP(D1303,'Species Codes'!B:K,10,0))^VLOOKUP(D1303,'Species Codes'!B:L,11,0))*((I1303*0.3048)^VLOOKUP(D1303,'Species Codes'!B:M,12,0))))-(VLOOKUP(D1303,'Species Codes'!B:I,8,0)*((((E1303*2.54)^VLOOKUP(D1303,'Species Codes'!B:L,11,0))*((I1303*0.3048)^VLOOKUP(D1303,'Species Codes'!B:M,12,0))))))*35.3*VLOOKUP(D1303,'Species Codes'!B:G,6,0)/2.2046,VLOOKUP(D1303,'Species Codes'!B:I,8,0)+VLOOKUP(D1303,'Species Codes'!B:J,9,0)*(((E1303*2.54)/100)^2)*(I1303*0.3048)))))*0.0011023),0)</f>
        <v>#N/A</v>
      </c>
      <c r="AC1303" s="104" t="e">
        <f>IF(Z1303&gt;0,((IF(OR(D1303="RA",D1303="OA",D1303="OT",D1303="UN",D1303="PC"),EXP(VLOOKUP(D1303,'Species Codes'!B:O,14,0)+VLOOKUP(D1303,'Species Codes'!B:P,15,0)*LN((E1303*2.54)))-EXP(VLOOKUP(D1303,'Species Codes'!B:O,14,0)+VLOOKUP(D1303,'Species Codes'!B:P,15,0)*LN((E1303*2.54)))*(1/(VLOOKUP(D1303,'Species Codes'!B:Q,16,0)+VLOOKUP(D1303,'Species Codes'!B:R,17,0)*((E1303*2.54)^VLOOKUP(D1303,'Species Codes'!B:S,18,0)))),IF(OR(D1303="BM",D1303="MD",D1303="OA"),EXP(VLOOKUP(D1303,'Species Codes'!B:O,14,0)+VLOOKUP(D1303,'Species Codes'!B:P,15,0)*LN((E1303*2.54)))*(1-(1/(VLOOKUP(D1303,'Species Codes'!B:Q,16,0)+VLOOKUP(D1303,'Species Codes'!B:R,17,0)*((E1303*2.54)^VLOOKUP(D1303,'Species Codes'!B:S,18,0)))))/1000,IF(D1303="DF",EXP(VLOOKUP(D1303,'Species Codes'!B:O,14,0)+VLOOKUP(D1303,'Species Codes'!B:P,15,0)*LN((E1303*2.54))),VLOOKUP(D1303,'Species Codes'!B:O,14,0)+VLOOKUP(D1303,'Species Codes'!B:P,15,0)*(((E1303*2.54)/100)^2)*(I1303*0.3048)))))*0.0011023),0)</f>
        <v>#N/A</v>
      </c>
      <c r="AD1303" s="104" t="e">
        <f t="shared" si="571"/>
        <v>#N/A</v>
      </c>
      <c r="AE1303" s="104" t="e">
        <f t="shared" si="572"/>
        <v>#N/A</v>
      </c>
      <c r="AF1303" s="104" t="e">
        <f>IF(AND(VLOOKUP($D1303,Merchantability!$B:$C,2,0)="Yes",$E1303&gt;=VLOOKUP($D1303,Merchantability!$B:$D,3,0),$E1303&lt;=VLOOKUP($D1303,Merchantability!$B:$E,4,0)),AA1303,0)</f>
        <v>#N/A</v>
      </c>
      <c r="AG1303" s="104" t="e">
        <f>IF(AND(VLOOKUP($D1303,Merchantability!$B:$C,2,0)="Yes",$E1303&gt;=VLOOKUP($D1303,Merchantability!$B:$D,3,0),$E1303&lt;=VLOOKUP($D1303,Merchantability!$B:$E,4,0)),AB1303,0)</f>
        <v>#N/A</v>
      </c>
      <c r="AH1303" s="104" t="e">
        <f>IF(AND(VLOOKUP($D1303,Merchantability!$B:$C,2,0)="Yes",$E1303&gt;=VLOOKUP($D1303,Merchantability!$B:$D,3,0),$E1303&lt;=VLOOKUP($D1303,Merchantability!$B:$E,4,0)),AC1303,0)</f>
        <v>#N/A</v>
      </c>
      <c r="AI1303" s="104" t="e">
        <f t="shared" si="573"/>
        <v>#N/A</v>
      </c>
      <c r="AJ1303" s="104" t="e">
        <f t="shared" si="574"/>
        <v>#VALUE!</v>
      </c>
      <c r="AK1303" s="104" t="e">
        <f t="shared" si="575"/>
        <v>#N/A</v>
      </c>
      <c r="AL1303" s="104" t="e">
        <f t="shared" si="576"/>
        <v>#N/A</v>
      </c>
      <c r="AM1303" s="104" t="e">
        <f t="shared" si="577"/>
        <v>#N/A</v>
      </c>
      <c r="AN1303" s="104" t="e">
        <f t="shared" si="588"/>
        <v>#N/A</v>
      </c>
      <c r="AO1303" s="104" t="e">
        <f t="shared" si="589"/>
        <v>#N/A</v>
      </c>
      <c r="AP1303" s="104" t="e">
        <f t="shared" si="590"/>
        <v>#N/A</v>
      </c>
      <c r="AQ1303" s="104" t="e">
        <f t="shared" si="591"/>
        <v>#N/A</v>
      </c>
      <c r="AR1303" s="105" t="str">
        <f t="shared" si="583"/>
        <v/>
      </c>
      <c r="AS1303" s="105" t="str">
        <f t="shared" si="584"/>
        <v/>
      </c>
      <c r="AT1303" s="108" t="str">
        <f t="shared" si="585"/>
        <v/>
      </c>
      <c r="AU1303" s="108" t="str">
        <f t="shared" si="586"/>
        <v/>
      </c>
      <c r="AV1303" s="107" t="str">
        <f>IF(ISNUMBER(O1303),IF(VLOOKUP($A1303,Stand!C:J,8,FALSE)="Short",AT1303,AU1303),"")</f>
        <v/>
      </c>
      <c r="AW1303" s="109" t="str">
        <f t="shared" si="592"/>
        <v/>
      </c>
      <c r="AX1303" s="109" t="str">
        <f t="shared" si="593"/>
        <v/>
      </c>
      <c r="AY1303" s="112" t="str">
        <f>IF(ISNUMBER(O1303),IF(AND(VLOOKUP($D1303,Merchantability!$B:$C,2,0)="Yes",$E1303&gt;=VLOOKUP($D1303,Merchantability!$B:$D,3,0),$E1303&lt;=VLOOKUP($D1303,Merchantability!$B:$E,4,0)),(AV1303*O1303)*(1-$H1303/100),""),"")</f>
        <v/>
      </c>
      <c r="AZ1303" s="116"/>
      <c r="BA1303" s="116"/>
      <c r="BB1303" s="116"/>
      <c r="BE1303" s="62"/>
      <c r="BF1303" s="63"/>
    </row>
    <row r="1304" spans="1:58" ht="12.75" customHeight="1" x14ac:dyDescent="0.25">
      <c r="A1304" s="333"/>
      <c r="B1304" s="334"/>
      <c r="C1304" s="332"/>
      <c r="D1304" s="334"/>
      <c r="E1304" s="335"/>
      <c r="F1304" s="334"/>
      <c r="G1304" s="332"/>
      <c r="H1304" s="332"/>
      <c r="I1304" s="334"/>
      <c r="J1304" s="336"/>
      <c r="K1304" s="332"/>
      <c r="L1304" s="332"/>
      <c r="M1304" s="76"/>
      <c r="N1304" s="103" t="str">
        <f>IF(A1304="","",VLOOKUP(A1304,Stand!C:K,9,0))</f>
        <v/>
      </c>
      <c r="O1304" s="104" t="str">
        <f t="shared" si="578"/>
        <v/>
      </c>
      <c r="P1304" s="105" t="str">
        <f t="shared" si="579"/>
        <v/>
      </c>
      <c r="Q1304" s="105" t="str">
        <f t="shared" si="567"/>
        <v/>
      </c>
      <c r="R1304" s="103" t="str">
        <f t="shared" si="580"/>
        <v/>
      </c>
      <c r="S1304" s="103" t="str">
        <f t="shared" si="581"/>
        <v/>
      </c>
      <c r="T1304" s="106" t="str">
        <f t="shared" si="568"/>
        <v/>
      </c>
      <c r="U1304" s="106" t="str">
        <f t="shared" si="569"/>
        <v/>
      </c>
      <c r="V1304" s="106" t="str">
        <f t="shared" si="570"/>
        <v/>
      </c>
      <c r="W1304" s="105" t="str">
        <f t="shared" si="582"/>
        <v/>
      </c>
      <c r="X1304" s="104" t="str">
        <f t="shared" si="587"/>
        <v/>
      </c>
      <c r="Y1304" s="104" t="str">
        <f t="array" ref="Y1304">IFERROR(IF(ISNUMBER(O1304),IF(COUNT(IF(A1304=$A$2:$A$2427,IF(D1304=$D$2:$D$2427,IF($X$2:$X$2427&gt;0,1))))&gt;0,SUM(IF(A1304=$A$2:$A$2427,IF(D1304=$D$2:$D$2427,$X$2:$X$2427)))/COUNT(IF(A1304=$A$2:$A$2427,IF(D1304=$D$2:$D$2427,IF(ISNUMBER($X$2:$X$2427),1)))),0),""),0)</f>
        <v/>
      </c>
      <c r="Z1304" s="104" t="str">
        <f>IF(ISNUMBER(O1304),IF(I1304&gt;0,(10^(VLOOKUP(D1304,'Species Codes'!B:C,2,0)+VLOOKUP(D1304,'Species Codes'!B:D,3,0)*LOG(E1304)+VLOOKUP(D1304,'Species Codes'!B:E,4,0)*LOG(I1304))),0),"")</f>
        <v/>
      </c>
      <c r="AA1304" s="104" t="str">
        <f>IFERROR((VLOOKUP(D1304,'Species Codes'!B:G,6,0)*Z1304)/2000,"")</f>
        <v/>
      </c>
      <c r="AB1304" s="104" t="e">
        <f>IF(Z1304&gt;0,((IF(OR(D1304="DF",D1304="RA")=TRUE,EXP(VLOOKUP(D1304,'Species Codes'!B:I,8,0)+VLOOKUP(D1304,'Species Codes'!B:J,9,0)*(LN((E1304*2.54)))),IF(OR(D1304="PY",D1304="RC",D1304="WH",D1304="NF")=TRUE,VLOOKUP(D1304,'Species Codes'!B:I,8,0)+VLOOKUP(D1304,'Species Codes'!B:J,9,0)*((E1304*2.54)^2)*(I1304*0.3048),IF(OR(D1304="MD",D1304="BM",D1304="GA")=TRUE,((VLOOKUP(D1304,'Species Codes'!B:I,8,0)*(((((E1304*2.54)+VLOOKUP(D1304,'Species Codes'!B:J,9,0))/VLOOKUP(D1304,'Species Codes'!B:K,10,0))^VLOOKUP(D1304,'Species Codes'!B:L,11,0))*((I1304*0.3048)^VLOOKUP(D1304,'Species Codes'!B:M,12,0))))-(VLOOKUP(D1304,'Species Codes'!B:I,8,0)*((((E1304*2.54)^VLOOKUP(D1304,'Species Codes'!B:L,11,0))*((I1304*0.3048)^VLOOKUP(D1304,'Species Codes'!B:M,12,0))))))*35.3*VLOOKUP(D1304,'Species Codes'!B:G,6,0)/2.2046,VLOOKUP(D1304,'Species Codes'!B:I,8,0)+VLOOKUP(D1304,'Species Codes'!B:J,9,0)*(((E1304*2.54)/100)^2)*(I1304*0.3048)))))*0.0011023),0)</f>
        <v>#N/A</v>
      </c>
      <c r="AC1304" s="104" t="e">
        <f>IF(Z1304&gt;0,((IF(OR(D1304="RA",D1304="OA",D1304="OT",D1304="UN",D1304="PC"),EXP(VLOOKUP(D1304,'Species Codes'!B:O,14,0)+VLOOKUP(D1304,'Species Codes'!B:P,15,0)*LN((E1304*2.54)))-EXP(VLOOKUP(D1304,'Species Codes'!B:O,14,0)+VLOOKUP(D1304,'Species Codes'!B:P,15,0)*LN((E1304*2.54)))*(1/(VLOOKUP(D1304,'Species Codes'!B:Q,16,0)+VLOOKUP(D1304,'Species Codes'!B:R,17,0)*((E1304*2.54)^VLOOKUP(D1304,'Species Codes'!B:S,18,0)))),IF(OR(D1304="BM",D1304="MD",D1304="OA"),EXP(VLOOKUP(D1304,'Species Codes'!B:O,14,0)+VLOOKUP(D1304,'Species Codes'!B:P,15,0)*LN((E1304*2.54)))*(1-(1/(VLOOKUP(D1304,'Species Codes'!B:Q,16,0)+VLOOKUP(D1304,'Species Codes'!B:R,17,0)*((E1304*2.54)^VLOOKUP(D1304,'Species Codes'!B:S,18,0)))))/1000,IF(D1304="DF",EXP(VLOOKUP(D1304,'Species Codes'!B:O,14,0)+VLOOKUP(D1304,'Species Codes'!B:P,15,0)*LN((E1304*2.54))),VLOOKUP(D1304,'Species Codes'!B:O,14,0)+VLOOKUP(D1304,'Species Codes'!B:P,15,0)*(((E1304*2.54)/100)^2)*(I1304*0.3048)))))*0.0011023),0)</f>
        <v>#N/A</v>
      </c>
      <c r="AD1304" s="104" t="e">
        <f t="shared" si="571"/>
        <v>#N/A</v>
      </c>
      <c r="AE1304" s="104" t="e">
        <f t="shared" si="572"/>
        <v>#N/A</v>
      </c>
      <c r="AF1304" s="104" t="e">
        <f>IF(AND(VLOOKUP($D1304,Merchantability!$B:$C,2,0)="Yes",$E1304&gt;=VLOOKUP($D1304,Merchantability!$B:$D,3,0),$E1304&lt;=VLOOKUP($D1304,Merchantability!$B:$E,4,0)),AA1304,0)</f>
        <v>#N/A</v>
      </c>
      <c r="AG1304" s="104" t="e">
        <f>IF(AND(VLOOKUP($D1304,Merchantability!$B:$C,2,0)="Yes",$E1304&gt;=VLOOKUP($D1304,Merchantability!$B:$D,3,0),$E1304&lt;=VLOOKUP($D1304,Merchantability!$B:$E,4,0)),AB1304,0)</f>
        <v>#N/A</v>
      </c>
      <c r="AH1304" s="104" t="e">
        <f>IF(AND(VLOOKUP($D1304,Merchantability!$B:$C,2,0)="Yes",$E1304&gt;=VLOOKUP($D1304,Merchantability!$B:$D,3,0),$E1304&lt;=VLOOKUP($D1304,Merchantability!$B:$E,4,0)),AC1304,0)</f>
        <v>#N/A</v>
      </c>
      <c r="AI1304" s="104" t="e">
        <f t="shared" si="573"/>
        <v>#N/A</v>
      </c>
      <c r="AJ1304" s="104" t="e">
        <f t="shared" si="574"/>
        <v>#VALUE!</v>
      </c>
      <c r="AK1304" s="104" t="e">
        <f t="shared" si="575"/>
        <v>#N/A</v>
      </c>
      <c r="AL1304" s="104" t="e">
        <f t="shared" si="576"/>
        <v>#N/A</v>
      </c>
      <c r="AM1304" s="104" t="e">
        <f t="shared" si="577"/>
        <v>#N/A</v>
      </c>
      <c r="AN1304" s="104" t="e">
        <f t="shared" si="588"/>
        <v>#N/A</v>
      </c>
      <c r="AO1304" s="104" t="e">
        <f t="shared" si="589"/>
        <v>#N/A</v>
      </c>
      <c r="AP1304" s="104" t="e">
        <f t="shared" si="590"/>
        <v>#N/A</v>
      </c>
      <c r="AQ1304" s="104" t="e">
        <f t="shared" si="591"/>
        <v>#N/A</v>
      </c>
      <c r="AR1304" s="105" t="str">
        <f t="shared" si="583"/>
        <v/>
      </c>
      <c r="AS1304" s="105" t="str">
        <f t="shared" si="584"/>
        <v/>
      </c>
      <c r="AT1304" s="108" t="str">
        <f t="shared" si="585"/>
        <v/>
      </c>
      <c r="AU1304" s="108" t="str">
        <f t="shared" si="586"/>
        <v/>
      </c>
      <c r="AV1304" s="107" t="str">
        <f>IF(ISNUMBER(O1304),IF(VLOOKUP($A1304,Stand!C:J,8,FALSE)="Short",AT1304,AU1304),"")</f>
        <v/>
      </c>
      <c r="AW1304" s="109" t="str">
        <f t="shared" si="592"/>
        <v/>
      </c>
      <c r="AX1304" s="109" t="str">
        <f t="shared" si="593"/>
        <v/>
      </c>
      <c r="AY1304" s="112" t="str">
        <f>IF(ISNUMBER(O1304),IF(AND(VLOOKUP($D1304,Merchantability!$B:$C,2,0)="Yes",$E1304&gt;=VLOOKUP($D1304,Merchantability!$B:$D,3,0),$E1304&lt;=VLOOKUP($D1304,Merchantability!$B:$E,4,0)),(AV1304*O1304)*(1-$H1304/100),""),"")</f>
        <v/>
      </c>
      <c r="AZ1304" s="116"/>
      <c r="BA1304" s="116"/>
      <c r="BB1304" s="116"/>
      <c r="BE1304" s="62"/>
      <c r="BF1304" s="63"/>
    </row>
    <row r="1305" spans="1:58" ht="12.75" customHeight="1" x14ac:dyDescent="0.25">
      <c r="A1305" s="333"/>
      <c r="B1305" s="334"/>
      <c r="C1305" s="332"/>
      <c r="D1305" s="334"/>
      <c r="E1305" s="335"/>
      <c r="F1305" s="334"/>
      <c r="G1305" s="332"/>
      <c r="H1305" s="332"/>
      <c r="I1305" s="334"/>
      <c r="J1305" s="336"/>
      <c r="K1305" s="332"/>
      <c r="L1305" s="332"/>
      <c r="M1305" s="76"/>
      <c r="N1305" s="103" t="str">
        <f>IF(A1305="","",VLOOKUP(A1305,Stand!C:K,9,0))</f>
        <v/>
      </c>
      <c r="O1305" s="104" t="str">
        <f t="shared" si="578"/>
        <v/>
      </c>
      <c r="P1305" s="105" t="str">
        <f t="shared" si="579"/>
        <v/>
      </c>
      <c r="Q1305" s="105" t="str">
        <f t="shared" si="567"/>
        <v/>
      </c>
      <c r="R1305" s="103" t="str">
        <f t="shared" si="580"/>
        <v/>
      </c>
      <c r="S1305" s="103" t="str">
        <f t="shared" si="581"/>
        <v/>
      </c>
      <c r="T1305" s="106" t="str">
        <f t="shared" si="568"/>
        <v/>
      </c>
      <c r="U1305" s="106" t="str">
        <f t="shared" si="569"/>
        <v/>
      </c>
      <c r="V1305" s="106" t="str">
        <f t="shared" si="570"/>
        <v/>
      </c>
      <c r="W1305" s="105" t="str">
        <f t="shared" si="582"/>
        <v/>
      </c>
      <c r="X1305" s="104" t="str">
        <f t="shared" si="587"/>
        <v/>
      </c>
      <c r="Y1305" s="104" t="str">
        <f t="array" ref="Y1305">IFERROR(IF(ISNUMBER(O1305),IF(COUNT(IF(A1305=$A$2:$A$2427,IF(D1305=$D$2:$D$2427,IF($X$2:$X$2427&gt;0,1))))&gt;0,SUM(IF(A1305=$A$2:$A$2427,IF(D1305=$D$2:$D$2427,$X$2:$X$2427)))/COUNT(IF(A1305=$A$2:$A$2427,IF(D1305=$D$2:$D$2427,IF(ISNUMBER($X$2:$X$2427),1)))),0),""),0)</f>
        <v/>
      </c>
      <c r="Z1305" s="104" t="str">
        <f>IF(ISNUMBER(O1305),IF(I1305&gt;0,(10^(VLOOKUP(D1305,'Species Codes'!B:C,2,0)+VLOOKUP(D1305,'Species Codes'!B:D,3,0)*LOG(E1305)+VLOOKUP(D1305,'Species Codes'!B:E,4,0)*LOG(I1305))),0),"")</f>
        <v/>
      </c>
      <c r="AA1305" s="104" t="str">
        <f>IFERROR((VLOOKUP(D1305,'Species Codes'!B:G,6,0)*Z1305)/2000,"")</f>
        <v/>
      </c>
      <c r="AB1305" s="104" t="e">
        <f>IF(Z1305&gt;0,((IF(OR(D1305="DF",D1305="RA")=TRUE,EXP(VLOOKUP(D1305,'Species Codes'!B:I,8,0)+VLOOKUP(D1305,'Species Codes'!B:J,9,0)*(LN((E1305*2.54)))),IF(OR(D1305="PY",D1305="RC",D1305="WH",D1305="NF")=TRUE,VLOOKUP(D1305,'Species Codes'!B:I,8,0)+VLOOKUP(D1305,'Species Codes'!B:J,9,0)*((E1305*2.54)^2)*(I1305*0.3048),IF(OR(D1305="MD",D1305="BM",D1305="GA")=TRUE,((VLOOKUP(D1305,'Species Codes'!B:I,8,0)*(((((E1305*2.54)+VLOOKUP(D1305,'Species Codes'!B:J,9,0))/VLOOKUP(D1305,'Species Codes'!B:K,10,0))^VLOOKUP(D1305,'Species Codes'!B:L,11,0))*((I1305*0.3048)^VLOOKUP(D1305,'Species Codes'!B:M,12,0))))-(VLOOKUP(D1305,'Species Codes'!B:I,8,0)*((((E1305*2.54)^VLOOKUP(D1305,'Species Codes'!B:L,11,0))*((I1305*0.3048)^VLOOKUP(D1305,'Species Codes'!B:M,12,0))))))*35.3*VLOOKUP(D1305,'Species Codes'!B:G,6,0)/2.2046,VLOOKUP(D1305,'Species Codes'!B:I,8,0)+VLOOKUP(D1305,'Species Codes'!B:J,9,0)*(((E1305*2.54)/100)^2)*(I1305*0.3048)))))*0.0011023),0)</f>
        <v>#N/A</v>
      </c>
      <c r="AC1305" s="104" t="e">
        <f>IF(Z1305&gt;0,((IF(OR(D1305="RA",D1305="OA",D1305="OT",D1305="UN",D1305="PC"),EXP(VLOOKUP(D1305,'Species Codes'!B:O,14,0)+VLOOKUP(D1305,'Species Codes'!B:P,15,0)*LN((E1305*2.54)))-EXP(VLOOKUP(D1305,'Species Codes'!B:O,14,0)+VLOOKUP(D1305,'Species Codes'!B:P,15,0)*LN((E1305*2.54)))*(1/(VLOOKUP(D1305,'Species Codes'!B:Q,16,0)+VLOOKUP(D1305,'Species Codes'!B:R,17,0)*((E1305*2.54)^VLOOKUP(D1305,'Species Codes'!B:S,18,0)))),IF(OR(D1305="BM",D1305="MD",D1305="OA"),EXP(VLOOKUP(D1305,'Species Codes'!B:O,14,0)+VLOOKUP(D1305,'Species Codes'!B:P,15,0)*LN((E1305*2.54)))*(1-(1/(VLOOKUP(D1305,'Species Codes'!B:Q,16,0)+VLOOKUP(D1305,'Species Codes'!B:R,17,0)*((E1305*2.54)^VLOOKUP(D1305,'Species Codes'!B:S,18,0)))))/1000,IF(D1305="DF",EXP(VLOOKUP(D1305,'Species Codes'!B:O,14,0)+VLOOKUP(D1305,'Species Codes'!B:P,15,0)*LN((E1305*2.54))),VLOOKUP(D1305,'Species Codes'!B:O,14,0)+VLOOKUP(D1305,'Species Codes'!B:P,15,0)*(((E1305*2.54)/100)^2)*(I1305*0.3048)))))*0.0011023),0)</f>
        <v>#N/A</v>
      </c>
      <c r="AD1305" s="104" t="e">
        <f t="shared" si="571"/>
        <v>#N/A</v>
      </c>
      <c r="AE1305" s="104" t="e">
        <f t="shared" si="572"/>
        <v>#N/A</v>
      </c>
      <c r="AF1305" s="104" t="e">
        <f>IF(AND(VLOOKUP($D1305,Merchantability!$B:$C,2,0)="Yes",$E1305&gt;=VLOOKUP($D1305,Merchantability!$B:$D,3,0),$E1305&lt;=VLOOKUP($D1305,Merchantability!$B:$E,4,0)),AA1305,0)</f>
        <v>#N/A</v>
      </c>
      <c r="AG1305" s="104" t="e">
        <f>IF(AND(VLOOKUP($D1305,Merchantability!$B:$C,2,0)="Yes",$E1305&gt;=VLOOKUP($D1305,Merchantability!$B:$D,3,0),$E1305&lt;=VLOOKUP($D1305,Merchantability!$B:$E,4,0)),AB1305,0)</f>
        <v>#N/A</v>
      </c>
      <c r="AH1305" s="104" t="e">
        <f>IF(AND(VLOOKUP($D1305,Merchantability!$B:$C,2,0)="Yes",$E1305&gt;=VLOOKUP($D1305,Merchantability!$B:$D,3,0),$E1305&lt;=VLOOKUP($D1305,Merchantability!$B:$E,4,0)),AC1305,0)</f>
        <v>#N/A</v>
      </c>
      <c r="AI1305" s="104" t="e">
        <f t="shared" si="573"/>
        <v>#N/A</v>
      </c>
      <c r="AJ1305" s="104" t="e">
        <f t="shared" si="574"/>
        <v>#VALUE!</v>
      </c>
      <c r="AK1305" s="104" t="e">
        <f t="shared" si="575"/>
        <v>#N/A</v>
      </c>
      <c r="AL1305" s="104" t="e">
        <f t="shared" si="576"/>
        <v>#N/A</v>
      </c>
      <c r="AM1305" s="104" t="e">
        <f t="shared" si="577"/>
        <v>#N/A</v>
      </c>
      <c r="AN1305" s="104" t="e">
        <f t="shared" si="588"/>
        <v>#N/A</v>
      </c>
      <c r="AO1305" s="104" t="e">
        <f t="shared" si="589"/>
        <v>#N/A</v>
      </c>
      <c r="AP1305" s="104" t="e">
        <f t="shared" si="590"/>
        <v>#N/A</v>
      </c>
      <c r="AQ1305" s="104" t="e">
        <f t="shared" si="591"/>
        <v>#N/A</v>
      </c>
      <c r="AR1305" s="105" t="str">
        <f t="shared" si="583"/>
        <v/>
      </c>
      <c r="AS1305" s="105" t="str">
        <f t="shared" si="584"/>
        <v/>
      </c>
      <c r="AT1305" s="108" t="str">
        <f t="shared" si="585"/>
        <v/>
      </c>
      <c r="AU1305" s="108" t="str">
        <f t="shared" si="586"/>
        <v/>
      </c>
      <c r="AV1305" s="107" t="str">
        <f>IF(ISNUMBER(O1305),IF(VLOOKUP($A1305,Stand!C:J,8,FALSE)="Short",AT1305,AU1305),"")</f>
        <v/>
      </c>
      <c r="AW1305" s="109" t="str">
        <f t="shared" si="592"/>
        <v/>
      </c>
      <c r="AX1305" s="109" t="str">
        <f t="shared" si="593"/>
        <v/>
      </c>
      <c r="AY1305" s="112" t="str">
        <f>IF(ISNUMBER(O1305),IF(AND(VLOOKUP($D1305,Merchantability!$B:$C,2,0)="Yes",$E1305&gt;=VLOOKUP($D1305,Merchantability!$B:$D,3,0),$E1305&lt;=VLOOKUP($D1305,Merchantability!$B:$E,4,0)),(AV1305*O1305)*(1-$H1305/100),""),"")</f>
        <v/>
      </c>
      <c r="AZ1305" s="116"/>
      <c r="BA1305" s="116"/>
      <c r="BB1305" s="116"/>
      <c r="BE1305" s="62"/>
      <c r="BF1305" s="63"/>
    </row>
    <row r="1306" spans="1:58" ht="12.75" customHeight="1" x14ac:dyDescent="0.25">
      <c r="A1306" s="333"/>
      <c r="B1306" s="334"/>
      <c r="C1306" s="332"/>
      <c r="D1306" s="334"/>
      <c r="E1306" s="335"/>
      <c r="F1306" s="334"/>
      <c r="G1306" s="332"/>
      <c r="H1306" s="332"/>
      <c r="I1306" s="334"/>
      <c r="J1306" s="336"/>
      <c r="K1306" s="332"/>
      <c r="L1306" s="332"/>
      <c r="M1306" s="76"/>
      <c r="N1306" s="103" t="str">
        <f>IF(A1306="","",VLOOKUP(A1306,Stand!C:K,9,0))</f>
        <v/>
      </c>
      <c r="O1306" s="104" t="str">
        <f t="shared" si="578"/>
        <v/>
      </c>
      <c r="P1306" s="105" t="str">
        <f t="shared" si="579"/>
        <v/>
      </c>
      <c r="Q1306" s="105" t="str">
        <f t="shared" si="567"/>
        <v/>
      </c>
      <c r="R1306" s="103" t="str">
        <f t="shared" si="580"/>
        <v/>
      </c>
      <c r="S1306" s="103" t="str">
        <f t="shared" si="581"/>
        <v/>
      </c>
      <c r="T1306" s="106" t="str">
        <f t="shared" si="568"/>
        <v/>
      </c>
      <c r="U1306" s="106" t="str">
        <f t="shared" si="569"/>
        <v/>
      </c>
      <c r="V1306" s="106" t="str">
        <f t="shared" si="570"/>
        <v/>
      </c>
      <c r="W1306" s="105" t="str">
        <f t="shared" si="582"/>
        <v/>
      </c>
      <c r="X1306" s="104" t="str">
        <f t="shared" si="587"/>
        <v/>
      </c>
      <c r="Y1306" s="104" t="str">
        <f t="array" ref="Y1306">IFERROR(IF(ISNUMBER(O1306),IF(COUNT(IF(A1306=$A$2:$A$2427,IF(D1306=$D$2:$D$2427,IF($X$2:$X$2427&gt;0,1))))&gt;0,SUM(IF(A1306=$A$2:$A$2427,IF(D1306=$D$2:$D$2427,$X$2:$X$2427)))/COUNT(IF(A1306=$A$2:$A$2427,IF(D1306=$D$2:$D$2427,IF(ISNUMBER($X$2:$X$2427),1)))),0),""),0)</f>
        <v/>
      </c>
      <c r="Z1306" s="104" t="str">
        <f>IF(ISNUMBER(O1306),IF(I1306&gt;0,(10^(VLOOKUP(D1306,'Species Codes'!B:C,2,0)+VLOOKUP(D1306,'Species Codes'!B:D,3,0)*LOG(E1306)+VLOOKUP(D1306,'Species Codes'!B:E,4,0)*LOG(I1306))),0),"")</f>
        <v/>
      </c>
      <c r="AA1306" s="104" t="str">
        <f>IFERROR((VLOOKUP(D1306,'Species Codes'!B:G,6,0)*Z1306)/2000,"")</f>
        <v/>
      </c>
      <c r="AB1306" s="104" t="e">
        <f>IF(Z1306&gt;0,((IF(OR(D1306="DF",D1306="RA")=TRUE,EXP(VLOOKUP(D1306,'Species Codes'!B:I,8,0)+VLOOKUP(D1306,'Species Codes'!B:J,9,0)*(LN((E1306*2.54)))),IF(OR(D1306="PY",D1306="RC",D1306="WH",D1306="NF")=TRUE,VLOOKUP(D1306,'Species Codes'!B:I,8,0)+VLOOKUP(D1306,'Species Codes'!B:J,9,0)*((E1306*2.54)^2)*(I1306*0.3048),IF(OR(D1306="MD",D1306="BM",D1306="GA")=TRUE,((VLOOKUP(D1306,'Species Codes'!B:I,8,0)*(((((E1306*2.54)+VLOOKUP(D1306,'Species Codes'!B:J,9,0))/VLOOKUP(D1306,'Species Codes'!B:K,10,0))^VLOOKUP(D1306,'Species Codes'!B:L,11,0))*((I1306*0.3048)^VLOOKUP(D1306,'Species Codes'!B:M,12,0))))-(VLOOKUP(D1306,'Species Codes'!B:I,8,0)*((((E1306*2.54)^VLOOKUP(D1306,'Species Codes'!B:L,11,0))*((I1306*0.3048)^VLOOKUP(D1306,'Species Codes'!B:M,12,0))))))*35.3*VLOOKUP(D1306,'Species Codes'!B:G,6,0)/2.2046,VLOOKUP(D1306,'Species Codes'!B:I,8,0)+VLOOKUP(D1306,'Species Codes'!B:J,9,0)*(((E1306*2.54)/100)^2)*(I1306*0.3048)))))*0.0011023),0)</f>
        <v>#N/A</v>
      </c>
      <c r="AC1306" s="104" t="e">
        <f>IF(Z1306&gt;0,((IF(OR(D1306="RA",D1306="OA",D1306="OT",D1306="UN",D1306="PC"),EXP(VLOOKUP(D1306,'Species Codes'!B:O,14,0)+VLOOKUP(D1306,'Species Codes'!B:P,15,0)*LN((E1306*2.54)))-EXP(VLOOKUP(D1306,'Species Codes'!B:O,14,0)+VLOOKUP(D1306,'Species Codes'!B:P,15,0)*LN((E1306*2.54)))*(1/(VLOOKUP(D1306,'Species Codes'!B:Q,16,0)+VLOOKUP(D1306,'Species Codes'!B:R,17,0)*((E1306*2.54)^VLOOKUP(D1306,'Species Codes'!B:S,18,0)))),IF(OR(D1306="BM",D1306="MD",D1306="OA"),EXP(VLOOKUP(D1306,'Species Codes'!B:O,14,0)+VLOOKUP(D1306,'Species Codes'!B:P,15,0)*LN((E1306*2.54)))*(1-(1/(VLOOKUP(D1306,'Species Codes'!B:Q,16,0)+VLOOKUP(D1306,'Species Codes'!B:R,17,0)*((E1306*2.54)^VLOOKUP(D1306,'Species Codes'!B:S,18,0)))))/1000,IF(D1306="DF",EXP(VLOOKUP(D1306,'Species Codes'!B:O,14,0)+VLOOKUP(D1306,'Species Codes'!B:P,15,0)*LN((E1306*2.54))),VLOOKUP(D1306,'Species Codes'!B:O,14,0)+VLOOKUP(D1306,'Species Codes'!B:P,15,0)*(((E1306*2.54)/100)^2)*(I1306*0.3048)))))*0.0011023),0)</f>
        <v>#N/A</v>
      </c>
      <c r="AD1306" s="104" t="e">
        <f t="shared" si="571"/>
        <v>#N/A</v>
      </c>
      <c r="AE1306" s="104" t="e">
        <f t="shared" si="572"/>
        <v>#N/A</v>
      </c>
      <c r="AF1306" s="104" t="e">
        <f>IF(AND(VLOOKUP($D1306,Merchantability!$B:$C,2,0)="Yes",$E1306&gt;=VLOOKUP($D1306,Merchantability!$B:$D,3,0),$E1306&lt;=VLOOKUP($D1306,Merchantability!$B:$E,4,0)),AA1306,0)</f>
        <v>#N/A</v>
      </c>
      <c r="AG1306" s="104" t="e">
        <f>IF(AND(VLOOKUP($D1306,Merchantability!$B:$C,2,0)="Yes",$E1306&gt;=VLOOKUP($D1306,Merchantability!$B:$D,3,0),$E1306&lt;=VLOOKUP($D1306,Merchantability!$B:$E,4,0)),AB1306,0)</f>
        <v>#N/A</v>
      </c>
      <c r="AH1306" s="104" t="e">
        <f>IF(AND(VLOOKUP($D1306,Merchantability!$B:$C,2,0)="Yes",$E1306&gt;=VLOOKUP($D1306,Merchantability!$B:$D,3,0),$E1306&lt;=VLOOKUP($D1306,Merchantability!$B:$E,4,0)),AC1306,0)</f>
        <v>#N/A</v>
      </c>
      <c r="AI1306" s="104" t="e">
        <f t="shared" si="573"/>
        <v>#N/A</v>
      </c>
      <c r="AJ1306" s="104" t="e">
        <f t="shared" si="574"/>
        <v>#VALUE!</v>
      </c>
      <c r="AK1306" s="104" t="e">
        <f t="shared" si="575"/>
        <v>#N/A</v>
      </c>
      <c r="AL1306" s="104" t="e">
        <f t="shared" si="576"/>
        <v>#N/A</v>
      </c>
      <c r="AM1306" s="104" t="e">
        <f t="shared" si="577"/>
        <v>#N/A</v>
      </c>
      <c r="AN1306" s="104" t="e">
        <f t="shared" si="588"/>
        <v>#N/A</v>
      </c>
      <c r="AO1306" s="104" t="e">
        <f t="shared" si="589"/>
        <v>#N/A</v>
      </c>
      <c r="AP1306" s="104" t="e">
        <f t="shared" si="590"/>
        <v>#N/A</v>
      </c>
      <c r="AQ1306" s="104" t="e">
        <f t="shared" si="591"/>
        <v>#N/A</v>
      </c>
      <c r="AR1306" s="105" t="str">
        <f t="shared" si="583"/>
        <v/>
      </c>
      <c r="AS1306" s="105" t="str">
        <f t="shared" si="584"/>
        <v/>
      </c>
      <c r="AT1306" s="108" t="str">
        <f t="shared" si="585"/>
        <v/>
      </c>
      <c r="AU1306" s="108" t="str">
        <f t="shared" si="586"/>
        <v/>
      </c>
      <c r="AV1306" s="107" t="str">
        <f>IF(ISNUMBER(O1306),IF(VLOOKUP($A1306,Stand!C:J,8,FALSE)="Short",AT1306,AU1306),"")</f>
        <v/>
      </c>
      <c r="AW1306" s="109" t="str">
        <f t="shared" si="592"/>
        <v/>
      </c>
      <c r="AX1306" s="109" t="str">
        <f t="shared" si="593"/>
        <v/>
      </c>
      <c r="AY1306" s="112" t="str">
        <f>IF(ISNUMBER(O1306),IF(AND(VLOOKUP($D1306,Merchantability!$B:$C,2,0)="Yes",$E1306&gt;=VLOOKUP($D1306,Merchantability!$B:$D,3,0),$E1306&lt;=VLOOKUP($D1306,Merchantability!$B:$E,4,0)),(AV1306*O1306)*(1-$H1306/100),""),"")</f>
        <v/>
      </c>
      <c r="AZ1306" s="116"/>
      <c r="BA1306" s="116"/>
      <c r="BB1306" s="116"/>
      <c r="BE1306" s="62"/>
      <c r="BF1306" s="63"/>
    </row>
    <row r="1307" spans="1:58" ht="12.75" customHeight="1" x14ac:dyDescent="0.25">
      <c r="A1307" s="333"/>
      <c r="B1307" s="334"/>
      <c r="C1307" s="332"/>
      <c r="D1307" s="334"/>
      <c r="E1307" s="335"/>
      <c r="F1307" s="334"/>
      <c r="G1307" s="332"/>
      <c r="H1307" s="332"/>
      <c r="I1307" s="334"/>
      <c r="J1307" s="336"/>
      <c r="K1307" s="332"/>
      <c r="L1307" s="332"/>
      <c r="M1307" s="76"/>
      <c r="N1307" s="103" t="str">
        <f>IF(A1307="","",VLOOKUP(A1307,Stand!C:K,9,0))</f>
        <v/>
      </c>
      <c r="O1307" s="104" t="str">
        <f t="shared" si="578"/>
        <v/>
      </c>
      <c r="P1307" s="105" t="str">
        <f t="shared" si="579"/>
        <v/>
      </c>
      <c r="Q1307" s="105" t="str">
        <f t="shared" si="567"/>
        <v/>
      </c>
      <c r="R1307" s="103" t="str">
        <f t="shared" si="580"/>
        <v/>
      </c>
      <c r="S1307" s="103" t="str">
        <f t="shared" si="581"/>
        <v/>
      </c>
      <c r="T1307" s="106" t="str">
        <f t="shared" si="568"/>
        <v/>
      </c>
      <c r="U1307" s="106" t="str">
        <f t="shared" si="569"/>
        <v/>
      </c>
      <c r="V1307" s="106" t="str">
        <f t="shared" si="570"/>
        <v/>
      </c>
      <c r="W1307" s="105" t="str">
        <f t="shared" si="582"/>
        <v/>
      </c>
      <c r="X1307" s="104" t="str">
        <f t="shared" si="587"/>
        <v/>
      </c>
      <c r="Y1307" s="104" t="str">
        <f t="array" ref="Y1307">IFERROR(IF(ISNUMBER(O1307),IF(COUNT(IF(A1307=$A$2:$A$2427,IF(D1307=$D$2:$D$2427,IF($X$2:$X$2427&gt;0,1))))&gt;0,SUM(IF(A1307=$A$2:$A$2427,IF(D1307=$D$2:$D$2427,$X$2:$X$2427)))/COUNT(IF(A1307=$A$2:$A$2427,IF(D1307=$D$2:$D$2427,IF(ISNUMBER($X$2:$X$2427),1)))),0),""),0)</f>
        <v/>
      </c>
      <c r="Z1307" s="104" t="str">
        <f>IF(ISNUMBER(O1307),IF(I1307&gt;0,(10^(VLOOKUP(D1307,'Species Codes'!B:C,2,0)+VLOOKUP(D1307,'Species Codes'!B:D,3,0)*LOG(E1307)+VLOOKUP(D1307,'Species Codes'!B:E,4,0)*LOG(I1307))),0),"")</f>
        <v/>
      </c>
      <c r="AA1307" s="104" t="str">
        <f>IFERROR((VLOOKUP(D1307,'Species Codes'!B:G,6,0)*Z1307)/2000,"")</f>
        <v/>
      </c>
      <c r="AB1307" s="104" t="e">
        <f>IF(Z1307&gt;0,((IF(OR(D1307="DF",D1307="RA")=TRUE,EXP(VLOOKUP(D1307,'Species Codes'!B:I,8,0)+VLOOKUP(D1307,'Species Codes'!B:J,9,0)*(LN((E1307*2.54)))),IF(OR(D1307="PY",D1307="RC",D1307="WH",D1307="NF")=TRUE,VLOOKUP(D1307,'Species Codes'!B:I,8,0)+VLOOKUP(D1307,'Species Codes'!B:J,9,0)*((E1307*2.54)^2)*(I1307*0.3048),IF(OR(D1307="MD",D1307="BM",D1307="GA")=TRUE,((VLOOKUP(D1307,'Species Codes'!B:I,8,0)*(((((E1307*2.54)+VLOOKUP(D1307,'Species Codes'!B:J,9,0))/VLOOKUP(D1307,'Species Codes'!B:K,10,0))^VLOOKUP(D1307,'Species Codes'!B:L,11,0))*((I1307*0.3048)^VLOOKUP(D1307,'Species Codes'!B:M,12,0))))-(VLOOKUP(D1307,'Species Codes'!B:I,8,0)*((((E1307*2.54)^VLOOKUP(D1307,'Species Codes'!B:L,11,0))*((I1307*0.3048)^VLOOKUP(D1307,'Species Codes'!B:M,12,0))))))*35.3*VLOOKUP(D1307,'Species Codes'!B:G,6,0)/2.2046,VLOOKUP(D1307,'Species Codes'!B:I,8,0)+VLOOKUP(D1307,'Species Codes'!B:J,9,0)*(((E1307*2.54)/100)^2)*(I1307*0.3048)))))*0.0011023),0)</f>
        <v>#N/A</v>
      </c>
      <c r="AC1307" s="104" t="e">
        <f>IF(Z1307&gt;0,((IF(OR(D1307="RA",D1307="OA",D1307="OT",D1307="UN",D1307="PC"),EXP(VLOOKUP(D1307,'Species Codes'!B:O,14,0)+VLOOKUP(D1307,'Species Codes'!B:P,15,0)*LN((E1307*2.54)))-EXP(VLOOKUP(D1307,'Species Codes'!B:O,14,0)+VLOOKUP(D1307,'Species Codes'!B:P,15,0)*LN((E1307*2.54)))*(1/(VLOOKUP(D1307,'Species Codes'!B:Q,16,0)+VLOOKUP(D1307,'Species Codes'!B:R,17,0)*((E1307*2.54)^VLOOKUP(D1307,'Species Codes'!B:S,18,0)))),IF(OR(D1307="BM",D1307="MD",D1307="OA"),EXP(VLOOKUP(D1307,'Species Codes'!B:O,14,0)+VLOOKUP(D1307,'Species Codes'!B:P,15,0)*LN((E1307*2.54)))*(1-(1/(VLOOKUP(D1307,'Species Codes'!B:Q,16,0)+VLOOKUP(D1307,'Species Codes'!B:R,17,0)*((E1307*2.54)^VLOOKUP(D1307,'Species Codes'!B:S,18,0)))))/1000,IF(D1307="DF",EXP(VLOOKUP(D1307,'Species Codes'!B:O,14,0)+VLOOKUP(D1307,'Species Codes'!B:P,15,0)*LN((E1307*2.54))),VLOOKUP(D1307,'Species Codes'!B:O,14,0)+VLOOKUP(D1307,'Species Codes'!B:P,15,0)*(((E1307*2.54)/100)^2)*(I1307*0.3048)))))*0.0011023),0)</f>
        <v>#N/A</v>
      </c>
      <c r="AD1307" s="104" t="e">
        <f t="shared" si="571"/>
        <v>#N/A</v>
      </c>
      <c r="AE1307" s="104" t="e">
        <f t="shared" si="572"/>
        <v>#N/A</v>
      </c>
      <c r="AF1307" s="104" t="e">
        <f>IF(AND(VLOOKUP($D1307,Merchantability!$B:$C,2,0)="Yes",$E1307&gt;=VLOOKUP($D1307,Merchantability!$B:$D,3,0),$E1307&lt;=VLOOKUP($D1307,Merchantability!$B:$E,4,0)),AA1307,0)</f>
        <v>#N/A</v>
      </c>
      <c r="AG1307" s="104" t="e">
        <f>IF(AND(VLOOKUP($D1307,Merchantability!$B:$C,2,0)="Yes",$E1307&gt;=VLOOKUP($D1307,Merchantability!$B:$D,3,0),$E1307&lt;=VLOOKUP($D1307,Merchantability!$B:$E,4,0)),AB1307,0)</f>
        <v>#N/A</v>
      </c>
      <c r="AH1307" s="104" t="e">
        <f>IF(AND(VLOOKUP($D1307,Merchantability!$B:$C,2,0)="Yes",$E1307&gt;=VLOOKUP($D1307,Merchantability!$B:$D,3,0),$E1307&lt;=VLOOKUP($D1307,Merchantability!$B:$E,4,0)),AC1307,0)</f>
        <v>#N/A</v>
      </c>
      <c r="AI1307" s="104" t="e">
        <f t="shared" si="573"/>
        <v>#N/A</v>
      </c>
      <c r="AJ1307" s="104" t="e">
        <f t="shared" si="574"/>
        <v>#VALUE!</v>
      </c>
      <c r="AK1307" s="104" t="e">
        <f t="shared" si="575"/>
        <v>#N/A</v>
      </c>
      <c r="AL1307" s="104" t="e">
        <f t="shared" si="576"/>
        <v>#N/A</v>
      </c>
      <c r="AM1307" s="104" t="e">
        <f t="shared" si="577"/>
        <v>#N/A</v>
      </c>
      <c r="AN1307" s="104" t="e">
        <f t="shared" si="588"/>
        <v>#N/A</v>
      </c>
      <c r="AO1307" s="104" t="e">
        <f t="shared" si="589"/>
        <v>#N/A</v>
      </c>
      <c r="AP1307" s="104" t="e">
        <f t="shared" si="590"/>
        <v>#N/A</v>
      </c>
      <c r="AQ1307" s="104" t="e">
        <f t="shared" si="591"/>
        <v>#N/A</v>
      </c>
      <c r="AR1307" s="105" t="str">
        <f t="shared" si="583"/>
        <v/>
      </c>
      <c r="AS1307" s="105" t="str">
        <f t="shared" si="584"/>
        <v/>
      </c>
      <c r="AT1307" s="108" t="str">
        <f t="shared" si="585"/>
        <v/>
      </c>
      <c r="AU1307" s="108" t="str">
        <f t="shared" si="586"/>
        <v/>
      </c>
      <c r="AV1307" s="107" t="str">
        <f>IF(ISNUMBER(O1307),IF(VLOOKUP($A1307,Stand!C:J,8,FALSE)="Short",AT1307,AU1307),"")</f>
        <v/>
      </c>
      <c r="AW1307" s="109" t="str">
        <f t="shared" si="592"/>
        <v/>
      </c>
      <c r="AX1307" s="109" t="str">
        <f t="shared" si="593"/>
        <v/>
      </c>
      <c r="AY1307" s="112" t="str">
        <f>IF(ISNUMBER(O1307),IF(AND(VLOOKUP($D1307,Merchantability!$B:$C,2,0)="Yes",$E1307&gt;=VLOOKUP($D1307,Merchantability!$B:$D,3,0),$E1307&lt;=VLOOKUP($D1307,Merchantability!$B:$E,4,0)),(AV1307*O1307)*(1-$H1307/100),""),"")</f>
        <v/>
      </c>
      <c r="AZ1307" s="116"/>
      <c r="BA1307" s="116"/>
      <c r="BB1307" s="116"/>
      <c r="BE1307" s="62"/>
      <c r="BF1307" s="63"/>
    </row>
    <row r="1308" spans="1:58" ht="12.75" customHeight="1" x14ac:dyDescent="0.25">
      <c r="A1308" s="333"/>
      <c r="B1308" s="334"/>
      <c r="C1308" s="332"/>
      <c r="D1308" s="334"/>
      <c r="E1308" s="335"/>
      <c r="F1308" s="334"/>
      <c r="G1308" s="332"/>
      <c r="H1308" s="332"/>
      <c r="I1308" s="334"/>
      <c r="J1308" s="336"/>
      <c r="K1308" s="332"/>
      <c r="L1308" s="332"/>
      <c r="M1308" s="76"/>
      <c r="N1308" s="103" t="str">
        <f>IF(A1308="","",VLOOKUP(A1308,Stand!C:K,9,0))</f>
        <v/>
      </c>
      <c r="O1308" s="104" t="str">
        <f t="shared" si="578"/>
        <v/>
      </c>
      <c r="P1308" s="105" t="str">
        <f t="shared" si="579"/>
        <v/>
      </c>
      <c r="Q1308" s="105" t="str">
        <f t="shared" si="567"/>
        <v/>
      </c>
      <c r="R1308" s="103" t="str">
        <f t="shared" si="580"/>
        <v/>
      </c>
      <c r="S1308" s="103" t="str">
        <f t="shared" si="581"/>
        <v/>
      </c>
      <c r="T1308" s="106" t="str">
        <f t="shared" si="568"/>
        <v/>
      </c>
      <c r="U1308" s="106" t="str">
        <f t="shared" si="569"/>
        <v/>
      </c>
      <c r="V1308" s="106" t="str">
        <f t="shared" si="570"/>
        <v/>
      </c>
      <c r="W1308" s="105" t="str">
        <f t="shared" si="582"/>
        <v/>
      </c>
      <c r="X1308" s="104" t="str">
        <f t="shared" si="587"/>
        <v/>
      </c>
      <c r="Y1308" s="104" t="str">
        <f t="array" ref="Y1308">IFERROR(IF(ISNUMBER(O1308),IF(COUNT(IF(A1308=$A$2:$A$2427,IF(D1308=$D$2:$D$2427,IF($X$2:$X$2427&gt;0,1))))&gt;0,SUM(IF(A1308=$A$2:$A$2427,IF(D1308=$D$2:$D$2427,$X$2:$X$2427)))/COUNT(IF(A1308=$A$2:$A$2427,IF(D1308=$D$2:$D$2427,IF(ISNUMBER($X$2:$X$2427),1)))),0),""),0)</f>
        <v/>
      </c>
      <c r="Z1308" s="104" t="str">
        <f>IF(ISNUMBER(O1308),IF(I1308&gt;0,(10^(VLOOKUP(D1308,'Species Codes'!B:C,2,0)+VLOOKUP(D1308,'Species Codes'!B:D,3,0)*LOG(E1308)+VLOOKUP(D1308,'Species Codes'!B:E,4,0)*LOG(I1308))),0),"")</f>
        <v/>
      </c>
      <c r="AA1308" s="104" t="str">
        <f>IFERROR((VLOOKUP(D1308,'Species Codes'!B:G,6,0)*Z1308)/2000,"")</f>
        <v/>
      </c>
      <c r="AB1308" s="104" t="e">
        <f>IF(Z1308&gt;0,((IF(OR(D1308="DF",D1308="RA")=TRUE,EXP(VLOOKUP(D1308,'Species Codes'!B:I,8,0)+VLOOKUP(D1308,'Species Codes'!B:J,9,0)*(LN((E1308*2.54)))),IF(OR(D1308="PY",D1308="RC",D1308="WH",D1308="NF")=TRUE,VLOOKUP(D1308,'Species Codes'!B:I,8,0)+VLOOKUP(D1308,'Species Codes'!B:J,9,0)*((E1308*2.54)^2)*(I1308*0.3048),IF(OR(D1308="MD",D1308="BM",D1308="GA")=TRUE,((VLOOKUP(D1308,'Species Codes'!B:I,8,0)*(((((E1308*2.54)+VLOOKUP(D1308,'Species Codes'!B:J,9,0))/VLOOKUP(D1308,'Species Codes'!B:K,10,0))^VLOOKUP(D1308,'Species Codes'!B:L,11,0))*((I1308*0.3048)^VLOOKUP(D1308,'Species Codes'!B:M,12,0))))-(VLOOKUP(D1308,'Species Codes'!B:I,8,0)*((((E1308*2.54)^VLOOKUP(D1308,'Species Codes'!B:L,11,0))*((I1308*0.3048)^VLOOKUP(D1308,'Species Codes'!B:M,12,0))))))*35.3*VLOOKUP(D1308,'Species Codes'!B:G,6,0)/2.2046,VLOOKUP(D1308,'Species Codes'!B:I,8,0)+VLOOKUP(D1308,'Species Codes'!B:J,9,0)*(((E1308*2.54)/100)^2)*(I1308*0.3048)))))*0.0011023),0)</f>
        <v>#N/A</v>
      </c>
      <c r="AC1308" s="104" t="e">
        <f>IF(Z1308&gt;0,((IF(OR(D1308="RA",D1308="OA",D1308="OT",D1308="UN",D1308="PC"),EXP(VLOOKUP(D1308,'Species Codes'!B:O,14,0)+VLOOKUP(D1308,'Species Codes'!B:P,15,0)*LN((E1308*2.54)))-EXP(VLOOKUP(D1308,'Species Codes'!B:O,14,0)+VLOOKUP(D1308,'Species Codes'!B:P,15,0)*LN((E1308*2.54)))*(1/(VLOOKUP(D1308,'Species Codes'!B:Q,16,0)+VLOOKUP(D1308,'Species Codes'!B:R,17,0)*((E1308*2.54)^VLOOKUP(D1308,'Species Codes'!B:S,18,0)))),IF(OR(D1308="BM",D1308="MD",D1308="OA"),EXP(VLOOKUP(D1308,'Species Codes'!B:O,14,0)+VLOOKUP(D1308,'Species Codes'!B:P,15,0)*LN((E1308*2.54)))*(1-(1/(VLOOKUP(D1308,'Species Codes'!B:Q,16,0)+VLOOKUP(D1308,'Species Codes'!B:R,17,0)*((E1308*2.54)^VLOOKUP(D1308,'Species Codes'!B:S,18,0)))))/1000,IF(D1308="DF",EXP(VLOOKUP(D1308,'Species Codes'!B:O,14,0)+VLOOKUP(D1308,'Species Codes'!B:P,15,0)*LN((E1308*2.54))),VLOOKUP(D1308,'Species Codes'!B:O,14,0)+VLOOKUP(D1308,'Species Codes'!B:P,15,0)*(((E1308*2.54)/100)^2)*(I1308*0.3048)))))*0.0011023),0)</f>
        <v>#N/A</v>
      </c>
      <c r="AD1308" s="104" t="e">
        <f t="shared" si="571"/>
        <v>#N/A</v>
      </c>
      <c r="AE1308" s="104" t="e">
        <f t="shared" si="572"/>
        <v>#N/A</v>
      </c>
      <c r="AF1308" s="104" t="e">
        <f>IF(AND(VLOOKUP($D1308,Merchantability!$B:$C,2,0)="Yes",$E1308&gt;=VLOOKUP($D1308,Merchantability!$B:$D,3,0),$E1308&lt;=VLOOKUP($D1308,Merchantability!$B:$E,4,0)),AA1308,0)</f>
        <v>#N/A</v>
      </c>
      <c r="AG1308" s="104" t="e">
        <f>IF(AND(VLOOKUP($D1308,Merchantability!$B:$C,2,0)="Yes",$E1308&gt;=VLOOKUP($D1308,Merchantability!$B:$D,3,0),$E1308&lt;=VLOOKUP($D1308,Merchantability!$B:$E,4,0)),AB1308,0)</f>
        <v>#N/A</v>
      </c>
      <c r="AH1308" s="104" t="e">
        <f>IF(AND(VLOOKUP($D1308,Merchantability!$B:$C,2,0)="Yes",$E1308&gt;=VLOOKUP($D1308,Merchantability!$B:$D,3,0),$E1308&lt;=VLOOKUP($D1308,Merchantability!$B:$E,4,0)),AC1308,0)</f>
        <v>#N/A</v>
      </c>
      <c r="AI1308" s="104" t="e">
        <f t="shared" si="573"/>
        <v>#N/A</v>
      </c>
      <c r="AJ1308" s="104" t="e">
        <f t="shared" si="574"/>
        <v>#VALUE!</v>
      </c>
      <c r="AK1308" s="104" t="e">
        <f t="shared" si="575"/>
        <v>#N/A</v>
      </c>
      <c r="AL1308" s="104" t="e">
        <f t="shared" si="576"/>
        <v>#N/A</v>
      </c>
      <c r="AM1308" s="104" t="e">
        <f t="shared" si="577"/>
        <v>#N/A</v>
      </c>
      <c r="AN1308" s="104" t="e">
        <f t="shared" si="588"/>
        <v>#N/A</v>
      </c>
      <c r="AO1308" s="104" t="e">
        <f t="shared" si="589"/>
        <v>#N/A</v>
      </c>
      <c r="AP1308" s="104" t="e">
        <f t="shared" si="590"/>
        <v>#N/A</v>
      </c>
      <c r="AQ1308" s="104" t="e">
        <f t="shared" si="591"/>
        <v>#N/A</v>
      </c>
      <c r="AR1308" s="105" t="str">
        <f t="shared" si="583"/>
        <v/>
      </c>
      <c r="AS1308" s="105" t="str">
        <f t="shared" si="584"/>
        <v/>
      </c>
      <c r="AT1308" s="108" t="str">
        <f t="shared" si="585"/>
        <v/>
      </c>
      <c r="AU1308" s="108" t="str">
        <f t="shared" si="586"/>
        <v/>
      </c>
      <c r="AV1308" s="107" t="str">
        <f>IF(ISNUMBER(O1308),IF(VLOOKUP($A1308,Stand!C:J,8,FALSE)="Short",AT1308,AU1308),"")</f>
        <v/>
      </c>
      <c r="AW1308" s="109" t="str">
        <f t="shared" si="592"/>
        <v/>
      </c>
      <c r="AX1308" s="109" t="str">
        <f t="shared" si="593"/>
        <v/>
      </c>
      <c r="AY1308" s="112" t="str">
        <f>IF(ISNUMBER(O1308),IF(AND(VLOOKUP($D1308,Merchantability!$B:$C,2,0)="Yes",$E1308&gt;=VLOOKUP($D1308,Merchantability!$B:$D,3,0),$E1308&lt;=VLOOKUP($D1308,Merchantability!$B:$E,4,0)),(AV1308*O1308)*(1-$H1308/100),""),"")</f>
        <v/>
      </c>
      <c r="AZ1308" s="116"/>
      <c r="BA1308" s="116"/>
      <c r="BB1308" s="116"/>
      <c r="BE1308" s="62"/>
      <c r="BF1308" s="63"/>
    </row>
    <row r="1309" spans="1:58" ht="12.75" customHeight="1" x14ac:dyDescent="0.25">
      <c r="A1309" s="333"/>
      <c r="B1309" s="334"/>
      <c r="C1309" s="332"/>
      <c r="D1309" s="334"/>
      <c r="E1309" s="335"/>
      <c r="F1309" s="334"/>
      <c r="G1309" s="332"/>
      <c r="H1309" s="332"/>
      <c r="I1309" s="334"/>
      <c r="J1309" s="336"/>
      <c r="K1309" s="332"/>
      <c r="L1309" s="332"/>
      <c r="M1309" s="76"/>
      <c r="N1309" s="103" t="str">
        <f>IF(A1309="","",VLOOKUP(A1309,Stand!C:K,9,0))</f>
        <v/>
      </c>
      <c r="O1309" s="104" t="str">
        <f t="shared" si="578"/>
        <v/>
      </c>
      <c r="P1309" s="105" t="str">
        <f t="shared" si="579"/>
        <v/>
      </c>
      <c r="Q1309" s="105" t="str">
        <f t="shared" ref="Q1309:Q1372" si="594">IF(AND(ISNUMBER(O1309),I1309&gt;0),I1309*O1309,"")</f>
        <v/>
      </c>
      <c r="R1309" s="103" t="str">
        <f t="shared" si="580"/>
        <v/>
      </c>
      <c r="S1309" s="103" t="str">
        <f t="shared" si="581"/>
        <v/>
      </c>
      <c r="T1309" s="106" t="str">
        <f t="shared" ref="T1309:T1372" si="595">IF(AND(ISNUMBER(O1309),J1309&gt;0),J1309/100,"")</f>
        <v/>
      </c>
      <c r="U1309" s="106" t="str">
        <f t="shared" ref="U1309:U1372" si="596">IF(AND(ISNUMBER(O1309),J1309&gt;0),T1309*O1309,"")</f>
        <v/>
      </c>
      <c r="V1309" s="106" t="str">
        <f t="shared" ref="V1309:V1372" si="597">IF(AND(ISNUMBER(O1309),I1309&gt;0),W1309*O1309,"")</f>
        <v/>
      </c>
      <c r="W1309" s="105" t="str">
        <f t="shared" si="582"/>
        <v/>
      </c>
      <c r="X1309" s="104" t="str">
        <f t="shared" si="587"/>
        <v/>
      </c>
      <c r="Y1309" s="104" t="str">
        <f t="array" ref="Y1309">IFERROR(IF(ISNUMBER(O1309),IF(COUNT(IF(A1309=$A$2:$A$2427,IF(D1309=$D$2:$D$2427,IF($X$2:$X$2427&gt;0,1))))&gt;0,SUM(IF(A1309=$A$2:$A$2427,IF(D1309=$D$2:$D$2427,$X$2:$X$2427)))/COUNT(IF(A1309=$A$2:$A$2427,IF(D1309=$D$2:$D$2427,IF(ISNUMBER($X$2:$X$2427),1)))),0),""),0)</f>
        <v/>
      </c>
      <c r="Z1309" s="104" t="str">
        <f>IF(ISNUMBER(O1309),IF(I1309&gt;0,(10^(VLOOKUP(D1309,'Species Codes'!B:C,2,0)+VLOOKUP(D1309,'Species Codes'!B:D,3,0)*LOG(E1309)+VLOOKUP(D1309,'Species Codes'!B:E,4,0)*LOG(I1309))),0),"")</f>
        <v/>
      </c>
      <c r="AA1309" s="104" t="str">
        <f>IFERROR((VLOOKUP(D1309,'Species Codes'!B:G,6,0)*Z1309)/2000,"")</f>
        <v/>
      </c>
      <c r="AB1309" s="104" t="e">
        <f>IF(Z1309&gt;0,((IF(OR(D1309="DF",D1309="RA")=TRUE,EXP(VLOOKUP(D1309,'Species Codes'!B:I,8,0)+VLOOKUP(D1309,'Species Codes'!B:J,9,0)*(LN((E1309*2.54)))),IF(OR(D1309="PY",D1309="RC",D1309="WH",D1309="NF")=TRUE,VLOOKUP(D1309,'Species Codes'!B:I,8,0)+VLOOKUP(D1309,'Species Codes'!B:J,9,0)*((E1309*2.54)^2)*(I1309*0.3048),IF(OR(D1309="MD",D1309="BM",D1309="GA")=TRUE,((VLOOKUP(D1309,'Species Codes'!B:I,8,0)*(((((E1309*2.54)+VLOOKUP(D1309,'Species Codes'!B:J,9,0))/VLOOKUP(D1309,'Species Codes'!B:K,10,0))^VLOOKUP(D1309,'Species Codes'!B:L,11,0))*((I1309*0.3048)^VLOOKUP(D1309,'Species Codes'!B:M,12,0))))-(VLOOKUP(D1309,'Species Codes'!B:I,8,0)*((((E1309*2.54)^VLOOKUP(D1309,'Species Codes'!B:L,11,0))*((I1309*0.3048)^VLOOKUP(D1309,'Species Codes'!B:M,12,0))))))*35.3*VLOOKUP(D1309,'Species Codes'!B:G,6,0)/2.2046,VLOOKUP(D1309,'Species Codes'!B:I,8,0)+VLOOKUP(D1309,'Species Codes'!B:J,9,0)*(((E1309*2.54)/100)^2)*(I1309*0.3048)))))*0.0011023),0)</f>
        <v>#N/A</v>
      </c>
      <c r="AC1309" s="104" t="e">
        <f>IF(Z1309&gt;0,((IF(OR(D1309="RA",D1309="OA",D1309="OT",D1309="UN",D1309="PC"),EXP(VLOOKUP(D1309,'Species Codes'!B:O,14,0)+VLOOKUP(D1309,'Species Codes'!B:P,15,0)*LN((E1309*2.54)))-EXP(VLOOKUP(D1309,'Species Codes'!B:O,14,0)+VLOOKUP(D1309,'Species Codes'!B:P,15,0)*LN((E1309*2.54)))*(1/(VLOOKUP(D1309,'Species Codes'!B:Q,16,0)+VLOOKUP(D1309,'Species Codes'!B:R,17,0)*((E1309*2.54)^VLOOKUP(D1309,'Species Codes'!B:S,18,0)))),IF(OR(D1309="BM",D1309="MD",D1309="OA"),EXP(VLOOKUP(D1309,'Species Codes'!B:O,14,0)+VLOOKUP(D1309,'Species Codes'!B:P,15,0)*LN((E1309*2.54)))*(1-(1/(VLOOKUP(D1309,'Species Codes'!B:Q,16,0)+VLOOKUP(D1309,'Species Codes'!B:R,17,0)*((E1309*2.54)^VLOOKUP(D1309,'Species Codes'!B:S,18,0)))))/1000,IF(D1309="DF",EXP(VLOOKUP(D1309,'Species Codes'!B:O,14,0)+VLOOKUP(D1309,'Species Codes'!B:P,15,0)*LN((E1309*2.54))),VLOOKUP(D1309,'Species Codes'!B:O,14,0)+VLOOKUP(D1309,'Species Codes'!B:P,15,0)*(((E1309*2.54)/100)^2)*(I1309*0.3048)))))*0.0011023),0)</f>
        <v>#N/A</v>
      </c>
      <c r="AD1309" s="104" t="e">
        <f t="shared" ref="AD1309:AD1372" si="598">SUM(AA1309:AC1309)</f>
        <v>#N/A</v>
      </c>
      <c r="AE1309" s="104" t="e">
        <f t="shared" ref="AE1309:AE1372" si="599">AD1309*O1309</f>
        <v>#N/A</v>
      </c>
      <c r="AF1309" s="104" t="e">
        <f>IF(AND(VLOOKUP($D1309,Merchantability!$B:$C,2,0)="Yes",$E1309&gt;=VLOOKUP($D1309,Merchantability!$B:$D,3,0),$E1309&lt;=VLOOKUP($D1309,Merchantability!$B:$E,4,0)),AA1309,0)</f>
        <v>#N/A</v>
      </c>
      <c r="AG1309" s="104" t="e">
        <f>IF(AND(VLOOKUP($D1309,Merchantability!$B:$C,2,0)="Yes",$E1309&gt;=VLOOKUP($D1309,Merchantability!$B:$D,3,0),$E1309&lt;=VLOOKUP($D1309,Merchantability!$B:$E,4,0)),AB1309,0)</f>
        <v>#N/A</v>
      </c>
      <c r="AH1309" s="104" t="e">
        <f>IF(AND(VLOOKUP($D1309,Merchantability!$B:$C,2,0)="Yes",$E1309&gt;=VLOOKUP($D1309,Merchantability!$B:$D,3,0),$E1309&lt;=VLOOKUP($D1309,Merchantability!$B:$E,4,0)),AC1309,0)</f>
        <v>#N/A</v>
      </c>
      <c r="AI1309" s="104" t="e">
        <f t="shared" ref="AI1309:AI1372" si="600">SUM(AF1309:AH1309)</f>
        <v>#N/A</v>
      </c>
      <c r="AJ1309" s="104" t="e">
        <f t="shared" ref="AJ1309:AJ1372" si="601">AA1309*$O1309</f>
        <v>#VALUE!</v>
      </c>
      <c r="AK1309" s="104" t="e">
        <f t="shared" ref="AK1309:AK1372" si="602">AB1309*$O1309</f>
        <v>#N/A</v>
      </c>
      <c r="AL1309" s="104" t="e">
        <f t="shared" ref="AL1309:AL1372" si="603">AC1309*$O1309</f>
        <v>#N/A</v>
      </c>
      <c r="AM1309" s="104" t="e">
        <f t="shared" ref="AM1309:AM1372" si="604">AD1309*$O1309</f>
        <v>#N/A</v>
      </c>
      <c r="AN1309" s="104" t="e">
        <f t="shared" si="588"/>
        <v>#N/A</v>
      </c>
      <c r="AO1309" s="104" t="e">
        <f t="shared" si="589"/>
        <v>#N/A</v>
      </c>
      <c r="AP1309" s="104" t="e">
        <f t="shared" si="590"/>
        <v>#N/A</v>
      </c>
      <c r="AQ1309" s="104" t="e">
        <f t="shared" si="591"/>
        <v>#N/A</v>
      </c>
      <c r="AR1309" s="105" t="str">
        <f t="shared" si="583"/>
        <v/>
      </c>
      <c r="AS1309" s="105" t="str">
        <f t="shared" si="584"/>
        <v/>
      </c>
      <c r="AT1309" s="108" t="str">
        <f t="shared" si="585"/>
        <v/>
      </c>
      <c r="AU1309" s="108" t="str">
        <f t="shared" si="586"/>
        <v/>
      </c>
      <c r="AV1309" s="107" t="str">
        <f>IF(ISNUMBER(O1309),IF(VLOOKUP($A1309,Stand!C:J,8,FALSE)="Short",AT1309,AU1309),"")</f>
        <v/>
      </c>
      <c r="AW1309" s="109" t="str">
        <f t="shared" si="592"/>
        <v/>
      </c>
      <c r="AX1309" s="109" t="str">
        <f t="shared" si="593"/>
        <v/>
      </c>
      <c r="AY1309" s="112" t="str">
        <f>IF(ISNUMBER(O1309),IF(AND(VLOOKUP($D1309,Merchantability!$B:$C,2,0)="Yes",$E1309&gt;=VLOOKUP($D1309,Merchantability!$B:$D,3,0),$E1309&lt;=VLOOKUP($D1309,Merchantability!$B:$E,4,0)),(AV1309*O1309)*(1-$H1309/100),""),"")</f>
        <v/>
      </c>
      <c r="AZ1309" s="116"/>
      <c r="BA1309" s="116"/>
      <c r="BB1309" s="116"/>
      <c r="BE1309" s="62"/>
      <c r="BF1309" s="63"/>
    </row>
    <row r="1310" spans="1:58" ht="12.75" customHeight="1" x14ac:dyDescent="0.25">
      <c r="A1310" s="333"/>
      <c r="B1310" s="334"/>
      <c r="C1310" s="332"/>
      <c r="D1310" s="334"/>
      <c r="E1310" s="335"/>
      <c r="F1310" s="334"/>
      <c r="G1310" s="332"/>
      <c r="H1310" s="332"/>
      <c r="I1310" s="334"/>
      <c r="J1310" s="336"/>
      <c r="K1310" s="332"/>
      <c r="L1310" s="332"/>
      <c r="M1310" s="76"/>
      <c r="N1310" s="103" t="str">
        <f>IF(A1310="","",VLOOKUP(A1310,Stand!C:K,9,0))</f>
        <v/>
      </c>
      <c r="O1310" s="104" t="str">
        <f t="shared" si="578"/>
        <v/>
      </c>
      <c r="P1310" s="105" t="str">
        <f t="shared" si="579"/>
        <v/>
      </c>
      <c r="Q1310" s="105" t="str">
        <f t="shared" si="594"/>
        <v/>
      </c>
      <c r="R1310" s="103" t="str">
        <f t="shared" si="580"/>
        <v/>
      </c>
      <c r="S1310" s="103" t="str">
        <f t="shared" si="581"/>
        <v/>
      </c>
      <c r="T1310" s="106" t="str">
        <f t="shared" si="595"/>
        <v/>
      </c>
      <c r="U1310" s="106" t="str">
        <f t="shared" si="596"/>
        <v/>
      </c>
      <c r="V1310" s="106" t="str">
        <f t="shared" si="597"/>
        <v/>
      </c>
      <c r="W1310" s="105" t="str">
        <f t="shared" si="582"/>
        <v/>
      </c>
      <c r="X1310" s="104" t="str">
        <f t="shared" si="587"/>
        <v/>
      </c>
      <c r="Y1310" s="104" t="str">
        <f t="array" ref="Y1310">IFERROR(IF(ISNUMBER(O1310),IF(COUNT(IF(A1310=$A$2:$A$2427,IF(D1310=$D$2:$D$2427,IF($X$2:$X$2427&gt;0,1))))&gt;0,SUM(IF(A1310=$A$2:$A$2427,IF(D1310=$D$2:$D$2427,$X$2:$X$2427)))/COUNT(IF(A1310=$A$2:$A$2427,IF(D1310=$D$2:$D$2427,IF(ISNUMBER($X$2:$X$2427),1)))),0),""),0)</f>
        <v/>
      </c>
      <c r="Z1310" s="104" t="str">
        <f>IF(ISNUMBER(O1310),IF(I1310&gt;0,(10^(VLOOKUP(D1310,'Species Codes'!B:C,2,0)+VLOOKUP(D1310,'Species Codes'!B:D,3,0)*LOG(E1310)+VLOOKUP(D1310,'Species Codes'!B:E,4,0)*LOG(I1310))),0),"")</f>
        <v/>
      </c>
      <c r="AA1310" s="104" t="str">
        <f>IFERROR((VLOOKUP(D1310,'Species Codes'!B:G,6,0)*Z1310)/2000,"")</f>
        <v/>
      </c>
      <c r="AB1310" s="104" t="e">
        <f>IF(Z1310&gt;0,((IF(OR(D1310="DF",D1310="RA")=TRUE,EXP(VLOOKUP(D1310,'Species Codes'!B:I,8,0)+VLOOKUP(D1310,'Species Codes'!B:J,9,0)*(LN((E1310*2.54)))),IF(OR(D1310="PY",D1310="RC",D1310="WH",D1310="NF")=TRUE,VLOOKUP(D1310,'Species Codes'!B:I,8,0)+VLOOKUP(D1310,'Species Codes'!B:J,9,0)*((E1310*2.54)^2)*(I1310*0.3048),IF(OR(D1310="MD",D1310="BM",D1310="GA")=TRUE,((VLOOKUP(D1310,'Species Codes'!B:I,8,0)*(((((E1310*2.54)+VLOOKUP(D1310,'Species Codes'!B:J,9,0))/VLOOKUP(D1310,'Species Codes'!B:K,10,0))^VLOOKUP(D1310,'Species Codes'!B:L,11,0))*((I1310*0.3048)^VLOOKUP(D1310,'Species Codes'!B:M,12,0))))-(VLOOKUP(D1310,'Species Codes'!B:I,8,0)*((((E1310*2.54)^VLOOKUP(D1310,'Species Codes'!B:L,11,0))*((I1310*0.3048)^VLOOKUP(D1310,'Species Codes'!B:M,12,0))))))*35.3*VLOOKUP(D1310,'Species Codes'!B:G,6,0)/2.2046,VLOOKUP(D1310,'Species Codes'!B:I,8,0)+VLOOKUP(D1310,'Species Codes'!B:J,9,0)*(((E1310*2.54)/100)^2)*(I1310*0.3048)))))*0.0011023),0)</f>
        <v>#N/A</v>
      </c>
      <c r="AC1310" s="104" t="e">
        <f>IF(Z1310&gt;0,((IF(OR(D1310="RA",D1310="OA",D1310="OT",D1310="UN",D1310="PC"),EXP(VLOOKUP(D1310,'Species Codes'!B:O,14,0)+VLOOKUP(D1310,'Species Codes'!B:P,15,0)*LN((E1310*2.54)))-EXP(VLOOKUP(D1310,'Species Codes'!B:O,14,0)+VLOOKUP(D1310,'Species Codes'!B:P,15,0)*LN((E1310*2.54)))*(1/(VLOOKUP(D1310,'Species Codes'!B:Q,16,0)+VLOOKUP(D1310,'Species Codes'!B:R,17,0)*((E1310*2.54)^VLOOKUP(D1310,'Species Codes'!B:S,18,0)))),IF(OR(D1310="BM",D1310="MD",D1310="OA"),EXP(VLOOKUP(D1310,'Species Codes'!B:O,14,0)+VLOOKUP(D1310,'Species Codes'!B:P,15,0)*LN((E1310*2.54)))*(1-(1/(VLOOKUP(D1310,'Species Codes'!B:Q,16,0)+VLOOKUP(D1310,'Species Codes'!B:R,17,0)*((E1310*2.54)^VLOOKUP(D1310,'Species Codes'!B:S,18,0)))))/1000,IF(D1310="DF",EXP(VLOOKUP(D1310,'Species Codes'!B:O,14,0)+VLOOKUP(D1310,'Species Codes'!B:P,15,0)*LN((E1310*2.54))),VLOOKUP(D1310,'Species Codes'!B:O,14,0)+VLOOKUP(D1310,'Species Codes'!B:P,15,0)*(((E1310*2.54)/100)^2)*(I1310*0.3048)))))*0.0011023),0)</f>
        <v>#N/A</v>
      </c>
      <c r="AD1310" s="104" t="e">
        <f t="shared" si="598"/>
        <v>#N/A</v>
      </c>
      <c r="AE1310" s="104" t="e">
        <f t="shared" si="599"/>
        <v>#N/A</v>
      </c>
      <c r="AF1310" s="104" t="e">
        <f>IF(AND(VLOOKUP($D1310,Merchantability!$B:$C,2,0)="Yes",$E1310&gt;=VLOOKUP($D1310,Merchantability!$B:$D,3,0),$E1310&lt;=VLOOKUP($D1310,Merchantability!$B:$E,4,0)),AA1310,0)</f>
        <v>#N/A</v>
      </c>
      <c r="AG1310" s="104" t="e">
        <f>IF(AND(VLOOKUP($D1310,Merchantability!$B:$C,2,0)="Yes",$E1310&gt;=VLOOKUP($D1310,Merchantability!$B:$D,3,0),$E1310&lt;=VLOOKUP($D1310,Merchantability!$B:$E,4,0)),AB1310,0)</f>
        <v>#N/A</v>
      </c>
      <c r="AH1310" s="104" t="e">
        <f>IF(AND(VLOOKUP($D1310,Merchantability!$B:$C,2,0)="Yes",$E1310&gt;=VLOOKUP($D1310,Merchantability!$B:$D,3,0),$E1310&lt;=VLOOKUP($D1310,Merchantability!$B:$E,4,0)),AC1310,0)</f>
        <v>#N/A</v>
      </c>
      <c r="AI1310" s="104" t="e">
        <f t="shared" si="600"/>
        <v>#N/A</v>
      </c>
      <c r="AJ1310" s="104" t="e">
        <f t="shared" si="601"/>
        <v>#VALUE!</v>
      </c>
      <c r="AK1310" s="104" t="e">
        <f t="shared" si="602"/>
        <v>#N/A</v>
      </c>
      <c r="AL1310" s="104" t="e">
        <f t="shared" si="603"/>
        <v>#N/A</v>
      </c>
      <c r="AM1310" s="104" t="e">
        <f t="shared" si="604"/>
        <v>#N/A</v>
      </c>
      <c r="AN1310" s="104" t="e">
        <f t="shared" si="588"/>
        <v>#N/A</v>
      </c>
      <c r="AO1310" s="104" t="e">
        <f t="shared" si="589"/>
        <v>#N/A</v>
      </c>
      <c r="AP1310" s="104" t="e">
        <f t="shared" si="590"/>
        <v>#N/A</v>
      </c>
      <c r="AQ1310" s="104" t="e">
        <f t="shared" si="591"/>
        <v>#N/A</v>
      </c>
      <c r="AR1310" s="105" t="str">
        <f t="shared" si="583"/>
        <v/>
      </c>
      <c r="AS1310" s="105" t="str">
        <f t="shared" si="584"/>
        <v/>
      </c>
      <c r="AT1310" s="108" t="str">
        <f t="shared" si="585"/>
        <v/>
      </c>
      <c r="AU1310" s="108" t="str">
        <f t="shared" si="586"/>
        <v/>
      </c>
      <c r="AV1310" s="107" t="str">
        <f>IF(ISNUMBER(O1310),IF(VLOOKUP($A1310,Stand!C:J,8,FALSE)="Short",AT1310,AU1310),"")</f>
        <v/>
      </c>
      <c r="AW1310" s="109" t="str">
        <f t="shared" si="592"/>
        <v/>
      </c>
      <c r="AX1310" s="109" t="str">
        <f t="shared" si="593"/>
        <v/>
      </c>
      <c r="AY1310" s="112" t="str">
        <f>IF(ISNUMBER(O1310),IF(AND(VLOOKUP($D1310,Merchantability!$B:$C,2,0)="Yes",$E1310&gt;=VLOOKUP($D1310,Merchantability!$B:$D,3,0),$E1310&lt;=VLOOKUP($D1310,Merchantability!$B:$E,4,0)),(AV1310*O1310)*(1-$H1310/100),""),"")</f>
        <v/>
      </c>
      <c r="AZ1310" s="116"/>
      <c r="BA1310" s="116"/>
      <c r="BB1310" s="116"/>
      <c r="BE1310" s="62"/>
      <c r="BF1310" s="63"/>
    </row>
    <row r="1311" spans="1:58" ht="12.75" customHeight="1" x14ac:dyDescent="0.25">
      <c r="A1311" s="333"/>
      <c r="B1311" s="334"/>
      <c r="C1311" s="332"/>
      <c r="D1311" s="334"/>
      <c r="E1311" s="335"/>
      <c r="F1311" s="334"/>
      <c r="G1311" s="332"/>
      <c r="H1311" s="332"/>
      <c r="I1311" s="334"/>
      <c r="J1311" s="336"/>
      <c r="K1311" s="332"/>
      <c r="L1311" s="332"/>
      <c r="M1311" s="76"/>
      <c r="N1311" s="103" t="str">
        <f>IF(A1311="","",VLOOKUP(A1311,Stand!C:K,9,0))</f>
        <v/>
      </c>
      <c r="O1311" s="104" t="str">
        <f t="shared" si="578"/>
        <v/>
      </c>
      <c r="P1311" s="105" t="str">
        <f t="shared" si="579"/>
        <v/>
      </c>
      <c r="Q1311" s="105" t="str">
        <f t="shared" si="594"/>
        <v/>
      </c>
      <c r="R1311" s="103" t="str">
        <f t="shared" si="580"/>
        <v/>
      </c>
      <c r="S1311" s="103" t="str">
        <f t="shared" si="581"/>
        <v/>
      </c>
      <c r="T1311" s="106" t="str">
        <f t="shared" si="595"/>
        <v/>
      </c>
      <c r="U1311" s="106" t="str">
        <f t="shared" si="596"/>
        <v/>
      </c>
      <c r="V1311" s="106" t="str">
        <f t="shared" si="597"/>
        <v/>
      </c>
      <c r="W1311" s="105" t="str">
        <f t="shared" si="582"/>
        <v/>
      </c>
      <c r="X1311" s="104" t="str">
        <f t="shared" si="587"/>
        <v/>
      </c>
      <c r="Y1311" s="104" t="str">
        <f t="array" ref="Y1311">IFERROR(IF(ISNUMBER(O1311),IF(COUNT(IF(A1311=$A$2:$A$2427,IF(D1311=$D$2:$D$2427,IF($X$2:$X$2427&gt;0,1))))&gt;0,SUM(IF(A1311=$A$2:$A$2427,IF(D1311=$D$2:$D$2427,$X$2:$X$2427)))/COUNT(IF(A1311=$A$2:$A$2427,IF(D1311=$D$2:$D$2427,IF(ISNUMBER($X$2:$X$2427),1)))),0),""),0)</f>
        <v/>
      </c>
      <c r="Z1311" s="104" t="str">
        <f>IF(ISNUMBER(O1311),IF(I1311&gt;0,(10^(VLOOKUP(D1311,'Species Codes'!B:C,2,0)+VLOOKUP(D1311,'Species Codes'!B:D,3,0)*LOG(E1311)+VLOOKUP(D1311,'Species Codes'!B:E,4,0)*LOG(I1311))),0),"")</f>
        <v/>
      </c>
      <c r="AA1311" s="104" t="str">
        <f>IFERROR((VLOOKUP(D1311,'Species Codes'!B:G,6,0)*Z1311)/2000,"")</f>
        <v/>
      </c>
      <c r="AB1311" s="104" t="e">
        <f>IF(Z1311&gt;0,((IF(OR(D1311="DF",D1311="RA")=TRUE,EXP(VLOOKUP(D1311,'Species Codes'!B:I,8,0)+VLOOKUP(D1311,'Species Codes'!B:J,9,0)*(LN((E1311*2.54)))),IF(OR(D1311="PY",D1311="RC",D1311="WH",D1311="NF")=TRUE,VLOOKUP(D1311,'Species Codes'!B:I,8,0)+VLOOKUP(D1311,'Species Codes'!B:J,9,0)*((E1311*2.54)^2)*(I1311*0.3048),IF(OR(D1311="MD",D1311="BM",D1311="GA")=TRUE,((VLOOKUP(D1311,'Species Codes'!B:I,8,0)*(((((E1311*2.54)+VLOOKUP(D1311,'Species Codes'!B:J,9,0))/VLOOKUP(D1311,'Species Codes'!B:K,10,0))^VLOOKUP(D1311,'Species Codes'!B:L,11,0))*((I1311*0.3048)^VLOOKUP(D1311,'Species Codes'!B:M,12,0))))-(VLOOKUP(D1311,'Species Codes'!B:I,8,0)*((((E1311*2.54)^VLOOKUP(D1311,'Species Codes'!B:L,11,0))*((I1311*0.3048)^VLOOKUP(D1311,'Species Codes'!B:M,12,0))))))*35.3*VLOOKUP(D1311,'Species Codes'!B:G,6,0)/2.2046,VLOOKUP(D1311,'Species Codes'!B:I,8,0)+VLOOKUP(D1311,'Species Codes'!B:J,9,0)*(((E1311*2.54)/100)^2)*(I1311*0.3048)))))*0.0011023),0)</f>
        <v>#N/A</v>
      </c>
      <c r="AC1311" s="104" t="e">
        <f>IF(Z1311&gt;0,((IF(OR(D1311="RA",D1311="OA",D1311="OT",D1311="UN",D1311="PC"),EXP(VLOOKUP(D1311,'Species Codes'!B:O,14,0)+VLOOKUP(D1311,'Species Codes'!B:P,15,0)*LN((E1311*2.54)))-EXP(VLOOKUP(D1311,'Species Codes'!B:O,14,0)+VLOOKUP(D1311,'Species Codes'!B:P,15,0)*LN((E1311*2.54)))*(1/(VLOOKUP(D1311,'Species Codes'!B:Q,16,0)+VLOOKUP(D1311,'Species Codes'!B:R,17,0)*((E1311*2.54)^VLOOKUP(D1311,'Species Codes'!B:S,18,0)))),IF(OR(D1311="BM",D1311="MD",D1311="OA"),EXP(VLOOKUP(D1311,'Species Codes'!B:O,14,0)+VLOOKUP(D1311,'Species Codes'!B:P,15,0)*LN((E1311*2.54)))*(1-(1/(VLOOKUP(D1311,'Species Codes'!B:Q,16,0)+VLOOKUP(D1311,'Species Codes'!B:R,17,0)*((E1311*2.54)^VLOOKUP(D1311,'Species Codes'!B:S,18,0)))))/1000,IF(D1311="DF",EXP(VLOOKUP(D1311,'Species Codes'!B:O,14,0)+VLOOKUP(D1311,'Species Codes'!B:P,15,0)*LN((E1311*2.54))),VLOOKUP(D1311,'Species Codes'!B:O,14,0)+VLOOKUP(D1311,'Species Codes'!B:P,15,0)*(((E1311*2.54)/100)^2)*(I1311*0.3048)))))*0.0011023),0)</f>
        <v>#N/A</v>
      </c>
      <c r="AD1311" s="104" t="e">
        <f t="shared" si="598"/>
        <v>#N/A</v>
      </c>
      <c r="AE1311" s="104" t="e">
        <f t="shared" si="599"/>
        <v>#N/A</v>
      </c>
      <c r="AF1311" s="104" t="e">
        <f>IF(AND(VLOOKUP($D1311,Merchantability!$B:$C,2,0)="Yes",$E1311&gt;=VLOOKUP($D1311,Merchantability!$B:$D,3,0),$E1311&lt;=VLOOKUP($D1311,Merchantability!$B:$E,4,0)),AA1311,0)</f>
        <v>#N/A</v>
      </c>
      <c r="AG1311" s="104" t="e">
        <f>IF(AND(VLOOKUP($D1311,Merchantability!$B:$C,2,0)="Yes",$E1311&gt;=VLOOKUP($D1311,Merchantability!$B:$D,3,0),$E1311&lt;=VLOOKUP($D1311,Merchantability!$B:$E,4,0)),AB1311,0)</f>
        <v>#N/A</v>
      </c>
      <c r="AH1311" s="104" t="e">
        <f>IF(AND(VLOOKUP($D1311,Merchantability!$B:$C,2,0)="Yes",$E1311&gt;=VLOOKUP($D1311,Merchantability!$B:$D,3,0),$E1311&lt;=VLOOKUP($D1311,Merchantability!$B:$E,4,0)),AC1311,0)</f>
        <v>#N/A</v>
      </c>
      <c r="AI1311" s="104" t="e">
        <f t="shared" si="600"/>
        <v>#N/A</v>
      </c>
      <c r="AJ1311" s="104" t="e">
        <f t="shared" si="601"/>
        <v>#VALUE!</v>
      </c>
      <c r="AK1311" s="104" t="e">
        <f t="shared" si="602"/>
        <v>#N/A</v>
      </c>
      <c r="AL1311" s="104" t="e">
        <f t="shared" si="603"/>
        <v>#N/A</v>
      </c>
      <c r="AM1311" s="104" t="e">
        <f t="shared" si="604"/>
        <v>#N/A</v>
      </c>
      <c r="AN1311" s="104" t="e">
        <f t="shared" si="588"/>
        <v>#N/A</v>
      </c>
      <c r="AO1311" s="104" t="e">
        <f t="shared" si="589"/>
        <v>#N/A</v>
      </c>
      <c r="AP1311" s="104" t="e">
        <f t="shared" si="590"/>
        <v>#N/A</v>
      </c>
      <c r="AQ1311" s="104" t="e">
        <f t="shared" si="591"/>
        <v>#N/A</v>
      </c>
      <c r="AR1311" s="105" t="str">
        <f t="shared" si="583"/>
        <v/>
      </c>
      <c r="AS1311" s="105" t="str">
        <f t="shared" si="584"/>
        <v/>
      </c>
      <c r="AT1311" s="108" t="str">
        <f t="shared" si="585"/>
        <v/>
      </c>
      <c r="AU1311" s="108" t="str">
        <f t="shared" si="586"/>
        <v/>
      </c>
      <c r="AV1311" s="107" t="str">
        <f>IF(ISNUMBER(O1311),IF(VLOOKUP($A1311,Stand!C:J,8,FALSE)="Short",AT1311,AU1311),"")</f>
        <v/>
      </c>
      <c r="AW1311" s="109" t="str">
        <f t="shared" si="592"/>
        <v/>
      </c>
      <c r="AX1311" s="109" t="str">
        <f t="shared" si="593"/>
        <v/>
      </c>
      <c r="AY1311" s="112" t="str">
        <f>IF(ISNUMBER(O1311),IF(AND(VLOOKUP($D1311,Merchantability!$B:$C,2,0)="Yes",$E1311&gt;=VLOOKUP($D1311,Merchantability!$B:$D,3,0),$E1311&lt;=VLOOKUP($D1311,Merchantability!$B:$E,4,0)),(AV1311*O1311)*(1-$H1311/100),""),"")</f>
        <v/>
      </c>
      <c r="AZ1311" s="116"/>
      <c r="BA1311" s="116"/>
      <c r="BB1311" s="116"/>
      <c r="BE1311" s="62"/>
      <c r="BF1311" s="63"/>
    </row>
    <row r="1312" spans="1:58" ht="12.75" customHeight="1" x14ac:dyDescent="0.25">
      <c r="A1312" s="333"/>
      <c r="B1312" s="334"/>
      <c r="C1312" s="332"/>
      <c r="D1312" s="334"/>
      <c r="E1312" s="335"/>
      <c r="F1312" s="334"/>
      <c r="G1312" s="332"/>
      <c r="H1312" s="332"/>
      <c r="I1312" s="334"/>
      <c r="J1312" s="336"/>
      <c r="K1312" s="332"/>
      <c r="L1312" s="332"/>
      <c r="M1312" s="76"/>
      <c r="N1312" s="103" t="str">
        <f>IF(A1312="","",VLOOKUP(A1312,Stand!C:K,9,0))</f>
        <v/>
      </c>
      <c r="O1312" s="104" t="str">
        <f t="shared" si="578"/>
        <v/>
      </c>
      <c r="P1312" s="105" t="str">
        <f t="shared" si="579"/>
        <v/>
      </c>
      <c r="Q1312" s="105" t="str">
        <f t="shared" si="594"/>
        <v/>
      </c>
      <c r="R1312" s="103" t="str">
        <f t="shared" si="580"/>
        <v/>
      </c>
      <c r="S1312" s="103" t="str">
        <f t="shared" si="581"/>
        <v/>
      </c>
      <c r="T1312" s="106" t="str">
        <f t="shared" si="595"/>
        <v/>
      </c>
      <c r="U1312" s="106" t="str">
        <f t="shared" si="596"/>
        <v/>
      </c>
      <c r="V1312" s="106" t="str">
        <f t="shared" si="597"/>
        <v/>
      </c>
      <c r="W1312" s="105" t="str">
        <f t="shared" si="582"/>
        <v/>
      </c>
      <c r="X1312" s="104" t="str">
        <f t="shared" si="587"/>
        <v/>
      </c>
      <c r="Y1312" s="104" t="str">
        <f t="array" ref="Y1312">IFERROR(IF(ISNUMBER(O1312),IF(COUNT(IF(A1312=$A$2:$A$2427,IF(D1312=$D$2:$D$2427,IF($X$2:$X$2427&gt;0,1))))&gt;0,SUM(IF(A1312=$A$2:$A$2427,IF(D1312=$D$2:$D$2427,$X$2:$X$2427)))/COUNT(IF(A1312=$A$2:$A$2427,IF(D1312=$D$2:$D$2427,IF(ISNUMBER($X$2:$X$2427),1)))),0),""),0)</f>
        <v/>
      </c>
      <c r="Z1312" s="104" t="str">
        <f>IF(ISNUMBER(O1312),IF(I1312&gt;0,(10^(VLOOKUP(D1312,'Species Codes'!B:C,2,0)+VLOOKUP(D1312,'Species Codes'!B:D,3,0)*LOG(E1312)+VLOOKUP(D1312,'Species Codes'!B:E,4,0)*LOG(I1312))),0),"")</f>
        <v/>
      </c>
      <c r="AA1312" s="104" t="str">
        <f>IFERROR((VLOOKUP(D1312,'Species Codes'!B:G,6,0)*Z1312)/2000,"")</f>
        <v/>
      </c>
      <c r="AB1312" s="104" t="e">
        <f>IF(Z1312&gt;0,((IF(OR(D1312="DF",D1312="RA")=TRUE,EXP(VLOOKUP(D1312,'Species Codes'!B:I,8,0)+VLOOKUP(D1312,'Species Codes'!B:J,9,0)*(LN((E1312*2.54)))),IF(OR(D1312="PY",D1312="RC",D1312="WH",D1312="NF")=TRUE,VLOOKUP(D1312,'Species Codes'!B:I,8,0)+VLOOKUP(D1312,'Species Codes'!B:J,9,0)*((E1312*2.54)^2)*(I1312*0.3048),IF(OR(D1312="MD",D1312="BM",D1312="GA")=TRUE,((VLOOKUP(D1312,'Species Codes'!B:I,8,0)*(((((E1312*2.54)+VLOOKUP(D1312,'Species Codes'!B:J,9,0))/VLOOKUP(D1312,'Species Codes'!B:K,10,0))^VLOOKUP(D1312,'Species Codes'!B:L,11,0))*((I1312*0.3048)^VLOOKUP(D1312,'Species Codes'!B:M,12,0))))-(VLOOKUP(D1312,'Species Codes'!B:I,8,0)*((((E1312*2.54)^VLOOKUP(D1312,'Species Codes'!B:L,11,0))*((I1312*0.3048)^VLOOKUP(D1312,'Species Codes'!B:M,12,0))))))*35.3*VLOOKUP(D1312,'Species Codes'!B:G,6,0)/2.2046,VLOOKUP(D1312,'Species Codes'!B:I,8,0)+VLOOKUP(D1312,'Species Codes'!B:J,9,0)*(((E1312*2.54)/100)^2)*(I1312*0.3048)))))*0.0011023),0)</f>
        <v>#N/A</v>
      </c>
      <c r="AC1312" s="104" t="e">
        <f>IF(Z1312&gt;0,((IF(OR(D1312="RA",D1312="OA",D1312="OT",D1312="UN",D1312="PC"),EXP(VLOOKUP(D1312,'Species Codes'!B:O,14,0)+VLOOKUP(D1312,'Species Codes'!B:P,15,0)*LN((E1312*2.54)))-EXP(VLOOKUP(D1312,'Species Codes'!B:O,14,0)+VLOOKUP(D1312,'Species Codes'!B:P,15,0)*LN((E1312*2.54)))*(1/(VLOOKUP(D1312,'Species Codes'!B:Q,16,0)+VLOOKUP(D1312,'Species Codes'!B:R,17,0)*((E1312*2.54)^VLOOKUP(D1312,'Species Codes'!B:S,18,0)))),IF(OR(D1312="BM",D1312="MD",D1312="OA"),EXP(VLOOKUP(D1312,'Species Codes'!B:O,14,0)+VLOOKUP(D1312,'Species Codes'!B:P,15,0)*LN((E1312*2.54)))*(1-(1/(VLOOKUP(D1312,'Species Codes'!B:Q,16,0)+VLOOKUP(D1312,'Species Codes'!B:R,17,0)*((E1312*2.54)^VLOOKUP(D1312,'Species Codes'!B:S,18,0)))))/1000,IF(D1312="DF",EXP(VLOOKUP(D1312,'Species Codes'!B:O,14,0)+VLOOKUP(D1312,'Species Codes'!B:P,15,0)*LN((E1312*2.54))),VLOOKUP(D1312,'Species Codes'!B:O,14,0)+VLOOKUP(D1312,'Species Codes'!B:P,15,0)*(((E1312*2.54)/100)^2)*(I1312*0.3048)))))*0.0011023),0)</f>
        <v>#N/A</v>
      </c>
      <c r="AD1312" s="104" t="e">
        <f t="shared" si="598"/>
        <v>#N/A</v>
      </c>
      <c r="AE1312" s="104" t="e">
        <f t="shared" si="599"/>
        <v>#N/A</v>
      </c>
      <c r="AF1312" s="104" t="e">
        <f>IF(AND(VLOOKUP($D1312,Merchantability!$B:$C,2,0)="Yes",$E1312&gt;=VLOOKUP($D1312,Merchantability!$B:$D,3,0),$E1312&lt;=VLOOKUP($D1312,Merchantability!$B:$E,4,0)),AA1312,0)</f>
        <v>#N/A</v>
      </c>
      <c r="AG1312" s="104" t="e">
        <f>IF(AND(VLOOKUP($D1312,Merchantability!$B:$C,2,0)="Yes",$E1312&gt;=VLOOKUP($D1312,Merchantability!$B:$D,3,0),$E1312&lt;=VLOOKUP($D1312,Merchantability!$B:$E,4,0)),AB1312,0)</f>
        <v>#N/A</v>
      </c>
      <c r="AH1312" s="104" t="e">
        <f>IF(AND(VLOOKUP($D1312,Merchantability!$B:$C,2,0)="Yes",$E1312&gt;=VLOOKUP($D1312,Merchantability!$B:$D,3,0),$E1312&lt;=VLOOKUP($D1312,Merchantability!$B:$E,4,0)),AC1312,0)</f>
        <v>#N/A</v>
      </c>
      <c r="AI1312" s="104" t="e">
        <f t="shared" si="600"/>
        <v>#N/A</v>
      </c>
      <c r="AJ1312" s="104" t="e">
        <f t="shared" si="601"/>
        <v>#VALUE!</v>
      </c>
      <c r="AK1312" s="104" t="e">
        <f t="shared" si="602"/>
        <v>#N/A</v>
      </c>
      <c r="AL1312" s="104" t="e">
        <f t="shared" si="603"/>
        <v>#N/A</v>
      </c>
      <c r="AM1312" s="104" t="e">
        <f t="shared" si="604"/>
        <v>#N/A</v>
      </c>
      <c r="AN1312" s="104" t="e">
        <f t="shared" si="588"/>
        <v>#N/A</v>
      </c>
      <c r="AO1312" s="104" t="e">
        <f t="shared" si="589"/>
        <v>#N/A</v>
      </c>
      <c r="AP1312" s="104" t="e">
        <f t="shared" si="590"/>
        <v>#N/A</v>
      </c>
      <c r="AQ1312" s="104" t="e">
        <f t="shared" si="591"/>
        <v>#N/A</v>
      </c>
      <c r="AR1312" s="105" t="str">
        <f t="shared" si="583"/>
        <v/>
      </c>
      <c r="AS1312" s="105" t="str">
        <f t="shared" si="584"/>
        <v/>
      </c>
      <c r="AT1312" s="108" t="str">
        <f t="shared" si="585"/>
        <v/>
      </c>
      <c r="AU1312" s="108" t="str">
        <f t="shared" si="586"/>
        <v/>
      </c>
      <c r="AV1312" s="107" t="str">
        <f>IF(ISNUMBER(O1312),IF(VLOOKUP($A1312,Stand!C:J,8,FALSE)="Short",AT1312,AU1312),"")</f>
        <v/>
      </c>
      <c r="AW1312" s="109" t="str">
        <f t="shared" si="592"/>
        <v/>
      </c>
      <c r="AX1312" s="109" t="str">
        <f t="shared" si="593"/>
        <v/>
      </c>
      <c r="AY1312" s="112" t="str">
        <f>IF(ISNUMBER(O1312),IF(AND(VLOOKUP($D1312,Merchantability!$B:$C,2,0)="Yes",$E1312&gt;=VLOOKUP($D1312,Merchantability!$B:$D,3,0),$E1312&lt;=VLOOKUP($D1312,Merchantability!$B:$E,4,0)),(AV1312*O1312)*(1-$H1312/100),""),"")</f>
        <v/>
      </c>
      <c r="AZ1312" s="116"/>
      <c r="BA1312" s="116"/>
      <c r="BB1312" s="116"/>
      <c r="BE1312" s="62"/>
      <c r="BF1312" s="63"/>
    </row>
    <row r="1313" spans="1:58" ht="12.75" customHeight="1" x14ac:dyDescent="0.25">
      <c r="A1313" s="333"/>
      <c r="B1313" s="334"/>
      <c r="C1313" s="332"/>
      <c r="D1313" s="334"/>
      <c r="E1313" s="335"/>
      <c r="F1313" s="334"/>
      <c r="G1313" s="332"/>
      <c r="H1313" s="332"/>
      <c r="I1313" s="334"/>
      <c r="J1313" s="336"/>
      <c r="K1313" s="332"/>
      <c r="L1313" s="332"/>
      <c r="M1313" s="76"/>
      <c r="N1313" s="103" t="str">
        <f>IF(A1313="","",VLOOKUP(A1313,Stand!C:K,9,0))</f>
        <v/>
      </c>
      <c r="O1313" s="104" t="str">
        <f t="shared" si="578"/>
        <v/>
      </c>
      <c r="P1313" s="105" t="str">
        <f t="shared" si="579"/>
        <v/>
      </c>
      <c r="Q1313" s="105" t="str">
        <f t="shared" si="594"/>
        <v/>
      </c>
      <c r="R1313" s="103" t="str">
        <f t="shared" si="580"/>
        <v/>
      </c>
      <c r="S1313" s="103" t="str">
        <f t="shared" si="581"/>
        <v/>
      </c>
      <c r="T1313" s="106" t="str">
        <f t="shared" si="595"/>
        <v/>
      </c>
      <c r="U1313" s="106" t="str">
        <f t="shared" si="596"/>
        <v/>
      </c>
      <c r="V1313" s="106" t="str">
        <f t="shared" si="597"/>
        <v/>
      </c>
      <c r="W1313" s="105" t="str">
        <f t="shared" si="582"/>
        <v/>
      </c>
      <c r="X1313" s="104" t="str">
        <f t="shared" si="587"/>
        <v/>
      </c>
      <c r="Y1313" s="104" t="str">
        <f t="array" ref="Y1313">IFERROR(IF(ISNUMBER(O1313),IF(COUNT(IF(A1313=$A$2:$A$2427,IF(D1313=$D$2:$D$2427,IF($X$2:$X$2427&gt;0,1))))&gt;0,SUM(IF(A1313=$A$2:$A$2427,IF(D1313=$D$2:$D$2427,$X$2:$X$2427)))/COUNT(IF(A1313=$A$2:$A$2427,IF(D1313=$D$2:$D$2427,IF(ISNUMBER($X$2:$X$2427),1)))),0),""),0)</f>
        <v/>
      </c>
      <c r="Z1313" s="104" t="str">
        <f>IF(ISNUMBER(O1313),IF(I1313&gt;0,(10^(VLOOKUP(D1313,'Species Codes'!B:C,2,0)+VLOOKUP(D1313,'Species Codes'!B:D,3,0)*LOG(E1313)+VLOOKUP(D1313,'Species Codes'!B:E,4,0)*LOG(I1313))),0),"")</f>
        <v/>
      </c>
      <c r="AA1313" s="104" t="str">
        <f>IFERROR((VLOOKUP(D1313,'Species Codes'!B:G,6,0)*Z1313)/2000,"")</f>
        <v/>
      </c>
      <c r="AB1313" s="104" t="e">
        <f>IF(Z1313&gt;0,((IF(OR(D1313="DF",D1313="RA")=TRUE,EXP(VLOOKUP(D1313,'Species Codes'!B:I,8,0)+VLOOKUP(D1313,'Species Codes'!B:J,9,0)*(LN((E1313*2.54)))),IF(OR(D1313="PY",D1313="RC",D1313="WH",D1313="NF")=TRUE,VLOOKUP(D1313,'Species Codes'!B:I,8,0)+VLOOKUP(D1313,'Species Codes'!B:J,9,0)*((E1313*2.54)^2)*(I1313*0.3048),IF(OR(D1313="MD",D1313="BM",D1313="GA")=TRUE,((VLOOKUP(D1313,'Species Codes'!B:I,8,0)*(((((E1313*2.54)+VLOOKUP(D1313,'Species Codes'!B:J,9,0))/VLOOKUP(D1313,'Species Codes'!B:K,10,0))^VLOOKUP(D1313,'Species Codes'!B:L,11,0))*((I1313*0.3048)^VLOOKUP(D1313,'Species Codes'!B:M,12,0))))-(VLOOKUP(D1313,'Species Codes'!B:I,8,0)*((((E1313*2.54)^VLOOKUP(D1313,'Species Codes'!B:L,11,0))*((I1313*0.3048)^VLOOKUP(D1313,'Species Codes'!B:M,12,0))))))*35.3*VLOOKUP(D1313,'Species Codes'!B:G,6,0)/2.2046,VLOOKUP(D1313,'Species Codes'!B:I,8,0)+VLOOKUP(D1313,'Species Codes'!B:J,9,0)*(((E1313*2.54)/100)^2)*(I1313*0.3048)))))*0.0011023),0)</f>
        <v>#N/A</v>
      </c>
      <c r="AC1313" s="104" t="e">
        <f>IF(Z1313&gt;0,((IF(OR(D1313="RA",D1313="OA",D1313="OT",D1313="UN",D1313="PC"),EXP(VLOOKUP(D1313,'Species Codes'!B:O,14,0)+VLOOKUP(D1313,'Species Codes'!B:P,15,0)*LN((E1313*2.54)))-EXP(VLOOKUP(D1313,'Species Codes'!B:O,14,0)+VLOOKUP(D1313,'Species Codes'!B:P,15,0)*LN((E1313*2.54)))*(1/(VLOOKUP(D1313,'Species Codes'!B:Q,16,0)+VLOOKUP(D1313,'Species Codes'!B:R,17,0)*((E1313*2.54)^VLOOKUP(D1313,'Species Codes'!B:S,18,0)))),IF(OR(D1313="BM",D1313="MD",D1313="OA"),EXP(VLOOKUP(D1313,'Species Codes'!B:O,14,0)+VLOOKUP(D1313,'Species Codes'!B:P,15,0)*LN((E1313*2.54)))*(1-(1/(VLOOKUP(D1313,'Species Codes'!B:Q,16,0)+VLOOKUP(D1313,'Species Codes'!B:R,17,0)*((E1313*2.54)^VLOOKUP(D1313,'Species Codes'!B:S,18,0)))))/1000,IF(D1313="DF",EXP(VLOOKUP(D1313,'Species Codes'!B:O,14,0)+VLOOKUP(D1313,'Species Codes'!B:P,15,0)*LN((E1313*2.54))),VLOOKUP(D1313,'Species Codes'!B:O,14,0)+VLOOKUP(D1313,'Species Codes'!B:P,15,0)*(((E1313*2.54)/100)^2)*(I1313*0.3048)))))*0.0011023),0)</f>
        <v>#N/A</v>
      </c>
      <c r="AD1313" s="104" t="e">
        <f t="shared" si="598"/>
        <v>#N/A</v>
      </c>
      <c r="AE1313" s="104" t="e">
        <f t="shared" si="599"/>
        <v>#N/A</v>
      </c>
      <c r="AF1313" s="104" t="e">
        <f>IF(AND(VLOOKUP($D1313,Merchantability!$B:$C,2,0)="Yes",$E1313&gt;=VLOOKUP($D1313,Merchantability!$B:$D,3,0),$E1313&lt;=VLOOKUP($D1313,Merchantability!$B:$E,4,0)),AA1313,0)</f>
        <v>#N/A</v>
      </c>
      <c r="AG1313" s="104" t="e">
        <f>IF(AND(VLOOKUP($D1313,Merchantability!$B:$C,2,0)="Yes",$E1313&gt;=VLOOKUP($D1313,Merchantability!$B:$D,3,0),$E1313&lt;=VLOOKUP($D1313,Merchantability!$B:$E,4,0)),AB1313,0)</f>
        <v>#N/A</v>
      </c>
      <c r="AH1313" s="104" t="e">
        <f>IF(AND(VLOOKUP($D1313,Merchantability!$B:$C,2,0)="Yes",$E1313&gt;=VLOOKUP($D1313,Merchantability!$B:$D,3,0),$E1313&lt;=VLOOKUP($D1313,Merchantability!$B:$E,4,0)),AC1313,0)</f>
        <v>#N/A</v>
      </c>
      <c r="AI1313" s="104" t="e">
        <f t="shared" si="600"/>
        <v>#N/A</v>
      </c>
      <c r="AJ1313" s="104" t="e">
        <f t="shared" si="601"/>
        <v>#VALUE!</v>
      </c>
      <c r="AK1313" s="104" t="e">
        <f t="shared" si="602"/>
        <v>#N/A</v>
      </c>
      <c r="AL1313" s="104" t="e">
        <f t="shared" si="603"/>
        <v>#N/A</v>
      </c>
      <c r="AM1313" s="104" t="e">
        <f t="shared" si="604"/>
        <v>#N/A</v>
      </c>
      <c r="AN1313" s="104" t="e">
        <f t="shared" si="588"/>
        <v>#N/A</v>
      </c>
      <c r="AO1313" s="104" t="e">
        <f t="shared" si="589"/>
        <v>#N/A</v>
      </c>
      <c r="AP1313" s="104" t="e">
        <f t="shared" si="590"/>
        <v>#N/A</v>
      </c>
      <c r="AQ1313" s="104" t="e">
        <f t="shared" si="591"/>
        <v>#N/A</v>
      </c>
      <c r="AR1313" s="105" t="str">
        <f t="shared" si="583"/>
        <v/>
      </c>
      <c r="AS1313" s="105" t="str">
        <f t="shared" si="584"/>
        <v/>
      </c>
      <c r="AT1313" s="108" t="str">
        <f t="shared" si="585"/>
        <v/>
      </c>
      <c r="AU1313" s="108" t="str">
        <f t="shared" si="586"/>
        <v/>
      </c>
      <c r="AV1313" s="107" t="str">
        <f>IF(ISNUMBER(O1313),IF(VLOOKUP($A1313,Stand!C:J,8,FALSE)="Short",AT1313,AU1313),"")</f>
        <v/>
      </c>
      <c r="AW1313" s="109" t="str">
        <f t="shared" si="592"/>
        <v/>
      </c>
      <c r="AX1313" s="109" t="str">
        <f t="shared" si="593"/>
        <v/>
      </c>
      <c r="AY1313" s="112" t="str">
        <f>IF(ISNUMBER(O1313),IF(AND(VLOOKUP($D1313,Merchantability!$B:$C,2,0)="Yes",$E1313&gt;=VLOOKUP($D1313,Merchantability!$B:$D,3,0),$E1313&lt;=VLOOKUP($D1313,Merchantability!$B:$E,4,0)),(AV1313*O1313)*(1-$H1313/100),""),"")</f>
        <v/>
      </c>
      <c r="AZ1313" s="116"/>
      <c r="BA1313" s="116"/>
      <c r="BB1313" s="116"/>
      <c r="BE1313" s="62"/>
      <c r="BF1313" s="63"/>
    </row>
    <row r="1314" spans="1:58" ht="12.75" customHeight="1" x14ac:dyDescent="0.25">
      <c r="A1314" s="333"/>
      <c r="B1314" s="334"/>
      <c r="C1314" s="332"/>
      <c r="D1314" s="334"/>
      <c r="E1314" s="335"/>
      <c r="F1314" s="334"/>
      <c r="G1314" s="332"/>
      <c r="H1314" s="332"/>
      <c r="I1314" s="334"/>
      <c r="J1314" s="336"/>
      <c r="K1314" s="332"/>
      <c r="L1314" s="332"/>
      <c r="M1314" s="76"/>
      <c r="N1314" s="103" t="str">
        <f>IF(A1314="","",VLOOKUP(A1314,Stand!C:K,9,0))</f>
        <v/>
      </c>
      <c r="O1314" s="104" t="str">
        <f t="shared" si="578"/>
        <v/>
      </c>
      <c r="P1314" s="105" t="str">
        <f t="shared" si="579"/>
        <v/>
      </c>
      <c r="Q1314" s="105" t="str">
        <f t="shared" si="594"/>
        <v/>
      </c>
      <c r="R1314" s="103" t="str">
        <f t="shared" si="580"/>
        <v/>
      </c>
      <c r="S1314" s="103" t="str">
        <f t="shared" si="581"/>
        <v/>
      </c>
      <c r="T1314" s="106" t="str">
        <f t="shared" si="595"/>
        <v/>
      </c>
      <c r="U1314" s="106" t="str">
        <f t="shared" si="596"/>
        <v/>
      </c>
      <c r="V1314" s="106" t="str">
        <f t="shared" si="597"/>
        <v/>
      </c>
      <c r="W1314" s="105" t="str">
        <f t="shared" si="582"/>
        <v/>
      </c>
      <c r="X1314" s="104" t="str">
        <f t="shared" si="587"/>
        <v/>
      </c>
      <c r="Y1314" s="104" t="str">
        <f t="array" ref="Y1314">IFERROR(IF(ISNUMBER(O1314),IF(COUNT(IF(A1314=$A$2:$A$2427,IF(D1314=$D$2:$D$2427,IF($X$2:$X$2427&gt;0,1))))&gt;0,SUM(IF(A1314=$A$2:$A$2427,IF(D1314=$D$2:$D$2427,$X$2:$X$2427)))/COUNT(IF(A1314=$A$2:$A$2427,IF(D1314=$D$2:$D$2427,IF(ISNUMBER($X$2:$X$2427),1)))),0),""),0)</f>
        <v/>
      </c>
      <c r="Z1314" s="104" t="str">
        <f>IF(ISNUMBER(O1314),IF(I1314&gt;0,(10^(VLOOKUP(D1314,'Species Codes'!B:C,2,0)+VLOOKUP(D1314,'Species Codes'!B:D,3,0)*LOG(E1314)+VLOOKUP(D1314,'Species Codes'!B:E,4,0)*LOG(I1314))),0),"")</f>
        <v/>
      </c>
      <c r="AA1314" s="104" t="str">
        <f>IFERROR((VLOOKUP(D1314,'Species Codes'!B:G,6,0)*Z1314)/2000,"")</f>
        <v/>
      </c>
      <c r="AB1314" s="104" t="e">
        <f>IF(Z1314&gt;0,((IF(OR(D1314="DF",D1314="RA")=TRUE,EXP(VLOOKUP(D1314,'Species Codes'!B:I,8,0)+VLOOKUP(D1314,'Species Codes'!B:J,9,0)*(LN((E1314*2.54)))),IF(OR(D1314="PY",D1314="RC",D1314="WH",D1314="NF")=TRUE,VLOOKUP(D1314,'Species Codes'!B:I,8,0)+VLOOKUP(D1314,'Species Codes'!B:J,9,0)*((E1314*2.54)^2)*(I1314*0.3048),IF(OR(D1314="MD",D1314="BM",D1314="GA")=TRUE,((VLOOKUP(D1314,'Species Codes'!B:I,8,0)*(((((E1314*2.54)+VLOOKUP(D1314,'Species Codes'!B:J,9,0))/VLOOKUP(D1314,'Species Codes'!B:K,10,0))^VLOOKUP(D1314,'Species Codes'!B:L,11,0))*((I1314*0.3048)^VLOOKUP(D1314,'Species Codes'!B:M,12,0))))-(VLOOKUP(D1314,'Species Codes'!B:I,8,0)*((((E1314*2.54)^VLOOKUP(D1314,'Species Codes'!B:L,11,0))*((I1314*0.3048)^VLOOKUP(D1314,'Species Codes'!B:M,12,0))))))*35.3*VLOOKUP(D1314,'Species Codes'!B:G,6,0)/2.2046,VLOOKUP(D1314,'Species Codes'!B:I,8,0)+VLOOKUP(D1314,'Species Codes'!B:J,9,0)*(((E1314*2.54)/100)^2)*(I1314*0.3048)))))*0.0011023),0)</f>
        <v>#N/A</v>
      </c>
      <c r="AC1314" s="104" t="e">
        <f>IF(Z1314&gt;0,((IF(OR(D1314="RA",D1314="OA",D1314="OT",D1314="UN",D1314="PC"),EXP(VLOOKUP(D1314,'Species Codes'!B:O,14,0)+VLOOKUP(D1314,'Species Codes'!B:P,15,0)*LN((E1314*2.54)))-EXP(VLOOKUP(D1314,'Species Codes'!B:O,14,0)+VLOOKUP(D1314,'Species Codes'!B:P,15,0)*LN((E1314*2.54)))*(1/(VLOOKUP(D1314,'Species Codes'!B:Q,16,0)+VLOOKUP(D1314,'Species Codes'!B:R,17,0)*((E1314*2.54)^VLOOKUP(D1314,'Species Codes'!B:S,18,0)))),IF(OR(D1314="BM",D1314="MD",D1314="OA"),EXP(VLOOKUP(D1314,'Species Codes'!B:O,14,0)+VLOOKUP(D1314,'Species Codes'!B:P,15,0)*LN((E1314*2.54)))*(1-(1/(VLOOKUP(D1314,'Species Codes'!B:Q,16,0)+VLOOKUP(D1314,'Species Codes'!B:R,17,0)*((E1314*2.54)^VLOOKUP(D1314,'Species Codes'!B:S,18,0)))))/1000,IF(D1314="DF",EXP(VLOOKUP(D1314,'Species Codes'!B:O,14,0)+VLOOKUP(D1314,'Species Codes'!B:P,15,0)*LN((E1314*2.54))),VLOOKUP(D1314,'Species Codes'!B:O,14,0)+VLOOKUP(D1314,'Species Codes'!B:P,15,0)*(((E1314*2.54)/100)^2)*(I1314*0.3048)))))*0.0011023),0)</f>
        <v>#N/A</v>
      </c>
      <c r="AD1314" s="104" t="e">
        <f t="shared" si="598"/>
        <v>#N/A</v>
      </c>
      <c r="AE1314" s="104" t="e">
        <f t="shared" si="599"/>
        <v>#N/A</v>
      </c>
      <c r="AF1314" s="104" t="e">
        <f>IF(AND(VLOOKUP($D1314,Merchantability!$B:$C,2,0)="Yes",$E1314&gt;=VLOOKUP($D1314,Merchantability!$B:$D,3,0),$E1314&lt;=VLOOKUP($D1314,Merchantability!$B:$E,4,0)),AA1314,0)</f>
        <v>#N/A</v>
      </c>
      <c r="AG1314" s="104" t="e">
        <f>IF(AND(VLOOKUP($D1314,Merchantability!$B:$C,2,0)="Yes",$E1314&gt;=VLOOKUP($D1314,Merchantability!$B:$D,3,0),$E1314&lt;=VLOOKUP($D1314,Merchantability!$B:$E,4,0)),AB1314,0)</f>
        <v>#N/A</v>
      </c>
      <c r="AH1314" s="104" t="e">
        <f>IF(AND(VLOOKUP($D1314,Merchantability!$B:$C,2,0)="Yes",$E1314&gt;=VLOOKUP($D1314,Merchantability!$B:$D,3,0),$E1314&lt;=VLOOKUP($D1314,Merchantability!$B:$E,4,0)),AC1314,0)</f>
        <v>#N/A</v>
      </c>
      <c r="AI1314" s="104" t="e">
        <f t="shared" si="600"/>
        <v>#N/A</v>
      </c>
      <c r="AJ1314" s="104" t="e">
        <f t="shared" si="601"/>
        <v>#VALUE!</v>
      </c>
      <c r="AK1314" s="104" t="e">
        <f t="shared" si="602"/>
        <v>#N/A</v>
      </c>
      <c r="AL1314" s="104" t="e">
        <f t="shared" si="603"/>
        <v>#N/A</v>
      </c>
      <c r="AM1314" s="104" t="e">
        <f t="shared" si="604"/>
        <v>#N/A</v>
      </c>
      <c r="AN1314" s="104" t="e">
        <f t="shared" si="588"/>
        <v>#N/A</v>
      </c>
      <c r="AO1314" s="104" t="e">
        <f t="shared" si="589"/>
        <v>#N/A</v>
      </c>
      <c r="AP1314" s="104" t="e">
        <f t="shared" si="590"/>
        <v>#N/A</v>
      </c>
      <c r="AQ1314" s="104" t="e">
        <f t="shared" si="591"/>
        <v>#N/A</v>
      </c>
      <c r="AR1314" s="105" t="str">
        <f t="shared" si="583"/>
        <v/>
      </c>
      <c r="AS1314" s="105" t="str">
        <f t="shared" si="584"/>
        <v/>
      </c>
      <c r="AT1314" s="108" t="str">
        <f t="shared" si="585"/>
        <v/>
      </c>
      <c r="AU1314" s="108" t="str">
        <f t="shared" si="586"/>
        <v/>
      </c>
      <c r="AV1314" s="107" t="str">
        <f>IF(ISNUMBER(O1314),IF(VLOOKUP($A1314,Stand!C:J,8,FALSE)="Short",AT1314,AU1314),"")</f>
        <v/>
      </c>
      <c r="AW1314" s="109" t="str">
        <f t="shared" si="592"/>
        <v/>
      </c>
      <c r="AX1314" s="109" t="str">
        <f t="shared" si="593"/>
        <v/>
      </c>
      <c r="AY1314" s="112" t="str">
        <f>IF(ISNUMBER(O1314),IF(AND(VLOOKUP($D1314,Merchantability!$B:$C,2,0)="Yes",$E1314&gt;=VLOOKUP($D1314,Merchantability!$B:$D,3,0),$E1314&lt;=VLOOKUP($D1314,Merchantability!$B:$E,4,0)),(AV1314*O1314)*(1-$H1314/100),""),"")</f>
        <v/>
      </c>
      <c r="AZ1314" s="116"/>
      <c r="BA1314" s="116"/>
      <c r="BB1314" s="116"/>
      <c r="BE1314" s="62"/>
      <c r="BF1314" s="63"/>
    </row>
    <row r="1315" spans="1:58" ht="12.75" customHeight="1" x14ac:dyDescent="0.25">
      <c r="A1315" s="333"/>
      <c r="B1315" s="334"/>
      <c r="C1315" s="332"/>
      <c r="D1315" s="334"/>
      <c r="E1315" s="335"/>
      <c r="F1315" s="334"/>
      <c r="G1315" s="332"/>
      <c r="H1315" s="332"/>
      <c r="I1315" s="334"/>
      <c r="J1315" s="336"/>
      <c r="K1315" s="332"/>
      <c r="L1315" s="332"/>
      <c r="M1315" s="76"/>
      <c r="N1315" s="103" t="str">
        <f>IF(A1315="","",VLOOKUP(A1315,Stand!C:K,9,0))</f>
        <v/>
      </c>
      <c r="O1315" s="104" t="str">
        <f t="shared" si="578"/>
        <v/>
      </c>
      <c r="P1315" s="105" t="str">
        <f t="shared" si="579"/>
        <v/>
      </c>
      <c r="Q1315" s="105" t="str">
        <f t="shared" si="594"/>
        <v/>
      </c>
      <c r="R1315" s="103" t="str">
        <f t="shared" si="580"/>
        <v/>
      </c>
      <c r="S1315" s="103" t="str">
        <f t="shared" si="581"/>
        <v/>
      </c>
      <c r="T1315" s="106" t="str">
        <f t="shared" si="595"/>
        <v/>
      </c>
      <c r="U1315" s="106" t="str">
        <f t="shared" si="596"/>
        <v/>
      </c>
      <c r="V1315" s="106" t="str">
        <f t="shared" si="597"/>
        <v/>
      </c>
      <c r="W1315" s="105" t="str">
        <f t="shared" si="582"/>
        <v/>
      </c>
      <c r="X1315" s="104" t="str">
        <f t="shared" si="587"/>
        <v/>
      </c>
      <c r="Y1315" s="104" t="str">
        <f t="array" ref="Y1315">IFERROR(IF(ISNUMBER(O1315),IF(COUNT(IF(A1315=$A$2:$A$2427,IF(D1315=$D$2:$D$2427,IF($X$2:$X$2427&gt;0,1))))&gt;0,SUM(IF(A1315=$A$2:$A$2427,IF(D1315=$D$2:$D$2427,$X$2:$X$2427)))/COUNT(IF(A1315=$A$2:$A$2427,IF(D1315=$D$2:$D$2427,IF(ISNUMBER($X$2:$X$2427),1)))),0),""),0)</f>
        <v/>
      </c>
      <c r="Z1315" s="104" t="str">
        <f>IF(ISNUMBER(O1315),IF(I1315&gt;0,(10^(VLOOKUP(D1315,'Species Codes'!B:C,2,0)+VLOOKUP(D1315,'Species Codes'!B:D,3,0)*LOG(E1315)+VLOOKUP(D1315,'Species Codes'!B:E,4,0)*LOG(I1315))),0),"")</f>
        <v/>
      </c>
      <c r="AA1315" s="104" t="str">
        <f>IFERROR((VLOOKUP(D1315,'Species Codes'!B:G,6,0)*Z1315)/2000,"")</f>
        <v/>
      </c>
      <c r="AB1315" s="104" t="e">
        <f>IF(Z1315&gt;0,((IF(OR(D1315="DF",D1315="RA")=TRUE,EXP(VLOOKUP(D1315,'Species Codes'!B:I,8,0)+VLOOKUP(D1315,'Species Codes'!B:J,9,0)*(LN((E1315*2.54)))),IF(OR(D1315="PY",D1315="RC",D1315="WH",D1315="NF")=TRUE,VLOOKUP(D1315,'Species Codes'!B:I,8,0)+VLOOKUP(D1315,'Species Codes'!B:J,9,0)*((E1315*2.54)^2)*(I1315*0.3048),IF(OR(D1315="MD",D1315="BM",D1315="GA")=TRUE,((VLOOKUP(D1315,'Species Codes'!B:I,8,0)*(((((E1315*2.54)+VLOOKUP(D1315,'Species Codes'!B:J,9,0))/VLOOKUP(D1315,'Species Codes'!B:K,10,0))^VLOOKUP(D1315,'Species Codes'!B:L,11,0))*((I1315*0.3048)^VLOOKUP(D1315,'Species Codes'!B:M,12,0))))-(VLOOKUP(D1315,'Species Codes'!B:I,8,0)*((((E1315*2.54)^VLOOKUP(D1315,'Species Codes'!B:L,11,0))*((I1315*0.3048)^VLOOKUP(D1315,'Species Codes'!B:M,12,0))))))*35.3*VLOOKUP(D1315,'Species Codes'!B:G,6,0)/2.2046,VLOOKUP(D1315,'Species Codes'!B:I,8,0)+VLOOKUP(D1315,'Species Codes'!B:J,9,0)*(((E1315*2.54)/100)^2)*(I1315*0.3048)))))*0.0011023),0)</f>
        <v>#N/A</v>
      </c>
      <c r="AC1315" s="104" t="e">
        <f>IF(Z1315&gt;0,((IF(OR(D1315="RA",D1315="OA",D1315="OT",D1315="UN",D1315="PC"),EXP(VLOOKUP(D1315,'Species Codes'!B:O,14,0)+VLOOKUP(D1315,'Species Codes'!B:P,15,0)*LN((E1315*2.54)))-EXP(VLOOKUP(D1315,'Species Codes'!B:O,14,0)+VLOOKUP(D1315,'Species Codes'!B:P,15,0)*LN((E1315*2.54)))*(1/(VLOOKUP(D1315,'Species Codes'!B:Q,16,0)+VLOOKUP(D1315,'Species Codes'!B:R,17,0)*((E1315*2.54)^VLOOKUP(D1315,'Species Codes'!B:S,18,0)))),IF(OR(D1315="BM",D1315="MD",D1315="OA"),EXP(VLOOKUP(D1315,'Species Codes'!B:O,14,0)+VLOOKUP(D1315,'Species Codes'!B:P,15,0)*LN((E1315*2.54)))*(1-(1/(VLOOKUP(D1315,'Species Codes'!B:Q,16,0)+VLOOKUP(D1315,'Species Codes'!B:R,17,0)*((E1315*2.54)^VLOOKUP(D1315,'Species Codes'!B:S,18,0)))))/1000,IF(D1315="DF",EXP(VLOOKUP(D1315,'Species Codes'!B:O,14,0)+VLOOKUP(D1315,'Species Codes'!B:P,15,0)*LN((E1315*2.54))),VLOOKUP(D1315,'Species Codes'!B:O,14,0)+VLOOKUP(D1315,'Species Codes'!B:P,15,0)*(((E1315*2.54)/100)^2)*(I1315*0.3048)))))*0.0011023),0)</f>
        <v>#N/A</v>
      </c>
      <c r="AD1315" s="104" t="e">
        <f t="shared" si="598"/>
        <v>#N/A</v>
      </c>
      <c r="AE1315" s="104" t="e">
        <f t="shared" si="599"/>
        <v>#N/A</v>
      </c>
      <c r="AF1315" s="104" t="e">
        <f>IF(AND(VLOOKUP($D1315,Merchantability!$B:$C,2,0)="Yes",$E1315&gt;=VLOOKUP($D1315,Merchantability!$B:$D,3,0),$E1315&lt;=VLOOKUP($D1315,Merchantability!$B:$E,4,0)),AA1315,0)</f>
        <v>#N/A</v>
      </c>
      <c r="AG1315" s="104" t="e">
        <f>IF(AND(VLOOKUP($D1315,Merchantability!$B:$C,2,0)="Yes",$E1315&gt;=VLOOKUP($D1315,Merchantability!$B:$D,3,0),$E1315&lt;=VLOOKUP($D1315,Merchantability!$B:$E,4,0)),AB1315,0)</f>
        <v>#N/A</v>
      </c>
      <c r="AH1315" s="104" t="e">
        <f>IF(AND(VLOOKUP($D1315,Merchantability!$B:$C,2,0)="Yes",$E1315&gt;=VLOOKUP($D1315,Merchantability!$B:$D,3,0),$E1315&lt;=VLOOKUP($D1315,Merchantability!$B:$E,4,0)),AC1315,0)</f>
        <v>#N/A</v>
      </c>
      <c r="AI1315" s="104" t="e">
        <f t="shared" si="600"/>
        <v>#N/A</v>
      </c>
      <c r="AJ1315" s="104" t="e">
        <f t="shared" si="601"/>
        <v>#VALUE!</v>
      </c>
      <c r="AK1315" s="104" t="e">
        <f t="shared" si="602"/>
        <v>#N/A</v>
      </c>
      <c r="AL1315" s="104" t="e">
        <f t="shared" si="603"/>
        <v>#N/A</v>
      </c>
      <c r="AM1315" s="104" t="e">
        <f t="shared" si="604"/>
        <v>#N/A</v>
      </c>
      <c r="AN1315" s="104" t="e">
        <f t="shared" si="588"/>
        <v>#N/A</v>
      </c>
      <c r="AO1315" s="104" t="e">
        <f t="shared" si="589"/>
        <v>#N/A</v>
      </c>
      <c r="AP1315" s="104" t="e">
        <f t="shared" si="590"/>
        <v>#N/A</v>
      </c>
      <c r="AQ1315" s="104" t="e">
        <f t="shared" si="591"/>
        <v>#N/A</v>
      </c>
      <c r="AR1315" s="105" t="str">
        <f t="shared" si="583"/>
        <v/>
      </c>
      <c r="AS1315" s="105" t="str">
        <f t="shared" si="584"/>
        <v/>
      </c>
      <c r="AT1315" s="108" t="str">
        <f t="shared" si="585"/>
        <v/>
      </c>
      <c r="AU1315" s="108" t="str">
        <f t="shared" si="586"/>
        <v/>
      </c>
      <c r="AV1315" s="107" t="str">
        <f>IF(ISNUMBER(O1315),IF(VLOOKUP($A1315,Stand!C:J,8,FALSE)="Short",AT1315,AU1315),"")</f>
        <v/>
      </c>
      <c r="AW1315" s="109" t="str">
        <f t="shared" si="592"/>
        <v/>
      </c>
      <c r="AX1315" s="109" t="str">
        <f t="shared" si="593"/>
        <v/>
      </c>
      <c r="AY1315" s="112" t="str">
        <f>IF(ISNUMBER(O1315),IF(AND(VLOOKUP($D1315,Merchantability!$B:$C,2,0)="Yes",$E1315&gt;=VLOOKUP($D1315,Merchantability!$B:$D,3,0),$E1315&lt;=VLOOKUP($D1315,Merchantability!$B:$E,4,0)),(AV1315*O1315)*(1-$H1315/100),""),"")</f>
        <v/>
      </c>
      <c r="AZ1315" s="116"/>
      <c r="BA1315" s="116"/>
      <c r="BB1315" s="116"/>
      <c r="BE1315" s="62"/>
      <c r="BF1315" s="63"/>
    </row>
    <row r="1316" spans="1:58" ht="12.75" customHeight="1" x14ac:dyDescent="0.25">
      <c r="A1316" s="333"/>
      <c r="B1316" s="334"/>
      <c r="C1316" s="332"/>
      <c r="D1316" s="334"/>
      <c r="E1316" s="335"/>
      <c r="F1316" s="334"/>
      <c r="G1316" s="332"/>
      <c r="H1316" s="332"/>
      <c r="I1316" s="334"/>
      <c r="J1316" s="336"/>
      <c r="K1316" s="332"/>
      <c r="L1316" s="332"/>
      <c r="M1316" s="76"/>
      <c r="N1316" s="103" t="str">
        <f>IF(A1316="","",VLOOKUP(A1316,Stand!C:K,9,0))</f>
        <v/>
      </c>
      <c r="O1316" s="104" t="str">
        <f t="shared" si="578"/>
        <v/>
      </c>
      <c r="P1316" s="105" t="str">
        <f t="shared" si="579"/>
        <v/>
      </c>
      <c r="Q1316" s="105" t="str">
        <f t="shared" si="594"/>
        <v/>
      </c>
      <c r="R1316" s="103" t="str">
        <f t="shared" si="580"/>
        <v/>
      </c>
      <c r="S1316" s="103" t="str">
        <f t="shared" si="581"/>
        <v/>
      </c>
      <c r="T1316" s="106" t="str">
        <f t="shared" si="595"/>
        <v/>
      </c>
      <c r="U1316" s="106" t="str">
        <f t="shared" si="596"/>
        <v/>
      </c>
      <c r="V1316" s="106" t="str">
        <f t="shared" si="597"/>
        <v/>
      </c>
      <c r="W1316" s="105" t="str">
        <f t="shared" si="582"/>
        <v/>
      </c>
      <c r="X1316" s="104" t="str">
        <f t="shared" si="587"/>
        <v/>
      </c>
      <c r="Y1316" s="104" t="str">
        <f t="array" ref="Y1316">IFERROR(IF(ISNUMBER(O1316),IF(COUNT(IF(A1316=$A$2:$A$2427,IF(D1316=$D$2:$D$2427,IF($X$2:$X$2427&gt;0,1))))&gt;0,SUM(IF(A1316=$A$2:$A$2427,IF(D1316=$D$2:$D$2427,$X$2:$X$2427)))/COUNT(IF(A1316=$A$2:$A$2427,IF(D1316=$D$2:$D$2427,IF(ISNUMBER($X$2:$X$2427),1)))),0),""),0)</f>
        <v/>
      </c>
      <c r="Z1316" s="104" t="str">
        <f>IF(ISNUMBER(O1316),IF(I1316&gt;0,(10^(VLOOKUP(D1316,'Species Codes'!B:C,2,0)+VLOOKUP(D1316,'Species Codes'!B:D,3,0)*LOG(E1316)+VLOOKUP(D1316,'Species Codes'!B:E,4,0)*LOG(I1316))),0),"")</f>
        <v/>
      </c>
      <c r="AA1316" s="104" t="str">
        <f>IFERROR((VLOOKUP(D1316,'Species Codes'!B:G,6,0)*Z1316)/2000,"")</f>
        <v/>
      </c>
      <c r="AB1316" s="104" t="e">
        <f>IF(Z1316&gt;0,((IF(OR(D1316="DF",D1316="RA")=TRUE,EXP(VLOOKUP(D1316,'Species Codes'!B:I,8,0)+VLOOKUP(D1316,'Species Codes'!B:J,9,0)*(LN((E1316*2.54)))),IF(OR(D1316="PY",D1316="RC",D1316="WH",D1316="NF")=TRUE,VLOOKUP(D1316,'Species Codes'!B:I,8,0)+VLOOKUP(D1316,'Species Codes'!B:J,9,0)*((E1316*2.54)^2)*(I1316*0.3048),IF(OR(D1316="MD",D1316="BM",D1316="GA")=TRUE,((VLOOKUP(D1316,'Species Codes'!B:I,8,0)*(((((E1316*2.54)+VLOOKUP(D1316,'Species Codes'!B:J,9,0))/VLOOKUP(D1316,'Species Codes'!B:K,10,0))^VLOOKUP(D1316,'Species Codes'!B:L,11,0))*((I1316*0.3048)^VLOOKUP(D1316,'Species Codes'!B:M,12,0))))-(VLOOKUP(D1316,'Species Codes'!B:I,8,0)*((((E1316*2.54)^VLOOKUP(D1316,'Species Codes'!B:L,11,0))*((I1316*0.3048)^VLOOKUP(D1316,'Species Codes'!B:M,12,0))))))*35.3*VLOOKUP(D1316,'Species Codes'!B:G,6,0)/2.2046,VLOOKUP(D1316,'Species Codes'!B:I,8,0)+VLOOKUP(D1316,'Species Codes'!B:J,9,0)*(((E1316*2.54)/100)^2)*(I1316*0.3048)))))*0.0011023),0)</f>
        <v>#N/A</v>
      </c>
      <c r="AC1316" s="104" t="e">
        <f>IF(Z1316&gt;0,((IF(OR(D1316="RA",D1316="OA",D1316="OT",D1316="UN",D1316="PC"),EXP(VLOOKUP(D1316,'Species Codes'!B:O,14,0)+VLOOKUP(D1316,'Species Codes'!B:P,15,0)*LN((E1316*2.54)))-EXP(VLOOKUP(D1316,'Species Codes'!B:O,14,0)+VLOOKUP(D1316,'Species Codes'!B:P,15,0)*LN((E1316*2.54)))*(1/(VLOOKUP(D1316,'Species Codes'!B:Q,16,0)+VLOOKUP(D1316,'Species Codes'!B:R,17,0)*((E1316*2.54)^VLOOKUP(D1316,'Species Codes'!B:S,18,0)))),IF(OR(D1316="BM",D1316="MD",D1316="OA"),EXP(VLOOKUP(D1316,'Species Codes'!B:O,14,0)+VLOOKUP(D1316,'Species Codes'!B:P,15,0)*LN((E1316*2.54)))*(1-(1/(VLOOKUP(D1316,'Species Codes'!B:Q,16,0)+VLOOKUP(D1316,'Species Codes'!B:R,17,0)*((E1316*2.54)^VLOOKUP(D1316,'Species Codes'!B:S,18,0)))))/1000,IF(D1316="DF",EXP(VLOOKUP(D1316,'Species Codes'!B:O,14,0)+VLOOKUP(D1316,'Species Codes'!B:P,15,0)*LN((E1316*2.54))),VLOOKUP(D1316,'Species Codes'!B:O,14,0)+VLOOKUP(D1316,'Species Codes'!B:P,15,0)*(((E1316*2.54)/100)^2)*(I1316*0.3048)))))*0.0011023),0)</f>
        <v>#N/A</v>
      </c>
      <c r="AD1316" s="104" t="e">
        <f t="shared" si="598"/>
        <v>#N/A</v>
      </c>
      <c r="AE1316" s="104" t="e">
        <f t="shared" si="599"/>
        <v>#N/A</v>
      </c>
      <c r="AF1316" s="104" t="e">
        <f>IF(AND(VLOOKUP($D1316,Merchantability!$B:$C,2,0)="Yes",$E1316&gt;=VLOOKUP($D1316,Merchantability!$B:$D,3,0),$E1316&lt;=VLOOKUP($D1316,Merchantability!$B:$E,4,0)),AA1316,0)</f>
        <v>#N/A</v>
      </c>
      <c r="AG1316" s="104" t="e">
        <f>IF(AND(VLOOKUP($D1316,Merchantability!$B:$C,2,0)="Yes",$E1316&gt;=VLOOKUP($D1316,Merchantability!$B:$D,3,0),$E1316&lt;=VLOOKUP($D1316,Merchantability!$B:$E,4,0)),AB1316,0)</f>
        <v>#N/A</v>
      </c>
      <c r="AH1316" s="104" t="e">
        <f>IF(AND(VLOOKUP($D1316,Merchantability!$B:$C,2,0)="Yes",$E1316&gt;=VLOOKUP($D1316,Merchantability!$B:$D,3,0),$E1316&lt;=VLOOKUP($D1316,Merchantability!$B:$E,4,0)),AC1316,0)</f>
        <v>#N/A</v>
      </c>
      <c r="AI1316" s="104" t="e">
        <f t="shared" si="600"/>
        <v>#N/A</v>
      </c>
      <c r="AJ1316" s="104" t="e">
        <f t="shared" si="601"/>
        <v>#VALUE!</v>
      </c>
      <c r="AK1316" s="104" t="e">
        <f t="shared" si="602"/>
        <v>#N/A</v>
      </c>
      <c r="AL1316" s="104" t="e">
        <f t="shared" si="603"/>
        <v>#N/A</v>
      </c>
      <c r="AM1316" s="104" t="e">
        <f t="shared" si="604"/>
        <v>#N/A</v>
      </c>
      <c r="AN1316" s="104" t="e">
        <f t="shared" si="588"/>
        <v>#N/A</v>
      </c>
      <c r="AO1316" s="104" t="e">
        <f t="shared" si="589"/>
        <v>#N/A</v>
      </c>
      <c r="AP1316" s="104" t="e">
        <f t="shared" si="590"/>
        <v>#N/A</v>
      </c>
      <c r="AQ1316" s="104" t="e">
        <f t="shared" si="591"/>
        <v>#N/A</v>
      </c>
      <c r="AR1316" s="105" t="str">
        <f t="shared" si="583"/>
        <v/>
      </c>
      <c r="AS1316" s="105" t="str">
        <f t="shared" si="584"/>
        <v/>
      </c>
      <c r="AT1316" s="108" t="str">
        <f t="shared" si="585"/>
        <v/>
      </c>
      <c r="AU1316" s="108" t="str">
        <f t="shared" si="586"/>
        <v/>
      </c>
      <c r="AV1316" s="107" t="str">
        <f>IF(ISNUMBER(O1316),IF(VLOOKUP($A1316,Stand!C:J,8,FALSE)="Short",AT1316,AU1316),"")</f>
        <v/>
      </c>
      <c r="AW1316" s="109" t="str">
        <f t="shared" si="592"/>
        <v/>
      </c>
      <c r="AX1316" s="109" t="str">
        <f t="shared" si="593"/>
        <v/>
      </c>
      <c r="AY1316" s="112" t="str">
        <f>IF(ISNUMBER(O1316),IF(AND(VLOOKUP($D1316,Merchantability!$B:$C,2,0)="Yes",$E1316&gt;=VLOOKUP($D1316,Merchantability!$B:$D,3,0),$E1316&lt;=VLOOKUP($D1316,Merchantability!$B:$E,4,0)),(AV1316*O1316)*(1-$H1316/100),""),"")</f>
        <v/>
      </c>
      <c r="AZ1316" s="116"/>
      <c r="BA1316" s="116"/>
      <c r="BB1316" s="116"/>
      <c r="BE1316" s="62"/>
      <c r="BF1316" s="63"/>
    </row>
    <row r="1317" spans="1:58" ht="12.75" customHeight="1" x14ac:dyDescent="0.25">
      <c r="A1317" s="333"/>
      <c r="B1317" s="334"/>
      <c r="C1317" s="332"/>
      <c r="D1317" s="334"/>
      <c r="E1317" s="335"/>
      <c r="F1317" s="334"/>
      <c r="G1317" s="332"/>
      <c r="H1317" s="332"/>
      <c r="I1317" s="334"/>
      <c r="J1317" s="336"/>
      <c r="K1317" s="332"/>
      <c r="L1317" s="332"/>
      <c r="M1317" s="76"/>
      <c r="N1317" s="103" t="str">
        <f>IF(A1317="","",VLOOKUP(A1317,Stand!C:K,9,0))</f>
        <v/>
      </c>
      <c r="O1317" s="104" t="str">
        <f t="shared" si="578"/>
        <v/>
      </c>
      <c r="P1317" s="105" t="str">
        <f t="shared" si="579"/>
        <v/>
      </c>
      <c r="Q1317" s="105" t="str">
        <f t="shared" si="594"/>
        <v/>
      </c>
      <c r="R1317" s="103" t="str">
        <f t="shared" si="580"/>
        <v/>
      </c>
      <c r="S1317" s="103" t="str">
        <f t="shared" si="581"/>
        <v/>
      </c>
      <c r="T1317" s="106" t="str">
        <f t="shared" si="595"/>
        <v/>
      </c>
      <c r="U1317" s="106" t="str">
        <f t="shared" si="596"/>
        <v/>
      </c>
      <c r="V1317" s="106" t="str">
        <f t="shared" si="597"/>
        <v/>
      </c>
      <c r="W1317" s="105" t="str">
        <f t="shared" si="582"/>
        <v/>
      </c>
      <c r="X1317" s="104" t="str">
        <f t="shared" si="587"/>
        <v/>
      </c>
      <c r="Y1317" s="104" t="str">
        <f t="array" ref="Y1317">IFERROR(IF(ISNUMBER(O1317),IF(COUNT(IF(A1317=$A$2:$A$2427,IF(D1317=$D$2:$D$2427,IF($X$2:$X$2427&gt;0,1))))&gt;0,SUM(IF(A1317=$A$2:$A$2427,IF(D1317=$D$2:$D$2427,$X$2:$X$2427)))/COUNT(IF(A1317=$A$2:$A$2427,IF(D1317=$D$2:$D$2427,IF(ISNUMBER($X$2:$X$2427),1)))),0),""),0)</f>
        <v/>
      </c>
      <c r="Z1317" s="104" t="str">
        <f>IF(ISNUMBER(O1317),IF(I1317&gt;0,(10^(VLOOKUP(D1317,'Species Codes'!B:C,2,0)+VLOOKUP(D1317,'Species Codes'!B:D,3,0)*LOG(E1317)+VLOOKUP(D1317,'Species Codes'!B:E,4,0)*LOG(I1317))),0),"")</f>
        <v/>
      </c>
      <c r="AA1317" s="104" t="str">
        <f>IFERROR((VLOOKUP(D1317,'Species Codes'!B:G,6,0)*Z1317)/2000,"")</f>
        <v/>
      </c>
      <c r="AB1317" s="104" t="e">
        <f>IF(Z1317&gt;0,((IF(OR(D1317="DF",D1317="RA")=TRUE,EXP(VLOOKUP(D1317,'Species Codes'!B:I,8,0)+VLOOKUP(D1317,'Species Codes'!B:J,9,0)*(LN((E1317*2.54)))),IF(OR(D1317="PY",D1317="RC",D1317="WH",D1317="NF")=TRUE,VLOOKUP(D1317,'Species Codes'!B:I,8,0)+VLOOKUP(D1317,'Species Codes'!B:J,9,0)*((E1317*2.54)^2)*(I1317*0.3048),IF(OR(D1317="MD",D1317="BM",D1317="GA")=TRUE,((VLOOKUP(D1317,'Species Codes'!B:I,8,0)*(((((E1317*2.54)+VLOOKUP(D1317,'Species Codes'!B:J,9,0))/VLOOKUP(D1317,'Species Codes'!B:K,10,0))^VLOOKUP(D1317,'Species Codes'!B:L,11,0))*((I1317*0.3048)^VLOOKUP(D1317,'Species Codes'!B:M,12,0))))-(VLOOKUP(D1317,'Species Codes'!B:I,8,0)*((((E1317*2.54)^VLOOKUP(D1317,'Species Codes'!B:L,11,0))*((I1317*0.3048)^VLOOKUP(D1317,'Species Codes'!B:M,12,0))))))*35.3*VLOOKUP(D1317,'Species Codes'!B:G,6,0)/2.2046,VLOOKUP(D1317,'Species Codes'!B:I,8,0)+VLOOKUP(D1317,'Species Codes'!B:J,9,0)*(((E1317*2.54)/100)^2)*(I1317*0.3048)))))*0.0011023),0)</f>
        <v>#N/A</v>
      </c>
      <c r="AC1317" s="104" t="e">
        <f>IF(Z1317&gt;0,((IF(OR(D1317="RA",D1317="OA",D1317="OT",D1317="UN",D1317="PC"),EXP(VLOOKUP(D1317,'Species Codes'!B:O,14,0)+VLOOKUP(D1317,'Species Codes'!B:P,15,0)*LN((E1317*2.54)))-EXP(VLOOKUP(D1317,'Species Codes'!B:O,14,0)+VLOOKUP(D1317,'Species Codes'!B:P,15,0)*LN((E1317*2.54)))*(1/(VLOOKUP(D1317,'Species Codes'!B:Q,16,0)+VLOOKUP(D1317,'Species Codes'!B:R,17,0)*((E1317*2.54)^VLOOKUP(D1317,'Species Codes'!B:S,18,0)))),IF(OR(D1317="BM",D1317="MD",D1317="OA"),EXP(VLOOKUP(D1317,'Species Codes'!B:O,14,0)+VLOOKUP(D1317,'Species Codes'!B:P,15,0)*LN((E1317*2.54)))*(1-(1/(VLOOKUP(D1317,'Species Codes'!B:Q,16,0)+VLOOKUP(D1317,'Species Codes'!B:R,17,0)*((E1317*2.54)^VLOOKUP(D1317,'Species Codes'!B:S,18,0)))))/1000,IF(D1317="DF",EXP(VLOOKUP(D1317,'Species Codes'!B:O,14,0)+VLOOKUP(D1317,'Species Codes'!B:P,15,0)*LN((E1317*2.54))),VLOOKUP(D1317,'Species Codes'!B:O,14,0)+VLOOKUP(D1317,'Species Codes'!B:P,15,0)*(((E1317*2.54)/100)^2)*(I1317*0.3048)))))*0.0011023),0)</f>
        <v>#N/A</v>
      </c>
      <c r="AD1317" s="104" t="e">
        <f t="shared" si="598"/>
        <v>#N/A</v>
      </c>
      <c r="AE1317" s="104" t="e">
        <f t="shared" si="599"/>
        <v>#N/A</v>
      </c>
      <c r="AF1317" s="104" t="e">
        <f>IF(AND(VLOOKUP($D1317,Merchantability!$B:$C,2,0)="Yes",$E1317&gt;=VLOOKUP($D1317,Merchantability!$B:$D,3,0),$E1317&lt;=VLOOKUP($D1317,Merchantability!$B:$E,4,0)),AA1317,0)</f>
        <v>#N/A</v>
      </c>
      <c r="AG1317" s="104" t="e">
        <f>IF(AND(VLOOKUP($D1317,Merchantability!$B:$C,2,0)="Yes",$E1317&gt;=VLOOKUP($D1317,Merchantability!$B:$D,3,0),$E1317&lt;=VLOOKUP($D1317,Merchantability!$B:$E,4,0)),AB1317,0)</f>
        <v>#N/A</v>
      </c>
      <c r="AH1317" s="104" t="e">
        <f>IF(AND(VLOOKUP($D1317,Merchantability!$B:$C,2,0)="Yes",$E1317&gt;=VLOOKUP($D1317,Merchantability!$B:$D,3,0),$E1317&lt;=VLOOKUP($D1317,Merchantability!$B:$E,4,0)),AC1317,0)</f>
        <v>#N/A</v>
      </c>
      <c r="AI1317" s="104" t="e">
        <f t="shared" si="600"/>
        <v>#N/A</v>
      </c>
      <c r="AJ1317" s="104" t="e">
        <f t="shared" si="601"/>
        <v>#VALUE!</v>
      </c>
      <c r="AK1317" s="104" t="e">
        <f t="shared" si="602"/>
        <v>#N/A</v>
      </c>
      <c r="AL1317" s="104" t="e">
        <f t="shared" si="603"/>
        <v>#N/A</v>
      </c>
      <c r="AM1317" s="104" t="e">
        <f t="shared" si="604"/>
        <v>#N/A</v>
      </c>
      <c r="AN1317" s="104" t="e">
        <f t="shared" si="588"/>
        <v>#N/A</v>
      </c>
      <c r="AO1317" s="104" t="e">
        <f t="shared" si="589"/>
        <v>#N/A</v>
      </c>
      <c r="AP1317" s="104" t="e">
        <f t="shared" si="590"/>
        <v>#N/A</v>
      </c>
      <c r="AQ1317" s="104" t="e">
        <f t="shared" si="591"/>
        <v>#N/A</v>
      </c>
      <c r="AR1317" s="105" t="str">
        <f t="shared" si="583"/>
        <v/>
      </c>
      <c r="AS1317" s="105" t="str">
        <f t="shared" si="584"/>
        <v/>
      </c>
      <c r="AT1317" s="108" t="str">
        <f t="shared" si="585"/>
        <v/>
      </c>
      <c r="AU1317" s="108" t="str">
        <f t="shared" si="586"/>
        <v/>
      </c>
      <c r="AV1317" s="107" t="str">
        <f>IF(ISNUMBER(O1317),IF(VLOOKUP($A1317,Stand!C:J,8,FALSE)="Short",AT1317,AU1317),"")</f>
        <v/>
      </c>
      <c r="AW1317" s="109" t="str">
        <f t="shared" si="592"/>
        <v/>
      </c>
      <c r="AX1317" s="109" t="str">
        <f t="shared" si="593"/>
        <v/>
      </c>
      <c r="AY1317" s="112" t="str">
        <f>IF(ISNUMBER(O1317),IF(AND(VLOOKUP($D1317,Merchantability!$B:$C,2,0)="Yes",$E1317&gt;=VLOOKUP($D1317,Merchantability!$B:$D,3,0),$E1317&lt;=VLOOKUP($D1317,Merchantability!$B:$E,4,0)),(AV1317*O1317)*(1-$H1317/100),""),"")</f>
        <v/>
      </c>
      <c r="AZ1317" s="116"/>
      <c r="BA1317" s="116"/>
      <c r="BB1317" s="116"/>
      <c r="BE1317" s="62"/>
      <c r="BF1317" s="63"/>
    </row>
    <row r="1318" spans="1:58" ht="12.75" customHeight="1" x14ac:dyDescent="0.25">
      <c r="A1318" s="333"/>
      <c r="B1318" s="334"/>
      <c r="C1318" s="332"/>
      <c r="D1318" s="334"/>
      <c r="E1318" s="335"/>
      <c r="F1318" s="334"/>
      <c r="G1318" s="332"/>
      <c r="H1318" s="332"/>
      <c r="I1318" s="334"/>
      <c r="J1318" s="336"/>
      <c r="K1318" s="332"/>
      <c r="L1318" s="332"/>
      <c r="M1318" s="76"/>
      <c r="N1318" s="103" t="str">
        <f>IF(A1318="","",VLOOKUP(A1318,Stand!C:K,9,0))</f>
        <v/>
      </c>
      <c r="O1318" s="104" t="str">
        <f t="shared" si="578"/>
        <v/>
      </c>
      <c r="P1318" s="105" t="str">
        <f t="shared" si="579"/>
        <v/>
      </c>
      <c r="Q1318" s="105" t="str">
        <f t="shared" si="594"/>
        <v/>
      </c>
      <c r="R1318" s="103" t="str">
        <f t="shared" si="580"/>
        <v/>
      </c>
      <c r="S1318" s="103" t="str">
        <f t="shared" si="581"/>
        <v/>
      </c>
      <c r="T1318" s="106" t="str">
        <f t="shared" si="595"/>
        <v/>
      </c>
      <c r="U1318" s="106" t="str">
        <f t="shared" si="596"/>
        <v/>
      </c>
      <c r="V1318" s="106" t="str">
        <f t="shared" si="597"/>
        <v/>
      </c>
      <c r="W1318" s="105" t="str">
        <f t="shared" si="582"/>
        <v/>
      </c>
      <c r="X1318" s="104" t="str">
        <f t="shared" si="587"/>
        <v/>
      </c>
      <c r="Y1318" s="104" t="str">
        <f t="array" ref="Y1318">IFERROR(IF(ISNUMBER(O1318),IF(COUNT(IF(A1318=$A$2:$A$2427,IF(D1318=$D$2:$D$2427,IF($X$2:$X$2427&gt;0,1))))&gt;0,SUM(IF(A1318=$A$2:$A$2427,IF(D1318=$D$2:$D$2427,$X$2:$X$2427)))/COUNT(IF(A1318=$A$2:$A$2427,IF(D1318=$D$2:$D$2427,IF(ISNUMBER($X$2:$X$2427),1)))),0),""),0)</f>
        <v/>
      </c>
      <c r="Z1318" s="104" t="str">
        <f>IF(ISNUMBER(O1318),IF(I1318&gt;0,(10^(VLOOKUP(D1318,'Species Codes'!B:C,2,0)+VLOOKUP(D1318,'Species Codes'!B:D,3,0)*LOG(E1318)+VLOOKUP(D1318,'Species Codes'!B:E,4,0)*LOG(I1318))),0),"")</f>
        <v/>
      </c>
      <c r="AA1318" s="104" t="str">
        <f>IFERROR((VLOOKUP(D1318,'Species Codes'!B:G,6,0)*Z1318)/2000,"")</f>
        <v/>
      </c>
      <c r="AB1318" s="104" t="e">
        <f>IF(Z1318&gt;0,((IF(OR(D1318="DF",D1318="RA")=TRUE,EXP(VLOOKUP(D1318,'Species Codes'!B:I,8,0)+VLOOKUP(D1318,'Species Codes'!B:J,9,0)*(LN((E1318*2.54)))),IF(OR(D1318="PY",D1318="RC",D1318="WH",D1318="NF")=TRUE,VLOOKUP(D1318,'Species Codes'!B:I,8,0)+VLOOKUP(D1318,'Species Codes'!B:J,9,0)*((E1318*2.54)^2)*(I1318*0.3048),IF(OR(D1318="MD",D1318="BM",D1318="GA")=TRUE,((VLOOKUP(D1318,'Species Codes'!B:I,8,0)*(((((E1318*2.54)+VLOOKUP(D1318,'Species Codes'!B:J,9,0))/VLOOKUP(D1318,'Species Codes'!B:K,10,0))^VLOOKUP(D1318,'Species Codes'!B:L,11,0))*((I1318*0.3048)^VLOOKUP(D1318,'Species Codes'!B:M,12,0))))-(VLOOKUP(D1318,'Species Codes'!B:I,8,0)*((((E1318*2.54)^VLOOKUP(D1318,'Species Codes'!B:L,11,0))*((I1318*0.3048)^VLOOKUP(D1318,'Species Codes'!B:M,12,0))))))*35.3*VLOOKUP(D1318,'Species Codes'!B:G,6,0)/2.2046,VLOOKUP(D1318,'Species Codes'!B:I,8,0)+VLOOKUP(D1318,'Species Codes'!B:J,9,0)*(((E1318*2.54)/100)^2)*(I1318*0.3048)))))*0.0011023),0)</f>
        <v>#N/A</v>
      </c>
      <c r="AC1318" s="104" t="e">
        <f>IF(Z1318&gt;0,((IF(OR(D1318="RA",D1318="OA",D1318="OT",D1318="UN",D1318="PC"),EXP(VLOOKUP(D1318,'Species Codes'!B:O,14,0)+VLOOKUP(D1318,'Species Codes'!B:P,15,0)*LN((E1318*2.54)))-EXP(VLOOKUP(D1318,'Species Codes'!B:O,14,0)+VLOOKUP(D1318,'Species Codes'!B:P,15,0)*LN((E1318*2.54)))*(1/(VLOOKUP(D1318,'Species Codes'!B:Q,16,0)+VLOOKUP(D1318,'Species Codes'!B:R,17,0)*((E1318*2.54)^VLOOKUP(D1318,'Species Codes'!B:S,18,0)))),IF(OR(D1318="BM",D1318="MD",D1318="OA"),EXP(VLOOKUP(D1318,'Species Codes'!B:O,14,0)+VLOOKUP(D1318,'Species Codes'!B:P,15,0)*LN((E1318*2.54)))*(1-(1/(VLOOKUP(D1318,'Species Codes'!B:Q,16,0)+VLOOKUP(D1318,'Species Codes'!B:R,17,0)*((E1318*2.54)^VLOOKUP(D1318,'Species Codes'!B:S,18,0)))))/1000,IF(D1318="DF",EXP(VLOOKUP(D1318,'Species Codes'!B:O,14,0)+VLOOKUP(D1318,'Species Codes'!B:P,15,0)*LN((E1318*2.54))),VLOOKUP(D1318,'Species Codes'!B:O,14,0)+VLOOKUP(D1318,'Species Codes'!B:P,15,0)*(((E1318*2.54)/100)^2)*(I1318*0.3048)))))*0.0011023),0)</f>
        <v>#N/A</v>
      </c>
      <c r="AD1318" s="104" t="e">
        <f t="shared" si="598"/>
        <v>#N/A</v>
      </c>
      <c r="AE1318" s="104" t="e">
        <f t="shared" si="599"/>
        <v>#N/A</v>
      </c>
      <c r="AF1318" s="104" t="e">
        <f>IF(AND(VLOOKUP($D1318,Merchantability!$B:$C,2,0)="Yes",$E1318&gt;=VLOOKUP($D1318,Merchantability!$B:$D,3,0),$E1318&lt;=VLOOKUP($D1318,Merchantability!$B:$E,4,0)),AA1318,0)</f>
        <v>#N/A</v>
      </c>
      <c r="AG1318" s="104" t="e">
        <f>IF(AND(VLOOKUP($D1318,Merchantability!$B:$C,2,0)="Yes",$E1318&gt;=VLOOKUP($D1318,Merchantability!$B:$D,3,0),$E1318&lt;=VLOOKUP($D1318,Merchantability!$B:$E,4,0)),AB1318,0)</f>
        <v>#N/A</v>
      </c>
      <c r="AH1318" s="104" t="e">
        <f>IF(AND(VLOOKUP($D1318,Merchantability!$B:$C,2,0)="Yes",$E1318&gt;=VLOOKUP($D1318,Merchantability!$B:$D,3,0),$E1318&lt;=VLOOKUP($D1318,Merchantability!$B:$E,4,0)),AC1318,0)</f>
        <v>#N/A</v>
      </c>
      <c r="AI1318" s="104" t="e">
        <f t="shared" si="600"/>
        <v>#N/A</v>
      </c>
      <c r="AJ1318" s="104" t="e">
        <f t="shared" si="601"/>
        <v>#VALUE!</v>
      </c>
      <c r="AK1318" s="104" t="e">
        <f t="shared" si="602"/>
        <v>#N/A</v>
      </c>
      <c r="AL1318" s="104" t="e">
        <f t="shared" si="603"/>
        <v>#N/A</v>
      </c>
      <c r="AM1318" s="104" t="e">
        <f t="shared" si="604"/>
        <v>#N/A</v>
      </c>
      <c r="AN1318" s="104" t="e">
        <f t="shared" si="588"/>
        <v>#N/A</v>
      </c>
      <c r="AO1318" s="104" t="e">
        <f t="shared" si="589"/>
        <v>#N/A</v>
      </c>
      <c r="AP1318" s="104" t="e">
        <f t="shared" si="590"/>
        <v>#N/A</v>
      </c>
      <c r="AQ1318" s="104" t="e">
        <f t="shared" si="591"/>
        <v>#N/A</v>
      </c>
      <c r="AR1318" s="105" t="str">
        <f t="shared" si="583"/>
        <v/>
      </c>
      <c r="AS1318" s="105" t="str">
        <f t="shared" si="584"/>
        <v/>
      </c>
      <c r="AT1318" s="108" t="str">
        <f t="shared" si="585"/>
        <v/>
      </c>
      <c r="AU1318" s="108" t="str">
        <f t="shared" si="586"/>
        <v/>
      </c>
      <c r="AV1318" s="107" t="str">
        <f>IF(ISNUMBER(O1318),IF(VLOOKUP($A1318,Stand!C:J,8,FALSE)="Short",AT1318,AU1318),"")</f>
        <v/>
      </c>
      <c r="AW1318" s="109" t="str">
        <f t="shared" si="592"/>
        <v/>
      </c>
      <c r="AX1318" s="109" t="str">
        <f t="shared" si="593"/>
        <v/>
      </c>
      <c r="AY1318" s="112" t="str">
        <f>IF(ISNUMBER(O1318),IF(AND(VLOOKUP($D1318,Merchantability!$B:$C,2,0)="Yes",$E1318&gt;=VLOOKUP($D1318,Merchantability!$B:$D,3,0),$E1318&lt;=VLOOKUP($D1318,Merchantability!$B:$E,4,0)),(AV1318*O1318)*(1-$H1318/100),""),"")</f>
        <v/>
      </c>
      <c r="AZ1318" s="116"/>
      <c r="BA1318" s="116"/>
      <c r="BB1318" s="116"/>
      <c r="BE1318" s="62"/>
      <c r="BF1318" s="63"/>
    </row>
    <row r="1319" spans="1:58" ht="12.75" customHeight="1" x14ac:dyDescent="0.25">
      <c r="A1319" s="333"/>
      <c r="B1319" s="334"/>
      <c r="C1319" s="332"/>
      <c r="D1319" s="334"/>
      <c r="E1319" s="335"/>
      <c r="F1319" s="334"/>
      <c r="G1319" s="332"/>
      <c r="H1319" s="332"/>
      <c r="I1319" s="334"/>
      <c r="J1319" s="336"/>
      <c r="K1319" s="332"/>
      <c r="L1319" s="332"/>
      <c r="M1319" s="76"/>
      <c r="N1319" s="103" t="str">
        <f>IF(A1319="","",VLOOKUP(A1319,Stand!C:K,9,0))</f>
        <v/>
      </c>
      <c r="O1319" s="104" t="str">
        <f t="shared" si="578"/>
        <v/>
      </c>
      <c r="P1319" s="105" t="str">
        <f t="shared" si="579"/>
        <v/>
      </c>
      <c r="Q1319" s="105" t="str">
        <f t="shared" si="594"/>
        <v/>
      </c>
      <c r="R1319" s="103" t="str">
        <f t="shared" si="580"/>
        <v/>
      </c>
      <c r="S1319" s="103" t="str">
        <f t="shared" si="581"/>
        <v/>
      </c>
      <c r="T1319" s="106" t="str">
        <f t="shared" si="595"/>
        <v/>
      </c>
      <c r="U1319" s="106" t="str">
        <f t="shared" si="596"/>
        <v/>
      </c>
      <c r="V1319" s="106" t="str">
        <f t="shared" si="597"/>
        <v/>
      </c>
      <c r="W1319" s="105" t="str">
        <f t="shared" si="582"/>
        <v/>
      </c>
      <c r="X1319" s="104" t="str">
        <f t="shared" si="587"/>
        <v/>
      </c>
      <c r="Y1319" s="104" t="str">
        <f t="array" ref="Y1319">IFERROR(IF(ISNUMBER(O1319),IF(COUNT(IF(A1319=$A$2:$A$2427,IF(D1319=$D$2:$D$2427,IF($X$2:$X$2427&gt;0,1))))&gt;0,SUM(IF(A1319=$A$2:$A$2427,IF(D1319=$D$2:$D$2427,$X$2:$X$2427)))/COUNT(IF(A1319=$A$2:$A$2427,IF(D1319=$D$2:$D$2427,IF(ISNUMBER($X$2:$X$2427),1)))),0),""),0)</f>
        <v/>
      </c>
      <c r="Z1319" s="104" t="str">
        <f>IF(ISNUMBER(O1319),IF(I1319&gt;0,(10^(VLOOKUP(D1319,'Species Codes'!B:C,2,0)+VLOOKUP(D1319,'Species Codes'!B:D,3,0)*LOG(E1319)+VLOOKUP(D1319,'Species Codes'!B:E,4,0)*LOG(I1319))),0),"")</f>
        <v/>
      </c>
      <c r="AA1319" s="104" t="str">
        <f>IFERROR((VLOOKUP(D1319,'Species Codes'!B:G,6,0)*Z1319)/2000,"")</f>
        <v/>
      </c>
      <c r="AB1319" s="104" t="e">
        <f>IF(Z1319&gt;0,((IF(OR(D1319="DF",D1319="RA")=TRUE,EXP(VLOOKUP(D1319,'Species Codes'!B:I,8,0)+VLOOKUP(D1319,'Species Codes'!B:J,9,0)*(LN((E1319*2.54)))),IF(OR(D1319="PY",D1319="RC",D1319="WH",D1319="NF")=TRUE,VLOOKUP(D1319,'Species Codes'!B:I,8,0)+VLOOKUP(D1319,'Species Codes'!B:J,9,0)*((E1319*2.54)^2)*(I1319*0.3048),IF(OR(D1319="MD",D1319="BM",D1319="GA")=TRUE,((VLOOKUP(D1319,'Species Codes'!B:I,8,0)*(((((E1319*2.54)+VLOOKUP(D1319,'Species Codes'!B:J,9,0))/VLOOKUP(D1319,'Species Codes'!B:K,10,0))^VLOOKUP(D1319,'Species Codes'!B:L,11,0))*((I1319*0.3048)^VLOOKUP(D1319,'Species Codes'!B:M,12,0))))-(VLOOKUP(D1319,'Species Codes'!B:I,8,0)*((((E1319*2.54)^VLOOKUP(D1319,'Species Codes'!B:L,11,0))*((I1319*0.3048)^VLOOKUP(D1319,'Species Codes'!B:M,12,0))))))*35.3*VLOOKUP(D1319,'Species Codes'!B:G,6,0)/2.2046,VLOOKUP(D1319,'Species Codes'!B:I,8,0)+VLOOKUP(D1319,'Species Codes'!B:J,9,0)*(((E1319*2.54)/100)^2)*(I1319*0.3048)))))*0.0011023),0)</f>
        <v>#N/A</v>
      </c>
      <c r="AC1319" s="104" t="e">
        <f>IF(Z1319&gt;0,((IF(OR(D1319="RA",D1319="OA",D1319="OT",D1319="UN",D1319="PC"),EXP(VLOOKUP(D1319,'Species Codes'!B:O,14,0)+VLOOKUP(D1319,'Species Codes'!B:P,15,0)*LN((E1319*2.54)))-EXP(VLOOKUP(D1319,'Species Codes'!B:O,14,0)+VLOOKUP(D1319,'Species Codes'!B:P,15,0)*LN((E1319*2.54)))*(1/(VLOOKUP(D1319,'Species Codes'!B:Q,16,0)+VLOOKUP(D1319,'Species Codes'!B:R,17,0)*((E1319*2.54)^VLOOKUP(D1319,'Species Codes'!B:S,18,0)))),IF(OR(D1319="BM",D1319="MD",D1319="OA"),EXP(VLOOKUP(D1319,'Species Codes'!B:O,14,0)+VLOOKUP(D1319,'Species Codes'!B:P,15,0)*LN((E1319*2.54)))*(1-(1/(VLOOKUP(D1319,'Species Codes'!B:Q,16,0)+VLOOKUP(D1319,'Species Codes'!B:R,17,0)*((E1319*2.54)^VLOOKUP(D1319,'Species Codes'!B:S,18,0)))))/1000,IF(D1319="DF",EXP(VLOOKUP(D1319,'Species Codes'!B:O,14,0)+VLOOKUP(D1319,'Species Codes'!B:P,15,0)*LN((E1319*2.54))),VLOOKUP(D1319,'Species Codes'!B:O,14,0)+VLOOKUP(D1319,'Species Codes'!B:P,15,0)*(((E1319*2.54)/100)^2)*(I1319*0.3048)))))*0.0011023),0)</f>
        <v>#N/A</v>
      </c>
      <c r="AD1319" s="104" t="e">
        <f t="shared" si="598"/>
        <v>#N/A</v>
      </c>
      <c r="AE1319" s="104" t="e">
        <f t="shared" si="599"/>
        <v>#N/A</v>
      </c>
      <c r="AF1319" s="104" t="e">
        <f>IF(AND(VLOOKUP($D1319,Merchantability!$B:$C,2,0)="Yes",$E1319&gt;=VLOOKUP($D1319,Merchantability!$B:$D,3,0),$E1319&lt;=VLOOKUP($D1319,Merchantability!$B:$E,4,0)),AA1319,0)</f>
        <v>#N/A</v>
      </c>
      <c r="AG1319" s="104" t="e">
        <f>IF(AND(VLOOKUP($D1319,Merchantability!$B:$C,2,0)="Yes",$E1319&gt;=VLOOKUP($D1319,Merchantability!$B:$D,3,0),$E1319&lt;=VLOOKUP($D1319,Merchantability!$B:$E,4,0)),AB1319,0)</f>
        <v>#N/A</v>
      </c>
      <c r="AH1319" s="104" t="e">
        <f>IF(AND(VLOOKUP($D1319,Merchantability!$B:$C,2,0)="Yes",$E1319&gt;=VLOOKUP($D1319,Merchantability!$B:$D,3,0),$E1319&lt;=VLOOKUP($D1319,Merchantability!$B:$E,4,0)),AC1319,0)</f>
        <v>#N/A</v>
      </c>
      <c r="AI1319" s="104" t="e">
        <f t="shared" si="600"/>
        <v>#N/A</v>
      </c>
      <c r="AJ1319" s="104" t="e">
        <f t="shared" si="601"/>
        <v>#VALUE!</v>
      </c>
      <c r="AK1319" s="104" t="e">
        <f t="shared" si="602"/>
        <v>#N/A</v>
      </c>
      <c r="AL1319" s="104" t="e">
        <f t="shared" si="603"/>
        <v>#N/A</v>
      </c>
      <c r="AM1319" s="104" t="e">
        <f t="shared" si="604"/>
        <v>#N/A</v>
      </c>
      <c r="AN1319" s="104" t="e">
        <f t="shared" si="588"/>
        <v>#N/A</v>
      </c>
      <c r="AO1319" s="104" t="e">
        <f t="shared" si="589"/>
        <v>#N/A</v>
      </c>
      <c r="AP1319" s="104" t="e">
        <f t="shared" si="590"/>
        <v>#N/A</v>
      </c>
      <c r="AQ1319" s="104" t="e">
        <f t="shared" si="591"/>
        <v>#N/A</v>
      </c>
      <c r="AR1319" s="105" t="str">
        <f t="shared" si="583"/>
        <v/>
      </c>
      <c r="AS1319" s="105" t="str">
        <f t="shared" si="584"/>
        <v/>
      </c>
      <c r="AT1319" s="108" t="str">
        <f t="shared" si="585"/>
        <v/>
      </c>
      <c r="AU1319" s="108" t="str">
        <f t="shared" si="586"/>
        <v/>
      </c>
      <c r="AV1319" s="107" t="str">
        <f>IF(ISNUMBER(O1319),IF(VLOOKUP($A1319,Stand!C:J,8,FALSE)="Short",AT1319,AU1319),"")</f>
        <v/>
      </c>
      <c r="AW1319" s="109" t="str">
        <f t="shared" si="592"/>
        <v/>
      </c>
      <c r="AX1319" s="109" t="str">
        <f t="shared" si="593"/>
        <v/>
      </c>
      <c r="AY1319" s="112" t="str">
        <f>IF(ISNUMBER(O1319),IF(AND(VLOOKUP($D1319,Merchantability!$B:$C,2,0)="Yes",$E1319&gt;=VLOOKUP($D1319,Merchantability!$B:$D,3,0),$E1319&lt;=VLOOKUP($D1319,Merchantability!$B:$E,4,0)),(AV1319*O1319)*(1-$H1319/100),""),"")</f>
        <v/>
      </c>
      <c r="AZ1319" s="116"/>
      <c r="BA1319" s="116"/>
      <c r="BB1319" s="116"/>
      <c r="BE1319" s="62"/>
      <c r="BF1319" s="63"/>
    </row>
    <row r="1320" spans="1:58" ht="12.75" customHeight="1" x14ac:dyDescent="0.25">
      <c r="A1320" s="333"/>
      <c r="B1320" s="334"/>
      <c r="C1320" s="332"/>
      <c r="D1320" s="334"/>
      <c r="E1320" s="335"/>
      <c r="F1320" s="334"/>
      <c r="G1320" s="332"/>
      <c r="H1320" s="332"/>
      <c r="I1320" s="334"/>
      <c r="J1320" s="336"/>
      <c r="K1320" s="332"/>
      <c r="L1320" s="332"/>
      <c r="M1320" s="76"/>
      <c r="N1320" s="103" t="str">
        <f>IF(A1320="","",VLOOKUP(A1320,Stand!C:K,9,0))</f>
        <v/>
      </c>
      <c r="O1320" s="104" t="str">
        <f t="shared" si="578"/>
        <v/>
      </c>
      <c r="P1320" s="105" t="str">
        <f t="shared" si="579"/>
        <v/>
      </c>
      <c r="Q1320" s="105" t="str">
        <f t="shared" si="594"/>
        <v/>
      </c>
      <c r="R1320" s="103" t="str">
        <f t="shared" si="580"/>
        <v/>
      </c>
      <c r="S1320" s="103" t="str">
        <f t="shared" si="581"/>
        <v/>
      </c>
      <c r="T1320" s="106" t="str">
        <f t="shared" si="595"/>
        <v/>
      </c>
      <c r="U1320" s="106" t="str">
        <f t="shared" si="596"/>
        <v/>
      </c>
      <c r="V1320" s="106" t="str">
        <f t="shared" si="597"/>
        <v/>
      </c>
      <c r="W1320" s="105" t="str">
        <f t="shared" si="582"/>
        <v/>
      </c>
      <c r="X1320" s="104" t="str">
        <f t="shared" si="587"/>
        <v/>
      </c>
      <c r="Y1320" s="104" t="str">
        <f t="array" ref="Y1320">IFERROR(IF(ISNUMBER(O1320),IF(COUNT(IF(A1320=$A$2:$A$2427,IF(D1320=$D$2:$D$2427,IF($X$2:$X$2427&gt;0,1))))&gt;0,SUM(IF(A1320=$A$2:$A$2427,IF(D1320=$D$2:$D$2427,$X$2:$X$2427)))/COUNT(IF(A1320=$A$2:$A$2427,IF(D1320=$D$2:$D$2427,IF(ISNUMBER($X$2:$X$2427),1)))),0),""),0)</f>
        <v/>
      </c>
      <c r="Z1320" s="104" t="str">
        <f>IF(ISNUMBER(O1320),IF(I1320&gt;0,(10^(VLOOKUP(D1320,'Species Codes'!B:C,2,0)+VLOOKUP(D1320,'Species Codes'!B:D,3,0)*LOG(E1320)+VLOOKUP(D1320,'Species Codes'!B:E,4,0)*LOG(I1320))),0),"")</f>
        <v/>
      </c>
      <c r="AA1320" s="104" t="str">
        <f>IFERROR((VLOOKUP(D1320,'Species Codes'!B:G,6,0)*Z1320)/2000,"")</f>
        <v/>
      </c>
      <c r="AB1320" s="104" t="e">
        <f>IF(Z1320&gt;0,((IF(OR(D1320="DF",D1320="RA")=TRUE,EXP(VLOOKUP(D1320,'Species Codes'!B:I,8,0)+VLOOKUP(D1320,'Species Codes'!B:J,9,0)*(LN((E1320*2.54)))),IF(OR(D1320="PY",D1320="RC",D1320="WH",D1320="NF")=TRUE,VLOOKUP(D1320,'Species Codes'!B:I,8,0)+VLOOKUP(D1320,'Species Codes'!B:J,9,0)*((E1320*2.54)^2)*(I1320*0.3048),IF(OR(D1320="MD",D1320="BM",D1320="GA")=TRUE,((VLOOKUP(D1320,'Species Codes'!B:I,8,0)*(((((E1320*2.54)+VLOOKUP(D1320,'Species Codes'!B:J,9,0))/VLOOKUP(D1320,'Species Codes'!B:K,10,0))^VLOOKUP(D1320,'Species Codes'!B:L,11,0))*((I1320*0.3048)^VLOOKUP(D1320,'Species Codes'!B:M,12,0))))-(VLOOKUP(D1320,'Species Codes'!B:I,8,0)*((((E1320*2.54)^VLOOKUP(D1320,'Species Codes'!B:L,11,0))*((I1320*0.3048)^VLOOKUP(D1320,'Species Codes'!B:M,12,0))))))*35.3*VLOOKUP(D1320,'Species Codes'!B:G,6,0)/2.2046,VLOOKUP(D1320,'Species Codes'!B:I,8,0)+VLOOKUP(D1320,'Species Codes'!B:J,9,0)*(((E1320*2.54)/100)^2)*(I1320*0.3048)))))*0.0011023),0)</f>
        <v>#N/A</v>
      </c>
      <c r="AC1320" s="104" t="e">
        <f>IF(Z1320&gt;0,((IF(OR(D1320="RA",D1320="OA",D1320="OT",D1320="UN",D1320="PC"),EXP(VLOOKUP(D1320,'Species Codes'!B:O,14,0)+VLOOKUP(D1320,'Species Codes'!B:P,15,0)*LN((E1320*2.54)))-EXP(VLOOKUP(D1320,'Species Codes'!B:O,14,0)+VLOOKUP(D1320,'Species Codes'!B:P,15,0)*LN((E1320*2.54)))*(1/(VLOOKUP(D1320,'Species Codes'!B:Q,16,0)+VLOOKUP(D1320,'Species Codes'!B:R,17,0)*((E1320*2.54)^VLOOKUP(D1320,'Species Codes'!B:S,18,0)))),IF(OR(D1320="BM",D1320="MD",D1320="OA"),EXP(VLOOKUP(D1320,'Species Codes'!B:O,14,0)+VLOOKUP(D1320,'Species Codes'!B:P,15,0)*LN((E1320*2.54)))*(1-(1/(VLOOKUP(D1320,'Species Codes'!B:Q,16,0)+VLOOKUP(D1320,'Species Codes'!B:R,17,0)*((E1320*2.54)^VLOOKUP(D1320,'Species Codes'!B:S,18,0)))))/1000,IF(D1320="DF",EXP(VLOOKUP(D1320,'Species Codes'!B:O,14,0)+VLOOKUP(D1320,'Species Codes'!B:P,15,0)*LN((E1320*2.54))),VLOOKUP(D1320,'Species Codes'!B:O,14,0)+VLOOKUP(D1320,'Species Codes'!B:P,15,0)*(((E1320*2.54)/100)^2)*(I1320*0.3048)))))*0.0011023),0)</f>
        <v>#N/A</v>
      </c>
      <c r="AD1320" s="104" t="e">
        <f t="shared" si="598"/>
        <v>#N/A</v>
      </c>
      <c r="AE1320" s="104" t="e">
        <f t="shared" si="599"/>
        <v>#N/A</v>
      </c>
      <c r="AF1320" s="104" t="e">
        <f>IF(AND(VLOOKUP($D1320,Merchantability!$B:$C,2,0)="Yes",$E1320&gt;=VLOOKUP($D1320,Merchantability!$B:$D,3,0),$E1320&lt;=VLOOKUP($D1320,Merchantability!$B:$E,4,0)),AA1320,0)</f>
        <v>#N/A</v>
      </c>
      <c r="AG1320" s="104" t="e">
        <f>IF(AND(VLOOKUP($D1320,Merchantability!$B:$C,2,0)="Yes",$E1320&gt;=VLOOKUP($D1320,Merchantability!$B:$D,3,0),$E1320&lt;=VLOOKUP($D1320,Merchantability!$B:$E,4,0)),AB1320,0)</f>
        <v>#N/A</v>
      </c>
      <c r="AH1320" s="104" t="e">
        <f>IF(AND(VLOOKUP($D1320,Merchantability!$B:$C,2,0)="Yes",$E1320&gt;=VLOOKUP($D1320,Merchantability!$B:$D,3,0),$E1320&lt;=VLOOKUP($D1320,Merchantability!$B:$E,4,0)),AC1320,0)</f>
        <v>#N/A</v>
      </c>
      <c r="AI1320" s="104" t="e">
        <f t="shared" si="600"/>
        <v>#N/A</v>
      </c>
      <c r="AJ1320" s="104" t="e">
        <f t="shared" si="601"/>
        <v>#VALUE!</v>
      </c>
      <c r="AK1320" s="104" t="e">
        <f t="shared" si="602"/>
        <v>#N/A</v>
      </c>
      <c r="AL1320" s="104" t="e">
        <f t="shared" si="603"/>
        <v>#N/A</v>
      </c>
      <c r="AM1320" s="104" t="e">
        <f t="shared" si="604"/>
        <v>#N/A</v>
      </c>
      <c r="AN1320" s="104" t="e">
        <f t="shared" si="588"/>
        <v>#N/A</v>
      </c>
      <c r="AO1320" s="104" t="e">
        <f t="shared" si="589"/>
        <v>#N/A</v>
      </c>
      <c r="AP1320" s="104" t="e">
        <f t="shared" si="590"/>
        <v>#N/A</v>
      </c>
      <c r="AQ1320" s="104" t="e">
        <f t="shared" si="591"/>
        <v>#N/A</v>
      </c>
      <c r="AR1320" s="105" t="str">
        <f t="shared" si="583"/>
        <v/>
      </c>
      <c r="AS1320" s="105" t="str">
        <f t="shared" si="584"/>
        <v/>
      </c>
      <c r="AT1320" s="108" t="str">
        <f t="shared" si="585"/>
        <v/>
      </c>
      <c r="AU1320" s="108" t="str">
        <f t="shared" si="586"/>
        <v/>
      </c>
      <c r="AV1320" s="107" t="str">
        <f>IF(ISNUMBER(O1320),IF(VLOOKUP($A1320,Stand!C:J,8,FALSE)="Short",AT1320,AU1320),"")</f>
        <v/>
      </c>
      <c r="AW1320" s="109" t="str">
        <f t="shared" si="592"/>
        <v/>
      </c>
      <c r="AX1320" s="109" t="str">
        <f t="shared" si="593"/>
        <v/>
      </c>
      <c r="AY1320" s="112" t="str">
        <f>IF(ISNUMBER(O1320),IF(AND(VLOOKUP($D1320,Merchantability!$B:$C,2,0)="Yes",$E1320&gt;=VLOOKUP($D1320,Merchantability!$B:$D,3,0),$E1320&lt;=VLOOKUP($D1320,Merchantability!$B:$E,4,0)),(AV1320*O1320)*(1-$H1320/100),""),"")</f>
        <v/>
      </c>
      <c r="AZ1320" s="116"/>
      <c r="BA1320" s="116"/>
      <c r="BB1320" s="116"/>
      <c r="BE1320" s="62"/>
      <c r="BF1320" s="63"/>
    </row>
    <row r="1321" spans="1:58" ht="12.75" customHeight="1" x14ac:dyDescent="0.25">
      <c r="A1321" s="333"/>
      <c r="B1321" s="334"/>
      <c r="C1321" s="332"/>
      <c r="D1321" s="334"/>
      <c r="E1321" s="335"/>
      <c r="F1321" s="334"/>
      <c r="G1321" s="332"/>
      <c r="H1321" s="332"/>
      <c r="I1321" s="334"/>
      <c r="J1321" s="336"/>
      <c r="K1321" s="332"/>
      <c r="L1321" s="332"/>
      <c r="M1321" s="76"/>
      <c r="N1321" s="103" t="str">
        <f>IF(A1321="","",VLOOKUP(A1321,Stand!C:K,9,0))</f>
        <v/>
      </c>
      <c r="O1321" s="104" t="str">
        <f t="shared" si="578"/>
        <v/>
      </c>
      <c r="P1321" s="105" t="str">
        <f t="shared" si="579"/>
        <v/>
      </c>
      <c r="Q1321" s="105" t="str">
        <f t="shared" si="594"/>
        <v/>
      </c>
      <c r="R1321" s="103" t="str">
        <f t="shared" si="580"/>
        <v/>
      </c>
      <c r="S1321" s="103" t="str">
        <f t="shared" si="581"/>
        <v/>
      </c>
      <c r="T1321" s="106" t="str">
        <f t="shared" si="595"/>
        <v/>
      </c>
      <c r="U1321" s="106" t="str">
        <f t="shared" si="596"/>
        <v/>
      </c>
      <c r="V1321" s="106" t="str">
        <f t="shared" si="597"/>
        <v/>
      </c>
      <c r="W1321" s="105" t="str">
        <f t="shared" si="582"/>
        <v/>
      </c>
      <c r="X1321" s="104" t="str">
        <f t="shared" si="587"/>
        <v/>
      </c>
      <c r="Y1321" s="104" t="str">
        <f t="array" ref="Y1321">IFERROR(IF(ISNUMBER(O1321),IF(COUNT(IF(A1321=$A$2:$A$2427,IF(D1321=$D$2:$D$2427,IF($X$2:$X$2427&gt;0,1))))&gt;0,SUM(IF(A1321=$A$2:$A$2427,IF(D1321=$D$2:$D$2427,$X$2:$X$2427)))/COUNT(IF(A1321=$A$2:$A$2427,IF(D1321=$D$2:$D$2427,IF(ISNUMBER($X$2:$X$2427),1)))),0),""),0)</f>
        <v/>
      </c>
      <c r="Z1321" s="104" t="str">
        <f>IF(ISNUMBER(O1321),IF(I1321&gt;0,(10^(VLOOKUP(D1321,'Species Codes'!B:C,2,0)+VLOOKUP(D1321,'Species Codes'!B:D,3,0)*LOG(E1321)+VLOOKUP(D1321,'Species Codes'!B:E,4,0)*LOG(I1321))),0),"")</f>
        <v/>
      </c>
      <c r="AA1321" s="104" t="str">
        <f>IFERROR((VLOOKUP(D1321,'Species Codes'!B:G,6,0)*Z1321)/2000,"")</f>
        <v/>
      </c>
      <c r="AB1321" s="104" t="e">
        <f>IF(Z1321&gt;0,((IF(OR(D1321="DF",D1321="RA")=TRUE,EXP(VLOOKUP(D1321,'Species Codes'!B:I,8,0)+VLOOKUP(D1321,'Species Codes'!B:J,9,0)*(LN((E1321*2.54)))),IF(OR(D1321="PY",D1321="RC",D1321="WH",D1321="NF")=TRUE,VLOOKUP(D1321,'Species Codes'!B:I,8,0)+VLOOKUP(D1321,'Species Codes'!B:J,9,0)*((E1321*2.54)^2)*(I1321*0.3048),IF(OR(D1321="MD",D1321="BM",D1321="GA")=TRUE,((VLOOKUP(D1321,'Species Codes'!B:I,8,0)*(((((E1321*2.54)+VLOOKUP(D1321,'Species Codes'!B:J,9,0))/VLOOKUP(D1321,'Species Codes'!B:K,10,0))^VLOOKUP(D1321,'Species Codes'!B:L,11,0))*((I1321*0.3048)^VLOOKUP(D1321,'Species Codes'!B:M,12,0))))-(VLOOKUP(D1321,'Species Codes'!B:I,8,0)*((((E1321*2.54)^VLOOKUP(D1321,'Species Codes'!B:L,11,0))*((I1321*0.3048)^VLOOKUP(D1321,'Species Codes'!B:M,12,0))))))*35.3*VLOOKUP(D1321,'Species Codes'!B:G,6,0)/2.2046,VLOOKUP(D1321,'Species Codes'!B:I,8,0)+VLOOKUP(D1321,'Species Codes'!B:J,9,0)*(((E1321*2.54)/100)^2)*(I1321*0.3048)))))*0.0011023),0)</f>
        <v>#N/A</v>
      </c>
      <c r="AC1321" s="104" t="e">
        <f>IF(Z1321&gt;0,((IF(OR(D1321="RA",D1321="OA",D1321="OT",D1321="UN",D1321="PC"),EXP(VLOOKUP(D1321,'Species Codes'!B:O,14,0)+VLOOKUP(D1321,'Species Codes'!B:P,15,0)*LN((E1321*2.54)))-EXP(VLOOKUP(D1321,'Species Codes'!B:O,14,0)+VLOOKUP(D1321,'Species Codes'!B:P,15,0)*LN((E1321*2.54)))*(1/(VLOOKUP(D1321,'Species Codes'!B:Q,16,0)+VLOOKUP(D1321,'Species Codes'!B:R,17,0)*((E1321*2.54)^VLOOKUP(D1321,'Species Codes'!B:S,18,0)))),IF(OR(D1321="BM",D1321="MD",D1321="OA"),EXP(VLOOKUP(D1321,'Species Codes'!B:O,14,0)+VLOOKUP(D1321,'Species Codes'!B:P,15,0)*LN((E1321*2.54)))*(1-(1/(VLOOKUP(D1321,'Species Codes'!B:Q,16,0)+VLOOKUP(D1321,'Species Codes'!B:R,17,0)*((E1321*2.54)^VLOOKUP(D1321,'Species Codes'!B:S,18,0)))))/1000,IF(D1321="DF",EXP(VLOOKUP(D1321,'Species Codes'!B:O,14,0)+VLOOKUP(D1321,'Species Codes'!B:P,15,0)*LN((E1321*2.54))),VLOOKUP(D1321,'Species Codes'!B:O,14,0)+VLOOKUP(D1321,'Species Codes'!B:P,15,0)*(((E1321*2.54)/100)^2)*(I1321*0.3048)))))*0.0011023),0)</f>
        <v>#N/A</v>
      </c>
      <c r="AD1321" s="104" t="e">
        <f t="shared" si="598"/>
        <v>#N/A</v>
      </c>
      <c r="AE1321" s="104" t="e">
        <f t="shared" si="599"/>
        <v>#N/A</v>
      </c>
      <c r="AF1321" s="104" t="e">
        <f>IF(AND(VLOOKUP($D1321,Merchantability!$B:$C,2,0)="Yes",$E1321&gt;=VLOOKUP($D1321,Merchantability!$B:$D,3,0),$E1321&lt;=VLOOKUP($D1321,Merchantability!$B:$E,4,0)),AA1321,0)</f>
        <v>#N/A</v>
      </c>
      <c r="AG1321" s="104" t="e">
        <f>IF(AND(VLOOKUP($D1321,Merchantability!$B:$C,2,0)="Yes",$E1321&gt;=VLOOKUP($D1321,Merchantability!$B:$D,3,0),$E1321&lt;=VLOOKUP($D1321,Merchantability!$B:$E,4,0)),AB1321,0)</f>
        <v>#N/A</v>
      </c>
      <c r="AH1321" s="104" t="e">
        <f>IF(AND(VLOOKUP($D1321,Merchantability!$B:$C,2,0)="Yes",$E1321&gt;=VLOOKUP($D1321,Merchantability!$B:$D,3,0),$E1321&lt;=VLOOKUP($D1321,Merchantability!$B:$E,4,0)),AC1321,0)</f>
        <v>#N/A</v>
      </c>
      <c r="AI1321" s="104" t="e">
        <f t="shared" si="600"/>
        <v>#N/A</v>
      </c>
      <c r="AJ1321" s="104" t="e">
        <f t="shared" si="601"/>
        <v>#VALUE!</v>
      </c>
      <c r="AK1321" s="104" t="e">
        <f t="shared" si="602"/>
        <v>#N/A</v>
      </c>
      <c r="AL1321" s="104" t="e">
        <f t="shared" si="603"/>
        <v>#N/A</v>
      </c>
      <c r="AM1321" s="104" t="e">
        <f t="shared" si="604"/>
        <v>#N/A</v>
      </c>
      <c r="AN1321" s="104" t="e">
        <f t="shared" si="588"/>
        <v>#N/A</v>
      </c>
      <c r="AO1321" s="104" t="e">
        <f t="shared" si="589"/>
        <v>#N/A</v>
      </c>
      <c r="AP1321" s="104" t="e">
        <f t="shared" si="590"/>
        <v>#N/A</v>
      </c>
      <c r="AQ1321" s="104" t="e">
        <f t="shared" si="591"/>
        <v>#N/A</v>
      </c>
      <c r="AR1321" s="105" t="str">
        <f t="shared" si="583"/>
        <v/>
      </c>
      <c r="AS1321" s="105" t="str">
        <f t="shared" si="584"/>
        <v/>
      </c>
      <c r="AT1321" s="108" t="str">
        <f t="shared" si="585"/>
        <v/>
      </c>
      <c r="AU1321" s="108" t="str">
        <f t="shared" si="586"/>
        <v/>
      </c>
      <c r="AV1321" s="107" t="str">
        <f>IF(ISNUMBER(O1321),IF(VLOOKUP($A1321,Stand!C:J,8,FALSE)="Short",AT1321,AU1321),"")</f>
        <v/>
      </c>
      <c r="AW1321" s="109" t="str">
        <f t="shared" si="592"/>
        <v/>
      </c>
      <c r="AX1321" s="109" t="str">
        <f t="shared" si="593"/>
        <v/>
      </c>
      <c r="AY1321" s="112" t="str">
        <f>IF(ISNUMBER(O1321),IF(AND(VLOOKUP($D1321,Merchantability!$B:$C,2,0)="Yes",$E1321&gt;=VLOOKUP($D1321,Merchantability!$B:$D,3,0),$E1321&lt;=VLOOKUP($D1321,Merchantability!$B:$E,4,0)),(AV1321*O1321)*(1-$H1321/100),""),"")</f>
        <v/>
      </c>
      <c r="AZ1321" s="116"/>
      <c r="BA1321" s="116"/>
      <c r="BB1321" s="116"/>
      <c r="BE1321" s="62"/>
      <c r="BF1321" s="63"/>
    </row>
    <row r="1322" spans="1:58" ht="12.75" customHeight="1" x14ac:dyDescent="0.25">
      <c r="A1322" s="333"/>
      <c r="B1322" s="334"/>
      <c r="C1322" s="332"/>
      <c r="D1322" s="334"/>
      <c r="E1322" s="335"/>
      <c r="F1322" s="334"/>
      <c r="G1322" s="332"/>
      <c r="H1322" s="332"/>
      <c r="I1322" s="334"/>
      <c r="J1322" s="336"/>
      <c r="K1322" s="332"/>
      <c r="L1322" s="332"/>
      <c r="M1322" s="76"/>
      <c r="N1322" s="103" t="str">
        <f>IF(A1322="","",VLOOKUP(A1322,Stand!C:K,9,0))</f>
        <v/>
      </c>
      <c r="O1322" s="104" t="str">
        <f t="shared" si="578"/>
        <v/>
      </c>
      <c r="P1322" s="105" t="str">
        <f t="shared" si="579"/>
        <v/>
      </c>
      <c r="Q1322" s="105" t="str">
        <f t="shared" si="594"/>
        <v/>
      </c>
      <c r="R1322" s="103" t="str">
        <f t="shared" si="580"/>
        <v/>
      </c>
      <c r="S1322" s="103" t="str">
        <f t="shared" si="581"/>
        <v/>
      </c>
      <c r="T1322" s="106" t="str">
        <f t="shared" si="595"/>
        <v/>
      </c>
      <c r="U1322" s="106" t="str">
        <f t="shared" si="596"/>
        <v/>
      </c>
      <c r="V1322" s="106" t="str">
        <f t="shared" si="597"/>
        <v/>
      </c>
      <c r="W1322" s="105" t="str">
        <f t="shared" si="582"/>
        <v/>
      </c>
      <c r="X1322" s="104" t="str">
        <f t="shared" si="587"/>
        <v/>
      </c>
      <c r="Y1322" s="104" t="str">
        <f t="array" ref="Y1322">IFERROR(IF(ISNUMBER(O1322),IF(COUNT(IF(A1322=$A$2:$A$2427,IF(D1322=$D$2:$D$2427,IF($X$2:$X$2427&gt;0,1))))&gt;0,SUM(IF(A1322=$A$2:$A$2427,IF(D1322=$D$2:$D$2427,$X$2:$X$2427)))/COUNT(IF(A1322=$A$2:$A$2427,IF(D1322=$D$2:$D$2427,IF(ISNUMBER($X$2:$X$2427),1)))),0),""),0)</f>
        <v/>
      </c>
      <c r="Z1322" s="104" t="str">
        <f>IF(ISNUMBER(O1322),IF(I1322&gt;0,(10^(VLOOKUP(D1322,'Species Codes'!B:C,2,0)+VLOOKUP(D1322,'Species Codes'!B:D,3,0)*LOG(E1322)+VLOOKUP(D1322,'Species Codes'!B:E,4,0)*LOG(I1322))),0),"")</f>
        <v/>
      </c>
      <c r="AA1322" s="104" t="str">
        <f>IFERROR((VLOOKUP(D1322,'Species Codes'!B:G,6,0)*Z1322)/2000,"")</f>
        <v/>
      </c>
      <c r="AB1322" s="104" t="e">
        <f>IF(Z1322&gt;0,((IF(OR(D1322="DF",D1322="RA")=TRUE,EXP(VLOOKUP(D1322,'Species Codes'!B:I,8,0)+VLOOKUP(D1322,'Species Codes'!B:J,9,0)*(LN((E1322*2.54)))),IF(OR(D1322="PY",D1322="RC",D1322="WH",D1322="NF")=TRUE,VLOOKUP(D1322,'Species Codes'!B:I,8,0)+VLOOKUP(D1322,'Species Codes'!B:J,9,0)*((E1322*2.54)^2)*(I1322*0.3048),IF(OR(D1322="MD",D1322="BM",D1322="GA")=TRUE,((VLOOKUP(D1322,'Species Codes'!B:I,8,0)*(((((E1322*2.54)+VLOOKUP(D1322,'Species Codes'!B:J,9,0))/VLOOKUP(D1322,'Species Codes'!B:K,10,0))^VLOOKUP(D1322,'Species Codes'!B:L,11,0))*((I1322*0.3048)^VLOOKUP(D1322,'Species Codes'!B:M,12,0))))-(VLOOKUP(D1322,'Species Codes'!B:I,8,0)*((((E1322*2.54)^VLOOKUP(D1322,'Species Codes'!B:L,11,0))*((I1322*0.3048)^VLOOKUP(D1322,'Species Codes'!B:M,12,0))))))*35.3*VLOOKUP(D1322,'Species Codes'!B:G,6,0)/2.2046,VLOOKUP(D1322,'Species Codes'!B:I,8,0)+VLOOKUP(D1322,'Species Codes'!B:J,9,0)*(((E1322*2.54)/100)^2)*(I1322*0.3048)))))*0.0011023),0)</f>
        <v>#N/A</v>
      </c>
      <c r="AC1322" s="104" t="e">
        <f>IF(Z1322&gt;0,((IF(OR(D1322="RA",D1322="OA",D1322="OT",D1322="UN",D1322="PC"),EXP(VLOOKUP(D1322,'Species Codes'!B:O,14,0)+VLOOKUP(D1322,'Species Codes'!B:P,15,0)*LN((E1322*2.54)))-EXP(VLOOKUP(D1322,'Species Codes'!B:O,14,0)+VLOOKUP(D1322,'Species Codes'!B:P,15,0)*LN((E1322*2.54)))*(1/(VLOOKUP(D1322,'Species Codes'!B:Q,16,0)+VLOOKUP(D1322,'Species Codes'!B:R,17,0)*((E1322*2.54)^VLOOKUP(D1322,'Species Codes'!B:S,18,0)))),IF(OR(D1322="BM",D1322="MD",D1322="OA"),EXP(VLOOKUP(D1322,'Species Codes'!B:O,14,0)+VLOOKUP(D1322,'Species Codes'!B:P,15,0)*LN((E1322*2.54)))*(1-(1/(VLOOKUP(D1322,'Species Codes'!B:Q,16,0)+VLOOKUP(D1322,'Species Codes'!B:R,17,0)*((E1322*2.54)^VLOOKUP(D1322,'Species Codes'!B:S,18,0)))))/1000,IF(D1322="DF",EXP(VLOOKUP(D1322,'Species Codes'!B:O,14,0)+VLOOKUP(D1322,'Species Codes'!B:P,15,0)*LN((E1322*2.54))),VLOOKUP(D1322,'Species Codes'!B:O,14,0)+VLOOKUP(D1322,'Species Codes'!B:P,15,0)*(((E1322*2.54)/100)^2)*(I1322*0.3048)))))*0.0011023),0)</f>
        <v>#N/A</v>
      </c>
      <c r="AD1322" s="104" t="e">
        <f t="shared" si="598"/>
        <v>#N/A</v>
      </c>
      <c r="AE1322" s="104" t="e">
        <f t="shared" si="599"/>
        <v>#N/A</v>
      </c>
      <c r="AF1322" s="104" t="e">
        <f>IF(AND(VLOOKUP($D1322,Merchantability!$B:$C,2,0)="Yes",$E1322&gt;=VLOOKUP($D1322,Merchantability!$B:$D,3,0),$E1322&lt;=VLOOKUP($D1322,Merchantability!$B:$E,4,0)),AA1322,0)</f>
        <v>#N/A</v>
      </c>
      <c r="AG1322" s="104" t="e">
        <f>IF(AND(VLOOKUP($D1322,Merchantability!$B:$C,2,0)="Yes",$E1322&gt;=VLOOKUP($D1322,Merchantability!$B:$D,3,0),$E1322&lt;=VLOOKUP($D1322,Merchantability!$B:$E,4,0)),AB1322,0)</f>
        <v>#N/A</v>
      </c>
      <c r="AH1322" s="104" t="e">
        <f>IF(AND(VLOOKUP($D1322,Merchantability!$B:$C,2,0)="Yes",$E1322&gt;=VLOOKUP($D1322,Merchantability!$B:$D,3,0),$E1322&lt;=VLOOKUP($D1322,Merchantability!$B:$E,4,0)),AC1322,0)</f>
        <v>#N/A</v>
      </c>
      <c r="AI1322" s="104" t="e">
        <f t="shared" si="600"/>
        <v>#N/A</v>
      </c>
      <c r="AJ1322" s="104" t="e">
        <f t="shared" si="601"/>
        <v>#VALUE!</v>
      </c>
      <c r="AK1322" s="104" t="e">
        <f t="shared" si="602"/>
        <v>#N/A</v>
      </c>
      <c r="AL1322" s="104" t="e">
        <f t="shared" si="603"/>
        <v>#N/A</v>
      </c>
      <c r="AM1322" s="104" t="e">
        <f t="shared" si="604"/>
        <v>#N/A</v>
      </c>
      <c r="AN1322" s="104" t="e">
        <f t="shared" si="588"/>
        <v>#N/A</v>
      </c>
      <c r="AO1322" s="104" t="e">
        <f t="shared" si="589"/>
        <v>#N/A</v>
      </c>
      <c r="AP1322" s="104" t="e">
        <f t="shared" si="590"/>
        <v>#N/A</v>
      </c>
      <c r="AQ1322" s="104" t="e">
        <f t="shared" si="591"/>
        <v>#N/A</v>
      </c>
      <c r="AR1322" s="105" t="str">
        <f t="shared" si="583"/>
        <v/>
      </c>
      <c r="AS1322" s="105" t="str">
        <f t="shared" si="584"/>
        <v/>
      </c>
      <c r="AT1322" s="108" t="str">
        <f t="shared" si="585"/>
        <v/>
      </c>
      <c r="AU1322" s="108" t="str">
        <f t="shared" si="586"/>
        <v/>
      </c>
      <c r="AV1322" s="107" t="str">
        <f>IF(ISNUMBER(O1322),IF(VLOOKUP($A1322,Stand!C:J,8,FALSE)="Short",AT1322,AU1322),"")</f>
        <v/>
      </c>
      <c r="AW1322" s="109" t="str">
        <f t="shared" si="592"/>
        <v/>
      </c>
      <c r="AX1322" s="109" t="str">
        <f t="shared" si="593"/>
        <v/>
      </c>
      <c r="AY1322" s="112" t="str">
        <f>IF(ISNUMBER(O1322),IF(AND(VLOOKUP($D1322,Merchantability!$B:$C,2,0)="Yes",$E1322&gt;=VLOOKUP($D1322,Merchantability!$B:$D,3,0),$E1322&lt;=VLOOKUP($D1322,Merchantability!$B:$E,4,0)),(AV1322*O1322)*(1-$H1322/100),""),"")</f>
        <v/>
      </c>
      <c r="AZ1322" s="116"/>
      <c r="BA1322" s="116"/>
      <c r="BB1322" s="116"/>
      <c r="BE1322" s="62"/>
      <c r="BF1322" s="63"/>
    </row>
    <row r="1323" spans="1:58" ht="12.75" customHeight="1" x14ac:dyDescent="0.25">
      <c r="A1323" s="333"/>
      <c r="B1323" s="334"/>
      <c r="C1323" s="332"/>
      <c r="D1323" s="334"/>
      <c r="E1323" s="335"/>
      <c r="F1323" s="334"/>
      <c r="G1323" s="332"/>
      <c r="H1323" s="332"/>
      <c r="I1323" s="334"/>
      <c r="J1323" s="336"/>
      <c r="K1323" s="332"/>
      <c r="L1323" s="332"/>
      <c r="M1323" s="76"/>
      <c r="N1323" s="103" t="str">
        <f>IF(A1323="","",VLOOKUP(A1323,Stand!C:K,9,0))</f>
        <v/>
      </c>
      <c r="O1323" s="104" t="str">
        <f t="shared" si="578"/>
        <v/>
      </c>
      <c r="P1323" s="105" t="str">
        <f t="shared" si="579"/>
        <v/>
      </c>
      <c r="Q1323" s="105" t="str">
        <f t="shared" si="594"/>
        <v/>
      </c>
      <c r="R1323" s="103" t="str">
        <f t="shared" si="580"/>
        <v/>
      </c>
      <c r="S1323" s="103" t="str">
        <f t="shared" si="581"/>
        <v/>
      </c>
      <c r="T1323" s="106" t="str">
        <f t="shared" si="595"/>
        <v/>
      </c>
      <c r="U1323" s="106" t="str">
        <f t="shared" si="596"/>
        <v/>
      </c>
      <c r="V1323" s="106" t="str">
        <f t="shared" si="597"/>
        <v/>
      </c>
      <c r="W1323" s="105" t="str">
        <f t="shared" si="582"/>
        <v/>
      </c>
      <c r="X1323" s="104" t="str">
        <f t="shared" si="587"/>
        <v/>
      </c>
      <c r="Y1323" s="104" t="str">
        <f t="array" ref="Y1323">IFERROR(IF(ISNUMBER(O1323),IF(COUNT(IF(A1323=$A$2:$A$2427,IF(D1323=$D$2:$D$2427,IF($X$2:$X$2427&gt;0,1))))&gt;0,SUM(IF(A1323=$A$2:$A$2427,IF(D1323=$D$2:$D$2427,$X$2:$X$2427)))/COUNT(IF(A1323=$A$2:$A$2427,IF(D1323=$D$2:$D$2427,IF(ISNUMBER($X$2:$X$2427),1)))),0),""),0)</f>
        <v/>
      </c>
      <c r="Z1323" s="104" t="str">
        <f>IF(ISNUMBER(O1323),IF(I1323&gt;0,(10^(VLOOKUP(D1323,'Species Codes'!B:C,2,0)+VLOOKUP(D1323,'Species Codes'!B:D,3,0)*LOG(E1323)+VLOOKUP(D1323,'Species Codes'!B:E,4,0)*LOG(I1323))),0),"")</f>
        <v/>
      </c>
      <c r="AA1323" s="104" t="str">
        <f>IFERROR((VLOOKUP(D1323,'Species Codes'!B:G,6,0)*Z1323)/2000,"")</f>
        <v/>
      </c>
      <c r="AB1323" s="104" t="e">
        <f>IF(Z1323&gt;0,((IF(OR(D1323="DF",D1323="RA")=TRUE,EXP(VLOOKUP(D1323,'Species Codes'!B:I,8,0)+VLOOKUP(D1323,'Species Codes'!B:J,9,0)*(LN((E1323*2.54)))),IF(OR(D1323="PY",D1323="RC",D1323="WH",D1323="NF")=TRUE,VLOOKUP(D1323,'Species Codes'!B:I,8,0)+VLOOKUP(D1323,'Species Codes'!B:J,9,0)*((E1323*2.54)^2)*(I1323*0.3048),IF(OR(D1323="MD",D1323="BM",D1323="GA")=TRUE,((VLOOKUP(D1323,'Species Codes'!B:I,8,0)*(((((E1323*2.54)+VLOOKUP(D1323,'Species Codes'!B:J,9,0))/VLOOKUP(D1323,'Species Codes'!B:K,10,0))^VLOOKUP(D1323,'Species Codes'!B:L,11,0))*((I1323*0.3048)^VLOOKUP(D1323,'Species Codes'!B:M,12,0))))-(VLOOKUP(D1323,'Species Codes'!B:I,8,0)*((((E1323*2.54)^VLOOKUP(D1323,'Species Codes'!B:L,11,0))*((I1323*0.3048)^VLOOKUP(D1323,'Species Codes'!B:M,12,0))))))*35.3*VLOOKUP(D1323,'Species Codes'!B:G,6,0)/2.2046,VLOOKUP(D1323,'Species Codes'!B:I,8,0)+VLOOKUP(D1323,'Species Codes'!B:J,9,0)*(((E1323*2.54)/100)^2)*(I1323*0.3048)))))*0.0011023),0)</f>
        <v>#N/A</v>
      </c>
      <c r="AC1323" s="104" t="e">
        <f>IF(Z1323&gt;0,((IF(OR(D1323="RA",D1323="OA",D1323="OT",D1323="UN",D1323="PC"),EXP(VLOOKUP(D1323,'Species Codes'!B:O,14,0)+VLOOKUP(D1323,'Species Codes'!B:P,15,0)*LN((E1323*2.54)))-EXP(VLOOKUP(D1323,'Species Codes'!B:O,14,0)+VLOOKUP(D1323,'Species Codes'!B:P,15,0)*LN((E1323*2.54)))*(1/(VLOOKUP(D1323,'Species Codes'!B:Q,16,0)+VLOOKUP(D1323,'Species Codes'!B:R,17,0)*((E1323*2.54)^VLOOKUP(D1323,'Species Codes'!B:S,18,0)))),IF(OR(D1323="BM",D1323="MD",D1323="OA"),EXP(VLOOKUP(D1323,'Species Codes'!B:O,14,0)+VLOOKUP(D1323,'Species Codes'!B:P,15,0)*LN((E1323*2.54)))*(1-(1/(VLOOKUP(D1323,'Species Codes'!B:Q,16,0)+VLOOKUP(D1323,'Species Codes'!B:R,17,0)*((E1323*2.54)^VLOOKUP(D1323,'Species Codes'!B:S,18,0)))))/1000,IF(D1323="DF",EXP(VLOOKUP(D1323,'Species Codes'!B:O,14,0)+VLOOKUP(D1323,'Species Codes'!B:P,15,0)*LN((E1323*2.54))),VLOOKUP(D1323,'Species Codes'!B:O,14,0)+VLOOKUP(D1323,'Species Codes'!B:P,15,0)*(((E1323*2.54)/100)^2)*(I1323*0.3048)))))*0.0011023),0)</f>
        <v>#N/A</v>
      </c>
      <c r="AD1323" s="104" t="e">
        <f t="shared" si="598"/>
        <v>#N/A</v>
      </c>
      <c r="AE1323" s="104" t="e">
        <f t="shared" si="599"/>
        <v>#N/A</v>
      </c>
      <c r="AF1323" s="104" t="e">
        <f>IF(AND(VLOOKUP($D1323,Merchantability!$B:$C,2,0)="Yes",$E1323&gt;=VLOOKUP($D1323,Merchantability!$B:$D,3,0),$E1323&lt;=VLOOKUP($D1323,Merchantability!$B:$E,4,0)),AA1323,0)</f>
        <v>#N/A</v>
      </c>
      <c r="AG1323" s="104" t="e">
        <f>IF(AND(VLOOKUP($D1323,Merchantability!$B:$C,2,0)="Yes",$E1323&gt;=VLOOKUP($D1323,Merchantability!$B:$D,3,0),$E1323&lt;=VLOOKUP($D1323,Merchantability!$B:$E,4,0)),AB1323,0)</f>
        <v>#N/A</v>
      </c>
      <c r="AH1323" s="104" t="e">
        <f>IF(AND(VLOOKUP($D1323,Merchantability!$B:$C,2,0)="Yes",$E1323&gt;=VLOOKUP($D1323,Merchantability!$B:$D,3,0),$E1323&lt;=VLOOKUP($D1323,Merchantability!$B:$E,4,0)),AC1323,0)</f>
        <v>#N/A</v>
      </c>
      <c r="AI1323" s="104" t="e">
        <f t="shared" si="600"/>
        <v>#N/A</v>
      </c>
      <c r="AJ1323" s="104" t="e">
        <f t="shared" si="601"/>
        <v>#VALUE!</v>
      </c>
      <c r="AK1323" s="104" t="e">
        <f t="shared" si="602"/>
        <v>#N/A</v>
      </c>
      <c r="AL1323" s="104" t="e">
        <f t="shared" si="603"/>
        <v>#N/A</v>
      </c>
      <c r="AM1323" s="104" t="e">
        <f t="shared" si="604"/>
        <v>#N/A</v>
      </c>
      <c r="AN1323" s="104" t="e">
        <f t="shared" si="588"/>
        <v>#N/A</v>
      </c>
      <c r="AO1323" s="104" t="e">
        <f t="shared" si="589"/>
        <v>#N/A</v>
      </c>
      <c r="AP1323" s="104" t="e">
        <f t="shared" si="590"/>
        <v>#N/A</v>
      </c>
      <c r="AQ1323" s="104" t="e">
        <f t="shared" si="591"/>
        <v>#N/A</v>
      </c>
      <c r="AR1323" s="105" t="str">
        <f t="shared" si="583"/>
        <v/>
      </c>
      <c r="AS1323" s="105" t="str">
        <f t="shared" si="584"/>
        <v/>
      </c>
      <c r="AT1323" s="108" t="str">
        <f t="shared" si="585"/>
        <v/>
      </c>
      <c r="AU1323" s="108" t="str">
        <f t="shared" si="586"/>
        <v/>
      </c>
      <c r="AV1323" s="107" t="str">
        <f>IF(ISNUMBER(O1323),IF(VLOOKUP($A1323,Stand!C:J,8,FALSE)="Short",AT1323,AU1323),"")</f>
        <v/>
      </c>
      <c r="AW1323" s="109" t="str">
        <f t="shared" si="592"/>
        <v/>
      </c>
      <c r="AX1323" s="109" t="str">
        <f t="shared" si="593"/>
        <v/>
      </c>
      <c r="AY1323" s="112" t="str">
        <f>IF(ISNUMBER(O1323),IF(AND(VLOOKUP($D1323,Merchantability!$B:$C,2,0)="Yes",$E1323&gt;=VLOOKUP($D1323,Merchantability!$B:$D,3,0),$E1323&lt;=VLOOKUP($D1323,Merchantability!$B:$E,4,0)),(AV1323*O1323)*(1-$H1323/100),""),"")</f>
        <v/>
      </c>
      <c r="AZ1323" s="116"/>
      <c r="BA1323" s="116"/>
      <c r="BB1323" s="116"/>
      <c r="BE1323" s="62"/>
      <c r="BF1323" s="63"/>
    </row>
    <row r="1324" spans="1:58" ht="12.75" customHeight="1" x14ac:dyDescent="0.25">
      <c r="A1324" s="333"/>
      <c r="B1324" s="334"/>
      <c r="C1324" s="332"/>
      <c r="D1324" s="334"/>
      <c r="E1324" s="335"/>
      <c r="F1324" s="334"/>
      <c r="G1324" s="332"/>
      <c r="H1324" s="332"/>
      <c r="I1324" s="334"/>
      <c r="J1324" s="336"/>
      <c r="K1324" s="332"/>
      <c r="L1324" s="332"/>
      <c r="M1324" s="76"/>
      <c r="N1324" s="103" t="str">
        <f>IF(A1324="","",VLOOKUP(A1324,Stand!C:K,9,0))</f>
        <v/>
      </c>
      <c r="O1324" s="104" t="str">
        <f t="shared" si="578"/>
        <v/>
      </c>
      <c r="P1324" s="105" t="str">
        <f t="shared" si="579"/>
        <v/>
      </c>
      <c r="Q1324" s="105" t="str">
        <f t="shared" si="594"/>
        <v/>
      </c>
      <c r="R1324" s="103" t="str">
        <f t="shared" si="580"/>
        <v/>
      </c>
      <c r="S1324" s="103" t="str">
        <f t="shared" si="581"/>
        <v/>
      </c>
      <c r="T1324" s="106" t="str">
        <f t="shared" si="595"/>
        <v/>
      </c>
      <c r="U1324" s="106" t="str">
        <f t="shared" si="596"/>
        <v/>
      </c>
      <c r="V1324" s="106" t="str">
        <f t="shared" si="597"/>
        <v/>
      </c>
      <c r="W1324" s="105" t="str">
        <f t="shared" si="582"/>
        <v/>
      </c>
      <c r="X1324" s="104" t="str">
        <f t="shared" si="587"/>
        <v/>
      </c>
      <c r="Y1324" s="104" t="str">
        <f t="array" ref="Y1324">IFERROR(IF(ISNUMBER(O1324),IF(COUNT(IF(A1324=$A$2:$A$2427,IF(D1324=$D$2:$D$2427,IF($X$2:$X$2427&gt;0,1))))&gt;0,SUM(IF(A1324=$A$2:$A$2427,IF(D1324=$D$2:$D$2427,$X$2:$X$2427)))/COUNT(IF(A1324=$A$2:$A$2427,IF(D1324=$D$2:$D$2427,IF(ISNUMBER($X$2:$X$2427),1)))),0),""),0)</f>
        <v/>
      </c>
      <c r="Z1324" s="104" t="str">
        <f>IF(ISNUMBER(O1324),IF(I1324&gt;0,(10^(VLOOKUP(D1324,'Species Codes'!B:C,2,0)+VLOOKUP(D1324,'Species Codes'!B:D,3,0)*LOG(E1324)+VLOOKUP(D1324,'Species Codes'!B:E,4,0)*LOG(I1324))),0),"")</f>
        <v/>
      </c>
      <c r="AA1324" s="104" t="str">
        <f>IFERROR((VLOOKUP(D1324,'Species Codes'!B:G,6,0)*Z1324)/2000,"")</f>
        <v/>
      </c>
      <c r="AB1324" s="104" t="e">
        <f>IF(Z1324&gt;0,((IF(OR(D1324="DF",D1324="RA")=TRUE,EXP(VLOOKUP(D1324,'Species Codes'!B:I,8,0)+VLOOKUP(D1324,'Species Codes'!B:J,9,0)*(LN((E1324*2.54)))),IF(OR(D1324="PY",D1324="RC",D1324="WH",D1324="NF")=TRUE,VLOOKUP(D1324,'Species Codes'!B:I,8,0)+VLOOKUP(D1324,'Species Codes'!B:J,9,0)*((E1324*2.54)^2)*(I1324*0.3048),IF(OR(D1324="MD",D1324="BM",D1324="GA")=TRUE,((VLOOKUP(D1324,'Species Codes'!B:I,8,0)*(((((E1324*2.54)+VLOOKUP(D1324,'Species Codes'!B:J,9,0))/VLOOKUP(D1324,'Species Codes'!B:K,10,0))^VLOOKUP(D1324,'Species Codes'!B:L,11,0))*((I1324*0.3048)^VLOOKUP(D1324,'Species Codes'!B:M,12,0))))-(VLOOKUP(D1324,'Species Codes'!B:I,8,0)*((((E1324*2.54)^VLOOKUP(D1324,'Species Codes'!B:L,11,0))*((I1324*0.3048)^VLOOKUP(D1324,'Species Codes'!B:M,12,0))))))*35.3*VLOOKUP(D1324,'Species Codes'!B:G,6,0)/2.2046,VLOOKUP(D1324,'Species Codes'!B:I,8,0)+VLOOKUP(D1324,'Species Codes'!B:J,9,0)*(((E1324*2.54)/100)^2)*(I1324*0.3048)))))*0.0011023),0)</f>
        <v>#N/A</v>
      </c>
      <c r="AC1324" s="104" t="e">
        <f>IF(Z1324&gt;0,((IF(OR(D1324="RA",D1324="OA",D1324="OT",D1324="UN",D1324="PC"),EXP(VLOOKUP(D1324,'Species Codes'!B:O,14,0)+VLOOKUP(D1324,'Species Codes'!B:P,15,0)*LN((E1324*2.54)))-EXP(VLOOKUP(D1324,'Species Codes'!B:O,14,0)+VLOOKUP(D1324,'Species Codes'!B:P,15,0)*LN((E1324*2.54)))*(1/(VLOOKUP(D1324,'Species Codes'!B:Q,16,0)+VLOOKUP(D1324,'Species Codes'!B:R,17,0)*((E1324*2.54)^VLOOKUP(D1324,'Species Codes'!B:S,18,0)))),IF(OR(D1324="BM",D1324="MD",D1324="OA"),EXP(VLOOKUP(D1324,'Species Codes'!B:O,14,0)+VLOOKUP(D1324,'Species Codes'!B:P,15,0)*LN((E1324*2.54)))*(1-(1/(VLOOKUP(D1324,'Species Codes'!B:Q,16,0)+VLOOKUP(D1324,'Species Codes'!B:R,17,0)*((E1324*2.54)^VLOOKUP(D1324,'Species Codes'!B:S,18,0)))))/1000,IF(D1324="DF",EXP(VLOOKUP(D1324,'Species Codes'!B:O,14,0)+VLOOKUP(D1324,'Species Codes'!B:P,15,0)*LN((E1324*2.54))),VLOOKUP(D1324,'Species Codes'!B:O,14,0)+VLOOKUP(D1324,'Species Codes'!B:P,15,0)*(((E1324*2.54)/100)^2)*(I1324*0.3048)))))*0.0011023),0)</f>
        <v>#N/A</v>
      </c>
      <c r="AD1324" s="104" t="e">
        <f t="shared" si="598"/>
        <v>#N/A</v>
      </c>
      <c r="AE1324" s="104" t="e">
        <f t="shared" si="599"/>
        <v>#N/A</v>
      </c>
      <c r="AF1324" s="104" t="e">
        <f>IF(AND(VLOOKUP($D1324,Merchantability!$B:$C,2,0)="Yes",$E1324&gt;=VLOOKUP($D1324,Merchantability!$B:$D,3,0),$E1324&lt;=VLOOKUP($D1324,Merchantability!$B:$E,4,0)),AA1324,0)</f>
        <v>#N/A</v>
      </c>
      <c r="AG1324" s="104" t="e">
        <f>IF(AND(VLOOKUP($D1324,Merchantability!$B:$C,2,0)="Yes",$E1324&gt;=VLOOKUP($D1324,Merchantability!$B:$D,3,0),$E1324&lt;=VLOOKUP($D1324,Merchantability!$B:$E,4,0)),AB1324,0)</f>
        <v>#N/A</v>
      </c>
      <c r="AH1324" s="104" t="e">
        <f>IF(AND(VLOOKUP($D1324,Merchantability!$B:$C,2,0)="Yes",$E1324&gt;=VLOOKUP($D1324,Merchantability!$B:$D,3,0),$E1324&lt;=VLOOKUP($D1324,Merchantability!$B:$E,4,0)),AC1324,0)</f>
        <v>#N/A</v>
      </c>
      <c r="AI1324" s="104" t="e">
        <f t="shared" si="600"/>
        <v>#N/A</v>
      </c>
      <c r="AJ1324" s="104" t="e">
        <f t="shared" si="601"/>
        <v>#VALUE!</v>
      </c>
      <c r="AK1324" s="104" t="e">
        <f t="shared" si="602"/>
        <v>#N/A</v>
      </c>
      <c r="AL1324" s="104" t="e">
        <f t="shared" si="603"/>
        <v>#N/A</v>
      </c>
      <c r="AM1324" s="104" t="e">
        <f t="shared" si="604"/>
        <v>#N/A</v>
      </c>
      <c r="AN1324" s="104" t="e">
        <f t="shared" si="588"/>
        <v>#N/A</v>
      </c>
      <c r="AO1324" s="104" t="e">
        <f t="shared" si="589"/>
        <v>#N/A</v>
      </c>
      <c r="AP1324" s="104" t="e">
        <f t="shared" si="590"/>
        <v>#N/A</v>
      </c>
      <c r="AQ1324" s="104" t="e">
        <f t="shared" si="591"/>
        <v>#N/A</v>
      </c>
      <c r="AR1324" s="105" t="str">
        <f t="shared" si="583"/>
        <v/>
      </c>
      <c r="AS1324" s="105" t="str">
        <f t="shared" si="584"/>
        <v/>
      </c>
      <c r="AT1324" s="108" t="str">
        <f t="shared" si="585"/>
        <v/>
      </c>
      <c r="AU1324" s="108" t="str">
        <f t="shared" si="586"/>
        <v/>
      </c>
      <c r="AV1324" s="107" t="str">
        <f>IF(ISNUMBER(O1324),IF(VLOOKUP($A1324,Stand!C:J,8,FALSE)="Short",AT1324,AU1324),"")</f>
        <v/>
      </c>
      <c r="AW1324" s="109" t="str">
        <f t="shared" si="592"/>
        <v/>
      </c>
      <c r="AX1324" s="109" t="str">
        <f t="shared" si="593"/>
        <v/>
      </c>
      <c r="AY1324" s="112" t="str">
        <f>IF(ISNUMBER(O1324),IF(AND(VLOOKUP($D1324,Merchantability!$B:$C,2,0)="Yes",$E1324&gt;=VLOOKUP($D1324,Merchantability!$B:$D,3,0),$E1324&lt;=VLOOKUP($D1324,Merchantability!$B:$E,4,0)),(AV1324*O1324)*(1-$H1324/100),""),"")</f>
        <v/>
      </c>
      <c r="AZ1324" s="116"/>
      <c r="BA1324" s="116"/>
      <c r="BB1324" s="116"/>
      <c r="BE1324" s="62"/>
      <c r="BF1324" s="63"/>
    </row>
    <row r="1325" spans="1:58" ht="12.75" customHeight="1" x14ac:dyDescent="0.25">
      <c r="A1325" s="333"/>
      <c r="B1325" s="334"/>
      <c r="C1325" s="332"/>
      <c r="D1325" s="334"/>
      <c r="E1325" s="335"/>
      <c r="F1325" s="334"/>
      <c r="G1325" s="332"/>
      <c r="H1325" s="332"/>
      <c r="I1325" s="334"/>
      <c r="J1325" s="336"/>
      <c r="K1325" s="332"/>
      <c r="L1325" s="332"/>
      <c r="M1325" s="76"/>
      <c r="N1325" s="103" t="str">
        <f>IF(A1325="","",VLOOKUP(A1325,Stand!C:K,9,0))</f>
        <v/>
      </c>
      <c r="O1325" s="104" t="str">
        <f t="shared" si="578"/>
        <v/>
      </c>
      <c r="P1325" s="105" t="str">
        <f t="shared" si="579"/>
        <v/>
      </c>
      <c r="Q1325" s="105" t="str">
        <f t="shared" si="594"/>
        <v/>
      </c>
      <c r="R1325" s="103" t="str">
        <f t="shared" si="580"/>
        <v/>
      </c>
      <c r="S1325" s="103" t="str">
        <f t="shared" si="581"/>
        <v/>
      </c>
      <c r="T1325" s="106" t="str">
        <f t="shared" si="595"/>
        <v/>
      </c>
      <c r="U1325" s="106" t="str">
        <f t="shared" si="596"/>
        <v/>
      </c>
      <c r="V1325" s="106" t="str">
        <f t="shared" si="597"/>
        <v/>
      </c>
      <c r="W1325" s="105" t="str">
        <f t="shared" si="582"/>
        <v/>
      </c>
      <c r="X1325" s="104" t="str">
        <f t="shared" si="587"/>
        <v/>
      </c>
      <c r="Y1325" s="104" t="str">
        <f t="array" ref="Y1325">IFERROR(IF(ISNUMBER(O1325),IF(COUNT(IF(A1325=$A$2:$A$2427,IF(D1325=$D$2:$D$2427,IF($X$2:$X$2427&gt;0,1))))&gt;0,SUM(IF(A1325=$A$2:$A$2427,IF(D1325=$D$2:$D$2427,$X$2:$X$2427)))/COUNT(IF(A1325=$A$2:$A$2427,IF(D1325=$D$2:$D$2427,IF(ISNUMBER($X$2:$X$2427),1)))),0),""),0)</f>
        <v/>
      </c>
      <c r="Z1325" s="104" t="str">
        <f>IF(ISNUMBER(O1325),IF(I1325&gt;0,(10^(VLOOKUP(D1325,'Species Codes'!B:C,2,0)+VLOOKUP(D1325,'Species Codes'!B:D,3,0)*LOG(E1325)+VLOOKUP(D1325,'Species Codes'!B:E,4,0)*LOG(I1325))),0),"")</f>
        <v/>
      </c>
      <c r="AA1325" s="104" t="str">
        <f>IFERROR((VLOOKUP(D1325,'Species Codes'!B:G,6,0)*Z1325)/2000,"")</f>
        <v/>
      </c>
      <c r="AB1325" s="104" t="e">
        <f>IF(Z1325&gt;0,((IF(OR(D1325="DF",D1325="RA")=TRUE,EXP(VLOOKUP(D1325,'Species Codes'!B:I,8,0)+VLOOKUP(D1325,'Species Codes'!B:J,9,0)*(LN((E1325*2.54)))),IF(OR(D1325="PY",D1325="RC",D1325="WH",D1325="NF")=TRUE,VLOOKUP(D1325,'Species Codes'!B:I,8,0)+VLOOKUP(D1325,'Species Codes'!B:J,9,0)*((E1325*2.54)^2)*(I1325*0.3048),IF(OR(D1325="MD",D1325="BM",D1325="GA")=TRUE,((VLOOKUP(D1325,'Species Codes'!B:I,8,0)*(((((E1325*2.54)+VLOOKUP(D1325,'Species Codes'!B:J,9,0))/VLOOKUP(D1325,'Species Codes'!B:K,10,0))^VLOOKUP(D1325,'Species Codes'!B:L,11,0))*((I1325*0.3048)^VLOOKUP(D1325,'Species Codes'!B:M,12,0))))-(VLOOKUP(D1325,'Species Codes'!B:I,8,0)*((((E1325*2.54)^VLOOKUP(D1325,'Species Codes'!B:L,11,0))*((I1325*0.3048)^VLOOKUP(D1325,'Species Codes'!B:M,12,0))))))*35.3*VLOOKUP(D1325,'Species Codes'!B:G,6,0)/2.2046,VLOOKUP(D1325,'Species Codes'!B:I,8,0)+VLOOKUP(D1325,'Species Codes'!B:J,9,0)*(((E1325*2.54)/100)^2)*(I1325*0.3048)))))*0.0011023),0)</f>
        <v>#N/A</v>
      </c>
      <c r="AC1325" s="104" t="e">
        <f>IF(Z1325&gt;0,((IF(OR(D1325="RA",D1325="OA",D1325="OT",D1325="UN",D1325="PC"),EXP(VLOOKUP(D1325,'Species Codes'!B:O,14,0)+VLOOKUP(D1325,'Species Codes'!B:P,15,0)*LN((E1325*2.54)))-EXP(VLOOKUP(D1325,'Species Codes'!B:O,14,0)+VLOOKUP(D1325,'Species Codes'!B:P,15,0)*LN((E1325*2.54)))*(1/(VLOOKUP(D1325,'Species Codes'!B:Q,16,0)+VLOOKUP(D1325,'Species Codes'!B:R,17,0)*((E1325*2.54)^VLOOKUP(D1325,'Species Codes'!B:S,18,0)))),IF(OR(D1325="BM",D1325="MD",D1325="OA"),EXP(VLOOKUP(D1325,'Species Codes'!B:O,14,0)+VLOOKUP(D1325,'Species Codes'!B:P,15,0)*LN((E1325*2.54)))*(1-(1/(VLOOKUP(D1325,'Species Codes'!B:Q,16,0)+VLOOKUP(D1325,'Species Codes'!B:R,17,0)*((E1325*2.54)^VLOOKUP(D1325,'Species Codes'!B:S,18,0)))))/1000,IF(D1325="DF",EXP(VLOOKUP(D1325,'Species Codes'!B:O,14,0)+VLOOKUP(D1325,'Species Codes'!B:P,15,0)*LN((E1325*2.54))),VLOOKUP(D1325,'Species Codes'!B:O,14,0)+VLOOKUP(D1325,'Species Codes'!B:P,15,0)*(((E1325*2.54)/100)^2)*(I1325*0.3048)))))*0.0011023),0)</f>
        <v>#N/A</v>
      </c>
      <c r="AD1325" s="104" t="e">
        <f t="shared" si="598"/>
        <v>#N/A</v>
      </c>
      <c r="AE1325" s="104" t="e">
        <f t="shared" si="599"/>
        <v>#N/A</v>
      </c>
      <c r="AF1325" s="104" t="e">
        <f>IF(AND(VLOOKUP($D1325,Merchantability!$B:$C,2,0)="Yes",$E1325&gt;=VLOOKUP($D1325,Merchantability!$B:$D,3,0),$E1325&lt;=VLOOKUP($D1325,Merchantability!$B:$E,4,0)),AA1325,0)</f>
        <v>#N/A</v>
      </c>
      <c r="AG1325" s="104" t="e">
        <f>IF(AND(VLOOKUP($D1325,Merchantability!$B:$C,2,0)="Yes",$E1325&gt;=VLOOKUP($D1325,Merchantability!$B:$D,3,0),$E1325&lt;=VLOOKUP($D1325,Merchantability!$B:$E,4,0)),AB1325,0)</f>
        <v>#N/A</v>
      </c>
      <c r="AH1325" s="104" t="e">
        <f>IF(AND(VLOOKUP($D1325,Merchantability!$B:$C,2,0)="Yes",$E1325&gt;=VLOOKUP($D1325,Merchantability!$B:$D,3,0),$E1325&lt;=VLOOKUP($D1325,Merchantability!$B:$E,4,0)),AC1325,0)</f>
        <v>#N/A</v>
      </c>
      <c r="AI1325" s="104" t="e">
        <f t="shared" si="600"/>
        <v>#N/A</v>
      </c>
      <c r="AJ1325" s="104" t="e">
        <f t="shared" si="601"/>
        <v>#VALUE!</v>
      </c>
      <c r="AK1325" s="104" t="e">
        <f t="shared" si="602"/>
        <v>#N/A</v>
      </c>
      <c r="AL1325" s="104" t="e">
        <f t="shared" si="603"/>
        <v>#N/A</v>
      </c>
      <c r="AM1325" s="104" t="e">
        <f t="shared" si="604"/>
        <v>#N/A</v>
      </c>
      <c r="AN1325" s="104" t="e">
        <f t="shared" si="588"/>
        <v>#N/A</v>
      </c>
      <c r="AO1325" s="104" t="e">
        <f t="shared" si="589"/>
        <v>#N/A</v>
      </c>
      <c r="AP1325" s="104" t="e">
        <f t="shared" si="590"/>
        <v>#N/A</v>
      </c>
      <c r="AQ1325" s="104" t="e">
        <f t="shared" si="591"/>
        <v>#N/A</v>
      </c>
      <c r="AR1325" s="105" t="str">
        <f t="shared" si="583"/>
        <v/>
      </c>
      <c r="AS1325" s="105" t="str">
        <f t="shared" si="584"/>
        <v/>
      </c>
      <c r="AT1325" s="108" t="str">
        <f t="shared" si="585"/>
        <v/>
      </c>
      <c r="AU1325" s="108" t="str">
        <f t="shared" si="586"/>
        <v/>
      </c>
      <c r="AV1325" s="107" t="str">
        <f>IF(ISNUMBER(O1325),IF(VLOOKUP($A1325,Stand!C:J,8,FALSE)="Short",AT1325,AU1325),"")</f>
        <v/>
      </c>
      <c r="AW1325" s="109" t="str">
        <f t="shared" si="592"/>
        <v/>
      </c>
      <c r="AX1325" s="109" t="str">
        <f t="shared" si="593"/>
        <v/>
      </c>
      <c r="AY1325" s="112" t="str">
        <f>IF(ISNUMBER(O1325),IF(AND(VLOOKUP($D1325,Merchantability!$B:$C,2,0)="Yes",$E1325&gt;=VLOOKUP($D1325,Merchantability!$B:$D,3,0),$E1325&lt;=VLOOKUP($D1325,Merchantability!$B:$E,4,0)),(AV1325*O1325)*(1-$H1325/100),""),"")</f>
        <v/>
      </c>
      <c r="AZ1325" s="116"/>
      <c r="BA1325" s="116"/>
      <c r="BB1325" s="116"/>
      <c r="BE1325" s="62"/>
      <c r="BF1325" s="63"/>
    </row>
    <row r="1326" spans="1:58" ht="12.75" customHeight="1" x14ac:dyDescent="0.25">
      <c r="A1326" s="333"/>
      <c r="B1326" s="334"/>
      <c r="C1326" s="332"/>
      <c r="D1326" s="334"/>
      <c r="E1326" s="335"/>
      <c r="F1326" s="334"/>
      <c r="G1326" s="332"/>
      <c r="H1326" s="332"/>
      <c r="I1326" s="334"/>
      <c r="J1326" s="336"/>
      <c r="K1326" s="332"/>
      <c r="L1326" s="332"/>
      <c r="M1326" s="76"/>
      <c r="N1326" s="103" t="str">
        <f>IF(A1326="","",VLOOKUP(A1326,Stand!C:K,9,0))</f>
        <v/>
      </c>
      <c r="O1326" s="104" t="str">
        <f t="shared" si="578"/>
        <v/>
      </c>
      <c r="P1326" s="105" t="str">
        <f t="shared" si="579"/>
        <v/>
      </c>
      <c r="Q1326" s="105" t="str">
        <f t="shared" si="594"/>
        <v/>
      </c>
      <c r="R1326" s="103" t="str">
        <f t="shared" si="580"/>
        <v/>
      </c>
      <c r="S1326" s="103" t="str">
        <f t="shared" si="581"/>
        <v/>
      </c>
      <c r="T1326" s="106" t="str">
        <f t="shared" si="595"/>
        <v/>
      </c>
      <c r="U1326" s="106" t="str">
        <f t="shared" si="596"/>
        <v/>
      </c>
      <c r="V1326" s="106" t="str">
        <f t="shared" si="597"/>
        <v/>
      </c>
      <c r="W1326" s="105" t="str">
        <f t="shared" si="582"/>
        <v/>
      </c>
      <c r="X1326" s="104" t="str">
        <f t="shared" si="587"/>
        <v/>
      </c>
      <c r="Y1326" s="104" t="str">
        <f t="array" ref="Y1326">IFERROR(IF(ISNUMBER(O1326),IF(COUNT(IF(A1326=$A$2:$A$2427,IF(D1326=$D$2:$D$2427,IF($X$2:$X$2427&gt;0,1))))&gt;0,SUM(IF(A1326=$A$2:$A$2427,IF(D1326=$D$2:$D$2427,$X$2:$X$2427)))/COUNT(IF(A1326=$A$2:$A$2427,IF(D1326=$D$2:$D$2427,IF(ISNUMBER($X$2:$X$2427),1)))),0),""),0)</f>
        <v/>
      </c>
      <c r="Z1326" s="104" t="str">
        <f>IF(ISNUMBER(O1326),IF(I1326&gt;0,(10^(VLOOKUP(D1326,'Species Codes'!B:C,2,0)+VLOOKUP(D1326,'Species Codes'!B:D,3,0)*LOG(E1326)+VLOOKUP(D1326,'Species Codes'!B:E,4,0)*LOG(I1326))),0),"")</f>
        <v/>
      </c>
      <c r="AA1326" s="104" t="str">
        <f>IFERROR((VLOOKUP(D1326,'Species Codes'!B:G,6,0)*Z1326)/2000,"")</f>
        <v/>
      </c>
      <c r="AB1326" s="104" t="e">
        <f>IF(Z1326&gt;0,((IF(OR(D1326="DF",D1326="RA")=TRUE,EXP(VLOOKUP(D1326,'Species Codes'!B:I,8,0)+VLOOKUP(D1326,'Species Codes'!B:J,9,0)*(LN((E1326*2.54)))),IF(OR(D1326="PY",D1326="RC",D1326="WH",D1326="NF")=TRUE,VLOOKUP(D1326,'Species Codes'!B:I,8,0)+VLOOKUP(D1326,'Species Codes'!B:J,9,0)*((E1326*2.54)^2)*(I1326*0.3048),IF(OR(D1326="MD",D1326="BM",D1326="GA")=TRUE,((VLOOKUP(D1326,'Species Codes'!B:I,8,0)*(((((E1326*2.54)+VLOOKUP(D1326,'Species Codes'!B:J,9,0))/VLOOKUP(D1326,'Species Codes'!B:K,10,0))^VLOOKUP(D1326,'Species Codes'!B:L,11,0))*((I1326*0.3048)^VLOOKUP(D1326,'Species Codes'!B:M,12,0))))-(VLOOKUP(D1326,'Species Codes'!B:I,8,0)*((((E1326*2.54)^VLOOKUP(D1326,'Species Codes'!B:L,11,0))*((I1326*0.3048)^VLOOKUP(D1326,'Species Codes'!B:M,12,0))))))*35.3*VLOOKUP(D1326,'Species Codes'!B:G,6,0)/2.2046,VLOOKUP(D1326,'Species Codes'!B:I,8,0)+VLOOKUP(D1326,'Species Codes'!B:J,9,0)*(((E1326*2.54)/100)^2)*(I1326*0.3048)))))*0.0011023),0)</f>
        <v>#N/A</v>
      </c>
      <c r="AC1326" s="104" t="e">
        <f>IF(Z1326&gt;0,((IF(OR(D1326="RA",D1326="OA",D1326="OT",D1326="UN",D1326="PC"),EXP(VLOOKUP(D1326,'Species Codes'!B:O,14,0)+VLOOKUP(D1326,'Species Codes'!B:P,15,0)*LN((E1326*2.54)))-EXP(VLOOKUP(D1326,'Species Codes'!B:O,14,0)+VLOOKUP(D1326,'Species Codes'!B:P,15,0)*LN((E1326*2.54)))*(1/(VLOOKUP(D1326,'Species Codes'!B:Q,16,0)+VLOOKUP(D1326,'Species Codes'!B:R,17,0)*((E1326*2.54)^VLOOKUP(D1326,'Species Codes'!B:S,18,0)))),IF(OR(D1326="BM",D1326="MD",D1326="OA"),EXP(VLOOKUP(D1326,'Species Codes'!B:O,14,0)+VLOOKUP(D1326,'Species Codes'!B:P,15,0)*LN((E1326*2.54)))*(1-(1/(VLOOKUP(D1326,'Species Codes'!B:Q,16,0)+VLOOKUP(D1326,'Species Codes'!B:R,17,0)*((E1326*2.54)^VLOOKUP(D1326,'Species Codes'!B:S,18,0)))))/1000,IF(D1326="DF",EXP(VLOOKUP(D1326,'Species Codes'!B:O,14,0)+VLOOKUP(D1326,'Species Codes'!B:P,15,0)*LN((E1326*2.54))),VLOOKUP(D1326,'Species Codes'!B:O,14,0)+VLOOKUP(D1326,'Species Codes'!B:P,15,0)*(((E1326*2.54)/100)^2)*(I1326*0.3048)))))*0.0011023),0)</f>
        <v>#N/A</v>
      </c>
      <c r="AD1326" s="104" t="e">
        <f t="shared" si="598"/>
        <v>#N/A</v>
      </c>
      <c r="AE1326" s="104" t="e">
        <f t="shared" si="599"/>
        <v>#N/A</v>
      </c>
      <c r="AF1326" s="104" t="e">
        <f>IF(AND(VLOOKUP($D1326,Merchantability!$B:$C,2,0)="Yes",$E1326&gt;=VLOOKUP($D1326,Merchantability!$B:$D,3,0),$E1326&lt;=VLOOKUP($D1326,Merchantability!$B:$E,4,0)),AA1326,0)</f>
        <v>#N/A</v>
      </c>
      <c r="AG1326" s="104" t="e">
        <f>IF(AND(VLOOKUP($D1326,Merchantability!$B:$C,2,0)="Yes",$E1326&gt;=VLOOKUP($D1326,Merchantability!$B:$D,3,0),$E1326&lt;=VLOOKUP($D1326,Merchantability!$B:$E,4,0)),AB1326,0)</f>
        <v>#N/A</v>
      </c>
      <c r="AH1326" s="104" t="e">
        <f>IF(AND(VLOOKUP($D1326,Merchantability!$B:$C,2,0)="Yes",$E1326&gt;=VLOOKUP($D1326,Merchantability!$B:$D,3,0),$E1326&lt;=VLOOKUP($D1326,Merchantability!$B:$E,4,0)),AC1326,0)</f>
        <v>#N/A</v>
      </c>
      <c r="AI1326" s="104" t="e">
        <f t="shared" si="600"/>
        <v>#N/A</v>
      </c>
      <c r="AJ1326" s="104" t="e">
        <f t="shared" si="601"/>
        <v>#VALUE!</v>
      </c>
      <c r="AK1326" s="104" t="e">
        <f t="shared" si="602"/>
        <v>#N/A</v>
      </c>
      <c r="AL1326" s="104" t="e">
        <f t="shared" si="603"/>
        <v>#N/A</v>
      </c>
      <c r="AM1326" s="104" t="e">
        <f t="shared" si="604"/>
        <v>#N/A</v>
      </c>
      <c r="AN1326" s="104" t="e">
        <f t="shared" si="588"/>
        <v>#N/A</v>
      </c>
      <c r="AO1326" s="104" t="e">
        <f t="shared" si="589"/>
        <v>#N/A</v>
      </c>
      <c r="AP1326" s="104" t="e">
        <f t="shared" si="590"/>
        <v>#N/A</v>
      </c>
      <c r="AQ1326" s="104" t="e">
        <f t="shared" si="591"/>
        <v>#N/A</v>
      </c>
      <c r="AR1326" s="105" t="str">
        <f t="shared" si="583"/>
        <v/>
      </c>
      <c r="AS1326" s="105" t="str">
        <f t="shared" si="584"/>
        <v/>
      </c>
      <c r="AT1326" s="108" t="str">
        <f t="shared" si="585"/>
        <v/>
      </c>
      <c r="AU1326" s="108" t="str">
        <f t="shared" si="586"/>
        <v/>
      </c>
      <c r="AV1326" s="107" t="str">
        <f>IF(ISNUMBER(O1326),IF(VLOOKUP($A1326,Stand!C:J,8,FALSE)="Short",AT1326,AU1326),"")</f>
        <v/>
      </c>
      <c r="AW1326" s="109" t="str">
        <f t="shared" si="592"/>
        <v/>
      </c>
      <c r="AX1326" s="109" t="str">
        <f t="shared" si="593"/>
        <v/>
      </c>
      <c r="AY1326" s="112" t="str">
        <f>IF(ISNUMBER(O1326),IF(AND(VLOOKUP($D1326,Merchantability!$B:$C,2,0)="Yes",$E1326&gt;=VLOOKUP($D1326,Merchantability!$B:$D,3,0),$E1326&lt;=VLOOKUP($D1326,Merchantability!$B:$E,4,0)),(AV1326*O1326)*(1-$H1326/100),""),"")</f>
        <v/>
      </c>
      <c r="AZ1326" s="116"/>
      <c r="BA1326" s="116"/>
      <c r="BB1326" s="116"/>
      <c r="BE1326" s="62"/>
      <c r="BF1326" s="63"/>
    </row>
    <row r="1327" spans="1:58" ht="12.75" customHeight="1" x14ac:dyDescent="0.25">
      <c r="A1327" s="333"/>
      <c r="B1327" s="334"/>
      <c r="C1327" s="332"/>
      <c r="D1327" s="334"/>
      <c r="E1327" s="335"/>
      <c r="F1327" s="334"/>
      <c r="G1327" s="332"/>
      <c r="H1327" s="332"/>
      <c r="I1327" s="334"/>
      <c r="J1327" s="336"/>
      <c r="K1327" s="332"/>
      <c r="L1327" s="332"/>
      <c r="M1327" s="76"/>
      <c r="N1327" s="103" t="str">
        <f>IF(A1327="","",VLOOKUP(A1327,Stand!C:K,9,0))</f>
        <v/>
      </c>
      <c r="O1327" s="104" t="str">
        <f t="shared" si="578"/>
        <v/>
      </c>
      <c r="P1327" s="105" t="str">
        <f t="shared" si="579"/>
        <v/>
      </c>
      <c r="Q1327" s="105" t="str">
        <f t="shared" si="594"/>
        <v/>
      </c>
      <c r="R1327" s="103" t="str">
        <f t="shared" si="580"/>
        <v/>
      </c>
      <c r="S1327" s="103" t="str">
        <f t="shared" si="581"/>
        <v/>
      </c>
      <c r="T1327" s="106" t="str">
        <f t="shared" si="595"/>
        <v/>
      </c>
      <c r="U1327" s="106" t="str">
        <f t="shared" si="596"/>
        <v/>
      </c>
      <c r="V1327" s="106" t="str">
        <f t="shared" si="597"/>
        <v/>
      </c>
      <c r="W1327" s="105" t="str">
        <f t="shared" si="582"/>
        <v/>
      </c>
      <c r="X1327" s="104" t="str">
        <f t="shared" si="587"/>
        <v/>
      </c>
      <c r="Y1327" s="104" t="str">
        <f t="array" ref="Y1327">IFERROR(IF(ISNUMBER(O1327),IF(COUNT(IF(A1327=$A$2:$A$2427,IF(D1327=$D$2:$D$2427,IF($X$2:$X$2427&gt;0,1))))&gt;0,SUM(IF(A1327=$A$2:$A$2427,IF(D1327=$D$2:$D$2427,$X$2:$X$2427)))/COUNT(IF(A1327=$A$2:$A$2427,IF(D1327=$D$2:$D$2427,IF(ISNUMBER($X$2:$X$2427),1)))),0),""),0)</f>
        <v/>
      </c>
      <c r="Z1327" s="104" t="str">
        <f>IF(ISNUMBER(O1327),IF(I1327&gt;0,(10^(VLOOKUP(D1327,'Species Codes'!B:C,2,0)+VLOOKUP(D1327,'Species Codes'!B:D,3,0)*LOG(E1327)+VLOOKUP(D1327,'Species Codes'!B:E,4,0)*LOG(I1327))),0),"")</f>
        <v/>
      </c>
      <c r="AA1327" s="104" t="str">
        <f>IFERROR((VLOOKUP(D1327,'Species Codes'!B:G,6,0)*Z1327)/2000,"")</f>
        <v/>
      </c>
      <c r="AB1327" s="104" t="e">
        <f>IF(Z1327&gt;0,((IF(OR(D1327="DF",D1327="RA")=TRUE,EXP(VLOOKUP(D1327,'Species Codes'!B:I,8,0)+VLOOKUP(D1327,'Species Codes'!B:J,9,0)*(LN((E1327*2.54)))),IF(OR(D1327="PY",D1327="RC",D1327="WH",D1327="NF")=TRUE,VLOOKUP(D1327,'Species Codes'!B:I,8,0)+VLOOKUP(D1327,'Species Codes'!B:J,9,0)*((E1327*2.54)^2)*(I1327*0.3048),IF(OR(D1327="MD",D1327="BM",D1327="GA")=TRUE,((VLOOKUP(D1327,'Species Codes'!B:I,8,0)*(((((E1327*2.54)+VLOOKUP(D1327,'Species Codes'!B:J,9,0))/VLOOKUP(D1327,'Species Codes'!B:K,10,0))^VLOOKUP(D1327,'Species Codes'!B:L,11,0))*((I1327*0.3048)^VLOOKUP(D1327,'Species Codes'!B:M,12,0))))-(VLOOKUP(D1327,'Species Codes'!B:I,8,0)*((((E1327*2.54)^VLOOKUP(D1327,'Species Codes'!B:L,11,0))*((I1327*0.3048)^VLOOKUP(D1327,'Species Codes'!B:M,12,0))))))*35.3*VLOOKUP(D1327,'Species Codes'!B:G,6,0)/2.2046,VLOOKUP(D1327,'Species Codes'!B:I,8,0)+VLOOKUP(D1327,'Species Codes'!B:J,9,0)*(((E1327*2.54)/100)^2)*(I1327*0.3048)))))*0.0011023),0)</f>
        <v>#N/A</v>
      </c>
      <c r="AC1327" s="104" t="e">
        <f>IF(Z1327&gt;0,((IF(OR(D1327="RA",D1327="OA",D1327="OT",D1327="UN",D1327="PC"),EXP(VLOOKUP(D1327,'Species Codes'!B:O,14,0)+VLOOKUP(D1327,'Species Codes'!B:P,15,0)*LN((E1327*2.54)))-EXP(VLOOKUP(D1327,'Species Codes'!B:O,14,0)+VLOOKUP(D1327,'Species Codes'!B:P,15,0)*LN((E1327*2.54)))*(1/(VLOOKUP(D1327,'Species Codes'!B:Q,16,0)+VLOOKUP(D1327,'Species Codes'!B:R,17,0)*((E1327*2.54)^VLOOKUP(D1327,'Species Codes'!B:S,18,0)))),IF(OR(D1327="BM",D1327="MD",D1327="OA"),EXP(VLOOKUP(D1327,'Species Codes'!B:O,14,0)+VLOOKUP(D1327,'Species Codes'!B:P,15,0)*LN((E1327*2.54)))*(1-(1/(VLOOKUP(D1327,'Species Codes'!B:Q,16,0)+VLOOKUP(D1327,'Species Codes'!B:R,17,0)*((E1327*2.54)^VLOOKUP(D1327,'Species Codes'!B:S,18,0)))))/1000,IF(D1327="DF",EXP(VLOOKUP(D1327,'Species Codes'!B:O,14,0)+VLOOKUP(D1327,'Species Codes'!B:P,15,0)*LN((E1327*2.54))),VLOOKUP(D1327,'Species Codes'!B:O,14,0)+VLOOKUP(D1327,'Species Codes'!B:P,15,0)*(((E1327*2.54)/100)^2)*(I1327*0.3048)))))*0.0011023),0)</f>
        <v>#N/A</v>
      </c>
      <c r="AD1327" s="104" t="e">
        <f t="shared" si="598"/>
        <v>#N/A</v>
      </c>
      <c r="AE1327" s="104" t="e">
        <f t="shared" si="599"/>
        <v>#N/A</v>
      </c>
      <c r="AF1327" s="104" t="e">
        <f>IF(AND(VLOOKUP($D1327,Merchantability!$B:$C,2,0)="Yes",$E1327&gt;=VLOOKUP($D1327,Merchantability!$B:$D,3,0),$E1327&lt;=VLOOKUP($D1327,Merchantability!$B:$E,4,0)),AA1327,0)</f>
        <v>#N/A</v>
      </c>
      <c r="AG1327" s="104" t="e">
        <f>IF(AND(VLOOKUP($D1327,Merchantability!$B:$C,2,0)="Yes",$E1327&gt;=VLOOKUP($D1327,Merchantability!$B:$D,3,0),$E1327&lt;=VLOOKUP($D1327,Merchantability!$B:$E,4,0)),AB1327,0)</f>
        <v>#N/A</v>
      </c>
      <c r="AH1327" s="104" t="e">
        <f>IF(AND(VLOOKUP($D1327,Merchantability!$B:$C,2,0)="Yes",$E1327&gt;=VLOOKUP($D1327,Merchantability!$B:$D,3,0),$E1327&lt;=VLOOKUP($D1327,Merchantability!$B:$E,4,0)),AC1327,0)</f>
        <v>#N/A</v>
      </c>
      <c r="AI1327" s="104" t="e">
        <f t="shared" si="600"/>
        <v>#N/A</v>
      </c>
      <c r="AJ1327" s="104" t="e">
        <f t="shared" si="601"/>
        <v>#VALUE!</v>
      </c>
      <c r="AK1327" s="104" t="e">
        <f t="shared" si="602"/>
        <v>#N/A</v>
      </c>
      <c r="AL1327" s="104" t="e">
        <f t="shared" si="603"/>
        <v>#N/A</v>
      </c>
      <c r="AM1327" s="104" t="e">
        <f t="shared" si="604"/>
        <v>#N/A</v>
      </c>
      <c r="AN1327" s="104" t="e">
        <f t="shared" si="588"/>
        <v>#N/A</v>
      </c>
      <c r="AO1327" s="104" t="e">
        <f t="shared" si="589"/>
        <v>#N/A</v>
      </c>
      <c r="AP1327" s="104" t="e">
        <f t="shared" si="590"/>
        <v>#N/A</v>
      </c>
      <c r="AQ1327" s="104" t="e">
        <f t="shared" si="591"/>
        <v>#N/A</v>
      </c>
      <c r="AR1327" s="105" t="str">
        <f t="shared" si="583"/>
        <v/>
      </c>
      <c r="AS1327" s="105" t="str">
        <f t="shared" si="584"/>
        <v/>
      </c>
      <c r="AT1327" s="108" t="str">
        <f t="shared" si="585"/>
        <v/>
      </c>
      <c r="AU1327" s="108" t="str">
        <f t="shared" si="586"/>
        <v/>
      </c>
      <c r="AV1327" s="107" t="str">
        <f>IF(ISNUMBER(O1327),IF(VLOOKUP($A1327,Stand!C:J,8,FALSE)="Short",AT1327,AU1327),"")</f>
        <v/>
      </c>
      <c r="AW1327" s="109" t="str">
        <f t="shared" si="592"/>
        <v/>
      </c>
      <c r="AX1327" s="109" t="str">
        <f t="shared" si="593"/>
        <v/>
      </c>
      <c r="AY1327" s="112" t="str">
        <f>IF(ISNUMBER(O1327),IF(AND(VLOOKUP($D1327,Merchantability!$B:$C,2,0)="Yes",$E1327&gt;=VLOOKUP($D1327,Merchantability!$B:$D,3,0),$E1327&lt;=VLOOKUP($D1327,Merchantability!$B:$E,4,0)),(AV1327*O1327)*(1-$H1327/100),""),"")</f>
        <v/>
      </c>
      <c r="AZ1327" s="116"/>
      <c r="BA1327" s="116"/>
      <c r="BB1327" s="116"/>
      <c r="BE1327" s="62"/>
      <c r="BF1327" s="63"/>
    </row>
    <row r="1328" spans="1:58" ht="12.75" customHeight="1" x14ac:dyDescent="0.25">
      <c r="A1328" s="333"/>
      <c r="B1328" s="334"/>
      <c r="C1328" s="332"/>
      <c r="D1328" s="334"/>
      <c r="E1328" s="335"/>
      <c r="F1328" s="334"/>
      <c r="G1328" s="332"/>
      <c r="H1328" s="332"/>
      <c r="I1328" s="334"/>
      <c r="J1328" s="336"/>
      <c r="K1328" s="332"/>
      <c r="L1328" s="332"/>
      <c r="M1328" s="76"/>
      <c r="N1328" s="103" t="str">
        <f>IF(A1328="","",VLOOKUP(A1328,Stand!C:K,9,0))</f>
        <v/>
      </c>
      <c r="O1328" s="104" t="str">
        <f t="shared" si="578"/>
        <v/>
      </c>
      <c r="P1328" s="105" t="str">
        <f t="shared" si="579"/>
        <v/>
      </c>
      <c r="Q1328" s="105" t="str">
        <f t="shared" si="594"/>
        <v/>
      </c>
      <c r="R1328" s="103" t="str">
        <f t="shared" si="580"/>
        <v/>
      </c>
      <c r="S1328" s="103" t="str">
        <f t="shared" si="581"/>
        <v/>
      </c>
      <c r="T1328" s="106" t="str">
        <f t="shared" si="595"/>
        <v/>
      </c>
      <c r="U1328" s="106" t="str">
        <f t="shared" si="596"/>
        <v/>
      </c>
      <c r="V1328" s="106" t="str">
        <f t="shared" si="597"/>
        <v/>
      </c>
      <c r="W1328" s="105" t="str">
        <f t="shared" si="582"/>
        <v/>
      </c>
      <c r="X1328" s="104" t="str">
        <f t="shared" si="587"/>
        <v/>
      </c>
      <c r="Y1328" s="104" t="str">
        <f t="array" ref="Y1328">IFERROR(IF(ISNUMBER(O1328),IF(COUNT(IF(A1328=$A$2:$A$2427,IF(D1328=$D$2:$D$2427,IF($X$2:$X$2427&gt;0,1))))&gt;0,SUM(IF(A1328=$A$2:$A$2427,IF(D1328=$D$2:$D$2427,$X$2:$X$2427)))/COUNT(IF(A1328=$A$2:$A$2427,IF(D1328=$D$2:$D$2427,IF(ISNUMBER($X$2:$X$2427),1)))),0),""),0)</f>
        <v/>
      </c>
      <c r="Z1328" s="104" t="str">
        <f>IF(ISNUMBER(O1328),IF(I1328&gt;0,(10^(VLOOKUP(D1328,'Species Codes'!B:C,2,0)+VLOOKUP(D1328,'Species Codes'!B:D,3,0)*LOG(E1328)+VLOOKUP(D1328,'Species Codes'!B:E,4,0)*LOG(I1328))),0),"")</f>
        <v/>
      </c>
      <c r="AA1328" s="104" t="str">
        <f>IFERROR((VLOOKUP(D1328,'Species Codes'!B:G,6,0)*Z1328)/2000,"")</f>
        <v/>
      </c>
      <c r="AB1328" s="104" t="e">
        <f>IF(Z1328&gt;0,((IF(OR(D1328="DF",D1328="RA")=TRUE,EXP(VLOOKUP(D1328,'Species Codes'!B:I,8,0)+VLOOKUP(D1328,'Species Codes'!B:J,9,0)*(LN((E1328*2.54)))),IF(OR(D1328="PY",D1328="RC",D1328="WH",D1328="NF")=TRUE,VLOOKUP(D1328,'Species Codes'!B:I,8,0)+VLOOKUP(D1328,'Species Codes'!B:J,9,0)*((E1328*2.54)^2)*(I1328*0.3048),IF(OR(D1328="MD",D1328="BM",D1328="GA")=TRUE,((VLOOKUP(D1328,'Species Codes'!B:I,8,0)*(((((E1328*2.54)+VLOOKUP(D1328,'Species Codes'!B:J,9,0))/VLOOKUP(D1328,'Species Codes'!B:K,10,0))^VLOOKUP(D1328,'Species Codes'!B:L,11,0))*((I1328*0.3048)^VLOOKUP(D1328,'Species Codes'!B:M,12,0))))-(VLOOKUP(D1328,'Species Codes'!B:I,8,0)*((((E1328*2.54)^VLOOKUP(D1328,'Species Codes'!B:L,11,0))*((I1328*0.3048)^VLOOKUP(D1328,'Species Codes'!B:M,12,0))))))*35.3*VLOOKUP(D1328,'Species Codes'!B:G,6,0)/2.2046,VLOOKUP(D1328,'Species Codes'!B:I,8,0)+VLOOKUP(D1328,'Species Codes'!B:J,9,0)*(((E1328*2.54)/100)^2)*(I1328*0.3048)))))*0.0011023),0)</f>
        <v>#N/A</v>
      </c>
      <c r="AC1328" s="104" t="e">
        <f>IF(Z1328&gt;0,((IF(OR(D1328="RA",D1328="OA",D1328="OT",D1328="UN",D1328="PC"),EXP(VLOOKUP(D1328,'Species Codes'!B:O,14,0)+VLOOKUP(D1328,'Species Codes'!B:P,15,0)*LN((E1328*2.54)))-EXP(VLOOKUP(D1328,'Species Codes'!B:O,14,0)+VLOOKUP(D1328,'Species Codes'!B:P,15,0)*LN((E1328*2.54)))*(1/(VLOOKUP(D1328,'Species Codes'!B:Q,16,0)+VLOOKUP(D1328,'Species Codes'!B:R,17,0)*((E1328*2.54)^VLOOKUP(D1328,'Species Codes'!B:S,18,0)))),IF(OR(D1328="BM",D1328="MD",D1328="OA"),EXP(VLOOKUP(D1328,'Species Codes'!B:O,14,0)+VLOOKUP(D1328,'Species Codes'!B:P,15,0)*LN((E1328*2.54)))*(1-(1/(VLOOKUP(D1328,'Species Codes'!B:Q,16,0)+VLOOKUP(D1328,'Species Codes'!B:R,17,0)*((E1328*2.54)^VLOOKUP(D1328,'Species Codes'!B:S,18,0)))))/1000,IF(D1328="DF",EXP(VLOOKUP(D1328,'Species Codes'!B:O,14,0)+VLOOKUP(D1328,'Species Codes'!B:P,15,0)*LN((E1328*2.54))),VLOOKUP(D1328,'Species Codes'!B:O,14,0)+VLOOKUP(D1328,'Species Codes'!B:P,15,0)*(((E1328*2.54)/100)^2)*(I1328*0.3048)))))*0.0011023),0)</f>
        <v>#N/A</v>
      </c>
      <c r="AD1328" s="104" t="e">
        <f t="shared" si="598"/>
        <v>#N/A</v>
      </c>
      <c r="AE1328" s="104" t="e">
        <f t="shared" si="599"/>
        <v>#N/A</v>
      </c>
      <c r="AF1328" s="104" t="e">
        <f>IF(AND(VLOOKUP($D1328,Merchantability!$B:$C,2,0)="Yes",$E1328&gt;=VLOOKUP($D1328,Merchantability!$B:$D,3,0),$E1328&lt;=VLOOKUP($D1328,Merchantability!$B:$E,4,0)),AA1328,0)</f>
        <v>#N/A</v>
      </c>
      <c r="AG1328" s="104" t="e">
        <f>IF(AND(VLOOKUP($D1328,Merchantability!$B:$C,2,0)="Yes",$E1328&gt;=VLOOKUP($D1328,Merchantability!$B:$D,3,0),$E1328&lt;=VLOOKUP($D1328,Merchantability!$B:$E,4,0)),AB1328,0)</f>
        <v>#N/A</v>
      </c>
      <c r="AH1328" s="104" t="e">
        <f>IF(AND(VLOOKUP($D1328,Merchantability!$B:$C,2,0)="Yes",$E1328&gt;=VLOOKUP($D1328,Merchantability!$B:$D,3,0),$E1328&lt;=VLOOKUP($D1328,Merchantability!$B:$E,4,0)),AC1328,0)</f>
        <v>#N/A</v>
      </c>
      <c r="AI1328" s="104" t="e">
        <f t="shared" si="600"/>
        <v>#N/A</v>
      </c>
      <c r="AJ1328" s="104" t="e">
        <f t="shared" si="601"/>
        <v>#VALUE!</v>
      </c>
      <c r="AK1328" s="104" t="e">
        <f t="shared" si="602"/>
        <v>#N/A</v>
      </c>
      <c r="AL1328" s="104" t="e">
        <f t="shared" si="603"/>
        <v>#N/A</v>
      </c>
      <c r="AM1328" s="104" t="e">
        <f t="shared" si="604"/>
        <v>#N/A</v>
      </c>
      <c r="AN1328" s="104" t="e">
        <f t="shared" si="588"/>
        <v>#N/A</v>
      </c>
      <c r="AO1328" s="104" t="e">
        <f t="shared" si="589"/>
        <v>#N/A</v>
      </c>
      <c r="AP1328" s="104" t="e">
        <f t="shared" si="590"/>
        <v>#N/A</v>
      </c>
      <c r="AQ1328" s="104" t="e">
        <f t="shared" si="591"/>
        <v>#N/A</v>
      </c>
      <c r="AR1328" s="105" t="str">
        <f t="shared" si="583"/>
        <v/>
      </c>
      <c r="AS1328" s="105" t="str">
        <f t="shared" si="584"/>
        <v/>
      </c>
      <c r="AT1328" s="108" t="str">
        <f t="shared" si="585"/>
        <v/>
      </c>
      <c r="AU1328" s="108" t="str">
        <f t="shared" si="586"/>
        <v/>
      </c>
      <c r="AV1328" s="107" t="str">
        <f>IF(ISNUMBER(O1328),IF(VLOOKUP($A1328,Stand!C:J,8,FALSE)="Short",AT1328,AU1328),"")</f>
        <v/>
      </c>
      <c r="AW1328" s="109" t="str">
        <f t="shared" si="592"/>
        <v/>
      </c>
      <c r="AX1328" s="109" t="str">
        <f t="shared" si="593"/>
        <v/>
      </c>
      <c r="AY1328" s="112" t="str">
        <f>IF(ISNUMBER(O1328),IF(AND(VLOOKUP($D1328,Merchantability!$B:$C,2,0)="Yes",$E1328&gt;=VLOOKUP($D1328,Merchantability!$B:$D,3,0),$E1328&lt;=VLOOKUP($D1328,Merchantability!$B:$E,4,0)),(AV1328*O1328)*(1-$H1328/100),""),"")</f>
        <v/>
      </c>
      <c r="AZ1328" s="116"/>
      <c r="BA1328" s="116"/>
      <c r="BB1328" s="116"/>
      <c r="BE1328" s="62"/>
      <c r="BF1328" s="63"/>
    </row>
    <row r="1329" spans="1:58" ht="12.75" customHeight="1" x14ac:dyDescent="0.25">
      <c r="A1329" s="333"/>
      <c r="B1329" s="334"/>
      <c r="C1329" s="332"/>
      <c r="D1329" s="334"/>
      <c r="E1329" s="335"/>
      <c r="F1329" s="334"/>
      <c r="G1329" s="332"/>
      <c r="H1329" s="332"/>
      <c r="I1329" s="334"/>
      <c r="J1329" s="336"/>
      <c r="K1329" s="332"/>
      <c r="L1329" s="332"/>
      <c r="M1329" s="76"/>
      <c r="N1329" s="103" t="str">
        <f>IF(A1329="","",VLOOKUP(A1329,Stand!C:K,9,0))</f>
        <v/>
      </c>
      <c r="O1329" s="104" t="str">
        <f t="shared" si="578"/>
        <v/>
      </c>
      <c r="P1329" s="105" t="str">
        <f t="shared" si="579"/>
        <v/>
      </c>
      <c r="Q1329" s="105" t="str">
        <f t="shared" si="594"/>
        <v/>
      </c>
      <c r="R1329" s="103" t="str">
        <f t="shared" si="580"/>
        <v/>
      </c>
      <c r="S1329" s="103" t="str">
        <f t="shared" si="581"/>
        <v/>
      </c>
      <c r="T1329" s="106" t="str">
        <f t="shared" si="595"/>
        <v/>
      </c>
      <c r="U1329" s="106" t="str">
        <f t="shared" si="596"/>
        <v/>
      </c>
      <c r="V1329" s="106" t="str">
        <f t="shared" si="597"/>
        <v/>
      </c>
      <c r="W1329" s="105" t="str">
        <f t="shared" si="582"/>
        <v/>
      </c>
      <c r="X1329" s="104" t="str">
        <f t="shared" si="587"/>
        <v/>
      </c>
      <c r="Y1329" s="104" t="str">
        <f t="array" ref="Y1329">IFERROR(IF(ISNUMBER(O1329),IF(COUNT(IF(A1329=$A$2:$A$2427,IF(D1329=$D$2:$D$2427,IF($X$2:$X$2427&gt;0,1))))&gt;0,SUM(IF(A1329=$A$2:$A$2427,IF(D1329=$D$2:$D$2427,$X$2:$X$2427)))/COUNT(IF(A1329=$A$2:$A$2427,IF(D1329=$D$2:$D$2427,IF(ISNUMBER($X$2:$X$2427),1)))),0),""),0)</f>
        <v/>
      </c>
      <c r="Z1329" s="104" t="str">
        <f>IF(ISNUMBER(O1329),IF(I1329&gt;0,(10^(VLOOKUP(D1329,'Species Codes'!B:C,2,0)+VLOOKUP(D1329,'Species Codes'!B:D,3,0)*LOG(E1329)+VLOOKUP(D1329,'Species Codes'!B:E,4,0)*LOG(I1329))),0),"")</f>
        <v/>
      </c>
      <c r="AA1329" s="104" t="str">
        <f>IFERROR((VLOOKUP(D1329,'Species Codes'!B:G,6,0)*Z1329)/2000,"")</f>
        <v/>
      </c>
      <c r="AB1329" s="104" t="e">
        <f>IF(Z1329&gt;0,((IF(OR(D1329="DF",D1329="RA")=TRUE,EXP(VLOOKUP(D1329,'Species Codes'!B:I,8,0)+VLOOKUP(D1329,'Species Codes'!B:J,9,0)*(LN((E1329*2.54)))),IF(OR(D1329="PY",D1329="RC",D1329="WH",D1329="NF")=TRUE,VLOOKUP(D1329,'Species Codes'!B:I,8,0)+VLOOKUP(D1329,'Species Codes'!B:J,9,0)*((E1329*2.54)^2)*(I1329*0.3048),IF(OR(D1329="MD",D1329="BM",D1329="GA")=TRUE,((VLOOKUP(D1329,'Species Codes'!B:I,8,0)*(((((E1329*2.54)+VLOOKUP(D1329,'Species Codes'!B:J,9,0))/VLOOKUP(D1329,'Species Codes'!B:K,10,0))^VLOOKUP(D1329,'Species Codes'!B:L,11,0))*((I1329*0.3048)^VLOOKUP(D1329,'Species Codes'!B:M,12,0))))-(VLOOKUP(D1329,'Species Codes'!B:I,8,0)*((((E1329*2.54)^VLOOKUP(D1329,'Species Codes'!B:L,11,0))*((I1329*0.3048)^VLOOKUP(D1329,'Species Codes'!B:M,12,0))))))*35.3*VLOOKUP(D1329,'Species Codes'!B:G,6,0)/2.2046,VLOOKUP(D1329,'Species Codes'!B:I,8,0)+VLOOKUP(D1329,'Species Codes'!B:J,9,0)*(((E1329*2.54)/100)^2)*(I1329*0.3048)))))*0.0011023),0)</f>
        <v>#N/A</v>
      </c>
      <c r="AC1329" s="104" t="e">
        <f>IF(Z1329&gt;0,((IF(OR(D1329="RA",D1329="OA",D1329="OT",D1329="UN",D1329="PC"),EXP(VLOOKUP(D1329,'Species Codes'!B:O,14,0)+VLOOKUP(D1329,'Species Codes'!B:P,15,0)*LN((E1329*2.54)))-EXP(VLOOKUP(D1329,'Species Codes'!B:O,14,0)+VLOOKUP(D1329,'Species Codes'!B:P,15,0)*LN((E1329*2.54)))*(1/(VLOOKUP(D1329,'Species Codes'!B:Q,16,0)+VLOOKUP(D1329,'Species Codes'!B:R,17,0)*((E1329*2.54)^VLOOKUP(D1329,'Species Codes'!B:S,18,0)))),IF(OR(D1329="BM",D1329="MD",D1329="OA"),EXP(VLOOKUP(D1329,'Species Codes'!B:O,14,0)+VLOOKUP(D1329,'Species Codes'!B:P,15,0)*LN((E1329*2.54)))*(1-(1/(VLOOKUP(D1329,'Species Codes'!B:Q,16,0)+VLOOKUP(D1329,'Species Codes'!B:R,17,0)*((E1329*2.54)^VLOOKUP(D1329,'Species Codes'!B:S,18,0)))))/1000,IF(D1329="DF",EXP(VLOOKUP(D1329,'Species Codes'!B:O,14,0)+VLOOKUP(D1329,'Species Codes'!B:P,15,0)*LN((E1329*2.54))),VLOOKUP(D1329,'Species Codes'!B:O,14,0)+VLOOKUP(D1329,'Species Codes'!B:P,15,0)*(((E1329*2.54)/100)^2)*(I1329*0.3048)))))*0.0011023),0)</f>
        <v>#N/A</v>
      </c>
      <c r="AD1329" s="104" t="e">
        <f t="shared" si="598"/>
        <v>#N/A</v>
      </c>
      <c r="AE1329" s="104" t="e">
        <f t="shared" si="599"/>
        <v>#N/A</v>
      </c>
      <c r="AF1329" s="104" t="e">
        <f>IF(AND(VLOOKUP($D1329,Merchantability!$B:$C,2,0)="Yes",$E1329&gt;=VLOOKUP($D1329,Merchantability!$B:$D,3,0),$E1329&lt;=VLOOKUP($D1329,Merchantability!$B:$E,4,0)),AA1329,0)</f>
        <v>#N/A</v>
      </c>
      <c r="AG1329" s="104" t="e">
        <f>IF(AND(VLOOKUP($D1329,Merchantability!$B:$C,2,0)="Yes",$E1329&gt;=VLOOKUP($D1329,Merchantability!$B:$D,3,0),$E1329&lt;=VLOOKUP($D1329,Merchantability!$B:$E,4,0)),AB1329,0)</f>
        <v>#N/A</v>
      </c>
      <c r="AH1329" s="104" t="e">
        <f>IF(AND(VLOOKUP($D1329,Merchantability!$B:$C,2,0)="Yes",$E1329&gt;=VLOOKUP($D1329,Merchantability!$B:$D,3,0),$E1329&lt;=VLOOKUP($D1329,Merchantability!$B:$E,4,0)),AC1329,0)</f>
        <v>#N/A</v>
      </c>
      <c r="AI1329" s="104" t="e">
        <f t="shared" si="600"/>
        <v>#N/A</v>
      </c>
      <c r="AJ1329" s="104" t="e">
        <f t="shared" si="601"/>
        <v>#VALUE!</v>
      </c>
      <c r="AK1329" s="104" t="e">
        <f t="shared" si="602"/>
        <v>#N/A</v>
      </c>
      <c r="AL1329" s="104" t="e">
        <f t="shared" si="603"/>
        <v>#N/A</v>
      </c>
      <c r="AM1329" s="104" t="e">
        <f t="shared" si="604"/>
        <v>#N/A</v>
      </c>
      <c r="AN1329" s="104" t="e">
        <f t="shared" si="588"/>
        <v>#N/A</v>
      </c>
      <c r="AO1329" s="104" t="e">
        <f t="shared" si="589"/>
        <v>#N/A</v>
      </c>
      <c r="AP1329" s="104" t="e">
        <f t="shared" si="590"/>
        <v>#N/A</v>
      </c>
      <c r="AQ1329" s="104" t="e">
        <f t="shared" si="591"/>
        <v>#N/A</v>
      </c>
      <c r="AR1329" s="105" t="str">
        <f t="shared" si="583"/>
        <v/>
      </c>
      <c r="AS1329" s="105" t="str">
        <f t="shared" si="584"/>
        <v/>
      </c>
      <c r="AT1329" s="108" t="str">
        <f t="shared" si="585"/>
        <v/>
      </c>
      <c r="AU1329" s="108" t="str">
        <f t="shared" si="586"/>
        <v/>
      </c>
      <c r="AV1329" s="107" t="str">
        <f>IF(ISNUMBER(O1329),IF(VLOOKUP($A1329,Stand!C:J,8,FALSE)="Short",AT1329,AU1329),"")</f>
        <v/>
      </c>
      <c r="AW1329" s="109" t="str">
        <f t="shared" si="592"/>
        <v/>
      </c>
      <c r="AX1329" s="109" t="str">
        <f t="shared" si="593"/>
        <v/>
      </c>
      <c r="AY1329" s="112" t="str">
        <f>IF(ISNUMBER(O1329),IF(AND(VLOOKUP($D1329,Merchantability!$B:$C,2,0)="Yes",$E1329&gt;=VLOOKUP($D1329,Merchantability!$B:$D,3,0),$E1329&lt;=VLOOKUP($D1329,Merchantability!$B:$E,4,0)),(AV1329*O1329)*(1-$H1329/100),""),"")</f>
        <v/>
      </c>
      <c r="AZ1329" s="116"/>
      <c r="BA1329" s="116"/>
      <c r="BB1329" s="116"/>
      <c r="BE1329" s="62"/>
      <c r="BF1329" s="63"/>
    </row>
    <row r="1330" spans="1:58" ht="12.75" customHeight="1" x14ac:dyDescent="0.25">
      <c r="A1330" s="333"/>
      <c r="B1330" s="334"/>
      <c r="C1330" s="332"/>
      <c r="D1330" s="334"/>
      <c r="E1330" s="335"/>
      <c r="F1330" s="334"/>
      <c r="G1330" s="332"/>
      <c r="H1330" s="332"/>
      <c r="I1330" s="334"/>
      <c r="J1330" s="336"/>
      <c r="K1330" s="332"/>
      <c r="L1330" s="332"/>
      <c r="M1330" s="76"/>
      <c r="N1330" s="103" t="str">
        <f>IF(A1330="","",VLOOKUP(A1330,Stand!C:K,9,0))</f>
        <v/>
      </c>
      <c r="O1330" s="104" t="str">
        <f t="shared" si="578"/>
        <v/>
      </c>
      <c r="P1330" s="105" t="str">
        <f t="shared" si="579"/>
        <v/>
      </c>
      <c r="Q1330" s="105" t="str">
        <f t="shared" si="594"/>
        <v/>
      </c>
      <c r="R1330" s="103" t="str">
        <f t="shared" si="580"/>
        <v/>
      </c>
      <c r="S1330" s="103" t="str">
        <f t="shared" si="581"/>
        <v/>
      </c>
      <c r="T1330" s="106" t="str">
        <f t="shared" si="595"/>
        <v/>
      </c>
      <c r="U1330" s="106" t="str">
        <f t="shared" si="596"/>
        <v/>
      </c>
      <c r="V1330" s="106" t="str">
        <f t="shared" si="597"/>
        <v/>
      </c>
      <c r="W1330" s="105" t="str">
        <f t="shared" si="582"/>
        <v/>
      </c>
      <c r="X1330" s="104" t="str">
        <f t="shared" si="587"/>
        <v/>
      </c>
      <c r="Y1330" s="104" t="str">
        <f t="array" ref="Y1330">IFERROR(IF(ISNUMBER(O1330),IF(COUNT(IF(A1330=$A$2:$A$2427,IF(D1330=$D$2:$D$2427,IF($X$2:$X$2427&gt;0,1))))&gt;0,SUM(IF(A1330=$A$2:$A$2427,IF(D1330=$D$2:$D$2427,$X$2:$X$2427)))/COUNT(IF(A1330=$A$2:$A$2427,IF(D1330=$D$2:$D$2427,IF(ISNUMBER($X$2:$X$2427),1)))),0),""),0)</f>
        <v/>
      </c>
      <c r="Z1330" s="104" t="str">
        <f>IF(ISNUMBER(O1330),IF(I1330&gt;0,(10^(VLOOKUP(D1330,'Species Codes'!B:C,2,0)+VLOOKUP(D1330,'Species Codes'!B:D,3,0)*LOG(E1330)+VLOOKUP(D1330,'Species Codes'!B:E,4,0)*LOG(I1330))),0),"")</f>
        <v/>
      </c>
      <c r="AA1330" s="104" t="str">
        <f>IFERROR((VLOOKUP(D1330,'Species Codes'!B:G,6,0)*Z1330)/2000,"")</f>
        <v/>
      </c>
      <c r="AB1330" s="104" t="e">
        <f>IF(Z1330&gt;0,((IF(OR(D1330="DF",D1330="RA")=TRUE,EXP(VLOOKUP(D1330,'Species Codes'!B:I,8,0)+VLOOKUP(D1330,'Species Codes'!B:J,9,0)*(LN((E1330*2.54)))),IF(OR(D1330="PY",D1330="RC",D1330="WH",D1330="NF")=TRUE,VLOOKUP(D1330,'Species Codes'!B:I,8,0)+VLOOKUP(D1330,'Species Codes'!B:J,9,0)*((E1330*2.54)^2)*(I1330*0.3048),IF(OR(D1330="MD",D1330="BM",D1330="GA")=TRUE,((VLOOKUP(D1330,'Species Codes'!B:I,8,0)*(((((E1330*2.54)+VLOOKUP(D1330,'Species Codes'!B:J,9,0))/VLOOKUP(D1330,'Species Codes'!B:K,10,0))^VLOOKUP(D1330,'Species Codes'!B:L,11,0))*((I1330*0.3048)^VLOOKUP(D1330,'Species Codes'!B:M,12,0))))-(VLOOKUP(D1330,'Species Codes'!B:I,8,0)*((((E1330*2.54)^VLOOKUP(D1330,'Species Codes'!B:L,11,0))*((I1330*0.3048)^VLOOKUP(D1330,'Species Codes'!B:M,12,0))))))*35.3*VLOOKUP(D1330,'Species Codes'!B:G,6,0)/2.2046,VLOOKUP(D1330,'Species Codes'!B:I,8,0)+VLOOKUP(D1330,'Species Codes'!B:J,9,0)*(((E1330*2.54)/100)^2)*(I1330*0.3048)))))*0.0011023),0)</f>
        <v>#N/A</v>
      </c>
      <c r="AC1330" s="104" t="e">
        <f>IF(Z1330&gt;0,((IF(OR(D1330="RA",D1330="OA",D1330="OT",D1330="UN",D1330="PC"),EXP(VLOOKUP(D1330,'Species Codes'!B:O,14,0)+VLOOKUP(D1330,'Species Codes'!B:P,15,0)*LN((E1330*2.54)))-EXP(VLOOKUP(D1330,'Species Codes'!B:O,14,0)+VLOOKUP(D1330,'Species Codes'!B:P,15,0)*LN((E1330*2.54)))*(1/(VLOOKUP(D1330,'Species Codes'!B:Q,16,0)+VLOOKUP(D1330,'Species Codes'!B:R,17,0)*((E1330*2.54)^VLOOKUP(D1330,'Species Codes'!B:S,18,0)))),IF(OR(D1330="BM",D1330="MD",D1330="OA"),EXP(VLOOKUP(D1330,'Species Codes'!B:O,14,0)+VLOOKUP(D1330,'Species Codes'!B:P,15,0)*LN((E1330*2.54)))*(1-(1/(VLOOKUP(D1330,'Species Codes'!B:Q,16,0)+VLOOKUP(D1330,'Species Codes'!B:R,17,0)*((E1330*2.54)^VLOOKUP(D1330,'Species Codes'!B:S,18,0)))))/1000,IF(D1330="DF",EXP(VLOOKUP(D1330,'Species Codes'!B:O,14,0)+VLOOKUP(D1330,'Species Codes'!B:P,15,0)*LN((E1330*2.54))),VLOOKUP(D1330,'Species Codes'!B:O,14,0)+VLOOKUP(D1330,'Species Codes'!B:P,15,0)*(((E1330*2.54)/100)^2)*(I1330*0.3048)))))*0.0011023),0)</f>
        <v>#N/A</v>
      </c>
      <c r="AD1330" s="104" t="e">
        <f t="shared" si="598"/>
        <v>#N/A</v>
      </c>
      <c r="AE1330" s="104" t="e">
        <f t="shared" si="599"/>
        <v>#N/A</v>
      </c>
      <c r="AF1330" s="104" t="e">
        <f>IF(AND(VLOOKUP($D1330,Merchantability!$B:$C,2,0)="Yes",$E1330&gt;=VLOOKUP($D1330,Merchantability!$B:$D,3,0),$E1330&lt;=VLOOKUP($D1330,Merchantability!$B:$E,4,0)),AA1330,0)</f>
        <v>#N/A</v>
      </c>
      <c r="AG1330" s="104" t="e">
        <f>IF(AND(VLOOKUP($D1330,Merchantability!$B:$C,2,0)="Yes",$E1330&gt;=VLOOKUP($D1330,Merchantability!$B:$D,3,0),$E1330&lt;=VLOOKUP($D1330,Merchantability!$B:$E,4,0)),AB1330,0)</f>
        <v>#N/A</v>
      </c>
      <c r="AH1330" s="104" t="e">
        <f>IF(AND(VLOOKUP($D1330,Merchantability!$B:$C,2,0)="Yes",$E1330&gt;=VLOOKUP($D1330,Merchantability!$B:$D,3,0),$E1330&lt;=VLOOKUP($D1330,Merchantability!$B:$E,4,0)),AC1330,0)</f>
        <v>#N/A</v>
      </c>
      <c r="AI1330" s="104" t="e">
        <f t="shared" si="600"/>
        <v>#N/A</v>
      </c>
      <c r="AJ1330" s="104" t="e">
        <f t="shared" si="601"/>
        <v>#VALUE!</v>
      </c>
      <c r="AK1330" s="104" t="e">
        <f t="shared" si="602"/>
        <v>#N/A</v>
      </c>
      <c r="AL1330" s="104" t="e">
        <f t="shared" si="603"/>
        <v>#N/A</v>
      </c>
      <c r="AM1330" s="104" t="e">
        <f t="shared" si="604"/>
        <v>#N/A</v>
      </c>
      <c r="AN1330" s="104" t="e">
        <f t="shared" si="588"/>
        <v>#N/A</v>
      </c>
      <c r="AO1330" s="104" t="e">
        <f t="shared" si="589"/>
        <v>#N/A</v>
      </c>
      <c r="AP1330" s="104" t="e">
        <f t="shared" si="590"/>
        <v>#N/A</v>
      </c>
      <c r="AQ1330" s="104" t="e">
        <f t="shared" si="591"/>
        <v>#N/A</v>
      </c>
      <c r="AR1330" s="105" t="str">
        <f t="shared" si="583"/>
        <v/>
      </c>
      <c r="AS1330" s="105" t="str">
        <f t="shared" si="584"/>
        <v/>
      </c>
      <c r="AT1330" s="108" t="str">
        <f t="shared" si="585"/>
        <v/>
      </c>
      <c r="AU1330" s="108" t="str">
        <f t="shared" si="586"/>
        <v/>
      </c>
      <c r="AV1330" s="107" t="str">
        <f>IF(ISNUMBER(O1330),IF(VLOOKUP($A1330,Stand!C:J,8,FALSE)="Short",AT1330,AU1330),"")</f>
        <v/>
      </c>
      <c r="AW1330" s="109" t="str">
        <f t="shared" si="592"/>
        <v/>
      </c>
      <c r="AX1330" s="109" t="str">
        <f t="shared" si="593"/>
        <v/>
      </c>
      <c r="AY1330" s="112" t="str">
        <f>IF(ISNUMBER(O1330),IF(AND(VLOOKUP($D1330,Merchantability!$B:$C,2,0)="Yes",$E1330&gt;=VLOOKUP($D1330,Merchantability!$B:$D,3,0),$E1330&lt;=VLOOKUP($D1330,Merchantability!$B:$E,4,0)),(AV1330*O1330)*(1-$H1330/100),""),"")</f>
        <v/>
      </c>
      <c r="AZ1330" s="116"/>
      <c r="BA1330" s="116"/>
      <c r="BB1330" s="116"/>
      <c r="BE1330" s="62"/>
      <c r="BF1330" s="63"/>
    </row>
    <row r="1331" spans="1:58" ht="12.75" customHeight="1" x14ac:dyDescent="0.25">
      <c r="A1331" s="333"/>
      <c r="B1331" s="334"/>
      <c r="C1331" s="332"/>
      <c r="D1331" s="334"/>
      <c r="E1331" s="335"/>
      <c r="F1331" s="334"/>
      <c r="G1331" s="332"/>
      <c r="H1331" s="332"/>
      <c r="I1331" s="334"/>
      <c r="J1331" s="336"/>
      <c r="K1331" s="332"/>
      <c r="L1331" s="332"/>
      <c r="M1331" s="76"/>
      <c r="N1331" s="103" t="str">
        <f>IF(A1331="","",VLOOKUP(A1331,Stand!C:K,9,0))</f>
        <v/>
      </c>
      <c r="O1331" s="104" t="str">
        <f t="shared" si="578"/>
        <v/>
      </c>
      <c r="P1331" s="105" t="str">
        <f t="shared" si="579"/>
        <v/>
      </c>
      <c r="Q1331" s="105" t="str">
        <f t="shared" si="594"/>
        <v/>
      </c>
      <c r="R1331" s="103" t="str">
        <f t="shared" si="580"/>
        <v/>
      </c>
      <c r="S1331" s="103" t="str">
        <f t="shared" si="581"/>
        <v/>
      </c>
      <c r="T1331" s="106" t="str">
        <f t="shared" si="595"/>
        <v/>
      </c>
      <c r="U1331" s="106" t="str">
        <f t="shared" si="596"/>
        <v/>
      </c>
      <c r="V1331" s="106" t="str">
        <f t="shared" si="597"/>
        <v/>
      </c>
      <c r="W1331" s="105" t="str">
        <f t="shared" si="582"/>
        <v/>
      </c>
      <c r="X1331" s="104" t="str">
        <f t="shared" si="587"/>
        <v/>
      </c>
      <c r="Y1331" s="104" t="str">
        <f t="array" ref="Y1331">IFERROR(IF(ISNUMBER(O1331),IF(COUNT(IF(A1331=$A$2:$A$2427,IF(D1331=$D$2:$D$2427,IF($X$2:$X$2427&gt;0,1))))&gt;0,SUM(IF(A1331=$A$2:$A$2427,IF(D1331=$D$2:$D$2427,$X$2:$X$2427)))/COUNT(IF(A1331=$A$2:$A$2427,IF(D1331=$D$2:$D$2427,IF(ISNUMBER($X$2:$X$2427),1)))),0),""),0)</f>
        <v/>
      </c>
      <c r="Z1331" s="104" t="str">
        <f>IF(ISNUMBER(O1331),IF(I1331&gt;0,(10^(VLOOKUP(D1331,'Species Codes'!B:C,2,0)+VLOOKUP(D1331,'Species Codes'!B:D,3,0)*LOG(E1331)+VLOOKUP(D1331,'Species Codes'!B:E,4,0)*LOG(I1331))),0),"")</f>
        <v/>
      </c>
      <c r="AA1331" s="104" t="str">
        <f>IFERROR((VLOOKUP(D1331,'Species Codes'!B:G,6,0)*Z1331)/2000,"")</f>
        <v/>
      </c>
      <c r="AB1331" s="104" t="e">
        <f>IF(Z1331&gt;0,((IF(OR(D1331="DF",D1331="RA")=TRUE,EXP(VLOOKUP(D1331,'Species Codes'!B:I,8,0)+VLOOKUP(D1331,'Species Codes'!B:J,9,0)*(LN((E1331*2.54)))),IF(OR(D1331="PY",D1331="RC",D1331="WH",D1331="NF")=TRUE,VLOOKUP(D1331,'Species Codes'!B:I,8,0)+VLOOKUP(D1331,'Species Codes'!B:J,9,0)*((E1331*2.54)^2)*(I1331*0.3048),IF(OR(D1331="MD",D1331="BM",D1331="GA")=TRUE,((VLOOKUP(D1331,'Species Codes'!B:I,8,0)*(((((E1331*2.54)+VLOOKUP(D1331,'Species Codes'!B:J,9,0))/VLOOKUP(D1331,'Species Codes'!B:K,10,0))^VLOOKUP(D1331,'Species Codes'!B:L,11,0))*((I1331*0.3048)^VLOOKUP(D1331,'Species Codes'!B:M,12,0))))-(VLOOKUP(D1331,'Species Codes'!B:I,8,0)*((((E1331*2.54)^VLOOKUP(D1331,'Species Codes'!B:L,11,0))*((I1331*0.3048)^VLOOKUP(D1331,'Species Codes'!B:M,12,0))))))*35.3*VLOOKUP(D1331,'Species Codes'!B:G,6,0)/2.2046,VLOOKUP(D1331,'Species Codes'!B:I,8,0)+VLOOKUP(D1331,'Species Codes'!B:J,9,0)*(((E1331*2.54)/100)^2)*(I1331*0.3048)))))*0.0011023),0)</f>
        <v>#N/A</v>
      </c>
      <c r="AC1331" s="104" t="e">
        <f>IF(Z1331&gt;0,((IF(OR(D1331="RA",D1331="OA",D1331="OT",D1331="UN",D1331="PC"),EXP(VLOOKUP(D1331,'Species Codes'!B:O,14,0)+VLOOKUP(D1331,'Species Codes'!B:P,15,0)*LN((E1331*2.54)))-EXP(VLOOKUP(D1331,'Species Codes'!B:O,14,0)+VLOOKUP(D1331,'Species Codes'!B:P,15,0)*LN((E1331*2.54)))*(1/(VLOOKUP(D1331,'Species Codes'!B:Q,16,0)+VLOOKUP(D1331,'Species Codes'!B:R,17,0)*((E1331*2.54)^VLOOKUP(D1331,'Species Codes'!B:S,18,0)))),IF(OR(D1331="BM",D1331="MD",D1331="OA"),EXP(VLOOKUP(D1331,'Species Codes'!B:O,14,0)+VLOOKUP(D1331,'Species Codes'!B:P,15,0)*LN((E1331*2.54)))*(1-(1/(VLOOKUP(D1331,'Species Codes'!B:Q,16,0)+VLOOKUP(D1331,'Species Codes'!B:R,17,0)*((E1331*2.54)^VLOOKUP(D1331,'Species Codes'!B:S,18,0)))))/1000,IF(D1331="DF",EXP(VLOOKUP(D1331,'Species Codes'!B:O,14,0)+VLOOKUP(D1331,'Species Codes'!B:P,15,0)*LN((E1331*2.54))),VLOOKUP(D1331,'Species Codes'!B:O,14,0)+VLOOKUP(D1331,'Species Codes'!B:P,15,0)*(((E1331*2.54)/100)^2)*(I1331*0.3048)))))*0.0011023),0)</f>
        <v>#N/A</v>
      </c>
      <c r="AD1331" s="104" t="e">
        <f t="shared" si="598"/>
        <v>#N/A</v>
      </c>
      <c r="AE1331" s="104" t="e">
        <f t="shared" si="599"/>
        <v>#N/A</v>
      </c>
      <c r="AF1331" s="104" t="e">
        <f>IF(AND(VLOOKUP($D1331,Merchantability!$B:$C,2,0)="Yes",$E1331&gt;=VLOOKUP($D1331,Merchantability!$B:$D,3,0),$E1331&lt;=VLOOKUP($D1331,Merchantability!$B:$E,4,0)),AA1331,0)</f>
        <v>#N/A</v>
      </c>
      <c r="AG1331" s="104" t="e">
        <f>IF(AND(VLOOKUP($D1331,Merchantability!$B:$C,2,0)="Yes",$E1331&gt;=VLOOKUP($D1331,Merchantability!$B:$D,3,0),$E1331&lt;=VLOOKUP($D1331,Merchantability!$B:$E,4,0)),AB1331,0)</f>
        <v>#N/A</v>
      </c>
      <c r="AH1331" s="104" t="e">
        <f>IF(AND(VLOOKUP($D1331,Merchantability!$B:$C,2,0)="Yes",$E1331&gt;=VLOOKUP($D1331,Merchantability!$B:$D,3,0),$E1331&lt;=VLOOKUP($D1331,Merchantability!$B:$E,4,0)),AC1331,0)</f>
        <v>#N/A</v>
      </c>
      <c r="AI1331" s="104" t="e">
        <f t="shared" si="600"/>
        <v>#N/A</v>
      </c>
      <c r="AJ1331" s="104" t="e">
        <f t="shared" si="601"/>
        <v>#VALUE!</v>
      </c>
      <c r="AK1331" s="104" t="e">
        <f t="shared" si="602"/>
        <v>#N/A</v>
      </c>
      <c r="AL1331" s="104" t="e">
        <f t="shared" si="603"/>
        <v>#N/A</v>
      </c>
      <c r="AM1331" s="104" t="e">
        <f t="shared" si="604"/>
        <v>#N/A</v>
      </c>
      <c r="AN1331" s="104" t="e">
        <f t="shared" si="588"/>
        <v>#N/A</v>
      </c>
      <c r="AO1331" s="104" t="e">
        <f t="shared" si="589"/>
        <v>#N/A</v>
      </c>
      <c r="AP1331" s="104" t="e">
        <f t="shared" si="590"/>
        <v>#N/A</v>
      </c>
      <c r="AQ1331" s="104" t="e">
        <f t="shared" si="591"/>
        <v>#N/A</v>
      </c>
      <c r="AR1331" s="105" t="str">
        <f t="shared" si="583"/>
        <v/>
      </c>
      <c r="AS1331" s="105" t="str">
        <f t="shared" si="584"/>
        <v/>
      </c>
      <c r="AT1331" s="108" t="str">
        <f t="shared" si="585"/>
        <v/>
      </c>
      <c r="AU1331" s="108" t="str">
        <f t="shared" si="586"/>
        <v/>
      </c>
      <c r="AV1331" s="107" t="str">
        <f>IF(ISNUMBER(O1331),IF(VLOOKUP($A1331,Stand!C:J,8,FALSE)="Short",AT1331,AU1331),"")</f>
        <v/>
      </c>
      <c r="AW1331" s="109" t="str">
        <f t="shared" si="592"/>
        <v/>
      </c>
      <c r="AX1331" s="109" t="str">
        <f t="shared" si="593"/>
        <v/>
      </c>
      <c r="AY1331" s="112" t="str">
        <f>IF(ISNUMBER(O1331),IF(AND(VLOOKUP($D1331,Merchantability!$B:$C,2,0)="Yes",$E1331&gt;=VLOOKUP($D1331,Merchantability!$B:$D,3,0),$E1331&lt;=VLOOKUP($D1331,Merchantability!$B:$E,4,0)),(AV1331*O1331)*(1-$H1331/100),""),"")</f>
        <v/>
      </c>
      <c r="AZ1331" s="116"/>
      <c r="BA1331" s="116"/>
      <c r="BB1331" s="116"/>
      <c r="BE1331" s="62"/>
      <c r="BF1331" s="63"/>
    </row>
    <row r="1332" spans="1:58" ht="12.75" customHeight="1" x14ac:dyDescent="0.25">
      <c r="A1332" s="333"/>
      <c r="B1332" s="334"/>
      <c r="C1332" s="332"/>
      <c r="D1332" s="334"/>
      <c r="E1332" s="335"/>
      <c r="F1332" s="334"/>
      <c r="G1332" s="332"/>
      <c r="H1332" s="332"/>
      <c r="I1332" s="334"/>
      <c r="J1332" s="336"/>
      <c r="K1332" s="332"/>
      <c r="L1332" s="332"/>
      <c r="M1332" s="76"/>
      <c r="N1332" s="103" t="str">
        <f>IF(A1332="","",VLOOKUP(A1332,Stand!C:K,9,0))</f>
        <v/>
      </c>
      <c r="O1332" s="104" t="str">
        <f t="shared" si="578"/>
        <v/>
      </c>
      <c r="P1332" s="105" t="str">
        <f t="shared" si="579"/>
        <v/>
      </c>
      <c r="Q1332" s="105" t="str">
        <f t="shared" si="594"/>
        <v/>
      </c>
      <c r="R1332" s="103" t="str">
        <f t="shared" si="580"/>
        <v/>
      </c>
      <c r="S1332" s="103" t="str">
        <f t="shared" si="581"/>
        <v/>
      </c>
      <c r="T1332" s="106" t="str">
        <f t="shared" si="595"/>
        <v/>
      </c>
      <c r="U1332" s="106" t="str">
        <f t="shared" si="596"/>
        <v/>
      </c>
      <c r="V1332" s="106" t="str">
        <f t="shared" si="597"/>
        <v/>
      </c>
      <c r="W1332" s="105" t="str">
        <f t="shared" si="582"/>
        <v/>
      </c>
      <c r="X1332" s="104" t="str">
        <f t="shared" si="587"/>
        <v/>
      </c>
      <c r="Y1332" s="104" t="str">
        <f t="array" ref="Y1332">IFERROR(IF(ISNUMBER(O1332),IF(COUNT(IF(A1332=$A$2:$A$2427,IF(D1332=$D$2:$D$2427,IF($X$2:$X$2427&gt;0,1))))&gt;0,SUM(IF(A1332=$A$2:$A$2427,IF(D1332=$D$2:$D$2427,$X$2:$X$2427)))/COUNT(IF(A1332=$A$2:$A$2427,IF(D1332=$D$2:$D$2427,IF(ISNUMBER($X$2:$X$2427),1)))),0),""),0)</f>
        <v/>
      </c>
      <c r="Z1332" s="104" t="str">
        <f>IF(ISNUMBER(O1332),IF(I1332&gt;0,(10^(VLOOKUP(D1332,'Species Codes'!B:C,2,0)+VLOOKUP(D1332,'Species Codes'!B:D,3,0)*LOG(E1332)+VLOOKUP(D1332,'Species Codes'!B:E,4,0)*LOG(I1332))),0),"")</f>
        <v/>
      </c>
      <c r="AA1332" s="104" t="str">
        <f>IFERROR((VLOOKUP(D1332,'Species Codes'!B:G,6,0)*Z1332)/2000,"")</f>
        <v/>
      </c>
      <c r="AB1332" s="104" t="e">
        <f>IF(Z1332&gt;0,((IF(OR(D1332="DF",D1332="RA")=TRUE,EXP(VLOOKUP(D1332,'Species Codes'!B:I,8,0)+VLOOKUP(D1332,'Species Codes'!B:J,9,0)*(LN((E1332*2.54)))),IF(OR(D1332="PY",D1332="RC",D1332="WH",D1332="NF")=TRUE,VLOOKUP(D1332,'Species Codes'!B:I,8,0)+VLOOKUP(D1332,'Species Codes'!B:J,9,0)*((E1332*2.54)^2)*(I1332*0.3048),IF(OR(D1332="MD",D1332="BM",D1332="GA")=TRUE,((VLOOKUP(D1332,'Species Codes'!B:I,8,0)*(((((E1332*2.54)+VLOOKUP(D1332,'Species Codes'!B:J,9,0))/VLOOKUP(D1332,'Species Codes'!B:K,10,0))^VLOOKUP(D1332,'Species Codes'!B:L,11,0))*((I1332*0.3048)^VLOOKUP(D1332,'Species Codes'!B:M,12,0))))-(VLOOKUP(D1332,'Species Codes'!B:I,8,0)*((((E1332*2.54)^VLOOKUP(D1332,'Species Codes'!B:L,11,0))*((I1332*0.3048)^VLOOKUP(D1332,'Species Codes'!B:M,12,0))))))*35.3*VLOOKUP(D1332,'Species Codes'!B:G,6,0)/2.2046,VLOOKUP(D1332,'Species Codes'!B:I,8,0)+VLOOKUP(D1332,'Species Codes'!B:J,9,0)*(((E1332*2.54)/100)^2)*(I1332*0.3048)))))*0.0011023),0)</f>
        <v>#N/A</v>
      </c>
      <c r="AC1332" s="104" t="e">
        <f>IF(Z1332&gt;0,((IF(OR(D1332="RA",D1332="OA",D1332="OT",D1332="UN",D1332="PC"),EXP(VLOOKUP(D1332,'Species Codes'!B:O,14,0)+VLOOKUP(D1332,'Species Codes'!B:P,15,0)*LN((E1332*2.54)))-EXP(VLOOKUP(D1332,'Species Codes'!B:O,14,0)+VLOOKUP(D1332,'Species Codes'!B:P,15,0)*LN((E1332*2.54)))*(1/(VLOOKUP(D1332,'Species Codes'!B:Q,16,0)+VLOOKUP(D1332,'Species Codes'!B:R,17,0)*((E1332*2.54)^VLOOKUP(D1332,'Species Codes'!B:S,18,0)))),IF(OR(D1332="BM",D1332="MD",D1332="OA"),EXP(VLOOKUP(D1332,'Species Codes'!B:O,14,0)+VLOOKUP(D1332,'Species Codes'!B:P,15,0)*LN((E1332*2.54)))*(1-(1/(VLOOKUP(D1332,'Species Codes'!B:Q,16,0)+VLOOKUP(D1332,'Species Codes'!B:R,17,0)*((E1332*2.54)^VLOOKUP(D1332,'Species Codes'!B:S,18,0)))))/1000,IF(D1332="DF",EXP(VLOOKUP(D1332,'Species Codes'!B:O,14,0)+VLOOKUP(D1332,'Species Codes'!B:P,15,0)*LN((E1332*2.54))),VLOOKUP(D1332,'Species Codes'!B:O,14,0)+VLOOKUP(D1332,'Species Codes'!B:P,15,0)*(((E1332*2.54)/100)^2)*(I1332*0.3048)))))*0.0011023),0)</f>
        <v>#N/A</v>
      </c>
      <c r="AD1332" s="104" t="e">
        <f t="shared" si="598"/>
        <v>#N/A</v>
      </c>
      <c r="AE1332" s="104" t="e">
        <f t="shared" si="599"/>
        <v>#N/A</v>
      </c>
      <c r="AF1332" s="104" t="e">
        <f>IF(AND(VLOOKUP($D1332,Merchantability!$B:$C,2,0)="Yes",$E1332&gt;=VLOOKUP($D1332,Merchantability!$B:$D,3,0),$E1332&lt;=VLOOKUP($D1332,Merchantability!$B:$E,4,0)),AA1332,0)</f>
        <v>#N/A</v>
      </c>
      <c r="AG1332" s="104" t="e">
        <f>IF(AND(VLOOKUP($D1332,Merchantability!$B:$C,2,0)="Yes",$E1332&gt;=VLOOKUP($D1332,Merchantability!$B:$D,3,0),$E1332&lt;=VLOOKUP($D1332,Merchantability!$B:$E,4,0)),AB1332,0)</f>
        <v>#N/A</v>
      </c>
      <c r="AH1332" s="104" t="e">
        <f>IF(AND(VLOOKUP($D1332,Merchantability!$B:$C,2,0)="Yes",$E1332&gt;=VLOOKUP($D1332,Merchantability!$B:$D,3,0),$E1332&lt;=VLOOKUP($D1332,Merchantability!$B:$E,4,0)),AC1332,0)</f>
        <v>#N/A</v>
      </c>
      <c r="AI1332" s="104" t="e">
        <f t="shared" si="600"/>
        <v>#N/A</v>
      </c>
      <c r="AJ1332" s="104" t="e">
        <f t="shared" si="601"/>
        <v>#VALUE!</v>
      </c>
      <c r="AK1332" s="104" t="e">
        <f t="shared" si="602"/>
        <v>#N/A</v>
      </c>
      <c r="AL1332" s="104" t="e">
        <f t="shared" si="603"/>
        <v>#N/A</v>
      </c>
      <c r="AM1332" s="104" t="e">
        <f t="shared" si="604"/>
        <v>#N/A</v>
      </c>
      <c r="AN1332" s="104" t="e">
        <f t="shared" si="588"/>
        <v>#N/A</v>
      </c>
      <c r="AO1332" s="104" t="e">
        <f t="shared" si="589"/>
        <v>#N/A</v>
      </c>
      <c r="AP1332" s="104" t="e">
        <f t="shared" si="590"/>
        <v>#N/A</v>
      </c>
      <c r="AQ1332" s="104" t="e">
        <f t="shared" si="591"/>
        <v>#N/A</v>
      </c>
      <c r="AR1332" s="105" t="str">
        <f t="shared" si="583"/>
        <v/>
      </c>
      <c r="AS1332" s="105" t="str">
        <f t="shared" si="584"/>
        <v/>
      </c>
      <c r="AT1332" s="108" t="str">
        <f t="shared" si="585"/>
        <v/>
      </c>
      <c r="AU1332" s="108" t="str">
        <f t="shared" si="586"/>
        <v/>
      </c>
      <c r="AV1332" s="107" t="str">
        <f>IF(ISNUMBER(O1332),IF(VLOOKUP($A1332,Stand!C:J,8,FALSE)="Short",AT1332,AU1332),"")</f>
        <v/>
      </c>
      <c r="AW1332" s="109" t="str">
        <f t="shared" si="592"/>
        <v/>
      </c>
      <c r="AX1332" s="109" t="str">
        <f t="shared" si="593"/>
        <v/>
      </c>
      <c r="AY1332" s="112" t="str">
        <f>IF(ISNUMBER(O1332),IF(AND(VLOOKUP($D1332,Merchantability!$B:$C,2,0)="Yes",$E1332&gt;=VLOOKUP($D1332,Merchantability!$B:$D,3,0),$E1332&lt;=VLOOKUP($D1332,Merchantability!$B:$E,4,0)),(AV1332*O1332)*(1-$H1332/100),""),"")</f>
        <v/>
      </c>
      <c r="AZ1332" s="116"/>
      <c r="BA1332" s="116"/>
      <c r="BB1332" s="116"/>
      <c r="BE1332" s="62"/>
      <c r="BF1332" s="63"/>
    </row>
    <row r="1333" spans="1:58" ht="12.75" customHeight="1" x14ac:dyDescent="0.25">
      <c r="A1333" s="333"/>
      <c r="B1333" s="334"/>
      <c r="C1333" s="332"/>
      <c r="D1333" s="334"/>
      <c r="E1333" s="335"/>
      <c r="F1333" s="334"/>
      <c r="G1333" s="332"/>
      <c r="H1333" s="332"/>
      <c r="I1333" s="334"/>
      <c r="J1333" s="336"/>
      <c r="K1333" s="332"/>
      <c r="L1333" s="332"/>
      <c r="M1333" s="76"/>
      <c r="N1333" s="103" t="str">
        <f>IF(A1333="","",VLOOKUP(A1333,Stand!C:K,9,0))</f>
        <v/>
      </c>
      <c r="O1333" s="104" t="str">
        <f t="shared" si="578"/>
        <v/>
      </c>
      <c r="P1333" s="105" t="str">
        <f t="shared" si="579"/>
        <v/>
      </c>
      <c r="Q1333" s="105" t="str">
        <f t="shared" si="594"/>
        <v/>
      </c>
      <c r="R1333" s="103" t="str">
        <f t="shared" si="580"/>
        <v/>
      </c>
      <c r="S1333" s="103" t="str">
        <f t="shared" si="581"/>
        <v/>
      </c>
      <c r="T1333" s="106" t="str">
        <f t="shared" si="595"/>
        <v/>
      </c>
      <c r="U1333" s="106" t="str">
        <f t="shared" si="596"/>
        <v/>
      </c>
      <c r="V1333" s="106" t="str">
        <f t="shared" si="597"/>
        <v/>
      </c>
      <c r="W1333" s="105" t="str">
        <f t="shared" si="582"/>
        <v/>
      </c>
      <c r="X1333" s="104" t="str">
        <f t="shared" si="587"/>
        <v/>
      </c>
      <c r="Y1333" s="104" t="str">
        <f t="array" ref="Y1333">IFERROR(IF(ISNUMBER(O1333),IF(COUNT(IF(A1333=$A$2:$A$2427,IF(D1333=$D$2:$D$2427,IF($X$2:$X$2427&gt;0,1))))&gt;0,SUM(IF(A1333=$A$2:$A$2427,IF(D1333=$D$2:$D$2427,$X$2:$X$2427)))/COUNT(IF(A1333=$A$2:$A$2427,IF(D1333=$D$2:$D$2427,IF(ISNUMBER($X$2:$X$2427),1)))),0),""),0)</f>
        <v/>
      </c>
      <c r="Z1333" s="104" t="str">
        <f>IF(ISNUMBER(O1333),IF(I1333&gt;0,(10^(VLOOKUP(D1333,'Species Codes'!B:C,2,0)+VLOOKUP(D1333,'Species Codes'!B:D,3,0)*LOG(E1333)+VLOOKUP(D1333,'Species Codes'!B:E,4,0)*LOG(I1333))),0),"")</f>
        <v/>
      </c>
      <c r="AA1333" s="104" t="str">
        <f>IFERROR((VLOOKUP(D1333,'Species Codes'!B:G,6,0)*Z1333)/2000,"")</f>
        <v/>
      </c>
      <c r="AB1333" s="104" t="e">
        <f>IF(Z1333&gt;0,((IF(OR(D1333="DF",D1333="RA")=TRUE,EXP(VLOOKUP(D1333,'Species Codes'!B:I,8,0)+VLOOKUP(D1333,'Species Codes'!B:J,9,0)*(LN((E1333*2.54)))),IF(OR(D1333="PY",D1333="RC",D1333="WH",D1333="NF")=TRUE,VLOOKUP(D1333,'Species Codes'!B:I,8,0)+VLOOKUP(D1333,'Species Codes'!B:J,9,0)*((E1333*2.54)^2)*(I1333*0.3048),IF(OR(D1333="MD",D1333="BM",D1333="GA")=TRUE,((VLOOKUP(D1333,'Species Codes'!B:I,8,0)*(((((E1333*2.54)+VLOOKUP(D1333,'Species Codes'!B:J,9,0))/VLOOKUP(D1333,'Species Codes'!B:K,10,0))^VLOOKUP(D1333,'Species Codes'!B:L,11,0))*((I1333*0.3048)^VLOOKUP(D1333,'Species Codes'!B:M,12,0))))-(VLOOKUP(D1333,'Species Codes'!B:I,8,0)*((((E1333*2.54)^VLOOKUP(D1333,'Species Codes'!B:L,11,0))*((I1333*0.3048)^VLOOKUP(D1333,'Species Codes'!B:M,12,0))))))*35.3*VLOOKUP(D1333,'Species Codes'!B:G,6,0)/2.2046,VLOOKUP(D1333,'Species Codes'!B:I,8,0)+VLOOKUP(D1333,'Species Codes'!B:J,9,0)*(((E1333*2.54)/100)^2)*(I1333*0.3048)))))*0.0011023),0)</f>
        <v>#N/A</v>
      </c>
      <c r="AC1333" s="104" t="e">
        <f>IF(Z1333&gt;0,((IF(OR(D1333="RA",D1333="OA",D1333="OT",D1333="UN",D1333="PC"),EXP(VLOOKUP(D1333,'Species Codes'!B:O,14,0)+VLOOKUP(D1333,'Species Codes'!B:P,15,0)*LN((E1333*2.54)))-EXP(VLOOKUP(D1333,'Species Codes'!B:O,14,0)+VLOOKUP(D1333,'Species Codes'!B:P,15,0)*LN((E1333*2.54)))*(1/(VLOOKUP(D1333,'Species Codes'!B:Q,16,0)+VLOOKUP(D1333,'Species Codes'!B:R,17,0)*((E1333*2.54)^VLOOKUP(D1333,'Species Codes'!B:S,18,0)))),IF(OR(D1333="BM",D1333="MD",D1333="OA"),EXP(VLOOKUP(D1333,'Species Codes'!B:O,14,0)+VLOOKUP(D1333,'Species Codes'!B:P,15,0)*LN((E1333*2.54)))*(1-(1/(VLOOKUP(D1333,'Species Codes'!B:Q,16,0)+VLOOKUP(D1333,'Species Codes'!B:R,17,0)*((E1333*2.54)^VLOOKUP(D1333,'Species Codes'!B:S,18,0)))))/1000,IF(D1333="DF",EXP(VLOOKUP(D1333,'Species Codes'!B:O,14,0)+VLOOKUP(D1333,'Species Codes'!B:P,15,0)*LN((E1333*2.54))),VLOOKUP(D1333,'Species Codes'!B:O,14,0)+VLOOKUP(D1333,'Species Codes'!B:P,15,0)*(((E1333*2.54)/100)^2)*(I1333*0.3048)))))*0.0011023),0)</f>
        <v>#N/A</v>
      </c>
      <c r="AD1333" s="104" t="e">
        <f t="shared" si="598"/>
        <v>#N/A</v>
      </c>
      <c r="AE1333" s="104" t="e">
        <f t="shared" si="599"/>
        <v>#N/A</v>
      </c>
      <c r="AF1333" s="104" t="e">
        <f>IF(AND(VLOOKUP($D1333,Merchantability!$B:$C,2,0)="Yes",$E1333&gt;=VLOOKUP($D1333,Merchantability!$B:$D,3,0),$E1333&lt;=VLOOKUP($D1333,Merchantability!$B:$E,4,0)),AA1333,0)</f>
        <v>#N/A</v>
      </c>
      <c r="AG1333" s="104" t="e">
        <f>IF(AND(VLOOKUP($D1333,Merchantability!$B:$C,2,0)="Yes",$E1333&gt;=VLOOKUP($D1333,Merchantability!$B:$D,3,0),$E1333&lt;=VLOOKUP($D1333,Merchantability!$B:$E,4,0)),AB1333,0)</f>
        <v>#N/A</v>
      </c>
      <c r="AH1333" s="104" t="e">
        <f>IF(AND(VLOOKUP($D1333,Merchantability!$B:$C,2,0)="Yes",$E1333&gt;=VLOOKUP($D1333,Merchantability!$B:$D,3,0),$E1333&lt;=VLOOKUP($D1333,Merchantability!$B:$E,4,0)),AC1333,0)</f>
        <v>#N/A</v>
      </c>
      <c r="AI1333" s="104" t="e">
        <f t="shared" si="600"/>
        <v>#N/A</v>
      </c>
      <c r="AJ1333" s="104" t="e">
        <f t="shared" si="601"/>
        <v>#VALUE!</v>
      </c>
      <c r="AK1333" s="104" t="e">
        <f t="shared" si="602"/>
        <v>#N/A</v>
      </c>
      <c r="AL1333" s="104" t="e">
        <f t="shared" si="603"/>
        <v>#N/A</v>
      </c>
      <c r="AM1333" s="104" t="e">
        <f t="shared" si="604"/>
        <v>#N/A</v>
      </c>
      <c r="AN1333" s="104" t="e">
        <f t="shared" si="588"/>
        <v>#N/A</v>
      </c>
      <c r="AO1333" s="104" t="e">
        <f t="shared" si="589"/>
        <v>#N/A</v>
      </c>
      <c r="AP1333" s="104" t="e">
        <f t="shared" si="590"/>
        <v>#N/A</v>
      </c>
      <c r="AQ1333" s="104" t="e">
        <f t="shared" si="591"/>
        <v>#N/A</v>
      </c>
      <c r="AR1333" s="105" t="str">
        <f t="shared" si="583"/>
        <v/>
      </c>
      <c r="AS1333" s="105" t="str">
        <f t="shared" si="584"/>
        <v/>
      </c>
      <c r="AT1333" s="108" t="str">
        <f t="shared" si="585"/>
        <v/>
      </c>
      <c r="AU1333" s="108" t="str">
        <f t="shared" si="586"/>
        <v/>
      </c>
      <c r="AV1333" s="107" t="str">
        <f>IF(ISNUMBER(O1333),IF(VLOOKUP($A1333,Stand!C:J,8,FALSE)="Short",AT1333,AU1333),"")</f>
        <v/>
      </c>
      <c r="AW1333" s="109" t="str">
        <f t="shared" si="592"/>
        <v/>
      </c>
      <c r="AX1333" s="109" t="str">
        <f t="shared" si="593"/>
        <v/>
      </c>
      <c r="AY1333" s="112" t="str">
        <f>IF(ISNUMBER(O1333),IF(AND(VLOOKUP($D1333,Merchantability!$B:$C,2,0)="Yes",$E1333&gt;=VLOOKUP($D1333,Merchantability!$B:$D,3,0),$E1333&lt;=VLOOKUP($D1333,Merchantability!$B:$E,4,0)),(AV1333*O1333)*(1-$H1333/100),""),"")</f>
        <v/>
      </c>
      <c r="AZ1333" s="116"/>
      <c r="BA1333" s="116"/>
      <c r="BB1333" s="116"/>
      <c r="BE1333" s="62"/>
      <c r="BF1333" s="63"/>
    </row>
    <row r="1334" spans="1:58" ht="12.75" customHeight="1" x14ac:dyDescent="0.25">
      <c r="A1334" s="333"/>
      <c r="B1334" s="334"/>
      <c r="C1334" s="332"/>
      <c r="D1334" s="334"/>
      <c r="E1334" s="335"/>
      <c r="F1334" s="334"/>
      <c r="G1334" s="332"/>
      <c r="H1334" s="332"/>
      <c r="I1334" s="334"/>
      <c r="J1334" s="336"/>
      <c r="K1334" s="332"/>
      <c r="L1334" s="332"/>
      <c r="M1334" s="76"/>
      <c r="N1334" s="103" t="str">
        <f>IF(A1334="","",VLOOKUP(A1334,Stand!C:K,9,0))</f>
        <v/>
      </c>
      <c r="O1334" s="104" t="str">
        <f t="shared" si="578"/>
        <v/>
      </c>
      <c r="P1334" s="105" t="str">
        <f t="shared" si="579"/>
        <v/>
      </c>
      <c r="Q1334" s="105" t="str">
        <f t="shared" si="594"/>
        <v/>
      </c>
      <c r="R1334" s="103" t="str">
        <f t="shared" si="580"/>
        <v/>
      </c>
      <c r="S1334" s="103" t="str">
        <f t="shared" si="581"/>
        <v/>
      </c>
      <c r="T1334" s="106" t="str">
        <f t="shared" si="595"/>
        <v/>
      </c>
      <c r="U1334" s="106" t="str">
        <f t="shared" si="596"/>
        <v/>
      </c>
      <c r="V1334" s="106" t="str">
        <f t="shared" si="597"/>
        <v/>
      </c>
      <c r="W1334" s="105" t="str">
        <f t="shared" si="582"/>
        <v/>
      </c>
      <c r="X1334" s="104" t="str">
        <f t="shared" si="587"/>
        <v/>
      </c>
      <c r="Y1334" s="104" t="str">
        <f t="array" ref="Y1334">IFERROR(IF(ISNUMBER(O1334),IF(COUNT(IF(A1334=$A$2:$A$2427,IF(D1334=$D$2:$D$2427,IF($X$2:$X$2427&gt;0,1))))&gt;0,SUM(IF(A1334=$A$2:$A$2427,IF(D1334=$D$2:$D$2427,$X$2:$X$2427)))/COUNT(IF(A1334=$A$2:$A$2427,IF(D1334=$D$2:$D$2427,IF(ISNUMBER($X$2:$X$2427),1)))),0),""),0)</f>
        <v/>
      </c>
      <c r="Z1334" s="104" t="str">
        <f>IF(ISNUMBER(O1334),IF(I1334&gt;0,(10^(VLOOKUP(D1334,'Species Codes'!B:C,2,0)+VLOOKUP(D1334,'Species Codes'!B:D,3,0)*LOG(E1334)+VLOOKUP(D1334,'Species Codes'!B:E,4,0)*LOG(I1334))),0),"")</f>
        <v/>
      </c>
      <c r="AA1334" s="104" t="str">
        <f>IFERROR((VLOOKUP(D1334,'Species Codes'!B:G,6,0)*Z1334)/2000,"")</f>
        <v/>
      </c>
      <c r="AB1334" s="104" t="e">
        <f>IF(Z1334&gt;0,((IF(OR(D1334="DF",D1334="RA")=TRUE,EXP(VLOOKUP(D1334,'Species Codes'!B:I,8,0)+VLOOKUP(D1334,'Species Codes'!B:J,9,0)*(LN((E1334*2.54)))),IF(OR(D1334="PY",D1334="RC",D1334="WH",D1334="NF")=TRUE,VLOOKUP(D1334,'Species Codes'!B:I,8,0)+VLOOKUP(D1334,'Species Codes'!B:J,9,0)*((E1334*2.54)^2)*(I1334*0.3048),IF(OR(D1334="MD",D1334="BM",D1334="GA")=TRUE,((VLOOKUP(D1334,'Species Codes'!B:I,8,0)*(((((E1334*2.54)+VLOOKUP(D1334,'Species Codes'!B:J,9,0))/VLOOKUP(D1334,'Species Codes'!B:K,10,0))^VLOOKUP(D1334,'Species Codes'!B:L,11,0))*((I1334*0.3048)^VLOOKUP(D1334,'Species Codes'!B:M,12,0))))-(VLOOKUP(D1334,'Species Codes'!B:I,8,0)*((((E1334*2.54)^VLOOKUP(D1334,'Species Codes'!B:L,11,0))*((I1334*0.3048)^VLOOKUP(D1334,'Species Codes'!B:M,12,0))))))*35.3*VLOOKUP(D1334,'Species Codes'!B:G,6,0)/2.2046,VLOOKUP(D1334,'Species Codes'!B:I,8,0)+VLOOKUP(D1334,'Species Codes'!B:J,9,0)*(((E1334*2.54)/100)^2)*(I1334*0.3048)))))*0.0011023),0)</f>
        <v>#N/A</v>
      </c>
      <c r="AC1334" s="104" t="e">
        <f>IF(Z1334&gt;0,((IF(OR(D1334="RA",D1334="OA",D1334="OT",D1334="UN",D1334="PC"),EXP(VLOOKUP(D1334,'Species Codes'!B:O,14,0)+VLOOKUP(D1334,'Species Codes'!B:P,15,0)*LN((E1334*2.54)))-EXP(VLOOKUP(D1334,'Species Codes'!B:O,14,0)+VLOOKUP(D1334,'Species Codes'!B:P,15,0)*LN((E1334*2.54)))*(1/(VLOOKUP(D1334,'Species Codes'!B:Q,16,0)+VLOOKUP(D1334,'Species Codes'!B:R,17,0)*((E1334*2.54)^VLOOKUP(D1334,'Species Codes'!B:S,18,0)))),IF(OR(D1334="BM",D1334="MD",D1334="OA"),EXP(VLOOKUP(D1334,'Species Codes'!B:O,14,0)+VLOOKUP(D1334,'Species Codes'!B:P,15,0)*LN((E1334*2.54)))*(1-(1/(VLOOKUP(D1334,'Species Codes'!B:Q,16,0)+VLOOKUP(D1334,'Species Codes'!B:R,17,0)*((E1334*2.54)^VLOOKUP(D1334,'Species Codes'!B:S,18,0)))))/1000,IF(D1334="DF",EXP(VLOOKUP(D1334,'Species Codes'!B:O,14,0)+VLOOKUP(D1334,'Species Codes'!B:P,15,0)*LN((E1334*2.54))),VLOOKUP(D1334,'Species Codes'!B:O,14,0)+VLOOKUP(D1334,'Species Codes'!B:P,15,0)*(((E1334*2.54)/100)^2)*(I1334*0.3048)))))*0.0011023),0)</f>
        <v>#N/A</v>
      </c>
      <c r="AD1334" s="104" t="e">
        <f t="shared" si="598"/>
        <v>#N/A</v>
      </c>
      <c r="AE1334" s="104" t="e">
        <f t="shared" si="599"/>
        <v>#N/A</v>
      </c>
      <c r="AF1334" s="104" t="e">
        <f>IF(AND(VLOOKUP($D1334,Merchantability!$B:$C,2,0)="Yes",$E1334&gt;=VLOOKUP($D1334,Merchantability!$B:$D,3,0),$E1334&lt;=VLOOKUP($D1334,Merchantability!$B:$E,4,0)),AA1334,0)</f>
        <v>#N/A</v>
      </c>
      <c r="AG1334" s="104" t="e">
        <f>IF(AND(VLOOKUP($D1334,Merchantability!$B:$C,2,0)="Yes",$E1334&gt;=VLOOKUP($D1334,Merchantability!$B:$D,3,0),$E1334&lt;=VLOOKUP($D1334,Merchantability!$B:$E,4,0)),AB1334,0)</f>
        <v>#N/A</v>
      </c>
      <c r="AH1334" s="104" t="e">
        <f>IF(AND(VLOOKUP($D1334,Merchantability!$B:$C,2,0)="Yes",$E1334&gt;=VLOOKUP($D1334,Merchantability!$B:$D,3,0),$E1334&lt;=VLOOKUP($D1334,Merchantability!$B:$E,4,0)),AC1334,0)</f>
        <v>#N/A</v>
      </c>
      <c r="AI1334" s="104" t="e">
        <f t="shared" si="600"/>
        <v>#N/A</v>
      </c>
      <c r="AJ1334" s="104" t="e">
        <f t="shared" si="601"/>
        <v>#VALUE!</v>
      </c>
      <c r="AK1334" s="104" t="e">
        <f t="shared" si="602"/>
        <v>#N/A</v>
      </c>
      <c r="AL1334" s="104" t="e">
        <f t="shared" si="603"/>
        <v>#N/A</v>
      </c>
      <c r="AM1334" s="104" t="e">
        <f t="shared" si="604"/>
        <v>#N/A</v>
      </c>
      <c r="AN1334" s="104" t="e">
        <f t="shared" si="588"/>
        <v>#N/A</v>
      </c>
      <c r="AO1334" s="104" t="e">
        <f t="shared" si="589"/>
        <v>#N/A</v>
      </c>
      <c r="AP1334" s="104" t="e">
        <f t="shared" si="590"/>
        <v>#N/A</v>
      </c>
      <c r="AQ1334" s="104" t="e">
        <f t="shared" si="591"/>
        <v>#N/A</v>
      </c>
      <c r="AR1334" s="105" t="str">
        <f t="shared" si="583"/>
        <v/>
      </c>
      <c r="AS1334" s="105" t="str">
        <f t="shared" si="584"/>
        <v/>
      </c>
      <c r="AT1334" s="108" t="str">
        <f t="shared" si="585"/>
        <v/>
      </c>
      <c r="AU1334" s="108" t="str">
        <f t="shared" si="586"/>
        <v/>
      </c>
      <c r="AV1334" s="107" t="str">
        <f>IF(ISNUMBER(O1334),IF(VLOOKUP($A1334,Stand!C:J,8,FALSE)="Short",AT1334,AU1334),"")</f>
        <v/>
      </c>
      <c r="AW1334" s="109" t="str">
        <f t="shared" si="592"/>
        <v/>
      </c>
      <c r="AX1334" s="109" t="str">
        <f t="shared" si="593"/>
        <v/>
      </c>
      <c r="AY1334" s="112" t="str">
        <f>IF(ISNUMBER(O1334),IF(AND(VLOOKUP($D1334,Merchantability!$B:$C,2,0)="Yes",$E1334&gt;=VLOOKUP($D1334,Merchantability!$B:$D,3,0),$E1334&lt;=VLOOKUP($D1334,Merchantability!$B:$E,4,0)),(AV1334*O1334)*(1-$H1334/100),""),"")</f>
        <v/>
      </c>
      <c r="AZ1334" s="116"/>
      <c r="BA1334" s="116"/>
      <c r="BB1334" s="116"/>
      <c r="BE1334" s="62"/>
      <c r="BF1334" s="63"/>
    </row>
    <row r="1335" spans="1:58" ht="12.75" customHeight="1" x14ac:dyDescent="0.25">
      <c r="A1335" s="333"/>
      <c r="B1335" s="334"/>
      <c r="C1335" s="332"/>
      <c r="D1335" s="334"/>
      <c r="E1335" s="335"/>
      <c r="F1335" s="334"/>
      <c r="G1335" s="332"/>
      <c r="H1335" s="332"/>
      <c r="I1335" s="334"/>
      <c r="J1335" s="336"/>
      <c r="K1335" s="332"/>
      <c r="L1335" s="332"/>
      <c r="M1335" s="76"/>
      <c r="N1335" s="103" t="str">
        <f>IF(A1335="","",VLOOKUP(A1335,Stand!C:K,9,0))</f>
        <v/>
      </c>
      <c r="O1335" s="104" t="str">
        <f t="shared" si="578"/>
        <v/>
      </c>
      <c r="P1335" s="105" t="str">
        <f t="shared" si="579"/>
        <v/>
      </c>
      <c r="Q1335" s="105" t="str">
        <f t="shared" si="594"/>
        <v/>
      </c>
      <c r="R1335" s="103" t="str">
        <f t="shared" si="580"/>
        <v/>
      </c>
      <c r="S1335" s="103" t="str">
        <f t="shared" si="581"/>
        <v/>
      </c>
      <c r="T1335" s="106" t="str">
        <f t="shared" si="595"/>
        <v/>
      </c>
      <c r="U1335" s="106" t="str">
        <f t="shared" si="596"/>
        <v/>
      </c>
      <c r="V1335" s="106" t="str">
        <f t="shared" si="597"/>
        <v/>
      </c>
      <c r="W1335" s="105" t="str">
        <f t="shared" si="582"/>
        <v/>
      </c>
      <c r="X1335" s="104" t="str">
        <f t="shared" si="587"/>
        <v/>
      </c>
      <c r="Y1335" s="104" t="str">
        <f t="array" ref="Y1335">IFERROR(IF(ISNUMBER(O1335),IF(COUNT(IF(A1335=$A$2:$A$2427,IF(D1335=$D$2:$D$2427,IF($X$2:$X$2427&gt;0,1))))&gt;0,SUM(IF(A1335=$A$2:$A$2427,IF(D1335=$D$2:$D$2427,$X$2:$X$2427)))/COUNT(IF(A1335=$A$2:$A$2427,IF(D1335=$D$2:$D$2427,IF(ISNUMBER($X$2:$X$2427),1)))),0),""),0)</f>
        <v/>
      </c>
      <c r="Z1335" s="104" t="str">
        <f>IF(ISNUMBER(O1335),IF(I1335&gt;0,(10^(VLOOKUP(D1335,'Species Codes'!B:C,2,0)+VLOOKUP(D1335,'Species Codes'!B:D,3,0)*LOG(E1335)+VLOOKUP(D1335,'Species Codes'!B:E,4,0)*LOG(I1335))),0),"")</f>
        <v/>
      </c>
      <c r="AA1335" s="104" t="str">
        <f>IFERROR((VLOOKUP(D1335,'Species Codes'!B:G,6,0)*Z1335)/2000,"")</f>
        <v/>
      </c>
      <c r="AB1335" s="104" t="e">
        <f>IF(Z1335&gt;0,((IF(OR(D1335="DF",D1335="RA")=TRUE,EXP(VLOOKUP(D1335,'Species Codes'!B:I,8,0)+VLOOKUP(D1335,'Species Codes'!B:J,9,0)*(LN((E1335*2.54)))),IF(OR(D1335="PY",D1335="RC",D1335="WH",D1335="NF")=TRUE,VLOOKUP(D1335,'Species Codes'!B:I,8,0)+VLOOKUP(D1335,'Species Codes'!B:J,9,0)*((E1335*2.54)^2)*(I1335*0.3048),IF(OR(D1335="MD",D1335="BM",D1335="GA")=TRUE,((VLOOKUP(D1335,'Species Codes'!B:I,8,0)*(((((E1335*2.54)+VLOOKUP(D1335,'Species Codes'!B:J,9,0))/VLOOKUP(D1335,'Species Codes'!B:K,10,0))^VLOOKUP(D1335,'Species Codes'!B:L,11,0))*((I1335*0.3048)^VLOOKUP(D1335,'Species Codes'!B:M,12,0))))-(VLOOKUP(D1335,'Species Codes'!B:I,8,0)*((((E1335*2.54)^VLOOKUP(D1335,'Species Codes'!B:L,11,0))*((I1335*0.3048)^VLOOKUP(D1335,'Species Codes'!B:M,12,0))))))*35.3*VLOOKUP(D1335,'Species Codes'!B:G,6,0)/2.2046,VLOOKUP(D1335,'Species Codes'!B:I,8,0)+VLOOKUP(D1335,'Species Codes'!B:J,9,0)*(((E1335*2.54)/100)^2)*(I1335*0.3048)))))*0.0011023),0)</f>
        <v>#N/A</v>
      </c>
      <c r="AC1335" s="104" t="e">
        <f>IF(Z1335&gt;0,((IF(OR(D1335="RA",D1335="OA",D1335="OT",D1335="UN",D1335="PC"),EXP(VLOOKUP(D1335,'Species Codes'!B:O,14,0)+VLOOKUP(D1335,'Species Codes'!B:P,15,0)*LN((E1335*2.54)))-EXP(VLOOKUP(D1335,'Species Codes'!B:O,14,0)+VLOOKUP(D1335,'Species Codes'!B:P,15,0)*LN((E1335*2.54)))*(1/(VLOOKUP(D1335,'Species Codes'!B:Q,16,0)+VLOOKUP(D1335,'Species Codes'!B:R,17,0)*((E1335*2.54)^VLOOKUP(D1335,'Species Codes'!B:S,18,0)))),IF(OR(D1335="BM",D1335="MD",D1335="OA"),EXP(VLOOKUP(D1335,'Species Codes'!B:O,14,0)+VLOOKUP(D1335,'Species Codes'!B:P,15,0)*LN((E1335*2.54)))*(1-(1/(VLOOKUP(D1335,'Species Codes'!B:Q,16,0)+VLOOKUP(D1335,'Species Codes'!B:R,17,0)*((E1335*2.54)^VLOOKUP(D1335,'Species Codes'!B:S,18,0)))))/1000,IF(D1335="DF",EXP(VLOOKUP(D1335,'Species Codes'!B:O,14,0)+VLOOKUP(D1335,'Species Codes'!B:P,15,0)*LN((E1335*2.54))),VLOOKUP(D1335,'Species Codes'!B:O,14,0)+VLOOKUP(D1335,'Species Codes'!B:P,15,0)*(((E1335*2.54)/100)^2)*(I1335*0.3048)))))*0.0011023),0)</f>
        <v>#N/A</v>
      </c>
      <c r="AD1335" s="104" t="e">
        <f t="shared" si="598"/>
        <v>#N/A</v>
      </c>
      <c r="AE1335" s="104" t="e">
        <f t="shared" si="599"/>
        <v>#N/A</v>
      </c>
      <c r="AF1335" s="104" t="e">
        <f>IF(AND(VLOOKUP($D1335,Merchantability!$B:$C,2,0)="Yes",$E1335&gt;=VLOOKUP($D1335,Merchantability!$B:$D,3,0),$E1335&lt;=VLOOKUP($D1335,Merchantability!$B:$E,4,0)),AA1335,0)</f>
        <v>#N/A</v>
      </c>
      <c r="AG1335" s="104" t="e">
        <f>IF(AND(VLOOKUP($D1335,Merchantability!$B:$C,2,0)="Yes",$E1335&gt;=VLOOKUP($D1335,Merchantability!$B:$D,3,0),$E1335&lt;=VLOOKUP($D1335,Merchantability!$B:$E,4,0)),AB1335,0)</f>
        <v>#N/A</v>
      </c>
      <c r="AH1335" s="104" t="e">
        <f>IF(AND(VLOOKUP($D1335,Merchantability!$B:$C,2,0)="Yes",$E1335&gt;=VLOOKUP($D1335,Merchantability!$B:$D,3,0),$E1335&lt;=VLOOKUP($D1335,Merchantability!$B:$E,4,0)),AC1335,0)</f>
        <v>#N/A</v>
      </c>
      <c r="AI1335" s="104" t="e">
        <f t="shared" si="600"/>
        <v>#N/A</v>
      </c>
      <c r="AJ1335" s="104" t="e">
        <f t="shared" si="601"/>
        <v>#VALUE!</v>
      </c>
      <c r="AK1335" s="104" t="e">
        <f t="shared" si="602"/>
        <v>#N/A</v>
      </c>
      <c r="AL1335" s="104" t="e">
        <f t="shared" si="603"/>
        <v>#N/A</v>
      </c>
      <c r="AM1335" s="104" t="e">
        <f t="shared" si="604"/>
        <v>#N/A</v>
      </c>
      <c r="AN1335" s="104" t="e">
        <f t="shared" si="588"/>
        <v>#N/A</v>
      </c>
      <c r="AO1335" s="104" t="e">
        <f t="shared" si="589"/>
        <v>#N/A</v>
      </c>
      <c r="AP1335" s="104" t="e">
        <f t="shared" si="590"/>
        <v>#N/A</v>
      </c>
      <c r="AQ1335" s="104" t="e">
        <f t="shared" si="591"/>
        <v>#N/A</v>
      </c>
      <c r="AR1335" s="105" t="str">
        <f t="shared" si="583"/>
        <v/>
      </c>
      <c r="AS1335" s="105" t="str">
        <f t="shared" si="584"/>
        <v/>
      </c>
      <c r="AT1335" s="108" t="str">
        <f t="shared" si="585"/>
        <v/>
      </c>
      <c r="AU1335" s="108" t="str">
        <f t="shared" si="586"/>
        <v/>
      </c>
      <c r="AV1335" s="107" t="str">
        <f>IF(ISNUMBER(O1335),IF(VLOOKUP($A1335,Stand!C:J,8,FALSE)="Short",AT1335,AU1335),"")</f>
        <v/>
      </c>
      <c r="AW1335" s="109" t="str">
        <f t="shared" si="592"/>
        <v/>
      </c>
      <c r="AX1335" s="109" t="str">
        <f t="shared" si="593"/>
        <v/>
      </c>
      <c r="AY1335" s="112" t="str">
        <f>IF(ISNUMBER(O1335),IF(AND(VLOOKUP($D1335,Merchantability!$B:$C,2,0)="Yes",$E1335&gt;=VLOOKUP($D1335,Merchantability!$B:$D,3,0),$E1335&lt;=VLOOKUP($D1335,Merchantability!$B:$E,4,0)),(AV1335*O1335)*(1-$H1335/100),""),"")</f>
        <v/>
      </c>
      <c r="AZ1335" s="116"/>
      <c r="BA1335" s="116"/>
      <c r="BB1335" s="116"/>
      <c r="BE1335" s="62"/>
      <c r="BF1335" s="63"/>
    </row>
    <row r="1336" spans="1:58" ht="12.75" customHeight="1" x14ac:dyDescent="0.25">
      <c r="A1336" s="333"/>
      <c r="B1336" s="334"/>
      <c r="C1336" s="332"/>
      <c r="D1336" s="334"/>
      <c r="E1336" s="335"/>
      <c r="F1336" s="334"/>
      <c r="G1336" s="332"/>
      <c r="H1336" s="332"/>
      <c r="I1336" s="334"/>
      <c r="J1336" s="336"/>
      <c r="K1336" s="332"/>
      <c r="L1336" s="332"/>
      <c r="M1336" s="76"/>
      <c r="N1336" s="103" t="str">
        <f>IF(A1336="","",VLOOKUP(A1336,Stand!C:K,9,0))</f>
        <v/>
      </c>
      <c r="O1336" s="104" t="str">
        <f t="shared" si="578"/>
        <v/>
      </c>
      <c r="P1336" s="105" t="str">
        <f t="shared" si="579"/>
        <v/>
      </c>
      <c r="Q1336" s="105" t="str">
        <f t="shared" si="594"/>
        <v/>
      </c>
      <c r="R1336" s="103" t="str">
        <f t="shared" si="580"/>
        <v/>
      </c>
      <c r="S1336" s="103" t="str">
        <f t="shared" si="581"/>
        <v/>
      </c>
      <c r="T1336" s="106" t="str">
        <f t="shared" si="595"/>
        <v/>
      </c>
      <c r="U1336" s="106" t="str">
        <f t="shared" si="596"/>
        <v/>
      </c>
      <c r="V1336" s="106" t="str">
        <f t="shared" si="597"/>
        <v/>
      </c>
      <c r="W1336" s="105" t="str">
        <f t="shared" si="582"/>
        <v/>
      </c>
      <c r="X1336" s="104" t="str">
        <f t="shared" si="587"/>
        <v/>
      </c>
      <c r="Y1336" s="104" t="str">
        <f t="array" ref="Y1336">IFERROR(IF(ISNUMBER(O1336),IF(COUNT(IF(A1336=$A$2:$A$2427,IF(D1336=$D$2:$D$2427,IF($X$2:$X$2427&gt;0,1))))&gt;0,SUM(IF(A1336=$A$2:$A$2427,IF(D1336=$D$2:$D$2427,$X$2:$X$2427)))/COUNT(IF(A1336=$A$2:$A$2427,IF(D1336=$D$2:$D$2427,IF(ISNUMBER($X$2:$X$2427),1)))),0),""),0)</f>
        <v/>
      </c>
      <c r="Z1336" s="104" t="str">
        <f>IF(ISNUMBER(O1336),IF(I1336&gt;0,(10^(VLOOKUP(D1336,'Species Codes'!B:C,2,0)+VLOOKUP(D1336,'Species Codes'!B:D,3,0)*LOG(E1336)+VLOOKUP(D1336,'Species Codes'!B:E,4,0)*LOG(I1336))),0),"")</f>
        <v/>
      </c>
      <c r="AA1336" s="104" t="str">
        <f>IFERROR((VLOOKUP(D1336,'Species Codes'!B:G,6,0)*Z1336)/2000,"")</f>
        <v/>
      </c>
      <c r="AB1336" s="104" t="e">
        <f>IF(Z1336&gt;0,((IF(OR(D1336="DF",D1336="RA")=TRUE,EXP(VLOOKUP(D1336,'Species Codes'!B:I,8,0)+VLOOKUP(D1336,'Species Codes'!B:J,9,0)*(LN((E1336*2.54)))),IF(OR(D1336="PY",D1336="RC",D1336="WH",D1336="NF")=TRUE,VLOOKUP(D1336,'Species Codes'!B:I,8,0)+VLOOKUP(D1336,'Species Codes'!B:J,9,0)*((E1336*2.54)^2)*(I1336*0.3048),IF(OR(D1336="MD",D1336="BM",D1336="GA")=TRUE,((VLOOKUP(D1336,'Species Codes'!B:I,8,0)*(((((E1336*2.54)+VLOOKUP(D1336,'Species Codes'!B:J,9,0))/VLOOKUP(D1336,'Species Codes'!B:K,10,0))^VLOOKUP(D1336,'Species Codes'!B:L,11,0))*((I1336*0.3048)^VLOOKUP(D1336,'Species Codes'!B:M,12,0))))-(VLOOKUP(D1336,'Species Codes'!B:I,8,0)*((((E1336*2.54)^VLOOKUP(D1336,'Species Codes'!B:L,11,0))*((I1336*0.3048)^VLOOKUP(D1336,'Species Codes'!B:M,12,0))))))*35.3*VLOOKUP(D1336,'Species Codes'!B:G,6,0)/2.2046,VLOOKUP(D1336,'Species Codes'!B:I,8,0)+VLOOKUP(D1336,'Species Codes'!B:J,9,0)*(((E1336*2.54)/100)^2)*(I1336*0.3048)))))*0.0011023),0)</f>
        <v>#N/A</v>
      </c>
      <c r="AC1336" s="104" t="e">
        <f>IF(Z1336&gt;0,((IF(OR(D1336="RA",D1336="OA",D1336="OT",D1336="UN",D1336="PC"),EXP(VLOOKUP(D1336,'Species Codes'!B:O,14,0)+VLOOKUP(D1336,'Species Codes'!B:P,15,0)*LN((E1336*2.54)))-EXP(VLOOKUP(D1336,'Species Codes'!B:O,14,0)+VLOOKUP(D1336,'Species Codes'!B:P,15,0)*LN((E1336*2.54)))*(1/(VLOOKUP(D1336,'Species Codes'!B:Q,16,0)+VLOOKUP(D1336,'Species Codes'!B:R,17,0)*((E1336*2.54)^VLOOKUP(D1336,'Species Codes'!B:S,18,0)))),IF(OR(D1336="BM",D1336="MD",D1336="OA"),EXP(VLOOKUP(D1336,'Species Codes'!B:O,14,0)+VLOOKUP(D1336,'Species Codes'!B:P,15,0)*LN((E1336*2.54)))*(1-(1/(VLOOKUP(D1336,'Species Codes'!B:Q,16,0)+VLOOKUP(D1336,'Species Codes'!B:R,17,0)*((E1336*2.54)^VLOOKUP(D1336,'Species Codes'!B:S,18,0)))))/1000,IF(D1336="DF",EXP(VLOOKUP(D1336,'Species Codes'!B:O,14,0)+VLOOKUP(D1336,'Species Codes'!B:P,15,0)*LN((E1336*2.54))),VLOOKUP(D1336,'Species Codes'!B:O,14,0)+VLOOKUP(D1336,'Species Codes'!B:P,15,0)*(((E1336*2.54)/100)^2)*(I1336*0.3048)))))*0.0011023),0)</f>
        <v>#N/A</v>
      </c>
      <c r="AD1336" s="104" t="e">
        <f t="shared" si="598"/>
        <v>#N/A</v>
      </c>
      <c r="AE1336" s="104" t="e">
        <f t="shared" si="599"/>
        <v>#N/A</v>
      </c>
      <c r="AF1336" s="104" t="e">
        <f>IF(AND(VLOOKUP($D1336,Merchantability!$B:$C,2,0)="Yes",$E1336&gt;=VLOOKUP($D1336,Merchantability!$B:$D,3,0),$E1336&lt;=VLOOKUP($D1336,Merchantability!$B:$E,4,0)),AA1336,0)</f>
        <v>#N/A</v>
      </c>
      <c r="AG1336" s="104" t="e">
        <f>IF(AND(VLOOKUP($D1336,Merchantability!$B:$C,2,0)="Yes",$E1336&gt;=VLOOKUP($D1336,Merchantability!$B:$D,3,0),$E1336&lt;=VLOOKUP($D1336,Merchantability!$B:$E,4,0)),AB1336,0)</f>
        <v>#N/A</v>
      </c>
      <c r="AH1336" s="104" t="e">
        <f>IF(AND(VLOOKUP($D1336,Merchantability!$B:$C,2,0)="Yes",$E1336&gt;=VLOOKUP($D1336,Merchantability!$B:$D,3,0),$E1336&lt;=VLOOKUP($D1336,Merchantability!$B:$E,4,0)),AC1336,0)</f>
        <v>#N/A</v>
      </c>
      <c r="AI1336" s="104" t="e">
        <f t="shared" si="600"/>
        <v>#N/A</v>
      </c>
      <c r="AJ1336" s="104" t="e">
        <f t="shared" si="601"/>
        <v>#VALUE!</v>
      </c>
      <c r="AK1336" s="104" t="e">
        <f t="shared" si="602"/>
        <v>#N/A</v>
      </c>
      <c r="AL1336" s="104" t="e">
        <f t="shared" si="603"/>
        <v>#N/A</v>
      </c>
      <c r="AM1336" s="104" t="e">
        <f t="shared" si="604"/>
        <v>#N/A</v>
      </c>
      <c r="AN1336" s="104" t="e">
        <f t="shared" si="588"/>
        <v>#N/A</v>
      </c>
      <c r="AO1336" s="104" t="e">
        <f t="shared" si="589"/>
        <v>#N/A</v>
      </c>
      <c r="AP1336" s="104" t="e">
        <f t="shared" si="590"/>
        <v>#N/A</v>
      </c>
      <c r="AQ1336" s="104" t="e">
        <f t="shared" si="591"/>
        <v>#N/A</v>
      </c>
      <c r="AR1336" s="105" t="str">
        <f t="shared" si="583"/>
        <v/>
      </c>
      <c r="AS1336" s="105" t="str">
        <f t="shared" si="584"/>
        <v/>
      </c>
      <c r="AT1336" s="108" t="str">
        <f t="shared" si="585"/>
        <v/>
      </c>
      <c r="AU1336" s="108" t="str">
        <f t="shared" si="586"/>
        <v/>
      </c>
      <c r="AV1336" s="107" t="str">
        <f>IF(ISNUMBER(O1336),IF(VLOOKUP($A1336,Stand!C:J,8,FALSE)="Short",AT1336,AU1336),"")</f>
        <v/>
      </c>
      <c r="AW1336" s="109" t="str">
        <f t="shared" si="592"/>
        <v/>
      </c>
      <c r="AX1336" s="109" t="str">
        <f t="shared" si="593"/>
        <v/>
      </c>
      <c r="AY1336" s="112" t="str">
        <f>IF(ISNUMBER(O1336),IF(AND(VLOOKUP($D1336,Merchantability!$B:$C,2,0)="Yes",$E1336&gt;=VLOOKUP($D1336,Merchantability!$B:$D,3,0),$E1336&lt;=VLOOKUP($D1336,Merchantability!$B:$E,4,0)),(AV1336*O1336)*(1-$H1336/100),""),"")</f>
        <v/>
      </c>
      <c r="AZ1336" s="116"/>
      <c r="BA1336" s="116"/>
      <c r="BB1336" s="116"/>
      <c r="BE1336" s="62"/>
      <c r="BF1336" s="63"/>
    </row>
    <row r="1337" spans="1:58" ht="12.75" customHeight="1" x14ac:dyDescent="0.25">
      <c r="A1337" s="333"/>
      <c r="B1337" s="334"/>
      <c r="C1337" s="332"/>
      <c r="D1337" s="334"/>
      <c r="E1337" s="335"/>
      <c r="F1337" s="334"/>
      <c r="G1337" s="332"/>
      <c r="H1337" s="332"/>
      <c r="I1337" s="334"/>
      <c r="J1337" s="336"/>
      <c r="K1337" s="332"/>
      <c r="L1337" s="332"/>
      <c r="M1337" s="76"/>
      <c r="N1337" s="103" t="str">
        <f>IF(A1337="","",VLOOKUP(A1337,Stand!C:K,9,0))</f>
        <v/>
      </c>
      <c r="O1337" s="104" t="str">
        <f t="shared" si="578"/>
        <v/>
      </c>
      <c r="P1337" s="105" t="str">
        <f t="shared" si="579"/>
        <v/>
      </c>
      <c r="Q1337" s="105" t="str">
        <f t="shared" si="594"/>
        <v/>
      </c>
      <c r="R1337" s="103" t="str">
        <f t="shared" si="580"/>
        <v/>
      </c>
      <c r="S1337" s="103" t="str">
        <f t="shared" si="581"/>
        <v/>
      </c>
      <c r="T1337" s="106" t="str">
        <f t="shared" si="595"/>
        <v/>
      </c>
      <c r="U1337" s="106" t="str">
        <f t="shared" si="596"/>
        <v/>
      </c>
      <c r="V1337" s="106" t="str">
        <f t="shared" si="597"/>
        <v/>
      </c>
      <c r="W1337" s="105" t="str">
        <f t="shared" si="582"/>
        <v/>
      </c>
      <c r="X1337" s="104" t="str">
        <f t="shared" si="587"/>
        <v/>
      </c>
      <c r="Y1337" s="104" t="str">
        <f t="array" ref="Y1337">IFERROR(IF(ISNUMBER(O1337),IF(COUNT(IF(A1337=$A$2:$A$2427,IF(D1337=$D$2:$D$2427,IF($X$2:$X$2427&gt;0,1))))&gt;0,SUM(IF(A1337=$A$2:$A$2427,IF(D1337=$D$2:$D$2427,$X$2:$X$2427)))/COUNT(IF(A1337=$A$2:$A$2427,IF(D1337=$D$2:$D$2427,IF(ISNUMBER($X$2:$X$2427),1)))),0),""),0)</f>
        <v/>
      </c>
      <c r="Z1337" s="104" t="str">
        <f>IF(ISNUMBER(O1337),IF(I1337&gt;0,(10^(VLOOKUP(D1337,'Species Codes'!B:C,2,0)+VLOOKUP(D1337,'Species Codes'!B:D,3,0)*LOG(E1337)+VLOOKUP(D1337,'Species Codes'!B:E,4,0)*LOG(I1337))),0),"")</f>
        <v/>
      </c>
      <c r="AA1337" s="104" t="str">
        <f>IFERROR((VLOOKUP(D1337,'Species Codes'!B:G,6,0)*Z1337)/2000,"")</f>
        <v/>
      </c>
      <c r="AB1337" s="104" t="e">
        <f>IF(Z1337&gt;0,((IF(OR(D1337="DF",D1337="RA")=TRUE,EXP(VLOOKUP(D1337,'Species Codes'!B:I,8,0)+VLOOKUP(D1337,'Species Codes'!B:J,9,0)*(LN((E1337*2.54)))),IF(OR(D1337="PY",D1337="RC",D1337="WH",D1337="NF")=TRUE,VLOOKUP(D1337,'Species Codes'!B:I,8,0)+VLOOKUP(D1337,'Species Codes'!B:J,9,0)*((E1337*2.54)^2)*(I1337*0.3048),IF(OR(D1337="MD",D1337="BM",D1337="GA")=TRUE,((VLOOKUP(D1337,'Species Codes'!B:I,8,0)*(((((E1337*2.54)+VLOOKUP(D1337,'Species Codes'!B:J,9,0))/VLOOKUP(D1337,'Species Codes'!B:K,10,0))^VLOOKUP(D1337,'Species Codes'!B:L,11,0))*((I1337*0.3048)^VLOOKUP(D1337,'Species Codes'!B:M,12,0))))-(VLOOKUP(D1337,'Species Codes'!B:I,8,0)*((((E1337*2.54)^VLOOKUP(D1337,'Species Codes'!B:L,11,0))*((I1337*0.3048)^VLOOKUP(D1337,'Species Codes'!B:M,12,0))))))*35.3*VLOOKUP(D1337,'Species Codes'!B:G,6,0)/2.2046,VLOOKUP(D1337,'Species Codes'!B:I,8,0)+VLOOKUP(D1337,'Species Codes'!B:J,9,0)*(((E1337*2.54)/100)^2)*(I1337*0.3048)))))*0.0011023),0)</f>
        <v>#N/A</v>
      </c>
      <c r="AC1337" s="104" t="e">
        <f>IF(Z1337&gt;0,((IF(OR(D1337="RA",D1337="OA",D1337="OT",D1337="UN",D1337="PC"),EXP(VLOOKUP(D1337,'Species Codes'!B:O,14,0)+VLOOKUP(D1337,'Species Codes'!B:P,15,0)*LN((E1337*2.54)))-EXP(VLOOKUP(D1337,'Species Codes'!B:O,14,0)+VLOOKUP(D1337,'Species Codes'!B:P,15,0)*LN((E1337*2.54)))*(1/(VLOOKUP(D1337,'Species Codes'!B:Q,16,0)+VLOOKUP(D1337,'Species Codes'!B:R,17,0)*((E1337*2.54)^VLOOKUP(D1337,'Species Codes'!B:S,18,0)))),IF(OR(D1337="BM",D1337="MD",D1337="OA"),EXP(VLOOKUP(D1337,'Species Codes'!B:O,14,0)+VLOOKUP(D1337,'Species Codes'!B:P,15,0)*LN((E1337*2.54)))*(1-(1/(VLOOKUP(D1337,'Species Codes'!B:Q,16,0)+VLOOKUP(D1337,'Species Codes'!B:R,17,0)*((E1337*2.54)^VLOOKUP(D1337,'Species Codes'!B:S,18,0)))))/1000,IF(D1337="DF",EXP(VLOOKUP(D1337,'Species Codes'!B:O,14,0)+VLOOKUP(D1337,'Species Codes'!B:P,15,0)*LN((E1337*2.54))),VLOOKUP(D1337,'Species Codes'!B:O,14,0)+VLOOKUP(D1337,'Species Codes'!B:P,15,0)*(((E1337*2.54)/100)^2)*(I1337*0.3048)))))*0.0011023),0)</f>
        <v>#N/A</v>
      </c>
      <c r="AD1337" s="104" t="e">
        <f t="shared" si="598"/>
        <v>#N/A</v>
      </c>
      <c r="AE1337" s="104" t="e">
        <f t="shared" si="599"/>
        <v>#N/A</v>
      </c>
      <c r="AF1337" s="104" t="e">
        <f>IF(AND(VLOOKUP($D1337,Merchantability!$B:$C,2,0)="Yes",$E1337&gt;=VLOOKUP($D1337,Merchantability!$B:$D,3,0),$E1337&lt;=VLOOKUP($D1337,Merchantability!$B:$E,4,0)),AA1337,0)</f>
        <v>#N/A</v>
      </c>
      <c r="AG1337" s="104" t="e">
        <f>IF(AND(VLOOKUP($D1337,Merchantability!$B:$C,2,0)="Yes",$E1337&gt;=VLOOKUP($D1337,Merchantability!$B:$D,3,0),$E1337&lt;=VLOOKUP($D1337,Merchantability!$B:$E,4,0)),AB1337,0)</f>
        <v>#N/A</v>
      </c>
      <c r="AH1337" s="104" t="e">
        <f>IF(AND(VLOOKUP($D1337,Merchantability!$B:$C,2,0)="Yes",$E1337&gt;=VLOOKUP($D1337,Merchantability!$B:$D,3,0),$E1337&lt;=VLOOKUP($D1337,Merchantability!$B:$E,4,0)),AC1337,0)</f>
        <v>#N/A</v>
      </c>
      <c r="AI1337" s="104" t="e">
        <f t="shared" si="600"/>
        <v>#N/A</v>
      </c>
      <c r="AJ1337" s="104" t="e">
        <f t="shared" si="601"/>
        <v>#VALUE!</v>
      </c>
      <c r="AK1337" s="104" t="e">
        <f t="shared" si="602"/>
        <v>#N/A</v>
      </c>
      <c r="AL1337" s="104" t="e">
        <f t="shared" si="603"/>
        <v>#N/A</v>
      </c>
      <c r="AM1337" s="104" t="e">
        <f t="shared" si="604"/>
        <v>#N/A</v>
      </c>
      <c r="AN1337" s="104" t="e">
        <f t="shared" si="588"/>
        <v>#N/A</v>
      </c>
      <c r="AO1337" s="104" t="e">
        <f t="shared" si="589"/>
        <v>#N/A</v>
      </c>
      <c r="AP1337" s="104" t="e">
        <f t="shared" si="590"/>
        <v>#N/A</v>
      </c>
      <c r="AQ1337" s="104" t="e">
        <f t="shared" si="591"/>
        <v>#N/A</v>
      </c>
      <c r="AR1337" s="105" t="str">
        <f t="shared" si="583"/>
        <v/>
      </c>
      <c r="AS1337" s="105" t="str">
        <f t="shared" si="584"/>
        <v/>
      </c>
      <c r="AT1337" s="108" t="str">
        <f t="shared" si="585"/>
        <v/>
      </c>
      <c r="AU1337" s="108" t="str">
        <f t="shared" si="586"/>
        <v/>
      </c>
      <c r="AV1337" s="107" t="str">
        <f>IF(ISNUMBER(O1337),IF(VLOOKUP($A1337,Stand!C:J,8,FALSE)="Short",AT1337,AU1337),"")</f>
        <v/>
      </c>
      <c r="AW1337" s="109" t="str">
        <f t="shared" si="592"/>
        <v/>
      </c>
      <c r="AX1337" s="109" t="str">
        <f t="shared" si="593"/>
        <v/>
      </c>
      <c r="AY1337" s="112" t="str">
        <f>IF(ISNUMBER(O1337),IF(AND(VLOOKUP($D1337,Merchantability!$B:$C,2,0)="Yes",$E1337&gt;=VLOOKUP($D1337,Merchantability!$B:$D,3,0),$E1337&lt;=VLOOKUP($D1337,Merchantability!$B:$E,4,0)),(AV1337*O1337)*(1-$H1337/100),""),"")</f>
        <v/>
      </c>
      <c r="AZ1337" s="116"/>
      <c r="BA1337" s="116"/>
      <c r="BB1337" s="116"/>
      <c r="BE1337" s="62"/>
      <c r="BF1337" s="63"/>
    </row>
    <row r="1338" spans="1:58" ht="12.75" customHeight="1" x14ac:dyDescent="0.25">
      <c r="A1338" s="333"/>
      <c r="B1338" s="334"/>
      <c r="C1338" s="332"/>
      <c r="D1338" s="334"/>
      <c r="E1338" s="335"/>
      <c r="F1338" s="334"/>
      <c r="G1338" s="332"/>
      <c r="H1338" s="332"/>
      <c r="I1338" s="334"/>
      <c r="J1338" s="336"/>
      <c r="K1338" s="332"/>
      <c r="L1338" s="332"/>
      <c r="M1338" s="76"/>
      <c r="N1338" s="103" t="str">
        <f>IF(A1338="","",VLOOKUP(A1338,Stand!C:K,9,0))</f>
        <v/>
      </c>
      <c r="O1338" s="104" t="str">
        <f t="shared" si="578"/>
        <v/>
      </c>
      <c r="P1338" s="105" t="str">
        <f t="shared" si="579"/>
        <v/>
      </c>
      <c r="Q1338" s="105" t="str">
        <f t="shared" si="594"/>
        <v/>
      </c>
      <c r="R1338" s="103" t="str">
        <f t="shared" si="580"/>
        <v/>
      </c>
      <c r="S1338" s="103" t="str">
        <f t="shared" si="581"/>
        <v/>
      </c>
      <c r="T1338" s="106" t="str">
        <f t="shared" si="595"/>
        <v/>
      </c>
      <c r="U1338" s="106" t="str">
        <f t="shared" si="596"/>
        <v/>
      </c>
      <c r="V1338" s="106" t="str">
        <f t="shared" si="597"/>
        <v/>
      </c>
      <c r="W1338" s="105" t="str">
        <f t="shared" si="582"/>
        <v/>
      </c>
      <c r="X1338" s="104" t="str">
        <f t="shared" si="587"/>
        <v/>
      </c>
      <c r="Y1338" s="104" t="str">
        <f t="array" ref="Y1338">IFERROR(IF(ISNUMBER(O1338),IF(COUNT(IF(A1338=$A$2:$A$2427,IF(D1338=$D$2:$D$2427,IF($X$2:$X$2427&gt;0,1))))&gt;0,SUM(IF(A1338=$A$2:$A$2427,IF(D1338=$D$2:$D$2427,$X$2:$X$2427)))/COUNT(IF(A1338=$A$2:$A$2427,IF(D1338=$D$2:$D$2427,IF(ISNUMBER($X$2:$X$2427),1)))),0),""),0)</f>
        <v/>
      </c>
      <c r="Z1338" s="104" t="str">
        <f>IF(ISNUMBER(O1338),IF(I1338&gt;0,(10^(VLOOKUP(D1338,'Species Codes'!B:C,2,0)+VLOOKUP(D1338,'Species Codes'!B:D,3,0)*LOG(E1338)+VLOOKUP(D1338,'Species Codes'!B:E,4,0)*LOG(I1338))),0),"")</f>
        <v/>
      </c>
      <c r="AA1338" s="104" t="str">
        <f>IFERROR((VLOOKUP(D1338,'Species Codes'!B:G,6,0)*Z1338)/2000,"")</f>
        <v/>
      </c>
      <c r="AB1338" s="104" t="e">
        <f>IF(Z1338&gt;0,((IF(OR(D1338="DF",D1338="RA")=TRUE,EXP(VLOOKUP(D1338,'Species Codes'!B:I,8,0)+VLOOKUP(D1338,'Species Codes'!B:J,9,0)*(LN((E1338*2.54)))),IF(OR(D1338="PY",D1338="RC",D1338="WH",D1338="NF")=TRUE,VLOOKUP(D1338,'Species Codes'!B:I,8,0)+VLOOKUP(D1338,'Species Codes'!B:J,9,0)*((E1338*2.54)^2)*(I1338*0.3048),IF(OR(D1338="MD",D1338="BM",D1338="GA")=TRUE,((VLOOKUP(D1338,'Species Codes'!B:I,8,0)*(((((E1338*2.54)+VLOOKUP(D1338,'Species Codes'!B:J,9,0))/VLOOKUP(D1338,'Species Codes'!B:K,10,0))^VLOOKUP(D1338,'Species Codes'!B:L,11,0))*((I1338*0.3048)^VLOOKUP(D1338,'Species Codes'!B:M,12,0))))-(VLOOKUP(D1338,'Species Codes'!B:I,8,0)*((((E1338*2.54)^VLOOKUP(D1338,'Species Codes'!B:L,11,0))*((I1338*0.3048)^VLOOKUP(D1338,'Species Codes'!B:M,12,0))))))*35.3*VLOOKUP(D1338,'Species Codes'!B:G,6,0)/2.2046,VLOOKUP(D1338,'Species Codes'!B:I,8,0)+VLOOKUP(D1338,'Species Codes'!B:J,9,0)*(((E1338*2.54)/100)^2)*(I1338*0.3048)))))*0.0011023),0)</f>
        <v>#N/A</v>
      </c>
      <c r="AC1338" s="104" t="e">
        <f>IF(Z1338&gt;0,((IF(OR(D1338="RA",D1338="OA",D1338="OT",D1338="UN",D1338="PC"),EXP(VLOOKUP(D1338,'Species Codes'!B:O,14,0)+VLOOKUP(D1338,'Species Codes'!B:P,15,0)*LN((E1338*2.54)))-EXP(VLOOKUP(D1338,'Species Codes'!B:O,14,0)+VLOOKUP(D1338,'Species Codes'!B:P,15,0)*LN((E1338*2.54)))*(1/(VLOOKUP(D1338,'Species Codes'!B:Q,16,0)+VLOOKUP(D1338,'Species Codes'!B:R,17,0)*((E1338*2.54)^VLOOKUP(D1338,'Species Codes'!B:S,18,0)))),IF(OR(D1338="BM",D1338="MD",D1338="OA"),EXP(VLOOKUP(D1338,'Species Codes'!B:O,14,0)+VLOOKUP(D1338,'Species Codes'!B:P,15,0)*LN((E1338*2.54)))*(1-(1/(VLOOKUP(D1338,'Species Codes'!B:Q,16,0)+VLOOKUP(D1338,'Species Codes'!B:R,17,0)*((E1338*2.54)^VLOOKUP(D1338,'Species Codes'!B:S,18,0)))))/1000,IF(D1338="DF",EXP(VLOOKUP(D1338,'Species Codes'!B:O,14,0)+VLOOKUP(D1338,'Species Codes'!B:P,15,0)*LN((E1338*2.54))),VLOOKUP(D1338,'Species Codes'!B:O,14,0)+VLOOKUP(D1338,'Species Codes'!B:P,15,0)*(((E1338*2.54)/100)^2)*(I1338*0.3048)))))*0.0011023),0)</f>
        <v>#N/A</v>
      </c>
      <c r="AD1338" s="104" t="e">
        <f t="shared" si="598"/>
        <v>#N/A</v>
      </c>
      <c r="AE1338" s="104" t="e">
        <f t="shared" si="599"/>
        <v>#N/A</v>
      </c>
      <c r="AF1338" s="104" t="e">
        <f>IF(AND(VLOOKUP($D1338,Merchantability!$B:$C,2,0)="Yes",$E1338&gt;=VLOOKUP($D1338,Merchantability!$B:$D,3,0),$E1338&lt;=VLOOKUP($D1338,Merchantability!$B:$E,4,0)),AA1338,0)</f>
        <v>#N/A</v>
      </c>
      <c r="AG1338" s="104" t="e">
        <f>IF(AND(VLOOKUP($D1338,Merchantability!$B:$C,2,0)="Yes",$E1338&gt;=VLOOKUP($D1338,Merchantability!$B:$D,3,0),$E1338&lt;=VLOOKUP($D1338,Merchantability!$B:$E,4,0)),AB1338,0)</f>
        <v>#N/A</v>
      </c>
      <c r="AH1338" s="104" t="e">
        <f>IF(AND(VLOOKUP($D1338,Merchantability!$B:$C,2,0)="Yes",$E1338&gt;=VLOOKUP($D1338,Merchantability!$B:$D,3,0),$E1338&lt;=VLOOKUP($D1338,Merchantability!$B:$E,4,0)),AC1338,0)</f>
        <v>#N/A</v>
      </c>
      <c r="AI1338" s="104" t="e">
        <f t="shared" si="600"/>
        <v>#N/A</v>
      </c>
      <c r="AJ1338" s="104" t="e">
        <f t="shared" si="601"/>
        <v>#VALUE!</v>
      </c>
      <c r="AK1338" s="104" t="e">
        <f t="shared" si="602"/>
        <v>#N/A</v>
      </c>
      <c r="AL1338" s="104" t="e">
        <f t="shared" si="603"/>
        <v>#N/A</v>
      </c>
      <c r="AM1338" s="104" t="e">
        <f t="shared" si="604"/>
        <v>#N/A</v>
      </c>
      <c r="AN1338" s="104" t="e">
        <f t="shared" si="588"/>
        <v>#N/A</v>
      </c>
      <c r="AO1338" s="104" t="e">
        <f t="shared" si="589"/>
        <v>#N/A</v>
      </c>
      <c r="AP1338" s="104" t="e">
        <f t="shared" si="590"/>
        <v>#N/A</v>
      </c>
      <c r="AQ1338" s="104" t="e">
        <f t="shared" si="591"/>
        <v>#N/A</v>
      </c>
      <c r="AR1338" s="105" t="str">
        <f t="shared" si="583"/>
        <v/>
      </c>
      <c r="AS1338" s="105" t="str">
        <f t="shared" si="584"/>
        <v/>
      </c>
      <c r="AT1338" s="108" t="str">
        <f t="shared" si="585"/>
        <v/>
      </c>
      <c r="AU1338" s="108" t="str">
        <f t="shared" si="586"/>
        <v/>
      </c>
      <c r="AV1338" s="107" t="str">
        <f>IF(ISNUMBER(O1338),IF(VLOOKUP($A1338,Stand!C:J,8,FALSE)="Short",AT1338,AU1338),"")</f>
        <v/>
      </c>
      <c r="AW1338" s="109" t="str">
        <f t="shared" si="592"/>
        <v/>
      </c>
      <c r="AX1338" s="109" t="str">
        <f t="shared" si="593"/>
        <v/>
      </c>
      <c r="AY1338" s="112" t="str">
        <f>IF(ISNUMBER(O1338),IF(AND(VLOOKUP($D1338,Merchantability!$B:$C,2,0)="Yes",$E1338&gt;=VLOOKUP($D1338,Merchantability!$B:$D,3,0),$E1338&lt;=VLOOKUP($D1338,Merchantability!$B:$E,4,0)),(AV1338*O1338)*(1-$H1338/100),""),"")</f>
        <v/>
      </c>
      <c r="AZ1338" s="116"/>
      <c r="BA1338" s="116"/>
      <c r="BB1338" s="116"/>
      <c r="BE1338" s="62"/>
      <c r="BF1338" s="63"/>
    </row>
    <row r="1339" spans="1:58" ht="12.75" customHeight="1" x14ac:dyDescent="0.25">
      <c r="A1339" s="333"/>
      <c r="B1339" s="334"/>
      <c r="C1339" s="332"/>
      <c r="D1339" s="334"/>
      <c r="E1339" s="335"/>
      <c r="F1339" s="334"/>
      <c r="G1339" s="332"/>
      <c r="H1339" s="332"/>
      <c r="I1339" s="334"/>
      <c r="J1339" s="336"/>
      <c r="K1339" s="332"/>
      <c r="L1339" s="332"/>
      <c r="M1339" s="76"/>
      <c r="N1339" s="103" t="str">
        <f>IF(A1339="","",VLOOKUP(A1339,Stand!C:K,9,0))</f>
        <v/>
      </c>
      <c r="O1339" s="104" t="str">
        <f t="shared" si="578"/>
        <v/>
      </c>
      <c r="P1339" s="105" t="str">
        <f t="shared" si="579"/>
        <v/>
      </c>
      <c r="Q1339" s="105" t="str">
        <f t="shared" si="594"/>
        <v/>
      </c>
      <c r="R1339" s="103" t="str">
        <f t="shared" si="580"/>
        <v/>
      </c>
      <c r="S1339" s="103" t="str">
        <f t="shared" si="581"/>
        <v/>
      </c>
      <c r="T1339" s="106" t="str">
        <f t="shared" si="595"/>
        <v/>
      </c>
      <c r="U1339" s="106" t="str">
        <f t="shared" si="596"/>
        <v/>
      </c>
      <c r="V1339" s="106" t="str">
        <f t="shared" si="597"/>
        <v/>
      </c>
      <c r="W1339" s="105" t="str">
        <f t="shared" si="582"/>
        <v/>
      </c>
      <c r="X1339" s="104" t="str">
        <f t="shared" si="587"/>
        <v/>
      </c>
      <c r="Y1339" s="104" t="str">
        <f t="array" ref="Y1339">IFERROR(IF(ISNUMBER(O1339),IF(COUNT(IF(A1339=$A$2:$A$2427,IF(D1339=$D$2:$D$2427,IF($X$2:$X$2427&gt;0,1))))&gt;0,SUM(IF(A1339=$A$2:$A$2427,IF(D1339=$D$2:$D$2427,$X$2:$X$2427)))/COUNT(IF(A1339=$A$2:$A$2427,IF(D1339=$D$2:$D$2427,IF(ISNUMBER($X$2:$X$2427),1)))),0),""),0)</f>
        <v/>
      </c>
      <c r="Z1339" s="104" t="str">
        <f>IF(ISNUMBER(O1339),IF(I1339&gt;0,(10^(VLOOKUP(D1339,'Species Codes'!B:C,2,0)+VLOOKUP(D1339,'Species Codes'!B:D,3,0)*LOG(E1339)+VLOOKUP(D1339,'Species Codes'!B:E,4,0)*LOG(I1339))),0),"")</f>
        <v/>
      </c>
      <c r="AA1339" s="104" t="str">
        <f>IFERROR((VLOOKUP(D1339,'Species Codes'!B:G,6,0)*Z1339)/2000,"")</f>
        <v/>
      </c>
      <c r="AB1339" s="104" t="e">
        <f>IF(Z1339&gt;0,((IF(OR(D1339="DF",D1339="RA")=TRUE,EXP(VLOOKUP(D1339,'Species Codes'!B:I,8,0)+VLOOKUP(D1339,'Species Codes'!B:J,9,0)*(LN((E1339*2.54)))),IF(OR(D1339="PY",D1339="RC",D1339="WH",D1339="NF")=TRUE,VLOOKUP(D1339,'Species Codes'!B:I,8,0)+VLOOKUP(D1339,'Species Codes'!B:J,9,0)*((E1339*2.54)^2)*(I1339*0.3048),IF(OR(D1339="MD",D1339="BM",D1339="GA")=TRUE,((VLOOKUP(D1339,'Species Codes'!B:I,8,0)*(((((E1339*2.54)+VLOOKUP(D1339,'Species Codes'!B:J,9,0))/VLOOKUP(D1339,'Species Codes'!B:K,10,0))^VLOOKUP(D1339,'Species Codes'!B:L,11,0))*((I1339*0.3048)^VLOOKUP(D1339,'Species Codes'!B:M,12,0))))-(VLOOKUP(D1339,'Species Codes'!B:I,8,0)*((((E1339*2.54)^VLOOKUP(D1339,'Species Codes'!B:L,11,0))*((I1339*0.3048)^VLOOKUP(D1339,'Species Codes'!B:M,12,0))))))*35.3*VLOOKUP(D1339,'Species Codes'!B:G,6,0)/2.2046,VLOOKUP(D1339,'Species Codes'!B:I,8,0)+VLOOKUP(D1339,'Species Codes'!B:J,9,0)*(((E1339*2.54)/100)^2)*(I1339*0.3048)))))*0.0011023),0)</f>
        <v>#N/A</v>
      </c>
      <c r="AC1339" s="104" t="e">
        <f>IF(Z1339&gt;0,((IF(OR(D1339="RA",D1339="OA",D1339="OT",D1339="UN",D1339="PC"),EXP(VLOOKUP(D1339,'Species Codes'!B:O,14,0)+VLOOKUP(D1339,'Species Codes'!B:P,15,0)*LN((E1339*2.54)))-EXP(VLOOKUP(D1339,'Species Codes'!B:O,14,0)+VLOOKUP(D1339,'Species Codes'!B:P,15,0)*LN((E1339*2.54)))*(1/(VLOOKUP(D1339,'Species Codes'!B:Q,16,0)+VLOOKUP(D1339,'Species Codes'!B:R,17,0)*((E1339*2.54)^VLOOKUP(D1339,'Species Codes'!B:S,18,0)))),IF(OR(D1339="BM",D1339="MD",D1339="OA"),EXP(VLOOKUP(D1339,'Species Codes'!B:O,14,0)+VLOOKUP(D1339,'Species Codes'!B:P,15,0)*LN((E1339*2.54)))*(1-(1/(VLOOKUP(D1339,'Species Codes'!B:Q,16,0)+VLOOKUP(D1339,'Species Codes'!B:R,17,0)*((E1339*2.54)^VLOOKUP(D1339,'Species Codes'!B:S,18,0)))))/1000,IF(D1339="DF",EXP(VLOOKUP(D1339,'Species Codes'!B:O,14,0)+VLOOKUP(D1339,'Species Codes'!B:P,15,0)*LN((E1339*2.54))),VLOOKUP(D1339,'Species Codes'!B:O,14,0)+VLOOKUP(D1339,'Species Codes'!B:P,15,0)*(((E1339*2.54)/100)^2)*(I1339*0.3048)))))*0.0011023),0)</f>
        <v>#N/A</v>
      </c>
      <c r="AD1339" s="104" t="e">
        <f t="shared" si="598"/>
        <v>#N/A</v>
      </c>
      <c r="AE1339" s="104" t="e">
        <f t="shared" si="599"/>
        <v>#N/A</v>
      </c>
      <c r="AF1339" s="104" t="e">
        <f>IF(AND(VLOOKUP($D1339,Merchantability!$B:$C,2,0)="Yes",$E1339&gt;=VLOOKUP($D1339,Merchantability!$B:$D,3,0),$E1339&lt;=VLOOKUP($D1339,Merchantability!$B:$E,4,0)),AA1339,0)</f>
        <v>#N/A</v>
      </c>
      <c r="AG1339" s="104" t="e">
        <f>IF(AND(VLOOKUP($D1339,Merchantability!$B:$C,2,0)="Yes",$E1339&gt;=VLOOKUP($D1339,Merchantability!$B:$D,3,0),$E1339&lt;=VLOOKUP($D1339,Merchantability!$B:$E,4,0)),AB1339,0)</f>
        <v>#N/A</v>
      </c>
      <c r="AH1339" s="104" t="e">
        <f>IF(AND(VLOOKUP($D1339,Merchantability!$B:$C,2,0)="Yes",$E1339&gt;=VLOOKUP($D1339,Merchantability!$B:$D,3,0),$E1339&lt;=VLOOKUP($D1339,Merchantability!$B:$E,4,0)),AC1339,0)</f>
        <v>#N/A</v>
      </c>
      <c r="AI1339" s="104" t="e">
        <f t="shared" si="600"/>
        <v>#N/A</v>
      </c>
      <c r="AJ1339" s="104" t="e">
        <f t="shared" si="601"/>
        <v>#VALUE!</v>
      </c>
      <c r="AK1339" s="104" t="e">
        <f t="shared" si="602"/>
        <v>#N/A</v>
      </c>
      <c r="AL1339" s="104" t="e">
        <f t="shared" si="603"/>
        <v>#N/A</v>
      </c>
      <c r="AM1339" s="104" t="e">
        <f t="shared" si="604"/>
        <v>#N/A</v>
      </c>
      <c r="AN1339" s="104" t="e">
        <f t="shared" si="588"/>
        <v>#N/A</v>
      </c>
      <c r="AO1339" s="104" t="e">
        <f t="shared" si="589"/>
        <v>#N/A</v>
      </c>
      <c r="AP1339" s="104" t="e">
        <f t="shared" si="590"/>
        <v>#N/A</v>
      </c>
      <c r="AQ1339" s="104" t="e">
        <f t="shared" si="591"/>
        <v>#N/A</v>
      </c>
      <c r="AR1339" s="105" t="str">
        <f t="shared" si="583"/>
        <v/>
      </c>
      <c r="AS1339" s="105" t="str">
        <f t="shared" si="584"/>
        <v/>
      </c>
      <c r="AT1339" s="108" t="str">
        <f t="shared" si="585"/>
        <v/>
      </c>
      <c r="AU1339" s="108" t="str">
        <f t="shared" si="586"/>
        <v/>
      </c>
      <c r="AV1339" s="107" t="str">
        <f>IF(ISNUMBER(O1339),IF(VLOOKUP($A1339,Stand!C:J,8,FALSE)="Short",AT1339,AU1339),"")</f>
        <v/>
      </c>
      <c r="AW1339" s="109" t="str">
        <f t="shared" si="592"/>
        <v/>
      </c>
      <c r="AX1339" s="109" t="str">
        <f t="shared" si="593"/>
        <v/>
      </c>
      <c r="AY1339" s="112" t="str">
        <f>IF(ISNUMBER(O1339),IF(AND(VLOOKUP($D1339,Merchantability!$B:$C,2,0)="Yes",$E1339&gt;=VLOOKUP($D1339,Merchantability!$B:$D,3,0),$E1339&lt;=VLOOKUP($D1339,Merchantability!$B:$E,4,0)),(AV1339*O1339)*(1-$H1339/100),""),"")</f>
        <v/>
      </c>
      <c r="AZ1339" s="116"/>
      <c r="BA1339" s="116"/>
      <c r="BB1339" s="116"/>
      <c r="BE1339" s="62"/>
      <c r="BF1339" s="63"/>
    </row>
    <row r="1340" spans="1:58" ht="12.75" customHeight="1" x14ac:dyDescent="0.25">
      <c r="A1340" s="333"/>
      <c r="B1340" s="334"/>
      <c r="C1340" s="332"/>
      <c r="D1340" s="334"/>
      <c r="E1340" s="335"/>
      <c r="F1340" s="334"/>
      <c r="G1340" s="332"/>
      <c r="H1340" s="332"/>
      <c r="I1340" s="334"/>
      <c r="J1340" s="336"/>
      <c r="K1340" s="332"/>
      <c r="L1340" s="332"/>
      <c r="M1340" s="76"/>
      <c r="N1340" s="103" t="str">
        <f>IF(A1340="","",VLOOKUP(A1340,Stand!C:K,9,0))</f>
        <v/>
      </c>
      <c r="O1340" s="104" t="str">
        <f t="shared" si="578"/>
        <v/>
      </c>
      <c r="P1340" s="105" t="str">
        <f t="shared" si="579"/>
        <v/>
      </c>
      <c r="Q1340" s="105" t="str">
        <f t="shared" si="594"/>
        <v/>
      </c>
      <c r="R1340" s="103" t="str">
        <f t="shared" si="580"/>
        <v/>
      </c>
      <c r="S1340" s="103" t="str">
        <f t="shared" si="581"/>
        <v/>
      </c>
      <c r="T1340" s="106" t="str">
        <f t="shared" si="595"/>
        <v/>
      </c>
      <c r="U1340" s="106" t="str">
        <f t="shared" si="596"/>
        <v/>
      </c>
      <c r="V1340" s="106" t="str">
        <f t="shared" si="597"/>
        <v/>
      </c>
      <c r="W1340" s="105" t="str">
        <f t="shared" si="582"/>
        <v/>
      </c>
      <c r="X1340" s="104" t="str">
        <f t="shared" si="587"/>
        <v/>
      </c>
      <c r="Y1340" s="104" t="str">
        <f t="array" ref="Y1340">IFERROR(IF(ISNUMBER(O1340),IF(COUNT(IF(A1340=$A$2:$A$2427,IF(D1340=$D$2:$D$2427,IF($X$2:$X$2427&gt;0,1))))&gt;0,SUM(IF(A1340=$A$2:$A$2427,IF(D1340=$D$2:$D$2427,$X$2:$X$2427)))/COUNT(IF(A1340=$A$2:$A$2427,IF(D1340=$D$2:$D$2427,IF(ISNUMBER($X$2:$X$2427),1)))),0),""),0)</f>
        <v/>
      </c>
      <c r="Z1340" s="104" t="str">
        <f>IF(ISNUMBER(O1340),IF(I1340&gt;0,(10^(VLOOKUP(D1340,'Species Codes'!B:C,2,0)+VLOOKUP(D1340,'Species Codes'!B:D,3,0)*LOG(E1340)+VLOOKUP(D1340,'Species Codes'!B:E,4,0)*LOG(I1340))),0),"")</f>
        <v/>
      </c>
      <c r="AA1340" s="104" t="str">
        <f>IFERROR((VLOOKUP(D1340,'Species Codes'!B:G,6,0)*Z1340)/2000,"")</f>
        <v/>
      </c>
      <c r="AB1340" s="104" t="e">
        <f>IF(Z1340&gt;0,((IF(OR(D1340="DF",D1340="RA")=TRUE,EXP(VLOOKUP(D1340,'Species Codes'!B:I,8,0)+VLOOKUP(D1340,'Species Codes'!B:J,9,0)*(LN((E1340*2.54)))),IF(OR(D1340="PY",D1340="RC",D1340="WH",D1340="NF")=TRUE,VLOOKUP(D1340,'Species Codes'!B:I,8,0)+VLOOKUP(D1340,'Species Codes'!B:J,9,0)*((E1340*2.54)^2)*(I1340*0.3048),IF(OR(D1340="MD",D1340="BM",D1340="GA")=TRUE,((VLOOKUP(D1340,'Species Codes'!B:I,8,0)*(((((E1340*2.54)+VLOOKUP(D1340,'Species Codes'!B:J,9,0))/VLOOKUP(D1340,'Species Codes'!B:K,10,0))^VLOOKUP(D1340,'Species Codes'!B:L,11,0))*((I1340*0.3048)^VLOOKUP(D1340,'Species Codes'!B:M,12,0))))-(VLOOKUP(D1340,'Species Codes'!B:I,8,0)*((((E1340*2.54)^VLOOKUP(D1340,'Species Codes'!B:L,11,0))*((I1340*0.3048)^VLOOKUP(D1340,'Species Codes'!B:M,12,0))))))*35.3*VLOOKUP(D1340,'Species Codes'!B:G,6,0)/2.2046,VLOOKUP(D1340,'Species Codes'!B:I,8,0)+VLOOKUP(D1340,'Species Codes'!B:J,9,0)*(((E1340*2.54)/100)^2)*(I1340*0.3048)))))*0.0011023),0)</f>
        <v>#N/A</v>
      </c>
      <c r="AC1340" s="104" t="e">
        <f>IF(Z1340&gt;0,((IF(OR(D1340="RA",D1340="OA",D1340="OT",D1340="UN",D1340="PC"),EXP(VLOOKUP(D1340,'Species Codes'!B:O,14,0)+VLOOKUP(D1340,'Species Codes'!B:P,15,0)*LN((E1340*2.54)))-EXP(VLOOKUP(D1340,'Species Codes'!B:O,14,0)+VLOOKUP(D1340,'Species Codes'!B:P,15,0)*LN((E1340*2.54)))*(1/(VLOOKUP(D1340,'Species Codes'!B:Q,16,0)+VLOOKUP(D1340,'Species Codes'!B:R,17,0)*((E1340*2.54)^VLOOKUP(D1340,'Species Codes'!B:S,18,0)))),IF(OR(D1340="BM",D1340="MD",D1340="OA"),EXP(VLOOKUP(D1340,'Species Codes'!B:O,14,0)+VLOOKUP(D1340,'Species Codes'!B:P,15,0)*LN((E1340*2.54)))*(1-(1/(VLOOKUP(D1340,'Species Codes'!B:Q,16,0)+VLOOKUP(D1340,'Species Codes'!B:R,17,0)*((E1340*2.54)^VLOOKUP(D1340,'Species Codes'!B:S,18,0)))))/1000,IF(D1340="DF",EXP(VLOOKUP(D1340,'Species Codes'!B:O,14,0)+VLOOKUP(D1340,'Species Codes'!B:P,15,0)*LN((E1340*2.54))),VLOOKUP(D1340,'Species Codes'!B:O,14,0)+VLOOKUP(D1340,'Species Codes'!B:P,15,0)*(((E1340*2.54)/100)^2)*(I1340*0.3048)))))*0.0011023),0)</f>
        <v>#N/A</v>
      </c>
      <c r="AD1340" s="104" t="e">
        <f t="shared" si="598"/>
        <v>#N/A</v>
      </c>
      <c r="AE1340" s="104" t="e">
        <f t="shared" si="599"/>
        <v>#N/A</v>
      </c>
      <c r="AF1340" s="104" t="e">
        <f>IF(AND(VLOOKUP($D1340,Merchantability!$B:$C,2,0)="Yes",$E1340&gt;=VLOOKUP($D1340,Merchantability!$B:$D,3,0),$E1340&lt;=VLOOKUP($D1340,Merchantability!$B:$E,4,0)),AA1340,0)</f>
        <v>#N/A</v>
      </c>
      <c r="AG1340" s="104" t="e">
        <f>IF(AND(VLOOKUP($D1340,Merchantability!$B:$C,2,0)="Yes",$E1340&gt;=VLOOKUP($D1340,Merchantability!$B:$D,3,0),$E1340&lt;=VLOOKUP($D1340,Merchantability!$B:$E,4,0)),AB1340,0)</f>
        <v>#N/A</v>
      </c>
      <c r="AH1340" s="104" t="e">
        <f>IF(AND(VLOOKUP($D1340,Merchantability!$B:$C,2,0)="Yes",$E1340&gt;=VLOOKUP($D1340,Merchantability!$B:$D,3,0),$E1340&lt;=VLOOKUP($D1340,Merchantability!$B:$E,4,0)),AC1340,0)</f>
        <v>#N/A</v>
      </c>
      <c r="AI1340" s="104" t="e">
        <f t="shared" si="600"/>
        <v>#N/A</v>
      </c>
      <c r="AJ1340" s="104" t="e">
        <f t="shared" si="601"/>
        <v>#VALUE!</v>
      </c>
      <c r="AK1340" s="104" t="e">
        <f t="shared" si="602"/>
        <v>#N/A</v>
      </c>
      <c r="AL1340" s="104" t="e">
        <f t="shared" si="603"/>
        <v>#N/A</v>
      </c>
      <c r="AM1340" s="104" t="e">
        <f t="shared" si="604"/>
        <v>#N/A</v>
      </c>
      <c r="AN1340" s="104" t="e">
        <f t="shared" si="588"/>
        <v>#N/A</v>
      </c>
      <c r="AO1340" s="104" t="e">
        <f t="shared" si="589"/>
        <v>#N/A</v>
      </c>
      <c r="AP1340" s="104" t="e">
        <f t="shared" si="590"/>
        <v>#N/A</v>
      </c>
      <c r="AQ1340" s="104" t="e">
        <f t="shared" si="591"/>
        <v>#N/A</v>
      </c>
      <c r="AR1340" s="105" t="str">
        <f t="shared" si="583"/>
        <v/>
      </c>
      <c r="AS1340" s="105" t="str">
        <f t="shared" si="584"/>
        <v/>
      </c>
      <c r="AT1340" s="108" t="str">
        <f t="shared" si="585"/>
        <v/>
      </c>
      <c r="AU1340" s="108" t="str">
        <f t="shared" si="586"/>
        <v/>
      </c>
      <c r="AV1340" s="107" t="str">
        <f>IF(ISNUMBER(O1340),IF(VLOOKUP($A1340,Stand!C:J,8,FALSE)="Short",AT1340,AU1340),"")</f>
        <v/>
      </c>
      <c r="AW1340" s="109" t="str">
        <f t="shared" si="592"/>
        <v/>
      </c>
      <c r="AX1340" s="109" t="str">
        <f t="shared" si="593"/>
        <v/>
      </c>
      <c r="AY1340" s="112" t="str">
        <f>IF(ISNUMBER(O1340),IF(AND(VLOOKUP($D1340,Merchantability!$B:$C,2,0)="Yes",$E1340&gt;=VLOOKUP($D1340,Merchantability!$B:$D,3,0),$E1340&lt;=VLOOKUP($D1340,Merchantability!$B:$E,4,0)),(AV1340*O1340)*(1-$H1340/100),""),"")</f>
        <v/>
      </c>
      <c r="AZ1340" s="116"/>
      <c r="BA1340" s="116"/>
      <c r="BB1340" s="116"/>
      <c r="BE1340" s="62"/>
      <c r="BF1340" s="63"/>
    </row>
    <row r="1341" spans="1:58" ht="12.75" customHeight="1" x14ac:dyDescent="0.25">
      <c r="A1341" s="333"/>
      <c r="B1341" s="334"/>
      <c r="C1341" s="332"/>
      <c r="D1341" s="334"/>
      <c r="E1341" s="335"/>
      <c r="F1341" s="334"/>
      <c r="G1341" s="332"/>
      <c r="H1341" s="332"/>
      <c r="I1341" s="334"/>
      <c r="J1341" s="336"/>
      <c r="K1341" s="332"/>
      <c r="L1341" s="332"/>
      <c r="M1341" s="76"/>
      <c r="N1341" s="103" t="str">
        <f>IF(A1341="","",VLOOKUP(A1341,Stand!C:K,9,0))</f>
        <v/>
      </c>
      <c r="O1341" s="104" t="str">
        <f t="shared" si="578"/>
        <v/>
      </c>
      <c r="P1341" s="105" t="str">
        <f t="shared" si="579"/>
        <v/>
      </c>
      <c r="Q1341" s="105" t="str">
        <f t="shared" si="594"/>
        <v/>
      </c>
      <c r="R1341" s="103" t="str">
        <f t="shared" si="580"/>
        <v/>
      </c>
      <c r="S1341" s="103" t="str">
        <f t="shared" si="581"/>
        <v/>
      </c>
      <c r="T1341" s="106" t="str">
        <f t="shared" si="595"/>
        <v/>
      </c>
      <c r="U1341" s="106" t="str">
        <f t="shared" si="596"/>
        <v/>
      </c>
      <c r="V1341" s="106" t="str">
        <f t="shared" si="597"/>
        <v/>
      </c>
      <c r="W1341" s="105" t="str">
        <f t="shared" si="582"/>
        <v/>
      </c>
      <c r="X1341" s="104" t="str">
        <f t="shared" si="587"/>
        <v/>
      </c>
      <c r="Y1341" s="104" t="str">
        <f t="array" ref="Y1341">IFERROR(IF(ISNUMBER(O1341),IF(COUNT(IF(A1341=$A$2:$A$2427,IF(D1341=$D$2:$D$2427,IF($X$2:$X$2427&gt;0,1))))&gt;0,SUM(IF(A1341=$A$2:$A$2427,IF(D1341=$D$2:$D$2427,$X$2:$X$2427)))/COUNT(IF(A1341=$A$2:$A$2427,IF(D1341=$D$2:$D$2427,IF(ISNUMBER($X$2:$X$2427),1)))),0),""),0)</f>
        <v/>
      </c>
      <c r="Z1341" s="104" t="str">
        <f>IF(ISNUMBER(O1341),IF(I1341&gt;0,(10^(VLOOKUP(D1341,'Species Codes'!B:C,2,0)+VLOOKUP(D1341,'Species Codes'!B:D,3,0)*LOG(E1341)+VLOOKUP(D1341,'Species Codes'!B:E,4,0)*LOG(I1341))),0),"")</f>
        <v/>
      </c>
      <c r="AA1341" s="104" t="str">
        <f>IFERROR((VLOOKUP(D1341,'Species Codes'!B:G,6,0)*Z1341)/2000,"")</f>
        <v/>
      </c>
      <c r="AB1341" s="104" t="e">
        <f>IF(Z1341&gt;0,((IF(OR(D1341="DF",D1341="RA")=TRUE,EXP(VLOOKUP(D1341,'Species Codes'!B:I,8,0)+VLOOKUP(D1341,'Species Codes'!B:J,9,0)*(LN((E1341*2.54)))),IF(OR(D1341="PY",D1341="RC",D1341="WH",D1341="NF")=TRUE,VLOOKUP(D1341,'Species Codes'!B:I,8,0)+VLOOKUP(D1341,'Species Codes'!B:J,9,0)*((E1341*2.54)^2)*(I1341*0.3048),IF(OR(D1341="MD",D1341="BM",D1341="GA")=TRUE,((VLOOKUP(D1341,'Species Codes'!B:I,8,0)*(((((E1341*2.54)+VLOOKUP(D1341,'Species Codes'!B:J,9,0))/VLOOKUP(D1341,'Species Codes'!B:K,10,0))^VLOOKUP(D1341,'Species Codes'!B:L,11,0))*((I1341*0.3048)^VLOOKUP(D1341,'Species Codes'!B:M,12,0))))-(VLOOKUP(D1341,'Species Codes'!B:I,8,0)*((((E1341*2.54)^VLOOKUP(D1341,'Species Codes'!B:L,11,0))*((I1341*0.3048)^VLOOKUP(D1341,'Species Codes'!B:M,12,0))))))*35.3*VLOOKUP(D1341,'Species Codes'!B:G,6,0)/2.2046,VLOOKUP(D1341,'Species Codes'!B:I,8,0)+VLOOKUP(D1341,'Species Codes'!B:J,9,0)*(((E1341*2.54)/100)^2)*(I1341*0.3048)))))*0.0011023),0)</f>
        <v>#N/A</v>
      </c>
      <c r="AC1341" s="104" t="e">
        <f>IF(Z1341&gt;0,((IF(OR(D1341="RA",D1341="OA",D1341="OT",D1341="UN",D1341="PC"),EXP(VLOOKUP(D1341,'Species Codes'!B:O,14,0)+VLOOKUP(D1341,'Species Codes'!B:P,15,0)*LN((E1341*2.54)))-EXP(VLOOKUP(D1341,'Species Codes'!B:O,14,0)+VLOOKUP(D1341,'Species Codes'!B:P,15,0)*LN((E1341*2.54)))*(1/(VLOOKUP(D1341,'Species Codes'!B:Q,16,0)+VLOOKUP(D1341,'Species Codes'!B:R,17,0)*((E1341*2.54)^VLOOKUP(D1341,'Species Codes'!B:S,18,0)))),IF(OR(D1341="BM",D1341="MD",D1341="OA"),EXP(VLOOKUP(D1341,'Species Codes'!B:O,14,0)+VLOOKUP(D1341,'Species Codes'!B:P,15,0)*LN((E1341*2.54)))*(1-(1/(VLOOKUP(D1341,'Species Codes'!B:Q,16,0)+VLOOKUP(D1341,'Species Codes'!B:R,17,0)*((E1341*2.54)^VLOOKUP(D1341,'Species Codes'!B:S,18,0)))))/1000,IF(D1341="DF",EXP(VLOOKUP(D1341,'Species Codes'!B:O,14,0)+VLOOKUP(D1341,'Species Codes'!B:P,15,0)*LN((E1341*2.54))),VLOOKUP(D1341,'Species Codes'!B:O,14,0)+VLOOKUP(D1341,'Species Codes'!B:P,15,0)*(((E1341*2.54)/100)^2)*(I1341*0.3048)))))*0.0011023),0)</f>
        <v>#N/A</v>
      </c>
      <c r="AD1341" s="104" t="e">
        <f t="shared" si="598"/>
        <v>#N/A</v>
      </c>
      <c r="AE1341" s="104" t="e">
        <f t="shared" si="599"/>
        <v>#N/A</v>
      </c>
      <c r="AF1341" s="104" t="e">
        <f>IF(AND(VLOOKUP($D1341,Merchantability!$B:$C,2,0)="Yes",$E1341&gt;=VLOOKUP($D1341,Merchantability!$B:$D,3,0),$E1341&lt;=VLOOKUP($D1341,Merchantability!$B:$E,4,0)),AA1341,0)</f>
        <v>#N/A</v>
      </c>
      <c r="AG1341" s="104" t="e">
        <f>IF(AND(VLOOKUP($D1341,Merchantability!$B:$C,2,0)="Yes",$E1341&gt;=VLOOKUP($D1341,Merchantability!$B:$D,3,0),$E1341&lt;=VLOOKUP($D1341,Merchantability!$B:$E,4,0)),AB1341,0)</f>
        <v>#N/A</v>
      </c>
      <c r="AH1341" s="104" t="e">
        <f>IF(AND(VLOOKUP($D1341,Merchantability!$B:$C,2,0)="Yes",$E1341&gt;=VLOOKUP($D1341,Merchantability!$B:$D,3,0),$E1341&lt;=VLOOKUP($D1341,Merchantability!$B:$E,4,0)),AC1341,0)</f>
        <v>#N/A</v>
      </c>
      <c r="AI1341" s="104" t="e">
        <f t="shared" si="600"/>
        <v>#N/A</v>
      </c>
      <c r="AJ1341" s="104" t="e">
        <f t="shared" si="601"/>
        <v>#VALUE!</v>
      </c>
      <c r="AK1341" s="104" t="e">
        <f t="shared" si="602"/>
        <v>#N/A</v>
      </c>
      <c r="AL1341" s="104" t="e">
        <f t="shared" si="603"/>
        <v>#N/A</v>
      </c>
      <c r="AM1341" s="104" t="e">
        <f t="shared" si="604"/>
        <v>#N/A</v>
      </c>
      <c r="AN1341" s="104" t="e">
        <f t="shared" si="588"/>
        <v>#N/A</v>
      </c>
      <c r="AO1341" s="104" t="e">
        <f t="shared" si="589"/>
        <v>#N/A</v>
      </c>
      <c r="AP1341" s="104" t="e">
        <f t="shared" si="590"/>
        <v>#N/A</v>
      </c>
      <c r="AQ1341" s="104" t="e">
        <f t="shared" si="591"/>
        <v>#N/A</v>
      </c>
      <c r="AR1341" s="105" t="str">
        <f t="shared" si="583"/>
        <v/>
      </c>
      <c r="AS1341" s="105" t="str">
        <f t="shared" si="584"/>
        <v/>
      </c>
      <c r="AT1341" s="108" t="str">
        <f t="shared" si="585"/>
        <v/>
      </c>
      <c r="AU1341" s="108" t="str">
        <f t="shared" si="586"/>
        <v/>
      </c>
      <c r="AV1341" s="107" t="str">
        <f>IF(ISNUMBER(O1341),IF(VLOOKUP($A1341,Stand!C:J,8,FALSE)="Short",AT1341,AU1341),"")</f>
        <v/>
      </c>
      <c r="AW1341" s="109" t="str">
        <f t="shared" si="592"/>
        <v/>
      </c>
      <c r="AX1341" s="109" t="str">
        <f t="shared" si="593"/>
        <v/>
      </c>
      <c r="AY1341" s="112" t="str">
        <f>IF(ISNUMBER(O1341),IF(AND(VLOOKUP($D1341,Merchantability!$B:$C,2,0)="Yes",$E1341&gt;=VLOOKUP($D1341,Merchantability!$B:$D,3,0),$E1341&lt;=VLOOKUP($D1341,Merchantability!$B:$E,4,0)),(AV1341*O1341)*(1-$H1341/100),""),"")</f>
        <v/>
      </c>
      <c r="AZ1341" s="116"/>
      <c r="BA1341" s="116"/>
      <c r="BB1341" s="116"/>
      <c r="BE1341" s="62"/>
      <c r="BF1341" s="63"/>
    </row>
    <row r="1342" spans="1:58" ht="12.75" customHeight="1" x14ac:dyDescent="0.25">
      <c r="A1342" s="333"/>
      <c r="B1342" s="334"/>
      <c r="C1342" s="332"/>
      <c r="D1342" s="334"/>
      <c r="E1342" s="335"/>
      <c r="F1342" s="334"/>
      <c r="G1342" s="332"/>
      <c r="H1342" s="332"/>
      <c r="I1342" s="334"/>
      <c r="J1342" s="336"/>
      <c r="K1342" s="332"/>
      <c r="L1342" s="332"/>
      <c r="M1342" s="76"/>
      <c r="N1342" s="103" t="str">
        <f>IF(A1342="","",VLOOKUP(A1342,Stand!C:K,9,0))</f>
        <v/>
      </c>
      <c r="O1342" s="104" t="str">
        <f t="shared" si="578"/>
        <v/>
      </c>
      <c r="P1342" s="105" t="str">
        <f t="shared" si="579"/>
        <v/>
      </c>
      <c r="Q1342" s="105" t="str">
        <f t="shared" si="594"/>
        <v/>
      </c>
      <c r="R1342" s="103" t="str">
        <f t="shared" si="580"/>
        <v/>
      </c>
      <c r="S1342" s="103" t="str">
        <f t="shared" si="581"/>
        <v/>
      </c>
      <c r="T1342" s="106" t="str">
        <f t="shared" si="595"/>
        <v/>
      </c>
      <c r="U1342" s="106" t="str">
        <f t="shared" si="596"/>
        <v/>
      </c>
      <c r="V1342" s="106" t="str">
        <f t="shared" si="597"/>
        <v/>
      </c>
      <c r="W1342" s="105" t="str">
        <f t="shared" si="582"/>
        <v/>
      </c>
      <c r="X1342" s="104" t="str">
        <f t="shared" si="587"/>
        <v/>
      </c>
      <c r="Y1342" s="104" t="str">
        <f t="array" ref="Y1342">IFERROR(IF(ISNUMBER(O1342),IF(COUNT(IF(A1342=$A$2:$A$2427,IF(D1342=$D$2:$D$2427,IF($X$2:$X$2427&gt;0,1))))&gt;0,SUM(IF(A1342=$A$2:$A$2427,IF(D1342=$D$2:$D$2427,$X$2:$X$2427)))/COUNT(IF(A1342=$A$2:$A$2427,IF(D1342=$D$2:$D$2427,IF(ISNUMBER($X$2:$X$2427),1)))),0),""),0)</f>
        <v/>
      </c>
      <c r="Z1342" s="104" t="str">
        <f>IF(ISNUMBER(O1342),IF(I1342&gt;0,(10^(VLOOKUP(D1342,'Species Codes'!B:C,2,0)+VLOOKUP(D1342,'Species Codes'!B:D,3,0)*LOG(E1342)+VLOOKUP(D1342,'Species Codes'!B:E,4,0)*LOG(I1342))),0),"")</f>
        <v/>
      </c>
      <c r="AA1342" s="104" t="str">
        <f>IFERROR((VLOOKUP(D1342,'Species Codes'!B:G,6,0)*Z1342)/2000,"")</f>
        <v/>
      </c>
      <c r="AB1342" s="104" t="e">
        <f>IF(Z1342&gt;0,((IF(OR(D1342="DF",D1342="RA")=TRUE,EXP(VLOOKUP(D1342,'Species Codes'!B:I,8,0)+VLOOKUP(D1342,'Species Codes'!B:J,9,0)*(LN((E1342*2.54)))),IF(OR(D1342="PY",D1342="RC",D1342="WH",D1342="NF")=TRUE,VLOOKUP(D1342,'Species Codes'!B:I,8,0)+VLOOKUP(D1342,'Species Codes'!B:J,9,0)*((E1342*2.54)^2)*(I1342*0.3048),IF(OR(D1342="MD",D1342="BM",D1342="GA")=TRUE,((VLOOKUP(D1342,'Species Codes'!B:I,8,0)*(((((E1342*2.54)+VLOOKUP(D1342,'Species Codes'!B:J,9,0))/VLOOKUP(D1342,'Species Codes'!B:K,10,0))^VLOOKUP(D1342,'Species Codes'!B:L,11,0))*((I1342*0.3048)^VLOOKUP(D1342,'Species Codes'!B:M,12,0))))-(VLOOKUP(D1342,'Species Codes'!B:I,8,0)*((((E1342*2.54)^VLOOKUP(D1342,'Species Codes'!B:L,11,0))*((I1342*0.3048)^VLOOKUP(D1342,'Species Codes'!B:M,12,0))))))*35.3*VLOOKUP(D1342,'Species Codes'!B:G,6,0)/2.2046,VLOOKUP(D1342,'Species Codes'!B:I,8,0)+VLOOKUP(D1342,'Species Codes'!B:J,9,0)*(((E1342*2.54)/100)^2)*(I1342*0.3048)))))*0.0011023),0)</f>
        <v>#N/A</v>
      </c>
      <c r="AC1342" s="104" t="e">
        <f>IF(Z1342&gt;0,((IF(OR(D1342="RA",D1342="OA",D1342="OT",D1342="UN",D1342="PC"),EXP(VLOOKUP(D1342,'Species Codes'!B:O,14,0)+VLOOKUP(D1342,'Species Codes'!B:P,15,0)*LN((E1342*2.54)))-EXP(VLOOKUP(D1342,'Species Codes'!B:O,14,0)+VLOOKUP(D1342,'Species Codes'!B:P,15,0)*LN((E1342*2.54)))*(1/(VLOOKUP(D1342,'Species Codes'!B:Q,16,0)+VLOOKUP(D1342,'Species Codes'!B:R,17,0)*((E1342*2.54)^VLOOKUP(D1342,'Species Codes'!B:S,18,0)))),IF(OR(D1342="BM",D1342="MD",D1342="OA"),EXP(VLOOKUP(D1342,'Species Codes'!B:O,14,0)+VLOOKUP(D1342,'Species Codes'!B:P,15,0)*LN((E1342*2.54)))*(1-(1/(VLOOKUP(D1342,'Species Codes'!B:Q,16,0)+VLOOKUP(D1342,'Species Codes'!B:R,17,0)*((E1342*2.54)^VLOOKUP(D1342,'Species Codes'!B:S,18,0)))))/1000,IF(D1342="DF",EXP(VLOOKUP(D1342,'Species Codes'!B:O,14,0)+VLOOKUP(D1342,'Species Codes'!B:P,15,0)*LN((E1342*2.54))),VLOOKUP(D1342,'Species Codes'!B:O,14,0)+VLOOKUP(D1342,'Species Codes'!B:P,15,0)*(((E1342*2.54)/100)^2)*(I1342*0.3048)))))*0.0011023),0)</f>
        <v>#N/A</v>
      </c>
      <c r="AD1342" s="104" t="e">
        <f t="shared" si="598"/>
        <v>#N/A</v>
      </c>
      <c r="AE1342" s="104" t="e">
        <f t="shared" si="599"/>
        <v>#N/A</v>
      </c>
      <c r="AF1342" s="104" t="e">
        <f>IF(AND(VLOOKUP($D1342,Merchantability!$B:$C,2,0)="Yes",$E1342&gt;=VLOOKUP($D1342,Merchantability!$B:$D,3,0),$E1342&lt;=VLOOKUP($D1342,Merchantability!$B:$E,4,0)),AA1342,0)</f>
        <v>#N/A</v>
      </c>
      <c r="AG1342" s="104" t="e">
        <f>IF(AND(VLOOKUP($D1342,Merchantability!$B:$C,2,0)="Yes",$E1342&gt;=VLOOKUP($D1342,Merchantability!$B:$D,3,0),$E1342&lt;=VLOOKUP($D1342,Merchantability!$B:$E,4,0)),AB1342,0)</f>
        <v>#N/A</v>
      </c>
      <c r="AH1342" s="104" t="e">
        <f>IF(AND(VLOOKUP($D1342,Merchantability!$B:$C,2,0)="Yes",$E1342&gt;=VLOOKUP($D1342,Merchantability!$B:$D,3,0),$E1342&lt;=VLOOKUP($D1342,Merchantability!$B:$E,4,0)),AC1342,0)</f>
        <v>#N/A</v>
      </c>
      <c r="AI1342" s="104" t="e">
        <f t="shared" si="600"/>
        <v>#N/A</v>
      </c>
      <c r="AJ1342" s="104" t="e">
        <f t="shared" si="601"/>
        <v>#VALUE!</v>
      </c>
      <c r="AK1342" s="104" t="e">
        <f t="shared" si="602"/>
        <v>#N/A</v>
      </c>
      <c r="AL1342" s="104" t="e">
        <f t="shared" si="603"/>
        <v>#N/A</v>
      </c>
      <c r="AM1342" s="104" t="e">
        <f t="shared" si="604"/>
        <v>#N/A</v>
      </c>
      <c r="AN1342" s="104" t="e">
        <f t="shared" si="588"/>
        <v>#N/A</v>
      </c>
      <c r="AO1342" s="104" t="e">
        <f t="shared" si="589"/>
        <v>#N/A</v>
      </c>
      <c r="AP1342" s="104" t="e">
        <f t="shared" si="590"/>
        <v>#N/A</v>
      </c>
      <c r="AQ1342" s="104" t="e">
        <f t="shared" si="591"/>
        <v>#N/A</v>
      </c>
      <c r="AR1342" s="105" t="str">
        <f t="shared" si="583"/>
        <v/>
      </c>
      <c r="AS1342" s="105" t="str">
        <f t="shared" si="584"/>
        <v/>
      </c>
      <c r="AT1342" s="108" t="str">
        <f t="shared" si="585"/>
        <v/>
      </c>
      <c r="AU1342" s="108" t="str">
        <f t="shared" si="586"/>
        <v/>
      </c>
      <c r="AV1342" s="107" t="str">
        <f>IF(ISNUMBER(O1342),IF(VLOOKUP($A1342,Stand!C:J,8,FALSE)="Short",AT1342,AU1342),"")</f>
        <v/>
      </c>
      <c r="AW1342" s="109" t="str">
        <f t="shared" si="592"/>
        <v/>
      </c>
      <c r="AX1342" s="109" t="str">
        <f t="shared" si="593"/>
        <v/>
      </c>
      <c r="AY1342" s="112" t="str">
        <f>IF(ISNUMBER(O1342),IF(AND(VLOOKUP($D1342,Merchantability!$B:$C,2,0)="Yes",$E1342&gt;=VLOOKUP($D1342,Merchantability!$B:$D,3,0),$E1342&lt;=VLOOKUP($D1342,Merchantability!$B:$E,4,0)),(AV1342*O1342)*(1-$H1342/100),""),"")</f>
        <v/>
      </c>
      <c r="AZ1342" s="116"/>
      <c r="BA1342" s="116"/>
      <c r="BB1342" s="116"/>
      <c r="BE1342" s="62"/>
      <c r="BF1342" s="63"/>
    </row>
    <row r="1343" spans="1:58" ht="12.75" customHeight="1" x14ac:dyDescent="0.25">
      <c r="A1343" s="333"/>
      <c r="B1343" s="334"/>
      <c r="C1343" s="332"/>
      <c r="D1343" s="334"/>
      <c r="E1343" s="335"/>
      <c r="F1343" s="334"/>
      <c r="G1343" s="332"/>
      <c r="H1343" s="332"/>
      <c r="I1343" s="334"/>
      <c r="J1343" s="336"/>
      <c r="K1343" s="332"/>
      <c r="L1343" s="332"/>
      <c r="M1343" s="76"/>
      <c r="N1343" s="103" t="str">
        <f>IF(A1343="","",VLOOKUP(A1343,Stand!C:K,9,0))</f>
        <v/>
      </c>
      <c r="O1343" s="104" t="str">
        <f t="shared" si="578"/>
        <v/>
      </c>
      <c r="P1343" s="105" t="str">
        <f t="shared" si="579"/>
        <v/>
      </c>
      <c r="Q1343" s="105" t="str">
        <f t="shared" si="594"/>
        <v/>
      </c>
      <c r="R1343" s="103" t="str">
        <f t="shared" si="580"/>
        <v/>
      </c>
      <c r="S1343" s="103" t="str">
        <f t="shared" si="581"/>
        <v/>
      </c>
      <c r="T1343" s="106" t="str">
        <f t="shared" si="595"/>
        <v/>
      </c>
      <c r="U1343" s="106" t="str">
        <f t="shared" si="596"/>
        <v/>
      </c>
      <c r="V1343" s="106" t="str">
        <f t="shared" si="597"/>
        <v/>
      </c>
      <c r="W1343" s="105" t="str">
        <f t="shared" si="582"/>
        <v/>
      </c>
      <c r="X1343" s="104" t="str">
        <f t="shared" si="587"/>
        <v/>
      </c>
      <c r="Y1343" s="104" t="str">
        <f t="array" ref="Y1343">IFERROR(IF(ISNUMBER(O1343),IF(COUNT(IF(A1343=$A$2:$A$2427,IF(D1343=$D$2:$D$2427,IF($X$2:$X$2427&gt;0,1))))&gt;0,SUM(IF(A1343=$A$2:$A$2427,IF(D1343=$D$2:$D$2427,$X$2:$X$2427)))/COUNT(IF(A1343=$A$2:$A$2427,IF(D1343=$D$2:$D$2427,IF(ISNUMBER($X$2:$X$2427),1)))),0),""),0)</f>
        <v/>
      </c>
      <c r="Z1343" s="104" t="str">
        <f>IF(ISNUMBER(O1343),IF(I1343&gt;0,(10^(VLOOKUP(D1343,'Species Codes'!B:C,2,0)+VLOOKUP(D1343,'Species Codes'!B:D,3,0)*LOG(E1343)+VLOOKUP(D1343,'Species Codes'!B:E,4,0)*LOG(I1343))),0),"")</f>
        <v/>
      </c>
      <c r="AA1343" s="104" t="str">
        <f>IFERROR((VLOOKUP(D1343,'Species Codes'!B:G,6,0)*Z1343)/2000,"")</f>
        <v/>
      </c>
      <c r="AB1343" s="104" t="e">
        <f>IF(Z1343&gt;0,((IF(OR(D1343="DF",D1343="RA")=TRUE,EXP(VLOOKUP(D1343,'Species Codes'!B:I,8,0)+VLOOKUP(D1343,'Species Codes'!B:J,9,0)*(LN((E1343*2.54)))),IF(OR(D1343="PY",D1343="RC",D1343="WH",D1343="NF")=TRUE,VLOOKUP(D1343,'Species Codes'!B:I,8,0)+VLOOKUP(D1343,'Species Codes'!B:J,9,0)*((E1343*2.54)^2)*(I1343*0.3048),IF(OR(D1343="MD",D1343="BM",D1343="GA")=TRUE,((VLOOKUP(D1343,'Species Codes'!B:I,8,0)*(((((E1343*2.54)+VLOOKUP(D1343,'Species Codes'!B:J,9,0))/VLOOKUP(D1343,'Species Codes'!B:K,10,0))^VLOOKUP(D1343,'Species Codes'!B:L,11,0))*((I1343*0.3048)^VLOOKUP(D1343,'Species Codes'!B:M,12,0))))-(VLOOKUP(D1343,'Species Codes'!B:I,8,0)*((((E1343*2.54)^VLOOKUP(D1343,'Species Codes'!B:L,11,0))*((I1343*0.3048)^VLOOKUP(D1343,'Species Codes'!B:M,12,0))))))*35.3*VLOOKUP(D1343,'Species Codes'!B:G,6,0)/2.2046,VLOOKUP(D1343,'Species Codes'!B:I,8,0)+VLOOKUP(D1343,'Species Codes'!B:J,9,0)*(((E1343*2.54)/100)^2)*(I1343*0.3048)))))*0.0011023),0)</f>
        <v>#N/A</v>
      </c>
      <c r="AC1343" s="104" t="e">
        <f>IF(Z1343&gt;0,((IF(OR(D1343="RA",D1343="OA",D1343="OT",D1343="UN",D1343="PC"),EXP(VLOOKUP(D1343,'Species Codes'!B:O,14,0)+VLOOKUP(D1343,'Species Codes'!B:P,15,0)*LN((E1343*2.54)))-EXP(VLOOKUP(D1343,'Species Codes'!B:O,14,0)+VLOOKUP(D1343,'Species Codes'!B:P,15,0)*LN((E1343*2.54)))*(1/(VLOOKUP(D1343,'Species Codes'!B:Q,16,0)+VLOOKUP(D1343,'Species Codes'!B:R,17,0)*((E1343*2.54)^VLOOKUP(D1343,'Species Codes'!B:S,18,0)))),IF(OR(D1343="BM",D1343="MD",D1343="OA"),EXP(VLOOKUP(D1343,'Species Codes'!B:O,14,0)+VLOOKUP(D1343,'Species Codes'!B:P,15,0)*LN((E1343*2.54)))*(1-(1/(VLOOKUP(D1343,'Species Codes'!B:Q,16,0)+VLOOKUP(D1343,'Species Codes'!B:R,17,0)*((E1343*2.54)^VLOOKUP(D1343,'Species Codes'!B:S,18,0)))))/1000,IF(D1343="DF",EXP(VLOOKUP(D1343,'Species Codes'!B:O,14,0)+VLOOKUP(D1343,'Species Codes'!B:P,15,0)*LN((E1343*2.54))),VLOOKUP(D1343,'Species Codes'!B:O,14,0)+VLOOKUP(D1343,'Species Codes'!B:P,15,0)*(((E1343*2.54)/100)^2)*(I1343*0.3048)))))*0.0011023),0)</f>
        <v>#N/A</v>
      </c>
      <c r="AD1343" s="104" t="e">
        <f t="shared" si="598"/>
        <v>#N/A</v>
      </c>
      <c r="AE1343" s="104" t="e">
        <f t="shared" si="599"/>
        <v>#N/A</v>
      </c>
      <c r="AF1343" s="104" t="e">
        <f>IF(AND(VLOOKUP($D1343,Merchantability!$B:$C,2,0)="Yes",$E1343&gt;=VLOOKUP($D1343,Merchantability!$B:$D,3,0),$E1343&lt;=VLOOKUP($D1343,Merchantability!$B:$E,4,0)),AA1343,0)</f>
        <v>#N/A</v>
      </c>
      <c r="AG1343" s="104" t="e">
        <f>IF(AND(VLOOKUP($D1343,Merchantability!$B:$C,2,0)="Yes",$E1343&gt;=VLOOKUP($D1343,Merchantability!$B:$D,3,0),$E1343&lt;=VLOOKUP($D1343,Merchantability!$B:$E,4,0)),AB1343,0)</f>
        <v>#N/A</v>
      </c>
      <c r="AH1343" s="104" t="e">
        <f>IF(AND(VLOOKUP($D1343,Merchantability!$B:$C,2,0)="Yes",$E1343&gt;=VLOOKUP($D1343,Merchantability!$B:$D,3,0),$E1343&lt;=VLOOKUP($D1343,Merchantability!$B:$E,4,0)),AC1343,0)</f>
        <v>#N/A</v>
      </c>
      <c r="AI1343" s="104" t="e">
        <f t="shared" si="600"/>
        <v>#N/A</v>
      </c>
      <c r="AJ1343" s="104" t="e">
        <f t="shared" si="601"/>
        <v>#VALUE!</v>
      </c>
      <c r="AK1343" s="104" t="e">
        <f t="shared" si="602"/>
        <v>#N/A</v>
      </c>
      <c r="AL1343" s="104" t="e">
        <f t="shared" si="603"/>
        <v>#N/A</v>
      </c>
      <c r="AM1343" s="104" t="e">
        <f t="shared" si="604"/>
        <v>#N/A</v>
      </c>
      <c r="AN1343" s="104" t="e">
        <f t="shared" si="588"/>
        <v>#N/A</v>
      </c>
      <c r="AO1343" s="104" t="e">
        <f t="shared" si="589"/>
        <v>#N/A</v>
      </c>
      <c r="AP1343" s="104" t="e">
        <f t="shared" si="590"/>
        <v>#N/A</v>
      </c>
      <c r="AQ1343" s="104" t="e">
        <f t="shared" si="591"/>
        <v>#N/A</v>
      </c>
      <c r="AR1343" s="105" t="str">
        <f t="shared" si="583"/>
        <v/>
      </c>
      <c r="AS1343" s="105" t="str">
        <f t="shared" si="584"/>
        <v/>
      </c>
      <c r="AT1343" s="108" t="str">
        <f t="shared" si="585"/>
        <v/>
      </c>
      <c r="AU1343" s="108" t="str">
        <f t="shared" si="586"/>
        <v/>
      </c>
      <c r="AV1343" s="107" t="str">
        <f>IF(ISNUMBER(O1343),IF(VLOOKUP($A1343,Stand!C:J,8,FALSE)="Short",AT1343,AU1343),"")</f>
        <v/>
      </c>
      <c r="AW1343" s="109" t="str">
        <f t="shared" si="592"/>
        <v/>
      </c>
      <c r="AX1343" s="109" t="str">
        <f t="shared" si="593"/>
        <v/>
      </c>
      <c r="AY1343" s="112" t="str">
        <f>IF(ISNUMBER(O1343),IF(AND(VLOOKUP($D1343,Merchantability!$B:$C,2,0)="Yes",$E1343&gt;=VLOOKUP($D1343,Merchantability!$B:$D,3,0),$E1343&lt;=VLOOKUP($D1343,Merchantability!$B:$E,4,0)),(AV1343*O1343)*(1-$H1343/100),""),"")</f>
        <v/>
      </c>
      <c r="AZ1343" s="116"/>
      <c r="BA1343" s="116"/>
      <c r="BB1343" s="116"/>
      <c r="BE1343" s="62"/>
      <c r="BF1343" s="63"/>
    </row>
    <row r="1344" spans="1:58" ht="12.75" customHeight="1" x14ac:dyDescent="0.25">
      <c r="A1344" s="333"/>
      <c r="B1344" s="334"/>
      <c r="C1344" s="332"/>
      <c r="D1344" s="334"/>
      <c r="E1344" s="335"/>
      <c r="F1344" s="334"/>
      <c r="G1344" s="332"/>
      <c r="H1344" s="332"/>
      <c r="I1344" s="334"/>
      <c r="J1344" s="336"/>
      <c r="K1344" s="332"/>
      <c r="L1344" s="332"/>
      <c r="M1344" s="76"/>
      <c r="N1344" s="103" t="str">
        <f>IF(A1344="","",VLOOKUP(A1344,Stand!C:K,9,0))</f>
        <v/>
      </c>
      <c r="O1344" s="104" t="str">
        <f t="shared" si="578"/>
        <v/>
      </c>
      <c r="P1344" s="105" t="str">
        <f t="shared" si="579"/>
        <v/>
      </c>
      <c r="Q1344" s="105" t="str">
        <f t="shared" si="594"/>
        <v/>
      </c>
      <c r="R1344" s="103" t="str">
        <f t="shared" si="580"/>
        <v/>
      </c>
      <c r="S1344" s="103" t="str">
        <f t="shared" si="581"/>
        <v/>
      </c>
      <c r="T1344" s="106" t="str">
        <f t="shared" si="595"/>
        <v/>
      </c>
      <c r="U1344" s="106" t="str">
        <f t="shared" si="596"/>
        <v/>
      </c>
      <c r="V1344" s="106" t="str">
        <f t="shared" si="597"/>
        <v/>
      </c>
      <c r="W1344" s="105" t="str">
        <f t="shared" si="582"/>
        <v/>
      </c>
      <c r="X1344" s="104" t="str">
        <f t="shared" si="587"/>
        <v/>
      </c>
      <c r="Y1344" s="104" t="str">
        <f t="array" ref="Y1344">IFERROR(IF(ISNUMBER(O1344),IF(COUNT(IF(A1344=$A$2:$A$2427,IF(D1344=$D$2:$D$2427,IF($X$2:$X$2427&gt;0,1))))&gt;0,SUM(IF(A1344=$A$2:$A$2427,IF(D1344=$D$2:$D$2427,$X$2:$X$2427)))/COUNT(IF(A1344=$A$2:$A$2427,IF(D1344=$D$2:$D$2427,IF(ISNUMBER($X$2:$X$2427),1)))),0),""),0)</f>
        <v/>
      </c>
      <c r="Z1344" s="104" t="str">
        <f>IF(ISNUMBER(O1344),IF(I1344&gt;0,(10^(VLOOKUP(D1344,'Species Codes'!B:C,2,0)+VLOOKUP(D1344,'Species Codes'!B:D,3,0)*LOG(E1344)+VLOOKUP(D1344,'Species Codes'!B:E,4,0)*LOG(I1344))),0),"")</f>
        <v/>
      </c>
      <c r="AA1344" s="104" t="str">
        <f>IFERROR((VLOOKUP(D1344,'Species Codes'!B:G,6,0)*Z1344)/2000,"")</f>
        <v/>
      </c>
      <c r="AB1344" s="104" t="e">
        <f>IF(Z1344&gt;0,((IF(OR(D1344="DF",D1344="RA")=TRUE,EXP(VLOOKUP(D1344,'Species Codes'!B:I,8,0)+VLOOKUP(D1344,'Species Codes'!B:J,9,0)*(LN((E1344*2.54)))),IF(OR(D1344="PY",D1344="RC",D1344="WH",D1344="NF")=TRUE,VLOOKUP(D1344,'Species Codes'!B:I,8,0)+VLOOKUP(D1344,'Species Codes'!B:J,9,0)*((E1344*2.54)^2)*(I1344*0.3048),IF(OR(D1344="MD",D1344="BM",D1344="GA")=TRUE,((VLOOKUP(D1344,'Species Codes'!B:I,8,0)*(((((E1344*2.54)+VLOOKUP(D1344,'Species Codes'!B:J,9,0))/VLOOKUP(D1344,'Species Codes'!B:K,10,0))^VLOOKUP(D1344,'Species Codes'!B:L,11,0))*((I1344*0.3048)^VLOOKUP(D1344,'Species Codes'!B:M,12,0))))-(VLOOKUP(D1344,'Species Codes'!B:I,8,0)*((((E1344*2.54)^VLOOKUP(D1344,'Species Codes'!B:L,11,0))*((I1344*0.3048)^VLOOKUP(D1344,'Species Codes'!B:M,12,0))))))*35.3*VLOOKUP(D1344,'Species Codes'!B:G,6,0)/2.2046,VLOOKUP(D1344,'Species Codes'!B:I,8,0)+VLOOKUP(D1344,'Species Codes'!B:J,9,0)*(((E1344*2.54)/100)^2)*(I1344*0.3048)))))*0.0011023),0)</f>
        <v>#N/A</v>
      </c>
      <c r="AC1344" s="104" t="e">
        <f>IF(Z1344&gt;0,((IF(OR(D1344="RA",D1344="OA",D1344="OT",D1344="UN",D1344="PC"),EXP(VLOOKUP(D1344,'Species Codes'!B:O,14,0)+VLOOKUP(D1344,'Species Codes'!B:P,15,0)*LN((E1344*2.54)))-EXP(VLOOKUP(D1344,'Species Codes'!B:O,14,0)+VLOOKUP(D1344,'Species Codes'!B:P,15,0)*LN((E1344*2.54)))*(1/(VLOOKUP(D1344,'Species Codes'!B:Q,16,0)+VLOOKUP(D1344,'Species Codes'!B:R,17,0)*((E1344*2.54)^VLOOKUP(D1344,'Species Codes'!B:S,18,0)))),IF(OR(D1344="BM",D1344="MD",D1344="OA"),EXP(VLOOKUP(D1344,'Species Codes'!B:O,14,0)+VLOOKUP(D1344,'Species Codes'!B:P,15,0)*LN((E1344*2.54)))*(1-(1/(VLOOKUP(D1344,'Species Codes'!B:Q,16,0)+VLOOKUP(D1344,'Species Codes'!B:R,17,0)*((E1344*2.54)^VLOOKUP(D1344,'Species Codes'!B:S,18,0)))))/1000,IF(D1344="DF",EXP(VLOOKUP(D1344,'Species Codes'!B:O,14,0)+VLOOKUP(D1344,'Species Codes'!B:P,15,0)*LN((E1344*2.54))),VLOOKUP(D1344,'Species Codes'!B:O,14,0)+VLOOKUP(D1344,'Species Codes'!B:P,15,0)*(((E1344*2.54)/100)^2)*(I1344*0.3048)))))*0.0011023),0)</f>
        <v>#N/A</v>
      </c>
      <c r="AD1344" s="104" t="e">
        <f t="shared" si="598"/>
        <v>#N/A</v>
      </c>
      <c r="AE1344" s="104" t="e">
        <f t="shared" si="599"/>
        <v>#N/A</v>
      </c>
      <c r="AF1344" s="104" t="e">
        <f>IF(AND(VLOOKUP($D1344,Merchantability!$B:$C,2,0)="Yes",$E1344&gt;=VLOOKUP($D1344,Merchantability!$B:$D,3,0),$E1344&lt;=VLOOKUP($D1344,Merchantability!$B:$E,4,0)),AA1344,0)</f>
        <v>#N/A</v>
      </c>
      <c r="AG1344" s="104" t="e">
        <f>IF(AND(VLOOKUP($D1344,Merchantability!$B:$C,2,0)="Yes",$E1344&gt;=VLOOKUP($D1344,Merchantability!$B:$D,3,0),$E1344&lt;=VLOOKUP($D1344,Merchantability!$B:$E,4,0)),AB1344,0)</f>
        <v>#N/A</v>
      </c>
      <c r="AH1344" s="104" t="e">
        <f>IF(AND(VLOOKUP($D1344,Merchantability!$B:$C,2,0)="Yes",$E1344&gt;=VLOOKUP($D1344,Merchantability!$B:$D,3,0),$E1344&lt;=VLOOKUP($D1344,Merchantability!$B:$E,4,0)),AC1344,0)</f>
        <v>#N/A</v>
      </c>
      <c r="AI1344" s="104" t="e">
        <f t="shared" si="600"/>
        <v>#N/A</v>
      </c>
      <c r="AJ1344" s="104" t="e">
        <f t="shared" si="601"/>
        <v>#VALUE!</v>
      </c>
      <c r="AK1344" s="104" t="e">
        <f t="shared" si="602"/>
        <v>#N/A</v>
      </c>
      <c r="AL1344" s="104" t="e">
        <f t="shared" si="603"/>
        <v>#N/A</v>
      </c>
      <c r="AM1344" s="104" t="e">
        <f t="shared" si="604"/>
        <v>#N/A</v>
      </c>
      <c r="AN1344" s="104" t="e">
        <f t="shared" si="588"/>
        <v>#N/A</v>
      </c>
      <c r="AO1344" s="104" t="e">
        <f t="shared" si="589"/>
        <v>#N/A</v>
      </c>
      <c r="AP1344" s="104" t="e">
        <f t="shared" si="590"/>
        <v>#N/A</v>
      </c>
      <c r="AQ1344" s="104" t="e">
        <f t="shared" si="591"/>
        <v>#N/A</v>
      </c>
      <c r="AR1344" s="105" t="str">
        <f t="shared" si="583"/>
        <v/>
      </c>
      <c r="AS1344" s="105" t="str">
        <f t="shared" si="584"/>
        <v/>
      </c>
      <c r="AT1344" s="108" t="str">
        <f t="shared" si="585"/>
        <v/>
      </c>
      <c r="AU1344" s="108" t="str">
        <f t="shared" si="586"/>
        <v/>
      </c>
      <c r="AV1344" s="107" t="str">
        <f>IF(ISNUMBER(O1344),IF(VLOOKUP($A1344,Stand!C:J,8,FALSE)="Short",AT1344,AU1344),"")</f>
        <v/>
      </c>
      <c r="AW1344" s="109" t="str">
        <f t="shared" si="592"/>
        <v/>
      </c>
      <c r="AX1344" s="109" t="str">
        <f t="shared" si="593"/>
        <v/>
      </c>
      <c r="AY1344" s="112" t="str">
        <f>IF(ISNUMBER(O1344),IF(AND(VLOOKUP($D1344,Merchantability!$B:$C,2,0)="Yes",$E1344&gt;=VLOOKUP($D1344,Merchantability!$B:$D,3,0),$E1344&lt;=VLOOKUP($D1344,Merchantability!$B:$E,4,0)),(AV1344*O1344)*(1-$H1344/100),""),"")</f>
        <v/>
      </c>
      <c r="AZ1344" s="116"/>
      <c r="BA1344" s="116"/>
      <c r="BB1344" s="116"/>
      <c r="BE1344" s="62"/>
      <c r="BF1344" s="63"/>
    </row>
    <row r="1345" spans="1:58" ht="12.75" customHeight="1" x14ac:dyDescent="0.25">
      <c r="A1345" s="333"/>
      <c r="B1345" s="334"/>
      <c r="C1345" s="332"/>
      <c r="D1345" s="334"/>
      <c r="E1345" s="335"/>
      <c r="F1345" s="334"/>
      <c r="G1345" s="332"/>
      <c r="H1345" s="332"/>
      <c r="I1345" s="334"/>
      <c r="J1345" s="336"/>
      <c r="K1345" s="332"/>
      <c r="L1345" s="332"/>
      <c r="M1345" s="76"/>
      <c r="N1345" s="103" t="str">
        <f>IF(A1345="","",VLOOKUP(A1345,Stand!C:K,9,0))</f>
        <v/>
      </c>
      <c r="O1345" s="104" t="str">
        <f t="shared" si="578"/>
        <v/>
      </c>
      <c r="P1345" s="105" t="str">
        <f t="shared" si="579"/>
        <v/>
      </c>
      <c r="Q1345" s="105" t="str">
        <f t="shared" si="594"/>
        <v/>
      </c>
      <c r="R1345" s="103" t="str">
        <f t="shared" si="580"/>
        <v/>
      </c>
      <c r="S1345" s="103" t="str">
        <f t="shared" si="581"/>
        <v/>
      </c>
      <c r="T1345" s="106" t="str">
        <f t="shared" si="595"/>
        <v/>
      </c>
      <c r="U1345" s="106" t="str">
        <f t="shared" si="596"/>
        <v/>
      </c>
      <c r="V1345" s="106" t="str">
        <f t="shared" si="597"/>
        <v/>
      </c>
      <c r="W1345" s="105" t="str">
        <f t="shared" si="582"/>
        <v/>
      </c>
      <c r="X1345" s="104" t="str">
        <f t="shared" si="587"/>
        <v/>
      </c>
      <c r="Y1345" s="104" t="str">
        <f t="array" ref="Y1345">IFERROR(IF(ISNUMBER(O1345),IF(COUNT(IF(A1345=$A$2:$A$2427,IF(D1345=$D$2:$D$2427,IF($X$2:$X$2427&gt;0,1))))&gt;0,SUM(IF(A1345=$A$2:$A$2427,IF(D1345=$D$2:$D$2427,$X$2:$X$2427)))/COUNT(IF(A1345=$A$2:$A$2427,IF(D1345=$D$2:$D$2427,IF(ISNUMBER($X$2:$X$2427),1)))),0),""),0)</f>
        <v/>
      </c>
      <c r="Z1345" s="104" t="str">
        <f>IF(ISNUMBER(O1345),IF(I1345&gt;0,(10^(VLOOKUP(D1345,'Species Codes'!B:C,2,0)+VLOOKUP(D1345,'Species Codes'!B:D,3,0)*LOG(E1345)+VLOOKUP(D1345,'Species Codes'!B:E,4,0)*LOG(I1345))),0),"")</f>
        <v/>
      </c>
      <c r="AA1345" s="104" t="str">
        <f>IFERROR((VLOOKUP(D1345,'Species Codes'!B:G,6,0)*Z1345)/2000,"")</f>
        <v/>
      </c>
      <c r="AB1345" s="104" t="e">
        <f>IF(Z1345&gt;0,((IF(OR(D1345="DF",D1345="RA")=TRUE,EXP(VLOOKUP(D1345,'Species Codes'!B:I,8,0)+VLOOKUP(D1345,'Species Codes'!B:J,9,0)*(LN((E1345*2.54)))),IF(OR(D1345="PY",D1345="RC",D1345="WH",D1345="NF")=TRUE,VLOOKUP(D1345,'Species Codes'!B:I,8,0)+VLOOKUP(D1345,'Species Codes'!B:J,9,0)*((E1345*2.54)^2)*(I1345*0.3048),IF(OR(D1345="MD",D1345="BM",D1345="GA")=TRUE,((VLOOKUP(D1345,'Species Codes'!B:I,8,0)*(((((E1345*2.54)+VLOOKUP(D1345,'Species Codes'!B:J,9,0))/VLOOKUP(D1345,'Species Codes'!B:K,10,0))^VLOOKUP(D1345,'Species Codes'!B:L,11,0))*((I1345*0.3048)^VLOOKUP(D1345,'Species Codes'!B:M,12,0))))-(VLOOKUP(D1345,'Species Codes'!B:I,8,0)*((((E1345*2.54)^VLOOKUP(D1345,'Species Codes'!B:L,11,0))*((I1345*0.3048)^VLOOKUP(D1345,'Species Codes'!B:M,12,0))))))*35.3*VLOOKUP(D1345,'Species Codes'!B:G,6,0)/2.2046,VLOOKUP(D1345,'Species Codes'!B:I,8,0)+VLOOKUP(D1345,'Species Codes'!B:J,9,0)*(((E1345*2.54)/100)^2)*(I1345*0.3048)))))*0.0011023),0)</f>
        <v>#N/A</v>
      </c>
      <c r="AC1345" s="104" t="e">
        <f>IF(Z1345&gt;0,((IF(OR(D1345="RA",D1345="OA",D1345="OT",D1345="UN",D1345="PC"),EXP(VLOOKUP(D1345,'Species Codes'!B:O,14,0)+VLOOKUP(D1345,'Species Codes'!B:P,15,0)*LN((E1345*2.54)))-EXP(VLOOKUP(D1345,'Species Codes'!B:O,14,0)+VLOOKUP(D1345,'Species Codes'!B:P,15,0)*LN((E1345*2.54)))*(1/(VLOOKUP(D1345,'Species Codes'!B:Q,16,0)+VLOOKUP(D1345,'Species Codes'!B:R,17,0)*((E1345*2.54)^VLOOKUP(D1345,'Species Codes'!B:S,18,0)))),IF(OR(D1345="BM",D1345="MD",D1345="OA"),EXP(VLOOKUP(D1345,'Species Codes'!B:O,14,0)+VLOOKUP(D1345,'Species Codes'!B:P,15,0)*LN((E1345*2.54)))*(1-(1/(VLOOKUP(D1345,'Species Codes'!B:Q,16,0)+VLOOKUP(D1345,'Species Codes'!B:R,17,0)*((E1345*2.54)^VLOOKUP(D1345,'Species Codes'!B:S,18,0)))))/1000,IF(D1345="DF",EXP(VLOOKUP(D1345,'Species Codes'!B:O,14,0)+VLOOKUP(D1345,'Species Codes'!B:P,15,0)*LN((E1345*2.54))),VLOOKUP(D1345,'Species Codes'!B:O,14,0)+VLOOKUP(D1345,'Species Codes'!B:P,15,0)*(((E1345*2.54)/100)^2)*(I1345*0.3048)))))*0.0011023),0)</f>
        <v>#N/A</v>
      </c>
      <c r="AD1345" s="104" t="e">
        <f t="shared" si="598"/>
        <v>#N/A</v>
      </c>
      <c r="AE1345" s="104" t="e">
        <f t="shared" si="599"/>
        <v>#N/A</v>
      </c>
      <c r="AF1345" s="104" t="e">
        <f>IF(AND(VLOOKUP($D1345,Merchantability!$B:$C,2,0)="Yes",$E1345&gt;=VLOOKUP($D1345,Merchantability!$B:$D,3,0),$E1345&lt;=VLOOKUP($D1345,Merchantability!$B:$E,4,0)),AA1345,0)</f>
        <v>#N/A</v>
      </c>
      <c r="AG1345" s="104" t="e">
        <f>IF(AND(VLOOKUP($D1345,Merchantability!$B:$C,2,0)="Yes",$E1345&gt;=VLOOKUP($D1345,Merchantability!$B:$D,3,0),$E1345&lt;=VLOOKUP($D1345,Merchantability!$B:$E,4,0)),AB1345,0)</f>
        <v>#N/A</v>
      </c>
      <c r="AH1345" s="104" t="e">
        <f>IF(AND(VLOOKUP($D1345,Merchantability!$B:$C,2,0)="Yes",$E1345&gt;=VLOOKUP($D1345,Merchantability!$B:$D,3,0),$E1345&lt;=VLOOKUP($D1345,Merchantability!$B:$E,4,0)),AC1345,0)</f>
        <v>#N/A</v>
      </c>
      <c r="AI1345" s="104" t="e">
        <f t="shared" si="600"/>
        <v>#N/A</v>
      </c>
      <c r="AJ1345" s="104" t="e">
        <f t="shared" si="601"/>
        <v>#VALUE!</v>
      </c>
      <c r="AK1345" s="104" t="e">
        <f t="shared" si="602"/>
        <v>#N/A</v>
      </c>
      <c r="AL1345" s="104" t="e">
        <f t="shared" si="603"/>
        <v>#N/A</v>
      </c>
      <c r="AM1345" s="104" t="e">
        <f t="shared" si="604"/>
        <v>#N/A</v>
      </c>
      <c r="AN1345" s="104" t="e">
        <f t="shared" si="588"/>
        <v>#N/A</v>
      </c>
      <c r="AO1345" s="104" t="e">
        <f t="shared" si="589"/>
        <v>#N/A</v>
      </c>
      <c r="AP1345" s="104" t="e">
        <f t="shared" si="590"/>
        <v>#N/A</v>
      </c>
      <c r="AQ1345" s="104" t="e">
        <f t="shared" si="591"/>
        <v>#N/A</v>
      </c>
      <c r="AR1345" s="105" t="str">
        <f t="shared" si="583"/>
        <v/>
      </c>
      <c r="AS1345" s="105" t="str">
        <f t="shared" si="584"/>
        <v/>
      </c>
      <c r="AT1345" s="108" t="str">
        <f t="shared" si="585"/>
        <v/>
      </c>
      <c r="AU1345" s="108" t="str">
        <f t="shared" si="586"/>
        <v/>
      </c>
      <c r="AV1345" s="107" t="str">
        <f>IF(ISNUMBER(O1345),IF(VLOOKUP($A1345,Stand!C:J,8,FALSE)="Short",AT1345,AU1345),"")</f>
        <v/>
      </c>
      <c r="AW1345" s="109" t="str">
        <f t="shared" si="592"/>
        <v/>
      </c>
      <c r="AX1345" s="109" t="str">
        <f t="shared" si="593"/>
        <v/>
      </c>
      <c r="AY1345" s="112" t="str">
        <f>IF(ISNUMBER(O1345),IF(AND(VLOOKUP($D1345,Merchantability!$B:$C,2,0)="Yes",$E1345&gt;=VLOOKUP($D1345,Merchantability!$B:$D,3,0),$E1345&lt;=VLOOKUP($D1345,Merchantability!$B:$E,4,0)),(AV1345*O1345)*(1-$H1345/100),""),"")</f>
        <v/>
      </c>
      <c r="AZ1345" s="116"/>
      <c r="BA1345" s="116"/>
      <c r="BB1345" s="116"/>
      <c r="BE1345" s="62"/>
      <c r="BF1345" s="63"/>
    </row>
    <row r="1346" spans="1:58" ht="12.75" customHeight="1" x14ac:dyDescent="0.25">
      <c r="A1346" s="333"/>
      <c r="B1346" s="334"/>
      <c r="C1346" s="332"/>
      <c r="D1346" s="334"/>
      <c r="E1346" s="335"/>
      <c r="F1346" s="334"/>
      <c r="G1346" s="332"/>
      <c r="H1346" s="332"/>
      <c r="I1346" s="334"/>
      <c r="J1346" s="336"/>
      <c r="K1346" s="332"/>
      <c r="L1346" s="332"/>
      <c r="M1346" s="76"/>
      <c r="N1346" s="103" t="str">
        <f>IF(A1346="","",VLOOKUP(A1346,Stand!C:K,9,0))</f>
        <v/>
      </c>
      <c r="O1346" s="104" t="str">
        <f t="shared" ref="O1346:O1409" si="605">IF(E1346&gt;0,IF(G1346&gt;1,G1346*(43560/(N1346^2*3.14)),43560/(N1346^2*3.14)),"")</f>
        <v/>
      </c>
      <c r="P1346" s="105" t="str">
        <f t="shared" ref="P1346:P1409" si="606">IF(ISNUMBER(O1346),E1346*O1346,"")</f>
        <v/>
      </c>
      <c r="Q1346" s="105" t="str">
        <f t="shared" si="594"/>
        <v/>
      </c>
      <c r="R1346" s="103" t="str">
        <f t="shared" ref="R1346:R1409" si="607">IF(ISNUMBER(O1346),E1346^2*0.005454*O1346,"")</f>
        <v/>
      </c>
      <c r="S1346" s="103" t="str">
        <f t="shared" ref="S1346:S1409" si="608">IF(ISNUMBER(O1346),(E1346/10)^1.7*O1346,"")</f>
        <v/>
      </c>
      <c r="T1346" s="106" t="str">
        <f t="shared" si="595"/>
        <v/>
      </c>
      <c r="U1346" s="106" t="str">
        <f t="shared" si="596"/>
        <v/>
      </c>
      <c r="V1346" s="106" t="str">
        <f t="shared" si="597"/>
        <v/>
      </c>
      <c r="W1346" s="105" t="str">
        <f t="shared" ref="W1346:W1409" si="609">IF(AND(ISNUMBER(O1346),I1346&gt;0),I1346/(E1346/12),"")</f>
        <v/>
      </c>
      <c r="X1346" s="104" t="str">
        <f t="shared" si="587"/>
        <v/>
      </c>
      <c r="Y1346" s="104" t="str">
        <f t="array" ref="Y1346">IFERROR(IF(ISNUMBER(O1346),IF(COUNT(IF(A1346=$A$2:$A$2427,IF(D1346=$D$2:$D$2427,IF($X$2:$X$2427&gt;0,1))))&gt;0,SUM(IF(A1346=$A$2:$A$2427,IF(D1346=$D$2:$D$2427,$X$2:$X$2427)))/COUNT(IF(A1346=$A$2:$A$2427,IF(D1346=$D$2:$D$2427,IF(ISNUMBER($X$2:$X$2427),1)))),0),""),0)</f>
        <v/>
      </c>
      <c r="Z1346" s="104" t="str">
        <f>IF(ISNUMBER(O1346),IF(I1346&gt;0,(10^(VLOOKUP(D1346,'Species Codes'!B:C,2,0)+VLOOKUP(D1346,'Species Codes'!B:D,3,0)*LOG(E1346)+VLOOKUP(D1346,'Species Codes'!B:E,4,0)*LOG(I1346))),0),"")</f>
        <v/>
      </c>
      <c r="AA1346" s="104" t="str">
        <f>IFERROR((VLOOKUP(D1346,'Species Codes'!B:G,6,0)*Z1346)/2000,"")</f>
        <v/>
      </c>
      <c r="AB1346" s="104" t="e">
        <f>IF(Z1346&gt;0,((IF(OR(D1346="DF",D1346="RA")=TRUE,EXP(VLOOKUP(D1346,'Species Codes'!B:I,8,0)+VLOOKUP(D1346,'Species Codes'!B:J,9,0)*(LN((E1346*2.54)))),IF(OR(D1346="PY",D1346="RC",D1346="WH",D1346="NF")=TRUE,VLOOKUP(D1346,'Species Codes'!B:I,8,0)+VLOOKUP(D1346,'Species Codes'!B:J,9,0)*((E1346*2.54)^2)*(I1346*0.3048),IF(OR(D1346="MD",D1346="BM",D1346="GA")=TRUE,((VLOOKUP(D1346,'Species Codes'!B:I,8,0)*(((((E1346*2.54)+VLOOKUP(D1346,'Species Codes'!B:J,9,0))/VLOOKUP(D1346,'Species Codes'!B:K,10,0))^VLOOKUP(D1346,'Species Codes'!B:L,11,0))*((I1346*0.3048)^VLOOKUP(D1346,'Species Codes'!B:M,12,0))))-(VLOOKUP(D1346,'Species Codes'!B:I,8,0)*((((E1346*2.54)^VLOOKUP(D1346,'Species Codes'!B:L,11,0))*((I1346*0.3048)^VLOOKUP(D1346,'Species Codes'!B:M,12,0))))))*35.3*VLOOKUP(D1346,'Species Codes'!B:G,6,0)/2.2046,VLOOKUP(D1346,'Species Codes'!B:I,8,0)+VLOOKUP(D1346,'Species Codes'!B:J,9,0)*(((E1346*2.54)/100)^2)*(I1346*0.3048)))))*0.0011023),0)</f>
        <v>#N/A</v>
      </c>
      <c r="AC1346" s="104" t="e">
        <f>IF(Z1346&gt;0,((IF(OR(D1346="RA",D1346="OA",D1346="OT",D1346="UN",D1346="PC"),EXP(VLOOKUP(D1346,'Species Codes'!B:O,14,0)+VLOOKUP(D1346,'Species Codes'!B:P,15,0)*LN((E1346*2.54)))-EXP(VLOOKUP(D1346,'Species Codes'!B:O,14,0)+VLOOKUP(D1346,'Species Codes'!B:P,15,0)*LN((E1346*2.54)))*(1/(VLOOKUP(D1346,'Species Codes'!B:Q,16,0)+VLOOKUP(D1346,'Species Codes'!B:R,17,0)*((E1346*2.54)^VLOOKUP(D1346,'Species Codes'!B:S,18,0)))),IF(OR(D1346="BM",D1346="MD",D1346="OA"),EXP(VLOOKUP(D1346,'Species Codes'!B:O,14,0)+VLOOKUP(D1346,'Species Codes'!B:P,15,0)*LN((E1346*2.54)))*(1-(1/(VLOOKUP(D1346,'Species Codes'!B:Q,16,0)+VLOOKUP(D1346,'Species Codes'!B:R,17,0)*((E1346*2.54)^VLOOKUP(D1346,'Species Codes'!B:S,18,0)))))/1000,IF(D1346="DF",EXP(VLOOKUP(D1346,'Species Codes'!B:O,14,0)+VLOOKUP(D1346,'Species Codes'!B:P,15,0)*LN((E1346*2.54))),VLOOKUP(D1346,'Species Codes'!B:O,14,0)+VLOOKUP(D1346,'Species Codes'!B:P,15,0)*(((E1346*2.54)/100)^2)*(I1346*0.3048)))))*0.0011023),0)</f>
        <v>#N/A</v>
      </c>
      <c r="AD1346" s="104" t="e">
        <f t="shared" si="598"/>
        <v>#N/A</v>
      </c>
      <c r="AE1346" s="104" t="e">
        <f t="shared" si="599"/>
        <v>#N/A</v>
      </c>
      <c r="AF1346" s="104" t="e">
        <f>IF(AND(VLOOKUP($D1346,Merchantability!$B:$C,2,0)="Yes",$E1346&gt;=VLOOKUP($D1346,Merchantability!$B:$D,3,0),$E1346&lt;=VLOOKUP($D1346,Merchantability!$B:$E,4,0)),AA1346,0)</f>
        <v>#N/A</v>
      </c>
      <c r="AG1346" s="104" t="e">
        <f>IF(AND(VLOOKUP($D1346,Merchantability!$B:$C,2,0)="Yes",$E1346&gt;=VLOOKUP($D1346,Merchantability!$B:$D,3,0),$E1346&lt;=VLOOKUP($D1346,Merchantability!$B:$E,4,0)),AB1346,0)</f>
        <v>#N/A</v>
      </c>
      <c r="AH1346" s="104" t="e">
        <f>IF(AND(VLOOKUP($D1346,Merchantability!$B:$C,2,0)="Yes",$E1346&gt;=VLOOKUP($D1346,Merchantability!$B:$D,3,0),$E1346&lt;=VLOOKUP($D1346,Merchantability!$B:$E,4,0)),AC1346,0)</f>
        <v>#N/A</v>
      </c>
      <c r="AI1346" s="104" t="e">
        <f t="shared" si="600"/>
        <v>#N/A</v>
      </c>
      <c r="AJ1346" s="104" t="e">
        <f t="shared" si="601"/>
        <v>#VALUE!</v>
      </c>
      <c r="AK1346" s="104" t="e">
        <f t="shared" si="602"/>
        <v>#N/A</v>
      </c>
      <c r="AL1346" s="104" t="e">
        <f t="shared" si="603"/>
        <v>#N/A</v>
      </c>
      <c r="AM1346" s="104" t="e">
        <f t="shared" si="604"/>
        <v>#N/A</v>
      </c>
      <c r="AN1346" s="104" t="e">
        <f t="shared" si="588"/>
        <v>#N/A</v>
      </c>
      <c r="AO1346" s="104" t="e">
        <f t="shared" si="589"/>
        <v>#N/A</v>
      </c>
      <c r="AP1346" s="104" t="e">
        <f t="shared" si="590"/>
        <v>#N/A</v>
      </c>
      <c r="AQ1346" s="104" t="e">
        <f t="shared" si="591"/>
        <v>#N/A</v>
      </c>
      <c r="AR1346" s="105" t="str">
        <f t="shared" ref="AR1346:AR1409" si="610">IF(ISNUMBER(O1346),IF(Y1346&gt;0,((Y1346*(E1346^2*0.005454-0.087266))/0.912733),0),"")</f>
        <v/>
      </c>
      <c r="AS1346" s="105" t="str">
        <f t="shared" ref="AS1346:AS1409" si="611">IF(ISNUMBER(O1346),AR1346*(0.993-0.993*(0.62^(E1346-6))),"")</f>
        <v/>
      </c>
      <c r="AT1346" s="108" t="str">
        <f t="shared" ref="AT1346:AT1409" si="612">IF(ISNUMBER(O1346),IF(AS1346&gt;0,IF(Y1346&gt;0,(AS1346*10^(0.174439+0.117594*(LOG(E1346,10))*(LOG(Y1346/0.912733,10))-8.210585/E1346^2+0.236693*(LOG(Y1346/0.912733,10))-0.00001345*(Y1346/0.912733)^2-0.00001937*E1346^2)),0),0),"")</f>
        <v/>
      </c>
      <c r="AU1346" s="108" t="str">
        <f t="shared" ref="AU1346:AU1409" si="613">IF(ISNUMBER(O1346),IF(AS1346&gt;0,IF(Y1346&gt;0,AT1346*(1.001491-(6.92497/Y1346)+(0.00001351*(E1346^2))),0),0),"")</f>
        <v/>
      </c>
      <c r="AV1346" s="107" t="str">
        <f>IF(ISNUMBER(O1346),IF(VLOOKUP($A1346,Stand!C:J,8,FALSE)="Short",AT1346,AU1346),"")</f>
        <v/>
      </c>
      <c r="AW1346" s="109" t="str">
        <f t="shared" si="592"/>
        <v/>
      </c>
      <c r="AX1346" s="109" t="str">
        <f t="shared" si="593"/>
        <v/>
      </c>
      <c r="AY1346" s="112" t="str">
        <f>IF(ISNUMBER(O1346),IF(AND(VLOOKUP($D1346,Merchantability!$B:$C,2,0)="Yes",$E1346&gt;=VLOOKUP($D1346,Merchantability!$B:$D,3,0),$E1346&lt;=VLOOKUP($D1346,Merchantability!$B:$E,4,0)),(AV1346*O1346)*(1-$H1346/100),""),"")</f>
        <v/>
      </c>
      <c r="AZ1346" s="116"/>
      <c r="BA1346" s="116"/>
      <c r="BB1346" s="116"/>
      <c r="BE1346" s="62"/>
      <c r="BF1346" s="63"/>
    </row>
    <row r="1347" spans="1:58" ht="12.75" customHeight="1" x14ac:dyDescent="0.25">
      <c r="A1347" s="333"/>
      <c r="B1347" s="334"/>
      <c r="C1347" s="332"/>
      <c r="D1347" s="334"/>
      <c r="E1347" s="335"/>
      <c r="F1347" s="334"/>
      <c r="G1347" s="332"/>
      <c r="H1347" s="332"/>
      <c r="I1347" s="334"/>
      <c r="J1347" s="336"/>
      <c r="K1347" s="332"/>
      <c r="L1347" s="332"/>
      <c r="M1347" s="76"/>
      <c r="N1347" s="103" t="str">
        <f>IF(A1347="","",VLOOKUP(A1347,Stand!C:K,9,0))</f>
        <v/>
      </c>
      <c r="O1347" s="104" t="str">
        <f t="shared" si="605"/>
        <v/>
      </c>
      <c r="P1347" s="105" t="str">
        <f t="shared" si="606"/>
        <v/>
      </c>
      <c r="Q1347" s="105" t="str">
        <f t="shared" si="594"/>
        <v/>
      </c>
      <c r="R1347" s="103" t="str">
        <f t="shared" si="607"/>
        <v/>
      </c>
      <c r="S1347" s="103" t="str">
        <f t="shared" si="608"/>
        <v/>
      </c>
      <c r="T1347" s="106" t="str">
        <f t="shared" si="595"/>
        <v/>
      </c>
      <c r="U1347" s="106" t="str">
        <f t="shared" si="596"/>
        <v/>
      </c>
      <c r="V1347" s="106" t="str">
        <f t="shared" si="597"/>
        <v/>
      </c>
      <c r="W1347" s="105" t="str">
        <f t="shared" si="609"/>
        <v/>
      </c>
      <c r="X1347" s="104" t="str">
        <f t="shared" ref="X1347:X1410" si="614">IF(ISNUMBER(O1347),IF(I1347&gt;0,IF(E1347&gt;0,(0.912733*Z1347)/(1.033*(1+1.382937*EXP(-4.015292*E1347/10))*((E1347^2)*0.005454+0.087266)-0.174533),""),""),"")</f>
        <v/>
      </c>
      <c r="Y1347" s="104" t="str">
        <f t="array" ref="Y1347">IFERROR(IF(ISNUMBER(O1347),IF(COUNT(IF(A1347=$A$2:$A$2427,IF(D1347=$D$2:$D$2427,IF($X$2:$X$2427&gt;0,1))))&gt;0,SUM(IF(A1347=$A$2:$A$2427,IF(D1347=$D$2:$D$2427,$X$2:$X$2427)))/COUNT(IF(A1347=$A$2:$A$2427,IF(D1347=$D$2:$D$2427,IF(ISNUMBER($X$2:$X$2427),1)))),0),""),0)</f>
        <v/>
      </c>
      <c r="Z1347" s="104" t="str">
        <f>IF(ISNUMBER(O1347),IF(I1347&gt;0,(10^(VLOOKUP(D1347,'Species Codes'!B:C,2,0)+VLOOKUP(D1347,'Species Codes'!B:D,3,0)*LOG(E1347)+VLOOKUP(D1347,'Species Codes'!B:E,4,0)*LOG(I1347))),0),"")</f>
        <v/>
      </c>
      <c r="AA1347" s="104" t="str">
        <f>IFERROR((VLOOKUP(D1347,'Species Codes'!B:G,6,0)*Z1347)/2000,"")</f>
        <v/>
      </c>
      <c r="AB1347" s="104" t="e">
        <f>IF(Z1347&gt;0,((IF(OR(D1347="DF",D1347="RA")=TRUE,EXP(VLOOKUP(D1347,'Species Codes'!B:I,8,0)+VLOOKUP(D1347,'Species Codes'!B:J,9,0)*(LN((E1347*2.54)))),IF(OR(D1347="PY",D1347="RC",D1347="WH",D1347="NF")=TRUE,VLOOKUP(D1347,'Species Codes'!B:I,8,0)+VLOOKUP(D1347,'Species Codes'!B:J,9,0)*((E1347*2.54)^2)*(I1347*0.3048),IF(OR(D1347="MD",D1347="BM",D1347="GA")=TRUE,((VLOOKUP(D1347,'Species Codes'!B:I,8,0)*(((((E1347*2.54)+VLOOKUP(D1347,'Species Codes'!B:J,9,0))/VLOOKUP(D1347,'Species Codes'!B:K,10,0))^VLOOKUP(D1347,'Species Codes'!B:L,11,0))*((I1347*0.3048)^VLOOKUP(D1347,'Species Codes'!B:M,12,0))))-(VLOOKUP(D1347,'Species Codes'!B:I,8,0)*((((E1347*2.54)^VLOOKUP(D1347,'Species Codes'!B:L,11,0))*((I1347*0.3048)^VLOOKUP(D1347,'Species Codes'!B:M,12,0))))))*35.3*VLOOKUP(D1347,'Species Codes'!B:G,6,0)/2.2046,VLOOKUP(D1347,'Species Codes'!B:I,8,0)+VLOOKUP(D1347,'Species Codes'!B:J,9,0)*(((E1347*2.54)/100)^2)*(I1347*0.3048)))))*0.0011023),0)</f>
        <v>#N/A</v>
      </c>
      <c r="AC1347" s="104" t="e">
        <f>IF(Z1347&gt;0,((IF(OR(D1347="RA",D1347="OA",D1347="OT",D1347="UN",D1347="PC"),EXP(VLOOKUP(D1347,'Species Codes'!B:O,14,0)+VLOOKUP(D1347,'Species Codes'!B:P,15,0)*LN((E1347*2.54)))-EXP(VLOOKUP(D1347,'Species Codes'!B:O,14,0)+VLOOKUP(D1347,'Species Codes'!B:P,15,0)*LN((E1347*2.54)))*(1/(VLOOKUP(D1347,'Species Codes'!B:Q,16,0)+VLOOKUP(D1347,'Species Codes'!B:R,17,0)*((E1347*2.54)^VLOOKUP(D1347,'Species Codes'!B:S,18,0)))),IF(OR(D1347="BM",D1347="MD",D1347="OA"),EXP(VLOOKUP(D1347,'Species Codes'!B:O,14,0)+VLOOKUP(D1347,'Species Codes'!B:P,15,0)*LN((E1347*2.54)))*(1-(1/(VLOOKUP(D1347,'Species Codes'!B:Q,16,0)+VLOOKUP(D1347,'Species Codes'!B:R,17,0)*((E1347*2.54)^VLOOKUP(D1347,'Species Codes'!B:S,18,0)))))/1000,IF(D1347="DF",EXP(VLOOKUP(D1347,'Species Codes'!B:O,14,0)+VLOOKUP(D1347,'Species Codes'!B:P,15,0)*LN((E1347*2.54))),VLOOKUP(D1347,'Species Codes'!B:O,14,0)+VLOOKUP(D1347,'Species Codes'!B:P,15,0)*(((E1347*2.54)/100)^2)*(I1347*0.3048)))))*0.0011023),0)</f>
        <v>#N/A</v>
      </c>
      <c r="AD1347" s="104" t="e">
        <f t="shared" si="598"/>
        <v>#N/A</v>
      </c>
      <c r="AE1347" s="104" t="e">
        <f t="shared" si="599"/>
        <v>#N/A</v>
      </c>
      <c r="AF1347" s="104" t="e">
        <f>IF(AND(VLOOKUP($D1347,Merchantability!$B:$C,2,0)="Yes",$E1347&gt;=VLOOKUP($D1347,Merchantability!$B:$D,3,0),$E1347&lt;=VLOOKUP($D1347,Merchantability!$B:$E,4,0)),AA1347,0)</f>
        <v>#N/A</v>
      </c>
      <c r="AG1347" s="104" t="e">
        <f>IF(AND(VLOOKUP($D1347,Merchantability!$B:$C,2,0)="Yes",$E1347&gt;=VLOOKUP($D1347,Merchantability!$B:$D,3,0),$E1347&lt;=VLOOKUP($D1347,Merchantability!$B:$E,4,0)),AB1347,0)</f>
        <v>#N/A</v>
      </c>
      <c r="AH1347" s="104" t="e">
        <f>IF(AND(VLOOKUP($D1347,Merchantability!$B:$C,2,0)="Yes",$E1347&gt;=VLOOKUP($D1347,Merchantability!$B:$D,3,0),$E1347&lt;=VLOOKUP($D1347,Merchantability!$B:$E,4,0)),AC1347,0)</f>
        <v>#N/A</v>
      </c>
      <c r="AI1347" s="104" t="e">
        <f t="shared" si="600"/>
        <v>#N/A</v>
      </c>
      <c r="AJ1347" s="104" t="e">
        <f t="shared" si="601"/>
        <v>#VALUE!</v>
      </c>
      <c r="AK1347" s="104" t="e">
        <f t="shared" si="602"/>
        <v>#N/A</v>
      </c>
      <c r="AL1347" s="104" t="e">
        <f t="shared" si="603"/>
        <v>#N/A</v>
      </c>
      <c r="AM1347" s="104" t="e">
        <f t="shared" si="604"/>
        <v>#N/A</v>
      </c>
      <c r="AN1347" s="104" t="e">
        <f t="shared" ref="AN1347:AN1410" si="615">AF1347*$O1347</f>
        <v>#N/A</v>
      </c>
      <c r="AO1347" s="104" t="e">
        <f t="shared" ref="AO1347:AO1410" si="616">AG1347*$O1347</f>
        <v>#N/A</v>
      </c>
      <c r="AP1347" s="104" t="e">
        <f t="shared" ref="AP1347:AP1410" si="617">AH1347*$O1347</f>
        <v>#N/A</v>
      </c>
      <c r="AQ1347" s="104" t="e">
        <f t="shared" ref="AQ1347:AQ1410" si="618">SUM(AN1347:AP1347)</f>
        <v>#N/A</v>
      </c>
      <c r="AR1347" s="105" t="str">
        <f t="shared" si="610"/>
        <v/>
      </c>
      <c r="AS1347" s="105" t="str">
        <f t="shared" si="611"/>
        <v/>
      </c>
      <c r="AT1347" s="108" t="str">
        <f t="shared" si="612"/>
        <v/>
      </c>
      <c r="AU1347" s="108" t="str">
        <f t="shared" si="613"/>
        <v/>
      </c>
      <c r="AV1347" s="107" t="str">
        <f>IF(ISNUMBER(O1347),IF(VLOOKUP($A1347,Stand!C:J,8,FALSE)="Short",AT1347,AU1347),"")</f>
        <v/>
      </c>
      <c r="AW1347" s="109" t="str">
        <f t="shared" ref="AW1347:AW1410" si="619">IF(ISNUMBER(O1347),AV1347*O1347,"")</f>
        <v/>
      </c>
      <c r="AX1347" s="109" t="str">
        <f t="shared" ref="AX1347:AX1410" si="620">IF(ISNUMBER(O1347),AW1347*(1-$H1347/100),"")</f>
        <v/>
      </c>
      <c r="AY1347" s="112" t="str">
        <f>IF(ISNUMBER(O1347),IF(AND(VLOOKUP($D1347,Merchantability!$B:$C,2,0)="Yes",$E1347&gt;=VLOOKUP($D1347,Merchantability!$B:$D,3,0),$E1347&lt;=VLOOKUP($D1347,Merchantability!$B:$E,4,0)),(AV1347*O1347)*(1-$H1347/100),""),"")</f>
        <v/>
      </c>
      <c r="AZ1347" s="116"/>
      <c r="BA1347" s="116"/>
      <c r="BB1347" s="116"/>
      <c r="BE1347" s="62"/>
      <c r="BF1347" s="63"/>
    </row>
    <row r="1348" spans="1:58" ht="12.75" customHeight="1" x14ac:dyDescent="0.25">
      <c r="A1348" s="333"/>
      <c r="B1348" s="334"/>
      <c r="C1348" s="332"/>
      <c r="D1348" s="334"/>
      <c r="E1348" s="335"/>
      <c r="F1348" s="334"/>
      <c r="G1348" s="332"/>
      <c r="H1348" s="332"/>
      <c r="I1348" s="334"/>
      <c r="J1348" s="336"/>
      <c r="K1348" s="332"/>
      <c r="L1348" s="332"/>
      <c r="M1348" s="76"/>
      <c r="N1348" s="103" t="str">
        <f>IF(A1348="","",VLOOKUP(A1348,Stand!C:K,9,0))</f>
        <v/>
      </c>
      <c r="O1348" s="104" t="str">
        <f t="shared" si="605"/>
        <v/>
      </c>
      <c r="P1348" s="105" t="str">
        <f t="shared" si="606"/>
        <v/>
      </c>
      <c r="Q1348" s="105" t="str">
        <f t="shared" si="594"/>
        <v/>
      </c>
      <c r="R1348" s="103" t="str">
        <f t="shared" si="607"/>
        <v/>
      </c>
      <c r="S1348" s="103" t="str">
        <f t="shared" si="608"/>
        <v/>
      </c>
      <c r="T1348" s="106" t="str">
        <f t="shared" si="595"/>
        <v/>
      </c>
      <c r="U1348" s="106" t="str">
        <f t="shared" si="596"/>
        <v/>
      </c>
      <c r="V1348" s="106" t="str">
        <f t="shared" si="597"/>
        <v/>
      </c>
      <c r="W1348" s="105" t="str">
        <f t="shared" si="609"/>
        <v/>
      </c>
      <c r="X1348" s="104" t="str">
        <f t="shared" si="614"/>
        <v/>
      </c>
      <c r="Y1348" s="104" t="str">
        <f t="array" ref="Y1348">IFERROR(IF(ISNUMBER(O1348),IF(COUNT(IF(A1348=$A$2:$A$2427,IF(D1348=$D$2:$D$2427,IF($X$2:$X$2427&gt;0,1))))&gt;0,SUM(IF(A1348=$A$2:$A$2427,IF(D1348=$D$2:$D$2427,$X$2:$X$2427)))/COUNT(IF(A1348=$A$2:$A$2427,IF(D1348=$D$2:$D$2427,IF(ISNUMBER($X$2:$X$2427),1)))),0),""),0)</f>
        <v/>
      </c>
      <c r="Z1348" s="104" t="str">
        <f>IF(ISNUMBER(O1348),IF(I1348&gt;0,(10^(VLOOKUP(D1348,'Species Codes'!B:C,2,0)+VLOOKUP(D1348,'Species Codes'!B:D,3,0)*LOG(E1348)+VLOOKUP(D1348,'Species Codes'!B:E,4,0)*LOG(I1348))),0),"")</f>
        <v/>
      </c>
      <c r="AA1348" s="104" t="str">
        <f>IFERROR((VLOOKUP(D1348,'Species Codes'!B:G,6,0)*Z1348)/2000,"")</f>
        <v/>
      </c>
      <c r="AB1348" s="104" t="e">
        <f>IF(Z1348&gt;0,((IF(OR(D1348="DF",D1348="RA")=TRUE,EXP(VLOOKUP(D1348,'Species Codes'!B:I,8,0)+VLOOKUP(D1348,'Species Codes'!B:J,9,0)*(LN((E1348*2.54)))),IF(OR(D1348="PY",D1348="RC",D1348="WH",D1348="NF")=TRUE,VLOOKUP(D1348,'Species Codes'!B:I,8,0)+VLOOKUP(D1348,'Species Codes'!B:J,9,0)*((E1348*2.54)^2)*(I1348*0.3048),IF(OR(D1348="MD",D1348="BM",D1348="GA")=TRUE,((VLOOKUP(D1348,'Species Codes'!B:I,8,0)*(((((E1348*2.54)+VLOOKUP(D1348,'Species Codes'!B:J,9,0))/VLOOKUP(D1348,'Species Codes'!B:K,10,0))^VLOOKUP(D1348,'Species Codes'!B:L,11,0))*((I1348*0.3048)^VLOOKUP(D1348,'Species Codes'!B:M,12,0))))-(VLOOKUP(D1348,'Species Codes'!B:I,8,0)*((((E1348*2.54)^VLOOKUP(D1348,'Species Codes'!B:L,11,0))*((I1348*0.3048)^VLOOKUP(D1348,'Species Codes'!B:M,12,0))))))*35.3*VLOOKUP(D1348,'Species Codes'!B:G,6,0)/2.2046,VLOOKUP(D1348,'Species Codes'!B:I,8,0)+VLOOKUP(D1348,'Species Codes'!B:J,9,0)*(((E1348*2.54)/100)^2)*(I1348*0.3048)))))*0.0011023),0)</f>
        <v>#N/A</v>
      </c>
      <c r="AC1348" s="104" t="e">
        <f>IF(Z1348&gt;0,((IF(OR(D1348="RA",D1348="OA",D1348="OT",D1348="UN",D1348="PC"),EXP(VLOOKUP(D1348,'Species Codes'!B:O,14,0)+VLOOKUP(D1348,'Species Codes'!B:P,15,0)*LN((E1348*2.54)))-EXP(VLOOKUP(D1348,'Species Codes'!B:O,14,0)+VLOOKUP(D1348,'Species Codes'!B:P,15,0)*LN((E1348*2.54)))*(1/(VLOOKUP(D1348,'Species Codes'!B:Q,16,0)+VLOOKUP(D1348,'Species Codes'!B:R,17,0)*((E1348*2.54)^VLOOKUP(D1348,'Species Codes'!B:S,18,0)))),IF(OR(D1348="BM",D1348="MD",D1348="OA"),EXP(VLOOKUP(D1348,'Species Codes'!B:O,14,0)+VLOOKUP(D1348,'Species Codes'!B:P,15,0)*LN((E1348*2.54)))*(1-(1/(VLOOKUP(D1348,'Species Codes'!B:Q,16,0)+VLOOKUP(D1348,'Species Codes'!B:R,17,0)*((E1348*2.54)^VLOOKUP(D1348,'Species Codes'!B:S,18,0)))))/1000,IF(D1348="DF",EXP(VLOOKUP(D1348,'Species Codes'!B:O,14,0)+VLOOKUP(D1348,'Species Codes'!B:P,15,0)*LN((E1348*2.54))),VLOOKUP(D1348,'Species Codes'!B:O,14,0)+VLOOKUP(D1348,'Species Codes'!B:P,15,0)*(((E1348*2.54)/100)^2)*(I1348*0.3048)))))*0.0011023),0)</f>
        <v>#N/A</v>
      </c>
      <c r="AD1348" s="104" t="e">
        <f t="shared" si="598"/>
        <v>#N/A</v>
      </c>
      <c r="AE1348" s="104" t="e">
        <f t="shared" si="599"/>
        <v>#N/A</v>
      </c>
      <c r="AF1348" s="104" t="e">
        <f>IF(AND(VLOOKUP($D1348,Merchantability!$B:$C,2,0)="Yes",$E1348&gt;=VLOOKUP($D1348,Merchantability!$B:$D,3,0),$E1348&lt;=VLOOKUP($D1348,Merchantability!$B:$E,4,0)),AA1348,0)</f>
        <v>#N/A</v>
      </c>
      <c r="AG1348" s="104" t="e">
        <f>IF(AND(VLOOKUP($D1348,Merchantability!$B:$C,2,0)="Yes",$E1348&gt;=VLOOKUP($D1348,Merchantability!$B:$D,3,0),$E1348&lt;=VLOOKUP($D1348,Merchantability!$B:$E,4,0)),AB1348,0)</f>
        <v>#N/A</v>
      </c>
      <c r="AH1348" s="104" t="e">
        <f>IF(AND(VLOOKUP($D1348,Merchantability!$B:$C,2,0)="Yes",$E1348&gt;=VLOOKUP($D1348,Merchantability!$B:$D,3,0),$E1348&lt;=VLOOKUP($D1348,Merchantability!$B:$E,4,0)),AC1348,0)</f>
        <v>#N/A</v>
      </c>
      <c r="AI1348" s="104" t="e">
        <f t="shared" si="600"/>
        <v>#N/A</v>
      </c>
      <c r="AJ1348" s="104" t="e">
        <f t="shared" si="601"/>
        <v>#VALUE!</v>
      </c>
      <c r="AK1348" s="104" t="e">
        <f t="shared" si="602"/>
        <v>#N/A</v>
      </c>
      <c r="AL1348" s="104" t="e">
        <f t="shared" si="603"/>
        <v>#N/A</v>
      </c>
      <c r="AM1348" s="104" t="e">
        <f t="shared" si="604"/>
        <v>#N/A</v>
      </c>
      <c r="AN1348" s="104" t="e">
        <f t="shared" si="615"/>
        <v>#N/A</v>
      </c>
      <c r="AO1348" s="104" t="e">
        <f t="shared" si="616"/>
        <v>#N/A</v>
      </c>
      <c r="AP1348" s="104" t="e">
        <f t="shared" si="617"/>
        <v>#N/A</v>
      </c>
      <c r="AQ1348" s="104" t="e">
        <f t="shared" si="618"/>
        <v>#N/A</v>
      </c>
      <c r="AR1348" s="105" t="str">
        <f t="shared" si="610"/>
        <v/>
      </c>
      <c r="AS1348" s="105" t="str">
        <f t="shared" si="611"/>
        <v/>
      </c>
      <c r="AT1348" s="108" t="str">
        <f t="shared" si="612"/>
        <v/>
      </c>
      <c r="AU1348" s="108" t="str">
        <f t="shared" si="613"/>
        <v/>
      </c>
      <c r="AV1348" s="107" t="str">
        <f>IF(ISNUMBER(O1348),IF(VLOOKUP($A1348,Stand!C:J,8,FALSE)="Short",AT1348,AU1348),"")</f>
        <v/>
      </c>
      <c r="AW1348" s="109" t="str">
        <f t="shared" si="619"/>
        <v/>
      </c>
      <c r="AX1348" s="109" t="str">
        <f t="shared" si="620"/>
        <v/>
      </c>
      <c r="AY1348" s="112" t="str">
        <f>IF(ISNUMBER(O1348),IF(AND(VLOOKUP($D1348,Merchantability!$B:$C,2,0)="Yes",$E1348&gt;=VLOOKUP($D1348,Merchantability!$B:$D,3,0),$E1348&lt;=VLOOKUP($D1348,Merchantability!$B:$E,4,0)),(AV1348*O1348)*(1-$H1348/100),""),"")</f>
        <v/>
      </c>
      <c r="AZ1348" s="116"/>
      <c r="BA1348" s="116"/>
      <c r="BB1348" s="116"/>
      <c r="BE1348" s="62"/>
      <c r="BF1348" s="63"/>
    </row>
    <row r="1349" spans="1:58" ht="12.75" customHeight="1" x14ac:dyDescent="0.25">
      <c r="A1349" s="333"/>
      <c r="B1349" s="334"/>
      <c r="C1349" s="332"/>
      <c r="D1349" s="334"/>
      <c r="E1349" s="335"/>
      <c r="F1349" s="334"/>
      <c r="G1349" s="332"/>
      <c r="H1349" s="332"/>
      <c r="I1349" s="334"/>
      <c r="J1349" s="336"/>
      <c r="K1349" s="332"/>
      <c r="L1349" s="332"/>
      <c r="M1349" s="76"/>
      <c r="N1349" s="103" t="str">
        <f>IF(A1349="","",VLOOKUP(A1349,Stand!C:K,9,0))</f>
        <v/>
      </c>
      <c r="O1349" s="104" t="str">
        <f t="shared" si="605"/>
        <v/>
      </c>
      <c r="P1349" s="105" t="str">
        <f t="shared" si="606"/>
        <v/>
      </c>
      <c r="Q1349" s="105" t="str">
        <f t="shared" si="594"/>
        <v/>
      </c>
      <c r="R1349" s="103" t="str">
        <f t="shared" si="607"/>
        <v/>
      </c>
      <c r="S1349" s="103" t="str">
        <f t="shared" si="608"/>
        <v/>
      </c>
      <c r="T1349" s="106" t="str">
        <f t="shared" si="595"/>
        <v/>
      </c>
      <c r="U1349" s="106" t="str">
        <f t="shared" si="596"/>
        <v/>
      </c>
      <c r="V1349" s="106" t="str">
        <f t="shared" si="597"/>
        <v/>
      </c>
      <c r="W1349" s="105" t="str">
        <f t="shared" si="609"/>
        <v/>
      </c>
      <c r="X1349" s="104" t="str">
        <f t="shared" si="614"/>
        <v/>
      </c>
      <c r="Y1349" s="104" t="str">
        <f t="array" ref="Y1349">IFERROR(IF(ISNUMBER(O1349),IF(COUNT(IF(A1349=$A$2:$A$2427,IF(D1349=$D$2:$D$2427,IF($X$2:$X$2427&gt;0,1))))&gt;0,SUM(IF(A1349=$A$2:$A$2427,IF(D1349=$D$2:$D$2427,$X$2:$X$2427)))/COUNT(IF(A1349=$A$2:$A$2427,IF(D1349=$D$2:$D$2427,IF(ISNUMBER($X$2:$X$2427),1)))),0),""),0)</f>
        <v/>
      </c>
      <c r="Z1349" s="104" t="str">
        <f>IF(ISNUMBER(O1349),IF(I1349&gt;0,(10^(VLOOKUP(D1349,'Species Codes'!B:C,2,0)+VLOOKUP(D1349,'Species Codes'!B:D,3,0)*LOG(E1349)+VLOOKUP(D1349,'Species Codes'!B:E,4,0)*LOG(I1349))),0),"")</f>
        <v/>
      </c>
      <c r="AA1349" s="104" t="str">
        <f>IFERROR((VLOOKUP(D1349,'Species Codes'!B:G,6,0)*Z1349)/2000,"")</f>
        <v/>
      </c>
      <c r="AB1349" s="104" t="e">
        <f>IF(Z1349&gt;0,((IF(OR(D1349="DF",D1349="RA")=TRUE,EXP(VLOOKUP(D1349,'Species Codes'!B:I,8,0)+VLOOKUP(D1349,'Species Codes'!B:J,9,0)*(LN((E1349*2.54)))),IF(OR(D1349="PY",D1349="RC",D1349="WH",D1349="NF")=TRUE,VLOOKUP(D1349,'Species Codes'!B:I,8,0)+VLOOKUP(D1349,'Species Codes'!B:J,9,0)*((E1349*2.54)^2)*(I1349*0.3048),IF(OR(D1349="MD",D1349="BM",D1349="GA")=TRUE,((VLOOKUP(D1349,'Species Codes'!B:I,8,0)*(((((E1349*2.54)+VLOOKUP(D1349,'Species Codes'!B:J,9,0))/VLOOKUP(D1349,'Species Codes'!B:K,10,0))^VLOOKUP(D1349,'Species Codes'!B:L,11,0))*((I1349*0.3048)^VLOOKUP(D1349,'Species Codes'!B:M,12,0))))-(VLOOKUP(D1349,'Species Codes'!B:I,8,0)*((((E1349*2.54)^VLOOKUP(D1349,'Species Codes'!B:L,11,0))*((I1349*0.3048)^VLOOKUP(D1349,'Species Codes'!B:M,12,0))))))*35.3*VLOOKUP(D1349,'Species Codes'!B:G,6,0)/2.2046,VLOOKUP(D1349,'Species Codes'!B:I,8,0)+VLOOKUP(D1349,'Species Codes'!B:J,9,0)*(((E1349*2.54)/100)^2)*(I1349*0.3048)))))*0.0011023),0)</f>
        <v>#N/A</v>
      </c>
      <c r="AC1349" s="104" t="e">
        <f>IF(Z1349&gt;0,((IF(OR(D1349="RA",D1349="OA",D1349="OT",D1349="UN",D1349="PC"),EXP(VLOOKUP(D1349,'Species Codes'!B:O,14,0)+VLOOKUP(D1349,'Species Codes'!B:P,15,0)*LN((E1349*2.54)))-EXP(VLOOKUP(D1349,'Species Codes'!B:O,14,0)+VLOOKUP(D1349,'Species Codes'!B:P,15,0)*LN((E1349*2.54)))*(1/(VLOOKUP(D1349,'Species Codes'!B:Q,16,0)+VLOOKUP(D1349,'Species Codes'!B:R,17,0)*((E1349*2.54)^VLOOKUP(D1349,'Species Codes'!B:S,18,0)))),IF(OR(D1349="BM",D1349="MD",D1349="OA"),EXP(VLOOKUP(D1349,'Species Codes'!B:O,14,0)+VLOOKUP(D1349,'Species Codes'!B:P,15,0)*LN((E1349*2.54)))*(1-(1/(VLOOKUP(D1349,'Species Codes'!B:Q,16,0)+VLOOKUP(D1349,'Species Codes'!B:R,17,0)*((E1349*2.54)^VLOOKUP(D1349,'Species Codes'!B:S,18,0)))))/1000,IF(D1349="DF",EXP(VLOOKUP(D1349,'Species Codes'!B:O,14,0)+VLOOKUP(D1349,'Species Codes'!B:P,15,0)*LN((E1349*2.54))),VLOOKUP(D1349,'Species Codes'!B:O,14,0)+VLOOKUP(D1349,'Species Codes'!B:P,15,0)*(((E1349*2.54)/100)^2)*(I1349*0.3048)))))*0.0011023),0)</f>
        <v>#N/A</v>
      </c>
      <c r="AD1349" s="104" t="e">
        <f t="shared" si="598"/>
        <v>#N/A</v>
      </c>
      <c r="AE1349" s="104" t="e">
        <f t="shared" si="599"/>
        <v>#N/A</v>
      </c>
      <c r="AF1349" s="104" t="e">
        <f>IF(AND(VLOOKUP($D1349,Merchantability!$B:$C,2,0)="Yes",$E1349&gt;=VLOOKUP($D1349,Merchantability!$B:$D,3,0),$E1349&lt;=VLOOKUP($D1349,Merchantability!$B:$E,4,0)),AA1349,0)</f>
        <v>#N/A</v>
      </c>
      <c r="AG1349" s="104" t="e">
        <f>IF(AND(VLOOKUP($D1349,Merchantability!$B:$C,2,0)="Yes",$E1349&gt;=VLOOKUP($D1349,Merchantability!$B:$D,3,0),$E1349&lt;=VLOOKUP($D1349,Merchantability!$B:$E,4,0)),AB1349,0)</f>
        <v>#N/A</v>
      </c>
      <c r="AH1349" s="104" t="e">
        <f>IF(AND(VLOOKUP($D1349,Merchantability!$B:$C,2,0)="Yes",$E1349&gt;=VLOOKUP($D1349,Merchantability!$B:$D,3,0),$E1349&lt;=VLOOKUP($D1349,Merchantability!$B:$E,4,0)),AC1349,0)</f>
        <v>#N/A</v>
      </c>
      <c r="AI1349" s="104" t="e">
        <f t="shared" si="600"/>
        <v>#N/A</v>
      </c>
      <c r="AJ1349" s="104" t="e">
        <f t="shared" si="601"/>
        <v>#VALUE!</v>
      </c>
      <c r="AK1349" s="104" t="e">
        <f t="shared" si="602"/>
        <v>#N/A</v>
      </c>
      <c r="AL1349" s="104" t="e">
        <f t="shared" si="603"/>
        <v>#N/A</v>
      </c>
      <c r="AM1349" s="104" t="e">
        <f t="shared" si="604"/>
        <v>#N/A</v>
      </c>
      <c r="AN1349" s="104" t="e">
        <f t="shared" si="615"/>
        <v>#N/A</v>
      </c>
      <c r="AO1349" s="104" t="e">
        <f t="shared" si="616"/>
        <v>#N/A</v>
      </c>
      <c r="AP1349" s="104" t="e">
        <f t="shared" si="617"/>
        <v>#N/A</v>
      </c>
      <c r="AQ1349" s="104" t="e">
        <f t="shared" si="618"/>
        <v>#N/A</v>
      </c>
      <c r="AR1349" s="105" t="str">
        <f t="shared" si="610"/>
        <v/>
      </c>
      <c r="AS1349" s="105" t="str">
        <f t="shared" si="611"/>
        <v/>
      </c>
      <c r="AT1349" s="108" t="str">
        <f t="shared" si="612"/>
        <v/>
      </c>
      <c r="AU1349" s="108" t="str">
        <f t="shared" si="613"/>
        <v/>
      </c>
      <c r="AV1349" s="107" t="str">
        <f>IF(ISNUMBER(O1349),IF(VLOOKUP($A1349,Stand!C:J,8,FALSE)="Short",AT1349,AU1349),"")</f>
        <v/>
      </c>
      <c r="AW1349" s="109" t="str">
        <f t="shared" si="619"/>
        <v/>
      </c>
      <c r="AX1349" s="109" t="str">
        <f t="shared" si="620"/>
        <v/>
      </c>
      <c r="AY1349" s="112" t="str">
        <f>IF(ISNUMBER(O1349),IF(AND(VLOOKUP($D1349,Merchantability!$B:$C,2,0)="Yes",$E1349&gt;=VLOOKUP($D1349,Merchantability!$B:$D,3,0),$E1349&lt;=VLOOKUP($D1349,Merchantability!$B:$E,4,0)),(AV1349*O1349)*(1-$H1349/100),""),"")</f>
        <v/>
      </c>
      <c r="AZ1349" s="116"/>
      <c r="BA1349" s="116"/>
      <c r="BB1349" s="116"/>
      <c r="BE1349" s="62"/>
      <c r="BF1349" s="63"/>
    </row>
    <row r="1350" spans="1:58" ht="12.75" customHeight="1" x14ac:dyDescent="0.25">
      <c r="A1350" s="333"/>
      <c r="B1350" s="334"/>
      <c r="C1350" s="332"/>
      <c r="D1350" s="334"/>
      <c r="E1350" s="335"/>
      <c r="F1350" s="334"/>
      <c r="G1350" s="332"/>
      <c r="H1350" s="332"/>
      <c r="I1350" s="334"/>
      <c r="J1350" s="336"/>
      <c r="K1350" s="332"/>
      <c r="L1350" s="332"/>
      <c r="M1350" s="76"/>
      <c r="N1350" s="103" t="str">
        <f>IF(A1350="","",VLOOKUP(A1350,Stand!C:K,9,0))</f>
        <v/>
      </c>
      <c r="O1350" s="104" t="str">
        <f t="shared" si="605"/>
        <v/>
      </c>
      <c r="P1350" s="105" t="str">
        <f t="shared" si="606"/>
        <v/>
      </c>
      <c r="Q1350" s="105" t="str">
        <f t="shared" si="594"/>
        <v/>
      </c>
      <c r="R1350" s="103" t="str">
        <f t="shared" si="607"/>
        <v/>
      </c>
      <c r="S1350" s="103" t="str">
        <f t="shared" si="608"/>
        <v/>
      </c>
      <c r="T1350" s="106" t="str">
        <f t="shared" si="595"/>
        <v/>
      </c>
      <c r="U1350" s="106" t="str">
        <f t="shared" si="596"/>
        <v/>
      </c>
      <c r="V1350" s="106" t="str">
        <f t="shared" si="597"/>
        <v/>
      </c>
      <c r="W1350" s="105" t="str">
        <f t="shared" si="609"/>
        <v/>
      </c>
      <c r="X1350" s="104" t="str">
        <f t="shared" si="614"/>
        <v/>
      </c>
      <c r="Y1350" s="104" t="str">
        <f t="array" ref="Y1350">IFERROR(IF(ISNUMBER(O1350),IF(COUNT(IF(A1350=$A$2:$A$2427,IF(D1350=$D$2:$D$2427,IF($X$2:$X$2427&gt;0,1))))&gt;0,SUM(IF(A1350=$A$2:$A$2427,IF(D1350=$D$2:$D$2427,$X$2:$X$2427)))/COUNT(IF(A1350=$A$2:$A$2427,IF(D1350=$D$2:$D$2427,IF(ISNUMBER($X$2:$X$2427),1)))),0),""),0)</f>
        <v/>
      </c>
      <c r="Z1350" s="104" t="str">
        <f>IF(ISNUMBER(O1350),IF(I1350&gt;0,(10^(VLOOKUP(D1350,'Species Codes'!B:C,2,0)+VLOOKUP(D1350,'Species Codes'!B:D,3,0)*LOG(E1350)+VLOOKUP(D1350,'Species Codes'!B:E,4,0)*LOG(I1350))),0),"")</f>
        <v/>
      </c>
      <c r="AA1350" s="104" t="str">
        <f>IFERROR((VLOOKUP(D1350,'Species Codes'!B:G,6,0)*Z1350)/2000,"")</f>
        <v/>
      </c>
      <c r="AB1350" s="104" t="e">
        <f>IF(Z1350&gt;0,((IF(OR(D1350="DF",D1350="RA")=TRUE,EXP(VLOOKUP(D1350,'Species Codes'!B:I,8,0)+VLOOKUP(D1350,'Species Codes'!B:J,9,0)*(LN((E1350*2.54)))),IF(OR(D1350="PY",D1350="RC",D1350="WH",D1350="NF")=TRUE,VLOOKUP(D1350,'Species Codes'!B:I,8,0)+VLOOKUP(D1350,'Species Codes'!B:J,9,0)*((E1350*2.54)^2)*(I1350*0.3048),IF(OR(D1350="MD",D1350="BM",D1350="GA")=TRUE,((VLOOKUP(D1350,'Species Codes'!B:I,8,0)*(((((E1350*2.54)+VLOOKUP(D1350,'Species Codes'!B:J,9,0))/VLOOKUP(D1350,'Species Codes'!B:K,10,0))^VLOOKUP(D1350,'Species Codes'!B:L,11,0))*((I1350*0.3048)^VLOOKUP(D1350,'Species Codes'!B:M,12,0))))-(VLOOKUP(D1350,'Species Codes'!B:I,8,0)*((((E1350*2.54)^VLOOKUP(D1350,'Species Codes'!B:L,11,0))*((I1350*0.3048)^VLOOKUP(D1350,'Species Codes'!B:M,12,0))))))*35.3*VLOOKUP(D1350,'Species Codes'!B:G,6,0)/2.2046,VLOOKUP(D1350,'Species Codes'!B:I,8,0)+VLOOKUP(D1350,'Species Codes'!B:J,9,0)*(((E1350*2.54)/100)^2)*(I1350*0.3048)))))*0.0011023),0)</f>
        <v>#N/A</v>
      </c>
      <c r="AC1350" s="104" t="e">
        <f>IF(Z1350&gt;0,((IF(OR(D1350="RA",D1350="OA",D1350="OT",D1350="UN",D1350="PC"),EXP(VLOOKUP(D1350,'Species Codes'!B:O,14,0)+VLOOKUP(D1350,'Species Codes'!B:P,15,0)*LN((E1350*2.54)))-EXP(VLOOKUP(D1350,'Species Codes'!B:O,14,0)+VLOOKUP(D1350,'Species Codes'!B:P,15,0)*LN((E1350*2.54)))*(1/(VLOOKUP(D1350,'Species Codes'!B:Q,16,0)+VLOOKUP(D1350,'Species Codes'!B:R,17,0)*((E1350*2.54)^VLOOKUP(D1350,'Species Codes'!B:S,18,0)))),IF(OR(D1350="BM",D1350="MD",D1350="OA"),EXP(VLOOKUP(D1350,'Species Codes'!B:O,14,0)+VLOOKUP(D1350,'Species Codes'!B:P,15,0)*LN((E1350*2.54)))*(1-(1/(VLOOKUP(D1350,'Species Codes'!B:Q,16,0)+VLOOKUP(D1350,'Species Codes'!B:R,17,0)*((E1350*2.54)^VLOOKUP(D1350,'Species Codes'!B:S,18,0)))))/1000,IF(D1350="DF",EXP(VLOOKUP(D1350,'Species Codes'!B:O,14,0)+VLOOKUP(D1350,'Species Codes'!B:P,15,0)*LN((E1350*2.54))),VLOOKUP(D1350,'Species Codes'!B:O,14,0)+VLOOKUP(D1350,'Species Codes'!B:P,15,0)*(((E1350*2.54)/100)^2)*(I1350*0.3048)))))*0.0011023),0)</f>
        <v>#N/A</v>
      </c>
      <c r="AD1350" s="104" t="e">
        <f t="shared" si="598"/>
        <v>#N/A</v>
      </c>
      <c r="AE1350" s="104" t="e">
        <f t="shared" si="599"/>
        <v>#N/A</v>
      </c>
      <c r="AF1350" s="104" t="e">
        <f>IF(AND(VLOOKUP($D1350,Merchantability!$B:$C,2,0)="Yes",$E1350&gt;=VLOOKUP($D1350,Merchantability!$B:$D,3,0),$E1350&lt;=VLOOKUP($D1350,Merchantability!$B:$E,4,0)),AA1350,0)</f>
        <v>#N/A</v>
      </c>
      <c r="AG1350" s="104" t="e">
        <f>IF(AND(VLOOKUP($D1350,Merchantability!$B:$C,2,0)="Yes",$E1350&gt;=VLOOKUP($D1350,Merchantability!$B:$D,3,0),$E1350&lt;=VLOOKUP($D1350,Merchantability!$B:$E,4,0)),AB1350,0)</f>
        <v>#N/A</v>
      </c>
      <c r="AH1350" s="104" t="e">
        <f>IF(AND(VLOOKUP($D1350,Merchantability!$B:$C,2,0)="Yes",$E1350&gt;=VLOOKUP($D1350,Merchantability!$B:$D,3,0),$E1350&lt;=VLOOKUP($D1350,Merchantability!$B:$E,4,0)),AC1350,0)</f>
        <v>#N/A</v>
      </c>
      <c r="AI1350" s="104" t="e">
        <f t="shared" si="600"/>
        <v>#N/A</v>
      </c>
      <c r="AJ1350" s="104" t="e">
        <f t="shared" si="601"/>
        <v>#VALUE!</v>
      </c>
      <c r="AK1350" s="104" t="e">
        <f t="shared" si="602"/>
        <v>#N/A</v>
      </c>
      <c r="AL1350" s="104" t="e">
        <f t="shared" si="603"/>
        <v>#N/A</v>
      </c>
      <c r="AM1350" s="104" t="e">
        <f t="shared" si="604"/>
        <v>#N/A</v>
      </c>
      <c r="AN1350" s="104" t="e">
        <f t="shared" si="615"/>
        <v>#N/A</v>
      </c>
      <c r="AO1350" s="104" t="e">
        <f t="shared" si="616"/>
        <v>#N/A</v>
      </c>
      <c r="AP1350" s="104" t="e">
        <f t="shared" si="617"/>
        <v>#N/A</v>
      </c>
      <c r="AQ1350" s="104" t="e">
        <f t="shared" si="618"/>
        <v>#N/A</v>
      </c>
      <c r="AR1350" s="105" t="str">
        <f t="shared" si="610"/>
        <v/>
      </c>
      <c r="AS1350" s="105" t="str">
        <f t="shared" si="611"/>
        <v/>
      </c>
      <c r="AT1350" s="108" t="str">
        <f t="shared" si="612"/>
        <v/>
      </c>
      <c r="AU1350" s="108" t="str">
        <f t="shared" si="613"/>
        <v/>
      </c>
      <c r="AV1350" s="107" t="str">
        <f>IF(ISNUMBER(O1350),IF(VLOOKUP($A1350,Stand!C:J,8,FALSE)="Short",AT1350,AU1350),"")</f>
        <v/>
      </c>
      <c r="AW1350" s="109" t="str">
        <f t="shared" si="619"/>
        <v/>
      </c>
      <c r="AX1350" s="109" t="str">
        <f t="shared" si="620"/>
        <v/>
      </c>
      <c r="AY1350" s="112" t="str">
        <f>IF(ISNUMBER(O1350),IF(AND(VLOOKUP($D1350,Merchantability!$B:$C,2,0)="Yes",$E1350&gt;=VLOOKUP($D1350,Merchantability!$B:$D,3,0),$E1350&lt;=VLOOKUP($D1350,Merchantability!$B:$E,4,0)),(AV1350*O1350)*(1-$H1350/100),""),"")</f>
        <v/>
      </c>
      <c r="AZ1350" s="116"/>
      <c r="BA1350" s="116"/>
      <c r="BB1350" s="116"/>
      <c r="BE1350" s="62"/>
      <c r="BF1350" s="63"/>
    </row>
    <row r="1351" spans="1:58" ht="12.75" customHeight="1" x14ac:dyDescent="0.25">
      <c r="A1351" s="333"/>
      <c r="B1351" s="334"/>
      <c r="C1351" s="332"/>
      <c r="D1351" s="334"/>
      <c r="E1351" s="335"/>
      <c r="F1351" s="334"/>
      <c r="G1351" s="332"/>
      <c r="H1351" s="332"/>
      <c r="I1351" s="334"/>
      <c r="J1351" s="336"/>
      <c r="K1351" s="332"/>
      <c r="L1351" s="332"/>
      <c r="M1351" s="76"/>
      <c r="N1351" s="103" t="str">
        <f>IF(A1351="","",VLOOKUP(A1351,Stand!C:K,9,0))</f>
        <v/>
      </c>
      <c r="O1351" s="104" t="str">
        <f t="shared" si="605"/>
        <v/>
      </c>
      <c r="P1351" s="105" t="str">
        <f t="shared" si="606"/>
        <v/>
      </c>
      <c r="Q1351" s="105" t="str">
        <f t="shared" si="594"/>
        <v/>
      </c>
      <c r="R1351" s="103" t="str">
        <f t="shared" si="607"/>
        <v/>
      </c>
      <c r="S1351" s="103" t="str">
        <f t="shared" si="608"/>
        <v/>
      </c>
      <c r="T1351" s="106" t="str">
        <f t="shared" si="595"/>
        <v/>
      </c>
      <c r="U1351" s="106" t="str">
        <f t="shared" si="596"/>
        <v/>
      </c>
      <c r="V1351" s="106" t="str">
        <f t="shared" si="597"/>
        <v/>
      </c>
      <c r="W1351" s="105" t="str">
        <f t="shared" si="609"/>
        <v/>
      </c>
      <c r="X1351" s="104" t="str">
        <f t="shared" si="614"/>
        <v/>
      </c>
      <c r="Y1351" s="104" t="str">
        <f t="array" ref="Y1351">IFERROR(IF(ISNUMBER(O1351),IF(COUNT(IF(A1351=$A$2:$A$2427,IF(D1351=$D$2:$D$2427,IF($X$2:$X$2427&gt;0,1))))&gt;0,SUM(IF(A1351=$A$2:$A$2427,IF(D1351=$D$2:$D$2427,$X$2:$X$2427)))/COUNT(IF(A1351=$A$2:$A$2427,IF(D1351=$D$2:$D$2427,IF(ISNUMBER($X$2:$X$2427),1)))),0),""),0)</f>
        <v/>
      </c>
      <c r="Z1351" s="104" t="str">
        <f>IF(ISNUMBER(O1351),IF(I1351&gt;0,(10^(VLOOKUP(D1351,'Species Codes'!B:C,2,0)+VLOOKUP(D1351,'Species Codes'!B:D,3,0)*LOG(E1351)+VLOOKUP(D1351,'Species Codes'!B:E,4,0)*LOG(I1351))),0),"")</f>
        <v/>
      </c>
      <c r="AA1351" s="104" t="str">
        <f>IFERROR((VLOOKUP(D1351,'Species Codes'!B:G,6,0)*Z1351)/2000,"")</f>
        <v/>
      </c>
      <c r="AB1351" s="104" t="e">
        <f>IF(Z1351&gt;0,((IF(OR(D1351="DF",D1351="RA")=TRUE,EXP(VLOOKUP(D1351,'Species Codes'!B:I,8,0)+VLOOKUP(D1351,'Species Codes'!B:J,9,0)*(LN((E1351*2.54)))),IF(OR(D1351="PY",D1351="RC",D1351="WH",D1351="NF")=TRUE,VLOOKUP(D1351,'Species Codes'!B:I,8,0)+VLOOKUP(D1351,'Species Codes'!B:J,9,0)*((E1351*2.54)^2)*(I1351*0.3048),IF(OR(D1351="MD",D1351="BM",D1351="GA")=TRUE,((VLOOKUP(D1351,'Species Codes'!B:I,8,0)*(((((E1351*2.54)+VLOOKUP(D1351,'Species Codes'!B:J,9,0))/VLOOKUP(D1351,'Species Codes'!B:K,10,0))^VLOOKUP(D1351,'Species Codes'!B:L,11,0))*((I1351*0.3048)^VLOOKUP(D1351,'Species Codes'!B:M,12,0))))-(VLOOKUP(D1351,'Species Codes'!B:I,8,0)*((((E1351*2.54)^VLOOKUP(D1351,'Species Codes'!B:L,11,0))*((I1351*0.3048)^VLOOKUP(D1351,'Species Codes'!B:M,12,0))))))*35.3*VLOOKUP(D1351,'Species Codes'!B:G,6,0)/2.2046,VLOOKUP(D1351,'Species Codes'!B:I,8,0)+VLOOKUP(D1351,'Species Codes'!B:J,9,0)*(((E1351*2.54)/100)^2)*(I1351*0.3048)))))*0.0011023),0)</f>
        <v>#N/A</v>
      </c>
      <c r="AC1351" s="104" t="e">
        <f>IF(Z1351&gt;0,((IF(OR(D1351="RA",D1351="OA",D1351="OT",D1351="UN",D1351="PC"),EXP(VLOOKUP(D1351,'Species Codes'!B:O,14,0)+VLOOKUP(D1351,'Species Codes'!B:P,15,0)*LN((E1351*2.54)))-EXP(VLOOKUP(D1351,'Species Codes'!B:O,14,0)+VLOOKUP(D1351,'Species Codes'!B:P,15,0)*LN((E1351*2.54)))*(1/(VLOOKUP(D1351,'Species Codes'!B:Q,16,0)+VLOOKUP(D1351,'Species Codes'!B:R,17,0)*((E1351*2.54)^VLOOKUP(D1351,'Species Codes'!B:S,18,0)))),IF(OR(D1351="BM",D1351="MD",D1351="OA"),EXP(VLOOKUP(D1351,'Species Codes'!B:O,14,0)+VLOOKUP(D1351,'Species Codes'!B:P,15,0)*LN((E1351*2.54)))*(1-(1/(VLOOKUP(D1351,'Species Codes'!B:Q,16,0)+VLOOKUP(D1351,'Species Codes'!B:R,17,0)*((E1351*2.54)^VLOOKUP(D1351,'Species Codes'!B:S,18,0)))))/1000,IF(D1351="DF",EXP(VLOOKUP(D1351,'Species Codes'!B:O,14,0)+VLOOKUP(D1351,'Species Codes'!B:P,15,0)*LN((E1351*2.54))),VLOOKUP(D1351,'Species Codes'!B:O,14,0)+VLOOKUP(D1351,'Species Codes'!B:P,15,0)*(((E1351*2.54)/100)^2)*(I1351*0.3048)))))*0.0011023),0)</f>
        <v>#N/A</v>
      </c>
      <c r="AD1351" s="104" t="e">
        <f t="shared" si="598"/>
        <v>#N/A</v>
      </c>
      <c r="AE1351" s="104" t="e">
        <f t="shared" si="599"/>
        <v>#N/A</v>
      </c>
      <c r="AF1351" s="104" t="e">
        <f>IF(AND(VLOOKUP($D1351,Merchantability!$B:$C,2,0)="Yes",$E1351&gt;=VLOOKUP($D1351,Merchantability!$B:$D,3,0),$E1351&lt;=VLOOKUP($D1351,Merchantability!$B:$E,4,0)),AA1351,0)</f>
        <v>#N/A</v>
      </c>
      <c r="AG1351" s="104" t="e">
        <f>IF(AND(VLOOKUP($D1351,Merchantability!$B:$C,2,0)="Yes",$E1351&gt;=VLOOKUP($D1351,Merchantability!$B:$D,3,0),$E1351&lt;=VLOOKUP($D1351,Merchantability!$B:$E,4,0)),AB1351,0)</f>
        <v>#N/A</v>
      </c>
      <c r="AH1351" s="104" t="e">
        <f>IF(AND(VLOOKUP($D1351,Merchantability!$B:$C,2,0)="Yes",$E1351&gt;=VLOOKUP($D1351,Merchantability!$B:$D,3,0),$E1351&lt;=VLOOKUP($D1351,Merchantability!$B:$E,4,0)),AC1351,0)</f>
        <v>#N/A</v>
      </c>
      <c r="AI1351" s="104" t="e">
        <f t="shared" si="600"/>
        <v>#N/A</v>
      </c>
      <c r="AJ1351" s="104" t="e">
        <f t="shared" si="601"/>
        <v>#VALUE!</v>
      </c>
      <c r="AK1351" s="104" t="e">
        <f t="shared" si="602"/>
        <v>#N/A</v>
      </c>
      <c r="AL1351" s="104" t="e">
        <f t="shared" si="603"/>
        <v>#N/A</v>
      </c>
      <c r="AM1351" s="104" t="e">
        <f t="shared" si="604"/>
        <v>#N/A</v>
      </c>
      <c r="AN1351" s="104" t="e">
        <f t="shared" si="615"/>
        <v>#N/A</v>
      </c>
      <c r="AO1351" s="104" t="e">
        <f t="shared" si="616"/>
        <v>#N/A</v>
      </c>
      <c r="AP1351" s="104" t="e">
        <f t="shared" si="617"/>
        <v>#N/A</v>
      </c>
      <c r="AQ1351" s="104" t="e">
        <f t="shared" si="618"/>
        <v>#N/A</v>
      </c>
      <c r="AR1351" s="105" t="str">
        <f t="shared" si="610"/>
        <v/>
      </c>
      <c r="AS1351" s="105" t="str">
        <f t="shared" si="611"/>
        <v/>
      </c>
      <c r="AT1351" s="108" t="str">
        <f t="shared" si="612"/>
        <v/>
      </c>
      <c r="AU1351" s="108" t="str">
        <f t="shared" si="613"/>
        <v/>
      </c>
      <c r="AV1351" s="107" t="str">
        <f>IF(ISNUMBER(O1351),IF(VLOOKUP($A1351,Stand!C:J,8,FALSE)="Short",AT1351,AU1351),"")</f>
        <v/>
      </c>
      <c r="AW1351" s="109" t="str">
        <f t="shared" si="619"/>
        <v/>
      </c>
      <c r="AX1351" s="109" t="str">
        <f t="shared" si="620"/>
        <v/>
      </c>
      <c r="AY1351" s="112" t="str">
        <f>IF(ISNUMBER(O1351),IF(AND(VLOOKUP($D1351,Merchantability!$B:$C,2,0)="Yes",$E1351&gt;=VLOOKUP($D1351,Merchantability!$B:$D,3,0),$E1351&lt;=VLOOKUP($D1351,Merchantability!$B:$E,4,0)),(AV1351*O1351)*(1-$H1351/100),""),"")</f>
        <v/>
      </c>
      <c r="AZ1351" s="116"/>
      <c r="BA1351" s="116"/>
      <c r="BB1351" s="116"/>
      <c r="BE1351" s="62"/>
      <c r="BF1351" s="63"/>
    </row>
    <row r="1352" spans="1:58" ht="12.75" customHeight="1" x14ac:dyDescent="0.25">
      <c r="A1352" s="333"/>
      <c r="B1352" s="334"/>
      <c r="C1352" s="332"/>
      <c r="D1352" s="334"/>
      <c r="E1352" s="335"/>
      <c r="F1352" s="334"/>
      <c r="G1352" s="332"/>
      <c r="H1352" s="332"/>
      <c r="I1352" s="334"/>
      <c r="J1352" s="336"/>
      <c r="K1352" s="332"/>
      <c r="L1352" s="332"/>
      <c r="M1352" s="76"/>
      <c r="N1352" s="103" t="str">
        <f>IF(A1352="","",VLOOKUP(A1352,Stand!C:K,9,0))</f>
        <v/>
      </c>
      <c r="O1352" s="104" t="str">
        <f t="shared" si="605"/>
        <v/>
      </c>
      <c r="P1352" s="105" t="str">
        <f t="shared" si="606"/>
        <v/>
      </c>
      <c r="Q1352" s="105" t="str">
        <f t="shared" si="594"/>
        <v/>
      </c>
      <c r="R1352" s="103" t="str">
        <f t="shared" si="607"/>
        <v/>
      </c>
      <c r="S1352" s="103" t="str">
        <f t="shared" si="608"/>
        <v/>
      </c>
      <c r="T1352" s="106" t="str">
        <f t="shared" si="595"/>
        <v/>
      </c>
      <c r="U1352" s="106" t="str">
        <f t="shared" si="596"/>
        <v/>
      </c>
      <c r="V1352" s="106" t="str">
        <f t="shared" si="597"/>
        <v/>
      </c>
      <c r="W1352" s="105" t="str">
        <f t="shared" si="609"/>
        <v/>
      </c>
      <c r="X1352" s="104" t="str">
        <f t="shared" si="614"/>
        <v/>
      </c>
      <c r="Y1352" s="104" t="str">
        <f t="array" ref="Y1352">IFERROR(IF(ISNUMBER(O1352),IF(COUNT(IF(A1352=$A$2:$A$2427,IF(D1352=$D$2:$D$2427,IF($X$2:$X$2427&gt;0,1))))&gt;0,SUM(IF(A1352=$A$2:$A$2427,IF(D1352=$D$2:$D$2427,$X$2:$X$2427)))/COUNT(IF(A1352=$A$2:$A$2427,IF(D1352=$D$2:$D$2427,IF(ISNUMBER($X$2:$X$2427),1)))),0),""),0)</f>
        <v/>
      </c>
      <c r="Z1352" s="104" t="str">
        <f>IF(ISNUMBER(O1352),IF(I1352&gt;0,(10^(VLOOKUP(D1352,'Species Codes'!B:C,2,0)+VLOOKUP(D1352,'Species Codes'!B:D,3,0)*LOG(E1352)+VLOOKUP(D1352,'Species Codes'!B:E,4,0)*LOG(I1352))),0),"")</f>
        <v/>
      </c>
      <c r="AA1352" s="104" t="str">
        <f>IFERROR((VLOOKUP(D1352,'Species Codes'!B:G,6,0)*Z1352)/2000,"")</f>
        <v/>
      </c>
      <c r="AB1352" s="104" t="e">
        <f>IF(Z1352&gt;0,((IF(OR(D1352="DF",D1352="RA")=TRUE,EXP(VLOOKUP(D1352,'Species Codes'!B:I,8,0)+VLOOKUP(D1352,'Species Codes'!B:J,9,0)*(LN((E1352*2.54)))),IF(OR(D1352="PY",D1352="RC",D1352="WH",D1352="NF")=TRUE,VLOOKUP(D1352,'Species Codes'!B:I,8,0)+VLOOKUP(D1352,'Species Codes'!B:J,9,0)*((E1352*2.54)^2)*(I1352*0.3048),IF(OR(D1352="MD",D1352="BM",D1352="GA")=TRUE,((VLOOKUP(D1352,'Species Codes'!B:I,8,0)*(((((E1352*2.54)+VLOOKUP(D1352,'Species Codes'!B:J,9,0))/VLOOKUP(D1352,'Species Codes'!B:K,10,0))^VLOOKUP(D1352,'Species Codes'!B:L,11,0))*((I1352*0.3048)^VLOOKUP(D1352,'Species Codes'!B:M,12,0))))-(VLOOKUP(D1352,'Species Codes'!B:I,8,0)*((((E1352*2.54)^VLOOKUP(D1352,'Species Codes'!B:L,11,0))*((I1352*0.3048)^VLOOKUP(D1352,'Species Codes'!B:M,12,0))))))*35.3*VLOOKUP(D1352,'Species Codes'!B:G,6,0)/2.2046,VLOOKUP(D1352,'Species Codes'!B:I,8,0)+VLOOKUP(D1352,'Species Codes'!B:J,9,0)*(((E1352*2.54)/100)^2)*(I1352*0.3048)))))*0.0011023),0)</f>
        <v>#N/A</v>
      </c>
      <c r="AC1352" s="104" t="e">
        <f>IF(Z1352&gt;0,((IF(OR(D1352="RA",D1352="OA",D1352="OT",D1352="UN",D1352="PC"),EXP(VLOOKUP(D1352,'Species Codes'!B:O,14,0)+VLOOKUP(D1352,'Species Codes'!B:P,15,0)*LN((E1352*2.54)))-EXP(VLOOKUP(D1352,'Species Codes'!B:O,14,0)+VLOOKUP(D1352,'Species Codes'!B:P,15,0)*LN((E1352*2.54)))*(1/(VLOOKUP(D1352,'Species Codes'!B:Q,16,0)+VLOOKUP(D1352,'Species Codes'!B:R,17,0)*((E1352*2.54)^VLOOKUP(D1352,'Species Codes'!B:S,18,0)))),IF(OR(D1352="BM",D1352="MD",D1352="OA"),EXP(VLOOKUP(D1352,'Species Codes'!B:O,14,0)+VLOOKUP(D1352,'Species Codes'!B:P,15,0)*LN((E1352*2.54)))*(1-(1/(VLOOKUP(D1352,'Species Codes'!B:Q,16,0)+VLOOKUP(D1352,'Species Codes'!B:R,17,0)*((E1352*2.54)^VLOOKUP(D1352,'Species Codes'!B:S,18,0)))))/1000,IF(D1352="DF",EXP(VLOOKUP(D1352,'Species Codes'!B:O,14,0)+VLOOKUP(D1352,'Species Codes'!B:P,15,0)*LN((E1352*2.54))),VLOOKUP(D1352,'Species Codes'!B:O,14,0)+VLOOKUP(D1352,'Species Codes'!B:P,15,0)*(((E1352*2.54)/100)^2)*(I1352*0.3048)))))*0.0011023),0)</f>
        <v>#N/A</v>
      </c>
      <c r="AD1352" s="104" t="e">
        <f t="shared" si="598"/>
        <v>#N/A</v>
      </c>
      <c r="AE1352" s="104" t="e">
        <f t="shared" si="599"/>
        <v>#N/A</v>
      </c>
      <c r="AF1352" s="104" t="e">
        <f>IF(AND(VLOOKUP($D1352,Merchantability!$B:$C,2,0)="Yes",$E1352&gt;=VLOOKUP($D1352,Merchantability!$B:$D,3,0),$E1352&lt;=VLOOKUP($D1352,Merchantability!$B:$E,4,0)),AA1352,0)</f>
        <v>#N/A</v>
      </c>
      <c r="AG1352" s="104" t="e">
        <f>IF(AND(VLOOKUP($D1352,Merchantability!$B:$C,2,0)="Yes",$E1352&gt;=VLOOKUP($D1352,Merchantability!$B:$D,3,0),$E1352&lt;=VLOOKUP($D1352,Merchantability!$B:$E,4,0)),AB1352,0)</f>
        <v>#N/A</v>
      </c>
      <c r="AH1352" s="104" t="e">
        <f>IF(AND(VLOOKUP($D1352,Merchantability!$B:$C,2,0)="Yes",$E1352&gt;=VLOOKUP($D1352,Merchantability!$B:$D,3,0),$E1352&lt;=VLOOKUP($D1352,Merchantability!$B:$E,4,0)),AC1352,0)</f>
        <v>#N/A</v>
      </c>
      <c r="AI1352" s="104" t="e">
        <f t="shared" si="600"/>
        <v>#N/A</v>
      </c>
      <c r="AJ1352" s="104" t="e">
        <f t="shared" si="601"/>
        <v>#VALUE!</v>
      </c>
      <c r="AK1352" s="104" t="e">
        <f t="shared" si="602"/>
        <v>#N/A</v>
      </c>
      <c r="AL1352" s="104" t="e">
        <f t="shared" si="603"/>
        <v>#N/A</v>
      </c>
      <c r="AM1352" s="104" t="e">
        <f t="shared" si="604"/>
        <v>#N/A</v>
      </c>
      <c r="AN1352" s="104" t="e">
        <f t="shared" si="615"/>
        <v>#N/A</v>
      </c>
      <c r="AO1352" s="104" t="e">
        <f t="shared" si="616"/>
        <v>#N/A</v>
      </c>
      <c r="AP1352" s="104" t="e">
        <f t="shared" si="617"/>
        <v>#N/A</v>
      </c>
      <c r="AQ1352" s="104" t="e">
        <f t="shared" si="618"/>
        <v>#N/A</v>
      </c>
      <c r="AR1352" s="105" t="str">
        <f t="shared" si="610"/>
        <v/>
      </c>
      <c r="AS1352" s="105" t="str">
        <f t="shared" si="611"/>
        <v/>
      </c>
      <c r="AT1352" s="108" t="str">
        <f t="shared" si="612"/>
        <v/>
      </c>
      <c r="AU1352" s="108" t="str">
        <f t="shared" si="613"/>
        <v/>
      </c>
      <c r="AV1352" s="107" t="str">
        <f>IF(ISNUMBER(O1352),IF(VLOOKUP($A1352,Stand!C:J,8,FALSE)="Short",AT1352,AU1352),"")</f>
        <v/>
      </c>
      <c r="AW1352" s="109" t="str">
        <f t="shared" si="619"/>
        <v/>
      </c>
      <c r="AX1352" s="109" t="str">
        <f t="shared" si="620"/>
        <v/>
      </c>
      <c r="AY1352" s="112" t="str">
        <f>IF(ISNUMBER(O1352),IF(AND(VLOOKUP($D1352,Merchantability!$B:$C,2,0)="Yes",$E1352&gt;=VLOOKUP($D1352,Merchantability!$B:$D,3,0),$E1352&lt;=VLOOKUP($D1352,Merchantability!$B:$E,4,0)),(AV1352*O1352)*(1-$H1352/100),""),"")</f>
        <v/>
      </c>
      <c r="AZ1352" s="116"/>
      <c r="BA1352" s="116"/>
      <c r="BB1352" s="116"/>
      <c r="BE1352" s="62"/>
      <c r="BF1352" s="63"/>
    </row>
    <row r="1353" spans="1:58" ht="12.75" customHeight="1" x14ac:dyDescent="0.25">
      <c r="A1353" s="333"/>
      <c r="B1353" s="334"/>
      <c r="C1353" s="332"/>
      <c r="D1353" s="334"/>
      <c r="E1353" s="335"/>
      <c r="F1353" s="334"/>
      <c r="G1353" s="332"/>
      <c r="H1353" s="332"/>
      <c r="I1353" s="334"/>
      <c r="J1353" s="336"/>
      <c r="K1353" s="332"/>
      <c r="L1353" s="332"/>
      <c r="M1353" s="76"/>
      <c r="N1353" s="103" t="str">
        <f>IF(A1353="","",VLOOKUP(A1353,Stand!C:K,9,0))</f>
        <v/>
      </c>
      <c r="O1353" s="104" t="str">
        <f t="shared" si="605"/>
        <v/>
      </c>
      <c r="P1353" s="105" t="str">
        <f t="shared" si="606"/>
        <v/>
      </c>
      <c r="Q1353" s="105" t="str">
        <f t="shared" si="594"/>
        <v/>
      </c>
      <c r="R1353" s="103" t="str">
        <f t="shared" si="607"/>
        <v/>
      </c>
      <c r="S1353" s="103" t="str">
        <f t="shared" si="608"/>
        <v/>
      </c>
      <c r="T1353" s="106" t="str">
        <f t="shared" si="595"/>
        <v/>
      </c>
      <c r="U1353" s="106" t="str">
        <f t="shared" si="596"/>
        <v/>
      </c>
      <c r="V1353" s="106" t="str">
        <f t="shared" si="597"/>
        <v/>
      </c>
      <c r="W1353" s="105" t="str">
        <f t="shared" si="609"/>
        <v/>
      </c>
      <c r="X1353" s="104" t="str">
        <f t="shared" si="614"/>
        <v/>
      </c>
      <c r="Y1353" s="104" t="str">
        <f t="array" ref="Y1353">IFERROR(IF(ISNUMBER(O1353),IF(COUNT(IF(A1353=$A$2:$A$2427,IF(D1353=$D$2:$D$2427,IF($X$2:$X$2427&gt;0,1))))&gt;0,SUM(IF(A1353=$A$2:$A$2427,IF(D1353=$D$2:$D$2427,$X$2:$X$2427)))/COUNT(IF(A1353=$A$2:$A$2427,IF(D1353=$D$2:$D$2427,IF(ISNUMBER($X$2:$X$2427),1)))),0),""),0)</f>
        <v/>
      </c>
      <c r="Z1353" s="104" t="str">
        <f>IF(ISNUMBER(O1353),IF(I1353&gt;0,(10^(VLOOKUP(D1353,'Species Codes'!B:C,2,0)+VLOOKUP(D1353,'Species Codes'!B:D,3,0)*LOG(E1353)+VLOOKUP(D1353,'Species Codes'!B:E,4,0)*LOG(I1353))),0),"")</f>
        <v/>
      </c>
      <c r="AA1353" s="104" t="str">
        <f>IFERROR((VLOOKUP(D1353,'Species Codes'!B:G,6,0)*Z1353)/2000,"")</f>
        <v/>
      </c>
      <c r="AB1353" s="104" t="e">
        <f>IF(Z1353&gt;0,((IF(OR(D1353="DF",D1353="RA")=TRUE,EXP(VLOOKUP(D1353,'Species Codes'!B:I,8,0)+VLOOKUP(D1353,'Species Codes'!B:J,9,0)*(LN((E1353*2.54)))),IF(OR(D1353="PY",D1353="RC",D1353="WH",D1353="NF")=TRUE,VLOOKUP(D1353,'Species Codes'!B:I,8,0)+VLOOKUP(D1353,'Species Codes'!B:J,9,0)*((E1353*2.54)^2)*(I1353*0.3048),IF(OR(D1353="MD",D1353="BM",D1353="GA")=TRUE,((VLOOKUP(D1353,'Species Codes'!B:I,8,0)*(((((E1353*2.54)+VLOOKUP(D1353,'Species Codes'!B:J,9,0))/VLOOKUP(D1353,'Species Codes'!B:K,10,0))^VLOOKUP(D1353,'Species Codes'!B:L,11,0))*((I1353*0.3048)^VLOOKUP(D1353,'Species Codes'!B:M,12,0))))-(VLOOKUP(D1353,'Species Codes'!B:I,8,0)*((((E1353*2.54)^VLOOKUP(D1353,'Species Codes'!B:L,11,0))*((I1353*0.3048)^VLOOKUP(D1353,'Species Codes'!B:M,12,0))))))*35.3*VLOOKUP(D1353,'Species Codes'!B:G,6,0)/2.2046,VLOOKUP(D1353,'Species Codes'!B:I,8,0)+VLOOKUP(D1353,'Species Codes'!B:J,9,0)*(((E1353*2.54)/100)^2)*(I1353*0.3048)))))*0.0011023),0)</f>
        <v>#N/A</v>
      </c>
      <c r="AC1353" s="104" t="e">
        <f>IF(Z1353&gt;0,((IF(OR(D1353="RA",D1353="OA",D1353="OT",D1353="UN",D1353="PC"),EXP(VLOOKUP(D1353,'Species Codes'!B:O,14,0)+VLOOKUP(D1353,'Species Codes'!B:P,15,0)*LN((E1353*2.54)))-EXP(VLOOKUP(D1353,'Species Codes'!B:O,14,0)+VLOOKUP(D1353,'Species Codes'!B:P,15,0)*LN((E1353*2.54)))*(1/(VLOOKUP(D1353,'Species Codes'!B:Q,16,0)+VLOOKUP(D1353,'Species Codes'!B:R,17,0)*((E1353*2.54)^VLOOKUP(D1353,'Species Codes'!B:S,18,0)))),IF(OR(D1353="BM",D1353="MD",D1353="OA"),EXP(VLOOKUP(D1353,'Species Codes'!B:O,14,0)+VLOOKUP(D1353,'Species Codes'!B:P,15,0)*LN((E1353*2.54)))*(1-(1/(VLOOKUP(D1353,'Species Codes'!B:Q,16,0)+VLOOKUP(D1353,'Species Codes'!B:R,17,0)*((E1353*2.54)^VLOOKUP(D1353,'Species Codes'!B:S,18,0)))))/1000,IF(D1353="DF",EXP(VLOOKUP(D1353,'Species Codes'!B:O,14,0)+VLOOKUP(D1353,'Species Codes'!B:P,15,0)*LN((E1353*2.54))),VLOOKUP(D1353,'Species Codes'!B:O,14,0)+VLOOKUP(D1353,'Species Codes'!B:P,15,0)*(((E1353*2.54)/100)^2)*(I1353*0.3048)))))*0.0011023),0)</f>
        <v>#N/A</v>
      </c>
      <c r="AD1353" s="104" t="e">
        <f t="shared" si="598"/>
        <v>#N/A</v>
      </c>
      <c r="AE1353" s="104" t="e">
        <f t="shared" si="599"/>
        <v>#N/A</v>
      </c>
      <c r="AF1353" s="104" t="e">
        <f>IF(AND(VLOOKUP($D1353,Merchantability!$B:$C,2,0)="Yes",$E1353&gt;=VLOOKUP($D1353,Merchantability!$B:$D,3,0),$E1353&lt;=VLOOKUP($D1353,Merchantability!$B:$E,4,0)),AA1353,0)</f>
        <v>#N/A</v>
      </c>
      <c r="AG1353" s="104" t="e">
        <f>IF(AND(VLOOKUP($D1353,Merchantability!$B:$C,2,0)="Yes",$E1353&gt;=VLOOKUP($D1353,Merchantability!$B:$D,3,0),$E1353&lt;=VLOOKUP($D1353,Merchantability!$B:$E,4,0)),AB1353,0)</f>
        <v>#N/A</v>
      </c>
      <c r="AH1353" s="104" t="e">
        <f>IF(AND(VLOOKUP($D1353,Merchantability!$B:$C,2,0)="Yes",$E1353&gt;=VLOOKUP($D1353,Merchantability!$B:$D,3,0),$E1353&lt;=VLOOKUP($D1353,Merchantability!$B:$E,4,0)),AC1353,0)</f>
        <v>#N/A</v>
      </c>
      <c r="AI1353" s="104" t="e">
        <f t="shared" si="600"/>
        <v>#N/A</v>
      </c>
      <c r="AJ1353" s="104" t="e">
        <f t="shared" si="601"/>
        <v>#VALUE!</v>
      </c>
      <c r="AK1353" s="104" t="e">
        <f t="shared" si="602"/>
        <v>#N/A</v>
      </c>
      <c r="AL1353" s="104" t="e">
        <f t="shared" si="603"/>
        <v>#N/A</v>
      </c>
      <c r="AM1353" s="104" t="e">
        <f t="shared" si="604"/>
        <v>#N/A</v>
      </c>
      <c r="AN1353" s="104" t="e">
        <f t="shared" si="615"/>
        <v>#N/A</v>
      </c>
      <c r="AO1353" s="104" t="e">
        <f t="shared" si="616"/>
        <v>#N/A</v>
      </c>
      <c r="AP1353" s="104" t="e">
        <f t="shared" si="617"/>
        <v>#N/A</v>
      </c>
      <c r="AQ1353" s="104" t="e">
        <f t="shared" si="618"/>
        <v>#N/A</v>
      </c>
      <c r="AR1353" s="105" t="str">
        <f t="shared" si="610"/>
        <v/>
      </c>
      <c r="AS1353" s="105" t="str">
        <f t="shared" si="611"/>
        <v/>
      </c>
      <c r="AT1353" s="108" t="str">
        <f t="shared" si="612"/>
        <v/>
      </c>
      <c r="AU1353" s="108" t="str">
        <f t="shared" si="613"/>
        <v/>
      </c>
      <c r="AV1353" s="107" t="str">
        <f>IF(ISNUMBER(O1353),IF(VLOOKUP($A1353,Stand!C:J,8,FALSE)="Short",AT1353,AU1353),"")</f>
        <v/>
      </c>
      <c r="AW1353" s="109" t="str">
        <f t="shared" si="619"/>
        <v/>
      </c>
      <c r="AX1353" s="109" t="str">
        <f t="shared" si="620"/>
        <v/>
      </c>
      <c r="AY1353" s="112" t="str">
        <f>IF(ISNUMBER(O1353),IF(AND(VLOOKUP($D1353,Merchantability!$B:$C,2,0)="Yes",$E1353&gt;=VLOOKUP($D1353,Merchantability!$B:$D,3,0),$E1353&lt;=VLOOKUP($D1353,Merchantability!$B:$E,4,0)),(AV1353*O1353)*(1-$H1353/100),""),"")</f>
        <v/>
      </c>
      <c r="AZ1353" s="116"/>
      <c r="BA1353" s="116"/>
      <c r="BB1353" s="116"/>
      <c r="BE1353" s="62"/>
      <c r="BF1353" s="63"/>
    </row>
    <row r="1354" spans="1:58" ht="12.75" customHeight="1" x14ac:dyDescent="0.25">
      <c r="A1354" s="333"/>
      <c r="B1354" s="334"/>
      <c r="C1354" s="332"/>
      <c r="D1354" s="334"/>
      <c r="E1354" s="335"/>
      <c r="F1354" s="334"/>
      <c r="G1354" s="332"/>
      <c r="H1354" s="332"/>
      <c r="I1354" s="334"/>
      <c r="J1354" s="336"/>
      <c r="K1354" s="332"/>
      <c r="L1354" s="332"/>
      <c r="M1354" s="76"/>
      <c r="N1354" s="103" t="str">
        <f>IF(A1354="","",VLOOKUP(A1354,Stand!C:K,9,0))</f>
        <v/>
      </c>
      <c r="O1354" s="104" t="str">
        <f t="shared" si="605"/>
        <v/>
      </c>
      <c r="P1354" s="105" t="str">
        <f t="shared" si="606"/>
        <v/>
      </c>
      <c r="Q1354" s="105" t="str">
        <f t="shared" si="594"/>
        <v/>
      </c>
      <c r="R1354" s="103" t="str">
        <f t="shared" si="607"/>
        <v/>
      </c>
      <c r="S1354" s="103" t="str">
        <f t="shared" si="608"/>
        <v/>
      </c>
      <c r="T1354" s="106" t="str">
        <f t="shared" si="595"/>
        <v/>
      </c>
      <c r="U1354" s="106" t="str">
        <f t="shared" si="596"/>
        <v/>
      </c>
      <c r="V1354" s="106" t="str">
        <f t="shared" si="597"/>
        <v/>
      </c>
      <c r="W1354" s="105" t="str">
        <f t="shared" si="609"/>
        <v/>
      </c>
      <c r="X1354" s="104" t="str">
        <f t="shared" si="614"/>
        <v/>
      </c>
      <c r="Y1354" s="104" t="str">
        <f t="array" ref="Y1354">IFERROR(IF(ISNUMBER(O1354),IF(COUNT(IF(A1354=$A$2:$A$2427,IF(D1354=$D$2:$D$2427,IF($X$2:$X$2427&gt;0,1))))&gt;0,SUM(IF(A1354=$A$2:$A$2427,IF(D1354=$D$2:$D$2427,$X$2:$X$2427)))/COUNT(IF(A1354=$A$2:$A$2427,IF(D1354=$D$2:$D$2427,IF(ISNUMBER($X$2:$X$2427),1)))),0),""),0)</f>
        <v/>
      </c>
      <c r="Z1354" s="104" t="str">
        <f>IF(ISNUMBER(O1354),IF(I1354&gt;0,(10^(VLOOKUP(D1354,'Species Codes'!B:C,2,0)+VLOOKUP(D1354,'Species Codes'!B:D,3,0)*LOG(E1354)+VLOOKUP(D1354,'Species Codes'!B:E,4,0)*LOG(I1354))),0),"")</f>
        <v/>
      </c>
      <c r="AA1354" s="104" t="str">
        <f>IFERROR((VLOOKUP(D1354,'Species Codes'!B:G,6,0)*Z1354)/2000,"")</f>
        <v/>
      </c>
      <c r="AB1354" s="104" t="e">
        <f>IF(Z1354&gt;0,((IF(OR(D1354="DF",D1354="RA")=TRUE,EXP(VLOOKUP(D1354,'Species Codes'!B:I,8,0)+VLOOKUP(D1354,'Species Codes'!B:J,9,0)*(LN((E1354*2.54)))),IF(OR(D1354="PY",D1354="RC",D1354="WH",D1354="NF")=TRUE,VLOOKUP(D1354,'Species Codes'!B:I,8,0)+VLOOKUP(D1354,'Species Codes'!B:J,9,0)*((E1354*2.54)^2)*(I1354*0.3048),IF(OR(D1354="MD",D1354="BM",D1354="GA")=TRUE,((VLOOKUP(D1354,'Species Codes'!B:I,8,0)*(((((E1354*2.54)+VLOOKUP(D1354,'Species Codes'!B:J,9,0))/VLOOKUP(D1354,'Species Codes'!B:K,10,0))^VLOOKUP(D1354,'Species Codes'!B:L,11,0))*((I1354*0.3048)^VLOOKUP(D1354,'Species Codes'!B:M,12,0))))-(VLOOKUP(D1354,'Species Codes'!B:I,8,0)*((((E1354*2.54)^VLOOKUP(D1354,'Species Codes'!B:L,11,0))*((I1354*0.3048)^VLOOKUP(D1354,'Species Codes'!B:M,12,0))))))*35.3*VLOOKUP(D1354,'Species Codes'!B:G,6,0)/2.2046,VLOOKUP(D1354,'Species Codes'!B:I,8,0)+VLOOKUP(D1354,'Species Codes'!B:J,9,0)*(((E1354*2.54)/100)^2)*(I1354*0.3048)))))*0.0011023),0)</f>
        <v>#N/A</v>
      </c>
      <c r="AC1354" s="104" t="e">
        <f>IF(Z1354&gt;0,((IF(OR(D1354="RA",D1354="OA",D1354="OT",D1354="UN",D1354="PC"),EXP(VLOOKUP(D1354,'Species Codes'!B:O,14,0)+VLOOKUP(D1354,'Species Codes'!B:P,15,0)*LN((E1354*2.54)))-EXP(VLOOKUP(D1354,'Species Codes'!B:O,14,0)+VLOOKUP(D1354,'Species Codes'!B:P,15,0)*LN((E1354*2.54)))*(1/(VLOOKUP(D1354,'Species Codes'!B:Q,16,0)+VLOOKUP(D1354,'Species Codes'!B:R,17,0)*((E1354*2.54)^VLOOKUP(D1354,'Species Codes'!B:S,18,0)))),IF(OR(D1354="BM",D1354="MD",D1354="OA"),EXP(VLOOKUP(D1354,'Species Codes'!B:O,14,0)+VLOOKUP(D1354,'Species Codes'!B:P,15,0)*LN((E1354*2.54)))*(1-(1/(VLOOKUP(D1354,'Species Codes'!B:Q,16,0)+VLOOKUP(D1354,'Species Codes'!B:R,17,0)*((E1354*2.54)^VLOOKUP(D1354,'Species Codes'!B:S,18,0)))))/1000,IF(D1354="DF",EXP(VLOOKUP(D1354,'Species Codes'!B:O,14,0)+VLOOKUP(D1354,'Species Codes'!B:P,15,0)*LN((E1354*2.54))),VLOOKUP(D1354,'Species Codes'!B:O,14,0)+VLOOKUP(D1354,'Species Codes'!B:P,15,0)*(((E1354*2.54)/100)^2)*(I1354*0.3048)))))*0.0011023),0)</f>
        <v>#N/A</v>
      </c>
      <c r="AD1354" s="104" t="e">
        <f t="shared" si="598"/>
        <v>#N/A</v>
      </c>
      <c r="AE1354" s="104" t="e">
        <f t="shared" si="599"/>
        <v>#N/A</v>
      </c>
      <c r="AF1354" s="104" t="e">
        <f>IF(AND(VLOOKUP($D1354,Merchantability!$B:$C,2,0)="Yes",$E1354&gt;=VLOOKUP($D1354,Merchantability!$B:$D,3,0),$E1354&lt;=VLOOKUP($D1354,Merchantability!$B:$E,4,0)),AA1354,0)</f>
        <v>#N/A</v>
      </c>
      <c r="AG1354" s="104" t="e">
        <f>IF(AND(VLOOKUP($D1354,Merchantability!$B:$C,2,0)="Yes",$E1354&gt;=VLOOKUP($D1354,Merchantability!$B:$D,3,0),$E1354&lt;=VLOOKUP($D1354,Merchantability!$B:$E,4,0)),AB1354,0)</f>
        <v>#N/A</v>
      </c>
      <c r="AH1354" s="104" t="e">
        <f>IF(AND(VLOOKUP($D1354,Merchantability!$B:$C,2,0)="Yes",$E1354&gt;=VLOOKUP($D1354,Merchantability!$B:$D,3,0),$E1354&lt;=VLOOKUP($D1354,Merchantability!$B:$E,4,0)),AC1354,0)</f>
        <v>#N/A</v>
      </c>
      <c r="AI1354" s="104" t="e">
        <f t="shared" si="600"/>
        <v>#N/A</v>
      </c>
      <c r="AJ1354" s="104" t="e">
        <f t="shared" si="601"/>
        <v>#VALUE!</v>
      </c>
      <c r="AK1354" s="104" t="e">
        <f t="shared" si="602"/>
        <v>#N/A</v>
      </c>
      <c r="AL1354" s="104" t="e">
        <f t="shared" si="603"/>
        <v>#N/A</v>
      </c>
      <c r="AM1354" s="104" t="e">
        <f t="shared" si="604"/>
        <v>#N/A</v>
      </c>
      <c r="AN1354" s="104" t="e">
        <f t="shared" si="615"/>
        <v>#N/A</v>
      </c>
      <c r="AO1354" s="104" t="e">
        <f t="shared" si="616"/>
        <v>#N/A</v>
      </c>
      <c r="AP1354" s="104" t="e">
        <f t="shared" si="617"/>
        <v>#N/A</v>
      </c>
      <c r="AQ1354" s="104" t="e">
        <f t="shared" si="618"/>
        <v>#N/A</v>
      </c>
      <c r="AR1354" s="105" t="str">
        <f t="shared" si="610"/>
        <v/>
      </c>
      <c r="AS1354" s="105" t="str">
        <f t="shared" si="611"/>
        <v/>
      </c>
      <c r="AT1354" s="108" t="str">
        <f t="shared" si="612"/>
        <v/>
      </c>
      <c r="AU1354" s="108" t="str">
        <f t="shared" si="613"/>
        <v/>
      </c>
      <c r="AV1354" s="107" t="str">
        <f>IF(ISNUMBER(O1354),IF(VLOOKUP($A1354,Stand!C:J,8,FALSE)="Short",AT1354,AU1354),"")</f>
        <v/>
      </c>
      <c r="AW1354" s="109" t="str">
        <f t="shared" si="619"/>
        <v/>
      </c>
      <c r="AX1354" s="109" t="str">
        <f t="shared" si="620"/>
        <v/>
      </c>
      <c r="AY1354" s="112" t="str">
        <f>IF(ISNUMBER(O1354),IF(AND(VLOOKUP($D1354,Merchantability!$B:$C,2,0)="Yes",$E1354&gt;=VLOOKUP($D1354,Merchantability!$B:$D,3,0),$E1354&lt;=VLOOKUP($D1354,Merchantability!$B:$E,4,0)),(AV1354*O1354)*(1-$H1354/100),""),"")</f>
        <v/>
      </c>
      <c r="AZ1354" s="116"/>
      <c r="BA1354" s="116"/>
      <c r="BB1354" s="116"/>
      <c r="BE1354" s="62"/>
      <c r="BF1354" s="63"/>
    </row>
    <row r="1355" spans="1:58" ht="12.75" customHeight="1" x14ac:dyDescent="0.25">
      <c r="A1355" s="333"/>
      <c r="B1355" s="334"/>
      <c r="C1355" s="332"/>
      <c r="D1355" s="334"/>
      <c r="E1355" s="335"/>
      <c r="F1355" s="334"/>
      <c r="G1355" s="332"/>
      <c r="H1355" s="332"/>
      <c r="I1355" s="334"/>
      <c r="J1355" s="336"/>
      <c r="K1355" s="332"/>
      <c r="L1355" s="332"/>
      <c r="M1355" s="76"/>
      <c r="N1355" s="103" t="str">
        <f>IF(A1355="","",VLOOKUP(A1355,Stand!C:K,9,0))</f>
        <v/>
      </c>
      <c r="O1355" s="104" t="str">
        <f t="shared" si="605"/>
        <v/>
      </c>
      <c r="P1355" s="105" t="str">
        <f t="shared" si="606"/>
        <v/>
      </c>
      <c r="Q1355" s="105" t="str">
        <f t="shared" si="594"/>
        <v/>
      </c>
      <c r="R1355" s="103" t="str">
        <f t="shared" si="607"/>
        <v/>
      </c>
      <c r="S1355" s="103" t="str">
        <f t="shared" si="608"/>
        <v/>
      </c>
      <c r="T1355" s="106" t="str">
        <f t="shared" si="595"/>
        <v/>
      </c>
      <c r="U1355" s="106" t="str">
        <f t="shared" si="596"/>
        <v/>
      </c>
      <c r="V1355" s="106" t="str">
        <f t="shared" si="597"/>
        <v/>
      </c>
      <c r="W1355" s="105" t="str">
        <f t="shared" si="609"/>
        <v/>
      </c>
      <c r="X1355" s="104" t="str">
        <f t="shared" si="614"/>
        <v/>
      </c>
      <c r="Y1355" s="104" t="str">
        <f t="array" ref="Y1355">IFERROR(IF(ISNUMBER(O1355),IF(COUNT(IF(A1355=$A$2:$A$2427,IF(D1355=$D$2:$D$2427,IF($X$2:$X$2427&gt;0,1))))&gt;0,SUM(IF(A1355=$A$2:$A$2427,IF(D1355=$D$2:$D$2427,$X$2:$X$2427)))/COUNT(IF(A1355=$A$2:$A$2427,IF(D1355=$D$2:$D$2427,IF(ISNUMBER($X$2:$X$2427),1)))),0),""),0)</f>
        <v/>
      </c>
      <c r="Z1355" s="104" t="str">
        <f>IF(ISNUMBER(O1355),IF(I1355&gt;0,(10^(VLOOKUP(D1355,'Species Codes'!B:C,2,0)+VLOOKUP(D1355,'Species Codes'!B:D,3,0)*LOG(E1355)+VLOOKUP(D1355,'Species Codes'!B:E,4,0)*LOG(I1355))),0),"")</f>
        <v/>
      </c>
      <c r="AA1355" s="104" t="str">
        <f>IFERROR((VLOOKUP(D1355,'Species Codes'!B:G,6,0)*Z1355)/2000,"")</f>
        <v/>
      </c>
      <c r="AB1355" s="104" t="e">
        <f>IF(Z1355&gt;0,((IF(OR(D1355="DF",D1355="RA")=TRUE,EXP(VLOOKUP(D1355,'Species Codes'!B:I,8,0)+VLOOKUP(D1355,'Species Codes'!B:J,9,0)*(LN((E1355*2.54)))),IF(OR(D1355="PY",D1355="RC",D1355="WH",D1355="NF")=TRUE,VLOOKUP(D1355,'Species Codes'!B:I,8,0)+VLOOKUP(D1355,'Species Codes'!B:J,9,0)*((E1355*2.54)^2)*(I1355*0.3048),IF(OR(D1355="MD",D1355="BM",D1355="GA")=TRUE,((VLOOKUP(D1355,'Species Codes'!B:I,8,0)*(((((E1355*2.54)+VLOOKUP(D1355,'Species Codes'!B:J,9,0))/VLOOKUP(D1355,'Species Codes'!B:K,10,0))^VLOOKUP(D1355,'Species Codes'!B:L,11,0))*((I1355*0.3048)^VLOOKUP(D1355,'Species Codes'!B:M,12,0))))-(VLOOKUP(D1355,'Species Codes'!B:I,8,0)*((((E1355*2.54)^VLOOKUP(D1355,'Species Codes'!B:L,11,0))*((I1355*0.3048)^VLOOKUP(D1355,'Species Codes'!B:M,12,0))))))*35.3*VLOOKUP(D1355,'Species Codes'!B:G,6,0)/2.2046,VLOOKUP(D1355,'Species Codes'!B:I,8,0)+VLOOKUP(D1355,'Species Codes'!B:J,9,0)*(((E1355*2.54)/100)^2)*(I1355*0.3048)))))*0.0011023),0)</f>
        <v>#N/A</v>
      </c>
      <c r="AC1355" s="104" t="e">
        <f>IF(Z1355&gt;0,((IF(OR(D1355="RA",D1355="OA",D1355="OT",D1355="UN",D1355="PC"),EXP(VLOOKUP(D1355,'Species Codes'!B:O,14,0)+VLOOKUP(D1355,'Species Codes'!B:P,15,0)*LN((E1355*2.54)))-EXP(VLOOKUP(D1355,'Species Codes'!B:O,14,0)+VLOOKUP(D1355,'Species Codes'!B:P,15,0)*LN((E1355*2.54)))*(1/(VLOOKUP(D1355,'Species Codes'!B:Q,16,0)+VLOOKUP(D1355,'Species Codes'!B:R,17,0)*((E1355*2.54)^VLOOKUP(D1355,'Species Codes'!B:S,18,0)))),IF(OR(D1355="BM",D1355="MD",D1355="OA"),EXP(VLOOKUP(D1355,'Species Codes'!B:O,14,0)+VLOOKUP(D1355,'Species Codes'!B:P,15,0)*LN((E1355*2.54)))*(1-(1/(VLOOKUP(D1355,'Species Codes'!B:Q,16,0)+VLOOKUP(D1355,'Species Codes'!B:R,17,0)*((E1355*2.54)^VLOOKUP(D1355,'Species Codes'!B:S,18,0)))))/1000,IF(D1355="DF",EXP(VLOOKUP(D1355,'Species Codes'!B:O,14,0)+VLOOKUP(D1355,'Species Codes'!B:P,15,0)*LN((E1355*2.54))),VLOOKUP(D1355,'Species Codes'!B:O,14,0)+VLOOKUP(D1355,'Species Codes'!B:P,15,0)*(((E1355*2.54)/100)^2)*(I1355*0.3048)))))*0.0011023),0)</f>
        <v>#N/A</v>
      </c>
      <c r="AD1355" s="104" t="e">
        <f t="shared" si="598"/>
        <v>#N/A</v>
      </c>
      <c r="AE1355" s="104" t="e">
        <f t="shared" si="599"/>
        <v>#N/A</v>
      </c>
      <c r="AF1355" s="104" t="e">
        <f>IF(AND(VLOOKUP($D1355,Merchantability!$B:$C,2,0)="Yes",$E1355&gt;=VLOOKUP($D1355,Merchantability!$B:$D,3,0),$E1355&lt;=VLOOKUP($D1355,Merchantability!$B:$E,4,0)),AA1355,0)</f>
        <v>#N/A</v>
      </c>
      <c r="AG1355" s="104" t="e">
        <f>IF(AND(VLOOKUP($D1355,Merchantability!$B:$C,2,0)="Yes",$E1355&gt;=VLOOKUP($D1355,Merchantability!$B:$D,3,0),$E1355&lt;=VLOOKUP($D1355,Merchantability!$B:$E,4,0)),AB1355,0)</f>
        <v>#N/A</v>
      </c>
      <c r="AH1355" s="104" t="e">
        <f>IF(AND(VLOOKUP($D1355,Merchantability!$B:$C,2,0)="Yes",$E1355&gt;=VLOOKUP($D1355,Merchantability!$B:$D,3,0),$E1355&lt;=VLOOKUP($D1355,Merchantability!$B:$E,4,0)),AC1355,0)</f>
        <v>#N/A</v>
      </c>
      <c r="AI1355" s="104" t="e">
        <f t="shared" si="600"/>
        <v>#N/A</v>
      </c>
      <c r="AJ1355" s="104" t="e">
        <f t="shared" si="601"/>
        <v>#VALUE!</v>
      </c>
      <c r="AK1355" s="104" t="e">
        <f t="shared" si="602"/>
        <v>#N/A</v>
      </c>
      <c r="AL1355" s="104" t="e">
        <f t="shared" si="603"/>
        <v>#N/A</v>
      </c>
      <c r="AM1355" s="104" t="e">
        <f t="shared" si="604"/>
        <v>#N/A</v>
      </c>
      <c r="AN1355" s="104" t="e">
        <f t="shared" si="615"/>
        <v>#N/A</v>
      </c>
      <c r="AO1355" s="104" t="e">
        <f t="shared" si="616"/>
        <v>#N/A</v>
      </c>
      <c r="AP1355" s="104" t="e">
        <f t="shared" si="617"/>
        <v>#N/A</v>
      </c>
      <c r="AQ1355" s="104" t="e">
        <f t="shared" si="618"/>
        <v>#N/A</v>
      </c>
      <c r="AR1355" s="105" t="str">
        <f t="shared" si="610"/>
        <v/>
      </c>
      <c r="AS1355" s="105" t="str">
        <f t="shared" si="611"/>
        <v/>
      </c>
      <c r="AT1355" s="108" t="str">
        <f t="shared" si="612"/>
        <v/>
      </c>
      <c r="AU1355" s="108" t="str">
        <f t="shared" si="613"/>
        <v/>
      </c>
      <c r="AV1355" s="107" t="str">
        <f>IF(ISNUMBER(O1355),IF(VLOOKUP($A1355,Stand!C:J,8,FALSE)="Short",AT1355,AU1355),"")</f>
        <v/>
      </c>
      <c r="AW1355" s="109" t="str">
        <f t="shared" si="619"/>
        <v/>
      </c>
      <c r="AX1355" s="109" t="str">
        <f t="shared" si="620"/>
        <v/>
      </c>
      <c r="AY1355" s="112" t="str">
        <f>IF(ISNUMBER(O1355),IF(AND(VLOOKUP($D1355,Merchantability!$B:$C,2,0)="Yes",$E1355&gt;=VLOOKUP($D1355,Merchantability!$B:$D,3,0),$E1355&lt;=VLOOKUP($D1355,Merchantability!$B:$E,4,0)),(AV1355*O1355)*(1-$H1355/100),""),"")</f>
        <v/>
      </c>
      <c r="AZ1355" s="116"/>
      <c r="BA1355" s="116"/>
      <c r="BB1355" s="116"/>
      <c r="BE1355" s="62"/>
      <c r="BF1355" s="63"/>
    </row>
    <row r="1356" spans="1:58" ht="12.75" customHeight="1" x14ac:dyDescent="0.25">
      <c r="A1356" s="333"/>
      <c r="B1356" s="334"/>
      <c r="C1356" s="332"/>
      <c r="D1356" s="334"/>
      <c r="E1356" s="335"/>
      <c r="F1356" s="334"/>
      <c r="G1356" s="332"/>
      <c r="H1356" s="332"/>
      <c r="I1356" s="334"/>
      <c r="J1356" s="336"/>
      <c r="K1356" s="332"/>
      <c r="L1356" s="332"/>
      <c r="M1356" s="76"/>
      <c r="N1356" s="103" t="str">
        <f>IF(A1356="","",VLOOKUP(A1356,Stand!C:K,9,0))</f>
        <v/>
      </c>
      <c r="O1356" s="104" t="str">
        <f t="shared" si="605"/>
        <v/>
      </c>
      <c r="P1356" s="105" t="str">
        <f t="shared" si="606"/>
        <v/>
      </c>
      <c r="Q1356" s="105" t="str">
        <f t="shared" si="594"/>
        <v/>
      </c>
      <c r="R1356" s="103" t="str">
        <f t="shared" si="607"/>
        <v/>
      </c>
      <c r="S1356" s="103" t="str">
        <f t="shared" si="608"/>
        <v/>
      </c>
      <c r="T1356" s="106" t="str">
        <f t="shared" si="595"/>
        <v/>
      </c>
      <c r="U1356" s="106" t="str">
        <f t="shared" si="596"/>
        <v/>
      </c>
      <c r="V1356" s="106" t="str">
        <f t="shared" si="597"/>
        <v/>
      </c>
      <c r="W1356" s="105" t="str">
        <f t="shared" si="609"/>
        <v/>
      </c>
      <c r="X1356" s="104" t="str">
        <f t="shared" si="614"/>
        <v/>
      </c>
      <c r="Y1356" s="104" t="str">
        <f t="array" ref="Y1356">IFERROR(IF(ISNUMBER(O1356),IF(COUNT(IF(A1356=$A$2:$A$2427,IF(D1356=$D$2:$D$2427,IF($X$2:$X$2427&gt;0,1))))&gt;0,SUM(IF(A1356=$A$2:$A$2427,IF(D1356=$D$2:$D$2427,$X$2:$X$2427)))/COUNT(IF(A1356=$A$2:$A$2427,IF(D1356=$D$2:$D$2427,IF(ISNUMBER($X$2:$X$2427),1)))),0),""),0)</f>
        <v/>
      </c>
      <c r="Z1356" s="104" t="str">
        <f>IF(ISNUMBER(O1356),IF(I1356&gt;0,(10^(VLOOKUP(D1356,'Species Codes'!B:C,2,0)+VLOOKUP(D1356,'Species Codes'!B:D,3,0)*LOG(E1356)+VLOOKUP(D1356,'Species Codes'!B:E,4,0)*LOG(I1356))),0),"")</f>
        <v/>
      </c>
      <c r="AA1356" s="104" t="str">
        <f>IFERROR((VLOOKUP(D1356,'Species Codes'!B:G,6,0)*Z1356)/2000,"")</f>
        <v/>
      </c>
      <c r="AB1356" s="104" t="e">
        <f>IF(Z1356&gt;0,((IF(OR(D1356="DF",D1356="RA")=TRUE,EXP(VLOOKUP(D1356,'Species Codes'!B:I,8,0)+VLOOKUP(D1356,'Species Codes'!B:J,9,0)*(LN((E1356*2.54)))),IF(OR(D1356="PY",D1356="RC",D1356="WH",D1356="NF")=TRUE,VLOOKUP(D1356,'Species Codes'!B:I,8,0)+VLOOKUP(D1356,'Species Codes'!B:J,9,0)*((E1356*2.54)^2)*(I1356*0.3048),IF(OR(D1356="MD",D1356="BM",D1356="GA")=TRUE,((VLOOKUP(D1356,'Species Codes'!B:I,8,0)*(((((E1356*2.54)+VLOOKUP(D1356,'Species Codes'!B:J,9,0))/VLOOKUP(D1356,'Species Codes'!B:K,10,0))^VLOOKUP(D1356,'Species Codes'!B:L,11,0))*((I1356*0.3048)^VLOOKUP(D1356,'Species Codes'!B:M,12,0))))-(VLOOKUP(D1356,'Species Codes'!B:I,8,0)*((((E1356*2.54)^VLOOKUP(D1356,'Species Codes'!B:L,11,0))*((I1356*0.3048)^VLOOKUP(D1356,'Species Codes'!B:M,12,0))))))*35.3*VLOOKUP(D1356,'Species Codes'!B:G,6,0)/2.2046,VLOOKUP(D1356,'Species Codes'!B:I,8,0)+VLOOKUP(D1356,'Species Codes'!B:J,9,0)*(((E1356*2.54)/100)^2)*(I1356*0.3048)))))*0.0011023),0)</f>
        <v>#N/A</v>
      </c>
      <c r="AC1356" s="104" t="e">
        <f>IF(Z1356&gt;0,((IF(OR(D1356="RA",D1356="OA",D1356="OT",D1356="UN",D1356="PC"),EXP(VLOOKUP(D1356,'Species Codes'!B:O,14,0)+VLOOKUP(D1356,'Species Codes'!B:P,15,0)*LN((E1356*2.54)))-EXP(VLOOKUP(D1356,'Species Codes'!B:O,14,0)+VLOOKUP(D1356,'Species Codes'!B:P,15,0)*LN((E1356*2.54)))*(1/(VLOOKUP(D1356,'Species Codes'!B:Q,16,0)+VLOOKUP(D1356,'Species Codes'!B:R,17,0)*((E1356*2.54)^VLOOKUP(D1356,'Species Codes'!B:S,18,0)))),IF(OR(D1356="BM",D1356="MD",D1356="OA"),EXP(VLOOKUP(D1356,'Species Codes'!B:O,14,0)+VLOOKUP(D1356,'Species Codes'!B:P,15,0)*LN((E1356*2.54)))*(1-(1/(VLOOKUP(D1356,'Species Codes'!B:Q,16,0)+VLOOKUP(D1356,'Species Codes'!B:R,17,0)*((E1356*2.54)^VLOOKUP(D1356,'Species Codes'!B:S,18,0)))))/1000,IF(D1356="DF",EXP(VLOOKUP(D1356,'Species Codes'!B:O,14,0)+VLOOKUP(D1356,'Species Codes'!B:P,15,0)*LN((E1356*2.54))),VLOOKUP(D1356,'Species Codes'!B:O,14,0)+VLOOKUP(D1356,'Species Codes'!B:P,15,0)*(((E1356*2.54)/100)^2)*(I1356*0.3048)))))*0.0011023),0)</f>
        <v>#N/A</v>
      </c>
      <c r="AD1356" s="104" t="e">
        <f t="shared" si="598"/>
        <v>#N/A</v>
      </c>
      <c r="AE1356" s="104" t="e">
        <f t="shared" si="599"/>
        <v>#N/A</v>
      </c>
      <c r="AF1356" s="104" t="e">
        <f>IF(AND(VLOOKUP($D1356,Merchantability!$B:$C,2,0)="Yes",$E1356&gt;=VLOOKUP($D1356,Merchantability!$B:$D,3,0),$E1356&lt;=VLOOKUP($D1356,Merchantability!$B:$E,4,0)),AA1356,0)</f>
        <v>#N/A</v>
      </c>
      <c r="AG1356" s="104" t="e">
        <f>IF(AND(VLOOKUP($D1356,Merchantability!$B:$C,2,0)="Yes",$E1356&gt;=VLOOKUP($D1356,Merchantability!$B:$D,3,0),$E1356&lt;=VLOOKUP($D1356,Merchantability!$B:$E,4,0)),AB1356,0)</f>
        <v>#N/A</v>
      </c>
      <c r="AH1356" s="104" t="e">
        <f>IF(AND(VLOOKUP($D1356,Merchantability!$B:$C,2,0)="Yes",$E1356&gt;=VLOOKUP($D1356,Merchantability!$B:$D,3,0),$E1356&lt;=VLOOKUP($D1356,Merchantability!$B:$E,4,0)),AC1356,0)</f>
        <v>#N/A</v>
      </c>
      <c r="AI1356" s="104" t="e">
        <f t="shared" si="600"/>
        <v>#N/A</v>
      </c>
      <c r="AJ1356" s="104" t="e">
        <f t="shared" si="601"/>
        <v>#VALUE!</v>
      </c>
      <c r="AK1356" s="104" t="e">
        <f t="shared" si="602"/>
        <v>#N/A</v>
      </c>
      <c r="AL1356" s="104" t="e">
        <f t="shared" si="603"/>
        <v>#N/A</v>
      </c>
      <c r="AM1356" s="104" t="e">
        <f t="shared" si="604"/>
        <v>#N/A</v>
      </c>
      <c r="AN1356" s="104" t="e">
        <f t="shared" si="615"/>
        <v>#N/A</v>
      </c>
      <c r="AO1356" s="104" t="e">
        <f t="shared" si="616"/>
        <v>#N/A</v>
      </c>
      <c r="AP1356" s="104" t="e">
        <f t="shared" si="617"/>
        <v>#N/A</v>
      </c>
      <c r="AQ1356" s="104" t="e">
        <f t="shared" si="618"/>
        <v>#N/A</v>
      </c>
      <c r="AR1356" s="105" t="str">
        <f t="shared" si="610"/>
        <v/>
      </c>
      <c r="AS1356" s="105" t="str">
        <f t="shared" si="611"/>
        <v/>
      </c>
      <c r="AT1356" s="108" t="str">
        <f t="shared" si="612"/>
        <v/>
      </c>
      <c r="AU1356" s="108" t="str">
        <f t="shared" si="613"/>
        <v/>
      </c>
      <c r="AV1356" s="107" t="str">
        <f>IF(ISNUMBER(O1356),IF(VLOOKUP($A1356,Stand!C:J,8,FALSE)="Short",AT1356,AU1356),"")</f>
        <v/>
      </c>
      <c r="AW1356" s="109" t="str">
        <f t="shared" si="619"/>
        <v/>
      </c>
      <c r="AX1356" s="109" t="str">
        <f t="shared" si="620"/>
        <v/>
      </c>
      <c r="AY1356" s="112" t="str">
        <f>IF(ISNUMBER(O1356),IF(AND(VLOOKUP($D1356,Merchantability!$B:$C,2,0)="Yes",$E1356&gt;=VLOOKUP($D1356,Merchantability!$B:$D,3,0),$E1356&lt;=VLOOKUP($D1356,Merchantability!$B:$E,4,0)),(AV1356*O1356)*(1-$H1356/100),""),"")</f>
        <v/>
      </c>
      <c r="AZ1356" s="116"/>
      <c r="BA1356" s="116"/>
      <c r="BB1356" s="116"/>
      <c r="BE1356" s="62"/>
      <c r="BF1356" s="63"/>
    </row>
    <row r="1357" spans="1:58" ht="12.75" customHeight="1" x14ac:dyDescent="0.25">
      <c r="A1357" s="333"/>
      <c r="B1357" s="334"/>
      <c r="C1357" s="332"/>
      <c r="D1357" s="334"/>
      <c r="E1357" s="335"/>
      <c r="F1357" s="334"/>
      <c r="G1357" s="332"/>
      <c r="H1357" s="332"/>
      <c r="I1357" s="334"/>
      <c r="J1357" s="336"/>
      <c r="K1357" s="332"/>
      <c r="L1357" s="332"/>
      <c r="M1357" s="76"/>
      <c r="N1357" s="103" t="str">
        <f>IF(A1357="","",VLOOKUP(A1357,Stand!C:K,9,0))</f>
        <v/>
      </c>
      <c r="O1357" s="104" t="str">
        <f t="shared" si="605"/>
        <v/>
      </c>
      <c r="P1357" s="105" t="str">
        <f t="shared" si="606"/>
        <v/>
      </c>
      <c r="Q1357" s="105" t="str">
        <f t="shared" si="594"/>
        <v/>
      </c>
      <c r="R1357" s="103" t="str">
        <f t="shared" si="607"/>
        <v/>
      </c>
      <c r="S1357" s="103" t="str">
        <f t="shared" si="608"/>
        <v/>
      </c>
      <c r="T1357" s="106" t="str">
        <f t="shared" si="595"/>
        <v/>
      </c>
      <c r="U1357" s="106" t="str">
        <f t="shared" si="596"/>
        <v/>
      </c>
      <c r="V1357" s="106" t="str">
        <f t="shared" si="597"/>
        <v/>
      </c>
      <c r="W1357" s="105" t="str">
        <f t="shared" si="609"/>
        <v/>
      </c>
      <c r="X1357" s="104" t="str">
        <f t="shared" si="614"/>
        <v/>
      </c>
      <c r="Y1357" s="104" t="str">
        <f t="array" ref="Y1357">IFERROR(IF(ISNUMBER(O1357),IF(COUNT(IF(A1357=$A$2:$A$2427,IF(D1357=$D$2:$D$2427,IF($X$2:$X$2427&gt;0,1))))&gt;0,SUM(IF(A1357=$A$2:$A$2427,IF(D1357=$D$2:$D$2427,$X$2:$X$2427)))/COUNT(IF(A1357=$A$2:$A$2427,IF(D1357=$D$2:$D$2427,IF(ISNUMBER($X$2:$X$2427),1)))),0),""),0)</f>
        <v/>
      </c>
      <c r="Z1357" s="104" t="str">
        <f>IF(ISNUMBER(O1357),IF(I1357&gt;0,(10^(VLOOKUP(D1357,'Species Codes'!B:C,2,0)+VLOOKUP(D1357,'Species Codes'!B:D,3,0)*LOG(E1357)+VLOOKUP(D1357,'Species Codes'!B:E,4,0)*LOG(I1357))),0),"")</f>
        <v/>
      </c>
      <c r="AA1357" s="104" t="str">
        <f>IFERROR((VLOOKUP(D1357,'Species Codes'!B:G,6,0)*Z1357)/2000,"")</f>
        <v/>
      </c>
      <c r="AB1357" s="104" t="e">
        <f>IF(Z1357&gt;0,((IF(OR(D1357="DF",D1357="RA")=TRUE,EXP(VLOOKUP(D1357,'Species Codes'!B:I,8,0)+VLOOKUP(D1357,'Species Codes'!B:J,9,0)*(LN((E1357*2.54)))),IF(OR(D1357="PY",D1357="RC",D1357="WH",D1357="NF")=TRUE,VLOOKUP(D1357,'Species Codes'!B:I,8,0)+VLOOKUP(D1357,'Species Codes'!B:J,9,0)*((E1357*2.54)^2)*(I1357*0.3048),IF(OR(D1357="MD",D1357="BM",D1357="GA")=TRUE,((VLOOKUP(D1357,'Species Codes'!B:I,8,0)*(((((E1357*2.54)+VLOOKUP(D1357,'Species Codes'!B:J,9,0))/VLOOKUP(D1357,'Species Codes'!B:K,10,0))^VLOOKUP(D1357,'Species Codes'!B:L,11,0))*((I1357*0.3048)^VLOOKUP(D1357,'Species Codes'!B:M,12,0))))-(VLOOKUP(D1357,'Species Codes'!B:I,8,0)*((((E1357*2.54)^VLOOKUP(D1357,'Species Codes'!B:L,11,0))*((I1357*0.3048)^VLOOKUP(D1357,'Species Codes'!B:M,12,0))))))*35.3*VLOOKUP(D1357,'Species Codes'!B:G,6,0)/2.2046,VLOOKUP(D1357,'Species Codes'!B:I,8,0)+VLOOKUP(D1357,'Species Codes'!B:J,9,0)*(((E1357*2.54)/100)^2)*(I1357*0.3048)))))*0.0011023),0)</f>
        <v>#N/A</v>
      </c>
      <c r="AC1357" s="104" t="e">
        <f>IF(Z1357&gt;0,((IF(OR(D1357="RA",D1357="OA",D1357="OT",D1357="UN",D1357="PC"),EXP(VLOOKUP(D1357,'Species Codes'!B:O,14,0)+VLOOKUP(D1357,'Species Codes'!B:P,15,0)*LN((E1357*2.54)))-EXP(VLOOKUP(D1357,'Species Codes'!B:O,14,0)+VLOOKUP(D1357,'Species Codes'!B:P,15,0)*LN((E1357*2.54)))*(1/(VLOOKUP(D1357,'Species Codes'!B:Q,16,0)+VLOOKUP(D1357,'Species Codes'!B:R,17,0)*((E1357*2.54)^VLOOKUP(D1357,'Species Codes'!B:S,18,0)))),IF(OR(D1357="BM",D1357="MD",D1357="OA"),EXP(VLOOKUP(D1357,'Species Codes'!B:O,14,0)+VLOOKUP(D1357,'Species Codes'!B:P,15,0)*LN((E1357*2.54)))*(1-(1/(VLOOKUP(D1357,'Species Codes'!B:Q,16,0)+VLOOKUP(D1357,'Species Codes'!B:R,17,0)*((E1357*2.54)^VLOOKUP(D1357,'Species Codes'!B:S,18,0)))))/1000,IF(D1357="DF",EXP(VLOOKUP(D1357,'Species Codes'!B:O,14,0)+VLOOKUP(D1357,'Species Codes'!B:P,15,0)*LN((E1357*2.54))),VLOOKUP(D1357,'Species Codes'!B:O,14,0)+VLOOKUP(D1357,'Species Codes'!B:P,15,0)*(((E1357*2.54)/100)^2)*(I1357*0.3048)))))*0.0011023),0)</f>
        <v>#N/A</v>
      </c>
      <c r="AD1357" s="104" t="e">
        <f t="shared" si="598"/>
        <v>#N/A</v>
      </c>
      <c r="AE1357" s="104" t="e">
        <f t="shared" si="599"/>
        <v>#N/A</v>
      </c>
      <c r="AF1357" s="104" t="e">
        <f>IF(AND(VLOOKUP($D1357,Merchantability!$B:$C,2,0)="Yes",$E1357&gt;=VLOOKUP($D1357,Merchantability!$B:$D,3,0),$E1357&lt;=VLOOKUP($D1357,Merchantability!$B:$E,4,0)),AA1357,0)</f>
        <v>#N/A</v>
      </c>
      <c r="AG1357" s="104" t="e">
        <f>IF(AND(VLOOKUP($D1357,Merchantability!$B:$C,2,0)="Yes",$E1357&gt;=VLOOKUP($D1357,Merchantability!$B:$D,3,0),$E1357&lt;=VLOOKUP($D1357,Merchantability!$B:$E,4,0)),AB1357,0)</f>
        <v>#N/A</v>
      </c>
      <c r="AH1357" s="104" t="e">
        <f>IF(AND(VLOOKUP($D1357,Merchantability!$B:$C,2,0)="Yes",$E1357&gt;=VLOOKUP($D1357,Merchantability!$B:$D,3,0),$E1357&lt;=VLOOKUP($D1357,Merchantability!$B:$E,4,0)),AC1357,0)</f>
        <v>#N/A</v>
      </c>
      <c r="AI1357" s="104" t="e">
        <f t="shared" si="600"/>
        <v>#N/A</v>
      </c>
      <c r="AJ1357" s="104" t="e">
        <f t="shared" si="601"/>
        <v>#VALUE!</v>
      </c>
      <c r="AK1357" s="104" t="e">
        <f t="shared" si="602"/>
        <v>#N/A</v>
      </c>
      <c r="AL1357" s="104" t="e">
        <f t="shared" si="603"/>
        <v>#N/A</v>
      </c>
      <c r="AM1357" s="104" t="e">
        <f t="shared" si="604"/>
        <v>#N/A</v>
      </c>
      <c r="AN1357" s="104" t="e">
        <f t="shared" si="615"/>
        <v>#N/A</v>
      </c>
      <c r="AO1357" s="104" t="e">
        <f t="shared" si="616"/>
        <v>#N/A</v>
      </c>
      <c r="AP1357" s="104" t="e">
        <f t="shared" si="617"/>
        <v>#N/A</v>
      </c>
      <c r="AQ1357" s="104" t="e">
        <f t="shared" si="618"/>
        <v>#N/A</v>
      </c>
      <c r="AR1357" s="105" t="str">
        <f t="shared" si="610"/>
        <v/>
      </c>
      <c r="AS1357" s="105" t="str">
        <f t="shared" si="611"/>
        <v/>
      </c>
      <c r="AT1357" s="108" t="str">
        <f t="shared" si="612"/>
        <v/>
      </c>
      <c r="AU1357" s="108" t="str">
        <f t="shared" si="613"/>
        <v/>
      </c>
      <c r="AV1357" s="107" t="str">
        <f>IF(ISNUMBER(O1357),IF(VLOOKUP($A1357,Stand!C:J,8,FALSE)="Short",AT1357,AU1357),"")</f>
        <v/>
      </c>
      <c r="AW1357" s="109" t="str">
        <f t="shared" si="619"/>
        <v/>
      </c>
      <c r="AX1357" s="109" t="str">
        <f t="shared" si="620"/>
        <v/>
      </c>
      <c r="AY1357" s="112" t="str">
        <f>IF(ISNUMBER(O1357),IF(AND(VLOOKUP($D1357,Merchantability!$B:$C,2,0)="Yes",$E1357&gt;=VLOOKUP($D1357,Merchantability!$B:$D,3,0),$E1357&lt;=VLOOKUP($D1357,Merchantability!$B:$E,4,0)),(AV1357*O1357)*(1-$H1357/100),""),"")</f>
        <v/>
      </c>
      <c r="AZ1357" s="116"/>
      <c r="BA1357" s="116"/>
      <c r="BB1357" s="116"/>
      <c r="BE1357" s="62"/>
      <c r="BF1357" s="63"/>
    </row>
    <row r="1358" spans="1:58" ht="12.75" customHeight="1" x14ac:dyDescent="0.25">
      <c r="A1358" s="333"/>
      <c r="B1358" s="334"/>
      <c r="C1358" s="332"/>
      <c r="D1358" s="334"/>
      <c r="E1358" s="335"/>
      <c r="F1358" s="334"/>
      <c r="G1358" s="332"/>
      <c r="H1358" s="332"/>
      <c r="I1358" s="334"/>
      <c r="J1358" s="336"/>
      <c r="K1358" s="332"/>
      <c r="L1358" s="332"/>
      <c r="M1358" s="76"/>
      <c r="N1358" s="103" t="str">
        <f>IF(A1358="","",VLOOKUP(A1358,Stand!C:K,9,0))</f>
        <v/>
      </c>
      <c r="O1358" s="104" t="str">
        <f t="shared" si="605"/>
        <v/>
      </c>
      <c r="P1358" s="105" t="str">
        <f t="shared" si="606"/>
        <v/>
      </c>
      <c r="Q1358" s="105" t="str">
        <f t="shared" si="594"/>
        <v/>
      </c>
      <c r="R1358" s="103" t="str">
        <f t="shared" si="607"/>
        <v/>
      </c>
      <c r="S1358" s="103" t="str">
        <f t="shared" si="608"/>
        <v/>
      </c>
      <c r="T1358" s="106" t="str">
        <f t="shared" si="595"/>
        <v/>
      </c>
      <c r="U1358" s="106" t="str">
        <f t="shared" si="596"/>
        <v/>
      </c>
      <c r="V1358" s="106" t="str">
        <f t="shared" si="597"/>
        <v/>
      </c>
      <c r="W1358" s="105" t="str">
        <f t="shared" si="609"/>
        <v/>
      </c>
      <c r="X1358" s="104" t="str">
        <f t="shared" si="614"/>
        <v/>
      </c>
      <c r="Y1358" s="104" t="str">
        <f t="array" ref="Y1358">IFERROR(IF(ISNUMBER(O1358),IF(COUNT(IF(A1358=$A$2:$A$2427,IF(D1358=$D$2:$D$2427,IF($X$2:$X$2427&gt;0,1))))&gt;0,SUM(IF(A1358=$A$2:$A$2427,IF(D1358=$D$2:$D$2427,$X$2:$X$2427)))/COUNT(IF(A1358=$A$2:$A$2427,IF(D1358=$D$2:$D$2427,IF(ISNUMBER($X$2:$X$2427),1)))),0),""),0)</f>
        <v/>
      </c>
      <c r="Z1358" s="104" t="str">
        <f>IF(ISNUMBER(O1358),IF(I1358&gt;0,(10^(VLOOKUP(D1358,'Species Codes'!B:C,2,0)+VLOOKUP(D1358,'Species Codes'!B:D,3,0)*LOG(E1358)+VLOOKUP(D1358,'Species Codes'!B:E,4,0)*LOG(I1358))),0),"")</f>
        <v/>
      </c>
      <c r="AA1358" s="104" t="str">
        <f>IFERROR((VLOOKUP(D1358,'Species Codes'!B:G,6,0)*Z1358)/2000,"")</f>
        <v/>
      </c>
      <c r="AB1358" s="104" t="e">
        <f>IF(Z1358&gt;0,((IF(OR(D1358="DF",D1358="RA")=TRUE,EXP(VLOOKUP(D1358,'Species Codes'!B:I,8,0)+VLOOKUP(D1358,'Species Codes'!B:J,9,0)*(LN((E1358*2.54)))),IF(OR(D1358="PY",D1358="RC",D1358="WH",D1358="NF")=TRUE,VLOOKUP(D1358,'Species Codes'!B:I,8,0)+VLOOKUP(D1358,'Species Codes'!B:J,9,0)*((E1358*2.54)^2)*(I1358*0.3048),IF(OR(D1358="MD",D1358="BM",D1358="GA")=TRUE,((VLOOKUP(D1358,'Species Codes'!B:I,8,0)*(((((E1358*2.54)+VLOOKUP(D1358,'Species Codes'!B:J,9,0))/VLOOKUP(D1358,'Species Codes'!B:K,10,0))^VLOOKUP(D1358,'Species Codes'!B:L,11,0))*((I1358*0.3048)^VLOOKUP(D1358,'Species Codes'!B:M,12,0))))-(VLOOKUP(D1358,'Species Codes'!B:I,8,0)*((((E1358*2.54)^VLOOKUP(D1358,'Species Codes'!B:L,11,0))*((I1358*0.3048)^VLOOKUP(D1358,'Species Codes'!B:M,12,0))))))*35.3*VLOOKUP(D1358,'Species Codes'!B:G,6,0)/2.2046,VLOOKUP(D1358,'Species Codes'!B:I,8,0)+VLOOKUP(D1358,'Species Codes'!B:J,9,0)*(((E1358*2.54)/100)^2)*(I1358*0.3048)))))*0.0011023),0)</f>
        <v>#N/A</v>
      </c>
      <c r="AC1358" s="104" t="e">
        <f>IF(Z1358&gt;0,((IF(OR(D1358="RA",D1358="OA",D1358="OT",D1358="UN",D1358="PC"),EXP(VLOOKUP(D1358,'Species Codes'!B:O,14,0)+VLOOKUP(D1358,'Species Codes'!B:P,15,0)*LN((E1358*2.54)))-EXP(VLOOKUP(D1358,'Species Codes'!B:O,14,0)+VLOOKUP(D1358,'Species Codes'!B:P,15,0)*LN((E1358*2.54)))*(1/(VLOOKUP(D1358,'Species Codes'!B:Q,16,0)+VLOOKUP(D1358,'Species Codes'!B:R,17,0)*((E1358*2.54)^VLOOKUP(D1358,'Species Codes'!B:S,18,0)))),IF(OR(D1358="BM",D1358="MD",D1358="OA"),EXP(VLOOKUP(D1358,'Species Codes'!B:O,14,0)+VLOOKUP(D1358,'Species Codes'!B:P,15,0)*LN((E1358*2.54)))*(1-(1/(VLOOKUP(D1358,'Species Codes'!B:Q,16,0)+VLOOKUP(D1358,'Species Codes'!B:R,17,0)*((E1358*2.54)^VLOOKUP(D1358,'Species Codes'!B:S,18,0)))))/1000,IF(D1358="DF",EXP(VLOOKUP(D1358,'Species Codes'!B:O,14,0)+VLOOKUP(D1358,'Species Codes'!B:P,15,0)*LN((E1358*2.54))),VLOOKUP(D1358,'Species Codes'!B:O,14,0)+VLOOKUP(D1358,'Species Codes'!B:P,15,0)*(((E1358*2.54)/100)^2)*(I1358*0.3048)))))*0.0011023),0)</f>
        <v>#N/A</v>
      </c>
      <c r="AD1358" s="104" t="e">
        <f t="shared" si="598"/>
        <v>#N/A</v>
      </c>
      <c r="AE1358" s="104" t="e">
        <f t="shared" si="599"/>
        <v>#N/A</v>
      </c>
      <c r="AF1358" s="104" t="e">
        <f>IF(AND(VLOOKUP($D1358,Merchantability!$B:$C,2,0)="Yes",$E1358&gt;=VLOOKUP($D1358,Merchantability!$B:$D,3,0),$E1358&lt;=VLOOKUP($D1358,Merchantability!$B:$E,4,0)),AA1358,0)</f>
        <v>#N/A</v>
      </c>
      <c r="AG1358" s="104" t="e">
        <f>IF(AND(VLOOKUP($D1358,Merchantability!$B:$C,2,0)="Yes",$E1358&gt;=VLOOKUP($D1358,Merchantability!$B:$D,3,0),$E1358&lt;=VLOOKUP($D1358,Merchantability!$B:$E,4,0)),AB1358,0)</f>
        <v>#N/A</v>
      </c>
      <c r="AH1358" s="104" t="e">
        <f>IF(AND(VLOOKUP($D1358,Merchantability!$B:$C,2,0)="Yes",$E1358&gt;=VLOOKUP($D1358,Merchantability!$B:$D,3,0),$E1358&lt;=VLOOKUP($D1358,Merchantability!$B:$E,4,0)),AC1358,0)</f>
        <v>#N/A</v>
      </c>
      <c r="AI1358" s="104" t="e">
        <f t="shared" si="600"/>
        <v>#N/A</v>
      </c>
      <c r="AJ1358" s="104" t="e">
        <f t="shared" si="601"/>
        <v>#VALUE!</v>
      </c>
      <c r="AK1358" s="104" t="e">
        <f t="shared" si="602"/>
        <v>#N/A</v>
      </c>
      <c r="AL1358" s="104" t="e">
        <f t="shared" si="603"/>
        <v>#N/A</v>
      </c>
      <c r="AM1358" s="104" t="e">
        <f t="shared" si="604"/>
        <v>#N/A</v>
      </c>
      <c r="AN1358" s="104" t="e">
        <f t="shared" si="615"/>
        <v>#N/A</v>
      </c>
      <c r="AO1358" s="104" t="e">
        <f t="shared" si="616"/>
        <v>#N/A</v>
      </c>
      <c r="AP1358" s="104" t="e">
        <f t="shared" si="617"/>
        <v>#N/A</v>
      </c>
      <c r="AQ1358" s="104" t="e">
        <f t="shared" si="618"/>
        <v>#N/A</v>
      </c>
      <c r="AR1358" s="105" t="str">
        <f t="shared" si="610"/>
        <v/>
      </c>
      <c r="AS1358" s="105" t="str">
        <f t="shared" si="611"/>
        <v/>
      </c>
      <c r="AT1358" s="108" t="str">
        <f t="shared" si="612"/>
        <v/>
      </c>
      <c r="AU1358" s="108" t="str">
        <f t="shared" si="613"/>
        <v/>
      </c>
      <c r="AV1358" s="107" t="str">
        <f>IF(ISNUMBER(O1358),IF(VLOOKUP($A1358,Stand!C:J,8,FALSE)="Short",AT1358,AU1358),"")</f>
        <v/>
      </c>
      <c r="AW1358" s="109" t="str">
        <f t="shared" si="619"/>
        <v/>
      </c>
      <c r="AX1358" s="109" t="str">
        <f t="shared" si="620"/>
        <v/>
      </c>
      <c r="AY1358" s="112" t="str">
        <f>IF(ISNUMBER(O1358),IF(AND(VLOOKUP($D1358,Merchantability!$B:$C,2,0)="Yes",$E1358&gt;=VLOOKUP($D1358,Merchantability!$B:$D,3,0),$E1358&lt;=VLOOKUP($D1358,Merchantability!$B:$E,4,0)),(AV1358*O1358)*(1-$H1358/100),""),"")</f>
        <v/>
      </c>
      <c r="AZ1358" s="116"/>
      <c r="BA1358" s="116"/>
      <c r="BB1358" s="116"/>
      <c r="BE1358" s="62"/>
      <c r="BF1358" s="63"/>
    </row>
    <row r="1359" spans="1:58" ht="12.75" customHeight="1" x14ac:dyDescent="0.25">
      <c r="A1359" s="333"/>
      <c r="B1359" s="334"/>
      <c r="C1359" s="332"/>
      <c r="D1359" s="334"/>
      <c r="E1359" s="335"/>
      <c r="F1359" s="334"/>
      <c r="G1359" s="332"/>
      <c r="H1359" s="332"/>
      <c r="I1359" s="334"/>
      <c r="J1359" s="336"/>
      <c r="K1359" s="332"/>
      <c r="L1359" s="332"/>
      <c r="M1359" s="76"/>
      <c r="N1359" s="103" t="str">
        <f>IF(A1359="","",VLOOKUP(A1359,Stand!C:K,9,0))</f>
        <v/>
      </c>
      <c r="O1359" s="104" t="str">
        <f t="shared" si="605"/>
        <v/>
      </c>
      <c r="P1359" s="105" t="str">
        <f t="shared" si="606"/>
        <v/>
      </c>
      <c r="Q1359" s="105" t="str">
        <f t="shared" si="594"/>
        <v/>
      </c>
      <c r="R1359" s="103" t="str">
        <f t="shared" si="607"/>
        <v/>
      </c>
      <c r="S1359" s="103" t="str">
        <f t="shared" si="608"/>
        <v/>
      </c>
      <c r="T1359" s="106" t="str">
        <f t="shared" si="595"/>
        <v/>
      </c>
      <c r="U1359" s="106" t="str">
        <f t="shared" si="596"/>
        <v/>
      </c>
      <c r="V1359" s="106" t="str">
        <f t="shared" si="597"/>
        <v/>
      </c>
      <c r="W1359" s="105" t="str">
        <f t="shared" si="609"/>
        <v/>
      </c>
      <c r="X1359" s="104" t="str">
        <f t="shared" si="614"/>
        <v/>
      </c>
      <c r="Y1359" s="104" t="str">
        <f t="array" ref="Y1359">IFERROR(IF(ISNUMBER(O1359),IF(COUNT(IF(A1359=$A$2:$A$2427,IF(D1359=$D$2:$D$2427,IF($X$2:$X$2427&gt;0,1))))&gt;0,SUM(IF(A1359=$A$2:$A$2427,IF(D1359=$D$2:$D$2427,$X$2:$X$2427)))/COUNT(IF(A1359=$A$2:$A$2427,IF(D1359=$D$2:$D$2427,IF(ISNUMBER($X$2:$X$2427),1)))),0),""),0)</f>
        <v/>
      </c>
      <c r="Z1359" s="104" t="str">
        <f>IF(ISNUMBER(O1359),IF(I1359&gt;0,(10^(VLOOKUP(D1359,'Species Codes'!B:C,2,0)+VLOOKUP(D1359,'Species Codes'!B:D,3,0)*LOG(E1359)+VLOOKUP(D1359,'Species Codes'!B:E,4,0)*LOG(I1359))),0),"")</f>
        <v/>
      </c>
      <c r="AA1359" s="104" t="str">
        <f>IFERROR((VLOOKUP(D1359,'Species Codes'!B:G,6,0)*Z1359)/2000,"")</f>
        <v/>
      </c>
      <c r="AB1359" s="104" t="e">
        <f>IF(Z1359&gt;0,((IF(OR(D1359="DF",D1359="RA")=TRUE,EXP(VLOOKUP(D1359,'Species Codes'!B:I,8,0)+VLOOKUP(D1359,'Species Codes'!B:J,9,0)*(LN((E1359*2.54)))),IF(OR(D1359="PY",D1359="RC",D1359="WH",D1359="NF")=TRUE,VLOOKUP(D1359,'Species Codes'!B:I,8,0)+VLOOKUP(D1359,'Species Codes'!B:J,9,0)*((E1359*2.54)^2)*(I1359*0.3048),IF(OR(D1359="MD",D1359="BM",D1359="GA")=TRUE,((VLOOKUP(D1359,'Species Codes'!B:I,8,0)*(((((E1359*2.54)+VLOOKUP(D1359,'Species Codes'!B:J,9,0))/VLOOKUP(D1359,'Species Codes'!B:K,10,0))^VLOOKUP(D1359,'Species Codes'!B:L,11,0))*((I1359*0.3048)^VLOOKUP(D1359,'Species Codes'!B:M,12,0))))-(VLOOKUP(D1359,'Species Codes'!B:I,8,0)*((((E1359*2.54)^VLOOKUP(D1359,'Species Codes'!B:L,11,0))*((I1359*0.3048)^VLOOKUP(D1359,'Species Codes'!B:M,12,0))))))*35.3*VLOOKUP(D1359,'Species Codes'!B:G,6,0)/2.2046,VLOOKUP(D1359,'Species Codes'!B:I,8,0)+VLOOKUP(D1359,'Species Codes'!B:J,9,0)*(((E1359*2.54)/100)^2)*(I1359*0.3048)))))*0.0011023),0)</f>
        <v>#N/A</v>
      </c>
      <c r="AC1359" s="104" t="e">
        <f>IF(Z1359&gt;0,((IF(OR(D1359="RA",D1359="OA",D1359="OT",D1359="UN",D1359="PC"),EXP(VLOOKUP(D1359,'Species Codes'!B:O,14,0)+VLOOKUP(D1359,'Species Codes'!B:P,15,0)*LN((E1359*2.54)))-EXP(VLOOKUP(D1359,'Species Codes'!B:O,14,0)+VLOOKUP(D1359,'Species Codes'!B:P,15,0)*LN((E1359*2.54)))*(1/(VLOOKUP(D1359,'Species Codes'!B:Q,16,0)+VLOOKUP(D1359,'Species Codes'!B:R,17,0)*((E1359*2.54)^VLOOKUP(D1359,'Species Codes'!B:S,18,0)))),IF(OR(D1359="BM",D1359="MD",D1359="OA"),EXP(VLOOKUP(D1359,'Species Codes'!B:O,14,0)+VLOOKUP(D1359,'Species Codes'!B:P,15,0)*LN((E1359*2.54)))*(1-(1/(VLOOKUP(D1359,'Species Codes'!B:Q,16,0)+VLOOKUP(D1359,'Species Codes'!B:R,17,0)*((E1359*2.54)^VLOOKUP(D1359,'Species Codes'!B:S,18,0)))))/1000,IF(D1359="DF",EXP(VLOOKUP(D1359,'Species Codes'!B:O,14,0)+VLOOKUP(D1359,'Species Codes'!B:P,15,0)*LN((E1359*2.54))),VLOOKUP(D1359,'Species Codes'!B:O,14,0)+VLOOKUP(D1359,'Species Codes'!B:P,15,0)*(((E1359*2.54)/100)^2)*(I1359*0.3048)))))*0.0011023),0)</f>
        <v>#N/A</v>
      </c>
      <c r="AD1359" s="104" t="e">
        <f t="shared" si="598"/>
        <v>#N/A</v>
      </c>
      <c r="AE1359" s="104" t="e">
        <f t="shared" si="599"/>
        <v>#N/A</v>
      </c>
      <c r="AF1359" s="104" t="e">
        <f>IF(AND(VLOOKUP($D1359,Merchantability!$B:$C,2,0)="Yes",$E1359&gt;=VLOOKUP($D1359,Merchantability!$B:$D,3,0),$E1359&lt;=VLOOKUP($D1359,Merchantability!$B:$E,4,0)),AA1359,0)</f>
        <v>#N/A</v>
      </c>
      <c r="AG1359" s="104" t="e">
        <f>IF(AND(VLOOKUP($D1359,Merchantability!$B:$C,2,0)="Yes",$E1359&gt;=VLOOKUP($D1359,Merchantability!$B:$D,3,0),$E1359&lt;=VLOOKUP($D1359,Merchantability!$B:$E,4,0)),AB1359,0)</f>
        <v>#N/A</v>
      </c>
      <c r="AH1359" s="104" t="e">
        <f>IF(AND(VLOOKUP($D1359,Merchantability!$B:$C,2,0)="Yes",$E1359&gt;=VLOOKUP($D1359,Merchantability!$B:$D,3,0),$E1359&lt;=VLOOKUP($D1359,Merchantability!$B:$E,4,0)),AC1359,0)</f>
        <v>#N/A</v>
      </c>
      <c r="AI1359" s="104" t="e">
        <f t="shared" si="600"/>
        <v>#N/A</v>
      </c>
      <c r="AJ1359" s="104" t="e">
        <f t="shared" si="601"/>
        <v>#VALUE!</v>
      </c>
      <c r="AK1359" s="104" t="e">
        <f t="shared" si="602"/>
        <v>#N/A</v>
      </c>
      <c r="AL1359" s="104" t="e">
        <f t="shared" si="603"/>
        <v>#N/A</v>
      </c>
      <c r="AM1359" s="104" t="e">
        <f t="shared" si="604"/>
        <v>#N/A</v>
      </c>
      <c r="AN1359" s="104" t="e">
        <f t="shared" si="615"/>
        <v>#N/A</v>
      </c>
      <c r="AO1359" s="104" t="e">
        <f t="shared" si="616"/>
        <v>#N/A</v>
      </c>
      <c r="AP1359" s="104" t="e">
        <f t="shared" si="617"/>
        <v>#N/A</v>
      </c>
      <c r="AQ1359" s="104" t="e">
        <f t="shared" si="618"/>
        <v>#N/A</v>
      </c>
      <c r="AR1359" s="105" t="str">
        <f t="shared" si="610"/>
        <v/>
      </c>
      <c r="AS1359" s="105" t="str">
        <f t="shared" si="611"/>
        <v/>
      </c>
      <c r="AT1359" s="108" t="str">
        <f t="shared" si="612"/>
        <v/>
      </c>
      <c r="AU1359" s="108" t="str">
        <f t="shared" si="613"/>
        <v/>
      </c>
      <c r="AV1359" s="107" t="str">
        <f>IF(ISNUMBER(O1359),IF(VLOOKUP($A1359,Stand!C:J,8,FALSE)="Short",AT1359,AU1359),"")</f>
        <v/>
      </c>
      <c r="AW1359" s="109" t="str">
        <f t="shared" si="619"/>
        <v/>
      </c>
      <c r="AX1359" s="109" t="str">
        <f t="shared" si="620"/>
        <v/>
      </c>
      <c r="AY1359" s="112" t="str">
        <f>IF(ISNUMBER(O1359),IF(AND(VLOOKUP($D1359,Merchantability!$B:$C,2,0)="Yes",$E1359&gt;=VLOOKUP($D1359,Merchantability!$B:$D,3,0),$E1359&lt;=VLOOKUP($D1359,Merchantability!$B:$E,4,0)),(AV1359*O1359)*(1-$H1359/100),""),"")</f>
        <v/>
      </c>
      <c r="AZ1359" s="116"/>
      <c r="BA1359" s="116"/>
      <c r="BB1359" s="116"/>
      <c r="BE1359" s="62"/>
      <c r="BF1359" s="63"/>
    </row>
    <row r="1360" spans="1:58" ht="12.75" customHeight="1" x14ac:dyDescent="0.25">
      <c r="A1360" s="333"/>
      <c r="B1360" s="334"/>
      <c r="C1360" s="332"/>
      <c r="D1360" s="334"/>
      <c r="E1360" s="335"/>
      <c r="F1360" s="334"/>
      <c r="G1360" s="332"/>
      <c r="H1360" s="332"/>
      <c r="I1360" s="334"/>
      <c r="J1360" s="336"/>
      <c r="K1360" s="332"/>
      <c r="L1360" s="332"/>
      <c r="M1360" s="76"/>
      <c r="N1360" s="103" t="str">
        <f>IF(A1360="","",VLOOKUP(A1360,Stand!C:K,9,0))</f>
        <v/>
      </c>
      <c r="O1360" s="104" t="str">
        <f t="shared" si="605"/>
        <v/>
      </c>
      <c r="P1360" s="105" t="str">
        <f t="shared" si="606"/>
        <v/>
      </c>
      <c r="Q1360" s="105" t="str">
        <f t="shared" si="594"/>
        <v/>
      </c>
      <c r="R1360" s="103" t="str">
        <f t="shared" si="607"/>
        <v/>
      </c>
      <c r="S1360" s="103" t="str">
        <f t="shared" si="608"/>
        <v/>
      </c>
      <c r="T1360" s="106" t="str">
        <f t="shared" si="595"/>
        <v/>
      </c>
      <c r="U1360" s="106" t="str">
        <f t="shared" si="596"/>
        <v/>
      </c>
      <c r="V1360" s="106" t="str">
        <f t="shared" si="597"/>
        <v/>
      </c>
      <c r="W1360" s="105" t="str">
        <f t="shared" si="609"/>
        <v/>
      </c>
      <c r="X1360" s="104" t="str">
        <f t="shared" si="614"/>
        <v/>
      </c>
      <c r="Y1360" s="104" t="str">
        <f t="array" ref="Y1360">IFERROR(IF(ISNUMBER(O1360),IF(COUNT(IF(A1360=$A$2:$A$2427,IF(D1360=$D$2:$D$2427,IF($X$2:$X$2427&gt;0,1))))&gt;0,SUM(IF(A1360=$A$2:$A$2427,IF(D1360=$D$2:$D$2427,$X$2:$X$2427)))/COUNT(IF(A1360=$A$2:$A$2427,IF(D1360=$D$2:$D$2427,IF(ISNUMBER($X$2:$X$2427),1)))),0),""),0)</f>
        <v/>
      </c>
      <c r="Z1360" s="104" t="str">
        <f>IF(ISNUMBER(O1360),IF(I1360&gt;0,(10^(VLOOKUP(D1360,'Species Codes'!B:C,2,0)+VLOOKUP(D1360,'Species Codes'!B:D,3,0)*LOG(E1360)+VLOOKUP(D1360,'Species Codes'!B:E,4,0)*LOG(I1360))),0),"")</f>
        <v/>
      </c>
      <c r="AA1360" s="104" t="str">
        <f>IFERROR((VLOOKUP(D1360,'Species Codes'!B:G,6,0)*Z1360)/2000,"")</f>
        <v/>
      </c>
      <c r="AB1360" s="104" t="e">
        <f>IF(Z1360&gt;0,((IF(OR(D1360="DF",D1360="RA")=TRUE,EXP(VLOOKUP(D1360,'Species Codes'!B:I,8,0)+VLOOKUP(D1360,'Species Codes'!B:J,9,0)*(LN((E1360*2.54)))),IF(OR(D1360="PY",D1360="RC",D1360="WH",D1360="NF")=TRUE,VLOOKUP(D1360,'Species Codes'!B:I,8,0)+VLOOKUP(D1360,'Species Codes'!B:J,9,0)*((E1360*2.54)^2)*(I1360*0.3048),IF(OR(D1360="MD",D1360="BM",D1360="GA")=TRUE,((VLOOKUP(D1360,'Species Codes'!B:I,8,0)*(((((E1360*2.54)+VLOOKUP(D1360,'Species Codes'!B:J,9,0))/VLOOKUP(D1360,'Species Codes'!B:K,10,0))^VLOOKUP(D1360,'Species Codes'!B:L,11,0))*((I1360*0.3048)^VLOOKUP(D1360,'Species Codes'!B:M,12,0))))-(VLOOKUP(D1360,'Species Codes'!B:I,8,0)*((((E1360*2.54)^VLOOKUP(D1360,'Species Codes'!B:L,11,0))*((I1360*0.3048)^VLOOKUP(D1360,'Species Codes'!B:M,12,0))))))*35.3*VLOOKUP(D1360,'Species Codes'!B:G,6,0)/2.2046,VLOOKUP(D1360,'Species Codes'!B:I,8,0)+VLOOKUP(D1360,'Species Codes'!B:J,9,0)*(((E1360*2.54)/100)^2)*(I1360*0.3048)))))*0.0011023),0)</f>
        <v>#N/A</v>
      </c>
      <c r="AC1360" s="104" t="e">
        <f>IF(Z1360&gt;0,((IF(OR(D1360="RA",D1360="OA",D1360="OT",D1360="UN",D1360="PC"),EXP(VLOOKUP(D1360,'Species Codes'!B:O,14,0)+VLOOKUP(D1360,'Species Codes'!B:P,15,0)*LN((E1360*2.54)))-EXP(VLOOKUP(D1360,'Species Codes'!B:O,14,0)+VLOOKUP(D1360,'Species Codes'!B:P,15,0)*LN((E1360*2.54)))*(1/(VLOOKUP(D1360,'Species Codes'!B:Q,16,0)+VLOOKUP(D1360,'Species Codes'!B:R,17,0)*((E1360*2.54)^VLOOKUP(D1360,'Species Codes'!B:S,18,0)))),IF(OR(D1360="BM",D1360="MD",D1360="OA"),EXP(VLOOKUP(D1360,'Species Codes'!B:O,14,0)+VLOOKUP(D1360,'Species Codes'!B:P,15,0)*LN((E1360*2.54)))*(1-(1/(VLOOKUP(D1360,'Species Codes'!B:Q,16,0)+VLOOKUP(D1360,'Species Codes'!B:R,17,0)*((E1360*2.54)^VLOOKUP(D1360,'Species Codes'!B:S,18,0)))))/1000,IF(D1360="DF",EXP(VLOOKUP(D1360,'Species Codes'!B:O,14,0)+VLOOKUP(D1360,'Species Codes'!B:P,15,0)*LN((E1360*2.54))),VLOOKUP(D1360,'Species Codes'!B:O,14,0)+VLOOKUP(D1360,'Species Codes'!B:P,15,0)*(((E1360*2.54)/100)^2)*(I1360*0.3048)))))*0.0011023),0)</f>
        <v>#N/A</v>
      </c>
      <c r="AD1360" s="104" t="e">
        <f t="shared" si="598"/>
        <v>#N/A</v>
      </c>
      <c r="AE1360" s="104" t="e">
        <f t="shared" si="599"/>
        <v>#N/A</v>
      </c>
      <c r="AF1360" s="104" t="e">
        <f>IF(AND(VLOOKUP($D1360,Merchantability!$B:$C,2,0)="Yes",$E1360&gt;=VLOOKUP($D1360,Merchantability!$B:$D,3,0),$E1360&lt;=VLOOKUP($D1360,Merchantability!$B:$E,4,0)),AA1360,0)</f>
        <v>#N/A</v>
      </c>
      <c r="AG1360" s="104" t="e">
        <f>IF(AND(VLOOKUP($D1360,Merchantability!$B:$C,2,0)="Yes",$E1360&gt;=VLOOKUP($D1360,Merchantability!$B:$D,3,0),$E1360&lt;=VLOOKUP($D1360,Merchantability!$B:$E,4,0)),AB1360,0)</f>
        <v>#N/A</v>
      </c>
      <c r="AH1360" s="104" t="e">
        <f>IF(AND(VLOOKUP($D1360,Merchantability!$B:$C,2,0)="Yes",$E1360&gt;=VLOOKUP($D1360,Merchantability!$B:$D,3,0),$E1360&lt;=VLOOKUP($D1360,Merchantability!$B:$E,4,0)),AC1360,0)</f>
        <v>#N/A</v>
      </c>
      <c r="AI1360" s="104" t="e">
        <f t="shared" si="600"/>
        <v>#N/A</v>
      </c>
      <c r="AJ1360" s="104" t="e">
        <f t="shared" si="601"/>
        <v>#VALUE!</v>
      </c>
      <c r="AK1360" s="104" t="e">
        <f t="shared" si="602"/>
        <v>#N/A</v>
      </c>
      <c r="AL1360" s="104" t="e">
        <f t="shared" si="603"/>
        <v>#N/A</v>
      </c>
      <c r="AM1360" s="104" t="e">
        <f t="shared" si="604"/>
        <v>#N/A</v>
      </c>
      <c r="AN1360" s="104" t="e">
        <f t="shared" si="615"/>
        <v>#N/A</v>
      </c>
      <c r="AO1360" s="104" t="e">
        <f t="shared" si="616"/>
        <v>#N/A</v>
      </c>
      <c r="AP1360" s="104" t="e">
        <f t="shared" si="617"/>
        <v>#N/A</v>
      </c>
      <c r="AQ1360" s="104" t="e">
        <f t="shared" si="618"/>
        <v>#N/A</v>
      </c>
      <c r="AR1360" s="105" t="str">
        <f t="shared" si="610"/>
        <v/>
      </c>
      <c r="AS1360" s="105" t="str">
        <f t="shared" si="611"/>
        <v/>
      </c>
      <c r="AT1360" s="108" t="str">
        <f t="shared" si="612"/>
        <v/>
      </c>
      <c r="AU1360" s="108" t="str">
        <f t="shared" si="613"/>
        <v/>
      </c>
      <c r="AV1360" s="107" t="str">
        <f>IF(ISNUMBER(O1360),IF(VLOOKUP($A1360,Stand!C:J,8,FALSE)="Short",AT1360,AU1360),"")</f>
        <v/>
      </c>
      <c r="AW1360" s="109" t="str">
        <f t="shared" si="619"/>
        <v/>
      </c>
      <c r="AX1360" s="109" t="str">
        <f t="shared" si="620"/>
        <v/>
      </c>
      <c r="AY1360" s="112" t="str">
        <f>IF(ISNUMBER(O1360),IF(AND(VLOOKUP($D1360,Merchantability!$B:$C,2,0)="Yes",$E1360&gt;=VLOOKUP($D1360,Merchantability!$B:$D,3,0),$E1360&lt;=VLOOKUP($D1360,Merchantability!$B:$E,4,0)),(AV1360*O1360)*(1-$H1360/100),""),"")</f>
        <v/>
      </c>
      <c r="AZ1360" s="116"/>
      <c r="BA1360" s="116"/>
      <c r="BB1360" s="116"/>
      <c r="BE1360" s="62"/>
      <c r="BF1360" s="63"/>
    </row>
    <row r="1361" spans="1:58" ht="12.75" customHeight="1" x14ac:dyDescent="0.25">
      <c r="A1361" s="333"/>
      <c r="B1361" s="334"/>
      <c r="C1361" s="332"/>
      <c r="D1361" s="334"/>
      <c r="E1361" s="335"/>
      <c r="F1361" s="334"/>
      <c r="G1361" s="332"/>
      <c r="H1361" s="332"/>
      <c r="I1361" s="334"/>
      <c r="J1361" s="336"/>
      <c r="K1361" s="332"/>
      <c r="L1361" s="332"/>
      <c r="M1361" s="76"/>
      <c r="N1361" s="103" t="str">
        <f>IF(A1361="","",VLOOKUP(A1361,Stand!C:K,9,0))</f>
        <v/>
      </c>
      <c r="O1361" s="104" t="str">
        <f t="shared" si="605"/>
        <v/>
      </c>
      <c r="P1361" s="105" t="str">
        <f t="shared" si="606"/>
        <v/>
      </c>
      <c r="Q1361" s="105" t="str">
        <f t="shared" si="594"/>
        <v/>
      </c>
      <c r="R1361" s="103" t="str">
        <f t="shared" si="607"/>
        <v/>
      </c>
      <c r="S1361" s="103" t="str">
        <f t="shared" si="608"/>
        <v/>
      </c>
      <c r="T1361" s="106" t="str">
        <f t="shared" si="595"/>
        <v/>
      </c>
      <c r="U1361" s="106" t="str">
        <f t="shared" si="596"/>
        <v/>
      </c>
      <c r="V1361" s="106" t="str">
        <f t="shared" si="597"/>
        <v/>
      </c>
      <c r="W1361" s="105" t="str">
        <f t="shared" si="609"/>
        <v/>
      </c>
      <c r="X1361" s="104" t="str">
        <f t="shared" si="614"/>
        <v/>
      </c>
      <c r="Y1361" s="104" t="str">
        <f t="array" ref="Y1361">IFERROR(IF(ISNUMBER(O1361),IF(COUNT(IF(A1361=$A$2:$A$2427,IF(D1361=$D$2:$D$2427,IF($X$2:$X$2427&gt;0,1))))&gt;0,SUM(IF(A1361=$A$2:$A$2427,IF(D1361=$D$2:$D$2427,$X$2:$X$2427)))/COUNT(IF(A1361=$A$2:$A$2427,IF(D1361=$D$2:$D$2427,IF(ISNUMBER($X$2:$X$2427),1)))),0),""),0)</f>
        <v/>
      </c>
      <c r="Z1361" s="104" t="str">
        <f>IF(ISNUMBER(O1361),IF(I1361&gt;0,(10^(VLOOKUP(D1361,'Species Codes'!B:C,2,0)+VLOOKUP(D1361,'Species Codes'!B:D,3,0)*LOG(E1361)+VLOOKUP(D1361,'Species Codes'!B:E,4,0)*LOG(I1361))),0),"")</f>
        <v/>
      </c>
      <c r="AA1361" s="104" t="str">
        <f>IFERROR((VLOOKUP(D1361,'Species Codes'!B:G,6,0)*Z1361)/2000,"")</f>
        <v/>
      </c>
      <c r="AB1361" s="104" t="e">
        <f>IF(Z1361&gt;0,((IF(OR(D1361="DF",D1361="RA")=TRUE,EXP(VLOOKUP(D1361,'Species Codes'!B:I,8,0)+VLOOKUP(D1361,'Species Codes'!B:J,9,0)*(LN((E1361*2.54)))),IF(OR(D1361="PY",D1361="RC",D1361="WH",D1361="NF")=TRUE,VLOOKUP(D1361,'Species Codes'!B:I,8,0)+VLOOKUP(D1361,'Species Codes'!B:J,9,0)*((E1361*2.54)^2)*(I1361*0.3048),IF(OR(D1361="MD",D1361="BM",D1361="GA")=TRUE,((VLOOKUP(D1361,'Species Codes'!B:I,8,0)*(((((E1361*2.54)+VLOOKUP(D1361,'Species Codes'!B:J,9,0))/VLOOKUP(D1361,'Species Codes'!B:K,10,0))^VLOOKUP(D1361,'Species Codes'!B:L,11,0))*((I1361*0.3048)^VLOOKUP(D1361,'Species Codes'!B:M,12,0))))-(VLOOKUP(D1361,'Species Codes'!B:I,8,0)*((((E1361*2.54)^VLOOKUP(D1361,'Species Codes'!B:L,11,0))*((I1361*0.3048)^VLOOKUP(D1361,'Species Codes'!B:M,12,0))))))*35.3*VLOOKUP(D1361,'Species Codes'!B:G,6,0)/2.2046,VLOOKUP(D1361,'Species Codes'!B:I,8,0)+VLOOKUP(D1361,'Species Codes'!B:J,9,0)*(((E1361*2.54)/100)^2)*(I1361*0.3048)))))*0.0011023),0)</f>
        <v>#N/A</v>
      </c>
      <c r="AC1361" s="104" t="e">
        <f>IF(Z1361&gt;0,((IF(OR(D1361="RA",D1361="OA",D1361="OT",D1361="UN",D1361="PC"),EXP(VLOOKUP(D1361,'Species Codes'!B:O,14,0)+VLOOKUP(D1361,'Species Codes'!B:P,15,0)*LN((E1361*2.54)))-EXP(VLOOKUP(D1361,'Species Codes'!B:O,14,0)+VLOOKUP(D1361,'Species Codes'!B:P,15,0)*LN((E1361*2.54)))*(1/(VLOOKUP(D1361,'Species Codes'!B:Q,16,0)+VLOOKUP(D1361,'Species Codes'!B:R,17,0)*((E1361*2.54)^VLOOKUP(D1361,'Species Codes'!B:S,18,0)))),IF(OR(D1361="BM",D1361="MD",D1361="OA"),EXP(VLOOKUP(D1361,'Species Codes'!B:O,14,0)+VLOOKUP(D1361,'Species Codes'!B:P,15,0)*LN((E1361*2.54)))*(1-(1/(VLOOKUP(D1361,'Species Codes'!B:Q,16,0)+VLOOKUP(D1361,'Species Codes'!B:R,17,0)*((E1361*2.54)^VLOOKUP(D1361,'Species Codes'!B:S,18,0)))))/1000,IF(D1361="DF",EXP(VLOOKUP(D1361,'Species Codes'!B:O,14,0)+VLOOKUP(D1361,'Species Codes'!B:P,15,0)*LN((E1361*2.54))),VLOOKUP(D1361,'Species Codes'!B:O,14,0)+VLOOKUP(D1361,'Species Codes'!B:P,15,0)*(((E1361*2.54)/100)^2)*(I1361*0.3048)))))*0.0011023),0)</f>
        <v>#N/A</v>
      </c>
      <c r="AD1361" s="104" t="e">
        <f t="shared" si="598"/>
        <v>#N/A</v>
      </c>
      <c r="AE1361" s="104" t="e">
        <f t="shared" si="599"/>
        <v>#N/A</v>
      </c>
      <c r="AF1361" s="104" t="e">
        <f>IF(AND(VLOOKUP($D1361,Merchantability!$B:$C,2,0)="Yes",$E1361&gt;=VLOOKUP($D1361,Merchantability!$B:$D,3,0),$E1361&lt;=VLOOKUP($D1361,Merchantability!$B:$E,4,0)),AA1361,0)</f>
        <v>#N/A</v>
      </c>
      <c r="AG1361" s="104" t="e">
        <f>IF(AND(VLOOKUP($D1361,Merchantability!$B:$C,2,0)="Yes",$E1361&gt;=VLOOKUP($D1361,Merchantability!$B:$D,3,0),$E1361&lt;=VLOOKUP($D1361,Merchantability!$B:$E,4,0)),AB1361,0)</f>
        <v>#N/A</v>
      </c>
      <c r="AH1361" s="104" t="e">
        <f>IF(AND(VLOOKUP($D1361,Merchantability!$B:$C,2,0)="Yes",$E1361&gt;=VLOOKUP($D1361,Merchantability!$B:$D,3,0),$E1361&lt;=VLOOKUP($D1361,Merchantability!$B:$E,4,0)),AC1361,0)</f>
        <v>#N/A</v>
      </c>
      <c r="AI1361" s="104" t="e">
        <f t="shared" si="600"/>
        <v>#N/A</v>
      </c>
      <c r="AJ1361" s="104" t="e">
        <f t="shared" si="601"/>
        <v>#VALUE!</v>
      </c>
      <c r="AK1361" s="104" t="e">
        <f t="shared" si="602"/>
        <v>#N/A</v>
      </c>
      <c r="AL1361" s="104" t="e">
        <f t="shared" si="603"/>
        <v>#N/A</v>
      </c>
      <c r="AM1361" s="104" t="e">
        <f t="shared" si="604"/>
        <v>#N/A</v>
      </c>
      <c r="AN1361" s="104" t="e">
        <f t="shared" si="615"/>
        <v>#N/A</v>
      </c>
      <c r="AO1361" s="104" t="e">
        <f t="shared" si="616"/>
        <v>#N/A</v>
      </c>
      <c r="AP1361" s="104" t="e">
        <f t="shared" si="617"/>
        <v>#N/A</v>
      </c>
      <c r="AQ1361" s="104" t="e">
        <f t="shared" si="618"/>
        <v>#N/A</v>
      </c>
      <c r="AR1361" s="105" t="str">
        <f t="shared" si="610"/>
        <v/>
      </c>
      <c r="AS1361" s="105" t="str">
        <f t="shared" si="611"/>
        <v/>
      </c>
      <c r="AT1361" s="108" t="str">
        <f t="shared" si="612"/>
        <v/>
      </c>
      <c r="AU1361" s="108" t="str">
        <f t="shared" si="613"/>
        <v/>
      </c>
      <c r="AV1361" s="107" t="str">
        <f>IF(ISNUMBER(O1361),IF(VLOOKUP($A1361,Stand!C:J,8,FALSE)="Short",AT1361,AU1361),"")</f>
        <v/>
      </c>
      <c r="AW1361" s="109" t="str">
        <f t="shared" si="619"/>
        <v/>
      </c>
      <c r="AX1361" s="109" t="str">
        <f t="shared" si="620"/>
        <v/>
      </c>
      <c r="AY1361" s="112" t="str">
        <f>IF(ISNUMBER(O1361),IF(AND(VLOOKUP($D1361,Merchantability!$B:$C,2,0)="Yes",$E1361&gt;=VLOOKUP($D1361,Merchantability!$B:$D,3,0),$E1361&lt;=VLOOKUP($D1361,Merchantability!$B:$E,4,0)),(AV1361*O1361)*(1-$H1361/100),""),"")</f>
        <v/>
      </c>
      <c r="AZ1361" s="116"/>
      <c r="BA1361" s="116"/>
      <c r="BB1361" s="116"/>
      <c r="BE1361" s="62"/>
      <c r="BF1361" s="63"/>
    </row>
    <row r="1362" spans="1:58" ht="12.75" customHeight="1" x14ac:dyDescent="0.25">
      <c r="A1362" s="333"/>
      <c r="B1362" s="334"/>
      <c r="C1362" s="332"/>
      <c r="D1362" s="334"/>
      <c r="E1362" s="335"/>
      <c r="F1362" s="334"/>
      <c r="G1362" s="332"/>
      <c r="H1362" s="332"/>
      <c r="I1362" s="334"/>
      <c r="J1362" s="336"/>
      <c r="K1362" s="332"/>
      <c r="L1362" s="332"/>
      <c r="M1362" s="76"/>
      <c r="N1362" s="103" t="str">
        <f>IF(A1362="","",VLOOKUP(A1362,Stand!C:K,9,0))</f>
        <v/>
      </c>
      <c r="O1362" s="104" t="str">
        <f t="shared" si="605"/>
        <v/>
      </c>
      <c r="P1362" s="105" t="str">
        <f t="shared" si="606"/>
        <v/>
      </c>
      <c r="Q1362" s="105" t="str">
        <f t="shared" si="594"/>
        <v/>
      </c>
      <c r="R1362" s="103" t="str">
        <f t="shared" si="607"/>
        <v/>
      </c>
      <c r="S1362" s="103" t="str">
        <f t="shared" si="608"/>
        <v/>
      </c>
      <c r="T1362" s="106" t="str">
        <f t="shared" si="595"/>
        <v/>
      </c>
      <c r="U1362" s="106" t="str">
        <f t="shared" si="596"/>
        <v/>
      </c>
      <c r="V1362" s="106" t="str">
        <f t="shared" si="597"/>
        <v/>
      </c>
      <c r="W1362" s="105" t="str">
        <f t="shared" si="609"/>
        <v/>
      </c>
      <c r="X1362" s="104" t="str">
        <f t="shared" si="614"/>
        <v/>
      </c>
      <c r="Y1362" s="104" t="str">
        <f t="array" ref="Y1362">IFERROR(IF(ISNUMBER(O1362),IF(COUNT(IF(A1362=$A$2:$A$2427,IF(D1362=$D$2:$D$2427,IF($X$2:$X$2427&gt;0,1))))&gt;0,SUM(IF(A1362=$A$2:$A$2427,IF(D1362=$D$2:$D$2427,$X$2:$X$2427)))/COUNT(IF(A1362=$A$2:$A$2427,IF(D1362=$D$2:$D$2427,IF(ISNUMBER($X$2:$X$2427),1)))),0),""),0)</f>
        <v/>
      </c>
      <c r="Z1362" s="104" t="str">
        <f>IF(ISNUMBER(O1362),IF(I1362&gt;0,(10^(VLOOKUP(D1362,'Species Codes'!B:C,2,0)+VLOOKUP(D1362,'Species Codes'!B:D,3,0)*LOG(E1362)+VLOOKUP(D1362,'Species Codes'!B:E,4,0)*LOG(I1362))),0),"")</f>
        <v/>
      </c>
      <c r="AA1362" s="104" t="str">
        <f>IFERROR((VLOOKUP(D1362,'Species Codes'!B:G,6,0)*Z1362)/2000,"")</f>
        <v/>
      </c>
      <c r="AB1362" s="104" t="e">
        <f>IF(Z1362&gt;0,((IF(OR(D1362="DF",D1362="RA")=TRUE,EXP(VLOOKUP(D1362,'Species Codes'!B:I,8,0)+VLOOKUP(D1362,'Species Codes'!B:J,9,0)*(LN((E1362*2.54)))),IF(OR(D1362="PY",D1362="RC",D1362="WH",D1362="NF")=TRUE,VLOOKUP(D1362,'Species Codes'!B:I,8,0)+VLOOKUP(D1362,'Species Codes'!B:J,9,0)*((E1362*2.54)^2)*(I1362*0.3048),IF(OR(D1362="MD",D1362="BM",D1362="GA")=TRUE,((VLOOKUP(D1362,'Species Codes'!B:I,8,0)*(((((E1362*2.54)+VLOOKUP(D1362,'Species Codes'!B:J,9,0))/VLOOKUP(D1362,'Species Codes'!B:K,10,0))^VLOOKUP(D1362,'Species Codes'!B:L,11,0))*((I1362*0.3048)^VLOOKUP(D1362,'Species Codes'!B:M,12,0))))-(VLOOKUP(D1362,'Species Codes'!B:I,8,0)*((((E1362*2.54)^VLOOKUP(D1362,'Species Codes'!B:L,11,0))*((I1362*0.3048)^VLOOKUP(D1362,'Species Codes'!B:M,12,0))))))*35.3*VLOOKUP(D1362,'Species Codes'!B:G,6,0)/2.2046,VLOOKUP(D1362,'Species Codes'!B:I,8,0)+VLOOKUP(D1362,'Species Codes'!B:J,9,0)*(((E1362*2.54)/100)^2)*(I1362*0.3048)))))*0.0011023),0)</f>
        <v>#N/A</v>
      </c>
      <c r="AC1362" s="104" t="e">
        <f>IF(Z1362&gt;0,((IF(OR(D1362="RA",D1362="OA",D1362="OT",D1362="UN",D1362="PC"),EXP(VLOOKUP(D1362,'Species Codes'!B:O,14,0)+VLOOKUP(D1362,'Species Codes'!B:P,15,0)*LN((E1362*2.54)))-EXP(VLOOKUP(D1362,'Species Codes'!B:O,14,0)+VLOOKUP(D1362,'Species Codes'!B:P,15,0)*LN((E1362*2.54)))*(1/(VLOOKUP(D1362,'Species Codes'!B:Q,16,0)+VLOOKUP(D1362,'Species Codes'!B:R,17,0)*((E1362*2.54)^VLOOKUP(D1362,'Species Codes'!B:S,18,0)))),IF(OR(D1362="BM",D1362="MD",D1362="OA"),EXP(VLOOKUP(D1362,'Species Codes'!B:O,14,0)+VLOOKUP(D1362,'Species Codes'!B:P,15,0)*LN((E1362*2.54)))*(1-(1/(VLOOKUP(D1362,'Species Codes'!B:Q,16,0)+VLOOKUP(D1362,'Species Codes'!B:R,17,0)*((E1362*2.54)^VLOOKUP(D1362,'Species Codes'!B:S,18,0)))))/1000,IF(D1362="DF",EXP(VLOOKUP(D1362,'Species Codes'!B:O,14,0)+VLOOKUP(D1362,'Species Codes'!B:P,15,0)*LN((E1362*2.54))),VLOOKUP(D1362,'Species Codes'!B:O,14,0)+VLOOKUP(D1362,'Species Codes'!B:P,15,0)*(((E1362*2.54)/100)^2)*(I1362*0.3048)))))*0.0011023),0)</f>
        <v>#N/A</v>
      </c>
      <c r="AD1362" s="104" t="e">
        <f t="shared" si="598"/>
        <v>#N/A</v>
      </c>
      <c r="AE1362" s="104" t="e">
        <f t="shared" si="599"/>
        <v>#N/A</v>
      </c>
      <c r="AF1362" s="104" t="e">
        <f>IF(AND(VLOOKUP($D1362,Merchantability!$B:$C,2,0)="Yes",$E1362&gt;=VLOOKUP($D1362,Merchantability!$B:$D,3,0),$E1362&lt;=VLOOKUP($D1362,Merchantability!$B:$E,4,0)),AA1362,0)</f>
        <v>#N/A</v>
      </c>
      <c r="AG1362" s="104" t="e">
        <f>IF(AND(VLOOKUP($D1362,Merchantability!$B:$C,2,0)="Yes",$E1362&gt;=VLOOKUP($D1362,Merchantability!$B:$D,3,0),$E1362&lt;=VLOOKUP($D1362,Merchantability!$B:$E,4,0)),AB1362,0)</f>
        <v>#N/A</v>
      </c>
      <c r="AH1362" s="104" t="e">
        <f>IF(AND(VLOOKUP($D1362,Merchantability!$B:$C,2,0)="Yes",$E1362&gt;=VLOOKUP($D1362,Merchantability!$B:$D,3,0),$E1362&lt;=VLOOKUP($D1362,Merchantability!$B:$E,4,0)),AC1362,0)</f>
        <v>#N/A</v>
      </c>
      <c r="AI1362" s="104" t="e">
        <f t="shared" si="600"/>
        <v>#N/A</v>
      </c>
      <c r="AJ1362" s="104" t="e">
        <f t="shared" si="601"/>
        <v>#VALUE!</v>
      </c>
      <c r="AK1362" s="104" t="e">
        <f t="shared" si="602"/>
        <v>#N/A</v>
      </c>
      <c r="AL1362" s="104" t="e">
        <f t="shared" si="603"/>
        <v>#N/A</v>
      </c>
      <c r="AM1362" s="104" t="e">
        <f t="shared" si="604"/>
        <v>#N/A</v>
      </c>
      <c r="AN1362" s="104" t="e">
        <f t="shared" si="615"/>
        <v>#N/A</v>
      </c>
      <c r="AO1362" s="104" t="e">
        <f t="shared" si="616"/>
        <v>#N/A</v>
      </c>
      <c r="AP1362" s="104" t="e">
        <f t="shared" si="617"/>
        <v>#N/A</v>
      </c>
      <c r="AQ1362" s="104" t="e">
        <f t="shared" si="618"/>
        <v>#N/A</v>
      </c>
      <c r="AR1362" s="105" t="str">
        <f t="shared" si="610"/>
        <v/>
      </c>
      <c r="AS1362" s="105" t="str">
        <f t="shared" si="611"/>
        <v/>
      </c>
      <c r="AT1362" s="108" t="str">
        <f t="shared" si="612"/>
        <v/>
      </c>
      <c r="AU1362" s="108" t="str">
        <f t="shared" si="613"/>
        <v/>
      </c>
      <c r="AV1362" s="107" t="str">
        <f>IF(ISNUMBER(O1362),IF(VLOOKUP($A1362,Stand!C:J,8,FALSE)="Short",AT1362,AU1362),"")</f>
        <v/>
      </c>
      <c r="AW1362" s="109" t="str">
        <f t="shared" si="619"/>
        <v/>
      </c>
      <c r="AX1362" s="109" t="str">
        <f t="shared" si="620"/>
        <v/>
      </c>
      <c r="AY1362" s="112" t="str">
        <f>IF(ISNUMBER(O1362),IF(AND(VLOOKUP($D1362,Merchantability!$B:$C,2,0)="Yes",$E1362&gt;=VLOOKUP($D1362,Merchantability!$B:$D,3,0),$E1362&lt;=VLOOKUP($D1362,Merchantability!$B:$E,4,0)),(AV1362*O1362)*(1-$H1362/100),""),"")</f>
        <v/>
      </c>
      <c r="AZ1362" s="116"/>
      <c r="BA1362" s="116"/>
      <c r="BB1362" s="116"/>
      <c r="BE1362" s="62"/>
      <c r="BF1362" s="63"/>
    </row>
    <row r="1363" spans="1:58" ht="12.75" customHeight="1" x14ac:dyDescent="0.25">
      <c r="A1363" s="333"/>
      <c r="B1363" s="334"/>
      <c r="C1363" s="332"/>
      <c r="D1363" s="334"/>
      <c r="E1363" s="335"/>
      <c r="F1363" s="334"/>
      <c r="G1363" s="332"/>
      <c r="H1363" s="332"/>
      <c r="I1363" s="334"/>
      <c r="J1363" s="336"/>
      <c r="K1363" s="332"/>
      <c r="L1363" s="332"/>
      <c r="M1363" s="76"/>
      <c r="N1363" s="103" t="str">
        <f>IF(A1363="","",VLOOKUP(A1363,Stand!C:K,9,0))</f>
        <v/>
      </c>
      <c r="O1363" s="104" t="str">
        <f t="shared" si="605"/>
        <v/>
      </c>
      <c r="P1363" s="105" t="str">
        <f t="shared" si="606"/>
        <v/>
      </c>
      <c r="Q1363" s="105" t="str">
        <f t="shared" si="594"/>
        <v/>
      </c>
      <c r="R1363" s="103" t="str">
        <f t="shared" si="607"/>
        <v/>
      </c>
      <c r="S1363" s="103" t="str">
        <f t="shared" si="608"/>
        <v/>
      </c>
      <c r="T1363" s="106" t="str">
        <f t="shared" si="595"/>
        <v/>
      </c>
      <c r="U1363" s="106" t="str">
        <f t="shared" si="596"/>
        <v/>
      </c>
      <c r="V1363" s="106" t="str">
        <f t="shared" si="597"/>
        <v/>
      </c>
      <c r="W1363" s="105" t="str">
        <f t="shared" si="609"/>
        <v/>
      </c>
      <c r="X1363" s="104" t="str">
        <f t="shared" si="614"/>
        <v/>
      </c>
      <c r="Y1363" s="104" t="str">
        <f t="array" ref="Y1363">IFERROR(IF(ISNUMBER(O1363),IF(COUNT(IF(A1363=$A$2:$A$2427,IF(D1363=$D$2:$D$2427,IF($X$2:$X$2427&gt;0,1))))&gt;0,SUM(IF(A1363=$A$2:$A$2427,IF(D1363=$D$2:$D$2427,$X$2:$X$2427)))/COUNT(IF(A1363=$A$2:$A$2427,IF(D1363=$D$2:$D$2427,IF(ISNUMBER($X$2:$X$2427),1)))),0),""),0)</f>
        <v/>
      </c>
      <c r="Z1363" s="104" t="str">
        <f>IF(ISNUMBER(O1363),IF(I1363&gt;0,(10^(VLOOKUP(D1363,'Species Codes'!B:C,2,0)+VLOOKUP(D1363,'Species Codes'!B:D,3,0)*LOG(E1363)+VLOOKUP(D1363,'Species Codes'!B:E,4,0)*LOG(I1363))),0),"")</f>
        <v/>
      </c>
      <c r="AA1363" s="104" t="str">
        <f>IFERROR((VLOOKUP(D1363,'Species Codes'!B:G,6,0)*Z1363)/2000,"")</f>
        <v/>
      </c>
      <c r="AB1363" s="104" t="e">
        <f>IF(Z1363&gt;0,((IF(OR(D1363="DF",D1363="RA")=TRUE,EXP(VLOOKUP(D1363,'Species Codes'!B:I,8,0)+VLOOKUP(D1363,'Species Codes'!B:J,9,0)*(LN((E1363*2.54)))),IF(OR(D1363="PY",D1363="RC",D1363="WH",D1363="NF")=TRUE,VLOOKUP(D1363,'Species Codes'!B:I,8,0)+VLOOKUP(D1363,'Species Codes'!B:J,9,0)*((E1363*2.54)^2)*(I1363*0.3048),IF(OR(D1363="MD",D1363="BM",D1363="GA")=TRUE,((VLOOKUP(D1363,'Species Codes'!B:I,8,0)*(((((E1363*2.54)+VLOOKUP(D1363,'Species Codes'!B:J,9,0))/VLOOKUP(D1363,'Species Codes'!B:K,10,0))^VLOOKUP(D1363,'Species Codes'!B:L,11,0))*((I1363*0.3048)^VLOOKUP(D1363,'Species Codes'!B:M,12,0))))-(VLOOKUP(D1363,'Species Codes'!B:I,8,0)*((((E1363*2.54)^VLOOKUP(D1363,'Species Codes'!B:L,11,0))*((I1363*0.3048)^VLOOKUP(D1363,'Species Codes'!B:M,12,0))))))*35.3*VLOOKUP(D1363,'Species Codes'!B:G,6,0)/2.2046,VLOOKUP(D1363,'Species Codes'!B:I,8,0)+VLOOKUP(D1363,'Species Codes'!B:J,9,0)*(((E1363*2.54)/100)^2)*(I1363*0.3048)))))*0.0011023),0)</f>
        <v>#N/A</v>
      </c>
      <c r="AC1363" s="104" t="e">
        <f>IF(Z1363&gt;0,((IF(OR(D1363="RA",D1363="OA",D1363="OT",D1363="UN",D1363="PC"),EXP(VLOOKUP(D1363,'Species Codes'!B:O,14,0)+VLOOKUP(D1363,'Species Codes'!B:P,15,0)*LN((E1363*2.54)))-EXP(VLOOKUP(D1363,'Species Codes'!B:O,14,0)+VLOOKUP(D1363,'Species Codes'!B:P,15,0)*LN((E1363*2.54)))*(1/(VLOOKUP(D1363,'Species Codes'!B:Q,16,0)+VLOOKUP(D1363,'Species Codes'!B:R,17,0)*((E1363*2.54)^VLOOKUP(D1363,'Species Codes'!B:S,18,0)))),IF(OR(D1363="BM",D1363="MD",D1363="OA"),EXP(VLOOKUP(D1363,'Species Codes'!B:O,14,0)+VLOOKUP(D1363,'Species Codes'!B:P,15,0)*LN((E1363*2.54)))*(1-(1/(VLOOKUP(D1363,'Species Codes'!B:Q,16,0)+VLOOKUP(D1363,'Species Codes'!B:R,17,0)*((E1363*2.54)^VLOOKUP(D1363,'Species Codes'!B:S,18,0)))))/1000,IF(D1363="DF",EXP(VLOOKUP(D1363,'Species Codes'!B:O,14,0)+VLOOKUP(D1363,'Species Codes'!B:P,15,0)*LN((E1363*2.54))),VLOOKUP(D1363,'Species Codes'!B:O,14,0)+VLOOKUP(D1363,'Species Codes'!B:P,15,0)*(((E1363*2.54)/100)^2)*(I1363*0.3048)))))*0.0011023),0)</f>
        <v>#N/A</v>
      </c>
      <c r="AD1363" s="104" t="e">
        <f t="shared" si="598"/>
        <v>#N/A</v>
      </c>
      <c r="AE1363" s="104" t="e">
        <f t="shared" si="599"/>
        <v>#N/A</v>
      </c>
      <c r="AF1363" s="104" t="e">
        <f>IF(AND(VLOOKUP($D1363,Merchantability!$B:$C,2,0)="Yes",$E1363&gt;=VLOOKUP($D1363,Merchantability!$B:$D,3,0),$E1363&lt;=VLOOKUP($D1363,Merchantability!$B:$E,4,0)),AA1363,0)</f>
        <v>#N/A</v>
      </c>
      <c r="AG1363" s="104" t="e">
        <f>IF(AND(VLOOKUP($D1363,Merchantability!$B:$C,2,0)="Yes",$E1363&gt;=VLOOKUP($D1363,Merchantability!$B:$D,3,0),$E1363&lt;=VLOOKUP($D1363,Merchantability!$B:$E,4,0)),AB1363,0)</f>
        <v>#N/A</v>
      </c>
      <c r="AH1363" s="104" t="e">
        <f>IF(AND(VLOOKUP($D1363,Merchantability!$B:$C,2,0)="Yes",$E1363&gt;=VLOOKUP($D1363,Merchantability!$B:$D,3,0),$E1363&lt;=VLOOKUP($D1363,Merchantability!$B:$E,4,0)),AC1363,0)</f>
        <v>#N/A</v>
      </c>
      <c r="AI1363" s="104" t="e">
        <f t="shared" si="600"/>
        <v>#N/A</v>
      </c>
      <c r="AJ1363" s="104" t="e">
        <f t="shared" si="601"/>
        <v>#VALUE!</v>
      </c>
      <c r="AK1363" s="104" t="e">
        <f t="shared" si="602"/>
        <v>#N/A</v>
      </c>
      <c r="AL1363" s="104" t="e">
        <f t="shared" si="603"/>
        <v>#N/A</v>
      </c>
      <c r="AM1363" s="104" t="e">
        <f t="shared" si="604"/>
        <v>#N/A</v>
      </c>
      <c r="AN1363" s="104" t="e">
        <f t="shared" si="615"/>
        <v>#N/A</v>
      </c>
      <c r="AO1363" s="104" t="e">
        <f t="shared" si="616"/>
        <v>#N/A</v>
      </c>
      <c r="AP1363" s="104" t="e">
        <f t="shared" si="617"/>
        <v>#N/A</v>
      </c>
      <c r="AQ1363" s="104" t="e">
        <f t="shared" si="618"/>
        <v>#N/A</v>
      </c>
      <c r="AR1363" s="105" t="str">
        <f t="shared" si="610"/>
        <v/>
      </c>
      <c r="AS1363" s="105" t="str">
        <f t="shared" si="611"/>
        <v/>
      </c>
      <c r="AT1363" s="108" t="str">
        <f t="shared" si="612"/>
        <v/>
      </c>
      <c r="AU1363" s="108" t="str">
        <f t="shared" si="613"/>
        <v/>
      </c>
      <c r="AV1363" s="107" t="str">
        <f>IF(ISNUMBER(O1363),IF(VLOOKUP($A1363,Stand!C:J,8,FALSE)="Short",AT1363,AU1363),"")</f>
        <v/>
      </c>
      <c r="AW1363" s="109" t="str">
        <f t="shared" si="619"/>
        <v/>
      </c>
      <c r="AX1363" s="109" t="str">
        <f t="shared" si="620"/>
        <v/>
      </c>
      <c r="AY1363" s="112" t="str">
        <f>IF(ISNUMBER(O1363),IF(AND(VLOOKUP($D1363,Merchantability!$B:$C,2,0)="Yes",$E1363&gt;=VLOOKUP($D1363,Merchantability!$B:$D,3,0),$E1363&lt;=VLOOKUP($D1363,Merchantability!$B:$E,4,0)),(AV1363*O1363)*(1-$H1363/100),""),"")</f>
        <v/>
      </c>
      <c r="AZ1363" s="116"/>
      <c r="BA1363" s="116"/>
      <c r="BB1363" s="116"/>
      <c r="BE1363" s="62"/>
      <c r="BF1363" s="63"/>
    </row>
    <row r="1364" spans="1:58" ht="12.75" customHeight="1" x14ac:dyDescent="0.25">
      <c r="A1364" s="333"/>
      <c r="B1364" s="334"/>
      <c r="C1364" s="332"/>
      <c r="D1364" s="334"/>
      <c r="E1364" s="335"/>
      <c r="F1364" s="334"/>
      <c r="G1364" s="332"/>
      <c r="H1364" s="332"/>
      <c r="I1364" s="334"/>
      <c r="J1364" s="336"/>
      <c r="K1364" s="332"/>
      <c r="L1364" s="332"/>
      <c r="M1364" s="76"/>
      <c r="N1364" s="103" t="str">
        <f>IF(A1364="","",VLOOKUP(A1364,Stand!C:K,9,0))</f>
        <v/>
      </c>
      <c r="O1364" s="104" t="str">
        <f t="shared" si="605"/>
        <v/>
      </c>
      <c r="P1364" s="105" t="str">
        <f t="shared" si="606"/>
        <v/>
      </c>
      <c r="Q1364" s="105" t="str">
        <f t="shared" si="594"/>
        <v/>
      </c>
      <c r="R1364" s="103" t="str">
        <f t="shared" si="607"/>
        <v/>
      </c>
      <c r="S1364" s="103" t="str">
        <f t="shared" si="608"/>
        <v/>
      </c>
      <c r="T1364" s="106" t="str">
        <f t="shared" si="595"/>
        <v/>
      </c>
      <c r="U1364" s="106" t="str">
        <f t="shared" si="596"/>
        <v/>
      </c>
      <c r="V1364" s="106" t="str">
        <f t="shared" si="597"/>
        <v/>
      </c>
      <c r="W1364" s="105" t="str">
        <f t="shared" si="609"/>
        <v/>
      </c>
      <c r="X1364" s="104" t="str">
        <f t="shared" si="614"/>
        <v/>
      </c>
      <c r="Y1364" s="104" t="str">
        <f t="array" ref="Y1364">IFERROR(IF(ISNUMBER(O1364),IF(COUNT(IF(A1364=$A$2:$A$2427,IF(D1364=$D$2:$D$2427,IF($X$2:$X$2427&gt;0,1))))&gt;0,SUM(IF(A1364=$A$2:$A$2427,IF(D1364=$D$2:$D$2427,$X$2:$X$2427)))/COUNT(IF(A1364=$A$2:$A$2427,IF(D1364=$D$2:$D$2427,IF(ISNUMBER($X$2:$X$2427),1)))),0),""),0)</f>
        <v/>
      </c>
      <c r="Z1364" s="104" t="str">
        <f>IF(ISNUMBER(O1364),IF(I1364&gt;0,(10^(VLOOKUP(D1364,'Species Codes'!B:C,2,0)+VLOOKUP(D1364,'Species Codes'!B:D,3,0)*LOG(E1364)+VLOOKUP(D1364,'Species Codes'!B:E,4,0)*LOG(I1364))),0),"")</f>
        <v/>
      </c>
      <c r="AA1364" s="104" t="str">
        <f>IFERROR((VLOOKUP(D1364,'Species Codes'!B:G,6,0)*Z1364)/2000,"")</f>
        <v/>
      </c>
      <c r="AB1364" s="104" t="e">
        <f>IF(Z1364&gt;0,((IF(OR(D1364="DF",D1364="RA")=TRUE,EXP(VLOOKUP(D1364,'Species Codes'!B:I,8,0)+VLOOKUP(D1364,'Species Codes'!B:J,9,0)*(LN((E1364*2.54)))),IF(OR(D1364="PY",D1364="RC",D1364="WH",D1364="NF")=TRUE,VLOOKUP(D1364,'Species Codes'!B:I,8,0)+VLOOKUP(D1364,'Species Codes'!B:J,9,0)*((E1364*2.54)^2)*(I1364*0.3048),IF(OR(D1364="MD",D1364="BM",D1364="GA")=TRUE,((VLOOKUP(D1364,'Species Codes'!B:I,8,0)*(((((E1364*2.54)+VLOOKUP(D1364,'Species Codes'!B:J,9,0))/VLOOKUP(D1364,'Species Codes'!B:K,10,0))^VLOOKUP(D1364,'Species Codes'!B:L,11,0))*((I1364*0.3048)^VLOOKUP(D1364,'Species Codes'!B:M,12,0))))-(VLOOKUP(D1364,'Species Codes'!B:I,8,0)*((((E1364*2.54)^VLOOKUP(D1364,'Species Codes'!B:L,11,0))*((I1364*0.3048)^VLOOKUP(D1364,'Species Codes'!B:M,12,0))))))*35.3*VLOOKUP(D1364,'Species Codes'!B:G,6,0)/2.2046,VLOOKUP(D1364,'Species Codes'!B:I,8,0)+VLOOKUP(D1364,'Species Codes'!B:J,9,0)*(((E1364*2.54)/100)^2)*(I1364*0.3048)))))*0.0011023),0)</f>
        <v>#N/A</v>
      </c>
      <c r="AC1364" s="104" t="e">
        <f>IF(Z1364&gt;0,((IF(OR(D1364="RA",D1364="OA",D1364="OT",D1364="UN",D1364="PC"),EXP(VLOOKUP(D1364,'Species Codes'!B:O,14,0)+VLOOKUP(D1364,'Species Codes'!B:P,15,0)*LN((E1364*2.54)))-EXP(VLOOKUP(D1364,'Species Codes'!B:O,14,0)+VLOOKUP(D1364,'Species Codes'!B:P,15,0)*LN((E1364*2.54)))*(1/(VLOOKUP(D1364,'Species Codes'!B:Q,16,0)+VLOOKUP(D1364,'Species Codes'!B:R,17,0)*((E1364*2.54)^VLOOKUP(D1364,'Species Codes'!B:S,18,0)))),IF(OR(D1364="BM",D1364="MD",D1364="OA"),EXP(VLOOKUP(D1364,'Species Codes'!B:O,14,0)+VLOOKUP(D1364,'Species Codes'!B:P,15,0)*LN((E1364*2.54)))*(1-(1/(VLOOKUP(D1364,'Species Codes'!B:Q,16,0)+VLOOKUP(D1364,'Species Codes'!B:R,17,0)*((E1364*2.54)^VLOOKUP(D1364,'Species Codes'!B:S,18,0)))))/1000,IF(D1364="DF",EXP(VLOOKUP(D1364,'Species Codes'!B:O,14,0)+VLOOKUP(D1364,'Species Codes'!B:P,15,0)*LN((E1364*2.54))),VLOOKUP(D1364,'Species Codes'!B:O,14,0)+VLOOKUP(D1364,'Species Codes'!B:P,15,0)*(((E1364*2.54)/100)^2)*(I1364*0.3048)))))*0.0011023),0)</f>
        <v>#N/A</v>
      </c>
      <c r="AD1364" s="104" t="e">
        <f t="shared" si="598"/>
        <v>#N/A</v>
      </c>
      <c r="AE1364" s="104" t="e">
        <f t="shared" si="599"/>
        <v>#N/A</v>
      </c>
      <c r="AF1364" s="104" t="e">
        <f>IF(AND(VLOOKUP($D1364,Merchantability!$B:$C,2,0)="Yes",$E1364&gt;=VLOOKUP($D1364,Merchantability!$B:$D,3,0),$E1364&lt;=VLOOKUP($D1364,Merchantability!$B:$E,4,0)),AA1364,0)</f>
        <v>#N/A</v>
      </c>
      <c r="AG1364" s="104" t="e">
        <f>IF(AND(VLOOKUP($D1364,Merchantability!$B:$C,2,0)="Yes",$E1364&gt;=VLOOKUP($D1364,Merchantability!$B:$D,3,0),$E1364&lt;=VLOOKUP($D1364,Merchantability!$B:$E,4,0)),AB1364,0)</f>
        <v>#N/A</v>
      </c>
      <c r="AH1364" s="104" t="e">
        <f>IF(AND(VLOOKUP($D1364,Merchantability!$B:$C,2,0)="Yes",$E1364&gt;=VLOOKUP($D1364,Merchantability!$B:$D,3,0),$E1364&lt;=VLOOKUP($D1364,Merchantability!$B:$E,4,0)),AC1364,0)</f>
        <v>#N/A</v>
      </c>
      <c r="AI1364" s="104" t="e">
        <f t="shared" si="600"/>
        <v>#N/A</v>
      </c>
      <c r="AJ1364" s="104" t="e">
        <f t="shared" si="601"/>
        <v>#VALUE!</v>
      </c>
      <c r="AK1364" s="104" t="e">
        <f t="shared" si="602"/>
        <v>#N/A</v>
      </c>
      <c r="AL1364" s="104" t="e">
        <f t="shared" si="603"/>
        <v>#N/A</v>
      </c>
      <c r="AM1364" s="104" t="e">
        <f t="shared" si="604"/>
        <v>#N/A</v>
      </c>
      <c r="AN1364" s="104" t="e">
        <f t="shared" si="615"/>
        <v>#N/A</v>
      </c>
      <c r="AO1364" s="104" t="e">
        <f t="shared" si="616"/>
        <v>#N/A</v>
      </c>
      <c r="AP1364" s="104" t="e">
        <f t="shared" si="617"/>
        <v>#N/A</v>
      </c>
      <c r="AQ1364" s="104" t="e">
        <f t="shared" si="618"/>
        <v>#N/A</v>
      </c>
      <c r="AR1364" s="105" t="str">
        <f t="shared" si="610"/>
        <v/>
      </c>
      <c r="AS1364" s="105" t="str">
        <f t="shared" si="611"/>
        <v/>
      </c>
      <c r="AT1364" s="108" t="str">
        <f t="shared" si="612"/>
        <v/>
      </c>
      <c r="AU1364" s="108" t="str">
        <f t="shared" si="613"/>
        <v/>
      </c>
      <c r="AV1364" s="107" t="str">
        <f>IF(ISNUMBER(O1364),IF(VLOOKUP($A1364,Stand!C:J,8,FALSE)="Short",AT1364,AU1364),"")</f>
        <v/>
      </c>
      <c r="AW1364" s="109" t="str">
        <f t="shared" si="619"/>
        <v/>
      </c>
      <c r="AX1364" s="109" t="str">
        <f t="shared" si="620"/>
        <v/>
      </c>
      <c r="AY1364" s="112" t="str">
        <f>IF(ISNUMBER(O1364),IF(AND(VLOOKUP($D1364,Merchantability!$B:$C,2,0)="Yes",$E1364&gt;=VLOOKUP($D1364,Merchantability!$B:$D,3,0),$E1364&lt;=VLOOKUP($D1364,Merchantability!$B:$E,4,0)),(AV1364*O1364)*(1-$H1364/100),""),"")</f>
        <v/>
      </c>
      <c r="AZ1364" s="116"/>
      <c r="BA1364" s="116"/>
      <c r="BB1364" s="116"/>
      <c r="BE1364" s="62"/>
      <c r="BF1364" s="63"/>
    </row>
    <row r="1365" spans="1:58" ht="12.75" customHeight="1" x14ac:dyDescent="0.25">
      <c r="A1365" s="333"/>
      <c r="B1365" s="334"/>
      <c r="C1365" s="332"/>
      <c r="D1365" s="334"/>
      <c r="E1365" s="335"/>
      <c r="F1365" s="334"/>
      <c r="G1365" s="332"/>
      <c r="H1365" s="332"/>
      <c r="I1365" s="334"/>
      <c r="J1365" s="336"/>
      <c r="K1365" s="332"/>
      <c r="L1365" s="332"/>
      <c r="M1365" s="76"/>
      <c r="N1365" s="103" t="str">
        <f>IF(A1365="","",VLOOKUP(A1365,Stand!C:K,9,0))</f>
        <v/>
      </c>
      <c r="O1365" s="104" t="str">
        <f t="shared" si="605"/>
        <v/>
      </c>
      <c r="P1365" s="105" t="str">
        <f t="shared" si="606"/>
        <v/>
      </c>
      <c r="Q1365" s="105" t="str">
        <f t="shared" si="594"/>
        <v/>
      </c>
      <c r="R1365" s="103" t="str">
        <f t="shared" si="607"/>
        <v/>
      </c>
      <c r="S1365" s="103" t="str">
        <f t="shared" si="608"/>
        <v/>
      </c>
      <c r="T1365" s="106" t="str">
        <f t="shared" si="595"/>
        <v/>
      </c>
      <c r="U1365" s="106" t="str">
        <f t="shared" si="596"/>
        <v/>
      </c>
      <c r="V1365" s="106" t="str">
        <f t="shared" si="597"/>
        <v/>
      </c>
      <c r="W1365" s="105" t="str">
        <f t="shared" si="609"/>
        <v/>
      </c>
      <c r="X1365" s="104" t="str">
        <f t="shared" si="614"/>
        <v/>
      </c>
      <c r="Y1365" s="104" t="str">
        <f t="array" ref="Y1365">IFERROR(IF(ISNUMBER(O1365),IF(COUNT(IF(A1365=$A$2:$A$2427,IF(D1365=$D$2:$D$2427,IF($X$2:$X$2427&gt;0,1))))&gt;0,SUM(IF(A1365=$A$2:$A$2427,IF(D1365=$D$2:$D$2427,$X$2:$X$2427)))/COUNT(IF(A1365=$A$2:$A$2427,IF(D1365=$D$2:$D$2427,IF(ISNUMBER($X$2:$X$2427),1)))),0),""),0)</f>
        <v/>
      </c>
      <c r="Z1365" s="104" t="str">
        <f>IF(ISNUMBER(O1365),IF(I1365&gt;0,(10^(VLOOKUP(D1365,'Species Codes'!B:C,2,0)+VLOOKUP(D1365,'Species Codes'!B:D,3,0)*LOG(E1365)+VLOOKUP(D1365,'Species Codes'!B:E,4,0)*LOG(I1365))),0),"")</f>
        <v/>
      </c>
      <c r="AA1365" s="104" t="str">
        <f>IFERROR((VLOOKUP(D1365,'Species Codes'!B:G,6,0)*Z1365)/2000,"")</f>
        <v/>
      </c>
      <c r="AB1365" s="104" t="e">
        <f>IF(Z1365&gt;0,((IF(OR(D1365="DF",D1365="RA")=TRUE,EXP(VLOOKUP(D1365,'Species Codes'!B:I,8,0)+VLOOKUP(D1365,'Species Codes'!B:J,9,0)*(LN((E1365*2.54)))),IF(OR(D1365="PY",D1365="RC",D1365="WH",D1365="NF")=TRUE,VLOOKUP(D1365,'Species Codes'!B:I,8,0)+VLOOKUP(D1365,'Species Codes'!B:J,9,0)*((E1365*2.54)^2)*(I1365*0.3048),IF(OR(D1365="MD",D1365="BM",D1365="GA")=TRUE,((VLOOKUP(D1365,'Species Codes'!B:I,8,0)*(((((E1365*2.54)+VLOOKUP(D1365,'Species Codes'!B:J,9,0))/VLOOKUP(D1365,'Species Codes'!B:K,10,0))^VLOOKUP(D1365,'Species Codes'!B:L,11,0))*((I1365*0.3048)^VLOOKUP(D1365,'Species Codes'!B:M,12,0))))-(VLOOKUP(D1365,'Species Codes'!B:I,8,0)*((((E1365*2.54)^VLOOKUP(D1365,'Species Codes'!B:L,11,0))*((I1365*0.3048)^VLOOKUP(D1365,'Species Codes'!B:M,12,0))))))*35.3*VLOOKUP(D1365,'Species Codes'!B:G,6,0)/2.2046,VLOOKUP(D1365,'Species Codes'!B:I,8,0)+VLOOKUP(D1365,'Species Codes'!B:J,9,0)*(((E1365*2.54)/100)^2)*(I1365*0.3048)))))*0.0011023),0)</f>
        <v>#N/A</v>
      </c>
      <c r="AC1365" s="104" t="e">
        <f>IF(Z1365&gt;0,((IF(OR(D1365="RA",D1365="OA",D1365="OT",D1365="UN",D1365="PC"),EXP(VLOOKUP(D1365,'Species Codes'!B:O,14,0)+VLOOKUP(D1365,'Species Codes'!B:P,15,0)*LN((E1365*2.54)))-EXP(VLOOKUP(D1365,'Species Codes'!B:O,14,0)+VLOOKUP(D1365,'Species Codes'!B:P,15,0)*LN((E1365*2.54)))*(1/(VLOOKUP(D1365,'Species Codes'!B:Q,16,0)+VLOOKUP(D1365,'Species Codes'!B:R,17,0)*((E1365*2.54)^VLOOKUP(D1365,'Species Codes'!B:S,18,0)))),IF(OR(D1365="BM",D1365="MD",D1365="OA"),EXP(VLOOKUP(D1365,'Species Codes'!B:O,14,0)+VLOOKUP(D1365,'Species Codes'!B:P,15,0)*LN((E1365*2.54)))*(1-(1/(VLOOKUP(D1365,'Species Codes'!B:Q,16,0)+VLOOKUP(D1365,'Species Codes'!B:R,17,0)*((E1365*2.54)^VLOOKUP(D1365,'Species Codes'!B:S,18,0)))))/1000,IF(D1365="DF",EXP(VLOOKUP(D1365,'Species Codes'!B:O,14,0)+VLOOKUP(D1365,'Species Codes'!B:P,15,0)*LN((E1365*2.54))),VLOOKUP(D1365,'Species Codes'!B:O,14,0)+VLOOKUP(D1365,'Species Codes'!B:P,15,0)*(((E1365*2.54)/100)^2)*(I1365*0.3048)))))*0.0011023),0)</f>
        <v>#N/A</v>
      </c>
      <c r="AD1365" s="104" t="e">
        <f t="shared" si="598"/>
        <v>#N/A</v>
      </c>
      <c r="AE1365" s="104" t="e">
        <f t="shared" si="599"/>
        <v>#N/A</v>
      </c>
      <c r="AF1365" s="104" t="e">
        <f>IF(AND(VLOOKUP($D1365,Merchantability!$B:$C,2,0)="Yes",$E1365&gt;=VLOOKUP($D1365,Merchantability!$B:$D,3,0),$E1365&lt;=VLOOKUP($D1365,Merchantability!$B:$E,4,0)),AA1365,0)</f>
        <v>#N/A</v>
      </c>
      <c r="AG1365" s="104" t="e">
        <f>IF(AND(VLOOKUP($D1365,Merchantability!$B:$C,2,0)="Yes",$E1365&gt;=VLOOKUP($D1365,Merchantability!$B:$D,3,0),$E1365&lt;=VLOOKUP($D1365,Merchantability!$B:$E,4,0)),AB1365,0)</f>
        <v>#N/A</v>
      </c>
      <c r="AH1365" s="104" t="e">
        <f>IF(AND(VLOOKUP($D1365,Merchantability!$B:$C,2,0)="Yes",$E1365&gt;=VLOOKUP($D1365,Merchantability!$B:$D,3,0),$E1365&lt;=VLOOKUP($D1365,Merchantability!$B:$E,4,0)),AC1365,0)</f>
        <v>#N/A</v>
      </c>
      <c r="AI1365" s="104" t="e">
        <f t="shared" si="600"/>
        <v>#N/A</v>
      </c>
      <c r="AJ1365" s="104" t="e">
        <f t="shared" si="601"/>
        <v>#VALUE!</v>
      </c>
      <c r="AK1365" s="104" t="e">
        <f t="shared" si="602"/>
        <v>#N/A</v>
      </c>
      <c r="AL1365" s="104" t="e">
        <f t="shared" si="603"/>
        <v>#N/A</v>
      </c>
      <c r="AM1365" s="104" t="e">
        <f t="shared" si="604"/>
        <v>#N/A</v>
      </c>
      <c r="AN1365" s="104" t="e">
        <f t="shared" si="615"/>
        <v>#N/A</v>
      </c>
      <c r="AO1365" s="104" t="e">
        <f t="shared" si="616"/>
        <v>#N/A</v>
      </c>
      <c r="AP1365" s="104" t="e">
        <f t="shared" si="617"/>
        <v>#N/A</v>
      </c>
      <c r="AQ1365" s="104" t="e">
        <f t="shared" si="618"/>
        <v>#N/A</v>
      </c>
      <c r="AR1365" s="105" t="str">
        <f t="shared" si="610"/>
        <v/>
      </c>
      <c r="AS1365" s="105" t="str">
        <f t="shared" si="611"/>
        <v/>
      </c>
      <c r="AT1365" s="108" t="str">
        <f t="shared" si="612"/>
        <v/>
      </c>
      <c r="AU1365" s="108" t="str">
        <f t="shared" si="613"/>
        <v/>
      </c>
      <c r="AV1365" s="107" t="str">
        <f>IF(ISNUMBER(O1365),IF(VLOOKUP($A1365,Stand!C:J,8,FALSE)="Short",AT1365,AU1365),"")</f>
        <v/>
      </c>
      <c r="AW1365" s="109" t="str">
        <f t="shared" si="619"/>
        <v/>
      </c>
      <c r="AX1365" s="109" t="str">
        <f t="shared" si="620"/>
        <v/>
      </c>
      <c r="AY1365" s="112" t="str">
        <f>IF(ISNUMBER(O1365),IF(AND(VLOOKUP($D1365,Merchantability!$B:$C,2,0)="Yes",$E1365&gt;=VLOOKUP($D1365,Merchantability!$B:$D,3,0),$E1365&lt;=VLOOKUP($D1365,Merchantability!$B:$E,4,0)),(AV1365*O1365)*(1-$H1365/100),""),"")</f>
        <v/>
      </c>
      <c r="AZ1365" s="116"/>
      <c r="BA1365" s="116"/>
      <c r="BB1365" s="116"/>
      <c r="BE1365" s="62"/>
      <c r="BF1365" s="63"/>
    </row>
    <row r="1366" spans="1:58" ht="12.75" customHeight="1" x14ac:dyDescent="0.25">
      <c r="A1366" s="333"/>
      <c r="B1366" s="334"/>
      <c r="C1366" s="332"/>
      <c r="D1366" s="334"/>
      <c r="E1366" s="335"/>
      <c r="F1366" s="334"/>
      <c r="G1366" s="332"/>
      <c r="H1366" s="332"/>
      <c r="I1366" s="334"/>
      <c r="J1366" s="336"/>
      <c r="K1366" s="332"/>
      <c r="L1366" s="332"/>
      <c r="M1366" s="76"/>
      <c r="N1366" s="103" t="str">
        <f>IF(A1366="","",VLOOKUP(A1366,Stand!C:K,9,0))</f>
        <v/>
      </c>
      <c r="O1366" s="104" t="str">
        <f t="shared" si="605"/>
        <v/>
      </c>
      <c r="P1366" s="105" t="str">
        <f t="shared" si="606"/>
        <v/>
      </c>
      <c r="Q1366" s="105" t="str">
        <f t="shared" si="594"/>
        <v/>
      </c>
      <c r="R1366" s="103" t="str">
        <f t="shared" si="607"/>
        <v/>
      </c>
      <c r="S1366" s="103" t="str">
        <f t="shared" si="608"/>
        <v/>
      </c>
      <c r="T1366" s="106" t="str">
        <f t="shared" si="595"/>
        <v/>
      </c>
      <c r="U1366" s="106" t="str">
        <f t="shared" si="596"/>
        <v/>
      </c>
      <c r="V1366" s="106" t="str">
        <f t="shared" si="597"/>
        <v/>
      </c>
      <c r="W1366" s="105" t="str">
        <f t="shared" si="609"/>
        <v/>
      </c>
      <c r="X1366" s="104" t="str">
        <f t="shared" si="614"/>
        <v/>
      </c>
      <c r="Y1366" s="104" t="str">
        <f t="array" ref="Y1366">IFERROR(IF(ISNUMBER(O1366),IF(COUNT(IF(A1366=$A$2:$A$2427,IF(D1366=$D$2:$D$2427,IF($X$2:$X$2427&gt;0,1))))&gt;0,SUM(IF(A1366=$A$2:$A$2427,IF(D1366=$D$2:$D$2427,$X$2:$X$2427)))/COUNT(IF(A1366=$A$2:$A$2427,IF(D1366=$D$2:$D$2427,IF(ISNUMBER($X$2:$X$2427),1)))),0),""),0)</f>
        <v/>
      </c>
      <c r="Z1366" s="104" t="str">
        <f>IF(ISNUMBER(O1366),IF(I1366&gt;0,(10^(VLOOKUP(D1366,'Species Codes'!B:C,2,0)+VLOOKUP(D1366,'Species Codes'!B:D,3,0)*LOG(E1366)+VLOOKUP(D1366,'Species Codes'!B:E,4,0)*LOG(I1366))),0),"")</f>
        <v/>
      </c>
      <c r="AA1366" s="104" t="str">
        <f>IFERROR((VLOOKUP(D1366,'Species Codes'!B:G,6,0)*Z1366)/2000,"")</f>
        <v/>
      </c>
      <c r="AB1366" s="104" t="e">
        <f>IF(Z1366&gt;0,((IF(OR(D1366="DF",D1366="RA")=TRUE,EXP(VLOOKUP(D1366,'Species Codes'!B:I,8,0)+VLOOKUP(D1366,'Species Codes'!B:J,9,0)*(LN((E1366*2.54)))),IF(OR(D1366="PY",D1366="RC",D1366="WH",D1366="NF")=TRUE,VLOOKUP(D1366,'Species Codes'!B:I,8,0)+VLOOKUP(D1366,'Species Codes'!B:J,9,0)*((E1366*2.54)^2)*(I1366*0.3048),IF(OR(D1366="MD",D1366="BM",D1366="GA")=TRUE,((VLOOKUP(D1366,'Species Codes'!B:I,8,0)*(((((E1366*2.54)+VLOOKUP(D1366,'Species Codes'!B:J,9,0))/VLOOKUP(D1366,'Species Codes'!B:K,10,0))^VLOOKUP(D1366,'Species Codes'!B:L,11,0))*((I1366*0.3048)^VLOOKUP(D1366,'Species Codes'!B:M,12,0))))-(VLOOKUP(D1366,'Species Codes'!B:I,8,0)*((((E1366*2.54)^VLOOKUP(D1366,'Species Codes'!B:L,11,0))*((I1366*0.3048)^VLOOKUP(D1366,'Species Codes'!B:M,12,0))))))*35.3*VLOOKUP(D1366,'Species Codes'!B:G,6,0)/2.2046,VLOOKUP(D1366,'Species Codes'!B:I,8,0)+VLOOKUP(D1366,'Species Codes'!B:J,9,0)*(((E1366*2.54)/100)^2)*(I1366*0.3048)))))*0.0011023),0)</f>
        <v>#N/A</v>
      </c>
      <c r="AC1366" s="104" t="e">
        <f>IF(Z1366&gt;0,((IF(OR(D1366="RA",D1366="OA",D1366="OT",D1366="UN",D1366="PC"),EXP(VLOOKUP(D1366,'Species Codes'!B:O,14,0)+VLOOKUP(D1366,'Species Codes'!B:P,15,0)*LN((E1366*2.54)))-EXP(VLOOKUP(D1366,'Species Codes'!B:O,14,0)+VLOOKUP(D1366,'Species Codes'!B:P,15,0)*LN((E1366*2.54)))*(1/(VLOOKUP(D1366,'Species Codes'!B:Q,16,0)+VLOOKUP(D1366,'Species Codes'!B:R,17,0)*((E1366*2.54)^VLOOKUP(D1366,'Species Codes'!B:S,18,0)))),IF(OR(D1366="BM",D1366="MD",D1366="OA"),EXP(VLOOKUP(D1366,'Species Codes'!B:O,14,0)+VLOOKUP(D1366,'Species Codes'!B:P,15,0)*LN((E1366*2.54)))*(1-(1/(VLOOKUP(D1366,'Species Codes'!B:Q,16,0)+VLOOKUP(D1366,'Species Codes'!B:R,17,0)*((E1366*2.54)^VLOOKUP(D1366,'Species Codes'!B:S,18,0)))))/1000,IF(D1366="DF",EXP(VLOOKUP(D1366,'Species Codes'!B:O,14,0)+VLOOKUP(D1366,'Species Codes'!B:P,15,0)*LN((E1366*2.54))),VLOOKUP(D1366,'Species Codes'!B:O,14,0)+VLOOKUP(D1366,'Species Codes'!B:P,15,0)*(((E1366*2.54)/100)^2)*(I1366*0.3048)))))*0.0011023),0)</f>
        <v>#N/A</v>
      </c>
      <c r="AD1366" s="104" t="e">
        <f t="shared" si="598"/>
        <v>#N/A</v>
      </c>
      <c r="AE1366" s="104" t="e">
        <f t="shared" si="599"/>
        <v>#N/A</v>
      </c>
      <c r="AF1366" s="104" t="e">
        <f>IF(AND(VLOOKUP($D1366,Merchantability!$B:$C,2,0)="Yes",$E1366&gt;=VLOOKUP($D1366,Merchantability!$B:$D,3,0),$E1366&lt;=VLOOKUP($D1366,Merchantability!$B:$E,4,0)),AA1366,0)</f>
        <v>#N/A</v>
      </c>
      <c r="AG1366" s="104" t="e">
        <f>IF(AND(VLOOKUP($D1366,Merchantability!$B:$C,2,0)="Yes",$E1366&gt;=VLOOKUP($D1366,Merchantability!$B:$D,3,0),$E1366&lt;=VLOOKUP($D1366,Merchantability!$B:$E,4,0)),AB1366,0)</f>
        <v>#N/A</v>
      </c>
      <c r="AH1366" s="104" t="e">
        <f>IF(AND(VLOOKUP($D1366,Merchantability!$B:$C,2,0)="Yes",$E1366&gt;=VLOOKUP($D1366,Merchantability!$B:$D,3,0),$E1366&lt;=VLOOKUP($D1366,Merchantability!$B:$E,4,0)),AC1366,0)</f>
        <v>#N/A</v>
      </c>
      <c r="AI1366" s="104" t="e">
        <f t="shared" si="600"/>
        <v>#N/A</v>
      </c>
      <c r="AJ1366" s="104" t="e">
        <f t="shared" si="601"/>
        <v>#VALUE!</v>
      </c>
      <c r="AK1366" s="104" t="e">
        <f t="shared" si="602"/>
        <v>#N/A</v>
      </c>
      <c r="AL1366" s="104" t="e">
        <f t="shared" si="603"/>
        <v>#N/A</v>
      </c>
      <c r="AM1366" s="104" t="e">
        <f t="shared" si="604"/>
        <v>#N/A</v>
      </c>
      <c r="AN1366" s="104" t="e">
        <f t="shared" si="615"/>
        <v>#N/A</v>
      </c>
      <c r="AO1366" s="104" t="e">
        <f t="shared" si="616"/>
        <v>#N/A</v>
      </c>
      <c r="AP1366" s="104" t="e">
        <f t="shared" si="617"/>
        <v>#N/A</v>
      </c>
      <c r="AQ1366" s="104" t="e">
        <f t="shared" si="618"/>
        <v>#N/A</v>
      </c>
      <c r="AR1366" s="105" t="str">
        <f t="shared" si="610"/>
        <v/>
      </c>
      <c r="AS1366" s="105" t="str">
        <f t="shared" si="611"/>
        <v/>
      </c>
      <c r="AT1366" s="108" t="str">
        <f t="shared" si="612"/>
        <v/>
      </c>
      <c r="AU1366" s="108" t="str">
        <f t="shared" si="613"/>
        <v/>
      </c>
      <c r="AV1366" s="107" t="str">
        <f>IF(ISNUMBER(O1366),IF(VLOOKUP($A1366,Stand!C:J,8,FALSE)="Short",AT1366,AU1366),"")</f>
        <v/>
      </c>
      <c r="AW1366" s="109" t="str">
        <f t="shared" si="619"/>
        <v/>
      </c>
      <c r="AX1366" s="109" t="str">
        <f t="shared" si="620"/>
        <v/>
      </c>
      <c r="AY1366" s="112" t="str">
        <f>IF(ISNUMBER(O1366),IF(AND(VLOOKUP($D1366,Merchantability!$B:$C,2,0)="Yes",$E1366&gt;=VLOOKUP($D1366,Merchantability!$B:$D,3,0),$E1366&lt;=VLOOKUP($D1366,Merchantability!$B:$E,4,0)),(AV1366*O1366)*(1-$H1366/100),""),"")</f>
        <v/>
      </c>
      <c r="AZ1366" s="116"/>
      <c r="BA1366" s="116"/>
      <c r="BB1366" s="116"/>
      <c r="BE1366" s="62"/>
      <c r="BF1366" s="63"/>
    </row>
    <row r="1367" spans="1:58" ht="12.75" customHeight="1" x14ac:dyDescent="0.25">
      <c r="A1367" s="333"/>
      <c r="B1367" s="334"/>
      <c r="C1367" s="332"/>
      <c r="D1367" s="334"/>
      <c r="E1367" s="335"/>
      <c r="F1367" s="334"/>
      <c r="G1367" s="332"/>
      <c r="H1367" s="332"/>
      <c r="I1367" s="334"/>
      <c r="J1367" s="336"/>
      <c r="K1367" s="332"/>
      <c r="L1367" s="332"/>
      <c r="M1367" s="76"/>
      <c r="N1367" s="103" t="str">
        <f>IF(A1367="","",VLOOKUP(A1367,Stand!C:K,9,0))</f>
        <v/>
      </c>
      <c r="O1367" s="104" t="str">
        <f t="shared" si="605"/>
        <v/>
      </c>
      <c r="P1367" s="105" t="str">
        <f t="shared" si="606"/>
        <v/>
      </c>
      <c r="Q1367" s="105" t="str">
        <f t="shared" si="594"/>
        <v/>
      </c>
      <c r="R1367" s="103" t="str">
        <f t="shared" si="607"/>
        <v/>
      </c>
      <c r="S1367" s="103" t="str">
        <f t="shared" si="608"/>
        <v/>
      </c>
      <c r="T1367" s="106" t="str">
        <f t="shared" si="595"/>
        <v/>
      </c>
      <c r="U1367" s="106" t="str">
        <f t="shared" si="596"/>
        <v/>
      </c>
      <c r="V1367" s="106" t="str">
        <f t="shared" si="597"/>
        <v/>
      </c>
      <c r="W1367" s="105" t="str">
        <f t="shared" si="609"/>
        <v/>
      </c>
      <c r="X1367" s="104" t="str">
        <f t="shared" si="614"/>
        <v/>
      </c>
      <c r="Y1367" s="104" t="str">
        <f t="array" ref="Y1367">IFERROR(IF(ISNUMBER(O1367),IF(COUNT(IF(A1367=$A$2:$A$2427,IF(D1367=$D$2:$D$2427,IF($X$2:$X$2427&gt;0,1))))&gt;0,SUM(IF(A1367=$A$2:$A$2427,IF(D1367=$D$2:$D$2427,$X$2:$X$2427)))/COUNT(IF(A1367=$A$2:$A$2427,IF(D1367=$D$2:$D$2427,IF(ISNUMBER($X$2:$X$2427),1)))),0),""),0)</f>
        <v/>
      </c>
      <c r="Z1367" s="104" t="str">
        <f>IF(ISNUMBER(O1367),IF(I1367&gt;0,(10^(VLOOKUP(D1367,'Species Codes'!B:C,2,0)+VLOOKUP(D1367,'Species Codes'!B:D,3,0)*LOG(E1367)+VLOOKUP(D1367,'Species Codes'!B:E,4,0)*LOG(I1367))),0),"")</f>
        <v/>
      </c>
      <c r="AA1367" s="104" t="str">
        <f>IFERROR((VLOOKUP(D1367,'Species Codes'!B:G,6,0)*Z1367)/2000,"")</f>
        <v/>
      </c>
      <c r="AB1367" s="104" t="e">
        <f>IF(Z1367&gt;0,((IF(OR(D1367="DF",D1367="RA")=TRUE,EXP(VLOOKUP(D1367,'Species Codes'!B:I,8,0)+VLOOKUP(D1367,'Species Codes'!B:J,9,0)*(LN((E1367*2.54)))),IF(OR(D1367="PY",D1367="RC",D1367="WH",D1367="NF")=TRUE,VLOOKUP(D1367,'Species Codes'!B:I,8,0)+VLOOKUP(D1367,'Species Codes'!B:J,9,0)*((E1367*2.54)^2)*(I1367*0.3048),IF(OR(D1367="MD",D1367="BM",D1367="GA")=TRUE,((VLOOKUP(D1367,'Species Codes'!B:I,8,0)*(((((E1367*2.54)+VLOOKUP(D1367,'Species Codes'!B:J,9,0))/VLOOKUP(D1367,'Species Codes'!B:K,10,0))^VLOOKUP(D1367,'Species Codes'!B:L,11,0))*((I1367*0.3048)^VLOOKUP(D1367,'Species Codes'!B:M,12,0))))-(VLOOKUP(D1367,'Species Codes'!B:I,8,0)*((((E1367*2.54)^VLOOKUP(D1367,'Species Codes'!B:L,11,0))*((I1367*0.3048)^VLOOKUP(D1367,'Species Codes'!B:M,12,0))))))*35.3*VLOOKUP(D1367,'Species Codes'!B:G,6,0)/2.2046,VLOOKUP(D1367,'Species Codes'!B:I,8,0)+VLOOKUP(D1367,'Species Codes'!B:J,9,0)*(((E1367*2.54)/100)^2)*(I1367*0.3048)))))*0.0011023),0)</f>
        <v>#N/A</v>
      </c>
      <c r="AC1367" s="104" t="e">
        <f>IF(Z1367&gt;0,((IF(OR(D1367="RA",D1367="OA",D1367="OT",D1367="UN",D1367="PC"),EXP(VLOOKUP(D1367,'Species Codes'!B:O,14,0)+VLOOKUP(D1367,'Species Codes'!B:P,15,0)*LN((E1367*2.54)))-EXP(VLOOKUP(D1367,'Species Codes'!B:O,14,0)+VLOOKUP(D1367,'Species Codes'!B:P,15,0)*LN((E1367*2.54)))*(1/(VLOOKUP(D1367,'Species Codes'!B:Q,16,0)+VLOOKUP(D1367,'Species Codes'!B:R,17,0)*((E1367*2.54)^VLOOKUP(D1367,'Species Codes'!B:S,18,0)))),IF(OR(D1367="BM",D1367="MD",D1367="OA"),EXP(VLOOKUP(D1367,'Species Codes'!B:O,14,0)+VLOOKUP(D1367,'Species Codes'!B:P,15,0)*LN((E1367*2.54)))*(1-(1/(VLOOKUP(D1367,'Species Codes'!B:Q,16,0)+VLOOKUP(D1367,'Species Codes'!B:R,17,0)*((E1367*2.54)^VLOOKUP(D1367,'Species Codes'!B:S,18,0)))))/1000,IF(D1367="DF",EXP(VLOOKUP(D1367,'Species Codes'!B:O,14,0)+VLOOKUP(D1367,'Species Codes'!B:P,15,0)*LN((E1367*2.54))),VLOOKUP(D1367,'Species Codes'!B:O,14,0)+VLOOKUP(D1367,'Species Codes'!B:P,15,0)*(((E1367*2.54)/100)^2)*(I1367*0.3048)))))*0.0011023),0)</f>
        <v>#N/A</v>
      </c>
      <c r="AD1367" s="104" t="e">
        <f t="shared" si="598"/>
        <v>#N/A</v>
      </c>
      <c r="AE1367" s="104" t="e">
        <f t="shared" si="599"/>
        <v>#N/A</v>
      </c>
      <c r="AF1367" s="104" t="e">
        <f>IF(AND(VLOOKUP($D1367,Merchantability!$B:$C,2,0)="Yes",$E1367&gt;=VLOOKUP($D1367,Merchantability!$B:$D,3,0),$E1367&lt;=VLOOKUP($D1367,Merchantability!$B:$E,4,0)),AA1367,0)</f>
        <v>#N/A</v>
      </c>
      <c r="AG1367" s="104" t="e">
        <f>IF(AND(VLOOKUP($D1367,Merchantability!$B:$C,2,0)="Yes",$E1367&gt;=VLOOKUP($D1367,Merchantability!$B:$D,3,0),$E1367&lt;=VLOOKUP($D1367,Merchantability!$B:$E,4,0)),AB1367,0)</f>
        <v>#N/A</v>
      </c>
      <c r="AH1367" s="104" t="e">
        <f>IF(AND(VLOOKUP($D1367,Merchantability!$B:$C,2,0)="Yes",$E1367&gt;=VLOOKUP($D1367,Merchantability!$B:$D,3,0),$E1367&lt;=VLOOKUP($D1367,Merchantability!$B:$E,4,0)),AC1367,0)</f>
        <v>#N/A</v>
      </c>
      <c r="AI1367" s="104" t="e">
        <f t="shared" si="600"/>
        <v>#N/A</v>
      </c>
      <c r="AJ1367" s="104" t="e">
        <f t="shared" si="601"/>
        <v>#VALUE!</v>
      </c>
      <c r="AK1367" s="104" t="e">
        <f t="shared" si="602"/>
        <v>#N/A</v>
      </c>
      <c r="AL1367" s="104" t="e">
        <f t="shared" si="603"/>
        <v>#N/A</v>
      </c>
      <c r="AM1367" s="104" t="e">
        <f t="shared" si="604"/>
        <v>#N/A</v>
      </c>
      <c r="AN1367" s="104" t="e">
        <f t="shared" si="615"/>
        <v>#N/A</v>
      </c>
      <c r="AO1367" s="104" t="e">
        <f t="shared" si="616"/>
        <v>#N/A</v>
      </c>
      <c r="AP1367" s="104" t="e">
        <f t="shared" si="617"/>
        <v>#N/A</v>
      </c>
      <c r="AQ1367" s="104" t="e">
        <f t="shared" si="618"/>
        <v>#N/A</v>
      </c>
      <c r="AR1367" s="105" t="str">
        <f t="shared" si="610"/>
        <v/>
      </c>
      <c r="AS1367" s="105" t="str">
        <f t="shared" si="611"/>
        <v/>
      </c>
      <c r="AT1367" s="108" t="str">
        <f t="shared" si="612"/>
        <v/>
      </c>
      <c r="AU1367" s="108" t="str">
        <f t="shared" si="613"/>
        <v/>
      </c>
      <c r="AV1367" s="107" t="str">
        <f>IF(ISNUMBER(O1367),IF(VLOOKUP($A1367,Stand!C:J,8,FALSE)="Short",AT1367,AU1367),"")</f>
        <v/>
      </c>
      <c r="AW1367" s="109" t="str">
        <f t="shared" si="619"/>
        <v/>
      </c>
      <c r="AX1367" s="109" t="str">
        <f t="shared" si="620"/>
        <v/>
      </c>
      <c r="AY1367" s="112" t="str">
        <f>IF(ISNUMBER(O1367),IF(AND(VLOOKUP($D1367,Merchantability!$B:$C,2,0)="Yes",$E1367&gt;=VLOOKUP($D1367,Merchantability!$B:$D,3,0),$E1367&lt;=VLOOKUP($D1367,Merchantability!$B:$E,4,0)),(AV1367*O1367)*(1-$H1367/100),""),"")</f>
        <v/>
      </c>
      <c r="AZ1367" s="116"/>
      <c r="BA1367" s="116"/>
      <c r="BB1367" s="116"/>
      <c r="BE1367" s="62"/>
      <c r="BF1367" s="63"/>
    </row>
    <row r="1368" spans="1:58" ht="12.75" customHeight="1" x14ac:dyDescent="0.25">
      <c r="A1368" s="333"/>
      <c r="B1368" s="334"/>
      <c r="C1368" s="332"/>
      <c r="D1368" s="334"/>
      <c r="E1368" s="335"/>
      <c r="F1368" s="334"/>
      <c r="G1368" s="332"/>
      <c r="H1368" s="332"/>
      <c r="I1368" s="334"/>
      <c r="J1368" s="336"/>
      <c r="K1368" s="332"/>
      <c r="L1368" s="332"/>
      <c r="M1368" s="76"/>
      <c r="N1368" s="103" t="str">
        <f>IF(A1368="","",VLOOKUP(A1368,Stand!C:K,9,0))</f>
        <v/>
      </c>
      <c r="O1368" s="104" t="str">
        <f t="shared" si="605"/>
        <v/>
      </c>
      <c r="P1368" s="105" t="str">
        <f t="shared" si="606"/>
        <v/>
      </c>
      <c r="Q1368" s="105" t="str">
        <f t="shared" si="594"/>
        <v/>
      </c>
      <c r="R1368" s="103" t="str">
        <f t="shared" si="607"/>
        <v/>
      </c>
      <c r="S1368" s="103" t="str">
        <f t="shared" si="608"/>
        <v/>
      </c>
      <c r="T1368" s="106" t="str">
        <f t="shared" si="595"/>
        <v/>
      </c>
      <c r="U1368" s="106" t="str">
        <f t="shared" si="596"/>
        <v/>
      </c>
      <c r="V1368" s="106" t="str">
        <f t="shared" si="597"/>
        <v/>
      </c>
      <c r="W1368" s="105" t="str">
        <f t="shared" si="609"/>
        <v/>
      </c>
      <c r="X1368" s="104" t="str">
        <f t="shared" si="614"/>
        <v/>
      </c>
      <c r="Y1368" s="104" t="str">
        <f t="array" ref="Y1368">IFERROR(IF(ISNUMBER(O1368),IF(COUNT(IF(A1368=$A$2:$A$2427,IF(D1368=$D$2:$D$2427,IF($X$2:$X$2427&gt;0,1))))&gt;0,SUM(IF(A1368=$A$2:$A$2427,IF(D1368=$D$2:$D$2427,$X$2:$X$2427)))/COUNT(IF(A1368=$A$2:$A$2427,IF(D1368=$D$2:$D$2427,IF(ISNUMBER($X$2:$X$2427),1)))),0),""),0)</f>
        <v/>
      </c>
      <c r="Z1368" s="104" t="str">
        <f>IF(ISNUMBER(O1368),IF(I1368&gt;0,(10^(VLOOKUP(D1368,'Species Codes'!B:C,2,0)+VLOOKUP(D1368,'Species Codes'!B:D,3,0)*LOG(E1368)+VLOOKUP(D1368,'Species Codes'!B:E,4,0)*LOG(I1368))),0),"")</f>
        <v/>
      </c>
      <c r="AA1368" s="104" t="str">
        <f>IFERROR((VLOOKUP(D1368,'Species Codes'!B:G,6,0)*Z1368)/2000,"")</f>
        <v/>
      </c>
      <c r="AB1368" s="104" t="e">
        <f>IF(Z1368&gt;0,((IF(OR(D1368="DF",D1368="RA")=TRUE,EXP(VLOOKUP(D1368,'Species Codes'!B:I,8,0)+VLOOKUP(D1368,'Species Codes'!B:J,9,0)*(LN((E1368*2.54)))),IF(OR(D1368="PY",D1368="RC",D1368="WH",D1368="NF")=TRUE,VLOOKUP(D1368,'Species Codes'!B:I,8,0)+VLOOKUP(D1368,'Species Codes'!B:J,9,0)*((E1368*2.54)^2)*(I1368*0.3048),IF(OR(D1368="MD",D1368="BM",D1368="GA")=TRUE,((VLOOKUP(D1368,'Species Codes'!B:I,8,0)*(((((E1368*2.54)+VLOOKUP(D1368,'Species Codes'!B:J,9,0))/VLOOKUP(D1368,'Species Codes'!B:K,10,0))^VLOOKUP(D1368,'Species Codes'!B:L,11,0))*((I1368*0.3048)^VLOOKUP(D1368,'Species Codes'!B:M,12,0))))-(VLOOKUP(D1368,'Species Codes'!B:I,8,0)*((((E1368*2.54)^VLOOKUP(D1368,'Species Codes'!B:L,11,0))*((I1368*0.3048)^VLOOKUP(D1368,'Species Codes'!B:M,12,0))))))*35.3*VLOOKUP(D1368,'Species Codes'!B:G,6,0)/2.2046,VLOOKUP(D1368,'Species Codes'!B:I,8,0)+VLOOKUP(D1368,'Species Codes'!B:J,9,0)*(((E1368*2.54)/100)^2)*(I1368*0.3048)))))*0.0011023),0)</f>
        <v>#N/A</v>
      </c>
      <c r="AC1368" s="104" t="e">
        <f>IF(Z1368&gt;0,((IF(OR(D1368="RA",D1368="OA",D1368="OT",D1368="UN",D1368="PC"),EXP(VLOOKUP(D1368,'Species Codes'!B:O,14,0)+VLOOKUP(D1368,'Species Codes'!B:P,15,0)*LN((E1368*2.54)))-EXP(VLOOKUP(D1368,'Species Codes'!B:O,14,0)+VLOOKUP(D1368,'Species Codes'!B:P,15,0)*LN((E1368*2.54)))*(1/(VLOOKUP(D1368,'Species Codes'!B:Q,16,0)+VLOOKUP(D1368,'Species Codes'!B:R,17,0)*((E1368*2.54)^VLOOKUP(D1368,'Species Codes'!B:S,18,0)))),IF(OR(D1368="BM",D1368="MD",D1368="OA"),EXP(VLOOKUP(D1368,'Species Codes'!B:O,14,0)+VLOOKUP(D1368,'Species Codes'!B:P,15,0)*LN((E1368*2.54)))*(1-(1/(VLOOKUP(D1368,'Species Codes'!B:Q,16,0)+VLOOKUP(D1368,'Species Codes'!B:R,17,0)*((E1368*2.54)^VLOOKUP(D1368,'Species Codes'!B:S,18,0)))))/1000,IF(D1368="DF",EXP(VLOOKUP(D1368,'Species Codes'!B:O,14,0)+VLOOKUP(D1368,'Species Codes'!B:P,15,0)*LN((E1368*2.54))),VLOOKUP(D1368,'Species Codes'!B:O,14,0)+VLOOKUP(D1368,'Species Codes'!B:P,15,0)*(((E1368*2.54)/100)^2)*(I1368*0.3048)))))*0.0011023),0)</f>
        <v>#N/A</v>
      </c>
      <c r="AD1368" s="104" t="e">
        <f t="shared" si="598"/>
        <v>#N/A</v>
      </c>
      <c r="AE1368" s="104" t="e">
        <f t="shared" si="599"/>
        <v>#N/A</v>
      </c>
      <c r="AF1368" s="104" t="e">
        <f>IF(AND(VLOOKUP($D1368,Merchantability!$B:$C,2,0)="Yes",$E1368&gt;=VLOOKUP($D1368,Merchantability!$B:$D,3,0),$E1368&lt;=VLOOKUP($D1368,Merchantability!$B:$E,4,0)),AA1368,0)</f>
        <v>#N/A</v>
      </c>
      <c r="AG1368" s="104" t="e">
        <f>IF(AND(VLOOKUP($D1368,Merchantability!$B:$C,2,0)="Yes",$E1368&gt;=VLOOKUP($D1368,Merchantability!$B:$D,3,0),$E1368&lt;=VLOOKUP($D1368,Merchantability!$B:$E,4,0)),AB1368,0)</f>
        <v>#N/A</v>
      </c>
      <c r="AH1368" s="104" t="e">
        <f>IF(AND(VLOOKUP($D1368,Merchantability!$B:$C,2,0)="Yes",$E1368&gt;=VLOOKUP($D1368,Merchantability!$B:$D,3,0),$E1368&lt;=VLOOKUP($D1368,Merchantability!$B:$E,4,0)),AC1368,0)</f>
        <v>#N/A</v>
      </c>
      <c r="AI1368" s="104" t="e">
        <f t="shared" si="600"/>
        <v>#N/A</v>
      </c>
      <c r="AJ1368" s="104" t="e">
        <f t="shared" si="601"/>
        <v>#VALUE!</v>
      </c>
      <c r="AK1368" s="104" t="e">
        <f t="shared" si="602"/>
        <v>#N/A</v>
      </c>
      <c r="AL1368" s="104" t="e">
        <f t="shared" si="603"/>
        <v>#N/A</v>
      </c>
      <c r="AM1368" s="104" t="e">
        <f t="shared" si="604"/>
        <v>#N/A</v>
      </c>
      <c r="AN1368" s="104" t="e">
        <f t="shared" si="615"/>
        <v>#N/A</v>
      </c>
      <c r="AO1368" s="104" t="e">
        <f t="shared" si="616"/>
        <v>#N/A</v>
      </c>
      <c r="AP1368" s="104" t="e">
        <f t="shared" si="617"/>
        <v>#N/A</v>
      </c>
      <c r="AQ1368" s="104" t="e">
        <f t="shared" si="618"/>
        <v>#N/A</v>
      </c>
      <c r="AR1368" s="105" t="str">
        <f t="shared" si="610"/>
        <v/>
      </c>
      <c r="AS1368" s="105" t="str">
        <f t="shared" si="611"/>
        <v/>
      </c>
      <c r="AT1368" s="108" t="str">
        <f t="shared" si="612"/>
        <v/>
      </c>
      <c r="AU1368" s="108" t="str">
        <f t="shared" si="613"/>
        <v/>
      </c>
      <c r="AV1368" s="107" t="str">
        <f>IF(ISNUMBER(O1368),IF(VLOOKUP($A1368,Stand!C:J,8,FALSE)="Short",AT1368,AU1368),"")</f>
        <v/>
      </c>
      <c r="AW1368" s="109" t="str">
        <f t="shared" si="619"/>
        <v/>
      </c>
      <c r="AX1368" s="109" t="str">
        <f t="shared" si="620"/>
        <v/>
      </c>
      <c r="AY1368" s="112" t="str">
        <f>IF(ISNUMBER(O1368),IF(AND(VLOOKUP($D1368,Merchantability!$B:$C,2,0)="Yes",$E1368&gt;=VLOOKUP($D1368,Merchantability!$B:$D,3,0),$E1368&lt;=VLOOKUP($D1368,Merchantability!$B:$E,4,0)),(AV1368*O1368)*(1-$H1368/100),""),"")</f>
        <v/>
      </c>
      <c r="AZ1368" s="116"/>
      <c r="BA1368" s="116"/>
      <c r="BB1368" s="116"/>
      <c r="BE1368" s="62"/>
      <c r="BF1368" s="63"/>
    </row>
    <row r="1369" spans="1:58" ht="12.75" customHeight="1" x14ac:dyDescent="0.25">
      <c r="A1369" s="333"/>
      <c r="B1369" s="334"/>
      <c r="C1369" s="332"/>
      <c r="D1369" s="334"/>
      <c r="E1369" s="335"/>
      <c r="F1369" s="334"/>
      <c r="G1369" s="332"/>
      <c r="H1369" s="332"/>
      <c r="I1369" s="334"/>
      <c r="J1369" s="336"/>
      <c r="K1369" s="332"/>
      <c r="L1369" s="332"/>
      <c r="M1369" s="76"/>
      <c r="N1369" s="103" t="str">
        <f>IF(A1369="","",VLOOKUP(A1369,Stand!C:K,9,0))</f>
        <v/>
      </c>
      <c r="O1369" s="104" t="str">
        <f t="shared" si="605"/>
        <v/>
      </c>
      <c r="P1369" s="105" t="str">
        <f t="shared" si="606"/>
        <v/>
      </c>
      <c r="Q1369" s="105" t="str">
        <f t="shared" si="594"/>
        <v/>
      </c>
      <c r="R1369" s="103" t="str">
        <f t="shared" si="607"/>
        <v/>
      </c>
      <c r="S1369" s="103" t="str">
        <f t="shared" si="608"/>
        <v/>
      </c>
      <c r="T1369" s="106" t="str">
        <f t="shared" si="595"/>
        <v/>
      </c>
      <c r="U1369" s="106" t="str">
        <f t="shared" si="596"/>
        <v/>
      </c>
      <c r="V1369" s="106" t="str">
        <f t="shared" si="597"/>
        <v/>
      </c>
      <c r="W1369" s="105" t="str">
        <f t="shared" si="609"/>
        <v/>
      </c>
      <c r="X1369" s="104" t="str">
        <f t="shared" si="614"/>
        <v/>
      </c>
      <c r="Y1369" s="104" t="str">
        <f t="array" ref="Y1369">IFERROR(IF(ISNUMBER(O1369),IF(COUNT(IF(A1369=$A$2:$A$2427,IF(D1369=$D$2:$D$2427,IF($X$2:$X$2427&gt;0,1))))&gt;0,SUM(IF(A1369=$A$2:$A$2427,IF(D1369=$D$2:$D$2427,$X$2:$X$2427)))/COUNT(IF(A1369=$A$2:$A$2427,IF(D1369=$D$2:$D$2427,IF(ISNUMBER($X$2:$X$2427),1)))),0),""),0)</f>
        <v/>
      </c>
      <c r="Z1369" s="104" t="str">
        <f>IF(ISNUMBER(O1369),IF(I1369&gt;0,(10^(VLOOKUP(D1369,'Species Codes'!B:C,2,0)+VLOOKUP(D1369,'Species Codes'!B:D,3,0)*LOG(E1369)+VLOOKUP(D1369,'Species Codes'!B:E,4,0)*LOG(I1369))),0),"")</f>
        <v/>
      </c>
      <c r="AA1369" s="104" t="str">
        <f>IFERROR((VLOOKUP(D1369,'Species Codes'!B:G,6,0)*Z1369)/2000,"")</f>
        <v/>
      </c>
      <c r="AB1369" s="104" t="e">
        <f>IF(Z1369&gt;0,((IF(OR(D1369="DF",D1369="RA")=TRUE,EXP(VLOOKUP(D1369,'Species Codes'!B:I,8,0)+VLOOKUP(D1369,'Species Codes'!B:J,9,0)*(LN((E1369*2.54)))),IF(OR(D1369="PY",D1369="RC",D1369="WH",D1369="NF")=TRUE,VLOOKUP(D1369,'Species Codes'!B:I,8,0)+VLOOKUP(D1369,'Species Codes'!B:J,9,0)*((E1369*2.54)^2)*(I1369*0.3048),IF(OR(D1369="MD",D1369="BM",D1369="GA")=TRUE,((VLOOKUP(D1369,'Species Codes'!B:I,8,0)*(((((E1369*2.54)+VLOOKUP(D1369,'Species Codes'!B:J,9,0))/VLOOKUP(D1369,'Species Codes'!B:K,10,0))^VLOOKUP(D1369,'Species Codes'!B:L,11,0))*((I1369*0.3048)^VLOOKUP(D1369,'Species Codes'!B:M,12,0))))-(VLOOKUP(D1369,'Species Codes'!B:I,8,0)*((((E1369*2.54)^VLOOKUP(D1369,'Species Codes'!B:L,11,0))*((I1369*0.3048)^VLOOKUP(D1369,'Species Codes'!B:M,12,0))))))*35.3*VLOOKUP(D1369,'Species Codes'!B:G,6,0)/2.2046,VLOOKUP(D1369,'Species Codes'!B:I,8,0)+VLOOKUP(D1369,'Species Codes'!B:J,9,0)*(((E1369*2.54)/100)^2)*(I1369*0.3048)))))*0.0011023),0)</f>
        <v>#N/A</v>
      </c>
      <c r="AC1369" s="104" t="e">
        <f>IF(Z1369&gt;0,((IF(OR(D1369="RA",D1369="OA",D1369="OT",D1369="UN",D1369="PC"),EXP(VLOOKUP(D1369,'Species Codes'!B:O,14,0)+VLOOKUP(D1369,'Species Codes'!B:P,15,0)*LN((E1369*2.54)))-EXP(VLOOKUP(D1369,'Species Codes'!B:O,14,0)+VLOOKUP(D1369,'Species Codes'!B:P,15,0)*LN((E1369*2.54)))*(1/(VLOOKUP(D1369,'Species Codes'!B:Q,16,0)+VLOOKUP(D1369,'Species Codes'!B:R,17,0)*((E1369*2.54)^VLOOKUP(D1369,'Species Codes'!B:S,18,0)))),IF(OR(D1369="BM",D1369="MD",D1369="OA"),EXP(VLOOKUP(D1369,'Species Codes'!B:O,14,0)+VLOOKUP(D1369,'Species Codes'!B:P,15,0)*LN((E1369*2.54)))*(1-(1/(VLOOKUP(D1369,'Species Codes'!B:Q,16,0)+VLOOKUP(D1369,'Species Codes'!B:R,17,0)*((E1369*2.54)^VLOOKUP(D1369,'Species Codes'!B:S,18,0)))))/1000,IF(D1369="DF",EXP(VLOOKUP(D1369,'Species Codes'!B:O,14,0)+VLOOKUP(D1369,'Species Codes'!B:P,15,0)*LN((E1369*2.54))),VLOOKUP(D1369,'Species Codes'!B:O,14,0)+VLOOKUP(D1369,'Species Codes'!B:P,15,0)*(((E1369*2.54)/100)^2)*(I1369*0.3048)))))*0.0011023),0)</f>
        <v>#N/A</v>
      </c>
      <c r="AD1369" s="104" t="e">
        <f t="shared" si="598"/>
        <v>#N/A</v>
      </c>
      <c r="AE1369" s="104" t="e">
        <f t="shared" si="599"/>
        <v>#N/A</v>
      </c>
      <c r="AF1369" s="104" t="e">
        <f>IF(AND(VLOOKUP($D1369,Merchantability!$B:$C,2,0)="Yes",$E1369&gt;=VLOOKUP($D1369,Merchantability!$B:$D,3,0),$E1369&lt;=VLOOKUP($D1369,Merchantability!$B:$E,4,0)),AA1369,0)</f>
        <v>#N/A</v>
      </c>
      <c r="AG1369" s="104" t="e">
        <f>IF(AND(VLOOKUP($D1369,Merchantability!$B:$C,2,0)="Yes",$E1369&gt;=VLOOKUP($D1369,Merchantability!$B:$D,3,0),$E1369&lt;=VLOOKUP($D1369,Merchantability!$B:$E,4,0)),AB1369,0)</f>
        <v>#N/A</v>
      </c>
      <c r="AH1369" s="104" t="e">
        <f>IF(AND(VLOOKUP($D1369,Merchantability!$B:$C,2,0)="Yes",$E1369&gt;=VLOOKUP($D1369,Merchantability!$B:$D,3,0),$E1369&lt;=VLOOKUP($D1369,Merchantability!$B:$E,4,0)),AC1369,0)</f>
        <v>#N/A</v>
      </c>
      <c r="AI1369" s="104" t="e">
        <f t="shared" si="600"/>
        <v>#N/A</v>
      </c>
      <c r="AJ1369" s="104" t="e">
        <f t="shared" si="601"/>
        <v>#VALUE!</v>
      </c>
      <c r="AK1369" s="104" t="e">
        <f t="shared" si="602"/>
        <v>#N/A</v>
      </c>
      <c r="AL1369" s="104" t="e">
        <f t="shared" si="603"/>
        <v>#N/A</v>
      </c>
      <c r="AM1369" s="104" t="e">
        <f t="shared" si="604"/>
        <v>#N/A</v>
      </c>
      <c r="AN1369" s="104" t="e">
        <f t="shared" si="615"/>
        <v>#N/A</v>
      </c>
      <c r="AO1369" s="104" t="e">
        <f t="shared" si="616"/>
        <v>#N/A</v>
      </c>
      <c r="AP1369" s="104" t="e">
        <f t="shared" si="617"/>
        <v>#N/A</v>
      </c>
      <c r="AQ1369" s="104" t="e">
        <f t="shared" si="618"/>
        <v>#N/A</v>
      </c>
      <c r="AR1369" s="105" t="str">
        <f t="shared" si="610"/>
        <v/>
      </c>
      <c r="AS1369" s="105" t="str">
        <f t="shared" si="611"/>
        <v/>
      </c>
      <c r="AT1369" s="108" t="str">
        <f t="shared" si="612"/>
        <v/>
      </c>
      <c r="AU1369" s="108" t="str">
        <f t="shared" si="613"/>
        <v/>
      </c>
      <c r="AV1369" s="107" t="str">
        <f>IF(ISNUMBER(O1369),IF(VLOOKUP($A1369,Stand!C:J,8,FALSE)="Short",AT1369,AU1369),"")</f>
        <v/>
      </c>
      <c r="AW1369" s="109" t="str">
        <f t="shared" si="619"/>
        <v/>
      </c>
      <c r="AX1369" s="109" t="str">
        <f t="shared" si="620"/>
        <v/>
      </c>
      <c r="AY1369" s="112" t="str">
        <f>IF(ISNUMBER(O1369),IF(AND(VLOOKUP($D1369,Merchantability!$B:$C,2,0)="Yes",$E1369&gt;=VLOOKUP($D1369,Merchantability!$B:$D,3,0),$E1369&lt;=VLOOKUP($D1369,Merchantability!$B:$E,4,0)),(AV1369*O1369)*(1-$H1369/100),""),"")</f>
        <v/>
      </c>
      <c r="AZ1369" s="116"/>
      <c r="BA1369" s="116"/>
      <c r="BB1369" s="116"/>
      <c r="BE1369" s="62"/>
      <c r="BF1369" s="63"/>
    </row>
    <row r="1370" spans="1:58" ht="12.75" customHeight="1" x14ac:dyDescent="0.25">
      <c r="A1370" s="333"/>
      <c r="B1370" s="334"/>
      <c r="C1370" s="332"/>
      <c r="D1370" s="334"/>
      <c r="E1370" s="335"/>
      <c r="F1370" s="334"/>
      <c r="G1370" s="332"/>
      <c r="H1370" s="332"/>
      <c r="I1370" s="334"/>
      <c r="J1370" s="336"/>
      <c r="K1370" s="332"/>
      <c r="L1370" s="332"/>
      <c r="M1370" s="76"/>
      <c r="N1370" s="103" t="str">
        <f>IF(A1370="","",VLOOKUP(A1370,Stand!C:K,9,0))</f>
        <v/>
      </c>
      <c r="O1370" s="104" t="str">
        <f t="shared" si="605"/>
        <v/>
      </c>
      <c r="P1370" s="105" t="str">
        <f t="shared" si="606"/>
        <v/>
      </c>
      <c r="Q1370" s="105" t="str">
        <f t="shared" si="594"/>
        <v/>
      </c>
      <c r="R1370" s="103" t="str">
        <f t="shared" si="607"/>
        <v/>
      </c>
      <c r="S1370" s="103" t="str">
        <f t="shared" si="608"/>
        <v/>
      </c>
      <c r="T1370" s="106" t="str">
        <f t="shared" si="595"/>
        <v/>
      </c>
      <c r="U1370" s="106" t="str">
        <f t="shared" si="596"/>
        <v/>
      </c>
      <c r="V1370" s="106" t="str">
        <f t="shared" si="597"/>
        <v/>
      </c>
      <c r="W1370" s="105" t="str">
        <f t="shared" si="609"/>
        <v/>
      </c>
      <c r="X1370" s="104" t="str">
        <f t="shared" si="614"/>
        <v/>
      </c>
      <c r="Y1370" s="104" t="str">
        <f t="array" ref="Y1370">IFERROR(IF(ISNUMBER(O1370),IF(COUNT(IF(A1370=$A$2:$A$2427,IF(D1370=$D$2:$D$2427,IF($X$2:$X$2427&gt;0,1))))&gt;0,SUM(IF(A1370=$A$2:$A$2427,IF(D1370=$D$2:$D$2427,$X$2:$X$2427)))/COUNT(IF(A1370=$A$2:$A$2427,IF(D1370=$D$2:$D$2427,IF(ISNUMBER($X$2:$X$2427),1)))),0),""),0)</f>
        <v/>
      </c>
      <c r="Z1370" s="104" t="str">
        <f>IF(ISNUMBER(O1370),IF(I1370&gt;0,(10^(VLOOKUP(D1370,'Species Codes'!B:C,2,0)+VLOOKUP(D1370,'Species Codes'!B:D,3,0)*LOG(E1370)+VLOOKUP(D1370,'Species Codes'!B:E,4,0)*LOG(I1370))),0),"")</f>
        <v/>
      </c>
      <c r="AA1370" s="104" t="str">
        <f>IFERROR((VLOOKUP(D1370,'Species Codes'!B:G,6,0)*Z1370)/2000,"")</f>
        <v/>
      </c>
      <c r="AB1370" s="104" t="e">
        <f>IF(Z1370&gt;0,((IF(OR(D1370="DF",D1370="RA")=TRUE,EXP(VLOOKUP(D1370,'Species Codes'!B:I,8,0)+VLOOKUP(D1370,'Species Codes'!B:J,9,0)*(LN((E1370*2.54)))),IF(OR(D1370="PY",D1370="RC",D1370="WH",D1370="NF")=TRUE,VLOOKUP(D1370,'Species Codes'!B:I,8,0)+VLOOKUP(D1370,'Species Codes'!B:J,9,0)*((E1370*2.54)^2)*(I1370*0.3048),IF(OR(D1370="MD",D1370="BM",D1370="GA")=TRUE,((VLOOKUP(D1370,'Species Codes'!B:I,8,0)*(((((E1370*2.54)+VLOOKUP(D1370,'Species Codes'!B:J,9,0))/VLOOKUP(D1370,'Species Codes'!B:K,10,0))^VLOOKUP(D1370,'Species Codes'!B:L,11,0))*((I1370*0.3048)^VLOOKUP(D1370,'Species Codes'!B:M,12,0))))-(VLOOKUP(D1370,'Species Codes'!B:I,8,0)*((((E1370*2.54)^VLOOKUP(D1370,'Species Codes'!B:L,11,0))*((I1370*0.3048)^VLOOKUP(D1370,'Species Codes'!B:M,12,0))))))*35.3*VLOOKUP(D1370,'Species Codes'!B:G,6,0)/2.2046,VLOOKUP(D1370,'Species Codes'!B:I,8,0)+VLOOKUP(D1370,'Species Codes'!B:J,9,0)*(((E1370*2.54)/100)^2)*(I1370*0.3048)))))*0.0011023),0)</f>
        <v>#N/A</v>
      </c>
      <c r="AC1370" s="104" t="e">
        <f>IF(Z1370&gt;0,((IF(OR(D1370="RA",D1370="OA",D1370="OT",D1370="UN",D1370="PC"),EXP(VLOOKUP(D1370,'Species Codes'!B:O,14,0)+VLOOKUP(D1370,'Species Codes'!B:P,15,0)*LN((E1370*2.54)))-EXP(VLOOKUP(D1370,'Species Codes'!B:O,14,0)+VLOOKUP(D1370,'Species Codes'!B:P,15,0)*LN((E1370*2.54)))*(1/(VLOOKUP(D1370,'Species Codes'!B:Q,16,0)+VLOOKUP(D1370,'Species Codes'!B:R,17,0)*((E1370*2.54)^VLOOKUP(D1370,'Species Codes'!B:S,18,0)))),IF(OR(D1370="BM",D1370="MD",D1370="OA"),EXP(VLOOKUP(D1370,'Species Codes'!B:O,14,0)+VLOOKUP(D1370,'Species Codes'!B:P,15,0)*LN((E1370*2.54)))*(1-(1/(VLOOKUP(D1370,'Species Codes'!B:Q,16,0)+VLOOKUP(D1370,'Species Codes'!B:R,17,0)*((E1370*2.54)^VLOOKUP(D1370,'Species Codes'!B:S,18,0)))))/1000,IF(D1370="DF",EXP(VLOOKUP(D1370,'Species Codes'!B:O,14,0)+VLOOKUP(D1370,'Species Codes'!B:P,15,0)*LN((E1370*2.54))),VLOOKUP(D1370,'Species Codes'!B:O,14,0)+VLOOKUP(D1370,'Species Codes'!B:P,15,0)*(((E1370*2.54)/100)^2)*(I1370*0.3048)))))*0.0011023),0)</f>
        <v>#N/A</v>
      </c>
      <c r="AD1370" s="104" t="e">
        <f t="shared" si="598"/>
        <v>#N/A</v>
      </c>
      <c r="AE1370" s="104" t="e">
        <f t="shared" si="599"/>
        <v>#N/A</v>
      </c>
      <c r="AF1370" s="104" t="e">
        <f>IF(AND(VLOOKUP($D1370,Merchantability!$B:$C,2,0)="Yes",$E1370&gt;=VLOOKUP($D1370,Merchantability!$B:$D,3,0),$E1370&lt;=VLOOKUP($D1370,Merchantability!$B:$E,4,0)),AA1370,0)</f>
        <v>#N/A</v>
      </c>
      <c r="AG1370" s="104" t="e">
        <f>IF(AND(VLOOKUP($D1370,Merchantability!$B:$C,2,0)="Yes",$E1370&gt;=VLOOKUP($D1370,Merchantability!$B:$D,3,0),$E1370&lt;=VLOOKUP($D1370,Merchantability!$B:$E,4,0)),AB1370,0)</f>
        <v>#N/A</v>
      </c>
      <c r="AH1370" s="104" t="e">
        <f>IF(AND(VLOOKUP($D1370,Merchantability!$B:$C,2,0)="Yes",$E1370&gt;=VLOOKUP($D1370,Merchantability!$B:$D,3,0),$E1370&lt;=VLOOKUP($D1370,Merchantability!$B:$E,4,0)),AC1370,0)</f>
        <v>#N/A</v>
      </c>
      <c r="AI1370" s="104" t="e">
        <f t="shared" si="600"/>
        <v>#N/A</v>
      </c>
      <c r="AJ1370" s="104" t="e">
        <f t="shared" si="601"/>
        <v>#VALUE!</v>
      </c>
      <c r="AK1370" s="104" t="e">
        <f t="shared" si="602"/>
        <v>#N/A</v>
      </c>
      <c r="AL1370" s="104" t="e">
        <f t="shared" si="603"/>
        <v>#N/A</v>
      </c>
      <c r="AM1370" s="104" t="e">
        <f t="shared" si="604"/>
        <v>#N/A</v>
      </c>
      <c r="AN1370" s="104" t="e">
        <f t="shared" si="615"/>
        <v>#N/A</v>
      </c>
      <c r="AO1370" s="104" t="e">
        <f t="shared" si="616"/>
        <v>#N/A</v>
      </c>
      <c r="AP1370" s="104" t="e">
        <f t="shared" si="617"/>
        <v>#N/A</v>
      </c>
      <c r="AQ1370" s="104" t="e">
        <f t="shared" si="618"/>
        <v>#N/A</v>
      </c>
      <c r="AR1370" s="105" t="str">
        <f t="shared" si="610"/>
        <v/>
      </c>
      <c r="AS1370" s="105" t="str">
        <f t="shared" si="611"/>
        <v/>
      </c>
      <c r="AT1370" s="108" t="str">
        <f t="shared" si="612"/>
        <v/>
      </c>
      <c r="AU1370" s="108" t="str">
        <f t="shared" si="613"/>
        <v/>
      </c>
      <c r="AV1370" s="107" t="str">
        <f>IF(ISNUMBER(O1370),IF(VLOOKUP($A1370,Stand!C:J,8,FALSE)="Short",AT1370,AU1370),"")</f>
        <v/>
      </c>
      <c r="AW1370" s="109" t="str">
        <f t="shared" si="619"/>
        <v/>
      </c>
      <c r="AX1370" s="109" t="str">
        <f t="shared" si="620"/>
        <v/>
      </c>
      <c r="AY1370" s="112" t="str">
        <f>IF(ISNUMBER(O1370),IF(AND(VLOOKUP($D1370,Merchantability!$B:$C,2,0)="Yes",$E1370&gt;=VLOOKUP($D1370,Merchantability!$B:$D,3,0),$E1370&lt;=VLOOKUP($D1370,Merchantability!$B:$E,4,0)),(AV1370*O1370)*(1-$H1370/100),""),"")</f>
        <v/>
      </c>
      <c r="AZ1370" s="116"/>
      <c r="BA1370" s="116"/>
      <c r="BB1370" s="116"/>
      <c r="BE1370" s="62"/>
      <c r="BF1370" s="63"/>
    </row>
    <row r="1371" spans="1:58" ht="12.75" customHeight="1" x14ac:dyDescent="0.25">
      <c r="A1371" s="333"/>
      <c r="B1371" s="334"/>
      <c r="C1371" s="332"/>
      <c r="D1371" s="334"/>
      <c r="E1371" s="335"/>
      <c r="F1371" s="334"/>
      <c r="G1371" s="332"/>
      <c r="H1371" s="332"/>
      <c r="I1371" s="334"/>
      <c r="J1371" s="336"/>
      <c r="K1371" s="332"/>
      <c r="L1371" s="332"/>
      <c r="M1371" s="76"/>
      <c r="N1371" s="103" t="str">
        <f>IF(A1371="","",VLOOKUP(A1371,Stand!C:K,9,0))</f>
        <v/>
      </c>
      <c r="O1371" s="104" t="str">
        <f t="shared" si="605"/>
        <v/>
      </c>
      <c r="P1371" s="105" t="str">
        <f t="shared" si="606"/>
        <v/>
      </c>
      <c r="Q1371" s="105" t="str">
        <f t="shared" si="594"/>
        <v/>
      </c>
      <c r="R1371" s="103" t="str">
        <f t="shared" si="607"/>
        <v/>
      </c>
      <c r="S1371" s="103" t="str">
        <f t="shared" si="608"/>
        <v/>
      </c>
      <c r="T1371" s="106" t="str">
        <f t="shared" si="595"/>
        <v/>
      </c>
      <c r="U1371" s="106" t="str">
        <f t="shared" si="596"/>
        <v/>
      </c>
      <c r="V1371" s="106" t="str">
        <f t="shared" si="597"/>
        <v/>
      </c>
      <c r="W1371" s="105" t="str">
        <f t="shared" si="609"/>
        <v/>
      </c>
      <c r="X1371" s="104" t="str">
        <f t="shared" si="614"/>
        <v/>
      </c>
      <c r="Y1371" s="104" t="str">
        <f t="array" ref="Y1371">IFERROR(IF(ISNUMBER(O1371),IF(COUNT(IF(A1371=$A$2:$A$2427,IF(D1371=$D$2:$D$2427,IF($X$2:$X$2427&gt;0,1))))&gt;0,SUM(IF(A1371=$A$2:$A$2427,IF(D1371=$D$2:$D$2427,$X$2:$X$2427)))/COUNT(IF(A1371=$A$2:$A$2427,IF(D1371=$D$2:$D$2427,IF(ISNUMBER($X$2:$X$2427),1)))),0),""),0)</f>
        <v/>
      </c>
      <c r="Z1371" s="104" t="str">
        <f>IF(ISNUMBER(O1371),IF(I1371&gt;0,(10^(VLOOKUP(D1371,'Species Codes'!B:C,2,0)+VLOOKUP(D1371,'Species Codes'!B:D,3,0)*LOG(E1371)+VLOOKUP(D1371,'Species Codes'!B:E,4,0)*LOG(I1371))),0),"")</f>
        <v/>
      </c>
      <c r="AA1371" s="104" t="str">
        <f>IFERROR((VLOOKUP(D1371,'Species Codes'!B:G,6,0)*Z1371)/2000,"")</f>
        <v/>
      </c>
      <c r="AB1371" s="104" t="e">
        <f>IF(Z1371&gt;0,((IF(OR(D1371="DF",D1371="RA")=TRUE,EXP(VLOOKUP(D1371,'Species Codes'!B:I,8,0)+VLOOKUP(D1371,'Species Codes'!B:J,9,0)*(LN((E1371*2.54)))),IF(OR(D1371="PY",D1371="RC",D1371="WH",D1371="NF")=TRUE,VLOOKUP(D1371,'Species Codes'!B:I,8,0)+VLOOKUP(D1371,'Species Codes'!B:J,9,0)*((E1371*2.54)^2)*(I1371*0.3048),IF(OR(D1371="MD",D1371="BM",D1371="GA")=TRUE,((VLOOKUP(D1371,'Species Codes'!B:I,8,0)*(((((E1371*2.54)+VLOOKUP(D1371,'Species Codes'!B:J,9,0))/VLOOKUP(D1371,'Species Codes'!B:K,10,0))^VLOOKUP(D1371,'Species Codes'!B:L,11,0))*((I1371*0.3048)^VLOOKUP(D1371,'Species Codes'!B:M,12,0))))-(VLOOKUP(D1371,'Species Codes'!B:I,8,0)*((((E1371*2.54)^VLOOKUP(D1371,'Species Codes'!B:L,11,0))*((I1371*0.3048)^VLOOKUP(D1371,'Species Codes'!B:M,12,0))))))*35.3*VLOOKUP(D1371,'Species Codes'!B:G,6,0)/2.2046,VLOOKUP(D1371,'Species Codes'!B:I,8,0)+VLOOKUP(D1371,'Species Codes'!B:J,9,0)*(((E1371*2.54)/100)^2)*(I1371*0.3048)))))*0.0011023),0)</f>
        <v>#N/A</v>
      </c>
      <c r="AC1371" s="104" t="e">
        <f>IF(Z1371&gt;0,((IF(OR(D1371="RA",D1371="OA",D1371="OT",D1371="UN",D1371="PC"),EXP(VLOOKUP(D1371,'Species Codes'!B:O,14,0)+VLOOKUP(D1371,'Species Codes'!B:P,15,0)*LN((E1371*2.54)))-EXP(VLOOKUP(D1371,'Species Codes'!B:O,14,0)+VLOOKUP(D1371,'Species Codes'!B:P,15,0)*LN((E1371*2.54)))*(1/(VLOOKUP(D1371,'Species Codes'!B:Q,16,0)+VLOOKUP(D1371,'Species Codes'!B:R,17,0)*((E1371*2.54)^VLOOKUP(D1371,'Species Codes'!B:S,18,0)))),IF(OR(D1371="BM",D1371="MD",D1371="OA"),EXP(VLOOKUP(D1371,'Species Codes'!B:O,14,0)+VLOOKUP(D1371,'Species Codes'!B:P,15,0)*LN((E1371*2.54)))*(1-(1/(VLOOKUP(D1371,'Species Codes'!B:Q,16,0)+VLOOKUP(D1371,'Species Codes'!B:R,17,0)*((E1371*2.54)^VLOOKUP(D1371,'Species Codes'!B:S,18,0)))))/1000,IF(D1371="DF",EXP(VLOOKUP(D1371,'Species Codes'!B:O,14,0)+VLOOKUP(D1371,'Species Codes'!B:P,15,0)*LN((E1371*2.54))),VLOOKUP(D1371,'Species Codes'!B:O,14,0)+VLOOKUP(D1371,'Species Codes'!B:P,15,0)*(((E1371*2.54)/100)^2)*(I1371*0.3048)))))*0.0011023),0)</f>
        <v>#N/A</v>
      </c>
      <c r="AD1371" s="104" t="e">
        <f t="shared" si="598"/>
        <v>#N/A</v>
      </c>
      <c r="AE1371" s="104" t="e">
        <f t="shared" si="599"/>
        <v>#N/A</v>
      </c>
      <c r="AF1371" s="104" t="e">
        <f>IF(AND(VLOOKUP($D1371,Merchantability!$B:$C,2,0)="Yes",$E1371&gt;=VLOOKUP($D1371,Merchantability!$B:$D,3,0),$E1371&lt;=VLOOKUP($D1371,Merchantability!$B:$E,4,0)),AA1371,0)</f>
        <v>#N/A</v>
      </c>
      <c r="AG1371" s="104" t="e">
        <f>IF(AND(VLOOKUP($D1371,Merchantability!$B:$C,2,0)="Yes",$E1371&gt;=VLOOKUP($D1371,Merchantability!$B:$D,3,0),$E1371&lt;=VLOOKUP($D1371,Merchantability!$B:$E,4,0)),AB1371,0)</f>
        <v>#N/A</v>
      </c>
      <c r="AH1371" s="104" t="e">
        <f>IF(AND(VLOOKUP($D1371,Merchantability!$B:$C,2,0)="Yes",$E1371&gt;=VLOOKUP($D1371,Merchantability!$B:$D,3,0),$E1371&lt;=VLOOKUP($D1371,Merchantability!$B:$E,4,0)),AC1371,0)</f>
        <v>#N/A</v>
      </c>
      <c r="AI1371" s="104" t="e">
        <f t="shared" si="600"/>
        <v>#N/A</v>
      </c>
      <c r="AJ1371" s="104" t="e">
        <f t="shared" si="601"/>
        <v>#VALUE!</v>
      </c>
      <c r="AK1371" s="104" t="e">
        <f t="shared" si="602"/>
        <v>#N/A</v>
      </c>
      <c r="AL1371" s="104" t="e">
        <f t="shared" si="603"/>
        <v>#N/A</v>
      </c>
      <c r="AM1371" s="104" t="e">
        <f t="shared" si="604"/>
        <v>#N/A</v>
      </c>
      <c r="AN1371" s="104" t="e">
        <f t="shared" si="615"/>
        <v>#N/A</v>
      </c>
      <c r="AO1371" s="104" t="e">
        <f t="shared" si="616"/>
        <v>#N/A</v>
      </c>
      <c r="AP1371" s="104" t="e">
        <f t="shared" si="617"/>
        <v>#N/A</v>
      </c>
      <c r="AQ1371" s="104" t="e">
        <f t="shared" si="618"/>
        <v>#N/A</v>
      </c>
      <c r="AR1371" s="105" t="str">
        <f t="shared" si="610"/>
        <v/>
      </c>
      <c r="AS1371" s="105" t="str">
        <f t="shared" si="611"/>
        <v/>
      </c>
      <c r="AT1371" s="108" t="str">
        <f t="shared" si="612"/>
        <v/>
      </c>
      <c r="AU1371" s="108" t="str">
        <f t="shared" si="613"/>
        <v/>
      </c>
      <c r="AV1371" s="107" t="str">
        <f>IF(ISNUMBER(O1371),IF(VLOOKUP($A1371,Stand!C:J,8,FALSE)="Short",AT1371,AU1371),"")</f>
        <v/>
      </c>
      <c r="AW1371" s="109" t="str">
        <f t="shared" si="619"/>
        <v/>
      </c>
      <c r="AX1371" s="109" t="str">
        <f t="shared" si="620"/>
        <v/>
      </c>
      <c r="AY1371" s="112" t="str">
        <f>IF(ISNUMBER(O1371),IF(AND(VLOOKUP($D1371,Merchantability!$B:$C,2,0)="Yes",$E1371&gt;=VLOOKUP($D1371,Merchantability!$B:$D,3,0),$E1371&lt;=VLOOKUP($D1371,Merchantability!$B:$E,4,0)),(AV1371*O1371)*(1-$H1371/100),""),"")</f>
        <v/>
      </c>
      <c r="AZ1371" s="116"/>
      <c r="BA1371" s="116"/>
      <c r="BB1371" s="116"/>
      <c r="BE1371" s="62"/>
      <c r="BF1371" s="63"/>
    </row>
    <row r="1372" spans="1:58" ht="12.75" customHeight="1" x14ac:dyDescent="0.25">
      <c r="A1372" s="333"/>
      <c r="B1372" s="334"/>
      <c r="C1372" s="332"/>
      <c r="D1372" s="334"/>
      <c r="E1372" s="335"/>
      <c r="F1372" s="334"/>
      <c r="G1372" s="332"/>
      <c r="H1372" s="332"/>
      <c r="I1372" s="334"/>
      <c r="J1372" s="336"/>
      <c r="K1372" s="332"/>
      <c r="L1372" s="332"/>
      <c r="M1372" s="76"/>
      <c r="N1372" s="103" t="str">
        <f>IF(A1372="","",VLOOKUP(A1372,Stand!C:K,9,0))</f>
        <v/>
      </c>
      <c r="O1372" s="104" t="str">
        <f t="shared" si="605"/>
        <v/>
      </c>
      <c r="P1372" s="105" t="str">
        <f t="shared" si="606"/>
        <v/>
      </c>
      <c r="Q1372" s="105" t="str">
        <f t="shared" si="594"/>
        <v/>
      </c>
      <c r="R1372" s="103" t="str">
        <f t="shared" si="607"/>
        <v/>
      </c>
      <c r="S1372" s="103" t="str">
        <f t="shared" si="608"/>
        <v/>
      </c>
      <c r="T1372" s="106" t="str">
        <f t="shared" si="595"/>
        <v/>
      </c>
      <c r="U1372" s="106" t="str">
        <f t="shared" si="596"/>
        <v/>
      </c>
      <c r="V1372" s="106" t="str">
        <f t="shared" si="597"/>
        <v/>
      </c>
      <c r="W1372" s="105" t="str">
        <f t="shared" si="609"/>
        <v/>
      </c>
      <c r="X1372" s="104" t="str">
        <f t="shared" si="614"/>
        <v/>
      </c>
      <c r="Y1372" s="104" t="str">
        <f t="array" ref="Y1372">IFERROR(IF(ISNUMBER(O1372),IF(COUNT(IF(A1372=$A$2:$A$2427,IF(D1372=$D$2:$D$2427,IF($X$2:$X$2427&gt;0,1))))&gt;0,SUM(IF(A1372=$A$2:$A$2427,IF(D1372=$D$2:$D$2427,$X$2:$X$2427)))/COUNT(IF(A1372=$A$2:$A$2427,IF(D1372=$D$2:$D$2427,IF(ISNUMBER($X$2:$X$2427),1)))),0),""),0)</f>
        <v/>
      </c>
      <c r="Z1372" s="104" t="str">
        <f>IF(ISNUMBER(O1372),IF(I1372&gt;0,(10^(VLOOKUP(D1372,'Species Codes'!B:C,2,0)+VLOOKUP(D1372,'Species Codes'!B:D,3,0)*LOG(E1372)+VLOOKUP(D1372,'Species Codes'!B:E,4,0)*LOG(I1372))),0),"")</f>
        <v/>
      </c>
      <c r="AA1372" s="104" t="str">
        <f>IFERROR((VLOOKUP(D1372,'Species Codes'!B:G,6,0)*Z1372)/2000,"")</f>
        <v/>
      </c>
      <c r="AB1372" s="104" t="e">
        <f>IF(Z1372&gt;0,((IF(OR(D1372="DF",D1372="RA")=TRUE,EXP(VLOOKUP(D1372,'Species Codes'!B:I,8,0)+VLOOKUP(D1372,'Species Codes'!B:J,9,0)*(LN((E1372*2.54)))),IF(OR(D1372="PY",D1372="RC",D1372="WH",D1372="NF")=TRUE,VLOOKUP(D1372,'Species Codes'!B:I,8,0)+VLOOKUP(D1372,'Species Codes'!B:J,9,0)*((E1372*2.54)^2)*(I1372*0.3048),IF(OR(D1372="MD",D1372="BM",D1372="GA")=TRUE,((VLOOKUP(D1372,'Species Codes'!B:I,8,0)*(((((E1372*2.54)+VLOOKUP(D1372,'Species Codes'!B:J,9,0))/VLOOKUP(D1372,'Species Codes'!B:K,10,0))^VLOOKUP(D1372,'Species Codes'!B:L,11,0))*((I1372*0.3048)^VLOOKUP(D1372,'Species Codes'!B:M,12,0))))-(VLOOKUP(D1372,'Species Codes'!B:I,8,0)*((((E1372*2.54)^VLOOKUP(D1372,'Species Codes'!B:L,11,0))*((I1372*0.3048)^VLOOKUP(D1372,'Species Codes'!B:M,12,0))))))*35.3*VLOOKUP(D1372,'Species Codes'!B:G,6,0)/2.2046,VLOOKUP(D1372,'Species Codes'!B:I,8,0)+VLOOKUP(D1372,'Species Codes'!B:J,9,0)*(((E1372*2.54)/100)^2)*(I1372*0.3048)))))*0.0011023),0)</f>
        <v>#N/A</v>
      </c>
      <c r="AC1372" s="104" t="e">
        <f>IF(Z1372&gt;0,((IF(OR(D1372="RA",D1372="OA",D1372="OT",D1372="UN",D1372="PC"),EXP(VLOOKUP(D1372,'Species Codes'!B:O,14,0)+VLOOKUP(D1372,'Species Codes'!B:P,15,0)*LN((E1372*2.54)))-EXP(VLOOKUP(D1372,'Species Codes'!B:O,14,0)+VLOOKUP(D1372,'Species Codes'!B:P,15,0)*LN((E1372*2.54)))*(1/(VLOOKUP(D1372,'Species Codes'!B:Q,16,0)+VLOOKUP(D1372,'Species Codes'!B:R,17,0)*((E1372*2.54)^VLOOKUP(D1372,'Species Codes'!B:S,18,0)))),IF(OR(D1372="BM",D1372="MD",D1372="OA"),EXP(VLOOKUP(D1372,'Species Codes'!B:O,14,0)+VLOOKUP(D1372,'Species Codes'!B:P,15,0)*LN((E1372*2.54)))*(1-(1/(VLOOKUP(D1372,'Species Codes'!B:Q,16,0)+VLOOKUP(D1372,'Species Codes'!B:R,17,0)*((E1372*2.54)^VLOOKUP(D1372,'Species Codes'!B:S,18,0)))))/1000,IF(D1372="DF",EXP(VLOOKUP(D1372,'Species Codes'!B:O,14,0)+VLOOKUP(D1372,'Species Codes'!B:P,15,0)*LN((E1372*2.54))),VLOOKUP(D1372,'Species Codes'!B:O,14,0)+VLOOKUP(D1372,'Species Codes'!B:P,15,0)*(((E1372*2.54)/100)^2)*(I1372*0.3048)))))*0.0011023),0)</f>
        <v>#N/A</v>
      </c>
      <c r="AD1372" s="104" t="e">
        <f t="shared" si="598"/>
        <v>#N/A</v>
      </c>
      <c r="AE1372" s="104" t="e">
        <f t="shared" si="599"/>
        <v>#N/A</v>
      </c>
      <c r="AF1372" s="104" t="e">
        <f>IF(AND(VLOOKUP($D1372,Merchantability!$B:$C,2,0)="Yes",$E1372&gt;=VLOOKUP($D1372,Merchantability!$B:$D,3,0),$E1372&lt;=VLOOKUP($D1372,Merchantability!$B:$E,4,0)),AA1372,0)</f>
        <v>#N/A</v>
      </c>
      <c r="AG1372" s="104" t="e">
        <f>IF(AND(VLOOKUP($D1372,Merchantability!$B:$C,2,0)="Yes",$E1372&gt;=VLOOKUP($D1372,Merchantability!$B:$D,3,0),$E1372&lt;=VLOOKUP($D1372,Merchantability!$B:$E,4,0)),AB1372,0)</f>
        <v>#N/A</v>
      </c>
      <c r="AH1372" s="104" t="e">
        <f>IF(AND(VLOOKUP($D1372,Merchantability!$B:$C,2,0)="Yes",$E1372&gt;=VLOOKUP($D1372,Merchantability!$B:$D,3,0),$E1372&lt;=VLOOKUP($D1372,Merchantability!$B:$E,4,0)),AC1372,0)</f>
        <v>#N/A</v>
      </c>
      <c r="AI1372" s="104" t="e">
        <f t="shared" si="600"/>
        <v>#N/A</v>
      </c>
      <c r="AJ1372" s="104" t="e">
        <f t="shared" si="601"/>
        <v>#VALUE!</v>
      </c>
      <c r="AK1372" s="104" t="e">
        <f t="shared" si="602"/>
        <v>#N/A</v>
      </c>
      <c r="AL1372" s="104" t="e">
        <f t="shared" si="603"/>
        <v>#N/A</v>
      </c>
      <c r="AM1372" s="104" t="e">
        <f t="shared" si="604"/>
        <v>#N/A</v>
      </c>
      <c r="AN1372" s="104" t="e">
        <f t="shared" si="615"/>
        <v>#N/A</v>
      </c>
      <c r="AO1372" s="104" t="e">
        <f t="shared" si="616"/>
        <v>#N/A</v>
      </c>
      <c r="AP1372" s="104" t="e">
        <f t="shared" si="617"/>
        <v>#N/A</v>
      </c>
      <c r="AQ1372" s="104" t="e">
        <f t="shared" si="618"/>
        <v>#N/A</v>
      </c>
      <c r="AR1372" s="105" t="str">
        <f t="shared" si="610"/>
        <v/>
      </c>
      <c r="AS1372" s="105" t="str">
        <f t="shared" si="611"/>
        <v/>
      </c>
      <c r="AT1372" s="108" t="str">
        <f t="shared" si="612"/>
        <v/>
      </c>
      <c r="AU1372" s="108" t="str">
        <f t="shared" si="613"/>
        <v/>
      </c>
      <c r="AV1372" s="107" t="str">
        <f>IF(ISNUMBER(O1372),IF(VLOOKUP($A1372,Stand!C:J,8,FALSE)="Short",AT1372,AU1372),"")</f>
        <v/>
      </c>
      <c r="AW1372" s="109" t="str">
        <f t="shared" si="619"/>
        <v/>
      </c>
      <c r="AX1372" s="109" t="str">
        <f t="shared" si="620"/>
        <v/>
      </c>
      <c r="AY1372" s="112" t="str">
        <f>IF(ISNUMBER(O1372),IF(AND(VLOOKUP($D1372,Merchantability!$B:$C,2,0)="Yes",$E1372&gt;=VLOOKUP($D1372,Merchantability!$B:$D,3,0),$E1372&lt;=VLOOKUP($D1372,Merchantability!$B:$E,4,0)),(AV1372*O1372)*(1-$H1372/100),""),"")</f>
        <v/>
      </c>
      <c r="AZ1372" s="116"/>
      <c r="BA1372" s="116"/>
      <c r="BB1372" s="116"/>
      <c r="BE1372" s="62"/>
      <c r="BF1372" s="63"/>
    </row>
    <row r="1373" spans="1:58" ht="12.75" customHeight="1" x14ac:dyDescent="0.25">
      <c r="A1373" s="333"/>
      <c r="B1373" s="334"/>
      <c r="C1373" s="332"/>
      <c r="D1373" s="334"/>
      <c r="E1373" s="335"/>
      <c r="F1373" s="334"/>
      <c r="G1373" s="332"/>
      <c r="H1373" s="332"/>
      <c r="I1373" s="334"/>
      <c r="J1373" s="336"/>
      <c r="K1373" s="332"/>
      <c r="L1373" s="332"/>
      <c r="M1373" s="76"/>
      <c r="N1373" s="103" t="str">
        <f>IF(A1373="","",VLOOKUP(A1373,Stand!C:K,9,0))</f>
        <v/>
      </c>
      <c r="O1373" s="104" t="str">
        <f t="shared" si="605"/>
        <v/>
      </c>
      <c r="P1373" s="105" t="str">
        <f t="shared" si="606"/>
        <v/>
      </c>
      <c r="Q1373" s="105" t="str">
        <f t="shared" ref="Q1373:Q1436" si="621">IF(AND(ISNUMBER(O1373),I1373&gt;0),I1373*O1373,"")</f>
        <v/>
      </c>
      <c r="R1373" s="103" t="str">
        <f t="shared" si="607"/>
        <v/>
      </c>
      <c r="S1373" s="103" t="str">
        <f t="shared" si="608"/>
        <v/>
      </c>
      <c r="T1373" s="106" t="str">
        <f t="shared" ref="T1373:T1436" si="622">IF(AND(ISNUMBER(O1373),J1373&gt;0),J1373/100,"")</f>
        <v/>
      </c>
      <c r="U1373" s="106" t="str">
        <f t="shared" ref="U1373:U1436" si="623">IF(AND(ISNUMBER(O1373),J1373&gt;0),T1373*O1373,"")</f>
        <v/>
      </c>
      <c r="V1373" s="106" t="str">
        <f t="shared" ref="V1373:V1436" si="624">IF(AND(ISNUMBER(O1373),I1373&gt;0),W1373*O1373,"")</f>
        <v/>
      </c>
      <c r="W1373" s="105" t="str">
        <f t="shared" si="609"/>
        <v/>
      </c>
      <c r="X1373" s="104" t="str">
        <f t="shared" si="614"/>
        <v/>
      </c>
      <c r="Y1373" s="104" t="str">
        <f t="array" ref="Y1373">IFERROR(IF(ISNUMBER(O1373),IF(COUNT(IF(A1373=$A$2:$A$2427,IF(D1373=$D$2:$D$2427,IF($X$2:$X$2427&gt;0,1))))&gt;0,SUM(IF(A1373=$A$2:$A$2427,IF(D1373=$D$2:$D$2427,$X$2:$X$2427)))/COUNT(IF(A1373=$A$2:$A$2427,IF(D1373=$D$2:$D$2427,IF(ISNUMBER($X$2:$X$2427),1)))),0),""),0)</f>
        <v/>
      </c>
      <c r="Z1373" s="104" t="str">
        <f>IF(ISNUMBER(O1373),IF(I1373&gt;0,(10^(VLOOKUP(D1373,'Species Codes'!B:C,2,0)+VLOOKUP(D1373,'Species Codes'!B:D,3,0)*LOG(E1373)+VLOOKUP(D1373,'Species Codes'!B:E,4,0)*LOG(I1373))),0),"")</f>
        <v/>
      </c>
      <c r="AA1373" s="104" t="str">
        <f>IFERROR((VLOOKUP(D1373,'Species Codes'!B:G,6,0)*Z1373)/2000,"")</f>
        <v/>
      </c>
      <c r="AB1373" s="104" t="e">
        <f>IF(Z1373&gt;0,((IF(OR(D1373="DF",D1373="RA")=TRUE,EXP(VLOOKUP(D1373,'Species Codes'!B:I,8,0)+VLOOKUP(D1373,'Species Codes'!B:J,9,0)*(LN((E1373*2.54)))),IF(OR(D1373="PY",D1373="RC",D1373="WH",D1373="NF")=TRUE,VLOOKUP(D1373,'Species Codes'!B:I,8,0)+VLOOKUP(D1373,'Species Codes'!B:J,9,0)*((E1373*2.54)^2)*(I1373*0.3048),IF(OR(D1373="MD",D1373="BM",D1373="GA")=TRUE,((VLOOKUP(D1373,'Species Codes'!B:I,8,0)*(((((E1373*2.54)+VLOOKUP(D1373,'Species Codes'!B:J,9,0))/VLOOKUP(D1373,'Species Codes'!B:K,10,0))^VLOOKUP(D1373,'Species Codes'!B:L,11,0))*((I1373*0.3048)^VLOOKUP(D1373,'Species Codes'!B:M,12,0))))-(VLOOKUP(D1373,'Species Codes'!B:I,8,0)*((((E1373*2.54)^VLOOKUP(D1373,'Species Codes'!B:L,11,0))*((I1373*0.3048)^VLOOKUP(D1373,'Species Codes'!B:M,12,0))))))*35.3*VLOOKUP(D1373,'Species Codes'!B:G,6,0)/2.2046,VLOOKUP(D1373,'Species Codes'!B:I,8,0)+VLOOKUP(D1373,'Species Codes'!B:J,9,0)*(((E1373*2.54)/100)^2)*(I1373*0.3048)))))*0.0011023),0)</f>
        <v>#N/A</v>
      </c>
      <c r="AC1373" s="104" t="e">
        <f>IF(Z1373&gt;0,((IF(OR(D1373="RA",D1373="OA",D1373="OT",D1373="UN",D1373="PC"),EXP(VLOOKUP(D1373,'Species Codes'!B:O,14,0)+VLOOKUP(D1373,'Species Codes'!B:P,15,0)*LN((E1373*2.54)))-EXP(VLOOKUP(D1373,'Species Codes'!B:O,14,0)+VLOOKUP(D1373,'Species Codes'!B:P,15,0)*LN((E1373*2.54)))*(1/(VLOOKUP(D1373,'Species Codes'!B:Q,16,0)+VLOOKUP(D1373,'Species Codes'!B:R,17,0)*((E1373*2.54)^VLOOKUP(D1373,'Species Codes'!B:S,18,0)))),IF(OR(D1373="BM",D1373="MD",D1373="OA"),EXP(VLOOKUP(D1373,'Species Codes'!B:O,14,0)+VLOOKUP(D1373,'Species Codes'!B:P,15,0)*LN((E1373*2.54)))*(1-(1/(VLOOKUP(D1373,'Species Codes'!B:Q,16,0)+VLOOKUP(D1373,'Species Codes'!B:R,17,0)*((E1373*2.54)^VLOOKUP(D1373,'Species Codes'!B:S,18,0)))))/1000,IF(D1373="DF",EXP(VLOOKUP(D1373,'Species Codes'!B:O,14,0)+VLOOKUP(D1373,'Species Codes'!B:P,15,0)*LN((E1373*2.54))),VLOOKUP(D1373,'Species Codes'!B:O,14,0)+VLOOKUP(D1373,'Species Codes'!B:P,15,0)*(((E1373*2.54)/100)^2)*(I1373*0.3048)))))*0.0011023),0)</f>
        <v>#N/A</v>
      </c>
      <c r="AD1373" s="104" t="e">
        <f t="shared" ref="AD1373:AD1436" si="625">SUM(AA1373:AC1373)</f>
        <v>#N/A</v>
      </c>
      <c r="AE1373" s="104" t="e">
        <f t="shared" ref="AE1373:AE1436" si="626">AD1373*O1373</f>
        <v>#N/A</v>
      </c>
      <c r="AF1373" s="104" t="e">
        <f>IF(AND(VLOOKUP($D1373,Merchantability!$B:$C,2,0)="Yes",$E1373&gt;=VLOOKUP($D1373,Merchantability!$B:$D,3,0),$E1373&lt;=VLOOKUP($D1373,Merchantability!$B:$E,4,0)),AA1373,0)</f>
        <v>#N/A</v>
      </c>
      <c r="AG1373" s="104" t="e">
        <f>IF(AND(VLOOKUP($D1373,Merchantability!$B:$C,2,0)="Yes",$E1373&gt;=VLOOKUP($D1373,Merchantability!$B:$D,3,0),$E1373&lt;=VLOOKUP($D1373,Merchantability!$B:$E,4,0)),AB1373,0)</f>
        <v>#N/A</v>
      </c>
      <c r="AH1373" s="104" t="e">
        <f>IF(AND(VLOOKUP($D1373,Merchantability!$B:$C,2,0)="Yes",$E1373&gt;=VLOOKUP($D1373,Merchantability!$B:$D,3,0),$E1373&lt;=VLOOKUP($D1373,Merchantability!$B:$E,4,0)),AC1373,0)</f>
        <v>#N/A</v>
      </c>
      <c r="AI1373" s="104" t="e">
        <f t="shared" ref="AI1373:AI1436" si="627">SUM(AF1373:AH1373)</f>
        <v>#N/A</v>
      </c>
      <c r="AJ1373" s="104" t="e">
        <f t="shared" ref="AJ1373:AJ1436" si="628">AA1373*$O1373</f>
        <v>#VALUE!</v>
      </c>
      <c r="AK1373" s="104" t="e">
        <f t="shared" ref="AK1373:AK1436" si="629">AB1373*$O1373</f>
        <v>#N/A</v>
      </c>
      <c r="AL1373" s="104" t="e">
        <f t="shared" ref="AL1373:AL1436" si="630">AC1373*$O1373</f>
        <v>#N/A</v>
      </c>
      <c r="AM1373" s="104" t="e">
        <f t="shared" ref="AM1373:AM1436" si="631">AD1373*$O1373</f>
        <v>#N/A</v>
      </c>
      <c r="AN1373" s="104" t="e">
        <f t="shared" si="615"/>
        <v>#N/A</v>
      </c>
      <c r="AO1373" s="104" t="e">
        <f t="shared" si="616"/>
        <v>#N/A</v>
      </c>
      <c r="AP1373" s="104" t="e">
        <f t="shared" si="617"/>
        <v>#N/A</v>
      </c>
      <c r="AQ1373" s="104" t="e">
        <f t="shared" si="618"/>
        <v>#N/A</v>
      </c>
      <c r="AR1373" s="105" t="str">
        <f t="shared" si="610"/>
        <v/>
      </c>
      <c r="AS1373" s="105" t="str">
        <f t="shared" si="611"/>
        <v/>
      </c>
      <c r="AT1373" s="108" t="str">
        <f t="shared" si="612"/>
        <v/>
      </c>
      <c r="AU1373" s="108" t="str">
        <f t="shared" si="613"/>
        <v/>
      </c>
      <c r="AV1373" s="107" t="str">
        <f>IF(ISNUMBER(O1373),IF(VLOOKUP($A1373,Stand!C:J,8,FALSE)="Short",AT1373,AU1373),"")</f>
        <v/>
      </c>
      <c r="AW1373" s="109" t="str">
        <f t="shared" si="619"/>
        <v/>
      </c>
      <c r="AX1373" s="109" t="str">
        <f t="shared" si="620"/>
        <v/>
      </c>
      <c r="AY1373" s="112" t="str">
        <f>IF(ISNUMBER(O1373),IF(AND(VLOOKUP($D1373,Merchantability!$B:$C,2,0)="Yes",$E1373&gt;=VLOOKUP($D1373,Merchantability!$B:$D,3,0),$E1373&lt;=VLOOKUP($D1373,Merchantability!$B:$E,4,0)),(AV1373*O1373)*(1-$H1373/100),""),"")</f>
        <v/>
      </c>
      <c r="AZ1373" s="116"/>
      <c r="BA1373" s="116"/>
      <c r="BB1373" s="116"/>
      <c r="BE1373" s="62"/>
      <c r="BF1373" s="63"/>
    </row>
    <row r="1374" spans="1:58" ht="12.75" customHeight="1" x14ac:dyDescent="0.25">
      <c r="A1374" s="333"/>
      <c r="B1374" s="334"/>
      <c r="C1374" s="332"/>
      <c r="D1374" s="334"/>
      <c r="E1374" s="335"/>
      <c r="F1374" s="334"/>
      <c r="G1374" s="332"/>
      <c r="H1374" s="332"/>
      <c r="I1374" s="334"/>
      <c r="J1374" s="336"/>
      <c r="K1374" s="332"/>
      <c r="L1374" s="332"/>
      <c r="M1374" s="76"/>
      <c r="N1374" s="103" t="str">
        <f>IF(A1374="","",VLOOKUP(A1374,Stand!C:K,9,0))</f>
        <v/>
      </c>
      <c r="O1374" s="104" t="str">
        <f t="shared" si="605"/>
        <v/>
      </c>
      <c r="P1374" s="105" t="str">
        <f t="shared" si="606"/>
        <v/>
      </c>
      <c r="Q1374" s="105" t="str">
        <f t="shared" si="621"/>
        <v/>
      </c>
      <c r="R1374" s="103" t="str">
        <f t="shared" si="607"/>
        <v/>
      </c>
      <c r="S1374" s="103" t="str">
        <f t="shared" si="608"/>
        <v/>
      </c>
      <c r="T1374" s="106" t="str">
        <f t="shared" si="622"/>
        <v/>
      </c>
      <c r="U1374" s="106" t="str">
        <f t="shared" si="623"/>
        <v/>
      </c>
      <c r="V1374" s="106" t="str">
        <f t="shared" si="624"/>
        <v/>
      </c>
      <c r="W1374" s="105" t="str">
        <f t="shared" si="609"/>
        <v/>
      </c>
      <c r="X1374" s="104" t="str">
        <f t="shared" si="614"/>
        <v/>
      </c>
      <c r="Y1374" s="104" t="str">
        <f t="array" ref="Y1374">IFERROR(IF(ISNUMBER(O1374),IF(COUNT(IF(A1374=$A$2:$A$2427,IF(D1374=$D$2:$D$2427,IF($X$2:$X$2427&gt;0,1))))&gt;0,SUM(IF(A1374=$A$2:$A$2427,IF(D1374=$D$2:$D$2427,$X$2:$X$2427)))/COUNT(IF(A1374=$A$2:$A$2427,IF(D1374=$D$2:$D$2427,IF(ISNUMBER($X$2:$X$2427),1)))),0),""),0)</f>
        <v/>
      </c>
      <c r="Z1374" s="104" t="str">
        <f>IF(ISNUMBER(O1374),IF(I1374&gt;0,(10^(VLOOKUP(D1374,'Species Codes'!B:C,2,0)+VLOOKUP(D1374,'Species Codes'!B:D,3,0)*LOG(E1374)+VLOOKUP(D1374,'Species Codes'!B:E,4,0)*LOG(I1374))),0),"")</f>
        <v/>
      </c>
      <c r="AA1374" s="104" t="str">
        <f>IFERROR((VLOOKUP(D1374,'Species Codes'!B:G,6,0)*Z1374)/2000,"")</f>
        <v/>
      </c>
      <c r="AB1374" s="104" t="e">
        <f>IF(Z1374&gt;0,((IF(OR(D1374="DF",D1374="RA")=TRUE,EXP(VLOOKUP(D1374,'Species Codes'!B:I,8,0)+VLOOKUP(D1374,'Species Codes'!B:J,9,0)*(LN((E1374*2.54)))),IF(OR(D1374="PY",D1374="RC",D1374="WH",D1374="NF")=TRUE,VLOOKUP(D1374,'Species Codes'!B:I,8,0)+VLOOKUP(D1374,'Species Codes'!B:J,9,0)*((E1374*2.54)^2)*(I1374*0.3048),IF(OR(D1374="MD",D1374="BM",D1374="GA")=TRUE,((VLOOKUP(D1374,'Species Codes'!B:I,8,0)*(((((E1374*2.54)+VLOOKUP(D1374,'Species Codes'!B:J,9,0))/VLOOKUP(D1374,'Species Codes'!B:K,10,0))^VLOOKUP(D1374,'Species Codes'!B:L,11,0))*((I1374*0.3048)^VLOOKUP(D1374,'Species Codes'!B:M,12,0))))-(VLOOKUP(D1374,'Species Codes'!B:I,8,0)*((((E1374*2.54)^VLOOKUP(D1374,'Species Codes'!B:L,11,0))*((I1374*0.3048)^VLOOKUP(D1374,'Species Codes'!B:M,12,0))))))*35.3*VLOOKUP(D1374,'Species Codes'!B:G,6,0)/2.2046,VLOOKUP(D1374,'Species Codes'!B:I,8,0)+VLOOKUP(D1374,'Species Codes'!B:J,9,0)*(((E1374*2.54)/100)^2)*(I1374*0.3048)))))*0.0011023),0)</f>
        <v>#N/A</v>
      </c>
      <c r="AC1374" s="104" t="e">
        <f>IF(Z1374&gt;0,((IF(OR(D1374="RA",D1374="OA",D1374="OT",D1374="UN",D1374="PC"),EXP(VLOOKUP(D1374,'Species Codes'!B:O,14,0)+VLOOKUP(D1374,'Species Codes'!B:P,15,0)*LN((E1374*2.54)))-EXP(VLOOKUP(D1374,'Species Codes'!B:O,14,0)+VLOOKUP(D1374,'Species Codes'!B:P,15,0)*LN((E1374*2.54)))*(1/(VLOOKUP(D1374,'Species Codes'!B:Q,16,0)+VLOOKUP(D1374,'Species Codes'!B:R,17,0)*((E1374*2.54)^VLOOKUP(D1374,'Species Codes'!B:S,18,0)))),IF(OR(D1374="BM",D1374="MD",D1374="OA"),EXP(VLOOKUP(D1374,'Species Codes'!B:O,14,0)+VLOOKUP(D1374,'Species Codes'!B:P,15,0)*LN((E1374*2.54)))*(1-(1/(VLOOKUP(D1374,'Species Codes'!B:Q,16,0)+VLOOKUP(D1374,'Species Codes'!B:R,17,0)*((E1374*2.54)^VLOOKUP(D1374,'Species Codes'!B:S,18,0)))))/1000,IF(D1374="DF",EXP(VLOOKUP(D1374,'Species Codes'!B:O,14,0)+VLOOKUP(D1374,'Species Codes'!B:P,15,0)*LN((E1374*2.54))),VLOOKUP(D1374,'Species Codes'!B:O,14,0)+VLOOKUP(D1374,'Species Codes'!B:P,15,0)*(((E1374*2.54)/100)^2)*(I1374*0.3048)))))*0.0011023),0)</f>
        <v>#N/A</v>
      </c>
      <c r="AD1374" s="104" t="e">
        <f t="shared" si="625"/>
        <v>#N/A</v>
      </c>
      <c r="AE1374" s="104" t="e">
        <f t="shared" si="626"/>
        <v>#N/A</v>
      </c>
      <c r="AF1374" s="104" t="e">
        <f>IF(AND(VLOOKUP($D1374,Merchantability!$B:$C,2,0)="Yes",$E1374&gt;=VLOOKUP($D1374,Merchantability!$B:$D,3,0),$E1374&lt;=VLOOKUP($D1374,Merchantability!$B:$E,4,0)),AA1374,0)</f>
        <v>#N/A</v>
      </c>
      <c r="AG1374" s="104" t="e">
        <f>IF(AND(VLOOKUP($D1374,Merchantability!$B:$C,2,0)="Yes",$E1374&gt;=VLOOKUP($D1374,Merchantability!$B:$D,3,0),$E1374&lt;=VLOOKUP($D1374,Merchantability!$B:$E,4,0)),AB1374,0)</f>
        <v>#N/A</v>
      </c>
      <c r="AH1374" s="104" t="e">
        <f>IF(AND(VLOOKUP($D1374,Merchantability!$B:$C,2,0)="Yes",$E1374&gt;=VLOOKUP($D1374,Merchantability!$B:$D,3,0),$E1374&lt;=VLOOKUP($D1374,Merchantability!$B:$E,4,0)),AC1374,0)</f>
        <v>#N/A</v>
      </c>
      <c r="AI1374" s="104" t="e">
        <f t="shared" si="627"/>
        <v>#N/A</v>
      </c>
      <c r="AJ1374" s="104" t="e">
        <f t="shared" si="628"/>
        <v>#VALUE!</v>
      </c>
      <c r="AK1374" s="104" t="e">
        <f t="shared" si="629"/>
        <v>#N/A</v>
      </c>
      <c r="AL1374" s="104" t="e">
        <f t="shared" si="630"/>
        <v>#N/A</v>
      </c>
      <c r="AM1374" s="104" t="e">
        <f t="shared" si="631"/>
        <v>#N/A</v>
      </c>
      <c r="AN1374" s="104" t="e">
        <f t="shared" si="615"/>
        <v>#N/A</v>
      </c>
      <c r="AO1374" s="104" t="e">
        <f t="shared" si="616"/>
        <v>#N/A</v>
      </c>
      <c r="AP1374" s="104" t="e">
        <f t="shared" si="617"/>
        <v>#N/A</v>
      </c>
      <c r="AQ1374" s="104" t="e">
        <f t="shared" si="618"/>
        <v>#N/A</v>
      </c>
      <c r="AR1374" s="105" t="str">
        <f t="shared" si="610"/>
        <v/>
      </c>
      <c r="AS1374" s="105" t="str">
        <f t="shared" si="611"/>
        <v/>
      </c>
      <c r="AT1374" s="108" t="str">
        <f t="shared" si="612"/>
        <v/>
      </c>
      <c r="AU1374" s="108" t="str">
        <f t="shared" si="613"/>
        <v/>
      </c>
      <c r="AV1374" s="107" t="str">
        <f>IF(ISNUMBER(O1374),IF(VLOOKUP($A1374,Stand!C:J,8,FALSE)="Short",AT1374,AU1374),"")</f>
        <v/>
      </c>
      <c r="AW1374" s="109" t="str">
        <f t="shared" si="619"/>
        <v/>
      </c>
      <c r="AX1374" s="109" t="str">
        <f t="shared" si="620"/>
        <v/>
      </c>
      <c r="AY1374" s="112" t="str">
        <f>IF(ISNUMBER(O1374),IF(AND(VLOOKUP($D1374,Merchantability!$B:$C,2,0)="Yes",$E1374&gt;=VLOOKUP($D1374,Merchantability!$B:$D,3,0),$E1374&lt;=VLOOKUP($D1374,Merchantability!$B:$E,4,0)),(AV1374*O1374)*(1-$H1374/100),""),"")</f>
        <v/>
      </c>
      <c r="AZ1374" s="116"/>
      <c r="BA1374" s="116"/>
      <c r="BB1374" s="116"/>
      <c r="BE1374" s="62"/>
      <c r="BF1374" s="63"/>
    </row>
    <row r="1375" spans="1:58" ht="12.75" customHeight="1" x14ac:dyDescent="0.25">
      <c r="A1375" s="333"/>
      <c r="B1375" s="334"/>
      <c r="C1375" s="332"/>
      <c r="D1375" s="334"/>
      <c r="E1375" s="335"/>
      <c r="F1375" s="334"/>
      <c r="G1375" s="332"/>
      <c r="H1375" s="332"/>
      <c r="I1375" s="334"/>
      <c r="J1375" s="336"/>
      <c r="K1375" s="332"/>
      <c r="L1375" s="332"/>
      <c r="M1375" s="76"/>
      <c r="N1375" s="103" t="str">
        <f>IF(A1375="","",VLOOKUP(A1375,Stand!C:K,9,0))</f>
        <v/>
      </c>
      <c r="O1375" s="104" t="str">
        <f t="shared" si="605"/>
        <v/>
      </c>
      <c r="P1375" s="105" t="str">
        <f t="shared" si="606"/>
        <v/>
      </c>
      <c r="Q1375" s="105" t="str">
        <f t="shared" si="621"/>
        <v/>
      </c>
      <c r="R1375" s="103" t="str">
        <f t="shared" si="607"/>
        <v/>
      </c>
      <c r="S1375" s="103" t="str">
        <f t="shared" si="608"/>
        <v/>
      </c>
      <c r="T1375" s="106" t="str">
        <f t="shared" si="622"/>
        <v/>
      </c>
      <c r="U1375" s="106" t="str">
        <f t="shared" si="623"/>
        <v/>
      </c>
      <c r="V1375" s="106" t="str">
        <f t="shared" si="624"/>
        <v/>
      </c>
      <c r="W1375" s="105" t="str">
        <f t="shared" si="609"/>
        <v/>
      </c>
      <c r="X1375" s="104" t="str">
        <f t="shared" si="614"/>
        <v/>
      </c>
      <c r="Y1375" s="104" t="str">
        <f t="array" ref="Y1375">IFERROR(IF(ISNUMBER(O1375),IF(COUNT(IF(A1375=$A$2:$A$2427,IF(D1375=$D$2:$D$2427,IF($X$2:$X$2427&gt;0,1))))&gt;0,SUM(IF(A1375=$A$2:$A$2427,IF(D1375=$D$2:$D$2427,$X$2:$X$2427)))/COUNT(IF(A1375=$A$2:$A$2427,IF(D1375=$D$2:$D$2427,IF(ISNUMBER($X$2:$X$2427),1)))),0),""),0)</f>
        <v/>
      </c>
      <c r="Z1375" s="104" t="str">
        <f>IF(ISNUMBER(O1375),IF(I1375&gt;0,(10^(VLOOKUP(D1375,'Species Codes'!B:C,2,0)+VLOOKUP(D1375,'Species Codes'!B:D,3,0)*LOG(E1375)+VLOOKUP(D1375,'Species Codes'!B:E,4,0)*LOG(I1375))),0),"")</f>
        <v/>
      </c>
      <c r="AA1375" s="104" t="str">
        <f>IFERROR((VLOOKUP(D1375,'Species Codes'!B:G,6,0)*Z1375)/2000,"")</f>
        <v/>
      </c>
      <c r="AB1375" s="104" t="e">
        <f>IF(Z1375&gt;0,((IF(OR(D1375="DF",D1375="RA")=TRUE,EXP(VLOOKUP(D1375,'Species Codes'!B:I,8,0)+VLOOKUP(D1375,'Species Codes'!B:J,9,0)*(LN((E1375*2.54)))),IF(OR(D1375="PY",D1375="RC",D1375="WH",D1375="NF")=TRUE,VLOOKUP(D1375,'Species Codes'!B:I,8,0)+VLOOKUP(D1375,'Species Codes'!B:J,9,0)*((E1375*2.54)^2)*(I1375*0.3048),IF(OR(D1375="MD",D1375="BM",D1375="GA")=TRUE,((VLOOKUP(D1375,'Species Codes'!B:I,8,0)*(((((E1375*2.54)+VLOOKUP(D1375,'Species Codes'!B:J,9,0))/VLOOKUP(D1375,'Species Codes'!B:K,10,0))^VLOOKUP(D1375,'Species Codes'!B:L,11,0))*((I1375*0.3048)^VLOOKUP(D1375,'Species Codes'!B:M,12,0))))-(VLOOKUP(D1375,'Species Codes'!B:I,8,0)*((((E1375*2.54)^VLOOKUP(D1375,'Species Codes'!B:L,11,0))*((I1375*0.3048)^VLOOKUP(D1375,'Species Codes'!B:M,12,0))))))*35.3*VLOOKUP(D1375,'Species Codes'!B:G,6,0)/2.2046,VLOOKUP(D1375,'Species Codes'!B:I,8,0)+VLOOKUP(D1375,'Species Codes'!B:J,9,0)*(((E1375*2.54)/100)^2)*(I1375*0.3048)))))*0.0011023),0)</f>
        <v>#N/A</v>
      </c>
      <c r="AC1375" s="104" t="e">
        <f>IF(Z1375&gt;0,((IF(OR(D1375="RA",D1375="OA",D1375="OT",D1375="UN",D1375="PC"),EXP(VLOOKUP(D1375,'Species Codes'!B:O,14,0)+VLOOKUP(D1375,'Species Codes'!B:P,15,0)*LN((E1375*2.54)))-EXP(VLOOKUP(D1375,'Species Codes'!B:O,14,0)+VLOOKUP(D1375,'Species Codes'!B:P,15,0)*LN((E1375*2.54)))*(1/(VLOOKUP(D1375,'Species Codes'!B:Q,16,0)+VLOOKUP(D1375,'Species Codes'!B:R,17,0)*((E1375*2.54)^VLOOKUP(D1375,'Species Codes'!B:S,18,0)))),IF(OR(D1375="BM",D1375="MD",D1375="OA"),EXP(VLOOKUP(D1375,'Species Codes'!B:O,14,0)+VLOOKUP(D1375,'Species Codes'!B:P,15,0)*LN((E1375*2.54)))*(1-(1/(VLOOKUP(D1375,'Species Codes'!B:Q,16,0)+VLOOKUP(D1375,'Species Codes'!B:R,17,0)*((E1375*2.54)^VLOOKUP(D1375,'Species Codes'!B:S,18,0)))))/1000,IF(D1375="DF",EXP(VLOOKUP(D1375,'Species Codes'!B:O,14,0)+VLOOKUP(D1375,'Species Codes'!B:P,15,0)*LN((E1375*2.54))),VLOOKUP(D1375,'Species Codes'!B:O,14,0)+VLOOKUP(D1375,'Species Codes'!B:P,15,0)*(((E1375*2.54)/100)^2)*(I1375*0.3048)))))*0.0011023),0)</f>
        <v>#N/A</v>
      </c>
      <c r="AD1375" s="104" t="e">
        <f t="shared" si="625"/>
        <v>#N/A</v>
      </c>
      <c r="AE1375" s="104" t="e">
        <f t="shared" si="626"/>
        <v>#N/A</v>
      </c>
      <c r="AF1375" s="104" t="e">
        <f>IF(AND(VLOOKUP($D1375,Merchantability!$B:$C,2,0)="Yes",$E1375&gt;=VLOOKUP($D1375,Merchantability!$B:$D,3,0),$E1375&lt;=VLOOKUP($D1375,Merchantability!$B:$E,4,0)),AA1375,0)</f>
        <v>#N/A</v>
      </c>
      <c r="AG1375" s="104" t="e">
        <f>IF(AND(VLOOKUP($D1375,Merchantability!$B:$C,2,0)="Yes",$E1375&gt;=VLOOKUP($D1375,Merchantability!$B:$D,3,0),$E1375&lt;=VLOOKUP($D1375,Merchantability!$B:$E,4,0)),AB1375,0)</f>
        <v>#N/A</v>
      </c>
      <c r="AH1375" s="104" t="e">
        <f>IF(AND(VLOOKUP($D1375,Merchantability!$B:$C,2,0)="Yes",$E1375&gt;=VLOOKUP($D1375,Merchantability!$B:$D,3,0),$E1375&lt;=VLOOKUP($D1375,Merchantability!$B:$E,4,0)),AC1375,0)</f>
        <v>#N/A</v>
      </c>
      <c r="AI1375" s="104" t="e">
        <f t="shared" si="627"/>
        <v>#N/A</v>
      </c>
      <c r="AJ1375" s="104" t="e">
        <f t="shared" si="628"/>
        <v>#VALUE!</v>
      </c>
      <c r="AK1375" s="104" t="e">
        <f t="shared" si="629"/>
        <v>#N/A</v>
      </c>
      <c r="AL1375" s="104" t="e">
        <f t="shared" si="630"/>
        <v>#N/A</v>
      </c>
      <c r="AM1375" s="104" t="e">
        <f t="shared" si="631"/>
        <v>#N/A</v>
      </c>
      <c r="AN1375" s="104" t="e">
        <f t="shared" si="615"/>
        <v>#N/A</v>
      </c>
      <c r="AO1375" s="104" t="e">
        <f t="shared" si="616"/>
        <v>#N/A</v>
      </c>
      <c r="AP1375" s="104" t="e">
        <f t="shared" si="617"/>
        <v>#N/A</v>
      </c>
      <c r="AQ1375" s="104" t="e">
        <f t="shared" si="618"/>
        <v>#N/A</v>
      </c>
      <c r="AR1375" s="105" t="str">
        <f t="shared" si="610"/>
        <v/>
      </c>
      <c r="AS1375" s="105" t="str">
        <f t="shared" si="611"/>
        <v/>
      </c>
      <c r="AT1375" s="108" t="str">
        <f t="shared" si="612"/>
        <v/>
      </c>
      <c r="AU1375" s="108" t="str">
        <f t="shared" si="613"/>
        <v/>
      </c>
      <c r="AV1375" s="107" t="str">
        <f>IF(ISNUMBER(O1375),IF(VLOOKUP($A1375,Stand!C:J,8,FALSE)="Short",AT1375,AU1375),"")</f>
        <v/>
      </c>
      <c r="AW1375" s="109" t="str">
        <f t="shared" si="619"/>
        <v/>
      </c>
      <c r="AX1375" s="109" t="str">
        <f t="shared" si="620"/>
        <v/>
      </c>
      <c r="AY1375" s="112" t="str">
        <f>IF(ISNUMBER(O1375),IF(AND(VLOOKUP($D1375,Merchantability!$B:$C,2,0)="Yes",$E1375&gt;=VLOOKUP($D1375,Merchantability!$B:$D,3,0),$E1375&lt;=VLOOKUP($D1375,Merchantability!$B:$E,4,0)),(AV1375*O1375)*(1-$H1375/100),""),"")</f>
        <v/>
      </c>
      <c r="AZ1375" s="116"/>
      <c r="BA1375" s="116"/>
      <c r="BB1375" s="116"/>
      <c r="BE1375" s="62"/>
      <c r="BF1375" s="63"/>
    </row>
    <row r="1376" spans="1:58" ht="12.75" customHeight="1" x14ac:dyDescent="0.25">
      <c r="A1376" s="333"/>
      <c r="B1376" s="334"/>
      <c r="C1376" s="332"/>
      <c r="D1376" s="334"/>
      <c r="E1376" s="335"/>
      <c r="F1376" s="334"/>
      <c r="G1376" s="332"/>
      <c r="H1376" s="332"/>
      <c r="I1376" s="334"/>
      <c r="J1376" s="336"/>
      <c r="K1376" s="332"/>
      <c r="L1376" s="332"/>
      <c r="M1376" s="76"/>
      <c r="N1376" s="103" t="str">
        <f>IF(A1376="","",VLOOKUP(A1376,Stand!C:K,9,0))</f>
        <v/>
      </c>
      <c r="O1376" s="104" t="str">
        <f t="shared" si="605"/>
        <v/>
      </c>
      <c r="P1376" s="105" t="str">
        <f t="shared" si="606"/>
        <v/>
      </c>
      <c r="Q1376" s="105" t="str">
        <f t="shared" si="621"/>
        <v/>
      </c>
      <c r="R1376" s="103" t="str">
        <f t="shared" si="607"/>
        <v/>
      </c>
      <c r="S1376" s="103" t="str">
        <f t="shared" si="608"/>
        <v/>
      </c>
      <c r="T1376" s="106" t="str">
        <f t="shared" si="622"/>
        <v/>
      </c>
      <c r="U1376" s="106" t="str">
        <f t="shared" si="623"/>
        <v/>
      </c>
      <c r="V1376" s="106" t="str">
        <f t="shared" si="624"/>
        <v/>
      </c>
      <c r="W1376" s="105" t="str">
        <f t="shared" si="609"/>
        <v/>
      </c>
      <c r="X1376" s="104" t="str">
        <f t="shared" si="614"/>
        <v/>
      </c>
      <c r="Y1376" s="104" t="str">
        <f t="array" ref="Y1376">IFERROR(IF(ISNUMBER(O1376),IF(COUNT(IF(A1376=$A$2:$A$2427,IF(D1376=$D$2:$D$2427,IF($X$2:$X$2427&gt;0,1))))&gt;0,SUM(IF(A1376=$A$2:$A$2427,IF(D1376=$D$2:$D$2427,$X$2:$X$2427)))/COUNT(IF(A1376=$A$2:$A$2427,IF(D1376=$D$2:$D$2427,IF(ISNUMBER($X$2:$X$2427),1)))),0),""),0)</f>
        <v/>
      </c>
      <c r="Z1376" s="104" t="str">
        <f>IF(ISNUMBER(O1376),IF(I1376&gt;0,(10^(VLOOKUP(D1376,'Species Codes'!B:C,2,0)+VLOOKUP(D1376,'Species Codes'!B:D,3,0)*LOG(E1376)+VLOOKUP(D1376,'Species Codes'!B:E,4,0)*LOG(I1376))),0),"")</f>
        <v/>
      </c>
      <c r="AA1376" s="104" t="str">
        <f>IFERROR((VLOOKUP(D1376,'Species Codes'!B:G,6,0)*Z1376)/2000,"")</f>
        <v/>
      </c>
      <c r="AB1376" s="104" t="e">
        <f>IF(Z1376&gt;0,((IF(OR(D1376="DF",D1376="RA")=TRUE,EXP(VLOOKUP(D1376,'Species Codes'!B:I,8,0)+VLOOKUP(D1376,'Species Codes'!B:J,9,0)*(LN((E1376*2.54)))),IF(OR(D1376="PY",D1376="RC",D1376="WH",D1376="NF")=TRUE,VLOOKUP(D1376,'Species Codes'!B:I,8,0)+VLOOKUP(D1376,'Species Codes'!B:J,9,0)*((E1376*2.54)^2)*(I1376*0.3048),IF(OR(D1376="MD",D1376="BM",D1376="GA")=TRUE,((VLOOKUP(D1376,'Species Codes'!B:I,8,0)*(((((E1376*2.54)+VLOOKUP(D1376,'Species Codes'!B:J,9,0))/VLOOKUP(D1376,'Species Codes'!B:K,10,0))^VLOOKUP(D1376,'Species Codes'!B:L,11,0))*((I1376*0.3048)^VLOOKUP(D1376,'Species Codes'!B:M,12,0))))-(VLOOKUP(D1376,'Species Codes'!B:I,8,0)*((((E1376*2.54)^VLOOKUP(D1376,'Species Codes'!B:L,11,0))*((I1376*0.3048)^VLOOKUP(D1376,'Species Codes'!B:M,12,0))))))*35.3*VLOOKUP(D1376,'Species Codes'!B:G,6,0)/2.2046,VLOOKUP(D1376,'Species Codes'!B:I,8,0)+VLOOKUP(D1376,'Species Codes'!B:J,9,0)*(((E1376*2.54)/100)^2)*(I1376*0.3048)))))*0.0011023),0)</f>
        <v>#N/A</v>
      </c>
      <c r="AC1376" s="104" t="e">
        <f>IF(Z1376&gt;0,((IF(OR(D1376="RA",D1376="OA",D1376="OT",D1376="UN",D1376="PC"),EXP(VLOOKUP(D1376,'Species Codes'!B:O,14,0)+VLOOKUP(D1376,'Species Codes'!B:P,15,0)*LN((E1376*2.54)))-EXP(VLOOKUP(D1376,'Species Codes'!B:O,14,0)+VLOOKUP(D1376,'Species Codes'!B:P,15,0)*LN((E1376*2.54)))*(1/(VLOOKUP(D1376,'Species Codes'!B:Q,16,0)+VLOOKUP(D1376,'Species Codes'!B:R,17,0)*((E1376*2.54)^VLOOKUP(D1376,'Species Codes'!B:S,18,0)))),IF(OR(D1376="BM",D1376="MD",D1376="OA"),EXP(VLOOKUP(D1376,'Species Codes'!B:O,14,0)+VLOOKUP(D1376,'Species Codes'!B:P,15,0)*LN((E1376*2.54)))*(1-(1/(VLOOKUP(D1376,'Species Codes'!B:Q,16,0)+VLOOKUP(D1376,'Species Codes'!B:R,17,0)*((E1376*2.54)^VLOOKUP(D1376,'Species Codes'!B:S,18,0)))))/1000,IF(D1376="DF",EXP(VLOOKUP(D1376,'Species Codes'!B:O,14,0)+VLOOKUP(D1376,'Species Codes'!B:P,15,0)*LN((E1376*2.54))),VLOOKUP(D1376,'Species Codes'!B:O,14,0)+VLOOKUP(D1376,'Species Codes'!B:P,15,0)*(((E1376*2.54)/100)^2)*(I1376*0.3048)))))*0.0011023),0)</f>
        <v>#N/A</v>
      </c>
      <c r="AD1376" s="104" t="e">
        <f t="shared" si="625"/>
        <v>#N/A</v>
      </c>
      <c r="AE1376" s="104" t="e">
        <f t="shared" si="626"/>
        <v>#N/A</v>
      </c>
      <c r="AF1376" s="104" t="e">
        <f>IF(AND(VLOOKUP($D1376,Merchantability!$B:$C,2,0)="Yes",$E1376&gt;=VLOOKUP($D1376,Merchantability!$B:$D,3,0),$E1376&lt;=VLOOKUP($D1376,Merchantability!$B:$E,4,0)),AA1376,0)</f>
        <v>#N/A</v>
      </c>
      <c r="AG1376" s="104" t="e">
        <f>IF(AND(VLOOKUP($D1376,Merchantability!$B:$C,2,0)="Yes",$E1376&gt;=VLOOKUP($D1376,Merchantability!$B:$D,3,0),$E1376&lt;=VLOOKUP($D1376,Merchantability!$B:$E,4,0)),AB1376,0)</f>
        <v>#N/A</v>
      </c>
      <c r="AH1376" s="104" t="e">
        <f>IF(AND(VLOOKUP($D1376,Merchantability!$B:$C,2,0)="Yes",$E1376&gt;=VLOOKUP($D1376,Merchantability!$B:$D,3,0),$E1376&lt;=VLOOKUP($D1376,Merchantability!$B:$E,4,0)),AC1376,0)</f>
        <v>#N/A</v>
      </c>
      <c r="AI1376" s="104" t="e">
        <f t="shared" si="627"/>
        <v>#N/A</v>
      </c>
      <c r="AJ1376" s="104" t="e">
        <f t="shared" si="628"/>
        <v>#VALUE!</v>
      </c>
      <c r="AK1376" s="104" t="e">
        <f t="shared" si="629"/>
        <v>#N/A</v>
      </c>
      <c r="AL1376" s="104" t="e">
        <f t="shared" si="630"/>
        <v>#N/A</v>
      </c>
      <c r="AM1376" s="104" t="e">
        <f t="shared" si="631"/>
        <v>#N/A</v>
      </c>
      <c r="AN1376" s="104" t="e">
        <f t="shared" si="615"/>
        <v>#N/A</v>
      </c>
      <c r="AO1376" s="104" t="e">
        <f t="shared" si="616"/>
        <v>#N/A</v>
      </c>
      <c r="AP1376" s="104" t="e">
        <f t="shared" si="617"/>
        <v>#N/A</v>
      </c>
      <c r="AQ1376" s="104" t="e">
        <f t="shared" si="618"/>
        <v>#N/A</v>
      </c>
      <c r="AR1376" s="105" t="str">
        <f t="shared" si="610"/>
        <v/>
      </c>
      <c r="AS1376" s="105" t="str">
        <f t="shared" si="611"/>
        <v/>
      </c>
      <c r="AT1376" s="108" t="str">
        <f t="shared" si="612"/>
        <v/>
      </c>
      <c r="AU1376" s="108" t="str">
        <f t="shared" si="613"/>
        <v/>
      </c>
      <c r="AV1376" s="107" t="str">
        <f>IF(ISNUMBER(O1376),IF(VLOOKUP($A1376,Stand!C:J,8,FALSE)="Short",AT1376,AU1376),"")</f>
        <v/>
      </c>
      <c r="AW1376" s="109" t="str">
        <f t="shared" si="619"/>
        <v/>
      </c>
      <c r="AX1376" s="109" t="str">
        <f t="shared" si="620"/>
        <v/>
      </c>
      <c r="AY1376" s="112" t="str">
        <f>IF(ISNUMBER(O1376),IF(AND(VLOOKUP($D1376,Merchantability!$B:$C,2,0)="Yes",$E1376&gt;=VLOOKUP($D1376,Merchantability!$B:$D,3,0),$E1376&lt;=VLOOKUP($D1376,Merchantability!$B:$E,4,0)),(AV1376*O1376)*(1-$H1376/100),""),"")</f>
        <v/>
      </c>
      <c r="AZ1376" s="116"/>
      <c r="BA1376" s="116"/>
      <c r="BB1376" s="116"/>
      <c r="BE1376" s="62"/>
      <c r="BF1376" s="63"/>
    </row>
    <row r="1377" spans="1:58" ht="12.75" customHeight="1" x14ac:dyDescent="0.25">
      <c r="A1377" s="333"/>
      <c r="B1377" s="334"/>
      <c r="C1377" s="332"/>
      <c r="D1377" s="334"/>
      <c r="E1377" s="335"/>
      <c r="F1377" s="334"/>
      <c r="G1377" s="332"/>
      <c r="H1377" s="332"/>
      <c r="I1377" s="334"/>
      <c r="J1377" s="336"/>
      <c r="K1377" s="332"/>
      <c r="L1377" s="332"/>
      <c r="M1377" s="76"/>
      <c r="N1377" s="103" t="str">
        <f>IF(A1377="","",VLOOKUP(A1377,Stand!C:K,9,0))</f>
        <v/>
      </c>
      <c r="O1377" s="104" t="str">
        <f t="shared" si="605"/>
        <v/>
      </c>
      <c r="P1377" s="105" t="str">
        <f t="shared" si="606"/>
        <v/>
      </c>
      <c r="Q1377" s="105" t="str">
        <f t="shared" si="621"/>
        <v/>
      </c>
      <c r="R1377" s="103" t="str">
        <f t="shared" si="607"/>
        <v/>
      </c>
      <c r="S1377" s="103" t="str">
        <f t="shared" si="608"/>
        <v/>
      </c>
      <c r="T1377" s="106" t="str">
        <f t="shared" si="622"/>
        <v/>
      </c>
      <c r="U1377" s="106" t="str">
        <f t="shared" si="623"/>
        <v/>
      </c>
      <c r="V1377" s="106" t="str">
        <f t="shared" si="624"/>
        <v/>
      </c>
      <c r="W1377" s="105" t="str">
        <f t="shared" si="609"/>
        <v/>
      </c>
      <c r="X1377" s="104" t="str">
        <f t="shared" si="614"/>
        <v/>
      </c>
      <c r="Y1377" s="104" t="str">
        <f t="array" ref="Y1377">IFERROR(IF(ISNUMBER(O1377),IF(COUNT(IF(A1377=$A$2:$A$2427,IF(D1377=$D$2:$D$2427,IF($X$2:$X$2427&gt;0,1))))&gt;0,SUM(IF(A1377=$A$2:$A$2427,IF(D1377=$D$2:$D$2427,$X$2:$X$2427)))/COUNT(IF(A1377=$A$2:$A$2427,IF(D1377=$D$2:$D$2427,IF(ISNUMBER($X$2:$X$2427),1)))),0),""),0)</f>
        <v/>
      </c>
      <c r="Z1377" s="104" t="str">
        <f>IF(ISNUMBER(O1377),IF(I1377&gt;0,(10^(VLOOKUP(D1377,'Species Codes'!B:C,2,0)+VLOOKUP(D1377,'Species Codes'!B:D,3,0)*LOG(E1377)+VLOOKUP(D1377,'Species Codes'!B:E,4,0)*LOG(I1377))),0),"")</f>
        <v/>
      </c>
      <c r="AA1377" s="104" t="str">
        <f>IFERROR((VLOOKUP(D1377,'Species Codes'!B:G,6,0)*Z1377)/2000,"")</f>
        <v/>
      </c>
      <c r="AB1377" s="104" t="e">
        <f>IF(Z1377&gt;0,((IF(OR(D1377="DF",D1377="RA")=TRUE,EXP(VLOOKUP(D1377,'Species Codes'!B:I,8,0)+VLOOKUP(D1377,'Species Codes'!B:J,9,0)*(LN((E1377*2.54)))),IF(OR(D1377="PY",D1377="RC",D1377="WH",D1377="NF")=TRUE,VLOOKUP(D1377,'Species Codes'!B:I,8,0)+VLOOKUP(D1377,'Species Codes'!B:J,9,0)*((E1377*2.54)^2)*(I1377*0.3048),IF(OR(D1377="MD",D1377="BM",D1377="GA")=TRUE,((VLOOKUP(D1377,'Species Codes'!B:I,8,0)*(((((E1377*2.54)+VLOOKUP(D1377,'Species Codes'!B:J,9,0))/VLOOKUP(D1377,'Species Codes'!B:K,10,0))^VLOOKUP(D1377,'Species Codes'!B:L,11,0))*((I1377*0.3048)^VLOOKUP(D1377,'Species Codes'!B:M,12,0))))-(VLOOKUP(D1377,'Species Codes'!B:I,8,0)*((((E1377*2.54)^VLOOKUP(D1377,'Species Codes'!B:L,11,0))*((I1377*0.3048)^VLOOKUP(D1377,'Species Codes'!B:M,12,0))))))*35.3*VLOOKUP(D1377,'Species Codes'!B:G,6,0)/2.2046,VLOOKUP(D1377,'Species Codes'!B:I,8,0)+VLOOKUP(D1377,'Species Codes'!B:J,9,0)*(((E1377*2.54)/100)^2)*(I1377*0.3048)))))*0.0011023),0)</f>
        <v>#N/A</v>
      </c>
      <c r="AC1377" s="104" t="e">
        <f>IF(Z1377&gt;0,((IF(OR(D1377="RA",D1377="OA",D1377="OT",D1377="UN",D1377="PC"),EXP(VLOOKUP(D1377,'Species Codes'!B:O,14,0)+VLOOKUP(D1377,'Species Codes'!B:P,15,0)*LN((E1377*2.54)))-EXP(VLOOKUP(D1377,'Species Codes'!B:O,14,0)+VLOOKUP(D1377,'Species Codes'!B:P,15,0)*LN((E1377*2.54)))*(1/(VLOOKUP(D1377,'Species Codes'!B:Q,16,0)+VLOOKUP(D1377,'Species Codes'!B:R,17,0)*((E1377*2.54)^VLOOKUP(D1377,'Species Codes'!B:S,18,0)))),IF(OR(D1377="BM",D1377="MD",D1377="OA"),EXP(VLOOKUP(D1377,'Species Codes'!B:O,14,0)+VLOOKUP(D1377,'Species Codes'!B:P,15,0)*LN((E1377*2.54)))*(1-(1/(VLOOKUP(D1377,'Species Codes'!B:Q,16,0)+VLOOKUP(D1377,'Species Codes'!B:R,17,0)*((E1377*2.54)^VLOOKUP(D1377,'Species Codes'!B:S,18,0)))))/1000,IF(D1377="DF",EXP(VLOOKUP(D1377,'Species Codes'!B:O,14,0)+VLOOKUP(D1377,'Species Codes'!B:P,15,0)*LN((E1377*2.54))),VLOOKUP(D1377,'Species Codes'!B:O,14,0)+VLOOKUP(D1377,'Species Codes'!B:P,15,0)*(((E1377*2.54)/100)^2)*(I1377*0.3048)))))*0.0011023),0)</f>
        <v>#N/A</v>
      </c>
      <c r="AD1377" s="104" t="e">
        <f t="shared" si="625"/>
        <v>#N/A</v>
      </c>
      <c r="AE1377" s="104" t="e">
        <f t="shared" si="626"/>
        <v>#N/A</v>
      </c>
      <c r="AF1377" s="104" t="e">
        <f>IF(AND(VLOOKUP($D1377,Merchantability!$B:$C,2,0)="Yes",$E1377&gt;=VLOOKUP($D1377,Merchantability!$B:$D,3,0),$E1377&lt;=VLOOKUP($D1377,Merchantability!$B:$E,4,0)),AA1377,0)</f>
        <v>#N/A</v>
      </c>
      <c r="AG1377" s="104" t="e">
        <f>IF(AND(VLOOKUP($D1377,Merchantability!$B:$C,2,0)="Yes",$E1377&gt;=VLOOKUP($D1377,Merchantability!$B:$D,3,0),$E1377&lt;=VLOOKUP($D1377,Merchantability!$B:$E,4,0)),AB1377,0)</f>
        <v>#N/A</v>
      </c>
      <c r="AH1377" s="104" t="e">
        <f>IF(AND(VLOOKUP($D1377,Merchantability!$B:$C,2,0)="Yes",$E1377&gt;=VLOOKUP($D1377,Merchantability!$B:$D,3,0),$E1377&lt;=VLOOKUP($D1377,Merchantability!$B:$E,4,0)),AC1377,0)</f>
        <v>#N/A</v>
      </c>
      <c r="AI1377" s="104" t="e">
        <f t="shared" si="627"/>
        <v>#N/A</v>
      </c>
      <c r="AJ1377" s="104" t="e">
        <f t="shared" si="628"/>
        <v>#VALUE!</v>
      </c>
      <c r="AK1377" s="104" t="e">
        <f t="shared" si="629"/>
        <v>#N/A</v>
      </c>
      <c r="AL1377" s="104" t="e">
        <f t="shared" si="630"/>
        <v>#N/A</v>
      </c>
      <c r="AM1377" s="104" t="e">
        <f t="shared" si="631"/>
        <v>#N/A</v>
      </c>
      <c r="AN1377" s="104" t="e">
        <f t="shared" si="615"/>
        <v>#N/A</v>
      </c>
      <c r="AO1377" s="104" t="e">
        <f t="shared" si="616"/>
        <v>#N/A</v>
      </c>
      <c r="AP1377" s="104" t="e">
        <f t="shared" si="617"/>
        <v>#N/A</v>
      </c>
      <c r="AQ1377" s="104" t="e">
        <f t="shared" si="618"/>
        <v>#N/A</v>
      </c>
      <c r="AR1377" s="105" t="str">
        <f t="shared" si="610"/>
        <v/>
      </c>
      <c r="AS1377" s="105" t="str">
        <f t="shared" si="611"/>
        <v/>
      </c>
      <c r="AT1377" s="108" t="str">
        <f t="shared" si="612"/>
        <v/>
      </c>
      <c r="AU1377" s="108" t="str">
        <f t="shared" si="613"/>
        <v/>
      </c>
      <c r="AV1377" s="107" t="str">
        <f>IF(ISNUMBER(O1377),IF(VLOOKUP($A1377,Stand!C:J,8,FALSE)="Short",AT1377,AU1377),"")</f>
        <v/>
      </c>
      <c r="AW1377" s="109" t="str">
        <f t="shared" si="619"/>
        <v/>
      </c>
      <c r="AX1377" s="109" t="str">
        <f t="shared" si="620"/>
        <v/>
      </c>
      <c r="AY1377" s="112" t="str">
        <f>IF(ISNUMBER(O1377),IF(AND(VLOOKUP($D1377,Merchantability!$B:$C,2,0)="Yes",$E1377&gt;=VLOOKUP($D1377,Merchantability!$B:$D,3,0),$E1377&lt;=VLOOKUP($D1377,Merchantability!$B:$E,4,0)),(AV1377*O1377)*(1-$H1377/100),""),"")</f>
        <v/>
      </c>
      <c r="AZ1377" s="116"/>
      <c r="BA1377" s="116"/>
      <c r="BB1377" s="116"/>
      <c r="BE1377" s="62"/>
      <c r="BF1377" s="63"/>
    </row>
    <row r="1378" spans="1:58" ht="12.75" customHeight="1" x14ac:dyDescent="0.25">
      <c r="A1378" s="333"/>
      <c r="B1378" s="334"/>
      <c r="C1378" s="332"/>
      <c r="D1378" s="334"/>
      <c r="E1378" s="335"/>
      <c r="F1378" s="334"/>
      <c r="G1378" s="332"/>
      <c r="H1378" s="332"/>
      <c r="I1378" s="334"/>
      <c r="J1378" s="336"/>
      <c r="K1378" s="332"/>
      <c r="L1378" s="332"/>
      <c r="M1378" s="76"/>
      <c r="N1378" s="103" t="str">
        <f>IF(A1378="","",VLOOKUP(A1378,Stand!C:K,9,0))</f>
        <v/>
      </c>
      <c r="O1378" s="104" t="str">
        <f t="shared" si="605"/>
        <v/>
      </c>
      <c r="P1378" s="105" t="str">
        <f t="shared" si="606"/>
        <v/>
      </c>
      <c r="Q1378" s="105" t="str">
        <f t="shared" si="621"/>
        <v/>
      </c>
      <c r="R1378" s="103" t="str">
        <f t="shared" si="607"/>
        <v/>
      </c>
      <c r="S1378" s="103" t="str">
        <f t="shared" si="608"/>
        <v/>
      </c>
      <c r="T1378" s="106" t="str">
        <f t="shared" si="622"/>
        <v/>
      </c>
      <c r="U1378" s="106" t="str">
        <f t="shared" si="623"/>
        <v/>
      </c>
      <c r="V1378" s="106" t="str">
        <f t="shared" si="624"/>
        <v/>
      </c>
      <c r="W1378" s="105" t="str">
        <f t="shared" si="609"/>
        <v/>
      </c>
      <c r="X1378" s="104" t="str">
        <f t="shared" si="614"/>
        <v/>
      </c>
      <c r="Y1378" s="104" t="str">
        <f t="array" ref="Y1378">IFERROR(IF(ISNUMBER(O1378),IF(COUNT(IF(A1378=$A$2:$A$2427,IF(D1378=$D$2:$D$2427,IF($X$2:$X$2427&gt;0,1))))&gt;0,SUM(IF(A1378=$A$2:$A$2427,IF(D1378=$D$2:$D$2427,$X$2:$X$2427)))/COUNT(IF(A1378=$A$2:$A$2427,IF(D1378=$D$2:$D$2427,IF(ISNUMBER($X$2:$X$2427),1)))),0),""),0)</f>
        <v/>
      </c>
      <c r="Z1378" s="104" t="str">
        <f>IF(ISNUMBER(O1378),IF(I1378&gt;0,(10^(VLOOKUP(D1378,'Species Codes'!B:C,2,0)+VLOOKUP(D1378,'Species Codes'!B:D,3,0)*LOG(E1378)+VLOOKUP(D1378,'Species Codes'!B:E,4,0)*LOG(I1378))),0),"")</f>
        <v/>
      </c>
      <c r="AA1378" s="104" t="str">
        <f>IFERROR((VLOOKUP(D1378,'Species Codes'!B:G,6,0)*Z1378)/2000,"")</f>
        <v/>
      </c>
      <c r="AB1378" s="104" t="e">
        <f>IF(Z1378&gt;0,((IF(OR(D1378="DF",D1378="RA")=TRUE,EXP(VLOOKUP(D1378,'Species Codes'!B:I,8,0)+VLOOKUP(D1378,'Species Codes'!B:J,9,0)*(LN((E1378*2.54)))),IF(OR(D1378="PY",D1378="RC",D1378="WH",D1378="NF")=TRUE,VLOOKUP(D1378,'Species Codes'!B:I,8,0)+VLOOKUP(D1378,'Species Codes'!B:J,9,0)*((E1378*2.54)^2)*(I1378*0.3048),IF(OR(D1378="MD",D1378="BM",D1378="GA")=TRUE,((VLOOKUP(D1378,'Species Codes'!B:I,8,0)*(((((E1378*2.54)+VLOOKUP(D1378,'Species Codes'!B:J,9,0))/VLOOKUP(D1378,'Species Codes'!B:K,10,0))^VLOOKUP(D1378,'Species Codes'!B:L,11,0))*((I1378*0.3048)^VLOOKUP(D1378,'Species Codes'!B:M,12,0))))-(VLOOKUP(D1378,'Species Codes'!B:I,8,0)*((((E1378*2.54)^VLOOKUP(D1378,'Species Codes'!B:L,11,0))*((I1378*0.3048)^VLOOKUP(D1378,'Species Codes'!B:M,12,0))))))*35.3*VLOOKUP(D1378,'Species Codes'!B:G,6,0)/2.2046,VLOOKUP(D1378,'Species Codes'!B:I,8,0)+VLOOKUP(D1378,'Species Codes'!B:J,9,0)*(((E1378*2.54)/100)^2)*(I1378*0.3048)))))*0.0011023),0)</f>
        <v>#N/A</v>
      </c>
      <c r="AC1378" s="104" t="e">
        <f>IF(Z1378&gt;0,((IF(OR(D1378="RA",D1378="OA",D1378="OT",D1378="UN",D1378="PC"),EXP(VLOOKUP(D1378,'Species Codes'!B:O,14,0)+VLOOKUP(D1378,'Species Codes'!B:P,15,0)*LN((E1378*2.54)))-EXP(VLOOKUP(D1378,'Species Codes'!B:O,14,0)+VLOOKUP(D1378,'Species Codes'!B:P,15,0)*LN((E1378*2.54)))*(1/(VLOOKUP(D1378,'Species Codes'!B:Q,16,0)+VLOOKUP(D1378,'Species Codes'!B:R,17,0)*((E1378*2.54)^VLOOKUP(D1378,'Species Codes'!B:S,18,0)))),IF(OR(D1378="BM",D1378="MD",D1378="OA"),EXP(VLOOKUP(D1378,'Species Codes'!B:O,14,0)+VLOOKUP(D1378,'Species Codes'!B:P,15,0)*LN((E1378*2.54)))*(1-(1/(VLOOKUP(D1378,'Species Codes'!B:Q,16,0)+VLOOKUP(D1378,'Species Codes'!B:R,17,0)*((E1378*2.54)^VLOOKUP(D1378,'Species Codes'!B:S,18,0)))))/1000,IF(D1378="DF",EXP(VLOOKUP(D1378,'Species Codes'!B:O,14,0)+VLOOKUP(D1378,'Species Codes'!B:P,15,0)*LN((E1378*2.54))),VLOOKUP(D1378,'Species Codes'!B:O,14,0)+VLOOKUP(D1378,'Species Codes'!B:P,15,0)*(((E1378*2.54)/100)^2)*(I1378*0.3048)))))*0.0011023),0)</f>
        <v>#N/A</v>
      </c>
      <c r="AD1378" s="104" t="e">
        <f t="shared" si="625"/>
        <v>#N/A</v>
      </c>
      <c r="AE1378" s="104" t="e">
        <f t="shared" si="626"/>
        <v>#N/A</v>
      </c>
      <c r="AF1378" s="104" t="e">
        <f>IF(AND(VLOOKUP($D1378,Merchantability!$B:$C,2,0)="Yes",$E1378&gt;=VLOOKUP($D1378,Merchantability!$B:$D,3,0),$E1378&lt;=VLOOKUP($D1378,Merchantability!$B:$E,4,0)),AA1378,0)</f>
        <v>#N/A</v>
      </c>
      <c r="AG1378" s="104" t="e">
        <f>IF(AND(VLOOKUP($D1378,Merchantability!$B:$C,2,0)="Yes",$E1378&gt;=VLOOKUP($D1378,Merchantability!$B:$D,3,0),$E1378&lt;=VLOOKUP($D1378,Merchantability!$B:$E,4,0)),AB1378,0)</f>
        <v>#N/A</v>
      </c>
      <c r="AH1378" s="104" t="e">
        <f>IF(AND(VLOOKUP($D1378,Merchantability!$B:$C,2,0)="Yes",$E1378&gt;=VLOOKUP($D1378,Merchantability!$B:$D,3,0),$E1378&lt;=VLOOKUP($D1378,Merchantability!$B:$E,4,0)),AC1378,0)</f>
        <v>#N/A</v>
      </c>
      <c r="AI1378" s="104" t="e">
        <f t="shared" si="627"/>
        <v>#N/A</v>
      </c>
      <c r="AJ1378" s="104" t="e">
        <f t="shared" si="628"/>
        <v>#VALUE!</v>
      </c>
      <c r="AK1378" s="104" t="e">
        <f t="shared" si="629"/>
        <v>#N/A</v>
      </c>
      <c r="AL1378" s="104" t="e">
        <f t="shared" si="630"/>
        <v>#N/A</v>
      </c>
      <c r="AM1378" s="104" t="e">
        <f t="shared" si="631"/>
        <v>#N/A</v>
      </c>
      <c r="AN1378" s="104" t="e">
        <f t="shared" si="615"/>
        <v>#N/A</v>
      </c>
      <c r="AO1378" s="104" t="e">
        <f t="shared" si="616"/>
        <v>#N/A</v>
      </c>
      <c r="AP1378" s="104" t="e">
        <f t="shared" si="617"/>
        <v>#N/A</v>
      </c>
      <c r="AQ1378" s="104" t="e">
        <f t="shared" si="618"/>
        <v>#N/A</v>
      </c>
      <c r="AR1378" s="105" t="str">
        <f t="shared" si="610"/>
        <v/>
      </c>
      <c r="AS1378" s="105" t="str">
        <f t="shared" si="611"/>
        <v/>
      </c>
      <c r="AT1378" s="108" t="str">
        <f t="shared" si="612"/>
        <v/>
      </c>
      <c r="AU1378" s="108" t="str">
        <f t="shared" si="613"/>
        <v/>
      </c>
      <c r="AV1378" s="107" t="str">
        <f>IF(ISNUMBER(O1378),IF(VLOOKUP($A1378,Stand!C:J,8,FALSE)="Short",AT1378,AU1378),"")</f>
        <v/>
      </c>
      <c r="AW1378" s="109" t="str">
        <f t="shared" si="619"/>
        <v/>
      </c>
      <c r="AX1378" s="109" t="str">
        <f t="shared" si="620"/>
        <v/>
      </c>
      <c r="AY1378" s="112" t="str">
        <f>IF(ISNUMBER(O1378),IF(AND(VLOOKUP($D1378,Merchantability!$B:$C,2,0)="Yes",$E1378&gt;=VLOOKUP($D1378,Merchantability!$B:$D,3,0),$E1378&lt;=VLOOKUP($D1378,Merchantability!$B:$E,4,0)),(AV1378*O1378)*(1-$H1378/100),""),"")</f>
        <v/>
      </c>
      <c r="AZ1378" s="116"/>
      <c r="BA1378" s="116"/>
      <c r="BB1378" s="116"/>
      <c r="BE1378" s="62"/>
      <c r="BF1378" s="63"/>
    </row>
    <row r="1379" spans="1:58" ht="12.75" customHeight="1" x14ac:dyDescent="0.25">
      <c r="A1379" s="333"/>
      <c r="B1379" s="334"/>
      <c r="C1379" s="332"/>
      <c r="D1379" s="334"/>
      <c r="E1379" s="335"/>
      <c r="F1379" s="334"/>
      <c r="G1379" s="332"/>
      <c r="H1379" s="332"/>
      <c r="I1379" s="334"/>
      <c r="J1379" s="336"/>
      <c r="K1379" s="332"/>
      <c r="L1379" s="332"/>
      <c r="M1379" s="76"/>
      <c r="N1379" s="103" t="str">
        <f>IF(A1379="","",VLOOKUP(A1379,Stand!C:K,9,0))</f>
        <v/>
      </c>
      <c r="O1379" s="104" t="str">
        <f t="shared" si="605"/>
        <v/>
      </c>
      <c r="P1379" s="105" t="str">
        <f t="shared" si="606"/>
        <v/>
      </c>
      <c r="Q1379" s="105" t="str">
        <f t="shared" si="621"/>
        <v/>
      </c>
      <c r="R1379" s="103" t="str">
        <f t="shared" si="607"/>
        <v/>
      </c>
      <c r="S1379" s="103" t="str">
        <f t="shared" si="608"/>
        <v/>
      </c>
      <c r="T1379" s="106" t="str">
        <f t="shared" si="622"/>
        <v/>
      </c>
      <c r="U1379" s="106" t="str">
        <f t="shared" si="623"/>
        <v/>
      </c>
      <c r="V1379" s="106" t="str">
        <f t="shared" si="624"/>
        <v/>
      </c>
      <c r="W1379" s="105" t="str">
        <f t="shared" si="609"/>
        <v/>
      </c>
      <c r="X1379" s="104" t="str">
        <f t="shared" si="614"/>
        <v/>
      </c>
      <c r="Y1379" s="104" t="str">
        <f t="array" ref="Y1379">IFERROR(IF(ISNUMBER(O1379),IF(COUNT(IF(A1379=$A$2:$A$2427,IF(D1379=$D$2:$D$2427,IF($X$2:$X$2427&gt;0,1))))&gt;0,SUM(IF(A1379=$A$2:$A$2427,IF(D1379=$D$2:$D$2427,$X$2:$X$2427)))/COUNT(IF(A1379=$A$2:$A$2427,IF(D1379=$D$2:$D$2427,IF(ISNUMBER($X$2:$X$2427),1)))),0),""),0)</f>
        <v/>
      </c>
      <c r="Z1379" s="104" t="str">
        <f>IF(ISNUMBER(O1379),IF(I1379&gt;0,(10^(VLOOKUP(D1379,'Species Codes'!B:C,2,0)+VLOOKUP(D1379,'Species Codes'!B:D,3,0)*LOG(E1379)+VLOOKUP(D1379,'Species Codes'!B:E,4,0)*LOG(I1379))),0),"")</f>
        <v/>
      </c>
      <c r="AA1379" s="104" t="str">
        <f>IFERROR((VLOOKUP(D1379,'Species Codes'!B:G,6,0)*Z1379)/2000,"")</f>
        <v/>
      </c>
      <c r="AB1379" s="104" t="e">
        <f>IF(Z1379&gt;0,((IF(OR(D1379="DF",D1379="RA")=TRUE,EXP(VLOOKUP(D1379,'Species Codes'!B:I,8,0)+VLOOKUP(D1379,'Species Codes'!B:J,9,0)*(LN((E1379*2.54)))),IF(OR(D1379="PY",D1379="RC",D1379="WH",D1379="NF")=TRUE,VLOOKUP(D1379,'Species Codes'!B:I,8,0)+VLOOKUP(D1379,'Species Codes'!B:J,9,0)*((E1379*2.54)^2)*(I1379*0.3048),IF(OR(D1379="MD",D1379="BM",D1379="GA")=TRUE,((VLOOKUP(D1379,'Species Codes'!B:I,8,0)*(((((E1379*2.54)+VLOOKUP(D1379,'Species Codes'!B:J,9,0))/VLOOKUP(D1379,'Species Codes'!B:K,10,0))^VLOOKUP(D1379,'Species Codes'!B:L,11,0))*((I1379*0.3048)^VLOOKUP(D1379,'Species Codes'!B:M,12,0))))-(VLOOKUP(D1379,'Species Codes'!B:I,8,0)*((((E1379*2.54)^VLOOKUP(D1379,'Species Codes'!B:L,11,0))*((I1379*0.3048)^VLOOKUP(D1379,'Species Codes'!B:M,12,0))))))*35.3*VLOOKUP(D1379,'Species Codes'!B:G,6,0)/2.2046,VLOOKUP(D1379,'Species Codes'!B:I,8,0)+VLOOKUP(D1379,'Species Codes'!B:J,9,0)*(((E1379*2.54)/100)^2)*(I1379*0.3048)))))*0.0011023),0)</f>
        <v>#N/A</v>
      </c>
      <c r="AC1379" s="104" t="e">
        <f>IF(Z1379&gt;0,((IF(OR(D1379="RA",D1379="OA",D1379="OT",D1379="UN",D1379="PC"),EXP(VLOOKUP(D1379,'Species Codes'!B:O,14,0)+VLOOKUP(D1379,'Species Codes'!B:P,15,0)*LN((E1379*2.54)))-EXP(VLOOKUP(D1379,'Species Codes'!B:O,14,0)+VLOOKUP(D1379,'Species Codes'!B:P,15,0)*LN((E1379*2.54)))*(1/(VLOOKUP(D1379,'Species Codes'!B:Q,16,0)+VLOOKUP(D1379,'Species Codes'!B:R,17,0)*((E1379*2.54)^VLOOKUP(D1379,'Species Codes'!B:S,18,0)))),IF(OR(D1379="BM",D1379="MD",D1379="OA"),EXP(VLOOKUP(D1379,'Species Codes'!B:O,14,0)+VLOOKUP(D1379,'Species Codes'!B:P,15,0)*LN((E1379*2.54)))*(1-(1/(VLOOKUP(D1379,'Species Codes'!B:Q,16,0)+VLOOKUP(D1379,'Species Codes'!B:R,17,0)*((E1379*2.54)^VLOOKUP(D1379,'Species Codes'!B:S,18,0)))))/1000,IF(D1379="DF",EXP(VLOOKUP(D1379,'Species Codes'!B:O,14,0)+VLOOKUP(D1379,'Species Codes'!B:P,15,0)*LN((E1379*2.54))),VLOOKUP(D1379,'Species Codes'!B:O,14,0)+VLOOKUP(D1379,'Species Codes'!B:P,15,0)*(((E1379*2.54)/100)^2)*(I1379*0.3048)))))*0.0011023),0)</f>
        <v>#N/A</v>
      </c>
      <c r="AD1379" s="104" t="e">
        <f t="shared" si="625"/>
        <v>#N/A</v>
      </c>
      <c r="AE1379" s="104" t="e">
        <f t="shared" si="626"/>
        <v>#N/A</v>
      </c>
      <c r="AF1379" s="104" t="e">
        <f>IF(AND(VLOOKUP($D1379,Merchantability!$B:$C,2,0)="Yes",$E1379&gt;=VLOOKUP($D1379,Merchantability!$B:$D,3,0),$E1379&lt;=VLOOKUP($D1379,Merchantability!$B:$E,4,0)),AA1379,0)</f>
        <v>#N/A</v>
      </c>
      <c r="AG1379" s="104" t="e">
        <f>IF(AND(VLOOKUP($D1379,Merchantability!$B:$C,2,0)="Yes",$E1379&gt;=VLOOKUP($D1379,Merchantability!$B:$D,3,0),$E1379&lt;=VLOOKUP($D1379,Merchantability!$B:$E,4,0)),AB1379,0)</f>
        <v>#N/A</v>
      </c>
      <c r="AH1379" s="104" t="e">
        <f>IF(AND(VLOOKUP($D1379,Merchantability!$B:$C,2,0)="Yes",$E1379&gt;=VLOOKUP($D1379,Merchantability!$B:$D,3,0),$E1379&lt;=VLOOKUP($D1379,Merchantability!$B:$E,4,0)),AC1379,0)</f>
        <v>#N/A</v>
      </c>
      <c r="AI1379" s="104" t="e">
        <f t="shared" si="627"/>
        <v>#N/A</v>
      </c>
      <c r="AJ1379" s="104" t="e">
        <f t="shared" si="628"/>
        <v>#VALUE!</v>
      </c>
      <c r="AK1379" s="104" t="e">
        <f t="shared" si="629"/>
        <v>#N/A</v>
      </c>
      <c r="AL1379" s="104" t="e">
        <f t="shared" si="630"/>
        <v>#N/A</v>
      </c>
      <c r="AM1379" s="104" t="e">
        <f t="shared" si="631"/>
        <v>#N/A</v>
      </c>
      <c r="AN1379" s="104" t="e">
        <f t="shared" si="615"/>
        <v>#N/A</v>
      </c>
      <c r="AO1379" s="104" t="e">
        <f t="shared" si="616"/>
        <v>#N/A</v>
      </c>
      <c r="AP1379" s="104" t="e">
        <f t="shared" si="617"/>
        <v>#N/A</v>
      </c>
      <c r="AQ1379" s="104" t="e">
        <f t="shared" si="618"/>
        <v>#N/A</v>
      </c>
      <c r="AR1379" s="105" t="str">
        <f t="shared" si="610"/>
        <v/>
      </c>
      <c r="AS1379" s="105" t="str">
        <f t="shared" si="611"/>
        <v/>
      </c>
      <c r="AT1379" s="108" t="str">
        <f t="shared" si="612"/>
        <v/>
      </c>
      <c r="AU1379" s="108" t="str">
        <f t="shared" si="613"/>
        <v/>
      </c>
      <c r="AV1379" s="107" t="str">
        <f>IF(ISNUMBER(O1379),IF(VLOOKUP($A1379,Stand!C:J,8,FALSE)="Short",AT1379,AU1379),"")</f>
        <v/>
      </c>
      <c r="AW1379" s="109" t="str">
        <f t="shared" si="619"/>
        <v/>
      </c>
      <c r="AX1379" s="109" t="str">
        <f t="shared" si="620"/>
        <v/>
      </c>
      <c r="AY1379" s="112" t="str">
        <f>IF(ISNUMBER(O1379),IF(AND(VLOOKUP($D1379,Merchantability!$B:$C,2,0)="Yes",$E1379&gt;=VLOOKUP($D1379,Merchantability!$B:$D,3,0),$E1379&lt;=VLOOKUP($D1379,Merchantability!$B:$E,4,0)),(AV1379*O1379)*(1-$H1379/100),""),"")</f>
        <v/>
      </c>
      <c r="AZ1379" s="116"/>
      <c r="BA1379" s="116"/>
      <c r="BB1379" s="116"/>
      <c r="BE1379" s="62"/>
      <c r="BF1379" s="63"/>
    </row>
    <row r="1380" spans="1:58" ht="12.75" customHeight="1" x14ac:dyDescent="0.25">
      <c r="A1380" s="333"/>
      <c r="B1380" s="334"/>
      <c r="C1380" s="332"/>
      <c r="D1380" s="334"/>
      <c r="E1380" s="335"/>
      <c r="F1380" s="334"/>
      <c r="G1380" s="332"/>
      <c r="H1380" s="332"/>
      <c r="I1380" s="334"/>
      <c r="J1380" s="336"/>
      <c r="K1380" s="332"/>
      <c r="L1380" s="332"/>
      <c r="M1380" s="76"/>
      <c r="N1380" s="103" t="str">
        <f>IF(A1380="","",VLOOKUP(A1380,Stand!C:K,9,0))</f>
        <v/>
      </c>
      <c r="O1380" s="104" t="str">
        <f t="shared" si="605"/>
        <v/>
      </c>
      <c r="P1380" s="105" t="str">
        <f t="shared" si="606"/>
        <v/>
      </c>
      <c r="Q1380" s="105" t="str">
        <f t="shared" si="621"/>
        <v/>
      </c>
      <c r="R1380" s="103" t="str">
        <f t="shared" si="607"/>
        <v/>
      </c>
      <c r="S1380" s="103" t="str">
        <f t="shared" si="608"/>
        <v/>
      </c>
      <c r="T1380" s="106" t="str">
        <f t="shared" si="622"/>
        <v/>
      </c>
      <c r="U1380" s="106" t="str">
        <f t="shared" si="623"/>
        <v/>
      </c>
      <c r="V1380" s="106" t="str">
        <f t="shared" si="624"/>
        <v/>
      </c>
      <c r="W1380" s="105" t="str">
        <f t="shared" si="609"/>
        <v/>
      </c>
      <c r="X1380" s="104" t="str">
        <f t="shared" si="614"/>
        <v/>
      </c>
      <c r="Y1380" s="104" t="str">
        <f t="array" ref="Y1380">IFERROR(IF(ISNUMBER(O1380),IF(COUNT(IF(A1380=$A$2:$A$2427,IF(D1380=$D$2:$D$2427,IF($X$2:$X$2427&gt;0,1))))&gt;0,SUM(IF(A1380=$A$2:$A$2427,IF(D1380=$D$2:$D$2427,$X$2:$X$2427)))/COUNT(IF(A1380=$A$2:$A$2427,IF(D1380=$D$2:$D$2427,IF(ISNUMBER($X$2:$X$2427),1)))),0),""),0)</f>
        <v/>
      </c>
      <c r="Z1380" s="104" t="str">
        <f>IF(ISNUMBER(O1380),IF(I1380&gt;0,(10^(VLOOKUP(D1380,'Species Codes'!B:C,2,0)+VLOOKUP(D1380,'Species Codes'!B:D,3,0)*LOG(E1380)+VLOOKUP(D1380,'Species Codes'!B:E,4,0)*LOG(I1380))),0),"")</f>
        <v/>
      </c>
      <c r="AA1380" s="104" t="str">
        <f>IFERROR((VLOOKUP(D1380,'Species Codes'!B:G,6,0)*Z1380)/2000,"")</f>
        <v/>
      </c>
      <c r="AB1380" s="104" t="e">
        <f>IF(Z1380&gt;0,((IF(OR(D1380="DF",D1380="RA")=TRUE,EXP(VLOOKUP(D1380,'Species Codes'!B:I,8,0)+VLOOKUP(D1380,'Species Codes'!B:J,9,0)*(LN((E1380*2.54)))),IF(OR(D1380="PY",D1380="RC",D1380="WH",D1380="NF")=TRUE,VLOOKUP(D1380,'Species Codes'!B:I,8,0)+VLOOKUP(D1380,'Species Codes'!B:J,9,0)*((E1380*2.54)^2)*(I1380*0.3048),IF(OR(D1380="MD",D1380="BM",D1380="GA")=TRUE,((VLOOKUP(D1380,'Species Codes'!B:I,8,0)*(((((E1380*2.54)+VLOOKUP(D1380,'Species Codes'!B:J,9,0))/VLOOKUP(D1380,'Species Codes'!B:K,10,0))^VLOOKUP(D1380,'Species Codes'!B:L,11,0))*((I1380*0.3048)^VLOOKUP(D1380,'Species Codes'!B:M,12,0))))-(VLOOKUP(D1380,'Species Codes'!B:I,8,0)*((((E1380*2.54)^VLOOKUP(D1380,'Species Codes'!B:L,11,0))*((I1380*0.3048)^VLOOKUP(D1380,'Species Codes'!B:M,12,0))))))*35.3*VLOOKUP(D1380,'Species Codes'!B:G,6,0)/2.2046,VLOOKUP(D1380,'Species Codes'!B:I,8,0)+VLOOKUP(D1380,'Species Codes'!B:J,9,0)*(((E1380*2.54)/100)^2)*(I1380*0.3048)))))*0.0011023),0)</f>
        <v>#N/A</v>
      </c>
      <c r="AC1380" s="104" t="e">
        <f>IF(Z1380&gt;0,((IF(OR(D1380="RA",D1380="OA",D1380="OT",D1380="UN",D1380="PC"),EXP(VLOOKUP(D1380,'Species Codes'!B:O,14,0)+VLOOKUP(D1380,'Species Codes'!B:P,15,0)*LN((E1380*2.54)))-EXP(VLOOKUP(D1380,'Species Codes'!B:O,14,0)+VLOOKUP(D1380,'Species Codes'!B:P,15,0)*LN((E1380*2.54)))*(1/(VLOOKUP(D1380,'Species Codes'!B:Q,16,0)+VLOOKUP(D1380,'Species Codes'!B:R,17,0)*((E1380*2.54)^VLOOKUP(D1380,'Species Codes'!B:S,18,0)))),IF(OR(D1380="BM",D1380="MD",D1380="OA"),EXP(VLOOKUP(D1380,'Species Codes'!B:O,14,0)+VLOOKUP(D1380,'Species Codes'!B:P,15,0)*LN((E1380*2.54)))*(1-(1/(VLOOKUP(D1380,'Species Codes'!B:Q,16,0)+VLOOKUP(D1380,'Species Codes'!B:R,17,0)*((E1380*2.54)^VLOOKUP(D1380,'Species Codes'!B:S,18,0)))))/1000,IF(D1380="DF",EXP(VLOOKUP(D1380,'Species Codes'!B:O,14,0)+VLOOKUP(D1380,'Species Codes'!B:P,15,0)*LN((E1380*2.54))),VLOOKUP(D1380,'Species Codes'!B:O,14,0)+VLOOKUP(D1380,'Species Codes'!B:P,15,0)*(((E1380*2.54)/100)^2)*(I1380*0.3048)))))*0.0011023),0)</f>
        <v>#N/A</v>
      </c>
      <c r="AD1380" s="104" t="e">
        <f t="shared" si="625"/>
        <v>#N/A</v>
      </c>
      <c r="AE1380" s="104" t="e">
        <f t="shared" si="626"/>
        <v>#N/A</v>
      </c>
      <c r="AF1380" s="104" t="e">
        <f>IF(AND(VLOOKUP($D1380,Merchantability!$B:$C,2,0)="Yes",$E1380&gt;=VLOOKUP($D1380,Merchantability!$B:$D,3,0),$E1380&lt;=VLOOKUP($D1380,Merchantability!$B:$E,4,0)),AA1380,0)</f>
        <v>#N/A</v>
      </c>
      <c r="AG1380" s="104" t="e">
        <f>IF(AND(VLOOKUP($D1380,Merchantability!$B:$C,2,0)="Yes",$E1380&gt;=VLOOKUP($D1380,Merchantability!$B:$D,3,0),$E1380&lt;=VLOOKUP($D1380,Merchantability!$B:$E,4,0)),AB1380,0)</f>
        <v>#N/A</v>
      </c>
      <c r="AH1380" s="104" t="e">
        <f>IF(AND(VLOOKUP($D1380,Merchantability!$B:$C,2,0)="Yes",$E1380&gt;=VLOOKUP($D1380,Merchantability!$B:$D,3,0),$E1380&lt;=VLOOKUP($D1380,Merchantability!$B:$E,4,0)),AC1380,0)</f>
        <v>#N/A</v>
      </c>
      <c r="AI1380" s="104" t="e">
        <f t="shared" si="627"/>
        <v>#N/A</v>
      </c>
      <c r="AJ1380" s="104" t="e">
        <f t="shared" si="628"/>
        <v>#VALUE!</v>
      </c>
      <c r="AK1380" s="104" t="e">
        <f t="shared" si="629"/>
        <v>#N/A</v>
      </c>
      <c r="AL1380" s="104" t="e">
        <f t="shared" si="630"/>
        <v>#N/A</v>
      </c>
      <c r="AM1380" s="104" t="e">
        <f t="shared" si="631"/>
        <v>#N/A</v>
      </c>
      <c r="AN1380" s="104" t="e">
        <f t="shared" si="615"/>
        <v>#N/A</v>
      </c>
      <c r="AO1380" s="104" t="e">
        <f t="shared" si="616"/>
        <v>#N/A</v>
      </c>
      <c r="AP1380" s="104" t="e">
        <f t="shared" si="617"/>
        <v>#N/A</v>
      </c>
      <c r="AQ1380" s="104" t="e">
        <f t="shared" si="618"/>
        <v>#N/A</v>
      </c>
      <c r="AR1380" s="105" t="str">
        <f t="shared" si="610"/>
        <v/>
      </c>
      <c r="AS1380" s="105" t="str">
        <f t="shared" si="611"/>
        <v/>
      </c>
      <c r="AT1380" s="108" t="str">
        <f t="shared" si="612"/>
        <v/>
      </c>
      <c r="AU1380" s="108" t="str">
        <f t="shared" si="613"/>
        <v/>
      </c>
      <c r="AV1380" s="107" t="str">
        <f>IF(ISNUMBER(O1380),IF(VLOOKUP($A1380,Stand!C:J,8,FALSE)="Short",AT1380,AU1380),"")</f>
        <v/>
      </c>
      <c r="AW1380" s="109" t="str">
        <f t="shared" si="619"/>
        <v/>
      </c>
      <c r="AX1380" s="109" t="str">
        <f t="shared" si="620"/>
        <v/>
      </c>
      <c r="AY1380" s="112" t="str">
        <f>IF(ISNUMBER(O1380),IF(AND(VLOOKUP($D1380,Merchantability!$B:$C,2,0)="Yes",$E1380&gt;=VLOOKUP($D1380,Merchantability!$B:$D,3,0),$E1380&lt;=VLOOKUP($D1380,Merchantability!$B:$E,4,0)),(AV1380*O1380)*(1-$H1380/100),""),"")</f>
        <v/>
      </c>
      <c r="AZ1380" s="116"/>
      <c r="BA1380" s="116"/>
      <c r="BB1380" s="116"/>
      <c r="BE1380" s="62"/>
      <c r="BF1380" s="63"/>
    </row>
    <row r="1381" spans="1:58" ht="12.75" customHeight="1" x14ac:dyDescent="0.25">
      <c r="A1381" s="333"/>
      <c r="B1381" s="334"/>
      <c r="C1381" s="332"/>
      <c r="D1381" s="334"/>
      <c r="E1381" s="335"/>
      <c r="F1381" s="334"/>
      <c r="G1381" s="332"/>
      <c r="H1381" s="332"/>
      <c r="I1381" s="334"/>
      <c r="J1381" s="336"/>
      <c r="K1381" s="332"/>
      <c r="L1381" s="332"/>
      <c r="M1381" s="76"/>
      <c r="N1381" s="103" t="str">
        <f>IF(A1381="","",VLOOKUP(A1381,Stand!C:K,9,0))</f>
        <v/>
      </c>
      <c r="O1381" s="104" t="str">
        <f t="shared" si="605"/>
        <v/>
      </c>
      <c r="P1381" s="105" t="str">
        <f t="shared" si="606"/>
        <v/>
      </c>
      <c r="Q1381" s="105" t="str">
        <f t="shared" si="621"/>
        <v/>
      </c>
      <c r="R1381" s="103" t="str">
        <f t="shared" si="607"/>
        <v/>
      </c>
      <c r="S1381" s="103" t="str">
        <f t="shared" si="608"/>
        <v/>
      </c>
      <c r="T1381" s="106" t="str">
        <f t="shared" si="622"/>
        <v/>
      </c>
      <c r="U1381" s="106" t="str">
        <f t="shared" si="623"/>
        <v/>
      </c>
      <c r="V1381" s="106" t="str">
        <f t="shared" si="624"/>
        <v/>
      </c>
      <c r="W1381" s="105" t="str">
        <f t="shared" si="609"/>
        <v/>
      </c>
      <c r="X1381" s="104" t="str">
        <f t="shared" si="614"/>
        <v/>
      </c>
      <c r="Y1381" s="104" t="str">
        <f t="array" ref="Y1381">IFERROR(IF(ISNUMBER(O1381),IF(COUNT(IF(A1381=$A$2:$A$2427,IF(D1381=$D$2:$D$2427,IF($X$2:$X$2427&gt;0,1))))&gt;0,SUM(IF(A1381=$A$2:$A$2427,IF(D1381=$D$2:$D$2427,$X$2:$X$2427)))/COUNT(IF(A1381=$A$2:$A$2427,IF(D1381=$D$2:$D$2427,IF(ISNUMBER($X$2:$X$2427),1)))),0),""),0)</f>
        <v/>
      </c>
      <c r="Z1381" s="104" t="str">
        <f>IF(ISNUMBER(O1381),IF(I1381&gt;0,(10^(VLOOKUP(D1381,'Species Codes'!B:C,2,0)+VLOOKUP(D1381,'Species Codes'!B:D,3,0)*LOG(E1381)+VLOOKUP(D1381,'Species Codes'!B:E,4,0)*LOG(I1381))),0),"")</f>
        <v/>
      </c>
      <c r="AA1381" s="104" t="str">
        <f>IFERROR((VLOOKUP(D1381,'Species Codes'!B:G,6,0)*Z1381)/2000,"")</f>
        <v/>
      </c>
      <c r="AB1381" s="104" t="e">
        <f>IF(Z1381&gt;0,((IF(OR(D1381="DF",D1381="RA")=TRUE,EXP(VLOOKUP(D1381,'Species Codes'!B:I,8,0)+VLOOKUP(D1381,'Species Codes'!B:J,9,0)*(LN((E1381*2.54)))),IF(OR(D1381="PY",D1381="RC",D1381="WH",D1381="NF")=TRUE,VLOOKUP(D1381,'Species Codes'!B:I,8,0)+VLOOKUP(D1381,'Species Codes'!B:J,9,0)*((E1381*2.54)^2)*(I1381*0.3048),IF(OR(D1381="MD",D1381="BM",D1381="GA")=TRUE,((VLOOKUP(D1381,'Species Codes'!B:I,8,0)*(((((E1381*2.54)+VLOOKUP(D1381,'Species Codes'!B:J,9,0))/VLOOKUP(D1381,'Species Codes'!B:K,10,0))^VLOOKUP(D1381,'Species Codes'!B:L,11,0))*((I1381*0.3048)^VLOOKUP(D1381,'Species Codes'!B:M,12,0))))-(VLOOKUP(D1381,'Species Codes'!B:I,8,0)*((((E1381*2.54)^VLOOKUP(D1381,'Species Codes'!B:L,11,0))*((I1381*0.3048)^VLOOKUP(D1381,'Species Codes'!B:M,12,0))))))*35.3*VLOOKUP(D1381,'Species Codes'!B:G,6,0)/2.2046,VLOOKUP(D1381,'Species Codes'!B:I,8,0)+VLOOKUP(D1381,'Species Codes'!B:J,9,0)*(((E1381*2.54)/100)^2)*(I1381*0.3048)))))*0.0011023),0)</f>
        <v>#N/A</v>
      </c>
      <c r="AC1381" s="104" t="e">
        <f>IF(Z1381&gt;0,((IF(OR(D1381="RA",D1381="OA",D1381="OT",D1381="UN",D1381="PC"),EXP(VLOOKUP(D1381,'Species Codes'!B:O,14,0)+VLOOKUP(D1381,'Species Codes'!B:P,15,0)*LN((E1381*2.54)))-EXP(VLOOKUP(D1381,'Species Codes'!B:O,14,0)+VLOOKUP(D1381,'Species Codes'!B:P,15,0)*LN((E1381*2.54)))*(1/(VLOOKUP(D1381,'Species Codes'!B:Q,16,0)+VLOOKUP(D1381,'Species Codes'!B:R,17,0)*((E1381*2.54)^VLOOKUP(D1381,'Species Codes'!B:S,18,0)))),IF(OR(D1381="BM",D1381="MD",D1381="OA"),EXP(VLOOKUP(D1381,'Species Codes'!B:O,14,0)+VLOOKUP(D1381,'Species Codes'!B:P,15,0)*LN((E1381*2.54)))*(1-(1/(VLOOKUP(D1381,'Species Codes'!B:Q,16,0)+VLOOKUP(D1381,'Species Codes'!B:R,17,0)*((E1381*2.54)^VLOOKUP(D1381,'Species Codes'!B:S,18,0)))))/1000,IF(D1381="DF",EXP(VLOOKUP(D1381,'Species Codes'!B:O,14,0)+VLOOKUP(D1381,'Species Codes'!B:P,15,0)*LN((E1381*2.54))),VLOOKUP(D1381,'Species Codes'!B:O,14,0)+VLOOKUP(D1381,'Species Codes'!B:P,15,0)*(((E1381*2.54)/100)^2)*(I1381*0.3048)))))*0.0011023),0)</f>
        <v>#N/A</v>
      </c>
      <c r="AD1381" s="104" t="e">
        <f t="shared" si="625"/>
        <v>#N/A</v>
      </c>
      <c r="AE1381" s="104" t="e">
        <f t="shared" si="626"/>
        <v>#N/A</v>
      </c>
      <c r="AF1381" s="104" t="e">
        <f>IF(AND(VLOOKUP($D1381,Merchantability!$B:$C,2,0)="Yes",$E1381&gt;=VLOOKUP($D1381,Merchantability!$B:$D,3,0),$E1381&lt;=VLOOKUP($D1381,Merchantability!$B:$E,4,0)),AA1381,0)</f>
        <v>#N/A</v>
      </c>
      <c r="AG1381" s="104" t="e">
        <f>IF(AND(VLOOKUP($D1381,Merchantability!$B:$C,2,0)="Yes",$E1381&gt;=VLOOKUP($D1381,Merchantability!$B:$D,3,0),$E1381&lt;=VLOOKUP($D1381,Merchantability!$B:$E,4,0)),AB1381,0)</f>
        <v>#N/A</v>
      </c>
      <c r="AH1381" s="104" t="e">
        <f>IF(AND(VLOOKUP($D1381,Merchantability!$B:$C,2,0)="Yes",$E1381&gt;=VLOOKUP($D1381,Merchantability!$B:$D,3,0),$E1381&lt;=VLOOKUP($D1381,Merchantability!$B:$E,4,0)),AC1381,0)</f>
        <v>#N/A</v>
      </c>
      <c r="AI1381" s="104" t="e">
        <f t="shared" si="627"/>
        <v>#N/A</v>
      </c>
      <c r="AJ1381" s="104" t="e">
        <f t="shared" si="628"/>
        <v>#VALUE!</v>
      </c>
      <c r="AK1381" s="104" t="e">
        <f t="shared" si="629"/>
        <v>#N/A</v>
      </c>
      <c r="AL1381" s="104" t="e">
        <f t="shared" si="630"/>
        <v>#N/A</v>
      </c>
      <c r="AM1381" s="104" t="e">
        <f t="shared" si="631"/>
        <v>#N/A</v>
      </c>
      <c r="AN1381" s="104" t="e">
        <f t="shared" si="615"/>
        <v>#N/A</v>
      </c>
      <c r="AO1381" s="104" t="e">
        <f t="shared" si="616"/>
        <v>#N/A</v>
      </c>
      <c r="AP1381" s="104" t="e">
        <f t="shared" si="617"/>
        <v>#N/A</v>
      </c>
      <c r="AQ1381" s="104" t="e">
        <f t="shared" si="618"/>
        <v>#N/A</v>
      </c>
      <c r="AR1381" s="105" t="str">
        <f t="shared" si="610"/>
        <v/>
      </c>
      <c r="AS1381" s="105" t="str">
        <f t="shared" si="611"/>
        <v/>
      </c>
      <c r="AT1381" s="108" t="str">
        <f t="shared" si="612"/>
        <v/>
      </c>
      <c r="AU1381" s="108" t="str">
        <f t="shared" si="613"/>
        <v/>
      </c>
      <c r="AV1381" s="107" t="str">
        <f>IF(ISNUMBER(O1381),IF(VLOOKUP($A1381,Stand!C:J,8,FALSE)="Short",AT1381,AU1381),"")</f>
        <v/>
      </c>
      <c r="AW1381" s="109" t="str">
        <f t="shared" si="619"/>
        <v/>
      </c>
      <c r="AX1381" s="109" t="str">
        <f t="shared" si="620"/>
        <v/>
      </c>
      <c r="AY1381" s="112" t="str">
        <f>IF(ISNUMBER(O1381),IF(AND(VLOOKUP($D1381,Merchantability!$B:$C,2,0)="Yes",$E1381&gt;=VLOOKUP($D1381,Merchantability!$B:$D,3,0),$E1381&lt;=VLOOKUP($D1381,Merchantability!$B:$E,4,0)),(AV1381*O1381)*(1-$H1381/100),""),"")</f>
        <v/>
      </c>
      <c r="AZ1381" s="116"/>
      <c r="BA1381" s="116"/>
      <c r="BB1381" s="116"/>
      <c r="BE1381" s="62"/>
      <c r="BF1381" s="63"/>
    </row>
    <row r="1382" spans="1:58" ht="12.75" customHeight="1" x14ac:dyDescent="0.25">
      <c r="A1382" s="333"/>
      <c r="B1382" s="334"/>
      <c r="C1382" s="332"/>
      <c r="D1382" s="334"/>
      <c r="E1382" s="335"/>
      <c r="F1382" s="334"/>
      <c r="G1382" s="332"/>
      <c r="H1382" s="332"/>
      <c r="I1382" s="334"/>
      <c r="J1382" s="336"/>
      <c r="K1382" s="332"/>
      <c r="L1382" s="332"/>
      <c r="M1382" s="76"/>
      <c r="N1382" s="103" t="str">
        <f>IF(A1382="","",VLOOKUP(A1382,Stand!C:K,9,0))</f>
        <v/>
      </c>
      <c r="O1382" s="104" t="str">
        <f t="shared" si="605"/>
        <v/>
      </c>
      <c r="P1382" s="105" t="str">
        <f t="shared" si="606"/>
        <v/>
      </c>
      <c r="Q1382" s="105" t="str">
        <f t="shared" si="621"/>
        <v/>
      </c>
      <c r="R1382" s="103" t="str">
        <f t="shared" si="607"/>
        <v/>
      </c>
      <c r="S1382" s="103" t="str">
        <f t="shared" si="608"/>
        <v/>
      </c>
      <c r="T1382" s="106" t="str">
        <f t="shared" si="622"/>
        <v/>
      </c>
      <c r="U1382" s="106" t="str">
        <f t="shared" si="623"/>
        <v/>
      </c>
      <c r="V1382" s="106" t="str">
        <f t="shared" si="624"/>
        <v/>
      </c>
      <c r="W1382" s="105" t="str">
        <f t="shared" si="609"/>
        <v/>
      </c>
      <c r="X1382" s="104" t="str">
        <f t="shared" si="614"/>
        <v/>
      </c>
      <c r="Y1382" s="104" t="str">
        <f t="array" ref="Y1382">IFERROR(IF(ISNUMBER(O1382),IF(COUNT(IF(A1382=$A$2:$A$2427,IF(D1382=$D$2:$D$2427,IF($X$2:$X$2427&gt;0,1))))&gt;0,SUM(IF(A1382=$A$2:$A$2427,IF(D1382=$D$2:$D$2427,$X$2:$X$2427)))/COUNT(IF(A1382=$A$2:$A$2427,IF(D1382=$D$2:$D$2427,IF(ISNUMBER($X$2:$X$2427),1)))),0),""),0)</f>
        <v/>
      </c>
      <c r="Z1382" s="104" t="str">
        <f>IF(ISNUMBER(O1382),IF(I1382&gt;0,(10^(VLOOKUP(D1382,'Species Codes'!B:C,2,0)+VLOOKUP(D1382,'Species Codes'!B:D,3,0)*LOG(E1382)+VLOOKUP(D1382,'Species Codes'!B:E,4,0)*LOG(I1382))),0),"")</f>
        <v/>
      </c>
      <c r="AA1382" s="104" t="str">
        <f>IFERROR((VLOOKUP(D1382,'Species Codes'!B:G,6,0)*Z1382)/2000,"")</f>
        <v/>
      </c>
      <c r="AB1382" s="104" t="e">
        <f>IF(Z1382&gt;0,((IF(OR(D1382="DF",D1382="RA")=TRUE,EXP(VLOOKUP(D1382,'Species Codes'!B:I,8,0)+VLOOKUP(D1382,'Species Codes'!B:J,9,0)*(LN((E1382*2.54)))),IF(OR(D1382="PY",D1382="RC",D1382="WH",D1382="NF")=TRUE,VLOOKUP(D1382,'Species Codes'!B:I,8,0)+VLOOKUP(D1382,'Species Codes'!B:J,9,0)*((E1382*2.54)^2)*(I1382*0.3048),IF(OR(D1382="MD",D1382="BM",D1382="GA")=TRUE,((VLOOKUP(D1382,'Species Codes'!B:I,8,0)*(((((E1382*2.54)+VLOOKUP(D1382,'Species Codes'!B:J,9,0))/VLOOKUP(D1382,'Species Codes'!B:K,10,0))^VLOOKUP(D1382,'Species Codes'!B:L,11,0))*((I1382*0.3048)^VLOOKUP(D1382,'Species Codes'!B:M,12,0))))-(VLOOKUP(D1382,'Species Codes'!B:I,8,0)*((((E1382*2.54)^VLOOKUP(D1382,'Species Codes'!B:L,11,0))*((I1382*0.3048)^VLOOKUP(D1382,'Species Codes'!B:M,12,0))))))*35.3*VLOOKUP(D1382,'Species Codes'!B:G,6,0)/2.2046,VLOOKUP(D1382,'Species Codes'!B:I,8,0)+VLOOKUP(D1382,'Species Codes'!B:J,9,0)*(((E1382*2.54)/100)^2)*(I1382*0.3048)))))*0.0011023),0)</f>
        <v>#N/A</v>
      </c>
      <c r="AC1382" s="104" t="e">
        <f>IF(Z1382&gt;0,((IF(OR(D1382="RA",D1382="OA",D1382="OT",D1382="UN",D1382="PC"),EXP(VLOOKUP(D1382,'Species Codes'!B:O,14,0)+VLOOKUP(D1382,'Species Codes'!B:P,15,0)*LN((E1382*2.54)))-EXP(VLOOKUP(D1382,'Species Codes'!B:O,14,0)+VLOOKUP(D1382,'Species Codes'!B:P,15,0)*LN((E1382*2.54)))*(1/(VLOOKUP(D1382,'Species Codes'!B:Q,16,0)+VLOOKUP(D1382,'Species Codes'!B:R,17,0)*((E1382*2.54)^VLOOKUP(D1382,'Species Codes'!B:S,18,0)))),IF(OR(D1382="BM",D1382="MD",D1382="OA"),EXP(VLOOKUP(D1382,'Species Codes'!B:O,14,0)+VLOOKUP(D1382,'Species Codes'!B:P,15,0)*LN((E1382*2.54)))*(1-(1/(VLOOKUP(D1382,'Species Codes'!B:Q,16,0)+VLOOKUP(D1382,'Species Codes'!B:R,17,0)*((E1382*2.54)^VLOOKUP(D1382,'Species Codes'!B:S,18,0)))))/1000,IF(D1382="DF",EXP(VLOOKUP(D1382,'Species Codes'!B:O,14,0)+VLOOKUP(D1382,'Species Codes'!B:P,15,0)*LN((E1382*2.54))),VLOOKUP(D1382,'Species Codes'!B:O,14,0)+VLOOKUP(D1382,'Species Codes'!B:P,15,0)*(((E1382*2.54)/100)^2)*(I1382*0.3048)))))*0.0011023),0)</f>
        <v>#N/A</v>
      </c>
      <c r="AD1382" s="104" t="e">
        <f t="shared" si="625"/>
        <v>#N/A</v>
      </c>
      <c r="AE1382" s="104" t="e">
        <f t="shared" si="626"/>
        <v>#N/A</v>
      </c>
      <c r="AF1382" s="104" t="e">
        <f>IF(AND(VLOOKUP($D1382,Merchantability!$B:$C,2,0)="Yes",$E1382&gt;=VLOOKUP($D1382,Merchantability!$B:$D,3,0),$E1382&lt;=VLOOKUP($D1382,Merchantability!$B:$E,4,0)),AA1382,0)</f>
        <v>#N/A</v>
      </c>
      <c r="AG1382" s="104" t="e">
        <f>IF(AND(VLOOKUP($D1382,Merchantability!$B:$C,2,0)="Yes",$E1382&gt;=VLOOKUP($D1382,Merchantability!$B:$D,3,0),$E1382&lt;=VLOOKUP($D1382,Merchantability!$B:$E,4,0)),AB1382,0)</f>
        <v>#N/A</v>
      </c>
      <c r="AH1382" s="104" t="e">
        <f>IF(AND(VLOOKUP($D1382,Merchantability!$B:$C,2,0)="Yes",$E1382&gt;=VLOOKUP($D1382,Merchantability!$B:$D,3,0),$E1382&lt;=VLOOKUP($D1382,Merchantability!$B:$E,4,0)),AC1382,0)</f>
        <v>#N/A</v>
      </c>
      <c r="AI1382" s="104" t="e">
        <f t="shared" si="627"/>
        <v>#N/A</v>
      </c>
      <c r="AJ1382" s="104" t="e">
        <f t="shared" si="628"/>
        <v>#VALUE!</v>
      </c>
      <c r="AK1382" s="104" t="e">
        <f t="shared" si="629"/>
        <v>#N/A</v>
      </c>
      <c r="AL1382" s="104" t="e">
        <f t="shared" si="630"/>
        <v>#N/A</v>
      </c>
      <c r="AM1382" s="104" t="e">
        <f t="shared" si="631"/>
        <v>#N/A</v>
      </c>
      <c r="AN1382" s="104" t="e">
        <f t="shared" si="615"/>
        <v>#N/A</v>
      </c>
      <c r="AO1382" s="104" t="e">
        <f t="shared" si="616"/>
        <v>#N/A</v>
      </c>
      <c r="AP1382" s="104" t="e">
        <f t="shared" si="617"/>
        <v>#N/A</v>
      </c>
      <c r="AQ1382" s="104" t="e">
        <f t="shared" si="618"/>
        <v>#N/A</v>
      </c>
      <c r="AR1382" s="105" t="str">
        <f t="shared" si="610"/>
        <v/>
      </c>
      <c r="AS1382" s="105" t="str">
        <f t="shared" si="611"/>
        <v/>
      </c>
      <c r="AT1382" s="108" t="str">
        <f t="shared" si="612"/>
        <v/>
      </c>
      <c r="AU1382" s="108" t="str">
        <f t="shared" si="613"/>
        <v/>
      </c>
      <c r="AV1382" s="107" t="str">
        <f>IF(ISNUMBER(O1382),IF(VLOOKUP($A1382,Stand!C:J,8,FALSE)="Short",AT1382,AU1382),"")</f>
        <v/>
      </c>
      <c r="AW1382" s="109" t="str">
        <f t="shared" si="619"/>
        <v/>
      </c>
      <c r="AX1382" s="109" t="str">
        <f t="shared" si="620"/>
        <v/>
      </c>
      <c r="AY1382" s="112" t="str">
        <f>IF(ISNUMBER(O1382),IF(AND(VLOOKUP($D1382,Merchantability!$B:$C,2,0)="Yes",$E1382&gt;=VLOOKUP($D1382,Merchantability!$B:$D,3,0),$E1382&lt;=VLOOKUP($D1382,Merchantability!$B:$E,4,0)),(AV1382*O1382)*(1-$H1382/100),""),"")</f>
        <v/>
      </c>
      <c r="AZ1382" s="116"/>
      <c r="BA1382" s="116"/>
      <c r="BB1382" s="116"/>
      <c r="BE1382" s="62"/>
      <c r="BF1382" s="63"/>
    </row>
    <row r="1383" spans="1:58" ht="12.75" customHeight="1" x14ac:dyDescent="0.25">
      <c r="A1383" s="333"/>
      <c r="B1383" s="334"/>
      <c r="C1383" s="332"/>
      <c r="D1383" s="334"/>
      <c r="E1383" s="335"/>
      <c r="F1383" s="334"/>
      <c r="G1383" s="332"/>
      <c r="H1383" s="332"/>
      <c r="I1383" s="334"/>
      <c r="J1383" s="336"/>
      <c r="K1383" s="332"/>
      <c r="L1383" s="332"/>
      <c r="M1383" s="76"/>
      <c r="N1383" s="103" t="str">
        <f>IF(A1383="","",VLOOKUP(A1383,Stand!C:K,9,0))</f>
        <v/>
      </c>
      <c r="O1383" s="104" t="str">
        <f t="shared" si="605"/>
        <v/>
      </c>
      <c r="P1383" s="105" t="str">
        <f t="shared" si="606"/>
        <v/>
      </c>
      <c r="Q1383" s="105" t="str">
        <f t="shared" si="621"/>
        <v/>
      </c>
      <c r="R1383" s="103" t="str">
        <f t="shared" si="607"/>
        <v/>
      </c>
      <c r="S1383" s="103" t="str">
        <f t="shared" si="608"/>
        <v/>
      </c>
      <c r="T1383" s="106" t="str">
        <f t="shared" si="622"/>
        <v/>
      </c>
      <c r="U1383" s="106" t="str">
        <f t="shared" si="623"/>
        <v/>
      </c>
      <c r="V1383" s="106" t="str">
        <f t="shared" si="624"/>
        <v/>
      </c>
      <c r="W1383" s="105" t="str">
        <f t="shared" si="609"/>
        <v/>
      </c>
      <c r="X1383" s="104" t="str">
        <f t="shared" si="614"/>
        <v/>
      </c>
      <c r="Y1383" s="104" t="str">
        <f t="array" ref="Y1383">IFERROR(IF(ISNUMBER(O1383),IF(COUNT(IF(A1383=$A$2:$A$2427,IF(D1383=$D$2:$D$2427,IF($X$2:$X$2427&gt;0,1))))&gt;0,SUM(IF(A1383=$A$2:$A$2427,IF(D1383=$D$2:$D$2427,$X$2:$X$2427)))/COUNT(IF(A1383=$A$2:$A$2427,IF(D1383=$D$2:$D$2427,IF(ISNUMBER($X$2:$X$2427),1)))),0),""),0)</f>
        <v/>
      </c>
      <c r="Z1383" s="104" t="str">
        <f>IF(ISNUMBER(O1383),IF(I1383&gt;0,(10^(VLOOKUP(D1383,'Species Codes'!B:C,2,0)+VLOOKUP(D1383,'Species Codes'!B:D,3,0)*LOG(E1383)+VLOOKUP(D1383,'Species Codes'!B:E,4,0)*LOG(I1383))),0),"")</f>
        <v/>
      </c>
      <c r="AA1383" s="104" t="str">
        <f>IFERROR((VLOOKUP(D1383,'Species Codes'!B:G,6,0)*Z1383)/2000,"")</f>
        <v/>
      </c>
      <c r="AB1383" s="104" t="e">
        <f>IF(Z1383&gt;0,((IF(OR(D1383="DF",D1383="RA")=TRUE,EXP(VLOOKUP(D1383,'Species Codes'!B:I,8,0)+VLOOKUP(D1383,'Species Codes'!B:J,9,0)*(LN((E1383*2.54)))),IF(OR(D1383="PY",D1383="RC",D1383="WH",D1383="NF")=TRUE,VLOOKUP(D1383,'Species Codes'!B:I,8,0)+VLOOKUP(D1383,'Species Codes'!B:J,9,0)*((E1383*2.54)^2)*(I1383*0.3048),IF(OR(D1383="MD",D1383="BM",D1383="GA")=TRUE,((VLOOKUP(D1383,'Species Codes'!B:I,8,0)*(((((E1383*2.54)+VLOOKUP(D1383,'Species Codes'!B:J,9,0))/VLOOKUP(D1383,'Species Codes'!B:K,10,0))^VLOOKUP(D1383,'Species Codes'!B:L,11,0))*((I1383*0.3048)^VLOOKUP(D1383,'Species Codes'!B:M,12,0))))-(VLOOKUP(D1383,'Species Codes'!B:I,8,0)*((((E1383*2.54)^VLOOKUP(D1383,'Species Codes'!B:L,11,0))*((I1383*0.3048)^VLOOKUP(D1383,'Species Codes'!B:M,12,0))))))*35.3*VLOOKUP(D1383,'Species Codes'!B:G,6,0)/2.2046,VLOOKUP(D1383,'Species Codes'!B:I,8,0)+VLOOKUP(D1383,'Species Codes'!B:J,9,0)*(((E1383*2.54)/100)^2)*(I1383*0.3048)))))*0.0011023),0)</f>
        <v>#N/A</v>
      </c>
      <c r="AC1383" s="104" t="e">
        <f>IF(Z1383&gt;0,((IF(OR(D1383="RA",D1383="OA",D1383="OT",D1383="UN",D1383="PC"),EXP(VLOOKUP(D1383,'Species Codes'!B:O,14,0)+VLOOKUP(D1383,'Species Codes'!B:P,15,0)*LN((E1383*2.54)))-EXP(VLOOKUP(D1383,'Species Codes'!B:O,14,0)+VLOOKUP(D1383,'Species Codes'!B:P,15,0)*LN((E1383*2.54)))*(1/(VLOOKUP(D1383,'Species Codes'!B:Q,16,0)+VLOOKUP(D1383,'Species Codes'!B:R,17,0)*((E1383*2.54)^VLOOKUP(D1383,'Species Codes'!B:S,18,0)))),IF(OR(D1383="BM",D1383="MD",D1383="OA"),EXP(VLOOKUP(D1383,'Species Codes'!B:O,14,0)+VLOOKUP(D1383,'Species Codes'!B:P,15,0)*LN((E1383*2.54)))*(1-(1/(VLOOKUP(D1383,'Species Codes'!B:Q,16,0)+VLOOKUP(D1383,'Species Codes'!B:R,17,0)*((E1383*2.54)^VLOOKUP(D1383,'Species Codes'!B:S,18,0)))))/1000,IF(D1383="DF",EXP(VLOOKUP(D1383,'Species Codes'!B:O,14,0)+VLOOKUP(D1383,'Species Codes'!B:P,15,0)*LN((E1383*2.54))),VLOOKUP(D1383,'Species Codes'!B:O,14,0)+VLOOKUP(D1383,'Species Codes'!B:P,15,0)*(((E1383*2.54)/100)^2)*(I1383*0.3048)))))*0.0011023),0)</f>
        <v>#N/A</v>
      </c>
      <c r="AD1383" s="104" t="e">
        <f t="shared" si="625"/>
        <v>#N/A</v>
      </c>
      <c r="AE1383" s="104" t="e">
        <f t="shared" si="626"/>
        <v>#N/A</v>
      </c>
      <c r="AF1383" s="104" t="e">
        <f>IF(AND(VLOOKUP($D1383,Merchantability!$B:$C,2,0)="Yes",$E1383&gt;=VLOOKUP($D1383,Merchantability!$B:$D,3,0),$E1383&lt;=VLOOKUP($D1383,Merchantability!$B:$E,4,0)),AA1383,0)</f>
        <v>#N/A</v>
      </c>
      <c r="AG1383" s="104" t="e">
        <f>IF(AND(VLOOKUP($D1383,Merchantability!$B:$C,2,0)="Yes",$E1383&gt;=VLOOKUP($D1383,Merchantability!$B:$D,3,0),$E1383&lt;=VLOOKUP($D1383,Merchantability!$B:$E,4,0)),AB1383,0)</f>
        <v>#N/A</v>
      </c>
      <c r="AH1383" s="104" t="e">
        <f>IF(AND(VLOOKUP($D1383,Merchantability!$B:$C,2,0)="Yes",$E1383&gt;=VLOOKUP($D1383,Merchantability!$B:$D,3,0),$E1383&lt;=VLOOKUP($D1383,Merchantability!$B:$E,4,0)),AC1383,0)</f>
        <v>#N/A</v>
      </c>
      <c r="AI1383" s="104" t="e">
        <f t="shared" si="627"/>
        <v>#N/A</v>
      </c>
      <c r="AJ1383" s="104" t="e">
        <f t="shared" si="628"/>
        <v>#VALUE!</v>
      </c>
      <c r="AK1383" s="104" t="e">
        <f t="shared" si="629"/>
        <v>#N/A</v>
      </c>
      <c r="AL1383" s="104" t="e">
        <f t="shared" si="630"/>
        <v>#N/A</v>
      </c>
      <c r="AM1383" s="104" t="e">
        <f t="shared" si="631"/>
        <v>#N/A</v>
      </c>
      <c r="AN1383" s="104" t="e">
        <f t="shared" si="615"/>
        <v>#N/A</v>
      </c>
      <c r="AO1383" s="104" t="e">
        <f t="shared" si="616"/>
        <v>#N/A</v>
      </c>
      <c r="AP1383" s="104" t="e">
        <f t="shared" si="617"/>
        <v>#N/A</v>
      </c>
      <c r="AQ1383" s="104" t="e">
        <f t="shared" si="618"/>
        <v>#N/A</v>
      </c>
      <c r="AR1383" s="105" t="str">
        <f t="shared" si="610"/>
        <v/>
      </c>
      <c r="AS1383" s="105" t="str">
        <f t="shared" si="611"/>
        <v/>
      </c>
      <c r="AT1383" s="108" t="str">
        <f t="shared" si="612"/>
        <v/>
      </c>
      <c r="AU1383" s="108" t="str">
        <f t="shared" si="613"/>
        <v/>
      </c>
      <c r="AV1383" s="107" t="str">
        <f>IF(ISNUMBER(O1383),IF(VLOOKUP($A1383,Stand!C:J,8,FALSE)="Short",AT1383,AU1383),"")</f>
        <v/>
      </c>
      <c r="AW1383" s="109" t="str">
        <f t="shared" si="619"/>
        <v/>
      </c>
      <c r="AX1383" s="109" t="str">
        <f t="shared" si="620"/>
        <v/>
      </c>
      <c r="AY1383" s="112" t="str">
        <f>IF(ISNUMBER(O1383),IF(AND(VLOOKUP($D1383,Merchantability!$B:$C,2,0)="Yes",$E1383&gt;=VLOOKUP($D1383,Merchantability!$B:$D,3,0),$E1383&lt;=VLOOKUP($D1383,Merchantability!$B:$E,4,0)),(AV1383*O1383)*(1-$H1383/100),""),"")</f>
        <v/>
      </c>
      <c r="AZ1383" s="116"/>
      <c r="BA1383" s="116"/>
      <c r="BB1383" s="116"/>
      <c r="BE1383" s="62"/>
      <c r="BF1383" s="63"/>
    </row>
    <row r="1384" spans="1:58" ht="12.75" customHeight="1" x14ac:dyDescent="0.25">
      <c r="A1384" s="333"/>
      <c r="B1384" s="334"/>
      <c r="C1384" s="332"/>
      <c r="D1384" s="334"/>
      <c r="E1384" s="335"/>
      <c r="F1384" s="334"/>
      <c r="G1384" s="332"/>
      <c r="H1384" s="332"/>
      <c r="I1384" s="334"/>
      <c r="J1384" s="336"/>
      <c r="K1384" s="332"/>
      <c r="L1384" s="332"/>
      <c r="M1384" s="76"/>
      <c r="N1384" s="103" t="str">
        <f>IF(A1384="","",VLOOKUP(A1384,Stand!C:K,9,0))</f>
        <v/>
      </c>
      <c r="O1384" s="104" t="str">
        <f t="shared" si="605"/>
        <v/>
      </c>
      <c r="P1384" s="105" t="str">
        <f t="shared" si="606"/>
        <v/>
      </c>
      <c r="Q1384" s="105" t="str">
        <f t="shared" si="621"/>
        <v/>
      </c>
      <c r="R1384" s="103" t="str">
        <f t="shared" si="607"/>
        <v/>
      </c>
      <c r="S1384" s="103" t="str">
        <f t="shared" si="608"/>
        <v/>
      </c>
      <c r="T1384" s="106" t="str">
        <f t="shared" si="622"/>
        <v/>
      </c>
      <c r="U1384" s="106" t="str">
        <f t="shared" si="623"/>
        <v/>
      </c>
      <c r="V1384" s="106" t="str">
        <f t="shared" si="624"/>
        <v/>
      </c>
      <c r="W1384" s="105" t="str">
        <f t="shared" si="609"/>
        <v/>
      </c>
      <c r="X1384" s="104" t="str">
        <f t="shared" si="614"/>
        <v/>
      </c>
      <c r="Y1384" s="104" t="str">
        <f t="array" ref="Y1384">IFERROR(IF(ISNUMBER(O1384),IF(COUNT(IF(A1384=$A$2:$A$2427,IF(D1384=$D$2:$D$2427,IF($X$2:$X$2427&gt;0,1))))&gt;0,SUM(IF(A1384=$A$2:$A$2427,IF(D1384=$D$2:$D$2427,$X$2:$X$2427)))/COUNT(IF(A1384=$A$2:$A$2427,IF(D1384=$D$2:$D$2427,IF(ISNUMBER($X$2:$X$2427),1)))),0),""),0)</f>
        <v/>
      </c>
      <c r="Z1384" s="104" t="str">
        <f>IF(ISNUMBER(O1384),IF(I1384&gt;0,(10^(VLOOKUP(D1384,'Species Codes'!B:C,2,0)+VLOOKUP(D1384,'Species Codes'!B:D,3,0)*LOG(E1384)+VLOOKUP(D1384,'Species Codes'!B:E,4,0)*LOG(I1384))),0),"")</f>
        <v/>
      </c>
      <c r="AA1384" s="104" t="str">
        <f>IFERROR((VLOOKUP(D1384,'Species Codes'!B:G,6,0)*Z1384)/2000,"")</f>
        <v/>
      </c>
      <c r="AB1384" s="104" t="e">
        <f>IF(Z1384&gt;0,((IF(OR(D1384="DF",D1384="RA")=TRUE,EXP(VLOOKUP(D1384,'Species Codes'!B:I,8,0)+VLOOKUP(D1384,'Species Codes'!B:J,9,0)*(LN((E1384*2.54)))),IF(OR(D1384="PY",D1384="RC",D1384="WH",D1384="NF")=TRUE,VLOOKUP(D1384,'Species Codes'!B:I,8,0)+VLOOKUP(D1384,'Species Codes'!B:J,9,0)*((E1384*2.54)^2)*(I1384*0.3048),IF(OR(D1384="MD",D1384="BM",D1384="GA")=TRUE,((VLOOKUP(D1384,'Species Codes'!B:I,8,0)*(((((E1384*2.54)+VLOOKUP(D1384,'Species Codes'!B:J,9,0))/VLOOKUP(D1384,'Species Codes'!B:K,10,0))^VLOOKUP(D1384,'Species Codes'!B:L,11,0))*((I1384*0.3048)^VLOOKUP(D1384,'Species Codes'!B:M,12,0))))-(VLOOKUP(D1384,'Species Codes'!B:I,8,0)*((((E1384*2.54)^VLOOKUP(D1384,'Species Codes'!B:L,11,0))*((I1384*0.3048)^VLOOKUP(D1384,'Species Codes'!B:M,12,0))))))*35.3*VLOOKUP(D1384,'Species Codes'!B:G,6,0)/2.2046,VLOOKUP(D1384,'Species Codes'!B:I,8,0)+VLOOKUP(D1384,'Species Codes'!B:J,9,0)*(((E1384*2.54)/100)^2)*(I1384*0.3048)))))*0.0011023),0)</f>
        <v>#N/A</v>
      </c>
      <c r="AC1384" s="104" t="e">
        <f>IF(Z1384&gt;0,((IF(OR(D1384="RA",D1384="OA",D1384="OT",D1384="UN",D1384="PC"),EXP(VLOOKUP(D1384,'Species Codes'!B:O,14,0)+VLOOKUP(D1384,'Species Codes'!B:P,15,0)*LN((E1384*2.54)))-EXP(VLOOKUP(D1384,'Species Codes'!B:O,14,0)+VLOOKUP(D1384,'Species Codes'!B:P,15,0)*LN((E1384*2.54)))*(1/(VLOOKUP(D1384,'Species Codes'!B:Q,16,0)+VLOOKUP(D1384,'Species Codes'!B:R,17,0)*((E1384*2.54)^VLOOKUP(D1384,'Species Codes'!B:S,18,0)))),IF(OR(D1384="BM",D1384="MD",D1384="OA"),EXP(VLOOKUP(D1384,'Species Codes'!B:O,14,0)+VLOOKUP(D1384,'Species Codes'!B:P,15,0)*LN((E1384*2.54)))*(1-(1/(VLOOKUP(D1384,'Species Codes'!B:Q,16,0)+VLOOKUP(D1384,'Species Codes'!B:R,17,0)*((E1384*2.54)^VLOOKUP(D1384,'Species Codes'!B:S,18,0)))))/1000,IF(D1384="DF",EXP(VLOOKUP(D1384,'Species Codes'!B:O,14,0)+VLOOKUP(D1384,'Species Codes'!B:P,15,0)*LN((E1384*2.54))),VLOOKUP(D1384,'Species Codes'!B:O,14,0)+VLOOKUP(D1384,'Species Codes'!B:P,15,0)*(((E1384*2.54)/100)^2)*(I1384*0.3048)))))*0.0011023),0)</f>
        <v>#N/A</v>
      </c>
      <c r="AD1384" s="104" t="e">
        <f t="shared" si="625"/>
        <v>#N/A</v>
      </c>
      <c r="AE1384" s="104" t="e">
        <f t="shared" si="626"/>
        <v>#N/A</v>
      </c>
      <c r="AF1384" s="104" t="e">
        <f>IF(AND(VLOOKUP($D1384,Merchantability!$B:$C,2,0)="Yes",$E1384&gt;=VLOOKUP($D1384,Merchantability!$B:$D,3,0),$E1384&lt;=VLOOKUP($D1384,Merchantability!$B:$E,4,0)),AA1384,0)</f>
        <v>#N/A</v>
      </c>
      <c r="AG1384" s="104" t="e">
        <f>IF(AND(VLOOKUP($D1384,Merchantability!$B:$C,2,0)="Yes",$E1384&gt;=VLOOKUP($D1384,Merchantability!$B:$D,3,0),$E1384&lt;=VLOOKUP($D1384,Merchantability!$B:$E,4,0)),AB1384,0)</f>
        <v>#N/A</v>
      </c>
      <c r="AH1384" s="104" t="e">
        <f>IF(AND(VLOOKUP($D1384,Merchantability!$B:$C,2,0)="Yes",$E1384&gt;=VLOOKUP($D1384,Merchantability!$B:$D,3,0),$E1384&lt;=VLOOKUP($D1384,Merchantability!$B:$E,4,0)),AC1384,0)</f>
        <v>#N/A</v>
      </c>
      <c r="AI1384" s="104" t="e">
        <f t="shared" si="627"/>
        <v>#N/A</v>
      </c>
      <c r="AJ1384" s="104" t="e">
        <f t="shared" si="628"/>
        <v>#VALUE!</v>
      </c>
      <c r="AK1384" s="104" t="e">
        <f t="shared" si="629"/>
        <v>#N/A</v>
      </c>
      <c r="AL1384" s="104" t="e">
        <f t="shared" si="630"/>
        <v>#N/A</v>
      </c>
      <c r="AM1384" s="104" t="e">
        <f t="shared" si="631"/>
        <v>#N/A</v>
      </c>
      <c r="AN1384" s="104" t="e">
        <f t="shared" si="615"/>
        <v>#N/A</v>
      </c>
      <c r="AO1384" s="104" t="e">
        <f t="shared" si="616"/>
        <v>#N/A</v>
      </c>
      <c r="AP1384" s="104" t="e">
        <f t="shared" si="617"/>
        <v>#N/A</v>
      </c>
      <c r="AQ1384" s="104" t="e">
        <f t="shared" si="618"/>
        <v>#N/A</v>
      </c>
      <c r="AR1384" s="105" t="str">
        <f t="shared" si="610"/>
        <v/>
      </c>
      <c r="AS1384" s="105" t="str">
        <f t="shared" si="611"/>
        <v/>
      </c>
      <c r="AT1384" s="108" t="str">
        <f t="shared" si="612"/>
        <v/>
      </c>
      <c r="AU1384" s="108" t="str">
        <f t="shared" si="613"/>
        <v/>
      </c>
      <c r="AV1384" s="107" t="str">
        <f>IF(ISNUMBER(O1384),IF(VLOOKUP($A1384,Stand!C:J,8,FALSE)="Short",AT1384,AU1384),"")</f>
        <v/>
      </c>
      <c r="AW1384" s="109" t="str">
        <f t="shared" si="619"/>
        <v/>
      </c>
      <c r="AX1384" s="109" t="str">
        <f t="shared" si="620"/>
        <v/>
      </c>
      <c r="AY1384" s="112" t="str">
        <f>IF(ISNUMBER(O1384),IF(AND(VLOOKUP($D1384,Merchantability!$B:$C,2,0)="Yes",$E1384&gt;=VLOOKUP($D1384,Merchantability!$B:$D,3,0),$E1384&lt;=VLOOKUP($D1384,Merchantability!$B:$E,4,0)),(AV1384*O1384)*(1-$H1384/100),""),"")</f>
        <v/>
      </c>
      <c r="AZ1384" s="116"/>
      <c r="BA1384" s="116"/>
      <c r="BB1384" s="116"/>
      <c r="BE1384" s="62"/>
      <c r="BF1384" s="63"/>
    </row>
    <row r="1385" spans="1:58" ht="12.75" customHeight="1" x14ac:dyDescent="0.25">
      <c r="A1385" s="333"/>
      <c r="B1385" s="334"/>
      <c r="C1385" s="332"/>
      <c r="D1385" s="334"/>
      <c r="E1385" s="335"/>
      <c r="F1385" s="334"/>
      <c r="G1385" s="332"/>
      <c r="H1385" s="332"/>
      <c r="I1385" s="334"/>
      <c r="J1385" s="336"/>
      <c r="K1385" s="332"/>
      <c r="L1385" s="332"/>
      <c r="M1385" s="76"/>
      <c r="N1385" s="103" t="str">
        <f>IF(A1385="","",VLOOKUP(A1385,Stand!C:K,9,0))</f>
        <v/>
      </c>
      <c r="O1385" s="104" t="str">
        <f t="shared" si="605"/>
        <v/>
      </c>
      <c r="P1385" s="105" t="str">
        <f t="shared" si="606"/>
        <v/>
      </c>
      <c r="Q1385" s="105" t="str">
        <f t="shared" si="621"/>
        <v/>
      </c>
      <c r="R1385" s="103" t="str">
        <f t="shared" si="607"/>
        <v/>
      </c>
      <c r="S1385" s="103" t="str">
        <f t="shared" si="608"/>
        <v/>
      </c>
      <c r="T1385" s="106" t="str">
        <f t="shared" si="622"/>
        <v/>
      </c>
      <c r="U1385" s="106" t="str">
        <f t="shared" si="623"/>
        <v/>
      </c>
      <c r="V1385" s="106" t="str">
        <f t="shared" si="624"/>
        <v/>
      </c>
      <c r="W1385" s="105" t="str">
        <f t="shared" si="609"/>
        <v/>
      </c>
      <c r="X1385" s="104" t="str">
        <f t="shared" si="614"/>
        <v/>
      </c>
      <c r="Y1385" s="104" t="str">
        <f t="array" ref="Y1385">IFERROR(IF(ISNUMBER(O1385),IF(COUNT(IF(A1385=$A$2:$A$2427,IF(D1385=$D$2:$D$2427,IF($X$2:$X$2427&gt;0,1))))&gt;0,SUM(IF(A1385=$A$2:$A$2427,IF(D1385=$D$2:$D$2427,$X$2:$X$2427)))/COUNT(IF(A1385=$A$2:$A$2427,IF(D1385=$D$2:$D$2427,IF(ISNUMBER($X$2:$X$2427),1)))),0),""),0)</f>
        <v/>
      </c>
      <c r="Z1385" s="104" t="str">
        <f>IF(ISNUMBER(O1385),IF(I1385&gt;0,(10^(VLOOKUP(D1385,'Species Codes'!B:C,2,0)+VLOOKUP(D1385,'Species Codes'!B:D,3,0)*LOG(E1385)+VLOOKUP(D1385,'Species Codes'!B:E,4,0)*LOG(I1385))),0),"")</f>
        <v/>
      </c>
      <c r="AA1385" s="104" t="str">
        <f>IFERROR((VLOOKUP(D1385,'Species Codes'!B:G,6,0)*Z1385)/2000,"")</f>
        <v/>
      </c>
      <c r="AB1385" s="104" t="e">
        <f>IF(Z1385&gt;0,((IF(OR(D1385="DF",D1385="RA")=TRUE,EXP(VLOOKUP(D1385,'Species Codes'!B:I,8,0)+VLOOKUP(D1385,'Species Codes'!B:J,9,0)*(LN((E1385*2.54)))),IF(OR(D1385="PY",D1385="RC",D1385="WH",D1385="NF")=TRUE,VLOOKUP(D1385,'Species Codes'!B:I,8,0)+VLOOKUP(D1385,'Species Codes'!B:J,9,0)*((E1385*2.54)^2)*(I1385*0.3048),IF(OR(D1385="MD",D1385="BM",D1385="GA")=TRUE,((VLOOKUP(D1385,'Species Codes'!B:I,8,0)*(((((E1385*2.54)+VLOOKUP(D1385,'Species Codes'!B:J,9,0))/VLOOKUP(D1385,'Species Codes'!B:K,10,0))^VLOOKUP(D1385,'Species Codes'!B:L,11,0))*((I1385*0.3048)^VLOOKUP(D1385,'Species Codes'!B:M,12,0))))-(VLOOKUP(D1385,'Species Codes'!B:I,8,0)*((((E1385*2.54)^VLOOKUP(D1385,'Species Codes'!B:L,11,0))*((I1385*0.3048)^VLOOKUP(D1385,'Species Codes'!B:M,12,0))))))*35.3*VLOOKUP(D1385,'Species Codes'!B:G,6,0)/2.2046,VLOOKUP(D1385,'Species Codes'!B:I,8,0)+VLOOKUP(D1385,'Species Codes'!B:J,9,0)*(((E1385*2.54)/100)^2)*(I1385*0.3048)))))*0.0011023),0)</f>
        <v>#N/A</v>
      </c>
      <c r="AC1385" s="104" t="e">
        <f>IF(Z1385&gt;0,((IF(OR(D1385="RA",D1385="OA",D1385="OT",D1385="UN",D1385="PC"),EXP(VLOOKUP(D1385,'Species Codes'!B:O,14,0)+VLOOKUP(D1385,'Species Codes'!B:P,15,0)*LN((E1385*2.54)))-EXP(VLOOKUP(D1385,'Species Codes'!B:O,14,0)+VLOOKUP(D1385,'Species Codes'!B:P,15,0)*LN((E1385*2.54)))*(1/(VLOOKUP(D1385,'Species Codes'!B:Q,16,0)+VLOOKUP(D1385,'Species Codes'!B:R,17,0)*((E1385*2.54)^VLOOKUP(D1385,'Species Codes'!B:S,18,0)))),IF(OR(D1385="BM",D1385="MD",D1385="OA"),EXP(VLOOKUP(D1385,'Species Codes'!B:O,14,0)+VLOOKUP(D1385,'Species Codes'!B:P,15,0)*LN((E1385*2.54)))*(1-(1/(VLOOKUP(D1385,'Species Codes'!B:Q,16,0)+VLOOKUP(D1385,'Species Codes'!B:R,17,0)*((E1385*2.54)^VLOOKUP(D1385,'Species Codes'!B:S,18,0)))))/1000,IF(D1385="DF",EXP(VLOOKUP(D1385,'Species Codes'!B:O,14,0)+VLOOKUP(D1385,'Species Codes'!B:P,15,0)*LN((E1385*2.54))),VLOOKUP(D1385,'Species Codes'!B:O,14,0)+VLOOKUP(D1385,'Species Codes'!B:P,15,0)*(((E1385*2.54)/100)^2)*(I1385*0.3048)))))*0.0011023),0)</f>
        <v>#N/A</v>
      </c>
      <c r="AD1385" s="104" t="e">
        <f t="shared" si="625"/>
        <v>#N/A</v>
      </c>
      <c r="AE1385" s="104" t="e">
        <f t="shared" si="626"/>
        <v>#N/A</v>
      </c>
      <c r="AF1385" s="104" t="e">
        <f>IF(AND(VLOOKUP($D1385,Merchantability!$B:$C,2,0)="Yes",$E1385&gt;=VLOOKUP($D1385,Merchantability!$B:$D,3,0),$E1385&lt;=VLOOKUP($D1385,Merchantability!$B:$E,4,0)),AA1385,0)</f>
        <v>#N/A</v>
      </c>
      <c r="AG1385" s="104" t="e">
        <f>IF(AND(VLOOKUP($D1385,Merchantability!$B:$C,2,0)="Yes",$E1385&gt;=VLOOKUP($D1385,Merchantability!$B:$D,3,0),$E1385&lt;=VLOOKUP($D1385,Merchantability!$B:$E,4,0)),AB1385,0)</f>
        <v>#N/A</v>
      </c>
      <c r="AH1385" s="104" t="e">
        <f>IF(AND(VLOOKUP($D1385,Merchantability!$B:$C,2,0)="Yes",$E1385&gt;=VLOOKUP($D1385,Merchantability!$B:$D,3,0),$E1385&lt;=VLOOKUP($D1385,Merchantability!$B:$E,4,0)),AC1385,0)</f>
        <v>#N/A</v>
      </c>
      <c r="AI1385" s="104" t="e">
        <f t="shared" si="627"/>
        <v>#N/A</v>
      </c>
      <c r="AJ1385" s="104" t="e">
        <f t="shared" si="628"/>
        <v>#VALUE!</v>
      </c>
      <c r="AK1385" s="104" t="e">
        <f t="shared" si="629"/>
        <v>#N/A</v>
      </c>
      <c r="AL1385" s="104" t="e">
        <f t="shared" si="630"/>
        <v>#N/A</v>
      </c>
      <c r="AM1385" s="104" t="e">
        <f t="shared" si="631"/>
        <v>#N/A</v>
      </c>
      <c r="AN1385" s="104" t="e">
        <f t="shared" si="615"/>
        <v>#N/A</v>
      </c>
      <c r="AO1385" s="104" t="e">
        <f t="shared" si="616"/>
        <v>#N/A</v>
      </c>
      <c r="AP1385" s="104" t="e">
        <f t="shared" si="617"/>
        <v>#N/A</v>
      </c>
      <c r="AQ1385" s="104" t="e">
        <f t="shared" si="618"/>
        <v>#N/A</v>
      </c>
      <c r="AR1385" s="105" t="str">
        <f t="shared" si="610"/>
        <v/>
      </c>
      <c r="AS1385" s="105" t="str">
        <f t="shared" si="611"/>
        <v/>
      </c>
      <c r="AT1385" s="108" t="str">
        <f t="shared" si="612"/>
        <v/>
      </c>
      <c r="AU1385" s="108" t="str">
        <f t="shared" si="613"/>
        <v/>
      </c>
      <c r="AV1385" s="107" t="str">
        <f>IF(ISNUMBER(O1385),IF(VLOOKUP($A1385,Stand!C:J,8,FALSE)="Short",AT1385,AU1385),"")</f>
        <v/>
      </c>
      <c r="AW1385" s="109" t="str">
        <f t="shared" si="619"/>
        <v/>
      </c>
      <c r="AX1385" s="109" t="str">
        <f t="shared" si="620"/>
        <v/>
      </c>
      <c r="AY1385" s="112" t="str">
        <f>IF(ISNUMBER(O1385),IF(AND(VLOOKUP($D1385,Merchantability!$B:$C,2,0)="Yes",$E1385&gt;=VLOOKUP($D1385,Merchantability!$B:$D,3,0),$E1385&lt;=VLOOKUP($D1385,Merchantability!$B:$E,4,0)),(AV1385*O1385)*(1-$H1385/100),""),"")</f>
        <v/>
      </c>
      <c r="AZ1385" s="116"/>
      <c r="BA1385" s="116"/>
      <c r="BB1385" s="116"/>
      <c r="BE1385" s="62"/>
      <c r="BF1385" s="63"/>
    </row>
    <row r="1386" spans="1:58" ht="12.75" customHeight="1" x14ac:dyDescent="0.25">
      <c r="A1386" s="333"/>
      <c r="B1386" s="334"/>
      <c r="C1386" s="332"/>
      <c r="D1386" s="334"/>
      <c r="E1386" s="335"/>
      <c r="F1386" s="334"/>
      <c r="G1386" s="332"/>
      <c r="H1386" s="332"/>
      <c r="I1386" s="334"/>
      <c r="J1386" s="336"/>
      <c r="K1386" s="332"/>
      <c r="L1386" s="332"/>
      <c r="M1386" s="76"/>
      <c r="N1386" s="103" t="str">
        <f>IF(A1386="","",VLOOKUP(A1386,Stand!C:K,9,0))</f>
        <v/>
      </c>
      <c r="O1386" s="104" t="str">
        <f t="shared" si="605"/>
        <v/>
      </c>
      <c r="P1386" s="105" t="str">
        <f t="shared" si="606"/>
        <v/>
      </c>
      <c r="Q1386" s="105" t="str">
        <f t="shared" si="621"/>
        <v/>
      </c>
      <c r="R1386" s="103" t="str">
        <f t="shared" si="607"/>
        <v/>
      </c>
      <c r="S1386" s="103" t="str">
        <f t="shared" si="608"/>
        <v/>
      </c>
      <c r="T1386" s="106" t="str">
        <f t="shared" si="622"/>
        <v/>
      </c>
      <c r="U1386" s="106" t="str">
        <f t="shared" si="623"/>
        <v/>
      </c>
      <c r="V1386" s="106" t="str">
        <f t="shared" si="624"/>
        <v/>
      </c>
      <c r="W1386" s="105" t="str">
        <f t="shared" si="609"/>
        <v/>
      </c>
      <c r="X1386" s="104" t="str">
        <f t="shared" si="614"/>
        <v/>
      </c>
      <c r="Y1386" s="104" t="str">
        <f t="array" ref="Y1386">IFERROR(IF(ISNUMBER(O1386),IF(COUNT(IF(A1386=$A$2:$A$2427,IF(D1386=$D$2:$D$2427,IF($X$2:$X$2427&gt;0,1))))&gt;0,SUM(IF(A1386=$A$2:$A$2427,IF(D1386=$D$2:$D$2427,$X$2:$X$2427)))/COUNT(IF(A1386=$A$2:$A$2427,IF(D1386=$D$2:$D$2427,IF(ISNUMBER($X$2:$X$2427),1)))),0),""),0)</f>
        <v/>
      </c>
      <c r="Z1386" s="104" t="str">
        <f>IF(ISNUMBER(O1386),IF(I1386&gt;0,(10^(VLOOKUP(D1386,'Species Codes'!B:C,2,0)+VLOOKUP(D1386,'Species Codes'!B:D,3,0)*LOG(E1386)+VLOOKUP(D1386,'Species Codes'!B:E,4,0)*LOG(I1386))),0),"")</f>
        <v/>
      </c>
      <c r="AA1386" s="104" t="str">
        <f>IFERROR((VLOOKUP(D1386,'Species Codes'!B:G,6,0)*Z1386)/2000,"")</f>
        <v/>
      </c>
      <c r="AB1386" s="104" t="e">
        <f>IF(Z1386&gt;0,((IF(OR(D1386="DF",D1386="RA")=TRUE,EXP(VLOOKUP(D1386,'Species Codes'!B:I,8,0)+VLOOKUP(D1386,'Species Codes'!B:J,9,0)*(LN((E1386*2.54)))),IF(OR(D1386="PY",D1386="RC",D1386="WH",D1386="NF")=TRUE,VLOOKUP(D1386,'Species Codes'!B:I,8,0)+VLOOKUP(D1386,'Species Codes'!B:J,9,0)*((E1386*2.54)^2)*(I1386*0.3048),IF(OR(D1386="MD",D1386="BM",D1386="GA")=TRUE,((VLOOKUP(D1386,'Species Codes'!B:I,8,0)*(((((E1386*2.54)+VLOOKUP(D1386,'Species Codes'!B:J,9,0))/VLOOKUP(D1386,'Species Codes'!B:K,10,0))^VLOOKUP(D1386,'Species Codes'!B:L,11,0))*((I1386*0.3048)^VLOOKUP(D1386,'Species Codes'!B:M,12,0))))-(VLOOKUP(D1386,'Species Codes'!B:I,8,0)*((((E1386*2.54)^VLOOKUP(D1386,'Species Codes'!B:L,11,0))*((I1386*0.3048)^VLOOKUP(D1386,'Species Codes'!B:M,12,0))))))*35.3*VLOOKUP(D1386,'Species Codes'!B:G,6,0)/2.2046,VLOOKUP(D1386,'Species Codes'!B:I,8,0)+VLOOKUP(D1386,'Species Codes'!B:J,9,0)*(((E1386*2.54)/100)^2)*(I1386*0.3048)))))*0.0011023),0)</f>
        <v>#N/A</v>
      </c>
      <c r="AC1386" s="104" t="e">
        <f>IF(Z1386&gt;0,((IF(OR(D1386="RA",D1386="OA",D1386="OT",D1386="UN",D1386="PC"),EXP(VLOOKUP(D1386,'Species Codes'!B:O,14,0)+VLOOKUP(D1386,'Species Codes'!B:P,15,0)*LN((E1386*2.54)))-EXP(VLOOKUP(D1386,'Species Codes'!B:O,14,0)+VLOOKUP(D1386,'Species Codes'!B:P,15,0)*LN((E1386*2.54)))*(1/(VLOOKUP(D1386,'Species Codes'!B:Q,16,0)+VLOOKUP(D1386,'Species Codes'!B:R,17,0)*((E1386*2.54)^VLOOKUP(D1386,'Species Codes'!B:S,18,0)))),IF(OR(D1386="BM",D1386="MD",D1386="OA"),EXP(VLOOKUP(D1386,'Species Codes'!B:O,14,0)+VLOOKUP(D1386,'Species Codes'!B:P,15,0)*LN((E1386*2.54)))*(1-(1/(VLOOKUP(D1386,'Species Codes'!B:Q,16,0)+VLOOKUP(D1386,'Species Codes'!B:R,17,0)*((E1386*2.54)^VLOOKUP(D1386,'Species Codes'!B:S,18,0)))))/1000,IF(D1386="DF",EXP(VLOOKUP(D1386,'Species Codes'!B:O,14,0)+VLOOKUP(D1386,'Species Codes'!B:P,15,0)*LN((E1386*2.54))),VLOOKUP(D1386,'Species Codes'!B:O,14,0)+VLOOKUP(D1386,'Species Codes'!B:P,15,0)*(((E1386*2.54)/100)^2)*(I1386*0.3048)))))*0.0011023),0)</f>
        <v>#N/A</v>
      </c>
      <c r="AD1386" s="104" t="e">
        <f t="shared" si="625"/>
        <v>#N/A</v>
      </c>
      <c r="AE1386" s="104" t="e">
        <f t="shared" si="626"/>
        <v>#N/A</v>
      </c>
      <c r="AF1386" s="104" t="e">
        <f>IF(AND(VLOOKUP($D1386,Merchantability!$B:$C,2,0)="Yes",$E1386&gt;=VLOOKUP($D1386,Merchantability!$B:$D,3,0),$E1386&lt;=VLOOKUP($D1386,Merchantability!$B:$E,4,0)),AA1386,0)</f>
        <v>#N/A</v>
      </c>
      <c r="AG1386" s="104" t="e">
        <f>IF(AND(VLOOKUP($D1386,Merchantability!$B:$C,2,0)="Yes",$E1386&gt;=VLOOKUP($D1386,Merchantability!$B:$D,3,0),$E1386&lt;=VLOOKUP($D1386,Merchantability!$B:$E,4,0)),AB1386,0)</f>
        <v>#N/A</v>
      </c>
      <c r="AH1386" s="104" t="e">
        <f>IF(AND(VLOOKUP($D1386,Merchantability!$B:$C,2,0)="Yes",$E1386&gt;=VLOOKUP($D1386,Merchantability!$B:$D,3,0),$E1386&lt;=VLOOKUP($D1386,Merchantability!$B:$E,4,0)),AC1386,0)</f>
        <v>#N/A</v>
      </c>
      <c r="AI1386" s="104" t="e">
        <f t="shared" si="627"/>
        <v>#N/A</v>
      </c>
      <c r="AJ1386" s="104" t="e">
        <f t="shared" si="628"/>
        <v>#VALUE!</v>
      </c>
      <c r="AK1386" s="104" t="e">
        <f t="shared" si="629"/>
        <v>#N/A</v>
      </c>
      <c r="AL1386" s="104" t="e">
        <f t="shared" si="630"/>
        <v>#N/A</v>
      </c>
      <c r="AM1386" s="104" t="e">
        <f t="shared" si="631"/>
        <v>#N/A</v>
      </c>
      <c r="AN1386" s="104" t="e">
        <f t="shared" si="615"/>
        <v>#N/A</v>
      </c>
      <c r="AO1386" s="104" t="e">
        <f t="shared" si="616"/>
        <v>#N/A</v>
      </c>
      <c r="AP1386" s="104" t="e">
        <f t="shared" si="617"/>
        <v>#N/A</v>
      </c>
      <c r="AQ1386" s="104" t="e">
        <f t="shared" si="618"/>
        <v>#N/A</v>
      </c>
      <c r="AR1386" s="105" t="str">
        <f t="shared" si="610"/>
        <v/>
      </c>
      <c r="AS1386" s="105" t="str">
        <f t="shared" si="611"/>
        <v/>
      </c>
      <c r="AT1386" s="108" t="str">
        <f t="shared" si="612"/>
        <v/>
      </c>
      <c r="AU1386" s="108" t="str">
        <f t="shared" si="613"/>
        <v/>
      </c>
      <c r="AV1386" s="107" t="str">
        <f>IF(ISNUMBER(O1386),IF(VLOOKUP($A1386,Stand!C:J,8,FALSE)="Short",AT1386,AU1386),"")</f>
        <v/>
      </c>
      <c r="AW1386" s="109" t="str">
        <f t="shared" si="619"/>
        <v/>
      </c>
      <c r="AX1386" s="109" t="str">
        <f t="shared" si="620"/>
        <v/>
      </c>
      <c r="AY1386" s="112" t="str">
        <f>IF(ISNUMBER(O1386),IF(AND(VLOOKUP($D1386,Merchantability!$B:$C,2,0)="Yes",$E1386&gt;=VLOOKUP($D1386,Merchantability!$B:$D,3,0),$E1386&lt;=VLOOKUP($D1386,Merchantability!$B:$E,4,0)),(AV1386*O1386)*(1-$H1386/100),""),"")</f>
        <v/>
      </c>
      <c r="AZ1386" s="116"/>
      <c r="BA1386" s="116"/>
      <c r="BB1386" s="116"/>
      <c r="BE1386" s="62"/>
      <c r="BF1386" s="63"/>
    </row>
    <row r="1387" spans="1:58" ht="12.75" customHeight="1" x14ac:dyDescent="0.25">
      <c r="A1387" s="333"/>
      <c r="B1387" s="334"/>
      <c r="C1387" s="332"/>
      <c r="D1387" s="334"/>
      <c r="E1387" s="335"/>
      <c r="F1387" s="334"/>
      <c r="G1387" s="332"/>
      <c r="H1387" s="332"/>
      <c r="I1387" s="334"/>
      <c r="J1387" s="336"/>
      <c r="K1387" s="332"/>
      <c r="L1387" s="332"/>
      <c r="M1387" s="76"/>
      <c r="N1387" s="103" t="str">
        <f>IF(A1387="","",VLOOKUP(A1387,Stand!C:K,9,0))</f>
        <v/>
      </c>
      <c r="O1387" s="104" t="str">
        <f t="shared" si="605"/>
        <v/>
      </c>
      <c r="P1387" s="105" t="str">
        <f t="shared" si="606"/>
        <v/>
      </c>
      <c r="Q1387" s="105" t="str">
        <f t="shared" si="621"/>
        <v/>
      </c>
      <c r="R1387" s="103" t="str">
        <f t="shared" si="607"/>
        <v/>
      </c>
      <c r="S1387" s="103" t="str">
        <f t="shared" si="608"/>
        <v/>
      </c>
      <c r="T1387" s="106" t="str">
        <f t="shared" si="622"/>
        <v/>
      </c>
      <c r="U1387" s="106" t="str">
        <f t="shared" si="623"/>
        <v/>
      </c>
      <c r="V1387" s="106" t="str">
        <f t="shared" si="624"/>
        <v/>
      </c>
      <c r="W1387" s="105" t="str">
        <f t="shared" si="609"/>
        <v/>
      </c>
      <c r="X1387" s="104" t="str">
        <f t="shared" si="614"/>
        <v/>
      </c>
      <c r="Y1387" s="104" t="str">
        <f t="array" ref="Y1387">IFERROR(IF(ISNUMBER(O1387),IF(COUNT(IF(A1387=$A$2:$A$2427,IF(D1387=$D$2:$D$2427,IF($X$2:$X$2427&gt;0,1))))&gt;0,SUM(IF(A1387=$A$2:$A$2427,IF(D1387=$D$2:$D$2427,$X$2:$X$2427)))/COUNT(IF(A1387=$A$2:$A$2427,IF(D1387=$D$2:$D$2427,IF(ISNUMBER($X$2:$X$2427),1)))),0),""),0)</f>
        <v/>
      </c>
      <c r="Z1387" s="104" t="str">
        <f>IF(ISNUMBER(O1387),IF(I1387&gt;0,(10^(VLOOKUP(D1387,'Species Codes'!B:C,2,0)+VLOOKUP(D1387,'Species Codes'!B:D,3,0)*LOG(E1387)+VLOOKUP(D1387,'Species Codes'!B:E,4,0)*LOG(I1387))),0),"")</f>
        <v/>
      </c>
      <c r="AA1387" s="104" t="str">
        <f>IFERROR((VLOOKUP(D1387,'Species Codes'!B:G,6,0)*Z1387)/2000,"")</f>
        <v/>
      </c>
      <c r="AB1387" s="104" t="e">
        <f>IF(Z1387&gt;0,((IF(OR(D1387="DF",D1387="RA")=TRUE,EXP(VLOOKUP(D1387,'Species Codes'!B:I,8,0)+VLOOKUP(D1387,'Species Codes'!B:J,9,0)*(LN((E1387*2.54)))),IF(OR(D1387="PY",D1387="RC",D1387="WH",D1387="NF")=TRUE,VLOOKUP(D1387,'Species Codes'!B:I,8,0)+VLOOKUP(D1387,'Species Codes'!B:J,9,0)*((E1387*2.54)^2)*(I1387*0.3048),IF(OR(D1387="MD",D1387="BM",D1387="GA")=TRUE,((VLOOKUP(D1387,'Species Codes'!B:I,8,0)*(((((E1387*2.54)+VLOOKUP(D1387,'Species Codes'!B:J,9,0))/VLOOKUP(D1387,'Species Codes'!B:K,10,0))^VLOOKUP(D1387,'Species Codes'!B:L,11,0))*((I1387*0.3048)^VLOOKUP(D1387,'Species Codes'!B:M,12,0))))-(VLOOKUP(D1387,'Species Codes'!B:I,8,0)*((((E1387*2.54)^VLOOKUP(D1387,'Species Codes'!B:L,11,0))*((I1387*0.3048)^VLOOKUP(D1387,'Species Codes'!B:M,12,0))))))*35.3*VLOOKUP(D1387,'Species Codes'!B:G,6,0)/2.2046,VLOOKUP(D1387,'Species Codes'!B:I,8,0)+VLOOKUP(D1387,'Species Codes'!B:J,9,0)*(((E1387*2.54)/100)^2)*(I1387*0.3048)))))*0.0011023),0)</f>
        <v>#N/A</v>
      </c>
      <c r="AC1387" s="104" t="e">
        <f>IF(Z1387&gt;0,((IF(OR(D1387="RA",D1387="OA",D1387="OT",D1387="UN",D1387="PC"),EXP(VLOOKUP(D1387,'Species Codes'!B:O,14,0)+VLOOKUP(D1387,'Species Codes'!B:P,15,0)*LN((E1387*2.54)))-EXP(VLOOKUP(D1387,'Species Codes'!B:O,14,0)+VLOOKUP(D1387,'Species Codes'!B:P,15,0)*LN((E1387*2.54)))*(1/(VLOOKUP(D1387,'Species Codes'!B:Q,16,0)+VLOOKUP(D1387,'Species Codes'!B:R,17,0)*((E1387*2.54)^VLOOKUP(D1387,'Species Codes'!B:S,18,0)))),IF(OR(D1387="BM",D1387="MD",D1387="OA"),EXP(VLOOKUP(D1387,'Species Codes'!B:O,14,0)+VLOOKUP(D1387,'Species Codes'!B:P,15,0)*LN((E1387*2.54)))*(1-(1/(VLOOKUP(D1387,'Species Codes'!B:Q,16,0)+VLOOKUP(D1387,'Species Codes'!B:R,17,0)*((E1387*2.54)^VLOOKUP(D1387,'Species Codes'!B:S,18,0)))))/1000,IF(D1387="DF",EXP(VLOOKUP(D1387,'Species Codes'!B:O,14,0)+VLOOKUP(D1387,'Species Codes'!B:P,15,0)*LN((E1387*2.54))),VLOOKUP(D1387,'Species Codes'!B:O,14,0)+VLOOKUP(D1387,'Species Codes'!B:P,15,0)*(((E1387*2.54)/100)^2)*(I1387*0.3048)))))*0.0011023),0)</f>
        <v>#N/A</v>
      </c>
      <c r="AD1387" s="104" t="e">
        <f t="shared" si="625"/>
        <v>#N/A</v>
      </c>
      <c r="AE1387" s="104" t="e">
        <f t="shared" si="626"/>
        <v>#N/A</v>
      </c>
      <c r="AF1387" s="104" t="e">
        <f>IF(AND(VLOOKUP($D1387,Merchantability!$B:$C,2,0)="Yes",$E1387&gt;=VLOOKUP($D1387,Merchantability!$B:$D,3,0),$E1387&lt;=VLOOKUP($D1387,Merchantability!$B:$E,4,0)),AA1387,0)</f>
        <v>#N/A</v>
      </c>
      <c r="AG1387" s="104" t="e">
        <f>IF(AND(VLOOKUP($D1387,Merchantability!$B:$C,2,0)="Yes",$E1387&gt;=VLOOKUP($D1387,Merchantability!$B:$D,3,0),$E1387&lt;=VLOOKUP($D1387,Merchantability!$B:$E,4,0)),AB1387,0)</f>
        <v>#N/A</v>
      </c>
      <c r="AH1387" s="104" t="e">
        <f>IF(AND(VLOOKUP($D1387,Merchantability!$B:$C,2,0)="Yes",$E1387&gt;=VLOOKUP($D1387,Merchantability!$B:$D,3,0),$E1387&lt;=VLOOKUP($D1387,Merchantability!$B:$E,4,0)),AC1387,0)</f>
        <v>#N/A</v>
      </c>
      <c r="AI1387" s="104" t="e">
        <f t="shared" si="627"/>
        <v>#N/A</v>
      </c>
      <c r="AJ1387" s="104" t="e">
        <f t="shared" si="628"/>
        <v>#VALUE!</v>
      </c>
      <c r="AK1387" s="104" t="e">
        <f t="shared" si="629"/>
        <v>#N/A</v>
      </c>
      <c r="AL1387" s="104" t="e">
        <f t="shared" si="630"/>
        <v>#N/A</v>
      </c>
      <c r="AM1387" s="104" t="e">
        <f t="shared" si="631"/>
        <v>#N/A</v>
      </c>
      <c r="AN1387" s="104" t="e">
        <f t="shared" si="615"/>
        <v>#N/A</v>
      </c>
      <c r="AO1387" s="104" t="e">
        <f t="shared" si="616"/>
        <v>#N/A</v>
      </c>
      <c r="AP1387" s="104" t="e">
        <f t="shared" si="617"/>
        <v>#N/A</v>
      </c>
      <c r="AQ1387" s="104" t="e">
        <f t="shared" si="618"/>
        <v>#N/A</v>
      </c>
      <c r="AR1387" s="105" t="str">
        <f t="shared" si="610"/>
        <v/>
      </c>
      <c r="AS1387" s="105" t="str">
        <f t="shared" si="611"/>
        <v/>
      </c>
      <c r="AT1387" s="108" t="str">
        <f t="shared" si="612"/>
        <v/>
      </c>
      <c r="AU1387" s="108" t="str">
        <f t="shared" si="613"/>
        <v/>
      </c>
      <c r="AV1387" s="107" t="str">
        <f>IF(ISNUMBER(O1387),IF(VLOOKUP($A1387,Stand!C:J,8,FALSE)="Short",AT1387,AU1387),"")</f>
        <v/>
      </c>
      <c r="AW1387" s="109" t="str">
        <f t="shared" si="619"/>
        <v/>
      </c>
      <c r="AX1387" s="109" t="str">
        <f t="shared" si="620"/>
        <v/>
      </c>
      <c r="AY1387" s="112" t="str">
        <f>IF(ISNUMBER(O1387),IF(AND(VLOOKUP($D1387,Merchantability!$B:$C,2,0)="Yes",$E1387&gt;=VLOOKUP($D1387,Merchantability!$B:$D,3,0),$E1387&lt;=VLOOKUP($D1387,Merchantability!$B:$E,4,0)),(AV1387*O1387)*(1-$H1387/100),""),"")</f>
        <v/>
      </c>
      <c r="AZ1387" s="116"/>
      <c r="BA1387" s="116"/>
      <c r="BB1387" s="116"/>
      <c r="BE1387" s="62"/>
      <c r="BF1387" s="63"/>
    </row>
    <row r="1388" spans="1:58" ht="12.75" customHeight="1" x14ac:dyDescent="0.25">
      <c r="A1388" s="333"/>
      <c r="B1388" s="334"/>
      <c r="C1388" s="332"/>
      <c r="D1388" s="334"/>
      <c r="E1388" s="335"/>
      <c r="F1388" s="334"/>
      <c r="G1388" s="332"/>
      <c r="H1388" s="332"/>
      <c r="I1388" s="334"/>
      <c r="J1388" s="336"/>
      <c r="K1388" s="332"/>
      <c r="L1388" s="332"/>
      <c r="M1388" s="76"/>
      <c r="N1388" s="103" t="str">
        <f>IF(A1388="","",VLOOKUP(A1388,Stand!C:K,9,0))</f>
        <v/>
      </c>
      <c r="O1388" s="104" t="str">
        <f t="shared" si="605"/>
        <v/>
      </c>
      <c r="P1388" s="105" t="str">
        <f t="shared" si="606"/>
        <v/>
      </c>
      <c r="Q1388" s="105" t="str">
        <f t="shared" si="621"/>
        <v/>
      </c>
      <c r="R1388" s="103" t="str">
        <f t="shared" si="607"/>
        <v/>
      </c>
      <c r="S1388" s="103" t="str">
        <f t="shared" si="608"/>
        <v/>
      </c>
      <c r="T1388" s="106" t="str">
        <f t="shared" si="622"/>
        <v/>
      </c>
      <c r="U1388" s="106" t="str">
        <f t="shared" si="623"/>
        <v/>
      </c>
      <c r="V1388" s="106" t="str">
        <f t="shared" si="624"/>
        <v/>
      </c>
      <c r="W1388" s="105" t="str">
        <f t="shared" si="609"/>
        <v/>
      </c>
      <c r="X1388" s="104" t="str">
        <f t="shared" si="614"/>
        <v/>
      </c>
      <c r="Y1388" s="104" t="str">
        <f t="array" ref="Y1388">IFERROR(IF(ISNUMBER(O1388),IF(COUNT(IF(A1388=$A$2:$A$2427,IF(D1388=$D$2:$D$2427,IF($X$2:$X$2427&gt;0,1))))&gt;0,SUM(IF(A1388=$A$2:$A$2427,IF(D1388=$D$2:$D$2427,$X$2:$X$2427)))/COUNT(IF(A1388=$A$2:$A$2427,IF(D1388=$D$2:$D$2427,IF(ISNUMBER($X$2:$X$2427),1)))),0),""),0)</f>
        <v/>
      </c>
      <c r="Z1388" s="104" t="str">
        <f>IF(ISNUMBER(O1388),IF(I1388&gt;0,(10^(VLOOKUP(D1388,'Species Codes'!B:C,2,0)+VLOOKUP(D1388,'Species Codes'!B:D,3,0)*LOG(E1388)+VLOOKUP(D1388,'Species Codes'!B:E,4,0)*LOG(I1388))),0),"")</f>
        <v/>
      </c>
      <c r="AA1388" s="104" t="str">
        <f>IFERROR((VLOOKUP(D1388,'Species Codes'!B:G,6,0)*Z1388)/2000,"")</f>
        <v/>
      </c>
      <c r="AB1388" s="104" t="e">
        <f>IF(Z1388&gt;0,((IF(OR(D1388="DF",D1388="RA")=TRUE,EXP(VLOOKUP(D1388,'Species Codes'!B:I,8,0)+VLOOKUP(D1388,'Species Codes'!B:J,9,0)*(LN((E1388*2.54)))),IF(OR(D1388="PY",D1388="RC",D1388="WH",D1388="NF")=TRUE,VLOOKUP(D1388,'Species Codes'!B:I,8,0)+VLOOKUP(D1388,'Species Codes'!B:J,9,0)*((E1388*2.54)^2)*(I1388*0.3048),IF(OR(D1388="MD",D1388="BM",D1388="GA")=TRUE,((VLOOKUP(D1388,'Species Codes'!B:I,8,0)*(((((E1388*2.54)+VLOOKUP(D1388,'Species Codes'!B:J,9,0))/VLOOKUP(D1388,'Species Codes'!B:K,10,0))^VLOOKUP(D1388,'Species Codes'!B:L,11,0))*((I1388*0.3048)^VLOOKUP(D1388,'Species Codes'!B:M,12,0))))-(VLOOKUP(D1388,'Species Codes'!B:I,8,0)*((((E1388*2.54)^VLOOKUP(D1388,'Species Codes'!B:L,11,0))*((I1388*0.3048)^VLOOKUP(D1388,'Species Codes'!B:M,12,0))))))*35.3*VLOOKUP(D1388,'Species Codes'!B:G,6,0)/2.2046,VLOOKUP(D1388,'Species Codes'!B:I,8,0)+VLOOKUP(D1388,'Species Codes'!B:J,9,0)*(((E1388*2.54)/100)^2)*(I1388*0.3048)))))*0.0011023),0)</f>
        <v>#N/A</v>
      </c>
      <c r="AC1388" s="104" t="e">
        <f>IF(Z1388&gt;0,((IF(OR(D1388="RA",D1388="OA",D1388="OT",D1388="UN",D1388="PC"),EXP(VLOOKUP(D1388,'Species Codes'!B:O,14,0)+VLOOKUP(D1388,'Species Codes'!B:P,15,0)*LN((E1388*2.54)))-EXP(VLOOKUP(D1388,'Species Codes'!B:O,14,0)+VLOOKUP(D1388,'Species Codes'!B:P,15,0)*LN((E1388*2.54)))*(1/(VLOOKUP(D1388,'Species Codes'!B:Q,16,0)+VLOOKUP(D1388,'Species Codes'!B:R,17,0)*((E1388*2.54)^VLOOKUP(D1388,'Species Codes'!B:S,18,0)))),IF(OR(D1388="BM",D1388="MD",D1388="OA"),EXP(VLOOKUP(D1388,'Species Codes'!B:O,14,0)+VLOOKUP(D1388,'Species Codes'!B:P,15,0)*LN((E1388*2.54)))*(1-(1/(VLOOKUP(D1388,'Species Codes'!B:Q,16,0)+VLOOKUP(D1388,'Species Codes'!B:R,17,0)*((E1388*2.54)^VLOOKUP(D1388,'Species Codes'!B:S,18,0)))))/1000,IF(D1388="DF",EXP(VLOOKUP(D1388,'Species Codes'!B:O,14,0)+VLOOKUP(D1388,'Species Codes'!B:P,15,0)*LN((E1388*2.54))),VLOOKUP(D1388,'Species Codes'!B:O,14,0)+VLOOKUP(D1388,'Species Codes'!B:P,15,0)*(((E1388*2.54)/100)^2)*(I1388*0.3048)))))*0.0011023),0)</f>
        <v>#N/A</v>
      </c>
      <c r="AD1388" s="104" t="e">
        <f t="shared" si="625"/>
        <v>#N/A</v>
      </c>
      <c r="AE1388" s="104" t="e">
        <f t="shared" si="626"/>
        <v>#N/A</v>
      </c>
      <c r="AF1388" s="104" t="e">
        <f>IF(AND(VLOOKUP($D1388,Merchantability!$B:$C,2,0)="Yes",$E1388&gt;=VLOOKUP($D1388,Merchantability!$B:$D,3,0),$E1388&lt;=VLOOKUP($D1388,Merchantability!$B:$E,4,0)),AA1388,0)</f>
        <v>#N/A</v>
      </c>
      <c r="AG1388" s="104" t="e">
        <f>IF(AND(VLOOKUP($D1388,Merchantability!$B:$C,2,0)="Yes",$E1388&gt;=VLOOKUP($D1388,Merchantability!$B:$D,3,0),$E1388&lt;=VLOOKUP($D1388,Merchantability!$B:$E,4,0)),AB1388,0)</f>
        <v>#N/A</v>
      </c>
      <c r="AH1388" s="104" t="e">
        <f>IF(AND(VLOOKUP($D1388,Merchantability!$B:$C,2,0)="Yes",$E1388&gt;=VLOOKUP($D1388,Merchantability!$B:$D,3,0),$E1388&lt;=VLOOKUP($D1388,Merchantability!$B:$E,4,0)),AC1388,0)</f>
        <v>#N/A</v>
      </c>
      <c r="AI1388" s="104" t="e">
        <f t="shared" si="627"/>
        <v>#N/A</v>
      </c>
      <c r="AJ1388" s="104" t="e">
        <f t="shared" si="628"/>
        <v>#VALUE!</v>
      </c>
      <c r="AK1388" s="104" t="e">
        <f t="shared" si="629"/>
        <v>#N/A</v>
      </c>
      <c r="AL1388" s="104" t="e">
        <f t="shared" si="630"/>
        <v>#N/A</v>
      </c>
      <c r="AM1388" s="104" t="e">
        <f t="shared" si="631"/>
        <v>#N/A</v>
      </c>
      <c r="AN1388" s="104" t="e">
        <f t="shared" si="615"/>
        <v>#N/A</v>
      </c>
      <c r="AO1388" s="104" t="e">
        <f t="shared" si="616"/>
        <v>#N/A</v>
      </c>
      <c r="AP1388" s="104" t="e">
        <f t="shared" si="617"/>
        <v>#N/A</v>
      </c>
      <c r="AQ1388" s="104" t="e">
        <f t="shared" si="618"/>
        <v>#N/A</v>
      </c>
      <c r="AR1388" s="105" t="str">
        <f t="shared" si="610"/>
        <v/>
      </c>
      <c r="AS1388" s="105" t="str">
        <f t="shared" si="611"/>
        <v/>
      </c>
      <c r="AT1388" s="108" t="str">
        <f t="shared" si="612"/>
        <v/>
      </c>
      <c r="AU1388" s="108" t="str">
        <f t="shared" si="613"/>
        <v/>
      </c>
      <c r="AV1388" s="107" t="str">
        <f>IF(ISNUMBER(O1388),IF(VLOOKUP($A1388,Stand!C:J,8,FALSE)="Short",AT1388,AU1388),"")</f>
        <v/>
      </c>
      <c r="AW1388" s="109" t="str">
        <f t="shared" si="619"/>
        <v/>
      </c>
      <c r="AX1388" s="109" t="str">
        <f t="shared" si="620"/>
        <v/>
      </c>
      <c r="AY1388" s="112" t="str">
        <f>IF(ISNUMBER(O1388),IF(AND(VLOOKUP($D1388,Merchantability!$B:$C,2,0)="Yes",$E1388&gt;=VLOOKUP($D1388,Merchantability!$B:$D,3,0),$E1388&lt;=VLOOKUP($D1388,Merchantability!$B:$E,4,0)),(AV1388*O1388)*(1-$H1388/100),""),"")</f>
        <v/>
      </c>
      <c r="AZ1388" s="116"/>
      <c r="BA1388" s="116"/>
      <c r="BB1388" s="116"/>
      <c r="BE1388" s="62"/>
      <c r="BF1388" s="63"/>
    </row>
    <row r="1389" spans="1:58" ht="12.75" customHeight="1" x14ac:dyDescent="0.25">
      <c r="A1389" s="333"/>
      <c r="B1389" s="334"/>
      <c r="C1389" s="332"/>
      <c r="D1389" s="334"/>
      <c r="E1389" s="335"/>
      <c r="F1389" s="334"/>
      <c r="G1389" s="332"/>
      <c r="H1389" s="332"/>
      <c r="I1389" s="334"/>
      <c r="J1389" s="336"/>
      <c r="K1389" s="332"/>
      <c r="L1389" s="332"/>
      <c r="M1389" s="76"/>
      <c r="N1389" s="103" t="str">
        <f>IF(A1389="","",VLOOKUP(A1389,Stand!C:K,9,0))</f>
        <v/>
      </c>
      <c r="O1389" s="104" t="str">
        <f t="shared" si="605"/>
        <v/>
      </c>
      <c r="P1389" s="105" t="str">
        <f t="shared" si="606"/>
        <v/>
      </c>
      <c r="Q1389" s="105" t="str">
        <f t="shared" si="621"/>
        <v/>
      </c>
      <c r="R1389" s="103" t="str">
        <f t="shared" si="607"/>
        <v/>
      </c>
      <c r="S1389" s="103" t="str">
        <f t="shared" si="608"/>
        <v/>
      </c>
      <c r="T1389" s="106" t="str">
        <f t="shared" si="622"/>
        <v/>
      </c>
      <c r="U1389" s="106" t="str">
        <f t="shared" si="623"/>
        <v/>
      </c>
      <c r="V1389" s="106" t="str">
        <f t="shared" si="624"/>
        <v/>
      </c>
      <c r="W1389" s="105" t="str">
        <f t="shared" si="609"/>
        <v/>
      </c>
      <c r="X1389" s="104" t="str">
        <f t="shared" si="614"/>
        <v/>
      </c>
      <c r="Y1389" s="104" t="str">
        <f t="array" ref="Y1389">IFERROR(IF(ISNUMBER(O1389),IF(COUNT(IF(A1389=$A$2:$A$2427,IF(D1389=$D$2:$D$2427,IF($X$2:$X$2427&gt;0,1))))&gt;0,SUM(IF(A1389=$A$2:$A$2427,IF(D1389=$D$2:$D$2427,$X$2:$X$2427)))/COUNT(IF(A1389=$A$2:$A$2427,IF(D1389=$D$2:$D$2427,IF(ISNUMBER($X$2:$X$2427),1)))),0),""),0)</f>
        <v/>
      </c>
      <c r="Z1389" s="104" t="str">
        <f>IF(ISNUMBER(O1389),IF(I1389&gt;0,(10^(VLOOKUP(D1389,'Species Codes'!B:C,2,0)+VLOOKUP(D1389,'Species Codes'!B:D,3,0)*LOG(E1389)+VLOOKUP(D1389,'Species Codes'!B:E,4,0)*LOG(I1389))),0),"")</f>
        <v/>
      </c>
      <c r="AA1389" s="104" t="str">
        <f>IFERROR((VLOOKUP(D1389,'Species Codes'!B:G,6,0)*Z1389)/2000,"")</f>
        <v/>
      </c>
      <c r="AB1389" s="104" t="e">
        <f>IF(Z1389&gt;0,((IF(OR(D1389="DF",D1389="RA")=TRUE,EXP(VLOOKUP(D1389,'Species Codes'!B:I,8,0)+VLOOKUP(D1389,'Species Codes'!B:J,9,0)*(LN((E1389*2.54)))),IF(OR(D1389="PY",D1389="RC",D1389="WH",D1389="NF")=TRUE,VLOOKUP(D1389,'Species Codes'!B:I,8,0)+VLOOKUP(D1389,'Species Codes'!B:J,9,0)*((E1389*2.54)^2)*(I1389*0.3048),IF(OR(D1389="MD",D1389="BM",D1389="GA")=TRUE,((VLOOKUP(D1389,'Species Codes'!B:I,8,0)*(((((E1389*2.54)+VLOOKUP(D1389,'Species Codes'!B:J,9,0))/VLOOKUP(D1389,'Species Codes'!B:K,10,0))^VLOOKUP(D1389,'Species Codes'!B:L,11,0))*((I1389*0.3048)^VLOOKUP(D1389,'Species Codes'!B:M,12,0))))-(VLOOKUP(D1389,'Species Codes'!B:I,8,0)*((((E1389*2.54)^VLOOKUP(D1389,'Species Codes'!B:L,11,0))*((I1389*0.3048)^VLOOKUP(D1389,'Species Codes'!B:M,12,0))))))*35.3*VLOOKUP(D1389,'Species Codes'!B:G,6,0)/2.2046,VLOOKUP(D1389,'Species Codes'!B:I,8,0)+VLOOKUP(D1389,'Species Codes'!B:J,9,0)*(((E1389*2.54)/100)^2)*(I1389*0.3048)))))*0.0011023),0)</f>
        <v>#N/A</v>
      </c>
      <c r="AC1389" s="104" t="e">
        <f>IF(Z1389&gt;0,((IF(OR(D1389="RA",D1389="OA",D1389="OT",D1389="UN",D1389="PC"),EXP(VLOOKUP(D1389,'Species Codes'!B:O,14,0)+VLOOKUP(D1389,'Species Codes'!B:P,15,0)*LN((E1389*2.54)))-EXP(VLOOKUP(D1389,'Species Codes'!B:O,14,0)+VLOOKUP(D1389,'Species Codes'!B:P,15,0)*LN((E1389*2.54)))*(1/(VLOOKUP(D1389,'Species Codes'!B:Q,16,0)+VLOOKUP(D1389,'Species Codes'!B:R,17,0)*((E1389*2.54)^VLOOKUP(D1389,'Species Codes'!B:S,18,0)))),IF(OR(D1389="BM",D1389="MD",D1389="OA"),EXP(VLOOKUP(D1389,'Species Codes'!B:O,14,0)+VLOOKUP(D1389,'Species Codes'!B:P,15,0)*LN((E1389*2.54)))*(1-(1/(VLOOKUP(D1389,'Species Codes'!B:Q,16,0)+VLOOKUP(D1389,'Species Codes'!B:R,17,0)*((E1389*2.54)^VLOOKUP(D1389,'Species Codes'!B:S,18,0)))))/1000,IF(D1389="DF",EXP(VLOOKUP(D1389,'Species Codes'!B:O,14,0)+VLOOKUP(D1389,'Species Codes'!B:P,15,0)*LN((E1389*2.54))),VLOOKUP(D1389,'Species Codes'!B:O,14,0)+VLOOKUP(D1389,'Species Codes'!B:P,15,0)*(((E1389*2.54)/100)^2)*(I1389*0.3048)))))*0.0011023),0)</f>
        <v>#N/A</v>
      </c>
      <c r="AD1389" s="104" t="e">
        <f t="shared" si="625"/>
        <v>#N/A</v>
      </c>
      <c r="AE1389" s="104" t="e">
        <f t="shared" si="626"/>
        <v>#N/A</v>
      </c>
      <c r="AF1389" s="104" t="e">
        <f>IF(AND(VLOOKUP($D1389,Merchantability!$B:$C,2,0)="Yes",$E1389&gt;=VLOOKUP($D1389,Merchantability!$B:$D,3,0),$E1389&lt;=VLOOKUP($D1389,Merchantability!$B:$E,4,0)),AA1389,0)</f>
        <v>#N/A</v>
      </c>
      <c r="AG1389" s="104" t="e">
        <f>IF(AND(VLOOKUP($D1389,Merchantability!$B:$C,2,0)="Yes",$E1389&gt;=VLOOKUP($D1389,Merchantability!$B:$D,3,0),$E1389&lt;=VLOOKUP($D1389,Merchantability!$B:$E,4,0)),AB1389,0)</f>
        <v>#N/A</v>
      </c>
      <c r="AH1389" s="104" t="e">
        <f>IF(AND(VLOOKUP($D1389,Merchantability!$B:$C,2,0)="Yes",$E1389&gt;=VLOOKUP($D1389,Merchantability!$B:$D,3,0),$E1389&lt;=VLOOKUP($D1389,Merchantability!$B:$E,4,0)),AC1389,0)</f>
        <v>#N/A</v>
      </c>
      <c r="AI1389" s="104" t="e">
        <f t="shared" si="627"/>
        <v>#N/A</v>
      </c>
      <c r="AJ1389" s="104" t="e">
        <f t="shared" si="628"/>
        <v>#VALUE!</v>
      </c>
      <c r="AK1389" s="104" t="e">
        <f t="shared" si="629"/>
        <v>#N/A</v>
      </c>
      <c r="AL1389" s="104" t="e">
        <f t="shared" si="630"/>
        <v>#N/A</v>
      </c>
      <c r="AM1389" s="104" t="e">
        <f t="shared" si="631"/>
        <v>#N/A</v>
      </c>
      <c r="AN1389" s="104" t="e">
        <f t="shared" si="615"/>
        <v>#N/A</v>
      </c>
      <c r="AO1389" s="104" t="e">
        <f t="shared" si="616"/>
        <v>#N/A</v>
      </c>
      <c r="AP1389" s="104" t="e">
        <f t="shared" si="617"/>
        <v>#N/A</v>
      </c>
      <c r="AQ1389" s="104" t="e">
        <f t="shared" si="618"/>
        <v>#N/A</v>
      </c>
      <c r="AR1389" s="105" t="str">
        <f t="shared" si="610"/>
        <v/>
      </c>
      <c r="AS1389" s="105" t="str">
        <f t="shared" si="611"/>
        <v/>
      </c>
      <c r="AT1389" s="108" t="str">
        <f t="shared" si="612"/>
        <v/>
      </c>
      <c r="AU1389" s="108" t="str">
        <f t="shared" si="613"/>
        <v/>
      </c>
      <c r="AV1389" s="107" t="str">
        <f>IF(ISNUMBER(O1389),IF(VLOOKUP($A1389,Stand!C:J,8,FALSE)="Short",AT1389,AU1389),"")</f>
        <v/>
      </c>
      <c r="AW1389" s="109" t="str">
        <f t="shared" si="619"/>
        <v/>
      </c>
      <c r="AX1389" s="109" t="str">
        <f t="shared" si="620"/>
        <v/>
      </c>
      <c r="AY1389" s="112" t="str">
        <f>IF(ISNUMBER(O1389),IF(AND(VLOOKUP($D1389,Merchantability!$B:$C,2,0)="Yes",$E1389&gt;=VLOOKUP($D1389,Merchantability!$B:$D,3,0),$E1389&lt;=VLOOKUP($D1389,Merchantability!$B:$E,4,0)),(AV1389*O1389)*(1-$H1389/100),""),"")</f>
        <v/>
      </c>
      <c r="AZ1389" s="116"/>
      <c r="BA1389" s="116"/>
      <c r="BB1389" s="116"/>
      <c r="BE1389" s="62"/>
      <c r="BF1389" s="63"/>
    </row>
    <row r="1390" spans="1:58" ht="12.75" customHeight="1" x14ac:dyDescent="0.25">
      <c r="A1390" s="333"/>
      <c r="B1390" s="334"/>
      <c r="C1390" s="332"/>
      <c r="D1390" s="334"/>
      <c r="E1390" s="335"/>
      <c r="F1390" s="334"/>
      <c r="G1390" s="332"/>
      <c r="H1390" s="332"/>
      <c r="I1390" s="334"/>
      <c r="J1390" s="336"/>
      <c r="K1390" s="332"/>
      <c r="L1390" s="332"/>
      <c r="M1390" s="76"/>
      <c r="N1390" s="103" t="str">
        <f>IF(A1390="","",VLOOKUP(A1390,Stand!C:K,9,0))</f>
        <v/>
      </c>
      <c r="O1390" s="104" t="str">
        <f t="shared" si="605"/>
        <v/>
      </c>
      <c r="P1390" s="105" t="str">
        <f t="shared" si="606"/>
        <v/>
      </c>
      <c r="Q1390" s="105" t="str">
        <f t="shared" si="621"/>
        <v/>
      </c>
      <c r="R1390" s="103" t="str">
        <f t="shared" si="607"/>
        <v/>
      </c>
      <c r="S1390" s="103" t="str">
        <f t="shared" si="608"/>
        <v/>
      </c>
      <c r="T1390" s="106" t="str">
        <f t="shared" si="622"/>
        <v/>
      </c>
      <c r="U1390" s="106" t="str">
        <f t="shared" si="623"/>
        <v/>
      </c>
      <c r="V1390" s="106" t="str">
        <f t="shared" si="624"/>
        <v/>
      </c>
      <c r="W1390" s="105" t="str">
        <f t="shared" si="609"/>
        <v/>
      </c>
      <c r="X1390" s="104" t="str">
        <f t="shared" si="614"/>
        <v/>
      </c>
      <c r="Y1390" s="104" t="str">
        <f t="array" ref="Y1390">IFERROR(IF(ISNUMBER(O1390),IF(COUNT(IF(A1390=$A$2:$A$2427,IF(D1390=$D$2:$D$2427,IF($X$2:$X$2427&gt;0,1))))&gt;0,SUM(IF(A1390=$A$2:$A$2427,IF(D1390=$D$2:$D$2427,$X$2:$X$2427)))/COUNT(IF(A1390=$A$2:$A$2427,IF(D1390=$D$2:$D$2427,IF(ISNUMBER($X$2:$X$2427),1)))),0),""),0)</f>
        <v/>
      </c>
      <c r="Z1390" s="104" t="str">
        <f>IF(ISNUMBER(O1390),IF(I1390&gt;0,(10^(VLOOKUP(D1390,'Species Codes'!B:C,2,0)+VLOOKUP(D1390,'Species Codes'!B:D,3,0)*LOG(E1390)+VLOOKUP(D1390,'Species Codes'!B:E,4,0)*LOG(I1390))),0),"")</f>
        <v/>
      </c>
      <c r="AA1390" s="104" t="str">
        <f>IFERROR((VLOOKUP(D1390,'Species Codes'!B:G,6,0)*Z1390)/2000,"")</f>
        <v/>
      </c>
      <c r="AB1390" s="104" t="e">
        <f>IF(Z1390&gt;0,((IF(OR(D1390="DF",D1390="RA")=TRUE,EXP(VLOOKUP(D1390,'Species Codes'!B:I,8,0)+VLOOKUP(D1390,'Species Codes'!B:J,9,0)*(LN((E1390*2.54)))),IF(OR(D1390="PY",D1390="RC",D1390="WH",D1390="NF")=TRUE,VLOOKUP(D1390,'Species Codes'!B:I,8,0)+VLOOKUP(D1390,'Species Codes'!B:J,9,0)*((E1390*2.54)^2)*(I1390*0.3048),IF(OR(D1390="MD",D1390="BM",D1390="GA")=TRUE,((VLOOKUP(D1390,'Species Codes'!B:I,8,0)*(((((E1390*2.54)+VLOOKUP(D1390,'Species Codes'!B:J,9,0))/VLOOKUP(D1390,'Species Codes'!B:K,10,0))^VLOOKUP(D1390,'Species Codes'!B:L,11,0))*((I1390*0.3048)^VLOOKUP(D1390,'Species Codes'!B:M,12,0))))-(VLOOKUP(D1390,'Species Codes'!B:I,8,0)*((((E1390*2.54)^VLOOKUP(D1390,'Species Codes'!B:L,11,0))*((I1390*0.3048)^VLOOKUP(D1390,'Species Codes'!B:M,12,0))))))*35.3*VLOOKUP(D1390,'Species Codes'!B:G,6,0)/2.2046,VLOOKUP(D1390,'Species Codes'!B:I,8,0)+VLOOKUP(D1390,'Species Codes'!B:J,9,0)*(((E1390*2.54)/100)^2)*(I1390*0.3048)))))*0.0011023),0)</f>
        <v>#N/A</v>
      </c>
      <c r="AC1390" s="104" t="e">
        <f>IF(Z1390&gt;0,((IF(OR(D1390="RA",D1390="OA",D1390="OT",D1390="UN",D1390="PC"),EXP(VLOOKUP(D1390,'Species Codes'!B:O,14,0)+VLOOKUP(D1390,'Species Codes'!B:P,15,0)*LN((E1390*2.54)))-EXP(VLOOKUP(D1390,'Species Codes'!B:O,14,0)+VLOOKUP(D1390,'Species Codes'!B:P,15,0)*LN((E1390*2.54)))*(1/(VLOOKUP(D1390,'Species Codes'!B:Q,16,0)+VLOOKUP(D1390,'Species Codes'!B:R,17,0)*((E1390*2.54)^VLOOKUP(D1390,'Species Codes'!B:S,18,0)))),IF(OR(D1390="BM",D1390="MD",D1390="OA"),EXP(VLOOKUP(D1390,'Species Codes'!B:O,14,0)+VLOOKUP(D1390,'Species Codes'!B:P,15,0)*LN((E1390*2.54)))*(1-(1/(VLOOKUP(D1390,'Species Codes'!B:Q,16,0)+VLOOKUP(D1390,'Species Codes'!B:R,17,0)*((E1390*2.54)^VLOOKUP(D1390,'Species Codes'!B:S,18,0)))))/1000,IF(D1390="DF",EXP(VLOOKUP(D1390,'Species Codes'!B:O,14,0)+VLOOKUP(D1390,'Species Codes'!B:P,15,0)*LN((E1390*2.54))),VLOOKUP(D1390,'Species Codes'!B:O,14,0)+VLOOKUP(D1390,'Species Codes'!B:P,15,0)*(((E1390*2.54)/100)^2)*(I1390*0.3048)))))*0.0011023),0)</f>
        <v>#N/A</v>
      </c>
      <c r="AD1390" s="104" t="e">
        <f t="shared" si="625"/>
        <v>#N/A</v>
      </c>
      <c r="AE1390" s="104" t="e">
        <f t="shared" si="626"/>
        <v>#N/A</v>
      </c>
      <c r="AF1390" s="104" t="e">
        <f>IF(AND(VLOOKUP($D1390,Merchantability!$B:$C,2,0)="Yes",$E1390&gt;=VLOOKUP($D1390,Merchantability!$B:$D,3,0),$E1390&lt;=VLOOKUP($D1390,Merchantability!$B:$E,4,0)),AA1390,0)</f>
        <v>#N/A</v>
      </c>
      <c r="AG1390" s="104" t="e">
        <f>IF(AND(VLOOKUP($D1390,Merchantability!$B:$C,2,0)="Yes",$E1390&gt;=VLOOKUP($D1390,Merchantability!$B:$D,3,0),$E1390&lt;=VLOOKUP($D1390,Merchantability!$B:$E,4,0)),AB1390,0)</f>
        <v>#N/A</v>
      </c>
      <c r="AH1390" s="104" t="e">
        <f>IF(AND(VLOOKUP($D1390,Merchantability!$B:$C,2,0)="Yes",$E1390&gt;=VLOOKUP($D1390,Merchantability!$B:$D,3,0),$E1390&lt;=VLOOKUP($D1390,Merchantability!$B:$E,4,0)),AC1390,0)</f>
        <v>#N/A</v>
      </c>
      <c r="AI1390" s="104" t="e">
        <f t="shared" si="627"/>
        <v>#N/A</v>
      </c>
      <c r="AJ1390" s="104" t="e">
        <f t="shared" si="628"/>
        <v>#VALUE!</v>
      </c>
      <c r="AK1390" s="104" t="e">
        <f t="shared" si="629"/>
        <v>#N/A</v>
      </c>
      <c r="AL1390" s="104" t="e">
        <f t="shared" si="630"/>
        <v>#N/A</v>
      </c>
      <c r="AM1390" s="104" t="e">
        <f t="shared" si="631"/>
        <v>#N/A</v>
      </c>
      <c r="AN1390" s="104" t="e">
        <f t="shared" si="615"/>
        <v>#N/A</v>
      </c>
      <c r="AO1390" s="104" t="e">
        <f t="shared" si="616"/>
        <v>#N/A</v>
      </c>
      <c r="AP1390" s="104" t="e">
        <f t="shared" si="617"/>
        <v>#N/A</v>
      </c>
      <c r="AQ1390" s="104" t="e">
        <f t="shared" si="618"/>
        <v>#N/A</v>
      </c>
      <c r="AR1390" s="105" t="str">
        <f t="shared" si="610"/>
        <v/>
      </c>
      <c r="AS1390" s="105" t="str">
        <f t="shared" si="611"/>
        <v/>
      </c>
      <c r="AT1390" s="108" t="str">
        <f t="shared" si="612"/>
        <v/>
      </c>
      <c r="AU1390" s="108" t="str">
        <f t="shared" si="613"/>
        <v/>
      </c>
      <c r="AV1390" s="107" t="str">
        <f>IF(ISNUMBER(O1390),IF(VLOOKUP($A1390,Stand!C:J,8,FALSE)="Short",AT1390,AU1390),"")</f>
        <v/>
      </c>
      <c r="AW1390" s="109" t="str">
        <f t="shared" si="619"/>
        <v/>
      </c>
      <c r="AX1390" s="109" t="str">
        <f t="shared" si="620"/>
        <v/>
      </c>
      <c r="AY1390" s="112" t="str">
        <f>IF(ISNUMBER(O1390),IF(AND(VLOOKUP($D1390,Merchantability!$B:$C,2,0)="Yes",$E1390&gt;=VLOOKUP($D1390,Merchantability!$B:$D,3,0),$E1390&lt;=VLOOKUP($D1390,Merchantability!$B:$E,4,0)),(AV1390*O1390)*(1-$H1390/100),""),"")</f>
        <v/>
      </c>
      <c r="AZ1390" s="116"/>
      <c r="BA1390" s="116"/>
      <c r="BB1390" s="116"/>
      <c r="BE1390" s="62"/>
      <c r="BF1390" s="63"/>
    </row>
    <row r="1391" spans="1:58" ht="12.75" customHeight="1" x14ac:dyDescent="0.25">
      <c r="A1391" s="333"/>
      <c r="B1391" s="334"/>
      <c r="C1391" s="332"/>
      <c r="D1391" s="334"/>
      <c r="E1391" s="335"/>
      <c r="F1391" s="334"/>
      <c r="G1391" s="332"/>
      <c r="H1391" s="332"/>
      <c r="I1391" s="334"/>
      <c r="J1391" s="336"/>
      <c r="K1391" s="332"/>
      <c r="L1391" s="332"/>
      <c r="M1391" s="76"/>
      <c r="N1391" s="103" t="str">
        <f>IF(A1391="","",VLOOKUP(A1391,Stand!C:K,9,0))</f>
        <v/>
      </c>
      <c r="O1391" s="104" t="str">
        <f t="shared" si="605"/>
        <v/>
      </c>
      <c r="P1391" s="105" t="str">
        <f t="shared" si="606"/>
        <v/>
      </c>
      <c r="Q1391" s="105" t="str">
        <f t="shared" si="621"/>
        <v/>
      </c>
      <c r="R1391" s="103" t="str">
        <f t="shared" si="607"/>
        <v/>
      </c>
      <c r="S1391" s="103" t="str">
        <f t="shared" si="608"/>
        <v/>
      </c>
      <c r="T1391" s="106" t="str">
        <f t="shared" si="622"/>
        <v/>
      </c>
      <c r="U1391" s="106" t="str">
        <f t="shared" si="623"/>
        <v/>
      </c>
      <c r="V1391" s="106" t="str">
        <f t="shared" si="624"/>
        <v/>
      </c>
      <c r="W1391" s="105" t="str">
        <f t="shared" si="609"/>
        <v/>
      </c>
      <c r="X1391" s="104" t="str">
        <f t="shared" si="614"/>
        <v/>
      </c>
      <c r="Y1391" s="104" t="str">
        <f t="array" ref="Y1391">IFERROR(IF(ISNUMBER(O1391),IF(COUNT(IF(A1391=$A$2:$A$2427,IF(D1391=$D$2:$D$2427,IF($X$2:$X$2427&gt;0,1))))&gt;0,SUM(IF(A1391=$A$2:$A$2427,IF(D1391=$D$2:$D$2427,$X$2:$X$2427)))/COUNT(IF(A1391=$A$2:$A$2427,IF(D1391=$D$2:$D$2427,IF(ISNUMBER($X$2:$X$2427),1)))),0),""),0)</f>
        <v/>
      </c>
      <c r="Z1391" s="104" t="str">
        <f>IF(ISNUMBER(O1391),IF(I1391&gt;0,(10^(VLOOKUP(D1391,'Species Codes'!B:C,2,0)+VLOOKUP(D1391,'Species Codes'!B:D,3,0)*LOG(E1391)+VLOOKUP(D1391,'Species Codes'!B:E,4,0)*LOG(I1391))),0),"")</f>
        <v/>
      </c>
      <c r="AA1391" s="104" t="str">
        <f>IFERROR((VLOOKUP(D1391,'Species Codes'!B:G,6,0)*Z1391)/2000,"")</f>
        <v/>
      </c>
      <c r="AB1391" s="104" t="e">
        <f>IF(Z1391&gt;0,((IF(OR(D1391="DF",D1391="RA")=TRUE,EXP(VLOOKUP(D1391,'Species Codes'!B:I,8,0)+VLOOKUP(D1391,'Species Codes'!B:J,9,0)*(LN((E1391*2.54)))),IF(OR(D1391="PY",D1391="RC",D1391="WH",D1391="NF")=TRUE,VLOOKUP(D1391,'Species Codes'!B:I,8,0)+VLOOKUP(D1391,'Species Codes'!B:J,9,0)*((E1391*2.54)^2)*(I1391*0.3048),IF(OR(D1391="MD",D1391="BM",D1391="GA")=TRUE,((VLOOKUP(D1391,'Species Codes'!B:I,8,0)*(((((E1391*2.54)+VLOOKUP(D1391,'Species Codes'!B:J,9,0))/VLOOKUP(D1391,'Species Codes'!B:K,10,0))^VLOOKUP(D1391,'Species Codes'!B:L,11,0))*((I1391*0.3048)^VLOOKUP(D1391,'Species Codes'!B:M,12,0))))-(VLOOKUP(D1391,'Species Codes'!B:I,8,0)*((((E1391*2.54)^VLOOKUP(D1391,'Species Codes'!B:L,11,0))*((I1391*0.3048)^VLOOKUP(D1391,'Species Codes'!B:M,12,0))))))*35.3*VLOOKUP(D1391,'Species Codes'!B:G,6,0)/2.2046,VLOOKUP(D1391,'Species Codes'!B:I,8,0)+VLOOKUP(D1391,'Species Codes'!B:J,9,0)*(((E1391*2.54)/100)^2)*(I1391*0.3048)))))*0.0011023),0)</f>
        <v>#N/A</v>
      </c>
      <c r="AC1391" s="104" t="e">
        <f>IF(Z1391&gt;0,((IF(OR(D1391="RA",D1391="OA",D1391="OT",D1391="UN",D1391="PC"),EXP(VLOOKUP(D1391,'Species Codes'!B:O,14,0)+VLOOKUP(D1391,'Species Codes'!B:P,15,0)*LN((E1391*2.54)))-EXP(VLOOKUP(D1391,'Species Codes'!B:O,14,0)+VLOOKUP(D1391,'Species Codes'!B:P,15,0)*LN((E1391*2.54)))*(1/(VLOOKUP(D1391,'Species Codes'!B:Q,16,0)+VLOOKUP(D1391,'Species Codes'!B:R,17,0)*((E1391*2.54)^VLOOKUP(D1391,'Species Codes'!B:S,18,0)))),IF(OR(D1391="BM",D1391="MD",D1391="OA"),EXP(VLOOKUP(D1391,'Species Codes'!B:O,14,0)+VLOOKUP(D1391,'Species Codes'!B:P,15,0)*LN((E1391*2.54)))*(1-(1/(VLOOKUP(D1391,'Species Codes'!B:Q,16,0)+VLOOKUP(D1391,'Species Codes'!B:R,17,0)*((E1391*2.54)^VLOOKUP(D1391,'Species Codes'!B:S,18,0)))))/1000,IF(D1391="DF",EXP(VLOOKUP(D1391,'Species Codes'!B:O,14,0)+VLOOKUP(D1391,'Species Codes'!B:P,15,0)*LN((E1391*2.54))),VLOOKUP(D1391,'Species Codes'!B:O,14,0)+VLOOKUP(D1391,'Species Codes'!B:P,15,0)*(((E1391*2.54)/100)^2)*(I1391*0.3048)))))*0.0011023),0)</f>
        <v>#N/A</v>
      </c>
      <c r="AD1391" s="104" t="e">
        <f t="shared" si="625"/>
        <v>#N/A</v>
      </c>
      <c r="AE1391" s="104" t="e">
        <f t="shared" si="626"/>
        <v>#N/A</v>
      </c>
      <c r="AF1391" s="104" t="e">
        <f>IF(AND(VLOOKUP($D1391,Merchantability!$B:$C,2,0)="Yes",$E1391&gt;=VLOOKUP($D1391,Merchantability!$B:$D,3,0),$E1391&lt;=VLOOKUP($D1391,Merchantability!$B:$E,4,0)),AA1391,0)</f>
        <v>#N/A</v>
      </c>
      <c r="AG1391" s="104" t="e">
        <f>IF(AND(VLOOKUP($D1391,Merchantability!$B:$C,2,0)="Yes",$E1391&gt;=VLOOKUP($D1391,Merchantability!$B:$D,3,0),$E1391&lt;=VLOOKUP($D1391,Merchantability!$B:$E,4,0)),AB1391,0)</f>
        <v>#N/A</v>
      </c>
      <c r="AH1391" s="104" t="e">
        <f>IF(AND(VLOOKUP($D1391,Merchantability!$B:$C,2,0)="Yes",$E1391&gt;=VLOOKUP($D1391,Merchantability!$B:$D,3,0),$E1391&lt;=VLOOKUP($D1391,Merchantability!$B:$E,4,0)),AC1391,0)</f>
        <v>#N/A</v>
      </c>
      <c r="AI1391" s="104" t="e">
        <f t="shared" si="627"/>
        <v>#N/A</v>
      </c>
      <c r="AJ1391" s="104" t="e">
        <f t="shared" si="628"/>
        <v>#VALUE!</v>
      </c>
      <c r="AK1391" s="104" t="e">
        <f t="shared" si="629"/>
        <v>#N/A</v>
      </c>
      <c r="AL1391" s="104" t="e">
        <f t="shared" si="630"/>
        <v>#N/A</v>
      </c>
      <c r="AM1391" s="104" t="e">
        <f t="shared" si="631"/>
        <v>#N/A</v>
      </c>
      <c r="AN1391" s="104" t="e">
        <f t="shared" si="615"/>
        <v>#N/A</v>
      </c>
      <c r="AO1391" s="104" t="e">
        <f t="shared" si="616"/>
        <v>#N/A</v>
      </c>
      <c r="AP1391" s="104" t="e">
        <f t="shared" si="617"/>
        <v>#N/A</v>
      </c>
      <c r="AQ1391" s="104" t="e">
        <f t="shared" si="618"/>
        <v>#N/A</v>
      </c>
      <c r="AR1391" s="105" t="str">
        <f t="shared" si="610"/>
        <v/>
      </c>
      <c r="AS1391" s="105" t="str">
        <f t="shared" si="611"/>
        <v/>
      </c>
      <c r="AT1391" s="108" t="str">
        <f t="shared" si="612"/>
        <v/>
      </c>
      <c r="AU1391" s="108" t="str">
        <f t="shared" si="613"/>
        <v/>
      </c>
      <c r="AV1391" s="107" t="str">
        <f>IF(ISNUMBER(O1391),IF(VLOOKUP($A1391,Stand!C:J,8,FALSE)="Short",AT1391,AU1391),"")</f>
        <v/>
      </c>
      <c r="AW1391" s="109" t="str">
        <f t="shared" si="619"/>
        <v/>
      </c>
      <c r="AX1391" s="109" t="str">
        <f t="shared" si="620"/>
        <v/>
      </c>
      <c r="AY1391" s="112" t="str">
        <f>IF(ISNUMBER(O1391),IF(AND(VLOOKUP($D1391,Merchantability!$B:$C,2,0)="Yes",$E1391&gt;=VLOOKUP($D1391,Merchantability!$B:$D,3,0),$E1391&lt;=VLOOKUP($D1391,Merchantability!$B:$E,4,0)),(AV1391*O1391)*(1-$H1391/100),""),"")</f>
        <v/>
      </c>
      <c r="AZ1391" s="116"/>
      <c r="BA1391" s="116"/>
      <c r="BB1391" s="116"/>
      <c r="BE1391" s="62"/>
      <c r="BF1391" s="63"/>
    </row>
    <row r="1392" spans="1:58" ht="12.75" customHeight="1" x14ac:dyDescent="0.25">
      <c r="A1392" s="333"/>
      <c r="B1392" s="334"/>
      <c r="C1392" s="332"/>
      <c r="D1392" s="334"/>
      <c r="E1392" s="335"/>
      <c r="F1392" s="334"/>
      <c r="G1392" s="332"/>
      <c r="H1392" s="332"/>
      <c r="I1392" s="334"/>
      <c r="J1392" s="336"/>
      <c r="K1392" s="332"/>
      <c r="L1392" s="332"/>
      <c r="M1392" s="76"/>
      <c r="N1392" s="103" t="str">
        <f>IF(A1392="","",VLOOKUP(A1392,Stand!C:K,9,0))</f>
        <v/>
      </c>
      <c r="O1392" s="104" t="str">
        <f t="shared" si="605"/>
        <v/>
      </c>
      <c r="P1392" s="105" t="str">
        <f t="shared" si="606"/>
        <v/>
      </c>
      <c r="Q1392" s="105" t="str">
        <f t="shared" si="621"/>
        <v/>
      </c>
      <c r="R1392" s="103" t="str">
        <f t="shared" si="607"/>
        <v/>
      </c>
      <c r="S1392" s="103" t="str">
        <f t="shared" si="608"/>
        <v/>
      </c>
      <c r="T1392" s="106" t="str">
        <f t="shared" si="622"/>
        <v/>
      </c>
      <c r="U1392" s="106" t="str">
        <f t="shared" si="623"/>
        <v/>
      </c>
      <c r="V1392" s="106" t="str">
        <f t="shared" si="624"/>
        <v/>
      </c>
      <c r="W1392" s="105" t="str">
        <f t="shared" si="609"/>
        <v/>
      </c>
      <c r="X1392" s="104" t="str">
        <f t="shared" si="614"/>
        <v/>
      </c>
      <c r="Y1392" s="104" t="str">
        <f t="array" ref="Y1392">IFERROR(IF(ISNUMBER(O1392),IF(COUNT(IF(A1392=$A$2:$A$2427,IF(D1392=$D$2:$D$2427,IF($X$2:$X$2427&gt;0,1))))&gt;0,SUM(IF(A1392=$A$2:$A$2427,IF(D1392=$D$2:$D$2427,$X$2:$X$2427)))/COUNT(IF(A1392=$A$2:$A$2427,IF(D1392=$D$2:$D$2427,IF(ISNUMBER($X$2:$X$2427),1)))),0),""),0)</f>
        <v/>
      </c>
      <c r="Z1392" s="104" t="str">
        <f>IF(ISNUMBER(O1392),IF(I1392&gt;0,(10^(VLOOKUP(D1392,'Species Codes'!B:C,2,0)+VLOOKUP(D1392,'Species Codes'!B:D,3,0)*LOG(E1392)+VLOOKUP(D1392,'Species Codes'!B:E,4,0)*LOG(I1392))),0),"")</f>
        <v/>
      </c>
      <c r="AA1392" s="104" t="str">
        <f>IFERROR((VLOOKUP(D1392,'Species Codes'!B:G,6,0)*Z1392)/2000,"")</f>
        <v/>
      </c>
      <c r="AB1392" s="104" t="e">
        <f>IF(Z1392&gt;0,((IF(OR(D1392="DF",D1392="RA")=TRUE,EXP(VLOOKUP(D1392,'Species Codes'!B:I,8,0)+VLOOKUP(D1392,'Species Codes'!B:J,9,0)*(LN((E1392*2.54)))),IF(OR(D1392="PY",D1392="RC",D1392="WH",D1392="NF")=TRUE,VLOOKUP(D1392,'Species Codes'!B:I,8,0)+VLOOKUP(D1392,'Species Codes'!B:J,9,0)*((E1392*2.54)^2)*(I1392*0.3048),IF(OR(D1392="MD",D1392="BM",D1392="GA")=TRUE,((VLOOKUP(D1392,'Species Codes'!B:I,8,0)*(((((E1392*2.54)+VLOOKUP(D1392,'Species Codes'!B:J,9,0))/VLOOKUP(D1392,'Species Codes'!B:K,10,0))^VLOOKUP(D1392,'Species Codes'!B:L,11,0))*((I1392*0.3048)^VLOOKUP(D1392,'Species Codes'!B:M,12,0))))-(VLOOKUP(D1392,'Species Codes'!B:I,8,0)*((((E1392*2.54)^VLOOKUP(D1392,'Species Codes'!B:L,11,0))*((I1392*0.3048)^VLOOKUP(D1392,'Species Codes'!B:M,12,0))))))*35.3*VLOOKUP(D1392,'Species Codes'!B:G,6,0)/2.2046,VLOOKUP(D1392,'Species Codes'!B:I,8,0)+VLOOKUP(D1392,'Species Codes'!B:J,9,0)*(((E1392*2.54)/100)^2)*(I1392*0.3048)))))*0.0011023),0)</f>
        <v>#N/A</v>
      </c>
      <c r="AC1392" s="104" t="e">
        <f>IF(Z1392&gt;0,((IF(OR(D1392="RA",D1392="OA",D1392="OT",D1392="UN",D1392="PC"),EXP(VLOOKUP(D1392,'Species Codes'!B:O,14,0)+VLOOKUP(D1392,'Species Codes'!B:P,15,0)*LN((E1392*2.54)))-EXP(VLOOKUP(D1392,'Species Codes'!B:O,14,0)+VLOOKUP(D1392,'Species Codes'!B:P,15,0)*LN((E1392*2.54)))*(1/(VLOOKUP(D1392,'Species Codes'!B:Q,16,0)+VLOOKUP(D1392,'Species Codes'!B:R,17,0)*((E1392*2.54)^VLOOKUP(D1392,'Species Codes'!B:S,18,0)))),IF(OR(D1392="BM",D1392="MD",D1392="OA"),EXP(VLOOKUP(D1392,'Species Codes'!B:O,14,0)+VLOOKUP(D1392,'Species Codes'!B:P,15,0)*LN((E1392*2.54)))*(1-(1/(VLOOKUP(D1392,'Species Codes'!B:Q,16,0)+VLOOKUP(D1392,'Species Codes'!B:R,17,0)*((E1392*2.54)^VLOOKUP(D1392,'Species Codes'!B:S,18,0)))))/1000,IF(D1392="DF",EXP(VLOOKUP(D1392,'Species Codes'!B:O,14,0)+VLOOKUP(D1392,'Species Codes'!B:P,15,0)*LN((E1392*2.54))),VLOOKUP(D1392,'Species Codes'!B:O,14,0)+VLOOKUP(D1392,'Species Codes'!B:P,15,0)*(((E1392*2.54)/100)^2)*(I1392*0.3048)))))*0.0011023),0)</f>
        <v>#N/A</v>
      </c>
      <c r="AD1392" s="104" t="e">
        <f t="shared" si="625"/>
        <v>#N/A</v>
      </c>
      <c r="AE1392" s="104" t="e">
        <f t="shared" si="626"/>
        <v>#N/A</v>
      </c>
      <c r="AF1392" s="104" t="e">
        <f>IF(AND(VLOOKUP($D1392,Merchantability!$B:$C,2,0)="Yes",$E1392&gt;=VLOOKUP($D1392,Merchantability!$B:$D,3,0),$E1392&lt;=VLOOKUP($D1392,Merchantability!$B:$E,4,0)),AA1392,0)</f>
        <v>#N/A</v>
      </c>
      <c r="AG1392" s="104" t="e">
        <f>IF(AND(VLOOKUP($D1392,Merchantability!$B:$C,2,0)="Yes",$E1392&gt;=VLOOKUP($D1392,Merchantability!$B:$D,3,0),$E1392&lt;=VLOOKUP($D1392,Merchantability!$B:$E,4,0)),AB1392,0)</f>
        <v>#N/A</v>
      </c>
      <c r="AH1392" s="104" t="e">
        <f>IF(AND(VLOOKUP($D1392,Merchantability!$B:$C,2,0)="Yes",$E1392&gt;=VLOOKUP($D1392,Merchantability!$B:$D,3,0),$E1392&lt;=VLOOKUP($D1392,Merchantability!$B:$E,4,0)),AC1392,0)</f>
        <v>#N/A</v>
      </c>
      <c r="AI1392" s="104" t="e">
        <f t="shared" si="627"/>
        <v>#N/A</v>
      </c>
      <c r="AJ1392" s="104" t="e">
        <f t="shared" si="628"/>
        <v>#VALUE!</v>
      </c>
      <c r="AK1392" s="104" t="e">
        <f t="shared" si="629"/>
        <v>#N/A</v>
      </c>
      <c r="AL1392" s="104" t="e">
        <f t="shared" si="630"/>
        <v>#N/A</v>
      </c>
      <c r="AM1392" s="104" t="e">
        <f t="shared" si="631"/>
        <v>#N/A</v>
      </c>
      <c r="AN1392" s="104" t="e">
        <f t="shared" si="615"/>
        <v>#N/A</v>
      </c>
      <c r="AO1392" s="104" t="e">
        <f t="shared" si="616"/>
        <v>#N/A</v>
      </c>
      <c r="AP1392" s="104" t="e">
        <f t="shared" si="617"/>
        <v>#N/A</v>
      </c>
      <c r="AQ1392" s="104" t="e">
        <f t="shared" si="618"/>
        <v>#N/A</v>
      </c>
      <c r="AR1392" s="105" t="str">
        <f t="shared" si="610"/>
        <v/>
      </c>
      <c r="AS1392" s="105" t="str">
        <f t="shared" si="611"/>
        <v/>
      </c>
      <c r="AT1392" s="108" t="str">
        <f t="shared" si="612"/>
        <v/>
      </c>
      <c r="AU1392" s="108" t="str">
        <f t="shared" si="613"/>
        <v/>
      </c>
      <c r="AV1392" s="107" t="str">
        <f>IF(ISNUMBER(O1392),IF(VLOOKUP($A1392,Stand!C:J,8,FALSE)="Short",AT1392,AU1392),"")</f>
        <v/>
      </c>
      <c r="AW1392" s="109" t="str">
        <f t="shared" si="619"/>
        <v/>
      </c>
      <c r="AX1392" s="109" t="str">
        <f t="shared" si="620"/>
        <v/>
      </c>
      <c r="AY1392" s="112" t="str">
        <f>IF(ISNUMBER(O1392),IF(AND(VLOOKUP($D1392,Merchantability!$B:$C,2,0)="Yes",$E1392&gt;=VLOOKUP($D1392,Merchantability!$B:$D,3,0),$E1392&lt;=VLOOKUP($D1392,Merchantability!$B:$E,4,0)),(AV1392*O1392)*(1-$H1392/100),""),"")</f>
        <v/>
      </c>
      <c r="AZ1392" s="116"/>
      <c r="BA1392" s="116"/>
      <c r="BB1392" s="116"/>
      <c r="BE1392" s="62"/>
      <c r="BF1392" s="63"/>
    </row>
    <row r="1393" spans="1:58" ht="12.75" customHeight="1" x14ac:dyDescent="0.25">
      <c r="A1393" s="333"/>
      <c r="B1393" s="334"/>
      <c r="C1393" s="332"/>
      <c r="D1393" s="334"/>
      <c r="E1393" s="335"/>
      <c r="F1393" s="334"/>
      <c r="G1393" s="332"/>
      <c r="H1393" s="332"/>
      <c r="I1393" s="334"/>
      <c r="J1393" s="336"/>
      <c r="K1393" s="332"/>
      <c r="L1393" s="332"/>
      <c r="M1393" s="76"/>
      <c r="N1393" s="103" t="str">
        <f>IF(A1393="","",VLOOKUP(A1393,Stand!C:K,9,0))</f>
        <v/>
      </c>
      <c r="O1393" s="104" t="str">
        <f t="shared" si="605"/>
        <v/>
      </c>
      <c r="P1393" s="105" t="str">
        <f t="shared" si="606"/>
        <v/>
      </c>
      <c r="Q1393" s="105" t="str">
        <f t="shared" si="621"/>
        <v/>
      </c>
      <c r="R1393" s="103" t="str">
        <f t="shared" si="607"/>
        <v/>
      </c>
      <c r="S1393" s="103" t="str">
        <f t="shared" si="608"/>
        <v/>
      </c>
      <c r="T1393" s="106" t="str">
        <f t="shared" si="622"/>
        <v/>
      </c>
      <c r="U1393" s="106" t="str">
        <f t="shared" si="623"/>
        <v/>
      </c>
      <c r="V1393" s="106" t="str">
        <f t="shared" si="624"/>
        <v/>
      </c>
      <c r="W1393" s="105" t="str">
        <f t="shared" si="609"/>
        <v/>
      </c>
      <c r="X1393" s="104" t="str">
        <f t="shared" si="614"/>
        <v/>
      </c>
      <c r="Y1393" s="104" t="str">
        <f t="array" ref="Y1393">IFERROR(IF(ISNUMBER(O1393),IF(COUNT(IF(A1393=$A$2:$A$2427,IF(D1393=$D$2:$D$2427,IF($X$2:$X$2427&gt;0,1))))&gt;0,SUM(IF(A1393=$A$2:$A$2427,IF(D1393=$D$2:$D$2427,$X$2:$X$2427)))/COUNT(IF(A1393=$A$2:$A$2427,IF(D1393=$D$2:$D$2427,IF(ISNUMBER($X$2:$X$2427),1)))),0),""),0)</f>
        <v/>
      </c>
      <c r="Z1393" s="104" t="str">
        <f>IF(ISNUMBER(O1393),IF(I1393&gt;0,(10^(VLOOKUP(D1393,'Species Codes'!B:C,2,0)+VLOOKUP(D1393,'Species Codes'!B:D,3,0)*LOG(E1393)+VLOOKUP(D1393,'Species Codes'!B:E,4,0)*LOG(I1393))),0),"")</f>
        <v/>
      </c>
      <c r="AA1393" s="104" t="str">
        <f>IFERROR((VLOOKUP(D1393,'Species Codes'!B:G,6,0)*Z1393)/2000,"")</f>
        <v/>
      </c>
      <c r="AB1393" s="104" t="e">
        <f>IF(Z1393&gt;0,((IF(OR(D1393="DF",D1393="RA")=TRUE,EXP(VLOOKUP(D1393,'Species Codes'!B:I,8,0)+VLOOKUP(D1393,'Species Codes'!B:J,9,0)*(LN((E1393*2.54)))),IF(OR(D1393="PY",D1393="RC",D1393="WH",D1393="NF")=TRUE,VLOOKUP(D1393,'Species Codes'!B:I,8,0)+VLOOKUP(D1393,'Species Codes'!B:J,9,0)*((E1393*2.54)^2)*(I1393*0.3048),IF(OR(D1393="MD",D1393="BM",D1393="GA")=TRUE,((VLOOKUP(D1393,'Species Codes'!B:I,8,0)*(((((E1393*2.54)+VLOOKUP(D1393,'Species Codes'!B:J,9,0))/VLOOKUP(D1393,'Species Codes'!B:K,10,0))^VLOOKUP(D1393,'Species Codes'!B:L,11,0))*((I1393*0.3048)^VLOOKUP(D1393,'Species Codes'!B:M,12,0))))-(VLOOKUP(D1393,'Species Codes'!B:I,8,0)*((((E1393*2.54)^VLOOKUP(D1393,'Species Codes'!B:L,11,0))*((I1393*0.3048)^VLOOKUP(D1393,'Species Codes'!B:M,12,0))))))*35.3*VLOOKUP(D1393,'Species Codes'!B:G,6,0)/2.2046,VLOOKUP(D1393,'Species Codes'!B:I,8,0)+VLOOKUP(D1393,'Species Codes'!B:J,9,0)*(((E1393*2.54)/100)^2)*(I1393*0.3048)))))*0.0011023),0)</f>
        <v>#N/A</v>
      </c>
      <c r="AC1393" s="104" t="e">
        <f>IF(Z1393&gt;0,((IF(OR(D1393="RA",D1393="OA",D1393="OT",D1393="UN",D1393="PC"),EXP(VLOOKUP(D1393,'Species Codes'!B:O,14,0)+VLOOKUP(D1393,'Species Codes'!B:P,15,0)*LN((E1393*2.54)))-EXP(VLOOKUP(D1393,'Species Codes'!B:O,14,0)+VLOOKUP(D1393,'Species Codes'!B:P,15,0)*LN((E1393*2.54)))*(1/(VLOOKUP(D1393,'Species Codes'!B:Q,16,0)+VLOOKUP(D1393,'Species Codes'!B:R,17,0)*((E1393*2.54)^VLOOKUP(D1393,'Species Codes'!B:S,18,0)))),IF(OR(D1393="BM",D1393="MD",D1393="OA"),EXP(VLOOKUP(D1393,'Species Codes'!B:O,14,0)+VLOOKUP(D1393,'Species Codes'!B:P,15,0)*LN((E1393*2.54)))*(1-(1/(VLOOKUP(D1393,'Species Codes'!B:Q,16,0)+VLOOKUP(D1393,'Species Codes'!B:R,17,0)*((E1393*2.54)^VLOOKUP(D1393,'Species Codes'!B:S,18,0)))))/1000,IF(D1393="DF",EXP(VLOOKUP(D1393,'Species Codes'!B:O,14,0)+VLOOKUP(D1393,'Species Codes'!B:P,15,0)*LN((E1393*2.54))),VLOOKUP(D1393,'Species Codes'!B:O,14,0)+VLOOKUP(D1393,'Species Codes'!B:P,15,0)*(((E1393*2.54)/100)^2)*(I1393*0.3048)))))*0.0011023),0)</f>
        <v>#N/A</v>
      </c>
      <c r="AD1393" s="104" t="e">
        <f t="shared" si="625"/>
        <v>#N/A</v>
      </c>
      <c r="AE1393" s="104" t="e">
        <f t="shared" si="626"/>
        <v>#N/A</v>
      </c>
      <c r="AF1393" s="104" t="e">
        <f>IF(AND(VLOOKUP($D1393,Merchantability!$B:$C,2,0)="Yes",$E1393&gt;=VLOOKUP($D1393,Merchantability!$B:$D,3,0),$E1393&lt;=VLOOKUP($D1393,Merchantability!$B:$E,4,0)),AA1393,0)</f>
        <v>#N/A</v>
      </c>
      <c r="AG1393" s="104" t="e">
        <f>IF(AND(VLOOKUP($D1393,Merchantability!$B:$C,2,0)="Yes",$E1393&gt;=VLOOKUP($D1393,Merchantability!$B:$D,3,0),$E1393&lt;=VLOOKUP($D1393,Merchantability!$B:$E,4,0)),AB1393,0)</f>
        <v>#N/A</v>
      </c>
      <c r="AH1393" s="104" t="e">
        <f>IF(AND(VLOOKUP($D1393,Merchantability!$B:$C,2,0)="Yes",$E1393&gt;=VLOOKUP($D1393,Merchantability!$B:$D,3,0),$E1393&lt;=VLOOKUP($D1393,Merchantability!$B:$E,4,0)),AC1393,0)</f>
        <v>#N/A</v>
      </c>
      <c r="AI1393" s="104" t="e">
        <f t="shared" si="627"/>
        <v>#N/A</v>
      </c>
      <c r="AJ1393" s="104" t="e">
        <f t="shared" si="628"/>
        <v>#VALUE!</v>
      </c>
      <c r="AK1393" s="104" t="e">
        <f t="shared" si="629"/>
        <v>#N/A</v>
      </c>
      <c r="AL1393" s="104" t="e">
        <f t="shared" si="630"/>
        <v>#N/A</v>
      </c>
      <c r="AM1393" s="104" t="e">
        <f t="shared" si="631"/>
        <v>#N/A</v>
      </c>
      <c r="AN1393" s="104" t="e">
        <f t="shared" si="615"/>
        <v>#N/A</v>
      </c>
      <c r="AO1393" s="104" t="e">
        <f t="shared" si="616"/>
        <v>#N/A</v>
      </c>
      <c r="AP1393" s="104" t="e">
        <f t="shared" si="617"/>
        <v>#N/A</v>
      </c>
      <c r="AQ1393" s="104" t="e">
        <f t="shared" si="618"/>
        <v>#N/A</v>
      </c>
      <c r="AR1393" s="105" t="str">
        <f t="shared" si="610"/>
        <v/>
      </c>
      <c r="AS1393" s="105" t="str">
        <f t="shared" si="611"/>
        <v/>
      </c>
      <c r="AT1393" s="108" t="str">
        <f t="shared" si="612"/>
        <v/>
      </c>
      <c r="AU1393" s="108" t="str">
        <f t="shared" si="613"/>
        <v/>
      </c>
      <c r="AV1393" s="107" t="str">
        <f>IF(ISNUMBER(O1393),IF(VLOOKUP($A1393,Stand!C:J,8,FALSE)="Short",AT1393,AU1393),"")</f>
        <v/>
      </c>
      <c r="AW1393" s="109" t="str">
        <f t="shared" si="619"/>
        <v/>
      </c>
      <c r="AX1393" s="109" t="str">
        <f t="shared" si="620"/>
        <v/>
      </c>
      <c r="AY1393" s="112" t="str">
        <f>IF(ISNUMBER(O1393),IF(AND(VLOOKUP($D1393,Merchantability!$B:$C,2,0)="Yes",$E1393&gt;=VLOOKUP($D1393,Merchantability!$B:$D,3,0),$E1393&lt;=VLOOKUP($D1393,Merchantability!$B:$E,4,0)),(AV1393*O1393)*(1-$H1393/100),""),"")</f>
        <v/>
      </c>
      <c r="AZ1393" s="116"/>
      <c r="BA1393" s="116"/>
      <c r="BB1393" s="116"/>
      <c r="BE1393" s="62"/>
      <c r="BF1393" s="63"/>
    </row>
    <row r="1394" spans="1:58" ht="12.75" customHeight="1" x14ac:dyDescent="0.25">
      <c r="A1394" s="333"/>
      <c r="B1394" s="334"/>
      <c r="C1394" s="332"/>
      <c r="D1394" s="334"/>
      <c r="E1394" s="335"/>
      <c r="F1394" s="334"/>
      <c r="G1394" s="332"/>
      <c r="H1394" s="332"/>
      <c r="I1394" s="334"/>
      <c r="J1394" s="336"/>
      <c r="K1394" s="332"/>
      <c r="L1394" s="332"/>
      <c r="M1394" s="76"/>
      <c r="N1394" s="103" t="str">
        <f>IF(A1394="","",VLOOKUP(A1394,Stand!C:K,9,0))</f>
        <v/>
      </c>
      <c r="O1394" s="104" t="str">
        <f t="shared" si="605"/>
        <v/>
      </c>
      <c r="P1394" s="105" t="str">
        <f t="shared" si="606"/>
        <v/>
      </c>
      <c r="Q1394" s="105" t="str">
        <f t="shared" si="621"/>
        <v/>
      </c>
      <c r="R1394" s="103" t="str">
        <f t="shared" si="607"/>
        <v/>
      </c>
      <c r="S1394" s="103" t="str">
        <f t="shared" si="608"/>
        <v/>
      </c>
      <c r="T1394" s="106" t="str">
        <f t="shared" si="622"/>
        <v/>
      </c>
      <c r="U1394" s="106" t="str">
        <f t="shared" si="623"/>
        <v/>
      </c>
      <c r="V1394" s="106" t="str">
        <f t="shared" si="624"/>
        <v/>
      </c>
      <c r="W1394" s="105" t="str">
        <f t="shared" si="609"/>
        <v/>
      </c>
      <c r="X1394" s="104" t="str">
        <f t="shared" si="614"/>
        <v/>
      </c>
      <c r="Y1394" s="104" t="str">
        <f t="array" ref="Y1394">IFERROR(IF(ISNUMBER(O1394),IF(COUNT(IF(A1394=$A$2:$A$2427,IF(D1394=$D$2:$D$2427,IF($X$2:$X$2427&gt;0,1))))&gt;0,SUM(IF(A1394=$A$2:$A$2427,IF(D1394=$D$2:$D$2427,$X$2:$X$2427)))/COUNT(IF(A1394=$A$2:$A$2427,IF(D1394=$D$2:$D$2427,IF(ISNUMBER($X$2:$X$2427),1)))),0),""),0)</f>
        <v/>
      </c>
      <c r="Z1394" s="104" t="str">
        <f>IF(ISNUMBER(O1394),IF(I1394&gt;0,(10^(VLOOKUP(D1394,'Species Codes'!B:C,2,0)+VLOOKUP(D1394,'Species Codes'!B:D,3,0)*LOG(E1394)+VLOOKUP(D1394,'Species Codes'!B:E,4,0)*LOG(I1394))),0),"")</f>
        <v/>
      </c>
      <c r="AA1394" s="104" t="str">
        <f>IFERROR((VLOOKUP(D1394,'Species Codes'!B:G,6,0)*Z1394)/2000,"")</f>
        <v/>
      </c>
      <c r="AB1394" s="104" t="e">
        <f>IF(Z1394&gt;0,((IF(OR(D1394="DF",D1394="RA")=TRUE,EXP(VLOOKUP(D1394,'Species Codes'!B:I,8,0)+VLOOKUP(D1394,'Species Codes'!B:J,9,0)*(LN((E1394*2.54)))),IF(OR(D1394="PY",D1394="RC",D1394="WH",D1394="NF")=TRUE,VLOOKUP(D1394,'Species Codes'!B:I,8,0)+VLOOKUP(D1394,'Species Codes'!B:J,9,0)*((E1394*2.54)^2)*(I1394*0.3048),IF(OR(D1394="MD",D1394="BM",D1394="GA")=TRUE,((VLOOKUP(D1394,'Species Codes'!B:I,8,0)*(((((E1394*2.54)+VLOOKUP(D1394,'Species Codes'!B:J,9,0))/VLOOKUP(D1394,'Species Codes'!B:K,10,0))^VLOOKUP(D1394,'Species Codes'!B:L,11,0))*((I1394*0.3048)^VLOOKUP(D1394,'Species Codes'!B:M,12,0))))-(VLOOKUP(D1394,'Species Codes'!B:I,8,0)*((((E1394*2.54)^VLOOKUP(D1394,'Species Codes'!B:L,11,0))*((I1394*0.3048)^VLOOKUP(D1394,'Species Codes'!B:M,12,0))))))*35.3*VLOOKUP(D1394,'Species Codes'!B:G,6,0)/2.2046,VLOOKUP(D1394,'Species Codes'!B:I,8,0)+VLOOKUP(D1394,'Species Codes'!B:J,9,0)*(((E1394*2.54)/100)^2)*(I1394*0.3048)))))*0.0011023),0)</f>
        <v>#N/A</v>
      </c>
      <c r="AC1394" s="104" t="e">
        <f>IF(Z1394&gt;0,((IF(OR(D1394="RA",D1394="OA",D1394="OT",D1394="UN",D1394="PC"),EXP(VLOOKUP(D1394,'Species Codes'!B:O,14,0)+VLOOKUP(D1394,'Species Codes'!B:P,15,0)*LN((E1394*2.54)))-EXP(VLOOKUP(D1394,'Species Codes'!B:O,14,0)+VLOOKUP(D1394,'Species Codes'!B:P,15,0)*LN((E1394*2.54)))*(1/(VLOOKUP(D1394,'Species Codes'!B:Q,16,0)+VLOOKUP(D1394,'Species Codes'!B:R,17,0)*((E1394*2.54)^VLOOKUP(D1394,'Species Codes'!B:S,18,0)))),IF(OR(D1394="BM",D1394="MD",D1394="OA"),EXP(VLOOKUP(D1394,'Species Codes'!B:O,14,0)+VLOOKUP(D1394,'Species Codes'!B:P,15,0)*LN((E1394*2.54)))*(1-(1/(VLOOKUP(D1394,'Species Codes'!B:Q,16,0)+VLOOKUP(D1394,'Species Codes'!B:R,17,0)*((E1394*2.54)^VLOOKUP(D1394,'Species Codes'!B:S,18,0)))))/1000,IF(D1394="DF",EXP(VLOOKUP(D1394,'Species Codes'!B:O,14,0)+VLOOKUP(D1394,'Species Codes'!B:P,15,0)*LN((E1394*2.54))),VLOOKUP(D1394,'Species Codes'!B:O,14,0)+VLOOKUP(D1394,'Species Codes'!B:P,15,0)*(((E1394*2.54)/100)^2)*(I1394*0.3048)))))*0.0011023),0)</f>
        <v>#N/A</v>
      </c>
      <c r="AD1394" s="104" t="e">
        <f t="shared" si="625"/>
        <v>#N/A</v>
      </c>
      <c r="AE1394" s="104" t="e">
        <f t="shared" si="626"/>
        <v>#N/A</v>
      </c>
      <c r="AF1394" s="104" t="e">
        <f>IF(AND(VLOOKUP($D1394,Merchantability!$B:$C,2,0)="Yes",$E1394&gt;=VLOOKUP($D1394,Merchantability!$B:$D,3,0),$E1394&lt;=VLOOKUP($D1394,Merchantability!$B:$E,4,0)),AA1394,0)</f>
        <v>#N/A</v>
      </c>
      <c r="AG1394" s="104" t="e">
        <f>IF(AND(VLOOKUP($D1394,Merchantability!$B:$C,2,0)="Yes",$E1394&gt;=VLOOKUP($D1394,Merchantability!$B:$D,3,0),$E1394&lt;=VLOOKUP($D1394,Merchantability!$B:$E,4,0)),AB1394,0)</f>
        <v>#N/A</v>
      </c>
      <c r="AH1394" s="104" t="e">
        <f>IF(AND(VLOOKUP($D1394,Merchantability!$B:$C,2,0)="Yes",$E1394&gt;=VLOOKUP($D1394,Merchantability!$B:$D,3,0),$E1394&lt;=VLOOKUP($D1394,Merchantability!$B:$E,4,0)),AC1394,0)</f>
        <v>#N/A</v>
      </c>
      <c r="AI1394" s="104" t="e">
        <f t="shared" si="627"/>
        <v>#N/A</v>
      </c>
      <c r="AJ1394" s="104" t="e">
        <f t="shared" si="628"/>
        <v>#VALUE!</v>
      </c>
      <c r="AK1394" s="104" t="e">
        <f t="shared" si="629"/>
        <v>#N/A</v>
      </c>
      <c r="AL1394" s="104" t="e">
        <f t="shared" si="630"/>
        <v>#N/A</v>
      </c>
      <c r="AM1394" s="104" t="e">
        <f t="shared" si="631"/>
        <v>#N/A</v>
      </c>
      <c r="AN1394" s="104" t="e">
        <f t="shared" si="615"/>
        <v>#N/A</v>
      </c>
      <c r="AO1394" s="104" t="e">
        <f t="shared" si="616"/>
        <v>#N/A</v>
      </c>
      <c r="AP1394" s="104" t="e">
        <f t="shared" si="617"/>
        <v>#N/A</v>
      </c>
      <c r="AQ1394" s="104" t="e">
        <f t="shared" si="618"/>
        <v>#N/A</v>
      </c>
      <c r="AR1394" s="105" t="str">
        <f t="shared" si="610"/>
        <v/>
      </c>
      <c r="AS1394" s="105" t="str">
        <f t="shared" si="611"/>
        <v/>
      </c>
      <c r="AT1394" s="108" t="str">
        <f t="shared" si="612"/>
        <v/>
      </c>
      <c r="AU1394" s="108" t="str">
        <f t="shared" si="613"/>
        <v/>
      </c>
      <c r="AV1394" s="107" t="str">
        <f>IF(ISNUMBER(O1394),IF(VLOOKUP($A1394,Stand!C:J,8,FALSE)="Short",AT1394,AU1394),"")</f>
        <v/>
      </c>
      <c r="AW1394" s="109" t="str">
        <f t="shared" si="619"/>
        <v/>
      </c>
      <c r="AX1394" s="109" t="str">
        <f t="shared" si="620"/>
        <v/>
      </c>
      <c r="AY1394" s="112" t="str">
        <f>IF(ISNUMBER(O1394),IF(AND(VLOOKUP($D1394,Merchantability!$B:$C,2,0)="Yes",$E1394&gt;=VLOOKUP($D1394,Merchantability!$B:$D,3,0),$E1394&lt;=VLOOKUP($D1394,Merchantability!$B:$E,4,0)),(AV1394*O1394)*(1-$H1394/100),""),"")</f>
        <v/>
      </c>
      <c r="AZ1394" s="116"/>
      <c r="BA1394" s="116"/>
      <c r="BB1394" s="116"/>
      <c r="BE1394" s="62"/>
      <c r="BF1394" s="63"/>
    </row>
    <row r="1395" spans="1:58" ht="12.75" customHeight="1" x14ac:dyDescent="0.25">
      <c r="A1395" s="333"/>
      <c r="B1395" s="334"/>
      <c r="C1395" s="332"/>
      <c r="D1395" s="334"/>
      <c r="E1395" s="335"/>
      <c r="F1395" s="334"/>
      <c r="G1395" s="332"/>
      <c r="H1395" s="332"/>
      <c r="I1395" s="334"/>
      <c r="J1395" s="336"/>
      <c r="K1395" s="332"/>
      <c r="L1395" s="332"/>
      <c r="M1395" s="76"/>
      <c r="N1395" s="103" t="str">
        <f>IF(A1395="","",VLOOKUP(A1395,Stand!C:K,9,0))</f>
        <v/>
      </c>
      <c r="O1395" s="104" t="str">
        <f t="shared" si="605"/>
        <v/>
      </c>
      <c r="P1395" s="105" t="str">
        <f t="shared" si="606"/>
        <v/>
      </c>
      <c r="Q1395" s="105" t="str">
        <f t="shared" si="621"/>
        <v/>
      </c>
      <c r="R1395" s="103" t="str">
        <f t="shared" si="607"/>
        <v/>
      </c>
      <c r="S1395" s="103" t="str">
        <f t="shared" si="608"/>
        <v/>
      </c>
      <c r="T1395" s="106" t="str">
        <f t="shared" si="622"/>
        <v/>
      </c>
      <c r="U1395" s="106" t="str">
        <f t="shared" si="623"/>
        <v/>
      </c>
      <c r="V1395" s="106" t="str">
        <f t="shared" si="624"/>
        <v/>
      </c>
      <c r="W1395" s="105" t="str">
        <f t="shared" si="609"/>
        <v/>
      </c>
      <c r="X1395" s="104" t="str">
        <f t="shared" si="614"/>
        <v/>
      </c>
      <c r="Y1395" s="104" t="str">
        <f t="array" ref="Y1395">IFERROR(IF(ISNUMBER(O1395),IF(COUNT(IF(A1395=$A$2:$A$2427,IF(D1395=$D$2:$D$2427,IF($X$2:$X$2427&gt;0,1))))&gt;0,SUM(IF(A1395=$A$2:$A$2427,IF(D1395=$D$2:$D$2427,$X$2:$X$2427)))/COUNT(IF(A1395=$A$2:$A$2427,IF(D1395=$D$2:$D$2427,IF(ISNUMBER($X$2:$X$2427),1)))),0),""),0)</f>
        <v/>
      </c>
      <c r="Z1395" s="104" t="str">
        <f>IF(ISNUMBER(O1395),IF(I1395&gt;0,(10^(VLOOKUP(D1395,'Species Codes'!B:C,2,0)+VLOOKUP(D1395,'Species Codes'!B:D,3,0)*LOG(E1395)+VLOOKUP(D1395,'Species Codes'!B:E,4,0)*LOG(I1395))),0),"")</f>
        <v/>
      </c>
      <c r="AA1395" s="104" t="str">
        <f>IFERROR((VLOOKUP(D1395,'Species Codes'!B:G,6,0)*Z1395)/2000,"")</f>
        <v/>
      </c>
      <c r="AB1395" s="104" t="e">
        <f>IF(Z1395&gt;0,((IF(OR(D1395="DF",D1395="RA")=TRUE,EXP(VLOOKUP(D1395,'Species Codes'!B:I,8,0)+VLOOKUP(D1395,'Species Codes'!B:J,9,0)*(LN((E1395*2.54)))),IF(OR(D1395="PY",D1395="RC",D1395="WH",D1395="NF")=TRUE,VLOOKUP(D1395,'Species Codes'!B:I,8,0)+VLOOKUP(D1395,'Species Codes'!B:J,9,0)*((E1395*2.54)^2)*(I1395*0.3048),IF(OR(D1395="MD",D1395="BM",D1395="GA")=TRUE,((VLOOKUP(D1395,'Species Codes'!B:I,8,0)*(((((E1395*2.54)+VLOOKUP(D1395,'Species Codes'!B:J,9,0))/VLOOKUP(D1395,'Species Codes'!B:K,10,0))^VLOOKUP(D1395,'Species Codes'!B:L,11,0))*((I1395*0.3048)^VLOOKUP(D1395,'Species Codes'!B:M,12,0))))-(VLOOKUP(D1395,'Species Codes'!B:I,8,0)*((((E1395*2.54)^VLOOKUP(D1395,'Species Codes'!B:L,11,0))*((I1395*0.3048)^VLOOKUP(D1395,'Species Codes'!B:M,12,0))))))*35.3*VLOOKUP(D1395,'Species Codes'!B:G,6,0)/2.2046,VLOOKUP(D1395,'Species Codes'!B:I,8,0)+VLOOKUP(D1395,'Species Codes'!B:J,9,0)*(((E1395*2.54)/100)^2)*(I1395*0.3048)))))*0.0011023),0)</f>
        <v>#N/A</v>
      </c>
      <c r="AC1395" s="104" t="e">
        <f>IF(Z1395&gt;0,((IF(OR(D1395="RA",D1395="OA",D1395="OT",D1395="UN",D1395="PC"),EXP(VLOOKUP(D1395,'Species Codes'!B:O,14,0)+VLOOKUP(D1395,'Species Codes'!B:P,15,0)*LN((E1395*2.54)))-EXP(VLOOKUP(D1395,'Species Codes'!B:O,14,0)+VLOOKUP(D1395,'Species Codes'!B:P,15,0)*LN((E1395*2.54)))*(1/(VLOOKUP(D1395,'Species Codes'!B:Q,16,0)+VLOOKUP(D1395,'Species Codes'!B:R,17,0)*((E1395*2.54)^VLOOKUP(D1395,'Species Codes'!B:S,18,0)))),IF(OR(D1395="BM",D1395="MD",D1395="OA"),EXP(VLOOKUP(D1395,'Species Codes'!B:O,14,0)+VLOOKUP(D1395,'Species Codes'!B:P,15,0)*LN((E1395*2.54)))*(1-(1/(VLOOKUP(D1395,'Species Codes'!B:Q,16,0)+VLOOKUP(D1395,'Species Codes'!B:R,17,0)*((E1395*2.54)^VLOOKUP(D1395,'Species Codes'!B:S,18,0)))))/1000,IF(D1395="DF",EXP(VLOOKUP(D1395,'Species Codes'!B:O,14,0)+VLOOKUP(D1395,'Species Codes'!B:P,15,0)*LN((E1395*2.54))),VLOOKUP(D1395,'Species Codes'!B:O,14,0)+VLOOKUP(D1395,'Species Codes'!B:P,15,0)*(((E1395*2.54)/100)^2)*(I1395*0.3048)))))*0.0011023),0)</f>
        <v>#N/A</v>
      </c>
      <c r="AD1395" s="104" t="e">
        <f t="shared" si="625"/>
        <v>#N/A</v>
      </c>
      <c r="AE1395" s="104" t="e">
        <f t="shared" si="626"/>
        <v>#N/A</v>
      </c>
      <c r="AF1395" s="104" t="e">
        <f>IF(AND(VLOOKUP($D1395,Merchantability!$B:$C,2,0)="Yes",$E1395&gt;=VLOOKUP($D1395,Merchantability!$B:$D,3,0),$E1395&lt;=VLOOKUP($D1395,Merchantability!$B:$E,4,0)),AA1395,0)</f>
        <v>#N/A</v>
      </c>
      <c r="AG1395" s="104" t="e">
        <f>IF(AND(VLOOKUP($D1395,Merchantability!$B:$C,2,0)="Yes",$E1395&gt;=VLOOKUP($D1395,Merchantability!$B:$D,3,0),$E1395&lt;=VLOOKUP($D1395,Merchantability!$B:$E,4,0)),AB1395,0)</f>
        <v>#N/A</v>
      </c>
      <c r="AH1395" s="104" t="e">
        <f>IF(AND(VLOOKUP($D1395,Merchantability!$B:$C,2,0)="Yes",$E1395&gt;=VLOOKUP($D1395,Merchantability!$B:$D,3,0),$E1395&lt;=VLOOKUP($D1395,Merchantability!$B:$E,4,0)),AC1395,0)</f>
        <v>#N/A</v>
      </c>
      <c r="AI1395" s="104" t="e">
        <f t="shared" si="627"/>
        <v>#N/A</v>
      </c>
      <c r="AJ1395" s="104" t="e">
        <f t="shared" si="628"/>
        <v>#VALUE!</v>
      </c>
      <c r="AK1395" s="104" t="e">
        <f t="shared" si="629"/>
        <v>#N/A</v>
      </c>
      <c r="AL1395" s="104" t="e">
        <f t="shared" si="630"/>
        <v>#N/A</v>
      </c>
      <c r="AM1395" s="104" t="e">
        <f t="shared" si="631"/>
        <v>#N/A</v>
      </c>
      <c r="AN1395" s="104" t="e">
        <f t="shared" si="615"/>
        <v>#N/A</v>
      </c>
      <c r="AO1395" s="104" t="e">
        <f t="shared" si="616"/>
        <v>#N/A</v>
      </c>
      <c r="AP1395" s="104" t="e">
        <f t="shared" si="617"/>
        <v>#N/A</v>
      </c>
      <c r="AQ1395" s="104" t="e">
        <f t="shared" si="618"/>
        <v>#N/A</v>
      </c>
      <c r="AR1395" s="105" t="str">
        <f t="shared" si="610"/>
        <v/>
      </c>
      <c r="AS1395" s="105" t="str">
        <f t="shared" si="611"/>
        <v/>
      </c>
      <c r="AT1395" s="108" t="str">
        <f t="shared" si="612"/>
        <v/>
      </c>
      <c r="AU1395" s="108" t="str">
        <f t="shared" si="613"/>
        <v/>
      </c>
      <c r="AV1395" s="107" t="str">
        <f>IF(ISNUMBER(O1395),IF(VLOOKUP($A1395,Stand!C:J,8,FALSE)="Short",AT1395,AU1395),"")</f>
        <v/>
      </c>
      <c r="AW1395" s="109" t="str">
        <f t="shared" si="619"/>
        <v/>
      </c>
      <c r="AX1395" s="109" t="str">
        <f t="shared" si="620"/>
        <v/>
      </c>
      <c r="AY1395" s="112" t="str">
        <f>IF(ISNUMBER(O1395),IF(AND(VLOOKUP($D1395,Merchantability!$B:$C,2,0)="Yes",$E1395&gt;=VLOOKUP($D1395,Merchantability!$B:$D,3,0),$E1395&lt;=VLOOKUP($D1395,Merchantability!$B:$E,4,0)),(AV1395*O1395)*(1-$H1395/100),""),"")</f>
        <v/>
      </c>
      <c r="AZ1395" s="116"/>
      <c r="BA1395" s="116"/>
      <c r="BB1395" s="116"/>
      <c r="BE1395" s="62"/>
      <c r="BF1395" s="63"/>
    </row>
    <row r="1396" spans="1:58" ht="12.75" customHeight="1" x14ac:dyDescent="0.25">
      <c r="A1396" s="333"/>
      <c r="B1396" s="334"/>
      <c r="C1396" s="332"/>
      <c r="D1396" s="334"/>
      <c r="E1396" s="335"/>
      <c r="F1396" s="334"/>
      <c r="G1396" s="332"/>
      <c r="H1396" s="332"/>
      <c r="I1396" s="334"/>
      <c r="J1396" s="336"/>
      <c r="K1396" s="332"/>
      <c r="L1396" s="332"/>
      <c r="M1396" s="76"/>
      <c r="N1396" s="103" t="str">
        <f>IF(A1396="","",VLOOKUP(A1396,Stand!C:K,9,0))</f>
        <v/>
      </c>
      <c r="O1396" s="104" t="str">
        <f t="shared" si="605"/>
        <v/>
      </c>
      <c r="P1396" s="105" t="str">
        <f t="shared" si="606"/>
        <v/>
      </c>
      <c r="Q1396" s="105" t="str">
        <f t="shared" si="621"/>
        <v/>
      </c>
      <c r="R1396" s="103" t="str">
        <f t="shared" si="607"/>
        <v/>
      </c>
      <c r="S1396" s="103" t="str">
        <f t="shared" si="608"/>
        <v/>
      </c>
      <c r="T1396" s="106" t="str">
        <f t="shared" si="622"/>
        <v/>
      </c>
      <c r="U1396" s="106" t="str">
        <f t="shared" si="623"/>
        <v/>
      </c>
      <c r="V1396" s="106" t="str">
        <f t="shared" si="624"/>
        <v/>
      </c>
      <c r="W1396" s="105" t="str">
        <f t="shared" si="609"/>
        <v/>
      </c>
      <c r="X1396" s="104" t="str">
        <f t="shared" si="614"/>
        <v/>
      </c>
      <c r="Y1396" s="104" t="str">
        <f t="array" ref="Y1396">IFERROR(IF(ISNUMBER(O1396),IF(COUNT(IF(A1396=$A$2:$A$2427,IF(D1396=$D$2:$D$2427,IF($X$2:$X$2427&gt;0,1))))&gt;0,SUM(IF(A1396=$A$2:$A$2427,IF(D1396=$D$2:$D$2427,$X$2:$X$2427)))/COUNT(IF(A1396=$A$2:$A$2427,IF(D1396=$D$2:$D$2427,IF(ISNUMBER($X$2:$X$2427),1)))),0),""),0)</f>
        <v/>
      </c>
      <c r="Z1396" s="104" t="str">
        <f>IF(ISNUMBER(O1396),IF(I1396&gt;0,(10^(VLOOKUP(D1396,'Species Codes'!B:C,2,0)+VLOOKUP(D1396,'Species Codes'!B:D,3,0)*LOG(E1396)+VLOOKUP(D1396,'Species Codes'!B:E,4,0)*LOG(I1396))),0),"")</f>
        <v/>
      </c>
      <c r="AA1396" s="104" t="str">
        <f>IFERROR((VLOOKUP(D1396,'Species Codes'!B:G,6,0)*Z1396)/2000,"")</f>
        <v/>
      </c>
      <c r="AB1396" s="104" t="e">
        <f>IF(Z1396&gt;0,((IF(OR(D1396="DF",D1396="RA")=TRUE,EXP(VLOOKUP(D1396,'Species Codes'!B:I,8,0)+VLOOKUP(D1396,'Species Codes'!B:J,9,0)*(LN((E1396*2.54)))),IF(OR(D1396="PY",D1396="RC",D1396="WH",D1396="NF")=TRUE,VLOOKUP(D1396,'Species Codes'!B:I,8,0)+VLOOKUP(D1396,'Species Codes'!B:J,9,0)*((E1396*2.54)^2)*(I1396*0.3048),IF(OR(D1396="MD",D1396="BM",D1396="GA")=TRUE,((VLOOKUP(D1396,'Species Codes'!B:I,8,0)*(((((E1396*2.54)+VLOOKUP(D1396,'Species Codes'!B:J,9,0))/VLOOKUP(D1396,'Species Codes'!B:K,10,0))^VLOOKUP(D1396,'Species Codes'!B:L,11,0))*((I1396*0.3048)^VLOOKUP(D1396,'Species Codes'!B:M,12,0))))-(VLOOKUP(D1396,'Species Codes'!B:I,8,0)*((((E1396*2.54)^VLOOKUP(D1396,'Species Codes'!B:L,11,0))*((I1396*0.3048)^VLOOKUP(D1396,'Species Codes'!B:M,12,0))))))*35.3*VLOOKUP(D1396,'Species Codes'!B:G,6,0)/2.2046,VLOOKUP(D1396,'Species Codes'!B:I,8,0)+VLOOKUP(D1396,'Species Codes'!B:J,9,0)*(((E1396*2.54)/100)^2)*(I1396*0.3048)))))*0.0011023),0)</f>
        <v>#N/A</v>
      </c>
      <c r="AC1396" s="104" t="e">
        <f>IF(Z1396&gt;0,((IF(OR(D1396="RA",D1396="OA",D1396="OT",D1396="UN",D1396="PC"),EXP(VLOOKUP(D1396,'Species Codes'!B:O,14,0)+VLOOKUP(D1396,'Species Codes'!B:P,15,0)*LN((E1396*2.54)))-EXP(VLOOKUP(D1396,'Species Codes'!B:O,14,0)+VLOOKUP(D1396,'Species Codes'!B:P,15,0)*LN((E1396*2.54)))*(1/(VLOOKUP(D1396,'Species Codes'!B:Q,16,0)+VLOOKUP(D1396,'Species Codes'!B:R,17,0)*((E1396*2.54)^VLOOKUP(D1396,'Species Codes'!B:S,18,0)))),IF(OR(D1396="BM",D1396="MD",D1396="OA"),EXP(VLOOKUP(D1396,'Species Codes'!B:O,14,0)+VLOOKUP(D1396,'Species Codes'!B:P,15,0)*LN((E1396*2.54)))*(1-(1/(VLOOKUP(D1396,'Species Codes'!B:Q,16,0)+VLOOKUP(D1396,'Species Codes'!B:R,17,0)*((E1396*2.54)^VLOOKUP(D1396,'Species Codes'!B:S,18,0)))))/1000,IF(D1396="DF",EXP(VLOOKUP(D1396,'Species Codes'!B:O,14,0)+VLOOKUP(D1396,'Species Codes'!B:P,15,0)*LN((E1396*2.54))),VLOOKUP(D1396,'Species Codes'!B:O,14,0)+VLOOKUP(D1396,'Species Codes'!B:P,15,0)*(((E1396*2.54)/100)^2)*(I1396*0.3048)))))*0.0011023),0)</f>
        <v>#N/A</v>
      </c>
      <c r="AD1396" s="104" t="e">
        <f t="shared" si="625"/>
        <v>#N/A</v>
      </c>
      <c r="AE1396" s="104" t="e">
        <f t="shared" si="626"/>
        <v>#N/A</v>
      </c>
      <c r="AF1396" s="104" t="e">
        <f>IF(AND(VLOOKUP($D1396,Merchantability!$B:$C,2,0)="Yes",$E1396&gt;=VLOOKUP($D1396,Merchantability!$B:$D,3,0),$E1396&lt;=VLOOKUP($D1396,Merchantability!$B:$E,4,0)),AA1396,0)</f>
        <v>#N/A</v>
      </c>
      <c r="AG1396" s="104" t="e">
        <f>IF(AND(VLOOKUP($D1396,Merchantability!$B:$C,2,0)="Yes",$E1396&gt;=VLOOKUP($D1396,Merchantability!$B:$D,3,0),$E1396&lt;=VLOOKUP($D1396,Merchantability!$B:$E,4,0)),AB1396,0)</f>
        <v>#N/A</v>
      </c>
      <c r="AH1396" s="104" t="e">
        <f>IF(AND(VLOOKUP($D1396,Merchantability!$B:$C,2,0)="Yes",$E1396&gt;=VLOOKUP($D1396,Merchantability!$B:$D,3,0),$E1396&lt;=VLOOKUP($D1396,Merchantability!$B:$E,4,0)),AC1396,0)</f>
        <v>#N/A</v>
      </c>
      <c r="AI1396" s="104" t="e">
        <f t="shared" si="627"/>
        <v>#N/A</v>
      </c>
      <c r="AJ1396" s="104" t="e">
        <f t="shared" si="628"/>
        <v>#VALUE!</v>
      </c>
      <c r="AK1396" s="104" t="e">
        <f t="shared" si="629"/>
        <v>#N/A</v>
      </c>
      <c r="AL1396" s="104" t="e">
        <f t="shared" si="630"/>
        <v>#N/A</v>
      </c>
      <c r="AM1396" s="104" t="e">
        <f t="shared" si="631"/>
        <v>#N/A</v>
      </c>
      <c r="AN1396" s="104" t="e">
        <f t="shared" si="615"/>
        <v>#N/A</v>
      </c>
      <c r="AO1396" s="104" t="e">
        <f t="shared" si="616"/>
        <v>#N/A</v>
      </c>
      <c r="AP1396" s="104" t="e">
        <f t="shared" si="617"/>
        <v>#N/A</v>
      </c>
      <c r="AQ1396" s="104" t="e">
        <f t="shared" si="618"/>
        <v>#N/A</v>
      </c>
      <c r="AR1396" s="105" t="str">
        <f t="shared" si="610"/>
        <v/>
      </c>
      <c r="AS1396" s="105" t="str">
        <f t="shared" si="611"/>
        <v/>
      </c>
      <c r="AT1396" s="108" t="str">
        <f t="shared" si="612"/>
        <v/>
      </c>
      <c r="AU1396" s="108" t="str">
        <f t="shared" si="613"/>
        <v/>
      </c>
      <c r="AV1396" s="107" t="str">
        <f>IF(ISNUMBER(O1396),IF(VLOOKUP($A1396,Stand!C:J,8,FALSE)="Short",AT1396,AU1396),"")</f>
        <v/>
      </c>
      <c r="AW1396" s="109" t="str">
        <f t="shared" si="619"/>
        <v/>
      </c>
      <c r="AX1396" s="109" t="str">
        <f t="shared" si="620"/>
        <v/>
      </c>
      <c r="AY1396" s="112" t="str">
        <f>IF(ISNUMBER(O1396),IF(AND(VLOOKUP($D1396,Merchantability!$B:$C,2,0)="Yes",$E1396&gt;=VLOOKUP($D1396,Merchantability!$B:$D,3,0),$E1396&lt;=VLOOKUP($D1396,Merchantability!$B:$E,4,0)),(AV1396*O1396)*(1-$H1396/100),""),"")</f>
        <v/>
      </c>
      <c r="AZ1396" s="116"/>
      <c r="BA1396" s="116"/>
      <c r="BB1396" s="116"/>
      <c r="BE1396" s="62"/>
      <c r="BF1396" s="63"/>
    </row>
    <row r="1397" spans="1:58" ht="12.75" customHeight="1" x14ac:dyDescent="0.25">
      <c r="A1397" s="333"/>
      <c r="B1397" s="334"/>
      <c r="C1397" s="332"/>
      <c r="D1397" s="334"/>
      <c r="E1397" s="335"/>
      <c r="F1397" s="334"/>
      <c r="G1397" s="332"/>
      <c r="H1397" s="332"/>
      <c r="I1397" s="334"/>
      <c r="J1397" s="336"/>
      <c r="K1397" s="332"/>
      <c r="L1397" s="332"/>
      <c r="M1397" s="76"/>
      <c r="N1397" s="103" t="str">
        <f>IF(A1397="","",VLOOKUP(A1397,Stand!C:K,9,0))</f>
        <v/>
      </c>
      <c r="O1397" s="104" t="str">
        <f t="shared" si="605"/>
        <v/>
      </c>
      <c r="P1397" s="105" t="str">
        <f t="shared" si="606"/>
        <v/>
      </c>
      <c r="Q1397" s="105" t="str">
        <f t="shared" si="621"/>
        <v/>
      </c>
      <c r="R1397" s="103" t="str">
        <f t="shared" si="607"/>
        <v/>
      </c>
      <c r="S1397" s="103" t="str">
        <f t="shared" si="608"/>
        <v/>
      </c>
      <c r="T1397" s="106" t="str">
        <f t="shared" si="622"/>
        <v/>
      </c>
      <c r="U1397" s="106" t="str">
        <f t="shared" si="623"/>
        <v/>
      </c>
      <c r="V1397" s="106" t="str">
        <f t="shared" si="624"/>
        <v/>
      </c>
      <c r="W1397" s="105" t="str">
        <f t="shared" si="609"/>
        <v/>
      </c>
      <c r="X1397" s="104" t="str">
        <f t="shared" si="614"/>
        <v/>
      </c>
      <c r="Y1397" s="104" t="str">
        <f t="array" ref="Y1397">IFERROR(IF(ISNUMBER(O1397),IF(COUNT(IF(A1397=$A$2:$A$2427,IF(D1397=$D$2:$D$2427,IF($X$2:$X$2427&gt;0,1))))&gt;0,SUM(IF(A1397=$A$2:$A$2427,IF(D1397=$D$2:$D$2427,$X$2:$X$2427)))/COUNT(IF(A1397=$A$2:$A$2427,IF(D1397=$D$2:$D$2427,IF(ISNUMBER($X$2:$X$2427),1)))),0),""),0)</f>
        <v/>
      </c>
      <c r="Z1397" s="104" t="str">
        <f>IF(ISNUMBER(O1397),IF(I1397&gt;0,(10^(VLOOKUP(D1397,'Species Codes'!B:C,2,0)+VLOOKUP(D1397,'Species Codes'!B:D,3,0)*LOG(E1397)+VLOOKUP(D1397,'Species Codes'!B:E,4,0)*LOG(I1397))),0),"")</f>
        <v/>
      </c>
      <c r="AA1397" s="104" t="str">
        <f>IFERROR((VLOOKUP(D1397,'Species Codes'!B:G,6,0)*Z1397)/2000,"")</f>
        <v/>
      </c>
      <c r="AB1397" s="104" t="e">
        <f>IF(Z1397&gt;0,((IF(OR(D1397="DF",D1397="RA")=TRUE,EXP(VLOOKUP(D1397,'Species Codes'!B:I,8,0)+VLOOKUP(D1397,'Species Codes'!B:J,9,0)*(LN((E1397*2.54)))),IF(OR(D1397="PY",D1397="RC",D1397="WH",D1397="NF")=TRUE,VLOOKUP(D1397,'Species Codes'!B:I,8,0)+VLOOKUP(D1397,'Species Codes'!B:J,9,0)*((E1397*2.54)^2)*(I1397*0.3048),IF(OR(D1397="MD",D1397="BM",D1397="GA")=TRUE,((VLOOKUP(D1397,'Species Codes'!B:I,8,0)*(((((E1397*2.54)+VLOOKUP(D1397,'Species Codes'!B:J,9,0))/VLOOKUP(D1397,'Species Codes'!B:K,10,0))^VLOOKUP(D1397,'Species Codes'!B:L,11,0))*((I1397*0.3048)^VLOOKUP(D1397,'Species Codes'!B:M,12,0))))-(VLOOKUP(D1397,'Species Codes'!B:I,8,0)*((((E1397*2.54)^VLOOKUP(D1397,'Species Codes'!B:L,11,0))*((I1397*0.3048)^VLOOKUP(D1397,'Species Codes'!B:M,12,0))))))*35.3*VLOOKUP(D1397,'Species Codes'!B:G,6,0)/2.2046,VLOOKUP(D1397,'Species Codes'!B:I,8,0)+VLOOKUP(D1397,'Species Codes'!B:J,9,0)*(((E1397*2.54)/100)^2)*(I1397*0.3048)))))*0.0011023),0)</f>
        <v>#N/A</v>
      </c>
      <c r="AC1397" s="104" t="e">
        <f>IF(Z1397&gt;0,((IF(OR(D1397="RA",D1397="OA",D1397="OT",D1397="UN",D1397="PC"),EXP(VLOOKUP(D1397,'Species Codes'!B:O,14,0)+VLOOKUP(D1397,'Species Codes'!B:P,15,0)*LN((E1397*2.54)))-EXP(VLOOKUP(D1397,'Species Codes'!B:O,14,0)+VLOOKUP(D1397,'Species Codes'!B:P,15,0)*LN((E1397*2.54)))*(1/(VLOOKUP(D1397,'Species Codes'!B:Q,16,0)+VLOOKUP(D1397,'Species Codes'!B:R,17,0)*((E1397*2.54)^VLOOKUP(D1397,'Species Codes'!B:S,18,0)))),IF(OR(D1397="BM",D1397="MD",D1397="OA"),EXP(VLOOKUP(D1397,'Species Codes'!B:O,14,0)+VLOOKUP(D1397,'Species Codes'!B:P,15,0)*LN((E1397*2.54)))*(1-(1/(VLOOKUP(D1397,'Species Codes'!B:Q,16,0)+VLOOKUP(D1397,'Species Codes'!B:R,17,0)*((E1397*2.54)^VLOOKUP(D1397,'Species Codes'!B:S,18,0)))))/1000,IF(D1397="DF",EXP(VLOOKUP(D1397,'Species Codes'!B:O,14,0)+VLOOKUP(D1397,'Species Codes'!B:P,15,0)*LN((E1397*2.54))),VLOOKUP(D1397,'Species Codes'!B:O,14,0)+VLOOKUP(D1397,'Species Codes'!B:P,15,0)*(((E1397*2.54)/100)^2)*(I1397*0.3048)))))*0.0011023),0)</f>
        <v>#N/A</v>
      </c>
      <c r="AD1397" s="104" t="e">
        <f t="shared" si="625"/>
        <v>#N/A</v>
      </c>
      <c r="AE1397" s="104" t="e">
        <f t="shared" si="626"/>
        <v>#N/A</v>
      </c>
      <c r="AF1397" s="104" t="e">
        <f>IF(AND(VLOOKUP($D1397,Merchantability!$B:$C,2,0)="Yes",$E1397&gt;=VLOOKUP($D1397,Merchantability!$B:$D,3,0),$E1397&lt;=VLOOKUP($D1397,Merchantability!$B:$E,4,0)),AA1397,0)</f>
        <v>#N/A</v>
      </c>
      <c r="AG1397" s="104" t="e">
        <f>IF(AND(VLOOKUP($D1397,Merchantability!$B:$C,2,0)="Yes",$E1397&gt;=VLOOKUP($D1397,Merchantability!$B:$D,3,0),$E1397&lt;=VLOOKUP($D1397,Merchantability!$B:$E,4,0)),AB1397,0)</f>
        <v>#N/A</v>
      </c>
      <c r="AH1397" s="104" t="e">
        <f>IF(AND(VLOOKUP($D1397,Merchantability!$B:$C,2,0)="Yes",$E1397&gt;=VLOOKUP($D1397,Merchantability!$B:$D,3,0),$E1397&lt;=VLOOKUP($D1397,Merchantability!$B:$E,4,0)),AC1397,0)</f>
        <v>#N/A</v>
      </c>
      <c r="AI1397" s="104" t="e">
        <f t="shared" si="627"/>
        <v>#N/A</v>
      </c>
      <c r="AJ1397" s="104" t="e">
        <f t="shared" si="628"/>
        <v>#VALUE!</v>
      </c>
      <c r="AK1397" s="104" t="e">
        <f t="shared" si="629"/>
        <v>#N/A</v>
      </c>
      <c r="AL1397" s="104" t="e">
        <f t="shared" si="630"/>
        <v>#N/A</v>
      </c>
      <c r="AM1397" s="104" t="e">
        <f t="shared" si="631"/>
        <v>#N/A</v>
      </c>
      <c r="AN1397" s="104" t="e">
        <f t="shared" si="615"/>
        <v>#N/A</v>
      </c>
      <c r="AO1397" s="104" t="e">
        <f t="shared" si="616"/>
        <v>#N/A</v>
      </c>
      <c r="AP1397" s="104" t="e">
        <f t="shared" si="617"/>
        <v>#N/A</v>
      </c>
      <c r="AQ1397" s="104" t="e">
        <f t="shared" si="618"/>
        <v>#N/A</v>
      </c>
      <c r="AR1397" s="105" t="str">
        <f t="shared" si="610"/>
        <v/>
      </c>
      <c r="AS1397" s="105" t="str">
        <f t="shared" si="611"/>
        <v/>
      </c>
      <c r="AT1397" s="108" t="str">
        <f t="shared" si="612"/>
        <v/>
      </c>
      <c r="AU1397" s="108" t="str">
        <f t="shared" si="613"/>
        <v/>
      </c>
      <c r="AV1397" s="107" t="str">
        <f>IF(ISNUMBER(O1397),IF(VLOOKUP($A1397,Stand!C:J,8,FALSE)="Short",AT1397,AU1397),"")</f>
        <v/>
      </c>
      <c r="AW1397" s="109" t="str">
        <f t="shared" si="619"/>
        <v/>
      </c>
      <c r="AX1397" s="109" t="str">
        <f t="shared" si="620"/>
        <v/>
      </c>
      <c r="AY1397" s="112" t="str">
        <f>IF(ISNUMBER(O1397),IF(AND(VLOOKUP($D1397,Merchantability!$B:$C,2,0)="Yes",$E1397&gt;=VLOOKUP($D1397,Merchantability!$B:$D,3,0),$E1397&lt;=VLOOKUP($D1397,Merchantability!$B:$E,4,0)),(AV1397*O1397)*(1-$H1397/100),""),"")</f>
        <v/>
      </c>
      <c r="AZ1397" s="116"/>
      <c r="BA1397" s="116"/>
      <c r="BB1397" s="116"/>
      <c r="BE1397" s="62"/>
      <c r="BF1397" s="63"/>
    </row>
    <row r="1398" spans="1:58" ht="12.75" customHeight="1" x14ac:dyDescent="0.25">
      <c r="A1398" s="333"/>
      <c r="B1398" s="334"/>
      <c r="C1398" s="332"/>
      <c r="D1398" s="334"/>
      <c r="E1398" s="335"/>
      <c r="F1398" s="334"/>
      <c r="G1398" s="332"/>
      <c r="H1398" s="332"/>
      <c r="I1398" s="334"/>
      <c r="J1398" s="336"/>
      <c r="K1398" s="332"/>
      <c r="L1398" s="332"/>
      <c r="M1398" s="76"/>
      <c r="N1398" s="103" t="str">
        <f>IF(A1398="","",VLOOKUP(A1398,Stand!C:K,9,0))</f>
        <v/>
      </c>
      <c r="O1398" s="104" t="str">
        <f t="shared" si="605"/>
        <v/>
      </c>
      <c r="P1398" s="105" t="str">
        <f t="shared" si="606"/>
        <v/>
      </c>
      <c r="Q1398" s="105" t="str">
        <f t="shared" si="621"/>
        <v/>
      </c>
      <c r="R1398" s="103" t="str">
        <f t="shared" si="607"/>
        <v/>
      </c>
      <c r="S1398" s="103" t="str">
        <f t="shared" si="608"/>
        <v/>
      </c>
      <c r="T1398" s="106" t="str">
        <f t="shared" si="622"/>
        <v/>
      </c>
      <c r="U1398" s="106" t="str">
        <f t="shared" si="623"/>
        <v/>
      </c>
      <c r="V1398" s="106" t="str">
        <f t="shared" si="624"/>
        <v/>
      </c>
      <c r="W1398" s="105" t="str">
        <f t="shared" si="609"/>
        <v/>
      </c>
      <c r="X1398" s="104" t="str">
        <f t="shared" si="614"/>
        <v/>
      </c>
      <c r="Y1398" s="104" t="str">
        <f t="array" ref="Y1398">IFERROR(IF(ISNUMBER(O1398),IF(COUNT(IF(A1398=$A$2:$A$2427,IF(D1398=$D$2:$D$2427,IF($X$2:$X$2427&gt;0,1))))&gt;0,SUM(IF(A1398=$A$2:$A$2427,IF(D1398=$D$2:$D$2427,$X$2:$X$2427)))/COUNT(IF(A1398=$A$2:$A$2427,IF(D1398=$D$2:$D$2427,IF(ISNUMBER($X$2:$X$2427),1)))),0),""),0)</f>
        <v/>
      </c>
      <c r="Z1398" s="104" t="str">
        <f>IF(ISNUMBER(O1398),IF(I1398&gt;0,(10^(VLOOKUP(D1398,'Species Codes'!B:C,2,0)+VLOOKUP(D1398,'Species Codes'!B:D,3,0)*LOG(E1398)+VLOOKUP(D1398,'Species Codes'!B:E,4,0)*LOG(I1398))),0),"")</f>
        <v/>
      </c>
      <c r="AA1398" s="104" t="str">
        <f>IFERROR((VLOOKUP(D1398,'Species Codes'!B:G,6,0)*Z1398)/2000,"")</f>
        <v/>
      </c>
      <c r="AB1398" s="104" t="e">
        <f>IF(Z1398&gt;0,((IF(OR(D1398="DF",D1398="RA")=TRUE,EXP(VLOOKUP(D1398,'Species Codes'!B:I,8,0)+VLOOKUP(D1398,'Species Codes'!B:J,9,0)*(LN((E1398*2.54)))),IF(OR(D1398="PY",D1398="RC",D1398="WH",D1398="NF")=TRUE,VLOOKUP(D1398,'Species Codes'!B:I,8,0)+VLOOKUP(D1398,'Species Codes'!B:J,9,0)*((E1398*2.54)^2)*(I1398*0.3048),IF(OR(D1398="MD",D1398="BM",D1398="GA")=TRUE,((VLOOKUP(D1398,'Species Codes'!B:I,8,0)*(((((E1398*2.54)+VLOOKUP(D1398,'Species Codes'!B:J,9,0))/VLOOKUP(D1398,'Species Codes'!B:K,10,0))^VLOOKUP(D1398,'Species Codes'!B:L,11,0))*((I1398*0.3048)^VLOOKUP(D1398,'Species Codes'!B:M,12,0))))-(VLOOKUP(D1398,'Species Codes'!B:I,8,0)*((((E1398*2.54)^VLOOKUP(D1398,'Species Codes'!B:L,11,0))*((I1398*0.3048)^VLOOKUP(D1398,'Species Codes'!B:M,12,0))))))*35.3*VLOOKUP(D1398,'Species Codes'!B:G,6,0)/2.2046,VLOOKUP(D1398,'Species Codes'!B:I,8,0)+VLOOKUP(D1398,'Species Codes'!B:J,9,0)*(((E1398*2.54)/100)^2)*(I1398*0.3048)))))*0.0011023),0)</f>
        <v>#N/A</v>
      </c>
      <c r="AC1398" s="104" t="e">
        <f>IF(Z1398&gt;0,((IF(OR(D1398="RA",D1398="OA",D1398="OT",D1398="UN",D1398="PC"),EXP(VLOOKUP(D1398,'Species Codes'!B:O,14,0)+VLOOKUP(D1398,'Species Codes'!B:P,15,0)*LN((E1398*2.54)))-EXP(VLOOKUP(D1398,'Species Codes'!B:O,14,0)+VLOOKUP(D1398,'Species Codes'!B:P,15,0)*LN((E1398*2.54)))*(1/(VLOOKUP(D1398,'Species Codes'!B:Q,16,0)+VLOOKUP(D1398,'Species Codes'!B:R,17,0)*((E1398*2.54)^VLOOKUP(D1398,'Species Codes'!B:S,18,0)))),IF(OR(D1398="BM",D1398="MD",D1398="OA"),EXP(VLOOKUP(D1398,'Species Codes'!B:O,14,0)+VLOOKUP(D1398,'Species Codes'!B:P,15,0)*LN((E1398*2.54)))*(1-(1/(VLOOKUP(D1398,'Species Codes'!B:Q,16,0)+VLOOKUP(D1398,'Species Codes'!B:R,17,0)*((E1398*2.54)^VLOOKUP(D1398,'Species Codes'!B:S,18,0)))))/1000,IF(D1398="DF",EXP(VLOOKUP(D1398,'Species Codes'!B:O,14,0)+VLOOKUP(D1398,'Species Codes'!B:P,15,0)*LN((E1398*2.54))),VLOOKUP(D1398,'Species Codes'!B:O,14,0)+VLOOKUP(D1398,'Species Codes'!B:P,15,0)*(((E1398*2.54)/100)^2)*(I1398*0.3048)))))*0.0011023),0)</f>
        <v>#N/A</v>
      </c>
      <c r="AD1398" s="104" t="e">
        <f t="shared" si="625"/>
        <v>#N/A</v>
      </c>
      <c r="AE1398" s="104" t="e">
        <f t="shared" si="626"/>
        <v>#N/A</v>
      </c>
      <c r="AF1398" s="104" t="e">
        <f>IF(AND(VLOOKUP($D1398,Merchantability!$B:$C,2,0)="Yes",$E1398&gt;=VLOOKUP($D1398,Merchantability!$B:$D,3,0),$E1398&lt;=VLOOKUP($D1398,Merchantability!$B:$E,4,0)),AA1398,0)</f>
        <v>#N/A</v>
      </c>
      <c r="AG1398" s="104" t="e">
        <f>IF(AND(VLOOKUP($D1398,Merchantability!$B:$C,2,0)="Yes",$E1398&gt;=VLOOKUP($D1398,Merchantability!$B:$D,3,0),$E1398&lt;=VLOOKUP($D1398,Merchantability!$B:$E,4,0)),AB1398,0)</f>
        <v>#N/A</v>
      </c>
      <c r="AH1398" s="104" t="e">
        <f>IF(AND(VLOOKUP($D1398,Merchantability!$B:$C,2,0)="Yes",$E1398&gt;=VLOOKUP($D1398,Merchantability!$B:$D,3,0),$E1398&lt;=VLOOKUP($D1398,Merchantability!$B:$E,4,0)),AC1398,0)</f>
        <v>#N/A</v>
      </c>
      <c r="AI1398" s="104" t="e">
        <f t="shared" si="627"/>
        <v>#N/A</v>
      </c>
      <c r="AJ1398" s="104" t="e">
        <f t="shared" si="628"/>
        <v>#VALUE!</v>
      </c>
      <c r="AK1398" s="104" t="e">
        <f t="shared" si="629"/>
        <v>#N/A</v>
      </c>
      <c r="AL1398" s="104" t="e">
        <f t="shared" si="630"/>
        <v>#N/A</v>
      </c>
      <c r="AM1398" s="104" t="e">
        <f t="shared" si="631"/>
        <v>#N/A</v>
      </c>
      <c r="AN1398" s="104" t="e">
        <f t="shared" si="615"/>
        <v>#N/A</v>
      </c>
      <c r="AO1398" s="104" t="e">
        <f t="shared" si="616"/>
        <v>#N/A</v>
      </c>
      <c r="AP1398" s="104" t="e">
        <f t="shared" si="617"/>
        <v>#N/A</v>
      </c>
      <c r="AQ1398" s="104" t="e">
        <f t="shared" si="618"/>
        <v>#N/A</v>
      </c>
      <c r="AR1398" s="105" t="str">
        <f t="shared" si="610"/>
        <v/>
      </c>
      <c r="AS1398" s="105" t="str">
        <f t="shared" si="611"/>
        <v/>
      </c>
      <c r="AT1398" s="108" t="str">
        <f t="shared" si="612"/>
        <v/>
      </c>
      <c r="AU1398" s="108" t="str">
        <f t="shared" si="613"/>
        <v/>
      </c>
      <c r="AV1398" s="107" t="str">
        <f>IF(ISNUMBER(O1398),IF(VLOOKUP($A1398,Stand!C:J,8,FALSE)="Short",AT1398,AU1398),"")</f>
        <v/>
      </c>
      <c r="AW1398" s="109" t="str">
        <f t="shared" si="619"/>
        <v/>
      </c>
      <c r="AX1398" s="109" t="str">
        <f t="shared" si="620"/>
        <v/>
      </c>
      <c r="AY1398" s="112" t="str">
        <f>IF(ISNUMBER(O1398),IF(AND(VLOOKUP($D1398,Merchantability!$B:$C,2,0)="Yes",$E1398&gt;=VLOOKUP($D1398,Merchantability!$B:$D,3,0),$E1398&lt;=VLOOKUP($D1398,Merchantability!$B:$E,4,0)),(AV1398*O1398)*(1-$H1398/100),""),"")</f>
        <v/>
      </c>
      <c r="AZ1398" s="116"/>
      <c r="BA1398" s="116"/>
      <c r="BB1398" s="116"/>
      <c r="BE1398" s="62"/>
      <c r="BF1398" s="63"/>
    </row>
    <row r="1399" spans="1:58" ht="12.75" customHeight="1" x14ac:dyDescent="0.25">
      <c r="A1399" s="333"/>
      <c r="B1399" s="334"/>
      <c r="C1399" s="332"/>
      <c r="D1399" s="334"/>
      <c r="E1399" s="335"/>
      <c r="F1399" s="334"/>
      <c r="G1399" s="332"/>
      <c r="H1399" s="332"/>
      <c r="I1399" s="334"/>
      <c r="J1399" s="336"/>
      <c r="K1399" s="332"/>
      <c r="L1399" s="332"/>
      <c r="M1399" s="76"/>
      <c r="N1399" s="103" t="str">
        <f>IF(A1399="","",VLOOKUP(A1399,Stand!C:K,9,0))</f>
        <v/>
      </c>
      <c r="O1399" s="104" t="str">
        <f t="shared" si="605"/>
        <v/>
      </c>
      <c r="P1399" s="105" t="str">
        <f t="shared" si="606"/>
        <v/>
      </c>
      <c r="Q1399" s="105" t="str">
        <f t="shared" si="621"/>
        <v/>
      </c>
      <c r="R1399" s="103" t="str">
        <f t="shared" si="607"/>
        <v/>
      </c>
      <c r="S1399" s="103" t="str">
        <f t="shared" si="608"/>
        <v/>
      </c>
      <c r="T1399" s="106" t="str">
        <f t="shared" si="622"/>
        <v/>
      </c>
      <c r="U1399" s="106" t="str">
        <f t="shared" si="623"/>
        <v/>
      </c>
      <c r="V1399" s="106" t="str">
        <f t="shared" si="624"/>
        <v/>
      </c>
      <c r="W1399" s="105" t="str">
        <f t="shared" si="609"/>
        <v/>
      </c>
      <c r="X1399" s="104" t="str">
        <f t="shared" si="614"/>
        <v/>
      </c>
      <c r="Y1399" s="104" t="str">
        <f t="array" ref="Y1399">IFERROR(IF(ISNUMBER(O1399),IF(COUNT(IF(A1399=$A$2:$A$2427,IF(D1399=$D$2:$D$2427,IF($X$2:$X$2427&gt;0,1))))&gt;0,SUM(IF(A1399=$A$2:$A$2427,IF(D1399=$D$2:$D$2427,$X$2:$X$2427)))/COUNT(IF(A1399=$A$2:$A$2427,IF(D1399=$D$2:$D$2427,IF(ISNUMBER($X$2:$X$2427),1)))),0),""),0)</f>
        <v/>
      </c>
      <c r="Z1399" s="104" t="str">
        <f>IF(ISNUMBER(O1399),IF(I1399&gt;0,(10^(VLOOKUP(D1399,'Species Codes'!B:C,2,0)+VLOOKUP(D1399,'Species Codes'!B:D,3,0)*LOG(E1399)+VLOOKUP(D1399,'Species Codes'!B:E,4,0)*LOG(I1399))),0),"")</f>
        <v/>
      </c>
      <c r="AA1399" s="104" t="str">
        <f>IFERROR((VLOOKUP(D1399,'Species Codes'!B:G,6,0)*Z1399)/2000,"")</f>
        <v/>
      </c>
      <c r="AB1399" s="104" t="e">
        <f>IF(Z1399&gt;0,((IF(OR(D1399="DF",D1399="RA")=TRUE,EXP(VLOOKUP(D1399,'Species Codes'!B:I,8,0)+VLOOKUP(D1399,'Species Codes'!B:J,9,0)*(LN((E1399*2.54)))),IF(OR(D1399="PY",D1399="RC",D1399="WH",D1399="NF")=TRUE,VLOOKUP(D1399,'Species Codes'!B:I,8,0)+VLOOKUP(D1399,'Species Codes'!B:J,9,0)*((E1399*2.54)^2)*(I1399*0.3048),IF(OR(D1399="MD",D1399="BM",D1399="GA")=TRUE,((VLOOKUP(D1399,'Species Codes'!B:I,8,0)*(((((E1399*2.54)+VLOOKUP(D1399,'Species Codes'!B:J,9,0))/VLOOKUP(D1399,'Species Codes'!B:K,10,0))^VLOOKUP(D1399,'Species Codes'!B:L,11,0))*((I1399*0.3048)^VLOOKUP(D1399,'Species Codes'!B:M,12,0))))-(VLOOKUP(D1399,'Species Codes'!B:I,8,0)*((((E1399*2.54)^VLOOKUP(D1399,'Species Codes'!B:L,11,0))*((I1399*0.3048)^VLOOKUP(D1399,'Species Codes'!B:M,12,0))))))*35.3*VLOOKUP(D1399,'Species Codes'!B:G,6,0)/2.2046,VLOOKUP(D1399,'Species Codes'!B:I,8,0)+VLOOKUP(D1399,'Species Codes'!B:J,9,0)*(((E1399*2.54)/100)^2)*(I1399*0.3048)))))*0.0011023),0)</f>
        <v>#N/A</v>
      </c>
      <c r="AC1399" s="104" t="e">
        <f>IF(Z1399&gt;0,((IF(OR(D1399="RA",D1399="OA",D1399="OT",D1399="UN",D1399="PC"),EXP(VLOOKUP(D1399,'Species Codes'!B:O,14,0)+VLOOKUP(D1399,'Species Codes'!B:P,15,0)*LN((E1399*2.54)))-EXP(VLOOKUP(D1399,'Species Codes'!B:O,14,0)+VLOOKUP(D1399,'Species Codes'!B:P,15,0)*LN((E1399*2.54)))*(1/(VLOOKUP(D1399,'Species Codes'!B:Q,16,0)+VLOOKUP(D1399,'Species Codes'!B:R,17,0)*((E1399*2.54)^VLOOKUP(D1399,'Species Codes'!B:S,18,0)))),IF(OR(D1399="BM",D1399="MD",D1399="OA"),EXP(VLOOKUP(D1399,'Species Codes'!B:O,14,0)+VLOOKUP(D1399,'Species Codes'!B:P,15,0)*LN((E1399*2.54)))*(1-(1/(VLOOKUP(D1399,'Species Codes'!B:Q,16,0)+VLOOKUP(D1399,'Species Codes'!B:R,17,0)*((E1399*2.54)^VLOOKUP(D1399,'Species Codes'!B:S,18,0)))))/1000,IF(D1399="DF",EXP(VLOOKUP(D1399,'Species Codes'!B:O,14,0)+VLOOKUP(D1399,'Species Codes'!B:P,15,0)*LN((E1399*2.54))),VLOOKUP(D1399,'Species Codes'!B:O,14,0)+VLOOKUP(D1399,'Species Codes'!B:P,15,0)*(((E1399*2.54)/100)^2)*(I1399*0.3048)))))*0.0011023),0)</f>
        <v>#N/A</v>
      </c>
      <c r="AD1399" s="104" t="e">
        <f t="shared" si="625"/>
        <v>#N/A</v>
      </c>
      <c r="AE1399" s="104" t="e">
        <f t="shared" si="626"/>
        <v>#N/A</v>
      </c>
      <c r="AF1399" s="104" t="e">
        <f>IF(AND(VLOOKUP($D1399,Merchantability!$B:$C,2,0)="Yes",$E1399&gt;=VLOOKUP($D1399,Merchantability!$B:$D,3,0),$E1399&lt;=VLOOKUP($D1399,Merchantability!$B:$E,4,0)),AA1399,0)</f>
        <v>#N/A</v>
      </c>
      <c r="AG1399" s="104" t="e">
        <f>IF(AND(VLOOKUP($D1399,Merchantability!$B:$C,2,0)="Yes",$E1399&gt;=VLOOKUP($D1399,Merchantability!$B:$D,3,0),$E1399&lt;=VLOOKUP($D1399,Merchantability!$B:$E,4,0)),AB1399,0)</f>
        <v>#N/A</v>
      </c>
      <c r="AH1399" s="104" t="e">
        <f>IF(AND(VLOOKUP($D1399,Merchantability!$B:$C,2,0)="Yes",$E1399&gt;=VLOOKUP($D1399,Merchantability!$B:$D,3,0),$E1399&lt;=VLOOKUP($D1399,Merchantability!$B:$E,4,0)),AC1399,0)</f>
        <v>#N/A</v>
      </c>
      <c r="AI1399" s="104" t="e">
        <f t="shared" si="627"/>
        <v>#N/A</v>
      </c>
      <c r="AJ1399" s="104" t="e">
        <f t="shared" si="628"/>
        <v>#VALUE!</v>
      </c>
      <c r="AK1399" s="104" t="e">
        <f t="shared" si="629"/>
        <v>#N/A</v>
      </c>
      <c r="AL1399" s="104" t="e">
        <f t="shared" si="630"/>
        <v>#N/A</v>
      </c>
      <c r="AM1399" s="104" t="e">
        <f t="shared" si="631"/>
        <v>#N/A</v>
      </c>
      <c r="AN1399" s="104" t="e">
        <f t="shared" si="615"/>
        <v>#N/A</v>
      </c>
      <c r="AO1399" s="104" t="e">
        <f t="shared" si="616"/>
        <v>#N/A</v>
      </c>
      <c r="AP1399" s="104" t="e">
        <f t="shared" si="617"/>
        <v>#N/A</v>
      </c>
      <c r="AQ1399" s="104" t="e">
        <f t="shared" si="618"/>
        <v>#N/A</v>
      </c>
      <c r="AR1399" s="105" t="str">
        <f t="shared" si="610"/>
        <v/>
      </c>
      <c r="AS1399" s="105" t="str">
        <f t="shared" si="611"/>
        <v/>
      </c>
      <c r="AT1399" s="108" t="str">
        <f t="shared" si="612"/>
        <v/>
      </c>
      <c r="AU1399" s="108" t="str">
        <f t="shared" si="613"/>
        <v/>
      </c>
      <c r="AV1399" s="107" t="str">
        <f>IF(ISNUMBER(O1399),IF(VLOOKUP($A1399,Stand!C:J,8,FALSE)="Short",AT1399,AU1399),"")</f>
        <v/>
      </c>
      <c r="AW1399" s="109" t="str">
        <f t="shared" si="619"/>
        <v/>
      </c>
      <c r="AX1399" s="109" t="str">
        <f t="shared" si="620"/>
        <v/>
      </c>
      <c r="AY1399" s="112" t="str">
        <f>IF(ISNUMBER(O1399),IF(AND(VLOOKUP($D1399,Merchantability!$B:$C,2,0)="Yes",$E1399&gt;=VLOOKUP($D1399,Merchantability!$B:$D,3,0),$E1399&lt;=VLOOKUP($D1399,Merchantability!$B:$E,4,0)),(AV1399*O1399)*(1-$H1399/100),""),"")</f>
        <v/>
      </c>
      <c r="AZ1399" s="116"/>
      <c r="BA1399" s="116"/>
      <c r="BB1399" s="116"/>
      <c r="BE1399" s="62"/>
      <c r="BF1399" s="63"/>
    </row>
    <row r="1400" spans="1:58" ht="12.75" customHeight="1" x14ac:dyDescent="0.25">
      <c r="A1400" s="333"/>
      <c r="B1400" s="334"/>
      <c r="C1400" s="332"/>
      <c r="D1400" s="334"/>
      <c r="E1400" s="335"/>
      <c r="F1400" s="334"/>
      <c r="G1400" s="332"/>
      <c r="H1400" s="332"/>
      <c r="I1400" s="334"/>
      <c r="J1400" s="336"/>
      <c r="K1400" s="332"/>
      <c r="L1400" s="332"/>
      <c r="M1400" s="76"/>
      <c r="N1400" s="103" t="str">
        <f>IF(A1400="","",VLOOKUP(A1400,Stand!C:K,9,0))</f>
        <v/>
      </c>
      <c r="O1400" s="104" t="str">
        <f t="shared" si="605"/>
        <v/>
      </c>
      <c r="P1400" s="105" t="str">
        <f t="shared" si="606"/>
        <v/>
      </c>
      <c r="Q1400" s="105" t="str">
        <f t="shared" si="621"/>
        <v/>
      </c>
      <c r="R1400" s="103" t="str">
        <f t="shared" si="607"/>
        <v/>
      </c>
      <c r="S1400" s="103" t="str">
        <f t="shared" si="608"/>
        <v/>
      </c>
      <c r="T1400" s="106" t="str">
        <f t="shared" si="622"/>
        <v/>
      </c>
      <c r="U1400" s="106" t="str">
        <f t="shared" si="623"/>
        <v/>
      </c>
      <c r="V1400" s="106" t="str">
        <f t="shared" si="624"/>
        <v/>
      </c>
      <c r="W1400" s="105" t="str">
        <f t="shared" si="609"/>
        <v/>
      </c>
      <c r="X1400" s="104" t="str">
        <f t="shared" si="614"/>
        <v/>
      </c>
      <c r="Y1400" s="104" t="str">
        <f t="array" ref="Y1400">IFERROR(IF(ISNUMBER(O1400),IF(COUNT(IF(A1400=$A$2:$A$2427,IF(D1400=$D$2:$D$2427,IF($X$2:$X$2427&gt;0,1))))&gt;0,SUM(IF(A1400=$A$2:$A$2427,IF(D1400=$D$2:$D$2427,$X$2:$X$2427)))/COUNT(IF(A1400=$A$2:$A$2427,IF(D1400=$D$2:$D$2427,IF(ISNUMBER($X$2:$X$2427),1)))),0),""),0)</f>
        <v/>
      </c>
      <c r="Z1400" s="104" t="str">
        <f>IF(ISNUMBER(O1400),IF(I1400&gt;0,(10^(VLOOKUP(D1400,'Species Codes'!B:C,2,0)+VLOOKUP(D1400,'Species Codes'!B:D,3,0)*LOG(E1400)+VLOOKUP(D1400,'Species Codes'!B:E,4,0)*LOG(I1400))),0),"")</f>
        <v/>
      </c>
      <c r="AA1400" s="104" t="str">
        <f>IFERROR((VLOOKUP(D1400,'Species Codes'!B:G,6,0)*Z1400)/2000,"")</f>
        <v/>
      </c>
      <c r="AB1400" s="104" t="e">
        <f>IF(Z1400&gt;0,((IF(OR(D1400="DF",D1400="RA")=TRUE,EXP(VLOOKUP(D1400,'Species Codes'!B:I,8,0)+VLOOKUP(D1400,'Species Codes'!B:J,9,0)*(LN((E1400*2.54)))),IF(OR(D1400="PY",D1400="RC",D1400="WH",D1400="NF")=TRUE,VLOOKUP(D1400,'Species Codes'!B:I,8,0)+VLOOKUP(D1400,'Species Codes'!B:J,9,0)*((E1400*2.54)^2)*(I1400*0.3048),IF(OR(D1400="MD",D1400="BM",D1400="GA")=TRUE,((VLOOKUP(D1400,'Species Codes'!B:I,8,0)*(((((E1400*2.54)+VLOOKUP(D1400,'Species Codes'!B:J,9,0))/VLOOKUP(D1400,'Species Codes'!B:K,10,0))^VLOOKUP(D1400,'Species Codes'!B:L,11,0))*((I1400*0.3048)^VLOOKUP(D1400,'Species Codes'!B:M,12,0))))-(VLOOKUP(D1400,'Species Codes'!B:I,8,0)*((((E1400*2.54)^VLOOKUP(D1400,'Species Codes'!B:L,11,0))*((I1400*0.3048)^VLOOKUP(D1400,'Species Codes'!B:M,12,0))))))*35.3*VLOOKUP(D1400,'Species Codes'!B:G,6,0)/2.2046,VLOOKUP(D1400,'Species Codes'!B:I,8,0)+VLOOKUP(D1400,'Species Codes'!B:J,9,0)*(((E1400*2.54)/100)^2)*(I1400*0.3048)))))*0.0011023),0)</f>
        <v>#N/A</v>
      </c>
      <c r="AC1400" s="104" t="e">
        <f>IF(Z1400&gt;0,((IF(OR(D1400="RA",D1400="OA",D1400="OT",D1400="UN",D1400="PC"),EXP(VLOOKUP(D1400,'Species Codes'!B:O,14,0)+VLOOKUP(D1400,'Species Codes'!B:P,15,0)*LN((E1400*2.54)))-EXP(VLOOKUP(D1400,'Species Codes'!B:O,14,0)+VLOOKUP(D1400,'Species Codes'!B:P,15,0)*LN((E1400*2.54)))*(1/(VLOOKUP(D1400,'Species Codes'!B:Q,16,0)+VLOOKUP(D1400,'Species Codes'!B:R,17,0)*((E1400*2.54)^VLOOKUP(D1400,'Species Codes'!B:S,18,0)))),IF(OR(D1400="BM",D1400="MD",D1400="OA"),EXP(VLOOKUP(D1400,'Species Codes'!B:O,14,0)+VLOOKUP(D1400,'Species Codes'!B:P,15,0)*LN((E1400*2.54)))*(1-(1/(VLOOKUP(D1400,'Species Codes'!B:Q,16,0)+VLOOKUP(D1400,'Species Codes'!B:R,17,0)*((E1400*2.54)^VLOOKUP(D1400,'Species Codes'!B:S,18,0)))))/1000,IF(D1400="DF",EXP(VLOOKUP(D1400,'Species Codes'!B:O,14,0)+VLOOKUP(D1400,'Species Codes'!B:P,15,0)*LN((E1400*2.54))),VLOOKUP(D1400,'Species Codes'!B:O,14,0)+VLOOKUP(D1400,'Species Codes'!B:P,15,0)*(((E1400*2.54)/100)^2)*(I1400*0.3048)))))*0.0011023),0)</f>
        <v>#N/A</v>
      </c>
      <c r="AD1400" s="104" t="e">
        <f t="shared" si="625"/>
        <v>#N/A</v>
      </c>
      <c r="AE1400" s="104" t="e">
        <f t="shared" si="626"/>
        <v>#N/A</v>
      </c>
      <c r="AF1400" s="104" t="e">
        <f>IF(AND(VLOOKUP($D1400,Merchantability!$B:$C,2,0)="Yes",$E1400&gt;=VLOOKUP($D1400,Merchantability!$B:$D,3,0),$E1400&lt;=VLOOKUP($D1400,Merchantability!$B:$E,4,0)),AA1400,0)</f>
        <v>#N/A</v>
      </c>
      <c r="AG1400" s="104" t="e">
        <f>IF(AND(VLOOKUP($D1400,Merchantability!$B:$C,2,0)="Yes",$E1400&gt;=VLOOKUP($D1400,Merchantability!$B:$D,3,0),$E1400&lt;=VLOOKUP($D1400,Merchantability!$B:$E,4,0)),AB1400,0)</f>
        <v>#N/A</v>
      </c>
      <c r="AH1400" s="104" t="e">
        <f>IF(AND(VLOOKUP($D1400,Merchantability!$B:$C,2,0)="Yes",$E1400&gt;=VLOOKUP($D1400,Merchantability!$B:$D,3,0),$E1400&lt;=VLOOKUP($D1400,Merchantability!$B:$E,4,0)),AC1400,0)</f>
        <v>#N/A</v>
      </c>
      <c r="AI1400" s="104" t="e">
        <f t="shared" si="627"/>
        <v>#N/A</v>
      </c>
      <c r="AJ1400" s="104" t="e">
        <f t="shared" si="628"/>
        <v>#VALUE!</v>
      </c>
      <c r="AK1400" s="104" t="e">
        <f t="shared" si="629"/>
        <v>#N/A</v>
      </c>
      <c r="AL1400" s="104" t="e">
        <f t="shared" si="630"/>
        <v>#N/A</v>
      </c>
      <c r="AM1400" s="104" t="e">
        <f t="shared" si="631"/>
        <v>#N/A</v>
      </c>
      <c r="AN1400" s="104" t="e">
        <f t="shared" si="615"/>
        <v>#N/A</v>
      </c>
      <c r="AO1400" s="104" t="e">
        <f t="shared" si="616"/>
        <v>#N/A</v>
      </c>
      <c r="AP1400" s="104" t="e">
        <f t="shared" si="617"/>
        <v>#N/A</v>
      </c>
      <c r="AQ1400" s="104" t="e">
        <f t="shared" si="618"/>
        <v>#N/A</v>
      </c>
      <c r="AR1400" s="105" t="str">
        <f t="shared" si="610"/>
        <v/>
      </c>
      <c r="AS1400" s="105" t="str">
        <f t="shared" si="611"/>
        <v/>
      </c>
      <c r="AT1400" s="108" t="str">
        <f t="shared" si="612"/>
        <v/>
      </c>
      <c r="AU1400" s="108" t="str">
        <f t="shared" si="613"/>
        <v/>
      </c>
      <c r="AV1400" s="107" t="str">
        <f>IF(ISNUMBER(O1400),IF(VLOOKUP($A1400,Stand!C:J,8,FALSE)="Short",AT1400,AU1400),"")</f>
        <v/>
      </c>
      <c r="AW1400" s="109" t="str">
        <f t="shared" si="619"/>
        <v/>
      </c>
      <c r="AX1400" s="109" t="str">
        <f t="shared" si="620"/>
        <v/>
      </c>
      <c r="AY1400" s="112" t="str">
        <f>IF(ISNUMBER(O1400),IF(AND(VLOOKUP($D1400,Merchantability!$B:$C,2,0)="Yes",$E1400&gt;=VLOOKUP($D1400,Merchantability!$B:$D,3,0),$E1400&lt;=VLOOKUP($D1400,Merchantability!$B:$E,4,0)),(AV1400*O1400)*(1-$H1400/100),""),"")</f>
        <v/>
      </c>
      <c r="AZ1400" s="116"/>
      <c r="BA1400" s="116"/>
      <c r="BB1400" s="116"/>
      <c r="BE1400" s="62"/>
      <c r="BF1400" s="63"/>
    </row>
    <row r="1401" spans="1:58" ht="12.75" customHeight="1" x14ac:dyDescent="0.25">
      <c r="A1401" s="333"/>
      <c r="B1401" s="334"/>
      <c r="C1401" s="332"/>
      <c r="D1401" s="334"/>
      <c r="E1401" s="335"/>
      <c r="F1401" s="334"/>
      <c r="G1401" s="332"/>
      <c r="H1401" s="332"/>
      <c r="I1401" s="334"/>
      <c r="J1401" s="336"/>
      <c r="K1401" s="332"/>
      <c r="L1401" s="332"/>
      <c r="M1401" s="76"/>
      <c r="N1401" s="103" t="str">
        <f>IF(A1401="","",VLOOKUP(A1401,Stand!C:K,9,0))</f>
        <v/>
      </c>
      <c r="O1401" s="104" t="str">
        <f t="shared" si="605"/>
        <v/>
      </c>
      <c r="P1401" s="105" t="str">
        <f t="shared" si="606"/>
        <v/>
      </c>
      <c r="Q1401" s="105" t="str">
        <f t="shared" si="621"/>
        <v/>
      </c>
      <c r="R1401" s="103" t="str">
        <f t="shared" si="607"/>
        <v/>
      </c>
      <c r="S1401" s="103" t="str">
        <f t="shared" si="608"/>
        <v/>
      </c>
      <c r="T1401" s="106" t="str">
        <f t="shared" si="622"/>
        <v/>
      </c>
      <c r="U1401" s="106" t="str">
        <f t="shared" si="623"/>
        <v/>
      </c>
      <c r="V1401" s="106" t="str">
        <f t="shared" si="624"/>
        <v/>
      </c>
      <c r="W1401" s="105" t="str">
        <f t="shared" si="609"/>
        <v/>
      </c>
      <c r="X1401" s="104" t="str">
        <f t="shared" si="614"/>
        <v/>
      </c>
      <c r="Y1401" s="104" t="str">
        <f t="array" ref="Y1401">IFERROR(IF(ISNUMBER(O1401),IF(COUNT(IF(A1401=$A$2:$A$2427,IF(D1401=$D$2:$D$2427,IF($X$2:$X$2427&gt;0,1))))&gt;0,SUM(IF(A1401=$A$2:$A$2427,IF(D1401=$D$2:$D$2427,$X$2:$X$2427)))/COUNT(IF(A1401=$A$2:$A$2427,IF(D1401=$D$2:$D$2427,IF(ISNUMBER($X$2:$X$2427),1)))),0),""),0)</f>
        <v/>
      </c>
      <c r="Z1401" s="104" t="str">
        <f>IF(ISNUMBER(O1401),IF(I1401&gt;0,(10^(VLOOKUP(D1401,'Species Codes'!B:C,2,0)+VLOOKUP(D1401,'Species Codes'!B:D,3,0)*LOG(E1401)+VLOOKUP(D1401,'Species Codes'!B:E,4,0)*LOG(I1401))),0),"")</f>
        <v/>
      </c>
      <c r="AA1401" s="104" t="str">
        <f>IFERROR((VLOOKUP(D1401,'Species Codes'!B:G,6,0)*Z1401)/2000,"")</f>
        <v/>
      </c>
      <c r="AB1401" s="104" t="e">
        <f>IF(Z1401&gt;0,((IF(OR(D1401="DF",D1401="RA")=TRUE,EXP(VLOOKUP(D1401,'Species Codes'!B:I,8,0)+VLOOKUP(D1401,'Species Codes'!B:J,9,0)*(LN((E1401*2.54)))),IF(OR(D1401="PY",D1401="RC",D1401="WH",D1401="NF")=TRUE,VLOOKUP(D1401,'Species Codes'!B:I,8,0)+VLOOKUP(D1401,'Species Codes'!B:J,9,0)*((E1401*2.54)^2)*(I1401*0.3048),IF(OR(D1401="MD",D1401="BM",D1401="GA")=TRUE,((VLOOKUP(D1401,'Species Codes'!B:I,8,0)*(((((E1401*2.54)+VLOOKUP(D1401,'Species Codes'!B:J,9,0))/VLOOKUP(D1401,'Species Codes'!B:K,10,0))^VLOOKUP(D1401,'Species Codes'!B:L,11,0))*((I1401*0.3048)^VLOOKUP(D1401,'Species Codes'!B:M,12,0))))-(VLOOKUP(D1401,'Species Codes'!B:I,8,0)*((((E1401*2.54)^VLOOKUP(D1401,'Species Codes'!B:L,11,0))*((I1401*0.3048)^VLOOKUP(D1401,'Species Codes'!B:M,12,0))))))*35.3*VLOOKUP(D1401,'Species Codes'!B:G,6,0)/2.2046,VLOOKUP(D1401,'Species Codes'!B:I,8,0)+VLOOKUP(D1401,'Species Codes'!B:J,9,0)*(((E1401*2.54)/100)^2)*(I1401*0.3048)))))*0.0011023),0)</f>
        <v>#N/A</v>
      </c>
      <c r="AC1401" s="104" t="e">
        <f>IF(Z1401&gt;0,((IF(OR(D1401="RA",D1401="OA",D1401="OT",D1401="UN",D1401="PC"),EXP(VLOOKUP(D1401,'Species Codes'!B:O,14,0)+VLOOKUP(D1401,'Species Codes'!B:P,15,0)*LN((E1401*2.54)))-EXP(VLOOKUP(D1401,'Species Codes'!B:O,14,0)+VLOOKUP(D1401,'Species Codes'!B:P,15,0)*LN((E1401*2.54)))*(1/(VLOOKUP(D1401,'Species Codes'!B:Q,16,0)+VLOOKUP(D1401,'Species Codes'!B:R,17,0)*((E1401*2.54)^VLOOKUP(D1401,'Species Codes'!B:S,18,0)))),IF(OR(D1401="BM",D1401="MD",D1401="OA"),EXP(VLOOKUP(D1401,'Species Codes'!B:O,14,0)+VLOOKUP(D1401,'Species Codes'!B:P,15,0)*LN((E1401*2.54)))*(1-(1/(VLOOKUP(D1401,'Species Codes'!B:Q,16,0)+VLOOKUP(D1401,'Species Codes'!B:R,17,0)*((E1401*2.54)^VLOOKUP(D1401,'Species Codes'!B:S,18,0)))))/1000,IF(D1401="DF",EXP(VLOOKUP(D1401,'Species Codes'!B:O,14,0)+VLOOKUP(D1401,'Species Codes'!B:P,15,0)*LN((E1401*2.54))),VLOOKUP(D1401,'Species Codes'!B:O,14,0)+VLOOKUP(D1401,'Species Codes'!B:P,15,0)*(((E1401*2.54)/100)^2)*(I1401*0.3048)))))*0.0011023),0)</f>
        <v>#N/A</v>
      </c>
      <c r="AD1401" s="104" t="e">
        <f t="shared" si="625"/>
        <v>#N/A</v>
      </c>
      <c r="AE1401" s="104" t="e">
        <f t="shared" si="626"/>
        <v>#N/A</v>
      </c>
      <c r="AF1401" s="104" t="e">
        <f>IF(AND(VLOOKUP($D1401,Merchantability!$B:$C,2,0)="Yes",$E1401&gt;=VLOOKUP($D1401,Merchantability!$B:$D,3,0),$E1401&lt;=VLOOKUP($D1401,Merchantability!$B:$E,4,0)),AA1401,0)</f>
        <v>#N/A</v>
      </c>
      <c r="AG1401" s="104" t="e">
        <f>IF(AND(VLOOKUP($D1401,Merchantability!$B:$C,2,0)="Yes",$E1401&gt;=VLOOKUP($D1401,Merchantability!$B:$D,3,0),$E1401&lt;=VLOOKUP($D1401,Merchantability!$B:$E,4,0)),AB1401,0)</f>
        <v>#N/A</v>
      </c>
      <c r="AH1401" s="104" t="e">
        <f>IF(AND(VLOOKUP($D1401,Merchantability!$B:$C,2,0)="Yes",$E1401&gt;=VLOOKUP($D1401,Merchantability!$B:$D,3,0),$E1401&lt;=VLOOKUP($D1401,Merchantability!$B:$E,4,0)),AC1401,0)</f>
        <v>#N/A</v>
      </c>
      <c r="AI1401" s="104" t="e">
        <f t="shared" si="627"/>
        <v>#N/A</v>
      </c>
      <c r="AJ1401" s="104" t="e">
        <f t="shared" si="628"/>
        <v>#VALUE!</v>
      </c>
      <c r="AK1401" s="104" t="e">
        <f t="shared" si="629"/>
        <v>#N/A</v>
      </c>
      <c r="AL1401" s="104" t="e">
        <f t="shared" si="630"/>
        <v>#N/A</v>
      </c>
      <c r="AM1401" s="104" t="e">
        <f t="shared" si="631"/>
        <v>#N/A</v>
      </c>
      <c r="AN1401" s="104" t="e">
        <f t="shared" si="615"/>
        <v>#N/A</v>
      </c>
      <c r="AO1401" s="104" t="e">
        <f t="shared" si="616"/>
        <v>#N/A</v>
      </c>
      <c r="AP1401" s="104" t="e">
        <f t="shared" si="617"/>
        <v>#N/A</v>
      </c>
      <c r="AQ1401" s="104" t="e">
        <f t="shared" si="618"/>
        <v>#N/A</v>
      </c>
      <c r="AR1401" s="105" t="str">
        <f t="shared" si="610"/>
        <v/>
      </c>
      <c r="AS1401" s="105" t="str">
        <f t="shared" si="611"/>
        <v/>
      </c>
      <c r="AT1401" s="108" t="str">
        <f t="shared" si="612"/>
        <v/>
      </c>
      <c r="AU1401" s="108" t="str">
        <f t="shared" si="613"/>
        <v/>
      </c>
      <c r="AV1401" s="107" t="str">
        <f>IF(ISNUMBER(O1401),IF(VLOOKUP($A1401,Stand!C:J,8,FALSE)="Short",AT1401,AU1401),"")</f>
        <v/>
      </c>
      <c r="AW1401" s="109" t="str">
        <f t="shared" si="619"/>
        <v/>
      </c>
      <c r="AX1401" s="109" t="str">
        <f t="shared" si="620"/>
        <v/>
      </c>
      <c r="AY1401" s="112" t="str">
        <f>IF(ISNUMBER(O1401),IF(AND(VLOOKUP($D1401,Merchantability!$B:$C,2,0)="Yes",$E1401&gt;=VLOOKUP($D1401,Merchantability!$B:$D,3,0),$E1401&lt;=VLOOKUP($D1401,Merchantability!$B:$E,4,0)),(AV1401*O1401)*(1-$H1401/100),""),"")</f>
        <v/>
      </c>
      <c r="AZ1401" s="116"/>
      <c r="BA1401" s="116"/>
      <c r="BB1401" s="116"/>
      <c r="BE1401" s="62"/>
      <c r="BF1401" s="63"/>
    </row>
    <row r="1402" spans="1:58" ht="12.75" customHeight="1" x14ac:dyDescent="0.25">
      <c r="A1402" s="333"/>
      <c r="B1402" s="334"/>
      <c r="C1402" s="332"/>
      <c r="D1402" s="334"/>
      <c r="E1402" s="335"/>
      <c r="F1402" s="334"/>
      <c r="G1402" s="332"/>
      <c r="H1402" s="332"/>
      <c r="I1402" s="334"/>
      <c r="J1402" s="336"/>
      <c r="K1402" s="332"/>
      <c r="L1402" s="332"/>
      <c r="M1402" s="76"/>
      <c r="N1402" s="103" t="str">
        <f>IF(A1402="","",VLOOKUP(A1402,Stand!C:K,9,0))</f>
        <v/>
      </c>
      <c r="O1402" s="104" t="str">
        <f t="shared" si="605"/>
        <v/>
      </c>
      <c r="P1402" s="105" t="str">
        <f t="shared" si="606"/>
        <v/>
      </c>
      <c r="Q1402" s="105" t="str">
        <f t="shared" si="621"/>
        <v/>
      </c>
      <c r="R1402" s="103" t="str">
        <f t="shared" si="607"/>
        <v/>
      </c>
      <c r="S1402" s="103" t="str">
        <f t="shared" si="608"/>
        <v/>
      </c>
      <c r="T1402" s="106" t="str">
        <f t="shared" si="622"/>
        <v/>
      </c>
      <c r="U1402" s="106" t="str">
        <f t="shared" si="623"/>
        <v/>
      </c>
      <c r="V1402" s="106" t="str">
        <f t="shared" si="624"/>
        <v/>
      </c>
      <c r="W1402" s="105" t="str">
        <f t="shared" si="609"/>
        <v/>
      </c>
      <c r="X1402" s="104" t="str">
        <f t="shared" si="614"/>
        <v/>
      </c>
      <c r="Y1402" s="104" t="str">
        <f t="array" ref="Y1402">IFERROR(IF(ISNUMBER(O1402),IF(COUNT(IF(A1402=$A$2:$A$2427,IF(D1402=$D$2:$D$2427,IF($X$2:$X$2427&gt;0,1))))&gt;0,SUM(IF(A1402=$A$2:$A$2427,IF(D1402=$D$2:$D$2427,$X$2:$X$2427)))/COUNT(IF(A1402=$A$2:$A$2427,IF(D1402=$D$2:$D$2427,IF(ISNUMBER($X$2:$X$2427),1)))),0),""),0)</f>
        <v/>
      </c>
      <c r="Z1402" s="104" t="str">
        <f>IF(ISNUMBER(O1402),IF(I1402&gt;0,(10^(VLOOKUP(D1402,'Species Codes'!B:C,2,0)+VLOOKUP(D1402,'Species Codes'!B:D,3,0)*LOG(E1402)+VLOOKUP(D1402,'Species Codes'!B:E,4,0)*LOG(I1402))),0),"")</f>
        <v/>
      </c>
      <c r="AA1402" s="104" t="str">
        <f>IFERROR((VLOOKUP(D1402,'Species Codes'!B:G,6,0)*Z1402)/2000,"")</f>
        <v/>
      </c>
      <c r="AB1402" s="104" t="e">
        <f>IF(Z1402&gt;0,((IF(OR(D1402="DF",D1402="RA")=TRUE,EXP(VLOOKUP(D1402,'Species Codes'!B:I,8,0)+VLOOKUP(D1402,'Species Codes'!B:J,9,0)*(LN((E1402*2.54)))),IF(OR(D1402="PY",D1402="RC",D1402="WH",D1402="NF")=TRUE,VLOOKUP(D1402,'Species Codes'!B:I,8,0)+VLOOKUP(D1402,'Species Codes'!B:J,9,0)*((E1402*2.54)^2)*(I1402*0.3048),IF(OR(D1402="MD",D1402="BM",D1402="GA")=TRUE,((VLOOKUP(D1402,'Species Codes'!B:I,8,0)*(((((E1402*2.54)+VLOOKUP(D1402,'Species Codes'!B:J,9,0))/VLOOKUP(D1402,'Species Codes'!B:K,10,0))^VLOOKUP(D1402,'Species Codes'!B:L,11,0))*((I1402*0.3048)^VLOOKUP(D1402,'Species Codes'!B:M,12,0))))-(VLOOKUP(D1402,'Species Codes'!B:I,8,0)*((((E1402*2.54)^VLOOKUP(D1402,'Species Codes'!B:L,11,0))*((I1402*0.3048)^VLOOKUP(D1402,'Species Codes'!B:M,12,0))))))*35.3*VLOOKUP(D1402,'Species Codes'!B:G,6,0)/2.2046,VLOOKUP(D1402,'Species Codes'!B:I,8,0)+VLOOKUP(D1402,'Species Codes'!B:J,9,0)*(((E1402*2.54)/100)^2)*(I1402*0.3048)))))*0.0011023),0)</f>
        <v>#N/A</v>
      </c>
      <c r="AC1402" s="104" t="e">
        <f>IF(Z1402&gt;0,((IF(OR(D1402="RA",D1402="OA",D1402="OT",D1402="UN",D1402="PC"),EXP(VLOOKUP(D1402,'Species Codes'!B:O,14,0)+VLOOKUP(D1402,'Species Codes'!B:P,15,0)*LN((E1402*2.54)))-EXP(VLOOKUP(D1402,'Species Codes'!B:O,14,0)+VLOOKUP(D1402,'Species Codes'!B:P,15,0)*LN((E1402*2.54)))*(1/(VLOOKUP(D1402,'Species Codes'!B:Q,16,0)+VLOOKUP(D1402,'Species Codes'!B:R,17,0)*((E1402*2.54)^VLOOKUP(D1402,'Species Codes'!B:S,18,0)))),IF(OR(D1402="BM",D1402="MD",D1402="OA"),EXP(VLOOKUP(D1402,'Species Codes'!B:O,14,0)+VLOOKUP(D1402,'Species Codes'!B:P,15,0)*LN((E1402*2.54)))*(1-(1/(VLOOKUP(D1402,'Species Codes'!B:Q,16,0)+VLOOKUP(D1402,'Species Codes'!B:R,17,0)*((E1402*2.54)^VLOOKUP(D1402,'Species Codes'!B:S,18,0)))))/1000,IF(D1402="DF",EXP(VLOOKUP(D1402,'Species Codes'!B:O,14,0)+VLOOKUP(D1402,'Species Codes'!B:P,15,0)*LN((E1402*2.54))),VLOOKUP(D1402,'Species Codes'!B:O,14,0)+VLOOKUP(D1402,'Species Codes'!B:P,15,0)*(((E1402*2.54)/100)^2)*(I1402*0.3048)))))*0.0011023),0)</f>
        <v>#N/A</v>
      </c>
      <c r="AD1402" s="104" t="e">
        <f t="shared" si="625"/>
        <v>#N/A</v>
      </c>
      <c r="AE1402" s="104" t="e">
        <f t="shared" si="626"/>
        <v>#N/A</v>
      </c>
      <c r="AF1402" s="104" t="e">
        <f>IF(AND(VLOOKUP($D1402,Merchantability!$B:$C,2,0)="Yes",$E1402&gt;=VLOOKUP($D1402,Merchantability!$B:$D,3,0),$E1402&lt;=VLOOKUP($D1402,Merchantability!$B:$E,4,0)),AA1402,0)</f>
        <v>#N/A</v>
      </c>
      <c r="AG1402" s="104" t="e">
        <f>IF(AND(VLOOKUP($D1402,Merchantability!$B:$C,2,0)="Yes",$E1402&gt;=VLOOKUP($D1402,Merchantability!$B:$D,3,0),$E1402&lt;=VLOOKUP($D1402,Merchantability!$B:$E,4,0)),AB1402,0)</f>
        <v>#N/A</v>
      </c>
      <c r="AH1402" s="104" t="e">
        <f>IF(AND(VLOOKUP($D1402,Merchantability!$B:$C,2,0)="Yes",$E1402&gt;=VLOOKUP($D1402,Merchantability!$B:$D,3,0),$E1402&lt;=VLOOKUP($D1402,Merchantability!$B:$E,4,0)),AC1402,0)</f>
        <v>#N/A</v>
      </c>
      <c r="AI1402" s="104" t="e">
        <f t="shared" si="627"/>
        <v>#N/A</v>
      </c>
      <c r="AJ1402" s="104" t="e">
        <f t="shared" si="628"/>
        <v>#VALUE!</v>
      </c>
      <c r="AK1402" s="104" t="e">
        <f t="shared" si="629"/>
        <v>#N/A</v>
      </c>
      <c r="AL1402" s="104" t="e">
        <f t="shared" si="630"/>
        <v>#N/A</v>
      </c>
      <c r="AM1402" s="104" t="e">
        <f t="shared" si="631"/>
        <v>#N/A</v>
      </c>
      <c r="AN1402" s="104" t="e">
        <f t="shared" si="615"/>
        <v>#N/A</v>
      </c>
      <c r="AO1402" s="104" t="e">
        <f t="shared" si="616"/>
        <v>#N/A</v>
      </c>
      <c r="AP1402" s="104" t="e">
        <f t="shared" si="617"/>
        <v>#N/A</v>
      </c>
      <c r="AQ1402" s="104" t="e">
        <f t="shared" si="618"/>
        <v>#N/A</v>
      </c>
      <c r="AR1402" s="105" t="str">
        <f t="shared" si="610"/>
        <v/>
      </c>
      <c r="AS1402" s="105" t="str">
        <f t="shared" si="611"/>
        <v/>
      </c>
      <c r="AT1402" s="108" t="str">
        <f t="shared" si="612"/>
        <v/>
      </c>
      <c r="AU1402" s="108" t="str">
        <f t="shared" si="613"/>
        <v/>
      </c>
      <c r="AV1402" s="107" t="str">
        <f>IF(ISNUMBER(O1402),IF(VLOOKUP($A1402,Stand!C:J,8,FALSE)="Short",AT1402,AU1402),"")</f>
        <v/>
      </c>
      <c r="AW1402" s="109" t="str">
        <f t="shared" si="619"/>
        <v/>
      </c>
      <c r="AX1402" s="109" t="str">
        <f t="shared" si="620"/>
        <v/>
      </c>
      <c r="AY1402" s="112" t="str">
        <f>IF(ISNUMBER(O1402),IF(AND(VLOOKUP($D1402,Merchantability!$B:$C,2,0)="Yes",$E1402&gt;=VLOOKUP($D1402,Merchantability!$B:$D,3,0),$E1402&lt;=VLOOKUP($D1402,Merchantability!$B:$E,4,0)),(AV1402*O1402)*(1-$H1402/100),""),"")</f>
        <v/>
      </c>
      <c r="AZ1402" s="116"/>
      <c r="BA1402" s="116"/>
      <c r="BB1402" s="116"/>
      <c r="BE1402" s="62"/>
      <c r="BF1402" s="63"/>
    </row>
    <row r="1403" spans="1:58" ht="12.75" customHeight="1" x14ac:dyDescent="0.25">
      <c r="A1403" s="333"/>
      <c r="B1403" s="334"/>
      <c r="C1403" s="332"/>
      <c r="D1403" s="334"/>
      <c r="E1403" s="335"/>
      <c r="F1403" s="334"/>
      <c r="G1403" s="332"/>
      <c r="H1403" s="332"/>
      <c r="I1403" s="334"/>
      <c r="J1403" s="336"/>
      <c r="K1403" s="332"/>
      <c r="L1403" s="332"/>
      <c r="M1403" s="76"/>
      <c r="N1403" s="103" t="str">
        <f>IF(A1403="","",VLOOKUP(A1403,Stand!C:K,9,0))</f>
        <v/>
      </c>
      <c r="O1403" s="104" t="str">
        <f t="shared" si="605"/>
        <v/>
      </c>
      <c r="P1403" s="105" t="str">
        <f t="shared" si="606"/>
        <v/>
      </c>
      <c r="Q1403" s="105" t="str">
        <f t="shared" si="621"/>
        <v/>
      </c>
      <c r="R1403" s="103" t="str">
        <f t="shared" si="607"/>
        <v/>
      </c>
      <c r="S1403" s="103" t="str">
        <f t="shared" si="608"/>
        <v/>
      </c>
      <c r="T1403" s="106" t="str">
        <f t="shared" si="622"/>
        <v/>
      </c>
      <c r="U1403" s="106" t="str">
        <f t="shared" si="623"/>
        <v/>
      </c>
      <c r="V1403" s="106" t="str">
        <f t="shared" si="624"/>
        <v/>
      </c>
      <c r="W1403" s="105" t="str">
        <f t="shared" si="609"/>
        <v/>
      </c>
      <c r="X1403" s="104" t="str">
        <f t="shared" si="614"/>
        <v/>
      </c>
      <c r="Y1403" s="104" t="str">
        <f t="array" ref="Y1403">IFERROR(IF(ISNUMBER(O1403),IF(COUNT(IF(A1403=$A$2:$A$2427,IF(D1403=$D$2:$D$2427,IF($X$2:$X$2427&gt;0,1))))&gt;0,SUM(IF(A1403=$A$2:$A$2427,IF(D1403=$D$2:$D$2427,$X$2:$X$2427)))/COUNT(IF(A1403=$A$2:$A$2427,IF(D1403=$D$2:$D$2427,IF(ISNUMBER($X$2:$X$2427),1)))),0),""),0)</f>
        <v/>
      </c>
      <c r="Z1403" s="104" t="str">
        <f>IF(ISNUMBER(O1403),IF(I1403&gt;0,(10^(VLOOKUP(D1403,'Species Codes'!B:C,2,0)+VLOOKUP(D1403,'Species Codes'!B:D,3,0)*LOG(E1403)+VLOOKUP(D1403,'Species Codes'!B:E,4,0)*LOG(I1403))),0),"")</f>
        <v/>
      </c>
      <c r="AA1403" s="104" t="str">
        <f>IFERROR((VLOOKUP(D1403,'Species Codes'!B:G,6,0)*Z1403)/2000,"")</f>
        <v/>
      </c>
      <c r="AB1403" s="104" t="e">
        <f>IF(Z1403&gt;0,((IF(OR(D1403="DF",D1403="RA")=TRUE,EXP(VLOOKUP(D1403,'Species Codes'!B:I,8,0)+VLOOKUP(D1403,'Species Codes'!B:J,9,0)*(LN((E1403*2.54)))),IF(OR(D1403="PY",D1403="RC",D1403="WH",D1403="NF")=TRUE,VLOOKUP(D1403,'Species Codes'!B:I,8,0)+VLOOKUP(D1403,'Species Codes'!B:J,9,0)*((E1403*2.54)^2)*(I1403*0.3048),IF(OR(D1403="MD",D1403="BM",D1403="GA")=TRUE,((VLOOKUP(D1403,'Species Codes'!B:I,8,0)*(((((E1403*2.54)+VLOOKUP(D1403,'Species Codes'!B:J,9,0))/VLOOKUP(D1403,'Species Codes'!B:K,10,0))^VLOOKUP(D1403,'Species Codes'!B:L,11,0))*((I1403*0.3048)^VLOOKUP(D1403,'Species Codes'!B:M,12,0))))-(VLOOKUP(D1403,'Species Codes'!B:I,8,0)*((((E1403*2.54)^VLOOKUP(D1403,'Species Codes'!B:L,11,0))*((I1403*0.3048)^VLOOKUP(D1403,'Species Codes'!B:M,12,0))))))*35.3*VLOOKUP(D1403,'Species Codes'!B:G,6,0)/2.2046,VLOOKUP(D1403,'Species Codes'!B:I,8,0)+VLOOKUP(D1403,'Species Codes'!B:J,9,0)*(((E1403*2.54)/100)^2)*(I1403*0.3048)))))*0.0011023),0)</f>
        <v>#N/A</v>
      </c>
      <c r="AC1403" s="104" t="e">
        <f>IF(Z1403&gt;0,((IF(OR(D1403="RA",D1403="OA",D1403="OT",D1403="UN",D1403="PC"),EXP(VLOOKUP(D1403,'Species Codes'!B:O,14,0)+VLOOKUP(D1403,'Species Codes'!B:P,15,0)*LN((E1403*2.54)))-EXP(VLOOKUP(D1403,'Species Codes'!B:O,14,0)+VLOOKUP(D1403,'Species Codes'!B:P,15,0)*LN((E1403*2.54)))*(1/(VLOOKUP(D1403,'Species Codes'!B:Q,16,0)+VLOOKUP(D1403,'Species Codes'!B:R,17,0)*((E1403*2.54)^VLOOKUP(D1403,'Species Codes'!B:S,18,0)))),IF(OR(D1403="BM",D1403="MD",D1403="OA"),EXP(VLOOKUP(D1403,'Species Codes'!B:O,14,0)+VLOOKUP(D1403,'Species Codes'!B:P,15,0)*LN((E1403*2.54)))*(1-(1/(VLOOKUP(D1403,'Species Codes'!B:Q,16,0)+VLOOKUP(D1403,'Species Codes'!B:R,17,0)*((E1403*2.54)^VLOOKUP(D1403,'Species Codes'!B:S,18,0)))))/1000,IF(D1403="DF",EXP(VLOOKUP(D1403,'Species Codes'!B:O,14,0)+VLOOKUP(D1403,'Species Codes'!B:P,15,0)*LN((E1403*2.54))),VLOOKUP(D1403,'Species Codes'!B:O,14,0)+VLOOKUP(D1403,'Species Codes'!B:P,15,0)*(((E1403*2.54)/100)^2)*(I1403*0.3048)))))*0.0011023),0)</f>
        <v>#N/A</v>
      </c>
      <c r="AD1403" s="104" t="e">
        <f t="shared" si="625"/>
        <v>#N/A</v>
      </c>
      <c r="AE1403" s="104" t="e">
        <f t="shared" si="626"/>
        <v>#N/A</v>
      </c>
      <c r="AF1403" s="104" t="e">
        <f>IF(AND(VLOOKUP($D1403,Merchantability!$B:$C,2,0)="Yes",$E1403&gt;=VLOOKUP($D1403,Merchantability!$B:$D,3,0),$E1403&lt;=VLOOKUP($D1403,Merchantability!$B:$E,4,0)),AA1403,0)</f>
        <v>#N/A</v>
      </c>
      <c r="AG1403" s="104" t="e">
        <f>IF(AND(VLOOKUP($D1403,Merchantability!$B:$C,2,0)="Yes",$E1403&gt;=VLOOKUP($D1403,Merchantability!$B:$D,3,0),$E1403&lt;=VLOOKUP($D1403,Merchantability!$B:$E,4,0)),AB1403,0)</f>
        <v>#N/A</v>
      </c>
      <c r="AH1403" s="104" t="e">
        <f>IF(AND(VLOOKUP($D1403,Merchantability!$B:$C,2,0)="Yes",$E1403&gt;=VLOOKUP($D1403,Merchantability!$B:$D,3,0),$E1403&lt;=VLOOKUP($D1403,Merchantability!$B:$E,4,0)),AC1403,0)</f>
        <v>#N/A</v>
      </c>
      <c r="AI1403" s="104" t="e">
        <f t="shared" si="627"/>
        <v>#N/A</v>
      </c>
      <c r="AJ1403" s="104" t="e">
        <f t="shared" si="628"/>
        <v>#VALUE!</v>
      </c>
      <c r="AK1403" s="104" t="e">
        <f t="shared" si="629"/>
        <v>#N/A</v>
      </c>
      <c r="AL1403" s="104" t="e">
        <f t="shared" si="630"/>
        <v>#N/A</v>
      </c>
      <c r="AM1403" s="104" t="e">
        <f t="shared" si="631"/>
        <v>#N/A</v>
      </c>
      <c r="AN1403" s="104" t="e">
        <f t="shared" si="615"/>
        <v>#N/A</v>
      </c>
      <c r="AO1403" s="104" t="e">
        <f t="shared" si="616"/>
        <v>#N/A</v>
      </c>
      <c r="AP1403" s="104" t="e">
        <f t="shared" si="617"/>
        <v>#N/A</v>
      </c>
      <c r="AQ1403" s="104" t="e">
        <f t="shared" si="618"/>
        <v>#N/A</v>
      </c>
      <c r="AR1403" s="105" t="str">
        <f t="shared" si="610"/>
        <v/>
      </c>
      <c r="AS1403" s="105" t="str">
        <f t="shared" si="611"/>
        <v/>
      </c>
      <c r="AT1403" s="108" t="str">
        <f t="shared" si="612"/>
        <v/>
      </c>
      <c r="AU1403" s="108" t="str">
        <f t="shared" si="613"/>
        <v/>
      </c>
      <c r="AV1403" s="107" t="str">
        <f>IF(ISNUMBER(O1403),IF(VLOOKUP($A1403,Stand!C:J,8,FALSE)="Short",AT1403,AU1403),"")</f>
        <v/>
      </c>
      <c r="AW1403" s="109" t="str">
        <f t="shared" si="619"/>
        <v/>
      </c>
      <c r="AX1403" s="109" t="str">
        <f t="shared" si="620"/>
        <v/>
      </c>
      <c r="AY1403" s="112" t="str">
        <f>IF(ISNUMBER(O1403),IF(AND(VLOOKUP($D1403,Merchantability!$B:$C,2,0)="Yes",$E1403&gt;=VLOOKUP($D1403,Merchantability!$B:$D,3,0),$E1403&lt;=VLOOKUP($D1403,Merchantability!$B:$E,4,0)),(AV1403*O1403)*(1-$H1403/100),""),"")</f>
        <v/>
      </c>
      <c r="AZ1403" s="116"/>
      <c r="BA1403" s="116"/>
      <c r="BB1403" s="116"/>
      <c r="BE1403" s="62"/>
      <c r="BF1403" s="63"/>
    </row>
    <row r="1404" spans="1:58" ht="12.75" customHeight="1" x14ac:dyDescent="0.25">
      <c r="A1404" s="333"/>
      <c r="B1404" s="334"/>
      <c r="C1404" s="332"/>
      <c r="D1404" s="334"/>
      <c r="E1404" s="335"/>
      <c r="F1404" s="334"/>
      <c r="G1404" s="332"/>
      <c r="H1404" s="332"/>
      <c r="I1404" s="334"/>
      <c r="J1404" s="336"/>
      <c r="K1404" s="332"/>
      <c r="L1404" s="332"/>
      <c r="M1404" s="76"/>
      <c r="N1404" s="103" t="str">
        <f>IF(A1404="","",VLOOKUP(A1404,Stand!C:K,9,0))</f>
        <v/>
      </c>
      <c r="O1404" s="104" t="str">
        <f t="shared" si="605"/>
        <v/>
      </c>
      <c r="P1404" s="105" t="str">
        <f t="shared" si="606"/>
        <v/>
      </c>
      <c r="Q1404" s="105" t="str">
        <f t="shared" si="621"/>
        <v/>
      </c>
      <c r="R1404" s="103" t="str">
        <f t="shared" si="607"/>
        <v/>
      </c>
      <c r="S1404" s="103" t="str">
        <f t="shared" si="608"/>
        <v/>
      </c>
      <c r="T1404" s="106" t="str">
        <f t="shared" si="622"/>
        <v/>
      </c>
      <c r="U1404" s="106" t="str">
        <f t="shared" si="623"/>
        <v/>
      </c>
      <c r="V1404" s="106" t="str">
        <f t="shared" si="624"/>
        <v/>
      </c>
      <c r="W1404" s="105" t="str">
        <f t="shared" si="609"/>
        <v/>
      </c>
      <c r="X1404" s="104" t="str">
        <f t="shared" si="614"/>
        <v/>
      </c>
      <c r="Y1404" s="104" t="str">
        <f t="array" ref="Y1404">IFERROR(IF(ISNUMBER(O1404),IF(COUNT(IF(A1404=$A$2:$A$2427,IF(D1404=$D$2:$D$2427,IF($X$2:$X$2427&gt;0,1))))&gt;0,SUM(IF(A1404=$A$2:$A$2427,IF(D1404=$D$2:$D$2427,$X$2:$X$2427)))/COUNT(IF(A1404=$A$2:$A$2427,IF(D1404=$D$2:$D$2427,IF(ISNUMBER($X$2:$X$2427),1)))),0),""),0)</f>
        <v/>
      </c>
      <c r="Z1404" s="104" t="str">
        <f>IF(ISNUMBER(O1404),IF(I1404&gt;0,(10^(VLOOKUP(D1404,'Species Codes'!B:C,2,0)+VLOOKUP(D1404,'Species Codes'!B:D,3,0)*LOG(E1404)+VLOOKUP(D1404,'Species Codes'!B:E,4,0)*LOG(I1404))),0),"")</f>
        <v/>
      </c>
      <c r="AA1404" s="104" t="str">
        <f>IFERROR((VLOOKUP(D1404,'Species Codes'!B:G,6,0)*Z1404)/2000,"")</f>
        <v/>
      </c>
      <c r="AB1404" s="104" t="e">
        <f>IF(Z1404&gt;0,((IF(OR(D1404="DF",D1404="RA")=TRUE,EXP(VLOOKUP(D1404,'Species Codes'!B:I,8,0)+VLOOKUP(D1404,'Species Codes'!B:J,9,0)*(LN((E1404*2.54)))),IF(OR(D1404="PY",D1404="RC",D1404="WH",D1404="NF")=TRUE,VLOOKUP(D1404,'Species Codes'!B:I,8,0)+VLOOKUP(D1404,'Species Codes'!B:J,9,0)*((E1404*2.54)^2)*(I1404*0.3048),IF(OR(D1404="MD",D1404="BM",D1404="GA")=TRUE,((VLOOKUP(D1404,'Species Codes'!B:I,8,0)*(((((E1404*2.54)+VLOOKUP(D1404,'Species Codes'!B:J,9,0))/VLOOKUP(D1404,'Species Codes'!B:K,10,0))^VLOOKUP(D1404,'Species Codes'!B:L,11,0))*((I1404*0.3048)^VLOOKUP(D1404,'Species Codes'!B:M,12,0))))-(VLOOKUP(D1404,'Species Codes'!B:I,8,0)*((((E1404*2.54)^VLOOKUP(D1404,'Species Codes'!B:L,11,0))*((I1404*0.3048)^VLOOKUP(D1404,'Species Codes'!B:M,12,0))))))*35.3*VLOOKUP(D1404,'Species Codes'!B:G,6,0)/2.2046,VLOOKUP(D1404,'Species Codes'!B:I,8,0)+VLOOKUP(D1404,'Species Codes'!B:J,9,0)*(((E1404*2.54)/100)^2)*(I1404*0.3048)))))*0.0011023),0)</f>
        <v>#N/A</v>
      </c>
      <c r="AC1404" s="104" t="e">
        <f>IF(Z1404&gt;0,((IF(OR(D1404="RA",D1404="OA",D1404="OT",D1404="UN",D1404="PC"),EXP(VLOOKUP(D1404,'Species Codes'!B:O,14,0)+VLOOKUP(D1404,'Species Codes'!B:P,15,0)*LN((E1404*2.54)))-EXP(VLOOKUP(D1404,'Species Codes'!B:O,14,0)+VLOOKUP(D1404,'Species Codes'!B:P,15,0)*LN((E1404*2.54)))*(1/(VLOOKUP(D1404,'Species Codes'!B:Q,16,0)+VLOOKUP(D1404,'Species Codes'!B:R,17,0)*((E1404*2.54)^VLOOKUP(D1404,'Species Codes'!B:S,18,0)))),IF(OR(D1404="BM",D1404="MD",D1404="OA"),EXP(VLOOKUP(D1404,'Species Codes'!B:O,14,0)+VLOOKUP(D1404,'Species Codes'!B:P,15,0)*LN((E1404*2.54)))*(1-(1/(VLOOKUP(D1404,'Species Codes'!B:Q,16,0)+VLOOKUP(D1404,'Species Codes'!B:R,17,0)*((E1404*2.54)^VLOOKUP(D1404,'Species Codes'!B:S,18,0)))))/1000,IF(D1404="DF",EXP(VLOOKUP(D1404,'Species Codes'!B:O,14,0)+VLOOKUP(D1404,'Species Codes'!B:P,15,0)*LN((E1404*2.54))),VLOOKUP(D1404,'Species Codes'!B:O,14,0)+VLOOKUP(D1404,'Species Codes'!B:P,15,0)*(((E1404*2.54)/100)^2)*(I1404*0.3048)))))*0.0011023),0)</f>
        <v>#N/A</v>
      </c>
      <c r="AD1404" s="104" t="e">
        <f t="shared" si="625"/>
        <v>#N/A</v>
      </c>
      <c r="AE1404" s="104" t="e">
        <f t="shared" si="626"/>
        <v>#N/A</v>
      </c>
      <c r="AF1404" s="104" t="e">
        <f>IF(AND(VLOOKUP($D1404,Merchantability!$B:$C,2,0)="Yes",$E1404&gt;=VLOOKUP($D1404,Merchantability!$B:$D,3,0),$E1404&lt;=VLOOKUP($D1404,Merchantability!$B:$E,4,0)),AA1404,0)</f>
        <v>#N/A</v>
      </c>
      <c r="AG1404" s="104" t="e">
        <f>IF(AND(VLOOKUP($D1404,Merchantability!$B:$C,2,0)="Yes",$E1404&gt;=VLOOKUP($D1404,Merchantability!$B:$D,3,0),$E1404&lt;=VLOOKUP($D1404,Merchantability!$B:$E,4,0)),AB1404,0)</f>
        <v>#N/A</v>
      </c>
      <c r="AH1404" s="104" t="e">
        <f>IF(AND(VLOOKUP($D1404,Merchantability!$B:$C,2,0)="Yes",$E1404&gt;=VLOOKUP($D1404,Merchantability!$B:$D,3,0),$E1404&lt;=VLOOKUP($D1404,Merchantability!$B:$E,4,0)),AC1404,0)</f>
        <v>#N/A</v>
      </c>
      <c r="AI1404" s="104" t="e">
        <f t="shared" si="627"/>
        <v>#N/A</v>
      </c>
      <c r="AJ1404" s="104" t="e">
        <f t="shared" si="628"/>
        <v>#VALUE!</v>
      </c>
      <c r="AK1404" s="104" t="e">
        <f t="shared" si="629"/>
        <v>#N/A</v>
      </c>
      <c r="AL1404" s="104" t="e">
        <f t="shared" si="630"/>
        <v>#N/A</v>
      </c>
      <c r="AM1404" s="104" t="e">
        <f t="shared" si="631"/>
        <v>#N/A</v>
      </c>
      <c r="AN1404" s="104" t="e">
        <f t="shared" si="615"/>
        <v>#N/A</v>
      </c>
      <c r="AO1404" s="104" t="e">
        <f t="shared" si="616"/>
        <v>#N/A</v>
      </c>
      <c r="AP1404" s="104" t="e">
        <f t="shared" si="617"/>
        <v>#N/A</v>
      </c>
      <c r="AQ1404" s="104" t="e">
        <f t="shared" si="618"/>
        <v>#N/A</v>
      </c>
      <c r="AR1404" s="105" t="str">
        <f t="shared" si="610"/>
        <v/>
      </c>
      <c r="AS1404" s="105" t="str">
        <f t="shared" si="611"/>
        <v/>
      </c>
      <c r="AT1404" s="108" t="str">
        <f t="shared" si="612"/>
        <v/>
      </c>
      <c r="AU1404" s="108" t="str">
        <f t="shared" si="613"/>
        <v/>
      </c>
      <c r="AV1404" s="107" t="str">
        <f>IF(ISNUMBER(O1404),IF(VLOOKUP($A1404,Stand!C:J,8,FALSE)="Short",AT1404,AU1404),"")</f>
        <v/>
      </c>
      <c r="AW1404" s="109" t="str">
        <f t="shared" si="619"/>
        <v/>
      </c>
      <c r="AX1404" s="109" t="str">
        <f t="shared" si="620"/>
        <v/>
      </c>
      <c r="AY1404" s="112" t="str">
        <f>IF(ISNUMBER(O1404),IF(AND(VLOOKUP($D1404,Merchantability!$B:$C,2,0)="Yes",$E1404&gt;=VLOOKUP($D1404,Merchantability!$B:$D,3,0),$E1404&lt;=VLOOKUP($D1404,Merchantability!$B:$E,4,0)),(AV1404*O1404)*(1-$H1404/100),""),"")</f>
        <v/>
      </c>
      <c r="AZ1404" s="116"/>
      <c r="BA1404" s="116"/>
      <c r="BB1404" s="116"/>
      <c r="BE1404" s="62"/>
      <c r="BF1404" s="63"/>
    </row>
    <row r="1405" spans="1:58" ht="12.75" customHeight="1" x14ac:dyDescent="0.25">
      <c r="A1405" s="333"/>
      <c r="B1405" s="334"/>
      <c r="C1405" s="332"/>
      <c r="D1405" s="334"/>
      <c r="E1405" s="335"/>
      <c r="F1405" s="334"/>
      <c r="G1405" s="332"/>
      <c r="H1405" s="332"/>
      <c r="I1405" s="334"/>
      <c r="J1405" s="336"/>
      <c r="K1405" s="332"/>
      <c r="L1405" s="332"/>
      <c r="M1405" s="76"/>
      <c r="N1405" s="103" t="str">
        <f>IF(A1405="","",VLOOKUP(A1405,Stand!C:K,9,0))</f>
        <v/>
      </c>
      <c r="O1405" s="104" t="str">
        <f t="shared" si="605"/>
        <v/>
      </c>
      <c r="P1405" s="105" t="str">
        <f t="shared" si="606"/>
        <v/>
      </c>
      <c r="Q1405" s="105" t="str">
        <f t="shared" si="621"/>
        <v/>
      </c>
      <c r="R1405" s="103" t="str">
        <f t="shared" si="607"/>
        <v/>
      </c>
      <c r="S1405" s="103" t="str">
        <f t="shared" si="608"/>
        <v/>
      </c>
      <c r="T1405" s="106" t="str">
        <f t="shared" si="622"/>
        <v/>
      </c>
      <c r="U1405" s="106" t="str">
        <f t="shared" si="623"/>
        <v/>
      </c>
      <c r="V1405" s="106" t="str">
        <f t="shared" si="624"/>
        <v/>
      </c>
      <c r="W1405" s="105" t="str">
        <f t="shared" si="609"/>
        <v/>
      </c>
      <c r="X1405" s="104" t="str">
        <f t="shared" si="614"/>
        <v/>
      </c>
      <c r="Y1405" s="104" t="str">
        <f t="array" ref="Y1405">IFERROR(IF(ISNUMBER(O1405),IF(COUNT(IF(A1405=$A$2:$A$2427,IF(D1405=$D$2:$D$2427,IF($X$2:$X$2427&gt;0,1))))&gt;0,SUM(IF(A1405=$A$2:$A$2427,IF(D1405=$D$2:$D$2427,$X$2:$X$2427)))/COUNT(IF(A1405=$A$2:$A$2427,IF(D1405=$D$2:$D$2427,IF(ISNUMBER($X$2:$X$2427),1)))),0),""),0)</f>
        <v/>
      </c>
      <c r="Z1405" s="104" t="str">
        <f>IF(ISNUMBER(O1405),IF(I1405&gt;0,(10^(VLOOKUP(D1405,'Species Codes'!B:C,2,0)+VLOOKUP(D1405,'Species Codes'!B:D,3,0)*LOG(E1405)+VLOOKUP(D1405,'Species Codes'!B:E,4,0)*LOG(I1405))),0),"")</f>
        <v/>
      </c>
      <c r="AA1405" s="104" t="str">
        <f>IFERROR((VLOOKUP(D1405,'Species Codes'!B:G,6,0)*Z1405)/2000,"")</f>
        <v/>
      </c>
      <c r="AB1405" s="104" t="e">
        <f>IF(Z1405&gt;0,((IF(OR(D1405="DF",D1405="RA")=TRUE,EXP(VLOOKUP(D1405,'Species Codes'!B:I,8,0)+VLOOKUP(D1405,'Species Codes'!B:J,9,0)*(LN((E1405*2.54)))),IF(OR(D1405="PY",D1405="RC",D1405="WH",D1405="NF")=TRUE,VLOOKUP(D1405,'Species Codes'!B:I,8,0)+VLOOKUP(D1405,'Species Codes'!B:J,9,0)*((E1405*2.54)^2)*(I1405*0.3048),IF(OR(D1405="MD",D1405="BM",D1405="GA")=TRUE,((VLOOKUP(D1405,'Species Codes'!B:I,8,0)*(((((E1405*2.54)+VLOOKUP(D1405,'Species Codes'!B:J,9,0))/VLOOKUP(D1405,'Species Codes'!B:K,10,0))^VLOOKUP(D1405,'Species Codes'!B:L,11,0))*((I1405*0.3048)^VLOOKUP(D1405,'Species Codes'!B:M,12,0))))-(VLOOKUP(D1405,'Species Codes'!B:I,8,0)*((((E1405*2.54)^VLOOKUP(D1405,'Species Codes'!B:L,11,0))*((I1405*0.3048)^VLOOKUP(D1405,'Species Codes'!B:M,12,0))))))*35.3*VLOOKUP(D1405,'Species Codes'!B:G,6,0)/2.2046,VLOOKUP(D1405,'Species Codes'!B:I,8,0)+VLOOKUP(D1405,'Species Codes'!B:J,9,0)*(((E1405*2.54)/100)^2)*(I1405*0.3048)))))*0.0011023),0)</f>
        <v>#N/A</v>
      </c>
      <c r="AC1405" s="104" t="e">
        <f>IF(Z1405&gt;0,((IF(OR(D1405="RA",D1405="OA",D1405="OT",D1405="UN",D1405="PC"),EXP(VLOOKUP(D1405,'Species Codes'!B:O,14,0)+VLOOKUP(D1405,'Species Codes'!B:P,15,0)*LN((E1405*2.54)))-EXP(VLOOKUP(D1405,'Species Codes'!B:O,14,0)+VLOOKUP(D1405,'Species Codes'!B:P,15,0)*LN((E1405*2.54)))*(1/(VLOOKUP(D1405,'Species Codes'!B:Q,16,0)+VLOOKUP(D1405,'Species Codes'!B:R,17,0)*((E1405*2.54)^VLOOKUP(D1405,'Species Codes'!B:S,18,0)))),IF(OR(D1405="BM",D1405="MD",D1405="OA"),EXP(VLOOKUP(D1405,'Species Codes'!B:O,14,0)+VLOOKUP(D1405,'Species Codes'!B:P,15,0)*LN((E1405*2.54)))*(1-(1/(VLOOKUP(D1405,'Species Codes'!B:Q,16,0)+VLOOKUP(D1405,'Species Codes'!B:R,17,0)*((E1405*2.54)^VLOOKUP(D1405,'Species Codes'!B:S,18,0)))))/1000,IF(D1405="DF",EXP(VLOOKUP(D1405,'Species Codes'!B:O,14,0)+VLOOKUP(D1405,'Species Codes'!B:P,15,0)*LN((E1405*2.54))),VLOOKUP(D1405,'Species Codes'!B:O,14,0)+VLOOKUP(D1405,'Species Codes'!B:P,15,0)*(((E1405*2.54)/100)^2)*(I1405*0.3048)))))*0.0011023),0)</f>
        <v>#N/A</v>
      </c>
      <c r="AD1405" s="104" t="e">
        <f t="shared" si="625"/>
        <v>#N/A</v>
      </c>
      <c r="AE1405" s="104" t="e">
        <f t="shared" si="626"/>
        <v>#N/A</v>
      </c>
      <c r="AF1405" s="104" t="e">
        <f>IF(AND(VLOOKUP($D1405,Merchantability!$B:$C,2,0)="Yes",$E1405&gt;=VLOOKUP($D1405,Merchantability!$B:$D,3,0),$E1405&lt;=VLOOKUP($D1405,Merchantability!$B:$E,4,0)),AA1405,0)</f>
        <v>#N/A</v>
      </c>
      <c r="AG1405" s="104" t="e">
        <f>IF(AND(VLOOKUP($D1405,Merchantability!$B:$C,2,0)="Yes",$E1405&gt;=VLOOKUP($D1405,Merchantability!$B:$D,3,0),$E1405&lt;=VLOOKUP($D1405,Merchantability!$B:$E,4,0)),AB1405,0)</f>
        <v>#N/A</v>
      </c>
      <c r="AH1405" s="104" t="e">
        <f>IF(AND(VLOOKUP($D1405,Merchantability!$B:$C,2,0)="Yes",$E1405&gt;=VLOOKUP($D1405,Merchantability!$B:$D,3,0),$E1405&lt;=VLOOKUP($D1405,Merchantability!$B:$E,4,0)),AC1405,0)</f>
        <v>#N/A</v>
      </c>
      <c r="AI1405" s="104" t="e">
        <f t="shared" si="627"/>
        <v>#N/A</v>
      </c>
      <c r="AJ1405" s="104" t="e">
        <f t="shared" si="628"/>
        <v>#VALUE!</v>
      </c>
      <c r="AK1405" s="104" t="e">
        <f t="shared" si="629"/>
        <v>#N/A</v>
      </c>
      <c r="AL1405" s="104" t="e">
        <f t="shared" si="630"/>
        <v>#N/A</v>
      </c>
      <c r="AM1405" s="104" t="e">
        <f t="shared" si="631"/>
        <v>#N/A</v>
      </c>
      <c r="AN1405" s="104" t="e">
        <f t="shared" si="615"/>
        <v>#N/A</v>
      </c>
      <c r="AO1405" s="104" t="e">
        <f t="shared" si="616"/>
        <v>#N/A</v>
      </c>
      <c r="AP1405" s="104" t="e">
        <f t="shared" si="617"/>
        <v>#N/A</v>
      </c>
      <c r="AQ1405" s="104" t="e">
        <f t="shared" si="618"/>
        <v>#N/A</v>
      </c>
      <c r="AR1405" s="105" t="str">
        <f t="shared" si="610"/>
        <v/>
      </c>
      <c r="AS1405" s="105" t="str">
        <f t="shared" si="611"/>
        <v/>
      </c>
      <c r="AT1405" s="108" t="str">
        <f t="shared" si="612"/>
        <v/>
      </c>
      <c r="AU1405" s="108" t="str">
        <f t="shared" si="613"/>
        <v/>
      </c>
      <c r="AV1405" s="107" t="str">
        <f>IF(ISNUMBER(O1405),IF(VLOOKUP($A1405,Stand!C:J,8,FALSE)="Short",AT1405,AU1405),"")</f>
        <v/>
      </c>
      <c r="AW1405" s="109" t="str">
        <f t="shared" si="619"/>
        <v/>
      </c>
      <c r="AX1405" s="109" t="str">
        <f t="shared" si="620"/>
        <v/>
      </c>
      <c r="AY1405" s="112" t="str">
        <f>IF(ISNUMBER(O1405),IF(AND(VLOOKUP($D1405,Merchantability!$B:$C,2,0)="Yes",$E1405&gt;=VLOOKUP($D1405,Merchantability!$B:$D,3,0),$E1405&lt;=VLOOKUP($D1405,Merchantability!$B:$E,4,0)),(AV1405*O1405)*(1-$H1405/100),""),"")</f>
        <v/>
      </c>
      <c r="AZ1405" s="116"/>
      <c r="BA1405" s="116"/>
      <c r="BB1405" s="116"/>
      <c r="BE1405" s="62"/>
      <c r="BF1405" s="63"/>
    </row>
    <row r="1406" spans="1:58" ht="12.75" customHeight="1" x14ac:dyDescent="0.25">
      <c r="A1406" s="333"/>
      <c r="B1406" s="334"/>
      <c r="C1406" s="332"/>
      <c r="D1406" s="334"/>
      <c r="E1406" s="335"/>
      <c r="F1406" s="334"/>
      <c r="G1406" s="332"/>
      <c r="H1406" s="332"/>
      <c r="I1406" s="334"/>
      <c r="J1406" s="336"/>
      <c r="K1406" s="332"/>
      <c r="L1406" s="332"/>
      <c r="M1406" s="76"/>
      <c r="N1406" s="103" t="str">
        <f>IF(A1406="","",VLOOKUP(A1406,Stand!C:K,9,0))</f>
        <v/>
      </c>
      <c r="O1406" s="104" t="str">
        <f t="shared" si="605"/>
        <v/>
      </c>
      <c r="P1406" s="105" t="str">
        <f t="shared" si="606"/>
        <v/>
      </c>
      <c r="Q1406" s="105" t="str">
        <f t="shared" si="621"/>
        <v/>
      </c>
      <c r="R1406" s="103" t="str">
        <f t="shared" si="607"/>
        <v/>
      </c>
      <c r="S1406" s="103" t="str">
        <f t="shared" si="608"/>
        <v/>
      </c>
      <c r="T1406" s="106" t="str">
        <f t="shared" si="622"/>
        <v/>
      </c>
      <c r="U1406" s="106" t="str">
        <f t="shared" si="623"/>
        <v/>
      </c>
      <c r="V1406" s="106" t="str">
        <f t="shared" si="624"/>
        <v/>
      </c>
      <c r="W1406" s="105" t="str">
        <f t="shared" si="609"/>
        <v/>
      </c>
      <c r="X1406" s="104" t="str">
        <f t="shared" si="614"/>
        <v/>
      </c>
      <c r="Y1406" s="104" t="str">
        <f t="array" ref="Y1406">IFERROR(IF(ISNUMBER(O1406),IF(COUNT(IF(A1406=$A$2:$A$2427,IF(D1406=$D$2:$D$2427,IF($X$2:$X$2427&gt;0,1))))&gt;0,SUM(IF(A1406=$A$2:$A$2427,IF(D1406=$D$2:$D$2427,$X$2:$X$2427)))/COUNT(IF(A1406=$A$2:$A$2427,IF(D1406=$D$2:$D$2427,IF(ISNUMBER($X$2:$X$2427),1)))),0),""),0)</f>
        <v/>
      </c>
      <c r="Z1406" s="104" t="str">
        <f>IF(ISNUMBER(O1406),IF(I1406&gt;0,(10^(VLOOKUP(D1406,'Species Codes'!B:C,2,0)+VLOOKUP(D1406,'Species Codes'!B:D,3,0)*LOG(E1406)+VLOOKUP(D1406,'Species Codes'!B:E,4,0)*LOG(I1406))),0),"")</f>
        <v/>
      </c>
      <c r="AA1406" s="104" t="str">
        <f>IFERROR((VLOOKUP(D1406,'Species Codes'!B:G,6,0)*Z1406)/2000,"")</f>
        <v/>
      </c>
      <c r="AB1406" s="104" t="e">
        <f>IF(Z1406&gt;0,((IF(OR(D1406="DF",D1406="RA")=TRUE,EXP(VLOOKUP(D1406,'Species Codes'!B:I,8,0)+VLOOKUP(D1406,'Species Codes'!B:J,9,0)*(LN((E1406*2.54)))),IF(OR(D1406="PY",D1406="RC",D1406="WH",D1406="NF")=TRUE,VLOOKUP(D1406,'Species Codes'!B:I,8,0)+VLOOKUP(D1406,'Species Codes'!B:J,9,0)*((E1406*2.54)^2)*(I1406*0.3048),IF(OR(D1406="MD",D1406="BM",D1406="GA")=TRUE,((VLOOKUP(D1406,'Species Codes'!B:I,8,0)*(((((E1406*2.54)+VLOOKUP(D1406,'Species Codes'!B:J,9,0))/VLOOKUP(D1406,'Species Codes'!B:K,10,0))^VLOOKUP(D1406,'Species Codes'!B:L,11,0))*((I1406*0.3048)^VLOOKUP(D1406,'Species Codes'!B:M,12,0))))-(VLOOKUP(D1406,'Species Codes'!B:I,8,0)*((((E1406*2.54)^VLOOKUP(D1406,'Species Codes'!B:L,11,0))*((I1406*0.3048)^VLOOKUP(D1406,'Species Codes'!B:M,12,0))))))*35.3*VLOOKUP(D1406,'Species Codes'!B:G,6,0)/2.2046,VLOOKUP(D1406,'Species Codes'!B:I,8,0)+VLOOKUP(D1406,'Species Codes'!B:J,9,0)*(((E1406*2.54)/100)^2)*(I1406*0.3048)))))*0.0011023),0)</f>
        <v>#N/A</v>
      </c>
      <c r="AC1406" s="104" t="e">
        <f>IF(Z1406&gt;0,((IF(OR(D1406="RA",D1406="OA",D1406="OT",D1406="UN",D1406="PC"),EXP(VLOOKUP(D1406,'Species Codes'!B:O,14,0)+VLOOKUP(D1406,'Species Codes'!B:P,15,0)*LN((E1406*2.54)))-EXP(VLOOKUP(D1406,'Species Codes'!B:O,14,0)+VLOOKUP(D1406,'Species Codes'!B:P,15,0)*LN((E1406*2.54)))*(1/(VLOOKUP(D1406,'Species Codes'!B:Q,16,0)+VLOOKUP(D1406,'Species Codes'!B:R,17,0)*((E1406*2.54)^VLOOKUP(D1406,'Species Codes'!B:S,18,0)))),IF(OR(D1406="BM",D1406="MD",D1406="OA"),EXP(VLOOKUP(D1406,'Species Codes'!B:O,14,0)+VLOOKUP(D1406,'Species Codes'!B:P,15,0)*LN((E1406*2.54)))*(1-(1/(VLOOKUP(D1406,'Species Codes'!B:Q,16,0)+VLOOKUP(D1406,'Species Codes'!B:R,17,0)*((E1406*2.54)^VLOOKUP(D1406,'Species Codes'!B:S,18,0)))))/1000,IF(D1406="DF",EXP(VLOOKUP(D1406,'Species Codes'!B:O,14,0)+VLOOKUP(D1406,'Species Codes'!B:P,15,0)*LN((E1406*2.54))),VLOOKUP(D1406,'Species Codes'!B:O,14,0)+VLOOKUP(D1406,'Species Codes'!B:P,15,0)*(((E1406*2.54)/100)^2)*(I1406*0.3048)))))*0.0011023),0)</f>
        <v>#N/A</v>
      </c>
      <c r="AD1406" s="104" t="e">
        <f t="shared" si="625"/>
        <v>#N/A</v>
      </c>
      <c r="AE1406" s="104" t="e">
        <f t="shared" si="626"/>
        <v>#N/A</v>
      </c>
      <c r="AF1406" s="104" t="e">
        <f>IF(AND(VLOOKUP($D1406,Merchantability!$B:$C,2,0)="Yes",$E1406&gt;=VLOOKUP($D1406,Merchantability!$B:$D,3,0),$E1406&lt;=VLOOKUP($D1406,Merchantability!$B:$E,4,0)),AA1406,0)</f>
        <v>#N/A</v>
      </c>
      <c r="AG1406" s="104" t="e">
        <f>IF(AND(VLOOKUP($D1406,Merchantability!$B:$C,2,0)="Yes",$E1406&gt;=VLOOKUP($D1406,Merchantability!$B:$D,3,0),$E1406&lt;=VLOOKUP($D1406,Merchantability!$B:$E,4,0)),AB1406,0)</f>
        <v>#N/A</v>
      </c>
      <c r="AH1406" s="104" t="e">
        <f>IF(AND(VLOOKUP($D1406,Merchantability!$B:$C,2,0)="Yes",$E1406&gt;=VLOOKUP($D1406,Merchantability!$B:$D,3,0),$E1406&lt;=VLOOKUP($D1406,Merchantability!$B:$E,4,0)),AC1406,0)</f>
        <v>#N/A</v>
      </c>
      <c r="AI1406" s="104" t="e">
        <f t="shared" si="627"/>
        <v>#N/A</v>
      </c>
      <c r="AJ1406" s="104" t="e">
        <f t="shared" si="628"/>
        <v>#VALUE!</v>
      </c>
      <c r="AK1406" s="104" t="e">
        <f t="shared" si="629"/>
        <v>#N/A</v>
      </c>
      <c r="AL1406" s="104" t="e">
        <f t="shared" si="630"/>
        <v>#N/A</v>
      </c>
      <c r="AM1406" s="104" t="e">
        <f t="shared" si="631"/>
        <v>#N/A</v>
      </c>
      <c r="AN1406" s="104" t="e">
        <f t="shared" si="615"/>
        <v>#N/A</v>
      </c>
      <c r="AO1406" s="104" t="e">
        <f t="shared" si="616"/>
        <v>#N/A</v>
      </c>
      <c r="AP1406" s="104" t="e">
        <f t="shared" si="617"/>
        <v>#N/A</v>
      </c>
      <c r="AQ1406" s="104" t="e">
        <f t="shared" si="618"/>
        <v>#N/A</v>
      </c>
      <c r="AR1406" s="105" t="str">
        <f t="shared" si="610"/>
        <v/>
      </c>
      <c r="AS1406" s="105" t="str">
        <f t="shared" si="611"/>
        <v/>
      </c>
      <c r="AT1406" s="108" t="str">
        <f t="shared" si="612"/>
        <v/>
      </c>
      <c r="AU1406" s="108" t="str">
        <f t="shared" si="613"/>
        <v/>
      </c>
      <c r="AV1406" s="107" t="str">
        <f>IF(ISNUMBER(O1406),IF(VLOOKUP($A1406,Stand!C:J,8,FALSE)="Short",AT1406,AU1406),"")</f>
        <v/>
      </c>
      <c r="AW1406" s="109" t="str">
        <f t="shared" si="619"/>
        <v/>
      </c>
      <c r="AX1406" s="109" t="str">
        <f t="shared" si="620"/>
        <v/>
      </c>
      <c r="AY1406" s="112" t="str">
        <f>IF(ISNUMBER(O1406),IF(AND(VLOOKUP($D1406,Merchantability!$B:$C,2,0)="Yes",$E1406&gt;=VLOOKUP($D1406,Merchantability!$B:$D,3,0),$E1406&lt;=VLOOKUP($D1406,Merchantability!$B:$E,4,0)),(AV1406*O1406)*(1-$H1406/100),""),"")</f>
        <v/>
      </c>
      <c r="AZ1406" s="116"/>
      <c r="BA1406" s="116"/>
      <c r="BB1406" s="116"/>
      <c r="BE1406" s="62"/>
      <c r="BF1406" s="63"/>
    </row>
    <row r="1407" spans="1:58" ht="12.75" customHeight="1" x14ac:dyDescent="0.25">
      <c r="A1407" s="333"/>
      <c r="B1407" s="334"/>
      <c r="C1407" s="332"/>
      <c r="D1407" s="334"/>
      <c r="E1407" s="335"/>
      <c r="F1407" s="334"/>
      <c r="G1407" s="332"/>
      <c r="H1407" s="332"/>
      <c r="I1407" s="334"/>
      <c r="J1407" s="336"/>
      <c r="K1407" s="332"/>
      <c r="L1407" s="332"/>
      <c r="M1407" s="76"/>
      <c r="N1407" s="103" t="str">
        <f>IF(A1407="","",VLOOKUP(A1407,Stand!C:K,9,0))</f>
        <v/>
      </c>
      <c r="O1407" s="104" t="str">
        <f t="shared" si="605"/>
        <v/>
      </c>
      <c r="P1407" s="105" t="str">
        <f t="shared" si="606"/>
        <v/>
      </c>
      <c r="Q1407" s="105" t="str">
        <f t="shared" si="621"/>
        <v/>
      </c>
      <c r="R1407" s="103" t="str">
        <f t="shared" si="607"/>
        <v/>
      </c>
      <c r="S1407" s="103" t="str">
        <f t="shared" si="608"/>
        <v/>
      </c>
      <c r="T1407" s="106" t="str">
        <f t="shared" si="622"/>
        <v/>
      </c>
      <c r="U1407" s="106" t="str">
        <f t="shared" si="623"/>
        <v/>
      </c>
      <c r="V1407" s="106" t="str">
        <f t="shared" si="624"/>
        <v/>
      </c>
      <c r="W1407" s="105" t="str">
        <f t="shared" si="609"/>
        <v/>
      </c>
      <c r="X1407" s="104" t="str">
        <f t="shared" si="614"/>
        <v/>
      </c>
      <c r="Y1407" s="104" t="str">
        <f t="array" ref="Y1407">IFERROR(IF(ISNUMBER(O1407),IF(COUNT(IF(A1407=$A$2:$A$2427,IF(D1407=$D$2:$D$2427,IF($X$2:$X$2427&gt;0,1))))&gt;0,SUM(IF(A1407=$A$2:$A$2427,IF(D1407=$D$2:$D$2427,$X$2:$X$2427)))/COUNT(IF(A1407=$A$2:$A$2427,IF(D1407=$D$2:$D$2427,IF(ISNUMBER($X$2:$X$2427),1)))),0),""),0)</f>
        <v/>
      </c>
      <c r="Z1407" s="104" t="str">
        <f>IF(ISNUMBER(O1407),IF(I1407&gt;0,(10^(VLOOKUP(D1407,'Species Codes'!B:C,2,0)+VLOOKUP(D1407,'Species Codes'!B:D,3,0)*LOG(E1407)+VLOOKUP(D1407,'Species Codes'!B:E,4,0)*LOG(I1407))),0),"")</f>
        <v/>
      </c>
      <c r="AA1407" s="104" t="str">
        <f>IFERROR((VLOOKUP(D1407,'Species Codes'!B:G,6,0)*Z1407)/2000,"")</f>
        <v/>
      </c>
      <c r="AB1407" s="104" t="e">
        <f>IF(Z1407&gt;0,((IF(OR(D1407="DF",D1407="RA")=TRUE,EXP(VLOOKUP(D1407,'Species Codes'!B:I,8,0)+VLOOKUP(D1407,'Species Codes'!B:J,9,0)*(LN((E1407*2.54)))),IF(OR(D1407="PY",D1407="RC",D1407="WH",D1407="NF")=TRUE,VLOOKUP(D1407,'Species Codes'!B:I,8,0)+VLOOKUP(D1407,'Species Codes'!B:J,9,0)*((E1407*2.54)^2)*(I1407*0.3048),IF(OR(D1407="MD",D1407="BM",D1407="GA")=TRUE,((VLOOKUP(D1407,'Species Codes'!B:I,8,0)*(((((E1407*2.54)+VLOOKUP(D1407,'Species Codes'!B:J,9,0))/VLOOKUP(D1407,'Species Codes'!B:K,10,0))^VLOOKUP(D1407,'Species Codes'!B:L,11,0))*((I1407*0.3048)^VLOOKUP(D1407,'Species Codes'!B:M,12,0))))-(VLOOKUP(D1407,'Species Codes'!B:I,8,0)*((((E1407*2.54)^VLOOKUP(D1407,'Species Codes'!B:L,11,0))*((I1407*0.3048)^VLOOKUP(D1407,'Species Codes'!B:M,12,0))))))*35.3*VLOOKUP(D1407,'Species Codes'!B:G,6,0)/2.2046,VLOOKUP(D1407,'Species Codes'!B:I,8,0)+VLOOKUP(D1407,'Species Codes'!B:J,9,0)*(((E1407*2.54)/100)^2)*(I1407*0.3048)))))*0.0011023),0)</f>
        <v>#N/A</v>
      </c>
      <c r="AC1407" s="104" t="e">
        <f>IF(Z1407&gt;0,((IF(OR(D1407="RA",D1407="OA",D1407="OT",D1407="UN",D1407="PC"),EXP(VLOOKUP(D1407,'Species Codes'!B:O,14,0)+VLOOKUP(D1407,'Species Codes'!B:P,15,0)*LN((E1407*2.54)))-EXP(VLOOKUP(D1407,'Species Codes'!B:O,14,0)+VLOOKUP(D1407,'Species Codes'!B:P,15,0)*LN((E1407*2.54)))*(1/(VLOOKUP(D1407,'Species Codes'!B:Q,16,0)+VLOOKUP(D1407,'Species Codes'!B:R,17,0)*((E1407*2.54)^VLOOKUP(D1407,'Species Codes'!B:S,18,0)))),IF(OR(D1407="BM",D1407="MD",D1407="OA"),EXP(VLOOKUP(D1407,'Species Codes'!B:O,14,0)+VLOOKUP(D1407,'Species Codes'!B:P,15,0)*LN((E1407*2.54)))*(1-(1/(VLOOKUP(D1407,'Species Codes'!B:Q,16,0)+VLOOKUP(D1407,'Species Codes'!B:R,17,0)*((E1407*2.54)^VLOOKUP(D1407,'Species Codes'!B:S,18,0)))))/1000,IF(D1407="DF",EXP(VLOOKUP(D1407,'Species Codes'!B:O,14,0)+VLOOKUP(D1407,'Species Codes'!B:P,15,0)*LN((E1407*2.54))),VLOOKUP(D1407,'Species Codes'!B:O,14,0)+VLOOKUP(D1407,'Species Codes'!B:P,15,0)*(((E1407*2.54)/100)^2)*(I1407*0.3048)))))*0.0011023),0)</f>
        <v>#N/A</v>
      </c>
      <c r="AD1407" s="104" t="e">
        <f t="shared" si="625"/>
        <v>#N/A</v>
      </c>
      <c r="AE1407" s="104" t="e">
        <f t="shared" si="626"/>
        <v>#N/A</v>
      </c>
      <c r="AF1407" s="104" t="e">
        <f>IF(AND(VLOOKUP($D1407,Merchantability!$B:$C,2,0)="Yes",$E1407&gt;=VLOOKUP($D1407,Merchantability!$B:$D,3,0),$E1407&lt;=VLOOKUP($D1407,Merchantability!$B:$E,4,0)),AA1407,0)</f>
        <v>#N/A</v>
      </c>
      <c r="AG1407" s="104" t="e">
        <f>IF(AND(VLOOKUP($D1407,Merchantability!$B:$C,2,0)="Yes",$E1407&gt;=VLOOKUP($D1407,Merchantability!$B:$D,3,0),$E1407&lt;=VLOOKUP($D1407,Merchantability!$B:$E,4,0)),AB1407,0)</f>
        <v>#N/A</v>
      </c>
      <c r="AH1407" s="104" t="e">
        <f>IF(AND(VLOOKUP($D1407,Merchantability!$B:$C,2,0)="Yes",$E1407&gt;=VLOOKUP($D1407,Merchantability!$B:$D,3,0),$E1407&lt;=VLOOKUP($D1407,Merchantability!$B:$E,4,0)),AC1407,0)</f>
        <v>#N/A</v>
      </c>
      <c r="AI1407" s="104" t="e">
        <f t="shared" si="627"/>
        <v>#N/A</v>
      </c>
      <c r="AJ1407" s="104" t="e">
        <f t="shared" si="628"/>
        <v>#VALUE!</v>
      </c>
      <c r="AK1407" s="104" t="e">
        <f t="shared" si="629"/>
        <v>#N/A</v>
      </c>
      <c r="AL1407" s="104" t="e">
        <f t="shared" si="630"/>
        <v>#N/A</v>
      </c>
      <c r="AM1407" s="104" t="e">
        <f t="shared" si="631"/>
        <v>#N/A</v>
      </c>
      <c r="AN1407" s="104" t="e">
        <f t="shared" si="615"/>
        <v>#N/A</v>
      </c>
      <c r="AO1407" s="104" t="e">
        <f t="shared" si="616"/>
        <v>#N/A</v>
      </c>
      <c r="AP1407" s="104" t="e">
        <f t="shared" si="617"/>
        <v>#N/A</v>
      </c>
      <c r="AQ1407" s="104" t="e">
        <f t="shared" si="618"/>
        <v>#N/A</v>
      </c>
      <c r="AR1407" s="105" t="str">
        <f t="shared" si="610"/>
        <v/>
      </c>
      <c r="AS1407" s="105" t="str">
        <f t="shared" si="611"/>
        <v/>
      </c>
      <c r="AT1407" s="108" t="str">
        <f t="shared" si="612"/>
        <v/>
      </c>
      <c r="AU1407" s="108" t="str">
        <f t="shared" si="613"/>
        <v/>
      </c>
      <c r="AV1407" s="107" t="str">
        <f>IF(ISNUMBER(O1407),IF(VLOOKUP($A1407,Stand!C:J,8,FALSE)="Short",AT1407,AU1407),"")</f>
        <v/>
      </c>
      <c r="AW1407" s="109" t="str">
        <f t="shared" si="619"/>
        <v/>
      </c>
      <c r="AX1407" s="109" t="str">
        <f t="shared" si="620"/>
        <v/>
      </c>
      <c r="AY1407" s="112" t="str">
        <f>IF(ISNUMBER(O1407),IF(AND(VLOOKUP($D1407,Merchantability!$B:$C,2,0)="Yes",$E1407&gt;=VLOOKUP($D1407,Merchantability!$B:$D,3,0),$E1407&lt;=VLOOKUP($D1407,Merchantability!$B:$E,4,0)),(AV1407*O1407)*(1-$H1407/100),""),"")</f>
        <v/>
      </c>
      <c r="AZ1407" s="116"/>
      <c r="BA1407" s="116"/>
      <c r="BB1407" s="116"/>
      <c r="BE1407" s="62"/>
      <c r="BF1407" s="63"/>
    </row>
    <row r="1408" spans="1:58" ht="12.75" customHeight="1" x14ac:dyDescent="0.25">
      <c r="A1408" s="333"/>
      <c r="B1408" s="334"/>
      <c r="C1408" s="332"/>
      <c r="D1408" s="334"/>
      <c r="E1408" s="335"/>
      <c r="F1408" s="334"/>
      <c r="G1408" s="332"/>
      <c r="H1408" s="332"/>
      <c r="I1408" s="334"/>
      <c r="J1408" s="336"/>
      <c r="K1408" s="332"/>
      <c r="L1408" s="332"/>
      <c r="M1408" s="76"/>
      <c r="N1408" s="103" t="str">
        <f>IF(A1408="","",VLOOKUP(A1408,Stand!C:K,9,0))</f>
        <v/>
      </c>
      <c r="O1408" s="104" t="str">
        <f t="shared" si="605"/>
        <v/>
      </c>
      <c r="P1408" s="105" t="str">
        <f t="shared" si="606"/>
        <v/>
      </c>
      <c r="Q1408" s="105" t="str">
        <f t="shared" si="621"/>
        <v/>
      </c>
      <c r="R1408" s="103" t="str">
        <f t="shared" si="607"/>
        <v/>
      </c>
      <c r="S1408" s="103" t="str">
        <f t="shared" si="608"/>
        <v/>
      </c>
      <c r="T1408" s="106" t="str">
        <f t="shared" si="622"/>
        <v/>
      </c>
      <c r="U1408" s="106" t="str">
        <f t="shared" si="623"/>
        <v/>
      </c>
      <c r="V1408" s="106" t="str">
        <f t="shared" si="624"/>
        <v/>
      </c>
      <c r="W1408" s="105" t="str">
        <f t="shared" si="609"/>
        <v/>
      </c>
      <c r="X1408" s="104" t="str">
        <f t="shared" si="614"/>
        <v/>
      </c>
      <c r="Y1408" s="104" t="str">
        <f t="array" ref="Y1408">IFERROR(IF(ISNUMBER(O1408),IF(COUNT(IF(A1408=$A$2:$A$2427,IF(D1408=$D$2:$D$2427,IF($X$2:$X$2427&gt;0,1))))&gt;0,SUM(IF(A1408=$A$2:$A$2427,IF(D1408=$D$2:$D$2427,$X$2:$X$2427)))/COUNT(IF(A1408=$A$2:$A$2427,IF(D1408=$D$2:$D$2427,IF(ISNUMBER($X$2:$X$2427),1)))),0),""),0)</f>
        <v/>
      </c>
      <c r="Z1408" s="104" t="str">
        <f>IF(ISNUMBER(O1408),IF(I1408&gt;0,(10^(VLOOKUP(D1408,'Species Codes'!B:C,2,0)+VLOOKUP(D1408,'Species Codes'!B:D,3,0)*LOG(E1408)+VLOOKUP(D1408,'Species Codes'!B:E,4,0)*LOG(I1408))),0),"")</f>
        <v/>
      </c>
      <c r="AA1408" s="104" t="str">
        <f>IFERROR((VLOOKUP(D1408,'Species Codes'!B:G,6,0)*Z1408)/2000,"")</f>
        <v/>
      </c>
      <c r="AB1408" s="104" t="e">
        <f>IF(Z1408&gt;0,((IF(OR(D1408="DF",D1408="RA")=TRUE,EXP(VLOOKUP(D1408,'Species Codes'!B:I,8,0)+VLOOKUP(D1408,'Species Codes'!B:J,9,0)*(LN((E1408*2.54)))),IF(OR(D1408="PY",D1408="RC",D1408="WH",D1408="NF")=TRUE,VLOOKUP(D1408,'Species Codes'!B:I,8,0)+VLOOKUP(D1408,'Species Codes'!B:J,9,0)*((E1408*2.54)^2)*(I1408*0.3048),IF(OR(D1408="MD",D1408="BM",D1408="GA")=TRUE,((VLOOKUP(D1408,'Species Codes'!B:I,8,0)*(((((E1408*2.54)+VLOOKUP(D1408,'Species Codes'!B:J,9,0))/VLOOKUP(D1408,'Species Codes'!B:K,10,0))^VLOOKUP(D1408,'Species Codes'!B:L,11,0))*((I1408*0.3048)^VLOOKUP(D1408,'Species Codes'!B:M,12,0))))-(VLOOKUP(D1408,'Species Codes'!B:I,8,0)*((((E1408*2.54)^VLOOKUP(D1408,'Species Codes'!B:L,11,0))*((I1408*0.3048)^VLOOKUP(D1408,'Species Codes'!B:M,12,0))))))*35.3*VLOOKUP(D1408,'Species Codes'!B:G,6,0)/2.2046,VLOOKUP(D1408,'Species Codes'!B:I,8,0)+VLOOKUP(D1408,'Species Codes'!B:J,9,0)*(((E1408*2.54)/100)^2)*(I1408*0.3048)))))*0.0011023),0)</f>
        <v>#N/A</v>
      </c>
      <c r="AC1408" s="104" t="e">
        <f>IF(Z1408&gt;0,((IF(OR(D1408="RA",D1408="OA",D1408="OT",D1408="UN",D1408="PC"),EXP(VLOOKUP(D1408,'Species Codes'!B:O,14,0)+VLOOKUP(D1408,'Species Codes'!B:P,15,0)*LN((E1408*2.54)))-EXP(VLOOKUP(D1408,'Species Codes'!B:O,14,0)+VLOOKUP(D1408,'Species Codes'!B:P,15,0)*LN((E1408*2.54)))*(1/(VLOOKUP(D1408,'Species Codes'!B:Q,16,0)+VLOOKUP(D1408,'Species Codes'!B:R,17,0)*((E1408*2.54)^VLOOKUP(D1408,'Species Codes'!B:S,18,0)))),IF(OR(D1408="BM",D1408="MD",D1408="OA"),EXP(VLOOKUP(D1408,'Species Codes'!B:O,14,0)+VLOOKUP(D1408,'Species Codes'!B:P,15,0)*LN((E1408*2.54)))*(1-(1/(VLOOKUP(D1408,'Species Codes'!B:Q,16,0)+VLOOKUP(D1408,'Species Codes'!B:R,17,0)*((E1408*2.54)^VLOOKUP(D1408,'Species Codes'!B:S,18,0)))))/1000,IF(D1408="DF",EXP(VLOOKUP(D1408,'Species Codes'!B:O,14,0)+VLOOKUP(D1408,'Species Codes'!B:P,15,0)*LN((E1408*2.54))),VLOOKUP(D1408,'Species Codes'!B:O,14,0)+VLOOKUP(D1408,'Species Codes'!B:P,15,0)*(((E1408*2.54)/100)^2)*(I1408*0.3048)))))*0.0011023),0)</f>
        <v>#N/A</v>
      </c>
      <c r="AD1408" s="104" t="e">
        <f t="shared" si="625"/>
        <v>#N/A</v>
      </c>
      <c r="AE1408" s="104" t="e">
        <f t="shared" si="626"/>
        <v>#N/A</v>
      </c>
      <c r="AF1408" s="104" t="e">
        <f>IF(AND(VLOOKUP($D1408,Merchantability!$B:$C,2,0)="Yes",$E1408&gt;=VLOOKUP($D1408,Merchantability!$B:$D,3,0),$E1408&lt;=VLOOKUP($D1408,Merchantability!$B:$E,4,0)),AA1408,0)</f>
        <v>#N/A</v>
      </c>
      <c r="AG1408" s="104" t="e">
        <f>IF(AND(VLOOKUP($D1408,Merchantability!$B:$C,2,0)="Yes",$E1408&gt;=VLOOKUP($D1408,Merchantability!$B:$D,3,0),$E1408&lt;=VLOOKUP($D1408,Merchantability!$B:$E,4,0)),AB1408,0)</f>
        <v>#N/A</v>
      </c>
      <c r="AH1408" s="104" t="e">
        <f>IF(AND(VLOOKUP($D1408,Merchantability!$B:$C,2,0)="Yes",$E1408&gt;=VLOOKUP($D1408,Merchantability!$B:$D,3,0),$E1408&lt;=VLOOKUP($D1408,Merchantability!$B:$E,4,0)),AC1408,0)</f>
        <v>#N/A</v>
      </c>
      <c r="AI1408" s="104" t="e">
        <f t="shared" si="627"/>
        <v>#N/A</v>
      </c>
      <c r="AJ1408" s="104" t="e">
        <f t="shared" si="628"/>
        <v>#VALUE!</v>
      </c>
      <c r="AK1408" s="104" t="e">
        <f t="shared" si="629"/>
        <v>#N/A</v>
      </c>
      <c r="AL1408" s="104" t="e">
        <f t="shared" si="630"/>
        <v>#N/A</v>
      </c>
      <c r="AM1408" s="104" t="e">
        <f t="shared" si="631"/>
        <v>#N/A</v>
      </c>
      <c r="AN1408" s="104" t="e">
        <f t="shared" si="615"/>
        <v>#N/A</v>
      </c>
      <c r="AO1408" s="104" t="e">
        <f t="shared" si="616"/>
        <v>#N/A</v>
      </c>
      <c r="AP1408" s="104" t="e">
        <f t="shared" si="617"/>
        <v>#N/A</v>
      </c>
      <c r="AQ1408" s="104" t="e">
        <f t="shared" si="618"/>
        <v>#N/A</v>
      </c>
      <c r="AR1408" s="105" t="str">
        <f t="shared" si="610"/>
        <v/>
      </c>
      <c r="AS1408" s="105" t="str">
        <f t="shared" si="611"/>
        <v/>
      </c>
      <c r="AT1408" s="108" t="str">
        <f t="shared" si="612"/>
        <v/>
      </c>
      <c r="AU1408" s="108" t="str">
        <f t="shared" si="613"/>
        <v/>
      </c>
      <c r="AV1408" s="107" t="str">
        <f>IF(ISNUMBER(O1408),IF(VLOOKUP($A1408,Stand!C:J,8,FALSE)="Short",AT1408,AU1408),"")</f>
        <v/>
      </c>
      <c r="AW1408" s="109" t="str">
        <f t="shared" si="619"/>
        <v/>
      </c>
      <c r="AX1408" s="109" t="str">
        <f t="shared" si="620"/>
        <v/>
      </c>
      <c r="AY1408" s="112" t="str">
        <f>IF(ISNUMBER(O1408),IF(AND(VLOOKUP($D1408,Merchantability!$B:$C,2,0)="Yes",$E1408&gt;=VLOOKUP($D1408,Merchantability!$B:$D,3,0),$E1408&lt;=VLOOKUP($D1408,Merchantability!$B:$E,4,0)),(AV1408*O1408)*(1-$H1408/100),""),"")</f>
        <v/>
      </c>
      <c r="AZ1408" s="116"/>
      <c r="BA1408" s="116"/>
      <c r="BB1408" s="116"/>
      <c r="BE1408" s="62"/>
      <c r="BF1408" s="63"/>
    </row>
    <row r="1409" spans="1:58" ht="12.75" customHeight="1" x14ac:dyDescent="0.25">
      <c r="A1409" s="333"/>
      <c r="B1409" s="334"/>
      <c r="C1409" s="332"/>
      <c r="D1409" s="334"/>
      <c r="E1409" s="335"/>
      <c r="F1409" s="334"/>
      <c r="G1409" s="332"/>
      <c r="H1409" s="332"/>
      <c r="I1409" s="334"/>
      <c r="J1409" s="336"/>
      <c r="K1409" s="332"/>
      <c r="L1409" s="332"/>
      <c r="M1409" s="76"/>
      <c r="N1409" s="103" t="str">
        <f>IF(A1409="","",VLOOKUP(A1409,Stand!C:K,9,0))</f>
        <v/>
      </c>
      <c r="O1409" s="104" t="str">
        <f t="shared" si="605"/>
        <v/>
      </c>
      <c r="P1409" s="105" t="str">
        <f t="shared" si="606"/>
        <v/>
      </c>
      <c r="Q1409" s="105" t="str">
        <f t="shared" si="621"/>
        <v/>
      </c>
      <c r="R1409" s="103" t="str">
        <f t="shared" si="607"/>
        <v/>
      </c>
      <c r="S1409" s="103" t="str">
        <f t="shared" si="608"/>
        <v/>
      </c>
      <c r="T1409" s="106" t="str">
        <f t="shared" si="622"/>
        <v/>
      </c>
      <c r="U1409" s="106" t="str">
        <f t="shared" si="623"/>
        <v/>
      </c>
      <c r="V1409" s="106" t="str">
        <f t="shared" si="624"/>
        <v/>
      </c>
      <c r="W1409" s="105" t="str">
        <f t="shared" si="609"/>
        <v/>
      </c>
      <c r="X1409" s="104" t="str">
        <f t="shared" si="614"/>
        <v/>
      </c>
      <c r="Y1409" s="104" t="str">
        <f t="array" ref="Y1409">IFERROR(IF(ISNUMBER(O1409),IF(COUNT(IF(A1409=$A$2:$A$2427,IF(D1409=$D$2:$D$2427,IF($X$2:$X$2427&gt;0,1))))&gt;0,SUM(IF(A1409=$A$2:$A$2427,IF(D1409=$D$2:$D$2427,$X$2:$X$2427)))/COUNT(IF(A1409=$A$2:$A$2427,IF(D1409=$D$2:$D$2427,IF(ISNUMBER($X$2:$X$2427),1)))),0),""),0)</f>
        <v/>
      </c>
      <c r="Z1409" s="104" t="str">
        <f>IF(ISNUMBER(O1409),IF(I1409&gt;0,(10^(VLOOKUP(D1409,'Species Codes'!B:C,2,0)+VLOOKUP(D1409,'Species Codes'!B:D,3,0)*LOG(E1409)+VLOOKUP(D1409,'Species Codes'!B:E,4,0)*LOG(I1409))),0),"")</f>
        <v/>
      </c>
      <c r="AA1409" s="104" t="str">
        <f>IFERROR((VLOOKUP(D1409,'Species Codes'!B:G,6,0)*Z1409)/2000,"")</f>
        <v/>
      </c>
      <c r="AB1409" s="104" t="e">
        <f>IF(Z1409&gt;0,((IF(OR(D1409="DF",D1409="RA")=TRUE,EXP(VLOOKUP(D1409,'Species Codes'!B:I,8,0)+VLOOKUP(D1409,'Species Codes'!B:J,9,0)*(LN((E1409*2.54)))),IF(OR(D1409="PY",D1409="RC",D1409="WH",D1409="NF")=TRUE,VLOOKUP(D1409,'Species Codes'!B:I,8,0)+VLOOKUP(D1409,'Species Codes'!B:J,9,0)*((E1409*2.54)^2)*(I1409*0.3048),IF(OR(D1409="MD",D1409="BM",D1409="GA")=TRUE,((VLOOKUP(D1409,'Species Codes'!B:I,8,0)*(((((E1409*2.54)+VLOOKUP(D1409,'Species Codes'!B:J,9,0))/VLOOKUP(D1409,'Species Codes'!B:K,10,0))^VLOOKUP(D1409,'Species Codes'!B:L,11,0))*((I1409*0.3048)^VLOOKUP(D1409,'Species Codes'!B:M,12,0))))-(VLOOKUP(D1409,'Species Codes'!B:I,8,0)*((((E1409*2.54)^VLOOKUP(D1409,'Species Codes'!B:L,11,0))*((I1409*0.3048)^VLOOKUP(D1409,'Species Codes'!B:M,12,0))))))*35.3*VLOOKUP(D1409,'Species Codes'!B:G,6,0)/2.2046,VLOOKUP(D1409,'Species Codes'!B:I,8,0)+VLOOKUP(D1409,'Species Codes'!B:J,9,0)*(((E1409*2.54)/100)^2)*(I1409*0.3048)))))*0.0011023),0)</f>
        <v>#N/A</v>
      </c>
      <c r="AC1409" s="104" t="e">
        <f>IF(Z1409&gt;0,((IF(OR(D1409="RA",D1409="OA",D1409="OT",D1409="UN",D1409="PC"),EXP(VLOOKUP(D1409,'Species Codes'!B:O,14,0)+VLOOKUP(D1409,'Species Codes'!B:P,15,0)*LN((E1409*2.54)))-EXP(VLOOKUP(D1409,'Species Codes'!B:O,14,0)+VLOOKUP(D1409,'Species Codes'!B:P,15,0)*LN((E1409*2.54)))*(1/(VLOOKUP(D1409,'Species Codes'!B:Q,16,0)+VLOOKUP(D1409,'Species Codes'!B:R,17,0)*((E1409*2.54)^VLOOKUP(D1409,'Species Codes'!B:S,18,0)))),IF(OR(D1409="BM",D1409="MD",D1409="OA"),EXP(VLOOKUP(D1409,'Species Codes'!B:O,14,0)+VLOOKUP(D1409,'Species Codes'!B:P,15,0)*LN((E1409*2.54)))*(1-(1/(VLOOKUP(D1409,'Species Codes'!B:Q,16,0)+VLOOKUP(D1409,'Species Codes'!B:R,17,0)*((E1409*2.54)^VLOOKUP(D1409,'Species Codes'!B:S,18,0)))))/1000,IF(D1409="DF",EXP(VLOOKUP(D1409,'Species Codes'!B:O,14,0)+VLOOKUP(D1409,'Species Codes'!B:P,15,0)*LN((E1409*2.54))),VLOOKUP(D1409,'Species Codes'!B:O,14,0)+VLOOKUP(D1409,'Species Codes'!B:P,15,0)*(((E1409*2.54)/100)^2)*(I1409*0.3048)))))*0.0011023),0)</f>
        <v>#N/A</v>
      </c>
      <c r="AD1409" s="104" t="e">
        <f t="shared" si="625"/>
        <v>#N/A</v>
      </c>
      <c r="AE1409" s="104" t="e">
        <f t="shared" si="626"/>
        <v>#N/A</v>
      </c>
      <c r="AF1409" s="104" t="e">
        <f>IF(AND(VLOOKUP($D1409,Merchantability!$B:$C,2,0)="Yes",$E1409&gt;=VLOOKUP($D1409,Merchantability!$B:$D,3,0),$E1409&lt;=VLOOKUP($D1409,Merchantability!$B:$E,4,0)),AA1409,0)</f>
        <v>#N/A</v>
      </c>
      <c r="AG1409" s="104" t="e">
        <f>IF(AND(VLOOKUP($D1409,Merchantability!$B:$C,2,0)="Yes",$E1409&gt;=VLOOKUP($D1409,Merchantability!$B:$D,3,0),$E1409&lt;=VLOOKUP($D1409,Merchantability!$B:$E,4,0)),AB1409,0)</f>
        <v>#N/A</v>
      </c>
      <c r="AH1409" s="104" t="e">
        <f>IF(AND(VLOOKUP($D1409,Merchantability!$B:$C,2,0)="Yes",$E1409&gt;=VLOOKUP($D1409,Merchantability!$B:$D,3,0),$E1409&lt;=VLOOKUP($D1409,Merchantability!$B:$E,4,0)),AC1409,0)</f>
        <v>#N/A</v>
      </c>
      <c r="AI1409" s="104" t="e">
        <f t="shared" si="627"/>
        <v>#N/A</v>
      </c>
      <c r="AJ1409" s="104" t="e">
        <f t="shared" si="628"/>
        <v>#VALUE!</v>
      </c>
      <c r="AK1409" s="104" t="e">
        <f t="shared" si="629"/>
        <v>#N/A</v>
      </c>
      <c r="AL1409" s="104" t="e">
        <f t="shared" si="630"/>
        <v>#N/A</v>
      </c>
      <c r="AM1409" s="104" t="e">
        <f t="shared" si="631"/>
        <v>#N/A</v>
      </c>
      <c r="AN1409" s="104" t="e">
        <f t="shared" si="615"/>
        <v>#N/A</v>
      </c>
      <c r="AO1409" s="104" t="e">
        <f t="shared" si="616"/>
        <v>#N/A</v>
      </c>
      <c r="AP1409" s="104" t="e">
        <f t="shared" si="617"/>
        <v>#N/A</v>
      </c>
      <c r="AQ1409" s="104" t="e">
        <f t="shared" si="618"/>
        <v>#N/A</v>
      </c>
      <c r="AR1409" s="105" t="str">
        <f t="shared" si="610"/>
        <v/>
      </c>
      <c r="AS1409" s="105" t="str">
        <f t="shared" si="611"/>
        <v/>
      </c>
      <c r="AT1409" s="108" t="str">
        <f t="shared" si="612"/>
        <v/>
      </c>
      <c r="AU1409" s="108" t="str">
        <f t="shared" si="613"/>
        <v/>
      </c>
      <c r="AV1409" s="107" t="str">
        <f>IF(ISNUMBER(O1409),IF(VLOOKUP($A1409,Stand!C:J,8,FALSE)="Short",AT1409,AU1409),"")</f>
        <v/>
      </c>
      <c r="AW1409" s="109" t="str">
        <f t="shared" si="619"/>
        <v/>
      </c>
      <c r="AX1409" s="109" t="str">
        <f t="shared" si="620"/>
        <v/>
      </c>
      <c r="AY1409" s="112" t="str">
        <f>IF(ISNUMBER(O1409),IF(AND(VLOOKUP($D1409,Merchantability!$B:$C,2,0)="Yes",$E1409&gt;=VLOOKUP($D1409,Merchantability!$B:$D,3,0),$E1409&lt;=VLOOKUP($D1409,Merchantability!$B:$E,4,0)),(AV1409*O1409)*(1-$H1409/100),""),"")</f>
        <v/>
      </c>
      <c r="AZ1409" s="116"/>
      <c r="BA1409" s="116"/>
      <c r="BB1409" s="116"/>
      <c r="BE1409" s="62"/>
      <c r="BF1409" s="63"/>
    </row>
    <row r="1410" spans="1:58" ht="12.75" customHeight="1" x14ac:dyDescent="0.25">
      <c r="A1410" s="333"/>
      <c r="B1410" s="334"/>
      <c r="C1410" s="332"/>
      <c r="D1410" s="334"/>
      <c r="E1410" s="335"/>
      <c r="F1410" s="334"/>
      <c r="G1410" s="332"/>
      <c r="H1410" s="332"/>
      <c r="I1410" s="334"/>
      <c r="J1410" s="336"/>
      <c r="K1410" s="332"/>
      <c r="L1410" s="332"/>
      <c r="M1410" s="76"/>
      <c r="N1410" s="103" t="str">
        <f>IF(A1410="","",VLOOKUP(A1410,Stand!C:K,9,0))</f>
        <v/>
      </c>
      <c r="O1410" s="104" t="str">
        <f t="shared" ref="O1410:O1473" si="632">IF(E1410&gt;0,IF(G1410&gt;1,G1410*(43560/(N1410^2*3.14)),43560/(N1410^2*3.14)),"")</f>
        <v/>
      </c>
      <c r="P1410" s="105" t="str">
        <f t="shared" ref="P1410:P1473" si="633">IF(ISNUMBER(O1410),E1410*O1410,"")</f>
        <v/>
      </c>
      <c r="Q1410" s="105" t="str">
        <f t="shared" si="621"/>
        <v/>
      </c>
      <c r="R1410" s="103" t="str">
        <f t="shared" ref="R1410:R1473" si="634">IF(ISNUMBER(O1410),E1410^2*0.005454*O1410,"")</f>
        <v/>
      </c>
      <c r="S1410" s="103" t="str">
        <f t="shared" ref="S1410:S1473" si="635">IF(ISNUMBER(O1410),(E1410/10)^1.7*O1410,"")</f>
        <v/>
      </c>
      <c r="T1410" s="106" t="str">
        <f t="shared" si="622"/>
        <v/>
      </c>
      <c r="U1410" s="106" t="str">
        <f t="shared" si="623"/>
        <v/>
      </c>
      <c r="V1410" s="106" t="str">
        <f t="shared" si="624"/>
        <v/>
      </c>
      <c r="W1410" s="105" t="str">
        <f t="shared" ref="W1410:W1473" si="636">IF(AND(ISNUMBER(O1410),I1410&gt;0),I1410/(E1410/12),"")</f>
        <v/>
      </c>
      <c r="X1410" s="104" t="str">
        <f t="shared" si="614"/>
        <v/>
      </c>
      <c r="Y1410" s="104" t="str">
        <f t="array" ref="Y1410">IFERROR(IF(ISNUMBER(O1410),IF(COUNT(IF(A1410=$A$2:$A$2427,IF(D1410=$D$2:$D$2427,IF($X$2:$X$2427&gt;0,1))))&gt;0,SUM(IF(A1410=$A$2:$A$2427,IF(D1410=$D$2:$D$2427,$X$2:$X$2427)))/COUNT(IF(A1410=$A$2:$A$2427,IF(D1410=$D$2:$D$2427,IF(ISNUMBER($X$2:$X$2427),1)))),0),""),0)</f>
        <v/>
      </c>
      <c r="Z1410" s="104" t="str">
        <f>IF(ISNUMBER(O1410),IF(I1410&gt;0,(10^(VLOOKUP(D1410,'Species Codes'!B:C,2,0)+VLOOKUP(D1410,'Species Codes'!B:D,3,0)*LOG(E1410)+VLOOKUP(D1410,'Species Codes'!B:E,4,0)*LOG(I1410))),0),"")</f>
        <v/>
      </c>
      <c r="AA1410" s="104" t="str">
        <f>IFERROR((VLOOKUP(D1410,'Species Codes'!B:G,6,0)*Z1410)/2000,"")</f>
        <v/>
      </c>
      <c r="AB1410" s="104" t="e">
        <f>IF(Z1410&gt;0,((IF(OR(D1410="DF",D1410="RA")=TRUE,EXP(VLOOKUP(D1410,'Species Codes'!B:I,8,0)+VLOOKUP(D1410,'Species Codes'!B:J,9,0)*(LN((E1410*2.54)))),IF(OR(D1410="PY",D1410="RC",D1410="WH",D1410="NF")=TRUE,VLOOKUP(D1410,'Species Codes'!B:I,8,0)+VLOOKUP(D1410,'Species Codes'!B:J,9,0)*((E1410*2.54)^2)*(I1410*0.3048),IF(OR(D1410="MD",D1410="BM",D1410="GA")=TRUE,((VLOOKUP(D1410,'Species Codes'!B:I,8,0)*(((((E1410*2.54)+VLOOKUP(D1410,'Species Codes'!B:J,9,0))/VLOOKUP(D1410,'Species Codes'!B:K,10,0))^VLOOKUP(D1410,'Species Codes'!B:L,11,0))*((I1410*0.3048)^VLOOKUP(D1410,'Species Codes'!B:M,12,0))))-(VLOOKUP(D1410,'Species Codes'!B:I,8,0)*((((E1410*2.54)^VLOOKUP(D1410,'Species Codes'!B:L,11,0))*((I1410*0.3048)^VLOOKUP(D1410,'Species Codes'!B:M,12,0))))))*35.3*VLOOKUP(D1410,'Species Codes'!B:G,6,0)/2.2046,VLOOKUP(D1410,'Species Codes'!B:I,8,0)+VLOOKUP(D1410,'Species Codes'!B:J,9,0)*(((E1410*2.54)/100)^2)*(I1410*0.3048)))))*0.0011023),0)</f>
        <v>#N/A</v>
      </c>
      <c r="AC1410" s="104" t="e">
        <f>IF(Z1410&gt;0,((IF(OR(D1410="RA",D1410="OA",D1410="OT",D1410="UN",D1410="PC"),EXP(VLOOKUP(D1410,'Species Codes'!B:O,14,0)+VLOOKUP(D1410,'Species Codes'!B:P,15,0)*LN((E1410*2.54)))-EXP(VLOOKUP(D1410,'Species Codes'!B:O,14,0)+VLOOKUP(D1410,'Species Codes'!B:P,15,0)*LN((E1410*2.54)))*(1/(VLOOKUP(D1410,'Species Codes'!B:Q,16,0)+VLOOKUP(D1410,'Species Codes'!B:R,17,0)*((E1410*2.54)^VLOOKUP(D1410,'Species Codes'!B:S,18,0)))),IF(OR(D1410="BM",D1410="MD",D1410="OA"),EXP(VLOOKUP(D1410,'Species Codes'!B:O,14,0)+VLOOKUP(D1410,'Species Codes'!B:P,15,0)*LN((E1410*2.54)))*(1-(1/(VLOOKUP(D1410,'Species Codes'!B:Q,16,0)+VLOOKUP(D1410,'Species Codes'!B:R,17,0)*((E1410*2.54)^VLOOKUP(D1410,'Species Codes'!B:S,18,0)))))/1000,IF(D1410="DF",EXP(VLOOKUP(D1410,'Species Codes'!B:O,14,0)+VLOOKUP(D1410,'Species Codes'!B:P,15,0)*LN((E1410*2.54))),VLOOKUP(D1410,'Species Codes'!B:O,14,0)+VLOOKUP(D1410,'Species Codes'!B:P,15,0)*(((E1410*2.54)/100)^2)*(I1410*0.3048)))))*0.0011023),0)</f>
        <v>#N/A</v>
      </c>
      <c r="AD1410" s="104" t="e">
        <f t="shared" si="625"/>
        <v>#N/A</v>
      </c>
      <c r="AE1410" s="104" t="e">
        <f t="shared" si="626"/>
        <v>#N/A</v>
      </c>
      <c r="AF1410" s="104" t="e">
        <f>IF(AND(VLOOKUP($D1410,Merchantability!$B:$C,2,0)="Yes",$E1410&gt;=VLOOKUP($D1410,Merchantability!$B:$D,3,0),$E1410&lt;=VLOOKUP($D1410,Merchantability!$B:$E,4,0)),AA1410,0)</f>
        <v>#N/A</v>
      </c>
      <c r="AG1410" s="104" t="e">
        <f>IF(AND(VLOOKUP($D1410,Merchantability!$B:$C,2,0)="Yes",$E1410&gt;=VLOOKUP($D1410,Merchantability!$B:$D,3,0),$E1410&lt;=VLOOKUP($D1410,Merchantability!$B:$E,4,0)),AB1410,0)</f>
        <v>#N/A</v>
      </c>
      <c r="AH1410" s="104" t="e">
        <f>IF(AND(VLOOKUP($D1410,Merchantability!$B:$C,2,0)="Yes",$E1410&gt;=VLOOKUP($D1410,Merchantability!$B:$D,3,0),$E1410&lt;=VLOOKUP($D1410,Merchantability!$B:$E,4,0)),AC1410,0)</f>
        <v>#N/A</v>
      </c>
      <c r="AI1410" s="104" t="e">
        <f t="shared" si="627"/>
        <v>#N/A</v>
      </c>
      <c r="AJ1410" s="104" t="e">
        <f t="shared" si="628"/>
        <v>#VALUE!</v>
      </c>
      <c r="AK1410" s="104" t="e">
        <f t="shared" si="629"/>
        <v>#N/A</v>
      </c>
      <c r="AL1410" s="104" t="e">
        <f t="shared" si="630"/>
        <v>#N/A</v>
      </c>
      <c r="AM1410" s="104" t="e">
        <f t="shared" si="631"/>
        <v>#N/A</v>
      </c>
      <c r="AN1410" s="104" t="e">
        <f t="shared" si="615"/>
        <v>#N/A</v>
      </c>
      <c r="AO1410" s="104" t="e">
        <f t="shared" si="616"/>
        <v>#N/A</v>
      </c>
      <c r="AP1410" s="104" t="e">
        <f t="shared" si="617"/>
        <v>#N/A</v>
      </c>
      <c r="AQ1410" s="104" t="e">
        <f t="shared" si="618"/>
        <v>#N/A</v>
      </c>
      <c r="AR1410" s="105" t="str">
        <f t="shared" ref="AR1410:AR1473" si="637">IF(ISNUMBER(O1410),IF(Y1410&gt;0,((Y1410*(E1410^2*0.005454-0.087266))/0.912733),0),"")</f>
        <v/>
      </c>
      <c r="AS1410" s="105" t="str">
        <f t="shared" ref="AS1410:AS1473" si="638">IF(ISNUMBER(O1410),AR1410*(0.993-0.993*(0.62^(E1410-6))),"")</f>
        <v/>
      </c>
      <c r="AT1410" s="108" t="str">
        <f t="shared" ref="AT1410:AT1473" si="639">IF(ISNUMBER(O1410),IF(AS1410&gt;0,IF(Y1410&gt;0,(AS1410*10^(0.174439+0.117594*(LOG(E1410,10))*(LOG(Y1410/0.912733,10))-8.210585/E1410^2+0.236693*(LOG(Y1410/0.912733,10))-0.00001345*(Y1410/0.912733)^2-0.00001937*E1410^2)),0),0),"")</f>
        <v/>
      </c>
      <c r="AU1410" s="108" t="str">
        <f t="shared" ref="AU1410:AU1473" si="640">IF(ISNUMBER(O1410),IF(AS1410&gt;0,IF(Y1410&gt;0,AT1410*(1.001491-(6.92497/Y1410)+(0.00001351*(E1410^2))),0),0),"")</f>
        <v/>
      </c>
      <c r="AV1410" s="107" t="str">
        <f>IF(ISNUMBER(O1410),IF(VLOOKUP($A1410,Stand!C:J,8,FALSE)="Short",AT1410,AU1410),"")</f>
        <v/>
      </c>
      <c r="AW1410" s="109" t="str">
        <f t="shared" si="619"/>
        <v/>
      </c>
      <c r="AX1410" s="109" t="str">
        <f t="shared" si="620"/>
        <v/>
      </c>
      <c r="AY1410" s="112" t="str">
        <f>IF(ISNUMBER(O1410),IF(AND(VLOOKUP($D1410,Merchantability!$B:$C,2,0)="Yes",$E1410&gt;=VLOOKUP($D1410,Merchantability!$B:$D,3,0),$E1410&lt;=VLOOKUP($D1410,Merchantability!$B:$E,4,0)),(AV1410*O1410)*(1-$H1410/100),""),"")</f>
        <v/>
      </c>
      <c r="AZ1410" s="116"/>
      <c r="BA1410" s="116"/>
      <c r="BB1410" s="116"/>
      <c r="BE1410" s="62"/>
      <c r="BF1410" s="63"/>
    </row>
    <row r="1411" spans="1:58" ht="12.75" customHeight="1" x14ac:dyDescent="0.25">
      <c r="A1411" s="333"/>
      <c r="B1411" s="334"/>
      <c r="C1411" s="332"/>
      <c r="D1411" s="334"/>
      <c r="E1411" s="335"/>
      <c r="F1411" s="334"/>
      <c r="G1411" s="332"/>
      <c r="H1411" s="332"/>
      <c r="I1411" s="334"/>
      <c r="J1411" s="336"/>
      <c r="K1411" s="332"/>
      <c r="L1411" s="332"/>
      <c r="M1411" s="76"/>
      <c r="N1411" s="103" t="str">
        <f>IF(A1411="","",VLOOKUP(A1411,Stand!C:K,9,0))</f>
        <v/>
      </c>
      <c r="O1411" s="104" t="str">
        <f t="shared" si="632"/>
        <v/>
      </c>
      <c r="P1411" s="105" t="str">
        <f t="shared" si="633"/>
        <v/>
      </c>
      <c r="Q1411" s="105" t="str">
        <f t="shared" si="621"/>
        <v/>
      </c>
      <c r="R1411" s="103" t="str">
        <f t="shared" si="634"/>
        <v/>
      </c>
      <c r="S1411" s="103" t="str">
        <f t="shared" si="635"/>
        <v/>
      </c>
      <c r="T1411" s="106" t="str">
        <f t="shared" si="622"/>
        <v/>
      </c>
      <c r="U1411" s="106" t="str">
        <f t="shared" si="623"/>
        <v/>
      </c>
      <c r="V1411" s="106" t="str">
        <f t="shared" si="624"/>
        <v/>
      </c>
      <c r="W1411" s="105" t="str">
        <f t="shared" si="636"/>
        <v/>
      </c>
      <c r="X1411" s="104" t="str">
        <f t="shared" ref="X1411:X1474" si="641">IF(ISNUMBER(O1411),IF(I1411&gt;0,IF(E1411&gt;0,(0.912733*Z1411)/(1.033*(1+1.382937*EXP(-4.015292*E1411/10))*((E1411^2)*0.005454+0.087266)-0.174533),""),""),"")</f>
        <v/>
      </c>
      <c r="Y1411" s="104" t="str">
        <f t="array" ref="Y1411">IFERROR(IF(ISNUMBER(O1411),IF(COUNT(IF(A1411=$A$2:$A$2427,IF(D1411=$D$2:$D$2427,IF($X$2:$X$2427&gt;0,1))))&gt;0,SUM(IF(A1411=$A$2:$A$2427,IF(D1411=$D$2:$D$2427,$X$2:$X$2427)))/COUNT(IF(A1411=$A$2:$A$2427,IF(D1411=$D$2:$D$2427,IF(ISNUMBER($X$2:$X$2427),1)))),0),""),0)</f>
        <v/>
      </c>
      <c r="Z1411" s="104" t="str">
        <f>IF(ISNUMBER(O1411),IF(I1411&gt;0,(10^(VLOOKUP(D1411,'Species Codes'!B:C,2,0)+VLOOKUP(D1411,'Species Codes'!B:D,3,0)*LOG(E1411)+VLOOKUP(D1411,'Species Codes'!B:E,4,0)*LOG(I1411))),0),"")</f>
        <v/>
      </c>
      <c r="AA1411" s="104" t="str">
        <f>IFERROR((VLOOKUP(D1411,'Species Codes'!B:G,6,0)*Z1411)/2000,"")</f>
        <v/>
      </c>
      <c r="AB1411" s="104" t="e">
        <f>IF(Z1411&gt;0,((IF(OR(D1411="DF",D1411="RA")=TRUE,EXP(VLOOKUP(D1411,'Species Codes'!B:I,8,0)+VLOOKUP(D1411,'Species Codes'!B:J,9,0)*(LN((E1411*2.54)))),IF(OR(D1411="PY",D1411="RC",D1411="WH",D1411="NF")=TRUE,VLOOKUP(D1411,'Species Codes'!B:I,8,0)+VLOOKUP(D1411,'Species Codes'!B:J,9,0)*((E1411*2.54)^2)*(I1411*0.3048),IF(OR(D1411="MD",D1411="BM",D1411="GA")=TRUE,((VLOOKUP(D1411,'Species Codes'!B:I,8,0)*(((((E1411*2.54)+VLOOKUP(D1411,'Species Codes'!B:J,9,0))/VLOOKUP(D1411,'Species Codes'!B:K,10,0))^VLOOKUP(D1411,'Species Codes'!B:L,11,0))*((I1411*0.3048)^VLOOKUP(D1411,'Species Codes'!B:M,12,0))))-(VLOOKUP(D1411,'Species Codes'!B:I,8,0)*((((E1411*2.54)^VLOOKUP(D1411,'Species Codes'!B:L,11,0))*((I1411*0.3048)^VLOOKUP(D1411,'Species Codes'!B:M,12,0))))))*35.3*VLOOKUP(D1411,'Species Codes'!B:G,6,0)/2.2046,VLOOKUP(D1411,'Species Codes'!B:I,8,0)+VLOOKUP(D1411,'Species Codes'!B:J,9,0)*(((E1411*2.54)/100)^2)*(I1411*0.3048)))))*0.0011023),0)</f>
        <v>#N/A</v>
      </c>
      <c r="AC1411" s="104" t="e">
        <f>IF(Z1411&gt;0,((IF(OR(D1411="RA",D1411="OA",D1411="OT",D1411="UN",D1411="PC"),EXP(VLOOKUP(D1411,'Species Codes'!B:O,14,0)+VLOOKUP(D1411,'Species Codes'!B:P,15,0)*LN((E1411*2.54)))-EXP(VLOOKUP(D1411,'Species Codes'!B:O,14,0)+VLOOKUP(D1411,'Species Codes'!B:P,15,0)*LN((E1411*2.54)))*(1/(VLOOKUP(D1411,'Species Codes'!B:Q,16,0)+VLOOKUP(D1411,'Species Codes'!B:R,17,0)*((E1411*2.54)^VLOOKUP(D1411,'Species Codes'!B:S,18,0)))),IF(OR(D1411="BM",D1411="MD",D1411="OA"),EXP(VLOOKUP(D1411,'Species Codes'!B:O,14,0)+VLOOKUP(D1411,'Species Codes'!B:P,15,0)*LN((E1411*2.54)))*(1-(1/(VLOOKUP(D1411,'Species Codes'!B:Q,16,0)+VLOOKUP(D1411,'Species Codes'!B:R,17,0)*((E1411*2.54)^VLOOKUP(D1411,'Species Codes'!B:S,18,0)))))/1000,IF(D1411="DF",EXP(VLOOKUP(D1411,'Species Codes'!B:O,14,0)+VLOOKUP(D1411,'Species Codes'!B:P,15,0)*LN((E1411*2.54))),VLOOKUP(D1411,'Species Codes'!B:O,14,0)+VLOOKUP(D1411,'Species Codes'!B:P,15,0)*(((E1411*2.54)/100)^2)*(I1411*0.3048)))))*0.0011023),0)</f>
        <v>#N/A</v>
      </c>
      <c r="AD1411" s="104" t="e">
        <f t="shared" si="625"/>
        <v>#N/A</v>
      </c>
      <c r="AE1411" s="104" t="e">
        <f t="shared" si="626"/>
        <v>#N/A</v>
      </c>
      <c r="AF1411" s="104" t="e">
        <f>IF(AND(VLOOKUP($D1411,Merchantability!$B:$C,2,0)="Yes",$E1411&gt;=VLOOKUP($D1411,Merchantability!$B:$D,3,0),$E1411&lt;=VLOOKUP($D1411,Merchantability!$B:$E,4,0)),AA1411,0)</f>
        <v>#N/A</v>
      </c>
      <c r="AG1411" s="104" t="e">
        <f>IF(AND(VLOOKUP($D1411,Merchantability!$B:$C,2,0)="Yes",$E1411&gt;=VLOOKUP($D1411,Merchantability!$B:$D,3,0),$E1411&lt;=VLOOKUP($D1411,Merchantability!$B:$E,4,0)),AB1411,0)</f>
        <v>#N/A</v>
      </c>
      <c r="AH1411" s="104" t="e">
        <f>IF(AND(VLOOKUP($D1411,Merchantability!$B:$C,2,0)="Yes",$E1411&gt;=VLOOKUP($D1411,Merchantability!$B:$D,3,0),$E1411&lt;=VLOOKUP($D1411,Merchantability!$B:$E,4,0)),AC1411,0)</f>
        <v>#N/A</v>
      </c>
      <c r="AI1411" s="104" t="e">
        <f t="shared" si="627"/>
        <v>#N/A</v>
      </c>
      <c r="AJ1411" s="104" t="e">
        <f t="shared" si="628"/>
        <v>#VALUE!</v>
      </c>
      <c r="AK1411" s="104" t="e">
        <f t="shared" si="629"/>
        <v>#N/A</v>
      </c>
      <c r="AL1411" s="104" t="e">
        <f t="shared" si="630"/>
        <v>#N/A</v>
      </c>
      <c r="AM1411" s="104" t="e">
        <f t="shared" si="631"/>
        <v>#N/A</v>
      </c>
      <c r="AN1411" s="104" t="e">
        <f t="shared" ref="AN1411:AN1474" si="642">AF1411*$O1411</f>
        <v>#N/A</v>
      </c>
      <c r="AO1411" s="104" t="e">
        <f t="shared" ref="AO1411:AO1474" si="643">AG1411*$O1411</f>
        <v>#N/A</v>
      </c>
      <c r="AP1411" s="104" t="e">
        <f t="shared" ref="AP1411:AP1474" si="644">AH1411*$O1411</f>
        <v>#N/A</v>
      </c>
      <c r="AQ1411" s="104" t="e">
        <f t="shared" ref="AQ1411:AQ1474" si="645">SUM(AN1411:AP1411)</f>
        <v>#N/A</v>
      </c>
      <c r="AR1411" s="105" t="str">
        <f t="shared" si="637"/>
        <v/>
      </c>
      <c r="AS1411" s="105" t="str">
        <f t="shared" si="638"/>
        <v/>
      </c>
      <c r="AT1411" s="108" t="str">
        <f t="shared" si="639"/>
        <v/>
      </c>
      <c r="AU1411" s="108" t="str">
        <f t="shared" si="640"/>
        <v/>
      </c>
      <c r="AV1411" s="107" t="str">
        <f>IF(ISNUMBER(O1411),IF(VLOOKUP($A1411,Stand!C:J,8,FALSE)="Short",AT1411,AU1411),"")</f>
        <v/>
      </c>
      <c r="AW1411" s="109" t="str">
        <f t="shared" ref="AW1411:AW1474" si="646">IF(ISNUMBER(O1411),AV1411*O1411,"")</f>
        <v/>
      </c>
      <c r="AX1411" s="109" t="str">
        <f t="shared" ref="AX1411:AX1474" si="647">IF(ISNUMBER(O1411),AW1411*(1-$H1411/100),"")</f>
        <v/>
      </c>
      <c r="AY1411" s="112" t="str">
        <f>IF(ISNUMBER(O1411),IF(AND(VLOOKUP($D1411,Merchantability!$B:$C,2,0)="Yes",$E1411&gt;=VLOOKUP($D1411,Merchantability!$B:$D,3,0),$E1411&lt;=VLOOKUP($D1411,Merchantability!$B:$E,4,0)),(AV1411*O1411)*(1-$H1411/100),""),"")</f>
        <v/>
      </c>
      <c r="AZ1411" s="116"/>
      <c r="BA1411" s="116"/>
      <c r="BB1411" s="116"/>
      <c r="BE1411" s="62"/>
      <c r="BF1411" s="63"/>
    </row>
    <row r="1412" spans="1:58" ht="12.75" customHeight="1" x14ac:dyDescent="0.25">
      <c r="A1412" s="333"/>
      <c r="B1412" s="334"/>
      <c r="C1412" s="332"/>
      <c r="D1412" s="334"/>
      <c r="E1412" s="335"/>
      <c r="F1412" s="334"/>
      <c r="G1412" s="332"/>
      <c r="H1412" s="332"/>
      <c r="I1412" s="334"/>
      <c r="J1412" s="336"/>
      <c r="K1412" s="332"/>
      <c r="L1412" s="332"/>
      <c r="M1412" s="76"/>
      <c r="N1412" s="103" t="str">
        <f>IF(A1412="","",VLOOKUP(A1412,Stand!C:K,9,0))</f>
        <v/>
      </c>
      <c r="O1412" s="104" t="str">
        <f t="shared" si="632"/>
        <v/>
      </c>
      <c r="P1412" s="105" t="str">
        <f t="shared" si="633"/>
        <v/>
      </c>
      <c r="Q1412" s="105" t="str">
        <f t="shared" si="621"/>
        <v/>
      </c>
      <c r="R1412" s="103" t="str">
        <f t="shared" si="634"/>
        <v/>
      </c>
      <c r="S1412" s="103" t="str">
        <f t="shared" si="635"/>
        <v/>
      </c>
      <c r="T1412" s="106" t="str">
        <f t="shared" si="622"/>
        <v/>
      </c>
      <c r="U1412" s="106" t="str">
        <f t="shared" si="623"/>
        <v/>
      </c>
      <c r="V1412" s="106" t="str">
        <f t="shared" si="624"/>
        <v/>
      </c>
      <c r="W1412" s="105" t="str">
        <f t="shared" si="636"/>
        <v/>
      </c>
      <c r="X1412" s="104" t="str">
        <f t="shared" si="641"/>
        <v/>
      </c>
      <c r="Y1412" s="104" t="str">
        <f t="array" ref="Y1412">IFERROR(IF(ISNUMBER(O1412),IF(COUNT(IF(A1412=$A$2:$A$2427,IF(D1412=$D$2:$D$2427,IF($X$2:$X$2427&gt;0,1))))&gt;0,SUM(IF(A1412=$A$2:$A$2427,IF(D1412=$D$2:$D$2427,$X$2:$X$2427)))/COUNT(IF(A1412=$A$2:$A$2427,IF(D1412=$D$2:$D$2427,IF(ISNUMBER($X$2:$X$2427),1)))),0),""),0)</f>
        <v/>
      </c>
      <c r="Z1412" s="104" t="str">
        <f>IF(ISNUMBER(O1412),IF(I1412&gt;0,(10^(VLOOKUP(D1412,'Species Codes'!B:C,2,0)+VLOOKUP(D1412,'Species Codes'!B:D,3,0)*LOG(E1412)+VLOOKUP(D1412,'Species Codes'!B:E,4,0)*LOG(I1412))),0),"")</f>
        <v/>
      </c>
      <c r="AA1412" s="104" t="str">
        <f>IFERROR((VLOOKUP(D1412,'Species Codes'!B:G,6,0)*Z1412)/2000,"")</f>
        <v/>
      </c>
      <c r="AB1412" s="104" t="e">
        <f>IF(Z1412&gt;0,((IF(OR(D1412="DF",D1412="RA")=TRUE,EXP(VLOOKUP(D1412,'Species Codes'!B:I,8,0)+VLOOKUP(D1412,'Species Codes'!B:J,9,0)*(LN((E1412*2.54)))),IF(OR(D1412="PY",D1412="RC",D1412="WH",D1412="NF")=TRUE,VLOOKUP(D1412,'Species Codes'!B:I,8,0)+VLOOKUP(D1412,'Species Codes'!B:J,9,0)*((E1412*2.54)^2)*(I1412*0.3048),IF(OR(D1412="MD",D1412="BM",D1412="GA")=TRUE,((VLOOKUP(D1412,'Species Codes'!B:I,8,0)*(((((E1412*2.54)+VLOOKUP(D1412,'Species Codes'!B:J,9,0))/VLOOKUP(D1412,'Species Codes'!B:K,10,0))^VLOOKUP(D1412,'Species Codes'!B:L,11,0))*((I1412*0.3048)^VLOOKUP(D1412,'Species Codes'!B:M,12,0))))-(VLOOKUP(D1412,'Species Codes'!B:I,8,0)*((((E1412*2.54)^VLOOKUP(D1412,'Species Codes'!B:L,11,0))*((I1412*0.3048)^VLOOKUP(D1412,'Species Codes'!B:M,12,0))))))*35.3*VLOOKUP(D1412,'Species Codes'!B:G,6,0)/2.2046,VLOOKUP(D1412,'Species Codes'!B:I,8,0)+VLOOKUP(D1412,'Species Codes'!B:J,9,0)*(((E1412*2.54)/100)^2)*(I1412*0.3048)))))*0.0011023),0)</f>
        <v>#N/A</v>
      </c>
      <c r="AC1412" s="104" t="e">
        <f>IF(Z1412&gt;0,((IF(OR(D1412="RA",D1412="OA",D1412="OT",D1412="UN",D1412="PC"),EXP(VLOOKUP(D1412,'Species Codes'!B:O,14,0)+VLOOKUP(D1412,'Species Codes'!B:P,15,0)*LN((E1412*2.54)))-EXP(VLOOKUP(D1412,'Species Codes'!B:O,14,0)+VLOOKUP(D1412,'Species Codes'!B:P,15,0)*LN((E1412*2.54)))*(1/(VLOOKUP(D1412,'Species Codes'!B:Q,16,0)+VLOOKUP(D1412,'Species Codes'!B:R,17,0)*((E1412*2.54)^VLOOKUP(D1412,'Species Codes'!B:S,18,0)))),IF(OR(D1412="BM",D1412="MD",D1412="OA"),EXP(VLOOKUP(D1412,'Species Codes'!B:O,14,0)+VLOOKUP(D1412,'Species Codes'!B:P,15,0)*LN((E1412*2.54)))*(1-(1/(VLOOKUP(D1412,'Species Codes'!B:Q,16,0)+VLOOKUP(D1412,'Species Codes'!B:R,17,0)*((E1412*2.54)^VLOOKUP(D1412,'Species Codes'!B:S,18,0)))))/1000,IF(D1412="DF",EXP(VLOOKUP(D1412,'Species Codes'!B:O,14,0)+VLOOKUP(D1412,'Species Codes'!B:P,15,0)*LN((E1412*2.54))),VLOOKUP(D1412,'Species Codes'!B:O,14,0)+VLOOKUP(D1412,'Species Codes'!B:P,15,0)*(((E1412*2.54)/100)^2)*(I1412*0.3048)))))*0.0011023),0)</f>
        <v>#N/A</v>
      </c>
      <c r="AD1412" s="104" t="e">
        <f t="shared" si="625"/>
        <v>#N/A</v>
      </c>
      <c r="AE1412" s="104" t="e">
        <f t="shared" si="626"/>
        <v>#N/A</v>
      </c>
      <c r="AF1412" s="104" t="e">
        <f>IF(AND(VLOOKUP($D1412,Merchantability!$B:$C,2,0)="Yes",$E1412&gt;=VLOOKUP($D1412,Merchantability!$B:$D,3,0),$E1412&lt;=VLOOKUP($D1412,Merchantability!$B:$E,4,0)),AA1412,0)</f>
        <v>#N/A</v>
      </c>
      <c r="AG1412" s="104" t="e">
        <f>IF(AND(VLOOKUP($D1412,Merchantability!$B:$C,2,0)="Yes",$E1412&gt;=VLOOKUP($D1412,Merchantability!$B:$D,3,0),$E1412&lt;=VLOOKUP($D1412,Merchantability!$B:$E,4,0)),AB1412,0)</f>
        <v>#N/A</v>
      </c>
      <c r="AH1412" s="104" t="e">
        <f>IF(AND(VLOOKUP($D1412,Merchantability!$B:$C,2,0)="Yes",$E1412&gt;=VLOOKUP($D1412,Merchantability!$B:$D,3,0),$E1412&lt;=VLOOKUP($D1412,Merchantability!$B:$E,4,0)),AC1412,0)</f>
        <v>#N/A</v>
      </c>
      <c r="AI1412" s="104" t="e">
        <f t="shared" si="627"/>
        <v>#N/A</v>
      </c>
      <c r="AJ1412" s="104" t="e">
        <f t="shared" si="628"/>
        <v>#VALUE!</v>
      </c>
      <c r="AK1412" s="104" t="e">
        <f t="shared" si="629"/>
        <v>#N/A</v>
      </c>
      <c r="AL1412" s="104" t="e">
        <f t="shared" si="630"/>
        <v>#N/A</v>
      </c>
      <c r="AM1412" s="104" t="e">
        <f t="shared" si="631"/>
        <v>#N/A</v>
      </c>
      <c r="AN1412" s="104" t="e">
        <f t="shared" si="642"/>
        <v>#N/A</v>
      </c>
      <c r="AO1412" s="104" t="e">
        <f t="shared" si="643"/>
        <v>#N/A</v>
      </c>
      <c r="AP1412" s="104" t="e">
        <f t="shared" si="644"/>
        <v>#N/A</v>
      </c>
      <c r="AQ1412" s="104" t="e">
        <f t="shared" si="645"/>
        <v>#N/A</v>
      </c>
      <c r="AR1412" s="105" t="str">
        <f t="shared" si="637"/>
        <v/>
      </c>
      <c r="AS1412" s="105" t="str">
        <f t="shared" si="638"/>
        <v/>
      </c>
      <c r="AT1412" s="108" t="str">
        <f t="shared" si="639"/>
        <v/>
      </c>
      <c r="AU1412" s="108" t="str">
        <f t="shared" si="640"/>
        <v/>
      </c>
      <c r="AV1412" s="107" t="str">
        <f>IF(ISNUMBER(O1412),IF(VLOOKUP($A1412,Stand!C:J,8,FALSE)="Short",AT1412,AU1412),"")</f>
        <v/>
      </c>
      <c r="AW1412" s="109" t="str">
        <f t="shared" si="646"/>
        <v/>
      </c>
      <c r="AX1412" s="109" t="str">
        <f t="shared" si="647"/>
        <v/>
      </c>
      <c r="AY1412" s="112" t="str">
        <f>IF(ISNUMBER(O1412),IF(AND(VLOOKUP($D1412,Merchantability!$B:$C,2,0)="Yes",$E1412&gt;=VLOOKUP($D1412,Merchantability!$B:$D,3,0),$E1412&lt;=VLOOKUP($D1412,Merchantability!$B:$E,4,0)),(AV1412*O1412)*(1-$H1412/100),""),"")</f>
        <v/>
      </c>
      <c r="AZ1412" s="116"/>
      <c r="BA1412" s="116"/>
      <c r="BB1412" s="116"/>
      <c r="BE1412" s="62"/>
      <c r="BF1412" s="63"/>
    </row>
    <row r="1413" spans="1:58" ht="12.75" customHeight="1" x14ac:dyDescent="0.25">
      <c r="A1413" s="333"/>
      <c r="B1413" s="334"/>
      <c r="C1413" s="332"/>
      <c r="D1413" s="334"/>
      <c r="E1413" s="335"/>
      <c r="F1413" s="334"/>
      <c r="G1413" s="332"/>
      <c r="H1413" s="332"/>
      <c r="I1413" s="334"/>
      <c r="J1413" s="336"/>
      <c r="K1413" s="332"/>
      <c r="L1413" s="332"/>
      <c r="M1413" s="76"/>
      <c r="N1413" s="103" t="str">
        <f>IF(A1413="","",VLOOKUP(A1413,Stand!C:K,9,0))</f>
        <v/>
      </c>
      <c r="O1413" s="104" t="str">
        <f t="shared" si="632"/>
        <v/>
      </c>
      <c r="P1413" s="105" t="str">
        <f t="shared" si="633"/>
        <v/>
      </c>
      <c r="Q1413" s="105" t="str">
        <f t="shared" si="621"/>
        <v/>
      </c>
      <c r="R1413" s="103" t="str">
        <f t="shared" si="634"/>
        <v/>
      </c>
      <c r="S1413" s="103" t="str">
        <f t="shared" si="635"/>
        <v/>
      </c>
      <c r="T1413" s="106" t="str">
        <f t="shared" si="622"/>
        <v/>
      </c>
      <c r="U1413" s="106" t="str">
        <f t="shared" si="623"/>
        <v/>
      </c>
      <c r="V1413" s="106" t="str">
        <f t="shared" si="624"/>
        <v/>
      </c>
      <c r="W1413" s="105" t="str">
        <f t="shared" si="636"/>
        <v/>
      </c>
      <c r="X1413" s="104" t="str">
        <f t="shared" si="641"/>
        <v/>
      </c>
      <c r="Y1413" s="104" t="str">
        <f t="array" ref="Y1413">IFERROR(IF(ISNUMBER(O1413),IF(COUNT(IF(A1413=$A$2:$A$2427,IF(D1413=$D$2:$D$2427,IF($X$2:$X$2427&gt;0,1))))&gt;0,SUM(IF(A1413=$A$2:$A$2427,IF(D1413=$D$2:$D$2427,$X$2:$X$2427)))/COUNT(IF(A1413=$A$2:$A$2427,IF(D1413=$D$2:$D$2427,IF(ISNUMBER($X$2:$X$2427),1)))),0),""),0)</f>
        <v/>
      </c>
      <c r="Z1413" s="104" t="str">
        <f>IF(ISNUMBER(O1413),IF(I1413&gt;0,(10^(VLOOKUP(D1413,'Species Codes'!B:C,2,0)+VLOOKUP(D1413,'Species Codes'!B:D,3,0)*LOG(E1413)+VLOOKUP(D1413,'Species Codes'!B:E,4,0)*LOG(I1413))),0),"")</f>
        <v/>
      </c>
      <c r="AA1413" s="104" t="str">
        <f>IFERROR((VLOOKUP(D1413,'Species Codes'!B:G,6,0)*Z1413)/2000,"")</f>
        <v/>
      </c>
      <c r="AB1413" s="104" t="e">
        <f>IF(Z1413&gt;0,((IF(OR(D1413="DF",D1413="RA")=TRUE,EXP(VLOOKUP(D1413,'Species Codes'!B:I,8,0)+VLOOKUP(D1413,'Species Codes'!B:J,9,0)*(LN((E1413*2.54)))),IF(OR(D1413="PY",D1413="RC",D1413="WH",D1413="NF")=TRUE,VLOOKUP(D1413,'Species Codes'!B:I,8,0)+VLOOKUP(D1413,'Species Codes'!B:J,9,0)*((E1413*2.54)^2)*(I1413*0.3048),IF(OR(D1413="MD",D1413="BM",D1413="GA")=TRUE,((VLOOKUP(D1413,'Species Codes'!B:I,8,0)*(((((E1413*2.54)+VLOOKUP(D1413,'Species Codes'!B:J,9,0))/VLOOKUP(D1413,'Species Codes'!B:K,10,0))^VLOOKUP(D1413,'Species Codes'!B:L,11,0))*((I1413*0.3048)^VLOOKUP(D1413,'Species Codes'!B:M,12,0))))-(VLOOKUP(D1413,'Species Codes'!B:I,8,0)*((((E1413*2.54)^VLOOKUP(D1413,'Species Codes'!B:L,11,0))*((I1413*0.3048)^VLOOKUP(D1413,'Species Codes'!B:M,12,0))))))*35.3*VLOOKUP(D1413,'Species Codes'!B:G,6,0)/2.2046,VLOOKUP(D1413,'Species Codes'!B:I,8,0)+VLOOKUP(D1413,'Species Codes'!B:J,9,0)*(((E1413*2.54)/100)^2)*(I1413*0.3048)))))*0.0011023),0)</f>
        <v>#N/A</v>
      </c>
      <c r="AC1413" s="104" t="e">
        <f>IF(Z1413&gt;0,((IF(OR(D1413="RA",D1413="OA",D1413="OT",D1413="UN",D1413="PC"),EXP(VLOOKUP(D1413,'Species Codes'!B:O,14,0)+VLOOKUP(D1413,'Species Codes'!B:P,15,0)*LN((E1413*2.54)))-EXP(VLOOKUP(D1413,'Species Codes'!B:O,14,0)+VLOOKUP(D1413,'Species Codes'!B:P,15,0)*LN((E1413*2.54)))*(1/(VLOOKUP(D1413,'Species Codes'!B:Q,16,0)+VLOOKUP(D1413,'Species Codes'!B:R,17,0)*((E1413*2.54)^VLOOKUP(D1413,'Species Codes'!B:S,18,0)))),IF(OR(D1413="BM",D1413="MD",D1413="OA"),EXP(VLOOKUP(D1413,'Species Codes'!B:O,14,0)+VLOOKUP(D1413,'Species Codes'!B:P,15,0)*LN((E1413*2.54)))*(1-(1/(VLOOKUP(D1413,'Species Codes'!B:Q,16,0)+VLOOKUP(D1413,'Species Codes'!B:R,17,0)*((E1413*2.54)^VLOOKUP(D1413,'Species Codes'!B:S,18,0)))))/1000,IF(D1413="DF",EXP(VLOOKUP(D1413,'Species Codes'!B:O,14,0)+VLOOKUP(D1413,'Species Codes'!B:P,15,0)*LN((E1413*2.54))),VLOOKUP(D1413,'Species Codes'!B:O,14,0)+VLOOKUP(D1413,'Species Codes'!B:P,15,0)*(((E1413*2.54)/100)^2)*(I1413*0.3048)))))*0.0011023),0)</f>
        <v>#N/A</v>
      </c>
      <c r="AD1413" s="104" t="e">
        <f t="shared" si="625"/>
        <v>#N/A</v>
      </c>
      <c r="AE1413" s="104" t="e">
        <f t="shared" si="626"/>
        <v>#N/A</v>
      </c>
      <c r="AF1413" s="104" t="e">
        <f>IF(AND(VLOOKUP($D1413,Merchantability!$B:$C,2,0)="Yes",$E1413&gt;=VLOOKUP($D1413,Merchantability!$B:$D,3,0),$E1413&lt;=VLOOKUP($D1413,Merchantability!$B:$E,4,0)),AA1413,0)</f>
        <v>#N/A</v>
      </c>
      <c r="AG1413" s="104" t="e">
        <f>IF(AND(VLOOKUP($D1413,Merchantability!$B:$C,2,0)="Yes",$E1413&gt;=VLOOKUP($D1413,Merchantability!$B:$D,3,0),$E1413&lt;=VLOOKUP($D1413,Merchantability!$B:$E,4,0)),AB1413,0)</f>
        <v>#N/A</v>
      </c>
      <c r="AH1413" s="104" t="e">
        <f>IF(AND(VLOOKUP($D1413,Merchantability!$B:$C,2,0)="Yes",$E1413&gt;=VLOOKUP($D1413,Merchantability!$B:$D,3,0),$E1413&lt;=VLOOKUP($D1413,Merchantability!$B:$E,4,0)),AC1413,0)</f>
        <v>#N/A</v>
      </c>
      <c r="AI1413" s="104" t="e">
        <f t="shared" si="627"/>
        <v>#N/A</v>
      </c>
      <c r="AJ1413" s="104" t="e">
        <f t="shared" si="628"/>
        <v>#VALUE!</v>
      </c>
      <c r="AK1413" s="104" t="e">
        <f t="shared" si="629"/>
        <v>#N/A</v>
      </c>
      <c r="AL1413" s="104" t="e">
        <f t="shared" si="630"/>
        <v>#N/A</v>
      </c>
      <c r="AM1413" s="104" t="e">
        <f t="shared" si="631"/>
        <v>#N/A</v>
      </c>
      <c r="AN1413" s="104" t="e">
        <f t="shared" si="642"/>
        <v>#N/A</v>
      </c>
      <c r="AO1413" s="104" t="e">
        <f t="shared" si="643"/>
        <v>#N/A</v>
      </c>
      <c r="AP1413" s="104" t="e">
        <f t="shared" si="644"/>
        <v>#N/A</v>
      </c>
      <c r="AQ1413" s="104" t="e">
        <f t="shared" si="645"/>
        <v>#N/A</v>
      </c>
      <c r="AR1413" s="105" t="str">
        <f t="shared" si="637"/>
        <v/>
      </c>
      <c r="AS1413" s="105" t="str">
        <f t="shared" si="638"/>
        <v/>
      </c>
      <c r="AT1413" s="108" t="str">
        <f t="shared" si="639"/>
        <v/>
      </c>
      <c r="AU1413" s="108" t="str">
        <f t="shared" si="640"/>
        <v/>
      </c>
      <c r="AV1413" s="107" t="str">
        <f>IF(ISNUMBER(O1413),IF(VLOOKUP($A1413,Stand!C:J,8,FALSE)="Short",AT1413,AU1413),"")</f>
        <v/>
      </c>
      <c r="AW1413" s="109" t="str">
        <f t="shared" si="646"/>
        <v/>
      </c>
      <c r="AX1413" s="109" t="str">
        <f t="shared" si="647"/>
        <v/>
      </c>
      <c r="AY1413" s="112" t="str">
        <f>IF(ISNUMBER(O1413),IF(AND(VLOOKUP($D1413,Merchantability!$B:$C,2,0)="Yes",$E1413&gt;=VLOOKUP($D1413,Merchantability!$B:$D,3,0),$E1413&lt;=VLOOKUP($D1413,Merchantability!$B:$E,4,0)),(AV1413*O1413)*(1-$H1413/100),""),"")</f>
        <v/>
      </c>
      <c r="AZ1413" s="116"/>
      <c r="BA1413" s="116"/>
      <c r="BB1413" s="116"/>
      <c r="BE1413" s="62"/>
      <c r="BF1413" s="63"/>
    </row>
    <row r="1414" spans="1:58" ht="12.75" customHeight="1" x14ac:dyDescent="0.25">
      <c r="A1414" s="333"/>
      <c r="B1414" s="334"/>
      <c r="C1414" s="332"/>
      <c r="D1414" s="334"/>
      <c r="E1414" s="335"/>
      <c r="F1414" s="334"/>
      <c r="G1414" s="332"/>
      <c r="H1414" s="332"/>
      <c r="I1414" s="334"/>
      <c r="J1414" s="336"/>
      <c r="K1414" s="332"/>
      <c r="L1414" s="332"/>
      <c r="M1414" s="76"/>
      <c r="N1414" s="103" t="str">
        <f>IF(A1414="","",VLOOKUP(A1414,Stand!C:K,9,0))</f>
        <v/>
      </c>
      <c r="O1414" s="104" t="str">
        <f t="shared" si="632"/>
        <v/>
      </c>
      <c r="P1414" s="105" t="str">
        <f t="shared" si="633"/>
        <v/>
      </c>
      <c r="Q1414" s="105" t="str">
        <f t="shared" si="621"/>
        <v/>
      </c>
      <c r="R1414" s="103" t="str">
        <f t="shared" si="634"/>
        <v/>
      </c>
      <c r="S1414" s="103" t="str">
        <f t="shared" si="635"/>
        <v/>
      </c>
      <c r="T1414" s="106" t="str">
        <f t="shared" si="622"/>
        <v/>
      </c>
      <c r="U1414" s="106" t="str">
        <f t="shared" si="623"/>
        <v/>
      </c>
      <c r="V1414" s="106" t="str">
        <f t="shared" si="624"/>
        <v/>
      </c>
      <c r="W1414" s="105" t="str">
        <f t="shared" si="636"/>
        <v/>
      </c>
      <c r="X1414" s="104" t="str">
        <f t="shared" si="641"/>
        <v/>
      </c>
      <c r="Y1414" s="104" t="str">
        <f t="array" ref="Y1414">IFERROR(IF(ISNUMBER(O1414),IF(COUNT(IF(A1414=$A$2:$A$2427,IF(D1414=$D$2:$D$2427,IF($X$2:$X$2427&gt;0,1))))&gt;0,SUM(IF(A1414=$A$2:$A$2427,IF(D1414=$D$2:$D$2427,$X$2:$X$2427)))/COUNT(IF(A1414=$A$2:$A$2427,IF(D1414=$D$2:$D$2427,IF(ISNUMBER($X$2:$X$2427),1)))),0),""),0)</f>
        <v/>
      </c>
      <c r="Z1414" s="104" t="str">
        <f>IF(ISNUMBER(O1414),IF(I1414&gt;0,(10^(VLOOKUP(D1414,'Species Codes'!B:C,2,0)+VLOOKUP(D1414,'Species Codes'!B:D,3,0)*LOG(E1414)+VLOOKUP(D1414,'Species Codes'!B:E,4,0)*LOG(I1414))),0),"")</f>
        <v/>
      </c>
      <c r="AA1414" s="104" t="str">
        <f>IFERROR((VLOOKUP(D1414,'Species Codes'!B:G,6,0)*Z1414)/2000,"")</f>
        <v/>
      </c>
      <c r="AB1414" s="104" t="e">
        <f>IF(Z1414&gt;0,((IF(OR(D1414="DF",D1414="RA")=TRUE,EXP(VLOOKUP(D1414,'Species Codes'!B:I,8,0)+VLOOKUP(D1414,'Species Codes'!B:J,9,0)*(LN((E1414*2.54)))),IF(OR(D1414="PY",D1414="RC",D1414="WH",D1414="NF")=TRUE,VLOOKUP(D1414,'Species Codes'!B:I,8,0)+VLOOKUP(D1414,'Species Codes'!B:J,9,0)*((E1414*2.54)^2)*(I1414*0.3048),IF(OR(D1414="MD",D1414="BM",D1414="GA")=TRUE,((VLOOKUP(D1414,'Species Codes'!B:I,8,0)*(((((E1414*2.54)+VLOOKUP(D1414,'Species Codes'!B:J,9,0))/VLOOKUP(D1414,'Species Codes'!B:K,10,0))^VLOOKUP(D1414,'Species Codes'!B:L,11,0))*((I1414*0.3048)^VLOOKUP(D1414,'Species Codes'!B:M,12,0))))-(VLOOKUP(D1414,'Species Codes'!B:I,8,0)*((((E1414*2.54)^VLOOKUP(D1414,'Species Codes'!B:L,11,0))*((I1414*0.3048)^VLOOKUP(D1414,'Species Codes'!B:M,12,0))))))*35.3*VLOOKUP(D1414,'Species Codes'!B:G,6,0)/2.2046,VLOOKUP(D1414,'Species Codes'!B:I,8,0)+VLOOKUP(D1414,'Species Codes'!B:J,9,0)*(((E1414*2.54)/100)^2)*(I1414*0.3048)))))*0.0011023),0)</f>
        <v>#N/A</v>
      </c>
      <c r="AC1414" s="104" t="e">
        <f>IF(Z1414&gt;0,((IF(OR(D1414="RA",D1414="OA",D1414="OT",D1414="UN",D1414="PC"),EXP(VLOOKUP(D1414,'Species Codes'!B:O,14,0)+VLOOKUP(D1414,'Species Codes'!B:P,15,0)*LN((E1414*2.54)))-EXP(VLOOKUP(D1414,'Species Codes'!B:O,14,0)+VLOOKUP(D1414,'Species Codes'!B:P,15,0)*LN((E1414*2.54)))*(1/(VLOOKUP(D1414,'Species Codes'!B:Q,16,0)+VLOOKUP(D1414,'Species Codes'!B:R,17,0)*((E1414*2.54)^VLOOKUP(D1414,'Species Codes'!B:S,18,0)))),IF(OR(D1414="BM",D1414="MD",D1414="OA"),EXP(VLOOKUP(D1414,'Species Codes'!B:O,14,0)+VLOOKUP(D1414,'Species Codes'!B:P,15,0)*LN((E1414*2.54)))*(1-(1/(VLOOKUP(D1414,'Species Codes'!B:Q,16,0)+VLOOKUP(D1414,'Species Codes'!B:R,17,0)*((E1414*2.54)^VLOOKUP(D1414,'Species Codes'!B:S,18,0)))))/1000,IF(D1414="DF",EXP(VLOOKUP(D1414,'Species Codes'!B:O,14,0)+VLOOKUP(D1414,'Species Codes'!B:P,15,0)*LN((E1414*2.54))),VLOOKUP(D1414,'Species Codes'!B:O,14,0)+VLOOKUP(D1414,'Species Codes'!B:P,15,0)*(((E1414*2.54)/100)^2)*(I1414*0.3048)))))*0.0011023),0)</f>
        <v>#N/A</v>
      </c>
      <c r="AD1414" s="104" t="e">
        <f t="shared" si="625"/>
        <v>#N/A</v>
      </c>
      <c r="AE1414" s="104" t="e">
        <f t="shared" si="626"/>
        <v>#N/A</v>
      </c>
      <c r="AF1414" s="104" t="e">
        <f>IF(AND(VLOOKUP($D1414,Merchantability!$B:$C,2,0)="Yes",$E1414&gt;=VLOOKUP($D1414,Merchantability!$B:$D,3,0),$E1414&lt;=VLOOKUP($D1414,Merchantability!$B:$E,4,0)),AA1414,0)</f>
        <v>#N/A</v>
      </c>
      <c r="AG1414" s="104" t="e">
        <f>IF(AND(VLOOKUP($D1414,Merchantability!$B:$C,2,0)="Yes",$E1414&gt;=VLOOKUP($D1414,Merchantability!$B:$D,3,0),$E1414&lt;=VLOOKUP($D1414,Merchantability!$B:$E,4,0)),AB1414,0)</f>
        <v>#N/A</v>
      </c>
      <c r="AH1414" s="104" t="e">
        <f>IF(AND(VLOOKUP($D1414,Merchantability!$B:$C,2,0)="Yes",$E1414&gt;=VLOOKUP($D1414,Merchantability!$B:$D,3,0),$E1414&lt;=VLOOKUP($D1414,Merchantability!$B:$E,4,0)),AC1414,0)</f>
        <v>#N/A</v>
      </c>
      <c r="AI1414" s="104" t="e">
        <f t="shared" si="627"/>
        <v>#N/A</v>
      </c>
      <c r="AJ1414" s="104" t="e">
        <f t="shared" si="628"/>
        <v>#VALUE!</v>
      </c>
      <c r="AK1414" s="104" t="e">
        <f t="shared" si="629"/>
        <v>#N/A</v>
      </c>
      <c r="AL1414" s="104" t="e">
        <f t="shared" si="630"/>
        <v>#N/A</v>
      </c>
      <c r="AM1414" s="104" t="e">
        <f t="shared" si="631"/>
        <v>#N/A</v>
      </c>
      <c r="AN1414" s="104" t="e">
        <f t="shared" si="642"/>
        <v>#N/A</v>
      </c>
      <c r="AO1414" s="104" t="e">
        <f t="shared" si="643"/>
        <v>#N/A</v>
      </c>
      <c r="AP1414" s="104" t="e">
        <f t="shared" si="644"/>
        <v>#N/A</v>
      </c>
      <c r="AQ1414" s="104" t="e">
        <f t="shared" si="645"/>
        <v>#N/A</v>
      </c>
      <c r="AR1414" s="105" t="str">
        <f t="shared" si="637"/>
        <v/>
      </c>
      <c r="AS1414" s="105" t="str">
        <f t="shared" si="638"/>
        <v/>
      </c>
      <c r="AT1414" s="108" t="str">
        <f t="shared" si="639"/>
        <v/>
      </c>
      <c r="AU1414" s="108" t="str">
        <f t="shared" si="640"/>
        <v/>
      </c>
      <c r="AV1414" s="107" t="str">
        <f>IF(ISNUMBER(O1414),IF(VLOOKUP($A1414,Stand!C:J,8,FALSE)="Short",AT1414,AU1414),"")</f>
        <v/>
      </c>
      <c r="AW1414" s="109" t="str">
        <f t="shared" si="646"/>
        <v/>
      </c>
      <c r="AX1414" s="109" t="str">
        <f t="shared" si="647"/>
        <v/>
      </c>
      <c r="AY1414" s="112" t="str">
        <f>IF(ISNUMBER(O1414),IF(AND(VLOOKUP($D1414,Merchantability!$B:$C,2,0)="Yes",$E1414&gt;=VLOOKUP($D1414,Merchantability!$B:$D,3,0),$E1414&lt;=VLOOKUP($D1414,Merchantability!$B:$E,4,0)),(AV1414*O1414)*(1-$H1414/100),""),"")</f>
        <v/>
      </c>
      <c r="AZ1414" s="116"/>
      <c r="BA1414" s="116"/>
      <c r="BB1414" s="116"/>
      <c r="BE1414" s="62"/>
      <c r="BF1414" s="63"/>
    </row>
    <row r="1415" spans="1:58" ht="12.75" customHeight="1" x14ac:dyDescent="0.25">
      <c r="A1415" s="333"/>
      <c r="B1415" s="334"/>
      <c r="C1415" s="332"/>
      <c r="D1415" s="334"/>
      <c r="E1415" s="335"/>
      <c r="F1415" s="334"/>
      <c r="G1415" s="332"/>
      <c r="H1415" s="332"/>
      <c r="I1415" s="334"/>
      <c r="J1415" s="336"/>
      <c r="K1415" s="332"/>
      <c r="L1415" s="332"/>
      <c r="M1415" s="76"/>
      <c r="N1415" s="103" t="str">
        <f>IF(A1415="","",VLOOKUP(A1415,Stand!C:K,9,0))</f>
        <v/>
      </c>
      <c r="O1415" s="104" t="str">
        <f t="shared" si="632"/>
        <v/>
      </c>
      <c r="P1415" s="105" t="str">
        <f t="shared" si="633"/>
        <v/>
      </c>
      <c r="Q1415" s="105" t="str">
        <f t="shared" si="621"/>
        <v/>
      </c>
      <c r="R1415" s="103" t="str">
        <f t="shared" si="634"/>
        <v/>
      </c>
      <c r="S1415" s="103" t="str">
        <f t="shared" si="635"/>
        <v/>
      </c>
      <c r="T1415" s="106" t="str">
        <f t="shared" si="622"/>
        <v/>
      </c>
      <c r="U1415" s="106" t="str">
        <f t="shared" si="623"/>
        <v/>
      </c>
      <c r="V1415" s="106" t="str">
        <f t="shared" si="624"/>
        <v/>
      </c>
      <c r="W1415" s="105" t="str">
        <f t="shared" si="636"/>
        <v/>
      </c>
      <c r="X1415" s="104" t="str">
        <f t="shared" si="641"/>
        <v/>
      </c>
      <c r="Y1415" s="104" t="str">
        <f t="array" ref="Y1415">IFERROR(IF(ISNUMBER(O1415),IF(COUNT(IF(A1415=$A$2:$A$2427,IF(D1415=$D$2:$D$2427,IF($X$2:$X$2427&gt;0,1))))&gt;0,SUM(IF(A1415=$A$2:$A$2427,IF(D1415=$D$2:$D$2427,$X$2:$X$2427)))/COUNT(IF(A1415=$A$2:$A$2427,IF(D1415=$D$2:$D$2427,IF(ISNUMBER($X$2:$X$2427),1)))),0),""),0)</f>
        <v/>
      </c>
      <c r="Z1415" s="104" t="str">
        <f>IF(ISNUMBER(O1415),IF(I1415&gt;0,(10^(VLOOKUP(D1415,'Species Codes'!B:C,2,0)+VLOOKUP(D1415,'Species Codes'!B:D,3,0)*LOG(E1415)+VLOOKUP(D1415,'Species Codes'!B:E,4,0)*LOG(I1415))),0),"")</f>
        <v/>
      </c>
      <c r="AA1415" s="104" t="str">
        <f>IFERROR((VLOOKUP(D1415,'Species Codes'!B:G,6,0)*Z1415)/2000,"")</f>
        <v/>
      </c>
      <c r="AB1415" s="104" t="e">
        <f>IF(Z1415&gt;0,((IF(OR(D1415="DF",D1415="RA")=TRUE,EXP(VLOOKUP(D1415,'Species Codes'!B:I,8,0)+VLOOKUP(D1415,'Species Codes'!B:J,9,0)*(LN((E1415*2.54)))),IF(OR(D1415="PY",D1415="RC",D1415="WH",D1415="NF")=TRUE,VLOOKUP(D1415,'Species Codes'!B:I,8,0)+VLOOKUP(D1415,'Species Codes'!B:J,9,0)*((E1415*2.54)^2)*(I1415*0.3048),IF(OR(D1415="MD",D1415="BM",D1415="GA")=TRUE,((VLOOKUP(D1415,'Species Codes'!B:I,8,0)*(((((E1415*2.54)+VLOOKUP(D1415,'Species Codes'!B:J,9,0))/VLOOKUP(D1415,'Species Codes'!B:K,10,0))^VLOOKUP(D1415,'Species Codes'!B:L,11,0))*((I1415*0.3048)^VLOOKUP(D1415,'Species Codes'!B:M,12,0))))-(VLOOKUP(D1415,'Species Codes'!B:I,8,0)*((((E1415*2.54)^VLOOKUP(D1415,'Species Codes'!B:L,11,0))*((I1415*0.3048)^VLOOKUP(D1415,'Species Codes'!B:M,12,0))))))*35.3*VLOOKUP(D1415,'Species Codes'!B:G,6,0)/2.2046,VLOOKUP(D1415,'Species Codes'!B:I,8,0)+VLOOKUP(D1415,'Species Codes'!B:J,9,0)*(((E1415*2.54)/100)^2)*(I1415*0.3048)))))*0.0011023),0)</f>
        <v>#N/A</v>
      </c>
      <c r="AC1415" s="104" t="e">
        <f>IF(Z1415&gt;0,((IF(OR(D1415="RA",D1415="OA",D1415="OT",D1415="UN",D1415="PC"),EXP(VLOOKUP(D1415,'Species Codes'!B:O,14,0)+VLOOKUP(D1415,'Species Codes'!B:P,15,0)*LN((E1415*2.54)))-EXP(VLOOKUP(D1415,'Species Codes'!B:O,14,0)+VLOOKUP(D1415,'Species Codes'!B:P,15,0)*LN((E1415*2.54)))*(1/(VLOOKUP(D1415,'Species Codes'!B:Q,16,0)+VLOOKUP(D1415,'Species Codes'!B:R,17,0)*((E1415*2.54)^VLOOKUP(D1415,'Species Codes'!B:S,18,0)))),IF(OR(D1415="BM",D1415="MD",D1415="OA"),EXP(VLOOKUP(D1415,'Species Codes'!B:O,14,0)+VLOOKUP(D1415,'Species Codes'!B:P,15,0)*LN((E1415*2.54)))*(1-(1/(VLOOKUP(D1415,'Species Codes'!B:Q,16,0)+VLOOKUP(D1415,'Species Codes'!B:R,17,0)*((E1415*2.54)^VLOOKUP(D1415,'Species Codes'!B:S,18,0)))))/1000,IF(D1415="DF",EXP(VLOOKUP(D1415,'Species Codes'!B:O,14,0)+VLOOKUP(D1415,'Species Codes'!B:P,15,0)*LN((E1415*2.54))),VLOOKUP(D1415,'Species Codes'!B:O,14,0)+VLOOKUP(D1415,'Species Codes'!B:P,15,0)*(((E1415*2.54)/100)^2)*(I1415*0.3048)))))*0.0011023),0)</f>
        <v>#N/A</v>
      </c>
      <c r="AD1415" s="104" t="e">
        <f t="shared" si="625"/>
        <v>#N/A</v>
      </c>
      <c r="AE1415" s="104" t="e">
        <f t="shared" si="626"/>
        <v>#N/A</v>
      </c>
      <c r="AF1415" s="104" t="e">
        <f>IF(AND(VLOOKUP($D1415,Merchantability!$B:$C,2,0)="Yes",$E1415&gt;=VLOOKUP($D1415,Merchantability!$B:$D,3,0),$E1415&lt;=VLOOKUP($D1415,Merchantability!$B:$E,4,0)),AA1415,0)</f>
        <v>#N/A</v>
      </c>
      <c r="AG1415" s="104" t="e">
        <f>IF(AND(VLOOKUP($D1415,Merchantability!$B:$C,2,0)="Yes",$E1415&gt;=VLOOKUP($D1415,Merchantability!$B:$D,3,0),$E1415&lt;=VLOOKUP($D1415,Merchantability!$B:$E,4,0)),AB1415,0)</f>
        <v>#N/A</v>
      </c>
      <c r="AH1415" s="104" t="e">
        <f>IF(AND(VLOOKUP($D1415,Merchantability!$B:$C,2,0)="Yes",$E1415&gt;=VLOOKUP($D1415,Merchantability!$B:$D,3,0),$E1415&lt;=VLOOKUP($D1415,Merchantability!$B:$E,4,0)),AC1415,0)</f>
        <v>#N/A</v>
      </c>
      <c r="AI1415" s="104" t="e">
        <f t="shared" si="627"/>
        <v>#N/A</v>
      </c>
      <c r="AJ1415" s="104" t="e">
        <f t="shared" si="628"/>
        <v>#VALUE!</v>
      </c>
      <c r="AK1415" s="104" t="e">
        <f t="shared" si="629"/>
        <v>#N/A</v>
      </c>
      <c r="AL1415" s="104" t="e">
        <f t="shared" si="630"/>
        <v>#N/A</v>
      </c>
      <c r="AM1415" s="104" t="e">
        <f t="shared" si="631"/>
        <v>#N/A</v>
      </c>
      <c r="AN1415" s="104" t="e">
        <f t="shared" si="642"/>
        <v>#N/A</v>
      </c>
      <c r="AO1415" s="104" t="e">
        <f t="shared" si="643"/>
        <v>#N/A</v>
      </c>
      <c r="AP1415" s="104" t="e">
        <f t="shared" si="644"/>
        <v>#N/A</v>
      </c>
      <c r="AQ1415" s="104" t="e">
        <f t="shared" si="645"/>
        <v>#N/A</v>
      </c>
      <c r="AR1415" s="105" t="str">
        <f t="shared" si="637"/>
        <v/>
      </c>
      <c r="AS1415" s="105" t="str">
        <f t="shared" si="638"/>
        <v/>
      </c>
      <c r="AT1415" s="108" t="str">
        <f t="shared" si="639"/>
        <v/>
      </c>
      <c r="AU1415" s="108" t="str">
        <f t="shared" si="640"/>
        <v/>
      </c>
      <c r="AV1415" s="107" t="str">
        <f>IF(ISNUMBER(O1415),IF(VLOOKUP($A1415,Stand!C:J,8,FALSE)="Short",AT1415,AU1415),"")</f>
        <v/>
      </c>
      <c r="AW1415" s="109" t="str">
        <f t="shared" si="646"/>
        <v/>
      </c>
      <c r="AX1415" s="109" t="str">
        <f t="shared" si="647"/>
        <v/>
      </c>
      <c r="AY1415" s="112" t="str">
        <f>IF(ISNUMBER(O1415),IF(AND(VLOOKUP($D1415,Merchantability!$B:$C,2,0)="Yes",$E1415&gt;=VLOOKUP($D1415,Merchantability!$B:$D,3,0),$E1415&lt;=VLOOKUP($D1415,Merchantability!$B:$E,4,0)),(AV1415*O1415)*(1-$H1415/100),""),"")</f>
        <v/>
      </c>
      <c r="AZ1415" s="116"/>
      <c r="BA1415" s="116"/>
      <c r="BB1415" s="116"/>
      <c r="BE1415" s="62"/>
      <c r="BF1415" s="63"/>
    </row>
    <row r="1416" spans="1:58" ht="12.75" customHeight="1" x14ac:dyDescent="0.25">
      <c r="A1416" s="333"/>
      <c r="B1416" s="334"/>
      <c r="C1416" s="332"/>
      <c r="D1416" s="334"/>
      <c r="E1416" s="335"/>
      <c r="F1416" s="334"/>
      <c r="G1416" s="332"/>
      <c r="H1416" s="332"/>
      <c r="I1416" s="334"/>
      <c r="J1416" s="336"/>
      <c r="K1416" s="332"/>
      <c r="L1416" s="332"/>
      <c r="M1416" s="76"/>
      <c r="N1416" s="103" t="str">
        <f>IF(A1416="","",VLOOKUP(A1416,Stand!C:K,9,0))</f>
        <v/>
      </c>
      <c r="O1416" s="104" t="str">
        <f t="shared" si="632"/>
        <v/>
      </c>
      <c r="P1416" s="105" t="str">
        <f t="shared" si="633"/>
        <v/>
      </c>
      <c r="Q1416" s="105" t="str">
        <f t="shared" si="621"/>
        <v/>
      </c>
      <c r="R1416" s="103" t="str">
        <f t="shared" si="634"/>
        <v/>
      </c>
      <c r="S1416" s="103" t="str">
        <f t="shared" si="635"/>
        <v/>
      </c>
      <c r="T1416" s="106" t="str">
        <f t="shared" si="622"/>
        <v/>
      </c>
      <c r="U1416" s="106" t="str">
        <f t="shared" si="623"/>
        <v/>
      </c>
      <c r="V1416" s="106" t="str">
        <f t="shared" si="624"/>
        <v/>
      </c>
      <c r="W1416" s="105" t="str">
        <f t="shared" si="636"/>
        <v/>
      </c>
      <c r="X1416" s="104" t="str">
        <f t="shared" si="641"/>
        <v/>
      </c>
      <c r="Y1416" s="104" t="str">
        <f t="array" ref="Y1416">IFERROR(IF(ISNUMBER(O1416),IF(COUNT(IF(A1416=$A$2:$A$2427,IF(D1416=$D$2:$D$2427,IF($X$2:$X$2427&gt;0,1))))&gt;0,SUM(IF(A1416=$A$2:$A$2427,IF(D1416=$D$2:$D$2427,$X$2:$X$2427)))/COUNT(IF(A1416=$A$2:$A$2427,IF(D1416=$D$2:$D$2427,IF(ISNUMBER($X$2:$X$2427),1)))),0),""),0)</f>
        <v/>
      </c>
      <c r="Z1416" s="104" t="str">
        <f>IF(ISNUMBER(O1416),IF(I1416&gt;0,(10^(VLOOKUP(D1416,'Species Codes'!B:C,2,0)+VLOOKUP(D1416,'Species Codes'!B:D,3,0)*LOG(E1416)+VLOOKUP(D1416,'Species Codes'!B:E,4,0)*LOG(I1416))),0),"")</f>
        <v/>
      </c>
      <c r="AA1416" s="104" t="str">
        <f>IFERROR((VLOOKUP(D1416,'Species Codes'!B:G,6,0)*Z1416)/2000,"")</f>
        <v/>
      </c>
      <c r="AB1416" s="104" t="e">
        <f>IF(Z1416&gt;0,((IF(OR(D1416="DF",D1416="RA")=TRUE,EXP(VLOOKUP(D1416,'Species Codes'!B:I,8,0)+VLOOKUP(D1416,'Species Codes'!B:J,9,0)*(LN((E1416*2.54)))),IF(OR(D1416="PY",D1416="RC",D1416="WH",D1416="NF")=TRUE,VLOOKUP(D1416,'Species Codes'!B:I,8,0)+VLOOKUP(D1416,'Species Codes'!B:J,9,0)*((E1416*2.54)^2)*(I1416*0.3048),IF(OR(D1416="MD",D1416="BM",D1416="GA")=TRUE,((VLOOKUP(D1416,'Species Codes'!B:I,8,0)*(((((E1416*2.54)+VLOOKUP(D1416,'Species Codes'!B:J,9,0))/VLOOKUP(D1416,'Species Codes'!B:K,10,0))^VLOOKUP(D1416,'Species Codes'!B:L,11,0))*((I1416*0.3048)^VLOOKUP(D1416,'Species Codes'!B:M,12,0))))-(VLOOKUP(D1416,'Species Codes'!B:I,8,0)*((((E1416*2.54)^VLOOKUP(D1416,'Species Codes'!B:L,11,0))*((I1416*0.3048)^VLOOKUP(D1416,'Species Codes'!B:M,12,0))))))*35.3*VLOOKUP(D1416,'Species Codes'!B:G,6,0)/2.2046,VLOOKUP(D1416,'Species Codes'!B:I,8,0)+VLOOKUP(D1416,'Species Codes'!B:J,9,0)*(((E1416*2.54)/100)^2)*(I1416*0.3048)))))*0.0011023),0)</f>
        <v>#N/A</v>
      </c>
      <c r="AC1416" s="104" t="e">
        <f>IF(Z1416&gt;0,((IF(OR(D1416="RA",D1416="OA",D1416="OT",D1416="UN",D1416="PC"),EXP(VLOOKUP(D1416,'Species Codes'!B:O,14,0)+VLOOKUP(D1416,'Species Codes'!B:P,15,0)*LN((E1416*2.54)))-EXP(VLOOKUP(D1416,'Species Codes'!B:O,14,0)+VLOOKUP(D1416,'Species Codes'!B:P,15,0)*LN((E1416*2.54)))*(1/(VLOOKUP(D1416,'Species Codes'!B:Q,16,0)+VLOOKUP(D1416,'Species Codes'!B:R,17,0)*((E1416*2.54)^VLOOKUP(D1416,'Species Codes'!B:S,18,0)))),IF(OR(D1416="BM",D1416="MD",D1416="OA"),EXP(VLOOKUP(D1416,'Species Codes'!B:O,14,0)+VLOOKUP(D1416,'Species Codes'!B:P,15,0)*LN((E1416*2.54)))*(1-(1/(VLOOKUP(D1416,'Species Codes'!B:Q,16,0)+VLOOKUP(D1416,'Species Codes'!B:R,17,0)*((E1416*2.54)^VLOOKUP(D1416,'Species Codes'!B:S,18,0)))))/1000,IF(D1416="DF",EXP(VLOOKUP(D1416,'Species Codes'!B:O,14,0)+VLOOKUP(D1416,'Species Codes'!B:P,15,0)*LN((E1416*2.54))),VLOOKUP(D1416,'Species Codes'!B:O,14,0)+VLOOKUP(D1416,'Species Codes'!B:P,15,0)*(((E1416*2.54)/100)^2)*(I1416*0.3048)))))*0.0011023),0)</f>
        <v>#N/A</v>
      </c>
      <c r="AD1416" s="104" t="e">
        <f t="shared" si="625"/>
        <v>#N/A</v>
      </c>
      <c r="AE1416" s="104" t="e">
        <f t="shared" si="626"/>
        <v>#N/A</v>
      </c>
      <c r="AF1416" s="104" t="e">
        <f>IF(AND(VLOOKUP($D1416,Merchantability!$B:$C,2,0)="Yes",$E1416&gt;=VLOOKUP($D1416,Merchantability!$B:$D,3,0),$E1416&lt;=VLOOKUP($D1416,Merchantability!$B:$E,4,0)),AA1416,0)</f>
        <v>#N/A</v>
      </c>
      <c r="AG1416" s="104" t="e">
        <f>IF(AND(VLOOKUP($D1416,Merchantability!$B:$C,2,0)="Yes",$E1416&gt;=VLOOKUP($D1416,Merchantability!$B:$D,3,0),$E1416&lt;=VLOOKUP($D1416,Merchantability!$B:$E,4,0)),AB1416,0)</f>
        <v>#N/A</v>
      </c>
      <c r="AH1416" s="104" t="e">
        <f>IF(AND(VLOOKUP($D1416,Merchantability!$B:$C,2,0)="Yes",$E1416&gt;=VLOOKUP($D1416,Merchantability!$B:$D,3,0),$E1416&lt;=VLOOKUP($D1416,Merchantability!$B:$E,4,0)),AC1416,0)</f>
        <v>#N/A</v>
      </c>
      <c r="AI1416" s="104" t="e">
        <f t="shared" si="627"/>
        <v>#N/A</v>
      </c>
      <c r="AJ1416" s="104" t="e">
        <f t="shared" si="628"/>
        <v>#VALUE!</v>
      </c>
      <c r="AK1416" s="104" t="e">
        <f t="shared" si="629"/>
        <v>#N/A</v>
      </c>
      <c r="AL1416" s="104" t="e">
        <f t="shared" si="630"/>
        <v>#N/A</v>
      </c>
      <c r="AM1416" s="104" t="e">
        <f t="shared" si="631"/>
        <v>#N/A</v>
      </c>
      <c r="AN1416" s="104" t="e">
        <f t="shared" si="642"/>
        <v>#N/A</v>
      </c>
      <c r="AO1416" s="104" t="e">
        <f t="shared" si="643"/>
        <v>#N/A</v>
      </c>
      <c r="AP1416" s="104" t="e">
        <f t="shared" si="644"/>
        <v>#N/A</v>
      </c>
      <c r="AQ1416" s="104" t="e">
        <f t="shared" si="645"/>
        <v>#N/A</v>
      </c>
      <c r="AR1416" s="105" t="str">
        <f t="shared" si="637"/>
        <v/>
      </c>
      <c r="AS1416" s="105" t="str">
        <f t="shared" si="638"/>
        <v/>
      </c>
      <c r="AT1416" s="108" t="str">
        <f t="shared" si="639"/>
        <v/>
      </c>
      <c r="AU1416" s="108" t="str">
        <f t="shared" si="640"/>
        <v/>
      </c>
      <c r="AV1416" s="107" t="str">
        <f>IF(ISNUMBER(O1416),IF(VLOOKUP($A1416,Stand!C:J,8,FALSE)="Short",AT1416,AU1416),"")</f>
        <v/>
      </c>
      <c r="AW1416" s="109" t="str">
        <f t="shared" si="646"/>
        <v/>
      </c>
      <c r="AX1416" s="109" t="str">
        <f t="shared" si="647"/>
        <v/>
      </c>
      <c r="AY1416" s="112" t="str">
        <f>IF(ISNUMBER(O1416),IF(AND(VLOOKUP($D1416,Merchantability!$B:$C,2,0)="Yes",$E1416&gt;=VLOOKUP($D1416,Merchantability!$B:$D,3,0),$E1416&lt;=VLOOKUP($D1416,Merchantability!$B:$E,4,0)),(AV1416*O1416)*(1-$H1416/100),""),"")</f>
        <v/>
      </c>
      <c r="AZ1416" s="116"/>
      <c r="BA1416" s="116"/>
      <c r="BB1416" s="116"/>
      <c r="BE1416" s="62"/>
      <c r="BF1416" s="63"/>
    </row>
    <row r="1417" spans="1:58" ht="12.75" customHeight="1" x14ac:dyDescent="0.25">
      <c r="A1417" s="333"/>
      <c r="B1417" s="334"/>
      <c r="C1417" s="332"/>
      <c r="D1417" s="334"/>
      <c r="E1417" s="335"/>
      <c r="F1417" s="334"/>
      <c r="G1417" s="332"/>
      <c r="H1417" s="332"/>
      <c r="I1417" s="334"/>
      <c r="J1417" s="336"/>
      <c r="K1417" s="332"/>
      <c r="L1417" s="332"/>
      <c r="M1417" s="76"/>
      <c r="N1417" s="103" t="str">
        <f>IF(A1417="","",VLOOKUP(A1417,Stand!C:K,9,0))</f>
        <v/>
      </c>
      <c r="O1417" s="104" t="str">
        <f t="shared" si="632"/>
        <v/>
      </c>
      <c r="P1417" s="105" t="str">
        <f t="shared" si="633"/>
        <v/>
      </c>
      <c r="Q1417" s="105" t="str">
        <f t="shared" si="621"/>
        <v/>
      </c>
      <c r="R1417" s="103" t="str">
        <f t="shared" si="634"/>
        <v/>
      </c>
      <c r="S1417" s="103" t="str">
        <f t="shared" si="635"/>
        <v/>
      </c>
      <c r="T1417" s="106" t="str">
        <f t="shared" si="622"/>
        <v/>
      </c>
      <c r="U1417" s="106" t="str">
        <f t="shared" si="623"/>
        <v/>
      </c>
      <c r="V1417" s="106" t="str">
        <f t="shared" si="624"/>
        <v/>
      </c>
      <c r="W1417" s="105" t="str">
        <f t="shared" si="636"/>
        <v/>
      </c>
      <c r="X1417" s="104" t="str">
        <f t="shared" si="641"/>
        <v/>
      </c>
      <c r="Y1417" s="104" t="str">
        <f t="array" ref="Y1417">IFERROR(IF(ISNUMBER(O1417),IF(COUNT(IF(A1417=$A$2:$A$2427,IF(D1417=$D$2:$D$2427,IF($X$2:$X$2427&gt;0,1))))&gt;0,SUM(IF(A1417=$A$2:$A$2427,IF(D1417=$D$2:$D$2427,$X$2:$X$2427)))/COUNT(IF(A1417=$A$2:$A$2427,IF(D1417=$D$2:$D$2427,IF(ISNUMBER($X$2:$X$2427),1)))),0),""),0)</f>
        <v/>
      </c>
      <c r="Z1417" s="104" t="str">
        <f>IF(ISNUMBER(O1417),IF(I1417&gt;0,(10^(VLOOKUP(D1417,'Species Codes'!B:C,2,0)+VLOOKUP(D1417,'Species Codes'!B:D,3,0)*LOG(E1417)+VLOOKUP(D1417,'Species Codes'!B:E,4,0)*LOG(I1417))),0),"")</f>
        <v/>
      </c>
      <c r="AA1417" s="104" t="str">
        <f>IFERROR((VLOOKUP(D1417,'Species Codes'!B:G,6,0)*Z1417)/2000,"")</f>
        <v/>
      </c>
      <c r="AB1417" s="104" t="e">
        <f>IF(Z1417&gt;0,((IF(OR(D1417="DF",D1417="RA")=TRUE,EXP(VLOOKUP(D1417,'Species Codes'!B:I,8,0)+VLOOKUP(D1417,'Species Codes'!B:J,9,0)*(LN((E1417*2.54)))),IF(OR(D1417="PY",D1417="RC",D1417="WH",D1417="NF")=TRUE,VLOOKUP(D1417,'Species Codes'!B:I,8,0)+VLOOKUP(D1417,'Species Codes'!B:J,9,0)*((E1417*2.54)^2)*(I1417*0.3048),IF(OR(D1417="MD",D1417="BM",D1417="GA")=TRUE,((VLOOKUP(D1417,'Species Codes'!B:I,8,0)*(((((E1417*2.54)+VLOOKUP(D1417,'Species Codes'!B:J,9,0))/VLOOKUP(D1417,'Species Codes'!B:K,10,0))^VLOOKUP(D1417,'Species Codes'!B:L,11,0))*((I1417*0.3048)^VLOOKUP(D1417,'Species Codes'!B:M,12,0))))-(VLOOKUP(D1417,'Species Codes'!B:I,8,0)*((((E1417*2.54)^VLOOKUP(D1417,'Species Codes'!B:L,11,0))*((I1417*0.3048)^VLOOKUP(D1417,'Species Codes'!B:M,12,0))))))*35.3*VLOOKUP(D1417,'Species Codes'!B:G,6,0)/2.2046,VLOOKUP(D1417,'Species Codes'!B:I,8,0)+VLOOKUP(D1417,'Species Codes'!B:J,9,0)*(((E1417*2.54)/100)^2)*(I1417*0.3048)))))*0.0011023),0)</f>
        <v>#N/A</v>
      </c>
      <c r="AC1417" s="104" t="e">
        <f>IF(Z1417&gt;0,((IF(OR(D1417="RA",D1417="OA",D1417="OT",D1417="UN",D1417="PC"),EXP(VLOOKUP(D1417,'Species Codes'!B:O,14,0)+VLOOKUP(D1417,'Species Codes'!B:P,15,0)*LN((E1417*2.54)))-EXP(VLOOKUP(D1417,'Species Codes'!B:O,14,0)+VLOOKUP(D1417,'Species Codes'!B:P,15,0)*LN((E1417*2.54)))*(1/(VLOOKUP(D1417,'Species Codes'!B:Q,16,0)+VLOOKUP(D1417,'Species Codes'!B:R,17,0)*((E1417*2.54)^VLOOKUP(D1417,'Species Codes'!B:S,18,0)))),IF(OR(D1417="BM",D1417="MD",D1417="OA"),EXP(VLOOKUP(D1417,'Species Codes'!B:O,14,0)+VLOOKUP(D1417,'Species Codes'!B:P,15,0)*LN((E1417*2.54)))*(1-(1/(VLOOKUP(D1417,'Species Codes'!B:Q,16,0)+VLOOKUP(D1417,'Species Codes'!B:R,17,0)*((E1417*2.54)^VLOOKUP(D1417,'Species Codes'!B:S,18,0)))))/1000,IF(D1417="DF",EXP(VLOOKUP(D1417,'Species Codes'!B:O,14,0)+VLOOKUP(D1417,'Species Codes'!B:P,15,0)*LN((E1417*2.54))),VLOOKUP(D1417,'Species Codes'!B:O,14,0)+VLOOKUP(D1417,'Species Codes'!B:P,15,0)*(((E1417*2.54)/100)^2)*(I1417*0.3048)))))*0.0011023),0)</f>
        <v>#N/A</v>
      </c>
      <c r="AD1417" s="104" t="e">
        <f t="shared" si="625"/>
        <v>#N/A</v>
      </c>
      <c r="AE1417" s="104" t="e">
        <f t="shared" si="626"/>
        <v>#N/A</v>
      </c>
      <c r="AF1417" s="104" t="e">
        <f>IF(AND(VLOOKUP($D1417,Merchantability!$B:$C,2,0)="Yes",$E1417&gt;=VLOOKUP($D1417,Merchantability!$B:$D,3,0),$E1417&lt;=VLOOKUP($D1417,Merchantability!$B:$E,4,0)),AA1417,0)</f>
        <v>#N/A</v>
      </c>
      <c r="AG1417" s="104" t="e">
        <f>IF(AND(VLOOKUP($D1417,Merchantability!$B:$C,2,0)="Yes",$E1417&gt;=VLOOKUP($D1417,Merchantability!$B:$D,3,0),$E1417&lt;=VLOOKUP($D1417,Merchantability!$B:$E,4,0)),AB1417,0)</f>
        <v>#N/A</v>
      </c>
      <c r="AH1417" s="104" t="e">
        <f>IF(AND(VLOOKUP($D1417,Merchantability!$B:$C,2,0)="Yes",$E1417&gt;=VLOOKUP($D1417,Merchantability!$B:$D,3,0),$E1417&lt;=VLOOKUP($D1417,Merchantability!$B:$E,4,0)),AC1417,0)</f>
        <v>#N/A</v>
      </c>
      <c r="AI1417" s="104" t="e">
        <f t="shared" si="627"/>
        <v>#N/A</v>
      </c>
      <c r="AJ1417" s="104" t="e">
        <f t="shared" si="628"/>
        <v>#VALUE!</v>
      </c>
      <c r="AK1417" s="104" t="e">
        <f t="shared" si="629"/>
        <v>#N/A</v>
      </c>
      <c r="AL1417" s="104" t="e">
        <f t="shared" si="630"/>
        <v>#N/A</v>
      </c>
      <c r="AM1417" s="104" t="e">
        <f t="shared" si="631"/>
        <v>#N/A</v>
      </c>
      <c r="AN1417" s="104" t="e">
        <f t="shared" si="642"/>
        <v>#N/A</v>
      </c>
      <c r="AO1417" s="104" t="e">
        <f t="shared" si="643"/>
        <v>#N/A</v>
      </c>
      <c r="AP1417" s="104" t="e">
        <f t="shared" si="644"/>
        <v>#N/A</v>
      </c>
      <c r="AQ1417" s="104" t="e">
        <f t="shared" si="645"/>
        <v>#N/A</v>
      </c>
      <c r="AR1417" s="105" t="str">
        <f t="shared" si="637"/>
        <v/>
      </c>
      <c r="AS1417" s="105" t="str">
        <f t="shared" si="638"/>
        <v/>
      </c>
      <c r="AT1417" s="108" t="str">
        <f t="shared" si="639"/>
        <v/>
      </c>
      <c r="AU1417" s="108" t="str">
        <f t="shared" si="640"/>
        <v/>
      </c>
      <c r="AV1417" s="107" t="str">
        <f>IF(ISNUMBER(O1417),IF(VLOOKUP($A1417,Stand!C:J,8,FALSE)="Short",AT1417,AU1417),"")</f>
        <v/>
      </c>
      <c r="AW1417" s="109" t="str">
        <f t="shared" si="646"/>
        <v/>
      </c>
      <c r="AX1417" s="109" t="str">
        <f t="shared" si="647"/>
        <v/>
      </c>
      <c r="AY1417" s="112" t="str">
        <f>IF(ISNUMBER(O1417),IF(AND(VLOOKUP($D1417,Merchantability!$B:$C,2,0)="Yes",$E1417&gt;=VLOOKUP($D1417,Merchantability!$B:$D,3,0),$E1417&lt;=VLOOKUP($D1417,Merchantability!$B:$E,4,0)),(AV1417*O1417)*(1-$H1417/100),""),"")</f>
        <v/>
      </c>
      <c r="AZ1417" s="116"/>
      <c r="BA1417" s="116"/>
      <c r="BB1417" s="116"/>
      <c r="BE1417" s="62"/>
      <c r="BF1417" s="63"/>
    </row>
    <row r="1418" spans="1:58" ht="12.75" customHeight="1" x14ac:dyDescent="0.25">
      <c r="A1418" s="333"/>
      <c r="B1418" s="334"/>
      <c r="C1418" s="332"/>
      <c r="D1418" s="334"/>
      <c r="E1418" s="335"/>
      <c r="F1418" s="334"/>
      <c r="G1418" s="332"/>
      <c r="H1418" s="332"/>
      <c r="I1418" s="334"/>
      <c r="J1418" s="336"/>
      <c r="K1418" s="332"/>
      <c r="L1418" s="332"/>
      <c r="M1418" s="76"/>
      <c r="N1418" s="103" t="str">
        <f>IF(A1418="","",VLOOKUP(A1418,Stand!C:K,9,0))</f>
        <v/>
      </c>
      <c r="O1418" s="104" t="str">
        <f t="shared" si="632"/>
        <v/>
      </c>
      <c r="P1418" s="105" t="str">
        <f t="shared" si="633"/>
        <v/>
      </c>
      <c r="Q1418" s="105" t="str">
        <f t="shared" si="621"/>
        <v/>
      </c>
      <c r="R1418" s="103" t="str">
        <f t="shared" si="634"/>
        <v/>
      </c>
      <c r="S1418" s="103" t="str">
        <f t="shared" si="635"/>
        <v/>
      </c>
      <c r="T1418" s="106" t="str">
        <f t="shared" si="622"/>
        <v/>
      </c>
      <c r="U1418" s="106" t="str">
        <f t="shared" si="623"/>
        <v/>
      </c>
      <c r="V1418" s="106" t="str">
        <f t="shared" si="624"/>
        <v/>
      </c>
      <c r="W1418" s="105" t="str">
        <f t="shared" si="636"/>
        <v/>
      </c>
      <c r="X1418" s="104" t="str">
        <f t="shared" si="641"/>
        <v/>
      </c>
      <c r="Y1418" s="104" t="str">
        <f t="array" ref="Y1418">IFERROR(IF(ISNUMBER(O1418),IF(COUNT(IF(A1418=$A$2:$A$2427,IF(D1418=$D$2:$D$2427,IF($X$2:$X$2427&gt;0,1))))&gt;0,SUM(IF(A1418=$A$2:$A$2427,IF(D1418=$D$2:$D$2427,$X$2:$X$2427)))/COUNT(IF(A1418=$A$2:$A$2427,IF(D1418=$D$2:$D$2427,IF(ISNUMBER($X$2:$X$2427),1)))),0),""),0)</f>
        <v/>
      </c>
      <c r="Z1418" s="104" t="str">
        <f>IF(ISNUMBER(O1418),IF(I1418&gt;0,(10^(VLOOKUP(D1418,'Species Codes'!B:C,2,0)+VLOOKUP(D1418,'Species Codes'!B:D,3,0)*LOG(E1418)+VLOOKUP(D1418,'Species Codes'!B:E,4,0)*LOG(I1418))),0),"")</f>
        <v/>
      </c>
      <c r="AA1418" s="104" t="str">
        <f>IFERROR((VLOOKUP(D1418,'Species Codes'!B:G,6,0)*Z1418)/2000,"")</f>
        <v/>
      </c>
      <c r="AB1418" s="104" t="e">
        <f>IF(Z1418&gt;0,((IF(OR(D1418="DF",D1418="RA")=TRUE,EXP(VLOOKUP(D1418,'Species Codes'!B:I,8,0)+VLOOKUP(D1418,'Species Codes'!B:J,9,0)*(LN((E1418*2.54)))),IF(OR(D1418="PY",D1418="RC",D1418="WH",D1418="NF")=TRUE,VLOOKUP(D1418,'Species Codes'!B:I,8,0)+VLOOKUP(D1418,'Species Codes'!B:J,9,0)*((E1418*2.54)^2)*(I1418*0.3048),IF(OR(D1418="MD",D1418="BM",D1418="GA")=TRUE,((VLOOKUP(D1418,'Species Codes'!B:I,8,0)*(((((E1418*2.54)+VLOOKUP(D1418,'Species Codes'!B:J,9,0))/VLOOKUP(D1418,'Species Codes'!B:K,10,0))^VLOOKUP(D1418,'Species Codes'!B:L,11,0))*((I1418*0.3048)^VLOOKUP(D1418,'Species Codes'!B:M,12,0))))-(VLOOKUP(D1418,'Species Codes'!B:I,8,0)*((((E1418*2.54)^VLOOKUP(D1418,'Species Codes'!B:L,11,0))*((I1418*0.3048)^VLOOKUP(D1418,'Species Codes'!B:M,12,0))))))*35.3*VLOOKUP(D1418,'Species Codes'!B:G,6,0)/2.2046,VLOOKUP(D1418,'Species Codes'!B:I,8,0)+VLOOKUP(D1418,'Species Codes'!B:J,9,0)*(((E1418*2.54)/100)^2)*(I1418*0.3048)))))*0.0011023),0)</f>
        <v>#N/A</v>
      </c>
      <c r="AC1418" s="104" t="e">
        <f>IF(Z1418&gt;0,((IF(OR(D1418="RA",D1418="OA",D1418="OT",D1418="UN",D1418="PC"),EXP(VLOOKUP(D1418,'Species Codes'!B:O,14,0)+VLOOKUP(D1418,'Species Codes'!B:P,15,0)*LN((E1418*2.54)))-EXP(VLOOKUP(D1418,'Species Codes'!B:O,14,0)+VLOOKUP(D1418,'Species Codes'!B:P,15,0)*LN((E1418*2.54)))*(1/(VLOOKUP(D1418,'Species Codes'!B:Q,16,0)+VLOOKUP(D1418,'Species Codes'!B:R,17,0)*((E1418*2.54)^VLOOKUP(D1418,'Species Codes'!B:S,18,0)))),IF(OR(D1418="BM",D1418="MD",D1418="OA"),EXP(VLOOKUP(D1418,'Species Codes'!B:O,14,0)+VLOOKUP(D1418,'Species Codes'!B:P,15,0)*LN((E1418*2.54)))*(1-(1/(VLOOKUP(D1418,'Species Codes'!B:Q,16,0)+VLOOKUP(D1418,'Species Codes'!B:R,17,0)*((E1418*2.54)^VLOOKUP(D1418,'Species Codes'!B:S,18,0)))))/1000,IF(D1418="DF",EXP(VLOOKUP(D1418,'Species Codes'!B:O,14,0)+VLOOKUP(D1418,'Species Codes'!B:P,15,0)*LN((E1418*2.54))),VLOOKUP(D1418,'Species Codes'!B:O,14,0)+VLOOKUP(D1418,'Species Codes'!B:P,15,0)*(((E1418*2.54)/100)^2)*(I1418*0.3048)))))*0.0011023),0)</f>
        <v>#N/A</v>
      </c>
      <c r="AD1418" s="104" t="e">
        <f t="shared" si="625"/>
        <v>#N/A</v>
      </c>
      <c r="AE1418" s="104" t="e">
        <f t="shared" si="626"/>
        <v>#N/A</v>
      </c>
      <c r="AF1418" s="104" t="e">
        <f>IF(AND(VLOOKUP($D1418,Merchantability!$B:$C,2,0)="Yes",$E1418&gt;=VLOOKUP($D1418,Merchantability!$B:$D,3,0),$E1418&lt;=VLOOKUP($D1418,Merchantability!$B:$E,4,0)),AA1418,0)</f>
        <v>#N/A</v>
      </c>
      <c r="AG1418" s="104" t="e">
        <f>IF(AND(VLOOKUP($D1418,Merchantability!$B:$C,2,0)="Yes",$E1418&gt;=VLOOKUP($D1418,Merchantability!$B:$D,3,0),$E1418&lt;=VLOOKUP($D1418,Merchantability!$B:$E,4,0)),AB1418,0)</f>
        <v>#N/A</v>
      </c>
      <c r="AH1418" s="104" t="e">
        <f>IF(AND(VLOOKUP($D1418,Merchantability!$B:$C,2,0)="Yes",$E1418&gt;=VLOOKUP($D1418,Merchantability!$B:$D,3,0),$E1418&lt;=VLOOKUP($D1418,Merchantability!$B:$E,4,0)),AC1418,0)</f>
        <v>#N/A</v>
      </c>
      <c r="AI1418" s="104" t="e">
        <f t="shared" si="627"/>
        <v>#N/A</v>
      </c>
      <c r="AJ1418" s="104" t="e">
        <f t="shared" si="628"/>
        <v>#VALUE!</v>
      </c>
      <c r="AK1418" s="104" t="e">
        <f t="shared" si="629"/>
        <v>#N/A</v>
      </c>
      <c r="AL1418" s="104" t="e">
        <f t="shared" si="630"/>
        <v>#N/A</v>
      </c>
      <c r="AM1418" s="104" t="e">
        <f t="shared" si="631"/>
        <v>#N/A</v>
      </c>
      <c r="AN1418" s="104" t="e">
        <f t="shared" si="642"/>
        <v>#N/A</v>
      </c>
      <c r="AO1418" s="104" t="e">
        <f t="shared" si="643"/>
        <v>#N/A</v>
      </c>
      <c r="AP1418" s="104" t="e">
        <f t="shared" si="644"/>
        <v>#N/A</v>
      </c>
      <c r="AQ1418" s="104" t="e">
        <f t="shared" si="645"/>
        <v>#N/A</v>
      </c>
      <c r="AR1418" s="105" t="str">
        <f t="shared" si="637"/>
        <v/>
      </c>
      <c r="AS1418" s="105" t="str">
        <f t="shared" si="638"/>
        <v/>
      </c>
      <c r="AT1418" s="108" t="str">
        <f t="shared" si="639"/>
        <v/>
      </c>
      <c r="AU1418" s="108" t="str">
        <f t="shared" si="640"/>
        <v/>
      </c>
      <c r="AV1418" s="107" t="str">
        <f>IF(ISNUMBER(O1418),IF(VLOOKUP($A1418,Stand!C:J,8,FALSE)="Short",AT1418,AU1418),"")</f>
        <v/>
      </c>
      <c r="AW1418" s="109" t="str">
        <f t="shared" si="646"/>
        <v/>
      </c>
      <c r="AX1418" s="109" t="str">
        <f t="shared" si="647"/>
        <v/>
      </c>
      <c r="AY1418" s="112" t="str">
        <f>IF(ISNUMBER(O1418),IF(AND(VLOOKUP($D1418,Merchantability!$B:$C,2,0)="Yes",$E1418&gt;=VLOOKUP($D1418,Merchantability!$B:$D,3,0),$E1418&lt;=VLOOKUP($D1418,Merchantability!$B:$E,4,0)),(AV1418*O1418)*(1-$H1418/100),""),"")</f>
        <v/>
      </c>
      <c r="AZ1418" s="116"/>
      <c r="BA1418" s="116"/>
      <c r="BB1418" s="116"/>
      <c r="BE1418" s="62"/>
      <c r="BF1418" s="63"/>
    </row>
    <row r="1419" spans="1:58" ht="12.75" customHeight="1" x14ac:dyDescent="0.25">
      <c r="A1419" s="333"/>
      <c r="B1419" s="334"/>
      <c r="C1419" s="332"/>
      <c r="D1419" s="334"/>
      <c r="E1419" s="335"/>
      <c r="F1419" s="334"/>
      <c r="G1419" s="332"/>
      <c r="H1419" s="332"/>
      <c r="I1419" s="334"/>
      <c r="J1419" s="336"/>
      <c r="K1419" s="332"/>
      <c r="L1419" s="332"/>
      <c r="M1419" s="76"/>
      <c r="N1419" s="103" t="str">
        <f>IF(A1419="","",VLOOKUP(A1419,Stand!C:K,9,0))</f>
        <v/>
      </c>
      <c r="O1419" s="104" t="str">
        <f t="shared" si="632"/>
        <v/>
      </c>
      <c r="P1419" s="105" t="str">
        <f t="shared" si="633"/>
        <v/>
      </c>
      <c r="Q1419" s="105" t="str">
        <f t="shared" si="621"/>
        <v/>
      </c>
      <c r="R1419" s="103" t="str">
        <f t="shared" si="634"/>
        <v/>
      </c>
      <c r="S1419" s="103" t="str">
        <f t="shared" si="635"/>
        <v/>
      </c>
      <c r="T1419" s="106" t="str">
        <f t="shared" si="622"/>
        <v/>
      </c>
      <c r="U1419" s="106" t="str">
        <f t="shared" si="623"/>
        <v/>
      </c>
      <c r="V1419" s="106" t="str">
        <f t="shared" si="624"/>
        <v/>
      </c>
      <c r="W1419" s="105" t="str">
        <f t="shared" si="636"/>
        <v/>
      </c>
      <c r="X1419" s="104" t="str">
        <f t="shared" si="641"/>
        <v/>
      </c>
      <c r="Y1419" s="104" t="str">
        <f t="array" ref="Y1419">IFERROR(IF(ISNUMBER(O1419),IF(COUNT(IF(A1419=$A$2:$A$2427,IF(D1419=$D$2:$D$2427,IF($X$2:$X$2427&gt;0,1))))&gt;0,SUM(IF(A1419=$A$2:$A$2427,IF(D1419=$D$2:$D$2427,$X$2:$X$2427)))/COUNT(IF(A1419=$A$2:$A$2427,IF(D1419=$D$2:$D$2427,IF(ISNUMBER($X$2:$X$2427),1)))),0),""),0)</f>
        <v/>
      </c>
      <c r="Z1419" s="104" t="str">
        <f>IF(ISNUMBER(O1419),IF(I1419&gt;0,(10^(VLOOKUP(D1419,'Species Codes'!B:C,2,0)+VLOOKUP(D1419,'Species Codes'!B:D,3,0)*LOG(E1419)+VLOOKUP(D1419,'Species Codes'!B:E,4,0)*LOG(I1419))),0),"")</f>
        <v/>
      </c>
      <c r="AA1419" s="104" t="str">
        <f>IFERROR((VLOOKUP(D1419,'Species Codes'!B:G,6,0)*Z1419)/2000,"")</f>
        <v/>
      </c>
      <c r="AB1419" s="104" t="e">
        <f>IF(Z1419&gt;0,((IF(OR(D1419="DF",D1419="RA")=TRUE,EXP(VLOOKUP(D1419,'Species Codes'!B:I,8,0)+VLOOKUP(D1419,'Species Codes'!B:J,9,0)*(LN((E1419*2.54)))),IF(OR(D1419="PY",D1419="RC",D1419="WH",D1419="NF")=TRUE,VLOOKUP(D1419,'Species Codes'!B:I,8,0)+VLOOKUP(D1419,'Species Codes'!B:J,9,0)*((E1419*2.54)^2)*(I1419*0.3048),IF(OR(D1419="MD",D1419="BM",D1419="GA")=TRUE,((VLOOKUP(D1419,'Species Codes'!B:I,8,0)*(((((E1419*2.54)+VLOOKUP(D1419,'Species Codes'!B:J,9,0))/VLOOKUP(D1419,'Species Codes'!B:K,10,0))^VLOOKUP(D1419,'Species Codes'!B:L,11,0))*((I1419*0.3048)^VLOOKUP(D1419,'Species Codes'!B:M,12,0))))-(VLOOKUP(D1419,'Species Codes'!B:I,8,0)*((((E1419*2.54)^VLOOKUP(D1419,'Species Codes'!B:L,11,0))*((I1419*0.3048)^VLOOKUP(D1419,'Species Codes'!B:M,12,0))))))*35.3*VLOOKUP(D1419,'Species Codes'!B:G,6,0)/2.2046,VLOOKUP(D1419,'Species Codes'!B:I,8,0)+VLOOKUP(D1419,'Species Codes'!B:J,9,0)*(((E1419*2.54)/100)^2)*(I1419*0.3048)))))*0.0011023),0)</f>
        <v>#N/A</v>
      </c>
      <c r="AC1419" s="104" t="e">
        <f>IF(Z1419&gt;0,((IF(OR(D1419="RA",D1419="OA",D1419="OT",D1419="UN",D1419="PC"),EXP(VLOOKUP(D1419,'Species Codes'!B:O,14,0)+VLOOKUP(D1419,'Species Codes'!B:P,15,0)*LN((E1419*2.54)))-EXP(VLOOKUP(D1419,'Species Codes'!B:O,14,0)+VLOOKUP(D1419,'Species Codes'!B:P,15,0)*LN((E1419*2.54)))*(1/(VLOOKUP(D1419,'Species Codes'!B:Q,16,0)+VLOOKUP(D1419,'Species Codes'!B:R,17,0)*((E1419*2.54)^VLOOKUP(D1419,'Species Codes'!B:S,18,0)))),IF(OR(D1419="BM",D1419="MD",D1419="OA"),EXP(VLOOKUP(D1419,'Species Codes'!B:O,14,0)+VLOOKUP(D1419,'Species Codes'!B:P,15,0)*LN((E1419*2.54)))*(1-(1/(VLOOKUP(D1419,'Species Codes'!B:Q,16,0)+VLOOKUP(D1419,'Species Codes'!B:R,17,0)*((E1419*2.54)^VLOOKUP(D1419,'Species Codes'!B:S,18,0)))))/1000,IF(D1419="DF",EXP(VLOOKUP(D1419,'Species Codes'!B:O,14,0)+VLOOKUP(D1419,'Species Codes'!B:P,15,0)*LN((E1419*2.54))),VLOOKUP(D1419,'Species Codes'!B:O,14,0)+VLOOKUP(D1419,'Species Codes'!B:P,15,0)*(((E1419*2.54)/100)^2)*(I1419*0.3048)))))*0.0011023),0)</f>
        <v>#N/A</v>
      </c>
      <c r="AD1419" s="104" t="e">
        <f t="shared" si="625"/>
        <v>#N/A</v>
      </c>
      <c r="AE1419" s="104" t="e">
        <f t="shared" si="626"/>
        <v>#N/A</v>
      </c>
      <c r="AF1419" s="104" t="e">
        <f>IF(AND(VLOOKUP($D1419,Merchantability!$B:$C,2,0)="Yes",$E1419&gt;=VLOOKUP($D1419,Merchantability!$B:$D,3,0),$E1419&lt;=VLOOKUP($D1419,Merchantability!$B:$E,4,0)),AA1419,0)</f>
        <v>#N/A</v>
      </c>
      <c r="AG1419" s="104" t="e">
        <f>IF(AND(VLOOKUP($D1419,Merchantability!$B:$C,2,0)="Yes",$E1419&gt;=VLOOKUP($D1419,Merchantability!$B:$D,3,0),$E1419&lt;=VLOOKUP($D1419,Merchantability!$B:$E,4,0)),AB1419,0)</f>
        <v>#N/A</v>
      </c>
      <c r="AH1419" s="104" t="e">
        <f>IF(AND(VLOOKUP($D1419,Merchantability!$B:$C,2,0)="Yes",$E1419&gt;=VLOOKUP($D1419,Merchantability!$B:$D,3,0),$E1419&lt;=VLOOKUP($D1419,Merchantability!$B:$E,4,0)),AC1419,0)</f>
        <v>#N/A</v>
      </c>
      <c r="AI1419" s="104" t="e">
        <f t="shared" si="627"/>
        <v>#N/A</v>
      </c>
      <c r="AJ1419" s="104" t="e">
        <f t="shared" si="628"/>
        <v>#VALUE!</v>
      </c>
      <c r="AK1419" s="104" t="e">
        <f t="shared" si="629"/>
        <v>#N/A</v>
      </c>
      <c r="AL1419" s="104" t="e">
        <f t="shared" si="630"/>
        <v>#N/A</v>
      </c>
      <c r="AM1419" s="104" t="e">
        <f t="shared" si="631"/>
        <v>#N/A</v>
      </c>
      <c r="AN1419" s="104" t="e">
        <f t="shared" si="642"/>
        <v>#N/A</v>
      </c>
      <c r="AO1419" s="104" t="e">
        <f t="shared" si="643"/>
        <v>#N/A</v>
      </c>
      <c r="AP1419" s="104" t="e">
        <f t="shared" si="644"/>
        <v>#N/A</v>
      </c>
      <c r="AQ1419" s="104" t="e">
        <f t="shared" si="645"/>
        <v>#N/A</v>
      </c>
      <c r="AR1419" s="105" t="str">
        <f t="shared" si="637"/>
        <v/>
      </c>
      <c r="AS1419" s="105" t="str">
        <f t="shared" si="638"/>
        <v/>
      </c>
      <c r="AT1419" s="108" t="str">
        <f t="shared" si="639"/>
        <v/>
      </c>
      <c r="AU1419" s="108" t="str">
        <f t="shared" si="640"/>
        <v/>
      </c>
      <c r="AV1419" s="107" t="str">
        <f>IF(ISNUMBER(O1419),IF(VLOOKUP($A1419,Stand!C:J,8,FALSE)="Short",AT1419,AU1419),"")</f>
        <v/>
      </c>
      <c r="AW1419" s="109" t="str">
        <f t="shared" si="646"/>
        <v/>
      </c>
      <c r="AX1419" s="109" t="str">
        <f t="shared" si="647"/>
        <v/>
      </c>
      <c r="AY1419" s="112" t="str">
        <f>IF(ISNUMBER(O1419),IF(AND(VLOOKUP($D1419,Merchantability!$B:$C,2,0)="Yes",$E1419&gt;=VLOOKUP($D1419,Merchantability!$B:$D,3,0),$E1419&lt;=VLOOKUP($D1419,Merchantability!$B:$E,4,0)),(AV1419*O1419)*(1-$H1419/100),""),"")</f>
        <v/>
      </c>
      <c r="AZ1419" s="116"/>
      <c r="BA1419" s="116"/>
      <c r="BB1419" s="116"/>
      <c r="BE1419" s="62"/>
      <c r="BF1419" s="63"/>
    </row>
    <row r="1420" spans="1:58" ht="12.75" customHeight="1" x14ac:dyDescent="0.25">
      <c r="A1420" s="333"/>
      <c r="B1420" s="334"/>
      <c r="C1420" s="332"/>
      <c r="D1420" s="334"/>
      <c r="E1420" s="335"/>
      <c r="F1420" s="334"/>
      <c r="G1420" s="332"/>
      <c r="H1420" s="332"/>
      <c r="I1420" s="334"/>
      <c r="J1420" s="336"/>
      <c r="K1420" s="332"/>
      <c r="L1420" s="332"/>
      <c r="M1420" s="76"/>
      <c r="N1420" s="103" t="str">
        <f>IF(A1420="","",VLOOKUP(A1420,Stand!C:K,9,0))</f>
        <v/>
      </c>
      <c r="O1420" s="104" t="str">
        <f t="shared" si="632"/>
        <v/>
      </c>
      <c r="P1420" s="105" t="str">
        <f t="shared" si="633"/>
        <v/>
      </c>
      <c r="Q1420" s="105" t="str">
        <f t="shared" si="621"/>
        <v/>
      </c>
      <c r="R1420" s="103" t="str">
        <f t="shared" si="634"/>
        <v/>
      </c>
      <c r="S1420" s="103" t="str">
        <f t="shared" si="635"/>
        <v/>
      </c>
      <c r="T1420" s="106" t="str">
        <f t="shared" si="622"/>
        <v/>
      </c>
      <c r="U1420" s="106" t="str">
        <f t="shared" si="623"/>
        <v/>
      </c>
      <c r="V1420" s="106" t="str">
        <f t="shared" si="624"/>
        <v/>
      </c>
      <c r="W1420" s="105" t="str">
        <f t="shared" si="636"/>
        <v/>
      </c>
      <c r="X1420" s="104" t="str">
        <f t="shared" si="641"/>
        <v/>
      </c>
      <c r="Y1420" s="104" t="str">
        <f t="array" ref="Y1420">IFERROR(IF(ISNUMBER(O1420),IF(COUNT(IF(A1420=$A$2:$A$2427,IF(D1420=$D$2:$D$2427,IF($X$2:$X$2427&gt;0,1))))&gt;0,SUM(IF(A1420=$A$2:$A$2427,IF(D1420=$D$2:$D$2427,$X$2:$X$2427)))/COUNT(IF(A1420=$A$2:$A$2427,IF(D1420=$D$2:$D$2427,IF(ISNUMBER($X$2:$X$2427),1)))),0),""),0)</f>
        <v/>
      </c>
      <c r="Z1420" s="104" t="str">
        <f>IF(ISNUMBER(O1420),IF(I1420&gt;0,(10^(VLOOKUP(D1420,'Species Codes'!B:C,2,0)+VLOOKUP(D1420,'Species Codes'!B:D,3,0)*LOG(E1420)+VLOOKUP(D1420,'Species Codes'!B:E,4,0)*LOG(I1420))),0),"")</f>
        <v/>
      </c>
      <c r="AA1420" s="104" t="str">
        <f>IFERROR((VLOOKUP(D1420,'Species Codes'!B:G,6,0)*Z1420)/2000,"")</f>
        <v/>
      </c>
      <c r="AB1420" s="104" t="e">
        <f>IF(Z1420&gt;0,((IF(OR(D1420="DF",D1420="RA")=TRUE,EXP(VLOOKUP(D1420,'Species Codes'!B:I,8,0)+VLOOKUP(D1420,'Species Codes'!B:J,9,0)*(LN((E1420*2.54)))),IF(OR(D1420="PY",D1420="RC",D1420="WH",D1420="NF")=TRUE,VLOOKUP(D1420,'Species Codes'!B:I,8,0)+VLOOKUP(D1420,'Species Codes'!B:J,9,0)*((E1420*2.54)^2)*(I1420*0.3048),IF(OR(D1420="MD",D1420="BM",D1420="GA")=TRUE,((VLOOKUP(D1420,'Species Codes'!B:I,8,0)*(((((E1420*2.54)+VLOOKUP(D1420,'Species Codes'!B:J,9,0))/VLOOKUP(D1420,'Species Codes'!B:K,10,0))^VLOOKUP(D1420,'Species Codes'!B:L,11,0))*((I1420*0.3048)^VLOOKUP(D1420,'Species Codes'!B:M,12,0))))-(VLOOKUP(D1420,'Species Codes'!B:I,8,0)*((((E1420*2.54)^VLOOKUP(D1420,'Species Codes'!B:L,11,0))*((I1420*0.3048)^VLOOKUP(D1420,'Species Codes'!B:M,12,0))))))*35.3*VLOOKUP(D1420,'Species Codes'!B:G,6,0)/2.2046,VLOOKUP(D1420,'Species Codes'!B:I,8,0)+VLOOKUP(D1420,'Species Codes'!B:J,9,0)*(((E1420*2.54)/100)^2)*(I1420*0.3048)))))*0.0011023),0)</f>
        <v>#N/A</v>
      </c>
      <c r="AC1420" s="104" t="e">
        <f>IF(Z1420&gt;0,((IF(OR(D1420="RA",D1420="OA",D1420="OT",D1420="UN",D1420="PC"),EXP(VLOOKUP(D1420,'Species Codes'!B:O,14,0)+VLOOKUP(D1420,'Species Codes'!B:P,15,0)*LN((E1420*2.54)))-EXP(VLOOKUP(D1420,'Species Codes'!B:O,14,0)+VLOOKUP(D1420,'Species Codes'!B:P,15,0)*LN((E1420*2.54)))*(1/(VLOOKUP(D1420,'Species Codes'!B:Q,16,0)+VLOOKUP(D1420,'Species Codes'!B:R,17,0)*((E1420*2.54)^VLOOKUP(D1420,'Species Codes'!B:S,18,0)))),IF(OR(D1420="BM",D1420="MD",D1420="OA"),EXP(VLOOKUP(D1420,'Species Codes'!B:O,14,0)+VLOOKUP(D1420,'Species Codes'!B:P,15,0)*LN((E1420*2.54)))*(1-(1/(VLOOKUP(D1420,'Species Codes'!B:Q,16,0)+VLOOKUP(D1420,'Species Codes'!B:R,17,0)*((E1420*2.54)^VLOOKUP(D1420,'Species Codes'!B:S,18,0)))))/1000,IF(D1420="DF",EXP(VLOOKUP(D1420,'Species Codes'!B:O,14,0)+VLOOKUP(D1420,'Species Codes'!B:P,15,0)*LN((E1420*2.54))),VLOOKUP(D1420,'Species Codes'!B:O,14,0)+VLOOKUP(D1420,'Species Codes'!B:P,15,0)*(((E1420*2.54)/100)^2)*(I1420*0.3048)))))*0.0011023),0)</f>
        <v>#N/A</v>
      </c>
      <c r="AD1420" s="104" t="e">
        <f t="shared" si="625"/>
        <v>#N/A</v>
      </c>
      <c r="AE1420" s="104" t="e">
        <f t="shared" si="626"/>
        <v>#N/A</v>
      </c>
      <c r="AF1420" s="104" t="e">
        <f>IF(AND(VLOOKUP($D1420,Merchantability!$B:$C,2,0)="Yes",$E1420&gt;=VLOOKUP($D1420,Merchantability!$B:$D,3,0),$E1420&lt;=VLOOKUP($D1420,Merchantability!$B:$E,4,0)),AA1420,0)</f>
        <v>#N/A</v>
      </c>
      <c r="AG1420" s="104" t="e">
        <f>IF(AND(VLOOKUP($D1420,Merchantability!$B:$C,2,0)="Yes",$E1420&gt;=VLOOKUP($D1420,Merchantability!$B:$D,3,0),$E1420&lt;=VLOOKUP($D1420,Merchantability!$B:$E,4,0)),AB1420,0)</f>
        <v>#N/A</v>
      </c>
      <c r="AH1420" s="104" t="e">
        <f>IF(AND(VLOOKUP($D1420,Merchantability!$B:$C,2,0)="Yes",$E1420&gt;=VLOOKUP($D1420,Merchantability!$B:$D,3,0),$E1420&lt;=VLOOKUP($D1420,Merchantability!$B:$E,4,0)),AC1420,0)</f>
        <v>#N/A</v>
      </c>
      <c r="AI1420" s="104" t="e">
        <f t="shared" si="627"/>
        <v>#N/A</v>
      </c>
      <c r="AJ1420" s="104" t="e">
        <f t="shared" si="628"/>
        <v>#VALUE!</v>
      </c>
      <c r="AK1420" s="104" t="e">
        <f t="shared" si="629"/>
        <v>#N/A</v>
      </c>
      <c r="AL1420" s="104" t="e">
        <f t="shared" si="630"/>
        <v>#N/A</v>
      </c>
      <c r="AM1420" s="104" t="e">
        <f t="shared" si="631"/>
        <v>#N/A</v>
      </c>
      <c r="AN1420" s="104" t="e">
        <f t="shared" si="642"/>
        <v>#N/A</v>
      </c>
      <c r="AO1420" s="104" t="e">
        <f t="shared" si="643"/>
        <v>#N/A</v>
      </c>
      <c r="AP1420" s="104" t="e">
        <f t="shared" si="644"/>
        <v>#N/A</v>
      </c>
      <c r="AQ1420" s="104" t="e">
        <f t="shared" si="645"/>
        <v>#N/A</v>
      </c>
      <c r="AR1420" s="105" t="str">
        <f t="shared" si="637"/>
        <v/>
      </c>
      <c r="AS1420" s="105" t="str">
        <f t="shared" si="638"/>
        <v/>
      </c>
      <c r="AT1420" s="108" t="str">
        <f t="shared" si="639"/>
        <v/>
      </c>
      <c r="AU1420" s="108" t="str">
        <f t="shared" si="640"/>
        <v/>
      </c>
      <c r="AV1420" s="107" t="str">
        <f>IF(ISNUMBER(O1420),IF(VLOOKUP($A1420,Stand!C:J,8,FALSE)="Short",AT1420,AU1420),"")</f>
        <v/>
      </c>
      <c r="AW1420" s="109" t="str">
        <f t="shared" si="646"/>
        <v/>
      </c>
      <c r="AX1420" s="109" t="str">
        <f t="shared" si="647"/>
        <v/>
      </c>
      <c r="AY1420" s="112" t="str">
        <f>IF(ISNUMBER(O1420),IF(AND(VLOOKUP($D1420,Merchantability!$B:$C,2,0)="Yes",$E1420&gt;=VLOOKUP($D1420,Merchantability!$B:$D,3,0),$E1420&lt;=VLOOKUP($D1420,Merchantability!$B:$E,4,0)),(AV1420*O1420)*(1-$H1420/100),""),"")</f>
        <v/>
      </c>
      <c r="AZ1420" s="116"/>
      <c r="BA1420" s="116"/>
      <c r="BB1420" s="116"/>
      <c r="BE1420" s="62"/>
      <c r="BF1420" s="63"/>
    </row>
    <row r="1421" spans="1:58" ht="12.75" customHeight="1" x14ac:dyDescent="0.25">
      <c r="A1421" s="333"/>
      <c r="B1421" s="334"/>
      <c r="C1421" s="332"/>
      <c r="D1421" s="334"/>
      <c r="E1421" s="335"/>
      <c r="F1421" s="334"/>
      <c r="G1421" s="332"/>
      <c r="H1421" s="332"/>
      <c r="I1421" s="334"/>
      <c r="J1421" s="336"/>
      <c r="K1421" s="332"/>
      <c r="L1421" s="332"/>
      <c r="M1421" s="76"/>
      <c r="N1421" s="103" t="str">
        <f>IF(A1421="","",VLOOKUP(A1421,Stand!C:K,9,0))</f>
        <v/>
      </c>
      <c r="O1421" s="104" t="str">
        <f t="shared" si="632"/>
        <v/>
      </c>
      <c r="P1421" s="105" t="str">
        <f t="shared" si="633"/>
        <v/>
      </c>
      <c r="Q1421" s="105" t="str">
        <f t="shared" si="621"/>
        <v/>
      </c>
      <c r="R1421" s="103" t="str">
        <f t="shared" si="634"/>
        <v/>
      </c>
      <c r="S1421" s="103" t="str">
        <f t="shared" si="635"/>
        <v/>
      </c>
      <c r="T1421" s="106" t="str">
        <f t="shared" si="622"/>
        <v/>
      </c>
      <c r="U1421" s="106" t="str">
        <f t="shared" si="623"/>
        <v/>
      </c>
      <c r="V1421" s="106" t="str">
        <f t="shared" si="624"/>
        <v/>
      </c>
      <c r="W1421" s="105" t="str">
        <f t="shared" si="636"/>
        <v/>
      </c>
      <c r="X1421" s="104" t="str">
        <f t="shared" si="641"/>
        <v/>
      </c>
      <c r="Y1421" s="104" t="str">
        <f t="array" ref="Y1421">IFERROR(IF(ISNUMBER(O1421),IF(COUNT(IF(A1421=$A$2:$A$2427,IF(D1421=$D$2:$D$2427,IF($X$2:$X$2427&gt;0,1))))&gt;0,SUM(IF(A1421=$A$2:$A$2427,IF(D1421=$D$2:$D$2427,$X$2:$X$2427)))/COUNT(IF(A1421=$A$2:$A$2427,IF(D1421=$D$2:$D$2427,IF(ISNUMBER($X$2:$X$2427),1)))),0),""),0)</f>
        <v/>
      </c>
      <c r="Z1421" s="104" t="str">
        <f>IF(ISNUMBER(O1421),IF(I1421&gt;0,(10^(VLOOKUP(D1421,'Species Codes'!B:C,2,0)+VLOOKUP(D1421,'Species Codes'!B:D,3,0)*LOG(E1421)+VLOOKUP(D1421,'Species Codes'!B:E,4,0)*LOG(I1421))),0),"")</f>
        <v/>
      </c>
      <c r="AA1421" s="104" t="str">
        <f>IFERROR((VLOOKUP(D1421,'Species Codes'!B:G,6,0)*Z1421)/2000,"")</f>
        <v/>
      </c>
      <c r="AB1421" s="104" t="e">
        <f>IF(Z1421&gt;0,((IF(OR(D1421="DF",D1421="RA")=TRUE,EXP(VLOOKUP(D1421,'Species Codes'!B:I,8,0)+VLOOKUP(D1421,'Species Codes'!B:J,9,0)*(LN((E1421*2.54)))),IF(OR(D1421="PY",D1421="RC",D1421="WH",D1421="NF")=TRUE,VLOOKUP(D1421,'Species Codes'!B:I,8,0)+VLOOKUP(D1421,'Species Codes'!B:J,9,0)*((E1421*2.54)^2)*(I1421*0.3048),IF(OR(D1421="MD",D1421="BM",D1421="GA")=TRUE,((VLOOKUP(D1421,'Species Codes'!B:I,8,0)*(((((E1421*2.54)+VLOOKUP(D1421,'Species Codes'!B:J,9,0))/VLOOKUP(D1421,'Species Codes'!B:K,10,0))^VLOOKUP(D1421,'Species Codes'!B:L,11,0))*((I1421*0.3048)^VLOOKUP(D1421,'Species Codes'!B:M,12,0))))-(VLOOKUP(D1421,'Species Codes'!B:I,8,0)*((((E1421*2.54)^VLOOKUP(D1421,'Species Codes'!B:L,11,0))*((I1421*0.3048)^VLOOKUP(D1421,'Species Codes'!B:M,12,0))))))*35.3*VLOOKUP(D1421,'Species Codes'!B:G,6,0)/2.2046,VLOOKUP(D1421,'Species Codes'!B:I,8,0)+VLOOKUP(D1421,'Species Codes'!B:J,9,0)*(((E1421*2.54)/100)^2)*(I1421*0.3048)))))*0.0011023),0)</f>
        <v>#N/A</v>
      </c>
      <c r="AC1421" s="104" t="e">
        <f>IF(Z1421&gt;0,((IF(OR(D1421="RA",D1421="OA",D1421="OT",D1421="UN",D1421="PC"),EXP(VLOOKUP(D1421,'Species Codes'!B:O,14,0)+VLOOKUP(D1421,'Species Codes'!B:P,15,0)*LN((E1421*2.54)))-EXP(VLOOKUP(D1421,'Species Codes'!B:O,14,0)+VLOOKUP(D1421,'Species Codes'!B:P,15,0)*LN((E1421*2.54)))*(1/(VLOOKUP(D1421,'Species Codes'!B:Q,16,0)+VLOOKUP(D1421,'Species Codes'!B:R,17,0)*((E1421*2.54)^VLOOKUP(D1421,'Species Codes'!B:S,18,0)))),IF(OR(D1421="BM",D1421="MD",D1421="OA"),EXP(VLOOKUP(D1421,'Species Codes'!B:O,14,0)+VLOOKUP(D1421,'Species Codes'!B:P,15,0)*LN((E1421*2.54)))*(1-(1/(VLOOKUP(D1421,'Species Codes'!B:Q,16,0)+VLOOKUP(D1421,'Species Codes'!B:R,17,0)*((E1421*2.54)^VLOOKUP(D1421,'Species Codes'!B:S,18,0)))))/1000,IF(D1421="DF",EXP(VLOOKUP(D1421,'Species Codes'!B:O,14,0)+VLOOKUP(D1421,'Species Codes'!B:P,15,0)*LN((E1421*2.54))),VLOOKUP(D1421,'Species Codes'!B:O,14,0)+VLOOKUP(D1421,'Species Codes'!B:P,15,0)*(((E1421*2.54)/100)^2)*(I1421*0.3048)))))*0.0011023),0)</f>
        <v>#N/A</v>
      </c>
      <c r="AD1421" s="104" t="e">
        <f t="shared" si="625"/>
        <v>#N/A</v>
      </c>
      <c r="AE1421" s="104" t="e">
        <f t="shared" si="626"/>
        <v>#N/A</v>
      </c>
      <c r="AF1421" s="104" t="e">
        <f>IF(AND(VLOOKUP($D1421,Merchantability!$B:$C,2,0)="Yes",$E1421&gt;=VLOOKUP($D1421,Merchantability!$B:$D,3,0),$E1421&lt;=VLOOKUP($D1421,Merchantability!$B:$E,4,0)),AA1421,0)</f>
        <v>#N/A</v>
      </c>
      <c r="AG1421" s="104" t="e">
        <f>IF(AND(VLOOKUP($D1421,Merchantability!$B:$C,2,0)="Yes",$E1421&gt;=VLOOKUP($D1421,Merchantability!$B:$D,3,0),$E1421&lt;=VLOOKUP($D1421,Merchantability!$B:$E,4,0)),AB1421,0)</f>
        <v>#N/A</v>
      </c>
      <c r="AH1421" s="104" t="e">
        <f>IF(AND(VLOOKUP($D1421,Merchantability!$B:$C,2,0)="Yes",$E1421&gt;=VLOOKUP($D1421,Merchantability!$B:$D,3,0),$E1421&lt;=VLOOKUP($D1421,Merchantability!$B:$E,4,0)),AC1421,0)</f>
        <v>#N/A</v>
      </c>
      <c r="AI1421" s="104" t="e">
        <f t="shared" si="627"/>
        <v>#N/A</v>
      </c>
      <c r="AJ1421" s="104" t="e">
        <f t="shared" si="628"/>
        <v>#VALUE!</v>
      </c>
      <c r="AK1421" s="104" t="e">
        <f t="shared" si="629"/>
        <v>#N/A</v>
      </c>
      <c r="AL1421" s="104" t="e">
        <f t="shared" si="630"/>
        <v>#N/A</v>
      </c>
      <c r="AM1421" s="104" t="e">
        <f t="shared" si="631"/>
        <v>#N/A</v>
      </c>
      <c r="AN1421" s="104" t="e">
        <f t="shared" si="642"/>
        <v>#N/A</v>
      </c>
      <c r="AO1421" s="104" t="e">
        <f t="shared" si="643"/>
        <v>#N/A</v>
      </c>
      <c r="AP1421" s="104" t="e">
        <f t="shared" si="644"/>
        <v>#N/A</v>
      </c>
      <c r="AQ1421" s="104" t="e">
        <f t="shared" si="645"/>
        <v>#N/A</v>
      </c>
      <c r="AR1421" s="105" t="str">
        <f t="shared" si="637"/>
        <v/>
      </c>
      <c r="AS1421" s="105" t="str">
        <f t="shared" si="638"/>
        <v/>
      </c>
      <c r="AT1421" s="108" t="str">
        <f t="shared" si="639"/>
        <v/>
      </c>
      <c r="AU1421" s="108" t="str">
        <f t="shared" si="640"/>
        <v/>
      </c>
      <c r="AV1421" s="107" t="str">
        <f>IF(ISNUMBER(O1421),IF(VLOOKUP($A1421,Stand!C:J,8,FALSE)="Short",AT1421,AU1421),"")</f>
        <v/>
      </c>
      <c r="AW1421" s="109" t="str">
        <f t="shared" si="646"/>
        <v/>
      </c>
      <c r="AX1421" s="109" t="str">
        <f t="shared" si="647"/>
        <v/>
      </c>
      <c r="AY1421" s="112" t="str">
        <f>IF(ISNUMBER(O1421),IF(AND(VLOOKUP($D1421,Merchantability!$B:$C,2,0)="Yes",$E1421&gt;=VLOOKUP($D1421,Merchantability!$B:$D,3,0),$E1421&lt;=VLOOKUP($D1421,Merchantability!$B:$E,4,0)),(AV1421*O1421)*(1-$H1421/100),""),"")</f>
        <v/>
      </c>
      <c r="AZ1421" s="116"/>
      <c r="BA1421" s="116"/>
      <c r="BB1421" s="116"/>
      <c r="BE1421" s="62"/>
      <c r="BF1421" s="63"/>
    </row>
    <row r="1422" spans="1:58" ht="12.75" customHeight="1" x14ac:dyDescent="0.25">
      <c r="A1422" s="333"/>
      <c r="B1422" s="334"/>
      <c r="C1422" s="332"/>
      <c r="D1422" s="334"/>
      <c r="E1422" s="335"/>
      <c r="F1422" s="334"/>
      <c r="G1422" s="332"/>
      <c r="H1422" s="332"/>
      <c r="I1422" s="334"/>
      <c r="J1422" s="336"/>
      <c r="K1422" s="332"/>
      <c r="L1422" s="332"/>
      <c r="M1422" s="76"/>
      <c r="N1422" s="103" t="str">
        <f>IF(A1422="","",VLOOKUP(A1422,Stand!C:K,9,0))</f>
        <v/>
      </c>
      <c r="O1422" s="104" t="str">
        <f t="shared" si="632"/>
        <v/>
      </c>
      <c r="P1422" s="105" t="str">
        <f t="shared" si="633"/>
        <v/>
      </c>
      <c r="Q1422" s="105" t="str">
        <f t="shared" si="621"/>
        <v/>
      </c>
      <c r="R1422" s="103" t="str">
        <f t="shared" si="634"/>
        <v/>
      </c>
      <c r="S1422" s="103" t="str">
        <f t="shared" si="635"/>
        <v/>
      </c>
      <c r="T1422" s="106" t="str">
        <f t="shared" si="622"/>
        <v/>
      </c>
      <c r="U1422" s="106" t="str">
        <f t="shared" si="623"/>
        <v/>
      </c>
      <c r="V1422" s="106" t="str">
        <f t="shared" si="624"/>
        <v/>
      </c>
      <c r="W1422" s="105" t="str">
        <f t="shared" si="636"/>
        <v/>
      </c>
      <c r="X1422" s="104" t="str">
        <f t="shared" si="641"/>
        <v/>
      </c>
      <c r="Y1422" s="104" t="str">
        <f t="array" ref="Y1422">IFERROR(IF(ISNUMBER(O1422),IF(COUNT(IF(A1422=$A$2:$A$2427,IF(D1422=$D$2:$D$2427,IF($X$2:$X$2427&gt;0,1))))&gt;0,SUM(IF(A1422=$A$2:$A$2427,IF(D1422=$D$2:$D$2427,$X$2:$X$2427)))/COUNT(IF(A1422=$A$2:$A$2427,IF(D1422=$D$2:$D$2427,IF(ISNUMBER($X$2:$X$2427),1)))),0),""),0)</f>
        <v/>
      </c>
      <c r="Z1422" s="104" t="str">
        <f>IF(ISNUMBER(O1422),IF(I1422&gt;0,(10^(VLOOKUP(D1422,'Species Codes'!B:C,2,0)+VLOOKUP(D1422,'Species Codes'!B:D,3,0)*LOG(E1422)+VLOOKUP(D1422,'Species Codes'!B:E,4,0)*LOG(I1422))),0),"")</f>
        <v/>
      </c>
      <c r="AA1422" s="104" t="str">
        <f>IFERROR((VLOOKUP(D1422,'Species Codes'!B:G,6,0)*Z1422)/2000,"")</f>
        <v/>
      </c>
      <c r="AB1422" s="104" t="e">
        <f>IF(Z1422&gt;0,((IF(OR(D1422="DF",D1422="RA")=TRUE,EXP(VLOOKUP(D1422,'Species Codes'!B:I,8,0)+VLOOKUP(D1422,'Species Codes'!B:J,9,0)*(LN((E1422*2.54)))),IF(OR(D1422="PY",D1422="RC",D1422="WH",D1422="NF")=TRUE,VLOOKUP(D1422,'Species Codes'!B:I,8,0)+VLOOKUP(D1422,'Species Codes'!B:J,9,0)*((E1422*2.54)^2)*(I1422*0.3048),IF(OR(D1422="MD",D1422="BM",D1422="GA")=TRUE,((VLOOKUP(D1422,'Species Codes'!B:I,8,0)*(((((E1422*2.54)+VLOOKUP(D1422,'Species Codes'!B:J,9,0))/VLOOKUP(D1422,'Species Codes'!B:K,10,0))^VLOOKUP(D1422,'Species Codes'!B:L,11,0))*((I1422*0.3048)^VLOOKUP(D1422,'Species Codes'!B:M,12,0))))-(VLOOKUP(D1422,'Species Codes'!B:I,8,0)*((((E1422*2.54)^VLOOKUP(D1422,'Species Codes'!B:L,11,0))*((I1422*0.3048)^VLOOKUP(D1422,'Species Codes'!B:M,12,0))))))*35.3*VLOOKUP(D1422,'Species Codes'!B:G,6,0)/2.2046,VLOOKUP(D1422,'Species Codes'!B:I,8,0)+VLOOKUP(D1422,'Species Codes'!B:J,9,0)*(((E1422*2.54)/100)^2)*(I1422*0.3048)))))*0.0011023),0)</f>
        <v>#N/A</v>
      </c>
      <c r="AC1422" s="104" t="e">
        <f>IF(Z1422&gt;0,((IF(OR(D1422="RA",D1422="OA",D1422="OT",D1422="UN",D1422="PC"),EXP(VLOOKUP(D1422,'Species Codes'!B:O,14,0)+VLOOKUP(D1422,'Species Codes'!B:P,15,0)*LN((E1422*2.54)))-EXP(VLOOKUP(D1422,'Species Codes'!B:O,14,0)+VLOOKUP(D1422,'Species Codes'!B:P,15,0)*LN((E1422*2.54)))*(1/(VLOOKUP(D1422,'Species Codes'!B:Q,16,0)+VLOOKUP(D1422,'Species Codes'!B:R,17,0)*((E1422*2.54)^VLOOKUP(D1422,'Species Codes'!B:S,18,0)))),IF(OR(D1422="BM",D1422="MD",D1422="OA"),EXP(VLOOKUP(D1422,'Species Codes'!B:O,14,0)+VLOOKUP(D1422,'Species Codes'!B:P,15,0)*LN((E1422*2.54)))*(1-(1/(VLOOKUP(D1422,'Species Codes'!B:Q,16,0)+VLOOKUP(D1422,'Species Codes'!B:R,17,0)*((E1422*2.54)^VLOOKUP(D1422,'Species Codes'!B:S,18,0)))))/1000,IF(D1422="DF",EXP(VLOOKUP(D1422,'Species Codes'!B:O,14,0)+VLOOKUP(D1422,'Species Codes'!B:P,15,0)*LN((E1422*2.54))),VLOOKUP(D1422,'Species Codes'!B:O,14,0)+VLOOKUP(D1422,'Species Codes'!B:P,15,0)*(((E1422*2.54)/100)^2)*(I1422*0.3048)))))*0.0011023),0)</f>
        <v>#N/A</v>
      </c>
      <c r="AD1422" s="104" t="e">
        <f t="shared" si="625"/>
        <v>#N/A</v>
      </c>
      <c r="AE1422" s="104" t="e">
        <f t="shared" si="626"/>
        <v>#N/A</v>
      </c>
      <c r="AF1422" s="104" t="e">
        <f>IF(AND(VLOOKUP($D1422,Merchantability!$B:$C,2,0)="Yes",$E1422&gt;=VLOOKUP($D1422,Merchantability!$B:$D,3,0),$E1422&lt;=VLOOKUP($D1422,Merchantability!$B:$E,4,0)),AA1422,0)</f>
        <v>#N/A</v>
      </c>
      <c r="AG1422" s="104" t="e">
        <f>IF(AND(VLOOKUP($D1422,Merchantability!$B:$C,2,0)="Yes",$E1422&gt;=VLOOKUP($D1422,Merchantability!$B:$D,3,0),$E1422&lt;=VLOOKUP($D1422,Merchantability!$B:$E,4,0)),AB1422,0)</f>
        <v>#N/A</v>
      </c>
      <c r="AH1422" s="104" t="e">
        <f>IF(AND(VLOOKUP($D1422,Merchantability!$B:$C,2,0)="Yes",$E1422&gt;=VLOOKUP($D1422,Merchantability!$B:$D,3,0),$E1422&lt;=VLOOKUP($D1422,Merchantability!$B:$E,4,0)),AC1422,0)</f>
        <v>#N/A</v>
      </c>
      <c r="AI1422" s="104" t="e">
        <f t="shared" si="627"/>
        <v>#N/A</v>
      </c>
      <c r="AJ1422" s="104" t="e">
        <f t="shared" si="628"/>
        <v>#VALUE!</v>
      </c>
      <c r="AK1422" s="104" t="e">
        <f t="shared" si="629"/>
        <v>#N/A</v>
      </c>
      <c r="AL1422" s="104" t="e">
        <f t="shared" si="630"/>
        <v>#N/A</v>
      </c>
      <c r="AM1422" s="104" t="e">
        <f t="shared" si="631"/>
        <v>#N/A</v>
      </c>
      <c r="AN1422" s="104" t="e">
        <f t="shared" si="642"/>
        <v>#N/A</v>
      </c>
      <c r="AO1422" s="104" t="e">
        <f t="shared" si="643"/>
        <v>#N/A</v>
      </c>
      <c r="AP1422" s="104" t="e">
        <f t="shared" si="644"/>
        <v>#N/A</v>
      </c>
      <c r="AQ1422" s="104" t="e">
        <f t="shared" si="645"/>
        <v>#N/A</v>
      </c>
      <c r="AR1422" s="105" t="str">
        <f t="shared" si="637"/>
        <v/>
      </c>
      <c r="AS1422" s="105" t="str">
        <f t="shared" si="638"/>
        <v/>
      </c>
      <c r="AT1422" s="108" t="str">
        <f t="shared" si="639"/>
        <v/>
      </c>
      <c r="AU1422" s="108" t="str">
        <f t="shared" si="640"/>
        <v/>
      </c>
      <c r="AV1422" s="107" t="str">
        <f>IF(ISNUMBER(O1422),IF(VLOOKUP($A1422,Stand!C:J,8,FALSE)="Short",AT1422,AU1422),"")</f>
        <v/>
      </c>
      <c r="AW1422" s="109" t="str">
        <f t="shared" si="646"/>
        <v/>
      </c>
      <c r="AX1422" s="109" t="str">
        <f t="shared" si="647"/>
        <v/>
      </c>
      <c r="AY1422" s="112" t="str">
        <f>IF(ISNUMBER(O1422),IF(AND(VLOOKUP($D1422,Merchantability!$B:$C,2,0)="Yes",$E1422&gt;=VLOOKUP($D1422,Merchantability!$B:$D,3,0),$E1422&lt;=VLOOKUP($D1422,Merchantability!$B:$E,4,0)),(AV1422*O1422)*(1-$H1422/100),""),"")</f>
        <v/>
      </c>
      <c r="AZ1422" s="116"/>
      <c r="BA1422" s="116"/>
      <c r="BB1422" s="116"/>
      <c r="BE1422" s="62"/>
      <c r="BF1422" s="63"/>
    </row>
    <row r="1423" spans="1:58" ht="12.75" customHeight="1" x14ac:dyDescent="0.25">
      <c r="A1423" s="333"/>
      <c r="B1423" s="334"/>
      <c r="C1423" s="332"/>
      <c r="D1423" s="334"/>
      <c r="E1423" s="335"/>
      <c r="F1423" s="334"/>
      <c r="G1423" s="332"/>
      <c r="H1423" s="332"/>
      <c r="I1423" s="334"/>
      <c r="J1423" s="336"/>
      <c r="K1423" s="332"/>
      <c r="L1423" s="332"/>
      <c r="M1423" s="76"/>
      <c r="N1423" s="103" t="str">
        <f>IF(A1423="","",VLOOKUP(A1423,Stand!C:K,9,0))</f>
        <v/>
      </c>
      <c r="O1423" s="104" t="str">
        <f t="shared" si="632"/>
        <v/>
      </c>
      <c r="P1423" s="105" t="str">
        <f t="shared" si="633"/>
        <v/>
      </c>
      <c r="Q1423" s="105" t="str">
        <f t="shared" si="621"/>
        <v/>
      </c>
      <c r="R1423" s="103" t="str">
        <f t="shared" si="634"/>
        <v/>
      </c>
      <c r="S1423" s="103" t="str">
        <f t="shared" si="635"/>
        <v/>
      </c>
      <c r="T1423" s="106" t="str">
        <f t="shared" si="622"/>
        <v/>
      </c>
      <c r="U1423" s="106" t="str">
        <f t="shared" si="623"/>
        <v/>
      </c>
      <c r="V1423" s="106" t="str">
        <f t="shared" si="624"/>
        <v/>
      </c>
      <c r="W1423" s="105" t="str">
        <f t="shared" si="636"/>
        <v/>
      </c>
      <c r="X1423" s="104" t="str">
        <f t="shared" si="641"/>
        <v/>
      </c>
      <c r="Y1423" s="104" t="str">
        <f t="array" ref="Y1423">IFERROR(IF(ISNUMBER(O1423),IF(COUNT(IF(A1423=$A$2:$A$2427,IF(D1423=$D$2:$D$2427,IF($X$2:$X$2427&gt;0,1))))&gt;0,SUM(IF(A1423=$A$2:$A$2427,IF(D1423=$D$2:$D$2427,$X$2:$X$2427)))/COUNT(IF(A1423=$A$2:$A$2427,IF(D1423=$D$2:$D$2427,IF(ISNUMBER($X$2:$X$2427),1)))),0),""),0)</f>
        <v/>
      </c>
      <c r="Z1423" s="104" t="str">
        <f>IF(ISNUMBER(O1423),IF(I1423&gt;0,(10^(VLOOKUP(D1423,'Species Codes'!B:C,2,0)+VLOOKUP(D1423,'Species Codes'!B:D,3,0)*LOG(E1423)+VLOOKUP(D1423,'Species Codes'!B:E,4,0)*LOG(I1423))),0),"")</f>
        <v/>
      </c>
      <c r="AA1423" s="104" t="str">
        <f>IFERROR((VLOOKUP(D1423,'Species Codes'!B:G,6,0)*Z1423)/2000,"")</f>
        <v/>
      </c>
      <c r="AB1423" s="104" t="e">
        <f>IF(Z1423&gt;0,((IF(OR(D1423="DF",D1423="RA")=TRUE,EXP(VLOOKUP(D1423,'Species Codes'!B:I,8,0)+VLOOKUP(D1423,'Species Codes'!B:J,9,0)*(LN((E1423*2.54)))),IF(OR(D1423="PY",D1423="RC",D1423="WH",D1423="NF")=TRUE,VLOOKUP(D1423,'Species Codes'!B:I,8,0)+VLOOKUP(D1423,'Species Codes'!B:J,9,0)*((E1423*2.54)^2)*(I1423*0.3048),IF(OR(D1423="MD",D1423="BM",D1423="GA")=TRUE,((VLOOKUP(D1423,'Species Codes'!B:I,8,0)*(((((E1423*2.54)+VLOOKUP(D1423,'Species Codes'!B:J,9,0))/VLOOKUP(D1423,'Species Codes'!B:K,10,0))^VLOOKUP(D1423,'Species Codes'!B:L,11,0))*((I1423*0.3048)^VLOOKUP(D1423,'Species Codes'!B:M,12,0))))-(VLOOKUP(D1423,'Species Codes'!B:I,8,0)*((((E1423*2.54)^VLOOKUP(D1423,'Species Codes'!B:L,11,0))*((I1423*0.3048)^VLOOKUP(D1423,'Species Codes'!B:M,12,0))))))*35.3*VLOOKUP(D1423,'Species Codes'!B:G,6,0)/2.2046,VLOOKUP(D1423,'Species Codes'!B:I,8,0)+VLOOKUP(D1423,'Species Codes'!B:J,9,0)*(((E1423*2.54)/100)^2)*(I1423*0.3048)))))*0.0011023),0)</f>
        <v>#N/A</v>
      </c>
      <c r="AC1423" s="104" t="e">
        <f>IF(Z1423&gt;0,((IF(OR(D1423="RA",D1423="OA",D1423="OT",D1423="UN",D1423="PC"),EXP(VLOOKUP(D1423,'Species Codes'!B:O,14,0)+VLOOKUP(D1423,'Species Codes'!B:P,15,0)*LN((E1423*2.54)))-EXP(VLOOKUP(D1423,'Species Codes'!B:O,14,0)+VLOOKUP(D1423,'Species Codes'!B:P,15,0)*LN((E1423*2.54)))*(1/(VLOOKUP(D1423,'Species Codes'!B:Q,16,0)+VLOOKUP(D1423,'Species Codes'!B:R,17,0)*((E1423*2.54)^VLOOKUP(D1423,'Species Codes'!B:S,18,0)))),IF(OR(D1423="BM",D1423="MD",D1423="OA"),EXP(VLOOKUP(D1423,'Species Codes'!B:O,14,0)+VLOOKUP(D1423,'Species Codes'!B:P,15,0)*LN((E1423*2.54)))*(1-(1/(VLOOKUP(D1423,'Species Codes'!B:Q,16,0)+VLOOKUP(D1423,'Species Codes'!B:R,17,0)*((E1423*2.54)^VLOOKUP(D1423,'Species Codes'!B:S,18,0)))))/1000,IF(D1423="DF",EXP(VLOOKUP(D1423,'Species Codes'!B:O,14,0)+VLOOKUP(D1423,'Species Codes'!B:P,15,0)*LN((E1423*2.54))),VLOOKUP(D1423,'Species Codes'!B:O,14,0)+VLOOKUP(D1423,'Species Codes'!B:P,15,0)*(((E1423*2.54)/100)^2)*(I1423*0.3048)))))*0.0011023),0)</f>
        <v>#N/A</v>
      </c>
      <c r="AD1423" s="104" t="e">
        <f t="shared" si="625"/>
        <v>#N/A</v>
      </c>
      <c r="AE1423" s="104" t="e">
        <f t="shared" si="626"/>
        <v>#N/A</v>
      </c>
      <c r="AF1423" s="104" t="e">
        <f>IF(AND(VLOOKUP($D1423,Merchantability!$B:$C,2,0)="Yes",$E1423&gt;=VLOOKUP($D1423,Merchantability!$B:$D,3,0),$E1423&lt;=VLOOKUP($D1423,Merchantability!$B:$E,4,0)),AA1423,0)</f>
        <v>#N/A</v>
      </c>
      <c r="AG1423" s="104" t="e">
        <f>IF(AND(VLOOKUP($D1423,Merchantability!$B:$C,2,0)="Yes",$E1423&gt;=VLOOKUP($D1423,Merchantability!$B:$D,3,0),$E1423&lt;=VLOOKUP($D1423,Merchantability!$B:$E,4,0)),AB1423,0)</f>
        <v>#N/A</v>
      </c>
      <c r="AH1423" s="104" t="e">
        <f>IF(AND(VLOOKUP($D1423,Merchantability!$B:$C,2,0)="Yes",$E1423&gt;=VLOOKUP($D1423,Merchantability!$B:$D,3,0),$E1423&lt;=VLOOKUP($D1423,Merchantability!$B:$E,4,0)),AC1423,0)</f>
        <v>#N/A</v>
      </c>
      <c r="AI1423" s="104" t="e">
        <f t="shared" si="627"/>
        <v>#N/A</v>
      </c>
      <c r="AJ1423" s="104" t="e">
        <f t="shared" si="628"/>
        <v>#VALUE!</v>
      </c>
      <c r="AK1423" s="104" t="e">
        <f t="shared" si="629"/>
        <v>#N/A</v>
      </c>
      <c r="AL1423" s="104" t="e">
        <f t="shared" si="630"/>
        <v>#N/A</v>
      </c>
      <c r="AM1423" s="104" t="e">
        <f t="shared" si="631"/>
        <v>#N/A</v>
      </c>
      <c r="AN1423" s="104" t="e">
        <f t="shared" si="642"/>
        <v>#N/A</v>
      </c>
      <c r="AO1423" s="104" t="e">
        <f t="shared" si="643"/>
        <v>#N/A</v>
      </c>
      <c r="AP1423" s="104" t="e">
        <f t="shared" si="644"/>
        <v>#N/A</v>
      </c>
      <c r="AQ1423" s="104" t="e">
        <f t="shared" si="645"/>
        <v>#N/A</v>
      </c>
      <c r="AR1423" s="105" t="str">
        <f t="shared" si="637"/>
        <v/>
      </c>
      <c r="AS1423" s="105" t="str">
        <f t="shared" si="638"/>
        <v/>
      </c>
      <c r="AT1423" s="108" t="str">
        <f t="shared" si="639"/>
        <v/>
      </c>
      <c r="AU1423" s="108" t="str">
        <f t="shared" si="640"/>
        <v/>
      </c>
      <c r="AV1423" s="107" t="str">
        <f>IF(ISNUMBER(O1423),IF(VLOOKUP($A1423,Stand!C:J,8,FALSE)="Short",AT1423,AU1423),"")</f>
        <v/>
      </c>
      <c r="AW1423" s="109" t="str">
        <f t="shared" si="646"/>
        <v/>
      </c>
      <c r="AX1423" s="109" t="str">
        <f t="shared" si="647"/>
        <v/>
      </c>
      <c r="AY1423" s="112" t="str">
        <f>IF(ISNUMBER(O1423),IF(AND(VLOOKUP($D1423,Merchantability!$B:$C,2,0)="Yes",$E1423&gt;=VLOOKUP($D1423,Merchantability!$B:$D,3,0),$E1423&lt;=VLOOKUP($D1423,Merchantability!$B:$E,4,0)),(AV1423*O1423)*(1-$H1423/100),""),"")</f>
        <v/>
      </c>
      <c r="AZ1423" s="116"/>
      <c r="BA1423" s="116"/>
      <c r="BB1423" s="116"/>
      <c r="BE1423" s="62"/>
      <c r="BF1423" s="63"/>
    </row>
    <row r="1424" spans="1:58" ht="12.75" customHeight="1" x14ac:dyDescent="0.25">
      <c r="A1424" s="333"/>
      <c r="B1424" s="334"/>
      <c r="C1424" s="332"/>
      <c r="D1424" s="334"/>
      <c r="E1424" s="335"/>
      <c r="F1424" s="334"/>
      <c r="G1424" s="332"/>
      <c r="H1424" s="332"/>
      <c r="I1424" s="334"/>
      <c r="J1424" s="336"/>
      <c r="K1424" s="332"/>
      <c r="L1424" s="332"/>
      <c r="M1424" s="76"/>
      <c r="N1424" s="103" t="str">
        <f>IF(A1424="","",VLOOKUP(A1424,Stand!C:K,9,0))</f>
        <v/>
      </c>
      <c r="O1424" s="104" t="str">
        <f t="shared" si="632"/>
        <v/>
      </c>
      <c r="P1424" s="105" t="str">
        <f t="shared" si="633"/>
        <v/>
      </c>
      <c r="Q1424" s="105" t="str">
        <f t="shared" si="621"/>
        <v/>
      </c>
      <c r="R1424" s="103" t="str">
        <f t="shared" si="634"/>
        <v/>
      </c>
      <c r="S1424" s="103" t="str">
        <f t="shared" si="635"/>
        <v/>
      </c>
      <c r="T1424" s="106" t="str">
        <f t="shared" si="622"/>
        <v/>
      </c>
      <c r="U1424" s="106" t="str">
        <f t="shared" si="623"/>
        <v/>
      </c>
      <c r="V1424" s="106" t="str">
        <f t="shared" si="624"/>
        <v/>
      </c>
      <c r="W1424" s="105" t="str">
        <f t="shared" si="636"/>
        <v/>
      </c>
      <c r="X1424" s="104" t="str">
        <f t="shared" si="641"/>
        <v/>
      </c>
      <c r="Y1424" s="104" t="str">
        <f t="array" ref="Y1424">IFERROR(IF(ISNUMBER(O1424),IF(COUNT(IF(A1424=$A$2:$A$2427,IF(D1424=$D$2:$D$2427,IF($X$2:$X$2427&gt;0,1))))&gt;0,SUM(IF(A1424=$A$2:$A$2427,IF(D1424=$D$2:$D$2427,$X$2:$X$2427)))/COUNT(IF(A1424=$A$2:$A$2427,IF(D1424=$D$2:$D$2427,IF(ISNUMBER($X$2:$X$2427),1)))),0),""),0)</f>
        <v/>
      </c>
      <c r="Z1424" s="104" t="str">
        <f>IF(ISNUMBER(O1424),IF(I1424&gt;0,(10^(VLOOKUP(D1424,'Species Codes'!B:C,2,0)+VLOOKUP(D1424,'Species Codes'!B:D,3,0)*LOG(E1424)+VLOOKUP(D1424,'Species Codes'!B:E,4,0)*LOG(I1424))),0),"")</f>
        <v/>
      </c>
      <c r="AA1424" s="104" t="str">
        <f>IFERROR((VLOOKUP(D1424,'Species Codes'!B:G,6,0)*Z1424)/2000,"")</f>
        <v/>
      </c>
      <c r="AB1424" s="104" t="e">
        <f>IF(Z1424&gt;0,((IF(OR(D1424="DF",D1424="RA")=TRUE,EXP(VLOOKUP(D1424,'Species Codes'!B:I,8,0)+VLOOKUP(D1424,'Species Codes'!B:J,9,0)*(LN((E1424*2.54)))),IF(OR(D1424="PY",D1424="RC",D1424="WH",D1424="NF")=TRUE,VLOOKUP(D1424,'Species Codes'!B:I,8,0)+VLOOKUP(D1424,'Species Codes'!B:J,9,0)*((E1424*2.54)^2)*(I1424*0.3048),IF(OR(D1424="MD",D1424="BM",D1424="GA")=TRUE,((VLOOKUP(D1424,'Species Codes'!B:I,8,0)*(((((E1424*2.54)+VLOOKUP(D1424,'Species Codes'!B:J,9,0))/VLOOKUP(D1424,'Species Codes'!B:K,10,0))^VLOOKUP(D1424,'Species Codes'!B:L,11,0))*((I1424*0.3048)^VLOOKUP(D1424,'Species Codes'!B:M,12,0))))-(VLOOKUP(D1424,'Species Codes'!B:I,8,0)*((((E1424*2.54)^VLOOKUP(D1424,'Species Codes'!B:L,11,0))*((I1424*0.3048)^VLOOKUP(D1424,'Species Codes'!B:M,12,0))))))*35.3*VLOOKUP(D1424,'Species Codes'!B:G,6,0)/2.2046,VLOOKUP(D1424,'Species Codes'!B:I,8,0)+VLOOKUP(D1424,'Species Codes'!B:J,9,0)*(((E1424*2.54)/100)^2)*(I1424*0.3048)))))*0.0011023),0)</f>
        <v>#N/A</v>
      </c>
      <c r="AC1424" s="104" t="e">
        <f>IF(Z1424&gt;0,((IF(OR(D1424="RA",D1424="OA",D1424="OT",D1424="UN",D1424="PC"),EXP(VLOOKUP(D1424,'Species Codes'!B:O,14,0)+VLOOKUP(D1424,'Species Codes'!B:P,15,0)*LN((E1424*2.54)))-EXP(VLOOKUP(D1424,'Species Codes'!B:O,14,0)+VLOOKUP(D1424,'Species Codes'!B:P,15,0)*LN((E1424*2.54)))*(1/(VLOOKUP(D1424,'Species Codes'!B:Q,16,0)+VLOOKUP(D1424,'Species Codes'!B:R,17,0)*((E1424*2.54)^VLOOKUP(D1424,'Species Codes'!B:S,18,0)))),IF(OR(D1424="BM",D1424="MD",D1424="OA"),EXP(VLOOKUP(D1424,'Species Codes'!B:O,14,0)+VLOOKUP(D1424,'Species Codes'!B:P,15,0)*LN((E1424*2.54)))*(1-(1/(VLOOKUP(D1424,'Species Codes'!B:Q,16,0)+VLOOKUP(D1424,'Species Codes'!B:R,17,0)*((E1424*2.54)^VLOOKUP(D1424,'Species Codes'!B:S,18,0)))))/1000,IF(D1424="DF",EXP(VLOOKUP(D1424,'Species Codes'!B:O,14,0)+VLOOKUP(D1424,'Species Codes'!B:P,15,0)*LN((E1424*2.54))),VLOOKUP(D1424,'Species Codes'!B:O,14,0)+VLOOKUP(D1424,'Species Codes'!B:P,15,0)*(((E1424*2.54)/100)^2)*(I1424*0.3048)))))*0.0011023),0)</f>
        <v>#N/A</v>
      </c>
      <c r="AD1424" s="104" t="e">
        <f t="shared" si="625"/>
        <v>#N/A</v>
      </c>
      <c r="AE1424" s="104" t="e">
        <f t="shared" si="626"/>
        <v>#N/A</v>
      </c>
      <c r="AF1424" s="104" t="e">
        <f>IF(AND(VLOOKUP($D1424,Merchantability!$B:$C,2,0)="Yes",$E1424&gt;=VLOOKUP($D1424,Merchantability!$B:$D,3,0),$E1424&lt;=VLOOKUP($D1424,Merchantability!$B:$E,4,0)),AA1424,0)</f>
        <v>#N/A</v>
      </c>
      <c r="AG1424" s="104" t="e">
        <f>IF(AND(VLOOKUP($D1424,Merchantability!$B:$C,2,0)="Yes",$E1424&gt;=VLOOKUP($D1424,Merchantability!$B:$D,3,0),$E1424&lt;=VLOOKUP($D1424,Merchantability!$B:$E,4,0)),AB1424,0)</f>
        <v>#N/A</v>
      </c>
      <c r="AH1424" s="104" t="e">
        <f>IF(AND(VLOOKUP($D1424,Merchantability!$B:$C,2,0)="Yes",$E1424&gt;=VLOOKUP($D1424,Merchantability!$B:$D,3,0),$E1424&lt;=VLOOKUP($D1424,Merchantability!$B:$E,4,0)),AC1424,0)</f>
        <v>#N/A</v>
      </c>
      <c r="AI1424" s="104" t="e">
        <f t="shared" si="627"/>
        <v>#N/A</v>
      </c>
      <c r="AJ1424" s="104" t="e">
        <f t="shared" si="628"/>
        <v>#VALUE!</v>
      </c>
      <c r="AK1424" s="104" t="e">
        <f t="shared" si="629"/>
        <v>#N/A</v>
      </c>
      <c r="AL1424" s="104" t="e">
        <f t="shared" si="630"/>
        <v>#N/A</v>
      </c>
      <c r="AM1424" s="104" t="e">
        <f t="shared" si="631"/>
        <v>#N/A</v>
      </c>
      <c r="AN1424" s="104" t="e">
        <f t="shared" si="642"/>
        <v>#N/A</v>
      </c>
      <c r="AO1424" s="104" t="e">
        <f t="shared" si="643"/>
        <v>#N/A</v>
      </c>
      <c r="AP1424" s="104" t="e">
        <f t="shared" si="644"/>
        <v>#N/A</v>
      </c>
      <c r="AQ1424" s="104" t="e">
        <f t="shared" si="645"/>
        <v>#N/A</v>
      </c>
      <c r="AR1424" s="105" t="str">
        <f t="shared" si="637"/>
        <v/>
      </c>
      <c r="AS1424" s="105" t="str">
        <f t="shared" si="638"/>
        <v/>
      </c>
      <c r="AT1424" s="108" t="str">
        <f t="shared" si="639"/>
        <v/>
      </c>
      <c r="AU1424" s="108" t="str">
        <f t="shared" si="640"/>
        <v/>
      </c>
      <c r="AV1424" s="107" t="str">
        <f>IF(ISNUMBER(O1424),IF(VLOOKUP($A1424,Stand!C:J,8,FALSE)="Short",AT1424,AU1424),"")</f>
        <v/>
      </c>
      <c r="AW1424" s="109" t="str">
        <f t="shared" si="646"/>
        <v/>
      </c>
      <c r="AX1424" s="109" t="str">
        <f t="shared" si="647"/>
        <v/>
      </c>
      <c r="AY1424" s="112" t="str">
        <f>IF(ISNUMBER(O1424),IF(AND(VLOOKUP($D1424,Merchantability!$B:$C,2,0)="Yes",$E1424&gt;=VLOOKUP($D1424,Merchantability!$B:$D,3,0),$E1424&lt;=VLOOKUP($D1424,Merchantability!$B:$E,4,0)),(AV1424*O1424)*(1-$H1424/100),""),"")</f>
        <v/>
      </c>
      <c r="AZ1424" s="116"/>
      <c r="BA1424" s="116"/>
      <c r="BB1424" s="116"/>
      <c r="BE1424" s="62"/>
      <c r="BF1424" s="63"/>
    </row>
    <row r="1425" spans="1:58" ht="12.75" customHeight="1" x14ac:dyDescent="0.25">
      <c r="A1425" s="333"/>
      <c r="B1425" s="334"/>
      <c r="C1425" s="332"/>
      <c r="D1425" s="334"/>
      <c r="E1425" s="335"/>
      <c r="F1425" s="334"/>
      <c r="G1425" s="332"/>
      <c r="H1425" s="332"/>
      <c r="I1425" s="334"/>
      <c r="J1425" s="336"/>
      <c r="K1425" s="332"/>
      <c r="L1425" s="332"/>
      <c r="M1425" s="76"/>
      <c r="N1425" s="103" t="str">
        <f>IF(A1425="","",VLOOKUP(A1425,Stand!C:K,9,0))</f>
        <v/>
      </c>
      <c r="O1425" s="104" t="str">
        <f t="shared" si="632"/>
        <v/>
      </c>
      <c r="P1425" s="105" t="str">
        <f t="shared" si="633"/>
        <v/>
      </c>
      <c r="Q1425" s="105" t="str">
        <f t="shared" si="621"/>
        <v/>
      </c>
      <c r="R1425" s="103" t="str">
        <f t="shared" si="634"/>
        <v/>
      </c>
      <c r="S1425" s="103" t="str">
        <f t="shared" si="635"/>
        <v/>
      </c>
      <c r="T1425" s="106" t="str">
        <f t="shared" si="622"/>
        <v/>
      </c>
      <c r="U1425" s="106" t="str">
        <f t="shared" si="623"/>
        <v/>
      </c>
      <c r="V1425" s="106" t="str">
        <f t="shared" si="624"/>
        <v/>
      </c>
      <c r="W1425" s="105" t="str">
        <f t="shared" si="636"/>
        <v/>
      </c>
      <c r="X1425" s="104" t="str">
        <f t="shared" si="641"/>
        <v/>
      </c>
      <c r="Y1425" s="104" t="str">
        <f t="array" ref="Y1425">IFERROR(IF(ISNUMBER(O1425),IF(COUNT(IF(A1425=$A$2:$A$2427,IF(D1425=$D$2:$D$2427,IF($X$2:$X$2427&gt;0,1))))&gt;0,SUM(IF(A1425=$A$2:$A$2427,IF(D1425=$D$2:$D$2427,$X$2:$X$2427)))/COUNT(IF(A1425=$A$2:$A$2427,IF(D1425=$D$2:$D$2427,IF(ISNUMBER($X$2:$X$2427),1)))),0),""),0)</f>
        <v/>
      </c>
      <c r="Z1425" s="104" t="str">
        <f>IF(ISNUMBER(O1425),IF(I1425&gt;0,(10^(VLOOKUP(D1425,'Species Codes'!B:C,2,0)+VLOOKUP(D1425,'Species Codes'!B:D,3,0)*LOG(E1425)+VLOOKUP(D1425,'Species Codes'!B:E,4,0)*LOG(I1425))),0),"")</f>
        <v/>
      </c>
      <c r="AA1425" s="104" t="str">
        <f>IFERROR((VLOOKUP(D1425,'Species Codes'!B:G,6,0)*Z1425)/2000,"")</f>
        <v/>
      </c>
      <c r="AB1425" s="104" t="e">
        <f>IF(Z1425&gt;0,((IF(OR(D1425="DF",D1425="RA")=TRUE,EXP(VLOOKUP(D1425,'Species Codes'!B:I,8,0)+VLOOKUP(D1425,'Species Codes'!B:J,9,0)*(LN((E1425*2.54)))),IF(OR(D1425="PY",D1425="RC",D1425="WH",D1425="NF")=TRUE,VLOOKUP(D1425,'Species Codes'!B:I,8,0)+VLOOKUP(D1425,'Species Codes'!B:J,9,0)*((E1425*2.54)^2)*(I1425*0.3048),IF(OR(D1425="MD",D1425="BM",D1425="GA")=TRUE,((VLOOKUP(D1425,'Species Codes'!B:I,8,0)*(((((E1425*2.54)+VLOOKUP(D1425,'Species Codes'!B:J,9,0))/VLOOKUP(D1425,'Species Codes'!B:K,10,0))^VLOOKUP(D1425,'Species Codes'!B:L,11,0))*((I1425*0.3048)^VLOOKUP(D1425,'Species Codes'!B:M,12,0))))-(VLOOKUP(D1425,'Species Codes'!B:I,8,0)*((((E1425*2.54)^VLOOKUP(D1425,'Species Codes'!B:L,11,0))*((I1425*0.3048)^VLOOKUP(D1425,'Species Codes'!B:M,12,0))))))*35.3*VLOOKUP(D1425,'Species Codes'!B:G,6,0)/2.2046,VLOOKUP(D1425,'Species Codes'!B:I,8,0)+VLOOKUP(D1425,'Species Codes'!B:J,9,0)*(((E1425*2.54)/100)^2)*(I1425*0.3048)))))*0.0011023),0)</f>
        <v>#N/A</v>
      </c>
      <c r="AC1425" s="104" t="e">
        <f>IF(Z1425&gt;0,((IF(OR(D1425="RA",D1425="OA",D1425="OT",D1425="UN",D1425="PC"),EXP(VLOOKUP(D1425,'Species Codes'!B:O,14,0)+VLOOKUP(D1425,'Species Codes'!B:P,15,0)*LN((E1425*2.54)))-EXP(VLOOKUP(D1425,'Species Codes'!B:O,14,0)+VLOOKUP(D1425,'Species Codes'!B:P,15,0)*LN((E1425*2.54)))*(1/(VLOOKUP(D1425,'Species Codes'!B:Q,16,0)+VLOOKUP(D1425,'Species Codes'!B:R,17,0)*((E1425*2.54)^VLOOKUP(D1425,'Species Codes'!B:S,18,0)))),IF(OR(D1425="BM",D1425="MD",D1425="OA"),EXP(VLOOKUP(D1425,'Species Codes'!B:O,14,0)+VLOOKUP(D1425,'Species Codes'!B:P,15,0)*LN((E1425*2.54)))*(1-(1/(VLOOKUP(D1425,'Species Codes'!B:Q,16,0)+VLOOKUP(D1425,'Species Codes'!B:R,17,0)*((E1425*2.54)^VLOOKUP(D1425,'Species Codes'!B:S,18,0)))))/1000,IF(D1425="DF",EXP(VLOOKUP(D1425,'Species Codes'!B:O,14,0)+VLOOKUP(D1425,'Species Codes'!B:P,15,0)*LN((E1425*2.54))),VLOOKUP(D1425,'Species Codes'!B:O,14,0)+VLOOKUP(D1425,'Species Codes'!B:P,15,0)*(((E1425*2.54)/100)^2)*(I1425*0.3048)))))*0.0011023),0)</f>
        <v>#N/A</v>
      </c>
      <c r="AD1425" s="104" t="e">
        <f t="shared" si="625"/>
        <v>#N/A</v>
      </c>
      <c r="AE1425" s="104" t="e">
        <f t="shared" si="626"/>
        <v>#N/A</v>
      </c>
      <c r="AF1425" s="104" t="e">
        <f>IF(AND(VLOOKUP($D1425,Merchantability!$B:$C,2,0)="Yes",$E1425&gt;=VLOOKUP($D1425,Merchantability!$B:$D,3,0),$E1425&lt;=VLOOKUP($D1425,Merchantability!$B:$E,4,0)),AA1425,0)</f>
        <v>#N/A</v>
      </c>
      <c r="AG1425" s="104" t="e">
        <f>IF(AND(VLOOKUP($D1425,Merchantability!$B:$C,2,0)="Yes",$E1425&gt;=VLOOKUP($D1425,Merchantability!$B:$D,3,0),$E1425&lt;=VLOOKUP($D1425,Merchantability!$B:$E,4,0)),AB1425,0)</f>
        <v>#N/A</v>
      </c>
      <c r="AH1425" s="104" t="e">
        <f>IF(AND(VLOOKUP($D1425,Merchantability!$B:$C,2,0)="Yes",$E1425&gt;=VLOOKUP($D1425,Merchantability!$B:$D,3,0),$E1425&lt;=VLOOKUP($D1425,Merchantability!$B:$E,4,0)),AC1425,0)</f>
        <v>#N/A</v>
      </c>
      <c r="AI1425" s="104" t="e">
        <f t="shared" si="627"/>
        <v>#N/A</v>
      </c>
      <c r="AJ1425" s="104" t="e">
        <f t="shared" si="628"/>
        <v>#VALUE!</v>
      </c>
      <c r="AK1425" s="104" t="e">
        <f t="shared" si="629"/>
        <v>#N/A</v>
      </c>
      <c r="AL1425" s="104" t="e">
        <f t="shared" si="630"/>
        <v>#N/A</v>
      </c>
      <c r="AM1425" s="104" t="e">
        <f t="shared" si="631"/>
        <v>#N/A</v>
      </c>
      <c r="AN1425" s="104" t="e">
        <f t="shared" si="642"/>
        <v>#N/A</v>
      </c>
      <c r="AO1425" s="104" t="e">
        <f t="shared" si="643"/>
        <v>#N/A</v>
      </c>
      <c r="AP1425" s="104" t="e">
        <f t="shared" si="644"/>
        <v>#N/A</v>
      </c>
      <c r="AQ1425" s="104" t="e">
        <f t="shared" si="645"/>
        <v>#N/A</v>
      </c>
      <c r="AR1425" s="105" t="str">
        <f t="shared" si="637"/>
        <v/>
      </c>
      <c r="AS1425" s="105" t="str">
        <f t="shared" si="638"/>
        <v/>
      </c>
      <c r="AT1425" s="108" t="str">
        <f t="shared" si="639"/>
        <v/>
      </c>
      <c r="AU1425" s="108" t="str">
        <f t="shared" si="640"/>
        <v/>
      </c>
      <c r="AV1425" s="107" t="str">
        <f>IF(ISNUMBER(O1425),IF(VLOOKUP($A1425,Stand!C:J,8,FALSE)="Short",AT1425,AU1425),"")</f>
        <v/>
      </c>
      <c r="AW1425" s="109" t="str">
        <f t="shared" si="646"/>
        <v/>
      </c>
      <c r="AX1425" s="109" t="str">
        <f t="shared" si="647"/>
        <v/>
      </c>
      <c r="AY1425" s="112" t="str">
        <f>IF(ISNUMBER(O1425),IF(AND(VLOOKUP($D1425,Merchantability!$B:$C,2,0)="Yes",$E1425&gt;=VLOOKUP($D1425,Merchantability!$B:$D,3,0),$E1425&lt;=VLOOKUP($D1425,Merchantability!$B:$E,4,0)),(AV1425*O1425)*(1-$H1425/100),""),"")</f>
        <v/>
      </c>
      <c r="AZ1425" s="116"/>
      <c r="BA1425" s="116"/>
      <c r="BB1425" s="116"/>
      <c r="BE1425" s="62"/>
      <c r="BF1425" s="63"/>
    </row>
    <row r="1426" spans="1:58" ht="12.75" customHeight="1" x14ac:dyDescent="0.25">
      <c r="A1426" s="333"/>
      <c r="B1426" s="334"/>
      <c r="C1426" s="332"/>
      <c r="D1426" s="334"/>
      <c r="E1426" s="335"/>
      <c r="F1426" s="334"/>
      <c r="G1426" s="332"/>
      <c r="H1426" s="332"/>
      <c r="I1426" s="334"/>
      <c r="J1426" s="336"/>
      <c r="K1426" s="332"/>
      <c r="L1426" s="332"/>
      <c r="M1426" s="76"/>
      <c r="N1426" s="103" t="str">
        <f>IF(A1426="","",VLOOKUP(A1426,Stand!C:K,9,0))</f>
        <v/>
      </c>
      <c r="O1426" s="104" t="str">
        <f t="shared" si="632"/>
        <v/>
      </c>
      <c r="P1426" s="105" t="str">
        <f t="shared" si="633"/>
        <v/>
      </c>
      <c r="Q1426" s="105" t="str">
        <f t="shared" si="621"/>
        <v/>
      </c>
      <c r="R1426" s="103" t="str">
        <f t="shared" si="634"/>
        <v/>
      </c>
      <c r="S1426" s="103" t="str">
        <f t="shared" si="635"/>
        <v/>
      </c>
      <c r="T1426" s="106" t="str">
        <f t="shared" si="622"/>
        <v/>
      </c>
      <c r="U1426" s="106" t="str">
        <f t="shared" si="623"/>
        <v/>
      </c>
      <c r="V1426" s="106" t="str">
        <f t="shared" si="624"/>
        <v/>
      </c>
      <c r="W1426" s="105" t="str">
        <f t="shared" si="636"/>
        <v/>
      </c>
      <c r="X1426" s="104" t="str">
        <f t="shared" si="641"/>
        <v/>
      </c>
      <c r="Y1426" s="104" t="str">
        <f t="array" ref="Y1426">IFERROR(IF(ISNUMBER(O1426),IF(COUNT(IF(A1426=$A$2:$A$2427,IF(D1426=$D$2:$D$2427,IF($X$2:$X$2427&gt;0,1))))&gt;0,SUM(IF(A1426=$A$2:$A$2427,IF(D1426=$D$2:$D$2427,$X$2:$X$2427)))/COUNT(IF(A1426=$A$2:$A$2427,IF(D1426=$D$2:$D$2427,IF(ISNUMBER($X$2:$X$2427),1)))),0),""),0)</f>
        <v/>
      </c>
      <c r="Z1426" s="104" t="str">
        <f>IF(ISNUMBER(O1426),IF(I1426&gt;0,(10^(VLOOKUP(D1426,'Species Codes'!B:C,2,0)+VLOOKUP(D1426,'Species Codes'!B:D,3,0)*LOG(E1426)+VLOOKUP(D1426,'Species Codes'!B:E,4,0)*LOG(I1426))),0),"")</f>
        <v/>
      </c>
      <c r="AA1426" s="104" t="str">
        <f>IFERROR((VLOOKUP(D1426,'Species Codes'!B:G,6,0)*Z1426)/2000,"")</f>
        <v/>
      </c>
      <c r="AB1426" s="104" t="e">
        <f>IF(Z1426&gt;0,((IF(OR(D1426="DF",D1426="RA")=TRUE,EXP(VLOOKUP(D1426,'Species Codes'!B:I,8,0)+VLOOKUP(D1426,'Species Codes'!B:J,9,0)*(LN((E1426*2.54)))),IF(OR(D1426="PY",D1426="RC",D1426="WH",D1426="NF")=TRUE,VLOOKUP(D1426,'Species Codes'!B:I,8,0)+VLOOKUP(D1426,'Species Codes'!B:J,9,0)*((E1426*2.54)^2)*(I1426*0.3048),IF(OR(D1426="MD",D1426="BM",D1426="GA")=TRUE,((VLOOKUP(D1426,'Species Codes'!B:I,8,0)*(((((E1426*2.54)+VLOOKUP(D1426,'Species Codes'!B:J,9,0))/VLOOKUP(D1426,'Species Codes'!B:K,10,0))^VLOOKUP(D1426,'Species Codes'!B:L,11,0))*((I1426*0.3048)^VLOOKUP(D1426,'Species Codes'!B:M,12,0))))-(VLOOKUP(D1426,'Species Codes'!B:I,8,0)*((((E1426*2.54)^VLOOKUP(D1426,'Species Codes'!B:L,11,0))*((I1426*0.3048)^VLOOKUP(D1426,'Species Codes'!B:M,12,0))))))*35.3*VLOOKUP(D1426,'Species Codes'!B:G,6,0)/2.2046,VLOOKUP(D1426,'Species Codes'!B:I,8,0)+VLOOKUP(D1426,'Species Codes'!B:J,9,0)*(((E1426*2.54)/100)^2)*(I1426*0.3048)))))*0.0011023),0)</f>
        <v>#N/A</v>
      </c>
      <c r="AC1426" s="104" t="e">
        <f>IF(Z1426&gt;0,((IF(OR(D1426="RA",D1426="OA",D1426="OT",D1426="UN",D1426="PC"),EXP(VLOOKUP(D1426,'Species Codes'!B:O,14,0)+VLOOKUP(D1426,'Species Codes'!B:P,15,0)*LN((E1426*2.54)))-EXP(VLOOKUP(D1426,'Species Codes'!B:O,14,0)+VLOOKUP(D1426,'Species Codes'!B:P,15,0)*LN((E1426*2.54)))*(1/(VLOOKUP(D1426,'Species Codes'!B:Q,16,0)+VLOOKUP(D1426,'Species Codes'!B:R,17,0)*((E1426*2.54)^VLOOKUP(D1426,'Species Codes'!B:S,18,0)))),IF(OR(D1426="BM",D1426="MD",D1426="OA"),EXP(VLOOKUP(D1426,'Species Codes'!B:O,14,0)+VLOOKUP(D1426,'Species Codes'!B:P,15,0)*LN((E1426*2.54)))*(1-(1/(VLOOKUP(D1426,'Species Codes'!B:Q,16,0)+VLOOKUP(D1426,'Species Codes'!B:R,17,0)*((E1426*2.54)^VLOOKUP(D1426,'Species Codes'!B:S,18,0)))))/1000,IF(D1426="DF",EXP(VLOOKUP(D1426,'Species Codes'!B:O,14,0)+VLOOKUP(D1426,'Species Codes'!B:P,15,0)*LN((E1426*2.54))),VLOOKUP(D1426,'Species Codes'!B:O,14,0)+VLOOKUP(D1426,'Species Codes'!B:P,15,0)*(((E1426*2.54)/100)^2)*(I1426*0.3048)))))*0.0011023),0)</f>
        <v>#N/A</v>
      </c>
      <c r="AD1426" s="104" t="e">
        <f t="shared" si="625"/>
        <v>#N/A</v>
      </c>
      <c r="AE1426" s="104" t="e">
        <f t="shared" si="626"/>
        <v>#N/A</v>
      </c>
      <c r="AF1426" s="104" t="e">
        <f>IF(AND(VLOOKUP($D1426,Merchantability!$B:$C,2,0)="Yes",$E1426&gt;=VLOOKUP($D1426,Merchantability!$B:$D,3,0),$E1426&lt;=VLOOKUP($D1426,Merchantability!$B:$E,4,0)),AA1426,0)</f>
        <v>#N/A</v>
      </c>
      <c r="AG1426" s="104" t="e">
        <f>IF(AND(VLOOKUP($D1426,Merchantability!$B:$C,2,0)="Yes",$E1426&gt;=VLOOKUP($D1426,Merchantability!$B:$D,3,0),$E1426&lt;=VLOOKUP($D1426,Merchantability!$B:$E,4,0)),AB1426,0)</f>
        <v>#N/A</v>
      </c>
      <c r="AH1426" s="104" t="e">
        <f>IF(AND(VLOOKUP($D1426,Merchantability!$B:$C,2,0)="Yes",$E1426&gt;=VLOOKUP($D1426,Merchantability!$B:$D,3,0),$E1426&lt;=VLOOKUP($D1426,Merchantability!$B:$E,4,0)),AC1426,0)</f>
        <v>#N/A</v>
      </c>
      <c r="AI1426" s="104" t="e">
        <f t="shared" si="627"/>
        <v>#N/A</v>
      </c>
      <c r="AJ1426" s="104" t="e">
        <f t="shared" si="628"/>
        <v>#VALUE!</v>
      </c>
      <c r="AK1426" s="104" t="e">
        <f t="shared" si="629"/>
        <v>#N/A</v>
      </c>
      <c r="AL1426" s="104" t="e">
        <f t="shared" si="630"/>
        <v>#N/A</v>
      </c>
      <c r="AM1426" s="104" t="e">
        <f t="shared" si="631"/>
        <v>#N/A</v>
      </c>
      <c r="AN1426" s="104" t="e">
        <f t="shared" si="642"/>
        <v>#N/A</v>
      </c>
      <c r="AO1426" s="104" t="e">
        <f t="shared" si="643"/>
        <v>#N/A</v>
      </c>
      <c r="AP1426" s="104" t="e">
        <f t="shared" si="644"/>
        <v>#N/A</v>
      </c>
      <c r="AQ1426" s="104" t="e">
        <f t="shared" si="645"/>
        <v>#N/A</v>
      </c>
      <c r="AR1426" s="105" t="str">
        <f t="shared" si="637"/>
        <v/>
      </c>
      <c r="AS1426" s="105" t="str">
        <f t="shared" si="638"/>
        <v/>
      </c>
      <c r="AT1426" s="108" t="str">
        <f t="shared" si="639"/>
        <v/>
      </c>
      <c r="AU1426" s="108" t="str">
        <f t="shared" si="640"/>
        <v/>
      </c>
      <c r="AV1426" s="107" t="str">
        <f>IF(ISNUMBER(O1426),IF(VLOOKUP($A1426,Stand!C:J,8,FALSE)="Short",AT1426,AU1426),"")</f>
        <v/>
      </c>
      <c r="AW1426" s="109" t="str">
        <f t="shared" si="646"/>
        <v/>
      </c>
      <c r="AX1426" s="109" t="str">
        <f t="shared" si="647"/>
        <v/>
      </c>
      <c r="AY1426" s="112" t="str">
        <f>IF(ISNUMBER(O1426),IF(AND(VLOOKUP($D1426,Merchantability!$B:$C,2,0)="Yes",$E1426&gt;=VLOOKUP($D1426,Merchantability!$B:$D,3,0),$E1426&lt;=VLOOKUP($D1426,Merchantability!$B:$E,4,0)),(AV1426*O1426)*(1-$H1426/100),""),"")</f>
        <v/>
      </c>
      <c r="AZ1426" s="116"/>
      <c r="BA1426" s="116"/>
      <c r="BB1426" s="116"/>
      <c r="BE1426" s="62"/>
      <c r="BF1426" s="63"/>
    </row>
    <row r="1427" spans="1:58" ht="12.75" customHeight="1" x14ac:dyDescent="0.25">
      <c r="A1427" s="333"/>
      <c r="B1427" s="334"/>
      <c r="C1427" s="332"/>
      <c r="D1427" s="334"/>
      <c r="E1427" s="335"/>
      <c r="F1427" s="334"/>
      <c r="G1427" s="332"/>
      <c r="H1427" s="332"/>
      <c r="I1427" s="334"/>
      <c r="J1427" s="336"/>
      <c r="K1427" s="332"/>
      <c r="L1427" s="332"/>
      <c r="M1427" s="76"/>
      <c r="N1427" s="103" t="str">
        <f>IF(A1427="","",VLOOKUP(A1427,Stand!C:K,9,0))</f>
        <v/>
      </c>
      <c r="O1427" s="104" t="str">
        <f t="shared" si="632"/>
        <v/>
      </c>
      <c r="P1427" s="105" t="str">
        <f t="shared" si="633"/>
        <v/>
      </c>
      <c r="Q1427" s="105" t="str">
        <f t="shared" si="621"/>
        <v/>
      </c>
      <c r="R1427" s="103" t="str">
        <f t="shared" si="634"/>
        <v/>
      </c>
      <c r="S1427" s="103" t="str">
        <f t="shared" si="635"/>
        <v/>
      </c>
      <c r="T1427" s="106" t="str">
        <f t="shared" si="622"/>
        <v/>
      </c>
      <c r="U1427" s="106" t="str">
        <f t="shared" si="623"/>
        <v/>
      </c>
      <c r="V1427" s="106" t="str">
        <f t="shared" si="624"/>
        <v/>
      </c>
      <c r="W1427" s="105" t="str">
        <f t="shared" si="636"/>
        <v/>
      </c>
      <c r="X1427" s="104" t="str">
        <f t="shared" si="641"/>
        <v/>
      </c>
      <c r="Y1427" s="104" t="str">
        <f t="array" ref="Y1427">IFERROR(IF(ISNUMBER(O1427),IF(COUNT(IF(A1427=$A$2:$A$2427,IF(D1427=$D$2:$D$2427,IF($X$2:$X$2427&gt;0,1))))&gt;0,SUM(IF(A1427=$A$2:$A$2427,IF(D1427=$D$2:$D$2427,$X$2:$X$2427)))/COUNT(IF(A1427=$A$2:$A$2427,IF(D1427=$D$2:$D$2427,IF(ISNUMBER($X$2:$X$2427),1)))),0),""),0)</f>
        <v/>
      </c>
      <c r="Z1427" s="104" t="str">
        <f>IF(ISNUMBER(O1427),IF(I1427&gt;0,(10^(VLOOKUP(D1427,'Species Codes'!B:C,2,0)+VLOOKUP(D1427,'Species Codes'!B:D,3,0)*LOG(E1427)+VLOOKUP(D1427,'Species Codes'!B:E,4,0)*LOG(I1427))),0),"")</f>
        <v/>
      </c>
      <c r="AA1427" s="104" t="str">
        <f>IFERROR((VLOOKUP(D1427,'Species Codes'!B:G,6,0)*Z1427)/2000,"")</f>
        <v/>
      </c>
      <c r="AB1427" s="104" t="e">
        <f>IF(Z1427&gt;0,((IF(OR(D1427="DF",D1427="RA")=TRUE,EXP(VLOOKUP(D1427,'Species Codes'!B:I,8,0)+VLOOKUP(D1427,'Species Codes'!B:J,9,0)*(LN((E1427*2.54)))),IF(OR(D1427="PY",D1427="RC",D1427="WH",D1427="NF")=TRUE,VLOOKUP(D1427,'Species Codes'!B:I,8,0)+VLOOKUP(D1427,'Species Codes'!B:J,9,0)*((E1427*2.54)^2)*(I1427*0.3048),IF(OR(D1427="MD",D1427="BM",D1427="GA")=TRUE,((VLOOKUP(D1427,'Species Codes'!B:I,8,0)*(((((E1427*2.54)+VLOOKUP(D1427,'Species Codes'!B:J,9,0))/VLOOKUP(D1427,'Species Codes'!B:K,10,0))^VLOOKUP(D1427,'Species Codes'!B:L,11,0))*((I1427*0.3048)^VLOOKUP(D1427,'Species Codes'!B:M,12,0))))-(VLOOKUP(D1427,'Species Codes'!B:I,8,0)*((((E1427*2.54)^VLOOKUP(D1427,'Species Codes'!B:L,11,0))*((I1427*0.3048)^VLOOKUP(D1427,'Species Codes'!B:M,12,0))))))*35.3*VLOOKUP(D1427,'Species Codes'!B:G,6,0)/2.2046,VLOOKUP(D1427,'Species Codes'!B:I,8,0)+VLOOKUP(D1427,'Species Codes'!B:J,9,0)*(((E1427*2.54)/100)^2)*(I1427*0.3048)))))*0.0011023),0)</f>
        <v>#N/A</v>
      </c>
      <c r="AC1427" s="104" t="e">
        <f>IF(Z1427&gt;0,((IF(OR(D1427="RA",D1427="OA",D1427="OT",D1427="UN",D1427="PC"),EXP(VLOOKUP(D1427,'Species Codes'!B:O,14,0)+VLOOKUP(D1427,'Species Codes'!B:P,15,0)*LN((E1427*2.54)))-EXP(VLOOKUP(D1427,'Species Codes'!B:O,14,0)+VLOOKUP(D1427,'Species Codes'!B:P,15,0)*LN((E1427*2.54)))*(1/(VLOOKUP(D1427,'Species Codes'!B:Q,16,0)+VLOOKUP(D1427,'Species Codes'!B:R,17,0)*((E1427*2.54)^VLOOKUP(D1427,'Species Codes'!B:S,18,0)))),IF(OR(D1427="BM",D1427="MD",D1427="OA"),EXP(VLOOKUP(D1427,'Species Codes'!B:O,14,0)+VLOOKUP(D1427,'Species Codes'!B:P,15,0)*LN((E1427*2.54)))*(1-(1/(VLOOKUP(D1427,'Species Codes'!B:Q,16,0)+VLOOKUP(D1427,'Species Codes'!B:R,17,0)*((E1427*2.54)^VLOOKUP(D1427,'Species Codes'!B:S,18,0)))))/1000,IF(D1427="DF",EXP(VLOOKUP(D1427,'Species Codes'!B:O,14,0)+VLOOKUP(D1427,'Species Codes'!B:P,15,0)*LN((E1427*2.54))),VLOOKUP(D1427,'Species Codes'!B:O,14,0)+VLOOKUP(D1427,'Species Codes'!B:P,15,0)*(((E1427*2.54)/100)^2)*(I1427*0.3048)))))*0.0011023),0)</f>
        <v>#N/A</v>
      </c>
      <c r="AD1427" s="104" t="e">
        <f t="shared" si="625"/>
        <v>#N/A</v>
      </c>
      <c r="AE1427" s="104" t="e">
        <f t="shared" si="626"/>
        <v>#N/A</v>
      </c>
      <c r="AF1427" s="104" t="e">
        <f>IF(AND(VLOOKUP($D1427,Merchantability!$B:$C,2,0)="Yes",$E1427&gt;=VLOOKUP($D1427,Merchantability!$B:$D,3,0),$E1427&lt;=VLOOKUP($D1427,Merchantability!$B:$E,4,0)),AA1427,0)</f>
        <v>#N/A</v>
      </c>
      <c r="AG1427" s="104" t="e">
        <f>IF(AND(VLOOKUP($D1427,Merchantability!$B:$C,2,0)="Yes",$E1427&gt;=VLOOKUP($D1427,Merchantability!$B:$D,3,0),$E1427&lt;=VLOOKUP($D1427,Merchantability!$B:$E,4,0)),AB1427,0)</f>
        <v>#N/A</v>
      </c>
      <c r="AH1427" s="104" t="e">
        <f>IF(AND(VLOOKUP($D1427,Merchantability!$B:$C,2,0)="Yes",$E1427&gt;=VLOOKUP($D1427,Merchantability!$B:$D,3,0),$E1427&lt;=VLOOKUP($D1427,Merchantability!$B:$E,4,0)),AC1427,0)</f>
        <v>#N/A</v>
      </c>
      <c r="AI1427" s="104" t="e">
        <f t="shared" si="627"/>
        <v>#N/A</v>
      </c>
      <c r="AJ1427" s="104" t="e">
        <f t="shared" si="628"/>
        <v>#VALUE!</v>
      </c>
      <c r="AK1427" s="104" t="e">
        <f t="shared" si="629"/>
        <v>#N/A</v>
      </c>
      <c r="AL1427" s="104" t="e">
        <f t="shared" si="630"/>
        <v>#N/A</v>
      </c>
      <c r="AM1427" s="104" t="e">
        <f t="shared" si="631"/>
        <v>#N/A</v>
      </c>
      <c r="AN1427" s="104" t="e">
        <f t="shared" si="642"/>
        <v>#N/A</v>
      </c>
      <c r="AO1427" s="104" t="e">
        <f t="shared" si="643"/>
        <v>#N/A</v>
      </c>
      <c r="AP1427" s="104" t="e">
        <f t="shared" si="644"/>
        <v>#N/A</v>
      </c>
      <c r="AQ1427" s="104" t="e">
        <f t="shared" si="645"/>
        <v>#N/A</v>
      </c>
      <c r="AR1427" s="105" t="str">
        <f t="shared" si="637"/>
        <v/>
      </c>
      <c r="AS1427" s="105" t="str">
        <f t="shared" si="638"/>
        <v/>
      </c>
      <c r="AT1427" s="108" t="str">
        <f t="shared" si="639"/>
        <v/>
      </c>
      <c r="AU1427" s="108" t="str">
        <f t="shared" si="640"/>
        <v/>
      </c>
      <c r="AV1427" s="107" t="str">
        <f>IF(ISNUMBER(O1427),IF(VLOOKUP($A1427,Stand!C:J,8,FALSE)="Short",AT1427,AU1427),"")</f>
        <v/>
      </c>
      <c r="AW1427" s="109" t="str">
        <f t="shared" si="646"/>
        <v/>
      </c>
      <c r="AX1427" s="109" t="str">
        <f t="shared" si="647"/>
        <v/>
      </c>
      <c r="AY1427" s="112" t="str">
        <f>IF(ISNUMBER(O1427),IF(AND(VLOOKUP($D1427,Merchantability!$B:$C,2,0)="Yes",$E1427&gt;=VLOOKUP($D1427,Merchantability!$B:$D,3,0),$E1427&lt;=VLOOKUP($D1427,Merchantability!$B:$E,4,0)),(AV1427*O1427)*(1-$H1427/100),""),"")</f>
        <v/>
      </c>
      <c r="AZ1427" s="116"/>
      <c r="BA1427" s="116"/>
      <c r="BB1427" s="116"/>
      <c r="BE1427" s="62"/>
      <c r="BF1427" s="63"/>
    </row>
    <row r="1428" spans="1:58" ht="12.75" customHeight="1" x14ac:dyDescent="0.25">
      <c r="A1428" s="333"/>
      <c r="B1428" s="334"/>
      <c r="C1428" s="332"/>
      <c r="D1428" s="334"/>
      <c r="E1428" s="335"/>
      <c r="F1428" s="334"/>
      <c r="G1428" s="332"/>
      <c r="H1428" s="332"/>
      <c r="I1428" s="334"/>
      <c r="J1428" s="336"/>
      <c r="K1428" s="332"/>
      <c r="L1428" s="332"/>
      <c r="M1428" s="76"/>
      <c r="N1428" s="103" t="str">
        <f>IF(A1428="","",VLOOKUP(A1428,Stand!C:K,9,0))</f>
        <v/>
      </c>
      <c r="O1428" s="104" t="str">
        <f t="shared" si="632"/>
        <v/>
      </c>
      <c r="P1428" s="105" t="str">
        <f t="shared" si="633"/>
        <v/>
      </c>
      <c r="Q1428" s="105" t="str">
        <f t="shared" si="621"/>
        <v/>
      </c>
      <c r="R1428" s="103" t="str">
        <f t="shared" si="634"/>
        <v/>
      </c>
      <c r="S1428" s="103" t="str">
        <f t="shared" si="635"/>
        <v/>
      </c>
      <c r="T1428" s="106" t="str">
        <f t="shared" si="622"/>
        <v/>
      </c>
      <c r="U1428" s="106" t="str">
        <f t="shared" si="623"/>
        <v/>
      </c>
      <c r="V1428" s="106" t="str">
        <f t="shared" si="624"/>
        <v/>
      </c>
      <c r="W1428" s="105" t="str">
        <f t="shared" si="636"/>
        <v/>
      </c>
      <c r="X1428" s="104" t="str">
        <f t="shared" si="641"/>
        <v/>
      </c>
      <c r="Y1428" s="104" t="str">
        <f t="array" ref="Y1428">IFERROR(IF(ISNUMBER(O1428),IF(COUNT(IF(A1428=$A$2:$A$2427,IF(D1428=$D$2:$D$2427,IF($X$2:$X$2427&gt;0,1))))&gt;0,SUM(IF(A1428=$A$2:$A$2427,IF(D1428=$D$2:$D$2427,$X$2:$X$2427)))/COUNT(IF(A1428=$A$2:$A$2427,IF(D1428=$D$2:$D$2427,IF(ISNUMBER($X$2:$X$2427),1)))),0),""),0)</f>
        <v/>
      </c>
      <c r="Z1428" s="104" t="str">
        <f>IF(ISNUMBER(O1428),IF(I1428&gt;0,(10^(VLOOKUP(D1428,'Species Codes'!B:C,2,0)+VLOOKUP(D1428,'Species Codes'!B:D,3,0)*LOG(E1428)+VLOOKUP(D1428,'Species Codes'!B:E,4,0)*LOG(I1428))),0),"")</f>
        <v/>
      </c>
      <c r="AA1428" s="104" t="str">
        <f>IFERROR((VLOOKUP(D1428,'Species Codes'!B:G,6,0)*Z1428)/2000,"")</f>
        <v/>
      </c>
      <c r="AB1428" s="104" t="e">
        <f>IF(Z1428&gt;0,((IF(OR(D1428="DF",D1428="RA")=TRUE,EXP(VLOOKUP(D1428,'Species Codes'!B:I,8,0)+VLOOKUP(D1428,'Species Codes'!B:J,9,0)*(LN((E1428*2.54)))),IF(OR(D1428="PY",D1428="RC",D1428="WH",D1428="NF")=TRUE,VLOOKUP(D1428,'Species Codes'!B:I,8,0)+VLOOKUP(D1428,'Species Codes'!B:J,9,0)*((E1428*2.54)^2)*(I1428*0.3048),IF(OR(D1428="MD",D1428="BM",D1428="GA")=TRUE,((VLOOKUP(D1428,'Species Codes'!B:I,8,0)*(((((E1428*2.54)+VLOOKUP(D1428,'Species Codes'!B:J,9,0))/VLOOKUP(D1428,'Species Codes'!B:K,10,0))^VLOOKUP(D1428,'Species Codes'!B:L,11,0))*((I1428*0.3048)^VLOOKUP(D1428,'Species Codes'!B:M,12,0))))-(VLOOKUP(D1428,'Species Codes'!B:I,8,0)*((((E1428*2.54)^VLOOKUP(D1428,'Species Codes'!B:L,11,0))*((I1428*0.3048)^VLOOKUP(D1428,'Species Codes'!B:M,12,0))))))*35.3*VLOOKUP(D1428,'Species Codes'!B:G,6,0)/2.2046,VLOOKUP(D1428,'Species Codes'!B:I,8,0)+VLOOKUP(D1428,'Species Codes'!B:J,9,0)*(((E1428*2.54)/100)^2)*(I1428*0.3048)))))*0.0011023),0)</f>
        <v>#N/A</v>
      </c>
      <c r="AC1428" s="104" t="e">
        <f>IF(Z1428&gt;0,((IF(OR(D1428="RA",D1428="OA",D1428="OT",D1428="UN",D1428="PC"),EXP(VLOOKUP(D1428,'Species Codes'!B:O,14,0)+VLOOKUP(D1428,'Species Codes'!B:P,15,0)*LN((E1428*2.54)))-EXP(VLOOKUP(D1428,'Species Codes'!B:O,14,0)+VLOOKUP(D1428,'Species Codes'!B:P,15,0)*LN((E1428*2.54)))*(1/(VLOOKUP(D1428,'Species Codes'!B:Q,16,0)+VLOOKUP(D1428,'Species Codes'!B:R,17,0)*((E1428*2.54)^VLOOKUP(D1428,'Species Codes'!B:S,18,0)))),IF(OR(D1428="BM",D1428="MD",D1428="OA"),EXP(VLOOKUP(D1428,'Species Codes'!B:O,14,0)+VLOOKUP(D1428,'Species Codes'!B:P,15,0)*LN((E1428*2.54)))*(1-(1/(VLOOKUP(D1428,'Species Codes'!B:Q,16,0)+VLOOKUP(D1428,'Species Codes'!B:R,17,0)*((E1428*2.54)^VLOOKUP(D1428,'Species Codes'!B:S,18,0)))))/1000,IF(D1428="DF",EXP(VLOOKUP(D1428,'Species Codes'!B:O,14,0)+VLOOKUP(D1428,'Species Codes'!B:P,15,0)*LN((E1428*2.54))),VLOOKUP(D1428,'Species Codes'!B:O,14,0)+VLOOKUP(D1428,'Species Codes'!B:P,15,0)*(((E1428*2.54)/100)^2)*(I1428*0.3048)))))*0.0011023),0)</f>
        <v>#N/A</v>
      </c>
      <c r="AD1428" s="104" t="e">
        <f t="shared" si="625"/>
        <v>#N/A</v>
      </c>
      <c r="AE1428" s="104" t="e">
        <f t="shared" si="626"/>
        <v>#N/A</v>
      </c>
      <c r="AF1428" s="104" t="e">
        <f>IF(AND(VLOOKUP($D1428,Merchantability!$B:$C,2,0)="Yes",$E1428&gt;=VLOOKUP($D1428,Merchantability!$B:$D,3,0),$E1428&lt;=VLOOKUP($D1428,Merchantability!$B:$E,4,0)),AA1428,0)</f>
        <v>#N/A</v>
      </c>
      <c r="AG1428" s="104" t="e">
        <f>IF(AND(VLOOKUP($D1428,Merchantability!$B:$C,2,0)="Yes",$E1428&gt;=VLOOKUP($D1428,Merchantability!$B:$D,3,0),$E1428&lt;=VLOOKUP($D1428,Merchantability!$B:$E,4,0)),AB1428,0)</f>
        <v>#N/A</v>
      </c>
      <c r="AH1428" s="104" t="e">
        <f>IF(AND(VLOOKUP($D1428,Merchantability!$B:$C,2,0)="Yes",$E1428&gt;=VLOOKUP($D1428,Merchantability!$B:$D,3,0),$E1428&lt;=VLOOKUP($D1428,Merchantability!$B:$E,4,0)),AC1428,0)</f>
        <v>#N/A</v>
      </c>
      <c r="AI1428" s="104" t="e">
        <f t="shared" si="627"/>
        <v>#N/A</v>
      </c>
      <c r="AJ1428" s="104" t="e">
        <f t="shared" si="628"/>
        <v>#VALUE!</v>
      </c>
      <c r="AK1428" s="104" t="e">
        <f t="shared" si="629"/>
        <v>#N/A</v>
      </c>
      <c r="AL1428" s="104" t="e">
        <f t="shared" si="630"/>
        <v>#N/A</v>
      </c>
      <c r="AM1428" s="104" t="e">
        <f t="shared" si="631"/>
        <v>#N/A</v>
      </c>
      <c r="AN1428" s="104" t="e">
        <f t="shared" si="642"/>
        <v>#N/A</v>
      </c>
      <c r="AO1428" s="104" t="e">
        <f t="shared" si="643"/>
        <v>#N/A</v>
      </c>
      <c r="AP1428" s="104" t="e">
        <f t="shared" si="644"/>
        <v>#N/A</v>
      </c>
      <c r="AQ1428" s="104" t="e">
        <f t="shared" si="645"/>
        <v>#N/A</v>
      </c>
      <c r="AR1428" s="105" t="str">
        <f t="shared" si="637"/>
        <v/>
      </c>
      <c r="AS1428" s="105" t="str">
        <f t="shared" si="638"/>
        <v/>
      </c>
      <c r="AT1428" s="108" t="str">
        <f t="shared" si="639"/>
        <v/>
      </c>
      <c r="AU1428" s="108" t="str">
        <f t="shared" si="640"/>
        <v/>
      </c>
      <c r="AV1428" s="107" t="str">
        <f>IF(ISNUMBER(O1428),IF(VLOOKUP($A1428,Stand!C:J,8,FALSE)="Short",AT1428,AU1428),"")</f>
        <v/>
      </c>
      <c r="AW1428" s="109" t="str">
        <f t="shared" si="646"/>
        <v/>
      </c>
      <c r="AX1428" s="109" t="str">
        <f t="shared" si="647"/>
        <v/>
      </c>
      <c r="AY1428" s="112" t="str">
        <f>IF(ISNUMBER(O1428),IF(AND(VLOOKUP($D1428,Merchantability!$B:$C,2,0)="Yes",$E1428&gt;=VLOOKUP($D1428,Merchantability!$B:$D,3,0),$E1428&lt;=VLOOKUP($D1428,Merchantability!$B:$E,4,0)),(AV1428*O1428)*(1-$H1428/100),""),"")</f>
        <v/>
      </c>
      <c r="AZ1428" s="116"/>
      <c r="BA1428" s="116"/>
      <c r="BB1428" s="116"/>
      <c r="BE1428" s="62"/>
      <c r="BF1428" s="63"/>
    </row>
    <row r="1429" spans="1:58" ht="12.75" customHeight="1" x14ac:dyDescent="0.25">
      <c r="A1429" s="333"/>
      <c r="B1429" s="334"/>
      <c r="C1429" s="332"/>
      <c r="D1429" s="334"/>
      <c r="E1429" s="335"/>
      <c r="F1429" s="334"/>
      <c r="G1429" s="332"/>
      <c r="H1429" s="332"/>
      <c r="I1429" s="334"/>
      <c r="J1429" s="336"/>
      <c r="K1429" s="332"/>
      <c r="L1429" s="332"/>
      <c r="M1429" s="76"/>
      <c r="N1429" s="103" t="str">
        <f>IF(A1429="","",VLOOKUP(A1429,Stand!C:K,9,0))</f>
        <v/>
      </c>
      <c r="O1429" s="104" t="str">
        <f t="shared" si="632"/>
        <v/>
      </c>
      <c r="P1429" s="105" t="str">
        <f t="shared" si="633"/>
        <v/>
      </c>
      <c r="Q1429" s="105" t="str">
        <f t="shared" si="621"/>
        <v/>
      </c>
      <c r="R1429" s="103" t="str">
        <f t="shared" si="634"/>
        <v/>
      </c>
      <c r="S1429" s="103" t="str">
        <f t="shared" si="635"/>
        <v/>
      </c>
      <c r="T1429" s="106" t="str">
        <f t="shared" si="622"/>
        <v/>
      </c>
      <c r="U1429" s="106" t="str">
        <f t="shared" si="623"/>
        <v/>
      </c>
      <c r="V1429" s="106" t="str">
        <f t="shared" si="624"/>
        <v/>
      </c>
      <c r="W1429" s="105" t="str">
        <f t="shared" si="636"/>
        <v/>
      </c>
      <c r="X1429" s="104" t="str">
        <f t="shared" si="641"/>
        <v/>
      </c>
      <c r="Y1429" s="104" t="str">
        <f t="array" ref="Y1429">IFERROR(IF(ISNUMBER(O1429),IF(COUNT(IF(A1429=$A$2:$A$2427,IF(D1429=$D$2:$D$2427,IF($X$2:$X$2427&gt;0,1))))&gt;0,SUM(IF(A1429=$A$2:$A$2427,IF(D1429=$D$2:$D$2427,$X$2:$X$2427)))/COUNT(IF(A1429=$A$2:$A$2427,IF(D1429=$D$2:$D$2427,IF(ISNUMBER($X$2:$X$2427),1)))),0),""),0)</f>
        <v/>
      </c>
      <c r="Z1429" s="104" t="str">
        <f>IF(ISNUMBER(O1429),IF(I1429&gt;0,(10^(VLOOKUP(D1429,'Species Codes'!B:C,2,0)+VLOOKUP(D1429,'Species Codes'!B:D,3,0)*LOG(E1429)+VLOOKUP(D1429,'Species Codes'!B:E,4,0)*LOG(I1429))),0),"")</f>
        <v/>
      </c>
      <c r="AA1429" s="104" t="str">
        <f>IFERROR((VLOOKUP(D1429,'Species Codes'!B:G,6,0)*Z1429)/2000,"")</f>
        <v/>
      </c>
      <c r="AB1429" s="104" t="e">
        <f>IF(Z1429&gt;0,((IF(OR(D1429="DF",D1429="RA")=TRUE,EXP(VLOOKUP(D1429,'Species Codes'!B:I,8,0)+VLOOKUP(D1429,'Species Codes'!B:J,9,0)*(LN((E1429*2.54)))),IF(OR(D1429="PY",D1429="RC",D1429="WH",D1429="NF")=TRUE,VLOOKUP(D1429,'Species Codes'!B:I,8,0)+VLOOKUP(D1429,'Species Codes'!B:J,9,0)*((E1429*2.54)^2)*(I1429*0.3048),IF(OR(D1429="MD",D1429="BM",D1429="GA")=TRUE,((VLOOKUP(D1429,'Species Codes'!B:I,8,0)*(((((E1429*2.54)+VLOOKUP(D1429,'Species Codes'!B:J,9,0))/VLOOKUP(D1429,'Species Codes'!B:K,10,0))^VLOOKUP(D1429,'Species Codes'!B:L,11,0))*((I1429*0.3048)^VLOOKUP(D1429,'Species Codes'!B:M,12,0))))-(VLOOKUP(D1429,'Species Codes'!B:I,8,0)*((((E1429*2.54)^VLOOKUP(D1429,'Species Codes'!B:L,11,0))*((I1429*0.3048)^VLOOKUP(D1429,'Species Codes'!B:M,12,0))))))*35.3*VLOOKUP(D1429,'Species Codes'!B:G,6,0)/2.2046,VLOOKUP(D1429,'Species Codes'!B:I,8,0)+VLOOKUP(D1429,'Species Codes'!B:J,9,0)*(((E1429*2.54)/100)^2)*(I1429*0.3048)))))*0.0011023),0)</f>
        <v>#N/A</v>
      </c>
      <c r="AC1429" s="104" t="e">
        <f>IF(Z1429&gt;0,((IF(OR(D1429="RA",D1429="OA",D1429="OT",D1429="UN",D1429="PC"),EXP(VLOOKUP(D1429,'Species Codes'!B:O,14,0)+VLOOKUP(D1429,'Species Codes'!B:P,15,0)*LN((E1429*2.54)))-EXP(VLOOKUP(D1429,'Species Codes'!B:O,14,0)+VLOOKUP(D1429,'Species Codes'!B:P,15,0)*LN((E1429*2.54)))*(1/(VLOOKUP(D1429,'Species Codes'!B:Q,16,0)+VLOOKUP(D1429,'Species Codes'!B:R,17,0)*((E1429*2.54)^VLOOKUP(D1429,'Species Codes'!B:S,18,0)))),IF(OR(D1429="BM",D1429="MD",D1429="OA"),EXP(VLOOKUP(D1429,'Species Codes'!B:O,14,0)+VLOOKUP(D1429,'Species Codes'!B:P,15,0)*LN((E1429*2.54)))*(1-(1/(VLOOKUP(D1429,'Species Codes'!B:Q,16,0)+VLOOKUP(D1429,'Species Codes'!B:R,17,0)*((E1429*2.54)^VLOOKUP(D1429,'Species Codes'!B:S,18,0)))))/1000,IF(D1429="DF",EXP(VLOOKUP(D1429,'Species Codes'!B:O,14,0)+VLOOKUP(D1429,'Species Codes'!B:P,15,0)*LN((E1429*2.54))),VLOOKUP(D1429,'Species Codes'!B:O,14,0)+VLOOKUP(D1429,'Species Codes'!B:P,15,0)*(((E1429*2.54)/100)^2)*(I1429*0.3048)))))*0.0011023),0)</f>
        <v>#N/A</v>
      </c>
      <c r="AD1429" s="104" t="e">
        <f t="shared" si="625"/>
        <v>#N/A</v>
      </c>
      <c r="AE1429" s="104" t="e">
        <f t="shared" si="626"/>
        <v>#N/A</v>
      </c>
      <c r="AF1429" s="104" t="e">
        <f>IF(AND(VLOOKUP($D1429,Merchantability!$B:$C,2,0)="Yes",$E1429&gt;=VLOOKUP($D1429,Merchantability!$B:$D,3,0),$E1429&lt;=VLOOKUP($D1429,Merchantability!$B:$E,4,0)),AA1429,0)</f>
        <v>#N/A</v>
      </c>
      <c r="AG1429" s="104" t="e">
        <f>IF(AND(VLOOKUP($D1429,Merchantability!$B:$C,2,0)="Yes",$E1429&gt;=VLOOKUP($D1429,Merchantability!$B:$D,3,0),$E1429&lt;=VLOOKUP($D1429,Merchantability!$B:$E,4,0)),AB1429,0)</f>
        <v>#N/A</v>
      </c>
      <c r="AH1429" s="104" t="e">
        <f>IF(AND(VLOOKUP($D1429,Merchantability!$B:$C,2,0)="Yes",$E1429&gt;=VLOOKUP($D1429,Merchantability!$B:$D,3,0),$E1429&lt;=VLOOKUP($D1429,Merchantability!$B:$E,4,0)),AC1429,0)</f>
        <v>#N/A</v>
      </c>
      <c r="AI1429" s="104" t="e">
        <f t="shared" si="627"/>
        <v>#N/A</v>
      </c>
      <c r="AJ1429" s="104" t="e">
        <f t="shared" si="628"/>
        <v>#VALUE!</v>
      </c>
      <c r="AK1429" s="104" t="e">
        <f t="shared" si="629"/>
        <v>#N/A</v>
      </c>
      <c r="AL1429" s="104" t="e">
        <f t="shared" si="630"/>
        <v>#N/A</v>
      </c>
      <c r="AM1429" s="104" t="e">
        <f t="shared" si="631"/>
        <v>#N/A</v>
      </c>
      <c r="AN1429" s="104" t="e">
        <f t="shared" si="642"/>
        <v>#N/A</v>
      </c>
      <c r="AO1429" s="104" t="e">
        <f t="shared" si="643"/>
        <v>#N/A</v>
      </c>
      <c r="AP1429" s="104" t="e">
        <f t="shared" si="644"/>
        <v>#N/A</v>
      </c>
      <c r="AQ1429" s="104" t="e">
        <f t="shared" si="645"/>
        <v>#N/A</v>
      </c>
      <c r="AR1429" s="105" t="str">
        <f t="shared" si="637"/>
        <v/>
      </c>
      <c r="AS1429" s="105" t="str">
        <f t="shared" si="638"/>
        <v/>
      </c>
      <c r="AT1429" s="108" t="str">
        <f t="shared" si="639"/>
        <v/>
      </c>
      <c r="AU1429" s="108" t="str">
        <f t="shared" si="640"/>
        <v/>
      </c>
      <c r="AV1429" s="107" t="str">
        <f>IF(ISNUMBER(O1429),IF(VLOOKUP($A1429,Stand!C:J,8,FALSE)="Short",AT1429,AU1429),"")</f>
        <v/>
      </c>
      <c r="AW1429" s="109" t="str">
        <f t="shared" si="646"/>
        <v/>
      </c>
      <c r="AX1429" s="109" t="str">
        <f t="shared" si="647"/>
        <v/>
      </c>
      <c r="AY1429" s="112" t="str">
        <f>IF(ISNUMBER(O1429),IF(AND(VLOOKUP($D1429,Merchantability!$B:$C,2,0)="Yes",$E1429&gt;=VLOOKUP($D1429,Merchantability!$B:$D,3,0),$E1429&lt;=VLOOKUP($D1429,Merchantability!$B:$E,4,0)),(AV1429*O1429)*(1-$H1429/100),""),"")</f>
        <v/>
      </c>
      <c r="AZ1429" s="116"/>
      <c r="BA1429" s="116"/>
      <c r="BB1429" s="116"/>
      <c r="BE1429" s="62"/>
      <c r="BF1429" s="63"/>
    </row>
    <row r="1430" spans="1:58" ht="12.75" customHeight="1" x14ac:dyDescent="0.25">
      <c r="A1430" s="333"/>
      <c r="B1430" s="334"/>
      <c r="C1430" s="332"/>
      <c r="D1430" s="334"/>
      <c r="E1430" s="335"/>
      <c r="F1430" s="334"/>
      <c r="G1430" s="332"/>
      <c r="H1430" s="332"/>
      <c r="I1430" s="334"/>
      <c r="J1430" s="336"/>
      <c r="K1430" s="332"/>
      <c r="L1430" s="332"/>
      <c r="M1430" s="76"/>
      <c r="N1430" s="103" t="str">
        <f>IF(A1430="","",VLOOKUP(A1430,Stand!C:K,9,0))</f>
        <v/>
      </c>
      <c r="O1430" s="104" t="str">
        <f t="shared" si="632"/>
        <v/>
      </c>
      <c r="P1430" s="105" t="str">
        <f t="shared" si="633"/>
        <v/>
      </c>
      <c r="Q1430" s="105" t="str">
        <f t="shared" si="621"/>
        <v/>
      </c>
      <c r="R1430" s="103" t="str">
        <f t="shared" si="634"/>
        <v/>
      </c>
      <c r="S1430" s="103" t="str">
        <f t="shared" si="635"/>
        <v/>
      </c>
      <c r="T1430" s="106" t="str">
        <f t="shared" si="622"/>
        <v/>
      </c>
      <c r="U1430" s="106" t="str">
        <f t="shared" si="623"/>
        <v/>
      </c>
      <c r="V1430" s="106" t="str">
        <f t="shared" si="624"/>
        <v/>
      </c>
      <c r="W1430" s="105" t="str">
        <f t="shared" si="636"/>
        <v/>
      </c>
      <c r="X1430" s="104" t="str">
        <f t="shared" si="641"/>
        <v/>
      </c>
      <c r="Y1430" s="104" t="str">
        <f t="array" ref="Y1430">IFERROR(IF(ISNUMBER(O1430),IF(COUNT(IF(A1430=$A$2:$A$2427,IF(D1430=$D$2:$D$2427,IF($X$2:$X$2427&gt;0,1))))&gt;0,SUM(IF(A1430=$A$2:$A$2427,IF(D1430=$D$2:$D$2427,$X$2:$X$2427)))/COUNT(IF(A1430=$A$2:$A$2427,IF(D1430=$D$2:$D$2427,IF(ISNUMBER($X$2:$X$2427),1)))),0),""),0)</f>
        <v/>
      </c>
      <c r="Z1430" s="104" t="str">
        <f>IF(ISNUMBER(O1430),IF(I1430&gt;0,(10^(VLOOKUP(D1430,'Species Codes'!B:C,2,0)+VLOOKUP(D1430,'Species Codes'!B:D,3,0)*LOG(E1430)+VLOOKUP(D1430,'Species Codes'!B:E,4,0)*LOG(I1430))),0),"")</f>
        <v/>
      </c>
      <c r="AA1430" s="104" t="str">
        <f>IFERROR((VLOOKUP(D1430,'Species Codes'!B:G,6,0)*Z1430)/2000,"")</f>
        <v/>
      </c>
      <c r="AB1430" s="104" t="e">
        <f>IF(Z1430&gt;0,((IF(OR(D1430="DF",D1430="RA")=TRUE,EXP(VLOOKUP(D1430,'Species Codes'!B:I,8,0)+VLOOKUP(D1430,'Species Codes'!B:J,9,0)*(LN((E1430*2.54)))),IF(OR(D1430="PY",D1430="RC",D1430="WH",D1430="NF")=TRUE,VLOOKUP(D1430,'Species Codes'!B:I,8,0)+VLOOKUP(D1430,'Species Codes'!B:J,9,0)*((E1430*2.54)^2)*(I1430*0.3048),IF(OR(D1430="MD",D1430="BM",D1430="GA")=TRUE,((VLOOKUP(D1430,'Species Codes'!B:I,8,0)*(((((E1430*2.54)+VLOOKUP(D1430,'Species Codes'!B:J,9,0))/VLOOKUP(D1430,'Species Codes'!B:K,10,0))^VLOOKUP(D1430,'Species Codes'!B:L,11,0))*((I1430*0.3048)^VLOOKUP(D1430,'Species Codes'!B:M,12,0))))-(VLOOKUP(D1430,'Species Codes'!B:I,8,0)*((((E1430*2.54)^VLOOKUP(D1430,'Species Codes'!B:L,11,0))*((I1430*0.3048)^VLOOKUP(D1430,'Species Codes'!B:M,12,0))))))*35.3*VLOOKUP(D1430,'Species Codes'!B:G,6,0)/2.2046,VLOOKUP(D1430,'Species Codes'!B:I,8,0)+VLOOKUP(D1430,'Species Codes'!B:J,9,0)*(((E1430*2.54)/100)^2)*(I1430*0.3048)))))*0.0011023),0)</f>
        <v>#N/A</v>
      </c>
      <c r="AC1430" s="104" t="e">
        <f>IF(Z1430&gt;0,((IF(OR(D1430="RA",D1430="OA",D1430="OT",D1430="UN",D1430="PC"),EXP(VLOOKUP(D1430,'Species Codes'!B:O,14,0)+VLOOKUP(D1430,'Species Codes'!B:P,15,0)*LN((E1430*2.54)))-EXP(VLOOKUP(D1430,'Species Codes'!B:O,14,0)+VLOOKUP(D1430,'Species Codes'!B:P,15,0)*LN((E1430*2.54)))*(1/(VLOOKUP(D1430,'Species Codes'!B:Q,16,0)+VLOOKUP(D1430,'Species Codes'!B:R,17,0)*((E1430*2.54)^VLOOKUP(D1430,'Species Codes'!B:S,18,0)))),IF(OR(D1430="BM",D1430="MD",D1430="OA"),EXP(VLOOKUP(D1430,'Species Codes'!B:O,14,0)+VLOOKUP(D1430,'Species Codes'!B:P,15,0)*LN((E1430*2.54)))*(1-(1/(VLOOKUP(D1430,'Species Codes'!B:Q,16,0)+VLOOKUP(D1430,'Species Codes'!B:R,17,0)*((E1430*2.54)^VLOOKUP(D1430,'Species Codes'!B:S,18,0)))))/1000,IF(D1430="DF",EXP(VLOOKUP(D1430,'Species Codes'!B:O,14,0)+VLOOKUP(D1430,'Species Codes'!B:P,15,0)*LN((E1430*2.54))),VLOOKUP(D1430,'Species Codes'!B:O,14,0)+VLOOKUP(D1430,'Species Codes'!B:P,15,0)*(((E1430*2.54)/100)^2)*(I1430*0.3048)))))*0.0011023),0)</f>
        <v>#N/A</v>
      </c>
      <c r="AD1430" s="104" t="e">
        <f t="shared" si="625"/>
        <v>#N/A</v>
      </c>
      <c r="AE1430" s="104" t="e">
        <f t="shared" si="626"/>
        <v>#N/A</v>
      </c>
      <c r="AF1430" s="104" t="e">
        <f>IF(AND(VLOOKUP($D1430,Merchantability!$B:$C,2,0)="Yes",$E1430&gt;=VLOOKUP($D1430,Merchantability!$B:$D,3,0),$E1430&lt;=VLOOKUP($D1430,Merchantability!$B:$E,4,0)),AA1430,0)</f>
        <v>#N/A</v>
      </c>
      <c r="AG1430" s="104" t="e">
        <f>IF(AND(VLOOKUP($D1430,Merchantability!$B:$C,2,0)="Yes",$E1430&gt;=VLOOKUP($D1430,Merchantability!$B:$D,3,0),$E1430&lt;=VLOOKUP($D1430,Merchantability!$B:$E,4,0)),AB1430,0)</f>
        <v>#N/A</v>
      </c>
      <c r="AH1430" s="104" t="e">
        <f>IF(AND(VLOOKUP($D1430,Merchantability!$B:$C,2,0)="Yes",$E1430&gt;=VLOOKUP($D1430,Merchantability!$B:$D,3,0),$E1430&lt;=VLOOKUP($D1430,Merchantability!$B:$E,4,0)),AC1430,0)</f>
        <v>#N/A</v>
      </c>
      <c r="AI1430" s="104" t="e">
        <f t="shared" si="627"/>
        <v>#N/A</v>
      </c>
      <c r="AJ1430" s="104" t="e">
        <f t="shared" si="628"/>
        <v>#VALUE!</v>
      </c>
      <c r="AK1430" s="104" t="e">
        <f t="shared" si="629"/>
        <v>#N/A</v>
      </c>
      <c r="AL1430" s="104" t="e">
        <f t="shared" si="630"/>
        <v>#N/A</v>
      </c>
      <c r="AM1430" s="104" t="e">
        <f t="shared" si="631"/>
        <v>#N/A</v>
      </c>
      <c r="AN1430" s="104" t="e">
        <f t="shared" si="642"/>
        <v>#N/A</v>
      </c>
      <c r="AO1430" s="104" t="e">
        <f t="shared" si="643"/>
        <v>#N/A</v>
      </c>
      <c r="AP1430" s="104" t="e">
        <f t="shared" si="644"/>
        <v>#N/A</v>
      </c>
      <c r="AQ1430" s="104" t="e">
        <f t="shared" si="645"/>
        <v>#N/A</v>
      </c>
      <c r="AR1430" s="105" t="str">
        <f t="shared" si="637"/>
        <v/>
      </c>
      <c r="AS1430" s="105" t="str">
        <f t="shared" si="638"/>
        <v/>
      </c>
      <c r="AT1430" s="108" t="str">
        <f t="shared" si="639"/>
        <v/>
      </c>
      <c r="AU1430" s="108" t="str">
        <f t="shared" si="640"/>
        <v/>
      </c>
      <c r="AV1430" s="107" t="str">
        <f>IF(ISNUMBER(O1430),IF(VLOOKUP($A1430,Stand!C:J,8,FALSE)="Short",AT1430,AU1430),"")</f>
        <v/>
      </c>
      <c r="AW1430" s="109" t="str">
        <f t="shared" si="646"/>
        <v/>
      </c>
      <c r="AX1430" s="109" t="str">
        <f t="shared" si="647"/>
        <v/>
      </c>
      <c r="AY1430" s="112" t="str">
        <f>IF(ISNUMBER(O1430),IF(AND(VLOOKUP($D1430,Merchantability!$B:$C,2,0)="Yes",$E1430&gt;=VLOOKUP($D1430,Merchantability!$B:$D,3,0),$E1430&lt;=VLOOKUP($D1430,Merchantability!$B:$E,4,0)),(AV1430*O1430)*(1-$H1430/100),""),"")</f>
        <v/>
      </c>
      <c r="AZ1430" s="116"/>
      <c r="BA1430" s="116"/>
      <c r="BB1430" s="116"/>
      <c r="BE1430" s="62"/>
      <c r="BF1430" s="63"/>
    </row>
    <row r="1431" spans="1:58" ht="12.75" customHeight="1" x14ac:dyDescent="0.25">
      <c r="A1431" s="333"/>
      <c r="B1431" s="334"/>
      <c r="C1431" s="332"/>
      <c r="D1431" s="334"/>
      <c r="E1431" s="335"/>
      <c r="F1431" s="334"/>
      <c r="G1431" s="332"/>
      <c r="H1431" s="332"/>
      <c r="I1431" s="334"/>
      <c r="J1431" s="336"/>
      <c r="K1431" s="332"/>
      <c r="L1431" s="332"/>
      <c r="M1431" s="76"/>
      <c r="N1431" s="103" t="str">
        <f>IF(A1431="","",VLOOKUP(A1431,Stand!C:K,9,0))</f>
        <v/>
      </c>
      <c r="O1431" s="104" t="str">
        <f t="shared" si="632"/>
        <v/>
      </c>
      <c r="P1431" s="105" t="str">
        <f t="shared" si="633"/>
        <v/>
      </c>
      <c r="Q1431" s="105" t="str">
        <f t="shared" si="621"/>
        <v/>
      </c>
      <c r="R1431" s="103" t="str">
        <f t="shared" si="634"/>
        <v/>
      </c>
      <c r="S1431" s="103" t="str">
        <f t="shared" si="635"/>
        <v/>
      </c>
      <c r="T1431" s="106" t="str">
        <f t="shared" si="622"/>
        <v/>
      </c>
      <c r="U1431" s="106" t="str">
        <f t="shared" si="623"/>
        <v/>
      </c>
      <c r="V1431" s="106" t="str">
        <f t="shared" si="624"/>
        <v/>
      </c>
      <c r="W1431" s="105" t="str">
        <f t="shared" si="636"/>
        <v/>
      </c>
      <c r="X1431" s="104" t="str">
        <f t="shared" si="641"/>
        <v/>
      </c>
      <c r="Y1431" s="104" t="str">
        <f t="array" ref="Y1431">IFERROR(IF(ISNUMBER(O1431),IF(COUNT(IF(A1431=$A$2:$A$2427,IF(D1431=$D$2:$D$2427,IF($X$2:$X$2427&gt;0,1))))&gt;0,SUM(IF(A1431=$A$2:$A$2427,IF(D1431=$D$2:$D$2427,$X$2:$X$2427)))/COUNT(IF(A1431=$A$2:$A$2427,IF(D1431=$D$2:$D$2427,IF(ISNUMBER($X$2:$X$2427),1)))),0),""),0)</f>
        <v/>
      </c>
      <c r="Z1431" s="104" t="str">
        <f>IF(ISNUMBER(O1431),IF(I1431&gt;0,(10^(VLOOKUP(D1431,'Species Codes'!B:C,2,0)+VLOOKUP(D1431,'Species Codes'!B:D,3,0)*LOG(E1431)+VLOOKUP(D1431,'Species Codes'!B:E,4,0)*LOG(I1431))),0),"")</f>
        <v/>
      </c>
      <c r="AA1431" s="104" t="str">
        <f>IFERROR((VLOOKUP(D1431,'Species Codes'!B:G,6,0)*Z1431)/2000,"")</f>
        <v/>
      </c>
      <c r="AB1431" s="104" t="e">
        <f>IF(Z1431&gt;0,((IF(OR(D1431="DF",D1431="RA")=TRUE,EXP(VLOOKUP(D1431,'Species Codes'!B:I,8,0)+VLOOKUP(D1431,'Species Codes'!B:J,9,0)*(LN((E1431*2.54)))),IF(OR(D1431="PY",D1431="RC",D1431="WH",D1431="NF")=TRUE,VLOOKUP(D1431,'Species Codes'!B:I,8,0)+VLOOKUP(D1431,'Species Codes'!B:J,9,0)*((E1431*2.54)^2)*(I1431*0.3048),IF(OR(D1431="MD",D1431="BM",D1431="GA")=TRUE,((VLOOKUP(D1431,'Species Codes'!B:I,8,0)*(((((E1431*2.54)+VLOOKUP(D1431,'Species Codes'!B:J,9,0))/VLOOKUP(D1431,'Species Codes'!B:K,10,0))^VLOOKUP(D1431,'Species Codes'!B:L,11,0))*((I1431*0.3048)^VLOOKUP(D1431,'Species Codes'!B:M,12,0))))-(VLOOKUP(D1431,'Species Codes'!B:I,8,0)*((((E1431*2.54)^VLOOKUP(D1431,'Species Codes'!B:L,11,0))*((I1431*0.3048)^VLOOKUP(D1431,'Species Codes'!B:M,12,0))))))*35.3*VLOOKUP(D1431,'Species Codes'!B:G,6,0)/2.2046,VLOOKUP(D1431,'Species Codes'!B:I,8,0)+VLOOKUP(D1431,'Species Codes'!B:J,9,0)*(((E1431*2.54)/100)^2)*(I1431*0.3048)))))*0.0011023),0)</f>
        <v>#N/A</v>
      </c>
      <c r="AC1431" s="104" t="e">
        <f>IF(Z1431&gt;0,((IF(OR(D1431="RA",D1431="OA",D1431="OT",D1431="UN",D1431="PC"),EXP(VLOOKUP(D1431,'Species Codes'!B:O,14,0)+VLOOKUP(D1431,'Species Codes'!B:P,15,0)*LN((E1431*2.54)))-EXP(VLOOKUP(D1431,'Species Codes'!B:O,14,0)+VLOOKUP(D1431,'Species Codes'!B:P,15,0)*LN((E1431*2.54)))*(1/(VLOOKUP(D1431,'Species Codes'!B:Q,16,0)+VLOOKUP(D1431,'Species Codes'!B:R,17,0)*((E1431*2.54)^VLOOKUP(D1431,'Species Codes'!B:S,18,0)))),IF(OR(D1431="BM",D1431="MD",D1431="OA"),EXP(VLOOKUP(D1431,'Species Codes'!B:O,14,0)+VLOOKUP(D1431,'Species Codes'!B:P,15,0)*LN((E1431*2.54)))*(1-(1/(VLOOKUP(D1431,'Species Codes'!B:Q,16,0)+VLOOKUP(D1431,'Species Codes'!B:R,17,0)*((E1431*2.54)^VLOOKUP(D1431,'Species Codes'!B:S,18,0)))))/1000,IF(D1431="DF",EXP(VLOOKUP(D1431,'Species Codes'!B:O,14,0)+VLOOKUP(D1431,'Species Codes'!B:P,15,0)*LN((E1431*2.54))),VLOOKUP(D1431,'Species Codes'!B:O,14,0)+VLOOKUP(D1431,'Species Codes'!B:P,15,0)*(((E1431*2.54)/100)^2)*(I1431*0.3048)))))*0.0011023),0)</f>
        <v>#N/A</v>
      </c>
      <c r="AD1431" s="104" t="e">
        <f t="shared" si="625"/>
        <v>#N/A</v>
      </c>
      <c r="AE1431" s="104" t="e">
        <f t="shared" si="626"/>
        <v>#N/A</v>
      </c>
      <c r="AF1431" s="104" t="e">
        <f>IF(AND(VLOOKUP($D1431,Merchantability!$B:$C,2,0)="Yes",$E1431&gt;=VLOOKUP($D1431,Merchantability!$B:$D,3,0),$E1431&lt;=VLOOKUP($D1431,Merchantability!$B:$E,4,0)),AA1431,0)</f>
        <v>#N/A</v>
      </c>
      <c r="AG1431" s="104" t="e">
        <f>IF(AND(VLOOKUP($D1431,Merchantability!$B:$C,2,0)="Yes",$E1431&gt;=VLOOKUP($D1431,Merchantability!$B:$D,3,0),$E1431&lt;=VLOOKUP($D1431,Merchantability!$B:$E,4,0)),AB1431,0)</f>
        <v>#N/A</v>
      </c>
      <c r="AH1431" s="104" t="e">
        <f>IF(AND(VLOOKUP($D1431,Merchantability!$B:$C,2,0)="Yes",$E1431&gt;=VLOOKUP($D1431,Merchantability!$B:$D,3,0),$E1431&lt;=VLOOKUP($D1431,Merchantability!$B:$E,4,0)),AC1431,0)</f>
        <v>#N/A</v>
      </c>
      <c r="AI1431" s="104" t="e">
        <f t="shared" si="627"/>
        <v>#N/A</v>
      </c>
      <c r="AJ1431" s="104" t="e">
        <f t="shared" si="628"/>
        <v>#VALUE!</v>
      </c>
      <c r="AK1431" s="104" t="e">
        <f t="shared" si="629"/>
        <v>#N/A</v>
      </c>
      <c r="AL1431" s="104" t="e">
        <f t="shared" si="630"/>
        <v>#N/A</v>
      </c>
      <c r="AM1431" s="104" t="e">
        <f t="shared" si="631"/>
        <v>#N/A</v>
      </c>
      <c r="AN1431" s="104" t="e">
        <f t="shared" si="642"/>
        <v>#N/A</v>
      </c>
      <c r="AO1431" s="104" t="e">
        <f t="shared" si="643"/>
        <v>#N/A</v>
      </c>
      <c r="AP1431" s="104" t="e">
        <f t="shared" si="644"/>
        <v>#N/A</v>
      </c>
      <c r="AQ1431" s="104" t="e">
        <f t="shared" si="645"/>
        <v>#N/A</v>
      </c>
      <c r="AR1431" s="105" t="str">
        <f t="shared" si="637"/>
        <v/>
      </c>
      <c r="AS1431" s="105" t="str">
        <f t="shared" si="638"/>
        <v/>
      </c>
      <c r="AT1431" s="108" t="str">
        <f t="shared" si="639"/>
        <v/>
      </c>
      <c r="AU1431" s="108" t="str">
        <f t="shared" si="640"/>
        <v/>
      </c>
      <c r="AV1431" s="107" t="str">
        <f>IF(ISNUMBER(O1431),IF(VLOOKUP($A1431,Stand!C:J,8,FALSE)="Short",AT1431,AU1431),"")</f>
        <v/>
      </c>
      <c r="AW1431" s="109" t="str">
        <f t="shared" si="646"/>
        <v/>
      </c>
      <c r="AX1431" s="109" t="str">
        <f t="shared" si="647"/>
        <v/>
      </c>
      <c r="AY1431" s="112" t="str">
        <f>IF(ISNUMBER(O1431),IF(AND(VLOOKUP($D1431,Merchantability!$B:$C,2,0)="Yes",$E1431&gt;=VLOOKUP($D1431,Merchantability!$B:$D,3,0),$E1431&lt;=VLOOKUP($D1431,Merchantability!$B:$E,4,0)),(AV1431*O1431)*(1-$H1431/100),""),"")</f>
        <v/>
      </c>
      <c r="AZ1431" s="116"/>
      <c r="BA1431" s="116"/>
      <c r="BB1431" s="116"/>
      <c r="BE1431" s="62"/>
      <c r="BF1431" s="63"/>
    </row>
    <row r="1432" spans="1:58" ht="12.75" customHeight="1" x14ac:dyDescent="0.25">
      <c r="A1432" s="333"/>
      <c r="B1432" s="334"/>
      <c r="C1432" s="332"/>
      <c r="D1432" s="334"/>
      <c r="E1432" s="335"/>
      <c r="F1432" s="334"/>
      <c r="G1432" s="332"/>
      <c r="H1432" s="332"/>
      <c r="I1432" s="334"/>
      <c r="J1432" s="336"/>
      <c r="K1432" s="332"/>
      <c r="L1432" s="332"/>
      <c r="M1432" s="76"/>
      <c r="N1432" s="103" t="str">
        <f>IF(A1432="","",VLOOKUP(A1432,Stand!C:K,9,0))</f>
        <v/>
      </c>
      <c r="O1432" s="104" t="str">
        <f t="shared" si="632"/>
        <v/>
      </c>
      <c r="P1432" s="105" t="str">
        <f t="shared" si="633"/>
        <v/>
      </c>
      <c r="Q1432" s="105" t="str">
        <f t="shared" si="621"/>
        <v/>
      </c>
      <c r="R1432" s="103" t="str">
        <f t="shared" si="634"/>
        <v/>
      </c>
      <c r="S1432" s="103" t="str">
        <f t="shared" si="635"/>
        <v/>
      </c>
      <c r="T1432" s="106" t="str">
        <f t="shared" si="622"/>
        <v/>
      </c>
      <c r="U1432" s="106" t="str">
        <f t="shared" si="623"/>
        <v/>
      </c>
      <c r="V1432" s="106" t="str">
        <f t="shared" si="624"/>
        <v/>
      </c>
      <c r="W1432" s="105" t="str">
        <f t="shared" si="636"/>
        <v/>
      </c>
      <c r="X1432" s="104" t="str">
        <f t="shared" si="641"/>
        <v/>
      </c>
      <c r="Y1432" s="104" t="str">
        <f t="array" ref="Y1432">IFERROR(IF(ISNUMBER(O1432),IF(COUNT(IF(A1432=$A$2:$A$2427,IF(D1432=$D$2:$D$2427,IF($X$2:$X$2427&gt;0,1))))&gt;0,SUM(IF(A1432=$A$2:$A$2427,IF(D1432=$D$2:$D$2427,$X$2:$X$2427)))/COUNT(IF(A1432=$A$2:$A$2427,IF(D1432=$D$2:$D$2427,IF(ISNUMBER($X$2:$X$2427),1)))),0),""),0)</f>
        <v/>
      </c>
      <c r="Z1432" s="104" t="str">
        <f>IF(ISNUMBER(O1432),IF(I1432&gt;0,(10^(VLOOKUP(D1432,'Species Codes'!B:C,2,0)+VLOOKUP(D1432,'Species Codes'!B:D,3,0)*LOG(E1432)+VLOOKUP(D1432,'Species Codes'!B:E,4,0)*LOG(I1432))),0),"")</f>
        <v/>
      </c>
      <c r="AA1432" s="104" t="str">
        <f>IFERROR((VLOOKUP(D1432,'Species Codes'!B:G,6,0)*Z1432)/2000,"")</f>
        <v/>
      </c>
      <c r="AB1432" s="104" t="e">
        <f>IF(Z1432&gt;0,((IF(OR(D1432="DF",D1432="RA")=TRUE,EXP(VLOOKUP(D1432,'Species Codes'!B:I,8,0)+VLOOKUP(D1432,'Species Codes'!B:J,9,0)*(LN((E1432*2.54)))),IF(OR(D1432="PY",D1432="RC",D1432="WH",D1432="NF")=TRUE,VLOOKUP(D1432,'Species Codes'!B:I,8,0)+VLOOKUP(D1432,'Species Codes'!B:J,9,0)*((E1432*2.54)^2)*(I1432*0.3048),IF(OR(D1432="MD",D1432="BM",D1432="GA")=TRUE,((VLOOKUP(D1432,'Species Codes'!B:I,8,0)*(((((E1432*2.54)+VLOOKUP(D1432,'Species Codes'!B:J,9,0))/VLOOKUP(D1432,'Species Codes'!B:K,10,0))^VLOOKUP(D1432,'Species Codes'!B:L,11,0))*((I1432*0.3048)^VLOOKUP(D1432,'Species Codes'!B:M,12,0))))-(VLOOKUP(D1432,'Species Codes'!B:I,8,0)*((((E1432*2.54)^VLOOKUP(D1432,'Species Codes'!B:L,11,0))*((I1432*0.3048)^VLOOKUP(D1432,'Species Codes'!B:M,12,0))))))*35.3*VLOOKUP(D1432,'Species Codes'!B:G,6,0)/2.2046,VLOOKUP(D1432,'Species Codes'!B:I,8,0)+VLOOKUP(D1432,'Species Codes'!B:J,9,0)*(((E1432*2.54)/100)^2)*(I1432*0.3048)))))*0.0011023),0)</f>
        <v>#N/A</v>
      </c>
      <c r="AC1432" s="104" t="e">
        <f>IF(Z1432&gt;0,((IF(OR(D1432="RA",D1432="OA",D1432="OT",D1432="UN",D1432="PC"),EXP(VLOOKUP(D1432,'Species Codes'!B:O,14,0)+VLOOKUP(D1432,'Species Codes'!B:P,15,0)*LN((E1432*2.54)))-EXP(VLOOKUP(D1432,'Species Codes'!B:O,14,0)+VLOOKUP(D1432,'Species Codes'!B:P,15,0)*LN((E1432*2.54)))*(1/(VLOOKUP(D1432,'Species Codes'!B:Q,16,0)+VLOOKUP(D1432,'Species Codes'!B:R,17,0)*((E1432*2.54)^VLOOKUP(D1432,'Species Codes'!B:S,18,0)))),IF(OR(D1432="BM",D1432="MD",D1432="OA"),EXP(VLOOKUP(D1432,'Species Codes'!B:O,14,0)+VLOOKUP(D1432,'Species Codes'!B:P,15,0)*LN((E1432*2.54)))*(1-(1/(VLOOKUP(D1432,'Species Codes'!B:Q,16,0)+VLOOKUP(D1432,'Species Codes'!B:R,17,0)*((E1432*2.54)^VLOOKUP(D1432,'Species Codes'!B:S,18,0)))))/1000,IF(D1432="DF",EXP(VLOOKUP(D1432,'Species Codes'!B:O,14,0)+VLOOKUP(D1432,'Species Codes'!B:P,15,0)*LN((E1432*2.54))),VLOOKUP(D1432,'Species Codes'!B:O,14,0)+VLOOKUP(D1432,'Species Codes'!B:P,15,0)*(((E1432*2.54)/100)^2)*(I1432*0.3048)))))*0.0011023),0)</f>
        <v>#N/A</v>
      </c>
      <c r="AD1432" s="104" t="e">
        <f t="shared" si="625"/>
        <v>#N/A</v>
      </c>
      <c r="AE1432" s="104" t="e">
        <f t="shared" si="626"/>
        <v>#N/A</v>
      </c>
      <c r="AF1432" s="104" t="e">
        <f>IF(AND(VLOOKUP($D1432,Merchantability!$B:$C,2,0)="Yes",$E1432&gt;=VLOOKUP($D1432,Merchantability!$B:$D,3,0),$E1432&lt;=VLOOKUP($D1432,Merchantability!$B:$E,4,0)),AA1432,0)</f>
        <v>#N/A</v>
      </c>
      <c r="AG1432" s="104" t="e">
        <f>IF(AND(VLOOKUP($D1432,Merchantability!$B:$C,2,0)="Yes",$E1432&gt;=VLOOKUP($D1432,Merchantability!$B:$D,3,0),$E1432&lt;=VLOOKUP($D1432,Merchantability!$B:$E,4,0)),AB1432,0)</f>
        <v>#N/A</v>
      </c>
      <c r="AH1432" s="104" t="e">
        <f>IF(AND(VLOOKUP($D1432,Merchantability!$B:$C,2,0)="Yes",$E1432&gt;=VLOOKUP($D1432,Merchantability!$B:$D,3,0),$E1432&lt;=VLOOKUP($D1432,Merchantability!$B:$E,4,0)),AC1432,0)</f>
        <v>#N/A</v>
      </c>
      <c r="AI1432" s="104" t="e">
        <f t="shared" si="627"/>
        <v>#N/A</v>
      </c>
      <c r="AJ1432" s="104" t="e">
        <f t="shared" si="628"/>
        <v>#VALUE!</v>
      </c>
      <c r="AK1432" s="104" t="e">
        <f t="shared" si="629"/>
        <v>#N/A</v>
      </c>
      <c r="AL1432" s="104" t="e">
        <f t="shared" si="630"/>
        <v>#N/A</v>
      </c>
      <c r="AM1432" s="104" t="e">
        <f t="shared" si="631"/>
        <v>#N/A</v>
      </c>
      <c r="AN1432" s="104" t="e">
        <f t="shared" si="642"/>
        <v>#N/A</v>
      </c>
      <c r="AO1432" s="104" t="e">
        <f t="shared" si="643"/>
        <v>#N/A</v>
      </c>
      <c r="AP1432" s="104" t="e">
        <f t="shared" si="644"/>
        <v>#N/A</v>
      </c>
      <c r="AQ1432" s="104" t="e">
        <f t="shared" si="645"/>
        <v>#N/A</v>
      </c>
      <c r="AR1432" s="105" t="str">
        <f t="shared" si="637"/>
        <v/>
      </c>
      <c r="AS1432" s="105" t="str">
        <f t="shared" si="638"/>
        <v/>
      </c>
      <c r="AT1432" s="108" t="str">
        <f t="shared" si="639"/>
        <v/>
      </c>
      <c r="AU1432" s="108" t="str">
        <f t="shared" si="640"/>
        <v/>
      </c>
      <c r="AV1432" s="107" t="str">
        <f>IF(ISNUMBER(O1432),IF(VLOOKUP($A1432,Stand!C:J,8,FALSE)="Short",AT1432,AU1432),"")</f>
        <v/>
      </c>
      <c r="AW1432" s="109" t="str">
        <f t="shared" si="646"/>
        <v/>
      </c>
      <c r="AX1432" s="109" t="str">
        <f t="shared" si="647"/>
        <v/>
      </c>
      <c r="AY1432" s="112" t="str">
        <f>IF(ISNUMBER(O1432),IF(AND(VLOOKUP($D1432,Merchantability!$B:$C,2,0)="Yes",$E1432&gt;=VLOOKUP($D1432,Merchantability!$B:$D,3,0),$E1432&lt;=VLOOKUP($D1432,Merchantability!$B:$E,4,0)),(AV1432*O1432)*(1-$H1432/100),""),"")</f>
        <v/>
      </c>
      <c r="AZ1432" s="116"/>
      <c r="BA1432" s="116"/>
      <c r="BB1432" s="116"/>
      <c r="BE1432" s="62"/>
      <c r="BF1432" s="63"/>
    </row>
    <row r="1433" spans="1:58" ht="12.75" customHeight="1" x14ac:dyDescent="0.25">
      <c r="A1433" s="333"/>
      <c r="B1433" s="334"/>
      <c r="C1433" s="332"/>
      <c r="D1433" s="334"/>
      <c r="E1433" s="335"/>
      <c r="F1433" s="334"/>
      <c r="G1433" s="332"/>
      <c r="H1433" s="332"/>
      <c r="I1433" s="334"/>
      <c r="J1433" s="336"/>
      <c r="K1433" s="332"/>
      <c r="L1433" s="332"/>
      <c r="M1433" s="76"/>
      <c r="N1433" s="103" t="str">
        <f>IF(A1433="","",VLOOKUP(A1433,Stand!C:K,9,0))</f>
        <v/>
      </c>
      <c r="O1433" s="104" t="str">
        <f t="shared" si="632"/>
        <v/>
      </c>
      <c r="P1433" s="105" t="str">
        <f t="shared" si="633"/>
        <v/>
      </c>
      <c r="Q1433" s="105" t="str">
        <f t="shared" si="621"/>
        <v/>
      </c>
      <c r="R1433" s="103" t="str">
        <f t="shared" si="634"/>
        <v/>
      </c>
      <c r="S1433" s="103" t="str">
        <f t="shared" si="635"/>
        <v/>
      </c>
      <c r="T1433" s="106" t="str">
        <f t="shared" si="622"/>
        <v/>
      </c>
      <c r="U1433" s="106" t="str">
        <f t="shared" si="623"/>
        <v/>
      </c>
      <c r="V1433" s="106" t="str">
        <f t="shared" si="624"/>
        <v/>
      </c>
      <c r="W1433" s="105" t="str">
        <f t="shared" si="636"/>
        <v/>
      </c>
      <c r="X1433" s="104" t="str">
        <f t="shared" si="641"/>
        <v/>
      </c>
      <c r="Y1433" s="104" t="str">
        <f t="array" ref="Y1433">IFERROR(IF(ISNUMBER(O1433),IF(COUNT(IF(A1433=$A$2:$A$2427,IF(D1433=$D$2:$D$2427,IF($X$2:$X$2427&gt;0,1))))&gt;0,SUM(IF(A1433=$A$2:$A$2427,IF(D1433=$D$2:$D$2427,$X$2:$X$2427)))/COUNT(IF(A1433=$A$2:$A$2427,IF(D1433=$D$2:$D$2427,IF(ISNUMBER($X$2:$X$2427),1)))),0),""),0)</f>
        <v/>
      </c>
      <c r="Z1433" s="104" t="str">
        <f>IF(ISNUMBER(O1433),IF(I1433&gt;0,(10^(VLOOKUP(D1433,'Species Codes'!B:C,2,0)+VLOOKUP(D1433,'Species Codes'!B:D,3,0)*LOG(E1433)+VLOOKUP(D1433,'Species Codes'!B:E,4,0)*LOG(I1433))),0),"")</f>
        <v/>
      </c>
      <c r="AA1433" s="104" t="str">
        <f>IFERROR((VLOOKUP(D1433,'Species Codes'!B:G,6,0)*Z1433)/2000,"")</f>
        <v/>
      </c>
      <c r="AB1433" s="104" t="e">
        <f>IF(Z1433&gt;0,((IF(OR(D1433="DF",D1433="RA")=TRUE,EXP(VLOOKUP(D1433,'Species Codes'!B:I,8,0)+VLOOKUP(D1433,'Species Codes'!B:J,9,0)*(LN((E1433*2.54)))),IF(OR(D1433="PY",D1433="RC",D1433="WH",D1433="NF")=TRUE,VLOOKUP(D1433,'Species Codes'!B:I,8,0)+VLOOKUP(D1433,'Species Codes'!B:J,9,0)*((E1433*2.54)^2)*(I1433*0.3048),IF(OR(D1433="MD",D1433="BM",D1433="GA")=TRUE,((VLOOKUP(D1433,'Species Codes'!B:I,8,0)*(((((E1433*2.54)+VLOOKUP(D1433,'Species Codes'!B:J,9,0))/VLOOKUP(D1433,'Species Codes'!B:K,10,0))^VLOOKUP(D1433,'Species Codes'!B:L,11,0))*((I1433*0.3048)^VLOOKUP(D1433,'Species Codes'!B:M,12,0))))-(VLOOKUP(D1433,'Species Codes'!B:I,8,0)*((((E1433*2.54)^VLOOKUP(D1433,'Species Codes'!B:L,11,0))*((I1433*0.3048)^VLOOKUP(D1433,'Species Codes'!B:M,12,0))))))*35.3*VLOOKUP(D1433,'Species Codes'!B:G,6,0)/2.2046,VLOOKUP(D1433,'Species Codes'!B:I,8,0)+VLOOKUP(D1433,'Species Codes'!B:J,9,0)*(((E1433*2.54)/100)^2)*(I1433*0.3048)))))*0.0011023),0)</f>
        <v>#N/A</v>
      </c>
      <c r="AC1433" s="104" t="e">
        <f>IF(Z1433&gt;0,((IF(OR(D1433="RA",D1433="OA",D1433="OT",D1433="UN",D1433="PC"),EXP(VLOOKUP(D1433,'Species Codes'!B:O,14,0)+VLOOKUP(D1433,'Species Codes'!B:P,15,0)*LN((E1433*2.54)))-EXP(VLOOKUP(D1433,'Species Codes'!B:O,14,0)+VLOOKUP(D1433,'Species Codes'!B:P,15,0)*LN((E1433*2.54)))*(1/(VLOOKUP(D1433,'Species Codes'!B:Q,16,0)+VLOOKUP(D1433,'Species Codes'!B:R,17,0)*((E1433*2.54)^VLOOKUP(D1433,'Species Codes'!B:S,18,0)))),IF(OR(D1433="BM",D1433="MD",D1433="OA"),EXP(VLOOKUP(D1433,'Species Codes'!B:O,14,0)+VLOOKUP(D1433,'Species Codes'!B:P,15,0)*LN((E1433*2.54)))*(1-(1/(VLOOKUP(D1433,'Species Codes'!B:Q,16,0)+VLOOKUP(D1433,'Species Codes'!B:R,17,0)*((E1433*2.54)^VLOOKUP(D1433,'Species Codes'!B:S,18,0)))))/1000,IF(D1433="DF",EXP(VLOOKUP(D1433,'Species Codes'!B:O,14,0)+VLOOKUP(D1433,'Species Codes'!B:P,15,0)*LN((E1433*2.54))),VLOOKUP(D1433,'Species Codes'!B:O,14,0)+VLOOKUP(D1433,'Species Codes'!B:P,15,0)*(((E1433*2.54)/100)^2)*(I1433*0.3048)))))*0.0011023),0)</f>
        <v>#N/A</v>
      </c>
      <c r="AD1433" s="104" t="e">
        <f t="shared" si="625"/>
        <v>#N/A</v>
      </c>
      <c r="AE1433" s="104" t="e">
        <f t="shared" si="626"/>
        <v>#N/A</v>
      </c>
      <c r="AF1433" s="104" t="e">
        <f>IF(AND(VLOOKUP($D1433,Merchantability!$B:$C,2,0)="Yes",$E1433&gt;=VLOOKUP($D1433,Merchantability!$B:$D,3,0),$E1433&lt;=VLOOKUP($D1433,Merchantability!$B:$E,4,0)),AA1433,0)</f>
        <v>#N/A</v>
      </c>
      <c r="AG1433" s="104" t="e">
        <f>IF(AND(VLOOKUP($D1433,Merchantability!$B:$C,2,0)="Yes",$E1433&gt;=VLOOKUP($D1433,Merchantability!$B:$D,3,0),$E1433&lt;=VLOOKUP($D1433,Merchantability!$B:$E,4,0)),AB1433,0)</f>
        <v>#N/A</v>
      </c>
      <c r="AH1433" s="104" t="e">
        <f>IF(AND(VLOOKUP($D1433,Merchantability!$B:$C,2,0)="Yes",$E1433&gt;=VLOOKUP($D1433,Merchantability!$B:$D,3,0),$E1433&lt;=VLOOKUP($D1433,Merchantability!$B:$E,4,0)),AC1433,0)</f>
        <v>#N/A</v>
      </c>
      <c r="AI1433" s="104" t="e">
        <f t="shared" si="627"/>
        <v>#N/A</v>
      </c>
      <c r="AJ1433" s="104" t="e">
        <f t="shared" si="628"/>
        <v>#VALUE!</v>
      </c>
      <c r="AK1433" s="104" t="e">
        <f t="shared" si="629"/>
        <v>#N/A</v>
      </c>
      <c r="AL1433" s="104" t="e">
        <f t="shared" si="630"/>
        <v>#N/A</v>
      </c>
      <c r="AM1433" s="104" t="e">
        <f t="shared" si="631"/>
        <v>#N/A</v>
      </c>
      <c r="AN1433" s="104" t="e">
        <f t="shared" si="642"/>
        <v>#N/A</v>
      </c>
      <c r="AO1433" s="104" t="e">
        <f t="shared" si="643"/>
        <v>#N/A</v>
      </c>
      <c r="AP1433" s="104" t="e">
        <f t="shared" si="644"/>
        <v>#N/A</v>
      </c>
      <c r="AQ1433" s="104" t="e">
        <f t="shared" si="645"/>
        <v>#N/A</v>
      </c>
      <c r="AR1433" s="105" t="str">
        <f t="shared" si="637"/>
        <v/>
      </c>
      <c r="AS1433" s="105" t="str">
        <f t="shared" si="638"/>
        <v/>
      </c>
      <c r="AT1433" s="108" t="str">
        <f t="shared" si="639"/>
        <v/>
      </c>
      <c r="AU1433" s="108" t="str">
        <f t="shared" si="640"/>
        <v/>
      </c>
      <c r="AV1433" s="107" t="str">
        <f>IF(ISNUMBER(O1433),IF(VLOOKUP($A1433,Stand!C:J,8,FALSE)="Short",AT1433,AU1433),"")</f>
        <v/>
      </c>
      <c r="AW1433" s="109" t="str">
        <f t="shared" si="646"/>
        <v/>
      </c>
      <c r="AX1433" s="109" t="str">
        <f t="shared" si="647"/>
        <v/>
      </c>
      <c r="AY1433" s="112" t="str">
        <f>IF(ISNUMBER(O1433),IF(AND(VLOOKUP($D1433,Merchantability!$B:$C,2,0)="Yes",$E1433&gt;=VLOOKUP($D1433,Merchantability!$B:$D,3,0),$E1433&lt;=VLOOKUP($D1433,Merchantability!$B:$E,4,0)),(AV1433*O1433)*(1-$H1433/100),""),"")</f>
        <v/>
      </c>
      <c r="AZ1433" s="116"/>
      <c r="BA1433" s="116"/>
      <c r="BB1433" s="116"/>
      <c r="BE1433" s="62"/>
      <c r="BF1433" s="63"/>
    </row>
    <row r="1434" spans="1:58" ht="12.75" customHeight="1" x14ac:dyDescent="0.25">
      <c r="A1434" s="333"/>
      <c r="B1434" s="334"/>
      <c r="C1434" s="332"/>
      <c r="D1434" s="334"/>
      <c r="E1434" s="335"/>
      <c r="F1434" s="334"/>
      <c r="G1434" s="332"/>
      <c r="H1434" s="332"/>
      <c r="I1434" s="334"/>
      <c r="J1434" s="336"/>
      <c r="K1434" s="332"/>
      <c r="L1434" s="332"/>
      <c r="M1434" s="76"/>
      <c r="N1434" s="103" t="str">
        <f>IF(A1434="","",VLOOKUP(A1434,Stand!C:K,9,0))</f>
        <v/>
      </c>
      <c r="O1434" s="104" t="str">
        <f t="shared" si="632"/>
        <v/>
      </c>
      <c r="P1434" s="105" t="str">
        <f t="shared" si="633"/>
        <v/>
      </c>
      <c r="Q1434" s="105" t="str">
        <f t="shared" si="621"/>
        <v/>
      </c>
      <c r="R1434" s="103" t="str">
        <f t="shared" si="634"/>
        <v/>
      </c>
      <c r="S1434" s="103" t="str">
        <f t="shared" si="635"/>
        <v/>
      </c>
      <c r="T1434" s="106" t="str">
        <f t="shared" si="622"/>
        <v/>
      </c>
      <c r="U1434" s="106" t="str">
        <f t="shared" si="623"/>
        <v/>
      </c>
      <c r="V1434" s="106" t="str">
        <f t="shared" si="624"/>
        <v/>
      </c>
      <c r="W1434" s="105" t="str">
        <f t="shared" si="636"/>
        <v/>
      </c>
      <c r="X1434" s="104" t="str">
        <f t="shared" si="641"/>
        <v/>
      </c>
      <c r="Y1434" s="104" t="str">
        <f t="array" ref="Y1434">IFERROR(IF(ISNUMBER(O1434),IF(COUNT(IF(A1434=$A$2:$A$2427,IF(D1434=$D$2:$D$2427,IF($X$2:$X$2427&gt;0,1))))&gt;0,SUM(IF(A1434=$A$2:$A$2427,IF(D1434=$D$2:$D$2427,$X$2:$X$2427)))/COUNT(IF(A1434=$A$2:$A$2427,IF(D1434=$D$2:$D$2427,IF(ISNUMBER($X$2:$X$2427),1)))),0),""),0)</f>
        <v/>
      </c>
      <c r="Z1434" s="104" t="str">
        <f>IF(ISNUMBER(O1434),IF(I1434&gt;0,(10^(VLOOKUP(D1434,'Species Codes'!B:C,2,0)+VLOOKUP(D1434,'Species Codes'!B:D,3,0)*LOG(E1434)+VLOOKUP(D1434,'Species Codes'!B:E,4,0)*LOG(I1434))),0),"")</f>
        <v/>
      </c>
      <c r="AA1434" s="104" t="str">
        <f>IFERROR((VLOOKUP(D1434,'Species Codes'!B:G,6,0)*Z1434)/2000,"")</f>
        <v/>
      </c>
      <c r="AB1434" s="104" t="e">
        <f>IF(Z1434&gt;0,((IF(OR(D1434="DF",D1434="RA")=TRUE,EXP(VLOOKUP(D1434,'Species Codes'!B:I,8,0)+VLOOKUP(D1434,'Species Codes'!B:J,9,0)*(LN((E1434*2.54)))),IF(OR(D1434="PY",D1434="RC",D1434="WH",D1434="NF")=TRUE,VLOOKUP(D1434,'Species Codes'!B:I,8,0)+VLOOKUP(D1434,'Species Codes'!B:J,9,0)*((E1434*2.54)^2)*(I1434*0.3048),IF(OR(D1434="MD",D1434="BM",D1434="GA")=TRUE,((VLOOKUP(D1434,'Species Codes'!B:I,8,0)*(((((E1434*2.54)+VLOOKUP(D1434,'Species Codes'!B:J,9,0))/VLOOKUP(D1434,'Species Codes'!B:K,10,0))^VLOOKUP(D1434,'Species Codes'!B:L,11,0))*((I1434*0.3048)^VLOOKUP(D1434,'Species Codes'!B:M,12,0))))-(VLOOKUP(D1434,'Species Codes'!B:I,8,0)*((((E1434*2.54)^VLOOKUP(D1434,'Species Codes'!B:L,11,0))*((I1434*0.3048)^VLOOKUP(D1434,'Species Codes'!B:M,12,0))))))*35.3*VLOOKUP(D1434,'Species Codes'!B:G,6,0)/2.2046,VLOOKUP(D1434,'Species Codes'!B:I,8,0)+VLOOKUP(D1434,'Species Codes'!B:J,9,0)*(((E1434*2.54)/100)^2)*(I1434*0.3048)))))*0.0011023),0)</f>
        <v>#N/A</v>
      </c>
      <c r="AC1434" s="104" t="e">
        <f>IF(Z1434&gt;0,((IF(OR(D1434="RA",D1434="OA",D1434="OT",D1434="UN",D1434="PC"),EXP(VLOOKUP(D1434,'Species Codes'!B:O,14,0)+VLOOKUP(D1434,'Species Codes'!B:P,15,0)*LN((E1434*2.54)))-EXP(VLOOKUP(D1434,'Species Codes'!B:O,14,0)+VLOOKUP(D1434,'Species Codes'!B:P,15,0)*LN((E1434*2.54)))*(1/(VLOOKUP(D1434,'Species Codes'!B:Q,16,0)+VLOOKUP(D1434,'Species Codes'!B:R,17,0)*((E1434*2.54)^VLOOKUP(D1434,'Species Codes'!B:S,18,0)))),IF(OR(D1434="BM",D1434="MD",D1434="OA"),EXP(VLOOKUP(D1434,'Species Codes'!B:O,14,0)+VLOOKUP(D1434,'Species Codes'!B:P,15,0)*LN((E1434*2.54)))*(1-(1/(VLOOKUP(D1434,'Species Codes'!B:Q,16,0)+VLOOKUP(D1434,'Species Codes'!B:R,17,0)*((E1434*2.54)^VLOOKUP(D1434,'Species Codes'!B:S,18,0)))))/1000,IF(D1434="DF",EXP(VLOOKUP(D1434,'Species Codes'!B:O,14,0)+VLOOKUP(D1434,'Species Codes'!B:P,15,0)*LN((E1434*2.54))),VLOOKUP(D1434,'Species Codes'!B:O,14,0)+VLOOKUP(D1434,'Species Codes'!B:P,15,0)*(((E1434*2.54)/100)^2)*(I1434*0.3048)))))*0.0011023),0)</f>
        <v>#N/A</v>
      </c>
      <c r="AD1434" s="104" t="e">
        <f t="shared" si="625"/>
        <v>#N/A</v>
      </c>
      <c r="AE1434" s="104" t="e">
        <f t="shared" si="626"/>
        <v>#N/A</v>
      </c>
      <c r="AF1434" s="104" t="e">
        <f>IF(AND(VLOOKUP($D1434,Merchantability!$B:$C,2,0)="Yes",$E1434&gt;=VLOOKUP($D1434,Merchantability!$B:$D,3,0),$E1434&lt;=VLOOKUP($D1434,Merchantability!$B:$E,4,0)),AA1434,0)</f>
        <v>#N/A</v>
      </c>
      <c r="AG1434" s="104" t="e">
        <f>IF(AND(VLOOKUP($D1434,Merchantability!$B:$C,2,0)="Yes",$E1434&gt;=VLOOKUP($D1434,Merchantability!$B:$D,3,0),$E1434&lt;=VLOOKUP($D1434,Merchantability!$B:$E,4,0)),AB1434,0)</f>
        <v>#N/A</v>
      </c>
      <c r="AH1434" s="104" t="e">
        <f>IF(AND(VLOOKUP($D1434,Merchantability!$B:$C,2,0)="Yes",$E1434&gt;=VLOOKUP($D1434,Merchantability!$B:$D,3,0),$E1434&lt;=VLOOKUP($D1434,Merchantability!$B:$E,4,0)),AC1434,0)</f>
        <v>#N/A</v>
      </c>
      <c r="AI1434" s="104" t="e">
        <f t="shared" si="627"/>
        <v>#N/A</v>
      </c>
      <c r="AJ1434" s="104" t="e">
        <f t="shared" si="628"/>
        <v>#VALUE!</v>
      </c>
      <c r="AK1434" s="104" t="e">
        <f t="shared" si="629"/>
        <v>#N/A</v>
      </c>
      <c r="AL1434" s="104" t="e">
        <f t="shared" si="630"/>
        <v>#N/A</v>
      </c>
      <c r="AM1434" s="104" t="e">
        <f t="shared" si="631"/>
        <v>#N/A</v>
      </c>
      <c r="AN1434" s="104" t="e">
        <f t="shared" si="642"/>
        <v>#N/A</v>
      </c>
      <c r="AO1434" s="104" t="e">
        <f t="shared" si="643"/>
        <v>#N/A</v>
      </c>
      <c r="AP1434" s="104" t="e">
        <f t="shared" si="644"/>
        <v>#N/A</v>
      </c>
      <c r="AQ1434" s="104" t="e">
        <f t="shared" si="645"/>
        <v>#N/A</v>
      </c>
      <c r="AR1434" s="105" t="str">
        <f t="shared" si="637"/>
        <v/>
      </c>
      <c r="AS1434" s="105" t="str">
        <f t="shared" si="638"/>
        <v/>
      </c>
      <c r="AT1434" s="108" t="str">
        <f t="shared" si="639"/>
        <v/>
      </c>
      <c r="AU1434" s="108" t="str">
        <f t="shared" si="640"/>
        <v/>
      </c>
      <c r="AV1434" s="107" t="str">
        <f>IF(ISNUMBER(O1434),IF(VLOOKUP($A1434,Stand!C:J,8,FALSE)="Short",AT1434,AU1434),"")</f>
        <v/>
      </c>
      <c r="AW1434" s="109" t="str">
        <f t="shared" si="646"/>
        <v/>
      </c>
      <c r="AX1434" s="109" t="str">
        <f t="shared" si="647"/>
        <v/>
      </c>
      <c r="AY1434" s="112" t="str">
        <f>IF(ISNUMBER(O1434),IF(AND(VLOOKUP($D1434,Merchantability!$B:$C,2,0)="Yes",$E1434&gt;=VLOOKUP($D1434,Merchantability!$B:$D,3,0),$E1434&lt;=VLOOKUP($D1434,Merchantability!$B:$E,4,0)),(AV1434*O1434)*(1-$H1434/100),""),"")</f>
        <v/>
      </c>
      <c r="AZ1434" s="116"/>
      <c r="BA1434" s="116"/>
      <c r="BB1434" s="116"/>
      <c r="BE1434" s="62"/>
      <c r="BF1434" s="63"/>
    </row>
    <row r="1435" spans="1:58" ht="12.75" customHeight="1" x14ac:dyDescent="0.25">
      <c r="A1435" s="333"/>
      <c r="B1435" s="334"/>
      <c r="C1435" s="332"/>
      <c r="D1435" s="334"/>
      <c r="E1435" s="335"/>
      <c r="F1435" s="334"/>
      <c r="G1435" s="332"/>
      <c r="H1435" s="332"/>
      <c r="I1435" s="334"/>
      <c r="J1435" s="336"/>
      <c r="K1435" s="332"/>
      <c r="L1435" s="332"/>
      <c r="M1435" s="76"/>
      <c r="N1435" s="103" t="str">
        <f>IF(A1435="","",VLOOKUP(A1435,Stand!C:K,9,0))</f>
        <v/>
      </c>
      <c r="O1435" s="104" t="str">
        <f t="shared" si="632"/>
        <v/>
      </c>
      <c r="P1435" s="105" t="str">
        <f t="shared" si="633"/>
        <v/>
      </c>
      <c r="Q1435" s="105" t="str">
        <f t="shared" si="621"/>
        <v/>
      </c>
      <c r="R1435" s="103" t="str">
        <f t="shared" si="634"/>
        <v/>
      </c>
      <c r="S1435" s="103" t="str">
        <f t="shared" si="635"/>
        <v/>
      </c>
      <c r="T1435" s="106" t="str">
        <f t="shared" si="622"/>
        <v/>
      </c>
      <c r="U1435" s="106" t="str">
        <f t="shared" si="623"/>
        <v/>
      </c>
      <c r="V1435" s="106" t="str">
        <f t="shared" si="624"/>
        <v/>
      </c>
      <c r="W1435" s="105" t="str">
        <f t="shared" si="636"/>
        <v/>
      </c>
      <c r="X1435" s="104" t="str">
        <f t="shared" si="641"/>
        <v/>
      </c>
      <c r="Y1435" s="104" t="str">
        <f t="array" ref="Y1435">IFERROR(IF(ISNUMBER(O1435),IF(COUNT(IF(A1435=$A$2:$A$2427,IF(D1435=$D$2:$D$2427,IF($X$2:$X$2427&gt;0,1))))&gt;0,SUM(IF(A1435=$A$2:$A$2427,IF(D1435=$D$2:$D$2427,$X$2:$X$2427)))/COUNT(IF(A1435=$A$2:$A$2427,IF(D1435=$D$2:$D$2427,IF(ISNUMBER($X$2:$X$2427),1)))),0),""),0)</f>
        <v/>
      </c>
      <c r="Z1435" s="104" t="str">
        <f>IF(ISNUMBER(O1435),IF(I1435&gt;0,(10^(VLOOKUP(D1435,'Species Codes'!B:C,2,0)+VLOOKUP(D1435,'Species Codes'!B:D,3,0)*LOG(E1435)+VLOOKUP(D1435,'Species Codes'!B:E,4,0)*LOG(I1435))),0),"")</f>
        <v/>
      </c>
      <c r="AA1435" s="104" t="str">
        <f>IFERROR((VLOOKUP(D1435,'Species Codes'!B:G,6,0)*Z1435)/2000,"")</f>
        <v/>
      </c>
      <c r="AB1435" s="104" t="e">
        <f>IF(Z1435&gt;0,((IF(OR(D1435="DF",D1435="RA")=TRUE,EXP(VLOOKUP(D1435,'Species Codes'!B:I,8,0)+VLOOKUP(D1435,'Species Codes'!B:J,9,0)*(LN((E1435*2.54)))),IF(OR(D1435="PY",D1435="RC",D1435="WH",D1435="NF")=TRUE,VLOOKUP(D1435,'Species Codes'!B:I,8,0)+VLOOKUP(D1435,'Species Codes'!B:J,9,0)*((E1435*2.54)^2)*(I1435*0.3048),IF(OR(D1435="MD",D1435="BM",D1435="GA")=TRUE,((VLOOKUP(D1435,'Species Codes'!B:I,8,0)*(((((E1435*2.54)+VLOOKUP(D1435,'Species Codes'!B:J,9,0))/VLOOKUP(D1435,'Species Codes'!B:K,10,0))^VLOOKUP(D1435,'Species Codes'!B:L,11,0))*((I1435*0.3048)^VLOOKUP(D1435,'Species Codes'!B:M,12,0))))-(VLOOKUP(D1435,'Species Codes'!B:I,8,0)*((((E1435*2.54)^VLOOKUP(D1435,'Species Codes'!B:L,11,0))*((I1435*0.3048)^VLOOKUP(D1435,'Species Codes'!B:M,12,0))))))*35.3*VLOOKUP(D1435,'Species Codes'!B:G,6,0)/2.2046,VLOOKUP(D1435,'Species Codes'!B:I,8,0)+VLOOKUP(D1435,'Species Codes'!B:J,9,0)*(((E1435*2.54)/100)^2)*(I1435*0.3048)))))*0.0011023),0)</f>
        <v>#N/A</v>
      </c>
      <c r="AC1435" s="104" t="e">
        <f>IF(Z1435&gt;0,((IF(OR(D1435="RA",D1435="OA",D1435="OT",D1435="UN",D1435="PC"),EXP(VLOOKUP(D1435,'Species Codes'!B:O,14,0)+VLOOKUP(D1435,'Species Codes'!B:P,15,0)*LN((E1435*2.54)))-EXP(VLOOKUP(D1435,'Species Codes'!B:O,14,0)+VLOOKUP(D1435,'Species Codes'!B:P,15,0)*LN((E1435*2.54)))*(1/(VLOOKUP(D1435,'Species Codes'!B:Q,16,0)+VLOOKUP(D1435,'Species Codes'!B:R,17,0)*((E1435*2.54)^VLOOKUP(D1435,'Species Codes'!B:S,18,0)))),IF(OR(D1435="BM",D1435="MD",D1435="OA"),EXP(VLOOKUP(D1435,'Species Codes'!B:O,14,0)+VLOOKUP(D1435,'Species Codes'!B:P,15,0)*LN((E1435*2.54)))*(1-(1/(VLOOKUP(D1435,'Species Codes'!B:Q,16,0)+VLOOKUP(D1435,'Species Codes'!B:R,17,0)*((E1435*2.54)^VLOOKUP(D1435,'Species Codes'!B:S,18,0)))))/1000,IF(D1435="DF",EXP(VLOOKUP(D1435,'Species Codes'!B:O,14,0)+VLOOKUP(D1435,'Species Codes'!B:P,15,0)*LN((E1435*2.54))),VLOOKUP(D1435,'Species Codes'!B:O,14,0)+VLOOKUP(D1435,'Species Codes'!B:P,15,0)*(((E1435*2.54)/100)^2)*(I1435*0.3048)))))*0.0011023),0)</f>
        <v>#N/A</v>
      </c>
      <c r="AD1435" s="104" t="e">
        <f t="shared" si="625"/>
        <v>#N/A</v>
      </c>
      <c r="AE1435" s="104" t="e">
        <f t="shared" si="626"/>
        <v>#N/A</v>
      </c>
      <c r="AF1435" s="104" t="e">
        <f>IF(AND(VLOOKUP($D1435,Merchantability!$B:$C,2,0)="Yes",$E1435&gt;=VLOOKUP($D1435,Merchantability!$B:$D,3,0),$E1435&lt;=VLOOKUP($D1435,Merchantability!$B:$E,4,0)),AA1435,0)</f>
        <v>#N/A</v>
      </c>
      <c r="AG1435" s="104" t="e">
        <f>IF(AND(VLOOKUP($D1435,Merchantability!$B:$C,2,0)="Yes",$E1435&gt;=VLOOKUP($D1435,Merchantability!$B:$D,3,0),$E1435&lt;=VLOOKUP($D1435,Merchantability!$B:$E,4,0)),AB1435,0)</f>
        <v>#N/A</v>
      </c>
      <c r="AH1435" s="104" t="e">
        <f>IF(AND(VLOOKUP($D1435,Merchantability!$B:$C,2,0)="Yes",$E1435&gt;=VLOOKUP($D1435,Merchantability!$B:$D,3,0),$E1435&lt;=VLOOKUP($D1435,Merchantability!$B:$E,4,0)),AC1435,0)</f>
        <v>#N/A</v>
      </c>
      <c r="AI1435" s="104" t="e">
        <f t="shared" si="627"/>
        <v>#N/A</v>
      </c>
      <c r="AJ1435" s="104" t="e">
        <f t="shared" si="628"/>
        <v>#VALUE!</v>
      </c>
      <c r="AK1435" s="104" t="e">
        <f t="shared" si="629"/>
        <v>#N/A</v>
      </c>
      <c r="AL1435" s="104" t="e">
        <f t="shared" si="630"/>
        <v>#N/A</v>
      </c>
      <c r="AM1435" s="104" t="e">
        <f t="shared" si="631"/>
        <v>#N/A</v>
      </c>
      <c r="AN1435" s="104" t="e">
        <f t="shared" si="642"/>
        <v>#N/A</v>
      </c>
      <c r="AO1435" s="104" t="e">
        <f t="shared" si="643"/>
        <v>#N/A</v>
      </c>
      <c r="AP1435" s="104" t="e">
        <f t="shared" si="644"/>
        <v>#N/A</v>
      </c>
      <c r="AQ1435" s="104" t="e">
        <f t="shared" si="645"/>
        <v>#N/A</v>
      </c>
      <c r="AR1435" s="105" t="str">
        <f t="shared" si="637"/>
        <v/>
      </c>
      <c r="AS1435" s="105" t="str">
        <f t="shared" si="638"/>
        <v/>
      </c>
      <c r="AT1435" s="108" t="str">
        <f t="shared" si="639"/>
        <v/>
      </c>
      <c r="AU1435" s="108" t="str">
        <f t="shared" si="640"/>
        <v/>
      </c>
      <c r="AV1435" s="107" t="str">
        <f>IF(ISNUMBER(O1435),IF(VLOOKUP($A1435,Stand!C:J,8,FALSE)="Short",AT1435,AU1435),"")</f>
        <v/>
      </c>
      <c r="AW1435" s="109" t="str">
        <f t="shared" si="646"/>
        <v/>
      </c>
      <c r="AX1435" s="109" t="str">
        <f t="shared" si="647"/>
        <v/>
      </c>
      <c r="AY1435" s="112" t="str">
        <f>IF(ISNUMBER(O1435),IF(AND(VLOOKUP($D1435,Merchantability!$B:$C,2,0)="Yes",$E1435&gt;=VLOOKUP($D1435,Merchantability!$B:$D,3,0),$E1435&lt;=VLOOKUP($D1435,Merchantability!$B:$E,4,0)),(AV1435*O1435)*(1-$H1435/100),""),"")</f>
        <v/>
      </c>
      <c r="AZ1435" s="116"/>
      <c r="BA1435" s="116"/>
      <c r="BB1435" s="116"/>
      <c r="BE1435" s="62"/>
      <c r="BF1435" s="63"/>
    </row>
    <row r="1436" spans="1:58" ht="12.75" customHeight="1" x14ac:dyDescent="0.25">
      <c r="A1436" s="333"/>
      <c r="B1436" s="334"/>
      <c r="C1436" s="332"/>
      <c r="D1436" s="334"/>
      <c r="E1436" s="335"/>
      <c r="F1436" s="334"/>
      <c r="G1436" s="332"/>
      <c r="H1436" s="332"/>
      <c r="I1436" s="334"/>
      <c r="J1436" s="336"/>
      <c r="K1436" s="332"/>
      <c r="L1436" s="332"/>
      <c r="M1436" s="76"/>
      <c r="N1436" s="103" t="str">
        <f>IF(A1436="","",VLOOKUP(A1436,Stand!C:K,9,0))</f>
        <v/>
      </c>
      <c r="O1436" s="104" t="str">
        <f t="shared" si="632"/>
        <v/>
      </c>
      <c r="P1436" s="105" t="str">
        <f t="shared" si="633"/>
        <v/>
      </c>
      <c r="Q1436" s="105" t="str">
        <f t="shared" si="621"/>
        <v/>
      </c>
      <c r="R1436" s="103" t="str">
        <f t="shared" si="634"/>
        <v/>
      </c>
      <c r="S1436" s="103" t="str">
        <f t="shared" si="635"/>
        <v/>
      </c>
      <c r="T1436" s="106" t="str">
        <f t="shared" si="622"/>
        <v/>
      </c>
      <c r="U1436" s="106" t="str">
        <f t="shared" si="623"/>
        <v/>
      </c>
      <c r="V1436" s="106" t="str">
        <f t="shared" si="624"/>
        <v/>
      </c>
      <c r="W1436" s="105" t="str">
        <f t="shared" si="636"/>
        <v/>
      </c>
      <c r="X1436" s="104" t="str">
        <f t="shared" si="641"/>
        <v/>
      </c>
      <c r="Y1436" s="104" t="str">
        <f t="array" ref="Y1436">IFERROR(IF(ISNUMBER(O1436),IF(COUNT(IF(A1436=$A$2:$A$2427,IF(D1436=$D$2:$D$2427,IF($X$2:$X$2427&gt;0,1))))&gt;0,SUM(IF(A1436=$A$2:$A$2427,IF(D1436=$D$2:$D$2427,$X$2:$X$2427)))/COUNT(IF(A1436=$A$2:$A$2427,IF(D1436=$D$2:$D$2427,IF(ISNUMBER($X$2:$X$2427),1)))),0),""),0)</f>
        <v/>
      </c>
      <c r="Z1436" s="104" t="str">
        <f>IF(ISNUMBER(O1436),IF(I1436&gt;0,(10^(VLOOKUP(D1436,'Species Codes'!B:C,2,0)+VLOOKUP(D1436,'Species Codes'!B:D,3,0)*LOG(E1436)+VLOOKUP(D1436,'Species Codes'!B:E,4,0)*LOG(I1436))),0),"")</f>
        <v/>
      </c>
      <c r="AA1436" s="104" t="str">
        <f>IFERROR((VLOOKUP(D1436,'Species Codes'!B:G,6,0)*Z1436)/2000,"")</f>
        <v/>
      </c>
      <c r="AB1436" s="104" t="e">
        <f>IF(Z1436&gt;0,((IF(OR(D1436="DF",D1436="RA")=TRUE,EXP(VLOOKUP(D1436,'Species Codes'!B:I,8,0)+VLOOKUP(D1436,'Species Codes'!B:J,9,0)*(LN((E1436*2.54)))),IF(OR(D1436="PY",D1436="RC",D1436="WH",D1436="NF")=TRUE,VLOOKUP(D1436,'Species Codes'!B:I,8,0)+VLOOKUP(D1436,'Species Codes'!B:J,9,0)*((E1436*2.54)^2)*(I1436*0.3048),IF(OR(D1436="MD",D1436="BM",D1436="GA")=TRUE,((VLOOKUP(D1436,'Species Codes'!B:I,8,0)*(((((E1436*2.54)+VLOOKUP(D1436,'Species Codes'!B:J,9,0))/VLOOKUP(D1436,'Species Codes'!B:K,10,0))^VLOOKUP(D1436,'Species Codes'!B:L,11,0))*((I1436*0.3048)^VLOOKUP(D1436,'Species Codes'!B:M,12,0))))-(VLOOKUP(D1436,'Species Codes'!B:I,8,0)*((((E1436*2.54)^VLOOKUP(D1436,'Species Codes'!B:L,11,0))*((I1436*0.3048)^VLOOKUP(D1436,'Species Codes'!B:M,12,0))))))*35.3*VLOOKUP(D1436,'Species Codes'!B:G,6,0)/2.2046,VLOOKUP(D1436,'Species Codes'!B:I,8,0)+VLOOKUP(D1436,'Species Codes'!B:J,9,0)*(((E1436*2.54)/100)^2)*(I1436*0.3048)))))*0.0011023),0)</f>
        <v>#N/A</v>
      </c>
      <c r="AC1436" s="104" t="e">
        <f>IF(Z1436&gt;0,((IF(OR(D1436="RA",D1436="OA",D1436="OT",D1436="UN",D1436="PC"),EXP(VLOOKUP(D1436,'Species Codes'!B:O,14,0)+VLOOKUP(D1436,'Species Codes'!B:P,15,0)*LN((E1436*2.54)))-EXP(VLOOKUP(D1436,'Species Codes'!B:O,14,0)+VLOOKUP(D1436,'Species Codes'!B:P,15,0)*LN((E1436*2.54)))*(1/(VLOOKUP(D1436,'Species Codes'!B:Q,16,0)+VLOOKUP(D1436,'Species Codes'!B:R,17,0)*((E1436*2.54)^VLOOKUP(D1436,'Species Codes'!B:S,18,0)))),IF(OR(D1436="BM",D1436="MD",D1436="OA"),EXP(VLOOKUP(D1436,'Species Codes'!B:O,14,0)+VLOOKUP(D1436,'Species Codes'!B:P,15,0)*LN((E1436*2.54)))*(1-(1/(VLOOKUP(D1436,'Species Codes'!B:Q,16,0)+VLOOKUP(D1436,'Species Codes'!B:R,17,0)*((E1436*2.54)^VLOOKUP(D1436,'Species Codes'!B:S,18,0)))))/1000,IF(D1436="DF",EXP(VLOOKUP(D1436,'Species Codes'!B:O,14,0)+VLOOKUP(D1436,'Species Codes'!B:P,15,0)*LN((E1436*2.54))),VLOOKUP(D1436,'Species Codes'!B:O,14,0)+VLOOKUP(D1436,'Species Codes'!B:P,15,0)*(((E1436*2.54)/100)^2)*(I1436*0.3048)))))*0.0011023),0)</f>
        <v>#N/A</v>
      </c>
      <c r="AD1436" s="104" t="e">
        <f t="shared" si="625"/>
        <v>#N/A</v>
      </c>
      <c r="AE1436" s="104" t="e">
        <f t="shared" si="626"/>
        <v>#N/A</v>
      </c>
      <c r="AF1436" s="104" t="e">
        <f>IF(AND(VLOOKUP($D1436,Merchantability!$B:$C,2,0)="Yes",$E1436&gt;=VLOOKUP($D1436,Merchantability!$B:$D,3,0),$E1436&lt;=VLOOKUP($D1436,Merchantability!$B:$E,4,0)),AA1436,0)</f>
        <v>#N/A</v>
      </c>
      <c r="AG1436" s="104" t="e">
        <f>IF(AND(VLOOKUP($D1436,Merchantability!$B:$C,2,0)="Yes",$E1436&gt;=VLOOKUP($D1436,Merchantability!$B:$D,3,0),$E1436&lt;=VLOOKUP($D1436,Merchantability!$B:$E,4,0)),AB1436,0)</f>
        <v>#N/A</v>
      </c>
      <c r="AH1436" s="104" t="e">
        <f>IF(AND(VLOOKUP($D1436,Merchantability!$B:$C,2,0)="Yes",$E1436&gt;=VLOOKUP($D1436,Merchantability!$B:$D,3,0),$E1436&lt;=VLOOKUP($D1436,Merchantability!$B:$E,4,0)),AC1436,0)</f>
        <v>#N/A</v>
      </c>
      <c r="AI1436" s="104" t="e">
        <f t="shared" si="627"/>
        <v>#N/A</v>
      </c>
      <c r="AJ1436" s="104" t="e">
        <f t="shared" si="628"/>
        <v>#VALUE!</v>
      </c>
      <c r="AK1436" s="104" t="e">
        <f t="shared" si="629"/>
        <v>#N/A</v>
      </c>
      <c r="AL1436" s="104" t="e">
        <f t="shared" si="630"/>
        <v>#N/A</v>
      </c>
      <c r="AM1436" s="104" t="e">
        <f t="shared" si="631"/>
        <v>#N/A</v>
      </c>
      <c r="AN1436" s="104" t="e">
        <f t="shared" si="642"/>
        <v>#N/A</v>
      </c>
      <c r="AO1436" s="104" t="e">
        <f t="shared" si="643"/>
        <v>#N/A</v>
      </c>
      <c r="AP1436" s="104" t="e">
        <f t="shared" si="644"/>
        <v>#N/A</v>
      </c>
      <c r="AQ1436" s="104" t="e">
        <f t="shared" si="645"/>
        <v>#N/A</v>
      </c>
      <c r="AR1436" s="105" t="str">
        <f t="shared" si="637"/>
        <v/>
      </c>
      <c r="AS1436" s="105" t="str">
        <f t="shared" si="638"/>
        <v/>
      </c>
      <c r="AT1436" s="108" t="str">
        <f t="shared" si="639"/>
        <v/>
      </c>
      <c r="AU1436" s="108" t="str">
        <f t="shared" si="640"/>
        <v/>
      </c>
      <c r="AV1436" s="107" t="str">
        <f>IF(ISNUMBER(O1436),IF(VLOOKUP($A1436,Stand!C:J,8,FALSE)="Short",AT1436,AU1436),"")</f>
        <v/>
      </c>
      <c r="AW1436" s="109" t="str">
        <f t="shared" si="646"/>
        <v/>
      </c>
      <c r="AX1436" s="109" t="str">
        <f t="shared" si="647"/>
        <v/>
      </c>
      <c r="AY1436" s="112" t="str">
        <f>IF(ISNUMBER(O1436),IF(AND(VLOOKUP($D1436,Merchantability!$B:$C,2,0)="Yes",$E1436&gt;=VLOOKUP($D1436,Merchantability!$B:$D,3,0),$E1436&lt;=VLOOKUP($D1436,Merchantability!$B:$E,4,0)),(AV1436*O1436)*(1-$H1436/100),""),"")</f>
        <v/>
      </c>
      <c r="AZ1436" s="116"/>
      <c r="BA1436" s="116"/>
      <c r="BB1436" s="116"/>
      <c r="BE1436" s="62"/>
      <c r="BF1436" s="63"/>
    </row>
    <row r="1437" spans="1:58" ht="12.75" customHeight="1" x14ac:dyDescent="0.25">
      <c r="A1437" s="333"/>
      <c r="B1437" s="334"/>
      <c r="C1437" s="332"/>
      <c r="D1437" s="334"/>
      <c r="E1437" s="335"/>
      <c r="F1437" s="334"/>
      <c r="G1437" s="332"/>
      <c r="H1437" s="332"/>
      <c r="I1437" s="334"/>
      <c r="J1437" s="336"/>
      <c r="K1437" s="332"/>
      <c r="L1437" s="332"/>
      <c r="M1437" s="76"/>
      <c r="N1437" s="103" t="str">
        <f>IF(A1437="","",VLOOKUP(A1437,Stand!C:K,9,0))</f>
        <v/>
      </c>
      <c r="O1437" s="104" t="str">
        <f t="shared" si="632"/>
        <v/>
      </c>
      <c r="P1437" s="105" t="str">
        <f t="shared" si="633"/>
        <v/>
      </c>
      <c r="Q1437" s="105" t="str">
        <f t="shared" ref="Q1437:Q1500" si="648">IF(AND(ISNUMBER(O1437),I1437&gt;0),I1437*O1437,"")</f>
        <v/>
      </c>
      <c r="R1437" s="103" t="str">
        <f t="shared" si="634"/>
        <v/>
      </c>
      <c r="S1437" s="103" t="str">
        <f t="shared" si="635"/>
        <v/>
      </c>
      <c r="T1437" s="106" t="str">
        <f t="shared" ref="T1437:T1500" si="649">IF(AND(ISNUMBER(O1437),J1437&gt;0),J1437/100,"")</f>
        <v/>
      </c>
      <c r="U1437" s="106" t="str">
        <f t="shared" ref="U1437:U1500" si="650">IF(AND(ISNUMBER(O1437),J1437&gt;0),T1437*O1437,"")</f>
        <v/>
      </c>
      <c r="V1437" s="106" t="str">
        <f t="shared" ref="V1437:V1500" si="651">IF(AND(ISNUMBER(O1437),I1437&gt;0),W1437*O1437,"")</f>
        <v/>
      </c>
      <c r="W1437" s="105" t="str">
        <f t="shared" si="636"/>
        <v/>
      </c>
      <c r="X1437" s="104" t="str">
        <f t="shared" si="641"/>
        <v/>
      </c>
      <c r="Y1437" s="104" t="str">
        <f t="array" ref="Y1437">IFERROR(IF(ISNUMBER(O1437),IF(COUNT(IF(A1437=$A$2:$A$2427,IF(D1437=$D$2:$D$2427,IF($X$2:$X$2427&gt;0,1))))&gt;0,SUM(IF(A1437=$A$2:$A$2427,IF(D1437=$D$2:$D$2427,$X$2:$X$2427)))/COUNT(IF(A1437=$A$2:$A$2427,IF(D1437=$D$2:$D$2427,IF(ISNUMBER($X$2:$X$2427),1)))),0),""),0)</f>
        <v/>
      </c>
      <c r="Z1437" s="104" t="str">
        <f>IF(ISNUMBER(O1437),IF(I1437&gt;0,(10^(VLOOKUP(D1437,'Species Codes'!B:C,2,0)+VLOOKUP(D1437,'Species Codes'!B:D,3,0)*LOG(E1437)+VLOOKUP(D1437,'Species Codes'!B:E,4,0)*LOG(I1437))),0),"")</f>
        <v/>
      </c>
      <c r="AA1437" s="104" t="str">
        <f>IFERROR((VLOOKUP(D1437,'Species Codes'!B:G,6,0)*Z1437)/2000,"")</f>
        <v/>
      </c>
      <c r="AB1437" s="104" t="e">
        <f>IF(Z1437&gt;0,((IF(OR(D1437="DF",D1437="RA")=TRUE,EXP(VLOOKUP(D1437,'Species Codes'!B:I,8,0)+VLOOKUP(D1437,'Species Codes'!B:J,9,0)*(LN((E1437*2.54)))),IF(OR(D1437="PY",D1437="RC",D1437="WH",D1437="NF")=TRUE,VLOOKUP(D1437,'Species Codes'!B:I,8,0)+VLOOKUP(D1437,'Species Codes'!B:J,9,0)*((E1437*2.54)^2)*(I1437*0.3048),IF(OR(D1437="MD",D1437="BM",D1437="GA")=TRUE,((VLOOKUP(D1437,'Species Codes'!B:I,8,0)*(((((E1437*2.54)+VLOOKUP(D1437,'Species Codes'!B:J,9,0))/VLOOKUP(D1437,'Species Codes'!B:K,10,0))^VLOOKUP(D1437,'Species Codes'!B:L,11,0))*((I1437*0.3048)^VLOOKUP(D1437,'Species Codes'!B:M,12,0))))-(VLOOKUP(D1437,'Species Codes'!B:I,8,0)*((((E1437*2.54)^VLOOKUP(D1437,'Species Codes'!B:L,11,0))*((I1437*0.3048)^VLOOKUP(D1437,'Species Codes'!B:M,12,0))))))*35.3*VLOOKUP(D1437,'Species Codes'!B:G,6,0)/2.2046,VLOOKUP(D1437,'Species Codes'!B:I,8,0)+VLOOKUP(D1437,'Species Codes'!B:J,9,0)*(((E1437*2.54)/100)^2)*(I1437*0.3048)))))*0.0011023),0)</f>
        <v>#N/A</v>
      </c>
      <c r="AC1437" s="104" t="e">
        <f>IF(Z1437&gt;0,((IF(OR(D1437="RA",D1437="OA",D1437="OT",D1437="UN",D1437="PC"),EXP(VLOOKUP(D1437,'Species Codes'!B:O,14,0)+VLOOKUP(D1437,'Species Codes'!B:P,15,0)*LN((E1437*2.54)))-EXP(VLOOKUP(D1437,'Species Codes'!B:O,14,0)+VLOOKUP(D1437,'Species Codes'!B:P,15,0)*LN((E1437*2.54)))*(1/(VLOOKUP(D1437,'Species Codes'!B:Q,16,0)+VLOOKUP(D1437,'Species Codes'!B:R,17,0)*((E1437*2.54)^VLOOKUP(D1437,'Species Codes'!B:S,18,0)))),IF(OR(D1437="BM",D1437="MD",D1437="OA"),EXP(VLOOKUP(D1437,'Species Codes'!B:O,14,0)+VLOOKUP(D1437,'Species Codes'!B:P,15,0)*LN((E1437*2.54)))*(1-(1/(VLOOKUP(D1437,'Species Codes'!B:Q,16,0)+VLOOKUP(D1437,'Species Codes'!B:R,17,0)*((E1437*2.54)^VLOOKUP(D1437,'Species Codes'!B:S,18,0)))))/1000,IF(D1437="DF",EXP(VLOOKUP(D1437,'Species Codes'!B:O,14,0)+VLOOKUP(D1437,'Species Codes'!B:P,15,0)*LN((E1437*2.54))),VLOOKUP(D1437,'Species Codes'!B:O,14,0)+VLOOKUP(D1437,'Species Codes'!B:P,15,0)*(((E1437*2.54)/100)^2)*(I1437*0.3048)))))*0.0011023),0)</f>
        <v>#N/A</v>
      </c>
      <c r="AD1437" s="104" t="e">
        <f t="shared" ref="AD1437:AD1500" si="652">SUM(AA1437:AC1437)</f>
        <v>#N/A</v>
      </c>
      <c r="AE1437" s="104" t="e">
        <f t="shared" ref="AE1437:AE1500" si="653">AD1437*O1437</f>
        <v>#N/A</v>
      </c>
      <c r="AF1437" s="104" t="e">
        <f>IF(AND(VLOOKUP($D1437,Merchantability!$B:$C,2,0)="Yes",$E1437&gt;=VLOOKUP($D1437,Merchantability!$B:$D,3,0),$E1437&lt;=VLOOKUP($D1437,Merchantability!$B:$E,4,0)),AA1437,0)</f>
        <v>#N/A</v>
      </c>
      <c r="AG1437" s="104" t="e">
        <f>IF(AND(VLOOKUP($D1437,Merchantability!$B:$C,2,0)="Yes",$E1437&gt;=VLOOKUP($D1437,Merchantability!$B:$D,3,0),$E1437&lt;=VLOOKUP($D1437,Merchantability!$B:$E,4,0)),AB1437,0)</f>
        <v>#N/A</v>
      </c>
      <c r="AH1437" s="104" t="e">
        <f>IF(AND(VLOOKUP($D1437,Merchantability!$B:$C,2,0)="Yes",$E1437&gt;=VLOOKUP($D1437,Merchantability!$B:$D,3,0),$E1437&lt;=VLOOKUP($D1437,Merchantability!$B:$E,4,0)),AC1437,0)</f>
        <v>#N/A</v>
      </c>
      <c r="AI1437" s="104" t="e">
        <f t="shared" ref="AI1437:AI1500" si="654">SUM(AF1437:AH1437)</f>
        <v>#N/A</v>
      </c>
      <c r="AJ1437" s="104" t="e">
        <f t="shared" ref="AJ1437:AJ1500" si="655">AA1437*$O1437</f>
        <v>#VALUE!</v>
      </c>
      <c r="AK1437" s="104" t="e">
        <f t="shared" ref="AK1437:AK1500" si="656">AB1437*$O1437</f>
        <v>#N/A</v>
      </c>
      <c r="AL1437" s="104" t="e">
        <f t="shared" ref="AL1437:AL1500" si="657">AC1437*$O1437</f>
        <v>#N/A</v>
      </c>
      <c r="AM1437" s="104" t="e">
        <f t="shared" ref="AM1437:AM1500" si="658">AD1437*$O1437</f>
        <v>#N/A</v>
      </c>
      <c r="AN1437" s="104" t="e">
        <f t="shared" si="642"/>
        <v>#N/A</v>
      </c>
      <c r="AO1437" s="104" t="e">
        <f t="shared" si="643"/>
        <v>#N/A</v>
      </c>
      <c r="AP1437" s="104" t="e">
        <f t="shared" si="644"/>
        <v>#N/A</v>
      </c>
      <c r="AQ1437" s="104" t="e">
        <f t="shared" si="645"/>
        <v>#N/A</v>
      </c>
      <c r="AR1437" s="105" t="str">
        <f t="shared" si="637"/>
        <v/>
      </c>
      <c r="AS1437" s="105" t="str">
        <f t="shared" si="638"/>
        <v/>
      </c>
      <c r="AT1437" s="108" t="str">
        <f t="shared" si="639"/>
        <v/>
      </c>
      <c r="AU1437" s="108" t="str">
        <f t="shared" si="640"/>
        <v/>
      </c>
      <c r="AV1437" s="107" t="str">
        <f>IF(ISNUMBER(O1437),IF(VLOOKUP($A1437,Stand!C:J,8,FALSE)="Short",AT1437,AU1437),"")</f>
        <v/>
      </c>
      <c r="AW1437" s="109" t="str">
        <f t="shared" si="646"/>
        <v/>
      </c>
      <c r="AX1437" s="109" t="str">
        <f t="shared" si="647"/>
        <v/>
      </c>
      <c r="AY1437" s="112" t="str">
        <f>IF(ISNUMBER(O1437),IF(AND(VLOOKUP($D1437,Merchantability!$B:$C,2,0)="Yes",$E1437&gt;=VLOOKUP($D1437,Merchantability!$B:$D,3,0),$E1437&lt;=VLOOKUP($D1437,Merchantability!$B:$E,4,0)),(AV1437*O1437)*(1-$H1437/100),""),"")</f>
        <v/>
      </c>
      <c r="AZ1437" s="116"/>
      <c r="BA1437" s="116"/>
      <c r="BB1437" s="116"/>
      <c r="BE1437" s="62"/>
      <c r="BF1437" s="63"/>
    </row>
    <row r="1438" spans="1:58" ht="12.75" customHeight="1" x14ac:dyDescent="0.25">
      <c r="A1438" s="333"/>
      <c r="B1438" s="334"/>
      <c r="C1438" s="332"/>
      <c r="D1438" s="334"/>
      <c r="E1438" s="335"/>
      <c r="F1438" s="334"/>
      <c r="G1438" s="332"/>
      <c r="H1438" s="332"/>
      <c r="I1438" s="334"/>
      <c r="J1438" s="336"/>
      <c r="K1438" s="332"/>
      <c r="L1438" s="332"/>
      <c r="M1438" s="76"/>
      <c r="N1438" s="103" t="str">
        <f>IF(A1438="","",VLOOKUP(A1438,Stand!C:K,9,0))</f>
        <v/>
      </c>
      <c r="O1438" s="104" t="str">
        <f t="shared" si="632"/>
        <v/>
      </c>
      <c r="P1438" s="105" t="str">
        <f t="shared" si="633"/>
        <v/>
      </c>
      <c r="Q1438" s="105" t="str">
        <f t="shared" si="648"/>
        <v/>
      </c>
      <c r="R1438" s="103" t="str">
        <f t="shared" si="634"/>
        <v/>
      </c>
      <c r="S1438" s="103" t="str">
        <f t="shared" si="635"/>
        <v/>
      </c>
      <c r="T1438" s="106" t="str">
        <f t="shared" si="649"/>
        <v/>
      </c>
      <c r="U1438" s="106" t="str">
        <f t="shared" si="650"/>
        <v/>
      </c>
      <c r="V1438" s="106" t="str">
        <f t="shared" si="651"/>
        <v/>
      </c>
      <c r="W1438" s="105" t="str">
        <f t="shared" si="636"/>
        <v/>
      </c>
      <c r="X1438" s="104" t="str">
        <f t="shared" si="641"/>
        <v/>
      </c>
      <c r="Y1438" s="104" t="str">
        <f t="array" ref="Y1438">IFERROR(IF(ISNUMBER(O1438),IF(COUNT(IF(A1438=$A$2:$A$2427,IF(D1438=$D$2:$D$2427,IF($X$2:$X$2427&gt;0,1))))&gt;0,SUM(IF(A1438=$A$2:$A$2427,IF(D1438=$D$2:$D$2427,$X$2:$X$2427)))/COUNT(IF(A1438=$A$2:$A$2427,IF(D1438=$D$2:$D$2427,IF(ISNUMBER($X$2:$X$2427),1)))),0),""),0)</f>
        <v/>
      </c>
      <c r="Z1438" s="104" t="str">
        <f>IF(ISNUMBER(O1438),IF(I1438&gt;0,(10^(VLOOKUP(D1438,'Species Codes'!B:C,2,0)+VLOOKUP(D1438,'Species Codes'!B:D,3,0)*LOG(E1438)+VLOOKUP(D1438,'Species Codes'!B:E,4,0)*LOG(I1438))),0),"")</f>
        <v/>
      </c>
      <c r="AA1438" s="104" t="str">
        <f>IFERROR((VLOOKUP(D1438,'Species Codes'!B:G,6,0)*Z1438)/2000,"")</f>
        <v/>
      </c>
      <c r="AB1438" s="104" t="e">
        <f>IF(Z1438&gt;0,((IF(OR(D1438="DF",D1438="RA")=TRUE,EXP(VLOOKUP(D1438,'Species Codes'!B:I,8,0)+VLOOKUP(D1438,'Species Codes'!B:J,9,0)*(LN((E1438*2.54)))),IF(OR(D1438="PY",D1438="RC",D1438="WH",D1438="NF")=TRUE,VLOOKUP(D1438,'Species Codes'!B:I,8,0)+VLOOKUP(D1438,'Species Codes'!B:J,9,0)*((E1438*2.54)^2)*(I1438*0.3048),IF(OR(D1438="MD",D1438="BM",D1438="GA")=TRUE,((VLOOKUP(D1438,'Species Codes'!B:I,8,0)*(((((E1438*2.54)+VLOOKUP(D1438,'Species Codes'!B:J,9,0))/VLOOKUP(D1438,'Species Codes'!B:K,10,0))^VLOOKUP(D1438,'Species Codes'!B:L,11,0))*((I1438*0.3048)^VLOOKUP(D1438,'Species Codes'!B:M,12,0))))-(VLOOKUP(D1438,'Species Codes'!B:I,8,0)*((((E1438*2.54)^VLOOKUP(D1438,'Species Codes'!B:L,11,0))*((I1438*0.3048)^VLOOKUP(D1438,'Species Codes'!B:M,12,0))))))*35.3*VLOOKUP(D1438,'Species Codes'!B:G,6,0)/2.2046,VLOOKUP(D1438,'Species Codes'!B:I,8,0)+VLOOKUP(D1438,'Species Codes'!B:J,9,0)*(((E1438*2.54)/100)^2)*(I1438*0.3048)))))*0.0011023),0)</f>
        <v>#N/A</v>
      </c>
      <c r="AC1438" s="104" t="e">
        <f>IF(Z1438&gt;0,((IF(OR(D1438="RA",D1438="OA",D1438="OT",D1438="UN",D1438="PC"),EXP(VLOOKUP(D1438,'Species Codes'!B:O,14,0)+VLOOKUP(D1438,'Species Codes'!B:P,15,0)*LN((E1438*2.54)))-EXP(VLOOKUP(D1438,'Species Codes'!B:O,14,0)+VLOOKUP(D1438,'Species Codes'!B:P,15,0)*LN((E1438*2.54)))*(1/(VLOOKUP(D1438,'Species Codes'!B:Q,16,0)+VLOOKUP(D1438,'Species Codes'!B:R,17,0)*((E1438*2.54)^VLOOKUP(D1438,'Species Codes'!B:S,18,0)))),IF(OR(D1438="BM",D1438="MD",D1438="OA"),EXP(VLOOKUP(D1438,'Species Codes'!B:O,14,0)+VLOOKUP(D1438,'Species Codes'!B:P,15,0)*LN((E1438*2.54)))*(1-(1/(VLOOKUP(D1438,'Species Codes'!B:Q,16,0)+VLOOKUP(D1438,'Species Codes'!B:R,17,0)*((E1438*2.54)^VLOOKUP(D1438,'Species Codes'!B:S,18,0)))))/1000,IF(D1438="DF",EXP(VLOOKUP(D1438,'Species Codes'!B:O,14,0)+VLOOKUP(D1438,'Species Codes'!B:P,15,0)*LN((E1438*2.54))),VLOOKUP(D1438,'Species Codes'!B:O,14,0)+VLOOKUP(D1438,'Species Codes'!B:P,15,0)*(((E1438*2.54)/100)^2)*(I1438*0.3048)))))*0.0011023),0)</f>
        <v>#N/A</v>
      </c>
      <c r="AD1438" s="104" t="e">
        <f t="shared" si="652"/>
        <v>#N/A</v>
      </c>
      <c r="AE1438" s="104" t="e">
        <f t="shared" si="653"/>
        <v>#N/A</v>
      </c>
      <c r="AF1438" s="104" t="e">
        <f>IF(AND(VLOOKUP($D1438,Merchantability!$B:$C,2,0)="Yes",$E1438&gt;=VLOOKUP($D1438,Merchantability!$B:$D,3,0),$E1438&lt;=VLOOKUP($D1438,Merchantability!$B:$E,4,0)),AA1438,0)</f>
        <v>#N/A</v>
      </c>
      <c r="AG1438" s="104" t="e">
        <f>IF(AND(VLOOKUP($D1438,Merchantability!$B:$C,2,0)="Yes",$E1438&gt;=VLOOKUP($D1438,Merchantability!$B:$D,3,0),$E1438&lt;=VLOOKUP($D1438,Merchantability!$B:$E,4,0)),AB1438,0)</f>
        <v>#N/A</v>
      </c>
      <c r="AH1438" s="104" t="e">
        <f>IF(AND(VLOOKUP($D1438,Merchantability!$B:$C,2,0)="Yes",$E1438&gt;=VLOOKUP($D1438,Merchantability!$B:$D,3,0),$E1438&lt;=VLOOKUP($D1438,Merchantability!$B:$E,4,0)),AC1438,0)</f>
        <v>#N/A</v>
      </c>
      <c r="AI1438" s="104" t="e">
        <f t="shared" si="654"/>
        <v>#N/A</v>
      </c>
      <c r="AJ1438" s="104" t="e">
        <f t="shared" si="655"/>
        <v>#VALUE!</v>
      </c>
      <c r="AK1438" s="104" t="e">
        <f t="shared" si="656"/>
        <v>#N/A</v>
      </c>
      <c r="AL1438" s="104" t="e">
        <f t="shared" si="657"/>
        <v>#N/A</v>
      </c>
      <c r="AM1438" s="104" t="e">
        <f t="shared" si="658"/>
        <v>#N/A</v>
      </c>
      <c r="AN1438" s="104" t="e">
        <f t="shared" si="642"/>
        <v>#N/A</v>
      </c>
      <c r="AO1438" s="104" t="e">
        <f t="shared" si="643"/>
        <v>#N/A</v>
      </c>
      <c r="AP1438" s="104" t="e">
        <f t="shared" si="644"/>
        <v>#N/A</v>
      </c>
      <c r="AQ1438" s="104" t="e">
        <f t="shared" si="645"/>
        <v>#N/A</v>
      </c>
      <c r="AR1438" s="105" t="str">
        <f t="shared" si="637"/>
        <v/>
      </c>
      <c r="AS1438" s="105" t="str">
        <f t="shared" si="638"/>
        <v/>
      </c>
      <c r="AT1438" s="108" t="str">
        <f t="shared" si="639"/>
        <v/>
      </c>
      <c r="AU1438" s="108" t="str">
        <f t="shared" si="640"/>
        <v/>
      </c>
      <c r="AV1438" s="107" t="str">
        <f>IF(ISNUMBER(O1438),IF(VLOOKUP($A1438,Stand!C:J,8,FALSE)="Short",AT1438,AU1438),"")</f>
        <v/>
      </c>
      <c r="AW1438" s="109" t="str">
        <f t="shared" si="646"/>
        <v/>
      </c>
      <c r="AX1438" s="109" t="str">
        <f t="shared" si="647"/>
        <v/>
      </c>
      <c r="AY1438" s="112" t="str">
        <f>IF(ISNUMBER(O1438),IF(AND(VLOOKUP($D1438,Merchantability!$B:$C,2,0)="Yes",$E1438&gt;=VLOOKUP($D1438,Merchantability!$B:$D,3,0),$E1438&lt;=VLOOKUP($D1438,Merchantability!$B:$E,4,0)),(AV1438*O1438)*(1-$H1438/100),""),"")</f>
        <v/>
      </c>
      <c r="AZ1438" s="116"/>
      <c r="BA1438" s="116"/>
      <c r="BB1438" s="116"/>
      <c r="BE1438" s="62"/>
      <c r="BF1438" s="63"/>
    </row>
    <row r="1439" spans="1:58" ht="12.75" customHeight="1" x14ac:dyDescent="0.25">
      <c r="A1439" s="333"/>
      <c r="B1439" s="334"/>
      <c r="C1439" s="332"/>
      <c r="D1439" s="334"/>
      <c r="E1439" s="335"/>
      <c r="F1439" s="334"/>
      <c r="G1439" s="332"/>
      <c r="H1439" s="332"/>
      <c r="I1439" s="334"/>
      <c r="J1439" s="336"/>
      <c r="K1439" s="332"/>
      <c r="L1439" s="332"/>
      <c r="M1439" s="76"/>
      <c r="N1439" s="103" t="str">
        <f>IF(A1439="","",VLOOKUP(A1439,Stand!C:K,9,0))</f>
        <v/>
      </c>
      <c r="O1439" s="104" t="str">
        <f t="shared" si="632"/>
        <v/>
      </c>
      <c r="P1439" s="105" t="str">
        <f t="shared" si="633"/>
        <v/>
      </c>
      <c r="Q1439" s="105" t="str">
        <f t="shared" si="648"/>
        <v/>
      </c>
      <c r="R1439" s="103" t="str">
        <f t="shared" si="634"/>
        <v/>
      </c>
      <c r="S1439" s="103" t="str">
        <f t="shared" si="635"/>
        <v/>
      </c>
      <c r="T1439" s="106" t="str">
        <f t="shared" si="649"/>
        <v/>
      </c>
      <c r="U1439" s="106" t="str">
        <f t="shared" si="650"/>
        <v/>
      </c>
      <c r="V1439" s="106" t="str">
        <f t="shared" si="651"/>
        <v/>
      </c>
      <c r="W1439" s="105" t="str">
        <f t="shared" si="636"/>
        <v/>
      </c>
      <c r="X1439" s="104" t="str">
        <f t="shared" si="641"/>
        <v/>
      </c>
      <c r="Y1439" s="104" t="str">
        <f t="array" ref="Y1439">IFERROR(IF(ISNUMBER(O1439),IF(COUNT(IF(A1439=$A$2:$A$2427,IF(D1439=$D$2:$D$2427,IF($X$2:$X$2427&gt;0,1))))&gt;0,SUM(IF(A1439=$A$2:$A$2427,IF(D1439=$D$2:$D$2427,$X$2:$X$2427)))/COUNT(IF(A1439=$A$2:$A$2427,IF(D1439=$D$2:$D$2427,IF(ISNUMBER($X$2:$X$2427),1)))),0),""),0)</f>
        <v/>
      </c>
      <c r="Z1439" s="104" t="str">
        <f>IF(ISNUMBER(O1439),IF(I1439&gt;0,(10^(VLOOKUP(D1439,'Species Codes'!B:C,2,0)+VLOOKUP(D1439,'Species Codes'!B:D,3,0)*LOG(E1439)+VLOOKUP(D1439,'Species Codes'!B:E,4,0)*LOG(I1439))),0),"")</f>
        <v/>
      </c>
      <c r="AA1439" s="104" t="str">
        <f>IFERROR((VLOOKUP(D1439,'Species Codes'!B:G,6,0)*Z1439)/2000,"")</f>
        <v/>
      </c>
      <c r="AB1439" s="104" t="e">
        <f>IF(Z1439&gt;0,((IF(OR(D1439="DF",D1439="RA")=TRUE,EXP(VLOOKUP(D1439,'Species Codes'!B:I,8,0)+VLOOKUP(D1439,'Species Codes'!B:J,9,0)*(LN((E1439*2.54)))),IF(OR(D1439="PY",D1439="RC",D1439="WH",D1439="NF")=TRUE,VLOOKUP(D1439,'Species Codes'!B:I,8,0)+VLOOKUP(D1439,'Species Codes'!B:J,9,0)*((E1439*2.54)^2)*(I1439*0.3048),IF(OR(D1439="MD",D1439="BM",D1439="GA")=TRUE,((VLOOKUP(D1439,'Species Codes'!B:I,8,0)*(((((E1439*2.54)+VLOOKUP(D1439,'Species Codes'!B:J,9,0))/VLOOKUP(D1439,'Species Codes'!B:K,10,0))^VLOOKUP(D1439,'Species Codes'!B:L,11,0))*((I1439*0.3048)^VLOOKUP(D1439,'Species Codes'!B:M,12,0))))-(VLOOKUP(D1439,'Species Codes'!B:I,8,0)*((((E1439*2.54)^VLOOKUP(D1439,'Species Codes'!B:L,11,0))*((I1439*0.3048)^VLOOKUP(D1439,'Species Codes'!B:M,12,0))))))*35.3*VLOOKUP(D1439,'Species Codes'!B:G,6,0)/2.2046,VLOOKUP(D1439,'Species Codes'!B:I,8,0)+VLOOKUP(D1439,'Species Codes'!B:J,9,0)*(((E1439*2.54)/100)^2)*(I1439*0.3048)))))*0.0011023),0)</f>
        <v>#N/A</v>
      </c>
      <c r="AC1439" s="104" t="e">
        <f>IF(Z1439&gt;0,((IF(OR(D1439="RA",D1439="OA",D1439="OT",D1439="UN",D1439="PC"),EXP(VLOOKUP(D1439,'Species Codes'!B:O,14,0)+VLOOKUP(D1439,'Species Codes'!B:P,15,0)*LN((E1439*2.54)))-EXP(VLOOKUP(D1439,'Species Codes'!B:O,14,0)+VLOOKUP(D1439,'Species Codes'!B:P,15,0)*LN((E1439*2.54)))*(1/(VLOOKUP(D1439,'Species Codes'!B:Q,16,0)+VLOOKUP(D1439,'Species Codes'!B:R,17,0)*((E1439*2.54)^VLOOKUP(D1439,'Species Codes'!B:S,18,0)))),IF(OR(D1439="BM",D1439="MD",D1439="OA"),EXP(VLOOKUP(D1439,'Species Codes'!B:O,14,0)+VLOOKUP(D1439,'Species Codes'!B:P,15,0)*LN((E1439*2.54)))*(1-(1/(VLOOKUP(D1439,'Species Codes'!B:Q,16,0)+VLOOKUP(D1439,'Species Codes'!B:R,17,0)*((E1439*2.54)^VLOOKUP(D1439,'Species Codes'!B:S,18,0)))))/1000,IF(D1439="DF",EXP(VLOOKUP(D1439,'Species Codes'!B:O,14,0)+VLOOKUP(D1439,'Species Codes'!B:P,15,0)*LN((E1439*2.54))),VLOOKUP(D1439,'Species Codes'!B:O,14,0)+VLOOKUP(D1439,'Species Codes'!B:P,15,0)*(((E1439*2.54)/100)^2)*(I1439*0.3048)))))*0.0011023),0)</f>
        <v>#N/A</v>
      </c>
      <c r="AD1439" s="104" t="e">
        <f t="shared" si="652"/>
        <v>#N/A</v>
      </c>
      <c r="AE1439" s="104" t="e">
        <f t="shared" si="653"/>
        <v>#N/A</v>
      </c>
      <c r="AF1439" s="104" t="e">
        <f>IF(AND(VLOOKUP($D1439,Merchantability!$B:$C,2,0)="Yes",$E1439&gt;=VLOOKUP($D1439,Merchantability!$B:$D,3,0),$E1439&lt;=VLOOKUP($D1439,Merchantability!$B:$E,4,0)),AA1439,0)</f>
        <v>#N/A</v>
      </c>
      <c r="AG1439" s="104" t="e">
        <f>IF(AND(VLOOKUP($D1439,Merchantability!$B:$C,2,0)="Yes",$E1439&gt;=VLOOKUP($D1439,Merchantability!$B:$D,3,0),$E1439&lt;=VLOOKUP($D1439,Merchantability!$B:$E,4,0)),AB1439,0)</f>
        <v>#N/A</v>
      </c>
      <c r="AH1439" s="104" t="e">
        <f>IF(AND(VLOOKUP($D1439,Merchantability!$B:$C,2,0)="Yes",$E1439&gt;=VLOOKUP($D1439,Merchantability!$B:$D,3,0),$E1439&lt;=VLOOKUP($D1439,Merchantability!$B:$E,4,0)),AC1439,0)</f>
        <v>#N/A</v>
      </c>
      <c r="AI1439" s="104" t="e">
        <f t="shared" si="654"/>
        <v>#N/A</v>
      </c>
      <c r="AJ1439" s="104" t="e">
        <f t="shared" si="655"/>
        <v>#VALUE!</v>
      </c>
      <c r="AK1439" s="104" t="e">
        <f t="shared" si="656"/>
        <v>#N/A</v>
      </c>
      <c r="AL1439" s="104" t="e">
        <f t="shared" si="657"/>
        <v>#N/A</v>
      </c>
      <c r="AM1439" s="104" t="e">
        <f t="shared" si="658"/>
        <v>#N/A</v>
      </c>
      <c r="AN1439" s="104" t="e">
        <f t="shared" si="642"/>
        <v>#N/A</v>
      </c>
      <c r="AO1439" s="104" t="e">
        <f t="shared" si="643"/>
        <v>#N/A</v>
      </c>
      <c r="AP1439" s="104" t="e">
        <f t="shared" si="644"/>
        <v>#N/A</v>
      </c>
      <c r="AQ1439" s="104" t="e">
        <f t="shared" si="645"/>
        <v>#N/A</v>
      </c>
      <c r="AR1439" s="105" t="str">
        <f t="shared" si="637"/>
        <v/>
      </c>
      <c r="AS1439" s="105" t="str">
        <f t="shared" si="638"/>
        <v/>
      </c>
      <c r="AT1439" s="108" t="str">
        <f t="shared" si="639"/>
        <v/>
      </c>
      <c r="AU1439" s="108" t="str">
        <f t="shared" si="640"/>
        <v/>
      </c>
      <c r="AV1439" s="107" t="str">
        <f>IF(ISNUMBER(O1439),IF(VLOOKUP($A1439,Stand!C:J,8,FALSE)="Short",AT1439,AU1439),"")</f>
        <v/>
      </c>
      <c r="AW1439" s="109" t="str">
        <f t="shared" si="646"/>
        <v/>
      </c>
      <c r="AX1439" s="109" t="str">
        <f t="shared" si="647"/>
        <v/>
      </c>
      <c r="AY1439" s="112" t="str">
        <f>IF(ISNUMBER(O1439),IF(AND(VLOOKUP($D1439,Merchantability!$B:$C,2,0)="Yes",$E1439&gt;=VLOOKUP($D1439,Merchantability!$B:$D,3,0),$E1439&lt;=VLOOKUP($D1439,Merchantability!$B:$E,4,0)),(AV1439*O1439)*(1-$H1439/100),""),"")</f>
        <v/>
      </c>
      <c r="AZ1439" s="116"/>
      <c r="BA1439" s="116"/>
      <c r="BB1439" s="116"/>
      <c r="BE1439" s="62"/>
      <c r="BF1439" s="63"/>
    </row>
    <row r="1440" spans="1:58" ht="12.75" customHeight="1" x14ac:dyDescent="0.25">
      <c r="A1440" s="333"/>
      <c r="B1440" s="334"/>
      <c r="C1440" s="332"/>
      <c r="D1440" s="334"/>
      <c r="E1440" s="335"/>
      <c r="F1440" s="334"/>
      <c r="G1440" s="332"/>
      <c r="H1440" s="332"/>
      <c r="I1440" s="334"/>
      <c r="J1440" s="336"/>
      <c r="K1440" s="332"/>
      <c r="L1440" s="332"/>
      <c r="M1440" s="76"/>
      <c r="N1440" s="103" t="str">
        <f>IF(A1440="","",VLOOKUP(A1440,Stand!C:K,9,0))</f>
        <v/>
      </c>
      <c r="O1440" s="104" t="str">
        <f t="shared" si="632"/>
        <v/>
      </c>
      <c r="P1440" s="105" t="str">
        <f t="shared" si="633"/>
        <v/>
      </c>
      <c r="Q1440" s="105" t="str">
        <f t="shared" si="648"/>
        <v/>
      </c>
      <c r="R1440" s="103" t="str">
        <f t="shared" si="634"/>
        <v/>
      </c>
      <c r="S1440" s="103" t="str">
        <f t="shared" si="635"/>
        <v/>
      </c>
      <c r="T1440" s="106" t="str">
        <f t="shared" si="649"/>
        <v/>
      </c>
      <c r="U1440" s="106" t="str">
        <f t="shared" si="650"/>
        <v/>
      </c>
      <c r="V1440" s="106" t="str">
        <f t="shared" si="651"/>
        <v/>
      </c>
      <c r="W1440" s="105" t="str">
        <f t="shared" si="636"/>
        <v/>
      </c>
      <c r="X1440" s="104" t="str">
        <f t="shared" si="641"/>
        <v/>
      </c>
      <c r="Y1440" s="104" t="str">
        <f t="array" ref="Y1440">IFERROR(IF(ISNUMBER(O1440),IF(COUNT(IF(A1440=$A$2:$A$2427,IF(D1440=$D$2:$D$2427,IF($X$2:$X$2427&gt;0,1))))&gt;0,SUM(IF(A1440=$A$2:$A$2427,IF(D1440=$D$2:$D$2427,$X$2:$X$2427)))/COUNT(IF(A1440=$A$2:$A$2427,IF(D1440=$D$2:$D$2427,IF(ISNUMBER($X$2:$X$2427),1)))),0),""),0)</f>
        <v/>
      </c>
      <c r="Z1440" s="104" t="str">
        <f>IF(ISNUMBER(O1440),IF(I1440&gt;0,(10^(VLOOKUP(D1440,'Species Codes'!B:C,2,0)+VLOOKUP(D1440,'Species Codes'!B:D,3,0)*LOG(E1440)+VLOOKUP(D1440,'Species Codes'!B:E,4,0)*LOG(I1440))),0),"")</f>
        <v/>
      </c>
      <c r="AA1440" s="104" t="str">
        <f>IFERROR((VLOOKUP(D1440,'Species Codes'!B:G,6,0)*Z1440)/2000,"")</f>
        <v/>
      </c>
      <c r="AB1440" s="104" t="e">
        <f>IF(Z1440&gt;0,((IF(OR(D1440="DF",D1440="RA")=TRUE,EXP(VLOOKUP(D1440,'Species Codes'!B:I,8,0)+VLOOKUP(D1440,'Species Codes'!B:J,9,0)*(LN((E1440*2.54)))),IF(OR(D1440="PY",D1440="RC",D1440="WH",D1440="NF")=TRUE,VLOOKUP(D1440,'Species Codes'!B:I,8,0)+VLOOKUP(D1440,'Species Codes'!B:J,9,0)*((E1440*2.54)^2)*(I1440*0.3048),IF(OR(D1440="MD",D1440="BM",D1440="GA")=TRUE,((VLOOKUP(D1440,'Species Codes'!B:I,8,0)*(((((E1440*2.54)+VLOOKUP(D1440,'Species Codes'!B:J,9,0))/VLOOKUP(D1440,'Species Codes'!B:K,10,0))^VLOOKUP(D1440,'Species Codes'!B:L,11,0))*((I1440*0.3048)^VLOOKUP(D1440,'Species Codes'!B:M,12,0))))-(VLOOKUP(D1440,'Species Codes'!B:I,8,0)*((((E1440*2.54)^VLOOKUP(D1440,'Species Codes'!B:L,11,0))*((I1440*0.3048)^VLOOKUP(D1440,'Species Codes'!B:M,12,0))))))*35.3*VLOOKUP(D1440,'Species Codes'!B:G,6,0)/2.2046,VLOOKUP(D1440,'Species Codes'!B:I,8,0)+VLOOKUP(D1440,'Species Codes'!B:J,9,0)*(((E1440*2.54)/100)^2)*(I1440*0.3048)))))*0.0011023),0)</f>
        <v>#N/A</v>
      </c>
      <c r="AC1440" s="104" t="e">
        <f>IF(Z1440&gt;0,((IF(OR(D1440="RA",D1440="OA",D1440="OT",D1440="UN",D1440="PC"),EXP(VLOOKUP(D1440,'Species Codes'!B:O,14,0)+VLOOKUP(D1440,'Species Codes'!B:P,15,0)*LN((E1440*2.54)))-EXP(VLOOKUP(D1440,'Species Codes'!B:O,14,0)+VLOOKUP(D1440,'Species Codes'!B:P,15,0)*LN((E1440*2.54)))*(1/(VLOOKUP(D1440,'Species Codes'!B:Q,16,0)+VLOOKUP(D1440,'Species Codes'!B:R,17,0)*((E1440*2.54)^VLOOKUP(D1440,'Species Codes'!B:S,18,0)))),IF(OR(D1440="BM",D1440="MD",D1440="OA"),EXP(VLOOKUP(D1440,'Species Codes'!B:O,14,0)+VLOOKUP(D1440,'Species Codes'!B:P,15,0)*LN((E1440*2.54)))*(1-(1/(VLOOKUP(D1440,'Species Codes'!B:Q,16,0)+VLOOKUP(D1440,'Species Codes'!B:R,17,0)*((E1440*2.54)^VLOOKUP(D1440,'Species Codes'!B:S,18,0)))))/1000,IF(D1440="DF",EXP(VLOOKUP(D1440,'Species Codes'!B:O,14,0)+VLOOKUP(D1440,'Species Codes'!B:P,15,0)*LN((E1440*2.54))),VLOOKUP(D1440,'Species Codes'!B:O,14,0)+VLOOKUP(D1440,'Species Codes'!B:P,15,0)*(((E1440*2.54)/100)^2)*(I1440*0.3048)))))*0.0011023),0)</f>
        <v>#N/A</v>
      </c>
      <c r="AD1440" s="104" t="e">
        <f t="shared" si="652"/>
        <v>#N/A</v>
      </c>
      <c r="AE1440" s="104" t="e">
        <f t="shared" si="653"/>
        <v>#N/A</v>
      </c>
      <c r="AF1440" s="104" t="e">
        <f>IF(AND(VLOOKUP($D1440,Merchantability!$B:$C,2,0)="Yes",$E1440&gt;=VLOOKUP($D1440,Merchantability!$B:$D,3,0),$E1440&lt;=VLOOKUP($D1440,Merchantability!$B:$E,4,0)),AA1440,0)</f>
        <v>#N/A</v>
      </c>
      <c r="AG1440" s="104" t="e">
        <f>IF(AND(VLOOKUP($D1440,Merchantability!$B:$C,2,0)="Yes",$E1440&gt;=VLOOKUP($D1440,Merchantability!$B:$D,3,0),$E1440&lt;=VLOOKUP($D1440,Merchantability!$B:$E,4,0)),AB1440,0)</f>
        <v>#N/A</v>
      </c>
      <c r="AH1440" s="104" t="e">
        <f>IF(AND(VLOOKUP($D1440,Merchantability!$B:$C,2,0)="Yes",$E1440&gt;=VLOOKUP($D1440,Merchantability!$B:$D,3,0),$E1440&lt;=VLOOKUP($D1440,Merchantability!$B:$E,4,0)),AC1440,0)</f>
        <v>#N/A</v>
      </c>
      <c r="AI1440" s="104" t="e">
        <f t="shared" si="654"/>
        <v>#N/A</v>
      </c>
      <c r="AJ1440" s="104" t="e">
        <f t="shared" si="655"/>
        <v>#VALUE!</v>
      </c>
      <c r="AK1440" s="104" t="e">
        <f t="shared" si="656"/>
        <v>#N/A</v>
      </c>
      <c r="AL1440" s="104" t="e">
        <f t="shared" si="657"/>
        <v>#N/A</v>
      </c>
      <c r="AM1440" s="104" t="e">
        <f t="shared" si="658"/>
        <v>#N/A</v>
      </c>
      <c r="AN1440" s="104" t="e">
        <f t="shared" si="642"/>
        <v>#N/A</v>
      </c>
      <c r="AO1440" s="104" t="e">
        <f t="shared" si="643"/>
        <v>#N/A</v>
      </c>
      <c r="AP1440" s="104" t="e">
        <f t="shared" si="644"/>
        <v>#N/A</v>
      </c>
      <c r="AQ1440" s="104" t="e">
        <f t="shared" si="645"/>
        <v>#N/A</v>
      </c>
      <c r="AR1440" s="105" t="str">
        <f t="shared" si="637"/>
        <v/>
      </c>
      <c r="AS1440" s="105" t="str">
        <f t="shared" si="638"/>
        <v/>
      </c>
      <c r="AT1440" s="108" t="str">
        <f t="shared" si="639"/>
        <v/>
      </c>
      <c r="AU1440" s="108" t="str">
        <f t="shared" si="640"/>
        <v/>
      </c>
      <c r="AV1440" s="107" t="str">
        <f>IF(ISNUMBER(O1440),IF(VLOOKUP($A1440,Stand!C:J,8,FALSE)="Short",AT1440,AU1440),"")</f>
        <v/>
      </c>
      <c r="AW1440" s="109" t="str">
        <f t="shared" si="646"/>
        <v/>
      </c>
      <c r="AX1440" s="109" t="str">
        <f t="shared" si="647"/>
        <v/>
      </c>
      <c r="AY1440" s="112" t="str">
        <f>IF(ISNUMBER(O1440),IF(AND(VLOOKUP($D1440,Merchantability!$B:$C,2,0)="Yes",$E1440&gt;=VLOOKUP($D1440,Merchantability!$B:$D,3,0),$E1440&lt;=VLOOKUP($D1440,Merchantability!$B:$E,4,0)),(AV1440*O1440)*(1-$H1440/100),""),"")</f>
        <v/>
      </c>
      <c r="AZ1440" s="116"/>
      <c r="BA1440" s="116"/>
      <c r="BB1440" s="116"/>
      <c r="BE1440" s="62"/>
      <c r="BF1440" s="63"/>
    </row>
    <row r="1441" spans="1:58" ht="12.75" customHeight="1" x14ac:dyDescent="0.25">
      <c r="A1441" s="333"/>
      <c r="B1441" s="334"/>
      <c r="C1441" s="332"/>
      <c r="D1441" s="334"/>
      <c r="E1441" s="335"/>
      <c r="F1441" s="334"/>
      <c r="G1441" s="332"/>
      <c r="H1441" s="332"/>
      <c r="I1441" s="334"/>
      <c r="J1441" s="336"/>
      <c r="K1441" s="332"/>
      <c r="L1441" s="332"/>
      <c r="M1441" s="76"/>
      <c r="N1441" s="103" t="str">
        <f>IF(A1441="","",VLOOKUP(A1441,Stand!C:K,9,0))</f>
        <v/>
      </c>
      <c r="O1441" s="104" t="str">
        <f t="shared" si="632"/>
        <v/>
      </c>
      <c r="P1441" s="105" t="str">
        <f t="shared" si="633"/>
        <v/>
      </c>
      <c r="Q1441" s="105" t="str">
        <f t="shared" si="648"/>
        <v/>
      </c>
      <c r="R1441" s="103" t="str">
        <f t="shared" si="634"/>
        <v/>
      </c>
      <c r="S1441" s="103" t="str">
        <f t="shared" si="635"/>
        <v/>
      </c>
      <c r="T1441" s="106" t="str">
        <f t="shared" si="649"/>
        <v/>
      </c>
      <c r="U1441" s="106" t="str">
        <f t="shared" si="650"/>
        <v/>
      </c>
      <c r="V1441" s="106" t="str">
        <f t="shared" si="651"/>
        <v/>
      </c>
      <c r="W1441" s="105" t="str">
        <f t="shared" si="636"/>
        <v/>
      </c>
      <c r="X1441" s="104" t="str">
        <f t="shared" si="641"/>
        <v/>
      </c>
      <c r="Y1441" s="104" t="str">
        <f t="array" ref="Y1441">IFERROR(IF(ISNUMBER(O1441),IF(COUNT(IF(A1441=$A$2:$A$2427,IF(D1441=$D$2:$D$2427,IF($X$2:$X$2427&gt;0,1))))&gt;0,SUM(IF(A1441=$A$2:$A$2427,IF(D1441=$D$2:$D$2427,$X$2:$X$2427)))/COUNT(IF(A1441=$A$2:$A$2427,IF(D1441=$D$2:$D$2427,IF(ISNUMBER($X$2:$X$2427),1)))),0),""),0)</f>
        <v/>
      </c>
      <c r="Z1441" s="104" t="str">
        <f>IF(ISNUMBER(O1441),IF(I1441&gt;0,(10^(VLOOKUP(D1441,'Species Codes'!B:C,2,0)+VLOOKUP(D1441,'Species Codes'!B:D,3,0)*LOG(E1441)+VLOOKUP(D1441,'Species Codes'!B:E,4,0)*LOG(I1441))),0),"")</f>
        <v/>
      </c>
      <c r="AA1441" s="104" t="str">
        <f>IFERROR((VLOOKUP(D1441,'Species Codes'!B:G,6,0)*Z1441)/2000,"")</f>
        <v/>
      </c>
      <c r="AB1441" s="104" t="e">
        <f>IF(Z1441&gt;0,((IF(OR(D1441="DF",D1441="RA")=TRUE,EXP(VLOOKUP(D1441,'Species Codes'!B:I,8,0)+VLOOKUP(D1441,'Species Codes'!B:J,9,0)*(LN((E1441*2.54)))),IF(OR(D1441="PY",D1441="RC",D1441="WH",D1441="NF")=TRUE,VLOOKUP(D1441,'Species Codes'!B:I,8,0)+VLOOKUP(D1441,'Species Codes'!B:J,9,0)*((E1441*2.54)^2)*(I1441*0.3048),IF(OR(D1441="MD",D1441="BM",D1441="GA")=TRUE,((VLOOKUP(D1441,'Species Codes'!B:I,8,0)*(((((E1441*2.54)+VLOOKUP(D1441,'Species Codes'!B:J,9,0))/VLOOKUP(D1441,'Species Codes'!B:K,10,0))^VLOOKUP(D1441,'Species Codes'!B:L,11,0))*((I1441*0.3048)^VLOOKUP(D1441,'Species Codes'!B:M,12,0))))-(VLOOKUP(D1441,'Species Codes'!B:I,8,0)*((((E1441*2.54)^VLOOKUP(D1441,'Species Codes'!B:L,11,0))*((I1441*0.3048)^VLOOKUP(D1441,'Species Codes'!B:M,12,0))))))*35.3*VLOOKUP(D1441,'Species Codes'!B:G,6,0)/2.2046,VLOOKUP(D1441,'Species Codes'!B:I,8,0)+VLOOKUP(D1441,'Species Codes'!B:J,9,0)*(((E1441*2.54)/100)^2)*(I1441*0.3048)))))*0.0011023),0)</f>
        <v>#N/A</v>
      </c>
      <c r="AC1441" s="104" t="e">
        <f>IF(Z1441&gt;0,((IF(OR(D1441="RA",D1441="OA",D1441="OT",D1441="UN",D1441="PC"),EXP(VLOOKUP(D1441,'Species Codes'!B:O,14,0)+VLOOKUP(D1441,'Species Codes'!B:P,15,0)*LN((E1441*2.54)))-EXP(VLOOKUP(D1441,'Species Codes'!B:O,14,0)+VLOOKUP(D1441,'Species Codes'!B:P,15,0)*LN((E1441*2.54)))*(1/(VLOOKUP(D1441,'Species Codes'!B:Q,16,0)+VLOOKUP(D1441,'Species Codes'!B:R,17,0)*((E1441*2.54)^VLOOKUP(D1441,'Species Codes'!B:S,18,0)))),IF(OR(D1441="BM",D1441="MD",D1441="OA"),EXP(VLOOKUP(D1441,'Species Codes'!B:O,14,0)+VLOOKUP(D1441,'Species Codes'!B:P,15,0)*LN((E1441*2.54)))*(1-(1/(VLOOKUP(D1441,'Species Codes'!B:Q,16,0)+VLOOKUP(D1441,'Species Codes'!B:R,17,0)*((E1441*2.54)^VLOOKUP(D1441,'Species Codes'!B:S,18,0)))))/1000,IF(D1441="DF",EXP(VLOOKUP(D1441,'Species Codes'!B:O,14,0)+VLOOKUP(D1441,'Species Codes'!B:P,15,0)*LN((E1441*2.54))),VLOOKUP(D1441,'Species Codes'!B:O,14,0)+VLOOKUP(D1441,'Species Codes'!B:P,15,0)*(((E1441*2.54)/100)^2)*(I1441*0.3048)))))*0.0011023),0)</f>
        <v>#N/A</v>
      </c>
      <c r="AD1441" s="104" t="e">
        <f t="shared" si="652"/>
        <v>#N/A</v>
      </c>
      <c r="AE1441" s="104" t="e">
        <f t="shared" si="653"/>
        <v>#N/A</v>
      </c>
      <c r="AF1441" s="104" t="e">
        <f>IF(AND(VLOOKUP($D1441,Merchantability!$B:$C,2,0)="Yes",$E1441&gt;=VLOOKUP($D1441,Merchantability!$B:$D,3,0),$E1441&lt;=VLOOKUP($D1441,Merchantability!$B:$E,4,0)),AA1441,0)</f>
        <v>#N/A</v>
      </c>
      <c r="AG1441" s="104" t="e">
        <f>IF(AND(VLOOKUP($D1441,Merchantability!$B:$C,2,0)="Yes",$E1441&gt;=VLOOKUP($D1441,Merchantability!$B:$D,3,0),$E1441&lt;=VLOOKUP($D1441,Merchantability!$B:$E,4,0)),AB1441,0)</f>
        <v>#N/A</v>
      </c>
      <c r="AH1441" s="104" t="e">
        <f>IF(AND(VLOOKUP($D1441,Merchantability!$B:$C,2,0)="Yes",$E1441&gt;=VLOOKUP($D1441,Merchantability!$B:$D,3,0),$E1441&lt;=VLOOKUP($D1441,Merchantability!$B:$E,4,0)),AC1441,0)</f>
        <v>#N/A</v>
      </c>
      <c r="AI1441" s="104" t="e">
        <f t="shared" si="654"/>
        <v>#N/A</v>
      </c>
      <c r="AJ1441" s="104" t="e">
        <f t="shared" si="655"/>
        <v>#VALUE!</v>
      </c>
      <c r="AK1441" s="104" t="e">
        <f t="shared" si="656"/>
        <v>#N/A</v>
      </c>
      <c r="AL1441" s="104" t="e">
        <f t="shared" si="657"/>
        <v>#N/A</v>
      </c>
      <c r="AM1441" s="104" t="e">
        <f t="shared" si="658"/>
        <v>#N/A</v>
      </c>
      <c r="AN1441" s="104" t="e">
        <f t="shared" si="642"/>
        <v>#N/A</v>
      </c>
      <c r="AO1441" s="104" t="e">
        <f t="shared" si="643"/>
        <v>#N/A</v>
      </c>
      <c r="AP1441" s="104" t="e">
        <f t="shared" si="644"/>
        <v>#N/A</v>
      </c>
      <c r="AQ1441" s="104" t="e">
        <f t="shared" si="645"/>
        <v>#N/A</v>
      </c>
      <c r="AR1441" s="105" t="str">
        <f t="shared" si="637"/>
        <v/>
      </c>
      <c r="AS1441" s="105" t="str">
        <f t="shared" si="638"/>
        <v/>
      </c>
      <c r="AT1441" s="108" t="str">
        <f t="shared" si="639"/>
        <v/>
      </c>
      <c r="AU1441" s="108" t="str">
        <f t="shared" si="640"/>
        <v/>
      </c>
      <c r="AV1441" s="107" t="str">
        <f>IF(ISNUMBER(O1441),IF(VLOOKUP($A1441,Stand!C:J,8,FALSE)="Short",AT1441,AU1441),"")</f>
        <v/>
      </c>
      <c r="AW1441" s="109" t="str">
        <f t="shared" si="646"/>
        <v/>
      </c>
      <c r="AX1441" s="109" t="str">
        <f t="shared" si="647"/>
        <v/>
      </c>
      <c r="AY1441" s="112" t="str">
        <f>IF(ISNUMBER(O1441),IF(AND(VLOOKUP($D1441,Merchantability!$B:$C,2,0)="Yes",$E1441&gt;=VLOOKUP($D1441,Merchantability!$B:$D,3,0),$E1441&lt;=VLOOKUP($D1441,Merchantability!$B:$E,4,0)),(AV1441*O1441)*(1-$H1441/100),""),"")</f>
        <v/>
      </c>
      <c r="AZ1441" s="116"/>
      <c r="BA1441" s="116"/>
      <c r="BB1441" s="116"/>
      <c r="BE1441" s="62"/>
      <c r="BF1441" s="63"/>
    </row>
    <row r="1442" spans="1:58" ht="12.75" customHeight="1" x14ac:dyDescent="0.25">
      <c r="A1442" s="333"/>
      <c r="B1442" s="334"/>
      <c r="C1442" s="332"/>
      <c r="D1442" s="334"/>
      <c r="E1442" s="335"/>
      <c r="F1442" s="334"/>
      <c r="G1442" s="332"/>
      <c r="H1442" s="332"/>
      <c r="I1442" s="334"/>
      <c r="J1442" s="336"/>
      <c r="K1442" s="332"/>
      <c r="L1442" s="332"/>
      <c r="M1442" s="76"/>
      <c r="N1442" s="103" t="str">
        <f>IF(A1442="","",VLOOKUP(A1442,Stand!C:K,9,0))</f>
        <v/>
      </c>
      <c r="O1442" s="104" t="str">
        <f t="shared" si="632"/>
        <v/>
      </c>
      <c r="P1442" s="105" t="str">
        <f t="shared" si="633"/>
        <v/>
      </c>
      <c r="Q1442" s="105" t="str">
        <f t="shared" si="648"/>
        <v/>
      </c>
      <c r="R1442" s="103" t="str">
        <f t="shared" si="634"/>
        <v/>
      </c>
      <c r="S1442" s="103" t="str">
        <f t="shared" si="635"/>
        <v/>
      </c>
      <c r="T1442" s="106" t="str">
        <f t="shared" si="649"/>
        <v/>
      </c>
      <c r="U1442" s="106" t="str">
        <f t="shared" si="650"/>
        <v/>
      </c>
      <c r="V1442" s="106" t="str">
        <f t="shared" si="651"/>
        <v/>
      </c>
      <c r="W1442" s="105" t="str">
        <f t="shared" si="636"/>
        <v/>
      </c>
      <c r="X1442" s="104" t="str">
        <f t="shared" si="641"/>
        <v/>
      </c>
      <c r="Y1442" s="104" t="str">
        <f t="array" ref="Y1442">IFERROR(IF(ISNUMBER(O1442),IF(COUNT(IF(A1442=$A$2:$A$2427,IF(D1442=$D$2:$D$2427,IF($X$2:$X$2427&gt;0,1))))&gt;0,SUM(IF(A1442=$A$2:$A$2427,IF(D1442=$D$2:$D$2427,$X$2:$X$2427)))/COUNT(IF(A1442=$A$2:$A$2427,IF(D1442=$D$2:$D$2427,IF(ISNUMBER($X$2:$X$2427),1)))),0),""),0)</f>
        <v/>
      </c>
      <c r="Z1442" s="104" t="str">
        <f>IF(ISNUMBER(O1442),IF(I1442&gt;0,(10^(VLOOKUP(D1442,'Species Codes'!B:C,2,0)+VLOOKUP(D1442,'Species Codes'!B:D,3,0)*LOG(E1442)+VLOOKUP(D1442,'Species Codes'!B:E,4,0)*LOG(I1442))),0),"")</f>
        <v/>
      </c>
      <c r="AA1442" s="104" t="str">
        <f>IFERROR((VLOOKUP(D1442,'Species Codes'!B:G,6,0)*Z1442)/2000,"")</f>
        <v/>
      </c>
      <c r="AB1442" s="104" t="e">
        <f>IF(Z1442&gt;0,((IF(OR(D1442="DF",D1442="RA")=TRUE,EXP(VLOOKUP(D1442,'Species Codes'!B:I,8,0)+VLOOKUP(D1442,'Species Codes'!B:J,9,0)*(LN((E1442*2.54)))),IF(OR(D1442="PY",D1442="RC",D1442="WH",D1442="NF")=TRUE,VLOOKUP(D1442,'Species Codes'!B:I,8,0)+VLOOKUP(D1442,'Species Codes'!B:J,9,0)*((E1442*2.54)^2)*(I1442*0.3048),IF(OR(D1442="MD",D1442="BM",D1442="GA")=TRUE,((VLOOKUP(D1442,'Species Codes'!B:I,8,0)*(((((E1442*2.54)+VLOOKUP(D1442,'Species Codes'!B:J,9,0))/VLOOKUP(D1442,'Species Codes'!B:K,10,0))^VLOOKUP(D1442,'Species Codes'!B:L,11,0))*((I1442*0.3048)^VLOOKUP(D1442,'Species Codes'!B:M,12,0))))-(VLOOKUP(D1442,'Species Codes'!B:I,8,0)*((((E1442*2.54)^VLOOKUP(D1442,'Species Codes'!B:L,11,0))*((I1442*0.3048)^VLOOKUP(D1442,'Species Codes'!B:M,12,0))))))*35.3*VLOOKUP(D1442,'Species Codes'!B:G,6,0)/2.2046,VLOOKUP(D1442,'Species Codes'!B:I,8,0)+VLOOKUP(D1442,'Species Codes'!B:J,9,0)*(((E1442*2.54)/100)^2)*(I1442*0.3048)))))*0.0011023),0)</f>
        <v>#N/A</v>
      </c>
      <c r="AC1442" s="104" t="e">
        <f>IF(Z1442&gt;0,((IF(OR(D1442="RA",D1442="OA",D1442="OT",D1442="UN",D1442="PC"),EXP(VLOOKUP(D1442,'Species Codes'!B:O,14,0)+VLOOKUP(D1442,'Species Codes'!B:P,15,0)*LN((E1442*2.54)))-EXP(VLOOKUP(D1442,'Species Codes'!B:O,14,0)+VLOOKUP(D1442,'Species Codes'!B:P,15,0)*LN((E1442*2.54)))*(1/(VLOOKUP(D1442,'Species Codes'!B:Q,16,0)+VLOOKUP(D1442,'Species Codes'!B:R,17,0)*((E1442*2.54)^VLOOKUP(D1442,'Species Codes'!B:S,18,0)))),IF(OR(D1442="BM",D1442="MD",D1442="OA"),EXP(VLOOKUP(D1442,'Species Codes'!B:O,14,0)+VLOOKUP(D1442,'Species Codes'!B:P,15,0)*LN((E1442*2.54)))*(1-(1/(VLOOKUP(D1442,'Species Codes'!B:Q,16,0)+VLOOKUP(D1442,'Species Codes'!B:R,17,0)*((E1442*2.54)^VLOOKUP(D1442,'Species Codes'!B:S,18,0)))))/1000,IF(D1442="DF",EXP(VLOOKUP(D1442,'Species Codes'!B:O,14,0)+VLOOKUP(D1442,'Species Codes'!B:P,15,0)*LN((E1442*2.54))),VLOOKUP(D1442,'Species Codes'!B:O,14,0)+VLOOKUP(D1442,'Species Codes'!B:P,15,0)*(((E1442*2.54)/100)^2)*(I1442*0.3048)))))*0.0011023),0)</f>
        <v>#N/A</v>
      </c>
      <c r="AD1442" s="104" t="e">
        <f t="shared" si="652"/>
        <v>#N/A</v>
      </c>
      <c r="AE1442" s="104" t="e">
        <f t="shared" si="653"/>
        <v>#N/A</v>
      </c>
      <c r="AF1442" s="104" t="e">
        <f>IF(AND(VLOOKUP($D1442,Merchantability!$B:$C,2,0)="Yes",$E1442&gt;=VLOOKUP($D1442,Merchantability!$B:$D,3,0),$E1442&lt;=VLOOKUP($D1442,Merchantability!$B:$E,4,0)),AA1442,0)</f>
        <v>#N/A</v>
      </c>
      <c r="AG1442" s="104" t="e">
        <f>IF(AND(VLOOKUP($D1442,Merchantability!$B:$C,2,0)="Yes",$E1442&gt;=VLOOKUP($D1442,Merchantability!$B:$D,3,0),$E1442&lt;=VLOOKUP($D1442,Merchantability!$B:$E,4,0)),AB1442,0)</f>
        <v>#N/A</v>
      </c>
      <c r="AH1442" s="104" t="e">
        <f>IF(AND(VLOOKUP($D1442,Merchantability!$B:$C,2,0)="Yes",$E1442&gt;=VLOOKUP($D1442,Merchantability!$B:$D,3,0),$E1442&lt;=VLOOKUP($D1442,Merchantability!$B:$E,4,0)),AC1442,0)</f>
        <v>#N/A</v>
      </c>
      <c r="AI1442" s="104" t="e">
        <f t="shared" si="654"/>
        <v>#N/A</v>
      </c>
      <c r="AJ1442" s="104" t="e">
        <f t="shared" si="655"/>
        <v>#VALUE!</v>
      </c>
      <c r="AK1442" s="104" t="e">
        <f t="shared" si="656"/>
        <v>#N/A</v>
      </c>
      <c r="AL1442" s="104" t="e">
        <f t="shared" si="657"/>
        <v>#N/A</v>
      </c>
      <c r="AM1442" s="104" t="e">
        <f t="shared" si="658"/>
        <v>#N/A</v>
      </c>
      <c r="AN1442" s="104" t="e">
        <f t="shared" si="642"/>
        <v>#N/A</v>
      </c>
      <c r="AO1442" s="104" t="e">
        <f t="shared" si="643"/>
        <v>#N/A</v>
      </c>
      <c r="AP1442" s="104" t="e">
        <f t="shared" si="644"/>
        <v>#N/A</v>
      </c>
      <c r="AQ1442" s="104" t="e">
        <f t="shared" si="645"/>
        <v>#N/A</v>
      </c>
      <c r="AR1442" s="105" t="str">
        <f t="shared" si="637"/>
        <v/>
      </c>
      <c r="AS1442" s="105" t="str">
        <f t="shared" si="638"/>
        <v/>
      </c>
      <c r="AT1442" s="108" t="str">
        <f t="shared" si="639"/>
        <v/>
      </c>
      <c r="AU1442" s="108" t="str">
        <f t="shared" si="640"/>
        <v/>
      </c>
      <c r="AV1442" s="107" t="str">
        <f>IF(ISNUMBER(O1442),IF(VLOOKUP($A1442,Stand!C:J,8,FALSE)="Short",AT1442,AU1442),"")</f>
        <v/>
      </c>
      <c r="AW1442" s="109" t="str">
        <f t="shared" si="646"/>
        <v/>
      </c>
      <c r="AX1442" s="109" t="str">
        <f t="shared" si="647"/>
        <v/>
      </c>
      <c r="AY1442" s="112" t="str">
        <f>IF(ISNUMBER(O1442),IF(AND(VLOOKUP($D1442,Merchantability!$B:$C,2,0)="Yes",$E1442&gt;=VLOOKUP($D1442,Merchantability!$B:$D,3,0),$E1442&lt;=VLOOKUP($D1442,Merchantability!$B:$E,4,0)),(AV1442*O1442)*(1-$H1442/100),""),"")</f>
        <v/>
      </c>
      <c r="AZ1442" s="116"/>
      <c r="BA1442" s="116"/>
      <c r="BB1442" s="116"/>
      <c r="BE1442" s="62"/>
      <c r="BF1442" s="63"/>
    </row>
    <row r="1443" spans="1:58" ht="12.75" customHeight="1" x14ac:dyDescent="0.25">
      <c r="A1443" s="333"/>
      <c r="B1443" s="334"/>
      <c r="C1443" s="332"/>
      <c r="D1443" s="334"/>
      <c r="E1443" s="335"/>
      <c r="F1443" s="334"/>
      <c r="G1443" s="332"/>
      <c r="H1443" s="332"/>
      <c r="I1443" s="334"/>
      <c r="J1443" s="336"/>
      <c r="K1443" s="332"/>
      <c r="L1443" s="332"/>
      <c r="M1443" s="76"/>
      <c r="N1443" s="103" t="str">
        <f>IF(A1443="","",VLOOKUP(A1443,Stand!C:K,9,0))</f>
        <v/>
      </c>
      <c r="O1443" s="104" t="str">
        <f t="shared" si="632"/>
        <v/>
      </c>
      <c r="P1443" s="105" t="str">
        <f t="shared" si="633"/>
        <v/>
      </c>
      <c r="Q1443" s="105" t="str">
        <f t="shared" si="648"/>
        <v/>
      </c>
      <c r="R1443" s="103" t="str">
        <f t="shared" si="634"/>
        <v/>
      </c>
      <c r="S1443" s="103" t="str">
        <f t="shared" si="635"/>
        <v/>
      </c>
      <c r="T1443" s="106" t="str">
        <f t="shared" si="649"/>
        <v/>
      </c>
      <c r="U1443" s="106" t="str">
        <f t="shared" si="650"/>
        <v/>
      </c>
      <c r="V1443" s="106" t="str">
        <f t="shared" si="651"/>
        <v/>
      </c>
      <c r="W1443" s="105" t="str">
        <f t="shared" si="636"/>
        <v/>
      </c>
      <c r="X1443" s="104" t="str">
        <f t="shared" si="641"/>
        <v/>
      </c>
      <c r="Y1443" s="104" t="str">
        <f t="array" ref="Y1443">IFERROR(IF(ISNUMBER(O1443),IF(COUNT(IF(A1443=$A$2:$A$2427,IF(D1443=$D$2:$D$2427,IF($X$2:$X$2427&gt;0,1))))&gt;0,SUM(IF(A1443=$A$2:$A$2427,IF(D1443=$D$2:$D$2427,$X$2:$X$2427)))/COUNT(IF(A1443=$A$2:$A$2427,IF(D1443=$D$2:$D$2427,IF(ISNUMBER($X$2:$X$2427),1)))),0),""),0)</f>
        <v/>
      </c>
      <c r="Z1443" s="104" t="str">
        <f>IF(ISNUMBER(O1443),IF(I1443&gt;0,(10^(VLOOKUP(D1443,'Species Codes'!B:C,2,0)+VLOOKUP(D1443,'Species Codes'!B:D,3,0)*LOG(E1443)+VLOOKUP(D1443,'Species Codes'!B:E,4,0)*LOG(I1443))),0),"")</f>
        <v/>
      </c>
      <c r="AA1443" s="104" t="str">
        <f>IFERROR((VLOOKUP(D1443,'Species Codes'!B:G,6,0)*Z1443)/2000,"")</f>
        <v/>
      </c>
      <c r="AB1443" s="104" t="e">
        <f>IF(Z1443&gt;0,((IF(OR(D1443="DF",D1443="RA")=TRUE,EXP(VLOOKUP(D1443,'Species Codes'!B:I,8,0)+VLOOKUP(D1443,'Species Codes'!B:J,9,0)*(LN((E1443*2.54)))),IF(OR(D1443="PY",D1443="RC",D1443="WH",D1443="NF")=TRUE,VLOOKUP(D1443,'Species Codes'!B:I,8,0)+VLOOKUP(D1443,'Species Codes'!B:J,9,0)*((E1443*2.54)^2)*(I1443*0.3048),IF(OR(D1443="MD",D1443="BM",D1443="GA")=TRUE,((VLOOKUP(D1443,'Species Codes'!B:I,8,0)*(((((E1443*2.54)+VLOOKUP(D1443,'Species Codes'!B:J,9,0))/VLOOKUP(D1443,'Species Codes'!B:K,10,0))^VLOOKUP(D1443,'Species Codes'!B:L,11,0))*((I1443*0.3048)^VLOOKUP(D1443,'Species Codes'!B:M,12,0))))-(VLOOKUP(D1443,'Species Codes'!B:I,8,0)*((((E1443*2.54)^VLOOKUP(D1443,'Species Codes'!B:L,11,0))*((I1443*0.3048)^VLOOKUP(D1443,'Species Codes'!B:M,12,0))))))*35.3*VLOOKUP(D1443,'Species Codes'!B:G,6,0)/2.2046,VLOOKUP(D1443,'Species Codes'!B:I,8,0)+VLOOKUP(D1443,'Species Codes'!B:J,9,0)*(((E1443*2.54)/100)^2)*(I1443*0.3048)))))*0.0011023),0)</f>
        <v>#N/A</v>
      </c>
      <c r="AC1443" s="104" t="e">
        <f>IF(Z1443&gt;0,((IF(OR(D1443="RA",D1443="OA",D1443="OT",D1443="UN",D1443="PC"),EXP(VLOOKUP(D1443,'Species Codes'!B:O,14,0)+VLOOKUP(D1443,'Species Codes'!B:P,15,0)*LN((E1443*2.54)))-EXP(VLOOKUP(D1443,'Species Codes'!B:O,14,0)+VLOOKUP(D1443,'Species Codes'!B:P,15,0)*LN((E1443*2.54)))*(1/(VLOOKUP(D1443,'Species Codes'!B:Q,16,0)+VLOOKUP(D1443,'Species Codes'!B:R,17,0)*((E1443*2.54)^VLOOKUP(D1443,'Species Codes'!B:S,18,0)))),IF(OR(D1443="BM",D1443="MD",D1443="OA"),EXP(VLOOKUP(D1443,'Species Codes'!B:O,14,0)+VLOOKUP(D1443,'Species Codes'!B:P,15,0)*LN((E1443*2.54)))*(1-(1/(VLOOKUP(D1443,'Species Codes'!B:Q,16,0)+VLOOKUP(D1443,'Species Codes'!B:R,17,0)*((E1443*2.54)^VLOOKUP(D1443,'Species Codes'!B:S,18,0)))))/1000,IF(D1443="DF",EXP(VLOOKUP(D1443,'Species Codes'!B:O,14,0)+VLOOKUP(D1443,'Species Codes'!B:P,15,0)*LN((E1443*2.54))),VLOOKUP(D1443,'Species Codes'!B:O,14,0)+VLOOKUP(D1443,'Species Codes'!B:P,15,0)*(((E1443*2.54)/100)^2)*(I1443*0.3048)))))*0.0011023),0)</f>
        <v>#N/A</v>
      </c>
      <c r="AD1443" s="104" t="e">
        <f t="shared" si="652"/>
        <v>#N/A</v>
      </c>
      <c r="AE1443" s="104" t="e">
        <f t="shared" si="653"/>
        <v>#N/A</v>
      </c>
      <c r="AF1443" s="104" t="e">
        <f>IF(AND(VLOOKUP($D1443,Merchantability!$B:$C,2,0)="Yes",$E1443&gt;=VLOOKUP($D1443,Merchantability!$B:$D,3,0),$E1443&lt;=VLOOKUP($D1443,Merchantability!$B:$E,4,0)),AA1443,0)</f>
        <v>#N/A</v>
      </c>
      <c r="AG1443" s="104" t="e">
        <f>IF(AND(VLOOKUP($D1443,Merchantability!$B:$C,2,0)="Yes",$E1443&gt;=VLOOKUP($D1443,Merchantability!$B:$D,3,0),$E1443&lt;=VLOOKUP($D1443,Merchantability!$B:$E,4,0)),AB1443,0)</f>
        <v>#N/A</v>
      </c>
      <c r="AH1443" s="104" t="e">
        <f>IF(AND(VLOOKUP($D1443,Merchantability!$B:$C,2,0)="Yes",$E1443&gt;=VLOOKUP($D1443,Merchantability!$B:$D,3,0),$E1443&lt;=VLOOKUP($D1443,Merchantability!$B:$E,4,0)),AC1443,0)</f>
        <v>#N/A</v>
      </c>
      <c r="AI1443" s="104" t="e">
        <f t="shared" si="654"/>
        <v>#N/A</v>
      </c>
      <c r="AJ1443" s="104" t="e">
        <f t="shared" si="655"/>
        <v>#VALUE!</v>
      </c>
      <c r="AK1443" s="104" t="e">
        <f t="shared" si="656"/>
        <v>#N/A</v>
      </c>
      <c r="AL1443" s="104" t="e">
        <f t="shared" si="657"/>
        <v>#N/A</v>
      </c>
      <c r="AM1443" s="104" t="e">
        <f t="shared" si="658"/>
        <v>#N/A</v>
      </c>
      <c r="AN1443" s="104" t="e">
        <f t="shared" si="642"/>
        <v>#N/A</v>
      </c>
      <c r="AO1443" s="104" t="e">
        <f t="shared" si="643"/>
        <v>#N/A</v>
      </c>
      <c r="AP1443" s="104" t="e">
        <f t="shared" si="644"/>
        <v>#N/A</v>
      </c>
      <c r="AQ1443" s="104" t="e">
        <f t="shared" si="645"/>
        <v>#N/A</v>
      </c>
      <c r="AR1443" s="105" t="str">
        <f t="shared" si="637"/>
        <v/>
      </c>
      <c r="AS1443" s="105" t="str">
        <f t="shared" si="638"/>
        <v/>
      </c>
      <c r="AT1443" s="108" t="str">
        <f t="shared" si="639"/>
        <v/>
      </c>
      <c r="AU1443" s="108" t="str">
        <f t="shared" si="640"/>
        <v/>
      </c>
      <c r="AV1443" s="107" t="str">
        <f>IF(ISNUMBER(O1443),IF(VLOOKUP($A1443,Stand!C:J,8,FALSE)="Short",AT1443,AU1443),"")</f>
        <v/>
      </c>
      <c r="AW1443" s="109" t="str">
        <f t="shared" si="646"/>
        <v/>
      </c>
      <c r="AX1443" s="109" t="str">
        <f t="shared" si="647"/>
        <v/>
      </c>
      <c r="AY1443" s="112" t="str">
        <f>IF(ISNUMBER(O1443),IF(AND(VLOOKUP($D1443,Merchantability!$B:$C,2,0)="Yes",$E1443&gt;=VLOOKUP($D1443,Merchantability!$B:$D,3,0),$E1443&lt;=VLOOKUP($D1443,Merchantability!$B:$E,4,0)),(AV1443*O1443)*(1-$H1443/100),""),"")</f>
        <v/>
      </c>
      <c r="AZ1443" s="116"/>
      <c r="BA1443" s="116"/>
      <c r="BB1443" s="116"/>
      <c r="BE1443" s="62"/>
      <c r="BF1443" s="63"/>
    </row>
    <row r="1444" spans="1:58" ht="12.75" customHeight="1" x14ac:dyDescent="0.25">
      <c r="A1444" s="333"/>
      <c r="B1444" s="334"/>
      <c r="C1444" s="332"/>
      <c r="D1444" s="334"/>
      <c r="E1444" s="335"/>
      <c r="F1444" s="334"/>
      <c r="G1444" s="332"/>
      <c r="H1444" s="332"/>
      <c r="I1444" s="334"/>
      <c r="J1444" s="336"/>
      <c r="K1444" s="332"/>
      <c r="L1444" s="332"/>
      <c r="M1444" s="76"/>
      <c r="N1444" s="103" t="str">
        <f>IF(A1444="","",VLOOKUP(A1444,Stand!C:K,9,0))</f>
        <v/>
      </c>
      <c r="O1444" s="104" t="str">
        <f t="shared" si="632"/>
        <v/>
      </c>
      <c r="P1444" s="105" t="str">
        <f t="shared" si="633"/>
        <v/>
      </c>
      <c r="Q1444" s="105" t="str">
        <f t="shared" si="648"/>
        <v/>
      </c>
      <c r="R1444" s="103" t="str">
        <f t="shared" si="634"/>
        <v/>
      </c>
      <c r="S1444" s="103" t="str">
        <f t="shared" si="635"/>
        <v/>
      </c>
      <c r="T1444" s="106" t="str">
        <f t="shared" si="649"/>
        <v/>
      </c>
      <c r="U1444" s="106" t="str">
        <f t="shared" si="650"/>
        <v/>
      </c>
      <c r="V1444" s="106" t="str">
        <f t="shared" si="651"/>
        <v/>
      </c>
      <c r="W1444" s="105" t="str">
        <f t="shared" si="636"/>
        <v/>
      </c>
      <c r="X1444" s="104" t="str">
        <f t="shared" si="641"/>
        <v/>
      </c>
      <c r="Y1444" s="104" t="str">
        <f t="array" ref="Y1444">IFERROR(IF(ISNUMBER(O1444),IF(COUNT(IF(A1444=$A$2:$A$2427,IF(D1444=$D$2:$D$2427,IF($X$2:$X$2427&gt;0,1))))&gt;0,SUM(IF(A1444=$A$2:$A$2427,IF(D1444=$D$2:$D$2427,$X$2:$X$2427)))/COUNT(IF(A1444=$A$2:$A$2427,IF(D1444=$D$2:$D$2427,IF(ISNUMBER($X$2:$X$2427),1)))),0),""),0)</f>
        <v/>
      </c>
      <c r="Z1444" s="104" t="str">
        <f>IF(ISNUMBER(O1444),IF(I1444&gt;0,(10^(VLOOKUP(D1444,'Species Codes'!B:C,2,0)+VLOOKUP(D1444,'Species Codes'!B:D,3,0)*LOG(E1444)+VLOOKUP(D1444,'Species Codes'!B:E,4,0)*LOG(I1444))),0),"")</f>
        <v/>
      </c>
      <c r="AA1444" s="104" t="str">
        <f>IFERROR((VLOOKUP(D1444,'Species Codes'!B:G,6,0)*Z1444)/2000,"")</f>
        <v/>
      </c>
      <c r="AB1444" s="104" t="e">
        <f>IF(Z1444&gt;0,((IF(OR(D1444="DF",D1444="RA")=TRUE,EXP(VLOOKUP(D1444,'Species Codes'!B:I,8,0)+VLOOKUP(D1444,'Species Codes'!B:J,9,0)*(LN((E1444*2.54)))),IF(OR(D1444="PY",D1444="RC",D1444="WH",D1444="NF")=TRUE,VLOOKUP(D1444,'Species Codes'!B:I,8,0)+VLOOKUP(D1444,'Species Codes'!B:J,9,0)*((E1444*2.54)^2)*(I1444*0.3048),IF(OR(D1444="MD",D1444="BM",D1444="GA")=TRUE,((VLOOKUP(D1444,'Species Codes'!B:I,8,0)*(((((E1444*2.54)+VLOOKUP(D1444,'Species Codes'!B:J,9,0))/VLOOKUP(D1444,'Species Codes'!B:K,10,0))^VLOOKUP(D1444,'Species Codes'!B:L,11,0))*((I1444*0.3048)^VLOOKUP(D1444,'Species Codes'!B:M,12,0))))-(VLOOKUP(D1444,'Species Codes'!B:I,8,0)*((((E1444*2.54)^VLOOKUP(D1444,'Species Codes'!B:L,11,0))*((I1444*0.3048)^VLOOKUP(D1444,'Species Codes'!B:M,12,0))))))*35.3*VLOOKUP(D1444,'Species Codes'!B:G,6,0)/2.2046,VLOOKUP(D1444,'Species Codes'!B:I,8,0)+VLOOKUP(D1444,'Species Codes'!B:J,9,0)*(((E1444*2.54)/100)^2)*(I1444*0.3048)))))*0.0011023),0)</f>
        <v>#N/A</v>
      </c>
      <c r="AC1444" s="104" t="e">
        <f>IF(Z1444&gt;0,((IF(OR(D1444="RA",D1444="OA",D1444="OT",D1444="UN",D1444="PC"),EXP(VLOOKUP(D1444,'Species Codes'!B:O,14,0)+VLOOKUP(D1444,'Species Codes'!B:P,15,0)*LN((E1444*2.54)))-EXP(VLOOKUP(D1444,'Species Codes'!B:O,14,0)+VLOOKUP(D1444,'Species Codes'!B:P,15,0)*LN((E1444*2.54)))*(1/(VLOOKUP(D1444,'Species Codes'!B:Q,16,0)+VLOOKUP(D1444,'Species Codes'!B:R,17,0)*((E1444*2.54)^VLOOKUP(D1444,'Species Codes'!B:S,18,0)))),IF(OR(D1444="BM",D1444="MD",D1444="OA"),EXP(VLOOKUP(D1444,'Species Codes'!B:O,14,0)+VLOOKUP(D1444,'Species Codes'!B:P,15,0)*LN((E1444*2.54)))*(1-(1/(VLOOKUP(D1444,'Species Codes'!B:Q,16,0)+VLOOKUP(D1444,'Species Codes'!B:R,17,0)*((E1444*2.54)^VLOOKUP(D1444,'Species Codes'!B:S,18,0)))))/1000,IF(D1444="DF",EXP(VLOOKUP(D1444,'Species Codes'!B:O,14,0)+VLOOKUP(D1444,'Species Codes'!B:P,15,0)*LN((E1444*2.54))),VLOOKUP(D1444,'Species Codes'!B:O,14,0)+VLOOKUP(D1444,'Species Codes'!B:P,15,0)*(((E1444*2.54)/100)^2)*(I1444*0.3048)))))*0.0011023),0)</f>
        <v>#N/A</v>
      </c>
      <c r="AD1444" s="104" t="e">
        <f t="shared" si="652"/>
        <v>#N/A</v>
      </c>
      <c r="AE1444" s="104" t="e">
        <f t="shared" si="653"/>
        <v>#N/A</v>
      </c>
      <c r="AF1444" s="104" t="e">
        <f>IF(AND(VLOOKUP($D1444,Merchantability!$B:$C,2,0)="Yes",$E1444&gt;=VLOOKUP($D1444,Merchantability!$B:$D,3,0),$E1444&lt;=VLOOKUP($D1444,Merchantability!$B:$E,4,0)),AA1444,0)</f>
        <v>#N/A</v>
      </c>
      <c r="AG1444" s="104" t="e">
        <f>IF(AND(VLOOKUP($D1444,Merchantability!$B:$C,2,0)="Yes",$E1444&gt;=VLOOKUP($D1444,Merchantability!$B:$D,3,0),$E1444&lt;=VLOOKUP($D1444,Merchantability!$B:$E,4,0)),AB1444,0)</f>
        <v>#N/A</v>
      </c>
      <c r="AH1444" s="104" t="e">
        <f>IF(AND(VLOOKUP($D1444,Merchantability!$B:$C,2,0)="Yes",$E1444&gt;=VLOOKUP($D1444,Merchantability!$B:$D,3,0),$E1444&lt;=VLOOKUP($D1444,Merchantability!$B:$E,4,0)),AC1444,0)</f>
        <v>#N/A</v>
      </c>
      <c r="AI1444" s="104" t="e">
        <f t="shared" si="654"/>
        <v>#N/A</v>
      </c>
      <c r="AJ1444" s="104" t="e">
        <f t="shared" si="655"/>
        <v>#VALUE!</v>
      </c>
      <c r="AK1444" s="104" t="e">
        <f t="shared" si="656"/>
        <v>#N/A</v>
      </c>
      <c r="AL1444" s="104" t="e">
        <f t="shared" si="657"/>
        <v>#N/A</v>
      </c>
      <c r="AM1444" s="104" t="e">
        <f t="shared" si="658"/>
        <v>#N/A</v>
      </c>
      <c r="AN1444" s="104" t="e">
        <f t="shared" si="642"/>
        <v>#N/A</v>
      </c>
      <c r="AO1444" s="104" t="e">
        <f t="shared" si="643"/>
        <v>#N/A</v>
      </c>
      <c r="AP1444" s="104" t="e">
        <f t="shared" si="644"/>
        <v>#N/A</v>
      </c>
      <c r="AQ1444" s="104" t="e">
        <f t="shared" si="645"/>
        <v>#N/A</v>
      </c>
      <c r="AR1444" s="105" t="str">
        <f t="shared" si="637"/>
        <v/>
      </c>
      <c r="AS1444" s="105" t="str">
        <f t="shared" si="638"/>
        <v/>
      </c>
      <c r="AT1444" s="108" t="str">
        <f t="shared" si="639"/>
        <v/>
      </c>
      <c r="AU1444" s="108" t="str">
        <f t="shared" si="640"/>
        <v/>
      </c>
      <c r="AV1444" s="107" t="str">
        <f>IF(ISNUMBER(O1444),IF(VLOOKUP($A1444,Stand!C:J,8,FALSE)="Short",AT1444,AU1444),"")</f>
        <v/>
      </c>
      <c r="AW1444" s="109" t="str">
        <f t="shared" si="646"/>
        <v/>
      </c>
      <c r="AX1444" s="109" t="str">
        <f t="shared" si="647"/>
        <v/>
      </c>
      <c r="AY1444" s="112" t="str">
        <f>IF(ISNUMBER(O1444),IF(AND(VLOOKUP($D1444,Merchantability!$B:$C,2,0)="Yes",$E1444&gt;=VLOOKUP($D1444,Merchantability!$B:$D,3,0),$E1444&lt;=VLOOKUP($D1444,Merchantability!$B:$E,4,0)),(AV1444*O1444)*(1-$H1444/100),""),"")</f>
        <v/>
      </c>
      <c r="AZ1444" s="116"/>
      <c r="BA1444" s="116"/>
      <c r="BB1444" s="116"/>
      <c r="BE1444" s="62"/>
      <c r="BF1444" s="63"/>
    </row>
    <row r="1445" spans="1:58" ht="12.75" customHeight="1" x14ac:dyDescent="0.25">
      <c r="A1445" s="333"/>
      <c r="B1445" s="334"/>
      <c r="C1445" s="332"/>
      <c r="D1445" s="334"/>
      <c r="E1445" s="335"/>
      <c r="F1445" s="334"/>
      <c r="G1445" s="332"/>
      <c r="H1445" s="332"/>
      <c r="I1445" s="334"/>
      <c r="J1445" s="336"/>
      <c r="K1445" s="332"/>
      <c r="L1445" s="332"/>
      <c r="M1445" s="76"/>
      <c r="N1445" s="103" t="str">
        <f>IF(A1445="","",VLOOKUP(A1445,Stand!C:K,9,0))</f>
        <v/>
      </c>
      <c r="O1445" s="104" t="str">
        <f t="shared" si="632"/>
        <v/>
      </c>
      <c r="P1445" s="105" t="str">
        <f t="shared" si="633"/>
        <v/>
      </c>
      <c r="Q1445" s="105" t="str">
        <f t="shared" si="648"/>
        <v/>
      </c>
      <c r="R1445" s="103" t="str">
        <f t="shared" si="634"/>
        <v/>
      </c>
      <c r="S1445" s="103" t="str">
        <f t="shared" si="635"/>
        <v/>
      </c>
      <c r="T1445" s="106" t="str">
        <f t="shared" si="649"/>
        <v/>
      </c>
      <c r="U1445" s="106" t="str">
        <f t="shared" si="650"/>
        <v/>
      </c>
      <c r="V1445" s="106" t="str">
        <f t="shared" si="651"/>
        <v/>
      </c>
      <c r="W1445" s="105" t="str">
        <f t="shared" si="636"/>
        <v/>
      </c>
      <c r="X1445" s="104" t="str">
        <f t="shared" si="641"/>
        <v/>
      </c>
      <c r="Y1445" s="104" t="str">
        <f t="array" ref="Y1445">IFERROR(IF(ISNUMBER(O1445),IF(COUNT(IF(A1445=$A$2:$A$2427,IF(D1445=$D$2:$D$2427,IF($X$2:$X$2427&gt;0,1))))&gt;0,SUM(IF(A1445=$A$2:$A$2427,IF(D1445=$D$2:$D$2427,$X$2:$X$2427)))/COUNT(IF(A1445=$A$2:$A$2427,IF(D1445=$D$2:$D$2427,IF(ISNUMBER($X$2:$X$2427),1)))),0),""),0)</f>
        <v/>
      </c>
      <c r="Z1445" s="104" t="str">
        <f>IF(ISNUMBER(O1445),IF(I1445&gt;0,(10^(VLOOKUP(D1445,'Species Codes'!B:C,2,0)+VLOOKUP(D1445,'Species Codes'!B:D,3,0)*LOG(E1445)+VLOOKUP(D1445,'Species Codes'!B:E,4,0)*LOG(I1445))),0),"")</f>
        <v/>
      </c>
      <c r="AA1445" s="104" t="str">
        <f>IFERROR((VLOOKUP(D1445,'Species Codes'!B:G,6,0)*Z1445)/2000,"")</f>
        <v/>
      </c>
      <c r="AB1445" s="104" t="e">
        <f>IF(Z1445&gt;0,((IF(OR(D1445="DF",D1445="RA")=TRUE,EXP(VLOOKUP(D1445,'Species Codes'!B:I,8,0)+VLOOKUP(D1445,'Species Codes'!B:J,9,0)*(LN((E1445*2.54)))),IF(OR(D1445="PY",D1445="RC",D1445="WH",D1445="NF")=TRUE,VLOOKUP(D1445,'Species Codes'!B:I,8,0)+VLOOKUP(D1445,'Species Codes'!B:J,9,0)*((E1445*2.54)^2)*(I1445*0.3048),IF(OR(D1445="MD",D1445="BM",D1445="GA")=TRUE,((VLOOKUP(D1445,'Species Codes'!B:I,8,0)*(((((E1445*2.54)+VLOOKUP(D1445,'Species Codes'!B:J,9,0))/VLOOKUP(D1445,'Species Codes'!B:K,10,0))^VLOOKUP(D1445,'Species Codes'!B:L,11,0))*((I1445*0.3048)^VLOOKUP(D1445,'Species Codes'!B:M,12,0))))-(VLOOKUP(D1445,'Species Codes'!B:I,8,0)*((((E1445*2.54)^VLOOKUP(D1445,'Species Codes'!B:L,11,0))*((I1445*0.3048)^VLOOKUP(D1445,'Species Codes'!B:M,12,0))))))*35.3*VLOOKUP(D1445,'Species Codes'!B:G,6,0)/2.2046,VLOOKUP(D1445,'Species Codes'!B:I,8,0)+VLOOKUP(D1445,'Species Codes'!B:J,9,0)*(((E1445*2.54)/100)^2)*(I1445*0.3048)))))*0.0011023),0)</f>
        <v>#N/A</v>
      </c>
      <c r="AC1445" s="104" t="e">
        <f>IF(Z1445&gt;0,((IF(OR(D1445="RA",D1445="OA",D1445="OT",D1445="UN",D1445="PC"),EXP(VLOOKUP(D1445,'Species Codes'!B:O,14,0)+VLOOKUP(D1445,'Species Codes'!B:P,15,0)*LN((E1445*2.54)))-EXP(VLOOKUP(D1445,'Species Codes'!B:O,14,0)+VLOOKUP(D1445,'Species Codes'!B:P,15,0)*LN((E1445*2.54)))*(1/(VLOOKUP(D1445,'Species Codes'!B:Q,16,0)+VLOOKUP(D1445,'Species Codes'!B:R,17,0)*((E1445*2.54)^VLOOKUP(D1445,'Species Codes'!B:S,18,0)))),IF(OR(D1445="BM",D1445="MD",D1445="OA"),EXP(VLOOKUP(D1445,'Species Codes'!B:O,14,0)+VLOOKUP(D1445,'Species Codes'!B:P,15,0)*LN((E1445*2.54)))*(1-(1/(VLOOKUP(D1445,'Species Codes'!B:Q,16,0)+VLOOKUP(D1445,'Species Codes'!B:R,17,0)*((E1445*2.54)^VLOOKUP(D1445,'Species Codes'!B:S,18,0)))))/1000,IF(D1445="DF",EXP(VLOOKUP(D1445,'Species Codes'!B:O,14,0)+VLOOKUP(D1445,'Species Codes'!B:P,15,0)*LN((E1445*2.54))),VLOOKUP(D1445,'Species Codes'!B:O,14,0)+VLOOKUP(D1445,'Species Codes'!B:P,15,0)*(((E1445*2.54)/100)^2)*(I1445*0.3048)))))*0.0011023),0)</f>
        <v>#N/A</v>
      </c>
      <c r="AD1445" s="104" t="e">
        <f t="shared" si="652"/>
        <v>#N/A</v>
      </c>
      <c r="AE1445" s="104" t="e">
        <f t="shared" si="653"/>
        <v>#N/A</v>
      </c>
      <c r="AF1445" s="104" t="e">
        <f>IF(AND(VLOOKUP($D1445,Merchantability!$B:$C,2,0)="Yes",$E1445&gt;=VLOOKUP($D1445,Merchantability!$B:$D,3,0),$E1445&lt;=VLOOKUP($D1445,Merchantability!$B:$E,4,0)),AA1445,0)</f>
        <v>#N/A</v>
      </c>
      <c r="AG1445" s="104" t="e">
        <f>IF(AND(VLOOKUP($D1445,Merchantability!$B:$C,2,0)="Yes",$E1445&gt;=VLOOKUP($D1445,Merchantability!$B:$D,3,0),$E1445&lt;=VLOOKUP($D1445,Merchantability!$B:$E,4,0)),AB1445,0)</f>
        <v>#N/A</v>
      </c>
      <c r="AH1445" s="104" t="e">
        <f>IF(AND(VLOOKUP($D1445,Merchantability!$B:$C,2,0)="Yes",$E1445&gt;=VLOOKUP($D1445,Merchantability!$B:$D,3,0),$E1445&lt;=VLOOKUP($D1445,Merchantability!$B:$E,4,0)),AC1445,0)</f>
        <v>#N/A</v>
      </c>
      <c r="AI1445" s="104" t="e">
        <f t="shared" si="654"/>
        <v>#N/A</v>
      </c>
      <c r="AJ1445" s="104" t="e">
        <f t="shared" si="655"/>
        <v>#VALUE!</v>
      </c>
      <c r="AK1445" s="104" t="e">
        <f t="shared" si="656"/>
        <v>#N/A</v>
      </c>
      <c r="AL1445" s="104" t="e">
        <f t="shared" si="657"/>
        <v>#N/A</v>
      </c>
      <c r="AM1445" s="104" t="e">
        <f t="shared" si="658"/>
        <v>#N/A</v>
      </c>
      <c r="AN1445" s="104" t="e">
        <f t="shared" si="642"/>
        <v>#N/A</v>
      </c>
      <c r="AO1445" s="104" t="e">
        <f t="shared" si="643"/>
        <v>#N/A</v>
      </c>
      <c r="AP1445" s="104" t="e">
        <f t="shared" si="644"/>
        <v>#N/A</v>
      </c>
      <c r="AQ1445" s="104" t="e">
        <f t="shared" si="645"/>
        <v>#N/A</v>
      </c>
      <c r="AR1445" s="105" t="str">
        <f t="shared" si="637"/>
        <v/>
      </c>
      <c r="AS1445" s="105" t="str">
        <f t="shared" si="638"/>
        <v/>
      </c>
      <c r="AT1445" s="108" t="str">
        <f t="shared" si="639"/>
        <v/>
      </c>
      <c r="AU1445" s="108" t="str">
        <f t="shared" si="640"/>
        <v/>
      </c>
      <c r="AV1445" s="107" t="str">
        <f>IF(ISNUMBER(O1445),IF(VLOOKUP($A1445,Stand!C:J,8,FALSE)="Short",AT1445,AU1445),"")</f>
        <v/>
      </c>
      <c r="AW1445" s="109" t="str">
        <f t="shared" si="646"/>
        <v/>
      </c>
      <c r="AX1445" s="109" t="str">
        <f t="shared" si="647"/>
        <v/>
      </c>
      <c r="AY1445" s="112" t="str">
        <f>IF(ISNUMBER(O1445),IF(AND(VLOOKUP($D1445,Merchantability!$B:$C,2,0)="Yes",$E1445&gt;=VLOOKUP($D1445,Merchantability!$B:$D,3,0),$E1445&lt;=VLOOKUP($D1445,Merchantability!$B:$E,4,0)),(AV1445*O1445)*(1-$H1445/100),""),"")</f>
        <v/>
      </c>
      <c r="AZ1445" s="116"/>
      <c r="BA1445" s="116"/>
      <c r="BB1445" s="116"/>
      <c r="BE1445" s="62"/>
      <c r="BF1445" s="63"/>
    </row>
    <row r="1446" spans="1:58" ht="12.75" customHeight="1" x14ac:dyDescent="0.25">
      <c r="A1446" s="333"/>
      <c r="B1446" s="334"/>
      <c r="C1446" s="332"/>
      <c r="D1446" s="334"/>
      <c r="E1446" s="335"/>
      <c r="F1446" s="334"/>
      <c r="G1446" s="332"/>
      <c r="H1446" s="332"/>
      <c r="I1446" s="334"/>
      <c r="J1446" s="336"/>
      <c r="K1446" s="332"/>
      <c r="L1446" s="332"/>
      <c r="M1446" s="76"/>
      <c r="N1446" s="103" t="str">
        <f>IF(A1446="","",VLOOKUP(A1446,Stand!C:K,9,0))</f>
        <v/>
      </c>
      <c r="O1446" s="104" t="str">
        <f t="shared" si="632"/>
        <v/>
      </c>
      <c r="P1446" s="105" t="str">
        <f t="shared" si="633"/>
        <v/>
      </c>
      <c r="Q1446" s="105" t="str">
        <f t="shared" si="648"/>
        <v/>
      </c>
      <c r="R1446" s="103" t="str">
        <f t="shared" si="634"/>
        <v/>
      </c>
      <c r="S1446" s="103" t="str">
        <f t="shared" si="635"/>
        <v/>
      </c>
      <c r="T1446" s="106" t="str">
        <f t="shared" si="649"/>
        <v/>
      </c>
      <c r="U1446" s="106" t="str">
        <f t="shared" si="650"/>
        <v/>
      </c>
      <c r="V1446" s="106" t="str">
        <f t="shared" si="651"/>
        <v/>
      </c>
      <c r="W1446" s="105" t="str">
        <f t="shared" si="636"/>
        <v/>
      </c>
      <c r="X1446" s="104" t="str">
        <f t="shared" si="641"/>
        <v/>
      </c>
      <c r="Y1446" s="104" t="str">
        <f t="array" ref="Y1446">IFERROR(IF(ISNUMBER(O1446),IF(COUNT(IF(A1446=$A$2:$A$2427,IF(D1446=$D$2:$D$2427,IF($X$2:$X$2427&gt;0,1))))&gt;0,SUM(IF(A1446=$A$2:$A$2427,IF(D1446=$D$2:$D$2427,$X$2:$X$2427)))/COUNT(IF(A1446=$A$2:$A$2427,IF(D1446=$D$2:$D$2427,IF(ISNUMBER($X$2:$X$2427),1)))),0),""),0)</f>
        <v/>
      </c>
      <c r="Z1446" s="104" t="str">
        <f>IF(ISNUMBER(O1446),IF(I1446&gt;0,(10^(VLOOKUP(D1446,'Species Codes'!B:C,2,0)+VLOOKUP(D1446,'Species Codes'!B:D,3,0)*LOG(E1446)+VLOOKUP(D1446,'Species Codes'!B:E,4,0)*LOG(I1446))),0),"")</f>
        <v/>
      </c>
      <c r="AA1446" s="104" t="str">
        <f>IFERROR((VLOOKUP(D1446,'Species Codes'!B:G,6,0)*Z1446)/2000,"")</f>
        <v/>
      </c>
      <c r="AB1446" s="104" t="e">
        <f>IF(Z1446&gt;0,((IF(OR(D1446="DF",D1446="RA")=TRUE,EXP(VLOOKUP(D1446,'Species Codes'!B:I,8,0)+VLOOKUP(D1446,'Species Codes'!B:J,9,0)*(LN((E1446*2.54)))),IF(OR(D1446="PY",D1446="RC",D1446="WH",D1446="NF")=TRUE,VLOOKUP(D1446,'Species Codes'!B:I,8,0)+VLOOKUP(D1446,'Species Codes'!B:J,9,0)*((E1446*2.54)^2)*(I1446*0.3048),IF(OR(D1446="MD",D1446="BM",D1446="GA")=TRUE,((VLOOKUP(D1446,'Species Codes'!B:I,8,0)*(((((E1446*2.54)+VLOOKUP(D1446,'Species Codes'!B:J,9,0))/VLOOKUP(D1446,'Species Codes'!B:K,10,0))^VLOOKUP(D1446,'Species Codes'!B:L,11,0))*((I1446*0.3048)^VLOOKUP(D1446,'Species Codes'!B:M,12,0))))-(VLOOKUP(D1446,'Species Codes'!B:I,8,0)*((((E1446*2.54)^VLOOKUP(D1446,'Species Codes'!B:L,11,0))*((I1446*0.3048)^VLOOKUP(D1446,'Species Codes'!B:M,12,0))))))*35.3*VLOOKUP(D1446,'Species Codes'!B:G,6,0)/2.2046,VLOOKUP(D1446,'Species Codes'!B:I,8,0)+VLOOKUP(D1446,'Species Codes'!B:J,9,0)*(((E1446*2.54)/100)^2)*(I1446*0.3048)))))*0.0011023),0)</f>
        <v>#N/A</v>
      </c>
      <c r="AC1446" s="104" t="e">
        <f>IF(Z1446&gt;0,((IF(OR(D1446="RA",D1446="OA",D1446="OT",D1446="UN",D1446="PC"),EXP(VLOOKUP(D1446,'Species Codes'!B:O,14,0)+VLOOKUP(D1446,'Species Codes'!B:P,15,0)*LN((E1446*2.54)))-EXP(VLOOKUP(D1446,'Species Codes'!B:O,14,0)+VLOOKUP(D1446,'Species Codes'!B:P,15,0)*LN((E1446*2.54)))*(1/(VLOOKUP(D1446,'Species Codes'!B:Q,16,0)+VLOOKUP(D1446,'Species Codes'!B:R,17,0)*((E1446*2.54)^VLOOKUP(D1446,'Species Codes'!B:S,18,0)))),IF(OR(D1446="BM",D1446="MD",D1446="OA"),EXP(VLOOKUP(D1446,'Species Codes'!B:O,14,0)+VLOOKUP(D1446,'Species Codes'!B:P,15,0)*LN((E1446*2.54)))*(1-(1/(VLOOKUP(D1446,'Species Codes'!B:Q,16,0)+VLOOKUP(D1446,'Species Codes'!B:R,17,0)*((E1446*2.54)^VLOOKUP(D1446,'Species Codes'!B:S,18,0)))))/1000,IF(D1446="DF",EXP(VLOOKUP(D1446,'Species Codes'!B:O,14,0)+VLOOKUP(D1446,'Species Codes'!B:P,15,0)*LN((E1446*2.54))),VLOOKUP(D1446,'Species Codes'!B:O,14,0)+VLOOKUP(D1446,'Species Codes'!B:P,15,0)*(((E1446*2.54)/100)^2)*(I1446*0.3048)))))*0.0011023),0)</f>
        <v>#N/A</v>
      </c>
      <c r="AD1446" s="104" t="e">
        <f t="shared" si="652"/>
        <v>#N/A</v>
      </c>
      <c r="AE1446" s="104" t="e">
        <f t="shared" si="653"/>
        <v>#N/A</v>
      </c>
      <c r="AF1446" s="104" t="e">
        <f>IF(AND(VLOOKUP($D1446,Merchantability!$B:$C,2,0)="Yes",$E1446&gt;=VLOOKUP($D1446,Merchantability!$B:$D,3,0),$E1446&lt;=VLOOKUP($D1446,Merchantability!$B:$E,4,0)),AA1446,0)</f>
        <v>#N/A</v>
      </c>
      <c r="AG1446" s="104" t="e">
        <f>IF(AND(VLOOKUP($D1446,Merchantability!$B:$C,2,0)="Yes",$E1446&gt;=VLOOKUP($D1446,Merchantability!$B:$D,3,0),$E1446&lt;=VLOOKUP($D1446,Merchantability!$B:$E,4,0)),AB1446,0)</f>
        <v>#N/A</v>
      </c>
      <c r="AH1446" s="104" t="e">
        <f>IF(AND(VLOOKUP($D1446,Merchantability!$B:$C,2,0)="Yes",$E1446&gt;=VLOOKUP($D1446,Merchantability!$B:$D,3,0),$E1446&lt;=VLOOKUP($D1446,Merchantability!$B:$E,4,0)),AC1446,0)</f>
        <v>#N/A</v>
      </c>
      <c r="AI1446" s="104" t="e">
        <f t="shared" si="654"/>
        <v>#N/A</v>
      </c>
      <c r="AJ1446" s="104" t="e">
        <f t="shared" si="655"/>
        <v>#VALUE!</v>
      </c>
      <c r="AK1446" s="104" t="e">
        <f t="shared" si="656"/>
        <v>#N/A</v>
      </c>
      <c r="AL1446" s="104" t="e">
        <f t="shared" si="657"/>
        <v>#N/A</v>
      </c>
      <c r="AM1446" s="104" t="e">
        <f t="shared" si="658"/>
        <v>#N/A</v>
      </c>
      <c r="AN1446" s="104" t="e">
        <f t="shared" si="642"/>
        <v>#N/A</v>
      </c>
      <c r="AO1446" s="104" t="e">
        <f t="shared" si="643"/>
        <v>#N/A</v>
      </c>
      <c r="AP1446" s="104" t="e">
        <f t="shared" si="644"/>
        <v>#N/A</v>
      </c>
      <c r="AQ1446" s="104" t="e">
        <f t="shared" si="645"/>
        <v>#N/A</v>
      </c>
      <c r="AR1446" s="105" t="str">
        <f t="shared" si="637"/>
        <v/>
      </c>
      <c r="AS1446" s="105" t="str">
        <f t="shared" si="638"/>
        <v/>
      </c>
      <c r="AT1446" s="108" t="str">
        <f t="shared" si="639"/>
        <v/>
      </c>
      <c r="AU1446" s="108" t="str">
        <f t="shared" si="640"/>
        <v/>
      </c>
      <c r="AV1446" s="107" t="str">
        <f>IF(ISNUMBER(O1446),IF(VLOOKUP($A1446,Stand!C:J,8,FALSE)="Short",AT1446,AU1446),"")</f>
        <v/>
      </c>
      <c r="AW1446" s="109" t="str">
        <f t="shared" si="646"/>
        <v/>
      </c>
      <c r="AX1446" s="109" t="str">
        <f t="shared" si="647"/>
        <v/>
      </c>
      <c r="AY1446" s="112" t="str">
        <f>IF(ISNUMBER(O1446),IF(AND(VLOOKUP($D1446,Merchantability!$B:$C,2,0)="Yes",$E1446&gt;=VLOOKUP($D1446,Merchantability!$B:$D,3,0),$E1446&lt;=VLOOKUP($D1446,Merchantability!$B:$E,4,0)),(AV1446*O1446)*(1-$H1446/100),""),"")</f>
        <v/>
      </c>
      <c r="AZ1446" s="116"/>
      <c r="BA1446" s="116"/>
      <c r="BB1446" s="116"/>
      <c r="BE1446" s="62"/>
      <c r="BF1446" s="63"/>
    </row>
    <row r="1447" spans="1:58" ht="12.75" customHeight="1" x14ac:dyDescent="0.25">
      <c r="A1447" s="333"/>
      <c r="B1447" s="334"/>
      <c r="C1447" s="332"/>
      <c r="D1447" s="334"/>
      <c r="E1447" s="335"/>
      <c r="F1447" s="334"/>
      <c r="G1447" s="332"/>
      <c r="H1447" s="332"/>
      <c r="I1447" s="334"/>
      <c r="J1447" s="336"/>
      <c r="K1447" s="332"/>
      <c r="L1447" s="332"/>
      <c r="M1447" s="76"/>
      <c r="N1447" s="103" t="str">
        <f>IF(A1447="","",VLOOKUP(A1447,Stand!C:K,9,0))</f>
        <v/>
      </c>
      <c r="O1447" s="104" t="str">
        <f t="shared" si="632"/>
        <v/>
      </c>
      <c r="P1447" s="105" t="str">
        <f t="shared" si="633"/>
        <v/>
      </c>
      <c r="Q1447" s="105" t="str">
        <f t="shared" si="648"/>
        <v/>
      </c>
      <c r="R1447" s="103" t="str">
        <f t="shared" si="634"/>
        <v/>
      </c>
      <c r="S1447" s="103" t="str">
        <f t="shared" si="635"/>
        <v/>
      </c>
      <c r="T1447" s="106" t="str">
        <f t="shared" si="649"/>
        <v/>
      </c>
      <c r="U1447" s="106" t="str">
        <f t="shared" si="650"/>
        <v/>
      </c>
      <c r="V1447" s="106" t="str">
        <f t="shared" si="651"/>
        <v/>
      </c>
      <c r="W1447" s="105" t="str">
        <f t="shared" si="636"/>
        <v/>
      </c>
      <c r="X1447" s="104" t="str">
        <f t="shared" si="641"/>
        <v/>
      </c>
      <c r="Y1447" s="104" t="str">
        <f t="array" ref="Y1447">IFERROR(IF(ISNUMBER(O1447),IF(COUNT(IF(A1447=$A$2:$A$2427,IF(D1447=$D$2:$D$2427,IF($X$2:$X$2427&gt;0,1))))&gt;0,SUM(IF(A1447=$A$2:$A$2427,IF(D1447=$D$2:$D$2427,$X$2:$X$2427)))/COUNT(IF(A1447=$A$2:$A$2427,IF(D1447=$D$2:$D$2427,IF(ISNUMBER($X$2:$X$2427),1)))),0),""),0)</f>
        <v/>
      </c>
      <c r="Z1447" s="104" t="str">
        <f>IF(ISNUMBER(O1447),IF(I1447&gt;0,(10^(VLOOKUP(D1447,'Species Codes'!B:C,2,0)+VLOOKUP(D1447,'Species Codes'!B:D,3,0)*LOG(E1447)+VLOOKUP(D1447,'Species Codes'!B:E,4,0)*LOG(I1447))),0),"")</f>
        <v/>
      </c>
      <c r="AA1447" s="104" t="str">
        <f>IFERROR((VLOOKUP(D1447,'Species Codes'!B:G,6,0)*Z1447)/2000,"")</f>
        <v/>
      </c>
      <c r="AB1447" s="104" t="e">
        <f>IF(Z1447&gt;0,((IF(OR(D1447="DF",D1447="RA")=TRUE,EXP(VLOOKUP(D1447,'Species Codes'!B:I,8,0)+VLOOKUP(D1447,'Species Codes'!B:J,9,0)*(LN((E1447*2.54)))),IF(OR(D1447="PY",D1447="RC",D1447="WH",D1447="NF")=TRUE,VLOOKUP(D1447,'Species Codes'!B:I,8,0)+VLOOKUP(D1447,'Species Codes'!B:J,9,0)*((E1447*2.54)^2)*(I1447*0.3048),IF(OR(D1447="MD",D1447="BM",D1447="GA")=TRUE,((VLOOKUP(D1447,'Species Codes'!B:I,8,0)*(((((E1447*2.54)+VLOOKUP(D1447,'Species Codes'!B:J,9,0))/VLOOKUP(D1447,'Species Codes'!B:K,10,0))^VLOOKUP(D1447,'Species Codes'!B:L,11,0))*((I1447*0.3048)^VLOOKUP(D1447,'Species Codes'!B:M,12,0))))-(VLOOKUP(D1447,'Species Codes'!B:I,8,0)*((((E1447*2.54)^VLOOKUP(D1447,'Species Codes'!B:L,11,0))*((I1447*0.3048)^VLOOKUP(D1447,'Species Codes'!B:M,12,0))))))*35.3*VLOOKUP(D1447,'Species Codes'!B:G,6,0)/2.2046,VLOOKUP(D1447,'Species Codes'!B:I,8,0)+VLOOKUP(D1447,'Species Codes'!B:J,9,0)*(((E1447*2.54)/100)^2)*(I1447*0.3048)))))*0.0011023),0)</f>
        <v>#N/A</v>
      </c>
      <c r="AC1447" s="104" t="e">
        <f>IF(Z1447&gt;0,((IF(OR(D1447="RA",D1447="OA",D1447="OT",D1447="UN",D1447="PC"),EXP(VLOOKUP(D1447,'Species Codes'!B:O,14,0)+VLOOKUP(D1447,'Species Codes'!B:P,15,0)*LN((E1447*2.54)))-EXP(VLOOKUP(D1447,'Species Codes'!B:O,14,0)+VLOOKUP(D1447,'Species Codes'!B:P,15,0)*LN((E1447*2.54)))*(1/(VLOOKUP(D1447,'Species Codes'!B:Q,16,0)+VLOOKUP(D1447,'Species Codes'!B:R,17,0)*((E1447*2.54)^VLOOKUP(D1447,'Species Codes'!B:S,18,0)))),IF(OR(D1447="BM",D1447="MD",D1447="OA"),EXP(VLOOKUP(D1447,'Species Codes'!B:O,14,0)+VLOOKUP(D1447,'Species Codes'!B:P,15,0)*LN((E1447*2.54)))*(1-(1/(VLOOKUP(D1447,'Species Codes'!B:Q,16,0)+VLOOKUP(D1447,'Species Codes'!B:R,17,0)*((E1447*2.54)^VLOOKUP(D1447,'Species Codes'!B:S,18,0)))))/1000,IF(D1447="DF",EXP(VLOOKUP(D1447,'Species Codes'!B:O,14,0)+VLOOKUP(D1447,'Species Codes'!B:P,15,0)*LN((E1447*2.54))),VLOOKUP(D1447,'Species Codes'!B:O,14,0)+VLOOKUP(D1447,'Species Codes'!B:P,15,0)*(((E1447*2.54)/100)^2)*(I1447*0.3048)))))*0.0011023),0)</f>
        <v>#N/A</v>
      </c>
      <c r="AD1447" s="104" t="e">
        <f t="shared" si="652"/>
        <v>#N/A</v>
      </c>
      <c r="AE1447" s="104" t="e">
        <f t="shared" si="653"/>
        <v>#N/A</v>
      </c>
      <c r="AF1447" s="104" t="e">
        <f>IF(AND(VLOOKUP($D1447,Merchantability!$B:$C,2,0)="Yes",$E1447&gt;=VLOOKUP($D1447,Merchantability!$B:$D,3,0),$E1447&lt;=VLOOKUP($D1447,Merchantability!$B:$E,4,0)),AA1447,0)</f>
        <v>#N/A</v>
      </c>
      <c r="AG1447" s="104" t="e">
        <f>IF(AND(VLOOKUP($D1447,Merchantability!$B:$C,2,0)="Yes",$E1447&gt;=VLOOKUP($D1447,Merchantability!$B:$D,3,0),$E1447&lt;=VLOOKUP($D1447,Merchantability!$B:$E,4,0)),AB1447,0)</f>
        <v>#N/A</v>
      </c>
      <c r="AH1447" s="104" t="e">
        <f>IF(AND(VLOOKUP($D1447,Merchantability!$B:$C,2,0)="Yes",$E1447&gt;=VLOOKUP($D1447,Merchantability!$B:$D,3,0),$E1447&lt;=VLOOKUP($D1447,Merchantability!$B:$E,4,0)),AC1447,0)</f>
        <v>#N/A</v>
      </c>
      <c r="AI1447" s="104" t="e">
        <f t="shared" si="654"/>
        <v>#N/A</v>
      </c>
      <c r="AJ1447" s="104" t="e">
        <f t="shared" si="655"/>
        <v>#VALUE!</v>
      </c>
      <c r="AK1447" s="104" t="e">
        <f t="shared" si="656"/>
        <v>#N/A</v>
      </c>
      <c r="AL1447" s="104" t="e">
        <f t="shared" si="657"/>
        <v>#N/A</v>
      </c>
      <c r="AM1447" s="104" t="e">
        <f t="shared" si="658"/>
        <v>#N/A</v>
      </c>
      <c r="AN1447" s="104" t="e">
        <f t="shared" si="642"/>
        <v>#N/A</v>
      </c>
      <c r="AO1447" s="104" t="e">
        <f t="shared" si="643"/>
        <v>#N/A</v>
      </c>
      <c r="AP1447" s="104" t="e">
        <f t="shared" si="644"/>
        <v>#N/A</v>
      </c>
      <c r="AQ1447" s="104" t="e">
        <f t="shared" si="645"/>
        <v>#N/A</v>
      </c>
      <c r="AR1447" s="105" t="str">
        <f t="shared" si="637"/>
        <v/>
      </c>
      <c r="AS1447" s="105" t="str">
        <f t="shared" si="638"/>
        <v/>
      </c>
      <c r="AT1447" s="108" t="str">
        <f t="shared" si="639"/>
        <v/>
      </c>
      <c r="AU1447" s="108" t="str">
        <f t="shared" si="640"/>
        <v/>
      </c>
      <c r="AV1447" s="107" t="str">
        <f>IF(ISNUMBER(O1447),IF(VLOOKUP($A1447,Stand!C:J,8,FALSE)="Short",AT1447,AU1447),"")</f>
        <v/>
      </c>
      <c r="AW1447" s="109" t="str">
        <f t="shared" si="646"/>
        <v/>
      </c>
      <c r="AX1447" s="109" t="str">
        <f t="shared" si="647"/>
        <v/>
      </c>
      <c r="AY1447" s="112" t="str">
        <f>IF(ISNUMBER(O1447),IF(AND(VLOOKUP($D1447,Merchantability!$B:$C,2,0)="Yes",$E1447&gt;=VLOOKUP($D1447,Merchantability!$B:$D,3,0),$E1447&lt;=VLOOKUP($D1447,Merchantability!$B:$E,4,0)),(AV1447*O1447)*(1-$H1447/100),""),"")</f>
        <v/>
      </c>
      <c r="AZ1447" s="116"/>
      <c r="BA1447" s="116"/>
      <c r="BB1447" s="116"/>
      <c r="BE1447" s="62"/>
      <c r="BF1447" s="63"/>
    </row>
    <row r="1448" spans="1:58" ht="12.75" customHeight="1" x14ac:dyDescent="0.25">
      <c r="A1448" s="333"/>
      <c r="B1448" s="334"/>
      <c r="C1448" s="332"/>
      <c r="D1448" s="334"/>
      <c r="E1448" s="335"/>
      <c r="F1448" s="334"/>
      <c r="G1448" s="332"/>
      <c r="H1448" s="332"/>
      <c r="I1448" s="334"/>
      <c r="J1448" s="336"/>
      <c r="K1448" s="332"/>
      <c r="L1448" s="332"/>
      <c r="M1448" s="76"/>
      <c r="N1448" s="103" t="str">
        <f>IF(A1448="","",VLOOKUP(A1448,Stand!C:K,9,0))</f>
        <v/>
      </c>
      <c r="O1448" s="104" t="str">
        <f t="shared" si="632"/>
        <v/>
      </c>
      <c r="P1448" s="105" t="str">
        <f t="shared" si="633"/>
        <v/>
      </c>
      <c r="Q1448" s="105" t="str">
        <f t="shared" si="648"/>
        <v/>
      </c>
      <c r="R1448" s="103" t="str">
        <f t="shared" si="634"/>
        <v/>
      </c>
      <c r="S1448" s="103" t="str">
        <f t="shared" si="635"/>
        <v/>
      </c>
      <c r="T1448" s="106" t="str">
        <f t="shared" si="649"/>
        <v/>
      </c>
      <c r="U1448" s="106" t="str">
        <f t="shared" si="650"/>
        <v/>
      </c>
      <c r="V1448" s="106" t="str">
        <f t="shared" si="651"/>
        <v/>
      </c>
      <c r="W1448" s="105" t="str">
        <f t="shared" si="636"/>
        <v/>
      </c>
      <c r="X1448" s="104" t="str">
        <f t="shared" si="641"/>
        <v/>
      </c>
      <c r="Y1448" s="104" t="str">
        <f t="array" ref="Y1448">IFERROR(IF(ISNUMBER(O1448),IF(COUNT(IF(A1448=$A$2:$A$2427,IF(D1448=$D$2:$D$2427,IF($X$2:$X$2427&gt;0,1))))&gt;0,SUM(IF(A1448=$A$2:$A$2427,IF(D1448=$D$2:$D$2427,$X$2:$X$2427)))/COUNT(IF(A1448=$A$2:$A$2427,IF(D1448=$D$2:$D$2427,IF(ISNUMBER($X$2:$X$2427),1)))),0),""),0)</f>
        <v/>
      </c>
      <c r="Z1448" s="104" t="str">
        <f>IF(ISNUMBER(O1448),IF(I1448&gt;0,(10^(VLOOKUP(D1448,'Species Codes'!B:C,2,0)+VLOOKUP(D1448,'Species Codes'!B:D,3,0)*LOG(E1448)+VLOOKUP(D1448,'Species Codes'!B:E,4,0)*LOG(I1448))),0),"")</f>
        <v/>
      </c>
      <c r="AA1448" s="104" t="str">
        <f>IFERROR((VLOOKUP(D1448,'Species Codes'!B:G,6,0)*Z1448)/2000,"")</f>
        <v/>
      </c>
      <c r="AB1448" s="104" t="e">
        <f>IF(Z1448&gt;0,((IF(OR(D1448="DF",D1448="RA")=TRUE,EXP(VLOOKUP(D1448,'Species Codes'!B:I,8,0)+VLOOKUP(D1448,'Species Codes'!B:J,9,0)*(LN((E1448*2.54)))),IF(OR(D1448="PY",D1448="RC",D1448="WH",D1448="NF")=TRUE,VLOOKUP(D1448,'Species Codes'!B:I,8,0)+VLOOKUP(D1448,'Species Codes'!B:J,9,0)*((E1448*2.54)^2)*(I1448*0.3048),IF(OR(D1448="MD",D1448="BM",D1448="GA")=TRUE,((VLOOKUP(D1448,'Species Codes'!B:I,8,0)*(((((E1448*2.54)+VLOOKUP(D1448,'Species Codes'!B:J,9,0))/VLOOKUP(D1448,'Species Codes'!B:K,10,0))^VLOOKUP(D1448,'Species Codes'!B:L,11,0))*((I1448*0.3048)^VLOOKUP(D1448,'Species Codes'!B:M,12,0))))-(VLOOKUP(D1448,'Species Codes'!B:I,8,0)*((((E1448*2.54)^VLOOKUP(D1448,'Species Codes'!B:L,11,0))*((I1448*0.3048)^VLOOKUP(D1448,'Species Codes'!B:M,12,0))))))*35.3*VLOOKUP(D1448,'Species Codes'!B:G,6,0)/2.2046,VLOOKUP(D1448,'Species Codes'!B:I,8,0)+VLOOKUP(D1448,'Species Codes'!B:J,9,0)*(((E1448*2.54)/100)^2)*(I1448*0.3048)))))*0.0011023),0)</f>
        <v>#N/A</v>
      </c>
      <c r="AC1448" s="104" t="e">
        <f>IF(Z1448&gt;0,((IF(OR(D1448="RA",D1448="OA",D1448="OT",D1448="UN",D1448="PC"),EXP(VLOOKUP(D1448,'Species Codes'!B:O,14,0)+VLOOKUP(D1448,'Species Codes'!B:P,15,0)*LN((E1448*2.54)))-EXP(VLOOKUP(D1448,'Species Codes'!B:O,14,0)+VLOOKUP(D1448,'Species Codes'!B:P,15,0)*LN((E1448*2.54)))*(1/(VLOOKUP(D1448,'Species Codes'!B:Q,16,0)+VLOOKUP(D1448,'Species Codes'!B:R,17,0)*((E1448*2.54)^VLOOKUP(D1448,'Species Codes'!B:S,18,0)))),IF(OR(D1448="BM",D1448="MD",D1448="OA"),EXP(VLOOKUP(D1448,'Species Codes'!B:O,14,0)+VLOOKUP(D1448,'Species Codes'!B:P,15,0)*LN((E1448*2.54)))*(1-(1/(VLOOKUP(D1448,'Species Codes'!B:Q,16,0)+VLOOKUP(D1448,'Species Codes'!B:R,17,0)*((E1448*2.54)^VLOOKUP(D1448,'Species Codes'!B:S,18,0)))))/1000,IF(D1448="DF",EXP(VLOOKUP(D1448,'Species Codes'!B:O,14,0)+VLOOKUP(D1448,'Species Codes'!B:P,15,0)*LN((E1448*2.54))),VLOOKUP(D1448,'Species Codes'!B:O,14,0)+VLOOKUP(D1448,'Species Codes'!B:P,15,0)*(((E1448*2.54)/100)^2)*(I1448*0.3048)))))*0.0011023),0)</f>
        <v>#N/A</v>
      </c>
      <c r="AD1448" s="104" t="e">
        <f t="shared" si="652"/>
        <v>#N/A</v>
      </c>
      <c r="AE1448" s="104" t="e">
        <f t="shared" si="653"/>
        <v>#N/A</v>
      </c>
      <c r="AF1448" s="104" t="e">
        <f>IF(AND(VLOOKUP($D1448,Merchantability!$B:$C,2,0)="Yes",$E1448&gt;=VLOOKUP($D1448,Merchantability!$B:$D,3,0),$E1448&lt;=VLOOKUP($D1448,Merchantability!$B:$E,4,0)),AA1448,0)</f>
        <v>#N/A</v>
      </c>
      <c r="AG1448" s="104" t="e">
        <f>IF(AND(VLOOKUP($D1448,Merchantability!$B:$C,2,0)="Yes",$E1448&gt;=VLOOKUP($D1448,Merchantability!$B:$D,3,0),$E1448&lt;=VLOOKUP($D1448,Merchantability!$B:$E,4,0)),AB1448,0)</f>
        <v>#N/A</v>
      </c>
      <c r="AH1448" s="104" t="e">
        <f>IF(AND(VLOOKUP($D1448,Merchantability!$B:$C,2,0)="Yes",$E1448&gt;=VLOOKUP($D1448,Merchantability!$B:$D,3,0),$E1448&lt;=VLOOKUP($D1448,Merchantability!$B:$E,4,0)),AC1448,0)</f>
        <v>#N/A</v>
      </c>
      <c r="AI1448" s="104" t="e">
        <f t="shared" si="654"/>
        <v>#N/A</v>
      </c>
      <c r="AJ1448" s="104" t="e">
        <f t="shared" si="655"/>
        <v>#VALUE!</v>
      </c>
      <c r="AK1448" s="104" t="e">
        <f t="shared" si="656"/>
        <v>#N/A</v>
      </c>
      <c r="AL1448" s="104" t="e">
        <f t="shared" si="657"/>
        <v>#N/A</v>
      </c>
      <c r="AM1448" s="104" t="e">
        <f t="shared" si="658"/>
        <v>#N/A</v>
      </c>
      <c r="AN1448" s="104" t="e">
        <f t="shared" si="642"/>
        <v>#N/A</v>
      </c>
      <c r="AO1448" s="104" t="e">
        <f t="shared" si="643"/>
        <v>#N/A</v>
      </c>
      <c r="AP1448" s="104" t="e">
        <f t="shared" si="644"/>
        <v>#N/A</v>
      </c>
      <c r="AQ1448" s="104" t="e">
        <f t="shared" si="645"/>
        <v>#N/A</v>
      </c>
      <c r="AR1448" s="105" t="str">
        <f t="shared" si="637"/>
        <v/>
      </c>
      <c r="AS1448" s="105" t="str">
        <f t="shared" si="638"/>
        <v/>
      </c>
      <c r="AT1448" s="108" t="str">
        <f t="shared" si="639"/>
        <v/>
      </c>
      <c r="AU1448" s="108" t="str">
        <f t="shared" si="640"/>
        <v/>
      </c>
      <c r="AV1448" s="107" t="str">
        <f>IF(ISNUMBER(O1448),IF(VLOOKUP($A1448,Stand!C:J,8,FALSE)="Short",AT1448,AU1448),"")</f>
        <v/>
      </c>
      <c r="AW1448" s="109" t="str">
        <f t="shared" si="646"/>
        <v/>
      </c>
      <c r="AX1448" s="109" t="str">
        <f t="shared" si="647"/>
        <v/>
      </c>
      <c r="AY1448" s="112" t="str">
        <f>IF(ISNUMBER(O1448),IF(AND(VLOOKUP($D1448,Merchantability!$B:$C,2,0)="Yes",$E1448&gt;=VLOOKUP($D1448,Merchantability!$B:$D,3,0),$E1448&lt;=VLOOKUP($D1448,Merchantability!$B:$E,4,0)),(AV1448*O1448)*(1-$H1448/100),""),"")</f>
        <v/>
      </c>
      <c r="AZ1448" s="116"/>
      <c r="BA1448" s="116"/>
      <c r="BB1448" s="116"/>
      <c r="BE1448" s="62"/>
      <c r="BF1448" s="63"/>
    </row>
    <row r="1449" spans="1:58" ht="12.75" customHeight="1" x14ac:dyDescent="0.25">
      <c r="A1449" s="333"/>
      <c r="B1449" s="334"/>
      <c r="C1449" s="332"/>
      <c r="D1449" s="334"/>
      <c r="E1449" s="335"/>
      <c r="F1449" s="334"/>
      <c r="G1449" s="332"/>
      <c r="H1449" s="332"/>
      <c r="I1449" s="334"/>
      <c r="J1449" s="336"/>
      <c r="K1449" s="332"/>
      <c r="L1449" s="332"/>
      <c r="M1449" s="76"/>
      <c r="N1449" s="103" t="str">
        <f>IF(A1449="","",VLOOKUP(A1449,Stand!C:K,9,0))</f>
        <v/>
      </c>
      <c r="O1449" s="104" t="str">
        <f t="shared" si="632"/>
        <v/>
      </c>
      <c r="P1449" s="105" t="str">
        <f t="shared" si="633"/>
        <v/>
      </c>
      <c r="Q1449" s="105" t="str">
        <f t="shared" si="648"/>
        <v/>
      </c>
      <c r="R1449" s="103" t="str">
        <f t="shared" si="634"/>
        <v/>
      </c>
      <c r="S1449" s="103" t="str">
        <f t="shared" si="635"/>
        <v/>
      </c>
      <c r="T1449" s="106" t="str">
        <f t="shared" si="649"/>
        <v/>
      </c>
      <c r="U1449" s="106" t="str">
        <f t="shared" si="650"/>
        <v/>
      </c>
      <c r="V1449" s="106" t="str">
        <f t="shared" si="651"/>
        <v/>
      </c>
      <c r="W1449" s="105" t="str">
        <f t="shared" si="636"/>
        <v/>
      </c>
      <c r="X1449" s="104" t="str">
        <f t="shared" si="641"/>
        <v/>
      </c>
      <c r="Y1449" s="104" t="str">
        <f t="array" ref="Y1449">IFERROR(IF(ISNUMBER(O1449),IF(COUNT(IF(A1449=$A$2:$A$2427,IF(D1449=$D$2:$D$2427,IF($X$2:$X$2427&gt;0,1))))&gt;0,SUM(IF(A1449=$A$2:$A$2427,IF(D1449=$D$2:$D$2427,$X$2:$X$2427)))/COUNT(IF(A1449=$A$2:$A$2427,IF(D1449=$D$2:$D$2427,IF(ISNUMBER($X$2:$X$2427),1)))),0),""),0)</f>
        <v/>
      </c>
      <c r="Z1449" s="104" t="str">
        <f>IF(ISNUMBER(O1449),IF(I1449&gt;0,(10^(VLOOKUP(D1449,'Species Codes'!B:C,2,0)+VLOOKUP(D1449,'Species Codes'!B:D,3,0)*LOG(E1449)+VLOOKUP(D1449,'Species Codes'!B:E,4,0)*LOG(I1449))),0),"")</f>
        <v/>
      </c>
      <c r="AA1449" s="104" t="str">
        <f>IFERROR((VLOOKUP(D1449,'Species Codes'!B:G,6,0)*Z1449)/2000,"")</f>
        <v/>
      </c>
      <c r="AB1449" s="104" t="e">
        <f>IF(Z1449&gt;0,((IF(OR(D1449="DF",D1449="RA")=TRUE,EXP(VLOOKUP(D1449,'Species Codes'!B:I,8,0)+VLOOKUP(D1449,'Species Codes'!B:J,9,0)*(LN((E1449*2.54)))),IF(OR(D1449="PY",D1449="RC",D1449="WH",D1449="NF")=TRUE,VLOOKUP(D1449,'Species Codes'!B:I,8,0)+VLOOKUP(D1449,'Species Codes'!B:J,9,0)*((E1449*2.54)^2)*(I1449*0.3048),IF(OR(D1449="MD",D1449="BM",D1449="GA")=TRUE,((VLOOKUP(D1449,'Species Codes'!B:I,8,0)*(((((E1449*2.54)+VLOOKUP(D1449,'Species Codes'!B:J,9,0))/VLOOKUP(D1449,'Species Codes'!B:K,10,0))^VLOOKUP(D1449,'Species Codes'!B:L,11,0))*((I1449*0.3048)^VLOOKUP(D1449,'Species Codes'!B:M,12,0))))-(VLOOKUP(D1449,'Species Codes'!B:I,8,0)*((((E1449*2.54)^VLOOKUP(D1449,'Species Codes'!B:L,11,0))*((I1449*0.3048)^VLOOKUP(D1449,'Species Codes'!B:M,12,0))))))*35.3*VLOOKUP(D1449,'Species Codes'!B:G,6,0)/2.2046,VLOOKUP(D1449,'Species Codes'!B:I,8,0)+VLOOKUP(D1449,'Species Codes'!B:J,9,0)*(((E1449*2.54)/100)^2)*(I1449*0.3048)))))*0.0011023),0)</f>
        <v>#N/A</v>
      </c>
      <c r="AC1449" s="104" t="e">
        <f>IF(Z1449&gt;0,((IF(OR(D1449="RA",D1449="OA",D1449="OT",D1449="UN",D1449="PC"),EXP(VLOOKUP(D1449,'Species Codes'!B:O,14,0)+VLOOKUP(D1449,'Species Codes'!B:P,15,0)*LN((E1449*2.54)))-EXP(VLOOKUP(D1449,'Species Codes'!B:O,14,0)+VLOOKUP(D1449,'Species Codes'!B:P,15,0)*LN((E1449*2.54)))*(1/(VLOOKUP(D1449,'Species Codes'!B:Q,16,0)+VLOOKUP(D1449,'Species Codes'!B:R,17,0)*((E1449*2.54)^VLOOKUP(D1449,'Species Codes'!B:S,18,0)))),IF(OR(D1449="BM",D1449="MD",D1449="OA"),EXP(VLOOKUP(D1449,'Species Codes'!B:O,14,0)+VLOOKUP(D1449,'Species Codes'!B:P,15,0)*LN((E1449*2.54)))*(1-(1/(VLOOKUP(D1449,'Species Codes'!B:Q,16,0)+VLOOKUP(D1449,'Species Codes'!B:R,17,0)*((E1449*2.54)^VLOOKUP(D1449,'Species Codes'!B:S,18,0)))))/1000,IF(D1449="DF",EXP(VLOOKUP(D1449,'Species Codes'!B:O,14,0)+VLOOKUP(D1449,'Species Codes'!B:P,15,0)*LN((E1449*2.54))),VLOOKUP(D1449,'Species Codes'!B:O,14,0)+VLOOKUP(D1449,'Species Codes'!B:P,15,0)*(((E1449*2.54)/100)^2)*(I1449*0.3048)))))*0.0011023),0)</f>
        <v>#N/A</v>
      </c>
      <c r="AD1449" s="104" t="e">
        <f t="shared" si="652"/>
        <v>#N/A</v>
      </c>
      <c r="AE1449" s="104" t="e">
        <f t="shared" si="653"/>
        <v>#N/A</v>
      </c>
      <c r="AF1449" s="104" t="e">
        <f>IF(AND(VLOOKUP($D1449,Merchantability!$B:$C,2,0)="Yes",$E1449&gt;=VLOOKUP($D1449,Merchantability!$B:$D,3,0),$E1449&lt;=VLOOKUP($D1449,Merchantability!$B:$E,4,0)),AA1449,0)</f>
        <v>#N/A</v>
      </c>
      <c r="AG1449" s="104" t="e">
        <f>IF(AND(VLOOKUP($D1449,Merchantability!$B:$C,2,0)="Yes",$E1449&gt;=VLOOKUP($D1449,Merchantability!$B:$D,3,0),$E1449&lt;=VLOOKUP($D1449,Merchantability!$B:$E,4,0)),AB1449,0)</f>
        <v>#N/A</v>
      </c>
      <c r="AH1449" s="104" t="e">
        <f>IF(AND(VLOOKUP($D1449,Merchantability!$B:$C,2,0)="Yes",$E1449&gt;=VLOOKUP($D1449,Merchantability!$B:$D,3,0),$E1449&lt;=VLOOKUP($D1449,Merchantability!$B:$E,4,0)),AC1449,0)</f>
        <v>#N/A</v>
      </c>
      <c r="AI1449" s="104" t="e">
        <f t="shared" si="654"/>
        <v>#N/A</v>
      </c>
      <c r="AJ1449" s="104" t="e">
        <f t="shared" si="655"/>
        <v>#VALUE!</v>
      </c>
      <c r="AK1449" s="104" t="e">
        <f t="shared" si="656"/>
        <v>#N/A</v>
      </c>
      <c r="AL1449" s="104" t="e">
        <f t="shared" si="657"/>
        <v>#N/A</v>
      </c>
      <c r="AM1449" s="104" t="e">
        <f t="shared" si="658"/>
        <v>#N/A</v>
      </c>
      <c r="AN1449" s="104" t="e">
        <f t="shared" si="642"/>
        <v>#N/A</v>
      </c>
      <c r="AO1449" s="104" t="e">
        <f t="shared" si="643"/>
        <v>#N/A</v>
      </c>
      <c r="AP1449" s="104" t="e">
        <f t="shared" si="644"/>
        <v>#N/A</v>
      </c>
      <c r="AQ1449" s="104" t="e">
        <f t="shared" si="645"/>
        <v>#N/A</v>
      </c>
      <c r="AR1449" s="105" t="str">
        <f t="shared" si="637"/>
        <v/>
      </c>
      <c r="AS1449" s="105" t="str">
        <f t="shared" si="638"/>
        <v/>
      </c>
      <c r="AT1449" s="108" t="str">
        <f t="shared" si="639"/>
        <v/>
      </c>
      <c r="AU1449" s="108" t="str">
        <f t="shared" si="640"/>
        <v/>
      </c>
      <c r="AV1449" s="107" t="str">
        <f>IF(ISNUMBER(O1449),IF(VLOOKUP($A1449,Stand!C:J,8,FALSE)="Short",AT1449,AU1449),"")</f>
        <v/>
      </c>
      <c r="AW1449" s="109" t="str">
        <f t="shared" si="646"/>
        <v/>
      </c>
      <c r="AX1449" s="109" t="str">
        <f t="shared" si="647"/>
        <v/>
      </c>
      <c r="AY1449" s="112" t="str">
        <f>IF(ISNUMBER(O1449),IF(AND(VLOOKUP($D1449,Merchantability!$B:$C,2,0)="Yes",$E1449&gt;=VLOOKUP($D1449,Merchantability!$B:$D,3,0),$E1449&lt;=VLOOKUP($D1449,Merchantability!$B:$E,4,0)),(AV1449*O1449)*(1-$H1449/100),""),"")</f>
        <v/>
      </c>
      <c r="AZ1449" s="116"/>
      <c r="BA1449" s="116"/>
      <c r="BB1449" s="116"/>
      <c r="BE1449" s="62"/>
      <c r="BF1449" s="63"/>
    </row>
    <row r="1450" spans="1:58" ht="12.75" customHeight="1" x14ac:dyDescent="0.25">
      <c r="A1450" s="333"/>
      <c r="B1450" s="334"/>
      <c r="C1450" s="332"/>
      <c r="D1450" s="334"/>
      <c r="E1450" s="335"/>
      <c r="F1450" s="334"/>
      <c r="G1450" s="332"/>
      <c r="H1450" s="332"/>
      <c r="I1450" s="334"/>
      <c r="J1450" s="336"/>
      <c r="K1450" s="332"/>
      <c r="L1450" s="332"/>
      <c r="M1450" s="76"/>
      <c r="N1450" s="103" t="str">
        <f>IF(A1450="","",VLOOKUP(A1450,Stand!C:K,9,0))</f>
        <v/>
      </c>
      <c r="O1450" s="104" t="str">
        <f t="shared" si="632"/>
        <v/>
      </c>
      <c r="P1450" s="105" t="str">
        <f t="shared" si="633"/>
        <v/>
      </c>
      <c r="Q1450" s="105" t="str">
        <f t="shared" si="648"/>
        <v/>
      </c>
      <c r="R1450" s="103" t="str">
        <f t="shared" si="634"/>
        <v/>
      </c>
      <c r="S1450" s="103" t="str">
        <f t="shared" si="635"/>
        <v/>
      </c>
      <c r="T1450" s="106" t="str">
        <f t="shared" si="649"/>
        <v/>
      </c>
      <c r="U1450" s="106" t="str">
        <f t="shared" si="650"/>
        <v/>
      </c>
      <c r="V1450" s="106" t="str">
        <f t="shared" si="651"/>
        <v/>
      </c>
      <c r="W1450" s="105" t="str">
        <f t="shared" si="636"/>
        <v/>
      </c>
      <c r="X1450" s="104" t="str">
        <f t="shared" si="641"/>
        <v/>
      </c>
      <c r="Y1450" s="104" t="str">
        <f t="array" ref="Y1450">IFERROR(IF(ISNUMBER(O1450),IF(COUNT(IF(A1450=$A$2:$A$2427,IF(D1450=$D$2:$D$2427,IF($X$2:$X$2427&gt;0,1))))&gt;0,SUM(IF(A1450=$A$2:$A$2427,IF(D1450=$D$2:$D$2427,$X$2:$X$2427)))/COUNT(IF(A1450=$A$2:$A$2427,IF(D1450=$D$2:$D$2427,IF(ISNUMBER($X$2:$X$2427),1)))),0),""),0)</f>
        <v/>
      </c>
      <c r="Z1450" s="104" t="str">
        <f>IF(ISNUMBER(O1450),IF(I1450&gt;0,(10^(VLOOKUP(D1450,'Species Codes'!B:C,2,0)+VLOOKUP(D1450,'Species Codes'!B:D,3,0)*LOG(E1450)+VLOOKUP(D1450,'Species Codes'!B:E,4,0)*LOG(I1450))),0),"")</f>
        <v/>
      </c>
      <c r="AA1450" s="104" t="str">
        <f>IFERROR((VLOOKUP(D1450,'Species Codes'!B:G,6,0)*Z1450)/2000,"")</f>
        <v/>
      </c>
      <c r="AB1450" s="104" t="e">
        <f>IF(Z1450&gt;0,((IF(OR(D1450="DF",D1450="RA")=TRUE,EXP(VLOOKUP(D1450,'Species Codes'!B:I,8,0)+VLOOKUP(D1450,'Species Codes'!B:J,9,0)*(LN((E1450*2.54)))),IF(OR(D1450="PY",D1450="RC",D1450="WH",D1450="NF")=TRUE,VLOOKUP(D1450,'Species Codes'!B:I,8,0)+VLOOKUP(D1450,'Species Codes'!B:J,9,0)*((E1450*2.54)^2)*(I1450*0.3048),IF(OR(D1450="MD",D1450="BM",D1450="GA")=TRUE,((VLOOKUP(D1450,'Species Codes'!B:I,8,0)*(((((E1450*2.54)+VLOOKUP(D1450,'Species Codes'!B:J,9,0))/VLOOKUP(D1450,'Species Codes'!B:K,10,0))^VLOOKUP(D1450,'Species Codes'!B:L,11,0))*((I1450*0.3048)^VLOOKUP(D1450,'Species Codes'!B:M,12,0))))-(VLOOKUP(D1450,'Species Codes'!B:I,8,0)*((((E1450*2.54)^VLOOKUP(D1450,'Species Codes'!B:L,11,0))*((I1450*0.3048)^VLOOKUP(D1450,'Species Codes'!B:M,12,0))))))*35.3*VLOOKUP(D1450,'Species Codes'!B:G,6,0)/2.2046,VLOOKUP(D1450,'Species Codes'!B:I,8,0)+VLOOKUP(D1450,'Species Codes'!B:J,9,0)*(((E1450*2.54)/100)^2)*(I1450*0.3048)))))*0.0011023),0)</f>
        <v>#N/A</v>
      </c>
      <c r="AC1450" s="104" t="e">
        <f>IF(Z1450&gt;0,((IF(OR(D1450="RA",D1450="OA",D1450="OT",D1450="UN",D1450="PC"),EXP(VLOOKUP(D1450,'Species Codes'!B:O,14,0)+VLOOKUP(D1450,'Species Codes'!B:P,15,0)*LN((E1450*2.54)))-EXP(VLOOKUP(D1450,'Species Codes'!B:O,14,0)+VLOOKUP(D1450,'Species Codes'!B:P,15,0)*LN((E1450*2.54)))*(1/(VLOOKUP(D1450,'Species Codes'!B:Q,16,0)+VLOOKUP(D1450,'Species Codes'!B:R,17,0)*((E1450*2.54)^VLOOKUP(D1450,'Species Codes'!B:S,18,0)))),IF(OR(D1450="BM",D1450="MD",D1450="OA"),EXP(VLOOKUP(D1450,'Species Codes'!B:O,14,0)+VLOOKUP(D1450,'Species Codes'!B:P,15,0)*LN((E1450*2.54)))*(1-(1/(VLOOKUP(D1450,'Species Codes'!B:Q,16,0)+VLOOKUP(D1450,'Species Codes'!B:R,17,0)*((E1450*2.54)^VLOOKUP(D1450,'Species Codes'!B:S,18,0)))))/1000,IF(D1450="DF",EXP(VLOOKUP(D1450,'Species Codes'!B:O,14,0)+VLOOKUP(D1450,'Species Codes'!B:P,15,0)*LN((E1450*2.54))),VLOOKUP(D1450,'Species Codes'!B:O,14,0)+VLOOKUP(D1450,'Species Codes'!B:P,15,0)*(((E1450*2.54)/100)^2)*(I1450*0.3048)))))*0.0011023),0)</f>
        <v>#N/A</v>
      </c>
      <c r="AD1450" s="104" t="e">
        <f t="shared" si="652"/>
        <v>#N/A</v>
      </c>
      <c r="AE1450" s="104" t="e">
        <f t="shared" si="653"/>
        <v>#N/A</v>
      </c>
      <c r="AF1450" s="104" t="e">
        <f>IF(AND(VLOOKUP($D1450,Merchantability!$B:$C,2,0)="Yes",$E1450&gt;=VLOOKUP($D1450,Merchantability!$B:$D,3,0),$E1450&lt;=VLOOKUP($D1450,Merchantability!$B:$E,4,0)),AA1450,0)</f>
        <v>#N/A</v>
      </c>
      <c r="AG1450" s="104" t="e">
        <f>IF(AND(VLOOKUP($D1450,Merchantability!$B:$C,2,0)="Yes",$E1450&gt;=VLOOKUP($D1450,Merchantability!$B:$D,3,0),$E1450&lt;=VLOOKUP($D1450,Merchantability!$B:$E,4,0)),AB1450,0)</f>
        <v>#N/A</v>
      </c>
      <c r="AH1450" s="104" t="e">
        <f>IF(AND(VLOOKUP($D1450,Merchantability!$B:$C,2,0)="Yes",$E1450&gt;=VLOOKUP($D1450,Merchantability!$B:$D,3,0),$E1450&lt;=VLOOKUP($D1450,Merchantability!$B:$E,4,0)),AC1450,0)</f>
        <v>#N/A</v>
      </c>
      <c r="AI1450" s="104" t="e">
        <f t="shared" si="654"/>
        <v>#N/A</v>
      </c>
      <c r="AJ1450" s="104" t="e">
        <f t="shared" si="655"/>
        <v>#VALUE!</v>
      </c>
      <c r="AK1450" s="104" t="e">
        <f t="shared" si="656"/>
        <v>#N/A</v>
      </c>
      <c r="AL1450" s="104" t="e">
        <f t="shared" si="657"/>
        <v>#N/A</v>
      </c>
      <c r="AM1450" s="104" t="e">
        <f t="shared" si="658"/>
        <v>#N/A</v>
      </c>
      <c r="AN1450" s="104" t="e">
        <f t="shared" si="642"/>
        <v>#N/A</v>
      </c>
      <c r="AO1450" s="104" t="e">
        <f t="shared" si="643"/>
        <v>#N/A</v>
      </c>
      <c r="AP1450" s="104" t="e">
        <f t="shared" si="644"/>
        <v>#N/A</v>
      </c>
      <c r="AQ1450" s="104" t="e">
        <f t="shared" si="645"/>
        <v>#N/A</v>
      </c>
      <c r="AR1450" s="105" t="str">
        <f t="shared" si="637"/>
        <v/>
      </c>
      <c r="AS1450" s="105" t="str">
        <f t="shared" si="638"/>
        <v/>
      </c>
      <c r="AT1450" s="108" t="str">
        <f t="shared" si="639"/>
        <v/>
      </c>
      <c r="AU1450" s="108" t="str">
        <f t="shared" si="640"/>
        <v/>
      </c>
      <c r="AV1450" s="107" t="str">
        <f>IF(ISNUMBER(O1450),IF(VLOOKUP($A1450,Stand!C:J,8,FALSE)="Short",AT1450,AU1450),"")</f>
        <v/>
      </c>
      <c r="AW1450" s="109" t="str">
        <f t="shared" si="646"/>
        <v/>
      </c>
      <c r="AX1450" s="109" t="str">
        <f t="shared" si="647"/>
        <v/>
      </c>
      <c r="AY1450" s="112" t="str">
        <f>IF(ISNUMBER(O1450),IF(AND(VLOOKUP($D1450,Merchantability!$B:$C,2,0)="Yes",$E1450&gt;=VLOOKUP($D1450,Merchantability!$B:$D,3,0),$E1450&lt;=VLOOKUP($D1450,Merchantability!$B:$E,4,0)),(AV1450*O1450)*(1-$H1450/100),""),"")</f>
        <v/>
      </c>
      <c r="AZ1450" s="116"/>
      <c r="BA1450" s="116"/>
      <c r="BB1450" s="116"/>
      <c r="BE1450" s="62"/>
      <c r="BF1450" s="63"/>
    </row>
    <row r="1451" spans="1:58" ht="12.75" customHeight="1" x14ac:dyDescent="0.25">
      <c r="A1451" s="333"/>
      <c r="B1451" s="334"/>
      <c r="C1451" s="332"/>
      <c r="D1451" s="334"/>
      <c r="E1451" s="335"/>
      <c r="F1451" s="334"/>
      <c r="G1451" s="332"/>
      <c r="H1451" s="332"/>
      <c r="I1451" s="334"/>
      <c r="J1451" s="336"/>
      <c r="K1451" s="332"/>
      <c r="L1451" s="332"/>
      <c r="M1451" s="76"/>
      <c r="N1451" s="103" t="str">
        <f>IF(A1451="","",VLOOKUP(A1451,Stand!C:K,9,0))</f>
        <v/>
      </c>
      <c r="O1451" s="104" t="str">
        <f t="shared" si="632"/>
        <v/>
      </c>
      <c r="P1451" s="105" t="str">
        <f t="shared" si="633"/>
        <v/>
      </c>
      <c r="Q1451" s="105" t="str">
        <f t="shared" si="648"/>
        <v/>
      </c>
      <c r="R1451" s="103" t="str">
        <f t="shared" si="634"/>
        <v/>
      </c>
      <c r="S1451" s="103" t="str">
        <f t="shared" si="635"/>
        <v/>
      </c>
      <c r="T1451" s="106" t="str">
        <f t="shared" si="649"/>
        <v/>
      </c>
      <c r="U1451" s="106" t="str">
        <f t="shared" si="650"/>
        <v/>
      </c>
      <c r="V1451" s="106" t="str">
        <f t="shared" si="651"/>
        <v/>
      </c>
      <c r="W1451" s="105" t="str">
        <f t="shared" si="636"/>
        <v/>
      </c>
      <c r="X1451" s="104" t="str">
        <f t="shared" si="641"/>
        <v/>
      </c>
      <c r="Y1451" s="104" t="str">
        <f t="array" ref="Y1451">IFERROR(IF(ISNUMBER(O1451),IF(COUNT(IF(A1451=$A$2:$A$2427,IF(D1451=$D$2:$D$2427,IF($X$2:$X$2427&gt;0,1))))&gt;0,SUM(IF(A1451=$A$2:$A$2427,IF(D1451=$D$2:$D$2427,$X$2:$X$2427)))/COUNT(IF(A1451=$A$2:$A$2427,IF(D1451=$D$2:$D$2427,IF(ISNUMBER($X$2:$X$2427),1)))),0),""),0)</f>
        <v/>
      </c>
      <c r="Z1451" s="104" t="str">
        <f>IF(ISNUMBER(O1451),IF(I1451&gt;0,(10^(VLOOKUP(D1451,'Species Codes'!B:C,2,0)+VLOOKUP(D1451,'Species Codes'!B:D,3,0)*LOG(E1451)+VLOOKUP(D1451,'Species Codes'!B:E,4,0)*LOG(I1451))),0),"")</f>
        <v/>
      </c>
      <c r="AA1451" s="104" t="str">
        <f>IFERROR((VLOOKUP(D1451,'Species Codes'!B:G,6,0)*Z1451)/2000,"")</f>
        <v/>
      </c>
      <c r="AB1451" s="104" t="e">
        <f>IF(Z1451&gt;0,((IF(OR(D1451="DF",D1451="RA")=TRUE,EXP(VLOOKUP(D1451,'Species Codes'!B:I,8,0)+VLOOKUP(D1451,'Species Codes'!B:J,9,0)*(LN((E1451*2.54)))),IF(OR(D1451="PY",D1451="RC",D1451="WH",D1451="NF")=TRUE,VLOOKUP(D1451,'Species Codes'!B:I,8,0)+VLOOKUP(D1451,'Species Codes'!B:J,9,0)*((E1451*2.54)^2)*(I1451*0.3048),IF(OR(D1451="MD",D1451="BM",D1451="GA")=TRUE,((VLOOKUP(D1451,'Species Codes'!B:I,8,0)*(((((E1451*2.54)+VLOOKUP(D1451,'Species Codes'!B:J,9,0))/VLOOKUP(D1451,'Species Codes'!B:K,10,0))^VLOOKUP(D1451,'Species Codes'!B:L,11,0))*((I1451*0.3048)^VLOOKUP(D1451,'Species Codes'!B:M,12,0))))-(VLOOKUP(D1451,'Species Codes'!B:I,8,0)*((((E1451*2.54)^VLOOKUP(D1451,'Species Codes'!B:L,11,0))*((I1451*0.3048)^VLOOKUP(D1451,'Species Codes'!B:M,12,0))))))*35.3*VLOOKUP(D1451,'Species Codes'!B:G,6,0)/2.2046,VLOOKUP(D1451,'Species Codes'!B:I,8,0)+VLOOKUP(D1451,'Species Codes'!B:J,9,0)*(((E1451*2.54)/100)^2)*(I1451*0.3048)))))*0.0011023),0)</f>
        <v>#N/A</v>
      </c>
      <c r="AC1451" s="104" t="e">
        <f>IF(Z1451&gt;0,((IF(OR(D1451="RA",D1451="OA",D1451="OT",D1451="UN",D1451="PC"),EXP(VLOOKUP(D1451,'Species Codes'!B:O,14,0)+VLOOKUP(D1451,'Species Codes'!B:P,15,0)*LN((E1451*2.54)))-EXP(VLOOKUP(D1451,'Species Codes'!B:O,14,0)+VLOOKUP(D1451,'Species Codes'!B:P,15,0)*LN((E1451*2.54)))*(1/(VLOOKUP(D1451,'Species Codes'!B:Q,16,0)+VLOOKUP(D1451,'Species Codes'!B:R,17,0)*((E1451*2.54)^VLOOKUP(D1451,'Species Codes'!B:S,18,0)))),IF(OR(D1451="BM",D1451="MD",D1451="OA"),EXP(VLOOKUP(D1451,'Species Codes'!B:O,14,0)+VLOOKUP(D1451,'Species Codes'!B:P,15,0)*LN((E1451*2.54)))*(1-(1/(VLOOKUP(D1451,'Species Codes'!B:Q,16,0)+VLOOKUP(D1451,'Species Codes'!B:R,17,0)*((E1451*2.54)^VLOOKUP(D1451,'Species Codes'!B:S,18,0)))))/1000,IF(D1451="DF",EXP(VLOOKUP(D1451,'Species Codes'!B:O,14,0)+VLOOKUP(D1451,'Species Codes'!B:P,15,0)*LN((E1451*2.54))),VLOOKUP(D1451,'Species Codes'!B:O,14,0)+VLOOKUP(D1451,'Species Codes'!B:P,15,0)*(((E1451*2.54)/100)^2)*(I1451*0.3048)))))*0.0011023),0)</f>
        <v>#N/A</v>
      </c>
      <c r="AD1451" s="104" t="e">
        <f t="shared" si="652"/>
        <v>#N/A</v>
      </c>
      <c r="AE1451" s="104" t="e">
        <f t="shared" si="653"/>
        <v>#N/A</v>
      </c>
      <c r="AF1451" s="104" t="e">
        <f>IF(AND(VLOOKUP($D1451,Merchantability!$B:$C,2,0)="Yes",$E1451&gt;=VLOOKUP($D1451,Merchantability!$B:$D,3,0),$E1451&lt;=VLOOKUP($D1451,Merchantability!$B:$E,4,0)),AA1451,0)</f>
        <v>#N/A</v>
      </c>
      <c r="AG1451" s="104" t="e">
        <f>IF(AND(VLOOKUP($D1451,Merchantability!$B:$C,2,0)="Yes",$E1451&gt;=VLOOKUP($D1451,Merchantability!$B:$D,3,0),$E1451&lt;=VLOOKUP($D1451,Merchantability!$B:$E,4,0)),AB1451,0)</f>
        <v>#N/A</v>
      </c>
      <c r="AH1451" s="104" t="e">
        <f>IF(AND(VLOOKUP($D1451,Merchantability!$B:$C,2,0)="Yes",$E1451&gt;=VLOOKUP($D1451,Merchantability!$B:$D,3,0),$E1451&lt;=VLOOKUP($D1451,Merchantability!$B:$E,4,0)),AC1451,0)</f>
        <v>#N/A</v>
      </c>
      <c r="AI1451" s="104" t="e">
        <f t="shared" si="654"/>
        <v>#N/A</v>
      </c>
      <c r="AJ1451" s="104" t="e">
        <f t="shared" si="655"/>
        <v>#VALUE!</v>
      </c>
      <c r="AK1451" s="104" t="e">
        <f t="shared" si="656"/>
        <v>#N/A</v>
      </c>
      <c r="AL1451" s="104" t="e">
        <f t="shared" si="657"/>
        <v>#N/A</v>
      </c>
      <c r="AM1451" s="104" t="e">
        <f t="shared" si="658"/>
        <v>#N/A</v>
      </c>
      <c r="AN1451" s="104" t="e">
        <f t="shared" si="642"/>
        <v>#N/A</v>
      </c>
      <c r="AO1451" s="104" t="e">
        <f t="shared" si="643"/>
        <v>#N/A</v>
      </c>
      <c r="AP1451" s="104" t="e">
        <f t="shared" si="644"/>
        <v>#N/A</v>
      </c>
      <c r="AQ1451" s="104" t="e">
        <f t="shared" si="645"/>
        <v>#N/A</v>
      </c>
      <c r="AR1451" s="105" t="str">
        <f t="shared" si="637"/>
        <v/>
      </c>
      <c r="AS1451" s="105" t="str">
        <f t="shared" si="638"/>
        <v/>
      </c>
      <c r="AT1451" s="108" t="str">
        <f t="shared" si="639"/>
        <v/>
      </c>
      <c r="AU1451" s="108" t="str">
        <f t="shared" si="640"/>
        <v/>
      </c>
      <c r="AV1451" s="107" t="str">
        <f>IF(ISNUMBER(O1451),IF(VLOOKUP($A1451,Stand!C:J,8,FALSE)="Short",AT1451,AU1451),"")</f>
        <v/>
      </c>
      <c r="AW1451" s="109" t="str">
        <f t="shared" si="646"/>
        <v/>
      </c>
      <c r="AX1451" s="109" t="str">
        <f t="shared" si="647"/>
        <v/>
      </c>
      <c r="AY1451" s="112" t="str">
        <f>IF(ISNUMBER(O1451),IF(AND(VLOOKUP($D1451,Merchantability!$B:$C,2,0)="Yes",$E1451&gt;=VLOOKUP($D1451,Merchantability!$B:$D,3,0),$E1451&lt;=VLOOKUP($D1451,Merchantability!$B:$E,4,0)),(AV1451*O1451)*(1-$H1451/100),""),"")</f>
        <v/>
      </c>
      <c r="AZ1451" s="116"/>
      <c r="BA1451" s="116"/>
      <c r="BB1451" s="116"/>
      <c r="BE1451" s="62"/>
      <c r="BF1451" s="63"/>
    </row>
    <row r="1452" spans="1:58" ht="12.75" customHeight="1" x14ac:dyDescent="0.25">
      <c r="A1452" s="333"/>
      <c r="B1452" s="334"/>
      <c r="C1452" s="332"/>
      <c r="D1452" s="334"/>
      <c r="E1452" s="335"/>
      <c r="F1452" s="334"/>
      <c r="G1452" s="332"/>
      <c r="H1452" s="332"/>
      <c r="I1452" s="334"/>
      <c r="J1452" s="336"/>
      <c r="K1452" s="332"/>
      <c r="L1452" s="332"/>
      <c r="M1452" s="76"/>
      <c r="N1452" s="103" t="str">
        <f>IF(A1452="","",VLOOKUP(A1452,Stand!C:K,9,0))</f>
        <v/>
      </c>
      <c r="O1452" s="104" t="str">
        <f t="shared" si="632"/>
        <v/>
      </c>
      <c r="P1452" s="105" t="str">
        <f t="shared" si="633"/>
        <v/>
      </c>
      <c r="Q1452" s="105" t="str">
        <f t="shared" si="648"/>
        <v/>
      </c>
      <c r="R1452" s="103" t="str">
        <f t="shared" si="634"/>
        <v/>
      </c>
      <c r="S1452" s="103" t="str">
        <f t="shared" si="635"/>
        <v/>
      </c>
      <c r="T1452" s="106" t="str">
        <f t="shared" si="649"/>
        <v/>
      </c>
      <c r="U1452" s="106" t="str">
        <f t="shared" si="650"/>
        <v/>
      </c>
      <c r="V1452" s="106" t="str">
        <f t="shared" si="651"/>
        <v/>
      </c>
      <c r="W1452" s="105" t="str">
        <f t="shared" si="636"/>
        <v/>
      </c>
      <c r="X1452" s="104" t="str">
        <f t="shared" si="641"/>
        <v/>
      </c>
      <c r="Y1452" s="104" t="str">
        <f t="array" ref="Y1452">IFERROR(IF(ISNUMBER(O1452),IF(COUNT(IF(A1452=$A$2:$A$2427,IF(D1452=$D$2:$D$2427,IF($X$2:$X$2427&gt;0,1))))&gt;0,SUM(IF(A1452=$A$2:$A$2427,IF(D1452=$D$2:$D$2427,$X$2:$X$2427)))/COUNT(IF(A1452=$A$2:$A$2427,IF(D1452=$D$2:$D$2427,IF(ISNUMBER($X$2:$X$2427),1)))),0),""),0)</f>
        <v/>
      </c>
      <c r="Z1452" s="104" t="str">
        <f>IF(ISNUMBER(O1452),IF(I1452&gt;0,(10^(VLOOKUP(D1452,'Species Codes'!B:C,2,0)+VLOOKUP(D1452,'Species Codes'!B:D,3,0)*LOG(E1452)+VLOOKUP(D1452,'Species Codes'!B:E,4,0)*LOG(I1452))),0),"")</f>
        <v/>
      </c>
      <c r="AA1452" s="104" t="str">
        <f>IFERROR((VLOOKUP(D1452,'Species Codes'!B:G,6,0)*Z1452)/2000,"")</f>
        <v/>
      </c>
      <c r="AB1452" s="104" t="e">
        <f>IF(Z1452&gt;0,((IF(OR(D1452="DF",D1452="RA")=TRUE,EXP(VLOOKUP(D1452,'Species Codes'!B:I,8,0)+VLOOKUP(D1452,'Species Codes'!B:J,9,0)*(LN((E1452*2.54)))),IF(OR(D1452="PY",D1452="RC",D1452="WH",D1452="NF")=TRUE,VLOOKUP(D1452,'Species Codes'!B:I,8,0)+VLOOKUP(D1452,'Species Codes'!B:J,9,0)*((E1452*2.54)^2)*(I1452*0.3048),IF(OR(D1452="MD",D1452="BM",D1452="GA")=TRUE,((VLOOKUP(D1452,'Species Codes'!B:I,8,0)*(((((E1452*2.54)+VLOOKUP(D1452,'Species Codes'!B:J,9,0))/VLOOKUP(D1452,'Species Codes'!B:K,10,0))^VLOOKUP(D1452,'Species Codes'!B:L,11,0))*((I1452*0.3048)^VLOOKUP(D1452,'Species Codes'!B:M,12,0))))-(VLOOKUP(D1452,'Species Codes'!B:I,8,0)*((((E1452*2.54)^VLOOKUP(D1452,'Species Codes'!B:L,11,0))*((I1452*0.3048)^VLOOKUP(D1452,'Species Codes'!B:M,12,0))))))*35.3*VLOOKUP(D1452,'Species Codes'!B:G,6,0)/2.2046,VLOOKUP(D1452,'Species Codes'!B:I,8,0)+VLOOKUP(D1452,'Species Codes'!B:J,9,0)*(((E1452*2.54)/100)^2)*(I1452*0.3048)))))*0.0011023),0)</f>
        <v>#N/A</v>
      </c>
      <c r="AC1452" s="104" t="e">
        <f>IF(Z1452&gt;0,((IF(OR(D1452="RA",D1452="OA",D1452="OT",D1452="UN",D1452="PC"),EXP(VLOOKUP(D1452,'Species Codes'!B:O,14,0)+VLOOKUP(D1452,'Species Codes'!B:P,15,0)*LN((E1452*2.54)))-EXP(VLOOKUP(D1452,'Species Codes'!B:O,14,0)+VLOOKUP(D1452,'Species Codes'!B:P,15,0)*LN((E1452*2.54)))*(1/(VLOOKUP(D1452,'Species Codes'!B:Q,16,0)+VLOOKUP(D1452,'Species Codes'!B:R,17,0)*((E1452*2.54)^VLOOKUP(D1452,'Species Codes'!B:S,18,0)))),IF(OR(D1452="BM",D1452="MD",D1452="OA"),EXP(VLOOKUP(D1452,'Species Codes'!B:O,14,0)+VLOOKUP(D1452,'Species Codes'!B:P,15,0)*LN((E1452*2.54)))*(1-(1/(VLOOKUP(D1452,'Species Codes'!B:Q,16,0)+VLOOKUP(D1452,'Species Codes'!B:R,17,0)*((E1452*2.54)^VLOOKUP(D1452,'Species Codes'!B:S,18,0)))))/1000,IF(D1452="DF",EXP(VLOOKUP(D1452,'Species Codes'!B:O,14,0)+VLOOKUP(D1452,'Species Codes'!B:P,15,0)*LN((E1452*2.54))),VLOOKUP(D1452,'Species Codes'!B:O,14,0)+VLOOKUP(D1452,'Species Codes'!B:P,15,0)*(((E1452*2.54)/100)^2)*(I1452*0.3048)))))*0.0011023),0)</f>
        <v>#N/A</v>
      </c>
      <c r="AD1452" s="104" t="e">
        <f t="shared" si="652"/>
        <v>#N/A</v>
      </c>
      <c r="AE1452" s="104" t="e">
        <f t="shared" si="653"/>
        <v>#N/A</v>
      </c>
      <c r="AF1452" s="104" t="e">
        <f>IF(AND(VLOOKUP($D1452,Merchantability!$B:$C,2,0)="Yes",$E1452&gt;=VLOOKUP($D1452,Merchantability!$B:$D,3,0),$E1452&lt;=VLOOKUP($D1452,Merchantability!$B:$E,4,0)),AA1452,0)</f>
        <v>#N/A</v>
      </c>
      <c r="AG1452" s="104" t="e">
        <f>IF(AND(VLOOKUP($D1452,Merchantability!$B:$C,2,0)="Yes",$E1452&gt;=VLOOKUP($D1452,Merchantability!$B:$D,3,0),$E1452&lt;=VLOOKUP($D1452,Merchantability!$B:$E,4,0)),AB1452,0)</f>
        <v>#N/A</v>
      </c>
      <c r="AH1452" s="104" t="e">
        <f>IF(AND(VLOOKUP($D1452,Merchantability!$B:$C,2,0)="Yes",$E1452&gt;=VLOOKUP($D1452,Merchantability!$B:$D,3,0),$E1452&lt;=VLOOKUP($D1452,Merchantability!$B:$E,4,0)),AC1452,0)</f>
        <v>#N/A</v>
      </c>
      <c r="AI1452" s="104" t="e">
        <f t="shared" si="654"/>
        <v>#N/A</v>
      </c>
      <c r="AJ1452" s="104" t="e">
        <f t="shared" si="655"/>
        <v>#VALUE!</v>
      </c>
      <c r="AK1452" s="104" t="e">
        <f t="shared" si="656"/>
        <v>#N/A</v>
      </c>
      <c r="AL1452" s="104" t="e">
        <f t="shared" si="657"/>
        <v>#N/A</v>
      </c>
      <c r="AM1452" s="104" t="e">
        <f t="shared" si="658"/>
        <v>#N/A</v>
      </c>
      <c r="AN1452" s="104" t="e">
        <f t="shared" si="642"/>
        <v>#N/A</v>
      </c>
      <c r="AO1452" s="104" t="e">
        <f t="shared" si="643"/>
        <v>#N/A</v>
      </c>
      <c r="AP1452" s="104" t="e">
        <f t="shared" si="644"/>
        <v>#N/A</v>
      </c>
      <c r="AQ1452" s="104" t="e">
        <f t="shared" si="645"/>
        <v>#N/A</v>
      </c>
      <c r="AR1452" s="105" t="str">
        <f t="shared" si="637"/>
        <v/>
      </c>
      <c r="AS1452" s="105" t="str">
        <f t="shared" si="638"/>
        <v/>
      </c>
      <c r="AT1452" s="108" t="str">
        <f t="shared" si="639"/>
        <v/>
      </c>
      <c r="AU1452" s="108" t="str">
        <f t="shared" si="640"/>
        <v/>
      </c>
      <c r="AV1452" s="107" t="str">
        <f>IF(ISNUMBER(O1452),IF(VLOOKUP($A1452,Stand!C:J,8,FALSE)="Short",AT1452,AU1452),"")</f>
        <v/>
      </c>
      <c r="AW1452" s="109" t="str">
        <f t="shared" si="646"/>
        <v/>
      </c>
      <c r="AX1452" s="109" t="str">
        <f t="shared" si="647"/>
        <v/>
      </c>
      <c r="AY1452" s="112" t="str">
        <f>IF(ISNUMBER(O1452),IF(AND(VLOOKUP($D1452,Merchantability!$B:$C,2,0)="Yes",$E1452&gt;=VLOOKUP($D1452,Merchantability!$B:$D,3,0),$E1452&lt;=VLOOKUP($D1452,Merchantability!$B:$E,4,0)),(AV1452*O1452)*(1-$H1452/100),""),"")</f>
        <v/>
      </c>
      <c r="AZ1452" s="116"/>
      <c r="BA1452" s="116"/>
      <c r="BB1452" s="116"/>
      <c r="BE1452" s="62"/>
      <c r="BF1452" s="63"/>
    </row>
    <row r="1453" spans="1:58" ht="12.75" customHeight="1" x14ac:dyDescent="0.25">
      <c r="A1453" s="333"/>
      <c r="B1453" s="334"/>
      <c r="C1453" s="332"/>
      <c r="D1453" s="334"/>
      <c r="E1453" s="335"/>
      <c r="F1453" s="334"/>
      <c r="G1453" s="332"/>
      <c r="H1453" s="332"/>
      <c r="I1453" s="334"/>
      <c r="J1453" s="336"/>
      <c r="K1453" s="332"/>
      <c r="L1453" s="332"/>
      <c r="M1453" s="76"/>
      <c r="N1453" s="103" t="str">
        <f>IF(A1453="","",VLOOKUP(A1453,Stand!C:K,9,0))</f>
        <v/>
      </c>
      <c r="O1453" s="104" t="str">
        <f t="shared" si="632"/>
        <v/>
      </c>
      <c r="P1453" s="105" t="str">
        <f t="shared" si="633"/>
        <v/>
      </c>
      <c r="Q1453" s="105" t="str">
        <f t="shared" si="648"/>
        <v/>
      </c>
      <c r="R1453" s="103" t="str">
        <f t="shared" si="634"/>
        <v/>
      </c>
      <c r="S1453" s="103" t="str">
        <f t="shared" si="635"/>
        <v/>
      </c>
      <c r="T1453" s="106" t="str">
        <f t="shared" si="649"/>
        <v/>
      </c>
      <c r="U1453" s="106" t="str">
        <f t="shared" si="650"/>
        <v/>
      </c>
      <c r="V1453" s="106" t="str">
        <f t="shared" si="651"/>
        <v/>
      </c>
      <c r="W1453" s="105" t="str">
        <f t="shared" si="636"/>
        <v/>
      </c>
      <c r="X1453" s="104" t="str">
        <f t="shared" si="641"/>
        <v/>
      </c>
      <c r="Y1453" s="104" t="str">
        <f t="array" ref="Y1453">IFERROR(IF(ISNUMBER(O1453),IF(COUNT(IF(A1453=$A$2:$A$2427,IF(D1453=$D$2:$D$2427,IF($X$2:$X$2427&gt;0,1))))&gt;0,SUM(IF(A1453=$A$2:$A$2427,IF(D1453=$D$2:$D$2427,$X$2:$X$2427)))/COUNT(IF(A1453=$A$2:$A$2427,IF(D1453=$D$2:$D$2427,IF(ISNUMBER($X$2:$X$2427),1)))),0),""),0)</f>
        <v/>
      </c>
      <c r="Z1453" s="104" t="str">
        <f>IF(ISNUMBER(O1453),IF(I1453&gt;0,(10^(VLOOKUP(D1453,'Species Codes'!B:C,2,0)+VLOOKUP(D1453,'Species Codes'!B:D,3,0)*LOG(E1453)+VLOOKUP(D1453,'Species Codes'!B:E,4,0)*LOG(I1453))),0),"")</f>
        <v/>
      </c>
      <c r="AA1453" s="104" t="str">
        <f>IFERROR((VLOOKUP(D1453,'Species Codes'!B:G,6,0)*Z1453)/2000,"")</f>
        <v/>
      </c>
      <c r="AB1453" s="104" t="e">
        <f>IF(Z1453&gt;0,((IF(OR(D1453="DF",D1453="RA")=TRUE,EXP(VLOOKUP(D1453,'Species Codes'!B:I,8,0)+VLOOKUP(D1453,'Species Codes'!B:J,9,0)*(LN((E1453*2.54)))),IF(OR(D1453="PY",D1453="RC",D1453="WH",D1453="NF")=TRUE,VLOOKUP(D1453,'Species Codes'!B:I,8,0)+VLOOKUP(D1453,'Species Codes'!B:J,9,0)*((E1453*2.54)^2)*(I1453*0.3048),IF(OR(D1453="MD",D1453="BM",D1453="GA")=TRUE,((VLOOKUP(D1453,'Species Codes'!B:I,8,0)*(((((E1453*2.54)+VLOOKUP(D1453,'Species Codes'!B:J,9,0))/VLOOKUP(D1453,'Species Codes'!B:K,10,0))^VLOOKUP(D1453,'Species Codes'!B:L,11,0))*((I1453*0.3048)^VLOOKUP(D1453,'Species Codes'!B:M,12,0))))-(VLOOKUP(D1453,'Species Codes'!B:I,8,0)*((((E1453*2.54)^VLOOKUP(D1453,'Species Codes'!B:L,11,0))*((I1453*0.3048)^VLOOKUP(D1453,'Species Codes'!B:M,12,0))))))*35.3*VLOOKUP(D1453,'Species Codes'!B:G,6,0)/2.2046,VLOOKUP(D1453,'Species Codes'!B:I,8,0)+VLOOKUP(D1453,'Species Codes'!B:J,9,0)*(((E1453*2.54)/100)^2)*(I1453*0.3048)))))*0.0011023),0)</f>
        <v>#N/A</v>
      </c>
      <c r="AC1453" s="104" t="e">
        <f>IF(Z1453&gt;0,((IF(OR(D1453="RA",D1453="OA",D1453="OT",D1453="UN",D1453="PC"),EXP(VLOOKUP(D1453,'Species Codes'!B:O,14,0)+VLOOKUP(D1453,'Species Codes'!B:P,15,0)*LN((E1453*2.54)))-EXP(VLOOKUP(D1453,'Species Codes'!B:O,14,0)+VLOOKUP(D1453,'Species Codes'!B:P,15,0)*LN((E1453*2.54)))*(1/(VLOOKUP(D1453,'Species Codes'!B:Q,16,0)+VLOOKUP(D1453,'Species Codes'!B:R,17,0)*((E1453*2.54)^VLOOKUP(D1453,'Species Codes'!B:S,18,0)))),IF(OR(D1453="BM",D1453="MD",D1453="OA"),EXP(VLOOKUP(D1453,'Species Codes'!B:O,14,0)+VLOOKUP(D1453,'Species Codes'!B:P,15,0)*LN((E1453*2.54)))*(1-(1/(VLOOKUP(D1453,'Species Codes'!B:Q,16,0)+VLOOKUP(D1453,'Species Codes'!B:R,17,0)*((E1453*2.54)^VLOOKUP(D1453,'Species Codes'!B:S,18,0)))))/1000,IF(D1453="DF",EXP(VLOOKUP(D1453,'Species Codes'!B:O,14,0)+VLOOKUP(D1453,'Species Codes'!B:P,15,0)*LN((E1453*2.54))),VLOOKUP(D1453,'Species Codes'!B:O,14,0)+VLOOKUP(D1453,'Species Codes'!B:P,15,0)*(((E1453*2.54)/100)^2)*(I1453*0.3048)))))*0.0011023),0)</f>
        <v>#N/A</v>
      </c>
      <c r="AD1453" s="104" t="e">
        <f t="shared" si="652"/>
        <v>#N/A</v>
      </c>
      <c r="AE1453" s="104" t="e">
        <f t="shared" si="653"/>
        <v>#N/A</v>
      </c>
      <c r="AF1453" s="104" t="e">
        <f>IF(AND(VLOOKUP($D1453,Merchantability!$B:$C,2,0)="Yes",$E1453&gt;=VLOOKUP($D1453,Merchantability!$B:$D,3,0),$E1453&lt;=VLOOKUP($D1453,Merchantability!$B:$E,4,0)),AA1453,0)</f>
        <v>#N/A</v>
      </c>
      <c r="AG1453" s="104" t="e">
        <f>IF(AND(VLOOKUP($D1453,Merchantability!$B:$C,2,0)="Yes",$E1453&gt;=VLOOKUP($D1453,Merchantability!$B:$D,3,0),$E1453&lt;=VLOOKUP($D1453,Merchantability!$B:$E,4,0)),AB1453,0)</f>
        <v>#N/A</v>
      </c>
      <c r="AH1453" s="104" t="e">
        <f>IF(AND(VLOOKUP($D1453,Merchantability!$B:$C,2,0)="Yes",$E1453&gt;=VLOOKUP($D1453,Merchantability!$B:$D,3,0),$E1453&lt;=VLOOKUP($D1453,Merchantability!$B:$E,4,0)),AC1453,0)</f>
        <v>#N/A</v>
      </c>
      <c r="AI1453" s="104" t="e">
        <f t="shared" si="654"/>
        <v>#N/A</v>
      </c>
      <c r="AJ1453" s="104" t="e">
        <f t="shared" si="655"/>
        <v>#VALUE!</v>
      </c>
      <c r="AK1453" s="104" t="e">
        <f t="shared" si="656"/>
        <v>#N/A</v>
      </c>
      <c r="AL1453" s="104" t="e">
        <f t="shared" si="657"/>
        <v>#N/A</v>
      </c>
      <c r="AM1453" s="104" t="e">
        <f t="shared" si="658"/>
        <v>#N/A</v>
      </c>
      <c r="AN1453" s="104" t="e">
        <f t="shared" si="642"/>
        <v>#N/A</v>
      </c>
      <c r="AO1453" s="104" t="e">
        <f t="shared" si="643"/>
        <v>#N/A</v>
      </c>
      <c r="AP1453" s="104" t="e">
        <f t="shared" si="644"/>
        <v>#N/A</v>
      </c>
      <c r="AQ1453" s="104" t="e">
        <f t="shared" si="645"/>
        <v>#N/A</v>
      </c>
      <c r="AR1453" s="105" t="str">
        <f t="shared" si="637"/>
        <v/>
      </c>
      <c r="AS1453" s="105" t="str">
        <f t="shared" si="638"/>
        <v/>
      </c>
      <c r="AT1453" s="108" t="str">
        <f t="shared" si="639"/>
        <v/>
      </c>
      <c r="AU1453" s="108" t="str">
        <f t="shared" si="640"/>
        <v/>
      </c>
      <c r="AV1453" s="107" t="str">
        <f>IF(ISNUMBER(O1453),IF(VLOOKUP($A1453,Stand!C:J,8,FALSE)="Short",AT1453,AU1453),"")</f>
        <v/>
      </c>
      <c r="AW1453" s="109" t="str">
        <f t="shared" si="646"/>
        <v/>
      </c>
      <c r="AX1453" s="109" t="str">
        <f t="shared" si="647"/>
        <v/>
      </c>
      <c r="AY1453" s="112" t="str">
        <f>IF(ISNUMBER(O1453),IF(AND(VLOOKUP($D1453,Merchantability!$B:$C,2,0)="Yes",$E1453&gt;=VLOOKUP($D1453,Merchantability!$B:$D,3,0),$E1453&lt;=VLOOKUP($D1453,Merchantability!$B:$E,4,0)),(AV1453*O1453)*(1-$H1453/100),""),"")</f>
        <v/>
      </c>
      <c r="AZ1453" s="116"/>
      <c r="BA1453" s="116"/>
      <c r="BB1453" s="116"/>
      <c r="BE1453" s="62"/>
      <c r="BF1453" s="63"/>
    </row>
    <row r="1454" spans="1:58" ht="12.75" customHeight="1" x14ac:dyDescent="0.25">
      <c r="A1454" s="333"/>
      <c r="B1454" s="334"/>
      <c r="C1454" s="332"/>
      <c r="D1454" s="334"/>
      <c r="E1454" s="335"/>
      <c r="F1454" s="334"/>
      <c r="G1454" s="332"/>
      <c r="H1454" s="332"/>
      <c r="I1454" s="334"/>
      <c r="J1454" s="336"/>
      <c r="K1454" s="332"/>
      <c r="L1454" s="332"/>
      <c r="M1454" s="76"/>
      <c r="N1454" s="103" t="str">
        <f>IF(A1454="","",VLOOKUP(A1454,Stand!C:K,9,0))</f>
        <v/>
      </c>
      <c r="O1454" s="104" t="str">
        <f t="shared" si="632"/>
        <v/>
      </c>
      <c r="P1454" s="105" t="str">
        <f t="shared" si="633"/>
        <v/>
      </c>
      <c r="Q1454" s="105" t="str">
        <f t="shared" si="648"/>
        <v/>
      </c>
      <c r="R1454" s="103" t="str">
        <f t="shared" si="634"/>
        <v/>
      </c>
      <c r="S1454" s="103" t="str">
        <f t="shared" si="635"/>
        <v/>
      </c>
      <c r="T1454" s="106" t="str">
        <f t="shared" si="649"/>
        <v/>
      </c>
      <c r="U1454" s="106" t="str">
        <f t="shared" si="650"/>
        <v/>
      </c>
      <c r="V1454" s="106" t="str">
        <f t="shared" si="651"/>
        <v/>
      </c>
      <c r="W1454" s="105" t="str">
        <f t="shared" si="636"/>
        <v/>
      </c>
      <c r="X1454" s="104" t="str">
        <f t="shared" si="641"/>
        <v/>
      </c>
      <c r="Y1454" s="104" t="str">
        <f t="array" ref="Y1454">IFERROR(IF(ISNUMBER(O1454),IF(COUNT(IF(A1454=$A$2:$A$2427,IF(D1454=$D$2:$D$2427,IF($X$2:$X$2427&gt;0,1))))&gt;0,SUM(IF(A1454=$A$2:$A$2427,IF(D1454=$D$2:$D$2427,$X$2:$X$2427)))/COUNT(IF(A1454=$A$2:$A$2427,IF(D1454=$D$2:$D$2427,IF(ISNUMBER($X$2:$X$2427),1)))),0),""),0)</f>
        <v/>
      </c>
      <c r="Z1454" s="104" t="str">
        <f>IF(ISNUMBER(O1454),IF(I1454&gt;0,(10^(VLOOKUP(D1454,'Species Codes'!B:C,2,0)+VLOOKUP(D1454,'Species Codes'!B:D,3,0)*LOG(E1454)+VLOOKUP(D1454,'Species Codes'!B:E,4,0)*LOG(I1454))),0),"")</f>
        <v/>
      </c>
      <c r="AA1454" s="104" t="str">
        <f>IFERROR((VLOOKUP(D1454,'Species Codes'!B:G,6,0)*Z1454)/2000,"")</f>
        <v/>
      </c>
      <c r="AB1454" s="104" t="e">
        <f>IF(Z1454&gt;0,((IF(OR(D1454="DF",D1454="RA")=TRUE,EXP(VLOOKUP(D1454,'Species Codes'!B:I,8,0)+VLOOKUP(D1454,'Species Codes'!B:J,9,0)*(LN((E1454*2.54)))),IF(OR(D1454="PY",D1454="RC",D1454="WH",D1454="NF")=TRUE,VLOOKUP(D1454,'Species Codes'!B:I,8,0)+VLOOKUP(D1454,'Species Codes'!B:J,9,0)*((E1454*2.54)^2)*(I1454*0.3048),IF(OR(D1454="MD",D1454="BM",D1454="GA")=TRUE,((VLOOKUP(D1454,'Species Codes'!B:I,8,0)*(((((E1454*2.54)+VLOOKUP(D1454,'Species Codes'!B:J,9,0))/VLOOKUP(D1454,'Species Codes'!B:K,10,0))^VLOOKUP(D1454,'Species Codes'!B:L,11,0))*((I1454*0.3048)^VLOOKUP(D1454,'Species Codes'!B:M,12,0))))-(VLOOKUP(D1454,'Species Codes'!B:I,8,0)*((((E1454*2.54)^VLOOKUP(D1454,'Species Codes'!B:L,11,0))*((I1454*0.3048)^VLOOKUP(D1454,'Species Codes'!B:M,12,0))))))*35.3*VLOOKUP(D1454,'Species Codes'!B:G,6,0)/2.2046,VLOOKUP(D1454,'Species Codes'!B:I,8,0)+VLOOKUP(D1454,'Species Codes'!B:J,9,0)*(((E1454*2.54)/100)^2)*(I1454*0.3048)))))*0.0011023),0)</f>
        <v>#N/A</v>
      </c>
      <c r="AC1454" s="104" t="e">
        <f>IF(Z1454&gt;0,((IF(OR(D1454="RA",D1454="OA",D1454="OT",D1454="UN",D1454="PC"),EXP(VLOOKUP(D1454,'Species Codes'!B:O,14,0)+VLOOKUP(D1454,'Species Codes'!B:P,15,0)*LN((E1454*2.54)))-EXP(VLOOKUP(D1454,'Species Codes'!B:O,14,0)+VLOOKUP(D1454,'Species Codes'!B:P,15,0)*LN((E1454*2.54)))*(1/(VLOOKUP(D1454,'Species Codes'!B:Q,16,0)+VLOOKUP(D1454,'Species Codes'!B:R,17,0)*((E1454*2.54)^VLOOKUP(D1454,'Species Codes'!B:S,18,0)))),IF(OR(D1454="BM",D1454="MD",D1454="OA"),EXP(VLOOKUP(D1454,'Species Codes'!B:O,14,0)+VLOOKUP(D1454,'Species Codes'!B:P,15,0)*LN((E1454*2.54)))*(1-(1/(VLOOKUP(D1454,'Species Codes'!B:Q,16,0)+VLOOKUP(D1454,'Species Codes'!B:R,17,0)*((E1454*2.54)^VLOOKUP(D1454,'Species Codes'!B:S,18,0)))))/1000,IF(D1454="DF",EXP(VLOOKUP(D1454,'Species Codes'!B:O,14,0)+VLOOKUP(D1454,'Species Codes'!B:P,15,0)*LN((E1454*2.54))),VLOOKUP(D1454,'Species Codes'!B:O,14,0)+VLOOKUP(D1454,'Species Codes'!B:P,15,0)*(((E1454*2.54)/100)^2)*(I1454*0.3048)))))*0.0011023),0)</f>
        <v>#N/A</v>
      </c>
      <c r="AD1454" s="104" t="e">
        <f t="shared" si="652"/>
        <v>#N/A</v>
      </c>
      <c r="AE1454" s="104" t="e">
        <f t="shared" si="653"/>
        <v>#N/A</v>
      </c>
      <c r="AF1454" s="104" t="e">
        <f>IF(AND(VLOOKUP($D1454,Merchantability!$B:$C,2,0)="Yes",$E1454&gt;=VLOOKUP($D1454,Merchantability!$B:$D,3,0),$E1454&lt;=VLOOKUP($D1454,Merchantability!$B:$E,4,0)),AA1454,0)</f>
        <v>#N/A</v>
      </c>
      <c r="AG1454" s="104" t="e">
        <f>IF(AND(VLOOKUP($D1454,Merchantability!$B:$C,2,0)="Yes",$E1454&gt;=VLOOKUP($D1454,Merchantability!$B:$D,3,0),$E1454&lt;=VLOOKUP($D1454,Merchantability!$B:$E,4,0)),AB1454,0)</f>
        <v>#N/A</v>
      </c>
      <c r="AH1454" s="104" t="e">
        <f>IF(AND(VLOOKUP($D1454,Merchantability!$B:$C,2,0)="Yes",$E1454&gt;=VLOOKUP($D1454,Merchantability!$B:$D,3,0),$E1454&lt;=VLOOKUP($D1454,Merchantability!$B:$E,4,0)),AC1454,0)</f>
        <v>#N/A</v>
      </c>
      <c r="AI1454" s="104" t="e">
        <f t="shared" si="654"/>
        <v>#N/A</v>
      </c>
      <c r="AJ1454" s="104" t="e">
        <f t="shared" si="655"/>
        <v>#VALUE!</v>
      </c>
      <c r="AK1454" s="104" t="e">
        <f t="shared" si="656"/>
        <v>#N/A</v>
      </c>
      <c r="AL1454" s="104" t="e">
        <f t="shared" si="657"/>
        <v>#N/A</v>
      </c>
      <c r="AM1454" s="104" t="e">
        <f t="shared" si="658"/>
        <v>#N/A</v>
      </c>
      <c r="AN1454" s="104" t="e">
        <f t="shared" si="642"/>
        <v>#N/A</v>
      </c>
      <c r="AO1454" s="104" t="e">
        <f t="shared" si="643"/>
        <v>#N/A</v>
      </c>
      <c r="AP1454" s="104" t="e">
        <f t="shared" si="644"/>
        <v>#N/A</v>
      </c>
      <c r="AQ1454" s="104" t="e">
        <f t="shared" si="645"/>
        <v>#N/A</v>
      </c>
      <c r="AR1454" s="105" t="str">
        <f t="shared" si="637"/>
        <v/>
      </c>
      <c r="AS1454" s="105" t="str">
        <f t="shared" si="638"/>
        <v/>
      </c>
      <c r="AT1454" s="108" t="str">
        <f t="shared" si="639"/>
        <v/>
      </c>
      <c r="AU1454" s="108" t="str">
        <f t="shared" si="640"/>
        <v/>
      </c>
      <c r="AV1454" s="107" t="str">
        <f>IF(ISNUMBER(O1454),IF(VLOOKUP($A1454,Stand!C:J,8,FALSE)="Short",AT1454,AU1454),"")</f>
        <v/>
      </c>
      <c r="AW1454" s="109" t="str">
        <f t="shared" si="646"/>
        <v/>
      </c>
      <c r="AX1454" s="109" t="str">
        <f t="shared" si="647"/>
        <v/>
      </c>
      <c r="AY1454" s="112" t="str">
        <f>IF(ISNUMBER(O1454),IF(AND(VLOOKUP($D1454,Merchantability!$B:$C,2,0)="Yes",$E1454&gt;=VLOOKUP($D1454,Merchantability!$B:$D,3,0),$E1454&lt;=VLOOKUP($D1454,Merchantability!$B:$E,4,0)),(AV1454*O1454)*(1-$H1454/100),""),"")</f>
        <v/>
      </c>
      <c r="AZ1454" s="116"/>
      <c r="BA1454" s="116"/>
      <c r="BB1454" s="116"/>
      <c r="BE1454" s="62"/>
      <c r="BF1454" s="63"/>
    </row>
    <row r="1455" spans="1:58" ht="12.75" customHeight="1" x14ac:dyDescent="0.25">
      <c r="A1455" s="333"/>
      <c r="B1455" s="334"/>
      <c r="C1455" s="332"/>
      <c r="D1455" s="334"/>
      <c r="E1455" s="335"/>
      <c r="F1455" s="334"/>
      <c r="G1455" s="332"/>
      <c r="H1455" s="332"/>
      <c r="I1455" s="334"/>
      <c r="J1455" s="336"/>
      <c r="K1455" s="332"/>
      <c r="L1455" s="332"/>
      <c r="M1455" s="76"/>
      <c r="N1455" s="103" t="str">
        <f>IF(A1455="","",VLOOKUP(A1455,Stand!C:K,9,0))</f>
        <v/>
      </c>
      <c r="O1455" s="104" t="str">
        <f t="shared" si="632"/>
        <v/>
      </c>
      <c r="P1455" s="105" t="str">
        <f t="shared" si="633"/>
        <v/>
      </c>
      <c r="Q1455" s="105" t="str">
        <f t="shared" si="648"/>
        <v/>
      </c>
      <c r="R1455" s="103" t="str">
        <f t="shared" si="634"/>
        <v/>
      </c>
      <c r="S1455" s="103" t="str">
        <f t="shared" si="635"/>
        <v/>
      </c>
      <c r="T1455" s="106" t="str">
        <f t="shared" si="649"/>
        <v/>
      </c>
      <c r="U1455" s="106" t="str">
        <f t="shared" si="650"/>
        <v/>
      </c>
      <c r="V1455" s="106" t="str">
        <f t="shared" si="651"/>
        <v/>
      </c>
      <c r="W1455" s="105" t="str">
        <f t="shared" si="636"/>
        <v/>
      </c>
      <c r="X1455" s="104" t="str">
        <f t="shared" si="641"/>
        <v/>
      </c>
      <c r="Y1455" s="104" t="str">
        <f t="array" ref="Y1455">IFERROR(IF(ISNUMBER(O1455),IF(COUNT(IF(A1455=$A$2:$A$2427,IF(D1455=$D$2:$D$2427,IF($X$2:$X$2427&gt;0,1))))&gt;0,SUM(IF(A1455=$A$2:$A$2427,IF(D1455=$D$2:$D$2427,$X$2:$X$2427)))/COUNT(IF(A1455=$A$2:$A$2427,IF(D1455=$D$2:$D$2427,IF(ISNUMBER($X$2:$X$2427),1)))),0),""),0)</f>
        <v/>
      </c>
      <c r="Z1455" s="104" t="str">
        <f>IF(ISNUMBER(O1455),IF(I1455&gt;0,(10^(VLOOKUP(D1455,'Species Codes'!B:C,2,0)+VLOOKUP(D1455,'Species Codes'!B:D,3,0)*LOG(E1455)+VLOOKUP(D1455,'Species Codes'!B:E,4,0)*LOG(I1455))),0),"")</f>
        <v/>
      </c>
      <c r="AA1455" s="104" t="str">
        <f>IFERROR((VLOOKUP(D1455,'Species Codes'!B:G,6,0)*Z1455)/2000,"")</f>
        <v/>
      </c>
      <c r="AB1455" s="104" t="e">
        <f>IF(Z1455&gt;0,((IF(OR(D1455="DF",D1455="RA")=TRUE,EXP(VLOOKUP(D1455,'Species Codes'!B:I,8,0)+VLOOKUP(D1455,'Species Codes'!B:J,9,0)*(LN((E1455*2.54)))),IF(OR(D1455="PY",D1455="RC",D1455="WH",D1455="NF")=TRUE,VLOOKUP(D1455,'Species Codes'!B:I,8,0)+VLOOKUP(D1455,'Species Codes'!B:J,9,0)*((E1455*2.54)^2)*(I1455*0.3048),IF(OR(D1455="MD",D1455="BM",D1455="GA")=TRUE,((VLOOKUP(D1455,'Species Codes'!B:I,8,0)*(((((E1455*2.54)+VLOOKUP(D1455,'Species Codes'!B:J,9,0))/VLOOKUP(D1455,'Species Codes'!B:K,10,0))^VLOOKUP(D1455,'Species Codes'!B:L,11,0))*((I1455*0.3048)^VLOOKUP(D1455,'Species Codes'!B:M,12,0))))-(VLOOKUP(D1455,'Species Codes'!B:I,8,0)*((((E1455*2.54)^VLOOKUP(D1455,'Species Codes'!B:L,11,0))*((I1455*0.3048)^VLOOKUP(D1455,'Species Codes'!B:M,12,0))))))*35.3*VLOOKUP(D1455,'Species Codes'!B:G,6,0)/2.2046,VLOOKUP(D1455,'Species Codes'!B:I,8,0)+VLOOKUP(D1455,'Species Codes'!B:J,9,0)*(((E1455*2.54)/100)^2)*(I1455*0.3048)))))*0.0011023),0)</f>
        <v>#N/A</v>
      </c>
      <c r="AC1455" s="104" t="e">
        <f>IF(Z1455&gt;0,((IF(OR(D1455="RA",D1455="OA",D1455="OT",D1455="UN",D1455="PC"),EXP(VLOOKUP(D1455,'Species Codes'!B:O,14,0)+VLOOKUP(D1455,'Species Codes'!B:P,15,0)*LN((E1455*2.54)))-EXP(VLOOKUP(D1455,'Species Codes'!B:O,14,0)+VLOOKUP(D1455,'Species Codes'!B:P,15,0)*LN((E1455*2.54)))*(1/(VLOOKUP(D1455,'Species Codes'!B:Q,16,0)+VLOOKUP(D1455,'Species Codes'!B:R,17,0)*((E1455*2.54)^VLOOKUP(D1455,'Species Codes'!B:S,18,0)))),IF(OR(D1455="BM",D1455="MD",D1455="OA"),EXP(VLOOKUP(D1455,'Species Codes'!B:O,14,0)+VLOOKUP(D1455,'Species Codes'!B:P,15,0)*LN((E1455*2.54)))*(1-(1/(VLOOKUP(D1455,'Species Codes'!B:Q,16,0)+VLOOKUP(D1455,'Species Codes'!B:R,17,0)*((E1455*2.54)^VLOOKUP(D1455,'Species Codes'!B:S,18,0)))))/1000,IF(D1455="DF",EXP(VLOOKUP(D1455,'Species Codes'!B:O,14,0)+VLOOKUP(D1455,'Species Codes'!B:P,15,0)*LN((E1455*2.54))),VLOOKUP(D1455,'Species Codes'!B:O,14,0)+VLOOKUP(D1455,'Species Codes'!B:P,15,0)*(((E1455*2.54)/100)^2)*(I1455*0.3048)))))*0.0011023),0)</f>
        <v>#N/A</v>
      </c>
      <c r="AD1455" s="104" t="e">
        <f t="shared" si="652"/>
        <v>#N/A</v>
      </c>
      <c r="AE1455" s="104" t="e">
        <f t="shared" si="653"/>
        <v>#N/A</v>
      </c>
      <c r="AF1455" s="104" t="e">
        <f>IF(AND(VLOOKUP($D1455,Merchantability!$B:$C,2,0)="Yes",$E1455&gt;=VLOOKUP($D1455,Merchantability!$B:$D,3,0),$E1455&lt;=VLOOKUP($D1455,Merchantability!$B:$E,4,0)),AA1455,0)</f>
        <v>#N/A</v>
      </c>
      <c r="AG1455" s="104" t="e">
        <f>IF(AND(VLOOKUP($D1455,Merchantability!$B:$C,2,0)="Yes",$E1455&gt;=VLOOKUP($D1455,Merchantability!$B:$D,3,0),$E1455&lt;=VLOOKUP($D1455,Merchantability!$B:$E,4,0)),AB1455,0)</f>
        <v>#N/A</v>
      </c>
      <c r="AH1455" s="104" t="e">
        <f>IF(AND(VLOOKUP($D1455,Merchantability!$B:$C,2,0)="Yes",$E1455&gt;=VLOOKUP($D1455,Merchantability!$B:$D,3,0),$E1455&lt;=VLOOKUP($D1455,Merchantability!$B:$E,4,0)),AC1455,0)</f>
        <v>#N/A</v>
      </c>
      <c r="AI1455" s="104" t="e">
        <f t="shared" si="654"/>
        <v>#N/A</v>
      </c>
      <c r="AJ1455" s="104" t="e">
        <f t="shared" si="655"/>
        <v>#VALUE!</v>
      </c>
      <c r="AK1455" s="104" t="e">
        <f t="shared" si="656"/>
        <v>#N/A</v>
      </c>
      <c r="AL1455" s="104" t="e">
        <f t="shared" si="657"/>
        <v>#N/A</v>
      </c>
      <c r="AM1455" s="104" t="e">
        <f t="shared" si="658"/>
        <v>#N/A</v>
      </c>
      <c r="AN1455" s="104" t="e">
        <f t="shared" si="642"/>
        <v>#N/A</v>
      </c>
      <c r="AO1455" s="104" t="e">
        <f t="shared" si="643"/>
        <v>#N/A</v>
      </c>
      <c r="AP1455" s="104" t="e">
        <f t="shared" si="644"/>
        <v>#N/A</v>
      </c>
      <c r="AQ1455" s="104" t="e">
        <f t="shared" si="645"/>
        <v>#N/A</v>
      </c>
      <c r="AR1455" s="105" t="str">
        <f t="shared" si="637"/>
        <v/>
      </c>
      <c r="AS1455" s="105" t="str">
        <f t="shared" si="638"/>
        <v/>
      </c>
      <c r="AT1455" s="108" t="str">
        <f t="shared" si="639"/>
        <v/>
      </c>
      <c r="AU1455" s="108" t="str">
        <f t="shared" si="640"/>
        <v/>
      </c>
      <c r="AV1455" s="107" t="str">
        <f>IF(ISNUMBER(O1455),IF(VLOOKUP($A1455,Stand!C:J,8,FALSE)="Short",AT1455,AU1455),"")</f>
        <v/>
      </c>
      <c r="AW1455" s="109" t="str">
        <f t="shared" si="646"/>
        <v/>
      </c>
      <c r="AX1455" s="109" t="str">
        <f t="shared" si="647"/>
        <v/>
      </c>
      <c r="AY1455" s="112" t="str">
        <f>IF(ISNUMBER(O1455),IF(AND(VLOOKUP($D1455,Merchantability!$B:$C,2,0)="Yes",$E1455&gt;=VLOOKUP($D1455,Merchantability!$B:$D,3,0),$E1455&lt;=VLOOKUP($D1455,Merchantability!$B:$E,4,0)),(AV1455*O1455)*(1-$H1455/100),""),"")</f>
        <v/>
      </c>
      <c r="AZ1455" s="116"/>
      <c r="BA1455" s="116"/>
      <c r="BB1455" s="116"/>
      <c r="BE1455" s="62"/>
      <c r="BF1455" s="63"/>
    </row>
    <row r="1456" spans="1:58" ht="12.75" customHeight="1" x14ac:dyDescent="0.25">
      <c r="A1456" s="333"/>
      <c r="B1456" s="334"/>
      <c r="C1456" s="332"/>
      <c r="D1456" s="334"/>
      <c r="E1456" s="335"/>
      <c r="F1456" s="334"/>
      <c r="G1456" s="332"/>
      <c r="H1456" s="332"/>
      <c r="I1456" s="334"/>
      <c r="J1456" s="336"/>
      <c r="K1456" s="332"/>
      <c r="L1456" s="332"/>
      <c r="M1456" s="76"/>
      <c r="N1456" s="103" t="str">
        <f>IF(A1456="","",VLOOKUP(A1456,Stand!C:K,9,0))</f>
        <v/>
      </c>
      <c r="O1456" s="104" t="str">
        <f t="shared" si="632"/>
        <v/>
      </c>
      <c r="P1456" s="105" t="str">
        <f t="shared" si="633"/>
        <v/>
      </c>
      <c r="Q1456" s="105" t="str">
        <f t="shared" si="648"/>
        <v/>
      </c>
      <c r="R1456" s="103" t="str">
        <f t="shared" si="634"/>
        <v/>
      </c>
      <c r="S1456" s="103" t="str">
        <f t="shared" si="635"/>
        <v/>
      </c>
      <c r="T1456" s="106" t="str">
        <f t="shared" si="649"/>
        <v/>
      </c>
      <c r="U1456" s="106" t="str">
        <f t="shared" si="650"/>
        <v/>
      </c>
      <c r="V1456" s="106" t="str">
        <f t="shared" si="651"/>
        <v/>
      </c>
      <c r="W1456" s="105" t="str">
        <f t="shared" si="636"/>
        <v/>
      </c>
      <c r="X1456" s="104" t="str">
        <f t="shared" si="641"/>
        <v/>
      </c>
      <c r="Y1456" s="104" t="str">
        <f t="array" ref="Y1456">IFERROR(IF(ISNUMBER(O1456),IF(COUNT(IF(A1456=$A$2:$A$2427,IF(D1456=$D$2:$D$2427,IF($X$2:$X$2427&gt;0,1))))&gt;0,SUM(IF(A1456=$A$2:$A$2427,IF(D1456=$D$2:$D$2427,$X$2:$X$2427)))/COUNT(IF(A1456=$A$2:$A$2427,IF(D1456=$D$2:$D$2427,IF(ISNUMBER($X$2:$X$2427),1)))),0),""),0)</f>
        <v/>
      </c>
      <c r="Z1456" s="104" t="str">
        <f>IF(ISNUMBER(O1456),IF(I1456&gt;0,(10^(VLOOKUP(D1456,'Species Codes'!B:C,2,0)+VLOOKUP(D1456,'Species Codes'!B:D,3,0)*LOG(E1456)+VLOOKUP(D1456,'Species Codes'!B:E,4,0)*LOG(I1456))),0),"")</f>
        <v/>
      </c>
      <c r="AA1456" s="104" t="str">
        <f>IFERROR((VLOOKUP(D1456,'Species Codes'!B:G,6,0)*Z1456)/2000,"")</f>
        <v/>
      </c>
      <c r="AB1456" s="104" t="e">
        <f>IF(Z1456&gt;0,((IF(OR(D1456="DF",D1456="RA")=TRUE,EXP(VLOOKUP(D1456,'Species Codes'!B:I,8,0)+VLOOKUP(D1456,'Species Codes'!B:J,9,0)*(LN((E1456*2.54)))),IF(OR(D1456="PY",D1456="RC",D1456="WH",D1456="NF")=TRUE,VLOOKUP(D1456,'Species Codes'!B:I,8,0)+VLOOKUP(D1456,'Species Codes'!B:J,9,0)*((E1456*2.54)^2)*(I1456*0.3048),IF(OR(D1456="MD",D1456="BM",D1456="GA")=TRUE,((VLOOKUP(D1456,'Species Codes'!B:I,8,0)*(((((E1456*2.54)+VLOOKUP(D1456,'Species Codes'!B:J,9,0))/VLOOKUP(D1456,'Species Codes'!B:K,10,0))^VLOOKUP(D1456,'Species Codes'!B:L,11,0))*((I1456*0.3048)^VLOOKUP(D1456,'Species Codes'!B:M,12,0))))-(VLOOKUP(D1456,'Species Codes'!B:I,8,0)*((((E1456*2.54)^VLOOKUP(D1456,'Species Codes'!B:L,11,0))*((I1456*0.3048)^VLOOKUP(D1456,'Species Codes'!B:M,12,0))))))*35.3*VLOOKUP(D1456,'Species Codes'!B:G,6,0)/2.2046,VLOOKUP(D1456,'Species Codes'!B:I,8,0)+VLOOKUP(D1456,'Species Codes'!B:J,9,0)*(((E1456*2.54)/100)^2)*(I1456*0.3048)))))*0.0011023),0)</f>
        <v>#N/A</v>
      </c>
      <c r="AC1456" s="104" t="e">
        <f>IF(Z1456&gt;0,((IF(OR(D1456="RA",D1456="OA",D1456="OT",D1456="UN",D1456="PC"),EXP(VLOOKUP(D1456,'Species Codes'!B:O,14,0)+VLOOKUP(D1456,'Species Codes'!B:P,15,0)*LN((E1456*2.54)))-EXP(VLOOKUP(D1456,'Species Codes'!B:O,14,0)+VLOOKUP(D1456,'Species Codes'!B:P,15,0)*LN((E1456*2.54)))*(1/(VLOOKUP(D1456,'Species Codes'!B:Q,16,0)+VLOOKUP(D1456,'Species Codes'!B:R,17,0)*((E1456*2.54)^VLOOKUP(D1456,'Species Codes'!B:S,18,0)))),IF(OR(D1456="BM",D1456="MD",D1456="OA"),EXP(VLOOKUP(D1456,'Species Codes'!B:O,14,0)+VLOOKUP(D1456,'Species Codes'!B:P,15,0)*LN((E1456*2.54)))*(1-(1/(VLOOKUP(D1456,'Species Codes'!B:Q,16,0)+VLOOKUP(D1456,'Species Codes'!B:R,17,0)*((E1456*2.54)^VLOOKUP(D1456,'Species Codes'!B:S,18,0)))))/1000,IF(D1456="DF",EXP(VLOOKUP(D1456,'Species Codes'!B:O,14,0)+VLOOKUP(D1456,'Species Codes'!B:P,15,0)*LN((E1456*2.54))),VLOOKUP(D1456,'Species Codes'!B:O,14,0)+VLOOKUP(D1456,'Species Codes'!B:P,15,0)*(((E1456*2.54)/100)^2)*(I1456*0.3048)))))*0.0011023),0)</f>
        <v>#N/A</v>
      </c>
      <c r="AD1456" s="104" t="e">
        <f t="shared" si="652"/>
        <v>#N/A</v>
      </c>
      <c r="AE1456" s="104" t="e">
        <f t="shared" si="653"/>
        <v>#N/A</v>
      </c>
      <c r="AF1456" s="104" t="e">
        <f>IF(AND(VLOOKUP($D1456,Merchantability!$B:$C,2,0)="Yes",$E1456&gt;=VLOOKUP($D1456,Merchantability!$B:$D,3,0),$E1456&lt;=VLOOKUP($D1456,Merchantability!$B:$E,4,0)),AA1456,0)</f>
        <v>#N/A</v>
      </c>
      <c r="AG1456" s="104" t="e">
        <f>IF(AND(VLOOKUP($D1456,Merchantability!$B:$C,2,0)="Yes",$E1456&gt;=VLOOKUP($D1456,Merchantability!$B:$D,3,0),$E1456&lt;=VLOOKUP($D1456,Merchantability!$B:$E,4,0)),AB1456,0)</f>
        <v>#N/A</v>
      </c>
      <c r="AH1456" s="104" t="e">
        <f>IF(AND(VLOOKUP($D1456,Merchantability!$B:$C,2,0)="Yes",$E1456&gt;=VLOOKUP($D1456,Merchantability!$B:$D,3,0),$E1456&lt;=VLOOKUP($D1456,Merchantability!$B:$E,4,0)),AC1456,0)</f>
        <v>#N/A</v>
      </c>
      <c r="AI1456" s="104" t="e">
        <f t="shared" si="654"/>
        <v>#N/A</v>
      </c>
      <c r="AJ1456" s="104" t="e">
        <f t="shared" si="655"/>
        <v>#VALUE!</v>
      </c>
      <c r="AK1456" s="104" t="e">
        <f t="shared" si="656"/>
        <v>#N/A</v>
      </c>
      <c r="AL1456" s="104" t="e">
        <f t="shared" si="657"/>
        <v>#N/A</v>
      </c>
      <c r="AM1456" s="104" t="e">
        <f t="shared" si="658"/>
        <v>#N/A</v>
      </c>
      <c r="AN1456" s="104" t="e">
        <f t="shared" si="642"/>
        <v>#N/A</v>
      </c>
      <c r="AO1456" s="104" t="e">
        <f t="shared" si="643"/>
        <v>#N/A</v>
      </c>
      <c r="AP1456" s="104" t="e">
        <f t="shared" si="644"/>
        <v>#N/A</v>
      </c>
      <c r="AQ1456" s="104" t="e">
        <f t="shared" si="645"/>
        <v>#N/A</v>
      </c>
      <c r="AR1456" s="105" t="str">
        <f t="shared" si="637"/>
        <v/>
      </c>
      <c r="AS1456" s="105" t="str">
        <f t="shared" si="638"/>
        <v/>
      </c>
      <c r="AT1456" s="108" t="str">
        <f t="shared" si="639"/>
        <v/>
      </c>
      <c r="AU1456" s="108" t="str">
        <f t="shared" si="640"/>
        <v/>
      </c>
      <c r="AV1456" s="107" t="str">
        <f>IF(ISNUMBER(O1456),IF(VLOOKUP($A1456,Stand!C:J,8,FALSE)="Short",AT1456,AU1456),"")</f>
        <v/>
      </c>
      <c r="AW1456" s="109" t="str">
        <f t="shared" si="646"/>
        <v/>
      </c>
      <c r="AX1456" s="109" t="str">
        <f t="shared" si="647"/>
        <v/>
      </c>
      <c r="AY1456" s="112" t="str">
        <f>IF(ISNUMBER(O1456),IF(AND(VLOOKUP($D1456,Merchantability!$B:$C,2,0)="Yes",$E1456&gt;=VLOOKUP($D1456,Merchantability!$B:$D,3,0),$E1456&lt;=VLOOKUP($D1456,Merchantability!$B:$E,4,0)),(AV1456*O1456)*(1-$H1456/100),""),"")</f>
        <v/>
      </c>
      <c r="AZ1456" s="116"/>
      <c r="BA1456" s="116"/>
      <c r="BB1456" s="116"/>
      <c r="BE1456" s="62"/>
      <c r="BF1456" s="63"/>
    </row>
    <row r="1457" spans="1:58" ht="12.75" customHeight="1" x14ac:dyDescent="0.25">
      <c r="A1457" s="333"/>
      <c r="B1457" s="334"/>
      <c r="C1457" s="332"/>
      <c r="D1457" s="334"/>
      <c r="E1457" s="335"/>
      <c r="F1457" s="334"/>
      <c r="G1457" s="332"/>
      <c r="H1457" s="332"/>
      <c r="I1457" s="334"/>
      <c r="J1457" s="336"/>
      <c r="K1457" s="332"/>
      <c r="L1457" s="332"/>
      <c r="M1457" s="76"/>
      <c r="N1457" s="103" t="str">
        <f>IF(A1457="","",VLOOKUP(A1457,Stand!C:K,9,0))</f>
        <v/>
      </c>
      <c r="O1457" s="104" t="str">
        <f t="shared" si="632"/>
        <v/>
      </c>
      <c r="P1457" s="105" t="str">
        <f t="shared" si="633"/>
        <v/>
      </c>
      <c r="Q1457" s="105" t="str">
        <f t="shared" si="648"/>
        <v/>
      </c>
      <c r="R1457" s="103" t="str">
        <f t="shared" si="634"/>
        <v/>
      </c>
      <c r="S1457" s="103" t="str">
        <f t="shared" si="635"/>
        <v/>
      </c>
      <c r="T1457" s="106" t="str">
        <f t="shared" si="649"/>
        <v/>
      </c>
      <c r="U1457" s="106" t="str">
        <f t="shared" si="650"/>
        <v/>
      </c>
      <c r="V1457" s="106" t="str">
        <f t="shared" si="651"/>
        <v/>
      </c>
      <c r="W1457" s="105" t="str">
        <f t="shared" si="636"/>
        <v/>
      </c>
      <c r="X1457" s="104" t="str">
        <f t="shared" si="641"/>
        <v/>
      </c>
      <c r="Y1457" s="104" t="str">
        <f t="array" ref="Y1457">IFERROR(IF(ISNUMBER(O1457),IF(COUNT(IF(A1457=$A$2:$A$2427,IF(D1457=$D$2:$D$2427,IF($X$2:$X$2427&gt;0,1))))&gt;0,SUM(IF(A1457=$A$2:$A$2427,IF(D1457=$D$2:$D$2427,$X$2:$X$2427)))/COUNT(IF(A1457=$A$2:$A$2427,IF(D1457=$D$2:$D$2427,IF(ISNUMBER($X$2:$X$2427),1)))),0),""),0)</f>
        <v/>
      </c>
      <c r="Z1457" s="104" t="str">
        <f>IF(ISNUMBER(O1457),IF(I1457&gt;0,(10^(VLOOKUP(D1457,'Species Codes'!B:C,2,0)+VLOOKUP(D1457,'Species Codes'!B:D,3,0)*LOG(E1457)+VLOOKUP(D1457,'Species Codes'!B:E,4,0)*LOG(I1457))),0),"")</f>
        <v/>
      </c>
      <c r="AA1457" s="104" t="str">
        <f>IFERROR((VLOOKUP(D1457,'Species Codes'!B:G,6,0)*Z1457)/2000,"")</f>
        <v/>
      </c>
      <c r="AB1457" s="104" t="e">
        <f>IF(Z1457&gt;0,((IF(OR(D1457="DF",D1457="RA")=TRUE,EXP(VLOOKUP(D1457,'Species Codes'!B:I,8,0)+VLOOKUP(D1457,'Species Codes'!B:J,9,0)*(LN((E1457*2.54)))),IF(OR(D1457="PY",D1457="RC",D1457="WH",D1457="NF")=TRUE,VLOOKUP(D1457,'Species Codes'!B:I,8,0)+VLOOKUP(D1457,'Species Codes'!B:J,9,0)*((E1457*2.54)^2)*(I1457*0.3048),IF(OR(D1457="MD",D1457="BM",D1457="GA")=TRUE,((VLOOKUP(D1457,'Species Codes'!B:I,8,0)*(((((E1457*2.54)+VLOOKUP(D1457,'Species Codes'!B:J,9,0))/VLOOKUP(D1457,'Species Codes'!B:K,10,0))^VLOOKUP(D1457,'Species Codes'!B:L,11,0))*((I1457*0.3048)^VLOOKUP(D1457,'Species Codes'!B:M,12,0))))-(VLOOKUP(D1457,'Species Codes'!B:I,8,0)*((((E1457*2.54)^VLOOKUP(D1457,'Species Codes'!B:L,11,0))*((I1457*0.3048)^VLOOKUP(D1457,'Species Codes'!B:M,12,0))))))*35.3*VLOOKUP(D1457,'Species Codes'!B:G,6,0)/2.2046,VLOOKUP(D1457,'Species Codes'!B:I,8,0)+VLOOKUP(D1457,'Species Codes'!B:J,9,0)*(((E1457*2.54)/100)^2)*(I1457*0.3048)))))*0.0011023),0)</f>
        <v>#N/A</v>
      </c>
      <c r="AC1457" s="104" t="e">
        <f>IF(Z1457&gt;0,((IF(OR(D1457="RA",D1457="OA",D1457="OT",D1457="UN",D1457="PC"),EXP(VLOOKUP(D1457,'Species Codes'!B:O,14,0)+VLOOKUP(D1457,'Species Codes'!B:P,15,0)*LN((E1457*2.54)))-EXP(VLOOKUP(D1457,'Species Codes'!B:O,14,0)+VLOOKUP(D1457,'Species Codes'!B:P,15,0)*LN((E1457*2.54)))*(1/(VLOOKUP(D1457,'Species Codes'!B:Q,16,0)+VLOOKUP(D1457,'Species Codes'!B:R,17,0)*((E1457*2.54)^VLOOKUP(D1457,'Species Codes'!B:S,18,0)))),IF(OR(D1457="BM",D1457="MD",D1457="OA"),EXP(VLOOKUP(D1457,'Species Codes'!B:O,14,0)+VLOOKUP(D1457,'Species Codes'!B:P,15,0)*LN((E1457*2.54)))*(1-(1/(VLOOKUP(D1457,'Species Codes'!B:Q,16,0)+VLOOKUP(D1457,'Species Codes'!B:R,17,0)*((E1457*2.54)^VLOOKUP(D1457,'Species Codes'!B:S,18,0)))))/1000,IF(D1457="DF",EXP(VLOOKUP(D1457,'Species Codes'!B:O,14,0)+VLOOKUP(D1457,'Species Codes'!B:P,15,0)*LN((E1457*2.54))),VLOOKUP(D1457,'Species Codes'!B:O,14,0)+VLOOKUP(D1457,'Species Codes'!B:P,15,0)*(((E1457*2.54)/100)^2)*(I1457*0.3048)))))*0.0011023),0)</f>
        <v>#N/A</v>
      </c>
      <c r="AD1457" s="104" t="e">
        <f t="shared" si="652"/>
        <v>#N/A</v>
      </c>
      <c r="AE1457" s="104" t="e">
        <f t="shared" si="653"/>
        <v>#N/A</v>
      </c>
      <c r="AF1457" s="104" t="e">
        <f>IF(AND(VLOOKUP($D1457,Merchantability!$B:$C,2,0)="Yes",$E1457&gt;=VLOOKUP($D1457,Merchantability!$B:$D,3,0),$E1457&lt;=VLOOKUP($D1457,Merchantability!$B:$E,4,0)),AA1457,0)</f>
        <v>#N/A</v>
      </c>
      <c r="AG1457" s="104" t="e">
        <f>IF(AND(VLOOKUP($D1457,Merchantability!$B:$C,2,0)="Yes",$E1457&gt;=VLOOKUP($D1457,Merchantability!$B:$D,3,0),$E1457&lt;=VLOOKUP($D1457,Merchantability!$B:$E,4,0)),AB1457,0)</f>
        <v>#N/A</v>
      </c>
      <c r="AH1457" s="104" t="e">
        <f>IF(AND(VLOOKUP($D1457,Merchantability!$B:$C,2,0)="Yes",$E1457&gt;=VLOOKUP($D1457,Merchantability!$B:$D,3,0),$E1457&lt;=VLOOKUP($D1457,Merchantability!$B:$E,4,0)),AC1457,0)</f>
        <v>#N/A</v>
      </c>
      <c r="AI1457" s="104" t="e">
        <f t="shared" si="654"/>
        <v>#N/A</v>
      </c>
      <c r="AJ1457" s="104" t="e">
        <f t="shared" si="655"/>
        <v>#VALUE!</v>
      </c>
      <c r="AK1457" s="104" t="e">
        <f t="shared" si="656"/>
        <v>#N/A</v>
      </c>
      <c r="AL1457" s="104" t="e">
        <f t="shared" si="657"/>
        <v>#N/A</v>
      </c>
      <c r="AM1457" s="104" t="e">
        <f t="shared" si="658"/>
        <v>#N/A</v>
      </c>
      <c r="AN1457" s="104" t="e">
        <f t="shared" si="642"/>
        <v>#N/A</v>
      </c>
      <c r="AO1457" s="104" t="e">
        <f t="shared" si="643"/>
        <v>#N/A</v>
      </c>
      <c r="AP1457" s="104" t="e">
        <f t="shared" si="644"/>
        <v>#N/A</v>
      </c>
      <c r="AQ1457" s="104" t="e">
        <f t="shared" si="645"/>
        <v>#N/A</v>
      </c>
      <c r="AR1457" s="105" t="str">
        <f t="shared" si="637"/>
        <v/>
      </c>
      <c r="AS1457" s="105" t="str">
        <f t="shared" si="638"/>
        <v/>
      </c>
      <c r="AT1457" s="108" t="str">
        <f t="shared" si="639"/>
        <v/>
      </c>
      <c r="AU1457" s="108" t="str">
        <f t="shared" si="640"/>
        <v/>
      </c>
      <c r="AV1457" s="107" t="str">
        <f>IF(ISNUMBER(O1457),IF(VLOOKUP($A1457,Stand!C:J,8,FALSE)="Short",AT1457,AU1457),"")</f>
        <v/>
      </c>
      <c r="AW1457" s="109" t="str">
        <f t="shared" si="646"/>
        <v/>
      </c>
      <c r="AX1457" s="109" t="str">
        <f t="shared" si="647"/>
        <v/>
      </c>
      <c r="AY1457" s="112" t="str">
        <f>IF(ISNUMBER(O1457),IF(AND(VLOOKUP($D1457,Merchantability!$B:$C,2,0)="Yes",$E1457&gt;=VLOOKUP($D1457,Merchantability!$B:$D,3,0),$E1457&lt;=VLOOKUP($D1457,Merchantability!$B:$E,4,0)),(AV1457*O1457)*(1-$H1457/100),""),"")</f>
        <v/>
      </c>
      <c r="AZ1457" s="116"/>
      <c r="BA1457" s="116"/>
      <c r="BB1457" s="116"/>
      <c r="BE1457" s="62"/>
      <c r="BF1457" s="63"/>
    </row>
    <row r="1458" spans="1:58" ht="12.75" customHeight="1" x14ac:dyDescent="0.25">
      <c r="A1458" s="333"/>
      <c r="B1458" s="334"/>
      <c r="C1458" s="332"/>
      <c r="D1458" s="334"/>
      <c r="E1458" s="335"/>
      <c r="F1458" s="334"/>
      <c r="G1458" s="332"/>
      <c r="H1458" s="332"/>
      <c r="I1458" s="334"/>
      <c r="J1458" s="336"/>
      <c r="K1458" s="332"/>
      <c r="L1458" s="332"/>
      <c r="M1458" s="76"/>
      <c r="N1458" s="103" t="str">
        <f>IF(A1458="","",VLOOKUP(A1458,Stand!C:K,9,0))</f>
        <v/>
      </c>
      <c r="O1458" s="104" t="str">
        <f t="shared" si="632"/>
        <v/>
      </c>
      <c r="P1458" s="105" t="str">
        <f t="shared" si="633"/>
        <v/>
      </c>
      <c r="Q1458" s="105" t="str">
        <f t="shared" si="648"/>
        <v/>
      </c>
      <c r="R1458" s="103" t="str">
        <f t="shared" si="634"/>
        <v/>
      </c>
      <c r="S1458" s="103" t="str">
        <f t="shared" si="635"/>
        <v/>
      </c>
      <c r="T1458" s="106" t="str">
        <f t="shared" si="649"/>
        <v/>
      </c>
      <c r="U1458" s="106" t="str">
        <f t="shared" si="650"/>
        <v/>
      </c>
      <c r="V1458" s="106" t="str">
        <f t="shared" si="651"/>
        <v/>
      </c>
      <c r="W1458" s="105" t="str">
        <f t="shared" si="636"/>
        <v/>
      </c>
      <c r="X1458" s="104" t="str">
        <f t="shared" si="641"/>
        <v/>
      </c>
      <c r="Y1458" s="104" t="str">
        <f t="array" ref="Y1458">IFERROR(IF(ISNUMBER(O1458),IF(COUNT(IF(A1458=$A$2:$A$2427,IF(D1458=$D$2:$D$2427,IF($X$2:$X$2427&gt;0,1))))&gt;0,SUM(IF(A1458=$A$2:$A$2427,IF(D1458=$D$2:$D$2427,$X$2:$X$2427)))/COUNT(IF(A1458=$A$2:$A$2427,IF(D1458=$D$2:$D$2427,IF(ISNUMBER($X$2:$X$2427),1)))),0),""),0)</f>
        <v/>
      </c>
      <c r="Z1458" s="104" t="str">
        <f>IF(ISNUMBER(O1458),IF(I1458&gt;0,(10^(VLOOKUP(D1458,'Species Codes'!B:C,2,0)+VLOOKUP(D1458,'Species Codes'!B:D,3,0)*LOG(E1458)+VLOOKUP(D1458,'Species Codes'!B:E,4,0)*LOG(I1458))),0),"")</f>
        <v/>
      </c>
      <c r="AA1458" s="104" t="str">
        <f>IFERROR((VLOOKUP(D1458,'Species Codes'!B:G,6,0)*Z1458)/2000,"")</f>
        <v/>
      </c>
      <c r="AB1458" s="104" t="e">
        <f>IF(Z1458&gt;0,((IF(OR(D1458="DF",D1458="RA")=TRUE,EXP(VLOOKUP(D1458,'Species Codes'!B:I,8,0)+VLOOKUP(D1458,'Species Codes'!B:J,9,0)*(LN((E1458*2.54)))),IF(OR(D1458="PY",D1458="RC",D1458="WH",D1458="NF")=TRUE,VLOOKUP(D1458,'Species Codes'!B:I,8,0)+VLOOKUP(D1458,'Species Codes'!B:J,9,0)*((E1458*2.54)^2)*(I1458*0.3048),IF(OR(D1458="MD",D1458="BM",D1458="GA")=TRUE,((VLOOKUP(D1458,'Species Codes'!B:I,8,0)*(((((E1458*2.54)+VLOOKUP(D1458,'Species Codes'!B:J,9,0))/VLOOKUP(D1458,'Species Codes'!B:K,10,0))^VLOOKUP(D1458,'Species Codes'!B:L,11,0))*((I1458*0.3048)^VLOOKUP(D1458,'Species Codes'!B:M,12,0))))-(VLOOKUP(D1458,'Species Codes'!B:I,8,0)*((((E1458*2.54)^VLOOKUP(D1458,'Species Codes'!B:L,11,0))*((I1458*0.3048)^VLOOKUP(D1458,'Species Codes'!B:M,12,0))))))*35.3*VLOOKUP(D1458,'Species Codes'!B:G,6,0)/2.2046,VLOOKUP(D1458,'Species Codes'!B:I,8,0)+VLOOKUP(D1458,'Species Codes'!B:J,9,0)*(((E1458*2.54)/100)^2)*(I1458*0.3048)))))*0.0011023),0)</f>
        <v>#N/A</v>
      </c>
      <c r="AC1458" s="104" t="e">
        <f>IF(Z1458&gt;0,((IF(OR(D1458="RA",D1458="OA",D1458="OT",D1458="UN",D1458="PC"),EXP(VLOOKUP(D1458,'Species Codes'!B:O,14,0)+VLOOKUP(D1458,'Species Codes'!B:P,15,0)*LN((E1458*2.54)))-EXP(VLOOKUP(D1458,'Species Codes'!B:O,14,0)+VLOOKUP(D1458,'Species Codes'!B:P,15,0)*LN((E1458*2.54)))*(1/(VLOOKUP(D1458,'Species Codes'!B:Q,16,0)+VLOOKUP(D1458,'Species Codes'!B:R,17,0)*((E1458*2.54)^VLOOKUP(D1458,'Species Codes'!B:S,18,0)))),IF(OR(D1458="BM",D1458="MD",D1458="OA"),EXP(VLOOKUP(D1458,'Species Codes'!B:O,14,0)+VLOOKUP(D1458,'Species Codes'!B:P,15,0)*LN((E1458*2.54)))*(1-(1/(VLOOKUP(D1458,'Species Codes'!B:Q,16,0)+VLOOKUP(D1458,'Species Codes'!B:R,17,0)*((E1458*2.54)^VLOOKUP(D1458,'Species Codes'!B:S,18,0)))))/1000,IF(D1458="DF",EXP(VLOOKUP(D1458,'Species Codes'!B:O,14,0)+VLOOKUP(D1458,'Species Codes'!B:P,15,0)*LN((E1458*2.54))),VLOOKUP(D1458,'Species Codes'!B:O,14,0)+VLOOKUP(D1458,'Species Codes'!B:P,15,0)*(((E1458*2.54)/100)^2)*(I1458*0.3048)))))*0.0011023),0)</f>
        <v>#N/A</v>
      </c>
      <c r="AD1458" s="104" t="e">
        <f t="shared" si="652"/>
        <v>#N/A</v>
      </c>
      <c r="AE1458" s="104" t="e">
        <f t="shared" si="653"/>
        <v>#N/A</v>
      </c>
      <c r="AF1458" s="104" t="e">
        <f>IF(AND(VLOOKUP($D1458,Merchantability!$B:$C,2,0)="Yes",$E1458&gt;=VLOOKUP($D1458,Merchantability!$B:$D,3,0),$E1458&lt;=VLOOKUP($D1458,Merchantability!$B:$E,4,0)),AA1458,0)</f>
        <v>#N/A</v>
      </c>
      <c r="AG1458" s="104" t="e">
        <f>IF(AND(VLOOKUP($D1458,Merchantability!$B:$C,2,0)="Yes",$E1458&gt;=VLOOKUP($D1458,Merchantability!$B:$D,3,0),$E1458&lt;=VLOOKUP($D1458,Merchantability!$B:$E,4,0)),AB1458,0)</f>
        <v>#N/A</v>
      </c>
      <c r="AH1458" s="104" t="e">
        <f>IF(AND(VLOOKUP($D1458,Merchantability!$B:$C,2,0)="Yes",$E1458&gt;=VLOOKUP($D1458,Merchantability!$B:$D,3,0),$E1458&lt;=VLOOKUP($D1458,Merchantability!$B:$E,4,0)),AC1458,0)</f>
        <v>#N/A</v>
      </c>
      <c r="AI1458" s="104" t="e">
        <f t="shared" si="654"/>
        <v>#N/A</v>
      </c>
      <c r="AJ1458" s="104" t="e">
        <f t="shared" si="655"/>
        <v>#VALUE!</v>
      </c>
      <c r="AK1458" s="104" t="e">
        <f t="shared" si="656"/>
        <v>#N/A</v>
      </c>
      <c r="AL1458" s="104" t="e">
        <f t="shared" si="657"/>
        <v>#N/A</v>
      </c>
      <c r="AM1458" s="104" t="e">
        <f t="shared" si="658"/>
        <v>#N/A</v>
      </c>
      <c r="AN1458" s="104" t="e">
        <f t="shared" si="642"/>
        <v>#N/A</v>
      </c>
      <c r="AO1458" s="104" t="e">
        <f t="shared" si="643"/>
        <v>#N/A</v>
      </c>
      <c r="AP1458" s="104" t="e">
        <f t="shared" si="644"/>
        <v>#N/A</v>
      </c>
      <c r="AQ1458" s="104" t="e">
        <f t="shared" si="645"/>
        <v>#N/A</v>
      </c>
      <c r="AR1458" s="105" t="str">
        <f t="shared" si="637"/>
        <v/>
      </c>
      <c r="AS1458" s="105" t="str">
        <f t="shared" si="638"/>
        <v/>
      </c>
      <c r="AT1458" s="108" t="str">
        <f t="shared" si="639"/>
        <v/>
      </c>
      <c r="AU1458" s="108" t="str">
        <f t="shared" si="640"/>
        <v/>
      </c>
      <c r="AV1458" s="107" t="str">
        <f>IF(ISNUMBER(O1458),IF(VLOOKUP($A1458,Stand!C:J,8,FALSE)="Short",AT1458,AU1458),"")</f>
        <v/>
      </c>
      <c r="AW1458" s="109" t="str">
        <f t="shared" si="646"/>
        <v/>
      </c>
      <c r="AX1458" s="109" t="str">
        <f t="shared" si="647"/>
        <v/>
      </c>
      <c r="AY1458" s="112" t="str">
        <f>IF(ISNUMBER(O1458),IF(AND(VLOOKUP($D1458,Merchantability!$B:$C,2,0)="Yes",$E1458&gt;=VLOOKUP($D1458,Merchantability!$B:$D,3,0),$E1458&lt;=VLOOKUP($D1458,Merchantability!$B:$E,4,0)),(AV1458*O1458)*(1-$H1458/100),""),"")</f>
        <v/>
      </c>
      <c r="AZ1458" s="116"/>
      <c r="BA1458" s="116"/>
      <c r="BB1458" s="116"/>
      <c r="BE1458" s="62"/>
      <c r="BF1458" s="63"/>
    </row>
    <row r="1459" spans="1:58" ht="12.75" customHeight="1" x14ac:dyDescent="0.25">
      <c r="A1459" s="333"/>
      <c r="B1459" s="334"/>
      <c r="C1459" s="332"/>
      <c r="D1459" s="334"/>
      <c r="E1459" s="335"/>
      <c r="F1459" s="334"/>
      <c r="G1459" s="332"/>
      <c r="H1459" s="332"/>
      <c r="I1459" s="334"/>
      <c r="J1459" s="336"/>
      <c r="K1459" s="332"/>
      <c r="L1459" s="332"/>
      <c r="M1459" s="76"/>
      <c r="N1459" s="103" t="str">
        <f>IF(A1459="","",VLOOKUP(A1459,Stand!C:K,9,0))</f>
        <v/>
      </c>
      <c r="O1459" s="104" t="str">
        <f t="shared" si="632"/>
        <v/>
      </c>
      <c r="P1459" s="105" t="str">
        <f t="shared" si="633"/>
        <v/>
      </c>
      <c r="Q1459" s="105" t="str">
        <f t="shared" si="648"/>
        <v/>
      </c>
      <c r="R1459" s="103" t="str">
        <f t="shared" si="634"/>
        <v/>
      </c>
      <c r="S1459" s="103" t="str">
        <f t="shared" si="635"/>
        <v/>
      </c>
      <c r="T1459" s="106" t="str">
        <f t="shared" si="649"/>
        <v/>
      </c>
      <c r="U1459" s="106" t="str">
        <f t="shared" si="650"/>
        <v/>
      </c>
      <c r="V1459" s="106" t="str">
        <f t="shared" si="651"/>
        <v/>
      </c>
      <c r="W1459" s="105" t="str">
        <f t="shared" si="636"/>
        <v/>
      </c>
      <c r="X1459" s="104" t="str">
        <f t="shared" si="641"/>
        <v/>
      </c>
      <c r="Y1459" s="104" t="str">
        <f t="array" ref="Y1459">IFERROR(IF(ISNUMBER(O1459),IF(COUNT(IF(A1459=$A$2:$A$2427,IF(D1459=$D$2:$D$2427,IF($X$2:$X$2427&gt;0,1))))&gt;0,SUM(IF(A1459=$A$2:$A$2427,IF(D1459=$D$2:$D$2427,$X$2:$X$2427)))/COUNT(IF(A1459=$A$2:$A$2427,IF(D1459=$D$2:$D$2427,IF(ISNUMBER($X$2:$X$2427),1)))),0),""),0)</f>
        <v/>
      </c>
      <c r="Z1459" s="104" t="str">
        <f>IF(ISNUMBER(O1459),IF(I1459&gt;0,(10^(VLOOKUP(D1459,'Species Codes'!B:C,2,0)+VLOOKUP(D1459,'Species Codes'!B:D,3,0)*LOG(E1459)+VLOOKUP(D1459,'Species Codes'!B:E,4,0)*LOG(I1459))),0),"")</f>
        <v/>
      </c>
      <c r="AA1459" s="104" t="str">
        <f>IFERROR((VLOOKUP(D1459,'Species Codes'!B:G,6,0)*Z1459)/2000,"")</f>
        <v/>
      </c>
      <c r="AB1459" s="104" t="e">
        <f>IF(Z1459&gt;0,((IF(OR(D1459="DF",D1459="RA")=TRUE,EXP(VLOOKUP(D1459,'Species Codes'!B:I,8,0)+VLOOKUP(D1459,'Species Codes'!B:J,9,0)*(LN((E1459*2.54)))),IF(OR(D1459="PY",D1459="RC",D1459="WH",D1459="NF")=TRUE,VLOOKUP(D1459,'Species Codes'!B:I,8,0)+VLOOKUP(D1459,'Species Codes'!B:J,9,0)*((E1459*2.54)^2)*(I1459*0.3048),IF(OR(D1459="MD",D1459="BM",D1459="GA")=TRUE,((VLOOKUP(D1459,'Species Codes'!B:I,8,0)*(((((E1459*2.54)+VLOOKUP(D1459,'Species Codes'!B:J,9,0))/VLOOKUP(D1459,'Species Codes'!B:K,10,0))^VLOOKUP(D1459,'Species Codes'!B:L,11,0))*((I1459*0.3048)^VLOOKUP(D1459,'Species Codes'!B:M,12,0))))-(VLOOKUP(D1459,'Species Codes'!B:I,8,0)*((((E1459*2.54)^VLOOKUP(D1459,'Species Codes'!B:L,11,0))*((I1459*0.3048)^VLOOKUP(D1459,'Species Codes'!B:M,12,0))))))*35.3*VLOOKUP(D1459,'Species Codes'!B:G,6,0)/2.2046,VLOOKUP(D1459,'Species Codes'!B:I,8,0)+VLOOKUP(D1459,'Species Codes'!B:J,9,0)*(((E1459*2.54)/100)^2)*(I1459*0.3048)))))*0.0011023),0)</f>
        <v>#N/A</v>
      </c>
      <c r="AC1459" s="104" t="e">
        <f>IF(Z1459&gt;0,((IF(OR(D1459="RA",D1459="OA",D1459="OT",D1459="UN",D1459="PC"),EXP(VLOOKUP(D1459,'Species Codes'!B:O,14,0)+VLOOKUP(D1459,'Species Codes'!B:P,15,0)*LN((E1459*2.54)))-EXP(VLOOKUP(D1459,'Species Codes'!B:O,14,0)+VLOOKUP(D1459,'Species Codes'!B:P,15,0)*LN((E1459*2.54)))*(1/(VLOOKUP(D1459,'Species Codes'!B:Q,16,0)+VLOOKUP(D1459,'Species Codes'!B:R,17,0)*((E1459*2.54)^VLOOKUP(D1459,'Species Codes'!B:S,18,0)))),IF(OR(D1459="BM",D1459="MD",D1459="OA"),EXP(VLOOKUP(D1459,'Species Codes'!B:O,14,0)+VLOOKUP(D1459,'Species Codes'!B:P,15,0)*LN((E1459*2.54)))*(1-(1/(VLOOKUP(D1459,'Species Codes'!B:Q,16,0)+VLOOKUP(D1459,'Species Codes'!B:R,17,0)*((E1459*2.54)^VLOOKUP(D1459,'Species Codes'!B:S,18,0)))))/1000,IF(D1459="DF",EXP(VLOOKUP(D1459,'Species Codes'!B:O,14,0)+VLOOKUP(D1459,'Species Codes'!B:P,15,0)*LN((E1459*2.54))),VLOOKUP(D1459,'Species Codes'!B:O,14,0)+VLOOKUP(D1459,'Species Codes'!B:P,15,0)*(((E1459*2.54)/100)^2)*(I1459*0.3048)))))*0.0011023),0)</f>
        <v>#N/A</v>
      </c>
      <c r="AD1459" s="104" t="e">
        <f t="shared" si="652"/>
        <v>#N/A</v>
      </c>
      <c r="AE1459" s="104" t="e">
        <f t="shared" si="653"/>
        <v>#N/A</v>
      </c>
      <c r="AF1459" s="104" t="e">
        <f>IF(AND(VLOOKUP($D1459,Merchantability!$B:$C,2,0)="Yes",$E1459&gt;=VLOOKUP($D1459,Merchantability!$B:$D,3,0),$E1459&lt;=VLOOKUP($D1459,Merchantability!$B:$E,4,0)),AA1459,0)</f>
        <v>#N/A</v>
      </c>
      <c r="AG1459" s="104" t="e">
        <f>IF(AND(VLOOKUP($D1459,Merchantability!$B:$C,2,0)="Yes",$E1459&gt;=VLOOKUP($D1459,Merchantability!$B:$D,3,0),$E1459&lt;=VLOOKUP($D1459,Merchantability!$B:$E,4,0)),AB1459,0)</f>
        <v>#N/A</v>
      </c>
      <c r="AH1459" s="104" t="e">
        <f>IF(AND(VLOOKUP($D1459,Merchantability!$B:$C,2,0)="Yes",$E1459&gt;=VLOOKUP($D1459,Merchantability!$B:$D,3,0),$E1459&lt;=VLOOKUP($D1459,Merchantability!$B:$E,4,0)),AC1459,0)</f>
        <v>#N/A</v>
      </c>
      <c r="AI1459" s="104" t="e">
        <f t="shared" si="654"/>
        <v>#N/A</v>
      </c>
      <c r="AJ1459" s="104" t="e">
        <f t="shared" si="655"/>
        <v>#VALUE!</v>
      </c>
      <c r="AK1459" s="104" t="e">
        <f t="shared" si="656"/>
        <v>#N/A</v>
      </c>
      <c r="AL1459" s="104" t="e">
        <f t="shared" si="657"/>
        <v>#N/A</v>
      </c>
      <c r="AM1459" s="104" t="e">
        <f t="shared" si="658"/>
        <v>#N/A</v>
      </c>
      <c r="AN1459" s="104" t="e">
        <f t="shared" si="642"/>
        <v>#N/A</v>
      </c>
      <c r="AO1459" s="104" t="e">
        <f t="shared" si="643"/>
        <v>#N/A</v>
      </c>
      <c r="AP1459" s="104" t="e">
        <f t="shared" si="644"/>
        <v>#N/A</v>
      </c>
      <c r="AQ1459" s="104" t="e">
        <f t="shared" si="645"/>
        <v>#N/A</v>
      </c>
      <c r="AR1459" s="105" t="str">
        <f t="shared" si="637"/>
        <v/>
      </c>
      <c r="AS1459" s="105" t="str">
        <f t="shared" si="638"/>
        <v/>
      </c>
      <c r="AT1459" s="108" t="str">
        <f t="shared" si="639"/>
        <v/>
      </c>
      <c r="AU1459" s="108" t="str">
        <f t="shared" si="640"/>
        <v/>
      </c>
      <c r="AV1459" s="107" t="str">
        <f>IF(ISNUMBER(O1459),IF(VLOOKUP($A1459,Stand!C:J,8,FALSE)="Short",AT1459,AU1459),"")</f>
        <v/>
      </c>
      <c r="AW1459" s="109" t="str">
        <f t="shared" si="646"/>
        <v/>
      </c>
      <c r="AX1459" s="109" t="str">
        <f t="shared" si="647"/>
        <v/>
      </c>
      <c r="AY1459" s="112" t="str">
        <f>IF(ISNUMBER(O1459),IF(AND(VLOOKUP($D1459,Merchantability!$B:$C,2,0)="Yes",$E1459&gt;=VLOOKUP($D1459,Merchantability!$B:$D,3,0),$E1459&lt;=VLOOKUP($D1459,Merchantability!$B:$E,4,0)),(AV1459*O1459)*(1-$H1459/100),""),"")</f>
        <v/>
      </c>
      <c r="AZ1459" s="116"/>
      <c r="BA1459" s="116"/>
      <c r="BB1459" s="116"/>
      <c r="BE1459" s="62"/>
      <c r="BF1459" s="63"/>
    </row>
    <row r="1460" spans="1:58" ht="12.75" customHeight="1" x14ac:dyDescent="0.25">
      <c r="A1460" s="333"/>
      <c r="B1460" s="334"/>
      <c r="C1460" s="332"/>
      <c r="D1460" s="334"/>
      <c r="E1460" s="335"/>
      <c r="F1460" s="334"/>
      <c r="G1460" s="332"/>
      <c r="H1460" s="332"/>
      <c r="I1460" s="334"/>
      <c r="J1460" s="336"/>
      <c r="K1460" s="332"/>
      <c r="L1460" s="332"/>
      <c r="M1460" s="76"/>
      <c r="N1460" s="103" t="str">
        <f>IF(A1460="","",VLOOKUP(A1460,Stand!C:K,9,0))</f>
        <v/>
      </c>
      <c r="O1460" s="104" t="str">
        <f t="shared" si="632"/>
        <v/>
      </c>
      <c r="P1460" s="105" t="str">
        <f t="shared" si="633"/>
        <v/>
      </c>
      <c r="Q1460" s="105" t="str">
        <f t="shared" si="648"/>
        <v/>
      </c>
      <c r="R1460" s="103" t="str">
        <f t="shared" si="634"/>
        <v/>
      </c>
      <c r="S1460" s="103" t="str">
        <f t="shared" si="635"/>
        <v/>
      </c>
      <c r="T1460" s="106" t="str">
        <f t="shared" si="649"/>
        <v/>
      </c>
      <c r="U1460" s="106" t="str">
        <f t="shared" si="650"/>
        <v/>
      </c>
      <c r="V1460" s="106" t="str">
        <f t="shared" si="651"/>
        <v/>
      </c>
      <c r="W1460" s="105" t="str">
        <f t="shared" si="636"/>
        <v/>
      </c>
      <c r="X1460" s="104" t="str">
        <f t="shared" si="641"/>
        <v/>
      </c>
      <c r="Y1460" s="104" t="str">
        <f t="array" ref="Y1460">IFERROR(IF(ISNUMBER(O1460),IF(COUNT(IF(A1460=$A$2:$A$2427,IF(D1460=$D$2:$D$2427,IF($X$2:$X$2427&gt;0,1))))&gt;0,SUM(IF(A1460=$A$2:$A$2427,IF(D1460=$D$2:$D$2427,$X$2:$X$2427)))/COUNT(IF(A1460=$A$2:$A$2427,IF(D1460=$D$2:$D$2427,IF(ISNUMBER($X$2:$X$2427),1)))),0),""),0)</f>
        <v/>
      </c>
      <c r="Z1460" s="104" t="str">
        <f>IF(ISNUMBER(O1460),IF(I1460&gt;0,(10^(VLOOKUP(D1460,'Species Codes'!B:C,2,0)+VLOOKUP(D1460,'Species Codes'!B:D,3,0)*LOG(E1460)+VLOOKUP(D1460,'Species Codes'!B:E,4,0)*LOG(I1460))),0),"")</f>
        <v/>
      </c>
      <c r="AA1460" s="104" t="str">
        <f>IFERROR((VLOOKUP(D1460,'Species Codes'!B:G,6,0)*Z1460)/2000,"")</f>
        <v/>
      </c>
      <c r="AB1460" s="104" t="e">
        <f>IF(Z1460&gt;0,((IF(OR(D1460="DF",D1460="RA")=TRUE,EXP(VLOOKUP(D1460,'Species Codes'!B:I,8,0)+VLOOKUP(D1460,'Species Codes'!B:J,9,0)*(LN((E1460*2.54)))),IF(OR(D1460="PY",D1460="RC",D1460="WH",D1460="NF")=TRUE,VLOOKUP(D1460,'Species Codes'!B:I,8,0)+VLOOKUP(D1460,'Species Codes'!B:J,9,0)*((E1460*2.54)^2)*(I1460*0.3048),IF(OR(D1460="MD",D1460="BM",D1460="GA")=TRUE,((VLOOKUP(D1460,'Species Codes'!B:I,8,0)*(((((E1460*2.54)+VLOOKUP(D1460,'Species Codes'!B:J,9,0))/VLOOKUP(D1460,'Species Codes'!B:K,10,0))^VLOOKUP(D1460,'Species Codes'!B:L,11,0))*((I1460*0.3048)^VLOOKUP(D1460,'Species Codes'!B:M,12,0))))-(VLOOKUP(D1460,'Species Codes'!B:I,8,0)*((((E1460*2.54)^VLOOKUP(D1460,'Species Codes'!B:L,11,0))*((I1460*0.3048)^VLOOKUP(D1460,'Species Codes'!B:M,12,0))))))*35.3*VLOOKUP(D1460,'Species Codes'!B:G,6,0)/2.2046,VLOOKUP(D1460,'Species Codes'!B:I,8,0)+VLOOKUP(D1460,'Species Codes'!B:J,9,0)*(((E1460*2.54)/100)^2)*(I1460*0.3048)))))*0.0011023),0)</f>
        <v>#N/A</v>
      </c>
      <c r="AC1460" s="104" t="e">
        <f>IF(Z1460&gt;0,((IF(OR(D1460="RA",D1460="OA",D1460="OT",D1460="UN",D1460="PC"),EXP(VLOOKUP(D1460,'Species Codes'!B:O,14,0)+VLOOKUP(D1460,'Species Codes'!B:P,15,0)*LN((E1460*2.54)))-EXP(VLOOKUP(D1460,'Species Codes'!B:O,14,0)+VLOOKUP(D1460,'Species Codes'!B:P,15,0)*LN((E1460*2.54)))*(1/(VLOOKUP(D1460,'Species Codes'!B:Q,16,0)+VLOOKUP(D1460,'Species Codes'!B:R,17,0)*((E1460*2.54)^VLOOKUP(D1460,'Species Codes'!B:S,18,0)))),IF(OR(D1460="BM",D1460="MD",D1460="OA"),EXP(VLOOKUP(D1460,'Species Codes'!B:O,14,0)+VLOOKUP(D1460,'Species Codes'!B:P,15,0)*LN((E1460*2.54)))*(1-(1/(VLOOKUP(D1460,'Species Codes'!B:Q,16,0)+VLOOKUP(D1460,'Species Codes'!B:R,17,0)*((E1460*2.54)^VLOOKUP(D1460,'Species Codes'!B:S,18,0)))))/1000,IF(D1460="DF",EXP(VLOOKUP(D1460,'Species Codes'!B:O,14,0)+VLOOKUP(D1460,'Species Codes'!B:P,15,0)*LN((E1460*2.54))),VLOOKUP(D1460,'Species Codes'!B:O,14,0)+VLOOKUP(D1460,'Species Codes'!B:P,15,0)*(((E1460*2.54)/100)^2)*(I1460*0.3048)))))*0.0011023),0)</f>
        <v>#N/A</v>
      </c>
      <c r="AD1460" s="104" t="e">
        <f t="shared" si="652"/>
        <v>#N/A</v>
      </c>
      <c r="AE1460" s="104" t="e">
        <f t="shared" si="653"/>
        <v>#N/A</v>
      </c>
      <c r="AF1460" s="104" t="e">
        <f>IF(AND(VLOOKUP($D1460,Merchantability!$B:$C,2,0)="Yes",$E1460&gt;=VLOOKUP($D1460,Merchantability!$B:$D,3,0),$E1460&lt;=VLOOKUP($D1460,Merchantability!$B:$E,4,0)),AA1460,0)</f>
        <v>#N/A</v>
      </c>
      <c r="AG1460" s="104" t="e">
        <f>IF(AND(VLOOKUP($D1460,Merchantability!$B:$C,2,0)="Yes",$E1460&gt;=VLOOKUP($D1460,Merchantability!$B:$D,3,0),$E1460&lt;=VLOOKUP($D1460,Merchantability!$B:$E,4,0)),AB1460,0)</f>
        <v>#N/A</v>
      </c>
      <c r="AH1460" s="104" t="e">
        <f>IF(AND(VLOOKUP($D1460,Merchantability!$B:$C,2,0)="Yes",$E1460&gt;=VLOOKUP($D1460,Merchantability!$B:$D,3,0),$E1460&lt;=VLOOKUP($D1460,Merchantability!$B:$E,4,0)),AC1460,0)</f>
        <v>#N/A</v>
      </c>
      <c r="AI1460" s="104" t="e">
        <f t="shared" si="654"/>
        <v>#N/A</v>
      </c>
      <c r="AJ1460" s="104" t="e">
        <f t="shared" si="655"/>
        <v>#VALUE!</v>
      </c>
      <c r="AK1460" s="104" t="e">
        <f t="shared" si="656"/>
        <v>#N/A</v>
      </c>
      <c r="AL1460" s="104" t="e">
        <f t="shared" si="657"/>
        <v>#N/A</v>
      </c>
      <c r="AM1460" s="104" t="e">
        <f t="shared" si="658"/>
        <v>#N/A</v>
      </c>
      <c r="AN1460" s="104" t="e">
        <f t="shared" si="642"/>
        <v>#N/A</v>
      </c>
      <c r="AO1460" s="104" t="e">
        <f t="shared" si="643"/>
        <v>#N/A</v>
      </c>
      <c r="AP1460" s="104" t="e">
        <f t="shared" si="644"/>
        <v>#N/A</v>
      </c>
      <c r="AQ1460" s="104" t="e">
        <f t="shared" si="645"/>
        <v>#N/A</v>
      </c>
      <c r="AR1460" s="105" t="str">
        <f t="shared" si="637"/>
        <v/>
      </c>
      <c r="AS1460" s="105" t="str">
        <f t="shared" si="638"/>
        <v/>
      </c>
      <c r="AT1460" s="108" t="str">
        <f t="shared" si="639"/>
        <v/>
      </c>
      <c r="AU1460" s="108" t="str">
        <f t="shared" si="640"/>
        <v/>
      </c>
      <c r="AV1460" s="107" t="str">
        <f>IF(ISNUMBER(O1460),IF(VLOOKUP($A1460,Stand!C:J,8,FALSE)="Short",AT1460,AU1460),"")</f>
        <v/>
      </c>
      <c r="AW1460" s="109" t="str">
        <f t="shared" si="646"/>
        <v/>
      </c>
      <c r="AX1460" s="109" t="str">
        <f t="shared" si="647"/>
        <v/>
      </c>
      <c r="AY1460" s="112" t="str">
        <f>IF(ISNUMBER(O1460),IF(AND(VLOOKUP($D1460,Merchantability!$B:$C,2,0)="Yes",$E1460&gt;=VLOOKUP($D1460,Merchantability!$B:$D,3,0),$E1460&lt;=VLOOKUP($D1460,Merchantability!$B:$E,4,0)),(AV1460*O1460)*(1-$H1460/100),""),"")</f>
        <v/>
      </c>
      <c r="AZ1460" s="116"/>
      <c r="BA1460" s="116"/>
      <c r="BB1460" s="116"/>
      <c r="BE1460" s="62"/>
      <c r="BF1460" s="63"/>
    </row>
    <row r="1461" spans="1:58" ht="12.75" customHeight="1" x14ac:dyDescent="0.25">
      <c r="A1461" s="333"/>
      <c r="B1461" s="334"/>
      <c r="C1461" s="332"/>
      <c r="D1461" s="334"/>
      <c r="E1461" s="335"/>
      <c r="F1461" s="334"/>
      <c r="G1461" s="332"/>
      <c r="H1461" s="332"/>
      <c r="I1461" s="334"/>
      <c r="J1461" s="336"/>
      <c r="K1461" s="332"/>
      <c r="L1461" s="332"/>
      <c r="M1461" s="76"/>
      <c r="N1461" s="103" t="str">
        <f>IF(A1461="","",VLOOKUP(A1461,Stand!C:K,9,0))</f>
        <v/>
      </c>
      <c r="O1461" s="104" t="str">
        <f t="shared" si="632"/>
        <v/>
      </c>
      <c r="P1461" s="105" t="str">
        <f t="shared" si="633"/>
        <v/>
      </c>
      <c r="Q1461" s="105" t="str">
        <f t="shared" si="648"/>
        <v/>
      </c>
      <c r="R1461" s="103" t="str">
        <f t="shared" si="634"/>
        <v/>
      </c>
      <c r="S1461" s="103" t="str">
        <f t="shared" si="635"/>
        <v/>
      </c>
      <c r="T1461" s="106" t="str">
        <f t="shared" si="649"/>
        <v/>
      </c>
      <c r="U1461" s="106" t="str">
        <f t="shared" si="650"/>
        <v/>
      </c>
      <c r="V1461" s="106" t="str">
        <f t="shared" si="651"/>
        <v/>
      </c>
      <c r="W1461" s="105" t="str">
        <f t="shared" si="636"/>
        <v/>
      </c>
      <c r="X1461" s="104" t="str">
        <f t="shared" si="641"/>
        <v/>
      </c>
      <c r="Y1461" s="104" t="str">
        <f t="array" ref="Y1461">IFERROR(IF(ISNUMBER(O1461),IF(COUNT(IF(A1461=$A$2:$A$2427,IF(D1461=$D$2:$D$2427,IF($X$2:$X$2427&gt;0,1))))&gt;0,SUM(IF(A1461=$A$2:$A$2427,IF(D1461=$D$2:$D$2427,$X$2:$X$2427)))/COUNT(IF(A1461=$A$2:$A$2427,IF(D1461=$D$2:$D$2427,IF(ISNUMBER($X$2:$X$2427),1)))),0),""),0)</f>
        <v/>
      </c>
      <c r="Z1461" s="104" t="str">
        <f>IF(ISNUMBER(O1461),IF(I1461&gt;0,(10^(VLOOKUP(D1461,'Species Codes'!B:C,2,0)+VLOOKUP(D1461,'Species Codes'!B:D,3,0)*LOG(E1461)+VLOOKUP(D1461,'Species Codes'!B:E,4,0)*LOG(I1461))),0),"")</f>
        <v/>
      </c>
      <c r="AA1461" s="104" t="str">
        <f>IFERROR((VLOOKUP(D1461,'Species Codes'!B:G,6,0)*Z1461)/2000,"")</f>
        <v/>
      </c>
      <c r="AB1461" s="104" t="e">
        <f>IF(Z1461&gt;0,((IF(OR(D1461="DF",D1461="RA")=TRUE,EXP(VLOOKUP(D1461,'Species Codes'!B:I,8,0)+VLOOKUP(D1461,'Species Codes'!B:J,9,0)*(LN((E1461*2.54)))),IF(OR(D1461="PY",D1461="RC",D1461="WH",D1461="NF")=TRUE,VLOOKUP(D1461,'Species Codes'!B:I,8,0)+VLOOKUP(D1461,'Species Codes'!B:J,9,0)*((E1461*2.54)^2)*(I1461*0.3048),IF(OR(D1461="MD",D1461="BM",D1461="GA")=TRUE,((VLOOKUP(D1461,'Species Codes'!B:I,8,0)*(((((E1461*2.54)+VLOOKUP(D1461,'Species Codes'!B:J,9,0))/VLOOKUP(D1461,'Species Codes'!B:K,10,0))^VLOOKUP(D1461,'Species Codes'!B:L,11,0))*((I1461*0.3048)^VLOOKUP(D1461,'Species Codes'!B:M,12,0))))-(VLOOKUP(D1461,'Species Codes'!B:I,8,0)*((((E1461*2.54)^VLOOKUP(D1461,'Species Codes'!B:L,11,0))*((I1461*0.3048)^VLOOKUP(D1461,'Species Codes'!B:M,12,0))))))*35.3*VLOOKUP(D1461,'Species Codes'!B:G,6,0)/2.2046,VLOOKUP(D1461,'Species Codes'!B:I,8,0)+VLOOKUP(D1461,'Species Codes'!B:J,9,0)*(((E1461*2.54)/100)^2)*(I1461*0.3048)))))*0.0011023),0)</f>
        <v>#N/A</v>
      </c>
      <c r="AC1461" s="104" t="e">
        <f>IF(Z1461&gt;0,((IF(OR(D1461="RA",D1461="OA",D1461="OT",D1461="UN",D1461="PC"),EXP(VLOOKUP(D1461,'Species Codes'!B:O,14,0)+VLOOKUP(D1461,'Species Codes'!B:P,15,0)*LN((E1461*2.54)))-EXP(VLOOKUP(D1461,'Species Codes'!B:O,14,0)+VLOOKUP(D1461,'Species Codes'!B:P,15,0)*LN((E1461*2.54)))*(1/(VLOOKUP(D1461,'Species Codes'!B:Q,16,0)+VLOOKUP(D1461,'Species Codes'!B:R,17,0)*((E1461*2.54)^VLOOKUP(D1461,'Species Codes'!B:S,18,0)))),IF(OR(D1461="BM",D1461="MD",D1461="OA"),EXP(VLOOKUP(D1461,'Species Codes'!B:O,14,0)+VLOOKUP(D1461,'Species Codes'!B:P,15,0)*LN((E1461*2.54)))*(1-(1/(VLOOKUP(D1461,'Species Codes'!B:Q,16,0)+VLOOKUP(D1461,'Species Codes'!B:R,17,0)*((E1461*2.54)^VLOOKUP(D1461,'Species Codes'!B:S,18,0)))))/1000,IF(D1461="DF",EXP(VLOOKUP(D1461,'Species Codes'!B:O,14,0)+VLOOKUP(D1461,'Species Codes'!B:P,15,0)*LN((E1461*2.54))),VLOOKUP(D1461,'Species Codes'!B:O,14,0)+VLOOKUP(D1461,'Species Codes'!B:P,15,0)*(((E1461*2.54)/100)^2)*(I1461*0.3048)))))*0.0011023),0)</f>
        <v>#N/A</v>
      </c>
      <c r="AD1461" s="104" t="e">
        <f t="shared" si="652"/>
        <v>#N/A</v>
      </c>
      <c r="AE1461" s="104" t="e">
        <f t="shared" si="653"/>
        <v>#N/A</v>
      </c>
      <c r="AF1461" s="104" t="e">
        <f>IF(AND(VLOOKUP($D1461,Merchantability!$B:$C,2,0)="Yes",$E1461&gt;=VLOOKUP($D1461,Merchantability!$B:$D,3,0),$E1461&lt;=VLOOKUP($D1461,Merchantability!$B:$E,4,0)),AA1461,0)</f>
        <v>#N/A</v>
      </c>
      <c r="AG1461" s="104" t="e">
        <f>IF(AND(VLOOKUP($D1461,Merchantability!$B:$C,2,0)="Yes",$E1461&gt;=VLOOKUP($D1461,Merchantability!$B:$D,3,0),$E1461&lt;=VLOOKUP($D1461,Merchantability!$B:$E,4,0)),AB1461,0)</f>
        <v>#N/A</v>
      </c>
      <c r="AH1461" s="104" t="e">
        <f>IF(AND(VLOOKUP($D1461,Merchantability!$B:$C,2,0)="Yes",$E1461&gt;=VLOOKUP($D1461,Merchantability!$B:$D,3,0),$E1461&lt;=VLOOKUP($D1461,Merchantability!$B:$E,4,0)),AC1461,0)</f>
        <v>#N/A</v>
      </c>
      <c r="AI1461" s="104" t="e">
        <f t="shared" si="654"/>
        <v>#N/A</v>
      </c>
      <c r="AJ1461" s="104" t="e">
        <f t="shared" si="655"/>
        <v>#VALUE!</v>
      </c>
      <c r="AK1461" s="104" t="e">
        <f t="shared" si="656"/>
        <v>#N/A</v>
      </c>
      <c r="AL1461" s="104" t="e">
        <f t="shared" si="657"/>
        <v>#N/A</v>
      </c>
      <c r="AM1461" s="104" t="e">
        <f t="shared" si="658"/>
        <v>#N/A</v>
      </c>
      <c r="AN1461" s="104" t="e">
        <f t="shared" si="642"/>
        <v>#N/A</v>
      </c>
      <c r="AO1461" s="104" t="e">
        <f t="shared" si="643"/>
        <v>#N/A</v>
      </c>
      <c r="AP1461" s="104" t="e">
        <f t="shared" si="644"/>
        <v>#N/A</v>
      </c>
      <c r="AQ1461" s="104" t="e">
        <f t="shared" si="645"/>
        <v>#N/A</v>
      </c>
      <c r="AR1461" s="105" t="str">
        <f t="shared" si="637"/>
        <v/>
      </c>
      <c r="AS1461" s="105" t="str">
        <f t="shared" si="638"/>
        <v/>
      </c>
      <c r="AT1461" s="108" t="str">
        <f t="shared" si="639"/>
        <v/>
      </c>
      <c r="AU1461" s="108" t="str">
        <f t="shared" si="640"/>
        <v/>
      </c>
      <c r="AV1461" s="107" t="str">
        <f>IF(ISNUMBER(O1461),IF(VLOOKUP($A1461,Stand!C:J,8,FALSE)="Short",AT1461,AU1461),"")</f>
        <v/>
      </c>
      <c r="AW1461" s="109" t="str">
        <f t="shared" si="646"/>
        <v/>
      </c>
      <c r="AX1461" s="109" t="str">
        <f t="shared" si="647"/>
        <v/>
      </c>
      <c r="AY1461" s="112" t="str">
        <f>IF(ISNUMBER(O1461),IF(AND(VLOOKUP($D1461,Merchantability!$B:$C,2,0)="Yes",$E1461&gt;=VLOOKUP($D1461,Merchantability!$B:$D,3,0),$E1461&lt;=VLOOKUP($D1461,Merchantability!$B:$E,4,0)),(AV1461*O1461)*(1-$H1461/100),""),"")</f>
        <v/>
      </c>
      <c r="AZ1461" s="116"/>
      <c r="BA1461" s="116"/>
      <c r="BB1461" s="116"/>
      <c r="BE1461" s="62"/>
      <c r="BF1461" s="63"/>
    </row>
    <row r="1462" spans="1:58" ht="12.75" customHeight="1" x14ac:dyDescent="0.25">
      <c r="A1462" s="333"/>
      <c r="B1462" s="334"/>
      <c r="C1462" s="332"/>
      <c r="D1462" s="334"/>
      <c r="E1462" s="335"/>
      <c r="F1462" s="334"/>
      <c r="G1462" s="332"/>
      <c r="H1462" s="332"/>
      <c r="I1462" s="334"/>
      <c r="J1462" s="336"/>
      <c r="K1462" s="332"/>
      <c r="L1462" s="332"/>
      <c r="M1462" s="76"/>
      <c r="N1462" s="103" t="str">
        <f>IF(A1462="","",VLOOKUP(A1462,Stand!C:K,9,0))</f>
        <v/>
      </c>
      <c r="O1462" s="104" t="str">
        <f t="shared" si="632"/>
        <v/>
      </c>
      <c r="P1462" s="105" t="str">
        <f t="shared" si="633"/>
        <v/>
      </c>
      <c r="Q1462" s="105" t="str">
        <f t="shared" si="648"/>
        <v/>
      </c>
      <c r="R1462" s="103" t="str">
        <f t="shared" si="634"/>
        <v/>
      </c>
      <c r="S1462" s="103" t="str">
        <f t="shared" si="635"/>
        <v/>
      </c>
      <c r="T1462" s="106" t="str">
        <f t="shared" si="649"/>
        <v/>
      </c>
      <c r="U1462" s="106" t="str">
        <f t="shared" si="650"/>
        <v/>
      </c>
      <c r="V1462" s="106" t="str">
        <f t="shared" si="651"/>
        <v/>
      </c>
      <c r="W1462" s="105" t="str">
        <f t="shared" si="636"/>
        <v/>
      </c>
      <c r="X1462" s="104" t="str">
        <f t="shared" si="641"/>
        <v/>
      </c>
      <c r="Y1462" s="104" t="str">
        <f t="array" ref="Y1462">IFERROR(IF(ISNUMBER(O1462),IF(COUNT(IF(A1462=$A$2:$A$2427,IF(D1462=$D$2:$D$2427,IF($X$2:$X$2427&gt;0,1))))&gt;0,SUM(IF(A1462=$A$2:$A$2427,IF(D1462=$D$2:$D$2427,$X$2:$X$2427)))/COUNT(IF(A1462=$A$2:$A$2427,IF(D1462=$D$2:$D$2427,IF(ISNUMBER($X$2:$X$2427),1)))),0),""),0)</f>
        <v/>
      </c>
      <c r="Z1462" s="104" t="str">
        <f>IF(ISNUMBER(O1462),IF(I1462&gt;0,(10^(VLOOKUP(D1462,'Species Codes'!B:C,2,0)+VLOOKUP(D1462,'Species Codes'!B:D,3,0)*LOG(E1462)+VLOOKUP(D1462,'Species Codes'!B:E,4,0)*LOG(I1462))),0),"")</f>
        <v/>
      </c>
      <c r="AA1462" s="104" t="str">
        <f>IFERROR((VLOOKUP(D1462,'Species Codes'!B:G,6,0)*Z1462)/2000,"")</f>
        <v/>
      </c>
      <c r="AB1462" s="104" t="e">
        <f>IF(Z1462&gt;0,((IF(OR(D1462="DF",D1462="RA")=TRUE,EXP(VLOOKUP(D1462,'Species Codes'!B:I,8,0)+VLOOKUP(D1462,'Species Codes'!B:J,9,0)*(LN((E1462*2.54)))),IF(OR(D1462="PY",D1462="RC",D1462="WH",D1462="NF")=TRUE,VLOOKUP(D1462,'Species Codes'!B:I,8,0)+VLOOKUP(D1462,'Species Codes'!B:J,9,0)*((E1462*2.54)^2)*(I1462*0.3048),IF(OR(D1462="MD",D1462="BM",D1462="GA")=TRUE,((VLOOKUP(D1462,'Species Codes'!B:I,8,0)*(((((E1462*2.54)+VLOOKUP(D1462,'Species Codes'!B:J,9,0))/VLOOKUP(D1462,'Species Codes'!B:K,10,0))^VLOOKUP(D1462,'Species Codes'!B:L,11,0))*((I1462*0.3048)^VLOOKUP(D1462,'Species Codes'!B:M,12,0))))-(VLOOKUP(D1462,'Species Codes'!B:I,8,0)*((((E1462*2.54)^VLOOKUP(D1462,'Species Codes'!B:L,11,0))*((I1462*0.3048)^VLOOKUP(D1462,'Species Codes'!B:M,12,0))))))*35.3*VLOOKUP(D1462,'Species Codes'!B:G,6,0)/2.2046,VLOOKUP(D1462,'Species Codes'!B:I,8,0)+VLOOKUP(D1462,'Species Codes'!B:J,9,0)*(((E1462*2.54)/100)^2)*(I1462*0.3048)))))*0.0011023),0)</f>
        <v>#N/A</v>
      </c>
      <c r="AC1462" s="104" t="e">
        <f>IF(Z1462&gt;0,((IF(OR(D1462="RA",D1462="OA",D1462="OT",D1462="UN",D1462="PC"),EXP(VLOOKUP(D1462,'Species Codes'!B:O,14,0)+VLOOKUP(D1462,'Species Codes'!B:P,15,0)*LN((E1462*2.54)))-EXP(VLOOKUP(D1462,'Species Codes'!B:O,14,0)+VLOOKUP(D1462,'Species Codes'!B:P,15,0)*LN((E1462*2.54)))*(1/(VLOOKUP(D1462,'Species Codes'!B:Q,16,0)+VLOOKUP(D1462,'Species Codes'!B:R,17,0)*((E1462*2.54)^VLOOKUP(D1462,'Species Codes'!B:S,18,0)))),IF(OR(D1462="BM",D1462="MD",D1462="OA"),EXP(VLOOKUP(D1462,'Species Codes'!B:O,14,0)+VLOOKUP(D1462,'Species Codes'!B:P,15,0)*LN((E1462*2.54)))*(1-(1/(VLOOKUP(D1462,'Species Codes'!B:Q,16,0)+VLOOKUP(D1462,'Species Codes'!B:R,17,0)*((E1462*2.54)^VLOOKUP(D1462,'Species Codes'!B:S,18,0)))))/1000,IF(D1462="DF",EXP(VLOOKUP(D1462,'Species Codes'!B:O,14,0)+VLOOKUP(D1462,'Species Codes'!B:P,15,0)*LN((E1462*2.54))),VLOOKUP(D1462,'Species Codes'!B:O,14,0)+VLOOKUP(D1462,'Species Codes'!B:P,15,0)*(((E1462*2.54)/100)^2)*(I1462*0.3048)))))*0.0011023),0)</f>
        <v>#N/A</v>
      </c>
      <c r="AD1462" s="104" t="e">
        <f t="shared" si="652"/>
        <v>#N/A</v>
      </c>
      <c r="AE1462" s="104" t="e">
        <f t="shared" si="653"/>
        <v>#N/A</v>
      </c>
      <c r="AF1462" s="104" t="e">
        <f>IF(AND(VLOOKUP($D1462,Merchantability!$B:$C,2,0)="Yes",$E1462&gt;=VLOOKUP($D1462,Merchantability!$B:$D,3,0),$E1462&lt;=VLOOKUP($D1462,Merchantability!$B:$E,4,0)),AA1462,0)</f>
        <v>#N/A</v>
      </c>
      <c r="AG1462" s="104" t="e">
        <f>IF(AND(VLOOKUP($D1462,Merchantability!$B:$C,2,0)="Yes",$E1462&gt;=VLOOKUP($D1462,Merchantability!$B:$D,3,0),$E1462&lt;=VLOOKUP($D1462,Merchantability!$B:$E,4,0)),AB1462,0)</f>
        <v>#N/A</v>
      </c>
      <c r="AH1462" s="104" t="e">
        <f>IF(AND(VLOOKUP($D1462,Merchantability!$B:$C,2,0)="Yes",$E1462&gt;=VLOOKUP($D1462,Merchantability!$B:$D,3,0),$E1462&lt;=VLOOKUP($D1462,Merchantability!$B:$E,4,0)),AC1462,0)</f>
        <v>#N/A</v>
      </c>
      <c r="AI1462" s="104" t="e">
        <f t="shared" si="654"/>
        <v>#N/A</v>
      </c>
      <c r="AJ1462" s="104" t="e">
        <f t="shared" si="655"/>
        <v>#VALUE!</v>
      </c>
      <c r="AK1462" s="104" t="e">
        <f t="shared" si="656"/>
        <v>#N/A</v>
      </c>
      <c r="AL1462" s="104" t="e">
        <f t="shared" si="657"/>
        <v>#N/A</v>
      </c>
      <c r="AM1462" s="104" t="e">
        <f t="shared" si="658"/>
        <v>#N/A</v>
      </c>
      <c r="AN1462" s="104" t="e">
        <f t="shared" si="642"/>
        <v>#N/A</v>
      </c>
      <c r="AO1462" s="104" t="e">
        <f t="shared" si="643"/>
        <v>#N/A</v>
      </c>
      <c r="AP1462" s="104" t="e">
        <f t="shared" si="644"/>
        <v>#N/A</v>
      </c>
      <c r="AQ1462" s="104" t="e">
        <f t="shared" si="645"/>
        <v>#N/A</v>
      </c>
      <c r="AR1462" s="105" t="str">
        <f t="shared" si="637"/>
        <v/>
      </c>
      <c r="AS1462" s="105" t="str">
        <f t="shared" si="638"/>
        <v/>
      </c>
      <c r="AT1462" s="108" t="str">
        <f t="shared" si="639"/>
        <v/>
      </c>
      <c r="AU1462" s="108" t="str">
        <f t="shared" si="640"/>
        <v/>
      </c>
      <c r="AV1462" s="107" t="str">
        <f>IF(ISNUMBER(O1462),IF(VLOOKUP($A1462,Stand!C:J,8,FALSE)="Short",AT1462,AU1462),"")</f>
        <v/>
      </c>
      <c r="AW1462" s="109" t="str">
        <f t="shared" si="646"/>
        <v/>
      </c>
      <c r="AX1462" s="109" t="str">
        <f t="shared" si="647"/>
        <v/>
      </c>
      <c r="AY1462" s="112" t="str">
        <f>IF(ISNUMBER(O1462),IF(AND(VLOOKUP($D1462,Merchantability!$B:$C,2,0)="Yes",$E1462&gt;=VLOOKUP($D1462,Merchantability!$B:$D,3,0),$E1462&lt;=VLOOKUP($D1462,Merchantability!$B:$E,4,0)),(AV1462*O1462)*(1-$H1462/100),""),"")</f>
        <v/>
      </c>
      <c r="AZ1462" s="116"/>
      <c r="BA1462" s="116"/>
      <c r="BB1462" s="116"/>
      <c r="BE1462" s="62"/>
      <c r="BF1462" s="63"/>
    </row>
    <row r="1463" spans="1:58" ht="12.75" customHeight="1" x14ac:dyDescent="0.25">
      <c r="A1463" s="333"/>
      <c r="B1463" s="334"/>
      <c r="C1463" s="332"/>
      <c r="D1463" s="334"/>
      <c r="E1463" s="335"/>
      <c r="F1463" s="334"/>
      <c r="G1463" s="332"/>
      <c r="H1463" s="332"/>
      <c r="I1463" s="334"/>
      <c r="J1463" s="336"/>
      <c r="K1463" s="332"/>
      <c r="L1463" s="332"/>
      <c r="M1463" s="76"/>
      <c r="N1463" s="103" t="str">
        <f>IF(A1463="","",VLOOKUP(A1463,Stand!C:K,9,0))</f>
        <v/>
      </c>
      <c r="O1463" s="104" t="str">
        <f t="shared" si="632"/>
        <v/>
      </c>
      <c r="P1463" s="105" t="str">
        <f t="shared" si="633"/>
        <v/>
      </c>
      <c r="Q1463" s="105" t="str">
        <f t="shared" si="648"/>
        <v/>
      </c>
      <c r="R1463" s="103" t="str">
        <f t="shared" si="634"/>
        <v/>
      </c>
      <c r="S1463" s="103" t="str">
        <f t="shared" si="635"/>
        <v/>
      </c>
      <c r="T1463" s="106" t="str">
        <f t="shared" si="649"/>
        <v/>
      </c>
      <c r="U1463" s="106" t="str">
        <f t="shared" si="650"/>
        <v/>
      </c>
      <c r="V1463" s="106" t="str">
        <f t="shared" si="651"/>
        <v/>
      </c>
      <c r="W1463" s="105" t="str">
        <f t="shared" si="636"/>
        <v/>
      </c>
      <c r="X1463" s="104" t="str">
        <f t="shared" si="641"/>
        <v/>
      </c>
      <c r="Y1463" s="104" t="str">
        <f t="array" ref="Y1463">IFERROR(IF(ISNUMBER(O1463),IF(COUNT(IF(A1463=$A$2:$A$2427,IF(D1463=$D$2:$D$2427,IF($X$2:$X$2427&gt;0,1))))&gt;0,SUM(IF(A1463=$A$2:$A$2427,IF(D1463=$D$2:$D$2427,$X$2:$X$2427)))/COUNT(IF(A1463=$A$2:$A$2427,IF(D1463=$D$2:$D$2427,IF(ISNUMBER($X$2:$X$2427),1)))),0),""),0)</f>
        <v/>
      </c>
      <c r="Z1463" s="104" t="str">
        <f>IF(ISNUMBER(O1463),IF(I1463&gt;0,(10^(VLOOKUP(D1463,'Species Codes'!B:C,2,0)+VLOOKUP(D1463,'Species Codes'!B:D,3,0)*LOG(E1463)+VLOOKUP(D1463,'Species Codes'!B:E,4,0)*LOG(I1463))),0),"")</f>
        <v/>
      </c>
      <c r="AA1463" s="104" t="str">
        <f>IFERROR((VLOOKUP(D1463,'Species Codes'!B:G,6,0)*Z1463)/2000,"")</f>
        <v/>
      </c>
      <c r="AB1463" s="104" t="e">
        <f>IF(Z1463&gt;0,((IF(OR(D1463="DF",D1463="RA")=TRUE,EXP(VLOOKUP(D1463,'Species Codes'!B:I,8,0)+VLOOKUP(D1463,'Species Codes'!B:J,9,0)*(LN((E1463*2.54)))),IF(OR(D1463="PY",D1463="RC",D1463="WH",D1463="NF")=TRUE,VLOOKUP(D1463,'Species Codes'!B:I,8,0)+VLOOKUP(D1463,'Species Codes'!B:J,9,0)*((E1463*2.54)^2)*(I1463*0.3048),IF(OR(D1463="MD",D1463="BM",D1463="GA")=TRUE,((VLOOKUP(D1463,'Species Codes'!B:I,8,0)*(((((E1463*2.54)+VLOOKUP(D1463,'Species Codes'!B:J,9,0))/VLOOKUP(D1463,'Species Codes'!B:K,10,0))^VLOOKUP(D1463,'Species Codes'!B:L,11,0))*((I1463*0.3048)^VLOOKUP(D1463,'Species Codes'!B:M,12,0))))-(VLOOKUP(D1463,'Species Codes'!B:I,8,0)*((((E1463*2.54)^VLOOKUP(D1463,'Species Codes'!B:L,11,0))*((I1463*0.3048)^VLOOKUP(D1463,'Species Codes'!B:M,12,0))))))*35.3*VLOOKUP(D1463,'Species Codes'!B:G,6,0)/2.2046,VLOOKUP(D1463,'Species Codes'!B:I,8,0)+VLOOKUP(D1463,'Species Codes'!B:J,9,0)*(((E1463*2.54)/100)^2)*(I1463*0.3048)))))*0.0011023),0)</f>
        <v>#N/A</v>
      </c>
      <c r="AC1463" s="104" t="e">
        <f>IF(Z1463&gt;0,((IF(OR(D1463="RA",D1463="OA",D1463="OT",D1463="UN",D1463="PC"),EXP(VLOOKUP(D1463,'Species Codes'!B:O,14,0)+VLOOKUP(D1463,'Species Codes'!B:P,15,0)*LN((E1463*2.54)))-EXP(VLOOKUP(D1463,'Species Codes'!B:O,14,0)+VLOOKUP(D1463,'Species Codes'!B:P,15,0)*LN((E1463*2.54)))*(1/(VLOOKUP(D1463,'Species Codes'!B:Q,16,0)+VLOOKUP(D1463,'Species Codes'!B:R,17,0)*((E1463*2.54)^VLOOKUP(D1463,'Species Codes'!B:S,18,0)))),IF(OR(D1463="BM",D1463="MD",D1463="OA"),EXP(VLOOKUP(D1463,'Species Codes'!B:O,14,0)+VLOOKUP(D1463,'Species Codes'!B:P,15,0)*LN((E1463*2.54)))*(1-(1/(VLOOKUP(D1463,'Species Codes'!B:Q,16,0)+VLOOKUP(D1463,'Species Codes'!B:R,17,0)*((E1463*2.54)^VLOOKUP(D1463,'Species Codes'!B:S,18,0)))))/1000,IF(D1463="DF",EXP(VLOOKUP(D1463,'Species Codes'!B:O,14,0)+VLOOKUP(D1463,'Species Codes'!B:P,15,0)*LN((E1463*2.54))),VLOOKUP(D1463,'Species Codes'!B:O,14,0)+VLOOKUP(D1463,'Species Codes'!B:P,15,0)*(((E1463*2.54)/100)^2)*(I1463*0.3048)))))*0.0011023),0)</f>
        <v>#N/A</v>
      </c>
      <c r="AD1463" s="104" t="e">
        <f t="shared" si="652"/>
        <v>#N/A</v>
      </c>
      <c r="AE1463" s="104" t="e">
        <f t="shared" si="653"/>
        <v>#N/A</v>
      </c>
      <c r="AF1463" s="104" t="e">
        <f>IF(AND(VLOOKUP($D1463,Merchantability!$B:$C,2,0)="Yes",$E1463&gt;=VLOOKUP($D1463,Merchantability!$B:$D,3,0),$E1463&lt;=VLOOKUP($D1463,Merchantability!$B:$E,4,0)),AA1463,0)</f>
        <v>#N/A</v>
      </c>
      <c r="AG1463" s="104" t="e">
        <f>IF(AND(VLOOKUP($D1463,Merchantability!$B:$C,2,0)="Yes",$E1463&gt;=VLOOKUP($D1463,Merchantability!$B:$D,3,0),$E1463&lt;=VLOOKUP($D1463,Merchantability!$B:$E,4,0)),AB1463,0)</f>
        <v>#N/A</v>
      </c>
      <c r="AH1463" s="104" t="e">
        <f>IF(AND(VLOOKUP($D1463,Merchantability!$B:$C,2,0)="Yes",$E1463&gt;=VLOOKUP($D1463,Merchantability!$B:$D,3,0),$E1463&lt;=VLOOKUP($D1463,Merchantability!$B:$E,4,0)),AC1463,0)</f>
        <v>#N/A</v>
      </c>
      <c r="AI1463" s="104" t="e">
        <f t="shared" si="654"/>
        <v>#N/A</v>
      </c>
      <c r="AJ1463" s="104" t="e">
        <f t="shared" si="655"/>
        <v>#VALUE!</v>
      </c>
      <c r="AK1463" s="104" t="e">
        <f t="shared" si="656"/>
        <v>#N/A</v>
      </c>
      <c r="AL1463" s="104" t="e">
        <f t="shared" si="657"/>
        <v>#N/A</v>
      </c>
      <c r="AM1463" s="104" t="e">
        <f t="shared" si="658"/>
        <v>#N/A</v>
      </c>
      <c r="AN1463" s="104" t="e">
        <f t="shared" si="642"/>
        <v>#N/A</v>
      </c>
      <c r="AO1463" s="104" t="e">
        <f t="shared" si="643"/>
        <v>#N/A</v>
      </c>
      <c r="AP1463" s="104" t="e">
        <f t="shared" si="644"/>
        <v>#N/A</v>
      </c>
      <c r="AQ1463" s="104" t="e">
        <f t="shared" si="645"/>
        <v>#N/A</v>
      </c>
      <c r="AR1463" s="105" t="str">
        <f t="shared" si="637"/>
        <v/>
      </c>
      <c r="AS1463" s="105" t="str">
        <f t="shared" si="638"/>
        <v/>
      </c>
      <c r="AT1463" s="108" t="str">
        <f t="shared" si="639"/>
        <v/>
      </c>
      <c r="AU1463" s="108" t="str">
        <f t="shared" si="640"/>
        <v/>
      </c>
      <c r="AV1463" s="107" t="str">
        <f>IF(ISNUMBER(O1463),IF(VLOOKUP($A1463,Stand!C:J,8,FALSE)="Short",AT1463,AU1463),"")</f>
        <v/>
      </c>
      <c r="AW1463" s="109" t="str">
        <f t="shared" si="646"/>
        <v/>
      </c>
      <c r="AX1463" s="109" t="str">
        <f t="shared" si="647"/>
        <v/>
      </c>
      <c r="AY1463" s="112" t="str">
        <f>IF(ISNUMBER(O1463),IF(AND(VLOOKUP($D1463,Merchantability!$B:$C,2,0)="Yes",$E1463&gt;=VLOOKUP($D1463,Merchantability!$B:$D,3,0),$E1463&lt;=VLOOKUP($D1463,Merchantability!$B:$E,4,0)),(AV1463*O1463)*(1-$H1463/100),""),"")</f>
        <v/>
      </c>
      <c r="AZ1463" s="116"/>
      <c r="BA1463" s="116"/>
      <c r="BB1463" s="116"/>
      <c r="BE1463" s="62"/>
      <c r="BF1463" s="63"/>
    </row>
    <row r="1464" spans="1:58" ht="12.75" customHeight="1" x14ac:dyDescent="0.25">
      <c r="A1464" s="333"/>
      <c r="B1464" s="334"/>
      <c r="C1464" s="332"/>
      <c r="D1464" s="334"/>
      <c r="E1464" s="335"/>
      <c r="F1464" s="334"/>
      <c r="G1464" s="332"/>
      <c r="H1464" s="332"/>
      <c r="I1464" s="334"/>
      <c r="J1464" s="336"/>
      <c r="K1464" s="332"/>
      <c r="L1464" s="332"/>
      <c r="M1464" s="76"/>
      <c r="N1464" s="103" t="str">
        <f>IF(A1464="","",VLOOKUP(A1464,Stand!C:K,9,0))</f>
        <v/>
      </c>
      <c r="O1464" s="104" t="str">
        <f t="shared" si="632"/>
        <v/>
      </c>
      <c r="P1464" s="105" t="str">
        <f t="shared" si="633"/>
        <v/>
      </c>
      <c r="Q1464" s="105" t="str">
        <f t="shared" si="648"/>
        <v/>
      </c>
      <c r="R1464" s="103" t="str">
        <f t="shared" si="634"/>
        <v/>
      </c>
      <c r="S1464" s="103" t="str">
        <f t="shared" si="635"/>
        <v/>
      </c>
      <c r="T1464" s="106" t="str">
        <f t="shared" si="649"/>
        <v/>
      </c>
      <c r="U1464" s="106" t="str">
        <f t="shared" si="650"/>
        <v/>
      </c>
      <c r="V1464" s="106" t="str">
        <f t="shared" si="651"/>
        <v/>
      </c>
      <c r="W1464" s="105" t="str">
        <f t="shared" si="636"/>
        <v/>
      </c>
      <c r="X1464" s="104" t="str">
        <f t="shared" si="641"/>
        <v/>
      </c>
      <c r="Y1464" s="104" t="str">
        <f t="array" ref="Y1464">IFERROR(IF(ISNUMBER(O1464),IF(COUNT(IF(A1464=$A$2:$A$2427,IF(D1464=$D$2:$D$2427,IF($X$2:$X$2427&gt;0,1))))&gt;0,SUM(IF(A1464=$A$2:$A$2427,IF(D1464=$D$2:$D$2427,$X$2:$X$2427)))/COUNT(IF(A1464=$A$2:$A$2427,IF(D1464=$D$2:$D$2427,IF(ISNUMBER($X$2:$X$2427),1)))),0),""),0)</f>
        <v/>
      </c>
      <c r="Z1464" s="104" t="str">
        <f>IF(ISNUMBER(O1464),IF(I1464&gt;0,(10^(VLOOKUP(D1464,'Species Codes'!B:C,2,0)+VLOOKUP(D1464,'Species Codes'!B:D,3,0)*LOG(E1464)+VLOOKUP(D1464,'Species Codes'!B:E,4,0)*LOG(I1464))),0),"")</f>
        <v/>
      </c>
      <c r="AA1464" s="104" t="str">
        <f>IFERROR((VLOOKUP(D1464,'Species Codes'!B:G,6,0)*Z1464)/2000,"")</f>
        <v/>
      </c>
      <c r="AB1464" s="104" t="e">
        <f>IF(Z1464&gt;0,((IF(OR(D1464="DF",D1464="RA")=TRUE,EXP(VLOOKUP(D1464,'Species Codes'!B:I,8,0)+VLOOKUP(D1464,'Species Codes'!B:J,9,0)*(LN((E1464*2.54)))),IF(OR(D1464="PY",D1464="RC",D1464="WH",D1464="NF")=TRUE,VLOOKUP(D1464,'Species Codes'!B:I,8,0)+VLOOKUP(D1464,'Species Codes'!B:J,9,0)*((E1464*2.54)^2)*(I1464*0.3048),IF(OR(D1464="MD",D1464="BM",D1464="GA")=TRUE,((VLOOKUP(D1464,'Species Codes'!B:I,8,0)*(((((E1464*2.54)+VLOOKUP(D1464,'Species Codes'!B:J,9,0))/VLOOKUP(D1464,'Species Codes'!B:K,10,0))^VLOOKUP(D1464,'Species Codes'!B:L,11,0))*((I1464*0.3048)^VLOOKUP(D1464,'Species Codes'!B:M,12,0))))-(VLOOKUP(D1464,'Species Codes'!B:I,8,0)*((((E1464*2.54)^VLOOKUP(D1464,'Species Codes'!B:L,11,0))*((I1464*0.3048)^VLOOKUP(D1464,'Species Codes'!B:M,12,0))))))*35.3*VLOOKUP(D1464,'Species Codes'!B:G,6,0)/2.2046,VLOOKUP(D1464,'Species Codes'!B:I,8,0)+VLOOKUP(D1464,'Species Codes'!B:J,9,0)*(((E1464*2.54)/100)^2)*(I1464*0.3048)))))*0.0011023),0)</f>
        <v>#N/A</v>
      </c>
      <c r="AC1464" s="104" t="e">
        <f>IF(Z1464&gt;0,((IF(OR(D1464="RA",D1464="OA",D1464="OT",D1464="UN",D1464="PC"),EXP(VLOOKUP(D1464,'Species Codes'!B:O,14,0)+VLOOKUP(D1464,'Species Codes'!B:P,15,0)*LN((E1464*2.54)))-EXP(VLOOKUP(D1464,'Species Codes'!B:O,14,0)+VLOOKUP(D1464,'Species Codes'!B:P,15,0)*LN((E1464*2.54)))*(1/(VLOOKUP(D1464,'Species Codes'!B:Q,16,0)+VLOOKUP(D1464,'Species Codes'!B:R,17,0)*((E1464*2.54)^VLOOKUP(D1464,'Species Codes'!B:S,18,0)))),IF(OR(D1464="BM",D1464="MD",D1464="OA"),EXP(VLOOKUP(D1464,'Species Codes'!B:O,14,0)+VLOOKUP(D1464,'Species Codes'!B:P,15,0)*LN((E1464*2.54)))*(1-(1/(VLOOKUP(D1464,'Species Codes'!B:Q,16,0)+VLOOKUP(D1464,'Species Codes'!B:R,17,0)*((E1464*2.54)^VLOOKUP(D1464,'Species Codes'!B:S,18,0)))))/1000,IF(D1464="DF",EXP(VLOOKUP(D1464,'Species Codes'!B:O,14,0)+VLOOKUP(D1464,'Species Codes'!B:P,15,0)*LN((E1464*2.54))),VLOOKUP(D1464,'Species Codes'!B:O,14,0)+VLOOKUP(D1464,'Species Codes'!B:P,15,0)*(((E1464*2.54)/100)^2)*(I1464*0.3048)))))*0.0011023),0)</f>
        <v>#N/A</v>
      </c>
      <c r="AD1464" s="104" t="e">
        <f t="shared" si="652"/>
        <v>#N/A</v>
      </c>
      <c r="AE1464" s="104" t="e">
        <f t="shared" si="653"/>
        <v>#N/A</v>
      </c>
      <c r="AF1464" s="104" t="e">
        <f>IF(AND(VLOOKUP($D1464,Merchantability!$B:$C,2,0)="Yes",$E1464&gt;=VLOOKUP($D1464,Merchantability!$B:$D,3,0),$E1464&lt;=VLOOKUP($D1464,Merchantability!$B:$E,4,0)),AA1464,0)</f>
        <v>#N/A</v>
      </c>
      <c r="AG1464" s="104" t="e">
        <f>IF(AND(VLOOKUP($D1464,Merchantability!$B:$C,2,0)="Yes",$E1464&gt;=VLOOKUP($D1464,Merchantability!$B:$D,3,0),$E1464&lt;=VLOOKUP($D1464,Merchantability!$B:$E,4,0)),AB1464,0)</f>
        <v>#N/A</v>
      </c>
      <c r="AH1464" s="104" t="e">
        <f>IF(AND(VLOOKUP($D1464,Merchantability!$B:$C,2,0)="Yes",$E1464&gt;=VLOOKUP($D1464,Merchantability!$B:$D,3,0),$E1464&lt;=VLOOKUP($D1464,Merchantability!$B:$E,4,0)),AC1464,0)</f>
        <v>#N/A</v>
      </c>
      <c r="AI1464" s="104" t="e">
        <f t="shared" si="654"/>
        <v>#N/A</v>
      </c>
      <c r="AJ1464" s="104" t="e">
        <f t="shared" si="655"/>
        <v>#VALUE!</v>
      </c>
      <c r="AK1464" s="104" t="e">
        <f t="shared" si="656"/>
        <v>#N/A</v>
      </c>
      <c r="AL1464" s="104" t="e">
        <f t="shared" si="657"/>
        <v>#N/A</v>
      </c>
      <c r="AM1464" s="104" t="e">
        <f t="shared" si="658"/>
        <v>#N/A</v>
      </c>
      <c r="AN1464" s="104" t="e">
        <f t="shared" si="642"/>
        <v>#N/A</v>
      </c>
      <c r="AO1464" s="104" t="e">
        <f t="shared" si="643"/>
        <v>#N/A</v>
      </c>
      <c r="AP1464" s="104" t="e">
        <f t="shared" si="644"/>
        <v>#N/A</v>
      </c>
      <c r="AQ1464" s="104" t="e">
        <f t="shared" si="645"/>
        <v>#N/A</v>
      </c>
      <c r="AR1464" s="105" t="str">
        <f t="shared" si="637"/>
        <v/>
      </c>
      <c r="AS1464" s="105" t="str">
        <f t="shared" si="638"/>
        <v/>
      </c>
      <c r="AT1464" s="108" t="str">
        <f t="shared" si="639"/>
        <v/>
      </c>
      <c r="AU1464" s="108" t="str">
        <f t="shared" si="640"/>
        <v/>
      </c>
      <c r="AV1464" s="107" t="str">
        <f>IF(ISNUMBER(O1464),IF(VLOOKUP($A1464,Stand!C:J,8,FALSE)="Short",AT1464,AU1464),"")</f>
        <v/>
      </c>
      <c r="AW1464" s="109" t="str">
        <f t="shared" si="646"/>
        <v/>
      </c>
      <c r="AX1464" s="109" t="str">
        <f t="shared" si="647"/>
        <v/>
      </c>
      <c r="AY1464" s="112" t="str">
        <f>IF(ISNUMBER(O1464),IF(AND(VLOOKUP($D1464,Merchantability!$B:$C,2,0)="Yes",$E1464&gt;=VLOOKUP($D1464,Merchantability!$B:$D,3,0),$E1464&lt;=VLOOKUP($D1464,Merchantability!$B:$E,4,0)),(AV1464*O1464)*(1-$H1464/100),""),"")</f>
        <v/>
      </c>
      <c r="AZ1464" s="116"/>
      <c r="BA1464" s="116"/>
      <c r="BB1464" s="116"/>
      <c r="BE1464" s="62"/>
      <c r="BF1464" s="63"/>
    </row>
    <row r="1465" spans="1:58" ht="12.75" customHeight="1" x14ac:dyDescent="0.25">
      <c r="A1465" s="333"/>
      <c r="B1465" s="334"/>
      <c r="C1465" s="332"/>
      <c r="D1465" s="334"/>
      <c r="E1465" s="335"/>
      <c r="F1465" s="334"/>
      <c r="G1465" s="332"/>
      <c r="H1465" s="332"/>
      <c r="I1465" s="334"/>
      <c r="J1465" s="336"/>
      <c r="K1465" s="332"/>
      <c r="L1465" s="332"/>
      <c r="M1465" s="76"/>
      <c r="N1465" s="103" t="str">
        <f>IF(A1465="","",VLOOKUP(A1465,Stand!C:K,9,0))</f>
        <v/>
      </c>
      <c r="O1465" s="104" t="str">
        <f t="shared" si="632"/>
        <v/>
      </c>
      <c r="P1465" s="105" t="str">
        <f t="shared" si="633"/>
        <v/>
      </c>
      <c r="Q1465" s="105" t="str">
        <f t="shared" si="648"/>
        <v/>
      </c>
      <c r="R1465" s="103" t="str">
        <f t="shared" si="634"/>
        <v/>
      </c>
      <c r="S1465" s="103" t="str">
        <f t="shared" si="635"/>
        <v/>
      </c>
      <c r="T1465" s="106" t="str">
        <f t="shared" si="649"/>
        <v/>
      </c>
      <c r="U1465" s="106" t="str">
        <f t="shared" si="650"/>
        <v/>
      </c>
      <c r="V1465" s="106" t="str">
        <f t="shared" si="651"/>
        <v/>
      </c>
      <c r="W1465" s="105" t="str">
        <f t="shared" si="636"/>
        <v/>
      </c>
      <c r="X1465" s="104" t="str">
        <f t="shared" si="641"/>
        <v/>
      </c>
      <c r="Y1465" s="104" t="str">
        <f t="array" ref="Y1465">IFERROR(IF(ISNUMBER(O1465),IF(COUNT(IF(A1465=$A$2:$A$2427,IF(D1465=$D$2:$D$2427,IF($X$2:$X$2427&gt;0,1))))&gt;0,SUM(IF(A1465=$A$2:$A$2427,IF(D1465=$D$2:$D$2427,$X$2:$X$2427)))/COUNT(IF(A1465=$A$2:$A$2427,IF(D1465=$D$2:$D$2427,IF(ISNUMBER($X$2:$X$2427),1)))),0),""),0)</f>
        <v/>
      </c>
      <c r="Z1465" s="104" t="str">
        <f>IF(ISNUMBER(O1465),IF(I1465&gt;0,(10^(VLOOKUP(D1465,'Species Codes'!B:C,2,0)+VLOOKUP(D1465,'Species Codes'!B:D,3,0)*LOG(E1465)+VLOOKUP(D1465,'Species Codes'!B:E,4,0)*LOG(I1465))),0),"")</f>
        <v/>
      </c>
      <c r="AA1465" s="104" t="str">
        <f>IFERROR((VLOOKUP(D1465,'Species Codes'!B:G,6,0)*Z1465)/2000,"")</f>
        <v/>
      </c>
      <c r="AB1465" s="104" t="e">
        <f>IF(Z1465&gt;0,((IF(OR(D1465="DF",D1465="RA")=TRUE,EXP(VLOOKUP(D1465,'Species Codes'!B:I,8,0)+VLOOKUP(D1465,'Species Codes'!B:J,9,0)*(LN((E1465*2.54)))),IF(OR(D1465="PY",D1465="RC",D1465="WH",D1465="NF")=TRUE,VLOOKUP(D1465,'Species Codes'!B:I,8,0)+VLOOKUP(D1465,'Species Codes'!B:J,9,0)*((E1465*2.54)^2)*(I1465*0.3048),IF(OR(D1465="MD",D1465="BM",D1465="GA")=TRUE,((VLOOKUP(D1465,'Species Codes'!B:I,8,0)*(((((E1465*2.54)+VLOOKUP(D1465,'Species Codes'!B:J,9,0))/VLOOKUP(D1465,'Species Codes'!B:K,10,0))^VLOOKUP(D1465,'Species Codes'!B:L,11,0))*((I1465*0.3048)^VLOOKUP(D1465,'Species Codes'!B:M,12,0))))-(VLOOKUP(D1465,'Species Codes'!B:I,8,0)*((((E1465*2.54)^VLOOKUP(D1465,'Species Codes'!B:L,11,0))*((I1465*0.3048)^VLOOKUP(D1465,'Species Codes'!B:M,12,0))))))*35.3*VLOOKUP(D1465,'Species Codes'!B:G,6,0)/2.2046,VLOOKUP(D1465,'Species Codes'!B:I,8,0)+VLOOKUP(D1465,'Species Codes'!B:J,9,0)*(((E1465*2.54)/100)^2)*(I1465*0.3048)))))*0.0011023),0)</f>
        <v>#N/A</v>
      </c>
      <c r="AC1465" s="104" t="e">
        <f>IF(Z1465&gt;0,((IF(OR(D1465="RA",D1465="OA",D1465="OT",D1465="UN",D1465="PC"),EXP(VLOOKUP(D1465,'Species Codes'!B:O,14,0)+VLOOKUP(D1465,'Species Codes'!B:P,15,0)*LN((E1465*2.54)))-EXP(VLOOKUP(D1465,'Species Codes'!B:O,14,0)+VLOOKUP(D1465,'Species Codes'!B:P,15,0)*LN((E1465*2.54)))*(1/(VLOOKUP(D1465,'Species Codes'!B:Q,16,0)+VLOOKUP(D1465,'Species Codes'!B:R,17,0)*((E1465*2.54)^VLOOKUP(D1465,'Species Codes'!B:S,18,0)))),IF(OR(D1465="BM",D1465="MD",D1465="OA"),EXP(VLOOKUP(D1465,'Species Codes'!B:O,14,0)+VLOOKUP(D1465,'Species Codes'!B:P,15,0)*LN((E1465*2.54)))*(1-(1/(VLOOKUP(D1465,'Species Codes'!B:Q,16,0)+VLOOKUP(D1465,'Species Codes'!B:R,17,0)*((E1465*2.54)^VLOOKUP(D1465,'Species Codes'!B:S,18,0)))))/1000,IF(D1465="DF",EXP(VLOOKUP(D1465,'Species Codes'!B:O,14,0)+VLOOKUP(D1465,'Species Codes'!B:P,15,0)*LN((E1465*2.54))),VLOOKUP(D1465,'Species Codes'!B:O,14,0)+VLOOKUP(D1465,'Species Codes'!B:P,15,0)*(((E1465*2.54)/100)^2)*(I1465*0.3048)))))*0.0011023),0)</f>
        <v>#N/A</v>
      </c>
      <c r="AD1465" s="104" t="e">
        <f t="shared" si="652"/>
        <v>#N/A</v>
      </c>
      <c r="AE1465" s="104" t="e">
        <f t="shared" si="653"/>
        <v>#N/A</v>
      </c>
      <c r="AF1465" s="104" t="e">
        <f>IF(AND(VLOOKUP($D1465,Merchantability!$B:$C,2,0)="Yes",$E1465&gt;=VLOOKUP($D1465,Merchantability!$B:$D,3,0),$E1465&lt;=VLOOKUP($D1465,Merchantability!$B:$E,4,0)),AA1465,0)</f>
        <v>#N/A</v>
      </c>
      <c r="AG1465" s="104" t="e">
        <f>IF(AND(VLOOKUP($D1465,Merchantability!$B:$C,2,0)="Yes",$E1465&gt;=VLOOKUP($D1465,Merchantability!$B:$D,3,0),$E1465&lt;=VLOOKUP($D1465,Merchantability!$B:$E,4,0)),AB1465,0)</f>
        <v>#N/A</v>
      </c>
      <c r="AH1465" s="104" t="e">
        <f>IF(AND(VLOOKUP($D1465,Merchantability!$B:$C,2,0)="Yes",$E1465&gt;=VLOOKUP($D1465,Merchantability!$B:$D,3,0),$E1465&lt;=VLOOKUP($D1465,Merchantability!$B:$E,4,0)),AC1465,0)</f>
        <v>#N/A</v>
      </c>
      <c r="AI1465" s="104" t="e">
        <f t="shared" si="654"/>
        <v>#N/A</v>
      </c>
      <c r="AJ1465" s="104" t="e">
        <f t="shared" si="655"/>
        <v>#VALUE!</v>
      </c>
      <c r="AK1465" s="104" t="e">
        <f t="shared" si="656"/>
        <v>#N/A</v>
      </c>
      <c r="AL1465" s="104" t="e">
        <f t="shared" si="657"/>
        <v>#N/A</v>
      </c>
      <c r="AM1465" s="104" t="e">
        <f t="shared" si="658"/>
        <v>#N/A</v>
      </c>
      <c r="AN1465" s="104" t="e">
        <f t="shared" si="642"/>
        <v>#N/A</v>
      </c>
      <c r="AO1465" s="104" t="e">
        <f t="shared" si="643"/>
        <v>#N/A</v>
      </c>
      <c r="AP1465" s="104" t="e">
        <f t="shared" si="644"/>
        <v>#N/A</v>
      </c>
      <c r="AQ1465" s="104" t="e">
        <f t="shared" si="645"/>
        <v>#N/A</v>
      </c>
      <c r="AR1465" s="105" t="str">
        <f t="shared" si="637"/>
        <v/>
      </c>
      <c r="AS1465" s="105" t="str">
        <f t="shared" si="638"/>
        <v/>
      </c>
      <c r="AT1465" s="108" t="str">
        <f t="shared" si="639"/>
        <v/>
      </c>
      <c r="AU1465" s="108" t="str">
        <f t="shared" si="640"/>
        <v/>
      </c>
      <c r="AV1465" s="107" t="str">
        <f>IF(ISNUMBER(O1465),IF(VLOOKUP($A1465,Stand!C:J,8,FALSE)="Short",AT1465,AU1465),"")</f>
        <v/>
      </c>
      <c r="AW1465" s="109" t="str">
        <f t="shared" si="646"/>
        <v/>
      </c>
      <c r="AX1465" s="109" t="str">
        <f t="shared" si="647"/>
        <v/>
      </c>
      <c r="AY1465" s="112" t="str">
        <f>IF(ISNUMBER(O1465),IF(AND(VLOOKUP($D1465,Merchantability!$B:$C,2,0)="Yes",$E1465&gt;=VLOOKUP($D1465,Merchantability!$B:$D,3,0),$E1465&lt;=VLOOKUP($D1465,Merchantability!$B:$E,4,0)),(AV1465*O1465)*(1-$H1465/100),""),"")</f>
        <v/>
      </c>
      <c r="AZ1465" s="116"/>
      <c r="BA1465" s="116"/>
      <c r="BB1465" s="116"/>
      <c r="BE1465" s="62"/>
      <c r="BF1465" s="63"/>
    </row>
    <row r="1466" spans="1:58" ht="12.75" customHeight="1" x14ac:dyDescent="0.25">
      <c r="A1466" s="333"/>
      <c r="B1466" s="334"/>
      <c r="C1466" s="332"/>
      <c r="D1466" s="334"/>
      <c r="E1466" s="335"/>
      <c r="F1466" s="334"/>
      <c r="G1466" s="332"/>
      <c r="H1466" s="332"/>
      <c r="I1466" s="334"/>
      <c r="J1466" s="336"/>
      <c r="K1466" s="332"/>
      <c r="L1466" s="332"/>
      <c r="M1466" s="76"/>
      <c r="N1466" s="103" t="str">
        <f>IF(A1466="","",VLOOKUP(A1466,Stand!C:K,9,0))</f>
        <v/>
      </c>
      <c r="O1466" s="104" t="str">
        <f t="shared" si="632"/>
        <v/>
      </c>
      <c r="P1466" s="105" t="str">
        <f t="shared" si="633"/>
        <v/>
      </c>
      <c r="Q1466" s="105" t="str">
        <f t="shared" si="648"/>
        <v/>
      </c>
      <c r="R1466" s="103" t="str">
        <f t="shared" si="634"/>
        <v/>
      </c>
      <c r="S1466" s="103" t="str">
        <f t="shared" si="635"/>
        <v/>
      </c>
      <c r="T1466" s="106" t="str">
        <f t="shared" si="649"/>
        <v/>
      </c>
      <c r="U1466" s="106" t="str">
        <f t="shared" si="650"/>
        <v/>
      </c>
      <c r="V1466" s="106" t="str">
        <f t="shared" si="651"/>
        <v/>
      </c>
      <c r="W1466" s="105" t="str">
        <f t="shared" si="636"/>
        <v/>
      </c>
      <c r="X1466" s="104" t="str">
        <f t="shared" si="641"/>
        <v/>
      </c>
      <c r="Y1466" s="104" t="str">
        <f t="array" ref="Y1466">IFERROR(IF(ISNUMBER(O1466),IF(COUNT(IF(A1466=$A$2:$A$2427,IF(D1466=$D$2:$D$2427,IF($X$2:$X$2427&gt;0,1))))&gt;0,SUM(IF(A1466=$A$2:$A$2427,IF(D1466=$D$2:$D$2427,$X$2:$X$2427)))/COUNT(IF(A1466=$A$2:$A$2427,IF(D1466=$D$2:$D$2427,IF(ISNUMBER($X$2:$X$2427),1)))),0),""),0)</f>
        <v/>
      </c>
      <c r="Z1466" s="104" t="str">
        <f>IF(ISNUMBER(O1466),IF(I1466&gt;0,(10^(VLOOKUP(D1466,'Species Codes'!B:C,2,0)+VLOOKUP(D1466,'Species Codes'!B:D,3,0)*LOG(E1466)+VLOOKUP(D1466,'Species Codes'!B:E,4,0)*LOG(I1466))),0),"")</f>
        <v/>
      </c>
      <c r="AA1466" s="104" t="str">
        <f>IFERROR((VLOOKUP(D1466,'Species Codes'!B:G,6,0)*Z1466)/2000,"")</f>
        <v/>
      </c>
      <c r="AB1466" s="104" t="e">
        <f>IF(Z1466&gt;0,((IF(OR(D1466="DF",D1466="RA")=TRUE,EXP(VLOOKUP(D1466,'Species Codes'!B:I,8,0)+VLOOKUP(D1466,'Species Codes'!B:J,9,0)*(LN((E1466*2.54)))),IF(OR(D1466="PY",D1466="RC",D1466="WH",D1466="NF")=TRUE,VLOOKUP(D1466,'Species Codes'!B:I,8,0)+VLOOKUP(D1466,'Species Codes'!B:J,9,0)*((E1466*2.54)^2)*(I1466*0.3048),IF(OR(D1466="MD",D1466="BM",D1466="GA")=TRUE,((VLOOKUP(D1466,'Species Codes'!B:I,8,0)*(((((E1466*2.54)+VLOOKUP(D1466,'Species Codes'!B:J,9,0))/VLOOKUP(D1466,'Species Codes'!B:K,10,0))^VLOOKUP(D1466,'Species Codes'!B:L,11,0))*((I1466*0.3048)^VLOOKUP(D1466,'Species Codes'!B:M,12,0))))-(VLOOKUP(D1466,'Species Codes'!B:I,8,0)*((((E1466*2.54)^VLOOKUP(D1466,'Species Codes'!B:L,11,0))*((I1466*0.3048)^VLOOKUP(D1466,'Species Codes'!B:M,12,0))))))*35.3*VLOOKUP(D1466,'Species Codes'!B:G,6,0)/2.2046,VLOOKUP(D1466,'Species Codes'!B:I,8,0)+VLOOKUP(D1466,'Species Codes'!B:J,9,0)*(((E1466*2.54)/100)^2)*(I1466*0.3048)))))*0.0011023),0)</f>
        <v>#N/A</v>
      </c>
      <c r="AC1466" s="104" t="e">
        <f>IF(Z1466&gt;0,((IF(OR(D1466="RA",D1466="OA",D1466="OT",D1466="UN",D1466="PC"),EXP(VLOOKUP(D1466,'Species Codes'!B:O,14,0)+VLOOKUP(D1466,'Species Codes'!B:P,15,0)*LN((E1466*2.54)))-EXP(VLOOKUP(D1466,'Species Codes'!B:O,14,0)+VLOOKUP(D1466,'Species Codes'!B:P,15,0)*LN((E1466*2.54)))*(1/(VLOOKUP(D1466,'Species Codes'!B:Q,16,0)+VLOOKUP(D1466,'Species Codes'!B:R,17,0)*((E1466*2.54)^VLOOKUP(D1466,'Species Codes'!B:S,18,0)))),IF(OR(D1466="BM",D1466="MD",D1466="OA"),EXP(VLOOKUP(D1466,'Species Codes'!B:O,14,0)+VLOOKUP(D1466,'Species Codes'!B:P,15,0)*LN((E1466*2.54)))*(1-(1/(VLOOKUP(D1466,'Species Codes'!B:Q,16,0)+VLOOKUP(D1466,'Species Codes'!B:R,17,0)*((E1466*2.54)^VLOOKUP(D1466,'Species Codes'!B:S,18,0)))))/1000,IF(D1466="DF",EXP(VLOOKUP(D1466,'Species Codes'!B:O,14,0)+VLOOKUP(D1466,'Species Codes'!B:P,15,0)*LN((E1466*2.54))),VLOOKUP(D1466,'Species Codes'!B:O,14,0)+VLOOKUP(D1466,'Species Codes'!B:P,15,0)*(((E1466*2.54)/100)^2)*(I1466*0.3048)))))*0.0011023),0)</f>
        <v>#N/A</v>
      </c>
      <c r="AD1466" s="104" t="e">
        <f t="shared" si="652"/>
        <v>#N/A</v>
      </c>
      <c r="AE1466" s="104" t="e">
        <f t="shared" si="653"/>
        <v>#N/A</v>
      </c>
      <c r="AF1466" s="104" t="e">
        <f>IF(AND(VLOOKUP($D1466,Merchantability!$B:$C,2,0)="Yes",$E1466&gt;=VLOOKUP($D1466,Merchantability!$B:$D,3,0),$E1466&lt;=VLOOKUP($D1466,Merchantability!$B:$E,4,0)),AA1466,0)</f>
        <v>#N/A</v>
      </c>
      <c r="AG1466" s="104" t="e">
        <f>IF(AND(VLOOKUP($D1466,Merchantability!$B:$C,2,0)="Yes",$E1466&gt;=VLOOKUP($D1466,Merchantability!$B:$D,3,0),$E1466&lt;=VLOOKUP($D1466,Merchantability!$B:$E,4,0)),AB1466,0)</f>
        <v>#N/A</v>
      </c>
      <c r="AH1466" s="104" t="e">
        <f>IF(AND(VLOOKUP($D1466,Merchantability!$B:$C,2,0)="Yes",$E1466&gt;=VLOOKUP($D1466,Merchantability!$B:$D,3,0),$E1466&lt;=VLOOKUP($D1466,Merchantability!$B:$E,4,0)),AC1466,0)</f>
        <v>#N/A</v>
      </c>
      <c r="AI1466" s="104" t="e">
        <f t="shared" si="654"/>
        <v>#N/A</v>
      </c>
      <c r="AJ1466" s="104" t="e">
        <f t="shared" si="655"/>
        <v>#VALUE!</v>
      </c>
      <c r="AK1466" s="104" t="e">
        <f t="shared" si="656"/>
        <v>#N/A</v>
      </c>
      <c r="AL1466" s="104" t="e">
        <f t="shared" si="657"/>
        <v>#N/A</v>
      </c>
      <c r="AM1466" s="104" t="e">
        <f t="shared" si="658"/>
        <v>#N/A</v>
      </c>
      <c r="AN1466" s="104" t="e">
        <f t="shared" si="642"/>
        <v>#N/A</v>
      </c>
      <c r="AO1466" s="104" t="e">
        <f t="shared" si="643"/>
        <v>#N/A</v>
      </c>
      <c r="AP1466" s="104" t="e">
        <f t="shared" si="644"/>
        <v>#N/A</v>
      </c>
      <c r="AQ1466" s="104" t="e">
        <f t="shared" si="645"/>
        <v>#N/A</v>
      </c>
      <c r="AR1466" s="105" t="str">
        <f t="shared" si="637"/>
        <v/>
      </c>
      <c r="AS1466" s="105" t="str">
        <f t="shared" si="638"/>
        <v/>
      </c>
      <c r="AT1466" s="108" t="str">
        <f t="shared" si="639"/>
        <v/>
      </c>
      <c r="AU1466" s="108" t="str">
        <f t="shared" si="640"/>
        <v/>
      </c>
      <c r="AV1466" s="107" t="str">
        <f>IF(ISNUMBER(O1466),IF(VLOOKUP($A1466,Stand!C:J,8,FALSE)="Short",AT1466,AU1466),"")</f>
        <v/>
      </c>
      <c r="AW1466" s="109" t="str">
        <f t="shared" si="646"/>
        <v/>
      </c>
      <c r="AX1466" s="109" t="str">
        <f t="shared" si="647"/>
        <v/>
      </c>
      <c r="AY1466" s="112" t="str">
        <f>IF(ISNUMBER(O1466),IF(AND(VLOOKUP($D1466,Merchantability!$B:$C,2,0)="Yes",$E1466&gt;=VLOOKUP($D1466,Merchantability!$B:$D,3,0),$E1466&lt;=VLOOKUP($D1466,Merchantability!$B:$E,4,0)),(AV1466*O1466)*(1-$H1466/100),""),"")</f>
        <v/>
      </c>
      <c r="AZ1466" s="116"/>
      <c r="BA1466" s="116"/>
      <c r="BB1466" s="116"/>
      <c r="BE1466" s="62"/>
      <c r="BF1466" s="63"/>
    </row>
    <row r="1467" spans="1:58" ht="12.75" customHeight="1" x14ac:dyDescent="0.25">
      <c r="A1467" s="333"/>
      <c r="B1467" s="334"/>
      <c r="C1467" s="332"/>
      <c r="D1467" s="334"/>
      <c r="E1467" s="335"/>
      <c r="F1467" s="334"/>
      <c r="G1467" s="332"/>
      <c r="H1467" s="332"/>
      <c r="I1467" s="334"/>
      <c r="J1467" s="336"/>
      <c r="K1467" s="332"/>
      <c r="L1467" s="332"/>
      <c r="M1467" s="76"/>
      <c r="N1467" s="103" t="str">
        <f>IF(A1467="","",VLOOKUP(A1467,Stand!C:K,9,0))</f>
        <v/>
      </c>
      <c r="O1467" s="104" t="str">
        <f t="shared" si="632"/>
        <v/>
      </c>
      <c r="P1467" s="105" t="str">
        <f t="shared" si="633"/>
        <v/>
      </c>
      <c r="Q1467" s="105" t="str">
        <f t="shared" si="648"/>
        <v/>
      </c>
      <c r="R1467" s="103" t="str">
        <f t="shared" si="634"/>
        <v/>
      </c>
      <c r="S1467" s="103" t="str">
        <f t="shared" si="635"/>
        <v/>
      </c>
      <c r="T1467" s="106" t="str">
        <f t="shared" si="649"/>
        <v/>
      </c>
      <c r="U1467" s="106" t="str">
        <f t="shared" si="650"/>
        <v/>
      </c>
      <c r="V1467" s="106" t="str">
        <f t="shared" si="651"/>
        <v/>
      </c>
      <c r="W1467" s="105" t="str">
        <f t="shared" si="636"/>
        <v/>
      </c>
      <c r="X1467" s="104" t="str">
        <f t="shared" si="641"/>
        <v/>
      </c>
      <c r="Y1467" s="104" t="str">
        <f t="array" ref="Y1467">IFERROR(IF(ISNUMBER(O1467),IF(COUNT(IF(A1467=$A$2:$A$2427,IF(D1467=$D$2:$D$2427,IF($X$2:$X$2427&gt;0,1))))&gt;0,SUM(IF(A1467=$A$2:$A$2427,IF(D1467=$D$2:$D$2427,$X$2:$X$2427)))/COUNT(IF(A1467=$A$2:$A$2427,IF(D1467=$D$2:$D$2427,IF(ISNUMBER($X$2:$X$2427),1)))),0),""),0)</f>
        <v/>
      </c>
      <c r="Z1467" s="104" t="str">
        <f>IF(ISNUMBER(O1467),IF(I1467&gt;0,(10^(VLOOKUP(D1467,'Species Codes'!B:C,2,0)+VLOOKUP(D1467,'Species Codes'!B:D,3,0)*LOG(E1467)+VLOOKUP(D1467,'Species Codes'!B:E,4,0)*LOG(I1467))),0),"")</f>
        <v/>
      </c>
      <c r="AA1467" s="104" t="str">
        <f>IFERROR((VLOOKUP(D1467,'Species Codes'!B:G,6,0)*Z1467)/2000,"")</f>
        <v/>
      </c>
      <c r="AB1467" s="104" t="e">
        <f>IF(Z1467&gt;0,((IF(OR(D1467="DF",D1467="RA")=TRUE,EXP(VLOOKUP(D1467,'Species Codes'!B:I,8,0)+VLOOKUP(D1467,'Species Codes'!B:J,9,0)*(LN((E1467*2.54)))),IF(OR(D1467="PY",D1467="RC",D1467="WH",D1467="NF")=TRUE,VLOOKUP(D1467,'Species Codes'!B:I,8,0)+VLOOKUP(D1467,'Species Codes'!B:J,9,0)*((E1467*2.54)^2)*(I1467*0.3048),IF(OR(D1467="MD",D1467="BM",D1467="GA")=TRUE,((VLOOKUP(D1467,'Species Codes'!B:I,8,0)*(((((E1467*2.54)+VLOOKUP(D1467,'Species Codes'!B:J,9,0))/VLOOKUP(D1467,'Species Codes'!B:K,10,0))^VLOOKUP(D1467,'Species Codes'!B:L,11,0))*((I1467*0.3048)^VLOOKUP(D1467,'Species Codes'!B:M,12,0))))-(VLOOKUP(D1467,'Species Codes'!B:I,8,0)*((((E1467*2.54)^VLOOKUP(D1467,'Species Codes'!B:L,11,0))*((I1467*0.3048)^VLOOKUP(D1467,'Species Codes'!B:M,12,0))))))*35.3*VLOOKUP(D1467,'Species Codes'!B:G,6,0)/2.2046,VLOOKUP(D1467,'Species Codes'!B:I,8,0)+VLOOKUP(D1467,'Species Codes'!B:J,9,0)*(((E1467*2.54)/100)^2)*(I1467*0.3048)))))*0.0011023),0)</f>
        <v>#N/A</v>
      </c>
      <c r="AC1467" s="104" t="e">
        <f>IF(Z1467&gt;0,((IF(OR(D1467="RA",D1467="OA",D1467="OT",D1467="UN",D1467="PC"),EXP(VLOOKUP(D1467,'Species Codes'!B:O,14,0)+VLOOKUP(D1467,'Species Codes'!B:P,15,0)*LN((E1467*2.54)))-EXP(VLOOKUP(D1467,'Species Codes'!B:O,14,0)+VLOOKUP(D1467,'Species Codes'!B:P,15,0)*LN((E1467*2.54)))*(1/(VLOOKUP(D1467,'Species Codes'!B:Q,16,0)+VLOOKUP(D1467,'Species Codes'!B:R,17,0)*((E1467*2.54)^VLOOKUP(D1467,'Species Codes'!B:S,18,0)))),IF(OR(D1467="BM",D1467="MD",D1467="OA"),EXP(VLOOKUP(D1467,'Species Codes'!B:O,14,0)+VLOOKUP(D1467,'Species Codes'!B:P,15,0)*LN((E1467*2.54)))*(1-(1/(VLOOKUP(D1467,'Species Codes'!B:Q,16,0)+VLOOKUP(D1467,'Species Codes'!B:R,17,0)*((E1467*2.54)^VLOOKUP(D1467,'Species Codes'!B:S,18,0)))))/1000,IF(D1467="DF",EXP(VLOOKUP(D1467,'Species Codes'!B:O,14,0)+VLOOKUP(D1467,'Species Codes'!B:P,15,0)*LN((E1467*2.54))),VLOOKUP(D1467,'Species Codes'!B:O,14,0)+VLOOKUP(D1467,'Species Codes'!B:P,15,0)*(((E1467*2.54)/100)^2)*(I1467*0.3048)))))*0.0011023),0)</f>
        <v>#N/A</v>
      </c>
      <c r="AD1467" s="104" t="e">
        <f t="shared" si="652"/>
        <v>#N/A</v>
      </c>
      <c r="AE1467" s="104" t="e">
        <f t="shared" si="653"/>
        <v>#N/A</v>
      </c>
      <c r="AF1467" s="104" t="e">
        <f>IF(AND(VLOOKUP($D1467,Merchantability!$B:$C,2,0)="Yes",$E1467&gt;=VLOOKUP($D1467,Merchantability!$B:$D,3,0),$E1467&lt;=VLOOKUP($D1467,Merchantability!$B:$E,4,0)),AA1467,0)</f>
        <v>#N/A</v>
      </c>
      <c r="AG1467" s="104" t="e">
        <f>IF(AND(VLOOKUP($D1467,Merchantability!$B:$C,2,0)="Yes",$E1467&gt;=VLOOKUP($D1467,Merchantability!$B:$D,3,0),$E1467&lt;=VLOOKUP($D1467,Merchantability!$B:$E,4,0)),AB1467,0)</f>
        <v>#N/A</v>
      </c>
      <c r="AH1467" s="104" t="e">
        <f>IF(AND(VLOOKUP($D1467,Merchantability!$B:$C,2,0)="Yes",$E1467&gt;=VLOOKUP($D1467,Merchantability!$B:$D,3,0),$E1467&lt;=VLOOKUP($D1467,Merchantability!$B:$E,4,0)),AC1467,0)</f>
        <v>#N/A</v>
      </c>
      <c r="AI1467" s="104" t="e">
        <f t="shared" si="654"/>
        <v>#N/A</v>
      </c>
      <c r="AJ1467" s="104" t="e">
        <f t="shared" si="655"/>
        <v>#VALUE!</v>
      </c>
      <c r="AK1467" s="104" t="e">
        <f t="shared" si="656"/>
        <v>#N/A</v>
      </c>
      <c r="AL1467" s="104" t="e">
        <f t="shared" si="657"/>
        <v>#N/A</v>
      </c>
      <c r="AM1467" s="104" t="e">
        <f t="shared" si="658"/>
        <v>#N/A</v>
      </c>
      <c r="AN1467" s="104" t="e">
        <f t="shared" si="642"/>
        <v>#N/A</v>
      </c>
      <c r="AO1467" s="104" t="e">
        <f t="shared" si="643"/>
        <v>#N/A</v>
      </c>
      <c r="AP1467" s="104" t="e">
        <f t="shared" si="644"/>
        <v>#N/A</v>
      </c>
      <c r="AQ1467" s="104" t="e">
        <f t="shared" si="645"/>
        <v>#N/A</v>
      </c>
      <c r="AR1467" s="105" t="str">
        <f t="shared" si="637"/>
        <v/>
      </c>
      <c r="AS1467" s="105" t="str">
        <f t="shared" si="638"/>
        <v/>
      </c>
      <c r="AT1467" s="108" t="str">
        <f t="shared" si="639"/>
        <v/>
      </c>
      <c r="AU1467" s="108" t="str">
        <f t="shared" si="640"/>
        <v/>
      </c>
      <c r="AV1467" s="107" t="str">
        <f>IF(ISNUMBER(O1467),IF(VLOOKUP($A1467,Stand!C:J,8,FALSE)="Short",AT1467,AU1467),"")</f>
        <v/>
      </c>
      <c r="AW1467" s="109" t="str">
        <f t="shared" si="646"/>
        <v/>
      </c>
      <c r="AX1467" s="109" t="str">
        <f t="shared" si="647"/>
        <v/>
      </c>
      <c r="AY1467" s="112" t="str">
        <f>IF(ISNUMBER(O1467),IF(AND(VLOOKUP($D1467,Merchantability!$B:$C,2,0)="Yes",$E1467&gt;=VLOOKUP($D1467,Merchantability!$B:$D,3,0),$E1467&lt;=VLOOKUP($D1467,Merchantability!$B:$E,4,0)),(AV1467*O1467)*(1-$H1467/100),""),"")</f>
        <v/>
      </c>
      <c r="AZ1467" s="116"/>
      <c r="BA1467" s="116"/>
      <c r="BB1467" s="116"/>
      <c r="BE1467" s="62"/>
      <c r="BF1467" s="63"/>
    </row>
    <row r="1468" spans="1:58" ht="12.75" customHeight="1" x14ac:dyDescent="0.25">
      <c r="A1468" s="333"/>
      <c r="B1468" s="334"/>
      <c r="C1468" s="332"/>
      <c r="D1468" s="334"/>
      <c r="E1468" s="335"/>
      <c r="F1468" s="334"/>
      <c r="G1468" s="332"/>
      <c r="H1468" s="332"/>
      <c r="I1468" s="334"/>
      <c r="J1468" s="336"/>
      <c r="K1468" s="332"/>
      <c r="L1468" s="332"/>
      <c r="M1468" s="76"/>
      <c r="N1468" s="103" t="str">
        <f>IF(A1468="","",VLOOKUP(A1468,Stand!C:K,9,0))</f>
        <v/>
      </c>
      <c r="O1468" s="104" t="str">
        <f t="shared" si="632"/>
        <v/>
      </c>
      <c r="P1468" s="105" t="str">
        <f t="shared" si="633"/>
        <v/>
      </c>
      <c r="Q1468" s="105" t="str">
        <f t="shared" si="648"/>
        <v/>
      </c>
      <c r="R1468" s="103" t="str">
        <f t="shared" si="634"/>
        <v/>
      </c>
      <c r="S1468" s="103" t="str">
        <f t="shared" si="635"/>
        <v/>
      </c>
      <c r="T1468" s="106" t="str">
        <f t="shared" si="649"/>
        <v/>
      </c>
      <c r="U1468" s="106" t="str">
        <f t="shared" si="650"/>
        <v/>
      </c>
      <c r="V1468" s="106" t="str">
        <f t="shared" si="651"/>
        <v/>
      </c>
      <c r="W1468" s="105" t="str">
        <f t="shared" si="636"/>
        <v/>
      </c>
      <c r="X1468" s="104" t="str">
        <f t="shared" si="641"/>
        <v/>
      </c>
      <c r="Y1468" s="104" t="str">
        <f t="array" ref="Y1468">IFERROR(IF(ISNUMBER(O1468),IF(COUNT(IF(A1468=$A$2:$A$2427,IF(D1468=$D$2:$D$2427,IF($X$2:$X$2427&gt;0,1))))&gt;0,SUM(IF(A1468=$A$2:$A$2427,IF(D1468=$D$2:$D$2427,$X$2:$X$2427)))/COUNT(IF(A1468=$A$2:$A$2427,IF(D1468=$D$2:$D$2427,IF(ISNUMBER($X$2:$X$2427),1)))),0),""),0)</f>
        <v/>
      </c>
      <c r="Z1468" s="104" t="str">
        <f>IF(ISNUMBER(O1468),IF(I1468&gt;0,(10^(VLOOKUP(D1468,'Species Codes'!B:C,2,0)+VLOOKUP(D1468,'Species Codes'!B:D,3,0)*LOG(E1468)+VLOOKUP(D1468,'Species Codes'!B:E,4,0)*LOG(I1468))),0),"")</f>
        <v/>
      </c>
      <c r="AA1468" s="104" t="str">
        <f>IFERROR((VLOOKUP(D1468,'Species Codes'!B:G,6,0)*Z1468)/2000,"")</f>
        <v/>
      </c>
      <c r="AB1468" s="104" t="e">
        <f>IF(Z1468&gt;0,((IF(OR(D1468="DF",D1468="RA")=TRUE,EXP(VLOOKUP(D1468,'Species Codes'!B:I,8,0)+VLOOKUP(D1468,'Species Codes'!B:J,9,0)*(LN((E1468*2.54)))),IF(OR(D1468="PY",D1468="RC",D1468="WH",D1468="NF")=TRUE,VLOOKUP(D1468,'Species Codes'!B:I,8,0)+VLOOKUP(D1468,'Species Codes'!B:J,9,0)*((E1468*2.54)^2)*(I1468*0.3048),IF(OR(D1468="MD",D1468="BM",D1468="GA")=TRUE,((VLOOKUP(D1468,'Species Codes'!B:I,8,0)*(((((E1468*2.54)+VLOOKUP(D1468,'Species Codes'!B:J,9,0))/VLOOKUP(D1468,'Species Codes'!B:K,10,0))^VLOOKUP(D1468,'Species Codes'!B:L,11,0))*((I1468*0.3048)^VLOOKUP(D1468,'Species Codes'!B:M,12,0))))-(VLOOKUP(D1468,'Species Codes'!B:I,8,0)*((((E1468*2.54)^VLOOKUP(D1468,'Species Codes'!B:L,11,0))*((I1468*0.3048)^VLOOKUP(D1468,'Species Codes'!B:M,12,0))))))*35.3*VLOOKUP(D1468,'Species Codes'!B:G,6,0)/2.2046,VLOOKUP(D1468,'Species Codes'!B:I,8,0)+VLOOKUP(D1468,'Species Codes'!B:J,9,0)*(((E1468*2.54)/100)^2)*(I1468*0.3048)))))*0.0011023),0)</f>
        <v>#N/A</v>
      </c>
      <c r="AC1468" s="104" t="e">
        <f>IF(Z1468&gt;0,((IF(OR(D1468="RA",D1468="OA",D1468="OT",D1468="UN",D1468="PC"),EXP(VLOOKUP(D1468,'Species Codes'!B:O,14,0)+VLOOKUP(D1468,'Species Codes'!B:P,15,0)*LN((E1468*2.54)))-EXP(VLOOKUP(D1468,'Species Codes'!B:O,14,0)+VLOOKUP(D1468,'Species Codes'!B:P,15,0)*LN((E1468*2.54)))*(1/(VLOOKUP(D1468,'Species Codes'!B:Q,16,0)+VLOOKUP(D1468,'Species Codes'!B:R,17,0)*((E1468*2.54)^VLOOKUP(D1468,'Species Codes'!B:S,18,0)))),IF(OR(D1468="BM",D1468="MD",D1468="OA"),EXP(VLOOKUP(D1468,'Species Codes'!B:O,14,0)+VLOOKUP(D1468,'Species Codes'!B:P,15,0)*LN((E1468*2.54)))*(1-(1/(VLOOKUP(D1468,'Species Codes'!B:Q,16,0)+VLOOKUP(D1468,'Species Codes'!B:R,17,0)*((E1468*2.54)^VLOOKUP(D1468,'Species Codes'!B:S,18,0)))))/1000,IF(D1468="DF",EXP(VLOOKUP(D1468,'Species Codes'!B:O,14,0)+VLOOKUP(D1468,'Species Codes'!B:P,15,0)*LN((E1468*2.54))),VLOOKUP(D1468,'Species Codes'!B:O,14,0)+VLOOKUP(D1468,'Species Codes'!B:P,15,0)*(((E1468*2.54)/100)^2)*(I1468*0.3048)))))*0.0011023),0)</f>
        <v>#N/A</v>
      </c>
      <c r="AD1468" s="104" t="e">
        <f t="shared" si="652"/>
        <v>#N/A</v>
      </c>
      <c r="AE1468" s="104" t="e">
        <f t="shared" si="653"/>
        <v>#N/A</v>
      </c>
      <c r="AF1468" s="104" t="e">
        <f>IF(AND(VLOOKUP($D1468,Merchantability!$B:$C,2,0)="Yes",$E1468&gt;=VLOOKUP($D1468,Merchantability!$B:$D,3,0),$E1468&lt;=VLOOKUP($D1468,Merchantability!$B:$E,4,0)),AA1468,0)</f>
        <v>#N/A</v>
      </c>
      <c r="AG1468" s="104" t="e">
        <f>IF(AND(VLOOKUP($D1468,Merchantability!$B:$C,2,0)="Yes",$E1468&gt;=VLOOKUP($D1468,Merchantability!$B:$D,3,0),$E1468&lt;=VLOOKUP($D1468,Merchantability!$B:$E,4,0)),AB1468,0)</f>
        <v>#N/A</v>
      </c>
      <c r="AH1468" s="104" t="e">
        <f>IF(AND(VLOOKUP($D1468,Merchantability!$B:$C,2,0)="Yes",$E1468&gt;=VLOOKUP($D1468,Merchantability!$B:$D,3,0),$E1468&lt;=VLOOKUP($D1468,Merchantability!$B:$E,4,0)),AC1468,0)</f>
        <v>#N/A</v>
      </c>
      <c r="AI1468" s="104" t="e">
        <f t="shared" si="654"/>
        <v>#N/A</v>
      </c>
      <c r="AJ1468" s="104" t="e">
        <f t="shared" si="655"/>
        <v>#VALUE!</v>
      </c>
      <c r="AK1468" s="104" t="e">
        <f t="shared" si="656"/>
        <v>#N/A</v>
      </c>
      <c r="AL1468" s="104" t="e">
        <f t="shared" si="657"/>
        <v>#N/A</v>
      </c>
      <c r="AM1468" s="104" t="e">
        <f t="shared" si="658"/>
        <v>#N/A</v>
      </c>
      <c r="AN1468" s="104" t="e">
        <f t="shared" si="642"/>
        <v>#N/A</v>
      </c>
      <c r="AO1468" s="104" t="e">
        <f t="shared" si="643"/>
        <v>#N/A</v>
      </c>
      <c r="AP1468" s="104" t="e">
        <f t="shared" si="644"/>
        <v>#N/A</v>
      </c>
      <c r="AQ1468" s="104" t="e">
        <f t="shared" si="645"/>
        <v>#N/A</v>
      </c>
      <c r="AR1468" s="105" t="str">
        <f t="shared" si="637"/>
        <v/>
      </c>
      <c r="AS1468" s="105" t="str">
        <f t="shared" si="638"/>
        <v/>
      </c>
      <c r="AT1468" s="108" t="str">
        <f t="shared" si="639"/>
        <v/>
      </c>
      <c r="AU1468" s="108" t="str">
        <f t="shared" si="640"/>
        <v/>
      </c>
      <c r="AV1468" s="107" t="str">
        <f>IF(ISNUMBER(O1468),IF(VLOOKUP($A1468,Stand!C:J,8,FALSE)="Short",AT1468,AU1468),"")</f>
        <v/>
      </c>
      <c r="AW1468" s="109" t="str">
        <f t="shared" si="646"/>
        <v/>
      </c>
      <c r="AX1468" s="109" t="str">
        <f t="shared" si="647"/>
        <v/>
      </c>
      <c r="AY1468" s="112" t="str">
        <f>IF(ISNUMBER(O1468),IF(AND(VLOOKUP($D1468,Merchantability!$B:$C,2,0)="Yes",$E1468&gt;=VLOOKUP($D1468,Merchantability!$B:$D,3,0),$E1468&lt;=VLOOKUP($D1468,Merchantability!$B:$E,4,0)),(AV1468*O1468)*(1-$H1468/100),""),"")</f>
        <v/>
      </c>
      <c r="AZ1468" s="116"/>
      <c r="BA1468" s="116"/>
      <c r="BB1468" s="116"/>
      <c r="BE1468" s="62"/>
      <c r="BF1468" s="63"/>
    </row>
    <row r="1469" spans="1:58" ht="12.75" customHeight="1" x14ac:dyDescent="0.25">
      <c r="A1469" s="333"/>
      <c r="B1469" s="334"/>
      <c r="C1469" s="332"/>
      <c r="D1469" s="334"/>
      <c r="E1469" s="335"/>
      <c r="F1469" s="334"/>
      <c r="G1469" s="332"/>
      <c r="H1469" s="332"/>
      <c r="I1469" s="334"/>
      <c r="J1469" s="336"/>
      <c r="K1469" s="332"/>
      <c r="L1469" s="332"/>
      <c r="M1469" s="76"/>
      <c r="N1469" s="103" t="str">
        <f>IF(A1469="","",VLOOKUP(A1469,Stand!C:K,9,0))</f>
        <v/>
      </c>
      <c r="O1469" s="104" t="str">
        <f t="shared" si="632"/>
        <v/>
      </c>
      <c r="P1469" s="105" t="str">
        <f t="shared" si="633"/>
        <v/>
      </c>
      <c r="Q1469" s="105" t="str">
        <f t="shared" si="648"/>
        <v/>
      </c>
      <c r="R1469" s="103" t="str">
        <f t="shared" si="634"/>
        <v/>
      </c>
      <c r="S1469" s="103" t="str">
        <f t="shared" si="635"/>
        <v/>
      </c>
      <c r="T1469" s="106" t="str">
        <f t="shared" si="649"/>
        <v/>
      </c>
      <c r="U1469" s="106" t="str">
        <f t="shared" si="650"/>
        <v/>
      </c>
      <c r="V1469" s="106" t="str">
        <f t="shared" si="651"/>
        <v/>
      </c>
      <c r="W1469" s="105" t="str">
        <f t="shared" si="636"/>
        <v/>
      </c>
      <c r="X1469" s="104" t="str">
        <f t="shared" si="641"/>
        <v/>
      </c>
      <c r="Y1469" s="104" t="str">
        <f t="array" ref="Y1469">IFERROR(IF(ISNUMBER(O1469),IF(COUNT(IF(A1469=$A$2:$A$2427,IF(D1469=$D$2:$D$2427,IF($X$2:$X$2427&gt;0,1))))&gt;0,SUM(IF(A1469=$A$2:$A$2427,IF(D1469=$D$2:$D$2427,$X$2:$X$2427)))/COUNT(IF(A1469=$A$2:$A$2427,IF(D1469=$D$2:$D$2427,IF(ISNUMBER($X$2:$X$2427),1)))),0),""),0)</f>
        <v/>
      </c>
      <c r="Z1469" s="104" t="str">
        <f>IF(ISNUMBER(O1469),IF(I1469&gt;0,(10^(VLOOKUP(D1469,'Species Codes'!B:C,2,0)+VLOOKUP(D1469,'Species Codes'!B:D,3,0)*LOG(E1469)+VLOOKUP(D1469,'Species Codes'!B:E,4,0)*LOG(I1469))),0),"")</f>
        <v/>
      </c>
      <c r="AA1469" s="104" t="str">
        <f>IFERROR((VLOOKUP(D1469,'Species Codes'!B:G,6,0)*Z1469)/2000,"")</f>
        <v/>
      </c>
      <c r="AB1469" s="104" t="e">
        <f>IF(Z1469&gt;0,((IF(OR(D1469="DF",D1469="RA")=TRUE,EXP(VLOOKUP(D1469,'Species Codes'!B:I,8,0)+VLOOKUP(D1469,'Species Codes'!B:J,9,0)*(LN((E1469*2.54)))),IF(OR(D1469="PY",D1469="RC",D1469="WH",D1469="NF")=TRUE,VLOOKUP(D1469,'Species Codes'!B:I,8,0)+VLOOKUP(D1469,'Species Codes'!B:J,9,0)*((E1469*2.54)^2)*(I1469*0.3048),IF(OR(D1469="MD",D1469="BM",D1469="GA")=TRUE,((VLOOKUP(D1469,'Species Codes'!B:I,8,0)*(((((E1469*2.54)+VLOOKUP(D1469,'Species Codes'!B:J,9,0))/VLOOKUP(D1469,'Species Codes'!B:K,10,0))^VLOOKUP(D1469,'Species Codes'!B:L,11,0))*((I1469*0.3048)^VLOOKUP(D1469,'Species Codes'!B:M,12,0))))-(VLOOKUP(D1469,'Species Codes'!B:I,8,0)*((((E1469*2.54)^VLOOKUP(D1469,'Species Codes'!B:L,11,0))*((I1469*0.3048)^VLOOKUP(D1469,'Species Codes'!B:M,12,0))))))*35.3*VLOOKUP(D1469,'Species Codes'!B:G,6,0)/2.2046,VLOOKUP(D1469,'Species Codes'!B:I,8,0)+VLOOKUP(D1469,'Species Codes'!B:J,9,0)*(((E1469*2.54)/100)^2)*(I1469*0.3048)))))*0.0011023),0)</f>
        <v>#N/A</v>
      </c>
      <c r="AC1469" s="104" t="e">
        <f>IF(Z1469&gt;0,((IF(OR(D1469="RA",D1469="OA",D1469="OT",D1469="UN",D1469="PC"),EXP(VLOOKUP(D1469,'Species Codes'!B:O,14,0)+VLOOKUP(D1469,'Species Codes'!B:P,15,0)*LN((E1469*2.54)))-EXP(VLOOKUP(D1469,'Species Codes'!B:O,14,0)+VLOOKUP(D1469,'Species Codes'!B:P,15,0)*LN((E1469*2.54)))*(1/(VLOOKUP(D1469,'Species Codes'!B:Q,16,0)+VLOOKUP(D1469,'Species Codes'!B:R,17,0)*((E1469*2.54)^VLOOKUP(D1469,'Species Codes'!B:S,18,0)))),IF(OR(D1469="BM",D1469="MD",D1469="OA"),EXP(VLOOKUP(D1469,'Species Codes'!B:O,14,0)+VLOOKUP(D1469,'Species Codes'!B:P,15,0)*LN((E1469*2.54)))*(1-(1/(VLOOKUP(D1469,'Species Codes'!B:Q,16,0)+VLOOKUP(D1469,'Species Codes'!B:R,17,0)*((E1469*2.54)^VLOOKUP(D1469,'Species Codes'!B:S,18,0)))))/1000,IF(D1469="DF",EXP(VLOOKUP(D1469,'Species Codes'!B:O,14,0)+VLOOKUP(D1469,'Species Codes'!B:P,15,0)*LN((E1469*2.54))),VLOOKUP(D1469,'Species Codes'!B:O,14,0)+VLOOKUP(D1469,'Species Codes'!B:P,15,0)*(((E1469*2.54)/100)^2)*(I1469*0.3048)))))*0.0011023),0)</f>
        <v>#N/A</v>
      </c>
      <c r="AD1469" s="104" t="e">
        <f t="shared" si="652"/>
        <v>#N/A</v>
      </c>
      <c r="AE1469" s="104" t="e">
        <f t="shared" si="653"/>
        <v>#N/A</v>
      </c>
      <c r="AF1469" s="104" t="e">
        <f>IF(AND(VLOOKUP($D1469,Merchantability!$B:$C,2,0)="Yes",$E1469&gt;=VLOOKUP($D1469,Merchantability!$B:$D,3,0),$E1469&lt;=VLOOKUP($D1469,Merchantability!$B:$E,4,0)),AA1469,0)</f>
        <v>#N/A</v>
      </c>
      <c r="AG1469" s="104" t="e">
        <f>IF(AND(VLOOKUP($D1469,Merchantability!$B:$C,2,0)="Yes",$E1469&gt;=VLOOKUP($D1469,Merchantability!$B:$D,3,0),$E1469&lt;=VLOOKUP($D1469,Merchantability!$B:$E,4,0)),AB1469,0)</f>
        <v>#N/A</v>
      </c>
      <c r="AH1469" s="104" t="e">
        <f>IF(AND(VLOOKUP($D1469,Merchantability!$B:$C,2,0)="Yes",$E1469&gt;=VLOOKUP($D1469,Merchantability!$B:$D,3,0),$E1469&lt;=VLOOKUP($D1469,Merchantability!$B:$E,4,0)),AC1469,0)</f>
        <v>#N/A</v>
      </c>
      <c r="AI1469" s="104" t="e">
        <f t="shared" si="654"/>
        <v>#N/A</v>
      </c>
      <c r="AJ1469" s="104" t="e">
        <f t="shared" si="655"/>
        <v>#VALUE!</v>
      </c>
      <c r="AK1469" s="104" t="e">
        <f t="shared" si="656"/>
        <v>#N/A</v>
      </c>
      <c r="AL1469" s="104" t="e">
        <f t="shared" si="657"/>
        <v>#N/A</v>
      </c>
      <c r="AM1469" s="104" t="e">
        <f t="shared" si="658"/>
        <v>#N/A</v>
      </c>
      <c r="AN1469" s="104" t="e">
        <f t="shared" si="642"/>
        <v>#N/A</v>
      </c>
      <c r="AO1469" s="104" t="e">
        <f t="shared" si="643"/>
        <v>#N/A</v>
      </c>
      <c r="AP1469" s="104" t="e">
        <f t="shared" si="644"/>
        <v>#N/A</v>
      </c>
      <c r="AQ1469" s="104" t="e">
        <f t="shared" si="645"/>
        <v>#N/A</v>
      </c>
      <c r="AR1469" s="105" t="str">
        <f t="shared" si="637"/>
        <v/>
      </c>
      <c r="AS1469" s="105" t="str">
        <f t="shared" si="638"/>
        <v/>
      </c>
      <c r="AT1469" s="108" t="str">
        <f t="shared" si="639"/>
        <v/>
      </c>
      <c r="AU1469" s="108" t="str">
        <f t="shared" si="640"/>
        <v/>
      </c>
      <c r="AV1469" s="107" t="str">
        <f>IF(ISNUMBER(O1469),IF(VLOOKUP($A1469,Stand!C:J,8,FALSE)="Short",AT1469,AU1469),"")</f>
        <v/>
      </c>
      <c r="AW1469" s="109" t="str">
        <f t="shared" si="646"/>
        <v/>
      </c>
      <c r="AX1469" s="109" t="str">
        <f t="shared" si="647"/>
        <v/>
      </c>
      <c r="AY1469" s="112" t="str">
        <f>IF(ISNUMBER(O1469),IF(AND(VLOOKUP($D1469,Merchantability!$B:$C,2,0)="Yes",$E1469&gt;=VLOOKUP($D1469,Merchantability!$B:$D,3,0),$E1469&lt;=VLOOKUP($D1469,Merchantability!$B:$E,4,0)),(AV1469*O1469)*(1-$H1469/100),""),"")</f>
        <v/>
      </c>
      <c r="AZ1469" s="116"/>
      <c r="BA1469" s="116"/>
      <c r="BB1469" s="116"/>
      <c r="BE1469" s="62"/>
      <c r="BF1469" s="63"/>
    </row>
    <row r="1470" spans="1:58" ht="12.75" customHeight="1" x14ac:dyDescent="0.25">
      <c r="A1470" s="333"/>
      <c r="B1470" s="334"/>
      <c r="C1470" s="332"/>
      <c r="D1470" s="334"/>
      <c r="E1470" s="335"/>
      <c r="F1470" s="334"/>
      <c r="G1470" s="332"/>
      <c r="H1470" s="332"/>
      <c r="I1470" s="334"/>
      <c r="J1470" s="336"/>
      <c r="K1470" s="332"/>
      <c r="L1470" s="332"/>
      <c r="M1470" s="76"/>
      <c r="N1470" s="103" t="str">
        <f>IF(A1470="","",VLOOKUP(A1470,Stand!C:K,9,0))</f>
        <v/>
      </c>
      <c r="O1470" s="104" t="str">
        <f t="shared" si="632"/>
        <v/>
      </c>
      <c r="P1470" s="105" t="str">
        <f t="shared" si="633"/>
        <v/>
      </c>
      <c r="Q1470" s="105" t="str">
        <f t="shared" si="648"/>
        <v/>
      </c>
      <c r="R1470" s="103" t="str">
        <f t="shared" si="634"/>
        <v/>
      </c>
      <c r="S1470" s="103" t="str">
        <f t="shared" si="635"/>
        <v/>
      </c>
      <c r="T1470" s="106" t="str">
        <f t="shared" si="649"/>
        <v/>
      </c>
      <c r="U1470" s="106" t="str">
        <f t="shared" si="650"/>
        <v/>
      </c>
      <c r="V1470" s="106" t="str">
        <f t="shared" si="651"/>
        <v/>
      </c>
      <c r="W1470" s="105" t="str">
        <f t="shared" si="636"/>
        <v/>
      </c>
      <c r="X1470" s="104" t="str">
        <f t="shared" si="641"/>
        <v/>
      </c>
      <c r="Y1470" s="104" t="str">
        <f t="array" ref="Y1470">IFERROR(IF(ISNUMBER(O1470),IF(COUNT(IF(A1470=$A$2:$A$2427,IF(D1470=$D$2:$D$2427,IF($X$2:$X$2427&gt;0,1))))&gt;0,SUM(IF(A1470=$A$2:$A$2427,IF(D1470=$D$2:$D$2427,$X$2:$X$2427)))/COUNT(IF(A1470=$A$2:$A$2427,IF(D1470=$D$2:$D$2427,IF(ISNUMBER($X$2:$X$2427),1)))),0),""),0)</f>
        <v/>
      </c>
      <c r="Z1470" s="104" t="str">
        <f>IF(ISNUMBER(O1470),IF(I1470&gt;0,(10^(VLOOKUP(D1470,'Species Codes'!B:C,2,0)+VLOOKUP(D1470,'Species Codes'!B:D,3,0)*LOG(E1470)+VLOOKUP(D1470,'Species Codes'!B:E,4,0)*LOG(I1470))),0),"")</f>
        <v/>
      </c>
      <c r="AA1470" s="104" t="str">
        <f>IFERROR((VLOOKUP(D1470,'Species Codes'!B:G,6,0)*Z1470)/2000,"")</f>
        <v/>
      </c>
      <c r="AB1470" s="104" t="e">
        <f>IF(Z1470&gt;0,((IF(OR(D1470="DF",D1470="RA")=TRUE,EXP(VLOOKUP(D1470,'Species Codes'!B:I,8,0)+VLOOKUP(D1470,'Species Codes'!B:J,9,0)*(LN((E1470*2.54)))),IF(OR(D1470="PY",D1470="RC",D1470="WH",D1470="NF")=TRUE,VLOOKUP(D1470,'Species Codes'!B:I,8,0)+VLOOKUP(D1470,'Species Codes'!B:J,9,0)*((E1470*2.54)^2)*(I1470*0.3048),IF(OR(D1470="MD",D1470="BM",D1470="GA")=TRUE,((VLOOKUP(D1470,'Species Codes'!B:I,8,0)*(((((E1470*2.54)+VLOOKUP(D1470,'Species Codes'!B:J,9,0))/VLOOKUP(D1470,'Species Codes'!B:K,10,0))^VLOOKUP(D1470,'Species Codes'!B:L,11,0))*((I1470*0.3048)^VLOOKUP(D1470,'Species Codes'!B:M,12,0))))-(VLOOKUP(D1470,'Species Codes'!B:I,8,0)*((((E1470*2.54)^VLOOKUP(D1470,'Species Codes'!B:L,11,0))*((I1470*0.3048)^VLOOKUP(D1470,'Species Codes'!B:M,12,0))))))*35.3*VLOOKUP(D1470,'Species Codes'!B:G,6,0)/2.2046,VLOOKUP(D1470,'Species Codes'!B:I,8,0)+VLOOKUP(D1470,'Species Codes'!B:J,9,0)*(((E1470*2.54)/100)^2)*(I1470*0.3048)))))*0.0011023),0)</f>
        <v>#N/A</v>
      </c>
      <c r="AC1470" s="104" t="e">
        <f>IF(Z1470&gt;0,((IF(OR(D1470="RA",D1470="OA",D1470="OT",D1470="UN",D1470="PC"),EXP(VLOOKUP(D1470,'Species Codes'!B:O,14,0)+VLOOKUP(D1470,'Species Codes'!B:P,15,0)*LN((E1470*2.54)))-EXP(VLOOKUP(D1470,'Species Codes'!B:O,14,0)+VLOOKUP(D1470,'Species Codes'!B:P,15,0)*LN((E1470*2.54)))*(1/(VLOOKUP(D1470,'Species Codes'!B:Q,16,0)+VLOOKUP(D1470,'Species Codes'!B:R,17,0)*((E1470*2.54)^VLOOKUP(D1470,'Species Codes'!B:S,18,0)))),IF(OR(D1470="BM",D1470="MD",D1470="OA"),EXP(VLOOKUP(D1470,'Species Codes'!B:O,14,0)+VLOOKUP(D1470,'Species Codes'!B:P,15,0)*LN((E1470*2.54)))*(1-(1/(VLOOKUP(D1470,'Species Codes'!B:Q,16,0)+VLOOKUP(D1470,'Species Codes'!B:R,17,0)*((E1470*2.54)^VLOOKUP(D1470,'Species Codes'!B:S,18,0)))))/1000,IF(D1470="DF",EXP(VLOOKUP(D1470,'Species Codes'!B:O,14,0)+VLOOKUP(D1470,'Species Codes'!B:P,15,0)*LN((E1470*2.54))),VLOOKUP(D1470,'Species Codes'!B:O,14,0)+VLOOKUP(D1470,'Species Codes'!B:P,15,0)*(((E1470*2.54)/100)^2)*(I1470*0.3048)))))*0.0011023),0)</f>
        <v>#N/A</v>
      </c>
      <c r="AD1470" s="104" t="e">
        <f t="shared" si="652"/>
        <v>#N/A</v>
      </c>
      <c r="AE1470" s="104" t="e">
        <f t="shared" si="653"/>
        <v>#N/A</v>
      </c>
      <c r="AF1470" s="104" t="e">
        <f>IF(AND(VLOOKUP($D1470,Merchantability!$B:$C,2,0)="Yes",$E1470&gt;=VLOOKUP($D1470,Merchantability!$B:$D,3,0),$E1470&lt;=VLOOKUP($D1470,Merchantability!$B:$E,4,0)),AA1470,0)</f>
        <v>#N/A</v>
      </c>
      <c r="AG1470" s="104" t="e">
        <f>IF(AND(VLOOKUP($D1470,Merchantability!$B:$C,2,0)="Yes",$E1470&gt;=VLOOKUP($D1470,Merchantability!$B:$D,3,0),$E1470&lt;=VLOOKUP($D1470,Merchantability!$B:$E,4,0)),AB1470,0)</f>
        <v>#N/A</v>
      </c>
      <c r="AH1470" s="104" t="e">
        <f>IF(AND(VLOOKUP($D1470,Merchantability!$B:$C,2,0)="Yes",$E1470&gt;=VLOOKUP($D1470,Merchantability!$B:$D,3,0),$E1470&lt;=VLOOKUP($D1470,Merchantability!$B:$E,4,0)),AC1470,0)</f>
        <v>#N/A</v>
      </c>
      <c r="AI1470" s="104" t="e">
        <f t="shared" si="654"/>
        <v>#N/A</v>
      </c>
      <c r="AJ1470" s="104" t="e">
        <f t="shared" si="655"/>
        <v>#VALUE!</v>
      </c>
      <c r="AK1470" s="104" t="e">
        <f t="shared" si="656"/>
        <v>#N/A</v>
      </c>
      <c r="AL1470" s="104" t="e">
        <f t="shared" si="657"/>
        <v>#N/A</v>
      </c>
      <c r="AM1470" s="104" t="e">
        <f t="shared" si="658"/>
        <v>#N/A</v>
      </c>
      <c r="AN1470" s="104" t="e">
        <f t="shared" si="642"/>
        <v>#N/A</v>
      </c>
      <c r="AO1470" s="104" t="e">
        <f t="shared" si="643"/>
        <v>#N/A</v>
      </c>
      <c r="AP1470" s="104" t="e">
        <f t="shared" si="644"/>
        <v>#N/A</v>
      </c>
      <c r="AQ1470" s="104" t="e">
        <f t="shared" si="645"/>
        <v>#N/A</v>
      </c>
      <c r="AR1470" s="105" t="str">
        <f t="shared" si="637"/>
        <v/>
      </c>
      <c r="AS1470" s="105" t="str">
        <f t="shared" si="638"/>
        <v/>
      </c>
      <c r="AT1470" s="108" t="str">
        <f t="shared" si="639"/>
        <v/>
      </c>
      <c r="AU1470" s="108" t="str">
        <f t="shared" si="640"/>
        <v/>
      </c>
      <c r="AV1470" s="107" t="str">
        <f>IF(ISNUMBER(O1470),IF(VLOOKUP($A1470,Stand!C:J,8,FALSE)="Short",AT1470,AU1470),"")</f>
        <v/>
      </c>
      <c r="AW1470" s="109" t="str">
        <f t="shared" si="646"/>
        <v/>
      </c>
      <c r="AX1470" s="109" t="str">
        <f t="shared" si="647"/>
        <v/>
      </c>
      <c r="AY1470" s="112" t="str">
        <f>IF(ISNUMBER(O1470),IF(AND(VLOOKUP($D1470,Merchantability!$B:$C,2,0)="Yes",$E1470&gt;=VLOOKUP($D1470,Merchantability!$B:$D,3,0),$E1470&lt;=VLOOKUP($D1470,Merchantability!$B:$E,4,0)),(AV1470*O1470)*(1-$H1470/100),""),"")</f>
        <v/>
      </c>
      <c r="AZ1470" s="116"/>
      <c r="BA1470" s="116"/>
      <c r="BB1470" s="116"/>
      <c r="BE1470" s="62"/>
      <c r="BF1470" s="63"/>
    </row>
    <row r="1471" spans="1:58" ht="12.75" customHeight="1" x14ac:dyDescent="0.25">
      <c r="A1471" s="333"/>
      <c r="B1471" s="334"/>
      <c r="C1471" s="332"/>
      <c r="D1471" s="334"/>
      <c r="E1471" s="335"/>
      <c r="F1471" s="334"/>
      <c r="G1471" s="332"/>
      <c r="H1471" s="332"/>
      <c r="I1471" s="334"/>
      <c r="J1471" s="336"/>
      <c r="K1471" s="332"/>
      <c r="L1471" s="332"/>
      <c r="M1471" s="76"/>
      <c r="N1471" s="103" t="str">
        <f>IF(A1471="","",VLOOKUP(A1471,Stand!C:K,9,0))</f>
        <v/>
      </c>
      <c r="O1471" s="104" t="str">
        <f t="shared" si="632"/>
        <v/>
      </c>
      <c r="P1471" s="105" t="str">
        <f t="shared" si="633"/>
        <v/>
      </c>
      <c r="Q1471" s="105" t="str">
        <f t="shared" si="648"/>
        <v/>
      </c>
      <c r="R1471" s="103" t="str">
        <f t="shared" si="634"/>
        <v/>
      </c>
      <c r="S1471" s="103" t="str">
        <f t="shared" si="635"/>
        <v/>
      </c>
      <c r="T1471" s="106" t="str">
        <f t="shared" si="649"/>
        <v/>
      </c>
      <c r="U1471" s="106" t="str">
        <f t="shared" si="650"/>
        <v/>
      </c>
      <c r="V1471" s="106" t="str">
        <f t="shared" si="651"/>
        <v/>
      </c>
      <c r="W1471" s="105" t="str">
        <f t="shared" si="636"/>
        <v/>
      </c>
      <c r="X1471" s="104" t="str">
        <f t="shared" si="641"/>
        <v/>
      </c>
      <c r="Y1471" s="104" t="str">
        <f t="array" ref="Y1471">IFERROR(IF(ISNUMBER(O1471),IF(COUNT(IF(A1471=$A$2:$A$2427,IF(D1471=$D$2:$D$2427,IF($X$2:$X$2427&gt;0,1))))&gt;0,SUM(IF(A1471=$A$2:$A$2427,IF(D1471=$D$2:$D$2427,$X$2:$X$2427)))/COUNT(IF(A1471=$A$2:$A$2427,IF(D1471=$D$2:$D$2427,IF(ISNUMBER($X$2:$X$2427),1)))),0),""),0)</f>
        <v/>
      </c>
      <c r="Z1471" s="104" t="str">
        <f>IF(ISNUMBER(O1471),IF(I1471&gt;0,(10^(VLOOKUP(D1471,'Species Codes'!B:C,2,0)+VLOOKUP(D1471,'Species Codes'!B:D,3,0)*LOG(E1471)+VLOOKUP(D1471,'Species Codes'!B:E,4,0)*LOG(I1471))),0),"")</f>
        <v/>
      </c>
      <c r="AA1471" s="104" t="str">
        <f>IFERROR((VLOOKUP(D1471,'Species Codes'!B:G,6,0)*Z1471)/2000,"")</f>
        <v/>
      </c>
      <c r="AB1471" s="104" t="e">
        <f>IF(Z1471&gt;0,((IF(OR(D1471="DF",D1471="RA")=TRUE,EXP(VLOOKUP(D1471,'Species Codes'!B:I,8,0)+VLOOKUP(D1471,'Species Codes'!B:J,9,0)*(LN((E1471*2.54)))),IF(OR(D1471="PY",D1471="RC",D1471="WH",D1471="NF")=TRUE,VLOOKUP(D1471,'Species Codes'!B:I,8,0)+VLOOKUP(D1471,'Species Codes'!B:J,9,0)*((E1471*2.54)^2)*(I1471*0.3048),IF(OR(D1471="MD",D1471="BM",D1471="GA")=TRUE,((VLOOKUP(D1471,'Species Codes'!B:I,8,0)*(((((E1471*2.54)+VLOOKUP(D1471,'Species Codes'!B:J,9,0))/VLOOKUP(D1471,'Species Codes'!B:K,10,0))^VLOOKUP(D1471,'Species Codes'!B:L,11,0))*((I1471*0.3048)^VLOOKUP(D1471,'Species Codes'!B:M,12,0))))-(VLOOKUP(D1471,'Species Codes'!B:I,8,0)*((((E1471*2.54)^VLOOKUP(D1471,'Species Codes'!B:L,11,0))*((I1471*0.3048)^VLOOKUP(D1471,'Species Codes'!B:M,12,0))))))*35.3*VLOOKUP(D1471,'Species Codes'!B:G,6,0)/2.2046,VLOOKUP(D1471,'Species Codes'!B:I,8,0)+VLOOKUP(D1471,'Species Codes'!B:J,9,0)*(((E1471*2.54)/100)^2)*(I1471*0.3048)))))*0.0011023),0)</f>
        <v>#N/A</v>
      </c>
      <c r="AC1471" s="104" t="e">
        <f>IF(Z1471&gt;0,((IF(OR(D1471="RA",D1471="OA",D1471="OT",D1471="UN",D1471="PC"),EXP(VLOOKUP(D1471,'Species Codes'!B:O,14,0)+VLOOKUP(D1471,'Species Codes'!B:P,15,0)*LN((E1471*2.54)))-EXP(VLOOKUP(D1471,'Species Codes'!B:O,14,0)+VLOOKUP(D1471,'Species Codes'!B:P,15,0)*LN((E1471*2.54)))*(1/(VLOOKUP(D1471,'Species Codes'!B:Q,16,0)+VLOOKUP(D1471,'Species Codes'!B:R,17,0)*((E1471*2.54)^VLOOKUP(D1471,'Species Codes'!B:S,18,0)))),IF(OR(D1471="BM",D1471="MD",D1471="OA"),EXP(VLOOKUP(D1471,'Species Codes'!B:O,14,0)+VLOOKUP(D1471,'Species Codes'!B:P,15,0)*LN((E1471*2.54)))*(1-(1/(VLOOKUP(D1471,'Species Codes'!B:Q,16,0)+VLOOKUP(D1471,'Species Codes'!B:R,17,0)*((E1471*2.54)^VLOOKUP(D1471,'Species Codes'!B:S,18,0)))))/1000,IF(D1471="DF",EXP(VLOOKUP(D1471,'Species Codes'!B:O,14,0)+VLOOKUP(D1471,'Species Codes'!B:P,15,0)*LN((E1471*2.54))),VLOOKUP(D1471,'Species Codes'!B:O,14,0)+VLOOKUP(D1471,'Species Codes'!B:P,15,0)*(((E1471*2.54)/100)^2)*(I1471*0.3048)))))*0.0011023),0)</f>
        <v>#N/A</v>
      </c>
      <c r="AD1471" s="104" t="e">
        <f t="shared" si="652"/>
        <v>#N/A</v>
      </c>
      <c r="AE1471" s="104" t="e">
        <f t="shared" si="653"/>
        <v>#N/A</v>
      </c>
      <c r="AF1471" s="104" t="e">
        <f>IF(AND(VLOOKUP($D1471,Merchantability!$B:$C,2,0)="Yes",$E1471&gt;=VLOOKUP($D1471,Merchantability!$B:$D,3,0),$E1471&lt;=VLOOKUP($D1471,Merchantability!$B:$E,4,0)),AA1471,0)</f>
        <v>#N/A</v>
      </c>
      <c r="AG1471" s="104" t="e">
        <f>IF(AND(VLOOKUP($D1471,Merchantability!$B:$C,2,0)="Yes",$E1471&gt;=VLOOKUP($D1471,Merchantability!$B:$D,3,0),$E1471&lt;=VLOOKUP($D1471,Merchantability!$B:$E,4,0)),AB1471,0)</f>
        <v>#N/A</v>
      </c>
      <c r="AH1471" s="104" t="e">
        <f>IF(AND(VLOOKUP($D1471,Merchantability!$B:$C,2,0)="Yes",$E1471&gt;=VLOOKUP($D1471,Merchantability!$B:$D,3,0),$E1471&lt;=VLOOKUP($D1471,Merchantability!$B:$E,4,0)),AC1471,0)</f>
        <v>#N/A</v>
      </c>
      <c r="AI1471" s="104" t="e">
        <f t="shared" si="654"/>
        <v>#N/A</v>
      </c>
      <c r="AJ1471" s="104" t="e">
        <f t="shared" si="655"/>
        <v>#VALUE!</v>
      </c>
      <c r="AK1471" s="104" t="e">
        <f t="shared" si="656"/>
        <v>#N/A</v>
      </c>
      <c r="AL1471" s="104" t="e">
        <f t="shared" si="657"/>
        <v>#N/A</v>
      </c>
      <c r="AM1471" s="104" t="e">
        <f t="shared" si="658"/>
        <v>#N/A</v>
      </c>
      <c r="AN1471" s="104" t="e">
        <f t="shared" si="642"/>
        <v>#N/A</v>
      </c>
      <c r="AO1471" s="104" t="e">
        <f t="shared" si="643"/>
        <v>#N/A</v>
      </c>
      <c r="AP1471" s="104" t="e">
        <f t="shared" si="644"/>
        <v>#N/A</v>
      </c>
      <c r="AQ1471" s="104" t="e">
        <f t="shared" si="645"/>
        <v>#N/A</v>
      </c>
      <c r="AR1471" s="105" t="str">
        <f t="shared" si="637"/>
        <v/>
      </c>
      <c r="AS1471" s="105" t="str">
        <f t="shared" si="638"/>
        <v/>
      </c>
      <c r="AT1471" s="108" t="str">
        <f t="shared" si="639"/>
        <v/>
      </c>
      <c r="AU1471" s="108" t="str">
        <f t="shared" si="640"/>
        <v/>
      </c>
      <c r="AV1471" s="107" t="str">
        <f>IF(ISNUMBER(O1471),IF(VLOOKUP($A1471,Stand!C:J,8,FALSE)="Short",AT1471,AU1471),"")</f>
        <v/>
      </c>
      <c r="AW1471" s="109" t="str">
        <f t="shared" si="646"/>
        <v/>
      </c>
      <c r="AX1471" s="109" t="str">
        <f t="shared" si="647"/>
        <v/>
      </c>
      <c r="AY1471" s="112" t="str">
        <f>IF(ISNUMBER(O1471),IF(AND(VLOOKUP($D1471,Merchantability!$B:$C,2,0)="Yes",$E1471&gt;=VLOOKUP($D1471,Merchantability!$B:$D,3,0),$E1471&lt;=VLOOKUP($D1471,Merchantability!$B:$E,4,0)),(AV1471*O1471)*(1-$H1471/100),""),"")</f>
        <v/>
      </c>
      <c r="AZ1471" s="116"/>
      <c r="BA1471" s="116"/>
      <c r="BB1471" s="116"/>
      <c r="BE1471" s="62"/>
      <c r="BF1471" s="63"/>
    </row>
    <row r="1472" spans="1:58" ht="12.75" customHeight="1" x14ac:dyDescent="0.25">
      <c r="A1472" s="333"/>
      <c r="B1472" s="334"/>
      <c r="C1472" s="332"/>
      <c r="D1472" s="334"/>
      <c r="E1472" s="335"/>
      <c r="F1472" s="334"/>
      <c r="G1472" s="332"/>
      <c r="H1472" s="332"/>
      <c r="I1472" s="334"/>
      <c r="J1472" s="336"/>
      <c r="K1472" s="332"/>
      <c r="L1472" s="332"/>
      <c r="M1472" s="76"/>
      <c r="N1472" s="103" t="str">
        <f>IF(A1472="","",VLOOKUP(A1472,Stand!C:K,9,0))</f>
        <v/>
      </c>
      <c r="O1472" s="104" t="str">
        <f t="shared" si="632"/>
        <v/>
      </c>
      <c r="P1472" s="105" t="str">
        <f t="shared" si="633"/>
        <v/>
      </c>
      <c r="Q1472" s="105" t="str">
        <f t="shared" si="648"/>
        <v/>
      </c>
      <c r="R1472" s="103" t="str">
        <f t="shared" si="634"/>
        <v/>
      </c>
      <c r="S1472" s="103" t="str">
        <f t="shared" si="635"/>
        <v/>
      </c>
      <c r="T1472" s="106" t="str">
        <f t="shared" si="649"/>
        <v/>
      </c>
      <c r="U1472" s="106" t="str">
        <f t="shared" si="650"/>
        <v/>
      </c>
      <c r="V1472" s="106" t="str">
        <f t="shared" si="651"/>
        <v/>
      </c>
      <c r="W1472" s="105" t="str">
        <f t="shared" si="636"/>
        <v/>
      </c>
      <c r="X1472" s="104" t="str">
        <f t="shared" si="641"/>
        <v/>
      </c>
      <c r="Y1472" s="104" t="str">
        <f t="array" ref="Y1472">IFERROR(IF(ISNUMBER(O1472),IF(COUNT(IF(A1472=$A$2:$A$2427,IF(D1472=$D$2:$D$2427,IF($X$2:$X$2427&gt;0,1))))&gt;0,SUM(IF(A1472=$A$2:$A$2427,IF(D1472=$D$2:$D$2427,$X$2:$X$2427)))/COUNT(IF(A1472=$A$2:$A$2427,IF(D1472=$D$2:$D$2427,IF(ISNUMBER($X$2:$X$2427),1)))),0),""),0)</f>
        <v/>
      </c>
      <c r="Z1472" s="104" t="str">
        <f>IF(ISNUMBER(O1472),IF(I1472&gt;0,(10^(VLOOKUP(D1472,'Species Codes'!B:C,2,0)+VLOOKUP(D1472,'Species Codes'!B:D,3,0)*LOG(E1472)+VLOOKUP(D1472,'Species Codes'!B:E,4,0)*LOG(I1472))),0),"")</f>
        <v/>
      </c>
      <c r="AA1472" s="104" t="str">
        <f>IFERROR((VLOOKUP(D1472,'Species Codes'!B:G,6,0)*Z1472)/2000,"")</f>
        <v/>
      </c>
      <c r="AB1472" s="104" t="e">
        <f>IF(Z1472&gt;0,((IF(OR(D1472="DF",D1472="RA")=TRUE,EXP(VLOOKUP(D1472,'Species Codes'!B:I,8,0)+VLOOKUP(D1472,'Species Codes'!B:J,9,0)*(LN((E1472*2.54)))),IF(OR(D1472="PY",D1472="RC",D1472="WH",D1472="NF")=TRUE,VLOOKUP(D1472,'Species Codes'!B:I,8,0)+VLOOKUP(D1472,'Species Codes'!B:J,9,0)*((E1472*2.54)^2)*(I1472*0.3048),IF(OR(D1472="MD",D1472="BM",D1472="GA")=TRUE,((VLOOKUP(D1472,'Species Codes'!B:I,8,0)*(((((E1472*2.54)+VLOOKUP(D1472,'Species Codes'!B:J,9,0))/VLOOKUP(D1472,'Species Codes'!B:K,10,0))^VLOOKUP(D1472,'Species Codes'!B:L,11,0))*((I1472*0.3048)^VLOOKUP(D1472,'Species Codes'!B:M,12,0))))-(VLOOKUP(D1472,'Species Codes'!B:I,8,0)*((((E1472*2.54)^VLOOKUP(D1472,'Species Codes'!B:L,11,0))*((I1472*0.3048)^VLOOKUP(D1472,'Species Codes'!B:M,12,0))))))*35.3*VLOOKUP(D1472,'Species Codes'!B:G,6,0)/2.2046,VLOOKUP(D1472,'Species Codes'!B:I,8,0)+VLOOKUP(D1472,'Species Codes'!B:J,9,0)*(((E1472*2.54)/100)^2)*(I1472*0.3048)))))*0.0011023),0)</f>
        <v>#N/A</v>
      </c>
      <c r="AC1472" s="104" t="e">
        <f>IF(Z1472&gt;0,((IF(OR(D1472="RA",D1472="OA",D1472="OT",D1472="UN",D1472="PC"),EXP(VLOOKUP(D1472,'Species Codes'!B:O,14,0)+VLOOKUP(D1472,'Species Codes'!B:P,15,0)*LN((E1472*2.54)))-EXP(VLOOKUP(D1472,'Species Codes'!B:O,14,0)+VLOOKUP(D1472,'Species Codes'!B:P,15,0)*LN((E1472*2.54)))*(1/(VLOOKUP(D1472,'Species Codes'!B:Q,16,0)+VLOOKUP(D1472,'Species Codes'!B:R,17,0)*((E1472*2.54)^VLOOKUP(D1472,'Species Codes'!B:S,18,0)))),IF(OR(D1472="BM",D1472="MD",D1472="OA"),EXP(VLOOKUP(D1472,'Species Codes'!B:O,14,0)+VLOOKUP(D1472,'Species Codes'!B:P,15,0)*LN((E1472*2.54)))*(1-(1/(VLOOKUP(D1472,'Species Codes'!B:Q,16,0)+VLOOKUP(D1472,'Species Codes'!B:R,17,0)*((E1472*2.54)^VLOOKUP(D1472,'Species Codes'!B:S,18,0)))))/1000,IF(D1472="DF",EXP(VLOOKUP(D1472,'Species Codes'!B:O,14,0)+VLOOKUP(D1472,'Species Codes'!B:P,15,0)*LN((E1472*2.54))),VLOOKUP(D1472,'Species Codes'!B:O,14,0)+VLOOKUP(D1472,'Species Codes'!B:P,15,0)*(((E1472*2.54)/100)^2)*(I1472*0.3048)))))*0.0011023),0)</f>
        <v>#N/A</v>
      </c>
      <c r="AD1472" s="104" t="e">
        <f t="shared" si="652"/>
        <v>#N/A</v>
      </c>
      <c r="AE1472" s="104" t="e">
        <f t="shared" si="653"/>
        <v>#N/A</v>
      </c>
      <c r="AF1472" s="104" t="e">
        <f>IF(AND(VLOOKUP($D1472,Merchantability!$B:$C,2,0)="Yes",$E1472&gt;=VLOOKUP($D1472,Merchantability!$B:$D,3,0),$E1472&lt;=VLOOKUP($D1472,Merchantability!$B:$E,4,0)),AA1472,0)</f>
        <v>#N/A</v>
      </c>
      <c r="AG1472" s="104" t="e">
        <f>IF(AND(VLOOKUP($D1472,Merchantability!$B:$C,2,0)="Yes",$E1472&gt;=VLOOKUP($D1472,Merchantability!$B:$D,3,0),$E1472&lt;=VLOOKUP($D1472,Merchantability!$B:$E,4,0)),AB1472,0)</f>
        <v>#N/A</v>
      </c>
      <c r="AH1472" s="104" t="e">
        <f>IF(AND(VLOOKUP($D1472,Merchantability!$B:$C,2,0)="Yes",$E1472&gt;=VLOOKUP($D1472,Merchantability!$B:$D,3,0),$E1472&lt;=VLOOKUP($D1472,Merchantability!$B:$E,4,0)),AC1472,0)</f>
        <v>#N/A</v>
      </c>
      <c r="AI1472" s="104" t="e">
        <f t="shared" si="654"/>
        <v>#N/A</v>
      </c>
      <c r="AJ1472" s="104" t="e">
        <f t="shared" si="655"/>
        <v>#VALUE!</v>
      </c>
      <c r="AK1472" s="104" t="e">
        <f t="shared" si="656"/>
        <v>#N/A</v>
      </c>
      <c r="AL1472" s="104" t="e">
        <f t="shared" si="657"/>
        <v>#N/A</v>
      </c>
      <c r="AM1472" s="104" t="e">
        <f t="shared" si="658"/>
        <v>#N/A</v>
      </c>
      <c r="AN1472" s="104" t="e">
        <f t="shared" si="642"/>
        <v>#N/A</v>
      </c>
      <c r="AO1472" s="104" t="e">
        <f t="shared" si="643"/>
        <v>#N/A</v>
      </c>
      <c r="AP1472" s="104" t="e">
        <f t="shared" si="644"/>
        <v>#N/A</v>
      </c>
      <c r="AQ1472" s="104" t="e">
        <f t="shared" si="645"/>
        <v>#N/A</v>
      </c>
      <c r="AR1472" s="105" t="str">
        <f t="shared" si="637"/>
        <v/>
      </c>
      <c r="AS1472" s="105" t="str">
        <f t="shared" si="638"/>
        <v/>
      </c>
      <c r="AT1472" s="108" t="str">
        <f t="shared" si="639"/>
        <v/>
      </c>
      <c r="AU1472" s="108" t="str">
        <f t="shared" si="640"/>
        <v/>
      </c>
      <c r="AV1472" s="107" t="str">
        <f>IF(ISNUMBER(O1472),IF(VLOOKUP($A1472,Stand!C:J,8,FALSE)="Short",AT1472,AU1472),"")</f>
        <v/>
      </c>
      <c r="AW1472" s="109" t="str">
        <f t="shared" si="646"/>
        <v/>
      </c>
      <c r="AX1472" s="109" t="str">
        <f t="shared" si="647"/>
        <v/>
      </c>
      <c r="AY1472" s="112" t="str">
        <f>IF(ISNUMBER(O1472),IF(AND(VLOOKUP($D1472,Merchantability!$B:$C,2,0)="Yes",$E1472&gt;=VLOOKUP($D1472,Merchantability!$B:$D,3,0),$E1472&lt;=VLOOKUP($D1472,Merchantability!$B:$E,4,0)),(AV1472*O1472)*(1-$H1472/100),""),"")</f>
        <v/>
      </c>
      <c r="AZ1472" s="116"/>
      <c r="BA1472" s="116"/>
      <c r="BB1472" s="116"/>
      <c r="BE1472" s="62"/>
      <c r="BF1472" s="63"/>
    </row>
    <row r="1473" spans="1:58" ht="12.75" customHeight="1" x14ac:dyDescent="0.25">
      <c r="A1473" s="333"/>
      <c r="B1473" s="334"/>
      <c r="C1473" s="332"/>
      <c r="D1473" s="334"/>
      <c r="E1473" s="335"/>
      <c r="F1473" s="334"/>
      <c r="G1473" s="332"/>
      <c r="H1473" s="332"/>
      <c r="I1473" s="334"/>
      <c r="J1473" s="336"/>
      <c r="K1473" s="332"/>
      <c r="L1473" s="332"/>
      <c r="M1473" s="76"/>
      <c r="N1473" s="103" t="str">
        <f>IF(A1473="","",VLOOKUP(A1473,Stand!C:K,9,0))</f>
        <v/>
      </c>
      <c r="O1473" s="104" t="str">
        <f t="shared" si="632"/>
        <v/>
      </c>
      <c r="P1473" s="105" t="str">
        <f t="shared" si="633"/>
        <v/>
      </c>
      <c r="Q1473" s="105" t="str">
        <f t="shared" si="648"/>
        <v/>
      </c>
      <c r="R1473" s="103" t="str">
        <f t="shared" si="634"/>
        <v/>
      </c>
      <c r="S1473" s="103" t="str">
        <f t="shared" si="635"/>
        <v/>
      </c>
      <c r="T1473" s="106" t="str">
        <f t="shared" si="649"/>
        <v/>
      </c>
      <c r="U1473" s="106" t="str">
        <f t="shared" si="650"/>
        <v/>
      </c>
      <c r="V1473" s="106" t="str">
        <f t="shared" si="651"/>
        <v/>
      </c>
      <c r="W1473" s="105" t="str">
        <f t="shared" si="636"/>
        <v/>
      </c>
      <c r="X1473" s="104" t="str">
        <f t="shared" si="641"/>
        <v/>
      </c>
      <c r="Y1473" s="104" t="str">
        <f t="array" ref="Y1473">IFERROR(IF(ISNUMBER(O1473),IF(COUNT(IF(A1473=$A$2:$A$2427,IF(D1473=$D$2:$D$2427,IF($X$2:$X$2427&gt;0,1))))&gt;0,SUM(IF(A1473=$A$2:$A$2427,IF(D1473=$D$2:$D$2427,$X$2:$X$2427)))/COUNT(IF(A1473=$A$2:$A$2427,IF(D1473=$D$2:$D$2427,IF(ISNUMBER($X$2:$X$2427),1)))),0),""),0)</f>
        <v/>
      </c>
      <c r="Z1473" s="104" t="str">
        <f>IF(ISNUMBER(O1473),IF(I1473&gt;0,(10^(VLOOKUP(D1473,'Species Codes'!B:C,2,0)+VLOOKUP(D1473,'Species Codes'!B:D,3,0)*LOG(E1473)+VLOOKUP(D1473,'Species Codes'!B:E,4,0)*LOG(I1473))),0),"")</f>
        <v/>
      </c>
      <c r="AA1473" s="104" t="str">
        <f>IFERROR((VLOOKUP(D1473,'Species Codes'!B:G,6,0)*Z1473)/2000,"")</f>
        <v/>
      </c>
      <c r="AB1473" s="104" t="e">
        <f>IF(Z1473&gt;0,((IF(OR(D1473="DF",D1473="RA")=TRUE,EXP(VLOOKUP(D1473,'Species Codes'!B:I,8,0)+VLOOKUP(D1473,'Species Codes'!B:J,9,0)*(LN((E1473*2.54)))),IF(OR(D1473="PY",D1473="RC",D1473="WH",D1473="NF")=TRUE,VLOOKUP(D1473,'Species Codes'!B:I,8,0)+VLOOKUP(D1473,'Species Codes'!B:J,9,0)*((E1473*2.54)^2)*(I1473*0.3048),IF(OR(D1473="MD",D1473="BM",D1473="GA")=TRUE,((VLOOKUP(D1473,'Species Codes'!B:I,8,0)*(((((E1473*2.54)+VLOOKUP(D1473,'Species Codes'!B:J,9,0))/VLOOKUP(D1473,'Species Codes'!B:K,10,0))^VLOOKUP(D1473,'Species Codes'!B:L,11,0))*((I1473*0.3048)^VLOOKUP(D1473,'Species Codes'!B:M,12,0))))-(VLOOKUP(D1473,'Species Codes'!B:I,8,0)*((((E1473*2.54)^VLOOKUP(D1473,'Species Codes'!B:L,11,0))*((I1473*0.3048)^VLOOKUP(D1473,'Species Codes'!B:M,12,0))))))*35.3*VLOOKUP(D1473,'Species Codes'!B:G,6,0)/2.2046,VLOOKUP(D1473,'Species Codes'!B:I,8,0)+VLOOKUP(D1473,'Species Codes'!B:J,9,0)*(((E1473*2.54)/100)^2)*(I1473*0.3048)))))*0.0011023),0)</f>
        <v>#N/A</v>
      </c>
      <c r="AC1473" s="104" t="e">
        <f>IF(Z1473&gt;0,((IF(OR(D1473="RA",D1473="OA",D1473="OT",D1473="UN",D1473="PC"),EXP(VLOOKUP(D1473,'Species Codes'!B:O,14,0)+VLOOKUP(D1473,'Species Codes'!B:P,15,0)*LN((E1473*2.54)))-EXP(VLOOKUP(D1473,'Species Codes'!B:O,14,0)+VLOOKUP(D1473,'Species Codes'!B:P,15,0)*LN((E1473*2.54)))*(1/(VLOOKUP(D1473,'Species Codes'!B:Q,16,0)+VLOOKUP(D1473,'Species Codes'!B:R,17,0)*((E1473*2.54)^VLOOKUP(D1473,'Species Codes'!B:S,18,0)))),IF(OR(D1473="BM",D1473="MD",D1473="OA"),EXP(VLOOKUP(D1473,'Species Codes'!B:O,14,0)+VLOOKUP(D1473,'Species Codes'!B:P,15,0)*LN((E1473*2.54)))*(1-(1/(VLOOKUP(D1473,'Species Codes'!B:Q,16,0)+VLOOKUP(D1473,'Species Codes'!B:R,17,0)*((E1473*2.54)^VLOOKUP(D1473,'Species Codes'!B:S,18,0)))))/1000,IF(D1473="DF",EXP(VLOOKUP(D1473,'Species Codes'!B:O,14,0)+VLOOKUP(D1473,'Species Codes'!B:P,15,0)*LN((E1473*2.54))),VLOOKUP(D1473,'Species Codes'!B:O,14,0)+VLOOKUP(D1473,'Species Codes'!B:P,15,0)*(((E1473*2.54)/100)^2)*(I1473*0.3048)))))*0.0011023),0)</f>
        <v>#N/A</v>
      </c>
      <c r="AD1473" s="104" t="e">
        <f t="shared" si="652"/>
        <v>#N/A</v>
      </c>
      <c r="AE1473" s="104" t="e">
        <f t="shared" si="653"/>
        <v>#N/A</v>
      </c>
      <c r="AF1473" s="104" t="e">
        <f>IF(AND(VLOOKUP($D1473,Merchantability!$B:$C,2,0)="Yes",$E1473&gt;=VLOOKUP($D1473,Merchantability!$B:$D,3,0),$E1473&lt;=VLOOKUP($D1473,Merchantability!$B:$E,4,0)),AA1473,0)</f>
        <v>#N/A</v>
      </c>
      <c r="AG1473" s="104" t="e">
        <f>IF(AND(VLOOKUP($D1473,Merchantability!$B:$C,2,0)="Yes",$E1473&gt;=VLOOKUP($D1473,Merchantability!$B:$D,3,0),$E1473&lt;=VLOOKUP($D1473,Merchantability!$B:$E,4,0)),AB1473,0)</f>
        <v>#N/A</v>
      </c>
      <c r="AH1473" s="104" t="e">
        <f>IF(AND(VLOOKUP($D1473,Merchantability!$B:$C,2,0)="Yes",$E1473&gt;=VLOOKUP($D1473,Merchantability!$B:$D,3,0),$E1473&lt;=VLOOKUP($D1473,Merchantability!$B:$E,4,0)),AC1473,0)</f>
        <v>#N/A</v>
      </c>
      <c r="AI1473" s="104" t="e">
        <f t="shared" si="654"/>
        <v>#N/A</v>
      </c>
      <c r="AJ1473" s="104" t="e">
        <f t="shared" si="655"/>
        <v>#VALUE!</v>
      </c>
      <c r="AK1473" s="104" t="e">
        <f t="shared" si="656"/>
        <v>#N/A</v>
      </c>
      <c r="AL1473" s="104" t="e">
        <f t="shared" si="657"/>
        <v>#N/A</v>
      </c>
      <c r="AM1473" s="104" t="e">
        <f t="shared" si="658"/>
        <v>#N/A</v>
      </c>
      <c r="AN1473" s="104" t="e">
        <f t="shared" si="642"/>
        <v>#N/A</v>
      </c>
      <c r="AO1473" s="104" t="e">
        <f t="shared" si="643"/>
        <v>#N/A</v>
      </c>
      <c r="AP1473" s="104" t="e">
        <f t="shared" si="644"/>
        <v>#N/A</v>
      </c>
      <c r="AQ1473" s="104" t="e">
        <f t="shared" si="645"/>
        <v>#N/A</v>
      </c>
      <c r="AR1473" s="105" t="str">
        <f t="shared" si="637"/>
        <v/>
      </c>
      <c r="AS1473" s="105" t="str">
        <f t="shared" si="638"/>
        <v/>
      </c>
      <c r="AT1473" s="108" t="str">
        <f t="shared" si="639"/>
        <v/>
      </c>
      <c r="AU1473" s="108" t="str">
        <f t="shared" si="640"/>
        <v/>
      </c>
      <c r="AV1473" s="107" t="str">
        <f>IF(ISNUMBER(O1473),IF(VLOOKUP($A1473,Stand!C:J,8,FALSE)="Short",AT1473,AU1473),"")</f>
        <v/>
      </c>
      <c r="AW1473" s="109" t="str">
        <f t="shared" si="646"/>
        <v/>
      </c>
      <c r="AX1473" s="109" t="str">
        <f t="shared" si="647"/>
        <v/>
      </c>
      <c r="AY1473" s="112" t="str">
        <f>IF(ISNUMBER(O1473),IF(AND(VLOOKUP($D1473,Merchantability!$B:$C,2,0)="Yes",$E1473&gt;=VLOOKUP($D1473,Merchantability!$B:$D,3,0),$E1473&lt;=VLOOKUP($D1473,Merchantability!$B:$E,4,0)),(AV1473*O1473)*(1-$H1473/100),""),"")</f>
        <v/>
      </c>
      <c r="AZ1473" s="116"/>
      <c r="BA1473" s="116"/>
      <c r="BB1473" s="116"/>
      <c r="BE1473" s="62"/>
      <c r="BF1473" s="63"/>
    </row>
    <row r="1474" spans="1:58" ht="12.75" customHeight="1" x14ac:dyDescent="0.25">
      <c r="A1474" s="333"/>
      <c r="B1474" s="334"/>
      <c r="C1474" s="332"/>
      <c r="D1474" s="334"/>
      <c r="E1474" s="335"/>
      <c r="F1474" s="334"/>
      <c r="G1474" s="332"/>
      <c r="H1474" s="332"/>
      <c r="I1474" s="334"/>
      <c r="J1474" s="336"/>
      <c r="K1474" s="332"/>
      <c r="L1474" s="332"/>
      <c r="M1474" s="76"/>
      <c r="N1474" s="103" t="str">
        <f>IF(A1474="","",VLOOKUP(A1474,Stand!C:K,9,0))</f>
        <v/>
      </c>
      <c r="O1474" s="104" t="str">
        <f t="shared" ref="O1474:O1537" si="659">IF(E1474&gt;0,IF(G1474&gt;1,G1474*(43560/(N1474^2*3.14)),43560/(N1474^2*3.14)),"")</f>
        <v/>
      </c>
      <c r="P1474" s="105" t="str">
        <f t="shared" ref="P1474:P1537" si="660">IF(ISNUMBER(O1474),E1474*O1474,"")</f>
        <v/>
      </c>
      <c r="Q1474" s="105" t="str">
        <f t="shared" si="648"/>
        <v/>
      </c>
      <c r="R1474" s="103" t="str">
        <f t="shared" ref="R1474:R1537" si="661">IF(ISNUMBER(O1474),E1474^2*0.005454*O1474,"")</f>
        <v/>
      </c>
      <c r="S1474" s="103" t="str">
        <f t="shared" ref="S1474:S1537" si="662">IF(ISNUMBER(O1474),(E1474/10)^1.7*O1474,"")</f>
        <v/>
      </c>
      <c r="T1474" s="106" t="str">
        <f t="shared" si="649"/>
        <v/>
      </c>
      <c r="U1474" s="106" t="str">
        <f t="shared" si="650"/>
        <v/>
      </c>
      <c r="V1474" s="106" t="str">
        <f t="shared" si="651"/>
        <v/>
      </c>
      <c r="W1474" s="105" t="str">
        <f t="shared" ref="W1474:W1537" si="663">IF(AND(ISNUMBER(O1474),I1474&gt;0),I1474/(E1474/12),"")</f>
        <v/>
      </c>
      <c r="X1474" s="104" t="str">
        <f t="shared" si="641"/>
        <v/>
      </c>
      <c r="Y1474" s="104" t="str">
        <f t="array" ref="Y1474">IFERROR(IF(ISNUMBER(O1474),IF(COUNT(IF(A1474=$A$2:$A$2427,IF(D1474=$D$2:$D$2427,IF($X$2:$X$2427&gt;0,1))))&gt;0,SUM(IF(A1474=$A$2:$A$2427,IF(D1474=$D$2:$D$2427,$X$2:$X$2427)))/COUNT(IF(A1474=$A$2:$A$2427,IF(D1474=$D$2:$D$2427,IF(ISNUMBER($X$2:$X$2427),1)))),0),""),0)</f>
        <v/>
      </c>
      <c r="Z1474" s="104" t="str">
        <f>IF(ISNUMBER(O1474),IF(I1474&gt;0,(10^(VLOOKUP(D1474,'Species Codes'!B:C,2,0)+VLOOKUP(D1474,'Species Codes'!B:D,3,0)*LOG(E1474)+VLOOKUP(D1474,'Species Codes'!B:E,4,0)*LOG(I1474))),0),"")</f>
        <v/>
      </c>
      <c r="AA1474" s="104" t="str">
        <f>IFERROR((VLOOKUP(D1474,'Species Codes'!B:G,6,0)*Z1474)/2000,"")</f>
        <v/>
      </c>
      <c r="AB1474" s="104" t="e">
        <f>IF(Z1474&gt;0,((IF(OR(D1474="DF",D1474="RA")=TRUE,EXP(VLOOKUP(D1474,'Species Codes'!B:I,8,0)+VLOOKUP(D1474,'Species Codes'!B:J,9,0)*(LN((E1474*2.54)))),IF(OR(D1474="PY",D1474="RC",D1474="WH",D1474="NF")=TRUE,VLOOKUP(D1474,'Species Codes'!B:I,8,0)+VLOOKUP(D1474,'Species Codes'!B:J,9,0)*((E1474*2.54)^2)*(I1474*0.3048),IF(OR(D1474="MD",D1474="BM",D1474="GA")=TRUE,((VLOOKUP(D1474,'Species Codes'!B:I,8,0)*(((((E1474*2.54)+VLOOKUP(D1474,'Species Codes'!B:J,9,0))/VLOOKUP(D1474,'Species Codes'!B:K,10,0))^VLOOKUP(D1474,'Species Codes'!B:L,11,0))*((I1474*0.3048)^VLOOKUP(D1474,'Species Codes'!B:M,12,0))))-(VLOOKUP(D1474,'Species Codes'!B:I,8,0)*((((E1474*2.54)^VLOOKUP(D1474,'Species Codes'!B:L,11,0))*((I1474*0.3048)^VLOOKUP(D1474,'Species Codes'!B:M,12,0))))))*35.3*VLOOKUP(D1474,'Species Codes'!B:G,6,0)/2.2046,VLOOKUP(D1474,'Species Codes'!B:I,8,0)+VLOOKUP(D1474,'Species Codes'!B:J,9,0)*(((E1474*2.54)/100)^2)*(I1474*0.3048)))))*0.0011023),0)</f>
        <v>#N/A</v>
      </c>
      <c r="AC1474" s="104" t="e">
        <f>IF(Z1474&gt;0,((IF(OR(D1474="RA",D1474="OA",D1474="OT",D1474="UN",D1474="PC"),EXP(VLOOKUP(D1474,'Species Codes'!B:O,14,0)+VLOOKUP(D1474,'Species Codes'!B:P,15,0)*LN((E1474*2.54)))-EXP(VLOOKUP(D1474,'Species Codes'!B:O,14,0)+VLOOKUP(D1474,'Species Codes'!B:P,15,0)*LN((E1474*2.54)))*(1/(VLOOKUP(D1474,'Species Codes'!B:Q,16,0)+VLOOKUP(D1474,'Species Codes'!B:R,17,0)*((E1474*2.54)^VLOOKUP(D1474,'Species Codes'!B:S,18,0)))),IF(OR(D1474="BM",D1474="MD",D1474="OA"),EXP(VLOOKUP(D1474,'Species Codes'!B:O,14,0)+VLOOKUP(D1474,'Species Codes'!B:P,15,0)*LN((E1474*2.54)))*(1-(1/(VLOOKUP(D1474,'Species Codes'!B:Q,16,0)+VLOOKUP(D1474,'Species Codes'!B:R,17,0)*((E1474*2.54)^VLOOKUP(D1474,'Species Codes'!B:S,18,0)))))/1000,IF(D1474="DF",EXP(VLOOKUP(D1474,'Species Codes'!B:O,14,0)+VLOOKUP(D1474,'Species Codes'!B:P,15,0)*LN((E1474*2.54))),VLOOKUP(D1474,'Species Codes'!B:O,14,0)+VLOOKUP(D1474,'Species Codes'!B:P,15,0)*(((E1474*2.54)/100)^2)*(I1474*0.3048)))))*0.0011023),0)</f>
        <v>#N/A</v>
      </c>
      <c r="AD1474" s="104" t="e">
        <f t="shared" si="652"/>
        <v>#N/A</v>
      </c>
      <c r="AE1474" s="104" t="e">
        <f t="shared" si="653"/>
        <v>#N/A</v>
      </c>
      <c r="AF1474" s="104" t="e">
        <f>IF(AND(VLOOKUP($D1474,Merchantability!$B:$C,2,0)="Yes",$E1474&gt;=VLOOKUP($D1474,Merchantability!$B:$D,3,0),$E1474&lt;=VLOOKUP($D1474,Merchantability!$B:$E,4,0)),AA1474,0)</f>
        <v>#N/A</v>
      </c>
      <c r="AG1474" s="104" t="e">
        <f>IF(AND(VLOOKUP($D1474,Merchantability!$B:$C,2,0)="Yes",$E1474&gt;=VLOOKUP($D1474,Merchantability!$B:$D,3,0),$E1474&lt;=VLOOKUP($D1474,Merchantability!$B:$E,4,0)),AB1474,0)</f>
        <v>#N/A</v>
      </c>
      <c r="AH1474" s="104" t="e">
        <f>IF(AND(VLOOKUP($D1474,Merchantability!$B:$C,2,0)="Yes",$E1474&gt;=VLOOKUP($D1474,Merchantability!$B:$D,3,0),$E1474&lt;=VLOOKUP($D1474,Merchantability!$B:$E,4,0)),AC1474,0)</f>
        <v>#N/A</v>
      </c>
      <c r="AI1474" s="104" t="e">
        <f t="shared" si="654"/>
        <v>#N/A</v>
      </c>
      <c r="AJ1474" s="104" t="e">
        <f t="shared" si="655"/>
        <v>#VALUE!</v>
      </c>
      <c r="AK1474" s="104" t="e">
        <f t="shared" si="656"/>
        <v>#N/A</v>
      </c>
      <c r="AL1474" s="104" t="e">
        <f t="shared" si="657"/>
        <v>#N/A</v>
      </c>
      <c r="AM1474" s="104" t="e">
        <f t="shared" si="658"/>
        <v>#N/A</v>
      </c>
      <c r="AN1474" s="104" t="e">
        <f t="shared" si="642"/>
        <v>#N/A</v>
      </c>
      <c r="AO1474" s="104" t="e">
        <f t="shared" si="643"/>
        <v>#N/A</v>
      </c>
      <c r="AP1474" s="104" t="e">
        <f t="shared" si="644"/>
        <v>#N/A</v>
      </c>
      <c r="AQ1474" s="104" t="e">
        <f t="shared" si="645"/>
        <v>#N/A</v>
      </c>
      <c r="AR1474" s="105" t="str">
        <f t="shared" ref="AR1474:AR1537" si="664">IF(ISNUMBER(O1474),IF(Y1474&gt;0,((Y1474*(E1474^2*0.005454-0.087266))/0.912733),0),"")</f>
        <v/>
      </c>
      <c r="AS1474" s="105" t="str">
        <f t="shared" ref="AS1474:AS1537" si="665">IF(ISNUMBER(O1474),AR1474*(0.993-0.993*(0.62^(E1474-6))),"")</f>
        <v/>
      </c>
      <c r="AT1474" s="108" t="str">
        <f t="shared" ref="AT1474:AT1537" si="666">IF(ISNUMBER(O1474),IF(AS1474&gt;0,IF(Y1474&gt;0,(AS1474*10^(0.174439+0.117594*(LOG(E1474,10))*(LOG(Y1474/0.912733,10))-8.210585/E1474^2+0.236693*(LOG(Y1474/0.912733,10))-0.00001345*(Y1474/0.912733)^2-0.00001937*E1474^2)),0),0),"")</f>
        <v/>
      </c>
      <c r="AU1474" s="108" t="str">
        <f t="shared" ref="AU1474:AU1537" si="667">IF(ISNUMBER(O1474),IF(AS1474&gt;0,IF(Y1474&gt;0,AT1474*(1.001491-(6.92497/Y1474)+(0.00001351*(E1474^2))),0),0),"")</f>
        <v/>
      </c>
      <c r="AV1474" s="107" t="str">
        <f>IF(ISNUMBER(O1474),IF(VLOOKUP($A1474,Stand!C:J,8,FALSE)="Short",AT1474,AU1474),"")</f>
        <v/>
      </c>
      <c r="AW1474" s="109" t="str">
        <f t="shared" si="646"/>
        <v/>
      </c>
      <c r="AX1474" s="109" t="str">
        <f t="shared" si="647"/>
        <v/>
      </c>
      <c r="AY1474" s="112" t="str">
        <f>IF(ISNUMBER(O1474),IF(AND(VLOOKUP($D1474,Merchantability!$B:$C,2,0)="Yes",$E1474&gt;=VLOOKUP($D1474,Merchantability!$B:$D,3,0),$E1474&lt;=VLOOKUP($D1474,Merchantability!$B:$E,4,0)),(AV1474*O1474)*(1-$H1474/100),""),"")</f>
        <v/>
      </c>
      <c r="AZ1474" s="116"/>
      <c r="BA1474" s="116"/>
      <c r="BB1474" s="116"/>
      <c r="BE1474" s="62"/>
      <c r="BF1474" s="63"/>
    </row>
    <row r="1475" spans="1:58" ht="12.75" customHeight="1" x14ac:dyDescent="0.25">
      <c r="A1475" s="333"/>
      <c r="B1475" s="334"/>
      <c r="C1475" s="332"/>
      <c r="D1475" s="334"/>
      <c r="E1475" s="335"/>
      <c r="F1475" s="334"/>
      <c r="G1475" s="332"/>
      <c r="H1475" s="332"/>
      <c r="I1475" s="334"/>
      <c r="J1475" s="336"/>
      <c r="K1475" s="332"/>
      <c r="L1475" s="332"/>
      <c r="M1475" s="76"/>
      <c r="N1475" s="103" t="str">
        <f>IF(A1475="","",VLOOKUP(A1475,Stand!C:K,9,0))</f>
        <v/>
      </c>
      <c r="O1475" s="104" t="str">
        <f t="shared" si="659"/>
        <v/>
      </c>
      <c r="P1475" s="105" t="str">
        <f t="shared" si="660"/>
        <v/>
      </c>
      <c r="Q1475" s="105" t="str">
        <f t="shared" si="648"/>
        <v/>
      </c>
      <c r="R1475" s="103" t="str">
        <f t="shared" si="661"/>
        <v/>
      </c>
      <c r="S1475" s="103" t="str">
        <f t="shared" si="662"/>
        <v/>
      </c>
      <c r="T1475" s="106" t="str">
        <f t="shared" si="649"/>
        <v/>
      </c>
      <c r="U1475" s="106" t="str">
        <f t="shared" si="650"/>
        <v/>
      </c>
      <c r="V1475" s="106" t="str">
        <f t="shared" si="651"/>
        <v/>
      </c>
      <c r="W1475" s="105" t="str">
        <f t="shared" si="663"/>
        <v/>
      </c>
      <c r="X1475" s="104" t="str">
        <f t="shared" ref="X1475:X1538" si="668">IF(ISNUMBER(O1475),IF(I1475&gt;0,IF(E1475&gt;0,(0.912733*Z1475)/(1.033*(1+1.382937*EXP(-4.015292*E1475/10))*((E1475^2)*0.005454+0.087266)-0.174533),""),""),"")</f>
        <v/>
      </c>
      <c r="Y1475" s="104" t="str">
        <f t="array" ref="Y1475">IFERROR(IF(ISNUMBER(O1475),IF(COUNT(IF(A1475=$A$2:$A$2427,IF(D1475=$D$2:$D$2427,IF($X$2:$X$2427&gt;0,1))))&gt;0,SUM(IF(A1475=$A$2:$A$2427,IF(D1475=$D$2:$D$2427,$X$2:$X$2427)))/COUNT(IF(A1475=$A$2:$A$2427,IF(D1475=$D$2:$D$2427,IF(ISNUMBER($X$2:$X$2427),1)))),0),""),0)</f>
        <v/>
      </c>
      <c r="Z1475" s="104" t="str">
        <f>IF(ISNUMBER(O1475),IF(I1475&gt;0,(10^(VLOOKUP(D1475,'Species Codes'!B:C,2,0)+VLOOKUP(D1475,'Species Codes'!B:D,3,0)*LOG(E1475)+VLOOKUP(D1475,'Species Codes'!B:E,4,0)*LOG(I1475))),0),"")</f>
        <v/>
      </c>
      <c r="AA1475" s="104" t="str">
        <f>IFERROR((VLOOKUP(D1475,'Species Codes'!B:G,6,0)*Z1475)/2000,"")</f>
        <v/>
      </c>
      <c r="AB1475" s="104" t="e">
        <f>IF(Z1475&gt;0,((IF(OR(D1475="DF",D1475="RA")=TRUE,EXP(VLOOKUP(D1475,'Species Codes'!B:I,8,0)+VLOOKUP(D1475,'Species Codes'!B:J,9,0)*(LN((E1475*2.54)))),IF(OR(D1475="PY",D1475="RC",D1475="WH",D1475="NF")=TRUE,VLOOKUP(D1475,'Species Codes'!B:I,8,0)+VLOOKUP(D1475,'Species Codes'!B:J,9,0)*((E1475*2.54)^2)*(I1475*0.3048),IF(OR(D1475="MD",D1475="BM",D1475="GA")=TRUE,((VLOOKUP(D1475,'Species Codes'!B:I,8,0)*(((((E1475*2.54)+VLOOKUP(D1475,'Species Codes'!B:J,9,0))/VLOOKUP(D1475,'Species Codes'!B:K,10,0))^VLOOKUP(D1475,'Species Codes'!B:L,11,0))*((I1475*0.3048)^VLOOKUP(D1475,'Species Codes'!B:M,12,0))))-(VLOOKUP(D1475,'Species Codes'!B:I,8,0)*((((E1475*2.54)^VLOOKUP(D1475,'Species Codes'!B:L,11,0))*((I1475*0.3048)^VLOOKUP(D1475,'Species Codes'!B:M,12,0))))))*35.3*VLOOKUP(D1475,'Species Codes'!B:G,6,0)/2.2046,VLOOKUP(D1475,'Species Codes'!B:I,8,0)+VLOOKUP(D1475,'Species Codes'!B:J,9,0)*(((E1475*2.54)/100)^2)*(I1475*0.3048)))))*0.0011023),0)</f>
        <v>#N/A</v>
      </c>
      <c r="AC1475" s="104" t="e">
        <f>IF(Z1475&gt;0,((IF(OR(D1475="RA",D1475="OA",D1475="OT",D1475="UN",D1475="PC"),EXP(VLOOKUP(D1475,'Species Codes'!B:O,14,0)+VLOOKUP(D1475,'Species Codes'!B:P,15,0)*LN((E1475*2.54)))-EXP(VLOOKUP(D1475,'Species Codes'!B:O,14,0)+VLOOKUP(D1475,'Species Codes'!B:P,15,0)*LN((E1475*2.54)))*(1/(VLOOKUP(D1475,'Species Codes'!B:Q,16,0)+VLOOKUP(D1475,'Species Codes'!B:R,17,0)*((E1475*2.54)^VLOOKUP(D1475,'Species Codes'!B:S,18,0)))),IF(OR(D1475="BM",D1475="MD",D1475="OA"),EXP(VLOOKUP(D1475,'Species Codes'!B:O,14,0)+VLOOKUP(D1475,'Species Codes'!B:P,15,0)*LN((E1475*2.54)))*(1-(1/(VLOOKUP(D1475,'Species Codes'!B:Q,16,0)+VLOOKUP(D1475,'Species Codes'!B:R,17,0)*((E1475*2.54)^VLOOKUP(D1475,'Species Codes'!B:S,18,0)))))/1000,IF(D1475="DF",EXP(VLOOKUP(D1475,'Species Codes'!B:O,14,0)+VLOOKUP(D1475,'Species Codes'!B:P,15,0)*LN((E1475*2.54))),VLOOKUP(D1475,'Species Codes'!B:O,14,0)+VLOOKUP(D1475,'Species Codes'!B:P,15,0)*(((E1475*2.54)/100)^2)*(I1475*0.3048)))))*0.0011023),0)</f>
        <v>#N/A</v>
      </c>
      <c r="AD1475" s="104" t="e">
        <f t="shared" si="652"/>
        <v>#N/A</v>
      </c>
      <c r="AE1475" s="104" t="e">
        <f t="shared" si="653"/>
        <v>#N/A</v>
      </c>
      <c r="AF1475" s="104" t="e">
        <f>IF(AND(VLOOKUP($D1475,Merchantability!$B:$C,2,0)="Yes",$E1475&gt;=VLOOKUP($D1475,Merchantability!$B:$D,3,0),$E1475&lt;=VLOOKUP($D1475,Merchantability!$B:$E,4,0)),AA1475,0)</f>
        <v>#N/A</v>
      </c>
      <c r="AG1475" s="104" t="e">
        <f>IF(AND(VLOOKUP($D1475,Merchantability!$B:$C,2,0)="Yes",$E1475&gt;=VLOOKUP($D1475,Merchantability!$B:$D,3,0),$E1475&lt;=VLOOKUP($D1475,Merchantability!$B:$E,4,0)),AB1475,0)</f>
        <v>#N/A</v>
      </c>
      <c r="AH1475" s="104" t="e">
        <f>IF(AND(VLOOKUP($D1475,Merchantability!$B:$C,2,0)="Yes",$E1475&gt;=VLOOKUP($D1475,Merchantability!$B:$D,3,0),$E1475&lt;=VLOOKUP($D1475,Merchantability!$B:$E,4,0)),AC1475,0)</f>
        <v>#N/A</v>
      </c>
      <c r="AI1475" s="104" t="e">
        <f t="shared" si="654"/>
        <v>#N/A</v>
      </c>
      <c r="AJ1475" s="104" t="e">
        <f t="shared" si="655"/>
        <v>#VALUE!</v>
      </c>
      <c r="AK1475" s="104" t="e">
        <f t="shared" si="656"/>
        <v>#N/A</v>
      </c>
      <c r="AL1475" s="104" t="e">
        <f t="shared" si="657"/>
        <v>#N/A</v>
      </c>
      <c r="AM1475" s="104" t="e">
        <f t="shared" si="658"/>
        <v>#N/A</v>
      </c>
      <c r="AN1475" s="104" t="e">
        <f t="shared" ref="AN1475:AN1538" si="669">AF1475*$O1475</f>
        <v>#N/A</v>
      </c>
      <c r="AO1475" s="104" t="e">
        <f t="shared" ref="AO1475:AO1538" si="670">AG1475*$O1475</f>
        <v>#N/A</v>
      </c>
      <c r="AP1475" s="104" t="e">
        <f t="shared" ref="AP1475:AP1538" si="671">AH1475*$O1475</f>
        <v>#N/A</v>
      </c>
      <c r="AQ1475" s="104" t="e">
        <f t="shared" ref="AQ1475:AQ1538" si="672">SUM(AN1475:AP1475)</f>
        <v>#N/A</v>
      </c>
      <c r="AR1475" s="105" t="str">
        <f t="shared" si="664"/>
        <v/>
      </c>
      <c r="AS1475" s="105" t="str">
        <f t="shared" si="665"/>
        <v/>
      </c>
      <c r="AT1475" s="108" t="str">
        <f t="shared" si="666"/>
        <v/>
      </c>
      <c r="AU1475" s="108" t="str">
        <f t="shared" si="667"/>
        <v/>
      </c>
      <c r="AV1475" s="107" t="str">
        <f>IF(ISNUMBER(O1475),IF(VLOOKUP($A1475,Stand!C:J,8,FALSE)="Short",AT1475,AU1475),"")</f>
        <v/>
      </c>
      <c r="AW1475" s="109" t="str">
        <f t="shared" ref="AW1475:AW1538" si="673">IF(ISNUMBER(O1475),AV1475*O1475,"")</f>
        <v/>
      </c>
      <c r="AX1475" s="109" t="str">
        <f t="shared" ref="AX1475:AX1538" si="674">IF(ISNUMBER(O1475),AW1475*(1-$H1475/100),"")</f>
        <v/>
      </c>
      <c r="AY1475" s="112" t="str">
        <f>IF(ISNUMBER(O1475),IF(AND(VLOOKUP($D1475,Merchantability!$B:$C,2,0)="Yes",$E1475&gt;=VLOOKUP($D1475,Merchantability!$B:$D,3,0),$E1475&lt;=VLOOKUP($D1475,Merchantability!$B:$E,4,0)),(AV1475*O1475)*(1-$H1475/100),""),"")</f>
        <v/>
      </c>
      <c r="AZ1475" s="116"/>
      <c r="BA1475" s="116"/>
      <c r="BB1475" s="116"/>
      <c r="BE1475" s="62"/>
      <c r="BF1475" s="63"/>
    </row>
    <row r="1476" spans="1:58" ht="12.75" customHeight="1" x14ac:dyDescent="0.25">
      <c r="A1476" s="333"/>
      <c r="B1476" s="334"/>
      <c r="C1476" s="332"/>
      <c r="D1476" s="334"/>
      <c r="E1476" s="335"/>
      <c r="F1476" s="334"/>
      <c r="G1476" s="332"/>
      <c r="H1476" s="332"/>
      <c r="I1476" s="334"/>
      <c r="J1476" s="336"/>
      <c r="K1476" s="332"/>
      <c r="L1476" s="332"/>
      <c r="M1476" s="76"/>
      <c r="N1476" s="103" t="str">
        <f>IF(A1476="","",VLOOKUP(A1476,Stand!C:K,9,0))</f>
        <v/>
      </c>
      <c r="O1476" s="104" t="str">
        <f t="shared" si="659"/>
        <v/>
      </c>
      <c r="P1476" s="105" t="str">
        <f t="shared" si="660"/>
        <v/>
      </c>
      <c r="Q1476" s="105" t="str">
        <f t="shared" si="648"/>
        <v/>
      </c>
      <c r="R1476" s="103" t="str">
        <f t="shared" si="661"/>
        <v/>
      </c>
      <c r="S1476" s="103" t="str">
        <f t="shared" si="662"/>
        <v/>
      </c>
      <c r="T1476" s="106" t="str">
        <f t="shared" si="649"/>
        <v/>
      </c>
      <c r="U1476" s="106" t="str">
        <f t="shared" si="650"/>
        <v/>
      </c>
      <c r="V1476" s="106" t="str">
        <f t="shared" si="651"/>
        <v/>
      </c>
      <c r="W1476" s="105" t="str">
        <f t="shared" si="663"/>
        <v/>
      </c>
      <c r="X1476" s="104" t="str">
        <f t="shared" si="668"/>
        <v/>
      </c>
      <c r="Y1476" s="104" t="str">
        <f t="array" ref="Y1476">IFERROR(IF(ISNUMBER(O1476),IF(COUNT(IF(A1476=$A$2:$A$2427,IF(D1476=$D$2:$D$2427,IF($X$2:$X$2427&gt;0,1))))&gt;0,SUM(IF(A1476=$A$2:$A$2427,IF(D1476=$D$2:$D$2427,$X$2:$X$2427)))/COUNT(IF(A1476=$A$2:$A$2427,IF(D1476=$D$2:$D$2427,IF(ISNUMBER($X$2:$X$2427),1)))),0),""),0)</f>
        <v/>
      </c>
      <c r="Z1476" s="104" t="str">
        <f>IF(ISNUMBER(O1476),IF(I1476&gt;0,(10^(VLOOKUP(D1476,'Species Codes'!B:C,2,0)+VLOOKUP(D1476,'Species Codes'!B:D,3,0)*LOG(E1476)+VLOOKUP(D1476,'Species Codes'!B:E,4,0)*LOG(I1476))),0),"")</f>
        <v/>
      </c>
      <c r="AA1476" s="104" t="str">
        <f>IFERROR((VLOOKUP(D1476,'Species Codes'!B:G,6,0)*Z1476)/2000,"")</f>
        <v/>
      </c>
      <c r="AB1476" s="104" t="e">
        <f>IF(Z1476&gt;0,((IF(OR(D1476="DF",D1476="RA")=TRUE,EXP(VLOOKUP(D1476,'Species Codes'!B:I,8,0)+VLOOKUP(D1476,'Species Codes'!B:J,9,0)*(LN((E1476*2.54)))),IF(OR(D1476="PY",D1476="RC",D1476="WH",D1476="NF")=TRUE,VLOOKUP(D1476,'Species Codes'!B:I,8,0)+VLOOKUP(D1476,'Species Codes'!B:J,9,0)*((E1476*2.54)^2)*(I1476*0.3048),IF(OR(D1476="MD",D1476="BM",D1476="GA")=TRUE,((VLOOKUP(D1476,'Species Codes'!B:I,8,0)*(((((E1476*2.54)+VLOOKUP(D1476,'Species Codes'!B:J,9,0))/VLOOKUP(D1476,'Species Codes'!B:K,10,0))^VLOOKUP(D1476,'Species Codes'!B:L,11,0))*((I1476*0.3048)^VLOOKUP(D1476,'Species Codes'!B:M,12,0))))-(VLOOKUP(D1476,'Species Codes'!B:I,8,0)*((((E1476*2.54)^VLOOKUP(D1476,'Species Codes'!B:L,11,0))*((I1476*0.3048)^VLOOKUP(D1476,'Species Codes'!B:M,12,0))))))*35.3*VLOOKUP(D1476,'Species Codes'!B:G,6,0)/2.2046,VLOOKUP(D1476,'Species Codes'!B:I,8,0)+VLOOKUP(D1476,'Species Codes'!B:J,9,0)*(((E1476*2.54)/100)^2)*(I1476*0.3048)))))*0.0011023),0)</f>
        <v>#N/A</v>
      </c>
      <c r="AC1476" s="104" t="e">
        <f>IF(Z1476&gt;0,((IF(OR(D1476="RA",D1476="OA",D1476="OT",D1476="UN",D1476="PC"),EXP(VLOOKUP(D1476,'Species Codes'!B:O,14,0)+VLOOKUP(D1476,'Species Codes'!B:P,15,0)*LN((E1476*2.54)))-EXP(VLOOKUP(D1476,'Species Codes'!B:O,14,0)+VLOOKUP(D1476,'Species Codes'!B:P,15,0)*LN((E1476*2.54)))*(1/(VLOOKUP(D1476,'Species Codes'!B:Q,16,0)+VLOOKUP(D1476,'Species Codes'!B:R,17,0)*((E1476*2.54)^VLOOKUP(D1476,'Species Codes'!B:S,18,0)))),IF(OR(D1476="BM",D1476="MD",D1476="OA"),EXP(VLOOKUP(D1476,'Species Codes'!B:O,14,0)+VLOOKUP(D1476,'Species Codes'!B:P,15,0)*LN((E1476*2.54)))*(1-(1/(VLOOKUP(D1476,'Species Codes'!B:Q,16,0)+VLOOKUP(D1476,'Species Codes'!B:R,17,0)*((E1476*2.54)^VLOOKUP(D1476,'Species Codes'!B:S,18,0)))))/1000,IF(D1476="DF",EXP(VLOOKUP(D1476,'Species Codes'!B:O,14,0)+VLOOKUP(D1476,'Species Codes'!B:P,15,0)*LN((E1476*2.54))),VLOOKUP(D1476,'Species Codes'!B:O,14,0)+VLOOKUP(D1476,'Species Codes'!B:P,15,0)*(((E1476*2.54)/100)^2)*(I1476*0.3048)))))*0.0011023),0)</f>
        <v>#N/A</v>
      </c>
      <c r="AD1476" s="104" t="e">
        <f t="shared" si="652"/>
        <v>#N/A</v>
      </c>
      <c r="AE1476" s="104" t="e">
        <f t="shared" si="653"/>
        <v>#N/A</v>
      </c>
      <c r="AF1476" s="104" t="e">
        <f>IF(AND(VLOOKUP($D1476,Merchantability!$B:$C,2,0)="Yes",$E1476&gt;=VLOOKUP($D1476,Merchantability!$B:$D,3,0),$E1476&lt;=VLOOKUP($D1476,Merchantability!$B:$E,4,0)),AA1476,0)</f>
        <v>#N/A</v>
      </c>
      <c r="AG1476" s="104" t="e">
        <f>IF(AND(VLOOKUP($D1476,Merchantability!$B:$C,2,0)="Yes",$E1476&gt;=VLOOKUP($D1476,Merchantability!$B:$D,3,0),$E1476&lt;=VLOOKUP($D1476,Merchantability!$B:$E,4,0)),AB1476,0)</f>
        <v>#N/A</v>
      </c>
      <c r="AH1476" s="104" t="e">
        <f>IF(AND(VLOOKUP($D1476,Merchantability!$B:$C,2,0)="Yes",$E1476&gt;=VLOOKUP($D1476,Merchantability!$B:$D,3,0),$E1476&lt;=VLOOKUP($D1476,Merchantability!$B:$E,4,0)),AC1476,0)</f>
        <v>#N/A</v>
      </c>
      <c r="AI1476" s="104" t="e">
        <f t="shared" si="654"/>
        <v>#N/A</v>
      </c>
      <c r="AJ1476" s="104" t="e">
        <f t="shared" si="655"/>
        <v>#VALUE!</v>
      </c>
      <c r="AK1476" s="104" t="e">
        <f t="shared" si="656"/>
        <v>#N/A</v>
      </c>
      <c r="AL1476" s="104" t="e">
        <f t="shared" si="657"/>
        <v>#N/A</v>
      </c>
      <c r="AM1476" s="104" t="e">
        <f t="shared" si="658"/>
        <v>#N/A</v>
      </c>
      <c r="AN1476" s="104" t="e">
        <f t="shared" si="669"/>
        <v>#N/A</v>
      </c>
      <c r="AO1476" s="104" t="e">
        <f t="shared" si="670"/>
        <v>#N/A</v>
      </c>
      <c r="AP1476" s="104" t="e">
        <f t="shared" si="671"/>
        <v>#N/A</v>
      </c>
      <c r="AQ1476" s="104" t="e">
        <f t="shared" si="672"/>
        <v>#N/A</v>
      </c>
      <c r="AR1476" s="105" t="str">
        <f t="shared" si="664"/>
        <v/>
      </c>
      <c r="AS1476" s="105" t="str">
        <f t="shared" si="665"/>
        <v/>
      </c>
      <c r="AT1476" s="108" t="str">
        <f t="shared" si="666"/>
        <v/>
      </c>
      <c r="AU1476" s="108" t="str">
        <f t="shared" si="667"/>
        <v/>
      </c>
      <c r="AV1476" s="107" t="str">
        <f>IF(ISNUMBER(O1476),IF(VLOOKUP($A1476,Stand!C:J,8,FALSE)="Short",AT1476,AU1476),"")</f>
        <v/>
      </c>
      <c r="AW1476" s="109" t="str">
        <f t="shared" si="673"/>
        <v/>
      </c>
      <c r="AX1476" s="109" t="str">
        <f t="shared" si="674"/>
        <v/>
      </c>
      <c r="AY1476" s="112" t="str">
        <f>IF(ISNUMBER(O1476),IF(AND(VLOOKUP($D1476,Merchantability!$B:$C,2,0)="Yes",$E1476&gt;=VLOOKUP($D1476,Merchantability!$B:$D,3,0),$E1476&lt;=VLOOKUP($D1476,Merchantability!$B:$E,4,0)),(AV1476*O1476)*(1-$H1476/100),""),"")</f>
        <v/>
      </c>
      <c r="AZ1476" s="116"/>
      <c r="BA1476" s="116"/>
      <c r="BB1476" s="116"/>
      <c r="BE1476" s="62"/>
      <c r="BF1476" s="63"/>
    </row>
    <row r="1477" spans="1:58" ht="12.75" customHeight="1" x14ac:dyDescent="0.25">
      <c r="A1477" s="333"/>
      <c r="B1477" s="334"/>
      <c r="C1477" s="332"/>
      <c r="D1477" s="334"/>
      <c r="E1477" s="335"/>
      <c r="F1477" s="334"/>
      <c r="G1477" s="332"/>
      <c r="H1477" s="332"/>
      <c r="I1477" s="334"/>
      <c r="J1477" s="336"/>
      <c r="K1477" s="332"/>
      <c r="L1477" s="332"/>
      <c r="M1477" s="76"/>
      <c r="N1477" s="103" t="str">
        <f>IF(A1477="","",VLOOKUP(A1477,Stand!C:K,9,0))</f>
        <v/>
      </c>
      <c r="O1477" s="104" t="str">
        <f t="shared" si="659"/>
        <v/>
      </c>
      <c r="P1477" s="105" t="str">
        <f t="shared" si="660"/>
        <v/>
      </c>
      <c r="Q1477" s="105" t="str">
        <f t="shared" si="648"/>
        <v/>
      </c>
      <c r="R1477" s="103" t="str">
        <f t="shared" si="661"/>
        <v/>
      </c>
      <c r="S1477" s="103" t="str">
        <f t="shared" si="662"/>
        <v/>
      </c>
      <c r="T1477" s="106" t="str">
        <f t="shared" si="649"/>
        <v/>
      </c>
      <c r="U1477" s="106" t="str">
        <f t="shared" si="650"/>
        <v/>
      </c>
      <c r="V1477" s="106" t="str">
        <f t="shared" si="651"/>
        <v/>
      </c>
      <c r="W1477" s="105" t="str">
        <f t="shared" si="663"/>
        <v/>
      </c>
      <c r="X1477" s="104" t="str">
        <f t="shared" si="668"/>
        <v/>
      </c>
      <c r="Y1477" s="104" t="str">
        <f t="array" ref="Y1477">IFERROR(IF(ISNUMBER(O1477),IF(COUNT(IF(A1477=$A$2:$A$2427,IF(D1477=$D$2:$D$2427,IF($X$2:$X$2427&gt;0,1))))&gt;0,SUM(IF(A1477=$A$2:$A$2427,IF(D1477=$D$2:$D$2427,$X$2:$X$2427)))/COUNT(IF(A1477=$A$2:$A$2427,IF(D1477=$D$2:$D$2427,IF(ISNUMBER($X$2:$X$2427),1)))),0),""),0)</f>
        <v/>
      </c>
      <c r="Z1477" s="104" t="str">
        <f>IF(ISNUMBER(O1477),IF(I1477&gt;0,(10^(VLOOKUP(D1477,'Species Codes'!B:C,2,0)+VLOOKUP(D1477,'Species Codes'!B:D,3,0)*LOG(E1477)+VLOOKUP(D1477,'Species Codes'!B:E,4,0)*LOG(I1477))),0),"")</f>
        <v/>
      </c>
      <c r="AA1477" s="104" t="str">
        <f>IFERROR((VLOOKUP(D1477,'Species Codes'!B:G,6,0)*Z1477)/2000,"")</f>
        <v/>
      </c>
      <c r="AB1477" s="104" t="e">
        <f>IF(Z1477&gt;0,((IF(OR(D1477="DF",D1477="RA")=TRUE,EXP(VLOOKUP(D1477,'Species Codes'!B:I,8,0)+VLOOKUP(D1477,'Species Codes'!B:J,9,0)*(LN((E1477*2.54)))),IF(OR(D1477="PY",D1477="RC",D1477="WH",D1477="NF")=TRUE,VLOOKUP(D1477,'Species Codes'!B:I,8,0)+VLOOKUP(D1477,'Species Codes'!B:J,9,0)*((E1477*2.54)^2)*(I1477*0.3048),IF(OR(D1477="MD",D1477="BM",D1477="GA")=TRUE,((VLOOKUP(D1477,'Species Codes'!B:I,8,0)*(((((E1477*2.54)+VLOOKUP(D1477,'Species Codes'!B:J,9,0))/VLOOKUP(D1477,'Species Codes'!B:K,10,0))^VLOOKUP(D1477,'Species Codes'!B:L,11,0))*((I1477*0.3048)^VLOOKUP(D1477,'Species Codes'!B:M,12,0))))-(VLOOKUP(D1477,'Species Codes'!B:I,8,0)*((((E1477*2.54)^VLOOKUP(D1477,'Species Codes'!B:L,11,0))*((I1477*0.3048)^VLOOKUP(D1477,'Species Codes'!B:M,12,0))))))*35.3*VLOOKUP(D1477,'Species Codes'!B:G,6,0)/2.2046,VLOOKUP(D1477,'Species Codes'!B:I,8,0)+VLOOKUP(D1477,'Species Codes'!B:J,9,0)*(((E1477*2.54)/100)^2)*(I1477*0.3048)))))*0.0011023),0)</f>
        <v>#N/A</v>
      </c>
      <c r="AC1477" s="104" t="e">
        <f>IF(Z1477&gt;0,((IF(OR(D1477="RA",D1477="OA",D1477="OT",D1477="UN",D1477="PC"),EXP(VLOOKUP(D1477,'Species Codes'!B:O,14,0)+VLOOKUP(D1477,'Species Codes'!B:P,15,0)*LN((E1477*2.54)))-EXP(VLOOKUP(D1477,'Species Codes'!B:O,14,0)+VLOOKUP(D1477,'Species Codes'!B:P,15,0)*LN((E1477*2.54)))*(1/(VLOOKUP(D1477,'Species Codes'!B:Q,16,0)+VLOOKUP(D1477,'Species Codes'!B:R,17,0)*((E1477*2.54)^VLOOKUP(D1477,'Species Codes'!B:S,18,0)))),IF(OR(D1477="BM",D1477="MD",D1477="OA"),EXP(VLOOKUP(D1477,'Species Codes'!B:O,14,0)+VLOOKUP(D1477,'Species Codes'!B:P,15,0)*LN((E1477*2.54)))*(1-(1/(VLOOKUP(D1477,'Species Codes'!B:Q,16,0)+VLOOKUP(D1477,'Species Codes'!B:R,17,0)*((E1477*2.54)^VLOOKUP(D1477,'Species Codes'!B:S,18,0)))))/1000,IF(D1477="DF",EXP(VLOOKUP(D1477,'Species Codes'!B:O,14,0)+VLOOKUP(D1477,'Species Codes'!B:P,15,0)*LN((E1477*2.54))),VLOOKUP(D1477,'Species Codes'!B:O,14,0)+VLOOKUP(D1477,'Species Codes'!B:P,15,0)*(((E1477*2.54)/100)^2)*(I1477*0.3048)))))*0.0011023),0)</f>
        <v>#N/A</v>
      </c>
      <c r="AD1477" s="104" t="e">
        <f t="shared" si="652"/>
        <v>#N/A</v>
      </c>
      <c r="AE1477" s="104" t="e">
        <f t="shared" si="653"/>
        <v>#N/A</v>
      </c>
      <c r="AF1477" s="104" t="e">
        <f>IF(AND(VLOOKUP($D1477,Merchantability!$B:$C,2,0)="Yes",$E1477&gt;=VLOOKUP($D1477,Merchantability!$B:$D,3,0),$E1477&lt;=VLOOKUP($D1477,Merchantability!$B:$E,4,0)),AA1477,0)</f>
        <v>#N/A</v>
      </c>
      <c r="AG1477" s="104" t="e">
        <f>IF(AND(VLOOKUP($D1477,Merchantability!$B:$C,2,0)="Yes",$E1477&gt;=VLOOKUP($D1477,Merchantability!$B:$D,3,0),$E1477&lt;=VLOOKUP($D1477,Merchantability!$B:$E,4,0)),AB1477,0)</f>
        <v>#N/A</v>
      </c>
      <c r="AH1477" s="104" t="e">
        <f>IF(AND(VLOOKUP($D1477,Merchantability!$B:$C,2,0)="Yes",$E1477&gt;=VLOOKUP($D1477,Merchantability!$B:$D,3,0),$E1477&lt;=VLOOKUP($D1477,Merchantability!$B:$E,4,0)),AC1477,0)</f>
        <v>#N/A</v>
      </c>
      <c r="AI1477" s="104" t="e">
        <f t="shared" si="654"/>
        <v>#N/A</v>
      </c>
      <c r="AJ1477" s="104" t="e">
        <f t="shared" si="655"/>
        <v>#VALUE!</v>
      </c>
      <c r="AK1477" s="104" t="e">
        <f t="shared" si="656"/>
        <v>#N/A</v>
      </c>
      <c r="AL1477" s="104" t="e">
        <f t="shared" si="657"/>
        <v>#N/A</v>
      </c>
      <c r="AM1477" s="104" t="e">
        <f t="shared" si="658"/>
        <v>#N/A</v>
      </c>
      <c r="AN1477" s="104" t="e">
        <f t="shared" si="669"/>
        <v>#N/A</v>
      </c>
      <c r="AO1477" s="104" t="e">
        <f t="shared" si="670"/>
        <v>#N/A</v>
      </c>
      <c r="AP1477" s="104" t="e">
        <f t="shared" si="671"/>
        <v>#N/A</v>
      </c>
      <c r="AQ1477" s="104" t="e">
        <f t="shared" si="672"/>
        <v>#N/A</v>
      </c>
      <c r="AR1477" s="105" t="str">
        <f t="shared" si="664"/>
        <v/>
      </c>
      <c r="AS1477" s="105" t="str">
        <f t="shared" si="665"/>
        <v/>
      </c>
      <c r="AT1477" s="108" t="str">
        <f t="shared" si="666"/>
        <v/>
      </c>
      <c r="AU1477" s="108" t="str">
        <f t="shared" si="667"/>
        <v/>
      </c>
      <c r="AV1477" s="107" t="str">
        <f>IF(ISNUMBER(O1477),IF(VLOOKUP($A1477,Stand!C:J,8,FALSE)="Short",AT1477,AU1477),"")</f>
        <v/>
      </c>
      <c r="AW1477" s="109" t="str">
        <f t="shared" si="673"/>
        <v/>
      </c>
      <c r="AX1477" s="109" t="str">
        <f t="shared" si="674"/>
        <v/>
      </c>
      <c r="AY1477" s="112" t="str">
        <f>IF(ISNUMBER(O1477),IF(AND(VLOOKUP($D1477,Merchantability!$B:$C,2,0)="Yes",$E1477&gt;=VLOOKUP($D1477,Merchantability!$B:$D,3,0),$E1477&lt;=VLOOKUP($D1477,Merchantability!$B:$E,4,0)),(AV1477*O1477)*(1-$H1477/100),""),"")</f>
        <v/>
      </c>
      <c r="AZ1477" s="116"/>
      <c r="BA1477" s="116"/>
      <c r="BB1477" s="116"/>
      <c r="BE1477" s="62"/>
      <c r="BF1477" s="63"/>
    </row>
    <row r="1478" spans="1:58" ht="12.75" customHeight="1" x14ac:dyDescent="0.25">
      <c r="A1478" s="333"/>
      <c r="B1478" s="334"/>
      <c r="C1478" s="332"/>
      <c r="D1478" s="334"/>
      <c r="E1478" s="335"/>
      <c r="F1478" s="334"/>
      <c r="G1478" s="332"/>
      <c r="H1478" s="332"/>
      <c r="I1478" s="334"/>
      <c r="J1478" s="336"/>
      <c r="K1478" s="332"/>
      <c r="L1478" s="332"/>
      <c r="M1478" s="76"/>
      <c r="N1478" s="103" t="str">
        <f>IF(A1478="","",VLOOKUP(A1478,Stand!C:K,9,0))</f>
        <v/>
      </c>
      <c r="O1478" s="104" t="str">
        <f t="shared" si="659"/>
        <v/>
      </c>
      <c r="P1478" s="105" t="str">
        <f t="shared" si="660"/>
        <v/>
      </c>
      <c r="Q1478" s="105" t="str">
        <f t="shared" si="648"/>
        <v/>
      </c>
      <c r="R1478" s="103" t="str">
        <f t="shared" si="661"/>
        <v/>
      </c>
      <c r="S1478" s="103" t="str">
        <f t="shared" si="662"/>
        <v/>
      </c>
      <c r="T1478" s="106" t="str">
        <f t="shared" si="649"/>
        <v/>
      </c>
      <c r="U1478" s="106" t="str">
        <f t="shared" si="650"/>
        <v/>
      </c>
      <c r="V1478" s="106" t="str">
        <f t="shared" si="651"/>
        <v/>
      </c>
      <c r="W1478" s="105" t="str">
        <f t="shared" si="663"/>
        <v/>
      </c>
      <c r="X1478" s="104" t="str">
        <f t="shared" si="668"/>
        <v/>
      </c>
      <c r="Y1478" s="104" t="str">
        <f t="array" ref="Y1478">IFERROR(IF(ISNUMBER(O1478),IF(COUNT(IF(A1478=$A$2:$A$2427,IF(D1478=$D$2:$D$2427,IF($X$2:$X$2427&gt;0,1))))&gt;0,SUM(IF(A1478=$A$2:$A$2427,IF(D1478=$D$2:$D$2427,$X$2:$X$2427)))/COUNT(IF(A1478=$A$2:$A$2427,IF(D1478=$D$2:$D$2427,IF(ISNUMBER($X$2:$X$2427),1)))),0),""),0)</f>
        <v/>
      </c>
      <c r="Z1478" s="104" t="str">
        <f>IF(ISNUMBER(O1478),IF(I1478&gt;0,(10^(VLOOKUP(D1478,'Species Codes'!B:C,2,0)+VLOOKUP(D1478,'Species Codes'!B:D,3,0)*LOG(E1478)+VLOOKUP(D1478,'Species Codes'!B:E,4,0)*LOG(I1478))),0),"")</f>
        <v/>
      </c>
      <c r="AA1478" s="104" t="str">
        <f>IFERROR((VLOOKUP(D1478,'Species Codes'!B:G,6,0)*Z1478)/2000,"")</f>
        <v/>
      </c>
      <c r="AB1478" s="104" t="e">
        <f>IF(Z1478&gt;0,((IF(OR(D1478="DF",D1478="RA")=TRUE,EXP(VLOOKUP(D1478,'Species Codes'!B:I,8,0)+VLOOKUP(D1478,'Species Codes'!B:J,9,0)*(LN((E1478*2.54)))),IF(OR(D1478="PY",D1478="RC",D1478="WH",D1478="NF")=TRUE,VLOOKUP(D1478,'Species Codes'!B:I,8,0)+VLOOKUP(D1478,'Species Codes'!B:J,9,0)*((E1478*2.54)^2)*(I1478*0.3048),IF(OR(D1478="MD",D1478="BM",D1478="GA")=TRUE,((VLOOKUP(D1478,'Species Codes'!B:I,8,0)*(((((E1478*2.54)+VLOOKUP(D1478,'Species Codes'!B:J,9,0))/VLOOKUP(D1478,'Species Codes'!B:K,10,0))^VLOOKUP(D1478,'Species Codes'!B:L,11,0))*((I1478*0.3048)^VLOOKUP(D1478,'Species Codes'!B:M,12,0))))-(VLOOKUP(D1478,'Species Codes'!B:I,8,0)*((((E1478*2.54)^VLOOKUP(D1478,'Species Codes'!B:L,11,0))*((I1478*0.3048)^VLOOKUP(D1478,'Species Codes'!B:M,12,0))))))*35.3*VLOOKUP(D1478,'Species Codes'!B:G,6,0)/2.2046,VLOOKUP(D1478,'Species Codes'!B:I,8,0)+VLOOKUP(D1478,'Species Codes'!B:J,9,0)*(((E1478*2.54)/100)^2)*(I1478*0.3048)))))*0.0011023),0)</f>
        <v>#N/A</v>
      </c>
      <c r="AC1478" s="104" t="e">
        <f>IF(Z1478&gt;0,((IF(OR(D1478="RA",D1478="OA",D1478="OT",D1478="UN",D1478="PC"),EXP(VLOOKUP(D1478,'Species Codes'!B:O,14,0)+VLOOKUP(D1478,'Species Codes'!B:P,15,0)*LN((E1478*2.54)))-EXP(VLOOKUP(D1478,'Species Codes'!B:O,14,0)+VLOOKUP(D1478,'Species Codes'!B:P,15,0)*LN((E1478*2.54)))*(1/(VLOOKUP(D1478,'Species Codes'!B:Q,16,0)+VLOOKUP(D1478,'Species Codes'!B:R,17,0)*((E1478*2.54)^VLOOKUP(D1478,'Species Codes'!B:S,18,0)))),IF(OR(D1478="BM",D1478="MD",D1478="OA"),EXP(VLOOKUP(D1478,'Species Codes'!B:O,14,0)+VLOOKUP(D1478,'Species Codes'!B:P,15,0)*LN((E1478*2.54)))*(1-(1/(VLOOKUP(D1478,'Species Codes'!B:Q,16,0)+VLOOKUP(D1478,'Species Codes'!B:R,17,0)*((E1478*2.54)^VLOOKUP(D1478,'Species Codes'!B:S,18,0)))))/1000,IF(D1478="DF",EXP(VLOOKUP(D1478,'Species Codes'!B:O,14,0)+VLOOKUP(D1478,'Species Codes'!B:P,15,0)*LN((E1478*2.54))),VLOOKUP(D1478,'Species Codes'!B:O,14,0)+VLOOKUP(D1478,'Species Codes'!B:P,15,0)*(((E1478*2.54)/100)^2)*(I1478*0.3048)))))*0.0011023),0)</f>
        <v>#N/A</v>
      </c>
      <c r="AD1478" s="104" t="e">
        <f t="shared" si="652"/>
        <v>#N/A</v>
      </c>
      <c r="AE1478" s="104" t="e">
        <f t="shared" si="653"/>
        <v>#N/A</v>
      </c>
      <c r="AF1478" s="104" t="e">
        <f>IF(AND(VLOOKUP($D1478,Merchantability!$B:$C,2,0)="Yes",$E1478&gt;=VLOOKUP($D1478,Merchantability!$B:$D,3,0),$E1478&lt;=VLOOKUP($D1478,Merchantability!$B:$E,4,0)),AA1478,0)</f>
        <v>#N/A</v>
      </c>
      <c r="AG1478" s="104" t="e">
        <f>IF(AND(VLOOKUP($D1478,Merchantability!$B:$C,2,0)="Yes",$E1478&gt;=VLOOKUP($D1478,Merchantability!$B:$D,3,0),$E1478&lt;=VLOOKUP($D1478,Merchantability!$B:$E,4,0)),AB1478,0)</f>
        <v>#N/A</v>
      </c>
      <c r="AH1478" s="104" t="e">
        <f>IF(AND(VLOOKUP($D1478,Merchantability!$B:$C,2,0)="Yes",$E1478&gt;=VLOOKUP($D1478,Merchantability!$B:$D,3,0),$E1478&lt;=VLOOKUP($D1478,Merchantability!$B:$E,4,0)),AC1478,0)</f>
        <v>#N/A</v>
      </c>
      <c r="AI1478" s="104" t="e">
        <f t="shared" si="654"/>
        <v>#N/A</v>
      </c>
      <c r="AJ1478" s="104" t="e">
        <f t="shared" si="655"/>
        <v>#VALUE!</v>
      </c>
      <c r="AK1478" s="104" t="e">
        <f t="shared" si="656"/>
        <v>#N/A</v>
      </c>
      <c r="AL1478" s="104" t="e">
        <f t="shared" si="657"/>
        <v>#N/A</v>
      </c>
      <c r="AM1478" s="104" t="e">
        <f t="shared" si="658"/>
        <v>#N/A</v>
      </c>
      <c r="AN1478" s="104" t="e">
        <f t="shared" si="669"/>
        <v>#N/A</v>
      </c>
      <c r="AO1478" s="104" t="e">
        <f t="shared" si="670"/>
        <v>#N/A</v>
      </c>
      <c r="AP1478" s="104" t="e">
        <f t="shared" si="671"/>
        <v>#N/A</v>
      </c>
      <c r="AQ1478" s="104" t="e">
        <f t="shared" si="672"/>
        <v>#N/A</v>
      </c>
      <c r="AR1478" s="105" t="str">
        <f t="shared" si="664"/>
        <v/>
      </c>
      <c r="AS1478" s="105" t="str">
        <f t="shared" si="665"/>
        <v/>
      </c>
      <c r="AT1478" s="108" t="str">
        <f t="shared" si="666"/>
        <v/>
      </c>
      <c r="AU1478" s="108" t="str">
        <f t="shared" si="667"/>
        <v/>
      </c>
      <c r="AV1478" s="107" t="str">
        <f>IF(ISNUMBER(O1478),IF(VLOOKUP($A1478,Stand!C:J,8,FALSE)="Short",AT1478,AU1478),"")</f>
        <v/>
      </c>
      <c r="AW1478" s="109" t="str">
        <f t="shared" si="673"/>
        <v/>
      </c>
      <c r="AX1478" s="109" t="str">
        <f t="shared" si="674"/>
        <v/>
      </c>
      <c r="AY1478" s="112" t="str">
        <f>IF(ISNUMBER(O1478),IF(AND(VLOOKUP($D1478,Merchantability!$B:$C,2,0)="Yes",$E1478&gt;=VLOOKUP($D1478,Merchantability!$B:$D,3,0),$E1478&lt;=VLOOKUP($D1478,Merchantability!$B:$E,4,0)),(AV1478*O1478)*(1-$H1478/100),""),"")</f>
        <v/>
      </c>
      <c r="AZ1478" s="116"/>
      <c r="BA1478" s="116"/>
      <c r="BB1478" s="116"/>
      <c r="BE1478" s="62"/>
      <c r="BF1478" s="63"/>
    </row>
    <row r="1479" spans="1:58" ht="12.75" customHeight="1" x14ac:dyDescent="0.25">
      <c r="A1479" s="333"/>
      <c r="B1479" s="334"/>
      <c r="C1479" s="332"/>
      <c r="D1479" s="334"/>
      <c r="E1479" s="335"/>
      <c r="F1479" s="334"/>
      <c r="G1479" s="332"/>
      <c r="H1479" s="332"/>
      <c r="I1479" s="334"/>
      <c r="J1479" s="336"/>
      <c r="K1479" s="332"/>
      <c r="L1479" s="332"/>
      <c r="M1479" s="76"/>
      <c r="N1479" s="103" t="str">
        <f>IF(A1479="","",VLOOKUP(A1479,Stand!C:K,9,0))</f>
        <v/>
      </c>
      <c r="O1479" s="104" t="str">
        <f t="shared" si="659"/>
        <v/>
      </c>
      <c r="P1479" s="105" t="str">
        <f t="shared" si="660"/>
        <v/>
      </c>
      <c r="Q1479" s="105" t="str">
        <f t="shared" si="648"/>
        <v/>
      </c>
      <c r="R1479" s="103" t="str">
        <f t="shared" si="661"/>
        <v/>
      </c>
      <c r="S1479" s="103" t="str">
        <f t="shared" si="662"/>
        <v/>
      </c>
      <c r="T1479" s="106" t="str">
        <f t="shared" si="649"/>
        <v/>
      </c>
      <c r="U1479" s="106" t="str">
        <f t="shared" si="650"/>
        <v/>
      </c>
      <c r="V1479" s="106" t="str">
        <f t="shared" si="651"/>
        <v/>
      </c>
      <c r="W1479" s="105" t="str">
        <f t="shared" si="663"/>
        <v/>
      </c>
      <c r="X1479" s="104" t="str">
        <f t="shared" si="668"/>
        <v/>
      </c>
      <c r="Y1479" s="104" t="str">
        <f t="array" ref="Y1479">IFERROR(IF(ISNUMBER(O1479),IF(COUNT(IF(A1479=$A$2:$A$2427,IF(D1479=$D$2:$D$2427,IF($X$2:$X$2427&gt;0,1))))&gt;0,SUM(IF(A1479=$A$2:$A$2427,IF(D1479=$D$2:$D$2427,$X$2:$X$2427)))/COUNT(IF(A1479=$A$2:$A$2427,IF(D1479=$D$2:$D$2427,IF(ISNUMBER($X$2:$X$2427),1)))),0),""),0)</f>
        <v/>
      </c>
      <c r="Z1479" s="104" t="str">
        <f>IF(ISNUMBER(O1479),IF(I1479&gt;0,(10^(VLOOKUP(D1479,'Species Codes'!B:C,2,0)+VLOOKUP(D1479,'Species Codes'!B:D,3,0)*LOG(E1479)+VLOOKUP(D1479,'Species Codes'!B:E,4,0)*LOG(I1479))),0),"")</f>
        <v/>
      </c>
      <c r="AA1479" s="104" t="str">
        <f>IFERROR((VLOOKUP(D1479,'Species Codes'!B:G,6,0)*Z1479)/2000,"")</f>
        <v/>
      </c>
      <c r="AB1479" s="104" t="e">
        <f>IF(Z1479&gt;0,((IF(OR(D1479="DF",D1479="RA")=TRUE,EXP(VLOOKUP(D1479,'Species Codes'!B:I,8,0)+VLOOKUP(D1479,'Species Codes'!B:J,9,0)*(LN((E1479*2.54)))),IF(OR(D1479="PY",D1479="RC",D1479="WH",D1479="NF")=TRUE,VLOOKUP(D1479,'Species Codes'!B:I,8,0)+VLOOKUP(D1479,'Species Codes'!B:J,9,0)*((E1479*2.54)^2)*(I1479*0.3048),IF(OR(D1479="MD",D1479="BM",D1479="GA")=TRUE,((VLOOKUP(D1479,'Species Codes'!B:I,8,0)*(((((E1479*2.54)+VLOOKUP(D1479,'Species Codes'!B:J,9,0))/VLOOKUP(D1479,'Species Codes'!B:K,10,0))^VLOOKUP(D1479,'Species Codes'!B:L,11,0))*((I1479*0.3048)^VLOOKUP(D1479,'Species Codes'!B:M,12,0))))-(VLOOKUP(D1479,'Species Codes'!B:I,8,0)*((((E1479*2.54)^VLOOKUP(D1479,'Species Codes'!B:L,11,0))*((I1479*0.3048)^VLOOKUP(D1479,'Species Codes'!B:M,12,0))))))*35.3*VLOOKUP(D1479,'Species Codes'!B:G,6,0)/2.2046,VLOOKUP(D1479,'Species Codes'!B:I,8,0)+VLOOKUP(D1479,'Species Codes'!B:J,9,0)*(((E1479*2.54)/100)^2)*(I1479*0.3048)))))*0.0011023),0)</f>
        <v>#N/A</v>
      </c>
      <c r="AC1479" s="104" t="e">
        <f>IF(Z1479&gt;0,((IF(OR(D1479="RA",D1479="OA",D1479="OT",D1479="UN",D1479="PC"),EXP(VLOOKUP(D1479,'Species Codes'!B:O,14,0)+VLOOKUP(D1479,'Species Codes'!B:P,15,0)*LN((E1479*2.54)))-EXP(VLOOKUP(D1479,'Species Codes'!B:O,14,0)+VLOOKUP(D1479,'Species Codes'!B:P,15,0)*LN((E1479*2.54)))*(1/(VLOOKUP(D1479,'Species Codes'!B:Q,16,0)+VLOOKUP(D1479,'Species Codes'!B:R,17,0)*((E1479*2.54)^VLOOKUP(D1479,'Species Codes'!B:S,18,0)))),IF(OR(D1479="BM",D1479="MD",D1479="OA"),EXP(VLOOKUP(D1479,'Species Codes'!B:O,14,0)+VLOOKUP(D1479,'Species Codes'!B:P,15,0)*LN((E1479*2.54)))*(1-(1/(VLOOKUP(D1479,'Species Codes'!B:Q,16,0)+VLOOKUP(D1479,'Species Codes'!B:R,17,0)*((E1479*2.54)^VLOOKUP(D1479,'Species Codes'!B:S,18,0)))))/1000,IF(D1479="DF",EXP(VLOOKUP(D1479,'Species Codes'!B:O,14,0)+VLOOKUP(D1479,'Species Codes'!B:P,15,0)*LN((E1479*2.54))),VLOOKUP(D1479,'Species Codes'!B:O,14,0)+VLOOKUP(D1479,'Species Codes'!B:P,15,0)*(((E1479*2.54)/100)^2)*(I1479*0.3048)))))*0.0011023),0)</f>
        <v>#N/A</v>
      </c>
      <c r="AD1479" s="104" t="e">
        <f t="shared" si="652"/>
        <v>#N/A</v>
      </c>
      <c r="AE1479" s="104" t="e">
        <f t="shared" si="653"/>
        <v>#N/A</v>
      </c>
      <c r="AF1479" s="104" t="e">
        <f>IF(AND(VLOOKUP($D1479,Merchantability!$B:$C,2,0)="Yes",$E1479&gt;=VLOOKUP($D1479,Merchantability!$B:$D,3,0),$E1479&lt;=VLOOKUP($D1479,Merchantability!$B:$E,4,0)),AA1479,0)</f>
        <v>#N/A</v>
      </c>
      <c r="AG1479" s="104" t="e">
        <f>IF(AND(VLOOKUP($D1479,Merchantability!$B:$C,2,0)="Yes",$E1479&gt;=VLOOKUP($D1479,Merchantability!$B:$D,3,0),$E1479&lt;=VLOOKUP($D1479,Merchantability!$B:$E,4,0)),AB1479,0)</f>
        <v>#N/A</v>
      </c>
      <c r="AH1479" s="104" t="e">
        <f>IF(AND(VLOOKUP($D1479,Merchantability!$B:$C,2,0)="Yes",$E1479&gt;=VLOOKUP($D1479,Merchantability!$B:$D,3,0),$E1479&lt;=VLOOKUP($D1479,Merchantability!$B:$E,4,0)),AC1479,0)</f>
        <v>#N/A</v>
      </c>
      <c r="AI1479" s="104" t="e">
        <f t="shared" si="654"/>
        <v>#N/A</v>
      </c>
      <c r="AJ1479" s="104" t="e">
        <f t="shared" si="655"/>
        <v>#VALUE!</v>
      </c>
      <c r="AK1479" s="104" t="e">
        <f t="shared" si="656"/>
        <v>#N/A</v>
      </c>
      <c r="AL1479" s="104" t="e">
        <f t="shared" si="657"/>
        <v>#N/A</v>
      </c>
      <c r="AM1479" s="104" t="e">
        <f t="shared" si="658"/>
        <v>#N/A</v>
      </c>
      <c r="AN1479" s="104" t="e">
        <f t="shared" si="669"/>
        <v>#N/A</v>
      </c>
      <c r="AO1479" s="104" t="e">
        <f t="shared" si="670"/>
        <v>#N/A</v>
      </c>
      <c r="AP1479" s="104" t="e">
        <f t="shared" si="671"/>
        <v>#N/A</v>
      </c>
      <c r="AQ1479" s="104" t="e">
        <f t="shared" si="672"/>
        <v>#N/A</v>
      </c>
      <c r="AR1479" s="105" t="str">
        <f t="shared" si="664"/>
        <v/>
      </c>
      <c r="AS1479" s="105" t="str">
        <f t="shared" si="665"/>
        <v/>
      </c>
      <c r="AT1479" s="108" t="str">
        <f t="shared" si="666"/>
        <v/>
      </c>
      <c r="AU1479" s="108" t="str">
        <f t="shared" si="667"/>
        <v/>
      </c>
      <c r="AV1479" s="107" t="str">
        <f>IF(ISNUMBER(O1479),IF(VLOOKUP($A1479,Stand!C:J,8,FALSE)="Short",AT1479,AU1479),"")</f>
        <v/>
      </c>
      <c r="AW1479" s="109" t="str">
        <f t="shared" si="673"/>
        <v/>
      </c>
      <c r="AX1479" s="109" t="str">
        <f t="shared" si="674"/>
        <v/>
      </c>
      <c r="AY1479" s="112" t="str">
        <f>IF(ISNUMBER(O1479),IF(AND(VLOOKUP($D1479,Merchantability!$B:$C,2,0)="Yes",$E1479&gt;=VLOOKUP($D1479,Merchantability!$B:$D,3,0),$E1479&lt;=VLOOKUP($D1479,Merchantability!$B:$E,4,0)),(AV1479*O1479)*(1-$H1479/100),""),"")</f>
        <v/>
      </c>
      <c r="AZ1479" s="116"/>
      <c r="BA1479" s="116"/>
      <c r="BB1479" s="116"/>
      <c r="BE1479" s="62"/>
      <c r="BF1479" s="63"/>
    </row>
    <row r="1480" spans="1:58" ht="12.75" customHeight="1" x14ac:dyDescent="0.25">
      <c r="A1480" s="333"/>
      <c r="B1480" s="334"/>
      <c r="C1480" s="332"/>
      <c r="D1480" s="334"/>
      <c r="E1480" s="335"/>
      <c r="F1480" s="334"/>
      <c r="G1480" s="332"/>
      <c r="H1480" s="332"/>
      <c r="I1480" s="334"/>
      <c r="J1480" s="336"/>
      <c r="K1480" s="332"/>
      <c r="L1480" s="332"/>
      <c r="M1480" s="76"/>
      <c r="N1480" s="103" t="str">
        <f>IF(A1480="","",VLOOKUP(A1480,Stand!C:K,9,0))</f>
        <v/>
      </c>
      <c r="O1480" s="104" t="str">
        <f t="shared" si="659"/>
        <v/>
      </c>
      <c r="P1480" s="105" t="str">
        <f t="shared" si="660"/>
        <v/>
      </c>
      <c r="Q1480" s="105" t="str">
        <f t="shared" si="648"/>
        <v/>
      </c>
      <c r="R1480" s="103" t="str">
        <f t="shared" si="661"/>
        <v/>
      </c>
      <c r="S1480" s="103" t="str">
        <f t="shared" si="662"/>
        <v/>
      </c>
      <c r="T1480" s="106" t="str">
        <f t="shared" si="649"/>
        <v/>
      </c>
      <c r="U1480" s="106" t="str">
        <f t="shared" si="650"/>
        <v/>
      </c>
      <c r="V1480" s="106" t="str">
        <f t="shared" si="651"/>
        <v/>
      </c>
      <c r="W1480" s="105" t="str">
        <f t="shared" si="663"/>
        <v/>
      </c>
      <c r="X1480" s="104" t="str">
        <f t="shared" si="668"/>
        <v/>
      </c>
      <c r="Y1480" s="104" t="str">
        <f t="array" ref="Y1480">IFERROR(IF(ISNUMBER(O1480),IF(COUNT(IF(A1480=$A$2:$A$2427,IF(D1480=$D$2:$D$2427,IF($X$2:$X$2427&gt;0,1))))&gt;0,SUM(IF(A1480=$A$2:$A$2427,IF(D1480=$D$2:$D$2427,$X$2:$X$2427)))/COUNT(IF(A1480=$A$2:$A$2427,IF(D1480=$D$2:$D$2427,IF(ISNUMBER($X$2:$X$2427),1)))),0),""),0)</f>
        <v/>
      </c>
      <c r="Z1480" s="104" t="str">
        <f>IF(ISNUMBER(O1480),IF(I1480&gt;0,(10^(VLOOKUP(D1480,'Species Codes'!B:C,2,0)+VLOOKUP(D1480,'Species Codes'!B:D,3,0)*LOG(E1480)+VLOOKUP(D1480,'Species Codes'!B:E,4,0)*LOG(I1480))),0),"")</f>
        <v/>
      </c>
      <c r="AA1480" s="104" t="str">
        <f>IFERROR((VLOOKUP(D1480,'Species Codes'!B:G,6,0)*Z1480)/2000,"")</f>
        <v/>
      </c>
      <c r="AB1480" s="104" t="e">
        <f>IF(Z1480&gt;0,((IF(OR(D1480="DF",D1480="RA")=TRUE,EXP(VLOOKUP(D1480,'Species Codes'!B:I,8,0)+VLOOKUP(D1480,'Species Codes'!B:J,9,0)*(LN((E1480*2.54)))),IF(OR(D1480="PY",D1480="RC",D1480="WH",D1480="NF")=TRUE,VLOOKUP(D1480,'Species Codes'!B:I,8,0)+VLOOKUP(D1480,'Species Codes'!B:J,9,0)*((E1480*2.54)^2)*(I1480*0.3048),IF(OR(D1480="MD",D1480="BM",D1480="GA")=TRUE,((VLOOKUP(D1480,'Species Codes'!B:I,8,0)*(((((E1480*2.54)+VLOOKUP(D1480,'Species Codes'!B:J,9,0))/VLOOKUP(D1480,'Species Codes'!B:K,10,0))^VLOOKUP(D1480,'Species Codes'!B:L,11,0))*((I1480*0.3048)^VLOOKUP(D1480,'Species Codes'!B:M,12,0))))-(VLOOKUP(D1480,'Species Codes'!B:I,8,0)*((((E1480*2.54)^VLOOKUP(D1480,'Species Codes'!B:L,11,0))*((I1480*0.3048)^VLOOKUP(D1480,'Species Codes'!B:M,12,0))))))*35.3*VLOOKUP(D1480,'Species Codes'!B:G,6,0)/2.2046,VLOOKUP(D1480,'Species Codes'!B:I,8,0)+VLOOKUP(D1480,'Species Codes'!B:J,9,0)*(((E1480*2.54)/100)^2)*(I1480*0.3048)))))*0.0011023),0)</f>
        <v>#N/A</v>
      </c>
      <c r="AC1480" s="104" t="e">
        <f>IF(Z1480&gt;0,((IF(OR(D1480="RA",D1480="OA",D1480="OT",D1480="UN",D1480="PC"),EXP(VLOOKUP(D1480,'Species Codes'!B:O,14,0)+VLOOKUP(D1480,'Species Codes'!B:P,15,0)*LN((E1480*2.54)))-EXP(VLOOKUP(D1480,'Species Codes'!B:O,14,0)+VLOOKUP(D1480,'Species Codes'!B:P,15,0)*LN((E1480*2.54)))*(1/(VLOOKUP(D1480,'Species Codes'!B:Q,16,0)+VLOOKUP(D1480,'Species Codes'!B:R,17,0)*((E1480*2.54)^VLOOKUP(D1480,'Species Codes'!B:S,18,0)))),IF(OR(D1480="BM",D1480="MD",D1480="OA"),EXP(VLOOKUP(D1480,'Species Codes'!B:O,14,0)+VLOOKUP(D1480,'Species Codes'!B:P,15,0)*LN((E1480*2.54)))*(1-(1/(VLOOKUP(D1480,'Species Codes'!B:Q,16,0)+VLOOKUP(D1480,'Species Codes'!B:R,17,0)*((E1480*2.54)^VLOOKUP(D1480,'Species Codes'!B:S,18,0)))))/1000,IF(D1480="DF",EXP(VLOOKUP(D1480,'Species Codes'!B:O,14,0)+VLOOKUP(D1480,'Species Codes'!B:P,15,0)*LN((E1480*2.54))),VLOOKUP(D1480,'Species Codes'!B:O,14,0)+VLOOKUP(D1480,'Species Codes'!B:P,15,0)*(((E1480*2.54)/100)^2)*(I1480*0.3048)))))*0.0011023),0)</f>
        <v>#N/A</v>
      </c>
      <c r="AD1480" s="104" t="e">
        <f t="shared" si="652"/>
        <v>#N/A</v>
      </c>
      <c r="AE1480" s="104" t="e">
        <f t="shared" si="653"/>
        <v>#N/A</v>
      </c>
      <c r="AF1480" s="104" t="e">
        <f>IF(AND(VLOOKUP($D1480,Merchantability!$B:$C,2,0)="Yes",$E1480&gt;=VLOOKUP($D1480,Merchantability!$B:$D,3,0),$E1480&lt;=VLOOKUP($D1480,Merchantability!$B:$E,4,0)),AA1480,0)</f>
        <v>#N/A</v>
      </c>
      <c r="AG1480" s="104" t="e">
        <f>IF(AND(VLOOKUP($D1480,Merchantability!$B:$C,2,0)="Yes",$E1480&gt;=VLOOKUP($D1480,Merchantability!$B:$D,3,0),$E1480&lt;=VLOOKUP($D1480,Merchantability!$B:$E,4,0)),AB1480,0)</f>
        <v>#N/A</v>
      </c>
      <c r="AH1480" s="104" t="e">
        <f>IF(AND(VLOOKUP($D1480,Merchantability!$B:$C,2,0)="Yes",$E1480&gt;=VLOOKUP($D1480,Merchantability!$B:$D,3,0),$E1480&lt;=VLOOKUP($D1480,Merchantability!$B:$E,4,0)),AC1480,0)</f>
        <v>#N/A</v>
      </c>
      <c r="AI1480" s="104" t="e">
        <f t="shared" si="654"/>
        <v>#N/A</v>
      </c>
      <c r="AJ1480" s="104" t="e">
        <f t="shared" si="655"/>
        <v>#VALUE!</v>
      </c>
      <c r="AK1480" s="104" t="e">
        <f t="shared" si="656"/>
        <v>#N/A</v>
      </c>
      <c r="AL1480" s="104" t="e">
        <f t="shared" si="657"/>
        <v>#N/A</v>
      </c>
      <c r="AM1480" s="104" t="e">
        <f t="shared" si="658"/>
        <v>#N/A</v>
      </c>
      <c r="AN1480" s="104" t="e">
        <f t="shared" si="669"/>
        <v>#N/A</v>
      </c>
      <c r="AO1480" s="104" t="e">
        <f t="shared" si="670"/>
        <v>#N/A</v>
      </c>
      <c r="AP1480" s="104" t="e">
        <f t="shared" si="671"/>
        <v>#N/A</v>
      </c>
      <c r="AQ1480" s="104" t="e">
        <f t="shared" si="672"/>
        <v>#N/A</v>
      </c>
      <c r="AR1480" s="105" t="str">
        <f t="shared" si="664"/>
        <v/>
      </c>
      <c r="AS1480" s="105" t="str">
        <f t="shared" si="665"/>
        <v/>
      </c>
      <c r="AT1480" s="108" t="str">
        <f t="shared" si="666"/>
        <v/>
      </c>
      <c r="AU1480" s="108" t="str">
        <f t="shared" si="667"/>
        <v/>
      </c>
      <c r="AV1480" s="107" t="str">
        <f>IF(ISNUMBER(O1480),IF(VLOOKUP($A1480,Stand!C:J,8,FALSE)="Short",AT1480,AU1480),"")</f>
        <v/>
      </c>
      <c r="AW1480" s="109" t="str">
        <f t="shared" si="673"/>
        <v/>
      </c>
      <c r="AX1480" s="109" t="str">
        <f t="shared" si="674"/>
        <v/>
      </c>
      <c r="AY1480" s="112" t="str">
        <f>IF(ISNUMBER(O1480),IF(AND(VLOOKUP($D1480,Merchantability!$B:$C,2,0)="Yes",$E1480&gt;=VLOOKUP($D1480,Merchantability!$B:$D,3,0),$E1480&lt;=VLOOKUP($D1480,Merchantability!$B:$E,4,0)),(AV1480*O1480)*(1-$H1480/100),""),"")</f>
        <v/>
      </c>
      <c r="AZ1480" s="116"/>
      <c r="BA1480" s="116"/>
      <c r="BB1480" s="116"/>
      <c r="BE1480" s="62"/>
      <c r="BF1480" s="63"/>
    </row>
    <row r="1481" spans="1:58" ht="12.75" customHeight="1" x14ac:dyDescent="0.25">
      <c r="A1481" s="333"/>
      <c r="B1481" s="334"/>
      <c r="C1481" s="332"/>
      <c r="D1481" s="334"/>
      <c r="E1481" s="335"/>
      <c r="F1481" s="334"/>
      <c r="G1481" s="332"/>
      <c r="H1481" s="332"/>
      <c r="I1481" s="334"/>
      <c r="J1481" s="336"/>
      <c r="K1481" s="332"/>
      <c r="L1481" s="332"/>
      <c r="M1481" s="76"/>
      <c r="N1481" s="103" t="str">
        <f>IF(A1481="","",VLOOKUP(A1481,Stand!C:K,9,0))</f>
        <v/>
      </c>
      <c r="O1481" s="104" t="str">
        <f t="shared" si="659"/>
        <v/>
      </c>
      <c r="P1481" s="105" t="str">
        <f t="shared" si="660"/>
        <v/>
      </c>
      <c r="Q1481" s="105" t="str">
        <f t="shared" si="648"/>
        <v/>
      </c>
      <c r="R1481" s="103" t="str">
        <f t="shared" si="661"/>
        <v/>
      </c>
      <c r="S1481" s="103" t="str">
        <f t="shared" si="662"/>
        <v/>
      </c>
      <c r="T1481" s="106" t="str">
        <f t="shared" si="649"/>
        <v/>
      </c>
      <c r="U1481" s="106" t="str">
        <f t="shared" si="650"/>
        <v/>
      </c>
      <c r="V1481" s="106" t="str">
        <f t="shared" si="651"/>
        <v/>
      </c>
      <c r="W1481" s="105" t="str">
        <f t="shared" si="663"/>
        <v/>
      </c>
      <c r="X1481" s="104" t="str">
        <f t="shared" si="668"/>
        <v/>
      </c>
      <c r="Y1481" s="104" t="str">
        <f t="array" ref="Y1481">IFERROR(IF(ISNUMBER(O1481),IF(COUNT(IF(A1481=$A$2:$A$2427,IF(D1481=$D$2:$D$2427,IF($X$2:$X$2427&gt;0,1))))&gt;0,SUM(IF(A1481=$A$2:$A$2427,IF(D1481=$D$2:$D$2427,$X$2:$X$2427)))/COUNT(IF(A1481=$A$2:$A$2427,IF(D1481=$D$2:$D$2427,IF(ISNUMBER($X$2:$X$2427),1)))),0),""),0)</f>
        <v/>
      </c>
      <c r="Z1481" s="104" t="str">
        <f>IF(ISNUMBER(O1481),IF(I1481&gt;0,(10^(VLOOKUP(D1481,'Species Codes'!B:C,2,0)+VLOOKUP(D1481,'Species Codes'!B:D,3,0)*LOG(E1481)+VLOOKUP(D1481,'Species Codes'!B:E,4,0)*LOG(I1481))),0),"")</f>
        <v/>
      </c>
      <c r="AA1481" s="104" t="str">
        <f>IFERROR((VLOOKUP(D1481,'Species Codes'!B:G,6,0)*Z1481)/2000,"")</f>
        <v/>
      </c>
      <c r="AB1481" s="104" t="e">
        <f>IF(Z1481&gt;0,((IF(OR(D1481="DF",D1481="RA")=TRUE,EXP(VLOOKUP(D1481,'Species Codes'!B:I,8,0)+VLOOKUP(D1481,'Species Codes'!B:J,9,0)*(LN((E1481*2.54)))),IF(OR(D1481="PY",D1481="RC",D1481="WH",D1481="NF")=TRUE,VLOOKUP(D1481,'Species Codes'!B:I,8,0)+VLOOKUP(D1481,'Species Codes'!B:J,9,0)*((E1481*2.54)^2)*(I1481*0.3048),IF(OR(D1481="MD",D1481="BM",D1481="GA")=TRUE,((VLOOKUP(D1481,'Species Codes'!B:I,8,0)*(((((E1481*2.54)+VLOOKUP(D1481,'Species Codes'!B:J,9,0))/VLOOKUP(D1481,'Species Codes'!B:K,10,0))^VLOOKUP(D1481,'Species Codes'!B:L,11,0))*((I1481*0.3048)^VLOOKUP(D1481,'Species Codes'!B:M,12,0))))-(VLOOKUP(D1481,'Species Codes'!B:I,8,0)*((((E1481*2.54)^VLOOKUP(D1481,'Species Codes'!B:L,11,0))*((I1481*0.3048)^VLOOKUP(D1481,'Species Codes'!B:M,12,0))))))*35.3*VLOOKUP(D1481,'Species Codes'!B:G,6,0)/2.2046,VLOOKUP(D1481,'Species Codes'!B:I,8,0)+VLOOKUP(D1481,'Species Codes'!B:J,9,0)*(((E1481*2.54)/100)^2)*(I1481*0.3048)))))*0.0011023),0)</f>
        <v>#N/A</v>
      </c>
      <c r="AC1481" s="104" t="e">
        <f>IF(Z1481&gt;0,((IF(OR(D1481="RA",D1481="OA",D1481="OT",D1481="UN",D1481="PC"),EXP(VLOOKUP(D1481,'Species Codes'!B:O,14,0)+VLOOKUP(D1481,'Species Codes'!B:P,15,0)*LN((E1481*2.54)))-EXP(VLOOKUP(D1481,'Species Codes'!B:O,14,0)+VLOOKUP(D1481,'Species Codes'!B:P,15,0)*LN((E1481*2.54)))*(1/(VLOOKUP(D1481,'Species Codes'!B:Q,16,0)+VLOOKUP(D1481,'Species Codes'!B:R,17,0)*((E1481*2.54)^VLOOKUP(D1481,'Species Codes'!B:S,18,0)))),IF(OR(D1481="BM",D1481="MD",D1481="OA"),EXP(VLOOKUP(D1481,'Species Codes'!B:O,14,0)+VLOOKUP(D1481,'Species Codes'!B:P,15,0)*LN((E1481*2.54)))*(1-(1/(VLOOKUP(D1481,'Species Codes'!B:Q,16,0)+VLOOKUP(D1481,'Species Codes'!B:R,17,0)*((E1481*2.54)^VLOOKUP(D1481,'Species Codes'!B:S,18,0)))))/1000,IF(D1481="DF",EXP(VLOOKUP(D1481,'Species Codes'!B:O,14,0)+VLOOKUP(D1481,'Species Codes'!B:P,15,0)*LN((E1481*2.54))),VLOOKUP(D1481,'Species Codes'!B:O,14,0)+VLOOKUP(D1481,'Species Codes'!B:P,15,0)*(((E1481*2.54)/100)^2)*(I1481*0.3048)))))*0.0011023),0)</f>
        <v>#N/A</v>
      </c>
      <c r="AD1481" s="104" t="e">
        <f t="shared" si="652"/>
        <v>#N/A</v>
      </c>
      <c r="AE1481" s="104" t="e">
        <f t="shared" si="653"/>
        <v>#N/A</v>
      </c>
      <c r="AF1481" s="104" t="e">
        <f>IF(AND(VLOOKUP($D1481,Merchantability!$B:$C,2,0)="Yes",$E1481&gt;=VLOOKUP($D1481,Merchantability!$B:$D,3,0),$E1481&lt;=VLOOKUP($D1481,Merchantability!$B:$E,4,0)),AA1481,0)</f>
        <v>#N/A</v>
      </c>
      <c r="AG1481" s="104" t="e">
        <f>IF(AND(VLOOKUP($D1481,Merchantability!$B:$C,2,0)="Yes",$E1481&gt;=VLOOKUP($D1481,Merchantability!$B:$D,3,0),$E1481&lt;=VLOOKUP($D1481,Merchantability!$B:$E,4,0)),AB1481,0)</f>
        <v>#N/A</v>
      </c>
      <c r="AH1481" s="104" t="e">
        <f>IF(AND(VLOOKUP($D1481,Merchantability!$B:$C,2,0)="Yes",$E1481&gt;=VLOOKUP($D1481,Merchantability!$B:$D,3,0),$E1481&lt;=VLOOKUP($D1481,Merchantability!$B:$E,4,0)),AC1481,0)</f>
        <v>#N/A</v>
      </c>
      <c r="AI1481" s="104" t="e">
        <f t="shared" si="654"/>
        <v>#N/A</v>
      </c>
      <c r="AJ1481" s="104" t="e">
        <f t="shared" si="655"/>
        <v>#VALUE!</v>
      </c>
      <c r="AK1481" s="104" t="e">
        <f t="shared" si="656"/>
        <v>#N/A</v>
      </c>
      <c r="AL1481" s="104" t="e">
        <f t="shared" si="657"/>
        <v>#N/A</v>
      </c>
      <c r="AM1481" s="104" t="e">
        <f t="shared" si="658"/>
        <v>#N/A</v>
      </c>
      <c r="AN1481" s="104" t="e">
        <f t="shared" si="669"/>
        <v>#N/A</v>
      </c>
      <c r="AO1481" s="104" t="e">
        <f t="shared" si="670"/>
        <v>#N/A</v>
      </c>
      <c r="AP1481" s="104" t="e">
        <f t="shared" si="671"/>
        <v>#N/A</v>
      </c>
      <c r="AQ1481" s="104" t="e">
        <f t="shared" si="672"/>
        <v>#N/A</v>
      </c>
      <c r="AR1481" s="105" t="str">
        <f t="shared" si="664"/>
        <v/>
      </c>
      <c r="AS1481" s="105" t="str">
        <f t="shared" si="665"/>
        <v/>
      </c>
      <c r="AT1481" s="108" t="str">
        <f t="shared" si="666"/>
        <v/>
      </c>
      <c r="AU1481" s="108" t="str">
        <f t="shared" si="667"/>
        <v/>
      </c>
      <c r="AV1481" s="107" t="str">
        <f>IF(ISNUMBER(O1481),IF(VLOOKUP($A1481,Stand!C:J,8,FALSE)="Short",AT1481,AU1481),"")</f>
        <v/>
      </c>
      <c r="AW1481" s="109" t="str">
        <f t="shared" si="673"/>
        <v/>
      </c>
      <c r="AX1481" s="109" t="str">
        <f t="shared" si="674"/>
        <v/>
      </c>
      <c r="AY1481" s="112" t="str">
        <f>IF(ISNUMBER(O1481),IF(AND(VLOOKUP($D1481,Merchantability!$B:$C,2,0)="Yes",$E1481&gt;=VLOOKUP($D1481,Merchantability!$B:$D,3,0),$E1481&lt;=VLOOKUP($D1481,Merchantability!$B:$E,4,0)),(AV1481*O1481)*(1-$H1481/100),""),"")</f>
        <v/>
      </c>
      <c r="AZ1481" s="116"/>
      <c r="BA1481" s="116"/>
      <c r="BB1481" s="116"/>
      <c r="BE1481" s="62"/>
      <c r="BF1481" s="63"/>
    </row>
    <row r="1482" spans="1:58" ht="12.75" customHeight="1" x14ac:dyDescent="0.25">
      <c r="A1482" s="333"/>
      <c r="B1482" s="334"/>
      <c r="C1482" s="332"/>
      <c r="D1482" s="334"/>
      <c r="E1482" s="335"/>
      <c r="F1482" s="334"/>
      <c r="G1482" s="332"/>
      <c r="H1482" s="332"/>
      <c r="I1482" s="334"/>
      <c r="J1482" s="336"/>
      <c r="K1482" s="332"/>
      <c r="L1482" s="332"/>
      <c r="M1482" s="76"/>
      <c r="N1482" s="103" t="str">
        <f>IF(A1482="","",VLOOKUP(A1482,Stand!C:K,9,0))</f>
        <v/>
      </c>
      <c r="O1482" s="104" t="str">
        <f t="shared" si="659"/>
        <v/>
      </c>
      <c r="P1482" s="105" t="str">
        <f t="shared" si="660"/>
        <v/>
      </c>
      <c r="Q1482" s="105" t="str">
        <f t="shared" si="648"/>
        <v/>
      </c>
      <c r="R1482" s="103" t="str">
        <f t="shared" si="661"/>
        <v/>
      </c>
      <c r="S1482" s="103" t="str">
        <f t="shared" si="662"/>
        <v/>
      </c>
      <c r="T1482" s="106" t="str">
        <f t="shared" si="649"/>
        <v/>
      </c>
      <c r="U1482" s="106" t="str">
        <f t="shared" si="650"/>
        <v/>
      </c>
      <c r="V1482" s="106" t="str">
        <f t="shared" si="651"/>
        <v/>
      </c>
      <c r="W1482" s="105" t="str">
        <f t="shared" si="663"/>
        <v/>
      </c>
      <c r="X1482" s="104" t="str">
        <f t="shared" si="668"/>
        <v/>
      </c>
      <c r="Y1482" s="104" t="str">
        <f t="array" ref="Y1482">IFERROR(IF(ISNUMBER(O1482),IF(COUNT(IF(A1482=$A$2:$A$2427,IF(D1482=$D$2:$D$2427,IF($X$2:$X$2427&gt;0,1))))&gt;0,SUM(IF(A1482=$A$2:$A$2427,IF(D1482=$D$2:$D$2427,$X$2:$X$2427)))/COUNT(IF(A1482=$A$2:$A$2427,IF(D1482=$D$2:$D$2427,IF(ISNUMBER($X$2:$X$2427),1)))),0),""),0)</f>
        <v/>
      </c>
      <c r="Z1482" s="104" t="str">
        <f>IF(ISNUMBER(O1482),IF(I1482&gt;0,(10^(VLOOKUP(D1482,'Species Codes'!B:C,2,0)+VLOOKUP(D1482,'Species Codes'!B:D,3,0)*LOG(E1482)+VLOOKUP(D1482,'Species Codes'!B:E,4,0)*LOG(I1482))),0),"")</f>
        <v/>
      </c>
      <c r="AA1482" s="104" t="str">
        <f>IFERROR((VLOOKUP(D1482,'Species Codes'!B:G,6,0)*Z1482)/2000,"")</f>
        <v/>
      </c>
      <c r="AB1482" s="104" t="e">
        <f>IF(Z1482&gt;0,((IF(OR(D1482="DF",D1482="RA")=TRUE,EXP(VLOOKUP(D1482,'Species Codes'!B:I,8,0)+VLOOKUP(D1482,'Species Codes'!B:J,9,0)*(LN((E1482*2.54)))),IF(OR(D1482="PY",D1482="RC",D1482="WH",D1482="NF")=TRUE,VLOOKUP(D1482,'Species Codes'!B:I,8,0)+VLOOKUP(D1482,'Species Codes'!B:J,9,0)*((E1482*2.54)^2)*(I1482*0.3048),IF(OR(D1482="MD",D1482="BM",D1482="GA")=TRUE,((VLOOKUP(D1482,'Species Codes'!B:I,8,0)*(((((E1482*2.54)+VLOOKUP(D1482,'Species Codes'!B:J,9,0))/VLOOKUP(D1482,'Species Codes'!B:K,10,0))^VLOOKUP(D1482,'Species Codes'!B:L,11,0))*((I1482*0.3048)^VLOOKUP(D1482,'Species Codes'!B:M,12,0))))-(VLOOKUP(D1482,'Species Codes'!B:I,8,0)*((((E1482*2.54)^VLOOKUP(D1482,'Species Codes'!B:L,11,0))*((I1482*0.3048)^VLOOKUP(D1482,'Species Codes'!B:M,12,0))))))*35.3*VLOOKUP(D1482,'Species Codes'!B:G,6,0)/2.2046,VLOOKUP(D1482,'Species Codes'!B:I,8,0)+VLOOKUP(D1482,'Species Codes'!B:J,9,0)*(((E1482*2.54)/100)^2)*(I1482*0.3048)))))*0.0011023),0)</f>
        <v>#N/A</v>
      </c>
      <c r="AC1482" s="104" t="e">
        <f>IF(Z1482&gt;0,((IF(OR(D1482="RA",D1482="OA",D1482="OT",D1482="UN",D1482="PC"),EXP(VLOOKUP(D1482,'Species Codes'!B:O,14,0)+VLOOKUP(D1482,'Species Codes'!B:P,15,0)*LN((E1482*2.54)))-EXP(VLOOKUP(D1482,'Species Codes'!B:O,14,0)+VLOOKUP(D1482,'Species Codes'!B:P,15,0)*LN((E1482*2.54)))*(1/(VLOOKUP(D1482,'Species Codes'!B:Q,16,0)+VLOOKUP(D1482,'Species Codes'!B:R,17,0)*((E1482*2.54)^VLOOKUP(D1482,'Species Codes'!B:S,18,0)))),IF(OR(D1482="BM",D1482="MD",D1482="OA"),EXP(VLOOKUP(D1482,'Species Codes'!B:O,14,0)+VLOOKUP(D1482,'Species Codes'!B:P,15,0)*LN((E1482*2.54)))*(1-(1/(VLOOKUP(D1482,'Species Codes'!B:Q,16,0)+VLOOKUP(D1482,'Species Codes'!B:R,17,0)*((E1482*2.54)^VLOOKUP(D1482,'Species Codes'!B:S,18,0)))))/1000,IF(D1482="DF",EXP(VLOOKUP(D1482,'Species Codes'!B:O,14,0)+VLOOKUP(D1482,'Species Codes'!B:P,15,0)*LN((E1482*2.54))),VLOOKUP(D1482,'Species Codes'!B:O,14,0)+VLOOKUP(D1482,'Species Codes'!B:P,15,0)*(((E1482*2.54)/100)^2)*(I1482*0.3048)))))*0.0011023),0)</f>
        <v>#N/A</v>
      </c>
      <c r="AD1482" s="104" t="e">
        <f t="shared" si="652"/>
        <v>#N/A</v>
      </c>
      <c r="AE1482" s="104" t="e">
        <f t="shared" si="653"/>
        <v>#N/A</v>
      </c>
      <c r="AF1482" s="104" t="e">
        <f>IF(AND(VLOOKUP($D1482,Merchantability!$B:$C,2,0)="Yes",$E1482&gt;=VLOOKUP($D1482,Merchantability!$B:$D,3,0),$E1482&lt;=VLOOKUP($D1482,Merchantability!$B:$E,4,0)),AA1482,0)</f>
        <v>#N/A</v>
      </c>
      <c r="AG1482" s="104" t="e">
        <f>IF(AND(VLOOKUP($D1482,Merchantability!$B:$C,2,0)="Yes",$E1482&gt;=VLOOKUP($D1482,Merchantability!$B:$D,3,0),$E1482&lt;=VLOOKUP($D1482,Merchantability!$B:$E,4,0)),AB1482,0)</f>
        <v>#N/A</v>
      </c>
      <c r="AH1482" s="104" t="e">
        <f>IF(AND(VLOOKUP($D1482,Merchantability!$B:$C,2,0)="Yes",$E1482&gt;=VLOOKUP($D1482,Merchantability!$B:$D,3,0),$E1482&lt;=VLOOKUP($D1482,Merchantability!$B:$E,4,0)),AC1482,0)</f>
        <v>#N/A</v>
      </c>
      <c r="AI1482" s="104" t="e">
        <f t="shared" si="654"/>
        <v>#N/A</v>
      </c>
      <c r="AJ1482" s="104" t="e">
        <f t="shared" si="655"/>
        <v>#VALUE!</v>
      </c>
      <c r="AK1482" s="104" t="e">
        <f t="shared" si="656"/>
        <v>#N/A</v>
      </c>
      <c r="AL1482" s="104" t="e">
        <f t="shared" si="657"/>
        <v>#N/A</v>
      </c>
      <c r="AM1482" s="104" t="e">
        <f t="shared" si="658"/>
        <v>#N/A</v>
      </c>
      <c r="AN1482" s="104" t="e">
        <f t="shared" si="669"/>
        <v>#N/A</v>
      </c>
      <c r="AO1482" s="104" t="e">
        <f t="shared" si="670"/>
        <v>#N/A</v>
      </c>
      <c r="AP1482" s="104" t="e">
        <f t="shared" si="671"/>
        <v>#N/A</v>
      </c>
      <c r="AQ1482" s="104" t="e">
        <f t="shared" si="672"/>
        <v>#N/A</v>
      </c>
      <c r="AR1482" s="105" t="str">
        <f t="shared" si="664"/>
        <v/>
      </c>
      <c r="AS1482" s="105" t="str">
        <f t="shared" si="665"/>
        <v/>
      </c>
      <c r="AT1482" s="108" t="str">
        <f t="shared" si="666"/>
        <v/>
      </c>
      <c r="AU1482" s="108" t="str">
        <f t="shared" si="667"/>
        <v/>
      </c>
      <c r="AV1482" s="107" t="str">
        <f>IF(ISNUMBER(O1482),IF(VLOOKUP($A1482,Stand!C:J,8,FALSE)="Short",AT1482,AU1482),"")</f>
        <v/>
      </c>
      <c r="AW1482" s="109" t="str">
        <f t="shared" si="673"/>
        <v/>
      </c>
      <c r="AX1482" s="109" t="str">
        <f t="shared" si="674"/>
        <v/>
      </c>
      <c r="AY1482" s="112" t="str">
        <f>IF(ISNUMBER(O1482),IF(AND(VLOOKUP($D1482,Merchantability!$B:$C,2,0)="Yes",$E1482&gt;=VLOOKUP($D1482,Merchantability!$B:$D,3,0),$E1482&lt;=VLOOKUP($D1482,Merchantability!$B:$E,4,0)),(AV1482*O1482)*(1-$H1482/100),""),"")</f>
        <v/>
      </c>
      <c r="AZ1482" s="116"/>
      <c r="BA1482" s="116"/>
      <c r="BB1482" s="116"/>
      <c r="BE1482" s="62"/>
      <c r="BF1482" s="63"/>
    </row>
    <row r="1483" spans="1:58" ht="12.75" customHeight="1" x14ac:dyDescent="0.25">
      <c r="A1483" s="333"/>
      <c r="B1483" s="334"/>
      <c r="C1483" s="332"/>
      <c r="D1483" s="334"/>
      <c r="E1483" s="335"/>
      <c r="F1483" s="334"/>
      <c r="G1483" s="332"/>
      <c r="H1483" s="332"/>
      <c r="I1483" s="334"/>
      <c r="J1483" s="336"/>
      <c r="K1483" s="332"/>
      <c r="L1483" s="332"/>
      <c r="M1483" s="76"/>
      <c r="N1483" s="103" t="str">
        <f>IF(A1483="","",VLOOKUP(A1483,Stand!C:K,9,0))</f>
        <v/>
      </c>
      <c r="O1483" s="104" t="str">
        <f t="shared" si="659"/>
        <v/>
      </c>
      <c r="P1483" s="105" t="str">
        <f t="shared" si="660"/>
        <v/>
      </c>
      <c r="Q1483" s="105" t="str">
        <f t="shared" si="648"/>
        <v/>
      </c>
      <c r="R1483" s="103" t="str">
        <f t="shared" si="661"/>
        <v/>
      </c>
      <c r="S1483" s="103" t="str">
        <f t="shared" si="662"/>
        <v/>
      </c>
      <c r="T1483" s="106" t="str">
        <f t="shared" si="649"/>
        <v/>
      </c>
      <c r="U1483" s="106" t="str">
        <f t="shared" si="650"/>
        <v/>
      </c>
      <c r="V1483" s="106" t="str">
        <f t="shared" si="651"/>
        <v/>
      </c>
      <c r="W1483" s="105" t="str">
        <f t="shared" si="663"/>
        <v/>
      </c>
      <c r="X1483" s="104" t="str">
        <f t="shared" si="668"/>
        <v/>
      </c>
      <c r="Y1483" s="104" t="str">
        <f t="array" ref="Y1483">IFERROR(IF(ISNUMBER(O1483),IF(COUNT(IF(A1483=$A$2:$A$2427,IF(D1483=$D$2:$D$2427,IF($X$2:$X$2427&gt;0,1))))&gt;0,SUM(IF(A1483=$A$2:$A$2427,IF(D1483=$D$2:$D$2427,$X$2:$X$2427)))/COUNT(IF(A1483=$A$2:$A$2427,IF(D1483=$D$2:$D$2427,IF(ISNUMBER($X$2:$X$2427),1)))),0),""),0)</f>
        <v/>
      </c>
      <c r="Z1483" s="104" t="str">
        <f>IF(ISNUMBER(O1483),IF(I1483&gt;0,(10^(VLOOKUP(D1483,'Species Codes'!B:C,2,0)+VLOOKUP(D1483,'Species Codes'!B:D,3,0)*LOG(E1483)+VLOOKUP(D1483,'Species Codes'!B:E,4,0)*LOG(I1483))),0),"")</f>
        <v/>
      </c>
      <c r="AA1483" s="104" t="str">
        <f>IFERROR((VLOOKUP(D1483,'Species Codes'!B:G,6,0)*Z1483)/2000,"")</f>
        <v/>
      </c>
      <c r="AB1483" s="104" t="e">
        <f>IF(Z1483&gt;0,((IF(OR(D1483="DF",D1483="RA")=TRUE,EXP(VLOOKUP(D1483,'Species Codes'!B:I,8,0)+VLOOKUP(D1483,'Species Codes'!B:J,9,0)*(LN((E1483*2.54)))),IF(OR(D1483="PY",D1483="RC",D1483="WH",D1483="NF")=TRUE,VLOOKUP(D1483,'Species Codes'!B:I,8,0)+VLOOKUP(D1483,'Species Codes'!B:J,9,0)*((E1483*2.54)^2)*(I1483*0.3048),IF(OR(D1483="MD",D1483="BM",D1483="GA")=TRUE,((VLOOKUP(D1483,'Species Codes'!B:I,8,0)*(((((E1483*2.54)+VLOOKUP(D1483,'Species Codes'!B:J,9,0))/VLOOKUP(D1483,'Species Codes'!B:K,10,0))^VLOOKUP(D1483,'Species Codes'!B:L,11,0))*((I1483*0.3048)^VLOOKUP(D1483,'Species Codes'!B:M,12,0))))-(VLOOKUP(D1483,'Species Codes'!B:I,8,0)*((((E1483*2.54)^VLOOKUP(D1483,'Species Codes'!B:L,11,0))*((I1483*0.3048)^VLOOKUP(D1483,'Species Codes'!B:M,12,0))))))*35.3*VLOOKUP(D1483,'Species Codes'!B:G,6,0)/2.2046,VLOOKUP(D1483,'Species Codes'!B:I,8,0)+VLOOKUP(D1483,'Species Codes'!B:J,9,0)*(((E1483*2.54)/100)^2)*(I1483*0.3048)))))*0.0011023),0)</f>
        <v>#N/A</v>
      </c>
      <c r="AC1483" s="104" t="e">
        <f>IF(Z1483&gt;0,((IF(OR(D1483="RA",D1483="OA",D1483="OT",D1483="UN",D1483="PC"),EXP(VLOOKUP(D1483,'Species Codes'!B:O,14,0)+VLOOKUP(D1483,'Species Codes'!B:P,15,0)*LN((E1483*2.54)))-EXP(VLOOKUP(D1483,'Species Codes'!B:O,14,0)+VLOOKUP(D1483,'Species Codes'!B:P,15,0)*LN((E1483*2.54)))*(1/(VLOOKUP(D1483,'Species Codes'!B:Q,16,0)+VLOOKUP(D1483,'Species Codes'!B:R,17,0)*((E1483*2.54)^VLOOKUP(D1483,'Species Codes'!B:S,18,0)))),IF(OR(D1483="BM",D1483="MD",D1483="OA"),EXP(VLOOKUP(D1483,'Species Codes'!B:O,14,0)+VLOOKUP(D1483,'Species Codes'!B:P,15,0)*LN((E1483*2.54)))*(1-(1/(VLOOKUP(D1483,'Species Codes'!B:Q,16,0)+VLOOKUP(D1483,'Species Codes'!B:R,17,0)*((E1483*2.54)^VLOOKUP(D1483,'Species Codes'!B:S,18,0)))))/1000,IF(D1483="DF",EXP(VLOOKUP(D1483,'Species Codes'!B:O,14,0)+VLOOKUP(D1483,'Species Codes'!B:P,15,0)*LN((E1483*2.54))),VLOOKUP(D1483,'Species Codes'!B:O,14,0)+VLOOKUP(D1483,'Species Codes'!B:P,15,0)*(((E1483*2.54)/100)^2)*(I1483*0.3048)))))*0.0011023),0)</f>
        <v>#N/A</v>
      </c>
      <c r="AD1483" s="104" t="e">
        <f t="shared" si="652"/>
        <v>#N/A</v>
      </c>
      <c r="AE1483" s="104" t="e">
        <f t="shared" si="653"/>
        <v>#N/A</v>
      </c>
      <c r="AF1483" s="104" t="e">
        <f>IF(AND(VLOOKUP($D1483,Merchantability!$B:$C,2,0)="Yes",$E1483&gt;=VLOOKUP($D1483,Merchantability!$B:$D,3,0),$E1483&lt;=VLOOKUP($D1483,Merchantability!$B:$E,4,0)),AA1483,0)</f>
        <v>#N/A</v>
      </c>
      <c r="AG1483" s="104" t="e">
        <f>IF(AND(VLOOKUP($D1483,Merchantability!$B:$C,2,0)="Yes",$E1483&gt;=VLOOKUP($D1483,Merchantability!$B:$D,3,0),$E1483&lt;=VLOOKUP($D1483,Merchantability!$B:$E,4,0)),AB1483,0)</f>
        <v>#N/A</v>
      </c>
      <c r="AH1483" s="104" t="e">
        <f>IF(AND(VLOOKUP($D1483,Merchantability!$B:$C,2,0)="Yes",$E1483&gt;=VLOOKUP($D1483,Merchantability!$B:$D,3,0),$E1483&lt;=VLOOKUP($D1483,Merchantability!$B:$E,4,0)),AC1483,0)</f>
        <v>#N/A</v>
      </c>
      <c r="AI1483" s="104" t="e">
        <f t="shared" si="654"/>
        <v>#N/A</v>
      </c>
      <c r="AJ1483" s="104" t="e">
        <f t="shared" si="655"/>
        <v>#VALUE!</v>
      </c>
      <c r="AK1483" s="104" t="e">
        <f t="shared" si="656"/>
        <v>#N/A</v>
      </c>
      <c r="AL1483" s="104" t="e">
        <f t="shared" si="657"/>
        <v>#N/A</v>
      </c>
      <c r="AM1483" s="104" t="e">
        <f t="shared" si="658"/>
        <v>#N/A</v>
      </c>
      <c r="AN1483" s="104" t="e">
        <f t="shared" si="669"/>
        <v>#N/A</v>
      </c>
      <c r="AO1483" s="104" t="e">
        <f t="shared" si="670"/>
        <v>#N/A</v>
      </c>
      <c r="AP1483" s="104" t="e">
        <f t="shared" si="671"/>
        <v>#N/A</v>
      </c>
      <c r="AQ1483" s="104" t="e">
        <f t="shared" si="672"/>
        <v>#N/A</v>
      </c>
      <c r="AR1483" s="105" t="str">
        <f t="shared" si="664"/>
        <v/>
      </c>
      <c r="AS1483" s="105" t="str">
        <f t="shared" si="665"/>
        <v/>
      </c>
      <c r="AT1483" s="108" t="str">
        <f t="shared" si="666"/>
        <v/>
      </c>
      <c r="AU1483" s="108" t="str">
        <f t="shared" si="667"/>
        <v/>
      </c>
      <c r="AV1483" s="107" t="str">
        <f>IF(ISNUMBER(O1483),IF(VLOOKUP($A1483,Stand!C:J,8,FALSE)="Short",AT1483,AU1483),"")</f>
        <v/>
      </c>
      <c r="AW1483" s="109" t="str">
        <f t="shared" si="673"/>
        <v/>
      </c>
      <c r="AX1483" s="109" t="str">
        <f t="shared" si="674"/>
        <v/>
      </c>
      <c r="AY1483" s="112" t="str">
        <f>IF(ISNUMBER(O1483),IF(AND(VLOOKUP($D1483,Merchantability!$B:$C,2,0)="Yes",$E1483&gt;=VLOOKUP($D1483,Merchantability!$B:$D,3,0),$E1483&lt;=VLOOKUP($D1483,Merchantability!$B:$E,4,0)),(AV1483*O1483)*(1-$H1483/100),""),"")</f>
        <v/>
      </c>
      <c r="AZ1483" s="116"/>
      <c r="BA1483" s="116"/>
      <c r="BB1483" s="116"/>
      <c r="BE1483" s="62"/>
      <c r="BF1483" s="63"/>
    </row>
    <row r="1484" spans="1:58" ht="12.75" customHeight="1" x14ac:dyDescent="0.25">
      <c r="A1484" s="333"/>
      <c r="B1484" s="334"/>
      <c r="C1484" s="332"/>
      <c r="D1484" s="334"/>
      <c r="E1484" s="335"/>
      <c r="F1484" s="334"/>
      <c r="G1484" s="332"/>
      <c r="H1484" s="332"/>
      <c r="I1484" s="334"/>
      <c r="J1484" s="336"/>
      <c r="K1484" s="332"/>
      <c r="L1484" s="332"/>
      <c r="M1484" s="76"/>
      <c r="N1484" s="103" t="str">
        <f>IF(A1484="","",VLOOKUP(A1484,Stand!C:K,9,0))</f>
        <v/>
      </c>
      <c r="O1484" s="104" t="str">
        <f t="shared" si="659"/>
        <v/>
      </c>
      <c r="P1484" s="105" t="str">
        <f t="shared" si="660"/>
        <v/>
      </c>
      <c r="Q1484" s="105" t="str">
        <f t="shared" si="648"/>
        <v/>
      </c>
      <c r="R1484" s="103" t="str">
        <f t="shared" si="661"/>
        <v/>
      </c>
      <c r="S1484" s="103" t="str">
        <f t="shared" si="662"/>
        <v/>
      </c>
      <c r="T1484" s="106" t="str">
        <f t="shared" si="649"/>
        <v/>
      </c>
      <c r="U1484" s="106" t="str">
        <f t="shared" si="650"/>
        <v/>
      </c>
      <c r="V1484" s="106" t="str">
        <f t="shared" si="651"/>
        <v/>
      </c>
      <c r="W1484" s="105" t="str">
        <f t="shared" si="663"/>
        <v/>
      </c>
      <c r="X1484" s="104" t="str">
        <f t="shared" si="668"/>
        <v/>
      </c>
      <c r="Y1484" s="104" t="str">
        <f t="array" ref="Y1484">IFERROR(IF(ISNUMBER(O1484),IF(COUNT(IF(A1484=$A$2:$A$2427,IF(D1484=$D$2:$D$2427,IF($X$2:$X$2427&gt;0,1))))&gt;0,SUM(IF(A1484=$A$2:$A$2427,IF(D1484=$D$2:$D$2427,$X$2:$X$2427)))/COUNT(IF(A1484=$A$2:$A$2427,IF(D1484=$D$2:$D$2427,IF(ISNUMBER($X$2:$X$2427),1)))),0),""),0)</f>
        <v/>
      </c>
      <c r="Z1484" s="104" t="str">
        <f>IF(ISNUMBER(O1484),IF(I1484&gt;0,(10^(VLOOKUP(D1484,'Species Codes'!B:C,2,0)+VLOOKUP(D1484,'Species Codes'!B:D,3,0)*LOG(E1484)+VLOOKUP(D1484,'Species Codes'!B:E,4,0)*LOG(I1484))),0),"")</f>
        <v/>
      </c>
      <c r="AA1484" s="104" t="str">
        <f>IFERROR((VLOOKUP(D1484,'Species Codes'!B:G,6,0)*Z1484)/2000,"")</f>
        <v/>
      </c>
      <c r="AB1484" s="104" t="e">
        <f>IF(Z1484&gt;0,((IF(OR(D1484="DF",D1484="RA")=TRUE,EXP(VLOOKUP(D1484,'Species Codes'!B:I,8,0)+VLOOKUP(D1484,'Species Codes'!B:J,9,0)*(LN((E1484*2.54)))),IF(OR(D1484="PY",D1484="RC",D1484="WH",D1484="NF")=TRUE,VLOOKUP(D1484,'Species Codes'!B:I,8,0)+VLOOKUP(D1484,'Species Codes'!B:J,9,0)*((E1484*2.54)^2)*(I1484*0.3048),IF(OR(D1484="MD",D1484="BM",D1484="GA")=TRUE,((VLOOKUP(D1484,'Species Codes'!B:I,8,0)*(((((E1484*2.54)+VLOOKUP(D1484,'Species Codes'!B:J,9,0))/VLOOKUP(D1484,'Species Codes'!B:K,10,0))^VLOOKUP(D1484,'Species Codes'!B:L,11,0))*((I1484*0.3048)^VLOOKUP(D1484,'Species Codes'!B:M,12,0))))-(VLOOKUP(D1484,'Species Codes'!B:I,8,0)*((((E1484*2.54)^VLOOKUP(D1484,'Species Codes'!B:L,11,0))*((I1484*0.3048)^VLOOKUP(D1484,'Species Codes'!B:M,12,0))))))*35.3*VLOOKUP(D1484,'Species Codes'!B:G,6,0)/2.2046,VLOOKUP(D1484,'Species Codes'!B:I,8,0)+VLOOKUP(D1484,'Species Codes'!B:J,9,0)*(((E1484*2.54)/100)^2)*(I1484*0.3048)))))*0.0011023),0)</f>
        <v>#N/A</v>
      </c>
      <c r="AC1484" s="104" t="e">
        <f>IF(Z1484&gt;0,((IF(OR(D1484="RA",D1484="OA",D1484="OT",D1484="UN",D1484="PC"),EXP(VLOOKUP(D1484,'Species Codes'!B:O,14,0)+VLOOKUP(D1484,'Species Codes'!B:P,15,0)*LN((E1484*2.54)))-EXP(VLOOKUP(D1484,'Species Codes'!B:O,14,0)+VLOOKUP(D1484,'Species Codes'!B:P,15,0)*LN((E1484*2.54)))*(1/(VLOOKUP(D1484,'Species Codes'!B:Q,16,0)+VLOOKUP(D1484,'Species Codes'!B:R,17,0)*((E1484*2.54)^VLOOKUP(D1484,'Species Codes'!B:S,18,0)))),IF(OR(D1484="BM",D1484="MD",D1484="OA"),EXP(VLOOKUP(D1484,'Species Codes'!B:O,14,0)+VLOOKUP(D1484,'Species Codes'!B:P,15,0)*LN((E1484*2.54)))*(1-(1/(VLOOKUP(D1484,'Species Codes'!B:Q,16,0)+VLOOKUP(D1484,'Species Codes'!B:R,17,0)*((E1484*2.54)^VLOOKUP(D1484,'Species Codes'!B:S,18,0)))))/1000,IF(D1484="DF",EXP(VLOOKUP(D1484,'Species Codes'!B:O,14,0)+VLOOKUP(D1484,'Species Codes'!B:P,15,0)*LN((E1484*2.54))),VLOOKUP(D1484,'Species Codes'!B:O,14,0)+VLOOKUP(D1484,'Species Codes'!B:P,15,0)*(((E1484*2.54)/100)^2)*(I1484*0.3048)))))*0.0011023),0)</f>
        <v>#N/A</v>
      </c>
      <c r="AD1484" s="104" t="e">
        <f t="shared" si="652"/>
        <v>#N/A</v>
      </c>
      <c r="AE1484" s="104" t="e">
        <f t="shared" si="653"/>
        <v>#N/A</v>
      </c>
      <c r="AF1484" s="104" t="e">
        <f>IF(AND(VLOOKUP($D1484,Merchantability!$B:$C,2,0)="Yes",$E1484&gt;=VLOOKUP($D1484,Merchantability!$B:$D,3,0),$E1484&lt;=VLOOKUP($D1484,Merchantability!$B:$E,4,0)),AA1484,0)</f>
        <v>#N/A</v>
      </c>
      <c r="AG1484" s="104" t="e">
        <f>IF(AND(VLOOKUP($D1484,Merchantability!$B:$C,2,0)="Yes",$E1484&gt;=VLOOKUP($D1484,Merchantability!$B:$D,3,0),$E1484&lt;=VLOOKUP($D1484,Merchantability!$B:$E,4,0)),AB1484,0)</f>
        <v>#N/A</v>
      </c>
      <c r="AH1484" s="104" t="e">
        <f>IF(AND(VLOOKUP($D1484,Merchantability!$B:$C,2,0)="Yes",$E1484&gt;=VLOOKUP($D1484,Merchantability!$B:$D,3,0),$E1484&lt;=VLOOKUP($D1484,Merchantability!$B:$E,4,0)),AC1484,0)</f>
        <v>#N/A</v>
      </c>
      <c r="AI1484" s="104" t="e">
        <f t="shared" si="654"/>
        <v>#N/A</v>
      </c>
      <c r="AJ1484" s="104" t="e">
        <f t="shared" si="655"/>
        <v>#VALUE!</v>
      </c>
      <c r="AK1484" s="104" t="e">
        <f t="shared" si="656"/>
        <v>#N/A</v>
      </c>
      <c r="AL1484" s="104" t="e">
        <f t="shared" si="657"/>
        <v>#N/A</v>
      </c>
      <c r="AM1484" s="104" t="e">
        <f t="shared" si="658"/>
        <v>#N/A</v>
      </c>
      <c r="AN1484" s="104" t="e">
        <f t="shared" si="669"/>
        <v>#N/A</v>
      </c>
      <c r="AO1484" s="104" t="e">
        <f t="shared" si="670"/>
        <v>#N/A</v>
      </c>
      <c r="AP1484" s="104" t="e">
        <f t="shared" si="671"/>
        <v>#N/A</v>
      </c>
      <c r="AQ1484" s="104" t="e">
        <f t="shared" si="672"/>
        <v>#N/A</v>
      </c>
      <c r="AR1484" s="105" t="str">
        <f t="shared" si="664"/>
        <v/>
      </c>
      <c r="AS1484" s="105" t="str">
        <f t="shared" si="665"/>
        <v/>
      </c>
      <c r="AT1484" s="108" t="str">
        <f t="shared" si="666"/>
        <v/>
      </c>
      <c r="AU1484" s="108" t="str">
        <f t="shared" si="667"/>
        <v/>
      </c>
      <c r="AV1484" s="107" t="str">
        <f>IF(ISNUMBER(O1484),IF(VLOOKUP($A1484,Stand!C:J,8,FALSE)="Short",AT1484,AU1484),"")</f>
        <v/>
      </c>
      <c r="AW1484" s="109" t="str">
        <f t="shared" si="673"/>
        <v/>
      </c>
      <c r="AX1484" s="109" t="str">
        <f t="shared" si="674"/>
        <v/>
      </c>
      <c r="AY1484" s="112" t="str">
        <f>IF(ISNUMBER(O1484),IF(AND(VLOOKUP($D1484,Merchantability!$B:$C,2,0)="Yes",$E1484&gt;=VLOOKUP($D1484,Merchantability!$B:$D,3,0),$E1484&lt;=VLOOKUP($D1484,Merchantability!$B:$E,4,0)),(AV1484*O1484)*(1-$H1484/100),""),"")</f>
        <v/>
      </c>
      <c r="AZ1484" s="116"/>
      <c r="BA1484" s="116"/>
      <c r="BB1484" s="116"/>
      <c r="BE1484" s="62"/>
      <c r="BF1484" s="63"/>
    </row>
    <row r="1485" spans="1:58" ht="12.75" customHeight="1" x14ac:dyDescent="0.25">
      <c r="A1485" s="333"/>
      <c r="B1485" s="334"/>
      <c r="C1485" s="332"/>
      <c r="D1485" s="334"/>
      <c r="E1485" s="335"/>
      <c r="F1485" s="334"/>
      <c r="G1485" s="332"/>
      <c r="H1485" s="332"/>
      <c r="I1485" s="334"/>
      <c r="J1485" s="336"/>
      <c r="K1485" s="332"/>
      <c r="L1485" s="332"/>
      <c r="M1485" s="76"/>
      <c r="N1485" s="103" t="str">
        <f>IF(A1485="","",VLOOKUP(A1485,Stand!C:K,9,0))</f>
        <v/>
      </c>
      <c r="O1485" s="104" t="str">
        <f t="shared" si="659"/>
        <v/>
      </c>
      <c r="P1485" s="105" t="str">
        <f t="shared" si="660"/>
        <v/>
      </c>
      <c r="Q1485" s="105" t="str">
        <f t="shared" si="648"/>
        <v/>
      </c>
      <c r="R1485" s="103" t="str">
        <f t="shared" si="661"/>
        <v/>
      </c>
      <c r="S1485" s="103" t="str">
        <f t="shared" si="662"/>
        <v/>
      </c>
      <c r="T1485" s="106" t="str">
        <f t="shared" si="649"/>
        <v/>
      </c>
      <c r="U1485" s="106" t="str">
        <f t="shared" si="650"/>
        <v/>
      </c>
      <c r="V1485" s="106" t="str">
        <f t="shared" si="651"/>
        <v/>
      </c>
      <c r="W1485" s="105" t="str">
        <f t="shared" si="663"/>
        <v/>
      </c>
      <c r="X1485" s="104" t="str">
        <f t="shared" si="668"/>
        <v/>
      </c>
      <c r="Y1485" s="104" t="str">
        <f t="array" ref="Y1485">IFERROR(IF(ISNUMBER(O1485),IF(COUNT(IF(A1485=$A$2:$A$2427,IF(D1485=$D$2:$D$2427,IF($X$2:$X$2427&gt;0,1))))&gt;0,SUM(IF(A1485=$A$2:$A$2427,IF(D1485=$D$2:$D$2427,$X$2:$X$2427)))/COUNT(IF(A1485=$A$2:$A$2427,IF(D1485=$D$2:$D$2427,IF(ISNUMBER($X$2:$X$2427),1)))),0),""),0)</f>
        <v/>
      </c>
      <c r="Z1485" s="104" t="str">
        <f>IF(ISNUMBER(O1485),IF(I1485&gt;0,(10^(VLOOKUP(D1485,'Species Codes'!B:C,2,0)+VLOOKUP(D1485,'Species Codes'!B:D,3,0)*LOG(E1485)+VLOOKUP(D1485,'Species Codes'!B:E,4,0)*LOG(I1485))),0),"")</f>
        <v/>
      </c>
      <c r="AA1485" s="104" t="str">
        <f>IFERROR((VLOOKUP(D1485,'Species Codes'!B:G,6,0)*Z1485)/2000,"")</f>
        <v/>
      </c>
      <c r="AB1485" s="104" t="e">
        <f>IF(Z1485&gt;0,((IF(OR(D1485="DF",D1485="RA")=TRUE,EXP(VLOOKUP(D1485,'Species Codes'!B:I,8,0)+VLOOKUP(D1485,'Species Codes'!B:J,9,0)*(LN((E1485*2.54)))),IF(OR(D1485="PY",D1485="RC",D1485="WH",D1485="NF")=TRUE,VLOOKUP(D1485,'Species Codes'!B:I,8,0)+VLOOKUP(D1485,'Species Codes'!B:J,9,0)*((E1485*2.54)^2)*(I1485*0.3048),IF(OR(D1485="MD",D1485="BM",D1485="GA")=TRUE,((VLOOKUP(D1485,'Species Codes'!B:I,8,0)*(((((E1485*2.54)+VLOOKUP(D1485,'Species Codes'!B:J,9,0))/VLOOKUP(D1485,'Species Codes'!B:K,10,0))^VLOOKUP(D1485,'Species Codes'!B:L,11,0))*((I1485*0.3048)^VLOOKUP(D1485,'Species Codes'!B:M,12,0))))-(VLOOKUP(D1485,'Species Codes'!B:I,8,0)*((((E1485*2.54)^VLOOKUP(D1485,'Species Codes'!B:L,11,0))*((I1485*0.3048)^VLOOKUP(D1485,'Species Codes'!B:M,12,0))))))*35.3*VLOOKUP(D1485,'Species Codes'!B:G,6,0)/2.2046,VLOOKUP(D1485,'Species Codes'!B:I,8,0)+VLOOKUP(D1485,'Species Codes'!B:J,9,0)*(((E1485*2.54)/100)^2)*(I1485*0.3048)))))*0.0011023),0)</f>
        <v>#N/A</v>
      </c>
      <c r="AC1485" s="104" t="e">
        <f>IF(Z1485&gt;0,((IF(OR(D1485="RA",D1485="OA",D1485="OT",D1485="UN",D1485="PC"),EXP(VLOOKUP(D1485,'Species Codes'!B:O,14,0)+VLOOKUP(D1485,'Species Codes'!B:P,15,0)*LN((E1485*2.54)))-EXP(VLOOKUP(D1485,'Species Codes'!B:O,14,0)+VLOOKUP(D1485,'Species Codes'!B:P,15,0)*LN((E1485*2.54)))*(1/(VLOOKUP(D1485,'Species Codes'!B:Q,16,0)+VLOOKUP(D1485,'Species Codes'!B:R,17,0)*((E1485*2.54)^VLOOKUP(D1485,'Species Codes'!B:S,18,0)))),IF(OR(D1485="BM",D1485="MD",D1485="OA"),EXP(VLOOKUP(D1485,'Species Codes'!B:O,14,0)+VLOOKUP(D1485,'Species Codes'!B:P,15,0)*LN((E1485*2.54)))*(1-(1/(VLOOKUP(D1485,'Species Codes'!B:Q,16,0)+VLOOKUP(D1485,'Species Codes'!B:R,17,0)*((E1485*2.54)^VLOOKUP(D1485,'Species Codes'!B:S,18,0)))))/1000,IF(D1485="DF",EXP(VLOOKUP(D1485,'Species Codes'!B:O,14,0)+VLOOKUP(D1485,'Species Codes'!B:P,15,0)*LN((E1485*2.54))),VLOOKUP(D1485,'Species Codes'!B:O,14,0)+VLOOKUP(D1485,'Species Codes'!B:P,15,0)*(((E1485*2.54)/100)^2)*(I1485*0.3048)))))*0.0011023),0)</f>
        <v>#N/A</v>
      </c>
      <c r="AD1485" s="104" t="e">
        <f t="shared" si="652"/>
        <v>#N/A</v>
      </c>
      <c r="AE1485" s="104" t="e">
        <f t="shared" si="653"/>
        <v>#N/A</v>
      </c>
      <c r="AF1485" s="104" t="e">
        <f>IF(AND(VLOOKUP($D1485,Merchantability!$B:$C,2,0)="Yes",$E1485&gt;=VLOOKUP($D1485,Merchantability!$B:$D,3,0),$E1485&lt;=VLOOKUP($D1485,Merchantability!$B:$E,4,0)),AA1485,0)</f>
        <v>#N/A</v>
      </c>
      <c r="AG1485" s="104" t="e">
        <f>IF(AND(VLOOKUP($D1485,Merchantability!$B:$C,2,0)="Yes",$E1485&gt;=VLOOKUP($D1485,Merchantability!$B:$D,3,0),$E1485&lt;=VLOOKUP($D1485,Merchantability!$B:$E,4,0)),AB1485,0)</f>
        <v>#N/A</v>
      </c>
      <c r="AH1485" s="104" t="e">
        <f>IF(AND(VLOOKUP($D1485,Merchantability!$B:$C,2,0)="Yes",$E1485&gt;=VLOOKUP($D1485,Merchantability!$B:$D,3,0),$E1485&lt;=VLOOKUP($D1485,Merchantability!$B:$E,4,0)),AC1485,0)</f>
        <v>#N/A</v>
      </c>
      <c r="AI1485" s="104" t="e">
        <f t="shared" si="654"/>
        <v>#N/A</v>
      </c>
      <c r="AJ1485" s="104" t="e">
        <f t="shared" si="655"/>
        <v>#VALUE!</v>
      </c>
      <c r="AK1485" s="104" t="e">
        <f t="shared" si="656"/>
        <v>#N/A</v>
      </c>
      <c r="AL1485" s="104" t="e">
        <f t="shared" si="657"/>
        <v>#N/A</v>
      </c>
      <c r="AM1485" s="104" t="e">
        <f t="shared" si="658"/>
        <v>#N/A</v>
      </c>
      <c r="AN1485" s="104" t="e">
        <f t="shared" si="669"/>
        <v>#N/A</v>
      </c>
      <c r="AO1485" s="104" t="e">
        <f t="shared" si="670"/>
        <v>#N/A</v>
      </c>
      <c r="AP1485" s="104" t="e">
        <f t="shared" si="671"/>
        <v>#N/A</v>
      </c>
      <c r="AQ1485" s="104" t="e">
        <f t="shared" si="672"/>
        <v>#N/A</v>
      </c>
      <c r="AR1485" s="105" t="str">
        <f t="shared" si="664"/>
        <v/>
      </c>
      <c r="AS1485" s="105" t="str">
        <f t="shared" si="665"/>
        <v/>
      </c>
      <c r="AT1485" s="108" t="str">
        <f t="shared" si="666"/>
        <v/>
      </c>
      <c r="AU1485" s="108" t="str">
        <f t="shared" si="667"/>
        <v/>
      </c>
      <c r="AV1485" s="107" t="str">
        <f>IF(ISNUMBER(O1485),IF(VLOOKUP($A1485,Stand!C:J,8,FALSE)="Short",AT1485,AU1485),"")</f>
        <v/>
      </c>
      <c r="AW1485" s="109" t="str">
        <f t="shared" si="673"/>
        <v/>
      </c>
      <c r="AX1485" s="109" t="str">
        <f t="shared" si="674"/>
        <v/>
      </c>
      <c r="AY1485" s="112" t="str">
        <f>IF(ISNUMBER(O1485),IF(AND(VLOOKUP($D1485,Merchantability!$B:$C,2,0)="Yes",$E1485&gt;=VLOOKUP($D1485,Merchantability!$B:$D,3,0),$E1485&lt;=VLOOKUP($D1485,Merchantability!$B:$E,4,0)),(AV1485*O1485)*(1-$H1485/100),""),"")</f>
        <v/>
      </c>
      <c r="AZ1485" s="116"/>
      <c r="BA1485" s="116"/>
      <c r="BB1485" s="116"/>
      <c r="BE1485" s="62"/>
      <c r="BF1485" s="63"/>
    </row>
    <row r="1486" spans="1:58" ht="12.75" customHeight="1" x14ac:dyDescent="0.25">
      <c r="A1486" s="333"/>
      <c r="B1486" s="334"/>
      <c r="C1486" s="332"/>
      <c r="D1486" s="334"/>
      <c r="E1486" s="335"/>
      <c r="F1486" s="334"/>
      <c r="G1486" s="332"/>
      <c r="H1486" s="332"/>
      <c r="I1486" s="334"/>
      <c r="J1486" s="336"/>
      <c r="K1486" s="332"/>
      <c r="L1486" s="332"/>
      <c r="M1486" s="76"/>
      <c r="N1486" s="103" t="str">
        <f>IF(A1486="","",VLOOKUP(A1486,Stand!C:K,9,0))</f>
        <v/>
      </c>
      <c r="O1486" s="104" t="str">
        <f t="shared" si="659"/>
        <v/>
      </c>
      <c r="P1486" s="105" t="str">
        <f t="shared" si="660"/>
        <v/>
      </c>
      <c r="Q1486" s="105" t="str">
        <f t="shared" si="648"/>
        <v/>
      </c>
      <c r="R1486" s="103" t="str">
        <f t="shared" si="661"/>
        <v/>
      </c>
      <c r="S1486" s="103" t="str">
        <f t="shared" si="662"/>
        <v/>
      </c>
      <c r="T1486" s="106" t="str">
        <f t="shared" si="649"/>
        <v/>
      </c>
      <c r="U1486" s="106" t="str">
        <f t="shared" si="650"/>
        <v/>
      </c>
      <c r="V1486" s="106" t="str">
        <f t="shared" si="651"/>
        <v/>
      </c>
      <c r="W1486" s="105" t="str">
        <f t="shared" si="663"/>
        <v/>
      </c>
      <c r="X1486" s="104" t="str">
        <f t="shared" si="668"/>
        <v/>
      </c>
      <c r="Y1486" s="104" t="str">
        <f t="array" ref="Y1486">IFERROR(IF(ISNUMBER(O1486),IF(COUNT(IF(A1486=$A$2:$A$2427,IF(D1486=$D$2:$D$2427,IF($X$2:$X$2427&gt;0,1))))&gt;0,SUM(IF(A1486=$A$2:$A$2427,IF(D1486=$D$2:$D$2427,$X$2:$X$2427)))/COUNT(IF(A1486=$A$2:$A$2427,IF(D1486=$D$2:$D$2427,IF(ISNUMBER($X$2:$X$2427),1)))),0),""),0)</f>
        <v/>
      </c>
      <c r="Z1486" s="104" t="str">
        <f>IF(ISNUMBER(O1486),IF(I1486&gt;0,(10^(VLOOKUP(D1486,'Species Codes'!B:C,2,0)+VLOOKUP(D1486,'Species Codes'!B:D,3,0)*LOG(E1486)+VLOOKUP(D1486,'Species Codes'!B:E,4,0)*LOG(I1486))),0),"")</f>
        <v/>
      </c>
      <c r="AA1486" s="104" t="str">
        <f>IFERROR((VLOOKUP(D1486,'Species Codes'!B:G,6,0)*Z1486)/2000,"")</f>
        <v/>
      </c>
      <c r="AB1486" s="104" t="e">
        <f>IF(Z1486&gt;0,((IF(OR(D1486="DF",D1486="RA")=TRUE,EXP(VLOOKUP(D1486,'Species Codes'!B:I,8,0)+VLOOKUP(D1486,'Species Codes'!B:J,9,0)*(LN((E1486*2.54)))),IF(OR(D1486="PY",D1486="RC",D1486="WH",D1486="NF")=TRUE,VLOOKUP(D1486,'Species Codes'!B:I,8,0)+VLOOKUP(D1486,'Species Codes'!B:J,9,0)*((E1486*2.54)^2)*(I1486*0.3048),IF(OR(D1486="MD",D1486="BM",D1486="GA")=TRUE,((VLOOKUP(D1486,'Species Codes'!B:I,8,0)*(((((E1486*2.54)+VLOOKUP(D1486,'Species Codes'!B:J,9,0))/VLOOKUP(D1486,'Species Codes'!B:K,10,0))^VLOOKUP(D1486,'Species Codes'!B:L,11,0))*((I1486*0.3048)^VLOOKUP(D1486,'Species Codes'!B:M,12,0))))-(VLOOKUP(D1486,'Species Codes'!B:I,8,0)*((((E1486*2.54)^VLOOKUP(D1486,'Species Codes'!B:L,11,0))*((I1486*0.3048)^VLOOKUP(D1486,'Species Codes'!B:M,12,0))))))*35.3*VLOOKUP(D1486,'Species Codes'!B:G,6,0)/2.2046,VLOOKUP(D1486,'Species Codes'!B:I,8,0)+VLOOKUP(D1486,'Species Codes'!B:J,9,0)*(((E1486*2.54)/100)^2)*(I1486*0.3048)))))*0.0011023),0)</f>
        <v>#N/A</v>
      </c>
      <c r="AC1486" s="104" t="e">
        <f>IF(Z1486&gt;0,((IF(OR(D1486="RA",D1486="OA",D1486="OT",D1486="UN",D1486="PC"),EXP(VLOOKUP(D1486,'Species Codes'!B:O,14,0)+VLOOKUP(D1486,'Species Codes'!B:P,15,0)*LN((E1486*2.54)))-EXP(VLOOKUP(D1486,'Species Codes'!B:O,14,0)+VLOOKUP(D1486,'Species Codes'!B:P,15,0)*LN((E1486*2.54)))*(1/(VLOOKUP(D1486,'Species Codes'!B:Q,16,0)+VLOOKUP(D1486,'Species Codes'!B:R,17,0)*((E1486*2.54)^VLOOKUP(D1486,'Species Codes'!B:S,18,0)))),IF(OR(D1486="BM",D1486="MD",D1486="OA"),EXP(VLOOKUP(D1486,'Species Codes'!B:O,14,0)+VLOOKUP(D1486,'Species Codes'!B:P,15,0)*LN((E1486*2.54)))*(1-(1/(VLOOKUP(D1486,'Species Codes'!B:Q,16,0)+VLOOKUP(D1486,'Species Codes'!B:R,17,0)*((E1486*2.54)^VLOOKUP(D1486,'Species Codes'!B:S,18,0)))))/1000,IF(D1486="DF",EXP(VLOOKUP(D1486,'Species Codes'!B:O,14,0)+VLOOKUP(D1486,'Species Codes'!B:P,15,0)*LN((E1486*2.54))),VLOOKUP(D1486,'Species Codes'!B:O,14,0)+VLOOKUP(D1486,'Species Codes'!B:P,15,0)*(((E1486*2.54)/100)^2)*(I1486*0.3048)))))*0.0011023),0)</f>
        <v>#N/A</v>
      </c>
      <c r="AD1486" s="104" t="e">
        <f t="shared" si="652"/>
        <v>#N/A</v>
      </c>
      <c r="AE1486" s="104" t="e">
        <f t="shared" si="653"/>
        <v>#N/A</v>
      </c>
      <c r="AF1486" s="104" t="e">
        <f>IF(AND(VLOOKUP($D1486,Merchantability!$B:$C,2,0)="Yes",$E1486&gt;=VLOOKUP($D1486,Merchantability!$B:$D,3,0),$E1486&lt;=VLOOKUP($D1486,Merchantability!$B:$E,4,0)),AA1486,0)</f>
        <v>#N/A</v>
      </c>
      <c r="AG1486" s="104" t="e">
        <f>IF(AND(VLOOKUP($D1486,Merchantability!$B:$C,2,0)="Yes",$E1486&gt;=VLOOKUP($D1486,Merchantability!$B:$D,3,0),$E1486&lt;=VLOOKUP($D1486,Merchantability!$B:$E,4,0)),AB1486,0)</f>
        <v>#N/A</v>
      </c>
      <c r="AH1486" s="104" t="e">
        <f>IF(AND(VLOOKUP($D1486,Merchantability!$B:$C,2,0)="Yes",$E1486&gt;=VLOOKUP($D1486,Merchantability!$B:$D,3,0),$E1486&lt;=VLOOKUP($D1486,Merchantability!$B:$E,4,0)),AC1486,0)</f>
        <v>#N/A</v>
      </c>
      <c r="AI1486" s="104" t="e">
        <f t="shared" si="654"/>
        <v>#N/A</v>
      </c>
      <c r="AJ1486" s="104" t="e">
        <f t="shared" si="655"/>
        <v>#VALUE!</v>
      </c>
      <c r="AK1486" s="104" t="e">
        <f t="shared" si="656"/>
        <v>#N/A</v>
      </c>
      <c r="AL1486" s="104" t="e">
        <f t="shared" si="657"/>
        <v>#N/A</v>
      </c>
      <c r="AM1486" s="104" t="e">
        <f t="shared" si="658"/>
        <v>#N/A</v>
      </c>
      <c r="AN1486" s="104" t="e">
        <f t="shared" si="669"/>
        <v>#N/A</v>
      </c>
      <c r="AO1486" s="104" t="e">
        <f t="shared" si="670"/>
        <v>#N/A</v>
      </c>
      <c r="AP1486" s="104" t="e">
        <f t="shared" si="671"/>
        <v>#N/A</v>
      </c>
      <c r="AQ1486" s="104" t="e">
        <f t="shared" si="672"/>
        <v>#N/A</v>
      </c>
      <c r="AR1486" s="105" t="str">
        <f t="shared" si="664"/>
        <v/>
      </c>
      <c r="AS1486" s="105" t="str">
        <f t="shared" si="665"/>
        <v/>
      </c>
      <c r="AT1486" s="108" t="str">
        <f t="shared" si="666"/>
        <v/>
      </c>
      <c r="AU1486" s="108" t="str">
        <f t="shared" si="667"/>
        <v/>
      </c>
      <c r="AV1486" s="107" t="str">
        <f>IF(ISNUMBER(O1486),IF(VLOOKUP($A1486,Stand!C:J,8,FALSE)="Short",AT1486,AU1486),"")</f>
        <v/>
      </c>
      <c r="AW1486" s="109" t="str">
        <f t="shared" si="673"/>
        <v/>
      </c>
      <c r="AX1486" s="109" t="str">
        <f t="shared" si="674"/>
        <v/>
      </c>
      <c r="AY1486" s="112" t="str">
        <f>IF(ISNUMBER(O1486),IF(AND(VLOOKUP($D1486,Merchantability!$B:$C,2,0)="Yes",$E1486&gt;=VLOOKUP($D1486,Merchantability!$B:$D,3,0),$E1486&lt;=VLOOKUP($D1486,Merchantability!$B:$E,4,0)),(AV1486*O1486)*(1-$H1486/100),""),"")</f>
        <v/>
      </c>
      <c r="AZ1486" s="116"/>
      <c r="BA1486" s="116"/>
      <c r="BB1486" s="116"/>
      <c r="BE1486" s="62"/>
      <c r="BF1486" s="63"/>
    </row>
    <row r="1487" spans="1:58" ht="12.75" customHeight="1" x14ac:dyDescent="0.25">
      <c r="A1487" s="333"/>
      <c r="B1487" s="334"/>
      <c r="C1487" s="332"/>
      <c r="D1487" s="334"/>
      <c r="E1487" s="335"/>
      <c r="F1487" s="334"/>
      <c r="G1487" s="332"/>
      <c r="H1487" s="332"/>
      <c r="I1487" s="334"/>
      <c r="J1487" s="336"/>
      <c r="K1487" s="332"/>
      <c r="L1487" s="332"/>
      <c r="M1487" s="76"/>
      <c r="N1487" s="103" t="str">
        <f>IF(A1487="","",VLOOKUP(A1487,Stand!C:K,9,0))</f>
        <v/>
      </c>
      <c r="O1487" s="104" t="str">
        <f t="shared" si="659"/>
        <v/>
      </c>
      <c r="P1487" s="105" t="str">
        <f t="shared" si="660"/>
        <v/>
      </c>
      <c r="Q1487" s="105" t="str">
        <f t="shared" si="648"/>
        <v/>
      </c>
      <c r="R1487" s="103" t="str">
        <f t="shared" si="661"/>
        <v/>
      </c>
      <c r="S1487" s="103" t="str">
        <f t="shared" si="662"/>
        <v/>
      </c>
      <c r="T1487" s="106" t="str">
        <f t="shared" si="649"/>
        <v/>
      </c>
      <c r="U1487" s="106" t="str">
        <f t="shared" si="650"/>
        <v/>
      </c>
      <c r="V1487" s="106" t="str">
        <f t="shared" si="651"/>
        <v/>
      </c>
      <c r="W1487" s="105" t="str">
        <f t="shared" si="663"/>
        <v/>
      </c>
      <c r="X1487" s="104" t="str">
        <f t="shared" si="668"/>
        <v/>
      </c>
      <c r="Y1487" s="104" t="str">
        <f t="array" ref="Y1487">IFERROR(IF(ISNUMBER(O1487),IF(COUNT(IF(A1487=$A$2:$A$2427,IF(D1487=$D$2:$D$2427,IF($X$2:$X$2427&gt;0,1))))&gt;0,SUM(IF(A1487=$A$2:$A$2427,IF(D1487=$D$2:$D$2427,$X$2:$X$2427)))/COUNT(IF(A1487=$A$2:$A$2427,IF(D1487=$D$2:$D$2427,IF(ISNUMBER($X$2:$X$2427),1)))),0),""),0)</f>
        <v/>
      </c>
      <c r="Z1487" s="104" t="str">
        <f>IF(ISNUMBER(O1487),IF(I1487&gt;0,(10^(VLOOKUP(D1487,'Species Codes'!B:C,2,0)+VLOOKUP(D1487,'Species Codes'!B:D,3,0)*LOG(E1487)+VLOOKUP(D1487,'Species Codes'!B:E,4,0)*LOG(I1487))),0),"")</f>
        <v/>
      </c>
      <c r="AA1487" s="104" t="str">
        <f>IFERROR((VLOOKUP(D1487,'Species Codes'!B:G,6,0)*Z1487)/2000,"")</f>
        <v/>
      </c>
      <c r="AB1487" s="104" t="e">
        <f>IF(Z1487&gt;0,((IF(OR(D1487="DF",D1487="RA")=TRUE,EXP(VLOOKUP(D1487,'Species Codes'!B:I,8,0)+VLOOKUP(D1487,'Species Codes'!B:J,9,0)*(LN((E1487*2.54)))),IF(OR(D1487="PY",D1487="RC",D1487="WH",D1487="NF")=TRUE,VLOOKUP(D1487,'Species Codes'!B:I,8,0)+VLOOKUP(D1487,'Species Codes'!B:J,9,0)*((E1487*2.54)^2)*(I1487*0.3048),IF(OR(D1487="MD",D1487="BM",D1487="GA")=TRUE,((VLOOKUP(D1487,'Species Codes'!B:I,8,0)*(((((E1487*2.54)+VLOOKUP(D1487,'Species Codes'!B:J,9,0))/VLOOKUP(D1487,'Species Codes'!B:K,10,0))^VLOOKUP(D1487,'Species Codes'!B:L,11,0))*((I1487*0.3048)^VLOOKUP(D1487,'Species Codes'!B:M,12,0))))-(VLOOKUP(D1487,'Species Codes'!B:I,8,0)*((((E1487*2.54)^VLOOKUP(D1487,'Species Codes'!B:L,11,0))*((I1487*0.3048)^VLOOKUP(D1487,'Species Codes'!B:M,12,0))))))*35.3*VLOOKUP(D1487,'Species Codes'!B:G,6,0)/2.2046,VLOOKUP(D1487,'Species Codes'!B:I,8,0)+VLOOKUP(D1487,'Species Codes'!B:J,9,0)*(((E1487*2.54)/100)^2)*(I1487*0.3048)))))*0.0011023),0)</f>
        <v>#N/A</v>
      </c>
      <c r="AC1487" s="104" t="e">
        <f>IF(Z1487&gt;0,((IF(OR(D1487="RA",D1487="OA",D1487="OT",D1487="UN",D1487="PC"),EXP(VLOOKUP(D1487,'Species Codes'!B:O,14,0)+VLOOKUP(D1487,'Species Codes'!B:P,15,0)*LN((E1487*2.54)))-EXP(VLOOKUP(D1487,'Species Codes'!B:O,14,0)+VLOOKUP(D1487,'Species Codes'!B:P,15,0)*LN((E1487*2.54)))*(1/(VLOOKUP(D1487,'Species Codes'!B:Q,16,0)+VLOOKUP(D1487,'Species Codes'!B:R,17,0)*((E1487*2.54)^VLOOKUP(D1487,'Species Codes'!B:S,18,0)))),IF(OR(D1487="BM",D1487="MD",D1487="OA"),EXP(VLOOKUP(D1487,'Species Codes'!B:O,14,0)+VLOOKUP(D1487,'Species Codes'!B:P,15,0)*LN((E1487*2.54)))*(1-(1/(VLOOKUP(D1487,'Species Codes'!B:Q,16,0)+VLOOKUP(D1487,'Species Codes'!B:R,17,0)*((E1487*2.54)^VLOOKUP(D1487,'Species Codes'!B:S,18,0)))))/1000,IF(D1487="DF",EXP(VLOOKUP(D1487,'Species Codes'!B:O,14,0)+VLOOKUP(D1487,'Species Codes'!B:P,15,0)*LN((E1487*2.54))),VLOOKUP(D1487,'Species Codes'!B:O,14,0)+VLOOKUP(D1487,'Species Codes'!B:P,15,0)*(((E1487*2.54)/100)^2)*(I1487*0.3048)))))*0.0011023),0)</f>
        <v>#N/A</v>
      </c>
      <c r="AD1487" s="104" t="e">
        <f t="shared" si="652"/>
        <v>#N/A</v>
      </c>
      <c r="AE1487" s="104" t="e">
        <f t="shared" si="653"/>
        <v>#N/A</v>
      </c>
      <c r="AF1487" s="104" t="e">
        <f>IF(AND(VLOOKUP($D1487,Merchantability!$B:$C,2,0)="Yes",$E1487&gt;=VLOOKUP($D1487,Merchantability!$B:$D,3,0),$E1487&lt;=VLOOKUP($D1487,Merchantability!$B:$E,4,0)),AA1487,0)</f>
        <v>#N/A</v>
      </c>
      <c r="AG1487" s="104" t="e">
        <f>IF(AND(VLOOKUP($D1487,Merchantability!$B:$C,2,0)="Yes",$E1487&gt;=VLOOKUP($D1487,Merchantability!$B:$D,3,0),$E1487&lt;=VLOOKUP($D1487,Merchantability!$B:$E,4,0)),AB1487,0)</f>
        <v>#N/A</v>
      </c>
      <c r="AH1487" s="104" t="e">
        <f>IF(AND(VLOOKUP($D1487,Merchantability!$B:$C,2,0)="Yes",$E1487&gt;=VLOOKUP($D1487,Merchantability!$B:$D,3,0),$E1487&lt;=VLOOKUP($D1487,Merchantability!$B:$E,4,0)),AC1487,0)</f>
        <v>#N/A</v>
      </c>
      <c r="AI1487" s="104" t="e">
        <f t="shared" si="654"/>
        <v>#N/A</v>
      </c>
      <c r="AJ1487" s="104" t="e">
        <f t="shared" si="655"/>
        <v>#VALUE!</v>
      </c>
      <c r="AK1487" s="104" t="e">
        <f t="shared" si="656"/>
        <v>#N/A</v>
      </c>
      <c r="AL1487" s="104" t="e">
        <f t="shared" si="657"/>
        <v>#N/A</v>
      </c>
      <c r="AM1487" s="104" t="e">
        <f t="shared" si="658"/>
        <v>#N/A</v>
      </c>
      <c r="AN1487" s="104" t="e">
        <f t="shared" si="669"/>
        <v>#N/A</v>
      </c>
      <c r="AO1487" s="104" t="e">
        <f t="shared" si="670"/>
        <v>#N/A</v>
      </c>
      <c r="AP1487" s="104" t="e">
        <f t="shared" si="671"/>
        <v>#N/A</v>
      </c>
      <c r="AQ1487" s="104" t="e">
        <f t="shared" si="672"/>
        <v>#N/A</v>
      </c>
      <c r="AR1487" s="105" t="str">
        <f t="shared" si="664"/>
        <v/>
      </c>
      <c r="AS1487" s="105" t="str">
        <f t="shared" si="665"/>
        <v/>
      </c>
      <c r="AT1487" s="108" t="str">
        <f t="shared" si="666"/>
        <v/>
      </c>
      <c r="AU1487" s="108" t="str">
        <f t="shared" si="667"/>
        <v/>
      </c>
      <c r="AV1487" s="107" t="str">
        <f>IF(ISNUMBER(O1487),IF(VLOOKUP($A1487,Stand!C:J,8,FALSE)="Short",AT1487,AU1487),"")</f>
        <v/>
      </c>
      <c r="AW1487" s="109" t="str">
        <f t="shared" si="673"/>
        <v/>
      </c>
      <c r="AX1487" s="109" t="str">
        <f t="shared" si="674"/>
        <v/>
      </c>
      <c r="AY1487" s="112" t="str">
        <f>IF(ISNUMBER(O1487),IF(AND(VLOOKUP($D1487,Merchantability!$B:$C,2,0)="Yes",$E1487&gt;=VLOOKUP($D1487,Merchantability!$B:$D,3,0),$E1487&lt;=VLOOKUP($D1487,Merchantability!$B:$E,4,0)),(AV1487*O1487)*(1-$H1487/100),""),"")</f>
        <v/>
      </c>
      <c r="AZ1487" s="116"/>
      <c r="BA1487" s="116"/>
      <c r="BB1487" s="116"/>
      <c r="BE1487" s="62"/>
      <c r="BF1487" s="63"/>
    </row>
    <row r="1488" spans="1:58" ht="12.75" customHeight="1" x14ac:dyDescent="0.25">
      <c r="A1488" s="333"/>
      <c r="B1488" s="334"/>
      <c r="C1488" s="332"/>
      <c r="D1488" s="334"/>
      <c r="E1488" s="335"/>
      <c r="F1488" s="334"/>
      <c r="G1488" s="332"/>
      <c r="H1488" s="332"/>
      <c r="I1488" s="334"/>
      <c r="J1488" s="336"/>
      <c r="K1488" s="332"/>
      <c r="L1488" s="332"/>
      <c r="M1488" s="76"/>
      <c r="N1488" s="103" t="str">
        <f>IF(A1488="","",VLOOKUP(A1488,Stand!C:K,9,0))</f>
        <v/>
      </c>
      <c r="O1488" s="104" t="str">
        <f t="shared" si="659"/>
        <v/>
      </c>
      <c r="P1488" s="105" t="str">
        <f t="shared" si="660"/>
        <v/>
      </c>
      <c r="Q1488" s="105" t="str">
        <f t="shared" si="648"/>
        <v/>
      </c>
      <c r="R1488" s="103" t="str">
        <f t="shared" si="661"/>
        <v/>
      </c>
      <c r="S1488" s="103" t="str">
        <f t="shared" si="662"/>
        <v/>
      </c>
      <c r="T1488" s="106" t="str">
        <f t="shared" si="649"/>
        <v/>
      </c>
      <c r="U1488" s="106" t="str">
        <f t="shared" si="650"/>
        <v/>
      </c>
      <c r="V1488" s="106" t="str">
        <f t="shared" si="651"/>
        <v/>
      </c>
      <c r="W1488" s="105" t="str">
        <f t="shared" si="663"/>
        <v/>
      </c>
      <c r="X1488" s="104" t="str">
        <f t="shared" si="668"/>
        <v/>
      </c>
      <c r="Y1488" s="104" t="str">
        <f t="array" ref="Y1488">IFERROR(IF(ISNUMBER(O1488),IF(COUNT(IF(A1488=$A$2:$A$2427,IF(D1488=$D$2:$D$2427,IF($X$2:$X$2427&gt;0,1))))&gt;0,SUM(IF(A1488=$A$2:$A$2427,IF(D1488=$D$2:$D$2427,$X$2:$X$2427)))/COUNT(IF(A1488=$A$2:$A$2427,IF(D1488=$D$2:$D$2427,IF(ISNUMBER($X$2:$X$2427),1)))),0),""),0)</f>
        <v/>
      </c>
      <c r="Z1488" s="104" t="str">
        <f>IF(ISNUMBER(O1488),IF(I1488&gt;0,(10^(VLOOKUP(D1488,'Species Codes'!B:C,2,0)+VLOOKUP(D1488,'Species Codes'!B:D,3,0)*LOG(E1488)+VLOOKUP(D1488,'Species Codes'!B:E,4,0)*LOG(I1488))),0),"")</f>
        <v/>
      </c>
      <c r="AA1488" s="104" t="str">
        <f>IFERROR((VLOOKUP(D1488,'Species Codes'!B:G,6,0)*Z1488)/2000,"")</f>
        <v/>
      </c>
      <c r="AB1488" s="104" t="e">
        <f>IF(Z1488&gt;0,((IF(OR(D1488="DF",D1488="RA")=TRUE,EXP(VLOOKUP(D1488,'Species Codes'!B:I,8,0)+VLOOKUP(D1488,'Species Codes'!B:J,9,0)*(LN((E1488*2.54)))),IF(OR(D1488="PY",D1488="RC",D1488="WH",D1488="NF")=TRUE,VLOOKUP(D1488,'Species Codes'!B:I,8,0)+VLOOKUP(D1488,'Species Codes'!B:J,9,0)*((E1488*2.54)^2)*(I1488*0.3048),IF(OR(D1488="MD",D1488="BM",D1488="GA")=TRUE,((VLOOKUP(D1488,'Species Codes'!B:I,8,0)*(((((E1488*2.54)+VLOOKUP(D1488,'Species Codes'!B:J,9,0))/VLOOKUP(D1488,'Species Codes'!B:K,10,0))^VLOOKUP(D1488,'Species Codes'!B:L,11,0))*((I1488*0.3048)^VLOOKUP(D1488,'Species Codes'!B:M,12,0))))-(VLOOKUP(D1488,'Species Codes'!B:I,8,0)*((((E1488*2.54)^VLOOKUP(D1488,'Species Codes'!B:L,11,0))*((I1488*0.3048)^VLOOKUP(D1488,'Species Codes'!B:M,12,0))))))*35.3*VLOOKUP(D1488,'Species Codes'!B:G,6,0)/2.2046,VLOOKUP(D1488,'Species Codes'!B:I,8,0)+VLOOKUP(D1488,'Species Codes'!B:J,9,0)*(((E1488*2.54)/100)^2)*(I1488*0.3048)))))*0.0011023),0)</f>
        <v>#N/A</v>
      </c>
      <c r="AC1488" s="104" t="e">
        <f>IF(Z1488&gt;0,((IF(OR(D1488="RA",D1488="OA",D1488="OT",D1488="UN",D1488="PC"),EXP(VLOOKUP(D1488,'Species Codes'!B:O,14,0)+VLOOKUP(D1488,'Species Codes'!B:P,15,0)*LN((E1488*2.54)))-EXP(VLOOKUP(D1488,'Species Codes'!B:O,14,0)+VLOOKUP(D1488,'Species Codes'!B:P,15,0)*LN((E1488*2.54)))*(1/(VLOOKUP(D1488,'Species Codes'!B:Q,16,0)+VLOOKUP(D1488,'Species Codes'!B:R,17,0)*((E1488*2.54)^VLOOKUP(D1488,'Species Codes'!B:S,18,0)))),IF(OR(D1488="BM",D1488="MD",D1488="OA"),EXP(VLOOKUP(D1488,'Species Codes'!B:O,14,0)+VLOOKUP(D1488,'Species Codes'!B:P,15,0)*LN((E1488*2.54)))*(1-(1/(VLOOKUP(D1488,'Species Codes'!B:Q,16,0)+VLOOKUP(D1488,'Species Codes'!B:R,17,0)*((E1488*2.54)^VLOOKUP(D1488,'Species Codes'!B:S,18,0)))))/1000,IF(D1488="DF",EXP(VLOOKUP(D1488,'Species Codes'!B:O,14,0)+VLOOKUP(D1488,'Species Codes'!B:P,15,0)*LN((E1488*2.54))),VLOOKUP(D1488,'Species Codes'!B:O,14,0)+VLOOKUP(D1488,'Species Codes'!B:P,15,0)*(((E1488*2.54)/100)^2)*(I1488*0.3048)))))*0.0011023),0)</f>
        <v>#N/A</v>
      </c>
      <c r="AD1488" s="104" t="e">
        <f t="shared" si="652"/>
        <v>#N/A</v>
      </c>
      <c r="AE1488" s="104" t="e">
        <f t="shared" si="653"/>
        <v>#N/A</v>
      </c>
      <c r="AF1488" s="104" t="e">
        <f>IF(AND(VLOOKUP($D1488,Merchantability!$B:$C,2,0)="Yes",$E1488&gt;=VLOOKUP($D1488,Merchantability!$B:$D,3,0),$E1488&lt;=VLOOKUP($D1488,Merchantability!$B:$E,4,0)),AA1488,0)</f>
        <v>#N/A</v>
      </c>
      <c r="AG1488" s="104" t="e">
        <f>IF(AND(VLOOKUP($D1488,Merchantability!$B:$C,2,0)="Yes",$E1488&gt;=VLOOKUP($D1488,Merchantability!$B:$D,3,0),$E1488&lt;=VLOOKUP($D1488,Merchantability!$B:$E,4,0)),AB1488,0)</f>
        <v>#N/A</v>
      </c>
      <c r="AH1488" s="104" t="e">
        <f>IF(AND(VLOOKUP($D1488,Merchantability!$B:$C,2,0)="Yes",$E1488&gt;=VLOOKUP($D1488,Merchantability!$B:$D,3,0),$E1488&lt;=VLOOKUP($D1488,Merchantability!$B:$E,4,0)),AC1488,0)</f>
        <v>#N/A</v>
      </c>
      <c r="AI1488" s="104" t="e">
        <f t="shared" si="654"/>
        <v>#N/A</v>
      </c>
      <c r="AJ1488" s="104" t="e">
        <f t="shared" si="655"/>
        <v>#VALUE!</v>
      </c>
      <c r="AK1488" s="104" t="e">
        <f t="shared" si="656"/>
        <v>#N/A</v>
      </c>
      <c r="AL1488" s="104" t="e">
        <f t="shared" si="657"/>
        <v>#N/A</v>
      </c>
      <c r="AM1488" s="104" t="e">
        <f t="shared" si="658"/>
        <v>#N/A</v>
      </c>
      <c r="AN1488" s="104" t="e">
        <f t="shared" si="669"/>
        <v>#N/A</v>
      </c>
      <c r="AO1488" s="104" t="e">
        <f t="shared" si="670"/>
        <v>#N/A</v>
      </c>
      <c r="AP1488" s="104" t="e">
        <f t="shared" si="671"/>
        <v>#N/A</v>
      </c>
      <c r="AQ1488" s="104" t="e">
        <f t="shared" si="672"/>
        <v>#N/A</v>
      </c>
      <c r="AR1488" s="105" t="str">
        <f t="shared" si="664"/>
        <v/>
      </c>
      <c r="AS1488" s="105" t="str">
        <f t="shared" si="665"/>
        <v/>
      </c>
      <c r="AT1488" s="108" t="str">
        <f t="shared" si="666"/>
        <v/>
      </c>
      <c r="AU1488" s="108" t="str">
        <f t="shared" si="667"/>
        <v/>
      </c>
      <c r="AV1488" s="107" t="str">
        <f>IF(ISNUMBER(O1488),IF(VLOOKUP($A1488,Stand!C:J,8,FALSE)="Short",AT1488,AU1488),"")</f>
        <v/>
      </c>
      <c r="AW1488" s="109" t="str">
        <f t="shared" si="673"/>
        <v/>
      </c>
      <c r="AX1488" s="109" t="str">
        <f t="shared" si="674"/>
        <v/>
      </c>
      <c r="AY1488" s="112" t="str">
        <f>IF(ISNUMBER(O1488),IF(AND(VLOOKUP($D1488,Merchantability!$B:$C,2,0)="Yes",$E1488&gt;=VLOOKUP($D1488,Merchantability!$B:$D,3,0),$E1488&lt;=VLOOKUP($D1488,Merchantability!$B:$E,4,0)),(AV1488*O1488)*(1-$H1488/100),""),"")</f>
        <v/>
      </c>
      <c r="AZ1488" s="116"/>
      <c r="BA1488" s="116"/>
      <c r="BB1488" s="116"/>
      <c r="BE1488" s="62"/>
      <c r="BF1488" s="63"/>
    </row>
    <row r="1489" spans="1:58" ht="12.75" customHeight="1" x14ac:dyDescent="0.25">
      <c r="A1489" s="333"/>
      <c r="B1489" s="334"/>
      <c r="C1489" s="332"/>
      <c r="D1489" s="334"/>
      <c r="E1489" s="335"/>
      <c r="F1489" s="334"/>
      <c r="G1489" s="332"/>
      <c r="H1489" s="332"/>
      <c r="I1489" s="334"/>
      <c r="J1489" s="336"/>
      <c r="K1489" s="332"/>
      <c r="L1489" s="332"/>
      <c r="M1489" s="76"/>
      <c r="N1489" s="103" t="str">
        <f>IF(A1489="","",VLOOKUP(A1489,Stand!C:K,9,0))</f>
        <v/>
      </c>
      <c r="O1489" s="104" t="str">
        <f t="shared" si="659"/>
        <v/>
      </c>
      <c r="P1489" s="105" t="str">
        <f t="shared" si="660"/>
        <v/>
      </c>
      <c r="Q1489" s="105" t="str">
        <f t="shared" si="648"/>
        <v/>
      </c>
      <c r="R1489" s="103" t="str">
        <f t="shared" si="661"/>
        <v/>
      </c>
      <c r="S1489" s="103" t="str">
        <f t="shared" si="662"/>
        <v/>
      </c>
      <c r="T1489" s="106" t="str">
        <f t="shared" si="649"/>
        <v/>
      </c>
      <c r="U1489" s="106" t="str">
        <f t="shared" si="650"/>
        <v/>
      </c>
      <c r="V1489" s="106" t="str">
        <f t="shared" si="651"/>
        <v/>
      </c>
      <c r="W1489" s="105" t="str">
        <f t="shared" si="663"/>
        <v/>
      </c>
      <c r="X1489" s="104" t="str">
        <f t="shared" si="668"/>
        <v/>
      </c>
      <c r="Y1489" s="104" t="str">
        <f t="array" ref="Y1489">IFERROR(IF(ISNUMBER(O1489),IF(COUNT(IF(A1489=$A$2:$A$2427,IF(D1489=$D$2:$D$2427,IF($X$2:$X$2427&gt;0,1))))&gt;0,SUM(IF(A1489=$A$2:$A$2427,IF(D1489=$D$2:$D$2427,$X$2:$X$2427)))/COUNT(IF(A1489=$A$2:$A$2427,IF(D1489=$D$2:$D$2427,IF(ISNUMBER($X$2:$X$2427),1)))),0),""),0)</f>
        <v/>
      </c>
      <c r="Z1489" s="104" t="str">
        <f>IF(ISNUMBER(O1489),IF(I1489&gt;0,(10^(VLOOKUP(D1489,'Species Codes'!B:C,2,0)+VLOOKUP(D1489,'Species Codes'!B:D,3,0)*LOG(E1489)+VLOOKUP(D1489,'Species Codes'!B:E,4,0)*LOG(I1489))),0),"")</f>
        <v/>
      </c>
      <c r="AA1489" s="104" t="str">
        <f>IFERROR((VLOOKUP(D1489,'Species Codes'!B:G,6,0)*Z1489)/2000,"")</f>
        <v/>
      </c>
      <c r="AB1489" s="104" t="e">
        <f>IF(Z1489&gt;0,((IF(OR(D1489="DF",D1489="RA")=TRUE,EXP(VLOOKUP(D1489,'Species Codes'!B:I,8,0)+VLOOKUP(D1489,'Species Codes'!B:J,9,0)*(LN((E1489*2.54)))),IF(OR(D1489="PY",D1489="RC",D1489="WH",D1489="NF")=TRUE,VLOOKUP(D1489,'Species Codes'!B:I,8,0)+VLOOKUP(D1489,'Species Codes'!B:J,9,0)*((E1489*2.54)^2)*(I1489*0.3048),IF(OR(D1489="MD",D1489="BM",D1489="GA")=TRUE,((VLOOKUP(D1489,'Species Codes'!B:I,8,0)*(((((E1489*2.54)+VLOOKUP(D1489,'Species Codes'!B:J,9,0))/VLOOKUP(D1489,'Species Codes'!B:K,10,0))^VLOOKUP(D1489,'Species Codes'!B:L,11,0))*((I1489*0.3048)^VLOOKUP(D1489,'Species Codes'!B:M,12,0))))-(VLOOKUP(D1489,'Species Codes'!B:I,8,0)*((((E1489*2.54)^VLOOKUP(D1489,'Species Codes'!B:L,11,0))*((I1489*0.3048)^VLOOKUP(D1489,'Species Codes'!B:M,12,0))))))*35.3*VLOOKUP(D1489,'Species Codes'!B:G,6,0)/2.2046,VLOOKUP(D1489,'Species Codes'!B:I,8,0)+VLOOKUP(D1489,'Species Codes'!B:J,9,0)*(((E1489*2.54)/100)^2)*(I1489*0.3048)))))*0.0011023),0)</f>
        <v>#N/A</v>
      </c>
      <c r="AC1489" s="104" t="e">
        <f>IF(Z1489&gt;0,((IF(OR(D1489="RA",D1489="OA",D1489="OT",D1489="UN",D1489="PC"),EXP(VLOOKUP(D1489,'Species Codes'!B:O,14,0)+VLOOKUP(D1489,'Species Codes'!B:P,15,0)*LN((E1489*2.54)))-EXP(VLOOKUP(D1489,'Species Codes'!B:O,14,0)+VLOOKUP(D1489,'Species Codes'!B:P,15,0)*LN((E1489*2.54)))*(1/(VLOOKUP(D1489,'Species Codes'!B:Q,16,0)+VLOOKUP(D1489,'Species Codes'!B:R,17,0)*((E1489*2.54)^VLOOKUP(D1489,'Species Codes'!B:S,18,0)))),IF(OR(D1489="BM",D1489="MD",D1489="OA"),EXP(VLOOKUP(D1489,'Species Codes'!B:O,14,0)+VLOOKUP(D1489,'Species Codes'!B:P,15,0)*LN((E1489*2.54)))*(1-(1/(VLOOKUP(D1489,'Species Codes'!B:Q,16,0)+VLOOKUP(D1489,'Species Codes'!B:R,17,0)*((E1489*2.54)^VLOOKUP(D1489,'Species Codes'!B:S,18,0)))))/1000,IF(D1489="DF",EXP(VLOOKUP(D1489,'Species Codes'!B:O,14,0)+VLOOKUP(D1489,'Species Codes'!B:P,15,0)*LN((E1489*2.54))),VLOOKUP(D1489,'Species Codes'!B:O,14,0)+VLOOKUP(D1489,'Species Codes'!B:P,15,0)*(((E1489*2.54)/100)^2)*(I1489*0.3048)))))*0.0011023),0)</f>
        <v>#N/A</v>
      </c>
      <c r="AD1489" s="104" t="e">
        <f t="shared" si="652"/>
        <v>#N/A</v>
      </c>
      <c r="AE1489" s="104" t="e">
        <f t="shared" si="653"/>
        <v>#N/A</v>
      </c>
      <c r="AF1489" s="104" t="e">
        <f>IF(AND(VLOOKUP($D1489,Merchantability!$B:$C,2,0)="Yes",$E1489&gt;=VLOOKUP($D1489,Merchantability!$B:$D,3,0),$E1489&lt;=VLOOKUP($D1489,Merchantability!$B:$E,4,0)),AA1489,0)</f>
        <v>#N/A</v>
      </c>
      <c r="AG1489" s="104" t="e">
        <f>IF(AND(VLOOKUP($D1489,Merchantability!$B:$C,2,0)="Yes",$E1489&gt;=VLOOKUP($D1489,Merchantability!$B:$D,3,0),$E1489&lt;=VLOOKUP($D1489,Merchantability!$B:$E,4,0)),AB1489,0)</f>
        <v>#N/A</v>
      </c>
      <c r="AH1489" s="104" t="e">
        <f>IF(AND(VLOOKUP($D1489,Merchantability!$B:$C,2,0)="Yes",$E1489&gt;=VLOOKUP($D1489,Merchantability!$B:$D,3,0),$E1489&lt;=VLOOKUP($D1489,Merchantability!$B:$E,4,0)),AC1489,0)</f>
        <v>#N/A</v>
      </c>
      <c r="AI1489" s="104" t="e">
        <f t="shared" si="654"/>
        <v>#N/A</v>
      </c>
      <c r="AJ1489" s="104" t="e">
        <f t="shared" si="655"/>
        <v>#VALUE!</v>
      </c>
      <c r="AK1489" s="104" t="e">
        <f t="shared" si="656"/>
        <v>#N/A</v>
      </c>
      <c r="AL1489" s="104" t="e">
        <f t="shared" si="657"/>
        <v>#N/A</v>
      </c>
      <c r="AM1489" s="104" t="e">
        <f t="shared" si="658"/>
        <v>#N/A</v>
      </c>
      <c r="AN1489" s="104" t="e">
        <f t="shared" si="669"/>
        <v>#N/A</v>
      </c>
      <c r="AO1489" s="104" t="e">
        <f t="shared" si="670"/>
        <v>#N/A</v>
      </c>
      <c r="AP1489" s="104" t="e">
        <f t="shared" si="671"/>
        <v>#N/A</v>
      </c>
      <c r="AQ1489" s="104" t="e">
        <f t="shared" si="672"/>
        <v>#N/A</v>
      </c>
      <c r="AR1489" s="105" t="str">
        <f t="shared" si="664"/>
        <v/>
      </c>
      <c r="AS1489" s="105" t="str">
        <f t="shared" si="665"/>
        <v/>
      </c>
      <c r="AT1489" s="108" t="str">
        <f t="shared" si="666"/>
        <v/>
      </c>
      <c r="AU1489" s="108" t="str">
        <f t="shared" si="667"/>
        <v/>
      </c>
      <c r="AV1489" s="107" t="str">
        <f>IF(ISNUMBER(O1489),IF(VLOOKUP($A1489,Stand!C:J,8,FALSE)="Short",AT1489,AU1489),"")</f>
        <v/>
      </c>
      <c r="AW1489" s="109" t="str">
        <f t="shared" si="673"/>
        <v/>
      </c>
      <c r="AX1489" s="109" t="str">
        <f t="shared" si="674"/>
        <v/>
      </c>
      <c r="AY1489" s="112" t="str">
        <f>IF(ISNUMBER(O1489),IF(AND(VLOOKUP($D1489,Merchantability!$B:$C,2,0)="Yes",$E1489&gt;=VLOOKUP($D1489,Merchantability!$B:$D,3,0),$E1489&lt;=VLOOKUP($D1489,Merchantability!$B:$E,4,0)),(AV1489*O1489)*(1-$H1489/100),""),"")</f>
        <v/>
      </c>
      <c r="AZ1489" s="116"/>
      <c r="BA1489" s="116"/>
      <c r="BB1489" s="116"/>
      <c r="BE1489" s="62"/>
      <c r="BF1489" s="63"/>
    </row>
    <row r="1490" spans="1:58" ht="12.75" customHeight="1" x14ac:dyDescent="0.25">
      <c r="A1490" s="333"/>
      <c r="B1490" s="334"/>
      <c r="C1490" s="332"/>
      <c r="D1490" s="334"/>
      <c r="E1490" s="335"/>
      <c r="F1490" s="334"/>
      <c r="G1490" s="332"/>
      <c r="H1490" s="332"/>
      <c r="I1490" s="334"/>
      <c r="J1490" s="336"/>
      <c r="K1490" s="332"/>
      <c r="L1490" s="332"/>
      <c r="M1490" s="76"/>
      <c r="N1490" s="103" t="str">
        <f>IF(A1490="","",VLOOKUP(A1490,Stand!C:K,9,0))</f>
        <v/>
      </c>
      <c r="O1490" s="104" t="str">
        <f t="shared" si="659"/>
        <v/>
      </c>
      <c r="P1490" s="105" t="str">
        <f t="shared" si="660"/>
        <v/>
      </c>
      <c r="Q1490" s="105" t="str">
        <f t="shared" si="648"/>
        <v/>
      </c>
      <c r="R1490" s="103" t="str">
        <f t="shared" si="661"/>
        <v/>
      </c>
      <c r="S1490" s="103" t="str">
        <f t="shared" si="662"/>
        <v/>
      </c>
      <c r="T1490" s="106" t="str">
        <f t="shared" si="649"/>
        <v/>
      </c>
      <c r="U1490" s="106" t="str">
        <f t="shared" si="650"/>
        <v/>
      </c>
      <c r="V1490" s="106" t="str">
        <f t="shared" si="651"/>
        <v/>
      </c>
      <c r="W1490" s="105" t="str">
        <f t="shared" si="663"/>
        <v/>
      </c>
      <c r="X1490" s="104" t="str">
        <f t="shared" si="668"/>
        <v/>
      </c>
      <c r="Y1490" s="104" t="str">
        <f t="array" ref="Y1490">IFERROR(IF(ISNUMBER(O1490),IF(COUNT(IF(A1490=$A$2:$A$2427,IF(D1490=$D$2:$D$2427,IF($X$2:$X$2427&gt;0,1))))&gt;0,SUM(IF(A1490=$A$2:$A$2427,IF(D1490=$D$2:$D$2427,$X$2:$X$2427)))/COUNT(IF(A1490=$A$2:$A$2427,IF(D1490=$D$2:$D$2427,IF(ISNUMBER($X$2:$X$2427),1)))),0),""),0)</f>
        <v/>
      </c>
      <c r="Z1490" s="104" t="str">
        <f>IF(ISNUMBER(O1490),IF(I1490&gt;0,(10^(VLOOKUP(D1490,'Species Codes'!B:C,2,0)+VLOOKUP(D1490,'Species Codes'!B:D,3,0)*LOG(E1490)+VLOOKUP(D1490,'Species Codes'!B:E,4,0)*LOG(I1490))),0),"")</f>
        <v/>
      </c>
      <c r="AA1490" s="104" t="str">
        <f>IFERROR((VLOOKUP(D1490,'Species Codes'!B:G,6,0)*Z1490)/2000,"")</f>
        <v/>
      </c>
      <c r="AB1490" s="104" t="e">
        <f>IF(Z1490&gt;0,((IF(OR(D1490="DF",D1490="RA")=TRUE,EXP(VLOOKUP(D1490,'Species Codes'!B:I,8,0)+VLOOKUP(D1490,'Species Codes'!B:J,9,0)*(LN((E1490*2.54)))),IF(OR(D1490="PY",D1490="RC",D1490="WH",D1490="NF")=TRUE,VLOOKUP(D1490,'Species Codes'!B:I,8,0)+VLOOKUP(D1490,'Species Codes'!B:J,9,0)*((E1490*2.54)^2)*(I1490*0.3048),IF(OR(D1490="MD",D1490="BM",D1490="GA")=TRUE,((VLOOKUP(D1490,'Species Codes'!B:I,8,0)*(((((E1490*2.54)+VLOOKUP(D1490,'Species Codes'!B:J,9,0))/VLOOKUP(D1490,'Species Codes'!B:K,10,0))^VLOOKUP(D1490,'Species Codes'!B:L,11,0))*((I1490*0.3048)^VLOOKUP(D1490,'Species Codes'!B:M,12,0))))-(VLOOKUP(D1490,'Species Codes'!B:I,8,0)*((((E1490*2.54)^VLOOKUP(D1490,'Species Codes'!B:L,11,0))*((I1490*0.3048)^VLOOKUP(D1490,'Species Codes'!B:M,12,0))))))*35.3*VLOOKUP(D1490,'Species Codes'!B:G,6,0)/2.2046,VLOOKUP(D1490,'Species Codes'!B:I,8,0)+VLOOKUP(D1490,'Species Codes'!B:J,9,0)*(((E1490*2.54)/100)^2)*(I1490*0.3048)))))*0.0011023),0)</f>
        <v>#N/A</v>
      </c>
      <c r="AC1490" s="104" t="e">
        <f>IF(Z1490&gt;0,((IF(OR(D1490="RA",D1490="OA",D1490="OT",D1490="UN",D1490="PC"),EXP(VLOOKUP(D1490,'Species Codes'!B:O,14,0)+VLOOKUP(D1490,'Species Codes'!B:P,15,0)*LN((E1490*2.54)))-EXP(VLOOKUP(D1490,'Species Codes'!B:O,14,0)+VLOOKUP(D1490,'Species Codes'!B:P,15,0)*LN((E1490*2.54)))*(1/(VLOOKUP(D1490,'Species Codes'!B:Q,16,0)+VLOOKUP(D1490,'Species Codes'!B:R,17,0)*((E1490*2.54)^VLOOKUP(D1490,'Species Codes'!B:S,18,0)))),IF(OR(D1490="BM",D1490="MD",D1490="OA"),EXP(VLOOKUP(D1490,'Species Codes'!B:O,14,0)+VLOOKUP(D1490,'Species Codes'!B:P,15,0)*LN((E1490*2.54)))*(1-(1/(VLOOKUP(D1490,'Species Codes'!B:Q,16,0)+VLOOKUP(D1490,'Species Codes'!B:R,17,0)*((E1490*2.54)^VLOOKUP(D1490,'Species Codes'!B:S,18,0)))))/1000,IF(D1490="DF",EXP(VLOOKUP(D1490,'Species Codes'!B:O,14,0)+VLOOKUP(D1490,'Species Codes'!B:P,15,0)*LN((E1490*2.54))),VLOOKUP(D1490,'Species Codes'!B:O,14,0)+VLOOKUP(D1490,'Species Codes'!B:P,15,0)*(((E1490*2.54)/100)^2)*(I1490*0.3048)))))*0.0011023),0)</f>
        <v>#N/A</v>
      </c>
      <c r="AD1490" s="104" t="e">
        <f t="shared" si="652"/>
        <v>#N/A</v>
      </c>
      <c r="AE1490" s="104" t="e">
        <f t="shared" si="653"/>
        <v>#N/A</v>
      </c>
      <c r="AF1490" s="104" t="e">
        <f>IF(AND(VLOOKUP($D1490,Merchantability!$B:$C,2,0)="Yes",$E1490&gt;=VLOOKUP($D1490,Merchantability!$B:$D,3,0),$E1490&lt;=VLOOKUP($D1490,Merchantability!$B:$E,4,0)),AA1490,0)</f>
        <v>#N/A</v>
      </c>
      <c r="AG1490" s="104" t="e">
        <f>IF(AND(VLOOKUP($D1490,Merchantability!$B:$C,2,0)="Yes",$E1490&gt;=VLOOKUP($D1490,Merchantability!$B:$D,3,0),$E1490&lt;=VLOOKUP($D1490,Merchantability!$B:$E,4,0)),AB1490,0)</f>
        <v>#N/A</v>
      </c>
      <c r="AH1490" s="104" t="e">
        <f>IF(AND(VLOOKUP($D1490,Merchantability!$B:$C,2,0)="Yes",$E1490&gt;=VLOOKUP($D1490,Merchantability!$B:$D,3,0),$E1490&lt;=VLOOKUP($D1490,Merchantability!$B:$E,4,0)),AC1490,0)</f>
        <v>#N/A</v>
      </c>
      <c r="AI1490" s="104" t="e">
        <f t="shared" si="654"/>
        <v>#N/A</v>
      </c>
      <c r="AJ1490" s="104" t="e">
        <f t="shared" si="655"/>
        <v>#VALUE!</v>
      </c>
      <c r="AK1490" s="104" t="e">
        <f t="shared" si="656"/>
        <v>#N/A</v>
      </c>
      <c r="AL1490" s="104" t="e">
        <f t="shared" si="657"/>
        <v>#N/A</v>
      </c>
      <c r="AM1490" s="104" t="e">
        <f t="shared" si="658"/>
        <v>#N/A</v>
      </c>
      <c r="AN1490" s="104" t="e">
        <f t="shared" si="669"/>
        <v>#N/A</v>
      </c>
      <c r="AO1490" s="104" t="e">
        <f t="shared" si="670"/>
        <v>#N/A</v>
      </c>
      <c r="AP1490" s="104" t="e">
        <f t="shared" si="671"/>
        <v>#N/A</v>
      </c>
      <c r="AQ1490" s="104" t="e">
        <f t="shared" si="672"/>
        <v>#N/A</v>
      </c>
      <c r="AR1490" s="105" t="str">
        <f t="shared" si="664"/>
        <v/>
      </c>
      <c r="AS1490" s="105" t="str">
        <f t="shared" si="665"/>
        <v/>
      </c>
      <c r="AT1490" s="108" t="str">
        <f t="shared" si="666"/>
        <v/>
      </c>
      <c r="AU1490" s="108" t="str">
        <f t="shared" si="667"/>
        <v/>
      </c>
      <c r="AV1490" s="107" t="str">
        <f>IF(ISNUMBER(O1490),IF(VLOOKUP($A1490,Stand!C:J,8,FALSE)="Short",AT1490,AU1490),"")</f>
        <v/>
      </c>
      <c r="AW1490" s="109" t="str">
        <f t="shared" si="673"/>
        <v/>
      </c>
      <c r="AX1490" s="109" t="str">
        <f t="shared" si="674"/>
        <v/>
      </c>
      <c r="AY1490" s="112" t="str">
        <f>IF(ISNUMBER(O1490),IF(AND(VLOOKUP($D1490,Merchantability!$B:$C,2,0)="Yes",$E1490&gt;=VLOOKUP($D1490,Merchantability!$B:$D,3,0),$E1490&lt;=VLOOKUP($D1490,Merchantability!$B:$E,4,0)),(AV1490*O1490)*(1-$H1490/100),""),"")</f>
        <v/>
      </c>
      <c r="AZ1490" s="116"/>
      <c r="BA1490" s="116"/>
      <c r="BB1490" s="116"/>
      <c r="BE1490" s="62"/>
      <c r="BF1490" s="63"/>
    </row>
    <row r="1491" spans="1:58" ht="12.75" customHeight="1" x14ac:dyDescent="0.25">
      <c r="A1491" s="333"/>
      <c r="B1491" s="334"/>
      <c r="C1491" s="332"/>
      <c r="D1491" s="334"/>
      <c r="E1491" s="335"/>
      <c r="F1491" s="334"/>
      <c r="G1491" s="332"/>
      <c r="H1491" s="332"/>
      <c r="I1491" s="334"/>
      <c r="J1491" s="336"/>
      <c r="K1491" s="332"/>
      <c r="L1491" s="332"/>
      <c r="M1491" s="76"/>
      <c r="N1491" s="103" t="str">
        <f>IF(A1491="","",VLOOKUP(A1491,Stand!C:K,9,0))</f>
        <v/>
      </c>
      <c r="O1491" s="104" t="str">
        <f t="shared" si="659"/>
        <v/>
      </c>
      <c r="P1491" s="105" t="str">
        <f t="shared" si="660"/>
        <v/>
      </c>
      <c r="Q1491" s="105" t="str">
        <f t="shared" si="648"/>
        <v/>
      </c>
      <c r="R1491" s="103" t="str">
        <f t="shared" si="661"/>
        <v/>
      </c>
      <c r="S1491" s="103" t="str">
        <f t="shared" si="662"/>
        <v/>
      </c>
      <c r="T1491" s="106" t="str">
        <f t="shared" si="649"/>
        <v/>
      </c>
      <c r="U1491" s="106" t="str">
        <f t="shared" si="650"/>
        <v/>
      </c>
      <c r="V1491" s="106" t="str">
        <f t="shared" si="651"/>
        <v/>
      </c>
      <c r="W1491" s="105" t="str">
        <f t="shared" si="663"/>
        <v/>
      </c>
      <c r="X1491" s="104" t="str">
        <f t="shared" si="668"/>
        <v/>
      </c>
      <c r="Y1491" s="104" t="str">
        <f t="array" ref="Y1491">IFERROR(IF(ISNUMBER(O1491),IF(COUNT(IF(A1491=$A$2:$A$2427,IF(D1491=$D$2:$D$2427,IF($X$2:$X$2427&gt;0,1))))&gt;0,SUM(IF(A1491=$A$2:$A$2427,IF(D1491=$D$2:$D$2427,$X$2:$X$2427)))/COUNT(IF(A1491=$A$2:$A$2427,IF(D1491=$D$2:$D$2427,IF(ISNUMBER($X$2:$X$2427),1)))),0),""),0)</f>
        <v/>
      </c>
      <c r="Z1491" s="104" t="str">
        <f>IF(ISNUMBER(O1491),IF(I1491&gt;0,(10^(VLOOKUP(D1491,'Species Codes'!B:C,2,0)+VLOOKUP(D1491,'Species Codes'!B:D,3,0)*LOG(E1491)+VLOOKUP(D1491,'Species Codes'!B:E,4,0)*LOG(I1491))),0),"")</f>
        <v/>
      </c>
      <c r="AA1491" s="104" t="str">
        <f>IFERROR((VLOOKUP(D1491,'Species Codes'!B:G,6,0)*Z1491)/2000,"")</f>
        <v/>
      </c>
      <c r="AB1491" s="104" t="e">
        <f>IF(Z1491&gt;0,((IF(OR(D1491="DF",D1491="RA")=TRUE,EXP(VLOOKUP(D1491,'Species Codes'!B:I,8,0)+VLOOKUP(D1491,'Species Codes'!B:J,9,0)*(LN((E1491*2.54)))),IF(OR(D1491="PY",D1491="RC",D1491="WH",D1491="NF")=TRUE,VLOOKUP(D1491,'Species Codes'!B:I,8,0)+VLOOKUP(D1491,'Species Codes'!B:J,9,0)*((E1491*2.54)^2)*(I1491*0.3048),IF(OR(D1491="MD",D1491="BM",D1491="GA")=TRUE,((VLOOKUP(D1491,'Species Codes'!B:I,8,0)*(((((E1491*2.54)+VLOOKUP(D1491,'Species Codes'!B:J,9,0))/VLOOKUP(D1491,'Species Codes'!B:K,10,0))^VLOOKUP(D1491,'Species Codes'!B:L,11,0))*((I1491*0.3048)^VLOOKUP(D1491,'Species Codes'!B:M,12,0))))-(VLOOKUP(D1491,'Species Codes'!B:I,8,0)*((((E1491*2.54)^VLOOKUP(D1491,'Species Codes'!B:L,11,0))*((I1491*0.3048)^VLOOKUP(D1491,'Species Codes'!B:M,12,0))))))*35.3*VLOOKUP(D1491,'Species Codes'!B:G,6,0)/2.2046,VLOOKUP(D1491,'Species Codes'!B:I,8,0)+VLOOKUP(D1491,'Species Codes'!B:J,9,0)*(((E1491*2.54)/100)^2)*(I1491*0.3048)))))*0.0011023),0)</f>
        <v>#N/A</v>
      </c>
      <c r="AC1491" s="104" t="e">
        <f>IF(Z1491&gt;0,((IF(OR(D1491="RA",D1491="OA",D1491="OT",D1491="UN",D1491="PC"),EXP(VLOOKUP(D1491,'Species Codes'!B:O,14,0)+VLOOKUP(D1491,'Species Codes'!B:P,15,0)*LN((E1491*2.54)))-EXP(VLOOKUP(D1491,'Species Codes'!B:O,14,0)+VLOOKUP(D1491,'Species Codes'!B:P,15,0)*LN((E1491*2.54)))*(1/(VLOOKUP(D1491,'Species Codes'!B:Q,16,0)+VLOOKUP(D1491,'Species Codes'!B:R,17,0)*((E1491*2.54)^VLOOKUP(D1491,'Species Codes'!B:S,18,0)))),IF(OR(D1491="BM",D1491="MD",D1491="OA"),EXP(VLOOKUP(D1491,'Species Codes'!B:O,14,0)+VLOOKUP(D1491,'Species Codes'!B:P,15,0)*LN((E1491*2.54)))*(1-(1/(VLOOKUP(D1491,'Species Codes'!B:Q,16,0)+VLOOKUP(D1491,'Species Codes'!B:R,17,0)*((E1491*2.54)^VLOOKUP(D1491,'Species Codes'!B:S,18,0)))))/1000,IF(D1491="DF",EXP(VLOOKUP(D1491,'Species Codes'!B:O,14,0)+VLOOKUP(D1491,'Species Codes'!B:P,15,0)*LN((E1491*2.54))),VLOOKUP(D1491,'Species Codes'!B:O,14,0)+VLOOKUP(D1491,'Species Codes'!B:P,15,0)*(((E1491*2.54)/100)^2)*(I1491*0.3048)))))*0.0011023),0)</f>
        <v>#N/A</v>
      </c>
      <c r="AD1491" s="104" t="e">
        <f t="shared" si="652"/>
        <v>#N/A</v>
      </c>
      <c r="AE1491" s="104" t="e">
        <f t="shared" si="653"/>
        <v>#N/A</v>
      </c>
      <c r="AF1491" s="104" t="e">
        <f>IF(AND(VLOOKUP($D1491,Merchantability!$B:$C,2,0)="Yes",$E1491&gt;=VLOOKUP($D1491,Merchantability!$B:$D,3,0),$E1491&lt;=VLOOKUP($D1491,Merchantability!$B:$E,4,0)),AA1491,0)</f>
        <v>#N/A</v>
      </c>
      <c r="AG1491" s="104" t="e">
        <f>IF(AND(VLOOKUP($D1491,Merchantability!$B:$C,2,0)="Yes",$E1491&gt;=VLOOKUP($D1491,Merchantability!$B:$D,3,0),$E1491&lt;=VLOOKUP($D1491,Merchantability!$B:$E,4,0)),AB1491,0)</f>
        <v>#N/A</v>
      </c>
      <c r="AH1491" s="104" t="e">
        <f>IF(AND(VLOOKUP($D1491,Merchantability!$B:$C,2,0)="Yes",$E1491&gt;=VLOOKUP($D1491,Merchantability!$B:$D,3,0),$E1491&lt;=VLOOKUP($D1491,Merchantability!$B:$E,4,0)),AC1491,0)</f>
        <v>#N/A</v>
      </c>
      <c r="AI1491" s="104" t="e">
        <f t="shared" si="654"/>
        <v>#N/A</v>
      </c>
      <c r="AJ1491" s="104" t="e">
        <f t="shared" si="655"/>
        <v>#VALUE!</v>
      </c>
      <c r="AK1491" s="104" t="e">
        <f t="shared" si="656"/>
        <v>#N/A</v>
      </c>
      <c r="AL1491" s="104" t="e">
        <f t="shared" si="657"/>
        <v>#N/A</v>
      </c>
      <c r="AM1491" s="104" t="e">
        <f t="shared" si="658"/>
        <v>#N/A</v>
      </c>
      <c r="AN1491" s="104" t="e">
        <f t="shared" si="669"/>
        <v>#N/A</v>
      </c>
      <c r="AO1491" s="104" t="e">
        <f t="shared" si="670"/>
        <v>#N/A</v>
      </c>
      <c r="AP1491" s="104" t="e">
        <f t="shared" si="671"/>
        <v>#N/A</v>
      </c>
      <c r="AQ1491" s="104" t="e">
        <f t="shared" si="672"/>
        <v>#N/A</v>
      </c>
      <c r="AR1491" s="105" t="str">
        <f t="shared" si="664"/>
        <v/>
      </c>
      <c r="AS1491" s="105" t="str">
        <f t="shared" si="665"/>
        <v/>
      </c>
      <c r="AT1491" s="108" t="str">
        <f t="shared" si="666"/>
        <v/>
      </c>
      <c r="AU1491" s="108" t="str">
        <f t="shared" si="667"/>
        <v/>
      </c>
      <c r="AV1491" s="107" t="str">
        <f>IF(ISNUMBER(O1491),IF(VLOOKUP($A1491,Stand!C:J,8,FALSE)="Short",AT1491,AU1491),"")</f>
        <v/>
      </c>
      <c r="AW1491" s="109" t="str">
        <f t="shared" si="673"/>
        <v/>
      </c>
      <c r="AX1491" s="109" t="str">
        <f t="shared" si="674"/>
        <v/>
      </c>
      <c r="AY1491" s="112" t="str">
        <f>IF(ISNUMBER(O1491),IF(AND(VLOOKUP($D1491,Merchantability!$B:$C,2,0)="Yes",$E1491&gt;=VLOOKUP($D1491,Merchantability!$B:$D,3,0),$E1491&lt;=VLOOKUP($D1491,Merchantability!$B:$E,4,0)),(AV1491*O1491)*(1-$H1491/100),""),"")</f>
        <v/>
      </c>
      <c r="AZ1491" s="116"/>
      <c r="BA1491" s="116"/>
      <c r="BB1491" s="116"/>
      <c r="BE1491" s="62"/>
      <c r="BF1491" s="63"/>
    </row>
    <row r="1492" spans="1:58" ht="12.75" customHeight="1" x14ac:dyDescent="0.25">
      <c r="A1492" s="333"/>
      <c r="B1492" s="334"/>
      <c r="C1492" s="332"/>
      <c r="D1492" s="334"/>
      <c r="E1492" s="335"/>
      <c r="F1492" s="334"/>
      <c r="G1492" s="332"/>
      <c r="H1492" s="332"/>
      <c r="I1492" s="334"/>
      <c r="J1492" s="336"/>
      <c r="K1492" s="332"/>
      <c r="L1492" s="332"/>
      <c r="M1492" s="76"/>
      <c r="N1492" s="103" t="str">
        <f>IF(A1492="","",VLOOKUP(A1492,Stand!C:K,9,0))</f>
        <v/>
      </c>
      <c r="O1492" s="104" t="str">
        <f t="shared" si="659"/>
        <v/>
      </c>
      <c r="P1492" s="105" t="str">
        <f t="shared" si="660"/>
        <v/>
      </c>
      <c r="Q1492" s="105" t="str">
        <f t="shared" si="648"/>
        <v/>
      </c>
      <c r="R1492" s="103" t="str">
        <f t="shared" si="661"/>
        <v/>
      </c>
      <c r="S1492" s="103" t="str">
        <f t="shared" si="662"/>
        <v/>
      </c>
      <c r="T1492" s="106" t="str">
        <f t="shared" si="649"/>
        <v/>
      </c>
      <c r="U1492" s="106" t="str">
        <f t="shared" si="650"/>
        <v/>
      </c>
      <c r="V1492" s="106" t="str">
        <f t="shared" si="651"/>
        <v/>
      </c>
      <c r="W1492" s="105" t="str">
        <f t="shared" si="663"/>
        <v/>
      </c>
      <c r="X1492" s="104" t="str">
        <f t="shared" si="668"/>
        <v/>
      </c>
      <c r="Y1492" s="104" t="str">
        <f t="array" ref="Y1492">IFERROR(IF(ISNUMBER(O1492),IF(COUNT(IF(A1492=$A$2:$A$2427,IF(D1492=$D$2:$D$2427,IF($X$2:$X$2427&gt;0,1))))&gt;0,SUM(IF(A1492=$A$2:$A$2427,IF(D1492=$D$2:$D$2427,$X$2:$X$2427)))/COUNT(IF(A1492=$A$2:$A$2427,IF(D1492=$D$2:$D$2427,IF(ISNUMBER($X$2:$X$2427),1)))),0),""),0)</f>
        <v/>
      </c>
      <c r="Z1492" s="104" t="str">
        <f>IF(ISNUMBER(O1492),IF(I1492&gt;0,(10^(VLOOKUP(D1492,'Species Codes'!B:C,2,0)+VLOOKUP(D1492,'Species Codes'!B:D,3,0)*LOG(E1492)+VLOOKUP(D1492,'Species Codes'!B:E,4,0)*LOG(I1492))),0),"")</f>
        <v/>
      </c>
      <c r="AA1492" s="104" t="str">
        <f>IFERROR((VLOOKUP(D1492,'Species Codes'!B:G,6,0)*Z1492)/2000,"")</f>
        <v/>
      </c>
      <c r="AB1492" s="104" t="e">
        <f>IF(Z1492&gt;0,((IF(OR(D1492="DF",D1492="RA")=TRUE,EXP(VLOOKUP(D1492,'Species Codes'!B:I,8,0)+VLOOKUP(D1492,'Species Codes'!B:J,9,0)*(LN((E1492*2.54)))),IF(OR(D1492="PY",D1492="RC",D1492="WH",D1492="NF")=TRUE,VLOOKUP(D1492,'Species Codes'!B:I,8,0)+VLOOKUP(D1492,'Species Codes'!B:J,9,0)*((E1492*2.54)^2)*(I1492*0.3048),IF(OR(D1492="MD",D1492="BM",D1492="GA")=TRUE,((VLOOKUP(D1492,'Species Codes'!B:I,8,0)*(((((E1492*2.54)+VLOOKUP(D1492,'Species Codes'!B:J,9,0))/VLOOKUP(D1492,'Species Codes'!B:K,10,0))^VLOOKUP(D1492,'Species Codes'!B:L,11,0))*((I1492*0.3048)^VLOOKUP(D1492,'Species Codes'!B:M,12,0))))-(VLOOKUP(D1492,'Species Codes'!B:I,8,0)*((((E1492*2.54)^VLOOKUP(D1492,'Species Codes'!B:L,11,0))*((I1492*0.3048)^VLOOKUP(D1492,'Species Codes'!B:M,12,0))))))*35.3*VLOOKUP(D1492,'Species Codes'!B:G,6,0)/2.2046,VLOOKUP(D1492,'Species Codes'!B:I,8,0)+VLOOKUP(D1492,'Species Codes'!B:J,9,0)*(((E1492*2.54)/100)^2)*(I1492*0.3048)))))*0.0011023),0)</f>
        <v>#N/A</v>
      </c>
      <c r="AC1492" s="104" t="e">
        <f>IF(Z1492&gt;0,((IF(OR(D1492="RA",D1492="OA",D1492="OT",D1492="UN",D1492="PC"),EXP(VLOOKUP(D1492,'Species Codes'!B:O,14,0)+VLOOKUP(D1492,'Species Codes'!B:P,15,0)*LN((E1492*2.54)))-EXP(VLOOKUP(D1492,'Species Codes'!B:O,14,0)+VLOOKUP(D1492,'Species Codes'!B:P,15,0)*LN((E1492*2.54)))*(1/(VLOOKUP(D1492,'Species Codes'!B:Q,16,0)+VLOOKUP(D1492,'Species Codes'!B:R,17,0)*((E1492*2.54)^VLOOKUP(D1492,'Species Codes'!B:S,18,0)))),IF(OR(D1492="BM",D1492="MD",D1492="OA"),EXP(VLOOKUP(D1492,'Species Codes'!B:O,14,0)+VLOOKUP(D1492,'Species Codes'!B:P,15,0)*LN((E1492*2.54)))*(1-(1/(VLOOKUP(D1492,'Species Codes'!B:Q,16,0)+VLOOKUP(D1492,'Species Codes'!B:R,17,0)*((E1492*2.54)^VLOOKUP(D1492,'Species Codes'!B:S,18,0)))))/1000,IF(D1492="DF",EXP(VLOOKUP(D1492,'Species Codes'!B:O,14,0)+VLOOKUP(D1492,'Species Codes'!B:P,15,0)*LN((E1492*2.54))),VLOOKUP(D1492,'Species Codes'!B:O,14,0)+VLOOKUP(D1492,'Species Codes'!B:P,15,0)*(((E1492*2.54)/100)^2)*(I1492*0.3048)))))*0.0011023),0)</f>
        <v>#N/A</v>
      </c>
      <c r="AD1492" s="104" t="e">
        <f t="shared" si="652"/>
        <v>#N/A</v>
      </c>
      <c r="AE1492" s="104" t="e">
        <f t="shared" si="653"/>
        <v>#N/A</v>
      </c>
      <c r="AF1492" s="104" t="e">
        <f>IF(AND(VLOOKUP($D1492,Merchantability!$B:$C,2,0)="Yes",$E1492&gt;=VLOOKUP($D1492,Merchantability!$B:$D,3,0),$E1492&lt;=VLOOKUP($D1492,Merchantability!$B:$E,4,0)),AA1492,0)</f>
        <v>#N/A</v>
      </c>
      <c r="AG1492" s="104" t="e">
        <f>IF(AND(VLOOKUP($D1492,Merchantability!$B:$C,2,0)="Yes",$E1492&gt;=VLOOKUP($D1492,Merchantability!$B:$D,3,0),$E1492&lt;=VLOOKUP($D1492,Merchantability!$B:$E,4,0)),AB1492,0)</f>
        <v>#N/A</v>
      </c>
      <c r="AH1492" s="104" t="e">
        <f>IF(AND(VLOOKUP($D1492,Merchantability!$B:$C,2,0)="Yes",$E1492&gt;=VLOOKUP($D1492,Merchantability!$B:$D,3,0),$E1492&lt;=VLOOKUP($D1492,Merchantability!$B:$E,4,0)),AC1492,0)</f>
        <v>#N/A</v>
      </c>
      <c r="AI1492" s="104" t="e">
        <f t="shared" si="654"/>
        <v>#N/A</v>
      </c>
      <c r="AJ1492" s="104" t="e">
        <f t="shared" si="655"/>
        <v>#VALUE!</v>
      </c>
      <c r="AK1492" s="104" t="e">
        <f t="shared" si="656"/>
        <v>#N/A</v>
      </c>
      <c r="AL1492" s="104" t="e">
        <f t="shared" si="657"/>
        <v>#N/A</v>
      </c>
      <c r="AM1492" s="104" t="e">
        <f t="shared" si="658"/>
        <v>#N/A</v>
      </c>
      <c r="AN1492" s="104" t="e">
        <f t="shared" si="669"/>
        <v>#N/A</v>
      </c>
      <c r="AO1492" s="104" t="e">
        <f t="shared" si="670"/>
        <v>#N/A</v>
      </c>
      <c r="AP1492" s="104" t="e">
        <f t="shared" si="671"/>
        <v>#N/A</v>
      </c>
      <c r="AQ1492" s="104" t="e">
        <f t="shared" si="672"/>
        <v>#N/A</v>
      </c>
      <c r="AR1492" s="105" t="str">
        <f t="shared" si="664"/>
        <v/>
      </c>
      <c r="AS1492" s="105" t="str">
        <f t="shared" si="665"/>
        <v/>
      </c>
      <c r="AT1492" s="108" t="str">
        <f t="shared" si="666"/>
        <v/>
      </c>
      <c r="AU1492" s="108" t="str">
        <f t="shared" si="667"/>
        <v/>
      </c>
      <c r="AV1492" s="107" t="str">
        <f>IF(ISNUMBER(O1492),IF(VLOOKUP($A1492,Stand!C:J,8,FALSE)="Short",AT1492,AU1492),"")</f>
        <v/>
      </c>
      <c r="AW1492" s="109" t="str">
        <f t="shared" si="673"/>
        <v/>
      </c>
      <c r="AX1492" s="109" t="str">
        <f t="shared" si="674"/>
        <v/>
      </c>
      <c r="AY1492" s="112" t="str">
        <f>IF(ISNUMBER(O1492),IF(AND(VLOOKUP($D1492,Merchantability!$B:$C,2,0)="Yes",$E1492&gt;=VLOOKUP($D1492,Merchantability!$B:$D,3,0),$E1492&lt;=VLOOKUP($D1492,Merchantability!$B:$E,4,0)),(AV1492*O1492)*(1-$H1492/100),""),"")</f>
        <v/>
      </c>
      <c r="AZ1492" s="116"/>
      <c r="BA1492" s="116"/>
      <c r="BB1492" s="116"/>
      <c r="BE1492" s="62"/>
      <c r="BF1492" s="63"/>
    </row>
    <row r="1493" spans="1:58" ht="12.75" customHeight="1" x14ac:dyDescent="0.25">
      <c r="A1493" s="333"/>
      <c r="B1493" s="334"/>
      <c r="C1493" s="332"/>
      <c r="D1493" s="334"/>
      <c r="E1493" s="335"/>
      <c r="F1493" s="334"/>
      <c r="G1493" s="332"/>
      <c r="H1493" s="332"/>
      <c r="I1493" s="334"/>
      <c r="J1493" s="336"/>
      <c r="K1493" s="332"/>
      <c r="L1493" s="332"/>
      <c r="M1493" s="76"/>
      <c r="N1493" s="103" t="str">
        <f>IF(A1493="","",VLOOKUP(A1493,Stand!C:K,9,0))</f>
        <v/>
      </c>
      <c r="O1493" s="104" t="str">
        <f t="shared" si="659"/>
        <v/>
      </c>
      <c r="P1493" s="105" t="str">
        <f t="shared" si="660"/>
        <v/>
      </c>
      <c r="Q1493" s="105" t="str">
        <f t="shared" si="648"/>
        <v/>
      </c>
      <c r="R1493" s="103" t="str">
        <f t="shared" si="661"/>
        <v/>
      </c>
      <c r="S1493" s="103" t="str">
        <f t="shared" si="662"/>
        <v/>
      </c>
      <c r="T1493" s="106" t="str">
        <f t="shared" si="649"/>
        <v/>
      </c>
      <c r="U1493" s="106" t="str">
        <f t="shared" si="650"/>
        <v/>
      </c>
      <c r="V1493" s="106" t="str">
        <f t="shared" si="651"/>
        <v/>
      </c>
      <c r="W1493" s="105" t="str">
        <f t="shared" si="663"/>
        <v/>
      </c>
      <c r="X1493" s="104" t="str">
        <f t="shared" si="668"/>
        <v/>
      </c>
      <c r="Y1493" s="104" t="str">
        <f t="array" ref="Y1493">IFERROR(IF(ISNUMBER(O1493),IF(COUNT(IF(A1493=$A$2:$A$2427,IF(D1493=$D$2:$D$2427,IF($X$2:$X$2427&gt;0,1))))&gt;0,SUM(IF(A1493=$A$2:$A$2427,IF(D1493=$D$2:$D$2427,$X$2:$X$2427)))/COUNT(IF(A1493=$A$2:$A$2427,IF(D1493=$D$2:$D$2427,IF(ISNUMBER($X$2:$X$2427),1)))),0),""),0)</f>
        <v/>
      </c>
      <c r="Z1493" s="104" t="str">
        <f>IF(ISNUMBER(O1493),IF(I1493&gt;0,(10^(VLOOKUP(D1493,'Species Codes'!B:C,2,0)+VLOOKUP(D1493,'Species Codes'!B:D,3,0)*LOG(E1493)+VLOOKUP(D1493,'Species Codes'!B:E,4,0)*LOG(I1493))),0),"")</f>
        <v/>
      </c>
      <c r="AA1493" s="104" t="str">
        <f>IFERROR((VLOOKUP(D1493,'Species Codes'!B:G,6,0)*Z1493)/2000,"")</f>
        <v/>
      </c>
      <c r="AB1493" s="104" t="e">
        <f>IF(Z1493&gt;0,((IF(OR(D1493="DF",D1493="RA")=TRUE,EXP(VLOOKUP(D1493,'Species Codes'!B:I,8,0)+VLOOKUP(D1493,'Species Codes'!B:J,9,0)*(LN((E1493*2.54)))),IF(OR(D1493="PY",D1493="RC",D1493="WH",D1493="NF")=TRUE,VLOOKUP(D1493,'Species Codes'!B:I,8,0)+VLOOKUP(D1493,'Species Codes'!B:J,9,0)*((E1493*2.54)^2)*(I1493*0.3048),IF(OR(D1493="MD",D1493="BM",D1493="GA")=TRUE,((VLOOKUP(D1493,'Species Codes'!B:I,8,0)*(((((E1493*2.54)+VLOOKUP(D1493,'Species Codes'!B:J,9,0))/VLOOKUP(D1493,'Species Codes'!B:K,10,0))^VLOOKUP(D1493,'Species Codes'!B:L,11,0))*((I1493*0.3048)^VLOOKUP(D1493,'Species Codes'!B:M,12,0))))-(VLOOKUP(D1493,'Species Codes'!B:I,8,0)*((((E1493*2.54)^VLOOKUP(D1493,'Species Codes'!B:L,11,0))*((I1493*0.3048)^VLOOKUP(D1493,'Species Codes'!B:M,12,0))))))*35.3*VLOOKUP(D1493,'Species Codes'!B:G,6,0)/2.2046,VLOOKUP(D1493,'Species Codes'!B:I,8,0)+VLOOKUP(D1493,'Species Codes'!B:J,9,0)*(((E1493*2.54)/100)^2)*(I1493*0.3048)))))*0.0011023),0)</f>
        <v>#N/A</v>
      </c>
      <c r="AC1493" s="104" t="e">
        <f>IF(Z1493&gt;0,((IF(OR(D1493="RA",D1493="OA",D1493="OT",D1493="UN",D1493="PC"),EXP(VLOOKUP(D1493,'Species Codes'!B:O,14,0)+VLOOKUP(D1493,'Species Codes'!B:P,15,0)*LN((E1493*2.54)))-EXP(VLOOKUP(D1493,'Species Codes'!B:O,14,0)+VLOOKUP(D1493,'Species Codes'!B:P,15,0)*LN((E1493*2.54)))*(1/(VLOOKUP(D1493,'Species Codes'!B:Q,16,0)+VLOOKUP(D1493,'Species Codes'!B:R,17,0)*((E1493*2.54)^VLOOKUP(D1493,'Species Codes'!B:S,18,0)))),IF(OR(D1493="BM",D1493="MD",D1493="OA"),EXP(VLOOKUP(D1493,'Species Codes'!B:O,14,0)+VLOOKUP(D1493,'Species Codes'!B:P,15,0)*LN((E1493*2.54)))*(1-(1/(VLOOKUP(D1493,'Species Codes'!B:Q,16,0)+VLOOKUP(D1493,'Species Codes'!B:R,17,0)*((E1493*2.54)^VLOOKUP(D1493,'Species Codes'!B:S,18,0)))))/1000,IF(D1493="DF",EXP(VLOOKUP(D1493,'Species Codes'!B:O,14,0)+VLOOKUP(D1493,'Species Codes'!B:P,15,0)*LN((E1493*2.54))),VLOOKUP(D1493,'Species Codes'!B:O,14,0)+VLOOKUP(D1493,'Species Codes'!B:P,15,0)*(((E1493*2.54)/100)^2)*(I1493*0.3048)))))*0.0011023),0)</f>
        <v>#N/A</v>
      </c>
      <c r="AD1493" s="104" t="e">
        <f t="shared" si="652"/>
        <v>#N/A</v>
      </c>
      <c r="AE1493" s="104" t="e">
        <f t="shared" si="653"/>
        <v>#N/A</v>
      </c>
      <c r="AF1493" s="104" t="e">
        <f>IF(AND(VLOOKUP($D1493,Merchantability!$B:$C,2,0)="Yes",$E1493&gt;=VLOOKUP($D1493,Merchantability!$B:$D,3,0),$E1493&lt;=VLOOKUP($D1493,Merchantability!$B:$E,4,0)),AA1493,0)</f>
        <v>#N/A</v>
      </c>
      <c r="AG1493" s="104" t="e">
        <f>IF(AND(VLOOKUP($D1493,Merchantability!$B:$C,2,0)="Yes",$E1493&gt;=VLOOKUP($D1493,Merchantability!$B:$D,3,0),$E1493&lt;=VLOOKUP($D1493,Merchantability!$B:$E,4,0)),AB1493,0)</f>
        <v>#N/A</v>
      </c>
      <c r="AH1493" s="104" t="e">
        <f>IF(AND(VLOOKUP($D1493,Merchantability!$B:$C,2,0)="Yes",$E1493&gt;=VLOOKUP($D1493,Merchantability!$B:$D,3,0),$E1493&lt;=VLOOKUP($D1493,Merchantability!$B:$E,4,0)),AC1493,0)</f>
        <v>#N/A</v>
      </c>
      <c r="AI1493" s="104" t="e">
        <f t="shared" si="654"/>
        <v>#N/A</v>
      </c>
      <c r="AJ1493" s="104" t="e">
        <f t="shared" si="655"/>
        <v>#VALUE!</v>
      </c>
      <c r="AK1493" s="104" t="e">
        <f t="shared" si="656"/>
        <v>#N/A</v>
      </c>
      <c r="AL1493" s="104" t="e">
        <f t="shared" si="657"/>
        <v>#N/A</v>
      </c>
      <c r="AM1493" s="104" t="e">
        <f t="shared" si="658"/>
        <v>#N/A</v>
      </c>
      <c r="AN1493" s="104" t="e">
        <f t="shared" si="669"/>
        <v>#N/A</v>
      </c>
      <c r="AO1493" s="104" t="e">
        <f t="shared" si="670"/>
        <v>#N/A</v>
      </c>
      <c r="AP1493" s="104" t="e">
        <f t="shared" si="671"/>
        <v>#N/A</v>
      </c>
      <c r="AQ1493" s="104" t="e">
        <f t="shared" si="672"/>
        <v>#N/A</v>
      </c>
      <c r="AR1493" s="105" t="str">
        <f t="shared" si="664"/>
        <v/>
      </c>
      <c r="AS1493" s="105" t="str">
        <f t="shared" si="665"/>
        <v/>
      </c>
      <c r="AT1493" s="108" t="str">
        <f t="shared" si="666"/>
        <v/>
      </c>
      <c r="AU1493" s="108" t="str">
        <f t="shared" si="667"/>
        <v/>
      </c>
      <c r="AV1493" s="107" t="str">
        <f>IF(ISNUMBER(O1493),IF(VLOOKUP($A1493,Stand!C:J,8,FALSE)="Short",AT1493,AU1493),"")</f>
        <v/>
      </c>
      <c r="AW1493" s="109" t="str">
        <f t="shared" si="673"/>
        <v/>
      </c>
      <c r="AX1493" s="109" t="str">
        <f t="shared" si="674"/>
        <v/>
      </c>
      <c r="AY1493" s="112" t="str">
        <f>IF(ISNUMBER(O1493),IF(AND(VLOOKUP($D1493,Merchantability!$B:$C,2,0)="Yes",$E1493&gt;=VLOOKUP($D1493,Merchantability!$B:$D,3,0),$E1493&lt;=VLOOKUP($D1493,Merchantability!$B:$E,4,0)),(AV1493*O1493)*(1-$H1493/100),""),"")</f>
        <v/>
      </c>
      <c r="AZ1493" s="116"/>
      <c r="BA1493" s="116"/>
      <c r="BB1493" s="116"/>
      <c r="BE1493" s="62"/>
      <c r="BF1493" s="63"/>
    </row>
    <row r="1494" spans="1:58" ht="12.75" customHeight="1" x14ac:dyDescent="0.25">
      <c r="A1494" s="333"/>
      <c r="B1494" s="334"/>
      <c r="C1494" s="332"/>
      <c r="D1494" s="334"/>
      <c r="E1494" s="335"/>
      <c r="F1494" s="334"/>
      <c r="G1494" s="332"/>
      <c r="H1494" s="332"/>
      <c r="I1494" s="334"/>
      <c r="J1494" s="336"/>
      <c r="K1494" s="332"/>
      <c r="L1494" s="332"/>
      <c r="M1494" s="76"/>
      <c r="N1494" s="103" t="str">
        <f>IF(A1494="","",VLOOKUP(A1494,Stand!C:K,9,0))</f>
        <v/>
      </c>
      <c r="O1494" s="104" t="str">
        <f t="shared" si="659"/>
        <v/>
      </c>
      <c r="P1494" s="105" t="str">
        <f t="shared" si="660"/>
        <v/>
      </c>
      <c r="Q1494" s="105" t="str">
        <f t="shared" si="648"/>
        <v/>
      </c>
      <c r="R1494" s="103" t="str">
        <f t="shared" si="661"/>
        <v/>
      </c>
      <c r="S1494" s="103" t="str">
        <f t="shared" si="662"/>
        <v/>
      </c>
      <c r="T1494" s="106" t="str">
        <f t="shared" si="649"/>
        <v/>
      </c>
      <c r="U1494" s="106" t="str">
        <f t="shared" si="650"/>
        <v/>
      </c>
      <c r="V1494" s="106" t="str">
        <f t="shared" si="651"/>
        <v/>
      </c>
      <c r="W1494" s="105" t="str">
        <f t="shared" si="663"/>
        <v/>
      </c>
      <c r="X1494" s="104" t="str">
        <f t="shared" si="668"/>
        <v/>
      </c>
      <c r="Y1494" s="104" t="str">
        <f t="array" ref="Y1494">IFERROR(IF(ISNUMBER(O1494),IF(COUNT(IF(A1494=$A$2:$A$2427,IF(D1494=$D$2:$D$2427,IF($X$2:$X$2427&gt;0,1))))&gt;0,SUM(IF(A1494=$A$2:$A$2427,IF(D1494=$D$2:$D$2427,$X$2:$X$2427)))/COUNT(IF(A1494=$A$2:$A$2427,IF(D1494=$D$2:$D$2427,IF(ISNUMBER($X$2:$X$2427),1)))),0),""),0)</f>
        <v/>
      </c>
      <c r="Z1494" s="104" t="str">
        <f>IF(ISNUMBER(O1494),IF(I1494&gt;0,(10^(VLOOKUP(D1494,'Species Codes'!B:C,2,0)+VLOOKUP(D1494,'Species Codes'!B:D,3,0)*LOG(E1494)+VLOOKUP(D1494,'Species Codes'!B:E,4,0)*LOG(I1494))),0),"")</f>
        <v/>
      </c>
      <c r="AA1494" s="104" t="str">
        <f>IFERROR((VLOOKUP(D1494,'Species Codes'!B:G,6,0)*Z1494)/2000,"")</f>
        <v/>
      </c>
      <c r="AB1494" s="104" t="e">
        <f>IF(Z1494&gt;0,((IF(OR(D1494="DF",D1494="RA")=TRUE,EXP(VLOOKUP(D1494,'Species Codes'!B:I,8,0)+VLOOKUP(D1494,'Species Codes'!B:J,9,0)*(LN((E1494*2.54)))),IF(OR(D1494="PY",D1494="RC",D1494="WH",D1494="NF")=TRUE,VLOOKUP(D1494,'Species Codes'!B:I,8,0)+VLOOKUP(D1494,'Species Codes'!B:J,9,0)*((E1494*2.54)^2)*(I1494*0.3048),IF(OR(D1494="MD",D1494="BM",D1494="GA")=TRUE,((VLOOKUP(D1494,'Species Codes'!B:I,8,0)*(((((E1494*2.54)+VLOOKUP(D1494,'Species Codes'!B:J,9,0))/VLOOKUP(D1494,'Species Codes'!B:K,10,0))^VLOOKUP(D1494,'Species Codes'!B:L,11,0))*((I1494*0.3048)^VLOOKUP(D1494,'Species Codes'!B:M,12,0))))-(VLOOKUP(D1494,'Species Codes'!B:I,8,0)*((((E1494*2.54)^VLOOKUP(D1494,'Species Codes'!B:L,11,0))*((I1494*0.3048)^VLOOKUP(D1494,'Species Codes'!B:M,12,0))))))*35.3*VLOOKUP(D1494,'Species Codes'!B:G,6,0)/2.2046,VLOOKUP(D1494,'Species Codes'!B:I,8,0)+VLOOKUP(D1494,'Species Codes'!B:J,9,0)*(((E1494*2.54)/100)^2)*(I1494*0.3048)))))*0.0011023),0)</f>
        <v>#N/A</v>
      </c>
      <c r="AC1494" s="104" t="e">
        <f>IF(Z1494&gt;0,((IF(OR(D1494="RA",D1494="OA",D1494="OT",D1494="UN",D1494="PC"),EXP(VLOOKUP(D1494,'Species Codes'!B:O,14,0)+VLOOKUP(D1494,'Species Codes'!B:P,15,0)*LN((E1494*2.54)))-EXP(VLOOKUP(D1494,'Species Codes'!B:O,14,0)+VLOOKUP(D1494,'Species Codes'!B:P,15,0)*LN((E1494*2.54)))*(1/(VLOOKUP(D1494,'Species Codes'!B:Q,16,0)+VLOOKUP(D1494,'Species Codes'!B:R,17,0)*((E1494*2.54)^VLOOKUP(D1494,'Species Codes'!B:S,18,0)))),IF(OR(D1494="BM",D1494="MD",D1494="OA"),EXP(VLOOKUP(D1494,'Species Codes'!B:O,14,0)+VLOOKUP(D1494,'Species Codes'!B:P,15,0)*LN((E1494*2.54)))*(1-(1/(VLOOKUP(D1494,'Species Codes'!B:Q,16,0)+VLOOKUP(D1494,'Species Codes'!B:R,17,0)*((E1494*2.54)^VLOOKUP(D1494,'Species Codes'!B:S,18,0)))))/1000,IF(D1494="DF",EXP(VLOOKUP(D1494,'Species Codes'!B:O,14,0)+VLOOKUP(D1494,'Species Codes'!B:P,15,0)*LN((E1494*2.54))),VLOOKUP(D1494,'Species Codes'!B:O,14,0)+VLOOKUP(D1494,'Species Codes'!B:P,15,0)*(((E1494*2.54)/100)^2)*(I1494*0.3048)))))*0.0011023),0)</f>
        <v>#N/A</v>
      </c>
      <c r="AD1494" s="104" t="e">
        <f t="shared" si="652"/>
        <v>#N/A</v>
      </c>
      <c r="AE1494" s="104" t="e">
        <f t="shared" si="653"/>
        <v>#N/A</v>
      </c>
      <c r="AF1494" s="104" t="e">
        <f>IF(AND(VLOOKUP($D1494,Merchantability!$B:$C,2,0)="Yes",$E1494&gt;=VLOOKUP($D1494,Merchantability!$B:$D,3,0),$E1494&lt;=VLOOKUP($D1494,Merchantability!$B:$E,4,0)),AA1494,0)</f>
        <v>#N/A</v>
      </c>
      <c r="AG1494" s="104" t="e">
        <f>IF(AND(VLOOKUP($D1494,Merchantability!$B:$C,2,0)="Yes",$E1494&gt;=VLOOKUP($D1494,Merchantability!$B:$D,3,0),$E1494&lt;=VLOOKUP($D1494,Merchantability!$B:$E,4,0)),AB1494,0)</f>
        <v>#N/A</v>
      </c>
      <c r="AH1494" s="104" t="e">
        <f>IF(AND(VLOOKUP($D1494,Merchantability!$B:$C,2,0)="Yes",$E1494&gt;=VLOOKUP($D1494,Merchantability!$B:$D,3,0),$E1494&lt;=VLOOKUP($D1494,Merchantability!$B:$E,4,0)),AC1494,0)</f>
        <v>#N/A</v>
      </c>
      <c r="AI1494" s="104" t="e">
        <f t="shared" si="654"/>
        <v>#N/A</v>
      </c>
      <c r="AJ1494" s="104" t="e">
        <f t="shared" si="655"/>
        <v>#VALUE!</v>
      </c>
      <c r="AK1494" s="104" t="e">
        <f t="shared" si="656"/>
        <v>#N/A</v>
      </c>
      <c r="AL1494" s="104" t="e">
        <f t="shared" si="657"/>
        <v>#N/A</v>
      </c>
      <c r="AM1494" s="104" t="e">
        <f t="shared" si="658"/>
        <v>#N/A</v>
      </c>
      <c r="AN1494" s="104" t="e">
        <f t="shared" si="669"/>
        <v>#N/A</v>
      </c>
      <c r="AO1494" s="104" t="e">
        <f t="shared" si="670"/>
        <v>#N/A</v>
      </c>
      <c r="AP1494" s="104" t="e">
        <f t="shared" si="671"/>
        <v>#N/A</v>
      </c>
      <c r="AQ1494" s="104" t="e">
        <f t="shared" si="672"/>
        <v>#N/A</v>
      </c>
      <c r="AR1494" s="105" t="str">
        <f t="shared" si="664"/>
        <v/>
      </c>
      <c r="AS1494" s="105" t="str">
        <f t="shared" si="665"/>
        <v/>
      </c>
      <c r="AT1494" s="108" t="str">
        <f t="shared" si="666"/>
        <v/>
      </c>
      <c r="AU1494" s="108" t="str">
        <f t="shared" si="667"/>
        <v/>
      </c>
      <c r="AV1494" s="107" t="str">
        <f>IF(ISNUMBER(O1494),IF(VLOOKUP($A1494,Stand!C:J,8,FALSE)="Short",AT1494,AU1494),"")</f>
        <v/>
      </c>
      <c r="AW1494" s="109" t="str">
        <f t="shared" si="673"/>
        <v/>
      </c>
      <c r="AX1494" s="109" t="str">
        <f t="shared" si="674"/>
        <v/>
      </c>
      <c r="AY1494" s="112" t="str">
        <f>IF(ISNUMBER(O1494),IF(AND(VLOOKUP($D1494,Merchantability!$B:$C,2,0)="Yes",$E1494&gt;=VLOOKUP($D1494,Merchantability!$B:$D,3,0),$E1494&lt;=VLOOKUP($D1494,Merchantability!$B:$E,4,0)),(AV1494*O1494)*(1-$H1494/100),""),"")</f>
        <v/>
      </c>
      <c r="AZ1494" s="116"/>
      <c r="BA1494" s="116"/>
      <c r="BB1494" s="116"/>
      <c r="BE1494" s="62"/>
      <c r="BF1494" s="63"/>
    </row>
    <row r="1495" spans="1:58" ht="12.75" customHeight="1" x14ac:dyDescent="0.25">
      <c r="A1495" s="333"/>
      <c r="B1495" s="334"/>
      <c r="C1495" s="332"/>
      <c r="D1495" s="334"/>
      <c r="E1495" s="335"/>
      <c r="F1495" s="334"/>
      <c r="G1495" s="332"/>
      <c r="H1495" s="332"/>
      <c r="I1495" s="334"/>
      <c r="J1495" s="336"/>
      <c r="K1495" s="332"/>
      <c r="L1495" s="332"/>
      <c r="M1495" s="76"/>
      <c r="N1495" s="103" t="str">
        <f>IF(A1495="","",VLOOKUP(A1495,Stand!C:K,9,0))</f>
        <v/>
      </c>
      <c r="O1495" s="104" t="str">
        <f t="shared" si="659"/>
        <v/>
      </c>
      <c r="P1495" s="105" t="str">
        <f t="shared" si="660"/>
        <v/>
      </c>
      <c r="Q1495" s="105" t="str">
        <f t="shared" si="648"/>
        <v/>
      </c>
      <c r="R1495" s="103" t="str">
        <f t="shared" si="661"/>
        <v/>
      </c>
      <c r="S1495" s="103" t="str">
        <f t="shared" si="662"/>
        <v/>
      </c>
      <c r="T1495" s="106" t="str">
        <f t="shared" si="649"/>
        <v/>
      </c>
      <c r="U1495" s="106" t="str">
        <f t="shared" si="650"/>
        <v/>
      </c>
      <c r="V1495" s="106" t="str">
        <f t="shared" si="651"/>
        <v/>
      </c>
      <c r="W1495" s="105" t="str">
        <f t="shared" si="663"/>
        <v/>
      </c>
      <c r="X1495" s="104" t="str">
        <f t="shared" si="668"/>
        <v/>
      </c>
      <c r="Y1495" s="104" t="str">
        <f t="array" ref="Y1495">IFERROR(IF(ISNUMBER(O1495),IF(COUNT(IF(A1495=$A$2:$A$2427,IF(D1495=$D$2:$D$2427,IF($X$2:$X$2427&gt;0,1))))&gt;0,SUM(IF(A1495=$A$2:$A$2427,IF(D1495=$D$2:$D$2427,$X$2:$X$2427)))/COUNT(IF(A1495=$A$2:$A$2427,IF(D1495=$D$2:$D$2427,IF(ISNUMBER($X$2:$X$2427),1)))),0),""),0)</f>
        <v/>
      </c>
      <c r="Z1495" s="104" t="str">
        <f>IF(ISNUMBER(O1495),IF(I1495&gt;0,(10^(VLOOKUP(D1495,'Species Codes'!B:C,2,0)+VLOOKUP(D1495,'Species Codes'!B:D,3,0)*LOG(E1495)+VLOOKUP(D1495,'Species Codes'!B:E,4,0)*LOG(I1495))),0),"")</f>
        <v/>
      </c>
      <c r="AA1495" s="104" t="str">
        <f>IFERROR((VLOOKUP(D1495,'Species Codes'!B:G,6,0)*Z1495)/2000,"")</f>
        <v/>
      </c>
      <c r="AB1495" s="104" t="e">
        <f>IF(Z1495&gt;0,((IF(OR(D1495="DF",D1495="RA")=TRUE,EXP(VLOOKUP(D1495,'Species Codes'!B:I,8,0)+VLOOKUP(D1495,'Species Codes'!B:J,9,0)*(LN((E1495*2.54)))),IF(OR(D1495="PY",D1495="RC",D1495="WH",D1495="NF")=TRUE,VLOOKUP(D1495,'Species Codes'!B:I,8,0)+VLOOKUP(D1495,'Species Codes'!B:J,9,0)*((E1495*2.54)^2)*(I1495*0.3048),IF(OR(D1495="MD",D1495="BM",D1495="GA")=TRUE,((VLOOKUP(D1495,'Species Codes'!B:I,8,0)*(((((E1495*2.54)+VLOOKUP(D1495,'Species Codes'!B:J,9,0))/VLOOKUP(D1495,'Species Codes'!B:K,10,0))^VLOOKUP(D1495,'Species Codes'!B:L,11,0))*((I1495*0.3048)^VLOOKUP(D1495,'Species Codes'!B:M,12,0))))-(VLOOKUP(D1495,'Species Codes'!B:I,8,0)*((((E1495*2.54)^VLOOKUP(D1495,'Species Codes'!B:L,11,0))*((I1495*0.3048)^VLOOKUP(D1495,'Species Codes'!B:M,12,0))))))*35.3*VLOOKUP(D1495,'Species Codes'!B:G,6,0)/2.2046,VLOOKUP(D1495,'Species Codes'!B:I,8,0)+VLOOKUP(D1495,'Species Codes'!B:J,9,0)*(((E1495*2.54)/100)^2)*(I1495*0.3048)))))*0.0011023),0)</f>
        <v>#N/A</v>
      </c>
      <c r="AC1495" s="104" t="e">
        <f>IF(Z1495&gt;0,((IF(OR(D1495="RA",D1495="OA",D1495="OT",D1495="UN",D1495="PC"),EXP(VLOOKUP(D1495,'Species Codes'!B:O,14,0)+VLOOKUP(D1495,'Species Codes'!B:P,15,0)*LN((E1495*2.54)))-EXP(VLOOKUP(D1495,'Species Codes'!B:O,14,0)+VLOOKUP(D1495,'Species Codes'!B:P,15,0)*LN((E1495*2.54)))*(1/(VLOOKUP(D1495,'Species Codes'!B:Q,16,0)+VLOOKUP(D1495,'Species Codes'!B:R,17,0)*((E1495*2.54)^VLOOKUP(D1495,'Species Codes'!B:S,18,0)))),IF(OR(D1495="BM",D1495="MD",D1495="OA"),EXP(VLOOKUP(D1495,'Species Codes'!B:O,14,0)+VLOOKUP(D1495,'Species Codes'!B:P,15,0)*LN((E1495*2.54)))*(1-(1/(VLOOKUP(D1495,'Species Codes'!B:Q,16,0)+VLOOKUP(D1495,'Species Codes'!B:R,17,0)*((E1495*2.54)^VLOOKUP(D1495,'Species Codes'!B:S,18,0)))))/1000,IF(D1495="DF",EXP(VLOOKUP(D1495,'Species Codes'!B:O,14,0)+VLOOKUP(D1495,'Species Codes'!B:P,15,0)*LN((E1495*2.54))),VLOOKUP(D1495,'Species Codes'!B:O,14,0)+VLOOKUP(D1495,'Species Codes'!B:P,15,0)*(((E1495*2.54)/100)^2)*(I1495*0.3048)))))*0.0011023),0)</f>
        <v>#N/A</v>
      </c>
      <c r="AD1495" s="104" t="e">
        <f t="shared" si="652"/>
        <v>#N/A</v>
      </c>
      <c r="AE1495" s="104" t="e">
        <f t="shared" si="653"/>
        <v>#N/A</v>
      </c>
      <c r="AF1495" s="104" t="e">
        <f>IF(AND(VLOOKUP($D1495,Merchantability!$B:$C,2,0)="Yes",$E1495&gt;=VLOOKUP($D1495,Merchantability!$B:$D,3,0),$E1495&lt;=VLOOKUP($D1495,Merchantability!$B:$E,4,0)),AA1495,0)</f>
        <v>#N/A</v>
      </c>
      <c r="AG1495" s="104" t="e">
        <f>IF(AND(VLOOKUP($D1495,Merchantability!$B:$C,2,0)="Yes",$E1495&gt;=VLOOKUP($D1495,Merchantability!$B:$D,3,0),$E1495&lt;=VLOOKUP($D1495,Merchantability!$B:$E,4,0)),AB1495,0)</f>
        <v>#N/A</v>
      </c>
      <c r="AH1495" s="104" t="e">
        <f>IF(AND(VLOOKUP($D1495,Merchantability!$B:$C,2,0)="Yes",$E1495&gt;=VLOOKUP($D1495,Merchantability!$B:$D,3,0),$E1495&lt;=VLOOKUP($D1495,Merchantability!$B:$E,4,0)),AC1495,0)</f>
        <v>#N/A</v>
      </c>
      <c r="AI1495" s="104" t="e">
        <f t="shared" si="654"/>
        <v>#N/A</v>
      </c>
      <c r="AJ1495" s="104" t="e">
        <f t="shared" si="655"/>
        <v>#VALUE!</v>
      </c>
      <c r="AK1495" s="104" t="e">
        <f t="shared" si="656"/>
        <v>#N/A</v>
      </c>
      <c r="AL1495" s="104" t="e">
        <f t="shared" si="657"/>
        <v>#N/A</v>
      </c>
      <c r="AM1495" s="104" t="e">
        <f t="shared" si="658"/>
        <v>#N/A</v>
      </c>
      <c r="AN1495" s="104" t="e">
        <f t="shared" si="669"/>
        <v>#N/A</v>
      </c>
      <c r="AO1495" s="104" t="e">
        <f t="shared" si="670"/>
        <v>#N/A</v>
      </c>
      <c r="AP1495" s="104" t="e">
        <f t="shared" si="671"/>
        <v>#N/A</v>
      </c>
      <c r="AQ1495" s="104" t="e">
        <f t="shared" si="672"/>
        <v>#N/A</v>
      </c>
      <c r="AR1495" s="105" t="str">
        <f t="shared" si="664"/>
        <v/>
      </c>
      <c r="AS1495" s="105" t="str">
        <f t="shared" si="665"/>
        <v/>
      </c>
      <c r="AT1495" s="108" t="str">
        <f t="shared" si="666"/>
        <v/>
      </c>
      <c r="AU1495" s="108" t="str">
        <f t="shared" si="667"/>
        <v/>
      </c>
      <c r="AV1495" s="107" t="str">
        <f>IF(ISNUMBER(O1495),IF(VLOOKUP($A1495,Stand!C:J,8,FALSE)="Short",AT1495,AU1495),"")</f>
        <v/>
      </c>
      <c r="AW1495" s="109" t="str">
        <f t="shared" si="673"/>
        <v/>
      </c>
      <c r="AX1495" s="109" t="str">
        <f t="shared" si="674"/>
        <v/>
      </c>
      <c r="AY1495" s="112" t="str">
        <f>IF(ISNUMBER(O1495),IF(AND(VLOOKUP($D1495,Merchantability!$B:$C,2,0)="Yes",$E1495&gt;=VLOOKUP($D1495,Merchantability!$B:$D,3,0),$E1495&lt;=VLOOKUP($D1495,Merchantability!$B:$E,4,0)),(AV1495*O1495)*(1-$H1495/100),""),"")</f>
        <v/>
      </c>
      <c r="AZ1495" s="116"/>
      <c r="BA1495" s="116"/>
      <c r="BB1495" s="116"/>
      <c r="BE1495" s="62"/>
      <c r="BF1495" s="63"/>
    </row>
    <row r="1496" spans="1:58" ht="12.75" customHeight="1" x14ac:dyDescent="0.25">
      <c r="A1496" s="333"/>
      <c r="B1496" s="334"/>
      <c r="C1496" s="332"/>
      <c r="D1496" s="334"/>
      <c r="E1496" s="335"/>
      <c r="F1496" s="334"/>
      <c r="G1496" s="332"/>
      <c r="H1496" s="332"/>
      <c r="I1496" s="334"/>
      <c r="J1496" s="336"/>
      <c r="K1496" s="332"/>
      <c r="L1496" s="332"/>
      <c r="M1496" s="76"/>
      <c r="N1496" s="103" t="str">
        <f>IF(A1496="","",VLOOKUP(A1496,Stand!C:K,9,0))</f>
        <v/>
      </c>
      <c r="O1496" s="104" t="str">
        <f t="shared" si="659"/>
        <v/>
      </c>
      <c r="P1496" s="105" t="str">
        <f t="shared" si="660"/>
        <v/>
      </c>
      <c r="Q1496" s="105" t="str">
        <f t="shared" si="648"/>
        <v/>
      </c>
      <c r="R1496" s="103" t="str">
        <f t="shared" si="661"/>
        <v/>
      </c>
      <c r="S1496" s="103" t="str">
        <f t="shared" si="662"/>
        <v/>
      </c>
      <c r="T1496" s="106" t="str">
        <f t="shared" si="649"/>
        <v/>
      </c>
      <c r="U1496" s="106" t="str">
        <f t="shared" si="650"/>
        <v/>
      </c>
      <c r="V1496" s="106" t="str">
        <f t="shared" si="651"/>
        <v/>
      </c>
      <c r="W1496" s="105" t="str">
        <f t="shared" si="663"/>
        <v/>
      </c>
      <c r="X1496" s="104" t="str">
        <f t="shared" si="668"/>
        <v/>
      </c>
      <c r="Y1496" s="104" t="str">
        <f t="array" ref="Y1496">IFERROR(IF(ISNUMBER(O1496),IF(COUNT(IF(A1496=$A$2:$A$2427,IF(D1496=$D$2:$D$2427,IF($X$2:$X$2427&gt;0,1))))&gt;0,SUM(IF(A1496=$A$2:$A$2427,IF(D1496=$D$2:$D$2427,$X$2:$X$2427)))/COUNT(IF(A1496=$A$2:$A$2427,IF(D1496=$D$2:$D$2427,IF(ISNUMBER($X$2:$X$2427),1)))),0),""),0)</f>
        <v/>
      </c>
      <c r="Z1496" s="104" t="str">
        <f>IF(ISNUMBER(O1496),IF(I1496&gt;0,(10^(VLOOKUP(D1496,'Species Codes'!B:C,2,0)+VLOOKUP(D1496,'Species Codes'!B:D,3,0)*LOG(E1496)+VLOOKUP(D1496,'Species Codes'!B:E,4,0)*LOG(I1496))),0),"")</f>
        <v/>
      </c>
      <c r="AA1496" s="104" t="str">
        <f>IFERROR((VLOOKUP(D1496,'Species Codes'!B:G,6,0)*Z1496)/2000,"")</f>
        <v/>
      </c>
      <c r="AB1496" s="104" t="e">
        <f>IF(Z1496&gt;0,((IF(OR(D1496="DF",D1496="RA")=TRUE,EXP(VLOOKUP(D1496,'Species Codes'!B:I,8,0)+VLOOKUP(D1496,'Species Codes'!B:J,9,0)*(LN((E1496*2.54)))),IF(OR(D1496="PY",D1496="RC",D1496="WH",D1496="NF")=TRUE,VLOOKUP(D1496,'Species Codes'!B:I,8,0)+VLOOKUP(D1496,'Species Codes'!B:J,9,0)*((E1496*2.54)^2)*(I1496*0.3048),IF(OR(D1496="MD",D1496="BM",D1496="GA")=TRUE,((VLOOKUP(D1496,'Species Codes'!B:I,8,0)*(((((E1496*2.54)+VLOOKUP(D1496,'Species Codes'!B:J,9,0))/VLOOKUP(D1496,'Species Codes'!B:K,10,0))^VLOOKUP(D1496,'Species Codes'!B:L,11,0))*((I1496*0.3048)^VLOOKUP(D1496,'Species Codes'!B:M,12,0))))-(VLOOKUP(D1496,'Species Codes'!B:I,8,0)*((((E1496*2.54)^VLOOKUP(D1496,'Species Codes'!B:L,11,0))*((I1496*0.3048)^VLOOKUP(D1496,'Species Codes'!B:M,12,0))))))*35.3*VLOOKUP(D1496,'Species Codes'!B:G,6,0)/2.2046,VLOOKUP(D1496,'Species Codes'!B:I,8,0)+VLOOKUP(D1496,'Species Codes'!B:J,9,0)*(((E1496*2.54)/100)^2)*(I1496*0.3048)))))*0.0011023),0)</f>
        <v>#N/A</v>
      </c>
      <c r="AC1496" s="104" t="e">
        <f>IF(Z1496&gt;0,((IF(OR(D1496="RA",D1496="OA",D1496="OT",D1496="UN",D1496="PC"),EXP(VLOOKUP(D1496,'Species Codes'!B:O,14,0)+VLOOKUP(D1496,'Species Codes'!B:P,15,0)*LN((E1496*2.54)))-EXP(VLOOKUP(D1496,'Species Codes'!B:O,14,0)+VLOOKUP(D1496,'Species Codes'!B:P,15,0)*LN((E1496*2.54)))*(1/(VLOOKUP(D1496,'Species Codes'!B:Q,16,0)+VLOOKUP(D1496,'Species Codes'!B:R,17,0)*((E1496*2.54)^VLOOKUP(D1496,'Species Codes'!B:S,18,0)))),IF(OR(D1496="BM",D1496="MD",D1496="OA"),EXP(VLOOKUP(D1496,'Species Codes'!B:O,14,0)+VLOOKUP(D1496,'Species Codes'!B:P,15,0)*LN((E1496*2.54)))*(1-(1/(VLOOKUP(D1496,'Species Codes'!B:Q,16,0)+VLOOKUP(D1496,'Species Codes'!B:R,17,0)*((E1496*2.54)^VLOOKUP(D1496,'Species Codes'!B:S,18,0)))))/1000,IF(D1496="DF",EXP(VLOOKUP(D1496,'Species Codes'!B:O,14,0)+VLOOKUP(D1496,'Species Codes'!B:P,15,0)*LN((E1496*2.54))),VLOOKUP(D1496,'Species Codes'!B:O,14,0)+VLOOKUP(D1496,'Species Codes'!B:P,15,0)*(((E1496*2.54)/100)^2)*(I1496*0.3048)))))*0.0011023),0)</f>
        <v>#N/A</v>
      </c>
      <c r="AD1496" s="104" t="e">
        <f t="shared" si="652"/>
        <v>#N/A</v>
      </c>
      <c r="AE1496" s="104" t="e">
        <f t="shared" si="653"/>
        <v>#N/A</v>
      </c>
      <c r="AF1496" s="104" t="e">
        <f>IF(AND(VLOOKUP($D1496,Merchantability!$B:$C,2,0)="Yes",$E1496&gt;=VLOOKUP($D1496,Merchantability!$B:$D,3,0),$E1496&lt;=VLOOKUP($D1496,Merchantability!$B:$E,4,0)),AA1496,0)</f>
        <v>#N/A</v>
      </c>
      <c r="AG1496" s="104" t="e">
        <f>IF(AND(VLOOKUP($D1496,Merchantability!$B:$C,2,0)="Yes",$E1496&gt;=VLOOKUP($D1496,Merchantability!$B:$D,3,0),$E1496&lt;=VLOOKUP($D1496,Merchantability!$B:$E,4,0)),AB1496,0)</f>
        <v>#N/A</v>
      </c>
      <c r="AH1496" s="104" t="e">
        <f>IF(AND(VLOOKUP($D1496,Merchantability!$B:$C,2,0)="Yes",$E1496&gt;=VLOOKUP($D1496,Merchantability!$B:$D,3,0),$E1496&lt;=VLOOKUP($D1496,Merchantability!$B:$E,4,0)),AC1496,0)</f>
        <v>#N/A</v>
      </c>
      <c r="AI1496" s="104" t="e">
        <f t="shared" si="654"/>
        <v>#N/A</v>
      </c>
      <c r="AJ1496" s="104" t="e">
        <f t="shared" si="655"/>
        <v>#VALUE!</v>
      </c>
      <c r="AK1496" s="104" t="e">
        <f t="shared" si="656"/>
        <v>#N/A</v>
      </c>
      <c r="AL1496" s="104" t="e">
        <f t="shared" si="657"/>
        <v>#N/A</v>
      </c>
      <c r="AM1496" s="104" t="e">
        <f t="shared" si="658"/>
        <v>#N/A</v>
      </c>
      <c r="AN1496" s="104" t="e">
        <f t="shared" si="669"/>
        <v>#N/A</v>
      </c>
      <c r="AO1496" s="104" t="e">
        <f t="shared" si="670"/>
        <v>#N/A</v>
      </c>
      <c r="AP1496" s="104" t="e">
        <f t="shared" si="671"/>
        <v>#N/A</v>
      </c>
      <c r="AQ1496" s="104" t="e">
        <f t="shared" si="672"/>
        <v>#N/A</v>
      </c>
      <c r="AR1496" s="105" t="str">
        <f t="shared" si="664"/>
        <v/>
      </c>
      <c r="AS1496" s="105" t="str">
        <f t="shared" si="665"/>
        <v/>
      </c>
      <c r="AT1496" s="108" t="str">
        <f t="shared" si="666"/>
        <v/>
      </c>
      <c r="AU1496" s="108" t="str">
        <f t="shared" si="667"/>
        <v/>
      </c>
      <c r="AV1496" s="107" t="str">
        <f>IF(ISNUMBER(O1496),IF(VLOOKUP($A1496,Stand!C:J,8,FALSE)="Short",AT1496,AU1496),"")</f>
        <v/>
      </c>
      <c r="AW1496" s="109" t="str">
        <f t="shared" si="673"/>
        <v/>
      </c>
      <c r="AX1496" s="109" t="str">
        <f t="shared" si="674"/>
        <v/>
      </c>
      <c r="AY1496" s="112" t="str">
        <f>IF(ISNUMBER(O1496),IF(AND(VLOOKUP($D1496,Merchantability!$B:$C,2,0)="Yes",$E1496&gt;=VLOOKUP($D1496,Merchantability!$B:$D,3,0),$E1496&lt;=VLOOKUP($D1496,Merchantability!$B:$E,4,0)),(AV1496*O1496)*(1-$H1496/100),""),"")</f>
        <v/>
      </c>
      <c r="AZ1496" s="116"/>
      <c r="BA1496" s="116"/>
      <c r="BB1496" s="116"/>
      <c r="BE1496" s="62"/>
      <c r="BF1496" s="63"/>
    </row>
    <row r="1497" spans="1:58" ht="12.75" customHeight="1" x14ac:dyDescent="0.25">
      <c r="A1497" s="333"/>
      <c r="B1497" s="334"/>
      <c r="C1497" s="332"/>
      <c r="D1497" s="334"/>
      <c r="E1497" s="335"/>
      <c r="F1497" s="334"/>
      <c r="G1497" s="332"/>
      <c r="H1497" s="332"/>
      <c r="I1497" s="334"/>
      <c r="J1497" s="336"/>
      <c r="K1497" s="332"/>
      <c r="L1497" s="332"/>
      <c r="M1497" s="76"/>
      <c r="N1497" s="103" t="str">
        <f>IF(A1497="","",VLOOKUP(A1497,Stand!C:K,9,0))</f>
        <v/>
      </c>
      <c r="O1497" s="104" t="str">
        <f t="shared" si="659"/>
        <v/>
      </c>
      <c r="P1497" s="105" t="str">
        <f t="shared" si="660"/>
        <v/>
      </c>
      <c r="Q1497" s="105" t="str">
        <f t="shared" si="648"/>
        <v/>
      </c>
      <c r="R1497" s="103" t="str">
        <f t="shared" si="661"/>
        <v/>
      </c>
      <c r="S1497" s="103" t="str">
        <f t="shared" si="662"/>
        <v/>
      </c>
      <c r="T1497" s="106" t="str">
        <f t="shared" si="649"/>
        <v/>
      </c>
      <c r="U1497" s="106" t="str">
        <f t="shared" si="650"/>
        <v/>
      </c>
      <c r="V1497" s="106" t="str">
        <f t="shared" si="651"/>
        <v/>
      </c>
      <c r="W1497" s="105" t="str">
        <f t="shared" si="663"/>
        <v/>
      </c>
      <c r="X1497" s="104" t="str">
        <f t="shared" si="668"/>
        <v/>
      </c>
      <c r="Y1497" s="104" t="str">
        <f t="array" ref="Y1497">IFERROR(IF(ISNUMBER(O1497),IF(COUNT(IF(A1497=$A$2:$A$2427,IF(D1497=$D$2:$D$2427,IF($X$2:$X$2427&gt;0,1))))&gt;0,SUM(IF(A1497=$A$2:$A$2427,IF(D1497=$D$2:$D$2427,$X$2:$X$2427)))/COUNT(IF(A1497=$A$2:$A$2427,IF(D1497=$D$2:$D$2427,IF(ISNUMBER($X$2:$X$2427),1)))),0),""),0)</f>
        <v/>
      </c>
      <c r="Z1497" s="104" t="str">
        <f>IF(ISNUMBER(O1497),IF(I1497&gt;0,(10^(VLOOKUP(D1497,'Species Codes'!B:C,2,0)+VLOOKUP(D1497,'Species Codes'!B:D,3,0)*LOG(E1497)+VLOOKUP(D1497,'Species Codes'!B:E,4,0)*LOG(I1497))),0),"")</f>
        <v/>
      </c>
      <c r="AA1497" s="104" t="str">
        <f>IFERROR((VLOOKUP(D1497,'Species Codes'!B:G,6,0)*Z1497)/2000,"")</f>
        <v/>
      </c>
      <c r="AB1497" s="104" t="e">
        <f>IF(Z1497&gt;0,((IF(OR(D1497="DF",D1497="RA")=TRUE,EXP(VLOOKUP(D1497,'Species Codes'!B:I,8,0)+VLOOKUP(D1497,'Species Codes'!B:J,9,0)*(LN((E1497*2.54)))),IF(OR(D1497="PY",D1497="RC",D1497="WH",D1497="NF")=TRUE,VLOOKUP(D1497,'Species Codes'!B:I,8,0)+VLOOKUP(D1497,'Species Codes'!B:J,9,0)*((E1497*2.54)^2)*(I1497*0.3048),IF(OR(D1497="MD",D1497="BM",D1497="GA")=TRUE,((VLOOKUP(D1497,'Species Codes'!B:I,8,0)*(((((E1497*2.54)+VLOOKUP(D1497,'Species Codes'!B:J,9,0))/VLOOKUP(D1497,'Species Codes'!B:K,10,0))^VLOOKUP(D1497,'Species Codes'!B:L,11,0))*((I1497*0.3048)^VLOOKUP(D1497,'Species Codes'!B:M,12,0))))-(VLOOKUP(D1497,'Species Codes'!B:I,8,0)*((((E1497*2.54)^VLOOKUP(D1497,'Species Codes'!B:L,11,0))*((I1497*0.3048)^VLOOKUP(D1497,'Species Codes'!B:M,12,0))))))*35.3*VLOOKUP(D1497,'Species Codes'!B:G,6,0)/2.2046,VLOOKUP(D1497,'Species Codes'!B:I,8,0)+VLOOKUP(D1497,'Species Codes'!B:J,9,0)*(((E1497*2.54)/100)^2)*(I1497*0.3048)))))*0.0011023),0)</f>
        <v>#N/A</v>
      </c>
      <c r="AC1497" s="104" t="e">
        <f>IF(Z1497&gt;0,((IF(OR(D1497="RA",D1497="OA",D1497="OT",D1497="UN",D1497="PC"),EXP(VLOOKUP(D1497,'Species Codes'!B:O,14,0)+VLOOKUP(D1497,'Species Codes'!B:P,15,0)*LN((E1497*2.54)))-EXP(VLOOKUP(D1497,'Species Codes'!B:O,14,0)+VLOOKUP(D1497,'Species Codes'!B:P,15,0)*LN((E1497*2.54)))*(1/(VLOOKUP(D1497,'Species Codes'!B:Q,16,0)+VLOOKUP(D1497,'Species Codes'!B:R,17,0)*((E1497*2.54)^VLOOKUP(D1497,'Species Codes'!B:S,18,0)))),IF(OR(D1497="BM",D1497="MD",D1497="OA"),EXP(VLOOKUP(D1497,'Species Codes'!B:O,14,0)+VLOOKUP(D1497,'Species Codes'!B:P,15,0)*LN((E1497*2.54)))*(1-(1/(VLOOKUP(D1497,'Species Codes'!B:Q,16,0)+VLOOKUP(D1497,'Species Codes'!B:R,17,0)*((E1497*2.54)^VLOOKUP(D1497,'Species Codes'!B:S,18,0)))))/1000,IF(D1497="DF",EXP(VLOOKUP(D1497,'Species Codes'!B:O,14,0)+VLOOKUP(D1497,'Species Codes'!B:P,15,0)*LN((E1497*2.54))),VLOOKUP(D1497,'Species Codes'!B:O,14,0)+VLOOKUP(D1497,'Species Codes'!B:P,15,0)*(((E1497*2.54)/100)^2)*(I1497*0.3048)))))*0.0011023),0)</f>
        <v>#N/A</v>
      </c>
      <c r="AD1497" s="104" t="e">
        <f t="shared" si="652"/>
        <v>#N/A</v>
      </c>
      <c r="AE1497" s="104" t="e">
        <f t="shared" si="653"/>
        <v>#N/A</v>
      </c>
      <c r="AF1497" s="104" t="e">
        <f>IF(AND(VLOOKUP($D1497,Merchantability!$B:$C,2,0)="Yes",$E1497&gt;=VLOOKUP($D1497,Merchantability!$B:$D,3,0),$E1497&lt;=VLOOKUP($D1497,Merchantability!$B:$E,4,0)),AA1497,0)</f>
        <v>#N/A</v>
      </c>
      <c r="AG1497" s="104" t="e">
        <f>IF(AND(VLOOKUP($D1497,Merchantability!$B:$C,2,0)="Yes",$E1497&gt;=VLOOKUP($D1497,Merchantability!$B:$D,3,0),$E1497&lt;=VLOOKUP($D1497,Merchantability!$B:$E,4,0)),AB1497,0)</f>
        <v>#N/A</v>
      </c>
      <c r="AH1497" s="104" t="e">
        <f>IF(AND(VLOOKUP($D1497,Merchantability!$B:$C,2,0)="Yes",$E1497&gt;=VLOOKUP($D1497,Merchantability!$B:$D,3,0),$E1497&lt;=VLOOKUP($D1497,Merchantability!$B:$E,4,0)),AC1497,0)</f>
        <v>#N/A</v>
      </c>
      <c r="AI1497" s="104" t="e">
        <f t="shared" si="654"/>
        <v>#N/A</v>
      </c>
      <c r="AJ1497" s="104" t="e">
        <f t="shared" si="655"/>
        <v>#VALUE!</v>
      </c>
      <c r="AK1497" s="104" t="e">
        <f t="shared" si="656"/>
        <v>#N/A</v>
      </c>
      <c r="AL1497" s="104" t="e">
        <f t="shared" si="657"/>
        <v>#N/A</v>
      </c>
      <c r="AM1497" s="104" t="e">
        <f t="shared" si="658"/>
        <v>#N/A</v>
      </c>
      <c r="AN1497" s="104" t="e">
        <f t="shared" si="669"/>
        <v>#N/A</v>
      </c>
      <c r="AO1497" s="104" t="e">
        <f t="shared" si="670"/>
        <v>#N/A</v>
      </c>
      <c r="AP1497" s="104" t="e">
        <f t="shared" si="671"/>
        <v>#N/A</v>
      </c>
      <c r="AQ1497" s="104" t="e">
        <f t="shared" si="672"/>
        <v>#N/A</v>
      </c>
      <c r="AR1497" s="105" t="str">
        <f t="shared" si="664"/>
        <v/>
      </c>
      <c r="AS1497" s="105" t="str">
        <f t="shared" si="665"/>
        <v/>
      </c>
      <c r="AT1497" s="108" t="str">
        <f t="shared" si="666"/>
        <v/>
      </c>
      <c r="AU1497" s="108" t="str">
        <f t="shared" si="667"/>
        <v/>
      </c>
      <c r="AV1497" s="107" t="str">
        <f>IF(ISNUMBER(O1497),IF(VLOOKUP($A1497,Stand!C:J,8,FALSE)="Short",AT1497,AU1497),"")</f>
        <v/>
      </c>
      <c r="AW1497" s="109" t="str">
        <f t="shared" si="673"/>
        <v/>
      </c>
      <c r="AX1497" s="109" t="str">
        <f t="shared" si="674"/>
        <v/>
      </c>
      <c r="AY1497" s="112" t="str">
        <f>IF(ISNUMBER(O1497),IF(AND(VLOOKUP($D1497,Merchantability!$B:$C,2,0)="Yes",$E1497&gt;=VLOOKUP($D1497,Merchantability!$B:$D,3,0),$E1497&lt;=VLOOKUP($D1497,Merchantability!$B:$E,4,0)),(AV1497*O1497)*(1-$H1497/100),""),"")</f>
        <v/>
      </c>
      <c r="AZ1497" s="116"/>
      <c r="BA1497" s="116"/>
      <c r="BB1497" s="116"/>
      <c r="BE1497" s="62"/>
      <c r="BF1497" s="63"/>
    </row>
    <row r="1498" spans="1:58" ht="12.75" customHeight="1" x14ac:dyDescent="0.25">
      <c r="A1498" s="333"/>
      <c r="B1498" s="334"/>
      <c r="C1498" s="332"/>
      <c r="D1498" s="334"/>
      <c r="E1498" s="335"/>
      <c r="F1498" s="334"/>
      <c r="G1498" s="332"/>
      <c r="H1498" s="332"/>
      <c r="I1498" s="334"/>
      <c r="J1498" s="336"/>
      <c r="K1498" s="332"/>
      <c r="L1498" s="332"/>
      <c r="M1498" s="76"/>
      <c r="N1498" s="103" t="str">
        <f>IF(A1498="","",VLOOKUP(A1498,Stand!C:K,9,0))</f>
        <v/>
      </c>
      <c r="O1498" s="104" t="str">
        <f t="shared" si="659"/>
        <v/>
      </c>
      <c r="P1498" s="105" t="str">
        <f t="shared" si="660"/>
        <v/>
      </c>
      <c r="Q1498" s="105" t="str">
        <f t="shared" si="648"/>
        <v/>
      </c>
      <c r="R1498" s="103" t="str">
        <f t="shared" si="661"/>
        <v/>
      </c>
      <c r="S1498" s="103" t="str">
        <f t="shared" si="662"/>
        <v/>
      </c>
      <c r="T1498" s="106" t="str">
        <f t="shared" si="649"/>
        <v/>
      </c>
      <c r="U1498" s="106" t="str">
        <f t="shared" si="650"/>
        <v/>
      </c>
      <c r="V1498" s="106" t="str">
        <f t="shared" si="651"/>
        <v/>
      </c>
      <c r="W1498" s="105" t="str">
        <f t="shared" si="663"/>
        <v/>
      </c>
      <c r="X1498" s="104" t="str">
        <f t="shared" si="668"/>
        <v/>
      </c>
      <c r="Y1498" s="104" t="str">
        <f t="array" ref="Y1498">IFERROR(IF(ISNUMBER(O1498),IF(COUNT(IF(A1498=$A$2:$A$2427,IF(D1498=$D$2:$D$2427,IF($X$2:$X$2427&gt;0,1))))&gt;0,SUM(IF(A1498=$A$2:$A$2427,IF(D1498=$D$2:$D$2427,$X$2:$X$2427)))/COUNT(IF(A1498=$A$2:$A$2427,IF(D1498=$D$2:$D$2427,IF(ISNUMBER($X$2:$X$2427),1)))),0),""),0)</f>
        <v/>
      </c>
      <c r="Z1498" s="104" t="str">
        <f>IF(ISNUMBER(O1498),IF(I1498&gt;0,(10^(VLOOKUP(D1498,'Species Codes'!B:C,2,0)+VLOOKUP(D1498,'Species Codes'!B:D,3,0)*LOG(E1498)+VLOOKUP(D1498,'Species Codes'!B:E,4,0)*LOG(I1498))),0),"")</f>
        <v/>
      </c>
      <c r="AA1498" s="104" t="str">
        <f>IFERROR((VLOOKUP(D1498,'Species Codes'!B:G,6,0)*Z1498)/2000,"")</f>
        <v/>
      </c>
      <c r="AB1498" s="104" t="e">
        <f>IF(Z1498&gt;0,((IF(OR(D1498="DF",D1498="RA")=TRUE,EXP(VLOOKUP(D1498,'Species Codes'!B:I,8,0)+VLOOKUP(D1498,'Species Codes'!B:J,9,0)*(LN((E1498*2.54)))),IF(OR(D1498="PY",D1498="RC",D1498="WH",D1498="NF")=TRUE,VLOOKUP(D1498,'Species Codes'!B:I,8,0)+VLOOKUP(D1498,'Species Codes'!B:J,9,0)*((E1498*2.54)^2)*(I1498*0.3048),IF(OR(D1498="MD",D1498="BM",D1498="GA")=TRUE,((VLOOKUP(D1498,'Species Codes'!B:I,8,0)*(((((E1498*2.54)+VLOOKUP(D1498,'Species Codes'!B:J,9,0))/VLOOKUP(D1498,'Species Codes'!B:K,10,0))^VLOOKUP(D1498,'Species Codes'!B:L,11,0))*((I1498*0.3048)^VLOOKUP(D1498,'Species Codes'!B:M,12,0))))-(VLOOKUP(D1498,'Species Codes'!B:I,8,0)*((((E1498*2.54)^VLOOKUP(D1498,'Species Codes'!B:L,11,0))*((I1498*0.3048)^VLOOKUP(D1498,'Species Codes'!B:M,12,0))))))*35.3*VLOOKUP(D1498,'Species Codes'!B:G,6,0)/2.2046,VLOOKUP(D1498,'Species Codes'!B:I,8,0)+VLOOKUP(D1498,'Species Codes'!B:J,9,0)*(((E1498*2.54)/100)^2)*(I1498*0.3048)))))*0.0011023),0)</f>
        <v>#N/A</v>
      </c>
      <c r="AC1498" s="104" t="e">
        <f>IF(Z1498&gt;0,((IF(OR(D1498="RA",D1498="OA",D1498="OT",D1498="UN",D1498="PC"),EXP(VLOOKUP(D1498,'Species Codes'!B:O,14,0)+VLOOKUP(D1498,'Species Codes'!B:P,15,0)*LN((E1498*2.54)))-EXP(VLOOKUP(D1498,'Species Codes'!B:O,14,0)+VLOOKUP(D1498,'Species Codes'!B:P,15,0)*LN((E1498*2.54)))*(1/(VLOOKUP(D1498,'Species Codes'!B:Q,16,0)+VLOOKUP(D1498,'Species Codes'!B:R,17,0)*((E1498*2.54)^VLOOKUP(D1498,'Species Codes'!B:S,18,0)))),IF(OR(D1498="BM",D1498="MD",D1498="OA"),EXP(VLOOKUP(D1498,'Species Codes'!B:O,14,0)+VLOOKUP(D1498,'Species Codes'!B:P,15,0)*LN((E1498*2.54)))*(1-(1/(VLOOKUP(D1498,'Species Codes'!B:Q,16,0)+VLOOKUP(D1498,'Species Codes'!B:R,17,0)*((E1498*2.54)^VLOOKUP(D1498,'Species Codes'!B:S,18,0)))))/1000,IF(D1498="DF",EXP(VLOOKUP(D1498,'Species Codes'!B:O,14,0)+VLOOKUP(D1498,'Species Codes'!B:P,15,0)*LN((E1498*2.54))),VLOOKUP(D1498,'Species Codes'!B:O,14,0)+VLOOKUP(D1498,'Species Codes'!B:P,15,0)*(((E1498*2.54)/100)^2)*(I1498*0.3048)))))*0.0011023),0)</f>
        <v>#N/A</v>
      </c>
      <c r="AD1498" s="104" t="e">
        <f t="shared" si="652"/>
        <v>#N/A</v>
      </c>
      <c r="AE1498" s="104" t="e">
        <f t="shared" si="653"/>
        <v>#N/A</v>
      </c>
      <c r="AF1498" s="104" t="e">
        <f>IF(AND(VLOOKUP($D1498,Merchantability!$B:$C,2,0)="Yes",$E1498&gt;=VLOOKUP($D1498,Merchantability!$B:$D,3,0),$E1498&lt;=VLOOKUP($D1498,Merchantability!$B:$E,4,0)),AA1498,0)</f>
        <v>#N/A</v>
      </c>
      <c r="AG1498" s="104" t="e">
        <f>IF(AND(VLOOKUP($D1498,Merchantability!$B:$C,2,0)="Yes",$E1498&gt;=VLOOKUP($D1498,Merchantability!$B:$D,3,0),$E1498&lt;=VLOOKUP($D1498,Merchantability!$B:$E,4,0)),AB1498,0)</f>
        <v>#N/A</v>
      </c>
      <c r="AH1498" s="104" t="e">
        <f>IF(AND(VLOOKUP($D1498,Merchantability!$B:$C,2,0)="Yes",$E1498&gt;=VLOOKUP($D1498,Merchantability!$B:$D,3,0),$E1498&lt;=VLOOKUP($D1498,Merchantability!$B:$E,4,0)),AC1498,0)</f>
        <v>#N/A</v>
      </c>
      <c r="AI1498" s="104" t="e">
        <f t="shared" si="654"/>
        <v>#N/A</v>
      </c>
      <c r="AJ1498" s="104" t="e">
        <f t="shared" si="655"/>
        <v>#VALUE!</v>
      </c>
      <c r="AK1498" s="104" t="e">
        <f t="shared" si="656"/>
        <v>#N/A</v>
      </c>
      <c r="AL1498" s="104" t="e">
        <f t="shared" si="657"/>
        <v>#N/A</v>
      </c>
      <c r="AM1498" s="104" t="e">
        <f t="shared" si="658"/>
        <v>#N/A</v>
      </c>
      <c r="AN1498" s="104" t="e">
        <f t="shared" si="669"/>
        <v>#N/A</v>
      </c>
      <c r="AO1498" s="104" t="e">
        <f t="shared" si="670"/>
        <v>#N/A</v>
      </c>
      <c r="AP1498" s="104" t="e">
        <f t="shared" si="671"/>
        <v>#N/A</v>
      </c>
      <c r="AQ1498" s="104" t="e">
        <f t="shared" si="672"/>
        <v>#N/A</v>
      </c>
      <c r="AR1498" s="105" t="str">
        <f t="shared" si="664"/>
        <v/>
      </c>
      <c r="AS1498" s="105" t="str">
        <f t="shared" si="665"/>
        <v/>
      </c>
      <c r="AT1498" s="108" t="str">
        <f t="shared" si="666"/>
        <v/>
      </c>
      <c r="AU1498" s="108" t="str">
        <f t="shared" si="667"/>
        <v/>
      </c>
      <c r="AV1498" s="107" t="str">
        <f>IF(ISNUMBER(O1498),IF(VLOOKUP($A1498,Stand!C:J,8,FALSE)="Short",AT1498,AU1498),"")</f>
        <v/>
      </c>
      <c r="AW1498" s="109" t="str">
        <f t="shared" si="673"/>
        <v/>
      </c>
      <c r="AX1498" s="109" t="str">
        <f t="shared" si="674"/>
        <v/>
      </c>
      <c r="AY1498" s="112" t="str">
        <f>IF(ISNUMBER(O1498),IF(AND(VLOOKUP($D1498,Merchantability!$B:$C,2,0)="Yes",$E1498&gt;=VLOOKUP($D1498,Merchantability!$B:$D,3,0),$E1498&lt;=VLOOKUP($D1498,Merchantability!$B:$E,4,0)),(AV1498*O1498)*(1-$H1498/100),""),"")</f>
        <v/>
      </c>
      <c r="AZ1498" s="116"/>
      <c r="BA1498" s="116"/>
      <c r="BB1498" s="116"/>
      <c r="BE1498" s="62"/>
      <c r="BF1498" s="63"/>
    </row>
    <row r="1499" spans="1:58" ht="12.75" customHeight="1" x14ac:dyDescent="0.25">
      <c r="A1499" s="333"/>
      <c r="B1499" s="334"/>
      <c r="C1499" s="332"/>
      <c r="D1499" s="334"/>
      <c r="E1499" s="335"/>
      <c r="F1499" s="334"/>
      <c r="G1499" s="332"/>
      <c r="H1499" s="332"/>
      <c r="I1499" s="334"/>
      <c r="J1499" s="336"/>
      <c r="K1499" s="332"/>
      <c r="L1499" s="332"/>
      <c r="M1499" s="76"/>
      <c r="N1499" s="103" t="str">
        <f>IF(A1499="","",VLOOKUP(A1499,Stand!C:K,9,0))</f>
        <v/>
      </c>
      <c r="O1499" s="104" t="str">
        <f t="shared" si="659"/>
        <v/>
      </c>
      <c r="P1499" s="105" t="str">
        <f t="shared" si="660"/>
        <v/>
      </c>
      <c r="Q1499" s="105" t="str">
        <f t="shared" si="648"/>
        <v/>
      </c>
      <c r="R1499" s="103" t="str">
        <f t="shared" si="661"/>
        <v/>
      </c>
      <c r="S1499" s="103" t="str">
        <f t="shared" si="662"/>
        <v/>
      </c>
      <c r="T1499" s="106" t="str">
        <f t="shared" si="649"/>
        <v/>
      </c>
      <c r="U1499" s="106" t="str">
        <f t="shared" si="650"/>
        <v/>
      </c>
      <c r="V1499" s="106" t="str">
        <f t="shared" si="651"/>
        <v/>
      </c>
      <c r="W1499" s="105" t="str">
        <f t="shared" si="663"/>
        <v/>
      </c>
      <c r="X1499" s="104" t="str">
        <f t="shared" si="668"/>
        <v/>
      </c>
      <c r="Y1499" s="104" t="str">
        <f t="array" ref="Y1499">IFERROR(IF(ISNUMBER(O1499),IF(COUNT(IF(A1499=$A$2:$A$2427,IF(D1499=$D$2:$D$2427,IF($X$2:$X$2427&gt;0,1))))&gt;0,SUM(IF(A1499=$A$2:$A$2427,IF(D1499=$D$2:$D$2427,$X$2:$X$2427)))/COUNT(IF(A1499=$A$2:$A$2427,IF(D1499=$D$2:$D$2427,IF(ISNUMBER($X$2:$X$2427),1)))),0),""),0)</f>
        <v/>
      </c>
      <c r="Z1499" s="104" t="str">
        <f>IF(ISNUMBER(O1499),IF(I1499&gt;0,(10^(VLOOKUP(D1499,'Species Codes'!B:C,2,0)+VLOOKUP(D1499,'Species Codes'!B:D,3,0)*LOG(E1499)+VLOOKUP(D1499,'Species Codes'!B:E,4,0)*LOG(I1499))),0),"")</f>
        <v/>
      </c>
      <c r="AA1499" s="104" t="str">
        <f>IFERROR((VLOOKUP(D1499,'Species Codes'!B:G,6,0)*Z1499)/2000,"")</f>
        <v/>
      </c>
      <c r="AB1499" s="104" t="e">
        <f>IF(Z1499&gt;0,((IF(OR(D1499="DF",D1499="RA")=TRUE,EXP(VLOOKUP(D1499,'Species Codes'!B:I,8,0)+VLOOKUP(D1499,'Species Codes'!B:J,9,0)*(LN((E1499*2.54)))),IF(OR(D1499="PY",D1499="RC",D1499="WH",D1499="NF")=TRUE,VLOOKUP(D1499,'Species Codes'!B:I,8,0)+VLOOKUP(D1499,'Species Codes'!B:J,9,0)*((E1499*2.54)^2)*(I1499*0.3048),IF(OR(D1499="MD",D1499="BM",D1499="GA")=TRUE,((VLOOKUP(D1499,'Species Codes'!B:I,8,0)*(((((E1499*2.54)+VLOOKUP(D1499,'Species Codes'!B:J,9,0))/VLOOKUP(D1499,'Species Codes'!B:K,10,0))^VLOOKUP(D1499,'Species Codes'!B:L,11,0))*((I1499*0.3048)^VLOOKUP(D1499,'Species Codes'!B:M,12,0))))-(VLOOKUP(D1499,'Species Codes'!B:I,8,0)*((((E1499*2.54)^VLOOKUP(D1499,'Species Codes'!B:L,11,0))*((I1499*0.3048)^VLOOKUP(D1499,'Species Codes'!B:M,12,0))))))*35.3*VLOOKUP(D1499,'Species Codes'!B:G,6,0)/2.2046,VLOOKUP(D1499,'Species Codes'!B:I,8,0)+VLOOKUP(D1499,'Species Codes'!B:J,9,0)*(((E1499*2.54)/100)^2)*(I1499*0.3048)))))*0.0011023),0)</f>
        <v>#N/A</v>
      </c>
      <c r="AC1499" s="104" t="e">
        <f>IF(Z1499&gt;0,((IF(OR(D1499="RA",D1499="OA",D1499="OT",D1499="UN",D1499="PC"),EXP(VLOOKUP(D1499,'Species Codes'!B:O,14,0)+VLOOKUP(D1499,'Species Codes'!B:P,15,0)*LN((E1499*2.54)))-EXP(VLOOKUP(D1499,'Species Codes'!B:O,14,0)+VLOOKUP(D1499,'Species Codes'!B:P,15,0)*LN((E1499*2.54)))*(1/(VLOOKUP(D1499,'Species Codes'!B:Q,16,0)+VLOOKUP(D1499,'Species Codes'!B:R,17,0)*((E1499*2.54)^VLOOKUP(D1499,'Species Codes'!B:S,18,0)))),IF(OR(D1499="BM",D1499="MD",D1499="OA"),EXP(VLOOKUP(D1499,'Species Codes'!B:O,14,0)+VLOOKUP(D1499,'Species Codes'!B:P,15,0)*LN((E1499*2.54)))*(1-(1/(VLOOKUP(D1499,'Species Codes'!B:Q,16,0)+VLOOKUP(D1499,'Species Codes'!B:R,17,0)*((E1499*2.54)^VLOOKUP(D1499,'Species Codes'!B:S,18,0)))))/1000,IF(D1499="DF",EXP(VLOOKUP(D1499,'Species Codes'!B:O,14,0)+VLOOKUP(D1499,'Species Codes'!B:P,15,0)*LN((E1499*2.54))),VLOOKUP(D1499,'Species Codes'!B:O,14,0)+VLOOKUP(D1499,'Species Codes'!B:P,15,0)*(((E1499*2.54)/100)^2)*(I1499*0.3048)))))*0.0011023),0)</f>
        <v>#N/A</v>
      </c>
      <c r="AD1499" s="104" t="e">
        <f t="shared" si="652"/>
        <v>#N/A</v>
      </c>
      <c r="AE1499" s="104" t="e">
        <f t="shared" si="653"/>
        <v>#N/A</v>
      </c>
      <c r="AF1499" s="104" t="e">
        <f>IF(AND(VLOOKUP($D1499,Merchantability!$B:$C,2,0)="Yes",$E1499&gt;=VLOOKUP($D1499,Merchantability!$B:$D,3,0),$E1499&lt;=VLOOKUP($D1499,Merchantability!$B:$E,4,0)),AA1499,0)</f>
        <v>#N/A</v>
      </c>
      <c r="AG1499" s="104" t="e">
        <f>IF(AND(VLOOKUP($D1499,Merchantability!$B:$C,2,0)="Yes",$E1499&gt;=VLOOKUP($D1499,Merchantability!$B:$D,3,0),$E1499&lt;=VLOOKUP($D1499,Merchantability!$B:$E,4,0)),AB1499,0)</f>
        <v>#N/A</v>
      </c>
      <c r="AH1499" s="104" t="e">
        <f>IF(AND(VLOOKUP($D1499,Merchantability!$B:$C,2,0)="Yes",$E1499&gt;=VLOOKUP($D1499,Merchantability!$B:$D,3,0),$E1499&lt;=VLOOKUP($D1499,Merchantability!$B:$E,4,0)),AC1499,0)</f>
        <v>#N/A</v>
      </c>
      <c r="AI1499" s="104" t="e">
        <f t="shared" si="654"/>
        <v>#N/A</v>
      </c>
      <c r="AJ1499" s="104" t="e">
        <f t="shared" si="655"/>
        <v>#VALUE!</v>
      </c>
      <c r="AK1499" s="104" t="e">
        <f t="shared" si="656"/>
        <v>#N/A</v>
      </c>
      <c r="AL1499" s="104" t="e">
        <f t="shared" si="657"/>
        <v>#N/A</v>
      </c>
      <c r="AM1499" s="104" t="e">
        <f t="shared" si="658"/>
        <v>#N/A</v>
      </c>
      <c r="AN1499" s="104" t="e">
        <f t="shared" si="669"/>
        <v>#N/A</v>
      </c>
      <c r="AO1499" s="104" t="e">
        <f t="shared" si="670"/>
        <v>#N/A</v>
      </c>
      <c r="AP1499" s="104" t="e">
        <f t="shared" si="671"/>
        <v>#N/A</v>
      </c>
      <c r="AQ1499" s="104" t="e">
        <f t="shared" si="672"/>
        <v>#N/A</v>
      </c>
      <c r="AR1499" s="105" t="str">
        <f t="shared" si="664"/>
        <v/>
      </c>
      <c r="AS1499" s="105" t="str">
        <f t="shared" si="665"/>
        <v/>
      </c>
      <c r="AT1499" s="108" t="str">
        <f t="shared" si="666"/>
        <v/>
      </c>
      <c r="AU1499" s="108" t="str">
        <f t="shared" si="667"/>
        <v/>
      </c>
      <c r="AV1499" s="107" t="str">
        <f>IF(ISNUMBER(O1499),IF(VLOOKUP($A1499,Stand!C:J,8,FALSE)="Short",AT1499,AU1499),"")</f>
        <v/>
      </c>
      <c r="AW1499" s="109" t="str">
        <f t="shared" si="673"/>
        <v/>
      </c>
      <c r="AX1499" s="109" t="str">
        <f t="shared" si="674"/>
        <v/>
      </c>
      <c r="AY1499" s="112" t="str">
        <f>IF(ISNUMBER(O1499),IF(AND(VLOOKUP($D1499,Merchantability!$B:$C,2,0)="Yes",$E1499&gt;=VLOOKUP($D1499,Merchantability!$B:$D,3,0),$E1499&lt;=VLOOKUP($D1499,Merchantability!$B:$E,4,0)),(AV1499*O1499)*(1-$H1499/100),""),"")</f>
        <v/>
      </c>
      <c r="AZ1499" s="116"/>
      <c r="BA1499" s="116"/>
      <c r="BB1499" s="116"/>
      <c r="BE1499" s="62"/>
      <c r="BF1499" s="63"/>
    </row>
    <row r="1500" spans="1:58" ht="12.75" customHeight="1" x14ac:dyDescent="0.25">
      <c r="A1500" s="333"/>
      <c r="B1500" s="334"/>
      <c r="C1500" s="332"/>
      <c r="D1500" s="334"/>
      <c r="E1500" s="335"/>
      <c r="F1500" s="334"/>
      <c r="G1500" s="332"/>
      <c r="H1500" s="332"/>
      <c r="I1500" s="334"/>
      <c r="J1500" s="336"/>
      <c r="K1500" s="332"/>
      <c r="L1500" s="332"/>
      <c r="M1500" s="76"/>
      <c r="N1500" s="103" t="str">
        <f>IF(A1500="","",VLOOKUP(A1500,Stand!C:K,9,0))</f>
        <v/>
      </c>
      <c r="O1500" s="104" t="str">
        <f t="shared" si="659"/>
        <v/>
      </c>
      <c r="P1500" s="105" t="str">
        <f t="shared" si="660"/>
        <v/>
      </c>
      <c r="Q1500" s="105" t="str">
        <f t="shared" si="648"/>
        <v/>
      </c>
      <c r="R1500" s="103" t="str">
        <f t="shared" si="661"/>
        <v/>
      </c>
      <c r="S1500" s="103" t="str">
        <f t="shared" si="662"/>
        <v/>
      </c>
      <c r="T1500" s="106" t="str">
        <f t="shared" si="649"/>
        <v/>
      </c>
      <c r="U1500" s="106" t="str">
        <f t="shared" si="650"/>
        <v/>
      </c>
      <c r="V1500" s="106" t="str">
        <f t="shared" si="651"/>
        <v/>
      </c>
      <c r="W1500" s="105" t="str">
        <f t="shared" si="663"/>
        <v/>
      </c>
      <c r="X1500" s="104" t="str">
        <f t="shared" si="668"/>
        <v/>
      </c>
      <c r="Y1500" s="104" t="str">
        <f t="array" ref="Y1500">IFERROR(IF(ISNUMBER(O1500),IF(COUNT(IF(A1500=$A$2:$A$2427,IF(D1500=$D$2:$D$2427,IF($X$2:$X$2427&gt;0,1))))&gt;0,SUM(IF(A1500=$A$2:$A$2427,IF(D1500=$D$2:$D$2427,$X$2:$X$2427)))/COUNT(IF(A1500=$A$2:$A$2427,IF(D1500=$D$2:$D$2427,IF(ISNUMBER($X$2:$X$2427),1)))),0),""),0)</f>
        <v/>
      </c>
      <c r="Z1500" s="104" t="str">
        <f>IF(ISNUMBER(O1500),IF(I1500&gt;0,(10^(VLOOKUP(D1500,'Species Codes'!B:C,2,0)+VLOOKUP(D1500,'Species Codes'!B:D,3,0)*LOG(E1500)+VLOOKUP(D1500,'Species Codes'!B:E,4,0)*LOG(I1500))),0),"")</f>
        <v/>
      </c>
      <c r="AA1500" s="104" t="str">
        <f>IFERROR((VLOOKUP(D1500,'Species Codes'!B:G,6,0)*Z1500)/2000,"")</f>
        <v/>
      </c>
      <c r="AB1500" s="104" t="e">
        <f>IF(Z1500&gt;0,((IF(OR(D1500="DF",D1500="RA")=TRUE,EXP(VLOOKUP(D1500,'Species Codes'!B:I,8,0)+VLOOKUP(D1500,'Species Codes'!B:J,9,0)*(LN((E1500*2.54)))),IF(OR(D1500="PY",D1500="RC",D1500="WH",D1500="NF")=TRUE,VLOOKUP(D1500,'Species Codes'!B:I,8,0)+VLOOKUP(D1500,'Species Codes'!B:J,9,0)*((E1500*2.54)^2)*(I1500*0.3048),IF(OR(D1500="MD",D1500="BM",D1500="GA")=TRUE,((VLOOKUP(D1500,'Species Codes'!B:I,8,0)*(((((E1500*2.54)+VLOOKUP(D1500,'Species Codes'!B:J,9,0))/VLOOKUP(D1500,'Species Codes'!B:K,10,0))^VLOOKUP(D1500,'Species Codes'!B:L,11,0))*((I1500*0.3048)^VLOOKUP(D1500,'Species Codes'!B:M,12,0))))-(VLOOKUP(D1500,'Species Codes'!B:I,8,0)*((((E1500*2.54)^VLOOKUP(D1500,'Species Codes'!B:L,11,0))*((I1500*0.3048)^VLOOKUP(D1500,'Species Codes'!B:M,12,0))))))*35.3*VLOOKUP(D1500,'Species Codes'!B:G,6,0)/2.2046,VLOOKUP(D1500,'Species Codes'!B:I,8,0)+VLOOKUP(D1500,'Species Codes'!B:J,9,0)*(((E1500*2.54)/100)^2)*(I1500*0.3048)))))*0.0011023),0)</f>
        <v>#N/A</v>
      </c>
      <c r="AC1500" s="104" t="e">
        <f>IF(Z1500&gt;0,((IF(OR(D1500="RA",D1500="OA",D1500="OT",D1500="UN",D1500="PC"),EXP(VLOOKUP(D1500,'Species Codes'!B:O,14,0)+VLOOKUP(D1500,'Species Codes'!B:P,15,0)*LN((E1500*2.54)))-EXP(VLOOKUP(D1500,'Species Codes'!B:O,14,0)+VLOOKUP(D1500,'Species Codes'!B:P,15,0)*LN((E1500*2.54)))*(1/(VLOOKUP(D1500,'Species Codes'!B:Q,16,0)+VLOOKUP(D1500,'Species Codes'!B:R,17,0)*((E1500*2.54)^VLOOKUP(D1500,'Species Codes'!B:S,18,0)))),IF(OR(D1500="BM",D1500="MD",D1500="OA"),EXP(VLOOKUP(D1500,'Species Codes'!B:O,14,0)+VLOOKUP(D1500,'Species Codes'!B:P,15,0)*LN((E1500*2.54)))*(1-(1/(VLOOKUP(D1500,'Species Codes'!B:Q,16,0)+VLOOKUP(D1500,'Species Codes'!B:R,17,0)*((E1500*2.54)^VLOOKUP(D1500,'Species Codes'!B:S,18,0)))))/1000,IF(D1500="DF",EXP(VLOOKUP(D1500,'Species Codes'!B:O,14,0)+VLOOKUP(D1500,'Species Codes'!B:P,15,0)*LN((E1500*2.54))),VLOOKUP(D1500,'Species Codes'!B:O,14,0)+VLOOKUP(D1500,'Species Codes'!B:P,15,0)*(((E1500*2.54)/100)^2)*(I1500*0.3048)))))*0.0011023),0)</f>
        <v>#N/A</v>
      </c>
      <c r="AD1500" s="104" t="e">
        <f t="shared" si="652"/>
        <v>#N/A</v>
      </c>
      <c r="AE1500" s="104" t="e">
        <f t="shared" si="653"/>
        <v>#N/A</v>
      </c>
      <c r="AF1500" s="104" t="e">
        <f>IF(AND(VLOOKUP($D1500,Merchantability!$B:$C,2,0)="Yes",$E1500&gt;=VLOOKUP($D1500,Merchantability!$B:$D,3,0),$E1500&lt;=VLOOKUP($D1500,Merchantability!$B:$E,4,0)),AA1500,0)</f>
        <v>#N/A</v>
      </c>
      <c r="AG1500" s="104" t="e">
        <f>IF(AND(VLOOKUP($D1500,Merchantability!$B:$C,2,0)="Yes",$E1500&gt;=VLOOKUP($D1500,Merchantability!$B:$D,3,0),$E1500&lt;=VLOOKUP($D1500,Merchantability!$B:$E,4,0)),AB1500,0)</f>
        <v>#N/A</v>
      </c>
      <c r="AH1500" s="104" t="e">
        <f>IF(AND(VLOOKUP($D1500,Merchantability!$B:$C,2,0)="Yes",$E1500&gt;=VLOOKUP($D1500,Merchantability!$B:$D,3,0),$E1500&lt;=VLOOKUP($D1500,Merchantability!$B:$E,4,0)),AC1500,0)</f>
        <v>#N/A</v>
      </c>
      <c r="AI1500" s="104" t="e">
        <f t="shared" si="654"/>
        <v>#N/A</v>
      </c>
      <c r="AJ1500" s="104" t="e">
        <f t="shared" si="655"/>
        <v>#VALUE!</v>
      </c>
      <c r="AK1500" s="104" t="e">
        <f t="shared" si="656"/>
        <v>#N/A</v>
      </c>
      <c r="AL1500" s="104" t="e">
        <f t="shared" si="657"/>
        <v>#N/A</v>
      </c>
      <c r="AM1500" s="104" t="e">
        <f t="shared" si="658"/>
        <v>#N/A</v>
      </c>
      <c r="AN1500" s="104" t="e">
        <f t="shared" si="669"/>
        <v>#N/A</v>
      </c>
      <c r="AO1500" s="104" t="e">
        <f t="shared" si="670"/>
        <v>#N/A</v>
      </c>
      <c r="AP1500" s="104" t="e">
        <f t="shared" si="671"/>
        <v>#N/A</v>
      </c>
      <c r="AQ1500" s="104" t="e">
        <f t="shared" si="672"/>
        <v>#N/A</v>
      </c>
      <c r="AR1500" s="105" t="str">
        <f t="shared" si="664"/>
        <v/>
      </c>
      <c r="AS1500" s="105" t="str">
        <f t="shared" si="665"/>
        <v/>
      </c>
      <c r="AT1500" s="108" t="str">
        <f t="shared" si="666"/>
        <v/>
      </c>
      <c r="AU1500" s="108" t="str">
        <f t="shared" si="667"/>
        <v/>
      </c>
      <c r="AV1500" s="107" t="str">
        <f>IF(ISNUMBER(O1500),IF(VLOOKUP($A1500,Stand!C:J,8,FALSE)="Short",AT1500,AU1500),"")</f>
        <v/>
      </c>
      <c r="AW1500" s="109" t="str">
        <f t="shared" si="673"/>
        <v/>
      </c>
      <c r="AX1500" s="109" t="str">
        <f t="shared" si="674"/>
        <v/>
      </c>
      <c r="AY1500" s="112" t="str">
        <f>IF(ISNUMBER(O1500),IF(AND(VLOOKUP($D1500,Merchantability!$B:$C,2,0)="Yes",$E1500&gt;=VLOOKUP($D1500,Merchantability!$B:$D,3,0),$E1500&lt;=VLOOKUP($D1500,Merchantability!$B:$E,4,0)),(AV1500*O1500)*(1-$H1500/100),""),"")</f>
        <v/>
      </c>
      <c r="AZ1500" s="116"/>
      <c r="BA1500" s="116"/>
      <c r="BB1500" s="116"/>
      <c r="BE1500" s="62"/>
      <c r="BF1500" s="63"/>
    </row>
    <row r="1501" spans="1:58" ht="12.75" customHeight="1" x14ac:dyDescent="0.25">
      <c r="A1501" s="333"/>
      <c r="B1501" s="334"/>
      <c r="C1501" s="332"/>
      <c r="D1501" s="334"/>
      <c r="E1501" s="335"/>
      <c r="F1501" s="334"/>
      <c r="G1501" s="332"/>
      <c r="H1501" s="332"/>
      <c r="I1501" s="334"/>
      <c r="J1501" s="336"/>
      <c r="K1501" s="332"/>
      <c r="L1501" s="332"/>
      <c r="M1501" s="76"/>
      <c r="N1501" s="103" t="str">
        <f>IF(A1501="","",VLOOKUP(A1501,Stand!C:K,9,0))</f>
        <v/>
      </c>
      <c r="O1501" s="104" t="str">
        <f t="shared" si="659"/>
        <v/>
      </c>
      <c r="P1501" s="105" t="str">
        <f t="shared" si="660"/>
        <v/>
      </c>
      <c r="Q1501" s="105" t="str">
        <f t="shared" ref="Q1501:Q1564" si="675">IF(AND(ISNUMBER(O1501),I1501&gt;0),I1501*O1501,"")</f>
        <v/>
      </c>
      <c r="R1501" s="103" t="str">
        <f t="shared" si="661"/>
        <v/>
      </c>
      <c r="S1501" s="103" t="str">
        <f t="shared" si="662"/>
        <v/>
      </c>
      <c r="T1501" s="106" t="str">
        <f t="shared" ref="T1501:T1564" si="676">IF(AND(ISNUMBER(O1501),J1501&gt;0),J1501/100,"")</f>
        <v/>
      </c>
      <c r="U1501" s="106" t="str">
        <f t="shared" ref="U1501:U1564" si="677">IF(AND(ISNUMBER(O1501),J1501&gt;0),T1501*O1501,"")</f>
        <v/>
      </c>
      <c r="V1501" s="106" t="str">
        <f t="shared" ref="V1501:V1564" si="678">IF(AND(ISNUMBER(O1501),I1501&gt;0),W1501*O1501,"")</f>
        <v/>
      </c>
      <c r="W1501" s="105" t="str">
        <f t="shared" si="663"/>
        <v/>
      </c>
      <c r="X1501" s="104" t="str">
        <f t="shared" si="668"/>
        <v/>
      </c>
      <c r="Y1501" s="104" t="str">
        <f t="array" ref="Y1501">IFERROR(IF(ISNUMBER(O1501),IF(COUNT(IF(A1501=$A$2:$A$2427,IF(D1501=$D$2:$D$2427,IF($X$2:$X$2427&gt;0,1))))&gt;0,SUM(IF(A1501=$A$2:$A$2427,IF(D1501=$D$2:$D$2427,$X$2:$X$2427)))/COUNT(IF(A1501=$A$2:$A$2427,IF(D1501=$D$2:$D$2427,IF(ISNUMBER($X$2:$X$2427),1)))),0),""),0)</f>
        <v/>
      </c>
      <c r="Z1501" s="104" t="str">
        <f>IF(ISNUMBER(O1501),IF(I1501&gt;0,(10^(VLOOKUP(D1501,'Species Codes'!B:C,2,0)+VLOOKUP(D1501,'Species Codes'!B:D,3,0)*LOG(E1501)+VLOOKUP(D1501,'Species Codes'!B:E,4,0)*LOG(I1501))),0),"")</f>
        <v/>
      </c>
      <c r="AA1501" s="104" t="str">
        <f>IFERROR((VLOOKUP(D1501,'Species Codes'!B:G,6,0)*Z1501)/2000,"")</f>
        <v/>
      </c>
      <c r="AB1501" s="104" t="e">
        <f>IF(Z1501&gt;0,((IF(OR(D1501="DF",D1501="RA")=TRUE,EXP(VLOOKUP(D1501,'Species Codes'!B:I,8,0)+VLOOKUP(D1501,'Species Codes'!B:J,9,0)*(LN((E1501*2.54)))),IF(OR(D1501="PY",D1501="RC",D1501="WH",D1501="NF")=TRUE,VLOOKUP(D1501,'Species Codes'!B:I,8,0)+VLOOKUP(D1501,'Species Codes'!B:J,9,0)*((E1501*2.54)^2)*(I1501*0.3048),IF(OR(D1501="MD",D1501="BM",D1501="GA")=TRUE,((VLOOKUP(D1501,'Species Codes'!B:I,8,0)*(((((E1501*2.54)+VLOOKUP(D1501,'Species Codes'!B:J,9,0))/VLOOKUP(D1501,'Species Codes'!B:K,10,0))^VLOOKUP(D1501,'Species Codes'!B:L,11,0))*((I1501*0.3048)^VLOOKUP(D1501,'Species Codes'!B:M,12,0))))-(VLOOKUP(D1501,'Species Codes'!B:I,8,0)*((((E1501*2.54)^VLOOKUP(D1501,'Species Codes'!B:L,11,0))*((I1501*0.3048)^VLOOKUP(D1501,'Species Codes'!B:M,12,0))))))*35.3*VLOOKUP(D1501,'Species Codes'!B:G,6,0)/2.2046,VLOOKUP(D1501,'Species Codes'!B:I,8,0)+VLOOKUP(D1501,'Species Codes'!B:J,9,0)*(((E1501*2.54)/100)^2)*(I1501*0.3048)))))*0.0011023),0)</f>
        <v>#N/A</v>
      </c>
      <c r="AC1501" s="104" t="e">
        <f>IF(Z1501&gt;0,((IF(OR(D1501="RA",D1501="OA",D1501="OT",D1501="UN",D1501="PC"),EXP(VLOOKUP(D1501,'Species Codes'!B:O,14,0)+VLOOKUP(D1501,'Species Codes'!B:P,15,0)*LN((E1501*2.54)))-EXP(VLOOKUP(D1501,'Species Codes'!B:O,14,0)+VLOOKUP(D1501,'Species Codes'!B:P,15,0)*LN((E1501*2.54)))*(1/(VLOOKUP(D1501,'Species Codes'!B:Q,16,0)+VLOOKUP(D1501,'Species Codes'!B:R,17,0)*((E1501*2.54)^VLOOKUP(D1501,'Species Codes'!B:S,18,0)))),IF(OR(D1501="BM",D1501="MD",D1501="OA"),EXP(VLOOKUP(D1501,'Species Codes'!B:O,14,0)+VLOOKUP(D1501,'Species Codes'!B:P,15,0)*LN((E1501*2.54)))*(1-(1/(VLOOKUP(D1501,'Species Codes'!B:Q,16,0)+VLOOKUP(D1501,'Species Codes'!B:R,17,0)*((E1501*2.54)^VLOOKUP(D1501,'Species Codes'!B:S,18,0)))))/1000,IF(D1501="DF",EXP(VLOOKUP(D1501,'Species Codes'!B:O,14,0)+VLOOKUP(D1501,'Species Codes'!B:P,15,0)*LN((E1501*2.54))),VLOOKUP(D1501,'Species Codes'!B:O,14,0)+VLOOKUP(D1501,'Species Codes'!B:P,15,0)*(((E1501*2.54)/100)^2)*(I1501*0.3048)))))*0.0011023),0)</f>
        <v>#N/A</v>
      </c>
      <c r="AD1501" s="104" t="e">
        <f t="shared" ref="AD1501:AD1564" si="679">SUM(AA1501:AC1501)</f>
        <v>#N/A</v>
      </c>
      <c r="AE1501" s="104" t="e">
        <f t="shared" ref="AE1501:AE1564" si="680">AD1501*O1501</f>
        <v>#N/A</v>
      </c>
      <c r="AF1501" s="104" t="e">
        <f>IF(AND(VLOOKUP($D1501,Merchantability!$B:$C,2,0)="Yes",$E1501&gt;=VLOOKUP($D1501,Merchantability!$B:$D,3,0),$E1501&lt;=VLOOKUP($D1501,Merchantability!$B:$E,4,0)),AA1501,0)</f>
        <v>#N/A</v>
      </c>
      <c r="AG1501" s="104" t="e">
        <f>IF(AND(VLOOKUP($D1501,Merchantability!$B:$C,2,0)="Yes",$E1501&gt;=VLOOKUP($D1501,Merchantability!$B:$D,3,0),$E1501&lt;=VLOOKUP($D1501,Merchantability!$B:$E,4,0)),AB1501,0)</f>
        <v>#N/A</v>
      </c>
      <c r="AH1501" s="104" t="e">
        <f>IF(AND(VLOOKUP($D1501,Merchantability!$B:$C,2,0)="Yes",$E1501&gt;=VLOOKUP($D1501,Merchantability!$B:$D,3,0),$E1501&lt;=VLOOKUP($D1501,Merchantability!$B:$E,4,0)),AC1501,0)</f>
        <v>#N/A</v>
      </c>
      <c r="AI1501" s="104" t="e">
        <f t="shared" ref="AI1501:AI1564" si="681">SUM(AF1501:AH1501)</f>
        <v>#N/A</v>
      </c>
      <c r="AJ1501" s="104" t="e">
        <f t="shared" ref="AJ1501:AJ1564" si="682">AA1501*$O1501</f>
        <v>#VALUE!</v>
      </c>
      <c r="AK1501" s="104" t="e">
        <f t="shared" ref="AK1501:AK1564" si="683">AB1501*$O1501</f>
        <v>#N/A</v>
      </c>
      <c r="AL1501" s="104" t="e">
        <f t="shared" ref="AL1501:AL1564" si="684">AC1501*$O1501</f>
        <v>#N/A</v>
      </c>
      <c r="AM1501" s="104" t="e">
        <f t="shared" ref="AM1501:AM1564" si="685">AD1501*$O1501</f>
        <v>#N/A</v>
      </c>
      <c r="AN1501" s="104" t="e">
        <f t="shared" si="669"/>
        <v>#N/A</v>
      </c>
      <c r="AO1501" s="104" t="e">
        <f t="shared" si="670"/>
        <v>#N/A</v>
      </c>
      <c r="AP1501" s="104" t="e">
        <f t="shared" si="671"/>
        <v>#N/A</v>
      </c>
      <c r="AQ1501" s="104" t="e">
        <f t="shared" si="672"/>
        <v>#N/A</v>
      </c>
      <c r="AR1501" s="105" t="str">
        <f t="shared" si="664"/>
        <v/>
      </c>
      <c r="AS1501" s="105" t="str">
        <f t="shared" si="665"/>
        <v/>
      </c>
      <c r="AT1501" s="108" t="str">
        <f t="shared" si="666"/>
        <v/>
      </c>
      <c r="AU1501" s="108" t="str">
        <f t="shared" si="667"/>
        <v/>
      </c>
      <c r="AV1501" s="107" t="str">
        <f>IF(ISNUMBER(O1501),IF(VLOOKUP($A1501,Stand!C:J,8,FALSE)="Short",AT1501,AU1501),"")</f>
        <v/>
      </c>
      <c r="AW1501" s="109" t="str">
        <f t="shared" si="673"/>
        <v/>
      </c>
      <c r="AX1501" s="109" t="str">
        <f t="shared" si="674"/>
        <v/>
      </c>
      <c r="AY1501" s="112" t="str">
        <f>IF(ISNUMBER(O1501),IF(AND(VLOOKUP($D1501,Merchantability!$B:$C,2,0)="Yes",$E1501&gt;=VLOOKUP($D1501,Merchantability!$B:$D,3,0),$E1501&lt;=VLOOKUP($D1501,Merchantability!$B:$E,4,0)),(AV1501*O1501)*(1-$H1501/100),""),"")</f>
        <v/>
      </c>
      <c r="AZ1501" s="116"/>
      <c r="BA1501" s="116"/>
      <c r="BB1501" s="116"/>
      <c r="BE1501" s="62"/>
      <c r="BF1501" s="63"/>
    </row>
    <row r="1502" spans="1:58" ht="12.75" customHeight="1" x14ac:dyDescent="0.25">
      <c r="A1502" s="333"/>
      <c r="B1502" s="334"/>
      <c r="C1502" s="332"/>
      <c r="D1502" s="334"/>
      <c r="E1502" s="335"/>
      <c r="F1502" s="334"/>
      <c r="G1502" s="332"/>
      <c r="H1502" s="332"/>
      <c r="I1502" s="334"/>
      <c r="J1502" s="336"/>
      <c r="K1502" s="332"/>
      <c r="L1502" s="332"/>
      <c r="M1502" s="76"/>
      <c r="N1502" s="103" t="str">
        <f>IF(A1502="","",VLOOKUP(A1502,Stand!C:K,9,0))</f>
        <v/>
      </c>
      <c r="O1502" s="104" t="str">
        <f t="shared" si="659"/>
        <v/>
      </c>
      <c r="P1502" s="105" t="str">
        <f t="shared" si="660"/>
        <v/>
      </c>
      <c r="Q1502" s="105" t="str">
        <f t="shared" si="675"/>
        <v/>
      </c>
      <c r="R1502" s="103" t="str">
        <f t="shared" si="661"/>
        <v/>
      </c>
      <c r="S1502" s="103" t="str">
        <f t="shared" si="662"/>
        <v/>
      </c>
      <c r="T1502" s="106" t="str">
        <f t="shared" si="676"/>
        <v/>
      </c>
      <c r="U1502" s="106" t="str">
        <f t="shared" si="677"/>
        <v/>
      </c>
      <c r="V1502" s="106" t="str">
        <f t="shared" si="678"/>
        <v/>
      </c>
      <c r="W1502" s="105" t="str">
        <f t="shared" si="663"/>
        <v/>
      </c>
      <c r="X1502" s="104" t="str">
        <f t="shared" si="668"/>
        <v/>
      </c>
      <c r="Y1502" s="104" t="str">
        <f t="array" ref="Y1502">IFERROR(IF(ISNUMBER(O1502),IF(COUNT(IF(A1502=$A$2:$A$2427,IF(D1502=$D$2:$D$2427,IF($X$2:$X$2427&gt;0,1))))&gt;0,SUM(IF(A1502=$A$2:$A$2427,IF(D1502=$D$2:$D$2427,$X$2:$X$2427)))/COUNT(IF(A1502=$A$2:$A$2427,IF(D1502=$D$2:$D$2427,IF(ISNUMBER($X$2:$X$2427),1)))),0),""),0)</f>
        <v/>
      </c>
      <c r="Z1502" s="104" t="str">
        <f>IF(ISNUMBER(O1502),IF(I1502&gt;0,(10^(VLOOKUP(D1502,'Species Codes'!B:C,2,0)+VLOOKUP(D1502,'Species Codes'!B:D,3,0)*LOG(E1502)+VLOOKUP(D1502,'Species Codes'!B:E,4,0)*LOG(I1502))),0),"")</f>
        <v/>
      </c>
      <c r="AA1502" s="104" t="str">
        <f>IFERROR((VLOOKUP(D1502,'Species Codes'!B:G,6,0)*Z1502)/2000,"")</f>
        <v/>
      </c>
      <c r="AB1502" s="104" t="e">
        <f>IF(Z1502&gt;0,((IF(OR(D1502="DF",D1502="RA")=TRUE,EXP(VLOOKUP(D1502,'Species Codes'!B:I,8,0)+VLOOKUP(D1502,'Species Codes'!B:J,9,0)*(LN((E1502*2.54)))),IF(OR(D1502="PY",D1502="RC",D1502="WH",D1502="NF")=TRUE,VLOOKUP(D1502,'Species Codes'!B:I,8,0)+VLOOKUP(D1502,'Species Codes'!B:J,9,0)*((E1502*2.54)^2)*(I1502*0.3048),IF(OR(D1502="MD",D1502="BM",D1502="GA")=TRUE,((VLOOKUP(D1502,'Species Codes'!B:I,8,0)*(((((E1502*2.54)+VLOOKUP(D1502,'Species Codes'!B:J,9,0))/VLOOKUP(D1502,'Species Codes'!B:K,10,0))^VLOOKUP(D1502,'Species Codes'!B:L,11,0))*((I1502*0.3048)^VLOOKUP(D1502,'Species Codes'!B:M,12,0))))-(VLOOKUP(D1502,'Species Codes'!B:I,8,0)*((((E1502*2.54)^VLOOKUP(D1502,'Species Codes'!B:L,11,0))*((I1502*0.3048)^VLOOKUP(D1502,'Species Codes'!B:M,12,0))))))*35.3*VLOOKUP(D1502,'Species Codes'!B:G,6,0)/2.2046,VLOOKUP(D1502,'Species Codes'!B:I,8,0)+VLOOKUP(D1502,'Species Codes'!B:J,9,0)*(((E1502*2.54)/100)^2)*(I1502*0.3048)))))*0.0011023),0)</f>
        <v>#N/A</v>
      </c>
      <c r="AC1502" s="104" t="e">
        <f>IF(Z1502&gt;0,((IF(OR(D1502="RA",D1502="OA",D1502="OT",D1502="UN",D1502="PC"),EXP(VLOOKUP(D1502,'Species Codes'!B:O,14,0)+VLOOKUP(D1502,'Species Codes'!B:P,15,0)*LN((E1502*2.54)))-EXP(VLOOKUP(D1502,'Species Codes'!B:O,14,0)+VLOOKUP(D1502,'Species Codes'!B:P,15,0)*LN((E1502*2.54)))*(1/(VLOOKUP(D1502,'Species Codes'!B:Q,16,0)+VLOOKUP(D1502,'Species Codes'!B:R,17,0)*((E1502*2.54)^VLOOKUP(D1502,'Species Codes'!B:S,18,0)))),IF(OR(D1502="BM",D1502="MD",D1502="OA"),EXP(VLOOKUP(D1502,'Species Codes'!B:O,14,0)+VLOOKUP(D1502,'Species Codes'!B:P,15,0)*LN((E1502*2.54)))*(1-(1/(VLOOKUP(D1502,'Species Codes'!B:Q,16,0)+VLOOKUP(D1502,'Species Codes'!B:R,17,0)*((E1502*2.54)^VLOOKUP(D1502,'Species Codes'!B:S,18,0)))))/1000,IF(D1502="DF",EXP(VLOOKUP(D1502,'Species Codes'!B:O,14,0)+VLOOKUP(D1502,'Species Codes'!B:P,15,0)*LN((E1502*2.54))),VLOOKUP(D1502,'Species Codes'!B:O,14,0)+VLOOKUP(D1502,'Species Codes'!B:P,15,0)*(((E1502*2.54)/100)^2)*(I1502*0.3048)))))*0.0011023),0)</f>
        <v>#N/A</v>
      </c>
      <c r="AD1502" s="104" t="e">
        <f t="shared" si="679"/>
        <v>#N/A</v>
      </c>
      <c r="AE1502" s="104" t="e">
        <f t="shared" si="680"/>
        <v>#N/A</v>
      </c>
      <c r="AF1502" s="104" t="e">
        <f>IF(AND(VLOOKUP($D1502,Merchantability!$B:$C,2,0)="Yes",$E1502&gt;=VLOOKUP($D1502,Merchantability!$B:$D,3,0),$E1502&lt;=VLOOKUP($D1502,Merchantability!$B:$E,4,0)),AA1502,0)</f>
        <v>#N/A</v>
      </c>
      <c r="AG1502" s="104" t="e">
        <f>IF(AND(VLOOKUP($D1502,Merchantability!$B:$C,2,0)="Yes",$E1502&gt;=VLOOKUP($D1502,Merchantability!$B:$D,3,0),$E1502&lt;=VLOOKUP($D1502,Merchantability!$B:$E,4,0)),AB1502,0)</f>
        <v>#N/A</v>
      </c>
      <c r="AH1502" s="104" t="e">
        <f>IF(AND(VLOOKUP($D1502,Merchantability!$B:$C,2,0)="Yes",$E1502&gt;=VLOOKUP($D1502,Merchantability!$B:$D,3,0),$E1502&lt;=VLOOKUP($D1502,Merchantability!$B:$E,4,0)),AC1502,0)</f>
        <v>#N/A</v>
      </c>
      <c r="AI1502" s="104" t="e">
        <f t="shared" si="681"/>
        <v>#N/A</v>
      </c>
      <c r="AJ1502" s="104" t="e">
        <f t="shared" si="682"/>
        <v>#VALUE!</v>
      </c>
      <c r="AK1502" s="104" t="e">
        <f t="shared" si="683"/>
        <v>#N/A</v>
      </c>
      <c r="AL1502" s="104" t="e">
        <f t="shared" si="684"/>
        <v>#N/A</v>
      </c>
      <c r="AM1502" s="104" t="e">
        <f t="shared" si="685"/>
        <v>#N/A</v>
      </c>
      <c r="AN1502" s="104" t="e">
        <f t="shared" si="669"/>
        <v>#N/A</v>
      </c>
      <c r="AO1502" s="104" t="e">
        <f t="shared" si="670"/>
        <v>#N/A</v>
      </c>
      <c r="AP1502" s="104" t="e">
        <f t="shared" si="671"/>
        <v>#N/A</v>
      </c>
      <c r="AQ1502" s="104" t="e">
        <f t="shared" si="672"/>
        <v>#N/A</v>
      </c>
      <c r="AR1502" s="105" t="str">
        <f t="shared" si="664"/>
        <v/>
      </c>
      <c r="AS1502" s="105" t="str">
        <f t="shared" si="665"/>
        <v/>
      </c>
      <c r="AT1502" s="108" t="str">
        <f t="shared" si="666"/>
        <v/>
      </c>
      <c r="AU1502" s="108" t="str">
        <f t="shared" si="667"/>
        <v/>
      </c>
      <c r="AV1502" s="107" t="str">
        <f>IF(ISNUMBER(O1502),IF(VLOOKUP($A1502,Stand!C:J,8,FALSE)="Short",AT1502,AU1502),"")</f>
        <v/>
      </c>
      <c r="AW1502" s="109" t="str">
        <f t="shared" si="673"/>
        <v/>
      </c>
      <c r="AX1502" s="109" t="str">
        <f t="shared" si="674"/>
        <v/>
      </c>
      <c r="AY1502" s="112" t="str">
        <f>IF(ISNUMBER(O1502),IF(AND(VLOOKUP($D1502,Merchantability!$B:$C,2,0)="Yes",$E1502&gt;=VLOOKUP($D1502,Merchantability!$B:$D,3,0),$E1502&lt;=VLOOKUP($D1502,Merchantability!$B:$E,4,0)),(AV1502*O1502)*(1-$H1502/100),""),"")</f>
        <v/>
      </c>
      <c r="AZ1502" s="116"/>
      <c r="BA1502" s="116"/>
      <c r="BB1502" s="116"/>
      <c r="BE1502" s="62"/>
      <c r="BF1502" s="63"/>
    </row>
    <row r="1503" spans="1:58" ht="12.75" customHeight="1" x14ac:dyDescent="0.25">
      <c r="A1503" s="333"/>
      <c r="B1503" s="334"/>
      <c r="C1503" s="332"/>
      <c r="D1503" s="334"/>
      <c r="E1503" s="335"/>
      <c r="F1503" s="334"/>
      <c r="G1503" s="332"/>
      <c r="H1503" s="332"/>
      <c r="I1503" s="334"/>
      <c r="J1503" s="336"/>
      <c r="K1503" s="332"/>
      <c r="L1503" s="332"/>
      <c r="M1503" s="76"/>
      <c r="N1503" s="103" t="str">
        <f>IF(A1503="","",VLOOKUP(A1503,Stand!C:K,9,0))</f>
        <v/>
      </c>
      <c r="O1503" s="104" t="str">
        <f t="shared" si="659"/>
        <v/>
      </c>
      <c r="P1503" s="105" t="str">
        <f t="shared" si="660"/>
        <v/>
      </c>
      <c r="Q1503" s="105" t="str">
        <f t="shared" si="675"/>
        <v/>
      </c>
      <c r="R1503" s="103" t="str">
        <f t="shared" si="661"/>
        <v/>
      </c>
      <c r="S1503" s="103" t="str">
        <f t="shared" si="662"/>
        <v/>
      </c>
      <c r="T1503" s="106" t="str">
        <f t="shared" si="676"/>
        <v/>
      </c>
      <c r="U1503" s="106" t="str">
        <f t="shared" si="677"/>
        <v/>
      </c>
      <c r="V1503" s="106" t="str">
        <f t="shared" si="678"/>
        <v/>
      </c>
      <c r="W1503" s="105" t="str">
        <f t="shared" si="663"/>
        <v/>
      </c>
      <c r="X1503" s="104" t="str">
        <f t="shared" si="668"/>
        <v/>
      </c>
      <c r="Y1503" s="104" t="str">
        <f t="array" ref="Y1503">IFERROR(IF(ISNUMBER(O1503),IF(COUNT(IF(A1503=$A$2:$A$2427,IF(D1503=$D$2:$D$2427,IF($X$2:$X$2427&gt;0,1))))&gt;0,SUM(IF(A1503=$A$2:$A$2427,IF(D1503=$D$2:$D$2427,$X$2:$X$2427)))/COUNT(IF(A1503=$A$2:$A$2427,IF(D1503=$D$2:$D$2427,IF(ISNUMBER($X$2:$X$2427),1)))),0),""),0)</f>
        <v/>
      </c>
      <c r="Z1503" s="104" t="str">
        <f>IF(ISNUMBER(O1503),IF(I1503&gt;0,(10^(VLOOKUP(D1503,'Species Codes'!B:C,2,0)+VLOOKUP(D1503,'Species Codes'!B:D,3,0)*LOG(E1503)+VLOOKUP(D1503,'Species Codes'!B:E,4,0)*LOG(I1503))),0),"")</f>
        <v/>
      </c>
      <c r="AA1503" s="104" t="str">
        <f>IFERROR((VLOOKUP(D1503,'Species Codes'!B:G,6,0)*Z1503)/2000,"")</f>
        <v/>
      </c>
      <c r="AB1503" s="104" t="e">
        <f>IF(Z1503&gt;0,((IF(OR(D1503="DF",D1503="RA")=TRUE,EXP(VLOOKUP(D1503,'Species Codes'!B:I,8,0)+VLOOKUP(D1503,'Species Codes'!B:J,9,0)*(LN((E1503*2.54)))),IF(OR(D1503="PY",D1503="RC",D1503="WH",D1503="NF")=TRUE,VLOOKUP(D1503,'Species Codes'!B:I,8,0)+VLOOKUP(D1503,'Species Codes'!B:J,9,0)*((E1503*2.54)^2)*(I1503*0.3048),IF(OR(D1503="MD",D1503="BM",D1503="GA")=TRUE,((VLOOKUP(D1503,'Species Codes'!B:I,8,0)*(((((E1503*2.54)+VLOOKUP(D1503,'Species Codes'!B:J,9,0))/VLOOKUP(D1503,'Species Codes'!B:K,10,0))^VLOOKUP(D1503,'Species Codes'!B:L,11,0))*((I1503*0.3048)^VLOOKUP(D1503,'Species Codes'!B:M,12,0))))-(VLOOKUP(D1503,'Species Codes'!B:I,8,0)*((((E1503*2.54)^VLOOKUP(D1503,'Species Codes'!B:L,11,0))*((I1503*0.3048)^VLOOKUP(D1503,'Species Codes'!B:M,12,0))))))*35.3*VLOOKUP(D1503,'Species Codes'!B:G,6,0)/2.2046,VLOOKUP(D1503,'Species Codes'!B:I,8,0)+VLOOKUP(D1503,'Species Codes'!B:J,9,0)*(((E1503*2.54)/100)^2)*(I1503*0.3048)))))*0.0011023),0)</f>
        <v>#N/A</v>
      </c>
      <c r="AC1503" s="104" t="e">
        <f>IF(Z1503&gt;0,((IF(OR(D1503="RA",D1503="OA",D1503="OT",D1503="UN",D1503="PC"),EXP(VLOOKUP(D1503,'Species Codes'!B:O,14,0)+VLOOKUP(D1503,'Species Codes'!B:P,15,0)*LN((E1503*2.54)))-EXP(VLOOKUP(D1503,'Species Codes'!B:O,14,0)+VLOOKUP(D1503,'Species Codes'!B:P,15,0)*LN((E1503*2.54)))*(1/(VLOOKUP(D1503,'Species Codes'!B:Q,16,0)+VLOOKUP(D1503,'Species Codes'!B:R,17,0)*((E1503*2.54)^VLOOKUP(D1503,'Species Codes'!B:S,18,0)))),IF(OR(D1503="BM",D1503="MD",D1503="OA"),EXP(VLOOKUP(D1503,'Species Codes'!B:O,14,0)+VLOOKUP(D1503,'Species Codes'!B:P,15,0)*LN((E1503*2.54)))*(1-(1/(VLOOKUP(D1503,'Species Codes'!B:Q,16,0)+VLOOKUP(D1503,'Species Codes'!B:R,17,0)*((E1503*2.54)^VLOOKUP(D1503,'Species Codes'!B:S,18,0)))))/1000,IF(D1503="DF",EXP(VLOOKUP(D1503,'Species Codes'!B:O,14,0)+VLOOKUP(D1503,'Species Codes'!B:P,15,0)*LN((E1503*2.54))),VLOOKUP(D1503,'Species Codes'!B:O,14,0)+VLOOKUP(D1503,'Species Codes'!B:P,15,0)*(((E1503*2.54)/100)^2)*(I1503*0.3048)))))*0.0011023),0)</f>
        <v>#N/A</v>
      </c>
      <c r="AD1503" s="104" t="e">
        <f t="shared" si="679"/>
        <v>#N/A</v>
      </c>
      <c r="AE1503" s="104" t="e">
        <f t="shared" si="680"/>
        <v>#N/A</v>
      </c>
      <c r="AF1503" s="104" t="e">
        <f>IF(AND(VLOOKUP($D1503,Merchantability!$B:$C,2,0)="Yes",$E1503&gt;=VLOOKUP($D1503,Merchantability!$B:$D,3,0),$E1503&lt;=VLOOKUP($D1503,Merchantability!$B:$E,4,0)),AA1503,0)</f>
        <v>#N/A</v>
      </c>
      <c r="AG1503" s="104" t="e">
        <f>IF(AND(VLOOKUP($D1503,Merchantability!$B:$C,2,0)="Yes",$E1503&gt;=VLOOKUP($D1503,Merchantability!$B:$D,3,0),$E1503&lt;=VLOOKUP($D1503,Merchantability!$B:$E,4,0)),AB1503,0)</f>
        <v>#N/A</v>
      </c>
      <c r="AH1503" s="104" t="e">
        <f>IF(AND(VLOOKUP($D1503,Merchantability!$B:$C,2,0)="Yes",$E1503&gt;=VLOOKUP($D1503,Merchantability!$B:$D,3,0),$E1503&lt;=VLOOKUP($D1503,Merchantability!$B:$E,4,0)),AC1503,0)</f>
        <v>#N/A</v>
      </c>
      <c r="AI1503" s="104" t="e">
        <f t="shared" si="681"/>
        <v>#N/A</v>
      </c>
      <c r="AJ1503" s="104" t="e">
        <f t="shared" si="682"/>
        <v>#VALUE!</v>
      </c>
      <c r="AK1503" s="104" t="e">
        <f t="shared" si="683"/>
        <v>#N/A</v>
      </c>
      <c r="AL1503" s="104" t="e">
        <f t="shared" si="684"/>
        <v>#N/A</v>
      </c>
      <c r="AM1503" s="104" t="e">
        <f t="shared" si="685"/>
        <v>#N/A</v>
      </c>
      <c r="AN1503" s="104" t="e">
        <f t="shared" si="669"/>
        <v>#N/A</v>
      </c>
      <c r="AO1503" s="104" t="e">
        <f t="shared" si="670"/>
        <v>#N/A</v>
      </c>
      <c r="AP1503" s="104" t="e">
        <f t="shared" si="671"/>
        <v>#N/A</v>
      </c>
      <c r="AQ1503" s="104" t="e">
        <f t="shared" si="672"/>
        <v>#N/A</v>
      </c>
      <c r="AR1503" s="105" t="str">
        <f t="shared" si="664"/>
        <v/>
      </c>
      <c r="AS1503" s="105" t="str">
        <f t="shared" si="665"/>
        <v/>
      </c>
      <c r="AT1503" s="108" t="str">
        <f t="shared" si="666"/>
        <v/>
      </c>
      <c r="AU1503" s="108" t="str">
        <f t="shared" si="667"/>
        <v/>
      </c>
      <c r="AV1503" s="107" t="str">
        <f>IF(ISNUMBER(O1503),IF(VLOOKUP($A1503,Stand!C:J,8,FALSE)="Short",AT1503,AU1503),"")</f>
        <v/>
      </c>
      <c r="AW1503" s="109" t="str">
        <f t="shared" si="673"/>
        <v/>
      </c>
      <c r="AX1503" s="109" t="str">
        <f t="shared" si="674"/>
        <v/>
      </c>
      <c r="AY1503" s="112" t="str">
        <f>IF(ISNUMBER(O1503),IF(AND(VLOOKUP($D1503,Merchantability!$B:$C,2,0)="Yes",$E1503&gt;=VLOOKUP($D1503,Merchantability!$B:$D,3,0),$E1503&lt;=VLOOKUP($D1503,Merchantability!$B:$E,4,0)),(AV1503*O1503)*(1-$H1503/100),""),"")</f>
        <v/>
      </c>
      <c r="AZ1503" s="116"/>
      <c r="BA1503" s="116"/>
      <c r="BB1503" s="116"/>
      <c r="BE1503" s="62"/>
      <c r="BF1503" s="63"/>
    </row>
    <row r="1504" spans="1:58" ht="12.75" customHeight="1" x14ac:dyDescent="0.25">
      <c r="A1504" s="333"/>
      <c r="B1504" s="334"/>
      <c r="C1504" s="332"/>
      <c r="D1504" s="334"/>
      <c r="E1504" s="335"/>
      <c r="F1504" s="334"/>
      <c r="G1504" s="332"/>
      <c r="H1504" s="332"/>
      <c r="I1504" s="334"/>
      <c r="J1504" s="336"/>
      <c r="K1504" s="332"/>
      <c r="L1504" s="332"/>
      <c r="M1504" s="76"/>
      <c r="N1504" s="103" t="str">
        <f>IF(A1504="","",VLOOKUP(A1504,Stand!C:K,9,0))</f>
        <v/>
      </c>
      <c r="O1504" s="104" t="str">
        <f t="shared" si="659"/>
        <v/>
      </c>
      <c r="P1504" s="105" t="str">
        <f t="shared" si="660"/>
        <v/>
      </c>
      <c r="Q1504" s="105" t="str">
        <f t="shared" si="675"/>
        <v/>
      </c>
      <c r="R1504" s="103" t="str">
        <f t="shared" si="661"/>
        <v/>
      </c>
      <c r="S1504" s="103" t="str">
        <f t="shared" si="662"/>
        <v/>
      </c>
      <c r="T1504" s="106" t="str">
        <f t="shared" si="676"/>
        <v/>
      </c>
      <c r="U1504" s="106" t="str">
        <f t="shared" si="677"/>
        <v/>
      </c>
      <c r="V1504" s="106" t="str">
        <f t="shared" si="678"/>
        <v/>
      </c>
      <c r="W1504" s="105" t="str">
        <f t="shared" si="663"/>
        <v/>
      </c>
      <c r="X1504" s="104" t="str">
        <f t="shared" si="668"/>
        <v/>
      </c>
      <c r="Y1504" s="104" t="str">
        <f t="array" ref="Y1504">IFERROR(IF(ISNUMBER(O1504),IF(COUNT(IF(A1504=$A$2:$A$2427,IF(D1504=$D$2:$D$2427,IF($X$2:$X$2427&gt;0,1))))&gt;0,SUM(IF(A1504=$A$2:$A$2427,IF(D1504=$D$2:$D$2427,$X$2:$X$2427)))/COUNT(IF(A1504=$A$2:$A$2427,IF(D1504=$D$2:$D$2427,IF(ISNUMBER($X$2:$X$2427),1)))),0),""),0)</f>
        <v/>
      </c>
      <c r="Z1504" s="104" t="str">
        <f>IF(ISNUMBER(O1504),IF(I1504&gt;0,(10^(VLOOKUP(D1504,'Species Codes'!B:C,2,0)+VLOOKUP(D1504,'Species Codes'!B:D,3,0)*LOG(E1504)+VLOOKUP(D1504,'Species Codes'!B:E,4,0)*LOG(I1504))),0),"")</f>
        <v/>
      </c>
      <c r="AA1504" s="104" t="str">
        <f>IFERROR((VLOOKUP(D1504,'Species Codes'!B:G,6,0)*Z1504)/2000,"")</f>
        <v/>
      </c>
      <c r="AB1504" s="104" t="e">
        <f>IF(Z1504&gt;0,((IF(OR(D1504="DF",D1504="RA")=TRUE,EXP(VLOOKUP(D1504,'Species Codes'!B:I,8,0)+VLOOKUP(D1504,'Species Codes'!B:J,9,0)*(LN((E1504*2.54)))),IF(OR(D1504="PY",D1504="RC",D1504="WH",D1504="NF")=TRUE,VLOOKUP(D1504,'Species Codes'!B:I,8,0)+VLOOKUP(D1504,'Species Codes'!B:J,9,0)*((E1504*2.54)^2)*(I1504*0.3048),IF(OR(D1504="MD",D1504="BM",D1504="GA")=TRUE,((VLOOKUP(D1504,'Species Codes'!B:I,8,0)*(((((E1504*2.54)+VLOOKUP(D1504,'Species Codes'!B:J,9,0))/VLOOKUP(D1504,'Species Codes'!B:K,10,0))^VLOOKUP(D1504,'Species Codes'!B:L,11,0))*((I1504*0.3048)^VLOOKUP(D1504,'Species Codes'!B:M,12,0))))-(VLOOKUP(D1504,'Species Codes'!B:I,8,0)*((((E1504*2.54)^VLOOKUP(D1504,'Species Codes'!B:L,11,0))*((I1504*0.3048)^VLOOKUP(D1504,'Species Codes'!B:M,12,0))))))*35.3*VLOOKUP(D1504,'Species Codes'!B:G,6,0)/2.2046,VLOOKUP(D1504,'Species Codes'!B:I,8,0)+VLOOKUP(D1504,'Species Codes'!B:J,9,0)*(((E1504*2.54)/100)^2)*(I1504*0.3048)))))*0.0011023),0)</f>
        <v>#N/A</v>
      </c>
      <c r="AC1504" s="104" t="e">
        <f>IF(Z1504&gt;0,((IF(OR(D1504="RA",D1504="OA",D1504="OT",D1504="UN",D1504="PC"),EXP(VLOOKUP(D1504,'Species Codes'!B:O,14,0)+VLOOKUP(D1504,'Species Codes'!B:P,15,0)*LN((E1504*2.54)))-EXP(VLOOKUP(D1504,'Species Codes'!B:O,14,0)+VLOOKUP(D1504,'Species Codes'!B:P,15,0)*LN((E1504*2.54)))*(1/(VLOOKUP(D1504,'Species Codes'!B:Q,16,0)+VLOOKUP(D1504,'Species Codes'!B:R,17,0)*((E1504*2.54)^VLOOKUP(D1504,'Species Codes'!B:S,18,0)))),IF(OR(D1504="BM",D1504="MD",D1504="OA"),EXP(VLOOKUP(D1504,'Species Codes'!B:O,14,0)+VLOOKUP(D1504,'Species Codes'!B:P,15,0)*LN((E1504*2.54)))*(1-(1/(VLOOKUP(D1504,'Species Codes'!B:Q,16,0)+VLOOKUP(D1504,'Species Codes'!B:R,17,0)*((E1504*2.54)^VLOOKUP(D1504,'Species Codes'!B:S,18,0)))))/1000,IF(D1504="DF",EXP(VLOOKUP(D1504,'Species Codes'!B:O,14,0)+VLOOKUP(D1504,'Species Codes'!B:P,15,0)*LN((E1504*2.54))),VLOOKUP(D1504,'Species Codes'!B:O,14,0)+VLOOKUP(D1504,'Species Codes'!B:P,15,0)*(((E1504*2.54)/100)^2)*(I1504*0.3048)))))*0.0011023),0)</f>
        <v>#N/A</v>
      </c>
      <c r="AD1504" s="104" t="e">
        <f t="shared" si="679"/>
        <v>#N/A</v>
      </c>
      <c r="AE1504" s="104" t="e">
        <f t="shared" si="680"/>
        <v>#N/A</v>
      </c>
      <c r="AF1504" s="104" t="e">
        <f>IF(AND(VLOOKUP($D1504,Merchantability!$B:$C,2,0)="Yes",$E1504&gt;=VLOOKUP($D1504,Merchantability!$B:$D,3,0),$E1504&lt;=VLOOKUP($D1504,Merchantability!$B:$E,4,0)),AA1504,0)</f>
        <v>#N/A</v>
      </c>
      <c r="AG1504" s="104" t="e">
        <f>IF(AND(VLOOKUP($D1504,Merchantability!$B:$C,2,0)="Yes",$E1504&gt;=VLOOKUP($D1504,Merchantability!$B:$D,3,0),$E1504&lt;=VLOOKUP($D1504,Merchantability!$B:$E,4,0)),AB1504,0)</f>
        <v>#N/A</v>
      </c>
      <c r="AH1504" s="104" t="e">
        <f>IF(AND(VLOOKUP($D1504,Merchantability!$B:$C,2,0)="Yes",$E1504&gt;=VLOOKUP($D1504,Merchantability!$B:$D,3,0),$E1504&lt;=VLOOKUP($D1504,Merchantability!$B:$E,4,0)),AC1504,0)</f>
        <v>#N/A</v>
      </c>
      <c r="AI1504" s="104" t="e">
        <f t="shared" si="681"/>
        <v>#N/A</v>
      </c>
      <c r="AJ1504" s="104" t="e">
        <f t="shared" si="682"/>
        <v>#VALUE!</v>
      </c>
      <c r="AK1504" s="104" t="e">
        <f t="shared" si="683"/>
        <v>#N/A</v>
      </c>
      <c r="AL1504" s="104" t="e">
        <f t="shared" si="684"/>
        <v>#N/A</v>
      </c>
      <c r="AM1504" s="104" t="e">
        <f t="shared" si="685"/>
        <v>#N/A</v>
      </c>
      <c r="AN1504" s="104" t="e">
        <f t="shared" si="669"/>
        <v>#N/A</v>
      </c>
      <c r="AO1504" s="104" t="e">
        <f t="shared" si="670"/>
        <v>#N/A</v>
      </c>
      <c r="AP1504" s="104" t="e">
        <f t="shared" si="671"/>
        <v>#N/A</v>
      </c>
      <c r="AQ1504" s="104" t="e">
        <f t="shared" si="672"/>
        <v>#N/A</v>
      </c>
      <c r="AR1504" s="105" t="str">
        <f t="shared" si="664"/>
        <v/>
      </c>
      <c r="AS1504" s="105" t="str">
        <f t="shared" si="665"/>
        <v/>
      </c>
      <c r="AT1504" s="108" t="str">
        <f t="shared" si="666"/>
        <v/>
      </c>
      <c r="AU1504" s="108" t="str">
        <f t="shared" si="667"/>
        <v/>
      </c>
      <c r="AV1504" s="107" t="str">
        <f>IF(ISNUMBER(O1504),IF(VLOOKUP($A1504,Stand!C:J,8,FALSE)="Short",AT1504,AU1504),"")</f>
        <v/>
      </c>
      <c r="AW1504" s="109" t="str">
        <f t="shared" si="673"/>
        <v/>
      </c>
      <c r="AX1504" s="109" t="str">
        <f t="shared" si="674"/>
        <v/>
      </c>
      <c r="AY1504" s="112" t="str">
        <f>IF(ISNUMBER(O1504),IF(AND(VLOOKUP($D1504,Merchantability!$B:$C,2,0)="Yes",$E1504&gt;=VLOOKUP($D1504,Merchantability!$B:$D,3,0),$E1504&lt;=VLOOKUP($D1504,Merchantability!$B:$E,4,0)),(AV1504*O1504)*(1-$H1504/100),""),"")</f>
        <v/>
      </c>
      <c r="AZ1504" s="116"/>
      <c r="BA1504" s="116"/>
      <c r="BB1504" s="116"/>
      <c r="BE1504" s="62"/>
      <c r="BF1504" s="63"/>
    </row>
    <row r="1505" spans="1:58" ht="12.75" customHeight="1" x14ac:dyDescent="0.25">
      <c r="A1505" s="333"/>
      <c r="B1505" s="334"/>
      <c r="C1505" s="332"/>
      <c r="D1505" s="334"/>
      <c r="E1505" s="335"/>
      <c r="F1505" s="334"/>
      <c r="G1505" s="332"/>
      <c r="H1505" s="332"/>
      <c r="I1505" s="334"/>
      <c r="J1505" s="336"/>
      <c r="K1505" s="332"/>
      <c r="L1505" s="332"/>
      <c r="M1505" s="76"/>
      <c r="N1505" s="103" t="str">
        <f>IF(A1505="","",VLOOKUP(A1505,Stand!C:K,9,0))</f>
        <v/>
      </c>
      <c r="O1505" s="104" t="str">
        <f t="shared" si="659"/>
        <v/>
      </c>
      <c r="P1505" s="105" t="str">
        <f t="shared" si="660"/>
        <v/>
      </c>
      <c r="Q1505" s="105" t="str">
        <f t="shared" si="675"/>
        <v/>
      </c>
      <c r="R1505" s="103" t="str">
        <f t="shared" si="661"/>
        <v/>
      </c>
      <c r="S1505" s="103" t="str">
        <f t="shared" si="662"/>
        <v/>
      </c>
      <c r="T1505" s="106" t="str">
        <f t="shared" si="676"/>
        <v/>
      </c>
      <c r="U1505" s="106" t="str">
        <f t="shared" si="677"/>
        <v/>
      </c>
      <c r="V1505" s="106" t="str">
        <f t="shared" si="678"/>
        <v/>
      </c>
      <c r="W1505" s="105" t="str">
        <f t="shared" si="663"/>
        <v/>
      </c>
      <c r="X1505" s="104" t="str">
        <f t="shared" si="668"/>
        <v/>
      </c>
      <c r="Y1505" s="104" t="str">
        <f t="array" ref="Y1505">IFERROR(IF(ISNUMBER(O1505),IF(COUNT(IF(A1505=$A$2:$A$2427,IF(D1505=$D$2:$D$2427,IF($X$2:$X$2427&gt;0,1))))&gt;0,SUM(IF(A1505=$A$2:$A$2427,IF(D1505=$D$2:$D$2427,$X$2:$X$2427)))/COUNT(IF(A1505=$A$2:$A$2427,IF(D1505=$D$2:$D$2427,IF(ISNUMBER($X$2:$X$2427),1)))),0),""),0)</f>
        <v/>
      </c>
      <c r="Z1505" s="104" t="str">
        <f>IF(ISNUMBER(O1505),IF(I1505&gt;0,(10^(VLOOKUP(D1505,'Species Codes'!B:C,2,0)+VLOOKUP(D1505,'Species Codes'!B:D,3,0)*LOG(E1505)+VLOOKUP(D1505,'Species Codes'!B:E,4,0)*LOG(I1505))),0),"")</f>
        <v/>
      </c>
      <c r="AA1505" s="104" t="str">
        <f>IFERROR((VLOOKUP(D1505,'Species Codes'!B:G,6,0)*Z1505)/2000,"")</f>
        <v/>
      </c>
      <c r="AB1505" s="104" t="e">
        <f>IF(Z1505&gt;0,((IF(OR(D1505="DF",D1505="RA")=TRUE,EXP(VLOOKUP(D1505,'Species Codes'!B:I,8,0)+VLOOKUP(D1505,'Species Codes'!B:J,9,0)*(LN((E1505*2.54)))),IF(OR(D1505="PY",D1505="RC",D1505="WH",D1505="NF")=TRUE,VLOOKUP(D1505,'Species Codes'!B:I,8,0)+VLOOKUP(D1505,'Species Codes'!B:J,9,0)*((E1505*2.54)^2)*(I1505*0.3048),IF(OR(D1505="MD",D1505="BM",D1505="GA")=TRUE,((VLOOKUP(D1505,'Species Codes'!B:I,8,0)*(((((E1505*2.54)+VLOOKUP(D1505,'Species Codes'!B:J,9,0))/VLOOKUP(D1505,'Species Codes'!B:K,10,0))^VLOOKUP(D1505,'Species Codes'!B:L,11,0))*((I1505*0.3048)^VLOOKUP(D1505,'Species Codes'!B:M,12,0))))-(VLOOKUP(D1505,'Species Codes'!B:I,8,0)*((((E1505*2.54)^VLOOKUP(D1505,'Species Codes'!B:L,11,0))*((I1505*0.3048)^VLOOKUP(D1505,'Species Codes'!B:M,12,0))))))*35.3*VLOOKUP(D1505,'Species Codes'!B:G,6,0)/2.2046,VLOOKUP(D1505,'Species Codes'!B:I,8,0)+VLOOKUP(D1505,'Species Codes'!B:J,9,0)*(((E1505*2.54)/100)^2)*(I1505*0.3048)))))*0.0011023),0)</f>
        <v>#N/A</v>
      </c>
      <c r="AC1505" s="104" t="e">
        <f>IF(Z1505&gt;0,((IF(OR(D1505="RA",D1505="OA",D1505="OT",D1505="UN",D1505="PC"),EXP(VLOOKUP(D1505,'Species Codes'!B:O,14,0)+VLOOKUP(D1505,'Species Codes'!B:P,15,0)*LN((E1505*2.54)))-EXP(VLOOKUP(D1505,'Species Codes'!B:O,14,0)+VLOOKUP(D1505,'Species Codes'!B:P,15,0)*LN((E1505*2.54)))*(1/(VLOOKUP(D1505,'Species Codes'!B:Q,16,0)+VLOOKUP(D1505,'Species Codes'!B:R,17,0)*((E1505*2.54)^VLOOKUP(D1505,'Species Codes'!B:S,18,0)))),IF(OR(D1505="BM",D1505="MD",D1505="OA"),EXP(VLOOKUP(D1505,'Species Codes'!B:O,14,0)+VLOOKUP(D1505,'Species Codes'!B:P,15,0)*LN((E1505*2.54)))*(1-(1/(VLOOKUP(D1505,'Species Codes'!B:Q,16,0)+VLOOKUP(D1505,'Species Codes'!B:R,17,0)*((E1505*2.54)^VLOOKUP(D1505,'Species Codes'!B:S,18,0)))))/1000,IF(D1505="DF",EXP(VLOOKUP(D1505,'Species Codes'!B:O,14,0)+VLOOKUP(D1505,'Species Codes'!B:P,15,0)*LN((E1505*2.54))),VLOOKUP(D1505,'Species Codes'!B:O,14,0)+VLOOKUP(D1505,'Species Codes'!B:P,15,0)*(((E1505*2.54)/100)^2)*(I1505*0.3048)))))*0.0011023),0)</f>
        <v>#N/A</v>
      </c>
      <c r="AD1505" s="104" t="e">
        <f t="shared" si="679"/>
        <v>#N/A</v>
      </c>
      <c r="AE1505" s="104" t="e">
        <f t="shared" si="680"/>
        <v>#N/A</v>
      </c>
      <c r="AF1505" s="104" t="e">
        <f>IF(AND(VLOOKUP($D1505,Merchantability!$B:$C,2,0)="Yes",$E1505&gt;=VLOOKUP($D1505,Merchantability!$B:$D,3,0),$E1505&lt;=VLOOKUP($D1505,Merchantability!$B:$E,4,0)),AA1505,0)</f>
        <v>#N/A</v>
      </c>
      <c r="AG1505" s="104" t="e">
        <f>IF(AND(VLOOKUP($D1505,Merchantability!$B:$C,2,0)="Yes",$E1505&gt;=VLOOKUP($D1505,Merchantability!$B:$D,3,0),$E1505&lt;=VLOOKUP($D1505,Merchantability!$B:$E,4,0)),AB1505,0)</f>
        <v>#N/A</v>
      </c>
      <c r="AH1505" s="104" t="e">
        <f>IF(AND(VLOOKUP($D1505,Merchantability!$B:$C,2,0)="Yes",$E1505&gt;=VLOOKUP($D1505,Merchantability!$B:$D,3,0),$E1505&lt;=VLOOKUP($D1505,Merchantability!$B:$E,4,0)),AC1505,0)</f>
        <v>#N/A</v>
      </c>
      <c r="AI1505" s="104" t="e">
        <f t="shared" si="681"/>
        <v>#N/A</v>
      </c>
      <c r="AJ1505" s="104" t="e">
        <f t="shared" si="682"/>
        <v>#VALUE!</v>
      </c>
      <c r="AK1505" s="104" t="e">
        <f t="shared" si="683"/>
        <v>#N/A</v>
      </c>
      <c r="AL1505" s="104" t="e">
        <f t="shared" si="684"/>
        <v>#N/A</v>
      </c>
      <c r="AM1505" s="104" t="e">
        <f t="shared" si="685"/>
        <v>#N/A</v>
      </c>
      <c r="AN1505" s="104" t="e">
        <f t="shared" si="669"/>
        <v>#N/A</v>
      </c>
      <c r="AO1505" s="104" t="e">
        <f t="shared" si="670"/>
        <v>#N/A</v>
      </c>
      <c r="AP1505" s="104" t="e">
        <f t="shared" si="671"/>
        <v>#N/A</v>
      </c>
      <c r="AQ1505" s="104" t="e">
        <f t="shared" si="672"/>
        <v>#N/A</v>
      </c>
      <c r="AR1505" s="105" t="str">
        <f t="shared" si="664"/>
        <v/>
      </c>
      <c r="AS1505" s="105" t="str">
        <f t="shared" si="665"/>
        <v/>
      </c>
      <c r="AT1505" s="108" t="str">
        <f t="shared" si="666"/>
        <v/>
      </c>
      <c r="AU1505" s="108" t="str">
        <f t="shared" si="667"/>
        <v/>
      </c>
      <c r="AV1505" s="107" t="str">
        <f>IF(ISNUMBER(O1505),IF(VLOOKUP($A1505,Stand!C:J,8,FALSE)="Short",AT1505,AU1505),"")</f>
        <v/>
      </c>
      <c r="AW1505" s="109" t="str">
        <f t="shared" si="673"/>
        <v/>
      </c>
      <c r="AX1505" s="109" t="str">
        <f t="shared" si="674"/>
        <v/>
      </c>
      <c r="AY1505" s="112" t="str">
        <f>IF(ISNUMBER(O1505),IF(AND(VLOOKUP($D1505,Merchantability!$B:$C,2,0)="Yes",$E1505&gt;=VLOOKUP($D1505,Merchantability!$B:$D,3,0),$E1505&lt;=VLOOKUP($D1505,Merchantability!$B:$E,4,0)),(AV1505*O1505)*(1-$H1505/100),""),"")</f>
        <v/>
      </c>
      <c r="AZ1505" s="116"/>
      <c r="BA1505" s="116"/>
      <c r="BB1505" s="116"/>
      <c r="BE1505" s="62"/>
      <c r="BF1505" s="63"/>
    </row>
    <row r="1506" spans="1:58" ht="12.75" customHeight="1" x14ac:dyDescent="0.25">
      <c r="A1506" s="333"/>
      <c r="B1506" s="334"/>
      <c r="C1506" s="332"/>
      <c r="D1506" s="334"/>
      <c r="E1506" s="335"/>
      <c r="F1506" s="334"/>
      <c r="G1506" s="332"/>
      <c r="H1506" s="332"/>
      <c r="I1506" s="334"/>
      <c r="J1506" s="336"/>
      <c r="K1506" s="332"/>
      <c r="L1506" s="332"/>
      <c r="M1506" s="76"/>
      <c r="N1506" s="103" t="str">
        <f>IF(A1506="","",VLOOKUP(A1506,Stand!C:K,9,0))</f>
        <v/>
      </c>
      <c r="O1506" s="104" t="str">
        <f t="shared" si="659"/>
        <v/>
      </c>
      <c r="P1506" s="105" t="str">
        <f t="shared" si="660"/>
        <v/>
      </c>
      <c r="Q1506" s="105" t="str">
        <f t="shared" si="675"/>
        <v/>
      </c>
      <c r="R1506" s="103" t="str">
        <f t="shared" si="661"/>
        <v/>
      </c>
      <c r="S1506" s="103" t="str">
        <f t="shared" si="662"/>
        <v/>
      </c>
      <c r="T1506" s="106" t="str">
        <f t="shared" si="676"/>
        <v/>
      </c>
      <c r="U1506" s="106" t="str">
        <f t="shared" si="677"/>
        <v/>
      </c>
      <c r="V1506" s="106" t="str">
        <f t="shared" si="678"/>
        <v/>
      </c>
      <c r="W1506" s="105" t="str">
        <f t="shared" si="663"/>
        <v/>
      </c>
      <c r="X1506" s="104" t="str">
        <f t="shared" si="668"/>
        <v/>
      </c>
      <c r="Y1506" s="104" t="str">
        <f t="array" ref="Y1506">IFERROR(IF(ISNUMBER(O1506),IF(COUNT(IF(A1506=$A$2:$A$2427,IF(D1506=$D$2:$D$2427,IF($X$2:$X$2427&gt;0,1))))&gt;0,SUM(IF(A1506=$A$2:$A$2427,IF(D1506=$D$2:$D$2427,$X$2:$X$2427)))/COUNT(IF(A1506=$A$2:$A$2427,IF(D1506=$D$2:$D$2427,IF(ISNUMBER($X$2:$X$2427),1)))),0),""),0)</f>
        <v/>
      </c>
      <c r="Z1506" s="104" t="str">
        <f>IF(ISNUMBER(O1506),IF(I1506&gt;0,(10^(VLOOKUP(D1506,'Species Codes'!B:C,2,0)+VLOOKUP(D1506,'Species Codes'!B:D,3,0)*LOG(E1506)+VLOOKUP(D1506,'Species Codes'!B:E,4,0)*LOG(I1506))),0),"")</f>
        <v/>
      </c>
      <c r="AA1506" s="104" t="str">
        <f>IFERROR((VLOOKUP(D1506,'Species Codes'!B:G,6,0)*Z1506)/2000,"")</f>
        <v/>
      </c>
      <c r="AB1506" s="104" t="e">
        <f>IF(Z1506&gt;0,((IF(OR(D1506="DF",D1506="RA")=TRUE,EXP(VLOOKUP(D1506,'Species Codes'!B:I,8,0)+VLOOKUP(D1506,'Species Codes'!B:J,9,0)*(LN((E1506*2.54)))),IF(OR(D1506="PY",D1506="RC",D1506="WH",D1506="NF")=TRUE,VLOOKUP(D1506,'Species Codes'!B:I,8,0)+VLOOKUP(D1506,'Species Codes'!B:J,9,0)*((E1506*2.54)^2)*(I1506*0.3048),IF(OR(D1506="MD",D1506="BM",D1506="GA")=TRUE,((VLOOKUP(D1506,'Species Codes'!B:I,8,0)*(((((E1506*2.54)+VLOOKUP(D1506,'Species Codes'!B:J,9,0))/VLOOKUP(D1506,'Species Codes'!B:K,10,0))^VLOOKUP(D1506,'Species Codes'!B:L,11,0))*((I1506*0.3048)^VLOOKUP(D1506,'Species Codes'!B:M,12,0))))-(VLOOKUP(D1506,'Species Codes'!B:I,8,0)*((((E1506*2.54)^VLOOKUP(D1506,'Species Codes'!B:L,11,0))*((I1506*0.3048)^VLOOKUP(D1506,'Species Codes'!B:M,12,0))))))*35.3*VLOOKUP(D1506,'Species Codes'!B:G,6,0)/2.2046,VLOOKUP(D1506,'Species Codes'!B:I,8,0)+VLOOKUP(D1506,'Species Codes'!B:J,9,0)*(((E1506*2.54)/100)^2)*(I1506*0.3048)))))*0.0011023),0)</f>
        <v>#N/A</v>
      </c>
      <c r="AC1506" s="104" t="e">
        <f>IF(Z1506&gt;0,((IF(OR(D1506="RA",D1506="OA",D1506="OT",D1506="UN",D1506="PC"),EXP(VLOOKUP(D1506,'Species Codes'!B:O,14,0)+VLOOKUP(D1506,'Species Codes'!B:P,15,0)*LN((E1506*2.54)))-EXP(VLOOKUP(D1506,'Species Codes'!B:O,14,0)+VLOOKUP(D1506,'Species Codes'!B:P,15,0)*LN((E1506*2.54)))*(1/(VLOOKUP(D1506,'Species Codes'!B:Q,16,0)+VLOOKUP(D1506,'Species Codes'!B:R,17,0)*((E1506*2.54)^VLOOKUP(D1506,'Species Codes'!B:S,18,0)))),IF(OR(D1506="BM",D1506="MD",D1506="OA"),EXP(VLOOKUP(D1506,'Species Codes'!B:O,14,0)+VLOOKUP(D1506,'Species Codes'!B:P,15,0)*LN((E1506*2.54)))*(1-(1/(VLOOKUP(D1506,'Species Codes'!B:Q,16,0)+VLOOKUP(D1506,'Species Codes'!B:R,17,0)*((E1506*2.54)^VLOOKUP(D1506,'Species Codes'!B:S,18,0)))))/1000,IF(D1506="DF",EXP(VLOOKUP(D1506,'Species Codes'!B:O,14,0)+VLOOKUP(D1506,'Species Codes'!B:P,15,0)*LN((E1506*2.54))),VLOOKUP(D1506,'Species Codes'!B:O,14,0)+VLOOKUP(D1506,'Species Codes'!B:P,15,0)*(((E1506*2.54)/100)^2)*(I1506*0.3048)))))*0.0011023),0)</f>
        <v>#N/A</v>
      </c>
      <c r="AD1506" s="104" t="e">
        <f t="shared" si="679"/>
        <v>#N/A</v>
      </c>
      <c r="AE1506" s="104" t="e">
        <f t="shared" si="680"/>
        <v>#N/A</v>
      </c>
      <c r="AF1506" s="104" t="e">
        <f>IF(AND(VLOOKUP($D1506,Merchantability!$B:$C,2,0)="Yes",$E1506&gt;=VLOOKUP($D1506,Merchantability!$B:$D,3,0),$E1506&lt;=VLOOKUP($D1506,Merchantability!$B:$E,4,0)),AA1506,0)</f>
        <v>#N/A</v>
      </c>
      <c r="AG1506" s="104" t="e">
        <f>IF(AND(VLOOKUP($D1506,Merchantability!$B:$C,2,0)="Yes",$E1506&gt;=VLOOKUP($D1506,Merchantability!$B:$D,3,0),$E1506&lt;=VLOOKUP($D1506,Merchantability!$B:$E,4,0)),AB1506,0)</f>
        <v>#N/A</v>
      </c>
      <c r="AH1506" s="104" t="e">
        <f>IF(AND(VLOOKUP($D1506,Merchantability!$B:$C,2,0)="Yes",$E1506&gt;=VLOOKUP($D1506,Merchantability!$B:$D,3,0),$E1506&lt;=VLOOKUP($D1506,Merchantability!$B:$E,4,0)),AC1506,0)</f>
        <v>#N/A</v>
      </c>
      <c r="AI1506" s="104" t="e">
        <f t="shared" si="681"/>
        <v>#N/A</v>
      </c>
      <c r="AJ1506" s="104" t="e">
        <f t="shared" si="682"/>
        <v>#VALUE!</v>
      </c>
      <c r="AK1506" s="104" t="e">
        <f t="shared" si="683"/>
        <v>#N/A</v>
      </c>
      <c r="AL1506" s="104" t="e">
        <f t="shared" si="684"/>
        <v>#N/A</v>
      </c>
      <c r="AM1506" s="104" t="e">
        <f t="shared" si="685"/>
        <v>#N/A</v>
      </c>
      <c r="AN1506" s="104" t="e">
        <f t="shared" si="669"/>
        <v>#N/A</v>
      </c>
      <c r="AO1506" s="104" t="e">
        <f t="shared" si="670"/>
        <v>#N/A</v>
      </c>
      <c r="AP1506" s="104" t="e">
        <f t="shared" si="671"/>
        <v>#N/A</v>
      </c>
      <c r="AQ1506" s="104" t="e">
        <f t="shared" si="672"/>
        <v>#N/A</v>
      </c>
      <c r="AR1506" s="105" t="str">
        <f t="shared" si="664"/>
        <v/>
      </c>
      <c r="AS1506" s="105" t="str">
        <f t="shared" si="665"/>
        <v/>
      </c>
      <c r="AT1506" s="108" t="str">
        <f t="shared" si="666"/>
        <v/>
      </c>
      <c r="AU1506" s="108" t="str">
        <f t="shared" si="667"/>
        <v/>
      </c>
      <c r="AV1506" s="107" t="str">
        <f>IF(ISNUMBER(O1506),IF(VLOOKUP($A1506,Stand!C:J,8,FALSE)="Short",AT1506,AU1506),"")</f>
        <v/>
      </c>
      <c r="AW1506" s="109" t="str">
        <f t="shared" si="673"/>
        <v/>
      </c>
      <c r="AX1506" s="109" t="str">
        <f t="shared" si="674"/>
        <v/>
      </c>
      <c r="AY1506" s="112" t="str">
        <f>IF(ISNUMBER(O1506),IF(AND(VLOOKUP($D1506,Merchantability!$B:$C,2,0)="Yes",$E1506&gt;=VLOOKUP($D1506,Merchantability!$B:$D,3,0),$E1506&lt;=VLOOKUP($D1506,Merchantability!$B:$E,4,0)),(AV1506*O1506)*(1-$H1506/100),""),"")</f>
        <v/>
      </c>
      <c r="AZ1506" s="116"/>
      <c r="BA1506" s="116"/>
      <c r="BB1506" s="116"/>
      <c r="BE1506" s="62"/>
      <c r="BF1506" s="63"/>
    </row>
    <row r="1507" spans="1:58" ht="12.75" customHeight="1" x14ac:dyDescent="0.25">
      <c r="A1507" s="333"/>
      <c r="B1507" s="334"/>
      <c r="C1507" s="332"/>
      <c r="D1507" s="334"/>
      <c r="E1507" s="335"/>
      <c r="F1507" s="334"/>
      <c r="G1507" s="332"/>
      <c r="H1507" s="332"/>
      <c r="I1507" s="334"/>
      <c r="J1507" s="336"/>
      <c r="K1507" s="332"/>
      <c r="L1507" s="332"/>
      <c r="M1507" s="76"/>
      <c r="N1507" s="103" t="str">
        <f>IF(A1507="","",VLOOKUP(A1507,Stand!C:K,9,0))</f>
        <v/>
      </c>
      <c r="O1507" s="104" t="str">
        <f t="shared" si="659"/>
        <v/>
      </c>
      <c r="P1507" s="105" t="str">
        <f t="shared" si="660"/>
        <v/>
      </c>
      <c r="Q1507" s="105" t="str">
        <f t="shared" si="675"/>
        <v/>
      </c>
      <c r="R1507" s="103" t="str">
        <f t="shared" si="661"/>
        <v/>
      </c>
      <c r="S1507" s="103" t="str">
        <f t="shared" si="662"/>
        <v/>
      </c>
      <c r="T1507" s="106" t="str">
        <f t="shared" si="676"/>
        <v/>
      </c>
      <c r="U1507" s="106" t="str">
        <f t="shared" si="677"/>
        <v/>
      </c>
      <c r="V1507" s="106" t="str">
        <f t="shared" si="678"/>
        <v/>
      </c>
      <c r="W1507" s="105" t="str">
        <f t="shared" si="663"/>
        <v/>
      </c>
      <c r="X1507" s="104" t="str">
        <f t="shared" si="668"/>
        <v/>
      </c>
      <c r="Y1507" s="104" t="str">
        <f t="array" ref="Y1507">IFERROR(IF(ISNUMBER(O1507),IF(COUNT(IF(A1507=$A$2:$A$2427,IF(D1507=$D$2:$D$2427,IF($X$2:$X$2427&gt;0,1))))&gt;0,SUM(IF(A1507=$A$2:$A$2427,IF(D1507=$D$2:$D$2427,$X$2:$X$2427)))/COUNT(IF(A1507=$A$2:$A$2427,IF(D1507=$D$2:$D$2427,IF(ISNUMBER($X$2:$X$2427),1)))),0),""),0)</f>
        <v/>
      </c>
      <c r="Z1507" s="104" t="str">
        <f>IF(ISNUMBER(O1507),IF(I1507&gt;0,(10^(VLOOKUP(D1507,'Species Codes'!B:C,2,0)+VLOOKUP(D1507,'Species Codes'!B:D,3,0)*LOG(E1507)+VLOOKUP(D1507,'Species Codes'!B:E,4,0)*LOG(I1507))),0),"")</f>
        <v/>
      </c>
      <c r="AA1507" s="104" t="str">
        <f>IFERROR((VLOOKUP(D1507,'Species Codes'!B:G,6,0)*Z1507)/2000,"")</f>
        <v/>
      </c>
      <c r="AB1507" s="104" t="e">
        <f>IF(Z1507&gt;0,((IF(OR(D1507="DF",D1507="RA")=TRUE,EXP(VLOOKUP(D1507,'Species Codes'!B:I,8,0)+VLOOKUP(D1507,'Species Codes'!B:J,9,0)*(LN((E1507*2.54)))),IF(OR(D1507="PY",D1507="RC",D1507="WH",D1507="NF")=TRUE,VLOOKUP(D1507,'Species Codes'!B:I,8,0)+VLOOKUP(D1507,'Species Codes'!B:J,9,0)*((E1507*2.54)^2)*(I1507*0.3048),IF(OR(D1507="MD",D1507="BM",D1507="GA")=TRUE,((VLOOKUP(D1507,'Species Codes'!B:I,8,0)*(((((E1507*2.54)+VLOOKUP(D1507,'Species Codes'!B:J,9,0))/VLOOKUP(D1507,'Species Codes'!B:K,10,0))^VLOOKUP(D1507,'Species Codes'!B:L,11,0))*((I1507*0.3048)^VLOOKUP(D1507,'Species Codes'!B:M,12,0))))-(VLOOKUP(D1507,'Species Codes'!B:I,8,0)*((((E1507*2.54)^VLOOKUP(D1507,'Species Codes'!B:L,11,0))*((I1507*0.3048)^VLOOKUP(D1507,'Species Codes'!B:M,12,0))))))*35.3*VLOOKUP(D1507,'Species Codes'!B:G,6,0)/2.2046,VLOOKUP(D1507,'Species Codes'!B:I,8,0)+VLOOKUP(D1507,'Species Codes'!B:J,9,0)*(((E1507*2.54)/100)^2)*(I1507*0.3048)))))*0.0011023),0)</f>
        <v>#N/A</v>
      </c>
      <c r="AC1507" s="104" t="e">
        <f>IF(Z1507&gt;0,((IF(OR(D1507="RA",D1507="OA",D1507="OT",D1507="UN",D1507="PC"),EXP(VLOOKUP(D1507,'Species Codes'!B:O,14,0)+VLOOKUP(D1507,'Species Codes'!B:P,15,0)*LN((E1507*2.54)))-EXP(VLOOKUP(D1507,'Species Codes'!B:O,14,0)+VLOOKUP(D1507,'Species Codes'!B:P,15,0)*LN((E1507*2.54)))*(1/(VLOOKUP(D1507,'Species Codes'!B:Q,16,0)+VLOOKUP(D1507,'Species Codes'!B:R,17,0)*((E1507*2.54)^VLOOKUP(D1507,'Species Codes'!B:S,18,0)))),IF(OR(D1507="BM",D1507="MD",D1507="OA"),EXP(VLOOKUP(D1507,'Species Codes'!B:O,14,0)+VLOOKUP(D1507,'Species Codes'!B:P,15,0)*LN((E1507*2.54)))*(1-(1/(VLOOKUP(D1507,'Species Codes'!B:Q,16,0)+VLOOKUP(D1507,'Species Codes'!B:R,17,0)*((E1507*2.54)^VLOOKUP(D1507,'Species Codes'!B:S,18,0)))))/1000,IF(D1507="DF",EXP(VLOOKUP(D1507,'Species Codes'!B:O,14,0)+VLOOKUP(D1507,'Species Codes'!B:P,15,0)*LN((E1507*2.54))),VLOOKUP(D1507,'Species Codes'!B:O,14,0)+VLOOKUP(D1507,'Species Codes'!B:P,15,0)*(((E1507*2.54)/100)^2)*(I1507*0.3048)))))*0.0011023),0)</f>
        <v>#N/A</v>
      </c>
      <c r="AD1507" s="104" t="e">
        <f t="shared" si="679"/>
        <v>#N/A</v>
      </c>
      <c r="AE1507" s="104" t="e">
        <f t="shared" si="680"/>
        <v>#N/A</v>
      </c>
      <c r="AF1507" s="104" t="e">
        <f>IF(AND(VLOOKUP($D1507,Merchantability!$B:$C,2,0)="Yes",$E1507&gt;=VLOOKUP($D1507,Merchantability!$B:$D,3,0),$E1507&lt;=VLOOKUP($D1507,Merchantability!$B:$E,4,0)),AA1507,0)</f>
        <v>#N/A</v>
      </c>
      <c r="AG1507" s="104" t="e">
        <f>IF(AND(VLOOKUP($D1507,Merchantability!$B:$C,2,0)="Yes",$E1507&gt;=VLOOKUP($D1507,Merchantability!$B:$D,3,0),$E1507&lt;=VLOOKUP($D1507,Merchantability!$B:$E,4,0)),AB1507,0)</f>
        <v>#N/A</v>
      </c>
      <c r="AH1507" s="104" t="e">
        <f>IF(AND(VLOOKUP($D1507,Merchantability!$B:$C,2,0)="Yes",$E1507&gt;=VLOOKUP($D1507,Merchantability!$B:$D,3,0),$E1507&lt;=VLOOKUP($D1507,Merchantability!$B:$E,4,0)),AC1507,0)</f>
        <v>#N/A</v>
      </c>
      <c r="AI1507" s="104" t="e">
        <f t="shared" si="681"/>
        <v>#N/A</v>
      </c>
      <c r="AJ1507" s="104" t="e">
        <f t="shared" si="682"/>
        <v>#VALUE!</v>
      </c>
      <c r="AK1507" s="104" t="e">
        <f t="shared" si="683"/>
        <v>#N/A</v>
      </c>
      <c r="AL1507" s="104" t="e">
        <f t="shared" si="684"/>
        <v>#N/A</v>
      </c>
      <c r="AM1507" s="104" t="e">
        <f t="shared" si="685"/>
        <v>#N/A</v>
      </c>
      <c r="AN1507" s="104" t="e">
        <f t="shared" si="669"/>
        <v>#N/A</v>
      </c>
      <c r="AO1507" s="104" t="e">
        <f t="shared" si="670"/>
        <v>#N/A</v>
      </c>
      <c r="AP1507" s="104" t="e">
        <f t="shared" si="671"/>
        <v>#N/A</v>
      </c>
      <c r="AQ1507" s="104" t="e">
        <f t="shared" si="672"/>
        <v>#N/A</v>
      </c>
      <c r="AR1507" s="105" t="str">
        <f t="shared" si="664"/>
        <v/>
      </c>
      <c r="AS1507" s="105" t="str">
        <f t="shared" si="665"/>
        <v/>
      </c>
      <c r="AT1507" s="108" t="str">
        <f t="shared" si="666"/>
        <v/>
      </c>
      <c r="AU1507" s="108" t="str">
        <f t="shared" si="667"/>
        <v/>
      </c>
      <c r="AV1507" s="107" t="str">
        <f>IF(ISNUMBER(O1507),IF(VLOOKUP($A1507,Stand!C:J,8,FALSE)="Short",AT1507,AU1507),"")</f>
        <v/>
      </c>
      <c r="AW1507" s="109" t="str">
        <f t="shared" si="673"/>
        <v/>
      </c>
      <c r="AX1507" s="109" t="str">
        <f t="shared" si="674"/>
        <v/>
      </c>
      <c r="AY1507" s="112" t="str">
        <f>IF(ISNUMBER(O1507),IF(AND(VLOOKUP($D1507,Merchantability!$B:$C,2,0)="Yes",$E1507&gt;=VLOOKUP($D1507,Merchantability!$B:$D,3,0),$E1507&lt;=VLOOKUP($D1507,Merchantability!$B:$E,4,0)),(AV1507*O1507)*(1-$H1507/100),""),"")</f>
        <v/>
      </c>
      <c r="AZ1507" s="116"/>
      <c r="BA1507" s="116"/>
      <c r="BB1507" s="116"/>
      <c r="BE1507" s="62"/>
      <c r="BF1507" s="63"/>
    </row>
    <row r="1508" spans="1:58" ht="12.75" customHeight="1" x14ac:dyDescent="0.25">
      <c r="A1508" s="333"/>
      <c r="B1508" s="334"/>
      <c r="C1508" s="332"/>
      <c r="D1508" s="334"/>
      <c r="E1508" s="335"/>
      <c r="F1508" s="334"/>
      <c r="G1508" s="332"/>
      <c r="H1508" s="332"/>
      <c r="I1508" s="334"/>
      <c r="J1508" s="336"/>
      <c r="K1508" s="332"/>
      <c r="L1508" s="332"/>
      <c r="M1508" s="76"/>
      <c r="N1508" s="103" t="str">
        <f>IF(A1508="","",VLOOKUP(A1508,Stand!C:K,9,0))</f>
        <v/>
      </c>
      <c r="O1508" s="104" t="str">
        <f t="shared" si="659"/>
        <v/>
      </c>
      <c r="P1508" s="105" t="str">
        <f t="shared" si="660"/>
        <v/>
      </c>
      <c r="Q1508" s="105" t="str">
        <f t="shared" si="675"/>
        <v/>
      </c>
      <c r="R1508" s="103" t="str">
        <f t="shared" si="661"/>
        <v/>
      </c>
      <c r="S1508" s="103" t="str">
        <f t="shared" si="662"/>
        <v/>
      </c>
      <c r="T1508" s="106" t="str">
        <f t="shared" si="676"/>
        <v/>
      </c>
      <c r="U1508" s="106" t="str">
        <f t="shared" si="677"/>
        <v/>
      </c>
      <c r="V1508" s="106" t="str">
        <f t="shared" si="678"/>
        <v/>
      </c>
      <c r="W1508" s="105" t="str">
        <f t="shared" si="663"/>
        <v/>
      </c>
      <c r="X1508" s="104" t="str">
        <f t="shared" si="668"/>
        <v/>
      </c>
      <c r="Y1508" s="104" t="str">
        <f t="array" ref="Y1508">IFERROR(IF(ISNUMBER(O1508),IF(COUNT(IF(A1508=$A$2:$A$2427,IF(D1508=$D$2:$D$2427,IF($X$2:$X$2427&gt;0,1))))&gt;0,SUM(IF(A1508=$A$2:$A$2427,IF(D1508=$D$2:$D$2427,$X$2:$X$2427)))/COUNT(IF(A1508=$A$2:$A$2427,IF(D1508=$D$2:$D$2427,IF(ISNUMBER($X$2:$X$2427),1)))),0),""),0)</f>
        <v/>
      </c>
      <c r="Z1508" s="104" t="str">
        <f>IF(ISNUMBER(O1508),IF(I1508&gt;0,(10^(VLOOKUP(D1508,'Species Codes'!B:C,2,0)+VLOOKUP(D1508,'Species Codes'!B:D,3,0)*LOG(E1508)+VLOOKUP(D1508,'Species Codes'!B:E,4,0)*LOG(I1508))),0),"")</f>
        <v/>
      </c>
      <c r="AA1508" s="104" t="str">
        <f>IFERROR((VLOOKUP(D1508,'Species Codes'!B:G,6,0)*Z1508)/2000,"")</f>
        <v/>
      </c>
      <c r="AB1508" s="104" t="e">
        <f>IF(Z1508&gt;0,((IF(OR(D1508="DF",D1508="RA")=TRUE,EXP(VLOOKUP(D1508,'Species Codes'!B:I,8,0)+VLOOKUP(D1508,'Species Codes'!B:J,9,0)*(LN((E1508*2.54)))),IF(OR(D1508="PY",D1508="RC",D1508="WH",D1508="NF")=TRUE,VLOOKUP(D1508,'Species Codes'!B:I,8,0)+VLOOKUP(D1508,'Species Codes'!B:J,9,0)*((E1508*2.54)^2)*(I1508*0.3048),IF(OR(D1508="MD",D1508="BM",D1508="GA")=TRUE,((VLOOKUP(D1508,'Species Codes'!B:I,8,0)*(((((E1508*2.54)+VLOOKUP(D1508,'Species Codes'!B:J,9,0))/VLOOKUP(D1508,'Species Codes'!B:K,10,0))^VLOOKUP(D1508,'Species Codes'!B:L,11,0))*((I1508*0.3048)^VLOOKUP(D1508,'Species Codes'!B:M,12,0))))-(VLOOKUP(D1508,'Species Codes'!B:I,8,0)*((((E1508*2.54)^VLOOKUP(D1508,'Species Codes'!B:L,11,0))*((I1508*0.3048)^VLOOKUP(D1508,'Species Codes'!B:M,12,0))))))*35.3*VLOOKUP(D1508,'Species Codes'!B:G,6,0)/2.2046,VLOOKUP(D1508,'Species Codes'!B:I,8,0)+VLOOKUP(D1508,'Species Codes'!B:J,9,0)*(((E1508*2.54)/100)^2)*(I1508*0.3048)))))*0.0011023),0)</f>
        <v>#N/A</v>
      </c>
      <c r="AC1508" s="104" t="e">
        <f>IF(Z1508&gt;0,((IF(OR(D1508="RA",D1508="OA",D1508="OT",D1508="UN",D1508="PC"),EXP(VLOOKUP(D1508,'Species Codes'!B:O,14,0)+VLOOKUP(D1508,'Species Codes'!B:P,15,0)*LN((E1508*2.54)))-EXP(VLOOKUP(D1508,'Species Codes'!B:O,14,0)+VLOOKUP(D1508,'Species Codes'!B:P,15,0)*LN((E1508*2.54)))*(1/(VLOOKUP(D1508,'Species Codes'!B:Q,16,0)+VLOOKUP(D1508,'Species Codes'!B:R,17,0)*((E1508*2.54)^VLOOKUP(D1508,'Species Codes'!B:S,18,0)))),IF(OR(D1508="BM",D1508="MD",D1508="OA"),EXP(VLOOKUP(D1508,'Species Codes'!B:O,14,0)+VLOOKUP(D1508,'Species Codes'!B:P,15,0)*LN((E1508*2.54)))*(1-(1/(VLOOKUP(D1508,'Species Codes'!B:Q,16,0)+VLOOKUP(D1508,'Species Codes'!B:R,17,0)*((E1508*2.54)^VLOOKUP(D1508,'Species Codes'!B:S,18,0)))))/1000,IF(D1508="DF",EXP(VLOOKUP(D1508,'Species Codes'!B:O,14,0)+VLOOKUP(D1508,'Species Codes'!B:P,15,0)*LN((E1508*2.54))),VLOOKUP(D1508,'Species Codes'!B:O,14,0)+VLOOKUP(D1508,'Species Codes'!B:P,15,0)*(((E1508*2.54)/100)^2)*(I1508*0.3048)))))*0.0011023),0)</f>
        <v>#N/A</v>
      </c>
      <c r="AD1508" s="104" t="e">
        <f t="shared" si="679"/>
        <v>#N/A</v>
      </c>
      <c r="AE1508" s="104" t="e">
        <f t="shared" si="680"/>
        <v>#N/A</v>
      </c>
      <c r="AF1508" s="104" t="e">
        <f>IF(AND(VLOOKUP($D1508,Merchantability!$B:$C,2,0)="Yes",$E1508&gt;=VLOOKUP($D1508,Merchantability!$B:$D,3,0),$E1508&lt;=VLOOKUP($D1508,Merchantability!$B:$E,4,0)),AA1508,0)</f>
        <v>#N/A</v>
      </c>
      <c r="AG1508" s="104" t="e">
        <f>IF(AND(VLOOKUP($D1508,Merchantability!$B:$C,2,0)="Yes",$E1508&gt;=VLOOKUP($D1508,Merchantability!$B:$D,3,0),$E1508&lt;=VLOOKUP($D1508,Merchantability!$B:$E,4,0)),AB1508,0)</f>
        <v>#N/A</v>
      </c>
      <c r="AH1508" s="104" t="e">
        <f>IF(AND(VLOOKUP($D1508,Merchantability!$B:$C,2,0)="Yes",$E1508&gt;=VLOOKUP($D1508,Merchantability!$B:$D,3,0),$E1508&lt;=VLOOKUP($D1508,Merchantability!$B:$E,4,0)),AC1508,0)</f>
        <v>#N/A</v>
      </c>
      <c r="AI1508" s="104" t="e">
        <f t="shared" si="681"/>
        <v>#N/A</v>
      </c>
      <c r="AJ1508" s="104" t="e">
        <f t="shared" si="682"/>
        <v>#VALUE!</v>
      </c>
      <c r="AK1508" s="104" t="e">
        <f t="shared" si="683"/>
        <v>#N/A</v>
      </c>
      <c r="AL1508" s="104" t="e">
        <f t="shared" si="684"/>
        <v>#N/A</v>
      </c>
      <c r="AM1508" s="104" t="e">
        <f t="shared" si="685"/>
        <v>#N/A</v>
      </c>
      <c r="AN1508" s="104" t="e">
        <f t="shared" si="669"/>
        <v>#N/A</v>
      </c>
      <c r="AO1508" s="104" t="e">
        <f t="shared" si="670"/>
        <v>#N/A</v>
      </c>
      <c r="AP1508" s="104" t="e">
        <f t="shared" si="671"/>
        <v>#N/A</v>
      </c>
      <c r="AQ1508" s="104" t="e">
        <f t="shared" si="672"/>
        <v>#N/A</v>
      </c>
      <c r="AR1508" s="105" t="str">
        <f t="shared" si="664"/>
        <v/>
      </c>
      <c r="AS1508" s="105" t="str">
        <f t="shared" si="665"/>
        <v/>
      </c>
      <c r="AT1508" s="108" t="str">
        <f t="shared" si="666"/>
        <v/>
      </c>
      <c r="AU1508" s="108" t="str">
        <f t="shared" si="667"/>
        <v/>
      </c>
      <c r="AV1508" s="107" t="str">
        <f>IF(ISNUMBER(O1508),IF(VLOOKUP($A1508,Stand!C:J,8,FALSE)="Short",AT1508,AU1508),"")</f>
        <v/>
      </c>
      <c r="AW1508" s="109" t="str">
        <f t="shared" si="673"/>
        <v/>
      </c>
      <c r="AX1508" s="109" t="str">
        <f t="shared" si="674"/>
        <v/>
      </c>
      <c r="AY1508" s="112" t="str">
        <f>IF(ISNUMBER(O1508),IF(AND(VLOOKUP($D1508,Merchantability!$B:$C,2,0)="Yes",$E1508&gt;=VLOOKUP($D1508,Merchantability!$B:$D,3,0),$E1508&lt;=VLOOKUP($D1508,Merchantability!$B:$E,4,0)),(AV1508*O1508)*(1-$H1508/100),""),"")</f>
        <v/>
      </c>
      <c r="AZ1508" s="116"/>
      <c r="BA1508" s="116"/>
      <c r="BB1508" s="116"/>
      <c r="BE1508" s="62"/>
      <c r="BF1508" s="63"/>
    </row>
    <row r="1509" spans="1:58" ht="12.75" customHeight="1" x14ac:dyDescent="0.25">
      <c r="A1509" s="333"/>
      <c r="B1509" s="334"/>
      <c r="C1509" s="332"/>
      <c r="D1509" s="334"/>
      <c r="E1509" s="335"/>
      <c r="F1509" s="334"/>
      <c r="G1509" s="332"/>
      <c r="H1509" s="332"/>
      <c r="I1509" s="334"/>
      <c r="J1509" s="336"/>
      <c r="K1509" s="332"/>
      <c r="L1509" s="332"/>
      <c r="M1509" s="76"/>
      <c r="N1509" s="103" t="str">
        <f>IF(A1509="","",VLOOKUP(A1509,Stand!C:K,9,0))</f>
        <v/>
      </c>
      <c r="O1509" s="104" t="str">
        <f t="shared" si="659"/>
        <v/>
      </c>
      <c r="P1509" s="105" t="str">
        <f t="shared" si="660"/>
        <v/>
      </c>
      <c r="Q1509" s="105" t="str">
        <f t="shared" si="675"/>
        <v/>
      </c>
      <c r="R1509" s="103" t="str">
        <f t="shared" si="661"/>
        <v/>
      </c>
      <c r="S1509" s="103" t="str">
        <f t="shared" si="662"/>
        <v/>
      </c>
      <c r="T1509" s="106" t="str">
        <f t="shared" si="676"/>
        <v/>
      </c>
      <c r="U1509" s="106" t="str">
        <f t="shared" si="677"/>
        <v/>
      </c>
      <c r="V1509" s="106" t="str">
        <f t="shared" si="678"/>
        <v/>
      </c>
      <c r="W1509" s="105" t="str">
        <f t="shared" si="663"/>
        <v/>
      </c>
      <c r="X1509" s="104" t="str">
        <f t="shared" si="668"/>
        <v/>
      </c>
      <c r="Y1509" s="104" t="str">
        <f t="array" ref="Y1509">IFERROR(IF(ISNUMBER(O1509),IF(COUNT(IF(A1509=$A$2:$A$2427,IF(D1509=$D$2:$D$2427,IF($X$2:$X$2427&gt;0,1))))&gt;0,SUM(IF(A1509=$A$2:$A$2427,IF(D1509=$D$2:$D$2427,$X$2:$X$2427)))/COUNT(IF(A1509=$A$2:$A$2427,IF(D1509=$D$2:$D$2427,IF(ISNUMBER($X$2:$X$2427),1)))),0),""),0)</f>
        <v/>
      </c>
      <c r="Z1509" s="104" t="str">
        <f>IF(ISNUMBER(O1509),IF(I1509&gt;0,(10^(VLOOKUP(D1509,'Species Codes'!B:C,2,0)+VLOOKUP(D1509,'Species Codes'!B:D,3,0)*LOG(E1509)+VLOOKUP(D1509,'Species Codes'!B:E,4,0)*LOG(I1509))),0),"")</f>
        <v/>
      </c>
      <c r="AA1509" s="104" t="str">
        <f>IFERROR((VLOOKUP(D1509,'Species Codes'!B:G,6,0)*Z1509)/2000,"")</f>
        <v/>
      </c>
      <c r="AB1509" s="104" t="e">
        <f>IF(Z1509&gt;0,((IF(OR(D1509="DF",D1509="RA")=TRUE,EXP(VLOOKUP(D1509,'Species Codes'!B:I,8,0)+VLOOKUP(D1509,'Species Codes'!B:J,9,0)*(LN((E1509*2.54)))),IF(OR(D1509="PY",D1509="RC",D1509="WH",D1509="NF")=TRUE,VLOOKUP(D1509,'Species Codes'!B:I,8,0)+VLOOKUP(D1509,'Species Codes'!B:J,9,0)*((E1509*2.54)^2)*(I1509*0.3048),IF(OR(D1509="MD",D1509="BM",D1509="GA")=TRUE,((VLOOKUP(D1509,'Species Codes'!B:I,8,0)*(((((E1509*2.54)+VLOOKUP(D1509,'Species Codes'!B:J,9,0))/VLOOKUP(D1509,'Species Codes'!B:K,10,0))^VLOOKUP(D1509,'Species Codes'!B:L,11,0))*((I1509*0.3048)^VLOOKUP(D1509,'Species Codes'!B:M,12,0))))-(VLOOKUP(D1509,'Species Codes'!B:I,8,0)*((((E1509*2.54)^VLOOKUP(D1509,'Species Codes'!B:L,11,0))*((I1509*0.3048)^VLOOKUP(D1509,'Species Codes'!B:M,12,0))))))*35.3*VLOOKUP(D1509,'Species Codes'!B:G,6,0)/2.2046,VLOOKUP(D1509,'Species Codes'!B:I,8,0)+VLOOKUP(D1509,'Species Codes'!B:J,9,0)*(((E1509*2.54)/100)^2)*(I1509*0.3048)))))*0.0011023),0)</f>
        <v>#N/A</v>
      </c>
      <c r="AC1509" s="104" t="e">
        <f>IF(Z1509&gt;0,((IF(OR(D1509="RA",D1509="OA",D1509="OT",D1509="UN",D1509="PC"),EXP(VLOOKUP(D1509,'Species Codes'!B:O,14,0)+VLOOKUP(D1509,'Species Codes'!B:P,15,0)*LN((E1509*2.54)))-EXP(VLOOKUP(D1509,'Species Codes'!B:O,14,0)+VLOOKUP(D1509,'Species Codes'!B:P,15,0)*LN((E1509*2.54)))*(1/(VLOOKUP(D1509,'Species Codes'!B:Q,16,0)+VLOOKUP(D1509,'Species Codes'!B:R,17,0)*((E1509*2.54)^VLOOKUP(D1509,'Species Codes'!B:S,18,0)))),IF(OR(D1509="BM",D1509="MD",D1509="OA"),EXP(VLOOKUP(D1509,'Species Codes'!B:O,14,0)+VLOOKUP(D1509,'Species Codes'!B:P,15,0)*LN((E1509*2.54)))*(1-(1/(VLOOKUP(D1509,'Species Codes'!B:Q,16,0)+VLOOKUP(D1509,'Species Codes'!B:R,17,0)*((E1509*2.54)^VLOOKUP(D1509,'Species Codes'!B:S,18,0)))))/1000,IF(D1509="DF",EXP(VLOOKUP(D1509,'Species Codes'!B:O,14,0)+VLOOKUP(D1509,'Species Codes'!B:P,15,0)*LN((E1509*2.54))),VLOOKUP(D1509,'Species Codes'!B:O,14,0)+VLOOKUP(D1509,'Species Codes'!B:P,15,0)*(((E1509*2.54)/100)^2)*(I1509*0.3048)))))*0.0011023),0)</f>
        <v>#N/A</v>
      </c>
      <c r="AD1509" s="104" t="e">
        <f t="shared" si="679"/>
        <v>#N/A</v>
      </c>
      <c r="AE1509" s="104" t="e">
        <f t="shared" si="680"/>
        <v>#N/A</v>
      </c>
      <c r="AF1509" s="104" t="e">
        <f>IF(AND(VLOOKUP($D1509,Merchantability!$B:$C,2,0)="Yes",$E1509&gt;=VLOOKUP($D1509,Merchantability!$B:$D,3,0),$E1509&lt;=VLOOKUP($D1509,Merchantability!$B:$E,4,0)),AA1509,0)</f>
        <v>#N/A</v>
      </c>
      <c r="AG1509" s="104" t="e">
        <f>IF(AND(VLOOKUP($D1509,Merchantability!$B:$C,2,0)="Yes",$E1509&gt;=VLOOKUP($D1509,Merchantability!$B:$D,3,0),$E1509&lt;=VLOOKUP($D1509,Merchantability!$B:$E,4,0)),AB1509,0)</f>
        <v>#N/A</v>
      </c>
      <c r="AH1509" s="104" t="e">
        <f>IF(AND(VLOOKUP($D1509,Merchantability!$B:$C,2,0)="Yes",$E1509&gt;=VLOOKUP($D1509,Merchantability!$B:$D,3,0),$E1509&lt;=VLOOKUP($D1509,Merchantability!$B:$E,4,0)),AC1509,0)</f>
        <v>#N/A</v>
      </c>
      <c r="AI1509" s="104" t="e">
        <f t="shared" si="681"/>
        <v>#N/A</v>
      </c>
      <c r="AJ1509" s="104" t="e">
        <f t="shared" si="682"/>
        <v>#VALUE!</v>
      </c>
      <c r="AK1509" s="104" t="e">
        <f t="shared" si="683"/>
        <v>#N/A</v>
      </c>
      <c r="AL1509" s="104" t="e">
        <f t="shared" si="684"/>
        <v>#N/A</v>
      </c>
      <c r="AM1509" s="104" t="e">
        <f t="shared" si="685"/>
        <v>#N/A</v>
      </c>
      <c r="AN1509" s="104" t="e">
        <f t="shared" si="669"/>
        <v>#N/A</v>
      </c>
      <c r="AO1509" s="104" t="e">
        <f t="shared" si="670"/>
        <v>#N/A</v>
      </c>
      <c r="AP1509" s="104" t="e">
        <f t="shared" si="671"/>
        <v>#N/A</v>
      </c>
      <c r="AQ1509" s="104" t="e">
        <f t="shared" si="672"/>
        <v>#N/A</v>
      </c>
      <c r="AR1509" s="105" t="str">
        <f t="shared" si="664"/>
        <v/>
      </c>
      <c r="AS1509" s="105" t="str">
        <f t="shared" si="665"/>
        <v/>
      </c>
      <c r="AT1509" s="108" t="str">
        <f t="shared" si="666"/>
        <v/>
      </c>
      <c r="AU1509" s="108" t="str">
        <f t="shared" si="667"/>
        <v/>
      </c>
      <c r="AV1509" s="107" t="str">
        <f>IF(ISNUMBER(O1509),IF(VLOOKUP($A1509,Stand!C:J,8,FALSE)="Short",AT1509,AU1509),"")</f>
        <v/>
      </c>
      <c r="AW1509" s="109" t="str">
        <f t="shared" si="673"/>
        <v/>
      </c>
      <c r="AX1509" s="109" t="str">
        <f t="shared" si="674"/>
        <v/>
      </c>
      <c r="AY1509" s="112" t="str">
        <f>IF(ISNUMBER(O1509),IF(AND(VLOOKUP($D1509,Merchantability!$B:$C,2,0)="Yes",$E1509&gt;=VLOOKUP($D1509,Merchantability!$B:$D,3,0),$E1509&lt;=VLOOKUP($D1509,Merchantability!$B:$E,4,0)),(AV1509*O1509)*(1-$H1509/100),""),"")</f>
        <v/>
      </c>
      <c r="AZ1509" s="116"/>
      <c r="BA1509" s="116"/>
      <c r="BB1509" s="116"/>
      <c r="BE1509" s="62"/>
      <c r="BF1509" s="63"/>
    </row>
    <row r="1510" spans="1:58" ht="12.75" customHeight="1" x14ac:dyDescent="0.25">
      <c r="A1510" s="333"/>
      <c r="B1510" s="334"/>
      <c r="C1510" s="332"/>
      <c r="D1510" s="334"/>
      <c r="E1510" s="335"/>
      <c r="F1510" s="334"/>
      <c r="G1510" s="332"/>
      <c r="H1510" s="332"/>
      <c r="I1510" s="334"/>
      <c r="J1510" s="336"/>
      <c r="K1510" s="332"/>
      <c r="L1510" s="332"/>
      <c r="M1510" s="76"/>
      <c r="N1510" s="103" t="str">
        <f>IF(A1510="","",VLOOKUP(A1510,Stand!C:K,9,0))</f>
        <v/>
      </c>
      <c r="O1510" s="104" t="str">
        <f t="shared" si="659"/>
        <v/>
      </c>
      <c r="P1510" s="105" t="str">
        <f t="shared" si="660"/>
        <v/>
      </c>
      <c r="Q1510" s="105" t="str">
        <f t="shared" si="675"/>
        <v/>
      </c>
      <c r="R1510" s="103" t="str">
        <f t="shared" si="661"/>
        <v/>
      </c>
      <c r="S1510" s="103" t="str">
        <f t="shared" si="662"/>
        <v/>
      </c>
      <c r="T1510" s="106" t="str">
        <f t="shared" si="676"/>
        <v/>
      </c>
      <c r="U1510" s="106" t="str">
        <f t="shared" si="677"/>
        <v/>
      </c>
      <c r="V1510" s="106" t="str">
        <f t="shared" si="678"/>
        <v/>
      </c>
      <c r="W1510" s="105" t="str">
        <f t="shared" si="663"/>
        <v/>
      </c>
      <c r="X1510" s="104" t="str">
        <f t="shared" si="668"/>
        <v/>
      </c>
      <c r="Y1510" s="104" t="str">
        <f t="array" ref="Y1510">IFERROR(IF(ISNUMBER(O1510),IF(COUNT(IF(A1510=$A$2:$A$2427,IF(D1510=$D$2:$D$2427,IF($X$2:$X$2427&gt;0,1))))&gt;0,SUM(IF(A1510=$A$2:$A$2427,IF(D1510=$D$2:$D$2427,$X$2:$X$2427)))/COUNT(IF(A1510=$A$2:$A$2427,IF(D1510=$D$2:$D$2427,IF(ISNUMBER($X$2:$X$2427),1)))),0),""),0)</f>
        <v/>
      </c>
      <c r="Z1510" s="104" t="str">
        <f>IF(ISNUMBER(O1510),IF(I1510&gt;0,(10^(VLOOKUP(D1510,'Species Codes'!B:C,2,0)+VLOOKUP(D1510,'Species Codes'!B:D,3,0)*LOG(E1510)+VLOOKUP(D1510,'Species Codes'!B:E,4,0)*LOG(I1510))),0),"")</f>
        <v/>
      </c>
      <c r="AA1510" s="104" t="str">
        <f>IFERROR((VLOOKUP(D1510,'Species Codes'!B:G,6,0)*Z1510)/2000,"")</f>
        <v/>
      </c>
      <c r="AB1510" s="104" t="e">
        <f>IF(Z1510&gt;0,((IF(OR(D1510="DF",D1510="RA")=TRUE,EXP(VLOOKUP(D1510,'Species Codes'!B:I,8,0)+VLOOKUP(D1510,'Species Codes'!B:J,9,0)*(LN((E1510*2.54)))),IF(OR(D1510="PY",D1510="RC",D1510="WH",D1510="NF")=TRUE,VLOOKUP(D1510,'Species Codes'!B:I,8,0)+VLOOKUP(D1510,'Species Codes'!B:J,9,0)*((E1510*2.54)^2)*(I1510*0.3048),IF(OR(D1510="MD",D1510="BM",D1510="GA")=TRUE,((VLOOKUP(D1510,'Species Codes'!B:I,8,0)*(((((E1510*2.54)+VLOOKUP(D1510,'Species Codes'!B:J,9,0))/VLOOKUP(D1510,'Species Codes'!B:K,10,0))^VLOOKUP(D1510,'Species Codes'!B:L,11,0))*((I1510*0.3048)^VLOOKUP(D1510,'Species Codes'!B:M,12,0))))-(VLOOKUP(D1510,'Species Codes'!B:I,8,0)*((((E1510*2.54)^VLOOKUP(D1510,'Species Codes'!B:L,11,0))*((I1510*0.3048)^VLOOKUP(D1510,'Species Codes'!B:M,12,0))))))*35.3*VLOOKUP(D1510,'Species Codes'!B:G,6,0)/2.2046,VLOOKUP(D1510,'Species Codes'!B:I,8,0)+VLOOKUP(D1510,'Species Codes'!B:J,9,0)*(((E1510*2.54)/100)^2)*(I1510*0.3048)))))*0.0011023),0)</f>
        <v>#N/A</v>
      </c>
      <c r="AC1510" s="104" t="e">
        <f>IF(Z1510&gt;0,((IF(OR(D1510="RA",D1510="OA",D1510="OT",D1510="UN",D1510="PC"),EXP(VLOOKUP(D1510,'Species Codes'!B:O,14,0)+VLOOKUP(D1510,'Species Codes'!B:P,15,0)*LN((E1510*2.54)))-EXP(VLOOKUP(D1510,'Species Codes'!B:O,14,0)+VLOOKUP(D1510,'Species Codes'!B:P,15,0)*LN((E1510*2.54)))*(1/(VLOOKUP(D1510,'Species Codes'!B:Q,16,0)+VLOOKUP(D1510,'Species Codes'!B:R,17,0)*((E1510*2.54)^VLOOKUP(D1510,'Species Codes'!B:S,18,0)))),IF(OR(D1510="BM",D1510="MD",D1510="OA"),EXP(VLOOKUP(D1510,'Species Codes'!B:O,14,0)+VLOOKUP(D1510,'Species Codes'!B:P,15,0)*LN((E1510*2.54)))*(1-(1/(VLOOKUP(D1510,'Species Codes'!B:Q,16,0)+VLOOKUP(D1510,'Species Codes'!B:R,17,0)*((E1510*2.54)^VLOOKUP(D1510,'Species Codes'!B:S,18,0)))))/1000,IF(D1510="DF",EXP(VLOOKUP(D1510,'Species Codes'!B:O,14,0)+VLOOKUP(D1510,'Species Codes'!B:P,15,0)*LN((E1510*2.54))),VLOOKUP(D1510,'Species Codes'!B:O,14,0)+VLOOKUP(D1510,'Species Codes'!B:P,15,0)*(((E1510*2.54)/100)^2)*(I1510*0.3048)))))*0.0011023),0)</f>
        <v>#N/A</v>
      </c>
      <c r="AD1510" s="104" t="e">
        <f t="shared" si="679"/>
        <v>#N/A</v>
      </c>
      <c r="AE1510" s="104" t="e">
        <f t="shared" si="680"/>
        <v>#N/A</v>
      </c>
      <c r="AF1510" s="104" t="e">
        <f>IF(AND(VLOOKUP($D1510,Merchantability!$B:$C,2,0)="Yes",$E1510&gt;=VLOOKUP($D1510,Merchantability!$B:$D,3,0),$E1510&lt;=VLOOKUP($D1510,Merchantability!$B:$E,4,0)),AA1510,0)</f>
        <v>#N/A</v>
      </c>
      <c r="AG1510" s="104" t="e">
        <f>IF(AND(VLOOKUP($D1510,Merchantability!$B:$C,2,0)="Yes",$E1510&gt;=VLOOKUP($D1510,Merchantability!$B:$D,3,0),$E1510&lt;=VLOOKUP($D1510,Merchantability!$B:$E,4,0)),AB1510,0)</f>
        <v>#N/A</v>
      </c>
      <c r="AH1510" s="104" t="e">
        <f>IF(AND(VLOOKUP($D1510,Merchantability!$B:$C,2,0)="Yes",$E1510&gt;=VLOOKUP($D1510,Merchantability!$B:$D,3,0),$E1510&lt;=VLOOKUP($D1510,Merchantability!$B:$E,4,0)),AC1510,0)</f>
        <v>#N/A</v>
      </c>
      <c r="AI1510" s="104" t="e">
        <f t="shared" si="681"/>
        <v>#N/A</v>
      </c>
      <c r="AJ1510" s="104" t="e">
        <f t="shared" si="682"/>
        <v>#VALUE!</v>
      </c>
      <c r="AK1510" s="104" t="e">
        <f t="shared" si="683"/>
        <v>#N/A</v>
      </c>
      <c r="AL1510" s="104" t="e">
        <f t="shared" si="684"/>
        <v>#N/A</v>
      </c>
      <c r="AM1510" s="104" t="e">
        <f t="shared" si="685"/>
        <v>#N/A</v>
      </c>
      <c r="AN1510" s="104" t="e">
        <f t="shared" si="669"/>
        <v>#N/A</v>
      </c>
      <c r="AO1510" s="104" t="e">
        <f t="shared" si="670"/>
        <v>#N/A</v>
      </c>
      <c r="AP1510" s="104" t="e">
        <f t="shared" si="671"/>
        <v>#N/A</v>
      </c>
      <c r="AQ1510" s="104" t="e">
        <f t="shared" si="672"/>
        <v>#N/A</v>
      </c>
      <c r="AR1510" s="105" t="str">
        <f t="shared" si="664"/>
        <v/>
      </c>
      <c r="AS1510" s="105" t="str">
        <f t="shared" si="665"/>
        <v/>
      </c>
      <c r="AT1510" s="108" t="str">
        <f t="shared" si="666"/>
        <v/>
      </c>
      <c r="AU1510" s="108" t="str">
        <f t="shared" si="667"/>
        <v/>
      </c>
      <c r="AV1510" s="107" t="str">
        <f>IF(ISNUMBER(O1510),IF(VLOOKUP($A1510,Stand!C:J,8,FALSE)="Short",AT1510,AU1510),"")</f>
        <v/>
      </c>
      <c r="AW1510" s="109" t="str">
        <f t="shared" si="673"/>
        <v/>
      </c>
      <c r="AX1510" s="109" t="str">
        <f t="shared" si="674"/>
        <v/>
      </c>
      <c r="AY1510" s="112" t="str">
        <f>IF(ISNUMBER(O1510),IF(AND(VLOOKUP($D1510,Merchantability!$B:$C,2,0)="Yes",$E1510&gt;=VLOOKUP($D1510,Merchantability!$B:$D,3,0),$E1510&lt;=VLOOKUP($D1510,Merchantability!$B:$E,4,0)),(AV1510*O1510)*(1-$H1510/100),""),"")</f>
        <v/>
      </c>
      <c r="AZ1510" s="116"/>
      <c r="BA1510" s="116"/>
      <c r="BB1510" s="116"/>
      <c r="BE1510" s="62"/>
      <c r="BF1510" s="63"/>
    </row>
    <row r="1511" spans="1:58" ht="12.75" customHeight="1" x14ac:dyDescent="0.25">
      <c r="A1511" s="333"/>
      <c r="B1511" s="334"/>
      <c r="C1511" s="332"/>
      <c r="D1511" s="334"/>
      <c r="E1511" s="335"/>
      <c r="F1511" s="334"/>
      <c r="G1511" s="332"/>
      <c r="H1511" s="332"/>
      <c r="I1511" s="334"/>
      <c r="J1511" s="336"/>
      <c r="K1511" s="332"/>
      <c r="L1511" s="332"/>
      <c r="M1511" s="76"/>
      <c r="N1511" s="103" t="str">
        <f>IF(A1511="","",VLOOKUP(A1511,Stand!C:K,9,0))</f>
        <v/>
      </c>
      <c r="O1511" s="104" t="str">
        <f t="shared" si="659"/>
        <v/>
      </c>
      <c r="P1511" s="105" t="str">
        <f t="shared" si="660"/>
        <v/>
      </c>
      <c r="Q1511" s="105" t="str">
        <f t="shared" si="675"/>
        <v/>
      </c>
      <c r="R1511" s="103" t="str">
        <f t="shared" si="661"/>
        <v/>
      </c>
      <c r="S1511" s="103" t="str">
        <f t="shared" si="662"/>
        <v/>
      </c>
      <c r="T1511" s="106" t="str">
        <f t="shared" si="676"/>
        <v/>
      </c>
      <c r="U1511" s="106" t="str">
        <f t="shared" si="677"/>
        <v/>
      </c>
      <c r="V1511" s="106" t="str">
        <f t="shared" si="678"/>
        <v/>
      </c>
      <c r="W1511" s="105" t="str">
        <f t="shared" si="663"/>
        <v/>
      </c>
      <c r="X1511" s="104" t="str">
        <f t="shared" si="668"/>
        <v/>
      </c>
      <c r="Y1511" s="104" t="str">
        <f t="array" ref="Y1511">IFERROR(IF(ISNUMBER(O1511),IF(COUNT(IF(A1511=$A$2:$A$2427,IF(D1511=$D$2:$D$2427,IF($X$2:$X$2427&gt;0,1))))&gt;0,SUM(IF(A1511=$A$2:$A$2427,IF(D1511=$D$2:$D$2427,$X$2:$X$2427)))/COUNT(IF(A1511=$A$2:$A$2427,IF(D1511=$D$2:$D$2427,IF(ISNUMBER($X$2:$X$2427),1)))),0),""),0)</f>
        <v/>
      </c>
      <c r="Z1511" s="104" t="str">
        <f>IF(ISNUMBER(O1511),IF(I1511&gt;0,(10^(VLOOKUP(D1511,'Species Codes'!B:C,2,0)+VLOOKUP(D1511,'Species Codes'!B:D,3,0)*LOG(E1511)+VLOOKUP(D1511,'Species Codes'!B:E,4,0)*LOG(I1511))),0),"")</f>
        <v/>
      </c>
      <c r="AA1511" s="104" t="str">
        <f>IFERROR((VLOOKUP(D1511,'Species Codes'!B:G,6,0)*Z1511)/2000,"")</f>
        <v/>
      </c>
      <c r="AB1511" s="104" t="e">
        <f>IF(Z1511&gt;0,((IF(OR(D1511="DF",D1511="RA")=TRUE,EXP(VLOOKUP(D1511,'Species Codes'!B:I,8,0)+VLOOKUP(D1511,'Species Codes'!B:J,9,0)*(LN((E1511*2.54)))),IF(OR(D1511="PY",D1511="RC",D1511="WH",D1511="NF")=TRUE,VLOOKUP(D1511,'Species Codes'!B:I,8,0)+VLOOKUP(D1511,'Species Codes'!B:J,9,0)*((E1511*2.54)^2)*(I1511*0.3048),IF(OR(D1511="MD",D1511="BM",D1511="GA")=TRUE,((VLOOKUP(D1511,'Species Codes'!B:I,8,0)*(((((E1511*2.54)+VLOOKUP(D1511,'Species Codes'!B:J,9,0))/VLOOKUP(D1511,'Species Codes'!B:K,10,0))^VLOOKUP(D1511,'Species Codes'!B:L,11,0))*((I1511*0.3048)^VLOOKUP(D1511,'Species Codes'!B:M,12,0))))-(VLOOKUP(D1511,'Species Codes'!B:I,8,0)*((((E1511*2.54)^VLOOKUP(D1511,'Species Codes'!B:L,11,0))*((I1511*0.3048)^VLOOKUP(D1511,'Species Codes'!B:M,12,0))))))*35.3*VLOOKUP(D1511,'Species Codes'!B:G,6,0)/2.2046,VLOOKUP(D1511,'Species Codes'!B:I,8,0)+VLOOKUP(D1511,'Species Codes'!B:J,9,0)*(((E1511*2.54)/100)^2)*(I1511*0.3048)))))*0.0011023),0)</f>
        <v>#N/A</v>
      </c>
      <c r="AC1511" s="104" t="e">
        <f>IF(Z1511&gt;0,((IF(OR(D1511="RA",D1511="OA",D1511="OT",D1511="UN",D1511="PC"),EXP(VLOOKUP(D1511,'Species Codes'!B:O,14,0)+VLOOKUP(D1511,'Species Codes'!B:P,15,0)*LN((E1511*2.54)))-EXP(VLOOKUP(D1511,'Species Codes'!B:O,14,0)+VLOOKUP(D1511,'Species Codes'!B:P,15,0)*LN((E1511*2.54)))*(1/(VLOOKUP(D1511,'Species Codes'!B:Q,16,0)+VLOOKUP(D1511,'Species Codes'!B:R,17,0)*((E1511*2.54)^VLOOKUP(D1511,'Species Codes'!B:S,18,0)))),IF(OR(D1511="BM",D1511="MD",D1511="OA"),EXP(VLOOKUP(D1511,'Species Codes'!B:O,14,0)+VLOOKUP(D1511,'Species Codes'!B:P,15,0)*LN((E1511*2.54)))*(1-(1/(VLOOKUP(D1511,'Species Codes'!B:Q,16,0)+VLOOKUP(D1511,'Species Codes'!B:R,17,0)*((E1511*2.54)^VLOOKUP(D1511,'Species Codes'!B:S,18,0)))))/1000,IF(D1511="DF",EXP(VLOOKUP(D1511,'Species Codes'!B:O,14,0)+VLOOKUP(D1511,'Species Codes'!B:P,15,0)*LN((E1511*2.54))),VLOOKUP(D1511,'Species Codes'!B:O,14,0)+VLOOKUP(D1511,'Species Codes'!B:P,15,0)*(((E1511*2.54)/100)^2)*(I1511*0.3048)))))*0.0011023),0)</f>
        <v>#N/A</v>
      </c>
      <c r="AD1511" s="104" t="e">
        <f t="shared" si="679"/>
        <v>#N/A</v>
      </c>
      <c r="AE1511" s="104" t="e">
        <f t="shared" si="680"/>
        <v>#N/A</v>
      </c>
      <c r="AF1511" s="104" t="e">
        <f>IF(AND(VLOOKUP($D1511,Merchantability!$B:$C,2,0)="Yes",$E1511&gt;=VLOOKUP($D1511,Merchantability!$B:$D,3,0),$E1511&lt;=VLOOKUP($D1511,Merchantability!$B:$E,4,0)),AA1511,0)</f>
        <v>#N/A</v>
      </c>
      <c r="AG1511" s="104" t="e">
        <f>IF(AND(VLOOKUP($D1511,Merchantability!$B:$C,2,0)="Yes",$E1511&gt;=VLOOKUP($D1511,Merchantability!$B:$D,3,0),$E1511&lt;=VLOOKUP($D1511,Merchantability!$B:$E,4,0)),AB1511,0)</f>
        <v>#N/A</v>
      </c>
      <c r="AH1511" s="104" t="e">
        <f>IF(AND(VLOOKUP($D1511,Merchantability!$B:$C,2,0)="Yes",$E1511&gt;=VLOOKUP($D1511,Merchantability!$B:$D,3,0),$E1511&lt;=VLOOKUP($D1511,Merchantability!$B:$E,4,0)),AC1511,0)</f>
        <v>#N/A</v>
      </c>
      <c r="AI1511" s="104" t="e">
        <f t="shared" si="681"/>
        <v>#N/A</v>
      </c>
      <c r="AJ1511" s="104" t="e">
        <f t="shared" si="682"/>
        <v>#VALUE!</v>
      </c>
      <c r="AK1511" s="104" t="e">
        <f t="shared" si="683"/>
        <v>#N/A</v>
      </c>
      <c r="AL1511" s="104" t="e">
        <f t="shared" si="684"/>
        <v>#N/A</v>
      </c>
      <c r="AM1511" s="104" t="e">
        <f t="shared" si="685"/>
        <v>#N/A</v>
      </c>
      <c r="AN1511" s="104" t="e">
        <f t="shared" si="669"/>
        <v>#N/A</v>
      </c>
      <c r="AO1511" s="104" t="e">
        <f t="shared" si="670"/>
        <v>#N/A</v>
      </c>
      <c r="AP1511" s="104" t="e">
        <f t="shared" si="671"/>
        <v>#N/A</v>
      </c>
      <c r="AQ1511" s="104" t="e">
        <f t="shared" si="672"/>
        <v>#N/A</v>
      </c>
      <c r="AR1511" s="105" t="str">
        <f t="shared" si="664"/>
        <v/>
      </c>
      <c r="AS1511" s="105" t="str">
        <f t="shared" si="665"/>
        <v/>
      </c>
      <c r="AT1511" s="108" t="str">
        <f t="shared" si="666"/>
        <v/>
      </c>
      <c r="AU1511" s="108" t="str">
        <f t="shared" si="667"/>
        <v/>
      </c>
      <c r="AV1511" s="107" t="str">
        <f>IF(ISNUMBER(O1511),IF(VLOOKUP($A1511,Stand!C:J,8,FALSE)="Short",AT1511,AU1511),"")</f>
        <v/>
      </c>
      <c r="AW1511" s="109" t="str">
        <f t="shared" si="673"/>
        <v/>
      </c>
      <c r="AX1511" s="109" t="str">
        <f t="shared" si="674"/>
        <v/>
      </c>
      <c r="AY1511" s="112" t="str">
        <f>IF(ISNUMBER(O1511),IF(AND(VLOOKUP($D1511,Merchantability!$B:$C,2,0)="Yes",$E1511&gt;=VLOOKUP($D1511,Merchantability!$B:$D,3,0),$E1511&lt;=VLOOKUP($D1511,Merchantability!$B:$E,4,0)),(AV1511*O1511)*(1-$H1511/100),""),"")</f>
        <v/>
      </c>
      <c r="AZ1511" s="116"/>
      <c r="BA1511" s="116"/>
      <c r="BB1511" s="116"/>
      <c r="BE1511" s="62"/>
      <c r="BF1511" s="63"/>
    </row>
    <row r="1512" spans="1:58" ht="12.75" customHeight="1" x14ac:dyDescent="0.25">
      <c r="A1512" s="333"/>
      <c r="B1512" s="334"/>
      <c r="C1512" s="332"/>
      <c r="D1512" s="334"/>
      <c r="E1512" s="335"/>
      <c r="F1512" s="334"/>
      <c r="G1512" s="332"/>
      <c r="H1512" s="332"/>
      <c r="I1512" s="334"/>
      <c r="J1512" s="336"/>
      <c r="K1512" s="332"/>
      <c r="L1512" s="332"/>
      <c r="M1512" s="76"/>
      <c r="N1512" s="103" t="str">
        <f>IF(A1512="","",VLOOKUP(A1512,Stand!C:K,9,0))</f>
        <v/>
      </c>
      <c r="O1512" s="104" t="str">
        <f t="shared" si="659"/>
        <v/>
      </c>
      <c r="P1512" s="105" t="str">
        <f t="shared" si="660"/>
        <v/>
      </c>
      <c r="Q1512" s="105" t="str">
        <f t="shared" si="675"/>
        <v/>
      </c>
      <c r="R1512" s="103" t="str">
        <f t="shared" si="661"/>
        <v/>
      </c>
      <c r="S1512" s="103" t="str">
        <f t="shared" si="662"/>
        <v/>
      </c>
      <c r="T1512" s="106" t="str">
        <f t="shared" si="676"/>
        <v/>
      </c>
      <c r="U1512" s="106" t="str">
        <f t="shared" si="677"/>
        <v/>
      </c>
      <c r="V1512" s="106" t="str">
        <f t="shared" si="678"/>
        <v/>
      </c>
      <c r="W1512" s="105" t="str">
        <f t="shared" si="663"/>
        <v/>
      </c>
      <c r="X1512" s="104" t="str">
        <f t="shared" si="668"/>
        <v/>
      </c>
      <c r="Y1512" s="104" t="str">
        <f t="array" ref="Y1512">IFERROR(IF(ISNUMBER(O1512),IF(COUNT(IF(A1512=$A$2:$A$2427,IF(D1512=$D$2:$D$2427,IF($X$2:$X$2427&gt;0,1))))&gt;0,SUM(IF(A1512=$A$2:$A$2427,IF(D1512=$D$2:$D$2427,$X$2:$X$2427)))/COUNT(IF(A1512=$A$2:$A$2427,IF(D1512=$D$2:$D$2427,IF(ISNUMBER($X$2:$X$2427),1)))),0),""),0)</f>
        <v/>
      </c>
      <c r="Z1512" s="104" t="str">
        <f>IF(ISNUMBER(O1512),IF(I1512&gt;0,(10^(VLOOKUP(D1512,'Species Codes'!B:C,2,0)+VLOOKUP(D1512,'Species Codes'!B:D,3,0)*LOG(E1512)+VLOOKUP(D1512,'Species Codes'!B:E,4,0)*LOG(I1512))),0),"")</f>
        <v/>
      </c>
      <c r="AA1512" s="104" t="str">
        <f>IFERROR((VLOOKUP(D1512,'Species Codes'!B:G,6,0)*Z1512)/2000,"")</f>
        <v/>
      </c>
      <c r="AB1512" s="104" t="e">
        <f>IF(Z1512&gt;0,((IF(OR(D1512="DF",D1512="RA")=TRUE,EXP(VLOOKUP(D1512,'Species Codes'!B:I,8,0)+VLOOKUP(D1512,'Species Codes'!B:J,9,0)*(LN((E1512*2.54)))),IF(OR(D1512="PY",D1512="RC",D1512="WH",D1512="NF")=TRUE,VLOOKUP(D1512,'Species Codes'!B:I,8,0)+VLOOKUP(D1512,'Species Codes'!B:J,9,0)*((E1512*2.54)^2)*(I1512*0.3048),IF(OR(D1512="MD",D1512="BM",D1512="GA")=TRUE,((VLOOKUP(D1512,'Species Codes'!B:I,8,0)*(((((E1512*2.54)+VLOOKUP(D1512,'Species Codes'!B:J,9,0))/VLOOKUP(D1512,'Species Codes'!B:K,10,0))^VLOOKUP(D1512,'Species Codes'!B:L,11,0))*((I1512*0.3048)^VLOOKUP(D1512,'Species Codes'!B:M,12,0))))-(VLOOKUP(D1512,'Species Codes'!B:I,8,0)*((((E1512*2.54)^VLOOKUP(D1512,'Species Codes'!B:L,11,0))*((I1512*0.3048)^VLOOKUP(D1512,'Species Codes'!B:M,12,0))))))*35.3*VLOOKUP(D1512,'Species Codes'!B:G,6,0)/2.2046,VLOOKUP(D1512,'Species Codes'!B:I,8,0)+VLOOKUP(D1512,'Species Codes'!B:J,9,0)*(((E1512*2.54)/100)^2)*(I1512*0.3048)))))*0.0011023),0)</f>
        <v>#N/A</v>
      </c>
      <c r="AC1512" s="104" t="e">
        <f>IF(Z1512&gt;0,((IF(OR(D1512="RA",D1512="OA",D1512="OT",D1512="UN",D1512="PC"),EXP(VLOOKUP(D1512,'Species Codes'!B:O,14,0)+VLOOKUP(D1512,'Species Codes'!B:P,15,0)*LN((E1512*2.54)))-EXP(VLOOKUP(D1512,'Species Codes'!B:O,14,0)+VLOOKUP(D1512,'Species Codes'!B:P,15,0)*LN((E1512*2.54)))*(1/(VLOOKUP(D1512,'Species Codes'!B:Q,16,0)+VLOOKUP(D1512,'Species Codes'!B:R,17,0)*((E1512*2.54)^VLOOKUP(D1512,'Species Codes'!B:S,18,0)))),IF(OR(D1512="BM",D1512="MD",D1512="OA"),EXP(VLOOKUP(D1512,'Species Codes'!B:O,14,0)+VLOOKUP(D1512,'Species Codes'!B:P,15,0)*LN((E1512*2.54)))*(1-(1/(VLOOKUP(D1512,'Species Codes'!B:Q,16,0)+VLOOKUP(D1512,'Species Codes'!B:R,17,0)*((E1512*2.54)^VLOOKUP(D1512,'Species Codes'!B:S,18,0)))))/1000,IF(D1512="DF",EXP(VLOOKUP(D1512,'Species Codes'!B:O,14,0)+VLOOKUP(D1512,'Species Codes'!B:P,15,0)*LN((E1512*2.54))),VLOOKUP(D1512,'Species Codes'!B:O,14,0)+VLOOKUP(D1512,'Species Codes'!B:P,15,0)*(((E1512*2.54)/100)^2)*(I1512*0.3048)))))*0.0011023),0)</f>
        <v>#N/A</v>
      </c>
      <c r="AD1512" s="104" t="e">
        <f t="shared" si="679"/>
        <v>#N/A</v>
      </c>
      <c r="AE1512" s="104" t="e">
        <f t="shared" si="680"/>
        <v>#N/A</v>
      </c>
      <c r="AF1512" s="104" t="e">
        <f>IF(AND(VLOOKUP($D1512,Merchantability!$B:$C,2,0)="Yes",$E1512&gt;=VLOOKUP($D1512,Merchantability!$B:$D,3,0),$E1512&lt;=VLOOKUP($D1512,Merchantability!$B:$E,4,0)),AA1512,0)</f>
        <v>#N/A</v>
      </c>
      <c r="AG1512" s="104" t="e">
        <f>IF(AND(VLOOKUP($D1512,Merchantability!$B:$C,2,0)="Yes",$E1512&gt;=VLOOKUP($D1512,Merchantability!$B:$D,3,0),$E1512&lt;=VLOOKUP($D1512,Merchantability!$B:$E,4,0)),AB1512,0)</f>
        <v>#N/A</v>
      </c>
      <c r="AH1512" s="104" t="e">
        <f>IF(AND(VLOOKUP($D1512,Merchantability!$B:$C,2,0)="Yes",$E1512&gt;=VLOOKUP($D1512,Merchantability!$B:$D,3,0),$E1512&lt;=VLOOKUP($D1512,Merchantability!$B:$E,4,0)),AC1512,0)</f>
        <v>#N/A</v>
      </c>
      <c r="AI1512" s="104" t="e">
        <f t="shared" si="681"/>
        <v>#N/A</v>
      </c>
      <c r="AJ1512" s="104" t="e">
        <f t="shared" si="682"/>
        <v>#VALUE!</v>
      </c>
      <c r="AK1512" s="104" t="e">
        <f t="shared" si="683"/>
        <v>#N/A</v>
      </c>
      <c r="AL1512" s="104" t="e">
        <f t="shared" si="684"/>
        <v>#N/A</v>
      </c>
      <c r="AM1512" s="104" t="e">
        <f t="shared" si="685"/>
        <v>#N/A</v>
      </c>
      <c r="AN1512" s="104" t="e">
        <f t="shared" si="669"/>
        <v>#N/A</v>
      </c>
      <c r="AO1512" s="104" t="e">
        <f t="shared" si="670"/>
        <v>#N/A</v>
      </c>
      <c r="AP1512" s="104" t="e">
        <f t="shared" si="671"/>
        <v>#N/A</v>
      </c>
      <c r="AQ1512" s="104" t="e">
        <f t="shared" si="672"/>
        <v>#N/A</v>
      </c>
      <c r="AR1512" s="105" t="str">
        <f t="shared" si="664"/>
        <v/>
      </c>
      <c r="AS1512" s="105" t="str">
        <f t="shared" si="665"/>
        <v/>
      </c>
      <c r="AT1512" s="108" t="str">
        <f t="shared" si="666"/>
        <v/>
      </c>
      <c r="AU1512" s="108" t="str">
        <f t="shared" si="667"/>
        <v/>
      </c>
      <c r="AV1512" s="107" t="str">
        <f>IF(ISNUMBER(O1512),IF(VLOOKUP($A1512,Stand!C:J,8,FALSE)="Short",AT1512,AU1512),"")</f>
        <v/>
      </c>
      <c r="AW1512" s="109" t="str">
        <f t="shared" si="673"/>
        <v/>
      </c>
      <c r="AX1512" s="109" t="str">
        <f t="shared" si="674"/>
        <v/>
      </c>
      <c r="AY1512" s="112" t="str">
        <f>IF(ISNUMBER(O1512),IF(AND(VLOOKUP($D1512,Merchantability!$B:$C,2,0)="Yes",$E1512&gt;=VLOOKUP($D1512,Merchantability!$B:$D,3,0),$E1512&lt;=VLOOKUP($D1512,Merchantability!$B:$E,4,0)),(AV1512*O1512)*(1-$H1512/100),""),"")</f>
        <v/>
      </c>
      <c r="AZ1512" s="116"/>
      <c r="BA1512" s="116"/>
      <c r="BB1512" s="116"/>
      <c r="BE1512" s="62"/>
      <c r="BF1512" s="63"/>
    </row>
    <row r="1513" spans="1:58" ht="12.75" customHeight="1" x14ac:dyDescent="0.25">
      <c r="A1513" s="333"/>
      <c r="B1513" s="334"/>
      <c r="C1513" s="332"/>
      <c r="D1513" s="334"/>
      <c r="E1513" s="335"/>
      <c r="F1513" s="334"/>
      <c r="G1513" s="332"/>
      <c r="H1513" s="332"/>
      <c r="I1513" s="334"/>
      <c r="J1513" s="336"/>
      <c r="K1513" s="332"/>
      <c r="L1513" s="332"/>
      <c r="M1513" s="76"/>
      <c r="N1513" s="103" t="str">
        <f>IF(A1513="","",VLOOKUP(A1513,Stand!C:K,9,0))</f>
        <v/>
      </c>
      <c r="O1513" s="104" t="str">
        <f t="shared" si="659"/>
        <v/>
      </c>
      <c r="P1513" s="105" t="str">
        <f t="shared" si="660"/>
        <v/>
      </c>
      <c r="Q1513" s="105" t="str">
        <f t="shared" si="675"/>
        <v/>
      </c>
      <c r="R1513" s="103" t="str">
        <f t="shared" si="661"/>
        <v/>
      </c>
      <c r="S1513" s="103" t="str">
        <f t="shared" si="662"/>
        <v/>
      </c>
      <c r="T1513" s="106" t="str">
        <f t="shared" si="676"/>
        <v/>
      </c>
      <c r="U1513" s="106" t="str">
        <f t="shared" si="677"/>
        <v/>
      </c>
      <c r="V1513" s="106" t="str">
        <f t="shared" si="678"/>
        <v/>
      </c>
      <c r="W1513" s="105" t="str">
        <f t="shared" si="663"/>
        <v/>
      </c>
      <c r="X1513" s="104" t="str">
        <f t="shared" si="668"/>
        <v/>
      </c>
      <c r="Y1513" s="104" t="str">
        <f t="array" ref="Y1513">IFERROR(IF(ISNUMBER(O1513),IF(COUNT(IF(A1513=$A$2:$A$2427,IF(D1513=$D$2:$D$2427,IF($X$2:$X$2427&gt;0,1))))&gt;0,SUM(IF(A1513=$A$2:$A$2427,IF(D1513=$D$2:$D$2427,$X$2:$X$2427)))/COUNT(IF(A1513=$A$2:$A$2427,IF(D1513=$D$2:$D$2427,IF(ISNUMBER($X$2:$X$2427),1)))),0),""),0)</f>
        <v/>
      </c>
      <c r="Z1513" s="104" t="str">
        <f>IF(ISNUMBER(O1513),IF(I1513&gt;0,(10^(VLOOKUP(D1513,'Species Codes'!B:C,2,0)+VLOOKUP(D1513,'Species Codes'!B:D,3,0)*LOG(E1513)+VLOOKUP(D1513,'Species Codes'!B:E,4,0)*LOG(I1513))),0),"")</f>
        <v/>
      </c>
      <c r="AA1513" s="104" t="str">
        <f>IFERROR((VLOOKUP(D1513,'Species Codes'!B:G,6,0)*Z1513)/2000,"")</f>
        <v/>
      </c>
      <c r="AB1513" s="104" t="e">
        <f>IF(Z1513&gt;0,((IF(OR(D1513="DF",D1513="RA")=TRUE,EXP(VLOOKUP(D1513,'Species Codes'!B:I,8,0)+VLOOKUP(D1513,'Species Codes'!B:J,9,0)*(LN((E1513*2.54)))),IF(OR(D1513="PY",D1513="RC",D1513="WH",D1513="NF")=TRUE,VLOOKUP(D1513,'Species Codes'!B:I,8,0)+VLOOKUP(D1513,'Species Codes'!B:J,9,0)*((E1513*2.54)^2)*(I1513*0.3048),IF(OR(D1513="MD",D1513="BM",D1513="GA")=TRUE,((VLOOKUP(D1513,'Species Codes'!B:I,8,0)*(((((E1513*2.54)+VLOOKUP(D1513,'Species Codes'!B:J,9,0))/VLOOKUP(D1513,'Species Codes'!B:K,10,0))^VLOOKUP(D1513,'Species Codes'!B:L,11,0))*((I1513*0.3048)^VLOOKUP(D1513,'Species Codes'!B:M,12,0))))-(VLOOKUP(D1513,'Species Codes'!B:I,8,0)*((((E1513*2.54)^VLOOKUP(D1513,'Species Codes'!B:L,11,0))*((I1513*0.3048)^VLOOKUP(D1513,'Species Codes'!B:M,12,0))))))*35.3*VLOOKUP(D1513,'Species Codes'!B:G,6,0)/2.2046,VLOOKUP(D1513,'Species Codes'!B:I,8,0)+VLOOKUP(D1513,'Species Codes'!B:J,9,0)*(((E1513*2.54)/100)^2)*(I1513*0.3048)))))*0.0011023),0)</f>
        <v>#N/A</v>
      </c>
      <c r="AC1513" s="104" t="e">
        <f>IF(Z1513&gt;0,((IF(OR(D1513="RA",D1513="OA",D1513="OT",D1513="UN",D1513="PC"),EXP(VLOOKUP(D1513,'Species Codes'!B:O,14,0)+VLOOKUP(D1513,'Species Codes'!B:P,15,0)*LN((E1513*2.54)))-EXP(VLOOKUP(D1513,'Species Codes'!B:O,14,0)+VLOOKUP(D1513,'Species Codes'!B:P,15,0)*LN((E1513*2.54)))*(1/(VLOOKUP(D1513,'Species Codes'!B:Q,16,0)+VLOOKUP(D1513,'Species Codes'!B:R,17,0)*((E1513*2.54)^VLOOKUP(D1513,'Species Codes'!B:S,18,0)))),IF(OR(D1513="BM",D1513="MD",D1513="OA"),EXP(VLOOKUP(D1513,'Species Codes'!B:O,14,0)+VLOOKUP(D1513,'Species Codes'!B:P,15,0)*LN((E1513*2.54)))*(1-(1/(VLOOKUP(D1513,'Species Codes'!B:Q,16,0)+VLOOKUP(D1513,'Species Codes'!B:R,17,0)*((E1513*2.54)^VLOOKUP(D1513,'Species Codes'!B:S,18,0)))))/1000,IF(D1513="DF",EXP(VLOOKUP(D1513,'Species Codes'!B:O,14,0)+VLOOKUP(D1513,'Species Codes'!B:P,15,0)*LN((E1513*2.54))),VLOOKUP(D1513,'Species Codes'!B:O,14,0)+VLOOKUP(D1513,'Species Codes'!B:P,15,0)*(((E1513*2.54)/100)^2)*(I1513*0.3048)))))*0.0011023),0)</f>
        <v>#N/A</v>
      </c>
      <c r="AD1513" s="104" t="e">
        <f t="shared" si="679"/>
        <v>#N/A</v>
      </c>
      <c r="AE1513" s="104" t="e">
        <f t="shared" si="680"/>
        <v>#N/A</v>
      </c>
      <c r="AF1513" s="104" t="e">
        <f>IF(AND(VLOOKUP($D1513,Merchantability!$B:$C,2,0)="Yes",$E1513&gt;=VLOOKUP($D1513,Merchantability!$B:$D,3,0),$E1513&lt;=VLOOKUP($D1513,Merchantability!$B:$E,4,0)),AA1513,0)</f>
        <v>#N/A</v>
      </c>
      <c r="AG1513" s="104" t="e">
        <f>IF(AND(VLOOKUP($D1513,Merchantability!$B:$C,2,0)="Yes",$E1513&gt;=VLOOKUP($D1513,Merchantability!$B:$D,3,0),$E1513&lt;=VLOOKUP($D1513,Merchantability!$B:$E,4,0)),AB1513,0)</f>
        <v>#N/A</v>
      </c>
      <c r="AH1513" s="104" t="e">
        <f>IF(AND(VLOOKUP($D1513,Merchantability!$B:$C,2,0)="Yes",$E1513&gt;=VLOOKUP($D1513,Merchantability!$B:$D,3,0),$E1513&lt;=VLOOKUP($D1513,Merchantability!$B:$E,4,0)),AC1513,0)</f>
        <v>#N/A</v>
      </c>
      <c r="AI1513" s="104" t="e">
        <f t="shared" si="681"/>
        <v>#N/A</v>
      </c>
      <c r="AJ1513" s="104" t="e">
        <f t="shared" si="682"/>
        <v>#VALUE!</v>
      </c>
      <c r="AK1513" s="104" t="e">
        <f t="shared" si="683"/>
        <v>#N/A</v>
      </c>
      <c r="AL1513" s="104" t="e">
        <f t="shared" si="684"/>
        <v>#N/A</v>
      </c>
      <c r="AM1513" s="104" t="e">
        <f t="shared" si="685"/>
        <v>#N/A</v>
      </c>
      <c r="AN1513" s="104" t="e">
        <f t="shared" si="669"/>
        <v>#N/A</v>
      </c>
      <c r="AO1513" s="104" t="e">
        <f t="shared" si="670"/>
        <v>#N/A</v>
      </c>
      <c r="AP1513" s="104" t="e">
        <f t="shared" si="671"/>
        <v>#N/A</v>
      </c>
      <c r="AQ1513" s="104" t="e">
        <f t="shared" si="672"/>
        <v>#N/A</v>
      </c>
      <c r="AR1513" s="105" t="str">
        <f t="shared" si="664"/>
        <v/>
      </c>
      <c r="AS1513" s="105" t="str">
        <f t="shared" si="665"/>
        <v/>
      </c>
      <c r="AT1513" s="108" t="str">
        <f t="shared" si="666"/>
        <v/>
      </c>
      <c r="AU1513" s="108" t="str">
        <f t="shared" si="667"/>
        <v/>
      </c>
      <c r="AV1513" s="107" t="str">
        <f>IF(ISNUMBER(O1513),IF(VLOOKUP($A1513,Stand!C:J,8,FALSE)="Short",AT1513,AU1513),"")</f>
        <v/>
      </c>
      <c r="AW1513" s="109" t="str">
        <f t="shared" si="673"/>
        <v/>
      </c>
      <c r="AX1513" s="109" t="str">
        <f t="shared" si="674"/>
        <v/>
      </c>
      <c r="AY1513" s="112" t="str">
        <f>IF(ISNUMBER(O1513),IF(AND(VLOOKUP($D1513,Merchantability!$B:$C,2,0)="Yes",$E1513&gt;=VLOOKUP($D1513,Merchantability!$B:$D,3,0),$E1513&lt;=VLOOKUP($D1513,Merchantability!$B:$E,4,0)),(AV1513*O1513)*(1-$H1513/100),""),"")</f>
        <v/>
      </c>
      <c r="AZ1513" s="116"/>
      <c r="BA1513" s="116"/>
      <c r="BB1513" s="116"/>
      <c r="BE1513" s="62"/>
      <c r="BF1513" s="63"/>
    </row>
    <row r="1514" spans="1:58" ht="12.75" customHeight="1" x14ac:dyDescent="0.25">
      <c r="A1514" s="333"/>
      <c r="B1514" s="334"/>
      <c r="C1514" s="332"/>
      <c r="D1514" s="334"/>
      <c r="E1514" s="335"/>
      <c r="F1514" s="334"/>
      <c r="G1514" s="332"/>
      <c r="H1514" s="332"/>
      <c r="I1514" s="334"/>
      <c r="J1514" s="336"/>
      <c r="K1514" s="332"/>
      <c r="L1514" s="332"/>
      <c r="M1514" s="76"/>
      <c r="N1514" s="103" t="str">
        <f>IF(A1514="","",VLOOKUP(A1514,Stand!C:K,9,0))</f>
        <v/>
      </c>
      <c r="O1514" s="104" t="str">
        <f t="shared" si="659"/>
        <v/>
      </c>
      <c r="P1514" s="105" t="str">
        <f t="shared" si="660"/>
        <v/>
      </c>
      <c r="Q1514" s="105" t="str">
        <f t="shared" si="675"/>
        <v/>
      </c>
      <c r="R1514" s="103" t="str">
        <f t="shared" si="661"/>
        <v/>
      </c>
      <c r="S1514" s="103" t="str">
        <f t="shared" si="662"/>
        <v/>
      </c>
      <c r="T1514" s="106" t="str">
        <f t="shared" si="676"/>
        <v/>
      </c>
      <c r="U1514" s="106" t="str">
        <f t="shared" si="677"/>
        <v/>
      </c>
      <c r="V1514" s="106" t="str">
        <f t="shared" si="678"/>
        <v/>
      </c>
      <c r="W1514" s="105" t="str">
        <f t="shared" si="663"/>
        <v/>
      </c>
      <c r="X1514" s="104" t="str">
        <f t="shared" si="668"/>
        <v/>
      </c>
      <c r="Y1514" s="104" t="str">
        <f t="array" ref="Y1514">IFERROR(IF(ISNUMBER(O1514),IF(COUNT(IF(A1514=$A$2:$A$2427,IF(D1514=$D$2:$D$2427,IF($X$2:$X$2427&gt;0,1))))&gt;0,SUM(IF(A1514=$A$2:$A$2427,IF(D1514=$D$2:$D$2427,$X$2:$X$2427)))/COUNT(IF(A1514=$A$2:$A$2427,IF(D1514=$D$2:$D$2427,IF(ISNUMBER($X$2:$X$2427),1)))),0),""),0)</f>
        <v/>
      </c>
      <c r="Z1514" s="104" t="str">
        <f>IF(ISNUMBER(O1514),IF(I1514&gt;0,(10^(VLOOKUP(D1514,'Species Codes'!B:C,2,0)+VLOOKUP(D1514,'Species Codes'!B:D,3,0)*LOG(E1514)+VLOOKUP(D1514,'Species Codes'!B:E,4,0)*LOG(I1514))),0),"")</f>
        <v/>
      </c>
      <c r="AA1514" s="104" t="str">
        <f>IFERROR((VLOOKUP(D1514,'Species Codes'!B:G,6,0)*Z1514)/2000,"")</f>
        <v/>
      </c>
      <c r="AB1514" s="104" t="e">
        <f>IF(Z1514&gt;0,((IF(OR(D1514="DF",D1514="RA")=TRUE,EXP(VLOOKUP(D1514,'Species Codes'!B:I,8,0)+VLOOKUP(D1514,'Species Codes'!B:J,9,0)*(LN((E1514*2.54)))),IF(OR(D1514="PY",D1514="RC",D1514="WH",D1514="NF")=TRUE,VLOOKUP(D1514,'Species Codes'!B:I,8,0)+VLOOKUP(D1514,'Species Codes'!B:J,9,0)*((E1514*2.54)^2)*(I1514*0.3048),IF(OR(D1514="MD",D1514="BM",D1514="GA")=TRUE,((VLOOKUP(D1514,'Species Codes'!B:I,8,0)*(((((E1514*2.54)+VLOOKUP(D1514,'Species Codes'!B:J,9,0))/VLOOKUP(D1514,'Species Codes'!B:K,10,0))^VLOOKUP(D1514,'Species Codes'!B:L,11,0))*((I1514*0.3048)^VLOOKUP(D1514,'Species Codes'!B:M,12,0))))-(VLOOKUP(D1514,'Species Codes'!B:I,8,0)*((((E1514*2.54)^VLOOKUP(D1514,'Species Codes'!B:L,11,0))*((I1514*0.3048)^VLOOKUP(D1514,'Species Codes'!B:M,12,0))))))*35.3*VLOOKUP(D1514,'Species Codes'!B:G,6,0)/2.2046,VLOOKUP(D1514,'Species Codes'!B:I,8,0)+VLOOKUP(D1514,'Species Codes'!B:J,9,0)*(((E1514*2.54)/100)^2)*(I1514*0.3048)))))*0.0011023),0)</f>
        <v>#N/A</v>
      </c>
      <c r="AC1514" s="104" t="e">
        <f>IF(Z1514&gt;0,((IF(OR(D1514="RA",D1514="OA",D1514="OT",D1514="UN",D1514="PC"),EXP(VLOOKUP(D1514,'Species Codes'!B:O,14,0)+VLOOKUP(D1514,'Species Codes'!B:P,15,0)*LN((E1514*2.54)))-EXP(VLOOKUP(D1514,'Species Codes'!B:O,14,0)+VLOOKUP(D1514,'Species Codes'!B:P,15,0)*LN((E1514*2.54)))*(1/(VLOOKUP(D1514,'Species Codes'!B:Q,16,0)+VLOOKUP(D1514,'Species Codes'!B:R,17,0)*((E1514*2.54)^VLOOKUP(D1514,'Species Codes'!B:S,18,0)))),IF(OR(D1514="BM",D1514="MD",D1514="OA"),EXP(VLOOKUP(D1514,'Species Codes'!B:O,14,0)+VLOOKUP(D1514,'Species Codes'!B:P,15,0)*LN((E1514*2.54)))*(1-(1/(VLOOKUP(D1514,'Species Codes'!B:Q,16,0)+VLOOKUP(D1514,'Species Codes'!B:R,17,0)*((E1514*2.54)^VLOOKUP(D1514,'Species Codes'!B:S,18,0)))))/1000,IF(D1514="DF",EXP(VLOOKUP(D1514,'Species Codes'!B:O,14,0)+VLOOKUP(D1514,'Species Codes'!B:P,15,0)*LN((E1514*2.54))),VLOOKUP(D1514,'Species Codes'!B:O,14,0)+VLOOKUP(D1514,'Species Codes'!B:P,15,0)*(((E1514*2.54)/100)^2)*(I1514*0.3048)))))*0.0011023),0)</f>
        <v>#N/A</v>
      </c>
      <c r="AD1514" s="104" t="e">
        <f t="shared" si="679"/>
        <v>#N/A</v>
      </c>
      <c r="AE1514" s="104" t="e">
        <f t="shared" si="680"/>
        <v>#N/A</v>
      </c>
      <c r="AF1514" s="104" t="e">
        <f>IF(AND(VLOOKUP($D1514,Merchantability!$B:$C,2,0)="Yes",$E1514&gt;=VLOOKUP($D1514,Merchantability!$B:$D,3,0),$E1514&lt;=VLOOKUP($D1514,Merchantability!$B:$E,4,0)),AA1514,0)</f>
        <v>#N/A</v>
      </c>
      <c r="AG1514" s="104" t="e">
        <f>IF(AND(VLOOKUP($D1514,Merchantability!$B:$C,2,0)="Yes",$E1514&gt;=VLOOKUP($D1514,Merchantability!$B:$D,3,0),$E1514&lt;=VLOOKUP($D1514,Merchantability!$B:$E,4,0)),AB1514,0)</f>
        <v>#N/A</v>
      </c>
      <c r="AH1514" s="104" t="e">
        <f>IF(AND(VLOOKUP($D1514,Merchantability!$B:$C,2,0)="Yes",$E1514&gt;=VLOOKUP($D1514,Merchantability!$B:$D,3,0),$E1514&lt;=VLOOKUP($D1514,Merchantability!$B:$E,4,0)),AC1514,0)</f>
        <v>#N/A</v>
      </c>
      <c r="AI1514" s="104" t="e">
        <f t="shared" si="681"/>
        <v>#N/A</v>
      </c>
      <c r="AJ1514" s="104" t="e">
        <f t="shared" si="682"/>
        <v>#VALUE!</v>
      </c>
      <c r="AK1514" s="104" t="e">
        <f t="shared" si="683"/>
        <v>#N/A</v>
      </c>
      <c r="AL1514" s="104" t="e">
        <f t="shared" si="684"/>
        <v>#N/A</v>
      </c>
      <c r="AM1514" s="104" t="e">
        <f t="shared" si="685"/>
        <v>#N/A</v>
      </c>
      <c r="AN1514" s="104" t="e">
        <f t="shared" si="669"/>
        <v>#N/A</v>
      </c>
      <c r="AO1514" s="104" t="e">
        <f t="shared" si="670"/>
        <v>#N/A</v>
      </c>
      <c r="AP1514" s="104" t="e">
        <f t="shared" si="671"/>
        <v>#N/A</v>
      </c>
      <c r="AQ1514" s="104" t="e">
        <f t="shared" si="672"/>
        <v>#N/A</v>
      </c>
      <c r="AR1514" s="105" t="str">
        <f t="shared" si="664"/>
        <v/>
      </c>
      <c r="AS1514" s="105" t="str">
        <f t="shared" si="665"/>
        <v/>
      </c>
      <c r="AT1514" s="108" t="str">
        <f t="shared" si="666"/>
        <v/>
      </c>
      <c r="AU1514" s="108" t="str">
        <f t="shared" si="667"/>
        <v/>
      </c>
      <c r="AV1514" s="107" t="str">
        <f>IF(ISNUMBER(O1514),IF(VLOOKUP($A1514,Stand!C:J,8,FALSE)="Short",AT1514,AU1514),"")</f>
        <v/>
      </c>
      <c r="AW1514" s="109" t="str">
        <f t="shared" si="673"/>
        <v/>
      </c>
      <c r="AX1514" s="109" t="str">
        <f t="shared" si="674"/>
        <v/>
      </c>
      <c r="AY1514" s="112" t="str">
        <f>IF(ISNUMBER(O1514),IF(AND(VLOOKUP($D1514,Merchantability!$B:$C,2,0)="Yes",$E1514&gt;=VLOOKUP($D1514,Merchantability!$B:$D,3,0),$E1514&lt;=VLOOKUP($D1514,Merchantability!$B:$E,4,0)),(AV1514*O1514)*(1-$H1514/100),""),"")</f>
        <v/>
      </c>
      <c r="AZ1514" s="116"/>
      <c r="BA1514" s="116"/>
      <c r="BB1514" s="116"/>
      <c r="BE1514" s="62"/>
      <c r="BF1514" s="63"/>
    </row>
    <row r="1515" spans="1:58" ht="12.75" customHeight="1" x14ac:dyDescent="0.25">
      <c r="A1515" s="333"/>
      <c r="B1515" s="334"/>
      <c r="C1515" s="332"/>
      <c r="D1515" s="334"/>
      <c r="E1515" s="335"/>
      <c r="F1515" s="334"/>
      <c r="G1515" s="332"/>
      <c r="H1515" s="332"/>
      <c r="I1515" s="334"/>
      <c r="J1515" s="336"/>
      <c r="K1515" s="332"/>
      <c r="L1515" s="332"/>
      <c r="M1515" s="76"/>
      <c r="N1515" s="103" t="str">
        <f>IF(A1515="","",VLOOKUP(A1515,Stand!C:K,9,0))</f>
        <v/>
      </c>
      <c r="O1515" s="104" t="str">
        <f t="shared" si="659"/>
        <v/>
      </c>
      <c r="P1515" s="105" t="str">
        <f t="shared" si="660"/>
        <v/>
      </c>
      <c r="Q1515" s="105" t="str">
        <f t="shared" si="675"/>
        <v/>
      </c>
      <c r="R1515" s="103" t="str">
        <f t="shared" si="661"/>
        <v/>
      </c>
      <c r="S1515" s="103" t="str">
        <f t="shared" si="662"/>
        <v/>
      </c>
      <c r="T1515" s="106" t="str">
        <f t="shared" si="676"/>
        <v/>
      </c>
      <c r="U1515" s="106" t="str">
        <f t="shared" si="677"/>
        <v/>
      </c>
      <c r="V1515" s="106" t="str">
        <f t="shared" si="678"/>
        <v/>
      </c>
      <c r="W1515" s="105" t="str">
        <f t="shared" si="663"/>
        <v/>
      </c>
      <c r="X1515" s="104" t="str">
        <f t="shared" si="668"/>
        <v/>
      </c>
      <c r="Y1515" s="104" t="str">
        <f t="array" ref="Y1515">IFERROR(IF(ISNUMBER(O1515),IF(COUNT(IF(A1515=$A$2:$A$2427,IF(D1515=$D$2:$D$2427,IF($X$2:$X$2427&gt;0,1))))&gt;0,SUM(IF(A1515=$A$2:$A$2427,IF(D1515=$D$2:$D$2427,$X$2:$X$2427)))/COUNT(IF(A1515=$A$2:$A$2427,IF(D1515=$D$2:$D$2427,IF(ISNUMBER($X$2:$X$2427),1)))),0),""),0)</f>
        <v/>
      </c>
      <c r="Z1515" s="104" t="str">
        <f>IF(ISNUMBER(O1515),IF(I1515&gt;0,(10^(VLOOKUP(D1515,'Species Codes'!B:C,2,0)+VLOOKUP(D1515,'Species Codes'!B:D,3,0)*LOG(E1515)+VLOOKUP(D1515,'Species Codes'!B:E,4,0)*LOG(I1515))),0),"")</f>
        <v/>
      </c>
      <c r="AA1515" s="104" t="str">
        <f>IFERROR((VLOOKUP(D1515,'Species Codes'!B:G,6,0)*Z1515)/2000,"")</f>
        <v/>
      </c>
      <c r="AB1515" s="104" t="e">
        <f>IF(Z1515&gt;0,((IF(OR(D1515="DF",D1515="RA")=TRUE,EXP(VLOOKUP(D1515,'Species Codes'!B:I,8,0)+VLOOKUP(D1515,'Species Codes'!B:J,9,0)*(LN((E1515*2.54)))),IF(OR(D1515="PY",D1515="RC",D1515="WH",D1515="NF")=TRUE,VLOOKUP(D1515,'Species Codes'!B:I,8,0)+VLOOKUP(D1515,'Species Codes'!B:J,9,0)*((E1515*2.54)^2)*(I1515*0.3048),IF(OR(D1515="MD",D1515="BM",D1515="GA")=TRUE,((VLOOKUP(D1515,'Species Codes'!B:I,8,0)*(((((E1515*2.54)+VLOOKUP(D1515,'Species Codes'!B:J,9,0))/VLOOKUP(D1515,'Species Codes'!B:K,10,0))^VLOOKUP(D1515,'Species Codes'!B:L,11,0))*((I1515*0.3048)^VLOOKUP(D1515,'Species Codes'!B:M,12,0))))-(VLOOKUP(D1515,'Species Codes'!B:I,8,0)*((((E1515*2.54)^VLOOKUP(D1515,'Species Codes'!B:L,11,0))*((I1515*0.3048)^VLOOKUP(D1515,'Species Codes'!B:M,12,0))))))*35.3*VLOOKUP(D1515,'Species Codes'!B:G,6,0)/2.2046,VLOOKUP(D1515,'Species Codes'!B:I,8,0)+VLOOKUP(D1515,'Species Codes'!B:J,9,0)*(((E1515*2.54)/100)^2)*(I1515*0.3048)))))*0.0011023),0)</f>
        <v>#N/A</v>
      </c>
      <c r="AC1515" s="104" t="e">
        <f>IF(Z1515&gt;0,((IF(OR(D1515="RA",D1515="OA",D1515="OT",D1515="UN",D1515="PC"),EXP(VLOOKUP(D1515,'Species Codes'!B:O,14,0)+VLOOKUP(D1515,'Species Codes'!B:P,15,0)*LN((E1515*2.54)))-EXP(VLOOKUP(D1515,'Species Codes'!B:O,14,0)+VLOOKUP(D1515,'Species Codes'!B:P,15,0)*LN((E1515*2.54)))*(1/(VLOOKUP(D1515,'Species Codes'!B:Q,16,0)+VLOOKUP(D1515,'Species Codes'!B:R,17,0)*((E1515*2.54)^VLOOKUP(D1515,'Species Codes'!B:S,18,0)))),IF(OR(D1515="BM",D1515="MD",D1515="OA"),EXP(VLOOKUP(D1515,'Species Codes'!B:O,14,0)+VLOOKUP(D1515,'Species Codes'!B:P,15,0)*LN((E1515*2.54)))*(1-(1/(VLOOKUP(D1515,'Species Codes'!B:Q,16,0)+VLOOKUP(D1515,'Species Codes'!B:R,17,0)*((E1515*2.54)^VLOOKUP(D1515,'Species Codes'!B:S,18,0)))))/1000,IF(D1515="DF",EXP(VLOOKUP(D1515,'Species Codes'!B:O,14,0)+VLOOKUP(D1515,'Species Codes'!B:P,15,0)*LN((E1515*2.54))),VLOOKUP(D1515,'Species Codes'!B:O,14,0)+VLOOKUP(D1515,'Species Codes'!B:P,15,0)*(((E1515*2.54)/100)^2)*(I1515*0.3048)))))*0.0011023),0)</f>
        <v>#N/A</v>
      </c>
      <c r="AD1515" s="104" t="e">
        <f t="shared" si="679"/>
        <v>#N/A</v>
      </c>
      <c r="AE1515" s="104" t="e">
        <f t="shared" si="680"/>
        <v>#N/A</v>
      </c>
      <c r="AF1515" s="104" t="e">
        <f>IF(AND(VLOOKUP($D1515,Merchantability!$B:$C,2,0)="Yes",$E1515&gt;=VLOOKUP($D1515,Merchantability!$B:$D,3,0),$E1515&lt;=VLOOKUP($D1515,Merchantability!$B:$E,4,0)),AA1515,0)</f>
        <v>#N/A</v>
      </c>
      <c r="AG1515" s="104" t="e">
        <f>IF(AND(VLOOKUP($D1515,Merchantability!$B:$C,2,0)="Yes",$E1515&gt;=VLOOKUP($D1515,Merchantability!$B:$D,3,0),$E1515&lt;=VLOOKUP($D1515,Merchantability!$B:$E,4,0)),AB1515,0)</f>
        <v>#N/A</v>
      </c>
      <c r="AH1515" s="104" t="e">
        <f>IF(AND(VLOOKUP($D1515,Merchantability!$B:$C,2,0)="Yes",$E1515&gt;=VLOOKUP($D1515,Merchantability!$B:$D,3,0),$E1515&lt;=VLOOKUP($D1515,Merchantability!$B:$E,4,0)),AC1515,0)</f>
        <v>#N/A</v>
      </c>
      <c r="AI1515" s="104" t="e">
        <f t="shared" si="681"/>
        <v>#N/A</v>
      </c>
      <c r="AJ1515" s="104" t="e">
        <f t="shared" si="682"/>
        <v>#VALUE!</v>
      </c>
      <c r="AK1515" s="104" t="e">
        <f t="shared" si="683"/>
        <v>#N/A</v>
      </c>
      <c r="AL1515" s="104" t="e">
        <f t="shared" si="684"/>
        <v>#N/A</v>
      </c>
      <c r="AM1515" s="104" t="e">
        <f t="shared" si="685"/>
        <v>#N/A</v>
      </c>
      <c r="AN1515" s="104" t="e">
        <f t="shared" si="669"/>
        <v>#N/A</v>
      </c>
      <c r="AO1515" s="104" t="e">
        <f t="shared" si="670"/>
        <v>#N/A</v>
      </c>
      <c r="AP1515" s="104" t="e">
        <f t="shared" si="671"/>
        <v>#N/A</v>
      </c>
      <c r="AQ1515" s="104" t="e">
        <f t="shared" si="672"/>
        <v>#N/A</v>
      </c>
      <c r="AR1515" s="105" t="str">
        <f t="shared" si="664"/>
        <v/>
      </c>
      <c r="AS1515" s="105" t="str">
        <f t="shared" si="665"/>
        <v/>
      </c>
      <c r="AT1515" s="108" t="str">
        <f t="shared" si="666"/>
        <v/>
      </c>
      <c r="AU1515" s="108" t="str">
        <f t="shared" si="667"/>
        <v/>
      </c>
      <c r="AV1515" s="107" t="str">
        <f>IF(ISNUMBER(O1515),IF(VLOOKUP($A1515,Stand!C:J,8,FALSE)="Short",AT1515,AU1515),"")</f>
        <v/>
      </c>
      <c r="AW1515" s="109" t="str">
        <f t="shared" si="673"/>
        <v/>
      </c>
      <c r="AX1515" s="109" t="str">
        <f t="shared" si="674"/>
        <v/>
      </c>
      <c r="AY1515" s="112" t="str">
        <f>IF(ISNUMBER(O1515),IF(AND(VLOOKUP($D1515,Merchantability!$B:$C,2,0)="Yes",$E1515&gt;=VLOOKUP($D1515,Merchantability!$B:$D,3,0),$E1515&lt;=VLOOKUP($D1515,Merchantability!$B:$E,4,0)),(AV1515*O1515)*(1-$H1515/100),""),"")</f>
        <v/>
      </c>
      <c r="AZ1515" s="116"/>
      <c r="BA1515" s="116"/>
      <c r="BB1515" s="116"/>
      <c r="BE1515" s="62"/>
      <c r="BF1515" s="63"/>
    </row>
    <row r="1516" spans="1:58" ht="12.75" customHeight="1" x14ac:dyDescent="0.25">
      <c r="A1516" s="333"/>
      <c r="B1516" s="334"/>
      <c r="C1516" s="332"/>
      <c r="D1516" s="334"/>
      <c r="E1516" s="335"/>
      <c r="F1516" s="334"/>
      <c r="G1516" s="332"/>
      <c r="H1516" s="332"/>
      <c r="I1516" s="334"/>
      <c r="J1516" s="336"/>
      <c r="K1516" s="332"/>
      <c r="L1516" s="332"/>
      <c r="M1516" s="76"/>
      <c r="N1516" s="103" t="str">
        <f>IF(A1516="","",VLOOKUP(A1516,Stand!C:K,9,0))</f>
        <v/>
      </c>
      <c r="O1516" s="104" t="str">
        <f t="shared" si="659"/>
        <v/>
      </c>
      <c r="P1516" s="105" t="str">
        <f t="shared" si="660"/>
        <v/>
      </c>
      <c r="Q1516" s="105" t="str">
        <f t="shared" si="675"/>
        <v/>
      </c>
      <c r="R1516" s="103" t="str">
        <f t="shared" si="661"/>
        <v/>
      </c>
      <c r="S1516" s="103" t="str">
        <f t="shared" si="662"/>
        <v/>
      </c>
      <c r="T1516" s="106" t="str">
        <f t="shared" si="676"/>
        <v/>
      </c>
      <c r="U1516" s="106" t="str">
        <f t="shared" si="677"/>
        <v/>
      </c>
      <c r="V1516" s="106" t="str">
        <f t="shared" si="678"/>
        <v/>
      </c>
      <c r="W1516" s="105" t="str">
        <f t="shared" si="663"/>
        <v/>
      </c>
      <c r="X1516" s="104" t="str">
        <f t="shared" si="668"/>
        <v/>
      </c>
      <c r="Y1516" s="104" t="str">
        <f t="array" ref="Y1516">IFERROR(IF(ISNUMBER(O1516),IF(COUNT(IF(A1516=$A$2:$A$2427,IF(D1516=$D$2:$D$2427,IF($X$2:$X$2427&gt;0,1))))&gt;0,SUM(IF(A1516=$A$2:$A$2427,IF(D1516=$D$2:$D$2427,$X$2:$X$2427)))/COUNT(IF(A1516=$A$2:$A$2427,IF(D1516=$D$2:$D$2427,IF(ISNUMBER($X$2:$X$2427),1)))),0),""),0)</f>
        <v/>
      </c>
      <c r="Z1516" s="104" t="str">
        <f>IF(ISNUMBER(O1516),IF(I1516&gt;0,(10^(VLOOKUP(D1516,'Species Codes'!B:C,2,0)+VLOOKUP(D1516,'Species Codes'!B:D,3,0)*LOG(E1516)+VLOOKUP(D1516,'Species Codes'!B:E,4,0)*LOG(I1516))),0),"")</f>
        <v/>
      </c>
      <c r="AA1516" s="104" t="str">
        <f>IFERROR((VLOOKUP(D1516,'Species Codes'!B:G,6,0)*Z1516)/2000,"")</f>
        <v/>
      </c>
      <c r="AB1516" s="104" t="e">
        <f>IF(Z1516&gt;0,((IF(OR(D1516="DF",D1516="RA")=TRUE,EXP(VLOOKUP(D1516,'Species Codes'!B:I,8,0)+VLOOKUP(D1516,'Species Codes'!B:J,9,0)*(LN((E1516*2.54)))),IF(OR(D1516="PY",D1516="RC",D1516="WH",D1516="NF")=TRUE,VLOOKUP(D1516,'Species Codes'!B:I,8,0)+VLOOKUP(D1516,'Species Codes'!B:J,9,0)*((E1516*2.54)^2)*(I1516*0.3048),IF(OR(D1516="MD",D1516="BM",D1516="GA")=TRUE,((VLOOKUP(D1516,'Species Codes'!B:I,8,0)*(((((E1516*2.54)+VLOOKUP(D1516,'Species Codes'!B:J,9,0))/VLOOKUP(D1516,'Species Codes'!B:K,10,0))^VLOOKUP(D1516,'Species Codes'!B:L,11,0))*((I1516*0.3048)^VLOOKUP(D1516,'Species Codes'!B:M,12,0))))-(VLOOKUP(D1516,'Species Codes'!B:I,8,0)*((((E1516*2.54)^VLOOKUP(D1516,'Species Codes'!B:L,11,0))*((I1516*0.3048)^VLOOKUP(D1516,'Species Codes'!B:M,12,0))))))*35.3*VLOOKUP(D1516,'Species Codes'!B:G,6,0)/2.2046,VLOOKUP(D1516,'Species Codes'!B:I,8,0)+VLOOKUP(D1516,'Species Codes'!B:J,9,0)*(((E1516*2.54)/100)^2)*(I1516*0.3048)))))*0.0011023),0)</f>
        <v>#N/A</v>
      </c>
      <c r="AC1516" s="104" t="e">
        <f>IF(Z1516&gt;0,((IF(OR(D1516="RA",D1516="OA",D1516="OT",D1516="UN",D1516="PC"),EXP(VLOOKUP(D1516,'Species Codes'!B:O,14,0)+VLOOKUP(D1516,'Species Codes'!B:P,15,0)*LN((E1516*2.54)))-EXP(VLOOKUP(D1516,'Species Codes'!B:O,14,0)+VLOOKUP(D1516,'Species Codes'!B:P,15,0)*LN((E1516*2.54)))*(1/(VLOOKUP(D1516,'Species Codes'!B:Q,16,0)+VLOOKUP(D1516,'Species Codes'!B:R,17,0)*((E1516*2.54)^VLOOKUP(D1516,'Species Codes'!B:S,18,0)))),IF(OR(D1516="BM",D1516="MD",D1516="OA"),EXP(VLOOKUP(D1516,'Species Codes'!B:O,14,0)+VLOOKUP(D1516,'Species Codes'!B:P,15,0)*LN((E1516*2.54)))*(1-(1/(VLOOKUP(D1516,'Species Codes'!B:Q,16,0)+VLOOKUP(D1516,'Species Codes'!B:R,17,0)*((E1516*2.54)^VLOOKUP(D1516,'Species Codes'!B:S,18,0)))))/1000,IF(D1516="DF",EXP(VLOOKUP(D1516,'Species Codes'!B:O,14,0)+VLOOKUP(D1516,'Species Codes'!B:P,15,0)*LN((E1516*2.54))),VLOOKUP(D1516,'Species Codes'!B:O,14,0)+VLOOKUP(D1516,'Species Codes'!B:P,15,0)*(((E1516*2.54)/100)^2)*(I1516*0.3048)))))*0.0011023),0)</f>
        <v>#N/A</v>
      </c>
      <c r="AD1516" s="104" t="e">
        <f t="shared" si="679"/>
        <v>#N/A</v>
      </c>
      <c r="AE1516" s="104" t="e">
        <f t="shared" si="680"/>
        <v>#N/A</v>
      </c>
      <c r="AF1516" s="104" t="e">
        <f>IF(AND(VLOOKUP($D1516,Merchantability!$B:$C,2,0)="Yes",$E1516&gt;=VLOOKUP($D1516,Merchantability!$B:$D,3,0),$E1516&lt;=VLOOKUP($D1516,Merchantability!$B:$E,4,0)),AA1516,0)</f>
        <v>#N/A</v>
      </c>
      <c r="AG1516" s="104" t="e">
        <f>IF(AND(VLOOKUP($D1516,Merchantability!$B:$C,2,0)="Yes",$E1516&gt;=VLOOKUP($D1516,Merchantability!$B:$D,3,0),$E1516&lt;=VLOOKUP($D1516,Merchantability!$B:$E,4,0)),AB1516,0)</f>
        <v>#N/A</v>
      </c>
      <c r="AH1516" s="104" t="e">
        <f>IF(AND(VLOOKUP($D1516,Merchantability!$B:$C,2,0)="Yes",$E1516&gt;=VLOOKUP($D1516,Merchantability!$B:$D,3,0),$E1516&lt;=VLOOKUP($D1516,Merchantability!$B:$E,4,0)),AC1516,0)</f>
        <v>#N/A</v>
      </c>
      <c r="AI1516" s="104" t="e">
        <f t="shared" si="681"/>
        <v>#N/A</v>
      </c>
      <c r="AJ1516" s="104" t="e">
        <f t="shared" si="682"/>
        <v>#VALUE!</v>
      </c>
      <c r="AK1516" s="104" t="e">
        <f t="shared" si="683"/>
        <v>#N/A</v>
      </c>
      <c r="AL1516" s="104" t="e">
        <f t="shared" si="684"/>
        <v>#N/A</v>
      </c>
      <c r="AM1516" s="104" t="e">
        <f t="shared" si="685"/>
        <v>#N/A</v>
      </c>
      <c r="AN1516" s="104" t="e">
        <f t="shared" si="669"/>
        <v>#N/A</v>
      </c>
      <c r="AO1516" s="104" t="e">
        <f t="shared" si="670"/>
        <v>#N/A</v>
      </c>
      <c r="AP1516" s="104" t="e">
        <f t="shared" si="671"/>
        <v>#N/A</v>
      </c>
      <c r="AQ1516" s="104" t="e">
        <f t="shared" si="672"/>
        <v>#N/A</v>
      </c>
      <c r="AR1516" s="105" t="str">
        <f t="shared" si="664"/>
        <v/>
      </c>
      <c r="AS1516" s="105" t="str">
        <f t="shared" si="665"/>
        <v/>
      </c>
      <c r="AT1516" s="108" t="str">
        <f t="shared" si="666"/>
        <v/>
      </c>
      <c r="AU1516" s="108" t="str">
        <f t="shared" si="667"/>
        <v/>
      </c>
      <c r="AV1516" s="107" t="str">
        <f>IF(ISNUMBER(O1516),IF(VLOOKUP($A1516,Stand!C:J,8,FALSE)="Short",AT1516,AU1516),"")</f>
        <v/>
      </c>
      <c r="AW1516" s="109" t="str">
        <f t="shared" si="673"/>
        <v/>
      </c>
      <c r="AX1516" s="109" t="str">
        <f t="shared" si="674"/>
        <v/>
      </c>
      <c r="AY1516" s="112" t="str">
        <f>IF(ISNUMBER(O1516),IF(AND(VLOOKUP($D1516,Merchantability!$B:$C,2,0)="Yes",$E1516&gt;=VLOOKUP($D1516,Merchantability!$B:$D,3,0),$E1516&lt;=VLOOKUP($D1516,Merchantability!$B:$E,4,0)),(AV1516*O1516)*(1-$H1516/100),""),"")</f>
        <v/>
      </c>
      <c r="AZ1516" s="116"/>
      <c r="BA1516" s="116"/>
      <c r="BB1516" s="116"/>
      <c r="BE1516" s="62"/>
      <c r="BF1516" s="63"/>
    </row>
    <row r="1517" spans="1:58" ht="12.75" customHeight="1" x14ac:dyDescent="0.25">
      <c r="A1517" s="333"/>
      <c r="B1517" s="334"/>
      <c r="C1517" s="332"/>
      <c r="D1517" s="334"/>
      <c r="E1517" s="335"/>
      <c r="F1517" s="334"/>
      <c r="G1517" s="332"/>
      <c r="H1517" s="332"/>
      <c r="I1517" s="334"/>
      <c r="J1517" s="336"/>
      <c r="K1517" s="332"/>
      <c r="L1517" s="332"/>
      <c r="M1517" s="76"/>
      <c r="N1517" s="103" t="str">
        <f>IF(A1517="","",VLOOKUP(A1517,Stand!C:K,9,0))</f>
        <v/>
      </c>
      <c r="O1517" s="104" t="str">
        <f t="shared" si="659"/>
        <v/>
      </c>
      <c r="P1517" s="105" t="str">
        <f t="shared" si="660"/>
        <v/>
      </c>
      <c r="Q1517" s="105" t="str">
        <f t="shared" si="675"/>
        <v/>
      </c>
      <c r="R1517" s="103" t="str">
        <f t="shared" si="661"/>
        <v/>
      </c>
      <c r="S1517" s="103" t="str">
        <f t="shared" si="662"/>
        <v/>
      </c>
      <c r="T1517" s="106" t="str">
        <f t="shared" si="676"/>
        <v/>
      </c>
      <c r="U1517" s="106" t="str">
        <f t="shared" si="677"/>
        <v/>
      </c>
      <c r="V1517" s="106" t="str">
        <f t="shared" si="678"/>
        <v/>
      </c>
      <c r="W1517" s="105" t="str">
        <f t="shared" si="663"/>
        <v/>
      </c>
      <c r="X1517" s="104" t="str">
        <f t="shared" si="668"/>
        <v/>
      </c>
      <c r="Y1517" s="104" t="str">
        <f t="array" ref="Y1517">IFERROR(IF(ISNUMBER(O1517),IF(COUNT(IF(A1517=$A$2:$A$2427,IF(D1517=$D$2:$D$2427,IF($X$2:$X$2427&gt;0,1))))&gt;0,SUM(IF(A1517=$A$2:$A$2427,IF(D1517=$D$2:$D$2427,$X$2:$X$2427)))/COUNT(IF(A1517=$A$2:$A$2427,IF(D1517=$D$2:$D$2427,IF(ISNUMBER($X$2:$X$2427),1)))),0),""),0)</f>
        <v/>
      </c>
      <c r="Z1517" s="104" t="str">
        <f>IF(ISNUMBER(O1517),IF(I1517&gt;0,(10^(VLOOKUP(D1517,'Species Codes'!B:C,2,0)+VLOOKUP(D1517,'Species Codes'!B:D,3,0)*LOG(E1517)+VLOOKUP(D1517,'Species Codes'!B:E,4,0)*LOG(I1517))),0),"")</f>
        <v/>
      </c>
      <c r="AA1517" s="104" t="str">
        <f>IFERROR((VLOOKUP(D1517,'Species Codes'!B:G,6,0)*Z1517)/2000,"")</f>
        <v/>
      </c>
      <c r="AB1517" s="104" t="e">
        <f>IF(Z1517&gt;0,((IF(OR(D1517="DF",D1517="RA")=TRUE,EXP(VLOOKUP(D1517,'Species Codes'!B:I,8,0)+VLOOKUP(D1517,'Species Codes'!B:J,9,0)*(LN((E1517*2.54)))),IF(OR(D1517="PY",D1517="RC",D1517="WH",D1517="NF")=TRUE,VLOOKUP(D1517,'Species Codes'!B:I,8,0)+VLOOKUP(D1517,'Species Codes'!B:J,9,0)*((E1517*2.54)^2)*(I1517*0.3048),IF(OR(D1517="MD",D1517="BM",D1517="GA")=TRUE,((VLOOKUP(D1517,'Species Codes'!B:I,8,0)*(((((E1517*2.54)+VLOOKUP(D1517,'Species Codes'!B:J,9,0))/VLOOKUP(D1517,'Species Codes'!B:K,10,0))^VLOOKUP(D1517,'Species Codes'!B:L,11,0))*((I1517*0.3048)^VLOOKUP(D1517,'Species Codes'!B:M,12,0))))-(VLOOKUP(D1517,'Species Codes'!B:I,8,0)*((((E1517*2.54)^VLOOKUP(D1517,'Species Codes'!B:L,11,0))*((I1517*0.3048)^VLOOKUP(D1517,'Species Codes'!B:M,12,0))))))*35.3*VLOOKUP(D1517,'Species Codes'!B:G,6,0)/2.2046,VLOOKUP(D1517,'Species Codes'!B:I,8,0)+VLOOKUP(D1517,'Species Codes'!B:J,9,0)*(((E1517*2.54)/100)^2)*(I1517*0.3048)))))*0.0011023),0)</f>
        <v>#N/A</v>
      </c>
      <c r="AC1517" s="104" t="e">
        <f>IF(Z1517&gt;0,((IF(OR(D1517="RA",D1517="OA",D1517="OT",D1517="UN",D1517="PC"),EXP(VLOOKUP(D1517,'Species Codes'!B:O,14,0)+VLOOKUP(D1517,'Species Codes'!B:P,15,0)*LN((E1517*2.54)))-EXP(VLOOKUP(D1517,'Species Codes'!B:O,14,0)+VLOOKUP(D1517,'Species Codes'!B:P,15,0)*LN((E1517*2.54)))*(1/(VLOOKUP(D1517,'Species Codes'!B:Q,16,0)+VLOOKUP(D1517,'Species Codes'!B:R,17,0)*((E1517*2.54)^VLOOKUP(D1517,'Species Codes'!B:S,18,0)))),IF(OR(D1517="BM",D1517="MD",D1517="OA"),EXP(VLOOKUP(D1517,'Species Codes'!B:O,14,0)+VLOOKUP(D1517,'Species Codes'!B:P,15,0)*LN((E1517*2.54)))*(1-(1/(VLOOKUP(D1517,'Species Codes'!B:Q,16,0)+VLOOKUP(D1517,'Species Codes'!B:R,17,0)*((E1517*2.54)^VLOOKUP(D1517,'Species Codes'!B:S,18,0)))))/1000,IF(D1517="DF",EXP(VLOOKUP(D1517,'Species Codes'!B:O,14,0)+VLOOKUP(D1517,'Species Codes'!B:P,15,0)*LN((E1517*2.54))),VLOOKUP(D1517,'Species Codes'!B:O,14,0)+VLOOKUP(D1517,'Species Codes'!B:P,15,0)*(((E1517*2.54)/100)^2)*(I1517*0.3048)))))*0.0011023),0)</f>
        <v>#N/A</v>
      </c>
      <c r="AD1517" s="104" t="e">
        <f t="shared" si="679"/>
        <v>#N/A</v>
      </c>
      <c r="AE1517" s="104" t="e">
        <f t="shared" si="680"/>
        <v>#N/A</v>
      </c>
      <c r="AF1517" s="104" t="e">
        <f>IF(AND(VLOOKUP($D1517,Merchantability!$B:$C,2,0)="Yes",$E1517&gt;=VLOOKUP($D1517,Merchantability!$B:$D,3,0),$E1517&lt;=VLOOKUP($D1517,Merchantability!$B:$E,4,0)),AA1517,0)</f>
        <v>#N/A</v>
      </c>
      <c r="AG1517" s="104" t="e">
        <f>IF(AND(VLOOKUP($D1517,Merchantability!$B:$C,2,0)="Yes",$E1517&gt;=VLOOKUP($D1517,Merchantability!$B:$D,3,0),$E1517&lt;=VLOOKUP($D1517,Merchantability!$B:$E,4,0)),AB1517,0)</f>
        <v>#N/A</v>
      </c>
      <c r="AH1517" s="104" t="e">
        <f>IF(AND(VLOOKUP($D1517,Merchantability!$B:$C,2,0)="Yes",$E1517&gt;=VLOOKUP($D1517,Merchantability!$B:$D,3,0),$E1517&lt;=VLOOKUP($D1517,Merchantability!$B:$E,4,0)),AC1517,0)</f>
        <v>#N/A</v>
      </c>
      <c r="AI1517" s="104" t="e">
        <f t="shared" si="681"/>
        <v>#N/A</v>
      </c>
      <c r="AJ1517" s="104" t="e">
        <f t="shared" si="682"/>
        <v>#VALUE!</v>
      </c>
      <c r="AK1517" s="104" t="e">
        <f t="shared" si="683"/>
        <v>#N/A</v>
      </c>
      <c r="AL1517" s="104" t="e">
        <f t="shared" si="684"/>
        <v>#N/A</v>
      </c>
      <c r="AM1517" s="104" t="e">
        <f t="shared" si="685"/>
        <v>#N/A</v>
      </c>
      <c r="AN1517" s="104" t="e">
        <f t="shared" si="669"/>
        <v>#N/A</v>
      </c>
      <c r="AO1517" s="104" t="e">
        <f t="shared" si="670"/>
        <v>#N/A</v>
      </c>
      <c r="AP1517" s="104" t="e">
        <f t="shared" si="671"/>
        <v>#N/A</v>
      </c>
      <c r="AQ1517" s="104" t="e">
        <f t="shared" si="672"/>
        <v>#N/A</v>
      </c>
      <c r="AR1517" s="105" t="str">
        <f t="shared" si="664"/>
        <v/>
      </c>
      <c r="AS1517" s="105" t="str">
        <f t="shared" si="665"/>
        <v/>
      </c>
      <c r="AT1517" s="108" t="str">
        <f t="shared" si="666"/>
        <v/>
      </c>
      <c r="AU1517" s="108" t="str">
        <f t="shared" si="667"/>
        <v/>
      </c>
      <c r="AV1517" s="107" t="str">
        <f>IF(ISNUMBER(O1517),IF(VLOOKUP($A1517,Stand!C:J,8,FALSE)="Short",AT1517,AU1517),"")</f>
        <v/>
      </c>
      <c r="AW1517" s="109" t="str">
        <f t="shared" si="673"/>
        <v/>
      </c>
      <c r="AX1517" s="109" t="str">
        <f t="shared" si="674"/>
        <v/>
      </c>
      <c r="AY1517" s="112" t="str">
        <f>IF(ISNUMBER(O1517),IF(AND(VLOOKUP($D1517,Merchantability!$B:$C,2,0)="Yes",$E1517&gt;=VLOOKUP($D1517,Merchantability!$B:$D,3,0),$E1517&lt;=VLOOKUP($D1517,Merchantability!$B:$E,4,0)),(AV1517*O1517)*(1-$H1517/100),""),"")</f>
        <v/>
      </c>
      <c r="AZ1517" s="116"/>
      <c r="BA1517" s="116"/>
      <c r="BB1517" s="116"/>
      <c r="BE1517" s="62"/>
      <c r="BF1517" s="63"/>
    </row>
    <row r="1518" spans="1:58" ht="12.75" customHeight="1" x14ac:dyDescent="0.25">
      <c r="A1518" s="333"/>
      <c r="B1518" s="334"/>
      <c r="C1518" s="332"/>
      <c r="D1518" s="334"/>
      <c r="E1518" s="335"/>
      <c r="F1518" s="334"/>
      <c r="G1518" s="332"/>
      <c r="H1518" s="332"/>
      <c r="I1518" s="334"/>
      <c r="J1518" s="336"/>
      <c r="K1518" s="332"/>
      <c r="L1518" s="332"/>
      <c r="M1518" s="76"/>
      <c r="N1518" s="103" t="str">
        <f>IF(A1518="","",VLOOKUP(A1518,Stand!C:K,9,0))</f>
        <v/>
      </c>
      <c r="O1518" s="104" t="str">
        <f t="shared" si="659"/>
        <v/>
      </c>
      <c r="P1518" s="105" t="str">
        <f t="shared" si="660"/>
        <v/>
      </c>
      <c r="Q1518" s="105" t="str">
        <f t="shared" si="675"/>
        <v/>
      </c>
      <c r="R1518" s="103" t="str">
        <f t="shared" si="661"/>
        <v/>
      </c>
      <c r="S1518" s="103" t="str">
        <f t="shared" si="662"/>
        <v/>
      </c>
      <c r="T1518" s="106" t="str">
        <f t="shared" si="676"/>
        <v/>
      </c>
      <c r="U1518" s="106" t="str">
        <f t="shared" si="677"/>
        <v/>
      </c>
      <c r="V1518" s="106" t="str">
        <f t="shared" si="678"/>
        <v/>
      </c>
      <c r="W1518" s="105" t="str">
        <f t="shared" si="663"/>
        <v/>
      </c>
      <c r="X1518" s="104" t="str">
        <f t="shared" si="668"/>
        <v/>
      </c>
      <c r="Y1518" s="104" t="str">
        <f t="array" ref="Y1518">IFERROR(IF(ISNUMBER(O1518),IF(COUNT(IF(A1518=$A$2:$A$2427,IF(D1518=$D$2:$D$2427,IF($X$2:$X$2427&gt;0,1))))&gt;0,SUM(IF(A1518=$A$2:$A$2427,IF(D1518=$D$2:$D$2427,$X$2:$X$2427)))/COUNT(IF(A1518=$A$2:$A$2427,IF(D1518=$D$2:$D$2427,IF(ISNUMBER($X$2:$X$2427),1)))),0),""),0)</f>
        <v/>
      </c>
      <c r="Z1518" s="104" t="str">
        <f>IF(ISNUMBER(O1518),IF(I1518&gt;0,(10^(VLOOKUP(D1518,'Species Codes'!B:C,2,0)+VLOOKUP(D1518,'Species Codes'!B:D,3,0)*LOG(E1518)+VLOOKUP(D1518,'Species Codes'!B:E,4,0)*LOG(I1518))),0),"")</f>
        <v/>
      </c>
      <c r="AA1518" s="104" t="str">
        <f>IFERROR((VLOOKUP(D1518,'Species Codes'!B:G,6,0)*Z1518)/2000,"")</f>
        <v/>
      </c>
      <c r="AB1518" s="104" t="e">
        <f>IF(Z1518&gt;0,((IF(OR(D1518="DF",D1518="RA")=TRUE,EXP(VLOOKUP(D1518,'Species Codes'!B:I,8,0)+VLOOKUP(D1518,'Species Codes'!B:J,9,0)*(LN((E1518*2.54)))),IF(OR(D1518="PY",D1518="RC",D1518="WH",D1518="NF")=TRUE,VLOOKUP(D1518,'Species Codes'!B:I,8,0)+VLOOKUP(D1518,'Species Codes'!B:J,9,0)*((E1518*2.54)^2)*(I1518*0.3048),IF(OR(D1518="MD",D1518="BM",D1518="GA")=TRUE,((VLOOKUP(D1518,'Species Codes'!B:I,8,0)*(((((E1518*2.54)+VLOOKUP(D1518,'Species Codes'!B:J,9,0))/VLOOKUP(D1518,'Species Codes'!B:K,10,0))^VLOOKUP(D1518,'Species Codes'!B:L,11,0))*((I1518*0.3048)^VLOOKUP(D1518,'Species Codes'!B:M,12,0))))-(VLOOKUP(D1518,'Species Codes'!B:I,8,0)*((((E1518*2.54)^VLOOKUP(D1518,'Species Codes'!B:L,11,0))*((I1518*0.3048)^VLOOKUP(D1518,'Species Codes'!B:M,12,0))))))*35.3*VLOOKUP(D1518,'Species Codes'!B:G,6,0)/2.2046,VLOOKUP(D1518,'Species Codes'!B:I,8,0)+VLOOKUP(D1518,'Species Codes'!B:J,9,0)*(((E1518*2.54)/100)^2)*(I1518*0.3048)))))*0.0011023),0)</f>
        <v>#N/A</v>
      </c>
      <c r="AC1518" s="104" t="e">
        <f>IF(Z1518&gt;0,((IF(OR(D1518="RA",D1518="OA",D1518="OT",D1518="UN",D1518="PC"),EXP(VLOOKUP(D1518,'Species Codes'!B:O,14,0)+VLOOKUP(D1518,'Species Codes'!B:P,15,0)*LN((E1518*2.54)))-EXP(VLOOKUP(D1518,'Species Codes'!B:O,14,0)+VLOOKUP(D1518,'Species Codes'!B:P,15,0)*LN((E1518*2.54)))*(1/(VLOOKUP(D1518,'Species Codes'!B:Q,16,0)+VLOOKUP(D1518,'Species Codes'!B:R,17,0)*((E1518*2.54)^VLOOKUP(D1518,'Species Codes'!B:S,18,0)))),IF(OR(D1518="BM",D1518="MD",D1518="OA"),EXP(VLOOKUP(D1518,'Species Codes'!B:O,14,0)+VLOOKUP(D1518,'Species Codes'!B:P,15,0)*LN((E1518*2.54)))*(1-(1/(VLOOKUP(D1518,'Species Codes'!B:Q,16,0)+VLOOKUP(D1518,'Species Codes'!B:R,17,0)*((E1518*2.54)^VLOOKUP(D1518,'Species Codes'!B:S,18,0)))))/1000,IF(D1518="DF",EXP(VLOOKUP(D1518,'Species Codes'!B:O,14,0)+VLOOKUP(D1518,'Species Codes'!B:P,15,0)*LN((E1518*2.54))),VLOOKUP(D1518,'Species Codes'!B:O,14,0)+VLOOKUP(D1518,'Species Codes'!B:P,15,0)*(((E1518*2.54)/100)^2)*(I1518*0.3048)))))*0.0011023),0)</f>
        <v>#N/A</v>
      </c>
      <c r="AD1518" s="104" t="e">
        <f t="shared" si="679"/>
        <v>#N/A</v>
      </c>
      <c r="AE1518" s="104" t="e">
        <f t="shared" si="680"/>
        <v>#N/A</v>
      </c>
      <c r="AF1518" s="104" t="e">
        <f>IF(AND(VLOOKUP($D1518,Merchantability!$B:$C,2,0)="Yes",$E1518&gt;=VLOOKUP($D1518,Merchantability!$B:$D,3,0),$E1518&lt;=VLOOKUP($D1518,Merchantability!$B:$E,4,0)),AA1518,0)</f>
        <v>#N/A</v>
      </c>
      <c r="AG1518" s="104" t="e">
        <f>IF(AND(VLOOKUP($D1518,Merchantability!$B:$C,2,0)="Yes",$E1518&gt;=VLOOKUP($D1518,Merchantability!$B:$D,3,0),$E1518&lt;=VLOOKUP($D1518,Merchantability!$B:$E,4,0)),AB1518,0)</f>
        <v>#N/A</v>
      </c>
      <c r="AH1518" s="104" t="e">
        <f>IF(AND(VLOOKUP($D1518,Merchantability!$B:$C,2,0)="Yes",$E1518&gt;=VLOOKUP($D1518,Merchantability!$B:$D,3,0),$E1518&lt;=VLOOKUP($D1518,Merchantability!$B:$E,4,0)),AC1518,0)</f>
        <v>#N/A</v>
      </c>
      <c r="AI1518" s="104" t="e">
        <f t="shared" si="681"/>
        <v>#N/A</v>
      </c>
      <c r="AJ1518" s="104" t="e">
        <f t="shared" si="682"/>
        <v>#VALUE!</v>
      </c>
      <c r="AK1518" s="104" t="e">
        <f t="shared" si="683"/>
        <v>#N/A</v>
      </c>
      <c r="AL1518" s="104" t="e">
        <f t="shared" si="684"/>
        <v>#N/A</v>
      </c>
      <c r="AM1518" s="104" t="e">
        <f t="shared" si="685"/>
        <v>#N/A</v>
      </c>
      <c r="AN1518" s="104" t="e">
        <f t="shared" si="669"/>
        <v>#N/A</v>
      </c>
      <c r="AO1518" s="104" t="e">
        <f t="shared" si="670"/>
        <v>#N/A</v>
      </c>
      <c r="AP1518" s="104" t="e">
        <f t="shared" si="671"/>
        <v>#N/A</v>
      </c>
      <c r="AQ1518" s="104" t="e">
        <f t="shared" si="672"/>
        <v>#N/A</v>
      </c>
      <c r="AR1518" s="105" t="str">
        <f t="shared" si="664"/>
        <v/>
      </c>
      <c r="AS1518" s="105" t="str">
        <f t="shared" si="665"/>
        <v/>
      </c>
      <c r="AT1518" s="108" t="str">
        <f t="shared" si="666"/>
        <v/>
      </c>
      <c r="AU1518" s="108" t="str">
        <f t="shared" si="667"/>
        <v/>
      </c>
      <c r="AV1518" s="107" t="str">
        <f>IF(ISNUMBER(O1518),IF(VLOOKUP($A1518,Stand!C:J,8,FALSE)="Short",AT1518,AU1518),"")</f>
        <v/>
      </c>
      <c r="AW1518" s="109" t="str">
        <f t="shared" si="673"/>
        <v/>
      </c>
      <c r="AX1518" s="109" t="str">
        <f t="shared" si="674"/>
        <v/>
      </c>
      <c r="AY1518" s="112" t="str">
        <f>IF(ISNUMBER(O1518),IF(AND(VLOOKUP($D1518,Merchantability!$B:$C,2,0)="Yes",$E1518&gt;=VLOOKUP($D1518,Merchantability!$B:$D,3,0),$E1518&lt;=VLOOKUP($D1518,Merchantability!$B:$E,4,0)),(AV1518*O1518)*(1-$H1518/100),""),"")</f>
        <v/>
      </c>
      <c r="AZ1518" s="116"/>
      <c r="BA1518" s="116"/>
      <c r="BB1518" s="116"/>
      <c r="BE1518" s="62"/>
      <c r="BF1518" s="63"/>
    </row>
    <row r="1519" spans="1:58" ht="12.75" customHeight="1" x14ac:dyDescent="0.25">
      <c r="A1519" s="333"/>
      <c r="B1519" s="334"/>
      <c r="C1519" s="332"/>
      <c r="D1519" s="334"/>
      <c r="E1519" s="335"/>
      <c r="F1519" s="334"/>
      <c r="G1519" s="332"/>
      <c r="H1519" s="332"/>
      <c r="I1519" s="334"/>
      <c r="J1519" s="336"/>
      <c r="K1519" s="332"/>
      <c r="L1519" s="332"/>
      <c r="M1519" s="76"/>
      <c r="N1519" s="103" t="str">
        <f>IF(A1519="","",VLOOKUP(A1519,Stand!C:K,9,0))</f>
        <v/>
      </c>
      <c r="O1519" s="104" t="str">
        <f t="shared" si="659"/>
        <v/>
      </c>
      <c r="P1519" s="105" t="str">
        <f t="shared" si="660"/>
        <v/>
      </c>
      <c r="Q1519" s="105" t="str">
        <f t="shared" si="675"/>
        <v/>
      </c>
      <c r="R1519" s="103" t="str">
        <f t="shared" si="661"/>
        <v/>
      </c>
      <c r="S1519" s="103" t="str">
        <f t="shared" si="662"/>
        <v/>
      </c>
      <c r="T1519" s="106" t="str">
        <f t="shared" si="676"/>
        <v/>
      </c>
      <c r="U1519" s="106" t="str">
        <f t="shared" si="677"/>
        <v/>
      </c>
      <c r="V1519" s="106" t="str">
        <f t="shared" si="678"/>
        <v/>
      </c>
      <c r="W1519" s="105" t="str">
        <f t="shared" si="663"/>
        <v/>
      </c>
      <c r="X1519" s="104" t="str">
        <f t="shared" si="668"/>
        <v/>
      </c>
      <c r="Y1519" s="104" t="str">
        <f t="array" ref="Y1519">IFERROR(IF(ISNUMBER(O1519),IF(COUNT(IF(A1519=$A$2:$A$2427,IF(D1519=$D$2:$D$2427,IF($X$2:$X$2427&gt;0,1))))&gt;0,SUM(IF(A1519=$A$2:$A$2427,IF(D1519=$D$2:$D$2427,$X$2:$X$2427)))/COUNT(IF(A1519=$A$2:$A$2427,IF(D1519=$D$2:$D$2427,IF(ISNUMBER($X$2:$X$2427),1)))),0),""),0)</f>
        <v/>
      </c>
      <c r="Z1519" s="104" t="str">
        <f>IF(ISNUMBER(O1519),IF(I1519&gt;0,(10^(VLOOKUP(D1519,'Species Codes'!B:C,2,0)+VLOOKUP(D1519,'Species Codes'!B:D,3,0)*LOG(E1519)+VLOOKUP(D1519,'Species Codes'!B:E,4,0)*LOG(I1519))),0),"")</f>
        <v/>
      </c>
      <c r="AA1519" s="104" t="str">
        <f>IFERROR((VLOOKUP(D1519,'Species Codes'!B:G,6,0)*Z1519)/2000,"")</f>
        <v/>
      </c>
      <c r="AB1519" s="104" t="e">
        <f>IF(Z1519&gt;0,((IF(OR(D1519="DF",D1519="RA")=TRUE,EXP(VLOOKUP(D1519,'Species Codes'!B:I,8,0)+VLOOKUP(D1519,'Species Codes'!B:J,9,0)*(LN((E1519*2.54)))),IF(OR(D1519="PY",D1519="RC",D1519="WH",D1519="NF")=TRUE,VLOOKUP(D1519,'Species Codes'!B:I,8,0)+VLOOKUP(D1519,'Species Codes'!B:J,9,0)*((E1519*2.54)^2)*(I1519*0.3048),IF(OR(D1519="MD",D1519="BM",D1519="GA")=TRUE,((VLOOKUP(D1519,'Species Codes'!B:I,8,0)*(((((E1519*2.54)+VLOOKUP(D1519,'Species Codes'!B:J,9,0))/VLOOKUP(D1519,'Species Codes'!B:K,10,0))^VLOOKUP(D1519,'Species Codes'!B:L,11,0))*((I1519*0.3048)^VLOOKUP(D1519,'Species Codes'!B:M,12,0))))-(VLOOKUP(D1519,'Species Codes'!B:I,8,0)*((((E1519*2.54)^VLOOKUP(D1519,'Species Codes'!B:L,11,0))*((I1519*0.3048)^VLOOKUP(D1519,'Species Codes'!B:M,12,0))))))*35.3*VLOOKUP(D1519,'Species Codes'!B:G,6,0)/2.2046,VLOOKUP(D1519,'Species Codes'!B:I,8,0)+VLOOKUP(D1519,'Species Codes'!B:J,9,0)*(((E1519*2.54)/100)^2)*(I1519*0.3048)))))*0.0011023),0)</f>
        <v>#N/A</v>
      </c>
      <c r="AC1519" s="104" t="e">
        <f>IF(Z1519&gt;0,((IF(OR(D1519="RA",D1519="OA",D1519="OT",D1519="UN",D1519="PC"),EXP(VLOOKUP(D1519,'Species Codes'!B:O,14,0)+VLOOKUP(D1519,'Species Codes'!B:P,15,0)*LN((E1519*2.54)))-EXP(VLOOKUP(D1519,'Species Codes'!B:O,14,0)+VLOOKUP(D1519,'Species Codes'!B:P,15,0)*LN((E1519*2.54)))*(1/(VLOOKUP(D1519,'Species Codes'!B:Q,16,0)+VLOOKUP(D1519,'Species Codes'!B:R,17,0)*((E1519*2.54)^VLOOKUP(D1519,'Species Codes'!B:S,18,0)))),IF(OR(D1519="BM",D1519="MD",D1519="OA"),EXP(VLOOKUP(D1519,'Species Codes'!B:O,14,0)+VLOOKUP(D1519,'Species Codes'!B:P,15,0)*LN((E1519*2.54)))*(1-(1/(VLOOKUP(D1519,'Species Codes'!B:Q,16,0)+VLOOKUP(D1519,'Species Codes'!B:R,17,0)*((E1519*2.54)^VLOOKUP(D1519,'Species Codes'!B:S,18,0)))))/1000,IF(D1519="DF",EXP(VLOOKUP(D1519,'Species Codes'!B:O,14,0)+VLOOKUP(D1519,'Species Codes'!B:P,15,0)*LN((E1519*2.54))),VLOOKUP(D1519,'Species Codes'!B:O,14,0)+VLOOKUP(D1519,'Species Codes'!B:P,15,0)*(((E1519*2.54)/100)^2)*(I1519*0.3048)))))*0.0011023),0)</f>
        <v>#N/A</v>
      </c>
      <c r="AD1519" s="104" t="e">
        <f t="shared" si="679"/>
        <v>#N/A</v>
      </c>
      <c r="AE1519" s="104" t="e">
        <f t="shared" si="680"/>
        <v>#N/A</v>
      </c>
      <c r="AF1519" s="104" t="e">
        <f>IF(AND(VLOOKUP($D1519,Merchantability!$B:$C,2,0)="Yes",$E1519&gt;=VLOOKUP($D1519,Merchantability!$B:$D,3,0),$E1519&lt;=VLOOKUP($D1519,Merchantability!$B:$E,4,0)),AA1519,0)</f>
        <v>#N/A</v>
      </c>
      <c r="AG1519" s="104" t="e">
        <f>IF(AND(VLOOKUP($D1519,Merchantability!$B:$C,2,0)="Yes",$E1519&gt;=VLOOKUP($D1519,Merchantability!$B:$D,3,0),$E1519&lt;=VLOOKUP($D1519,Merchantability!$B:$E,4,0)),AB1519,0)</f>
        <v>#N/A</v>
      </c>
      <c r="AH1519" s="104" t="e">
        <f>IF(AND(VLOOKUP($D1519,Merchantability!$B:$C,2,0)="Yes",$E1519&gt;=VLOOKUP($D1519,Merchantability!$B:$D,3,0),$E1519&lt;=VLOOKUP($D1519,Merchantability!$B:$E,4,0)),AC1519,0)</f>
        <v>#N/A</v>
      </c>
      <c r="AI1519" s="104" t="e">
        <f t="shared" si="681"/>
        <v>#N/A</v>
      </c>
      <c r="AJ1519" s="104" t="e">
        <f t="shared" si="682"/>
        <v>#VALUE!</v>
      </c>
      <c r="AK1519" s="104" t="e">
        <f t="shared" si="683"/>
        <v>#N/A</v>
      </c>
      <c r="AL1519" s="104" t="e">
        <f t="shared" si="684"/>
        <v>#N/A</v>
      </c>
      <c r="AM1519" s="104" t="e">
        <f t="shared" si="685"/>
        <v>#N/A</v>
      </c>
      <c r="AN1519" s="104" t="e">
        <f t="shared" si="669"/>
        <v>#N/A</v>
      </c>
      <c r="AO1519" s="104" t="e">
        <f t="shared" si="670"/>
        <v>#N/A</v>
      </c>
      <c r="AP1519" s="104" t="e">
        <f t="shared" si="671"/>
        <v>#N/A</v>
      </c>
      <c r="AQ1519" s="104" t="e">
        <f t="shared" si="672"/>
        <v>#N/A</v>
      </c>
      <c r="AR1519" s="105" t="str">
        <f t="shared" si="664"/>
        <v/>
      </c>
      <c r="AS1519" s="105" t="str">
        <f t="shared" si="665"/>
        <v/>
      </c>
      <c r="AT1519" s="108" t="str">
        <f t="shared" si="666"/>
        <v/>
      </c>
      <c r="AU1519" s="108" t="str">
        <f t="shared" si="667"/>
        <v/>
      </c>
      <c r="AV1519" s="107" t="str">
        <f>IF(ISNUMBER(O1519),IF(VLOOKUP($A1519,Stand!C:J,8,FALSE)="Short",AT1519,AU1519),"")</f>
        <v/>
      </c>
      <c r="AW1519" s="109" t="str">
        <f t="shared" si="673"/>
        <v/>
      </c>
      <c r="AX1519" s="109" t="str">
        <f t="shared" si="674"/>
        <v/>
      </c>
      <c r="AY1519" s="112" t="str">
        <f>IF(ISNUMBER(O1519),IF(AND(VLOOKUP($D1519,Merchantability!$B:$C,2,0)="Yes",$E1519&gt;=VLOOKUP($D1519,Merchantability!$B:$D,3,0),$E1519&lt;=VLOOKUP($D1519,Merchantability!$B:$E,4,0)),(AV1519*O1519)*(1-$H1519/100),""),"")</f>
        <v/>
      </c>
      <c r="AZ1519" s="116"/>
      <c r="BA1519" s="116"/>
      <c r="BB1519" s="116"/>
      <c r="BE1519" s="62"/>
      <c r="BF1519" s="63"/>
    </row>
    <row r="1520" spans="1:58" ht="12.75" customHeight="1" x14ac:dyDescent="0.25">
      <c r="A1520" s="333"/>
      <c r="B1520" s="334"/>
      <c r="C1520" s="332"/>
      <c r="D1520" s="334"/>
      <c r="E1520" s="335"/>
      <c r="F1520" s="334"/>
      <c r="G1520" s="332"/>
      <c r="H1520" s="332"/>
      <c r="I1520" s="334"/>
      <c r="J1520" s="336"/>
      <c r="K1520" s="332"/>
      <c r="L1520" s="332"/>
      <c r="M1520" s="76"/>
      <c r="N1520" s="103" t="str">
        <f>IF(A1520="","",VLOOKUP(A1520,Stand!C:K,9,0))</f>
        <v/>
      </c>
      <c r="O1520" s="104" t="str">
        <f t="shared" si="659"/>
        <v/>
      </c>
      <c r="P1520" s="105" t="str">
        <f t="shared" si="660"/>
        <v/>
      </c>
      <c r="Q1520" s="105" t="str">
        <f t="shared" si="675"/>
        <v/>
      </c>
      <c r="R1520" s="103" t="str">
        <f t="shared" si="661"/>
        <v/>
      </c>
      <c r="S1520" s="103" t="str">
        <f t="shared" si="662"/>
        <v/>
      </c>
      <c r="T1520" s="106" t="str">
        <f t="shared" si="676"/>
        <v/>
      </c>
      <c r="U1520" s="106" t="str">
        <f t="shared" si="677"/>
        <v/>
      </c>
      <c r="V1520" s="106" t="str">
        <f t="shared" si="678"/>
        <v/>
      </c>
      <c r="W1520" s="105" t="str">
        <f t="shared" si="663"/>
        <v/>
      </c>
      <c r="X1520" s="104" t="str">
        <f t="shared" si="668"/>
        <v/>
      </c>
      <c r="Y1520" s="104" t="str">
        <f t="array" ref="Y1520">IFERROR(IF(ISNUMBER(O1520),IF(COUNT(IF(A1520=$A$2:$A$2427,IF(D1520=$D$2:$D$2427,IF($X$2:$X$2427&gt;0,1))))&gt;0,SUM(IF(A1520=$A$2:$A$2427,IF(D1520=$D$2:$D$2427,$X$2:$X$2427)))/COUNT(IF(A1520=$A$2:$A$2427,IF(D1520=$D$2:$D$2427,IF(ISNUMBER($X$2:$X$2427),1)))),0),""),0)</f>
        <v/>
      </c>
      <c r="Z1520" s="104" t="str">
        <f>IF(ISNUMBER(O1520),IF(I1520&gt;0,(10^(VLOOKUP(D1520,'Species Codes'!B:C,2,0)+VLOOKUP(D1520,'Species Codes'!B:D,3,0)*LOG(E1520)+VLOOKUP(D1520,'Species Codes'!B:E,4,0)*LOG(I1520))),0),"")</f>
        <v/>
      </c>
      <c r="AA1520" s="104" t="str">
        <f>IFERROR((VLOOKUP(D1520,'Species Codes'!B:G,6,0)*Z1520)/2000,"")</f>
        <v/>
      </c>
      <c r="AB1520" s="104" t="e">
        <f>IF(Z1520&gt;0,((IF(OR(D1520="DF",D1520="RA")=TRUE,EXP(VLOOKUP(D1520,'Species Codes'!B:I,8,0)+VLOOKUP(D1520,'Species Codes'!B:J,9,0)*(LN((E1520*2.54)))),IF(OR(D1520="PY",D1520="RC",D1520="WH",D1520="NF")=TRUE,VLOOKUP(D1520,'Species Codes'!B:I,8,0)+VLOOKUP(D1520,'Species Codes'!B:J,9,0)*((E1520*2.54)^2)*(I1520*0.3048),IF(OR(D1520="MD",D1520="BM",D1520="GA")=TRUE,((VLOOKUP(D1520,'Species Codes'!B:I,8,0)*(((((E1520*2.54)+VLOOKUP(D1520,'Species Codes'!B:J,9,0))/VLOOKUP(D1520,'Species Codes'!B:K,10,0))^VLOOKUP(D1520,'Species Codes'!B:L,11,0))*((I1520*0.3048)^VLOOKUP(D1520,'Species Codes'!B:M,12,0))))-(VLOOKUP(D1520,'Species Codes'!B:I,8,0)*((((E1520*2.54)^VLOOKUP(D1520,'Species Codes'!B:L,11,0))*((I1520*0.3048)^VLOOKUP(D1520,'Species Codes'!B:M,12,0))))))*35.3*VLOOKUP(D1520,'Species Codes'!B:G,6,0)/2.2046,VLOOKUP(D1520,'Species Codes'!B:I,8,0)+VLOOKUP(D1520,'Species Codes'!B:J,9,0)*(((E1520*2.54)/100)^2)*(I1520*0.3048)))))*0.0011023),0)</f>
        <v>#N/A</v>
      </c>
      <c r="AC1520" s="104" t="e">
        <f>IF(Z1520&gt;0,((IF(OR(D1520="RA",D1520="OA",D1520="OT",D1520="UN",D1520="PC"),EXP(VLOOKUP(D1520,'Species Codes'!B:O,14,0)+VLOOKUP(D1520,'Species Codes'!B:P,15,0)*LN((E1520*2.54)))-EXP(VLOOKUP(D1520,'Species Codes'!B:O,14,0)+VLOOKUP(D1520,'Species Codes'!B:P,15,0)*LN((E1520*2.54)))*(1/(VLOOKUP(D1520,'Species Codes'!B:Q,16,0)+VLOOKUP(D1520,'Species Codes'!B:R,17,0)*((E1520*2.54)^VLOOKUP(D1520,'Species Codes'!B:S,18,0)))),IF(OR(D1520="BM",D1520="MD",D1520="OA"),EXP(VLOOKUP(D1520,'Species Codes'!B:O,14,0)+VLOOKUP(D1520,'Species Codes'!B:P,15,0)*LN((E1520*2.54)))*(1-(1/(VLOOKUP(D1520,'Species Codes'!B:Q,16,0)+VLOOKUP(D1520,'Species Codes'!B:R,17,0)*((E1520*2.54)^VLOOKUP(D1520,'Species Codes'!B:S,18,0)))))/1000,IF(D1520="DF",EXP(VLOOKUP(D1520,'Species Codes'!B:O,14,0)+VLOOKUP(D1520,'Species Codes'!B:P,15,0)*LN((E1520*2.54))),VLOOKUP(D1520,'Species Codes'!B:O,14,0)+VLOOKUP(D1520,'Species Codes'!B:P,15,0)*(((E1520*2.54)/100)^2)*(I1520*0.3048)))))*0.0011023),0)</f>
        <v>#N/A</v>
      </c>
      <c r="AD1520" s="104" t="e">
        <f t="shared" si="679"/>
        <v>#N/A</v>
      </c>
      <c r="AE1520" s="104" t="e">
        <f t="shared" si="680"/>
        <v>#N/A</v>
      </c>
      <c r="AF1520" s="104" t="e">
        <f>IF(AND(VLOOKUP($D1520,Merchantability!$B:$C,2,0)="Yes",$E1520&gt;=VLOOKUP($D1520,Merchantability!$B:$D,3,0),$E1520&lt;=VLOOKUP($D1520,Merchantability!$B:$E,4,0)),AA1520,0)</f>
        <v>#N/A</v>
      </c>
      <c r="AG1520" s="104" t="e">
        <f>IF(AND(VLOOKUP($D1520,Merchantability!$B:$C,2,0)="Yes",$E1520&gt;=VLOOKUP($D1520,Merchantability!$B:$D,3,0),$E1520&lt;=VLOOKUP($D1520,Merchantability!$B:$E,4,0)),AB1520,0)</f>
        <v>#N/A</v>
      </c>
      <c r="AH1520" s="104" t="e">
        <f>IF(AND(VLOOKUP($D1520,Merchantability!$B:$C,2,0)="Yes",$E1520&gt;=VLOOKUP($D1520,Merchantability!$B:$D,3,0),$E1520&lt;=VLOOKUP($D1520,Merchantability!$B:$E,4,0)),AC1520,0)</f>
        <v>#N/A</v>
      </c>
      <c r="AI1520" s="104" t="e">
        <f t="shared" si="681"/>
        <v>#N/A</v>
      </c>
      <c r="AJ1520" s="104" t="e">
        <f t="shared" si="682"/>
        <v>#VALUE!</v>
      </c>
      <c r="AK1520" s="104" t="e">
        <f t="shared" si="683"/>
        <v>#N/A</v>
      </c>
      <c r="AL1520" s="104" t="e">
        <f t="shared" si="684"/>
        <v>#N/A</v>
      </c>
      <c r="AM1520" s="104" t="e">
        <f t="shared" si="685"/>
        <v>#N/A</v>
      </c>
      <c r="AN1520" s="104" t="e">
        <f t="shared" si="669"/>
        <v>#N/A</v>
      </c>
      <c r="AO1520" s="104" t="e">
        <f t="shared" si="670"/>
        <v>#N/A</v>
      </c>
      <c r="AP1520" s="104" t="e">
        <f t="shared" si="671"/>
        <v>#N/A</v>
      </c>
      <c r="AQ1520" s="104" t="e">
        <f t="shared" si="672"/>
        <v>#N/A</v>
      </c>
      <c r="AR1520" s="105" t="str">
        <f t="shared" si="664"/>
        <v/>
      </c>
      <c r="AS1520" s="105" t="str">
        <f t="shared" si="665"/>
        <v/>
      </c>
      <c r="AT1520" s="108" t="str">
        <f t="shared" si="666"/>
        <v/>
      </c>
      <c r="AU1520" s="108" t="str">
        <f t="shared" si="667"/>
        <v/>
      </c>
      <c r="AV1520" s="107" t="str">
        <f>IF(ISNUMBER(O1520),IF(VLOOKUP($A1520,Stand!C:J,8,FALSE)="Short",AT1520,AU1520),"")</f>
        <v/>
      </c>
      <c r="AW1520" s="109" t="str">
        <f t="shared" si="673"/>
        <v/>
      </c>
      <c r="AX1520" s="109" t="str">
        <f t="shared" si="674"/>
        <v/>
      </c>
      <c r="AY1520" s="112" t="str">
        <f>IF(ISNUMBER(O1520),IF(AND(VLOOKUP($D1520,Merchantability!$B:$C,2,0)="Yes",$E1520&gt;=VLOOKUP($D1520,Merchantability!$B:$D,3,0),$E1520&lt;=VLOOKUP($D1520,Merchantability!$B:$E,4,0)),(AV1520*O1520)*(1-$H1520/100),""),"")</f>
        <v/>
      </c>
      <c r="AZ1520" s="116"/>
      <c r="BA1520" s="116"/>
      <c r="BB1520" s="116"/>
      <c r="BE1520" s="62"/>
      <c r="BF1520" s="63"/>
    </row>
    <row r="1521" spans="1:58" ht="12.75" customHeight="1" x14ac:dyDescent="0.25">
      <c r="A1521" s="333"/>
      <c r="B1521" s="334"/>
      <c r="C1521" s="332"/>
      <c r="D1521" s="334"/>
      <c r="E1521" s="335"/>
      <c r="F1521" s="334"/>
      <c r="G1521" s="332"/>
      <c r="H1521" s="332"/>
      <c r="I1521" s="334"/>
      <c r="J1521" s="336"/>
      <c r="K1521" s="332"/>
      <c r="L1521" s="332"/>
      <c r="M1521" s="76"/>
      <c r="N1521" s="103" t="str">
        <f>IF(A1521="","",VLOOKUP(A1521,Stand!C:K,9,0))</f>
        <v/>
      </c>
      <c r="O1521" s="104" t="str">
        <f t="shared" si="659"/>
        <v/>
      </c>
      <c r="P1521" s="105" t="str">
        <f t="shared" si="660"/>
        <v/>
      </c>
      <c r="Q1521" s="105" t="str">
        <f t="shared" si="675"/>
        <v/>
      </c>
      <c r="R1521" s="103" t="str">
        <f t="shared" si="661"/>
        <v/>
      </c>
      <c r="S1521" s="103" t="str">
        <f t="shared" si="662"/>
        <v/>
      </c>
      <c r="T1521" s="106" t="str">
        <f t="shared" si="676"/>
        <v/>
      </c>
      <c r="U1521" s="106" t="str">
        <f t="shared" si="677"/>
        <v/>
      </c>
      <c r="V1521" s="106" t="str">
        <f t="shared" si="678"/>
        <v/>
      </c>
      <c r="W1521" s="105" t="str">
        <f t="shared" si="663"/>
        <v/>
      </c>
      <c r="X1521" s="104" t="str">
        <f t="shared" si="668"/>
        <v/>
      </c>
      <c r="Y1521" s="104" t="str">
        <f t="array" ref="Y1521">IFERROR(IF(ISNUMBER(O1521),IF(COUNT(IF(A1521=$A$2:$A$2427,IF(D1521=$D$2:$D$2427,IF($X$2:$X$2427&gt;0,1))))&gt;0,SUM(IF(A1521=$A$2:$A$2427,IF(D1521=$D$2:$D$2427,$X$2:$X$2427)))/COUNT(IF(A1521=$A$2:$A$2427,IF(D1521=$D$2:$D$2427,IF(ISNUMBER($X$2:$X$2427),1)))),0),""),0)</f>
        <v/>
      </c>
      <c r="Z1521" s="104" t="str">
        <f>IF(ISNUMBER(O1521),IF(I1521&gt;0,(10^(VLOOKUP(D1521,'Species Codes'!B:C,2,0)+VLOOKUP(D1521,'Species Codes'!B:D,3,0)*LOG(E1521)+VLOOKUP(D1521,'Species Codes'!B:E,4,0)*LOG(I1521))),0),"")</f>
        <v/>
      </c>
      <c r="AA1521" s="104" t="str">
        <f>IFERROR((VLOOKUP(D1521,'Species Codes'!B:G,6,0)*Z1521)/2000,"")</f>
        <v/>
      </c>
      <c r="AB1521" s="104" t="e">
        <f>IF(Z1521&gt;0,((IF(OR(D1521="DF",D1521="RA")=TRUE,EXP(VLOOKUP(D1521,'Species Codes'!B:I,8,0)+VLOOKUP(D1521,'Species Codes'!B:J,9,0)*(LN((E1521*2.54)))),IF(OR(D1521="PY",D1521="RC",D1521="WH",D1521="NF")=TRUE,VLOOKUP(D1521,'Species Codes'!B:I,8,0)+VLOOKUP(D1521,'Species Codes'!B:J,9,0)*((E1521*2.54)^2)*(I1521*0.3048),IF(OR(D1521="MD",D1521="BM",D1521="GA")=TRUE,((VLOOKUP(D1521,'Species Codes'!B:I,8,0)*(((((E1521*2.54)+VLOOKUP(D1521,'Species Codes'!B:J,9,0))/VLOOKUP(D1521,'Species Codes'!B:K,10,0))^VLOOKUP(D1521,'Species Codes'!B:L,11,0))*((I1521*0.3048)^VLOOKUP(D1521,'Species Codes'!B:M,12,0))))-(VLOOKUP(D1521,'Species Codes'!B:I,8,0)*((((E1521*2.54)^VLOOKUP(D1521,'Species Codes'!B:L,11,0))*((I1521*0.3048)^VLOOKUP(D1521,'Species Codes'!B:M,12,0))))))*35.3*VLOOKUP(D1521,'Species Codes'!B:G,6,0)/2.2046,VLOOKUP(D1521,'Species Codes'!B:I,8,0)+VLOOKUP(D1521,'Species Codes'!B:J,9,0)*(((E1521*2.54)/100)^2)*(I1521*0.3048)))))*0.0011023),0)</f>
        <v>#N/A</v>
      </c>
      <c r="AC1521" s="104" t="e">
        <f>IF(Z1521&gt;0,((IF(OR(D1521="RA",D1521="OA",D1521="OT",D1521="UN",D1521="PC"),EXP(VLOOKUP(D1521,'Species Codes'!B:O,14,0)+VLOOKUP(D1521,'Species Codes'!B:P,15,0)*LN((E1521*2.54)))-EXP(VLOOKUP(D1521,'Species Codes'!B:O,14,0)+VLOOKUP(D1521,'Species Codes'!B:P,15,0)*LN((E1521*2.54)))*(1/(VLOOKUP(D1521,'Species Codes'!B:Q,16,0)+VLOOKUP(D1521,'Species Codes'!B:R,17,0)*((E1521*2.54)^VLOOKUP(D1521,'Species Codes'!B:S,18,0)))),IF(OR(D1521="BM",D1521="MD",D1521="OA"),EXP(VLOOKUP(D1521,'Species Codes'!B:O,14,0)+VLOOKUP(D1521,'Species Codes'!B:P,15,0)*LN((E1521*2.54)))*(1-(1/(VLOOKUP(D1521,'Species Codes'!B:Q,16,0)+VLOOKUP(D1521,'Species Codes'!B:R,17,0)*((E1521*2.54)^VLOOKUP(D1521,'Species Codes'!B:S,18,0)))))/1000,IF(D1521="DF",EXP(VLOOKUP(D1521,'Species Codes'!B:O,14,0)+VLOOKUP(D1521,'Species Codes'!B:P,15,0)*LN((E1521*2.54))),VLOOKUP(D1521,'Species Codes'!B:O,14,0)+VLOOKUP(D1521,'Species Codes'!B:P,15,0)*(((E1521*2.54)/100)^2)*(I1521*0.3048)))))*0.0011023),0)</f>
        <v>#N/A</v>
      </c>
      <c r="AD1521" s="104" t="e">
        <f t="shared" si="679"/>
        <v>#N/A</v>
      </c>
      <c r="AE1521" s="104" t="e">
        <f t="shared" si="680"/>
        <v>#N/A</v>
      </c>
      <c r="AF1521" s="104" t="e">
        <f>IF(AND(VLOOKUP($D1521,Merchantability!$B:$C,2,0)="Yes",$E1521&gt;=VLOOKUP($D1521,Merchantability!$B:$D,3,0),$E1521&lt;=VLOOKUP($D1521,Merchantability!$B:$E,4,0)),AA1521,0)</f>
        <v>#N/A</v>
      </c>
      <c r="AG1521" s="104" t="e">
        <f>IF(AND(VLOOKUP($D1521,Merchantability!$B:$C,2,0)="Yes",$E1521&gt;=VLOOKUP($D1521,Merchantability!$B:$D,3,0),$E1521&lt;=VLOOKUP($D1521,Merchantability!$B:$E,4,0)),AB1521,0)</f>
        <v>#N/A</v>
      </c>
      <c r="AH1521" s="104" t="e">
        <f>IF(AND(VLOOKUP($D1521,Merchantability!$B:$C,2,0)="Yes",$E1521&gt;=VLOOKUP($D1521,Merchantability!$B:$D,3,0),$E1521&lt;=VLOOKUP($D1521,Merchantability!$B:$E,4,0)),AC1521,0)</f>
        <v>#N/A</v>
      </c>
      <c r="AI1521" s="104" t="e">
        <f t="shared" si="681"/>
        <v>#N/A</v>
      </c>
      <c r="AJ1521" s="104" t="e">
        <f t="shared" si="682"/>
        <v>#VALUE!</v>
      </c>
      <c r="AK1521" s="104" t="e">
        <f t="shared" si="683"/>
        <v>#N/A</v>
      </c>
      <c r="AL1521" s="104" t="e">
        <f t="shared" si="684"/>
        <v>#N/A</v>
      </c>
      <c r="AM1521" s="104" t="e">
        <f t="shared" si="685"/>
        <v>#N/A</v>
      </c>
      <c r="AN1521" s="104" t="e">
        <f t="shared" si="669"/>
        <v>#N/A</v>
      </c>
      <c r="AO1521" s="104" t="e">
        <f t="shared" si="670"/>
        <v>#N/A</v>
      </c>
      <c r="AP1521" s="104" t="e">
        <f t="shared" si="671"/>
        <v>#N/A</v>
      </c>
      <c r="AQ1521" s="104" t="e">
        <f t="shared" si="672"/>
        <v>#N/A</v>
      </c>
      <c r="AR1521" s="105" t="str">
        <f t="shared" si="664"/>
        <v/>
      </c>
      <c r="AS1521" s="105" t="str">
        <f t="shared" si="665"/>
        <v/>
      </c>
      <c r="AT1521" s="108" t="str">
        <f t="shared" si="666"/>
        <v/>
      </c>
      <c r="AU1521" s="108" t="str">
        <f t="shared" si="667"/>
        <v/>
      </c>
      <c r="AV1521" s="107" t="str">
        <f>IF(ISNUMBER(O1521),IF(VLOOKUP($A1521,Stand!C:J,8,FALSE)="Short",AT1521,AU1521),"")</f>
        <v/>
      </c>
      <c r="AW1521" s="109" t="str">
        <f t="shared" si="673"/>
        <v/>
      </c>
      <c r="AX1521" s="109" t="str">
        <f t="shared" si="674"/>
        <v/>
      </c>
      <c r="AY1521" s="112" t="str">
        <f>IF(ISNUMBER(O1521),IF(AND(VLOOKUP($D1521,Merchantability!$B:$C,2,0)="Yes",$E1521&gt;=VLOOKUP($D1521,Merchantability!$B:$D,3,0),$E1521&lt;=VLOOKUP($D1521,Merchantability!$B:$E,4,0)),(AV1521*O1521)*(1-$H1521/100),""),"")</f>
        <v/>
      </c>
      <c r="AZ1521" s="116"/>
      <c r="BA1521" s="116"/>
      <c r="BB1521" s="116"/>
      <c r="BE1521" s="62"/>
      <c r="BF1521" s="63"/>
    </row>
    <row r="1522" spans="1:58" ht="12.75" customHeight="1" x14ac:dyDescent="0.25">
      <c r="A1522" s="333"/>
      <c r="B1522" s="334"/>
      <c r="C1522" s="332"/>
      <c r="D1522" s="334"/>
      <c r="E1522" s="335"/>
      <c r="F1522" s="334"/>
      <c r="G1522" s="332"/>
      <c r="H1522" s="332"/>
      <c r="I1522" s="334"/>
      <c r="J1522" s="336"/>
      <c r="K1522" s="332"/>
      <c r="L1522" s="332"/>
      <c r="M1522" s="76"/>
      <c r="N1522" s="103" t="str">
        <f>IF(A1522="","",VLOOKUP(A1522,Stand!C:K,9,0))</f>
        <v/>
      </c>
      <c r="O1522" s="104" t="str">
        <f t="shared" si="659"/>
        <v/>
      </c>
      <c r="P1522" s="105" t="str">
        <f t="shared" si="660"/>
        <v/>
      </c>
      <c r="Q1522" s="105" t="str">
        <f t="shared" si="675"/>
        <v/>
      </c>
      <c r="R1522" s="103" t="str">
        <f t="shared" si="661"/>
        <v/>
      </c>
      <c r="S1522" s="103" t="str">
        <f t="shared" si="662"/>
        <v/>
      </c>
      <c r="T1522" s="106" t="str">
        <f t="shared" si="676"/>
        <v/>
      </c>
      <c r="U1522" s="106" t="str">
        <f t="shared" si="677"/>
        <v/>
      </c>
      <c r="V1522" s="106" t="str">
        <f t="shared" si="678"/>
        <v/>
      </c>
      <c r="W1522" s="105" t="str">
        <f t="shared" si="663"/>
        <v/>
      </c>
      <c r="X1522" s="104" t="str">
        <f t="shared" si="668"/>
        <v/>
      </c>
      <c r="Y1522" s="104" t="str">
        <f t="array" ref="Y1522">IFERROR(IF(ISNUMBER(O1522),IF(COUNT(IF(A1522=$A$2:$A$2427,IF(D1522=$D$2:$D$2427,IF($X$2:$X$2427&gt;0,1))))&gt;0,SUM(IF(A1522=$A$2:$A$2427,IF(D1522=$D$2:$D$2427,$X$2:$X$2427)))/COUNT(IF(A1522=$A$2:$A$2427,IF(D1522=$D$2:$D$2427,IF(ISNUMBER($X$2:$X$2427),1)))),0),""),0)</f>
        <v/>
      </c>
      <c r="Z1522" s="104" t="str">
        <f>IF(ISNUMBER(O1522),IF(I1522&gt;0,(10^(VLOOKUP(D1522,'Species Codes'!B:C,2,0)+VLOOKUP(D1522,'Species Codes'!B:D,3,0)*LOG(E1522)+VLOOKUP(D1522,'Species Codes'!B:E,4,0)*LOG(I1522))),0),"")</f>
        <v/>
      </c>
      <c r="AA1522" s="104" t="str">
        <f>IFERROR((VLOOKUP(D1522,'Species Codes'!B:G,6,0)*Z1522)/2000,"")</f>
        <v/>
      </c>
      <c r="AB1522" s="104" t="e">
        <f>IF(Z1522&gt;0,((IF(OR(D1522="DF",D1522="RA")=TRUE,EXP(VLOOKUP(D1522,'Species Codes'!B:I,8,0)+VLOOKUP(D1522,'Species Codes'!B:J,9,0)*(LN((E1522*2.54)))),IF(OR(D1522="PY",D1522="RC",D1522="WH",D1522="NF")=TRUE,VLOOKUP(D1522,'Species Codes'!B:I,8,0)+VLOOKUP(D1522,'Species Codes'!B:J,9,0)*((E1522*2.54)^2)*(I1522*0.3048),IF(OR(D1522="MD",D1522="BM",D1522="GA")=TRUE,((VLOOKUP(D1522,'Species Codes'!B:I,8,0)*(((((E1522*2.54)+VLOOKUP(D1522,'Species Codes'!B:J,9,0))/VLOOKUP(D1522,'Species Codes'!B:K,10,0))^VLOOKUP(D1522,'Species Codes'!B:L,11,0))*((I1522*0.3048)^VLOOKUP(D1522,'Species Codes'!B:M,12,0))))-(VLOOKUP(D1522,'Species Codes'!B:I,8,0)*((((E1522*2.54)^VLOOKUP(D1522,'Species Codes'!B:L,11,0))*((I1522*0.3048)^VLOOKUP(D1522,'Species Codes'!B:M,12,0))))))*35.3*VLOOKUP(D1522,'Species Codes'!B:G,6,0)/2.2046,VLOOKUP(D1522,'Species Codes'!B:I,8,0)+VLOOKUP(D1522,'Species Codes'!B:J,9,0)*(((E1522*2.54)/100)^2)*(I1522*0.3048)))))*0.0011023),0)</f>
        <v>#N/A</v>
      </c>
      <c r="AC1522" s="104" t="e">
        <f>IF(Z1522&gt;0,((IF(OR(D1522="RA",D1522="OA",D1522="OT",D1522="UN",D1522="PC"),EXP(VLOOKUP(D1522,'Species Codes'!B:O,14,0)+VLOOKUP(D1522,'Species Codes'!B:P,15,0)*LN((E1522*2.54)))-EXP(VLOOKUP(D1522,'Species Codes'!B:O,14,0)+VLOOKUP(D1522,'Species Codes'!B:P,15,0)*LN((E1522*2.54)))*(1/(VLOOKUP(D1522,'Species Codes'!B:Q,16,0)+VLOOKUP(D1522,'Species Codes'!B:R,17,0)*((E1522*2.54)^VLOOKUP(D1522,'Species Codes'!B:S,18,0)))),IF(OR(D1522="BM",D1522="MD",D1522="OA"),EXP(VLOOKUP(D1522,'Species Codes'!B:O,14,0)+VLOOKUP(D1522,'Species Codes'!B:P,15,0)*LN((E1522*2.54)))*(1-(1/(VLOOKUP(D1522,'Species Codes'!B:Q,16,0)+VLOOKUP(D1522,'Species Codes'!B:R,17,0)*((E1522*2.54)^VLOOKUP(D1522,'Species Codes'!B:S,18,0)))))/1000,IF(D1522="DF",EXP(VLOOKUP(D1522,'Species Codes'!B:O,14,0)+VLOOKUP(D1522,'Species Codes'!B:P,15,0)*LN((E1522*2.54))),VLOOKUP(D1522,'Species Codes'!B:O,14,0)+VLOOKUP(D1522,'Species Codes'!B:P,15,0)*(((E1522*2.54)/100)^2)*(I1522*0.3048)))))*0.0011023),0)</f>
        <v>#N/A</v>
      </c>
      <c r="AD1522" s="104" t="e">
        <f t="shared" si="679"/>
        <v>#N/A</v>
      </c>
      <c r="AE1522" s="104" t="e">
        <f t="shared" si="680"/>
        <v>#N/A</v>
      </c>
      <c r="AF1522" s="104" t="e">
        <f>IF(AND(VLOOKUP($D1522,Merchantability!$B:$C,2,0)="Yes",$E1522&gt;=VLOOKUP($D1522,Merchantability!$B:$D,3,0),$E1522&lt;=VLOOKUP($D1522,Merchantability!$B:$E,4,0)),AA1522,0)</f>
        <v>#N/A</v>
      </c>
      <c r="AG1522" s="104" t="e">
        <f>IF(AND(VLOOKUP($D1522,Merchantability!$B:$C,2,0)="Yes",$E1522&gt;=VLOOKUP($D1522,Merchantability!$B:$D,3,0),$E1522&lt;=VLOOKUP($D1522,Merchantability!$B:$E,4,0)),AB1522,0)</f>
        <v>#N/A</v>
      </c>
      <c r="AH1522" s="104" t="e">
        <f>IF(AND(VLOOKUP($D1522,Merchantability!$B:$C,2,0)="Yes",$E1522&gt;=VLOOKUP($D1522,Merchantability!$B:$D,3,0),$E1522&lt;=VLOOKUP($D1522,Merchantability!$B:$E,4,0)),AC1522,0)</f>
        <v>#N/A</v>
      </c>
      <c r="AI1522" s="104" t="e">
        <f t="shared" si="681"/>
        <v>#N/A</v>
      </c>
      <c r="AJ1522" s="104" t="e">
        <f t="shared" si="682"/>
        <v>#VALUE!</v>
      </c>
      <c r="AK1522" s="104" t="e">
        <f t="shared" si="683"/>
        <v>#N/A</v>
      </c>
      <c r="AL1522" s="104" t="e">
        <f t="shared" si="684"/>
        <v>#N/A</v>
      </c>
      <c r="AM1522" s="104" t="e">
        <f t="shared" si="685"/>
        <v>#N/A</v>
      </c>
      <c r="AN1522" s="104" t="e">
        <f t="shared" si="669"/>
        <v>#N/A</v>
      </c>
      <c r="AO1522" s="104" t="e">
        <f t="shared" si="670"/>
        <v>#N/A</v>
      </c>
      <c r="AP1522" s="104" t="e">
        <f t="shared" si="671"/>
        <v>#N/A</v>
      </c>
      <c r="AQ1522" s="104" t="e">
        <f t="shared" si="672"/>
        <v>#N/A</v>
      </c>
      <c r="AR1522" s="105" t="str">
        <f t="shared" si="664"/>
        <v/>
      </c>
      <c r="AS1522" s="105" t="str">
        <f t="shared" si="665"/>
        <v/>
      </c>
      <c r="AT1522" s="108" t="str">
        <f t="shared" si="666"/>
        <v/>
      </c>
      <c r="AU1522" s="108" t="str">
        <f t="shared" si="667"/>
        <v/>
      </c>
      <c r="AV1522" s="107" t="str">
        <f>IF(ISNUMBER(O1522),IF(VLOOKUP($A1522,Stand!C:J,8,FALSE)="Short",AT1522,AU1522),"")</f>
        <v/>
      </c>
      <c r="AW1522" s="109" t="str">
        <f t="shared" si="673"/>
        <v/>
      </c>
      <c r="AX1522" s="109" t="str">
        <f t="shared" si="674"/>
        <v/>
      </c>
      <c r="AY1522" s="112" t="str">
        <f>IF(ISNUMBER(O1522),IF(AND(VLOOKUP($D1522,Merchantability!$B:$C,2,0)="Yes",$E1522&gt;=VLOOKUP($D1522,Merchantability!$B:$D,3,0),$E1522&lt;=VLOOKUP($D1522,Merchantability!$B:$E,4,0)),(AV1522*O1522)*(1-$H1522/100),""),"")</f>
        <v/>
      </c>
      <c r="AZ1522" s="116"/>
      <c r="BA1522" s="116"/>
      <c r="BB1522" s="116"/>
      <c r="BE1522" s="62"/>
      <c r="BF1522" s="63"/>
    </row>
    <row r="1523" spans="1:58" ht="12.75" customHeight="1" x14ac:dyDescent="0.25">
      <c r="A1523" s="333"/>
      <c r="B1523" s="334"/>
      <c r="C1523" s="332"/>
      <c r="D1523" s="334"/>
      <c r="E1523" s="335"/>
      <c r="F1523" s="334"/>
      <c r="G1523" s="332"/>
      <c r="H1523" s="332"/>
      <c r="I1523" s="334"/>
      <c r="J1523" s="336"/>
      <c r="K1523" s="332"/>
      <c r="L1523" s="332"/>
      <c r="M1523" s="76"/>
      <c r="N1523" s="103" t="str">
        <f>IF(A1523="","",VLOOKUP(A1523,Stand!C:K,9,0))</f>
        <v/>
      </c>
      <c r="O1523" s="104" t="str">
        <f t="shared" si="659"/>
        <v/>
      </c>
      <c r="P1523" s="105" t="str">
        <f t="shared" si="660"/>
        <v/>
      </c>
      <c r="Q1523" s="105" t="str">
        <f t="shared" si="675"/>
        <v/>
      </c>
      <c r="R1523" s="103" t="str">
        <f t="shared" si="661"/>
        <v/>
      </c>
      <c r="S1523" s="103" t="str">
        <f t="shared" si="662"/>
        <v/>
      </c>
      <c r="T1523" s="106" t="str">
        <f t="shared" si="676"/>
        <v/>
      </c>
      <c r="U1523" s="106" t="str">
        <f t="shared" si="677"/>
        <v/>
      </c>
      <c r="V1523" s="106" t="str">
        <f t="shared" si="678"/>
        <v/>
      </c>
      <c r="W1523" s="105" t="str">
        <f t="shared" si="663"/>
        <v/>
      </c>
      <c r="X1523" s="104" t="str">
        <f t="shared" si="668"/>
        <v/>
      </c>
      <c r="Y1523" s="104" t="str">
        <f t="array" ref="Y1523">IFERROR(IF(ISNUMBER(O1523),IF(COUNT(IF(A1523=$A$2:$A$2427,IF(D1523=$D$2:$D$2427,IF($X$2:$X$2427&gt;0,1))))&gt;0,SUM(IF(A1523=$A$2:$A$2427,IF(D1523=$D$2:$D$2427,$X$2:$X$2427)))/COUNT(IF(A1523=$A$2:$A$2427,IF(D1523=$D$2:$D$2427,IF(ISNUMBER($X$2:$X$2427),1)))),0),""),0)</f>
        <v/>
      </c>
      <c r="Z1523" s="104" t="str">
        <f>IF(ISNUMBER(O1523),IF(I1523&gt;0,(10^(VLOOKUP(D1523,'Species Codes'!B:C,2,0)+VLOOKUP(D1523,'Species Codes'!B:D,3,0)*LOG(E1523)+VLOOKUP(D1523,'Species Codes'!B:E,4,0)*LOG(I1523))),0),"")</f>
        <v/>
      </c>
      <c r="AA1523" s="104" t="str">
        <f>IFERROR((VLOOKUP(D1523,'Species Codes'!B:G,6,0)*Z1523)/2000,"")</f>
        <v/>
      </c>
      <c r="AB1523" s="104" t="e">
        <f>IF(Z1523&gt;0,((IF(OR(D1523="DF",D1523="RA")=TRUE,EXP(VLOOKUP(D1523,'Species Codes'!B:I,8,0)+VLOOKUP(D1523,'Species Codes'!B:J,9,0)*(LN((E1523*2.54)))),IF(OR(D1523="PY",D1523="RC",D1523="WH",D1523="NF")=TRUE,VLOOKUP(D1523,'Species Codes'!B:I,8,0)+VLOOKUP(D1523,'Species Codes'!B:J,9,0)*((E1523*2.54)^2)*(I1523*0.3048),IF(OR(D1523="MD",D1523="BM",D1523="GA")=TRUE,((VLOOKUP(D1523,'Species Codes'!B:I,8,0)*(((((E1523*2.54)+VLOOKUP(D1523,'Species Codes'!B:J,9,0))/VLOOKUP(D1523,'Species Codes'!B:K,10,0))^VLOOKUP(D1523,'Species Codes'!B:L,11,0))*((I1523*0.3048)^VLOOKUP(D1523,'Species Codes'!B:M,12,0))))-(VLOOKUP(D1523,'Species Codes'!B:I,8,0)*((((E1523*2.54)^VLOOKUP(D1523,'Species Codes'!B:L,11,0))*((I1523*0.3048)^VLOOKUP(D1523,'Species Codes'!B:M,12,0))))))*35.3*VLOOKUP(D1523,'Species Codes'!B:G,6,0)/2.2046,VLOOKUP(D1523,'Species Codes'!B:I,8,0)+VLOOKUP(D1523,'Species Codes'!B:J,9,0)*(((E1523*2.54)/100)^2)*(I1523*0.3048)))))*0.0011023),0)</f>
        <v>#N/A</v>
      </c>
      <c r="AC1523" s="104" t="e">
        <f>IF(Z1523&gt;0,((IF(OR(D1523="RA",D1523="OA",D1523="OT",D1523="UN",D1523="PC"),EXP(VLOOKUP(D1523,'Species Codes'!B:O,14,0)+VLOOKUP(D1523,'Species Codes'!B:P,15,0)*LN((E1523*2.54)))-EXP(VLOOKUP(D1523,'Species Codes'!B:O,14,0)+VLOOKUP(D1523,'Species Codes'!B:P,15,0)*LN((E1523*2.54)))*(1/(VLOOKUP(D1523,'Species Codes'!B:Q,16,0)+VLOOKUP(D1523,'Species Codes'!B:R,17,0)*((E1523*2.54)^VLOOKUP(D1523,'Species Codes'!B:S,18,0)))),IF(OR(D1523="BM",D1523="MD",D1523="OA"),EXP(VLOOKUP(D1523,'Species Codes'!B:O,14,0)+VLOOKUP(D1523,'Species Codes'!B:P,15,0)*LN((E1523*2.54)))*(1-(1/(VLOOKUP(D1523,'Species Codes'!B:Q,16,0)+VLOOKUP(D1523,'Species Codes'!B:R,17,0)*((E1523*2.54)^VLOOKUP(D1523,'Species Codes'!B:S,18,0)))))/1000,IF(D1523="DF",EXP(VLOOKUP(D1523,'Species Codes'!B:O,14,0)+VLOOKUP(D1523,'Species Codes'!B:P,15,0)*LN((E1523*2.54))),VLOOKUP(D1523,'Species Codes'!B:O,14,0)+VLOOKUP(D1523,'Species Codes'!B:P,15,0)*(((E1523*2.54)/100)^2)*(I1523*0.3048)))))*0.0011023),0)</f>
        <v>#N/A</v>
      </c>
      <c r="AD1523" s="104" t="e">
        <f t="shared" si="679"/>
        <v>#N/A</v>
      </c>
      <c r="AE1523" s="104" t="e">
        <f t="shared" si="680"/>
        <v>#N/A</v>
      </c>
      <c r="AF1523" s="104" t="e">
        <f>IF(AND(VLOOKUP($D1523,Merchantability!$B:$C,2,0)="Yes",$E1523&gt;=VLOOKUP($D1523,Merchantability!$B:$D,3,0),$E1523&lt;=VLOOKUP($D1523,Merchantability!$B:$E,4,0)),AA1523,0)</f>
        <v>#N/A</v>
      </c>
      <c r="AG1523" s="104" t="e">
        <f>IF(AND(VLOOKUP($D1523,Merchantability!$B:$C,2,0)="Yes",$E1523&gt;=VLOOKUP($D1523,Merchantability!$B:$D,3,0),$E1523&lt;=VLOOKUP($D1523,Merchantability!$B:$E,4,0)),AB1523,0)</f>
        <v>#N/A</v>
      </c>
      <c r="AH1523" s="104" t="e">
        <f>IF(AND(VLOOKUP($D1523,Merchantability!$B:$C,2,0)="Yes",$E1523&gt;=VLOOKUP($D1523,Merchantability!$B:$D,3,0),$E1523&lt;=VLOOKUP($D1523,Merchantability!$B:$E,4,0)),AC1523,0)</f>
        <v>#N/A</v>
      </c>
      <c r="AI1523" s="104" t="e">
        <f t="shared" si="681"/>
        <v>#N/A</v>
      </c>
      <c r="AJ1523" s="104" t="e">
        <f t="shared" si="682"/>
        <v>#VALUE!</v>
      </c>
      <c r="AK1523" s="104" t="e">
        <f t="shared" si="683"/>
        <v>#N/A</v>
      </c>
      <c r="AL1523" s="104" t="e">
        <f t="shared" si="684"/>
        <v>#N/A</v>
      </c>
      <c r="AM1523" s="104" t="e">
        <f t="shared" si="685"/>
        <v>#N/A</v>
      </c>
      <c r="AN1523" s="104" t="e">
        <f t="shared" si="669"/>
        <v>#N/A</v>
      </c>
      <c r="AO1523" s="104" t="e">
        <f t="shared" si="670"/>
        <v>#N/A</v>
      </c>
      <c r="AP1523" s="104" t="e">
        <f t="shared" si="671"/>
        <v>#N/A</v>
      </c>
      <c r="AQ1523" s="104" t="e">
        <f t="shared" si="672"/>
        <v>#N/A</v>
      </c>
      <c r="AR1523" s="105" t="str">
        <f t="shared" si="664"/>
        <v/>
      </c>
      <c r="AS1523" s="105" t="str">
        <f t="shared" si="665"/>
        <v/>
      </c>
      <c r="AT1523" s="108" t="str">
        <f t="shared" si="666"/>
        <v/>
      </c>
      <c r="AU1523" s="108" t="str">
        <f t="shared" si="667"/>
        <v/>
      </c>
      <c r="AV1523" s="107" t="str">
        <f>IF(ISNUMBER(O1523),IF(VLOOKUP($A1523,Stand!C:J,8,FALSE)="Short",AT1523,AU1523),"")</f>
        <v/>
      </c>
      <c r="AW1523" s="109" t="str">
        <f t="shared" si="673"/>
        <v/>
      </c>
      <c r="AX1523" s="109" t="str">
        <f t="shared" si="674"/>
        <v/>
      </c>
      <c r="AY1523" s="112" t="str">
        <f>IF(ISNUMBER(O1523),IF(AND(VLOOKUP($D1523,Merchantability!$B:$C,2,0)="Yes",$E1523&gt;=VLOOKUP($D1523,Merchantability!$B:$D,3,0),$E1523&lt;=VLOOKUP($D1523,Merchantability!$B:$E,4,0)),(AV1523*O1523)*(1-$H1523/100),""),"")</f>
        <v/>
      </c>
      <c r="AZ1523" s="116"/>
      <c r="BA1523" s="116"/>
      <c r="BB1523" s="116"/>
      <c r="BE1523" s="62"/>
      <c r="BF1523" s="63"/>
    </row>
    <row r="1524" spans="1:58" ht="12.75" customHeight="1" x14ac:dyDescent="0.25">
      <c r="A1524" s="333"/>
      <c r="B1524" s="334"/>
      <c r="C1524" s="332"/>
      <c r="D1524" s="334"/>
      <c r="E1524" s="335"/>
      <c r="F1524" s="334"/>
      <c r="G1524" s="332"/>
      <c r="H1524" s="332"/>
      <c r="I1524" s="334"/>
      <c r="J1524" s="336"/>
      <c r="K1524" s="332"/>
      <c r="L1524" s="332"/>
      <c r="M1524" s="76"/>
      <c r="N1524" s="103" t="str">
        <f>IF(A1524="","",VLOOKUP(A1524,Stand!C:K,9,0))</f>
        <v/>
      </c>
      <c r="O1524" s="104" t="str">
        <f t="shared" si="659"/>
        <v/>
      </c>
      <c r="P1524" s="105" t="str">
        <f t="shared" si="660"/>
        <v/>
      </c>
      <c r="Q1524" s="105" t="str">
        <f t="shared" si="675"/>
        <v/>
      </c>
      <c r="R1524" s="103" t="str">
        <f t="shared" si="661"/>
        <v/>
      </c>
      <c r="S1524" s="103" t="str">
        <f t="shared" si="662"/>
        <v/>
      </c>
      <c r="T1524" s="106" t="str">
        <f t="shared" si="676"/>
        <v/>
      </c>
      <c r="U1524" s="106" t="str">
        <f t="shared" si="677"/>
        <v/>
      </c>
      <c r="V1524" s="106" t="str">
        <f t="shared" si="678"/>
        <v/>
      </c>
      <c r="W1524" s="105" t="str">
        <f t="shared" si="663"/>
        <v/>
      </c>
      <c r="X1524" s="104" t="str">
        <f t="shared" si="668"/>
        <v/>
      </c>
      <c r="Y1524" s="104" t="str">
        <f t="array" ref="Y1524">IFERROR(IF(ISNUMBER(O1524),IF(COUNT(IF(A1524=$A$2:$A$2427,IF(D1524=$D$2:$D$2427,IF($X$2:$X$2427&gt;0,1))))&gt;0,SUM(IF(A1524=$A$2:$A$2427,IF(D1524=$D$2:$D$2427,$X$2:$X$2427)))/COUNT(IF(A1524=$A$2:$A$2427,IF(D1524=$D$2:$D$2427,IF(ISNUMBER($X$2:$X$2427),1)))),0),""),0)</f>
        <v/>
      </c>
      <c r="Z1524" s="104" t="str">
        <f>IF(ISNUMBER(O1524),IF(I1524&gt;0,(10^(VLOOKUP(D1524,'Species Codes'!B:C,2,0)+VLOOKUP(D1524,'Species Codes'!B:D,3,0)*LOG(E1524)+VLOOKUP(D1524,'Species Codes'!B:E,4,0)*LOG(I1524))),0),"")</f>
        <v/>
      </c>
      <c r="AA1524" s="104" t="str">
        <f>IFERROR((VLOOKUP(D1524,'Species Codes'!B:G,6,0)*Z1524)/2000,"")</f>
        <v/>
      </c>
      <c r="AB1524" s="104" t="e">
        <f>IF(Z1524&gt;0,((IF(OR(D1524="DF",D1524="RA")=TRUE,EXP(VLOOKUP(D1524,'Species Codes'!B:I,8,0)+VLOOKUP(D1524,'Species Codes'!B:J,9,0)*(LN((E1524*2.54)))),IF(OR(D1524="PY",D1524="RC",D1524="WH",D1524="NF")=TRUE,VLOOKUP(D1524,'Species Codes'!B:I,8,0)+VLOOKUP(D1524,'Species Codes'!B:J,9,0)*((E1524*2.54)^2)*(I1524*0.3048),IF(OR(D1524="MD",D1524="BM",D1524="GA")=TRUE,((VLOOKUP(D1524,'Species Codes'!B:I,8,0)*(((((E1524*2.54)+VLOOKUP(D1524,'Species Codes'!B:J,9,0))/VLOOKUP(D1524,'Species Codes'!B:K,10,0))^VLOOKUP(D1524,'Species Codes'!B:L,11,0))*((I1524*0.3048)^VLOOKUP(D1524,'Species Codes'!B:M,12,0))))-(VLOOKUP(D1524,'Species Codes'!B:I,8,0)*((((E1524*2.54)^VLOOKUP(D1524,'Species Codes'!B:L,11,0))*((I1524*0.3048)^VLOOKUP(D1524,'Species Codes'!B:M,12,0))))))*35.3*VLOOKUP(D1524,'Species Codes'!B:G,6,0)/2.2046,VLOOKUP(D1524,'Species Codes'!B:I,8,0)+VLOOKUP(D1524,'Species Codes'!B:J,9,0)*(((E1524*2.54)/100)^2)*(I1524*0.3048)))))*0.0011023),0)</f>
        <v>#N/A</v>
      </c>
      <c r="AC1524" s="104" t="e">
        <f>IF(Z1524&gt;0,((IF(OR(D1524="RA",D1524="OA",D1524="OT",D1524="UN",D1524="PC"),EXP(VLOOKUP(D1524,'Species Codes'!B:O,14,0)+VLOOKUP(D1524,'Species Codes'!B:P,15,0)*LN((E1524*2.54)))-EXP(VLOOKUP(D1524,'Species Codes'!B:O,14,0)+VLOOKUP(D1524,'Species Codes'!B:P,15,0)*LN((E1524*2.54)))*(1/(VLOOKUP(D1524,'Species Codes'!B:Q,16,0)+VLOOKUP(D1524,'Species Codes'!B:R,17,0)*((E1524*2.54)^VLOOKUP(D1524,'Species Codes'!B:S,18,0)))),IF(OR(D1524="BM",D1524="MD",D1524="OA"),EXP(VLOOKUP(D1524,'Species Codes'!B:O,14,0)+VLOOKUP(D1524,'Species Codes'!B:P,15,0)*LN((E1524*2.54)))*(1-(1/(VLOOKUP(D1524,'Species Codes'!B:Q,16,0)+VLOOKUP(D1524,'Species Codes'!B:R,17,0)*((E1524*2.54)^VLOOKUP(D1524,'Species Codes'!B:S,18,0)))))/1000,IF(D1524="DF",EXP(VLOOKUP(D1524,'Species Codes'!B:O,14,0)+VLOOKUP(D1524,'Species Codes'!B:P,15,0)*LN((E1524*2.54))),VLOOKUP(D1524,'Species Codes'!B:O,14,0)+VLOOKUP(D1524,'Species Codes'!B:P,15,0)*(((E1524*2.54)/100)^2)*(I1524*0.3048)))))*0.0011023),0)</f>
        <v>#N/A</v>
      </c>
      <c r="AD1524" s="104" t="e">
        <f t="shared" si="679"/>
        <v>#N/A</v>
      </c>
      <c r="AE1524" s="104" t="e">
        <f t="shared" si="680"/>
        <v>#N/A</v>
      </c>
      <c r="AF1524" s="104" t="e">
        <f>IF(AND(VLOOKUP($D1524,Merchantability!$B:$C,2,0)="Yes",$E1524&gt;=VLOOKUP($D1524,Merchantability!$B:$D,3,0),$E1524&lt;=VLOOKUP($D1524,Merchantability!$B:$E,4,0)),AA1524,0)</f>
        <v>#N/A</v>
      </c>
      <c r="AG1524" s="104" t="e">
        <f>IF(AND(VLOOKUP($D1524,Merchantability!$B:$C,2,0)="Yes",$E1524&gt;=VLOOKUP($D1524,Merchantability!$B:$D,3,0),$E1524&lt;=VLOOKUP($D1524,Merchantability!$B:$E,4,0)),AB1524,0)</f>
        <v>#N/A</v>
      </c>
      <c r="AH1524" s="104" t="e">
        <f>IF(AND(VLOOKUP($D1524,Merchantability!$B:$C,2,0)="Yes",$E1524&gt;=VLOOKUP($D1524,Merchantability!$B:$D,3,0),$E1524&lt;=VLOOKUP($D1524,Merchantability!$B:$E,4,0)),AC1524,0)</f>
        <v>#N/A</v>
      </c>
      <c r="AI1524" s="104" t="e">
        <f t="shared" si="681"/>
        <v>#N/A</v>
      </c>
      <c r="AJ1524" s="104" t="e">
        <f t="shared" si="682"/>
        <v>#VALUE!</v>
      </c>
      <c r="AK1524" s="104" t="e">
        <f t="shared" si="683"/>
        <v>#N/A</v>
      </c>
      <c r="AL1524" s="104" t="e">
        <f t="shared" si="684"/>
        <v>#N/A</v>
      </c>
      <c r="AM1524" s="104" t="e">
        <f t="shared" si="685"/>
        <v>#N/A</v>
      </c>
      <c r="AN1524" s="104" t="e">
        <f t="shared" si="669"/>
        <v>#N/A</v>
      </c>
      <c r="AO1524" s="104" t="e">
        <f t="shared" si="670"/>
        <v>#N/A</v>
      </c>
      <c r="AP1524" s="104" t="e">
        <f t="shared" si="671"/>
        <v>#N/A</v>
      </c>
      <c r="AQ1524" s="104" t="e">
        <f t="shared" si="672"/>
        <v>#N/A</v>
      </c>
      <c r="AR1524" s="105" t="str">
        <f t="shared" si="664"/>
        <v/>
      </c>
      <c r="AS1524" s="105" t="str">
        <f t="shared" si="665"/>
        <v/>
      </c>
      <c r="AT1524" s="108" t="str">
        <f t="shared" si="666"/>
        <v/>
      </c>
      <c r="AU1524" s="108" t="str">
        <f t="shared" si="667"/>
        <v/>
      </c>
      <c r="AV1524" s="107" t="str">
        <f>IF(ISNUMBER(O1524),IF(VLOOKUP($A1524,Stand!C:J,8,FALSE)="Short",AT1524,AU1524),"")</f>
        <v/>
      </c>
      <c r="AW1524" s="109" t="str">
        <f t="shared" si="673"/>
        <v/>
      </c>
      <c r="AX1524" s="109" t="str">
        <f t="shared" si="674"/>
        <v/>
      </c>
      <c r="AY1524" s="112" t="str">
        <f>IF(ISNUMBER(O1524),IF(AND(VLOOKUP($D1524,Merchantability!$B:$C,2,0)="Yes",$E1524&gt;=VLOOKUP($D1524,Merchantability!$B:$D,3,0),$E1524&lt;=VLOOKUP($D1524,Merchantability!$B:$E,4,0)),(AV1524*O1524)*(1-$H1524/100),""),"")</f>
        <v/>
      </c>
      <c r="AZ1524" s="116"/>
      <c r="BA1524" s="116"/>
      <c r="BB1524" s="116"/>
      <c r="BE1524" s="62"/>
      <c r="BF1524" s="63"/>
    </row>
    <row r="1525" spans="1:58" ht="12.75" customHeight="1" x14ac:dyDescent="0.25">
      <c r="A1525" s="333"/>
      <c r="B1525" s="334"/>
      <c r="C1525" s="332"/>
      <c r="D1525" s="334"/>
      <c r="E1525" s="335"/>
      <c r="F1525" s="334"/>
      <c r="G1525" s="332"/>
      <c r="H1525" s="332"/>
      <c r="I1525" s="334"/>
      <c r="J1525" s="336"/>
      <c r="K1525" s="332"/>
      <c r="L1525" s="332"/>
      <c r="M1525" s="76"/>
      <c r="N1525" s="103" t="str">
        <f>IF(A1525="","",VLOOKUP(A1525,Stand!C:K,9,0))</f>
        <v/>
      </c>
      <c r="O1525" s="104" t="str">
        <f t="shared" si="659"/>
        <v/>
      </c>
      <c r="P1525" s="105" t="str">
        <f t="shared" si="660"/>
        <v/>
      </c>
      <c r="Q1525" s="105" t="str">
        <f t="shared" si="675"/>
        <v/>
      </c>
      <c r="R1525" s="103" t="str">
        <f t="shared" si="661"/>
        <v/>
      </c>
      <c r="S1525" s="103" t="str">
        <f t="shared" si="662"/>
        <v/>
      </c>
      <c r="T1525" s="106" t="str">
        <f t="shared" si="676"/>
        <v/>
      </c>
      <c r="U1525" s="106" t="str">
        <f t="shared" si="677"/>
        <v/>
      </c>
      <c r="V1525" s="106" t="str">
        <f t="shared" si="678"/>
        <v/>
      </c>
      <c r="W1525" s="105" t="str">
        <f t="shared" si="663"/>
        <v/>
      </c>
      <c r="X1525" s="104" t="str">
        <f t="shared" si="668"/>
        <v/>
      </c>
      <c r="Y1525" s="104" t="str">
        <f t="array" ref="Y1525">IFERROR(IF(ISNUMBER(O1525),IF(COUNT(IF(A1525=$A$2:$A$2427,IF(D1525=$D$2:$D$2427,IF($X$2:$X$2427&gt;0,1))))&gt;0,SUM(IF(A1525=$A$2:$A$2427,IF(D1525=$D$2:$D$2427,$X$2:$X$2427)))/COUNT(IF(A1525=$A$2:$A$2427,IF(D1525=$D$2:$D$2427,IF(ISNUMBER($X$2:$X$2427),1)))),0),""),0)</f>
        <v/>
      </c>
      <c r="Z1525" s="104" t="str">
        <f>IF(ISNUMBER(O1525),IF(I1525&gt;0,(10^(VLOOKUP(D1525,'Species Codes'!B:C,2,0)+VLOOKUP(D1525,'Species Codes'!B:D,3,0)*LOG(E1525)+VLOOKUP(D1525,'Species Codes'!B:E,4,0)*LOG(I1525))),0),"")</f>
        <v/>
      </c>
      <c r="AA1525" s="104" t="str">
        <f>IFERROR((VLOOKUP(D1525,'Species Codes'!B:G,6,0)*Z1525)/2000,"")</f>
        <v/>
      </c>
      <c r="AB1525" s="104" t="e">
        <f>IF(Z1525&gt;0,((IF(OR(D1525="DF",D1525="RA")=TRUE,EXP(VLOOKUP(D1525,'Species Codes'!B:I,8,0)+VLOOKUP(D1525,'Species Codes'!B:J,9,0)*(LN((E1525*2.54)))),IF(OR(D1525="PY",D1525="RC",D1525="WH",D1525="NF")=TRUE,VLOOKUP(D1525,'Species Codes'!B:I,8,0)+VLOOKUP(D1525,'Species Codes'!B:J,9,0)*((E1525*2.54)^2)*(I1525*0.3048),IF(OR(D1525="MD",D1525="BM",D1525="GA")=TRUE,((VLOOKUP(D1525,'Species Codes'!B:I,8,0)*(((((E1525*2.54)+VLOOKUP(D1525,'Species Codes'!B:J,9,0))/VLOOKUP(D1525,'Species Codes'!B:K,10,0))^VLOOKUP(D1525,'Species Codes'!B:L,11,0))*((I1525*0.3048)^VLOOKUP(D1525,'Species Codes'!B:M,12,0))))-(VLOOKUP(D1525,'Species Codes'!B:I,8,0)*((((E1525*2.54)^VLOOKUP(D1525,'Species Codes'!B:L,11,0))*((I1525*0.3048)^VLOOKUP(D1525,'Species Codes'!B:M,12,0))))))*35.3*VLOOKUP(D1525,'Species Codes'!B:G,6,0)/2.2046,VLOOKUP(D1525,'Species Codes'!B:I,8,0)+VLOOKUP(D1525,'Species Codes'!B:J,9,0)*(((E1525*2.54)/100)^2)*(I1525*0.3048)))))*0.0011023),0)</f>
        <v>#N/A</v>
      </c>
      <c r="AC1525" s="104" t="e">
        <f>IF(Z1525&gt;0,((IF(OR(D1525="RA",D1525="OA",D1525="OT",D1525="UN",D1525="PC"),EXP(VLOOKUP(D1525,'Species Codes'!B:O,14,0)+VLOOKUP(D1525,'Species Codes'!B:P,15,0)*LN((E1525*2.54)))-EXP(VLOOKUP(D1525,'Species Codes'!B:O,14,0)+VLOOKUP(D1525,'Species Codes'!B:P,15,0)*LN((E1525*2.54)))*(1/(VLOOKUP(D1525,'Species Codes'!B:Q,16,0)+VLOOKUP(D1525,'Species Codes'!B:R,17,0)*((E1525*2.54)^VLOOKUP(D1525,'Species Codes'!B:S,18,0)))),IF(OR(D1525="BM",D1525="MD",D1525="OA"),EXP(VLOOKUP(D1525,'Species Codes'!B:O,14,0)+VLOOKUP(D1525,'Species Codes'!B:P,15,0)*LN((E1525*2.54)))*(1-(1/(VLOOKUP(D1525,'Species Codes'!B:Q,16,0)+VLOOKUP(D1525,'Species Codes'!B:R,17,0)*((E1525*2.54)^VLOOKUP(D1525,'Species Codes'!B:S,18,0)))))/1000,IF(D1525="DF",EXP(VLOOKUP(D1525,'Species Codes'!B:O,14,0)+VLOOKUP(D1525,'Species Codes'!B:P,15,0)*LN((E1525*2.54))),VLOOKUP(D1525,'Species Codes'!B:O,14,0)+VLOOKUP(D1525,'Species Codes'!B:P,15,0)*(((E1525*2.54)/100)^2)*(I1525*0.3048)))))*0.0011023),0)</f>
        <v>#N/A</v>
      </c>
      <c r="AD1525" s="104" t="e">
        <f t="shared" si="679"/>
        <v>#N/A</v>
      </c>
      <c r="AE1525" s="104" t="e">
        <f t="shared" si="680"/>
        <v>#N/A</v>
      </c>
      <c r="AF1525" s="104" t="e">
        <f>IF(AND(VLOOKUP($D1525,Merchantability!$B:$C,2,0)="Yes",$E1525&gt;=VLOOKUP($D1525,Merchantability!$B:$D,3,0),$E1525&lt;=VLOOKUP($D1525,Merchantability!$B:$E,4,0)),AA1525,0)</f>
        <v>#N/A</v>
      </c>
      <c r="AG1525" s="104" t="e">
        <f>IF(AND(VLOOKUP($D1525,Merchantability!$B:$C,2,0)="Yes",$E1525&gt;=VLOOKUP($D1525,Merchantability!$B:$D,3,0),$E1525&lt;=VLOOKUP($D1525,Merchantability!$B:$E,4,0)),AB1525,0)</f>
        <v>#N/A</v>
      </c>
      <c r="AH1525" s="104" t="e">
        <f>IF(AND(VLOOKUP($D1525,Merchantability!$B:$C,2,0)="Yes",$E1525&gt;=VLOOKUP($D1525,Merchantability!$B:$D,3,0),$E1525&lt;=VLOOKUP($D1525,Merchantability!$B:$E,4,0)),AC1525,0)</f>
        <v>#N/A</v>
      </c>
      <c r="AI1525" s="104" t="e">
        <f t="shared" si="681"/>
        <v>#N/A</v>
      </c>
      <c r="AJ1525" s="104" t="e">
        <f t="shared" si="682"/>
        <v>#VALUE!</v>
      </c>
      <c r="AK1525" s="104" t="e">
        <f t="shared" si="683"/>
        <v>#N/A</v>
      </c>
      <c r="AL1525" s="104" t="e">
        <f t="shared" si="684"/>
        <v>#N/A</v>
      </c>
      <c r="AM1525" s="104" t="e">
        <f t="shared" si="685"/>
        <v>#N/A</v>
      </c>
      <c r="AN1525" s="104" t="e">
        <f t="shared" si="669"/>
        <v>#N/A</v>
      </c>
      <c r="AO1525" s="104" t="e">
        <f t="shared" si="670"/>
        <v>#N/A</v>
      </c>
      <c r="AP1525" s="104" t="e">
        <f t="shared" si="671"/>
        <v>#N/A</v>
      </c>
      <c r="AQ1525" s="104" t="e">
        <f t="shared" si="672"/>
        <v>#N/A</v>
      </c>
      <c r="AR1525" s="105" t="str">
        <f t="shared" si="664"/>
        <v/>
      </c>
      <c r="AS1525" s="105" t="str">
        <f t="shared" si="665"/>
        <v/>
      </c>
      <c r="AT1525" s="108" t="str">
        <f t="shared" si="666"/>
        <v/>
      </c>
      <c r="AU1525" s="108" t="str">
        <f t="shared" si="667"/>
        <v/>
      </c>
      <c r="AV1525" s="107" t="str">
        <f>IF(ISNUMBER(O1525),IF(VLOOKUP($A1525,Stand!C:J,8,FALSE)="Short",AT1525,AU1525),"")</f>
        <v/>
      </c>
      <c r="AW1525" s="109" t="str">
        <f t="shared" si="673"/>
        <v/>
      </c>
      <c r="AX1525" s="109" t="str">
        <f t="shared" si="674"/>
        <v/>
      </c>
      <c r="AY1525" s="112" t="str">
        <f>IF(ISNUMBER(O1525),IF(AND(VLOOKUP($D1525,Merchantability!$B:$C,2,0)="Yes",$E1525&gt;=VLOOKUP($D1525,Merchantability!$B:$D,3,0),$E1525&lt;=VLOOKUP($D1525,Merchantability!$B:$E,4,0)),(AV1525*O1525)*(1-$H1525/100),""),"")</f>
        <v/>
      </c>
      <c r="AZ1525" s="116"/>
      <c r="BA1525" s="116"/>
      <c r="BB1525" s="116"/>
      <c r="BE1525" s="62"/>
      <c r="BF1525" s="63"/>
    </row>
    <row r="1526" spans="1:58" ht="12.75" customHeight="1" x14ac:dyDescent="0.25">
      <c r="A1526" s="333"/>
      <c r="B1526" s="334"/>
      <c r="C1526" s="332"/>
      <c r="D1526" s="334"/>
      <c r="E1526" s="335"/>
      <c r="F1526" s="334"/>
      <c r="G1526" s="332"/>
      <c r="H1526" s="332"/>
      <c r="I1526" s="334"/>
      <c r="J1526" s="336"/>
      <c r="K1526" s="332"/>
      <c r="L1526" s="332"/>
      <c r="M1526" s="76"/>
      <c r="N1526" s="103" t="str">
        <f>IF(A1526="","",VLOOKUP(A1526,Stand!C:K,9,0))</f>
        <v/>
      </c>
      <c r="O1526" s="104" t="str">
        <f t="shared" si="659"/>
        <v/>
      </c>
      <c r="P1526" s="105" t="str">
        <f t="shared" si="660"/>
        <v/>
      </c>
      <c r="Q1526" s="105" t="str">
        <f t="shared" si="675"/>
        <v/>
      </c>
      <c r="R1526" s="103" t="str">
        <f t="shared" si="661"/>
        <v/>
      </c>
      <c r="S1526" s="103" t="str">
        <f t="shared" si="662"/>
        <v/>
      </c>
      <c r="T1526" s="106" t="str">
        <f t="shared" si="676"/>
        <v/>
      </c>
      <c r="U1526" s="106" t="str">
        <f t="shared" si="677"/>
        <v/>
      </c>
      <c r="V1526" s="106" t="str">
        <f t="shared" si="678"/>
        <v/>
      </c>
      <c r="W1526" s="105" t="str">
        <f t="shared" si="663"/>
        <v/>
      </c>
      <c r="X1526" s="104" t="str">
        <f t="shared" si="668"/>
        <v/>
      </c>
      <c r="Y1526" s="104" t="str">
        <f t="array" ref="Y1526">IFERROR(IF(ISNUMBER(O1526),IF(COUNT(IF(A1526=$A$2:$A$2427,IF(D1526=$D$2:$D$2427,IF($X$2:$X$2427&gt;0,1))))&gt;0,SUM(IF(A1526=$A$2:$A$2427,IF(D1526=$D$2:$D$2427,$X$2:$X$2427)))/COUNT(IF(A1526=$A$2:$A$2427,IF(D1526=$D$2:$D$2427,IF(ISNUMBER($X$2:$X$2427),1)))),0),""),0)</f>
        <v/>
      </c>
      <c r="Z1526" s="104" t="str">
        <f>IF(ISNUMBER(O1526),IF(I1526&gt;0,(10^(VLOOKUP(D1526,'Species Codes'!B:C,2,0)+VLOOKUP(D1526,'Species Codes'!B:D,3,0)*LOG(E1526)+VLOOKUP(D1526,'Species Codes'!B:E,4,0)*LOG(I1526))),0),"")</f>
        <v/>
      </c>
      <c r="AA1526" s="104" t="str">
        <f>IFERROR((VLOOKUP(D1526,'Species Codes'!B:G,6,0)*Z1526)/2000,"")</f>
        <v/>
      </c>
      <c r="AB1526" s="104" t="e">
        <f>IF(Z1526&gt;0,((IF(OR(D1526="DF",D1526="RA")=TRUE,EXP(VLOOKUP(D1526,'Species Codes'!B:I,8,0)+VLOOKUP(D1526,'Species Codes'!B:J,9,0)*(LN((E1526*2.54)))),IF(OR(D1526="PY",D1526="RC",D1526="WH",D1526="NF")=TRUE,VLOOKUP(D1526,'Species Codes'!B:I,8,0)+VLOOKUP(D1526,'Species Codes'!B:J,9,0)*((E1526*2.54)^2)*(I1526*0.3048),IF(OR(D1526="MD",D1526="BM",D1526="GA")=TRUE,((VLOOKUP(D1526,'Species Codes'!B:I,8,0)*(((((E1526*2.54)+VLOOKUP(D1526,'Species Codes'!B:J,9,0))/VLOOKUP(D1526,'Species Codes'!B:K,10,0))^VLOOKUP(D1526,'Species Codes'!B:L,11,0))*((I1526*0.3048)^VLOOKUP(D1526,'Species Codes'!B:M,12,0))))-(VLOOKUP(D1526,'Species Codes'!B:I,8,0)*((((E1526*2.54)^VLOOKUP(D1526,'Species Codes'!B:L,11,0))*((I1526*0.3048)^VLOOKUP(D1526,'Species Codes'!B:M,12,0))))))*35.3*VLOOKUP(D1526,'Species Codes'!B:G,6,0)/2.2046,VLOOKUP(D1526,'Species Codes'!B:I,8,0)+VLOOKUP(D1526,'Species Codes'!B:J,9,0)*(((E1526*2.54)/100)^2)*(I1526*0.3048)))))*0.0011023),0)</f>
        <v>#N/A</v>
      </c>
      <c r="AC1526" s="104" t="e">
        <f>IF(Z1526&gt;0,((IF(OR(D1526="RA",D1526="OA",D1526="OT",D1526="UN",D1526="PC"),EXP(VLOOKUP(D1526,'Species Codes'!B:O,14,0)+VLOOKUP(D1526,'Species Codes'!B:P,15,0)*LN((E1526*2.54)))-EXP(VLOOKUP(D1526,'Species Codes'!B:O,14,0)+VLOOKUP(D1526,'Species Codes'!B:P,15,0)*LN((E1526*2.54)))*(1/(VLOOKUP(D1526,'Species Codes'!B:Q,16,0)+VLOOKUP(D1526,'Species Codes'!B:R,17,0)*((E1526*2.54)^VLOOKUP(D1526,'Species Codes'!B:S,18,0)))),IF(OR(D1526="BM",D1526="MD",D1526="OA"),EXP(VLOOKUP(D1526,'Species Codes'!B:O,14,0)+VLOOKUP(D1526,'Species Codes'!B:P,15,0)*LN((E1526*2.54)))*(1-(1/(VLOOKUP(D1526,'Species Codes'!B:Q,16,0)+VLOOKUP(D1526,'Species Codes'!B:R,17,0)*((E1526*2.54)^VLOOKUP(D1526,'Species Codes'!B:S,18,0)))))/1000,IF(D1526="DF",EXP(VLOOKUP(D1526,'Species Codes'!B:O,14,0)+VLOOKUP(D1526,'Species Codes'!B:P,15,0)*LN((E1526*2.54))),VLOOKUP(D1526,'Species Codes'!B:O,14,0)+VLOOKUP(D1526,'Species Codes'!B:P,15,0)*(((E1526*2.54)/100)^2)*(I1526*0.3048)))))*0.0011023),0)</f>
        <v>#N/A</v>
      </c>
      <c r="AD1526" s="104" t="e">
        <f t="shared" si="679"/>
        <v>#N/A</v>
      </c>
      <c r="AE1526" s="104" t="e">
        <f t="shared" si="680"/>
        <v>#N/A</v>
      </c>
      <c r="AF1526" s="104" t="e">
        <f>IF(AND(VLOOKUP($D1526,Merchantability!$B:$C,2,0)="Yes",$E1526&gt;=VLOOKUP($D1526,Merchantability!$B:$D,3,0),$E1526&lt;=VLOOKUP($D1526,Merchantability!$B:$E,4,0)),AA1526,0)</f>
        <v>#N/A</v>
      </c>
      <c r="AG1526" s="104" t="e">
        <f>IF(AND(VLOOKUP($D1526,Merchantability!$B:$C,2,0)="Yes",$E1526&gt;=VLOOKUP($D1526,Merchantability!$B:$D,3,0),$E1526&lt;=VLOOKUP($D1526,Merchantability!$B:$E,4,0)),AB1526,0)</f>
        <v>#N/A</v>
      </c>
      <c r="AH1526" s="104" t="e">
        <f>IF(AND(VLOOKUP($D1526,Merchantability!$B:$C,2,0)="Yes",$E1526&gt;=VLOOKUP($D1526,Merchantability!$B:$D,3,0),$E1526&lt;=VLOOKUP($D1526,Merchantability!$B:$E,4,0)),AC1526,0)</f>
        <v>#N/A</v>
      </c>
      <c r="AI1526" s="104" t="e">
        <f t="shared" si="681"/>
        <v>#N/A</v>
      </c>
      <c r="AJ1526" s="104" t="e">
        <f t="shared" si="682"/>
        <v>#VALUE!</v>
      </c>
      <c r="AK1526" s="104" t="e">
        <f t="shared" si="683"/>
        <v>#N/A</v>
      </c>
      <c r="AL1526" s="104" t="e">
        <f t="shared" si="684"/>
        <v>#N/A</v>
      </c>
      <c r="AM1526" s="104" t="e">
        <f t="shared" si="685"/>
        <v>#N/A</v>
      </c>
      <c r="AN1526" s="104" t="e">
        <f t="shared" si="669"/>
        <v>#N/A</v>
      </c>
      <c r="AO1526" s="104" t="e">
        <f t="shared" si="670"/>
        <v>#N/A</v>
      </c>
      <c r="AP1526" s="104" t="e">
        <f t="shared" si="671"/>
        <v>#N/A</v>
      </c>
      <c r="AQ1526" s="104" t="e">
        <f t="shared" si="672"/>
        <v>#N/A</v>
      </c>
      <c r="AR1526" s="105" t="str">
        <f t="shared" si="664"/>
        <v/>
      </c>
      <c r="AS1526" s="105" t="str">
        <f t="shared" si="665"/>
        <v/>
      </c>
      <c r="AT1526" s="108" t="str">
        <f t="shared" si="666"/>
        <v/>
      </c>
      <c r="AU1526" s="108" t="str">
        <f t="shared" si="667"/>
        <v/>
      </c>
      <c r="AV1526" s="107" t="str">
        <f>IF(ISNUMBER(O1526),IF(VLOOKUP($A1526,Stand!C:J,8,FALSE)="Short",AT1526,AU1526),"")</f>
        <v/>
      </c>
      <c r="AW1526" s="109" t="str">
        <f t="shared" si="673"/>
        <v/>
      </c>
      <c r="AX1526" s="109" t="str">
        <f t="shared" si="674"/>
        <v/>
      </c>
      <c r="AY1526" s="112" t="str">
        <f>IF(ISNUMBER(O1526),IF(AND(VLOOKUP($D1526,Merchantability!$B:$C,2,0)="Yes",$E1526&gt;=VLOOKUP($D1526,Merchantability!$B:$D,3,0),$E1526&lt;=VLOOKUP($D1526,Merchantability!$B:$E,4,0)),(AV1526*O1526)*(1-$H1526/100),""),"")</f>
        <v/>
      </c>
      <c r="AZ1526" s="116"/>
      <c r="BA1526" s="116"/>
      <c r="BB1526" s="116"/>
      <c r="BE1526" s="62"/>
      <c r="BF1526" s="63"/>
    </row>
    <row r="1527" spans="1:58" ht="12.75" customHeight="1" x14ac:dyDescent="0.25">
      <c r="A1527" s="333"/>
      <c r="B1527" s="334"/>
      <c r="C1527" s="332"/>
      <c r="D1527" s="334"/>
      <c r="E1527" s="335"/>
      <c r="F1527" s="334"/>
      <c r="G1527" s="332"/>
      <c r="H1527" s="332"/>
      <c r="I1527" s="334"/>
      <c r="J1527" s="336"/>
      <c r="K1527" s="332"/>
      <c r="L1527" s="332"/>
      <c r="M1527" s="76"/>
      <c r="N1527" s="103" t="str">
        <f>IF(A1527="","",VLOOKUP(A1527,Stand!C:K,9,0))</f>
        <v/>
      </c>
      <c r="O1527" s="104" t="str">
        <f t="shared" si="659"/>
        <v/>
      </c>
      <c r="P1527" s="105" t="str">
        <f t="shared" si="660"/>
        <v/>
      </c>
      <c r="Q1527" s="105" t="str">
        <f t="shared" si="675"/>
        <v/>
      </c>
      <c r="R1527" s="103" t="str">
        <f t="shared" si="661"/>
        <v/>
      </c>
      <c r="S1527" s="103" t="str">
        <f t="shared" si="662"/>
        <v/>
      </c>
      <c r="T1527" s="106" t="str">
        <f t="shared" si="676"/>
        <v/>
      </c>
      <c r="U1527" s="106" t="str">
        <f t="shared" si="677"/>
        <v/>
      </c>
      <c r="V1527" s="106" t="str">
        <f t="shared" si="678"/>
        <v/>
      </c>
      <c r="W1527" s="105" t="str">
        <f t="shared" si="663"/>
        <v/>
      </c>
      <c r="X1527" s="104" t="str">
        <f t="shared" si="668"/>
        <v/>
      </c>
      <c r="Y1527" s="104" t="str">
        <f t="array" ref="Y1527">IFERROR(IF(ISNUMBER(O1527),IF(COUNT(IF(A1527=$A$2:$A$2427,IF(D1527=$D$2:$D$2427,IF($X$2:$X$2427&gt;0,1))))&gt;0,SUM(IF(A1527=$A$2:$A$2427,IF(D1527=$D$2:$D$2427,$X$2:$X$2427)))/COUNT(IF(A1527=$A$2:$A$2427,IF(D1527=$D$2:$D$2427,IF(ISNUMBER($X$2:$X$2427),1)))),0),""),0)</f>
        <v/>
      </c>
      <c r="Z1527" s="104" t="str">
        <f>IF(ISNUMBER(O1527),IF(I1527&gt;0,(10^(VLOOKUP(D1527,'Species Codes'!B:C,2,0)+VLOOKUP(D1527,'Species Codes'!B:D,3,0)*LOG(E1527)+VLOOKUP(D1527,'Species Codes'!B:E,4,0)*LOG(I1527))),0),"")</f>
        <v/>
      </c>
      <c r="AA1527" s="104" t="str">
        <f>IFERROR((VLOOKUP(D1527,'Species Codes'!B:G,6,0)*Z1527)/2000,"")</f>
        <v/>
      </c>
      <c r="AB1527" s="104" t="e">
        <f>IF(Z1527&gt;0,((IF(OR(D1527="DF",D1527="RA")=TRUE,EXP(VLOOKUP(D1527,'Species Codes'!B:I,8,0)+VLOOKUP(D1527,'Species Codes'!B:J,9,0)*(LN((E1527*2.54)))),IF(OR(D1527="PY",D1527="RC",D1527="WH",D1527="NF")=TRUE,VLOOKUP(D1527,'Species Codes'!B:I,8,0)+VLOOKUP(D1527,'Species Codes'!B:J,9,0)*((E1527*2.54)^2)*(I1527*0.3048),IF(OR(D1527="MD",D1527="BM",D1527="GA")=TRUE,((VLOOKUP(D1527,'Species Codes'!B:I,8,0)*(((((E1527*2.54)+VLOOKUP(D1527,'Species Codes'!B:J,9,0))/VLOOKUP(D1527,'Species Codes'!B:K,10,0))^VLOOKUP(D1527,'Species Codes'!B:L,11,0))*((I1527*0.3048)^VLOOKUP(D1527,'Species Codes'!B:M,12,0))))-(VLOOKUP(D1527,'Species Codes'!B:I,8,0)*((((E1527*2.54)^VLOOKUP(D1527,'Species Codes'!B:L,11,0))*((I1527*0.3048)^VLOOKUP(D1527,'Species Codes'!B:M,12,0))))))*35.3*VLOOKUP(D1527,'Species Codes'!B:G,6,0)/2.2046,VLOOKUP(D1527,'Species Codes'!B:I,8,0)+VLOOKUP(D1527,'Species Codes'!B:J,9,0)*(((E1527*2.54)/100)^2)*(I1527*0.3048)))))*0.0011023),0)</f>
        <v>#N/A</v>
      </c>
      <c r="AC1527" s="104" t="e">
        <f>IF(Z1527&gt;0,((IF(OR(D1527="RA",D1527="OA",D1527="OT",D1527="UN",D1527="PC"),EXP(VLOOKUP(D1527,'Species Codes'!B:O,14,0)+VLOOKUP(D1527,'Species Codes'!B:P,15,0)*LN((E1527*2.54)))-EXP(VLOOKUP(D1527,'Species Codes'!B:O,14,0)+VLOOKUP(D1527,'Species Codes'!B:P,15,0)*LN((E1527*2.54)))*(1/(VLOOKUP(D1527,'Species Codes'!B:Q,16,0)+VLOOKUP(D1527,'Species Codes'!B:R,17,0)*((E1527*2.54)^VLOOKUP(D1527,'Species Codes'!B:S,18,0)))),IF(OR(D1527="BM",D1527="MD",D1527="OA"),EXP(VLOOKUP(D1527,'Species Codes'!B:O,14,0)+VLOOKUP(D1527,'Species Codes'!B:P,15,0)*LN((E1527*2.54)))*(1-(1/(VLOOKUP(D1527,'Species Codes'!B:Q,16,0)+VLOOKUP(D1527,'Species Codes'!B:R,17,0)*((E1527*2.54)^VLOOKUP(D1527,'Species Codes'!B:S,18,0)))))/1000,IF(D1527="DF",EXP(VLOOKUP(D1527,'Species Codes'!B:O,14,0)+VLOOKUP(D1527,'Species Codes'!B:P,15,0)*LN((E1527*2.54))),VLOOKUP(D1527,'Species Codes'!B:O,14,0)+VLOOKUP(D1527,'Species Codes'!B:P,15,0)*(((E1527*2.54)/100)^2)*(I1527*0.3048)))))*0.0011023),0)</f>
        <v>#N/A</v>
      </c>
      <c r="AD1527" s="104" t="e">
        <f t="shared" si="679"/>
        <v>#N/A</v>
      </c>
      <c r="AE1527" s="104" t="e">
        <f t="shared" si="680"/>
        <v>#N/A</v>
      </c>
      <c r="AF1527" s="104" t="e">
        <f>IF(AND(VLOOKUP($D1527,Merchantability!$B:$C,2,0)="Yes",$E1527&gt;=VLOOKUP($D1527,Merchantability!$B:$D,3,0),$E1527&lt;=VLOOKUP($D1527,Merchantability!$B:$E,4,0)),AA1527,0)</f>
        <v>#N/A</v>
      </c>
      <c r="AG1527" s="104" t="e">
        <f>IF(AND(VLOOKUP($D1527,Merchantability!$B:$C,2,0)="Yes",$E1527&gt;=VLOOKUP($D1527,Merchantability!$B:$D,3,0),$E1527&lt;=VLOOKUP($D1527,Merchantability!$B:$E,4,0)),AB1527,0)</f>
        <v>#N/A</v>
      </c>
      <c r="AH1527" s="104" t="e">
        <f>IF(AND(VLOOKUP($D1527,Merchantability!$B:$C,2,0)="Yes",$E1527&gt;=VLOOKUP($D1527,Merchantability!$B:$D,3,0),$E1527&lt;=VLOOKUP($D1527,Merchantability!$B:$E,4,0)),AC1527,0)</f>
        <v>#N/A</v>
      </c>
      <c r="AI1527" s="104" t="e">
        <f t="shared" si="681"/>
        <v>#N/A</v>
      </c>
      <c r="AJ1527" s="104" t="e">
        <f t="shared" si="682"/>
        <v>#VALUE!</v>
      </c>
      <c r="AK1527" s="104" t="e">
        <f t="shared" si="683"/>
        <v>#N/A</v>
      </c>
      <c r="AL1527" s="104" t="e">
        <f t="shared" si="684"/>
        <v>#N/A</v>
      </c>
      <c r="AM1527" s="104" t="e">
        <f t="shared" si="685"/>
        <v>#N/A</v>
      </c>
      <c r="AN1527" s="104" t="e">
        <f t="shared" si="669"/>
        <v>#N/A</v>
      </c>
      <c r="AO1527" s="104" t="e">
        <f t="shared" si="670"/>
        <v>#N/A</v>
      </c>
      <c r="AP1527" s="104" t="e">
        <f t="shared" si="671"/>
        <v>#N/A</v>
      </c>
      <c r="AQ1527" s="104" t="e">
        <f t="shared" si="672"/>
        <v>#N/A</v>
      </c>
      <c r="AR1527" s="105" t="str">
        <f t="shared" si="664"/>
        <v/>
      </c>
      <c r="AS1527" s="105" t="str">
        <f t="shared" si="665"/>
        <v/>
      </c>
      <c r="AT1527" s="108" t="str">
        <f t="shared" si="666"/>
        <v/>
      </c>
      <c r="AU1527" s="108" t="str">
        <f t="shared" si="667"/>
        <v/>
      </c>
      <c r="AV1527" s="107" t="str">
        <f>IF(ISNUMBER(O1527),IF(VLOOKUP($A1527,Stand!C:J,8,FALSE)="Short",AT1527,AU1527),"")</f>
        <v/>
      </c>
      <c r="AW1527" s="109" t="str">
        <f t="shared" si="673"/>
        <v/>
      </c>
      <c r="AX1527" s="109" t="str">
        <f t="shared" si="674"/>
        <v/>
      </c>
      <c r="AY1527" s="112" t="str">
        <f>IF(ISNUMBER(O1527),IF(AND(VLOOKUP($D1527,Merchantability!$B:$C,2,0)="Yes",$E1527&gt;=VLOOKUP($D1527,Merchantability!$B:$D,3,0),$E1527&lt;=VLOOKUP($D1527,Merchantability!$B:$E,4,0)),(AV1527*O1527)*(1-$H1527/100),""),"")</f>
        <v/>
      </c>
      <c r="AZ1527" s="116"/>
      <c r="BA1527" s="116"/>
      <c r="BB1527" s="116"/>
      <c r="BE1527" s="62"/>
      <c r="BF1527" s="63"/>
    </row>
    <row r="1528" spans="1:58" ht="12.75" customHeight="1" x14ac:dyDescent="0.25">
      <c r="A1528" s="333"/>
      <c r="B1528" s="334"/>
      <c r="C1528" s="332"/>
      <c r="D1528" s="334"/>
      <c r="E1528" s="335"/>
      <c r="F1528" s="334"/>
      <c r="G1528" s="332"/>
      <c r="H1528" s="332"/>
      <c r="I1528" s="334"/>
      <c r="J1528" s="336"/>
      <c r="K1528" s="332"/>
      <c r="L1528" s="332"/>
      <c r="M1528" s="76"/>
      <c r="N1528" s="103" t="str">
        <f>IF(A1528="","",VLOOKUP(A1528,Stand!C:K,9,0))</f>
        <v/>
      </c>
      <c r="O1528" s="104" t="str">
        <f t="shared" si="659"/>
        <v/>
      </c>
      <c r="P1528" s="105" t="str">
        <f t="shared" si="660"/>
        <v/>
      </c>
      <c r="Q1528" s="105" t="str">
        <f t="shared" si="675"/>
        <v/>
      </c>
      <c r="R1528" s="103" t="str">
        <f t="shared" si="661"/>
        <v/>
      </c>
      <c r="S1528" s="103" t="str">
        <f t="shared" si="662"/>
        <v/>
      </c>
      <c r="T1528" s="106" t="str">
        <f t="shared" si="676"/>
        <v/>
      </c>
      <c r="U1528" s="106" t="str">
        <f t="shared" si="677"/>
        <v/>
      </c>
      <c r="V1528" s="106" t="str">
        <f t="shared" si="678"/>
        <v/>
      </c>
      <c r="W1528" s="105" t="str">
        <f t="shared" si="663"/>
        <v/>
      </c>
      <c r="X1528" s="104" t="str">
        <f t="shared" si="668"/>
        <v/>
      </c>
      <c r="Y1528" s="104" t="str">
        <f t="array" ref="Y1528">IFERROR(IF(ISNUMBER(O1528),IF(COUNT(IF(A1528=$A$2:$A$2427,IF(D1528=$D$2:$D$2427,IF($X$2:$X$2427&gt;0,1))))&gt;0,SUM(IF(A1528=$A$2:$A$2427,IF(D1528=$D$2:$D$2427,$X$2:$X$2427)))/COUNT(IF(A1528=$A$2:$A$2427,IF(D1528=$D$2:$D$2427,IF(ISNUMBER($X$2:$X$2427),1)))),0),""),0)</f>
        <v/>
      </c>
      <c r="Z1528" s="104" t="str">
        <f>IF(ISNUMBER(O1528),IF(I1528&gt;0,(10^(VLOOKUP(D1528,'Species Codes'!B:C,2,0)+VLOOKUP(D1528,'Species Codes'!B:D,3,0)*LOG(E1528)+VLOOKUP(D1528,'Species Codes'!B:E,4,0)*LOG(I1528))),0),"")</f>
        <v/>
      </c>
      <c r="AA1528" s="104" t="str">
        <f>IFERROR((VLOOKUP(D1528,'Species Codes'!B:G,6,0)*Z1528)/2000,"")</f>
        <v/>
      </c>
      <c r="AB1528" s="104" t="e">
        <f>IF(Z1528&gt;0,((IF(OR(D1528="DF",D1528="RA")=TRUE,EXP(VLOOKUP(D1528,'Species Codes'!B:I,8,0)+VLOOKUP(D1528,'Species Codes'!B:J,9,0)*(LN((E1528*2.54)))),IF(OR(D1528="PY",D1528="RC",D1528="WH",D1528="NF")=TRUE,VLOOKUP(D1528,'Species Codes'!B:I,8,0)+VLOOKUP(D1528,'Species Codes'!B:J,9,0)*((E1528*2.54)^2)*(I1528*0.3048),IF(OR(D1528="MD",D1528="BM",D1528="GA")=TRUE,((VLOOKUP(D1528,'Species Codes'!B:I,8,0)*(((((E1528*2.54)+VLOOKUP(D1528,'Species Codes'!B:J,9,0))/VLOOKUP(D1528,'Species Codes'!B:K,10,0))^VLOOKUP(D1528,'Species Codes'!B:L,11,0))*((I1528*0.3048)^VLOOKUP(D1528,'Species Codes'!B:M,12,0))))-(VLOOKUP(D1528,'Species Codes'!B:I,8,0)*((((E1528*2.54)^VLOOKUP(D1528,'Species Codes'!B:L,11,0))*((I1528*0.3048)^VLOOKUP(D1528,'Species Codes'!B:M,12,0))))))*35.3*VLOOKUP(D1528,'Species Codes'!B:G,6,0)/2.2046,VLOOKUP(D1528,'Species Codes'!B:I,8,0)+VLOOKUP(D1528,'Species Codes'!B:J,9,0)*(((E1528*2.54)/100)^2)*(I1528*0.3048)))))*0.0011023),0)</f>
        <v>#N/A</v>
      </c>
      <c r="AC1528" s="104" t="e">
        <f>IF(Z1528&gt;0,((IF(OR(D1528="RA",D1528="OA",D1528="OT",D1528="UN",D1528="PC"),EXP(VLOOKUP(D1528,'Species Codes'!B:O,14,0)+VLOOKUP(D1528,'Species Codes'!B:P,15,0)*LN((E1528*2.54)))-EXP(VLOOKUP(D1528,'Species Codes'!B:O,14,0)+VLOOKUP(D1528,'Species Codes'!B:P,15,0)*LN((E1528*2.54)))*(1/(VLOOKUP(D1528,'Species Codes'!B:Q,16,0)+VLOOKUP(D1528,'Species Codes'!B:R,17,0)*((E1528*2.54)^VLOOKUP(D1528,'Species Codes'!B:S,18,0)))),IF(OR(D1528="BM",D1528="MD",D1528="OA"),EXP(VLOOKUP(D1528,'Species Codes'!B:O,14,0)+VLOOKUP(D1528,'Species Codes'!B:P,15,0)*LN((E1528*2.54)))*(1-(1/(VLOOKUP(D1528,'Species Codes'!B:Q,16,0)+VLOOKUP(D1528,'Species Codes'!B:R,17,0)*((E1528*2.54)^VLOOKUP(D1528,'Species Codes'!B:S,18,0)))))/1000,IF(D1528="DF",EXP(VLOOKUP(D1528,'Species Codes'!B:O,14,0)+VLOOKUP(D1528,'Species Codes'!B:P,15,0)*LN((E1528*2.54))),VLOOKUP(D1528,'Species Codes'!B:O,14,0)+VLOOKUP(D1528,'Species Codes'!B:P,15,0)*(((E1528*2.54)/100)^2)*(I1528*0.3048)))))*0.0011023),0)</f>
        <v>#N/A</v>
      </c>
      <c r="AD1528" s="104" t="e">
        <f t="shared" si="679"/>
        <v>#N/A</v>
      </c>
      <c r="AE1528" s="104" t="e">
        <f t="shared" si="680"/>
        <v>#N/A</v>
      </c>
      <c r="AF1528" s="104" t="e">
        <f>IF(AND(VLOOKUP($D1528,Merchantability!$B:$C,2,0)="Yes",$E1528&gt;=VLOOKUP($D1528,Merchantability!$B:$D,3,0),$E1528&lt;=VLOOKUP($D1528,Merchantability!$B:$E,4,0)),AA1528,0)</f>
        <v>#N/A</v>
      </c>
      <c r="AG1528" s="104" t="e">
        <f>IF(AND(VLOOKUP($D1528,Merchantability!$B:$C,2,0)="Yes",$E1528&gt;=VLOOKUP($D1528,Merchantability!$B:$D,3,0),$E1528&lt;=VLOOKUP($D1528,Merchantability!$B:$E,4,0)),AB1528,0)</f>
        <v>#N/A</v>
      </c>
      <c r="AH1528" s="104" t="e">
        <f>IF(AND(VLOOKUP($D1528,Merchantability!$B:$C,2,0)="Yes",$E1528&gt;=VLOOKUP($D1528,Merchantability!$B:$D,3,0),$E1528&lt;=VLOOKUP($D1528,Merchantability!$B:$E,4,0)),AC1528,0)</f>
        <v>#N/A</v>
      </c>
      <c r="AI1528" s="104" t="e">
        <f t="shared" si="681"/>
        <v>#N/A</v>
      </c>
      <c r="AJ1528" s="104" t="e">
        <f t="shared" si="682"/>
        <v>#VALUE!</v>
      </c>
      <c r="AK1528" s="104" t="e">
        <f t="shared" si="683"/>
        <v>#N/A</v>
      </c>
      <c r="AL1528" s="104" t="e">
        <f t="shared" si="684"/>
        <v>#N/A</v>
      </c>
      <c r="AM1528" s="104" t="e">
        <f t="shared" si="685"/>
        <v>#N/A</v>
      </c>
      <c r="AN1528" s="104" t="e">
        <f t="shared" si="669"/>
        <v>#N/A</v>
      </c>
      <c r="AO1528" s="104" t="e">
        <f t="shared" si="670"/>
        <v>#N/A</v>
      </c>
      <c r="AP1528" s="104" t="e">
        <f t="shared" si="671"/>
        <v>#N/A</v>
      </c>
      <c r="AQ1528" s="104" t="e">
        <f t="shared" si="672"/>
        <v>#N/A</v>
      </c>
      <c r="AR1528" s="105" t="str">
        <f t="shared" si="664"/>
        <v/>
      </c>
      <c r="AS1528" s="105" t="str">
        <f t="shared" si="665"/>
        <v/>
      </c>
      <c r="AT1528" s="108" t="str">
        <f t="shared" si="666"/>
        <v/>
      </c>
      <c r="AU1528" s="108" t="str">
        <f t="shared" si="667"/>
        <v/>
      </c>
      <c r="AV1528" s="107" t="str">
        <f>IF(ISNUMBER(O1528),IF(VLOOKUP($A1528,Stand!C:J,8,FALSE)="Short",AT1528,AU1528),"")</f>
        <v/>
      </c>
      <c r="AW1528" s="109" t="str">
        <f t="shared" si="673"/>
        <v/>
      </c>
      <c r="AX1528" s="109" t="str">
        <f t="shared" si="674"/>
        <v/>
      </c>
      <c r="AY1528" s="112" t="str">
        <f>IF(ISNUMBER(O1528),IF(AND(VLOOKUP($D1528,Merchantability!$B:$C,2,0)="Yes",$E1528&gt;=VLOOKUP($D1528,Merchantability!$B:$D,3,0),$E1528&lt;=VLOOKUP($D1528,Merchantability!$B:$E,4,0)),(AV1528*O1528)*(1-$H1528/100),""),"")</f>
        <v/>
      </c>
      <c r="AZ1528" s="116"/>
      <c r="BA1528" s="116"/>
      <c r="BB1528" s="116"/>
      <c r="BE1528" s="62"/>
      <c r="BF1528" s="63"/>
    </row>
    <row r="1529" spans="1:58" ht="12.75" customHeight="1" x14ac:dyDescent="0.25">
      <c r="A1529" s="333"/>
      <c r="B1529" s="334"/>
      <c r="C1529" s="332"/>
      <c r="D1529" s="334"/>
      <c r="E1529" s="335"/>
      <c r="F1529" s="334"/>
      <c r="G1529" s="332"/>
      <c r="H1529" s="332"/>
      <c r="I1529" s="334"/>
      <c r="J1529" s="336"/>
      <c r="K1529" s="332"/>
      <c r="L1529" s="332"/>
      <c r="M1529" s="76"/>
      <c r="N1529" s="103" t="str">
        <f>IF(A1529="","",VLOOKUP(A1529,Stand!C:K,9,0))</f>
        <v/>
      </c>
      <c r="O1529" s="104" t="str">
        <f t="shared" si="659"/>
        <v/>
      </c>
      <c r="P1529" s="105" t="str">
        <f t="shared" si="660"/>
        <v/>
      </c>
      <c r="Q1529" s="105" t="str">
        <f t="shared" si="675"/>
        <v/>
      </c>
      <c r="R1529" s="103" t="str">
        <f t="shared" si="661"/>
        <v/>
      </c>
      <c r="S1529" s="103" t="str">
        <f t="shared" si="662"/>
        <v/>
      </c>
      <c r="T1529" s="106" t="str">
        <f t="shared" si="676"/>
        <v/>
      </c>
      <c r="U1529" s="106" t="str">
        <f t="shared" si="677"/>
        <v/>
      </c>
      <c r="V1529" s="106" t="str">
        <f t="shared" si="678"/>
        <v/>
      </c>
      <c r="W1529" s="105" t="str">
        <f t="shared" si="663"/>
        <v/>
      </c>
      <c r="X1529" s="104" t="str">
        <f t="shared" si="668"/>
        <v/>
      </c>
      <c r="Y1529" s="104" t="str">
        <f t="array" ref="Y1529">IFERROR(IF(ISNUMBER(O1529),IF(COUNT(IF(A1529=$A$2:$A$2427,IF(D1529=$D$2:$D$2427,IF($X$2:$X$2427&gt;0,1))))&gt;0,SUM(IF(A1529=$A$2:$A$2427,IF(D1529=$D$2:$D$2427,$X$2:$X$2427)))/COUNT(IF(A1529=$A$2:$A$2427,IF(D1529=$D$2:$D$2427,IF(ISNUMBER($X$2:$X$2427),1)))),0),""),0)</f>
        <v/>
      </c>
      <c r="Z1529" s="104" t="str">
        <f>IF(ISNUMBER(O1529),IF(I1529&gt;0,(10^(VLOOKUP(D1529,'Species Codes'!B:C,2,0)+VLOOKUP(D1529,'Species Codes'!B:D,3,0)*LOG(E1529)+VLOOKUP(D1529,'Species Codes'!B:E,4,0)*LOG(I1529))),0),"")</f>
        <v/>
      </c>
      <c r="AA1529" s="104" t="str">
        <f>IFERROR((VLOOKUP(D1529,'Species Codes'!B:G,6,0)*Z1529)/2000,"")</f>
        <v/>
      </c>
      <c r="AB1529" s="104" t="e">
        <f>IF(Z1529&gt;0,((IF(OR(D1529="DF",D1529="RA")=TRUE,EXP(VLOOKUP(D1529,'Species Codes'!B:I,8,0)+VLOOKUP(D1529,'Species Codes'!B:J,9,0)*(LN((E1529*2.54)))),IF(OR(D1529="PY",D1529="RC",D1529="WH",D1529="NF")=TRUE,VLOOKUP(D1529,'Species Codes'!B:I,8,0)+VLOOKUP(D1529,'Species Codes'!B:J,9,0)*((E1529*2.54)^2)*(I1529*0.3048),IF(OR(D1529="MD",D1529="BM",D1529="GA")=TRUE,((VLOOKUP(D1529,'Species Codes'!B:I,8,0)*(((((E1529*2.54)+VLOOKUP(D1529,'Species Codes'!B:J,9,0))/VLOOKUP(D1529,'Species Codes'!B:K,10,0))^VLOOKUP(D1529,'Species Codes'!B:L,11,0))*((I1529*0.3048)^VLOOKUP(D1529,'Species Codes'!B:M,12,0))))-(VLOOKUP(D1529,'Species Codes'!B:I,8,0)*((((E1529*2.54)^VLOOKUP(D1529,'Species Codes'!B:L,11,0))*((I1529*0.3048)^VLOOKUP(D1529,'Species Codes'!B:M,12,0))))))*35.3*VLOOKUP(D1529,'Species Codes'!B:G,6,0)/2.2046,VLOOKUP(D1529,'Species Codes'!B:I,8,0)+VLOOKUP(D1529,'Species Codes'!B:J,9,0)*(((E1529*2.54)/100)^2)*(I1529*0.3048)))))*0.0011023),0)</f>
        <v>#N/A</v>
      </c>
      <c r="AC1529" s="104" t="e">
        <f>IF(Z1529&gt;0,((IF(OR(D1529="RA",D1529="OA",D1529="OT",D1529="UN",D1529="PC"),EXP(VLOOKUP(D1529,'Species Codes'!B:O,14,0)+VLOOKUP(D1529,'Species Codes'!B:P,15,0)*LN((E1529*2.54)))-EXP(VLOOKUP(D1529,'Species Codes'!B:O,14,0)+VLOOKUP(D1529,'Species Codes'!B:P,15,0)*LN((E1529*2.54)))*(1/(VLOOKUP(D1529,'Species Codes'!B:Q,16,0)+VLOOKUP(D1529,'Species Codes'!B:R,17,0)*((E1529*2.54)^VLOOKUP(D1529,'Species Codes'!B:S,18,0)))),IF(OR(D1529="BM",D1529="MD",D1529="OA"),EXP(VLOOKUP(D1529,'Species Codes'!B:O,14,0)+VLOOKUP(D1529,'Species Codes'!B:P,15,0)*LN((E1529*2.54)))*(1-(1/(VLOOKUP(D1529,'Species Codes'!B:Q,16,0)+VLOOKUP(D1529,'Species Codes'!B:R,17,0)*((E1529*2.54)^VLOOKUP(D1529,'Species Codes'!B:S,18,0)))))/1000,IF(D1529="DF",EXP(VLOOKUP(D1529,'Species Codes'!B:O,14,0)+VLOOKUP(D1529,'Species Codes'!B:P,15,0)*LN((E1529*2.54))),VLOOKUP(D1529,'Species Codes'!B:O,14,0)+VLOOKUP(D1529,'Species Codes'!B:P,15,0)*(((E1529*2.54)/100)^2)*(I1529*0.3048)))))*0.0011023),0)</f>
        <v>#N/A</v>
      </c>
      <c r="AD1529" s="104" t="e">
        <f t="shared" si="679"/>
        <v>#N/A</v>
      </c>
      <c r="AE1529" s="104" t="e">
        <f t="shared" si="680"/>
        <v>#N/A</v>
      </c>
      <c r="AF1529" s="104" t="e">
        <f>IF(AND(VLOOKUP($D1529,Merchantability!$B:$C,2,0)="Yes",$E1529&gt;=VLOOKUP($D1529,Merchantability!$B:$D,3,0),$E1529&lt;=VLOOKUP($D1529,Merchantability!$B:$E,4,0)),AA1529,0)</f>
        <v>#N/A</v>
      </c>
      <c r="AG1529" s="104" t="e">
        <f>IF(AND(VLOOKUP($D1529,Merchantability!$B:$C,2,0)="Yes",$E1529&gt;=VLOOKUP($D1529,Merchantability!$B:$D,3,0),$E1529&lt;=VLOOKUP($D1529,Merchantability!$B:$E,4,0)),AB1529,0)</f>
        <v>#N/A</v>
      </c>
      <c r="AH1529" s="104" t="e">
        <f>IF(AND(VLOOKUP($D1529,Merchantability!$B:$C,2,0)="Yes",$E1529&gt;=VLOOKUP($D1529,Merchantability!$B:$D,3,0),$E1529&lt;=VLOOKUP($D1529,Merchantability!$B:$E,4,0)),AC1529,0)</f>
        <v>#N/A</v>
      </c>
      <c r="AI1529" s="104" t="e">
        <f t="shared" si="681"/>
        <v>#N/A</v>
      </c>
      <c r="AJ1529" s="104" t="e">
        <f t="shared" si="682"/>
        <v>#VALUE!</v>
      </c>
      <c r="AK1529" s="104" t="e">
        <f t="shared" si="683"/>
        <v>#N/A</v>
      </c>
      <c r="AL1529" s="104" t="e">
        <f t="shared" si="684"/>
        <v>#N/A</v>
      </c>
      <c r="AM1529" s="104" t="e">
        <f t="shared" si="685"/>
        <v>#N/A</v>
      </c>
      <c r="AN1529" s="104" t="e">
        <f t="shared" si="669"/>
        <v>#N/A</v>
      </c>
      <c r="AO1529" s="104" t="e">
        <f t="shared" si="670"/>
        <v>#N/A</v>
      </c>
      <c r="AP1529" s="104" t="e">
        <f t="shared" si="671"/>
        <v>#N/A</v>
      </c>
      <c r="AQ1529" s="104" t="e">
        <f t="shared" si="672"/>
        <v>#N/A</v>
      </c>
      <c r="AR1529" s="105" t="str">
        <f t="shared" si="664"/>
        <v/>
      </c>
      <c r="AS1529" s="105" t="str">
        <f t="shared" si="665"/>
        <v/>
      </c>
      <c r="AT1529" s="108" t="str">
        <f t="shared" si="666"/>
        <v/>
      </c>
      <c r="AU1529" s="108" t="str">
        <f t="shared" si="667"/>
        <v/>
      </c>
      <c r="AV1529" s="107" t="str">
        <f>IF(ISNUMBER(O1529),IF(VLOOKUP($A1529,Stand!C:J,8,FALSE)="Short",AT1529,AU1529),"")</f>
        <v/>
      </c>
      <c r="AW1529" s="109" t="str">
        <f t="shared" si="673"/>
        <v/>
      </c>
      <c r="AX1529" s="109" t="str">
        <f t="shared" si="674"/>
        <v/>
      </c>
      <c r="AY1529" s="112" t="str">
        <f>IF(ISNUMBER(O1529),IF(AND(VLOOKUP($D1529,Merchantability!$B:$C,2,0)="Yes",$E1529&gt;=VLOOKUP($D1529,Merchantability!$B:$D,3,0),$E1529&lt;=VLOOKUP($D1529,Merchantability!$B:$E,4,0)),(AV1529*O1529)*(1-$H1529/100),""),"")</f>
        <v/>
      </c>
      <c r="AZ1529" s="116"/>
      <c r="BA1529" s="116"/>
      <c r="BB1529" s="116"/>
      <c r="BE1529" s="62"/>
      <c r="BF1529" s="63"/>
    </row>
    <row r="1530" spans="1:58" ht="12.75" customHeight="1" x14ac:dyDescent="0.25">
      <c r="A1530" s="333"/>
      <c r="B1530" s="334"/>
      <c r="C1530" s="332"/>
      <c r="D1530" s="334"/>
      <c r="E1530" s="335"/>
      <c r="F1530" s="334"/>
      <c r="G1530" s="332"/>
      <c r="H1530" s="332"/>
      <c r="I1530" s="334"/>
      <c r="J1530" s="336"/>
      <c r="K1530" s="332"/>
      <c r="L1530" s="332"/>
      <c r="M1530" s="76"/>
      <c r="N1530" s="103" t="str">
        <f>IF(A1530="","",VLOOKUP(A1530,Stand!C:K,9,0))</f>
        <v/>
      </c>
      <c r="O1530" s="104" t="str">
        <f t="shared" si="659"/>
        <v/>
      </c>
      <c r="P1530" s="105" t="str">
        <f t="shared" si="660"/>
        <v/>
      </c>
      <c r="Q1530" s="105" t="str">
        <f t="shared" si="675"/>
        <v/>
      </c>
      <c r="R1530" s="103" t="str">
        <f t="shared" si="661"/>
        <v/>
      </c>
      <c r="S1530" s="103" t="str">
        <f t="shared" si="662"/>
        <v/>
      </c>
      <c r="T1530" s="106" t="str">
        <f t="shared" si="676"/>
        <v/>
      </c>
      <c r="U1530" s="106" t="str">
        <f t="shared" si="677"/>
        <v/>
      </c>
      <c r="V1530" s="106" t="str">
        <f t="shared" si="678"/>
        <v/>
      </c>
      <c r="W1530" s="105" t="str">
        <f t="shared" si="663"/>
        <v/>
      </c>
      <c r="X1530" s="104" t="str">
        <f t="shared" si="668"/>
        <v/>
      </c>
      <c r="Y1530" s="104" t="str">
        <f t="array" ref="Y1530">IFERROR(IF(ISNUMBER(O1530),IF(COUNT(IF(A1530=$A$2:$A$2427,IF(D1530=$D$2:$D$2427,IF($X$2:$X$2427&gt;0,1))))&gt;0,SUM(IF(A1530=$A$2:$A$2427,IF(D1530=$D$2:$D$2427,$X$2:$X$2427)))/COUNT(IF(A1530=$A$2:$A$2427,IF(D1530=$D$2:$D$2427,IF(ISNUMBER($X$2:$X$2427),1)))),0),""),0)</f>
        <v/>
      </c>
      <c r="Z1530" s="104" t="str">
        <f>IF(ISNUMBER(O1530),IF(I1530&gt;0,(10^(VLOOKUP(D1530,'Species Codes'!B:C,2,0)+VLOOKUP(D1530,'Species Codes'!B:D,3,0)*LOG(E1530)+VLOOKUP(D1530,'Species Codes'!B:E,4,0)*LOG(I1530))),0),"")</f>
        <v/>
      </c>
      <c r="AA1530" s="104" t="str">
        <f>IFERROR((VLOOKUP(D1530,'Species Codes'!B:G,6,0)*Z1530)/2000,"")</f>
        <v/>
      </c>
      <c r="AB1530" s="104" t="e">
        <f>IF(Z1530&gt;0,((IF(OR(D1530="DF",D1530="RA")=TRUE,EXP(VLOOKUP(D1530,'Species Codes'!B:I,8,0)+VLOOKUP(D1530,'Species Codes'!B:J,9,0)*(LN((E1530*2.54)))),IF(OR(D1530="PY",D1530="RC",D1530="WH",D1530="NF")=TRUE,VLOOKUP(D1530,'Species Codes'!B:I,8,0)+VLOOKUP(D1530,'Species Codes'!B:J,9,0)*((E1530*2.54)^2)*(I1530*0.3048),IF(OR(D1530="MD",D1530="BM",D1530="GA")=TRUE,((VLOOKUP(D1530,'Species Codes'!B:I,8,0)*(((((E1530*2.54)+VLOOKUP(D1530,'Species Codes'!B:J,9,0))/VLOOKUP(D1530,'Species Codes'!B:K,10,0))^VLOOKUP(D1530,'Species Codes'!B:L,11,0))*((I1530*0.3048)^VLOOKUP(D1530,'Species Codes'!B:M,12,0))))-(VLOOKUP(D1530,'Species Codes'!B:I,8,0)*((((E1530*2.54)^VLOOKUP(D1530,'Species Codes'!B:L,11,0))*((I1530*0.3048)^VLOOKUP(D1530,'Species Codes'!B:M,12,0))))))*35.3*VLOOKUP(D1530,'Species Codes'!B:G,6,0)/2.2046,VLOOKUP(D1530,'Species Codes'!B:I,8,0)+VLOOKUP(D1530,'Species Codes'!B:J,9,0)*(((E1530*2.54)/100)^2)*(I1530*0.3048)))))*0.0011023),0)</f>
        <v>#N/A</v>
      </c>
      <c r="AC1530" s="104" t="e">
        <f>IF(Z1530&gt;0,((IF(OR(D1530="RA",D1530="OA",D1530="OT",D1530="UN",D1530="PC"),EXP(VLOOKUP(D1530,'Species Codes'!B:O,14,0)+VLOOKUP(D1530,'Species Codes'!B:P,15,0)*LN((E1530*2.54)))-EXP(VLOOKUP(D1530,'Species Codes'!B:O,14,0)+VLOOKUP(D1530,'Species Codes'!B:P,15,0)*LN((E1530*2.54)))*(1/(VLOOKUP(D1530,'Species Codes'!B:Q,16,0)+VLOOKUP(D1530,'Species Codes'!B:R,17,0)*((E1530*2.54)^VLOOKUP(D1530,'Species Codes'!B:S,18,0)))),IF(OR(D1530="BM",D1530="MD",D1530="OA"),EXP(VLOOKUP(D1530,'Species Codes'!B:O,14,0)+VLOOKUP(D1530,'Species Codes'!B:P,15,0)*LN((E1530*2.54)))*(1-(1/(VLOOKUP(D1530,'Species Codes'!B:Q,16,0)+VLOOKUP(D1530,'Species Codes'!B:R,17,0)*((E1530*2.54)^VLOOKUP(D1530,'Species Codes'!B:S,18,0)))))/1000,IF(D1530="DF",EXP(VLOOKUP(D1530,'Species Codes'!B:O,14,0)+VLOOKUP(D1530,'Species Codes'!B:P,15,0)*LN((E1530*2.54))),VLOOKUP(D1530,'Species Codes'!B:O,14,0)+VLOOKUP(D1530,'Species Codes'!B:P,15,0)*(((E1530*2.54)/100)^2)*(I1530*0.3048)))))*0.0011023),0)</f>
        <v>#N/A</v>
      </c>
      <c r="AD1530" s="104" t="e">
        <f t="shared" si="679"/>
        <v>#N/A</v>
      </c>
      <c r="AE1530" s="104" t="e">
        <f t="shared" si="680"/>
        <v>#N/A</v>
      </c>
      <c r="AF1530" s="104" t="e">
        <f>IF(AND(VLOOKUP($D1530,Merchantability!$B:$C,2,0)="Yes",$E1530&gt;=VLOOKUP($D1530,Merchantability!$B:$D,3,0),$E1530&lt;=VLOOKUP($D1530,Merchantability!$B:$E,4,0)),AA1530,0)</f>
        <v>#N/A</v>
      </c>
      <c r="AG1530" s="104" t="e">
        <f>IF(AND(VLOOKUP($D1530,Merchantability!$B:$C,2,0)="Yes",$E1530&gt;=VLOOKUP($D1530,Merchantability!$B:$D,3,0),$E1530&lt;=VLOOKUP($D1530,Merchantability!$B:$E,4,0)),AB1530,0)</f>
        <v>#N/A</v>
      </c>
      <c r="AH1530" s="104" t="e">
        <f>IF(AND(VLOOKUP($D1530,Merchantability!$B:$C,2,0)="Yes",$E1530&gt;=VLOOKUP($D1530,Merchantability!$B:$D,3,0),$E1530&lt;=VLOOKUP($D1530,Merchantability!$B:$E,4,0)),AC1530,0)</f>
        <v>#N/A</v>
      </c>
      <c r="AI1530" s="104" t="e">
        <f t="shared" si="681"/>
        <v>#N/A</v>
      </c>
      <c r="AJ1530" s="104" t="e">
        <f t="shared" si="682"/>
        <v>#VALUE!</v>
      </c>
      <c r="AK1530" s="104" t="e">
        <f t="shared" si="683"/>
        <v>#N/A</v>
      </c>
      <c r="AL1530" s="104" t="e">
        <f t="shared" si="684"/>
        <v>#N/A</v>
      </c>
      <c r="AM1530" s="104" t="e">
        <f t="shared" si="685"/>
        <v>#N/A</v>
      </c>
      <c r="AN1530" s="104" t="e">
        <f t="shared" si="669"/>
        <v>#N/A</v>
      </c>
      <c r="AO1530" s="104" t="e">
        <f t="shared" si="670"/>
        <v>#N/A</v>
      </c>
      <c r="AP1530" s="104" t="e">
        <f t="shared" si="671"/>
        <v>#N/A</v>
      </c>
      <c r="AQ1530" s="104" t="e">
        <f t="shared" si="672"/>
        <v>#N/A</v>
      </c>
      <c r="AR1530" s="105" t="str">
        <f t="shared" si="664"/>
        <v/>
      </c>
      <c r="AS1530" s="105" t="str">
        <f t="shared" si="665"/>
        <v/>
      </c>
      <c r="AT1530" s="108" t="str">
        <f t="shared" si="666"/>
        <v/>
      </c>
      <c r="AU1530" s="108" t="str">
        <f t="shared" si="667"/>
        <v/>
      </c>
      <c r="AV1530" s="107" t="str">
        <f>IF(ISNUMBER(O1530),IF(VLOOKUP($A1530,Stand!C:J,8,FALSE)="Short",AT1530,AU1530),"")</f>
        <v/>
      </c>
      <c r="AW1530" s="109" t="str">
        <f t="shared" si="673"/>
        <v/>
      </c>
      <c r="AX1530" s="109" t="str">
        <f t="shared" si="674"/>
        <v/>
      </c>
      <c r="AY1530" s="112" t="str">
        <f>IF(ISNUMBER(O1530),IF(AND(VLOOKUP($D1530,Merchantability!$B:$C,2,0)="Yes",$E1530&gt;=VLOOKUP($D1530,Merchantability!$B:$D,3,0),$E1530&lt;=VLOOKUP($D1530,Merchantability!$B:$E,4,0)),(AV1530*O1530)*(1-$H1530/100),""),"")</f>
        <v/>
      </c>
      <c r="AZ1530" s="116"/>
      <c r="BA1530" s="116"/>
      <c r="BB1530" s="116"/>
      <c r="BE1530" s="62"/>
      <c r="BF1530" s="63"/>
    </row>
    <row r="1531" spans="1:58" ht="12.75" customHeight="1" x14ac:dyDescent="0.25">
      <c r="A1531" s="333"/>
      <c r="B1531" s="334"/>
      <c r="C1531" s="332"/>
      <c r="D1531" s="334"/>
      <c r="E1531" s="335"/>
      <c r="F1531" s="334"/>
      <c r="G1531" s="332"/>
      <c r="H1531" s="332"/>
      <c r="I1531" s="334"/>
      <c r="J1531" s="336"/>
      <c r="K1531" s="332"/>
      <c r="L1531" s="332"/>
      <c r="M1531" s="76"/>
      <c r="N1531" s="103" t="str">
        <f>IF(A1531="","",VLOOKUP(A1531,Stand!C:K,9,0))</f>
        <v/>
      </c>
      <c r="O1531" s="104" t="str">
        <f t="shared" si="659"/>
        <v/>
      </c>
      <c r="P1531" s="105" t="str">
        <f t="shared" si="660"/>
        <v/>
      </c>
      <c r="Q1531" s="105" t="str">
        <f t="shared" si="675"/>
        <v/>
      </c>
      <c r="R1531" s="103" t="str">
        <f t="shared" si="661"/>
        <v/>
      </c>
      <c r="S1531" s="103" t="str">
        <f t="shared" si="662"/>
        <v/>
      </c>
      <c r="T1531" s="106" t="str">
        <f t="shared" si="676"/>
        <v/>
      </c>
      <c r="U1531" s="106" t="str">
        <f t="shared" si="677"/>
        <v/>
      </c>
      <c r="V1531" s="106" t="str">
        <f t="shared" si="678"/>
        <v/>
      </c>
      <c r="W1531" s="105" t="str">
        <f t="shared" si="663"/>
        <v/>
      </c>
      <c r="X1531" s="104" t="str">
        <f t="shared" si="668"/>
        <v/>
      </c>
      <c r="Y1531" s="104" t="str">
        <f t="array" ref="Y1531">IFERROR(IF(ISNUMBER(O1531),IF(COUNT(IF(A1531=$A$2:$A$2427,IF(D1531=$D$2:$D$2427,IF($X$2:$X$2427&gt;0,1))))&gt;0,SUM(IF(A1531=$A$2:$A$2427,IF(D1531=$D$2:$D$2427,$X$2:$X$2427)))/COUNT(IF(A1531=$A$2:$A$2427,IF(D1531=$D$2:$D$2427,IF(ISNUMBER($X$2:$X$2427),1)))),0),""),0)</f>
        <v/>
      </c>
      <c r="Z1531" s="104" t="str">
        <f>IF(ISNUMBER(O1531),IF(I1531&gt;0,(10^(VLOOKUP(D1531,'Species Codes'!B:C,2,0)+VLOOKUP(D1531,'Species Codes'!B:D,3,0)*LOG(E1531)+VLOOKUP(D1531,'Species Codes'!B:E,4,0)*LOG(I1531))),0),"")</f>
        <v/>
      </c>
      <c r="AA1531" s="104" t="str">
        <f>IFERROR((VLOOKUP(D1531,'Species Codes'!B:G,6,0)*Z1531)/2000,"")</f>
        <v/>
      </c>
      <c r="AB1531" s="104" t="e">
        <f>IF(Z1531&gt;0,((IF(OR(D1531="DF",D1531="RA")=TRUE,EXP(VLOOKUP(D1531,'Species Codes'!B:I,8,0)+VLOOKUP(D1531,'Species Codes'!B:J,9,0)*(LN((E1531*2.54)))),IF(OR(D1531="PY",D1531="RC",D1531="WH",D1531="NF")=TRUE,VLOOKUP(D1531,'Species Codes'!B:I,8,0)+VLOOKUP(D1531,'Species Codes'!B:J,9,0)*((E1531*2.54)^2)*(I1531*0.3048),IF(OR(D1531="MD",D1531="BM",D1531="GA")=TRUE,((VLOOKUP(D1531,'Species Codes'!B:I,8,0)*(((((E1531*2.54)+VLOOKUP(D1531,'Species Codes'!B:J,9,0))/VLOOKUP(D1531,'Species Codes'!B:K,10,0))^VLOOKUP(D1531,'Species Codes'!B:L,11,0))*((I1531*0.3048)^VLOOKUP(D1531,'Species Codes'!B:M,12,0))))-(VLOOKUP(D1531,'Species Codes'!B:I,8,0)*((((E1531*2.54)^VLOOKUP(D1531,'Species Codes'!B:L,11,0))*((I1531*0.3048)^VLOOKUP(D1531,'Species Codes'!B:M,12,0))))))*35.3*VLOOKUP(D1531,'Species Codes'!B:G,6,0)/2.2046,VLOOKUP(D1531,'Species Codes'!B:I,8,0)+VLOOKUP(D1531,'Species Codes'!B:J,9,0)*(((E1531*2.54)/100)^2)*(I1531*0.3048)))))*0.0011023),0)</f>
        <v>#N/A</v>
      </c>
      <c r="AC1531" s="104" t="e">
        <f>IF(Z1531&gt;0,((IF(OR(D1531="RA",D1531="OA",D1531="OT",D1531="UN",D1531="PC"),EXP(VLOOKUP(D1531,'Species Codes'!B:O,14,0)+VLOOKUP(D1531,'Species Codes'!B:P,15,0)*LN((E1531*2.54)))-EXP(VLOOKUP(D1531,'Species Codes'!B:O,14,0)+VLOOKUP(D1531,'Species Codes'!B:P,15,0)*LN((E1531*2.54)))*(1/(VLOOKUP(D1531,'Species Codes'!B:Q,16,0)+VLOOKUP(D1531,'Species Codes'!B:R,17,0)*((E1531*2.54)^VLOOKUP(D1531,'Species Codes'!B:S,18,0)))),IF(OR(D1531="BM",D1531="MD",D1531="OA"),EXP(VLOOKUP(D1531,'Species Codes'!B:O,14,0)+VLOOKUP(D1531,'Species Codes'!B:P,15,0)*LN((E1531*2.54)))*(1-(1/(VLOOKUP(D1531,'Species Codes'!B:Q,16,0)+VLOOKUP(D1531,'Species Codes'!B:R,17,0)*((E1531*2.54)^VLOOKUP(D1531,'Species Codes'!B:S,18,0)))))/1000,IF(D1531="DF",EXP(VLOOKUP(D1531,'Species Codes'!B:O,14,0)+VLOOKUP(D1531,'Species Codes'!B:P,15,0)*LN((E1531*2.54))),VLOOKUP(D1531,'Species Codes'!B:O,14,0)+VLOOKUP(D1531,'Species Codes'!B:P,15,0)*(((E1531*2.54)/100)^2)*(I1531*0.3048)))))*0.0011023),0)</f>
        <v>#N/A</v>
      </c>
      <c r="AD1531" s="104" t="e">
        <f t="shared" si="679"/>
        <v>#N/A</v>
      </c>
      <c r="AE1531" s="104" t="e">
        <f t="shared" si="680"/>
        <v>#N/A</v>
      </c>
      <c r="AF1531" s="104" t="e">
        <f>IF(AND(VLOOKUP($D1531,Merchantability!$B:$C,2,0)="Yes",$E1531&gt;=VLOOKUP($D1531,Merchantability!$B:$D,3,0),$E1531&lt;=VLOOKUP($D1531,Merchantability!$B:$E,4,0)),AA1531,0)</f>
        <v>#N/A</v>
      </c>
      <c r="AG1531" s="104" t="e">
        <f>IF(AND(VLOOKUP($D1531,Merchantability!$B:$C,2,0)="Yes",$E1531&gt;=VLOOKUP($D1531,Merchantability!$B:$D,3,0),$E1531&lt;=VLOOKUP($D1531,Merchantability!$B:$E,4,0)),AB1531,0)</f>
        <v>#N/A</v>
      </c>
      <c r="AH1531" s="104" t="e">
        <f>IF(AND(VLOOKUP($D1531,Merchantability!$B:$C,2,0)="Yes",$E1531&gt;=VLOOKUP($D1531,Merchantability!$B:$D,3,0),$E1531&lt;=VLOOKUP($D1531,Merchantability!$B:$E,4,0)),AC1531,0)</f>
        <v>#N/A</v>
      </c>
      <c r="AI1531" s="104" t="e">
        <f t="shared" si="681"/>
        <v>#N/A</v>
      </c>
      <c r="AJ1531" s="104" t="e">
        <f t="shared" si="682"/>
        <v>#VALUE!</v>
      </c>
      <c r="AK1531" s="104" t="e">
        <f t="shared" si="683"/>
        <v>#N/A</v>
      </c>
      <c r="AL1531" s="104" t="e">
        <f t="shared" si="684"/>
        <v>#N/A</v>
      </c>
      <c r="AM1531" s="104" t="e">
        <f t="shared" si="685"/>
        <v>#N/A</v>
      </c>
      <c r="AN1531" s="104" t="e">
        <f t="shared" si="669"/>
        <v>#N/A</v>
      </c>
      <c r="AO1531" s="104" t="e">
        <f t="shared" si="670"/>
        <v>#N/A</v>
      </c>
      <c r="AP1531" s="104" t="e">
        <f t="shared" si="671"/>
        <v>#N/A</v>
      </c>
      <c r="AQ1531" s="104" t="e">
        <f t="shared" si="672"/>
        <v>#N/A</v>
      </c>
      <c r="AR1531" s="105" t="str">
        <f t="shared" si="664"/>
        <v/>
      </c>
      <c r="AS1531" s="105" t="str">
        <f t="shared" si="665"/>
        <v/>
      </c>
      <c r="AT1531" s="108" t="str">
        <f t="shared" si="666"/>
        <v/>
      </c>
      <c r="AU1531" s="108" t="str">
        <f t="shared" si="667"/>
        <v/>
      </c>
      <c r="AV1531" s="107" t="str">
        <f>IF(ISNUMBER(O1531),IF(VLOOKUP($A1531,Stand!C:J,8,FALSE)="Short",AT1531,AU1531),"")</f>
        <v/>
      </c>
      <c r="AW1531" s="109" t="str">
        <f t="shared" si="673"/>
        <v/>
      </c>
      <c r="AX1531" s="109" t="str">
        <f t="shared" si="674"/>
        <v/>
      </c>
      <c r="AY1531" s="112" t="str">
        <f>IF(ISNUMBER(O1531),IF(AND(VLOOKUP($D1531,Merchantability!$B:$C,2,0)="Yes",$E1531&gt;=VLOOKUP($D1531,Merchantability!$B:$D,3,0),$E1531&lt;=VLOOKUP($D1531,Merchantability!$B:$E,4,0)),(AV1531*O1531)*(1-$H1531/100),""),"")</f>
        <v/>
      </c>
      <c r="AZ1531" s="116"/>
      <c r="BA1531" s="116"/>
      <c r="BB1531" s="116"/>
      <c r="BE1531" s="62"/>
      <c r="BF1531" s="63"/>
    </row>
    <row r="1532" spans="1:58" ht="12.75" customHeight="1" x14ac:dyDescent="0.25">
      <c r="A1532" s="333"/>
      <c r="B1532" s="334"/>
      <c r="C1532" s="332"/>
      <c r="D1532" s="334"/>
      <c r="E1532" s="335"/>
      <c r="F1532" s="334"/>
      <c r="G1532" s="332"/>
      <c r="H1532" s="332"/>
      <c r="I1532" s="334"/>
      <c r="J1532" s="336"/>
      <c r="K1532" s="332"/>
      <c r="L1532" s="332"/>
      <c r="M1532" s="76"/>
      <c r="N1532" s="103" t="str">
        <f>IF(A1532="","",VLOOKUP(A1532,Stand!C:K,9,0))</f>
        <v/>
      </c>
      <c r="O1532" s="104" t="str">
        <f t="shared" si="659"/>
        <v/>
      </c>
      <c r="P1532" s="105" t="str">
        <f t="shared" si="660"/>
        <v/>
      </c>
      <c r="Q1532" s="105" t="str">
        <f t="shared" si="675"/>
        <v/>
      </c>
      <c r="R1532" s="103" t="str">
        <f t="shared" si="661"/>
        <v/>
      </c>
      <c r="S1532" s="103" t="str">
        <f t="shared" si="662"/>
        <v/>
      </c>
      <c r="T1532" s="106" t="str">
        <f t="shared" si="676"/>
        <v/>
      </c>
      <c r="U1532" s="106" t="str">
        <f t="shared" si="677"/>
        <v/>
      </c>
      <c r="V1532" s="106" t="str">
        <f t="shared" si="678"/>
        <v/>
      </c>
      <c r="W1532" s="105" t="str">
        <f t="shared" si="663"/>
        <v/>
      </c>
      <c r="X1532" s="104" t="str">
        <f t="shared" si="668"/>
        <v/>
      </c>
      <c r="Y1532" s="104" t="str">
        <f t="array" ref="Y1532">IFERROR(IF(ISNUMBER(O1532),IF(COUNT(IF(A1532=$A$2:$A$2427,IF(D1532=$D$2:$D$2427,IF($X$2:$X$2427&gt;0,1))))&gt;0,SUM(IF(A1532=$A$2:$A$2427,IF(D1532=$D$2:$D$2427,$X$2:$X$2427)))/COUNT(IF(A1532=$A$2:$A$2427,IF(D1532=$D$2:$D$2427,IF(ISNUMBER($X$2:$X$2427),1)))),0),""),0)</f>
        <v/>
      </c>
      <c r="Z1532" s="104" t="str">
        <f>IF(ISNUMBER(O1532),IF(I1532&gt;0,(10^(VLOOKUP(D1532,'Species Codes'!B:C,2,0)+VLOOKUP(D1532,'Species Codes'!B:D,3,0)*LOG(E1532)+VLOOKUP(D1532,'Species Codes'!B:E,4,0)*LOG(I1532))),0),"")</f>
        <v/>
      </c>
      <c r="AA1532" s="104" t="str">
        <f>IFERROR((VLOOKUP(D1532,'Species Codes'!B:G,6,0)*Z1532)/2000,"")</f>
        <v/>
      </c>
      <c r="AB1532" s="104" t="e">
        <f>IF(Z1532&gt;0,((IF(OR(D1532="DF",D1532="RA")=TRUE,EXP(VLOOKUP(D1532,'Species Codes'!B:I,8,0)+VLOOKUP(D1532,'Species Codes'!B:J,9,0)*(LN((E1532*2.54)))),IF(OR(D1532="PY",D1532="RC",D1532="WH",D1532="NF")=TRUE,VLOOKUP(D1532,'Species Codes'!B:I,8,0)+VLOOKUP(D1532,'Species Codes'!B:J,9,0)*((E1532*2.54)^2)*(I1532*0.3048),IF(OR(D1532="MD",D1532="BM",D1532="GA")=TRUE,((VLOOKUP(D1532,'Species Codes'!B:I,8,0)*(((((E1532*2.54)+VLOOKUP(D1532,'Species Codes'!B:J,9,0))/VLOOKUP(D1532,'Species Codes'!B:K,10,0))^VLOOKUP(D1532,'Species Codes'!B:L,11,0))*((I1532*0.3048)^VLOOKUP(D1532,'Species Codes'!B:M,12,0))))-(VLOOKUP(D1532,'Species Codes'!B:I,8,0)*((((E1532*2.54)^VLOOKUP(D1532,'Species Codes'!B:L,11,0))*((I1532*0.3048)^VLOOKUP(D1532,'Species Codes'!B:M,12,0))))))*35.3*VLOOKUP(D1532,'Species Codes'!B:G,6,0)/2.2046,VLOOKUP(D1532,'Species Codes'!B:I,8,0)+VLOOKUP(D1532,'Species Codes'!B:J,9,0)*(((E1532*2.54)/100)^2)*(I1532*0.3048)))))*0.0011023),0)</f>
        <v>#N/A</v>
      </c>
      <c r="AC1532" s="104" t="e">
        <f>IF(Z1532&gt;0,((IF(OR(D1532="RA",D1532="OA",D1532="OT",D1532="UN",D1532="PC"),EXP(VLOOKUP(D1532,'Species Codes'!B:O,14,0)+VLOOKUP(D1532,'Species Codes'!B:P,15,0)*LN((E1532*2.54)))-EXP(VLOOKUP(D1532,'Species Codes'!B:O,14,0)+VLOOKUP(D1532,'Species Codes'!B:P,15,0)*LN((E1532*2.54)))*(1/(VLOOKUP(D1532,'Species Codes'!B:Q,16,0)+VLOOKUP(D1532,'Species Codes'!B:R,17,0)*((E1532*2.54)^VLOOKUP(D1532,'Species Codes'!B:S,18,0)))),IF(OR(D1532="BM",D1532="MD",D1532="OA"),EXP(VLOOKUP(D1532,'Species Codes'!B:O,14,0)+VLOOKUP(D1532,'Species Codes'!B:P,15,0)*LN((E1532*2.54)))*(1-(1/(VLOOKUP(D1532,'Species Codes'!B:Q,16,0)+VLOOKUP(D1532,'Species Codes'!B:R,17,0)*((E1532*2.54)^VLOOKUP(D1532,'Species Codes'!B:S,18,0)))))/1000,IF(D1532="DF",EXP(VLOOKUP(D1532,'Species Codes'!B:O,14,0)+VLOOKUP(D1532,'Species Codes'!B:P,15,0)*LN((E1532*2.54))),VLOOKUP(D1532,'Species Codes'!B:O,14,0)+VLOOKUP(D1532,'Species Codes'!B:P,15,0)*(((E1532*2.54)/100)^2)*(I1532*0.3048)))))*0.0011023),0)</f>
        <v>#N/A</v>
      </c>
      <c r="AD1532" s="104" t="e">
        <f t="shared" si="679"/>
        <v>#N/A</v>
      </c>
      <c r="AE1532" s="104" t="e">
        <f t="shared" si="680"/>
        <v>#N/A</v>
      </c>
      <c r="AF1532" s="104" t="e">
        <f>IF(AND(VLOOKUP($D1532,Merchantability!$B:$C,2,0)="Yes",$E1532&gt;=VLOOKUP($D1532,Merchantability!$B:$D,3,0),$E1532&lt;=VLOOKUP($D1532,Merchantability!$B:$E,4,0)),AA1532,0)</f>
        <v>#N/A</v>
      </c>
      <c r="AG1532" s="104" t="e">
        <f>IF(AND(VLOOKUP($D1532,Merchantability!$B:$C,2,0)="Yes",$E1532&gt;=VLOOKUP($D1532,Merchantability!$B:$D,3,0),$E1532&lt;=VLOOKUP($D1532,Merchantability!$B:$E,4,0)),AB1532,0)</f>
        <v>#N/A</v>
      </c>
      <c r="AH1532" s="104" t="e">
        <f>IF(AND(VLOOKUP($D1532,Merchantability!$B:$C,2,0)="Yes",$E1532&gt;=VLOOKUP($D1532,Merchantability!$B:$D,3,0),$E1532&lt;=VLOOKUP($D1532,Merchantability!$B:$E,4,0)),AC1532,0)</f>
        <v>#N/A</v>
      </c>
      <c r="AI1532" s="104" t="e">
        <f t="shared" si="681"/>
        <v>#N/A</v>
      </c>
      <c r="AJ1532" s="104" t="e">
        <f t="shared" si="682"/>
        <v>#VALUE!</v>
      </c>
      <c r="AK1532" s="104" t="e">
        <f t="shared" si="683"/>
        <v>#N/A</v>
      </c>
      <c r="AL1532" s="104" t="e">
        <f t="shared" si="684"/>
        <v>#N/A</v>
      </c>
      <c r="AM1532" s="104" t="e">
        <f t="shared" si="685"/>
        <v>#N/A</v>
      </c>
      <c r="AN1532" s="104" t="e">
        <f t="shared" si="669"/>
        <v>#N/A</v>
      </c>
      <c r="AO1532" s="104" t="e">
        <f t="shared" si="670"/>
        <v>#N/A</v>
      </c>
      <c r="AP1532" s="104" t="e">
        <f t="shared" si="671"/>
        <v>#N/A</v>
      </c>
      <c r="AQ1532" s="104" t="e">
        <f t="shared" si="672"/>
        <v>#N/A</v>
      </c>
      <c r="AR1532" s="105" t="str">
        <f t="shared" si="664"/>
        <v/>
      </c>
      <c r="AS1532" s="105" t="str">
        <f t="shared" si="665"/>
        <v/>
      </c>
      <c r="AT1532" s="108" t="str">
        <f t="shared" si="666"/>
        <v/>
      </c>
      <c r="AU1532" s="108" t="str">
        <f t="shared" si="667"/>
        <v/>
      </c>
      <c r="AV1532" s="107" t="str">
        <f>IF(ISNUMBER(O1532),IF(VLOOKUP($A1532,Stand!C:J,8,FALSE)="Short",AT1532,AU1532),"")</f>
        <v/>
      </c>
      <c r="AW1532" s="109" t="str">
        <f t="shared" si="673"/>
        <v/>
      </c>
      <c r="AX1532" s="109" t="str">
        <f t="shared" si="674"/>
        <v/>
      </c>
      <c r="AY1532" s="112" t="str">
        <f>IF(ISNUMBER(O1532),IF(AND(VLOOKUP($D1532,Merchantability!$B:$C,2,0)="Yes",$E1532&gt;=VLOOKUP($D1532,Merchantability!$B:$D,3,0),$E1532&lt;=VLOOKUP($D1532,Merchantability!$B:$E,4,0)),(AV1532*O1532)*(1-$H1532/100),""),"")</f>
        <v/>
      </c>
      <c r="AZ1532" s="116"/>
      <c r="BA1532" s="116"/>
      <c r="BB1532" s="116"/>
      <c r="BE1532" s="62"/>
      <c r="BF1532" s="63"/>
    </row>
    <row r="1533" spans="1:58" ht="12.75" customHeight="1" x14ac:dyDescent="0.25">
      <c r="A1533" s="333"/>
      <c r="B1533" s="334"/>
      <c r="C1533" s="332"/>
      <c r="D1533" s="334"/>
      <c r="E1533" s="335"/>
      <c r="F1533" s="334"/>
      <c r="G1533" s="332"/>
      <c r="H1533" s="332"/>
      <c r="I1533" s="334"/>
      <c r="J1533" s="336"/>
      <c r="K1533" s="332"/>
      <c r="L1533" s="332"/>
      <c r="M1533" s="76"/>
      <c r="N1533" s="103" t="str">
        <f>IF(A1533="","",VLOOKUP(A1533,Stand!C:K,9,0))</f>
        <v/>
      </c>
      <c r="O1533" s="104" t="str">
        <f t="shared" si="659"/>
        <v/>
      </c>
      <c r="P1533" s="105" t="str">
        <f t="shared" si="660"/>
        <v/>
      </c>
      <c r="Q1533" s="105" t="str">
        <f t="shared" si="675"/>
        <v/>
      </c>
      <c r="R1533" s="103" t="str">
        <f t="shared" si="661"/>
        <v/>
      </c>
      <c r="S1533" s="103" t="str">
        <f t="shared" si="662"/>
        <v/>
      </c>
      <c r="T1533" s="106" t="str">
        <f t="shared" si="676"/>
        <v/>
      </c>
      <c r="U1533" s="106" t="str">
        <f t="shared" si="677"/>
        <v/>
      </c>
      <c r="V1533" s="106" t="str">
        <f t="shared" si="678"/>
        <v/>
      </c>
      <c r="W1533" s="105" t="str">
        <f t="shared" si="663"/>
        <v/>
      </c>
      <c r="X1533" s="104" t="str">
        <f t="shared" si="668"/>
        <v/>
      </c>
      <c r="Y1533" s="104" t="str">
        <f t="array" ref="Y1533">IFERROR(IF(ISNUMBER(O1533),IF(COUNT(IF(A1533=$A$2:$A$2427,IF(D1533=$D$2:$D$2427,IF($X$2:$X$2427&gt;0,1))))&gt;0,SUM(IF(A1533=$A$2:$A$2427,IF(D1533=$D$2:$D$2427,$X$2:$X$2427)))/COUNT(IF(A1533=$A$2:$A$2427,IF(D1533=$D$2:$D$2427,IF(ISNUMBER($X$2:$X$2427),1)))),0),""),0)</f>
        <v/>
      </c>
      <c r="Z1533" s="104" t="str">
        <f>IF(ISNUMBER(O1533),IF(I1533&gt;0,(10^(VLOOKUP(D1533,'Species Codes'!B:C,2,0)+VLOOKUP(D1533,'Species Codes'!B:D,3,0)*LOG(E1533)+VLOOKUP(D1533,'Species Codes'!B:E,4,0)*LOG(I1533))),0),"")</f>
        <v/>
      </c>
      <c r="AA1533" s="104" t="str">
        <f>IFERROR((VLOOKUP(D1533,'Species Codes'!B:G,6,0)*Z1533)/2000,"")</f>
        <v/>
      </c>
      <c r="AB1533" s="104" t="e">
        <f>IF(Z1533&gt;0,((IF(OR(D1533="DF",D1533="RA")=TRUE,EXP(VLOOKUP(D1533,'Species Codes'!B:I,8,0)+VLOOKUP(D1533,'Species Codes'!B:J,9,0)*(LN((E1533*2.54)))),IF(OR(D1533="PY",D1533="RC",D1533="WH",D1533="NF")=TRUE,VLOOKUP(D1533,'Species Codes'!B:I,8,0)+VLOOKUP(D1533,'Species Codes'!B:J,9,0)*((E1533*2.54)^2)*(I1533*0.3048),IF(OR(D1533="MD",D1533="BM",D1533="GA")=TRUE,((VLOOKUP(D1533,'Species Codes'!B:I,8,0)*(((((E1533*2.54)+VLOOKUP(D1533,'Species Codes'!B:J,9,0))/VLOOKUP(D1533,'Species Codes'!B:K,10,0))^VLOOKUP(D1533,'Species Codes'!B:L,11,0))*((I1533*0.3048)^VLOOKUP(D1533,'Species Codes'!B:M,12,0))))-(VLOOKUP(D1533,'Species Codes'!B:I,8,0)*((((E1533*2.54)^VLOOKUP(D1533,'Species Codes'!B:L,11,0))*((I1533*0.3048)^VLOOKUP(D1533,'Species Codes'!B:M,12,0))))))*35.3*VLOOKUP(D1533,'Species Codes'!B:G,6,0)/2.2046,VLOOKUP(D1533,'Species Codes'!B:I,8,0)+VLOOKUP(D1533,'Species Codes'!B:J,9,0)*(((E1533*2.54)/100)^2)*(I1533*0.3048)))))*0.0011023),0)</f>
        <v>#N/A</v>
      </c>
      <c r="AC1533" s="104" t="e">
        <f>IF(Z1533&gt;0,((IF(OR(D1533="RA",D1533="OA",D1533="OT",D1533="UN",D1533="PC"),EXP(VLOOKUP(D1533,'Species Codes'!B:O,14,0)+VLOOKUP(D1533,'Species Codes'!B:P,15,0)*LN((E1533*2.54)))-EXP(VLOOKUP(D1533,'Species Codes'!B:O,14,0)+VLOOKUP(D1533,'Species Codes'!B:P,15,0)*LN((E1533*2.54)))*(1/(VLOOKUP(D1533,'Species Codes'!B:Q,16,0)+VLOOKUP(D1533,'Species Codes'!B:R,17,0)*((E1533*2.54)^VLOOKUP(D1533,'Species Codes'!B:S,18,0)))),IF(OR(D1533="BM",D1533="MD",D1533="OA"),EXP(VLOOKUP(D1533,'Species Codes'!B:O,14,0)+VLOOKUP(D1533,'Species Codes'!B:P,15,0)*LN((E1533*2.54)))*(1-(1/(VLOOKUP(D1533,'Species Codes'!B:Q,16,0)+VLOOKUP(D1533,'Species Codes'!B:R,17,0)*((E1533*2.54)^VLOOKUP(D1533,'Species Codes'!B:S,18,0)))))/1000,IF(D1533="DF",EXP(VLOOKUP(D1533,'Species Codes'!B:O,14,0)+VLOOKUP(D1533,'Species Codes'!B:P,15,0)*LN((E1533*2.54))),VLOOKUP(D1533,'Species Codes'!B:O,14,0)+VLOOKUP(D1533,'Species Codes'!B:P,15,0)*(((E1533*2.54)/100)^2)*(I1533*0.3048)))))*0.0011023),0)</f>
        <v>#N/A</v>
      </c>
      <c r="AD1533" s="104" t="e">
        <f t="shared" si="679"/>
        <v>#N/A</v>
      </c>
      <c r="AE1533" s="104" t="e">
        <f t="shared" si="680"/>
        <v>#N/A</v>
      </c>
      <c r="AF1533" s="104" t="e">
        <f>IF(AND(VLOOKUP($D1533,Merchantability!$B:$C,2,0)="Yes",$E1533&gt;=VLOOKUP($D1533,Merchantability!$B:$D,3,0),$E1533&lt;=VLOOKUP($D1533,Merchantability!$B:$E,4,0)),AA1533,0)</f>
        <v>#N/A</v>
      </c>
      <c r="AG1533" s="104" t="e">
        <f>IF(AND(VLOOKUP($D1533,Merchantability!$B:$C,2,0)="Yes",$E1533&gt;=VLOOKUP($D1533,Merchantability!$B:$D,3,0),$E1533&lt;=VLOOKUP($D1533,Merchantability!$B:$E,4,0)),AB1533,0)</f>
        <v>#N/A</v>
      </c>
      <c r="AH1533" s="104" t="e">
        <f>IF(AND(VLOOKUP($D1533,Merchantability!$B:$C,2,0)="Yes",$E1533&gt;=VLOOKUP($D1533,Merchantability!$B:$D,3,0),$E1533&lt;=VLOOKUP($D1533,Merchantability!$B:$E,4,0)),AC1533,0)</f>
        <v>#N/A</v>
      </c>
      <c r="AI1533" s="104" t="e">
        <f t="shared" si="681"/>
        <v>#N/A</v>
      </c>
      <c r="AJ1533" s="104" t="e">
        <f t="shared" si="682"/>
        <v>#VALUE!</v>
      </c>
      <c r="AK1533" s="104" t="e">
        <f t="shared" si="683"/>
        <v>#N/A</v>
      </c>
      <c r="AL1533" s="104" t="e">
        <f t="shared" si="684"/>
        <v>#N/A</v>
      </c>
      <c r="AM1533" s="104" t="e">
        <f t="shared" si="685"/>
        <v>#N/A</v>
      </c>
      <c r="AN1533" s="104" t="e">
        <f t="shared" si="669"/>
        <v>#N/A</v>
      </c>
      <c r="AO1533" s="104" t="e">
        <f t="shared" si="670"/>
        <v>#N/A</v>
      </c>
      <c r="AP1533" s="104" t="e">
        <f t="shared" si="671"/>
        <v>#N/A</v>
      </c>
      <c r="AQ1533" s="104" t="e">
        <f t="shared" si="672"/>
        <v>#N/A</v>
      </c>
      <c r="AR1533" s="105" t="str">
        <f t="shared" si="664"/>
        <v/>
      </c>
      <c r="AS1533" s="105" t="str">
        <f t="shared" si="665"/>
        <v/>
      </c>
      <c r="AT1533" s="108" t="str">
        <f t="shared" si="666"/>
        <v/>
      </c>
      <c r="AU1533" s="108" t="str">
        <f t="shared" si="667"/>
        <v/>
      </c>
      <c r="AV1533" s="107" t="str">
        <f>IF(ISNUMBER(O1533),IF(VLOOKUP($A1533,Stand!C:J,8,FALSE)="Short",AT1533,AU1533),"")</f>
        <v/>
      </c>
      <c r="AW1533" s="109" t="str">
        <f t="shared" si="673"/>
        <v/>
      </c>
      <c r="AX1533" s="109" t="str">
        <f t="shared" si="674"/>
        <v/>
      </c>
      <c r="AY1533" s="112" t="str">
        <f>IF(ISNUMBER(O1533),IF(AND(VLOOKUP($D1533,Merchantability!$B:$C,2,0)="Yes",$E1533&gt;=VLOOKUP($D1533,Merchantability!$B:$D,3,0),$E1533&lt;=VLOOKUP($D1533,Merchantability!$B:$E,4,0)),(AV1533*O1533)*(1-$H1533/100),""),"")</f>
        <v/>
      </c>
      <c r="AZ1533" s="116"/>
      <c r="BA1533" s="116"/>
      <c r="BB1533" s="116"/>
      <c r="BE1533" s="62"/>
      <c r="BF1533" s="63"/>
    </row>
    <row r="1534" spans="1:58" ht="12.75" customHeight="1" x14ac:dyDescent="0.25">
      <c r="A1534" s="333"/>
      <c r="B1534" s="334"/>
      <c r="C1534" s="332"/>
      <c r="D1534" s="334"/>
      <c r="E1534" s="335"/>
      <c r="F1534" s="334"/>
      <c r="G1534" s="332"/>
      <c r="H1534" s="332"/>
      <c r="I1534" s="334"/>
      <c r="J1534" s="336"/>
      <c r="K1534" s="332"/>
      <c r="L1534" s="332"/>
      <c r="M1534" s="76"/>
      <c r="N1534" s="103" t="str">
        <f>IF(A1534="","",VLOOKUP(A1534,Stand!C:K,9,0))</f>
        <v/>
      </c>
      <c r="O1534" s="104" t="str">
        <f t="shared" si="659"/>
        <v/>
      </c>
      <c r="P1534" s="105" t="str">
        <f t="shared" si="660"/>
        <v/>
      </c>
      <c r="Q1534" s="105" t="str">
        <f t="shared" si="675"/>
        <v/>
      </c>
      <c r="R1534" s="103" t="str">
        <f t="shared" si="661"/>
        <v/>
      </c>
      <c r="S1534" s="103" t="str">
        <f t="shared" si="662"/>
        <v/>
      </c>
      <c r="T1534" s="106" t="str">
        <f t="shared" si="676"/>
        <v/>
      </c>
      <c r="U1534" s="106" t="str">
        <f t="shared" si="677"/>
        <v/>
      </c>
      <c r="V1534" s="106" t="str">
        <f t="shared" si="678"/>
        <v/>
      </c>
      <c r="W1534" s="105" t="str">
        <f t="shared" si="663"/>
        <v/>
      </c>
      <c r="X1534" s="104" t="str">
        <f t="shared" si="668"/>
        <v/>
      </c>
      <c r="Y1534" s="104" t="str">
        <f t="array" ref="Y1534">IFERROR(IF(ISNUMBER(O1534),IF(COUNT(IF(A1534=$A$2:$A$2427,IF(D1534=$D$2:$D$2427,IF($X$2:$X$2427&gt;0,1))))&gt;0,SUM(IF(A1534=$A$2:$A$2427,IF(D1534=$D$2:$D$2427,$X$2:$X$2427)))/COUNT(IF(A1534=$A$2:$A$2427,IF(D1534=$D$2:$D$2427,IF(ISNUMBER($X$2:$X$2427),1)))),0),""),0)</f>
        <v/>
      </c>
      <c r="Z1534" s="104" t="str">
        <f>IF(ISNUMBER(O1534),IF(I1534&gt;0,(10^(VLOOKUP(D1534,'Species Codes'!B:C,2,0)+VLOOKUP(D1534,'Species Codes'!B:D,3,0)*LOG(E1534)+VLOOKUP(D1534,'Species Codes'!B:E,4,0)*LOG(I1534))),0),"")</f>
        <v/>
      </c>
      <c r="AA1534" s="104" t="str">
        <f>IFERROR((VLOOKUP(D1534,'Species Codes'!B:G,6,0)*Z1534)/2000,"")</f>
        <v/>
      </c>
      <c r="AB1534" s="104" t="e">
        <f>IF(Z1534&gt;0,((IF(OR(D1534="DF",D1534="RA")=TRUE,EXP(VLOOKUP(D1534,'Species Codes'!B:I,8,0)+VLOOKUP(D1534,'Species Codes'!B:J,9,0)*(LN((E1534*2.54)))),IF(OR(D1534="PY",D1534="RC",D1534="WH",D1534="NF")=TRUE,VLOOKUP(D1534,'Species Codes'!B:I,8,0)+VLOOKUP(D1534,'Species Codes'!B:J,9,0)*((E1534*2.54)^2)*(I1534*0.3048),IF(OR(D1534="MD",D1534="BM",D1534="GA")=TRUE,((VLOOKUP(D1534,'Species Codes'!B:I,8,0)*(((((E1534*2.54)+VLOOKUP(D1534,'Species Codes'!B:J,9,0))/VLOOKUP(D1534,'Species Codes'!B:K,10,0))^VLOOKUP(D1534,'Species Codes'!B:L,11,0))*((I1534*0.3048)^VLOOKUP(D1534,'Species Codes'!B:M,12,0))))-(VLOOKUP(D1534,'Species Codes'!B:I,8,0)*((((E1534*2.54)^VLOOKUP(D1534,'Species Codes'!B:L,11,0))*((I1534*0.3048)^VLOOKUP(D1534,'Species Codes'!B:M,12,0))))))*35.3*VLOOKUP(D1534,'Species Codes'!B:G,6,0)/2.2046,VLOOKUP(D1534,'Species Codes'!B:I,8,0)+VLOOKUP(D1534,'Species Codes'!B:J,9,0)*(((E1534*2.54)/100)^2)*(I1534*0.3048)))))*0.0011023),0)</f>
        <v>#N/A</v>
      </c>
      <c r="AC1534" s="104" t="e">
        <f>IF(Z1534&gt;0,((IF(OR(D1534="RA",D1534="OA",D1534="OT",D1534="UN",D1534="PC"),EXP(VLOOKUP(D1534,'Species Codes'!B:O,14,0)+VLOOKUP(D1534,'Species Codes'!B:P,15,0)*LN((E1534*2.54)))-EXP(VLOOKUP(D1534,'Species Codes'!B:O,14,0)+VLOOKUP(D1534,'Species Codes'!B:P,15,0)*LN((E1534*2.54)))*(1/(VLOOKUP(D1534,'Species Codes'!B:Q,16,0)+VLOOKUP(D1534,'Species Codes'!B:R,17,0)*((E1534*2.54)^VLOOKUP(D1534,'Species Codes'!B:S,18,0)))),IF(OR(D1534="BM",D1534="MD",D1534="OA"),EXP(VLOOKUP(D1534,'Species Codes'!B:O,14,0)+VLOOKUP(D1534,'Species Codes'!B:P,15,0)*LN((E1534*2.54)))*(1-(1/(VLOOKUP(D1534,'Species Codes'!B:Q,16,0)+VLOOKUP(D1534,'Species Codes'!B:R,17,0)*((E1534*2.54)^VLOOKUP(D1534,'Species Codes'!B:S,18,0)))))/1000,IF(D1534="DF",EXP(VLOOKUP(D1534,'Species Codes'!B:O,14,0)+VLOOKUP(D1534,'Species Codes'!B:P,15,0)*LN((E1534*2.54))),VLOOKUP(D1534,'Species Codes'!B:O,14,0)+VLOOKUP(D1534,'Species Codes'!B:P,15,0)*(((E1534*2.54)/100)^2)*(I1534*0.3048)))))*0.0011023),0)</f>
        <v>#N/A</v>
      </c>
      <c r="AD1534" s="104" t="e">
        <f t="shared" si="679"/>
        <v>#N/A</v>
      </c>
      <c r="AE1534" s="104" t="e">
        <f t="shared" si="680"/>
        <v>#N/A</v>
      </c>
      <c r="AF1534" s="104" t="e">
        <f>IF(AND(VLOOKUP($D1534,Merchantability!$B:$C,2,0)="Yes",$E1534&gt;=VLOOKUP($D1534,Merchantability!$B:$D,3,0),$E1534&lt;=VLOOKUP($D1534,Merchantability!$B:$E,4,0)),AA1534,0)</f>
        <v>#N/A</v>
      </c>
      <c r="AG1534" s="104" t="e">
        <f>IF(AND(VLOOKUP($D1534,Merchantability!$B:$C,2,0)="Yes",$E1534&gt;=VLOOKUP($D1534,Merchantability!$B:$D,3,0),$E1534&lt;=VLOOKUP($D1534,Merchantability!$B:$E,4,0)),AB1534,0)</f>
        <v>#N/A</v>
      </c>
      <c r="AH1534" s="104" t="e">
        <f>IF(AND(VLOOKUP($D1534,Merchantability!$B:$C,2,0)="Yes",$E1534&gt;=VLOOKUP($D1534,Merchantability!$B:$D,3,0),$E1534&lt;=VLOOKUP($D1534,Merchantability!$B:$E,4,0)),AC1534,0)</f>
        <v>#N/A</v>
      </c>
      <c r="AI1534" s="104" t="e">
        <f t="shared" si="681"/>
        <v>#N/A</v>
      </c>
      <c r="AJ1534" s="104" t="e">
        <f t="shared" si="682"/>
        <v>#VALUE!</v>
      </c>
      <c r="AK1534" s="104" t="e">
        <f t="shared" si="683"/>
        <v>#N/A</v>
      </c>
      <c r="AL1534" s="104" t="e">
        <f t="shared" si="684"/>
        <v>#N/A</v>
      </c>
      <c r="AM1534" s="104" t="e">
        <f t="shared" si="685"/>
        <v>#N/A</v>
      </c>
      <c r="AN1534" s="104" t="e">
        <f t="shared" si="669"/>
        <v>#N/A</v>
      </c>
      <c r="AO1534" s="104" t="e">
        <f t="shared" si="670"/>
        <v>#N/A</v>
      </c>
      <c r="AP1534" s="104" t="e">
        <f t="shared" si="671"/>
        <v>#N/A</v>
      </c>
      <c r="AQ1534" s="104" t="e">
        <f t="shared" si="672"/>
        <v>#N/A</v>
      </c>
      <c r="AR1534" s="105" t="str">
        <f t="shared" si="664"/>
        <v/>
      </c>
      <c r="AS1534" s="105" t="str">
        <f t="shared" si="665"/>
        <v/>
      </c>
      <c r="AT1534" s="108" t="str">
        <f t="shared" si="666"/>
        <v/>
      </c>
      <c r="AU1534" s="108" t="str">
        <f t="shared" si="667"/>
        <v/>
      </c>
      <c r="AV1534" s="107" t="str">
        <f>IF(ISNUMBER(O1534),IF(VLOOKUP($A1534,Stand!C:J,8,FALSE)="Short",AT1534,AU1534),"")</f>
        <v/>
      </c>
      <c r="AW1534" s="109" t="str">
        <f t="shared" si="673"/>
        <v/>
      </c>
      <c r="AX1534" s="109" t="str">
        <f t="shared" si="674"/>
        <v/>
      </c>
      <c r="AY1534" s="112" t="str">
        <f>IF(ISNUMBER(O1534),IF(AND(VLOOKUP($D1534,Merchantability!$B:$C,2,0)="Yes",$E1534&gt;=VLOOKUP($D1534,Merchantability!$B:$D,3,0),$E1534&lt;=VLOOKUP($D1534,Merchantability!$B:$E,4,0)),(AV1534*O1534)*(1-$H1534/100),""),"")</f>
        <v/>
      </c>
      <c r="AZ1534" s="116"/>
      <c r="BA1534" s="116"/>
      <c r="BB1534" s="116"/>
      <c r="BE1534" s="62"/>
      <c r="BF1534" s="63"/>
    </row>
    <row r="1535" spans="1:58" ht="12.75" customHeight="1" x14ac:dyDescent="0.25">
      <c r="A1535" s="333"/>
      <c r="B1535" s="334"/>
      <c r="C1535" s="332"/>
      <c r="D1535" s="334"/>
      <c r="E1535" s="335"/>
      <c r="F1535" s="334"/>
      <c r="G1535" s="332"/>
      <c r="H1535" s="332"/>
      <c r="I1535" s="334"/>
      <c r="J1535" s="336"/>
      <c r="K1535" s="332"/>
      <c r="L1535" s="332"/>
      <c r="M1535" s="76"/>
      <c r="N1535" s="103" t="str">
        <f>IF(A1535="","",VLOOKUP(A1535,Stand!C:K,9,0))</f>
        <v/>
      </c>
      <c r="O1535" s="104" t="str">
        <f t="shared" si="659"/>
        <v/>
      </c>
      <c r="P1535" s="105" t="str">
        <f t="shared" si="660"/>
        <v/>
      </c>
      <c r="Q1535" s="105" t="str">
        <f t="shared" si="675"/>
        <v/>
      </c>
      <c r="R1535" s="103" t="str">
        <f t="shared" si="661"/>
        <v/>
      </c>
      <c r="S1535" s="103" t="str">
        <f t="shared" si="662"/>
        <v/>
      </c>
      <c r="T1535" s="106" t="str">
        <f t="shared" si="676"/>
        <v/>
      </c>
      <c r="U1535" s="106" t="str">
        <f t="shared" si="677"/>
        <v/>
      </c>
      <c r="V1535" s="106" t="str">
        <f t="shared" si="678"/>
        <v/>
      </c>
      <c r="W1535" s="105" t="str">
        <f t="shared" si="663"/>
        <v/>
      </c>
      <c r="X1535" s="104" t="str">
        <f t="shared" si="668"/>
        <v/>
      </c>
      <c r="Y1535" s="104" t="str">
        <f t="array" ref="Y1535">IFERROR(IF(ISNUMBER(O1535),IF(COUNT(IF(A1535=$A$2:$A$2427,IF(D1535=$D$2:$D$2427,IF($X$2:$X$2427&gt;0,1))))&gt;0,SUM(IF(A1535=$A$2:$A$2427,IF(D1535=$D$2:$D$2427,$X$2:$X$2427)))/COUNT(IF(A1535=$A$2:$A$2427,IF(D1535=$D$2:$D$2427,IF(ISNUMBER($X$2:$X$2427),1)))),0),""),0)</f>
        <v/>
      </c>
      <c r="Z1535" s="104" t="str">
        <f>IF(ISNUMBER(O1535),IF(I1535&gt;0,(10^(VLOOKUP(D1535,'Species Codes'!B:C,2,0)+VLOOKUP(D1535,'Species Codes'!B:D,3,0)*LOG(E1535)+VLOOKUP(D1535,'Species Codes'!B:E,4,0)*LOG(I1535))),0),"")</f>
        <v/>
      </c>
      <c r="AA1535" s="104" t="str">
        <f>IFERROR((VLOOKUP(D1535,'Species Codes'!B:G,6,0)*Z1535)/2000,"")</f>
        <v/>
      </c>
      <c r="AB1535" s="104" t="e">
        <f>IF(Z1535&gt;0,((IF(OR(D1535="DF",D1535="RA")=TRUE,EXP(VLOOKUP(D1535,'Species Codes'!B:I,8,0)+VLOOKUP(D1535,'Species Codes'!B:J,9,0)*(LN((E1535*2.54)))),IF(OR(D1535="PY",D1535="RC",D1535="WH",D1535="NF")=TRUE,VLOOKUP(D1535,'Species Codes'!B:I,8,0)+VLOOKUP(D1535,'Species Codes'!B:J,9,0)*((E1535*2.54)^2)*(I1535*0.3048),IF(OR(D1535="MD",D1535="BM",D1535="GA")=TRUE,((VLOOKUP(D1535,'Species Codes'!B:I,8,0)*(((((E1535*2.54)+VLOOKUP(D1535,'Species Codes'!B:J,9,0))/VLOOKUP(D1535,'Species Codes'!B:K,10,0))^VLOOKUP(D1535,'Species Codes'!B:L,11,0))*((I1535*0.3048)^VLOOKUP(D1535,'Species Codes'!B:M,12,0))))-(VLOOKUP(D1535,'Species Codes'!B:I,8,0)*((((E1535*2.54)^VLOOKUP(D1535,'Species Codes'!B:L,11,0))*((I1535*0.3048)^VLOOKUP(D1535,'Species Codes'!B:M,12,0))))))*35.3*VLOOKUP(D1535,'Species Codes'!B:G,6,0)/2.2046,VLOOKUP(D1535,'Species Codes'!B:I,8,0)+VLOOKUP(D1535,'Species Codes'!B:J,9,0)*(((E1535*2.54)/100)^2)*(I1535*0.3048)))))*0.0011023),0)</f>
        <v>#N/A</v>
      </c>
      <c r="AC1535" s="104" t="e">
        <f>IF(Z1535&gt;0,((IF(OR(D1535="RA",D1535="OA",D1535="OT",D1535="UN",D1535="PC"),EXP(VLOOKUP(D1535,'Species Codes'!B:O,14,0)+VLOOKUP(D1535,'Species Codes'!B:P,15,0)*LN((E1535*2.54)))-EXP(VLOOKUP(D1535,'Species Codes'!B:O,14,0)+VLOOKUP(D1535,'Species Codes'!B:P,15,0)*LN((E1535*2.54)))*(1/(VLOOKUP(D1535,'Species Codes'!B:Q,16,0)+VLOOKUP(D1535,'Species Codes'!B:R,17,0)*((E1535*2.54)^VLOOKUP(D1535,'Species Codes'!B:S,18,0)))),IF(OR(D1535="BM",D1535="MD",D1535="OA"),EXP(VLOOKUP(D1535,'Species Codes'!B:O,14,0)+VLOOKUP(D1535,'Species Codes'!B:P,15,0)*LN((E1535*2.54)))*(1-(1/(VLOOKUP(D1535,'Species Codes'!B:Q,16,0)+VLOOKUP(D1535,'Species Codes'!B:R,17,0)*((E1535*2.54)^VLOOKUP(D1535,'Species Codes'!B:S,18,0)))))/1000,IF(D1535="DF",EXP(VLOOKUP(D1535,'Species Codes'!B:O,14,0)+VLOOKUP(D1535,'Species Codes'!B:P,15,0)*LN((E1535*2.54))),VLOOKUP(D1535,'Species Codes'!B:O,14,0)+VLOOKUP(D1535,'Species Codes'!B:P,15,0)*(((E1535*2.54)/100)^2)*(I1535*0.3048)))))*0.0011023),0)</f>
        <v>#N/A</v>
      </c>
      <c r="AD1535" s="104" t="e">
        <f t="shared" si="679"/>
        <v>#N/A</v>
      </c>
      <c r="AE1535" s="104" t="e">
        <f t="shared" si="680"/>
        <v>#N/A</v>
      </c>
      <c r="AF1535" s="104" t="e">
        <f>IF(AND(VLOOKUP($D1535,Merchantability!$B:$C,2,0)="Yes",$E1535&gt;=VLOOKUP($D1535,Merchantability!$B:$D,3,0),$E1535&lt;=VLOOKUP($D1535,Merchantability!$B:$E,4,0)),AA1535,0)</f>
        <v>#N/A</v>
      </c>
      <c r="AG1535" s="104" t="e">
        <f>IF(AND(VLOOKUP($D1535,Merchantability!$B:$C,2,0)="Yes",$E1535&gt;=VLOOKUP($D1535,Merchantability!$B:$D,3,0),$E1535&lt;=VLOOKUP($D1535,Merchantability!$B:$E,4,0)),AB1535,0)</f>
        <v>#N/A</v>
      </c>
      <c r="AH1535" s="104" t="e">
        <f>IF(AND(VLOOKUP($D1535,Merchantability!$B:$C,2,0)="Yes",$E1535&gt;=VLOOKUP($D1535,Merchantability!$B:$D,3,0),$E1535&lt;=VLOOKUP($D1535,Merchantability!$B:$E,4,0)),AC1535,0)</f>
        <v>#N/A</v>
      </c>
      <c r="AI1535" s="104" t="e">
        <f t="shared" si="681"/>
        <v>#N/A</v>
      </c>
      <c r="AJ1535" s="104" t="e">
        <f t="shared" si="682"/>
        <v>#VALUE!</v>
      </c>
      <c r="AK1535" s="104" t="e">
        <f t="shared" si="683"/>
        <v>#N/A</v>
      </c>
      <c r="AL1535" s="104" t="e">
        <f t="shared" si="684"/>
        <v>#N/A</v>
      </c>
      <c r="AM1535" s="104" t="e">
        <f t="shared" si="685"/>
        <v>#N/A</v>
      </c>
      <c r="AN1535" s="104" t="e">
        <f t="shared" si="669"/>
        <v>#N/A</v>
      </c>
      <c r="AO1535" s="104" t="e">
        <f t="shared" si="670"/>
        <v>#N/A</v>
      </c>
      <c r="AP1535" s="104" t="e">
        <f t="shared" si="671"/>
        <v>#N/A</v>
      </c>
      <c r="AQ1535" s="104" t="e">
        <f t="shared" si="672"/>
        <v>#N/A</v>
      </c>
      <c r="AR1535" s="105" t="str">
        <f t="shared" si="664"/>
        <v/>
      </c>
      <c r="AS1535" s="105" t="str">
        <f t="shared" si="665"/>
        <v/>
      </c>
      <c r="AT1535" s="108" t="str">
        <f t="shared" si="666"/>
        <v/>
      </c>
      <c r="AU1535" s="108" t="str">
        <f t="shared" si="667"/>
        <v/>
      </c>
      <c r="AV1535" s="107" t="str">
        <f>IF(ISNUMBER(O1535),IF(VLOOKUP($A1535,Stand!C:J,8,FALSE)="Short",AT1535,AU1535),"")</f>
        <v/>
      </c>
      <c r="AW1535" s="109" t="str">
        <f t="shared" si="673"/>
        <v/>
      </c>
      <c r="AX1535" s="109" t="str">
        <f t="shared" si="674"/>
        <v/>
      </c>
      <c r="AY1535" s="112" t="str">
        <f>IF(ISNUMBER(O1535),IF(AND(VLOOKUP($D1535,Merchantability!$B:$C,2,0)="Yes",$E1535&gt;=VLOOKUP($D1535,Merchantability!$B:$D,3,0),$E1535&lt;=VLOOKUP($D1535,Merchantability!$B:$E,4,0)),(AV1535*O1535)*(1-$H1535/100),""),"")</f>
        <v/>
      </c>
      <c r="AZ1535" s="116"/>
      <c r="BA1535" s="116"/>
      <c r="BB1535" s="116"/>
      <c r="BE1535" s="62"/>
      <c r="BF1535" s="63"/>
    </row>
    <row r="1536" spans="1:58" ht="12.75" customHeight="1" x14ac:dyDescent="0.25">
      <c r="A1536" s="333"/>
      <c r="B1536" s="334"/>
      <c r="C1536" s="332"/>
      <c r="D1536" s="334"/>
      <c r="E1536" s="335"/>
      <c r="F1536" s="334"/>
      <c r="G1536" s="332"/>
      <c r="H1536" s="332"/>
      <c r="I1536" s="334"/>
      <c r="J1536" s="336"/>
      <c r="K1536" s="332"/>
      <c r="L1536" s="332"/>
      <c r="M1536" s="76"/>
      <c r="N1536" s="103" t="str">
        <f>IF(A1536="","",VLOOKUP(A1536,Stand!C:K,9,0))</f>
        <v/>
      </c>
      <c r="O1536" s="104" t="str">
        <f t="shared" si="659"/>
        <v/>
      </c>
      <c r="P1536" s="105" t="str">
        <f t="shared" si="660"/>
        <v/>
      </c>
      <c r="Q1536" s="105" t="str">
        <f t="shared" si="675"/>
        <v/>
      </c>
      <c r="R1536" s="103" t="str">
        <f t="shared" si="661"/>
        <v/>
      </c>
      <c r="S1536" s="103" t="str">
        <f t="shared" si="662"/>
        <v/>
      </c>
      <c r="T1536" s="106" t="str">
        <f t="shared" si="676"/>
        <v/>
      </c>
      <c r="U1536" s="106" t="str">
        <f t="shared" si="677"/>
        <v/>
      </c>
      <c r="V1536" s="106" t="str">
        <f t="shared" si="678"/>
        <v/>
      </c>
      <c r="W1536" s="105" t="str">
        <f t="shared" si="663"/>
        <v/>
      </c>
      <c r="X1536" s="104" t="str">
        <f t="shared" si="668"/>
        <v/>
      </c>
      <c r="Y1536" s="104" t="str">
        <f t="array" ref="Y1536">IFERROR(IF(ISNUMBER(O1536),IF(COUNT(IF(A1536=$A$2:$A$2427,IF(D1536=$D$2:$D$2427,IF($X$2:$X$2427&gt;0,1))))&gt;0,SUM(IF(A1536=$A$2:$A$2427,IF(D1536=$D$2:$D$2427,$X$2:$X$2427)))/COUNT(IF(A1536=$A$2:$A$2427,IF(D1536=$D$2:$D$2427,IF(ISNUMBER($X$2:$X$2427),1)))),0),""),0)</f>
        <v/>
      </c>
      <c r="Z1536" s="104" t="str">
        <f>IF(ISNUMBER(O1536),IF(I1536&gt;0,(10^(VLOOKUP(D1536,'Species Codes'!B:C,2,0)+VLOOKUP(D1536,'Species Codes'!B:D,3,0)*LOG(E1536)+VLOOKUP(D1536,'Species Codes'!B:E,4,0)*LOG(I1536))),0),"")</f>
        <v/>
      </c>
      <c r="AA1536" s="104" t="str">
        <f>IFERROR((VLOOKUP(D1536,'Species Codes'!B:G,6,0)*Z1536)/2000,"")</f>
        <v/>
      </c>
      <c r="AB1536" s="104" t="e">
        <f>IF(Z1536&gt;0,((IF(OR(D1536="DF",D1536="RA")=TRUE,EXP(VLOOKUP(D1536,'Species Codes'!B:I,8,0)+VLOOKUP(D1536,'Species Codes'!B:J,9,0)*(LN((E1536*2.54)))),IF(OR(D1536="PY",D1536="RC",D1536="WH",D1536="NF")=TRUE,VLOOKUP(D1536,'Species Codes'!B:I,8,0)+VLOOKUP(D1536,'Species Codes'!B:J,9,0)*((E1536*2.54)^2)*(I1536*0.3048),IF(OR(D1536="MD",D1536="BM",D1536="GA")=TRUE,((VLOOKUP(D1536,'Species Codes'!B:I,8,0)*(((((E1536*2.54)+VLOOKUP(D1536,'Species Codes'!B:J,9,0))/VLOOKUP(D1536,'Species Codes'!B:K,10,0))^VLOOKUP(D1536,'Species Codes'!B:L,11,0))*((I1536*0.3048)^VLOOKUP(D1536,'Species Codes'!B:M,12,0))))-(VLOOKUP(D1536,'Species Codes'!B:I,8,0)*((((E1536*2.54)^VLOOKUP(D1536,'Species Codes'!B:L,11,0))*((I1536*0.3048)^VLOOKUP(D1536,'Species Codes'!B:M,12,0))))))*35.3*VLOOKUP(D1536,'Species Codes'!B:G,6,0)/2.2046,VLOOKUP(D1536,'Species Codes'!B:I,8,0)+VLOOKUP(D1536,'Species Codes'!B:J,9,0)*(((E1536*2.54)/100)^2)*(I1536*0.3048)))))*0.0011023),0)</f>
        <v>#N/A</v>
      </c>
      <c r="AC1536" s="104" t="e">
        <f>IF(Z1536&gt;0,((IF(OR(D1536="RA",D1536="OA",D1536="OT",D1536="UN",D1536="PC"),EXP(VLOOKUP(D1536,'Species Codes'!B:O,14,0)+VLOOKUP(D1536,'Species Codes'!B:P,15,0)*LN((E1536*2.54)))-EXP(VLOOKUP(D1536,'Species Codes'!B:O,14,0)+VLOOKUP(D1536,'Species Codes'!B:P,15,0)*LN((E1536*2.54)))*(1/(VLOOKUP(D1536,'Species Codes'!B:Q,16,0)+VLOOKUP(D1536,'Species Codes'!B:R,17,0)*((E1536*2.54)^VLOOKUP(D1536,'Species Codes'!B:S,18,0)))),IF(OR(D1536="BM",D1536="MD",D1536="OA"),EXP(VLOOKUP(D1536,'Species Codes'!B:O,14,0)+VLOOKUP(D1536,'Species Codes'!B:P,15,0)*LN((E1536*2.54)))*(1-(1/(VLOOKUP(D1536,'Species Codes'!B:Q,16,0)+VLOOKUP(D1536,'Species Codes'!B:R,17,0)*((E1536*2.54)^VLOOKUP(D1536,'Species Codes'!B:S,18,0)))))/1000,IF(D1536="DF",EXP(VLOOKUP(D1536,'Species Codes'!B:O,14,0)+VLOOKUP(D1536,'Species Codes'!B:P,15,0)*LN((E1536*2.54))),VLOOKUP(D1536,'Species Codes'!B:O,14,0)+VLOOKUP(D1536,'Species Codes'!B:P,15,0)*(((E1536*2.54)/100)^2)*(I1536*0.3048)))))*0.0011023),0)</f>
        <v>#N/A</v>
      </c>
      <c r="AD1536" s="104" t="e">
        <f t="shared" si="679"/>
        <v>#N/A</v>
      </c>
      <c r="AE1536" s="104" t="e">
        <f t="shared" si="680"/>
        <v>#N/A</v>
      </c>
      <c r="AF1536" s="104" t="e">
        <f>IF(AND(VLOOKUP($D1536,Merchantability!$B:$C,2,0)="Yes",$E1536&gt;=VLOOKUP($D1536,Merchantability!$B:$D,3,0),$E1536&lt;=VLOOKUP($D1536,Merchantability!$B:$E,4,0)),AA1536,0)</f>
        <v>#N/A</v>
      </c>
      <c r="AG1536" s="104" t="e">
        <f>IF(AND(VLOOKUP($D1536,Merchantability!$B:$C,2,0)="Yes",$E1536&gt;=VLOOKUP($D1536,Merchantability!$B:$D,3,0),$E1536&lt;=VLOOKUP($D1536,Merchantability!$B:$E,4,0)),AB1536,0)</f>
        <v>#N/A</v>
      </c>
      <c r="AH1536" s="104" t="e">
        <f>IF(AND(VLOOKUP($D1536,Merchantability!$B:$C,2,0)="Yes",$E1536&gt;=VLOOKUP($D1536,Merchantability!$B:$D,3,0),$E1536&lt;=VLOOKUP($D1536,Merchantability!$B:$E,4,0)),AC1536,0)</f>
        <v>#N/A</v>
      </c>
      <c r="AI1536" s="104" t="e">
        <f t="shared" si="681"/>
        <v>#N/A</v>
      </c>
      <c r="AJ1536" s="104" t="e">
        <f t="shared" si="682"/>
        <v>#VALUE!</v>
      </c>
      <c r="AK1536" s="104" t="e">
        <f t="shared" si="683"/>
        <v>#N/A</v>
      </c>
      <c r="AL1536" s="104" t="e">
        <f t="shared" si="684"/>
        <v>#N/A</v>
      </c>
      <c r="AM1536" s="104" t="e">
        <f t="shared" si="685"/>
        <v>#N/A</v>
      </c>
      <c r="AN1536" s="104" t="e">
        <f t="shared" si="669"/>
        <v>#N/A</v>
      </c>
      <c r="AO1536" s="104" t="e">
        <f t="shared" si="670"/>
        <v>#N/A</v>
      </c>
      <c r="AP1536" s="104" t="e">
        <f t="shared" si="671"/>
        <v>#N/A</v>
      </c>
      <c r="AQ1536" s="104" t="e">
        <f t="shared" si="672"/>
        <v>#N/A</v>
      </c>
      <c r="AR1536" s="105" t="str">
        <f t="shared" si="664"/>
        <v/>
      </c>
      <c r="AS1536" s="105" t="str">
        <f t="shared" si="665"/>
        <v/>
      </c>
      <c r="AT1536" s="108" t="str">
        <f t="shared" si="666"/>
        <v/>
      </c>
      <c r="AU1536" s="108" t="str">
        <f t="shared" si="667"/>
        <v/>
      </c>
      <c r="AV1536" s="107" t="str">
        <f>IF(ISNUMBER(O1536),IF(VLOOKUP($A1536,Stand!C:J,8,FALSE)="Short",AT1536,AU1536),"")</f>
        <v/>
      </c>
      <c r="AW1536" s="109" t="str">
        <f t="shared" si="673"/>
        <v/>
      </c>
      <c r="AX1536" s="109" t="str">
        <f t="shared" si="674"/>
        <v/>
      </c>
      <c r="AY1536" s="112" t="str">
        <f>IF(ISNUMBER(O1536),IF(AND(VLOOKUP($D1536,Merchantability!$B:$C,2,0)="Yes",$E1536&gt;=VLOOKUP($D1536,Merchantability!$B:$D,3,0),$E1536&lt;=VLOOKUP($D1536,Merchantability!$B:$E,4,0)),(AV1536*O1536)*(1-$H1536/100),""),"")</f>
        <v/>
      </c>
      <c r="AZ1536" s="116"/>
      <c r="BA1536" s="116"/>
      <c r="BB1536" s="116"/>
      <c r="BE1536" s="62"/>
      <c r="BF1536" s="63"/>
    </row>
    <row r="1537" spans="1:58" ht="12.75" customHeight="1" x14ac:dyDescent="0.25">
      <c r="A1537" s="333"/>
      <c r="B1537" s="334"/>
      <c r="C1537" s="332"/>
      <c r="D1537" s="334"/>
      <c r="E1537" s="335"/>
      <c r="F1537" s="334"/>
      <c r="G1537" s="332"/>
      <c r="H1537" s="332"/>
      <c r="I1537" s="334"/>
      <c r="J1537" s="336"/>
      <c r="K1537" s="332"/>
      <c r="L1537" s="332"/>
      <c r="M1537" s="76"/>
      <c r="N1537" s="103" t="str">
        <f>IF(A1537="","",VLOOKUP(A1537,Stand!C:K,9,0))</f>
        <v/>
      </c>
      <c r="O1537" s="104" t="str">
        <f t="shared" si="659"/>
        <v/>
      </c>
      <c r="P1537" s="105" t="str">
        <f t="shared" si="660"/>
        <v/>
      </c>
      <c r="Q1537" s="105" t="str">
        <f t="shared" si="675"/>
        <v/>
      </c>
      <c r="R1537" s="103" t="str">
        <f t="shared" si="661"/>
        <v/>
      </c>
      <c r="S1537" s="103" t="str">
        <f t="shared" si="662"/>
        <v/>
      </c>
      <c r="T1537" s="106" t="str">
        <f t="shared" si="676"/>
        <v/>
      </c>
      <c r="U1537" s="106" t="str">
        <f t="shared" si="677"/>
        <v/>
      </c>
      <c r="V1537" s="106" t="str">
        <f t="shared" si="678"/>
        <v/>
      </c>
      <c r="W1537" s="105" t="str">
        <f t="shared" si="663"/>
        <v/>
      </c>
      <c r="X1537" s="104" t="str">
        <f t="shared" si="668"/>
        <v/>
      </c>
      <c r="Y1537" s="104" t="str">
        <f t="array" ref="Y1537">IFERROR(IF(ISNUMBER(O1537),IF(COUNT(IF(A1537=$A$2:$A$2427,IF(D1537=$D$2:$D$2427,IF($X$2:$X$2427&gt;0,1))))&gt;0,SUM(IF(A1537=$A$2:$A$2427,IF(D1537=$D$2:$D$2427,$X$2:$X$2427)))/COUNT(IF(A1537=$A$2:$A$2427,IF(D1537=$D$2:$D$2427,IF(ISNUMBER($X$2:$X$2427),1)))),0),""),0)</f>
        <v/>
      </c>
      <c r="Z1537" s="104" t="str">
        <f>IF(ISNUMBER(O1537),IF(I1537&gt;0,(10^(VLOOKUP(D1537,'Species Codes'!B:C,2,0)+VLOOKUP(D1537,'Species Codes'!B:D,3,0)*LOG(E1537)+VLOOKUP(D1537,'Species Codes'!B:E,4,0)*LOG(I1537))),0),"")</f>
        <v/>
      </c>
      <c r="AA1537" s="104" t="str">
        <f>IFERROR((VLOOKUP(D1537,'Species Codes'!B:G,6,0)*Z1537)/2000,"")</f>
        <v/>
      </c>
      <c r="AB1537" s="104" t="e">
        <f>IF(Z1537&gt;0,((IF(OR(D1537="DF",D1537="RA")=TRUE,EXP(VLOOKUP(D1537,'Species Codes'!B:I,8,0)+VLOOKUP(D1537,'Species Codes'!B:J,9,0)*(LN((E1537*2.54)))),IF(OR(D1537="PY",D1537="RC",D1537="WH",D1537="NF")=TRUE,VLOOKUP(D1537,'Species Codes'!B:I,8,0)+VLOOKUP(D1537,'Species Codes'!B:J,9,0)*((E1537*2.54)^2)*(I1537*0.3048),IF(OR(D1537="MD",D1537="BM",D1537="GA")=TRUE,((VLOOKUP(D1537,'Species Codes'!B:I,8,0)*(((((E1537*2.54)+VLOOKUP(D1537,'Species Codes'!B:J,9,0))/VLOOKUP(D1537,'Species Codes'!B:K,10,0))^VLOOKUP(D1537,'Species Codes'!B:L,11,0))*((I1537*0.3048)^VLOOKUP(D1537,'Species Codes'!B:M,12,0))))-(VLOOKUP(D1537,'Species Codes'!B:I,8,0)*((((E1537*2.54)^VLOOKUP(D1537,'Species Codes'!B:L,11,0))*((I1537*0.3048)^VLOOKUP(D1537,'Species Codes'!B:M,12,0))))))*35.3*VLOOKUP(D1537,'Species Codes'!B:G,6,0)/2.2046,VLOOKUP(D1537,'Species Codes'!B:I,8,0)+VLOOKUP(D1537,'Species Codes'!B:J,9,0)*(((E1537*2.54)/100)^2)*(I1537*0.3048)))))*0.0011023),0)</f>
        <v>#N/A</v>
      </c>
      <c r="AC1537" s="104" t="e">
        <f>IF(Z1537&gt;0,((IF(OR(D1537="RA",D1537="OA",D1537="OT",D1537="UN",D1537="PC"),EXP(VLOOKUP(D1537,'Species Codes'!B:O,14,0)+VLOOKUP(D1537,'Species Codes'!B:P,15,0)*LN((E1537*2.54)))-EXP(VLOOKUP(D1537,'Species Codes'!B:O,14,0)+VLOOKUP(D1537,'Species Codes'!B:P,15,0)*LN((E1537*2.54)))*(1/(VLOOKUP(D1537,'Species Codes'!B:Q,16,0)+VLOOKUP(D1537,'Species Codes'!B:R,17,0)*((E1537*2.54)^VLOOKUP(D1537,'Species Codes'!B:S,18,0)))),IF(OR(D1537="BM",D1537="MD",D1537="OA"),EXP(VLOOKUP(D1537,'Species Codes'!B:O,14,0)+VLOOKUP(D1537,'Species Codes'!B:P,15,0)*LN((E1537*2.54)))*(1-(1/(VLOOKUP(D1537,'Species Codes'!B:Q,16,0)+VLOOKUP(D1537,'Species Codes'!B:R,17,0)*((E1537*2.54)^VLOOKUP(D1537,'Species Codes'!B:S,18,0)))))/1000,IF(D1537="DF",EXP(VLOOKUP(D1537,'Species Codes'!B:O,14,0)+VLOOKUP(D1537,'Species Codes'!B:P,15,0)*LN((E1537*2.54))),VLOOKUP(D1537,'Species Codes'!B:O,14,0)+VLOOKUP(D1537,'Species Codes'!B:P,15,0)*(((E1537*2.54)/100)^2)*(I1537*0.3048)))))*0.0011023),0)</f>
        <v>#N/A</v>
      </c>
      <c r="AD1537" s="104" t="e">
        <f t="shared" si="679"/>
        <v>#N/A</v>
      </c>
      <c r="AE1537" s="104" t="e">
        <f t="shared" si="680"/>
        <v>#N/A</v>
      </c>
      <c r="AF1537" s="104" t="e">
        <f>IF(AND(VLOOKUP($D1537,Merchantability!$B:$C,2,0)="Yes",$E1537&gt;=VLOOKUP($D1537,Merchantability!$B:$D,3,0),$E1537&lt;=VLOOKUP($D1537,Merchantability!$B:$E,4,0)),AA1537,0)</f>
        <v>#N/A</v>
      </c>
      <c r="AG1537" s="104" t="e">
        <f>IF(AND(VLOOKUP($D1537,Merchantability!$B:$C,2,0)="Yes",$E1537&gt;=VLOOKUP($D1537,Merchantability!$B:$D,3,0),$E1537&lt;=VLOOKUP($D1537,Merchantability!$B:$E,4,0)),AB1537,0)</f>
        <v>#N/A</v>
      </c>
      <c r="AH1537" s="104" t="e">
        <f>IF(AND(VLOOKUP($D1537,Merchantability!$B:$C,2,0)="Yes",$E1537&gt;=VLOOKUP($D1537,Merchantability!$B:$D,3,0),$E1537&lt;=VLOOKUP($D1537,Merchantability!$B:$E,4,0)),AC1537,0)</f>
        <v>#N/A</v>
      </c>
      <c r="AI1537" s="104" t="e">
        <f t="shared" si="681"/>
        <v>#N/A</v>
      </c>
      <c r="AJ1537" s="104" t="e">
        <f t="shared" si="682"/>
        <v>#VALUE!</v>
      </c>
      <c r="AK1537" s="104" t="e">
        <f t="shared" si="683"/>
        <v>#N/A</v>
      </c>
      <c r="AL1537" s="104" t="e">
        <f t="shared" si="684"/>
        <v>#N/A</v>
      </c>
      <c r="AM1537" s="104" t="e">
        <f t="shared" si="685"/>
        <v>#N/A</v>
      </c>
      <c r="AN1537" s="104" t="e">
        <f t="shared" si="669"/>
        <v>#N/A</v>
      </c>
      <c r="AO1537" s="104" t="e">
        <f t="shared" si="670"/>
        <v>#N/A</v>
      </c>
      <c r="AP1537" s="104" t="e">
        <f t="shared" si="671"/>
        <v>#N/A</v>
      </c>
      <c r="AQ1537" s="104" t="e">
        <f t="shared" si="672"/>
        <v>#N/A</v>
      </c>
      <c r="AR1537" s="105" t="str">
        <f t="shared" si="664"/>
        <v/>
      </c>
      <c r="AS1537" s="105" t="str">
        <f t="shared" si="665"/>
        <v/>
      </c>
      <c r="AT1537" s="108" t="str">
        <f t="shared" si="666"/>
        <v/>
      </c>
      <c r="AU1537" s="108" t="str">
        <f t="shared" si="667"/>
        <v/>
      </c>
      <c r="AV1537" s="107" t="str">
        <f>IF(ISNUMBER(O1537),IF(VLOOKUP($A1537,Stand!C:J,8,FALSE)="Short",AT1537,AU1537),"")</f>
        <v/>
      </c>
      <c r="AW1537" s="109" t="str">
        <f t="shared" si="673"/>
        <v/>
      </c>
      <c r="AX1537" s="109" t="str">
        <f t="shared" si="674"/>
        <v/>
      </c>
      <c r="AY1537" s="112" t="str">
        <f>IF(ISNUMBER(O1537),IF(AND(VLOOKUP($D1537,Merchantability!$B:$C,2,0)="Yes",$E1537&gt;=VLOOKUP($D1537,Merchantability!$B:$D,3,0),$E1537&lt;=VLOOKUP($D1537,Merchantability!$B:$E,4,0)),(AV1537*O1537)*(1-$H1537/100),""),"")</f>
        <v/>
      </c>
      <c r="AZ1537" s="116"/>
      <c r="BA1537" s="116"/>
      <c r="BB1537" s="116"/>
      <c r="BE1537" s="62"/>
      <c r="BF1537" s="63"/>
    </row>
    <row r="1538" spans="1:58" ht="12.75" customHeight="1" x14ac:dyDescent="0.25">
      <c r="A1538" s="333"/>
      <c r="B1538" s="334"/>
      <c r="C1538" s="332"/>
      <c r="D1538" s="334"/>
      <c r="E1538" s="335"/>
      <c r="F1538" s="334"/>
      <c r="G1538" s="332"/>
      <c r="H1538" s="332"/>
      <c r="I1538" s="334"/>
      <c r="J1538" s="336"/>
      <c r="K1538" s="332"/>
      <c r="L1538" s="332"/>
      <c r="M1538" s="76"/>
      <c r="N1538" s="103" t="str">
        <f>IF(A1538="","",VLOOKUP(A1538,Stand!C:K,9,0))</f>
        <v/>
      </c>
      <c r="O1538" s="104" t="str">
        <f t="shared" ref="O1538:O1601" si="686">IF(E1538&gt;0,IF(G1538&gt;1,G1538*(43560/(N1538^2*3.14)),43560/(N1538^2*3.14)),"")</f>
        <v/>
      </c>
      <c r="P1538" s="105" t="str">
        <f t="shared" ref="P1538:P1601" si="687">IF(ISNUMBER(O1538),E1538*O1538,"")</f>
        <v/>
      </c>
      <c r="Q1538" s="105" t="str">
        <f t="shared" si="675"/>
        <v/>
      </c>
      <c r="R1538" s="103" t="str">
        <f t="shared" ref="R1538:R1601" si="688">IF(ISNUMBER(O1538),E1538^2*0.005454*O1538,"")</f>
        <v/>
      </c>
      <c r="S1538" s="103" t="str">
        <f t="shared" ref="S1538:S1601" si="689">IF(ISNUMBER(O1538),(E1538/10)^1.7*O1538,"")</f>
        <v/>
      </c>
      <c r="T1538" s="106" t="str">
        <f t="shared" si="676"/>
        <v/>
      </c>
      <c r="U1538" s="106" t="str">
        <f t="shared" si="677"/>
        <v/>
      </c>
      <c r="V1538" s="106" t="str">
        <f t="shared" si="678"/>
        <v/>
      </c>
      <c r="W1538" s="105" t="str">
        <f t="shared" ref="W1538:W1601" si="690">IF(AND(ISNUMBER(O1538),I1538&gt;0),I1538/(E1538/12),"")</f>
        <v/>
      </c>
      <c r="X1538" s="104" t="str">
        <f t="shared" si="668"/>
        <v/>
      </c>
      <c r="Y1538" s="104" t="str">
        <f t="array" ref="Y1538">IFERROR(IF(ISNUMBER(O1538),IF(COUNT(IF(A1538=$A$2:$A$2427,IF(D1538=$D$2:$D$2427,IF($X$2:$X$2427&gt;0,1))))&gt;0,SUM(IF(A1538=$A$2:$A$2427,IF(D1538=$D$2:$D$2427,$X$2:$X$2427)))/COUNT(IF(A1538=$A$2:$A$2427,IF(D1538=$D$2:$D$2427,IF(ISNUMBER($X$2:$X$2427),1)))),0),""),0)</f>
        <v/>
      </c>
      <c r="Z1538" s="104" t="str">
        <f>IF(ISNUMBER(O1538),IF(I1538&gt;0,(10^(VLOOKUP(D1538,'Species Codes'!B:C,2,0)+VLOOKUP(D1538,'Species Codes'!B:D,3,0)*LOG(E1538)+VLOOKUP(D1538,'Species Codes'!B:E,4,0)*LOG(I1538))),0),"")</f>
        <v/>
      </c>
      <c r="AA1538" s="104" t="str">
        <f>IFERROR((VLOOKUP(D1538,'Species Codes'!B:G,6,0)*Z1538)/2000,"")</f>
        <v/>
      </c>
      <c r="AB1538" s="104" t="e">
        <f>IF(Z1538&gt;0,((IF(OR(D1538="DF",D1538="RA")=TRUE,EXP(VLOOKUP(D1538,'Species Codes'!B:I,8,0)+VLOOKUP(D1538,'Species Codes'!B:J,9,0)*(LN((E1538*2.54)))),IF(OR(D1538="PY",D1538="RC",D1538="WH",D1538="NF")=TRUE,VLOOKUP(D1538,'Species Codes'!B:I,8,0)+VLOOKUP(D1538,'Species Codes'!B:J,9,0)*((E1538*2.54)^2)*(I1538*0.3048),IF(OR(D1538="MD",D1538="BM",D1538="GA")=TRUE,((VLOOKUP(D1538,'Species Codes'!B:I,8,0)*(((((E1538*2.54)+VLOOKUP(D1538,'Species Codes'!B:J,9,0))/VLOOKUP(D1538,'Species Codes'!B:K,10,0))^VLOOKUP(D1538,'Species Codes'!B:L,11,0))*((I1538*0.3048)^VLOOKUP(D1538,'Species Codes'!B:M,12,0))))-(VLOOKUP(D1538,'Species Codes'!B:I,8,0)*((((E1538*2.54)^VLOOKUP(D1538,'Species Codes'!B:L,11,0))*((I1538*0.3048)^VLOOKUP(D1538,'Species Codes'!B:M,12,0))))))*35.3*VLOOKUP(D1538,'Species Codes'!B:G,6,0)/2.2046,VLOOKUP(D1538,'Species Codes'!B:I,8,0)+VLOOKUP(D1538,'Species Codes'!B:J,9,0)*(((E1538*2.54)/100)^2)*(I1538*0.3048)))))*0.0011023),0)</f>
        <v>#N/A</v>
      </c>
      <c r="AC1538" s="104" t="e">
        <f>IF(Z1538&gt;0,((IF(OR(D1538="RA",D1538="OA",D1538="OT",D1538="UN",D1538="PC"),EXP(VLOOKUP(D1538,'Species Codes'!B:O,14,0)+VLOOKUP(D1538,'Species Codes'!B:P,15,0)*LN((E1538*2.54)))-EXP(VLOOKUP(D1538,'Species Codes'!B:O,14,0)+VLOOKUP(D1538,'Species Codes'!B:P,15,0)*LN((E1538*2.54)))*(1/(VLOOKUP(D1538,'Species Codes'!B:Q,16,0)+VLOOKUP(D1538,'Species Codes'!B:R,17,0)*((E1538*2.54)^VLOOKUP(D1538,'Species Codes'!B:S,18,0)))),IF(OR(D1538="BM",D1538="MD",D1538="OA"),EXP(VLOOKUP(D1538,'Species Codes'!B:O,14,0)+VLOOKUP(D1538,'Species Codes'!B:P,15,0)*LN((E1538*2.54)))*(1-(1/(VLOOKUP(D1538,'Species Codes'!B:Q,16,0)+VLOOKUP(D1538,'Species Codes'!B:R,17,0)*((E1538*2.54)^VLOOKUP(D1538,'Species Codes'!B:S,18,0)))))/1000,IF(D1538="DF",EXP(VLOOKUP(D1538,'Species Codes'!B:O,14,0)+VLOOKUP(D1538,'Species Codes'!B:P,15,0)*LN((E1538*2.54))),VLOOKUP(D1538,'Species Codes'!B:O,14,0)+VLOOKUP(D1538,'Species Codes'!B:P,15,0)*(((E1538*2.54)/100)^2)*(I1538*0.3048)))))*0.0011023),0)</f>
        <v>#N/A</v>
      </c>
      <c r="AD1538" s="104" t="e">
        <f t="shared" si="679"/>
        <v>#N/A</v>
      </c>
      <c r="AE1538" s="104" t="e">
        <f t="shared" si="680"/>
        <v>#N/A</v>
      </c>
      <c r="AF1538" s="104" t="e">
        <f>IF(AND(VLOOKUP($D1538,Merchantability!$B:$C,2,0)="Yes",$E1538&gt;=VLOOKUP($D1538,Merchantability!$B:$D,3,0),$E1538&lt;=VLOOKUP($D1538,Merchantability!$B:$E,4,0)),AA1538,0)</f>
        <v>#N/A</v>
      </c>
      <c r="AG1538" s="104" t="e">
        <f>IF(AND(VLOOKUP($D1538,Merchantability!$B:$C,2,0)="Yes",$E1538&gt;=VLOOKUP($D1538,Merchantability!$B:$D,3,0),$E1538&lt;=VLOOKUP($D1538,Merchantability!$B:$E,4,0)),AB1538,0)</f>
        <v>#N/A</v>
      </c>
      <c r="AH1538" s="104" t="e">
        <f>IF(AND(VLOOKUP($D1538,Merchantability!$B:$C,2,0)="Yes",$E1538&gt;=VLOOKUP($D1538,Merchantability!$B:$D,3,0),$E1538&lt;=VLOOKUP($D1538,Merchantability!$B:$E,4,0)),AC1538,0)</f>
        <v>#N/A</v>
      </c>
      <c r="AI1538" s="104" t="e">
        <f t="shared" si="681"/>
        <v>#N/A</v>
      </c>
      <c r="AJ1538" s="104" t="e">
        <f t="shared" si="682"/>
        <v>#VALUE!</v>
      </c>
      <c r="AK1538" s="104" t="e">
        <f t="shared" si="683"/>
        <v>#N/A</v>
      </c>
      <c r="AL1538" s="104" t="e">
        <f t="shared" si="684"/>
        <v>#N/A</v>
      </c>
      <c r="AM1538" s="104" t="e">
        <f t="shared" si="685"/>
        <v>#N/A</v>
      </c>
      <c r="AN1538" s="104" t="e">
        <f t="shared" si="669"/>
        <v>#N/A</v>
      </c>
      <c r="AO1538" s="104" t="e">
        <f t="shared" si="670"/>
        <v>#N/A</v>
      </c>
      <c r="AP1538" s="104" t="e">
        <f t="shared" si="671"/>
        <v>#N/A</v>
      </c>
      <c r="AQ1538" s="104" t="e">
        <f t="shared" si="672"/>
        <v>#N/A</v>
      </c>
      <c r="AR1538" s="105" t="str">
        <f t="shared" ref="AR1538:AR1601" si="691">IF(ISNUMBER(O1538),IF(Y1538&gt;0,((Y1538*(E1538^2*0.005454-0.087266))/0.912733),0),"")</f>
        <v/>
      </c>
      <c r="AS1538" s="105" t="str">
        <f t="shared" ref="AS1538:AS1601" si="692">IF(ISNUMBER(O1538),AR1538*(0.993-0.993*(0.62^(E1538-6))),"")</f>
        <v/>
      </c>
      <c r="AT1538" s="108" t="str">
        <f t="shared" ref="AT1538:AT1601" si="693">IF(ISNUMBER(O1538),IF(AS1538&gt;0,IF(Y1538&gt;0,(AS1538*10^(0.174439+0.117594*(LOG(E1538,10))*(LOG(Y1538/0.912733,10))-8.210585/E1538^2+0.236693*(LOG(Y1538/0.912733,10))-0.00001345*(Y1538/0.912733)^2-0.00001937*E1538^2)),0),0),"")</f>
        <v/>
      </c>
      <c r="AU1538" s="108" t="str">
        <f t="shared" ref="AU1538:AU1601" si="694">IF(ISNUMBER(O1538),IF(AS1538&gt;0,IF(Y1538&gt;0,AT1538*(1.001491-(6.92497/Y1538)+(0.00001351*(E1538^2))),0),0),"")</f>
        <v/>
      </c>
      <c r="AV1538" s="107" t="str">
        <f>IF(ISNUMBER(O1538),IF(VLOOKUP($A1538,Stand!C:J,8,FALSE)="Short",AT1538,AU1538),"")</f>
        <v/>
      </c>
      <c r="AW1538" s="109" t="str">
        <f t="shared" si="673"/>
        <v/>
      </c>
      <c r="AX1538" s="109" t="str">
        <f t="shared" si="674"/>
        <v/>
      </c>
      <c r="AY1538" s="112" t="str">
        <f>IF(ISNUMBER(O1538),IF(AND(VLOOKUP($D1538,Merchantability!$B:$C,2,0)="Yes",$E1538&gt;=VLOOKUP($D1538,Merchantability!$B:$D,3,0),$E1538&lt;=VLOOKUP($D1538,Merchantability!$B:$E,4,0)),(AV1538*O1538)*(1-$H1538/100),""),"")</f>
        <v/>
      </c>
      <c r="AZ1538" s="116"/>
      <c r="BA1538" s="116"/>
      <c r="BB1538" s="116"/>
      <c r="BE1538" s="62"/>
      <c r="BF1538" s="63"/>
    </row>
    <row r="1539" spans="1:58" ht="12.75" customHeight="1" x14ac:dyDescent="0.25">
      <c r="A1539" s="333"/>
      <c r="B1539" s="334"/>
      <c r="C1539" s="332"/>
      <c r="D1539" s="334"/>
      <c r="E1539" s="335"/>
      <c r="F1539" s="334"/>
      <c r="G1539" s="332"/>
      <c r="H1539" s="332"/>
      <c r="I1539" s="334"/>
      <c r="J1539" s="336"/>
      <c r="K1539" s="332"/>
      <c r="L1539" s="332"/>
      <c r="M1539" s="76"/>
      <c r="N1539" s="103" t="str">
        <f>IF(A1539="","",VLOOKUP(A1539,Stand!C:K,9,0))</f>
        <v/>
      </c>
      <c r="O1539" s="104" t="str">
        <f t="shared" si="686"/>
        <v/>
      </c>
      <c r="P1539" s="105" t="str">
        <f t="shared" si="687"/>
        <v/>
      </c>
      <c r="Q1539" s="105" t="str">
        <f t="shared" si="675"/>
        <v/>
      </c>
      <c r="R1539" s="103" t="str">
        <f t="shared" si="688"/>
        <v/>
      </c>
      <c r="S1539" s="103" t="str">
        <f t="shared" si="689"/>
        <v/>
      </c>
      <c r="T1539" s="106" t="str">
        <f t="shared" si="676"/>
        <v/>
      </c>
      <c r="U1539" s="106" t="str">
        <f t="shared" si="677"/>
        <v/>
      </c>
      <c r="V1539" s="106" t="str">
        <f t="shared" si="678"/>
        <v/>
      </c>
      <c r="W1539" s="105" t="str">
        <f t="shared" si="690"/>
        <v/>
      </c>
      <c r="X1539" s="104" t="str">
        <f t="shared" ref="X1539:X1602" si="695">IF(ISNUMBER(O1539),IF(I1539&gt;0,IF(E1539&gt;0,(0.912733*Z1539)/(1.033*(1+1.382937*EXP(-4.015292*E1539/10))*((E1539^2)*0.005454+0.087266)-0.174533),""),""),"")</f>
        <v/>
      </c>
      <c r="Y1539" s="104" t="str">
        <f t="array" ref="Y1539">IFERROR(IF(ISNUMBER(O1539),IF(COUNT(IF(A1539=$A$2:$A$2427,IF(D1539=$D$2:$D$2427,IF($X$2:$X$2427&gt;0,1))))&gt;0,SUM(IF(A1539=$A$2:$A$2427,IF(D1539=$D$2:$D$2427,$X$2:$X$2427)))/COUNT(IF(A1539=$A$2:$A$2427,IF(D1539=$D$2:$D$2427,IF(ISNUMBER($X$2:$X$2427),1)))),0),""),0)</f>
        <v/>
      </c>
      <c r="Z1539" s="104" t="str">
        <f>IF(ISNUMBER(O1539),IF(I1539&gt;0,(10^(VLOOKUP(D1539,'Species Codes'!B:C,2,0)+VLOOKUP(D1539,'Species Codes'!B:D,3,0)*LOG(E1539)+VLOOKUP(D1539,'Species Codes'!B:E,4,0)*LOG(I1539))),0),"")</f>
        <v/>
      </c>
      <c r="AA1539" s="104" t="str">
        <f>IFERROR((VLOOKUP(D1539,'Species Codes'!B:G,6,0)*Z1539)/2000,"")</f>
        <v/>
      </c>
      <c r="AB1539" s="104" t="e">
        <f>IF(Z1539&gt;0,((IF(OR(D1539="DF",D1539="RA")=TRUE,EXP(VLOOKUP(D1539,'Species Codes'!B:I,8,0)+VLOOKUP(D1539,'Species Codes'!B:J,9,0)*(LN((E1539*2.54)))),IF(OR(D1539="PY",D1539="RC",D1539="WH",D1539="NF")=TRUE,VLOOKUP(D1539,'Species Codes'!B:I,8,0)+VLOOKUP(D1539,'Species Codes'!B:J,9,0)*((E1539*2.54)^2)*(I1539*0.3048),IF(OR(D1539="MD",D1539="BM",D1539="GA")=TRUE,((VLOOKUP(D1539,'Species Codes'!B:I,8,0)*(((((E1539*2.54)+VLOOKUP(D1539,'Species Codes'!B:J,9,0))/VLOOKUP(D1539,'Species Codes'!B:K,10,0))^VLOOKUP(D1539,'Species Codes'!B:L,11,0))*((I1539*0.3048)^VLOOKUP(D1539,'Species Codes'!B:M,12,0))))-(VLOOKUP(D1539,'Species Codes'!B:I,8,0)*((((E1539*2.54)^VLOOKUP(D1539,'Species Codes'!B:L,11,0))*((I1539*0.3048)^VLOOKUP(D1539,'Species Codes'!B:M,12,0))))))*35.3*VLOOKUP(D1539,'Species Codes'!B:G,6,0)/2.2046,VLOOKUP(D1539,'Species Codes'!B:I,8,0)+VLOOKUP(D1539,'Species Codes'!B:J,9,0)*(((E1539*2.54)/100)^2)*(I1539*0.3048)))))*0.0011023),0)</f>
        <v>#N/A</v>
      </c>
      <c r="AC1539" s="104" t="e">
        <f>IF(Z1539&gt;0,((IF(OR(D1539="RA",D1539="OA",D1539="OT",D1539="UN",D1539="PC"),EXP(VLOOKUP(D1539,'Species Codes'!B:O,14,0)+VLOOKUP(D1539,'Species Codes'!B:P,15,0)*LN((E1539*2.54)))-EXP(VLOOKUP(D1539,'Species Codes'!B:O,14,0)+VLOOKUP(D1539,'Species Codes'!B:P,15,0)*LN((E1539*2.54)))*(1/(VLOOKUP(D1539,'Species Codes'!B:Q,16,0)+VLOOKUP(D1539,'Species Codes'!B:R,17,0)*((E1539*2.54)^VLOOKUP(D1539,'Species Codes'!B:S,18,0)))),IF(OR(D1539="BM",D1539="MD",D1539="OA"),EXP(VLOOKUP(D1539,'Species Codes'!B:O,14,0)+VLOOKUP(D1539,'Species Codes'!B:P,15,0)*LN((E1539*2.54)))*(1-(1/(VLOOKUP(D1539,'Species Codes'!B:Q,16,0)+VLOOKUP(D1539,'Species Codes'!B:R,17,0)*((E1539*2.54)^VLOOKUP(D1539,'Species Codes'!B:S,18,0)))))/1000,IF(D1539="DF",EXP(VLOOKUP(D1539,'Species Codes'!B:O,14,0)+VLOOKUP(D1539,'Species Codes'!B:P,15,0)*LN((E1539*2.54))),VLOOKUP(D1539,'Species Codes'!B:O,14,0)+VLOOKUP(D1539,'Species Codes'!B:P,15,0)*(((E1539*2.54)/100)^2)*(I1539*0.3048)))))*0.0011023),0)</f>
        <v>#N/A</v>
      </c>
      <c r="AD1539" s="104" t="e">
        <f t="shared" si="679"/>
        <v>#N/A</v>
      </c>
      <c r="AE1539" s="104" t="e">
        <f t="shared" si="680"/>
        <v>#N/A</v>
      </c>
      <c r="AF1539" s="104" t="e">
        <f>IF(AND(VLOOKUP($D1539,Merchantability!$B:$C,2,0)="Yes",$E1539&gt;=VLOOKUP($D1539,Merchantability!$B:$D,3,0),$E1539&lt;=VLOOKUP($D1539,Merchantability!$B:$E,4,0)),AA1539,0)</f>
        <v>#N/A</v>
      </c>
      <c r="AG1539" s="104" t="e">
        <f>IF(AND(VLOOKUP($D1539,Merchantability!$B:$C,2,0)="Yes",$E1539&gt;=VLOOKUP($D1539,Merchantability!$B:$D,3,0),$E1539&lt;=VLOOKUP($D1539,Merchantability!$B:$E,4,0)),AB1539,0)</f>
        <v>#N/A</v>
      </c>
      <c r="AH1539" s="104" t="e">
        <f>IF(AND(VLOOKUP($D1539,Merchantability!$B:$C,2,0)="Yes",$E1539&gt;=VLOOKUP($D1539,Merchantability!$B:$D,3,0),$E1539&lt;=VLOOKUP($D1539,Merchantability!$B:$E,4,0)),AC1539,0)</f>
        <v>#N/A</v>
      </c>
      <c r="AI1539" s="104" t="e">
        <f t="shared" si="681"/>
        <v>#N/A</v>
      </c>
      <c r="AJ1539" s="104" t="e">
        <f t="shared" si="682"/>
        <v>#VALUE!</v>
      </c>
      <c r="AK1539" s="104" t="e">
        <f t="shared" si="683"/>
        <v>#N/A</v>
      </c>
      <c r="AL1539" s="104" t="e">
        <f t="shared" si="684"/>
        <v>#N/A</v>
      </c>
      <c r="AM1539" s="104" t="e">
        <f t="shared" si="685"/>
        <v>#N/A</v>
      </c>
      <c r="AN1539" s="104" t="e">
        <f t="shared" ref="AN1539:AN1602" si="696">AF1539*$O1539</f>
        <v>#N/A</v>
      </c>
      <c r="AO1539" s="104" t="e">
        <f t="shared" ref="AO1539:AO1602" si="697">AG1539*$O1539</f>
        <v>#N/A</v>
      </c>
      <c r="AP1539" s="104" t="e">
        <f t="shared" ref="AP1539:AP1602" si="698">AH1539*$O1539</f>
        <v>#N/A</v>
      </c>
      <c r="AQ1539" s="104" t="e">
        <f t="shared" ref="AQ1539:AQ1602" si="699">SUM(AN1539:AP1539)</f>
        <v>#N/A</v>
      </c>
      <c r="AR1539" s="105" t="str">
        <f t="shared" si="691"/>
        <v/>
      </c>
      <c r="AS1539" s="105" t="str">
        <f t="shared" si="692"/>
        <v/>
      </c>
      <c r="AT1539" s="108" t="str">
        <f t="shared" si="693"/>
        <v/>
      </c>
      <c r="AU1539" s="108" t="str">
        <f t="shared" si="694"/>
        <v/>
      </c>
      <c r="AV1539" s="107" t="str">
        <f>IF(ISNUMBER(O1539),IF(VLOOKUP($A1539,Stand!C:J,8,FALSE)="Short",AT1539,AU1539),"")</f>
        <v/>
      </c>
      <c r="AW1539" s="109" t="str">
        <f t="shared" ref="AW1539:AW1602" si="700">IF(ISNUMBER(O1539),AV1539*O1539,"")</f>
        <v/>
      </c>
      <c r="AX1539" s="109" t="str">
        <f t="shared" ref="AX1539:AX1602" si="701">IF(ISNUMBER(O1539),AW1539*(1-$H1539/100),"")</f>
        <v/>
      </c>
      <c r="AY1539" s="112" t="str">
        <f>IF(ISNUMBER(O1539),IF(AND(VLOOKUP($D1539,Merchantability!$B:$C,2,0)="Yes",$E1539&gt;=VLOOKUP($D1539,Merchantability!$B:$D,3,0),$E1539&lt;=VLOOKUP($D1539,Merchantability!$B:$E,4,0)),(AV1539*O1539)*(1-$H1539/100),""),"")</f>
        <v/>
      </c>
      <c r="AZ1539" s="116"/>
      <c r="BA1539" s="116"/>
      <c r="BB1539" s="116"/>
      <c r="BE1539" s="62"/>
      <c r="BF1539" s="63"/>
    </row>
    <row r="1540" spans="1:58" ht="12.75" customHeight="1" x14ac:dyDescent="0.25">
      <c r="A1540" s="333"/>
      <c r="B1540" s="334"/>
      <c r="C1540" s="332"/>
      <c r="D1540" s="334"/>
      <c r="E1540" s="335"/>
      <c r="F1540" s="334"/>
      <c r="G1540" s="332"/>
      <c r="H1540" s="332"/>
      <c r="I1540" s="334"/>
      <c r="J1540" s="336"/>
      <c r="K1540" s="332"/>
      <c r="L1540" s="332"/>
      <c r="M1540" s="76"/>
      <c r="N1540" s="103" t="str">
        <f>IF(A1540="","",VLOOKUP(A1540,Stand!C:K,9,0))</f>
        <v/>
      </c>
      <c r="O1540" s="104" t="str">
        <f t="shared" si="686"/>
        <v/>
      </c>
      <c r="P1540" s="105" t="str">
        <f t="shared" si="687"/>
        <v/>
      </c>
      <c r="Q1540" s="105" t="str">
        <f t="shared" si="675"/>
        <v/>
      </c>
      <c r="R1540" s="103" t="str">
        <f t="shared" si="688"/>
        <v/>
      </c>
      <c r="S1540" s="103" t="str">
        <f t="shared" si="689"/>
        <v/>
      </c>
      <c r="T1540" s="106" t="str">
        <f t="shared" si="676"/>
        <v/>
      </c>
      <c r="U1540" s="106" t="str">
        <f t="shared" si="677"/>
        <v/>
      </c>
      <c r="V1540" s="106" t="str">
        <f t="shared" si="678"/>
        <v/>
      </c>
      <c r="W1540" s="105" t="str">
        <f t="shared" si="690"/>
        <v/>
      </c>
      <c r="X1540" s="104" t="str">
        <f t="shared" si="695"/>
        <v/>
      </c>
      <c r="Y1540" s="104" t="str">
        <f t="array" ref="Y1540">IFERROR(IF(ISNUMBER(O1540),IF(COUNT(IF(A1540=$A$2:$A$2427,IF(D1540=$D$2:$D$2427,IF($X$2:$X$2427&gt;0,1))))&gt;0,SUM(IF(A1540=$A$2:$A$2427,IF(D1540=$D$2:$D$2427,$X$2:$X$2427)))/COUNT(IF(A1540=$A$2:$A$2427,IF(D1540=$D$2:$D$2427,IF(ISNUMBER($X$2:$X$2427),1)))),0),""),0)</f>
        <v/>
      </c>
      <c r="Z1540" s="104" t="str">
        <f>IF(ISNUMBER(O1540),IF(I1540&gt;0,(10^(VLOOKUP(D1540,'Species Codes'!B:C,2,0)+VLOOKUP(D1540,'Species Codes'!B:D,3,0)*LOG(E1540)+VLOOKUP(D1540,'Species Codes'!B:E,4,0)*LOG(I1540))),0),"")</f>
        <v/>
      </c>
      <c r="AA1540" s="104" t="str">
        <f>IFERROR((VLOOKUP(D1540,'Species Codes'!B:G,6,0)*Z1540)/2000,"")</f>
        <v/>
      </c>
      <c r="AB1540" s="104" t="e">
        <f>IF(Z1540&gt;0,((IF(OR(D1540="DF",D1540="RA")=TRUE,EXP(VLOOKUP(D1540,'Species Codes'!B:I,8,0)+VLOOKUP(D1540,'Species Codes'!B:J,9,0)*(LN((E1540*2.54)))),IF(OR(D1540="PY",D1540="RC",D1540="WH",D1540="NF")=TRUE,VLOOKUP(D1540,'Species Codes'!B:I,8,0)+VLOOKUP(D1540,'Species Codes'!B:J,9,0)*((E1540*2.54)^2)*(I1540*0.3048),IF(OR(D1540="MD",D1540="BM",D1540="GA")=TRUE,((VLOOKUP(D1540,'Species Codes'!B:I,8,0)*(((((E1540*2.54)+VLOOKUP(D1540,'Species Codes'!B:J,9,0))/VLOOKUP(D1540,'Species Codes'!B:K,10,0))^VLOOKUP(D1540,'Species Codes'!B:L,11,0))*((I1540*0.3048)^VLOOKUP(D1540,'Species Codes'!B:M,12,0))))-(VLOOKUP(D1540,'Species Codes'!B:I,8,0)*((((E1540*2.54)^VLOOKUP(D1540,'Species Codes'!B:L,11,0))*((I1540*0.3048)^VLOOKUP(D1540,'Species Codes'!B:M,12,0))))))*35.3*VLOOKUP(D1540,'Species Codes'!B:G,6,0)/2.2046,VLOOKUP(D1540,'Species Codes'!B:I,8,0)+VLOOKUP(D1540,'Species Codes'!B:J,9,0)*(((E1540*2.54)/100)^2)*(I1540*0.3048)))))*0.0011023),0)</f>
        <v>#N/A</v>
      </c>
      <c r="AC1540" s="104" t="e">
        <f>IF(Z1540&gt;0,((IF(OR(D1540="RA",D1540="OA",D1540="OT",D1540="UN",D1540="PC"),EXP(VLOOKUP(D1540,'Species Codes'!B:O,14,0)+VLOOKUP(D1540,'Species Codes'!B:P,15,0)*LN((E1540*2.54)))-EXP(VLOOKUP(D1540,'Species Codes'!B:O,14,0)+VLOOKUP(D1540,'Species Codes'!B:P,15,0)*LN((E1540*2.54)))*(1/(VLOOKUP(D1540,'Species Codes'!B:Q,16,0)+VLOOKUP(D1540,'Species Codes'!B:R,17,0)*((E1540*2.54)^VLOOKUP(D1540,'Species Codes'!B:S,18,0)))),IF(OR(D1540="BM",D1540="MD",D1540="OA"),EXP(VLOOKUP(D1540,'Species Codes'!B:O,14,0)+VLOOKUP(D1540,'Species Codes'!B:P,15,0)*LN((E1540*2.54)))*(1-(1/(VLOOKUP(D1540,'Species Codes'!B:Q,16,0)+VLOOKUP(D1540,'Species Codes'!B:R,17,0)*((E1540*2.54)^VLOOKUP(D1540,'Species Codes'!B:S,18,0)))))/1000,IF(D1540="DF",EXP(VLOOKUP(D1540,'Species Codes'!B:O,14,0)+VLOOKUP(D1540,'Species Codes'!B:P,15,0)*LN((E1540*2.54))),VLOOKUP(D1540,'Species Codes'!B:O,14,0)+VLOOKUP(D1540,'Species Codes'!B:P,15,0)*(((E1540*2.54)/100)^2)*(I1540*0.3048)))))*0.0011023),0)</f>
        <v>#N/A</v>
      </c>
      <c r="AD1540" s="104" t="e">
        <f t="shared" si="679"/>
        <v>#N/A</v>
      </c>
      <c r="AE1540" s="104" t="e">
        <f t="shared" si="680"/>
        <v>#N/A</v>
      </c>
      <c r="AF1540" s="104" t="e">
        <f>IF(AND(VLOOKUP($D1540,Merchantability!$B:$C,2,0)="Yes",$E1540&gt;=VLOOKUP($D1540,Merchantability!$B:$D,3,0),$E1540&lt;=VLOOKUP($D1540,Merchantability!$B:$E,4,0)),AA1540,0)</f>
        <v>#N/A</v>
      </c>
      <c r="AG1540" s="104" t="e">
        <f>IF(AND(VLOOKUP($D1540,Merchantability!$B:$C,2,0)="Yes",$E1540&gt;=VLOOKUP($D1540,Merchantability!$B:$D,3,0),$E1540&lt;=VLOOKUP($D1540,Merchantability!$B:$E,4,0)),AB1540,0)</f>
        <v>#N/A</v>
      </c>
      <c r="AH1540" s="104" t="e">
        <f>IF(AND(VLOOKUP($D1540,Merchantability!$B:$C,2,0)="Yes",$E1540&gt;=VLOOKUP($D1540,Merchantability!$B:$D,3,0),$E1540&lt;=VLOOKUP($D1540,Merchantability!$B:$E,4,0)),AC1540,0)</f>
        <v>#N/A</v>
      </c>
      <c r="AI1540" s="104" t="e">
        <f t="shared" si="681"/>
        <v>#N/A</v>
      </c>
      <c r="AJ1540" s="104" t="e">
        <f t="shared" si="682"/>
        <v>#VALUE!</v>
      </c>
      <c r="AK1540" s="104" t="e">
        <f t="shared" si="683"/>
        <v>#N/A</v>
      </c>
      <c r="AL1540" s="104" t="e">
        <f t="shared" si="684"/>
        <v>#N/A</v>
      </c>
      <c r="AM1540" s="104" t="e">
        <f t="shared" si="685"/>
        <v>#N/A</v>
      </c>
      <c r="AN1540" s="104" t="e">
        <f t="shared" si="696"/>
        <v>#N/A</v>
      </c>
      <c r="AO1540" s="104" t="e">
        <f t="shared" si="697"/>
        <v>#N/A</v>
      </c>
      <c r="AP1540" s="104" t="e">
        <f t="shared" si="698"/>
        <v>#N/A</v>
      </c>
      <c r="AQ1540" s="104" t="e">
        <f t="shared" si="699"/>
        <v>#N/A</v>
      </c>
      <c r="AR1540" s="105" t="str">
        <f t="shared" si="691"/>
        <v/>
      </c>
      <c r="AS1540" s="105" t="str">
        <f t="shared" si="692"/>
        <v/>
      </c>
      <c r="AT1540" s="108" t="str">
        <f t="shared" si="693"/>
        <v/>
      </c>
      <c r="AU1540" s="108" t="str">
        <f t="shared" si="694"/>
        <v/>
      </c>
      <c r="AV1540" s="107" t="str">
        <f>IF(ISNUMBER(O1540),IF(VLOOKUP($A1540,Stand!C:J,8,FALSE)="Short",AT1540,AU1540),"")</f>
        <v/>
      </c>
      <c r="AW1540" s="109" t="str">
        <f t="shared" si="700"/>
        <v/>
      </c>
      <c r="AX1540" s="109" t="str">
        <f t="shared" si="701"/>
        <v/>
      </c>
      <c r="AY1540" s="112" t="str">
        <f>IF(ISNUMBER(O1540),IF(AND(VLOOKUP($D1540,Merchantability!$B:$C,2,0)="Yes",$E1540&gt;=VLOOKUP($D1540,Merchantability!$B:$D,3,0),$E1540&lt;=VLOOKUP($D1540,Merchantability!$B:$E,4,0)),(AV1540*O1540)*(1-$H1540/100),""),"")</f>
        <v/>
      </c>
      <c r="AZ1540" s="116"/>
      <c r="BA1540" s="116"/>
      <c r="BB1540" s="116"/>
      <c r="BE1540" s="62"/>
      <c r="BF1540" s="63"/>
    </row>
    <row r="1541" spans="1:58" ht="12.75" customHeight="1" x14ac:dyDescent="0.25">
      <c r="A1541" s="333"/>
      <c r="B1541" s="334"/>
      <c r="C1541" s="332"/>
      <c r="D1541" s="334"/>
      <c r="E1541" s="335"/>
      <c r="F1541" s="334"/>
      <c r="G1541" s="332"/>
      <c r="H1541" s="332"/>
      <c r="I1541" s="334"/>
      <c r="J1541" s="336"/>
      <c r="K1541" s="332"/>
      <c r="L1541" s="332"/>
      <c r="M1541" s="76"/>
      <c r="N1541" s="103" t="str">
        <f>IF(A1541="","",VLOOKUP(A1541,Stand!C:K,9,0))</f>
        <v/>
      </c>
      <c r="O1541" s="104" t="str">
        <f t="shared" si="686"/>
        <v/>
      </c>
      <c r="P1541" s="105" t="str">
        <f t="shared" si="687"/>
        <v/>
      </c>
      <c r="Q1541" s="105" t="str">
        <f t="shared" si="675"/>
        <v/>
      </c>
      <c r="R1541" s="103" t="str">
        <f t="shared" si="688"/>
        <v/>
      </c>
      <c r="S1541" s="103" t="str">
        <f t="shared" si="689"/>
        <v/>
      </c>
      <c r="T1541" s="106" t="str">
        <f t="shared" si="676"/>
        <v/>
      </c>
      <c r="U1541" s="106" t="str">
        <f t="shared" si="677"/>
        <v/>
      </c>
      <c r="V1541" s="106" t="str">
        <f t="shared" si="678"/>
        <v/>
      </c>
      <c r="W1541" s="105" t="str">
        <f t="shared" si="690"/>
        <v/>
      </c>
      <c r="X1541" s="104" t="str">
        <f t="shared" si="695"/>
        <v/>
      </c>
      <c r="Y1541" s="104" t="str">
        <f t="array" ref="Y1541">IFERROR(IF(ISNUMBER(O1541),IF(COUNT(IF(A1541=$A$2:$A$2427,IF(D1541=$D$2:$D$2427,IF($X$2:$X$2427&gt;0,1))))&gt;0,SUM(IF(A1541=$A$2:$A$2427,IF(D1541=$D$2:$D$2427,$X$2:$X$2427)))/COUNT(IF(A1541=$A$2:$A$2427,IF(D1541=$D$2:$D$2427,IF(ISNUMBER($X$2:$X$2427),1)))),0),""),0)</f>
        <v/>
      </c>
      <c r="Z1541" s="104" t="str">
        <f>IF(ISNUMBER(O1541),IF(I1541&gt;0,(10^(VLOOKUP(D1541,'Species Codes'!B:C,2,0)+VLOOKUP(D1541,'Species Codes'!B:D,3,0)*LOG(E1541)+VLOOKUP(D1541,'Species Codes'!B:E,4,0)*LOG(I1541))),0),"")</f>
        <v/>
      </c>
      <c r="AA1541" s="104" t="str">
        <f>IFERROR((VLOOKUP(D1541,'Species Codes'!B:G,6,0)*Z1541)/2000,"")</f>
        <v/>
      </c>
      <c r="AB1541" s="104" t="e">
        <f>IF(Z1541&gt;0,((IF(OR(D1541="DF",D1541="RA")=TRUE,EXP(VLOOKUP(D1541,'Species Codes'!B:I,8,0)+VLOOKUP(D1541,'Species Codes'!B:J,9,0)*(LN((E1541*2.54)))),IF(OR(D1541="PY",D1541="RC",D1541="WH",D1541="NF")=TRUE,VLOOKUP(D1541,'Species Codes'!B:I,8,0)+VLOOKUP(D1541,'Species Codes'!B:J,9,0)*((E1541*2.54)^2)*(I1541*0.3048),IF(OR(D1541="MD",D1541="BM",D1541="GA")=TRUE,((VLOOKUP(D1541,'Species Codes'!B:I,8,0)*(((((E1541*2.54)+VLOOKUP(D1541,'Species Codes'!B:J,9,0))/VLOOKUP(D1541,'Species Codes'!B:K,10,0))^VLOOKUP(D1541,'Species Codes'!B:L,11,0))*((I1541*0.3048)^VLOOKUP(D1541,'Species Codes'!B:M,12,0))))-(VLOOKUP(D1541,'Species Codes'!B:I,8,0)*((((E1541*2.54)^VLOOKUP(D1541,'Species Codes'!B:L,11,0))*((I1541*0.3048)^VLOOKUP(D1541,'Species Codes'!B:M,12,0))))))*35.3*VLOOKUP(D1541,'Species Codes'!B:G,6,0)/2.2046,VLOOKUP(D1541,'Species Codes'!B:I,8,0)+VLOOKUP(D1541,'Species Codes'!B:J,9,0)*(((E1541*2.54)/100)^2)*(I1541*0.3048)))))*0.0011023),0)</f>
        <v>#N/A</v>
      </c>
      <c r="AC1541" s="104" t="e">
        <f>IF(Z1541&gt;0,((IF(OR(D1541="RA",D1541="OA",D1541="OT",D1541="UN",D1541="PC"),EXP(VLOOKUP(D1541,'Species Codes'!B:O,14,0)+VLOOKUP(D1541,'Species Codes'!B:P,15,0)*LN((E1541*2.54)))-EXP(VLOOKUP(D1541,'Species Codes'!B:O,14,0)+VLOOKUP(D1541,'Species Codes'!B:P,15,0)*LN((E1541*2.54)))*(1/(VLOOKUP(D1541,'Species Codes'!B:Q,16,0)+VLOOKUP(D1541,'Species Codes'!B:R,17,0)*((E1541*2.54)^VLOOKUP(D1541,'Species Codes'!B:S,18,0)))),IF(OR(D1541="BM",D1541="MD",D1541="OA"),EXP(VLOOKUP(D1541,'Species Codes'!B:O,14,0)+VLOOKUP(D1541,'Species Codes'!B:P,15,0)*LN((E1541*2.54)))*(1-(1/(VLOOKUP(D1541,'Species Codes'!B:Q,16,0)+VLOOKUP(D1541,'Species Codes'!B:R,17,0)*((E1541*2.54)^VLOOKUP(D1541,'Species Codes'!B:S,18,0)))))/1000,IF(D1541="DF",EXP(VLOOKUP(D1541,'Species Codes'!B:O,14,0)+VLOOKUP(D1541,'Species Codes'!B:P,15,0)*LN((E1541*2.54))),VLOOKUP(D1541,'Species Codes'!B:O,14,0)+VLOOKUP(D1541,'Species Codes'!B:P,15,0)*(((E1541*2.54)/100)^2)*(I1541*0.3048)))))*0.0011023),0)</f>
        <v>#N/A</v>
      </c>
      <c r="AD1541" s="104" t="e">
        <f t="shared" si="679"/>
        <v>#N/A</v>
      </c>
      <c r="AE1541" s="104" t="e">
        <f t="shared" si="680"/>
        <v>#N/A</v>
      </c>
      <c r="AF1541" s="104" t="e">
        <f>IF(AND(VLOOKUP($D1541,Merchantability!$B:$C,2,0)="Yes",$E1541&gt;=VLOOKUP($D1541,Merchantability!$B:$D,3,0),$E1541&lt;=VLOOKUP($D1541,Merchantability!$B:$E,4,0)),AA1541,0)</f>
        <v>#N/A</v>
      </c>
      <c r="AG1541" s="104" t="e">
        <f>IF(AND(VLOOKUP($D1541,Merchantability!$B:$C,2,0)="Yes",$E1541&gt;=VLOOKUP($D1541,Merchantability!$B:$D,3,0),$E1541&lt;=VLOOKUP($D1541,Merchantability!$B:$E,4,0)),AB1541,0)</f>
        <v>#N/A</v>
      </c>
      <c r="AH1541" s="104" t="e">
        <f>IF(AND(VLOOKUP($D1541,Merchantability!$B:$C,2,0)="Yes",$E1541&gt;=VLOOKUP($D1541,Merchantability!$B:$D,3,0),$E1541&lt;=VLOOKUP($D1541,Merchantability!$B:$E,4,0)),AC1541,0)</f>
        <v>#N/A</v>
      </c>
      <c r="AI1541" s="104" t="e">
        <f t="shared" si="681"/>
        <v>#N/A</v>
      </c>
      <c r="AJ1541" s="104" t="e">
        <f t="shared" si="682"/>
        <v>#VALUE!</v>
      </c>
      <c r="AK1541" s="104" t="e">
        <f t="shared" si="683"/>
        <v>#N/A</v>
      </c>
      <c r="AL1541" s="104" t="e">
        <f t="shared" si="684"/>
        <v>#N/A</v>
      </c>
      <c r="AM1541" s="104" t="e">
        <f t="shared" si="685"/>
        <v>#N/A</v>
      </c>
      <c r="AN1541" s="104" t="e">
        <f t="shared" si="696"/>
        <v>#N/A</v>
      </c>
      <c r="AO1541" s="104" t="e">
        <f t="shared" si="697"/>
        <v>#N/A</v>
      </c>
      <c r="AP1541" s="104" t="e">
        <f t="shared" si="698"/>
        <v>#N/A</v>
      </c>
      <c r="AQ1541" s="104" t="e">
        <f t="shared" si="699"/>
        <v>#N/A</v>
      </c>
      <c r="AR1541" s="105" t="str">
        <f t="shared" si="691"/>
        <v/>
      </c>
      <c r="AS1541" s="105" t="str">
        <f t="shared" si="692"/>
        <v/>
      </c>
      <c r="AT1541" s="108" t="str">
        <f t="shared" si="693"/>
        <v/>
      </c>
      <c r="AU1541" s="108" t="str">
        <f t="shared" si="694"/>
        <v/>
      </c>
      <c r="AV1541" s="107" t="str">
        <f>IF(ISNUMBER(O1541),IF(VLOOKUP($A1541,Stand!C:J,8,FALSE)="Short",AT1541,AU1541),"")</f>
        <v/>
      </c>
      <c r="AW1541" s="109" t="str">
        <f t="shared" si="700"/>
        <v/>
      </c>
      <c r="AX1541" s="109" t="str">
        <f t="shared" si="701"/>
        <v/>
      </c>
      <c r="AY1541" s="112" t="str">
        <f>IF(ISNUMBER(O1541),IF(AND(VLOOKUP($D1541,Merchantability!$B:$C,2,0)="Yes",$E1541&gt;=VLOOKUP($D1541,Merchantability!$B:$D,3,0),$E1541&lt;=VLOOKUP($D1541,Merchantability!$B:$E,4,0)),(AV1541*O1541)*(1-$H1541/100),""),"")</f>
        <v/>
      </c>
      <c r="AZ1541" s="116"/>
      <c r="BA1541" s="116"/>
      <c r="BB1541" s="116"/>
      <c r="BE1541" s="62"/>
      <c r="BF1541" s="63"/>
    </row>
    <row r="1542" spans="1:58" ht="12.75" customHeight="1" x14ac:dyDescent="0.25">
      <c r="A1542" s="333"/>
      <c r="B1542" s="334"/>
      <c r="C1542" s="332"/>
      <c r="D1542" s="334"/>
      <c r="E1542" s="335"/>
      <c r="F1542" s="334"/>
      <c r="G1542" s="332"/>
      <c r="H1542" s="332"/>
      <c r="I1542" s="334"/>
      <c r="J1542" s="336"/>
      <c r="K1542" s="332"/>
      <c r="L1542" s="332"/>
      <c r="M1542" s="76"/>
      <c r="N1542" s="103" t="str">
        <f>IF(A1542="","",VLOOKUP(A1542,Stand!C:K,9,0))</f>
        <v/>
      </c>
      <c r="O1542" s="104" t="str">
        <f t="shared" si="686"/>
        <v/>
      </c>
      <c r="P1542" s="105" t="str">
        <f t="shared" si="687"/>
        <v/>
      </c>
      <c r="Q1542" s="105" t="str">
        <f t="shared" si="675"/>
        <v/>
      </c>
      <c r="R1542" s="103" t="str">
        <f t="shared" si="688"/>
        <v/>
      </c>
      <c r="S1542" s="103" t="str">
        <f t="shared" si="689"/>
        <v/>
      </c>
      <c r="T1542" s="106" t="str">
        <f t="shared" si="676"/>
        <v/>
      </c>
      <c r="U1542" s="106" t="str">
        <f t="shared" si="677"/>
        <v/>
      </c>
      <c r="V1542" s="106" t="str">
        <f t="shared" si="678"/>
        <v/>
      </c>
      <c r="W1542" s="105" t="str">
        <f t="shared" si="690"/>
        <v/>
      </c>
      <c r="X1542" s="104" t="str">
        <f t="shared" si="695"/>
        <v/>
      </c>
      <c r="Y1542" s="104" t="str">
        <f t="array" ref="Y1542">IFERROR(IF(ISNUMBER(O1542),IF(COUNT(IF(A1542=$A$2:$A$2427,IF(D1542=$D$2:$D$2427,IF($X$2:$X$2427&gt;0,1))))&gt;0,SUM(IF(A1542=$A$2:$A$2427,IF(D1542=$D$2:$D$2427,$X$2:$X$2427)))/COUNT(IF(A1542=$A$2:$A$2427,IF(D1542=$D$2:$D$2427,IF(ISNUMBER($X$2:$X$2427),1)))),0),""),0)</f>
        <v/>
      </c>
      <c r="Z1542" s="104" t="str">
        <f>IF(ISNUMBER(O1542),IF(I1542&gt;0,(10^(VLOOKUP(D1542,'Species Codes'!B:C,2,0)+VLOOKUP(D1542,'Species Codes'!B:D,3,0)*LOG(E1542)+VLOOKUP(D1542,'Species Codes'!B:E,4,0)*LOG(I1542))),0),"")</f>
        <v/>
      </c>
      <c r="AA1542" s="104" t="str">
        <f>IFERROR((VLOOKUP(D1542,'Species Codes'!B:G,6,0)*Z1542)/2000,"")</f>
        <v/>
      </c>
      <c r="AB1542" s="104" t="e">
        <f>IF(Z1542&gt;0,((IF(OR(D1542="DF",D1542="RA")=TRUE,EXP(VLOOKUP(D1542,'Species Codes'!B:I,8,0)+VLOOKUP(D1542,'Species Codes'!B:J,9,0)*(LN((E1542*2.54)))),IF(OR(D1542="PY",D1542="RC",D1542="WH",D1542="NF")=TRUE,VLOOKUP(D1542,'Species Codes'!B:I,8,0)+VLOOKUP(D1542,'Species Codes'!B:J,9,0)*((E1542*2.54)^2)*(I1542*0.3048),IF(OR(D1542="MD",D1542="BM",D1542="GA")=TRUE,((VLOOKUP(D1542,'Species Codes'!B:I,8,0)*(((((E1542*2.54)+VLOOKUP(D1542,'Species Codes'!B:J,9,0))/VLOOKUP(D1542,'Species Codes'!B:K,10,0))^VLOOKUP(D1542,'Species Codes'!B:L,11,0))*((I1542*0.3048)^VLOOKUP(D1542,'Species Codes'!B:M,12,0))))-(VLOOKUP(D1542,'Species Codes'!B:I,8,0)*((((E1542*2.54)^VLOOKUP(D1542,'Species Codes'!B:L,11,0))*((I1542*0.3048)^VLOOKUP(D1542,'Species Codes'!B:M,12,0))))))*35.3*VLOOKUP(D1542,'Species Codes'!B:G,6,0)/2.2046,VLOOKUP(D1542,'Species Codes'!B:I,8,0)+VLOOKUP(D1542,'Species Codes'!B:J,9,0)*(((E1542*2.54)/100)^2)*(I1542*0.3048)))))*0.0011023),0)</f>
        <v>#N/A</v>
      </c>
      <c r="AC1542" s="104" t="e">
        <f>IF(Z1542&gt;0,((IF(OR(D1542="RA",D1542="OA",D1542="OT",D1542="UN",D1542="PC"),EXP(VLOOKUP(D1542,'Species Codes'!B:O,14,0)+VLOOKUP(D1542,'Species Codes'!B:P,15,0)*LN((E1542*2.54)))-EXP(VLOOKUP(D1542,'Species Codes'!B:O,14,0)+VLOOKUP(D1542,'Species Codes'!B:P,15,0)*LN((E1542*2.54)))*(1/(VLOOKUP(D1542,'Species Codes'!B:Q,16,0)+VLOOKUP(D1542,'Species Codes'!B:R,17,0)*((E1542*2.54)^VLOOKUP(D1542,'Species Codes'!B:S,18,0)))),IF(OR(D1542="BM",D1542="MD",D1542="OA"),EXP(VLOOKUP(D1542,'Species Codes'!B:O,14,0)+VLOOKUP(D1542,'Species Codes'!B:P,15,0)*LN((E1542*2.54)))*(1-(1/(VLOOKUP(D1542,'Species Codes'!B:Q,16,0)+VLOOKUP(D1542,'Species Codes'!B:R,17,0)*((E1542*2.54)^VLOOKUP(D1542,'Species Codes'!B:S,18,0)))))/1000,IF(D1542="DF",EXP(VLOOKUP(D1542,'Species Codes'!B:O,14,0)+VLOOKUP(D1542,'Species Codes'!B:P,15,0)*LN((E1542*2.54))),VLOOKUP(D1542,'Species Codes'!B:O,14,0)+VLOOKUP(D1542,'Species Codes'!B:P,15,0)*(((E1542*2.54)/100)^2)*(I1542*0.3048)))))*0.0011023),0)</f>
        <v>#N/A</v>
      </c>
      <c r="AD1542" s="104" t="e">
        <f t="shared" si="679"/>
        <v>#N/A</v>
      </c>
      <c r="AE1542" s="104" t="e">
        <f t="shared" si="680"/>
        <v>#N/A</v>
      </c>
      <c r="AF1542" s="104" t="e">
        <f>IF(AND(VLOOKUP($D1542,Merchantability!$B:$C,2,0)="Yes",$E1542&gt;=VLOOKUP($D1542,Merchantability!$B:$D,3,0),$E1542&lt;=VLOOKUP($D1542,Merchantability!$B:$E,4,0)),AA1542,0)</f>
        <v>#N/A</v>
      </c>
      <c r="AG1542" s="104" t="e">
        <f>IF(AND(VLOOKUP($D1542,Merchantability!$B:$C,2,0)="Yes",$E1542&gt;=VLOOKUP($D1542,Merchantability!$B:$D,3,0),$E1542&lt;=VLOOKUP($D1542,Merchantability!$B:$E,4,0)),AB1542,0)</f>
        <v>#N/A</v>
      </c>
      <c r="AH1542" s="104" t="e">
        <f>IF(AND(VLOOKUP($D1542,Merchantability!$B:$C,2,0)="Yes",$E1542&gt;=VLOOKUP($D1542,Merchantability!$B:$D,3,0),$E1542&lt;=VLOOKUP($D1542,Merchantability!$B:$E,4,0)),AC1542,0)</f>
        <v>#N/A</v>
      </c>
      <c r="AI1542" s="104" t="e">
        <f t="shared" si="681"/>
        <v>#N/A</v>
      </c>
      <c r="AJ1542" s="104" t="e">
        <f t="shared" si="682"/>
        <v>#VALUE!</v>
      </c>
      <c r="AK1542" s="104" t="e">
        <f t="shared" si="683"/>
        <v>#N/A</v>
      </c>
      <c r="AL1542" s="104" t="e">
        <f t="shared" si="684"/>
        <v>#N/A</v>
      </c>
      <c r="AM1542" s="104" t="e">
        <f t="shared" si="685"/>
        <v>#N/A</v>
      </c>
      <c r="AN1542" s="104" t="e">
        <f t="shared" si="696"/>
        <v>#N/A</v>
      </c>
      <c r="AO1542" s="104" t="e">
        <f t="shared" si="697"/>
        <v>#N/A</v>
      </c>
      <c r="AP1542" s="104" t="e">
        <f t="shared" si="698"/>
        <v>#N/A</v>
      </c>
      <c r="AQ1542" s="104" t="e">
        <f t="shared" si="699"/>
        <v>#N/A</v>
      </c>
      <c r="AR1542" s="105" t="str">
        <f t="shared" si="691"/>
        <v/>
      </c>
      <c r="AS1542" s="105" t="str">
        <f t="shared" si="692"/>
        <v/>
      </c>
      <c r="AT1542" s="108" t="str">
        <f t="shared" si="693"/>
        <v/>
      </c>
      <c r="AU1542" s="108" t="str">
        <f t="shared" si="694"/>
        <v/>
      </c>
      <c r="AV1542" s="107" t="str">
        <f>IF(ISNUMBER(O1542),IF(VLOOKUP($A1542,Stand!C:J,8,FALSE)="Short",AT1542,AU1542),"")</f>
        <v/>
      </c>
      <c r="AW1542" s="109" t="str">
        <f t="shared" si="700"/>
        <v/>
      </c>
      <c r="AX1542" s="109" t="str">
        <f t="shared" si="701"/>
        <v/>
      </c>
      <c r="AY1542" s="112" t="str">
        <f>IF(ISNUMBER(O1542),IF(AND(VLOOKUP($D1542,Merchantability!$B:$C,2,0)="Yes",$E1542&gt;=VLOOKUP($D1542,Merchantability!$B:$D,3,0),$E1542&lt;=VLOOKUP($D1542,Merchantability!$B:$E,4,0)),(AV1542*O1542)*(1-$H1542/100),""),"")</f>
        <v/>
      </c>
      <c r="AZ1542" s="116"/>
      <c r="BA1542" s="116"/>
      <c r="BB1542" s="116"/>
      <c r="BE1542" s="62"/>
      <c r="BF1542" s="63"/>
    </row>
    <row r="1543" spans="1:58" ht="12.75" customHeight="1" x14ac:dyDescent="0.25">
      <c r="A1543" s="333"/>
      <c r="B1543" s="334"/>
      <c r="C1543" s="332"/>
      <c r="D1543" s="334"/>
      <c r="E1543" s="335"/>
      <c r="F1543" s="334"/>
      <c r="G1543" s="332"/>
      <c r="H1543" s="332"/>
      <c r="I1543" s="334"/>
      <c r="J1543" s="336"/>
      <c r="K1543" s="332"/>
      <c r="L1543" s="332"/>
      <c r="M1543" s="76"/>
      <c r="N1543" s="103" t="str">
        <f>IF(A1543="","",VLOOKUP(A1543,Stand!C:K,9,0))</f>
        <v/>
      </c>
      <c r="O1543" s="104" t="str">
        <f t="shared" si="686"/>
        <v/>
      </c>
      <c r="P1543" s="105" t="str">
        <f t="shared" si="687"/>
        <v/>
      </c>
      <c r="Q1543" s="105" t="str">
        <f t="shared" si="675"/>
        <v/>
      </c>
      <c r="R1543" s="103" t="str">
        <f t="shared" si="688"/>
        <v/>
      </c>
      <c r="S1543" s="103" t="str">
        <f t="shared" si="689"/>
        <v/>
      </c>
      <c r="T1543" s="106" t="str">
        <f t="shared" si="676"/>
        <v/>
      </c>
      <c r="U1543" s="106" t="str">
        <f t="shared" si="677"/>
        <v/>
      </c>
      <c r="V1543" s="106" t="str">
        <f t="shared" si="678"/>
        <v/>
      </c>
      <c r="W1543" s="105" t="str">
        <f t="shared" si="690"/>
        <v/>
      </c>
      <c r="X1543" s="104" t="str">
        <f t="shared" si="695"/>
        <v/>
      </c>
      <c r="Y1543" s="104" t="str">
        <f t="array" ref="Y1543">IFERROR(IF(ISNUMBER(O1543),IF(COUNT(IF(A1543=$A$2:$A$2427,IF(D1543=$D$2:$D$2427,IF($X$2:$X$2427&gt;0,1))))&gt;0,SUM(IF(A1543=$A$2:$A$2427,IF(D1543=$D$2:$D$2427,$X$2:$X$2427)))/COUNT(IF(A1543=$A$2:$A$2427,IF(D1543=$D$2:$D$2427,IF(ISNUMBER($X$2:$X$2427),1)))),0),""),0)</f>
        <v/>
      </c>
      <c r="Z1543" s="104" t="str">
        <f>IF(ISNUMBER(O1543),IF(I1543&gt;0,(10^(VLOOKUP(D1543,'Species Codes'!B:C,2,0)+VLOOKUP(D1543,'Species Codes'!B:D,3,0)*LOG(E1543)+VLOOKUP(D1543,'Species Codes'!B:E,4,0)*LOG(I1543))),0),"")</f>
        <v/>
      </c>
      <c r="AA1543" s="104" t="str">
        <f>IFERROR((VLOOKUP(D1543,'Species Codes'!B:G,6,0)*Z1543)/2000,"")</f>
        <v/>
      </c>
      <c r="AB1543" s="104" t="e">
        <f>IF(Z1543&gt;0,((IF(OR(D1543="DF",D1543="RA")=TRUE,EXP(VLOOKUP(D1543,'Species Codes'!B:I,8,0)+VLOOKUP(D1543,'Species Codes'!B:J,9,0)*(LN((E1543*2.54)))),IF(OR(D1543="PY",D1543="RC",D1543="WH",D1543="NF")=TRUE,VLOOKUP(D1543,'Species Codes'!B:I,8,0)+VLOOKUP(D1543,'Species Codes'!B:J,9,0)*((E1543*2.54)^2)*(I1543*0.3048),IF(OR(D1543="MD",D1543="BM",D1543="GA")=TRUE,((VLOOKUP(D1543,'Species Codes'!B:I,8,0)*(((((E1543*2.54)+VLOOKUP(D1543,'Species Codes'!B:J,9,0))/VLOOKUP(D1543,'Species Codes'!B:K,10,0))^VLOOKUP(D1543,'Species Codes'!B:L,11,0))*((I1543*0.3048)^VLOOKUP(D1543,'Species Codes'!B:M,12,0))))-(VLOOKUP(D1543,'Species Codes'!B:I,8,0)*((((E1543*2.54)^VLOOKUP(D1543,'Species Codes'!B:L,11,0))*((I1543*0.3048)^VLOOKUP(D1543,'Species Codes'!B:M,12,0))))))*35.3*VLOOKUP(D1543,'Species Codes'!B:G,6,0)/2.2046,VLOOKUP(D1543,'Species Codes'!B:I,8,0)+VLOOKUP(D1543,'Species Codes'!B:J,9,0)*(((E1543*2.54)/100)^2)*(I1543*0.3048)))))*0.0011023),0)</f>
        <v>#N/A</v>
      </c>
      <c r="AC1543" s="104" t="e">
        <f>IF(Z1543&gt;0,((IF(OR(D1543="RA",D1543="OA",D1543="OT",D1543="UN",D1543="PC"),EXP(VLOOKUP(D1543,'Species Codes'!B:O,14,0)+VLOOKUP(D1543,'Species Codes'!B:P,15,0)*LN((E1543*2.54)))-EXP(VLOOKUP(D1543,'Species Codes'!B:O,14,0)+VLOOKUP(D1543,'Species Codes'!B:P,15,0)*LN((E1543*2.54)))*(1/(VLOOKUP(D1543,'Species Codes'!B:Q,16,0)+VLOOKUP(D1543,'Species Codes'!B:R,17,0)*((E1543*2.54)^VLOOKUP(D1543,'Species Codes'!B:S,18,0)))),IF(OR(D1543="BM",D1543="MD",D1543="OA"),EXP(VLOOKUP(D1543,'Species Codes'!B:O,14,0)+VLOOKUP(D1543,'Species Codes'!B:P,15,0)*LN((E1543*2.54)))*(1-(1/(VLOOKUP(D1543,'Species Codes'!B:Q,16,0)+VLOOKUP(D1543,'Species Codes'!B:R,17,0)*((E1543*2.54)^VLOOKUP(D1543,'Species Codes'!B:S,18,0)))))/1000,IF(D1543="DF",EXP(VLOOKUP(D1543,'Species Codes'!B:O,14,0)+VLOOKUP(D1543,'Species Codes'!B:P,15,0)*LN((E1543*2.54))),VLOOKUP(D1543,'Species Codes'!B:O,14,0)+VLOOKUP(D1543,'Species Codes'!B:P,15,0)*(((E1543*2.54)/100)^2)*(I1543*0.3048)))))*0.0011023),0)</f>
        <v>#N/A</v>
      </c>
      <c r="AD1543" s="104" t="e">
        <f t="shared" si="679"/>
        <v>#N/A</v>
      </c>
      <c r="AE1543" s="104" t="e">
        <f t="shared" si="680"/>
        <v>#N/A</v>
      </c>
      <c r="AF1543" s="104" t="e">
        <f>IF(AND(VLOOKUP($D1543,Merchantability!$B:$C,2,0)="Yes",$E1543&gt;=VLOOKUP($D1543,Merchantability!$B:$D,3,0),$E1543&lt;=VLOOKUP($D1543,Merchantability!$B:$E,4,0)),AA1543,0)</f>
        <v>#N/A</v>
      </c>
      <c r="AG1543" s="104" t="e">
        <f>IF(AND(VLOOKUP($D1543,Merchantability!$B:$C,2,0)="Yes",$E1543&gt;=VLOOKUP($D1543,Merchantability!$B:$D,3,0),$E1543&lt;=VLOOKUP($D1543,Merchantability!$B:$E,4,0)),AB1543,0)</f>
        <v>#N/A</v>
      </c>
      <c r="AH1543" s="104" t="e">
        <f>IF(AND(VLOOKUP($D1543,Merchantability!$B:$C,2,0)="Yes",$E1543&gt;=VLOOKUP($D1543,Merchantability!$B:$D,3,0),$E1543&lt;=VLOOKUP($D1543,Merchantability!$B:$E,4,0)),AC1543,0)</f>
        <v>#N/A</v>
      </c>
      <c r="AI1543" s="104" t="e">
        <f t="shared" si="681"/>
        <v>#N/A</v>
      </c>
      <c r="AJ1543" s="104" t="e">
        <f t="shared" si="682"/>
        <v>#VALUE!</v>
      </c>
      <c r="AK1543" s="104" t="e">
        <f t="shared" si="683"/>
        <v>#N/A</v>
      </c>
      <c r="AL1543" s="104" t="e">
        <f t="shared" si="684"/>
        <v>#N/A</v>
      </c>
      <c r="AM1543" s="104" t="e">
        <f t="shared" si="685"/>
        <v>#N/A</v>
      </c>
      <c r="AN1543" s="104" t="e">
        <f t="shared" si="696"/>
        <v>#N/A</v>
      </c>
      <c r="AO1543" s="104" t="e">
        <f t="shared" si="697"/>
        <v>#N/A</v>
      </c>
      <c r="AP1543" s="104" t="e">
        <f t="shared" si="698"/>
        <v>#N/A</v>
      </c>
      <c r="AQ1543" s="104" t="e">
        <f t="shared" si="699"/>
        <v>#N/A</v>
      </c>
      <c r="AR1543" s="105" t="str">
        <f t="shared" si="691"/>
        <v/>
      </c>
      <c r="AS1543" s="105" t="str">
        <f t="shared" si="692"/>
        <v/>
      </c>
      <c r="AT1543" s="108" t="str">
        <f t="shared" si="693"/>
        <v/>
      </c>
      <c r="AU1543" s="108" t="str">
        <f t="shared" si="694"/>
        <v/>
      </c>
      <c r="AV1543" s="107" t="str">
        <f>IF(ISNUMBER(O1543),IF(VLOOKUP($A1543,Stand!C:J,8,FALSE)="Short",AT1543,AU1543),"")</f>
        <v/>
      </c>
      <c r="AW1543" s="109" t="str">
        <f t="shared" si="700"/>
        <v/>
      </c>
      <c r="AX1543" s="109" t="str">
        <f t="shared" si="701"/>
        <v/>
      </c>
      <c r="AY1543" s="112" t="str">
        <f>IF(ISNUMBER(O1543),IF(AND(VLOOKUP($D1543,Merchantability!$B:$C,2,0)="Yes",$E1543&gt;=VLOOKUP($D1543,Merchantability!$B:$D,3,0),$E1543&lt;=VLOOKUP($D1543,Merchantability!$B:$E,4,0)),(AV1543*O1543)*(1-$H1543/100),""),"")</f>
        <v/>
      </c>
      <c r="AZ1543" s="116"/>
      <c r="BA1543" s="116"/>
      <c r="BB1543" s="116"/>
      <c r="BE1543" s="62"/>
      <c r="BF1543" s="63"/>
    </row>
    <row r="1544" spans="1:58" ht="12.75" customHeight="1" x14ac:dyDescent="0.25">
      <c r="A1544" s="333"/>
      <c r="B1544" s="334"/>
      <c r="C1544" s="332"/>
      <c r="D1544" s="334"/>
      <c r="E1544" s="335"/>
      <c r="F1544" s="334"/>
      <c r="G1544" s="332"/>
      <c r="H1544" s="332"/>
      <c r="I1544" s="334"/>
      <c r="J1544" s="336"/>
      <c r="K1544" s="332"/>
      <c r="L1544" s="332"/>
      <c r="M1544" s="76"/>
      <c r="N1544" s="103" t="str">
        <f>IF(A1544="","",VLOOKUP(A1544,Stand!C:K,9,0))</f>
        <v/>
      </c>
      <c r="O1544" s="104" t="str">
        <f t="shared" si="686"/>
        <v/>
      </c>
      <c r="P1544" s="105" t="str">
        <f t="shared" si="687"/>
        <v/>
      </c>
      <c r="Q1544" s="105" t="str">
        <f t="shared" si="675"/>
        <v/>
      </c>
      <c r="R1544" s="103" t="str">
        <f t="shared" si="688"/>
        <v/>
      </c>
      <c r="S1544" s="103" t="str">
        <f t="shared" si="689"/>
        <v/>
      </c>
      <c r="T1544" s="106" t="str">
        <f t="shared" si="676"/>
        <v/>
      </c>
      <c r="U1544" s="106" t="str">
        <f t="shared" si="677"/>
        <v/>
      </c>
      <c r="V1544" s="106" t="str">
        <f t="shared" si="678"/>
        <v/>
      </c>
      <c r="W1544" s="105" t="str">
        <f t="shared" si="690"/>
        <v/>
      </c>
      <c r="X1544" s="104" t="str">
        <f t="shared" si="695"/>
        <v/>
      </c>
      <c r="Y1544" s="104" t="str">
        <f t="array" ref="Y1544">IFERROR(IF(ISNUMBER(O1544),IF(COUNT(IF(A1544=$A$2:$A$2427,IF(D1544=$D$2:$D$2427,IF($X$2:$X$2427&gt;0,1))))&gt;0,SUM(IF(A1544=$A$2:$A$2427,IF(D1544=$D$2:$D$2427,$X$2:$X$2427)))/COUNT(IF(A1544=$A$2:$A$2427,IF(D1544=$D$2:$D$2427,IF(ISNUMBER($X$2:$X$2427),1)))),0),""),0)</f>
        <v/>
      </c>
      <c r="Z1544" s="104" t="str">
        <f>IF(ISNUMBER(O1544),IF(I1544&gt;0,(10^(VLOOKUP(D1544,'Species Codes'!B:C,2,0)+VLOOKUP(D1544,'Species Codes'!B:D,3,0)*LOG(E1544)+VLOOKUP(D1544,'Species Codes'!B:E,4,0)*LOG(I1544))),0),"")</f>
        <v/>
      </c>
      <c r="AA1544" s="104" t="str">
        <f>IFERROR((VLOOKUP(D1544,'Species Codes'!B:G,6,0)*Z1544)/2000,"")</f>
        <v/>
      </c>
      <c r="AB1544" s="104" t="e">
        <f>IF(Z1544&gt;0,((IF(OR(D1544="DF",D1544="RA")=TRUE,EXP(VLOOKUP(D1544,'Species Codes'!B:I,8,0)+VLOOKUP(D1544,'Species Codes'!B:J,9,0)*(LN((E1544*2.54)))),IF(OR(D1544="PY",D1544="RC",D1544="WH",D1544="NF")=TRUE,VLOOKUP(D1544,'Species Codes'!B:I,8,0)+VLOOKUP(D1544,'Species Codes'!B:J,9,0)*((E1544*2.54)^2)*(I1544*0.3048),IF(OR(D1544="MD",D1544="BM",D1544="GA")=TRUE,((VLOOKUP(D1544,'Species Codes'!B:I,8,0)*(((((E1544*2.54)+VLOOKUP(D1544,'Species Codes'!B:J,9,0))/VLOOKUP(D1544,'Species Codes'!B:K,10,0))^VLOOKUP(D1544,'Species Codes'!B:L,11,0))*((I1544*0.3048)^VLOOKUP(D1544,'Species Codes'!B:M,12,0))))-(VLOOKUP(D1544,'Species Codes'!B:I,8,0)*((((E1544*2.54)^VLOOKUP(D1544,'Species Codes'!B:L,11,0))*((I1544*0.3048)^VLOOKUP(D1544,'Species Codes'!B:M,12,0))))))*35.3*VLOOKUP(D1544,'Species Codes'!B:G,6,0)/2.2046,VLOOKUP(D1544,'Species Codes'!B:I,8,0)+VLOOKUP(D1544,'Species Codes'!B:J,9,0)*(((E1544*2.54)/100)^2)*(I1544*0.3048)))))*0.0011023),0)</f>
        <v>#N/A</v>
      </c>
      <c r="AC1544" s="104" t="e">
        <f>IF(Z1544&gt;0,((IF(OR(D1544="RA",D1544="OA",D1544="OT",D1544="UN",D1544="PC"),EXP(VLOOKUP(D1544,'Species Codes'!B:O,14,0)+VLOOKUP(D1544,'Species Codes'!B:P,15,0)*LN((E1544*2.54)))-EXP(VLOOKUP(D1544,'Species Codes'!B:O,14,0)+VLOOKUP(D1544,'Species Codes'!B:P,15,0)*LN((E1544*2.54)))*(1/(VLOOKUP(D1544,'Species Codes'!B:Q,16,0)+VLOOKUP(D1544,'Species Codes'!B:R,17,0)*((E1544*2.54)^VLOOKUP(D1544,'Species Codes'!B:S,18,0)))),IF(OR(D1544="BM",D1544="MD",D1544="OA"),EXP(VLOOKUP(D1544,'Species Codes'!B:O,14,0)+VLOOKUP(D1544,'Species Codes'!B:P,15,0)*LN((E1544*2.54)))*(1-(1/(VLOOKUP(D1544,'Species Codes'!B:Q,16,0)+VLOOKUP(D1544,'Species Codes'!B:R,17,0)*((E1544*2.54)^VLOOKUP(D1544,'Species Codes'!B:S,18,0)))))/1000,IF(D1544="DF",EXP(VLOOKUP(D1544,'Species Codes'!B:O,14,0)+VLOOKUP(D1544,'Species Codes'!B:P,15,0)*LN((E1544*2.54))),VLOOKUP(D1544,'Species Codes'!B:O,14,0)+VLOOKUP(D1544,'Species Codes'!B:P,15,0)*(((E1544*2.54)/100)^2)*(I1544*0.3048)))))*0.0011023),0)</f>
        <v>#N/A</v>
      </c>
      <c r="AD1544" s="104" t="e">
        <f t="shared" si="679"/>
        <v>#N/A</v>
      </c>
      <c r="AE1544" s="104" t="e">
        <f t="shared" si="680"/>
        <v>#N/A</v>
      </c>
      <c r="AF1544" s="104" t="e">
        <f>IF(AND(VLOOKUP($D1544,Merchantability!$B:$C,2,0)="Yes",$E1544&gt;=VLOOKUP($D1544,Merchantability!$B:$D,3,0),$E1544&lt;=VLOOKUP($D1544,Merchantability!$B:$E,4,0)),AA1544,0)</f>
        <v>#N/A</v>
      </c>
      <c r="AG1544" s="104" t="e">
        <f>IF(AND(VLOOKUP($D1544,Merchantability!$B:$C,2,0)="Yes",$E1544&gt;=VLOOKUP($D1544,Merchantability!$B:$D,3,0),$E1544&lt;=VLOOKUP($D1544,Merchantability!$B:$E,4,0)),AB1544,0)</f>
        <v>#N/A</v>
      </c>
      <c r="AH1544" s="104" t="e">
        <f>IF(AND(VLOOKUP($D1544,Merchantability!$B:$C,2,0)="Yes",$E1544&gt;=VLOOKUP($D1544,Merchantability!$B:$D,3,0),$E1544&lt;=VLOOKUP($D1544,Merchantability!$B:$E,4,0)),AC1544,0)</f>
        <v>#N/A</v>
      </c>
      <c r="AI1544" s="104" t="e">
        <f t="shared" si="681"/>
        <v>#N/A</v>
      </c>
      <c r="AJ1544" s="104" t="e">
        <f t="shared" si="682"/>
        <v>#VALUE!</v>
      </c>
      <c r="AK1544" s="104" t="e">
        <f t="shared" si="683"/>
        <v>#N/A</v>
      </c>
      <c r="AL1544" s="104" t="e">
        <f t="shared" si="684"/>
        <v>#N/A</v>
      </c>
      <c r="AM1544" s="104" t="e">
        <f t="shared" si="685"/>
        <v>#N/A</v>
      </c>
      <c r="AN1544" s="104" t="e">
        <f t="shared" si="696"/>
        <v>#N/A</v>
      </c>
      <c r="AO1544" s="104" t="e">
        <f t="shared" si="697"/>
        <v>#N/A</v>
      </c>
      <c r="AP1544" s="104" t="e">
        <f t="shared" si="698"/>
        <v>#N/A</v>
      </c>
      <c r="AQ1544" s="104" t="e">
        <f t="shared" si="699"/>
        <v>#N/A</v>
      </c>
      <c r="AR1544" s="105" t="str">
        <f t="shared" si="691"/>
        <v/>
      </c>
      <c r="AS1544" s="105" t="str">
        <f t="shared" si="692"/>
        <v/>
      </c>
      <c r="AT1544" s="108" t="str">
        <f t="shared" si="693"/>
        <v/>
      </c>
      <c r="AU1544" s="108" t="str">
        <f t="shared" si="694"/>
        <v/>
      </c>
      <c r="AV1544" s="107" t="str">
        <f>IF(ISNUMBER(O1544),IF(VLOOKUP($A1544,Stand!C:J,8,FALSE)="Short",AT1544,AU1544),"")</f>
        <v/>
      </c>
      <c r="AW1544" s="109" t="str">
        <f t="shared" si="700"/>
        <v/>
      </c>
      <c r="AX1544" s="109" t="str">
        <f t="shared" si="701"/>
        <v/>
      </c>
      <c r="AY1544" s="112" t="str">
        <f>IF(ISNUMBER(O1544),IF(AND(VLOOKUP($D1544,Merchantability!$B:$C,2,0)="Yes",$E1544&gt;=VLOOKUP($D1544,Merchantability!$B:$D,3,0),$E1544&lt;=VLOOKUP($D1544,Merchantability!$B:$E,4,0)),(AV1544*O1544)*(1-$H1544/100),""),"")</f>
        <v/>
      </c>
      <c r="AZ1544" s="116"/>
      <c r="BA1544" s="116"/>
      <c r="BB1544" s="116"/>
      <c r="BE1544" s="62"/>
      <c r="BF1544" s="63"/>
    </row>
    <row r="1545" spans="1:58" ht="12.75" customHeight="1" x14ac:dyDescent="0.25">
      <c r="A1545" s="333"/>
      <c r="B1545" s="334"/>
      <c r="C1545" s="332"/>
      <c r="D1545" s="334"/>
      <c r="E1545" s="335"/>
      <c r="F1545" s="334"/>
      <c r="G1545" s="332"/>
      <c r="H1545" s="332"/>
      <c r="I1545" s="334"/>
      <c r="J1545" s="336"/>
      <c r="K1545" s="332"/>
      <c r="L1545" s="332"/>
      <c r="M1545" s="76"/>
      <c r="N1545" s="103" t="str">
        <f>IF(A1545="","",VLOOKUP(A1545,Stand!C:K,9,0))</f>
        <v/>
      </c>
      <c r="O1545" s="104" t="str">
        <f t="shared" si="686"/>
        <v/>
      </c>
      <c r="P1545" s="105" t="str">
        <f t="shared" si="687"/>
        <v/>
      </c>
      <c r="Q1545" s="105" t="str">
        <f t="shared" si="675"/>
        <v/>
      </c>
      <c r="R1545" s="103" t="str">
        <f t="shared" si="688"/>
        <v/>
      </c>
      <c r="S1545" s="103" t="str">
        <f t="shared" si="689"/>
        <v/>
      </c>
      <c r="T1545" s="106" t="str">
        <f t="shared" si="676"/>
        <v/>
      </c>
      <c r="U1545" s="106" t="str">
        <f t="shared" si="677"/>
        <v/>
      </c>
      <c r="V1545" s="106" t="str">
        <f t="shared" si="678"/>
        <v/>
      </c>
      <c r="W1545" s="105" t="str">
        <f t="shared" si="690"/>
        <v/>
      </c>
      <c r="X1545" s="104" t="str">
        <f t="shared" si="695"/>
        <v/>
      </c>
      <c r="Y1545" s="104" t="str">
        <f t="array" ref="Y1545">IFERROR(IF(ISNUMBER(O1545),IF(COUNT(IF(A1545=$A$2:$A$2427,IF(D1545=$D$2:$D$2427,IF($X$2:$X$2427&gt;0,1))))&gt;0,SUM(IF(A1545=$A$2:$A$2427,IF(D1545=$D$2:$D$2427,$X$2:$X$2427)))/COUNT(IF(A1545=$A$2:$A$2427,IF(D1545=$D$2:$D$2427,IF(ISNUMBER($X$2:$X$2427),1)))),0),""),0)</f>
        <v/>
      </c>
      <c r="Z1545" s="104" t="str">
        <f>IF(ISNUMBER(O1545),IF(I1545&gt;0,(10^(VLOOKUP(D1545,'Species Codes'!B:C,2,0)+VLOOKUP(D1545,'Species Codes'!B:D,3,0)*LOG(E1545)+VLOOKUP(D1545,'Species Codes'!B:E,4,0)*LOG(I1545))),0),"")</f>
        <v/>
      </c>
      <c r="AA1545" s="104" t="str">
        <f>IFERROR((VLOOKUP(D1545,'Species Codes'!B:G,6,0)*Z1545)/2000,"")</f>
        <v/>
      </c>
      <c r="AB1545" s="104" t="e">
        <f>IF(Z1545&gt;0,((IF(OR(D1545="DF",D1545="RA")=TRUE,EXP(VLOOKUP(D1545,'Species Codes'!B:I,8,0)+VLOOKUP(D1545,'Species Codes'!B:J,9,0)*(LN((E1545*2.54)))),IF(OR(D1545="PY",D1545="RC",D1545="WH",D1545="NF")=TRUE,VLOOKUP(D1545,'Species Codes'!B:I,8,0)+VLOOKUP(D1545,'Species Codes'!B:J,9,0)*((E1545*2.54)^2)*(I1545*0.3048),IF(OR(D1545="MD",D1545="BM",D1545="GA")=TRUE,((VLOOKUP(D1545,'Species Codes'!B:I,8,0)*(((((E1545*2.54)+VLOOKUP(D1545,'Species Codes'!B:J,9,0))/VLOOKUP(D1545,'Species Codes'!B:K,10,0))^VLOOKUP(D1545,'Species Codes'!B:L,11,0))*((I1545*0.3048)^VLOOKUP(D1545,'Species Codes'!B:M,12,0))))-(VLOOKUP(D1545,'Species Codes'!B:I,8,0)*((((E1545*2.54)^VLOOKUP(D1545,'Species Codes'!B:L,11,0))*((I1545*0.3048)^VLOOKUP(D1545,'Species Codes'!B:M,12,0))))))*35.3*VLOOKUP(D1545,'Species Codes'!B:G,6,0)/2.2046,VLOOKUP(D1545,'Species Codes'!B:I,8,0)+VLOOKUP(D1545,'Species Codes'!B:J,9,0)*(((E1545*2.54)/100)^2)*(I1545*0.3048)))))*0.0011023),0)</f>
        <v>#N/A</v>
      </c>
      <c r="AC1545" s="104" t="e">
        <f>IF(Z1545&gt;0,((IF(OR(D1545="RA",D1545="OA",D1545="OT",D1545="UN",D1545="PC"),EXP(VLOOKUP(D1545,'Species Codes'!B:O,14,0)+VLOOKUP(D1545,'Species Codes'!B:P,15,0)*LN((E1545*2.54)))-EXP(VLOOKUP(D1545,'Species Codes'!B:O,14,0)+VLOOKUP(D1545,'Species Codes'!B:P,15,0)*LN((E1545*2.54)))*(1/(VLOOKUP(D1545,'Species Codes'!B:Q,16,0)+VLOOKUP(D1545,'Species Codes'!B:R,17,0)*((E1545*2.54)^VLOOKUP(D1545,'Species Codes'!B:S,18,0)))),IF(OR(D1545="BM",D1545="MD",D1545="OA"),EXP(VLOOKUP(D1545,'Species Codes'!B:O,14,0)+VLOOKUP(D1545,'Species Codes'!B:P,15,0)*LN((E1545*2.54)))*(1-(1/(VLOOKUP(D1545,'Species Codes'!B:Q,16,0)+VLOOKUP(D1545,'Species Codes'!B:R,17,0)*((E1545*2.54)^VLOOKUP(D1545,'Species Codes'!B:S,18,0)))))/1000,IF(D1545="DF",EXP(VLOOKUP(D1545,'Species Codes'!B:O,14,0)+VLOOKUP(D1545,'Species Codes'!B:P,15,0)*LN((E1545*2.54))),VLOOKUP(D1545,'Species Codes'!B:O,14,0)+VLOOKUP(D1545,'Species Codes'!B:P,15,0)*(((E1545*2.54)/100)^2)*(I1545*0.3048)))))*0.0011023),0)</f>
        <v>#N/A</v>
      </c>
      <c r="AD1545" s="104" t="e">
        <f t="shared" si="679"/>
        <v>#N/A</v>
      </c>
      <c r="AE1545" s="104" t="e">
        <f t="shared" si="680"/>
        <v>#N/A</v>
      </c>
      <c r="AF1545" s="104" t="e">
        <f>IF(AND(VLOOKUP($D1545,Merchantability!$B:$C,2,0)="Yes",$E1545&gt;=VLOOKUP($D1545,Merchantability!$B:$D,3,0),$E1545&lt;=VLOOKUP($D1545,Merchantability!$B:$E,4,0)),AA1545,0)</f>
        <v>#N/A</v>
      </c>
      <c r="AG1545" s="104" t="e">
        <f>IF(AND(VLOOKUP($D1545,Merchantability!$B:$C,2,0)="Yes",$E1545&gt;=VLOOKUP($D1545,Merchantability!$B:$D,3,0),$E1545&lt;=VLOOKUP($D1545,Merchantability!$B:$E,4,0)),AB1545,0)</f>
        <v>#N/A</v>
      </c>
      <c r="AH1545" s="104" t="e">
        <f>IF(AND(VLOOKUP($D1545,Merchantability!$B:$C,2,0)="Yes",$E1545&gt;=VLOOKUP($D1545,Merchantability!$B:$D,3,0),$E1545&lt;=VLOOKUP($D1545,Merchantability!$B:$E,4,0)),AC1545,0)</f>
        <v>#N/A</v>
      </c>
      <c r="AI1545" s="104" t="e">
        <f t="shared" si="681"/>
        <v>#N/A</v>
      </c>
      <c r="AJ1545" s="104" t="e">
        <f t="shared" si="682"/>
        <v>#VALUE!</v>
      </c>
      <c r="AK1545" s="104" t="e">
        <f t="shared" si="683"/>
        <v>#N/A</v>
      </c>
      <c r="AL1545" s="104" t="e">
        <f t="shared" si="684"/>
        <v>#N/A</v>
      </c>
      <c r="AM1545" s="104" t="e">
        <f t="shared" si="685"/>
        <v>#N/A</v>
      </c>
      <c r="AN1545" s="104" t="e">
        <f t="shared" si="696"/>
        <v>#N/A</v>
      </c>
      <c r="AO1545" s="104" t="e">
        <f t="shared" si="697"/>
        <v>#N/A</v>
      </c>
      <c r="AP1545" s="104" t="e">
        <f t="shared" si="698"/>
        <v>#N/A</v>
      </c>
      <c r="AQ1545" s="104" t="e">
        <f t="shared" si="699"/>
        <v>#N/A</v>
      </c>
      <c r="AR1545" s="105" t="str">
        <f t="shared" si="691"/>
        <v/>
      </c>
      <c r="AS1545" s="105" t="str">
        <f t="shared" si="692"/>
        <v/>
      </c>
      <c r="AT1545" s="108" t="str">
        <f t="shared" si="693"/>
        <v/>
      </c>
      <c r="AU1545" s="108" t="str">
        <f t="shared" si="694"/>
        <v/>
      </c>
      <c r="AV1545" s="107" t="str">
        <f>IF(ISNUMBER(O1545),IF(VLOOKUP($A1545,Stand!C:J,8,FALSE)="Short",AT1545,AU1545),"")</f>
        <v/>
      </c>
      <c r="AW1545" s="109" t="str">
        <f t="shared" si="700"/>
        <v/>
      </c>
      <c r="AX1545" s="109" t="str">
        <f t="shared" si="701"/>
        <v/>
      </c>
      <c r="AY1545" s="112" t="str">
        <f>IF(ISNUMBER(O1545),IF(AND(VLOOKUP($D1545,Merchantability!$B:$C,2,0)="Yes",$E1545&gt;=VLOOKUP($D1545,Merchantability!$B:$D,3,0),$E1545&lt;=VLOOKUP($D1545,Merchantability!$B:$E,4,0)),(AV1545*O1545)*(1-$H1545/100),""),"")</f>
        <v/>
      </c>
      <c r="AZ1545" s="116"/>
      <c r="BA1545" s="116"/>
      <c r="BB1545" s="116"/>
      <c r="BE1545" s="62"/>
      <c r="BF1545" s="63"/>
    </row>
    <row r="1546" spans="1:58" ht="12.75" customHeight="1" x14ac:dyDescent="0.25">
      <c r="A1546" s="333"/>
      <c r="B1546" s="334"/>
      <c r="C1546" s="332"/>
      <c r="D1546" s="334"/>
      <c r="E1546" s="335"/>
      <c r="F1546" s="334"/>
      <c r="G1546" s="332"/>
      <c r="H1546" s="332"/>
      <c r="I1546" s="334"/>
      <c r="J1546" s="336"/>
      <c r="K1546" s="332"/>
      <c r="L1546" s="332"/>
      <c r="M1546" s="76"/>
      <c r="N1546" s="103" t="str">
        <f>IF(A1546="","",VLOOKUP(A1546,Stand!C:K,9,0))</f>
        <v/>
      </c>
      <c r="O1546" s="104" t="str">
        <f t="shared" si="686"/>
        <v/>
      </c>
      <c r="P1546" s="105" t="str">
        <f t="shared" si="687"/>
        <v/>
      </c>
      <c r="Q1546" s="105" t="str">
        <f t="shared" si="675"/>
        <v/>
      </c>
      <c r="R1546" s="103" t="str">
        <f t="shared" si="688"/>
        <v/>
      </c>
      <c r="S1546" s="103" t="str">
        <f t="shared" si="689"/>
        <v/>
      </c>
      <c r="T1546" s="106" t="str">
        <f t="shared" si="676"/>
        <v/>
      </c>
      <c r="U1546" s="106" t="str">
        <f t="shared" si="677"/>
        <v/>
      </c>
      <c r="V1546" s="106" t="str">
        <f t="shared" si="678"/>
        <v/>
      </c>
      <c r="W1546" s="105" t="str">
        <f t="shared" si="690"/>
        <v/>
      </c>
      <c r="X1546" s="104" t="str">
        <f t="shared" si="695"/>
        <v/>
      </c>
      <c r="Y1546" s="104" t="str">
        <f t="array" ref="Y1546">IFERROR(IF(ISNUMBER(O1546),IF(COUNT(IF(A1546=$A$2:$A$2427,IF(D1546=$D$2:$D$2427,IF($X$2:$X$2427&gt;0,1))))&gt;0,SUM(IF(A1546=$A$2:$A$2427,IF(D1546=$D$2:$D$2427,$X$2:$X$2427)))/COUNT(IF(A1546=$A$2:$A$2427,IF(D1546=$D$2:$D$2427,IF(ISNUMBER($X$2:$X$2427),1)))),0),""),0)</f>
        <v/>
      </c>
      <c r="Z1546" s="104" t="str">
        <f>IF(ISNUMBER(O1546),IF(I1546&gt;0,(10^(VLOOKUP(D1546,'Species Codes'!B:C,2,0)+VLOOKUP(D1546,'Species Codes'!B:D,3,0)*LOG(E1546)+VLOOKUP(D1546,'Species Codes'!B:E,4,0)*LOG(I1546))),0),"")</f>
        <v/>
      </c>
      <c r="AA1546" s="104" t="str">
        <f>IFERROR((VLOOKUP(D1546,'Species Codes'!B:G,6,0)*Z1546)/2000,"")</f>
        <v/>
      </c>
      <c r="AB1546" s="104" t="e">
        <f>IF(Z1546&gt;0,((IF(OR(D1546="DF",D1546="RA")=TRUE,EXP(VLOOKUP(D1546,'Species Codes'!B:I,8,0)+VLOOKUP(D1546,'Species Codes'!B:J,9,0)*(LN((E1546*2.54)))),IF(OR(D1546="PY",D1546="RC",D1546="WH",D1546="NF")=TRUE,VLOOKUP(D1546,'Species Codes'!B:I,8,0)+VLOOKUP(D1546,'Species Codes'!B:J,9,0)*((E1546*2.54)^2)*(I1546*0.3048),IF(OR(D1546="MD",D1546="BM",D1546="GA")=TRUE,((VLOOKUP(D1546,'Species Codes'!B:I,8,0)*(((((E1546*2.54)+VLOOKUP(D1546,'Species Codes'!B:J,9,0))/VLOOKUP(D1546,'Species Codes'!B:K,10,0))^VLOOKUP(D1546,'Species Codes'!B:L,11,0))*((I1546*0.3048)^VLOOKUP(D1546,'Species Codes'!B:M,12,0))))-(VLOOKUP(D1546,'Species Codes'!B:I,8,0)*((((E1546*2.54)^VLOOKUP(D1546,'Species Codes'!B:L,11,0))*((I1546*0.3048)^VLOOKUP(D1546,'Species Codes'!B:M,12,0))))))*35.3*VLOOKUP(D1546,'Species Codes'!B:G,6,0)/2.2046,VLOOKUP(D1546,'Species Codes'!B:I,8,0)+VLOOKUP(D1546,'Species Codes'!B:J,9,0)*(((E1546*2.54)/100)^2)*(I1546*0.3048)))))*0.0011023),0)</f>
        <v>#N/A</v>
      </c>
      <c r="AC1546" s="104" t="e">
        <f>IF(Z1546&gt;0,((IF(OR(D1546="RA",D1546="OA",D1546="OT",D1546="UN",D1546="PC"),EXP(VLOOKUP(D1546,'Species Codes'!B:O,14,0)+VLOOKUP(D1546,'Species Codes'!B:P,15,0)*LN((E1546*2.54)))-EXP(VLOOKUP(D1546,'Species Codes'!B:O,14,0)+VLOOKUP(D1546,'Species Codes'!B:P,15,0)*LN((E1546*2.54)))*(1/(VLOOKUP(D1546,'Species Codes'!B:Q,16,0)+VLOOKUP(D1546,'Species Codes'!B:R,17,0)*((E1546*2.54)^VLOOKUP(D1546,'Species Codes'!B:S,18,0)))),IF(OR(D1546="BM",D1546="MD",D1546="OA"),EXP(VLOOKUP(D1546,'Species Codes'!B:O,14,0)+VLOOKUP(D1546,'Species Codes'!B:P,15,0)*LN((E1546*2.54)))*(1-(1/(VLOOKUP(D1546,'Species Codes'!B:Q,16,0)+VLOOKUP(D1546,'Species Codes'!B:R,17,0)*((E1546*2.54)^VLOOKUP(D1546,'Species Codes'!B:S,18,0)))))/1000,IF(D1546="DF",EXP(VLOOKUP(D1546,'Species Codes'!B:O,14,0)+VLOOKUP(D1546,'Species Codes'!B:P,15,0)*LN((E1546*2.54))),VLOOKUP(D1546,'Species Codes'!B:O,14,0)+VLOOKUP(D1546,'Species Codes'!B:P,15,0)*(((E1546*2.54)/100)^2)*(I1546*0.3048)))))*0.0011023),0)</f>
        <v>#N/A</v>
      </c>
      <c r="AD1546" s="104" t="e">
        <f t="shared" si="679"/>
        <v>#N/A</v>
      </c>
      <c r="AE1546" s="104" t="e">
        <f t="shared" si="680"/>
        <v>#N/A</v>
      </c>
      <c r="AF1546" s="104" t="e">
        <f>IF(AND(VLOOKUP($D1546,Merchantability!$B:$C,2,0)="Yes",$E1546&gt;=VLOOKUP($D1546,Merchantability!$B:$D,3,0),$E1546&lt;=VLOOKUP($D1546,Merchantability!$B:$E,4,0)),AA1546,0)</f>
        <v>#N/A</v>
      </c>
      <c r="AG1546" s="104" t="e">
        <f>IF(AND(VLOOKUP($D1546,Merchantability!$B:$C,2,0)="Yes",$E1546&gt;=VLOOKUP($D1546,Merchantability!$B:$D,3,0),$E1546&lt;=VLOOKUP($D1546,Merchantability!$B:$E,4,0)),AB1546,0)</f>
        <v>#N/A</v>
      </c>
      <c r="AH1546" s="104" t="e">
        <f>IF(AND(VLOOKUP($D1546,Merchantability!$B:$C,2,0)="Yes",$E1546&gt;=VLOOKUP($D1546,Merchantability!$B:$D,3,0),$E1546&lt;=VLOOKUP($D1546,Merchantability!$B:$E,4,0)),AC1546,0)</f>
        <v>#N/A</v>
      </c>
      <c r="AI1546" s="104" t="e">
        <f t="shared" si="681"/>
        <v>#N/A</v>
      </c>
      <c r="AJ1546" s="104" t="e">
        <f t="shared" si="682"/>
        <v>#VALUE!</v>
      </c>
      <c r="AK1546" s="104" t="e">
        <f t="shared" si="683"/>
        <v>#N/A</v>
      </c>
      <c r="AL1546" s="104" t="e">
        <f t="shared" si="684"/>
        <v>#N/A</v>
      </c>
      <c r="AM1546" s="104" t="e">
        <f t="shared" si="685"/>
        <v>#N/A</v>
      </c>
      <c r="AN1546" s="104" t="e">
        <f t="shared" si="696"/>
        <v>#N/A</v>
      </c>
      <c r="AO1546" s="104" t="e">
        <f t="shared" si="697"/>
        <v>#N/A</v>
      </c>
      <c r="AP1546" s="104" t="e">
        <f t="shared" si="698"/>
        <v>#N/A</v>
      </c>
      <c r="AQ1546" s="104" t="e">
        <f t="shared" si="699"/>
        <v>#N/A</v>
      </c>
      <c r="AR1546" s="105" t="str">
        <f t="shared" si="691"/>
        <v/>
      </c>
      <c r="AS1546" s="105" t="str">
        <f t="shared" si="692"/>
        <v/>
      </c>
      <c r="AT1546" s="108" t="str">
        <f t="shared" si="693"/>
        <v/>
      </c>
      <c r="AU1546" s="108" t="str">
        <f t="shared" si="694"/>
        <v/>
      </c>
      <c r="AV1546" s="107" t="str">
        <f>IF(ISNUMBER(O1546),IF(VLOOKUP($A1546,Stand!C:J,8,FALSE)="Short",AT1546,AU1546),"")</f>
        <v/>
      </c>
      <c r="AW1546" s="109" t="str">
        <f t="shared" si="700"/>
        <v/>
      </c>
      <c r="AX1546" s="109" t="str">
        <f t="shared" si="701"/>
        <v/>
      </c>
      <c r="AY1546" s="112" t="str">
        <f>IF(ISNUMBER(O1546),IF(AND(VLOOKUP($D1546,Merchantability!$B:$C,2,0)="Yes",$E1546&gt;=VLOOKUP($D1546,Merchantability!$B:$D,3,0),$E1546&lt;=VLOOKUP($D1546,Merchantability!$B:$E,4,0)),(AV1546*O1546)*(1-$H1546/100),""),"")</f>
        <v/>
      </c>
      <c r="AZ1546" s="116"/>
      <c r="BA1546" s="116"/>
      <c r="BB1546" s="116"/>
      <c r="BE1546" s="62"/>
      <c r="BF1546" s="63"/>
    </row>
    <row r="1547" spans="1:58" ht="12.75" customHeight="1" x14ac:dyDescent="0.25">
      <c r="A1547" s="333"/>
      <c r="B1547" s="334"/>
      <c r="C1547" s="332"/>
      <c r="D1547" s="334"/>
      <c r="E1547" s="335"/>
      <c r="F1547" s="334"/>
      <c r="G1547" s="332"/>
      <c r="H1547" s="332"/>
      <c r="I1547" s="334"/>
      <c r="J1547" s="336"/>
      <c r="K1547" s="332"/>
      <c r="L1547" s="332"/>
      <c r="M1547" s="76"/>
      <c r="N1547" s="103" t="str">
        <f>IF(A1547="","",VLOOKUP(A1547,Stand!C:K,9,0))</f>
        <v/>
      </c>
      <c r="O1547" s="104" t="str">
        <f t="shared" si="686"/>
        <v/>
      </c>
      <c r="P1547" s="105" t="str">
        <f t="shared" si="687"/>
        <v/>
      </c>
      <c r="Q1547" s="105" t="str">
        <f t="shared" si="675"/>
        <v/>
      </c>
      <c r="R1547" s="103" t="str">
        <f t="shared" si="688"/>
        <v/>
      </c>
      <c r="S1547" s="103" t="str">
        <f t="shared" si="689"/>
        <v/>
      </c>
      <c r="T1547" s="106" t="str">
        <f t="shared" si="676"/>
        <v/>
      </c>
      <c r="U1547" s="106" t="str">
        <f t="shared" si="677"/>
        <v/>
      </c>
      <c r="V1547" s="106" t="str">
        <f t="shared" si="678"/>
        <v/>
      </c>
      <c r="W1547" s="105" t="str">
        <f t="shared" si="690"/>
        <v/>
      </c>
      <c r="X1547" s="104" t="str">
        <f t="shared" si="695"/>
        <v/>
      </c>
      <c r="Y1547" s="104" t="str">
        <f t="array" ref="Y1547">IFERROR(IF(ISNUMBER(O1547),IF(COUNT(IF(A1547=$A$2:$A$2427,IF(D1547=$D$2:$D$2427,IF($X$2:$X$2427&gt;0,1))))&gt;0,SUM(IF(A1547=$A$2:$A$2427,IF(D1547=$D$2:$D$2427,$X$2:$X$2427)))/COUNT(IF(A1547=$A$2:$A$2427,IF(D1547=$D$2:$D$2427,IF(ISNUMBER($X$2:$X$2427),1)))),0),""),0)</f>
        <v/>
      </c>
      <c r="Z1547" s="104" t="str">
        <f>IF(ISNUMBER(O1547),IF(I1547&gt;0,(10^(VLOOKUP(D1547,'Species Codes'!B:C,2,0)+VLOOKUP(D1547,'Species Codes'!B:D,3,0)*LOG(E1547)+VLOOKUP(D1547,'Species Codes'!B:E,4,0)*LOG(I1547))),0),"")</f>
        <v/>
      </c>
      <c r="AA1547" s="104" t="str">
        <f>IFERROR((VLOOKUP(D1547,'Species Codes'!B:G,6,0)*Z1547)/2000,"")</f>
        <v/>
      </c>
      <c r="AB1547" s="104" t="e">
        <f>IF(Z1547&gt;0,((IF(OR(D1547="DF",D1547="RA")=TRUE,EXP(VLOOKUP(D1547,'Species Codes'!B:I,8,0)+VLOOKUP(D1547,'Species Codes'!B:J,9,0)*(LN((E1547*2.54)))),IF(OR(D1547="PY",D1547="RC",D1547="WH",D1547="NF")=TRUE,VLOOKUP(D1547,'Species Codes'!B:I,8,0)+VLOOKUP(D1547,'Species Codes'!B:J,9,0)*((E1547*2.54)^2)*(I1547*0.3048),IF(OR(D1547="MD",D1547="BM",D1547="GA")=TRUE,((VLOOKUP(D1547,'Species Codes'!B:I,8,0)*(((((E1547*2.54)+VLOOKUP(D1547,'Species Codes'!B:J,9,0))/VLOOKUP(D1547,'Species Codes'!B:K,10,0))^VLOOKUP(D1547,'Species Codes'!B:L,11,0))*((I1547*0.3048)^VLOOKUP(D1547,'Species Codes'!B:M,12,0))))-(VLOOKUP(D1547,'Species Codes'!B:I,8,0)*((((E1547*2.54)^VLOOKUP(D1547,'Species Codes'!B:L,11,0))*((I1547*0.3048)^VLOOKUP(D1547,'Species Codes'!B:M,12,0))))))*35.3*VLOOKUP(D1547,'Species Codes'!B:G,6,0)/2.2046,VLOOKUP(D1547,'Species Codes'!B:I,8,0)+VLOOKUP(D1547,'Species Codes'!B:J,9,0)*(((E1547*2.54)/100)^2)*(I1547*0.3048)))))*0.0011023),0)</f>
        <v>#N/A</v>
      </c>
      <c r="AC1547" s="104" t="e">
        <f>IF(Z1547&gt;0,((IF(OR(D1547="RA",D1547="OA",D1547="OT",D1547="UN",D1547="PC"),EXP(VLOOKUP(D1547,'Species Codes'!B:O,14,0)+VLOOKUP(D1547,'Species Codes'!B:P,15,0)*LN((E1547*2.54)))-EXP(VLOOKUP(D1547,'Species Codes'!B:O,14,0)+VLOOKUP(D1547,'Species Codes'!B:P,15,0)*LN((E1547*2.54)))*(1/(VLOOKUP(D1547,'Species Codes'!B:Q,16,0)+VLOOKUP(D1547,'Species Codes'!B:R,17,0)*((E1547*2.54)^VLOOKUP(D1547,'Species Codes'!B:S,18,0)))),IF(OR(D1547="BM",D1547="MD",D1547="OA"),EXP(VLOOKUP(D1547,'Species Codes'!B:O,14,0)+VLOOKUP(D1547,'Species Codes'!B:P,15,0)*LN((E1547*2.54)))*(1-(1/(VLOOKUP(D1547,'Species Codes'!B:Q,16,0)+VLOOKUP(D1547,'Species Codes'!B:R,17,0)*((E1547*2.54)^VLOOKUP(D1547,'Species Codes'!B:S,18,0)))))/1000,IF(D1547="DF",EXP(VLOOKUP(D1547,'Species Codes'!B:O,14,0)+VLOOKUP(D1547,'Species Codes'!B:P,15,0)*LN((E1547*2.54))),VLOOKUP(D1547,'Species Codes'!B:O,14,0)+VLOOKUP(D1547,'Species Codes'!B:P,15,0)*(((E1547*2.54)/100)^2)*(I1547*0.3048)))))*0.0011023),0)</f>
        <v>#N/A</v>
      </c>
      <c r="AD1547" s="104" t="e">
        <f t="shared" si="679"/>
        <v>#N/A</v>
      </c>
      <c r="AE1547" s="104" t="e">
        <f t="shared" si="680"/>
        <v>#N/A</v>
      </c>
      <c r="AF1547" s="104" t="e">
        <f>IF(AND(VLOOKUP($D1547,Merchantability!$B:$C,2,0)="Yes",$E1547&gt;=VLOOKUP($D1547,Merchantability!$B:$D,3,0),$E1547&lt;=VLOOKUP($D1547,Merchantability!$B:$E,4,0)),AA1547,0)</f>
        <v>#N/A</v>
      </c>
      <c r="AG1547" s="104" t="e">
        <f>IF(AND(VLOOKUP($D1547,Merchantability!$B:$C,2,0)="Yes",$E1547&gt;=VLOOKUP($D1547,Merchantability!$B:$D,3,0),$E1547&lt;=VLOOKUP($D1547,Merchantability!$B:$E,4,0)),AB1547,0)</f>
        <v>#N/A</v>
      </c>
      <c r="AH1547" s="104" t="e">
        <f>IF(AND(VLOOKUP($D1547,Merchantability!$B:$C,2,0)="Yes",$E1547&gt;=VLOOKUP($D1547,Merchantability!$B:$D,3,0),$E1547&lt;=VLOOKUP($D1547,Merchantability!$B:$E,4,0)),AC1547,0)</f>
        <v>#N/A</v>
      </c>
      <c r="AI1547" s="104" t="e">
        <f t="shared" si="681"/>
        <v>#N/A</v>
      </c>
      <c r="AJ1547" s="104" t="e">
        <f t="shared" si="682"/>
        <v>#VALUE!</v>
      </c>
      <c r="AK1547" s="104" t="e">
        <f t="shared" si="683"/>
        <v>#N/A</v>
      </c>
      <c r="AL1547" s="104" t="e">
        <f t="shared" si="684"/>
        <v>#N/A</v>
      </c>
      <c r="AM1547" s="104" t="e">
        <f t="shared" si="685"/>
        <v>#N/A</v>
      </c>
      <c r="AN1547" s="104" t="e">
        <f t="shared" si="696"/>
        <v>#N/A</v>
      </c>
      <c r="AO1547" s="104" t="e">
        <f t="shared" si="697"/>
        <v>#N/A</v>
      </c>
      <c r="AP1547" s="104" t="e">
        <f t="shared" si="698"/>
        <v>#N/A</v>
      </c>
      <c r="AQ1547" s="104" t="e">
        <f t="shared" si="699"/>
        <v>#N/A</v>
      </c>
      <c r="AR1547" s="105" t="str">
        <f t="shared" si="691"/>
        <v/>
      </c>
      <c r="AS1547" s="105" t="str">
        <f t="shared" si="692"/>
        <v/>
      </c>
      <c r="AT1547" s="108" t="str">
        <f t="shared" si="693"/>
        <v/>
      </c>
      <c r="AU1547" s="108" t="str">
        <f t="shared" si="694"/>
        <v/>
      </c>
      <c r="AV1547" s="107" t="str">
        <f>IF(ISNUMBER(O1547),IF(VLOOKUP($A1547,Stand!C:J,8,FALSE)="Short",AT1547,AU1547),"")</f>
        <v/>
      </c>
      <c r="AW1547" s="109" t="str">
        <f t="shared" si="700"/>
        <v/>
      </c>
      <c r="AX1547" s="109" t="str">
        <f t="shared" si="701"/>
        <v/>
      </c>
      <c r="AY1547" s="112" t="str">
        <f>IF(ISNUMBER(O1547),IF(AND(VLOOKUP($D1547,Merchantability!$B:$C,2,0)="Yes",$E1547&gt;=VLOOKUP($D1547,Merchantability!$B:$D,3,0),$E1547&lt;=VLOOKUP($D1547,Merchantability!$B:$E,4,0)),(AV1547*O1547)*(1-$H1547/100),""),"")</f>
        <v/>
      </c>
      <c r="AZ1547" s="116"/>
      <c r="BA1547" s="116"/>
      <c r="BB1547" s="116"/>
      <c r="BE1547" s="62"/>
      <c r="BF1547" s="63"/>
    </row>
    <row r="1548" spans="1:58" ht="12.75" customHeight="1" x14ac:dyDescent="0.25">
      <c r="A1548" s="333"/>
      <c r="B1548" s="334"/>
      <c r="C1548" s="332"/>
      <c r="D1548" s="334"/>
      <c r="E1548" s="335"/>
      <c r="F1548" s="334"/>
      <c r="G1548" s="332"/>
      <c r="H1548" s="332"/>
      <c r="I1548" s="334"/>
      <c r="J1548" s="336"/>
      <c r="K1548" s="332"/>
      <c r="L1548" s="332"/>
      <c r="M1548" s="76"/>
      <c r="N1548" s="103" t="str">
        <f>IF(A1548="","",VLOOKUP(A1548,Stand!C:K,9,0))</f>
        <v/>
      </c>
      <c r="O1548" s="104" t="str">
        <f t="shared" si="686"/>
        <v/>
      </c>
      <c r="P1548" s="105" t="str">
        <f t="shared" si="687"/>
        <v/>
      </c>
      <c r="Q1548" s="105" t="str">
        <f t="shared" si="675"/>
        <v/>
      </c>
      <c r="R1548" s="103" t="str">
        <f t="shared" si="688"/>
        <v/>
      </c>
      <c r="S1548" s="103" t="str">
        <f t="shared" si="689"/>
        <v/>
      </c>
      <c r="T1548" s="106" t="str">
        <f t="shared" si="676"/>
        <v/>
      </c>
      <c r="U1548" s="106" t="str">
        <f t="shared" si="677"/>
        <v/>
      </c>
      <c r="V1548" s="106" t="str">
        <f t="shared" si="678"/>
        <v/>
      </c>
      <c r="W1548" s="105" t="str">
        <f t="shared" si="690"/>
        <v/>
      </c>
      <c r="X1548" s="104" t="str">
        <f t="shared" si="695"/>
        <v/>
      </c>
      <c r="Y1548" s="104" t="str">
        <f t="array" ref="Y1548">IFERROR(IF(ISNUMBER(O1548),IF(COUNT(IF(A1548=$A$2:$A$2427,IF(D1548=$D$2:$D$2427,IF($X$2:$X$2427&gt;0,1))))&gt;0,SUM(IF(A1548=$A$2:$A$2427,IF(D1548=$D$2:$D$2427,$X$2:$X$2427)))/COUNT(IF(A1548=$A$2:$A$2427,IF(D1548=$D$2:$D$2427,IF(ISNUMBER($X$2:$X$2427),1)))),0),""),0)</f>
        <v/>
      </c>
      <c r="Z1548" s="104" t="str">
        <f>IF(ISNUMBER(O1548),IF(I1548&gt;0,(10^(VLOOKUP(D1548,'Species Codes'!B:C,2,0)+VLOOKUP(D1548,'Species Codes'!B:D,3,0)*LOG(E1548)+VLOOKUP(D1548,'Species Codes'!B:E,4,0)*LOG(I1548))),0),"")</f>
        <v/>
      </c>
      <c r="AA1548" s="104" t="str">
        <f>IFERROR((VLOOKUP(D1548,'Species Codes'!B:G,6,0)*Z1548)/2000,"")</f>
        <v/>
      </c>
      <c r="AB1548" s="104" t="e">
        <f>IF(Z1548&gt;0,((IF(OR(D1548="DF",D1548="RA")=TRUE,EXP(VLOOKUP(D1548,'Species Codes'!B:I,8,0)+VLOOKUP(D1548,'Species Codes'!B:J,9,0)*(LN((E1548*2.54)))),IF(OR(D1548="PY",D1548="RC",D1548="WH",D1548="NF")=TRUE,VLOOKUP(D1548,'Species Codes'!B:I,8,0)+VLOOKUP(D1548,'Species Codes'!B:J,9,0)*((E1548*2.54)^2)*(I1548*0.3048),IF(OR(D1548="MD",D1548="BM",D1548="GA")=TRUE,((VLOOKUP(D1548,'Species Codes'!B:I,8,0)*(((((E1548*2.54)+VLOOKUP(D1548,'Species Codes'!B:J,9,0))/VLOOKUP(D1548,'Species Codes'!B:K,10,0))^VLOOKUP(D1548,'Species Codes'!B:L,11,0))*((I1548*0.3048)^VLOOKUP(D1548,'Species Codes'!B:M,12,0))))-(VLOOKUP(D1548,'Species Codes'!B:I,8,0)*((((E1548*2.54)^VLOOKUP(D1548,'Species Codes'!B:L,11,0))*((I1548*0.3048)^VLOOKUP(D1548,'Species Codes'!B:M,12,0))))))*35.3*VLOOKUP(D1548,'Species Codes'!B:G,6,0)/2.2046,VLOOKUP(D1548,'Species Codes'!B:I,8,0)+VLOOKUP(D1548,'Species Codes'!B:J,9,0)*(((E1548*2.54)/100)^2)*(I1548*0.3048)))))*0.0011023),0)</f>
        <v>#N/A</v>
      </c>
      <c r="AC1548" s="104" t="e">
        <f>IF(Z1548&gt;0,((IF(OR(D1548="RA",D1548="OA",D1548="OT",D1548="UN",D1548="PC"),EXP(VLOOKUP(D1548,'Species Codes'!B:O,14,0)+VLOOKUP(D1548,'Species Codes'!B:P,15,0)*LN((E1548*2.54)))-EXP(VLOOKUP(D1548,'Species Codes'!B:O,14,0)+VLOOKUP(D1548,'Species Codes'!B:P,15,0)*LN((E1548*2.54)))*(1/(VLOOKUP(D1548,'Species Codes'!B:Q,16,0)+VLOOKUP(D1548,'Species Codes'!B:R,17,0)*((E1548*2.54)^VLOOKUP(D1548,'Species Codes'!B:S,18,0)))),IF(OR(D1548="BM",D1548="MD",D1548="OA"),EXP(VLOOKUP(D1548,'Species Codes'!B:O,14,0)+VLOOKUP(D1548,'Species Codes'!B:P,15,0)*LN((E1548*2.54)))*(1-(1/(VLOOKUP(D1548,'Species Codes'!B:Q,16,0)+VLOOKUP(D1548,'Species Codes'!B:R,17,0)*((E1548*2.54)^VLOOKUP(D1548,'Species Codes'!B:S,18,0)))))/1000,IF(D1548="DF",EXP(VLOOKUP(D1548,'Species Codes'!B:O,14,0)+VLOOKUP(D1548,'Species Codes'!B:P,15,0)*LN((E1548*2.54))),VLOOKUP(D1548,'Species Codes'!B:O,14,0)+VLOOKUP(D1548,'Species Codes'!B:P,15,0)*(((E1548*2.54)/100)^2)*(I1548*0.3048)))))*0.0011023),0)</f>
        <v>#N/A</v>
      </c>
      <c r="AD1548" s="104" t="e">
        <f t="shared" si="679"/>
        <v>#N/A</v>
      </c>
      <c r="AE1548" s="104" t="e">
        <f t="shared" si="680"/>
        <v>#N/A</v>
      </c>
      <c r="AF1548" s="104" t="e">
        <f>IF(AND(VLOOKUP($D1548,Merchantability!$B:$C,2,0)="Yes",$E1548&gt;=VLOOKUP($D1548,Merchantability!$B:$D,3,0),$E1548&lt;=VLOOKUP($D1548,Merchantability!$B:$E,4,0)),AA1548,0)</f>
        <v>#N/A</v>
      </c>
      <c r="AG1548" s="104" t="e">
        <f>IF(AND(VLOOKUP($D1548,Merchantability!$B:$C,2,0)="Yes",$E1548&gt;=VLOOKUP($D1548,Merchantability!$B:$D,3,0),$E1548&lt;=VLOOKUP($D1548,Merchantability!$B:$E,4,0)),AB1548,0)</f>
        <v>#N/A</v>
      </c>
      <c r="AH1548" s="104" t="e">
        <f>IF(AND(VLOOKUP($D1548,Merchantability!$B:$C,2,0)="Yes",$E1548&gt;=VLOOKUP($D1548,Merchantability!$B:$D,3,0),$E1548&lt;=VLOOKUP($D1548,Merchantability!$B:$E,4,0)),AC1548,0)</f>
        <v>#N/A</v>
      </c>
      <c r="AI1548" s="104" t="e">
        <f t="shared" si="681"/>
        <v>#N/A</v>
      </c>
      <c r="AJ1548" s="104" t="e">
        <f t="shared" si="682"/>
        <v>#VALUE!</v>
      </c>
      <c r="AK1548" s="104" t="e">
        <f t="shared" si="683"/>
        <v>#N/A</v>
      </c>
      <c r="AL1548" s="104" t="e">
        <f t="shared" si="684"/>
        <v>#N/A</v>
      </c>
      <c r="AM1548" s="104" t="e">
        <f t="shared" si="685"/>
        <v>#N/A</v>
      </c>
      <c r="AN1548" s="104" t="e">
        <f t="shared" si="696"/>
        <v>#N/A</v>
      </c>
      <c r="AO1548" s="104" t="e">
        <f t="shared" si="697"/>
        <v>#N/A</v>
      </c>
      <c r="AP1548" s="104" t="e">
        <f t="shared" si="698"/>
        <v>#N/A</v>
      </c>
      <c r="AQ1548" s="104" t="e">
        <f t="shared" si="699"/>
        <v>#N/A</v>
      </c>
      <c r="AR1548" s="105" t="str">
        <f t="shared" si="691"/>
        <v/>
      </c>
      <c r="AS1548" s="105" t="str">
        <f t="shared" si="692"/>
        <v/>
      </c>
      <c r="AT1548" s="108" t="str">
        <f t="shared" si="693"/>
        <v/>
      </c>
      <c r="AU1548" s="108" t="str">
        <f t="shared" si="694"/>
        <v/>
      </c>
      <c r="AV1548" s="107" t="str">
        <f>IF(ISNUMBER(O1548),IF(VLOOKUP($A1548,Stand!C:J,8,FALSE)="Short",AT1548,AU1548),"")</f>
        <v/>
      </c>
      <c r="AW1548" s="109" t="str">
        <f t="shared" si="700"/>
        <v/>
      </c>
      <c r="AX1548" s="109" t="str">
        <f t="shared" si="701"/>
        <v/>
      </c>
      <c r="AY1548" s="112" t="str">
        <f>IF(ISNUMBER(O1548),IF(AND(VLOOKUP($D1548,Merchantability!$B:$C,2,0)="Yes",$E1548&gt;=VLOOKUP($D1548,Merchantability!$B:$D,3,0),$E1548&lt;=VLOOKUP($D1548,Merchantability!$B:$E,4,0)),(AV1548*O1548)*(1-$H1548/100),""),"")</f>
        <v/>
      </c>
      <c r="AZ1548" s="116"/>
      <c r="BA1548" s="116"/>
      <c r="BB1548" s="116"/>
      <c r="BE1548" s="62"/>
      <c r="BF1548" s="63"/>
    </row>
    <row r="1549" spans="1:58" ht="12.75" customHeight="1" x14ac:dyDescent="0.25">
      <c r="A1549" s="333"/>
      <c r="B1549" s="334"/>
      <c r="C1549" s="332"/>
      <c r="D1549" s="334"/>
      <c r="E1549" s="335"/>
      <c r="F1549" s="334"/>
      <c r="G1549" s="332"/>
      <c r="H1549" s="332"/>
      <c r="I1549" s="334"/>
      <c r="J1549" s="336"/>
      <c r="K1549" s="332"/>
      <c r="L1549" s="332"/>
      <c r="M1549" s="76"/>
      <c r="N1549" s="103" t="str">
        <f>IF(A1549="","",VLOOKUP(A1549,Stand!C:K,9,0))</f>
        <v/>
      </c>
      <c r="O1549" s="104" t="str">
        <f t="shared" si="686"/>
        <v/>
      </c>
      <c r="P1549" s="105" t="str">
        <f t="shared" si="687"/>
        <v/>
      </c>
      <c r="Q1549" s="105" t="str">
        <f t="shared" si="675"/>
        <v/>
      </c>
      <c r="R1549" s="103" t="str">
        <f t="shared" si="688"/>
        <v/>
      </c>
      <c r="S1549" s="103" t="str">
        <f t="shared" si="689"/>
        <v/>
      </c>
      <c r="T1549" s="106" t="str">
        <f t="shared" si="676"/>
        <v/>
      </c>
      <c r="U1549" s="106" t="str">
        <f t="shared" si="677"/>
        <v/>
      </c>
      <c r="V1549" s="106" t="str">
        <f t="shared" si="678"/>
        <v/>
      </c>
      <c r="W1549" s="105" t="str">
        <f t="shared" si="690"/>
        <v/>
      </c>
      <c r="X1549" s="104" t="str">
        <f t="shared" si="695"/>
        <v/>
      </c>
      <c r="Y1549" s="104" t="str">
        <f t="array" ref="Y1549">IFERROR(IF(ISNUMBER(O1549),IF(COUNT(IF(A1549=$A$2:$A$2427,IF(D1549=$D$2:$D$2427,IF($X$2:$X$2427&gt;0,1))))&gt;0,SUM(IF(A1549=$A$2:$A$2427,IF(D1549=$D$2:$D$2427,$X$2:$X$2427)))/COUNT(IF(A1549=$A$2:$A$2427,IF(D1549=$D$2:$D$2427,IF(ISNUMBER($X$2:$X$2427),1)))),0),""),0)</f>
        <v/>
      </c>
      <c r="Z1549" s="104" t="str">
        <f>IF(ISNUMBER(O1549),IF(I1549&gt;0,(10^(VLOOKUP(D1549,'Species Codes'!B:C,2,0)+VLOOKUP(D1549,'Species Codes'!B:D,3,0)*LOG(E1549)+VLOOKUP(D1549,'Species Codes'!B:E,4,0)*LOG(I1549))),0),"")</f>
        <v/>
      </c>
      <c r="AA1549" s="104" t="str">
        <f>IFERROR((VLOOKUP(D1549,'Species Codes'!B:G,6,0)*Z1549)/2000,"")</f>
        <v/>
      </c>
      <c r="AB1549" s="104" t="e">
        <f>IF(Z1549&gt;0,((IF(OR(D1549="DF",D1549="RA")=TRUE,EXP(VLOOKUP(D1549,'Species Codes'!B:I,8,0)+VLOOKUP(D1549,'Species Codes'!B:J,9,0)*(LN((E1549*2.54)))),IF(OR(D1549="PY",D1549="RC",D1549="WH",D1549="NF")=TRUE,VLOOKUP(D1549,'Species Codes'!B:I,8,0)+VLOOKUP(D1549,'Species Codes'!B:J,9,0)*((E1549*2.54)^2)*(I1549*0.3048),IF(OR(D1549="MD",D1549="BM",D1549="GA")=TRUE,((VLOOKUP(D1549,'Species Codes'!B:I,8,0)*(((((E1549*2.54)+VLOOKUP(D1549,'Species Codes'!B:J,9,0))/VLOOKUP(D1549,'Species Codes'!B:K,10,0))^VLOOKUP(D1549,'Species Codes'!B:L,11,0))*((I1549*0.3048)^VLOOKUP(D1549,'Species Codes'!B:M,12,0))))-(VLOOKUP(D1549,'Species Codes'!B:I,8,0)*((((E1549*2.54)^VLOOKUP(D1549,'Species Codes'!B:L,11,0))*((I1549*0.3048)^VLOOKUP(D1549,'Species Codes'!B:M,12,0))))))*35.3*VLOOKUP(D1549,'Species Codes'!B:G,6,0)/2.2046,VLOOKUP(D1549,'Species Codes'!B:I,8,0)+VLOOKUP(D1549,'Species Codes'!B:J,9,0)*(((E1549*2.54)/100)^2)*(I1549*0.3048)))))*0.0011023),0)</f>
        <v>#N/A</v>
      </c>
      <c r="AC1549" s="104" t="e">
        <f>IF(Z1549&gt;0,((IF(OR(D1549="RA",D1549="OA",D1549="OT",D1549="UN",D1549="PC"),EXP(VLOOKUP(D1549,'Species Codes'!B:O,14,0)+VLOOKUP(D1549,'Species Codes'!B:P,15,0)*LN((E1549*2.54)))-EXP(VLOOKUP(D1549,'Species Codes'!B:O,14,0)+VLOOKUP(D1549,'Species Codes'!B:P,15,0)*LN((E1549*2.54)))*(1/(VLOOKUP(D1549,'Species Codes'!B:Q,16,0)+VLOOKUP(D1549,'Species Codes'!B:R,17,0)*((E1549*2.54)^VLOOKUP(D1549,'Species Codes'!B:S,18,0)))),IF(OR(D1549="BM",D1549="MD",D1549="OA"),EXP(VLOOKUP(D1549,'Species Codes'!B:O,14,0)+VLOOKUP(D1549,'Species Codes'!B:P,15,0)*LN((E1549*2.54)))*(1-(1/(VLOOKUP(D1549,'Species Codes'!B:Q,16,0)+VLOOKUP(D1549,'Species Codes'!B:R,17,0)*((E1549*2.54)^VLOOKUP(D1549,'Species Codes'!B:S,18,0)))))/1000,IF(D1549="DF",EXP(VLOOKUP(D1549,'Species Codes'!B:O,14,0)+VLOOKUP(D1549,'Species Codes'!B:P,15,0)*LN((E1549*2.54))),VLOOKUP(D1549,'Species Codes'!B:O,14,0)+VLOOKUP(D1549,'Species Codes'!B:P,15,0)*(((E1549*2.54)/100)^2)*(I1549*0.3048)))))*0.0011023),0)</f>
        <v>#N/A</v>
      </c>
      <c r="AD1549" s="104" t="e">
        <f t="shared" si="679"/>
        <v>#N/A</v>
      </c>
      <c r="AE1549" s="104" t="e">
        <f t="shared" si="680"/>
        <v>#N/A</v>
      </c>
      <c r="AF1549" s="104" t="e">
        <f>IF(AND(VLOOKUP($D1549,Merchantability!$B:$C,2,0)="Yes",$E1549&gt;=VLOOKUP($D1549,Merchantability!$B:$D,3,0),$E1549&lt;=VLOOKUP($D1549,Merchantability!$B:$E,4,0)),AA1549,0)</f>
        <v>#N/A</v>
      </c>
      <c r="AG1549" s="104" t="e">
        <f>IF(AND(VLOOKUP($D1549,Merchantability!$B:$C,2,0)="Yes",$E1549&gt;=VLOOKUP($D1549,Merchantability!$B:$D,3,0),$E1549&lt;=VLOOKUP($D1549,Merchantability!$B:$E,4,0)),AB1549,0)</f>
        <v>#N/A</v>
      </c>
      <c r="AH1549" s="104" t="e">
        <f>IF(AND(VLOOKUP($D1549,Merchantability!$B:$C,2,0)="Yes",$E1549&gt;=VLOOKUP($D1549,Merchantability!$B:$D,3,0),$E1549&lt;=VLOOKUP($D1549,Merchantability!$B:$E,4,0)),AC1549,0)</f>
        <v>#N/A</v>
      </c>
      <c r="AI1549" s="104" t="e">
        <f t="shared" si="681"/>
        <v>#N/A</v>
      </c>
      <c r="AJ1549" s="104" t="e">
        <f t="shared" si="682"/>
        <v>#VALUE!</v>
      </c>
      <c r="AK1549" s="104" t="e">
        <f t="shared" si="683"/>
        <v>#N/A</v>
      </c>
      <c r="AL1549" s="104" t="e">
        <f t="shared" si="684"/>
        <v>#N/A</v>
      </c>
      <c r="AM1549" s="104" t="e">
        <f t="shared" si="685"/>
        <v>#N/A</v>
      </c>
      <c r="AN1549" s="104" t="e">
        <f t="shared" si="696"/>
        <v>#N/A</v>
      </c>
      <c r="AO1549" s="104" t="e">
        <f t="shared" si="697"/>
        <v>#N/A</v>
      </c>
      <c r="AP1549" s="104" t="e">
        <f t="shared" si="698"/>
        <v>#N/A</v>
      </c>
      <c r="AQ1549" s="104" t="e">
        <f t="shared" si="699"/>
        <v>#N/A</v>
      </c>
      <c r="AR1549" s="105" t="str">
        <f t="shared" si="691"/>
        <v/>
      </c>
      <c r="AS1549" s="105" t="str">
        <f t="shared" si="692"/>
        <v/>
      </c>
      <c r="AT1549" s="108" t="str">
        <f t="shared" si="693"/>
        <v/>
      </c>
      <c r="AU1549" s="108" t="str">
        <f t="shared" si="694"/>
        <v/>
      </c>
      <c r="AV1549" s="107" t="str">
        <f>IF(ISNUMBER(O1549),IF(VLOOKUP($A1549,Stand!C:J,8,FALSE)="Short",AT1549,AU1549),"")</f>
        <v/>
      </c>
      <c r="AW1549" s="109" t="str">
        <f t="shared" si="700"/>
        <v/>
      </c>
      <c r="AX1549" s="109" t="str">
        <f t="shared" si="701"/>
        <v/>
      </c>
      <c r="AY1549" s="112" t="str">
        <f>IF(ISNUMBER(O1549),IF(AND(VLOOKUP($D1549,Merchantability!$B:$C,2,0)="Yes",$E1549&gt;=VLOOKUP($D1549,Merchantability!$B:$D,3,0),$E1549&lt;=VLOOKUP($D1549,Merchantability!$B:$E,4,0)),(AV1549*O1549)*(1-$H1549/100),""),"")</f>
        <v/>
      </c>
      <c r="AZ1549" s="116"/>
      <c r="BA1549" s="116"/>
      <c r="BB1549" s="116"/>
      <c r="BE1549" s="62"/>
      <c r="BF1549" s="63"/>
    </row>
    <row r="1550" spans="1:58" ht="12.75" customHeight="1" x14ac:dyDescent="0.25">
      <c r="A1550" s="333"/>
      <c r="B1550" s="334"/>
      <c r="C1550" s="332"/>
      <c r="D1550" s="334"/>
      <c r="E1550" s="335"/>
      <c r="F1550" s="334"/>
      <c r="G1550" s="332"/>
      <c r="H1550" s="332"/>
      <c r="I1550" s="334"/>
      <c r="J1550" s="336"/>
      <c r="K1550" s="332"/>
      <c r="L1550" s="332"/>
      <c r="M1550" s="76"/>
      <c r="N1550" s="103" t="str">
        <f>IF(A1550="","",VLOOKUP(A1550,Stand!C:K,9,0))</f>
        <v/>
      </c>
      <c r="O1550" s="104" t="str">
        <f t="shared" si="686"/>
        <v/>
      </c>
      <c r="P1550" s="105" t="str">
        <f t="shared" si="687"/>
        <v/>
      </c>
      <c r="Q1550" s="105" t="str">
        <f t="shared" si="675"/>
        <v/>
      </c>
      <c r="R1550" s="103" t="str">
        <f t="shared" si="688"/>
        <v/>
      </c>
      <c r="S1550" s="103" t="str">
        <f t="shared" si="689"/>
        <v/>
      </c>
      <c r="T1550" s="106" t="str">
        <f t="shared" si="676"/>
        <v/>
      </c>
      <c r="U1550" s="106" t="str">
        <f t="shared" si="677"/>
        <v/>
      </c>
      <c r="V1550" s="106" t="str">
        <f t="shared" si="678"/>
        <v/>
      </c>
      <c r="W1550" s="105" t="str">
        <f t="shared" si="690"/>
        <v/>
      </c>
      <c r="X1550" s="104" t="str">
        <f t="shared" si="695"/>
        <v/>
      </c>
      <c r="Y1550" s="104" t="str">
        <f t="array" ref="Y1550">IFERROR(IF(ISNUMBER(O1550),IF(COUNT(IF(A1550=$A$2:$A$2427,IF(D1550=$D$2:$D$2427,IF($X$2:$X$2427&gt;0,1))))&gt;0,SUM(IF(A1550=$A$2:$A$2427,IF(D1550=$D$2:$D$2427,$X$2:$X$2427)))/COUNT(IF(A1550=$A$2:$A$2427,IF(D1550=$D$2:$D$2427,IF(ISNUMBER($X$2:$X$2427),1)))),0),""),0)</f>
        <v/>
      </c>
      <c r="Z1550" s="104" t="str">
        <f>IF(ISNUMBER(O1550),IF(I1550&gt;0,(10^(VLOOKUP(D1550,'Species Codes'!B:C,2,0)+VLOOKUP(D1550,'Species Codes'!B:D,3,0)*LOG(E1550)+VLOOKUP(D1550,'Species Codes'!B:E,4,0)*LOG(I1550))),0),"")</f>
        <v/>
      </c>
      <c r="AA1550" s="104" t="str">
        <f>IFERROR((VLOOKUP(D1550,'Species Codes'!B:G,6,0)*Z1550)/2000,"")</f>
        <v/>
      </c>
      <c r="AB1550" s="104" t="e">
        <f>IF(Z1550&gt;0,((IF(OR(D1550="DF",D1550="RA")=TRUE,EXP(VLOOKUP(D1550,'Species Codes'!B:I,8,0)+VLOOKUP(D1550,'Species Codes'!B:J,9,0)*(LN((E1550*2.54)))),IF(OR(D1550="PY",D1550="RC",D1550="WH",D1550="NF")=TRUE,VLOOKUP(D1550,'Species Codes'!B:I,8,0)+VLOOKUP(D1550,'Species Codes'!B:J,9,0)*((E1550*2.54)^2)*(I1550*0.3048),IF(OR(D1550="MD",D1550="BM",D1550="GA")=TRUE,((VLOOKUP(D1550,'Species Codes'!B:I,8,0)*(((((E1550*2.54)+VLOOKUP(D1550,'Species Codes'!B:J,9,0))/VLOOKUP(D1550,'Species Codes'!B:K,10,0))^VLOOKUP(D1550,'Species Codes'!B:L,11,0))*((I1550*0.3048)^VLOOKUP(D1550,'Species Codes'!B:M,12,0))))-(VLOOKUP(D1550,'Species Codes'!B:I,8,0)*((((E1550*2.54)^VLOOKUP(D1550,'Species Codes'!B:L,11,0))*((I1550*0.3048)^VLOOKUP(D1550,'Species Codes'!B:M,12,0))))))*35.3*VLOOKUP(D1550,'Species Codes'!B:G,6,0)/2.2046,VLOOKUP(D1550,'Species Codes'!B:I,8,0)+VLOOKUP(D1550,'Species Codes'!B:J,9,0)*(((E1550*2.54)/100)^2)*(I1550*0.3048)))))*0.0011023),0)</f>
        <v>#N/A</v>
      </c>
      <c r="AC1550" s="104" t="e">
        <f>IF(Z1550&gt;0,((IF(OR(D1550="RA",D1550="OA",D1550="OT",D1550="UN",D1550="PC"),EXP(VLOOKUP(D1550,'Species Codes'!B:O,14,0)+VLOOKUP(D1550,'Species Codes'!B:P,15,0)*LN((E1550*2.54)))-EXP(VLOOKUP(D1550,'Species Codes'!B:O,14,0)+VLOOKUP(D1550,'Species Codes'!B:P,15,0)*LN((E1550*2.54)))*(1/(VLOOKUP(D1550,'Species Codes'!B:Q,16,0)+VLOOKUP(D1550,'Species Codes'!B:R,17,0)*((E1550*2.54)^VLOOKUP(D1550,'Species Codes'!B:S,18,0)))),IF(OR(D1550="BM",D1550="MD",D1550="OA"),EXP(VLOOKUP(D1550,'Species Codes'!B:O,14,0)+VLOOKUP(D1550,'Species Codes'!B:P,15,0)*LN((E1550*2.54)))*(1-(1/(VLOOKUP(D1550,'Species Codes'!B:Q,16,0)+VLOOKUP(D1550,'Species Codes'!B:R,17,0)*((E1550*2.54)^VLOOKUP(D1550,'Species Codes'!B:S,18,0)))))/1000,IF(D1550="DF",EXP(VLOOKUP(D1550,'Species Codes'!B:O,14,0)+VLOOKUP(D1550,'Species Codes'!B:P,15,0)*LN((E1550*2.54))),VLOOKUP(D1550,'Species Codes'!B:O,14,0)+VLOOKUP(D1550,'Species Codes'!B:P,15,0)*(((E1550*2.54)/100)^2)*(I1550*0.3048)))))*0.0011023),0)</f>
        <v>#N/A</v>
      </c>
      <c r="AD1550" s="104" t="e">
        <f t="shared" si="679"/>
        <v>#N/A</v>
      </c>
      <c r="AE1550" s="104" t="e">
        <f t="shared" si="680"/>
        <v>#N/A</v>
      </c>
      <c r="AF1550" s="104" t="e">
        <f>IF(AND(VLOOKUP($D1550,Merchantability!$B:$C,2,0)="Yes",$E1550&gt;=VLOOKUP($D1550,Merchantability!$B:$D,3,0),$E1550&lt;=VLOOKUP($D1550,Merchantability!$B:$E,4,0)),AA1550,0)</f>
        <v>#N/A</v>
      </c>
      <c r="AG1550" s="104" t="e">
        <f>IF(AND(VLOOKUP($D1550,Merchantability!$B:$C,2,0)="Yes",$E1550&gt;=VLOOKUP($D1550,Merchantability!$B:$D,3,0),$E1550&lt;=VLOOKUP($D1550,Merchantability!$B:$E,4,0)),AB1550,0)</f>
        <v>#N/A</v>
      </c>
      <c r="AH1550" s="104" t="e">
        <f>IF(AND(VLOOKUP($D1550,Merchantability!$B:$C,2,0)="Yes",$E1550&gt;=VLOOKUP($D1550,Merchantability!$B:$D,3,0),$E1550&lt;=VLOOKUP($D1550,Merchantability!$B:$E,4,0)),AC1550,0)</f>
        <v>#N/A</v>
      </c>
      <c r="AI1550" s="104" t="e">
        <f t="shared" si="681"/>
        <v>#N/A</v>
      </c>
      <c r="AJ1550" s="104" t="e">
        <f t="shared" si="682"/>
        <v>#VALUE!</v>
      </c>
      <c r="AK1550" s="104" t="e">
        <f t="shared" si="683"/>
        <v>#N/A</v>
      </c>
      <c r="AL1550" s="104" t="e">
        <f t="shared" si="684"/>
        <v>#N/A</v>
      </c>
      <c r="AM1550" s="104" t="e">
        <f t="shared" si="685"/>
        <v>#N/A</v>
      </c>
      <c r="AN1550" s="104" t="e">
        <f t="shared" si="696"/>
        <v>#N/A</v>
      </c>
      <c r="AO1550" s="104" t="e">
        <f t="shared" si="697"/>
        <v>#N/A</v>
      </c>
      <c r="AP1550" s="104" t="e">
        <f t="shared" si="698"/>
        <v>#N/A</v>
      </c>
      <c r="AQ1550" s="104" t="e">
        <f t="shared" si="699"/>
        <v>#N/A</v>
      </c>
      <c r="AR1550" s="105" t="str">
        <f t="shared" si="691"/>
        <v/>
      </c>
      <c r="AS1550" s="105" t="str">
        <f t="shared" si="692"/>
        <v/>
      </c>
      <c r="AT1550" s="108" t="str">
        <f t="shared" si="693"/>
        <v/>
      </c>
      <c r="AU1550" s="108" t="str">
        <f t="shared" si="694"/>
        <v/>
      </c>
      <c r="AV1550" s="107" t="str">
        <f>IF(ISNUMBER(O1550),IF(VLOOKUP($A1550,Stand!C:J,8,FALSE)="Short",AT1550,AU1550),"")</f>
        <v/>
      </c>
      <c r="AW1550" s="109" t="str">
        <f t="shared" si="700"/>
        <v/>
      </c>
      <c r="AX1550" s="109" t="str">
        <f t="shared" si="701"/>
        <v/>
      </c>
      <c r="AY1550" s="112" t="str">
        <f>IF(ISNUMBER(O1550),IF(AND(VLOOKUP($D1550,Merchantability!$B:$C,2,0)="Yes",$E1550&gt;=VLOOKUP($D1550,Merchantability!$B:$D,3,0),$E1550&lt;=VLOOKUP($D1550,Merchantability!$B:$E,4,0)),(AV1550*O1550)*(1-$H1550/100),""),"")</f>
        <v/>
      </c>
      <c r="AZ1550" s="116"/>
      <c r="BA1550" s="116"/>
      <c r="BB1550" s="116"/>
      <c r="BE1550" s="62"/>
      <c r="BF1550" s="63"/>
    </row>
    <row r="1551" spans="1:58" ht="12.75" customHeight="1" x14ac:dyDescent="0.25">
      <c r="A1551" s="333"/>
      <c r="B1551" s="334"/>
      <c r="C1551" s="332"/>
      <c r="D1551" s="334"/>
      <c r="E1551" s="335"/>
      <c r="F1551" s="334"/>
      <c r="G1551" s="332"/>
      <c r="H1551" s="332"/>
      <c r="I1551" s="334"/>
      <c r="J1551" s="336"/>
      <c r="K1551" s="332"/>
      <c r="L1551" s="332"/>
      <c r="M1551" s="76"/>
      <c r="N1551" s="103" t="str">
        <f>IF(A1551="","",VLOOKUP(A1551,Stand!C:K,9,0))</f>
        <v/>
      </c>
      <c r="O1551" s="104" t="str">
        <f t="shared" si="686"/>
        <v/>
      </c>
      <c r="P1551" s="105" t="str">
        <f t="shared" si="687"/>
        <v/>
      </c>
      <c r="Q1551" s="105" t="str">
        <f t="shared" si="675"/>
        <v/>
      </c>
      <c r="R1551" s="103" t="str">
        <f t="shared" si="688"/>
        <v/>
      </c>
      <c r="S1551" s="103" t="str">
        <f t="shared" si="689"/>
        <v/>
      </c>
      <c r="T1551" s="106" t="str">
        <f t="shared" si="676"/>
        <v/>
      </c>
      <c r="U1551" s="106" t="str">
        <f t="shared" si="677"/>
        <v/>
      </c>
      <c r="V1551" s="106" t="str">
        <f t="shared" si="678"/>
        <v/>
      </c>
      <c r="W1551" s="105" t="str">
        <f t="shared" si="690"/>
        <v/>
      </c>
      <c r="X1551" s="104" t="str">
        <f t="shared" si="695"/>
        <v/>
      </c>
      <c r="Y1551" s="104" t="str">
        <f t="array" ref="Y1551">IFERROR(IF(ISNUMBER(O1551),IF(COUNT(IF(A1551=$A$2:$A$2427,IF(D1551=$D$2:$D$2427,IF($X$2:$X$2427&gt;0,1))))&gt;0,SUM(IF(A1551=$A$2:$A$2427,IF(D1551=$D$2:$D$2427,$X$2:$X$2427)))/COUNT(IF(A1551=$A$2:$A$2427,IF(D1551=$D$2:$D$2427,IF(ISNUMBER($X$2:$X$2427),1)))),0),""),0)</f>
        <v/>
      </c>
      <c r="Z1551" s="104" t="str">
        <f>IF(ISNUMBER(O1551),IF(I1551&gt;0,(10^(VLOOKUP(D1551,'Species Codes'!B:C,2,0)+VLOOKUP(D1551,'Species Codes'!B:D,3,0)*LOG(E1551)+VLOOKUP(D1551,'Species Codes'!B:E,4,0)*LOG(I1551))),0),"")</f>
        <v/>
      </c>
      <c r="AA1551" s="104" t="str">
        <f>IFERROR((VLOOKUP(D1551,'Species Codes'!B:G,6,0)*Z1551)/2000,"")</f>
        <v/>
      </c>
      <c r="AB1551" s="104" t="e">
        <f>IF(Z1551&gt;0,((IF(OR(D1551="DF",D1551="RA")=TRUE,EXP(VLOOKUP(D1551,'Species Codes'!B:I,8,0)+VLOOKUP(D1551,'Species Codes'!B:J,9,0)*(LN((E1551*2.54)))),IF(OR(D1551="PY",D1551="RC",D1551="WH",D1551="NF")=TRUE,VLOOKUP(D1551,'Species Codes'!B:I,8,0)+VLOOKUP(D1551,'Species Codes'!B:J,9,0)*((E1551*2.54)^2)*(I1551*0.3048),IF(OR(D1551="MD",D1551="BM",D1551="GA")=TRUE,((VLOOKUP(D1551,'Species Codes'!B:I,8,0)*(((((E1551*2.54)+VLOOKUP(D1551,'Species Codes'!B:J,9,0))/VLOOKUP(D1551,'Species Codes'!B:K,10,0))^VLOOKUP(D1551,'Species Codes'!B:L,11,0))*((I1551*0.3048)^VLOOKUP(D1551,'Species Codes'!B:M,12,0))))-(VLOOKUP(D1551,'Species Codes'!B:I,8,0)*((((E1551*2.54)^VLOOKUP(D1551,'Species Codes'!B:L,11,0))*((I1551*0.3048)^VLOOKUP(D1551,'Species Codes'!B:M,12,0))))))*35.3*VLOOKUP(D1551,'Species Codes'!B:G,6,0)/2.2046,VLOOKUP(D1551,'Species Codes'!B:I,8,0)+VLOOKUP(D1551,'Species Codes'!B:J,9,0)*(((E1551*2.54)/100)^2)*(I1551*0.3048)))))*0.0011023),0)</f>
        <v>#N/A</v>
      </c>
      <c r="AC1551" s="104" t="e">
        <f>IF(Z1551&gt;0,((IF(OR(D1551="RA",D1551="OA",D1551="OT",D1551="UN",D1551="PC"),EXP(VLOOKUP(D1551,'Species Codes'!B:O,14,0)+VLOOKUP(D1551,'Species Codes'!B:P,15,0)*LN((E1551*2.54)))-EXP(VLOOKUP(D1551,'Species Codes'!B:O,14,0)+VLOOKUP(D1551,'Species Codes'!B:P,15,0)*LN((E1551*2.54)))*(1/(VLOOKUP(D1551,'Species Codes'!B:Q,16,0)+VLOOKUP(D1551,'Species Codes'!B:R,17,0)*((E1551*2.54)^VLOOKUP(D1551,'Species Codes'!B:S,18,0)))),IF(OR(D1551="BM",D1551="MD",D1551="OA"),EXP(VLOOKUP(D1551,'Species Codes'!B:O,14,0)+VLOOKUP(D1551,'Species Codes'!B:P,15,0)*LN((E1551*2.54)))*(1-(1/(VLOOKUP(D1551,'Species Codes'!B:Q,16,0)+VLOOKUP(D1551,'Species Codes'!B:R,17,0)*((E1551*2.54)^VLOOKUP(D1551,'Species Codes'!B:S,18,0)))))/1000,IF(D1551="DF",EXP(VLOOKUP(D1551,'Species Codes'!B:O,14,0)+VLOOKUP(D1551,'Species Codes'!B:P,15,0)*LN((E1551*2.54))),VLOOKUP(D1551,'Species Codes'!B:O,14,0)+VLOOKUP(D1551,'Species Codes'!B:P,15,0)*(((E1551*2.54)/100)^2)*(I1551*0.3048)))))*0.0011023),0)</f>
        <v>#N/A</v>
      </c>
      <c r="AD1551" s="104" t="e">
        <f t="shared" si="679"/>
        <v>#N/A</v>
      </c>
      <c r="AE1551" s="104" t="e">
        <f t="shared" si="680"/>
        <v>#N/A</v>
      </c>
      <c r="AF1551" s="104" t="e">
        <f>IF(AND(VLOOKUP($D1551,Merchantability!$B:$C,2,0)="Yes",$E1551&gt;=VLOOKUP($D1551,Merchantability!$B:$D,3,0),$E1551&lt;=VLOOKUP($D1551,Merchantability!$B:$E,4,0)),AA1551,0)</f>
        <v>#N/A</v>
      </c>
      <c r="AG1551" s="104" t="e">
        <f>IF(AND(VLOOKUP($D1551,Merchantability!$B:$C,2,0)="Yes",$E1551&gt;=VLOOKUP($D1551,Merchantability!$B:$D,3,0),$E1551&lt;=VLOOKUP($D1551,Merchantability!$B:$E,4,0)),AB1551,0)</f>
        <v>#N/A</v>
      </c>
      <c r="AH1551" s="104" t="e">
        <f>IF(AND(VLOOKUP($D1551,Merchantability!$B:$C,2,0)="Yes",$E1551&gt;=VLOOKUP($D1551,Merchantability!$B:$D,3,0),$E1551&lt;=VLOOKUP($D1551,Merchantability!$B:$E,4,0)),AC1551,0)</f>
        <v>#N/A</v>
      </c>
      <c r="AI1551" s="104" t="e">
        <f t="shared" si="681"/>
        <v>#N/A</v>
      </c>
      <c r="AJ1551" s="104" t="e">
        <f t="shared" si="682"/>
        <v>#VALUE!</v>
      </c>
      <c r="AK1551" s="104" t="e">
        <f t="shared" si="683"/>
        <v>#N/A</v>
      </c>
      <c r="AL1551" s="104" t="e">
        <f t="shared" si="684"/>
        <v>#N/A</v>
      </c>
      <c r="AM1551" s="104" t="e">
        <f t="shared" si="685"/>
        <v>#N/A</v>
      </c>
      <c r="AN1551" s="104" t="e">
        <f t="shared" si="696"/>
        <v>#N/A</v>
      </c>
      <c r="AO1551" s="104" t="e">
        <f t="shared" si="697"/>
        <v>#N/A</v>
      </c>
      <c r="AP1551" s="104" t="e">
        <f t="shared" si="698"/>
        <v>#N/A</v>
      </c>
      <c r="AQ1551" s="104" t="e">
        <f t="shared" si="699"/>
        <v>#N/A</v>
      </c>
      <c r="AR1551" s="105" t="str">
        <f t="shared" si="691"/>
        <v/>
      </c>
      <c r="AS1551" s="105" t="str">
        <f t="shared" si="692"/>
        <v/>
      </c>
      <c r="AT1551" s="108" t="str">
        <f t="shared" si="693"/>
        <v/>
      </c>
      <c r="AU1551" s="108" t="str">
        <f t="shared" si="694"/>
        <v/>
      </c>
      <c r="AV1551" s="107" t="str">
        <f>IF(ISNUMBER(O1551),IF(VLOOKUP($A1551,Stand!C:J,8,FALSE)="Short",AT1551,AU1551),"")</f>
        <v/>
      </c>
      <c r="AW1551" s="109" t="str">
        <f t="shared" si="700"/>
        <v/>
      </c>
      <c r="AX1551" s="109" t="str">
        <f t="shared" si="701"/>
        <v/>
      </c>
      <c r="AY1551" s="112" t="str">
        <f>IF(ISNUMBER(O1551),IF(AND(VLOOKUP($D1551,Merchantability!$B:$C,2,0)="Yes",$E1551&gt;=VLOOKUP($D1551,Merchantability!$B:$D,3,0),$E1551&lt;=VLOOKUP($D1551,Merchantability!$B:$E,4,0)),(AV1551*O1551)*(1-$H1551/100),""),"")</f>
        <v/>
      </c>
      <c r="AZ1551" s="116"/>
      <c r="BA1551" s="116"/>
      <c r="BB1551" s="116"/>
      <c r="BE1551" s="62"/>
      <c r="BF1551" s="63"/>
    </row>
    <row r="1552" spans="1:58" ht="12.75" customHeight="1" x14ac:dyDescent="0.25">
      <c r="A1552" s="333"/>
      <c r="B1552" s="334"/>
      <c r="C1552" s="332"/>
      <c r="D1552" s="334"/>
      <c r="E1552" s="335"/>
      <c r="F1552" s="334"/>
      <c r="G1552" s="332"/>
      <c r="H1552" s="332"/>
      <c r="I1552" s="334"/>
      <c r="J1552" s="336"/>
      <c r="K1552" s="332"/>
      <c r="L1552" s="332"/>
      <c r="M1552" s="76"/>
      <c r="N1552" s="103" t="str">
        <f>IF(A1552="","",VLOOKUP(A1552,Stand!C:K,9,0))</f>
        <v/>
      </c>
      <c r="O1552" s="104" t="str">
        <f t="shared" si="686"/>
        <v/>
      </c>
      <c r="P1552" s="105" t="str">
        <f t="shared" si="687"/>
        <v/>
      </c>
      <c r="Q1552" s="105" t="str">
        <f t="shared" si="675"/>
        <v/>
      </c>
      <c r="R1552" s="103" t="str">
        <f t="shared" si="688"/>
        <v/>
      </c>
      <c r="S1552" s="103" t="str">
        <f t="shared" si="689"/>
        <v/>
      </c>
      <c r="T1552" s="106" t="str">
        <f t="shared" si="676"/>
        <v/>
      </c>
      <c r="U1552" s="106" t="str">
        <f t="shared" si="677"/>
        <v/>
      </c>
      <c r="V1552" s="106" t="str">
        <f t="shared" si="678"/>
        <v/>
      </c>
      <c r="W1552" s="105" t="str">
        <f t="shared" si="690"/>
        <v/>
      </c>
      <c r="X1552" s="104" t="str">
        <f t="shared" si="695"/>
        <v/>
      </c>
      <c r="Y1552" s="104" t="str">
        <f t="array" ref="Y1552">IFERROR(IF(ISNUMBER(O1552),IF(COUNT(IF(A1552=$A$2:$A$2427,IF(D1552=$D$2:$D$2427,IF($X$2:$X$2427&gt;0,1))))&gt;0,SUM(IF(A1552=$A$2:$A$2427,IF(D1552=$D$2:$D$2427,$X$2:$X$2427)))/COUNT(IF(A1552=$A$2:$A$2427,IF(D1552=$D$2:$D$2427,IF(ISNUMBER($X$2:$X$2427),1)))),0),""),0)</f>
        <v/>
      </c>
      <c r="Z1552" s="104" t="str">
        <f>IF(ISNUMBER(O1552),IF(I1552&gt;0,(10^(VLOOKUP(D1552,'Species Codes'!B:C,2,0)+VLOOKUP(D1552,'Species Codes'!B:D,3,0)*LOG(E1552)+VLOOKUP(D1552,'Species Codes'!B:E,4,0)*LOG(I1552))),0),"")</f>
        <v/>
      </c>
      <c r="AA1552" s="104" t="str">
        <f>IFERROR((VLOOKUP(D1552,'Species Codes'!B:G,6,0)*Z1552)/2000,"")</f>
        <v/>
      </c>
      <c r="AB1552" s="104" t="e">
        <f>IF(Z1552&gt;0,((IF(OR(D1552="DF",D1552="RA")=TRUE,EXP(VLOOKUP(D1552,'Species Codes'!B:I,8,0)+VLOOKUP(D1552,'Species Codes'!B:J,9,0)*(LN((E1552*2.54)))),IF(OR(D1552="PY",D1552="RC",D1552="WH",D1552="NF")=TRUE,VLOOKUP(D1552,'Species Codes'!B:I,8,0)+VLOOKUP(D1552,'Species Codes'!B:J,9,0)*((E1552*2.54)^2)*(I1552*0.3048),IF(OR(D1552="MD",D1552="BM",D1552="GA")=TRUE,((VLOOKUP(D1552,'Species Codes'!B:I,8,0)*(((((E1552*2.54)+VLOOKUP(D1552,'Species Codes'!B:J,9,0))/VLOOKUP(D1552,'Species Codes'!B:K,10,0))^VLOOKUP(D1552,'Species Codes'!B:L,11,0))*((I1552*0.3048)^VLOOKUP(D1552,'Species Codes'!B:M,12,0))))-(VLOOKUP(D1552,'Species Codes'!B:I,8,0)*((((E1552*2.54)^VLOOKUP(D1552,'Species Codes'!B:L,11,0))*((I1552*0.3048)^VLOOKUP(D1552,'Species Codes'!B:M,12,0))))))*35.3*VLOOKUP(D1552,'Species Codes'!B:G,6,0)/2.2046,VLOOKUP(D1552,'Species Codes'!B:I,8,0)+VLOOKUP(D1552,'Species Codes'!B:J,9,0)*(((E1552*2.54)/100)^2)*(I1552*0.3048)))))*0.0011023),0)</f>
        <v>#N/A</v>
      </c>
      <c r="AC1552" s="104" t="e">
        <f>IF(Z1552&gt;0,((IF(OR(D1552="RA",D1552="OA",D1552="OT",D1552="UN",D1552="PC"),EXP(VLOOKUP(D1552,'Species Codes'!B:O,14,0)+VLOOKUP(D1552,'Species Codes'!B:P,15,0)*LN((E1552*2.54)))-EXP(VLOOKUP(D1552,'Species Codes'!B:O,14,0)+VLOOKUP(D1552,'Species Codes'!B:P,15,0)*LN((E1552*2.54)))*(1/(VLOOKUP(D1552,'Species Codes'!B:Q,16,0)+VLOOKUP(D1552,'Species Codes'!B:R,17,0)*((E1552*2.54)^VLOOKUP(D1552,'Species Codes'!B:S,18,0)))),IF(OR(D1552="BM",D1552="MD",D1552="OA"),EXP(VLOOKUP(D1552,'Species Codes'!B:O,14,0)+VLOOKUP(D1552,'Species Codes'!B:P,15,0)*LN((E1552*2.54)))*(1-(1/(VLOOKUP(D1552,'Species Codes'!B:Q,16,0)+VLOOKUP(D1552,'Species Codes'!B:R,17,0)*((E1552*2.54)^VLOOKUP(D1552,'Species Codes'!B:S,18,0)))))/1000,IF(D1552="DF",EXP(VLOOKUP(D1552,'Species Codes'!B:O,14,0)+VLOOKUP(D1552,'Species Codes'!B:P,15,0)*LN((E1552*2.54))),VLOOKUP(D1552,'Species Codes'!B:O,14,0)+VLOOKUP(D1552,'Species Codes'!B:P,15,0)*(((E1552*2.54)/100)^2)*(I1552*0.3048)))))*0.0011023),0)</f>
        <v>#N/A</v>
      </c>
      <c r="AD1552" s="104" t="e">
        <f t="shared" si="679"/>
        <v>#N/A</v>
      </c>
      <c r="AE1552" s="104" t="e">
        <f t="shared" si="680"/>
        <v>#N/A</v>
      </c>
      <c r="AF1552" s="104" t="e">
        <f>IF(AND(VLOOKUP($D1552,Merchantability!$B:$C,2,0)="Yes",$E1552&gt;=VLOOKUP($D1552,Merchantability!$B:$D,3,0),$E1552&lt;=VLOOKUP($D1552,Merchantability!$B:$E,4,0)),AA1552,0)</f>
        <v>#N/A</v>
      </c>
      <c r="AG1552" s="104" t="e">
        <f>IF(AND(VLOOKUP($D1552,Merchantability!$B:$C,2,0)="Yes",$E1552&gt;=VLOOKUP($D1552,Merchantability!$B:$D,3,0),$E1552&lt;=VLOOKUP($D1552,Merchantability!$B:$E,4,0)),AB1552,0)</f>
        <v>#N/A</v>
      </c>
      <c r="AH1552" s="104" t="e">
        <f>IF(AND(VLOOKUP($D1552,Merchantability!$B:$C,2,0)="Yes",$E1552&gt;=VLOOKUP($D1552,Merchantability!$B:$D,3,0),$E1552&lt;=VLOOKUP($D1552,Merchantability!$B:$E,4,0)),AC1552,0)</f>
        <v>#N/A</v>
      </c>
      <c r="AI1552" s="104" t="e">
        <f t="shared" si="681"/>
        <v>#N/A</v>
      </c>
      <c r="AJ1552" s="104" t="e">
        <f t="shared" si="682"/>
        <v>#VALUE!</v>
      </c>
      <c r="AK1552" s="104" t="e">
        <f t="shared" si="683"/>
        <v>#N/A</v>
      </c>
      <c r="AL1552" s="104" t="e">
        <f t="shared" si="684"/>
        <v>#N/A</v>
      </c>
      <c r="AM1552" s="104" t="e">
        <f t="shared" si="685"/>
        <v>#N/A</v>
      </c>
      <c r="AN1552" s="104" t="e">
        <f t="shared" si="696"/>
        <v>#N/A</v>
      </c>
      <c r="AO1552" s="104" t="e">
        <f t="shared" si="697"/>
        <v>#N/A</v>
      </c>
      <c r="AP1552" s="104" t="e">
        <f t="shared" si="698"/>
        <v>#N/A</v>
      </c>
      <c r="AQ1552" s="104" t="e">
        <f t="shared" si="699"/>
        <v>#N/A</v>
      </c>
      <c r="AR1552" s="105" t="str">
        <f t="shared" si="691"/>
        <v/>
      </c>
      <c r="AS1552" s="105" t="str">
        <f t="shared" si="692"/>
        <v/>
      </c>
      <c r="AT1552" s="108" t="str">
        <f t="shared" si="693"/>
        <v/>
      </c>
      <c r="AU1552" s="108" t="str">
        <f t="shared" si="694"/>
        <v/>
      </c>
      <c r="AV1552" s="107" t="str">
        <f>IF(ISNUMBER(O1552),IF(VLOOKUP($A1552,Stand!C:J,8,FALSE)="Short",AT1552,AU1552),"")</f>
        <v/>
      </c>
      <c r="AW1552" s="109" t="str">
        <f t="shared" si="700"/>
        <v/>
      </c>
      <c r="AX1552" s="109" t="str">
        <f t="shared" si="701"/>
        <v/>
      </c>
      <c r="AY1552" s="112" t="str">
        <f>IF(ISNUMBER(O1552),IF(AND(VLOOKUP($D1552,Merchantability!$B:$C,2,0)="Yes",$E1552&gt;=VLOOKUP($D1552,Merchantability!$B:$D,3,0),$E1552&lt;=VLOOKUP($D1552,Merchantability!$B:$E,4,0)),(AV1552*O1552)*(1-$H1552/100),""),"")</f>
        <v/>
      </c>
      <c r="AZ1552" s="116"/>
      <c r="BA1552" s="116"/>
      <c r="BB1552" s="116"/>
      <c r="BE1552" s="62"/>
      <c r="BF1552" s="63"/>
    </row>
    <row r="1553" spans="1:58" ht="12.75" customHeight="1" x14ac:dyDescent="0.25">
      <c r="A1553" s="333"/>
      <c r="B1553" s="334"/>
      <c r="C1553" s="332"/>
      <c r="D1553" s="334"/>
      <c r="E1553" s="335"/>
      <c r="F1553" s="334"/>
      <c r="G1553" s="332"/>
      <c r="H1553" s="332"/>
      <c r="I1553" s="334"/>
      <c r="J1553" s="336"/>
      <c r="K1553" s="332"/>
      <c r="L1553" s="332"/>
      <c r="M1553" s="76"/>
      <c r="N1553" s="103" t="str">
        <f>IF(A1553="","",VLOOKUP(A1553,Stand!C:K,9,0))</f>
        <v/>
      </c>
      <c r="O1553" s="104" t="str">
        <f t="shared" si="686"/>
        <v/>
      </c>
      <c r="P1553" s="105" t="str">
        <f t="shared" si="687"/>
        <v/>
      </c>
      <c r="Q1553" s="105" t="str">
        <f t="shared" si="675"/>
        <v/>
      </c>
      <c r="R1553" s="103" t="str">
        <f t="shared" si="688"/>
        <v/>
      </c>
      <c r="S1553" s="103" t="str">
        <f t="shared" si="689"/>
        <v/>
      </c>
      <c r="T1553" s="106" t="str">
        <f t="shared" si="676"/>
        <v/>
      </c>
      <c r="U1553" s="106" t="str">
        <f t="shared" si="677"/>
        <v/>
      </c>
      <c r="V1553" s="106" t="str">
        <f t="shared" si="678"/>
        <v/>
      </c>
      <c r="W1553" s="105" t="str">
        <f t="shared" si="690"/>
        <v/>
      </c>
      <c r="X1553" s="104" t="str">
        <f t="shared" si="695"/>
        <v/>
      </c>
      <c r="Y1553" s="104" t="str">
        <f t="array" ref="Y1553">IFERROR(IF(ISNUMBER(O1553),IF(COUNT(IF(A1553=$A$2:$A$2427,IF(D1553=$D$2:$D$2427,IF($X$2:$X$2427&gt;0,1))))&gt;0,SUM(IF(A1553=$A$2:$A$2427,IF(D1553=$D$2:$D$2427,$X$2:$X$2427)))/COUNT(IF(A1553=$A$2:$A$2427,IF(D1553=$D$2:$D$2427,IF(ISNUMBER($X$2:$X$2427),1)))),0),""),0)</f>
        <v/>
      </c>
      <c r="Z1553" s="104" t="str">
        <f>IF(ISNUMBER(O1553),IF(I1553&gt;0,(10^(VLOOKUP(D1553,'Species Codes'!B:C,2,0)+VLOOKUP(D1553,'Species Codes'!B:D,3,0)*LOG(E1553)+VLOOKUP(D1553,'Species Codes'!B:E,4,0)*LOG(I1553))),0),"")</f>
        <v/>
      </c>
      <c r="AA1553" s="104" t="str">
        <f>IFERROR((VLOOKUP(D1553,'Species Codes'!B:G,6,0)*Z1553)/2000,"")</f>
        <v/>
      </c>
      <c r="AB1553" s="104" t="e">
        <f>IF(Z1553&gt;0,((IF(OR(D1553="DF",D1553="RA")=TRUE,EXP(VLOOKUP(D1553,'Species Codes'!B:I,8,0)+VLOOKUP(D1553,'Species Codes'!B:J,9,0)*(LN((E1553*2.54)))),IF(OR(D1553="PY",D1553="RC",D1553="WH",D1553="NF")=TRUE,VLOOKUP(D1553,'Species Codes'!B:I,8,0)+VLOOKUP(D1553,'Species Codes'!B:J,9,0)*((E1553*2.54)^2)*(I1553*0.3048),IF(OR(D1553="MD",D1553="BM",D1553="GA")=TRUE,((VLOOKUP(D1553,'Species Codes'!B:I,8,0)*(((((E1553*2.54)+VLOOKUP(D1553,'Species Codes'!B:J,9,0))/VLOOKUP(D1553,'Species Codes'!B:K,10,0))^VLOOKUP(D1553,'Species Codes'!B:L,11,0))*((I1553*0.3048)^VLOOKUP(D1553,'Species Codes'!B:M,12,0))))-(VLOOKUP(D1553,'Species Codes'!B:I,8,0)*((((E1553*2.54)^VLOOKUP(D1553,'Species Codes'!B:L,11,0))*((I1553*0.3048)^VLOOKUP(D1553,'Species Codes'!B:M,12,0))))))*35.3*VLOOKUP(D1553,'Species Codes'!B:G,6,0)/2.2046,VLOOKUP(D1553,'Species Codes'!B:I,8,0)+VLOOKUP(D1553,'Species Codes'!B:J,9,0)*(((E1553*2.54)/100)^2)*(I1553*0.3048)))))*0.0011023),0)</f>
        <v>#N/A</v>
      </c>
      <c r="AC1553" s="104" t="e">
        <f>IF(Z1553&gt;0,((IF(OR(D1553="RA",D1553="OA",D1553="OT",D1553="UN",D1553="PC"),EXP(VLOOKUP(D1553,'Species Codes'!B:O,14,0)+VLOOKUP(D1553,'Species Codes'!B:P,15,0)*LN((E1553*2.54)))-EXP(VLOOKUP(D1553,'Species Codes'!B:O,14,0)+VLOOKUP(D1553,'Species Codes'!B:P,15,0)*LN((E1553*2.54)))*(1/(VLOOKUP(D1553,'Species Codes'!B:Q,16,0)+VLOOKUP(D1553,'Species Codes'!B:R,17,0)*((E1553*2.54)^VLOOKUP(D1553,'Species Codes'!B:S,18,0)))),IF(OR(D1553="BM",D1553="MD",D1553="OA"),EXP(VLOOKUP(D1553,'Species Codes'!B:O,14,0)+VLOOKUP(D1553,'Species Codes'!B:P,15,0)*LN((E1553*2.54)))*(1-(1/(VLOOKUP(D1553,'Species Codes'!B:Q,16,0)+VLOOKUP(D1553,'Species Codes'!B:R,17,0)*((E1553*2.54)^VLOOKUP(D1553,'Species Codes'!B:S,18,0)))))/1000,IF(D1553="DF",EXP(VLOOKUP(D1553,'Species Codes'!B:O,14,0)+VLOOKUP(D1553,'Species Codes'!B:P,15,0)*LN((E1553*2.54))),VLOOKUP(D1553,'Species Codes'!B:O,14,0)+VLOOKUP(D1553,'Species Codes'!B:P,15,0)*(((E1553*2.54)/100)^2)*(I1553*0.3048)))))*0.0011023),0)</f>
        <v>#N/A</v>
      </c>
      <c r="AD1553" s="104" t="e">
        <f t="shared" si="679"/>
        <v>#N/A</v>
      </c>
      <c r="AE1553" s="104" t="e">
        <f t="shared" si="680"/>
        <v>#N/A</v>
      </c>
      <c r="AF1553" s="104" t="e">
        <f>IF(AND(VLOOKUP($D1553,Merchantability!$B:$C,2,0)="Yes",$E1553&gt;=VLOOKUP($D1553,Merchantability!$B:$D,3,0),$E1553&lt;=VLOOKUP($D1553,Merchantability!$B:$E,4,0)),AA1553,0)</f>
        <v>#N/A</v>
      </c>
      <c r="AG1553" s="104" t="e">
        <f>IF(AND(VLOOKUP($D1553,Merchantability!$B:$C,2,0)="Yes",$E1553&gt;=VLOOKUP($D1553,Merchantability!$B:$D,3,0),$E1553&lt;=VLOOKUP($D1553,Merchantability!$B:$E,4,0)),AB1553,0)</f>
        <v>#N/A</v>
      </c>
      <c r="AH1553" s="104" t="e">
        <f>IF(AND(VLOOKUP($D1553,Merchantability!$B:$C,2,0)="Yes",$E1553&gt;=VLOOKUP($D1553,Merchantability!$B:$D,3,0),$E1553&lt;=VLOOKUP($D1553,Merchantability!$B:$E,4,0)),AC1553,0)</f>
        <v>#N/A</v>
      </c>
      <c r="AI1553" s="104" t="e">
        <f t="shared" si="681"/>
        <v>#N/A</v>
      </c>
      <c r="AJ1553" s="104" t="e">
        <f t="shared" si="682"/>
        <v>#VALUE!</v>
      </c>
      <c r="AK1553" s="104" t="e">
        <f t="shared" si="683"/>
        <v>#N/A</v>
      </c>
      <c r="AL1553" s="104" t="e">
        <f t="shared" si="684"/>
        <v>#N/A</v>
      </c>
      <c r="AM1553" s="104" t="e">
        <f t="shared" si="685"/>
        <v>#N/A</v>
      </c>
      <c r="AN1553" s="104" t="e">
        <f t="shared" si="696"/>
        <v>#N/A</v>
      </c>
      <c r="AO1553" s="104" t="e">
        <f t="shared" si="697"/>
        <v>#N/A</v>
      </c>
      <c r="AP1553" s="104" t="e">
        <f t="shared" si="698"/>
        <v>#N/A</v>
      </c>
      <c r="AQ1553" s="104" t="e">
        <f t="shared" si="699"/>
        <v>#N/A</v>
      </c>
      <c r="AR1553" s="105" t="str">
        <f t="shared" si="691"/>
        <v/>
      </c>
      <c r="AS1553" s="105" t="str">
        <f t="shared" si="692"/>
        <v/>
      </c>
      <c r="AT1553" s="108" t="str">
        <f t="shared" si="693"/>
        <v/>
      </c>
      <c r="AU1553" s="108" t="str">
        <f t="shared" si="694"/>
        <v/>
      </c>
      <c r="AV1553" s="107" t="str">
        <f>IF(ISNUMBER(O1553),IF(VLOOKUP($A1553,Stand!C:J,8,FALSE)="Short",AT1553,AU1553),"")</f>
        <v/>
      </c>
      <c r="AW1553" s="109" t="str">
        <f t="shared" si="700"/>
        <v/>
      </c>
      <c r="AX1553" s="109" t="str">
        <f t="shared" si="701"/>
        <v/>
      </c>
      <c r="AY1553" s="112" t="str">
        <f>IF(ISNUMBER(O1553),IF(AND(VLOOKUP($D1553,Merchantability!$B:$C,2,0)="Yes",$E1553&gt;=VLOOKUP($D1553,Merchantability!$B:$D,3,0),$E1553&lt;=VLOOKUP($D1553,Merchantability!$B:$E,4,0)),(AV1553*O1553)*(1-$H1553/100),""),"")</f>
        <v/>
      </c>
      <c r="AZ1553" s="116"/>
      <c r="BA1553" s="116"/>
      <c r="BB1553" s="116"/>
      <c r="BE1553" s="62"/>
      <c r="BF1553" s="63"/>
    </row>
    <row r="1554" spans="1:58" ht="12.75" customHeight="1" x14ac:dyDescent="0.25">
      <c r="A1554" s="333"/>
      <c r="B1554" s="334"/>
      <c r="C1554" s="332"/>
      <c r="D1554" s="334"/>
      <c r="E1554" s="335"/>
      <c r="F1554" s="334"/>
      <c r="G1554" s="332"/>
      <c r="H1554" s="332"/>
      <c r="I1554" s="334"/>
      <c r="J1554" s="336"/>
      <c r="K1554" s="332"/>
      <c r="L1554" s="332"/>
      <c r="M1554" s="76"/>
      <c r="N1554" s="103" t="str">
        <f>IF(A1554="","",VLOOKUP(A1554,Stand!C:K,9,0))</f>
        <v/>
      </c>
      <c r="O1554" s="104" t="str">
        <f t="shared" si="686"/>
        <v/>
      </c>
      <c r="P1554" s="105" t="str">
        <f t="shared" si="687"/>
        <v/>
      </c>
      <c r="Q1554" s="105" t="str">
        <f t="shared" si="675"/>
        <v/>
      </c>
      <c r="R1554" s="103" t="str">
        <f t="shared" si="688"/>
        <v/>
      </c>
      <c r="S1554" s="103" t="str">
        <f t="shared" si="689"/>
        <v/>
      </c>
      <c r="T1554" s="106" t="str">
        <f t="shared" si="676"/>
        <v/>
      </c>
      <c r="U1554" s="106" t="str">
        <f t="shared" si="677"/>
        <v/>
      </c>
      <c r="V1554" s="106" t="str">
        <f t="shared" si="678"/>
        <v/>
      </c>
      <c r="W1554" s="105" t="str">
        <f t="shared" si="690"/>
        <v/>
      </c>
      <c r="X1554" s="104" t="str">
        <f t="shared" si="695"/>
        <v/>
      </c>
      <c r="Y1554" s="104" t="str">
        <f t="array" ref="Y1554">IFERROR(IF(ISNUMBER(O1554),IF(COUNT(IF(A1554=$A$2:$A$2427,IF(D1554=$D$2:$D$2427,IF($X$2:$X$2427&gt;0,1))))&gt;0,SUM(IF(A1554=$A$2:$A$2427,IF(D1554=$D$2:$D$2427,$X$2:$X$2427)))/COUNT(IF(A1554=$A$2:$A$2427,IF(D1554=$D$2:$D$2427,IF(ISNUMBER($X$2:$X$2427),1)))),0),""),0)</f>
        <v/>
      </c>
      <c r="Z1554" s="104" t="str">
        <f>IF(ISNUMBER(O1554),IF(I1554&gt;0,(10^(VLOOKUP(D1554,'Species Codes'!B:C,2,0)+VLOOKUP(D1554,'Species Codes'!B:D,3,0)*LOG(E1554)+VLOOKUP(D1554,'Species Codes'!B:E,4,0)*LOG(I1554))),0),"")</f>
        <v/>
      </c>
      <c r="AA1554" s="104" t="str">
        <f>IFERROR((VLOOKUP(D1554,'Species Codes'!B:G,6,0)*Z1554)/2000,"")</f>
        <v/>
      </c>
      <c r="AB1554" s="104" t="e">
        <f>IF(Z1554&gt;0,((IF(OR(D1554="DF",D1554="RA")=TRUE,EXP(VLOOKUP(D1554,'Species Codes'!B:I,8,0)+VLOOKUP(D1554,'Species Codes'!B:J,9,0)*(LN((E1554*2.54)))),IF(OR(D1554="PY",D1554="RC",D1554="WH",D1554="NF")=TRUE,VLOOKUP(D1554,'Species Codes'!B:I,8,0)+VLOOKUP(D1554,'Species Codes'!B:J,9,0)*((E1554*2.54)^2)*(I1554*0.3048),IF(OR(D1554="MD",D1554="BM",D1554="GA")=TRUE,((VLOOKUP(D1554,'Species Codes'!B:I,8,0)*(((((E1554*2.54)+VLOOKUP(D1554,'Species Codes'!B:J,9,0))/VLOOKUP(D1554,'Species Codes'!B:K,10,0))^VLOOKUP(D1554,'Species Codes'!B:L,11,0))*((I1554*0.3048)^VLOOKUP(D1554,'Species Codes'!B:M,12,0))))-(VLOOKUP(D1554,'Species Codes'!B:I,8,0)*((((E1554*2.54)^VLOOKUP(D1554,'Species Codes'!B:L,11,0))*((I1554*0.3048)^VLOOKUP(D1554,'Species Codes'!B:M,12,0))))))*35.3*VLOOKUP(D1554,'Species Codes'!B:G,6,0)/2.2046,VLOOKUP(D1554,'Species Codes'!B:I,8,0)+VLOOKUP(D1554,'Species Codes'!B:J,9,0)*(((E1554*2.54)/100)^2)*(I1554*0.3048)))))*0.0011023),0)</f>
        <v>#N/A</v>
      </c>
      <c r="AC1554" s="104" t="e">
        <f>IF(Z1554&gt;0,((IF(OR(D1554="RA",D1554="OA",D1554="OT",D1554="UN",D1554="PC"),EXP(VLOOKUP(D1554,'Species Codes'!B:O,14,0)+VLOOKUP(D1554,'Species Codes'!B:P,15,0)*LN((E1554*2.54)))-EXP(VLOOKUP(D1554,'Species Codes'!B:O,14,0)+VLOOKUP(D1554,'Species Codes'!B:P,15,0)*LN((E1554*2.54)))*(1/(VLOOKUP(D1554,'Species Codes'!B:Q,16,0)+VLOOKUP(D1554,'Species Codes'!B:R,17,0)*((E1554*2.54)^VLOOKUP(D1554,'Species Codes'!B:S,18,0)))),IF(OR(D1554="BM",D1554="MD",D1554="OA"),EXP(VLOOKUP(D1554,'Species Codes'!B:O,14,0)+VLOOKUP(D1554,'Species Codes'!B:P,15,0)*LN((E1554*2.54)))*(1-(1/(VLOOKUP(D1554,'Species Codes'!B:Q,16,0)+VLOOKUP(D1554,'Species Codes'!B:R,17,0)*((E1554*2.54)^VLOOKUP(D1554,'Species Codes'!B:S,18,0)))))/1000,IF(D1554="DF",EXP(VLOOKUP(D1554,'Species Codes'!B:O,14,0)+VLOOKUP(D1554,'Species Codes'!B:P,15,0)*LN((E1554*2.54))),VLOOKUP(D1554,'Species Codes'!B:O,14,0)+VLOOKUP(D1554,'Species Codes'!B:P,15,0)*(((E1554*2.54)/100)^2)*(I1554*0.3048)))))*0.0011023),0)</f>
        <v>#N/A</v>
      </c>
      <c r="AD1554" s="104" t="e">
        <f t="shared" si="679"/>
        <v>#N/A</v>
      </c>
      <c r="AE1554" s="104" t="e">
        <f t="shared" si="680"/>
        <v>#N/A</v>
      </c>
      <c r="AF1554" s="104" t="e">
        <f>IF(AND(VLOOKUP($D1554,Merchantability!$B:$C,2,0)="Yes",$E1554&gt;=VLOOKUP($D1554,Merchantability!$B:$D,3,0),$E1554&lt;=VLOOKUP($D1554,Merchantability!$B:$E,4,0)),AA1554,0)</f>
        <v>#N/A</v>
      </c>
      <c r="AG1554" s="104" t="e">
        <f>IF(AND(VLOOKUP($D1554,Merchantability!$B:$C,2,0)="Yes",$E1554&gt;=VLOOKUP($D1554,Merchantability!$B:$D,3,0),$E1554&lt;=VLOOKUP($D1554,Merchantability!$B:$E,4,0)),AB1554,0)</f>
        <v>#N/A</v>
      </c>
      <c r="AH1554" s="104" t="e">
        <f>IF(AND(VLOOKUP($D1554,Merchantability!$B:$C,2,0)="Yes",$E1554&gt;=VLOOKUP($D1554,Merchantability!$B:$D,3,0),$E1554&lt;=VLOOKUP($D1554,Merchantability!$B:$E,4,0)),AC1554,0)</f>
        <v>#N/A</v>
      </c>
      <c r="AI1554" s="104" t="e">
        <f t="shared" si="681"/>
        <v>#N/A</v>
      </c>
      <c r="AJ1554" s="104" t="e">
        <f t="shared" si="682"/>
        <v>#VALUE!</v>
      </c>
      <c r="AK1554" s="104" t="e">
        <f t="shared" si="683"/>
        <v>#N/A</v>
      </c>
      <c r="AL1554" s="104" t="e">
        <f t="shared" si="684"/>
        <v>#N/A</v>
      </c>
      <c r="AM1554" s="104" t="e">
        <f t="shared" si="685"/>
        <v>#N/A</v>
      </c>
      <c r="AN1554" s="104" t="e">
        <f t="shared" si="696"/>
        <v>#N/A</v>
      </c>
      <c r="AO1554" s="104" t="e">
        <f t="shared" si="697"/>
        <v>#N/A</v>
      </c>
      <c r="AP1554" s="104" t="e">
        <f t="shared" si="698"/>
        <v>#N/A</v>
      </c>
      <c r="AQ1554" s="104" t="e">
        <f t="shared" si="699"/>
        <v>#N/A</v>
      </c>
      <c r="AR1554" s="105" t="str">
        <f t="shared" si="691"/>
        <v/>
      </c>
      <c r="AS1554" s="105" t="str">
        <f t="shared" si="692"/>
        <v/>
      </c>
      <c r="AT1554" s="108" t="str">
        <f t="shared" si="693"/>
        <v/>
      </c>
      <c r="AU1554" s="108" t="str">
        <f t="shared" si="694"/>
        <v/>
      </c>
      <c r="AV1554" s="107" t="str">
        <f>IF(ISNUMBER(O1554),IF(VLOOKUP($A1554,Stand!C:J,8,FALSE)="Short",AT1554,AU1554),"")</f>
        <v/>
      </c>
      <c r="AW1554" s="109" t="str">
        <f t="shared" si="700"/>
        <v/>
      </c>
      <c r="AX1554" s="109" t="str">
        <f t="shared" si="701"/>
        <v/>
      </c>
      <c r="AY1554" s="112" t="str">
        <f>IF(ISNUMBER(O1554),IF(AND(VLOOKUP($D1554,Merchantability!$B:$C,2,0)="Yes",$E1554&gt;=VLOOKUP($D1554,Merchantability!$B:$D,3,0),$E1554&lt;=VLOOKUP($D1554,Merchantability!$B:$E,4,0)),(AV1554*O1554)*(1-$H1554/100),""),"")</f>
        <v/>
      </c>
      <c r="AZ1554" s="116"/>
      <c r="BA1554" s="116"/>
      <c r="BB1554" s="116"/>
      <c r="BE1554" s="62"/>
      <c r="BF1554" s="63"/>
    </row>
    <row r="1555" spans="1:58" ht="12.75" customHeight="1" x14ac:dyDescent="0.25">
      <c r="A1555" s="333"/>
      <c r="B1555" s="334"/>
      <c r="C1555" s="332"/>
      <c r="D1555" s="334"/>
      <c r="E1555" s="335"/>
      <c r="F1555" s="334"/>
      <c r="G1555" s="332"/>
      <c r="H1555" s="332"/>
      <c r="I1555" s="334"/>
      <c r="J1555" s="336"/>
      <c r="K1555" s="332"/>
      <c r="L1555" s="332"/>
      <c r="M1555" s="76"/>
      <c r="N1555" s="103" t="str">
        <f>IF(A1555="","",VLOOKUP(A1555,Stand!C:K,9,0))</f>
        <v/>
      </c>
      <c r="O1555" s="104" t="str">
        <f t="shared" si="686"/>
        <v/>
      </c>
      <c r="P1555" s="105" t="str">
        <f t="shared" si="687"/>
        <v/>
      </c>
      <c r="Q1555" s="105" t="str">
        <f t="shared" si="675"/>
        <v/>
      </c>
      <c r="R1555" s="103" t="str">
        <f t="shared" si="688"/>
        <v/>
      </c>
      <c r="S1555" s="103" t="str">
        <f t="shared" si="689"/>
        <v/>
      </c>
      <c r="T1555" s="106" t="str">
        <f t="shared" si="676"/>
        <v/>
      </c>
      <c r="U1555" s="106" t="str">
        <f t="shared" si="677"/>
        <v/>
      </c>
      <c r="V1555" s="106" t="str">
        <f t="shared" si="678"/>
        <v/>
      </c>
      <c r="W1555" s="105" t="str">
        <f t="shared" si="690"/>
        <v/>
      </c>
      <c r="X1555" s="104" t="str">
        <f t="shared" si="695"/>
        <v/>
      </c>
      <c r="Y1555" s="104" t="str">
        <f t="array" ref="Y1555">IFERROR(IF(ISNUMBER(O1555),IF(COUNT(IF(A1555=$A$2:$A$2427,IF(D1555=$D$2:$D$2427,IF($X$2:$X$2427&gt;0,1))))&gt;0,SUM(IF(A1555=$A$2:$A$2427,IF(D1555=$D$2:$D$2427,$X$2:$X$2427)))/COUNT(IF(A1555=$A$2:$A$2427,IF(D1555=$D$2:$D$2427,IF(ISNUMBER($X$2:$X$2427),1)))),0),""),0)</f>
        <v/>
      </c>
      <c r="Z1555" s="104" t="str">
        <f>IF(ISNUMBER(O1555),IF(I1555&gt;0,(10^(VLOOKUP(D1555,'Species Codes'!B:C,2,0)+VLOOKUP(D1555,'Species Codes'!B:D,3,0)*LOG(E1555)+VLOOKUP(D1555,'Species Codes'!B:E,4,0)*LOG(I1555))),0),"")</f>
        <v/>
      </c>
      <c r="AA1555" s="104" t="str">
        <f>IFERROR((VLOOKUP(D1555,'Species Codes'!B:G,6,0)*Z1555)/2000,"")</f>
        <v/>
      </c>
      <c r="AB1555" s="104" t="e">
        <f>IF(Z1555&gt;0,((IF(OR(D1555="DF",D1555="RA")=TRUE,EXP(VLOOKUP(D1555,'Species Codes'!B:I,8,0)+VLOOKUP(D1555,'Species Codes'!B:J,9,0)*(LN((E1555*2.54)))),IF(OR(D1555="PY",D1555="RC",D1555="WH",D1555="NF")=TRUE,VLOOKUP(D1555,'Species Codes'!B:I,8,0)+VLOOKUP(D1555,'Species Codes'!B:J,9,0)*((E1555*2.54)^2)*(I1555*0.3048),IF(OR(D1555="MD",D1555="BM",D1555="GA")=TRUE,((VLOOKUP(D1555,'Species Codes'!B:I,8,0)*(((((E1555*2.54)+VLOOKUP(D1555,'Species Codes'!B:J,9,0))/VLOOKUP(D1555,'Species Codes'!B:K,10,0))^VLOOKUP(D1555,'Species Codes'!B:L,11,0))*((I1555*0.3048)^VLOOKUP(D1555,'Species Codes'!B:M,12,0))))-(VLOOKUP(D1555,'Species Codes'!B:I,8,0)*((((E1555*2.54)^VLOOKUP(D1555,'Species Codes'!B:L,11,0))*((I1555*0.3048)^VLOOKUP(D1555,'Species Codes'!B:M,12,0))))))*35.3*VLOOKUP(D1555,'Species Codes'!B:G,6,0)/2.2046,VLOOKUP(D1555,'Species Codes'!B:I,8,0)+VLOOKUP(D1555,'Species Codes'!B:J,9,0)*(((E1555*2.54)/100)^2)*(I1555*0.3048)))))*0.0011023),0)</f>
        <v>#N/A</v>
      </c>
      <c r="AC1555" s="104" t="e">
        <f>IF(Z1555&gt;0,((IF(OR(D1555="RA",D1555="OA",D1555="OT",D1555="UN",D1555="PC"),EXP(VLOOKUP(D1555,'Species Codes'!B:O,14,0)+VLOOKUP(D1555,'Species Codes'!B:P,15,0)*LN((E1555*2.54)))-EXP(VLOOKUP(D1555,'Species Codes'!B:O,14,0)+VLOOKUP(D1555,'Species Codes'!B:P,15,0)*LN((E1555*2.54)))*(1/(VLOOKUP(D1555,'Species Codes'!B:Q,16,0)+VLOOKUP(D1555,'Species Codes'!B:R,17,0)*((E1555*2.54)^VLOOKUP(D1555,'Species Codes'!B:S,18,0)))),IF(OR(D1555="BM",D1555="MD",D1555="OA"),EXP(VLOOKUP(D1555,'Species Codes'!B:O,14,0)+VLOOKUP(D1555,'Species Codes'!B:P,15,0)*LN((E1555*2.54)))*(1-(1/(VLOOKUP(D1555,'Species Codes'!B:Q,16,0)+VLOOKUP(D1555,'Species Codes'!B:R,17,0)*((E1555*2.54)^VLOOKUP(D1555,'Species Codes'!B:S,18,0)))))/1000,IF(D1555="DF",EXP(VLOOKUP(D1555,'Species Codes'!B:O,14,0)+VLOOKUP(D1555,'Species Codes'!B:P,15,0)*LN((E1555*2.54))),VLOOKUP(D1555,'Species Codes'!B:O,14,0)+VLOOKUP(D1555,'Species Codes'!B:P,15,0)*(((E1555*2.54)/100)^2)*(I1555*0.3048)))))*0.0011023),0)</f>
        <v>#N/A</v>
      </c>
      <c r="AD1555" s="104" t="e">
        <f t="shared" si="679"/>
        <v>#N/A</v>
      </c>
      <c r="AE1555" s="104" t="e">
        <f t="shared" si="680"/>
        <v>#N/A</v>
      </c>
      <c r="AF1555" s="104" t="e">
        <f>IF(AND(VLOOKUP($D1555,Merchantability!$B:$C,2,0)="Yes",$E1555&gt;=VLOOKUP($D1555,Merchantability!$B:$D,3,0),$E1555&lt;=VLOOKUP($D1555,Merchantability!$B:$E,4,0)),AA1555,0)</f>
        <v>#N/A</v>
      </c>
      <c r="AG1555" s="104" t="e">
        <f>IF(AND(VLOOKUP($D1555,Merchantability!$B:$C,2,0)="Yes",$E1555&gt;=VLOOKUP($D1555,Merchantability!$B:$D,3,0),$E1555&lt;=VLOOKUP($D1555,Merchantability!$B:$E,4,0)),AB1555,0)</f>
        <v>#N/A</v>
      </c>
      <c r="AH1555" s="104" t="e">
        <f>IF(AND(VLOOKUP($D1555,Merchantability!$B:$C,2,0)="Yes",$E1555&gt;=VLOOKUP($D1555,Merchantability!$B:$D,3,0),$E1555&lt;=VLOOKUP($D1555,Merchantability!$B:$E,4,0)),AC1555,0)</f>
        <v>#N/A</v>
      </c>
      <c r="AI1555" s="104" t="e">
        <f t="shared" si="681"/>
        <v>#N/A</v>
      </c>
      <c r="AJ1555" s="104" t="e">
        <f t="shared" si="682"/>
        <v>#VALUE!</v>
      </c>
      <c r="AK1555" s="104" t="e">
        <f t="shared" si="683"/>
        <v>#N/A</v>
      </c>
      <c r="AL1555" s="104" t="e">
        <f t="shared" si="684"/>
        <v>#N/A</v>
      </c>
      <c r="AM1555" s="104" t="e">
        <f t="shared" si="685"/>
        <v>#N/A</v>
      </c>
      <c r="AN1555" s="104" t="e">
        <f t="shared" si="696"/>
        <v>#N/A</v>
      </c>
      <c r="AO1555" s="104" t="e">
        <f t="shared" si="697"/>
        <v>#N/A</v>
      </c>
      <c r="AP1555" s="104" t="e">
        <f t="shared" si="698"/>
        <v>#N/A</v>
      </c>
      <c r="AQ1555" s="104" t="e">
        <f t="shared" si="699"/>
        <v>#N/A</v>
      </c>
      <c r="AR1555" s="105" t="str">
        <f t="shared" si="691"/>
        <v/>
      </c>
      <c r="AS1555" s="105" t="str">
        <f t="shared" si="692"/>
        <v/>
      </c>
      <c r="AT1555" s="108" t="str">
        <f t="shared" si="693"/>
        <v/>
      </c>
      <c r="AU1555" s="108" t="str">
        <f t="shared" si="694"/>
        <v/>
      </c>
      <c r="AV1555" s="107" t="str">
        <f>IF(ISNUMBER(O1555),IF(VLOOKUP($A1555,Stand!C:J,8,FALSE)="Short",AT1555,AU1555),"")</f>
        <v/>
      </c>
      <c r="AW1555" s="109" t="str">
        <f t="shared" si="700"/>
        <v/>
      </c>
      <c r="AX1555" s="109" t="str">
        <f t="shared" si="701"/>
        <v/>
      </c>
      <c r="AY1555" s="112" t="str">
        <f>IF(ISNUMBER(O1555),IF(AND(VLOOKUP($D1555,Merchantability!$B:$C,2,0)="Yes",$E1555&gt;=VLOOKUP($D1555,Merchantability!$B:$D,3,0),$E1555&lt;=VLOOKUP($D1555,Merchantability!$B:$E,4,0)),(AV1555*O1555)*(1-$H1555/100),""),"")</f>
        <v/>
      </c>
      <c r="AZ1555" s="116"/>
      <c r="BA1555" s="116"/>
      <c r="BB1555" s="116"/>
      <c r="BE1555" s="62"/>
      <c r="BF1555" s="63"/>
    </row>
    <row r="1556" spans="1:58" ht="12.75" customHeight="1" x14ac:dyDescent="0.25">
      <c r="A1556" s="333"/>
      <c r="B1556" s="334"/>
      <c r="C1556" s="332"/>
      <c r="D1556" s="334"/>
      <c r="E1556" s="335"/>
      <c r="F1556" s="334"/>
      <c r="G1556" s="332"/>
      <c r="H1556" s="332"/>
      <c r="I1556" s="334"/>
      <c r="J1556" s="336"/>
      <c r="K1556" s="332"/>
      <c r="L1556" s="332"/>
      <c r="M1556" s="76"/>
      <c r="N1556" s="103" t="str">
        <f>IF(A1556="","",VLOOKUP(A1556,Stand!C:K,9,0))</f>
        <v/>
      </c>
      <c r="O1556" s="104" t="str">
        <f t="shared" si="686"/>
        <v/>
      </c>
      <c r="P1556" s="105" t="str">
        <f t="shared" si="687"/>
        <v/>
      </c>
      <c r="Q1556" s="105" t="str">
        <f t="shared" si="675"/>
        <v/>
      </c>
      <c r="R1556" s="103" t="str">
        <f t="shared" si="688"/>
        <v/>
      </c>
      <c r="S1556" s="103" t="str">
        <f t="shared" si="689"/>
        <v/>
      </c>
      <c r="T1556" s="106" t="str">
        <f t="shared" si="676"/>
        <v/>
      </c>
      <c r="U1556" s="106" t="str">
        <f t="shared" si="677"/>
        <v/>
      </c>
      <c r="V1556" s="106" t="str">
        <f t="shared" si="678"/>
        <v/>
      </c>
      <c r="W1556" s="105" t="str">
        <f t="shared" si="690"/>
        <v/>
      </c>
      <c r="X1556" s="104" t="str">
        <f t="shared" si="695"/>
        <v/>
      </c>
      <c r="Y1556" s="104" t="str">
        <f t="array" ref="Y1556">IFERROR(IF(ISNUMBER(O1556),IF(COUNT(IF(A1556=$A$2:$A$2427,IF(D1556=$D$2:$D$2427,IF($X$2:$X$2427&gt;0,1))))&gt;0,SUM(IF(A1556=$A$2:$A$2427,IF(D1556=$D$2:$D$2427,$X$2:$X$2427)))/COUNT(IF(A1556=$A$2:$A$2427,IF(D1556=$D$2:$D$2427,IF(ISNUMBER($X$2:$X$2427),1)))),0),""),0)</f>
        <v/>
      </c>
      <c r="Z1556" s="104" t="str">
        <f>IF(ISNUMBER(O1556),IF(I1556&gt;0,(10^(VLOOKUP(D1556,'Species Codes'!B:C,2,0)+VLOOKUP(D1556,'Species Codes'!B:D,3,0)*LOG(E1556)+VLOOKUP(D1556,'Species Codes'!B:E,4,0)*LOG(I1556))),0),"")</f>
        <v/>
      </c>
      <c r="AA1556" s="104" t="str">
        <f>IFERROR((VLOOKUP(D1556,'Species Codes'!B:G,6,0)*Z1556)/2000,"")</f>
        <v/>
      </c>
      <c r="AB1556" s="104" t="e">
        <f>IF(Z1556&gt;0,((IF(OR(D1556="DF",D1556="RA")=TRUE,EXP(VLOOKUP(D1556,'Species Codes'!B:I,8,0)+VLOOKUP(D1556,'Species Codes'!B:J,9,0)*(LN((E1556*2.54)))),IF(OR(D1556="PY",D1556="RC",D1556="WH",D1556="NF")=TRUE,VLOOKUP(D1556,'Species Codes'!B:I,8,0)+VLOOKUP(D1556,'Species Codes'!B:J,9,0)*((E1556*2.54)^2)*(I1556*0.3048),IF(OR(D1556="MD",D1556="BM",D1556="GA")=TRUE,((VLOOKUP(D1556,'Species Codes'!B:I,8,0)*(((((E1556*2.54)+VLOOKUP(D1556,'Species Codes'!B:J,9,0))/VLOOKUP(D1556,'Species Codes'!B:K,10,0))^VLOOKUP(D1556,'Species Codes'!B:L,11,0))*((I1556*0.3048)^VLOOKUP(D1556,'Species Codes'!B:M,12,0))))-(VLOOKUP(D1556,'Species Codes'!B:I,8,0)*((((E1556*2.54)^VLOOKUP(D1556,'Species Codes'!B:L,11,0))*((I1556*0.3048)^VLOOKUP(D1556,'Species Codes'!B:M,12,0))))))*35.3*VLOOKUP(D1556,'Species Codes'!B:G,6,0)/2.2046,VLOOKUP(D1556,'Species Codes'!B:I,8,0)+VLOOKUP(D1556,'Species Codes'!B:J,9,0)*(((E1556*2.54)/100)^2)*(I1556*0.3048)))))*0.0011023),0)</f>
        <v>#N/A</v>
      </c>
      <c r="AC1556" s="104" t="e">
        <f>IF(Z1556&gt;0,((IF(OR(D1556="RA",D1556="OA",D1556="OT",D1556="UN",D1556="PC"),EXP(VLOOKUP(D1556,'Species Codes'!B:O,14,0)+VLOOKUP(D1556,'Species Codes'!B:P,15,0)*LN((E1556*2.54)))-EXP(VLOOKUP(D1556,'Species Codes'!B:O,14,0)+VLOOKUP(D1556,'Species Codes'!B:P,15,0)*LN((E1556*2.54)))*(1/(VLOOKUP(D1556,'Species Codes'!B:Q,16,0)+VLOOKUP(D1556,'Species Codes'!B:R,17,0)*((E1556*2.54)^VLOOKUP(D1556,'Species Codes'!B:S,18,0)))),IF(OR(D1556="BM",D1556="MD",D1556="OA"),EXP(VLOOKUP(D1556,'Species Codes'!B:O,14,0)+VLOOKUP(D1556,'Species Codes'!B:P,15,0)*LN((E1556*2.54)))*(1-(1/(VLOOKUP(D1556,'Species Codes'!B:Q,16,0)+VLOOKUP(D1556,'Species Codes'!B:R,17,0)*((E1556*2.54)^VLOOKUP(D1556,'Species Codes'!B:S,18,0)))))/1000,IF(D1556="DF",EXP(VLOOKUP(D1556,'Species Codes'!B:O,14,0)+VLOOKUP(D1556,'Species Codes'!B:P,15,0)*LN((E1556*2.54))),VLOOKUP(D1556,'Species Codes'!B:O,14,0)+VLOOKUP(D1556,'Species Codes'!B:P,15,0)*(((E1556*2.54)/100)^2)*(I1556*0.3048)))))*0.0011023),0)</f>
        <v>#N/A</v>
      </c>
      <c r="AD1556" s="104" t="e">
        <f t="shared" si="679"/>
        <v>#N/A</v>
      </c>
      <c r="AE1556" s="104" t="e">
        <f t="shared" si="680"/>
        <v>#N/A</v>
      </c>
      <c r="AF1556" s="104" t="e">
        <f>IF(AND(VLOOKUP($D1556,Merchantability!$B:$C,2,0)="Yes",$E1556&gt;=VLOOKUP($D1556,Merchantability!$B:$D,3,0),$E1556&lt;=VLOOKUP($D1556,Merchantability!$B:$E,4,0)),AA1556,0)</f>
        <v>#N/A</v>
      </c>
      <c r="AG1556" s="104" t="e">
        <f>IF(AND(VLOOKUP($D1556,Merchantability!$B:$C,2,0)="Yes",$E1556&gt;=VLOOKUP($D1556,Merchantability!$B:$D,3,0),$E1556&lt;=VLOOKUP($D1556,Merchantability!$B:$E,4,0)),AB1556,0)</f>
        <v>#N/A</v>
      </c>
      <c r="AH1556" s="104" t="e">
        <f>IF(AND(VLOOKUP($D1556,Merchantability!$B:$C,2,0)="Yes",$E1556&gt;=VLOOKUP($D1556,Merchantability!$B:$D,3,0),$E1556&lt;=VLOOKUP($D1556,Merchantability!$B:$E,4,0)),AC1556,0)</f>
        <v>#N/A</v>
      </c>
      <c r="AI1556" s="104" t="e">
        <f t="shared" si="681"/>
        <v>#N/A</v>
      </c>
      <c r="AJ1556" s="104" t="e">
        <f t="shared" si="682"/>
        <v>#VALUE!</v>
      </c>
      <c r="AK1556" s="104" t="e">
        <f t="shared" si="683"/>
        <v>#N/A</v>
      </c>
      <c r="AL1556" s="104" t="e">
        <f t="shared" si="684"/>
        <v>#N/A</v>
      </c>
      <c r="AM1556" s="104" t="e">
        <f t="shared" si="685"/>
        <v>#N/A</v>
      </c>
      <c r="AN1556" s="104" t="e">
        <f t="shared" si="696"/>
        <v>#N/A</v>
      </c>
      <c r="AO1556" s="104" t="e">
        <f t="shared" si="697"/>
        <v>#N/A</v>
      </c>
      <c r="AP1556" s="104" t="e">
        <f t="shared" si="698"/>
        <v>#N/A</v>
      </c>
      <c r="AQ1556" s="104" t="e">
        <f t="shared" si="699"/>
        <v>#N/A</v>
      </c>
      <c r="AR1556" s="105" t="str">
        <f t="shared" si="691"/>
        <v/>
      </c>
      <c r="AS1556" s="105" t="str">
        <f t="shared" si="692"/>
        <v/>
      </c>
      <c r="AT1556" s="108" t="str">
        <f t="shared" si="693"/>
        <v/>
      </c>
      <c r="AU1556" s="108" t="str">
        <f t="shared" si="694"/>
        <v/>
      </c>
      <c r="AV1556" s="107" t="str">
        <f>IF(ISNUMBER(O1556),IF(VLOOKUP($A1556,Stand!C:J,8,FALSE)="Short",AT1556,AU1556),"")</f>
        <v/>
      </c>
      <c r="AW1556" s="109" t="str">
        <f t="shared" si="700"/>
        <v/>
      </c>
      <c r="AX1556" s="109" t="str">
        <f t="shared" si="701"/>
        <v/>
      </c>
      <c r="AY1556" s="112" t="str">
        <f>IF(ISNUMBER(O1556),IF(AND(VLOOKUP($D1556,Merchantability!$B:$C,2,0)="Yes",$E1556&gt;=VLOOKUP($D1556,Merchantability!$B:$D,3,0),$E1556&lt;=VLOOKUP($D1556,Merchantability!$B:$E,4,0)),(AV1556*O1556)*(1-$H1556/100),""),"")</f>
        <v/>
      </c>
      <c r="AZ1556" s="116"/>
      <c r="BA1556" s="116"/>
      <c r="BB1556" s="116"/>
      <c r="BE1556" s="62"/>
      <c r="BF1556" s="63"/>
    </row>
    <row r="1557" spans="1:58" ht="12.75" customHeight="1" x14ac:dyDescent="0.25">
      <c r="A1557" s="333"/>
      <c r="B1557" s="334"/>
      <c r="C1557" s="332"/>
      <c r="D1557" s="334"/>
      <c r="E1557" s="335"/>
      <c r="F1557" s="334"/>
      <c r="G1557" s="332"/>
      <c r="H1557" s="332"/>
      <c r="I1557" s="334"/>
      <c r="J1557" s="336"/>
      <c r="K1557" s="332"/>
      <c r="L1557" s="332"/>
      <c r="M1557" s="76"/>
      <c r="N1557" s="103" t="str">
        <f>IF(A1557="","",VLOOKUP(A1557,Stand!C:K,9,0))</f>
        <v/>
      </c>
      <c r="O1557" s="104" t="str">
        <f t="shared" si="686"/>
        <v/>
      </c>
      <c r="P1557" s="105" t="str">
        <f t="shared" si="687"/>
        <v/>
      </c>
      <c r="Q1557" s="105" t="str">
        <f t="shared" si="675"/>
        <v/>
      </c>
      <c r="R1557" s="103" t="str">
        <f t="shared" si="688"/>
        <v/>
      </c>
      <c r="S1557" s="103" t="str">
        <f t="shared" si="689"/>
        <v/>
      </c>
      <c r="T1557" s="106" t="str">
        <f t="shared" si="676"/>
        <v/>
      </c>
      <c r="U1557" s="106" t="str">
        <f t="shared" si="677"/>
        <v/>
      </c>
      <c r="V1557" s="106" t="str">
        <f t="shared" si="678"/>
        <v/>
      </c>
      <c r="W1557" s="105" t="str">
        <f t="shared" si="690"/>
        <v/>
      </c>
      <c r="X1557" s="104" t="str">
        <f t="shared" si="695"/>
        <v/>
      </c>
      <c r="Y1557" s="104" t="str">
        <f t="array" ref="Y1557">IFERROR(IF(ISNUMBER(O1557),IF(COUNT(IF(A1557=$A$2:$A$2427,IF(D1557=$D$2:$D$2427,IF($X$2:$X$2427&gt;0,1))))&gt;0,SUM(IF(A1557=$A$2:$A$2427,IF(D1557=$D$2:$D$2427,$X$2:$X$2427)))/COUNT(IF(A1557=$A$2:$A$2427,IF(D1557=$D$2:$D$2427,IF(ISNUMBER($X$2:$X$2427),1)))),0),""),0)</f>
        <v/>
      </c>
      <c r="Z1557" s="104" t="str">
        <f>IF(ISNUMBER(O1557),IF(I1557&gt;0,(10^(VLOOKUP(D1557,'Species Codes'!B:C,2,0)+VLOOKUP(D1557,'Species Codes'!B:D,3,0)*LOG(E1557)+VLOOKUP(D1557,'Species Codes'!B:E,4,0)*LOG(I1557))),0),"")</f>
        <v/>
      </c>
      <c r="AA1557" s="104" t="str">
        <f>IFERROR((VLOOKUP(D1557,'Species Codes'!B:G,6,0)*Z1557)/2000,"")</f>
        <v/>
      </c>
      <c r="AB1557" s="104" t="e">
        <f>IF(Z1557&gt;0,((IF(OR(D1557="DF",D1557="RA")=TRUE,EXP(VLOOKUP(D1557,'Species Codes'!B:I,8,0)+VLOOKUP(D1557,'Species Codes'!B:J,9,0)*(LN((E1557*2.54)))),IF(OR(D1557="PY",D1557="RC",D1557="WH",D1557="NF")=TRUE,VLOOKUP(D1557,'Species Codes'!B:I,8,0)+VLOOKUP(D1557,'Species Codes'!B:J,9,0)*((E1557*2.54)^2)*(I1557*0.3048),IF(OR(D1557="MD",D1557="BM",D1557="GA")=TRUE,((VLOOKUP(D1557,'Species Codes'!B:I,8,0)*(((((E1557*2.54)+VLOOKUP(D1557,'Species Codes'!B:J,9,0))/VLOOKUP(D1557,'Species Codes'!B:K,10,0))^VLOOKUP(D1557,'Species Codes'!B:L,11,0))*((I1557*0.3048)^VLOOKUP(D1557,'Species Codes'!B:M,12,0))))-(VLOOKUP(D1557,'Species Codes'!B:I,8,0)*((((E1557*2.54)^VLOOKUP(D1557,'Species Codes'!B:L,11,0))*((I1557*0.3048)^VLOOKUP(D1557,'Species Codes'!B:M,12,0))))))*35.3*VLOOKUP(D1557,'Species Codes'!B:G,6,0)/2.2046,VLOOKUP(D1557,'Species Codes'!B:I,8,0)+VLOOKUP(D1557,'Species Codes'!B:J,9,0)*(((E1557*2.54)/100)^2)*(I1557*0.3048)))))*0.0011023),0)</f>
        <v>#N/A</v>
      </c>
      <c r="AC1557" s="104" t="e">
        <f>IF(Z1557&gt;0,((IF(OR(D1557="RA",D1557="OA",D1557="OT",D1557="UN",D1557="PC"),EXP(VLOOKUP(D1557,'Species Codes'!B:O,14,0)+VLOOKUP(D1557,'Species Codes'!B:P,15,0)*LN((E1557*2.54)))-EXP(VLOOKUP(D1557,'Species Codes'!B:O,14,0)+VLOOKUP(D1557,'Species Codes'!B:P,15,0)*LN((E1557*2.54)))*(1/(VLOOKUP(D1557,'Species Codes'!B:Q,16,0)+VLOOKUP(D1557,'Species Codes'!B:R,17,0)*((E1557*2.54)^VLOOKUP(D1557,'Species Codes'!B:S,18,0)))),IF(OR(D1557="BM",D1557="MD",D1557="OA"),EXP(VLOOKUP(D1557,'Species Codes'!B:O,14,0)+VLOOKUP(D1557,'Species Codes'!B:P,15,0)*LN((E1557*2.54)))*(1-(1/(VLOOKUP(D1557,'Species Codes'!B:Q,16,0)+VLOOKUP(D1557,'Species Codes'!B:R,17,0)*((E1557*2.54)^VLOOKUP(D1557,'Species Codes'!B:S,18,0)))))/1000,IF(D1557="DF",EXP(VLOOKUP(D1557,'Species Codes'!B:O,14,0)+VLOOKUP(D1557,'Species Codes'!B:P,15,0)*LN((E1557*2.54))),VLOOKUP(D1557,'Species Codes'!B:O,14,0)+VLOOKUP(D1557,'Species Codes'!B:P,15,0)*(((E1557*2.54)/100)^2)*(I1557*0.3048)))))*0.0011023),0)</f>
        <v>#N/A</v>
      </c>
      <c r="AD1557" s="104" t="e">
        <f t="shared" si="679"/>
        <v>#N/A</v>
      </c>
      <c r="AE1557" s="104" t="e">
        <f t="shared" si="680"/>
        <v>#N/A</v>
      </c>
      <c r="AF1557" s="104" t="e">
        <f>IF(AND(VLOOKUP($D1557,Merchantability!$B:$C,2,0)="Yes",$E1557&gt;=VLOOKUP($D1557,Merchantability!$B:$D,3,0),$E1557&lt;=VLOOKUP($D1557,Merchantability!$B:$E,4,0)),AA1557,0)</f>
        <v>#N/A</v>
      </c>
      <c r="AG1557" s="104" t="e">
        <f>IF(AND(VLOOKUP($D1557,Merchantability!$B:$C,2,0)="Yes",$E1557&gt;=VLOOKUP($D1557,Merchantability!$B:$D,3,0),$E1557&lt;=VLOOKUP($D1557,Merchantability!$B:$E,4,0)),AB1557,0)</f>
        <v>#N/A</v>
      </c>
      <c r="AH1557" s="104" t="e">
        <f>IF(AND(VLOOKUP($D1557,Merchantability!$B:$C,2,0)="Yes",$E1557&gt;=VLOOKUP($D1557,Merchantability!$B:$D,3,0),$E1557&lt;=VLOOKUP($D1557,Merchantability!$B:$E,4,0)),AC1557,0)</f>
        <v>#N/A</v>
      </c>
      <c r="AI1557" s="104" t="e">
        <f t="shared" si="681"/>
        <v>#N/A</v>
      </c>
      <c r="AJ1557" s="104" t="e">
        <f t="shared" si="682"/>
        <v>#VALUE!</v>
      </c>
      <c r="AK1557" s="104" t="e">
        <f t="shared" si="683"/>
        <v>#N/A</v>
      </c>
      <c r="AL1557" s="104" t="e">
        <f t="shared" si="684"/>
        <v>#N/A</v>
      </c>
      <c r="AM1557" s="104" t="e">
        <f t="shared" si="685"/>
        <v>#N/A</v>
      </c>
      <c r="AN1557" s="104" t="e">
        <f t="shared" si="696"/>
        <v>#N/A</v>
      </c>
      <c r="AO1557" s="104" t="e">
        <f t="shared" si="697"/>
        <v>#N/A</v>
      </c>
      <c r="AP1557" s="104" t="e">
        <f t="shared" si="698"/>
        <v>#N/A</v>
      </c>
      <c r="AQ1557" s="104" t="e">
        <f t="shared" si="699"/>
        <v>#N/A</v>
      </c>
      <c r="AR1557" s="105" t="str">
        <f t="shared" si="691"/>
        <v/>
      </c>
      <c r="AS1557" s="105" t="str">
        <f t="shared" si="692"/>
        <v/>
      </c>
      <c r="AT1557" s="108" t="str">
        <f t="shared" si="693"/>
        <v/>
      </c>
      <c r="AU1557" s="108" t="str">
        <f t="shared" si="694"/>
        <v/>
      </c>
      <c r="AV1557" s="107" t="str">
        <f>IF(ISNUMBER(O1557),IF(VLOOKUP($A1557,Stand!C:J,8,FALSE)="Short",AT1557,AU1557),"")</f>
        <v/>
      </c>
      <c r="AW1557" s="109" t="str">
        <f t="shared" si="700"/>
        <v/>
      </c>
      <c r="AX1557" s="109" t="str">
        <f t="shared" si="701"/>
        <v/>
      </c>
      <c r="AY1557" s="112" t="str">
        <f>IF(ISNUMBER(O1557),IF(AND(VLOOKUP($D1557,Merchantability!$B:$C,2,0)="Yes",$E1557&gt;=VLOOKUP($D1557,Merchantability!$B:$D,3,0),$E1557&lt;=VLOOKUP($D1557,Merchantability!$B:$E,4,0)),(AV1557*O1557)*(1-$H1557/100),""),"")</f>
        <v/>
      </c>
      <c r="AZ1557" s="116"/>
      <c r="BA1557" s="116"/>
      <c r="BB1557" s="116"/>
      <c r="BE1557" s="62"/>
      <c r="BF1557" s="63"/>
    </row>
    <row r="1558" spans="1:58" ht="12.75" customHeight="1" x14ac:dyDescent="0.25">
      <c r="A1558" s="333"/>
      <c r="B1558" s="334"/>
      <c r="C1558" s="332"/>
      <c r="D1558" s="334"/>
      <c r="E1558" s="335"/>
      <c r="F1558" s="334"/>
      <c r="G1558" s="332"/>
      <c r="H1558" s="332"/>
      <c r="I1558" s="334"/>
      <c r="J1558" s="336"/>
      <c r="K1558" s="332"/>
      <c r="L1558" s="332"/>
      <c r="M1558" s="76"/>
      <c r="N1558" s="103" t="str">
        <f>IF(A1558="","",VLOOKUP(A1558,Stand!C:K,9,0))</f>
        <v/>
      </c>
      <c r="O1558" s="104" t="str">
        <f t="shared" si="686"/>
        <v/>
      </c>
      <c r="P1558" s="105" t="str">
        <f t="shared" si="687"/>
        <v/>
      </c>
      <c r="Q1558" s="105" t="str">
        <f t="shared" si="675"/>
        <v/>
      </c>
      <c r="R1558" s="103" t="str">
        <f t="shared" si="688"/>
        <v/>
      </c>
      <c r="S1558" s="103" t="str">
        <f t="shared" si="689"/>
        <v/>
      </c>
      <c r="T1558" s="106" t="str">
        <f t="shared" si="676"/>
        <v/>
      </c>
      <c r="U1558" s="106" t="str">
        <f t="shared" si="677"/>
        <v/>
      </c>
      <c r="V1558" s="106" t="str">
        <f t="shared" si="678"/>
        <v/>
      </c>
      <c r="W1558" s="105" t="str">
        <f t="shared" si="690"/>
        <v/>
      </c>
      <c r="X1558" s="104" t="str">
        <f t="shared" si="695"/>
        <v/>
      </c>
      <c r="Y1558" s="104" t="str">
        <f t="array" ref="Y1558">IFERROR(IF(ISNUMBER(O1558),IF(COUNT(IF(A1558=$A$2:$A$2427,IF(D1558=$D$2:$D$2427,IF($X$2:$X$2427&gt;0,1))))&gt;0,SUM(IF(A1558=$A$2:$A$2427,IF(D1558=$D$2:$D$2427,$X$2:$X$2427)))/COUNT(IF(A1558=$A$2:$A$2427,IF(D1558=$D$2:$D$2427,IF(ISNUMBER($X$2:$X$2427),1)))),0),""),0)</f>
        <v/>
      </c>
      <c r="Z1558" s="104" t="str">
        <f>IF(ISNUMBER(O1558),IF(I1558&gt;0,(10^(VLOOKUP(D1558,'Species Codes'!B:C,2,0)+VLOOKUP(D1558,'Species Codes'!B:D,3,0)*LOG(E1558)+VLOOKUP(D1558,'Species Codes'!B:E,4,0)*LOG(I1558))),0),"")</f>
        <v/>
      </c>
      <c r="AA1558" s="104" t="str">
        <f>IFERROR((VLOOKUP(D1558,'Species Codes'!B:G,6,0)*Z1558)/2000,"")</f>
        <v/>
      </c>
      <c r="AB1558" s="104" t="e">
        <f>IF(Z1558&gt;0,((IF(OR(D1558="DF",D1558="RA")=TRUE,EXP(VLOOKUP(D1558,'Species Codes'!B:I,8,0)+VLOOKUP(D1558,'Species Codes'!B:J,9,0)*(LN((E1558*2.54)))),IF(OR(D1558="PY",D1558="RC",D1558="WH",D1558="NF")=TRUE,VLOOKUP(D1558,'Species Codes'!B:I,8,0)+VLOOKUP(D1558,'Species Codes'!B:J,9,0)*((E1558*2.54)^2)*(I1558*0.3048),IF(OR(D1558="MD",D1558="BM",D1558="GA")=TRUE,((VLOOKUP(D1558,'Species Codes'!B:I,8,0)*(((((E1558*2.54)+VLOOKUP(D1558,'Species Codes'!B:J,9,0))/VLOOKUP(D1558,'Species Codes'!B:K,10,0))^VLOOKUP(D1558,'Species Codes'!B:L,11,0))*((I1558*0.3048)^VLOOKUP(D1558,'Species Codes'!B:M,12,0))))-(VLOOKUP(D1558,'Species Codes'!B:I,8,0)*((((E1558*2.54)^VLOOKUP(D1558,'Species Codes'!B:L,11,0))*((I1558*0.3048)^VLOOKUP(D1558,'Species Codes'!B:M,12,0))))))*35.3*VLOOKUP(D1558,'Species Codes'!B:G,6,0)/2.2046,VLOOKUP(D1558,'Species Codes'!B:I,8,0)+VLOOKUP(D1558,'Species Codes'!B:J,9,0)*(((E1558*2.54)/100)^2)*(I1558*0.3048)))))*0.0011023),0)</f>
        <v>#N/A</v>
      </c>
      <c r="AC1558" s="104" t="e">
        <f>IF(Z1558&gt;0,((IF(OR(D1558="RA",D1558="OA",D1558="OT",D1558="UN",D1558="PC"),EXP(VLOOKUP(D1558,'Species Codes'!B:O,14,0)+VLOOKUP(D1558,'Species Codes'!B:P,15,0)*LN((E1558*2.54)))-EXP(VLOOKUP(D1558,'Species Codes'!B:O,14,0)+VLOOKUP(D1558,'Species Codes'!B:P,15,0)*LN((E1558*2.54)))*(1/(VLOOKUP(D1558,'Species Codes'!B:Q,16,0)+VLOOKUP(D1558,'Species Codes'!B:R,17,0)*((E1558*2.54)^VLOOKUP(D1558,'Species Codes'!B:S,18,0)))),IF(OR(D1558="BM",D1558="MD",D1558="OA"),EXP(VLOOKUP(D1558,'Species Codes'!B:O,14,0)+VLOOKUP(D1558,'Species Codes'!B:P,15,0)*LN((E1558*2.54)))*(1-(1/(VLOOKUP(D1558,'Species Codes'!B:Q,16,0)+VLOOKUP(D1558,'Species Codes'!B:R,17,0)*((E1558*2.54)^VLOOKUP(D1558,'Species Codes'!B:S,18,0)))))/1000,IF(D1558="DF",EXP(VLOOKUP(D1558,'Species Codes'!B:O,14,0)+VLOOKUP(D1558,'Species Codes'!B:P,15,0)*LN((E1558*2.54))),VLOOKUP(D1558,'Species Codes'!B:O,14,0)+VLOOKUP(D1558,'Species Codes'!B:P,15,0)*(((E1558*2.54)/100)^2)*(I1558*0.3048)))))*0.0011023),0)</f>
        <v>#N/A</v>
      </c>
      <c r="AD1558" s="104" t="e">
        <f t="shared" si="679"/>
        <v>#N/A</v>
      </c>
      <c r="AE1558" s="104" t="e">
        <f t="shared" si="680"/>
        <v>#N/A</v>
      </c>
      <c r="AF1558" s="104" t="e">
        <f>IF(AND(VLOOKUP($D1558,Merchantability!$B:$C,2,0)="Yes",$E1558&gt;=VLOOKUP($D1558,Merchantability!$B:$D,3,0),$E1558&lt;=VLOOKUP($D1558,Merchantability!$B:$E,4,0)),AA1558,0)</f>
        <v>#N/A</v>
      </c>
      <c r="AG1558" s="104" t="e">
        <f>IF(AND(VLOOKUP($D1558,Merchantability!$B:$C,2,0)="Yes",$E1558&gt;=VLOOKUP($D1558,Merchantability!$B:$D,3,0),$E1558&lt;=VLOOKUP($D1558,Merchantability!$B:$E,4,0)),AB1558,0)</f>
        <v>#N/A</v>
      </c>
      <c r="AH1558" s="104" t="e">
        <f>IF(AND(VLOOKUP($D1558,Merchantability!$B:$C,2,0)="Yes",$E1558&gt;=VLOOKUP($D1558,Merchantability!$B:$D,3,0),$E1558&lt;=VLOOKUP($D1558,Merchantability!$B:$E,4,0)),AC1558,0)</f>
        <v>#N/A</v>
      </c>
      <c r="AI1558" s="104" t="e">
        <f t="shared" si="681"/>
        <v>#N/A</v>
      </c>
      <c r="AJ1558" s="104" t="e">
        <f t="shared" si="682"/>
        <v>#VALUE!</v>
      </c>
      <c r="AK1558" s="104" t="e">
        <f t="shared" si="683"/>
        <v>#N/A</v>
      </c>
      <c r="AL1558" s="104" t="e">
        <f t="shared" si="684"/>
        <v>#N/A</v>
      </c>
      <c r="AM1558" s="104" t="e">
        <f t="shared" si="685"/>
        <v>#N/A</v>
      </c>
      <c r="AN1558" s="104" t="e">
        <f t="shared" si="696"/>
        <v>#N/A</v>
      </c>
      <c r="AO1558" s="104" t="e">
        <f t="shared" si="697"/>
        <v>#N/A</v>
      </c>
      <c r="AP1558" s="104" t="e">
        <f t="shared" si="698"/>
        <v>#N/A</v>
      </c>
      <c r="AQ1558" s="104" t="e">
        <f t="shared" si="699"/>
        <v>#N/A</v>
      </c>
      <c r="AR1558" s="105" t="str">
        <f t="shared" si="691"/>
        <v/>
      </c>
      <c r="AS1558" s="105" t="str">
        <f t="shared" si="692"/>
        <v/>
      </c>
      <c r="AT1558" s="108" t="str">
        <f t="shared" si="693"/>
        <v/>
      </c>
      <c r="AU1558" s="108" t="str">
        <f t="shared" si="694"/>
        <v/>
      </c>
      <c r="AV1558" s="107" t="str">
        <f>IF(ISNUMBER(O1558),IF(VLOOKUP($A1558,Stand!C:J,8,FALSE)="Short",AT1558,AU1558),"")</f>
        <v/>
      </c>
      <c r="AW1558" s="109" t="str">
        <f t="shared" si="700"/>
        <v/>
      </c>
      <c r="AX1558" s="109" t="str">
        <f t="shared" si="701"/>
        <v/>
      </c>
      <c r="AY1558" s="112" t="str">
        <f>IF(ISNUMBER(O1558),IF(AND(VLOOKUP($D1558,Merchantability!$B:$C,2,0)="Yes",$E1558&gt;=VLOOKUP($D1558,Merchantability!$B:$D,3,0),$E1558&lt;=VLOOKUP($D1558,Merchantability!$B:$E,4,0)),(AV1558*O1558)*(1-$H1558/100),""),"")</f>
        <v/>
      </c>
      <c r="AZ1558" s="116"/>
      <c r="BA1558" s="116"/>
      <c r="BB1558" s="116"/>
      <c r="BE1558" s="62"/>
      <c r="BF1558" s="63"/>
    </row>
    <row r="1559" spans="1:58" ht="12.75" customHeight="1" x14ac:dyDescent="0.25">
      <c r="A1559" s="333"/>
      <c r="B1559" s="334"/>
      <c r="C1559" s="332"/>
      <c r="D1559" s="334"/>
      <c r="E1559" s="335"/>
      <c r="F1559" s="334"/>
      <c r="G1559" s="332"/>
      <c r="H1559" s="332"/>
      <c r="I1559" s="334"/>
      <c r="J1559" s="336"/>
      <c r="K1559" s="332"/>
      <c r="L1559" s="332"/>
      <c r="M1559" s="76"/>
      <c r="N1559" s="103" t="str">
        <f>IF(A1559="","",VLOOKUP(A1559,Stand!C:K,9,0))</f>
        <v/>
      </c>
      <c r="O1559" s="104" t="str">
        <f t="shared" si="686"/>
        <v/>
      </c>
      <c r="P1559" s="105" t="str">
        <f t="shared" si="687"/>
        <v/>
      </c>
      <c r="Q1559" s="105" t="str">
        <f t="shared" si="675"/>
        <v/>
      </c>
      <c r="R1559" s="103" t="str">
        <f t="shared" si="688"/>
        <v/>
      </c>
      <c r="S1559" s="103" t="str">
        <f t="shared" si="689"/>
        <v/>
      </c>
      <c r="T1559" s="106" t="str">
        <f t="shared" si="676"/>
        <v/>
      </c>
      <c r="U1559" s="106" t="str">
        <f t="shared" si="677"/>
        <v/>
      </c>
      <c r="V1559" s="106" t="str">
        <f t="shared" si="678"/>
        <v/>
      </c>
      <c r="W1559" s="105" t="str">
        <f t="shared" si="690"/>
        <v/>
      </c>
      <c r="X1559" s="104" t="str">
        <f t="shared" si="695"/>
        <v/>
      </c>
      <c r="Y1559" s="104" t="str">
        <f t="array" ref="Y1559">IFERROR(IF(ISNUMBER(O1559),IF(COUNT(IF(A1559=$A$2:$A$2427,IF(D1559=$D$2:$D$2427,IF($X$2:$X$2427&gt;0,1))))&gt;0,SUM(IF(A1559=$A$2:$A$2427,IF(D1559=$D$2:$D$2427,$X$2:$X$2427)))/COUNT(IF(A1559=$A$2:$A$2427,IF(D1559=$D$2:$D$2427,IF(ISNUMBER($X$2:$X$2427),1)))),0),""),0)</f>
        <v/>
      </c>
      <c r="Z1559" s="104" t="str">
        <f>IF(ISNUMBER(O1559),IF(I1559&gt;0,(10^(VLOOKUP(D1559,'Species Codes'!B:C,2,0)+VLOOKUP(D1559,'Species Codes'!B:D,3,0)*LOG(E1559)+VLOOKUP(D1559,'Species Codes'!B:E,4,0)*LOG(I1559))),0),"")</f>
        <v/>
      </c>
      <c r="AA1559" s="104" t="str">
        <f>IFERROR((VLOOKUP(D1559,'Species Codes'!B:G,6,0)*Z1559)/2000,"")</f>
        <v/>
      </c>
      <c r="AB1559" s="104" t="e">
        <f>IF(Z1559&gt;0,((IF(OR(D1559="DF",D1559="RA")=TRUE,EXP(VLOOKUP(D1559,'Species Codes'!B:I,8,0)+VLOOKUP(D1559,'Species Codes'!B:J,9,0)*(LN((E1559*2.54)))),IF(OR(D1559="PY",D1559="RC",D1559="WH",D1559="NF")=TRUE,VLOOKUP(D1559,'Species Codes'!B:I,8,0)+VLOOKUP(D1559,'Species Codes'!B:J,9,0)*((E1559*2.54)^2)*(I1559*0.3048),IF(OR(D1559="MD",D1559="BM",D1559="GA")=TRUE,((VLOOKUP(D1559,'Species Codes'!B:I,8,0)*(((((E1559*2.54)+VLOOKUP(D1559,'Species Codes'!B:J,9,0))/VLOOKUP(D1559,'Species Codes'!B:K,10,0))^VLOOKUP(D1559,'Species Codes'!B:L,11,0))*((I1559*0.3048)^VLOOKUP(D1559,'Species Codes'!B:M,12,0))))-(VLOOKUP(D1559,'Species Codes'!B:I,8,0)*((((E1559*2.54)^VLOOKUP(D1559,'Species Codes'!B:L,11,0))*((I1559*0.3048)^VLOOKUP(D1559,'Species Codes'!B:M,12,0))))))*35.3*VLOOKUP(D1559,'Species Codes'!B:G,6,0)/2.2046,VLOOKUP(D1559,'Species Codes'!B:I,8,0)+VLOOKUP(D1559,'Species Codes'!B:J,9,0)*(((E1559*2.54)/100)^2)*(I1559*0.3048)))))*0.0011023),0)</f>
        <v>#N/A</v>
      </c>
      <c r="AC1559" s="104" t="e">
        <f>IF(Z1559&gt;0,((IF(OR(D1559="RA",D1559="OA",D1559="OT",D1559="UN",D1559="PC"),EXP(VLOOKUP(D1559,'Species Codes'!B:O,14,0)+VLOOKUP(D1559,'Species Codes'!B:P,15,0)*LN((E1559*2.54)))-EXP(VLOOKUP(D1559,'Species Codes'!B:O,14,0)+VLOOKUP(D1559,'Species Codes'!B:P,15,0)*LN((E1559*2.54)))*(1/(VLOOKUP(D1559,'Species Codes'!B:Q,16,0)+VLOOKUP(D1559,'Species Codes'!B:R,17,0)*((E1559*2.54)^VLOOKUP(D1559,'Species Codes'!B:S,18,0)))),IF(OR(D1559="BM",D1559="MD",D1559="OA"),EXP(VLOOKUP(D1559,'Species Codes'!B:O,14,0)+VLOOKUP(D1559,'Species Codes'!B:P,15,0)*LN((E1559*2.54)))*(1-(1/(VLOOKUP(D1559,'Species Codes'!B:Q,16,0)+VLOOKUP(D1559,'Species Codes'!B:R,17,0)*((E1559*2.54)^VLOOKUP(D1559,'Species Codes'!B:S,18,0)))))/1000,IF(D1559="DF",EXP(VLOOKUP(D1559,'Species Codes'!B:O,14,0)+VLOOKUP(D1559,'Species Codes'!B:P,15,0)*LN((E1559*2.54))),VLOOKUP(D1559,'Species Codes'!B:O,14,0)+VLOOKUP(D1559,'Species Codes'!B:P,15,0)*(((E1559*2.54)/100)^2)*(I1559*0.3048)))))*0.0011023),0)</f>
        <v>#N/A</v>
      </c>
      <c r="AD1559" s="104" t="e">
        <f t="shared" si="679"/>
        <v>#N/A</v>
      </c>
      <c r="AE1559" s="104" t="e">
        <f t="shared" si="680"/>
        <v>#N/A</v>
      </c>
      <c r="AF1559" s="104" t="e">
        <f>IF(AND(VLOOKUP($D1559,Merchantability!$B:$C,2,0)="Yes",$E1559&gt;=VLOOKUP($D1559,Merchantability!$B:$D,3,0),$E1559&lt;=VLOOKUP($D1559,Merchantability!$B:$E,4,0)),AA1559,0)</f>
        <v>#N/A</v>
      </c>
      <c r="AG1559" s="104" t="e">
        <f>IF(AND(VLOOKUP($D1559,Merchantability!$B:$C,2,0)="Yes",$E1559&gt;=VLOOKUP($D1559,Merchantability!$B:$D,3,0),$E1559&lt;=VLOOKUP($D1559,Merchantability!$B:$E,4,0)),AB1559,0)</f>
        <v>#N/A</v>
      </c>
      <c r="AH1559" s="104" t="e">
        <f>IF(AND(VLOOKUP($D1559,Merchantability!$B:$C,2,0)="Yes",$E1559&gt;=VLOOKUP($D1559,Merchantability!$B:$D,3,0),$E1559&lt;=VLOOKUP($D1559,Merchantability!$B:$E,4,0)),AC1559,0)</f>
        <v>#N/A</v>
      </c>
      <c r="AI1559" s="104" t="e">
        <f t="shared" si="681"/>
        <v>#N/A</v>
      </c>
      <c r="AJ1559" s="104" t="e">
        <f t="shared" si="682"/>
        <v>#VALUE!</v>
      </c>
      <c r="AK1559" s="104" t="e">
        <f t="shared" si="683"/>
        <v>#N/A</v>
      </c>
      <c r="AL1559" s="104" t="e">
        <f t="shared" si="684"/>
        <v>#N/A</v>
      </c>
      <c r="AM1559" s="104" t="e">
        <f t="shared" si="685"/>
        <v>#N/A</v>
      </c>
      <c r="AN1559" s="104" t="e">
        <f t="shared" si="696"/>
        <v>#N/A</v>
      </c>
      <c r="AO1559" s="104" t="e">
        <f t="shared" si="697"/>
        <v>#N/A</v>
      </c>
      <c r="AP1559" s="104" t="e">
        <f t="shared" si="698"/>
        <v>#N/A</v>
      </c>
      <c r="AQ1559" s="104" t="e">
        <f t="shared" si="699"/>
        <v>#N/A</v>
      </c>
      <c r="AR1559" s="105" t="str">
        <f t="shared" si="691"/>
        <v/>
      </c>
      <c r="AS1559" s="105" t="str">
        <f t="shared" si="692"/>
        <v/>
      </c>
      <c r="AT1559" s="108" t="str">
        <f t="shared" si="693"/>
        <v/>
      </c>
      <c r="AU1559" s="108" t="str">
        <f t="shared" si="694"/>
        <v/>
      </c>
      <c r="AV1559" s="107" t="str">
        <f>IF(ISNUMBER(O1559),IF(VLOOKUP($A1559,Stand!C:J,8,FALSE)="Short",AT1559,AU1559),"")</f>
        <v/>
      </c>
      <c r="AW1559" s="109" t="str">
        <f t="shared" si="700"/>
        <v/>
      </c>
      <c r="AX1559" s="109" t="str">
        <f t="shared" si="701"/>
        <v/>
      </c>
      <c r="AY1559" s="112" t="str">
        <f>IF(ISNUMBER(O1559),IF(AND(VLOOKUP($D1559,Merchantability!$B:$C,2,0)="Yes",$E1559&gt;=VLOOKUP($D1559,Merchantability!$B:$D,3,0),$E1559&lt;=VLOOKUP($D1559,Merchantability!$B:$E,4,0)),(AV1559*O1559)*(1-$H1559/100),""),"")</f>
        <v/>
      </c>
      <c r="AZ1559" s="116"/>
      <c r="BA1559" s="116"/>
      <c r="BB1559" s="116"/>
      <c r="BE1559" s="62"/>
      <c r="BF1559" s="63"/>
    </row>
    <row r="1560" spans="1:58" ht="12.75" customHeight="1" x14ac:dyDescent="0.25">
      <c r="A1560" s="333"/>
      <c r="B1560" s="334"/>
      <c r="C1560" s="332"/>
      <c r="D1560" s="334"/>
      <c r="E1560" s="335"/>
      <c r="F1560" s="334"/>
      <c r="G1560" s="332"/>
      <c r="H1560" s="332"/>
      <c r="I1560" s="334"/>
      <c r="J1560" s="336"/>
      <c r="K1560" s="332"/>
      <c r="L1560" s="332"/>
      <c r="M1560" s="76"/>
      <c r="N1560" s="103" t="str">
        <f>IF(A1560="","",VLOOKUP(A1560,Stand!C:K,9,0))</f>
        <v/>
      </c>
      <c r="O1560" s="104" t="str">
        <f t="shared" si="686"/>
        <v/>
      </c>
      <c r="P1560" s="105" t="str">
        <f t="shared" si="687"/>
        <v/>
      </c>
      <c r="Q1560" s="105" t="str">
        <f t="shared" si="675"/>
        <v/>
      </c>
      <c r="R1560" s="103" t="str">
        <f t="shared" si="688"/>
        <v/>
      </c>
      <c r="S1560" s="103" t="str">
        <f t="shared" si="689"/>
        <v/>
      </c>
      <c r="T1560" s="106" t="str">
        <f t="shared" si="676"/>
        <v/>
      </c>
      <c r="U1560" s="106" t="str">
        <f t="shared" si="677"/>
        <v/>
      </c>
      <c r="V1560" s="106" t="str">
        <f t="shared" si="678"/>
        <v/>
      </c>
      <c r="W1560" s="105" t="str">
        <f t="shared" si="690"/>
        <v/>
      </c>
      <c r="X1560" s="104" t="str">
        <f t="shared" si="695"/>
        <v/>
      </c>
      <c r="Y1560" s="104" t="str">
        <f t="array" ref="Y1560">IFERROR(IF(ISNUMBER(O1560),IF(COUNT(IF(A1560=$A$2:$A$2427,IF(D1560=$D$2:$D$2427,IF($X$2:$X$2427&gt;0,1))))&gt;0,SUM(IF(A1560=$A$2:$A$2427,IF(D1560=$D$2:$D$2427,$X$2:$X$2427)))/COUNT(IF(A1560=$A$2:$A$2427,IF(D1560=$D$2:$D$2427,IF(ISNUMBER($X$2:$X$2427),1)))),0),""),0)</f>
        <v/>
      </c>
      <c r="Z1560" s="104" t="str">
        <f>IF(ISNUMBER(O1560),IF(I1560&gt;0,(10^(VLOOKUP(D1560,'Species Codes'!B:C,2,0)+VLOOKUP(D1560,'Species Codes'!B:D,3,0)*LOG(E1560)+VLOOKUP(D1560,'Species Codes'!B:E,4,0)*LOG(I1560))),0),"")</f>
        <v/>
      </c>
      <c r="AA1560" s="104" t="str">
        <f>IFERROR((VLOOKUP(D1560,'Species Codes'!B:G,6,0)*Z1560)/2000,"")</f>
        <v/>
      </c>
      <c r="AB1560" s="104" t="e">
        <f>IF(Z1560&gt;0,((IF(OR(D1560="DF",D1560="RA")=TRUE,EXP(VLOOKUP(D1560,'Species Codes'!B:I,8,0)+VLOOKUP(D1560,'Species Codes'!B:J,9,0)*(LN((E1560*2.54)))),IF(OR(D1560="PY",D1560="RC",D1560="WH",D1560="NF")=TRUE,VLOOKUP(D1560,'Species Codes'!B:I,8,0)+VLOOKUP(D1560,'Species Codes'!B:J,9,0)*((E1560*2.54)^2)*(I1560*0.3048),IF(OR(D1560="MD",D1560="BM",D1560="GA")=TRUE,((VLOOKUP(D1560,'Species Codes'!B:I,8,0)*(((((E1560*2.54)+VLOOKUP(D1560,'Species Codes'!B:J,9,0))/VLOOKUP(D1560,'Species Codes'!B:K,10,0))^VLOOKUP(D1560,'Species Codes'!B:L,11,0))*((I1560*0.3048)^VLOOKUP(D1560,'Species Codes'!B:M,12,0))))-(VLOOKUP(D1560,'Species Codes'!B:I,8,0)*((((E1560*2.54)^VLOOKUP(D1560,'Species Codes'!B:L,11,0))*((I1560*0.3048)^VLOOKUP(D1560,'Species Codes'!B:M,12,0))))))*35.3*VLOOKUP(D1560,'Species Codes'!B:G,6,0)/2.2046,VLOOKUP(D1560,'Species Codes'!B:I,8,0)+VLOOKUP(D1560,'Species Codes'!B:J,9,0)*(((E1560*2.54)/100)^2)*(I1560*0.3048)))))*0.0011023),0)</f>
        <v>#N/A</v>
      </c>
      <c r="AC1560" s="104" t="e">
        <f>IF(Z1560&gt;0,((IF(OR(D1560="RA",D1560="OA",D1560="OT",D1560="UN",D1560="PC"),EXP(VLOOKUP(D1560,'Species Codes'!B:O,14,0)+VLOOKUP(D1560,'Species Codes'!B:P,15,0)*LN((E1560*2.54)))-EXP(VLOOKUP(D1560,'Species Codes'!B:O,14,0)+VLOOKUP(D1560,'Species Codes'!B:P,15,0)*LN((E1560*2.54)))*(1/(VLOOKUP(D1560,'Species Codes'!B:Q,16,0)+VLOOKUP(D1560,'Species Codes'!B:R,17,0)*((E1560*2.54)^VLOOKUP(D1560,'Species Codes'!B:S,18,0)))),IF(OR(D1560="BM",D1560="MD",D1560="OA"),EXP(VLOOKUP(D1560,'Species Codes'!B:O,14,0)+VLOOKUP(D1560,'Species Codes'!B:P,15,0)*LN((E1560*2.54)))*(1-(1/(VLOOKUP(D1560,'Species Codes'!B:Q,16,0)+VLOOKUP(D1560,'Species Codes'!B:R,17,0)*((E1560*2.54)^VLOOKUP(D1560,'Species Codes'!B:S,18,0)))))/1000,IF(D1560="DF",EXP(VLOOKUP(D1560,'Species Codes'!B:O,14,0)+VLOOKUP(D1560,'Species Codes'!B:P,15,0)*LN((E1560*2.54))),VLOOKUP(D1560,'Species Codes'!B:O,14,0)+VLOOKUP(D1560,'Species Codes'!B:P,15,0)*(((E1560*2.54)/100)^2)*(I1560*0.3048)))))*0.0011023),0)</f>
        <v>#N/A</v>
      </c>
      <c r="AD1560" s="104" t="e">
        <f t="shared" si="679"/>
        <v>#N/A</v>
      </c>
      <c r="AE1560" s="104" t="e">
        <f t="shared" si="680"/>
        <v>#N/A</v>
      </c>
      <c r="AF1560" s="104" t="e">
        <f>IF(AND(VLOOKUP($D1560,Merchantability!$B:$C,2,0)="Yes",$E1560&gt;=VLOOKUP($D1560,Merchantability!$B:$D,3,0),$E1560&lt;=VLOOKUP($D1560,Merchantability!$B:$E,4,0)),AA1560,0)</f>
        <v>#N/A</v>
      </c>
      <c r="AG1560" s="104" t="e">
        <f>IF(AND(VLOOKUP($D1560,Merchantability!$B:$C,2,0)="Yes",$E1560&gt;=VLOOKUP($D1560,Merchantability!$B:$D,3,0),$E1560&lt;=VLOOKUP($D1560,Merchantability!$B:$E,4,0)),AB1560,0)</f>
        <v>#N/A</v>
      </c>
      <c r="AH1560" s="104" t="e">
        <f>IF(AND(VLOOKUP($D1560,Merchantability!$B:$C,2,0)="Yes",$E1560&gt;=VLOOKUP($D1560,Merchantability!$B:$D,3,0),$E1560&lt;=VLOOKUP($D1560,Merchantability!$B:$E,4,0)),AC1560,0)</f>
        <v>#N/A</v>
      </c>
      <c r="AI1560" s="104" t="e">
        <f t="shared" si="681"/>
        <v>#N/A</v>
      </c>
      <c r="AJ1560" s="104" t="e">
        <f t="shared" si="682"/>
        <v>#VALUE!</v>
      </c>
      <c r="AK1560" s="104" t="e">
        <f t="shared" si="683"/>
        <v>#N/A</v>
      </c>
      <c r="AL1560" s="104" t="e">
        <f t="shared" si="684"/>
        <v>#N/A</v>
      </c>
      <c r="AM1560" s="104" t="e">
        <f t="shared" si="685"/>
        <v>#N/A</v>
      </c>
      <c r="AN1560" s="104" t="e">
        <f t="shared" si="696"/>
        <v>#N/A</v>
      </c>
      <c r="AO1560" s="104" t="e">
        <f t="shared" si="697"/>
        <v>#N/A</v>
      </c>
      <c r="AP1560" s="104" t="e">
        <f t="shared" si="698"/>
        <v>#N/A</v>
      </c>
      <c r="AQ1560" s="104" t="e">
        <f t="shared" si="699"/>
        <v>#N/A</v>
      </c>
      <c r="AR1560" s="105" t="str">
        <f t="shared" si="691"/>
        <v/>
      </c>
      <c r="AS1560" s="105" t="str">
        <f t="shared" si="692"/>
        <v/>
      </c>
      <c r="AT1560" s="108" t="str">
        <f t="shared" si="693"/>
        <v/>
      </c>
      <c r="AU1560" s="108" t="str">
        <f t="shared" si="694"/>
        <v/>
      </c>
      <c r="AV1560" s="107" t="str">
        <f>IF(ISNUMBER(O1560),IF(VLOOKUP($A1560,Stand!C:J,8,FALSE)="Short",AT1560,AU1560),"")</f>
        <v/>
      </c>
      <c r="AW1560" s="109" t="str">
        <f t="shared" si="700"/>
        <v/>
      </c>
      <c r="AX1560" s="109" t="str">
        <f t="shared" si="701"/>
        <v/>
      </c>
      <c r="AY1560" s="112" t="str">
        <f>IF(ISNUMBER(O1560),IF(AND(VLOOKUP($D1560,Merchantability!$B:$C,2,0)="Yes",$E1560&gt;=VLOOKUP($D1560,Merchantability!$B:$D,3,0),$E1560&lt;=VLOOKUP($D1560,Merchantability!$B:$E,4,0)),(AV1560*O1560)*(1-$H1560/100),""),"")</f>
        <v/>
      </c>
      <c r="AZ1560" s="116"/>
      <c r="BA1560" s="116"/>
      <c r="BB1560" s="116"/>
      <c r="BE1560" s="62"/>
      <c r="BF1560" s="63"/>
    </row>
    <row r="1561" spans="1:58" ht="12.75" customHeight="1" x14ac:dyDescent="0.25">
      <c r="A1561" s="333"/>
      <c r="B1561" s="334"/>
      <c r="C1561" s="332"/>
      <c r="D1561" s="334"/>
      <c r="E1561" s="335"/>
      <c r="F1561" s="334"/>
      <c r="G1561" s="332"/>
      <c r="H1561" s="332"/>
      <c r="I1561" s="334"/>
      <c r="J1561" s="336"/>
      <c r="K1561" s="332"/>
      <c r="L1561" s="332"/>
      <c r="M1561" s="76"/>
      <c r="N1561" s="103" t="str">
        <f>IF(A1561="","",VLOOKUP(A1561,Stand!C:K,9,0))</f>
        <v/>
      </c>
      <c r="O1561" s="104" t="str">
        <f t="shared" si="686"/>
        <v/>
      </c>
      <c r="P1561" s="105" t="str">
        <f t="shared" si="687"/>
        <v/>
      </c>
      <c r="Q1561" s="105" t="str">
        <f t="shared" si="675"/>
        <v/>
      </c>
      <c r="R1561" s="103" t="str">
        <f t="shared" si="688"/>
        <v/>
      </c>
      <c r="S1561" s="103" t="str">
        <f t="shared" si="689"/>
        <v/>
      </c>
      <c r="T1561" s="106" t="str">
        <f t="shared" si="676"/>
        <v/>
      </c>
      <c r="U1561" s="106" t="str">
        <f t="shared" si="677"/>
        <v/>
      </c>
      <c r="V1561" s="106" t="str">
        <f t="shared" si="678"/>
        <v/>
      </c>
      <c r="W1561" s="105" t="str">
        <f t="shared" si="690"/>
        <v/>
      </c>
      <c r="X1561" s="104" t="str">
        <f t="shared" si="695"/>
        <v/>
      </c>
      <c r="Y1561" s="104" t="str">
        <f t="array" ref="Y1561">IFERROR(IF(ISNUMBER(O1561),IF(COUNT(IF(A1561=$A$2:$A$2427,IF(D1561=$D$2:$D$2427,IF($X$2:$X$2427&gt;0,1))))&gt;0,SUM(IF(A1561=$A$2:$A$2427,IF(D1561=$D$2:$D$2427,$X$2:$X$2427)))/COUNT(IF(A1561=$A$2:$A$2427,IF(D1561=$D$2:$D$2427,IF(ISNUMBER($X$2:$X$2427),1)))),0),""),0)</f>
        <v/>
      </c>
      <c r="Z1561" s="104" t="str">
        <f>IF(ISNUMBER(O1561),IF(I1561&gt;0,(10^(VLOOKUP(D1561,'Species Codes'!B:C,2,0)+VLOOKUP(D1561,'Species Codes'!B:D,3,0)*LOG(E1561)+VLOOKUP(D1561,'Species Codes'!B:E,4,0)*LOG(I1561))),0),"")</f>
        <v/>
      </c>
      <c r="AA1561" s="104" t="str">
        <f>IFERROR((VLOOKUP(D1561,'Species Codes'!B:G,6,0)*Z1561)/2000,"")</f>
        <v/>
      </c>
      <c r="AB1561" s="104" t="e">
        <f>IF(Z1561&gt;0,((IF(OR(D1561="DF",D1561="RA")=TRUE,EXP(VLOOKUP(D1561,'Species Codes'!B:I,8,0)+VLOOKUP(D1561,'Species Codes'!B:J,9,0)*(LN((E1561*2.54)))),IF(OR(D1561="PY",D1561="RC",D1561="WH",D1561="NF")=TRUE,VLOOKUP(D1561,'Species Codes'!B:I,8,0)+VLOOKUP(D1561,'Species Codes'!B:J,9,0)*((E1561*2.54)^2)*(I1561*0.3048),IF(OR(D1561="MD",D1561="BM",D1561="GA")=TRUE,((VLOOKUP(D1561,'Species Codes'!B:I,8,0)*(((((E1561*2.54)+VLOOKUP(D1561,'Species Codes'!B:J,9,0))/VLOOKUP(D1561,'Species Codes'!B:K,10,0))^VLOOKUP(D1561,'Species Codes'!B:L,11,0))*((I1561*0.3048)^VLOOKUP(D1561,'Species Codes'!B:M,12,0))))-(VLOOKUP(D1561,'Species Codes'!B:I,8,0)*((((E1561*2.54)^VLOOKUP(D1561,'Species Codes'!B:L,11,0))*((I1561*0.3048)^VLOOKUP(D1561,'Species Codes'!B:M,12,0))))))*35.3*VLOOKUP(D1561,'Species Codes'!B:G,6,0)/2.2046,VLOOKUP(D1561,'Species Codes'!B:I,8,0)+VLOOKUP(D1561,'Species Codes'!B:J,9,0)*(((E1561*2.54)/100)^2)*(I1561*0.3048)))))*0.0011023),0)</f>
        <v>#N/A</v>
      </c>
      <c r="AC1561" s="104" t="e">
        <f>IF(Z1561&gt;0,((IF(OR(D1561="RA",D1561="OA",D1561="OT",D1561="UN",D1561="PC"),EXP(VLOOKUP(D1561,'Species Codes'!B:O,14,0)+VLOOKUP(D1561,'Species Codes'!B:P,15,0)*LN((E1561*2.54)))-EXP(VLOOKUP(D1561,'Species Codes'!B:O,14,0)+VLOOKUP(D1561,'Species Codes'!B:P,15,0)*LN((E1561*2.54)))*(1/(VLOOKUP(D1561,'Species Codes'!B:Q,16,0)+VLOOKUP(D1561,'Species Codes'!B:R,17,0)*((E1561*2.54)^VLOOKUP(D1561,'Species Codes'!B:S,18,0)))),IF(OR(D1561="BM",D1561="MD",D1561="OA"),EXP(VLOOKUP(D1561,'Species Codes'!B:O,14,0)+VLOOKUP(D1561,'Species Codes'!B:P,15,0)*LN((E1561*2.54)))*(1-(1/(VLOOKUP(D1561,'Species Codes'!B:Q,16,0)+VLOOKUP(D1561,'Species Codes'!B:R,17,0)*((E1561*2.54)^VLOOKUP(D1561,'Species Codes'!B:S,18,0)))))/1000,IF(D1561="DF",EXP(VLOOKUP(D1561,'Species Codes'!B:O,14,0)+VLOOKUP(D1561,'Species Codes'!B:P,15,0)*LN((E1561*2.54))),VLOOKUP(D1561,'Species Codes'!B:O,14,0)+VLOOKUP(D1561,'Species Codes'!B:P,15,0)*(((E1561*2.54)/100)^2)*(I1561*0.3048)))))*0.0011023),0)</f>
        <v>#N/A</v>
      </c>
      <c r="AD1561" s="104" t="e">
        <f t="shared" si="679"/>
        <v>#N/A</v>
      </c>
      <c r="AE1561" s="104" t="e">
        <f t="shared" si="680"/>
        <v>#N/A</v>
      </c>
      <c r="AF1561" s="104" t="e">
        <f>IF(AND(VLOOKUP($D1561,Merchantability!$B:$C,2,0)="Yes",$E1561&gt;=VLOOKUP($D1561,Merchantability!$B:$D,3,0),$E1561&lt;=VLOOKUP($D1561,Merchantability!$B:$E,4,0)),AA1561,0)</f>
        <v>#N/A</v>
      </c>
      <c r="AG1561" s="104" t="e">
        <f>IF(AND(VLOOKUP($D1561,Merchantability!$B:$C,2,0)="Yes",$E1561&gt;=VLOOKUP($D1561,Merchantability!$B:$D,3,0),$E1561&lt;=VLOOKUP($D1561,Merchantability!$B:$E,4,0)),AB1561,0)</f>
        <v>#N/A</v>
      </c>
      <c r="AH1561" s="104" t="e">
        <f>IF(AND(VLOOKUP($D1561,Merchantability!$B:$C,2,0)="Yes",$E1561&gt;=VLOOKUP($D1561,Merchantability!$B:$D,3,0),$E1561&lt;=VLOOKUP($D1561,Merchantability!$B:$E,4,0)),AC1561,0)</f>
        <v>#N/A</v>
      </c>
      <c r="AI1561" s="104" t="e">
        <f t="shared" si="681"/>
        <v>#N/A</v>
      </c>
      <c r="AJ1561" s="104" t="e">
        <f t="shared" si="682"/>
        <v>#VALUE!</v>
      </c>
      <c r="AK1561" s="104" t="e">
        <f t="shared" si="683"/>
        <v>#N/A</v>
      </c>
      <c r="AL1561" s="104" t="e">
        <f t="shared" si="684"/>
        <v>#N/A</v>
      </c>
      <c r="AM1561" s="104" t="e">
        <f t="shared" si="685"/>
        <v>#N/A</v>
      </c>
      <c r="AN1561" s="104" t="e">
        <f t="shared" si="696"/>
        <v>#N/A</v>
      </c>
      <c r="AO1561" s="104" t="e">
        <f t="shared" si="697"/>
        <v>#N/A</v>
      </c>
      <c r="AP1561" s="104" t="e">
        <f t="shared" si="698"/>
        <v>#N/A</v>
      </c>
      <c r="AQ1561" s="104" t="e">
        <f t="shared" si="699"/>
        <v>#N/A</v>
      </c>
      <c r="AR1561" s="105" t="str">
        <f t="shared" si="691"/>
        <v/>
      </c>
      <c r="AS1561" s="105" t="str">
        <f t="shared" si="692"/>
        <v/>
      </c>
      <c r="AT1561" s="108" t="str">
        <f t="shared" si="693"/>
        <v/>
      </c>
      <c r="AU1561" s="108" t="str">
        <f t="shared" si="694"/>
        <v/>
      </c>
      <c r="AV1561" s="107" t="str">
        <f>IF(ISNUMBER(O1561),IF(VLOOKUP($A1561,Stand!C:J,8,FALSE)="Short",AT1561,AU1561),"")</f>
        <v/>
      </c>
      <c r="AW1561" s="109" t="str">
        <f t="shared" si="700"/>
        <v/>
      </c>
      <c r="AX1561" s="109" t="str">
        <f t="shared" si="701"/>
        <v/>
      </c>
      <c r="AY1561" s="112" t="str">
        <f>IF(ISNUMBER(O1561),IF(AND(VLOOKUP($D1561,Merchantability!$B:$C,2,0)="Yes",$E1561&gt;=VLOOKUP($D1561,Merchantability!$B:$D,3,0),$E1561&lt;=VLOOKUP($D1561,Merchantability!$B:$E,4,0)),(AV1561*O1561)*(1-$H1561/100),""),"")</f>
        <v/>
      </c>
      <c r="AZ1561" s="116"/>
      <c r="BA1561" s="116"/>
      <c r="BB1561" s="116"/>
      <c r="BE1561" s="62"/>
      <c r="BF1561" s="63"/>
    </row>
    <row r="1562" spans="1:58" ht="12.75" customHeight="1" x14ac:dyDescent="0.25">
      <c r="A1562" s="333"/>
      <c r="B1562" s="334"/>
      <c r="C1562" s="332"/>
      <c r="D1562" s="334"/>
      <c r="E1562" s="335"/>
      <c r="F1562" s="334"/>
      <c r="G1562" s="332"/>
      <c r="H1562" s="332"/>
      <c r="I1562" s="334"/>
      <c r="J1562" s="336"/>
      <c r="K1562" s="332"/>
      <c r="L1562" s="332"/>
      <c r="M1562" s="76"/>
      <c r="N1562" s="103" t="str">
        <f>IF(A1562="","",VLOOKUP(A1562,Stand!C:K,9,0))</f>
        <v/>
      </c>
      <c r="O1562" s="104" t="str">
        <f t="shared" si="686"/>
        <v/>
      </c>
      <c r="P1562" s="105" t="str">
        <f t="shared" si="687"/>
        <v/>
      </c>
      <c r="Q1562" s="105" t="str">
        <f t="shared" si="675"/>
        <v/>
      </c>
      <c r="R1562" s="103" t="str">
        <f t="shared" si="688"/>
        <v/>
      </c>
      <c r="S1562" s="103" t="str">
        <f t="shared" si="689"/>
        <v/>
      </c>
      <c r="T1562" s="106" t="str">
        <f t="shared" si="676"/>
        <v/>
      </c>
      <c r="U1562" s="106" t="str">
        <f t="shared" si="677"/>
        <v/>
      </c>
      <c r="V1562" s="106" t="str">
        <f t="shared" si="678"/>
        <v/>
      </c>
      <c r="W1562" s="105" t="str">
        <f t="shared" si="690"/>
        <v/>
      </c>
      <c r="X1562" s="104" t="str">
        <f t="shared" si="695"/>
        <v/>
      </c>
      <c r="Y1562" s="104" t="str">
        <f t="array" ref="Y1562">IFERROR(IF(ISNUMBER(O1562),IF(COUNT(IF(A1562=$A$2:$A$2427,IF(D1562=$D$2:$D$2427,IF($X$2:$X$2427&gt;0,1))))&gt;0,SUM(IF(A1562=$A$2:$A$2427,IF(D1562=$D$2:$D$2427,$X$2:$X$2427)))/COUNT(IF(A1562=$A$2:$A$2427,IF(D1562=$D$2:$D$2427,IF(ISNUMBER($X$2:$X$2427),1)))),0),""),0)</f>
        <v/>
      </c>
      <c r="Z1562" s="104" t="str">
        <f>IF(ISNUMBER(O1562),IF(I1562&gt;0,(10^(VLOOKUP(D1562,'Species Codes'!B:C,2,0)+VLOOKUP(D1562,'Species Codes'!B:D,3,0)*LOG(E1562)+VLOOKUP(D1562,'Species Codes'!B:E,4,0)*LOG(I1562))),0),"")</f>
        <v/>
      </c>
      <c r="AA1562" s="104" t="str">
        <f>IFERROR((VLOOKUP(D1562,'Species Codes'!B:G,6,0)*Z1562)/2000,"")</f>
        <v/>
      </c>
      <c r="AB1562" s="104" t="e">
        <f>IF(Z1562&gt;0,((IF(OR(D1562="DF",D1562="RA")=TRUE,EXP(VLOOKUP(D1562,'Species Codes'!B:I,8,0)+VLOOKUP(D1562,'Species Codes'!B:J,9,0)*(LN((E1562*2.54)))),IF(OR(D1562="PY",D1562="RC",D1562="WH",D1562="NF")=TRUE,VLOOKUP(D1562,'Species Codes'!B:I,8,0)+VLOOKUP(D1562,'Species Codes'!B:J,9,0)*((E1562*2.54)^2)*(I1562*0.3048),IF(OR(D1562="MD",D1562="BM",D1562="GA")=TRUE,((VLOOKUP(D1562,'Species Codes'!B:I,8,0)*(((((E1562*2.54)+VLOOKUP(D1562,'Species Codes'!B:J,9,0))/VLOOKUP(D1562,'Species Codes'!B:K,10,0))^VLOOKUP(D1562,'Species Codes'!B:L,11,0))*((I1562*0.3048)^VLOOKUP(D1562,'Species Codes'!B:M,12,0))))-(VLOOKUP(D1562,'Species Codes'!B:I,8,0)*((((E1562*2.54)^VLOOKUP(D1562,'Species Codes'!B:L,11,0))*((I1562*0.3048)^VLOOKUP(D1562,'Species Codes'!B:M,12,0))))))*35.3*VLOOKUP(D1562,'Species Codes'!B:G,6,0)/2.2046,VLOOKUP(D1562,'Species Codes'!B:I,8,0)+VLOOKUP(D1562,'Species Codes'!B:J,9,0)*(((E1562*2.54)/100)^2)*(I1562*0.3048)))))*0.0011023),0)</f>
        <v>#N/A</v>
      </c>
      <c r="AC1562" s="104" t="e">
        <f>IF(Z1562&gt;0,((IF(OR(D1562="RA",D1562="OA",D1562="OT",D1562="UN",D1562="PC"),EXP(VLOOKUP(D1562,'Species Codes'!B:O,14,0)+VLOOKUP(D1562,'Species Codes'!B:P,15,0)*LN((E1562*2.54)))-EXP(VLOOKUP(D1562,'Species Codes'!B:O,14,0)+VLOOKUP(D1562,'Species Codes'!B:P,15,0)*LN((E1562*2.54)))*(1/(VLOOKUP(D1562,'Species Codes'!B:Q,16,0)+VLOOKUP(D1562,'Species Codes'!B:R,17,0)*((E1562*2.54)^VLOOKUP(D1562,'Species Codes'!B:S,18,0)))),IF(OR(D1562="BM",D1562="MD",D1562="OA"),EXP(VLOOKUP(D1562,'Species Codes'!B:O,14,0)+VLOOKUP(D1562,'Species Codes'!B:P,15,0)*LN((E1562*2.54)))*(1-(1/(VLOOKUP(D1562,'Species Codes'!B:Q,16,0)+VLOOKUP(D1562,'Species Codes'!B:R,17,0)*((E1562*2.54)^VLOOKUP(D1562,'Species Codes'!B:S,18,0)))))/1000,IF(D1562="DF",EXP(VLOOKUP(D1562,'Species Codes'!B:O,14,0)+VLOOKUP(D1562,'Species Codes'!B:P,15,0)*LN((E1562*2.54))),VLOOKUP(D1562,'Species Codes'!B:O,14,0)+VLOOKUP(D1562,'Species Codes'!B:P,15,0)*(((E1562*2.54)/100)^2)*(I1562*0.3048)))))*0.0011023),0)</f>
        <v>#N/A</v>
      </c>
      <c r="AD1562" s="104" t="e">
        <f t="shared" si="679"/>
        <v>#N/A</v>
      </c>
      <c r="AE1562" s="104" t="e">
        <f t="shared" si="680"/>
        <v>#N/A</v>
      </c>
      <c r="AF1562" s="104" t="e">
        <f>IF(AND(VLOOKUP($D1562,Merchantability!$B:$C,2,0)="Yes",$E1562&gt;=VLOOKUP($D1562,Merchantability!$B:$D,3,0),$E1562&lt;=VLOOKUP($D1562,Merchantability!$B:$E,4,0)),AA1562,0)</f>
        <v>#N/A</v>
      </c>
      <c r="AG1562" s="104" t="e">
        <f>IF(AND(VLOOKUP($D1562,Merchantability!$B:$C,2,0)="Yes",$E1562&gt;=VLOOKUP($D1562,Merchantability!$B:$D,3,0),$E1562&lt;=VLOOKUP($D1562,Merchantability!$B:$E,4,0)),AB1562,0)</f>
        <v>#N/A</v>
      </c>
      <c r="AH1562" s="104" t="e">
        <f>IF(AND(VLOOKUP($D1562,Merchantability!$B:$C,2,0)="Yes",$E1562&gt;=VLOOKUP($D1562,Merchantability!$B:$D,3,0),$E1562&lt;=VLOOKUP($D1562,Merchantability!$B:$E,4,0)),AC1562,0)</f>
        <v>#N/A</v>
      </c>
      <c r="AI1562" s="104" t="e">
        <f t="shared" si="681"/>
        <v>#N/A</v>
      </c>
      <c r="AJ1562" s="104" t="e">
        <f t="shared" si="682"/>
        <v>#VALUE!</v>
      </c>
      <c r="AK1562" s="104" t="e">
        <f t="shared" si="683"/>
        <v>#N/A</v>
      </c>
      <c r="AL1562" s="104" t="e">
        <f t="shared" si="684"/>
        <v>#N/A</v>
      </c>
      <c r="AM1562" s="104" t="e">
        <f t="shared" si="685"/>
        <v>#N/A</v>
      </c>
      <c r="AN1562" s="104" t="e">
        <f t="shared" si="696"/>
        <v>#N/A</v>
      </c>
      <c r="AO1562" s="104" t="e">
        <f t="shared" si="697"/>
        <v>#N/A</v>
      </c>
      <c r="AP1562" s="104" t="e">
        <f t="shared" si="698"/>
        <v>#N/A</v>
      </c>
      <c r="AQ1562" s="104" t="e">
        <f t="shared" si="699"/>
        <v>#N/A</v>
      </c>
      <c r="AR1562" s="105" t="str">
        <f t="shared" si="691"/>
        <v/>
      </c>
      <c r="AS1562" s="105" t="str">
        <f t="shared" si="692"/>
        <v/>
      </c>
      <c r="AT1562" s="108" t="str">
        <f t="shared" si="693"/>
        <v/>
      </c>
      <c r="AU1562" s="108" t="str">
        <f t="shared" si="694"/>
        <v/>
      </c>
      <c r="AV1562" s="107" t="str">
        <f>IF(ISNUMBER(O1562),IF(VLOOKUP($A1562,Stand!C:J,8,FALSE)="Short",AT1562,AU1562),"")</f>
        <v/>
      </c>
      <c r="AW1562" s="109" t="str">
        <f t="shared" si="700"/>
        <v/>
      </c>
      <c r="AX1562" s="109" t="str">
        <f t="shared" si="701"/>
        <v/>
      </c>
      <c r="AY1562" s="112" t="str">
        <f>IF(ISNUMBER(O1562),IF(AND(VLOOKUP($D1562,Merchantability!$B:$C,2,0)="Yes",$E1562&gt;=VLOOKUP($D1562,Merchantability!$B:$D,3,0),$E1562&lt;=VLOOKUP($D1562,Merchantability!$B:$E,4,0)),(AV1562*O1562)*(1-$H1562/100),""),"")</f>
        <v/>
      </c>
      <c r="AZ1562" s="116"/>
      <c r="BA1562" s="116"/>
      <c r="BB1562" s="116"/>
      <c r="BE1562" s="62"/>
      <c r="BF1562" s="63"/>
    </row>
    <row r="1563" spans="1:58" ht="12.75" customHeight="1" x14ac:dyDescent="0.25">
      <c r="A1563" s="333"/>
      <c r="B1563" s="334"/>
      <c r="C1563" s="332"/>
      <c r="D1563" s="334"/>
      <c r="E1563" s="335"/>
      <c r="F1563" s="334"/>
      <c r="G1563" s="332"/>
      <c r="H1563" s="332"/>
      <c r="I1563" s="334"/>
      <c r="J1563" s="336"/>
      <c r="K1563" s="332"/>
      <c r="L1563" s="332"/>
      <c r="M1563" s="76"/>
      <c r="N1563" s="103" t="str">
        <f>IF(A1563="","",VLOOKUP(A1563,Stand!C:K,9,0))</f>
        <v/>
      </c>
      <c r="O1563" s="104" t="str">
        <f t="shared" si="686"/>
        <v/>
      </c>
      <c r="P1563" s="105" t="str">
        <f t="shared" si="687"/>
        <v/>
      </c>
      <c r="Q1563" s="105" t="str">
        <f t="shared" si="675"/>
        <v/>
      </c>
      <c r="R1563" s="103" t="str">
        <f t="shared" si="688"/>
        <v/>
      </c>
      <c r="S1563" s="103" t="str">
        <f t="shared" si="689"/>
        <v/>
      </c>
      <c r="T1563" s="106" t="str">
        <f t="shared" si="676"/>
        <v/>
      </c>
      <c r="U1563" s="106" t="str">
        <f t="shared" si="677"/>
        <v/>
      </c>
      <c r="V1563" s="106" t="str">
        <f t="shared" si="678"/>
        <v/>
      </c>
      <c r="W1563" s="105" t="str">
        <f t="shared" si="690"/>
        <v/>
      </c>
      <c r="X1563" s="104" t="str">
        <f t="shared" si="695"/>
        <v/>
      </c>
      <c r="Y1563" s="104" t="str">
        <f t="array" ref="Y1563">IFERROR(IF(ISNUMBER(O1563),IF(COUNT(IF(A1563=$A$2:$A$2427,IF(D1563=$D$2:$D$2427,IF($X$2:$X$2427&gt;0,1))))&gt;0,SUM(IF(A1563=$A$2:$A$2427,IF(D1563=$D$2:$D$2427,$X$2:$X$2427)))/COUNT(IF(A1563=$A$2:$A$2427,IF(D1563=$D$2:$D$2427,IF(ISNUMBER($X$2:$X$2427),1)))),0),""),0)</f>
        <v/>
      </c>
      <c r="Z1563" s="104" t="str">
        <f>IF(ISNUMBER(O1563),IF(I1563&gt;0,(10^(VLOOKUP(D1563,'Species Codes'!B:C,2,0)+VLOOKUP(D1563,'Species Codes'!B:D,3,0)*LOG(E1563)+VLOOKUP(D1563,'Species Codes'!B:E,4,0)*LOG(I1563))),0),"")</f>
        <v/>
      </c>
      <c r="AA1563" s="104" t="str">
        <f>IFERROR((VLOOKUP(D1563,'Species Codes'!B:G,6,0)*Z1563)/2000,"")</f>
        <v/>
      </c>
      <c r="AB1563" s="104" t="e">
        <f>IF(Z1563&gt;0,((IF(OR(D1563="DF",D1563="RA")=TRUE,EXP(VLOOKUP(D1563,'Species Codes'!B:I,8,0)+VLOOKUP(D1563,'Species Codes'!B:J,9,0)*(LN((E1563*2.54)))),IF(OR(D1563="PY",D1563="RC",D1563="WH",D1563="NF")=TRUE,VLOOKUP(D1563,'Species Codes'!B:I,8,0)+VLOOKUP(D1563,'Species Codes'!B:J,9,0)*((E1563*2.54)^2)*(I1563*0.3048),IF(OR(D1563="MD",D1563="BM",D1563="GA")=TRUE,((VLOOKUP(D1563,'Species Codes'!B:I,8,0)*(((((E1563*2.54)+VLOOKUP(D1563,'Species Codes'!B:J,9,0))/VLOOKUP(D1563,'Species Codes'!B:K,10,0))^VLOOKUP(D1563,'Species Codes'!B:L,11,0))*((I1563*0.3048)^VLOOKUP(D1563,'Species Codes'!B:M,12,0))))-(VLOOKUP(D1563,'Species Codes'!B:I,8,0)*((((E1563*2.54)^VLOOKUP(D1563,'Species Codes'!B:L,11,0))*((I1563*0.3048)^VLOOKUP(D1563,'Species Codes'!B:M,12,0))))))*35.3*VLOOKUP(D1563,'Species Codes'!B:G,6,0)/2.2046,VLOOKUP(D1563,'Species Codes'!B:I,8,0)+VLOOKUP(D1563,'Species Codes'!B:J,9,0)*(((E1563*2.54)/100)^2)*(I1563*0.3048)))))*0.0011023),0)</f>
        <v>#N/A</v>
      </c>
      <c r="AC1563" s="104" t="e">
        <f>IF(Z1563&gt;0,((IF(OR(D1563="RA",D1563="OA",D1563="OT",D1563="UN",D1563="PC"),EXP(VLOOKUP(D1563,'Species Codes'!B:O,14,0)+VLOOKUP(D1563,'Species Codes'!B:P,15,0)*LN((E1563*2.54)))-EXP(VLOOKUP(D1563,'Species Codes'!B:O,14,0)+VLOOKUP(D1563,'Species Codes'!B:P,15,0)*LN((E1563*2.54)))*(1/(VLOOKUP(D1563,'Species Codes'!B:Q,16,0)+VLOOKUP(D1563,'Species Codes'!B:R,17,0)*((E1563*2.54)^VLOOKUP(D1563,'Species Codes'!B:S,18,0)))),IF(OR(D1563="BM",D1563="MD",D1563="OA"),EXP(VLOOKUP(D1563,'Species Codes'!B:O,14,0)+VLOOKUP(D1563,'Species Codes'!B:P,15,0)*LN((E1563*2.54)))*(1-(1/(VLOOKUP(D1563,'Species Codes'!B:Q,16,0)+VLOOKUP(D1563,'Species Codes'!B:R,17,0)*((E1563*2.54)^VLOOKUP(D1563,'Species Codes'!B:S,18,0)))))/1000,IF(D1563="DF",EXP(VLOOKUP(D1563,'Species Codes'!B:O,14,0)+VLOOKUP(D1563,'Species Codes'!B:P,15,0)*LN((E1563*2.54))),VLOOKUP(D1563,'Species Codes'!B:O,14,0)+VLOOKUP(D1563,'Species Codes'!B:P,15,0)*(((E1563*2.54)/100)^2)*(I1563*0.3048)))))*0.0011023),0)</f>
        <v>#N/A</v>
      </c>
      <c r="AD1563" s="104" t="e">
        <f t="shared" si="679"/>
        <v>#N/A</v>
      </c>
      <c r="AE1563" s="104" t="e">
        <f t="shared" si="680"/>
        <v>#N/A</v>
      </c>
      <c r="AF1563" s="104" t="e">
        <f>IF(AND(VLOOKUP($D1563,Merchantability!$B:$C,2,0)="Yes",$E1563&gt;=VLOOKUP($D1563,Merchantability!$B:$D,3,0),$E1563&lt;=VLOOKUP($D1563,Merchantability!$B:$E,4,0)),AA1563,0)</f>
        <v>#N/A</v>
      </c>
      <c r="AG1563" s="104" t="e">
        <f>IF(AND(VLOOKUP($D1563,Merchantability!$B:$C,2,0)="Yes",$E1563&gt;=VLOOKUP($D1563,Merchantability!$B:$D,3,0),$E1563&lt;=VLOOKUP($D1563,Merchantability!$B:$E,4,0)),AB1563,0)</f>
        <v>#N/A</v>
      </c>
      <c r="AH1563" s="104" t="e">
        <f>IF(AND(VLOOKUP($D1563,Merchantability!$B:$C,2,0)="Yes",$E1563&gt;=VLOOKUP($D1563,Merchantability!$B:$D,3,0),$E1563&lt;=VLOOKUP($D1563,Merchantability!$B:$E,4,0)),AC1563,0)</f>
        <v>#N/A</v>
      </c>
      <c r="AI1563" s="104" t="e">
        <f t="shared" si="681"/>
        <v>#N/A</v>
      </c>
      <c r="AJ1563" s="104" t="e">
        <f t="shared" si="682"/>
        <v>#VALUE!</v>
      </c>
      <c r="AK1563" s="104" t="e">
        <f t="shared" si="683"/>
        <v>#N/A</v>
      </c>
      <c r="AL1563" s="104" t="e">
        <f t="shared" si="684"/>
        <v>#N/A</v>
      </c>
      <c r="AM1563" s="104" t="e">
        <f t="shared" si="685"/>
        <v>#N/A</v>
      </c>
      <c r="AN1563" s="104" t="e">
        <f t="shared" si="696"/>
        <v>#N/A</v>
      </c>
      <c r="AO1563" s="104" t="e">
        <f t="shared" si="697"/>
        <v>#N/A</v>
      </c>
      <c r="AP1563" s="104" t="e">
        <f t="shared" si="698"/>
        <v>#N/A</v>
      </c>
      <c r="AQ1563" s="104" t="e">
        <f t="shared" si="699"/>
        <v>#N/A</v>
      </c>
      <c r="AR1563" s="105" t="str">
        <f t="shared" si="691"/>
        <v/>
      </c>
      <c r="AS1563" s="105" t="str">
        <f t="shared" si="692"/>
        <v/>
      </c>
      <c r="AT1563" s="108" t="str">
        <f t="shared" si="693"/>
        <v/>
      </c>
      <c r="AU1563" s="108" t="str">
        <f t="shared" si="694"/>
        <v/>
      </c>
      <c r="AV1563" s="107" t="str">
        <f>IF(ISNUMBER(O1563),IF(VLOOKUP($A1563,Stand!C:J,8,FALSE)="Short",AT1563,AU1563),"")</f>
        <v/>
      </c>
      <c r="AW1563" s="109" t="str">
        <f t="shared" si="700"/>
        <v/>
      </c>
      <c r="AX1563" s="109" t="str">
        <f t="shared" si="701"/>
        <v/>
      </c>
      <c r="AY1563" s="112" t="str">
        <f>IF(ISNUMBER(O1563),IF(AND(VLOOKUP($D1563,Merchantability!$B:$C,2,0)="Yes",$E1563&gt;=VLOOKUP($D1563,Merchantability!$B:$D,3,0),$E1563&lt;=VLOOKUP($D1563,Merchantability!$B:$E,4,0)),(AV1563*O1563)*(1-$H1563/100),""),"")</f>
        <v/>
      </c>
      <c r="AZ1563" s="116"/>
      <c r="BA1563" s="116"/>
      <c r="BB1563" s="116"/>
      <c r="BE1563" s="62"/>
      <c r="BF1563" s="63"/>
    </row>
    <row r="1564" spans="1:58" ht="12.75" customHeight="1" x14ac:dyDescent="0.25">
      <c r="A1564" s="333"/>
      <c r="B1564" s="334"/>
      <c r="C1564" s="332"/>
      <c r="D1564" s="334"/>
      <c r="E1564" s="335"/>
      <c r="F1564" s="334"/>
      <c r="G1564" s="332"/>
      <c r="H1564" s="332"/>
      <c r="I1564" s="334"/>
      <c r="J1564" s="336"/>
      <c r="K1564" s="332"/>
      <c r="L1564" s="332"/>
      <c r="M1564" s="76"/>
      <c r="N1564" s="103" t="str">
        <f>IF(A1564="","",VLOOKUP(A1564,Stand!C:K,9,0))</f>
        <v/>
      </c>
      <c r="O1564" s="104" t="str">
        <f t="shared" si="686"/>
        <v/>
      </c>
      <c r="P1564" s="105" t="str">
        <f t="shared" si="687"/>
        <v/>
      </c>
      <c r="Q1564" s="105" t="str">
        <f t="shared" si="675"/>
        <v/>
      </c>
      <c r="R1564" s="103" t="str">
        <f t="shared" si="688"/>
        <v/>
      </c>
      <c r="S1564" s="103" t="str">
        <f t="shared" si="689"/>
        <v/>
      </c>
      <c r="T1564" s="106" t="str">
        <f t="shared" si="676"/>
        <v/>
      </c>
      <c r="U1564" s="106" t="str">
        <f t="shared" si="677"/>
        <v/>
      </c>
      <c r="V1564" s="106" t="str">
        <f t="shared" si="678"/>
        <v/>
      </c>
      <c r="W1564" s="105" t="str">
        <f t="shared" si="690"/>
        <v/>
      </c>
      <c r="X1564" s="104" t="str">
        <f t="shared" si="695"/>
        <v/>
      </c>
      <c r="Y1564" s="104" t="str">
        <f t="array" ref="Y1564">IFERROR(IF(ISNUMBER(O1564),IF(COUNT(IF(A1564=$A$2:$A$2427,IF(D1564=$D$2:$D$2427,IF($X$2:$X$2427&gt;0,1))))&gt;0,SUM(IF(A1564=$A$2:$A$2427,IF(D1564=$D$2:$D$2427,$X$2:$X$2427)))/COUNT(IF(A1564=$A$2:$A$2427,IF(D1564=$D$2:$D$2427,IF(ISNUMBER($X$2:$X$2427),1)))),0),""),0)</f>
        <v/>
      </c>
      <c r="Z1564" s="104" t="str">
        <f>IF(ISNUMBER(O1564),IF(I1564&gt;0,(10^(VLOOKUP(D1564,'Species Codes'!B:C,2,0)+VLOOKUP(D1564,'Species Codes'!B:D,3,0)*LOG(E1564)+VLOOKUP(D1564,'Species Codes'!B:E,4,0)*LOG(I1564))),0),"")</f>
        <v/>
      </c>
      <c r="AA1564" s="104" t="str">
        <f>IFERROR((VLOOKUP(D1564,'Species Codes'!B:G,6,0)*Z1564)/2000,"")</f>
        <v/>
      </c>
      <c r="AB1564" s="104" t="e">
        <f>IF(Z1564&gt;0,((IF(OR(D1564="DF",D1564="RA")=TRUE,EXP(VLOOKUP(D1564,'Species Codes'!B:I,8,0)+VLOOKUP(D1564,'Species Codes'!B:J,9,0)*(LN((E1564*2.54)))),IF(OR(D1564="PY",D1564="RC",D1564="WH",D1564="NF")=TRUE,VLOOKUP(D1564,'Species Codes'!B:I,8,0)+VLOOKUP(D1564,'Species Codes'!B:J,9,0)*((E1564*2.54)^2)*(I1564*0.3048),IF(OR(D1564="MD",D1564="BM",D1564="GA")=TRUE,((VLOOKUP(D1564,'Species Codes'!B:I,8,0)*(((((E1564*2.54)+VLOOKUP(D1564,'Species Codes'!B:J,9,0))/VLOOKUP(D1564,'Species Codes'!B:K,10,0))^VLOOKUP(D1564,'Species Codes'!B:L,11,0))*((I1564*0.3048)^VLOOKUP(D1564,'Species Codes'!B:M,12,0))))-(VLOOKUP(D1564,'Species Codes'!B:I,8,0)*((((E1564*2.54)^VLOOKUP(D1564,'Species Codes'!B:L,11,0))*((I1564*0.3048)^VLOOKUP(D1564,'Species Codes'!B:M,12,0))))))*35.3*VLOOKUP(D1564,'Species Codes'!B:G,6,0)/2.2046,VLOOKUP(D1564,'Species Codes'!B:I,8,0)+VLOOKUP(D1564,'Species Codes'!B:J,9,0)*(((E1564*2.54)/100)^2)*(I1564*0.3048)))))*0.0011023),0)</f>
        <v>#N/A</v>
      </c>
      <c r="AC1564" s="104" t="e">
        <f>IF(Z1564&gt;0,((IF(OR(D1564="RA",D1564="OA",D1564="OT",D1564="UN",D1564="PC"),EXP(VLOOKUP(D1564,'Species Codes'!B:O,14,0)+VLOOKUP(D1564,'Species Codes'!B:P,15,0)*LN((E1564*2.54)))-EXP(VLOOKUP(D1564,'Species Codes'!B:O,14,0)+VLOOKUP(D1564,'Species Codes'!B:P,15,0)*LN((E1564*2.54)))*(1/(VLOOKUP(D1564,'Species Codes'!B:Q,16,0)+VLOOKUP(D1564,'Species Codes'!B:R,17,0)*((E1564*2.54)^VLOOKUP(D1564,'Species Codes'!B:S,18,0)))),IF(OR(D1564="BM",D1564="MD",D1564="OA"),EXP(VLOOKUP(D1564,'Species Codes'!B:O,14,0)+VLOOKUP(D1564,'Species Codes'!B:P,15,0)*LN((E1564*2.54)))*(1-(1/(VLOOKUP(D1564,'Species Codes'!B:Q,16,0)+VLOOKUP(D1564,'Species Codes'!B:R,17,0)*((E1564*2.54)^VLOOKUP(D1564,'Species Codes'!B:S,18,0)))))/1000,IF(D1564="DF",EXP(VLOOKUP(D1564,'Species Codes'!B:O,14,0)+VLOOKUP(D1564,'Species Codes'!B:P,15,0)*LN((E1564*2.54))),VLOOKUP(D1564,'Species Codes'!B:O,14,0)+VLOOKUP(D1564,'Species Codes'!B:P,15,0)*(((E1564*2.54)/100)^2)*(I1564*0.3048)))))*0.0011023),0)</f>
        <v>#N/A</v>
      </c>
      <c r="AD1564" s="104" t="e">
        <f t="shared" si="679"/>
        <v>#N/A</v>
      </c>
      <c r="AE1564" s="104" t="e">
        <f t="shared" si="680"/>
        <v>#N/A</v>
      </c>
      <c r="AF1564" s="104" t="e">
        <f>IF(AND(VLOOKUP($D1564,Merchantability!$B:$C,2,0)="Yes",$E1564&gt;=VLOOKUP($D1564,Merchantability!$B:$D,3,0),$E1564&lt;=VLOOKUP($D1564,Merchantability!$B:$E,4,0)),AA1564,0)</f>
        <v>#N/A</v>
      </c>
      <c r="AG1564" s="104" t="e">
        <f>IF(AND(VLOOKUP($D1564,Merchantability!$B:$C,2,0)="Yes",$E1564&gt;=VLOOKUP($D1564,Merchantability!$B:$D,3,0),$E1564&lt;=VLOOKUP($D1564,Merchantability!$B:$E,4,0)),AB1564,0)</f>
        <v>#N/A</v>
      </c>
      <c r="AH1564" s="104" t="e">
        <f>IF(AND(VLOOKUP($D1564,Merchantability!$B:$C,2,0)="Yes",$E1564&gt;=VLOOKUP($D1564,Merchantability!$B:$D,3,0),$E1564&lt;=VLOOKUP($D1564,Merchantability!$B:$E,4,0)),AC1564,0)</f>
        <v>#N/A</v>
      </c>
      <c r="AI1564" s="104" t="e">
        <f t="shared" si="681"/>
        <v>#N/A</v>
      </c>
      <c r="AJ1564" s="104" t="e">
        <f t="shared" si="682"/>
        <v>#VALUE!</v>
      </c>
      <c r="AK1564" s="104" t="e">
        <f t="shared" si="683"/>
        <v>#N/A</v>
      </c>
      <c r="AL1564" s="104" t="e">
        <f t="shared" si="684"/>
        <v>#N/A</v>
      </c>
      <c r="AM1564" s="104" t="e">
        <f t="shared" si="685"/>
        <v>#N/A</v>
      </c>
      <c r="AN1564" s="104" t="e">
        <f t="shared" si="696"/>
        <v>#N/A</v>
      </c>
      <c r="AO1564" s="104" t="e">
        <f t="shared" si="697"/>
        <v>#N/A</v>
      </c>
      <c r="AP1564" s="104" t="e">
        <f t="shared" si="698"/>
        <v>#N/A</v>
      </c>
      <c r="AQ1564" s="104" t="e">
        <f t="shared" si="699"/>
        <v>#N/A</v>
      </c>
      <c r="AR1564" s="105" t="str">
        <f t="shared" si="691"/>
        <v/>
      </c>
      <c r="AS1564" s="105" t="str">
        <f t="shared" si="692"/>
        <v/>
      </c>
      <c r="AT1564" s="108" t="str">
        <f t="shared" si="693"/>
        <v/>
      </c>
      <c r="AU1564" s="108" t="str">
        <f t="shared" si="694"/>
        <v/>
      </c>
      <c r="AV1564" s="107" t="str">
        <f>IF(ISNUMBER(O1564),IF(VLOOKUP($A1564,Stand!C:J,8,FALSE)="Short",AT1564,AU1564),"")</f>
        <v/>
      </c>
      <c r="AW1564" s="109" t="str">
        <f t="shared" si="700"/>
        <v/>
      </c>
      <c r="AX1564" s="109" t="str">
        <f t="shared" si="701"/>
        <v/>
      </c>
      <c r="AY1564" s="112" t="str">
        <f>IF(ISNUMBER(O1564),IF(AND(VLOOKUP($D1564,Merchantability!$B:$C,2,0)="Yes",$E1564&gt;=VLOOKUP($D1564,Merchantability!$B:$D,3,0),$E1564&lt;=VLOOKUP($D1564,Merchantability!$B:$E,4,0)),(AV1564*O1564)*(1-$H1564/100),""),"")</f>
        <v/>
      </c>
      <c r="AZ1564" s="116"/>
      <c r="BA1564" s="116"/>
      <c r="BB1564" s="116"/>
      <c r="BE1564" s="62"/>
      <c r="BF1564" s="63"/>
    </row>
    <row r="1565" spans="1:58" ht="12.75" customHeight="1" x14ac:dyDescent="0.25">
      <c r="A1565" s="333"/>
      <c r="B1565" s="334"/>
      <c r="C1565" s="332"/>
      <c r="D1565" s="334"/>
      <c r="E1565" s="335"/>
      <c r="F1565" s="334"/>
      <c r="G1565" s="332"/>
      <c r="H1565" s="332"/>
      <c r="I1565" s="334"/>
      <c r="J1565" s="336"/>
      <c r="K1565" s="332"/>
      <c r="L1565" s="332"/>
      <c r="M1565" s="76"/>
      <c r="N1565" s="103" t="str">
        <f>IF(A1565="","",VLOOKUP(A1565,Stand!C:K,9,0))</f>
        <v/>
      </c>
      <c r="O1565" s="104" t="str">
        <f t="shared" si="686"/>
        <v/>
      </c>
      <c r="P1565" s="105" t="str">
        <f t="shared" si="687"/>
        <v/>
      </c>
      <c r="Q1565" s="105" t="str">
        <f t="shared" ref="Q1565:Q1628" si="702">IF(AND(ISNUMBER(O1565),I1565&gt;0),I1565*O1565,"")</f>
        <v/>
      </c>
      <c r="R1565" s="103" t="str">
        <f t="shared" si="688"/>
        <v/>
      </c>
      <c r="S1565" s="103" t="str">
        <f t="shared" si="689"/>
        <v/>
      </c>
      <c r="T1565" s="106" t="str">
        <f t="shared" ref="T1565:T1628" si="703">IF(AND(ISNUMBER(O1565),J1565&gt;0),J1565/100,"")</f>
        <v/>
      </c>
      <c r="U1565" s="106" t="str">
        <f t="shared" ref="U1565:U1628" si="704">IF(AND(ISNUMBER(O1565),J1565&gt;0),T1565*O1565,"")</f>
        <v/>
      </c>
      <c r="V1565" s="106" t="str">
        <f t="shared" ref="V1565:V1628" si="705">IF(AND(ISNUMBER(O1565),I1565&gt;0),W1565*O1565,"")</f>
        <v/>
      </c>
      <c r="W1565" s="105" t="str">
        <f t="shared" si="690"/>
        <v/>
      </c>
      <c r="X1565" s="104" t="str">
        <f t="shared" si="695"/>
        <v/>
      </c>
      <c r="Y1565" s="104" t="str">
        <f t="array" ref="Y1565">IFERROR(IF(ISNUMBER(O1565),IF(COUNT(IF(A1565=$A$2:$A$2427,IF(D1565=$D$2:$D$2427,IF($X$2:$X$2427&gt;0,1))))&gt;0,SUM(IF(A1565=$A$2:$A$2427,IF(D1565=$D$2:$D$2427,$X$2:$X$2427)))/COUNT(IF(A1565=$A$2:$A$2427,IF(D1565=$D$2:$D$2427,IF(ISNUMBER($X$2:$X$2427),1)))),0),""),0)</f>
        <v/>
      </c>
      <c r="Z1565" s="104" t="str">
        <f>IF(ISNUMBER(O1565),IF(I1565&gt;0,(10^(VLOOKUP(D1565,'Species Codes'!B:C,2,0)+VLOOKUP(D1565,'Species Codes'!B:D,3,0)*LOG(E1565)+VLOOKUP(D1565,'Species Codes'!B:E,4,0)*LOG(I1565))),0),"")</f>
        <v/>
      </c>
      <c r="AA1565" s="104" t="str">
        <f>IFERROR((VLOOKUP(D1565,'Species Codes'!B:G,6,0)*Z1565)/2000,"")</f>
        <v/>
      </c>
      <c r="AB1565" s="104" t="e">
        <f>IF(Z1565&gt;0,((IF(OR(D1565="DF",D1565="RA")=TRUE,EXP(VLOOKUP(D1565,'Species Codes'!B:I,8,0)+VLOOKUP(D1565,'Species Codes'!B:J,9,0)*(LN((E1565*2.54)))),IF(OR(D1565="PY",D1565="RC",D1565="WH",D1565="NF")=TRUE,VLOOKUP(D1565,'Species Codes'!B:I,8,0)+VLOOKUP(D1565,'Species Codes'!B:J,9,0)*((E1565*2.54)^2)*(I1565*0.3048),IF(OR(D1565="MD",D1565="BM",D1565="GA")=TRUE,((VLOOKUP(D1565,'Species Codes'!B:I,8,0)*(((((E1565*2.54)+VLOOKUP(D1565,'Species Codes'!B:J,9,0))/VLOOKUP(D1565,'Species Codes'!B:K,10,0))^VLOOKUP(D1565,'Species Codes'!B:L,11,0))*((I1565*0.3048)^VLOOKUP(D1565,'Species Codes'!B:M,12,0))))-(VLOOKUP(D1565,'Species Codes'!B:I,8,0)*((((E1565*2.54)^VLOOKUP(D1565,'Species Codes'!B:L,11,0))*((I1565*0.3048)^VLOOKUP(D1565,'Species Codes'!B:M,12,0))))))*35.3*VLOOKUP(D1565,'Species Codes'!B:G,6,0)/2.2046,VLOOKUP(D1565,'Species Codes'!B:I,8,0)+VLOOKUP(D1565,'Species Codes'!B:J,9,0)*(((E1565*2.54)/100)^2)*(I1565*0.3048)))))*0.0011023),0)</f>
        <v>#N/A</v>
      </c>
      <c r="AC1565" s="104" t="e">
        <f>IF(Z1565&gt;0,((IF(OR(D1565="RA",D1565="OA",D1565="OT",D1565="UN",D1565="PC"),EXP(VLOOKUP(D1565,'Species Codes'!B:O,14,0)+VLOOKUP(D1565,'Species Codes'!B:P,15,0)*LN((E1565*2.54)))-EXP(VLOOKUP(D1565,'Species Codes'!B:O,14,0)+VLOOKUP(D1565,'Species Codes'!B:P,15,0)*LN((E1565*2.54)))*(1/(VLOOKUP(D1565,'Species Codes'!B:Q,16,0)+VLOOKUP(D1565,'Species Codes'!B:R,17,0)*((E1565*2.54)^VLOOKUP(D1565,'Species Codes'!B:S,18,0)))),IF(OR(D1565="BM",D1565="MD",D1565="OA"),EXP(VLOOKUP(D1565,'Species Codes'!B:O,14,0)+VLOOKUP(D1565,'Species Codes'!B:P,15,0)*LN((E1565*2.54)))*(1-(1/(VLOOKUP(D1565,'Species Codes'!B:Q,16,0)+VLOOKUP(D1565,'Species Codes'!B:R,17,0)*((E1565*2.54)^VLOOKUP(D1565,'Species Codes'!B:S,18,0)))))/1000,IF(D1565="DF",EXP(VLOOKUP(D1565,'Species Codes'!B:O,14,0)+VLOOKUP(D1565,'Species Codes'!B:P,15,0)*LN((E1565*2.54))),VLOOKUP(D1565,'Species Codes'!B:O,14,0)+VLOOKUP(D1565,'Species Codes'!B:P,15,0)*(((E1565*2.54)/100)^2)*(I1565*0.3048)))))*0.0011023),0)</f>
        <v>#N/A</v>
      </c>
      <c r="AD1565" s="104" t="e">
        <f t="shared" ref="AD1565:AD1628" si="706">SUM(AA1565:AC1565)</f>
        <v>#N/A</v>
      </c>
      <c r="AE1565" s="104" t="e">
        <f t="shared" ref="AE1565:AE1628" si="707">AD1565*O1565</f>
        <v>#N/A</v>
      </c>
      <c r="AF1565" s="104" t="e">
        <f>IF(AND(VLOOKUP($D1565,Merchantability!$B:$C,2,0)="Yes",$E1565&gt;=VLOOKUP($D1565,Merchantability!$B:$D,3,0),$E1565&lt;=VLOOKUP($D1565,Merchantability!$B:$E,4,0)),AA1565,0)</f>
        <v>#N/A</v>
      </c>
      <c r="AG1565" s="104" t="e">
        <f>IF(AND(VLOOKUP($D1565,Merchantability!$B:$C,2,0)="Yes",$E1565&gt;=VLOOKUP($D1565,Merchantability!$B:$D,3,0),$E1565&lt;=VLOOKUP($D1565,Merchantability!$B:$E,4,0)),AB1565,0)</f>
        <v>#N/A</v>
      </c>
      <c r="AH1565" s="104" t="e">
        <f>IF(AND(VLOOKUP($D1565,Merchantability!$B:$C,2,0)="Yes",$E1565&gt;=VLOOKUP($D1565,Merchantability!$B:$D,3,0),$E1565&lt;=VLOOKUP($D1565,Merchantability!$B:$E,4,0)),AC1565,0)</f>
        <v>#N/A</v>
      </c>
      <c r="AI1565" s="104" t="e">
        <f t="shared" ref="AI1565:AI1628" si="708">SUM(AF1565:AH1565)</f>
        <v>#N/A</v>
      </c>
      <c r="AJ1565" s="104" t="e">
        <f t="shared" ref="AJ1565:AJ1628" si="709">AA1565*$O1565</f>
        <v>#VALUE!</v>
      </c>
      <c r="AK1565" s="104" t="e">
        <f t="shared" ref="AK1565:AK1628" si="710">AB1565*$O1565</f>
        <v>#N/A</v>
      </c>
      <c r="AL1565" s="104" t="e">
        <f t="shared" ref="AL1565:AL1628" si="711">AC1565*$O1565</f>
        <v>#N/A</v>
      </c>
      <c r="AM1565" s="104" t="e">
        <f t="shared" ref="AM1565:AM1628" si="712">AD1565*$O1565</f>
        <v>#N/A</v>
      </c>
      <c r="AN1565" s="104" t="e">
        <f t="shared" si="696"/>
        <v>#N/A</v>
      </c>
      <c r="AO1565" s="104" t="e">
        <f t="shared" si="697"/>
        <v>#N/A</v>
      </c>
      <c r="AP1565" s="104" t="e">
        <f t="shared" si="698"/>
        <v>#N/A</v>
      </c>
      <c r="AQ1565" s="104" t="e">
        <f t="shared" si="699"/>
        <v>#N/A</v>
      </c>
      <c r="AR1565" s="105" t="str">
        <f t="shared" si="691"/>
        <v/>
      </c>
      <c r="AS1565" s="105" t="str">
        <f t="shared" si="692"/>
        <v/>
      </c>
      <c r="AT1565" s="108" t="str">
        <f t="shared" si="693"/>
        <v/>
      </c>
      <c r="AU1565" s="108" t="str">
        <f t="shared" si="694"/>
        <v/>
      </c>
      <c r="AV1565" s="107" t="str">
        <f>IF(ISNUMBER(O1565),IF(VLOOKUP($A1565,Stand!C:J,8,FALSE)="Short",AT1565,AU1565),"")</f>
        <v/>
      </c>
      <c r="AW1565" s="109" t="str">
        <f t="shared" si="700"/>
        <v/>
      </c>
      <c r="AX1565" s="109" t="str">
        <f t="shared" si="701"/>
        <v/>
      </c>
      <c r="AY1565" s="112" t="str">
        <f>IF(ISNUMBER(O1565),IF(AND(VLOOKUP($D1565,Merchantability!$B:$C,2,0)="Yes",$E1565&gt;=VLOOKUP($D1565,Merchantability!$B:$D,3,0),$E1565&lt;=VLOOKUP($D1565,Merchantability!$B:$E,4,0)),(AV1565*O1565)*(1-$H1565/100),""),"")</f>
        <v/>
      </c>
      <c r="AZ1565" s="116"/>
      <c r="BA1565" s="116"/>
      <c r="BB1565" s="116"/>
      <c r="BE1565" s="62"/>
      <c r="BF1565" s="63"/>
    </row>
    <row r="1566" spans="1:58" ht="12.75" customHeight="1" x14ac:dyDescent="0.25">
      <c r="A1566" s="333"/>
      <c r="B1566" s="334"/>
      <c r="C1566" s="332"/>
      <c r="D1566" s="334"/>
      <c r="E1566" s="335"/>
      <c r="F1566" s="334"/>
      <c r="G1566" s="332"/>
      <c r="H1566" s="332"/>
      <c r="I1566" s="334"/>
      <c r="J1566" s="336"/>
      <c r="K1566" s="332"/>
      <c r="L1566" s="332"/>
      <c r="M1566" s="76"/>
      <c r="N1566" s="103" t="str">
        <f>IF(A1566="","",VLOOKUP(A1566,Stand!C:K,9,0))</f>
        <v/>
      </c>
      <c r="O1566" s="104" t="str">
        <f t="shared" si="686"/>
        <v/>
      </c>
      <c r="P1566" s="105" t="str">
        <f t="shared" si="687"/>
        <v/>
      </c>
      <c r="Q1566" s="105" t="str">
        <f t="shared" si="702"/>
        <v/>
      </c>
      <c r="R1566" s="103" t="str">
        <f t="shared" si="688"/>
        <v/>
      </c>
      <c r="S1566" s="103" t="str">
        <f t="shared" si="689"/>
        <v/>
      </c>
      <c r="T1566" s="106" t="str">
        <f t="shared" si="703"/>
        <v/>
      </c>
      <c r="U1566" s="106" t="str">
        <f t="shared" si="704"/>
        <v/>
      </c>
      <c r="V1566" s="106" t="str">
        <f t="shared" si="705"/>
        <v/>
      </c>
      <c r="W1566" s="105" t="str">
        <f t="shared" si="690"/>
        <v/>
      </c>
      <c r="X1566" s="104" t="str">
        <f t="shared" si="695"/>
        <v/>
      </c>
      <c r="Y1566" s="104" t="str">
        <f t="array" ref="Y1566">IFERROR(IF(ISNUMBER(O1566),IF(COUNT(IF(A1566=$A$2:$A$2427,IF(D1566=$D$2:$D$2427,IF($X$2:$X$2427&gt;0,1))))&gt;0,SUM(IF(A1566=$A$2:$A$2427,IF(D1566=$D$2:$D$2427,$X$2:$X$2427)))/COUNT(IF(A1566=$A$2:$A$2427,IF(D1566=$D$2:$D$2427,IF(ISNUMBER($X$2:$X$2427),1)))),0),""),0)</f>
        <v/>
      </c>
      <c r="Z1566" s="104" t="str">
        <f>IF(ISNUMBER(O1566),IF(I1566&gt;0,(10^(VLOOKUP(D1566,'Species Codes'!B:C,2,0)+VLOOKUP(D1566,'Species Codes'!B:D,3,0)*LOG(E1566)+VLOOKUP(D1566,'Species Codes'!B:E,4,0)*LOG(I1566))),0),"")</f>
        <v/>
      </c>
      <c r="AA1566" s="104" t="str">
        <f>IFERROR((VLOOKUP(D1566,'Species Codes'!B:G,6,0)*Z1566)/2000,"")</f>
        <v/>
      </c>
      <c r="AB1566" s="104" t="e">
        <f>IF(Z1566&gt;0,((IF(OR(D1566="DF",D1566="RA")=TRUE,EXP(VLOOKUP(D1566,'Species Codes'!B:I,8,0)+VLOOKUP(D1566,'Species Codes'!B:J,9,0)*(LN((E1566*2.54)))),IF(OR(D1566="PY",D1566="RC",D1566="WH",D1566="NF")=TRUE,VLOOKUP(D1566,'Species Codes'!B:I,8,0)+VLOOKUP(D1566,'Species Codes'!B:J,9,0)*((E1566*2.54)^2)*(I1566*0.3048),IF(OR(D1566="MD",D1566="BM",D1566="GA")=TRUE,((VLOOKUP(D1566,'Species Codes'!B:I,8,0)*(((((E1566*2.54)+VLOOKUP(D1566,'Species Codes'!B:J,9,0))/VLOOKUP(D1566,'Species Codes'!B:K,10,0))^VLOOKUP(D1566,'Species Codes'!B:L,11,0))*((I1566*0.3048)^VLOOKUP(D1566,'Species Codes'!B:M,12,0))))-(VLOOKUP(D1566,'Species Codes'!B:I,8,0)*((((E1566*2.54)^VLOOKUP(D1566,'Species Codes'!B:L,11,0))*((I1566*0.3048)^VLOOKUP(D1566,'Species Codes'!B:M,12,0))))))*35.3*VLOOKUP(D1566,'Species Codes'!B:G,6,0)/2.2046,VLOOKUP(D1566,'Species Codes'!B:I,8,0)+VLOOKUP(D1566,'Species Codes'!B:J,9,0)*(((E1566*2.54)/100)^2)*(I1566*0.3048)))))*0.0011023),0)</f>
        <v>#N/A</v>
      </c>
      <c r="AC1566" s="104" t="e">
        <f>IF(Z1566&gt;0,((IF(OR(D1566="RA",D1566="OA",D1566="OT",D1566="UN",D1566="PC"),EXP(VLOOKUP(D1566,'Species Codes'!B:O,14,0)+VLOOKUP(D1566,'Species Codes'!B:P,15,0)*LN((E1566*2.54)))-EXP(VLOOKUP(D1566,'Species Codes'!B:O,14,0)+VLOOKUP(D1566,'Species Codes'!B:P,15,0)*LN((E1566*2.54)))*(1/(VLOOKUP(D1566,'Species Codes'!B:Q,16,0)+VLOOKUP(D1566,'Species Codes'!B:R,17,0)*((E1566*2.54)^VLOOKUP(D1566,'Species Codes'!B:S,18,0)))),IF(OR(D1566="BM",D1566="MD",D1566="OA"),EXP(VLOOKUP(D1566,'Species Codes'!B:O,14,0)+VLOOKUP(D1566,'Species Codes'!B:P,15,0)*LN((E1566*2.54)))*(1-(1/(VLOOKUP(D1566,'Species Codes'!B:Q,16,0)+VLOOKUP(D1566,'Species Codes'!B:R,17,0)*((E1566*2.54)^VLOOKUP(D1566,'Species Codes'!B:S,18,0)))))/1000,IF(D1566="DF",EXP(VLOOKUP(D1566,'Species Codes'!B:O,14,0)+VLOOKUP(D1566,'Species Codes'!B:P,15,0)*LN((E1566*2.54))),VLOOKUP(D1566,'Species Codes'!B:O,14,0)+VLOOKUP(D1566,'Species Codes'!B:P,15,0)*(((E1566*2.54)/100)^2)*(I1566*0.3048)))))*0.0011023),0)</f>
        <v>#N/A</v>
      </c>
      <c r="AD1566" s="104" t="e">
        <f t="shared" si="706"/>
        <v>#N/A</v>
      </c>
      <c r="AE1566" s="104" t="e">
        <f t="shared" si="707"/>
        <v>#N/A</v>
      </c>
      <c r="AF1566" s="104" t="e">
        <f>IF(AND(VLOOKUP($D1566,Merchantability!$B:$C,2,0)="Yes",$E1566&gt;=VLOOKUP($D1566,Merchantability!$B:$D,3,0),$E1566&lt;=VLOOKUP($D1566,Merchantability!$B:$E,4,0)),AA1566,0)</f>
        <v>#N/A</v>
      </c>
      <c r="AG1566" s="104" t="e">
        <f>IF(AND(VLOOKUP($D1566,Merchantability!$B:$C,2,0)="Yes",$E1566&gt;=VLOOKUP($D1566,Merchantability!$B:$D,3,0),$E1566&lt;=VLOOKUP($D1566,Merchantability!$B:$E,4,0)),AB1566,0)</f>
        <v>#N/A</v>
      </c>
      <c r="AH1566" s="104" t="e">
        <f>IF(AND(VLOOKUP($D1566,Merchantability!$B:$C,2,0)="Yes",$E1566&gt;=VLOOKUP($D1566,Merchantability!$B:$D,3,0),$E1566&lt;=VLOOKUP($D1566,Merchantability!$B:$E,4,0)),AC1566,0)</f>
        <v>#N/A</v>
      </c>
      <c r="AI1566" s="104" t="e">
        <f t="shared" si="708"/>
        <v>#N/A</v>
      </c>
      <c r="AJ1566" s="104" t="e">
        <f t="shared" si="709"/>
        <v>#VALUE!</v>
      </c>
      <c r="AK1566" s="104" t="e">
        <f t="shared" si="710"/>
        <v>#N/A</v>
      </c>
      <c r="AL1566" s="104" t="e">
        <f t="shared" si="711"/>
        <v>#N/A</v>
      </c>
      <c r="AM1566" s="104" t="e">
        <f t="shared" si="712"/>
        <v>#N/A</v>
      </c>
      <c r="AN1566" s="104" t="e">
        <f t="shared" si="696"/>
        <v>#N/A</v>
      </c>
      <c r="AO1566" s="104" t="e">
        <f t="shared" si="697"/>
        <v>#N/A</v>
      </c>
      <c r="AP1566" s="104" t="e">
        <f t="shared" si="698"/>
        <v>#N/A</v>
      </c>
      <c r="AQ1566" s="104" t="e">
        <f t="shared" si="699"/>
        <v>#N/A</v>
      </c>
      <c r="AR1566" s="105" t="str">
        <f t="shared" si="691"/>
        <v/>
      </c>
      <c r="AS1566" s="105" t="str">
        <f t="shared" si="692"/>
        <v/>
      </c>
      <c r="AT1566" s="108" t="str">
        <f t="shared" si="693"/>
        <v/>
      </c>
      <c r="AU1566" s="108" t="str">
        <f t="shared" si="694"/>
        <v/>
      </c>
      <c r="AV1566" s="107" t="str">
        <f>IF(ISNUMBER(O1566),IF(VLOOKUP($A1566,Stand!C:J,8,FALSE)="Short",AT1566,AU1566),"")</f>
        <v/>
      </c>
      <c r="AW1566" s="109" t="str">
        <f t="shared" si="700"/>
        <v/>
      </c>
      <c r="AX1566" s="109" t="str">
        <f t="shared" si="701"/>
        <v/>
      </c>
      <c r="AY1566" s="112" t="str">
        <f>IF(ISNUMBER(O1566),IF(AND(VLOOKUP($D1566,Merchantability!$B:$C,2,0)="Yes",$E1566&gt;=VLOOKUP($D1566,Merchantability!$B:$D,3,0),$E1566&lt;=VLOOKUP($D1566,Merchantability!$B:$E,4,0)),(AV1566*O1566)*(1-$H1566/100),""),"")</f>
        <v/>
      </c>
      <c r="AZ1566" s="116"/>
      <c r="BA1566" s="116"/>
      <c r="BB1566" s="116"/>
      <c r="BE1566" s="62"/>
      <c r="BF1566" s="63"/>
    </row>
    <row r="1567" spans="1:58" ht="12.75" customHeight="1" x14ac:dyDescent="0.25">
      <c r="A1567" s="333"/>
      <c r="B1567" s="334"/>
      <c r="C1567" s="332"/>
      <c r="D1567" s="334"/>
      <c r="E1567" s="335"/>
      <c r="F1567" s="334"/>
      <c r="G1567" s="332"/>
      <c r="H1567" s="332"/>
      <c r="I1567" s="334"/>
      <c r="J1567" s="336"/>
      <c r="K1567" s="332"/>
      <c r="L1567" s="332"/>
      <c r="M1567" s="76"/>
      <c r="N1567" s="103" t="str">
        <f>IF(A1567="","",VLOOKUP(A1567,Stand!C:K,9,0))</f>
        <v/>
      </c>
      <c r="O1567" s="104" t="str">
        <f t="shared" si="686"/>
        <v/>
      </c>
      <c r="P1567" s="105" t="str">
        <f t="shared" si="687"/>
        <v/>
      </c>
      <c r="Q1567" s="105" t="str">
        <f t="shared" si="702"/>
        <v/>
      </c>
      <c r="R1567" s="103" t="str">
        <f t="shared" si="688"/>
        <v/>
      </c>
      <c r="S1567" s="103" t="str">
        <f t="shared" si="689"/>
        <v/>
      </c>
      <c r="T1567" s="106" t="str">
        <f t="shared" si="703"/>
        <v/>
      </c>
      <c r="U1567" s="106" t="str">
        <f t="shared" si="704"/>
        <v/>
      </c>
      <c r="V1567" s="106" t="str">
        <f t="shared" si="705"/>
        <v/>
      </c>
      <c r="W1567" s="105" t="str">
        <f t="shared" si="690"/>
        <v/>
      </c>
      <c r="X1567" s="104" t="str">
        <f t="shared" si="695"/>
        <v/>
      </c>
      <c r="Y1567" s="104" t="str">
        <f t="array" ref="Y1567">IFERROR(IF(ISNUMBER(O1567),IF(COUNT(IF(A1567=$A$2:$A$2427,IF(D1567=$D$2:$D$2427,IF($X$2:$X$2427&gt;0,1))))&gt;0,SUM(IF(A1567=$A$2:$A$2427,IF(D1567=$D$2:$D$2427,$X$2:$X$2427)))/COUNT(IF(A1567=$A$2:$A$2427,IF(D1567=$D$2:$D$2427,IF(ISNUMBER($X$2:$X$2427),1)))),0),""),0)</f>
        <v/>
      </c>
      <c r="Z1567" s="104" t="str">
        <f>IF(ISNUMBER(O1567),IF(I1567&gt;0,(10^(VLOOKUP(D1567,'Species Codes'!B:C,2,0)+VLOOKUP(D1567,'Species Codes'!B:D,3,0)*LOG(E1567)+VLOOKUP(D1567,'Species Codes'!B:E,4,0)*LOG(I1567))),0),"")</f>
        <v/>
      </c>
      <c r="AA1567" s="104" t="str">
        <f>IFERROR((VLOOKUP(D1567,'Species Codes'!B:G,6,0)*Z1567)/2000,"")</f>
        <v/>
      </c>
      <c r="AB1567" s="104" t="e">
        <f>IF(Z1567&gt;0,((IF(OR(D1567="DF",D1567="RA")=TRUE,EXP(VLOOKUP(D1567,'Species Codes'!B:I,8,0)+VLOOKUP(D1567,'Species Codes'!B:J,9,0)*(LN((E1567*2.54)))),IF(OR(D1567="PY",D1567="RC",D1567="WH",D1567="NF")=TRUE,VLOOKUP(D1567,'Species Codes'!B:I,8,0)+VLOOKUP(D1567,'Species Codes'!B:J,9,0)*((E1567*2.54)^2)*(I1567*0.3048),IF(OR(D1567="MD",D1567="BM",D1567="GA")=TRUE,((VLOOKUP(D1567,'Species Codes'!B:I,8,0)*(((((E1567*2.54)+VLOOKUP(D1567,'Species Codes'!B:J,9,0))/VLOOKUP(D1567,'Species Codes'!B:K,10,0))^VLOOKUP(D1567,'Species Codes'!B:L,11,0))*((I1567*0.3048)^VLOOKUP(D1567,'Species Codes'!B:M,12,0))))-(VLOOKUP(D1567,'Species Codes'!B:I,8,0)*((((E1567*2.54)^VLOOKUP(D1567,'Species Codes'!B:L,11,0))*((I1567*0.3048)^VLOOKUP(D1567,'Species Codes'!B:M,12,0))))))*35.3*VLOOKUP(D1567,'Species Codes'!B:G,6,0)/2.2046,VLOOKUP(D1567,'Species Codes'!B:I,8,0)+VLOOKUP(D1567,'Species Codes'!B:J,9,0)*(((E1567*2.54)/100)^2)*(I1567*0.3048)))))*0.0011023),0)</f>
        <v>#N/A</v>
      </c>
      <c r="AC1567" s="104" t="e">
        <f>IF(Z1567&gt;0,((IF(OR(D1567="RA",D1567="OA",D1567="OT",D1567="UN",D1567="PC"),EXP(VLOOKUP(D1567,'Species Codes'!B:O,14,0)+VLOOKUP(D1567,'Species Codes'!B:P,15,0)*LN((E1567*2.54)))-EXP(VLOOKUP(D1567,'Species Codes'!B:O,14,0)+VLOOKUP(D1567,'Species Codes'!B:P,15,0)*LN((E1567*2.54)))*(1/(VLOOKUP(D1567,'Species Codes'!B:Q,16,0)+VLOOKUP(D1567,'Species Codes'!B:R,17,0)*((E1567*2.54)^VLOOKUP(D1567,'Species Codes'!B:S,18,0)))),IF(OR(D1567="BM",D1567="MD",D1567="OA"),EXP(VLOOKUP(D1567,'Species Codes'!B:O,14,0)+VLOOKUP(D1567,'Species Codes'!B:P,15,0)*LN((E1567*2.54)))*(1-(1/(VLOOKUP(D1567,'Species Codes'!B:Q,16,0)+VLOOKUP(D1567,'Species Codes'!B:R,17,0)*((E1567*2.54)^VLOOKUP(D1567,'Species Codes'!B:S,18,0)))))/1000,IF(D1567="DF",EXP(VLOOKUP(D1567,'Species Codes'!B:O,14,0)+VLOOKUP(D1567,'Species Codes'!B:P,15,0)*LN((E1567*2.54))),VLOOKUP(D1567,'Species Codes'!B:O,14,0)+VLOOKUP(D1567,'Species Codes'!B:P,15,0)*(((E1567*2.54)/100)^2)*(I1567*0.3048)))))*0.0011023),0)</f>
        <v>#N/A</v>
      </c>
      <c r="AD1567" s="104" t="e">
        <f t="shared" si="706"/>
        <v>#N/A</v>
      </c>
      <c r="AE1567" s="104" t="e">
        <f t="shared" si="707"/>
        <v>#N/A</v>
      </c>
      <c r="AF1567" s="104" t="e">
        <f>IF(AND(VLOOKUP($D1567,Merchantability!$B:$C,2,0)="Yes",$E1567&gt;=VLOOKUP($D1567,Merchantability!$B:$D,3,0),$E1567&lt;=VLOOKUP($D1567,Merchantability!$B:$E,4,0)),AA1567,0)</f>
        <v>#N/A</v>
      </c>
      <c r="AG1567" s="104" t="e">
        <f>IF(AND(VLOOKUP($D1567,Merchantability!$B:$C,2,0)="Yes",$E1567&gt;=VLOOKUP($D1567,Merchantability!$B:$D,3,0),$E1567&lt;=VLOOKUP($D1567,Merchantability!$B:$E,4,0)),AB1567,0)</f>
        <v>#N/A</v>
      </c>
      <c r="AH1567" s="104" t="e">
        <f>IF(AND(VLOOKUP($D1567,Merchantability!$B:$C,2,0)="Yes",$E1567&gt;=VLOOKUP($D1567,Merchantability!$B:$D,3,0),$E1567&lt;=VLOOKUP($D1567,Merchantability!$B:$E,4,0)),AC1567,0)</f>
        <v>#N/A</v>
      </c>
      <c r="AI1567" s="104" t="e">
        <f t="shared" si="708"/>
        <v>#N/A</v>
      </c>
      <c r="AJ1567" s="104" t="e">
        <f t="shared" si="709"/>
        <v>#VALUE!</v>
      </c>
      <c r="AK1567" s="104" t="e">
        <f t="shared" si="710"/>
        <v>#N/A</v>
      </c>
      <c r="AL1567" s="104" t="e">
        <f t="shared" si="711"/>
        <v>#N/A</v>
      </c>
      <c r="AM1567" s="104" t="e">
        <f t="shared" si="712"/>
        <v>#N/A</v>
      </c>
      <c r="AN1567" s="104" t="e">
        <f t="shared" si="696"/>
        <v>#N/A</v>
      </c>
      <c r="AO1567" s="104" t="e">
        <f t="shared" si="697"/>
        <v>#N/A</v>
      </c>
      <c r="AP1567" s="104" t="e">
        <f t="shared" si="698"/>
        <v>#N/A</v>
      </c>
      <c r="AQ1567" s="104" t="e">
        <f t="shared" si="699"/>
        <v>#N/A</v>
      </c>
      <c r="AR1567" s="105" t="str">
        <f t="shared" si="691"/>
        <v/>
      </c>
      <c r="AS1567" s="105" t="str">
        <f t="shared" si="692"/>
        <v/>
      </c>
      <c r="AT1567" s="108" t="str">
        <f t="shared" si="693"/>
        <v/>
      </c>
      <c r="AU1567" s="108" t="str">
        <f t="shared" si="694"/>
        <v/>
      </c>
      <c r="AV1567" s="107" t="str">
        <f>IF(ISNUMBER(O1567),IF(VLOOKUP($A1567,Stand!C:J,8,FALSE)="Short",AT1567,AU1567),"")</f>
        <v/>
      </c>
      <c r="AW1567" s="109" t="str">
        <f t="shared" si="700"/>
        <v/>
      </c>
      <c r="AX1567" s="109" t="str">
        <f t="shared" si="701"/>
        <v/>
      </c>
      <c r="AY1567" s="112" t="str">
        <f>IF(ISNUMBER(O1567),IF(AND(VLOOKUP($D1567,Merchantability!$B:$C,2,0)="Yes",$E1567&gt;=VLOOKUP($D1567,Merchantability!$B:$D,3,0),$E1567&lt;=VLOOKUP($D1567,Merchantability!$B:$E,4,0)),(AV1567*O1567)*(1-$H1567/100),""),"")</f>
        <v/>
      </c>
      <c r="AZ1567" s="116"/>
      <c r="BA1567" s="116"/>
      <c r="BB1567" s="116"/>
      <c r="BE1567" s="62"/>
      <c r="BF1567" s="63"/>
    </row>
    <row r="1568" spans="1:58" ht="12.75" customHeight="1" x14ac:dyDescent="0.25">
      <c r="A1568" s="333"/>
      <c r="B1568" s="334"/>
      <c r="C1568" s="332"/>
      <c r="D1568" s="334"/>
      <c r="E1568" s="335"/>
      <c r="F1568" s="334"/>
      <c r="G1568" s="332"/>
      <c r="H1568" s="332"/>
      <c r="I1568" s="334"/>
      <c r="J1568" s="336"/>
      <c r="K1568" s="332"/>
      <c r="L1568" s="332"/>
      <c r="M1568" s="76"/>
      <c r="N1568" s="103" t="str">
        <f>IF(A1568="","",VLOOKUP(A1568,Stand!C:K,9,0))</f>
        <v/>
      </c>
      <c r="O1568" s="104" t="str">
        <f t="shared" si="686"/>
        <v/>
      </c>
      <c r="P1568" s="105" t="str">
        <f t="shared" si="687"/>
        <v/>
      </c>
      <c r="Q1568" s="105" t="str">
        <f t="shared" si="702"/>
        <v/>
      </c>
      <c r="R1568" s="103" t="str">
        <f t="shared" si="688"/>
        <v/>
      </c>
      <c r="S1568" s="103" t="str">
        <f t="shared" si="689"/>
        <v/>
      </c>
      <c r="T1568" s="106" t="str">
        <f t="shared" si="703"/>
        <v/>
      </c>
      <c r="U1568" s="106" t="str">
        <f t="shared" si="704"/>
        <v/>
      </c>
      <c r="V1568" s="106" t="str">
        <f t="shared" si="705"/>
        <v/>
      </c>
      <c r="W1568" s="105" t="str">
        <f t="shared" si="690"/>
        <v/>
      </c>
      <c r="X1568" s="104" t="str">
        <f t="shared" si="695"/>
        <v/>
      </c>
      <c r="Y1568" s="104" t="str">
        <f t="array" ref="Y1568">IFERROR(IF(ISNUMBER(O1568),IF(COUNT(IF(A1568=$A$2:$A$2427,IF(D1568=$D$2:$D$2427,IF($X$2:$X$2427&gt;0,1))))&gt;0,SUM(IF(A1568=$A$2:$A$2427,IF(D1568=$D$2:$D$2427,$X$2:$X$2427)))/COUNT(IF(A1568=$A$2:$A$2427,IF(D1568=$D$2:$D$2427,IF(ISNUMBER($X$2:$X$2427),1)))),0),""),0)</f>
        <v/>
      </c>
      <c r="Z1568" s="104" t="str">
        <f>IF(ISNUMBER(O1568),IF(I1568&gt;0,(10^(VLOOKUP(D1568,'Species Codes'!B:C,2,0)+VLOOKUP(D1568,'Species Codes'!B:D,3,0)*LOG(E1568)+VLOOKUP(D1568,'Species Codes'!B:E,4,0)*LOG(I1568))),0),"")</f>
        <v/>
      </c>
      <c r="AA1568" s="104" t="str">
        <f>IFERROR((VLOOKUP(D1568,'Species Codes'!B:G,6,0)*Z1568)/2000,"")</f>
        <v/>
      </c>
      <c r="AB1568" s="104" t="e">
        <f>IF(Z1568&gt;0,((IF(OR(D1568="DF",D1568="RA")=TRUE,EXP(VLOOKUP(D1568,'Species Codes'!B:I,8,0)+VLOOKUP(D1568,'Species Codes'!B:J,9,0)*(LN((E1568*2.54)))),IF(OR(D1568="PY",D1568="RC",D1568="WH",D1568="NF")=TRUE,VLOOKUP(D1568,'Species Codes'!B:I,8,0)+VLOOKUP(D1568,'Species Codes'!B:J,9,0)*((E1568*2.54)^2)*(I1568*0.3048),IF(OR(D1568="MD",D1568="BM",D1568="GA")=TRUE,((VLOOKUP(D1568,'Species Codes'!B:I,8,0)*(((((E1568*2.54)+VLOOKUP(D1568,'Species Codes'!B:J,9,0))/VLOOKUP(D1568,'Species Codes'!B:K,10,0))^VLOOKUP(D1568,'Species Codes'!B:L,11,0))*((I1568*0.3048)^VLOOKUP(D1568,'Species Codes'!B:M,12,0))))-(VLOOKUP(D1568,'Species Codes'!B:I,8,0)*((((E1568*2.54)^VLOOKUP(D1568,'Species Codes'!B:L,11,0))*((I1568*0.3048)^VLOOKUP(D1568,'Species Codes'!B:M,12,0))))))*35.3*VLOOKUP(D1568,'Species Codes'!B:G,6,0)/2.2046,VLOOKUP(D1568,'Species Codes'!B:I,8,0)+VLOOKUP(D1568,'Species Codes'!B:J,9,0)*(((E1568*2.54)/100)^2)*(I1568*0.3048)))))*0.0011023),0)</f>
        <v>#N/A</v>
      </c>
      <c r="AC1568" s="104" t="e">
        <f>IF(Z1568&gt;0,((IF(OR(D1568="RA",D1568="OA",D1568="OT",D1568="UN",D1568="PC"),EXP(VLOOKUP(D1568,'Species Codes'!B:O,14,0)+VLOOKUP(D1568,'Species Codes'!B:P,15,0)*LN((E1568*2.54)))-EXP(VLOOKUP(D1568,'Species Codes'!B:O,14,0)+VLOOKUP(D1568,'Species Codes'!B:P,15,0)*LN((E1568*2.54)))*(1/(VLOOKUP(D1568,'Species Codes'!B:Q,16,0)+VLOOKUP(D1568,'Species Codes'!B:R,17,0)*((E1568*2.54)^VLOOKUP(D1568,'Species Codes'!B:S,18,0)))),IF(OR(D1568="BM",D1568="MD",D1568="OA"),EXP(VLOOKUP(D1568,'Species Codes'!B:O,14,0)+VLOOKUP(D1568,'Species Codes'!B:P,15,0)*LN((E1568*2.54)))*(1-(1/(VLOOKUP(D1568,'Species Codes'!B:Q,16,0)+VLOOKUP(D1568,'Species Codes'!B:R,17,0)*((E1568*2.54)^VLOOKUP(D1568,'Species Codes'!B:S,18,0)))))/1000,IF(D1568="DF",EXP(VLOOKUP(D1568,'Species Codes'!B:O,14,0)+VLOOKUP(D1568,'Species Codes'!B:P,15,0)*LN((E1568*2.54))),VLOOKUP(D1568,'Species Codes'!B:O,14,0)+VLOOKUP(D1568,'Species Codes'!B:P,15,0)*(((E1568*2.54)/100)^2)*(I1568*0.3048)))))*0.0011023),0)</f>
        <v>#N/A</v>
      </c>
      <c r="AD1568" s="104" t="e">
        <f t="shared" si="706"/>
        <v>#N/A</v>
      </c>
      <c r="AE1568" s="104" t="e">
        <f t="shared" si="707"/>
        <v>#N/A</v>
      </c>
      <c r="AF1568" s="104" t="e">
        <f>IF(AND(VLOOKUP($D1568,Merchantability!$B:$C,2,0)="Yes",$E1568&gt;=VLOOKUP($D1568,Merchantability!$B:$D,3,0),$E1568&lt;=VLOOKUP($D1568,Merchantability!$B:$E,4,0)),AA1568,0)</f>
        <v>#N/A</v>
      </c>
      <c r="AG1568" s="104" t="e">
        <f>IF(AND(VLOOKUP($D1568,Merchantability!$B:$C,2,0)="Yes",$E1568&gt;=VLOOKUP($D1568,Merchantability!$B:$D,3,0),$E1568&lt;=VLOOKUP($D1568,Merchantability!$B:$E,4,0)),AB1568,0)</f>
        <v>#N/A</v>
      </c>
      <c r="AH1568" s="104" t="e">
        <f>IF(AND(VLOOKUP($D1568,Merchantability!$B:$C,2,0)="Yes",$E1568&gt;=VLOOKUP($D1568,Merchantability!$B:$D,3,0),$E1568&lt;=VLOOKUP($D1568,Merchantability!$B:$E,4,0)),AC1568,0)</f>
        <v>#N/A</v>
      </c>
      <c r="AI1568" s="104" t="e">
        <f t="shared" si="708"/>
        <v>#N/A</v>
      </c>
      <c r="AJ1568" s="104" t="e">
        <f t="shared" si="709"/>
        <v>#VALUE!</v>
      </c>
      <c r="AK1568" s="104" t="e">
        <f t="shared" si="710"/>
        <v>#N/A</v>
      </c>
      <c r="AL1568" s="104" t="e">
        <f t="shared" si="711"/>
        <v>#N/A</v>
      </c>
      <c r="AM1568" s="104" t="e">
        <f t="shared" si="712"/>
        <v>#N/A</v>
      </c>
      <c r="AN1568" s="104" t="e">
        <f t="shared" si="696"/>
        <v>#N/A</v>
      </c>
      <c r="AO1568" s="104" t="e">
        <f t="shared" si="697"/>
        <v>#N/A</v>
      </c>
      <c r="AP1568" s="104" t="e">
        <f t="shared" si="698"/>
        <v>#N/A</v>
      </c>
      <c r="AQ1568" s="104" t="e">
        <f t="shared" si="699"/>
        <v>#N/A</v>
      </c>
      <c r="AR1568" s="105" t="str">
        <f t="shared" si="691"/>
        <v/>
      </c>
      <c r="AS1568" s="105" t="str">
        <f t="shared" si="692"/>
        <v/>
      </c>
      <c r="AT1568" s="108" t="str">
        <f t="shared" si="693"/>
        <v/>
      </c>
      <c r="AU1568" s="108" t="str">
        <f t="shared" si="694"/>
        <v/>
      </c>
      <c r="AV1568" s="107" t="str">
        <f>IF(ISNUMBER(O1568),IF(VLOOKUP($A1568,Stand!C:J,8,FALSE)="Short",AT1568,AU1568),"")</f>
        <v/>
      </c>
      <c r="AW1568" s="109" t="str">
        <f t="shared" si="700"/>
        <v/>
      </c>
      <c r="AX1568" s="109" t="str">
        <f t="shared" si="701"/>
        <v/>
      </c>
      <c r="AY1568" s="112" t="str">
        <f>IF(ISNUMBER(O1568),IF(AND(VLOOKUP($D1568,Merchantability!$B:$C,2,0)="Yes",$E1568&gt;=VLOOKUP($D1568,Merchantability!$B:$D,3,0),$E1568&lt;=VLOOKUP($D1568,Merchantability!$B:$E,4,0)),(AV1568*O1568)*(1-$H1568/100),""),"")</f>
        <v/>
      </c>
      <c r="AZ1568" s="116"/>
      <c r="BA1568" s="116"/>
      <c r="BB1568" s="116"/>
      <c r="BE1568" s="62"/>
      <c r="BF1568" s="63"/>
    </row>
    <row r="1569" spans="1:58" ht="12.75" customHeight="1" x14ac:dyDescent="0.25">
      <c r="A1569" s="333"/>
      <c r="B1569" s="334"/>
      <c r="C1569" s="332"/>
      <c r="D1569" s="334"/>
      <c r="E1569" s="335"/>
      <c r="F1569" s="334"/>
      <c r="G1569" s="332"/>
      <c r="H1569" s="332"/>
      <c r="I1569" s="334"/>
      <c r="J1569" s="336"/>
      <c r="K1569" s="332"/>
      <c r="L1569" s="332"/>
      <c r="M1569" s="76"/>
      <c r="N1569" s="103" t="str">
        <f>IF(A1569="","",VLOOKUP(A1569,Stand!C:K,9,0))</f>
        <v/>
      </c>
      <c r="O1569" s="104" t="str">
        <f t="shared" si="686"/>
        <v/>
      </c>
      <c r="P1569" s="105" t="str">
        <f t="shared" si="687"/>
        <v/>
      </c>
      <c r="Q1569" s="105" t="str">
        <f t="shared" si="702"/>
        <v/>
      </c>
      <c r="R1569" s="103" t="str">
        <f t="shared" si="688"/>
        <v/>
      </c>
      <c r="S1569" s="103" t="str">
        <f t="shared" si="689"/>
        <v/>
      </c>
      <c r="T1569" s="106" t="str">
        <f t="shared" si="703"/>
        <v/>
      </c>
      <c r="U1569" s="106" t="str">
        <f t="shared" si="704"/>
        <v/>
      </c>
      <c r="V1569" s="106" t="str">
        <f t="shared" si="705"/>
        <v/>
      </c>
      <c r="W1569" s="105" t="str">
        <f t="shared" si="690"/>
        <v/>
      </c>
      <c r="X1569" s="104" t="str">
        <f t="shared" si="695"/>
        <v/>
      </c>
      <c r="Y1569" s="104" t="str">
        <f t="array" ref="Y1569">IFERROR(IF(ISNUMBER(O1569),IF(COUNT(IF(A1569=$A$2:$A$2427,IF(D1569=$D$2:$D$2427,IF($X$2:$X$2427&gt;0,1))))&gt;0,SUM(IF(A1569=$A$2:$A$2427,IF(D1569=$D$2:$D$2427,$X$2:$X$2427)))/COUNT(IF(A1569=$A$2:$A$2427,IF(D1569=$D$2:$D$2427,IF(ISNUMBER($X$2:$X$2427),1)))),0),""),0)</f>
        <v/>
      </c>
      <c r="Z1569" s="104" t="str">
        <f>IF(ISNUMBER(O1569),IF(I1569&gt;0,(10^(VLOOKUP(D1569,'Species Codes'!B:C,2,0)+VLOOKUP(D1569,'Species Codes'!B:D,3,0)*LOG(E1569)+VLOOKUP(D1569,'Species Codes'!B:E,4,0)*LOG(I1569))),0),"")</f>
        <v/>
      </c>
      <c r="AA1569" s="104" t="str">
        <f>IFERROR((VLOOKUP(D1569,'Species Codes'!B:G,6,0)*Z1569)/2000,"")</f>
        <v/>
      </c>
      <c r="AB1569" s="104" t="e">
        <f>IF(Z1569&gt;0,((IF(OR(D1569="DF",D1569="RA")=TRUE,EXP(VLOOKUP(D1569,'Species Codes'!B:I,8,0)+VLOOKUP(D1569,'Species Codes'!B:J,9,0)*(LN((E1569*2.54)))),IF(OR(D1569="PY",D1569="RC",D1569="WH",D1569="NF")=TRUE,VLOOKUP(D1569,'Species Codes'!B:I,8,0)+VLOOKUP(D1569,'Species Codes'!B:J,9,0)*((E1569*2.54)^2)*(I1569*0.3048),IF(OR(D1569="MD",D1569="BM",D1569="GA")=TRUE,((VLOOKUP(D1569,'Species Codes'!B:I,8,0)*(((((E1569*2.54)+VLOOKUP(D1569,'Species Codes'!B:J,9,0))/VLOOKUP(D1569,'Species Codes'!B:K,10,0))^VLOOKUP(D1569,'Species Codes'!B:L,11,0))*((I1569*0.3048)^VLOOKUP(D1569,'Species Codes'!B:M,12,0))))-(VLOOKUP(D1569,'Species Codes'!B:I,8,0)*((((E1569*2.54)^VLOOKUP(D1569,'Species Codes'!B:L,11,0))*((I1569*0.3048)^VLOOKUP(D1569,'Species Codes'!B:M,12,0))))))*35.3*VLOOKUP(D1569,'Species Codes'!B:G,6,0)/2.2046,VLOOKUP(D1569,'Species Codes'!B:I,8,0)+VLOOKUP(D1569,'Species Codes'!B:J,9,0)*(((E1569*2.54)/100)^2)*(I1569*0.3048)))))*0.0011023),0)</f>
        <v>#N/A</v>
      </c>
      <c r="AC1569" s="104" t="e">
        <f>IF(Z1569&gt;0,((IF(OR(D1569="RA",D1569="OA",D1569="OT",D1569="UN",D1569="PC"),EXP(VLOOKUP(D1569,'Species Codes'!B:O,14,0)+VLOOKUP(D1569,'Species Codes'!B:P,15,0)*LN((E1569*2.54)))-EXP(VLOOKUP(D1569,'Species Codes'!B:O,14,0)+VLOOKUP(D1569,'Species Codes'!B:P,15,0)*LN((E1569*2.54)))*(1/(VLOOKUP(D1569,'Species Codes'!B:Q,16,0)+VLOOKUP(D1569,'Species Codes'!B:R,17,0)*((E1569*2.54)^VLOOKUP(D1569,'Species Codes'!B:S,18,0)))),IF(OR(D1569="BM",D1569="MD",D1569="OA"),EXP(VLOOKUP(D1569,'Species Codes'!B:O,14,0)+VLOOKUP(D1569,'Species Codes'!B:P,15,0)*LN((E1569*2.54)))*(1-(1/(VLOOKUP(D1569,'Species Codes'!B:Q,16,0)+VLOOKUP(D1569,'Species Codes'!B:R,17,0)*((E1569*2.54)^VLOOKUP(D1569,'Species Codes'!B:S,18,0)))))/1000,IF(D1569="DF",EXP(VLOOKUP(D1569,'Species Codes'!B:O,14,0)+VLOOKUP(D1569,'Species Codes'!B:P,15,0)*LN((E1569*2.54))),VLOOKUP(D1569,'Species Codes'!B:O,14,0)+VLOOKUP(D1569,'Species Codes'!B:P,15,0)*(((E1569*2.54)/100)^2)*(I1569*0.3048)))))*0.0011023),0)</f>
        <v>#N/A</v>
      </c>
      <c r="AD1569" s="104" t="e">
        <f t="shared" si="706"/>
        <v>#N/A</v>
      </c>
      <c r="AE1569" s="104" t="e">
        <f t="shared" si="707"/>
        <v>#N/A</v>
      </c>
      <c r="AF1569" s="104" t="e">
        <f>IF(AND(VLOOKUP($D1569,Merchantability!$B:$C,2,0)="Yes",$E1569&gt;=VLOOKUP($D1569,Merchantability!$B:$D,3,0),$E1569&lt;=VLOOKUP($D1569,Merchantability!$B:$E,4,0)),AA1569,0)</f>
        <v>#N/A</v>
      </c>
      <c r="AG1569" s="104" t="e">
        <f>IF(AND(VLOOKUP($D1569,Merchantability!$B:$C,2,0)="Yes",$E1569&gt;=VLOOKUP($D1569,Merchantability!$B:$D,3,0),$E1569&lt;=VLOOKUP($D1569,Merchantability!$B:$E,4,0)),AB1569,0)</f>
        <v>#N/A</v>
      </c>
      <c r="AH1569" s="104" t="e">
        <f>IF(AND(VLOOKUP($D1569,Merchantability!$B:$C,2,0)="Yes",$E1569&gt;=VLOOKUP($D1569,Merchantability!$B:$D,3,0),$E1569&lt;=VLOOKUP($D1569,Merchantability!$B:$E,4,0)),AC1569,0)</f>
        <v>#N/A</v>
      </c>
      <c r="AI1569" s="104" t="e">
        <f t="shared" si="708"/>
        <v>#N/A</v>
      </c>
      <c r="AJ1569" s="104" t="e">
        <f t="shared" si="709"/>
        <v>#VALUE!</v>
      </c>
      <c r="AK1569" s="104" t="e">
        <f t="shared" si="710"/>
        <v>#N/A</v>
      </c>
      <c r="AL1569" s="104" t="e">
        <f t="shared" si="711"/>
        <v>#N/A</v>
      </c>
      <c r="AM1569" s="104" t="e">
        <f t="shared" si="712"/>
        <v>#N/A</v>
      </c>
      <c r="AN1569" s="104" t="e">
        <f t="shared" si="696"/>
        <v>#N/A</v>
      </c>
      <c r="AO1569" s="104" t="e">
        <f t="shared" si="697"/>
        <v>#N/A</v>
      </c>
      <c r="AP1569" s="104" t="e">
        <f t="shared" si="698"/>
        <v>#N/A</v>
      </c>
      <c r="AQ1569" s="104" t="e">
        <f t="shared" si="699"/>
        <v>#N/A</v>
      </c>
      <c r="AR1569" s="105" t="str">
        <f t="shared" si="691"/>
        <v/>
      </c>
      <c r="AS1569" s="105" t="str">
        <f t="shared" si="692"/>
        <v/>
      </c>
      <c r="AT1569" s="108" t="str">
        <f t="shared" si="693"/>
        <v/>
      </c>
      <c r="AU1569" s="108" t="str">
        <f t="shared" si="694"/>
        <v/>
      </c>
      <c r="AV1569" s="107" t="str">
        <f>IF(ISNUMBER(O1569),IF(VLOOKUP($A1569,Stand!C:J,8,FALSE)="Short",AT1569,AU1569),"")</f>
        <v/>
      </c>
      <c r="AW1569" s="109" t="str">
        <f t="shared" si="700"/>
        <v/>
      </c>
      <c r="AX1569" s="109" t="str">
        <f t="shared" si="701"/>
        <v/>
      </c>
      <c r="AY1569" s="112" t="str">
        <f>IF(ISNUMBER(O1569),IF(AND(VLOOKUP($D1569,Merchantability!$B:$C,2,0)="Yes",$E1569&gt;=VLOOKUP($D1569,Merchantability!$B:$D,3,0),$E1569&lt;=VLOOKUP($D1569,Merchantability!$B:$E,4,0)),(AV1569*O1569)*(1-$H1569/100),""),"")</f>
        <v/>
      </c>
      <c r="AZ1569" s="116"/>
      <c r="BA1569" s="116"/>
      <c r="BB1569" s="116"/>
      <c r="BE1569" s="62"/>
      <c r="BF1569" s="63"/>
    </row>
    <row r="1570" spans="1:58" ht="12.75" customHeight="1" x14ac:dyDescent="0.25">
      <c r="A1570" s="333"/>
      <c r="B1570" s="334"/>
      <c r="C1570" s="332"/>
      <c r="D1570" s="334"/>
      <c r="E1570" s="335"/>
      <c r="F1570" s="334"/>
      <c r="G1570" s="332"/>
      <c r="H1570" s="332"/>
      <c r="I1570" s="334"/>
      <c r="J1570" s="336"/>
      <c r="K1570" s="332"/>
      <c r="L1570" s="332"/>
      <c r="M1570" s="76"/>
      <c r="N1570" s="103" t="str">
        <f>IF(A1570="","",VLOOKUP(A1570,Stand!C:K,9,0))</f>
        <v/>
      </c>
      <c r="O1570" s="104" t="str">
        <f t="shared" si="686"/>
        <v/>
      </c>
      <c r="P1570" s="105" t="str">
        <f t="shared" si="687"/>
        <v/>
      </c>
      <c r="Q1570" s="105" t="str">
        <f t="shared" si="702"/>
        <v/>
      </c>
      <c r="R1570" s="103" t="str">
        <f t="shared" si="688"/>
        <v/>
      </c>
      <c r="S1570" s="103" t="str">
        <f t="shared" si="689"/>
        <v/>
      </c>
      <c r="T1570" s="106" t="str">
        <f t="shared" si="703"/>
        <v/>
      </c>
      <c r="U1570" s="106" t="str">
        <f t="shared" si="704"/>
        <v/>
      </c>
      <c r="V1570" s="106" t="str">
        <f t="shared" si="705"/>
        <v/>
      </c>
      <c r="W1570" s="105" t="str">
        <f t="shared" si="690"/>
        <v/>
      </c>
      <c r="X1570" s="104" t="str">
        <f t="shared" si="695"/>
        <v/>
      </c>
      <c r="Y1570" s="104" t="str">
        <f t="array" ref="Y1570">IFERROR(IF(ISNUMBER(O1570),IF(COUNT(IF(A1570=$A$2:$A$2427,IF(D1570=$D$2:$D$2427,IF($X$2:$X$2427&gt;0,1))))&gt;0,SUM(IF(A1570=$A$2:$A$2427,IF(D1570=$D$2:$D$2427,$X$2:$X$2427)))/COUNT(IF(A1570=$A$2:$A$2427,IF(D1570=$D$2:$D$2427,IF(ISNUMBER($X$2:$X$2427),1)))),0),""),0)</f>
        <v/>
      </c>
      <c r="Z1570" s="104" t="str">
        <f>IF(ISNUMBER(O1570),IF(I1570&gt;0,(10^(VLOOKUP(D1570,'Species Codes'!B:C,2,0)+VLOOKUP(D1570,'Species Codes'!B:D,3,0)*LOG(E1570)+VLOOKUP(D1570,'Species Codes'!B:E,4,0)*LOG(I1570))),0),"")</f>
        <v/>
      </c>
      <c r="AA1570" s="104" t="str">
        <f>IFERROR((VLOOKUP(D1570,'Species Codes'!B:G,6,0)*Z1570)/2000,"")</f>
        <v/>
      </c>
      <c r="AB1570" s="104" t="e">
        <f>IF(Z1570&gt;0,((IF(OR(D1570="DF",D1570="RA")=TRUE,EXP(VLOOKUP(D1570,'Species Codes'!B:I,8,0)+VLOOKUP(D1570,'Species Codes'!B:J,9,0)*(LN((E1570*2.54)))),IF(OR(D1570="PY",D1570="RC",D1570="WH",D1570="NF")=TRUE,VLOOKUP(D1570,'Species Codes'!B:I,8,0)+VLOOKUP(D1570,'Species Codes'!B:J,9,0)*((E1570*2.54)^2)*(I1570*0.3048),IF(OR(D1570="MD",D1570="BM",D1570="GA")=TRUE,((VLOOKUP(D1570,'Species Codes'!B:I,8,0)*(((((E1570*2.54)+VLOOKUP(D1570,'Species Codes'!B:J,9,0))/VLOOKUP(D1570,'Species Codes'!B:K,10,0))^VLOOKUP(D1570,'Species Codes'!B:L,11,0))*((I1570*0.3048)^VLOOKUP(D1570,'Species Codes'!B:M,12,0))))-(VLOOKUP(D1570,'Species Codes'!B:I,8,0)*((((E1570*2.54)^VLOOKUP(D1570,'Species Codes'!B:L,11,0))*((I1570*0.3048)^VLOOKUP(D1570,'Species Codes'!B:M,12,0))))))*35.3*VLOOKUP(D1570,'Species Codes'!B:G,6,0)/2.2046,VLOOKUP(D1570,'Species Codes'!B:I,8,0)+VLOOKUP(D1570,'Species Codes'!B:J,9,0)*(((E1570*2.54)/100)^2)*(I1570*0.3048)))))*0.0011023),0)</f>
        <v>#N/A</v>
      </c>
      <c r="AC1570" s="104" t="e">
        <f>IF(Z1570&gt;0,((IF(OR(D1570="RA",D1570="OA",D1570="OT",D1570="UN",D1570="PC"),EXP(VLOOKUP(D1570,'Species Codes'!B:O,14,0)+VLOOKUP(D1570,'Species Codes'!B:P,15,0)*LN((E1570*2.54)))-EXP(VLOOKUP(D1570,'Species Codes'!B:O,14,0)+VLOOKUP(D1570,'Species Codes'!B:P,15,0)*LN((E1570*2.54)))*(1/(VLOOKUP(D1570,'Species Codes'!B:Q,16,0)+VLOOKUP(D1570,'Species Codes'!B:R,17,0)*((E1570*2.54)^VLOOKUP(D1570,'Species Codes'!B:S,18,0)))),IF(OR(D1570="BM",D1570="MD",D1570="OA"),EXP(VLOOKUP(D1570,'Species Codes'!B:O,14,0)+VLOOKUP(D1570,'Species Codes'!B:P,15,0)*LN((E1570*2.54)))*(1-(1/(VLOOKUP(D1570,'Species Codes'!B:Q,16,0)+VLOOKUP(D1570,'Species Codes'!B:R,17,0)*((E1570*2.54)^VLOOKUP(D1570,'Species Codes'!B:S,18,0)))))/1000,IF(D1570="DF",EXP(VLOOKUP(D1570,'Species Codes'!B:O,14,0)+VLOOKUP(D1570,'Species Codes'!B:P,15,0)*LN((E1570*2.54))),VLOOKUP(D1570,'Species Codes'!B:O,14,0)+VLOOKUP(D1570,'Species Codes'!B:P,15,0)*(((E1570*2.54)/100)^2)*(I1570*0.3048)))))*0.0011023),0)</f>
        <v>#N/A</v>
      </c>
      <c r="AD1570" s="104" t="e">
        <f t="shared" si="706"/>
        <v>#N/A</v>
      </c>
      <c r="AE1570" s="104" t="e">
        <f t="shared" si="707"/>
        <v>#N/A</v>
      </c>
      <c r="AF1570" s="104" t="e">
        <f>IF(AND(VLOOKUP($D1570,Merchantability!$B:$C,2,0)="Yes",$E1570&gt;=VLOOKUP($D1570,Merchantability!$B:$D,3,0),$E1570&lt;=VLOOKUP($D1570,Merchantability!$B:$E,4,0)),AA1570,0)</f>
        <v>#N/A</v>
      </c>
      <c r="AG1570" s="104" t="e">
        <f>IF(AND(VLOOKUP($D1570,Merchantability!$B:$C,2,0)="Yes",$E1570&gt;=VLOOKUP($D1570,Merchantability!$B:$D,3,0),$E1570&lt;=VLOOKUP($D1570,Merchantability!$B:$E,4,0)),AB1570,0)</f>
        <v>#N/A</v>
      </c>
      <c r="AH1570" s="104" t="e">
        <f>IF(AND(VLOOKUP($D1570,Merchantability!$B:$C,2,0)="Yes",$E1570&gt;=VLOOKUP($D1570,Merchantability!$B:$D,3,0),$E1570&lt;=VLOOKUP($D1570,Merchantability!$B:$E,4,0)),AC1570,0)</f>
        <v>#N/A</v>
      </c>
      <c r="AI1570" s="104" t="e">
        <f t="shared" si="708"/>
        <v>#N/A</v>
      </c>
      <c r="AJ1570" s="104" t="e">
        <f t="shared" si="709"/>
        <v>#VALUE!</v>
      </c>
      <c r="AK1570" s="104" t="e">
        <f t="shared" si="710"/>
        <v>#N/A</v>
      </c>
      <c r="AL1570" s="104" t="e">
        <f t="shared" si="711"/>
        <v>#N/A</v>
      </c>
      <c r="AM1570" s="104" t="e">
        <f t="shared" si="712"/>
        <v>#N/A</v>
      </c>
      <c r="AN1570" s="104" t="e">
        <f t="shared" si="696"/>
        <v>#N/A</v>
      </c>
      <c r="AO1570" s="104" t="e">
        <f t="shared" si="697"/>
        <v>#N/A</v>
      </c>
      <c r="AP1570" s="104" t="e">
        <f t="shared" si="698"/>
        <v>#N/A</v>
      </c>
      <c r="AQ1570" s="104" t="e">
        <f t="shared" si="699"/>
        <v>#N/A</v>
      </c>
      <c r="AR1570" s="105" t="str">
        <f t="shared" si="691"/>
        <v/>
      </c>
      <c r="AS1570" s="105" t="str">
        <f t="shared" si="692"/>
        <v/>
      </c>
      <c r="AT1570" s="108" t="str">
        <f t="shared" si="693"/>
        <v/>
      </c>
      <c r="AU1570" s="108" t="str">
        <f t="shared" si="694"/>
        <v/>
      </c>
      <c r="AV1570" s="107" t="str">
        <f>IF(ISNUMBER(O1570),IF(VLOOKUP($A1570,Stand!C:J,8,FALSE)="Short",AT1570,AU1570),"")</f>
        <v/>
      </c>
      <c r="AW1570" s="109" t="str">
        <f t="shared" si="700"/>
        <v/>
      </c>
      <c r="AX1570" s="109" t="str">
        <f t="shared" si="701"/>
        <v/>
      </c>
      <c r="AY1570" s="112" t="str">
        <f>IF(ISNUMBER(O1570),IF(AND(VLOOKUP($D1570,Merchantability!$B:$C,2,0)="Yes",$E1570&gt;=VLOOKUP($D1570,Merchantability!$B:$D,3,0),$E1570&lt;=VLOOKUP($D1570,Merchantability!$B:$E,4,0)),(AV1570*O1570)*(1-$H1570/100),""),"")</f>
        <v/>
      </c>
      <c r="AZ1570" s="116"/>
      <c r="BA1570" s="116"/>
      <c r="BB1570" s="116"/>
      <c r="BE1570" s="62"/>
      <c r="BF1570" s="63"/>
    </row>
    <row r="1571" spans="1:58" ht="12.75" customHeight="1" x14ac:dyDescent="0.25">
      <c r="A1571" s="333"/>
      <c r="B1571" s="334"/>
      <c r="C1571" s="332"/>
      <c r="D1571" s="334"/>
      <c r="E1571" s="335"/>
      <c r="F1571" s="334"/>
      <c r="G1571" s="332"/>
      <c r="H1571" s="332"/>
      <c r="I1571" s="334"/>
      <c r="J1571" s="336"/>
      <c r="K1571" s="332"/>
      <c r="L1571" s="332"/>
      <c r="M1571" s="76"/>
      <c r="N1571" s="103" t="str">
        <f>IF(A1571="","",VLOOKUP(A1571,Stand!C:K,9,0))</f>
        <v/>
      </c>
      <c r="O1571" s="104" t="str">
        <f t="shared" si="686"/>
        <v/>
      </c>
      <c r="P1571" s="105" t="str">
        <f t="shared" si="687"/>
        <v/>
      </c>
      <c r="Q1571" s="105" t="str">
        <f t="shared" si="702"/>
        <v/>
      </c>
      <c r="R1571" s="103" t="str">
        <f t="shared" si="688"/>
        <v/>
      </c>
      <c r="S1571" s="103" t="str">
        <f t="shared" si="689"/>
        <v/>
      </c>
      <c r="T1571" s="106" t="str">
        <f t="shared" si="703"/>
        <v/>
      </c>
      <c r="U1571" s="106" t="str">
        <f t="shared" si="704"/>
        <v/>
      </c>
      <c r="V1571" s="106" t="str">
        <f t="shared" si="705"/>
        <v/>
      </c>
      <c r="W1571" s="105" t="str">
        <f t="shared" si="690"/>
        <v/>
      </c>
      <c r="X1571" s="104" t="str">
        <f t="shared" si="695"/>
        <v/>
      </c>
      <c r="Y1571" s="104" t="str">
        <f t="array" ref="Y1571">IFERROR(IF(ISNUMBER(O1571),IF(COUNT(IF(A1571=$A$2:$A$2427,IF(D1571=$D$2:$D$2427,IF($X$2:$X$2427&gt;0,1))))&gt;0,SUM(IF(A1571=$A$2:$A$2427,IF(D1571=$D$2:$D$2427,$X$2:$X$2427)))/COUNT(IF(A1571=$A$2:$A$2427,IF(D1571=$D$2:$D$2427,IF(ISNUMBER($X$2:$X$2427),1)))),0),""),0)</f>
        <v/>
      </c>
      <c r="Z1571" s="104" t="str">
        <f>IF(ISNUMBER(O1571),IF(I1571&gt;0,(10^(VLOOKUP(D1571,'Species Codes'!B:C,2,0)+VLOOKUP(D1571,'Species Codes'!B:D,3,0)*LOG(E1571)+VLOOKUP(D1571,'Species Codes'!B:E,4,0)*LOG(I1571))),0),"")</f>
        <v/>
      </c>
      <c r="AA1571" s="104" t="str">
        <f>IFERROR((VLOOKUP(D1571,'Species Codes'!B:G,6,0)*Z1571)/2000,"")</f>
        <v/>
      </c>
      <c r="AB1571" s="104" t="e">
        <f>IF(Z1571&gt;0,((IF(OR(D1571="DF",D1571="RA")=TRUE,EXP(VLOOKUP(D1571,'Species Codes'!B:I,8,0)+VLOOKUP(D1571,'Species Codes'!B:J,9,0)*(LN((E1571*2.54)))),IF(OR(D1571="PY",D1571="RC",D1571="WH",D1571="NF")=TRUE,VLOOKUP(D1571,'Species Codes'!B:I,8,0)+VLOOKUP(D1571,'Species Codes'!B:J,9,0)*((E1571*2.54)^2)*(I1571*0.3048),IF(OR(D1571="MD",D1571="BM",D1571="GA")=TRUE,((VLOOKUP(D1571,'Species Codes'!B:I,8,0)*(((((E1571*2.54)+VLOOKUP(D1571,'Species Codes'!B:J,9,0))/VLOOKUP(D1571,'Species Codes'!B:K,10,0))^VLOOKUP(D1571,'Species Codes'!B:L,11,0))*((I1571*0.3048)^VLOOKUP(D1571,'Species Codes'!B:M,12,0))))-(VLOOKUP(D1571,'Species Codes'!B:I,8,0)*((((E1571*2.54)^VLOOKUP(D1571,'Species Codes'!B:L,11,0))*((I1571*0.3048)^VLOOKUP(D1571,'Species Codes'!B:M,12,0))))))*35.3*VLOOKUP(D1571,'Species Codes'!B:G,6,0)/2.2046,VLOOKUP(D1571,'Species Codes'!B:I,8,0)+VLOOKUP(D1571,'Species Codes'!B:J,9,0)*(((E1571*2.54)/100)^2)*(I1571*0.3048)))))*0.0011023),0)</f>
        <v>#N/A</v>
      </c>
      <c r="AC1571" s="104" t="e">
        <f>IF(Z1571&gt;0,((IF(OR(D1571="RA",D1571="OA",D1571="OT",D1571="UN",D1571="PC"),EXP(VLOOKUP(D1571,'Species Codes'!B:O,14,0)+VLOOKUP(D1571,'Species Codes'!B:P,15,0)*LN((E1571*2.54)))-EXP(VLOOKUP(D1571,'Species Codes'!B:O,14,0)+VLOOKUP(D1571,'Species Codes'!B:P,15,0)*LN((E1571*2.54)))*(1/(VLOOKUP(D1571,'Species Codes'!B:Q,16,0)+VLOOKUP(D1571,'Species Codes'!B:R,17,0)*((E1571*2.54)^VLOOKUP(D1571,'Species Codes'!B:S,18,0)))),IF(OR(D1571="BM",D1571="MD",D1571="OA"),EXP(VLOOKUP(D1571,'Species Codes'!B:O,14,0)+VLOOKUP(D1571,'Species Codes'!B:P,15,0)*LN((E1571*2.54)))*(1-(1/(VLOOKUP(D1571,'Species Codes'!B:Q,16,0)+VLOOKUP(D1571,'Species Codes'!B:R,17,0)*((E1571*2.54)^VLOOKUP(D1571,'Species Codes'!B:S,18,0)))))/1000,IF(D1571="DF",EXP(VLOOKUP(D1571,'Species Codes'!B:O,14,0)+VLOOKUP(D1571,'Species Codes'!B:P,15,0)*LN((E1571*2.54))),VLOOKUP(D1571,'Species Codes'!B:O,14,0)+VLOOKUP(D1571,'Species Codes'!B:P,15,0)*(((E1571*2.54)/100)^2)*(I1571*0.3048)))))*0.0011023),0)</f>
        <v>#N/A</v>
      </c>
      <c r="AD1571" s="104" t="e">
        <f t="shared" si="706"/>
        <v>#N/A</v>
      </c>
      <c r="AE1571" s="104" t="e">
        <f t="shared" si="707"/>
        <v>#N/A</v>
      </c>
      <c r="AF1571" s="104" t="e">
        <f>IF(AND(VLOOKUP($D1571,Merchantability!$B:$C,2,0)="Yes",$E1571&gt;=VLOOKUP($D1571,Merchantability!$B:$D,3,0),$E1571&lt;=VLOOKUP($D1571,Merchantability!$B:$E,4,0)),AA1571,0)</f>
        <v>#N/A</v>
      </c>
      <c r="AG1571" s="104" t="e">
        <f>IF(AND(VLOOKUP($D1571,Merchantability!$B:$C,2,0)="Yes",$E1571&gt;=VLOOKUP($D1571,Merchantability!$B:$D,3,0),$E1571&lt;=VLOOKUP($D1571,Merchantability!$B:$E,4,0)),AB1571,0)</f>
        <v>#N/A</v>
      </c>
      <c r="AH1571" s="104" t="e">
        <f>IF(AND(VLOOKUP($D1571,Merchantability!$B:$C,2,0)="Yes",$E1571&gt;=VLOOKUP($D1571,Merchantability!$B:$D,3,0),$E1571&lt;=VLOOKUP($D1571,Merchantability!$B:$E,4,0)),AC1571,0)</f>
        <v>#N/A</v>
      </c>
      <c r="AI1571" s="104" t="e">
        <f t="shared" si="708"/>
        <v>#N/A</v>
      </c>
      <c r="AJ1571" s="104" t="e">
        <f t="shared" si="709"/>
        <v>#VALUE!</v>
      </c>
      <c r="AK1571" s="104" t="e">
        <f t="shared" si="710"/>
        <v>#N/A</v>
      </c>
      <c r="AL1571" s="104" t="e">
        <f t="shared" si="711"/>
        <v>#N/A</v>
      </c>
      <c r="AM1571" s="104" t="e">
        <f t="shared" si="712"/>
        <v>#N/A</v>
      </c>
      <c r="AN1571" s="104" t="e">
        <f t="shared" si="696"/>
        <v>#N/A</v>
      </c>
      <c r="AO1571" s="104" t="e">
        <f t="shared" si="697"/>
        <v>#N/A</v>
      </c>
      <c r="AP1571" s="104" t="e">
        <f t="shared" si="698"/>
        <v>#N/A</v>
      </c>
      <c r="AQ1571" s="104" t="e">
        <f t="shared" si="699"/>
        <v>#N/A</v>
      </c>
      <c r="AR1571" s="105" t="str">
        <f t="shared" si="691"/>
        <v/>
      </c>
      <c r="AS1571" s="105" t="str">
        <f t="shared" si="692"/>
        <v/>
      </c>
      <c r="AT1571" s="108" t="str">
        <f t="shared" si="693"/>
        <v/>
      </c>
      <c r="AU1571" s="108" t="str">
        <f t="shared" si="694"/>
        <v/>
      </c>
      <c r="AV1571" s="107" t="str">
        <f>IF(ISNUMBER(O1571),IF(VLOOKUP($A1571,Stand!C:J,8,FALSE)="Short",AT1571,AU1571),"")</f>
        <v/>
      </c>
      <c r="AW1571" s="109" t="str">
        <f t="shared" si="700"/>
        <v/>
      </c>
      <c r="AX1571" s="109" t="str">
        <f t="shared" si="701"/>
        <v/>
      </c>
      <c r="AY1571" s="112" t="str">
        <f>IF(ISNUMBER(O1571),IF(AND(VLOOKUP($D1571,Merchantability!$B:$C,2,0)="Yes",$E1571&gt;=VLOOKUP($D1571,Merchantability!$B:$D,3,0),$E1571&lt;=VLOOKUP($D1571,Merchantability!$B:$E,4,0)),(AV1571*O1571)*(1-$H1571/100),""),"")</f>
        <v/>
      </c>
      <c r="AZ1571" s="116"/>
      <c r="BA1571" s="116"/>
      <c r="BB1571" s="116"/>
      <c r="BE1571" s="62"/>
      <c r="BF1571" s="63"/>
    </row>
    <row r="1572" spans="1:58" ht="12.75" customHeight="1" x14ac:dyDescent="0.25">
      <c r="A1572" s="333"/>
      <c r="B1572" s="334"/>
      <c r="C1572" s="332"/>
      <c r="D1572" s="334"/>
      <c r="E1572" s="335"/>
      <c r="F1572" s="334"/>
      <c r="G1572" s="332"/>
      <c r="H1572" s="332"/>
      <c r="I1572" s="334"/>
      <c r="J1572" s="336"/>
      <c r="K1572" s="332"/>
      <c r="L1572" s="332"/>
      <c r="M1572" s="76"/>
      <c r="N1572" s="103" t="str">
        <f>IF(A1572="","",VLOOKUP(A1572,Stand!C:K,9,0))</f>
        <v/>
      </c>
      <c r="O1572" s="104" t="str">
        <f t="shared" si="686"/>
        <v/>
      </c>
      <c r="P1572" s="105" t="str">
        <f t="shared" si="687"/>
        <v/>
      </c>
      <c r="Q1572" s="105" t="str">
        <f t="shared" si="702"/>
        <v/>
      </c>
      <c r="R1572" s="103" t="str">
        <f t="shared" si="688"/>
        <v/>
      </c>
      <c r="S1572" s="103" t="str">
        <f t="shared" si="689"/>
        <v/>
      </c>
      <c r="T1572" s="106" t="str">
        <f t="shared" si="703"/>
        <v/>
      </c>
      <c r="U1572" s="106" t="str">
        <f t="shared" si="704"/>
        <v/>
      </c>
      <c r="V1572" s="106" t="str">
        <f t="shared" si="705"/>
        <v/>
      </c>
      <c r="W1572" s="105" t="str">
        <f t="shared" si="690"/>
        <v/>
      </c>
      <c r="X1572" s="104" t="str">
        <f t="shared" si="695"/>
        <v/>
      </c>
      <c r="Y1572" s="104" t="str">
        <f t="array" ref="Y1572">IFERROR(IF(ISNUMBER(O1572),IF(COUNT(IF(A1572=$A$2:$A$2427,IF(D1572=$D$2:$D$2427,IF($X$2:$X$2427&gt;0,1))))&gt;0,SUM(IF(A1572=$A$2:$A$2427,IF(D1572=$D$2:$D$2427,$X$2:$X$2427)))/COUNT(IF(A1572=$A$2:$A$2427,IF(D1572=$D$2:$D$2427,IF(ISNUMBER($X$2:$X$2427),1)))),0),""),0)</f>
        <v/>
      </c>
      <c r="Z1572" s="104" t="str">
        <f>IF(ISNUMBER(O1572),IF(I1572&gt;0,(10^(VLOOKUP(D1572,'Species Codes'!B:C,2,0)+VLOOKUP(D1572,'Species Codes'!B:D,3,0)*LOG(E1572)+VLOOKUP(D1572,'Species Codes'!B:E,4,0)*LOG(I1572))),0),"")</f>
        <v/>
      </c>
      <c r="AA1572" s="104" t="str">
        <f>IFERROR((VLOOKUP(D1572,'Species Codes'!B:G,6,0)*Z1572)/2000,"")</f>
        <v/>
      </c>
      <c r="AB1572" s="104" t="e">
        <f>IF(Z1572&gt;0,((IF(OR(D1572="DF",D1572="RA")=TRUE,EXP(VLOOKUP(D1572,'Species Codes'!B:I,8,0)+VLOOKUP(D1572,'Species Codes'!B:J,9,0)*(LN((E1572*2.54)))),IF(OR(D1572="PY",D1572="RC",D1572="WH",D1572="NF")=TRUE,VLOOKUP(D1572,'Species Codes'!B:I,8,0)+VLOOKUP(D1572,'Species Codes'!B:J,9,0)*((E1572*2.54)^2)*(I1572*0.3048),IF(OR(D1572="MD",D1572="BM",D1572="GA")=TRUE,((VLOOKUP(D1572,'Species Codes'!B:I,8,0)*(((((E1572*2.54)+VLOOKUP(D1572,'Species Codes'!B:J,9,0))/VLOOKUP(D1572,'Species Codes'!B:K,10,0))^VLOOKUP(D1572,'Species Codes'!B:L,11,0))*((I1572*0.3048)^VLOOKUP(D1572,'Species Codes'!B:M,12,0))))-(VLOOKUP(D1572,'Species Codes'!B:I,8,0)*((((E1572*2.54)^VLOOKUP(D1572,'Species Codes'!B:L,11,0))*((I1572*0.3048)^VLOOKUP(D1572,'Species Codes'!B:M,12,0))))))*35.3*VLOOKUP(D1572,'Species Codes'!B:G,6,0)/2.2046,VLOOKUP(D1572,'Species Codes'!B:I,8,0)+VLOOKUP(D1572,'Species Codes'!B:J,9,0)*(((E1572*2.54)/100)^2)*(I1572*0.3048)))))*0.0011023),0)</f>
        <v>#N/A</v>
      </c>
      <c r="AC1572" s="104" t="e">
        <f>IF(Z1572&gt;0,((IF(OR(D1572="RA",D1572="OA",D1572="OT",D1572="UN",D1572="PC"),EXP(VLOOKUP(D1572,'Species Codes'!B:O,14,0)+VLOOKUP(D1572,'Species Codes'!B:P,15,0)*LN((E1572*2.54)))-EXP(VLOOKUP(D1572,'Species Codes'!B:O,14,0)+VLOOKUP(D1572,'Species Codes'!B:P,15,0)*LN((E1572*2.54)))*(1/(VLOOKUP(D1572,'Species Codes'!B:Q,16,0)+VLOOKUP(D1572,'Species Codes'!B:R,17,0)*((E1572*2.54)^VLOOKUP(D1572,'Species Codes'!B:S,18,0)))),IF(OR(D1572="BM",D1572="MD",D1572="OA"),EXP(VLOOKUP(D1572,'Species Codes'!B:O,14,0)+VLOOKUP(D1572,'Species Codes'!B:P,15,0)*LN((E1572*2.54)))*(1-(1/(VLOOKUP(D1572,'Species Codes'!B:Q,16,0)+VLOOKUP(D1572,'Species Codes'!B:R,17,0)*((E1572*2.54)^VLOOKUP(D1572,'Species Codes'!B:S,18,0)))))/1000,IF(D1572="DF",EXP(VLOOKUP(D1572,'Species Codes'!B:O,14,0)+VLOOKUP(D1572,'Species Codes'!B:P,15,0)*LN((E1572*2.54))),VLOOKUP(D1572,'Species Codes'!B:O,14,0)+VLOOKUP(D1572,'Species Codes'!B:P,15,0)*(((E1572*2.54)/100)^2)*(I1572*0.3048)))))*0.0011023),0)</f>
        <v>#N/A</v>
      </c>
      <c r="AD1572" s="104" t="e">
        <f t="shared" si="706"/>
        <v>#N/A</v>
      </c>
      <c r="AE1572" s="104" t="e">
        <f t="shared" si="707"/>
        <v>#N/A</v>
      </c>
      <c r="AF1572" s="104" t="e">
        <f>IF(AND(VLOOKUP($D1572,Merchantability!$B:$C,2,0)="Yes",$E1572&gt;=VLOOKUP($D1572,Merchantability!$B:$D,3,0),$E1572&lt;=VLOOKUP($D1572,Merchantability!$B:$E,4,0)),AA1572,0)</f>
        <v>#N/A</v>
      </c>
      <c r="AG1572" s="104" t="e">
        <f>IF(AND(VLOOKUP($D1572,Merchantability!$B:$C,2,0)="Yes",$E1572&gt;=VLOOKUP($D1572,Merchantability!$B:$D,3,0),$E1572&lt;=VLOOKUP($D1572,Merchantability!$B:$E,4,0)),AB1572,0)</f>
        <v>#N/A</v>
      </c>
      <c r="AH1572" s="104" t="e">
        <f>IF(AND(VLOOKUP($D1572,Merchantability!$B:$C,2,0)="Yes",$E1572&gt;=VLOOKUP($D1572,Merchantability!$B:$D,3,0),$E1572&lt;=VLOOKUP($D1572,Merchantability!$B:$E,4,0)),AC1572,0)</f>
        <v>#N/A</v>
      </c>
      <c r="AI1572" s="104" t="e">
        <f t="shared" si="708"/>
        <v>#N/A</v>
      </c>
      <c r="AJ1572" s="104" t="e">
        <f t="shared" si="709"/>
        <v>#VALUE!</v>
      </c>
      <c r="AK1572" s="104" t="e">
        <f t="shared" si="710"/>
        <v>#N/A</v>
      </c>
      <c r="AL1572" s="104" t="e">
        <f t="shared" si="711"/>
        <v>#N/A</v>
      </c>
      <c r="AM1572" s="104" t="e">
        <f t="shared" si="712"/>
        <v>#N/A</v>
      </c>
      <c r="AN1572" s="104" t="e">
        <f t="shared" si="696"/>
        <v>#N/A</v>
      </c>
      <c r="AO1572" s="104" t="e">
        <f t="shared" si="697"/>
        <v>#N/A</v>
      </c>
      <c r="AP1572" s="104" t="e">
        <f t="shared" si="698"/>
        <v>#N/A</v>
      </c>
      <c r="AQ1572" s="104" t="e">
        <f t="shared" si="699"/>
        <v>#N/A</v>
      </c>
      <c r="AR1572" s="105" t="str">
        <f t="shared" si="691"/>
        <v/>
      </c>
      <c r="AS1572" s="105" t="str">
        <f t="shared" si="692"/>
        <v/>
      </c>
      <c r="AT1572" s="108" t="str">
        <f t="shared" si="693"/>
        <v/>
      </c>
      <c r="AU1572" s="108" t="str">
        <f t="shared" si="694"/>
        <v/>
      </c>
      <c r="AV1572" s="107" t="str">
        <f>IF(ISNUMBER(O1572),IF(VLOOKUP($A1572,Stand!C:J,8,FALSE)="Short",AT1572,AU1572),"")</f>
        <v/>
      </c>
      <c r="AW1572" s="109" t="str">
        <f t="shared" si="700"/>
        <v/>
      </c>
      <c r="AX1572" s="109" t="str">
        <f t="shared" si="701"/>
        <v/>
      </c>
      <c r="AY1572" s="112" t="str">
        <f>IF(ISNUMBER(O1572),IF(AND(VLOOKUP($D1572,Merchantability!$B:$C,2,0)="Yes",$E1572&gt;=VLOOKUP($D1572,Merchantability!$B:$D,3,0),$E1572&lt;=VLOOKUP($D1572,Merchantability!$B:$E,4,0)),(AV1572*O1572)*(1-$H1572/100),""),"")</f>
        <v/>
      </c>
      <c r="AZ1572" s="116"/>
      <c r="BA1572" s="116"/>
      <c r="BB1572" s="116"/>
      <c r="BE1572" s="62"/>
      <c r="BF1572" s="63"/>
    </row>
    <row r="1573" spans="1:58" ht="12.75" customHeight="1" x14ac:dyDescent="0.25">
      <c r="A1573" s="333"/>
      <c r="B1573" s="334"/>
      <c r="C1573" s="332"/>
      <c r="D1573" s="334"/>
      <c r="E1573" s="335"/>
      <c r="F1573" s="334"/>
      <c r="G1573" s="332"/>
      <c r="H1573" s="332"/>
      <c r="I1573" s="334"/>
      <c r="J1573" s="336"/>
      <c r="K1573" s="332"/>
      <c r="L1573" s="332"/>
      <c r="M1573" s="76"/>
      <c r="N1573" s="103" t="str">
        <f>IF(A1573="","",VLOOKUP(A1573,Stand!C:K,9,0))</f>
        <v/>
      </c>
      <c r="O1573" s="104" t="str">
        <f t="shared" si="686"/>
        <v/>
      </c>
      <c r="P1573" s="105" t="str">
        <f t="shared" si="687"/>
        <v/>
      </c>
      <c r="Q1573" s="105" t="str">
        <f t="shared" si="702"/>
        <v/>
      </c>
      <c r="R1573" s="103" t="str">
        <f t="shared" si="688"/>
        <v/>
      </c>
      <c r="S1573" s="103" t="str">
        <f t="shared" si="689"/>
        <v/>
      </c>
      <c r="T1573" s="106" t="str">
        <f t="shared" si="703"/>
        <v/>
      </c>
      <c r="U1573" s="106" t="str">
        <f t="shared" si="704"/>
        <v/>
      </c>
      <c r="V1573" s="106" t="str">
        <f t="shared" si="705"/>
        <v/>
      </c>
      <c r="W1573" s="105" t="str">
        <f t="shared" si="690"/>
        <v/>
      </c>
      <c r="X1573" s="104" t="str">
        <f t="shared" si="695"/>
        <v/>
      </c>
      <c r="Y1573" s="104" t="str">
        <f t="array" ref="Y1573">IFERROR(IF(ISNUMBER(O1573),IF(COUNT(IF(A1573=$A$2:$A$2427,IF(D1573=$D$2:$D$2427,IF($X$2:$X$2427&gt;0,1))))&gt;0,SUM(IF(A1573=$A$2:$A$2427,IF(D1573=$D$2:$D$2427,$X$2:$X$2427)))/COUNT(IF(A1573=$A$2:$A$2427,IF(D1573=$D$2:$D$2427,IF(ISNUMBER($X$2:$X$2427),1)))),0),""),0)</f>
        <v/>
      </c>
      <c r="Z1573" s="104" t="str">
        <f>IF(ISNUMBER(O1573),IF(I1573&gt;0,(10^(VLOOKUP(D1573,'Species Codes'!B:C,2,0)+VLOOKUP(D1573,'Species Codes'!B:D,3,0)*LOG(E1573)+VLOOKUP(D1573,'Species Codes'!B:E,4,0)*LOG(I1573))),0),"")</f>
        <v/>
      </c>
      <c r="AA1573" s="104" t="str">
        <f>IFERROR((VLOOKUP(D1573,'Species Codes'!B:G,6,0)*Z1573)/2000,"")</f>
        <v/>
      </c>
      <c r="AB1573" s="104" t="e">
        <f>IF(Z1573&gt;0,((IF(OR(D1573="DF",D1573="RA")=TRUE,EXP(VLOOKUP(D1573,'Species Codes'!B:I,8,0)+VLOOKUP(D1573,'Species Codes'!B:J,9,0)*(LN((E1573*2.54)))),IF(OR(D1573="PY",D1573="RC",D1573="WH",D1573="NF")=TRUE,VLOOKUP(D1573,'Species Codes'!B:I,8,0)+VLOOKUP(D1573,'Species Codes'!B:J,9,0)*((E1573*2.54)^2)*(I1573*0.3048),IF(OR(D1573="MD",D1573="BM",D1573="GA")=TRUE,((VLOOKUP(D1573,'Species Codes'!B:I,8,0)*(((((E1573*2.54)+VLOOKUP(D1573,'Species Codes'!B:J,9,0))/VLOOKUP(D1573,'Species Codes'!B:K,10,0))^VLOOKUP(D1573,'Species Codes'!B:L,11,0))*((I1573*0.3048)^VLOOKUP(D1573,'Species Codes'!B:M,12,0))))-(VLOOKUP(D1573,'Species Codes'!B:I,8,0)*((((E1573*2.54)^VLOOKUP(D1573,'Species Codes'!B:L,11,0))*((I1573*0.3048)^VLOOKUP(D1573,'Species Codes'!B:M,12,0))))))*35.3*VLOOKUP(D1573,'Species Codes'!B:G,6,0)/2.2046,VLOOKUP(D1573,'Species Codes'!B:I,8,0)+VLOOKUP(D1573,'Species Codes'!B:J,9,0)*(((E1573*2.54)/100)^2)*(I1573*0.3048)))))*0.0011023),0)</f>
        <v>#N/A</v>
      </c>
      <c r="AC1573" s="104" t="e">
        <f>IF(Z1573&gt;0,((IF(OR(D1573="RA",D1573="OA",D1573="OT",D1573="UN",D1573="PC"),EXP(VLOOKUP(D1573,'Species Codes'!B:O,14,0)+VLOOKUP(D1573,'Species Codes'!B:P,15,0)*LN((E1573*2.54)))-EXP(VLOOKUP(D1573,'Species Codes'!B:O,14,0)+VLOOKUP(D1573,'Species Codes'!B:P,15,0)*LN((E1573*2.54)))*(1/(VLOOKUP(D1573,'Species Codes'!B:Q,16,0)+VLOOKUP(D1573,'Species Codes'!B:R,17,0)*((E1573*2.54)^VLOOKUP(D1573,'Species Codes'!B:S,18,0)))),IF(OR(D1573="BM",D1573="MD",D1573="OA"),EXP(VLOOKUP(D1573,'Species Codes'!B:O,14,0)+VLOOKUP(D1573,'Species Codes'!B:P,15,0)*LN((E1573*2.54)))*(1-(1/(VLOOKUP(D1573,'Species Codes'!B:Q,16,0)+VLOOKUP(D1573,'Species Codes'!B:R,17,0)*((E1573*2.54)^VLOOKUP(D1573,'Species Codes'!B:S,18,0)))))/1000,IF(D1573="DF",EXP(VLOOKUP(D1573,'Species Codes'!B:O,14,0)+VLOOKUP(D1573,'Species Codes'!B:P,15,0)*LN((E1573*2.54))),VLOOKUP(D1573,'Species Codes'!B:O,14,0)+VLOOKUP(D1573,'Species Codes'!B:P,15,0)*(((E1573*2.54)/100)^2)*(I1573*0.3048)))))*0.0011023),0)</f>
        <v>#N/A</v>
      </c>
      <c r="AD1573" s="104" t="e">
        <f t="shared" si="706"/>
        <v>#N/A</v>
      </c>
      <c r="AE1573" s="104" t="e">
        <f t="shared" si="707"/>
        <v>#N/A</v>
      </c>
      <c r="AF1573" s="104" t="e">
        <f>IF(AND(VLOOKUP($D1573,Merchantability!$B:$C,2,0)="Yes",$E1573&gt;=VLOOKUP($D1573,Merchantability!$B:$D,3,0),$E1573&lt;=VLOOKUP($D1573,Merchantability!$B:$E,4,0)),AA1573,0)</f>
        <v>#N/A</v>
      </c>
      <c r="AG1573" s="104" t="e">
        <f>IF(AND(VLOOKUP($D1573,Merchantability!$B:$C,2,0)="Yes",$E1573&gt;=VLOOKUP($D1573,Merchantability!$B:$D,3,0),$E1573&lt;=VLOOKUP($D1573,Merchantability!$B:$E,4,0)),AB1573,0)</f>
        <v>#N/A</v>
      </c>
      <c r="AH1573" s="104" t="e">
        <f>IF(AND(VLOOKUP($D1573,Merchantability!$B:$C,2,0)="Yes",$E1573&gt;=VLOOKUP($D1573,Merchantability!$B:$D,3,0),$E1573&lt;=VLOOKUP($D1573,Merchantability!$B:$E,4,0)),AC1573,0)</f>
        <v>#N/A</v>
      </c>
      <c r="AI1573" s="104" t="e">
        <f t="shared" si="708"/>
        <v>#N/A</v>
      </c>
      <c r="AJ1573" s="104" t="e">
        <f t="shared" si="709"/>
        <v>#VALUE!</v>
      </c>
      <c r="AK1573" s="104" t="e">
        <f t="shared" si="710"/>
        <v>#N/A</v>
      </c>
      <c r="AL1573" s="104" t="e">
        <f t="shared" si="711"/>
        <v>#N/A</v>
      </c>
      <c r="AM1573" s="104" t="e">
        <f t="shared" si="712"/>
        <v>#N/A</v>
      </c>
      <c r="AN1573" s="104" t="e">
        <f t="shared" si="696"/>
        <v>#N/A</v>
      </c>
      <c r="AO1573" s="104" t="e">
        <f t="shared" si="697"/>
        <v>#N/A</v>
      </c>
      <c r="AP1573" s="104" t="e">
        <f t="shared" si="698"/>
        <v>#N/A</v>
      </c>
      <c r="AQ1573" s="104" t="e">
        <f t="shared" si="699"/>
        <v>#N/A</v>
      </c>
      <c r="AR1573" s="105" t="str">
        <f t="shared" si="691"/>
        <v/>
      </c>
      <c r="AS1573" s="105" t="str">
        <f t="shared" si="692"/>
        <v/>
      </c>
      <c r="AT1573" s="108" t="str">
        <f t="shared" si="693"/>
        <v/>
      </c>
      <c r="AU1573" s="108" t="str">
        <f t="shared" si="694"/>
        <v/>
      </c>
      <c r="AV1573" s="107" t="str">
        <f>IF(ISNUMBER(O1573),IF(VLOOKUP($A1573,Stand!C:J,8,FALSE)="Short",AT1573,AU1573),"")</f>
        <v/>
      </c>
      <c r="AW1573" s="109" t="str">
        <f t="shared" si="700"/>
        <v/>
      </c>
      <c r="AX1573" s="109" t="str">
        <f t="shared" si="701"/>
        <v/>
      </c>
      <c r="AY1573" s="112" t="str">
        <f>IF(ISNUMBER(O1573),IF(AND(VLOOKUP($D1573,Merchantability!$B:$C,2,0)="Yes",$E1573&gt;=VLOOKUP($D1573,Merchantability!$B:$D,3,0),$E1573&lt;=VLOOKUP($D1573,Merchantability!$B:$E,4,0)),(AV1573*O1573)*(1-$H1573/100),""),"")</f>
        <v/>
      </c>
      <c r="AZ1573" s="116"/>
      <c r="BA1573" s="116"/>
      <c r="BB1573" s="116"/>
      <c r="BE1573" s="62"/>
      <c r="BF1573" s="63"/>
    </row>
    <row r="1574" spans="1:58" ht="12.75" customHeight="1" x14ac:dyDescent="0.25">
      <c r="A1574" s="333"/>
      <c r="B1574" s="334"/>
      <c r="C1574" s="332"/>
      <c r="D1574" s="334"/>
      <c r="E1574" s="335"/>
      <c r="F1574" s="334"/>
      <c r="G1574" s="332"/>
      <c r="H1574" s="332"/>
      <c r="I1574" s="334"/>
      <c r="J1574" s="336"/>
      <c r="K1574" s="332"/>
      <c r="L1574" s="332"/>
      <c r="M1574" s="76"/>
      <c r="N1574" s="103" t="str">
        <f>IF(A1574="","",VLOOKUP(A1574,Stand!C:K,9,0))</f>
        <v/>
      </c>
      <c r="O1574" s="104" t="str">
        <f t="shared" si="686"/>
        <v/>
      </c>
      <c r="P1574" s="105" t="str">
        <f t="shared" si="687"/>
        <v/>
      </c>
      <c r="Q1574" s="105" t="str">
        <f t="shared" si="702"/>
        <v/>
      </c>
      <c r="R1574" s="103" t="str">
        <f t="shared" si="688"/>
        <v/>
      </c>
      <c r="S1574" s="103" t="str">
        <f t="shared" si="689"/>
        <v/>
      </c>
      <c r="T1574" s="106" t="str">
        <f t="shared" si="703"/>
        <v/>
      </c>
      <c r="U1574" s="106" t="str">
        <f t="shared" si="704"/>
        <v/>
      </c>
      <c r="V1574" s="106" t="str">
        <f t="shared" si="705"/>
        <v/>
      </c>
      <c r="W1574" s="105" t="str">
        <f t="shared" si="690"/>
        <v/>
      </c>
      <c r="X1574" s="104" t="str">
        <f t="shared" si="695"/>
        <v/>
      </c>
      <c r="Y1574" s="104" t="str">
        <f t="array" ref="Y1574">IFERROR(IF(ISNUMBER(O1574),IF(COUNT(IF(A1574=$A$2:$A$2427,IF(D1574=$D$2:$D$2427,IF($X$2:$X$2427&gt;0,1))))&gt;0,SUM(IF(A1574=$A$2:$A$2427,IF(D1574=$D$2:$D$2427,$X$2:$X$2427)))/COUNT(IF(A1574=$A$2:$A$2427,IF(D1574=$D$2:$D$2427,IF(ISNUMBER($X$2:$X$2427),1)))),0),""),0)</f>
        <v/>
      </c>
      <c r="Z1574" s="104" t="str">
        <f>IF(ISNUMBER(O1574),IF(I1574&gt;0,(10^(VLOOKUP(D1574,'Species Codes'!B:C,2,0)+VLOOKUP(D1574,'Species Codes'!B:D,3,0)*LOG(E1574)+VLOOKUP(D1574,'Species Codes'!B:E,4,0)*LOG(I1574))),0),"")</f>
        <v/>
      </c>
      <c r="AA1574" s="104" t="str">
        <f>IFERROR((VLOOKUP(D1574,'Species Codes'!B:G,6,0)*Z1574)/2000,"")</f>
        <v/>
      </c>
      <c r="AB1574" s="104" t="e">
        <f>IF(Z1574&gt;0,((IF(OR(D1574="DF",D1574="RA")=TRUE,EXP(VLOOKUP(D1574,'Species Codes'!B:I,8,0)+VLOOKUP(D1574,'Species Codes'!B:J,9,0)*(LN((E1574*2.54)))),IF(OR(D1574="PY",D1574="RC",D1574="WH",D1574="NF")=TRUE,VLOOKUP(D1574,'Species Codes'!B:I,8,0)+VLOOKUP(D1574,'Species Codes'!B:J,9,0)*((E1574*2.54)^2)*(I1574*0.3048),IF(OR(D1574="MD",D1574="BM",D1574="GA")=TRUE,((VLOOKUP(D1574,'Species Codes'!B:I,8,0)*(((((E1574*2.54)+VLOOKUP(D1574,'Species Codes'!B:J,9,0))/VLOOKUP(D1574,'Species Codes'!B:K,10,0))^VLOOKUP(D1574,'Species Codes'!B:L,11,0))*((I1574*0.3048)^VLOOKUP(D1574,'Species Codes'!B:M,12,0))))-(VLOOKUP(D1574,'Species Codes'!B:I,8,0)*((((E1574*2.54)^VLOOKUP(D1574,'Species Codes'!B:L,11,0))*((I1574*0.3048)^VLOOKUP(D1574,'Species Codes'!B:M,12,0))))))*35.3*VLOOKUP(D1574,'Species Codes'!B:G,6,0)/2.2046,VLOOKUP(D1574,'Species Codes'!B:I,8,0)+VLOOKUP(D1574,'Species Codes'!B:J,9,0)*(((E1574*2.54)/100)^2)*(I1574*0.3048)))))*0.0011023),0)</f>
        <v>#N/A</v>
      </c>
      <c r="AC1574" s="104" t="e">
        <f>IF(Z1574&gt;0,((IF(OR(D1574="RA",D1574="OA",D1574="OT",D1574="UN",D1574="PC"),EXP(VLOOKUP(D1574,'Species Codes'!B:O,14,0)+VLOOKUP(D1574,'Species Codes'!B:P,15,0)*LN((E1574*2.54)))-EXP(VLOOKUP(D1574,'Species Codes'!B:O,14,0)+VLOOKUP(D1574,'Species Codes'!B:P,15,0)*LN((E1574*2.54)))*(1/(VLOOKUP(D1574,'Species Codes'!B:Q,16,0)+VLOOKUP(D1574,'Species Codes'!B:R,17,0)*((E1574*2.54)^VLOOKUP(D1574,'Species Codes'!B:S,18,0)))),IF(OR(D1574="BM",D1574="MD",D1574="OA"),EXP(VLOOKUP(D1574,'Species Codes'!B:O,14,0)+VLOOKUP(D1574,'Species Codes'!B:P,15,0)*LN((E1574*2.54)))*(1-(1/(VLOOKUP(D1574,'Species Codes'!B:Q,16,0)+VLOOKUP(D1574,'Species Codes'!B:R,17,0)*((E1574*2.54)^VLOOKUP(D1574,'Species Codes'!B:S,18,0)))))/1000,IF(D1574="DF",EXP(VLOOKUP(D1574,'Species Codes'!B:O,14,0)+VLOOKUP(D1574,'Species Codes'!B:P,15,0)*LN((E1574*2.54))),VLOOKUP(D1574,'Species Codes'!B:O,14,0)+VLOOKUP(D1574,'Species Codes'!B:P,15,0)*(((E1574*2.54)/100)^2)*(I1574*0.3048)))))*0.0011023),0)</f>
        <v>#N/A</v>
      </c>
      <c r="AD1574" s="104" t="e">
        <f t="shared" si="706"/>
        <v>#N/A</v>
      </c>
      <c r="AE1574" s="104" t="e">
        <f t="shared" si="707"/>
        <v>#N/A</v>
      </c>
      <c r="AF1574" s="104" t="e">
        <f>IF(AND(VLOOKUP($D1574,Merchantability!$B:$C,2,0)="Yes",$E1574&gt;=VLOOKUP($D1574,Merchantability!$B:$D,3,0),$E1574&lt;=VLOOKUP($D1574,Merchantability!$B:$E,4,0)),AA1574,0)</f>
        <v>#N/A</v>
      </c>
      <c r="AG1574" s="104" t="e">
        <f>IF(AND(VLOOKUP($D1574,Merchantability!$B:$C,2,0)="Yes",$E1574&gt;=VLOOKUP($D1574,Merchantability!$B:$D,3,0),$E1574&lt;=VLOOKUP($D1574,Merchantability!$B:$E,4,0)),AB1574,0)</f>
        <v>#N/A</v>
      </c>
      <c r="AH1574" s="104" t="e">
        <f>IF(AND(VLOOKUP($D1574,Merchantability!$B:$C,2,0)="Yes",$E1574&gt;=VLOOKUP($D1574,Merchantability!$B:$D,3,0),$E1574&lt;=VLOOKUP($D1574,Merchantability!$B:$E,4,0)),AC1574,0)</f>
        <v>#N/A</v>
      </c>
      <c r="AI1574" s="104" t="e">
        <f t="shared" si="708"/>
        <v>#N/A</v>
      </c>
      <c r="AJ1574" s="104" t="e">
        <f t="shared" si="709"/>
        <v>#VALUE!</v>
      </c>
      <c r="AK1574" s="104" t="e">
        <f t="shared" si="710"/>
        <v>#N/A</v>
      </c>
      <c r="AL1574" s="104" t="e">
        <f t="shared" si="711"/>
        <v>#N/A</v>
      </c>
      <c r="AM1574" s="104" t="e">
        <f t="shared" si="712"/>
        <v>#N/A</v>
      </c>
      <c r="AN1574" s="104" t="e">
        <f t="shared" si="696"/>
        <v>#N/A</v>
      </c>
      <c r="AO1574" s="104" t="e">
        <f t="shared" si="697"/>
        <v>#N/A</v>
      </c>
      <c r="AP1574" s="104" t="e">
        <f t="shared" si="698"/>
        <v>#N/A</v>
      </c>
      <c r="AQ1574" s="104" t="e">
        <f t="shared" si="699"/>
        <v>#N/A</v>
      </c>
      <c r="AR1574" s="105" t="str">
        <f t="shared" si="691"/>
        <v/>
      </c>
      <c r="AS1574" s="105" t="str">
        <f t="shared" si="692"/>
        <v/>
      </c>
      <c r="AT1574" s="108" t="str">
        <f t="shared" si="693"/>
        <v/>
      </c>
      <c r="AU1574" s="108" t="str">
        <f t="shared" si="694"/>
        <v/>
      </c>
      <c r="AV1574" s="107" t="str">
        <f>IF(ISNUMBER(O1574),IF(VLOOKUP($A1574,Stand!C:J,8,FALSE)="Short",AT1574,AU1574),"")</f>
        <v/>
      </c>
      <c r="AW1574" s="109" t="str">
        <f t="shared" si="700"/>
        <v/>
      </c>
      <c r="AX1574" s="109" t="str">
        <f t="shared" si="701"/>
        <v/>
      </c>
      <c r="AY1574" s="112" t="str">
        <f>IF(ISNUMBER(O1574),IF(AND(VLOOKUP($D1574,Merchantability!$B:$C,2,0)="Yes",$E1574&gt;=VLOOKUP($D1574,Merchantability!$B:$D,3,0),$E1574&lt;=VLOOKUP($D1574,Merchantability!$B:$E,4,0)),(AV1574*O1574)*(1-$H1574/100),""),"")</f>
        <v/>
      </c>
      <c r="AZ1574" s="116"/>
      <c r="BA1574" s="116"/>
      <c r="BB1574" s="116"/>
      <c r="BE1574" s="62"/>
      <c r="BF1574" s="63"/>
    </row>
    <row r="1575" spans="1:58" ht="12.75" customHeight="1" x14ac:dyDescent="0.25">
      <c r="A1575" s="333"/>
      <c r="B1575" s="334"/>
      <c r="C1575" s="332"/>
      <c r="D1575" s="334"/>
      <c r="E1575" s="335"/>
      <c r="F1575" s="334"/>
      <c r="G1575" s="332"/>
      <c r="H1575" s="332"/>
      <c r="I1575" s="334"/>
      <c r="J1575" s="336"/>
      <c r="K1575" s="332"/>
      <c r="L1575" s="332"/>
      <c r="M1575" s="76"/>
      <c r="N1575" s="103" t="str">
        <f>IF(A1575="","",VLOOKUP(A1575,Stand!C:K,9,0))</f>
        <v/>
      </c>
      <c r="O1575" s="104" t="str">
        <f t="shared" si="686"/>
        <v/>
      </c>
      <c r="P1575" s="105" t="str">
        <f t="shared" si="687"/>
        <v/>
      </c>
      <c r="Q1575" s="105" t="str">
        <f t="shared" si="702"/>
        <v/>
      </c>
      <c r="R1575" s="103" t="str">
        <f t="shared" si="688"/>
        <v/>
      </c>
      <c r="S1575" s="103" t="str">
        <f t="shared" si="689"/>
        <v/>
      </c>
      <c r="T1575" s="106" t="str">
        <f t="shared" si="703"/>
        <v/>
      </c>
      <c r="U1575" s="106" t="str">
        <f t="shared" si="704"/>
        <v/>
      </c>
      <c r="V1575" s="106" t="str">
        <f t="shared" si="705"/>
        <v/>
      </c>
      <c r="W1575" s="105" t="str">
        <f t="shared" si="690"/>
        <v/>
      </c>
      <c r="X1575" s="104" t="str">
        <f t="shared" si="695"/>
        <v/>
      </c>
      <c r="Y1575" s="104" t="str">
        <f t="array" ref="Y1575">IFERROR(IF(ISNUMBER(O1575),IF(COUNT(IF(A1575=$A$2:$A$2427,IF(D1575=$D$2:$D$2427,IF($X$2:$X$2427&gt;0,1))))&gt;0,SUM(IF(A1575=$A$2:$A$2427,IF(D1575=$D$2:$D$2427,$X$2:$X$2427)))/COUNT(IF(A1575=$A$2:$A$2427,IF(D1575=$D$2:$D$2427,IF(ISNUMBER($X$2:$X$2427),1)))),0),""),0)</f>
        <v/>
      </c>
      <c r="Z1575" s="104" t="str">
        <f>IF(ISNUMBER(O1575),IF(I1575&gt;0,(10^(VLOOKUP(D1575,'Species Codes'!B:C,2,0)+VLOOKUP(D1575,'Species Codes'!B:D,3,0)*LOG(E1575)+VLOOKUP(D1575,'Species Codes'!B:E,4,0)*LOG(I1575))),0),"")</f>
        <v/>
      </c>
      <c r="AA1575" s="104" t="str">
        <f>IFERROR((VLOOKUP(D1575,'Species Codes'!B:G,6,0)*Z1575)/2000,"")</f>
        <v/>
      </c>
      <c r="AB1575" s="104" t="e">
        <f>IF(Z1575&gt;0,((IF(OR(D1575="DF",D1575="RA")=TRUE,EXP(VLOOKUP(D1575,'Species Codes'!B:I,8,0)+VLOOKUP(D1575,'Species Codes'!B:J,9,0)*(LN((E1575*2.54)))),IF(OR(D1575="PY",D1575="RC",D1575="WH",D1575="NF")=TRUE,VLOOKUP(D1575,'Species Codes'!B:I,8,0)+VLOOKUP(D1575,'Species Codes'!B:J,9,0)*((E1575*2.54)^2)*(I1575*0.3048),IF(OR(D1575="MD",D1575="BM",D1575="GA")=TRUE,((VLOOKUP(D1575,'Species Codes'!B:I,8,0)*(((((E1575*2.54)+VLOOKUP(D1575,'Species Codes'!B:J,9,0))/VLOOKUP(D1575,'Species Codes'!B:K,10,0))^VLOOKUP(D1575,'Species Codes'!B:L,11,0))*((I1575*0.3048)^VLOOKUP(D1575,'Species Codes'!B:M,12,0))))-(VLOOKUP(D1575,'Species Codes'!B:I,8,0)*((((E1575*2.54)^VLOOKUP(D1575,'Species Codes'!B:L,11,0))*((I1575*0.3048)^VLOOKUP(D1575,'Species Codes'!B:M,12,0))))))*35.3*VLOOKUP(D1575,'Species Codes'!B:G,6,0)/2.2046,VLOOKUP(D1575,'Species Codes'!B:I,8,0)+VLOOKUP(D1575,'Species Codes'!B:J,9,0)*(((E1575*2.54)/100)^2)*(I1575*0.3048)))))*0.0011023),0)</f>
        <v>#N/A</v>
      </c>
      <c r="AC1575" s="104" t="e">
        <f>IF(Z1575&gt;0,((IF(OR(D1575="RA",D1575="OA",D1575="OT",D1575="UN",D1575="PC"),EXP(VLOOKUP(D1575,'Species Codes'!B:O,14,0)+VLOOKUP(D1575,'Species Codes'!B:P,15,0)*LN((E1575*2.54)))-EXP(VLOOKUP(D1575,'Species Codes'!B:O,14,0)+VLOOKUP(D1575,'Species Codes'!B:P,15,0)*LN((E1575*2.54)))*(1/(VLOOKUP(D1575,'Species Codes'!B:Q,16,0)+VLOOKUP(D1575,'Species Codes'!B:R,17,0)*((E1575*2.54)^VLOOKUP(D1575,'Species Codes'!B:S,18,0)))),IF(OR(D1575="BM",D1575="MD",D1575="OA"),EXP(VLOOKUP(D1575,'Species Codes'!B:O,14,0)+VLOOKUP(D1575,'Species Codes'!B:P,15,0)*LN((E1575*2.54)))*(1-(1/(VLOOKUP(D1575,'Species Codes'!B:Q,16,0)+VLOOKUP(D1575,'Species Codes'!B:R,17,0)*((E1575*2.54)^VLOOKUP(D1575,'Species Codes'!B:S,18,0)))))/1000,IF(D1575="DF",EXP(VLOOKUP(D1575,'Species Codes'!B:O,14,0)+VLOOKUP(D1575,'Species Codes'!B:P,15,0)*LN((E1575*2.54))),VLOOKUP(D1575,'Species Codes'!B:O,14,0)+VLOOKUP(D1575,'Species Codes'!B:P,15,0)*(((E1575*2.54)/100)^2)*(I1575*0.3048)))))*0.0011023),0)</f>
        <v>#N/A</v>
      </c>
      <c r="AD1575" s="104" t="e">
        <f t="shared" si="706"/>
        <v>#N/A</v>
      </c>
      <c r="AE1575" s="104" t="e">
        <f t="shared" si="707"/>
        <v>#N/A</v>
      </c>
      <c r="AF1575" s="104" t="e">
        <f>IF(AND(VLOOKUP($D1575,Merchantability!$B:$C,2,0)="Yes",$E1575&gt;=VLOOKUP($D1575,Merchantability!$B:$D,3,0),$E1575&lt;=VLOOKUP($D1575,Merchantability!$B:$E,4,0)),AA1575,0)</f>
        <v>#N/A</v>
      </c>
      <c r="AG1575" s="104" t="e">
        <f>IF(AND(VLOOKUP($D1575,Merchantability!$B:$C,2,0)="Yes",$E1575&gt;=VLOOKUP($D1575,Merchantability!$B:$D,3,0),$E1575&lt;=VLOOKUP($D1575,Merchantability!$B:$E,4,0)),AB1575,0)</f>
        <v>#N/A</v>
      </c>
      <c r="AH1575" s="104" t="e">
        <f>IF(AND(VLOOKUP($D1575,Merchantability!$B:$C,2,0)="Yes",$E1575&gt;=VLOOKUP($D1575,Merchantability!$B:$D,3,0),$E1575&lt;=VLOOKUP($D1575,Merchantability!$B:$E,4,0)),AC1575,0)</f>
        <v>#N/A</v>
      </c>
      <c r="AI1575" s="104" t="e">
        <f t="shared" si="708"/>
        <v>#N/A</v>
      </c>
      <c r="AJ1575" s="104" t="e">
        <f t="shared" si="709"/>
        <v>#VALUE!</v>
      </c>
      <c r="AK1575" s="104" t="e">
        <f t="shared" si="710"/>
        <v>#N/A</v>
      </c>
      <c r="AL1575" s="104" t="e">
        <f t="shared" si="711"/>
        <v>#N/A</v>
      </c>
      <c r="AM1575" s="104" t="e">
        <f t="shared" si="712"/>
        <v>#N/A</v>
      </c>
      <c r="AN1575" s="104" t="e">
        <f t="shared" si="696"/>
        <v>#N/A</v>
      </c>
      <c r="AO1575" s="104" t="e">
        <f t="shared" si="697"/>
        <v>#N/A</v>
      </c>
      <c r="AP1575" s="104" t="e">
        <f t="shared" si="698"/>
        <v>#N/A</v>
      </c>
      <c r="AQ1575" s="104" t="e">
        <f t="shared" si="699"/>
        <v>#N/A</v>
      </c>
      <c r="AR1575" s="105" t="str">
        <f t="shared" si="691"/>
        <v/>
      </c>
      <c r="AS1575" s="105" t="str">
        <f t="shared" si="692"/>
        <v/>
      </c>
      <c r="AT1575" s="108" t="str">
        <f t="shared" si="693"/>
        <v/>
      </c>
      <c r="AU1575" s="108" t="str">
        <f t="shared" si="694"/>
        <v/>
      </c>
      <c r="AV1575" s="107" t="str">
        <f>IF(ISNUMBER(O1575),IF(VLOOKUP($A1575,Stand!C:J,8,FALSE)="Short",AT1575,AU1575),"")</f>
        <v/>
      </c>
      <c r="AW1575" s="109" t="str">
        <f t="shared" si="700"/>
        <v/>
      </c>
      <c r="AX1575" s="109" t="str">
        <f t="shared" si="701"/>
        <v/>
      </c>
      <c r="AY1575" s="112" t="str">
        <f>IF(ISNUMBER(O1575),IF(AND(VLOOKUP($D1575,Merchantability!$B:$C,2,0)="Yes",$E1575&gt;=VLOOKUP($D1575,Merchantability!$B:$D,3,0),$E1575&lt;=VLOOKUP($D1575,Merchantability!$B:$E,4,0)),(AV1575*O1575)*(1-$H1575/100),""),"")</f>
        <v/>
      </c>
      <c r="AZ1575" s="116"/>
      <c r="BA1575" s="116"/>
      <c r="BB1575" s="116"/>
      <c r="BE1575" s="62"/>
      <c r="BF1575" s="63"/>
    </row>
    <row r="1576" spans="1:58" ht="12.75" customHeight="1" x14ac:dyDescent="0.25">
      <c r="A1576" s="333"/>
      <c r="B1576" s="334"/>
      <c r="C1576" s="332"/>
      <c r="D1576" s="334"/>
      <c r="E1576" s="335"/>
      <c r="F1576" s="334"/>
      <c r="G1576" s="332"/>
      <c r="H1576" s="332"/>
      <c r="I1576" s="334"/>
      <c r="J1576" s="336"/>
      <c r="K1576" s="332"/>
      <c r="L1576" s="332"/>
      <c r="M1576" s="76"/>
      <c r="N1576" s="103" t="str">
        <f>IF(A1576="","",VLOOKUP(A1576,Stand!C:K,9,0))</f>
        <v/>
      </c>
      <c r="O1576" s="104" t="str">
        <f t="shared" si="686"/>
        <v/>
      </c>
      <c r="P1576" s="105" t="str">
        <f t="shared" si="687"/>
        <v/>
      </c>
      <c r="Q1576" s="105" t="str">
        <f t="shared" si="702"/>
        <v/>
      </c>
      <c r="R1576" s="103" t="str">
        <f t="shared" si="688"/>
        <v/>
      </c>
      <c r="S1576" s="103" t="str">
        <f t="shared" si="689"/>
        <v/>
      </c>
      <c r="T1576" s="106" t="str">
        <f t="shared" si="703"/>
        <v/>
      </c>
      <c r="U1576" s="106" t="str">
        <f t="shared" si="704"/>
        <v/>
      </c>
      <c r="V1576" s="106" t="str">
        <f t="shared" si="705"/>
        <v/>
      </c>
      <c r="W1576" s="105" t="str">
        <f t="shared" si="690"/>
        <v/>
      </c>
      <c r="X1576" s="104" t="str">
        <f t="shared" si="695"/>
        <v/>
      </c>
      <c r="Y1576" s="104" t="str">
        <f t="array" ref="Y1576">IFERROR(IF(ISNUMBER(O1576),IF(COUNT(IF(A1576=$A$2:$A$2427,IF(D1576=$D$2:$D$2427,IF($X$2:$X$2427&gt;0,1))))&gt;0,SUM(IF(A1576=$A$2:$A$2427,IF(D1576=$D$2:$D$2427,$X$2:$X$2427)))/COUNT(IF(A1576=$A$2:$A$2427,IF(D1576=$D$2:$D$2427,IF(ISNUMBER($X$2:$X$2427),1)))),0),""),0)</f>
        <v/>
      </c>
      <c r="Z1576" s="104" t="str">
        <f>IF(ISNUMBER(O1576),IF(I1576&gt;0,(10^(VLOOKUP(D1576,'Species Codes'!B:C,2,0)+VLOOKUP(D1576,'Species Codes'!B:D,3,0)*LOG(E1576)+VLOOKUP(D1576,'Species Codes'!B:E,4,0)*LOG(I1576))),0),"")</f>
        <v/>
      </c>
      <c r="AA1576" s="104" t="str">
        <f>IFERROR((VLOOKUP(D1576,'Species Codes'!B:G,6,0)*Z1576)/2000,"")</f>
        <v/>
      </c>
      <c r="AB1576" s="104" t="e">
        <f>IF(Z1576&gt;0,((IF(OR(D1576="DF",D1576="RA")=TRUE,EXP(VLOOKUP(D1576,'Species Codes'!B:I,8,0)+VLOOKUP(D1576,'Species Codes'!B:J,9,0)*(LN((E1576*2.54)))),IF(OR(D1576="PY",D1576="RC",D1576="WH",D1576="NF")=TRUE,VLOOKUP(D1576,'Species Codes'!B:I,8,0)+VLOOKUP(D1576,'Species Codes'!B:J,9,0)*((E1576*2.54)^2)*(I1576*0.3048),IF(OR(D1576="MD",D1576="BM",D1576="GA")=TRUE,((VLOOKUP(D1576,'Species Codes'!B:I,8,0)*(((((E1576*2.54)+VLOOKUP(D1576,'Species Codes'!B:J,9,0))/VLOOKUP(D1576,'Species Codes'!B:K,10,0))^VLOOKUP(D1576,'Species Codes'!B:L,11,0))*((I1576*0.3048)^VLOOKUP(D1576,'Species Codes'!B:M,12,0))))-(VLOOKUP(D1576,'Species Codes'!B:I,8,0)*((((E1576*2.54)^VLOOKUP(D1576,'Species Codes'!B:L,11,0))*((I1576*0.3048)^VLOOKUP(D1576,'Species Codes'!B:M,12,0))))))*35.3*VLOOKUP(D1576,'Species Codes'!B:G,6,0)/2.2046,VLOOKUP(D1576,'Species Codes'!B:I,8,0)+VLOOKUP(D1576,'Species Codes'!B:J,9,0)*(((E1576*2.54)/100)^2)*(I1576*0.3048)))))*0.0011023),0)</f>
        <v>#N/A</v>
      </c>
      <c r="AC1576" s="104" t="e">
        <f>IF(Z1576&gt;0,((IF(OR(D1576="RA",D1576="OA",D1576="OT",D1576="UN",D1576="PC"),EXP(VLOOKUP(D1576,'Species Codes'!B:O,14,0)+VLOOKUP(D1576,'Species Codes'!B:P,15,0)*LN((E1576*2.54)))-EXP(VLOOKUP(D1576,'Species Codes'!B:O,14,0)+VLOOKUP(D1576,'Species Codes'!B:P,15,0)*LN((E1576*2.54)))*(1/(VLOOKUP(D1576,'Species Codes'!B:Q,16,0)+VLOOKUP(D1576,'Species Codes'!B:R,17,0)*((E1576*2.54)^VLOOKUP(D1576,'Species Codes'!B:S,18,0)))),IF(OR(D1576="BM",D1576="MD",D1576="OA"),EXP(VLOOKUP(D1576,'Species Codes'!B:O,14,0)+VLOOKUP(D1576,'Species Codes'!B:P,15,0)*LN((E1576*2.54)))*(1-(1/(VLOOKUP(D1576,'Species Codes'!B:Q,16,0)+VLOOKUP(D1576,'Species Codes'!B:R,17,0)*((E1576*2.54)^VLOOKUP(D1576,'Species Codes'!B:S,18,0)))))/1000,IF(D1576="DF",EXP(VLOOKUP(D1576,'Species Codes'!B:O,14,0)+VLOOKUP(D1576,'Species Codes'!B:P,15,0)*LN((E1576*2.54))),VLOOKUP(D1576,'Species Codes'!B:O,14,0)+VLOOKUP(D1576,'Species Codes'!B:P,15,0)*(((E1576*2.54)/100)^2)*(I1576*0.3048)))))*0.0011023),0)</f>
        <v>#N/A</v>
      </c>
      <c r="AD1576" s="104" t="e">
        <f t="shared" si="706"/>
        <v>#N/A</v>
      </c>
      <c r="AE1576" s="104" t="e">
        <f t="shared" si="707"/>
        <v>#N/A</v>
      </c>
      <c r="AF1576" s="104" t="e">
        <f>IF(AND(VLOOKUP($D1576,Merchantability!$B:$C,2,0)="Yes",$E1576&gt;=VLOOKUP($D1576,Merchantability!$B:$D,3,0),$E1576&lt;=VLOOKUP($D1576,Merchantability!$B:$E,4,0)),AA1576,0)</f>
        <v>#N/A</v>
      </c>
      <c r="AG1576" s="104" t="e">
        <f>IF(AND(VLOOKUP($D1576,Merchantability!$B:$C,2,0)="Yes",$E1576&gt;=VLOOKUP($D1576,Merchantability!$B:$D,3,0),$E1576&lt;=VLOOKUP($D1576,Merchantability!$B:$E,4,0)),AB1576,0)</f>
        <v>#N/A</v>
      </c>
      <c r="AH1576" s="104" t="e">
        <f>IF(AND(VLOOKUP($D1576,Merchantability!$B:$C,2,0)="Yes",$E1576&gt;=VLOOKUP($D1576,Merchantability!$B:$D,3,0),$E1576&lt;=VLOOKUP($D1576,Merchantability!$B:$E,4,0)),AC1576,0)</f>
        <v>#N/A</v>
      </c>
      <c r="AI1576" s="104" t="e">
        <f t="shared" si="708"/>
        <v>#N/A</v>
      </c>
      <c r="AJ1576" s="104" t="e">
        <f t="shared" si="709"/>
        <v>#VALUE!</v>
      </c>
      <c r="AK1576" s="104" t="e">
        <f t="shared" si="710"/>
        <v>#N/A</v>
      </c>
      <c r="AL1576" s="104" t="e">
        <f t="shared" si="711"/>
        <v>#N/A</v>
      </c>
      <c r="AM1576" s="104" t="e">
        <f t="shared" si="712"/>
        <v>#N/A</v>
      </c>
      <c r="AN1576" s="104" t="e">
        <f t="shared" si="696"/>
        <v>#N/A</v>
      </c>
      <c r="AO1576" s="104" t="e">
        <f t="shared" si="697"/>
        <v>#N/A</v>
      </c>
      <c r="AP1576" s="104" t="e">
        <f t="shared" si="698"/>
        <v>#N/A</v>
      </c>
      <c r="AQ1576" s="104" t="e">
        <f t="shared" si="699"/>
        <v>#N/A</v>
      </c>
      <c r="AR1576" s="105" t="str">
        <f t="shared" si="691"/>
        <v/>
      </c>
      <c r="AS1576" s="105" t="str">
        <f t="shared" si="692"/>
        <v/>
      </c>
      <c r="AT1576" s="108" t="str">
        <f t="shared" si="693"/>
        <v/>
      </c>
      <c r="AU1576" s="108" t="str">
        <f t="shared" si="694"/>
        <v/>
      </c>
      <c r="AV1576" s="107" t="str">
        <f>IF(ISNUMBER(O1576),IF(VLOOKUP($A1576,Stand!C:J,8,FALSE)="Short",AT1576,AU1576),"")</f>
        <v/>
      </c>
      <c r="AW1576" s="109" t="str">
        <f t="shared" si="700"/>
        <v/>
      </c>
      <c r="AX1576" s="109" t="str">
        <f t="shared" si="701"/>
        <v/>
      </c>
      <c r="AY1576" s="112" t="str">
        <f>IF(ISNUMBER(O1576),IF(AND(VLOOKUP($D1576,Merchantability!$B:$C,2,0)="Yes",$E1576&gt;=VLOOKUP($D1576,Merchantability!$B:$D,3,0),$E1576&lt;=VLOOKUP($D1576,Merchantability!$B:$E,4,0)),(AV1576*O1576)*(1-$H1576/100),""),"")</f>
        <v/>
      </c>
      <c r="AZ1576" s="116"/>
      <c r="BA1576" s="116"/>
      <c r="BB1576" s="116"/>
      <c r="BE1576" s="62"/>
      <c r="BF1576" s="63"/>
    </row>
    <row r="1577" spans="1:58" ht="12.75" customHeight="1" x14ac:dyDescent="0.25">
      <c r="A1577" s="333"/>
      <c r="B1577" s="334"/>
      <c r="C1577" s="332"/>
      <c r="D1577" s="334"/>
      <c r="E1577" s="335"/>
      <c r="F1577" s="334"/>
      <c r="G1577" s="332"/>
      <c r="H1577" s="332"/>
      <c r="I1577" s="334"/>
      <c r="J1577" s="336"/>
      <c r="K1577" s="332"/>
      <c r="L1577" s="332"/>
      <c r="M1577" s="76"/>
      <c r="N1577" s="103" t="str">
        <f>IF(A1577="","",VLOOKUP(A1577,Stand!C:K,9,0))</f>
        <v/>
      </c>
      <c r="O1577" s="104" t="str">
        <f t="shared" si="686"/>
        <v/>
      </c>
      <c r="P1577" s="105" t="str">
        <f t="shared" si="687"/>
        <v/>
      </c>
      <c r="Q1577" s="105" t="str">
        <f t="shared" si="702"/>
        <v/>
      </c>
      <c r="R1577" s="103" t="str">
        <f t="shared" si="688"/>
        <v/>
      </c>
      <c r="S1577" s="103" t="str">
        <f t="shared" si="689"/>
        <v/>
      </c>
      <c r="T1577" s="106" t="str">
        <f t="shared" si="703"/>
        <v/>
      </c>
      <c r="U1577" s="106" t="str">
        <f t="shared" si="704"/>
        <v/>
      </c>
      <c r="V1577" s="106" t="str">
        <f t="shared" si="705"/>
        <v/>
      </c>
      <c r="W1577" s="105" t="str">
        <f t="shared" si="690"/>
        <v/>
      </c>
      <c r="X1577" s="104" t="str">
        <f t="shared" si="695"/>
        <v/>
      </c>
      <c r="Y1577" s="104" t="str">
        <f t="array" ref="Y1577">IFERROR(IF(ISNUMBER(O1577),IF(COUNT(IF(A1577=$A$2:$A$2427,IF(D1577=$D$2:$D$2427,IF($X$2:$X$2427&gt;0,1))))&gt;0,SUM(IF(A1577=$A$2:$A$2427,IF(D1577=$D$2:$D$2427,$X$2:$X$2427)))/COUNT(IF(A1577=$A$2:$A$2427,IF(D1577=$D$2:$D$2427,IF(ISNUMBER($X$2:$X$2427),1)))),0),""),0)</f>
        <v/>
      </c>
      <c r="Z1577" s="104" t="str">
        <f>IF(ISNUMBER(O1577),IF(I1577&gt;0,(10^(VLOOKUP(D1577,'Species Codes'!B:C,2,0)+VLOOKUP(D1577,'Species Codes'!B:D,3,0)*LOG(E1577)+VLOOKUP(D1577,'Species Codes'!B:E,4,0)*LOG(I1577))),0),"")</f>
        <v/>
      </c>
      <c r="AA1577" s="104" t="str">
        <f>IFERROR((VLOOKUP(D1577,'Species Codes'!B:G,6,0)*Z1577)/2000,"")</f>
        <v/>
      </c>
      <c r="AB1577" s="104" t="e">
        <f>IF(Z1577&gt;0,((IF(OR(D1577="DF",D1577="RA")=TRUE,EXP(VLOOKUP(D1577,'Species Codes'!B:I,8,0)+VLOOKUP(D1577,'Species Codes'!B:J,9,0)*(LN((E1577*2.54)))),IF(OR(D1577="PY",D1577="RC",D1577="WH",D1577="NF")=TRUE,VLOOKUP(D1577,'Species Codes'!B:I,8,0)+VLOOKUP(D1577,'Species Codes'!B:J,9,0)*((E1577*2.54)^2)*(I1577*0.3048),IF(OR(D1577="MD",D1577="BM",D1577="GA")=TRUE,((VLOOKUP(D1577,'Species Codes'!B:I,8,0)*(((((E1577*2.54)+VLOOKUP(D1577,'Species Codes'!B:J,9,0))/VLOOKUP(D1577,'Species Codes'!B:K,10,0))^VLOOKUP(D1577,'Species Codes'!B:L,11,0))*((I1577*0.3048)^VLOOKUP(D1577,'Species Codes'!B:M,12,0))))-(VLOOKUP(D1577,'Species Codes'!B:I,8,0)*((((E1577*2.54)^VLOOKUP(D1577,'Species Codes'!B:L,11,0))*((I1577*0.3048)^VLOOKUP(D1577,'Species Codes'!B:M,12,0))))))*35.3*VLOOKUP(D1577,'Species Codes'!B:G,6,0)/2.2046,VLOOKUP(D1577,'Species Codes'!B:I,8,0)+VLOOKUP(D1577,'Species Codes'!B:J,9,0)*(((E1577*2.54)/100)^2)*(I1577*0.3048)))))*0.0011023),0)</f>
        <v>#N/A</v>
      </c>
      <c r="AC1577" s="104" t="e">
        <f>IF(Z1577&gt;0,((IF(OR(D1577="RA",D1577="OA",D1577="OT",D1577="UN",D1577="PC"),EXP(VLOOKUP(D1577,'Species Codes'!B:O,14,0)+VLOOKUP(D1577,'Species Codes'!B:P,15,0)*LN((E1577*2.54)))-EXP(VLOOKUP(D1577,'Species Codes'!B:O,14,0)+VLOOKUP(D1577,'Species Codes'!B:P,15,0)*LN((E1577*2.54)))*(1/(VLOOKUP(D1577,'Species Codes'!B:Q,16,0)+VLOOKUP(D1577,'Species Codes'!B:R,17,0)*((E1577*2.54)^VLOOKUP(D1577,'Species Codes'!B:S,18,0)))),IF(OR(D1577="BM",D1577="MD",D1577="OA"),EXP(VLOOKUP(D1577,'Species Codes'!B:O,14,0)+VLOOKUP(D1577,'Species Codes'!B:P,15,0)*LN((E1577*2.54)))*(1-(1/(VLOOKUP(D1577,'Species Codes'!B:Q,16,0)+VLOOKUP(D1577,'Species Codes'!B:R,17,0)*((E1577*2.54)^VLOOKUP(D1577,'Species Codes'!B:S,18,0)))))/1000,IF(D1577="DF",EXP(VLOOKUP(D1577,'Species Codes'!B:O,14,0)+VLOOKUP(D1577,'Species Codes'!B:P,15,0)*LN((E1577*2.54))),VLOOKUP(D1577,'Species Codes'!B:O,14,0)+VLOOKUP(D1577,'Species Codes'!B:P,15,0)*(((E1577*2.54)/100)^2)*(I1577*0.3048)))))*0.0011023),0)</f>
        <v>#N/A</v>
      </c>
      <c r="AD1577" s="104" t="e">
        <f t="shared" si="706"/>
        <v>#N/A</v>
      </c>
      <c r="AE1577" s="104" t="e">
        <f t="shared" si="707"/>
        <v>#N/A</v>
      </c>
      <c r="AF1577" s="104" t="e">
        <f>IF(AND(VLOOKUP($D1577,Merchantability!$B:$C,2,0)="Yes",$E1577&gt;=VLOOKUP($D1577,Merchantability!$B:$D,3,0),$E1577&lt;=VLOOKUP($D1577,Merchantability!$B:$E,4,0)),AA1577,0)</f>
        <v>#N/A</v>
      </c>
      <c r="AG1577" s="104" t="e">
        <f>IF(AND(VLOOKUP($D1577,Merchantability!$B:$C,2,0)="Yes",$E1577&gt;=VLOOKUP($D1577,Merchantability!$B:$D,3,0),$E1577&lt;=VLOOKUP($D1577,Merchantability!$B:$E,4,0)),AB1577,0)</f>
        <v>#N/A</v>
      </c>
      <c r="AH1577" s="104" t="e">
        <f>IF(AND(VLOOKUP($D1577,Merchantability!$B:$C,2,0)="Yes",$E1577&gt;=VLOOKUP($D1577,Merchantability!$B:$D,3,0),$E1577&lt;=VLOOKUP($D1577,Merchantability!$B:$E,4,0)),AC1577,0)</f>
        <v>#N/A</v>
      </c>
      <c r="AI1577" s="104" t="e">
        <f t="shared" si="708"/>
        <v>#N/A</v>
      </c>
      <c r="AJ1577" s="104" t="e">
        <f t="shared" si="709"/>
        <v>#VALUE!</v>
      </c>
      <c r="AK1577" s="104" t="e">
        <f t="shared" si="710"/>
        <v>#N/A</v>
      </c>
      <c r="AL1577" s="104" t="e">
        <f t="shared" si="711"/>
        <v>#N/A</v>
      </c>
      <c r="AM1577" s="104" t="e">
        <f t="shared" si="712"/>
        <v>#N/A</v>
      </c>
      <c r="AN1577" s="104" t="e">
        <f t="shared" si="696"/>
        <v>#N/A</v>
      </c>
      <c r="AO1577" s="104" t="e">
        <f t="shared" si="697"/>
        <v>#N/A</v>
      </c>
      <c r="AP1577" s="104" t="e">
        <f t="shared" si="698"/>
        <v>#N/A</v>
      </c>
      <c r="AQ1577" s="104" t="e">
        <f t="shared" si="699"/>
        <v>#N/A</v>
      </c>
      <c r="AR1577" s="105" t="str">
        <f t="shared" si="691"/>
        <v/>
      </c>
      <c r="AS1577" s="105" t="str">
        <f t="shared" si="692"/>
        <v/>
      </c>
      <c r="AT1577" s="108" t="str">
        <f t="shared" si="693"/>
        <v/>
      </c>
      <c r="AU1577" s="108" t="str">
        <f t="shared" si="694"/>
        <v/>
      </c>
      <c r="AV1577" s="107" t="str">
        <f>IF(ISNUMBER(O1577),IF(VLOOKUP($A1577,Stand!C:J,8,FALSE)="Short",AT1577,AU1577),"")</f>
        <v/>
      </c>
      <c r="AW1577" s="109" t="str">
        <f t="shared" si="700"/>
        <v/>
      </c>
      <c r="AX1577" s="109" t="str">
        <f t="shared" si="701"/>
        <v/>
      </c>
      <c r="AY1577" s="112" t="str">
        <f>IF(ISNUMBER(O1577),IF(AND(VLOOKUP($D1577,Merchantability!$B:$C,2,0)="Yes",$E1577&gt;=VLOOKUP($D1577,Merchantability!$B:$D,3,0),$E1577&lt;=VLOOKUP($D1577,Merchantability!$B:$E,4,0)),(AV1577*O1577)*(1-$H1577/100),""),"")</f>
        <v/>
      </c>
      <c r="AZ1577" s="116"/>
      <c r="BA1577" s="116"/>
      <c r="BB1577" s="116"/>
      <c r="BE1577" s="62"/>
      <c r="BF1577" s="63"/>
    </row>
    <row r="1578" spans="1:58" ht="12.75" customHeight="1" x14ac:dyDescent="0.25">
      <c r="A1578" s="333"/>
      <c r="B1578" s="334"/>
      <c r="C1578" s="332"/>
      <c r="D1578" s="334"/>
      <c r="E1578" s="335"/>
      <c r="F1578" s="334"/>
      <c r="G1578" s="332"/>
      <c r="H1578" s="332"/>
      <c r="I1578" s="334"/>
      <c r="J1578" s="336"/>
      <c r="K1578" s="332"/>
      <c r="L1578" s="332"/>
      <c r="M1578" s="76"/>
      <c r="N1578" s="103" t="str">
        <f>IF(A1578="","",VLOOKUP(A1578,Stand!C:K,9,0))</f>
        <v/>
      </c>
      <c r="O1578" s="104" t="str">
        <f t="shared" si="686"/>
        <v/>
      </c>
      <c r="P1578" s="105" t="str">
        <f t="shared" si="687"/>
        <v/>
      </c>
      <c r="Q1578" s="105" t="str">
        <f t="shared" si="702"/>
        <v/>
      </c>
      <c r="R1578" s="103" t="str">
        <f t="shared" si="688"/>
        <v/>
      </c>
      <c r="S1578" s="103" t="str">
        <f t="shared" si="689"/>
        <v/>
      </c>
      <c r="T1578" s="106" t="str">
        <f t="shared" si="703"/>
        <v/>
      </c>
      <c r="U1578" s="106" t="str">
        <f t="shared" si="704"/>
        <v/>
      </c>
      <c r="V1578" s="106" t="str">
        <f t="shared" si="705"/>
        <v/>
      </c>
      <c r="W1578" s="105" t="str">
        <f t="shared" si="690"/>
        <v/>
      </c>
      <c r="X1578" s="104" t="str">
        <f t="shared" si="695"/>
        <v/>
      </c>
      <c r="Y1578" s="104" t="str">
        <f t="array" ref="Y1578">IFERROR(IF(ISNUMBER(O1578),IF(COUNT(IF(A1578=$A$2:$A$2427,IF(D1578=$D$2:$D$2427,IF($X$2:$X$2427&gt;0,1))))&gt;0,SUM(IF(A1578=$A$2:$A$2427,IF(D1578=$D$2:$D$2427,$X$2:$X$2427)))/COUNT(IF(A1578=$A$2:$A$2427,IF(D1578=$D$2:$D$2427,IF(ISNUMBER($X$2:$X$2427),1)))),0),""),0)</f>
        <v/>
      </c>
      <c r="Z1578" s="104" t="str">
        <f>IF(ISNUMBER(O1578),IF(I1578&gt;0,(10^(VLOOKUP(D1578,'Species Codes'!B:C,2,0)+VLOOKUP(D1578,'Species Codes'!B:D,3,0)*LOG(E1578)+VLOOKUP(D1578,'Species Codes'!B:E,4,0)*LOG(I1578))),0),"")</f>
        <v/>
      </c>
      <c r="AA1578" s="104" t="str">
        <f>IFERROR((VLOOKUP(D1578,'Species Codes'!B:G,6,0)*Z1578)/2000,"")</f>
        <v/>
      </c>
      <c r="AB1578" s="104" t="e">
        <f>IF(Z1578&gt;0,((IF(OR(D1578="DF",D1578="RA")=TRUE,EXP(VLOOKUP(D1578,'Species Codes'!B:I,8,0)+VLOOKUP(D1578,'Species Codes'!B:J,9,0)*(LN((E1578*2.54)))),IF(OR(D1578="PY",D1578="RC",D1578="WH",D1578="NF")=TRUE,VLOOKUP(D1578,'Species Codes'!B:I,8,0)+VLOOKUP(D1578,'Species Codes'!B:J,9,0)*((E1578*2.54)^2)*(I1578*0.3048),IF(OR(D1578="MD",D1578="BM",D1578="GA")=TRUE,((VLOOKUP(D1578,'Species Codes'!B:I,8,0)*(((((E1578*2.54)+VLOOKUP(D1578,'Species Codes'!B:J,9,0))/VLOOKUP(D1578,'Species Codes'!B:K,10,0))^VLOOKUP(D1578,'Species Codes'!B:L,11,0))*((I1578*0.3048)^VLOOKUP(D1578,'Species Codes'!B:M,12,0))))-(VLOOKUP(D1578,'Species Codes'!B:I,8,0)*((((E1578*2.54)^VLOOKUP(D1578,'Species Codes'!B:L,11,0))*((I1578*0.3048)^VLOOKUP(D1578,'Species Codes'!B:M,12,0))))))*35.3*VLOOKUP(D1578,'Species Codes'!B:G,6,0)/2.2046,VLOOKUP(D1578,'Species Codes'!B:I,8,0)+VLOOKUP(D1578,'Species Codes'!B:J,9,0)*(((E1578*2.54)/100)^2)*(I1578*0.3048)))))*0.0011023),0)</f>
        <v>#N/A</v>
      </c>
      <c r="AC1578" s="104" t="e">
        <f>IF(Z1578&gt;0,((IF(OR(D1578="RA",D1578="OA",D1578="OT",D1578="UN",D1578="PC"),EXP(VLOOKUP(D1578,'Species Codes'!B:O,14,0)+VLOOKUP(D1578,'Species Codes'!B:P,15,0)*LN((E1578*2.54)))-EXP(VLOOKUP(D1578,'Species Codes'!B:O,14,0)+VLOOKUP(D1578,'Species Codes'!B:P,15,0)*LN((E1578*2.54)))*(1/(VLOOKUP(D1578,'Species Codes'!B:Q,16,0)+VLOOKUP(D1578,'Species Codes'!B:R,17,0)*((E1578*2.54)^VLOOKUP(D1578,'Species Codes'!B:S,18,0)))),IF(OR(D1578="BM",D1578="MD",D1578="OA"),EXP(VLOOKUP(D1578,'Species Codes'!B:O,14,0)+VLOOKUP(D1578,'Species Codes'!B:P,15,0)*LN((E1578*2.54)))*(1-(1/(VLOOKUP(D1578,'Species Codes'!B:Q,16,0)+VLOOKUP(D1578,'Species Codes'!B:R,17,0)*((E1578*2.54)^VLOOKUP(D1578,'Species Codes'!B:S,18,0)))))/1000,IF(D1578="DF",EXP(VLOOKUP(D1578,'Species Codes'!B:O,14,0)+VLOOKUP(D1578,'Species Codes'!B:P,15,0)*LN((E1578*2.54))),VLOOKUP(D1578,'Species Codes'!B:O,14,0)+VLOOKUP(D1578,'Species Codes'!B:P,15,0)*(((E1578*2.54)/100)^2)*(I1578*0.3048)))))*0.0011023),0)</f>
        <v>#N/A</v>
      </c>
      <c r="AD1578" s="104" t="e">
        <f t="shared" si="706"/>
        <v>#N/A</v>
      </c>
      <c r="AE1578" s="104" t="e">
        <f t="shared" si="707"/>
        <v>#N/A</v>
      </c>
      <c r="AF1578" s="104" t="e">
        <f>IF(AND(VLOOKUP($D1578,Merchantability!$B:$C,2,0)="Yes",$E1578&gt;=VLOOKUP($D1578,Merchantability!$B:$D,3,0),$E1578&lt;=VLOOKUP($D1578,Merchantability!$B:$E,4,0)),AA1578,0)</f>
        <v>#N/A</v>
      </c>
      <c r="AG1578" s="104" t="e">
        <f>IF(AND(VLOOKUP($D1578,Merchantability!$B:$C,2,0)="Yes",$E1578&gt;=VLOOKUP($D1578,Merchantability!$B:$D,3,0),$E1578&lt;=VLOOKUP($D1578,Merchantability!$B:$E,4,0)),AB1578,0)</f>
        <v>#N/A</v>
      </c>
      <c r="AH1578" s="104" t="e">
        <f>IF(AND(VLOOKUP($D1578,Merchantability!$B:$C,2,0)="Yes",$E1578&gt;=VLOOKUP($D1578,Merchantability!$B:$D,3,0),$E1578&lt;=VLOOKUP($D1578,Merchantability!$B:$E,4,0)),AC1578,0)</f>
        <v>#N/A</v>
      </c>
      <c r="AI1578" s="104" t="e">
        <f t="shared" si="708"/>
        <v>#N/A</v>
      </c>
      <c r="AJ1578" s="104" t="e">
        <f t="shared" si="709"/>
        <v>#VALUE!</v>
      </c>
      <c r="AK1578" s="104" t="e">
        <f t="shared" si="710"/>
        <v>#N/A</v>
      </c>
      <c r="AL1578" s="104" t="e">
        <f t="shared" si="711"/>
        <v>#N/A</v>
      </c>
      <c r="AM1578" s="104" t="e">
        <f t="shared" si="712"/>
        <v>#N/A</v>
      </c>
      <c r="AN1578" s="104" t="e">
        <f t="shared" si="696"/>
        <v>#N/A</v>
      </c>
      <c r="AO1578" s="104" t="e">
        <f t="shared" si="697"/>
        <v>#N/A</v>
      </c>
      <c r="AP1578" s="104" t="e">
        <f t="shared" si="698"/>
        <v>#N/A</v>
      </c>
      <c r="AQ1578" s="104" t="e">
        <f t="shared" si="699"/>
        <v>#N/A</v>
      </c>
      <c r="AR1578" s="105" t="str">
        <f t="shared" si="691"/>
        <v/>
      </c>
      <c r="AS1578" s="105" t="str">
        <f t="shared" si="692"/>
        <v/>
      </c>
      <c r="AT1578" s="108" t="str">
        <f t="shared" si="693"/>
        <v/>
      </c>
      <c r="AU1578" s="108" t="str">
        <f t="shared" si="694"/>
        <v/>
      </c>
      <c r="AV1578" s="107" t="str">
        <f>IF(ISNUMBER(O1578),IF(VLOOKUP($A1578,Stand!C:J,8,FALSE)="Short",AT1578,AU1578),"")</f>
        <v/>
      </c>
      <c r="AW1578" s="109" t="str">
        <f t="shared" si="700"/>
        <v/>
      </c>
      <c r="AX1578" s="109" t="str">
        <f t="shared" si="701"/>
        <v/>
      </c>
      <c r="AY1578" s="112" t="str">
        <f>IF(ISNUMBER(O1578),IF(AND(VLOOKUP($D1578,Merchantability!$B:$C,2,0)="Yes",$E1578&gt;=VLOOKUP($D1578,Merchantability!$B:$D,3,0),$E1578&lt;=VLOOKUP($D1578,Merchantability!$B:$E,4,0)),(AV1578*O1578)*(1-$H1578/100),""),"")</f>
        <v/>
      </c>
      <c r="AZ1578" s="116"/>
      <c r="BA1578" s="116"/>
      <c r="BB1578" s="116"/>
      <c r="BE1578" s="62"/>
      <c r="BF1578" s="63"/>
    </row>
    <row r="1579" spans="1:58" ht="12.75" customHeight="1" x14ac:dyDescent="0.25">
      <c r="A1579" s="333"/>
      <c r="B1579" s="334"/>
      <c r="C1579" s="332"/>
      <c r="D1579" s="334"/>
      <c r="E1579" s="335"/>
      <c r="F1579" s="334"/>
      <c r="G1579" s="332"/>
      <c r="H1579" s="332"/>
      <c r="I1579" s="334"/>
      <c r="J1579" s="336"/>
      <c r="K1579" s="332"/>
      <c r="L1579" s="332"/>
      <c r="M1579" s="76"/>
      <c r="N1579" s="103" t="str">
        <f>IF(A1579="","",VLOOKUP(A1579,Stand!C:K,9,0))</f>
        <v/>
      </c>
      <c r="O1579" s="104" t="str">
        <f t="shared" si="686"/>
        <v/>
      </c>
      <c r="P1579" s="105" t="str">
        <f t="shared" si="687"/>
        <v/>
      </c>
      <c r="Q1579" s="105" t="str">
        <f t="shared" si="702"/>
        <v/>
      </c>
      <c r="R1579" s="103" t="str">
        <f t="shared" si="688"/>
        <v/>
      </c>
      <c r="S1579" s="103" t="str">
        <f t="shared" si="689"/>
        <v/>
      </c>
      <c r="T1579" s="106" t="str">
        <f t="shared" si="703"/>
        <v/>
      </c>
      <c r="U1579" s="106" t="str">
        <f t="shared" si="704"/>
        <v/>
      </c>
      <c r="V1579" s="106" t="str">
        <f t="shared" si="705"/>
        <v/>
      </c>
      <c r="W1579" s="105" t="str">
        <f t="shared" si="690"/>
        <v/>
      </c>
      <c r="X1579" s="104" t="str">
        <f t="shared" si="695"/>
        <v/>
      </c>
      <c r="Y1579" s="104" t="str">
        <f t="array" ref="Y1579">IFERROR(IF(ISNUMBER(O1579),IF(COUNT(IF(A1579=$A$2:$A$2427,IF(D1579=$D$2:$D$2427,IF($X$2:$X$2427&gt;0,1))))&gt;0,SUM(IF(A1579=$A$2:$A$2427,IF(D1579=$D$2:$D$2427,$X$2:$X$2427)))/COUNT(IF(A1579=$A$2:$A$2427,IF(D1579=$D$2:$D$2427,IF(ISNUMBER($X$2:$X$2427),1)))),0),""),0)</f>
        <v/>
      </c>
      <c r="Z1579" s="104" t="str">
        <f>IF(ISNUMBER(O1579),IF(I1579&gt;0,(10^(VLOOKUP(D1579,'Species Codes'!B:C,2,0)+VLOOKUP(D1579,'Species Codes'!B:D,3,0)*LOG(E1579)+VLOOKUP(D1579,'Species Codes'!B:E,4,0)*LOG(I1579))),0),"")</f>
        <v/>
      </c>
      <c r="AA1579" s="104" t="str">
        <f>IFERROR((VLOOKUP(D1579,'Species Codes'!B:G,6,0)*Z1579)/2000,"")</f>
        <v/>
      </c>
      <c r="AB1579" s="104" t="e">
        <f>IF(Z1579&gt;0,((IF(OR(D1579="DF",D1579="RA")=TRUE,EXP(VLOOKUP(D1579,'Species Codes'!B:I,8,0)+VLOOKUP(D1579,'Species Codes'!B:J,9,0)*(LN((E1579*2.54)))),IF(OR(D1579="PY",D1579="RC",D1579="WH",D1579="NF")=TRUE,VLOOKUP(D1579,'Species Codes'!B:I,8,0)+VLOOKUP(D1579,'Species Codes'!B:J,9,0)*((E1579*2.54)^2)*(I1579*0.3048),IF(OR(D1579="MD",D1579="BM",D1579="GA")=TRUE,((VLOOKUP(D1579,'Species Codes'!B:I,8,0)*(((((E1579*2.54)+VLOOKUP(D1579,'Species Codes'!B:J,9,0))/VLOOKUP(D1579,'Species Codes'!B:K,10,0))^VLOOKUP(D1579,'Species Codes'!B:L,11,0))*((I1579*0.3048)^VLOOKUP(D1579,'Species Codes'!B:M,12,0))))-(VLOOKUP(D1579,'Species Codes'!B:I,8,0)*((((E1579*2.54)^VLOOKUP(D1579,'Species Codes'!B:L,11,0))*((I1579*0.3048)^VLOOKUP(D1579,'Species Codes'!B:M,12,0))))))*35.3*VLOOKUP(D1579,'Species Codes'!B:G,6,0)/2.2046,VLOOKUP(D1579,'Species Codes'!B:I,8,0)+VLOOKUP(D1579,'Species Codes'!B:J,9,0)*(((E1579*2.54)/100)^2)*(I1579*0.3048)))))*0.0011023),0)</f>
        <v>#N/A</v>
      </c>
      <c r="AC1579" s="104" t="e">
        <f>IF(Z1579&gt;0,((IF(OR(D1579="RA",D1579="OA",D1579="OT",D1579="UN",D1579="PC"),EXP(VLOOKUP(D1579,'Species Codes'!B:O,14,0)+VLOOKUP(D1579,'Species Codes'!B:P,15,0)*LN((E1579*2.54)))-EXP(VLOOKUP(D1579,'Species Codes'!B:O,14,0)+VLOOKUP(D1579,'Species Codes'!B:P,15,0)*LN((E1579*2.54)))*(1/(VLOOKUP(D1579,'Species Codes'!B:Q,16,0)+VLOOKUP(D1579,'Species Codes'!B:R,17,0)*((E1579*2.54)^VLOOKUP(D1579,'Species Codes'!B:S,18,0)))),IF(OR(D1579="BM",D1579="MD",D1579="OA"),EXP(VLOOKUP(D1579,'Species Codes'!B:O,14,0)+VLOOKUP(D1579,'Species Codes'!B:P,15,0)*LN((E1579*2.54)))*(1-(1/(VLOOKUP(D1579,'Species Codes'!B:Q,16,0)+VLOOKUP(D1579,'Species Codes'!B:R,17,0)*((E1579*2.54)^VLOOKUP(D1579,'Species Codes'!B:S,18,0)))))/1000,IF(D1579="DF",EXP(VLOOKUP(D1579,'Species Codes'!B:O,14,0)+VLOOKUP(D1579,'Species Codes'!B:P,15,0)*LN((E1579*2.54))),VLOOKUP(D1579,'Species Codes'!B:O,14,0)+VLOOKUP(D1579,'Species Codes'!B:P,15,0)*(((E1579*2.54)/100)^2)*(I1579*0.3048)))))*0.0011023),0)</f>
        <v>#N/A</v>
      </c>
      <c r="AD1579" s="104" t="e">
        <f t="shared" si="706"/>
        <v>#N/A</v>
      </c>
      <c r="AE1579" s="104" t="e">
        <f t="shared" si="707"/>
        <v>#N/A</v>
      </c>
      <c r="AF1579" s="104" t="e">
        <f>IF(AND(VLOOKUP($D1579,Merchantability!$B:$C,2,0)="Yes",$E1579&gt;=VLOOKUP($D1579,Merchantability!$B:$D,3,0),$E1579&lt;=VLOOKUP($D1579,Merchantability!$B:$E,4,0)),AA1579,0)</f>
        <v>#N/A</v>
      </c>
      <c r="AG1579" s="104" t="e">
        <f>IF(AND(VLOOKUP($D1579,Merchantability!$B:$C,2,0)="Yes",$E1579&gt;=VLOOKUP($D1579,Merchantability!$B:$D,3,0),$E1579&lt;=VLOOKUP($D1579,Merchantability!$B:$E,4,0)),AB1579,0)</f>
        <v>#N/A</v>
      </c>
      <c r="AH1579" s="104" t="e">
        <f>IF(AND(VLOOKUP($D1579,Merchantability!$B:$C,2,0)="Yes",$E1579&gt;=VLOOKUP($D1579,Merchantability!$B:$D,3,0),$E1579&lt;=VLOOKUP($D1579,Merchantability!$B:$E,4,0)),AC1579,0)</f>
        <v>#N/A</v>
      </c>
      <c r="AI1579" s="104" t="e">
        <f t="shared" si="708"/>
        <v>#N/A</v>
      </c>
      <c r="AJ1579" s="104" t="e">
        <f t="shared" si="709"/>
        <v>#VALUE!</v>
      </c>
      <c r="AK1579" s="104" t="e">
        <f t="shared" si="710"/>
        <v>#N/A</v>
      </c>
      <c r="AL1579" s="104" t="e">
        <f t="shared" si="711"/>
        <v>#N/A</v>
      </c>
      <c r="AM1579" s="104" t="e">
        <f t="shared" si="712"/>
        <v>#N/A</v>
      </c>
      <c r="AN1579" s="104" t="e">
        <f t="shared" si="696"/>
        <v>#N/A</v>
      </c>
      <c r="AO1579" s="104" t="e">
        <f t="shared" si="697"/>
        <v>#N/A</v>
      </c>
      <c r="AP1579" s="104" t="e">
        <f t="shared" si="698"/>
        <v>#N/A</v>
      </c>
      <c r="AQ1579" s="104" t="e">
        <f t="shared" si="699"/>
        <v>#N/A</v>
      </c>
      <c r="AR1579" s="105" t="str">
        <f t="shared" si="691"/>
        <v/>
      </c>
      <c r="AS1579" s="105" t="str">
        <f t="shared" si="692"/>
        <v/>
      </c>
      <c r="AT1579" s="108" t="str">
        <f t="shared" si="693"/>
        <v/>
      </c>
      <c r="AU1579" s="108" t="str">
        <f t="shared" si="694"/>
        <v/>
      </c>
      <c r="AV1579" s="107" t="str">
        <f>IF(ISNUMBER(O1579),IF(VLOOKUP($A1579,Stand!C:J,8,FALSE)="Short",AT1579,AU1579),"")</f>
        <v/>
      </c>
      <c r="AW1579" s="109" t="str">
        <f t="shared" si="700"/>
        <v/>
      </c>
      <c r="AX1579" s="109" t="str">
        <f t="shared" si="701"/>
        <v/>
      </c>
      <c r="AY1579" s="112" t="str">
        <f>IF(ISNUMBER(O1579),IF(AND(VLOOKUP($D1579,Merchantability!$B:$C,2,0)="Yes",$E1579&gt;=VLOOKUP($D1579,Merchantability!$B:$D,3,0),$E1579&lt;=VLOOKUP($D1579,Merchantability!$B:$E,4,0)),(AV1579*O1579)*(1-$H1579/100),""),"")</f>
        <v/>
      </c>
      <c r="AZ1579" s="116"/>
      <c r="BA1579" s="116"/>
      <c r="BB1579" s="116"/>
      <c r="BE1579" s="62"/>
      <c r="BF1579" s="63"/>
    </row>
    <row r="1580" spans="1:58" ht="12.75" customHeight="1" x14ac:dyDescent="0.25">
      <c r="A1580" s="333"/>
      <c r="B1580" s="334"/>
      <c r="C1580" s="332"/>
      <c r="D1580" s="334"/>
      <c r="E1580" s="335"/>
      <c r="F1580" s="334"/>
      <c r="G1580" s="332"/>
      <c r="H1580" s="332"/>
      <c r="I1580" s="334"/>
      <c r="J1580" s="336"/>
      <c r="K1580" s="332"/>
      <c r="L1580" s="332"/>
      <c r="M1580" s="76"/>
      <c r="N1580" s="103" t="str">
        <f>IF(A1580="","",VLOOKUP(A1580,Stand!C:K,9,0))</f>
        <v/>
      </c>
      <c r="O1580" s="104" t="str">
        <f t="shared" si="686"/>
        <v/>
      </c>
      <c r="P1580" s="105" t="str">
        <f t="shared" si="687"/>
        <v/>
      </c>
      <c r="Q1580" s="105" t="str">
        <f t="shared" si="702"/>
        <v/>
      </c>
      <c r="R1580" s="103" t="str">
        <f t="shared" si="688"/>
        <v/>
      </c>
      <c r="S1580" s="103" t="str">
        <f t="shared" si="689"/>
        <v/>
      </c>
      <c r="T1580" s="106" t="str">
        <f t="shared" si="703"/>
        <v/>
      </c>
      <c r="U1580" s="106" t="str">
        <f t="shared" si="704"/>
        <v/>
      </c>
      <c r="V1580" s="106" t="str">
        <f t="shared" si="705"/>
        <v/>
      </c>
      <c r="W1580" s="105" t="str">
        <f t="shared" si="690"/>
        <v/>
      </c>
      <c r="X1580" s="104" t="str">
        <f t="shared" si="695"/>
        <v/>
      </c>
      <c r="Y1580" s="104" t="str">
        <f t="array" ref="Y1580">IFERROR(IF(ISNUMBER(O1580),IF(COUNT(IF(A1580=$A$2:$A$2427,IF(D1580=$D$2:$D$2427,IF($X$2:$X$2427&gt;0,1))))&gt;0,SUM(IF(A1580=$A$2:$A$2427,IF(D1580=$D$2:$D$2427,$X$2:$X$2427)))/COUNT(IF(A1580=$A$2:$A$2427,IF(D1580=$D$2:$D$2427,IF(ISNUMBER($X$2:$X$2427),1)))),0),""),0)</f>
        <v/>
      </c>
      <c r="Z1580" s="104" t="str">
        <f>IF(ISNUMBER(O1580),IF(I1580&gt;0,(10^(VLOOKUP(D1580,'Species Codes'!B:C,2,0)+VLOOKUP(D1580,'Species Codes'!B:D,3,0)*LOG(E1580)+VLOOKUP(D1580,'Species Codes'!B:E,4,0)*LOG(I1580))),0),"")</f>
        <v/>
      </c>
      <c r="AA1580" s="104" t="str">
        <f>IFERROR((VLOOKUP(D1580,'Species Codes'!B:G,6,0)*Z1580)/2000,"")</f>
        <v/>
      </c>
      <c r="AB1580" s="104" t="e">
        <f>IF(Z1580&gt;0,((IF(OR(D1580="DF",D1580="RA")=TRUE,EXP(VLOOKUP(D1580,'Species Codes'!B:I,8,0)+VLOOKUP(D1580,'Species Codes'!B:J,9,0)*(LN((E1580*2.54)))),IF(OR(D1580="PY",D1580="RC",D1580="WH",D1580="NF")=TRUE,VLOOKUP(D1580,'Species Codes'!B:I,8,0)+VLOOKUP(D1580,'Species Codes'!B:J,9,0)*((E1580*2.54)^2)*(I1580*0.3048),IF(OR(D1580="MD",D1580="BM",D1580="GA")=TRUE,((VLOOKUP(D1580,'Species Codes'!B:I,8,0)*(((((E1580*2.54)+VLOOKUP(D1580,'Species Codes'!B:J,9,0))/VLOOKUP(D1580,'Species Codes'!B:K,10,0))^VLOOKUP(D1580,'Species Codes'!B:L,11,0))*((I1580*0.3048)^VLOOKUP(D1580,'Species Codes'!B:M,12,0))))-(VLOOKUP(D1580,'Species Codes'!B:I,8,0)*((((E1580*2.54)^VLOOKUP(D1580,'Species Codes'!B:L,11,0))*((I1580*0.3048)^VLOOKUP(D1580,'Species Codes'!B:M,12,0))))))*35.3*VLOOKUP(D1580,'Species Codes'!B:G,6,0)/2.2046,VLOOKUP(D1580,'Species Codes'!B:I,8,0)+VLOOKUP(D1580,'Species Codes'!B:J,9,0)*(((E1580*2.54)/100)^2)*(I1580*0.3048)))))*0.0011023),0)</f>
        <v>#N/A</v>
      </c>
      <c r="AC1580" s="104" t="e">
        <f>IF(Z1580&gt;0,((IF(OR(D1580="RA",D1580="OA",D1580="OT",D1580="UN",D1580="PC"),EXP(VLOOKUP(D1580,'Species Codes'!B:O,14,0)+VLOOKUP(D1580,'Species Codes'!B:P,15,0)*LN((E1580*2.54)))-EXP(VLOOKUP(D1580,'Species Codes'!B:O,14,0)+VLOOKUP(D1580,'Species Codes'!B:P,15,0)*LN((E1580*2.54)))*(1/(VLOOKUP(D1580,'Species Codes'!B:Q,16,0)+VLOOKUP(D1580,'Species Codes'!B:R,17,0)*((E1580*2.54)^VLOOKUP(D1580,'Species Codes'!B:S,18,0)))),IF(OR(D1580="BM",D1580="MD",D1580="OA"),EXP(VLOOKUP(D1580,'Species Codes'!B:O,14,0)+VLOOKUP(D1580,'Species Codes'!B:P,15,0)*LN((E1580*2.54)))*(1-(1/(VLOOKUP(D1580,'Species Codes'!B:Q,16,0)+VLOOKUP(D1580,'Species Codes'!B:R,17,0)*((E1580*2.54)^VLOOKUP(D1580,'Species Codes'!B:S,18,0)))))/1000,IF(D1580="DF",EXP(VLOOKUP(D1580,'Species Codes'!B:O,14,0)+VLOOKUP(D1580,'Species Codes'!B:P,15,0)*LN((E1580*2.54))),VLOOKUP(D1580,'Species Codes'!B:O,14,0)+VLOOKUP(D1580,'Species Codes'!B:P,15,0)*(((E1580*2.54)/100)^2)*(I1580*0.3048)))))*0.0011023),0)</f>
        <v>#N/A</v>
      </c>
      <c r="AD1580" s="104" t="e">
        <f t="shared" si="706"/>
        <v>#N/A</v>
      </c>
      <c r="AE1580" s="104" t="e">
        <f t="shared" si="707"/>
        <v>#N/A</v>
      </c>
      <c r="AF1580" s="104" t="e">
        <f>IF(AND(VLOOKUP($D1580,Merchantability!$B:$C,2,0)="Yes",$E1580&gt;=VLOOKUP($D1580,Merchantability!$B:$D,3,0),$E1580&lt;=VLOOKUP($D1580,Merchantability!$B:$E,4,0)),AA1580,0)</f>
        <v>#N/A</v>
      </c>
      <c r="AG1580" s="104" t="e">
        <f>IF(AND(VLOOKUP($D1580,Merchantability!$B:$C,2,0)="Yes",$E1580&gt;=VLOOKUP($D1580,Merchantability!$B:$D,3,0),$E1580&lt;=VLOOKUP($D1580,Merchantability!$B:$E,4,0)),AB1580,0)</f>
        <v>#N/A</v>
      </c>
      <c r="AH1580" s="104" t="e">
        <f>IF(AND(VLOOKUP($D1580,Merchantability!$B:$C,2,0)="Yes",$E1580&gt;=VLOOKUP($D1580,Merchantability!$B:$D,3,0),$E1580&lt;=VLOOKUP($D1580,Merchantability!$B:$E,4,0)),AC1580,0)</f>
        <v>#N/A</v>
      </c>
      <c r="AI1580" s="104" t="e">
        <f t="shared" si="708"/>
        <v>#N/A</v>
      </c>
      <c r="AJ1580" s="104" t="e">
        <f t="shared" si="709"/>
        <v>#VALUE!</v>
      </c>
      <c r="AK1580" s="104" t="e">
        <f t="shared" si="710"/>
        <v>#N/A</v>
      </c>
      <c r="AL1580" s="104" t="e">
        <f t="shared" si="711"/>
        <v>#N/A</v>
      </c>
      <c r="AM1580" s="104" t="e">
        <f t="shared" si="712"/>
        <v>#N/A</v>
      </c>
      <c r="AN1580" s="104" t="e">
        <f t="shared" si="696"/>
        <v>#N/A</v>
      </c>
      <c r="AO1580" s="104" t="e">
        <f t="shared" si="697"/>
        <v>#N/A</v>
      </c>
      <c r="AP1580" s="104" t="e">
        <f t="shared" si="698"/>
        <v>#N/A</v>
      </c>
      <c r="AQ1580" s="104" t="e">
        <f t="shared" si="699"/>
        <v>#N/A</v>
      </c>
      <c r="AR1580" s="105" t="str">
        <f t="shared" si="691"/>
        <v/>
      </c>
      <c r="AS1580" s="105" t="str">
        <f t="shared" si="692"/>
        <v/>
      </c>
      <c r="AT1580" s="108" t="str">
        <f t="shared" si="693"/>
        <v/>
      </c>
      <c r="AU1580" s="108" t="str">
        <f t="shared" si="694"/>
        <v/>
      </c>
      <c r="AV1580" s="107" t="str">
        <f>IF(ISNUMBER(O1580),IF(VLOOKUP($A1580,Stand!C:J,8,FALSE)="Short",AT1580,AU1580),"")</f>
        <v/>
      </c>
      <c r="AW1580" s="109" t="str">
        <f t="shared" si="700"/>
        <v/>
      </c>
      <c r="AX1580" s="109" t="str">
        <f t="shared" si="701"/>
        <v/>
      </c>
      <c r="AY1580" s="112" t="str">
        <f>IF(ISNUMBER(O1580),IF(AND(VLOOKUP($D1580,Merchantability!$B:$C,2,0)="Yes",$E1580&gt;=VLOOKUP($D1580,Merchantability!$B:$D,3,0),$E1580&lt;=VLOOKUP($D1580,Merchantability!$B:$E,4,0)),(AV1580*O1580)*(1-$H1580/100),""),"")</f>
        <v/>
      </c>
      <c r="AZ1580" s="116"/>
      <c r="BA1580" s="116"/>
      <c r="BB1580" s="116"/>
      <c r="BE1580" s="62"/>
      <c r="BF1580" s="63"/>
    </row>
    <row r="1581" spans="1:58" ht="12.75" customHeight="1" x14ac:dyDescent="0.25">
      <c r="A1581" s="333"/>
      <c r="B1581" s="334"/>
      <c r="C1581" s="332"/>
      <c r="D1581" s="334"/>
      <c r="E1581" s="335"/>
      <c r="F1581" s="334"/>
      <c r="G1581" s="332"/>
      <c r="H1581" s="332"/>
      <c r="I1581" s="334"/>
      <c r="J1581" s="336"/>
      <c r="K1581" s="332"/>
      <c r="L1581" s="332"/>
      <c r="M1581" s="76"/>
      <c r="N1581" s="103" t="str">
        <f>IF(A1581="","",VLOOKUP(A1581,Stand!C:K,9,0))</f>
        <v/>
      </c>
      <c r="O1581" s="104" t="str">
        <f t="shared" si="686"/>
        <v/>
      </c>
      <c r="P1581" s="105" t="str">
        <f t="shared" si="687"/>
        <v/>
      </c>
      <c r="Q1581" s="105" t="str">
        <f t="shared" si="702"/>
        <v/>
      </c>
      <c r="R1581" s="103" t="str">
        <f t="shared" si="688"/>
        <v/>
      </c>
      <c r="S1581" s="103" t="str">
        <f t="shared" si="689"/>
        <v/>
      </c>
      <c r="T1581" s="106" t="str">
        <f t="shared" si="703"/>
        <v/>
      </c>
      <c r="U1581" s="106" t="str">
        <f t="shared" si="704"/>
        <v/>
      </c>
      <c r="V1581" s="106" t="str">
        <f t="shared" si="705"/>
        <v/>
      </c>
      <c r="W1581" s="105" t="str">
        <f t="shared" si="690"/>
        <v/>
      </c>
      <c r="X1581" s="104" t="str">
        <f t="shared" si="695"/>
        <v/>
      </c>
      <c r="Y1581" s="104" t="str">
        <f t="array" ref="Y1581">IFERROR(IF(ISNUMBER(O1581),IF(COUNT(IF(A1581=$A$2:$A$2427,IF(D1581=$D$2:$D$2427,IF($X$2:$X$2427&gt;0,1))))&gt;0,SUM(IF(A1581=$A$2:$A$2427,IF(D1581=$D$2:$D$2427,$X$2:$X$2427)))/COUNT(IF(A1581=$A$2:$A$2427,IF(D1581=$D$2:$D$2427,IF(ISNUMBER($X$2:$X$2427),1)))),0),""),0)</f>
        <v/>
      </c>
      <c r="Z1581" s="104" t="str">
        <f>IF(ISNUMBER(O1581),IF(I1581&gt;0,(10^(VLOOKUP(D1581,'Species Codes'!B:C,2,0)+VLOOKUP(D1581,'Species Codes'!B:D,3,0)*LOG(E1581)+VLOOKUP(D1581,'Species Codes'!B:E,4,0)*LOG(I1581))),0),"")</f>
        <v/>
      </c>
      <c r="AA1581" s="104" t="str">
        <f>IFERROR((VLOOKUP(D1581,'Species Codes'!B:G,6,0)*Z1581)/2000,"")</f>
        <v/>
      </c>
      <c r="AB1581" s="104" t="e">
        <f>IF(Z1581&gt;0,((IF(OR(D1581="DF",D1581="RA")=TRUE,EXP(VLOOKUP(D1581,'Species Codes'!B:I,8,0)+VLOOKUP(D1581,'Species Codes'!B:J,9,0)*(LN((E1581*2.54)))),IF(OR(D1581="PY",D1581="RC",D1581="WH",D1581="NF")=TRUE,VLOOKUP(D1581,'Species Codes'!B:I,8,0)+VLOOKUP(D1581,'Species Codes'!B:J,9,0)*((E1581*2.54)^2)*(I1581*0.3048),IF(OR(D1581="MD",D1581="BM",D1581="GA")=TRUE,((VLOOKUP(D1581,'Species Codes'!B:I,8,0)*(((((E1581*2.54)+VLOOKUP(D1581,'Species Codes'!B:J,9,0))/VLOOKUP(D1581,'Species Codes'!B:K,10,0))^VLOOKUP(D1581,'Species Codes'!B:L,11,0))*((I1581*0.3048)^VLOOKUP(D1581,'Species Codes'!B:M,12,0))))-(VLOOKUP(D1581,'Species Codes'!B:I,8,0)*((((E1581*2.54)^VLOOKUP(D1581,'Species Codes'!B:L,11,0))*((I1581*0.3048)^VLOOKUP(D1581,'Species Codes'!B:M,12,0))))))*35.3*VLOOKUP(D1581,'Species Codes'!B:G,6,0)/2.2046,VLOOKUP(D1581,'Species Codes'!B:I,8,0)+VLOOKUP(D1581,'Species Codes'!B:J,9,0)*(((E1581*2.54)/100)^2)*(I1581*0.3048)))))*0.0011023),0)</f>
        <v>#N/A</v>
      </c>
      <c r="AC1581" s="104" t="e">
        <f>IF(Z1581&gt;0,((IF(OR(D1581="RA",D1581="OA",D1581="OT",D1581="UN",D1581="PC"),EXP(VLOOKUP(D1581,'Species Codes'!B:O,14,0)+VLOOKUP(D1581,'Species Codes'!B:P,15,0)*LN((E1581*2.54)))-EXP(VLOOKUP(D1581,'Species Codes'!B:O,14,0)+VLOOKUP(D1581,'Species Codes'!B:P,15,0)*LN((E1581*2.54)))*(1/(VLOOKUP(D1581,'Species Codes'!B:Q,16,0)+VLOOKUP(D1581,'Species Codes'!B:R,17,0)*((E1581*2.54)^VLOOKUP(D1581,'Species Codes'!B:S,18,0)))),IF(OR(D1581="BM",D1581="MD",D1581="OA"),EXP(VLOOKUP(D1581,'Species Codes'!B:O,14,0)+VLOOKUP(D1581,'Species Codes'!B:P,15,0)*LN((E1581*2.54)))*(1-(1/(VLOOKUP(D1581,'Species Codes'!B:Q,16,0)+VLOOKUP(D1581,'Species Codes'!B:R,17,0)*((E1581*2.54)^VLOOKUP(D1581,'Species Codes'!B:S,18,0)))))/1000,IF(D1581="DF",EXP(VLOOKUP(D1581,'Species Codes'!B:O,14,0)+VLOOKUP(D1581,'Species Codes'!B:P,15,0)*LN((E1581*2.54))),VLOOKUP(D1581,'Species Codes'!B:O,14,0)+VLOOKUP(D1581,'Species Codes'!B:P,15,0)*(((E1581*2.54)/100)^2)*(I1581*0.3048)))))*0.0011023),0)</f>
        <v>#N/A</v>
      </c>
      <c r="AD1581" s="104" t="e">
        <f t="shared" si="706"/>
        <v>#N/A</v>
      </c>
      <c r="AE1581" s="104" t="e">
        <f t="shared" si="707"/>
        <v>#N/A</v>
      </c>
      <c r="AF1581" s="104" t="e">
        <f>IF(AND(VLOOKUP($D1581,Merchantability!$B:$C,2,0)="Yes",$E1581&gt;=VLOOKUP($D1581,Merchantability!$B:$D,3,0),$E1581&lt;=VLOOKUP($D1581,Merchantability!$B:$E,4,0)),AA1581,0)</f>
        <v>#N/A</v>
      </c>
      <c r="AG1581" s="104" t="e">
        <f>IF(AND(VLOOKUP($D1581,Merchantability!$B:$C,2,0)="Yes",$E1581&gt;=VLOOKUP($D1581,Merchantability!$B:$D,3,0),$E1581&lt;=VLOOKUP($D1581,Merchantability!$B:$E,4,0)),AB1581,0)</f>
        <v>#N/A</v>
      </c>
      <c r="AH1581" s="104" t="e">
        <f>IF(AND(VLOOKUP($D1581,Merchantability!$B:$C,2,0)="Yes",$E1581&gt;=VLOOKUP($D1581,Merchantability!$B:$D,3,0),$E1581&lt;=VLOOKUP($D1581,Merchantability!$B:$E,4,0)),AC1581,0)</f>
        <v>#N/A</v>
      </c>
      <c r="AI1581" s="104" t="e">
        <f t="shared" si="708"/>
        <v>#N/A</v>
      </c>
      <c r="AJ1581" s="104" t="e">
        <f t="shared" si="709"/>
        <v>#VALUE!</v>
      </c>
      <c r="AK1581" s="104" t="e">
        <f t="shared" si="710"/>
        <v>#N/A</v>
      </c>
      <c r="AL1581" s="104" t="e">
        <f t="shared" si="711"/>
        <v>#N/A</v>
      </c>
      <c r="AM1581" s="104" t="e">
        <f t="shared" si="712"/>
        <v>#N/A</v>
      </c>
      <c r="AN1581" s="104" t="e">
        <f t="shared" si="696"/>
        <v>#N/A</v>
      </c>
      <c r="AO1581" s="104" t="e">
        <f t="shared" si="697"/>
        <v>#N/A</v>
      </c>
      <c r="AP1581" s="104" t="e">
        <f t="shared" si="698"/>
        <v>#N/A</v>
      </c>
      <c r="AQ1581" s="104" t="e">
        <f t="shared" si="699"/>
        <v>#N/A</v>
      </c>
      <c r="AR1581" s="105" t="str">
        <f t="shared" si="691"/>
        <v/>
      </c>
      <c r="AS1581" s="105" t="str">
        <f t="shared" si="692"/>
        <v/>
      </c>
      <c r="AT1581" s="108" t="str">
        <f t="shared" si="693"/>
        <v/>
      </c>
      <c r="AU1581" s="108" t="str">
        <f t="shared" si="694"/>
        <v/>
      </c>
      <c r="AV1581" s="107" t="str">
        <f>IF(ISNUMBER(O1581),IF(VLOOKUP($A1581,Stand!C:J,8,FALSE)="Short",AT1581,AU1581),"")</f>
        <v/>
      </c>
      <c r="AW1581" s="109" t="str">
        <f t="shared" si="700"/>
        <v/>
      </c>
      <c r="AX1581" s="109" t="str">
        <f t="shared" si="701"/>
        <v/>
      </c>
      <c r="AY1581" s="112" t="str">
        <f>IF(ISNUMBER(O1581),IF(AND(VLOOKUP($D1581,Merchantability!$B:$C,2,0)="Yes",$E1581&gt;=VLOOKUP($D1581,Merchantability!$B:$D,3,0),$E1581&lt;=VLOOKUP($D1581,Merchantability!$B:$E,4,0)),(AV1581*O1581)*(1-$H1581/100),""),"")</f>
        <v/>
      </c>
      <c r="AZ1581" s="116"/>
      <c r="BA1581" s="116"/>
      <c r="BB1581" s="116"/>
      <c r="BE1581" s="62"/>
      <c r="BF1581" s="63"/>
    </row>
    <row r="1582" spans="1:58" ht="12.75" customHeight="1" x14ac:dyDescent="0.25">
      <c r="A1582" s="333"/>
      <c r="B1582" s="334"/>
      <c r="C1582" s="332"/>
      <c r="D1582" s="334"/>
      <c r="E1582" s="335"/>
      <c r="F1582" s="334"/>
      <c r="G1582" s="332"/>
      <c r="H1582" s="332"/>
      <c r="I1582" s="334"/>
      <c r="J1582" s="336"/>
      <c r="K1582" s="332"/>
      <c r="L1582" s="332"/>
      <c r="M1582" s="76"/>
      <c r="N1582" s="103" t="str">
        <f>IF(A1582="","",VLOOKUP(A1582,Stand!C:K,9,0))</f>
        <v/>
      </c>
      <c r="O1582" s="104" t="str">
        <f t="shared" si="686"/>
        <v/>
      </c>
      <c r="P1582" s="105" t="str">
        <f t="shared" si="687"/>
        <v/>
      </c>
      <c r="Q1582" s="105" t="str">
        <f t="shared" si="702"/>
        <v/>
      </c>
      <c r="R1582" s="103" t="str">
        <f t="shared" si="688"/>
        <v/>
      </c>
      <c r="S1582" s="103" t="str">
        <f t="shared" si="689"/>
        <v/>
      </c>
      <c r="T1582" s="106" t="str">
        <f t="shared" si="703"/>
        <v/>
      </c>
      <c r="U1582" s="106" t="str">
        <f t="shared" si="704"/>
        <v/>
      </c>
      <c r="V1582" s="106" t="str">
        <f t="shared" si="705"/>
        <v/>
      </c>
      <c r="W1582" s="105" t="str">
        <f t="shared" si="690"/>
        <v/>
      </c>
      <c r="X1582" s="104" t="str">
        <f t="shared" si="695"/>
        <v/>
      </c>
      <c r="Y1582" s="104" t="str">
        <f t="array" ref="Y1582">IFERROR(IF(ISNUMBER(O1582),IF(COUNT(IF(A1582=$A$2:$A$2427,IF(D1582=$D$2:$D$2427,IF($X$2:$X$2427&gt;0,1))))&gt;0,SUM(IF(A1582=$A$2:$A$2427,IF(D1582=$D$2:$D$2427,$X$2:$X$2427)))/COUNT(IF(A1582=$A$2:$A$2427,IF(D1582=$D$2:$D$2427,IF(ISNUMBER($X$2:$X$2427),1)))),0),""),0)</f>
        <v/>
      </c>
      <c r="Z1582" s="104" t="str">
        <f>IF(ISNUMBER(O1582),IF(I1582&gt;0,(10^(VLOOKUP(D1582,'Species Codes'!B:C,2,0)+VLOOKUP(D1582,'Species Codes'!B:D,3,0)*LOG(E1582)+VLOOKUP(D1582,'Species Codes'!B:E,4,0)*LOG(I1582))),0),"")</f>
        <v/>
      </c>
      <c r="AA1582" s="104" t="str">
        <f>IFERROR((VLOOKUP(D1582,'Species Codes'!B:G,6,0)*Z1582)/2000,"")</f>
        <v/>
      </c>
      <c r="AB1582" s="104" t="e">
        <f>IF(Z1582&gt;0,((IF(OR(D1582="DF",D1582="RA")=TRUE,EXP(VLOOKUP(D1582,'Species Codes'!B:I,8,0)+VLOOKUP(D1582,'Species Codes'!B:J,9,0)*(LN((E1582*2.54)))),IF(OR(D1582="PY",D1582="RC",D1582="WH",D1582="NF")=TRUE,VLOOKUP(D1582,'Species Codes'!B:I,8,0)+VLOOKUP(D1582,'Species Codes'!B:J,9,0)*((E1582*2.54)^2)*(I1582*0.3048),IF(OR(D1582="MD",D1582="BM",D1582="GA")=TRUE,((VLOOKUP(D1582,'Species Codes'!B:I,8,0)*(((((E1582*2.54)+VLOOKUP(D1582,'Species Codes'!B:J,9,0))/VLOOKUP(D1582,'Species Codes'!B:K,10,0))^VLOOKUP(D1582,'Species Codes'!B:L,11,0))*((I1582*0.3048)^VLOOKUP(D1582,'Species Codes'!B:M,12,0))))-(VLOOKUP(D1582,'Species Codes'!B:I,8,0)*((((E1582*2.54)^VLOOKUP(D1582,'Species Codes'!B:L,11,0))*((I1582*0.3048)^VLOOKUP(D1582,'Species Codes'!B:M,12,0))))))*35.3*VLOOKUP(D1582,'Species Codes'!B:G,6,0)/2.2046,VLOOKUP(D1582,'Species Codes'!B:I,8,0)+VLOOKUP(D1582,'Species Codes'!B:J,9,0)*(((E1582*2.54)/100)^2)*(I1582*0.3048)))))*0.0011023),0)</f>
        <v>#N/A</v>
      </c>
      <c r="AC1582" s="104" t="e">
        <f>IF(Z1582&gt;0,((IF(OR(D1582="RA",D1582="OA",D1582="OT",D1582="UN",D1582="PC"),EXP(VLOOKUP(D1582,'Species Codes'!B:O,14,0)+VLOOKUP(D1582,'Species Codes'!B:P,15,0)*LN((E1582*2.54)))-EXP(VLOOKUP(D1582,'Species Codes'!B:O,14,0)+VLOOKUP(D1582,'Species Codes'!B:P,15,0)*LN((E1582*2.54)))*(1/(VLOOKUP(D1582,'Species Codes'!B:Q,16,0)+VLOOKUP(D1582,'Species Codes'!B:R,17,0)*((E1582*2.54)^VLOOKUP(D1582,'Species Codes'!B:S,18,0)))),IF(OR(D1582="BM",D1582="MD",D1582="OA"),EXP(VLOOKUP(D1582,'Species Codes'!B:O,14,0)+VLOOKUP(D1582,'Species Codes'!B:P,15,0)*LN((E1582*2.54)))*(1-(1/(VLOOKUP(D1582,'Species Codes'!B:Q,16,0)+VLOOKUP(D1582,'Species Codes'!B:R,17,0)*((E1582*2.54)^VLOOKUP(D1582,'Species Codes'!B:S,18,0)))))/1000,IF(D1582="DF",EXP(VLOOKUP(D1582,'Species Codes'!B:O,14,0)+VLOOKUP(D1582,'Species Codes'!B:P,15,0)*LN((E1582*2.54))),VLOOKUP(D1582,'Species Codes'!B:O,14,0)+VLOOKUP(D1582,'Species Codes'!B:P,15,0)*(((E1582*2.54)/100)^2)*(I1582*0.3048)))))*0.0011023),0)</f>
        <v>#N/A</v>
      </c>
      <c r="AD1582" s="104" t="e">
        <f t="shared" si="706"/>
        <v>#N/A</v>
      </c>
      <c r="AE1582" s="104" t="e">
        <f t="shared" si="707"/>
        <v>#N/A</v>
      </c>
      <c r="AF1582" s="104" t="e">
        <f>IF(AND(VLOOKUP($D1582,Merchantability!$B:$C,2,0)="Yes",$E1582&gt;=VLOOKUP($D1582,Merchantability!$B:$D,3,0),$E1582&lt;=VLOOKUP($D1582,Merchantability!$B:$E,4,0)),AA1582,0)</f>
        <v>#N/A</v>
      </c>
      <c r="AG1582" s="104" t="e">
        <f>IF(AND(VLOOKUP($D1582,Merchantability!$B:$C,2,0)="Yes",$E1582&gt;=VLOOKUP($D1582,Merchantability!$B:$D,3,0),$E1582&lt;=VLOOKUP($D1582,Merchantability!$B:$E,4,0)),AB1582,0)</f>
        <v>#N/A</v>
      </c>
      <c r="AH1582" s="104" t="e">
        <f>IF(AND(VLOOKUP($D1582,Merchantability!$B:$C,2,0)="Yes",$E1582&gt;=VLOOKUP($D1582,Merchantability!$B:$D,3,0),$E1582&lt;=VLOOKUP($D1582,Merchantability!$B:$E,4,0)),AC1582,0)</f>
        <v>#N/A</v>
      </c>
      <c r="AI1582" s="104" t="e">
        <f t="shared" si="708"/>
        <v>#N/A</v>
      </c>
      <c r="AJ1582" s="104" t="e">
        <f t="shared" si="709"/>
        <v>#VALUE!</v>
      </c>
      <c r="AK1582" s="104" t="e">
        <f t="shared" si="710"/>
        <v>#N/A</v>
      </c>
      <c r="AL1582" s="104" t="e">
        <f t="shared" si="711"/>
        <v>#N/A</v>
      </c>
      <c r="AM1582" s="104" t="e">
        <f t="shared" si="712"/>
        <v>#N/A</v>
      </c>
      <c r="AN1582" s="104" t="e">
        <f t="shared" si="696"/>
        <v>#N/A</v>
      </c>
      <c r="AO1582" s="104" t="e">
        <f t="shared" si="697"/>
        <v>#N/A</v>
      </c>
      <c r="AP1582" s="104" t="e">
        <f t="shared" si="698"/>
        <v>#N/A</v>
      </c>
      <c r="AQ1582" s="104" t="e">
        <f t="shared" si="699"/>
        <v>#N/A</v>
      </c>
      <c r="AR1582" s="105" t="str">
        <f t="shared" si="691"/>
        <v/>
      </c>
      <c r="AS1582" s="105" t="str">
        <f t="shared" si="692"/>
        <v/>
      </c>
      <c r="AT1582" s="108" t="str">
        <f t="shared" si="693"/>
        <v/>
      </c>
      <c r="AU1582" s="108" t="str">
        <f t="shared" si="694"/>
        <v/>
      </c>
      <c r="AV1582" s="107" t="str">
        <f>IF(ISNUMBER(O1582),IF(VLOOKUP($A1582,Stand!C:J,8,FALSE)="Short",AT1582,AU1582),"")</f>
        <v/>
      </c>
      <c r="AW1582" s="109" t="str">
        <f t="shared" si="700"/>
        <v/>
      </c>
      <c r="AX1582" s="109" t="str">
        <f t="shared" si="701"/>
        <v/>
      </c>
      <c r="AY1582" s="112" t="str">
        <f>IF(ISNUMBER(O1582),IF(AND(VLOOKUP($D1582,Merchantability!$B:$C,2,0)="Yes",$E1582&gt;=VLOOKUP($D1582,Merchantability!$B:$D,3,0),$E1582&lt;=VLOOKUP($D1582,Merchantability!$B:$E,4,0)),(AV1582*O1582)*(1-$H1582/100),""),"")</f>
        <v/>
      </c>
      <c r="AZ1582" s="116"/>
      <c r="BA1582" s="116"/>
      <c r="BB1582" s="116"/>
      <c r="BE1582" s="62"/>
      <c r="BF1582" s="63"/>
    </row>
    <row r="1583" spans="1:58" ht="12.75" customHeight="1" x14ac:dyDescent="0.25">
      <c r="A1583" s="333"/>
      <c r="B1583" s="334"/>
      <c r="C1583" s="332"/>
      <c r="D1583" s="334"/>
      <c r="E1583" s="335"/>
      <c r="F1583" s="334"/>
      <c r="G1583" s="332"/>
      <c r="H1583" s="332"/>
      <c r="I1583" s="334"/>
      <c r="J1583" s="336"/>
      <c r="K1583" s="332"/>
      <c r="L1583" s="332"/>
      <c r="M1583" s="76"/>
      <c r="N1583" s="103" t="str">
        <f>IF(A1583="","",VLOOKUP(A1583,Stand!C:K,9,0))</f>
        <v/>
      </c>
      <c r="O1583" s="104" t="str">
        <f t="shared" si="686"/>
        <v/>
      </c>
      <c r="P1583" s="105" t="str">
        <f t="shared" si="687"/>
        <v/>
      </c>
      <c r="Q1583" s="105" t="str">
        <f t="shared" si="702"/>
        <v/>
      </c>
      <c r="R1583" s="103" t="str">
        <f t="shared" si="688"/>
        <v/>
      </c>
      <c r="S1583" s="103" t="str">
        <f t="shared" si="689"/>
        <v/>
      </c>
      <c r="T1583" s="106" t="str">
        <f t="shared" si="703"/>
        <v/>
      </c>
      <c r="U1583" s="106" t="str">
        <f t="shared" si="704"/>
        <v/>
      </c>
      <c r="V1583" s="106" t="str">
        <f t="shared" si="705"/>
        <v/>
      </c>
      <c r="W1583" s="105" t="str">
        <f t="shared" si="690"/>
        <v/>
      </c>
      <c r="X1583" s="104" t="str">
        <f t="shared" si="695"/>
        <v/>
      </c>
      <c r="Y1583" s="104" t="str">
        <f t="array" ref="Y1583">IFERROR(IF(ISNUMBER(O1583),IF(COUNT(IF(A1583=$A$2:$A$2427,IF(D1583=$D$2:$D$2427,IF($X$2:$X$2427&gt;0,1))))&gt;0,SUM(IF(A1583=$A$2:$A$2427,IF(D1583=$D$2:$D$2427,$X$2:$X$2427)))/COUNT(IF(A1583=$A$2:$A$2427,IF(D1583=$D$2:$D$2427,IF(ISNUMBER($X$2:$X$2427),1)))),0),""),0)</f>
        <v/>
      </c>
      <c r="Z1583" s="104" t="str">
        <f>IF(ISNUMBER(O1583),IF(I1583&gt;0,(10^(VLOOKUP(D1583,'Species Codes'!B:C,2,0)+VLOOKUP(D1583,'Species Codes'!B:D,3,0)*LOG(E1583)+VLOOKUP(D1583,'Species Codes'!B:E,4,0)*LOG(I1583))),0),"")</f>
        <v/>
      </c>
      <c r="AA1583" s="104" t="str">
        <f>IFERROR((VLOOKUP(D1583,'Species Codes'!B:G,6,0)*Z1583)/2000,"")</f>
        <v/>
      </c>
      <c r="AB1583" s="104" t="e">
        <f>IF(Z1583&gt;0,((IF(OR(D1583="DF",D1583="RA")=TRUE,EXP(VLOOKUP(D1583,'Species Codes'!B:I,8,0)+VLOOKUP(D1583,'Species Codes'!B:J,9,0)*(LN((E1583*2.54)))),IF(OR(D1583="PY",D1583="RC",D1583="WH",D1583="NF")=TRUE,VLOOKUP(D1583,'Species Codes'!B:I,8,0)+VLOOKUP(D1583,'Species Codes'!B:J,9,0)*((E1583*2.54)^2)*(I1583*0.3048),IF(OR(D1583="MD",D1583="BM",D1583="GA")=TRUE,((VLOOKUP(D1583,'Species Codes'!B:I,8,0)*(((((E1583*2.54)+VLOOKUP(D1583,'Species Codes'!B:J,9,0))/VLOOKUP(D1583,'Species Codes'!B:K,10,0))^VLOOKUP(D1583,'Species Codes'!B:L,11,0))*((I1583*0.3048)^VLOOKUP(D1583,'Species Codes'!B:M,12,0))))-(VLOOKUP(D1583,'Species Codes'!B:I,8,0)*((((E1583*2.54)^VLOOKUP(D1583,'Species Codes'!B:L,11,0))*((I1583*0.3048)^VLOOKUP(D1583,'Species Codes'!B:M,12,0))))))*35.3*VLOOKUP(D1583,'Species Codes'!B:G,6,0)/2.2046,VLOOKUP(D1583,'Species Codes'!B:I,8,0)+VLOOKUP(D1583,'Species Codes'!B:J,9,0)*(((E1583*2.54)/100)^2)*(I1583*0.3048)))))*0.0011023),0)</f>
        <v>#N/A</v>
      </c>
      <c r="AC1583" s="104" t="e">
        <f>IF(Z1583&gt;0,((IF(OR(D1583="RA",D1583="OA",D1583="OT",D1583="UN",D1583="PC"),EXP(VLOOKUP(D1583,'Species Codes'!B:O,14,0)+VLOOKUP(D1583,'Species Codes'!B:P,15,0)*LN((E1583*2.54)))-EXP(VLOOKUP(D1583,'Species Codes'!B:O,14,0)+VLOOKUP(D1583,'Species Codes'!B:P,15,0)*LN((E1583*2.54)))*(1/(VLOOKUP(D1583,'Species Codes'!B:Q,16,0)+VLOOKUP(D1583,'Species Codes'!B:R,17,0)*((E1583*2.54)^VLOOKUP(D1583,'Species Codes'!B:S,18,0)))),IF(OR(D1583="BM",D1583="MD",D1583="OA"),EXP(VLOOKUP(D1583,'Species Codes'!B:O,14,0)+VLOOKUP(D1583,'Species Codes'!B:P,15,0)*LN((E1583*2.54)))*(1-(1/(VLOOKUP(D1583,'Species Codes'!B:Q,16,0)+VLOOKUP(D1583,'Species Codes'!B:R,17,0)*((E1583*2.54)^VLOOKUP(D1583,'Species Codes'!B:S,18,0)))))/1000,IF(D1583="DF",EXP(VLOOKUP(D1583,'Species Codes'!B:O,14,0)+VLOOKUP(D1583,'Species Codes'!B:P,15,0)*LN((E1583*2.54))),VLOOKUP(D1583,'Species Codes'!B:O,14,0)+VLOOKUP(D1583,'Species Codes'!B:P,15,0)*(((E1583*2.54)/100)^2)*(I1583*0.3048)))))*0.0011023),0)</f>
        <v>#N/A</v>
      </c>
      <c r="AD1583" s="104" t="e">
        <f t="shared" si="706"/>
        <v>#N/A</v>
      </c>
      <c r="AE1583" s="104" t="e">
        <f t="shared" si="707"/>
        <v>#N/A</v>
      </c>
      <c r="AF1583" s="104" t="e">
        <f>IF(AND(VLOOKUP($D1583,Merchantability!$B:$C,2,0)="Yes",$E1583&gt;=VLOOKUP($D1583,Merchantability!$B:$D,3,0),$E1583&lt;=VLOOKUP($D1583,Merchantability!$B:$E,4,0)),AA1583,0)</f>
        <v>#N/A</v>
      </c>
      <c r="AG1583" s="104" t="e">
        <f>IF(AND(VLOOKUP($D1583,Merchantability!$B:$C,2,0)="Yes",$E1583&gt;=VLOOKUP($D1583,Merchantability!$B:$D,3,0),$E1583&lt;=VLOOKUP($D1583,Merchantability!$B:$E,4,0)),AB1583,0)</f>
        <v>#N/A</v>
      </c>
      <c r="AH1583" s="104" t="e">
        <f>IF(AND(VLOOKUP($D1583,Merchantability!$B:$C,2,0)="Yes",$E1583&gt;=VLOOKUP($D1583,Merchantability!$B:$D,3,0),$E1583&lt;=VLOOKUP($D1583,Merchantability!$B:$E,4,0)),AC1583,0)</f>
        <v>#N/A</v>
      </c>
      <c r="AI1583" s="104" t="e">
        <f t="shared" si="708"/>
        <v>#N/A</v>
      </c>
      <c r="AJ1583" s="104" t="e">
        <f t="shared" si="709"/>
        <v>#VALUE!</v>
      </c>
      <c r="AK1583" s="104" t="e">
        <f t="shared" si="710"/>
        <v>#N/A</v>
      </c>
      <c r="AL1583" s="104" t="e">
        <f t="shared" si="711"/>
        <v>#N/A</v>
      </c>
      <c r="AM1583" s="104" t="e">
        <f t="shared" si="712"/>
        <v>#N/A</v>
      </c>
      <c r="AN1583" s="104" t="e">
        <f t="shared" si="696"/>
        <v>#N/A</v>
      </c>
      <c r="AO1583" s="104" t="e">
        <f t="shared" si="697"/>
        <v>#N/A</v>
      </c>
      <c r="AP1583" s="104" t="e">
        <f t="shared" si="698"/>
        <v>#N/A</v>
      </c>
      <c r="AQ1583" s="104" t="e">
        <f t="shared" si="699"/>
        <v>#N/A</v>
      </c>
      <c r="AR1583" s="105" t="str">
        <f t="shared" si="691"/>
        <v/>
      </c>
      <c r="AS1583" s="105" t="str">
        <f t="shared" si="692"/>
        <v/>
      </c>
      <c r="AT1583" s="108" t="str">
        <f t="shared" si="693"/>
        <v/>
      </c>
      <c r="AU1583" s="108" t="str">
        <f t="shared" si="694"/>
        <v/>
      </c>
      <c r="AV1583" s="107" t="str">
        <f>IF(ISNUMBER(O1583),IF(VLOOKUP($A1583,Stand!C:J,8,FALSE)="Short",AT1583,AU1583),"")</f>
        <v/>
      </c>
      <c r="AW1583" s="109" t="str">
        <f t="shared" si="700"/>
        <v/>
      </c>
      <c r="AX1583" s="109" t="str">
        <f t="shared" si="701"/>
        <v/>
      </c>
      <c r="AY1583" s="112" t="str">
        <f>IF(ISNUMBER(O1583),IF(AND(VLOOKUP($D1583,Merchantability!$B:$C,2,0)="Yes",$E1583&gt;=VLOOKUP($D1583,Merchantability!$B:$D,3,0),$E1583&lt;=VLOOKUP($D1583,Merchantability!$B:$E,4,0)),(AV1583*O1583)*(1-$H1583/100),""),"")</f>
        <v/>
      </c>
      <c r="AZ1583" s="116"/>
      <c r="BA1583" s="116"/>
      <c r="BB1583" s="116"/>
      <c r="BE1583" s="62"/>
      <c r="BF1583" s="63"/>
    </row>
    <row r="1584" spans="1:58" ht="12.75" customHeight="1" x14ac:dyDescent="0.25">
      <c r="A1584" s="333"/>
      <c r="B1584" s="334"/>
      <c r="C1584" s="332"/>
      <c r="D1584" s="334"/>
      <c r="E1584" s="335"/>
      <c r="F1584" s="334"/>
      <c r="G1584" s="332"/>
      <c r="H1584" s="332"/>
      <c r="I1584" s="334"/>
      <c r="J1584" s="336"/>
      <c r="K1584" s="332"/>
      <c r="L1584" s="332"/>
      <c r="M1584" s="76"/>
      <c r="N1584" s="103" t="str">
        <f>IF(A1584="","",VLOOKUP(A1584,Stand!C:K,9,0))</f>
        <v/>
      </c>
      <c r="O1584" s="104" t="str">
        <f t="shared" si="686"/>
        <v/>
      </c>
      <c r="P1584" s="105" t="str">
        <f t="shared" si="687"/>
        <v/>
      </c>
      <c r="Q1584" s="105" t="str">
        <f t="shared" si="702"/>
        <v/>
      </c>
      <c r="R1584" s="103" t="str">
        <f t="shared" si="688"/>
        <v/>
      </c>
      <c r="S1584" s="103" t="str">
        <f t="shared" si="689"/>
        <v/>
      </c>
      <c r="T1584" s="106" t="str">
        <f t="shared" si="703"/>
        <v/>
      </c>
      <c r="U1584" s="106" t="str">
        <f t="shared" si="704"/>
        <v/>
      </c>
      <c r="V1584" s="106" t="str">
        <f t="shared" si="705"/>
        <v/>
      </c>
      <c r="W1584" s="105" t="str">
        <f t="shared" si="690"/>
        <v/>
      </c>
      <c r="X1584" s="104" t="str">
        <f t="shared" si="695"/>
        <v/>
      </c>
      <c r="Y1584" s="104" t="str">
        <f t="array" ref="Y1584">IFERROR(IF(ISNUMBER(O1584),IF(COUNT(IF(A1584=$A$2:$A$2427,IF(D1584=$D$2:$D$2427,IF($X$2:$X$2427&gt;0,1))))&gt;0,SUM(IF(A1584=$A$2:$A$2427,IF(D1584=$D$2:$D$2427,$X$2:$X$2427)))/COUNT(IF(A1584=$A$2:$A$2427,IF(D1584=$D$2:$D$2427,IF(ISNUMBER($X$2:$X$2427),1)))),0),""),0)</f>
        <v/>
      </c>
      <c r="Z1584" s="104" t="str">
        <f>IF(ISNUMBER(O1584),IF(I1584&gt;0,(10^(VLOOKUP(D1584,'Species Codes'!B:C,2,0)+VLOOKUP(D1584,'Species Codes'!B:D,3,0)*LOG(E1584)+VLOOKUP(D1584,'Species Codes'!B:E,4,0)*LOG(I1584))),0),"")</f>
        <v/>
      </c>
      <c r="AA1584" s="104" t="str">
        <f>IFERROR((VLOOKUP(D1584,'Species Codes'!B:G,6,0)*Z1584)/2000,"")</f>
        <v/>
      </c>
      <c r="AB1584" s="104" t="e">
        <f>IF(Z1584&gt;0,((IF(OR(D1584="DF",D1584="RA")=TRUE,EXP(VLOOKUP(D1584,'Species Codes'!B:I,8,0)+VLOOKUP(D1584,'Species Codes'!B:J,9,0)*(LN((E1584*2.54)))),IF(OR(D1584="PY",D1584="RC",D1584="WH",D1584="NF")=TRUE,VLOOKUP(D1584,'Species Codes'!B:I,8,0)+VLOOKUP(D1584,'Species Codes'!B:J,9,0)*((E1584*2.54)^2)*(I1584*0.3048),IF(OR(D1584="MD",D1584="BM",D1584="GA")=TRUE,((VLOOKUP(D1584,'Species Codes'!B:I,8,0)*(((((E1584*2.54)+VLOOKUP(D1584,'Species Codes'!B:J,9,0))/VLOOKUP(D1584,'Species Codes'!B:K,10,0))^VLOOKUP(D1584,'Species Codes'!B:L,11,0))*((I1584*0.3048)^VLOOKUP(D1584,'Species Codes'!B:M,12,0))))-(VLOOKUP(D1584,'Species Codes'!B:I,8,0)*((((E1584*2.54)^VLOOKUP(D1584,'Species Codes'!B:L,11,0))*((I1584*0.3048)^VLOOKUP(D1584,'Species Codes'!B:M,12,0))))))*35.3*VLOOKUP(D1584,'Species Codes'!B:G,6,0)/2.2046,VLOOKUP(D1584,'Species Codes'!B:I,8,0)+VLOOKUP(D1584,'Species Codes'!B:J,9,0)*(((E1584*2.54)/100)^2)*(I1584*0.3048)))))*0.0011023),0)</f>
        <v>#N/A</v>
      </c>
      <c r="AC1584" s="104" t="e">
        <f>IF(Z1584&gt;0,((IF(OR(D1584="RA",D1584="OA",D1584="OT",D1584="UN",D1584="PC"),EXP(VLOOKUP(D1584,'Species Codes'!B:O,14,0)+VLOOKUP(D1584,'Species Codes'!B:P,15,0)*LN((E1584*2.54)))-EXP(VLOOKUP(D1584,'Species Codes'!B:O,14,0)+VLOOKUP(D1584,'Species Codes'!B:P,15,0)*LN((E1584*2.54)))*(1/(VLOOKUP(D1584,'Species Codes'!B:Q,16,0)+VLOOKUP(D1584,'Species Codes'!B:R,17,0)*((E1584*2.54)^VLOOKUP(D1584,'Species Codes'!B:S,18,0)))),IF(OR(D1584="BM",D1584="MD",D1584="OA"),EXP(VLOOKUP(D1584,'Species Codes'!B:O,14,0)+VLOOKUP(D1584,'Species Codes'!B:P,15,0)*LN((E1584*2.54)))*(1-(1/(VLOOKUP(D1584,'Species Codes'!B:Q,16,0)+VLOOKUP(D1584,'Species Codes'!B:R,17,0)*((E1584*2.54)^VLOOKUP(D1584,'Species Codes'!B:S,18,0)))))/1000,IF(D1584="DF",EXP(VLOOKUP(D1584,'Species Codes'!B:O,14,0)+VLOOKUP(D1584,'Species Codes'!B:P,15,0)*LN((E1584*2.54))),VLOOKUP(D1584,'Species Codes'!B:O,14,0)+VLOOKUP(D1584,'Species Codes'!B:P,15,0)*(((E1584*2.54)/100)^2)*(I1584*0.3048)))))*0.0011023),0)</f>
        <v>#N/A</v>
      </c>
      <c r="AD1584" s="104" t="e">
        <f t="shared" si="706"/>
        <v>#N/A</v>
      </c>
      <c r="AE1584" s="104" t="e">
        <f t="shared" si="707"/>
        <v>#N/A</v>
      </c>
      <c r="AF1584" s="104" t="e">
        <f>IF(AND(VLOOKUP($D1584,Merchantability!$B:$C,2,0)="Yes",$E1584&gt;=VLOOKUP($D1584,Merchantability!$B:$D,3,0),$E1584&lt;=VLOOKUP($D1584,Merchantability!$B:$E,4,0)),AA1584,0)</f>
        <v>#N/A</v>
      </c>
      <c r="AG1584" s="104" t="e">
        <f>IF(AND(VLOOKUP($D1584,Merchantability!$B:$C,2,0)="Yes",$E1584&gt;=VLOOKUP($D1584,Merchantability!$B:$D,3,0),$E1584&lt;=VLOOKUP($D1584,Merchantability!$B:$E,4,0)),AB1584,0)</f>
        <v>#N/A</v>
      </c>
      <c r="AH1584" s="104" t="e">
        <f>IF(AND(VLOOKUP($D1584,Merchantability!$B:$C,2,0)="Yes",$E1584&gt;=VLOOKUP($D1584,Merchantability!$B:$D,3,0),$E1584&lt;=VLOOKUP($D1584,Merchantability!$B:$E,4,0)),AC1584,0)</f>
        <v>#N/A</v>
      </c>
      <c r="AI1584" s="104" t="e">
        <f t="shared" si="708"/>
        <v>#N/A</v>
      </c>
      <c r="AJ1584" s="104" t="e">
        <f t="shared" si="709"/>
        <v>#VALUE!</v>
      </c>
      <c r="AK1584" s="104" t="e">
        <f t="shared" si="710"/>
        <v>#N/A</v>
      </c>
      <c r="AL1584" s="104" t="e">
        <f t="shared" si="711"/>
        <v>#N/A</v>
      </c>
      <c r="AM1584" s="104" t="e">
        <f t="shared" si="712"/>
        <v>#N/A</v>
      </c>
      <c r="AN1584" s="104" t="e">
        <f t="shared" si="696"/>
        <v>#N/A</v>
      </c>
      <c r="AO1584" s="104" t="e">
        <f t="shared" si="697"/>
        <v>#N/A</v>
      </c>
      <c r="AP1584" s="104" t="e">
        <f t="shared" si="698"/>
        <v>#N/A</v>
      </c>
      <c r="AQ1584" s="104" t="e">
        <f t="shared" si="699"/>
        <v>#N/A</v>
      </c>
      <c r="AR1584" s="105" t="str">
        <f t="shared" si="691"/>
        <v/>
      </c>
      <c r="AS1584" s="105" t="str">
        <f t="shared" si="692"/>
        <v/>
      </c>
      <c r="AT1584" s="108" t="str">
        <f t="shared" si="693"/>
        <v/>
      </c>
      <c r="AU1584" s="108" t="str">
        <f t="shared" si="694"/>
        <v/>
      </c>
      <c r="AV1584" s="107" t="str">
        <f>IF(ISNUMBER(O1584),IF(VLOOKUP($A1584,Stand!C:J,8,FALSE)="Short",AT1584,AU1584),"")</f>
        <v/>
      </c>
      <c r="AW1584" s="109" t="str">
        <f t="shared" si="700"/>
        <v/>
      </c>
      <c r="AX1584" s="109" t="str">
        <f t="shared" si="701"/>
        <v/>
      </c>
      <c r="AY1584" s="112" t="str">
        <f>IF(ISNUMBER(O1584),IF(AND(VLOOKUP($D1584,Merchantability!$B:$C,2,0)="Yes",$E1584&gt;=VLOOKUP($D1584,Merchantability!$B:$D,3,0),$E1584&lt;=VLOOKUP($D1584,Merchantability!$B:$E,4,0)),(AV1584*O1584)*(1-$H1584/100),""),"")</f>
        <v/>
      </c>
      <c r="AZ1584" s="116"/>
      <c r="BA1584" s="116"/>
      <c r="BB1584" s="116"/>
      <c r="BE1584" s="62"/>
      <c r="BF1584" s="63"/>
    </row>
    <row r="1585" spans="1:58" ht="12.75" customHeight="1" x14ac:dyDescent="0.25">
      <c r="A1585" s="333"/>
      <c r="B1585" s="334"/>
      <c r="C1585" s="332"/>
      <c r="D1585" s="334"/>
      <c r="E1585" s="335"/>
      <c r="F1585" s="334"/>
      <c r="G1585" s="332"/>
      <c r="H1585" s="332"/>
      <c r="I1585" s="334"/>
      <c r="J1585" s="336"/>
      <c r="K1585" s="332"/>
      <c r="L1585" s="332"/>
      <c r="M1585" s="76"/>
      <c r="N1585" s="103" t="str">
        <f>IF(A1585="","",VLOOKUP(A1585,Stand!C:K,9,0))</f>
        <v/>
      </c>
      <c r="O1585" s="104" t="str">
        <f t="shared" si="686"/>
        <v/>
      </c>
      <c r="P1585" s="105" t="str">
        <f t="shared" si="687"/>
        <v/>
      </c>
      <c r="Q1585" s="105" t="str">
        <f t="shared" si="702"/>
        <v/>
      </c>
      <c r="R1585" s="103" t="str">
        <f t="shared" si="688"/>
        <v/>
      </c>
      <c r="S1585" s="103" t="str">
        <f t="shared" si="689"/>
        <v/>
      </c>
      <c r="T1585" s="106" t="str">
        <f t="shared" si="703"/>
        <v/>
      </c>
      <c r="U1585" s="106" t="str">
        <f t="shared" si="704"/>
        <v/>
      </c>
      <c r="V1585" s="106" t="str">
        <f t="shared" si="705"/>
        <v/>
      </c>
      <c r="W1585" s="105" t="str">
        <f t="shared" si="690"/>
        <v/>
      </c>
      <c r="X1585" s="104" t="str">
        <f t="shared" si="695"/>
        <v/>
      </c>
      <c r="Y1585" s="104" t="str">
        <f t="array" ref="Y1585">IFERROR(IF(ISNUMBER(O1585),IF(COUNT(IF(A1585=$A$2:$A$2427,IF(D1585=$D$2:$D$2427,IF($X$2:$X$2427&gt;0,1))))&gt;0,SUM(IF(A1585=$A$2:$A$2427,IF(D1585=$D$2:$D$2427,$X$2:$X$2427)))/COUNT(IF(A1585=$A$2:$A$2427,IF(D1585=$D$2:$D$2427,IF(ISNUMBER($X$2:$X$2427),1)))),0),""),0)</f>
        <v/>
      </c>
      <c r="Z1585" s="104" t="str">
        <f>IF(ISNUMBER(O1585),IF(I1585&gt;0,(10^(VLOOKUP(D1585,'Species Codes'!B:C,2,0)+VLOOKUP(D1585,'Species Codes'!B:D,3,0)*LOG(E1585)+VLOOKUP(D1585,'Species Codes'!B:E,4,0)*LOG(I1585))),0),"")</f>
        <v/>
      </c>
      <c r="AA1585" s="104" t="str">
        <f>IFERROR((VLOOKUP(D1585,'Species Codes'!B:G,6,0)*Z1585)/2000,"")</f>
        <v/>
      </c>
      <c r="AB1585" s="104" t="e">
        <f>IF(Z1585&gt;0,((IF(OR(D1585="DF",D1585="RA")=TRUE,EXP(VLOOKUP(D1585,'Species Codes'!B:I,8,0)+VLOOKUP(D1585,'Species Codes'!B:J,9,0)*(LN((E1585*2.54)))),IF(OR(D1585="PY",D1585="RC",D1585="WH",D1585="NF")=TRUE,VLOOKUP(D1585,'Species Codes'!B:I,8,0)+VLOOKUP(D1585,'Species Codes'!B:J,9,0)*((E1585*2.54)^2)*(I1585*0.3048),IF(OR(D1585="MD",D1585="BM",D1585="GA")=TRUE,((VLOOKUP(D1585,'Species Codes'!B:I,8,0)*(((((E1585*2.54)+VLOOKUP(D1585,'Species Codes'!B:J,9,0))/VLOOKUP(D1585,'Species Codes'!B:K,10,0))^VLOOKUP(D1585,'Species Codes'!B:L,11,0))*((I1585*0.3048)^VLOOKUP(D1585,'Species Codes'!B:M,12,0))))-(VLOOKUP(D1585,'Species Codes'!B:I,8,0)*((((E1585*2.54)^VLOOKUP(D1585,'Species Codes'!B:L,11,0))*((I1585*0.3048)^VLOOKUP(D1585,'Species Codes'!B:M,12,0))))))*35.3*VLOOKUP(D1585,'Species Codes'!B:G,6,0)/2.2046,VLOOKUP(D1585,'Species Codes'!B:I,8,0)+VLOOKUP(D1585,'Species Codes'!B:J,9,0)*(((E1585*2.54)/100)^2)*(I1585*0.3048)))))*0.0011023),0)</f>
        <v>#N/A</v>
      </c>
      <c r="AC1585" s="104" t="e">
        <f>IF(Z1585&gt;0,((IF(OR(D1585="RA",D1585="OA",D1585="OT",D1585="UN",D1585="PC"),EXP(VLOOKUP(D1585,'Species Codes'!B:O,14,0)+VLOOKUP(D1585,'Species Codes'!B:P,15,0)*LN((E1585*2.54)))-EXP(VLOOKUP(D1585,'Species Codes'!B:O,14,0)+VLOOKUP(D1585,'Species Codes'!B:P,15,0)*LN((E1585*2.54)))*(1/(VLOOKUP(D1585,'Species Codes'!B:Q,16,0)+VLOOKUP(D1585,'Species Codes'!B:R,17,0)*((E1585*2.54)^VLOOKUP(D1585,'Species Codes'!B:S,18,0)))),IF(OR(D1585="BM",D1585="MD",D1585="OA"),EXP(VLOOKUP(D1585,'Species Codes'!B:O,14,0)+VLOOKUP(D1585,'Species Codes'!B:P,15,0)*LN((E1585*2.54)))*(1-(1/(VLOOKUP(D1585,'Species Codes'!B:Q,16,0)+VLOOKUP(D1585,'Species Codes'!B:R,17,0)*((E1585*2.54)^VLOOKUP(D1585,'Species Codes'!B:S,18,0)))))/1000,IF(D1585="DF",EXP(VLOOKUP(D1585,'Species Codes'!B:O,14,0)+VLOOKUP(D1585,'Species Codes'!B:P,15,0)*LN((E1585*2.54))),VLOOKUP(D1585,'Species Codes'!B:O,14,0)+VLOOKUP(D1585,'Species Codes'!B:P,15,0)*(((E1585*2.54)/100)^2)*(I1585*0.3048)))))*0.0011023),0)</f>
        <v>#N/A</v>
      </c>
      <c r="AD1585" s="104" t="e">
        <f t="shared" si="706"/>
        <v>#N/A</v>
      </c>
      <c r="AE1585" s="104" t="e">
        <f t="shared" si="707"/>
        <v>#N/A</v>
      </c>
      <c r="AF1585" s="104" t="e">
        <f>IF(AND(VLOOKUP($D1585,Merchantability!$B:$C,2,0)="Yes",$E1585&gt;=VLOOKUP($D1585,Merchantability!$B:$D,3,0),$E1585&lt;=VLOOKUP($D1585,Merchantability!$B:$E,4,0)),AA1585,0)</f>
        <v>#N/A</v>
      </c>
      <c r="AG1585" s="104" t="e">
        <f>IF(AND(VLOOKUP($D1585,Merchantability!$B:$C,2,0)="Yes",$E1585&gt;=VLOOKUP($D1585,Merchantability!$B:$D,3,0),$E1585&lt;=VLOOKUP($D1585,Merchantability!$B:$E,4,0)),AB1585,0)</f>
        <v>#N/A</v>
      </c>
      <c r="AH1585" s="104" t="e">
        <f>IF(AND(VLOOKUP($D1585,Merchantability!$B:$C,2,0)="Yes",$E1585&gt;=VLOOKUP($D1585,Merchantability!$B:$D,3,0),$E1585&lt;=VLOOKUP($D1585,Merchantability!$B:$E,4,0)),AC1585,0)</f>
        <v>#N/A</v>
      </c>
      <c r="AI1585" s="104" t="e">
        <f t="shared" si="708"/>
        <v>#N/A</v>
      </c>
      <c r="AJ1585" s="104" t="e">
        <f t="shared" si="709"/>
        <v>#VALUE!</v>
      </c>
      <c r="AK1585" s="104" t="e">
        <f t="shared" si="710"/>
        <v>#N/A</v>
      </c>
      <c r="AL1585" s="104" t="e">
        <f t="shared" si="711"/>
        <v>#N/A</v>
      </c>
      <c r="AM1585" s="104" t="e">
        <f t="shared" si="712"/>
        <v>#N/A</v>
      </c>
      <c r="AN1585" s="104" t="e">
        <f t="shared" si="696"/>
        <v>#N/A</v>
      </c>
      <c r="AO1585" s="104" t="e">
        <f t="shared" si="697"/>
        <v>#N/A</v>
      </c>
      <c r="AP1585" s="104" t="e">
        <f t="shared" si="698"/>
        <v>#N/A</v>
      </c>
      <c r="AQ1585" s="104" t="e">
        <f t="shared" si="699"/>
        <v>#N/A</v>
      </c>
      <c r="AR1585" s="105" t="str">
        <f t="shared" si="691"/>
        <v/>
      </c>
      <c r="AS1585" s="105" t="str">
        <f t="shared" si="692"/>
        <v/>
      </c>
      <c r="AT1585" s="108" t="str">
        <f t="shared" si="693"/>
        <v/>
      </c>
      <c r="AU1585" s="108" t="str">
        <f t="shared" si="694"/>
        <v/>
      </c>
      <c r="AV1585" s="107" t="str">
        <f>IF(ISNUMBER(O1585),IF(VLOOKUP($A1585,Stand!C:J,8,FALSE)="Short",AT1585,AU1585),"")</f>
        <v/>
      </c>
      <c r="AW1585" s="109" t="str">
        <f t="shared" si="700"/>
        <v/>
      </c>
      <c r="AX1585" s="109" t="str">
        <f t="shared" si="701"/>
        <v/>
      </c>
      <c r="AY1585" s="112" t="str">
        <f>IF(ISNUMBER(O1585),IF(AND(VLOOKUP($D1585,Merchantability!$B:$C,2,0)="Yes",$E1585&gt;=VLOOKUP($D1585,Merchantability!$B:$D,3,0),$E1585&lt;=VLOOKUP($D1585,Merchantability!$B:$E,4,0)),(AV1585*O1585)*(1-$H1585/100),""),"")</f>
        <v/>
      </c>
      <c r="AZ1585" s="116"/>
      <c r="BA1585" s="116"/>
      <c r="BB1585" s="116"/>
      <c r="BE1585" s="62"/>
      <c r="BF1585" s="63"/>
    </row>
    <row r="1586" spans="1:58" ht="12.75" customHeight="1" x14ac:dyDescent="0.25">
      <c r="A1586" s="333"/>
      <c r="B1586" s="334"/>
      <c r="C1586" s="332"/>
      <c r="D1586" s="334"/>
      <c r="E1586" s="335"/>
      <c r="F1586" s="334"/>
      <c r="G1586" s="332"/>
      <c r="H1586" s="332"/>
      <c r="I1586" s="334"/>
      <c r="J1586" s="336"/>
      <c r="K1586" s="332"/>
      <c r="L1586" s="332"/>
      <c r="M1586" s="76"/>
      <c r="N1586" s="103" t="str">
        <f>IF(A1586="","",VLOOKUP(A1586,Stand!C:K,9,0))</f>
        <v/>
      </c>
      <c r="O1586" s="104" t="str">
        <f t="shared" si="686"/>
        <v/>
      </c>
      <c r="P1586" s="105" t="str">
        <f t="shared" si="687"/>
        <v/>
      </c>
      <c r="Q1586" s="105" t="str">
        <f t="shared" si="702"/>
        <v/>
      </c>
      <c r="R1586" s="103" t="str">
        <f t="shared" si="688"/>
        <v/>
      </c>
      <c r="S1586" s="103" t="str">
        <f t="shared" si="689"/>
        <v/>
      </c>
      <c r="T1586" s="106" t="str">
        <f t="shared" si="703"/>
        <v/>
      </c>
      <c r="U1586" s="106" t="str">
        <f t="shared" si="704"/>
        <v/>
      </c>
      <c r="V1586" s="106" t="str">
        <f t="shared" si="705"/>
        <v/>
      </c>
      <c r="W1586" s="105" t="str">
        <f t="shared" si="690"/>
        <v/>
      </c>
      <c r="X1586" s="104" t="str">
        <f t="shared" si="695"/>
        <v/>
      </c>
      <c r="Y1586" s="104" t="str">
        <f t="array" ref="Y1586">IFERROR(IF(ISNUMBER(O1586),IF(COUNT(IF(A1586=$A$2:$A$2427,IF(D1586=$D$2:$D$2427,IF($X$2:$X$2427&gt;0,1))))&gt;0,SUM(IF(A1586=$A$2:$A$2427,IF(D1586=$D$2:$D$2427,$X$2:$X$2427)))/COUNT(IF(A1586=$A$2:$A$2427,IF(D1586=$D$2:$D$2427,IF(ISNUMBER($X$2:$X$2427),1)))),0),""),0)</f>
        <v/>
      </c>
      <c r="Z1586" s="104" t="str">
        <f>IF(ISNUMBER(O1586),IF(I1586&gt;0,(10^(VLOOKUP(D1586,'Species Codes'!B:C,2,0)+VLOOKUP(D1586,'Species Codes'!B:D,3,0)*LOG(E1586)+VLOOKUP(D1586,'Species Codes'!B:E,4,0)*LOG(I1586))),0),"")</f>
        <v/>
      </c>
      <c r="AA1586" s="104" t="str">
        <f>IFERROR((VLOOKUP(D1586,'Species Codes'!B:G,6,0)*Z1586)/2000,"")</f>
        <v/>
      </c>
      <c r="AB1586" s="104" t="e">
        <f>IF(Z1586&gt;0,((IF(OR(D1586="DF",D1586="RA")=TRUE,EXP(VLOOKUP(D1586,'Species Codes'!B:I,8,0)+VLOOKUP(D1586,'Species Codes'!B:J,9,0)*(LN((E1586*2.54)))),IF(OR(D1586="PY",D1586="RC",D1586="WH",D1586="NF")=TRUE,VLOOKUP(D1586,'Species Codes'!B:I,8,0)+VLOOKUP(D1586,'Species Codes'!B:J,9,0)*((E1586*2.54)^2)*(I1586*0.3048),IF(OR(D1586="MD",D1586="BM",D1586="GA")=TRUE,((VLOOKUP(D1586,'Species Codes'!B:I,8,0)*(((((E1586*2.54)+VLOOKUP(D1586,'Species Codes'!B:J,9,0))/VLOOKUP(D1586,'Species Codes'!B:K,10,0))^VLOOKUP(D1586,'Species Codes'!B:L,11,0))*((I1586*0.3048)^VLOOKUP(D1586,'Species Codes'!B:M,12,0))))-(VLOOKUP(D1586,'Species Codes'!B:I,8,0)*((((E1586*2.54)^VLOOKUP(D1586,'Species Codes'!B:L,11,0))*((I1586*0.3048)^VLOOKUP(D1586,'Species Codes'!B:M,12,0))))))*35.3*VLOOKUP(D1586,'Species Codes'!B:G,6,0)/2.2046,VLOOKUP(D1586,'Species Codes'!B:I,8,0)+VLOOKUP(D1586,'Species Codes'!B:J,9,0)*(((E1586*2.54)/100)^2)*(I1586*0.3048)))))*0.0011023),0)</f>
        <v>#N/A</v>
      </c>
      <c r="AC1586" s="104" t="e">
        <f>IF(Z1586&gt;0,((IF(OR(D1586="RA",D1586="OA",D1586="OT",D1586="UN",D1586="PC"),EXP(VLOOKUP(D1586,'Species Codes'!B:O,14,0)+VLOOKUP(D1586,'Species Codes'!B:P,15,0)*LN((E1586*2.54)))-EXP(VLOOKUP(D1586,'Species Codes'!B:O,14,0)+VLOOKUP(D1586,'Species Codes'!B:P,15,0)*LN((E1586*2.54)))*(1/(VLOOKUP(D1586,'Species Codes'!B:Q,16,0)+VLOOKUP(D1586,'Species Codes'!B:R,17,0)*((E1586*2.54)^VLOOKUP(D1586,'Species Codes'!B:S,18,0)))),IF(OR(D1586="BM",D1586="MD",D1586="OA"),EXP(VLOOKUP(D1586,'Species Codes'!B:O,14,0)+VLOOKUP(D1586,'Species Codes'!B:P,15,0)*LN((E1586*2.54)))*(1-(1/(VLOOKUP(D1586,'Species Codes'!B:Q,16,0)+VLOOKUP(D1586,'Species Codes'!B:R,17,0)*((E1586*2.54)^VLOOKUP(D1586,'Species Codes'!B:S,18,0)))))/1000,IF(D1586="DF",EXP(VLOOKUP(D1586,'Species Codes'!B:O,14,0)+VLOOKUP(D1586,'Species Codes'!B:P,15,0)*LN((E1586*2.54))),VLOOKUP(D1586,'Species Codes'!B:O,14,0)+VLOOKUP(D1586,'Species Codes'!B:P,15,0)*(((E1586*2.54)/100)^2)*(I1586*0.3048)))))*0.0011023),0)</f>
        <v>#N/A</v>
      </c>
      <c r="AD1586" s="104" t="e">
        <f t="shared" si="706"/>
        <v>#N/A</v>
      </c>
      <c r="AE1586" s="104" t="e">
        <f t="shared" si="707"/>
        <v>#N/A</v>
      </c>
      <c r="AF1586" s="104" t="e">
        <f>IF(AND(VLOOKUP($D1586,Merchantability!$B:$C,2,0)="Yes",$E1586&gt;=VLOOKUP($D1586,Merchantability!$B:$D,3,0),$E1586&lt;=VLOOKUP($D1586,Merchantability!$B:$E,4,0)),AA1586,0)</f>
        <v>#N/A</v>
      </c>
      <c r="AG1586" s="104" t="e">
        <f>IF(AND(VLOOKUP($D1586,Merchantability!$B:$C,2,0)="Yes",$E1586&gt;=VLOOKUP($D1586,Merchantability!$B:$D,3,0),$E1586&lt;=VLOOKUP($D1586,Merchantability!$B:$E,4,0)),AB1586,0)</f>
        <v>#N/A</v>
      </c>
      <c r="AH1586" s="104" t="e">
        <f>IF(AND(VLOOKUP($D1586,Merchantability!$B:$C,2,0)="Yes",$E1586&gt;=VLOOKUP($D1586,Merchantability!$B:$D,3,0),$E1586&lt;=VLOOKUP($D1586,Merchantability!$B:$E,4,0)),AC1586,0)</f>
        <v>#N/A</v>
      </c>
      <c r="AI1586" s="104" t="e">
        <f t="shared" si="708"/>
        <v>#N/A</v>
      </c>
      <c r="AJ1586" s="104" t="e">
        <f t="shared" si="709"/>
        <v>#VALUE!</v>
      </c>
      <c r="AK1586" s="104" t="e">
        <f t="shared" si="710"/>
        <v>#N/A</v>
      </c>
      <c r="AL1586" s="104" t="e">
        <f t="shared" si="711"/>
        <v>#N/A</v>
      </c>
      <c r="AM1586" s="104" t="e">
        <f t="shared" si="712"/>
        <v>#N/A</v>
      </c>
      <c r="AN1586" s="104" t="e">
        <f t="shared" si="696"/>
        <v>#N/A</v>
      </c>
      <c r="AO1586" s="104" t="e">
        <f t="shared" si="697"/>
        <v>#N/A</v>
      </c>
      <c r="AP1586" s="104" t="e">
        <f t="shared" si="698"/>
        <v>#N/A</v>
      </c>
      <c r="AQ1586" s="104" t="e">
        <f t="shared" si="699"/>
        <v>#N/A</v>
      </c>
      <c r="AR1586" s="105" t="str">
        <f t="shared" si="691"/>
        <v/>
      </c>
      <c r="AS1586" s="105" t="str">
        <f t="shared" si="692"/>
        <v/>
      </c>
      <c r="AT1586" s="108" t="str">
        <f t="shared" si="693"/>
        <v/>
      </c>
      <c r="AU1586" s="108" t="str">
        <f t="shared" si="694"/>
        <v/>
      </c>
      <c r="AV1586" s="107" t="str">
        <f>IF(ISNUMBER(O1586),IF(VLOOKUP($A1586,Stand!C:J,8,FALSE)="Short",AT1586,AU1586),"")</f>
        <v/>
      </c>
      <c r="AW1586" s="109" t="str">
        <f t="shared" si="700"/>
        <v/>
      </c>
      <c r="AX1586" s="109" t="str">
        <f t="shared" si="701"/>
        <v/>
      </c>
      <c r="AY1586" s="112" t="str">
        <f>IF(ISNUMBER(O1586),IF(AND(VLOOKUP($D1586,Merchantability!$B:$C,2,0)="Yes",$E1586&gt;=VLOOKUP($D1586,Merchantability!$B:$D,3,0),$E1586&lt;=VLOOKUP($D1586,Merchantability!$B:$E,4,0)),(AV1586*O1586)*(1-$H1586/100),""),"")</f>
        <v/>
      </c>
      <c r="AZ1586" s="116"/>
      <c r="BA1586" s="116"/>
      <c r="BB1586" s="116"/>
      <c r="BE1586" s="62"/>
      <c r="BF1586" s="63"/>
    </row>
    <row r="1587" spans="1:58" ht="12.75" customHeight="1" x14ac:dyDescent="0.25">
      <c r="A1587" s="333"/>
      <c r="B1587" s="334"/>
      <c r="C1587" s="332"/>
      <c r="D1587" s="334"/>
      <c r="E1587" s="335"/>
      <c r="F1587" s="334"/>
      <c r="G1587" s="332"/>
      <c r="H1587" s="332"/>
      <c r="I1587" s="334"/>
      <c r="J1587" s="336"/>
      <c r="K1587" s="332"/>
      <c r="L1587" s="332"/>
      <c r="M1587" s="76"/>
      <c r="N1587" s="103" t="str">
        <f>IF(A1587="","",VLOOKUP(A1587,Stand!C:K,9,0))</f>
        <v/>
      </c>
      <c r="O1587" s="104" t="str">
        <f t="shared" si="686"/>
        <v/>
      </c>
      <c r="P1587" s="105" t="str">
        <f t="shared" si="687"/>
        <v/>
      </c>
      <c r="Q1587" s="105" t="str">
        <f t="shared" si="702"/>
        <v/>
      </c>
      <c r="R1587" s="103" t="str">
        <f t="shared" si="688"/>
        <v/>
      </c>
      <c r="S1587" s="103" t="str">
        <f t="shared" si="689"/>
        <v/>
      </c>
      <c r="T1587" s="106" t="str">
        <f t="shared" si="703"/>
        <v/>
      </c>
      <c r="U1587" s="106" t="str">
        <f t="shared" si="704"/>
        <v/>
      </c>
      <c r="V1587" s="106" t="str">
        <f t="shared" si="705"/>
        <v/>
      </c>
      <c r="W1587" s="105" t="str">
        <f t="shared" si="690"/>
        <v/>
      </c>
      <c r="X1587" s="104" t="str">
        <f t="shared" si="695"/>
        <v/>
      </c>
      <c r="Y1587" s="104" t="str">
        <f t="array" ref="Y1587">IFERROR(IF(ISNUMBER(O1587),IF(COUNT(IF(A1587=$A$2:$A$2427,IF(D1587=$D$2:$D$2427,IF($X$2:$X$2427&gt;0,1))))&gt;0,SUM(IF(A1587=$A$2:$A$2427,IF(D1587=$D$2:$D$2427,$X$2:$X$2427)))/COUNT(IF(A1587=$A$2:$A$2427,IF(D1587=$D$2:$D$2427,IF(ISNUMBER($X$2:$X$2427),1)))),0),""),0)</f>
        <v/>
      </c>
      <c r="Z1587" s="104" t="str">
        <f>IF(ISNUMBER(O1587),IF(I1587&gt;0,(10^(VLOOKUP(D1587,'Species Codes'!B:C,2,0)+VLOOKUP(D1587,'Species Codes'!B:D,3,0)*LOG(E1587)+VLOOKUP(D1587,'Species Codes'!B:E,4,0)*LOG(I1587))),0),"")</f>
        <v/>
      </c>
      <c r="AA1587" s="104" t="str">
        <f>IFERROR((VLOOKUP(D1587,'Species Codes'!B:G,6,0)*Z1587)/2000,"")</f>
        <v/>
      </c>
      <c r="AB1587" s="104" t="e">
        <f>IF(Z1587&gt;0,((IF(OR(D1587="DF",D1587="RA")=TRUE,EXP(VLOOKUP(D1587,'Species Codes'!B:I,8,0)+VLOOKUP(D1587,'Species Codes'!B:J,9,0)*(LN((E1587*2.54)))),IF(OR(D1587="PY",D1587="RC",D1587="WH",D1587="NF")=TRUE,VLOOKUP(D1587,'Species Codes'!B:I,8,0)+VLOOKUP(D1587,'Species Codes'!B:J,9,0)*((E1587*2.54)^2)*(I1587*0.3048),IF(OR(D1587="MD",D1587="BM",D1587="GA")=TRUE,((VLOOKUP(D1587,'Species Codes'!B:I,8,0)*(((((E1587*2.54)+VLOOKUP(D1587,'Species Codes'!B:J,9,0))/VLOOKUP(D1587,'Species Codes'!B:K,10,0))^VLOOKUP(D1587,'Species Codes'!B:L,11,0))*((I1587*0.3048)^VLOOKUP(D1587,'Species Codes'!B:M,12,0))))-(VLOOKUP(D1587,'Species Codes'!B:I,8,0)*((((E1587*2.54)^VLOOKUP(D1587,'Species Codes'!B:L,11,0))*((I1587*0.3048)^VLOOKUP(D1587,'Species Codes'!B:M,12,0))))))*35.3*VLOOKUP(D1587,'Species Codes'!B:G,6,0)/2.2046,VLOOKUP(D1587,'Species Codes'!B:I,8,0)+VLOOKUP(D1587,'Species Codes'!B:J,9,0)*(((E1587*2.54)/100)^2)*(I1587*0.3048)))))*0.0011023),0)</f>
        <v>#N/A</v>
      </c>
      <c r="AC1587" s="104" t="e">
        <f>IF(Z1587&gt;0,((IF(OR(D1587="RA",D1587="OA",D1587="OT",D1587="UN",D1587="PC"),EXP(VLOOKUP(D1587,'Species Codes'!B:O,14,0)+VLOOKUP(D1587,'Species Codes'!B:P,15,0)*LN((E1587*2.54)))-EXP(VLOOKUP(D1587,'Species Codes'!B:O,14,0)+VLOOKUP(D1587,'Species Codes'!B:P,15,0)*LN((E1587*2.54)))*(1/(VLOOKUP(D1587,'Species Codes'!B:Q,16,0)+VLOOKUP(D1587,'Species Codes'!B:R,17,0)*((E1587*2.54)^VLOOKUP(D1587,'Species Codes'!B:S,18,0)))),IF(OR(D1587="BM",D1587="MD",D1587="OA"),EXP(VLOOKUP(D1587,'Species Codes'!B:O,14,0)+VLOOKUP(D1587,'Species Codes'!B:P,15,0)*LN((E1587*2.54)))*(1-(1/(VLOOKUP(D1587,'Species Codes'!B:Q,16,0)+VLOOKUP(D1587,'Species Codes'!B:R,17,0)*((E1587*2.54)^VLOOKUP(D1587,'Species Codes'!B:S,18,0)))))/1000,IF(D1587="DF",EXP(VLOOKUP(D1587,'Species Codes'!B:O,14,0)+VLOOKUP(D1587,'Species Codes'!B:P,15,0)*LN((E1587*2.54))),VLOOKUP(D1587,'Species Codes'!B:O,14,0)+VLOOKUP(D1587,'Species Codes'!B:P,15,0)*(((E1587*2.54)/100)^2)*(I1587*0.3048)))))*0.0011023),0)</f>
        <v>#N/A</v>
      </c>
      <c r="AD1587" s="104" t="e">
        <f t="shared" si="706"/>
        <v>#N/A</v>
      </c>
      <c r="AE1587" s="104" t="e">
        <f t="shared" si="707"/>
        <v>#N/A</v>
      </c>
      <c r="AF1587" s="104" t="e">
        <f>IF(AND(VLOOKUP($D1587,Merchantability!$B:$C,2,0)="Yes",$E1587&gt;=VLOOKUP($D1587,Merchantability!$B:$D,3,0),$E1587&lt;=VLOOKUP($D1587,Merchantability!$B:$E,4,0)),AA1587,0)</f>
        <v>#N/A</v>
      </c>
      <c r="AG1587" s="104" t="e">
        <f>IF(AND(VLOOKUP($D1587,Merchantability!$B:$C,2,0)="Yes",$E1587&gt;=VLOOKUP($D1587,Merchantability!$B:$D,3,0),$E1587&lt;=VLOOKUP($D1587,Merchantability!$B:$E,4,0)),AB1587,0)</f>
        <v>#N/A</v>
      </c>
      <c r="AH1587" s="104" t="e">
        <f>IF(AND(VLOOKUP($D1587,Merchantability!$B:$C,2,0)="Yes",$E1587&gt;=VLOOKUP($D1587,Merchantability!$B:$D,3,0),$E1587&lt;=VLOOKUP($D1587,Merchantability!$B:$E,4,0)),AC1587,0)</f>
        <v>#N/A</v>
      </c>
      <c r="AI1587" s="104" t="e">
        <f t="shared" si="708"/>
        <v>#N/A</v>
      </c>
      <c r="AJ1587" s="104" t="e">
        <f t="shared" si="709"/>
        <v>#VALUE!</v>
      </c>
      <c r="AK1587" s="104" t="e">
        <f t="shared" si="710"/>
        <v>#N/A</v>
      </c>
      <c r="AL1587" s="104" t="e">
        <f t="shared" si="711"/>
        <v>#N/A</v>
      </c>
      <c r="AM1587" s="104" t="e">
        <f t="shared" si="712"/>
        <v>#N/A</v>
      </c>
      <c r="AN1587" s="104" t="e">
        <f t="shared" si="696"/>
        <v>#N/A</v>
      </c>
      <c r="AO1587" s="104" t="e">
        <f t="shared" si="697"/>
        <v>#N/A</v>
      </c>
      <c r="AP1587" s="104" t="e">
        <f t="shared" si="698"/>
        <v>#N/A</v>
      </c>
      <c r="AQ1587" s="104" t="e">
        <f t="shared" si="699"/>
        <v>#N/A</v>
      </c>
      <c r="AR1587" s="105" t="str">
        <f t="shared" si="691"/>
        <v/>
      </c>
      <c r="AS1587" s="105" t="str">
        <f t="shared" si="692"/>
        <v/>
      </c>
      <c r="AT1587" s="108" t="str">
        <f t="shared" si="693"/>
        <v/>
      </c>
      <c r="AU1587" s="108" t="str">
        <f t="shared" si="694"/>
        <v/>
      </c>
      <c r="AV1587" s="107" t="str">
        <f>IF(ISNUMBER(O1587),IF(VLOOKUP($A1587,Stand!C:J,8,FALSE)="Short",AT1587,AU1587),"")</f>
        <v/>
      </c>
      <c r="AW1587" s="109" t="str">
        <f t="shared" si="700"/>
        <v/>
      </c>
      <c r="AX1587" s="109" t="str">
        <f t="shared" si="701"/>
        <v/>
      </c>
      <c r="AY1587" s="112" t="str">
        <f>IF(ISNUMBER(O1587),IF(AND(VLOOKUP($D1587,Merchantability!$B:$C,2,0)="Yes",$E1587&gt;=VLOOKUP($D1587,Merchantability!$B:$D,3,0),$E1587&lt;=VLOOKUP($D1587,Merchantability!$B:$E,4,0)),(AV1587*O1587)*(1-$H1587/100),""),"")</f>
        <v/>
      </c>
      <c r="AZ1587" s="116"/>
      <c r="BA1587" s="116"/>
      <c r="BB1587" s="116"/>
      <c r="BE1587" s="62"/>
      <c r="BF1587" s="63"/>
    </row>
    <row r="1588" spans="1:58" ht="12.75" customHeight="1" x14ac:dyDescent="0.25">
      <c r="A1588" s="333"/>
      <c r="B1588" s="334"/>
      <c r="C1588" s="332"/>
      <c r="D1588" s="334"/>
      <c r="E1588" s="335"/>
      <c r="F1588" s="334"/>
      <c r="G1588" s="332"/>
      <c r="H1588" s="332"/>
      <c r="I1588" s="334"/>
      <c r="J1588" s="336"/>
      <c r="K1588" s="332"/>
      <c r="L1588" s="332"/>
      <c r="M1588" s="76"/>
      <c r="N1588" s="103" t="str">
        <f>IF(A1588="","",VLOOKUP(A1588,Stand!C:K,9,0))</f>
        <v/>
      </c>
      <c r="O1588" s="104" t="str">
        <f t="shared" si="686"/>
        <v/>
      </c>
      <c r="P1588" s="105" t="str">
        <f t="shared" si="687"/>
        <v/>
      </c>
      <c r="Q1588" s="105" t="str">
        <f t="shared" si="702"/>
        <v/>
      </c>
      <c r="R1588" s="103" t="str">
        <f t="shared" si="688"/>
        <v/>
      </c>
      <c r="S1588" s="103" t="str">
        <f t="shared" si="689"/>
        <v/>
      </c>
      <c r="T1588" s="106" t="str">
        <f t="shared" si="703"/>
        <v/>
      </c>
      <c r="U1588" s="106" t="str">
        <f t="shared" si="704"/>
        <v/>
      </c>
      <c r="V1588" s="106" t="str">
        <f t="shared" si="705"/>
        <v/>
      </c>
      <c r="W1588" s="105" t="str">
        <f t="shared" si="690"/>
        <v/>
      </c>
      <c r="X1588" s="104" t="str">
        <f t="shared" si="695"/>
        <v/>
      </c>
      <c r="Y1588" s="104" t="str">
        <f t="array" ref="Y1588">IFERROR(IF(ISNUMBER(O1588),IF(COUNT(IF(A1588=$A$2:$A$2427,IF(D1588=$D$2:$D$2427,IF($X$2:$X$2427&gt;0,1))))&gt;0,SUM(IF(A1588=$A$2:$A$2427,IF(D1588=$D$2:$D$2427,$X$2:$X$2427)))/COUNT(IF(A1588=$A$2:$A$2427,IF(D1588=$D$2:$D$2427,IF(ISNUMBER($X$2:$X$2427),1)))),0),""),0)</f>
        <v/>
      </c>
      <c r="Z1588" s="104" t="str">
        <f>IF(ISNUMBER(O1588),IF(I1588&gt;0,(10^(VLOOKUP(D1588,'Species Codes'!B:C,2,0)+VLOOKUP(D1588,'Species Codes'!B:D,3,0)*LOG(E1588)+VLOOKUP(D1588,'Species Codes'!B:E,4,0)*LOG(I1588))),0),"")</f>
        <v/>
      </c>
      <c r="AA1588" s="104" t="str">
        <f>IFERROR((VLOOKUP(D1588,'Species Codes'!B:G,6,0)*Z1588)/2000,"")</f>
        <v/>
      </c>
      <c r="AB1588" s="104" t="e">
        <f>IF(Z1588&gt;0,((IF(OR(D1588="DF",D1588="RA")=TRUE,EXP(VLOOKUP(D1588,'Species Codes'!B:I,8,0)+VLOOKUP(D1588,'Species Codes'!B:J,9,0)*(LN((E1588*2.54)))),IF(OR(D1588="PY",D1588="RC",D1588="WH",D1588="NF")=TRUE,VLOOKUP(D1588,'Species Codes'!B:I,8,0)+VLOOKUP(D1588,'Species Codes'!B:J,9,0)*((E1588*2.54)^2)*(I1588*0.3048),IF(OR(D1588="MD",D1588="BM",D1588="GA")=TRUE,((VLOOKUP(D1588,'Species Codes'!B:I,8,0)*(((((E1588*2.54)+VLOOKUP(D1588,'Species Codes'!B:J,9,0))/VLOOKUP(D1588,'Species Codes'!B:K,10,0))^VLOOKUP(D1588,'Species Codes'!B:L,11,0))*((I1588*0.3048)^VLOOKUP(D1588,'Species Codes'!B:M,12,0))))-(VLOOKUP(D1588,'Species Codes'!B:I,8,0)*((((E1588*2.54)^VLOOKUP(D1588,'Species Codes'!B:L,11,0))*((I1588*0.3048)^VLOOKUP(D1588,'Species Codes'!B:M,12,0))))))*35.3*VLOOKUP(D1588,'Species Codes'!B:G,6,0)/2.2046,VLOOKUP(D1588,'Species Codes'!B:I,8,0)+VLOOKUP(D1588,'Species Codes'!B:J,9,0)*(((E1588*2.54)/100)^2)*(I1588*0.3048)))))*0.0011023),0)</f>
        <v>#N/A</v>
      </c>
      <c r="AC1588" s="104" t="e">
        <f>IF(Z1588&gt;0,((IF(OR(D1588="RA",D1588="OA",D1588="OT",D1588="UN",D1588="PC"),EXP(VLOOKUP(D1588,'Species Codes'!B:O,14,0)+VLOOKUP(D1588,'Species Codes'!B:P,15,0)*LN((E1588*2.54)))-EXP(VLOOKUP(D1588,'Species Codes'!B:O,14,0)+VLOOKUP(D1588,'Species Codes'!B:P,15,0)*LN((E1588*2.54)))*(1/(VLOOKUP(D1588,'Species Codes'!B:Q,16,0)+VLOOKUP(D1588,'Species Codes'!B:R,17,0)*((E1588*2.54)^VLOOKUP(D1588,'Species Codes'!B:S,18,0)))),IF(OR(D1588="BM",D1588="MD",D1588="OA"),EXP(VLOOKUP(D1588,'Species Codes'!B:O,14,0)+VLOOKUP(D1588,'Species Codes'!B:P,15,0)*LN((E1588*2.54)))*(1-(1/(VLOOKUP(D1588,'Species Codes'!B:Q,16,0)+VLOOKUP(D1588,'Species Codes'!B:R,17,0)*((E1588*2.54)^VLOOKUP(D1588,'Species Codes'!B:S,18,0)))))/1000,IF(D1588="DF",EXP(VLOOKUP(D1588,'Species Codes'!B:O,14,0)+VLOOKUP(D1588,'Species Codes'!B:P,15,0)*LN((E1588*2.54))),VLOOKUP(D1588,'Species Codes'!B:O,14,0)+VLOOKUP(D1588,'Species Codes'!B:P,15,0)*(((E1588*2.54)/100)^2)*(I1588*0.3048)))))*0.0011023),0)</f>
        <v>#N/A</v>
      </c>
      <c r="AD1588" s="104" t="e">
        <f t="shared" si="706"/>
        <v>#N/A</v>
      </c>
      <c r="AE1588" s="104" t="e">
        <f t="shared" si="707"/>
        <v>#N/A</v>
      </c>
      <c r="AF1588" s="104" t="e">
        <f>IF(AND(VLOOKUP($D1588,Merchantability!$B:$C,2,0)="Yes",$E1588&gt;=VLOOKUP($D1588,Merchantability!$B:$D,3,0),$E1588&lt;=VLOOKUP($D1588,Merchantability!$B:$E,4,0)),AA1588,0)</f>
        <v>#N/A</v>
      </c>
      <c r="AG1588" s="104" t="e">
        <f>IF(AND(VLOOKUP($D1588,Merchantability!$B:$C,2,0)="Yes",$E1588&gt;=VLOOKUP($D1588,Merchantability!$B:$D,3,0),$E1588&lt;=VLOOKUP($D1588,Merchantability!$B:$E,4,0)),AB1588,0)</f>
        <v>#N/A</v>
      </c>
      <c r="AH1588" s="104" t="e">
        <f>IF(AND(VLOOKUP($D1588,Merchantability!$B:$C,2,0)="Yes",$E1588&gt;=VLOOKUP($D1588,Merchantability!$B:$D,3,0),$E1588&lt;=VLOOKUP($D1588,Merchantability!$B:$E,4,0)),AC1588,0)</f>
        <v>#N/A</v>
      </c>
      <c r="AI1588" s="104" t="e">
        <f t="shared" si="708"/>
        <v>#N/A</v>
      </c>
      <c r="AJ1588" s="104" t="e">
        <f t="shared" si="709"/>
        <v>#VALUE!</v>
      </c>
      <c r="AK1588" s="104" t="e">
        <f t="shared" si="710"/>
        <v>#N/A</v>
      </c>
      <c r="AL1588" s="104" t="e">
        <f t="shared" si="711"/>
        <v>#N/A</v>
      </c>
      <c r="AM1588" s="104" t="e">
        <f t="shared" si="712"/>
        <v>#N/A</v>
      </c>
      <c r="AN1588" s="104" t="e">
        <f t="shared" si="696"/>
        <v>#N/A</v>
      </c>
      <c r="AO1588" s="104" t="e">
        <f t="shared" si="697"/>
        <v>#N/A</v>
      </c>
      <c r="AP1588" s="104" t="e">
        <f t="shared" si="698"/>
        <v>#N/A</v>
      </c>
      <c r="AQ1588" s="104" t="e">
        <f t="shared" si="699"/>
        <v>#N/A</v>
      </c>
      <c r="AR1588" s="105" t="str">
        <f t="shared" si="691"/>
        <v/>
      </c>
      <c r="AS1588" s="105" t="str">
        <f t="shared" si="692"/>
        <v/>
      </c>
      <c r="AT1588" s="108" t="str">
        <f t="shared" si="693"/>
        <v/>
      </c>
      <c r="AU1588" s="108" t="str">
        <f t="shared" si="694"/>
        <v/>
      </c>
      <c r="AV1588" s="107" t="str">
        <f>IF(ISNUMBER(O1588),IF(VLOOKUP($A1588,Stand!C:J,8,FALSE)="Short",AT1588,AU1588),"")</f>
        <v/>
      </c>
      <c r="AW1588" s="109" t="str">
        <f t="shared" si="700"/>
        <v/>
      </c>
      <c r="AX1588" s="109" t="str">
        <f t="shared" si="701"/>
        <v/>
      </c>
      <c r="AY1588" s="112" t="str">
        <f>IF(ISNUMBER(O1588),IF(AND(VLOOKUP($D1588,Merchantability!$B:$C,2,0)="Yes",$E1588&gt;=VLOOKUP($D1588,Merchantability!$B:$D,3,0),$E1588&lt;=VLOOKUP($D1588,Merchantability!$B:$E,4,0)),(AV1588*O1588)*(1-$H1588/100),""),"")</f>
        <v/>
      </c>
      <c r="AZ1588" s="116"/>
      <c r="BA1588" s="116"/>
      <c r="BB1588" s="116"/>
      <c r="BE1588" s="62"/>
      <c r="BF1588" s="63"/>
    </row>
    <row r="1589" spans="1:58" ht="12.75" customHeight="1" x14ac:dyDescent="0.25">
      <c r="A1589" s="333"/>
      <c r="B1589" s="334"/>
      <c r="C1589" s="332"/>
      <c r="D1589" s="334"/>
      <c r="E1589" s="335"/>
      <c r="F1589" s="334"/>
      <c r="G1589" s="332"/>
      <c r="H1589" s="332"/>
      <c r="I1589" s="334"/>
      <c r="J1589" s="336"/>
      <c r="K1589" s="332"/>
      <c r="L1589" s="332"/>
      <c r="M1589" s="76"/>
      <c r="N1589" s="103" t="str">
        <f>IF(A1589="","",VLOOKUP(A1589,Stand!C:K,9,0))</f>
        <v/>
      </c>
      <c r="O1589" s="104" t="str">
        <f t="shared" si="686"/>
        <v/>
      </c>
      <c r="P1589" s="105" t="str">
        <f t="shared" si="687"/>
        <v/>
      </c>
      <c r="Q1589" s="105" t="str">
        <f t="shared" si="702"/>
        <v/>
      </c>
      <c r="R1589" s="103" t="str">
        <f t="shared" si="688"/>
        <v/>
      </c>
      <c r="S1589" s="103" t="str">
        <f t="shared" si="689"/>
        <v/>
      </c>
      <c r="T1589" s="106" t="str">
        <f t="shared" si="703"/>
        <v/>
      </c>
      <c r="U1589" s="106" t="str">
        <f t="shared" si="704"/>
        <v/>
      </c>
      <c r="V1589" s="106" t="str">
        <f t="shared" si="705"/>
        <v/>
      </c>
      <c r="W1589" s="105" t="str">
        <f t="shared" si="690"/>
        <v/>
      </c>
      <c r="X1589" s="104" t="str">
        <f t="shared" si="695"/>
        <v/>
      </c>
      <c r="Y1589" s="104" t="str">
        <f t="array" ref="Y1589">IFERROR(IF(ISNUMBER(O1589),IF(COUNT(IF(A1589=$A$2:$A$2427,IF(D1589=$D$2:$D$2427,IF($X$2:$X$2427&gt;0,1))))&gt;0,SUM(IF(A1589=$A$2:$A$2427,IF(D1589=$D$2:$D$2427,$X$2:$X$2427)))/COUNT(IF(A1589=$A$2:$A$2427,IF(D1589=$D$2:$D$2427,IF(ISNUMBER($X$2:$X$2427),1)))),0),""),0)</f>
        <v/>
      </c>
      <c r="Z1589" s="104" t="str">
        <f>IF(ISNUMBER(O1589),IF(I1589&gt;0,(10^(VLOOKUP(D1589,'Species Codes'!B:C,2,0)+VLOOKUP(D1589,'Species Codes'!B:D,3,0)*LOG(E1589)+VLOOKUP(D1589,'Species Codes'!B:E,4,0)*LOG(I1589))),0),"")</f>
        <v/>
      </c>
      <c r="AA1589" s="104" t="str">
        <f>IFERROR((VLOOKUP(D1589,'Species Codes'!B:G,6,0)*Z1589)/2000,"")</f>
        <v/>
      </c>
      <c r="AB1589" s="104" t="e">
        <f>IF(Z1589&gt;0,((IF(OR(D1589="DF",D1589="RA")=TRUE,EXP(VLOOKUP(D1589,'Species Codes'!B:I,8,0)+VLOOKUP(D1589,'Species Codes'!B:J,9,0)*(LN((E1589*2.54)))),IF(OR(D1589="PY",D1589="RC",D1589="WH",D1589="NF")=TRUE,VLOOKUP(D1589,'Species Codes'!B:I,8,0)+VLOOKUP(D1589,'Species Codes'!B:J,9,0)*((E1589*2.54)^2)*(I1589*0.3048),IF(OR(D1589="MD",D1589="BM",D1589="GA")=TRUE,((VLOOKUP(D1589,'Species Codes'!B:I,8,0)*(((((E1589*2.54)+VLOOKUP(D1589,'Species Codes'!B:J,9,0))/VLOOKUP(D1589,'Species Codes'!B:K,10,0))^VLOOKUP(D1589,'Species Codes'!B:L,11,0))*((I1589*0.3048)^VLOOKUP(D1589,'Species Codes'!B:M,12,0))))-(VLOOKUP(D1589,'Species Codes'!B:I,8,0)*((((E1589*2.54)^VLOOKUP(D1589,'Species Codes'!B:L,11,0))*((I1589*0.3048)^VLOOKUP(D1589,'Species Codes'!B:M,12,0))))))*35.3*VLOOKUP(D1589,'Species Codes'!B:G,6,0)/2.2046,VLOOKUP(D1589,'Species Codes'!B:I,8,0)+VLOOKUP(D1589,'Species Codes'!B:J,9,0)*(((E1589*2.54)/100)^2)*(I1589*0.3048)))))*0.0011023),0)</f>
        <v>#N/A</v>
      </c>
      <c r="AC1589" s="104" t="e">
        <f>IF(Z1589&gt;0,((IF(OR(D1589="RA",D1589="OA",D1589="OT",D1589="UN",D1589="PC"),EXP(VLOOKUP(D1589,'Species Codes'!B:O,14,0)+VLOOKUP(D1589,'Species Codes'!B:P,15,0)*LN((E1589*2.54)))-EXP(VLOOKUP(D1589,'Species Codes'!B:O,14,0)+VLOOKUP(D1589,'Species Codes'!B:P,15,0)*LN((E1589*2.54)))*(1/(VLOOKUP(D1589,'Species Codes'!B:Q,16,0)+VLOOKUP(D1589,'Species Codes'!B:R,17,0)*((E1589*2.54)^VLOOKUP(D1589,'Species Codes'!B:S,18,0)))),IF(OR(D1589="BM",D1589="MD",D1589="OA"),EXP(VLOOKUP(D1589,'Species Codes'!B:O,14,0)+VLOOKUP(D1589,'Species Codes'!B:P,15,0)*LN((E1589*2.54)))*(1-(1/(VLOOKUP(D1589,'Species Codes'!B:Q,16,0)+VLOOKUP(D1589,'Species Codes'!B:R,17,0)*((E1589*2.54)^VLOOKUP(D1589,'Species Codes'!B:S,18,0)))))/1000,IF(D1589="DF",EXP(VLOOKUP(D1589,'Species Codes'!B:O,14,0)+VLOOKUP(D1589,'Species Codes'!B:P,15,0)*LN((E1589*2.54))),VLOOKUP(D1589,'Species Codes'!B:O,14,0)+VLOOKUP(D1589,'Species Codes'!B:P,15,0)*(((E1589*2.54)/100)^2)*(I1589*0.3048)))))*0.0011023),0)</f>
        <v>#N/A</v>
      </c>
      <c r="AD1589" s="104" t="e">
        <f t="shared" si="706"/>
        <v>#N/A</v>
      </c>
      <c r="AE1589" s="104" t="e">
        <f t="shared" si="707"/>
        <v>#N/A</v>
      </c>
      <c r="AF1589" s="104" t="e">
        <f>IF(AND(VLOOKUP($D1589,Merchantability!$B:$C,2,0)="Yes",$E1589&gt;=VLOOKUP($D1589,Merchantability!$B:$D,3,0),$E1589&lt;=VLOOKUP($D1589,Merchantability!$B:$E,4,0)),AA1589,0)</f>
        <v>#N/A</v>
      </c>
      <c r="AG1589" s="104" t="e">
        <f>IF(AND(VLOOKUP($D1589,Merchantability!$B:$C,2,0)="Yes",$E1589&gt;=VLOOKUP($D1589,Merchantability!$B:$D,3,0),$E1589&lt;=VLOOKUP($D1589,Merchantability!$B:$E,4,0)),AB1589,0)</f>
        <v>#N/A</v>
      </c>
      <c r="AH1589" s="104" t="e">
        <f>IF(AND(VLOOKUP($D1589,Merchantability!$B:$C,2,0)="Yes",$E1589&gt;=VLOOKUP($D1589,Merchantability!$B:$D,3,0),$E1589&lt;=VLOOKUP($D1589,Merchantability!$B:$E,4,0)),AC1589,0)</f>
        <v>#N/A</v>
      </c>
      <c r="AI1589" s="104" t="e">
        <f t="shared" si="708"/>
        <v>#N/A</v>
      </c>
      <c r="AJ1589" s="104" t="e">
        <f t="shared" si="709"/>
        <v>#VALUE!</v>
      </c>
      <c r="AK1589" s="104" t="e">
        <f t="shared" si="710"/>
        <v>#N/A</v>
      </c>
      <c r="AL1589" s="104" t="e">
        <f t="shared" si="711"/>
        <v>#N/A</v>
      </c>
      <c r="AM1589" s="104" t="e">
        <f t="shared" si="712"/>
        <v>#N/A</v>
      </c>
      <c r="AN1589" s="104" t="e">
        <f t="shared" si="696"/>
        <v>#N/A</v>
      </c>
      <c r="AO1589" s="104" t="e">
        <f t="shared" si="697"/>
        <v>#N/A</v>
      </c>
      <c r="AP1589" s="104" t="e">
        <f t="shared" si="698"/>
        <v>#N/A</v>
      </c>
      <c r="AQ1589" s="104" t="e">
        <f t="shared" si="699"/>
        <v>#N/A</v>
      </c>
      <c r="AR1589" s="105" t="str">
        <f t="shared" si="691"/>
        <v/>
      </c>
      <c r="AS1589" s="105" t="str">
        <f t="shared" si="692"/>
        <v/>
      </c>
      <c r="AT1589" s="108" t="str">
        <f t="shared" si="693"/>
        <v/>
      </c>
      <c r="AU1589" s="108" t="str">
        <f t="shared" si="694"/>
        <v/>
      </c>
      <c r="AV1589" s="107" t="str">
        <f>IF(ISNUMBER(O1589),IF(VLOOKUP($A1589,Stand!C:J,8,FALSE)="Short",AT1589,AU1589),"")</f>
        <v/>
      </c>
      <c r="AW1589" s="109" t="str">
        <f t="shared" si="700"/>
        <v/>
      </c>
      <c r="AX1589" s="109" t="str">
        <f t="shared" si="701"/>
        <v/>
      </c>
      <c r="AY1589" s="112" t="str">
        <f>IF(ISNUMBER(O1589),IF(AND(VLOOKUP($D1589,Merchantability!$B:$C,2,0)="Yes",$E1589&gt;=VLOOKUP($D1589,Merchantability!$B:$D,3,0),$E1589&lt;=VLOOKUP($D1589,Merchantability!$B:$E,4,0)),(AV1589*O1589)*(1-$H1589/100),""),"")</f>
        <v/>
      </c>
      <c r="AZ1589" s="116"/>
      <c r="BA1589" s="116"/>
      <c r="BB1589" s="116"/>
      <c r="BE1589" s="62"/>
      <c r="BF1589" s="63"/>
    </row>
    <row r="1590" spans="1:58" ht="12.75" customHeight="1" x14ac:dyDescent="0.25">
      <c r="A1590" s="333"/>
      <c r="B1590" s="334"/>
      <c r="C1590" s="332"/>
      <c r="D1590" s="334"/>
      <c r="E1590" s="335"/>
      <c r="F1590" s="334"/>
      <c r="G1590" s="332"/>
      <c r="H1590" s="332"/>
      <c r="I1590" s="334"/>
      <c r="J1590" s="336"/>
      <c r="K1590" s="332"/>
      <c r="L1590" s="332"/>
      <c r="M1590" s="76"/>
      <c r="N1590" s="103" t="str">
        <f>IF(A1590="","",VLOOKUP(A1590,Stand!C:K,9,0))</f>
        <v/>
      </c>
      <c r="O1590" s="104" t="str">
        <f t="shared" si="686"/>
        <v/>
      </c>
      <c r="P1590" s="105" t="str">
        <f t="shared" si="687"/>
        <v/>
      </c>
      <c r="Q1590" s="105" t="str">
        <f t="shared" si="702"/>
        <v/>
      </c>
      <c r="R1590" s="103" t="str">
        <f t="shared" si="688"/>
        <v/>
      </c>
      <c r="S1590" s="103" t="str">
        <f t="shared" si="689"/>
        <v/>
      </c>
      <c r="T1590" s="106" t="str">
        <f t="shared" si="703"/>
        <v/>
      </c>
      <c r="U1590" s="106" t="str">
        <f t="shared" si="704"/>
        <v/>
      </c>
      <c r="V1590" s="106" t="str">
        <f t="shared" si="705"/>
        <v/>
      </c>
      <c r="W1590" s="105" t="str">
        <f t="shared" si="690"/>
        <v/>
      </c>
      <c r="X1590" s="104" t="str">
        <f t="shared" si="695"/>
        <v/>
      </c>
      <c r="Y1590" s="104" t="str">
        <f t="array" ref="Y1590">IFERROR(IF(ISNUMBER(O1590),IF(COUNT(IF(A1590=$A$2:$A$2427,IF(D1590=$D$2:$D$2427,IF($X$2:$X$2427&gt;0,1))))&gt;0,SUM(IF(A1590=$A$2:$A$2427,IF(D1590=$D$2:$D$2427,$X$2:$X$2427)))/COUNT(IF(A1590=$A$2:$A$2427,IF(D1590=$D$2:$D$2427,IF(ISNUMBER($X$2:$X$2427),1)))),0),""),0)</f>
        <v/>
      </c>
      <c r="Z1590" s="104" t="str">
        <f>IF(ISNUMBER(O1590),IF(I1590&gt;0,(10^(VLOOKUP(D1590,'Species Codes'!B:C,2,0)+VLOOKUP(D1590,'Species Codes'!B:D,3,0)*LOG(E1590)+VLOOKUP(D1590,'Species Codes'!B:E,4,0)*LOG(I1590))),0),"")</f>
        <v/>
      </c>
      <c r="AA1590" s="104" t="str">
        <f>IFERROR((VLOOKUP(D1590,'Species Codes'!B:G,6,0)*Z1590)/2000,"")</f>
        <v/>
      </c>
      <c r="AB1590" s="104" t="e">
        <f>IF(Z1590&gt;0,((IF(OR(D1590="DF",D1590="RA")=TRUE,EXP(VLOOKUP(D1590,'Species Codes'!B:I,8,0)+VLOOKUP(D1590,'Species Codes'!B:J,9,0)*(LN((E1590*2.54)))),IF(OR(D1590="PY",D1590="RC",D1590="WH",D1590="NF")=TRUE,VLOOKUP(D1590,'Species Codes'!B:I,8,0)+VLOOKUP(D1590,'Species Codes'!B:J,9,0)*((E1590*2.54)^2)*(I1590*0.3048),IF(OR(D1590="MD",D1590="BM",D1590="GA")=TRUE,((VLOOKUP(D1590,'Species Codes'!B:I,8,0)*(((((E1590*2.54)+VLOOKUP(D1590,'Species Codes'!B:J,9,0))/VLOOKUP(D1590,'Species Codes'!B:K,10,0))^VLOOKUP(D1590,'Species Codes'!B:L,11,0))*((I1590*0.3048)^VLOOKUP(D1590,'Species Codes'!B:M,12,0))))-(VLOOKUP(D1590,'Species Codes'!B:I,8,0)*((((E1590*2.54)^VLOOKUP(D1590,'Species Codes'!B:L,11,0))*((I1590*0.3048)^VLOOKUP(D1590,'Species Codes'!B:M,12,0))))))*35.3*VLOOKUP(D1590,'Species Codes'!B:G,6,0)/2.2046,VLOOKUP(D1590,'Species Codes'!B:I,8,0)+VLOOKUP(D1590,'Species Codes'!B:J,9,0)*(((E1590*2.54)/100)^2)*(I1590*0.3048)))))*0.0011023),0)</f>
        <v>#N/A</v>
      </c>
      <c r="AC1590" s="104" t="e">
        <f>IF(Z1590&gt;0,((IF(OR(D1590="RA",D1590="OA",D1590="OT",D1590="UN",D1590="PC"),EXP(VLOOKUP(D1590,'Species Codes'!B:O,14,0)+VLOOKUP(D1590,'Species Codes'!B:P,15,0)*LN((E1590*2.54)))-EXP(VLOOKUP(D1590,'Species Codes'!B:O,14,0)+VLOOKUP(D1590,'Species Codes'!B:P,15,0)*LN((E1590*2.54)))*(1/(VLOOKUP(D1590,'Species Codes'!B:Q,16,0)+VLOOKUP(D1590,'Species Codes'!B:R,17,0)*((E1590*2.54)^VLOOKUP(D1590,'Species Codes'!B:S,18,0)))),IF(OR(D1590="BM",D1590="MD",D1590="OA"),EXP(VLOOKUP(D1590,'Species Codes'!B:O,14,0)+VLOOKUP(D1590,'Species Codes'!B:P,15,0)*LN((E1590*2.54)))*(1-(1/(VLOOKUP(D1590,'Species Codes'!B:Q,16,0)+VLOOKUP(D1590,'Species Codes'!B:R,17,0)*((E1590*2.54)^VLOOKUP(D1590,'Species Codes'!B:S,18,0)))))/1000,IF(D1590="DF",EXP(VLOOKUP(D1590,'Species Codes'!B:O,14,0)+VLOOKUP(D1590,'Species Codes'!B:P,15,0)*LN((E1590*2.54))),VLOOKUP(D1590,'Species Codes'!B:O,14,0)+VLOOKUP(D1590,'Species Codes'!B:P,15,0)*(((E1590*2.54)/100)^2)*(I1590*0.3048)))))*0.0011023),0)</f>
        <v>#N/A</v>
      </c>
      <c r="AD1590" s="104" t="e">
        <f t="shared" si="706"/>
        <v>#N/A</v>
      </c>
      <c r="AE1590" s="104" t="e">
        <f t="shared" si="707"/>
        <v>#N/A</v>
      </c>
      <c r="AF1590" s="104" t="e">
        <f>IF(AND(VLOOKUP($D1590,Merchantability!$B:$C,2,0)="Yes",$E1590&gt;=VLOOKUP($D1590,Merchantability!$B:$D,3,0),$E1590&lt;=VLOOKUP($D1590,Merchantability!$B:$E,4,0)),AA1590,0)</f>
        <v>#N/A</v>
      </c>
      <c r="AG1590" s="104" t="e">
        <f>IF(AND(VLOOKUP($D1590,Merchantability!$B:$C,2,0)="Yes",$E1590&gt;=VLOOKUP($D1590,Merchantability!$B:$D,3,0),$E1590&lt;=VLOOKUP($D1590,Merchantability!$B:$E,4,0)),AB1590,0)</f>
        <v>#N/A</v>
      </c>
      <c r="AH1590" s="104" t="e">
        <f>IF(AND(VLOOKUP($D1590,Merchantability!$B:$C,2,0)="Yes",$E1590&gt;=VLOOKUP($D1590,Merchantability!$B:$D,3,0),$E1590&lt;=VLOOKUP($D1590,Merchantability!$B:$E,4,0)),AC1590,0)</f>
        <v>#N/A</v>
      </c>
      <c r="AI1590" s="104" t="e">
        <f t="shared" si="708"/>
        <v>#N/A</v>
      </c>
      <c r="AJ1590" s="104" t="e">
        <f t="shared" si="709"/>
        <v>#VALUE!</v>
      </c>
      <c r="AK1590" s="104" t="e">
        <f t="shared" si="710"/>
        <v>#N/A</v>
      </c>
      <c r="AL1590" s="104" t="e">
        <f t="shared" si="711"/>
        <v>#N/A</v>
      </c>
      <c r="AM1590" s="104" t="e">
        <f t="shared" si="712"/>
        <v>#N/A</v>
      </c>
      <c r="AN1590" s="104" t="e">
        <f t="shared" si="696"/>
        <v>#N/A</v>
      </c>
      <c r="AO1590" s="104" t="e">
        <f t="shared" si="697"/>
        <v>#N/A</v>
      </c>
      <c r="AP1590" s="104" t="e">
        <f t="shared" si="698"/>
        <v>#N/A</v>
      </c>
      <c r="AQ1590" s="104" t="e">
        <f t="shared" si="699"/>
        <v>#N/A</v>
      </c>
      <c r="AR1590" s="105" t="str">
        <f t="shared" si="691"/>
        <v/>
      </c>
      <c r="AS1590" s="105" t="str">
        <f t="shared" si="692"/>
        <v/>
      </c>
      <c r="AT1590" s="108" t="str">
        <f t="shared" si="693"/>
        <v/>
      </c>
      <c r="AU1590" s="108" t="str">
        <f t="shared" si="694"/>
        <v/>
      </c>
      <c r="AV1590" s="107" t="str">
        <f>IF(ISNUMBER(O1590),IF(VLOOKUP($A1590,Stand!C:J,8,FALSE)="Short",AT1590,AU1590),"")</f>
        <v/>
      </c>
      <c r="AW1590" s="109" t="str">
        <f t="shared" si="700"/>
        <v/>
      </c>
      <c r="AX1590" s="109" t="str">
        <f t="shared" si="701"/>
        <v/>
      </c>
      <c r="AY1590" s="112" t="str">
        <f>IF(ISNUMBER(O1590),IF(AND(VLOOKUP($D1590,Merchantability!$B:$C,2,0)="Yes",$E1590&gt;=VLOOKUP($D1590,Merchantability!$B:$D,3,0),$E1590&lt;=VLOOKUP($D1590,Merchantability!$B:$E,4,0)),(AV1590*O1590)*(1-$H1590/100),""),"")</f>
        <v/>
      </c>
      <c r="AZ1590" s="116"/>
      <c r="BA1590" s="116"/>
      <c r="BB1590" s="116"/>
      <c r="BE1590" s="62"/>
      <c r="BF1590" s="63"/>
    </row>
    <row r="1591" spans="1:58" ht="12.75" customHeight="1" x14ac:dyDescent="0.25">
      <c r="A1591" s="333"/>
      <c r="B1591" s="334"/>
      <c r="C1591" s="332"/>
      <c r="D1591" s="334"/>
      <c r="E1591" s="335"/>
      <c r="F1591" s="334"/>
      <c r="G1591" s="332"/>
      <c r="H1591" s="332"/>
      <c r="I1591" s="334"/>
      <c r="J1591" s="336"/>
      <c r="K1591" s="332"/>
      <c r="L1591" s="332"/>
      <c r="M1591" s="76"/>
      <c r="N1591" s="103" t="str">
        <f>IF(A1591="","",VLOOKUP(A1591,Stand!C:K,9,0))</f>
        <v/>
      </c>
      <c r="O1591" s="104" t="str">
        <f t="shared" si="686"/>
        <v/>
      </c>
      <c r="P1591" s="105" t="str">
        <f t="shared" si="687"/>
        <v/>
      </c>
      <c r="Q1591" s="105" t="str">
        <f t="shared" si="702"/>
        <v/>
      </c>
      <c r="R1591" s="103" t="str">
        <f t="shared" si="688"/>
        <v/>
      </c>
      <c r="S1591" s="103" t="str">
        <f t="shared" si="689"/>
        <v/>
      </c>
      <c r="T1591" s="106" t="str">
        <f t="shared" si="703"/>
        <v/>
      </c>
      <c r="U1591" s="106" t="str">
        <f t="shared" si="704"/>
        <v/>
      </c>
      <c r="V1591" s="106" t="str">
        <f t="shared" si="705"/>
        <v/>
      </c>
      <c r="W1591" s="105" t="str">
        <f t="shared" si="690"/>
        <v/>
      </c>
      <c r="X1591" s="104" t="str">
        <f t="shared" si="695"/>
        <v/>
      </c>
      <c r="Y1591" s="104" t="str">
        <f t="array" ref="Y1591">IFERROR(IF(ISNUMBER(O1591),IF(COUNT(IF(A1591=$A$2:$A$2427,IF(D1591=$D$2:$D$2427,IF($X$2:$X$2427&gt;0,1))))&gt;0,SUM(IF(A1591=$A$2:$A$2427,IF(D1591=$D$2:$D$2427,$X$2:$X$2427)))/COUNT(IF(A1591=$A$2:$A$2427,IF(D1591=$D$2:$D$2427,IF(ISNUMBER($X$2:$X$2427),1)))),0),""),0)</f>
        <v/>
      </c>
      <c r="Z1591" s="104" t="str">
        <f>IF(ISNUMBER(O1591),IF(I1591&gt;0,(10^(VLOOKUP(D1591,'Species Codes'!B:C,2,0)+VLOOKUP(D1591,'Species Codes'!B:D,3,0)*LOG(E1591)+VLOOKUP(D1591,'Species Codes'!B:E,4,0)*LOG(I1591))),0),"")</f>
        <v/>
      </c>
      <c r="AA1591" s="104" t="str">
        <f>IFERROR((VLOOKUP(D1591,'Species Codes'!B:G,6,0)*Z1591)/2000,"")</f>
        <v/>
      </c>
      <c r="AB1591" s="104" t="e">
        <f>IF(Z1591&gt;0,((IF(OR(D1591="DF",D1591="RA")=TRUE,EXP(VLOOKUP(D1591,'Species Codes'!B:I,8,0)+VLOOKUP(D1591,'Species Codes'!B:J,9,0)*(LN((E1591*2.54)))),IF(OR(D1591="PY",D1591="RC",D1591="WH",D1591="NF")=TRUE,VLOOKUP(D1591,'Species Codes'!B:I,8,0)+VLOOKUP(D1591,'Species Codes'!B:J,9,0)*((E1591*2.54)^2)*(I1591*0.3048),IF(OR(D1591="MD",D1591="BM",D1591="GA")=TRUE,((VLOOKUP(D1591,'Species Codes'!B:I,8,0)*(((((E1591*2.54)+VLOOKUP(D1591,'Species Codes'!B:J,9,0))/VLOOKUP(D1591,'Species Codes'!B:K,10,0))^VLOOKUP(D1591,'Species Codes'!B:L,11,0))*((I1591*0.3048)^VLOOKUP(D1591,'Species Codes'!B:M,12,0))))-(VLOOKUP(D1591,'Species Codes'!B:I,8,0)*((((E1591*2.54)^VLOOKUP(D1591,'Species Codes'!B:L,11,0))*((I1591*0.3048)^VLOOKUP(D1591,'Species Codes'!B:M,12,0))))))*35.3*VLOOKUP(D1591,'Species Codes'!B:G,6,0)/2.2046,VLOOKUP(D1591,'Species Codes'!B:I,8,0)+VLOOKUP(D1591,'Species Codes'!B:J,9,0)*(((E1591*2.54)/100)^2)*(I1591*0.3048)))))*0.0011023),0)</f>
        <v>#N/A</v>
      </c>
      <c r="AC1591" s="104" t="e">
        <f>IF(Z1591&gt;0,((IF(OR(D1591="RA",D1591="OA",D1591="OT",D1591="UN",D1591="PC"),EXP(VLOOKUP(D1591,'Species Codes'!B:O,14,0)+VLOOKUP(D1591,'Species Codes'!B:P,15,0)*LN((E1591*2.54)))-EXP(VLOOKUP(D1591,'Species Codes'!B:O,14,0)+VLOOKUP(D1591,'Species Codes'!B:P,15,0)*LN((E1591*2.54)))*(1/(VLOOKUP(D1591,'Species Codes'!B:Q,16,0)+VLOOKUP(D1591,'Species Codes'!B:R,17,0)*((E1591*2.54)^VLOOKUP(D1591,'Species Codes'!B:S,18,0)))),IF(OR(D1591="BM",D1591="MD",D1591="OA"),EXP(VLOOKUP(D1591,'Species Codes'!B:O,14,0)+VLOOKUP(D1591,'Species Codes'!B:P,15,0)*LN((E1591*2.54)))*(1-(1/(VLOOKUP(D1591,'Species Codes'!B:Q,16,0)+VLOOKUP(D1591,'Species Codes'!B:R,17,0)*((E1591*2.54)^VLOOKUP(D1591,'Species Codes'!B:S,18,0)))))/1000,IF(D1591="DF",EXP(VLOOKUP(D1591,'Species Codes'!B:O,14,0)+VLOOKUP(D1591,'Species Codes'!B:P,15,0)*LN((E1591*2.54))),VLOOKUP(D1591,'Species Codes'!B:O,14,0)+VLOOKUP(D1591,'Species Codes'!B:P,15,0)*(((E1591*2.54)/100)^2)*(I1591*0.3048)))))*0.0011023),0)</f>
        <v>#N/A</v>
      </c>
      <c r="AD1591" s="104" t="e">
        <f t="shared" si="706"/>
        <v>#N/A</v>
      </c>
      <c r="AE1591" s="104" t="e">
        <f t="shared" si="707"/>
        <v>#N/A</v>
      </c>
      <c r="AF1591" s="104" t="e">
        <f>IF(AND(VLOOKUP($D1591,Merchantability!$B:$C,2,0)="Yes",$E1591&gt;=VLOOKUP($D1591,Merchantability!$B:$D,3,0),$E1591&lt;=VLOOKUP($D1591,Merchantability!$B:$E,4,0)),AA1591,0)</f>
        <v>#N/A</v>
      </c>
      <c r="AG1591" s="104" t="e">
        <f>IF(AND(VLOOKUP($D1591,Merchantability!$B:$C,2,0)="Yes",$E1591&gt;=VLOOKUP($D1591,Merchantability!$B:$D,3,0),$E1591&lt;=VLOOKUP($D1591,Merchantability!$B:$E,4,0)),AB1591,0)</f>
        <v>#N/A</v>
      </c>
      <c r="AH1591" s="104" t="e">
        <f>IF(AND(VLOOKUP($D1591,Merchantability!$B:$C,2,0)="Yes",$E1591&gt;=VLOOKUP($D1591,Merchantability!$B:$D,3,0),$E1591&lt;=VLOOKUP($D1591,Merchantability!$B:$E,4,0)),AC1591,0)</f>
        <v>#N/A</v>
      </c>
      <c r="AI1591" s="104" t="e">
        <f t="shared" si="708"/>
        <v>#N/A</v>
      </c>
      <c r="AJ1591" s="104" t="e">
        <f t="shared" si="709"/>
        <v>#VALUE!</v>
      </c>
      <c r="AK1591" s="104" t="e">
        <f t="shared" si="710"/>
        <v>#N/A</v>
      </c>
      <c r="AL1591" s="104" t="e">
        <f t="shared" si="711"/>
        <v>#N/A</v>
      </c>
      <c r="AM1591" s="104" t="e">
        <f t="shared" si="712"/>
        <v>#N/A</v>
      </c>
      <c r="AN1591" s="104" t="e">
        <f t="shared" si="696"/>
        <v>#N/A</v>
      </c>
      <c r="AO1591" s="104" t="e">
        <f t="shared" si="697"/>
        <v>#N/A</v>
      </c>
      <c r="AP1591" s="104" t="e">
        <f t="shared" si="698"/>
        <v>#N/A</v>
      </c>
      <c r="AQ1591" s="104" t="e">
        <f t="shared" si="699"/>
        <v>#N/A</v>
      </c>
      <c r="AR1591" s="105" t="str">
        <f t="shared" si="691"/>
        <v/>
      </c>
      <c r="AS1591" s="105" t="str">
        <f t="shared" si="692"/>
        <v/>
      </c>
      <c r="AT1591" s="108" t="str">
        <f t="shared" si="693"/>
        <v/>
      </c>
      <c r="AU1591" s="108" t="str">
        <f t="shared" si="694"/>
        <v/>
      </c>
      <c r="AV1591" s="107" t="str">
        <f>IF(ISNUMBER(O1591),IF(VLOOKUP($A1591,Stand!C:J,8,FALSE)="Short",AT1591,AU1591),"")</f>
        <v/>
      </c>
      <c r="AW1591" s="109" t="str">
        <f t="shared" si="700"/>
        <v/>
      </c>
      <c r="AX1591" s="109" t="str">
        <f t="shared" si="701"/>
        <v/>
      </c>
      <c r="AY1591" s="112" t="str">
        <f>IF(ISNUMBER(O1591),IF(AND(VLOOKUP($D1591,Merchantability!$B:$C,2,0)="Yes",$E1591&gt;=VLOOKUP($D1591,Merchantability!$B:$D,3,0),$E1591&lt;=VLOOKUP($D1591,Merchantability!$B:$E,4,0)),(AV1591*O1591)*(1-$H1591/100),""),"")</f>
        <v/>
      </c>
      <c r="AZ1591" s="116"/>
      <c r="BA1591" s="116"/>
      <c r="BB1591" s="116"/>
      <c r="BE1591" s="62"/>
      <c r="BF1591" s="63"/>
    </row>
    <row r="1592" spans="1:58" ht="12.75" customHeight="1" x14ac:dyDescent="0.25">
      <c r="A1592" s="333"/>
      <c r="B1592" s="334"/>
      <c r="C1592" s="332"/>
      <c r="D1592" s="334"/>
      <c r="E1592" s="335"/>
      <c r="F1592" s="334"/>
      <c r="G1592" s="332"/>
      <c r="H1592" s="332"/>
      <c r="I1592" s="334"/>
      <c r="J1592" s="336"/>
      <c r="K1592" s="332"/>
      <c r="L1592" s="332"/>
      <c r="M1592" s="76"/>
      <c r="N1592" s="103" t="str">
        <f>IF(A1592="","",VLOOKUP(A1592,Stand!C:K,9,0))</f>
        <v/>
      </c>
      <c r="O1592" s="104" t="str">
        <f t="shared" si="686"/>
        <v/>
      </c>
      <c r="P1592" s="105" t="str">
        <f t="shared" si="687"/>
        <v/>
      </c>
      <c r="Q1592" s="105" t="str">
        <f t="shared" si="702"/>
        <v/>
      </c>
      <c r="R1592" s="103" t="str">
        <f t="shared" si="688"/>
        <v/>
      </c>
      <c r="S1592" s="103" t="str">
        <f t="shared" si="689"/>
        <v/>
      </c>
      <c r="T1592" s="106" t="str">
        <f t="shared" si="703"/>
        <v/>
      </c>
      <c r="U1592" s="106" t="str">
        <f t="shared" si="704"/>
        <v/>
      </c>
      <c r="V1592" s="106" t="str">
        <f t="shared" si="705"/>
        <v/>
      </c>
      <c r="W1592" s="105" t="str">
        <f t="shared" si="690"/>
        <v/>
      </c>
      <c r="X1592" s="104" t="str">
        <f t="shared" si="695"/>
        <v/>
      </c>
      <c r="Y1592" s="104" t="str">
        <f t="array" ref="Y1592">IFERROR(IF(ISNUMBER(O1592),IF(COUNT(IF(A1592=$A$2:$A$2427,IF(D1592=$D$2:$D$2427,IF($X$2:$X$2427&gt;0,1))))&gt;0,SUM(IF(A1592=$A$2:$A$2427,IF(D1592=$D$2:$D$2427,$X$2:$X$2427)))/COUNT(IF(A1592=$A$2:$A$2427,IF(D1592=$D$2:$D$2427,IF(ISNUMBER($X$2:$X$2427),1)))),0),""),0)</f>
        <v/>
      </c>
      <c r="Z1592" s="104" t="str">
        <f>IF(ISNUMBER(O1592),IF(I1592&gt;0,(10^(VLOOKUP(D1592,'Species Codes'!B:C,2,0)+VLOOKUP(D1592,'Species Codes'!B:D,3,0)*LOG(E1592)+VLOOKUP(D1592,'Species Codes'!B:E,4,0)*LOG(I1592))),0),"")</f>
        <v/>
      </c>
      <c r="AA1592" s="104" t="str">
        <f>IFERROR((VLOOKUP(D1592,'Species Codes'!B:G,6,0)*Z1592)/2000,"")</f>
        <v/>
      </c>
      <c r="AB1592" s="104" t="e">
        <f>IF(Z1592&gt;0,((IF(OR(D1592="DF",D1592="RA")=TRUE,EXP(VLOOKUP(D1592,'Species Codes'!B:I,8,0)+VLOOKUP(D1592,'Species Codes'!B:J,9,0)*(LN((E1592*2.54)))),IF(OR(D1592="PY",D1592="RC",D1592="WH",D1592="NF")=TRUE,VLOOKUP(D1592,'Species Codes'!B:I,8,0)+VLOOKUP(D1592,'Species Codes'!B:J,9,0)*((E1592*2.54)^2)*(I1592*0.3048),IF(OR(D1592="MD",D1592="BM",D1592="GA")=TRUE,((VLOOKUP(D1592,'Species Codes'!B:I,8,0)*(((((E1592*2.54)+VLOOKUP(D1592,'Species Codes'!B:J,9,0))/VLOOKUP(D1592,'Species Codes'!B:K,10,0))^VLOOKUP(D1592,'Species Codes'!B:L,11,0))*((I1592*0.3048)^VLOOKUP(D1592,'Species Codes'!B:M,12,0))))-(VLOOKUP(D1592,'Species Codes'!B:I,8,0)*((((E1592*2.54)^VLOOKUP(D1592,'Species Codes'!B:L,11,0))*((I1592*0.3048)^VLOOKUP(D1592,'Species Codes'!B:M,12,0))))))*35.3*VLOOKUP(D1592,'Species Codes'!B:G,6,0)/2.2046,VLOOKUP(D1592,'Species Codes'!B:I,8,0)+VLOOKUP(D1592,'Species Codes'!B:J,9,0)*(((E1592*2.54)/100)^2)*(I1592*0.3048)))))*0.0011023),0)</f>
        <v>#N/A</v>
      </c>
      <c r="AC1592" s="104" t="e">
        <f>IF(Z1592&gt;0,((IF(OR(D1592="RA",D1592="OA",D1592="OT",D1592="UN",D1592="PC"),EXP(VLOOKUP(D1592,'Species Codes'!B:O,14,0)+VLOOKUP(D1592,'Species Codes'!B:P,15,0)*LN((E1592*2.54)))-EXP(VLOOKUP(D1592,'Species Codes'!B:O,14,0)+VLOOKUP(D1592,'Species Codes'!B:P,15,0)*LN((E1592*2.54)))*(1/(VLOOKUP(D1592,'Species Codes'!B:Q,16,0)+VLOOKUP(D1592,'Species Codes'!B:R,17,0)*((E1592*2.54)^VLOOKUP(D1592,'Species Codes'!B:S,18,0)))),IF(OR(D1592="BM",D1592="MD",D1592="OA"),EXP(VLOOKUP(D1592,'Species Codes'!B:O,14,0)+VLOOKUP(D1592,'Species Codes'!B:P,15,0)*LN((E1592*2.54)))*(1-(1/(VLOOKUP(D1592,'Species Codes'!B:Q,16,0)+VLOOKUP(D1592,'Species Codes'!B:R,17,0)*((E1592*2.54)^VLOOKUP(D1592,'Species Codes'!B:S,18,0)))))/1000,IF(D1592="DF",EXP(VLOOKUP(D1592,'Species Codes'!B:O,14,0)+VLOOKUP(D1592,'Species Codes'!B:P,15,0)*LN((E1592*2.54))),VLOOKUP(D1592,'Species Codes'!B:O,14,0)+VLOOKUP(D1592,'Species Codes'!B:P,15,0)*(((E1592*2.54)/100)^2)*(I1592*0.3048)))))*0.0011023),0)</f>
        <v>#N/A</v>
      </c>
      <c r="AD1592" s="104" t="e">
        <f t="shared" si="706"/>
        <v>#N/A</v>
      </c>
      <c r="AE1592" s="104" t="e">
        <f t="shared" si="707"/>
        <v>#N/A</v>
      </c>
      <c r="AF1592" s="104" t="e">
        <f>IF(AND(VLOOKUP($D1592,Merchantability!$B:$C,2,0)="Yes",$E1592&gt;=VLOOKUP($D1592,Merchantability!$B:$D,3,0),$E1592&lt;=VLOOKUP($D1592,Merchantability!$B:$E,4,0)),AA1592,0)</f>
        <v>#N/A</v>
      </c>
      <c r="AG1592" s="104" t="e">
        <f>IF(AND(VLOOKUP($D1592,Merchantability!$B:$C,2,0)="Yes",$E1592&gt;=VLOOKUP($D1592,Merchantability!$B:$D,3,0),$E1592&lt;=VLOOKUP($D1592,Merchantability!$B:$E,4,0)),AB1592,0)</f>
        <v>#N/A</v>
      </c>
      <c r="AH1592" s="104" t="e">
        <f>IF(AND(VLOOKUP($D1592,Merchantability!$B:$C,2,0)="Yes",$E1592&gt;=VLOOKUP($D1592,Merchantability!$B:$D,3,0),$E1592&lt;=VLOOKUP($D1592,Merchantability!$B:$E,4,0)),AC1592,0)</f>
        <v>#N/A</v>
      </c>
      <c r="AI1592" s="104" t="e">
        <f t="shared" si="708"/>
        <v>#N/A</v>
      </c>
      <c r="AJ1592" s="104" t="e">
        <f t="shared" si="709"/>
        <v>#VALUE!</v>
      </c>
      <c r="AK1592" s="104" t="e">
        <f t="shared" si="710"/>
        <v>#N/A</v>
      </c>
      <c r="AL1592" s="104" t="e">
        <f t="shared" si="711"/>
        <v>#N/A</v>
      </c>
      <c r="AM1592" s="104" t="e">
        <f t="shared" si="712"/>
        <v>#N/A</v>
      </c>
      <c r="AN1592" s="104" t="e">
        <f t="shared" si="696"/>
        <v>#N/A</v>
      </c>
      <c r="AO1592" s="104" t="e">
        <f t="shared" si="697"/>
        <v>#N/A</v>
      </c>
      <c r="AP1592" s="104" t="e">
        <f t="shared" si="698"/>
        <v>#N/A</v>
      </c>
      <c r="AQ1592" s="104" t="e">
        <f t="shared" si="699"/>
        <v>#N/A</v>
      </c>
      <c r="AR1592" s="105" t="str">
        <f t="shared" si="691"/>
        <v/>
      </c>
      <c r="AS1592" s="105" t="str">
        <f t="shared" si="692"/>
        <v/>
      </c>
      <c r="AT1592" s="108" t="str">
        <f t="shared" si="693"/>
        <v/>
      </c>
      <c r="AU1592" s="108" t="str">
        <f t="shared" si="694"/>
        <v/>
      </c>
      <c r="AV1592" s="107" t="str">
        <f>IF(ISNUMBER(O1592),IF(VLOOKUP($A1592,Stand!C:J,8,FALSE)="Short",AT1592,AU1592),"")</f>
        <v/>
      </c>
      <c r="AW1592" s="109" t="str">
        <f t="shared" si="700"/>
        <v/>
      </c>
      <c r="AX1592" s="109" t="str">
        <f t="shared" si="701"/>
        <v/>
      </c>
      <c r="AY1592" s="112" t="str">
        <f>IF(ISNUMBER(O1592),IF(AND(VLOOKUP($D1592,Merchantability!$B:$C,2,0)="Yes",$E1592&gt;=VLOOKUP($D1592,Merchantability!$B:$D,3,0),$E1592&lt;=VLOOKUP($D1592,Merchantability!$B:$E,4,0)),(AV1592*O1592)*(1-$H1592/100),""),"")</f>
        <v/>
      </c>
      <c r="AZ1592" s="116"/>
      <c r="BA1592" s="116"/>
      <c r="BB1592" s="116"/>
      <c r="BE1592" s="62"/>
      <c r="BF1592" s="63"/>
    </row>
    <row r="1593" spans="1:58" ht="12.75" customHeight="1" x14ac:dyDescent="0.25">
      <c r="A1593" s="333"/>
      <c r="B1593" s="334"/>
      <c r="C1593" s="332"/>
      <c r="D1593" s="334"/>
      <c r="E1593" s="335"/>
      <c r="F1593" s="334"/>
      <c r="G1593" s="332"/>
      <c r="H1593" s="332"/>
      <c r="I1593" s="334"/>
      <c r="J1593" s="336"/>
      <c r="K1593" s="332"/>
      <c r="L1593" s="332"/>
      <c r="M1593" s="76"/>
      <c r="N1593" s="103" t="str">
        <f>IF(A1593="","",VLOOKUP(A1593,Stand!C:K,9,0))</f>
        <v/>
      </c>
      <c r="O1593" s="104" t="str">
        <f t="shared" si="686"/>
        <v/>
      </c>
      <c r="P1593" s="105" t="str">
        <f t="shared" si="687"/>
        <v/>
      </c>
      <c r="Q1593" s="105" t="str">
        <f t="shared" si="702"/>
        <v/>
      </c>
      <c r="R1593" s="103" t="str">
        <f t="shared" si="688"/>
        <v/>
      </c>
      <c r="S1593" s="103" t="str">
        <f t="shared" si="689"/>
        <v/>
      </c>
      <c r="T1593" s="106" t="str">
        <f t="shared" si="703"/>
        <v/>
      </c>
      <c r="U1593" s="106" t="str">
        <f t="shared" si="704"/>
        <v/>
      </c>
      <c r="V1593" s="106" t="str">
        <f t="shared" si="705"/>
        <v/>
      </c>
      <c r="W1593" s="105" t="str">
        <f t="shared" si="690"/>
        <v/>
      </c>
      <c r="X1593" s="104" t="str">
        <f t="shared" si="695"/>
        <v/>
      </c>
      <c r="Y1593" s="104" t="str">
        <f t="array" ref="Y1593">IFERROR(IF(ISNUMBER(O1593),IF(COUNT(IF(A1593=$A$2:$A$2427,IF(D1593=$D$2:$D$2427,IF($X$2:$X$2427&gt;0,1))))&gt;0,SUM(IF(A1593=$A$2:$A$2427,IF(D1593=$D$2:$D$2427,$X$2:$X$2427)))/COUNT(IF(A1593=$A$2:$A$2427,IF(D1593=$D$2:$D$2427,IF(ISNUMBER($X$2:$X$2427),1)))),0),""),0)</f>
        <v/>
      </c>
      <c r="Z1593" s="104" t="str">
        <f>IF(ISNUMBER(O1593),IF(I1593&gt;0,(10^(VLOOKUP(D1593,'Species Codes'!B:C,2,0)+VLOOKUP(D1593,'Species Codes'!B:D,3,0)*LOG(E1593)+VLOOKUP(D1593,'Species Codes'!B:E,4,0)*LOG(I1593))),0),"")</f>
        <v/>
      </c>
      <c r="AA1593" s="104" t="str">
        <f>IFERROR((VLOOKUP(D1593,'Species Codes'!B:G,6,0)*Z1593)/2000,"")</f>
        <v/>
      </c>
      <c r="AB1593" s="104" t="e">
        <f>IF(Z1593&gt;0,((IF(OR(D1593="DF",D1593="RA")=TRUE,EXP(VLOOKUP(D1593,'Species Codes'!B:I,8,0)+VLOOKUP(D1593,'Species Codes'!B:J,9,0)*(LN((E1593*2.54)))),IF(OR(D1593="PY",D1593="RC",D1593="WH",D1593="NF")=TRUE,VLOOKUP(D1593,'Species Codes'!B:I,8,0)+VLOOKUP(D1593,'Species Codes'!B:J,9,0)*((E1593*2.54)^2)*(I1593*0.3048),IF(OR(D1593="MD",D1593="BM",D1593="GA")=TRUE,((VLOOKUP(D1593,'Species Codes'!B:I,8,0)*(((((E1593*2.54)+VLOOKUP(D1593,'Species Codes'!B:J,9,0))/VLOOKUP(D1593,'Species Codes'!B:K,10,0))^VLOOKUP(D1593,'Species Codes'!B:L,11,0))*((I1593*0.3048)^VLOOKUP(D1593,'Species Codes'!B:M,12,0))))-(VLOOKUP(D1593,'Species Codes'!B:I,8,0)*((((E1593*2.54)^VLOOKUP(D1593,'Species Codes'!B:L,11,0))*((I1593*0.3048)^VLOOKUP(D1593,'Species Codes'!B:M,12,0))))))*35.3*VLOOKUP(D1593,'Species Codes'!B:G,6,0)/2.2046,VLOOKUP(D1593,'Species Codes'!B:I,8,0)+VLOOKUP(D1593,'Species Codes'!B:J,9,0)*(((E1593*2.54)/100)^2)*(I1593*0.3048)))))*0.0011023),0)</f>
        <v>#N/A</v>
      </c>
      <c r="AC1593" s="104" t="e">
        <f>IF(Z1593&gt;0,((IF(OR(D1593="RA",D1593="OA",D1593="OT",D1593="UN",D1593="PC"),EXP(VLOOKUP(D1593,'Species Codes'!B:O,14,0)+VLOOKUP(D1593,'Species Codes'!B:P,15,0)*LN((E1593*2.54)))-EXP(VLOOKUP(D1593,'Species Codes'!B:O,14,0)+VLOOKUP(D1593,'Species Codes'!B:P,15,0)*LN((E1593*2.54)))*(1/(VLOOKUP(D1593,'Species Codes'!B:Q,16,0)+VLOOKUP(D1593,'Species Codes'!B:R,17,0)*((E1593*2.54)^VLOOKUP(D1593,'Species Codes'!B:S,18,0)))),IF(OR(D1593="BM",D1593="MD",D1593="OA"),EXP(VLOOKUP(D1593,'Species Codes'!B:O,14,0)+VLOOKUP(D1593,'Species Codes'!B:P,15,0)*LN((E1593*2.54)))*(1-(1/(VLOOKUP(D1593,'Species Codes'!B:Q,16,0)+VLOOKUP(D1593,'Species Codes'!B:R,17,0)*((E1593*2.54)^VLOOKUP(D1593,'Species Codes'!B:S,18,0)))))/1000,IF(D1593="DF",EXP(VLOOKUP(D1593,'Species Codes'!B:O,14,0)+VLOOKUP(D1593,'Species Codes'!B:P,15,0)*LN((E1593*2.54))),VLOOKUP(D1593,'Species Codes'!B:O,14,0)+VLOOKUP(D1593,'Species Codes'!B:P,15,0)*(((E1593*2.54)/100)^2)*(I1593*0.3048)))))*0.0011023),0)</f>
        <v>#N/A</v>
      </c>
      <c r="AD1593" s="104" t="e">
        <f t="shared" si="706"/>
        <v>#N/A</v>
      </c>
      <c r="AE1593" s="104" t="e">
        <f t="shared" si="707"/>
        <v>#N/A</v>
      </c>
      <c r="AF1593" s="104" t="e">
        <f>IF(AND(VLOOKUP($D1593,Merchantability!$B:$C,2,0)="Yes",$E1593&gt;=VLOOKUP($D1593,Merchantability!$B:$D,3,0),$E1593&lt;=VLOOKUP($D1593,Merchantability!$B:$E,4,0)),AA1593,0)</f>
        <v>#N/A</v>
      </c>
      <c r="AG1593" s="104" t="e">
        <f>IF(AND(VLOOKUP($D1593,Merchantability!$B:$C,2,0)="Yes",$E1593&gt;=VLOOKUP($D1593,Merchantability!$B:$D,3,0),$E1593&lt;=VLOOKUP($D1593,Merchantability!$B:$E,4,0)),AB1593,0)</f>
        <v>#N/A</v>
      </c>
      <c r="AH1593" s="104" t="e">
        <f>IF(AND(VLOOKUP($D1593,Merchantability!$B:$C,2,0)="Yes",$E1593&gt;=VLOOKUP($D1593,Merchantability!$B:$D,3,0),$E1593&lt;=VLOOKUP($D1593,Merchantability!$B:$E,4,0)),AC1593,0)</f>
        <v>#N/A</v>
      </c>
      <c r="AI1593" s="104" t="e">
        <f t="shared" si="708"/>
        <v>#N/A</v>
      </c>
      <c r="AJ1593" s="104" t="e">
        <f t="shared" si="709"/>
        <v>#VALUE!</v>
      </c>
      <c r="AK1593" s="104" t="e">
        <f t="shared" si="710"/>
        <v>#N/A</v>
      </c>
      <c r="AL1593" s="104" t="e">
        <f t="shared" si="711"/>
        <v>#N/A</v>
      </c>
      <c r="AM1593" s="104" t="e">
        <f t="shared" si="712"/>
        <v>#N/A</v>
      </c>
      <c r="AN1593" s="104" t="e">
        <f t="shared" si="696"/>
        <v>#N/A</v>
      </c>
      <c r="AO1593" s="104" t="e">
        <f t="shared" si="697"/>
        <v>#N/A</v>
      </c>
      <c r="AP1593" s="104" t="e">
        <f t="shared" si="698"/>
        <v>#N/A</v>
      </c>
      <c r="AQ1593" s="104" t="e">
        <f t="shared" si="699"/>
        <v>#N/A</v>
      </c>
      <c r="AR1593" s="105" t="str">
        <f t="shared" si="691"/>
        <v/>
      </c>
      <c r="AS1593" s="105" t="str">
        <f t="shared" si="692"/>
        <v/>
      </c>
      <c r="AT1593" s="108" t="str">
        <f t="shared" si="693"/>
        <v/>
      </c>
      <c r="AU1593" s="108" t="str">
        <f t="shared" si="694"/>
        <v/>
      </c>
      <c r="AV1593" s="107" t="str">
        <f>IF(ISNUMBER(O1593),IF(VLOOKUP($A1593,Stand!C:J,8,FALSE)="Short",AT1593,AU1593),"")</f>
        <v/>
      </c>
      <c r="AW1593" s="109" t="str">
        <f t="shared" si="700"/>
        <v/>
      </c>
      <c r="AX1593" s="109" t="str">
        <f t="shared" si="701"/>
        <v/>
      </c>
      <c r="AY1593" s="112" t="str">
        <f>IF(ISNUMBER(O1593),IF(AND(VLOOKUP($D1593,Merchantability!$B:$C,2,0)="Yes",$E1593&gt;=VLOOKUP($D1593,Merchantability!$B:$D,3,0),$E1593&lt;=VLOOKUP($D1593,Merchantability!$B:$E,4,0)),(AV1593*O1593)*(1-$H1593/100),""),"")</f>
        <v/>
      </c>
      <c r="AZ1593" s="116"/>
      <c r="BA1593" s="116"/>
      <c r="BB1593" s="116"/>
      <c r="BE1593" s="62"/>
      <c r="BF1593" s="63"/>
    </row>
    <row r="1594" spans="1:58" ht="12.75" customHeight="1" x14ac:dyDescent="0.25">
      <c r="A1594" s="333"/>
      <c r="B1594" s="334"/>
      <c r="C1594" s="332"/>
      <c r="D1594" s="334"/>
      <c r="E1594" s="335"/>
      <c r="F1594" s="334"/>
      <c r="G1594" s="332"/>
      <c r="H1594" s="332"/>
      <c r="I1594" s="334"/>
      <c r="J1594" s="336"/>
      <c r="K1594" s="332"/>
      <c r="L1594" s="332"/>
      <c r="M1594" s="76"/>
      <c r="N1594" s="103" t="str">
        <f>IF(A1594="","",VLOOKUP(A1594,Stand!C:K,9,0))</f>
        <v/>
      </c>
      <c r="O1594" s="104" t="str">
        <f t="shared" si="686"/>
        <v/>
      </c>
      <c r="P1594" s="105" t="str">
        <f t="shared" si="687"/>
        <v/>
      </c>
      <c r="Q1594" s="105" t="str">
        <f t="shared" si="702"/>
        <v/>
      </c>
      <c r="R1594" s="103" t="str">
        <f t="shared" si="688"/>
        <v/>
      </c>
      <c r="S1594" s="103" t="str">
        <f t="shared" si="689"/>
        <v/>
      </c>
      <c r="T1594" s="106" t="str">
        <f t="shared" si="703"/>
        <v/>
      </c>
      <c r="U1594" s="106" t="str">
        <f t="shared" si="704"/>
        <v/>
      </c>
      <c r="V1594" s="106" t="str">
        <f t="shared" si="705"/>
        <v/>
      </c>
      <c r="W1594" s="105" t="str">
        <f t="shared" si="690"/>
        <v/>
      </c>
      <c r="X1594" s="104" t="str">
        <f t="shared" si="695"/>
        <v/>
      </c>
      <c r="Y1594" s="104" t="str">
        <f t="array" ref="Y1594">IFERROR(IF(ISNUMBER(O1594),IF(COUNT(IF(A1594=$A$2:$A$2427,IF(D1594=$D$2:$D$2427,IF($X$2:$X$2427&gt;0,1))))&gt;0,SUM(IF(A1594=$A$2:$A$2427,IF(D1594=$D$2:$D$2427,$X$2:$X$2427)))/COUNT(IF(A1594=$A$2:$A$2427,IF(D1594=$D$2:$D$2427,IF(ISNUMBER($X$2:$X$2427),1)))),0),""),0)</f>
        <v/>
      </c>
      <c r="Z1594" s="104" t="str">
        <f>IF(ISNUMBER(O1594),IF(I1594&gt;0,(10^(VLOOKUP(D1594,'Species Codes'!B:C,2,0)+VLOOKUP(D1594,'Species Codes'!B:D,3,0)*LOG(E1594)+VLOOKUP(D1594,'Species Codes'!B:E,4,0)*LOG(I1594))),0),"")</f>
        <v/>
      </c>
      <c r="AA1594" s="104" t="str">
        <f>IFERROR((VLOOKUP(D1594,'Species Codes'!B:G,6,0)*Z1594)/2000,"")</f>
        <v/>
      </c>
      <c r="AB1594" s="104" t="e">
        <f>IF(Z1594&gt;0,((IF(OR(D1594="DF",D1594="RA")=TRUE,EXP(VLOOKUP(D1594,'Species Codes'!B:I,8,0)+VLOOKUP(D1594,'Species Codes'!B:J,9,0)*(LN((E1594*2.54)))),IF(OR(D1594="PY",D1594="RC",D1594="WH",D1594="NF")=TRUE,VLOOKUP(D1594,'Species Codes'!B:I,8,0)+VLOOKUP(D1594,'Species Codes'!B:J,9,0)*((E1594*2.54)^2)*(I1594*0.3048),IF(OR(D1594="MD",D1594="BM",D1594="GA")=TRUE,((VLOOKUP(D1594,'Species Codes'!B:I,8,0)*(((((E1594*2.54)+VLOOKUP(D1594,'Species Codes'!B:J,9,0))/VLOOKUP(D1594,'Species Codes'!B:K,10,0))^VLOOKUP(D1594,'Species Codes'!B:L,11,0))*((I1594*0.3048)^VLOOKUP(D1594,'Species Codes'!B:M,12,0))))-(VLOOKUP(D1594,'Species Codes'!B:I,8,0)*((((E1594*2.54)^VLOOKUP(D1594,'Species Codes'!B:L,11,0))*((I1594*0.3048)^VLOOKUP(D1594,'Species Codes'!B:M,12,0))))))*35.3*VLOOKUP(D1594,'Species Codes'!B:G,6,0)/2.2046,VLOOKUP(D1594,'Species Codes'!B:I,8,0)+VLOOKUP(D1594,'Species Codes'!B:J,9,0)*(((E1594*2.54)/100)^2)*(I1594*0.3048)))))*0.0011023),0)</f>
        <v>#N/A</v>
      </c>
      <c r="AC1594" s="104" t="e">
        <f>IF(Z1594&gt;0,((IF(OR(D1594="RA",D1594="OA",D1594="OT",D1594="UN",D1594="PC"),EXP(VLOOKUP(D1594,'Species Codes'!B:O,14,0)+VLOOKUP(D1594,'Species Codes'!B:P,15,0)*LN((E1594*2.54)))-EXP(VLOOKUP(D1594,'Species Codes'!B:O,14,0)+VLOOKUP(D1594,'Species Codes'!B:P,15,0)*LN((E1594*2.54)))*(1/(VLOOKUP(D1594,'Species Codes'!B:Q,16,0)+VLOOKUP(D1594,'Species Codes'!B:R,17,0)*((E1594*2.54)^VLOOKUP(D1594,'Species Codes'!B:S,18,0)))),IF(OR(D1594="BM",D1594="MD",D1594="OA"),EXP(VLOOKUP(D1594,'Species Codes'!B:O,14,0)+VLOOKUP(D1594,'Species Codes'!B:P,15,0)*LN((E1594*2.54)))*(1-(1/(VLOOKUP(D1594,'Species Codes'!B:Q,16,0)+VLOOKUP(D1594,'Species Codes'!B:R,17,0)*((E1594*2.54)^VLOOKUP(D1594,'Species Codes'!B:S,18,0)))))/1000,IF(D1594="DF",EXP(VLOOKUP(D1594,'Species Codes'!B:O,14,0)+VLOOKUP(D1594,'Species Codes'!B:P,15,0)*LN((E1594*2.54))),VLOOKUP(D1594,'Species Codes'!B:O,14,0)+VLOOKUP(D1594,'Species Codes'!B:P,15,0)*(((E1594*2.54)/100)^2)*(I1594*0.3048)))))*0.0011023),0)</f>
        <v>#N/A</v>
      </c>
      <c r="AD1594" s="104" t="e">
        <f t="shared" si="706"/>
        <v>#N/A</v>
      </c>
      <c r="AE1594" s="104" t="e">
        <f t="shared" si="707"/>
        <v>#N/A</v>
      </c>
      <c r="AF1594" s="104" t="e">
        <f>IF(AND(VLOOKUP($D1594,Merchantability!$B:$C,2,0)="Yes",$E1594&gt;=VLOOKUP($D1594,Merchantability!$B:$D,3,0),$E1594&lt;=VLOOKUP($D1594,Merchantability!$B:$E,4,0)),AA1594,0)</f>
        <v>#N/A</v>
      </c>
      <c r="AG1594" s="104" t="e">
        <f>IF(AND(VLOOKUP($D1594,Merchantability!$B:$C,2,0)="Yes",$E1594&gt;=VLOOKUP($D1594,Merchantability!$B:$D,3,0),$E1594&lt;=VLOOKUP($D1594,Merchantability!$B:$E,4,0)),AB1594,0)</f>
        <v>#N/A</v>
      </c>
      <c r="AH1594" s="104" t="e">
        <f>IF(AND(VLOOKUP($D1594,Merchantability!$B:$C,2,0)="Yes",$E1594&gt;=VLOOKUP($D1594,Merchantability!$B:$D,3,0),$E1594&lt;=VLOOKUP($D1594,Merchantability!$B:$E,4,0)),AC1594,0)</f>
        <v>#N/A</v>
      </c>
      <c r="AI1594" s="104" t="e">
        <f t="shared" si="708"/>
        <v>#N/A</v>
      </c>
      <c r="AJ1594" s="104" t="e">
        <f t="shared" si="709"/>
        <v>#VALUE!</v>
      </c>
      <c r="AK1594" s="104" t="e">
        <f t="shared" si="710"/>
        <v>#N/A</v>
      </c>
      <c r="AL1594" s="104" t="e">
        <f t="shared" si="711"/>
        <v>#N/A</v>
      </c>
      <c r="AM1594" s="104" t="e">
        <f t="shared" si="712"/>
        <v>#N/A</v>
      </c>
      <c r="AN1594" s="104" t="e">
        <f t="shared" si="696"/>
        <v>#N/A</v>
      </c>
      <c r="AO1594" s="104" t="e">
        <f t="shared" si="697"/>
        <v>#N/A</v>
      </c>
      <c r="AP1594" s="104" t="e">
        <f t="shared" si="698"/>
        <v>#N/A</v>
      </c>
      <c r="AQ1594" s="104" t="e">
        <f t="shared" si="699"/>
        <v>#N/A</v>
      </c>
      <c r="AR1594" s="105" t="str">
        <f t="shared" si="691"/>
        <v/>
      </c>
      <c r="AS1594" s="105" t="str">
        <f t="shared" si="692"/>
        <v/>
      </c>
      <c r="AT1594" s="108" t="str">
        <f t="shared" si="693"/>
        <v/>
      </c>
      <c r="AU1594" s="108" t="str">
        <f t="shared" si="694"/>
        <v/>
      </c>
      <c r="AV1594" s="107" t="str">
        <f>IF(ISNUMBER(O1594),IF(VLOOKUP($A1594,Stand!C:J,8,FALSE)="Short",AT1594,AU1594),"")</f>
        <v/>
      </c>
      <c r="AW1594" s="109" t="str">
        <f t="shared" si="700"/>
        <v/>
      </c>
      <c r="AX1594" s="109" t="str">
        <f t="shared" si="701"/>
        <v/>
      </c>
      <c r="AY1594" s="112" t="str">
        <f>IF(ISNUMBER(O1594),IF(AND(VLOOKUP($D1594,Merchantability!$B:$C,2,0)="Yes",$E1594&gt;=VLOOKUP($D1594,Merchantability!$B:$D,3,0),$E1594&lt;=VLOOKUP($D1594,Merchantability!$B:$E,4,0)),(AV1594*O1594)*(1-$H1594/100),""),"")</f>
        <v/>
      </c>
      <c r="AZ1594" s="116"/>
      <c r="BA1594" s="116"/>
      <c r="BB1594" s="116"/>
      <c r="BE1594" s="62"/>
      <c r="BF1594" s="63"/>
    </row>
    <row r="1595" spans="1:58" ht="12.75" customHeight="1" x14ac:dyDescent="0.25">
      <c r="A1595" s="333"/>
      <c r="B1595" s="334"/>
      <c r="C1595" s="332"/>
      <c r="D1595" s="334"/>
      <c r="E1595" s="335"/>
      <c r="F1595" s="334"/>
      <c r="G1595" s="332"/>
      <c r="H1595" s="332"/>
      <c r="I1595" s="334"/>
      <c r="J1595" s="336"/>
      <c r="K1595" s="332"/>
      <c r="L1595" s="332"/>
      <c r="M1595" s="76"/>
      <c r="N1595" s="103" t="str">
        <f>IF(A1595="","",VLOOKUP(A1595,Stand!C:K,9,0))</f>
        <v/>
      </c>
      <c r="O1595" s="104" t="str">
        <f t="shared" si="686"/>
        <v/>
      </c>
      <c r="P1595" s="105" t="str">
        <f t="shared" si="687"/>
        <v/>
      </c>
      <c r="Q1595" s="105" t="str">
        <f t="shared" si="702"/>
        <v/>
      </c>
      <c r="R1595" s="103" t="str">
        <f t="shared" si="688"/>
        <v/>
      </c>
      <c r="S1595" s="103" t="str">
        <f t="shared" si="689"/>
        <v/>
      </c>
      <c r="T1595" s="106" t="str">
        <f t="shared" si="703"/>
        <v/>
      </c>
      <c r="U1595" s="106" t="str">
        <f t="shared" si="704"/>
        <v/>
      </c>
      <c r="V1595" s="106" t="str">
        <f t="shared" si="705"/>
        <v/>
      </c>
      <c r="W1595" s="105" t="str">
        <f t="shared" si="690"/>
        <v/>
      </c>
      <c r="X1595" s="104" t="str">
        <f t="shared" si="695"/>
        <v/>
      </c>
      <c r="Y1595" s="104" t="str">
        <f t="array" ref="Y1595">IFERROR(IF(ISNUMBER(O1595),IF(COUNT(IF(A1595=$A$2:$A$2427,IF(D1595=$D$2:$D$2427,IF($X$2:$X$2427&gt;0,1))))&gt;0,SUM(IF(A1595=$A$2:$A$2427,IF(D1595=$D$2:$D$2427,$X$2:$X$2427)))/COUNT(IF(A1595=$A$2:$A$2427,IF(D1595=$D$2:$D$2427,IF(ISNUMBER($X$2:$X$2427),1)))),0),""),0)</f>
        <v/>
      </c>
      <c r="Z1595" s="104" t="str">
        <f>IF(ISNUMBER(O1595),IF(I1595&gt;0,(10^(VLOOKUP(D1595,'Species Codes'!B:C,2,0)+VLOOKUP(D1595,'Species Codes'!B:D,3,0)*LOG(E1595)+VLOOKUP(D1595,'Species Codes'!B:E,4,0)*LOG(I1595))),0),"")</f>
        <v/>
      </c>
      <c r="AA1595" s="104" t="str">
        <f>IFERROR((VLOOKUP(D1595,'Species Codes'!B:G,6,0)*Z1595)/2000,"")</f>
        <v/>
      </c>
      <c r="AB1595" s="104" t="e">
        <f>IF(Z1595&gt;0,((IF(OR(D1595="DF",D1595="RA")=TRUE,EXP(VLOOKUP(D1595,'Species Codes'!B:I,8,0)+VLOOKUP(D1595,'Species Codes'!B:J,9,0)*(LN((E1595*2.54)))),IF(OR(D1595="PY",D1595="RC",D1595="WH",D1595="NF")=TRUE,VLOOKUP(D1595,'Species Codes'!B:I,8,0)+VLOOKUP(D1595,'Species Codes'!B:J,9,0)*((E1595*2.54)^2)*(I1595*0.3048),IF(OR(D1595="MD",D1595="BM",D1595="GA")=TRUE,((VLOOKUP(D1595,'Species Codes'!B:I,8,0)*(((((E1595*2.54)+VLOOKUP(D1595,'Species Codes'!B:J,9,0))/VLOOKUP(D1595,'Species Codes'!B:K,10,0))^VLOOKUP(D1595,'Species Codes'!B:L,11,0))*((I1595*0.3048)^VLOOKUP(D1595,'Species Codes'!B:M,12,0))))-(VLOOKUP(D1595,'Species Codes'!B:I,8,0)*((((E1595*2.54)^VLOOKUP(D1595,'Species Codes'!B:L,11,0))*((I1595*0.3048)^VLOOKUP(D1595,'Species Codes'!B:M,12,0))))))*35.3*VLOOKUP(D1595,'Species Codes'!B:G,6,0)/2.2046,VLOOKUP(D1595,'Species Codes'!B:I,8,0)+VLOOKUP(D1595,'Species Codes'!B:J,9,0)*(((E1595*2.54)/100)^2)*(I1595*0.3048)))))*0.0011023),0)</f>
        <v>#N/A</v>
      </c>
      <c r="AC1595" s="104" t="e">
        <f>IF(Z1595&gt;0,((IF(OR(D1595="RA",D1595="OA",D1595="OT",D1595="UN",D1595="PC"),EXP(VLOOKUP(D1595,'Species Codes'!B:O,14,0)+VLOOKUP(D1595,'Species Codes'!B:P,15,0)*LN((E1595*2.54)))-EXP(VLOOKUP(D1595,'Species Codes'!B:O,14,0)+VLOOKUP(D1595,'Species Codes'!B:P,15,0)*LN((E1595*2.54)))*(1/(VLOOKUP(D1595,'Species Codes'!B:Q,16,0)+VLOOKUP(D1595,'Species Codes'!B:R,17,0)*((E1595*2.54)^VLOOKUP(D1595,'Species Codes'!B:S,18,0)))),IF(OR(D1595="BM",D1595="MD",D1595="OA"),EXP(VLOOKUP(D1595,'Species Codes'!B:O,14,0)+VLOOKUP(D1595,'Species Codes'!B:P,15,0)*LN((E1595*2.54)))*(1-(1/(VLOOKUP(D1595,'Species Codes'!B:Q,16,0)+VLOOKUP(D1595,'Species Codes'!B:R,17,0)*((E1595*2.54)^VLOOKUP(D1595,'Species Codes'!B:S,18,0)))))/1000,IF(D1595="DF",EXP(VLOOKUP(D1595,'Species Codes'!B:O,14,0)+VLOOKUP(D1595,'Species Codes'!B:P,15,0)*LN((E1595*2.54))),VLOOKUP(D1595,'Species Codes'!B:O,14,0)+VLOOKUP(D1595,'Species Codes'!B:P,15,0)*(((E1595*2.54)/100)^2)*(I1595*0.3048)))))*0.0011023),0)</f>
        <v>#N/A</v>
      </c>
      <c r="AD1595" s="104" t="e">
        <f t="shared" si="706"/>
        <v>#N/A</v>
      </c>
      <c r="AE1595" s="104" t="e">
        <f t="shared" si="707"/>
        <v>#N/A</v>
      </c>
      <c r="AF1595" s="104" t="e">
        <f>IF(AND(VLOOKUP($D1595,Merchantability!$B:$C,2,0)="Yes",$E1595&gt;=VLOOKUP($D1595,Merchantability!$B:$D,3,0),$E1595&lt;=VLOOKUP($D1595,Merchantability!$B:$E,4,0)),AA1595,0)</f>
        <v>#N/A</v>
      </c>
      <c r="AG1595" s="104" t="e">
        <f>IF(AND(VLOOKUP($D1595,Merchantability!$B:$C,2,0)="Yes",$E1595&gt;=VLOOKUP($D1595,Merchantability!$B:$D,3,0),$E1595&lt;=VLOOKUP($D1595,Merchantability!$B:$E,4,0)),AB1595,0)</f>
        <v>#N/A</v>
      </c>
      <c r="AH1595" s="104" t="e">
        <f>IF(AND(VLOOKUP($D1595,Merchantability!$B:$C,2,0)="Yes",$E1595&gt;=VLOOKUP($D1595,Merchantability!$B:$D,3,0),$E1595&lt;=VLOOKUP($D1595,Merchantability!$B:$E,4,0)),AC1595,0)</f>
        <v>#N/A</v>
      </c>
      <c r="AI1595" s="104" t="e">
        <f t="shared" si="708"/>
        <v>#N/A</v>
      </c>
      <c r="AJ1595" s="104" t="e">
        <f t="shared" si="709"/>
        <v>#VALUE!</v>
      </c>
      <c r="AK1595" s="104" t="e">
        <f t="shared" si="710"/>
        <v>#N/A</v>
      </c>
      <c r="AL1595" s="104" t="e">
        <f t="shared" si="711"/>
        <v>#N/A</v>
      </c>
      <c r="AM1595" s="104" t="e">
        <f t="shared" si="712"/>
        <v>#N/A</v>
      </c>
      <c r="AN1595" s="104" t="e">
        <f t="shared" si="696"/>
        <v>#N/A</v>
      </c>
      <c r="AO1595" s="104" t="e">
        <f t="shared" si="697"/>
        <v>#N/A</v>
      </c>
      <c r="AP1595" s="104" t="e">
        <f t="shared" si="698"/>
        <v>#N/A</v>
      </c>
      <c r="AQ1595" s="104" t="e">
        <f t="shared" si="699"/>
        <v>#N/A</v>
      </c>
      <c r="AR1595" s="105" t="str">
        <f t="shared" si="691"/>
        <v/>
      </c>
      <c r="AS1595" s="105" t="str">
        <f t="shared" si="692"/>
        <v/>
      </c>
      <c r="AT1595" s="108" t="str">
        <f t="shared" si="693"/>
        <v/>
      </c>
      <c r="AU1595" s="108" t="str">
        <f t="shared" si="694"/>
        <v/>
      </c>
      <c r="AV1595" s="107" t="str">
        <f>IF(ISNUMBER(O1595),IF(VLOOKUP($A1595,Stand!C:J,8,FALSE)="Short",AT1595,AU1595),"")</f>
        <v/>
      </c>
      <c r="AW1595" s="109" t="str">
        <f t="shared" si="700"/>
        <v/>
      </c>
      <c r="AX1595" s="109" t="str">
        <f t="shared" si="701"/>
        <v/>
      </c>
      <c r="AY1595" s="112" t="str">
        <f>IF(ISNUMBER(O1595),IF(AND(VLOOKUP($D1595,Merchantability!$B:$C,2,0)="Yes",$E1595&gt;=VLOOKUP($D1595,Merchantability!$B:$D,3,0),$E1595&lt;=VLOOKUP($D1595,Merchantability!$B:$E,4,0)),(AV1595*O1595)*(1-$H1595/100),""),"")</f>
        <v/>
      </c>
      <c r="AZ1595" s="116"/>
      <c r="BA1595" s="116"/>
      <c r="BB1595" s="116"/>
      <c r="BE1595" s="62"/>
      <c r="BF1595" s="63"/>
    </row>
    <row r="1596" spans="1:58" ht="12.75" customHeight="1" x14ac:dyDescent="0.25">
      <c r="A1596" s="333"/>
      <c r="B1596" s="334"/>
      <c r="C1596" s="332"/>
      <c r="D1596" s="334"/>
      <c r="E1596" s="335"/>
      <c r="F1596" s="334"/>
      <c r="G1596" s="332"/>
      <c r="H1596" s="332"/>
      <c r="I1596" s="334"/>
      <c r="J1596" s="336"/>
      <c r="K1596" s="332"/>
      <c r="L1596" s="332"/>
      <c r="M1596" s="76"/>
      <c r="N1596" s="103" t="str">
        <f>IF(A1596="","",VLOOKUP(A1596,Stand!C:K,9,0))</f>
        <v/>
      </c>
      <c r="O1596" s="104" t="str">
        <f t="shared" si="686"/>
        <v/>
      </c>
      <c r="P1596" s="105" t="str">
        <f t="shared" si="687"/>
        <v/>
      </c>
      <c r="Q1596" s="105" t="str">
        <f t="shared" si="702"/>
        <v/>
      </c>
      <c r="R1596" s="103" t="str">
        <f t="shared" si="688"/>
        <v/>
      </c>
      <c r="S1596" s="103" t="str">
        <f t="shared" si="689"/>
        <v/>
      </c>
      <c r="T1596" s="106" t="str">
        <f t="shared" si="703"/>
        <v/>
      </c>
      <c r="U1596" s="106" t="str">
        <f t="shared" si="704"/>
        <v/>
      </c>
      <c r="V1596" s="106" t="str">
        <f t="shared" si="705"/>
        <v/>
      </c>
      <c r="W1596" s="105" t="str">
        <f t="shared" si="690"/>
        <v/>
      </c>
      <c r="X1596" s="104" t="str">
        <f t="shared" si="695"/>
        <v/>
      </c>
      <c r="Y1596" s="104" t="str">
        <f t="array" ref="Y1596">IFERROR(IF(ISNUMBER(O1596),IF(COUNT(IF(A1596=$A$2:$A$2427,IF(D1596=$D$2:$D$2427,IF($X$2:$X$2427&gt;0,1))))&gt;0,SUM(IF(A1596=$A$2:$A$2427,IF(D1596=$D$2:$D$2427,$X$2:$X$2427)))/COUNT(IF(A1596=$A$2:$A$2427,IF(D1596=$D$2:$D$2427,IF(ISNUMBER($X$2:$X$2427),1)))),0),""),0)</f>
        <v/>
      </c>
      <c r="Z1596" s="104" t="str">
        <f>IF(ISNUMBER(O1596),IF(I1596&gt;0,(10^(VLOOKUP(D1596,'Species Codes'!B:C,2,0)+VLOOKUP(D1596,'Species Codes'!B:D,3,0)*LOG(E1596)+VLOOKUP(D1596,'Species Codes'!B:E,4,0)*LOG(I1596))),0),"")</f>
        <v/>
      </c>
      <c r="AA1596" s="104" t="str">
        <f>IFERROR((VLOOKUP(D1596,'Species Codes'!B:G,6,0)*Z1596)/2000,"")</f>
        <v/>
      </c>
      <c r="AB1596" s="104" t="e">
        <f>IF(Z1596&gt;0,((IF(OR(D1596="DF",D1596="RA")=TRUE,EXP(VLOOKUP(D1596,'Species Codes'!B:I,8,0)+VLOOKUP(D1596,'Species Codes'!B:J,9,0)*(LN((E1596*2.54)))),IF(OR(D1596="PY",D1596="RC",D1596="WH",D1596="NF")=TRUE,VLOOKUP(D1596,'Species Codes'!B:I,8,0)+VLOOKUP(D1596,'Species Codes'!B:J,9,0)*((E1596*2.54)^2)*(I1596*0.3048),IF(OR(D1596="MD",D1596="BM",D1596="GA")=TRUE,((VLOOKUP(D1596,'Species Codes'!B:I,8,0)*(((((E1596*2.54)+VLOOKUP(D1596,'Species Codes'!B:J,9,0))/VLOOKUP(D1596,'Species Codes'!B:K,10,0))^VLOOKUP(D1596,'Species Codes'!B:L,11,0))*((I1596*0.3048)^VLOOKUP(D1596,'Species Codes'!B:M,12,0))))-(VLOOKUP(D1596,'Species Codes'!B:I,8,0)*((((E1596*2.54)^VLOOKUP(D1596,'Species Codes'!B:L,11,0))*((I1596*0.3048)^VLOOKUP(D1596,'Species Codes'!B:M,12,0))))))*35.3*VLOOKUP(D1596,'Species Codes'!B:G,6,0)/2.2046,VLOOKUP(D1596,'Species Codes'!B:I,8,0)+VLOOKUP(D1596,'Species Codes'!B:J,9,0)*(((E1596*2.54)/100)^2)*(I1596*0.3048)))))*0.0011023),0)</f>
        <v>#N/A</v>
      </c>
      <c r="AC1596" s="104" t="e">
        <f>IF(Z1596&gt;0,((IF(OR(D1596="RA",D1596="OA",D1596="OT",D1596="UN",D1596="PC"),EXP(VLOOKUP(D1596,'Species Codes'!B:O,14,0)+VLOOKUP(D1596,'Species Codes'!B:P,15,0)*LN((E1596*2.54)))-EXP(VLOOKUP(D1596,'Species Codes'!B:O,14,0)+VLOOKUP(D1596,'Species Codes'!B:P,15,0)*LN((E1596*2.54)))*(1/(VLOOKUP(D1596,'Species Codes'!B:Q,16,0)+VLOOKUP(D1596,'Species Codes'!B:R,17,0)*((E1596*2.54)^VLOOKUP(D1596,'Species Codes'!B:S,18,0)))),IF(OR(D1596="BM",D1596="MD",D1596="OA"),EXP(VLOOKUP(D1596,'Species Codes'!B:O,14,0)+VLOOKUP(D1596,'Species Codes'!B:P,15,0)*LN((E1596*2.54)))*(1-(1/(VLOOKUP(D1596,'Species Codes'!B:Q,16,0)+VLOOKUP(D1596,'Species Codes'!B:R,17,0)*((E1596*2.54)^VLOOKUP(D1596,'Species Codes'!B:S,18,0)))))/1000,IF(D1596="DF",EXP(VLOOKUP(D1596,'Species Codes'!B:O,14,0)+VLOOKUP(D1596,'Species Codes'!B:P,15,0)*LN((E1596*2.54))),VLOOKUP(D1596,'Species Codes'!B:O,14,0)+VLOOKUP(D1596,'Species Codes'!B:P,15,0)*(((E1596*2.54)/100)^2)*(I1596*0.3048)))))*0.0011023),0)</f>
        <v>#N/A</v>
      </c>
      <c r="AD1596" s="104" t="e">
        <f t="shared" si="706"/>
        <v>#N/A</v>
      </c>
      <c r="AE1596" s="104" t="e">
        <f t="shared" si="707"/>
        <v>#N/A</v>
      </c>
      <c r="AF1596" s="104" t="e">
        <f>IF(AND(VLOOKUP($D1596,Merchantability!$B:$C,2,0)="Yes",$E1596&gt;=VLOOKUP($D1596,Merchantability!$B:$D,3,0),$E1596&lt;=VLOOKUP($D1596,Merchantability!$B:$E,4,0)),AA1596,0)</f>
        <v>#N/A</v>
      </c>
      <c r="AG1596" s="104" t="e">
        <f>IF(AND(VLOOKUP($D1596,Merchantability!$B:$C,2,0)="Yes",$E1596&gt;=VLOOKUP($D1596,Merchantability!$B:$D,3,0),$E1596&lt;=VLOOKUP($D1596,Merchantability!$B:$E,4,0)),AB1596,0)</f>
        <v>#N/A</v>
      </c>
      <c r="AH1596" s="104" t="e">
        <f>IF(AND(VLOOKUP($D1596,Merchantability!$B:$C,2,0)="Yes",$E1596&gt;=VLOOKUP($D1596,Merchantability!$B:$D,3,0),$E1596&lt;=VLOOKUP($D1596,Merchantability!$B:$E,4,0)),AC1596,0)</f>
        <v>#N/A</v>
      </c>
      <c r="AI1596" s="104" t="e">
        <f t="shared" si="708"/>
        <v>#N/A</v>
      </c>
      <c r="AJ1596" s="104" t="e">
        <f t="shared" si="709"/>
        <v>#VALUE!</v>
      </c>
      <c r="AK1596" s="104" t="e">
        <f t="shared" si="710"/>
        <v>#N/A</v>
      </c>
      <c r="AL1596" s="104" t="e">
        <f t="shared" si="711"/>
        <v>#N/A</v>
      </c>
      <c r="AM1596" s="104" t="e">
        <f t="shared" si="712"/>
        <v>#N/A</v>
      </c>
      <c r="AN1596" s="104" t="e">
        <f t="shared" si="696"/>
        <v>#N/A</v>
      </c>
      <c r="AO1596" s="104" t="e">
        <f t="shared" si="697"/>
        <v>#N/A</v>
      </c>
      <c r="AP1596" s="104" t="e">
        <f t="shared" si="698"/>
        <v>#N/A</v>
      </c>
      <c r="AQ1596" s="104" t="e">
        <f t="shared" si="699"/>
        <v>#N/A</v>
      </c>
      <c r="AR1596" s="105" t="str">
        <f t="shared" si="691"/>
        <v/>
      </c>
      <c r="AS1596" s="105" t="str">
        <f t="shared" si="692"/>
        <v/>
      </c>
      <c r="AT1596" s="108" t="str">
        <f t="shared" si="693"/>
        <v/>
      </c>
      <c r="AU1596" s="108" t="str">
        <f t="shared" si="694"/>
        <v/>
      </c>
      <c r="AV1596" s="107" t="str">
        <f>IF(ISNUMBER(O1596),IF(VLOOKUP($A1596,Stand!C:J,8,FALSE)="Short",AT1596,AU1596),"")</f>
        <v/>
      </c>
      <c r="AW1596" s="109" t="str">
        <f t="shared" si="700"/>
        <v/>
      </c>
      <c r="AX1596" s="109" t="str">
        <f t="shared" si="701"/>
        <v/>
      </c>
      <c r="AY1596" s="112" t="str">
        <f>IF(ISNUMBER(O1596),IF(AND(VLOOKUP($D1596,Merchantability!$B:$C,2,0)="Yes",$E1596&gt;=VLOOKUP($D1596,Merchantability!$B:$D,3,0),$E1596&lt;=VLOOKUP($D1596,Merchantability!$B:$E,4,0)),(AV1596*O1596)*(1-$H1596/100),""),"")</f>
        <v/>
      </c>
      <c r="AZ1596" s="116"/>
      <c r="BA1596" s="116"/>
      <c r="BB1596" s="116"/>
      <c r="BE1596" s="62"/>
      <c r="BF1596" s="63"/>
    </row>
    <row r="1597" spans="1:58" ht="12.75" customHeight="1" x14ac:dyDescent="0.25">
      <c r="A1597" s="333"/>
      <c r="B1597" s="334"/>
      <c r="C1597" s="332"/>
      <c r="D1597" s="334"/>
      <c r="E1597" s="335"/>
      <c r="F1597" s="334"/>
      <c r="G1597" s="332"/>
      <c r="H1597" s="332"/>
      <c r="I1597" s="334"/>
      <c r="J1597" s="336"/>
      <c r="K1597" s="332"/>
      <c r="L1597" s="332"/>
      <c r="M1597" s="76"/>
      <c r="N1597" s="103" t="str">
        <f>IF(A1597="","",VLOOKUP(A1597,Stand!C:K,9,0))</f>
        <v/>
      </c>
      <c r="O1597" s="104" t="str">
        <f t="shared" si="686"/>
        <v/>
      </c>
      <c r="P1597" s="105" t="str">
        <f t="shared" si="687"/>
        <v/>
      </c>
      <c r="Q1597" s="105" t="str">
        <f t="shared" si="702"/>
        <v/>
      </c>
      <c r="R1597" s="103" t="str">
        <f t="shared" si="688"/>
        <v/>
      </c>
      <c r="S1597" s="103" t="str">
        <f t="shared" si="689"/>
        <v/>
      </c>
      <c r="T1597" s="106" t="str">
        <f t="shared" si="703"/>
        <v/>
      </c>
      <c r="U1597" s="106" t="str">
        <f t="shared" si="704"/>
        <v/>
      </c>
      <c r="V1597" s="106" t="str">
        <f t="shared" si="705"/>
        <v/>
      </c>
      <c r="W1597" s="105" t="str">
        <f t="shared" si="690"/>
        <v/>
      </c>
      <c r="X1597" s="104" t="str">
        <f t="shared" si="695"/>
        <v/>
      </c>
      <c r="Y1597" s="104" t="str">
        <f t="array" ref="Y1597">IFERROR(IF(ISNUMBER(O1597),IF(COUNT(IF(A1597=$A$2:$A$2427,IF(D1597=$D$2:$D$2427,IF($X$2:$X$2427&gt;0,1))))&gt;0,SUM(IF(A1597=$A$2:$A$2427,IF(D1597=$D$2:$D$2427,$X$2:$X$2427)))/COUNT(IF(A1597=$A$2:$A$2427,IF(D1597=$D$2:$D$2427,IF(ISNUMBER($X$2:$X$2427),1)))),0),""),0)</f>
        <v/>
      </c>
      <c r="Z1597" s="104" t="str">
        <f>IF(ISNUMBER(O1597),IF(I1597&gt;0,(10^(VLOOKUP(D1597,'Species Codes'!B:C,2,0)+VLOOKUP(D1597,'Species Codes'!B:D,3,0)*LOG(E1597)+VLOOKUP(D1597,'Species Codes'!B:E,4,0)*LOG(I1597))),0),"")</f>
        <v/>
      </c>
      <c r="AA1597" s="104" t="str">
        <f>IFERROR((VLOOKUP(D1597,'Species Codes'!B:G,6,0)*Z1597)/2000,"")</f>
        <v/>
      </c>
      <c r="AB1597" s="104" t="e">
        <f>IF(Z1597&gt;0,((IF(OR(D1597="DF",D1597="RA")=TRUE,EXP(VLOOKUP(D1597,'Species Codes'!B:I,8,0)+VLOOKUP(D1597,'Species Codes'!B:J,9,0)*(LN((E1597*2.54)))),IF(OR(D1597="PY",D1597="RC",D1597="WH",D1597="NF")=TRUE,VLOOKUP(D1597,'Species Codes'!B:I,8,0)+VLOOKUP(D1597,'Species Codes'!B:J,9,0)*((E1597*2.54)^2)*(I1597*0.3048),IF(OR(D1597="MD",D1597="BM",D1597="GA")=TRUE,((VLOOKUP(D1597,'Species Codes'!B:I,8,0)*(((((E1597*2.54)+VLOOKUP(D1597,'Species Codes'!B:J,9,0))/VLOOKUP(D1597,'Species Codes'!B:K,10,0))^VLOOKUP(D1597,'Species Codes'!B:L,11,0))*((I1597*0.3048)^VLOOKUP(D1597,'Species Codes'!B:M,12,0))))-(VLOOKUP(D1597,'Species Codes'!B:I,8,0)*((((E1597*2.54)^VLOOKUP(D1597,'Species Codes'!B:L,11,0))*((I1597*0.3048)^VLOOKUP(D1597,'Species Codes'!B:M,12,0))))))*35.3*VLOOKUP(D1597,'Species Codes'!B:G,6,0)/2.2046,VLOOKUP(D1597,'Species Codes'!B:I,8,0)+VLOOKUP(D1597,'Species Codes'!B:J,9,0)*(((E1597*2.54)/100)^2)*(I1597*0.3048)))))*0.0011023),0)</f>
        <v>#N/A</v>
      </c>
      <c r="AC1597" s="104" t="e">
        <f>IF(Z1597&gt;0,((IF(OR(D1597="RA",D1597="OA",D1597="OT",D1597="UN",D1597="PC"),EXP(VLOOKUP(D1597,'Species Codes'!B:O,14,0)+VLOOKUP(D1597,'Species Codes'!B:P,15,0)*LN((E1597*2.54)))-EXP(VLOOKUP(D1597,'Species Codes'!B:O,14,0)+VLOOKUP(D1597,'Species Codes'!B:P,15,0)*LN((E1597*2.54)))*(1/(VLOOKUP(D1597,'Species Codes'!B:Q,16,0)+VLOOKUP(D1597,'Species Codes'!B:R,17,0)*((E1597*2.54)^VLOOKUP(D1597,'Species Codes'!B:S,18,0)))),IF(OR(D1597="BM",D1597="MD",D1597="OA"),EXP(VLOOKUP(D1597,'Species Codes'!B:O,14,0)+VLOOKUP(D1597,'Species Codes'!B:P,15,0)*LN((E1597*2.54)))*(1-(1/(VLOOKUP(D1597,'Species Codes'!B:Q,16,0)+VLOOKUP(D1597,'Species Codes'!B:R,17,0)*((E1597*2.54)^VLOOKUP(D1597,'Species Codes'!B:S,18,0)))))/1000,IF(D1597="DF",EXP(VLOOKUP(D1597,'Species Codes'!B:O,14,0)+VLOOKUP(D1597,'Species Codes'!B:P,15,0)*LN((E1597*2.54))),VLOOKUP(D1597,'Species Codes'!B:O,14,0)+VLOOKUP(D1597,'Species Codes'!B:P,15,0)*(((E1597*2.54)/100)^2)*(I1597*0.3048)))))*0.0011023),0)</f>
        <v>#N/A</v>
      </c>
      <c r="AD1597" s="104" t="e">
        <f t="shared" si="706"/>
        <v>#N/A</v>
      </c>
      <c r="AE1597" s="104" t="e">
        <f t="shared" si="707"/>
        <v>#N/A</v>
      </c>
      <c r="AF1597" s="104" t="e">
        <f>IF(AND(VLOOKUP($D1597,Merchantability!$B:$C,2,0)="Yes",$E1597&gt;=VLOOKUP($D1597,Merchantability!$B:$D,3,0),$E1597&lt;=VLOOKUP($D1597,Merchantability!$B:$E,4,0)),AA1597,0)</f>
        <v>#N/A</v>
      </c>
      <c r="AG1597" s="104" t="e">
        <f>IF(AND(VLOOKUP($D1597,Merchantability!$B:$C,2,0)="Yes",$E1597&gt;=VLOOKUP($D1597,Merchantability!$B:$D,3,0),$E1597&lt;=VLOOKUP($D1597,Merchantability!$B:$E,4,0)),AB1597,0)</f>
        <v>#N/A</v>
      </c>
      <c r="AH1597" s="104" t="e">
        <f>IF(AND(VLOOKUP($D1597,Merchantability!$B:$C,2,0)="Yes",$E1597&gt;=VLOOKUP($D1597,Merchantability!$B:$D,3,0),$E1597&lt;=VLOOKUP($D1597,Merchantability!$B:$E,4,0)),AC1597,0)</f>
        <v>#N/A</v>
      </c>
      <c r="AI1597" s="104" t="e">
        <f t="shared" si="708"/>
        <v>#N/A</v>
      </c>
      <c r="AJ1597" s="104" t="e">
        <f t="shared" si="709"/>
        <v>#VALUE!</v>
      </c>
      <c r="AK1597" s="104" t="e">
        <f t="shared" si="710"/>
        <v>#N/A</v>
      </c>
      <c r="AL1597" s="104" t="e">
        <f t="shared" si="711"/>
        <v>#N/A</v>
      </c>
      <c r="AM1597" s="104" t="e">
        <f t="shared" si="712"/>
        <v>#N/A</v>
      </c>
      <c r="AN1597" s="104" t="e">
        <f t="shared" si="696"/>
        <v>#N/A</v>
      </c>
      <c r="AO1597" s="104" t="e">
        <f t="shared" si="697"/>
        <v>#N/A</v>
      </c>
      <c r="AP1597" s="104" t="e">
        <f t="shared" si="698"/>
        <v>#N/A</v>
      </c>
      <c r="AQ1597" s="104" t="e">
        <f t="shared" si="699"/>
        <v>#N/A</v>
      </c>
      <c r="AR1597" s="105" t="str">
        <f t="shared" si="691"/>
        <v/>
      </c>
      <c r="AS1597" s="105" t="str">
        <f t="shared" si="692"/>
        <v/>
      </c>
      <c r="AT1597" s="108" t="str">
        <f t="shared" si="693"/>
        <v/>
      </c>
      <c r="AU1597" s="108" t="str">
        <f t="shared" si="694"/>
        <v/>
      </c>
      <c r="AV1597" s="107" t="str">
        <f>IF(ISNUMBER(O1597),IF(VLOOKUP($A1597,Stand!C:J,8,FALSE)="Short",AT1597,AU1597),"")</f>
        <v/>
      </c>
      <c r="AW1597" s="109" t="str">
        <f t="shared" si="700"/>
        <v/>
      </c>
      <c r="AX1597" s="109" t="str">
        <f t="shared" si="701"/>
        <v/>
      </c>
      <c r="AY1597" s="112" t="str">
        <f>IF(ISNUMBER(O1597),IF(AND(VLOOKUP($D1597,Merchantability!$B:$C,2,0)="Yes",$E1597&gt;=VLOOKUP($D1597,Merchantability!$B:$D,3,0),$E1597&lt;=VLOOKUP($D1597,Merchantability!$B:$E,4,0)),(AV1597*O1597)*(1-$H1597/100),""),"")</f>
        <v/>
      </c>
      <c r="AZ1597" s="116"/>
      <c r="BA1597" s="116"/>
      <c r="BB1597" s="116"/>
      <c r="BE1597" s="62"/>
      <c r="BF1597" s="63"/>
    </row>
    <row r="1598" spans="1:58" ht="12.75" customHeight="1" x14ac:dyDescent="0.25">
      <c r="A1598" s="333"/>
      <c r="B1598" s="334"/>
      <c r="C1598" s="332"/>
      <c r="D1598" s="334"/>
      <c r="E1598" s="335"/>
      <c r="F1598" s="334"/>
      <c r="G1598" s="332"/>
      <c r="H1598" s="332"/>
      <c r="I1598" s="334"/>
      <c r="J1598" s="336"/>
      <c r="K1598" s="332"/>
      <c r="L1598" s="332"/>
      <c r="M1598" s="76"/>
      <c r="N1598" s="103" t="str">
        <f>IF(A1598="","",VLOOKUP(A1598,Stand!C:K,9,0))</f>
        <v/>
      </c>
      <c r="O1598" s="104" t="str">
        <f t="shared" si="686"/>
        <v/>
      </c>
      <c r="P1598" s="105" t="str">
        <f t="shared" si="687"/>
        <v/>
      </c>
      <c r="Q1598" s="105" t="str">
        <f t="shared" si="702"/>
        <v/>
      </c>
      <c r="R1598" s="103" t="str">
        <f t="shared" si="688"/>
        <v/>
      </c>
      <c r="S1598" s="103" t="str">
        <f t="shared" si="689"/>
        <v/>
      </c>
      <c r="T1598" s="106" t="str">
        <f t="shared" si="703"/>
        <v/>
      </c>
      <c r="U1598" s="106" t="str">
        <f t="shared" si="704"/>
        <v/>
      </c>
      <c r="V1598" s="106" t="str">
        <f t="shared" si="705"/>
        <v/>
      </c>
      <c r="W1598" s="105" t="str">
        <f t="shared" si="690"/>
        <v/>
      </c>
      <c r="X1598" s="104" t="str">
        <f t="shared" si="695"/>
        <v/>
      </c>
      <c r="Y1598" s="104" t="str">
        <f t="array" ref="Y1598">IFERROR(IF(ISNUMBER(O1598),IF(COUNT(IF(A1598=$A$2:$A$2427,IF(D1598=$D$2:$D$2427,IF($X$2:$X$2427&gt;0,1))))&gt;0,SUM(IF(A1598=$A$2:$A$2427,IF(D1598=$D$2:$D$2427,$X$2:$X$2427)))/COUNT(IF(A1598=$A$2:$A$2427,IF(D1598=$D$2:$D$2427,IF(ISNUMBER($X$2:$X$2427),1)))),0),""),0)</f>
        <v/>
      </c>
      <c r="Z1598" s="104" t="str">
        <f>IF(ISNUMBER(O1598),IF(I1598&gt;0,(10^(VLOOKUP(D1598,'Species Codes'!B:C,2,0)+VLOOKUP(D1598,'Species Codes'!B:D,3,0)*LOG(E1598)+VLOOKUP(D1598,'Species Codes'!B:E,4,0)*LOG(I1598))),0),"")</f>
        <v/>
      </c>
      <c r="AA1598" s="104" t="str">
        <f>IFERROR((VLOOKUP(D1598,'Species Codes'!B:G,6,0)*Z1598)/2000,"")</f>
        <v/>
      </c>
      <c r="AB1598" s="104" t="e">
        <f>IF(Z1598&gt;0,((IF(OR(D1598="DF",D1598="RA")=TRUE,EXP(VLOOKUP(D1598,'Species Codes'!B:I,8,0)+VLOOKUP(D1598,'Species Codes'!B:J,9,0)*(LN((E1598*2.54)))),IF(OR(D1598="PY",D1598="RC",D1598="WH",D1598="NF")=TRUE,VLOOKUP(D1598,'Species Codes'!B:I,8,0)+VLOOKUP(D1598,'Species Codes'!B:J,9,0)*((E1598*2.54)^2)*(I1598*0.3048),IF(OR(D1598="MD",D1598="BM",D1598="GA")=TRUE,((VLOOKUP(D1598,'Species Codes'!B:I,8,0)*(((((E1598*2.54)+VLOOKUP(D1598,'Species Codes'!B:J,9,0))/VLOOKUP(D1598,'Species Codes'!B:K,10,0))^VLOOKUP(D1598,'Species Codes'!B:L,11,0))*((I1598*0.3048)^VLOOKUP(D1598,'Species Codes'!B:M,12,0))))-(VLOOKUP(D1598,'Species Codes'!B:I,8,0)*((((E1598*2.54)^VLOOKUP(D1598,'Species Codes'!B:L,11,0))*((I1598*0.3048)^VLOOKUP(D1598,'Species Codes'!B:M,12,0))))))*35.3*VLOOKUP(D1598,'Species Codes'!B:G,6,0)/2.2046,VLOOKUP(D1598,'Species Codes'!B:I,8,0)+VLOOKUP(D1598,'Species Codes'!B:J,9,0)*(((E1598*2.54)/100)^2)*(I1598*0.3048)))))*0.0011023),0)</f>
        <v>#N/A</v>
      </c>
      <c r="AC1598" s="104" t="e">
        <f>IF(Z1598&gt;0,((IF(OR(D1598="RA",D1598="OA",D1598="OT",D1598="UN",D1598="PC"),EXP(VLOOKUP(D1598,'Species Codes'!B:O,14,0)+VLOOKUP(D1598,'Species Codes'!B:P,15,0)*LN((E1598*2.54)))-EXP(VLOOKUP(D1598,'Species Codes'!B:O,14,0)+VLOOKUP(D1598,'Species Codes'!B:P,15,0)*LN((E1598*2.54)))*(1/(VLOOKUP(D1598,'Species Codes'!B:Q,16,0)+VLOOKUP(D1598,'Species Codes'!B:R,17,0)*((E1598*2.54)^VLOOKUP(D1598,'Species Codes'!B:S,18,0)))),IF(OR(D1598="BM",D1598="MD",D1598="OA"),EXP(VLOOKUP(D1598,'Species Codes'!B:O,14,0)+VLOOKUP(D1598,'Species Codes'!B:P,15,0)*LN((E1598*2.54)))*(1-(1/(VLOOKUP(D1598,'Species Codes'!B:Q,16,0)+VLOOKUP(D1598,'Species Codes'!B:R,17,0)*((E1598*2.54)^VLOOKUP(D1598,'Species Codes'!B:S,18,0)))))/1000,IF(D1598="DF",EXP(VLOOKUP(D1598,'Species Codes'!B:O,14,0)+VLOOKUP(D1598,'Species Codes'!B:P,15,0)*LN((E1598*2.54))),VLOOKUP(D1598,'Species Codes'!B:O,14,0)+VLOOKUP(D1598,'Species Codes'!B:P,15,0)*(((E1598*2.54)/100)^2)*(I1598*0.3048)))))*0.0011023),0)</f>
        <v>#N/A</v>
      </c>
      <c r="AD1598" s="104" t="e">
        <f t="shared" si="706"/>
        <v>#N/A</v>
      </c>
      <c r="AE1598" s="104" t="e">
        <f t="shared" si="707"/>
        <v>#N/A</v>
      </c>
      <c r="AF1598" s="104" t="e">
        <f>IF(AND(VLOOKUP($D1598,Merchantability!$B:$C,2,0)="Yes",$E1598&gt;=VLOOKUP($D1598,Merchantability!$B:$D,3,0),$E1598&lt;=VLOOKUP($D1598,Merchantability!$B:$E,4,0)),AA1598,0)</f>
        <v>#N/A</v>
      </c>
      <c r="AG1598" s="104" t="e">
        <f>IF(AND(VLOOKUP($D1598,Merchantability!$B:$C,2,0)="Yes",$E1598&gt;=VLOOKUP($D1598,Merchantability!$B:$D,3,0),$E1598&lt;=VLOOKUP($D1598,Merchantability!$B:$E,4,0)),AB1598,0)</f>
        <v>#N/A</v>
      </c>
      <c r="AH1598" s="104" t="e">
        <f>IF(AND(VLOOKUP($D1598,Merchantability!$B:$C,2,0)="Yes",$E1598&gt;=VLOOKUP($D1598,Merchantability!$B:$D,3,0),$E1598&lt;=VLOOKUP($D1598,Merchantability!$B:$E,4,0)),AC1598,0)</f>
        <v>#N/A</v>
      </c>
      <c r="AI1598" s="104" t="e">
        <f t="shared" si="708"/>
        <v>#N/A</v>
      </c>
      <c r="AJ1598" s="104" t="e">
        <f t="shared" si="709"/>
        <v>#VALUE!</v>
      </c>
      <c r="AK1598" s="104" t="e">
        <f t="shared" si="710"/>
        <v>#N/A</v>
      </c>
      <c r="AL1598" s="104" t="e">
        <f t="shared" si="711"/>
        <v>#N/A</v>
      </c>
      <c r="AM1598" s="104" t="e">
        <f t="shared" si="712"/>
        <v>#N/A</v>
      </c>
      <c r="AN1598" s="104" t="e">
        <f t="shared" si="696"/>
        <v>#N/A</v>
      </c>
      <c r="AO1598" s="104" t="e">
        <f t="shared" si="697"/>
        <v>#N/A</v>
      </c>
      <c r="AP1598" s="104" t="e">
        <f t="shared" si="698"/>
        <v>#N/A</v>
      </c>
      <c r="AQ1598" s="104" t="e">
        <f t="shared" si="699"/>
        <v>#N/A</v>
      </c>
      <c r="AR1598" s="105" t="str">
        <f t="shared" si="691"/>
        <v/>
      </c>
      <c r="AS1598" s="105" t="str">
        <f t="shared" si="692"/>
        <v/>
      </c>
      <c r="AT1598" s="108" t="str">
        <f t="shared" si="693"/>
        <v/>
      </c>
      <c r="AU1598" s="108" t="str">
        <f t="shared" si="694"/>
        <v/>
      </c>
      <c r="AV1598" s="107" t="str">
        <f>IF(ISNUMBER(O1598),IF(VLOOKUP($A1598,Stand!C:J,8,FALSE)="Short",AT1598,AU1598),"")</f>
        <v/>
      </c>
      <c r="AW1598" s="109" t="str">
        <f t="shared" si="700"/>
        <v/>
      </c>
      <c r="AX1598" s="109" t="str">
        <f t="shared" si="701"/>
        <v/>
      </c>
      <c r="AY1598" s="112" t="str">
        <f>IF(ISNUMBER(O1598),IF(AND(VLOOKUP($D1598,Merchantability!$B:$C,2,0)="Yes",$E1598&gt;=VLOOKUP($D1598,Merchantability!$B:$D,3,0),$E1598&lt;=VLOOKUP($D1598,Merchantability!$B:$E,4,0)),(AV1598*O1598)*(1-$H1598/100),""),"")</f>
        <v/>
      </c>
      <c r="AZ1598" s="116"/>
      <c r="BA1598" s="116"/>
      <c r="BB1598" s="116"/>
      <c r="BE1598" s="62"/>
      <c r="BF1598" s="63"/>
    </row>
    <row r="1599" spans="1:58" ht="12.75" customHeight="1" x14ac:dyDescent="0.25">
      <c r="A1599" s="333"/>
      <c r="B1599" s="334"/>
      <c r="C1599" s="332"/>
      <c r="D1599" s="334"/>
      <c r="E1599" s="335"/>
      <c r="F1599" s="334"/>
      <c r="G1599" s="332"/>
      <c r="H1599" s="332"/>
      <c r="I1599" s="334"/>
      <c r="J1599" s="336"/>
      <c r="K1599" s="332"/>
      <c r="L1599" s="332"/>
      <c r="M1599" s="76"/>
      <c r="N1599" s="103" t="str">
        <f>IF(A1599="","",VLOOKUP(A1599,Stand!C:K,9,0))</f>
        <v/>
      </c>
      <c r="O1599" s="104" t="str">
        <f t="shared" si="686"/>
        <v/>
      </c>
      <c r="P1599" s="105" t="str">
        <f t="shared" si="687"/>
        <v/>
      </c>
      <c r="Q1599" s="105" t="str">
        <f t="shared" si="702"/>
        <v/>
      </c>
      <c r="R1599" s="103" t="str">
        <f t="shared" si="688"/>
        <v/>
      </c>
      <c r="S1599" s="103" t="str">
        <f t="shared" si="689"/>
        <v/>
      </c>
      <c r="T1599" s="106" t="str">
        <f t="shared" si="703"/>
        <v/>
      </c>
      <c r="U1599" s="106" t="str">
        <f t="shared" si="704"/>
        <v/>
      </c>
      <c r="V1599" s="106" t="str">
        <f t="shared" si="705"/>
        <v/>
      </c>
      <c r="W1599" s="105" t="str">
        <f t="shared" si="690"/>
        <v/>
      </c>
      <c r="X1599" s="104" t="str">
        <f t="shared" si="695"/>
        <v/>
      </c>
      <c r="Y1599" s="104" t="str">
        <f t="array" ref="Y1599">IFERROR(IF(ISNUMBER(O1599),IF(COUNT(IF(A1599=$A$2:$A$2427,IF(D1599=$D$2:$D$2427,IF($X$2:$X$2427&gt;0,1))))&gt;0,SUM(IF(A1599=$A$2:$A$2427,IF(D1599=$D$2:$D$2427,$X$2:$X$2427)))/COUNT(IF(A1599=$A$2:$A$2427,IF(D1599=$D$2:$D$2427,IF(ISNUMBER($X$2:$X$2427),1)))),0),""),0)</f>
        <v/>
      </c>
      <c r="Z1599" s="104" t="str">
        <f>IF(ISNUMBER(O1599),IF(I1599&gt;0,(10^(VLOOKUP(D1599,'Species Codes'!B:C,2,0)+VLOOKUP(D1599,'Species Codes'!B:D,3,0)*LOG(E1599)+VLOOKUP(D1599,'Species Codes'!B:E,4,0)*LOG(I1599))),0),"")</f>
        <v/>
      </c>
      <c r="AA1599" s="104" t="str">
        <f>IFERROR((VLOOKUP(D1599,'Species Codes'!B:G,6,0)*Z1599)/2000,"")</f>
        <v/>
      </c>
      <c r="AB1599" s="104" t="e">
        <f>IF(Z1599&gt;0,((IF(OR(D1599="DF",D1599="RA")=TRUE,EXP(VLOOKUP(D1599,'Species Codes'!B:I,8,0)+VLOOKUP(D1599,'Species Codes'!B:J,9,0)*(LN((E1599*2.54)))),IF(OR(D1599="PY",D1599="RC",D1599="WH",D1599="NF")=TRUE,VLOOKUP(D1599,'Species Codes'!B:I,8,0)+VLOOKUP(D1599,'Species Codes'!B:J,9,0)*((E1599*2.54)^2)*(I1599*0.3048),IF(OR(D1599="MD",D1599="BM",D1599="GA")=TRUE,((VLOOKUP(D1599,'Species Codes'!B:I,8,0)*(((((E1599*2.54)+VLOOKUP(D1599,'Species Codes'!B:J,9,0))/VLOOKUP(D1599,'Species Codes'!B:K,10,0))^VLOOKUP(D1599,'Species Codes'!B:L,11,0))*((I1599*0.3048)^VLOOKUP(D1599,'Species Codes'!B:M,12,0))))-(VLOOKUP(D1599,'Species Codes'!B:I,8,0)*((((E1599*2.54)^VLOOKUP(D1599,'Species Codes'!B:L,11,0))*((I1599*0.3048)^VLOOKUP(D1599,'Species Codes'!B:M,12,0))))))*35.3*VLOOKUP(D1599,'Species Codes'!B:G,6,0)/2.2046,VLOOKUP(D1599,'Species Codes'!B:I,8,0)+VLOOKUP(D1599,'Species Codes'!B:J,9,0)*(((E1599*2.54)/100)^2)*(I1599*0.3048)))))*0.0011023),0)</f>
        <v>#N/A</v>
      </c>
      <c r="AC1599" s="104" t="e">
        <f>IF(Z1599&gt;0,((IF(OR(D1599="RA",D1599="OA",D1599="OT",D1599="UN",D1599="PC"),EXP(VLOOKUP(D1599,'Species Codes'!B:O,14,0)+VLOOKUP(D1599,'Species Codes'!B:P,15,0)*LN((E1599*2.54)))-EXP(VLOOKUP(D1599,'Species Codes'!B:O,14,0)+VLOOKUP(D1599,'Species Codes'!B:P,15,0)*LN((E1599*2.54)))*(1/(VLOOKUP(D1599,'Species Codes'!B:Q,16,0)+VLOOKUP(D1599,'Species Codes'!B:R,17,0)*((E1599*2.54)^VLOOKUP(D1599,'Species Codes'!B:S,18,0)))),IF(OR(D1599="BM",D1599="MD",D1599="OA"),EXP(VLOOKUP(D1599,'Species Codes'!B:O,14,0)+VLOOKUP(D1599,'Species Codes'!B:P,15,0)*LN((E1599*2.54)))*(1-(1/(VLOOKUP(D1599,'Species Codes'!B:Q,16,0)+VLOOKUP(D1599,'Species Codes'!B:R,17,0)*((E1599*2.54)^VLOOKUP(D1599,'Species Codes'!B:S,18,0)))))/1000,IF(D1599="DF",EXP(VLOOKUP(D1599,'Species Codes'!B:O,14,0)+VLOOKUP(D1599,'Species Codes'!B:P,15,0)*LN((E1599*2.54))),VLOOKUP(D1599,'Species Codes'!B:O,14,0)+VLOOKUP(D1599,'Species Codes'!B:P,15,0)*(((E1599*2.54)/100)^2)*(I1599*0.3048)))))*0.0011023),0)</f>
        <v>#N/A</v>
      </c>
      <c r="AD1599" s="104" t="e">
        <f t="shared" si="706"/>
        <v>#N/A</v>
      </c>
      <c r="AE1599" s="104" t="e">
        <f t="shared" si="707"/>
        <v>#N/A</v>
      </c>
      <c r="AF1599" s="104" t="e">
        <f>IF(AND(VLOOKUP($D1599,Merchantability!$B:$C,2,0)="Yes",$E1599&gt;=VLOOKUP($D1599,Merchantability!$B:$D,3,0),$E1599&lt;=VLOOKUP($D1599,Merchantability!$B:$E,4,0)),AA1599,0)</f>
        <v>#N/A</v>
      </c>
      <c r="AG1599" s="104" t="e">
        <f>IF(AND(VLOOKUP($D1599,Merchantability!$B:$C,2,0)="Yes",$E1599&gt;=VLOOKUP($D1599,Merchantability!$B:$D,3,0),$E1599&lt;=VLOOKUP($D1599,Merchantability!$B:$E,4,0)),AB1599,0)</f>
        <v>#N/A</v>
      </c>
      <c r="AH1599" s="104" t="e">
        <f>IF(AND(VLOOKUP($D1599,Merchantability!$B:$C,2,0)="Yes",$E1599&gt;=VLOOKUP($D1599,Merchantability!$B:$D,3,0),$E1599&lt;=VLOOKUP($D1599,Merchantability!$B:$E,4,0)),AC1599,0)</f>
        <v>#N/A</v>
      </c>
      <c r="AI1599" s="104" t="e">
        <f t="shared" si="708"/>
        <v>#N/A</v>
      </c>
      <c r="AJ1599" s="104" t="e">
        <f t="shared" si="709"/>
        <v>#VALUE!</v>
      </c>
      <c r="AK1599" s="104" t="e">
        <f t="shared" si="710"/>
        <v>#N/A</v>
      </c>
      <c r="AL1599" s="104" t="e">
        <f t="shared" si="711"/>
        <v>#N/A</v>
      </c>
      <c r="AM1599" s="104" t="e">
        <f t="shared" si="712"/>
        <v>#N/A</v>
      </c>
      <c r="AN1599" s="104" t="e">
        <f t="shared" si="696"/>
        <v>#N/A</v>
      </c>
      <c r="AO1599" s="104" t="e">
        <f t="shared" si="697"/>
        <v>#N/A</v>
      </c>
      <c r="AP1599" s="104" t="e">
        <f t="shared" si="698"/>
        <v>#N/A</v>
      </c>
      <c r="AQ1599" s="104" t="e">
        <f t="shared" si="699"/>
        <v>#N/A</v>
      </c>
      <c r="AR1599" s="105" t="str">
        <f t="shared" si="691"/>
        <v/>
      </c>
      <c r="AS1599" s="105" t="str">
        <f t="shared" si="692"/>
        <v/>
      </c>
      <c r="AT1599" s="108" t="str">
        <f t="shared" si="693"/>
        <v/>
      </c>
      <c r="AU1599" s="108" t="str">
        <f t="shared" si="694"/>
        <v/>
      </c>
      <c r="AV1599" s="107" t="str">
        <f>IF(ISNUMBER(O1599),IF(VLOOKUP($A1599,Stand!C:J,8,FALSE)="Short",AT1599,AU1599),"")</f>
        <v/>
      </c>
      <c r="AW1599" s="109" t="str">
        <f t="shared" si="700"/>
        <v/>
      </c>
      <c r="AX1599" s="109" t="str">
        <f t="shared" si="701"/>
        <v/>
      </c>
      <c r="AY1599" s="112" t="str">
        <f>IF(ISNUMBER(O1599),IF(AND(VLOOKUP($D1599,Merchantability!$B:$C,2,0)="Yes",$E1599&gt;=VLOOKUP($D1599,Merchantability!$B:$D,3,0),$E1599&lt;=VLOOKUP($D1599,Merchantability!$B:$E,4,0)),(AV1599*O1599)*(1-$H1599/100),""),"")</f>
        <v/>
      </c>
      <c r="AZ1599" s="116"/>
      <c r="BA1599" s="116"/>
      <c r="BB1599" s="116"/>
      <c r="BE1599" s="62"/>
      <c r="BF1599" s="63"/>
    </row>
    <row r="1600" spans="1:58" ht="12.75" customHeight="1" x14ac:dyDescent="0.25">
      <c r="A1600" s="333"/>
      <c r="B1600" s="334"/>
      <c r="C1600" s="332"/>
      <c r="D1600" s="334"/>
      <c r="E1600" s="335"/>
      <c r="F1600" s="334"/>
      <c r="G1600" s="332"/>
      <c r="H1600" s="332"/>
      <c r="I1600" s="334"/>
      <c r="J1600" s="336"/>
      <c r="K1600" s="332"/>
      <c r="L1600" s="332"/>
      <c r="M1600" s="76"/>
      <c r="N1600" s="103" t="str">
        <f>IF(A1600="","",VLOOKUP(A1600,Stand!C:K,9,0))</f>
        <v/>
      </c>
      <c r="O1600" s="104" t="str">
        <f t="shared" si="686"/>
        <v/>
      </c>
      <c r="P1600" s="105" t="str">
        <f t="shared" si="687"/>
        <v/>
      </c>
      <c r="Q1600" s="105" t="str">
        <f t="shared" si="702"/>
        <v/>
      </c>
      <c r="R1600" s="103" t="str">
        <f t="shared" si="688"/>
        <v/>
      </c>
      <c r="S1600" s="103" t="str">
        <f t="shared" si="689"/>
        <v/>
      </c>
      <c r="T1600" s="106" t="str">
        <f t="shared" si="703"/>
        <v/>
      </c>
      <c r="U1600" s="106" t="str">
        <f t="shared" si="704"/>
        <v/>
      </c>
      <c r="V1600" s="106" t="str">
        <f t="shared" si="705"/>
        <v/>
      </c>
      <c r="W1600" s="105" t="str">
        <f t="shared" si="690"/>
        <v/>
      </c>
      <c r="X1600" s="104" t="str">
        <f t="shared" si="695"/>
        <v/>
      </c>
      <c r="Y1600" s="104" t="str">
        <f t="array" ref="Y1600">IFERROR(IF(ISNUMBER(O1600),IF(COUNT(IF(A1600=$A$2:$A$2427,IF(D1600=$D$2:$D$2427,IF($X$2:$X$2427&gt;0,1))))&gt;0,SUM(IF(A1600=$A$2:$A$2427,IF(D1600=$D$2:$D$2427,$X$2:$X$2427)))/COUNT(IF(A1600=$A$2:$A$2427,IF(D1600=$D$2:$D$2427,IF(ISNUMBER($X$2:$X$2427),1)))),0),""),0)</f>
        <v/>
      </c>
      <c r="Z1600" s="104" t="str">
        <f>IF(ISNUMBER(O1600),IF(I1600&gt;0,(10^(VLOOKUP(D1600,'Species Codes'!B:C,2,0)+VLOOKUP(D1600,'Species Codes'!B:D,3,0)*LOG(E1600)+VLOOKUP(D1600,'Species Codes'!B:E,4,0)*LOG(I1600))),0),"")</f>
        <v/>
      </c>
      <c r="AA1600" s="104" t="str">
        <f>IFERROR((VLOOKUP(D1600,'Species Codes'!B:G,6,0)*Z1600)/2000,"")</f>
        <v/>
      </c>
      <c r="AB1600" s="104" t="e">
        <f>IF(Z1600&gt;0,((IF(OR(D1600="DF",D1600="RA")=TRUE,EXP(VLOOKUP(D1600,'Species Codes'!B:I,8,0)+VLOOKUP(D1600,'Species Codes'!B:J,9,0)*(LN((E1600*2.54)))),IF(OR(D1600="PY",D1600="RC",D1600="WH",D1600="NF")=TRUE,VLOOKUP(D1600,'Species Codes'!B:I,8,0)+VLOOKUP(D1600,'Species Codes'!B:J,9,0)*((E1600*2.54)^2)*(I1600*0.3048),IF(OR(D1600="MD",D1600="BM",D1600="GA")=TRUE,((VLOOKUP(D1600,'Species Codes'!B:I,8,0)*(((((E1600*2.54)+VLOOKUP(D1600,'Species Codes'!B:J,9,0))/VLOOKUP(D1600,'Species Codes'!B:K,10,0))^VLOOKUP(D1600,'Species Codes'!B:L,11,0))*((I1600*0.3048)^VLOOKUP(D1600,'Species Codes'!B:M,12,0))))-(VLOOKUP(D1600,'Species Codes'!B:I,8,0)*((((E1600*2.54)^VLOOKUP(D1600,'Species Codes'!B:L,11,0))*((I1600*0.3048)^VLOOKUP(D1600,'Species Codes'!B:M,12,0))))))*35.3*VLOOKUP(D1600,'Species Codes'!B:G,6,0)/2.2046,VLOOKUP(D1600,'Species Codes'!B:I,8,0)+VLOOKUP(D1600,'Species Codes'!B:J,9,0)*(((E1600*2.54)/100)^2)*(I1600*0.3048)))))*0.0011023),0)</f>
        <v>#N/A</v>
      </c>
      <c r="AC1600" s="104" t="e">
        <f>IF(Z1600&gt;0,((IF(OR(D1600="RA",D1600="OA",D1600="OT",D1600="UN",D1600="PC"),EXP(VLOOKUP(D1600,'Species Codes'!B:O,14,0)+VLOOKUP(D1600,'Species Codes'!B:P,15,0)*LN((E1600*2.54)))-EXP(VLOOKUP(D1600,'Species Codes'!B:O,14,0)+VLOOKUP(D1600,'Species Codes'!B:P,15,0)*LN((E1600*2.54)))*(1/(VLOOKUP(D1600,'Species Codes'!B:Q,16,0)+VLOOKUP(D1600,'Species Codes'!B:R,17,0)*((E1600*2.54)^VLOOKUP(D1600,'Species Codes'!B:S,18,0)))),IF(OR(D1600="BM",D1600="MD",D1600="OA"),EXP(VLOOKUP(D1600,'Species Codes'!B:O,14,0)+VLOOKUP(D1600,'Species Codes'!B:P,15,0)*LN((E1600*2.54)))*(1-(1/(VLOOKUP(D1600,'Species Codes'!B:Q,16,0)+VLOOKUP(D1600,'Species Codes'!B:R,17,0)*((E1600*2.54)^VLOOKUP(D1600,'Species Codes'!B:S,18,0)))))/1000,IF(D1600="DF",EXP(VLOOKUP(D1600,'Species Codes'!B:O,14,0)+VLOOKUP(D1600,'Species Codes'!B:P,15,0)*LN((E1600*2.54))),VLOOKUP(D1600,'Species Codes'!B:O,14,0)+VLOOKUP(D1600,'Species Codes'!B:P,15,0)*(((E1600*2.54)/100)^2)*(I1600*0.3048)))))*0.0011023),0)</f>
        <v>#N/A</v>
      </c>
      <c r="AD1600" s="104" t="e">
        <f t="shared" si="706"/>
        <v>#N/A</v>
      </c>
      <c r="AE1600" s="104" t="e">
        <f t="shared" si="707"/>
        <v>#N/A</v>
      </c>
      <c r="AF1600" s="104" t="e">
        <f>IF(AND(VLOOKUP($D1600,Merchantability!$B:$C,2,0)="Yes",$E1600&gt;=VLOOKUP($D1600,Merchantability!$B:$D,3,0),$E1600&lt;=VLOOKUP($D1600,Merchantability!$B:$E,4,0)),AA1600,0)</f>
        <v>#N/A</v>
      </c>
      <c r="AG1600" s="104" t="e">
        <f>IF(AND(VLOOKUP($D1600,Merchantability!$B:$C,2,0)="Yes",$E1600&gt;=VLOOKUP($D1600,Merchantability!$B:$D,3,0),$E1600&lt;=VLOOKUP($D1600,Merchantability!$B:$E,4,0)),AB1600,0)</f>
        <v>#N/A</v>
      </c>
      <c r="AH1600" s="104" t="e">
        <f>IF(AND(VLOOKUP($D1600,Merchantability!$B:$C,2,0)="Yes",$E1600&gt;=VLOOKUP($D1600,Merchantability!$B:$D,3,0),$E1600&lt;=VLOOKUP($D1600,Merchantability!$B:$E,4,0)),AC1600,0)</f>
        <v>#N/A</v>
      </c>
      <c r="AI1600" s="104" t="e">
        <f t="shared" si="708"/>
        <v>#N/A</v>
      </c>
      <c r="AJ1600" s="104" t="e">
        <f t="shared" si="709"/>
        <v>#VALUE!</v>
      </c>
      <c r="AK1600" s="104" t="e">
        <f t="shared" si="710"/>
        <v>#N/A</v>
      </c>
      <c r="AL1600" s="104" t="e">
        <f t="shared" si="711"/>
        <v>#N/A</v>
      </c>
      <c r="AM1600" s="104" t="e">
        <f t="shared" si="712"/>
        <v>#N/A</v>
      </c>
      <c r="AN1600" s="104" t="e">
        <f t="shared" si="696"/>
        <v>#N/A</v>
      </c>
      <c r="AO1600" s="104" t="e">
        <f t="shared" si="697"/>
        <v>#N/A</v>
      </c>
      <c r="AP1600" s="104" t="e">
        <f t="shared" si="698"/>
        <v>#N/A</v>
      </c>
      <c r="AQ1600" s="104" t="e">
        <f t="shared" si="699"/>
        <v>#N/A</v>
      </c>
      <c r="AR1600" s="105" t="str">
        <f t="shared" si="691"/>
        <v/>
      </c>
      <c r="AS1600" s="105" t="str">
        <f t="shared" si="692"/>
        <v/>
      </c>
      <c r="AT1600" s="108" t="str">
        <f t="shared" si="693"/>
        <v/>
      </c>
      <c r="AU1600" s="108" t="str">
        <f t="shared" si="694"/>
        <v/>
      </c>
      <c r="AV1600" s="107" t="str">
        <f>IF(ISNUMBER(O1600),IF(VLOOKUP($A1600,Stand!C:J,8,FALSE)="Short",AT1600,AU1600),"")</f>
        <v/>
      </c>
      <c r="AW1600" s="109" t="str">
        <f t="shared" si="700"/>
        <v/>
      </c>
      <c r="AX1600" s="109" t="str">
        <f t="shared" si="701"/>
        <v/>
      </c>
      <c r="AY1600" s="112" t="str">
        <f>IF(ISNUMBER(O1600),IF(AND(VLOOKUP($D1600,Merchantability!$B:$C,2,0)="Yes",$E1600&gt;=VLOOKUP($D1600,Merchantability!$B:$D,3,0),$E1600&lt;=VLOOKUP($D1600,Merchantability!$B:$E,4,0)),(AV1600*O1600)*(1-$H1600/100),""),"")</f>
        <v/>
      </c>
      <c r="AZ1600" s="116"/>
      <c r="BA1600" s="116"/>
      <c r="BB1600" s="116"/>
      <c r="BE1600" s="62"/>
      <c r="BF1600" s="63"/>
    </row>
    <row r="1601" spans="1:58" ht="12.75" customHeight="1" x14ac:dyDescent="0.25">
      <c r="A1601" s="333"/>
      <c r="B1601" s="334"/>
      <c r="C1601" s="332"/>
      <c r="D1601" s="334"/>
      <c r="E1601" s="335"/>
      <c r="F1601" s="334"/>
      <c r="G1601" s="332"/>
      <c r="H1601" s="332"/>
      <c r="I1601" s="334"/>
      <c r="J1601" s="336"/>
      <c r="K1601" s="332"/>
      <c r="L1601" s="332"/>
      <c r="M1601" s="76"/>
      <c r="N1601" s="103" t="str">
        <f>IF(A1601="","",VLOOKUP(A1601,Stand!C:K,9,0))</f>
        <v/>
      </c>
      <c r="O1601" s="104" t="str">
        <f t="shared" si="686"/>
        <v/>
      </c>
      <c r="P1601" s="105" t="str">
        <f t="shared" si="687"/>
        <v/>
      </c>
      <c r="Q1601" s="105" t="str">
        <f t="shared" si="702"/>
        <v/>
      </c>
      <c r="R1601" s="103" t="str">
        <f t="shared" si="688"/>
        <v/>
      </c>
      <c r="S1601" s="103" t="str">
        <f t="shared" si="689"/>
        <v/>
      </c>
      <c r="T1601" s="106" t="str">
        <f t="shared" si="703"/>
        <v/>
      </c>
      <c r="U1601" s="106" t="str">
        <f t="shared" si="704"/>
        <v/>
      </c>
      <c r="V1601" s="106" t="str">
        <f t="shared" si="705"/>
        <v/>
      </c>
      <c r="W1601" s="105" t="str">
        <f t="shared" si="690"/>
        <v/>
      </c>
      <c r="X1601" s="104" t="str">
        <f t="shared" si="695"/>
        <v/>
      </c>
      <c r="Y1601" s="104" t="str">
        <f t="array" ref="Y1601">IFERROR(IF(ISNUMBER(O1601),IF(COUNT(IF(A1601=$A$2:$A$2427,IF(D1601=$D$2:$D$2427,IF($X$2:$X$2427&gt;0,1))))&gt;0,SUM(IF(A1601=$A$2:$A$2427,IF(D1601=$D$2:$D$2427,$X$2:$X$2427)))/COUNT(IF(A1601=$A$2:$A$2427,IF(D1601=$D$2:$D$2427,IF(ISNUMBER($X$2:$X$2427),1)))),0),""),0)</f>
        <v/>
      </c>
      <c r="Z1601" s="104" t="str">
        <f>IF(ISNUMBER(O1601),IF(I1601&gt;0,(10^(VLOOKUP(D1601,'Species Codes'!B:C,2,0)+VLOOKUP(D1601,'Species Codes'!B:D,3,0)*LOG(E1601)+VLOOKUP(D1601,'Species Codes'!B:E,4,0)*LOG(I1601))),0),"")</f>
        <v/>
      </c>
      <c r="AA1601" s="104" t="str">
        <f>IFERROR((VLOOKUP(D1601,'Species Codes'!B:G,6,0)*Z1601)/2000,"")</f>
        <v/>
      </c>
      <c r="AB1601" s="104" t="e">
        <f>IF(Z1601&gt;0,((IF(OR(D1601="DF",D1601="RA")=TRUE,EXP(VLOOKUP(D1601,'Species Codes'!B:I,8,0)+VLOOKUP(D1601,'Species Codes'!B:J,9,0)*(LN((E1601*2.54)))),IF(OR(D1601="PY",D1601="RC",D1601="WH",D1601="NF")=TRUE,VLOOKUP(D1601,'Species Codes'!B:I,8,0)+VLOOKUP(D1601,'Species Codes'!B:J,9,0)*((E1601*2.54)^2)*(I1601*0.3048),IF(OR(D1601="MD",D1601="BM",D1601="GA")=TRUE,((VLOOKUP(D1601,'Species Codes'!B:I,8,0)*(((((E1601*2.54)+VLOOKUP(D1601,'Species Codes'!B:J,9,0))/VLOOKUP(D1601,'Species Codes'!B:K,10,0))^VLOOKUP(D1601,'Species Codes'!B:L,11,0))*((I1601*0.3048)^VLOOKUP(D1601,'Species Codes'!B:M,12,0))))-(VLOOKUP(D1601,'Species Codes'!B:I,8,0)*((((E1601*2.54)^VLOOKUP(D1601,'Species Codes'!B:L,11,0))*((I1601*0.3048)^VLOOKUP(D1601,'Species Codes'!B:M,12,0))))))*35.3*VLOOKUP(D1601,'Species Codes'!B:G,6,0)/2.2046,VLOOKUP(D1601,'Species Codes'!B:I,8,0)+VLOOKUP(D1601,'Species Codes'!B:J,9,0)*(((E1601*2.54)/100)^2)*(I1601*0.3048)))))*0.0011023),0)</f>
        <v>#N/A</v>
      </c>
      <c r="AC1601" s="104" t="e">
        <f>IF(Z1601&gt;0,((IF(OR(D1601="RA",D1601="OA",D1601="OT",D1601="UN",D1601="PC"),EXP(VLOOKUP(D1601,'Species Codes'!B:O,14,0)+VLOOKUP(D1601,'Species Codes'!B:P,15,0)*LN((E1601*2.54)))-EXP(VLOOKUP(D1601,'Species Codes'!B:O,14,0)+VLOOKUP(D1601,'Species Codes'!B:P,15,0)*LN((E1601*2.54)))*(1/(VLOOKUP(D1601,'Species Codes'!B:Q,16,0)+VLOOKUP(D1601,'Species Codes'!B:R,17,0)*((E1601*2.54)^VLOOKUP(D1601,'Species Codes'!B:S,18,0)))),IF(OR(D1601="BM",D1601="MD",D1601="OA"),EXP(VLOOKUP(D1601,'Species Codes'!B:O,14,0)+VLOOKUP(D1601,'Species Codes'!B:P,15,0)*LN((E1601*2.54)))*(1-(1/(VLOOKUP(D1601,'Species Codes'!B:Q,16,0)+VLOOKUP(D1601,'Species Codes'!B:R,17,0)*((E1601*2.54)^VLOOKUP(D1601,'Species Codes'!B:S,18,0)))))/1000,IF(D1601="DF",EXP(VLOOKUP(D1601,'Species Codes'!B:O,14,0)+VLOOKUP(D1601,'Species Codes'!B:P,15,0)*LN((E1601*2.54))),VLOOKUP(D1601,'Species Codes'!B:O,14,0)+VLOOKUP(D1601,'Species Codes'!B:P,15,0)*(((E1601*2.54)/100)^2)*(I1601*0.3048)))))*0.0011023),0)</f>
        <v>#N/A</v>
      </c>
      <c r="AD1601" s="104" t="e">
        <f t="shared" si="706"/>
        <v>#N/A</v>
      </c>
      <c r="AE1601" s="104" t="e">
        <f t="shared" si="707"/>
        <v>#N/A</v>
      </c>
      <c r="AF1601" s="104" t="e">
        <f>IF(AND(VLOOKUP($D1601,Merchantability!$B:$C,2,0)="Yes",$E1601&gt;=VLOOKUP($D1601,Merchantability!$B:$D,3,0),$E1601&lt;=VLOOKUP($D1601,Merchantability!$B:$E,4,0)),AA1601,0)</f>
        <v>#N/A</v>
      </c>
      <c r="AG1601" s="104" t="e">
        <f>IF(AND(VLOOKUP($D1601,Merchantability!$B:$C,2,0)="Yes",$E1601&gt;=VLOOKUP($D1601,Merchantability!$B:$D,3,0),$E1601&lt;=VLOOKUP($D1601,Merchantability!$B:$E,4,0)),AB1601,0)</f>
        <v>#N/A</v>
      </c>
      <c r="AH1601" s="104" t="e">
        <f>IF(AND(VLOOKUP($D1601,Merchantability!$B:$C,2,0)="Yes",$E1601&gt;=VLOOKUP($D1601,Merchantability!$B:$D,3,0),$E1601&lt;=VLOOKUP($D1601,Merchantability!$B:$E,4,0)),AC1601,0)</f>
        <v>#N/A</v>
      </c>
      <c r="AI1601" s="104" t="e">
        <f t="shared" si="708"/>
        <v>#N/A</v>
      </c>
      <c r="AJ1601" s="104" t="e">
        <f t="shared" si="709"/>
        <v>#VALUE!</v>
      </c>
      <c r="AK1601" s="104" t="e">
        <f t="shared" si="710"/>
        <v>#N/A</v>
      </c>
      <c r="AL1601" s="104" t="e">
        <f t="shared" si="711"/>
        <v>#N/A</v>
      </c>
      <c r="AM1601" s="104" t="e">
        <f t="shared" si="712"/>
        <v>#N/A</v>
      </c>
      <c r="AN1601" s="104" t="e">
        <f t="shared" si="696"/>
        <v>#N/A</v>
      </c>
      <c r="AO1601" s="104" t="e">
        <f t="shared" si="697"/>
        <v>#N/A</v>
      </c>
      <c r="AP1601" s="104" t="e">
        <f t="shared" si="698"/>
        <v>#N/A</v>
      </c>
      <c r="AQ1601" s="104" t="e">
        <f t="shared" si="699"/>
        <v>#N/A</v>
      </c>
      <c r="AR1601" s="105" t="str">
        <f t="shared" si="691"/>
        <v/>
      </c>
      <c r="AS1601" s="105" t="str">
        <f t="shared" si="692"/>
        <v/>
      </c>
      <c r="AT1601" s="108" t="str">
        <f t="shared" si="693"/>
        <v/>
      </c>
      <c r="AU1601" s="108" t="str">
        <f t="shared" si="694"/>
        <v/>
      </c>
      <c r="AV1601" s="107" t="str">
        <f>IF(ISNUMBER(O1601),IF(VLOOKUP($A1601,Stand!C:J,8,FALSE)="Short",AT1601,AU1601),"")</f>
        <v/>
      </c>
      <c r="AW1601" s="109" t="str">
        <f t="shared" si="700"/>
        <v/>
      </c>
      <c r="AX1601" s="109" t="str">
        <f t="shared" si="701"/>
        <v/>
      </c>
      <c r="AY1601" s="112" t="str">
        <f>IF(ISNUMBER(O1601),IF(AND(VLOOKUP($D1601,Merchantability!$B:$C,2,0)="Yes",$E1601&gt;=VLOOKUP($D1601,Merchantability!$B:$D,3,0),$E1601&lt;=VLOOKUP($D1601,Merchantability!$B:$E,4,0)),(AV1601*O1601)*(1-$H1601/100),""),"")</f>
        <v/>
      </c>
      <c r="AZ1601" s="116"/>
      <c r="BA1601" s="116"/>
      <c r="BB1601" s="116"/>
      <c r="BE1601" s="62"/>
      <c r="BF1601" s="63"/>
    </row>
    <row r="1602" spans="1:58" ht="12.75" customHeight="1" x14ac:dyDescent="0.25">
      <c r="A1602" s="333"/>
      <c r="B1602" s="334"/>
      <c r="C1602" s="332"/>
      <c r="D1602" s="334"/>
      <c r="E1602" s="335"/>
      <c r="F1602" s="334"/>
      <c r="G1602" s="332"/>
      <c r="H1602" s="332"/>
      <c r="I1602" s="334"/>
      <c r="J1602" s="336"/>
      <c r="K1602" s="332"/>
      <c r="L1602" s="332"/>
      <c r="M1602" s="76"/>
      <c r="N1602" s="103" t="str">
        <f>IF(A1602="","",VLOOKUP(A1602,Stand!C:K,9,0))</f>
        <v/>
      </c>
      <c r="O1602" s="104" t="str">
        <f t="shared" ref="O1602:O1665" si="713">IF(E1602&gt;0,IF(G1602&gt;1,G1602*(43560/(N1602^2*3.14)),43560/(N1602^2*3.14)),"")</f>
        <v/>
      </c>
      <c r="P1602" s="105" t="str">
        <f t="shared" ref="P1602:P1665" si="714">IF(ISNUMBER(O1602),E1602*O1602,"")</f>
        <v/>
      </c>
      <c r="Q1602" s="105" t="str">
        <f t="shared" si="702"/>
        <v/>
      </c>
      <c r="R1602" s="103" t="str">
        <f t="shared" ref="R1602:R1665" si="715">IF(ISNUMBER(O1602),E1602^2*0.005454*O1602,"")</f>
        <v/>
      </c>
      <c r="S1602" s="103" t="str">
        <f t="shared" ref="S1602:S1665" si="716">IF(ISNUMBER(O1602),(E1602/10)^1.7*O1602,"")</f>
        <v/>
      </c>
      <c r="T1602" s="106" t="str">
        <f t="shared" si="703"/>
        <v/>
      </c>
      <c r="U1602" s="106" t="str">
        <f t="shared" si="704"/>
        <v/>
      </c>
      <c r="V1602" s="106" t="str">
        <f t="shared" si="705"/>
        <v/>
      </c>
      <c r="W1602" s="105" t="str">
        <f t="shared" ref="W1602:W1665" si="717">IF(AND(ISNUMBER(O1602),I1602&gt;0),I1602/(E1602/12),"")</f>
        <v/>
      </c>
      <c r="X1602" s="104" t="str">
        <f t="shared" si="695"/>
        <v/>
      </c>
      <c r="Y1602" s="104" t="str">
        <f t="array" ref="Y1602">IFERROR(IF(ISNUMBER(O1602),IF(COUNT(IF(A1602=$A$2:$A$2427,IF(D1602=$D$2:$D$2427,IF($X$2:$X$2427&gt;0,1))))&gt;0,SUM(IF(A1602=$A$2:$A$2427,IF(D1602=$D$2:$D$2427,$X$2:$X$2427)))/COUNT(IF(A1602=$A$2:$A$2427,IF(D1602=$D$2:$D$2427,IF(ISNUMBER($X$2:$X$2427),1)))),0),""),0)</f>
        <v/>
      </c>
      <c r="Z1602" s="104" t="str">
        <f>IF(ISNUMBER(O1602),IF(I1602&gt;0,(10^(VLOOKUP(D1602,'Species Codes'!B:C,2,0)+VLOOKUP(D1602,'Species Codes'!B:D,3,0)*LOG(E1602)+VLOOKUP(D1602,'Species Codes'!B:E,4,0)*LOG(I1602))),0),"")</f>
        <v/>
      </c>
      <c r="AA1602" s="104" t="str">
        <f>IFERROR((VLOOKUP(D1602,'Species Codes'!B:G,6,0)*Z1602)/2000,"")</f>
        <v/>
      </c>
      <c r="AB1602" s="104" t="e">
        <f>IF(Z1602&gt;0,((IF(OR(D1602="DF",D1602="RA")=TRUE,EXP(VLOOKUP(D1602,'Species Codes'!B:I,8,0)+VLOOKUP(D1602,'Species Codes'!B:J,9,0)*(LN((E1602*2.54)))),IF(OR(D1602="PY",D1602="RC",D1602="WH",D1602="NF")=TRUE,VLOOKUP(D1602,'Species Codes'!B:I,8,0)+VLOOKUP(D1602,'Species Codes'!B:J,9,0)*((E1602*2.54)^2)*(I1602*0.3048),IF(OR(D1602="MD",D1602="BM",D1602="GA")=TRUE,((VLOOKUP(D1602,'Species Codes'!B:I,8,0)*(((((E1602*2.54)+VLOOKUP(D1602,'Species Codes'!B:J,9,0))/VLOOKUP(D1602,'Species Codes'!B:K,10,0))^VLOOKUP(D1602,'Species Codes'!B:L,11,0))*((I1602*0.3048)^VLOOKUP(D1602,'Species Codes'!B:M,12,0))))-(VLOOKUP(D1602,'Species Codes'!B:I,8,0)*((((E1602*2.54)^VLOOKUP(D1602,'Species Codes'!B:L,11,0))*((I1602*0.3048)^VLOOKUP(D1602,'Species Codes'!B:M,12,0))))))*35.3*VLOOKUP(D1602,'Species Codes'!B:G,6,0)/2.2046,VLOOKUP(D1602,'Species Codes'!B:I,8,0)+VLOOKUP(D1602,'Species Codes'!B:J,9,0)*(((E1602*2.54)/100)^2)*(I1602*0.3048)))))*0.0011023),0)</f>
        <v>#N/A</v>
      </c>
      <c r="AC1602" s="104" t="e">
        <f>IF(Z1602&gt;0,((IF(OR(D1602="RA",D1602="OA",D1602="OT",D1602="UN",D1602="PC"),EXP(VLOOKUP(D1602,'Species Codes'!B:O,14,0)+VLOOKUP(D1602,'Species Codes'!B:P,15,0)*LN((E1602*2.54)))-EXP(VLOOKUP(D1602,'Species Codes'!B:O,14,0)+VLOOKUP(D1602,'Species Codes'!B:P,15,0)*LN((E1602*2.54)))*(1/(VLOOKUP(D1602,'Species Codes'!B:Q,16,0)+VLOOKUP(D1602,'Species Codes'!B:R,17,0)*((E1602*2.54)^VLOOKUP(D1602,'Species Codes'!B:S,18,0)))),IF(OR(D1602="BM",D1602="MD",D1602="OA"),EXP(VLOOKUP(D1602,'Species Codes'!B:O,14,0)+VLOOKUP(D1602,'Species Codes'!B:P,15,0)*LN((E1602*2.54)))*(1-(1/(VLOOKUP(D1602,'Species Codes'!B:Q,16,0)+VLOOKUP(D1602,'Species Codes'!B:R,17,0)*((E1602*2.54)^VLOOKUP(D1602,'Species Codes'!B:S,18,0)))))/1000,IF(D1602="DF",EXP(VLOOKUP(D1602,'Species Codes'!B:O,14,0)+VLOOKUP(D1602,'Species Codes'!B:P,15,0)*LN((E1602*2.54))),VLOOKUP(D1602,'Species Codes'!B:O,14,0)+VLOOKUP(D1602,'Species Codes'!B:P,15,0)*(((E1602*2.54)/100)^2)*(I1602*0.3048)))))*0.0011023),0)</f>
        <v>#N/A</v>
      </c>
      <c r="AD1602" s="104" t="e">
        <f t="shared" si="706"/>
        <v>#N/A</v>
      </c>
      <c r="AE1602" s="104" t="e">
        <f t="shared" si="707"/>
        <v>#N/A</v>
      </c>
      <c r="AF1602" s="104" t="e">
        <f>IF(AND(VLOOKUP($D1602,Merchantability!$B:$C,2,0)="Yes",$E1602&gt;=VLOOKUP($D1602,Merchantability!$B:$D,3,0),$E1602&lt;=VLOOKUP($D1602,Merchantability!$B:$E,4,0)),AA1602,0)</f>
        <v>#N/A</v>
      </c>
      <c r="AG1602" s="104" t="e">
        <f>IF(AND(VLOOKUP($D1602,Merchantability!$B:$C,2,0)="Yes",$E1602&gt;=VLOOKUP($D1602,Merchantability!$B:$D,3,0),$E1602&lt;=VLOOKUP($D1602,Merchantability!$B:$E,4,0)),AB1602,0)</f>
        <v>#N/A</v>
      </c>
      <c r="AH1602" s="104" t="e">
        <f>IF(AND(VLOOKUP($D1602,Merchantability!$B:$C,2,0)="Yes",$E1602&gt;=VLOOKUP($D1602,Merchantability!$B:$D,3,0),$E1602&lt;=VLOOKUP($D1602,Merchantability!$B:$E,4,0)),AC1602,0)</f>
        <v>#N/A</v>
      </c>
      <c r="AI1602" s="104" t="e">
        <f t="shared" si="708"/>
        <v>#N/A</v>
      </c>
      <c r="AJ1602" s="104" t="e">
        <f t="shared" si="709"/>
        <v>#VALUE!</v>
      </c>
      <c r="AK1602" s="104" t="e">
        <f t="shared" si="710"/>
        <v>#N/A</v>
      </c>
      <c r="AL1602" s="104" t="e">
        <f t="shared" si="711"/>
        <v>#N/A</v>
      </c>
      <c r="AM1602" s="104" t="e">
        <f t="shared" si="712"/>
        <v>#N/A</v>
      </c>
      <c r="AN1602" s="104" t="e">
        <f t="shared" si="696"/>
        <v>#N/A</v>
      </c>
      <c r="AO1602" s="104" t="e">
        <f t="shared" si="697"/>
        <v>#N/A</v>
      </c>
      <c r="AP1602" s="104" t="e">
        <f t="shared" si="698"/>
        <v>#N/A</v>
      </c>
      <c r="AQ1602" s="104" t="e">
        <f t="shared" si="699"/>
        <v>#N/A</v>
      </c>
      <c r="AR1602" s="105" t="str">
        <f t="shared" ref="AR1602:AR1665" si="718">IF(ISNUMBER(O1602),IF(Y1602&gt;0,((Y1602*(E1602^2*0.005454-0.087266))/0.912733),0),"")</f>
        <v/>
      </c>
      <c r="AS1602" s="105" t="str">
        <f t="shared" ref="AS1602:AS1665" si="719">IF(ISNUMBER(O1602),AR1602*(0.993-0.993*(0.62^(E1602-6))),"")</f>
        <v/>
      </c>
      <c r="AT1602" s="108" t="str">
        <f t="shared" ref="AT1602:AT1665" si="720">IF(ISNUMBER(O1602),IF(AS1602&gt;0,IF(Y1602&gt;0,(AS1602*10^(0.174439+0.117594*(LOG(E1602,10))*(LOG(Y1602/0.912733,10))-8.210585/E1602^2+0.236693*(LOG(Y1602/0.912733,10))-0.00001345*(Y1602/0.912733)^2-0.00001937*E1602^2)),0),0),"")</f>
        <v/>
      </c>
      <c r="AU1602" s="108" t="str">
        <f t="shared" ref="AU1602:AU1665" si="721">IF(ISNUMBER(O1602),IF(AS1602&gt;0,IF(Y1602&gt;0,AT1602*(1.001491-(6.92497/Y1602)+(0.00001351*(E1602^2))),0),0),"")</f>
        <v/>
      </c>
      <c r="AV1602" s="107" t="str">
        <f>IF(ISNUMBER(O1602),IF(VLOOKUP($A1602,Stand!C:J,8,FALSE)="Short",AT1602,AU1602),"")</f>
        <v/>
      </c>
      <c r="AW1602" s="109" t="str">
        <f t="shared" si="700"/>
        <v/>
      </c>
      <c r="AX1602" s="109" t="str">
        <f t="shared" si="701"/>
        <v/>
      </c>
      <c r="AY1602" s="112" t="str">
        <f>IF(ISNUMBER(O1602),IF(AND(VLOOKUP($D1602,Merchantability!$B:$C,2,0)="Yes",$E1602&gt;=VLOOKUP($D1602,Merchantability!$B:$D,3,0),$E1602&lt;=VLOOKUP($D1602,Merchantability!$B:$E,4,0)),(AV1602*O1602)*(1-$H1602/100),""),"")</f>
        <v/>
      </c>
      <c r="AZ1602" s="116"/>
      <c r="BA1602" s="116"/>
      <c r="BB1602" s="116"/>
      <c r="BE1602" s="62"/>
      <c r="BF1602" s="63"/>
    </row>
    <row r="1603" spans="1:58" ht="12.75" customHeight="1" x14ac:dyDescent="0.25">
      <c r="A1603" s="333"/>
      <c r="B1603" s="334"/>
      <c r="C1603" s="332"/>
      <c r="D1603" s="334"/>
      <c r="E1603" s="335"/>
      <c r="F1603" s="334"/>
      <c r="G1603" s="332"/>
      <c r="H1603" s="332"/>
      <c r="I1603" s="334"/>
      <c r="J1603" s="336"/>
      <c r="K1603" s="332"/>
      <c r="L1603" s="332"/>
      <c r="M1603" s="76"/>
      <c r="N1603" s="103" t="str">
        <f>IF(A1603="","",VLOOKUP(A1603,Stand!C:K,9,0))</f>
        <v/>
      </c>
      <c r="O1603" s="104" t="str">
        <f t="shared" si="713"/>
        <v/>
      </c>
      <c r="P1603" s="105" t="str">
        <f t="shared" si="714"/>
        <v/>
      </c>
      <c r="Q1603" s="105" t="str">
        <f t="shared" si="702"/>
        <v/>
      </c>
      <c r="R1603" s="103" t="str">
        <f t="shared" si="715"/>
        <v/>
      </c>
      <c r="S1603" s="103" t="str">
        <f t="shared" si="716"/>
        <v/>
      </c>
      <c r="T1603" s="106" t="str">
        <f t="shared" si="703"/>
        <v/>
      </c>
      <c r="U1603" s="106" t="str">
        <f t="shared" si="704"/>
        <v/>
      </c>
      <c r="V1603" s="106" t="str">
        <f t="shared" si="705"/>
        <v/>
      </c>
      <c r="W1603" s="105" t="str">
        <f t="shared" si="717"/>
        <v/>
      </c>
      <c r="X1603" s="104" t="str">
        <f t="shared" ref="X1603:X1666" si="722">IF(ISNUMBER(O1603),IF(I1603&gt;0,IF(E1603&gt;0,(0.912733*Z1603)/(1.033*(1+1.382937*EXP(-4.015292*E1603/10))*((E1603^2)*0.005454+0.087266)-0.174533),""),""),"")</f>
        <v/>
      </c>
      <c r="Y1603" s="104" t="str">
        <f t="array" ref="Y1603">IFERROR(IF(ISNUMBER(O1603),IF(COUNT(IF(A1603=$A$2:$A$2427,IF(D1603=$D$2:$D$2427,IF($X$2:$X$2427&gt;0,1))))&gt;0,SUM(IF(A1603=$A$2:$A$2427,IF(D1603=$D$2:$D$2427,$X$2:$X$2427)))/COUNT(IF(A1603=$A$2:$A$2427,IF(D1603=$D$2:$D$2427,IF(ISNUMBER($X$2:$X$2427),1)))),0),""),0)</f>
        <v/>
      </c>
      <c r="Z1603" s="104" t="str">
        <f>IF(ISNUMBER(O1603),IF(I1603&gt;0,(10^(VLOOKUP(D1603,'Species Codes'!B:C,2,0)+VLOOKUP(D1603,'Species Codes'!B:D,3,0)*LOG(E1603)+VLOOKUP(D1603,'Species Codes'!B:E,4,0)*LOG(I1603))),0),"")</f>
        <v/>
      </c>
      <c r="AA1603" s="104" t="str">
        <f>IFERROR((VLOOKUP(D1603,'Species Codes'!B:G,6,0)*Z1603)/2000,"")</f>
        <v/>
      </c>
      <c r="AB1603" s="104" t="e">
        <f>IF(Z1603&gt;0,((IF(OR(D1603="DF",D1603="RA")=TRUE,EXP(VLOOKUP(D1603,'Species Codes'!B:I,8,0)+VLOOKUP(D1603,'Species Codes'!B:J,9,0)*(LN((E1603*2.54)))),IF(OR(D1603="PY",D1603="RC",D1603="WH",D1603="NF")=TRUE,VLOOKUP(D1603,'Species Codes'!B:I,8,0)+VLOOKUP(D1603,'Species Codes'!B:J,9,0)*((E1603*2.54)^2)*(I1603*0.3048),IF(OR(D1603="MD",D1603="BM",D1603="GA")=TRUE,((VLOOKUP(D1603,'Species Codes'!B:I,8,0)*(((((E1603*2.54)+VLOOKUP(D1603,'Species Codes'!B:J,9,0))/VLOOKUP(D1603,'Species Codes'!B:K,10,0))^VLOOKUP(D1603,'Species Codes'!B:L,11,0))*((I1603*0.3048)^VLOOKUP(D1603,'Species Codes'!B:M,12,0))))-(VLOOKUP(D1603,'Species Codes'!B:I,8,0)*((((E1603*2.54)^VLOOKUP(D1603,'Species Codes'!B:L,11,0))*((I1603*0.3048)^VLOOKUP(D1603,'Species Codes'!B:M,12,0))))))*35.3*VLOOKUP(D1603,'Species Codes'!B:G,6,0)/2.2046,VLOOKUP(D1603,'Species Codes'!B:I,8,0)+VLOOKUP(D1603,'Species Codes'!B:J,9,0)*(((E1603*2.54)/100)^2)*(I1603*0.3048)))))*0.0011023),0)</f>
        <v>#N/A</v>
      </c>
      <c r="AC1603" s="104" t="e">
        <f>IF(Z1603&gt;0,((IF(OR(D1603="RA",D1603="OA",D1603="OT",D1603="UN",D1603="PC"),EXP(VLOOKUP(D1603,'Species Codes'!B:O,14,0)+VLOOKUP(D1603,'Species Codes'!B:P,15,0)*LN((E1603*2.54)))-EXP(VLOOKUP(D1603,'Species Codes'!B:O,14,0)+VLOOKUP(D1603,'Species Codes'!B:P,15,0)*LN((E1603*2.54)))*(1/(VLOOKUP(D1603,'Species Codes'!B:Q,16,0)+VLOOKUP(D1603,'Species Codes'!B:R,17,0)*((E1603*2.54)^VLOOKUP(D1603,'Species Codes'!B:S,18,0)))),IF(OR(D1603="BM",D1603="MD",D1603="OA"),EXP(VLOOKUP(D1603,'Species Codes'!B:O,14,0)+VLOOKUP(D1603,'Species Codes'!B:P,15,0)*LN((E1603*2.54)))*(1-(1/(VLOOKUP(D1603,'Species Codes'!B:Q,16,0)+VLOOKUP(D1603,'Species Codes'!B:R,17,0)*((E1603*2.54)^VLOOKUP(D1603,'Species Codes'!B:S,18,0)))))/1000,IF(D1603="DF",EXP(VLOOKUP(D1603,'Species Codes'!B:O,14,0)+VLOOKUP(D1603,'Species Codes'!B:P,15,0)*LN((E1603*2.54))),VLOOKUP(D1603,'Species Codes'!B:O,14,0)+VLOOKUP(D1603,'Species Codes'!B:P,15,0)*(((E1603*2.54)/100)^2)*(I1603*0.3048)))))*0.0011023),0)</f>
        <v>#N/A</v>
      </c>
      <c r="AD1603" s="104" t="e">
        <f t="shared" si="706"/>
        <v>#N/A</v>
      </c>
      <c r="AE1603" s="104" t="e">
        <f t="shared" si="707"/>
        <v>#N/A</v>
      </c>
      <c r="AF1603" s="104" t="e">
        <f>IF(AND(VLOOKUP($D1603,Merchantability!$B:$C,2,0)="Yes",$E1603&gt;=VLOOKUP($D1603,Merchantability!$B:$D,3,0),$E1603&lt;=VLOOKUP($D1603,Merchantability!$B:$E,4,0)),AA1603,0)</f>
        <v>#N/A</v>
      </c>
      <c r="AG1603" s="104" t="e">
        <f>IF(AND(VLOOKUP($D1603,Merchantability!$B:$C,2,0)="Yes",$E1603&gt;=VLOOKUP($D1603,Merchantability!$B:$D,3,0),$E1603&lt;=VLOOKUP($D1603,Merchantability!$B:$E,4,0)),AB1603,0)</f>
        <v>#N/A</v>
      </c>
      <c r="AH1603" s="104" t="e">
        <f>IF(AND(VLOOKUP($D1603,Merchantability!$B:$C,2,0)="Yes",$E1603&gt;=VLOOKUP($D1603,Merchantability!$B:$D,3,0),$E1603&lt;=VLOOKUP($D1603,Merchantability!$B:$E,4,0)),AC1603,0)</f>
        <v>#N/A</v>
      </c>
      <c r="AI1603" s="104" t="e">
        <f t="shared" si="708"/>
        <v>#N/A</v>
      </c>
      <c r="AJ1603" s="104" t="e">
        <f t="shared" si="709"/>
        <v>#VALUE!</v>
      </c>
      <c r="AK1603" s="104" t="e">
        <f t="shared" si="710"/>
        <v>#N/A</v>
      </c>
      <c r="AL1603" s="104" t="e">
        <f t="shared" si="711"/>
        <v>#N/A</v>
      </c>
      <c r="AM1603" s="104" t="e">
        <f t="shared" si="712"/>
        <v>#N/A</v>
      </c>
      <c r="AN1603" s="104" t="e">
        <f t="shared" ref="AN1603:AN1666" si="723">AF1603*$O1603</f>
        <v>#N/A</v>
      </c>
      <c r="AO1603" s="104" t="e">
        <f t="shared" ref="AO1603:AO1666" si="724">AG1603*$O1603</f>
        <v>#N/A</v>
      </c>
      <c r="AP1603" s="104" t="e">
        <f t="shared" ref="AP1603:AP1666" si="725">AH1603*$O1603</f>
        <v>#N/A</v>
      </c>
      <c r="AQ1603" s="104" t="e">
        <f t="shared" ref="AQ1603:AQ1666" si="726">SUM(AN1603:AP1603)</f>
        <v>#N/A</v>
      </c>
      <c r="AR1603" s="105" t="str">
        <f t="shared" si="718"/>
        <v/>
      </c>
      <c r="AS1603" s="105" t="str">
        <f t="shared" si="719"/>
        <v/>
      </c>
      <c r="AT1603" s="108" t="str">
        <f t="shared" si="720"/>
        <v/>
      </c>
      <c r="AU1603" s="108" t="str">
        <f t="shared" si="721"/>
        <v/>
      </c>
      <c r="AV1603" s="107" t="str">
        <f>IF(ISNUMBER(O1603),IF(VLOOKUP($A1603,Stand!C:J,8,FALSE)="Short",AT1603,AU1603),"")</f>
        <v/>
      </c>
      <c r="AW1603" s="109" t="str">
        <f t="shared" ref="AW1603:AW1666" si="727">IF(ISNUMBER(O1603),AV1603*O1603,"")</f>
        <v/>
      </c>
      <c r="AX1603" s="109" t="str">
        <f t="shared" ref="AX1603:AX1666" si="728">IF(ISNUMBER(O1603),AW1603*(1-$H1603/100),"")</f>
        <v/>
      </c>
      <c r="AY1603" s="112" t="str">
        <f>IF(ISNUMBER(O1603),IF(AND(VLOOKUP($D1603,Merchantability!$B:$C,2,0)="Yes",$E1603&gt;=VLOOKUP($D1603,Merchantability!$B:$D,3,0),$E1603&lt;=VLOOKUP($D1603,Merchantability!$B:$E,4,0)),(AV1603*O1603)*(1-$H1603/100),""),"")</f>
        <v/>
      </c>
      <c r="AZ1603" s="116"/>
      <c r="BA1603" s="116"/>
      <c r="BB1603" s="116"/>
      <c r="BE1603" s="62"/>
      <c r="BF1603" s="63"/>
    </row>
    <row r="1604" spans="1:58" ht="12.75" customHeight="1" x14ac:dyDescent="0.25">
      <c r="A1604" s="333"/>
      <c r="B1604" s="334"/>
      <c r="C1604" s="332"/>
      <c r="D1604" s="334"/>
      <c r="E1604" s="335"/>
      <c r="F1604" s="334"/>
      <c r="G1604" s="332"/>
      <c r="H1604" s="332"/>
      <c r="I1604" s="334"/>
      <c r="J1604" s="336"/>
      <c r="K1604" s="332"/>
      <c r="L1604" s="332"/>
      <c r="M1604" s="76"/>
      <c r="N1604" s="103" t="str">
        <f>IF(A1604="","",VLOOKUP(A1604,Stand!C:K,9,0))</f>
        <v/>
      </c>
      <c r="O1604" s="104" t="str">
        <f t="shared" si="713"/>
        <v/>
      </c>
      <c r="P1604" s="105" t="str">
        <f t="shared" si="714"/>
        <v/>
      </c>
      <c r="Q1604" s="105" t="str">
        <f t="shared" si="702"/>
        <v/>
      </c>
      <c r="R1604" s="103" t="str">
        <f t="shared" si="715"/>
        <v/>
      </c>
      <c r="S1604" s="103" t="str">
        <f t="shared" si="716"/>
        <v/>
      </c>
      <c r="T1604" s="106" t="str">
        <f t="shared" si="703"/>
        <v/>
      </c>
      <c r="U1604" s="106" t="str">
        <f t="shared" si="704"/>
        <v/>
      </c>
      <c r="V1604" s="106" t="str">
        <f t="shared" si="705"/>
        <v/>
      </c>
      <c r="W1604" s="105" t="str">
        <f t="shared" si="717"/>
        <v/>
      </c>
      <c r="X1604" s="104" t="str">
        <f t="shared" si="722"/>
        <v/>
      </c>
      <c r="Y1604" s="104" t="str">
        <f t="array" ref="Y1604">IFERROR(IF(ISNUMBER(O1604),IF(COUNT(IF(A1604=$A$2:$A$2427,IF(D1604=$D$2:$D$2427,IF($X$2:$X$2427&gt;0,1))))&gt;0,SUM(IF(A1604=$A$2:$A$2427,IF(D1604=$D$2:$D$2427,$X$2:$X$2427)))/COUNT(IF(A1604=$A$2:$A$2427,IF(D1604=$D$2:$D$2427,IF(ISNUMBER($X$2:$X$2427),1)))),0),""),0)</f>
        <v/>
      </c>
      <c r="Z1604" s="104" t="str">
        <f>IF(ISNUMBER(O1604),IF(I1604&gt;0,(10^(VLOOKUP(D1604,'Species Codes'!B:C,2,0)+VLOOKUP(D1604,'Species Codes'!B:D,3,0)*LOG(E1604)+VLOOKUP(D1604,'Species Codes'!B:E,4,0)*LOG(I1604))),0),"")</f>
        <v/>
      </c>
      <c r="AA1604" s="104" t="str">
        <f>IFERROR((VLOOKUP(D1604,'Species Codes'!B:G,6,0)*Z1604)/2000,"")</f>
        <v/>
      </c>
      <c r="AB1604" s="104" t="e">
        <f>IF(Z1604&gt;0,((IF(OR(D1604="DF",D1604="RA")=TRUE,EXP(VLOOKUP(D1604,'Species Codes'!B:I,8,0)+VLOOKUP(D1604,'Species Codes'!B:J,9,0)*(LN((E1604*2.54)))),IF(OR(D1604="PY",D1604="RC",D1604="WH",D1604="NF")=TRUE,VLOOKUP(D1604,'Species Codes'!B:I,8,0)+VLOOKUP(D1604,'Species Codes'!B:J,9,0)*((E1604*2.54)^2)*(I1604*0.3048),IF(OR(D1604="MD",D1604="BM",D1604="GA")=TRUE,((VLOOKUP(D1604,'Species Codes'!B:I,8,0)*(((((E1604*2.54)+VLOOKUP(D1604,'Species Codes'!B:J,9,0))/VLOOKUP(D1604,'Species Codes'!B:K,10,0))^VLOOKUP(D1604,'Species Codes'!B:L,11,0))*((I1604*0.3048)^VLOOKUP(D1604,'Species Codes'!B:M,12,0))))-(VLOOKUP(D1604,'Species Codes'!B:I,8,0)*((((E1604*2.54)^VLOOKUP(D1604,'Species Codes'!B:L,11,0))*((I1604*0.3048)^VLOOKUP(D1604,'Species Codes'!B:M,12,0))))))*35.3*VLOOKUP(D1604,'Species Codes'!B:G,6,0)/2.2046,VLOOKUP(D1604,'Species Codes'!B:I,8,0)+VLOOKUP(D1604,'Species Codes'!B:J,9,0)*(((E1604*2.54)/100)^2)*(I1604*0.3048)))))*0.0011023),0)</f>
        <v>#N/A</v>
      </c>
      <c r="AC1604" s="104" t="e">
        <f>IF(Z1604&gt;0,((IF(OR(D1604="RA",D1604="OA",D1604="OT",D1604="UN",D1604="PC"),EXP(VLOOKUP(D1604,'Species Codes'!B:O,14,0)+VLOOKUP(D1604,'Species Codes'!B:P,15,0)*LN((E1604*2.54)))-EXP(VLOOKUP(D1604,'Species Codes'!B:O,14,0)+VLOOKUP(D1604,'Species Codes'!B:P,15,0)*LN((E1604*2.54)))*(1/(VLOOKUP(D1604,'Species Codes'!B:Q,16,0)+VLOOKUP(D1604,'Species Codes'!B:R,17,0)*((E1604*2.54)^VLOOKUP(D1604,'Species Codes'!B:S,18,0)))),IF(OR(D1604="BM",D1604="MD",D1604="OA"),EXP(VLOOKUP(D1604,'Species Codes'!B:O,14,0)+VLOOKUP(D1604,'Species Codes'!B:P,15,0)*LN((E1604*2.54)))*(1-(1/(VLOOKUP(D1604,'Species Codes'!B:Q,16,0)+VLOOKUP(D1604,'Species Codes'!B:R,17,0)*((E1604*2.54)^VLOOKUP(D1604,'Species Codes'!B:S,18,0)))))/1000,IF(D1604="DF",EXP(VLOOKUP(D1604,'Species Codes'!B:O,14,0)+VLOOKUP(D1604,'Species Codes'!B:P,15,0)*LN((E1604*2.54))),VLOOKUP(D1604,'Species Codes'!B:O,14,0)+VLOOKUP(D1604,'Species Codes'!B:P,15,0)*(((E1604*2.54)/100)^2)*(I1604*0.3048)))))*0.0011023),0)</f>
        <v>#N/A</v>
      </c>
      <c r="AD1604" s="104" t="e">
        <f t="shared" si="706"/>
        <v>#N/A</v>
      </c>
      <c r="AE1604" s="104" t="e">
        <f t="shared" si="707"/>
        <v>#N/A</v>
      </c>
      <c r="AF1604" s="104" t="e">
        <f>IF(AND(VLOOKUP($D1604,Merchantability!$B:$C,2,0)="Yes",$E1604&gt;=VLOOKUP($D1604,Merchantability!$B:$D,3,0),$E1604&lt;=VLOOKUP($D1604,Merchantability!$B:$E,4,0)),AA1604,0)</f>
        <v>#N/A</v>
      </c>
      <c r="AG1604" s="104" t="e">
        <f>IF(AND(VLOOKUP($D1604,Merchantability!$B:$C,2,0)="Yes",$E1604&gt;=VLOOKUP($D1604,Merchantability!$B:$D,3,0),$E1604&lt;=VLOOKUP($D1604,Merchantability!$B:$E,4,0)),AB1604,0)</f>
        <v>#N/A</v>
      </c>
      <c r="AH1604" s="104" t="e">
        <f>IF(AND(VLOOKUP($D1604,Merchantability!$B:$C,2,0)="Yes",$E1604&gt;=VLOOKUP($D1604,Merchantability!$B:$D,3,0),$E1604&lt;=VLOOKUP($D1604,Merchantability!$B:$E,4,0)),AC1604,0)</f>
        <v>#N/A</v>
      </c>
      <c r="AI1604" s="104" t="e">
        <f t="shared" si="708"/>
        <v>#N/A</v>
      </c>
      <c r="AJ1604" s="104" t="e">
        <f t="shared" si="709"/>
        <v>#VALUE!</v>
      </c>
      <c r="AK1604" s="104" t="e">
        <f t="shared" si="710"/>
        <v>#N/A</v>
      </c>
      <c r="AL1604" s="104" t="e">
        <f t="shared" si="711"/>
        <v>#N/A</v>
      </c>
      <c r="AM1604" s="104" t="e">
        <f t="shared" si="712"/>
        <v>#N/A</v>
      </c>
      <c r="AN1604" s="104" t="e">
        <f t="shared" si="723"/>
        <v>#N/A</v>
      </c>
      <c r="AO1604" s="104" t="e">
        <f t="shared" si="724"/>
        <v>#N/A</v>
      </c>
      <c r="AP1604" s="104" t="e">
        <f t="shared" si="725"/>
        <v>#N/A</v>
      </c>
      <c r="AQ1604" s="104" t="e">
        <f t="shared" si="726"/>
        <v>#N/A</v>
      </c>
      <c r="AR1604" s="105" t="str">
        <f t="shared" si="718"/>
        <v/>
      </c>
      <c r="AS1604" s="105" t="str">
        <f t="shared" si="719"/>
        <v/>
      </c>
      <c r="AT1604" s="108" t="str">
        <f t="shared" si="720"/>
        <v/>
      </c>
      <c r="AU1604" s="108" t="str">
        <f t="shared" si="721"/>
        <v/>
      </c>
      <c r="AV1604" s="107" t="str">
        <f>IF(ISNUMBER(O1604),IF(VLOOKUP($A1604,Stand!C:J,8,FALSE)="Short",AT1604,AU1604),"")</f>
        <v/>
      </c>
      <c r="AW1604" s="109" t="str">
        <f t="shared" si="727"/>
        <v/>
      </c>
      <c r="AX1604" s="109" t="str">
        <f t="shared" si="728"/>
        <v/>
      </c>
      <c r="AY1604" s="112" t="str">
        <f>IF(ISNUMBER(O1604),IF(AND(VLOOKUP($D1604,Merchantability!$B:$C,2,0)="Yes",$E1604&gt;=VLOOKUP($D1604,Merchantability!$B:$D,3,0),$E1604&lt;=VLOOKUP($D1604,Merchantability!$B:$E,4,0)),(AV1604*O1604)*(1-$H1604/100),""),"")</f>
        <v/>
      </c>
      <c r="AZ1604" s="116"/>
      <c r="BA1604" s="116"/>
      <c r="BB1604" s="116"/>
      <c r="BE1604" s="62"/>
      <c r="BF1604" s="63"/>
    </row>
    <row r="1605" spans="1:58" ht="12.75" customHeight="1" x14ac:dyDescent="0.25">
      <c r="A1605" s="333"/>
      <c r="B1605" s="334"/>
      <c r="C1605" s="332"/>
      <c r="D1605" s="334"/>
      <c r="E1605" s="335"/>
      <c r="F1605" s="334"/>
      <c r="G1605" s="332"/>
      <c r="H1605" s="332"/>
      <c r="I1605" s="334"/>
      <c r="J1605" s="336"/>
      <c r="K1605" s="332"/>
      <c r="L1605" s="332"/>
      <c r="M1605" s="76"/>
      <c r="N1605" s="103" t="str">
        <f>IF(A1605="","",VLOOKUP(A1605,Stand!C:K,9,0))</f>
        <v/>
      </c>
      <c r="O1605" s="104" t="str">
        <f t="shared" si="713"/>
        <v/>
      </c>
      <c r="P1605" s="105" t="str">
        <f t="shared" si="714"/>
        <v/>
      </c>
      <c r="Q1605" s="105" t="str">
        <f t="shared" si="702"/>
        <v/>
      </c>
      <c r="R1605" s="103" t="str">
        <f t="shared" si="715"/>
        <v/>
      </c>
      <c r="S1605" s="103" t="str">
        <f t="shared" si="716"/>
        <v/>
      </c>
      <c r="T1605" s="106" t="str">
        <f t="shared" si="703"/>
        <v/>
      </c>
      <c r="U1605" s="106" t="str">
        <f t="shared" si="704"/>
        <v/>
      </c>
      <c r="V1605" s="106" t="str">
        <f t="shared" si="705"/>
        <v/>
      </c>
      <c r="W1605" s="105" t="str">
        <f t="shared" si="717"/>
        <v/>
      </c>
      <c r="X1605" s="104" t="str">
        <f t="shared" si="722"/>
        <v/>
      </c>
      <c r="Y1605" s="104" t="str">
        <f t="array" ref="Y1605">IFERROR(IF(ISNUMBER(O1605),IF(COUNT(IF(A1605=$A$2:$A$2427,IF(D1605=$D$2:$D$2427,IF($X$2:$X$2427&gt;0,1))))&gt;0,SUM(IF(A1605=$A$2:$A$2427,IF(D1605=$D$2:$D$2427,$X$2:$X$2427)))/COUNT(IF(A1605=$A$2:$A$2427,IF(D1605=$D$2:$D$2427,IF(ISNUMBER($X$2:$X$2427),1)))),0),""),0)</f>
        <v/>
      </c>
      <c r="Z1605" s="104" t="str">
        <f>IF(ISNUMBER(O1605),IF(I1605&gt;0,(10^(VLOOKUP(D1605,'Species Codes'!B:C,2,0)+VLOOKUP(D1605,'Species Codes'!B:D,3,0)*LOG(E1605)+VLOOKUP(D1605,'Species Codes'!B:E,4,0)*LOG(I1605))),0),"")</f>
        <v/>
      </c>
      <c r="AA1605" s="104" t="str">
        <f>IFERROR((VLOOKUP(D1605,'Species Codes'!B:G,6,0)*Z1605)/2000,"")</f>
        <v/>
      </c>
      <c r="AB1605" s="104" t="e">
        <f>IF(Z1605&gt;0,((IF(OR(D1605="DF",D1605="RA")=TRUE,EXP(VLOOKUP(D1605,'Species Codes'!B:I,8,0)+VLOOKUP(D1605,'Species Codes'!B:J,9,0)*(LN((E1605*2.54)))),IF(OR(D1605="PY",D1605="RC",D1605="WH",D1605="NF")=TRUE,VLOOKUP(D1605,'Species Codes'!B:I,8,0)+VLOOKUP(D1605,'Species Codes'!B:J,9,0)*((E1605*2.54)^2)*(I1605*0.3048),IF(OR(D1605="MD",D1605="BM",D1605="GA")=TRUE,((VLOOKUP(D1605,'Species Codes'!B:I,8,0)*(((((E1605*2.54)+VLOOKUP(D1605,'Species Codes'!B:J,9,0))/VLOOKUP(D1605,'Species Codes'!B:K,10,0))^VLOOKUP(D1605,'Species Codes'!B:L,11,0))*((I1605*0.3048)^VLOOKUP(D1605,'Species Codes'!B:M,12,0))))-(VLOOKUP(D1605,'Species Codes'!B:I,8,0)*((((E1605*2.54)^VLOOKUP(D1605,'Species Codes'!B:L,11,0))*((I1605*0.3048)^VLOOKUP(D1605,'Species Codes'!B:M,12,0))))))*35.3*VLOOKUP(D1605,'Species Codes'!B:G,6,0)/2.2046,VLOOKUP(D1605,'Species Codes'!B:I,8,0)+VLOOKUP(D1605,'Species Codes'!B:J,9,0)*(((E1605*2.54)/100)^2)*(I1605*0.3048)))))*0.0011023),0)</f>
        <v>#N/A</v>
      </c>
      <c r="AC1605" s="104" t="e">
        <f>IF(Z1605&gt;0,((IF(OR(D1605="RA",D1605="OA",D1605="OT",D1605="UN",D1605="PC"),EXP(VLOOKUP(D1605,'Species Codes'!B:O,14,0)+VLOOKUP(D1605,'Species Codes'!B:P,15,0)*LN((E1605*2.54)))-EXP(VLOOKUP(D1605,'Species Codes'!B:O,14,0)+VLOOKUP(D1605,'Species Codes'!B:P,15,0)*LN((E1605*2.54)))*(1/(VLOOKUP(D1605,'Species Codes'!B:Q,16,0)+VLOOKUP(D1605,'Species Codes'!B:R,17,0)*((E1605*2.54)^VLOOKUP(D1605,'Species Codes'!B:S,18,0)))),IF(OR(D1605="BM",D1605="MD",D1605="OA"),EXP(VLOOKUP(D1605,'Species Codes'!B:O,14,0)+VLOOKUP(D1605,'Species Codes'!B:P,15,0)*LN((E1605*2.54)))*(1-(1/(VLOOKUP(D1605,'Species Codes'!B:Q,16,0)+VLOOKUP(D1605,'Species Codes'!B:R,17,0)*((E1605*2.54)^VLOOKUP(D1605,'Species Codes'!B:S,18,0)))))/1000,IF(D1605="DF",EXP(VLOOKUP(D1605,'Species Codes'!B:O,14,0)+VLOOKUP(D1605,'Species Codes'!B:P,15,0)*LN((E1605*2.54))),VLOOKUP(D1605,'Species Codes'!B:O,14,0)+VLOOKUP(D1605,'Species Codes'!B:P,15,0)*(((E1605*2.54)/100)^2)*(I1605*0.3048)))))*0.0011023),0)</f>
        <v>#N/A</v>
      </c>
      <c r="AD1605" s="104" t="e">
        <f t="shared" si="706"/>
        <v>#N/A</v>
      </c>
      <c r="AE1605" s="104" t="e">
        <f t="shared" si="707"/>
        <v>#N/A</v>
      </c>
      <c r="AF1605" s="104" t="e">
        <f>IF(AND(VLOOKUP($D1605,Merchantability!$B:$C,2,0)="Yes",$E1605&gt;=VLOOKUP($D1605,Merchantability!$B:$D,3,0),$E1605&lt;=VLOOKUP($D1605,Merchantability!$B:$E,4,0)),AA1605,0)</f>
        <v>#N/A</v>
      </c>
      <c r="AG1605" s="104" t="e">
        <f>IF(AND(VLOOKUP($D1605,Merchantability!$B:$C,2,0)="Yes",$E1605&gt;=VLOOKUP($D1605,Merchantability!$B:$D,3,0),$E1605&lt;=VLOOKUP($D1605,Merchantability!$B:$E,4,0)),AB1605,0)</f>
        <v>#N/A</v>
      </c>
      <c r="AH1605" s="104" t="e">
        <f>IF(AND(VLOOKUP($D1605,Merchantability!$B:$C,2,0)="Yes",$E1605&gt;=VLOOKUP($D1605,Merchantability!$B:$D,3,0),$E1605&lt;=VLOOKUP($D1605,Merchantability!$B:$E,4,0)),AC1605,0)</f>
        <v>#N/A</v>
      </c>
      <c r="AI1605" s="104" t="e">
        <f t="shared" si="708"/>
        <v>#N/A</v>
      </c>
      <c r="AJ1605" s="104" t="e">
        <f t="shared" si="709"/>
        <v>#VALUE!</v>
      </c>
      <c r="AK1605" s="104" t="e">
        <f t="shared" si="710"/>
        <v>#N/A</v>
      </c>
      <c r="AL1605" s="104" t="e">
        <f t="shared" si="711"/>
        <v>#N/A</v>
      </c>
      <c r="AM1605" s="104" t="e">
        <f t="shared" si="712"/>
        <v>#N/A</v>
      </c>
      <c r="AN1605" s="104" t="e">
        <f t="shared" si="723"/>
        <v>#N/A</v>
      </c>
      <c r="AO1605" s="104" t="e">
        <f t="shared" si="724"/>
        <v>#N/A</v>
      </c>
      <c r="AP1605" s="104" t="e">
        <f t="shared" si="725"/>
        <v>#N/A</v>
      </c>
      <c r="AQ1605" s="104" t="e">
        <f t="shared" si="726"/>
        <v>#N/A</v>
      </c>
      <c r="AR1605" s="105" t="str">
        <f t="shared" si="718"/>
        <v/>
      </c>
      <c r="AS1605" s="105" t="str">
        <f t="shared" si="719"/>
        <v/>
      </c>
      <c r="AT1605" s="108" t="str">
        <f t="shared" si="720"/>
        <v/>
      </c>
      <c r="AU1605" s="108" t="str">
        <f t="shared" si="721"/>
        <v/>
      </c>
      <c r="AV1605" s="107" t="str">
        <f>IF(ISNUMBER(O1605),IF(VLOOKUP($A1605,Stand!C:J,8,FALSE)="Short",AT1605,AU1605),"")</f>
        <v/>
      </c>
      <c r="AW1605" s="109" t="str">
        <f t="shared" si="727"/>
        <v/>
      </c>
      <c r="AX1605" s="109" t="str">
        <f t="shared" si="728"/>
        <v/>
      </c>
      <c r="AY1605" s="112" t="str">
        <f>IF(ISNUMBER(O1605),IF(AND(VLOOKUP($D1605,Merchantability!$B:$C,2,0)="Yes",$E1605&gt;=VLOOKUP($D1605,Merchantability!$B:$D,3,0),$E1605&lt;=VLOOKUP($D1605,Merchantability!$B:$E,4,0)),(AV1605*O1605)*(1-$H1605/100),""),"")</f>
        <v/>
      </c>
      <c r="AZ1605" s="116"/>
      <c r="BA1605" s="116"/>
      <c r="BB1605" s="116"/>
      <c r="BE1605" s="62"/>
      <c r="BF1605" s="63"/>
    </row>
    <row r="1606" spans="1:58" ht="12.75" customHeight="1" x14ac:dyDescent="0.25">
      <c r="A1606" s="333"/>
      <c r="B1606" s="334"/>
      <c r="C1606" s="332"/>
      <c r="D1606" s="334"/>
      <c r="E1606" s="335"/>
      <c r="F1606" s="334"/>
      <c r="G1606" s="332"/>
      <c r="H1606" s="332"/>
      <c r="I1606" s="334"/>
      <c r="J1606" s="336"/>
      <c r="K1606" s="332"/>
      <c r="L1606" s="332"/>
      <c r="M1606" s="76"/>
      <c r="N1606" s="103" t="str">
        <f>IF(A1606="","",VLOOKUP(A1606,Stand!C:K,9,0))</f>
        <v/>
      </c>
      <c r="O1606" s="104" t="str">
        <f t="shared" si="713"/>
        <v/>
      </c>
      <c r="P1606" s="105" t="str">
        <f t="shared" si="714"/>
        <v/>
      </c>
      <c r="Q1606" s="105" t="str">
        <f t="shared" si="702"/>
        <v/>
      </c>
      <c r="R1606" s="103" t="str">
        <f t="shared" si="715"/>
        <v/>
      </c>
      <c r="S1606" s="103" t="str">
        <f t="shared" si="716"/>
        <v/>
      </c>
      <c r="T1606" s="106" t="str">
        <f t="shared" si="703"/>
        <v/>
      </c>
      <c r="U1606" s="106" t="str">
        <f t="shared" si="704"/>
        <v/>
      </c>
      <c r="V1606" s="106" t="str">
        <f t="shared" si="705"/>
        <v/>
      </c>
      <c r="W1606" s="105" t="str">
        <f t="shared" si="717"/>
        <v/>
      </c>
      <c r="X1606" s="104" t="str">
        <f t="shared" si="722"/>
        <v/>
      </c>
      <c r="Y1606" s="104" t="str">
        <f t="array" ref="Y1606">IFERROR(IF(ISNUMBER(O1606),IF(COUNT(IF(A1606=$A$2:$A$2427,IF(D1606=$D$2:$D$2427,IF($X$2:$X$2427&gt;0,1))))&gt;0,SUM(IF(A1606=$A$2:$A$2427,IF(D1606=$D$2:$D$2427,$X$2:$X$2427)))/COUNT(IF(A1606=$A$2:$A$2427,IF(D1606=$D$2:$D$2427,IF(ISNUMBER($X$2:$X$2427),1)))),0),""),0)</f>
        <v/>
      </c>
      <c r="Z1606" s="104" t="str">
        <f>IF(ISNUMBER(O1606),IF(I1606&gt;0,(10^(VLOOKUP(D1606,'Species Codes'!B:C,2,0)+VLOOKUP(D1606,'Species Codes'!B:D,3,0)*LOG(E1606)+VLOOKUP(D1606,'Species Codes'!B:E,4,0)*LOG(I1606))),0),"")</f>
        <v/>
      </c>
      <c r="AA1606" s="104" t="str">
        <f>IFERROR((VLOOKUP(D1606,'Species Codes'!B:G,6,0)*Z1606)/2000,"")</f>
        <v/>
      </c>
      <c r="AB1606" s="104" t="e">
        <f>IF(Z1606&gt;0,((IF(OR(D1606="DF",D1606="RA")=TRUE,EXP(VLOOKUP(D1606,'Species Codes'!B:I,8,0)+VLOOKUP(D1606,'Species Codes'!B:J,9,0)*(LN((E1606*2.54)))),IF(OR(D1606="PY",D1606="RC",D1606="WH",D1606="NF")=TRUE,VLOOKUP(D1606,'Species Codes'!B:I,8,0)+VLOOKUP(D1606,'Species Codes'!B:J,9,0)*((E1606*2.54)^2)*(I1606*0.3048),IF(OR(D1606="MD",D1606="BM",D1606="GA")=TRUE,((VLOOKUP(D1606,'Species Codes'!B:I,8,0)*(((((E1606*2.54)+VLOOKUP(D1606,'Species Codes'!B:J,9,0))/VLOOKUP(D1606,'Species Codes'!B:K,10,0))^VLOOKUP(D1606,'Species Codes'!B:L,11,0))*((I1606*0.3048)^VLOOKUP(D1606,'Species Codes'!B:M,12,0))))-(VLOOKUP(D1606,'Species Codes'!B:I,8,0)*((((E1606*2.54)^VLOOKUP(D1606,'Species Codes'!B:L,11,0))*((I1606*0.3048)^VLOOKUP(D1606,'Species Codes'!B:M,12,0))))))*35.3*VLOOKUP(D1606,'Species Codes'!B:G,6,0)/2.2046,VLOOKUP(D1606,'Species Codes'!B:I,8,0)+VLOOKUP(D1606,'Species Codes'!B:J,9,0)*(((E1606*2.54)/100)^2)*(I1606*0.3048)))))*0.0011023),0)</f>
        <v>#N/A</v>
      </c>
      <c r="AC1606" s="104" t="e">
        <f>IF(Z1606&gt;0,((IF(OR(D1606="RA",D1606="OA",D1606="OT",D1606="UN",D1606="PC"),EXP(VLOOKUP(D1606,'Species Codes'!B:O,14,0)+VLOOKUP(D1606,'Species Codes'!B:P,15,0)*LN((E1606*2.54)))-EXP(VLOOKUP(D1606,'Species Codes'!B:O,14,0)+VLOOKUP(D1606,'Species Codes'!B:P,15,0)*LN((E1606*2.54)))*(1/(VLOOKUP(D1606,'Species Codes'!B:Q,16,0)+VLOOKUP(D1606,'Species Codes'!B:R,17,0)*((E1606*2.54)^VLOOKUP(D1606,'Species Codes'!B:S,18,0)))),IF(OR(D1606="BM",D1606="MD",D1606="OA"),EXP(VLOOKUP(D1606,'Species Codes'!B:O,14,0)+VLOOKUP(D1606,'Species Codes'!B:P,15,0)*LN((E1606*2.54)))*(1-(1/(VLOOKUP(D1606,'Species Codes'!B:Q,16,0)+VLOOKUP(D1606,'Species Codes'!B:R,17,0)*((E1606*2.54)^VLOOKUP(D1606,'Species Codes'!B:S,18,0)))))/1000,IF(D1606="DF",EXP(VLOOKUP(D1606,'Species Codes'!B:O,14,0)+VLOOKUP(D1606,'Species Codes'!B:P,15,0)*LN((E1606*2.54))),VLOOKUP(D1606,'Species Codes'!B:O,14,0)+VLOOKUP(D1606,'Species Codes'!B:P,15,0)*(((E1606*2.54)/100)^2)*(I1606*0.3048)))))*0.0011023),0)</f>
        <v>#N/A</v>
      </c>
      <c r="AD1606" s="104" t="e">
        <f t="shared" si="706"/>
        <v>#N/A</v>
      </c>
      <c r="AE1606" s="104" t="e">
        <f t="shared" si="707"/>
        <v>#N/A</v>
      </c>
      <c r="AF1606" s="104" t="e">
        <f>IF(AND(VLOOKUP($D1606,Merchantability!$B:$C,2,0)="Yes",$E1606&gt;=VLOOKUP($D1606,Merchantability!$B:$D,3,0),$E1606&lt;=VLOOKUP($D1606,Merchantability!$B:$E,4,0)),AA1606,0)</f>
        <v>#N/A</v>
      </c>
      <c r="AG1606" s="104" t="e">
        <f>IF(AND(VLOOKUP($D1606,Merchantability!$B:$C,2,0)="Yes",$E1606&gt;=VLOOKUP($D1606,Merchantability!$B:$D,3,0),$E1606&lt;=VLOOKUP($D1606,Merchantability!$B:$E,4,0)),AB1606,0)</f>
        <v>#N/A</v>
      </c>
      <c r="AH1606" s="104" t="e">
        <f>IF(AND(VLOOKUP($D1606,Merchantability!$B:$C,2,0)="Yes",$E1606&gt;=VLOOKUP($D1606,Merchantability!$B:$D,3,0),$E1606&lt;=VLOOKUP($D1606,Merchantability!$B:$E,4,0)),AC1606,0)</f>
        <v>#N/A</v>
      </c>
      <c r="AI1606" s="104" t="e">
        <f t="shared" si="708"/>
        <v>#N/A</v>
      </c>
      <c r="AJ1606" s="104" t="e">
        <f t="shared" si="709"/>
        <v>#VALUE!</v>
      </c>
      <c r="AK1606" s="104" t="e">
        <f t="shared" si="710"/>
        <v>#N/A</v>
      </c>
      <c r="AL1606" s="104" t="e">
        <f t="shared" si="711"/>
        <v>#N/A</v>
      </c>
      <c r="AM1606" s="104" t="e">
        <f t="shared" si="712"/>
        <v>#N/A</v>
      </c>
      <c r="AN1606" s="104" t="e">
        <f t="shared" si="723"/>
        <v>#N/A</v>
      </c>
      <c r="AO1606" s="104" t="e">
        <f t="shared" si="724"/>
        <v>#N/A</v>
      </c>
      <c r="AP1606" s="104" t="e">
        <f t="shared" si="725"/>
        <v>#N/A</v>
      </c>
      <c r="AQ1606" s="104" t="e">
        <f t="shared" si="726"/>
        <v>#N/A</v>
      </c>
      <c r="AR1606" s="105" t="str">
        <f t="shared" si="718"/>
        <v/>
      </c>
      <c r="AS1606" s="105" t="str">
        <f t="shared" si="719"/>
        <v/>
      </c>
      <c r="AT1606" s="108" t="str">
        <f t="shared" si="720"/>
        <v/>
      </c>
      <c r="AU1606" s="108" t="str">
        <f t="shared" si="721"/>
        <v/>
      </c>
      <c r="AV1606" s="107" t="str">
        <f>IF(ISNUMBER(O1606),IF(VLOOKUP($A1606,Stand!C:J,8,FALSE)="Short",AT1606,AU1606),"")</f>
        <v/>
      </c>
      <c r="AW1606" s="109" t="str">
        <f t="shared" si="727"/>
        <v/>
      </c>
      <c r="AX1606" s="109" t="str">
        <f t="shared" si="728"/>
        <v/>
      </c>
      <c r="AY1606" s="112" t="str">
        <f>IF(ISNUMBER(O1606),IF(AND(VLOOKUP($D1606,Merchantability!$B:$C,2,0)="Yes",$E1606&gt;=VLOOKUP($D1606,Merchantability!$B:$D,3,0),$E1606&lt;=VLOOKUP($D1606,Merchantability!$B:$E,4,0)),(AV1606*O1606)*(1-$H1606/100),""),"")</f>
        <v/>
      </c>
      <c r="AZ1606" s="116"/>
      <c r="BA1606" s="116"/>
      <c r="BB1606" s="116"/>
      <c r="BE1606" s="62"/>
      <c r="BF1606" s="63"/>
    </row>
    <row r="1607" spans="1:58" ht="12.75" customHeight="1" x14ac:dyDescent="0.25">
      <c r="A1607" s="333"/>
      <c r="B1607" s="334"/>
      <c r="C1607" s="332"/>
      <c r="D1607" s="334"/>
      <c r="E1607" s="335"/>
      <c r="F1607" s="334"/>
      <c r="G1607" s="332"/>
      <c r="H1607" s="332"/>
      <c r="I1607" s="334"/>
      <c r="J1607" s="336"/>
      <c r="K1607" s="332"/>
      <c r="L1607" s="332"/>
      <c r="M1607" s="76"/>
      <c r="N1607" s="103" t="str">
        <f>IF(A1607="","",VLOOKUP(A1607,Stand!C:K,9,0))</f>
        <v/>
      </c>
      <c r="O1607" s="104" t="str">
        <f t="shared" si="713"/>
        <v/>
      </c>
      <c r="P1607" s="105" t="str">
        <f t="shared" si="714"/>
        <v/>
      </c>
      <c r="Q1607" s="105" t="str">
        <f t="shared" si="702"/>
        <v/>
      </c>
      <c r="R1607" s="103" t="str">
        <f t="shared" si="715"/>
        <v/>
      </c>
      <c r="S1607" s="103" t="str">
        <f t="shared" si="716"/>
        <v/>
      </c>
      <c r="T1607" s="106" t="str">
        <f t="shared" si="703"/>
        <v/>
      </c>
      <c r="U1607" s="106" t="str">
        <f t="shared" si="704"/>
        <v/>
      </c>
      <c r="V1607" s="106" t="str">
        <f t="shared" si="705"/>
        <v/>
      </c>
      <c r="W1607" s="105" t="str">
        <f t="shared" si="717"/>
        <v/>
      </c>
      <c r="X1607" s="104" t="str">
        <f t="shared" si="722"/>
        <v/>
      </c>
      <c r="Y1607" s="104" t="str">
        <f t="array" ref="Y1607">IFERROR(IF(ISNUMBER(O1607),IF(COUNT(IF(A1607=$A$2:$A$2427,IF(D1607=$D$2:$D$2427,IF($X$2:$X$2427&gt;0,1))))&gt;0,SUM(IF(A1607=$A$2:$A$2427,IF(D1607=$D$2:$D$2427,$X$2:$X$2427)))/COUNT(IF(A1607=$A$2:$A$2427,IF(D1607=$D$2:$D$2427,IF(ISNUMBER($X$2:$X$2427),1)))),0),""),0)</f>
        <v/>
      </c>
      <c r="Z1607" s="104" t="str">
        <f>IF(ISNUMBER(O1607),IF(I1607&gt;0,(10^(VLOOKUP(D1607,'Species Codes'!B:C,2,0)+VLOOKUP(D1607,'Species Codes'!B:D,3,0)*LOG(E1607)+VLOOKUP(D1607,'Species Codes'!B:E,4,0)*LOG(I1607))),0),"")</f>
        <v/>
      </c>
      <c r="AA1607" s="104" t="str">
        <f>IFERROR((VLOOKUP(D1607,'Species Codes'!B:G,6,0)*Z1607)/2000,"")</f>
        <v/>
      </c>
      <c r="AB1607" s="104" t="e">
        <f>IF(Z1607&gt;0,((IF(OR(D1607="DF",D1607="RA")=TRUE,EXP(VLOOKUP(D1607,'Species Codes'!B:I,8,0)+VLOOKUP(D1607,'Species Codes'!B:J,9,0)*(LN((E1607*2.54)))),IF(OR(D1607="PY",D1607="RC",D1607="WH",D1607="NF")=TRUE,VLOOKUP(D1607,'Species Codes'!B:I,8,0)+VLOOKUP(D1607,'Species Codes'!B:J,9,0)*((E1607*2.54)^2)*(I1607*0.3048),IF(OR(D1607="MD",D1607="BM",D1607="GA")=TRUE,((VLOOKUP(D1607,'Species Codes'!B:I,8,0)*(((((E1607*2.54)+VLOOKUP(D1607,'Species Codes'!B:J,9,0))/VLOOKUP(D1607,'Species Codes'!B:K,10,0))^VLOOKUP(D1607,'Species Codes'!B:L,11,0))*((I1607*0.3048)^VLOOKUP(D1607,'Species Codes'!B:M,12,0))))-(VLOOKUP(D1607,'Species Codes'!B:I,8,0)*((((E1607*2.54)^VLOOKUP(D1607,'Species Codes'!B:L,11,0))*((I1607*0.3048)^VLOOKUP(D1607,'Species Codes'!B:M,12,0))))))*35.3*VLOOKUP(D1607,'Species Codes'!B:G,6,0)/2.2046,VLOOKUP(D1607,'Species Codes'!B:I,8,0)+VLOOKUP(D1607,'Species Codes'!B:J,9,0)*(((E1607*2.54)/100)^2)*(I1607*0.3048)))))*0.0011023),0)</f>
        <v>#N/A</v>
      </c>
      <c r="AC1607" s="104" t="e">
        <f>IF(Z1607&gt;0,((IF(OR(D1607="RA",D1607="OA",D1607="OT",D1607="UN",D1607="PC"),EXP(VLOOKUP(D1607,'Species Codes'!B:O,14,0)+VLOOKUP(D1607,'Species Codes'!B:P,15,0)*LN((E1607*2.54)))-EXP(VLOOKUP(D1607,'Species Codes'!B:O,14,0)+VLOOKUP(D1607,'Species Codes'!B:P,15,0)*LN((E1607*2.54)))*(1/(VLOOKUP(D1607,'Species Codes'!B:Q,16,0)+VLOOKUP(D1607,'Species Codes'!B:R,17,0)*((E1607*2.54)^VLOOKUP(D1607,'Species Codes'!B:S,18,0)))),IF(OR(D1607="BM",D1607="MD",D1607="OA"),EXP(VLOOKUP(D1607,'Species Codes'!B:O,14,0)+VLOOKUP(D1607,'Species Codes'!B:P,15,0)*LN((E1607*2.54)))*(1-(1/(VLOOKUP(D1607,'Species Codes'!B:Q,16,0)+VLOOKUP(D1607,'Species Codes'!B:R,17,0)*((E1607*2.54)^VLOOKUP(D1607,'Species Codes'!B:S,18,0)))))/1000,IF(D1607="DF",EXP(VLOOKUP(D1607,'Species Codes'!B:O,14,0)+VLOOKUP(D1607,'Species Codes'!B:P,15,0)*LN((E1607*2.54))),VLOOKUP(D1607,'Species Codes'!B:O,14,0)+VLOOKUP(D1607,'Species Codes'!B:P,15,0)*(((E1607*2.54)/100)^2)*(I1607*0.3048)))))*0.0011023),0)</f>
        <v>#N/A</v>
      </c>
      <c r="AD1607" s="104" t="e">
        <f t="shared" si="706"/>
        <v>#N/A</v>
      </c>
      <c r="AE1607" s="104" t="e">
        <f t="shared" si="707"/>
        <v>#N/A</v>
      </c>
      <c r="AF1607" s="104" t="e">
        <f>IF(AND(VLOOKUP($D1607,Merchantability!$B:$C,2,0)="Yes",$E1607&gt;=VLOOKUP($D1607,Merchantability!$B:$D,3,0),$E1607&lt;=VLOOKUP($D1607,Merchantability!$B:$E,4,0)),AA1607,0)</f>
        <v>#N/A</v>
      </c>
      <c r="AG1607" s="104" t="e">
        <f>IF(AND(VLOOKUP($D1607,Merchantability!$B:$C,2,0)="Yes",$E1607&gt;=VLOOKUP($D1607,Merchantability!$B:$D,3,0),$E1607&lt;=VLOOKUP($D1607,Merchantability!$B:$E,4,0)),AB1607,0)</f>
        <v>#N/A</v>
      </c>
      <c r="AH1607" s="104" t="e">
        <f>IF(AND(VLOOKUP($D1607,Merchantability!$B:$C,2,0)="Yes",$E1607&gt;=VLOOKUP($D1607,Merchantability!$B:$D,3,0),$E1607&lt;=VLOOKUP($D1607,Merchantability!$B:$E,4,0)),AC1607,0)</f>
        <v>#N/A</v>
      </c>
      <c r="AI1607" s="104" t="e">
        <f t="shared" si="708"/>
        <v>#N/A</v>
      </c>
      <c r="AJ1607" s="104" t="e">
        <f t="shared" si="709"/>
        <v>#VALUE!</v>
      </c>
      <c r="AK1607" s="104" t="e">
        <f t="shared" si="710"/>
        <v>#N/A</v>
      </c>
      <c r="AL1607" s="104" t="e">
        <f t="shared" si="711"/>
        <v>#N/A</v>
      </c>
      <c r="AM1607" s="104" t="e">
        <f t="shared" si="712"/>
        <v>#N/A</v>
      </c>
      <c r="AN1607" s="104" t="e">
        <f t="shared" si="723"/>
        <v>#N/A</v>
      </c>
      <c r="AO1607" s="104" t="e">
        <f t="shared" si="724"/>
        <v>#N/A</v>
      </c>
      <c r="AP1607" s="104" t="e">
        <f t="shared" si="725"/>
        <v>#N/A</v>
      </c>
      <c r="AQ1607" s="104" t="e">
        <f t="shared" si="726"/>
        <v>#N/A</v>
      </c>
      <c r="AR1607" s="105" t="str">
        <f t="shared" si="718"/>
        <v/>
      </c>
      <c r="AS1607" s="105" t="str">
        <f t="shared" si="719"/>
        <v/>
      </c>
      <c r="AT1607" s="108" t="str">
        <f t="shared" si="720"/>
        <v/>
      </c>
      <c r="AU1607" s="108" t="str">
        <f t="shared" si="721"/>
        <v/>
      </c>
      <c r="AV1607" s="107" t="str">
        <f>IF(ISNUMBER(O1607),IF(VLOOKUP($A1607,Stand!C:J,8,FALSE)="Short",AT1607,AU1607),"")</f>
        <v/>
      </c>
      <c r="AW1607" s="109" t="str">
        <f t="shared" si="727"/>
        <v/>
      </c>
      <c r="AX1607" s="109" t="str">
        <f t="shared" si="728"/>
        <v/>
      </c>
      <c r="AY1607" s="112" t="str">
        <f>IF(ISNUMBER(O1607),IF(AND(VLOOKUP($D1607,Merchantability!$B:$C,2,0)="Yes",$E1607&gt;=VLOOKUP($D1607,Merchantability!$B:$D,3,0),$E1607&lt;=VLOOKUP($D1607,Merchantability!$B:$E,4,0)),(AV1607*O1607)*(1-$H1607/100),""),"")</f>
        <v/>
      </c>
      <c r="AZ1607" s="116"/>
      <c r="BA1607" s="116"/>
      <c r="BB1607" s="116"/>
      <c r="BE1607" s="62"/>
      <c r="BF1607" s="63"/>
    </row>
    <row r="1608" spans="1:58" ht="12.75" customHeight="1" x14ac:dyDescent="0.25">
      <c r="A1608" s="333"/>
      <c r="B1608" s="334"/>
      <c r="C1608" s="332"/>
      <c r="D1608" s="334"/>
      <c r="E1608" s="335"/>
      <c r="F1608" s="334"/>
      <c r="G1608" s="332"/>
      <c r="H1608" s="332"/>
      <c r="I1608" s="334"/>
      <c r="J1608" s="336"/>
      <c r="K1608" s="332"/>
      <c r="L1608" s="332"/>
      <c r="M1608" s="76"/>
      <c r="N1608" s="103" t="str">
        <f>IF(A1608="","",VLOOKUP(A1608,Stand!C:K,9,0))</f>
        <v/>
      </c>
      <c r="O1608" s="104" t="str">
        <f t="shared" si="713"/>
        <v/>
      </c>
      <c r="P1608" s="105" t="str">
        <f t="shared" si="714"/>
        <v/>
      </c>
      <c r="Q1608" s="105" t="str">
        <f t="shared" si="702"/>
        <v/>
      </c>
      <c r="R1608" s="103" t="str">
        <f t="shared" si="715"/>
        <v/>
      </c>
      <c r="S1608" s="103" t="str">
        <f t="shared" si="716"/>
        <v/>
      </c>
      <c r="T1608" s="106" t="str">
        <f t="shared" si="703"/>
        <v/>
      </c>
      <c r="U1608" s="106" t="str">
        <f t="shared" si="704"/>
        <v/>
      </c>
      <c r="V1608" s="106" t="str">
        <f t="shared" si="705"/>
        <v/>
      </c>
      <c r="W1608" s="105" t="str">
        <f t="shared" si="717"/>
        <v/>
      </c>
      <c r="X1608" s="104" t="str">
        <f t="shared" si="722"/>
        <v/>
      </c>
      <c r="Y1608" s="104" t="str">
        <f t="array" ref="Y1608">IFERROR(IF(ISNUMBER(O1608),IF(COUNT(IF(A1608=$A$2:$A$2427,IF(D1608=$D$2:$D$2427,IF($X$2:$X$2427&gt;0,1))))&gt;0,SUM(IF(A1608=$A$2:$A$2427,IF(D1608=$D$2:$D$2427,$X$2:$X$2427)))/COUNT(IF(A1608=$A$2:$A$2427,IF(D1608=$D$2:$D$2427,IF(ISNUMBER($X$2:$X$2427),1)))),0),""),0)</f>
        <v/>
      </c>
      <c r="Z1608" s="104" t="str">
        <f>IF(ISNUMBER(O1608),IF(I1608&gt;0,(10^(VLOOKUP(D1608,'Species Codes'!B:C,2,0)+VLOOKUP(D1608,'Species Codes'!B:D,3,0)*LOG(E1608)+VLOOKUP(D1608,'Species Codes'!B:E,4,0)*LOG(I1608))),0),"")</f>
        <v/>
      </c>
      <c r="AA1608" s="104" t="str">
        <f>IFERROR((VLOOKUP(D1608,'Species Codes'!B:G,6,0)*Z1608)/2000,"")</f>
        <v/>
      </c>
      <c r="AB1608" s="104" t="e">
        <f>IF(Z1608&gt;0,((IF(OR(D1608="DF",D1608="RA")=TRUE,EXP(VLOOKUP(D1608,'Species Codes'!B:I,8,0)+VLOOKUP(D1608,'Species Codes'!B:J,9,0)*(LN((E1608*2.54)))),IF(OR(D1608="PY",D1608="RC",D1608="WH",D1608="NF")=TRUE,VLOOKUP(D1608,'Species Codes'!B:I,8,0)+VLOOKUP(D1608,'Species Codes'!B:J,9,0)*((E1608*2.54)^2)*(I1608*0.3048),IF(OR(D1608="MD",D1608="BM",D1608="GA")=TRUE,((VLOOKUP(D1608,'Species Codes'!B:I,8,0)*(((((E1608*2.54)+VLOOKUP(D1608,'Species Codes'!B:J,9,0))/VLOOKUP(D1608,'Species Codes'!B:K,10,0))^VLOOKUP(D1608,'Species Codes'!B:L,11,0))*((I1608*0.3048)^VLOOKUP(D1608,'Species Codes'!B:M,12,0))))-(VLOOKUP(D1608,'Species Codes'!B:I,8,0)*((((E1608*2.54)^VLOOKUP(D1608,'Species Codes'!B:L,11,0))*((I1608*0.3048)^VLOOKUP(D1608,'Species Codes'!B:M,12,0))))))*35.3*VLOOKUP(D1608,'Species Codes'!B:G,6,0)/2.2046,VLOOKUP(D1608,'Species Codes'!B:I,8,0)+VLOOKUP(D1608,'Species Codes'!B:J,9,0)*(((E1608*2.54)/100)^2)*(I1608*0.3048)))))*0.0011023),0)</f>
        <v>#N/A</v>
      </c>
      <c r="AC1608" s="104" t="e">
        <f>IF(Z1608&gt;0,((IF(OR(D1608="RA",D1608="OA",D1608="OT",D1608="UN",D1608="PC"),EXP(VLOOKUP(D1608,'Species Codes'!B:O,14,0)+VLOOKUP(D1608,'Species Codes'!B:P,15,0)*LN((E1608*2.54)))-EXP(VLOOKUP(D1608,'Species Codes'!B:O,14,0)+VLOOKUP(D1608,'Species Codes'!B:P,15,0)*LN((E1608*2.54)))*(1/(VLOOKUP(D1608,'Species Codes'!B:Q,16,0)+VLOOKUP(D1608,'Species Codes'!B:R,17,0)*((E1608*2.54)^VLOOKUP(D1608,'Species Codes'!B:S,18,0)))),IF(OR(D1608="BM",D1608="MD",D1608="OA"),EXP(VLOOKUP(D1608,'Species Codes'!B:O,14,0)+VLOOKUP(D1608,'Species Codes'!B:P,15,0)*LN((E1608*2.54)))*(1-(1/(VLOOKUP(D1608,'Species Codes'!B:Q,16,0)+VLOOKUP(D1608,'Species Codes'!B:R,17,0)*((E1608*2.54)^VLOOKUP(D1608,'Species Codes'!B:S,18,0)))))/1000,IF(D1608="DF",EXP(VLOOKUP(D1608,'Species Codes'!B:O,14,0)+VLOOKUP(D1608,'Species Codes'!B:P,15,0)*LN((E1608*2.54))),VLOOKUP(D1608,'Species Codes'!B:O,14,0)+VLOOKUP(D1608,'Species Codes'!B:P,15,0)*(((E1608*2.54)/100)^2)*(I1608*0.3048)))))*0.0011023),0)</f>
        <v>#N/A</v>
      </c>
      <c r="AD1608" s="104" t="e">
        <f t="shared" si="706"/>
        <v>#N/A</v>
      </c>
      <c r="AE1608" s="104" t="e">
        <f t="shared" si="707"/>
        <v>#N/A</v>
      </c>
      <c r="AF1608" s="104" t="e">
        <f>IF(AND(VLOOKUP($D1608,Merchantability!$B:$C,2,0)="Yes",$E1608&gt;=VLOOKUP($D1608,Merchantability!$B:$D,3,0),$E1608&lt;=VLOOKUP($D1608,Merchantability!$B:$E,4,0)),AA1608,0)</f>
        <v>#N/A</v>
      </c>
      <c r="AG1608" s="104" t="e">
        <f>IF(AND(VLOOKUP($D1608,Merchantability!$B:$C,2,0)="Yes",$E1608&gt;=VLOOKUP($D1608,Merchantability!$B:$D,3,0),$E1608&lt;=VLOOKUP($D1608,Merchantability!$B:$E,4,0)),AB1608,0)</f>
        <v>#N/A</v>
      </c>
      <c r="AH1608" s="104" t="e">
        <f>IF(AND(VLOOKUP($D1608,Merchantability!$B:$C,2,0)="Yes",$E1608&gt;=VLOOKUP($D1608,Merchantability!$B:$D,3,0),$E1608&lt;=VLOOKUP($D1608,Merchantability!$B:$E,4,0)),AC1608,0)</f>
        <v>#N/A</v>
      </c>
      <c r="AI1608" s="104" t="e">
        <f t="shared" si="708"/>
        <v>#N/A</v>
      </c>
      <c r="AJ1608" s="104" t="e">
        <f t="shared" si="709"/>
        <v>#VALUE!</v>
      </c>
      <c r="AK1608" s="104" t="e">
        <f t="shared" si="710"/>
        <v>#N/A</v>
      </c>
      <c r="AL1608" s="104" t="e">
        <f t="shared" si="711"/>
        <v>#N/A</v>
      </c>
      <c r="AM1608" s="104" t="e">
        <f t="shared" si="712"/>
        <v>#N/A</v>
      </c>
      <c r="AN1608" s="104" t="e">
        <f t="shared" si="723"/>
        <v>#N/A</v>
      </c>
      <c r="AO1608" s="104" t="e">
        <f t="shared" si="724"/>
        <v>#N/A</v>
      </c>
      <c r="AP1608" s="104" t="e">
        <f t="shared" si="725"/>
        <v>#N/A</v>
      </c>
      <c r="AQ1608" s="104" t="e">
        <f t="shared" si="726"/>
        <v>#N/A</v>
      </c>
      <c r="AR1608" s="105" t="str">
        <f t="shared" si="718"/>
        <v/>
      </c>
      <c r="AS1608" s="105" t="str">
        <f t="shared" si="719"/>
        <v/>
      </c>
      <c r="AT1608" s="108" t="str">
        <f t="shared" si="720"/>
        <v/>
      </c>
      <c r="AU1608" s="108" t="str">
        <f t="shared" si="721"/>
        <v/>
      </c>
      <c r="AV1608" s="107" t="str">
        <f>IF(ISNUMBER(O1608),IF(VLOOKUP($A1608,Stand!C:J,8,FALSE)="Short",AT1608,AU1608),"")</f>
        <v/>
      </c>
      <c r="AW1608" s="109" t="str">
        <f t="shared" si="727"/>
        <v/>
      </c>
      <c r="AX1608" s="109" t="str">
        <f t="shared" si="728"/>
        <v/>
      </c>
      <c r="AY1608" s="112" t="str">
        <f>IF(ISNUMBER(O1608),IF(AND(VLOOKUP($D1608,Merchantability!$B:$C,2,0)="Yes",$E1608&gt;=VLOOKUP($D1608,Merchantability!$B:$D,3,0),$E1608&lt;=VLOOKUP($D1608,Merchantability!$B:$E,4,0)),(AV1608*O1608)*(1-$H1608/100),""),"")</f>
        <v/>
      </c>
      <c r="AZ1608" s="116"/>
      <c r="BA1608" s="116"/>
      <c r="BB1608" s="116"/>
      <c r="BE1608" s="62"/>
      <c r="BF1608" s="63"/>
    </row>
    <row r="1609" spans="1:58" ht="12.75" customHeight="1" x14ac:dyDescent="0.25">
      <c r="A1609" s="333"/>
      <c r="B1609" s="334"/>
      <c r="C1609" s="332"/>
      <c r="D1609" s="334"/>
      <c r="E1609" s="335"/>
      <c r="F1609" s="334"/>
      <c r="G1609" s="332"/>
      <c r="H1609" s="332"/>
      <c r="I1609" s="334"/>
      <c r="J1609" s="336"/>
      <c r="K1609" s="332"/>
      <c r="L1609" s="332"/>
      <c r="M1609" s="76"/>
      <c r="N1609" s="103" t="str">
        <f>IF(A1609="","",VLOOKUP(A1609,Stand!C:K,9,0))</f>
        <v/>
      </c>
      <c r="O1609" s="104" t="str">
        <f t="shared" si="713"/>
        <v/>
      </c>
      <c r="P1609" s="105" t="str">
        <f t="shared" si="714"/>
        <v/>
      </c>
      <c r="Q1609" s="105" t="str">
        <f t="shared" si="702"/>
        <v/>
      </c>
      <c r="R1609" s="103" t="str">
        <f t="shared" si="715"/>
        <v/>
      </c>
      <c r="S1609" s="103" t="str">
        <f t="shared" si="716"/>
        <v/>
      </c>
      <c r="T1609" s="106" t="str">
        <f t="shared" si="703"/>
        <v/>
      </c>
      <c r="U1609" s="106" t="str">
        <f t="shared" si="704"/>
        <v/>
      </c>
      <c r="V1609" s="106" t="str">
        <f t="shared" si="705"/>
        <v/>
      </c>
      <c r="W1609" s="105" t="str">
        <f t="shared" si="717"/>
        <v/>
      </c>
      <c r="X1609" s="104" t="str">
        <f t="shared" si="722"/>
        <v/>
      </c>
      <c r="Y1609" s="104" t="str">
        <f t="array" ref="Y1609">IFERROR(IF(ISNUMBER(O1609),IF(COUNT(IF(A1609=$A$2:$A$2427,IF(D1609=$D$2:$D$2427,IF($X$2:$X$2427&gt;0,1))))&gt;0,SUM(IF(A1609=$A$2:$A$2427,IF(D1609=$D$2:$D$2427,$X$2:$X$2427)))/COUNT(IF(A1609=$A$2:$A$2427,IF(D1609=$D$2:$D$2427,IF(ISNUMBER($X$2:$X$2427),1)))),0),""),0)</f>
        <v/>
      </c>
      <c r="Z1609" s="104" t="str">
        <f>IF(ISNUMBER(O1609),IF(I1609&gt;0,(10^(VLOOKUP(D1609,'Species Codes'!B:C,2,0)+VLOOKUP(D1609,'Species Codes'!B:D,3,0)*LOG(E1609)+VLOOKUP(D1609,'Species Codes'!B:E,4,0)*LOG(I1609))),0),"")</f>
        <v/>
      </c>
      <c r="AA1609" s="104" t="str">
        <f>IFERROR((VLOOKUP(D1609,'Species Codes'!B:G,6,0)*Z1609)/2000,"")</f>
        <v/>
      </c>
      <c r="AB1609" s="104" t="e">
        <f>IF(Z1609&gt;0,((IF(OR(D1609="DF",D1609="RA")=TRUE,EXP(VLOOKUP(D1609,'Species Codes'!B:I,8,0)+VLOOKUP(D1609,'Species Codes'!B:J,9,0)*(LN((E1609*2.54)))),IF(OR(D1609="PY",D1609="RC",D1609="WH",D1609="NF")=TRUE,VLOOKUP(D1609,'Species Codes'!B:I,8,0)+VLOOKUP(D1609,'Species Codes'!B:J,9,0)*((E1609*2.54)^2)*(I1609*0.3048),IF(OR(D1609="MD",D1609="BM",D1609="GA")=TRUE,((VLOOKUP(D1609,'Species Codes'!B:I,8,0)*(((((E1609*2.54)+VLOOKUP(D1609,'Species Codes'!B:J,9,0))/VLOOKUP(D1609,'Species Codes'!B:K,10,0))^VLOOKUP(D1609,'Species Codes'!B:L,11,0))*((I1609*0.3048)^VLOOKUP(D1609,'Species Codes'!B:M,12,0))))-(VLOOKUP(D1609,'Species Codes'!B:I,8,0)*((((E1609*2.54)^VLOOKUP(D1609,'Species Codes'!B:L,11,0))*((I1609*0.3048)^VLOOKUP(D1609,'Species Codes'!B:M,12,0))))))*35.3*VLOOKUP(D1609,'Species Codes'!B:G,6,0)/2.2046,VLOOKUP(D1609,'Species Codes'!B:I,8,0)+VLOOKUP(D1609,'Species Codes'!B:J,9,0)*(((E1609*2.54)/100)^2)*(I1609*0.3048)))))*0.0011023),0)</f>
        <v>#N/A</v>
      </c>
      <c r="AC1609" s="104" t="e">
        <f>IF(Z1609&gt;0,((IF(OR(D1609="RA",D1609="OA",D1609="OT",D1609="UN",D1609="PC"),EXP(VLOOKUP(D1609,'Species Codes'!B:O,14,0)+VLOOKUP(D1609,'Species Codes'!B:P,15,0)*LN((E1609*2.54)))-EXP(VLOOKUP(D1609,'Species Codes'!B:O,14,0)+VLOOKUP(D1609,'Species Codes'!B:P,15,0)*LN((E1609*2.54)))*(1/(VLOOKUP(D1609,'Species Codes'!B:Q,16,0)+VLOOKUP(D1609,'Species Codes'!B:R,17,0)*((E1609*2.54)^VLOOKUP(D1609,'Species Codes'!B:S,18,0)))),IF(OR(D1609="BM",D1609="MD",D1609="OA"),EXP(VLOOKUP(D1609,'Species Codes'!B:O,14,0)+VLOOKUP(D1609,'Species Codes'!B:P,15,0)*LN((E1609*2.54)))*(1-(1/(VLOOKUP(D1609,'Species Codes'!B:Q,16,0)+VLOOKUP(D1609,'Species Codes'!B:R,17,0)*((E1609*2.54)^VLOOKUP(D1609,'Species Codes'!B:S,18,0)))))/1000,IF(D1609="DF",EXP(VLOOKUP(D1609,'Species Codes'!B:O,14,0)+VLOOKUP(D1609,'Species Codes'!B:P,15,0)*LN((E1609*2.54))),VLOOKUP(D1609,'Species Codes'!B:O,14,0)+VLOOKUP(D1609,'Species Codes'!B:P,15,0)*(((E1609*2.54)/100)^2)*(I1609*0.3048)))))*0.0011023),0)</f>
        <v>#N/A</v>
      </c>
      <c r="AD1609" s="104" t="e">
        <f t="shared" si="706"/>
        <v>#N/A</v>
      </c>
      <c r="AE1609" s="104" t="e">
        <f t="shared" si="707"/>
        <v>#N/A</v>
      </c>
      <c r="AF1609" s="104" t="e">
        <f>IF(AND(VLOOKUP($D1609,Merchantability!$B:$C,2,0)="Yes",$E1609&gt;=VLOOKUP($D1609,Merchantability!$B:$D,3,0),$E1609&lt;=VLOOKUP($D1609,Merchantability!$B:$E,4,0)),AA1609,0)</f>
        <v>#N/A</v>
      </c>
      <c r="AG1609" s="104" t="e">
        <f>IF(AND(VLOOKUP($D1609,Merchantability!$B:$C,2,0)="Yes",$E1609&gt;=VLOOKUP($D1609,Merchantability!$B:$D,3,0),$E1609&lt;=VLOOKUP($D1609,Merchantability!$B:$E,4,0)),AB1609,0)</f>
        <v>#N/A</v>
      </c>
      <c r="AH1609" s="104" t="e">
        <f>IF(AND(VLOOKUP($D1609,Merchantability!$B:$C,2,0)="Yes",$E1609&gt;=VLOOKUP($D1609,Merchantability!$B:$D,3,0),$E1609&lt;=VLOOKUP($D1609,Merchantability!$B:$E,4,0)),AC1609,0)</f>
        <v>#N/A</v>
      </c>
      <c r="AI1609" s="104" t="e">
        <f t="shared" si="708"/>
        <v>#N/A</v>
      </c>
      <c r="AJ1609" s="104" t="e">
        <f t="shared" si="709"/>
        <v>#VALUE!</v>
      </c>
      <c r="AK1609" s="104" t="e">
        <f t="shared" si="710"/>
        <v>#N/A</v>
      </c>
      <c r="AL1609" s="104" t="e">
        <f t="shared" si="711"/>
        <v>#N/A</v>
      </c>
      <c r="AM1609" s="104" t="e">
        <f t="shared" si="712"/>
        <v>#N/A</v>
      </c>
      <c r="AN1609" s="104" t="e">
        <f t="shared" si="723"/>
        <v>#N/A</v>
      </c>
      <c r="AO1609" s="104" t="e">
        <f t="shared" si="724"/>
        <v>#N/A</v>
      </c>
      <c r="AP1609" s="104" t="e">
        <f t="shared" si="725"/>
        <v>#N/A</v>
      </c>
      <c r="AQ1609" s="104" t="e">
        <f t="shared" si="726"/>
        <v>#N/A</v>
      </c>
      <c r="AR1609" s="105" t="str">
        <f t="shared" si="718"/>
        <v/>
      </c>
      <c r="AS1609" s="105" t="str">
        <f t="shared" si="719"/>
        <v/>
      </c>
      <c r="AT1609" s="108" t="str">
        <f t="shared" si="720"/>
        <v/>
      </c>
      <c r="AU1609" s="108" t="str">
        <f t="shared" si="721"/>
        <v/>
      </c>
      <c r="AV1609" s="107" t="str">
        <f>IF(ISNUMBER(O1609),IF(VLOOKUP($A1609,Stand!C:J,8,FALSE)="Short",AT1609,AU1609),"")</f>
        <v/>
      </c>
      <c r="AW1609" s="109" t="str">
        <f t="shared" si="727"/>
        <v/>
      </c>
      <c r="AX1609" s="109" t="str">
        <f t="shared" si="728"/>
        <v/>
      </c>
      <c r="AY1609" s="112" t="str">
        <f>IF(ISNUMBER(O1609),IF(AND(VLOOKUP($D1609,Merchantability!$B:$C,2,0)="Yes",$E1609&gt;=VLOOKUP($D1609,Merchantability!$B:$D,3,0),$E1609&lt;=VLOOKUP($D1609,Merchantability!$B:$E,4,0)),(AV1609*O1609)*(1-$H1609/100),""),"")</f>
        <v/>
      </c>
      <c r="AZ1609" s="116"/>
      <c r="BA1609" s="116"/>
      <c r="BB1609" s="116"/>
      <c r="BE1609" s="62"/>
      <c r="BF1609" s="63"/>
    </row>
    <row r="1610" spans="1:58" ht="12.75" customHeight="1" x14ac:dyDescent="0.25">
      <c r="A1610" s="333"/>
      <c r="B1610" s="334"/>
      <c r="C1610" s="332"/>
      <c r="D1610" s="334"/>
      <c r="E1610" s="335"/>
      <c r="F1610" s="334"/>
      <c r="G1610" s="332"/>
      <c r="H1610" s="332"/>
      <c r="I1610" s="334"/>
      <c r="J1610" s="336"/>
      <c r="K1610" s="332"/>
      <c r="L1610" s="332"/>
      <c r="M1610" s="76"/>
      <c r="N1610" s="103" t="str">
        <f>IF(A1610="","",VLOOKUP(A1610,Stand!C:K,9,0))</f>
        <v/>
      </c>
      <c r="O1610" s="104" t="str">
        <f t="shared" si="713"/>
        <v/>
      </c>
      <c r="P1610" s="105" t="str">
        <f t="shared" si="714"/>
        <v/>
      </c>
      <c r="Q1610" s="105" t="str">
        <f t="shared" si="702"/>
        <v/>
      </c>
      <c r="R1610" s="103" t="str">
        <f t="shared" si="715"/>
        <v/>
      </c>
      <c r="S1610" s="103" t="str">
        <f t="shared" si="716"/>
        <v/>
      </c>
      <c r="T1610" s="106" t="str">
        <f t="shared" si="703"/>
        <v/>
      </c>
      <c r="U1610" s="106" t="str">
        <f t="shared" si="704"/>
        <v/>
      </c>
      <c r="V1610" s="106" t="str">
        <f t="shared" si="705"/>
        <v/>
      </c>
      <c r="W1610" s="105" t="str">
        <f t="shared" si="717"/>
        <v/>
      </c>
      <c r="X1610" s="104" t="str">
        <f t="shared" si="722"/>
        <v/>
      </c>
      <c r="Y1610" s="104" t="str">
        <f t="array" ref="Y1610">IFERROR(IF(ISNUMBER(O1610),IF(COUNT(IF(A1610=$A$2:$A$2427,IF(D1610=$D$2:$D$2427,IF($X$2:$X$2427&gt;0,1))))&gt;0,SUM(IF(A1610=$A$2:$A$2427,IF(D1610=$D$2:$D$2427,$X$2:$X$2427)))/COUNT(IF(A1610=$A$2:$A$2427,IF(D1610=$D$2:$D$2427,IF(ISNUMBER($X$2:$X$2427),1)))),0),""),0)</f>
        <v/>
      </c>
      <c r="Z1610" s="104" t="str">
        <f>IF(ISNUMBER(O1610),IF(I1610&gt;0,(10^(VLOOKUP(D1610,'Species Codes'!B:C,2,0)+VLOOKUP(D1610,'Species Codes'!B:D,3,0)*LOG(E1610)+VLOOKUP(D1610,'Species Codes'!B:E,4,0)*LOG(I1610))),0),"")</f>
        <v/>
      </c>
      <c r="AA1610" s="104" t="str">
        <f>IFERROR((VLOOKUP(D1610,'Species Codes'!B:G,6,0)*Z1610)/2000,"")</f>
        <v/>
      </c>
      <c r="AB1610" s="104" t="e">
        <f>IF(Z1610&gt;0,((IF(OR(D1610="DF",D1610="RA")=TRUE,EXP(VLOOKUP(D1610,'Species Codes'!B:I,8,0)+VLOOKUP(D1610,'Species Codes'!B:J,9,0)*(LN((E1610*2.54)))),IF(OR(D1610="PY",D1610="RC",D1610="WH",D1610="NF")=TRUE,VLOOKUP(D1610,'Species Codes'!B:I,8,0)+VLOOKUP(D1610,'Species Codes'!B:J,9,0)*((E1610*2.54)^2)*(I1610*0.3048),IF(OR(D1610="MD",D1610="BM",D1610="GA")=TRUE,((VLOOKUP(D1610,'Species Codes'!B:I,8,0)*(((((E1610*2.54)+VLOOKUP(D1610,'Species Codes'!B:J,9,0))/VLOOKUP(D1610,'Species Codes'!B:K,10,0))^VLOOKUP(D1610,'Species Codes'!B:L,11,0))*((I1610*0.3048)^VLOOKUP(D1610,'Species Codes'!B:M,12,0))))-(VLOOKUP(D1610,'Species Codes'!B:I,8,0)*((((E1610*2.54)^VLOOKUP(D1610,'Species Codes'!B:L,11,0))*((I1610*0.3048)^VLOOKUP(D1610,'Species Codes'!B:M,12,0))))))*35.3*VLOOKUP(D1610,'Species Codes'!B:G,6,0)/2.2046,VLOOKUP(D1610,'Species Codes'!B:I,8,0)+VLOOKUP(D1610,'Species Codes'!B:J,9,0)*(((E1610*2.54)/100)^2)*(I1610*0.3048)))))*0.0011023),0)</f>
        <v>#N/A</v>
      </c>
      <c r="AC1610" s="104" t="e">
        <f>IF(Z1610&gt;0,((IF(OR(D1610="RA",D1610="OA",D1610="OT",D1610="UN",D1610="PC"),EXP(VLOOKUP(D1610,'Species Codes'!B:O,14,0)+VLOOKUP(D1610,'Species Codes'!B:P,15,0)*LN((E1610*2.54)))-EXP(VLOOKUP(D1610,'Species Codes'!B:O,14,0)+VLOOKUP(D1610,'Species Codes'!B:P,15,0)*LN((E1610*2.54)))*(1/(VLOOKUP(D1610,'Species Codes'!B:Q,16,0)+VLOOKUP(D1610,'Species Codes'!B:R,17,0)*((E1610*2.54)^VLOOKUP(D1610,'Species Codes'!B:S,18,0)))),IF(OR(D1610="BM",D1610="MD",D1610="OA"),EXP(VLOOKUP(D1610,'Species Codes'!B:O,14,0)+VLOOKUP(D1610,'Species Codes'!B:P,15,0)*LN((E1610*2.54)))*(1-(1/(VLOOKUP(D1610,'Species Codes'!B:Q,16,0)+VLOOKUP(D1610,'Species Codes'!B:R,17,0)*((E1610*2.54)^VLOOKUP(D1610,'Species Codes'!B:S,18,0)))))/1000,IF(D1610="DF",EXP(VLOOKUP(D1610,'Species Codes'!B:O,14,0)+VLOOKUP(D1610,'Species Codes'!B:P,15,0)*LN((E1610*2.54))),VLOOKUP(D1610,'Species Codes'!B:O,14,0)+VLOOKUP(D1610,'Species Codes'!B:P,15,0)*(((E1610*2.54)/100)^2)*(I1610*0.3048)))))*0.0011023),0)</f>
        <v>#N/A</v>
      </c>
      <c r="AD1610" s="104" t="e">
        <f t="shared" si="706"/>
        <v>#N/A</v>
      </c>
      <c r="AE1610" s="104" t="e">
        <f t="shared" si="707"/>
        <v>#N/A</v>
      </c>
      <c r="AF1610" s="104" t="e">
        <f>IF(AND(VLOOKUP($D1610,Merchantability!$B:$C,2,0)="Yes",$E1610&gt;=VLOOKUP($D1610,Merchantability!$B:$D,3,0),$E1610&lt;=VLOOKUP($D1610,Merchantability!$B:$E,4,0)),AA1610,0)</f>
        <v>#N/A</v>
      </c>
      <c r="AG1610" s="104" t="e">
        <f>IF(AND(VLOOKUP($D1610,Merchantability!$B:$C,2,0)="Yes",$E1610&gt;=VLOOKUP($D1610,Merchantability!$B:$D,3,0),$E1610&lt;=VLOOKUP($D1610,Merchantability!$B:$E,4,0)),AB1610,0)</f>
        <v>#N/A</v>
      </c>
      <c r="AH1610" s="104" t="e">
        <f>IF(AND(VLOOKUP($D1610,Merchantability!$B:$C,2,0)="Yes",$E1610&gt;=VLOOKUP($D1610,Merchantability!$B:$D,3,0),$E1610&lt;=VLOOKUP($D1610,Merchantability!$B:$E,4,0)),AC1610,0)</f>
        <v>#N/A</v>
      </c>
      <c r="AI1610" s="104" t="e">
        <f t="shared" si="708"/>
        <v>#N/A</v>
      </c>
      <c r="AJ1610" s="104" t="e">
        <f t="shared" si="709"/>
        <v>#VALUE!</v>
      </c>
      <c r="AK1610" s="104" t="e">
        <f t="shared" si="710"/>
        <v>#N/A</v>
      </c>
      <c r="AL1610" s="104" t="e">
        <f t="shared" si="711"/>
        <v>#N/A</v>
      </c>
      <c r="AM1610" s="104" t="e">
        <f t="shared" si="712"/>
        <v>#N/A</v>
      </c>
      <c r="AN1610" s="104" t="e">
        <f t="shared" si="723"/>
        <v>#N/A</v>
      </c>
      <c r="AO1610" s="104" t="e">
        <f t="shared" si="724"/>
        <v>#N/A</v>
      </c>
      <c r="AP1610" s="104" t="e">
        <f t="shared" si="725"/>
        <v>#N/A</v>
      </c>
      <c r="AQ1610" s="104" t="e">
        <f t="shared" si="726"/>
        <v>#N/A</v>
      </c>
      <c r="AR1610" s="105" t="str">
        <f t="shared" si="718"/>
        <v/>
      </c>
      <c r="AS1610" s="105" t="str">
        <f t="shared" si="719"/>
        <v/>
      </c>
      <c r="AT1610" s="108" t="str">
        <f t="shared" si="720"/>
        <v/>
      </c>
      <c r="AU1610" s="108" t="str">
        <f t="shared" si="721"/>
        <v/>
      </c>
      <c r="AV1610" s="107" t="str">
        <f>IF(ISNUMBER(O1610),IF(VLOOKUP($A1610,Stand!C:J,8,FALSE)="Short",AT1610,AU1610),"")</f>
        <v/>
      </c>
      <c r="AW1610" s="109" t="str">
        <f t="shared" si="727"/>
        <v/>
      </c>
      <c r="AX1610" s="109" t="str">
        <f t="shared" si="728"/>
        <v/>
      </c>
      <c r="AY1610" s="112" t="str">
        <f>IF(ISNUMBER(O1610),IF(AND(VLOOKUP($D1610,Merchantability!$B:$C,2,0)="Yes",$E1610&gt;=VLOOKUP($D1610,Merchantability!$B:$D,3,0),$E1610&lt;=VLOOKUP($D1610,Merchantability!$B:$E,4,0)),(AV1610*O1610)*(1-$H1610/100),""),"")</f>
        <v/>
      </c>
      <c r="AZ1610" s="116"/>
      <c r="BA1610" s="116"/>
      <c r="BB1610" s="116"/>
      <c r="BE1610" s="62"/>
      <c r="BF1610" s="63"/>
    </row>
    <row r="1611" spans="1:58" ht="12.75" customHeight="1" x14ac:dyDescent="0.25">
      <c r="A1611" s="333"/>
      <c r="B1611" s="334"/>
      <c r="C1611" s="332"/>
      <c r="D1611" s="334"/>
      <c r="E1611" s="335"/>
      <c r="F1611" s="334"/>
      <c r="G1611" s="332"/>
      <c r="H1611" s="332"/>
      <c r="I1611" s="334"/>
      <c r="J1611" s="336"/>
      <c r="K1611" s="332"/>
      <c r="L1611" s="332"/>
      <c r="M1611" s="76"/>
      <c r="N1611" s="103" t="str">
        <f>IF(A1611="","",VLOOKUP(A1611,Stand!C:K,9,0))</f>
        <v/>
      </c>
      <c r="O1611" s="104" t="str">
        <f t="shared" si="713"/>
        <v/>
      </c>
      <c r="P1611" s="105" t="str">
        <f t="shared" si="714"/>
        <v/>
      </c>
      <c r="Q1611" s="105" t="str">
        <f t="shared" si="702"/>
        <v/>
      </c>
      <c r="R1611" s="103" t="str">
        <f t="shared" si="715"/>
        <v/>
      </c>
      <c r="S1611" s="103" t="str">
        <f t="shared" si="716"/>
        <v/>
      </c>
      <c r="T1611" s="106" t="str">
        <f t="shared" si="703"/>
        <v/>
      </c>
      <c r="U1611" s="106" t="str">
        <f t="shared" si="704"/>
        <v/>
      </c>
      <c r="V1611" s="106" t="str">
        <f t="shared" si="705"/>
        <v/>
      </c>
      <c r="W1611" s="105" t="str">
        <f t="shared" si="717"/>
        <v/>
      </c>
      <c r="X1611" s="104" t="str">
        <f t="shared" si="722"/>
        <v/>
      </c>
      <c r="Y1611" s="104" t="str">
        <f t="array" ref="Y1611">IFERROR(IF(ISNUMBER(O1611),IF(COUNT(IF(A1611=$A$2:$A$2427,IF(D1611=$D$2:$D$2427,IF($X$2:$X$2427&gt;0,1))))&gt;0,SUM(IF(A1611=$A$2:$A$2427,IF(D1611=$D$2:$D$2427,$X$2:$X$2427)))/COUNT(IF(A1611=$A$2:$A$2427,IF(D1611=$D$2:$D$2427,IF(ISNUMBER($X$2:$X$2427),1)))),0),""),0)</f>
        <v/>
      </c>
      <c r="Z1611" s="104" t="str">
        <f>IF(ISNUMBER(O1611),IF(I1611&gt;0,(10^(VLOOKUP(D1611,'Species Codes'!B:C,2,0)+VLOOKUP(D1611,'Species Codes'!B:D,3,0)*LOG(E1611)+VLOOKUP(D1611,'Species Codes'!B:E,4,0)*LOG(I1611))),0),"")</f>
        <v/>
      </c>
      <c r="AA1611" s="104" t="str">
        <f>IFERROR((VLOOKUP(D1611,'Species Codes'!B:G,6,0)*Z1611)/2000,"")</f>
        <v/>
      </c>
      <c r="AB1611" s="104" t="e">
        <f>IF(Z1611&gt;0,((IF(OR(D1611="DF",D1611="RA")=TRUE,EXP(VLOOKUP(D1611,'Species Codes'!B:I,8,0)+VLOOKUP(D1611,'Species Codes'!B:J,9,0)*(LN((E1611*2.54)))),IF(OR(D1611="PY",D1611="RC",D1611="WH",D1611="NF")=TRUE,VLOOKUP(D1611,'Species Codes'!B:I,8,0)+VLOOKUP(D1611,'Species Codes'!B:J,9,0)*((E1611*2.54)^2)*(I1611*0.3048),IF(OR(D1611="MD",D1611="BM",D1611="GA")=TRUE,((VLOOKUP(D1611,'Species Codes'!B:I,8,0)*(((((E1611*2.54)+VLOOKUP(D1611,'Species Codes'!B:J,9,0))/VLOOKUP(D1611,'Species Codes'!B:K,10,0))^VLOOKUP(D1611,'Species Codes'!B:L,11,0))*((I1611*0.3048)^VLOOKUP(D1611,'Species Codes'!B:M,12,0))))-(VLOOKUP(D1611,'Species Codes'!B:I,8,0)*((((E1611*2.54)^VLOOKUP(D1611,'Species Codes'!B:L,11,0))*((I1611*0.3048)^VLOOKUP(D1611,'Species Codes'!B:M,12,0))))))*35.3*VLOOKUP(D1611,'Species Codes'!B:G,6,0)/2.2046,VLOOKUP(D1611,'Species Codes'!B:I,8,0)+VLOOKUP(D1611,'Species Codes'!B:J,9,0)*(((E1611*2.54)/100)^2)*(I1611*0.3048)))))*0.0011023),0)</f>
        <v>#N/A</v>
      </c>
      <c r="AC1611" s="104" t="e">
        <f>IF(Z1611&gt;0,((IF(OR(D1611="RA",D1611="OA",D1611="OT",D1611="UN",D1611="PC"),EXP(VLOOKUP(D1611,'Species Codes'!B:O,14,0)+VLOOKUP(D1611,'Species Codes'!B:P,15,0)*LN((E1611*2.54)))-EXP(VLOOKUP(D1611,'Species Codes'!B:O,14,0)+VLOOKUP(D1611,'Species Codes'!B:P,15,0)*LN((E1611*2.54)))*(1/(VLOOKUP(D1611,'Species Codes'!B:Q,16,0)+VLOOKUP(D1611,'Species Codes'!B:R,17,0)*((E1611*2.54)^VLOOKUP(D1611,'Species Codes'!B:S,18,0)))),IF(OR(D1611="BM",D1611="MD",D1611="OA"),EXP(VLOOKUP(D1611,'Species Codes'!B:O,14,0)+VLOOKUP(D1611,'Species Codes'!B:P,15,0)*LN((E1611*2.54)))*(1-(1/(VLOOKUP(D1611,'Species Codes'!B:Q,16,0)+VLOOKUP(D1611,'Species Codes'!B:R,17,0)*((E1611*2.54)^VLOOKUP(D1611,'Species Codes'!B:S,18,0)))))/1000,IF(D1611="DF",EXP(VLOOKUP(D1611,'Species Codes'!B:O,14,0)+VLOOKUP(D1611,'Species Codes'!B:P,15,0)*LN((E1611*2.54))),VLOOKUP(D1611,'Species Codes'!B:O,14,0)+VLOOKUP(D1611,'Species Codes'!B:P,15,0)*(((E1611*2.54)/100)^2)*(I1611*0.3048)))))*0.0011023),0)</f>
        <v>#N/A</v>
      </c>
      <c r="AD1611" s="104" t="e">
        <f t="shared" si="706"/>
        <v>#N/A</v>
      </c>
      <c r="AE1611" s="104" t="e">
        <f t="shared" si="707"/>
        <v>#N/A</v>
      </c>
      <c r="AF1611" s="104" t="e">
        <f>IF(AND(VLOOKUP($D1611,Merchantability!$B:$C,2,0)="Yes",$E1611&gt;=VLOOKUP($D1611,Merchantability!$B:$D,3,0),$E1611&lt;=VLOOKUP($D1611,Merchantability!$B:$E,4,0)),AA1611,0)</f>
        <v>#N/A</v>
      </c>
      <c r="AG1611" s="104" t="e">
        <f>IF(AND(VLOOKUP($D1611,Merchantability!$B:$C,2,0)="Yes",$E1611&gt;=VLOOKUP($D1611,Merchantability!$B:$D,3,0),$E1611&lt;=VLOOKUP($D1611,Merchantability!$B:$E,4,0)),AB1611,0)</f>
        <v>#N/A</v>
      </c>
      <c r="AH1611" s="104" t="e">
        <f>IF(AND(VLOOKUP($D1611,Merchantability!$B:$C,2,0)="Yes",$E1611&gt;=VLOOKUP($D1611,Merchantability!$B:$D,3,0),$E1611&lt;=VLOOKUP($D1611,Merchantability!$B:$E,4,0)),AC1611,0)</f>
        <v>#N/A</v>
      </c>
      <c r="AI1611" s="104" t="e">
        <f t="shared" si="708"/>
        <v>#N/A</v>
      </c>
      <c r="AJ1611" s="104" t="e">
        <f t="shared" si="709"/>
        <v>#VALUE!</v>
      </c>
      <c r="AK1611" s="104" t="e">
        <f t="shared" si="710"/>
        <v>#N/A</v>
      </c>
      <c r="AL1611" s="104" t="e">
        <f t="shared" si="711"/>
        <v>#N/A</v>
      </c>
      <c r="AM1611" s="104" t="e">
        <f t="shared" si="712"/>
        <v>#N/A</v>
      </c>
      <c r="AN1611" s="104" t="e">
        <f t="shared" si="723"/>
        <v>#N/A</v>
      </c>
      <c r="AO1611" s="104" t="e">
        <f t="shared" si="724"/>
        <v>#N/A</v>
      </c>
      <c r="AP1611" s="104" t="e">
        <f t="shared" si="725"/>
        <v>#N/A</v>
      </c>
      <c r="AQ1611" s="104" t="e">
        <f t="shared" si="726"/>
        <v>#N/A</v>
      </c>
      <c r="AR1611" s="105" t="str">
        <f t="shared" si="718"/>
        <v/>
      </c>
      <c r="AS1611" s="105" t="str">
        <f t="shared" si="719"/>
        <v/>
      </c>
      <c r="AT1611" s="108" t="str">
        <f t="shared" si="720"/>
        <v/>
      </c>
      <c r="AU1611" s="108" t="str">
        <f t="shared" si="721"/>
        <v/>
      </c>
      <c r="AV1611" s="107" t="str">
        <f>IF(ISNUMBER(O1611),IF(VLOOKUP($A1611,Stand!C:J,8,FALSE)="Short",AT1611,AU1611),"")</f>
        <v/>
      </c>
      <c r="AW1611" s="109" t="str">
        <f t="shared" si="727"/>
        <v/>
      </c>
      <c r="AX1611" s="109" t="str">
        <f t="shared" si="728"/>
        <v/>
      </c>
      <c r="AY1611" s="112" t="str">
        <f>IF(ISNUMBER(O1611),IF(AND(VLOOKUP($D1611,Merchantability!$B:$C,2,0)="Yes",$E1611&gt;=VLOOKUP($D1611,Merchantability!$B:$D,3,0),$E1611&lt;=VLOOKUP($D1611,Merchantability!$B:$E,4,0)),(AV1611*O1611)*(1-$H1611/100),""),"")</f>
        <v/>
      </c>
      <c r="AZ1611" s="116"/>
      <c r="BA1611" s="116"/>
      <c r="BB1611" s="116"/>
      <c r="BE1611" s="62"/>
      <c r="BF1611" s="63"/>
    </row>
    <row r="1612" spans="1:58" ht="12.75" customHeight="1" x14ac:dyDescent="0.25">
      <c r="A1612" s="333"/>
      <c r="B1612" s="334"/>
      <c r="C1612" s="332"/>
      <c r="D1612" s="334"/>
      <c r="E1612" s="335"/>
      <c r="F1612" s="334"/>
      <c r="G1612" s="332"/>
      <c r="H1612" s="332"/>
      <c r="I1612" s="334"/>
      <c r="J1612" s="336"/>
      <c r="K1612" s="332"/>
      <c r="L1612" s="332"/>
      <c r="M1612" s="76"/>
      <c r="N1612" s="103" t="str">
        <f>IF(A1612="","",VLOOKUP(A1612,Stand!C:K,9,0))</f>
        <v/>
      </c>
      <c r="O1612" s="104" t="str">
        <f t="shared" si="713"/>
        <v/>
      </c>
      <c r="P1612" s="105" t="str">
        <f t="shared" si="714"/>
        <v/>
      </c>
      <c r="Q1612" s="105" t="str">
        <f t="shared" si="702"/>
        <v/>
      </c>
      <c r="R1612" s="103" t="str">
        <f t="shared" si="715"/>
        <v/>
      </c>
      <c r="S1612" s="103" t="str">
        <f t="shared" si="716"/>
        <v/>
      </c>
      <c r="T1612" s="106" t="str">
        <f t="shared" si="703"/>
        <v/>
      </c>
      <c r="U1612" s="106" t="str">
        <f t="shared" si="704"/>
        <v/>
      </c>
      <c r="V1612" s="106" t="str">
        <f t="shared" si="705"/>
        <v/>
      </c>
      <c r="W1612" s="105" t="str">
        <f t="shared" si="717"/>
        <v/>
      </c>
      <c r="X1612" s="104" t="str">
        <f t="shared" si="722"/>
        <v/>
      </c>
      <c r="Y1612" s="104" t="str">
        <f t="array" ref="Y1612">IFERROR(IF(ISNUMBER(O1612),IF(COUNT(IF(A1612=$A$2:$A$2427,IF(D1612=$D$2:$D$2427,IF($X$2:$X$2427&gt;0,1))))&gt;0,SUM(IF(A1612=$A$2:$A$2427,IF(D1612=$D$2:$D$2427,$X$2:$X$2427)))/COUNT(IF(A1612=$A$2:$A$2427,IF(D1612=$D$2:$D$2427,IF(ISNUMBER($X$2:$X$2427),1)))),0),""),0)</f>
        <v/>
      </c>
      <c r="Z1612" s="104" t="str">
        <f>IF(ISNUMBER(O1612),IF(I1612&gt;0,(10^(VLOOKUP(D1612,'Species Codes'!B:C,2,0)+VLOOKUP(D1612,'Species Codes'!B:D,3,0)*LOG(E1612)+VLOOKUP(D1612,'Species Codes'!B:E,4,0)*LOG(I1612))),0),"")</f>
        <v/>
      </c>
      <c r="AA1612" s="104" t="str">
        <f>IFERROR((VLOOKUP(D1612,'Species Codes'!B:G,6,0)*Z1612)/2000,"")</f>
        <v/>
      </c>
      <c r="AB1612" s="104" t="e">
        <f>IF(Z1612&gt;0,((IF(OR(D1612="DF",D1612="RA")=TRUE,EXP(VLOOKUP(D1612,'Species Codes'!B:I,8,0)+VLOOKUP(D1612,'Species Codes'!B:J,9,0)*(LN((E1612*2.54)))),IF(OR(D1612="PY",D1612="RC",D1612="WH",D1612="NF")=TRUE,VLOOKUP(D1612,'Species Codes'!B:I,8,0)+VLOOKUP(D1612,'Species Codes'!B:J,9,0)*((E1612*2.54)^2)*(I1612*0.3048),IF(OR(D1612="MD",D1612="BM",D1612="GA")=TRUE,((VLOOKUP(D1612,'Species Codes'!B:I,8,0)*(((((E1612*2.54)+VLOOKUP(D1612,'Species Codes'!B:J,9,0))/VLOOKUP(D1612,'Species Codes'!B:K,10,0))^VLOOKUP(D1612,'Species Codes'!B:L,11,0))*((I1612*0.3048)^VLOOKUP(D1612,'Species Codes'!B:M,12,0))))-(VLOOKUP(D1612,'Species Codes'!B:I,8,0)*((((E1612*2.54)^VLOOKUP(D1612,'Species Codes'!B:L,11,0))*((I1612*0.3048)^VLOOKUP(D1612,'Species Codes'!B:M,12,0))))))*35.3*VLOOKUP(D1612,'Species Codes'!B:G,6,0)/2.2046,VLOOKUP(D1612,'Species Codes'!B:I,8,0)+VLOOKUP(D1612,'Species Codes'!B:J,9,0)*(((E1612*2.54)/100)^2)*(I1612*0.3048)))))*0.0011023),0)</f>
        <v>#N/A</v>
      </c>
      <c r="AC1612" s="104" t="e">
        <f>IF(Z1612&gt;0,((IF(OR(D1612="RA",D1612="OA",D1612="OT",D1612="UN",D1612="PC"),EXP(VLOOKUP(D1612,'Species Codes'!B:O,14,0)+VLOOKUP(D1612,'Species Codes'!B:P,15,0)*LN((E1612*2.54)))-EXP(VLOOKUP(D1612,'Species Codes'!B:O,14,0)+VLOOKUP(D1612,'Species Codes'!B:P,15,0)*LN((E1612*2.54)))*(1/(VLOOKUP(D1612,'Species Codes'!B:Q,16,0)+VLOOKUP(D1612,'Species Codes'!B:R,17,0)*((E1612*2.54)^VLOOKUP(D1612,'Species Codes'!B:S,18,0)))),IF(OR(D1612="BM",D1612="MD",D1612="OA"),EXP(VLOOKUP(D1612,'Species Codes'!B:O,14,0)+VLOOKUP(D1612,'Species Codes'!B:P,15,0)*LN((E1612*2.54)))*(1-(1/(VLOOKUP(D1612,'Species Codes'!B:Q,16,0)+VLOOKUP(D1612,'Species Codes'!B:R,17,0)*((E1612*2.54)^VLOOKUP(D1612,'Species Codes'!B:S,18,0)))))/1000,IF(D1612="DF",EXP(VLOOKUP(D1612,'Species Codes'!B:O,14,0)+VLOOKUP(D1612,'Species Codes'!B:P,15,0)*LN((E1612*2.54))),VLOOKUP(D1612,'Species Codes'!B:O,14,0)+VLOOKUP(D1612,'Species Codes'!B:P,15,0)*(((E1612*2.54)/100)^2)*(I1612*0.3048)))))*0.0011023),0)</f>
        <v>#N/A</v>
      </c>
      <c r="AD1612" s="104" t="e">
        <f t="shared" si="706"/>
        <v>#N/A</v>
      </c>
      <c r="AE1612" s="104" t="e">
        <f t="shared" si="707"/>
        <v>#N/A</v>
      </c>
      <c r="AF1612" s="104" t="e">
        <f>IF(AND(VLOOKUP($D1612,Merchantability!$B:$C,2,0)="Yes",$E1612&gt;=VLOOKUP($D1612,Merchantability!$B:$D,3,0),$E1612&lt;=VLOOKUP($D1612,Merchantability!$B:$E,4,0)),AA1612,0)</f>
        <v>#N/A</v>
      </c>
      <c r="AG1612" s="104" t="e">
        <f>IF(AND(VLOOKUP($D1612,Merchantability!$B:$C,2,0)="Yes",$E1612&gt;=VLOOKUP($D1612,Merchantability!$B:$D,3,0),$E1612&lt;=VLOOKUP($D1612,Merchantability!$B:$E,4,0)),AB1612,0)</f>
        <v>#N/A</v>
      </c>
      <c r="AH1612" s="104" t="e">
        <f>IF(AND(VLOOKUP($D1612,Merchantability!$B:$C,2,0)="Yes",$E1612&gt;=VLOOKUP($D1612,Merchantability!$B:$D,3,0),$E1612&lt;=VLOOKUP($D1612,Merchantability!$B:$E,4,0)),AC1612,0)</f>
        <v>#N/A</v>
      </c>
      <c r="AI1612" s="104" t="e">
        <f t="shared" si="708"/>
        <v>#N/A</v>
      </c>
      <c r="AJ1612" s="104" t="e">
        <f t="shared" si="709"/>
        <v>#VALUE!</v>
      </c>
      <c r="AK1612" s="104" t="e">
        <f t="shared" si="710"/>
        <v>#N/A</v>
      </c>
      <c r="AL1612" s="104" t="e">
        <f t="shared" si="711"/>
        <v>#N/A</v>
      </c>
      <c r="AM1612" s="104" t="e">
        <f t="shared" si="712"/>
        <v>#N/A</v>
      </c>
      <c r="AN1612" s="104" t="e">
        <f t="shared" si="723"/>
        <v>#N/A</v>
      </c>
      <c r="AO1612" s="104" t="e">
        <f t="shared" si="724"/>
        <v>#N/A</v>
      </c>
      <c r="AP1612" s="104" t="e">
        <f t="shared" si="725"/>
        <v>#N/A</v>
      </c>
      <c r="AQ1612" s="104" t="e">
        <f t="shared" si="726"/>
        <v>#N/A</v>
      </c>
      <c r="AR1612" s="105" t="str">
        <f t="shared" si="718"/>
        <v/>
      </c>
      <c r="AS1612" s="105" t="str">
        <f t="shared" si="719"/>
        <v/>
      </c>
      <c r="AT1612" s="108" t="str">
        <f t="shared" si="720"/>
        <v/>
      </c>
      <c r="AU1612" s="108" t="str">
        <f t="shared" si="721"/>
        <v/>
      </c>
      <c r="AV1612" s="107" t="str">
        <f>IF(ISNUMBER(O1612),IF(VLOOKUP($A1612,Stand!C:J,8,FALSE)="Short",AT1612,AU1612),"")</f>
        <v/>
      </c>
      <c r="AW1612" s="109" t="str">
        <f t="shared" si="727"/>
        <v/>
      </c>
      <c r="AX1612" s="109" t="str">
        <f t="shared" si="728"/>
        <v/>
      </c>
      <c r="AY1612" s="112" t="str">
        <f>IF(ISNUMBER(O1612),IF(AND(VLOOKUP($D1612,Merchantability!$B:$C,2,0)="Yes",$E1612&gt;=VLOOKUP($D1612,Merchantability!$B:$D,3,0),$E1612&lt;=VLOOKUP($D1612,Merchantability!$B:$E,4,0)),(AV1612*O1612)*(1-$H1612/100),""),"")</f>
        <v/>
      </c>
      <c r="AZ1612" s="116"/>
      <c r="BA1612" s="116"/>
      <c r="BB1612" s="116"/>
      <c r="BE1612" s="62"/>
      <c r="BF1612" s="63"/>
    </row>
    <row r="1613" spans="1:58" ht="12.75" customHeight="1" x14ac:dyDescent="0.25">
      <c r="A1613" s="333"/>
      <c r="B1613" s="334"/>
      <c r="C1613" s="332"/>
      <c r="D1613" s="334"/>
      <c r="E1613" s="335"/>
      <c r="F1613" s="334"/>
      <c r="G1613" s="332"/>
      <c r="H1613" s="332"/>
      <c r="I1613" s="334"/>
      <c r="J1613" s="336"/>
      <c r="K1613" s="332"/>
      <c r="L1613" s="332"/>
      <c r="M1613" s="76"/>
      <c r="N1613" s="103" t="str">
        <f>IF(A1613="","",VLOOKUP(A1613,Stand!C:K,9,0))</f>
        <v/>
      </c>
      <c r="O1613" s="104" t="str">
        <f t="shared" si="713"/>
        <v/>
      </c>
      <c r="P1613" s="105" t="str">
        <f t="shared" si="714"/>
        <v/>
      </c>
      <c r="Q1613" s="105" t="str">
        <f t="shared" si="702"/>
        <v/>
      </c>
      <c r="R1613" s="103" t="str">
        <f t="shared" si="715"/>
        <v/>
      </c>
      <c r="S1613" s="103" t="str">
        <f t="shared" si="716"/>
        <v/>
      </c>
      <c r="T1613" s="106" t="str">
        <f t="shared" si="703"/>
        <v/>
      </c>
      <c r="U1613" s="106" t="str">
        <f t="shared" si="704"/>
        <v/>
      </c>
      <c r="V1613" s="106" t="str">
        <f t="shared" si="705"/>
        <v/>
      </c>
      <c r="W1613" s="105" t="str">
        <f t="shared" si="717"/>
        <v/>
      </c>
      <c r="X1613" s="104" t="str">
        <f t="shared" si="722"/>
        <v/>
      </c>
      <c r="Y1613" s="104" t="str">
        <f t="array" ref="Y1613">IFERROR(IF(ISNUMBER(O1613),IF(COUNT(IF(A1613=$A$2:$A$2427,IF(D1613=$D$2:$D$2427,IF($X$2:$X$2427&gt;0,1))))&gt;0,SUM(IF(A1613=$A$2:$A$2427,IF(D1613=$D$2:$D$2427,$X$2:$X$2427)))/COUNT(IF(A1613=$A$2:$A$2427,IF(D1613=$D$2:$D$2427,IF(ISNUMBER($X$2:$X$2427),1)))),0),""),0)</f>
        <v/>
      </c>
      <c r="Z1613" s="104" t="str">
        <f>IF(ISNUMBER(O1613),IF(I1613&gt;0,(10^(VLOOKUP(D1613,'Species Codes'!B:C,2,0)+VLOOKUP(D1613,'Species Codes'!B:D,3,0)*LOG(E1613)+VLOOKUP(D1613,'Species Codes'!B:E,4,0)*LOG(I1613))),0),"")</f>
        <v/>
      </c>
      <c r="AA1613" s="104" t="str">
        <f>IFERROR((VLOOKUP(D1613,'Species Codes'!B:G,6,0)*Z1613)/2000,"")</f>
        <v/>
      </c>
      <c r="AB1613" s="104" t="e">
        <f>IF(Z1613&gt;0,((IF(OR(D1613="DF",D1613="RA")=TRUE,EXP(VLOOKUP(D1613,'Species Codes'!B:I,8,0)+VLOOKUP(D1613,'Species Codes'!B:J,9,0)*(LN((E1613*2.54)))),IF(OR(D1613="PY",D1613="RC",D1613="WH",D1613="NF")=TRUE,VLOOKUP(D1613,'Species Codes'!B:I,8,0)+VLOOKUP(D1613,'Species Codes'!B:J,9,0)*((E1613*2.54)^2)*(I1613*0.3048),IF(OR(D1613="MD",D1613="BM",D1613="GA")=TRUE,((VLOOKUP(D1613,'Species Codes'!B:I,8,0)*(((((E1613*2.54)+VLOOKUP(D1613,'Species Codes'!B:J,9,0))/VLOOKUP(D1613,'Species Codes'!B:K,10,0))^VLOOKUP(D1613,'Species Codes'!B:L,11,0))*((I1613*0.3048)^VLOOKUP(D1613,'Species Codes'!B:M,12,0))))-(VLOOKUP(D1613,'Species Codes'!B:I,8,0)*((((E1613*2.54)^VLOOKUP(D1613,'Species Codes'!B:L,11,0))*((I1613*0.3048)^VLOOKUP(D1613,'Species Codes'!B:M,12,0))))))*35.3*VLOOKUP(D1613,'Species Codes'!B:G,6,0)/2.2046,VLOOKUP(D1613,'Species Codes'!B:I,8,0)+VLOOKUP(D1613,'Species Codes'!B:J,9,0)*(((E1613*2.54)/100)^2)*(I1613*0.3048)))))*0.0011023),0)</f>
        <v>#N/A</v>
      </c>
      <c r="AC1613" s="104" t="e">
        <f>IF(Z1613&gt;0,((IF(OR(D1613="RA",D1613="OA",D1613="OT",D1613="UN",D1613="PC"),EXP(VLOOKUP(D1613,'Species Codes'!B:O,14,0)+VLOOKUP(D1613,'Species Codes'!B:P,15,0)*LN((E1613*2.54)))-EXP(VLOOKUP(D1613,'Species Codes'!B:O,14,0)+VLOOKUP(D1613,'Species Codes'!B:P,15,0)*LN((E1613*2.54)))*(1/(VLOOKUP(D1613,'Species Codes'!B:Q,16,0)+VLOOKUP(D1613,'Species Codes'!B:R,17,0)*((E1613*2.54)^VLOOKUP(D1613,'Species Codes'!B:S,18,0)))),IF(OR(D1613="BM",D1613="MD",D1613="OA"),EXP(VLOOKUP(D1613,'Species Codes'!B:O,14,0)+VLOOKUP(D1613,'Species Codes'!B:P,15,0)*LN((E1613*2.54)))*(1-(1/(VLOOKUP(D1613,'Species Codes'!B:Q,16,0)+VLOOKUP(D1613,'Species Codes'!B:R,17,0)*((E1613*2.54)^VLOOKUP(D1613,'Species Codes'!B:S,18,0)))))/1000,IF(D1613="DF",EXP(VLOOKUP(D1613,'Species Codes'!B:O,14,0)+VLOOKUP(D1613,'Species Codes'!B:P,15,0)*LN((E1613*2.54))),VLOOKUP(D1613,'Species Codes'!B:O,14,0)+VLOOKUP(D1613,'Species Codes'!B:P,15,0)*(((E1613*2.54)/100)^2)*(I1613*0.3048)))))*0.0011023),0)</f>
        <v>#N/A</v>
      </c>
      <c r="AD1613" s="104" t="e">
        <f t="shared" si="706"/>
        <v>#N/A</v>
      </c>
      <c r="AE1613" s="104" t="e">
        <f t="shared" si="707"/>
        <v>#N/A</v>
      </c>
      <c r="AF1613" s="104" t="e">
        <f>IF(AND(VLOOKUP($D1613,Merchantability!$B:$C,2,0)="Yes",$E1613&gt;=VLOOKUP($D1613,Merchantability!$B:$D,3,0),$E1613&lt;=VLOOKUP($D1613,Merchantability!$B:$E,4,0)),AA1613,0)</f>
        <v>#N/A</v>
      </c>
      <c r="AG1613" s="104" t="e">
        <f>IF(AND(VLOOKUP($D1613,Merchantability!$B:$C,2,0)="Yes",$E1613&gt;=VLOOKUP($D1613,Merchantability!$B:$D,3,0),$E1613&lt;=VLOOKUP($D1613,Merchantability!$B:$E,4,0)),AB1613,0)</f>
        <v>#N/A</v>
      </c>
      <c r="AH1613" s="104" t="e">
        <f>IF(AND(VLOOKUP($D1613,Merchantability!$B:$C,2,0)="Yes",$E1613&gt;=VLOOKUP($D1613,Merchantability!$B:$D,3,0),$E1613&lt;=VLOOKUP($D1613,Merchantability!$B:$E,4,0)),AC1613,0)</f>
        <v>#N/A</v>
      </c>
      <c r="AI1613" s="104" t="e">
        <f t="shared" si="708"/>
        <v>#N/A</v>
      </c>
      <c r="AJ1613" s="104" t="e">
        <f t="shared" si="709"/>
        <v>#VALUE!</v>
      </c>
      <c r="AK1613" s="104" t="e">
        <f t="shared" si="710"/>
        <v>#N/A</v>
      </c>
      <c r="AL1613" s="104" t="e">
        <f t="shared" si="711"/>
        <v>#N/A</v>
      </c>
      <c r="AM1613" s="104" t="e">
        <f t="shared" si="712"/>
        <v>#N/A</v>
      </c>
      <c r="AN1613" s="104" t="e">
        <f t="shared" si="723"/>
        <v>#N/A</v>
      </c>
      <c r="AO1613" s="104" t="e">
        <f t="shared" si="724"/>
        <v>#N/A</v>
      </c>
      <c r="AP1613" s="104" t="e">
        <f t="shared" si="725"/>
        <v>#N/A</v>
      </c>
      <c r="AQ1613" s="104" t="e">
        <f t="shared" si="726"/>
        <v>#N/A</v>
      </c>
      <c r="AR1613" s="105" t="str">
        <f t="shared" si="718"/>
        <v/>
      </c>
      <c r="AS1613" s="105" t="str">
        <f t="shared" si="719"/>
        <v/>
      </c>
      <c r="AT1613" s="108" t="str">
        <f t="shared" si="720"/>
        <v/>
      </c>
      <c r="AU1613" s="108" t="str">
        <f t="shared" si="721"/>
        <v/>
      </c>
      <c r="AV1613" s="107" t="str">
        <f>IF(ISNUMBER(O1613),IF(VLOOKUP($A1613,Stand!C:J,8,FALSE)="Short",AT1613,AU1613),"")</f>
        <v/>
      </c>
      <c r="AW1613" s="109" t="str">
        <f t="shared" si="727"/>
        <v/>
      </c>
      <c r="AX1613" s="109" t="str">
        <f t="shared" si="728"/>
        <v/>
      </c>
      <c r="AY1613" s="112" t="str">
        <f>IF(ISNUMBER(O1613),IF(AND(VLOOKUP($D1613,Merchantability!$B:$C,2,0)="Yes",$E1613&gt;=VLOOKUP($D1613,Merchantability!$B:$D,3,0),$E1613&lt;=VLOOKUP($D1613,Merchantability!$B:$E,4,0)),(AV1613*O1613)*(1-$H1613/100),""),"")</f>
        <v/>
      </c>
      <c r="AZ1613" s="116"/>
      <c r="BA1613" s="116"/>
      <c r="BB1613" s="116"/>
      <c r="BE1613" s="62"/>
      <c r="BF1613" s="63"/>
    </row>
    <row r="1614" spans="1:58" ht="12.75" customHeight="1" x14ac:dyDescent="0.25">
      <c r="A1614" s="333"/>
      <c r="B1614" s="334"/>
      <c r="C1614" s="332"/>
      <c r="D1614" s="334"/>
      <c r="E1614" s="335"/>
      <c r="F1614" s="334"/>
      <c r="G1614" s="332"/>
      <c r="H1614" s="332"/>
      <c r="I1614" s="334"/>
      <c r="J1614" s="336"/>
      <c r="K1614" s="332"/>
      <c r="L1614" s="332"/>
      <c r="M1614" s="76"/>
      <c r="N1614" s="103" t="str">
        <f>IF(A1614="","",VLOOKUP(A1614,Stand!C:K,9,0))</f>
        <v/>
      </c>
      <c r="O1614" s="104" t="str">
        <f t="shared" si="713"/>
        <v/>
      </c>
      <c r="P1614" s="105" t="str">
        <f t="shared" si="714"/>
        <v/>
      </c>
      <c r="Q1614" s="105" t="str">
        <f t="shared" si="702"/>
        <v/>
      </c>
      <c r="R1614" s="103" t="str">
        <f t="shared" si="715"/>
        <v/>
      </c>
      <c r="S1614" s="103" t="str">
        <f t="shared" si="716"/>
        <v/>
      </c>
      <c r="T1614" s="106" t="str">
        <f t="shared" si="703"/>
        <v/>
      </c>
      <c r="U1614" s="106" t="str">
        <f t="shared" si="704"/>
        <v/>
      </c>
      <c r="V1614" s="106" t="str">
        <f t="shared" si="705"/>
        <v/>
      </c>
      <c r="W1614" s="105" t="str">
        <f t="shared" si="717"/>
        <v/>
      </c>
      <c r="X1614" s="104" t="str">
        <f t="shared" si="722"/>
        <v/>
      </c>
      <c r="Y1614" s="104" t="str">
        <f t="array" ref="Y1614">IFERROR(IF(ISNUMBER(O1614),IF(COUNT(IF(A1614=$A$2:$A$2427,IF(D1614=$D$2:$D$2427,IF($X$2:$X$2427&gt;0,1))))&gt;0,SUM(IF(A1614=$A$2:$A$2427,IF(D1614=$D$2:$D$2427,$X$2:$X$2427)))/COUNT(IF(A1614=$A$2:$A$2427,IF(D1614=$D$2:$D$2427,IF(ISNUMBER($X$2:$X$2427),1)))),0),""),0)</f>
        <v/>
      </c>
      <c r="Z1614" s="104" t="str">
        <f>IF(ISNUMBER(O1614),IF(I1614&gt;0,(10^(VLOOKUP(D1614,'Species Codes'!B:C,2,0)+VLOOKUP(D1614,'Species Codes'!B:D,3,0)*LOG(E1614)+VLOOKUP(D1614,'Species Codes'!B:E,4,0)*LOG(I1614))),0),"")</f>
        <v/>
      </c>
      <c r="AA1614" s="104" t="str">
        <f>IFERROR((VLOOKUP(D1614,'Species Codes'!B:G,6,0)*Z1614)/2000,"")</f>
        <v/>
      </c>
      <c r="AB1614" s="104" t="e">
        <f>IF(Z1614&gt;0,((IF(OR(D1614="DF",D1614="RA")=TRUE,EXP(VLOOKUP(D1614,'Species Codes'!B:I,8,0)+VLOOKUP(D1614,'Species Codes'!B:J,9,0)*(LN((E1614*2.54)))),IF(OR(D1614="PY",D1614="RC",D1614="WH",D1614="NF")=TRUE,VLOOKUP(D1614,'Species Codes'!B:I,8,0)+VLOOKUP(D1614,'Species Codes'!B:J,9,0)*((E1614*2.54)^2)*(I1614*0.3048),IF(OR(D1614="MD",D1614="BM",D1614="GA")=TRUE,((VLOOKUP(D1614,'Species Codes'!B:I,8,0)*(((((E1614*2.54)+VLOOKUP(D1614,'Species Codes'!B:J,9,0))/VLOOKUP(D1614,'Species Codes'!B:K,10,0))^VLOOKUP(D1614,'Species Codes'!B:L,11,0))*((I1614*0.3048)^VLOOKUP(D1614,'Species Codes'!B:M,12,0))))-(VLOOKUP(D1614,'Species Codes'!B:I,8,0)*((((E1614*2.54)^VLOOKUP(D1614,'Species Codes'!B:L,11,0))*((I1614*0.3048)^VLOOKUP(D1614,'Species Codes'!B:M,12,0))))))*35.3*VLOOKUP(D1614,'Species Codes'!B:G,6,0)/2.2046,VLOOKUP(D1614,'Species Codes'!B:I,8,0)+VLOOKUP(D1614,'Species Codes'!B:J,9,0)*(((E1614*2.54)/100)^2)*(I1614*0.3048)))))*0.0011023),0)</f>
        <v>#N/A</v>
      </c>
      <c r="AC1614" s="104" t="e">
        <f>IF(Z1614&gt;0,((IF(OR(D1614="RA",D1614="OA",D1614="OT",D1614="UN",D1614="PC"),EXP(VLOOKUP(D1614,'Species Codes'!B:O,14,0)+VLOOKUP(D1614,'Species Codes'!B:P,15,0)*LN((E1614*2.54)))-EXP(VLOOKUP(D1614,'Species Codes'!B:O,14,0)+VLOOKUP(D1614,'Species Codes'!B:P,15,0)*LN((E1614*2.54)))*(1/(VLOOKUP(D1614,'Species Codes'!B:Q,16,0)+VLOOKUP(D1614,'Species Codes'!B:R,17,0)*((E1614*2.54)^VLOOKUP(D1614,'Species Codes'!B:S,18,0)))),IF(OR(D1614="BM",D1614="MD",D1614="OA"),EXP(VLOOKUP(D1614,'Species Codes'!B:O,14,0)+VLOOKUP(D1614,'Species Codes'!B:P,15,0)*LN((E1614*2.54)))*(1-(1/(VLOOKUP(D1614,'Species Codes'!B:Q,16,0)+VLOOKUP(D1614,'Species Codes'!B:R,17,0)*((E1614*2.54)^VLOOKUP(D1614,'Species Codes'!B:S,18,0)))))/1000,IF(D1614="DF",EXP(VLOOKUP(D1614,'Species Codes'!B:O,14,0)+VLOOKUP(D1614,'Species Codes'!B:P,15,0)*LN((E1614*2.54))),VLOOKUP(D1614,'Species Codes'!B:O,14,0)+VLOOKUP(D1614,'Species Codes'!B:P,15,0)*(((E1614*2.54)/100)^2)*(I1614*0.3048)))))*0.0011023),0)</f>
        <v>#N/A</v>
      </c>
      <c r="AD1614" s="104" t="e">
        <f t="shared" si="706"/>
        <v>#N/A</v>
      </c>
      <c r="AE1614" s="104" t="e">
        <f t="shared" si="707"/>
        <v>#N/A</v>
      </c>
      <c r="AF1614" s="104" t="e">
        <f>IF(AND(VLOOKUP($D1614,Merchantability!$B:$C,2,0)="Yes",$E1614&gt;=VLOOKUP($D1614,Merchantability!$B:$D,3,0),$E1614&lt;=VLOOKUP($D1614,Merchantability!$B:$E,4,0)),AA1614,0)</f>
        <v>#N/A</v>
      </c>
      <c r="AG1614" s="104" t="e">
        <f>IF(AND(VLOOKUP($D1614,Merchantability!$B:$C,2,0)="Yes",$E1614&gt;=VLOOKUP($D1614,Merchantability!$B:$D,3,0),$E1614&lt;=VLOOKUP($D1614,Merchantability!$B:$E,4,0)),AB1614,0)</f>
        <v>#N/A</v>
      </c>
      <c r="AH1614" s="104" t="e">
        <f>IF(AND(VLOOKUP($D1614,Merchantability!$B:$C,2,0)="Yes",$E1614&gt;=VLOOKUP($D1614,Merchantability!$B:$D,3,0),$E1614&lt;=VLOOKUP($D1614,Merchantability!$B:$E,4,0)),AC1614,0)</f>
        <v>#N/A</v>
      </c>
      <c r="AI1614" s="104" t="e">
        <f t="shared" si="708"/>
        <v>#N/A</v>
      </c>
      <c r="AJ1614" s="104" t="e">
        <f t="shared" si="709"/>
        <v>#VALUE!</v>
      </c>
      <c r="AK1614" s="104" t="e">
        <f t="shared" si="710"/>
        <v>#N/A</v>
      </c>
      <c r="AL1614" s="104" t="e">
        <f t="shared" si="711"/>
        <v>#N/A</v>
      </c>
      <c r="AM1614" s="104" t="e">
        <f t="shared" si="712"/>
        <v>#N/A</v>
      </c>
      <c r="AN1614" s="104" t="e">
        <f t="shared" si="723"/>
        <v>#N/A</v>
      </c>
      <c r="AO1614" s="104" t="e">
        <f t="shared" si="724"/>
        <v>#N/A</v>
      </c>
      <c r="AP1614" s="104" t="e">
        <f t="shared" si="725"/>
        <v>#N/A</v>
      </c>
      <c r="AQ1614" s="104" t="e">
        <f t="shared" si="726"/>
        <v>#N/A</v>
      </c>
      <c r="AR1614" s="105" t="str">
        <f t="shared" si="718"/>
        <v/>
      </c>
      <c r="AS1614" s="105" t="str">
        <f t="shared" si="719"/>
        <v/>
      </c>
      <c r="AT1614" s="108" t="str">
        <f t="shared" si="720"/>
        <v/>
      </c>
      <c r="AU1614" s="108" t="str">
        <f t="shared" si="721"/>
        <v/>
      </c>
      <c r="AV1614" s="107" t="str">
        <f>IF(ISNUMBER(O1614),IF(VLOOKUP($A1614,Stand!C:J,8,FALSE)="Short",AT1614,AU1614),"")</f>
        <v/>
      </c>
      <c r="AW1614" s="109" t="str">
        <f t="shared" si="727"/>
        <v/>
      </c>
      <c r="AX1614" s="109" t="str">
        <f t="shared" si="728"/>
        <v/>
      </c>
      <c r="AY1614" s="112" t="str">
        <f>IF(ISNUMBER(O1614),IF(AND(VLOOKUP($D1614,Merchantability!$B:$C,2,0)="Yes",$E1614&gt;=VLOOKUP($D1614,Merchantability!$B:$D,3,0),$E1614&lt;=VLOOKUP($D1614,Merchantability!$B:$E,4,0)),(AV1614*O1614)*(1-$H1614/100),""),"")</f>
        <v/>
      </c>
      <c r="AZ1614" s="116"/>
      <c r="BA1614" s="116"/>
      <c r="BB1614" s="116"/>
      <c r="BE1614" s="62"/>
      <c r="BF1614" s="63"/>
    </row>
    <row r="1615" spans="1:58" ht="12.75" customHeight="1" x14ac:dyDescent="0.25">
      <c r="A1615" s="333"/>
      <c r="B1615" s="334"/>
      <c r="C1615" s="332"/>
      <c r="D1615" s="334"/>
      <c r="E1615" s="335"/>
      <c r="F1615" s="334"/>
      <c r="G1615" s="332"/>
      <c r="H1615" s="332"/>
      <c r="I1615" s="334"/>
      <c r="J1615" s="336"/>
      <c r="K1615" s="332"/>
      <c r="L1615" s="332"/>
      <c r="M1615" s="76"/>
      <c r="N1615" s="103" t="str">
        <f>IF(A1615="","",VLOOKUP(A1615,Stand!C:K,9,0))</f>
        <v/>
      </c>
      <c r="O1615" s="104" t="str">
        <f t="shared" si="713"/>
        <v/>
      </c>
      <c r="P1615" s="105" t="str">
        <f t="shared" si="714"/>
        <v/>
      </c>
      <c r="Q1615" s="105" t="str">
        <f t="shared" si="702"/>
        <v/>
      </c>
      <c r="R1615" s="103" t="str">
        <f t="shared" si="715"/>
        <v/>
      </c>
      <c r="S1615" s="103" t="str">
        <f t="shared" si="716"/>
        <v/>
      </c>
      <c r="T1615" s="106" t="str">
        <f t="shared" si="703"/>
        <v/>
      </c>
      <c r="U1615" s="106" t="str">
        <f t="shared" si="704"/>
        <v/>
      </c>
      <c r="V1615" s="106" t="str">
        <f t="shared" si="705"/>
        <v/>
      </c>
      <c r="W1615" s="105" t="str">
        <f t="shared" si="717"/>
        <v/>
      </c>
      <c r="X1615" s="104" t="str">
        <f t="shared" si="722"/>
        <v/>
      </c>
      <c r="Y1615" s="104" t="str">
        <f t="array" ref="Y1615">IFERROR(IF(ISNUMBER(O1615),IF(COUNT(IF(A1615=$A$2:$A$2427,IF(D1615=$D$2:$D$2427,IF($X$2:$X$2427&gt;0,1))))&gt;0,SUM(IF(A1615=$A$2:$A$2427,IF(D1615=$D$2:$D$2427,$X$2:$X$2427)))/COUNT(IF(A1615=$A$2:$A$2427,IF(D1615=$D$2:$D$2427,IF(ISNUMBER($X$2:$X$2427),1)))),0),""),0)</f>
        <v/>
      </c>
      <c r="Z1615" s="104" t="str">
        <f>IF(ISNUMBER(O1615),IF(I1615&gt;0,(10^(VLOOKUP(D1615,'Species Codes'!B:C,2,0)+VLOOKUP(D1615,'Species Codes'!B:D,3,0)*LOG(E1615)+VLOOKUP(D1615,'Species Codes'!B:E,4,0)*LOG(I1615))),0),"")</f>
        <v/>
      </c>
      <c r="AA1615" s="104" t="str">
        <f>IFERROR((VLOOKUP(D1615,'Species Codes'!B:G,6,0)*Z1615)/2000,"")</f>
        <v/>
      </c>
      <c r="AB1615" s="104" t="e">
        <f>IF(Z1615&gt;0,((IF(OR(D1615="DF",D1615="RA")=TRUE,EXP(VLOOKUP(D1615,'Species Codes'!B:I,8,0)+VLOOKUP(D1615,'Species Codes'!B:J,9,0)*(LN((E1615*2.54)))),IF(OR(D1615="PY",D1615="RC",D1615="WH",D1615="NF")=TRUE,VLOOKUP(D1615,'Species Codes'!B:I,8,0)+VLOOKUP(D1615,'Species Codes'!B:J,9,0)*((E1615*2.54)^2)*(I1615*0.3048),IF(OR(D1615="MD",D1615="BM",D1615="GA")=TRUE,((VLOOKUP(D1615,'Species Codes'!B:I,8,0)*(((((E1615*2.54)+VLOOKUP(D1615,'Species Codes'!B:J,9,0))/VLOOKUP(D1615,'Species Codes'!B:K,10,0))^VLOOKUP(D1615,'Species Codes'!B:L,11,0))*((I1615*0.3048)^VLOOKUP(D1615,'Species Codes'!B:M,12,0))))-(VLOOKUP(D1615,'Species Codes'!B:I,8,0)*((((E1615*2.54)^VLOOKUP(D1615,'Species Codes'!B:L,11,0))*((I1615*0.3048)^VLOOKUP(D1615,'Species Codes'!B:M,12,0))))))*35.3*VLOOKUP(D1615,'Species Codes'!B:G,6,0)/2.2046,VLOOKUP(D1615,'Species Codes'!B:I,8,0)+VLOOKUP(D1615,'Species Codes'!B:J,9,0)*(((E1615*2.54)/100)^2)*(I1615*0.3048)))))*0.0011023),0)</f>
        <v>#N/A</v>
      </c>
      <c r="AC1615" s="104" t="e">
        <f>IF(Z1615&gt;0,((IF(OR(D1615="RA",D1615="OA",D1615="OT",D1615="UN",D1615="PC"),EXP(VLOOKUP(D1615,'Species Codes'!B:O,14,0)+VLOOKUP(D1615,'Species Codes'!B:P,15,0)*LN((E1615*2.54)))-EXP(VLOOKUP(D1615,'Species Codes'!B:O,14,0)+VLOOKUP(D1615,'Species Codes'!B:P,15,0)*LN((E1615*2.54)))*(1/(VLOOKUP(D1615,'Species Codes'!B:Q,16,0)+VLOOKUP(D1615,'Species Codes'!B:R,17,0)*((E1615*2.54)^VLOOKUP(D1615,'Species Codes'!B:S,18,0)))),IF(OR(D1615="BM",D1615="MD",D1615="OA"),EXP(VLOOKUP(D1615,'Species Codes'!B:O,14,0)+VLOOKUP(D1615,'Species Codes'!B:P,15,0)*LN((E1615*2.54)))*(1-(1/(VLOOKUP(D1615,'Species Codes'!B:Q,16,0)+VLOOKUP(D1615,'Species Codes'!B:R,17,0)*((E1615*2.54)^VLOOKUP(D1615,'Species Codes'!B:S,18,0)))))/1000,IF(D1615="DF",EXP(VLOOKUP(D1615,'Species Codes'!B:O,14,0)+VLOOKUP(D1615,'Species Codes'!B:P,15,0)*LN((E1615*2.54))),VLOOKUP(D1615,'Species Codes'!B:O,14,0)+VLOOKUP(D1615,'Species Codes'!B:P,15,0)*(((E1615*2.54)/100)^2)*(I1615*0.3048)))))*0.0011023),0)</f>
        <v>#N/A</v>
      </c>
      <c r="AD1615" s="104" t="e">
        <f t="shared" si="706"/>
        <v>#N/A</v>
      </c>
      <c r="AE1615" s="104" t="e">
        <f t="shared" si="707"/>
        <v>#N/A</v>
      </c>
      <c r="AF1615" s="104" t="e">
        <f>IF(AND(VLOOKUP($D1615,Merchantability!$B:$C,2,0)="Yes",$E1615&gt;=VLOOKUP($D1615,Merchantability!$B:$D,3,0),$E1615&lt;=VLOOKUP($D1615,Merchantability!$B:$E,4,0)),AA1615,0)</f>
        <v>#N/A</v>
      </c>
      <c r="AG1615" s="104" t="e">
        <f>IF(AND(VLOOKUP($D1615,Merchantability!$B:$C,2,0)="Yes",$E1615&gt;=VLOOKUP($D1615,Merchantability!$B:$D,3,0),$E1615&lt;=VLOOKUP($D1615,Merchantability!$B:$E,4,0)),AB1615,0)</f>
        <v>#N/A</v>
      </c>
      <c r="AH1615" s="104" t="e">
        <f>IF(AND(VLOOKUP($D1615,Merchantability!$B:$C,2,0)="Yes",$E1615&gt;=VLOOKUP($D1615,Merchantability!$B:$D,3,0),$E1615&lt;=VLOOKUP($D1615,Merchantability!$B:$E,4,0)),AC1615,0)</f>
        <v>#N/A</v>
      </c>
      <c r="AI1615" s="104" t="e">
        <f t="shared" si="708"/>
        <v>#N/A</v>
      </c>
      <c r="AJ1615" s="104" t="e">
        <f t="shared" si="709"/>
        <v>#VALUE!</v>
      </c>
      <c r="AK1615" s="104" t="e">
        <f t="shared" si="710"/>
        <v>#N/A</v>
      </c>
      <c r="AL1615" s="104" t="e">
        <f t="shared" si="711"/>
        <v>#N/A</v>
      </c>
      <c r="AM1615" s="104" t="e">
        <f t="shared" si="712"/>
        <v>#N/A</v>
      </c>
      <c r="AN1615" s="104" t="e">
        <f t="shared" si="723"/>
        <v>#N/A</v>
      </c>
      <c r="AO1615" s="104" t="e">
        <f t="shared" si="724"/>
        <v>#N/A</v>
      </c>
      <c r="AP1615" s="104" t="e">
        <f t="shared" si="725"/>
        <v>#N/A</v>
      </c>
      <c r="AQ1615" s="104" t="e">
        <f t="shared" si="726"/>
        <v>#N/A</v>
      </c>
      <c r="AR1615" s="105" t="str">
        <f t="shared" si="718"/>
        <v/>
      </c>
      <c r="AS1615" s="105" t="str">
        <f t="shared" si="719"/>
        <v/>
      </c>
      <c r="AT1615" s="108" t="str">
        <f t="shared" si="720"/>
        <v/>
      </c>
      <c r="AU1615" s="108" t="str">
        <f t="shared" si="721"/>
        <v/>
      </c>
      <c r="AV1615" s="107" t="str">
        <f>IF(ISNUMBER(O1615),IF(VLOOKUP($A1615,Stand!C:J,8,FALSE)="Short",AT1615,AU1615),"")</f>
        <v/>
      </c>
      <c r="AW1615" s="109" t="str">
        <f t="shared" si="727"/>
        <v/>
      </c>
      <c r="AX1615" s="109" t="str">
        <f t="shared" si="728"/>
        <v/>
      </c>
      <c r="AY1615" s="112" t="str">
        <f>IF(ISNUMBER(O1615),IF(AND(VLOOKUP($D1615,Merchantability!$B:$C,2,0)="Yes",$E1615&gt;=VLOOKUP($D1615,Merchantability!$B:$D,3,0),$E1615&lt;=VLOOKUP($D1615,Merchantability!$B:$E,4,0)),(AV1615*O1615)*(1-$H1615/100),""),"")</f>
        <v/>
      </c>
      <c r="AZ1615" s="116"/>
      <c r="BA1615" s="116"/>
      <c r="BB1615" s="116"/>
      <c r="BE1615" s="62"/>
      <c r="BF1615" s="63"/>
    </row>
    <row r="1616" spans="1:58" ht="12.75" customHeight="1" x14ac:dyDescent="0.25">
      <c r="A1616" s="333"/>
      <c r="B1616" s="334"/>
      <c r="C1616" s="332"/>
      <c r="D1616" s="334"/>
      <c r="E1616" s="335"/>
      <c r="F1616" s="334"/>
      <c r="G1616" s="332"/>
      <c r="H1616" s="332"/>
      <c r="I1616" s="334"/>
      <c r="J1616" s="336"/>
      <c r="K1616" s="332"/>
      <c r="L1616" s="332"/>
      <c r="M1616" s="76"/>
      <c r="N1616" s="103" t="str">
        <f>IF(A1616="","",VLOOKUP(A1616,Stand!C:K,9,0))</f>
        <v/>
      </c>
      <c r="O1616" s="104" t="str">
        <f t="shared" si="713"/>
        <v/>
      </c>
      <c r="P1616" s="105" t="str">
        <f t="shared" si="714"/>
        <v/>
      </c>
      <c r="Q1616" s="105" t="str">
        <f t="shared" si="702"/>
        <v/>
      </c>
      <c r="R1616" s="103" t="str">
        <f t="shared" si="715"/>
        <v/>
      </c>
      <c r="S1616" s="103" t="str">
        <f t="shared" si="716"/>
        <v/>
      </c>
      <c r="T1616" s="106" t="str">
        <f t="shared" si="703"/>
        <v/>
      </c>
      <c r="U1616" s="106" t="str">
        <f t="shared" si="704"/>
        <v/>
      </c>
      <c r="V1616" s="106" t="str">
        <f t="shared" si="705"/>
        <v/>
      </c>
      <c r="W1616" s="105" t="str">
        <f t="shared" si="717"/>
        <v/>
      </c>
      <c r="X1616" s="104" t="str">
        <f t="shared" si="722"/>
        <v/>
      </c>
      <c r="Y1616" s="104" t="str">
        <f t="array" ref="Y1616">IFERROR(IF(ISNUMBER(O1616),IF(COUNT(IF(A1616=$A$2:$A$2427,IF(D1616=$D$2:$D$2427,IF($X$2:$X$2427&gt;0,1))))&gt;0,SUM(IF(A1616=$A$2:$A$2427,IF(D1616=$D$2:$D$2427,$X$2:$X$2427)))/COUNT(IF(A1616=$A$2:$A$2427,IF(D1616=$D$2:$D$2427,IF(ISNUMBER($X$2:$X$2427),1)))),0),""),0)</f>
        <v/>
      </c>
      <c r="Z1616" s="104" t="str">
        <f>IF(ISNUMBER(O1616),IF(I1616&gt;0,(10^(VLOOKUP(D1616,'Species Codes'!B:C,2,0)+VLOOKUP(D1616,'Species Codes'!B:D,3,0)*LOG(E1616)+VLOOKUP(D1616,'Species Codes'!B:E,4,0)*LOG(I1616))),0),"")</f>
        <v/>
      </c>
      <c r="AA1616" s="104" t="str">
        <f>IFERROR((VLOOKUP(D1616,'Species Codes'!B:G,6,0)*Z1616)/2000,"")</f>
        <v/>
      </c>
      <c r="AB1616" s="104" t="e">
        <f>IF(Z1616&gt;0,((IF(OR(D1616="DF",D1616="RA")=TRUE,EXP(VLOOKUP(D1616,'Species Codes'!B:I,8,0)+VLOOKUP(D1616,'Species Codes'!B:J,9,0)*(LN((E1616*2.54)))),IF(OR(D1616="PY",D1616="RC",D1616="WH",D1616="NF")=TRUE,VLOOKUP(D1616,'Species Codes'!B:I,8,0)+VLOOKUP(D1616,'Species Codes'!B:J,9,0)*((E1616*2.54)^2)*(I1616*0.3048),IF(OR(D1616="MD",D1616="BM",D1616="GA")=TRUE,((VLOOKUP(D1616,'Species Codes'!B:I,8,0)*(((((E1616*2.54)+VLOOKUP(D1616,'Species Codes'!B:J,9,0))/VLOOKUP(D1616,'Species Codes'!B:K,10,0))^VLOOKUP(D1616,'Species Codes'!B:L,11,0))*((I1616*0.3048)^VLOOKUP(D1616,'Species Codes'!B:M,12,0))))-(VLOOKUP(D1616,'Species Codes'!B:I,8,0)*((((E1616*2.54)^VLOOKUP(D1616,'Species Codes'!B:L,11,0))*((I1616*0.3048)^VLOOKUP(D1616,'Species Codes'!B:M,12,0))))))*35.3*VLOOKUP(D1616,'Species Codes'!B:G,6,0)/2.2046,VLOOKUP(D1616,'Species Codes'!B:I,8,0)+VLOOKUP(D1616,'Species Codes'!B:J,9,0)*(((E1616*2.54)/100)^2)*(I1616*0.3048)))))*0.0011023),0)</f>
        <v>#N/A</v>
      </c>
      <c r="AC1616" s="104" t="e">
        <f>IF(Z1616&gt;0,((IF(OR(D1616="RA",D1616="OA",D1616="OT",D1616="UN",D1616="PC"),EXP(VLOOKUP(D1616,'Species Codes'!B:O,14,0)+VLOOKUP(D1616,'Species Codes'!B:P,15,0)*LN((E1616*2.54)))-EXP(VLOOKUP(D1616,'Species Codes'!B:O,14,0)+VLOOKUP(D1616,'Species Codes'!B:P,15,0)*LN((E1616*2.54)))*(1/(VLOOKUP(D1616,'Species Codes'!B:Q,16,0)+VLOOKUP(D1616,'Species Codes'!B:R,17,0)*((E1616*2.54)^VLOOKUP(D1616,'Species Codes'!B:S,18,0)))),IF(OR(D1616="BM",D1616="MD",D1616="OA"),EXP(VLOOKUP(D1616,'Species Codes'!B:O,14,0)+VLOOKUP(D1616,'Species Codes'!B:P,15,0)*LN((E1616*2.54)))*(1-(1/(VLOOKUP(D1616,'Species Codes'!B:Q,16,0)+VLOOKUP(D1616,'Species Codes'!B:R,17,0)*((E1616*2.54)^VLOOKUP(D1616,'Species Codes'!B:S,18,0)))))/1000,IF(D1616="DF",EXP(VLOOKUP(D1616,'Species Codes'!B:O,14,0)+VLOOKUP(D1616,'Species Codes'!B:P,15,0)*LN((E1616*2.54))),VLOOKUP(D1616,'Species Codes'!B:O,14,0)+VLOOKUP(D1616,'Species Codes'!B:P,15,0)*(((E1616*2.54)/100)^2)*(I1616*0.3048)))))*0.0011023),0)</f>
        <v>#N/A</v>
      </c>
      <c r="AD1616" s="104" t="e">
        <f t="shared" si="706"/>
        <v>#N/A</v>
      </c>
      <c r="AE1616" s="104" t="e">
        <f t="shared" si="707"/>
        <v>#N/A</v>
      </c>
      <c r="AF1616" s="104" t="e">
        <f>IF(AND(VLOOKUP($D1616,Merchantability!$B:$C,2,0)="Yes",$E1616&gt;=VLOOKUP($D1616,Merchantability!$B:$D,3,0),$E1616&lt;=VLOOKUP($D1616,Merchantability!$B:$E,4,0)),AA1616,0)</f>
        <v>#N/A</v>
      </c>
      <c r="AG1616" s="104" t="e">
        <f>IF(AND(VLOOKUP($D1616,Merchantability!$B:$C,2,0)="Yes",$E1616&gt;=VLOOKUP($D1616,Merchantability!$B:$D,3,0),$E1616&lt;=VLOOKUP($D1616,Merchantability!$B:$E,4,0)),AB1616,0)</f>
        <v>#N/A</v>
      </c>
      <c r="AH1616" s="104" t="e">
        <f>IF(AND(VLOOKUP($D1616,Merchantability!$B:$C,2,0)="Yes",$E1616&gt;=VLOOKUP($D1616,Merchantability!$B:$D,3,0),$E1616&lt;=VLOOKUP($D1616,Merchantability!$B:$E,4,0)),AC1616,0)</f>
        <v>#N/A</v>
      </c>
      <c r="AI1616" s="104" t="e">
        <f t="shared" si="708"/>
        <v>#N/A</v>
      </c>
      <c r="AJ1616" s="104" t="e">
        <f t="shared" si="709"/>
        <v>#VALUE!</v>
      </c>
      <c r="AK1616" s="104" t="e">
        <f t="shared" si="710"/>
        <v>#N/A</v>
      </c>
      <c r="AL1616" s="104" t="e">
        <f t="shared" si="711"/>
        <v>#N/A</v>
      </c>
      <c r="AM1616" s="104" t="e">
        <f t="shared" si="712"/>
        <v>#N/A</v>
      </c>
      <c r="AN1616" s="104" t="e">
        <f t="shared" si="723"/>
        <v>#N/A</v>
      </c>
      <c r="AO1616" s="104" t="e">
        <f t="shared" si="724"/>
        <v>#N/A</v>
      </c>
      <c r="AP1616" s="104" t="e">
        <f t="shared" si="725"/>
        <v>#N/A</v>
      </c>
      <c r="AQ1616" s="104" t="e">
        <f t="shared" si="726"/>
        <v>#N/A</v>
      </c>
      <c r="AR1616" s="105" t="str">
        <f t="shared" si="718"/>
        <v/>
      </c>
      <c r="AS1616" s="105" t="str">
        <f t="shared" si="719"/>
        <v/>
      </c>
      <c r="AT1616" s="108" t="str">
        <f t="shared" si="720"/>
        <v/>
      </c>
      <c r="AU1616" s="108" t="str">
        <f t="shared" si="721"/>
        <v/>
      </c>
      <c r="AV1616" s="107" t="str">
        <f>IF(ISNUMBER(O1616),IF(VLOOKUP($A1616,Stand!C:J,8,FALSE)="Short",AT1616,AU1616),"")</f>
        <v/>
      </c>
      <c r="AW1616" s="109" t="str">
        <f t="shared" si="727"/>
        <v/>
      </c>
      <c r="AX1616" s="109" t="str">
        <f t="shared" si="728"/>
        <v/>
      </c>
      <c r="AY1616" s="112" t="str">
        <f>IF(ISNUMBER(O1616),IF(AND(VLOOKUP($D1616,Merchantability!$B:$C,2,0)="Yes",$E1616&gt;=VLOOKUP($D1616,Merchantability!$B:$D,3,0),$E1616&lt;=VLOOKUP($D1616,Merchantability!$B:$E,4,0)),(AV1616*O1616)*(1-$H1616/100),""),"")</f>
        <v/>
      </c>
      <c r="AZ1616" s="116"/>
      <c r="BA1616" s="116"/>
      <c r="BB1616" s="116"/>
      <c r="BE1616" s="62"/>
      <c r="BF1616" s="63"/>
    </row>
    <row r="1617" spans="1:58" ht="12.75" customHeight="1" x14ac:dyDescent="0.25">
      <c r="A1617" s="333"/>
      <c r="B1617" s="334"/>
      <c r="C1617" s="332"/>
      <c r="D1617" s="334"/>
      <c r="E1617" s="335"/>
      <c r="F1617" s="334"/>
      <c r="G1617" s="332"/>
      <c r="H1617" s="332"/>
      <c r="I1617" s="334"/>
      <c r="J1617" s="336"/>
      <c r="K1617" s="332"/>
      <c r="L1617" s="332"/>
      <c r="M1617" s="76"/>
      <c r="N1617" s="103" t="str">
        <f>IF(A1617="","",VLOOKUP(A1617,Stand!C:K,9,0))</f>
        <v/>
      </c>
      <c r="O1617" s="104" t="str">
        <f t="shared" si="713"/>
        <v/>
      </c>
      <c r="P1617" s="105" t="str">
        <f t="shared" si="714"/>
        <v/>
      </c>
      <c r="Q1617" s="105" t="str">
        <f t="shared" si="702"/>
        <v/>
      </c>
      <c r="R1617" s="103" t="str">
        <f t="shared" si="715"/>
        <v/>
      </c>
      <c r="S1617" s="103" t="str">
        <f t="shared" si="716"/>
        <v/>
      </c>
      <c r="T1617" s="106" t="str">
        <f t="shared" si="703"/>
        <v/>
      </c>
      <c r="U1617" s="106" t="str">
        <f t="shared" si="704"/>
        <v/>
      </c>
      <c r="V1617" s="106" t="str">
        <f t="shared" si="705"/>
        <v/>
      </c>
      <c r="W1617" s="105" t="str">
        <f t="shared" si="717"/>
        <v/>
      </c>
      <c r="X1617" s="104" t="str">
        <f t="shared" si="722"/>
        <v/>
      </c>
      <c r="Y1617" s="104" t="str">
        <f t="array" ref="Y1617">IFERROR(IF(ISNUMBER(O1617),IF(COUNT(IF(A1617=$A$2:$A$2427,IF(D1617=$D$2:$D$2427,IF($X$2:$X$2427&gt;0,1))))&gt;0,SUM(IF(A1617=$A$2:$A$2427,IF(D1617=$D$2:$D$2427,$X$2:$X$2427)))/COUNT(IF(A1617=$A$2:$A$2427,IF(D1617=$D$2:$D$2427,IF(ISNUMBER($X$2:$X$2427),1)))),0),""),0)</f>
        <v/>
      </c>
      <c r="Z1617" s="104" t="str">
        <f>IF(ISNUMBER(O1617),IF(I1617&gt;0,(10^(VLOOKUP(D1617,'Species Codes'!B:C,2,0)+VLOOKUP(D1617,'Species Codes'!B:D,3,0)*LOG(E1617)+VLOOKUP(D1617,'Species Codes'!B:E,4,0)*LOG(I1617))),0),"")</f>
        <v/>
      </c>
      <c r="AA1617" s="104" t="str">
        <f>IFERROR((VLOOKUP(D1617,'Species Codes'!B:G,6,0)*Z1617)/2000,"")</f>
        <v/>
      </c>
      <c r="AB1617" s="104" t="e">
        <f>IF(Z1617&gt;0,((IF(OR(D1617="DF",D1617="RA")=TRUE,EXP(VLOOKUP(D1617,'Species Codes'!B:I,8,0)+VLOOKUP(D1617,'Species Codes'!B:J,9,0)*(LN((E1617*2.54)))),IF(OR(D1617="PY",D1617="RC",D1617="WH",D1617="NF")=TRUE,VLOOKUP(D1617,'Species Codes'!B:I,8,0)+VLOOKUP(D1617,'Species Codes'!B:J,9,0)*((E1617*2.54)^2)*(I1617*0.3048),IF(OR(D1617="MD",D1617="BM",D1617="GA")=TRUE,((VLOOKUP(D1617,'Species Codes'!B:I,8,0)*(((((E1617*2.54)+VLOOKUP(D1617,'Species Codes'!B:J,9,0))/VLOOKUP(D1617,'Species Codes'!B:K,10,0))^VLOOKUP(D1617,'Species Codes'!B:L,11,0))*((I1617*0.3048)^VLOOKUP(D1617,'Species Codes'!B:M,12,0))))-(VLOOKUP(D1617,'Species Codes'!B:I,8,0)*((((E1617*2.54)^VLOOKUP(D1617,'Species Codes'!B:L,11,0))*((I1617*0.3048)^VLOOKUP(D1617,'Species Codes'!B:M,12,0))))))*35.3*VLOOKUP(D1617,'Species Codes'!B:G,6,0)/2.2046,VLOOKUP(D1617,'Species Codes'!B:I,8,0)+VLOOKUP(D1617,'Species Codes'!B:J,9,0)*(((E1617*2.54)/100)^2)*(I1617*0.3048)))))*0.0011023),0)</f>
        <v>#N/A</v>
      </c>
      <c r="AC1617" s="104" t="e">
        <f>IF(Z1617&gt;0,((IF(OR(D1617="RA",D1617="OA",D1617="OT",D1617="UN",D1617="PC"),EXP(VLOOKUP(D1617,'Species Codes'!B:O,14,0)+VLOOKUP(D1617,'Species Codes'!B:P,15,0)*LN((E1617*2.54)))-EXP(VLOOKUP(D1617,'Species Codes'!B:O,14,0)+VLOOKUP(D1617,'Species Codes'!B:P,15,0)*LN((E1617*2.54)))*(1/(VLOOKUP(D1617,'Species Codes'!B:Q,16,0)+VLOOKUP(D1617,'Species Codes'!B:R,17,0)*((E1617*2.54)^VLOOKUP(D1617,'Species Codes'!B:S,18,0)))),IF(OR(D1617="BM",D1617="MD",D1617="OA"),EXP(VLOOKUP(D1617,'Species Codes'!B:O,14,0)+VLOOKUP(D1617,'Species Codes'!B:P,15,0)*LN((E1617*2.54)))*(1-(1/(VLOOKUP(D1617,'Species Codes'!B:Q,16,0)+VLOOKUP(D1617,'Species Codes'!B:R,17,0)*((E1617*2.54)^VLOOKUP(D1617,'Species Codes'!B:S,18,0)))))/1000,IF(D1617="DF",EXP(VLOOKUP(D1617,'Species Codes'!B:O,14,0)+VLOOKUP(D1617,'Species Codes'!B:P,15,0)*LN((E1617*2.54))),VLOOKUP(D1617,'Species Codes'!B:O,14,0)+VLOOKUP(D1617,'Species Codes'!B:P,15,0)*(((E1617*2.54)/100)^2)*(I1617*0.3048)))))*0.0011023),0)</f>
        <v>#N/A</v>
      </c>
      <c r="AD1617" s="104" t="e">
        <f t="shared" si="706"/>
        <v>#N/A</v>
      </c>
      <c r="AE1617" s="104" t="e">
        <f t="shared" si="707"/>
        <v>#N/A</v>
      </c>
      <c r="AF1617" s="104" t="e">
        <f>IF(AND(VLOOKUP($D1617,Merchantability!$B:$C,2,0)="Yes",$E1617&gt;=VLOOKUP($D1617,Merchantability!$B:$D,3,0),$E1617&lt;=VLOOKUP($D1617,Merchantability!$B:$E,4,0)),AA1617,0)</f>
        <v>#N/A</v>
      </c>
      <c r="AG1617" s="104" t="e">
        <f>IF(AND(VLOOKUP($D1617,Merchantability!$B:$C,2,0)="Yes",$E1617&gt;=VLOOKUP($D1617,Merchantability!$B:$D,3,0),$E1617&lt;=VLOOKUP($D1617,Merchantability!$B:$E,4,0)),AB1617,0)</f>
        <v>#N/A</v>
      </c>
      <c r="AH1617" s="104" t="e">
        <f>IF(AND(VLOOKUP($D1617,Merchantability!$B:$C,2,0)="Yes",$E1617&gt;=VLOOKUP($D1617,Merchantability!$B:$D,3,0),$E1617&lt;=VLOOKUP($D1617,Merchantability!$B:$E,4,0)),AC1617,0)</f>
        <v>#N/A</v>
      </c>
      <c r="AI1617" s="104" t="e">
        <f t="shared" si="708"/>
        <v>#N/A</v>
      </c>
      <c r="AJ1617" s="104" t="e">
        <f t="shared" si="709"/>
        <v>#VALUE!</v>
      </c>
      <c r="AK1617" s="104" t="e">
        <f t="shared" si="710"/>
        <v>#N/A</v>
      </c>
      <c r="AL1617" s="104" t="e">
        <f t="shared" si="711"/>
        <v>#N/A</v>
      </c>
      <c r="AM1617" s="104" t="e">
        <f t="shared" si="712"/>
        <v>#N/A</v>
      </c>
      <c r="AN1617" s="104" t="e">
        <f t="shared" si="723"/>
        <v>#N/A</v>
      </c>
      <c r="AO1617" s="104" t="e">
        <f t="shared" si="724"/>
        <v>#N/A</v>
      </c>
      <c r="AP1617" s="104" t="e">
        <f t="shared" si="725"/>
        <v>#N/A</v>
      </c>
      <c r="AQ1617" s="104" t="e">
        <f t="shared" si="726"/>
        <v>#N/A</v>
      </c>
      <c r="AR1617" s="105" t="str">
        <f t="shared" si="718"/>
        <v/>
      </c>
      <c r="AS1617" s="105" t="str">
        <f t="shared" si="719"/>
        <v/>
      </c>
      <c r="AT1617" s="108" t="str">
        <f t="shared" si="720"/>
        <v/>
      </c>
      <c r="AU1617" s="108" t="str">
        <f t="shared" si="721"/>
        <v/>
      </c>
      <c r="AV1617" s="107" t="str">
        <f>IF(ISNUMBER(O1617),IF(VLOOKUP($A1617,Stand!C:J,8,FALSE)="Short",AT1617,AU1617),"")</f>
        <v/>
      </c>
      <c r="AW1617" s="109" t="str">
        <f t="shared" si="727"/>
        <v/>
      </c>
      <c r="AX1617" s="109" t="str">
        <f t="shared" si="728"/>
        <v/>
      </c>
      <c r="AY1617" s="112" t="str">
        <f>IF(ISNUMBER(O1617),IF(AND(VLOOKUP($D1617,Merchantability!$B:$C,2,0)="Yes",$E1617&gt;=VLOOKUP($D1617,Merchantability!$B:$D,3,0),$E1617&lt;=VLOOKUP($D1617,Merchantability!$B:$E,4,0)),(AV1617*O1617)*(1-$H1617/100),""),"")</f>
        <v/>
      </c>
      <c r="AZ1617" s="116"/>
      <c r="BA1617" s="116"/>
      <c r="BB1617" s="116"/>
      <c r="BE1617" s="62"/>
      <c r="BF1617" s="63"/>
    </row>
    <row r="1618" spans="1:58" ht="12.75" customHeight="1" x14ac:dyDescent="0.25">
      <c r="A1618" s="333"/>
      <c r="B1618" s="334"/>
      <c r="C1618" s="332"/>
      <c r="D1618" s="334"/>
      <c r="E1618" s="335"/>
      <c r="F1618" s="334"/>
      <c r="G1618" s="332"/>
      <c r="H1618" s="332"/>
      <c r="I1618" s="334"/>
      <c r="J1618" s="336"/>
      <c r="K1618" s="332"/>
      <c r="L1618" s="332"/>
      <c r="M1618" s="76"/>
      <c r="N1618" s="103" t="str">
        <f>IF(A1618="","",VLOOKUP(A1618,Stand!C:K,9,0))</f>
        <v/>
      </c>
      <c r="O1618" s="104" t="str">
        <f t="shared" si="713"/>
        <v/>
      </c>
      <c r="P1618" s="105" t="str">
        <f t="shared" si="714"/>
        <v/>
      </c>
      <c r="Q1618" s="105" t="str">
        <f t="shared" si="702"/>
        <v/>
      </c>
      <c r="R1618" s="103" t="str">
        <f t="shared" si="715"/>
        <v/>
      </c>
      <c r="S1618" s="103" t="str">
        <f t="shared" si="716"/>
        <v/>
      </c>
      <c r="T1618" s="106" t="str">
        <f t="shared" si="703"/>
        <v/>
      </c>
      <c r="U1618" s="106" t="str">
        <f t="shared" si="704"/>
        <v/>
      </c>
      <c r="V1618" s="106" t="str">
        <f t="shared" si="705"/>
        <v/>
      </c>
      <c r="W1618" s="105" t="str">
        <f t="shared" si="717"/>
        <v/>
      </c>
      <c r="X1618" s="104" t="str">
        <f t="shared" si="722"/>
        <v/>
      </c>
      <c r="Y1618" s="104" t="str">
        <f t="array" ref="Y1618">IFERROR(IF(ISNUMBER(O1618),IF(COUNT(IF(A1618=$A$2:$A$2427,IF(D1618=$D$2:$D$2427,IF($X$2:$X$2427&gt;0,1))))&gt;0,SUM(IF(A1618=$A$2:$A$2427,IF(D1618=$D$2:$D$2427,$X$2:$X$2427)))/COUNT(IF(A1618=$A$2:$A$2427,IF(D1618=$D$2:$D$2427,IF(ISNUMBER($X$2:$X$2427),1)))),0),""),0)</f>
        <v/>
      </c>
      <c r="Z1618" s="104" t="str">
        <f>IF(ISNUMBER(O1618),IF(I1618&gt;0,(10^(VLOOKUP(D1618,'Species Codes'!B:C,2,0)+VLOOKUP(D1618,'Species Codes'!B:D,3,0)*LOG(E1618)+VLOOKUP(D1618,'Species Codes'!B:E,4,0)*LOG(I1618))),0),"")</f>
        <v/>
      </c>
      <c r="AA1618" s="104" t="str">
        <f>IFERROR((VLOOKUP(D1618,'Species Codes'!B:G,6,0)*Z1618)/2000,"")</f>
        <v/>
      </c>
      <c r="AB1618" s="104" t="e">
        <f>IF(Z1618&gt;0,((IF(OR(D1618="DF",D1618="RA")=TRUE,EXP(VLOOKUP(D1618,'Species Codes'!B:I,8,0)+VLOOKUP(D1618,'Species Codes'!B:J,9,0)*(LN((E1618*2.54)))),IF(OR(D1618="PY",D1618="RC",D1618="WH",D1618="NF")=TRUE,VLOOKUP(D1618,'Species Codes'!B:I,8,0)+VLOOKUP(D1618,'Species Codes'!B:J,9,0)*((E1618*2.54)^2)*(I1618*0.3048),IF(OR(D1618="MD",D1618="BM",D1618="GA")=TRUE,((VLOOKUP(D1618,'Species Codes'!B:I,8,0)*(((((E1618*2.54)+VLOOKUP(D1618,'Species Codes'!B:J,9,0))/VLOOKUP(D1618,'Species Codes'!B:K,10,0))^VLOOKUP(D1618,'Species Codes'!B:L,11,0))*((I1618*0.3048)^VLOOKUP(D1618,'Species Codes'!B:M,12,0))))-(VLOOKUP(D1618,'Species Codes'!B:I,8,0)*((((E1618*2.54)^VLOOKUP(D1618,'Species Codes'!B:L,11,0))*((I1618*0.3048)^VLOOKUP(D1618,'Species Codes'!B:M,12,0))))))*35.3*VLOOKUP(D1618,'Species Codes'!B:G,6,0)/2.2046,VLOOKUP(D1618,'Species Codes'!B:I,8,0)+VLOOKUP(D1618,'Species Codes'!B:J,9,0)*(((E1618*2.54)/100)^2)*(I1618*0.3048)))))*0.0011023),0)</f>
        <v>#N/A</v>
      </c>
      <c r="AC1618" s="104" t="e">
        <f>IF(Z1618&gt;0,((IF(OR(D1618="RA",D1618="OA",D1618="OT",D1618="UN",D1618="PC"),EXP(VLOOKUP(D1618,'Species Codes'!B:O,14,0)+VLOOKUP(D1618,'Species Codes'!B:P,15,0)*LN((E1618*2.54)))-EXP(VLOOKUP(D1618,'Species Codes'!B:O,14,0)+VLOOKUP(D1618,'Species Codes'!B:P,15,0)*LN((E1618*2.54)))*(1/(VLOOKUP(D1618,'Species Codes'!B:Q,16,0)+VLOOKUP(D1618,'Species Codes'!B:R,17,0)*((E1618*2.54)^VLOOKUP(D1618,'Species Codes'!B:S,18,0)))),IF(OR(D1618="BM",D1618="MD",D1618="OA"),EXP(VLOOKUP(D1618,'Species Codes'!B:O,14,0)+VLOOKUP(D1618,'Species Codes'!B:P,15,0)*LN((E1618*2.54)))*(1-(1/(VLOOKUP(D1618,'Species Codes'!B:Q,16,0)+VLOOKUP(D1618,'Species Codes'!B:R,17,0)*((E1618*2.54)^VLOOKUP(D1618,'Species Codes'!B:S,18,0)))))/1000,IF(D1618="DF",EXP(VLOOKUP(D1618,'Species Codes'!B:O,14,0)+VLOOKUP(D1618,'Species Codes'!B:P,15,0)*LN((E1618*2.54))),VLOOKUP(D1618,'Species Codes'!B:O,14,0)+VLOOKUP(D1618,'Species Codes'!B:P,15,0)*(((E1618*2.54)/100)^2)*(I1618*0.3048)))))*0.0011023),0)</f>
        <v>#N/A</v>
      </c>
      <c r="AD1618" s="104" t="e">
        <f t="shared" si="706"/>
        <v>#N/A</v>
      </c>
      <c r="AE1618" s="104" t="e">
        <f t="shared" si="707"/>
        <v>#N/A</v>
      </c>
      <c r="AF1618" s="104" t="e">
        <f>IF(AND(VLOOKUP($D1618,Merchantability!$B:$C,2,0)="Yes",$E1618&gt;=VLOOKUP($D1618,Merchantability!$B:$D,3,0),$E1618&lt;=VLOOKUP($D1618,Merchantability!$B:$E,4,0)),AA1618,0)</f>
        <v>#N/A</v>
      </c>
      <c r="AG1618" s="104" t="e">
        <f>IF(AND(VLOOKUP($D1618,Merchantability!$B:$C,2,0)="Yes",$E1618&gt;=VLOOKUP($D1618,Merchantability!$B:$D,3,0),$E1618&lt;=VLOOKUP($D1618,Merchantability!$B:$E,4,0)),AB1618,0)</f>
        <v>#N/A</v>
      </c>
      <c r="AH1618" s="104" t="e">
        <f>IF(AND(VLOOKUP($D1618,Merchantability!$B:$C,2,0)="Yes",$E1618&gt;=VLOOKUP($D1618,Merchantability!$B:$D,3,0),$E1618&lt;=VLOOKUP($D1618,Merchantability!$B:$E,4,0)),AC1618,0)</f>
        <v>#N/A</v>
      </c>
      <c r="AI1618" s="104" t="e">
        <f t="shared" si="708"/>
        <v>#N/A</v>
      </c>
      <c r="AJ1618" s="104" t="e">
        <f t="shared" si="709"/>
        <v>#VALUE!</v>
      </c>
      <c r="AK1618" s="104" t="e">
        <f t="shared" si="710"/>
        <v>#N/A</v>
      </c>
      <c r="AL1618" s="104" t="e">
        <f t="shared" si="711"/>
        <v>#N/A</v>
      </c>
      <c r="AM1618" s="104" t="e">
        <f t="shared" si="712"/>
        <v>#N/A</v>
      </c>
      <c r="AN1618" s="104" t="e">
        <f t="shared" si="723"/>
        <v>#N/A</v>
      </c>
      <c r="AO1618" s="104" t="e">
        <f t="shared" si="724"/>
        <v>#N/A</v>
      </c>
      <c r="AP1618" s="104" t="e">
        <f t="shared" si="725"/>
        <v>#N/A</v>
      </c>
      <c r="AQ1618" s="104" t="e">
        <f t="shared" si="726"/>
        <v>#N/A</v>
      </c>
      <c r="AR1618" s="105" t="str">
        <f t="shared" si="718"/>
        <v/>
      </c>
      <c r="AS1618" s="105" t="str">
        <f t="shared" si="719"/>
        <v/>
      </c>
      <c r="AT1618" s="108" t="str">
        <f t="shared" si="720"/>
        <v/>
      </c>
      <c r="AU1618" s="108" t="str">
        <f t="shared" si="721"/>
        <v/>
      </c>
      <c r="AV1618" s="107" t="str">
        <f>IF(ISNUMBER(O1618),IF(VLOOKUP($A1618,Stand!C:J,8,FALSE)="Short",AT1618,AU1618),"")</f>
        <v/>
      </c>
      <c r="AW1618" s="109" t="str">
        <f t="shared" si="727"/>
        <v/>
      </c>
      <c r="AX1618" s="109" t="str">
        <f t="shared" si="728"/>
        <v/>
      </c>
      <c r="AY1618" s="112" t="str">
        <f>IF(ISNUMBER(O1618),IF(AND(VLOOKUP($D1618,Merchantability!$B:$C,2,0)="Yes",$E1618&gt;=VLOOKUP($D1618,Merchantability!$B:$D,3,0),$E1618&lt;=VLOOKUP($D1618,Merchantability!$B:$E,4,0)),(AV1618*O1618)*(1-$H1618/100),""),"")</f>
        <v/>
      </c>
      <c r="AZ1618" s="116"/>
      <c r="BA1618" s="116"/>
      <c r="BB1618" s="116"/>
      <c r="BE1618" s="62"/>
      <c r="BF1618" s="63"/>
    </row>
    <row r="1619" spans="1:58" ht="12.75" customHeight="1" x14ac:dyDescent="0.25">
      <c r="A1619" s="333"/>
      <c r="B1619" s="334"/>
      <c r="C1619" s="332"/>
      <c r="D1619" s="334"/>
      <c r="E1619" s="335"/>
      <c r="F1619" s="334"/>
      <c r="G1619" s="332"/>
      <c r="H1619" s="332"/>
      <c r="I1619" s="334"/>
      <c r="J1619" s="336"/>
      <c r="K1619" s="332"/>
      <c r="L1619" s="332"/>
      <c r="M1619" s="76"/>
      <c r="N1619" s="103" t="str">
        <f>IF(A1619="","",VLOOKUP(A1619,Stand!C:K,9,0))</f>
        <v/>
      </c>
      <c r="O1619" s="104" t="str">
        <f t="shared" si="713"/>
        <v/>
      </c>
      <c r="P1619" s="105" t="str">
        <f t="shared" si="714"/>
        <v/>
      </c>
      <c r="Q1619" s="105" t="str">
        <f t="shared" si="702"/>
        <v/>
      </c>
      <c r="R1619" s="103" t="str">
        <f t="shared" si="715"/>
        <v/>
      </c>
      <c r="S1619" s="103" t="str">
        <f t="shared" si="716"/>
        <v/>
      </c>
      <c r="T1619" s="106" t="str">
        <f t="shared" si="703"/>
        <v/>
      </c>
      <c r="U1619" s="106" t="str">
        <f t="shared" si="704"/>
        <v/>
      </c>
      <c r="V1619" s="106" t="str">
        <f t="shared" si="705"/>
        <v/>
      </c>
      <c r="W1619" s="105" t="str">
        <f t="shared" si="717"/>
        <v/>
      </c>
      <c r="X1619" s="104" t="str">
        <f t="shared" si="722"/>
        <v/>
      </c>
      <c r="Y1619" s="104" t="str">
        <f t="array" ref="Y1619">IFERROR(IF(ISNUMBER(O1619),IF(COUNT(IF(A1619=$A$2:$A$2427,IF(D1619=$D$2:$D$2427,IF($X$2:$X$2427&gt;0,1))))&gt;0,SUM(IF(A1619=$A$2:$A$2427,IF(D1619=$D$2:$D$2427,$X$2:$X$2427)))/COUNT(IF(A1619=$A$2:$A$2427,IF(D1619=$D$2:$D$2427,IF(ISNUMBER($X$2:$X$2427),1)))),0),""),0)</f>
        <v/>
      </c>
      <c r="Z1619" s="104" t="str">
        <f>IF(ISNUMBER(O1619),IF(I1619&gt;0,(10^(VLOOKUP(D1619,'Species Codes'!B:C,2,0)+VLOOKUP(D1619,'Species Codes'!B:D,3,0)*LOG(E1619)+VLOOKUP(D1619,'Species Codes'!B:E,4,0)*LOG(I1619))),0),"")</f>
        <v/>
      </c>
      <c r="AA1619" s="104" t="str">
        <f>IFERROR((VLOOKUP(D1619,'Species Codes'!B:G,6,0)*Z1619)/2000,"")</f>
        <v/>
      </c>
      <c r="AB1619" s="104" t="e">
        <f>IF(Z1619&gt;0,((IF(OR(D1619="DF",D1619="RA")=TRUE,EXP(VLOOKUP(D1619,'Species Codes'!B:I,8,0)+VLOOKUP(D1619,'Species Codes'!B:J,9,0)*(LN((E1619*2.54)))),IF(OR(D1619="PY",D1619="RC",D1619="WH",D1619="NF")=TRUE,VLOOKUP(D1619,'Species Codes'!B:I,8,0)+VLOOKUP(D1619,'Species Codes'!B:J,9,0)*((E1619*2.54)^2)*(I1619*0.3048),IF(OR(D1619="MD",D1619="BM",D1619="GA")=TRUE,((VLOOKUP(D1619,'Species Codes'!B:I,8,0)*(((((E1619*2.54)+VLOOKUP(D1619,'Species Codes'!B:J,9,0))/VLOOKUP(D1619,'Species Codes'!B:K,10,0))^VLOOKUP(D1619,'Species Codes'!B:L,11,0))*((I1619*0.3048)^VLOOKUP(D1619,'Species Codes'!B:M,12,0))))-(VLOOKUP(D1619,'Species Codes'!B:I,8,0)*((((E1619*2.54)^VLOOKUP(D1619,'Species Codes'!B:L,11,0))*((I1619*0.3048)^VLOOKUP(D1619,'Species Codes'!B:M,12,0))))))*35.3*VLOOKUP(D1619,'Species Codes'!B:G,6,0)/2.2046,VLOOKUP(D1619,'Species Codes'!B:I,8,0)+VLOOKUP(D1619,'Species Codes'!B:J,9,0)*(((E1619*2.54)/100)^2)*(I1619*0.3048)))))*0.0011023),0)</f>
        <v>#N/A</v>
      </c>
      <c r="AC1619" s="104" t="e">
        <f>IF(Z1619&gt;0,((IF(OR(D1619="RA",D1619="OA",D1619="OT",D1619="UN",D1619="PC"),EXP(VLOOKUP(D1619,'Species Codes'!B:O,14,0)+VLOOKUP(D1619,'Species Codes'!B:P,15,0)*LN((E1619*2.54)))-EXP(VLOOKUP(D1619,'Species Codes'!B:O,14,0)+VLOOKUP(D1619,'Species Codes'!B:P,15,0)*LN((E1619*2.54)))*(1/(VLOOKUP(D1619,'Species Codes'!B:Q,16,0)+VLOOKUP(D1619,'Species Codes'!B:R,17,0)*((E1619*2.54)^VLOOKUP(D1619,'Species Codes'!B:S,18,0)))),IF(OR(D1619="BM",D1619="MD",D1619="OA"),EXP(VLOOKUP(D1619,'Species Codes'!B:O,14,0)+VLOOKUP(D1619,'Species Codes'!B:P,15,0)*LN((E1619*2.54)))*(1-(1/(VLOOKUP(D1619,'Species Codes'!B:Q,16,0)+VLOOKUP(D1619,'Species Codes'!B:R,17,0)*((E1619*2.54)^VLOOKUP(D1619,'Species Codes'!B:S,18,0)))))/1000,IF(D1619="DF",EXP(VLOOKUP(D1619,'Species Codes'!B:O,14,0)+VLOOKUP(D1619,'Species Codes'!B:P,15,0)*LN((E1619*2.54))),VLOOKUP(D1619,'Species Codes'!B:O,14,0)+VLOOKUP(D1619,'Species Codes'!B:P,15,0)*(((E1619*2.54)/100)^2)*(I1619*0.3048)))))*0.0011023),0)</f>
        <v>#N/A</v>
      </c>
      <c r="AD1619" s="104" t="e">
        <f t="shared" si="706"/>
        <v>#N/A</v>
      </c>
      <c r="AE1619" s="104" t="e">
        <f t="shared" si="707"/>
        <v>#N/A</v>
      </c>
      <c r="AF1619" s="104" t="e">
        <f>IF(AND(VLOOKUP($D1619,Merchantability!$B:$C,2,0)="Yes",$E1619&gt;=VLOOKUP($D1619,Merchantability!$B:$D,3,0),$E1619&lt;=VLOOKUP($D1619,Merchantability!$B:$E,4,0)),AA1619,0)</f>
        <v>#N/A</v>
      </c>
      <c r="AG1619" s="104" t="e">
        <f>IF(AND(VLOOKUP($D1619,Merchantability!$B:$C,2,0)="Yes",$E1619&gt;=VLOOKUP($D1619,Merchantability!$B:$D,3,0),$E1619&lt;=VLOOKUP($D1619,Merchantability!$B:$E,4,0)),AB1619,0)</f>
        <v>#N/A</v>
      </c>
      <c r="AH1619" s="104" t="e">
        <f>IF(AND(VLOOKUP($D1619,Merchantability!$B:$C,2,0)="Yes",$E1619&gt;=VLOOKUP($D1619,Merchantability!$B:$D,3,0),$E1619&lt;=VLOOKUP($D1619,Merchantability!$B:$E,4,0)),AC1619,0)</f>
        <v>#N/A</v>
      </c>
      <c r="AI1619" s="104" t="e">
        <f t="shared" si="708"/>
        <v>#N/A</v>
      </c>
      <c r="AJ1619" s="104" t="e">
        <f t="shared" si="709"/>
        <v>#VALUE!</v>
      </c>
      <c r="AK1619" s="104" t="e">
        <f t="shared" si="710"/>
        <v>#N/A</v>
      </c>
      <c r="AL1619" s="104" t="e">
        <f t="shared" si="711"/>
        <v>#N/A</v>
      </c>
      <c r="AM1619" s="104" t="e">
        <f t="shared" si="712"/>
        <v>#N/A</v>
      </c>
      <c r="AN1619" s="104" t="e">
        <f t="shared" si="723"/>
        <v>#N/A</v>
      </c>
      <c r="AO1619" s="104" t="e">
        <f t="shared" si="724"/>
        <v>#N/A</v>
      </c>
      <c r="AP1619" s="104" t="e">
        <f t="shared" si="725"/>
        <v>#N/A</v>
      </c>
      <c r="AQ1619" s="104" t="e">
        <f t="shared" si="726"/>
        <v>#N/A</v>
      </c>
      <c r="AR1619" s="105" t="str">
        <f t="shared" si="718"/>
        <v/>
      </c>
      <c r="AS1619" s="105" t="str">
        <f t="shared" si="719"/>
        <v/>
      </c>
      <c r="AT1619" s="108" t="str">
        <f t="shared" si="720"/>
        <v/>
      </c>
      <c r="AU1619" s="108" t="str">
        <f t="shared" si="721"/>
        <v/>
      </c>
      <c r="AV1619" s="107" t="str">
        <f>IF(ISNUMBER(O1619),IF(VLOOKUP($A1619,Stand!C:J,8,FALSE)="Short",AT1619,AU1619),"")</f>
        <v/>
      </c>
      <c r="AW1619" s="109" t="str">
        <f t="shared" si="727"/>
        <v/>
      </c>
      <c r="AX1619" s="109" t="str">
        <f t="shared" si="728"/>
        <v/>
      </c>
      <c r="AY1619" s="112" t="str">
        <f>IF(ISNUMBER(O1619),IF(AND(VLOOKUP($D1619,Merchantability!$B:$C,2,0)="Yes",$E1619&gt;=VLOOKUP($D1619,Merchantability!$B:$D,3,0),$E1619&lt;=VLOOKUP($D1619,Merchantability!$B:$E,4,0)),(AV1619*O1619)*(1-$H1619/100),""),"")</f>
        <v/>
      </c>
      <c r="AZ1619" s="116"/>
      <c r="BA1619" s="116"/>
      <c r="BB1619" s="116"/>
      <c r="BE1619" s="62"/>
      <c r="BF1619" s="63"/>
    </row>
    <row r="1620" spans="1:58" ht="12.75" customHeight="1" x14ac:dyDescent="0.25">
      <c r="A1620" s="333"/>
      <c r="B1620" s="334"/>
      <c r="C1620" s="332"/>
      <c r="D1620" s="334"/>
      <c r="E1620" s="335"/>
      <c r="F1620" s="334"/>
      <c r="G1620" s="332"/>
      <c r="H1620" s="332"/>
      <c r="I1620" s="334"/>
      <c r="J1620" s="336"/>
      <c r="K1620" s="332"/>
      <c r="L1620" s="332"/>
      <c r="M1620" s="76"/>
      <c r="N1620" s="103" t="str">
        <f>IF(A1620="","",VLOOKUP(A1620,Stand!C:K,9,0))</f>
        <v/>
      </c>
      <c r="O1620" s="104" t="str">
        <f t="shared" si="713"/>
        <v/>
      </c>
      <c r="P1620" s="105" t="str">
        <f t="shared" si="714"/>
        <v/>
      </c>
      <c r="Q1620" s="105" t="str">
        <f t="shared" si="702"/>
        <v/>
      </c>
      <c r="R1620" s="103" t="str">
        <f t="shared" si="715"/>
        <v/>
      </c>
      <c r="S1620" s="103" t="str">
        <f t="shared" si="716"/>
        <v/>
      </c>
      <c r="T1620" s="106" t="str">
        <f t="shared" si="703"/>
        <v/>
      </c>
      <c r="U1620" s="106" t="str">
        <f t="shared" si="704"/>
        <v/>
      </c>
      <c r="V1620" s="106" t="str">
        <f t="shared" si="705"/>
        <v/>
      </c>
      <c r="W1620" s="105" t="str">
        <f t="shared" si="717"/>
        <v/>
      </c>
      <c r="X1620" s="104" t="str">
        <f t="shared" si="722"/>
        <v/>
      </c>
      <c r="Y1620" s="104" t="str">
        <f t="array" ref="Y1620">IFERROR(IF(ISNUMBER(O1620),IF(COUNT(IF(A1620=$A$2:$A$2427,IF(D1620=$D$2:$D$2427,IF($X$2:$X$2427&gt;0,1))))&gt;0,SUM(IF(A1620=$A$2:$A$2427,IF(D1620=$D$2:$D$2427,$X$2:$X$2427)))/COUNT(IF(A1620=$A$2:$A$2427,IF(D1620=$D$2:$D$2427,IF(ISNUMBER($X$2:$X$2427),1)))),0),""),0)</f>
        <v/>
      </c>
      <c r="Z1620" s="104" t="str">
        <f>IF(ISNUMBER(O1620),IF(I1620&gt;0,(10^(VLOOKUP(D1620,'Species Codes'!B:C,2,0)+VLOOKUP(D1620,'Species Codes'!B:D,3,0)*LOG(E1620)+VLOOKUP(D1620,'Species Codes'!B:E,4,0)*LOG(I1620))),0),"")</f>
        <v/>
      </c>
      <c r="AA1620" s="104" t="str">
        <f>IFERROR((VLOOKUP(D1620,'Species Codes'!B:G,6,0)*Z1620)/2000,"")</f>
        <v/>
      </c>
      <c r="AB1620" s="104" t="e">
        <f>IF(Z1620&gt;0,((IF(OR(D1620="DF",D1620="RA")=TRUE,EXP(VLOOKUP(D1620,'Species Codes'!B:I,8,0)+VLOOKUP(D1620,'Species Codes'!B:J,9,0)*(LN((E1620*2.54)))),IF(OR(D1620="PY",D1620="RC",D1620="WH",D1620="NF")=TRUE,VLOOKUP(D1620,'Species Codes'!B:I,8,0)+VLOOKUP(D1620,'Species Codes'!B:J,9,0)*((E1620*2.54)^2)*(I1620*0.3048),IF(OR(D1620="MD",D1620="BM",D1620="GA")=TRUE,((VLOOKUP(D1620,'Species Codes'!B:I,8,0)*(((((E1620*2.54)+VLOOKUP(D1620,'Species Codes'!B:J,9,0))/VLOOKUP(D1620,'Species Codes'!B:K,10,0))^VLOOKUP(D1620,'Species Codes'!B:L,11,0))*((I1620*0.3048)^VLOOKUP(D1620,'Species Codes'!B:M,12,0))))-(VLOOKUP(D1620,'Species Codes'!B:I,8,0)*((((E1620*2.54)^VLOOKUP(D1620,'Species Codes'!B:L,11,0))*((I1620*0.3048)^VLOOKUP(D1620,'Species Codes'!B:M,12,0))))))*35.3*VLOOKUP(D1620,'Species Codes'!B:G,6,0)/2.2046,VLOOKUP(D1620,'Species Codes'!B:I,8,0)+VLOOKUP(D1620,'Species Codes'!B:J,9,0)*(((E1620*2.54)/100)^2)*(I1620*0.3048)))))*0.0011023),0)</f>
        <v>#N/A</v>
      </c>
      <c r="AC1620" s="104" t="e">
        <f>IF(Z1620&gt;0,((IF(OR(D1620="RA",D1620="OA",D1620="OT",D1620="UN",D1620="PC"),EXP(VLOOKUP(D1620,'Species Codes'!B:O,14,0)+VLOOKUP(D1620,'Species Codes'!B:P,15,0)*LN((E1620*2.54)))-EXP(VLOOKUP(D1620,'Species Codes'!B:O,14,0)+VLOOKUP(D1620,'Species Codes'!B:P,15,0)*LN((E1620*2.54)))*(1/(VLOOKUP(D1620,'Species Codes'!B:Q,16,0)+VLOOKUP(D1620,'Species Codes'!B:R,17,0)*((E1620*2.54)^VLOOKUP(D1620,'Species Codes'!B:S,18,0)))),IF(OR(D1620="BM",D1620="MD",D1620="OA"),EXP(VLOOKUP(D1620,'Species Codes'!B:O,14,0)+VLOOKUP(D1620,'Species Codes'!B:P,15,0)*LN((E1620*2.54)))*(1-(1/(VLOOKUP(D1620,'Species Codes'!B:Q,16,0)+VLOOKUP(D1620,'Species Codes'!B:R,17,0)*((E1620*2.54)^VLOOKUP(D1620,'Species Codes'!B:S,18,0)))))/1000,IF(D1620="DF",EXP(VLOOKUP(D1620,'Species Codes'!B:O,14,0)+VLOOKUP(D1620,'Species Codes'!B:P,15,0)*LN((E1620*2.54))),VLOOKUP(D1620,'Species Codes'!B:O,14,0)+VLOOKUP(D1620,'Species Codes'!B:P,15,0)*(((E1620*2.54)/100)^2)*(I1620*0.3048)))))*0.0011023),0)</f>
        <v>#N/A</v>
      </c>
      <c r="AD1620" s="104" t="e">
        <f t="shared" si="706"/>
        <v>#N/A</v>
      </c>
      <c r="AE1620" s="104" t="e">
        <f t="shared" si="707"/>
        <v>#N/A</v>
      </c>
      <c r="AF1620" s="104" t="e">
        <f>IF(AND(VLOOKUP($D1620,Merchantability!$B:$C,2,0)="Yes",$E1620&gt;=VLOOKUP($D1620,Merchantability!$B:$D,3,0),$E1620&lt;=VLOOKUP($D1620,Merchantability!$B:$E,4,0)),AA1620,0)</f>
        <v>#N/A</v>
      </c>
      <c r="AG1620" s="104" t="e">
        <f>IF(AND(VLOOKUP($D1620,Merchantability!$B:$C,2,0)="Yes",$E1620&gt;=VLOOKUP($D1620,Merchantability!$B:$D,3,0),$E1620&lt;=VLOOKUP($D1620,Merchantability!$B:$E,4,0)),AB1620,0)</f>
        <v>#N/A</v>
      </c>
      <c r="AH1620" s="104" t="e">
        <f>IF(AND(VLOOKUP($D1620,Merchantability!$B:$C,2,0)="Yes",$E1620&gt;=VLOOKUP($D1620,Merchantability!$B:$D,3,0),$E1620&lt;=VLOOKUP($D1620,Merchantability!$B:$E,4,0)),AC1620,0)</f>
        <v>#N/A</v>
      </c>
      <c r="AI1620" s="104" t="e">
        <f t="shared" si="708"/>
        <v>#N/A</v>
      </c>
      <c r="AJ1620" s="104" t="e">
        <f t="shared" si="709"/>
        <v>#VALUE!</v>
      </c>
      <c r="AK1620" s="104" t="e">
        <f t="shared" si="710"/>
        <v>#N/A</v>
      </c>
      <c r="AL1620" s="104" t="e">
        <f t="shared" si="711"/>
        <v>#N/A</v>
      </c>
      <c r="AM1620" s="104" t="e">
        <f t="shared" si="712"/>
        <v>#N/A</v>
      </c>
      <c r="AN1620" s="104" t="e">
        <f t="shared" si="723"/>
        <v>#N/A</v>
      </c>
      <c r="AO1620" s="104" t="e">
        <f t="shared" si="724"/>
        <v>#N/A</v>
      </c>
      <c r="AP1620" s="104" t="e">
        <f t="shared" si="725"/>
        <v>#N/A</v>
      </c>
      <c r="AQ1620" s="104" t="e">
        <f t="shared" si="726"/>
        <v>#N/A</v>
      </c>
      <c r="AR1620" s="105" t="str">
        <f t="shared" si="718"/>
        <v/>
      </c>
      <c r="AS1620" s="105" t="str">
        <f t="shared" si="719"/>
        <v/>
      </c>
      <c r="AT1620" s="108" t="str">
        <f t="shared" si="720"/>
        <v/>
      </c>
      <c r="AU1620" s="108" t="str">
        <f t="shared" si="721"/>
        <v/>
      </c>
      <c r="AV1620" s="107" t="str">
        <f>IF(ISNUMBER(O1620),IF(VLOOKUP($A1620,Stand!C:J,8,FALSE)="Short",AT1620,AU1620),"")</f>
        <v/>
      </c>
      <c r="AW1620" s="109" t="str">
        <f t="shared" si="727"/>
        <v/>
      </c>
      <c r="AX1620" s="109" t="str">
        <f t="shared" si="728"/>
        <v/>
      </c>
      <c r="AY1620" s="112" t="str">
        <f>IF(ISNUMBER(O1620),IF(AND(VLOOKUP($D1620,Merchantability!$B:$C,2,0)="Yes",$E1620&gt;=VLOOKUP($D1620,Merchantability!$B:$D,3,0),$E1620&lt;=VLOOKUP($D1620,Merchantability!$B:$E,4,0)),(AV1620*O1620)*(1-$H1620/100),""),"")</f>
        <v/>
      </c>
      <c r="AZ1620" s="116"/>
      <c r="BA1620" s="116"/>
      <c r="BB1620" s="116"/>
      <c r="BE1620" s="62"/>
      <c r="BF1620" s="63"/>
    </row>
    <row r="1621" spans="1:58" ht="12.75" customHeight="1" x14ac:dyDescent="0.25">
      <c r="A1621" s="333"/>
      <c r="B1621" s="334"/>
      <c r="C1621" s="332"/>
      <c r="D1621" s="334"/>
      <c r="E1621" s="335"/>
      <c r="F1621" s="334"/>
      <c r="G1621" s="332"/>
      <c r="H1621" s="332"/>
      <c r="I1621" s="334"/>
      <c r="J1621" s="336"/>
      <c r="K1621" s="332"/>
      <c r="L1621" s="332"/>
      <c r="M1621" s="76"/>
      <c r="N1621" s="103" t="str">
        <f>IF(A1621="","",VLOOKUP(A1621,Stand!C:K,9,0))</f>
        <v/>
      </c>
      <c r="O1621" s="104" t="str">
        <f t="shared" si="713"/>
        <v/>
      </c>
      <c r="P1621" s="105" t="str">
        <f t="shared" si="714"/>
        <v/>
      </c>
      <c r="Q1621" s="105" t="str">
        <f t="shared" si="702"/>
        <v/>
      </c>
      <c r="R1621" s="103" t="str">
        <f t="shared" si="715"/>
        <v/>
      </c>
      <c r="S1621" s="103" t="str">
        <f t="shared" si="716"/>
        <v/>
      </c>
      <c r="T1621" s="106" t="str">
        <f t="shared" si="703"/>
        <v/>
      </c>
      <c r="U1621" s="106" t="str">
        <f t="shared" si="704"/>
        <v/>
      </c>
      <c r="V1621" s="106" t="str">
        <f t="shared" si="705"/>
        <v/>
      </c>
      <c r="W1621" s="105" t="str">
        <f t="shared" si="717"/>
        <v/>
      </c>
      <c r="X1621" s="104" t="str">
        <f t="shared" si="722"/>
        <v/>
      </c>
      <c r="Y1621" s="104" t="str">
        <f t="array" ref="Y1621">IFERROR(IF(ISNUMBER(O1621),IF(COUNT(IF(A1621=$A$2:$A$2427,IF(D1621=$D$2:$D$2427,IF($X$2:$X$2427&gt;0,1))))&gt;0,SUM(IF(A1621=$A$2:$A$2427,IF(D1621=$D$2:$D$2427,$X$2:$X$2427)))/COUNT(IF(A1621=$A$2:$A$2427,IF(D1621=$D$2:$D$2427,IF(ISNUMBER($X$2:$X$2427),1)))),0),""),0)</f>
        <v/>
      </c>
      <c r="Z1621" s="104" t="str">
        <f>IF(ISNUMBER(O1621),IF(I1621&gt;0,(10^(VLOOKUP(D1621,'Species Codes'!B:C,2,0)+VLOOKUP(D1621,'Species Codes'!B:D,3,0)*LOG(E1621)+VLOOKUP(D1621,'Species Codes'!B:E,4,0)*LOG(I1621))),0),"")</f>
        <v/>
      </c>
      <c r="AA1621" s="104" t="str">
        <f>IFERROR((VLOOKUP(D1621,'Species Codes'!B:G,6,0)*Z1621)/2000,"")</f>
        <v/>
      </c>
      <c r="AB1621" s="104" t="e">
        <f>IF(Z1621&gt;0,((IF(OR(D1621="DF",D1621="RA")=TRUE,EXP(VLOOKUP(D1621,'Species Codes'!B:I,8,0)+VLOOKUP(D1621,'Species Codes'!B:J,9,0)*(LN((E1621*2.54)))),IF(OR(D1621="PY",D1621="RC",D1621="WH",D1621="NF")=TRUE,VLOOKUP(D1621,'Species Codes'!B:I,8,0)+VLOOKUP(D1621,'Species Codes'!B:J,9,0)*((E1621*2.54)^2)*(I1621*0.3048),IF(OR(D1621="MD",D1621="BM",D1621="GA")=TRUE,((VLOOKUP(D1621,'Species Codes'!B:I,8,0)*(((((E1621*2.54)+VLOOKUP(D1621,'Species Codes'!B:J,9,0))/VLOOKUP(D1621,'Species Codes'!B:K,10,0))^VLOOKUP(D1621,'Species Codes'!B:L,11,0))*((I1621*0.3048)^VLOOKUP(D1621,'Species Codes'!B:M,12,0))))-(VLOOKUP(D1621,'Species Codes'!B:I,8,0)*((((E1621*2.54)^VLOOKUP(D1621,'Species Codes'!B:L,11,0))*((I1621*0.3048)^VLOOKUP(D1621,'Species Codes'!B:M,12,0))))))*35.3*VLOOKUP(D1621,'Species Codes'!B:G,6,0)/2.2046,VLOOKUP(D1621,'Species Codes'!B:I,8,0)+VLOOKUP(D1621,'Species Codes'!B:J,9,0)*(((E1621*2.54)/100)^2)*(I1621*0.3048)))))*0.0011023),0)</f>
        <v>#N/A</v>
      </c>
      <c r="AC1621" s="104" t="e">
        <f>IF(Z1621&gt;0,((IF(OR(D1621="RA",D1621="OA",D1621="OT",D1621="UN",D1621="PC"),EXP(VLOOKUP(D1621,'Species Codes'!B:O,14,0)+VLOOKUP(D1621,'Species Codes'!B:P,15,0)*LN((E1621*2.54)))-EXP(VLOOKUP(D1621,'Species Codes'!B:O,14,0)+VLOOKUP(D1621,'Species Codes'!B:P,15,0)*LN((E1621*2.54)))*(1/(VLOOKUP(D1621,'Species Codes'!B:Q,16,0)+VLOOKUP(D1621,'Species Codes'!B:R,17,0)*((E1621*2.54)^VLOOKUP(D1621,'Species Codes'!B:S,18,0)))),IF(OR(D1621="BM",D1621="MD",D1621="OA"),EXP(VLOOKUP(D1621,'Species Codes'!B:O,14,0)+VLOOKUP(D1621,'Species Codes'!B:P,15,0)*LN((E1621*2.54)))*(1-(1/(VLOOKUP(D1621,'Species Codes'!B:Q,16,0)+VLOOKUP(D1621,'Species Codes'!B:R,17,0)*((E1621*2.54)^VLOOKUP(D1621,'Species Codes'!B:S,18,0)))))/1000,IF(D1621="DF",EXP(VLOOKUP(D1621,'Species Codes'!B:O,14,0)+VLOOKUP(D1621,'Species Codes'!B:P,15,0)*LN((E1621*2.54))),VLOOKUP(D1621,'Species Codes'!B:O,14,0)+VLOOKUP(D1621,'Species Codes'!B:P,15,0)*(((E1621*2.54)/100)^2)*(I1621*0.3048)))))*0.0011023),0)</f>
        <v>#N/A</v>
      </c>
      <c r="AD1621" s="104" t="e">
        <f t="shared" si="706"/>
        <v>#N/A</v>
      </c>
      <c r="AE1621" s="104" t="e">
        <f t="shared" si="707"/>
        <v>#N/A</v>
      </c>
      <c r="AF1621" s="104" t="e">
        <f>IF(AND(VLOOKUP($D1621,Merchantability!$B:$C,2,0)="Yes",$E1621&gt;=VLOOKUP($D1621,Merchantability!$B:$D,3,0),$E1621&lt;=VLOOKUP($D1621,Merchantability!$B:$E,4,0)),AA1621,0)</f>
        <v>#N/A</v>
      </c>
      <c r="AG1621" s="104" t="e">
        <f>IF(AND(VLOOKUP($D1621,Merchantability!$B:$C,2,0)="Yes",$E1621&gt;=VLOOKUP($D1621,Merchantability!$B:$D,3,0),$E1621&lt;=VLOOKUP($D1621,Merchantability!$B:$E,4,0)),AB1621,0)</f>
        <v>#N/A</v>
      </c>
      <c r="AH1621" s="104" t="e">
        <f>IF(AND(VLOOKUP($D1621,Merchantability!$B:$C,2,0)="Yes",$E1621&gt;=VLOOKUP($D1621,Merchantability!$B:$D,3,0),$E1621&lt;=VLOOKUP($D1621,Merchantability!$B:$E,4,0)),AC1621,0)</f>
        <v>#N/A</v>
      </c>
      <c r="AI1621" s="104" t="e">
        <f t="shared" si="708"/>
        <v>#N/A</v>
      </c>
      <c r="AJ1621" s="104" t="e">
        <f t="shared" si="709"/>
        <v>#VALUE!</v>
      </c>
      <c r="AK1621" s="104" t="e">
        <f t="shared" si="710"/>
        <v>#N/A</v>
      </c>
      <c r="AL1621" s="104" t="e">
        <f t="shared" si="711"/>
        <v>#N/A</v>
      </c>
      <c r="AM1621" s="104" t="e">
        <f t="shared" si="712"/>
        <v>#N/A</v>
      </c>
      <c r="AN1621" s="104" t="e">
        <f t="shared" si="723"/>
        <v>#N/A</v>
      </c>
      <c r="AO1621" s="104" t="e">
        <f t="shared" si="724"/>
        <v>#N/A</v>
      </c>
      <c r="AP1621" s="104" t="e">
        <f t="shared" si="725"/>
        <v>#N/A</v>
      </c>
      <c r="AQ1621" s="104" t="e">
        <f t="shared" si="726"/>
        <v>#N/A</v>
      </c>
      <c r="AR1621" s="105" t="str">
        <f t="shared" si="718"/>
        <v/>
      </c>
      <c r="AS1621" s="105" t="str">
        <f t="shared" si="719"/>
        <v/>
      </c>
      <c r="AT1621" s="108" t="str">
        <f t="shared" si="720"/>
        <v/>
      </c>
      <c r="AU1621" s="108" t="str">
        <f t="shared" si="721"/>
        <v/>
      </c>
      <c r="AV1621" s="107" t="str">
        <f>IF(ISNUMBER(O1621),IF(VLOOKUP($A1621,Stand!C:J,8,FALSE)="Short",AT1621,AU1621),"")</f>
        <v/>
      </c>
      <c r="AW1621" s="109" t="str">
        <f t="shared" si="727"/>
        <v/>
      </c>
      <c r="AX1621" s="109" t="str">
        <f t="shared" si="728"/>
        <v/>
      </c>
      <c r="AY1621" s="112" t="str">
        <f>IF(ISNUMBER(O1621),IF(AND(VLOOKUP($D1621,Merchantability!$B:$C,2,0)="Yes",$E1621&gt;=VLOOKUP($D1621,Merchantability!$B:$D,3,0),$E1621&lt;=VLOOKUP($D1621,Merchantability!$B:$E,4,0)),(AV1621*O1621)*(1-$H1621/100),""),"")</f>
        <v/>
      </c>
      <c r="AZ1621" s="116"/>
      <c r="BA1621" s="116"/>
      <c r="BB1621" s="116"/>
      <c r="BE1621" s="62"/>
      <c r="BF1621" s="63"/>
    </row>
    <row r="1622" spans="1:58" ht="12.75" customHeight="1" x14ac:dyDescent="0.25">
      <c r="A1622" s="333"/>
      <c r="B1622" s="334"/>
      <c r="C1622" s="332"/>
      <c r="D1622" s="334"/>
      <c r="E1622" s="335"/>
      <c r="F1622" s="334"/>
      <c r="G1622" s="332"/>
      <c r="H1622" s="332"/>
      <c r="I1622" s="334"/>
      <c r="J1622" s="336"/>
      <c r="K1622" s="332"/>
      <c r="L1622" s="332"/>
      <c r="M1622" s="76"/>
      <c r="N1622" s="103" t="str">
        <f>IF(A1622="","",VLOOKUP(A1622,Stand!C:K,9,0))</f>
        <v/>
      </c>
      <c r="O1622" s="104" t="str">
        <f t="shared" si="713"/>
        <v/>
      </c>
      <c r="P1622" s="105" t="str">
        <f t="shared" si="714"/>
        <v/>
      </c>
      <c r="Q1622" s="105" t="str">
        <f t="shared" si="702"/>
        <v/>
      </c>
      <c r="R1622" s="103" t="str">
        <f t="shared" si="715"/>
        <v/>
      </c>
      <c r="S1622" s="103" t="str">
        <f t="shared" si="716"/>
        <v/>
      </c>
      <c r="T1622" s="106" t="str">
        <f t="shared" si="703"/>
        <v/>
      </c>
      <c r="U1622" s="106" t="str">
        <f t="shared" si="704"/>
        <v/>
      </c>
      <c r="V1622" s="106" t="str">
        <f t="shared" si="705"/>
        <v/>
      </c>
      <c r="W1622" s="105" t="str">
        <f t="shared" si="717"/>
        <v/>
      </c>
      <c r="X1622" s="104" t="str">
        <f t="shared" si="722"/>
        <v/>
      </c>
      <c r="Y1622" s="104" t="str">
        <f t="array" ref="Y1622">IFERROR(IF(ISNUMBER(O1622),IF(COUNT(IF(A1622=$A$2:$A$2427,IF(D1622=$D$2:$D$2427,IF($X$2:$X$2427&gt;0,1))))&gt;0,SUM(IF(A1622=$A$2:$A$2427,IF(D1622=$D$2:$D$2427,$X$2:$X$2427)))/COUNT(IF(A1622=$A$2:$A$2427,IF(D1622=$D$2:$D$2427,IF(ISNUMBER($X$2:$X$2427),1)))),0),""),0)</f>
        <v/>
      </c>
      <c r="Z1622" s="104" t="str">
        <f>IF(ISNUMBER(O1622),IF(I1622&gt;0,(10^(VLOOKUP(D1622,'Species Codes'!B:C,2,0)+VLOOKUP(D1622,'Species Codes'!B:D,3,0)*LOG(E1622)+VLOOKUP(D1622,'Species Codes'!B:E,4,0)*LOG(I1622))),0),"")</f>
        <v/>
      </c>
      <c r="AA1622" s="104" t="str">
        <f>IFERROR((VLOOKUP(D1622,'Species Codes'!B:G,6,0)*Z1622)/2000,"")</f>
        <v/>
      </c>
      <c r="AB1622" s="104" t="e">
        <f>IF(Z1622&gt;0,((IF(OR(D1622="DF",D1622="RA")=TRUE,EXP(VLOOKUP(D1622,'Species Codes'!B:I,8,0)+VLOOKUP(D1622,'Species Codes'!B:J,9,0)*(LN((E1622*2.54)))),IF(OR(D1622="PY",D1622="RC",D1622="WH",D1622="NF")=TRUE,VLOOKUP(D1622,'Species Codes'!B:I,8,0)+VLOOKUP(D1622,'Species Codes'!B:J,9,0)*((E1622*2.54)^2)*(I1622*0.3048),IF(OR(D1622="MD",D1622="BM",D1622="GA")=TRUE,((VLOOKUP(D1622,'Species Codes'!B:I,8,0)*(((((E1622*2.54)+VLOOKUP(D1622,'Species Codes'!B:J,9,0))/VLOOKUP(D1622,'Species Codes'!B:K,10,0))^VLOOKUP(D1622,'Species Codes'!B:L,11,0))*((I1622*0.3048)^VLOOKUP(D1622,'Species Codes'!B:M,12,0))))-(VLOOKUP(D1622,'Species Codes'!B:I,8,0)*((((E1622*2.54)^VLOOKUP(D1622,'Species Codes'!B:L,11,0))*((I1622*0.3048)^VLOOKUP(D1622,'Species Codes'!B:M,12,0))))))*35.3*VLOOKUP(D1622,'Species Codes'!B:G,6,0)/2.2046,VLOOKUP(D1622,'Species Codes'!B:I,8,0)+VLOOKUP(D1622,'Species Codes'!B:J,9,0)*(((E1622*2.54)/100)^2)*(I1622*0.3048)))))*0.0011023),0)</f>
        <v>#N/A</v>
      </c>
      <c r="AC1622" s="104" t="e">
        <f>IF(Z1622&gt;0,((IF(OR(D1622="RA",D1622="OA",D1622="OT",D1622="UN",D1622="PC"),EXP(VLOOKUP(D1622,'Species Codes'!B:O,14,0)+VLOOKUP(D1622,'Species Codes'!B:P,15,0)*LN((E1622*2.54)))-EXP(VLOOKUP(D1622,'Species Codes'!B:O,14,0)+VLOOKUP(D1622,'Species Codes'!B:P,15,0)*LN((E1622*2.54)))*(1/(VLOOKUP(D1622,'Species Codes'!B:Q,16,0)+VLOOKUP(D1622,'Species Codes'!B:R,17,0)*((E1622*2.54)^VLOOKUP(D1622,'Species Codes'!B:S,18,0)))),IF(OR(D1622="BM",D1622="MD",D1622="OA"),EXP(VLOOKUP(D1622,'Species Codes'!B:O,14,0)+VLOOKUP(D1622,'Species Codes'!B:P,15,0)*LN((E1622*2.54)))*(1-(1/(VLOOKUP(D1622,'Species Codes'!B:Q,16,0)+VLOOKUP(D1622,'Species Codes'!B:R,17,0)*((E1622*2.54)^VLOOKUP(D1622,'Species Codes'!B:S,18,0)))))/1000,IF(D1622="DF",EXP(VLOOKUP(D1622,'Species Codes'!B:O,14,0)+VLOOKUP(D1622,'Species Codes'!B:P,15,0)*LN((E1622*2.54))),VLOOKUP(D1622,'Species Codes'!B:O,14,0)+VLOOKUP(D1622,'Species Codes'!B:P,15,0)*(((E1622*2.54)/100)^2)*(I1622*0.3048)))))*0.0011023),0)</f>
        <v>#N/A</v>
      </c>
      <c r="AD1622" s="104" t="e">
        <f t="shared" si="706"/>
        <v>#N/A</v>
      </c>
      <c r="AE1622" s="104" t="e">
        <f t="shared" si="707"/>
        <v>#N/A</v>
      </c>
      <c r="AF1622" s="104" t="e">
        <f>IF(AND(VLOOKUP($D1622,Merchantability!$B:$C,2,0)="Yes",$E1622&gt;=VLOOKUP($D1622,Merchantability!$B:$D,3,0),$E1622&lt;=VLOOKUP($D1622,Merchantability!$B:$E,4,0)),AA1622,0)</f>
        <v>#N/A</v>
      </c>
      <c r="AG1622" s="104" t="e">
        <f>IF(AND(VLOOKUP($D1622,Merchantability!$B:$C,2,0)="Yes",$E1622&gt;=VLOOKUP($D1622,Merchantability!$B:$D,3,0),$E1622&lt;=VLOOKUP($D1622,Merchantability!$B:$E,4,0)),AB1622,0)</f>
        <v>#N/A</v>
      </c>
      <c r="AH1622" s="104" t="e">
        <f>IF(AND(VLOOKUP($D1622,Merchantability!$B:$C,2,0)="Yes",$E1622&gt;=VLOOKUP($D1622,Merchantability!$B:$D,3,0),$E1622&lt;=VLOOKUP($D1622,Merchantability!$B:$E,4,0)),AC1622,0)</f>
        <v>#N/A</v>
      </c>
      <c r="AI1622" s="104" t="e">
        <f t="shared" si="708"/>
        <v>#N/A</v>
      </c>
      <c r="AJ1622" s="104" t="e">
        <f t="shared" si="709"/>
        <v>#VALUE!</v>
      </c>
      <c r="AK1622" s="104" t="e">
        <f t="shared" si="710"/>
        <v>#N/A</v>
      </c>
      <c r="AL1622" s="104" t="e">
        <f t="shared" si="711"/>
        <v>#N/A</v>
      </c>
      <c r="AM1622" s="104" t="e">
        <f t="shared" si="712"/>
        <v>#N/A</v>
      </c>
      <c r="AN1622" s="104" t="e">
        <f t="shared" si="723"/>
        <v>#N/A</v>
      </c>
      <c r="AO1622" s="104" t="e">
        <f t="shared" si="724"/>
        <v>#N/A</v>
      </c>
      <c r="AP1622" s="104" t="e">
        <f t="shared" si="725"/>
        <v>#N/A</v>
      </c>
      <c r="AQ1622" s="104" t="e">
        <f t="shared" si="726"/>
        <v>#N/A</v>
      </c>
      <c r="AR1622" s="105" t="str">
        <f t="shared" si="718"/>
        <v/>
      </c>
      <c r="AS1622" s="105" t="str">
        <f t="shared" si="719"/>
        <v/>
      </c>
      <c r="AT1622" s="108" t="str">
        <f t="shared" si="720"/>
        <v/>
      </c>
      <c r="AU1622" s="108" t="str">
        <f t="shared" si="721"/>
        <v/>
      </c>
      <c r="AV1622" s="107" t="str">
        <f>IF(ISNUMBER(O1622),IF(VLOOKUP($A1622,Stand!C:J,8,FALSE)="Short",AT1622,AU1622),"")</f>
        <v/>
      </c>
      <c r="AW1622" s="109" t="str">
        <f t="shared" si="727"/>
        <v/>
      </c>
      <c r="AX1622" s="109" t="str">
        <f t="shared" si="728"/>
        <v/>
      </c>
      <c r="AY1622" s="112" t="str">
        <f>IF(ISNUMBER(O1622),IF(AND(VLOOKUP($D1622,Merchantability!$B:$C,2,0)="Yes",$E1622&gt;=VLOOKUP($D1622,Merchantability!$B:$D,3,0),$E1622&lt;=VLOOKUP($D1622,Merchantability!$B:$E,4,0)),(AV1622*O1622)*(1-$H1622/100),""),"")</f>
        <v/>
      </c>
      <c r="AZ1622" s="116"/>
      <c r="BA1622" s="116"/>
      <c r="BB1622" s="116"/>
      <c r="BE1622" s="62"/>
      <c r="BF1622" s="63"/>
    </row>
    <row r="1623" spans="1:58" ht="12.75" customHeight="1" x14ac:dyDescent="0.25">
      <c r="A1623" s="333"/>
      <c r="B1623" s="334"/>
      <c r="C1623" s="332"/>
      <c r="D1623" s="334"/>
      <c r="E1623" s="335"/>
      <c r="F1623" s="334"/>
      <c r="G1623" s="332"/>
      <c r="H1623" s="332"/>
      <c r="I1623" s="334"/>
      <c r="J1623" s="336"/>
      <c r="K1623" s="332"/>
      <c r="L1623" s="332"/>
      <c r="M1623" s="76"/>
      <c r="N1623" s="103" t="str">
        <f>IF(A1623="","",VLOOKUP(A1623,Stand!C:K,9,0))</f>
        <v/>
      </c>
      <c r="O1623" s="104" t="str">
        <f t="shared" si="713"/>
        <v/>
      </c>
      <c r="P1623" s="105" t="str">
        <f t="shared" si="714"/>
        <v/>
      </c>
      <c r="Q1623" s="105" t="str">
        <f t="shared" si="702"/>
        <v/>
      </c>
      <c r="R1623" s="103" t="str">
        <f t="shared" si="715"/>
        <v/>
      </c>
      <c r="S1623" s="103" t="str">
        <f t="shared" si="716"/>
        <v/>
      </c>
      <c r="T1623" s="106" t="str">
        <f t="shared" si="703"/>
        <v/>
      </c>
      <c r="U1623" s="106" t="str">
        <f t="shared" si="704"/>
        <v/>
      </c>
      <c r="V1623" s="106" t="str">
        <f t="shared" si="705"/>
        <v/>
      </c>
      <c r="W1623" s="105" t="str">
        <f t="shared" si="717"/>
        <v/>
      </c>
      <c r="X1623" s="104" t="str">
        <f t="shared" si="722"/>
        <v/>
      </c>
      <c r="Y1623" s="104" t="str">
        <f t="array" ref="Y1623">IFERROR(IF(ISNUMBER(O1623),IF(COUNT(IF(A1623=$A$2:$A$2427,IF(D1623=$D$2:$D$2427,IF($X$2:$X$2427&gt;0,1))))&gt;0,SUM(IF(A1623=$A$2:$A$2427,IF(D1623=$D$2:$D$2427,$X$2:$X$2427)))/COUNT(IF(A1623=$A$2:$A$2427,IF(D1623=$D$2:$D$2427,IF(ISNUMBER($X$2:$X$2427),1)))),0),""),0)</f>
        <v/>
      </c>
      <c r="Z1623" s="104" t="str">
        <f>IF(ISNUMBER(O1623),IF(I1623&gt;0,(10^(VLOOKUP(D1623,'Species Codes'!B:C,2,0)+VLOOKUP(D1623,'Species Codes'!B:D,3,0)*LOG(E1623)+VLOOKUP(D1623,'Species Codes'!B:E,4,0)*LOG(I1623))),0),"")</f>
        <v/>
      </c>
      <c r="AA1623" s="104" t="str">
        <f>IFERROR((VLOOKUP(D1623,'Species Codes'!B:G,6,0)*Z1623)/2000,"")</f>
        <v/>
      </c>
      <c r="AB1623" s="104" t="e">
        <f>IF(Z1623&gt;0,((IF(OR(D1623="DF",D1623="RA")=TRUE,EXP(VLOOKUP(D1623,'Species Codes'!B:I,8,0)+VLOOKUP(D1623,'Species Codes'!B:J,9,0)*(LN((E1623*2.54)))),IF(OR(D1623="PY",D1623="RC",D1623="WH",D1623="NF")=TRUE,VLOOKUP(D1623,'Species Codes'!B:I,8,0)+VLOOKUP(D1623,'Species Codes'!B:J,9,0)*((E1623*2.54)^2)*(I1623*0.3048),IF(OR(D1623="MD",D1623="BM",D1623="GA")=TRUE,((VLOOKUP(D1623,'Species Codes'!B:I,8,0)*(((((E1623*2.54)+VLOOKUP(D1623,'Species Codes'!B:J,9,0))/VLOOKUP(D1623,'Species Codes'!B:K,10,0))^VLOOKUP(D1623,'Species Codes'!B:L,11,0))*((I1623*0.3048)^VLOOKUP(D1623,'Species Codes'!B:M,12,0))))-(VLOOKUP(D1623,'Species Codes'!B:I,8,0)*((((E1623*2.54)^VLOOKUP(D1623,'Species Codes'!B:L,11,0))*((I1623*0.3048)^VLOOKUP(D1623,'Species Codes'!B:M,12,0))))))*35.3*VLOOKUP(D1623,'Species Codes'!B:G,6,0)/2.2046,VLOOKUP(D1623,'Species Codes'!B:I,8,0)+VLOOKUP(D1623,'Species Codes'!B:J,9,0)*(((E1623*2.54)/100)^2)*(I1623*0.3048)))))*0.0011023),0)</f>
        <v>#N/A</v>
      </c>
      <c r="AC1623" s="104" t="e">
        <f>IF(Z1623&gt;0,((IF(OR(D1623="RA",D1623="OA",D1623="OT",D1623="UN",D1623="PC"),EXP(VLOOKUP(D1623,'Species Codes'!B:O,14,0)+VLOOKUP(D1623,'Species Codes'!B:P,15,0)*LN((E1623*2.54)))-EXP(VLOOKUP(D1623,'Species Codes'!B:O,14,0)+VLOOKUP(D1623,'Species Codes'!B:P,15,0)*LN((E1623*2.54)))*(1/(VLOOKUP(D1623,'Species Codes'!B:Q,16,0)+VLOOKUP(D1623,'Species Codes'!B:R,17,0)*((E1623*2.54)^VLOOKUP(D1623,'Species Codes'!B:S,18,0)))),IF(OR(D1623="BM",D1623="MD",D1623="OA"),EXP(VLOOKUP(D1623,'Species Codes'!B:O,14,0)+VLOOKUP(D1623,'Species Codes'!B:P,15,0)*LN((E1623*2.54)))*(1-(1/(VLOOKUP(D1623,'Species Codes'!B:Q,16,0)+VLOOKUP(D1623,'Species Codes'!B:R,17,0)*((E1623*2.54)^VLOOKUP(D1623,'Species Codes'!B:S,18,0)))))/1000,IF(D1623="DF",EXP(VLOOKUP(D1623,'Species Codes'!B:O,14,0)+VLOOKUP(D1623,'Species Codes'!B:P,15,0)*LN((E1623*2.54))),VLOOKUP(D1623,'Species Codes'!B:O,14,0)+VLOOKUP(D1623,'Species Codes'!B:P,15,0)*(((E1623*2.54)/100)^2)*(I1623*0.3048)))))*0.0011023),0)</f>
        <v>#N/A</v>
      </c>
      <c r="AD1623" s="104" t="e">
        <f t="shared" si="706"/>
        <v>#N/A</v>
      </c>
      <c r="AE1623" s="104" t="e">
        <f t="shared" si="707"/>
        <v>#N/A</v>
      </c>
      <c r="AF1623" s="104" t="e">
        <f>IF(AND(VLOOKUP($D1623,Merchantability!$B:$C,2,0)="Yes",$E1623&gt;=VLOOKUP($D1623,Merchantability!$B:$D,3,0),$E1623&lt;=VLOOKUP($D1623,Merchantability!$B:$E,4,0)),AA1623,0)</f>
        <v>#N/A</v>
      </c>
      <c r="AG1623" s="104" t="e">
        <f>IF(AND(VLOOKUP($D1623,Merchantability!$B:$C,2,0)="Yes",$E1623&gt;=VLOOKUP($D1623,Merchantability!$B:$D,3,0),$E1623&lt;=VLOOKUP($D1623,Merchantability!$B:$E,4,0)),AB1623,0)</f>
        <v>#N/A</v>
      </c>
      <c r="AH1623" s="104" t="e">
        <f>IF(AND(VLOOKUP($D1623,Merchantability!$B:$C,2,0)="Yes",$E1623&gt;=VLOOKUP($D1623,Merchantability!$B:$D,3,0),$E1623&lt;=VLOOKUP($D1623,Merchantability!$B:$E,4,0)),AC1623,0)</f>
        <v>#N/A</v>
      </c>
      <c r="AI1623" s="104" t="e">
        <f t="shared" si="708"/>
        <v>#N/A</v>
      </c>
      <c r="AJ1623" s="104" t="e">
        <f t="shared" si="709"/>
        <v>#VALUE!</v>
      </c>
      <c r="AK1623" s="104" t="e">
        <f t="shared" si="710"/>
        <v>#N/A</v>
      </c>
      <c r="AL1623" s="104" t="e">
        <f t="shared" si="711"/>
        <v>#N/A</v>
      </c>
      <c r="AM1623" s="104" t="e">
        <f t="shared" si="712"/>
        <v>#N/A</v>
      </c>
      <c r="AN1623" s="104" t="e">
        <f t="shared" si="723"/>
        <v>#N/A</v>
      </c>
      <c r="AO1623" s="104" t="e">
        <f t="shared" si="724"/>
        <v>#N/A</v>
      </c>
      <c r="AP1623" s="104" t="e">
        <f t="shared" si="725"/>
        <v>#N/A</v>
      </c>
      <c r="AQ1623" s="104" t="e">
        <f t="shared" si="726"/>
        <v>#N/A</v>
      </c>
      <c r="AR1623" s="105" t="str">
        <f t="shared" si="718"/>
        <v/>
      </c>
      <c r="AS1623" s="105" t="str">
        <f t="shared" si="719"/>
        <v/>
      </c>
      <c r="AT1623" s="108" t="str">
        <f t="shared" si="720"/>
        <v/>
      </c>
      <c r="AU1623" s="108" t="str">
        <f t="shared" si="721"/>
        <v/>
      </c>
      <c r="AV1623" s="107" t="str">
        <f>IF(ISNUMBER(O1623),IF(VLOOKUP($A1623,Stand!C:J,8,FALSE)="Short",AT1623,AU1623),"")</f>
        <v/>
      </c>
      <c r="AW1623" s="109" t="str">
        <f t="shared" si="727"/>
        <v/>
      </c>
      <c r="AX1623" s="109" t="str">
        <f t="shared" si="728"/>
        <v/>
      </c>
      <c r="AY1623" s="112" t="str">
        <f>IF(ISNUMBER(O1623),IF(AND(VLOOKUP($D1623,Merchantability!$B:$C,2,0)="Yes",$E1623&gt;=VLOOKUP($D1623,Merchantability!$B:$D,3,0),$E1623&lt;=VLOOKUP($D1623,Merchantability!$B:$E,4,0)),(AV1623*O1623)*(1-$H1623/100),""),"")</f>
        <v/>
      </c>
      <c r="AZ1623" s="116"/>
      <c r="BA1623" s="116"/>
      <c r="BB1623" s="116"/>
      <c r="BE1623" s="62"/>
      <c r="BF1623" s="63"/>
    </row>
    <row r="1624" spans="1:58" ht="12.75" customHeight="1" x14ac:dyDescent="0.25">
      <c r="A1624" s="333"/>
      <c r="B1624" s="334"/>
      <c r="C1624" s="332"/>
      <c r="D1624" s="334"/>
      <c r="E1624" s="335"/>
      <c r="F1624" s="334"/>
      <c r="G1624" s="332"/>
      <c r="H1624" s="332"/>
      <c r="I1624" s="334"/>
      <c r="J1624" s="336"/>
      <c r="K1624" s="332"/>
      <c r="L1624" s="332"/>
      <c r="M1624" s="76"/>
      <c r="N1624" s="103" t="str">
        <f>IF(A1624="","",VLOOKUP(A1624,Stand!C:K,9,0))</f>
        <v/>
      </c>
      <c r="O1624" s="104" t="str">
        <f t="shared" si="713"/>
        <v/>
      </c>
      <c r="P1624" s="105" t="str">
        <f t="shared" si="714"/>
        <v/>
      </c>
      <c r="Q1624" s="105" t="str">
        <f t="shared" si="702"/>
        <v/>
      </c>
      <c r="R1624" s="103" t="str">
        <f t="shared" si="715"/>
        <v/>
      </c>
      <c r="S1624" s="103" t="str">
        <f t="shared" si="716"/>
        <v/>
      </c>
      <c r="T1624" s="106" t="str">
        <f t="shared" si="703"/>
        <v/>
      </c>
      <c r="U1624" s="106" t="str">
        <f t="shared" si="704"/>
        <v/>
      </c>
      <c r="V1624" s="106" t="str">
        <f t="shared" si="705"/>
        <v/>
      </c>
      <c r="W1624" s="105" t="str">
        <f t="shared" si="717"/>
        <v/>
      </c>
      <c r="X1624" s="104" t="str">
        <f t="shared" si="722"/>
        <v/>
      </c>
      <c r="Y1624" s="104" t="str">
        <f t="array" ref="Y1624">IFERROR(IF(ISNUMBER(O1624),IF(COUNT(IF(A1624=$A$2:$A$2427,IF(D1624=$D$2:$D$2427,IF($X$2:$X$2427&gt;0,1))))&gt;0,SUM(IF(A1624=$A$2:$A$2427,IF(D1624=$D$2:$D$2427,$X$2:$X$2427)))/COUNT(IF(A1624=$A$2:$A$2427,IF(D1624=$D$2:$D$2427,IF(ISNUMBER($X$2:$X$2427),1)))),0),""),0)</f>
        <v/>
      </c>
      <c r="Z1624" s="104" t="str">
        <f>IF(ISNUMBER(O1624),IF(I1624&gt;0,(10^(VLOOKUP(D1624,'Species Codes'!B:C,2,0)+VLOOKUP(D1624,'Species Codes'!B:D,3,0)*LOG(E1624)+VLOOKUP(D1624,'Species Codes'!B:E,4,0)*LOG(I1624))),0),"")</f>
        <v/>
      </c>
      <c r="AA1624" s="104" t="str">
        <f>IFERROR((VLOOKUP(D1624,'Species Codes'!B:G,6,0)*Z1624)/2000,"")</f>
        <v/>
      </c>
      <c r="AB1624" s="104" t="e">
        <f>IF(Z1624&gt;0,((IF(OR(D1624="DF",D1624="RA")=TRUE,EXP(VLOOKUP(D1624,'Species Codes'!B:I,8,0)+VLOOKUP(D1624,'Species Codes'!B:J,9,0)*(LN((E1624*2.54)))),IF(OR(D1624="PY",D1624="RC",D1624="WH",D1624="NF")=TRUE,VLOOKUP(D1624,'Species Codes'!B:I,8,0)+VLOOKUP(D1624,'Species Codes'!B:J,9,0)*((E1624*2.54)^2)*(I1624*0.3048),IF(OR(D1624="MD",D1624="BM",D1624="GA")=TRUE,((VLOOKUP(D1624,'Species Codes'!B:I,8,0)*(((((E1624*2.54)+VLOOKUP(D1624,'Species Codes'!B:J,9,0))/VLOOKUP(D1624,'Species Codes'!B:K,10,0))^VLOOKUP(D1624,'Species Codes'!B:L,11,0))*((I1624*0.3048)^VLOOKUP(D1624,'Species Codes'!B:M,12,0))))-(VLOOKUP(D1624,'Species Codes'!B:I,8,0)*((((E1624*2.54)^VLOOKUP(D1624,'Species Codes'!B:L,11,0))*((I1624*0.3048)^VLOOKUP(D1624,'Species Codes'!B:M,12,0))))))*35.3*VLOOKUP(D1624,'Species Codes'!B:G,6,0)/2.2046,VLOOKUP(D1624,'Species Codes'!B:I,8,0)+VLOOKUP(D1624,'Species Codes'!B:J,9,0)*(((E1624*2.54)/100)^2)*(I1624*0.3048)))))*0.0011023),0)</f>
        <v>#N/A</v>
      </c>
      <c r="AC1624" s="104" t="e">
        <f>IF(Z1624&gt;0,((IF(OR(D1624="RA",D1624="OA",D1624="OT",D1624="UN",D1624="PC"),EXP(VLOOKUP(D1624,'Species Codes'!B:O,14,0)+VLOOKUP(D1624,'Species Codes'!B:P,15,0)*LN((E1624*2.54)))-EXP(VLOOKUP(D1624,'Species Codes'!B:O,14,0)+VLOOKUP(D1624,'Species Codes'!B:P,15,0)*LN((E1624*2.54)))*(1/(VLOOKUP(D1624,'Species Codes'!B:Q,16,0)+VLOOKUP(D1624,'Species Codes'!B:R,17,0)*((E1624*2.54)^VLOOKUP(D1624,'Species Codes'!B:S,18,0)))),IF(OR(D1624="BM",D1624="MD",D1624="OA"),EXP(VLOOKUP(D1624,'Species Codes'!B:O,14,0)+VLOOKUP(D1624,'Species Codes'!B:P,15,0)*LN((E1624*2.54)))*(1-(1/(VLOOKUP(D1624,'Species Codes'!B:Q,16,0)+VLOOKUP(D1624,'Species Codes'!B:R,17,0)*((E1624*2.54)^VLOOKUP(D1624,'Species Codes'!B:S,18,0)))))/1000,IF(D1624="DF",EXP(VLOOKUP(D1624,'Species Codes'!B:O,14,0)+VLOOKUP(D1624,'Species Codes'!B:P,15,0)*LN((E1624*2.54))),VLOOKUP(D1624,'Species Codes'!B:O,14,0)+VLOOKUP(D1624,'Species Codes'!B:P,15,0)*(((E1624*2.54)/100)^2)*(I1624*0.3048)))))*0.0011023),0)</f>
        <v>#N/A</v>
      </c>
      <c r="AD1624" s="104" t="e">
        <f t="shared" si="706"/>
        <v>#N/A</v>
      </c>
      <c r="AE1624" s="104" t="e">
        <f t="shared" si="707"/>
        <v>#N/A</v>
      </c>
      <c r="AF1624" s="104" t="e">
        <f>IF(AND(VLOOKUP($D1624,Merchantability!$B:$C,2,0)="Yes",$E1624&gt;=VLOOKUP($D1624,Merchantability!$B:$D,3,0),$E1624&lt;=VLOOKUP($D1624,Merchantability!$B:$E,4,0)),AA1624,0)</f>
        <v>#N/A</v>
      </c>
      <c r="AG1624" s="104" t="e">
        <f>IF(AND(VLOOKUP($D1624,Merchantability!$B:$C,2,0)="Yes",$E1624&gt;=VLOOKUP($D1624,Merchantability!$B:$D,3,0),$E1624&lt;=VLOOKUP($D1624,Merchantability!$B:$E,4,0)),AB1624,0)</f>
        <v>#N/A</v>
      </c>
      <c r="AH1624" s="104" t="e">
        <f>IF(AND(VLOOKUP($D1624,Merchantability!$B:$C,2,0)="Yes",$E1624&gt;=VLOOKUP($D1624,Merchantability!$B:$D,3,0),$E1624&lt;=VLOOKUP($D1624,Merchantability!$B:$E,4,0)),AC1624,0)</f>
        <v>#N/A</v>
      </c>
      <c r="AI1624" s="104" t="e">
        <f t="shared" si="708"/>
        <v>#N/A</v>
      </c>
      <c r="AJ1624" s="104" t="e">
        <f t="shared" si="709"/>
        <v>#VALUE!</v>
      </c>
      <c r="AK1624" s="104" t="e">
        <f t="shared" si="710"/>
        <v>#N/A</v>
      </c>
      <c r="AL1624" s="104" t="e">
        <f t="shared" si="711"/>
        <v>#N/A</v>
      </c>
      <c r="AM1624" s="104" t="e">
        <f t="shared" si="712"/>
        <v>#N/A</v>
      </c>
      <c r="AN1624" s="104" t="e">
        <f t="shared" si="723"/>
        <v>#N/A</v>
      </c>
      <c r="AO1624" s="104" t="e">
        <f t="shared" si="724"/>
        <v>#N/A</v>
      </c>
      <c r="AP1624" s="104" t="e">
        <f t="shared" si="725"/>
        <v>#N/A</v>
      </c>
      <c r="AQ1624" s="104" t="e">
        <f t="shared" si="726"/>
        <v>#N/A</v>
      </c>
      <c r="AR1624" s="105" t="str">
        <f t="shared" si="718"/>
        <v/>
      </c>
      <c r="AS1624" s="105" t="str">
        <f t="shared" si="719"/>
        <v/>
      </c>
      <c r="AT1624" s="108" t="str">
        <f t="shared" si="720"/>
        <v/>
      </c>
      <c r="AU1624" s="108" t="str">
        <f t="shared" si="721"/>
        <v/>
      </c>
      <c r="AV1624" s="107" t="str">
        <f>IF(ISNUMBER(O1624),IF(VLOOKUP($A1624,Stand!C:J,8,FALSE)="Short",AT1624,AU1624),"")</f>
        <v/>
      </c>
      <c r="AW1624" s="109" t="str">
        <f t="shared" si="727"/>
        <v/>
      </c>
      <c r="AX1624" s="109" t="str">
        <f t="shared" si="728"/>
        <v/>
      </c>
      <c r="AY1624" s="112" t="str">
        <f>IF(ISNUMBER(O1624),IF(AND(VLOOKUP($D1624,Merchantability!$B:$C,2,0)="Yes",$E1624&gt;=VLOOKUP($D1624,Merchantability!$B:$D,3,0),$E1624&lt;=VLOOKUP($D1624,Merchantability!$B:$E,4,0)),(AV1624*O1624)*(1-$H1624/100),""),"")</f>
        <v/>
      </c>
      <c r="AZ1624" s="116"/>
      <c r="BA1624" s="116"/>
      <c r="BB1624" s="116"/>
      <c r="BE1624" s="62"/>
      <c r="BF1624" s="63"/>
    </row>
    <row r="1625" spans="1:58" ht="12.75" customHeight="1" x14ac:dyDescent="0.25">
      <c r="A1625" s="333"/>
      <c r="B1625" s="334"/>
      <c r="C1625" s="332"/>
      <c r="D1625" s="334"/>
      <c r="E1625" s="335"/>
      <c r="F1625" s="334"/>
      <c r="G1625" s="332"/>
      <c r="H1625" s="332"/>
      <c r="I1625" s="334"/>
      <c r="J1625" s="336"/>
      <c r="K1625" s="332"/>
      <c r="L1625" s="332"/>
      <c r="M1625" s="76"/>
      <c r="N1625" s="103" t="str">
        <f>IF(A1625="","",VLOOKUP(A1625,Stand!C:K,9,0))</f>
        <v/>
      </c>
      <c r="O1625" s="104" t="str">
        <f t="shared" si="713"/>
        <v/>
      </c>
      <c r="P1625" s="105" t="str">
        <f t="shared" si="714"/>
        <v/>
      </c>
      <c r="Q1625" s="105" t="str">
        <f t="shared" si="702"/>
        <v/>
      </c>
      <c r="R1625" s="103" t="str">
        <f t="shared" si="715"/>
        <v/>
      </c>
      <c r="S1625" s="103" t="str">
        <f t="shared" si="716"/>
        <v/>
      </c>
      <c r="T1625" s="106" t="str">
        <f t="shared" si="703"/>
        <v/>
      </c>
      <c r="U1625" s="106" t="str">
        <f t="shared" si="704"/>
        <v/>
      </c>
      <c r="V1625" s="106" t="str">
        <f t="shared" si="705"/>
        <v/>
      </c>
      <c r="W1625" s="105" t="str">
        <f t="shared" si="717"/>
        <v/>
      </c>
      <c r="X1625" s="104" t="str">
        <f t="shared" si="722"/>
        <v/>
      </c>
      <c r="Y1625" s="104" t="str">
        <f t="array" ref="Y1625">IFERROR(IF(ISNUMBER(O1625),IF(COUNT(IF(A1625=$A$2:$A$2427,IF(D1625=$D$2:$D$2427,IF($X$2:$X$2427&gt;0,1))))&gt;0,SUM(IF(A1625=$A$2:$A$2427,IF(D1625=$D$2:$D$2427,$X$2:$X$2427)))/COUNT(IF(A1625=$A$2:$A$2427,IF(D1625=$D$2:$D$2427,IF(ISNUMBER($X$2:$X$2427),1)))),0),""),0)</f>
        <v/>
      </c>
      <c r="Z1625" s="104" t="str">
        <f>IF(ISNUMBER(O1625),IF(I1625&gt;0,(10^(VLOOKUP(D1625,'Species Codes'!B:C,2,0)+VLOOKUP(D1625,'Species Codes'!B:D,3,0)*LOG(E1625)+VLOOKUP(D1625,'Species Codes'!B:E,4,0)*LOG(I1625))),0),"")</f>
        <v/>
      </c>
      <c r="AA1625" s="104" t="str">
        <f>IFERROR((VLOOKUP(D1625,'Species Codes'!B:G,6,0)*Z1625)/2000,"")</f>
        <v/>
      </c>
      <c r="AB1625" s="104" t="e">
        <f>IF(Z1625&gt;0,((IF(OR(D1625="DF",D1625="RA")=TRUE,EXP(VLOOKUP(D1625,'Species Codes'!B:I,8,0)+VLOOKUP(D1625,'Species Codes'!B:J,9,0)*(LN((E1625*2.54)))),IF(OR(D1625="PY",D1625="RC",D1625="WH",D1625="NF")=TRUE,VLOOKUP(D1625,'Species Codes'!B:I,8,0)+VLOOKUP(D1625,'Species Codes'!B:J,9,0)*((E1625*2.54)^2)*(I1625*0.3048),IF(OR(D1625="MD",D1625="BM",D1625="GA")=TRUE,((VLOOKUP(D1625,'Species Codes'!B:I,8,0)*(((((E1625*2.54)+VLOOKUP(D1625,'Species Codes'!B:J,9,0))/VLOOKUP(D1625,'Species Codes'!B:K,10,0))^VLOOKUP(D1625,'Species Codes'!B:L,11,0))*((I1625*0.3048)^VLOOKUP(D1625,'Species Codes'!B:M,12,0))))-(VLOOKUP(D1625,'Species Codes'!B:I,8,0)*((((E1625*2.54)^VLOOKUP(D1625,'Species Codes'!B:L,11,0))*((I1625*0.3048)^VLOOKUP(D1625,'Species Codes'!B:M,12,0))))))*35.3*VLOOKUP(D1625,'Species Codes'!B:G,6,0)/2.2046,VLOOKUP(D1625,'Species Codes'!B:I,8,0)+VLOOKUP(D1625,'Species Codes'!B:J,9,0)*(((E1625*2.54)/100)^2)*(I1625*0.3048)))))*0.0011023),0)</f>
        <v>#N/A</v>
      </c>
      <c r="AC1625" s="104" t="e">
        <f>IF(Z1625&gt;0,((IF(OR(D1625="RA",D1625="OA",D1625="OT",D1625="UN",D1625="PC"),EXP(VLOOKUP(D1625,'Species Codes'!B:O,14,0)+VLOOKUP(D1625,'Species Codes'!B:P,15,0)*LN((E1625*2.54)))-EXP(VLOOKUP(D1625,'Species Codes'!B:O,14,0)+VLOOKUP(D1625,'Species Codes'!B:P,15,0)*LN((E1625*2.54)))*(1/(VLOOKUP(D1625,'Species Codes'!B:Q,16,0)+VLOOKUP(D1625,'Species Codes'!B:R,17,0)*((E1625*2.54)^VLOOKUP(D1625,'Species Codes'!B:S,18,0)))),IF(OR(D1625="BM",D1625="MD",D1625="OA"),EXP(VLOOKUP(D1625,'Species Codes'!B:O,14,0)+VLOOKUP(D1625,'Species Codes'!B:P,15,0)*LN((E1625*2.54)))*(1-(1/(VLOOKUP(D1625,'Species Codes'!B:Q,16,0)+VLOOKUP(D1625,'Species Codes'!B:R,17,0)*((E1625*2.54)^VLOOKUP(D1625,'Species Codes'!B:S,18,0)))))/1000,IF(D1625="DF",EXP(VLOOKUP(D1625,'Species Codes'!B:O,14,0)+VLOOKUP(D1625,'Species Codes'!B:P,15,0)*LN((E1625*2.54))),VLOOKUP(D1625,'Species Codes'!B:O,14,0)+VLOOKUP(D1625,'Species Codes'!B:P,15,0)*(((E1625*2.54)/100)^2)*(I1625*0.3048)))))*0.0011023),0)</f>
        <v>#N/A</v>
      </c>
      <c r="AD1625" s="104" t="e">
        <f t="shared" si="706"/>
        <v>#N/A</v>
      </c>
      <c r="AE1625" s="104" t="e">
        <f t="shared" si="707"/>
        <v>#N/A</v>
      </c>
      <c r="AF1625" s="104" t="e">
        <f>IF(AND(VLOOKUP($D1625,Merchantability!$B:$C,2,0)="Yes",$E1625&gt;=VLOOKUP($D1625,Merchantability!$B:$D,3,0),$E1625&lt;=VLOOKUP($D1625,Merchantability!$B:$E,4,0)),AA1625,0)</f>
        <v>#N/A</v>
      </c>
      <c r="AG1625" s="104" t="e">
        <f>IF(AND(VLOOKUP($D1625,Merchantability!$B:$C,2,0)="Yes",$E1625&gt;=VLOOKUP($D1625,Merchantability!$B:$D,3,0),$E1625&lt;=VLOOKUP($D1625,Merchantability!$B:$E,4,0)),AB1625,0)</f>
        <v>#N/A</v>
      </c>
      <c r="AH1625" s="104" t="e">
        <f>IF(AND(VLOOKUP($D1625,Merchantability!$B:$C,2,0)="Yes",$E1625&gt;=VLOOKUP($D1625,Merchantability!$B:$D,3,0),$E1625&lt;=VLOOKUP($D1625,Merchantability!$B:$E,4,0)),AC1625,0)</f>
        <v>#N/A</v>
      </c>
      <c r="AI1625" s="104" t="e">
        <f t="shared" si="708"/>
        <v>#N/A</v>
      </c>
      <c r="AJ1625" s="104" t="e">
        <f t="shared" si="709"/>
        <v>#VALUE!</v>
      </c>
      <c r="AK1625" s="104" t="e">
        <f t="shared" si="710"/>
        <v>#N/A</v>
      </c>
      <c r="AL1625" s="104" t="e">
        <f t="shared" si="711"/>
        <v>#N/A</v>
      </c>
      <c r="AM1625" s="104" t="e">
        <f t="shared" si="712"/>
        <v>#N/A</v>
      </c>
      <c r="AN1625" s="104" t="e">
        <f t="shared" si="723"/>
        <v>#N/A</v>
      </c>
      <c r="AO1625" s="104" t="e">
        <f t="shared" si="724"/>
        <v>#N/A</v>
      </c>
      <c r="AP1625" s="104" t="e">
        <f t="shared" si="725"/>
        <v>#N/A</v>
      </c>
      <c r="AQ1625" s="104" t="e">
        <f t="shared" si="726"/>
        <v>#N/A</v>
      </c>
      <c r="AR1625" s="105" t="str">
        <f t="shared" si="718"/>
        <v/>
      </c>
      <c r="AS1625" s="105" t="str">
        <f t="shared" si="719"/>
        <v/>
      </c>
      <c r="AT1625" s="108" t="str">
        <f t="shared" si="720"/>
        <v/>
      </c>
      <c r="AU1625" s="108" t="str">
        <f t="shared" si="721"/>
        <v/>
      </c>
      <c r="AV1625" s="107" t="str">
        <f>IF(ISNUMBER(O1625),IF(VLOOKUP($A1625,Stand!C:J,8,FALSE)="Short",AT1625,AU1625),"")</f>
        <v/>
      </c>
      <c r="AW1625" s="109" t="str">
        <f t="shared" si="727"/>
        <v/>
      </c>
      <c r="AX1625" s="109" t="str">
        <f t="shared" si="728"/>
        <v/>
      </c>
      <c r="AY1625" s="112" t="str">
        <f>IF(ISNUMBER(O1625),IF(AND(VLOOKUP($D1625,Merchantability!$B:$C,2,0)="Yes",$E1625&gt;=VLOOKUP($D1625,Merchantability!$B:$D,3,0),$E1625&lt;=VLOOKUP($D1625,Merchantability!$B:$E,4,0)),(AV1625*O1625)*(1-$H1625/100),""),"")</f>
        <v/>
      </c>
      <c r="AZ1625" s="116"/>
      <c r="BA1625" s="116"/>
      <c r="BB1625" s="116"/>
      <c r="BE1625" s="62"/>
      <c r="BF1625" s="63"/>
    </row>
    <row r="1626" spans="1:58" ht="12.75" customHeight="1" x14ac:dyDescent="0.25">
      <c r="A1626" s="334"/>
      <c r="B1626" s="334"/>
      <c r="C1626" s="332"/>
      <c r="D1626" s="334"/>
      <c r="E1626" s="335"/>
      <c r="F1626" s="334"/>
      <c r="G1626" s="332"/>
      <c r="H1626" s="332"/>
      <c r="I1626" s="334"/>
      <c r="J1626" s="336"/>
      <c r="K1626" s="332"/>
      <c r="L1626" s="332"/>
      <c r="M1626" s="76"/>
      <c r="N1626" s="103" t="str">
        <f>IF(A1626="","",VLOOKUP(A1626,Stand!C:K,9,0))</f>
        <v/>
      </c>
      <c r="O1626" s="104" t="str">
        <f t="shared" si="713"/>
        <v/>
      </c>
      <c r="P1626" s="105" t="str">
        <f t="shared" si="714"/>
        <v/>
      </c>
      <c r="Q1626" s="105" t="str">
        <f t="shared" si="702"/>
        <v/>
      </c>
      <c r="R1626" s="103" t="str">
        <f t="shared" si="715"/>
        <v/>
      </c>
      <c r="S1626" s="103" t="str">
        <f t="shared" si="716"/>
        <v/>
      </c>
      <c r="T1626" s="106" t="str">
        <f t="shared" si="703"/>
        <v/>
      </c>
      <c r="U1626" s="106" t="str">
        <f t="shared" si="704"/>
        <v/>
      </c>
      <c r="V1626" s="106" t="str">
        <f t="shared" si="705"/>
        <v/>
      </c>
      <c r="W1626" s="105" t="str">
        <f t="shared" si="717"/>
        <v/>
      </c>
      <c r="X1626" s="104" t="str">
        <f t="shared" si="722"/>
        <v/>
      </c>
      <c r="Y1626" s="104" t="str">
        <f t="array" ref="Y1626">IFERROR(IF(ISNUMBER(O1626),IF(COUNT(IF(A1626=$A$2:$A$2427,IF(D1626=$D$2:$D$2427,IF($X$2:$X$2427&gt;0,1))))&gt;0,SUM(IF(A1626=$A$2:$A$2427,IF(D1626=$D$2:$D$2427,$X$2:$X$2427)))/COUNT(IF(A1626=$A$2:$A$2427,IF(D1626=$D$2:$D$2427,IF(ISNUMBER($X$2:$X$2427),1)))),0),""),0)</f>
        <v/>
      </c>
      <c r="Z1626" s="104" t="str">
        <f>IF(ISNUMBER(O1626),IF(I1626&gt;0,(10^(VLOOKUP(D1626,'Species Codes'!B:C,2,0)+VLOOKUP(D1626,'Species Codes'!B:D,3,0)*LOG(E1626)+VLOOKUP(D1626,'Species Codes'!B:E,4,0)*LOG(I1626))),0),"")</f>
        <v/>
      </c>
      <c r="AA1626" s="104" t="str">
        <f>IFERROR((VLOOKUP(D1626,'Species Codes'!B:G,6,0)*Z1626)/2000,"")</f>
        <v/>
      </c>
      <c r="AB1626" s="104" t="e">
        <f>IF(Z1626&gt;0,((IF(OR(D1626="DF",D1626="RA")=TRUE,EXP(VLOOKUP(D1626,'Species Codes'!B:I,8,0)+VLOOKUP(D1626,'Species Codes'!B:J,9,0)*(LN((E1626*2.54)))),IF(OR(D1626="PY",D1626="RC",D1626="WH",D1626="NF")=TRUE,VLOOKUP(D1626,'Species Codes'!B:I,8,0)+VLOOKUP(D1626,'Species Codes'!B:J,9,0)*((E1626*2.54)^2)*(I1626*0.3048),IF(OR(D1626="MD",D1626="BM",D1626="GA")=TRUE,((VLOOKUP(D1626,'Species Codes'!B:I,8,0)*(((((E1626*2.54)+VLOOKUP(D1626,'Species Codes'!B:J,9,0))/VLOOKUP(D1626,'Species Codes'!B:K,10,0))^VLOOKUP(D1626,'Species Codes'!B:L,11,0))*((I1626*0.3048)^VLOOKUP(D1626,'Species Codes'!B:M,12,0))))-(VLOOKUP(D1626,'Species Codes'!B:I,8,0)*((((E1626*2.54)^VLOOKUP(D1626,'Species Codes'!B:L,11,0))*((I1626*0.3048)^VLOOKUP(D1626,'Species Codes'!B:M,12,0))))))*35.3*VLOOKUP(D1626,'Species Codes'!B:G,6,0)/2.2046,VLOOKUP(D1626,'Species Codes'!B:I,8,0)+VLOOKUP(D1626,'Species Codes'!B:J,9,0)*(((E1626*2.54)/100)^2)*(I1626*0.3048)))))*0.0011023),0)</f>
        <v>#N/A</v>
      </c>
      <c r="AC1626" s="104" t="e">
        <f>IF(Z1626&gt;0,((IF(OR(D1626="RA",D1626="OA",D1626="OT",D1626="UN",D1626="PC"),EXP(VLOOKUP(D1626,'Species Codes'!B:O,14,0)+VLOOKUP(D1626,'Species Codes'!B:P,15,0)*LN((E1626*2.54)))-EXP(VLOOKUP(D1626,'Species Codes'!B:O,14,0)+VLOOKUP(D1626,'Species Codes'!B:P,15,0)*LN((E1626*2.54)))*(1/(VLOOKUP(D1626,'Species Codes'!B:Q,16,0)+VLOOKUP(D1626,'Species Codes'!B:R,17,0)*((E1626*2.54)^VLOOKUP(D1626,'Species Codes'!B:S,18,0)))),IF(OR(D1626="BM",D1626="MD",D1626="OA"),EXP(VLOOKUP(D1626,'Species Codes'!B:O,14,0)+VLOOKUP(D1626,'Species Codes'!B:P,15,0)*LN((E1626*2.54)))*(1-(1/(VLOOKUP(D1626,'Species Codes'!B:Q,16,0)+VLOOKUP(D1626,'Species Codes'!B:R,17,0)*((E1626*2.54)^VLOOKUP(D1626,'Species Codes'!B:S,18,0)))))/1000,IF(D1626="DF",EXP(VLOOKUP(D1626,'Species Codes'!B:O,14,0)+VLOOKUP(D1626,'Species Codes'!B:P,15,0)*LN((E1626*2.54))),VLOOKUP(D1626,'Species Codes'!B:O,14,0)+VLOOKUP(D1626,'Species Codes'!B:P,15,0)*(((E1626*2.54)/100)^2)*(I1626*0.3048)))))*0.0011023),0)</f>
        <v>#N/A</v>
      </c>
      <c r="AD1626" s="104" t="e">
        <f t="shared" si="706"/>
        <v>#N/A</v>
      </c>
      <c r="AE1626" s="104" t="e">
        <f t="shared" si="707"/>
        <v>#N/A</v>
      </c>
      <c r="AF1626" s="104" t="e">
        <f>IF(AND(VLOOKUP($D1626,Merchantability!$B:$C,2,0)="Yes",$E1626&gt;=VLOOKUP($D1626,Merchantability!$B:$D,3,0),$E1626&lt;=VLOOKUP($D1626,Merchantability!$B:$E,4,0)),AA1626,0)</f>
        <v>#N/A</v>
      </c>
      <c r="AG1626" s="104" t="e">
        <f>IF(AND(VLOOKUP($D1626,Merchantability!$B:$C,2,0)="Yes",$E1626&gt;=VLOOKUP($D1626,Merchantability!$B:$D,3,0),$E1626&lt;=VLOOKUP($D1626,Merchantability!$B:$E,4,0)),AB1626,0)</f>
        <v>#N/A</v>
      </c>
      <c r="AH1626" s="104" t="e">
        <f>IF(AND(VLOOKUP($D1626,Merchantability!$B:$C,2,0)="Yes",$E1626&gt;=VLOOKUP($D1626,Merchantability!$B:$D,3,0),$E1626&lt;=VLOOKUP($D1626,Merchantability!$B:$E,4,0)),AC1626,0)</f>
        <v>#N/A</v>
      </c>
      <c r="AI1626" s="104" t="e">
        <f t="shared" si="708"/>
        <v>#N/A</v>
      </c>
      <c r="AJ1626" s="104" t="e">
        <f t="shared" si="709"/>
        <v>#VALUE!</v>
      </c>
      <c r="AK1626" s="104" t="e">
        <f t="shared" si="710"/>
        <v>#N/A</v>
      </c>
      <c r="AL1626" s="104" t="e">
        <f t="shared" si="711"/>
        <v>#N/A</v>
      </c>
      <c r="AM1626" s="104" t="e">
        <f t="shared" si="712"/>
        <v>#N/A</v>
      </c>
      <c r="AN1626" s="104" t="e">
        <f t="shared" si="723"/>
        <v>#N/A</v>
      </c>
      <c r="AO1626" s="104" t="e">
        <f t="shared" si="724"/>
        <v>#N/A</v>
      </c>
      <c r="AP1626" s="104" t="e">
        <f t="shared" si="725"/>
        <v>#N/A</v>
      </c>
      <c r="AQ1626" s="104" t="e">
        <f t="shared" si="726"/>
        <v>#N/A</v>
      </c>
      <c r="AR1626" s="105" t="str">
        <f t="shared" si="718"/>
        <v/>
      </c>
      <c r="AS1626" s="105" t="str">
        <f t="shared" si="719"/>
        <v/>
      </c>
      <c r="AT1626" s="108" t="str">
        <f t="shared" si="720"/>
        <v/>
      </c>
      <c r="AU1626" s="108" t="str">
        <f t="shared" si="721"/>
        <v/>
      </c>
      <c r="AV1626" s="107" t="str">
        <f>IF(ISNUMBER(O1626),IF(VLOOKUP($A1626,Stand!C:J,8,FALSE)="Short",AT1626,AU1626),"")</f>
        <v/>
      </c>
      <c r="AW1626" s="109" t="str">
        <f t="shared" si="727"/>
        <v/>
      </c>
      <c r="AX1626" s="109" t="str">
        <f t="shared" si="728"/>
        <v/>
      </c>
      <c r="AY1626" s="112" t="str">
        <f>IF(ISNUMBER(O1626),IF(AND(VLOOKUP($D1626,Merchantability!$B:$C,2,0)="Yes",$E1626&gt;=VLOOKUP($D1626,Merchantability!$B:$D,3,0),$E1626&lt;=VLOOKUP($D1626,Merchantability!$B:$E,4,0)),(AV1626*O1626)*(1-$H1626/100),""),"")</f>
        <v/>
      </c>
      <c r="AZ1626" s="116"/>
      <c r="BA1626" s="116"/>
      <c r="BB1626" s="116"/>
      <c r="BE1626" s="62"/>
      <c r="BF1626" s="63"/>
    </row>
    <row r="1627" spans="1:58" ht="12.75" customHeight="1" x14ac:dyDescent="0.25">
      <c r="A1627" s="334"/>
      <c r="B1627" s="334"/>
      <c r="C1627" s="332"/>
      <c r="D1627" s="334"/>
      <c r="E1627" s="335"/>
      <c r="F1627" s="334"/>
      <c r="G1627" s="332"/>
      <c r="H1627" s="332"/>
      <c r="I1627" s="334"/>
      <c r="J1627" s="336"/>
      <c r="K1627" s="332"/>
      <c r="L1627" s="332"/>
      <c r="M1627" s="76"/>
      <c r="N1627" s="103" t="str">
        <f>IF(A1627="","",VLOOKUP(A1627,Stand!C:K,9,0))</f>
        <v/>
      </c>
      <c r="O1627" s="104" t="str">
        <f t="shared" si="713"/>
        <v/>
      </c>
      <c r="P1627" s="105" t="str">
        <f t="shared" si="714"/>
        <v/>
      </c>
      <c r="Q1627" s="105" t="str">
        <f t="shared" si="702"/>
        <v/>
      </c>
      <c r="R1627" s="103" t="str">
        <f t="shared" si="715"/>
        <v/>
      </c>
      <c r="S1627" s="103" t="str">
        <f t="shared" si="716"/>
        <v/>
      </c>
      <c r="T1627" s="106" t="str">
        <f t="shared" si="703"/>
        <v/>
      </c>
      <c r="U1627" s="106" t="str">
        <f t="shared" si="704"/>
        <v/>
      </c>
      <c r="V1627" s="106" t="str">
        <f t="shared" si="705"/>
        <v/>
      </c>
      <c r="W1627" s="105" t="str">
        <f t="shared" si="717"/>
        <v/>
      </c>
      <c r="X1627" s="104" t="str">
        <f t="shared" si="722"/>
        <v/>
      </c>
      <c r="Y1627" s="104" t="str">
        <f t="array" ref="Y1627">IFERROR(IF(ISNUMBER(O1627),IF(COUNT(IF(A1627=$A$2:$A$2427,IF(D1627=$D$2:$D$2427,IF($X$2:$X$2427&gt;0,1))))&gt;0,SUM(IF(A1627=$A$2:$A$2427,IF(D1627=$D$2:$D$2427,$X$2:$X$2427)))/COUNT(IF(A1627=$A$2:$A$2427,IF(D1627=$D$2:$D$2427,IF(ISNUMBER($X$2:$X$2427),1)))),0),""),0)</f>
        <v/>
      </c>
      <c r="Z1627" s="104" t="str">
        <f>IF(ISNUMBER(O1627),IF(I1627&gt;0,(10^(VLOOKUP(D1627,'Species Codes'!B:C,2,0)+VLOOKUP(D1627,'Species Codes'!B:D,3,0)*LOG(E1627)+VLOOKUP(D1627,'Species Codes'!B:E,4,0)*LOG(I1627))),0),"")</f>
        <v/>
      </c>
      <c r="AA1627" s="104" t="str">
        <f>IFERROR((VLOOKUP(D1627,'Species Codes'!B:G,6,0)*Z1627)/2000,"")</f>
        <v/>
      </c>
      <c r="AB1627" s="104" t="e">
        <f>IF(Z1627&gt;0,((IF(OR(D1627="DF",D1627="RA")=TRUE,EXP(VLOOKUP(D1627,'Species Codes'!B:I,8,0)+VLOOKUP(D1627,'Species Codes'!B:J,9,0)*(LN((E1627*2.54)))),IF(OR(D1627="PY",D1627="RC",D1627="WH",D1627="NF")=TRUE,VLOOKUP(D1627,'Species Codes'!B:I,8,0)+VLOOKUP(D1627,'Species Codes'!B:J,9,0)*((E1627*2.54)^2)*(I1627*0.3048),IF(OR(D1627="MD",D1627="BM",D1627="GA")=TRUE,((VLOOKUP(D1627,'Species Codes'!B:I,8,0)*(((((E1627*2.54)+VLOOKUP(D1627,'Species Codes'!B:J,9,0))/VLOOKUP(D1627,'Species Codes'!B:K,10,0))^VLOOKUP(D1627,'Species Codes'!B:L,11,0))*((I1627*0.3048)^VLOOKUP(D1627,'Species Codes'!B:M,12,0))))-(VLOOKUP(D1627,'Species Codes'!B:I,8,0)*((((E1627*2.54)^VLOOKUP(D1627,'Species Codes'!B:L,11,0))*((I1627*0.3048)^VLOOKUP(D1627,'Species Codes'!B:M,12,0))))))*35.3*VLOOKUP(D1627,'Species Codes'!B:G,6,0)/2.2046,VLOOKUP(D1627,'Species Codes'!B:I,8,0)+VLOOKUP(D1627,'Species Codes'!B:J,9,0)*(((E1627*2.54)/100)^2)*(I1627*0.3048)))))*0.0011023),0)</f>
        <v>#N/A</v>
      </c>
      <c r="AC1627" s="104" t="e">
        <f>IF(Z1627&gt;0,((IF(OR(D1627="RA",D1627="OA",D1627="OT",D1627="UN",D1627="PC"),EXP(VLOOKUP(D1627,'Species Codes'!B:O,14,0)+VLOOKUP(D1627,'Species Codes'!B:P,15,0)*LN((E1627*2.54)))-EXP(VLOOKUP(D1627,'Species Codes'!B:O,14,0)+VLOOKUP(D1627,'Species Codes'!B:P,15,0)*LN((E1627*2.54)))*(1/(VLOOKUP(D1627,'Species Codes'!B:Q,16,0)+VLOOKUP(D1627,'Species Codes'!B:R,17,0)*((E1627*2.54)^VLOOKUP(D1627,'Species Codes'!B:S,18,0)))),IF(OR(D1627="BM",D1627="MD",D1627="OA"),EXP(VLOOKUP(D1627,'Species Codes'!B:O,14,0)+VLOOKUP(D1627,'Species Codes'!B:P,15,0)*LN((E1627*2.54)))*(1-(1/(VLOOKUP(D1627,'Species Codes'!B:Q,16,0)+VLOOKUP(D1627,'Species Codes'!B:R,17,0)*((E1627*2.54)^VLOOKUP(D1627,'Species Codes'!B:S,18,0)))))/1000,IF(D1627="DF",EXP(VLOOKUP(D1627,'Species Codes'!B:O,14,0)+VLOOKUP(D1627,'Species Codes'!B:P,15,0)*LN((E1627*2.54))),VLOOKUP(D1627,'Species Codes'!B:O,14,0)+VLOOKUP(D1627,'Species Codes'!B:P,15,0)*(((E1627*2.54)/100)^2)*(I1627*0.3048)))))*0.0011023),0)</f>
        <v>#N/A</v>
      </c>
      <c r="AD1627" s="104" t="e">
        <f t="shared" si="706"/>
        <v>#N/A</v>
      </c>
      <c r="AE1627" s="104" t="e">
        <f t="shared" si="707"/>
        <v>#N/A</v>
      </c>
      <c r="AF1627" s="104" t="e">
        <f>IF(AND(VLOOKUP($D1627,Merchantability!$B:$C,2,0)="Yes",$E1627&gt;=VLOOKUP($D1627,Merchantability!$B:$D,3,0),$E1627&lt;=VLOOKUP($D1627,Merchantability!$B:$E,4,0)),AA1627,0)</f>
        <v>#N/A</v>
      </c>
      <c r="AG1627" s="104" t="e">
        <f>IF(AND(VLOOKUP($D1627,Merchantability!$B:$C,2,0)="Yes",$E1627&gt;=VLOOKUP($D1627,Merchantability!$B:$D,3,0),$E1627&lt;=VLOOKUP($D1627,Merchantability!$B:$E,4,0)),AB1627,0)</f>
        <v>#N/A</v>
      </c>
      <c r="AH1627" s="104" t="e">
        <f>IF(AND(VLOOKUP($D1627,Merchantability!$B:$C,2,0)="Yes",$E1627&gt;=VLOOKUP($D1627,Merchantability!$B:$D,3,0),$E1627&lt;=VLOOKUP($D1627,Merchantability!$B:$E,4,0)),AC1627,0)</f>
        <v>#N/A</v>
      </c>
      <c r="AI1627" s="104" t="e">
        <f t="shared" si="708"/>
        <v>#N/A</v>
      </c>
      <c r="AJ1627" s="104" t="e">
        <f t="shared" si="709"/>
        <v>#VALUE!</v>
      </c>
      <c r="AK1627" s="104" t="e">
        <f t="shared" si="710"/>
        <v>#N/A</v>
      </c>
      <c r="AL1627" s="104" t="e">
        <f t="shared" si="711"/>
        <v>#N/A</v>
      </c>
      <c r="AM1627" s="104" t="e">
        <f t="shared" si="712"/>
        <v>#N/A</v>
      </c>
      <c r="AN1627" s="104" t="e">
        <f t="shared" si="723"/>
        <v>#N/A</v>
      </c>
      <c r="AO1627" s="104" t="e">
        <f t="shared" si="724"/>
        <v>#N/A</v>
      </c>
      <c r="AP1627" s="104" t="e">
        <f t="shared" si="725"/>
        <v>#N/A</v>
      </c>
      <c r="AQ1627" s="104" t="e">
        <f t="shared" si="726"/>
        <v>#N/A</v>
      </c>
      <c r="AR1627" s="105" t="str">
        <f t="shared" si="718"/>
        <v/>
      </c>
      <c r="AS1627" s="105" t="str">
        <f t="shared" si="719"/>
        <v/>
      </c>
      <c r="AT1627" s="108" t="str">
        <f t="shared" si="720"/>
        <v/>
      </c>
      <c r="AU1627" s="108" t="str">
        <f t="shared" si="721"/>
        <v/>
      </c>
      <c r="AV1627" s="107" t="str">
        <f>IF(ISNUMBER(O1627),IF(VLOOKUP($A1627,Stand!C:J,8,FALSE)="Short",AT1627,AU1627),"")</f>
        <v/>
      </c>
      <c r="AW1627" s="109" t="str">
        <f t="shared" si="727"/>
        <v/>
      </c>
      <c r="AX1627" s="109" t="str">
        <f t="shared" si="728"/>
        <v/>
      </c>
      <c r="AY1627" s="112" t="str">
        <f>IF(ISNUMBER(O1627),IF(AND(VLOOKUP($D1627,Merchantability!$B:$C,2,0)="Yes",$E1627&gt;=VLOOKUP($D1627,Merchantability!$B:$D,3,0),$E1627&lt;=VLOOKUP($D1627,Merchantability!$B:$E,4,0)),(AV1627*O1627)*(1-$H1627/100),""),"")</f>
        <v/>
      </c>
      <c r="AZ1627" s="116"/>
      <c r="BA1627" s="116"/>
      <c r="BB1627" s="116"/>
      <c r="BE1627" s="62"/>
      <c r="BF1627" s="63"/>
    </row>
    <row r="1628" spans="1:58" ht="12.75" customHeight="1" x14ac:dyDescent="0.25">
      <c r="A1628" s="334"/>
      <c r="B1628" s="334"/>
      <c r="C1628" s="332"/>
      <c r="D1628" s="334"/>
      <c r="E1628" s="335"/>
      <c r="F1628" s="334"/>
      <c r="G1628" s="332"/>
      <c r="H1628" s="332"/>
      <c r="I1628" s="334"/>
      <c r="J1628" s="336"/>
      <c r="K1628" s="332"/>
      <c r="L1628" s="332"/>
      <c r="M1628" s="76"/>
      <c r="N1628" s="103" t="str">
        <f>IF(A1628="","",VLOOKUP(A1628,Stand!C:K,9,0))</f>
        <v/>
      </c>
      <c r="O1628" s="104" t="str">
        <f t="shared" si="713"/>
        <v/>
      </c>
      <c r="P1628" s="105" t="str">
        <f t="shared" si="714"/>
        <v/>
      </c>
      <c r="Q1628" s="105" t="str">
        <f t="shared" si="702"/>
        <v/>
      </c>
      <c r="R1628" s="103" t="str">
        <f t="shared" si="715"/>
        <v/>
      </c>
      <c r="S1628" s="103" t="str">
        <f t="shared" si="716"/>
        <v/>
      </c>
      <c r="T1628" s="106" t="str">
        <f t="shared" si="703"/>
        <v/>
      </c>
      <c r="U1628" s="106" t="str">
        <f t="shared" si="704"/>
        <v/>
      </c>
      <c r="V1628" s="106" t="str">
        <f t="shared" si="705"/>
        <v/>
      </c>
      <c r="W1628" s="105" t="str">
        <f t="shared" si="717"/>
        <v/>
      </c>
      <c r="X1628" s="104" t="str">
        <f t="shared" si="722"/>
        <v/>
      </c>
      <c r="Y1628" s="104" t="str">
        <f t="array" ref="Y1628">IFERROR(IF(ISNUMBER(O1628),IF(COUNT(IF(A1628=$A$2:$A$2427,IF(D1628=$D$2:$D$2427,IF($X$2:$X$2427&gt;0,1))))&gt;0,SUM(IF(A1628=$A$2:$A$2427,IF(D1628=$D$2:$D$2427,$X$2:$X$2427)))/COUNT(IF(A1628=$A$2:$A$2427,IF(D1628=$D$2:$D$2427,IF(ISNUMBER($X$2:$X$2427),1)))),0),""),0)</f>
        <v/>
      </c>
      <c r="Z1628" s="104" t="str">
        <f>IF(ISNUMBER(O1628),IF(I1628&gt;0,(10^(VLOOKUP(D1628,'Species Codes'!B:C,2,0)+VLOOKUP(D1628,'Species Codes'!B:D,3,0)*LOG(E1628)+VLOOKUP(D1628,'Species Codes'!B:E,4,0)*LOG(I1628))),0),"")</f>
        <v/>
      </c>
      <c r="AA1628" s="104" t="str">
        <f>IFERROR((VLOOKUP(D1628,'Species Codes'!B:G,6,0)*Z1628)/2000,"")</f>
        <v/>
      </c>
      <c r="AB1628" s="104" t="e">
        <f>IF(Z1628&gt;0,((IF(OR(D1628="DF",D1628="RA")=TRUE,EXP(VLOOKUP(D1628,'Species Codes'!B:I,8,0)+VLOOKUP(D1628,'Species Codes'!B:J,9,0)*(LN((E1628*2.54)))),IF(OR(D1628="PY",D1628="RC",D1628="WH",D1628="NF")=TRUE,VLOOKUP(D1628,'Species Codes'!B:I,8,0)+VLOOKUP(D1628,'Species Codes'!B:J,9,0)*((E1628*2.54)^2)*(I1628*0.3048),IF(OR(D1628="MD",D1628="BM",D1628="GA")=TRUE,((VLOOKUP(D1628,'Species Codes'!B:I,8,0)*(((((E1628*2.54)+VLOOKUP(D1628,'Species Codes'!B:J,9,0))/VLOOKUP(D1628,'Species Codes'!B:K,10,0))^VLOOKUP(D1628,'Species Codes'!B:L,11,0))*((I1628*0.3048)^VLOOKUP(D1628,'Species Codes'!B:M,12,0))))-(VLOOKUP(D1628,'Species Codes'!B:I,8,0)*((((E1628*2.54)^VLOOKUP(D1628,'Species Codes'!B:L,11,0))*((I1628*0.3048)^VLOOKUP(D1628,'Species Codes'!B:M,12,0))))))*35.3*VLOOKUP(D1628,'Species Codes'!B:G,6,0)/2.2046,VLOOKUP(D1628,'Species Codes'!B:I,8,0)+VLOOKUP(D1628,'Species Codes'!B:J,9,0)*(((E1628*2.54)/100)^2)*(I1628*0.3048)))))*0.0011023),0)</f>
        <v>#N/A</v>
      </c>
      <c r="AC1628" s="104" t="e">
        <f>IF(Z1628&gt;0,((IF(OR(D1628="RA",D1628="OA",D1628="OT",D1628="UN",D1628="PC"),EXP(VLOOKUP(D1628,'Species Codes'!B:O,14,0)+VLOOKUP(D1628,'Species Codes'!B:P,15,0)*LN((E1628*2.54)))-EXP(VLOOKUP(D1628,'Species Codes'!B:O,14,0)+VLOOKUP(D1628,'Species Codes'!B:P,15,0)*LN((E1628*2.54)))*(1/(VLOOKUP(D1628,'Species Codes'!B:Q,16,0)+VLOOKUP(D1628,'Species Codes'!B:R,17,0)*((E1628*2.54)^VLOOKUP(D1628,'Species Codes'!B:S,18,0)))),IF(OR(D1628="BM",D1628="MD",D1628="OA"),EXP(VLOOKUP(D1628,'Species Codes'!B:O,14,0)+VLOOKUP(D1628,'Species Codes'!B:P,15,0)*LN((E1628*2.54)))*(1-(1/(VLOOKUP(D1628,'Species Codes'!B:Q,16,0)+VLOOKUP(D1628,'Species Codes'!B:R,17,0)*((E1628*2.54)^VLOOKUP(D1628,'Species Codes'!B:S,18,0)))))/1000,IF(D1628="DF",EXP(VLOOKUP(D1628,'Species Codes'!B:O,14,0)+VLOOKUP(D1628,'Species Codes'!B:P,15,0)*LN((E1628*2.54))),VLOOKUP(D1628,'Species Codes'!B:O,14,0)+VLOOKUP(D1628,'Species Codes'!B:P,15,0)*(((E1628*2.54)/100)^2)*(I1628*0.3048)))))*0.0011023),0)</f>
        <v>#N/A</v>
      </c>
      <c r="AD1628" s="104" t="e">
        <f t="shared" si="706"/>
        <v>#N/A</v>
      </c>
      <c r="AE1628" s="104" t="e">
        <f t="shared" si="707"/>
        <v>#N/A</v>
      </c>
      <c r="AF1628" s="104" t="e">
        <f>IF(AND(VLOOKUP($D1628,Merchantability!$B:$C,2,0)="Yes",$E1628&gt;=VLOOKUP($D1628,Merchantability!$B:$D,3,0),$E1628&lt;=VLOOKUP($D1628,Merchantability!$B:$E,4,0)),AA1628,0)</f>
        <v>#N/A</v>
      </c>
      <c r="AG1628" s="104" t="e">
        <f>IF(AND(VLOOKUP($D1628,Merchantability!$B:$C,2,0)="Yes",$E1628&gt;=VLOOKUP($D1628,Merchantability!$B:$D,3,0),$E1628&lt;=VLOOKUP($D1628,Merchantability!$B:$E,4,0)),AB1628,0)</f>
        <v>#N/A</v>
      </c>
      <c r="AH1628" s="104" t="e">
        <f>IF(AND(VLOOKUP($D1628,Merchantability!$B:$C,2,0)="Yes",$E1628&gt;=VLOOKUP($D1628,Merchantability!$B:$D,3,0),$E1628&lt;=VLOOKUP($D1628,Merchantability!$B:$E,4,0)),AC1628,0)</f>
        <v>#N/A</v>
      </c>
      <c r="AI1628" s="104" t="e">
        <f t="shared" si="708"/>
        <v>#N/A</v>
      </c>
      <c r="AJ1628" s="104" t="e">
        <f t="shared" si="709"/>
        <v>#VALUE!</v>
      </c>
      <c r="AK1628" s="104" t="e">
        <f t="shared" si="710"/>
        <v>#N/A</v>
      </c>
      <c r="AL1628" s="104" t="e">
        <f t="shared" si="711"/>
        <v>#N/A</v>
      </c>
      <c r="AM1628" s="104" t="e">
        <f t="shared" si="712"/>
        <v>#N/A</v>
      </c>
      <c r="AN1628" s="104" t="e">
        <f t="shared" si="723"/>
        <v>#N/A</v>
      </c>
      <c r="AO1628" s="104" t="e">
        <f t="shared" si="724"/>
        <v>#N/A</v>
      </c>
      <c r="AP1628" s="104" t="e">
        <f t="shared" si="725"/>
        <v>#N/A</v>
      </c>
      <c r="AQ1628" s="104" t="e">
        <f t="shared" si="726"/>
        <v>#N/A</v>
      </c>
      <c r="AR1628" s="105" t="str">
        <f t="shared" si="718"/>
        <v/>
      </c>
      <c r="AS1628" s="105" t="str">
        <f t="shared" si="719"/>
        <v/>
      </c>
      <c r="AT1628" s="108" t="str">
        <f t="shared" si="720"/>
        <v/>
      </c>
      <c r="AU1628" s="108" t="str">
        <f t="shared" si="721"/>
        <v/>
      </c>
      <c r="AV1628" s="107" t="str">
        <f>IF(ISNUMBER(O1628),IF(VLOOKUP($A1628,Stand!C:J,8,FALSE)="Short",AT1628,AU1628),"")</f>
        <v/>
      </c>
      <c r="AW1628" s="109" t="str">
        <f t="shared" si="727"/>
        <v/>
      </c>
      <c r="AX1628" s="109" t="str">
        <f t="shared" si="728"/>
        <v/>
      </c>
      <c r="AY1628" s="112" t="str">
        <f>IF(ISNUMBER(O1628),IF(AND(VLOOKUP($D1628,Merchantability!$B:$C,2,0)="Yes",$E1628&gt;=VLOOKUP($D1628,Merchantability!$B:$D,3,0),$E1628&lt;=VLOOKUP($D1628,Merchantability!$B:$E,4,0)),(AV1628*O1628)*(1-$H1628/100),""),"")</f>
        <v/>
      </c>
      <c r="AZ1628" s="116"/>
      <c r="BA1628" s="116"/>
      <c r="BB1628" s="116"/>
      <c r="BE1628" s="62"/>
      <c r="BF1628" s="63"/>
    </row>
    <row r="1629" spans="1:58" ht="12.75" customHeight="1" x14ac:dyDescent="0.25">
      <c r="A1629" s="334"/>
      <c r="B1629" s="334"/>
      <c r="C1629" s="332"/>
      <c r="D1629" s="334"/>
      <c r="E1629" s="335"/>
      <c r="F1629" s="334"/>
      <c r="G1629" s="332"/>
      <c r="H1629" s="332"/>
      <c r="I1629" s="334"/>
      <c r="J1629" s="336"/>
      <c r="K1629" s="332"/>
      <c r="L1629" s="332"/>
      <c r="M1629" s="76"/>
      <c r="N1629" s="103" t="str">
        <f>IF(A1629="","",VLOOKUP(A1629,Stand!C:K,9,0))</f>
        <v/>
      </c>
      <c r="O1629" s="104" t="str">
        <f t="shared" si="713"/>
        <v/>
      </c>
      <c r="P1629" s="105" t="str">
        <f t="shared" si="714"/>
        <v/>
      </c>
      <c r="Q1629" s="105" t="str">
        <f t="shared" ref="Q1629:Q1692" si="729">IF(AND(ISNUMBER(O1629),I1629&gt;0),I1629*O1629,"")</f>
        <v/>
      </c>
      <c r="R1629" s="103" t="str">
        <f t="shared" si="715"/>
        <v/>
      </c>
      <c r="S1629" s="103" t="str">
        <f t="shared" si="716"/>
        <v/>
      </c>
      <c r="T1629" s="106" t="str">
        <f t="shared" ref="T1629:T1692" si="730">IF(AND(ISNUMBER(O1629),J1629&gt;0),J1629/100,"")</f>
        <v/>
      </c>
      <c r="U1629" s="106" t="str">
        <f t="shared" ref="U1629:U1692" si="731">IF(AND(ISNUMBER(O1629),J1629&gt;0),T1629*O1629,"")</f>
        <v/>
      </c>
      <c r="V1629" s="106" t="str">
        <f t="shared" ref="V1629:V1692" si="732">IF(AND(ISNUMBER(O1629),I1629&gt;0),W1629*O1629,"")</f>
        <v/>
      </c>
      <c r="W1629" s="105" t="str">
        <f t="shared" si="717"/>
        <v/>
      </c>
      <c r="X1629" s="104" t="str">
        <f t="shared" si="722"/>
        <v/>
      </c>
      <c r="Y1629" s="104" t="str">
        <f t="array" ref="Y1629">IFERROR(IF(ISNUMBER(O1629),IF(COUNT(IF(A1629=$A$2:$A$2427,IF(D1629=$D$2:$D$2427,IF($X$2:$X$2427&gt;0,1))))&gt;0,SUM(IF(A1629=$A$2:$A$2427,IF(D1629=$D$2:$D$2427,$X$2:$X$2427)))/COUNT(IF(A1629=$A$2:$A$2427,IF(D1629=$D$2:$D$2427,IF(ISNUMBER($X$2:$X$2427),1)))),0),""),0)</f>
        <v/>
      </c>
      <c r="Z1629" s="104" t="str">
        <f>IF(ISNUMBER(O1629),IF(I1629&gt;0,(10^(VLOOKUP(D1629,'Species Codes'!B:C,2,0)+VLOOKUP(D1629,'Species Codes'!B:D,3,0)*LOG(E1629)+VLOOKUP(D1629,'Species Codes'!B:E,4,0)*LOG(I1629))),0),"")</f>
        <v/>
      </c>
      <c r="AA1629" s="104" t="str">
        <f>IFERROR((VLOOKUP(D1629,'Species Codes'!B:G,6,0)*Z1629)/2000,"")</f>
        <v/>
      </c>
      <c r="AB1629" s="104" t="e">
        <f>IF(Z1629&gt;0,((IF(OR(D1629="DF",D1629="RA")=TRUE,EXP(VLOOKUP(D1629,'Species Codes'!B:I,8,0)+VLOOKUP(D1629,'Species Codes'!B:J,9,0)*(LN((E1629*2.54)))),IF(OR(D1629="PY",D1629="RC",D1629="WH",D1629="NF")=TRUE,VLOOKUP(D1629,'Species Codes'!B:I,8,0)+VLOOKUP(D1629,'Species Codes'!B:J,9,0)*((E1629*2.54)^2)*(I1629*0.3048),IF(OR(D1629="MD",D1629="BM",D1629="GA")=TRUE,((VLOOKUP(D1629,'Species Codes'!B:I,8,0)*(((((E1629*2.54)+VLOOKUP(D1629,'Species Codes'!B:J,9,0))/VLOOKUP(D1629,'Species Codes'!B:K,10,0))^VLOOKUP(D1629,'Species Codes'!B:L,11,0))*((I1629*0.3048)^VLOOKUP(D1629,'Species Codes'!B:M,12,0))))-(VLOOKUP(D1629,'Species Codes'!B:I,8,0)*((((E1629*2.54)^VLOOKUP(D1629,'Species Codes'!B:L,11,0))*((I1629*0.3048)^VLOOKUP(D1629,'Species Codes'!B:M,12,0))))))*35.3*VLOOKUP(D1629,'Species Codes'!B:G,6,0)/2.2046,VLOOKUP(D1629,'Species Codes'!B:I,8,0)+VLOOKUP(D1629,'Species Codes'!B:J,9,0)*(((E1629*2.54)/100)^2)*(I1629*0.3048)))))*0.0011023),0)</f>
        <v>#N/A</v>
      </c>
      <c r="AC1629" s="104" t="e">
        <f>IF(Z1629&gt;0,((IF(OR(D1629="RA",D1629="OA",D1629="OT",D1629="UN",D1629="PC"),EXP(VLOOKUP(D1629,'Species Codes'!B:O,14,0)+VLOOKUP(D1629,'Species Codes'!B:P,15,0)*LN((E1629*2.54)))-EXP(VLOOKUP(D1629,'Species Codes'!B:O,14,0)+VLOOKUP(D1629,'Species Codes'!B:P,15,0)*LN((E1629*2.54)))*(1/(VLOOKUP(D1629,'Species Codes'!B:Q,16,0)+VLOOKUP(D1629,'Species Codes'!B:R,17,0)*((E1629*2.54)^VLOOKUP(D1629,'Species Codes'!B:S,18,0)))),IF(OR(D1629="BM",D1629="MD",D1629="OA"),EXP(VLOOKUP(D1629,'Species Codes'!B:O,14,0)+VLOOKUP(D1629,'Species Codes'!B:P,15,0)*LN((E1629*2.54)))*(1-(1/(VLOOKUP(D1629,'Species Codes'!B:Q,16,0)+VLOOKUP(D1629,'Species Codes'!B:R,17,0)*((E1629*2.54)^VLOOKUP(D1629,'Species Codes'!B:S,18,0)))))/1000,IF(D1629="DF",EXP(VLOOKUP(D1629,'Species Codes'!B:O,14,0)+VLOOKUP(D1629,'Species Codes'!B:P,15,0)*LN((E1629*2.54))),VLOOKUP(D1629,'Species Codes'!B:O,14,0)+VLOOKUP(D1629,'Species Codes'!B:P,15,0)*(((E1629*2.54)/100)^2)*(I1629*0.3048)))))*0.0011023),0)</f>
        <v>#N/A</v>
      </c>
      <c r="AD1629" s="104" t="e">
        <f t="shared" ref="AD1629:AD1692" si="733">SUM(AA1629:AC1629)</f>
        <v>#N/A</v>
      </c>
      <c r="AE1629" s="104" t="e">
        <f t="shared" ref="AE1629:AE1692" si="734">AD1629*O1629</f>
        <v>#N/A</v>
      </c>
      <c r="AF1629" s="104" t="e">
        <f>IF(AND(VLOOKUP($D1629,Merchantability!$B:$C,2,0)="Yes",$E1629&gt;=VLOOKUP($D1629,Merchantability!$B:$D,3,0),$E1629&lt;=VLOOKUP($D1629,Merchantability!$B:$E,4,0)),AA1629,0)</f>
        <v>#N/A</v>
      </c>
      <c r="AG1629" s="104" t="e">
        <f>IF(AND(VLOOKUP($D1629,Merchantability!$B:$C,2,0)="Yes",$E1629&gt;=VLOOKUP($D1629,Merchantability!$B:$D,3,0),$E1629&lt;=VLOOKUP($D1629,Merchantability!$B:$E,4,0)),AB1629,0)</f>
        <v>#N/A</v>
      </c>
      <c r="AH1629" s="104" t="e">
        <f>IF(AND(VLOOKUP($D1629,Merchantability!$B:$C,2,0)="Yes",$E1629&gt;=VLOOKUP($D1629,Merchantability!$B:$D,3,0),$E1629&lt;=VLOOKUP($D1629,Merchantability!$B:$E,4,0)),AC1629,0)</f>
        <v>#N/A</v>
      </c>
      <c r="AI1629" s="104" t="e">
        <f t="shared" ref="AI1629:AI1692" si="735">SUM(AF1629:AH1629)</f>
        <v>#N/A</v>
      </c>
      <c r="AJ1629" s="104" t="e">
        <f t="shared" ref="AJ1629:AJ1692" si="736">AA1629*$O1629</f>
        <v>#VALUE!</v>
      </c>
      <c r="AK1629" s="104" t="e">
        <f t="shared" ref="AK1629:AK1692" si="737">AB1629*$O1629</f>
        <v>#N/A</v>
      </c>
      <c r="AL1629" s="104" t="e">
        <f t="shared" ref="AL1629:AL1692" si="738">AC1629*$O1629</f>
        <v>#N/A</v>
      </c>
      <c r="AM1629" s="104" t="e">
        <f t="shared" ref="AM1629:AM1692" si="739">AD1629*$O1629</f>
        <v>#N/A</v>
      </c>
      <c r="AN1629" s="104" t="e">
        <f t="shared" si="723"/>
        <v>#N/A</v>
      </c>
      <c r="AO1629" s="104" t="e">
        <f t="shared" si="724"/>
        <v>#N/A</v>
      </c>
      <c r="AP1629" s="104" t="e">
        <f t="shared" si="725"/>
        <v>#N/A</v>
      </c>
      <c r="AQ1629" s="104" t="e">
        <f t="shared" si="726"/>
        <v>#N/A</v>
      </c>
      <c r="AR1629" s="105" t="str">
        <f t="shared" si="718"/>
        <v/>
      </c>
      <c r="AS1629" s="105" t="str">
        <f t="shared" si="719"/>
        <v/>
      </c>
      <c r="AT1629" s="108" t="str">
        <f t="shared" si="720"/>
        <v/>
      </c>
      <c r="AU1629" s="108" t="str">
        <f t="shared" si="721"/>
        <v/>
      </c>
      <c r="AV1629" s="107" t="str">
        <f>IF(ISNUMBER(O1629),IF(VLOOKUP($A1629,Stand!C:J,8,FALSE)="Short",AT1629,AU1629),"")</f>
        <v/>
      </c>
      <c r="AW1629" s="109" t="str">
        <f t="shared" si="727"/>
        <v/>
      </c>
      <c r="AX1629" s="109" t="str">
        <f t="shared" si="728"/>
        <v/>
      </c>
      <c r="AY1629" s="112" t="str">
        <f>IF(ISNUMBER(O1629),IF(AND(VLOOKUP($D1629,Merchantability!$B:$C,2,0)="Yes",$E1629&gt;=VLOOKUP($D1629,Merchantability!$B:$D,3,0),$E1629&lt;=VLOOKUP($D1629,Merchantability!$B:$E,4,0)),(AV1629*O1629)*(1-$H1629/100),""),"")</f>
        <v/>
      </c>
      <c r="AZ1629" s="116"/>
      <c r="BA1629" s="116"/>
      <c r="BB1629" s="116"/>
      <c r="BE1629" s="62"/>
      <c r="BF1629" s="63"/>
    </row>
    <row r="1630" spans="1:58" ht="12.75" customHeight="1" x14ac:dyDescent="0.25">
      <c r="A1630" s="334"/>
      <c r="B1630" s="334"/>
      <c r="C1630" s="332"/>
      <c r="D1630" s="334"/>
      <c r="E1630" s="335"/>
      <c r="F1630" s="334"/>
      <c r="G1630" s="332"/>
      <c r="H1630" s="332"/>
      <c r="I1630" s="334"/>
      <c r="J1630" s="336"/>
      <c r="K1630" s="332"/>
      <c r="L1630" s="332"/>
      <c r="M1630" s="76"/>
      <c r="N1630" s="103" t="str">
        <f>IF(A1630="","",VLOOKUP(A1630,Stand!C:K,9,0))</f>
        <v/>
      </c>
      <c r="O1630" s="104" t="str">
        <f t="shared" si="713"/>
        <v/>
      </c>
      <c r="P1630" s="105" t="str">
        <f t="shared" si="714"/>
        <v/>
      </c>
      <c r="Q1630" s="105" t="str">
        <f t="shared" si="729"/>
        <v/>
      </c>
      <c r="R1630" s="103" t="str">
        <f t="shared" si="715"/>
        <v/>
      </c>
      <c r="S1630" s="103" t="str">
        <f t="shared" si="716"/>
        <v/>
      </c>
      <c r="T1630" s="106" t="str">
        <f t="shared" si="730"/>
        <v/>
      </c>
      <c r="U1630" s="106" t="str">
        <f t="shared" si="731"/>
        <v/>
      </c>
      <c r="V1630" s="106" t="str">
        <f t="shared" si="732"/>
        <v/>
      </c>
      <c r="W1630" s="105" t="str">
        <f t="shared" si="717"/>
        <v/>
      </c>
      <c r="X1630" s="104" t="str">
        <f t="shared" si="722"/>
        <v/>
      </c>
      <c r="Y1630" s="104" t="str">
        <f t="array" ref="Y1630">IFERROR(IF(ISNUMBER(O1630),IF(COUNT(IF(A1630=$A$2:$A$2427,IF(D1630=$D$2:$D$2427,IF($X$2:$X$2427&gt;0,1))))&gt;0,SUM(IF(A1630=$A$2:$A$2427,IF(D1630=$D$2:$D$2427,$X$2:$X$2427)))/COUNT(IF(A1630=$A$2:$A$2427,IF(D1630=$D$2:$D$2427,IF(ISNUMBER($X$2:$X$2427),1)))),0),""),0)</f>
        <v/>
      </c>
      <c r="Z1630" s="104" t="str">
        <f>IF(ISNUMBER(O1630),IF(I1630&gt;0,(10^(VLOOKUP(D1630,'Species Codes'!B:C,2,0)+VLOOKUP(D1630,'Species Codes'!B:D,3,0)*LOG(E1630)+VLOOKUP(D1630,'Species Codes'!B:E,4,0)*LOG(I1630))),0),"")</f>
        <v/>
      </c>
      <c r="AA1630" s="104" t="str">
        <f>IFERROR((VLOOKUP(D1630,'Species Codes'!B:G,6,0)*Z1630)/2000,"")</f>
        <v/>
      </c>
      <c r="AB1630" s="104" t="e">
        <f>IF(Z1630&gt;0,((IF(OR(D1630="DF",D1630="RA")=TRUE,EXP(VLOOKUP(D1630,'Species Codes'!B:I,8,0)+VLOOKUP(D1630,'Species Codes'!B:J,9,0)*(LN((E1630*2.54)))),IF(OR(D1630="PY",D1630="RC",D1630="WH",D1630="NF")=TRUE,VLOOKUP(D1630,'Species Codes'!B:I,8,0)+VLOOKUP(D1630,'Species Codes'!B:J,9,0)*((E1630*2.54)^2)*(I1630*0.3048),IF(OR(D1630="MD",D1630="BM",D1630="GA")=TRUE,((VLOOKUP(D1630,'Species Codes'!B:I,8,0)*(((((E1630*2.54)+VLOOKUP(D1630,'Species Codes'!B:J,9,0))/VLOOKUP(D1630,'Species Codes'!B:K,10,0))^VLOOKUP(D1630,'Species Codes'!B:L,11,0))*((I1630*0.3048)^VLOOKUP(D1630,'Species Codes'!B:M,12,0))))-(VLOOKUP(D1630,'Species Codes'!B:I,8,0)*((((E1630*2.54)^VLOOKUP(D1630,'Species Codes'!B:L,11,0))*((I1630*0.3048)^VLOOKUP(D1630,'Species Codes'!B:M,12,0))))))*35.3*VLOOKUP(D1630,'Species Codes'!B:G,6,0)/2.2046,VLOOKUP(D1630,'Species Codes'!B:I,8,0)+VLOOKUP(D1630,'Species Codes'!B:J,9,0)*(((E1630*2.54)/100)^2)*(I1630*0.3048)))))*0.0011023),0)</f>
        <v>#N/A</v>
      </c>
      <c r="AC1630" s="104" t="e">
        <f>IF(Z1630&gt;0,((IF(OR(D1630="RA",D1630="OA",D1630="OT",D1630="UN",D1630="PC"),EXP(VLOOKUP(D1630,'Species Codes'!B:O,14,0)+VLOOKUP(D1630,'Species Codes'!B:P,15,0)*LN((E1630*2.54)))-EXP(VLOOKUP(D1630,'Species Codes'!B:O,14,0)+VLOOKUP(D1630,'Species Codes'!B:P,15,0)*LN((E1630*2.54)))*(1/(VLOOKUP(D1630,'Species Codes'!B:Q,16,0)+VLOOKUP(D1630,'Species Codes'!B:R,17,0)*((E1630*2.54)^VLOOKUP(D1630,'Species Codes'!B:S,18,0)))),IF(OR(D1630="BM",D1630="MD",D1630="OA"),EXP(VLOOKUP(D1630,'Species Codes'!B:O,14,0)+VLOOKUP(D1630,'Species Codes'!B:P,15,0)*LN((E1630*2.54)))*(1-(1/(VLOOKUP(D1630,'Species Codes'!B:Q,16,0)+VLOOKUP(D1630,'Species Codes'!B:R,17,0)*((E1630*2.54)^VLOOKUP(D1630,'Species Codes'!B:S,18,0)))))/1000,IF(D1630="DF",EXP(VLOOKUP(D1630,'Species Codes'!B:O,14,0)+VLOOKUP(D1630,'Species Codes'!B:P,15,0)*LN((E1630*2.54))),VLOOKUP(D1630,'Species Codes'!B:O,14,0)+VLOOKUP(D1630,'Species Codes'!B:P,15,0)*(((E1630*2.54)/100)^2)*(I1630*0.3048)))))*0.0011023),0)</f>
        <v>#N/A</v>
      </c>
      <c r="AD1630" s="104" t="e">
        <f t="shared" si="733"/>
        <v>#N/A</v>
      </c>
      <c r="AE1630" s="104" t="e">
        <f t="shared" si="734"/>
        <v>#N/A</v>
      </c>
      <c r="AF1630" s="104" t="e">
        <f>IF(AND(VLOOKUP($D1630,Merchantability!$B:$C,2,0)="Yes",$E1630&gt;=VLOOKUP($D1630,Merchantability!$B:$D,3,0),$E1630&lt;=VLOOKUP($D1630,Merchantability!$B:$E,4,0)),AA1630,0)</f>
        <v>#N/A</v>
      </c>
      <c r="AG1630" s="104" t="e">
        <f>IF(AND(VLOOKUP($D1630,Merchantability!$B:$C,2,0)="Yes",$E1630&gt;=VLOOKUP($D1630,Merchantability!$B:$D,3,0),$E1630&lt;=VLOOKUP($D1630,Merchantability!$B:$E,4,0)),AB1630,0)</f>
        <v>#N/A</v>
      </c>
      <c r="AH1630" s="104" t="e">
        <f>IF(AND(VLOOKUP($D1630,Merchantability!$B:$C,2,0)="Yes",$E1630&gt;=VLOOKUP($D1630,Merchantability!$B:$D,3,0),$E1630&lt;=VLOOKUP($D1630,Merchantability!$B:$E,4,0)),AC1630,0)</f>
        <v>#N/A</v>
      </c>
      <c r="AI1630" s="104" t="e">
        <f t="shared" si="735"/>
        <v>#N/A</v>
      </c>
      <c r="AJ1630" s="104" t="e">
        <f t="shared" si="736"/>
        <v>#VALUE!</v>
      </c>
      <c r="AK1630" s="104" t="e">
        <f t="shared" si="737"/>
        <v>#N/A</v>
      </c>
      <c r="AL1630" s="104" t="e">
        <f t="shared" si="738"/>
        <v>#N/A</v>
      </c>
      <c r="AM1630" s="104" t="e">
        <f t="shared" si="739"/>
        <v>#N/A</v>
      </c>
      <c r="AN1630" s="104" t="e">
        <f t="shared" si="723"/>
        <v>#N/A</v>
      </c>
      <c r="AO1630" s="104" t="e">
        <f t="shared" si="724"/>
        <v>#N/A</v>
      </c>
      <c r="AP1630" s="104" t="e">
        <f t="shared" si="725"/>
        <v>#N/A</v>
      </c>
      <c r="AQ1630" s="104" t="e">
        <f t="shared" si="726"/>
        <v>#N/A</v>
      </c>
      <c r="AR1630" s="105" t="str">
        <f t="shared" si="718"/>
        <v/>
      </c>
      <c r="AS1630" s="105" t="str">
        <f t="shared" si="719"/>
        <v/>
      </c>
      <c r="AT1630" s="108" t="str">
        <f t="shared" si="720"/>
        <v/>
      </c>
      <c r="AU1630" s="108" t="str">
        <f t="shared" si="721"/>
        <v/>
      </c>
      <c r="AV1630" s="107" t="str">
        <f>IF(ISNUMBER(O1630),IF(VLOOKUP($A1630,Stand!C:J,8,FALSE)="Short",AT1630,AU1630),"")</f>
        <v/>
      </c>
      <c r="AW1630" s="109" t="str">
        <f t="shared" si="727"/>
        <v/>
      </c>
      <c r="AX1630" s="109" t="str">
        <f t="shared" si="728"/>
        <v/>
      </c>
      <c r="AY1630" s="112" t="str">
        <f>IF(ISNUMBER(O1630),IF(AND(VLOOKUP($D1630,Merchantability!$B:$C,2,0)="Yes",$E1630&gt;=VLOOKUP($D1630,Merchantability!$B:$D,3,0),$E1630&lt;=VLOOKUP($D1630,Merchantability!$B:$E,4,0)),(AV1630*O1630)*(1-$H1630/100),""),"")</f>
        <v/>
      </c>
      <c r="AZ1630" s="116"/>
      <c r="BA1630" s="116"/>
      <c r="BB1630" s="116"/>
      <c r="BE1630" s="62"/>
      <c r="BF1630" s="63"/>
    </row>
    <row r="1631" spans="1:58" ht="12.75" customHeight="1" x14ac:dyDescent="0.25">
      <c r="A1631" s="334"/>
      <c r="B1631" s="334"/>
      <c r="C1631" s="332"/>
      <c r="D1631" s="334"/>
      <c r="E1631" s="335"/>
      <c r="F1631" s="334"/>
      <c r="G1631" s="332"/>
      <c r="H1631" s="332"/>
      <c r="I1631" s="334"/>
      <c r="J1631" s="336"/>
      <c r="K1631" s="332"/>
      <c r="L1631" s="332"/>
      <c r="M1631" s="76"/>
      <c r="N1631" s="103" t="str">
        <f>IF(A1631="","",VLOOKUP(A1631,Stand!C:K,9,0))</f>
        <v/>
      </c>
      <c r="O1631" s="104" t="str">
        <f t="shared" si="713"/>
        <v/>
      </c>
      <c r="P1631" s="105" t="str">
        <f t="shared" si="714"/>
        <v/>
      </c>
      <c r="Q1631" s="105" t="str">
        <f t="shared" si="729"/>
        <v/>
      </c>
      <c r="R1631" s="103" t="str">
        <f t="shared" si="715"/>
        <v/>
      </c>
      <c r="S1631" s="103" t="str">
        <f t="shared" si="716"/>
        <v/>
      </c>
      <c r="T1631" s="106" t="str">
        <f t="shared" si="730"/>
        <v/>
      </c>
      <c r="U1631" s="106" t="str">
        <f t="shared" si="731"/>
        <v/>
      </c>
      <c r="V1631" s="106" t="str">
        <f t="shared" si="732"/>
        <v/>
      </c>
      <c r="W1631" s="105" t="str">
        <f t="shared" si="717"/>
        <v/>
      </c>
      <c r="X1631" s="104" t="str">
        <f t="shared" si="722"/>
        <v/>
      </c>
      <c r="Y1631" s="104" t="str">
        <f t="array" ref="Y1631">IFERROR(IF(ISNUMBER(O1631),IF(COUNT(IF(A1631=$A$2:$A$2427,IF(D1631=$D$2:$D$2427,IF($X$2:$X$2427&gt;0,1))))&gt;0,SUM(IF(A1631=$A$2:$A$2427,IF(D1631=$D$2:$D$2427,$X$2:$X$2427)))/COUNT(IF(A1631=$A$2:$A$2427,IF(D1631=$D$2:$D$2427,IF(ISNUMBER($X$2:$X$2427),1)))),0),""),0)</f>
        <v/>
      </c>
      <c r="Z1631" s="104" t="str">
        <f>IF(ISNUMBER(O1631),IF(I1631&gt;0,(10^(VLOOKUP(D1631,'Species Codes'!B:C,2,0)+VLOOKUP(D1631,'Species Codes'!B:D,3,0)*LOG(E1631)+VLOOKUP(D1631,'Species Codes'!B:E,4,0)*LOG(I1631))),0),"")</f>
        <v/>
      </c>
      <c r="AA1631" s="104" t="str">
        <f>IFERROR((VLOOKUP(D1631,'Species Codes'!B:G,6,0)*Z1631)/2000,"")</f>
        <v/>
      </c>
      <c r="AB1631" s="104" t="e">
        <f>IF(Z1631&gt;0,((IF(OR(D1631="DF",D1631="RA")=TRUE,EXP(VLOOKUP(D1631,'Species Codes'!B:I,8,0)+VLOOKUP(D1631,'Species Codes'!B:J,9,0)*(LN((E1631*2.54)))),IF(OR(D1631="PY",D1631="RC",D1631="WH",D1631="NF")=TRUE,VLOOKUP(D1631,'Species Codes'!B:I,8,0)+VLOOKUP(D1631,'Species Codes'!B:J,9,0)*((E1631*2.54)^2)*(I1631*0.3048),IF(OR(D1631="MD",D1631="BM",D1631="GA")=TRUE,((VLOOKUP(D1631,'Species Codes'!B:I,8,0)*(((((E1631*2.54)+VLOOKUP(D1631,'Species Codes'!B:J,9,0))/VLOOKUP(D1631,'Species Codes'!B:K,10,0))^VLOOKUP(D1631,'Species Codes'!B:L,11,0))*((I1631*0.3048)^VLOOKUP(D1631,'Species Codes'!B:M,12,0))))-(VLOOKUP(D1631,'Species Codes'!B:I,8,0)*((((E1631*2.54)^VLOOKUP(D1631,'Species Codes'!B:L,11,0))*((I1631*0.3048)^VLOOKUP(D1631,'Species Codes'!B:M,12,0))))))*35.3*VLOOKUP(D1631,'Species Codes'!B:G,6,0)/2.2046,VLOOKUP(D1631,'Species Codes'!B:I,8,0)+VLOOKUP(D1631,'Species Codes'!B:J,9,0)*(((E1631*2.54)/100)^2)*(I1631*0.3048)))))*0.0011023),0)</f>
        <v>#N/A</v>
      </c>
      <c r="AC1631" s="104" t="e">
        <f>IF(Z1631&gt;0,((IF(OR(D1631="RA",D1631="OA",D1631="OT",D1631="UN",D1631="PC"),EXP(VLOOKUP(D1631,'Species Codes'!B:O,14,0)+VLOOKUP(D1631,'Species Codes'!B:P,15,0)*LN((E1631*2.54)))-EXP(VLOOKUP(D1631,'Species Codes'!B:O,14,0)+VLOOKUP(D1631,'Species Codes'!B:P,15,0)*LN((E1631*2.54)))*(1/(VLOOKUP(D1631,'Species Codes'!B:Q,16,0)+VLOOKUP(D1631,'Species Codes'!B:R,17,0)*((E1631*2.54)^VLOOKUP(D1631,'Species Codes'!B:S,18,0)))),IF(OR(D1631="BM",D1631="MD",D1631="OA"),EXP(VLOOKUP(D1631,'Species Codes'!B:O,14,0)+VLOOKUP(D1631,'Species Codes'!B:P,15,0)*LN((E1631*2.54)))*(1-(1/(VLOOKUP(D1631,'Species Codes'!B:Q,16,0)+VLOOKUP(D1631,'Species Codes'!B:R,17,0)*((E1631*2.54)^VLOOKUP(D1631,'Species Codes'!B:S,18,0)))))/1000,IF(D1631="DF",EXP(VLOOKUP(D1631,'Species Codes'!B:O,14,0)+VLOOKUP(D1631,'Species Codes'!B:P,15,0)*LN((E1631*2.54))),VLOOKUP(D1631,'Species Codes'!B:O,14,0)+VLOOKUP(D1631,'Species Codes'!B:P,15,0)*(((E1631*2.54)/100)^2)*(I1631*0.3048)))))*0.0011023),0)</f>
        <v>#N/A</v>
      </c>
      <c r="AD1631" s="104" t="e">
        <f t="shared" si="733"/>
        <v>#N/A</v>
      </c>
      <c r="AE1631" s="104" t="e">
        <f t="shared" si="734"/>
        <v>#N/A</v>
      </c>
      <c r="AF1631" s="104" t="e">
        <f>IF(AND(VLOOKUP($D1631,Merchantability!$B:$C,2,0)="Yes",$E1631&gt;=VLOOKUP($D1631,Merchantability!$B:$D,3,0),$E1631&lt;=VLOOKUP($D1631,Merchantability!$B:$E,4,0)),AA1631,0)</f>
        <v>#N/A</v>
      </c>
      <c r="AG1631" s="104" t="e">
        <f>IF(AND(VLOOKUP($D1631,Merchantability!$B:$C,2,0)="Yes",$E1631&gt;=VLOOKUP($D1631,Merchantability!$B:$D,3,0),$E1631&lt;=VLOOKUP($D1631,Merchantability!$B:$E,4,0)),AB1631,0)</f>
        <v>#N/A</v>
      </c>
      <c r="AH1631" s="104" t="e">
        <f>IF(AND(VLOOKUP($D1631,Merchantability!$B:$C,2,0)="Yes",$E1631&gt;=VLOOKUP($D1631,Merchantability!$B:$D,3,0),$E1631&lt;=VLOOKUP($D1631,Merchantability!$B:$E,4,0)),AC1631,0)</f>
        <v>#N/A</v>
      </c>
      <c r="AI1631" s="104" t="e">
        <f t="shared" si="735"/>
        <v>#N/A</v>
      </c>
      <c r="AJ1631" s="104" t="e">
        <f t="shared" si="736"/>
        <v>#VALUE!</v>
      </c>
      <c r="AK1631" s="104" t="e">
        <f t="shared" si="737"/>
        <v>#N/A</v>
      </c>
      <c r="AL1631" s="104" t="e">
        <f t="shared" si="738"/>
        <v>#N/A</v>
      </c>
      <c r="AM1631" s="104" t="e">
        <f t="shared" si="739"/>
        <v>#N/A</v>
      </c>
      <c r="AN1631" s="104" t="e">
        <f t="shared" si="723"/>
        <v>#N/A</v>
      </c>
      <c r="AO1631" s="104" t="e">
        <f t="shared" si="724"/>
        <v>#N/A</v>
      </c>
      <c r="AP1631" s="104" t="e">
        <f t="shared" si="725"/>
        <v>#N/A</v>
      </c>
      <c r="AQ1631" s="104" t="e">
        <f t="shared" si="726"/>
        <v>#N/A</v>
      </c>
      <c r="AR1631" s="105" t="str">
        <f t="shared" si="718"/>
        <v/>
      </c>
      <c r="AS1631" s="105" t="str">
        <f t="shared" si="719"/>
        <v/>
      </c>
      <c r="AT1631" s="108" t="str">
        <f t="shared" si="720"/>
        <v/>
      </c>
      <c r="AU1631" s="108" t="str">
        <f t="shared" si="721"/>
        <v/>
      </c>
      <c r="AV1631" s="107" t="str">
        <f>IF(ISNUMBER(O1631),IF(VLOOKUP($A1631,Stand!C:J,8,FALSE)="Short",AT1631,AU1631),"")</f>
        <v/>
      </c>
      <c r="AW1631" s="109" t="str">
        <f t="shared" si="727"/>
        <v/>
      </c>
      <c r="AX1631" s="109" t="str">
        <f t="shared" si="728"/>
        <v/>
      </c>
      <c r="AY1631" s="112" t="str">
        <f>IF(ISNUMBER(O1631),IF(AND(VLOOKUP($D1631,Merchantability!$B:$C,2,0)="Yes",$E1631&gt;=VLOOKUP($D1631,Merchantability!$B:$D,3,0),$E1631&lt;=VLOOKUP($D1631,Merchantability!$B:$E,4,0)),(AV1631*O1631)*(1-$H1631/100),""),"")</f>
        <v/>
      </c>
      <c r="AZ1631" s="116"/>
      <c r="BA1631" s="116"/>
      <c r="BB1631" s="116"/>
      <c r="BE1631" s="62"/>
      <c r="BF1631" s="63"/>
    </row>
    <row r="1632" spans="1:58" ht="12.75" customHeight="1" x14ac:dyDescent="0.25">
      <c r="A1632" s="334"/>
      <c r="B1632" s="334"/>
      <c r="C1632" s="332"/>
      <c r="D1632" s="334"/>
      <c r="E1632" s="335"/>
      <c r="F1632" s="334"/>
      <c r="G1632" s="332"/>
      <c r="H1632" s="332"/>
      <c r="I1632" s="334"/>
      <c r="J1632" s="336"/>
      <c r="K1632" s="332"/>
      <c r="L1632" s="332"/>
      <c r="M1632" s="76"/>
      <c r="N1632" s="103" t="str">
        <f>IF(A1632="","",VLOOKUP(A1632,Stand!C:K,9,0))</f>
        <v/>
      </c>
      <c r="O1632" s="104" t="str">
        <f t="shared" si="713"/>
        <v/>
      </c>
      <c r="P1632" s="105" t="str">
        <f t="shared" si="714"/>
        <v/>
      </c>
      <c r="Q1632" s="105" t="str">
        <f t="shared" si="729"/>
        <v/>
      </c>
      <c r="R1632" s="103" t="str">
        <f t="shared" si="715"/>
        <v/>
      </c>
      <c r="S1632" s="103" t="str">
        <f t="shared" si="716"/>
        <v/>
      </c>
      <c r="T1632" s="106" t="str">
        <f t="shared" si="730"/>
        <v/>
      </c>
      <c r="U1632" s="106" t="str">
        <f t="shared" si="731"/>
        <v/>
      </c>
      <c r="V1632" s="106" t="str">
        <f t="shared" si="732"/>
        <v/>
      </c>
      <c r="W1632" s="105" t="str">
        <f t="shared" si="717"/>
        <v/>
      </c>
      <c r="X1632" s="104" t="str">
        <f t="shared" si="722"/>
        <v/>
      </c>
      <c r="Y1632" s="104" t="str">
        <f t="array" ref="Y1632">IFERROR(IF(ISNUMBER(O1632),IF(COUNT(IF(A1632=$A$2:$A$2427,IF(D1632=$D$2:$D$2427,IF($X$2:$X$2427&gt;0,1))))&gt;0,SUM(IF(A1632=$A$2:$A$2427,IF(D1632=$D$2:$D$2427,$X$2:$X$2427)))/COUNT(IF(A1632=$A$2:$A$2427,IF(D1632=$D$2:$D$2427,IF(ISNUMBER($X$2:$X$2427),1)))),0),""),0)</f>
        <v/>
      </c>
      <c r="Z1632" s="104" t="str">
        <f>IF(ISNUMBER(O1632),IF(I1632&gt;0,(10^(VLOOKUP(D1632,'Species Codes'!B:C,2,0)+VLOOKUP(D1632,'Species Codes'!B:D,3,0)*LOG(E1632)+VLOOKUP(D1632,'Species Codes'!B:E,4,0)*LOG(I1632))),0),"")</f>
        <v/>
      </c>
      <c r="AA1632" s="104" t="str">
        <f>IFERROR((VLOOKUP(D1632,'Species Codes'!B:G,6,0)*Z1632)/2000,"")</f>
        <v/>
      </c>
      <c r="AB1632" s="104" t="e">
        <f>IF(Z1632&gt;0,((IF(OR(D1632="DF",D1632="RA")=TRUE,EXP(VLOOKUP(D1632,'Species Codes'!B:I,8,0)+VLOOKUP(D1632,'Species Codes'!B:J,9,0)*(LN((E1632*2.54)))),IF(OR(D1632="PY",D1632="RC",D1632="WH",D1632="NF")=TRUE,VLOOKUP(D1632,'Species Codes'!B:I,8,0)+VLOOKUP(D1632,'Species Codes'!B:J,9,0)*((E1632*2.54)^2)*(I1632*0.3048),IF(OR(D1632="MD",D1632="BM",D1632="GA")=TRUE,((VLOOKUP(D1632,'Species Codes'!B:I,8,0)*(((((E1632*2.54)+VLOOKUP(D1632,'Species Codes'!B:J,9,0))/VLOOKUP(D1632,'Species Codes'!B:K,10,0))^VLOOKUP(D1632,'Species Codes'!B:L,11,0))*((I1632*0.3048)^VLOOKUP(D1632,'Species Codes'!B:M,12,0))))-(VLOOKUP(D1632,'Species Codes'!B:I,8,0)*((((E1632*2.54)^VLOOKUP(D1632,'Species Codes'!B:L,11,0))*((I1632*0.3048)^VLOOKUP(D1632,'Species Codes'!B:M,12,0))))))*35.3*VLOOKUP(D1632,'Species Codes'!B:G,6,0)/2.2046,VLOOKUP(D1632,'Species Codes'!B:I,8,0)+VLOOKUP(D1632,'Species Codes'!B:J,9,0)*(((E1632*2.54)/100)^2)*(I1632*0.3048)))))*0.0011023),0)</f>
        <v>#N/A</v>
      </c>
      <c r="AC1632" s="104" t="e">
        <f>IF(Z1632&gt;0,((IF(OR(D1632="RA",D1632="OA",D1632="OT",D1632="UN",D1632="PC"),EXP(VLOOKUP(D1632,'Species Codes'!B:O,14,0)+VLOOKUP(D1632,'Species Codes'!B:P,15,0)*LN((E1632*2.54)))-EXP(VLOOKUP(D1632,'Species Codes'!B:O,14,0)+VLOOKUP(D1632,'Species Codes'!B:P,15,0)*LN((E1632*2.54)))*(1/(VLOOKUP(D1632,'Species Codes'!B:Q,16,0)+VLOOKUP(D1632,'Species Codes'!B:R,17,0)*((E1632*2.54)^VLOOKUP(D1632,'Species Codes'!B:S,18,0)))),IF(OR(D1632="BM",D1632="MD",D1632="OA"),EXP(VLOOKUP(D1632,'Species Codes'!B:O,14,0)+VLOOKUP(D1632,'Species Codes'!B:P,15,0)*LN((E1632*2.54)))*(1-(1/(VLOOKUP(D1632,'Species Codes'!B:Q,16,0)+VLOOKUP(D1632,'Species Codes'!B:R,17,0)*((E1632*2.54)^VLOOKUP(D1632,'Species Codes'!B:S,18,0)))))/1000,IF(D1632="DF",EXP(VLOOKUP(D1632,'Species Codes'!B:O,14,0)+VLOOKUP(D1632,'Species Codes'!B:P,15,0)*LN((E1632*2.54))),VLOOKUP(D1632,'Species Codes'!B:O,14,0)+VLOOKUP(D1632,'Species Codes'!B:P,15,0)*(((E1632*2.54)/100)^2)*(I1632*0.3048)))))*0.0011023),0)</f>
        <v>#N/A</v>
      </c>
      <c r="AD1632" s="104" t="e">
        <f t="shared" si="733"/>
        <v>#N/A</v>
      </c>
      <c r="AE1632" s="104" t="e">
        <f t="shared" si="734"/>
        <v>#N/A</v>
      </c>
      <c r="AF1632" s="104" t="e">
        <f>IF(AND(VLOOKUP($D1632,Merchantability!$B:$C,2,0)="Yes",$E1632&gt;=VLOOKUP($D1632,Merchantability!$B:$D,3,0),$E1632&lt;=VLOOKUP($D1632,Merchantability!$B:$E,4,0)),AA1632,0)</f>
        <v>#N/A</v>
      </c>
      <c r="AG1632" s="104" t="e">
        <f>IF(AND(VLOOKUP($D1632,Merchantability!$B:$C,2,0)="Yes",$E1632&gt;=VLOOKUP($D1632,Merchantability!$B:$D,3,0),$E1632&lt;=VLOOKUP($D1632,Merchantability!$B:$E,4,0)),AB1632,0)</f>
        <v>#N/A</v>
      </c>
      <c r="AH1632" s="104" t="e">
        <f>IF(AND(VLOOKUP($D1632,Merchantability!$B:$C,2,0)="Yes",$E1632&gt;=VLOOKUP($D1632,Merchantability!$B:$D,3,0),$E1632&lt;=VLOOKUP($D1632,Merchantability!$B:$E,4,0)),AC1632,0)</f>
        <v>#N/A</v>
      </c>
      <c r="AI1632" s="104" t="e">
        <f t="shared" si="735"/>
        <v>#N/A</v>
      </c>
      <c r="AJ1632" s="104" t="e">
        <f t="shared" si="736"/>
        <v>#VALUE!</v>
      </c>
      <c r="AK1632" s="104" t="e">
        <f t="shared" si="737"/>
        <v>#N/A</v>
      </c>
      <c r="AL1632" s="104" t="e">
        <f t="shared" si="738"/>
        <v>#N/A</v>
      </c>
      <c r="AM1632" s="104" t="e">
        <f t="shared" si="739"/>
        <v>#N/A</v>
      </c>
      <c r="AN1632" s="104" t="e">
        <f t="shared" si="723"/>
        <v>#N/A</v>
      </c>
      <c r="AO1632" s="104" t="e">
        <f t="shared" si="724"/>
        <v>#N/A</v>
      </c>
      <c r="AP1632" s="104" t="e">
        <f t="shared" si="725"/>
        <v>#N/A</v>
      </c>
      <c r="AQ1632" s="104" t="e">
        <f t="shared" si="726"/>
        <v>#N/A</v>
      </c>
      <c r="AR1632" s="105" t="str">
        <f t="shared" si="718"/>
        <v/>
      </c>
      <c r="AS1632" s="105" t="str">
        <f t="shared" si="719"/>
        <v/>
      </c>
      <c r="AT1632" s="108" t="str">
        <f t="shared" si="720"/>
        <v/>
      </c>
      <c r="AU1632" s="108" t="str">
        <f t="shared" si="721"/>
        <v/>
      </c>
      <c r="AV1632" s="107" t="str">
        <f>IF(ISNUMBER(O1632),IF(VLOOKUP($A1632,Stand!C:J,8,FALSE)="Short",AT1632,AU1632),"")</f>
        <v/>
      </c>
      <c r="AW1632" s="109" t="str">
        <f t="shared" si="727"/>
        <v/>
      </c>
      <c r="AX1632" s="109" t="str">
        <f t="shared" si="728"/>
        <v/>
      </c>
      <c r="AY1632" s="112" t="str">
        <f>IF(ISNUMBER(O1632),IF(AND(VLOOKUP($D1632,Merchantability!$B:$C,2,0)="Yes",$E1632&gt;=VLOOKUP($D1632,Merchantability!$B:$D,3,0),$E1632&lt;=VLOOKUP($D1632,Merchantability!$B:$E,4,0)),(AV1632*O1632)*(1-$H1632/100),""),"")</f>
        <v/>
      </c>
      <c r="AZ1632" s="116"/>
      <c r="BA1632" s="116"/>
      <c r="BB1632" s="116"/>
      <c r="BE1632" s="62"/>
      <c r="BF1632" s="63"/>
    </row>
    <row r="1633" spans="1:58" ht="12.75" customHeight="1" x14ac:dyDescent="0.25">
      <c r="A1633" s="334"/>
      <c r="B1633" s="334"/>
      <c r="C1633" s="332"/>
      <c r="D1633" s="334"/>
      <c r="E1633" s="335"/>
      <c r="F1633" s="334"/>
      <c r="G1633" s="332"/>
      <c r="H1633" s="332"/>
      <c r="I1633" s="334"/>
      <c r="J1633" s="336"/>
      <c r="K1633" s="332"/>
      <c r="L1633" s="332"/>
      <c r="M1633" s="76"/>
      <c r="N1633" s="103" t="str">
        <f>IF(A1633="","",VLOOKUP(A1633,Stand!C:K,9,0))</f>
        <v/>
      </c>
      <c r="O1633" s="104" t="str">
        <f t="shared" si="713"/>
        <v/>
      </c>
      <c r="P1633" s="105" t="str">
        <f t="shared" si="714"/>
        <v/>
      </c>
      <c r="Q1633" s="105" t="str">
        <f t="shared" si="729"/>
        <v/>
      </c>
      <c r="R1633" s="103" t="str">
        <f t="shared" si="715"/>
        <v/>
      </c>
      <c r="S1633" s="103" t="str">
        <f t="shared" si="716"/>
        <v/>
      </c>
      <c r="T1633" s="106" t="str">
        <f t="shared" si="730"/>
        <v/>
      </c>
      <c r="U1633" s="106" t="str">
        <f t="shared" si="731"/>
        <v/>
      </c>
      <c r="V1633" s="106" t="str">
        <f t="shared" si="732"/>
        <v/>
      </c>
      <c r="W1633" s="105" t="str">
        <f t="shared" si="717"/>
        <v/>
      </c>
      <c r="X1633" s="104" t="str">
        <f t="shared" si="722"/>
        <v/>
      </c>
      <c r="Y1633" s="104" t="str">
        <f t="array" ref="Y1633">IFERROR(IF(ISNUMBER(O1633),IF(COUNT(IF(A1633=$A$2:$A$2427,IF(D1633=$D$2:$D$2427,IF($X$2:$X$2427&gt;0,1))))&gt;0,SUM(IF(A1633=$A$2:$A$2427,IF(D1633=$D$2:$D$2427,$X$2:$X$2427)))/COUNT(IF(A1633=$A$2:$A$2427,IF(D1633=$D$2:$D$2427,IF(ISNUMBER($X$2:$X$2427),1)))),0),""),0)</f>
        <v/>
      </c>
      <c r="Z1633" s="104" t="str">
        <f>IF(ISNUMBER(O1633),IF(I1633&gt;0,(10^(VLOOKUP(D1633,'Species Codes'!B:C,2,0)+VLOOKUP(D1633,'Species Codes'!B:D,3,0)*LOG(E1633)+VLOOKUP(D1633,'Species Codes'!B:E,4,0)*LOG(I1633))),0),"")</f>
        <v/>
      </c>
      <c r="AA1633" s="104" t="str">
        <f>IFERROR((VLOOKUP(D1633,'Species Codes'!B:G,6,0)*Z1633)/2000,"")</f>
        <v/>
      </c>
      <c r="AB1633" s="104" t="e">
        <f>IF(Z1633&gt;0,((IF(OR(D1633="DF",D1633="RA")=TRUE,EXP(VLOOKUP(D1633,'Species Codes'!B:I,8,0)+VLOOKUP(D1633,'Species Codes'!B:J,9,0)*(LN((E1633*2.54)))),IF(OR(D1633="PY",D1633="RC",D1633="WH",D1633="NF")=TRUE,VLOOKUP(D1633,'Species Codes'!B:I,8,0)+VLOOKUP(D1633,'Species Codes'!B:J,9,0)*((E1633*2.54)^2)*(I1633*0.3048),IF(OR(D1633="MD",D1633="BM",D1633="GA")=TRUE,((VLOOKUP(D1633,'Species Codes'!B:I,8,0)*(((((E1633*2.54)+VLOOKUP(D1633,'Species Codes'!B:J,9,0))/VLOOKUP(D1633,'Species Codes'!B:K,10,0))^VLOOKUP(D1633,'Species Codes'!B:L,11,0))*((I1633*0.3048)^VLOOKUP(D1633,'Species Codes'!B:M,12,0))))-(VLOOKUP(D1633,'Species Codes'!B:I,8,0)*((((E1633*2.54)^VLOOKUP(D1633,'Species Codes'!B:L,11,0))*((I1633*0.3048)^VLOOKUP(D1633,'Species Codes'!B:M,12,0))))))*35.3*VLOOKUP(D1633,'Species Codes'!B:G,6,0)/2.2046,VLOOKUP(D1633,'Species Codes'!B:I,8,0)+VLOOKUP(D1633,'Species Codes'!B:J,9,0)*(((E1633*2.54)/100)^2)*(I1633*0.3048)))))*0.0011023),0)</f>
        <v>#N/A</v>
      </c>
      <c r="AC1633" s="104" t="e">
        <f>IF(Z1633&gt;0,((IF(OR(D1633="RA",D1633="OA",D1633="OT",D1633="UN",D1633="PC"),EXP(VLOOKUP(D1633,'Species Codes'!B:O,14,0)+VLOOKUP(D1633,'Species Codes'!B:P,15,0)*LN((E1633*2.54)))-EXP(VLOOKUP(D1633,'Species Codes'!B:O,14,0)+VLOOKUP(D1633,'Species Codes'!B:P,15,0)*LN((E1633*2.54)))*(1/(VLOOKUP(D1633,'Species Codes'!B:Q,16,0)+VLOOKUP(D1633,'Species Codes'!B:R,17,0)*((E1633*2.54)^VLOOKUP(D1633,'Species Codes'!B:S,18,0)))),IF(OR(D1633="BM",D1633="MD",D1633="OA"),EXP(VLOOKUP(D1633,'Species Codes'!B:O,14,0)+VLOOKUP(D1633,'Species Codes'!B:P,15,0)*LN((E1633*2.54)))*(1-(1/(VLOOKUP(D1633,'Species Codes'!B:Q,16,0)+VLOOKUP(D1633,'Species Codes'!B:R,17,0)*((E1633*2.54)^VLOOKUP(D1633,'Species Codes'!B:S,18,0)))))/1000,IF(D1633="DF",EXP(VLOOKUP(D1633,'Species Codes'!B:O,14,0)+VLOOKUP(D1633,'Species Codes'!B:P,15,0)*LN((E1633*2.54))),VLOOKUP(D1633,'Species Codes'!B:O,14,0)+VLOOKUP(D1633,'Species Codes'!B:P,15,0)*(((E1633*2.54)/100)^2)*(I1633*0.3048)))))*0.0011023),0)</f>
        <v>#N/A</v>
      </c>
      <c r="AD1633" s="104" t="e">
        <f t="shared" si="733"/>
        <v>#N/A</v>
      </c>
      <c r="AE1633" s="104" t="e">
        <f t="shared" si="734"/>
        <v>#N/A</v>
      </c>
      <c r="AF1633" s="104" t="e">
        <f>IF(AND(VLOOKUP($D1633,Merchantability!$B:$C,2,0)="Yes",$E1633&gt;=VLOOKUP($D1633,Merchantability!$B:$D,3,0),$E1633&lt;=VLOOKUP($D1633,Merchantability!$B:$E,4,0)),AA1633,0)</f>
        <v>#N/A</v>
      </c>
      <c r="AG1633" s="104" t="e">
        <f>IF(AND(VLOOKUP($D1633,Merchantability!$B:$C,2,0)="Yes",$E1633&gt;=VLOOKUP($D1633,Merchantability!$B:$D,3,0),$E1633&lt;=VLOOKUP($D1633,Merchantability!$B:$E,4,0)),AB1633,0)</f>
        <v>#N/A</v>
      </c>
      <c r="AH1633" s="104" t="e">
        <f>IF(AND(VLOOKUP($D1633,Merchantability!$B:$C,2,0)="Yes",$E1633&gt;=VLOOKUP($D1633,Merchantability!$B:$D,3,0),$E1633&lt;=VLOOKUP($D1633,Merchantability!$B:$E,4,0)),AC1633,0)</f>
        <v>#N/A</v>
      </c>
      <c r="AI1633" s="104" t="e">
        <f t="shared" si="735"/>
        <v>#N/A</v>
      </c>
      <c r="AJ1633" s="104" t="e">
        <f t="shared" si="736"/>
        <v>#VALUE!</v>
      </c>
      <c r="AK1633" s="104" t="e">
        <f t="shared" si="737"/>
        <v>#N/A</v>
      </c>
      <c r="AL1633" s="104" t="e">
        <f t="shared" si="738"/>
        <v>#N/A</v>
      </c>
      <c r="AM1633" s="104" t="e">
        <f t="shared" si="739"/>
        <v>#N/A</v>
      </c>
      <c r="AN1633" s="104" t="e">
        <f t="shared" si="723"/>
        <v>#N/A</v>
      </c>
      <c r="AO1633" s="104" t="e">
        <f t="shared" si="724"/>
        <v>#N/A</v>
      </c>
      <c r="AP1633" s="104" t="e">
        <f t="shared" si="725"/>
        <v>#N/A</v>
      </c>
      <c r="AQ1633" s="104" t="e">
        <f t="shared" si="726"/>
        <v>#N/A</v>
      </c>
      <c r="AR1633" s="105" t="str">
        <f t="shared" si="718"/>
        <v/>
      </c>
      <c r="AS1633" s="105" t="str">
        <f t="shared" si="719"/>
        <v/>
      </c>
      <c r="AT1633" s="108" t="str">
        <f t="shared" si="720"/>
        <v/>
      </c>
      <c r="AU1633" s="108" t="str">
        <f t="shared" si="721"/>
        <v/>
      </c>
      <c r="AV1633" s="107" t="str">
        <f>IF(ISNUMBER(O1633),IF(VLOOKUP($A1633,Stand!C:J,8,FALSE)="Short",AT1633,AU1633),"")</f>
        <v/>
      </c>
      <c r="AW1633" s="109" t="str">
        <f t="shared" si="727"/>
        <v/>
      </c>
      <c r="AX1633" s="109" t="str">
        <f t="shared" si="728"/>
        <v/>
      </c>
      <c r="AY1633" s="112" t="str">
        <f>IF(ISNUMBER(O1633),IF(AND(VLOOKUP($D1633,Merchantability!$B:$C,2,0)="Yes",$E1633&gt;=VLOOKUP($D1633,Merchantability!$B:$D,3,0),$E1633&lt;=VLOOKUP($D1633,Merchantability!$B:$E,4,0)),(AV1633*O1633)*(1-$H1633/100),""),"")</f>
        <v/>
      </c>
      <c r="AZ1633" s="116"/>
      <c r="BA1633" s="116"/>
      <c r="BB1633" s="116"/>
      <c r="BE1633" s="62"/>
      <c r="BF1633" s="63"/>
    </row>
    <row r="1634" spans="1:58" ht="12.75" customHeight="1" x14ac:dyDescent="0.25">
      <c r="A1634" s="334"/>
      <c r="B1634" s="334"/>
      <c r="C1634" s="332"/>
      <c r="D1634" s="334"/>
      <c r="E1634" s="335"/>
      <c r="F1634" s="334"/>
      <c r="G1634" s="332"/>
      <c r="H1634" s="332"/>
      <c r="I1634" s="334"/>
      <c r="J1634" s="336"/>
      <c r="K1634" s="332"/>
      <c r="L1634" s="332"/>
      <c r="M1634" s="76"/>
      <c r="N1634" s="103" t="str">
        <f>IF(A1634="","",VLOOKUP(A1634,Stand!C:K,9,0))</f>
        <v/>
      </c>
      <c r="O1634" s="104" t="str">
        <f t="shared" si="713"/>
        <v/>
      </c>
      <c r="P1634" s="105" t="str">
        <f t="shared" si="714"/>
        <v/>
      </c>
      <c r="Q1634" s="105" t="str">
        <f t="shared" si="729"/>
        <v/>
      </c>
      <c r="R1634" s="103" t="str">
        <f t="shared" si="715"/>
        <v/>
      </c>
      <c r="S1634" s="103" t="str">
        <f t="shared" si="716"/>
        <v/>
      </c>
      <c r="T1634" s="106" t="str">
        <f t="shared" si="730"/>
        <v/>
      </c>
      <c r="U1634" s="106" t="str">
        <f t="shared" si="731"/>
        <v/>
      </c>
      <c r="V1634" s="106" t="str">
        <f t="shared" si="732"/>
        <v/>
      </c>
      <c r="W1634" s="105" t="str">
        <f t="shared" si="717"/>
        <v/>
      </c>
      <c r="X1634" s="104" t="str">
        <f t="shared" si="722"/>
        <v/>
      </c>
      <c r="Y1634" s="104" t="str">
        <f t="array" ref="Y1634">IFERROR(IF(ISNUMBER(O1634),IF(COUNT(IF(A1634=$A$2:$A$2427,IF(D1634=$D$2:$D$2427,IF($X$2:$X$2427&gt;0,1))))&gt;0,SUM(IF(A1634=$A$2:$A$2427,IF(D1634=$D$2:$D$2427,$X$2:$X$2427)))/COUNT(IF(A1634=$A$2:$A$2427,IF(D1634=$D$2:$D$2427,IF(ISNUMBER($X$2:$X$2427),1)))),0),""),0)</f>
        <v/>
      </c>
      <c r="Z1634" s="104" t="str">
        <f>IF(ISNUMBER(O1634),IF(I1634&gt;0,(10^(VLOOKUP(D1634,'Species Codes'!B:C,2,0)+VLOOKUP(D1634,'Species Codes'!B:D,3,0)*LOG(E1634)+VLOOKUP(D1634,'Species Codes'!B:E,4,0)*LOG(I1634))),0),"")</f>
        <v/>
      </c>
      <c r="AA1634" s="104" t="str">
        <f>IFERROR((VLOOKUP(D1634,'Species Codes'!B:G,6,0)*Z1634)/2000,"")</f>
        <v/>
      </c>
      <c r="AB1634" s="104" t="e">
        <f>IF(Z1634&gt;0,((IF(OR(D1634="DF",D1634="RA")=TRUE,EXP(VLOOKUP(D1634,'Species Codes'!B:I,8,0)+VLOOKUP(D1634,'Species Codes'!B:J,9,0)*(LN((E1634*2.54)))),IF(OR(D1634="PY",D1634="RC",D1634="WH",D1634="NF")=TRUE,VLOOKUP(D1634,'Species Codes'!B:I,8,0)+VLOOKUP(D1634,'Species Codes'!B:J,9,0)*((E1634*2.54)^2)*(I1634*0.3048),IF(OR(D1634="MD",D1634="BM",D1634="GA")=TRUE,((VLOOKUP(D1634,'Species Codes'!B:I,8,0)*(((((E1634*2.54)+VLOOKUP(D1634,'Species Codes'!B:J,9,0))/VLOOKUP(D1634,'Species Codes'!B:K,10,0))^VLOOKUP(D1634,'Species Codes'!B:L,11,0))*((I1634*0.3048)^VLOOKUP(D1634,'Species Codes'!B:M,12,0))))-(VLOOKUP(D1634,'Species Codes'!B:I,8,0)*((((E1634*2.54)^VLOOKUP(D1634,'Species Codes'!B:L,11,0))*((I1634*0.3048)^VLOOKUP(D1634,'Species Codes'!B:M,12,0))))))*35.3*VLOOKUP(D1634,'Species Codes'!B:G,6,0)/2.2046,VLOOKUP(D1634,'Species Codes'!B:I,8,0)+VLOOKUP(D1634,'Species Codes'!B:J,9,0)*(((E1634*2.54)/100)^2)*(I1634*0.3048)))))*0.0011023),0)</f>
        <v>#N/A</v>
      </c>
      <c r="AC1634" s="104" t="e">
        <f>IF(Z1634&gt;0,((IF(OR(D1634="RA",D1634="OA",D1634="OT",D1634="UN",D1634="PC"),EXP(VLOOKUP(D1634,'Species Codes'!B:O,14,0)+VLOOKUP(D1634,'Species Codes'!B:P,15,0)*LN((E1634*2.54)))-EXP(VLOOKUP(D1634,'Species Codes'!B:O,14,0)+VLOOKUP(D1634,'Species Codes'!B:P,15,0)*LN((E1634*2.54)))*(1/(VLOOKUP(D1634,'Species Codes'!B:Q,16,0)+VLOOKUP(D1634,'Species Codes'!B:R,17,0)*((E1634*2.54)^VLOOKUP(D1634,'Species Codes'!B:S,18,0)))),IF(OR(D1634="BM",D1634="MD",D1634="OA"),EXP(VLOOKUP(D1634,'Species Codes'!B:O,14,0)+VLOOKUP(D1634,'Species Codes'!B:P,15,0)*LN((E1634*2.54)))*(1-(1/(VLOOKUP(D1634,'Species Codes'!B:Q,16,0)+VLOOKUP(D1634,'Species Codes'!B:R,17,0)*((E1634*2.54)^VLOOKUP(D1634,'Species Codes'!B:S,18,0)))))/1000,IF(D1634="DF",EXP(VLOOKUP(D1634,'Species Codes'!B:O,14,0)+VLOOKUP(D1634,'Species Codes'!B:P,15,0)*LN((E1634*2.54))),VLOOKUP(D1634,'Species Codes'!B:O,14,0)+VLOOKUP(D1634,'Species Codes'!B:P,15,0)*(((E1634*2.54)/100)^2)*(I1634*0.3048)))))*0.0011023),0)</f>
        <v>#N/A</v>
      </c>
      <c r="AD1634" s="104" t="e">
        <f t="shared" si="733"/>
        <v>#N/A</v>
      </c>
      <c r="AE1634" s="104" t="e">
        <f t="shared" si="734"/>
        <v>#N/A</v>
      </c>
      <c r="AF1634" s="104" t="e">
        <f>IF(AND(VLOOKUP($D1634,Merchantability!$B:$C,2,0)="Yes",$E1634&gt;=VLOOKUP($D1634,Merchantability!$B:$D,3,0),$E1634&lt;=VLOOKUP($D1634,Merchantability!$B:$E,4,0)),AA1634,0)</f>
        <v>#N/A</v>
      </c>
      <c r="AG1634" s="104" t="e">
        <f>IF(AND(VLOOKUP($D1634,Merchantability!$B:$C,2,0)="Yes",$E1634&gt;=VLOOKUP($D1634,Merchantability!$B:$D,3,0),$E1634&lt;=VLOOKUP($D1634,Merchantability!$B:$E,4,0)),AB1634,0)</f>
        <v>#N/A</v>
      </c>
      <c r="AH1634" s="104" t="e">
        <f>IF(AND(VLOOKUP($D1634,Merchantability!$B:$C,2,0)="Yes",$E1634&gt;=VLOOKUP($D1634,Merchantability!$B:$D,3,0),$E1634&lt;=VLOOKUP($D1634,Merchantability!$B:$E,4,0)),AC1634,0)</f>
        <v>#N/A</v>
      </c>
      <c r="AI1634" s="104" t="e">
        <f t="shared" si="735"/>
        <v>#N/A</v>
      </c>
      <c r="AJ1634" s="104" t="e">
        <f t="shared" si="736"/>
        <v>#VALUE!</v>
      </c>
      <c r="AK1634" s="104" t="e">
        <f t="shared" si="737"/>
        <v>#N/A</v>
      </c>
      <c r="AL1634" s="104" t="e">
        <f t="shared" si="738"/>
        <v>#N/A</v>
      </c>
      <c r="AM1634" s="104" t="e">
        <f t="shared" si="739"/>
        <v>#N/A</v>
      </c>
      <c r="AN1634" s="104" t="e">
        <f t="shared" si="723"/>
        <v>#N/A</v>
      </c>
      <c r="AO1634" s="104" t="e">
        <f t="shared" si="724"/>
        <v>#N/A</v>
      </c>
      <c r="AP1634" s="104" t="e">
        <f t="shared" si="725"/>
        <v>#N/A</v>
      </c>
      <c r="AQ1634" s="104" t="e">
        <f t="shared" si="726"/>
        <v>#N/A</v>
      </c>
      <c r="AR1634" s="105" t="str">
        <f t="shared" si="718"/>
        <v/>
      </c>
      <c r="AS1634" s="105" t="str">
        <f t="shared" si="719"/>
        <v/>
      </c>
      <c r="AT1634" s="108" t="str">
        <f t="shared" si="720"/>
        <v/>
      </c>
      <c r="AU1634" s="108" t="str">
        <f t="shared" si="721"/>
        <v/>
      </c>
      <c r="AV1634" s="107" t="str">
        <f>IF(ISNUMBER(O1634),IF(VLOOKUP($A1634,Stand!C:J,8,FALSE)="Short",AT1634,AU1634),"")</f>
        <v/>
      </c>
      <c r="AW1634" s="109" t="str">
        <f t="shared" si="727"/>
        <v/>
      </c>
      <c r="AX1634" s="109" t="str">
        <f t="shared" si="728"/>
        <v/>
      </c>
      <c r="AY1634" s="112" t="str">
        <f>IF(ISNUMBER(O1634),IF(AND(VLOOKUP($D1634,Merchantability!$B:$C,2,0)="Yes",$E1634&gt;=VLOOKUP($D1634,Merchantability!$B:$D,3,0),$E1634&lt;=VLOOKUP($D1634,Merchantability!$B:$E,4,0)),(AV1634*O1634)*(1-$H1634/100),""),"")</f>
        <v/>
      </c>
      <c r="AZ1634" s="116"/>
      <c r="BA1634" s="116"/>
      <c r="BB1634" s="116"/>
      <c r="BE1634" s="62"/>
      <c r="BF1634" s="63"/>
    </row>
    <row r="1635" spans="1:58" ht="12.75" customHeight="1" x14ac:dyDescent="0.25">
      <c r="A1635" s="334"/>
      <c r="B1635" s="334"/>
      <c r="C1635" s="332"/>
      <c r="D1635" s="334"/>
      <c r="E1635" s="335"/>
      <c r="F1635" s="334"/>
      <c r="G1635" s="332"/>
      <c r="H1635" s="332"/>
      <c r="I1635" s="334"/>
      <c r="J1635" s="336"/>
      <c r="K1635" s="332"/>
      <c r="L1635" s="332"/>
      <c r="M1635" s="76"/>
      <c r="N1635" s="103" t="str">
        <f>IF(A1635="","",VLOOKUP(A1635,Stand!C:K,9,0))</f>
        <v/>
      </c>
      <c r="O1635" s="104" t="str">
        <f t="shared" si="713"/>
        <v/>
      </c>
      <c r="P1635" s="105" t="str">
        <f t="shared" si="714"/>
        <v/>
      </c>
      <c r="Q1635" s="105" t="str">
        <f t="shared" si="729"/>
        <v/>
      </c>
      <c r="R1635" s="103" t="str">
        <f t="shared" si="715"/>
        <v/>
      </c>
      <c r="S1635" s="103" t="str">
        <f t="shared" si="716"/>
        <v/>
      </c>
      <c r="T1635" s="106" t="str">
        <f t="shared" si="730"/>
        <v/>
      </c>
      <c r="U1635" s="106" t="str">
        <f t="shared" si="731"/>
        <v/>
      </c>
      <c r="V1635" s="106" t="str">
        <f t="shared" si="732"/>
        <v/>
      </c>
      <c r="W1635" s="105" t="str">
        <f t="shared" si="717"/>
        <v/>
      </c>
      <c r="X1635" s="104" t="str">
        <f t="shared" si="722"/>
        <v/>
      </c>
      <c r="Y1635" s="104" t="str">
        <f t="array" ref="Y1635">IFERROR(IF(ISNUMBER(O1635),IF(COUNT(IF(A1635=$A$2:$A$2427,IF(D1635=$D$2:$D$2427,IF($X$2:$X$2427&gt;0,1))))&gt;0,SUM(IF(A1635=$A$2:$A$2427,IF(D1635=$D$2:$D$2427,$X$2:$X$2427)))/COUNT(IF(A1635=$A$2:$A$2427,IF(D1635=$D$2:$D$2427,IF(ISNUMBER($X$2:$X$2427),1)))),0),""),0)</f>
        <v/>
      </c>
      <c r="Z1635" s="104" t="str">
        <f>IF(ISNUMBER(O1635),IF(I1635&gt;0,(10^(VLOOKUP(D1635,'Species Codes'!B:C,2,0)+VLOOKUP(D1635,'Species Codes'!B:D,3,0)*LOG(E1635)+VLOOKUP(D1635,'Species Codes'!B:E,4,0)*LOG(I1635))),0),"")</f>
        <v/>
      </c>
      <c r="AA1635" s="104" t="str">
        <f>IFERROR((VLOOKUP(D1635,'Species Codes'!B:G,6,0)*Z1635)/2000,"")</f>
        <v/>
      </c>
      <c r="AB1635" s="104" t="e">
        <f>IF(Z1635&gt;0,((IF(OR(D1635="DF",D1635="RA")=TRUE,EXP(VLOOKUP(D1635,'Species Codes'!B:I,8,0)+VLOOKUP(D1635,'Species Codes'!B:J,9,0)*(LN((E1635*2.54)))),IF(OR(D1635="PY",D1635="RC",D1635="WH",D1635="NF")=TRUE,VLOOKUP(D1635,'Species Codes'!B:I,8,0)+VLOOKUP(D1635,'Species Codes'!B:J,9,0)*((E1635*2.54)^2)*(I1635*0.3048),IF(OR(D1635="MD",D1635="BM",D1635="GA")=TRUE,((VLOOKUP(D1635,'Species Codes'!B:I,8,0)*(((((E1635*2.54)+VLOOKUP(D1635,'Species Codes'!B:J,9,0))/VLOOKUP(D1635,'Species Codes'!B:K,10,0))^VLOOKUP(D1635,'Species Codes'!B:L,11,0))*((I1635*0.3048)^VLOOKUP(D1635,'Species Codes'!B:M,12,0))))-(VLOOKUP(D1635,'Species Codes'!B:I,8,0)*((((E1635*2.54)^VLOOKUP(D1635,'Species Codes'!B:L,11,0))*((I1635*0.3048)^VLOOKUP(D1635,'Species Codes'!B:M,12,0))))))*35.3*VLOOKUP(D1635,'Species Codes'!B:G,6,0)/2.2046,VLOOKUP(D1635,'Species Codes'!B:I,8,0)+VLOOKUP(D1635,'Species Codes'!B:J,9,0)*(((E1635*2.54)/100)^2)*(I1635*0.3048)))))*0.0011023),0)</f>
        <v>#N/A</v>
      </c>
      <c r="AC1635" s="104" t="e">
        <f>IF(Z1635&gt;0,((IF(OR(D1635="RA",D1635="OA",D1635="OT",D1635="UN",D1635="PC"),EXP(VLOOKUP(D1635,'Species Codes'!B:O,14,0)+VLOOKUP(D1635,'Species Codes'!B:P,15,0)*LN((E1635*2.54)))-EXP(VLOOKUP(D1635,'Species Codes'!B:O,14,0)+VLOOKUP(D1635,'Species Codes'!B:P,15,0)*LN((E1635*2.54)))*(1/(VLOOKUP(D1635,'Species Codes'!B:Q,16,0)+VLOOKUP(D1635,'Species Codes'!B:R,17,0)*((E1635*2.54)^VLOOKUP(D1635,'Species Codes'!B:S,18,0)))),IF(OR(D1635="BM",D1635="MD",D1635="OA"),EXP(VLOOKUP(D1635,'Species Codes'!B:O,14,0)+VLOOKUP(D1635,'Species Codes'!B:P,15,0)*LN((E1635*2.54)))*(1-(1/(VLOOKUP(D1635,'Species Codes'!B:Q,16,0)+VLOOKUP(D1635,'Species Codes'!B:R,17,0)*((E1635*2.54)^VLOOKUP(D1635,'Species Codes'!B:S,18,0)))))/1000,IF(D1635="DF",EXP(VLOOKUP(D1635,'Species Codes'!B:O,14,0)+VLOOKUP(D1635,'Species Codes'!B:P,15,0)*LN((E1635*2.54))),VLOOKUP(D1635,'Species Codes'!B:O,14,0)+VLOOKUP(D1635,'Species Codes'!B:P,15,0)*(((E1635*2.54)/100)^2)*(I1635*0.3048)))))*0.0011023),0)</f>
        <v>#N/A</v>
      </c>
      <c r="AD1635" s="104" t="e">
        <f t="shared" si="733"/>
        <v>#N/A</v>
      </c>
      <c r="AE1635" s="104" t="e">
        <f t="shared" si="734"/>
        <v>#N/A</v>
      </c>
      <c r="AF1635" s="104" t="e">
        <f>IF(AND(VLOOKUP($D1635,Merchantability!$B:$C,2,0)="Yes",$E1635&gt;=VLOOKUP($D1635,Merchantability!$B:$D,3,0),$E1635&lt;=VLOOKUP($D1635,Merchantability!$B:$E,4,0)),AA1635,0)</f>
        <v>#N/A</v>
      </c>
      <c r="AG1635" s="104" t="e">
        <f>IF(AND(VLOOKUP($D1635,Merchantability!$B:$C,2,0)="Yes",$E1635&gt;=VLOOKUP($D1635,Merchantability!$B:$D,3,0),$E1635&lt;=VLOOKUP($D1635,Merchantability!$B:$E,4,0)),AB1635,0)</f>
        <v>#N/A</v>
      </c>
      <c r="AH1635" s="104" t="e">
        <f>IF(AND(VLOOKUP($D1635,Merchantability!$B:$C,2,0)="Yes",$E1635&gt;=VLOOKUP($D1635,Merchantability!$B:$D,3,0),$E1635&lt;=VLOOKUP($D1635,Merchantability!$B:$E,4,0)),AC1635,0)</f>
        <v>#N/A</v>
      </c>
      <c r="AI1635" s="104" t="e">
        <f t="shared" si="735"/>
        <v>#N/A</v>
      </c>
      <c r="AJ1635" s="104" t="e">
        <f t="shared" si="736"/>
        <v>#VALUE!</v>
      </c>
      <c r="AK1635" s="104" t="e">
        <f t="shared" si="737"/>
        <v>#N/A</v>
      </c>
      <c r="AL1635" s="104" t="e">
        <f t="shared" si="738"/>
        <v>#N/A</v>
      </c>
      <c r="AM1635" s="104" t="e">
        <f t="shared" si="739"/>
        <v>#N/A</v>
      </c>
      <c r="AN1635" s="104" t="e">
        <f t="shared" si="723"/>
        <v>#N/A</v>
      </c>
      <c r="AO1635" s="104" t="e">
        <f t="shared" si="724"/>
        <v>#N/A</v>
      </c>
      <c r="AP1635" s="104" t="e">
        <f t="shared" si="725"/>
        <v>#N/A</v>
      </c>
      <c r="AQ1635" s="104" t="e">
        <f t="shared" si="726"/>
        <v>#N/A</v>
      </c>
      <c r="AR1635" s="105" t="str">
        <f t="shared" si="718"/>
        <v/>
      </c>
      <c r="AS1635" s="105" t="str">
        <f t="shared" si="719"/>
        <v/>
      </c>
      <c r="AT1635" s="108" t="str">
        <f t="shared" si="720"/>
        <v/>
      </c>
      <c r="AU1635" s="108" t="str">
        <f t="shared" si="721"/>
        <v/>
      </c>
      <c r="AV1635" s="107" t="str">
        <f>IF(ISNUMBER(O1635),IF(VLOOKUP($A1635,Stand!C:J,8,FALSE)="Short",AT1635,AU1635),"")</f>
        <v/>
      </c>
      <c r="AW1635" s="109" t="str">
        <f t="shared" si="727"/>
        <v/>
      </c>
      <c r="AX1635" s="109" t="str">
        <f t="shared" si="728"/>
        <v/>
      </c>
      <c r="AY1635" s="112" t="str">
        <f>IF(ISNUMBER(O1635),IF(AND(VLOOKUP($D1635,Merchantability!$B:$C,2,0)="Yes",$E1635&gt;=VLOOKUP($D1635,Merchantability!$B:$D,3,0),$E1635&lt;=VLOOKUP($D1635,Merchantability!$B:$E,4,0)),(AV1635*O1635)*(1-$H1635/100),""),"")</f>
        <v/>
      </c>
      <c r="AZ1635" s="116"/>
      <c r="BA1635" s="116"/>
      <c r="BB1635" s="116"/>
      <c r="BE1635" s="62"/>
      <c r="BF1635" s="63"/>
    </row>
    <row r="1636" spans="1:58" ht="12.75" customHeight="1" x14ac:dyDescent="0.25">
      <c r="A1636" s="334"/>
      <c r="B1636" s="334"/>
      <c r="C1636" s="332"/>
      <c r="D1636" s="334"/>
      <c r="E1636" s="335"/>
      <c r="F1636" s="334"/>
      <c r="G1636" s="332"/>
      <c r="H1636" s="332"/>
      <c r="I1636" s="334"/>
      <c r="J1636" s="336"/>
      <c r="K1636" s="332"/>
      <c r="L1636" s="332"/>
      <c r="M1636" s="76"/>
      <c r="N1636" s="103" t="str">
        <f>IF(A1636="","",VLOOKUP(A1636,Stand!C:K,9,0))</f>
        <v/>
      </c>
      <c r="O1636" s="104" t="str">
        <f t="shared" si="713"/>
        <v/>
      </c>
      <c r="P1636" s="105" t="str">
        <f t="shared" si="714"/>
        <v/>
      </c>
      <c r="Q1636" s="105" t="str">
        <f t="shared" si="729"/>
        <v/>
      </c>
      <c r="R1636" s="103" t="str">
        <f t="shared" si="715"/>
        <v/>
      </c>
      <c r="S1636" s="103" t="str">
        <f t="shared" si="716"/>
        <v/>
      </c>
      <c r="T1636" s="106" t="str">
        <f t="shared" si="730"/>
        <v/>
      </c>
      <c r="U1636" s="106" t="str">
        <f t="shared" si="731"/>
        <v/>
      </c>
      <c r="V1636" s="106" t="str">
        <f t="shared" si="732"/>
        <v/>
      </c>
      <c r="W1636" s="105" t="str">
        <f t="shared" si="717"/>
        <v/>
      </c>
      <c r="X1636" s="104" t="str">
        <f t="shared" si="722"/>
        <v/>
      </c>
      <c r="Y1636" s="104" t="str">
        <f t="array" ref="Y1636">IFERROR(IF(ISNUMBER(O1636),IF(COUNT(IF(A1636=$A$2:$A$2427,IF(D1636=$D$2:$D$2427,IF($X$2:$X$2427&gt;0,1))))&gt;0,SUM(IF(A1636=$A$2:$A$2427,IF(D1636=$D$2:$D$2427,$X$2:$X$2427)))/COUNT(IF(A1636=$A$2:$A$2427,IF(D1636=$D$2:$D$2427,IF(ISNUMBER($X$2:$X$2427),1)))),0),""),0)</f>
        <v/>
      </c>
      <c r="Z1636" s="104" t="str">
        <f>IF(ISNUMBER(O1636),IF(I1636&gt;0,(10^(VLOOKUP(D1636,'Species Codes'!B:C,2,0)+VLOOKUP(D1636,'Species Codes'!B:D,3,0)*LOG(E1636)+VLOOKUP(D1636,'Species Codes'!B:E,4,0)*LOG(I1636))),0),"")</f>
        <v/>
      </c>
      <c r="AA1636" s="104" t="str">
        <f>IFERROR((VLOOKUP(D1636,'Species Codes'!B:G,6,0)*Z1636)/2000,"")</f>
        <v/>
      </c>
      <c r="AB1636" s="104" t="e">
        <f>IF(Z1636&gt;0,((IF(OR(D1636="DF",D1636="RA")=TRUE,EXP(VLOOKUP(D1636,'Species Codes'!B:I,8,0)+VLOOKUP(D1636,'Species Codes'!B:J,9,0)*(LN((E1636*2.54)))),IF(OR(D1636="PY",D1636="RC",D1636="WH",D1636="NF")=TRUE,VLOOKUP(D1636,'Species Codes'!B:I,8,0)+VLOOKUP(D1636,'Species Codes'!B:J,9,0)*((E1636*2.54)^2)*(I1636*0.3048),IF(OR(D1636="MD",D1636="BM",D1636="GA")=TRUE,((VLOOKUP(D1636,'Species Codes'!B:I,8,0)*(((((E1636*2.54)+VLOOKUP(D1636,'Species Codes'!B:J,9,0))/VLOOKUP(D1636,'Species Codes'!B:K,10,0))^VLOOKUP(D1636,'Species Codes'!B:L,11,0))*((I1636*0.3048)^VLOOKUP(D1636,'Species Codes'!B:M,12,0))))-(VLOOKUP(D1636,'Species Codes'!B:I,8,0)*((((E1636*2.54)^VLOOKUP(D1636,'Species Codes'!B:L,11,0))*((I1636*0.3048)^VLOOKUP(D1636,'Species Codes'!B:M,12,0))))))*35.3*VLOOKUP(D1636,'Species Codes'!B:G,6,0)/2.2046,VLOOKUP(D1636,'Species Codes'!B:I,8,0)+VLOOKUP(D1636,'Species Codes'!B:J,9,0)*(((E1636*2.54)/100)^2)*(I1636*0.3048)))))*0.0011023),0)</f>
        <v>#N/A</v>
      </c>
      <c r="AC1636" s="104" t="e">
        <f>IF(Z1636&gt;0,((IF(OR(D1636="RA",D1636="OA",D1636="OT",D1636="UN",D1636="PC"),EXP(VLOOKUP(D1636,'Species Codes'!B:O,14,0)+VLOOKUP(D1636,'Species Codes'!B:P,15,0)*LN((E1636*2.54)))-EXP(VLOOKUP(D1636,'Species Codes'!B:O,14,0)+VLOOKUP(D1636,'Species Codes'!B:P,15,0)*LN((E1636*2.54)))*(1/(VLOOKUP(D1636,'Species Codes'!B:Q,16,0)+VLOOKUP(D1636,'Species Codes'!B:R,17,0)*((E1636*2.54)^VLOOKUP(D1636,'Species Codes'!B:S,18,0)))),IF(OR(D1636="BM",D1636="MD",D1636="OA"),EXP(VLOOKUP(D1636,'Species Codes'!B:O,14,0)+VLOOKUP(D1636,'Species Codes'!B:P,15,0)*LN((E1636*2.54)))*(1-(1/(VLOOKUP(D1636,'Species Codes'!B:Q,16,0)+VLOOKUP(D1636,'Species Codes'!B:R,17,0)*((E1636*2.54)^VLOOKUP(D1636,'Species Codes'!B:S,18,0)))))/1000,IF(D1636="DF",EXP(VLOOKUP(D1636,'Species Codes'!B:O,14,0)+VLOOKUP(D1636,'Species Codes'!B:P,15,0)*LN((E1636*2.54))),VLOOKUP(D1636,'Species Codes'!B:O,14,0)+VLOOKUP(D1636,'Species Codes'!B:P,15,0)*(((E1636*2.54)/100)^2)*(I1636*0.3048)))))*0.0011023),0)</f>
        <v>#N/A</v>
      </c>
      <c r="AD1636" s="104" t="e">
        <f t="shared" si="733"/>
        <v>#N/A</v>
      </c>
      <c r="AE1636" s="104" t="e">
        <f t="shared" si="734"/>
        <v>#N/A</v>
      </c>
      <c r="AF1636" s="104" t="e">
        <f>IF(AND(VLOOKUP($D1636,Merchantability!$B:$C,2,0)="Yes",$E1636&gt;=VLOOKUP($D1636,Merchantability!$B:$D,3,0),$E1636&lt;=VLOOKUP($D1636,Merchantability!$B:$E,4,0)),AA1636,0)</f>
        <v>#N/A</v>
      </c>
      <c r="AG1636" s="104" t="e">
        <f>IF(AND(VLOOKUP($D1636,Merchantability!$B:$C,2,0)="Yes",$E1636&gt;=VLOOKUP($D1636,Merchantability!$B:$D,3,0),$E1636&lt;=VLOOKUP($D1636,Merchantability!$B:$E,4,0)),AB1636,0)</f>
        <v>#N/A</v>
      </c>
      <c r="AH1636" s="104" t="e">
        <f>IF(AND(VLOOKUP($D1636,Merchantability!$B:$C,2,0)="Yes",$E1636&gt;=VLOOKUP($D1636,Merchantability!$B:$D,3,0),$E1636&lt;=VLOOKUP($D1636,Merchantability!$B:$E,4,0)),AC1636,0)</f>
        <v>#N/A</v>
      </c>
      <c r="AI1636" s="104" t="e">
        <f t="shared" si="735"/>
        <v>#N/A</v>
      </c>
      <c r="AJ1636" s="104" t="e">
        <f t="shared" si="736"/>
        <v>#VALUE!</v>
      </c>
      <c r="AK1636" s="104" t="e">
        <f t="shared" si="737"/>
        <v>#N/A</v>
      </c>
      <c r="AL1636" s="104" t="e">
        <f t="shared" si="738"/>
        <v>#N/A</v>
      </c>
      <c r="AM1636" s="104" t="e">
        <f t="shared" si="739"/>
        <v>#N/A</v>
      </c>
      <c r="AN1636" s="104" t="e">
        <f t="shared" si="723"/>
        <v>#N/A</v>
      </c>
      <c r="AO1636" s="104" t="e">
        <f t="shared" si="724"/>
        <v>#N/A</v>
      </c>
      <c r="AP1636" s="104" t="e">
        <f t="shared" si="725"/>
        <v>#N/A</v>
      </c>
      <c r="AQ1636" s="104" t="e">
        <f t="shared" si="726"/>
        <v>#N/A</v>
      </c>
      <c r="AR1636" s="105" t="str">
        <f t="shared" si="718"/>
        <v/>
      </c>
      <c r="AS1636" s="105" t="str">
        <f t="shared" si="719"/>
        <v/>
      </c>
      <c r="AT1636" s="108" t="str">
        <f t="shared" si="720"/>
        <v/>
      </c>
      <c r="AU1636" s="108" t="str">
        <f t="shared" si="721"/>
        <v/>
      </c>
      <c r="AV1636" s="107" t="str">
        <f>IF(ISNUMBER(O1636),IF(VLOOKUP($A1636,Stand!C:J,8,FALSE)="Short",AT1636,AU1636),"")</f>
        <v/>
      </c>
      <c r="AW1636" s="109" t="str">
        <f t="shared" si="727"/>
        <v/>
      </c>
      <c r="AX1636" s="109" t="str">
        <f t="shared" si="728"/>
        <v/>
      </c>
      <c r="AY1636" s="112" t="str">
        <f>IF(ISNUMBER(O1636),IF(AND(VLOOKUP($D1636,Merchantability!$B:$C,2,0)="Yes",$E1636&gt;=VLOOKUP($D1636,Merchantability!$B:$D,3,0),$E1636&lt;=VLOOKUP($D1636,Merchantability!$B:$E,4,0)),(AV1636*O1636)*(1-$H1636/100),""),"")</f>
        <v/>
      </c>
      <c r="AZ1636" s="116"/>
      <c r="BA1636" s="116"/>
      <c r="BB1636" s="116"/>
      <c r="BE1636" s="62"/>
      <c r="BF1636" s="63"/>
    </row>
    <row r="1637" spans="1:58" ht="12.75" customHeight="1" x14ac:dyDescent="0.25">
      <c r="A1637" s="334"/>
      <c r="B1637" s="334"/>
      <c r="C1637" s="332"/>
      <c r="D1637" s="334"/>
      <c r="E1637" s="335"/>
      <c r="F1637" s="334"/>
      <c r="G1637" s="332"/>
      <c r="H1637" s="332"/>
      <c r="I1637" s="334"/>
      <c r="J1637" s="336"/>
      <c r="K1637" s="332"/>
      <c r="L1637" s="332"/>
      <c r="M1637" s="76"/>
      <c r="N1637" s="103" t="str">
        <f>IF(A1637="","",VLOOKUP(A1637,Stand!C:K,9,0))</f>
        <v/>
      </c>
      <c r="O1637" s="104" t="str">
        <f t="shared" si="713"/>
        <v/>
      </c>
      <c r="P1637" s="105" t="str">
        <f t="shared" si="714"/>
        <v/>
      </c>
      <c r="Q1637" s="105" t="str">
        <f t="shared" si="729"/>
        <v/>
      </c>
      <c r="R1637" s="103" t="str">
        <f t="shared" si="715"/>
        <v/>
      </c>
      <c r="S1637" s="103" t="str">
        <f t="shared" si="716"/>
        <v/>
      </c>
      <c r="T1637" s="106" t="str">
        <f t="shared" si="730"/>
        <v/>
      </c>
      <c r="U1637" s="106" t="str">
        <f t="shared" si="731"/>
        <v/>
      </c>
      <c r="V1637" s="106" t="str">
        <f t="shared" si="732"/>
        <v/>
      </c>
      <c r="W1637" s="105" t="str">
        <f t="shared" si="717"/>
        <v/>
      </c>
      <c r="X1637" s="104" t="str">
        <f t="shared" si="722"/>
        <v/>
      </c>
      <c r="Y1637" s="104" t="str">
        <f t="array" ref="Y1637">IFERROR(IF(ISNUMBER(O1637),IF(COUNT(IF(A1637=$A$2:$A$2427,IF(D1637=$D$2:$D$2427,IF($X$2:$X$2427&gt;0,1))))&gt;0,SUM(IF(A1637=$A$2:$A$2427,IF(D1637=$D$2:$D$2427,$X$2:$X$2427)))/COUNT(IF(A1637=$A$2:$A$2427,IF(D1637=$D$2:$D$2427,IF(ISNUMBER($X$2:$X$2427),1)))),0),""),0)</f>
        <v/>
      </c>
      <c r="Z1637" s="104" t="str">
        <f>IF(ISNUMBER(O1637),IF(I1637&gt;0,(10^(VLOOKUP(D1637,'Species Codes'!B:C,2,0)+VLOOKUP(D1637,'Species Codes'!B:D,3,0)*LOG(E1637)+VLOOKUP(D1637,'Species Codes'!B:E,4,0)*LOG(I1637))),0),"")</f>
        <v/>
      </c>
      <c r="AA1637" s="104" t="str">
        <f>IFERROR((VLOOKUP(D1637,'Species Codes'!B:G,6,0)*Z1637)/2000,"")</f>
        <v/>
      </c>
      <c r="AB1637" s="104" t="e">
        <f>IF(Z1637&gt;0,((IF(OR(D1637="DF",D1637="RA")=TRUE,EXP(VLOOKUP(D1637,'Species Codes'!B:I,8,0)+VLOOKUP(D1637,'Species Codes'!B:J,9,0)*(LN((E1637*2.54)))),IF(OR(D1637="PY",D1637="RC",D1637="WH",D1637="NF")=TRUE,VLOOKUP(D1637,'Species Codes'!B:I,8,0)+VLOOKUP(D1637,'Species Codes'!B:J,9,0)*((E1637*2.54)^2)*(I1637*0.3048),IF(OR(D1637="MD",D1637="BM",D1637="GA")=TRUE,((VLOOKUP(D1637,'Species Codes'!B:I,8,0)*(((((E1637*2.54)+VLOOKUP(D1637,'Species Codes'!B:J,9,0))/VLOOKUP(D1637,'Species Codes'!B:K,10,0))^VLOOKUP(D1637,'Species Codes'!B:L,11,0))*((I1637*0.3048)^VLOOKUP(D1637,'Species Codes'!B:M,12,0))))-(VLOOKUP(D1637,'Species Codes'!B:I,8,0)*((((E1637*2.54)^VLOOKUP(D1637,'Species Codes'!B:L,11,0))*((I1637*0.3048)^VLOOKUP(D1637,'Species Codes'!B:M,12,0))))))*35.3*VLOOKUP(D1637,'Species Codes'!B:G,6,0)/2.2046,VLOOKUP(D1637,'Species Codes'!B:I,8,0)+VLOOKUP(D1637,'Species Codes'!B:J,9,0)*(((E1637*2.54)/100)^2)*(I1637*0.3048)))))*0.0011023),0)</f>
        <v>#N/A</v>
      </c>
      <c r="AC1637" s="104" t="e">
        <f>IF(Z1637&gt;0,((IF(OR(D1637="RA",D1637="OA",D1637="OT",D1637="UN",D1637="PC"),EXP(VLOOKUP(D1637,'Species Codes'!B:O,14,0)+VLOOKUP(D1637,'Species Codes'!B:P,15,0)*LN((E1637*2.54)))-EXP(VLOOKUP(D1637,'Species Codes'!B:O,14,0)+VLOOKUP(D1637,'Species Codes'!B:P,15,0)*LN((E1637*2.54)))*(1/(VLOOKUP(D1637,'Species Codes'!B:Q,16,0)+VLOOKUP(D1637,'Species Codes'!B:R,17,0)*((E1637*2.54)^VLOOKUP(D1637,'Species Codes'!B:S,18,0)))),IF(OR(D1637="BM",D1637="MD",D1637="OA"),EXP(VLOOKUP(D1637,'Species Codes'!B:O,14,0)+VLOOKUP(D1637,'Species Codes'!B:P,15,0)*LN((E1637*2.54)))*(1-(1/(VLOOKUP(D1637,'Species Codes'!B:Q,16,0)+VLOOKUP(D1637,'Species Codes'!B:R,17,0)*((E1637*2.54)^VLOOKUP(D1637,'Species Codes'!B:S,18,0)))))/1000,IF(D1637="DF",EXP(VLOOKUP(D1637,'Species Codes'!B:O,14,0)+VLOOKUP(D1637,'Species Codes'!B:P,15,0)*LN((E1637*2.54))),VLOOKUP(D1637,'Species Codes'!B:O,14,0)+VLOOKUP(D1637,'Species Codes'!B:P,15,0)*(((E1637*2.54)/100)^2)*(I1637*0.3048)))))*0.0011023),0)</f>
        <v>#N/A</v>
      </c>
      <c r="AD1637" s="104" t="e">
        <f t="shared" si="733"/>
        <v>#N/A</v>
      </c>
      <c r="AE1637" s="104" t="e">
        <f t="shared" si="734"/>
        <v>#N/A</v>
      </c>
      <c r="AF1637" s="104" t="e">
        <f>IF(AND(VLOOKUP($D1637,Merchantability!$B:$C,2,0)="Yes",$E1637&gt;=VLOOKUP($D1637,Merchantability!$B:$D,3,0),$E1637&lt;=VLOOKUP($D1637,Merchantability!$B:$E,4,0)),AA1637,0)</f>
        <v>#N/A</v>
      </c>
      <c r="AG1637" s="104" t="e">
        <f>IF(AND(VLOOKUP($D1637,Merchantability!$B:$C,2,0)="Yes",$E1637&gt;=VLOOKUP($D1637,Merchantability!$B:$D,3,0),$E1637&lt;=VLOOKUP($D1637,Merchantability!$B:$E,4,0)),AB1637,0)</f>
        <v>#N/A</v>
      </c>
      <c r="AH1637" s="104" t="e">
        <f>IF(AND(VLOOKUP($D1637,Merchantability!$B:$C,2,0)="Yes",$E1637&gt;=VLOOKUP($D1637,Merchantability!$B:$D,3,0),$E1637&lt;=VLOOKUP($D1637,Merchantability!$B:$E,4,0)),AC1637,0)</f>
        <v>#N/A</v>
      </c>
      <c r="AI1637" s="104" t="e">
        <f t="shared" si="735"/>
        <v>#N/A</v>
      </c>
      <c r="AJ1637" s="104" t="e">
        <f t="shared" si="736"/>
        <v>#VALUE!</v>
      </c>
      <c r="AK1637" s="104" t="e">
        <f t="shared" si="737"/>
        <v>#N/A</v>
      </c>
      <c r="AL1637" s="104" t="e">
        <f t="shared" si="738"/>
        <v>#N/A</v>
      </c>
      <c r="AM1637" s="104" t="e">
        <f t="shared" si="739"/>
        <v>#N/A</v>
      </c>
      <c r="AN1637" s="104" t="e">
        <f t="shared" si="723"/>
        <v>#N/A</v>
      </c>
      <c r="AO1637" s="104" t="e">
        <f t="shared" si="724"/>
        <v>#N/A</v>
      </c>
      <c r="AP1637" s="104" t="e">
        <f t="shared" si="725"/>
        <v>#N/A</v>
      </c>
      <c r="AQ1637" s="104" t="e">
        <f t="shared" si="726"/>
        <v>#N/A</v>
      </c>
      <c r="AR1637" s="105" t="str">
        <f t="shared" si="718"/>
        <v/>
      </c>
      <c r="AS1637" s="105" t="str">
        <f t="shared" si="719"/>
        <v/>
      </c>
      <c r="AT1637" s="108" t="str">
        <f t="shared" si="720"/>
        <v/>
      </c>
      <c r="AU1637" s="108" t="str">
        <f t="shared" si="721"/>
        <v/>
      </c>
      <c r="AV1637" s="107" t="str">
        <f>IF(ISNUMBER(O1637),IF(VLOOKUP($A1637,Stand!C:J,8,FALSE)="Short",AT1637,AU1637),"")</f>
        <v/>
      </c>
      <c r="AW1637" s="109" t="str">
        <f t="shared" si="727"/>
        <v/>
      </c>
      <c r="AX1637" s="109" t="str">
        <f t="shared" si="728"/>
        <v/>
      </c>
      <c r="AY1637" s="112" t="str">
        <f>IF(ISNUMBER(O1637),IF(AND(VLOOKUP($D1637,Merchantability!$B:$C,2,0)="Yes",$E1637&gt;=VLOOKUP($D1637,Merchantability!$B:$D,3,0),$E1637&lt;=VLOOKUP($D1637,Merchantability!$B:$E,4,0)),(AV1637*O1637)*(1-$H1637/100),""),"")</f>
        <v/>
      </c>
      <c r="AZ1637" s="116"/>
      <c r="BA1637" s="116"/>
      <c r="BB1637" s="116"/>
      <c r="BE1637" s="62"/>
      <c r="BF1637" s="63"/>
    </row>
    <row r="1638" spans="1:58" ht="12.75" customHeight="1" x14ac:dyDescent="0.25">
      <c r="A1638" s="334"/>
      <c r="B1638" s="334"/>
      <c r="C1638" s="332"/>
      <c r="D1638" s="334"/>
      <c r="E1638" s="335"/>
      <c r="F1638" s="334"/>
      <c r="G1638" s="332"/>
      <c r="H1638" s="332"/>
      <c r="I1638" s="334"/>
      <c r="J1638" s="336"/>
      <c r="K1638" s="332"/>
      <c r="L1638" s="332"/>
      <c r="M1638" s="76"/>
      <c r="N1638" s="103" t="str">
        <f>IF(A1638="","",VLOOKUP(A1638,Stand!C:K,9,0))</f>
        <v/>
      </c>
      <c r="O1638" s="104" t="str">
        <f t="shared" si="713"/>
        <v/>
      </c>
      <c r="P1638" s="105" t="str">
        <f t="shared" si="714"/>
        <v/>
      </c>
      <c r="Q1638" s="105" t="str">
        <f t="shared" si="729"/>
        <v/>
      </c>
      <c r="R1638" s="103" t="str">
        <f t="shared" si="715"/>
        <v/>
      </c>
      <c r="S1638" s="103" t="str">
        <f t="shared" si="716"/>
        <v/>
      </c>
      <c r="T1638" s="106" t="str">
        <f t="shared" si="730"/>
        <v/>
      </c>
      <c r="U1638" s="106" t="str">
        <f t="shared" si="731"/>
        <v/>
      </c>
      <c r="V1638" s="106" t="str">
        <f t="shared" si="732"/>
        <v/>
      </c>
      <c r="W1638" s="105" t="str">
        <f t="shared" si="717"/>
        <v/>
      </c>
      <c r="X1638" s="104" t="str">
        <f t="shared" si="722"/>
        <v/>
      </c>
      <c r="Y1638" s="104" t="str">
        <f t="array" ref="Y1638">IFERROR(IF(ISNUMBER(O1638),IF(COUNT(IF(A1638=$A$2:$A$2427,IF(D1638=$D$2:$D$2427,IF($X$2:$X$2427&gt;0,1))))&gt;0,SUM(IF(A1638=$A$2:$A$2427,IF(D1638=$D$2:$D$2427,$X$2:$X$2427)))/COUNT(IF(A1638=$A$2:$A$2427,IF(D1638=$D$2:$D$2427,IF(ISNUMBER($X$2:$X$2427),1)))),0),""),0)</f>
        <v/>
      </c>
      <c r="Z1638" s="104" t="str">
        <f>IF(ISNUMBER(O1638),IF(I1638&gt;0,(10^(VLOOKUP(D1638,'Species Codes'!B:C,2,0)+VLOOKUP(D1638,'Species Codes'!B:D,3,0)*LOG(E1638)+VLOOKUP(D1638,'Species Codes'!B:E,4,0)*LOG(I1638))),0),"")</f>
        <v/>
      </c>
      <c r="AA1638" s="104" t="str">
        <f>IFERROR((VLOOKUP(D1638,'Species Codes'!B:G,6,0)*Z1638)/2000,"")</f>
        <v/>
      </c>
      <c r="AB1638" s="104" t="e">
        <f>IF(Z1638&gt;0,((IF(OR(D1638="DF",D1638="RA")=TRUE,EXP(VLOOKUP(D1638,'Species Codes'!B:I,8,0)+VLOOKUP(D1638,'Species Codes'!B:J,9,0)*(LN((E1638*2.54)))),IF(OR(D1638="PY",D1638="RC",D1638="WH",D1638="NF")=TRUE,VLOOKUP(D1638,'Species Codes'!B:I,8,0)+VLOOKUP(D1638,'Species Codes'!B:J,9,0)*((E1638*2.54)^2)*(I1638*0.3048),IF(OR(D1638="MD",D1638="BM",D1638="GA")=TRUE,((VLOOKUP(D1638,'Species Codes'!B:I,8,0)*(((((E1638*2.54)+VLOOKUP(D1638,'Species Codes'!B:J,9,0))/VLOOKUP(D1638,'Species Codes'!B:K,10,0))^VLOOKUP(D1638,'Species Codes'!B:L,11,0))*((I1638*0.3048)^VLOOKUP(D1638,'Species Codes'!B:M,12,0))))-(VLOOKUP(D1638,'Species Codes'!B:I,8,0)*((((E1638*2.54)^VLOOKUP(D1638,'Species Codes'!B:L,11,0))*((I1638*0.3048)^VLOOKUP(D1638,'Species Codes'!B:M,12,0))))))*35.3*VLOOKUP(D1638,'Species Codes'!B:G,6,0)/2.2046,VLOOKUP(D1638,'Species Codes'!B:I,8,0)+VLOOKUP(D1638,'Species Codes'!B:J,9,0)*(((E1638*2.54)/100)^2)*(I1638*0.3048)))))*0.0011023),0)</f>
        <v>#N/A</v>
      </c>
      <c r="AC1638" s="104" t="e">
        <f>IF(Z1638&gt;0,((IF(OR(D1638="RA",D1638="OA",D1638="OT",D1638="UN",D1638="PC"),EXP(VLOOKUP(D1638,'Species Codes'!B:O,14,0)+VLOOKUP(D1638,'Species Codes'!B:P,15,0)*LN((E1638*2.54)))-EXP(VLOOKUP(D1638,'Species Codes'!B:O,14,0)+VLOOKUP(D1638,'Species Codes'!B:P,15,0)*LN((E1638*2.54)))*(1/(VLOOKUP(D1638,'Species Codes'!B:Q,16,0)+VLOOKUP(D1638,'Species Codes'!B:R,17,0)*((E1638*2.54)^VLOOKUP(D1638,'Species Codes'!B:S,18,0)))),IF(OR(D1638="BM",D1638="MD",D1638="OA"),EXP(VLOOKUP(D1638,'Species Codes'!B:O,14,0)+VLOOKUP(D1638,'Species Codes'!B:P,15,0)*LN((E1638*2.54)))*(1-(1/(VLOOKUP(D1638,'Species Codes'!B:Q,16,0)+VLOOKUP(D1638,'Species Codes'!B:R,17,0)*((E1638*2.54)^VLOOKUP(D1638,'Species Codes'!B:S,18,0)))))/1000,IF(D1638="DF",EXP(VLOOKUP(D1638,'Species Codes'!B:O,14,0)+VLOOKUP(D1638,'Species Codes'!B:P,15,0)*LN((E1638*2.54))),VLOOKUP(D1638,'Species Codes'!B:O,14,0)+VLOOKUP(D1638,'Species Codes'!B:P,15,0)*(((E1638*2.54)/100)^2)*(I1638*0.3048)))))*0.0011023),0)</f>
        <v>#N/A</v>
      </c>
      <c r="AD1638" s="104" t="e">
        <f t="shared" si="733"/>
        <v>#N/A</v>
      </c>
      <c r="AE1638" s="104" t="e">
        <f t="shared" si="734"/>
        <v>#N/A</v>
      </c>
      <c r="AF1638" s="104" t="e">
        <f>IF(AND(VLOOKUP($D1638,Merchantability!$B:$C,2,0)="Yes",$E1638&gt;=VLOOKUP($D1638,Merchantability!$B:$D,3,0),$E1638&lt;=VLOOKUP($D1638,Merchantability!$B:$E,4,0)),AA1638,0)</f>
        <v>#N/A</v>
      </c>
      <c r="AG1638" s="104" t="e">
        <f>IF(AND(VLOOKUP($D1638,Merchantability!$B:$C,2,0)="Yes",$E1638&gt;=VLOOKUP($D1638,Merchantability!$B:$D,3,0),$E1638&lt;=VLOOKUP($D1638,Merchantability!$B:$E,4,0)),AB1638,0)</f>
        <v>#N/A</v>
      </c>
      <c r="AH1638" s="104" t="e">
        <f>IF(AND(VLOOKUP($D1638,Merchantability!$B:$C,2,0)="Yes",$E1638&gt;=VLOOKUP($D1638,Merchantability!$B:$D,3,0),$E1638&lt;=VLOOKUP($D1638,Merchantability!$B:$E,4,0)),AC1638,0)</f>
        <v>#N/A</v>
      </c>
      <c r="AI1638" s="104" t="e">
        <f t="shared" si="735"/>
        <v>#N/A</v>
      </c>
      <c r="AJ1638" s="104" t="e">
        <f t="shared" si="736"/>
        <v>#VALUE!</v>
      </c>
      <c r="AK1638" s="104" t="e">
        <f t="shared" si="737"/>
        <v>#N/A</v>
      </c>
      <c r="AL1638" s="104" t="e">
        <f t="shared" si="738"/>
        <v>#N/A</v>
      </c>
      <c r="AM1638" s="104" t="e">
        <f t="shared" si="739"/>
        <v>#N/A</v>
      </c>
      <c r="AN1638" s="104" t="e">
        <f t="shared" si="723"/>
        <v>#N/A</v>
      </c>
      <c r="AO1638" s="104" t="e">
        <f t="shared" si="724"/>
        <v>#N/A</v>
      </c>
      <c r="AP1638" s="104" t="e">
        <f t="shared" si="725"/>
        <v>#N/A</v>
      </c>
      <c r="AQ1638" s="104" t="e">
        <f t="shared" si="726"/>
        <v>#N/A</v>
      </c>
      <c r="AR1638" s="105" t="str">
        <f t="shared" si="718"/>
        <v/>
      </c>
      <c r="AS1638" s="105" t="str">
        <f t="shared" si="719"/>
        <v/>
      </c>
      <c r="AT1638" s="108" t="str">
        <f t="shared" si="720"/>
        <v/>
      </c>
      <c r="AU1638" s="108" t="str">
        <f t="shared" si="721"/>
        <v/>
      </c>
      <c r="AV1638" s="107" t="str">
        <f>IF(ISNUMBER(O1638),IF(VLOOKUP($A1638,Stand!C:J,8,FALSE)="Short",AT1638,AU1638),"")</f>
        <v/>
      </c>
      <c r="AW1638" s="109" t="str">
        <f t="shared" si="727"/>
        <v/>
      </c>
      <c r="AX1638" s="109" t="str">
        <f t="shared" si="728"/>
        <v/>
      </c>
      <c r="AY1638" s="112" t="str">
        <f>IF(ISNUMBER(O1638),IF(AND(VLOOKUP($D1638,Merchantability!$B:$C,2,0)="Yes",$E1638&gt;=VLOOKUP($D1638,Merchantability!$B:$D,3,0),$E1638&lt;=VLOOKUP($D1638,Merchantability!$B:$E,4,0)),(AV1638*O1638)*(1-$H1638/100),""),"")</f>
        <v/>
      </c>
      <c r="AZ1638" s="116"/>
      <c r="BA1638" s="116"/>
      <c r="BB1638" s="116"/>
      <c r="BE1638" s="62"/>
      <c r="BF1638" s="63"/>
    </row>
    <row r="1639" spans="1:58" ht="12.75" customHeight="1" x14ac:dyDescent="0.25">
      <c r="A1639" s="334"/>
      <c r="B1639" s="334"/>
      <c r="C1639" s="332"/>
      <c r="D1639" s="334"/>
      <c r="E1639" s="335"/>
      <c r="F1639" s="334"/>
      <c r="G1639" s="332"/>
      <c r="H1639" s="332"/>
      <c r="I1639" s="334"/>
      <c r="J1639" s="336"/>
      <c r="K1639" s="332"/>
      <c r="L1639" s="332"/>
      <c r="M1639" s="76"/>
      <c r="N1639" s="103" t="str">
        <f>IF(A1639="","",VLOOKUP(A1639,Stand!C:K,9,0))</f>
        <v/>
      </c>
      <c r="O1639" s="104" t="str">
        <f t="shared" si="713"/>
        <v/>
      </c>
      <c r="P1639" s="105" t="str">
        <f t="shared" si="714"/>
        <v/>
      </c>
      <c r="Q1639" s="105" t="str">
        <f t="shared" si="729"/>
        <v/>
      </c>
      <c r="R1639" s="103" t="str">
        <f t="shared" si="715"/>
        <v/>
      </c>
      <c r="S1639" s="103" t="str">
        <f t="shared" si="716"/>
        <v/>
      </c>
      <c r="T1639" s="106" t="str">
        <f t="shared" si="730"/>
        <v/>
      </c>
      <c r="U1639" s="106" t="str">
        <f t="shared" si="731"/>
        <v/>
      </c>
      <c r="V1639" s="106" t="str">
        <f t="shared" si="732"/>
        <v/>
      </c>
      <c r="W1639" s="105" t="str">
        <f t="shared" si="717"/>
        <v/>
      </c>
      <c r="X1639" s="104" t="str">
        <f t="shared" si="722"/>
        <v/>
      </c>
      <c r="Y1639" s="104" t="str">
        <f t="array" ref="Y1639">IFERROR(IF(ISNUMBER(O1639),IF(COUNT(IF(A1639=$A$2:$A$2427,IF(D1639=$D$2:$D$2427,IF($X$2:$X$2427&gt;0,1))))&gt;0,SUM(IF(A1639=$A$2:$A$2427,IF(D1639=$D$2:$D$2427,$X$2:$X$2427)))/COUNT(IF(A1639=$A$2:$A$2427,IF(D1639=$D$2:$D$2427,IF(ISNUMBER($X$2:$X$2427),1)))),0),""),0)</f>
        <v/>
      </c>
      <c r="Z1639" s="104" t="str">
        <f>IF(ISNUMBER(O1639),IF(I1639&gt;0,(10^(VLOOKUP(D1639,'Species Codes'!B:C,2,0)+VLOOKUP(D1639,'Species Codes'!B:D,3,0)*LOG(E1639)+VLOOKUP(D1639,'Species Codes'!B:E,4,0)*LOG(I1639))),0),"")</f>
        <v/>
      </c>
      <c r="AA1639" s="104" t="str">
        <f>IFERROR((VLOOKUP(D1639,'Species Codes'!B:G,6,0)*Z1639)/2000,"")</f>
        <v/>
      </c>
      <c r="AB1639" s="104" t="e">
        <f>IF(Z1639&gt;0,((IF(OR(D1639="DF",D1639="RA")=TRUE,EXP(VLOOKUP(D1639,'Species Codes'!B:I,8,0)+VLOOKUP(D1639,'Species Codes'!B:J,9,0)*(LN((E1639*2.54)))),IF(OR(D1639="PY",D1639="RC",D1639="WH",D1639="NF")=TRUE,VLOOKUP(D1639,'Species Codes'!B:I,8,0)+VLOOKUP(D1639,'Species Codes'!B:J,9,0)*((E1639*2.54)^2)*(I1639*0.3048),IF(OR(D1639="MD",D1639="BM",D1639="GA")=TRUE,((VLOOKUP(D1639,'Species Codes'!B:I,8,0)*(((((E1639*2.54)+VLOOKUP(D1639,'Species Codes'!B:J,9,0))/VLOOKUP(D1639,'Species Codes'!B:K,10,0))^VLOOKUP(D1639,'Species Codes'!B:L,11,0))*((I1639*0.3048)^VLOOKUP(D1639,'Species Codes'!B:M,12,0))))-(VLOOKUP(D1639,'Species Codes'!B:I,8,0)*((((E1639*2.54)^VLOOKUP(D1639,'Species Codes'!B:L,11,0))*((I1639*0.3048)^VLOOKUP(D1639,'Species Codes'!B:M,12,0))))))*35.3*VLOOKUP(D1639,'Species Codes'!B:G,6,0)/2.2046,VLOOKUP(D1639,'Species Codes'!B:I,8,0)+VLOOKUP(D1639,'Species Codes'!B:J,9,0)*(((E1639*2.54)/100)^2)*(I1639*0.3048)))))*0.0011023),0)</f>
        <v>#N/A</v>
      </c>
      <c r="AC1639" s="104" t="e">
        <f>IF(Z1639&gt;0,((IF(OR(D1639="RA",D1639="OA",D1639="OT",D1639="UN",D1639="PC"),EXP(VLOOKUP(D1639,'Species Codes'!B:O,14,0)+VLOOKUP(D1639,'Species Codes'!B:P,15,0)*LN((E1639*2.54)))-EXP(VLOOKUP(D1639,'Species Codes'!B:O,14,0)+VLOOKUP(D1639,'Species Codes'!B:P,15,0)*LN((E1639*2.54)))*(1/(VLOOKUP(D1639,'Species Codes'!B:Q,16,0)+VLOOKUP(D1639,'Species Codes'!B:R,17,0)*((E1639*2.54)^VLOOKUP(D1639,'Species Codes'!B:S,18,0)))),IF(OR(D1639="BM",D1639="MD",D1639="OA"),EXP(VLOOKUP(D1639,'Species Codes'!B:O,14,0)+VLOOKUP(D1639,'Species Codes'!B:P,15,0)*LN((E1639*2.54)))*(1-(1/(VLOOKUP(D1639,'Species Codes'!B:Q,16,0)+VLOOKUP(D1639,'Species Codes'!B:R,17,0)*((E1639*2.54)^VLOOKUP(D1639,'Species Codes'!B:S,18,0)))))/1000,IF(D1639="DF",EXP(VLOOKUP(D1639,'Species Codes'!B:O,14,0)+VLOOKUP(D1639,'Species Codes'!B:P,15,0)*LN((E1639*2.54))),VLOOKUP(D1639,'Species Codes'!B:O,14,0)+VLOOKUP(D1639,'Species Codes'!B:P,15,0)*(((E1639*2.54)/100)^2)*(I1639*0.3048)))))*0.0011023),0)</f>
        <v>#N/A</v>
      </c>
      <c r="AD1639" s="104" t="e">
        <f t="shared" si="733"/>
        <v>#N/A</v>
      </c>
      <c r="AE1639" s="104" t="e">
        <f t="shared" si="734"/>
        <v>#N/A</v>
      </c>
      <c r="AF1639" s="104" t="e">
        <f>IF(AND(VLOOKUP($D1639,Merchantability!$B:$C,2,0)="Yes",$E1639&gt;=VLOOKUP($D1639,Merchantability!$B:$D,3,0),$E1639&lt;=VLOOKUP($D1639,Merchantability!$B:$E,4,0)),AA1639,0)</f>
        <v>#N/A</v>
      </c>
      <c r="AG1639" s="104" t="e">
        <f>IF(AND(VLOOKUP($D1639,Merchantability!$B:$C,2,0)="Yes",$E1639&gt;=VLOOKUP($D1639,Merchantability!$B:$D,3,0),$E1639&lt;=VLOOKUP($D1639,Merchantability!$B:$E,4,0)),AB1639,0)</f>
        <v>#N/A</v>
      </c>
      <c r="AH1639" s="104" t="e">
        <f>IF(AND(VLOOKUP($D1639,Merchantability!$B:$C,2,0)="Yes",$E1639&gt;=VLOOKUP($D1639,Merchantability!$B:$D,3,0),$E1639&lt;=VLOOKUP($D1639,Merchantability!$B:$E,4,0)),AC1639,0)</f>
        <v>#N/A</v>
      </c>
      <c r="AI1639" s="104" t="e">
        <f t="shared" si="735"/>
        <v>#N/A</v>
      </c>
      <c r="AJ1639" s="104" t="e">
        <f t="shared" si="736"/>
        <v>#VALUE!</v>
      </c>
      <c r="AK1639" s="104" t="e">
        <f t="shared" si="737"/>
        <v>#N/A</v>
      </c>
      <c r="AL1639" s="104" t="e">
        <f t="shared" si="738"/>
        <v>#N/A</v>
      </c>
      <c r="AM1639" s="104" t="e">
        <f t="shared" si="739"/>
        <v>#N/A</v>
      </c>
      <c r="AN1639" s="104" t="e">
        <f t="shared" si="723"/>
        <v>#N/A</v>
      </c>
      <c r="AO1639" s="104" t="e">
        <f t="shared" si="724"/>
        <v>#N/A</v>
      </c>
      <c r="AP1639" s="104" t="e">
        <f t="shared" si="725"/>
        <v>#N/A</v>
      </c>
      <c r="AQ1639" s="104" t="e">
        <f t="shared" si="726"/>
        <v>#N/A</v>
      </c>
      <c r="AR1639" s="105" t="str">
        <f t="shared" si="718"/>
        <v/>
      </c>
      <c r="AS1639" s="105" t="str">
        <f t="shared" si="719"/>
        <v/>
      </c>
      <c r="AT1639" s="108" t="str">
        <f t="shared" si="720"/>
        <v/>
      </c>
      <c r="AU1639" s="108" t="str">
        <f t="shared" si="721"/>
        <v/>
      </c>
      <c r="AV1639" s="107" t="str">
        <f>IF(ISNUMBER(O1639),IF(VLOOKUP($A1639,Stand!C:J,8,FALSE)="Short",AT1639,AU1639),"")</f>
        <v/>
      </c>
      <c r="AW1639" s="109" t="str">
        <f t="shared" si="727"/>
        <v/>
      </c>
      <c r="AX1639" s="109" t="str">
        <f t="shared" si="728"/>
        <v/>
      </c>
      <c r="AY1639" s="112" t="str">
        <f>IF(ISNUMBER(O1639),IF(AND(VLOOKUP($D1639,Merchantability!$B:$C,2,0)="Yes",$E1639&gt;=VLOOKUP($D1639,Merchantability!$B:$D,3,0),$E1639&lt;=VLOOKUP($D1639,Merchantability!$B:$E,4,0)),(AV1639*O1639)*(1-$H1639/100),""),"")</f>
        <v/>
      </c>
      <c r="AZ1639" s="116"/>
      <c r="BA1639" s="116"/>
      <c r="BB1639" s="116"/>
      <c r="BE1639" s="62"/>
      <c r="BF1639" s="63"/>
    </row>
    <row r="1640" spans="1:58" ht="12.75" customHeight="1" x14ac:dyDescent="0.25">
      <c r="A1640" s="334"/>
      <c r="B1640" s="334"/>
      <c r="C1640" s="332"/>
      <c r="D1640" s="334"/>
      <c r="E1640" s="335"/>
      <c r="F1640" s="334"/>
      <c r="G1640" s="332"/>
      <c r="H1640" s="332"/>
      <c r="I1640" s="334"/>
      <c r="J1640" s="336"/>
      <c r="K1640" s="332"/>
      <c r="L1640" s="332"/>
      <c r="M1640" s="76"/>
      <c r="N1640" s="103" t="str">
        <f>IF(A1640="","",VLOOKUP(A1640,Stand!C:K,9,0))</f>
        <v/>
      </c>
      <c r="O1640" s="104" t="str">
        <f t="shared" si="713"/>
        <v/>
      </c>
      <c r="P1640" s="105" t="str">
        <f t="shared" si="714"/>
        <v/>
      </c>
      <c r="Q1640" s="105" t="str">
        <f t="shared" si="729"/>
        <v/>
      </c>
      <c r="R1640" s="103" t="str">
        <f t="shared" si="715"/>
        <v/>
      </c>
      <c r="S1640" s="103" t="str">
        <f t="shared" si="716"/>
        <v/>
      </c>
      <c r="T1640" s="106" t="str">
        <f t="shared" si="730"/>
        <v/>
      </c>
      <c r="U1640" s="106" t="str">
        <f t="shared" si="731"/>
        <v/>
      </c>
      <c r="V1640" s="106" t="str">
        <f t="shared" si="732"/>
        <v/>
      </c>
      <c r="W1640" s="105" t="str">
        <f t="shared" si="717"/>
        <v/>
      </c>
      <c r="X1640" s="104" t="str">
        <f t="shared" si="722"/>
        <v/>
      </c>
      <c r="Y1640" s="104" t="str">
        <f t="array" ref="Y1640">IFERROR(IF(ISNUMBER(O1640),IF(COUNT(IF(A1640=$A$2:$A$2427,IF(D1640=$D$2:$D$2427,IF($X$2:$X$2427&gt;0,1))))&gt;0,SUM(IF(A1640=$A$2:$A$2427,IF(D1640=$D$2:$D$2427,$X$2:$X$2427)))/COUNT(IF(A1640=$A$2:$A$2427,IF(D1640=$D$2:$D$2427,IF(ISNUMBER($X$2:$X$2427),1)))),0),""),0)</f>
        <v/>
      </c>
      <c r="Z1640" s="104" t="str">
        <f>IF(ISNUMBER(O1640),IF(I1640&gt;0,(10^(VLOOKUP(D1640,'Species Codes'!B:C,2,0)+VLOOKUP(D1640,'Species Codes'!B:D,3,0)*LOG(E1640)+VLOOKUP(D1640,'Species Codes'!B:E,4,0)*LOG(I1640))),0),"")</f>
        <v/>
      </c>
      <c r="AA1640" s="104" t="str">
        <f>IFERROR((VLOOKUP(D1640,'Species Codes'!B:G,6,0)*Z1640)/2000,"")</f>
        <v/>
      </c>
      <c r="AB1640" s="104" t="e">
        <f>IF(Z1640&gt;0,((IF(OR(D1640="DF",D1640="RA")=TRUE,EXP(VLOOKUP(D1640,'Species Codes'!B:I,8,0)+VLOOKUP(D1640,'Species Codes'!B:J,9,0)*(LN((E1640*2.54)))),IF(OR(D1640="PY",D1640="RC",D1640="WH",D1640="NF")=TRUE,VLOOKUP(D1640,'Species Codes'!B:I,8,0)+VLOOKUP(D1640,'Species Codes'!B:J,9,0)*((E1640*2.54)^2)*(I1640*0.3048),IF(OR(D1640="MD",D1640="BM",D1640="GA")=TRUE,((VLOOKUP(D1640,'Species Codes'!B:I,8,0)*(((((E1640*2.54)+VLOOKUP(D1640,'Species Codes'!B:J,9,0))/VLOOKUP(D1640,'Species Codes'!B:K,10,0))^VLOOKUP(D1640,'Species Codes'!B:L,11,0))*((I1640*0.3048)^VLOOKUP(D1640,'Species Codes'!B:M,12,0))))-(VLOOKUP(D1640,'Species Codes'!B:I,8,0)*((((E1640*2.54)^VLOOKUP(D1640,'Species Codes'!B:L,11,0))*((I1640*0.3048)^VLOOKUP(D1640,'Species Codes'!B:M,12,0))))))*35.3*VLOOKUP(D1640,'Species Codes'!B:G,6,0)/2.2046,VLOOKUP(D1640,'Species Codes'!B:I,8,0)+VLOOKUP(D1640,'Species Codes'!B:J,9,0)*(((E1640*2.54)/100)^2)*(I1640*0.3048)))))*0.0011023),0)</f>
        <v>#N/A</v>
      </c>
      <c r="AC1640" s="104" t="e">
        <f>IF(Z1640&gt;0,((IF(OR(D1640="RA",D1640="OA",D1640="OT",D1640="UN",D1640="PC"),EXP(VLOOKUP(D1640,'Species Codes'!B:O,14,0)+VLOOKUP(D1640,'Species Codes'!B:P,15,0)*LN((E1640*2.54)))-EXP(VLOOKUP(D1640,'Species Codes'!B:O,14,0)+VLOOKUP(D1640,'Species Codes'!B:P,15,0)*LN((E1640*2.54)))*(1/(VLOOKUP(D1640,'Species Codes'!B:Q,16,0)+VLOOKUP(D1640,'Species Codes'!B:R,17,0)*((E1640*2.54)^VLOOKUP(D1640,'Species Codes'!B:S,18,0)))),IF(OR(D1640="BM",D1640="MD",D1640="OA"),EXP(VLOOKUP(D1640,'Species Codes'!B:O,14,0)+VLOOKUP(D1640,'Species Codes'!B:P,15,0)*LN((E1640*2.54)))*(1-(1/(VLOOKUP(D1640,'Species Codes'!B:Q,16,0)+VLOOKUP(D1640,'Species Codes'!B:R,17,0)*((E1640*2.54)^VLOOKUP(D1640,'Species Codes'!B:S,18,0)))))/1000,IF(D1640="DF",EXP(VLOOKUP(D1640,'Species Codes'!B:O,14,0)+VLOOKUP(D1640,'Species Codes'!B:P,15,0)*LN((E1640*2.54))),VLOOKUP(D1640,'Species Codes'!B:O,14,0)+VLOOKUP(D1640,'Species Codes'!B:P,15,0)*(((E1640*2.54)/100)^2)*(I1640*0.3048)))))*0.0011023),0)</f>
        <v>#N/A</v>
      </c>
      <c r="AD1640" s="104" t="e">
        <f t="shared" si="733"/>
        <v>#N/A</v>
      </c>
      <c r="AE1640" s="104" t="e">
        <f t="shared" si="734"/>
        <v>#N/A</v>
      </c>
      <c r="AF1640" s="104" t="e">
        <f>IF(AND(VLOOKUP($D1640,Merchantability!$B:$C,2,0)="Yes",$E1640&gt;=VLOOKUP($D1640,Merchantability!$B:$D,3,0),$E1640&lt;=VLOOKUP($D1640,Merchantability!$B:$E,4,0)),AA1640,0)</f>
        <v>#N/A</v>
      </c>
      <c r="AG1640" s="104" t="e">
        <f>IF(AND(VLOOKUP($D1640,Merchantability!$B:$C,2,0)="Yes",$E1640&gt;=VLOOKUP($D1640,Merchantability!$B:$D,3,0),$E1640&lt;=VLOOKUP($D1640,Merchantability!$B:$E,4,0)),AB1640,0)</f>
        <v>#N/A</v>
      </c>
      <c r="AH1640" s="104" t="e">
        <f>IF(AND(VLOOKUP($D1640,Merchantability!$B:$C,2,0)="Yes",$E1640&gt;=VLOOKUP($D1640,Merchantability!$B:$D,3,0),$E1640&lt;=VLOOKUP($D1640,Merchantability!$B:$E,4,0)),AC1640,0)</f>
        <v>#N/A</v>
      </c>
      <c r="AI1640" s="104" t="e">
        <f t="shared" si="735"/>
        <v>#N/A</v>
      </c>
      <c r="AJ1640" s="104" t="e">
        <f t="shared" si="736"/>
        <v>#VALUE!</v>
      </c>
      <c r="AK1640" s="104" t="e">
        <f t="shared" si="737"/>
        <v>#N/A</v>
      </c>
      <c r="AL1640" s="104" t="e">
        <f t="shared" si="738"/>
        <v>#N/A</v>
      </c>
      <c r="AM1640" s="104" t="e">
        <f t="shared" si="739"/>
        <v>#N/A</v>
      </c>
      <c r="AN1640" s="104" t="e">
        <f t="shared" si="723"/>
        <v>#N/A</v>
      </c>
      <c r="AO1640" s="104" t="e">
        <f t="shared" si="724"/>
        <v>#N/A</v>
      </c>
      <c r="AP1640" s="104" t="e">
        <f t="shared" si="725"/>
        <v>#N/A</v>
      </c>
      <c r="AQ1640" s="104" t="e">
        <f t="shared" si="726"/>
        <v>#N/A</v>
      </c>
      <c r="AR1640" s="105" t="str">
        <f t="shared" si="718"/>
        <v/>
      </c>
      <c r="AS1640" s="105" t="str">
        <f t="shared" si="719"/>
        <v/>
      </c>
      <c r="AT1640" s="108" t="str">
        <f t="shared" si="720"/>
        <v/>
      </c>
      <c r="AU1640" s="108" t="str">
        <f t="shared" si="721"/>
        <v/>
      </c>
      <c r="AV1640" s="107" t="str">
        <f>IF(ISNUMBER(O1640),IF(VLOOKUP($A1640,Stand!C:J,8,FALSE)="Short",AT1640,AU1640),"")</f>
        <v/>
      </c>
      <c r="AW1640" s="109" t="str">
        <f t="shared" si="727"/>
        <v/>
      </c>
      <c r="AX1640" s="109" t="str">
        <f t="shared" si="728"/>
        <v/>
      </c>
      <c r="AY1640" s="112" t="str">
        <f>IF(ISNUMBER(O1640),IF(AND(VLOOKUP($D1640,Merchantability!$B:$C,2,0)="Yes",$E1640&gt;=VLOOKUP($D1640,Merchantability!$B:$D,3,0),$E1640&lt;=VLOOKUP($D1640,Merchantability!$B:$E,4,0)),(AV1640*O1640)*(1-$H1640/100),""),"")</f>
        <v/>
      </c>
      <c r="AZ1640" s="116"/>
      <c r="BA1640" s="116"/>
      <c r="BB1640" s="116"/>
      <c r="BE1640" s="62"/>
      <c r="BF1640" s="63"/>
    </row>
    <row r="1641" spans="1:58" ht="12.75" customHeight="1" x14ac:dyDescent="0.25">
      <c r="A1641" s="334"/>
      <c r="B1641" s="334"/>
      <c r="C1641" s="332"/>
      <c r="D1641" s="334"/>
      <c r="E1641" s="335"/>
      <c r="F1641" s="334"/>
      <c r="G1641" s="332"/>
      <c r="H1641" s="332"/>
      <c r="I1641" s="334"/>
      <c r="J1641" s="336"/>
      <c r="K1641" s="332"/>
      <c r="L1641" s="332"/>
      <c r="M1641" s="76"/>
      <c r="N1641" s="103" t="str">
        <f>IF(A1641="","",VLOOKUP(A1641,Stand!C:K,9,0))</f>
        <v/>
      </c>
      <c r="O1641" s="104" t="str">
        <f t="shared" si="713"/>
        <v/>
      </c>
      <c r="P1641" s="105" t="str">
        <f t="shared" si="714"/>
        <v/>
      </c>
      <c r="Q1641" s="105" t="str">
        <f t="shared" si="729"/>
        <v/>
      </c>
      <c r="R1641" s="103" t="str">
        <f t="shared" si="715"/>
        <v/>
      </c>
      <c r="S1641" s="103" t="str">
        <f t="shared" si="716"/>
        <v/>
      </c>
      <c r="T1641" s="106" t="str">
        <f t="shared" si="730"/>
        <v/>
      </c>
      <c r="U1641" s="106" t="str">
        <f t="shared" si="731"/>
        <v/>
      </c>
      <c r="V1641" s="106" t="str">
        <f t="shared" si="732"/>
        <v/>
      </c>
      <c r="W1641" s="105" t="str">
        <f t="shared" si="717"/>
        <v/>
      </c>
      <c r="X1641" s="104" t="str">
        <f t="shared" si="722"/>
        <v/>
      </c>
      <c r="Y1641" s="104" t="str">
        <f t="array" ref="Y1641">IFERROR(IF(ISNUMBER(O1641),IF(COUNT(IF(A1641=$A$2:$A$2427,IF(D1641=$D$2:$D$2427,IF($X$2:$X$2427&gt;0,1))))&gt;0,SUM(IF(A1641=$A$2:$A$2427,IF(D1641=$D$2:$D$2427,$X$2:$X$2427)))/COUNT(IF(A1641=$A$2:$A$2427,IF(D1641=$D$2:$D$2427,IF(ISNUMBER($X$2:$X$2427),1)))),0),""),0)</f>
        <v/>
      </c>
      <c r="Z1641" s="104" t="str">
        <f>IF(ISNUMBER(O1641),IF(I1641&gt;0,(10^(VLOOKUP(D1641,'Species Codes'!B:C,2,0)+VLOOKUP(D1641,'Species Codes'!B:D,3,0)*LOG(E1641)+VLOOKUP(D1641,'Species Codes'!B:E,4,0)*LOG(I1641))),0),"")</f>
        <v/>
      </c>
      <c r="AA1641" s="104" t="str">
        <f>IFERROR((VLOOKUP(D1641,'Species Codes'!B:G,6,0)*Z1641)/2000,"")</f>
        <v/>
      </c>
      <c r="AB1641" s="104" t="e">
        <f>IF(Z1641&gt;0,((IF(OR(D1641="DF",D1641="RA")=TRUE,EXP(VLOOKUP(D1641,'Species Codes'!B:I,8,0)+VLOOKUP(D1641,'Species Codes'!B:J,9,0)*(LN((E1641*2.54)))),IF(OR(D1641="PY",D1641="RC",D1641="WH",D1641="NF")=TRUE,VLOOKUP(D1641,'Species Codes'!B:I,8,0)+VLOOKUP(D1641,'Species Codes'!B:J,9,0)*((E1641*2.54)^2)*(I1641*0.3048),IF(OR(D1641="MD",D1641="BM",D1641="GA")=TRUE,((VLOOKUP(D1641,'Species Codes'!B:I,8,0)*(((((E1641*2.54)+VLOOKUP(D1641,'Species Codes'!B:J,9,0))/VLOOKUP(D1641,'Species Codes'!B:K,10,0))^VLOOKUP(D1641,'Species Codes'!B:L,11,0))*((I1641*0.3048)^VLOOKUP(D1641,'Species Codes'!B:M,12,0))))-(VLOOKUP(D1641,'Species Codes'!B:I,8,0)*((((E1641*2.54)^VLOOKUP(D1641,'Species Codes'!B:L,11,0))*((I1641*0.3048)^VLOOKUP(D1641,'Species Codes'!B:M,12,0))))))*35.3*VLOOKUP(D1641,'Species Codes'!B:G,6,0)/2.2046,VLOOKUP(D1641,'Species Codes'!B:I,8,0)+VLOOKUP(D1641,'Species Codes'!B:J,9,0)*(((E1641*2.54)/100)^2)*(I1641*0.3048)))))*0.0011023),0)</f>
        <v>#N/A</v>
      </c>
      <c r="AC1641" s="104" t="e">
        <f>IF(Z1641&gt;0,((IF(OR(D1641="RA",D1641="OA",D1641="OT",D1641="UN",D1641="PC"),EXP(VLOOKUP(D1641,'Species Codes'!B:O,14,0)+VLOOKUP(D1641,'Species Codes'!B:P,15,0)*LN((E1641*2.54)))-EXP(VLOOKUP(D1641,'Species Codes'!B:O,14,0)+VLOOKUP(D1641,'Species Codes'!B:P,15,0)*LN((E1641*2.54)))*(1/(VLOOKUP(D1641,'Species Codes'!B:Q,16,0)+VLOOKUP(D1641,'Species Codes'!B:R,17,0)*((E1641*2.54)^VLOOKUP(D1641,'Species Codes'!B:S,18,0)))),IF(OR(D1641="BM",D1641="MD",D1641="OA"),EXP(VLOOKUP(D1641,'Species Codes'!B:O,14,0)+VLOOKUP(D1641,'Species Codes'!B:P,15,0)*LN((E1641*2.54)))*(1-(1/(VLOOKUP(D1641,'Species Codes'!B:Q,16,0)+VLOOKUP(D1641,'Species Codes'!B:R,17,0)*((E1641*2.54)^VLOOKUP(D1641,'Species Codes'!B:S,18,0)))))/1000,IF(D1641="DF",EXP(VLOOKUP(D1641,'Species Codes'!B:O,14,0)+VLOOKUP(D1641,'Species Codes'!B:P,15,0)*LN((E1641*2.54))),VLOOKUP(D1641,'Species Codes'!B:O,14,0)+VLOOKUP(D1641,'Species Codes'!B:P,15,0)*(((E1641*2.54)/100)^2)*(I1641*0.3048)))))*0.0011023),0)</f>
        <v>#N/A</v>
      </c>
      <c r="AD1641" s="104" t="e">
        <f t="shared" si="733"/>
        <v>#N/A</v>
      </c>
      <c r="AE1641" s="104" t="e">
        <f t="shared" si="734"/>
        <v>#N/A</v>
      </c>
      <c r="AF1641" s="104" t="e">
        <f>IF(AND(VLOOKUP($D1641,Merchantability!$B:$C,2,0)="Yes",$E1641&gt;=VLOOKUP($D1641,Merchantability!$B:$D,3,0),$E1641&lt;=VLOOKUP($D1641,Merchantability!$B:$E,4,0)),AA1641,0)</f>
        <v>#N/A</v>
      </c>
      <c r="AG1641" s="104" t="e">
        <f>IF(AND(VLOOKUP($D1641,Merchantability!$B:$C,2,0)="Yes",$E1641&gt;=VLOOKUP($D1641,Merchantability!$B:$D,3,0),$E1641&lt;=VLOOKUP($D1641,Merchantability!$B:$E,4,0)),AB1641,0)</f>
        <v>#N/A</v>
      </c>
      <c r="AH1641" s="104" t="e">
        <f>IF(AND(VLOOKUP($D1641,Merchantability!$B:$C,2,0)="Yes",$E1641&gt;=VLOOKUP($D1641,Merchantability!$B:$D,3,0),$E1641&lt;=VLOOKUP($D1641,Merchantability!$B:$E,4,0)),AC1641,0)</f>
        <v>#N/A</v>
      </c>
      <c r="AI1641" s="104" t="e">
        <f t="shared" si="735"/>
        <v>#N/A</v>
      </c>
      <c r="AJ1641" s="104" t="e">
        <f t="shared" si="736"/>
        <v>#VALUE!</v>
      </c>
      <c r="AK1641" s="104" t="e">
        <f t="shared" si="737"/>
        <v>#N/A</v>
      </c>
      <c r="AL1641" s="104" t="e">
        <f t="shared" si="738"/>
        <v>#N/A</v>
      </c>
      <c r="AM1641" s="104" t="e">
        <f t="shared" si="739"/>
        <v>#N/A</v>
      </c>
      <c r="AN1641" s="104" t="e">
        <f t="shared" si="723"/>
        <v>#N/A</v>
      </c>
      <c r="AO1641" s="104" t="e">
        <f t="shared" si="724"/>
        <v>#N/A</v>
      </c>
      <c r="AP1641" s="104" t="e">
        <f t="shared" si="725"/>
        <v>#N/A</v>
      </c>
      <c r="AQ1641" s="104" t="e">
        <f t="shared" si="726"/>
        <v>#N/A</v>
      </c>
      <c r="AR1641" s="105" t="str">
        <f t="shared" si="718"/>
        <v/>
      </c>
      <c r="AS1641" s="105" t="str">
        <f t="shared" si="719"/>
        <v/>
      </c>
      <c r="AT1641" s="108" t="str">
        <f t="shared" si="720"/>
        <v/>
      </c>
      <c r="AU1641" s="108" t="str">
        <f t="shared" si="721"/>
        <v/>
      </c>
      <c r="AV1641" s="107" t="str">
        <f>IF(ISNUMBER(O1641),IF(VLOOKUP($A1641,Stand!C:J,8,FALSE)="Short",AT1641,AU1641),"")</f>
        <v/>
      </c>
      <c r="AW1641" s="109" t="str">
        <f t="shared" si="727"/>
        <v/>
      </c>
      <c r="AX1641" s="109" t="str">
        <f t="shared" si="728"/>
        <v/>
      </c>
      <c r="AY1641" s="112" t="str">
        <f>IF(ISNUMBER(O1641),IF(AND(VLOOKUP($D1641,Merchantability!$B:$C,2,0)="Yes",$E1641&gt;=VLOOKUP($D1641,Merchantability!$B:$D,3,0),$E1641&lt;=VLOOKUP($D1641,Merchantability!$B:$E,4,0)),(AV1641*O1641)*(1-$H1641/100),""),"")</f>
        <v/>
      </c>
      <c r="AZ1641" s="116"/>
      <c r="BA1641" s="116"/>
      <c r="BB1641" s="116"/>
      <c r="BE1641" s="62"/>
      <c r="BF1641" s="63"/>
    </row>
    <row r="1642" spans="1:58" ht="12.75" customHeight="1" x14ac:dyDescent="0.25">
      <c r="A1642" s="334"/>
      <c r="B1642" s="334"/>
      <c r="C1642" s="332"/>
      <c r="D1642" s="334"/>
      <c r="E1642" s="335"/>
      <c r="F1642" s="334"/>
      <c r="G1642" s="332"/>
      <c r="H1642" s="332"/>
      <c r="I1642" s="334"/>
      <c r="J1642" s="336"/>
      <c r="K1642" s="332"/>
      <c r="L1642" s="332"/>
      <c r="M1642" s="76"/>
      <c r="N1642" s="103" t="str">
        <f>IF(A1642="","",VLOOKUP(A1642,Stand!C:K,9,0))</f>
        <v/>
      </c>
      <c r="O1642" s="104" t="str">
        <f t="shared" si="713"/>
        <v/>
      </c>
      <c r="P1642" s="105" t="str">
        <f t="shared" si="714"/>
        <v/>
      </c>
      <c r="Q1642" s="105" t="str">
        <f t="shared" si="729"/>
        <v/>
      </c>
      <c r="R1642" s="103" t="str">
        <f t="shared" si="715"/>
        <v/>
      </c>
      <c r="S1642" s="103" t="str">
        <f t="shared" si="716"/>
        <v/>
      </c>
      <c r="T1642" s="106" t="str">
        <f t="shared" si="730"/>
        <v/>
      </c>
      <c r="U1642" s="106" t="str">
        <f t="shared" si="731"/>
        <v/>
      </c>
      <c r="V1642" s="106" t="str">
        <f t="shared" si="732"/>
        <v/>
      </c>
      <c r="W1642" s="105" t="str">
        <f t="shared" si="717"/>
        <v/>
      </c>
      <c r="X1642" s="104" t="str">
        <f t="shared" si="722"/>
        <v/>
      </c>
      <c r="Y1642" s="104" t="str">
        <f t="array" ref="Y1642">IFERROR(IF(ISNUMBER(O1642),IF(COUNT(IF(A1642=$A$2:$A$2427,IF(D1642=$D$2:$D$2427,IF($X$2:$X$2427&gt;0,1))))&gt;0,SUM(IF(A1642=$A$2:$A$2427,IF(D1642=$D$2:$D$2427,$X$2:$X$2427)))/COUNT(IF(A1642=$A$2:$A$2427,IF(D1642=$D$2:$D$2427,IF(ISNUMBER($X$2:$X$2427),1)))),0),""),0)</f>
        <v/>
      </c>
      <c r="Z1642" s="104" t="str">
        <f>IF(ISNUMBER(O1642),IF(I1642&gt;0,(10^(VLOOKUP(D1642,'Species Codes'!B:C,2,0)+VLOOKUP(D1642,'Species Codes'!B:D,3,0)*LOG(E1642)+VLOOKUP(D1642,'Species Codes'!B:E,4,0)*LOG(I1642))),0),"")</f>
        <v/>
      </c>
      <c r="AA1642" s="104" t="str">
        <f>IFERROR((VLOOKUP(D1642,'Species Codes'!B:G,6,0)*Z1642)/2000,"")</f>
        <v/>
      </c>
      <c r="AB1642" s="104" t="e">
        <f>IF(Z1642&gt;0,((IF(OR(D1642="DF",D1642="RA")=TRUE,EXP(VLOOKUP(D1642,'Species Codes'!B:I,8,0)+VLOOKUP(D1642,'Species Codes'!B:J,9,0)*(LN((E1642*2.54)))),IF(OR(D1642="PY",D1642="RC",D1642="WH",D1642="NF")=TRUE,VLOOKUP(D1642,'Species Codes'!B:I,8,0)+VLOOKUP(D1642,'Species Codes'!B:J,9,0)*((E1642*2.54)^2)*(I1642*0.3048),IF(OR(D1642="MD",D1642="BM",D1642="GA")=TRUE,((VLOOKUP(D1642,'Species Codes'!B:I,8,0)*(((((E1642*2.54)+VLOOKUP(D1642,'Species Codes'!B:J,9,0))/VLOOKUP(D1642,'Species Codes'!B:K,10,0))^VLOOKUP(D1642,'Species Codes'!B:L,11,0))*((I1642*0.3048)^VLOOKUP(D1642,'Species Codes'!B:M,12,0))))-(VLOOKUP(D1642,'Species Codes'!B:I,8,0)*((((E1642*2.54)^VLOOKUP(D1642,'Species Codes'!B:L,11,0))*((I1642*0.3048)^VLOOKUP(D1642,'Species Codes'!B:M,12,0))))))*35.3*VLOOKUP(D1642,'Species Codes'!B:G,6,0)/2.2046,VLOOKUP(D1642,'Species Codes'!B:I,8,0)+VLOOKUP(D1642,'Species Codes'!B:J,9,0)*(((E1642*2.54)/100)^2)*(I1642*0.3048)))))*0.0011023),0)</f>
        <v>#N/A</v>
      </c>
      <c r="AC1642" s="104" t="e">
        <f>IF(Z1642&gt;0,((IF(OR(D1642="RA",D1642="OA",D1642="OT",D1642="UN",D1642="PC"),EXP(VLOOKUP(D1642,'Species Codes'!B:O,14,0)+VLOOKUP(D1642,'Species Codes'!B:P,15,0)*LN((E1642*2.54)))-EXP(VLOOKUP(D1642,'Species Codes'!B:O,14,0)+VLOOKUP(D1642,'Species Codes'!B:P,15,0)*LN((E1642*2.54)))*(1/(VLOOKUP(D1642,'Species Codes'!B:Q,16,0)+VLOOKUP(D1642,'Species Codes'!B:R,17,0)*((E1642*2.54)^VLOOKUP(D1642,'Species Codes'!B:S,18,0)))),IF(OR(D1642="BM",D1642="MD",D1642="OA"),EXP(VLOOKUP(D1642,'Species Codes'!B:O,14,0)+VLOOKUP(D1642,'Species Codes'!B:P,15,0)*LN((E1642*2.54)))*(1-(1/(VLOOKUP(D1642,'Species Codes'!B:Q,16,0)+VLOOKUP(D1642,'Species Codes'!B:R,17,0)*((E1642*2.54)^VLOOKUP(D1642,'Species Codes'!B:S,18,0)))))/1000,IF(D1642="DF",EXP(VLOOKUP(D1642,'Species Codes'!B:O,14,0)+VLOOKUP(D1642,'Species Codes'!B:P,15,0)*LN((E1642*2.54))),VLOOKUP(D1642,'Species Codes'!B:O,14,0)+VLOOKUP(D1642,'Species Codes'!B:P,15,0)*(((E1642*2.54)/100)^2)*(I1642*0.3048)))))*0.0011023),0)</f>
        <v>#N/A</v>
      </c>
      <c r="AD1642" s="104" t="e">
        <f t="shared" si="733"/>
        <v>#N/A</v>
      </c>
      <c r="AE1642" s="104" t="e">
        <f t="shared" si="734"/>
        <v>#N/A</v>
      </c>
      <c r="AF1642" s="104" t="e">
        <f>IF(AND(VLOOKUP($D1642,Merchantability!$B:$C,2,0)="Yes",$E1642&gt;=VLOOKUP($D1642,Merchantability!$B:$D,3,0),$E1642&lt;=VLOOKUP($D1642,Merchantability!$B:$E,4,0)),AA1642,0)</f>
        <v>#N/A</v>
      </c>
      <c r="AG1642" s="104" t="e">
        <f>IF(AND(VLOOKUP($D1642,Merchantability!$B:$C,2,0)="Yes",$E1642&gt;=VLOOKUP($D1642,Merchantability!$B:$D,3,0),$E1642&lt;=VLOOKUP($D1642,Merchantability!$B:$E,4,0)),AB1642,0)</f>
        <v>#N/A</v>
      </c>
      <c r="AH1642" s="104" t="e">
        <f>IF(AND(VLOOKUP($D1642,Merchantability!$B:$C,2,0)="Yes",$E1642&gt;=VLOOKUP($D1642,Merchantability!$B:$D,3,0),$E1642&lt;=VLOOKUP($D1642,Merchantability!$B:$E,4,0)),AC1642,0)</f>
        <v>#N/A</v>
      </c>
      <c r="AI1642" s="104" t="e">
        <f t="shared" si="735"/>
        <v>#N/A</v>
      </c>
      <c r="AJ1642" s="104" t="e">
        <f t="shared" si="736"/>
        <v>#VALUE!</v>
      </c>
      <c r="AK1642" s="104" t="e">
        <f t="shared" si="737"/>
        <v>#N/A</v>
      </c>
      <c r="AL1642" s="104" t="e">
        <f t="shared" si="738"/>
        <v>#N/A</v>
      </c>
      <c r="AM1642" s="104" t="e">
        <f t="shared" si="739"/>
        <v>#N/A</v>
      </c>
      <c r="AN1642" s="104" t="e">
        <f t="shared" si="723"/>
        <v>#N/A</v>
      </c>
      <c r="AO1642" s="104" t="e">
        <f t="shared" si="724"/>
        <v>#N/A</v>
      </c>
      <c r="AP1642" s="104" t="e">
        <f t="shared" si="725"/>
        <v>#N/A</v>
      </c>
      <c r="AQ1642" s="104" t="e">
        <f t="shared" si="726"/>
        <v>#N/A</v>
      </c>
      <c r="AR1642" s="105" t="str">
        <f t="shared" si="718"/>
        <v/>
      </c>
      <c r="AS1642" s="105" t="str">
        <f t="shared" si="719"/>
        <v/>
      </c>
      <c r="AT1642" s="108" t="str">
        <f t="shared" si="720"/>
        <v/>
      </c>
      <c r="AU1642" s="108" t="str">
        <f t="shared" si="721"/>
        <v/>
      </c>
      <c r="AV1642" s="107" t="str">
        <f>IF(ISNUMBER(O1642),IF(VLOOKUP($A1642,Stand!C:J,8,FALSE)="Short",AT1642,AU1642),"")</f>
        <v/>
      </c>
      <c r="AW1642" s="109" t="str">
        <f t="shared" si="727"/>
        <v/>
      </c>
      <c r="AX1642" s="109" t="str">
        <f t="shared" si="728"/>
        <v/>
      </c>
      <c r="AY1642" s="112" t="str">
        <f>IF(ISNUMBER(O1642),IF(AND(VLOOKUP($D1642,Merchantability!$B:$C,2,0)="Yes",$E1642&gt;=VLOOKUP($D1642,Merchantability!$B:$D,3,0),$E1642&lt;=VLOOKUP($D1642,Merchantability!$B:$E,4,0)),(AV1642*O1642)*(1-$H1642/100),""),"")</f>
        <v/>
      </c>
      <c r="AZ1642" s="116"/>
      <c r="BA1642" s="116"/>
      <c r="BB1642" s="116"/>
      <c r="BE1642" s="62"/>
      <c r="BF1642" s="63"/>
    </row>
    <row r="1643" spans="1:58" ht="12.75" customHeight="1" x14ac:dyDescent="0.25">
      <c r="A1643" s="334"/>
      <c r="B1643" s="334"/>
      <c r="C1643" s="332"/>
      <c r="D1643" s="334"/>
      <c r="E1643" s="335"/>
      <c r="F1643" s="334"/>
      <c r="G1643" s="332"/>
      <c r="H1643" s="332"/>
      <c r="I1643" s="334"/>
      <c r="J1643" s="336"/>
      <c r="K1643" s="332"/>
      <c r="L1643" s="332"/>
      <c r="M1643" s="76"/>
      <c r="N1643" s="103" t="str">
        <f>IF(A1643="","",VLOOKUP(A1643,Stand!C:K,9,0))</f>
        <v/>
      </c>
      <c r="O1643" s="104" t="str">
        <f t="shared" si="713"/>
        <v/>
      </c>
      <c r="P1643" s="105" t="str">
        <f t="shared" si="714"/>
        <v/>
      </c>
      <c r="Q1643" s="105" t="str">
        <f t="shared" si="729"/>
        <v/>
      </c>
      <c r="R1643" s="103" t="str">
        <f t="shared" si="715"/>
        <v/>
      </c>
      <c r="S1643" s="103" t="str">
        <f t="shared" si="716"/>
        <v/>
      </c>
      <c r="T1643" s="106" t="str">
        <f t="shared" si="730"/>
        <v/>
      </c>
      <c r="U1643" s="106" t="str">
        <f t="shared" si="731"/>
        <v/>
      </c>
      <c r="V1643" s="106" t="str">
        <f t="shared" si="732"/>
        <v/>
      </c>
      <c r="W1643" s="105" t="str">
        <f t="shared" si="717"/>
        <v/>
      </c>
      <c r="X1643" s="104" t="str">
        <f t="shared" si="722"/>
        <v/>
      </c>
      <c r="Y1643" s="104" t="str">
        <f t="array" ref="Y1643">IFERROR(IF(ISNUMBER(O1643),IF(COUNT(IF(A1643=$A$2:$A$2427,IF(D1643=$D$2:$D$2427,IF($X$2:$X$2427&gt;0,1))))&gt;0,SUM(IF(A1643=$A$2:$A$2427,IF(D1643=$D$2:$D$2427,$X$2:$X$2427)))/COUNT(IF(A1643=$A$2:$A$2427,IF(D1643=$D$2:$D$2427,IF(ISNUMBER($X$2:$X$2427),1)))),0),""),0)</f>
        <v/>
      </c>
      <c r="Z1643" s="104" t="str">
        <f>IF(ISNUMBER(O1643),IF(I1643&gt;0,(10^(VLOOKUP(D1643,'Species Codes'!B:C,2,0)+VLOOKUP(D1643,'Species Codes'!B:D,3,0)*LOG(E1643)+VLOOKUP(D1643,'Species Codes'!B:E,4,0)*LOG(I1643))),0),"")</f>
        <v/>
      </c>
      <c r="AA1643" s="104" t="str">
        <f>IFERROR((VLOOKUP(D1643,'Species Codes'!B:G,6,0)*Z1643)/2000,"")</f>
        <v/>
      </c>
      <c r="AB1643" s="104" t="e">
        <f>IF(Z1643&gt;0,((IF(OR(D1643="DF",D1643="RA")=TRUE,EXP(VLOOKUP(D1643,'Species Codes'!B:I,8,0)+VLOOKUP(D1643,'Species Codes'!B:J,9,0)*(LN((E1643*2.54)))),IF(OR(D1643="PY",D1643="RC",D1643="WH",D1643="NF")=TRUE,VLOOKUP(D1643,'Species Codes'!B:I,8,0)+VLOOKUP(D1643,'Species Codes'!B:J,9,0)*((E1643*2.54)^2)*(I1643*0.3048),IF(OR(D1643="MD",D1643="BM",D1643="GA")=TRUE,((VLOOKUP(D1643,'Species Codes'!B:I,8,0)*(((((E1643*2.54)+VLOOKUP(D1643,'Species Codes'!B:J,9,0))/VLOOKUP(D1643,'Species Codes'!B:K,10,0))^VLOOKUP(D1643,'Species Codes'!B:L,11,0))*((I1643*0.3048)^VLOOKUP(D1643,'Species Codes'!B:M,12,0))))-(VLOOKUP(D1643,'Species Codes'!B:I,8,0)*((((E1643*2.54)^VLOOKUP(D1643,'Species Codes'!B:L,11,0))*((I1643*0.3048)^VLOOKUP(D1643,'Species Codes'!B:M,12,0))))))*35.3*VLOOKUP(D1643,'Species Codes'!B:G,6,0)/2.2046,VLOOKUP(D1643,'Species Codes'!B:I,8,0)+VLOOKUP(D1643,'Species Codes'!B:J,9,0)*(((E1643*2.54)/100)^2)*(I1643*0.3048)))))*0.0011023),0)</f>
        <v>#N/A</v>
      </c>
      <c r="AC1643" s="104" t="e">
        <f>IF(Z1643&gt;0,((IF(OR(D1643="RA",D1643="OA",D1643="OT",D1643="UN",D1643="PC"),EXP(VLOOKUP(D1643,'Species Codes'!B:O,14,0)+VLOOKUP(D1643,'Species Codes'!B:P,15,0)*LN((E1643*2.54)))-EXP(VLOOKUP(D1643,'Species Codes'!B:O,14,0)+VLOOKUP(D1643,'Species Codes'!B:P,15,0)*LN((E1643*2.54)))*(1/(VLOOKUP(D1643,'Species Codes'!B:Q,16,0)+VLOOKUP(D1643,'Species Codes'!B:R,17,0)*((E1643*2.54)^VLOOKUP(D1643,'Species Codes'!B:S,18,0)))),IF(OR(D1643="BM",D1643="MD",D1643="OA"),EXP(VLOOKUP(D1643,'Species Codes'!B:O,14,0)+VLOOKUP(D1643,'Species Codes'!B:P,15,0)*LN((E1643*2.54)))*(1-(1/(VLOOKUP(D1643,'Species Codes'!B:Q,16,0)+VLOOKUP(D1643,'Species Codes'!B:R,17,0)*((E1643*2.54)^VLOOKUP(D1643,'Species Codes'!B:S,18,0)))))/1000,IF(D1643="DF",EXP(VLOOKUP(D1643,'Species Codes'!B:O,14,0)+VLOOKUP(D1643,'Species Codes'!B:P,15,0)*LN((E1643*2.54))),VLOOKUP(D1643,'Species Codes'!B:O,14,0)+VLOOKUP(D1643,'Species Codes'!B:P,15,0)*(((E1643*2.54)/100)^2)*(I1643*0.3048)))))*0.0011023),0)</f>
        <v>#N/A</v>
      </c>
      <c r="AD1643" s="104" t="e">
        <f t="shared" si="733"/>
        <v>#N/A</v>
      </c>
      <c r="AE1643" s="104" t="e">
        <f t="shared" si="734"/>
        <v>#N/A</v>
      </c>
      <c r="AF1643" s="104" t="e">
        <f>IF(AND(VLOOKUP($D1643,Merchantability!$B:$C,2,0)="Yes",$E1643&gt;=VLOOKUP($D1643,Merchantability!$B:$D,3,0),$E1643&lt;=VLOOKUP($D1643,Merchantability!$B:$E,4,0)),AA1643,0)</f>
        <v>#N/A</v>
      </c>
      <c r="AG1643" s="104" t="e">
        <f>IF(AND(VLOOKUP($D1643,Merchantability!$B:$C,2,0)="Yes",$E1643&gt;=VLOOKUP($D1643,Merchantability!$B:$D,3,0),$E1643&lt;=VLOOKUP($D1643,Merchantability!$B:$E,4,0)),AB1643,0)</f>
        <v>#N/A</v>
      </c>
      <c r="AH1643" s="104" t="e">
        <f>IF(AND(VLOOKUP($D1643,Merchantability!$B:$C,2,0)="Yes",$E1643&gt;=VLOOKUP($D1643,Merchantability!$B:$D,3,0),$E1643&lt;=VLOOKUP($D1643,Merchantability!$B:$E,4,0)),AC1643,0)</f>
        <v>#N/A</v>
      </c>
      <c r="AI1643" s="104" t="e">
        <f t="shared" si="735"/>
        <v>#N/A</v>
      </c>
      <c r="AJ1643" s="104" t="e">
        <f t="shared" si="736"/>
        <v>#VALUE!</v>
      </c>
      <c r="AK1643" s="104" t="e">
        <f t="shared" si="737"/>
        <v>#N/A</v>
      </c>
      <c r="AL1643" s="104" t="e">
        <f t="shared" si="738"/>
        <v>#N/A</v>
      </c>
      <c r="AM1643" s="104" t="e">
        <f t="shared" si="739"/>
        <v>#N/A</v>
      </c>
      <c r="AN1643" s="104" t="e">
        <f t="shared" si="723"/>
        <v>#N/A</v>
      </c>
      <c r="AO1643" s="104" t="e">
        <f t="shared" si="724"/>
        <v>#N/A</v>
      </c>
      <c r="AP1643" s="104" t="e">
        <f t="shared" si="725"/>
        <v>#N/A</v>
      </c>
      <c r="AQ1643" s="104" t="e">
        <f t="shared" si="726"/>
        <v>#N/A</v>
      </c>
      <c r="AR1643" s="105" t="str">
        <f t="shared" si="718"/>
        <v/>
      </c>
      <c r="AS1643" s="105" t="str">
        <f t="shared" si="719"/>
        <v/>
      </c>
      <c r="AT1643" s="108" t="str">
        <f t="shared" si="720"/>
        <v/>
      </c>
      <c r="AU1643" s="108" t="str">
        <f t="shared" si="721"/>
        <v/>
      </c>
      <c r="AV1643" s="107" t="str">
        <f>IF(ISNUMBER(O1643),IF(VLOOKUP($A1643,Stand!C:J,8,FALSE)="Short",AT1643,AU1643),"")</f>
        <v/>
      </c>
      <c r="AW1643" s="109" t="str">
        <f t="shared" si="727"/>
        <v/>
      </c>
      <c r="AX1643" s="109" t="str">
        <f t="shared" si="728"/>
        <v/>
      </c>
      <c r="AY1643" s="112" t="str">
        <f>IF(ISNUMBER(O1643),IF(AND(VLOOKUP($D1643,Merchantability!$B:$C,2,0)="Yes",$E1643&gt;=VLOOKUP($D1643,Merchantability!$B:$D,3,0),$E1643&lt;=VLOOKUP($D1643,Merchantability!$B:$E,4,0)),(AV1643*O1643)*(1-$H1643/100),""),"")</f>
        <v/>
      </c>
      <c r="AZ1643" s="116"/>
      <c r="BA1643" s="116"/>
      <c r="BB1643" s="116"/>
      <c r="BE1643" s="62"/>
      <c r="BF1643" s="63"/>
    </row>
    <row r="1644" spans="1:58" ht="12.75" customHeight="1" x14ac:dyDescent="0.25">
      <c r="A1644" s="334"/>
      <c r="B1644" s="334"/>
      <c r="C1644" s="332"/>
      <c r="D1644" s="334"/>
      <c r="E1644" s="335"/>
      <c r="F1644" s="334"/>
      <c r="G1644" s="332"/>
      <c r="H1644" s="332"/>
      <c r="I1644" s="334"/>
      <c r="J1644" s="336"/>
      <c r="K1644" s="332"/>
      <c r="L1644" s="332"/>
      <c r="M1644" s="76"/>
      <c r="N1644" s="103" t="str">
        <f>IF(A1644="","",VLOOKUP(A1644,Stand!C:K,9,0))</f>
        <v/>
      </c>
      <c r="O1644" s="104" t="str">
        <f t="shared" si="713"/>
        <v/>
      </c>
      <c r="P1644" s="105" t="str">
        <f t="shared" si="714"/>
        <v/>
      </c>
      <c r="Q1644" s="105" t="str">
        <f t="shared" si="729"/>
        <v/>
      </c>
      <c r="R1644" s="103" t="str">
        <f t="shared" si="715"/>
        <v/>
      </c>
      <c r="S1644" s="103" t="str">
        <f t="shared" si="716"/>
        <v/>
      </c>
      <c r="T1644" s="106" t="str">
        <f t="shared" si="730"/>
        <v/>
      </c>
      <c r="U1644" s="106" t="str">
        <f t="shared" si="731"/>
        <v/>
      </c>
      <c r="V1644" s="106" t="str">
        <f t="shared" si="732"/>
        <v/>
      </c>
      <c r="W1644" s="105" t="str">
        <f t="shared" si="717"/>
        <v/>
      </c>
      <c r="X1644" s="104" t="str">
        <f t="shared" si="722"/>
        <v/>
      </c>
      <c r="Y1644" s="104" t="str">
        <f t="array" ref="Y1644">IFERROR(IF(ISNUMBER(O1644),IF(COUNT(IF(A1644=$A$2:$A$2427,IF(D1644=$D$2:$D$2427,IF($X$2:$X$2427&gt;0,1))))&gt;0,SUM(IF(A1644=$A$2:$A$2427,IF(D1644=$D$2:$D$2427,$X$2:$X$2427)))/COUNT(IF(A1644=$A$2:$A$2427,IF(D1644=$D$2:$D$2427,IF(ISNUMBER($X$2:$X$2427),1)))),0),""),0)</f>
        <v/>
      </c>
      <c r="Z1644" s="104" t="str">
        <f>IF(ISNUMBER(O1644),IF(I1644&gt;0,(10^(VLOOKUP(D1644,'Species Codes'!B:C,2,0)+VLOOKUP(D1644,'Species Codes'!B:D,3,0)*LOG(E1644)+VLOOKUP(D1644,'Species Codes'!B:E,4,0)*LOG(I1644))),0),"")</f>
        <v/>
      </c>
      <c r="AA1644" s="104" t="str">
        <f>IFERROR((VLOOKUP(D1644,'Species Codes'!B:G,6,0)*Z1644)/2000,"")</f>
        <v/>
      </c>
      <c r="AB1644" s="104" t="e">
        <f>IF(Z1644&gt;0,((IF(OR(D1644="DF",D1644="RA")=TRUE,EXP(VLOOKUP(D1644,'Species Codes'!B:I,8,0)+VLOOKUP(D1644,'Species Codes'!B:J,9,0)*(LN((E1644*2.54)))),IF(OR(D1644="PY",D1644="RC",D1644="WH",D1644="NF")=TRUE,VLOOKUP(D1644,'Species Codes'!B:I,8,0)+VLOOKUP(D1644,'Species Codes'!B:J,9,0)*((E1644*2.54)^2)*(I1644*0.3048),IF(OR(D1644="MD",D1644="BM",D1644="GA")=TRUE,((VLOOKUP(D1644,'Species Codes'!B:I,8,0)*(((((E1644*2.54)+VLOOKUP(D1644,'Species Codes'!B:J,9,0))/VLOOKUP(D1644,'Species Codes'!B:K,10,0))^VLOOKUP(D1644,'Species Codes'!B:L,11,0))*((I1644*0.3048)^VLOOKUP(D1644,'Species Codes'!B:M,12,0))))-(VLOOKUP(D1644,'Species Codes'!B:I,8,0)*((((E1644*2.54)^VLOOKUP(D1644,'Species Codes'!B:L,11,0))*((I1644*0.3048)^VLOOKUP(D1644,'Species Codes'!B:M,12,0))))))*35.3*VLOOKUP(D1644,'Species Codes'!B:G,6,0)/2.2046,VLOOKUP(D1644,'Species Codes'!B:I,8,0)+VLOOKUP(D1644,'Species Codes'!B:J,9,0)*(((E1644*2.54)/100)^2)*(I1644*0.3048)))))*0.0011023),0)</f>
        <v>#N/A</v>
      </c>
      <c r="AC1644" s="104" t="e">
        <f>IF(Z1644&gt;0,((IF(OR(D1644="RA",D1644="OA",D1644="OT",D1644="UN",D1644="PC"),EXP(VLOOKUP(D1644,'Species Codes'!B:O,14,0)+VLOOKUP(D1644,'Species Codes'!B:P,15,0)*LN((E1644*2.54)))-EXP(VLOOKUP(D1644,'Species Codes'!B:O,14,0)+VLOOKUP(D1644,'Species Codes'!B:P,15,0)*LN((E1644*2.54)))*(1/(VLOOKUP(D1644,'Species Codes'!B:Q,16,0)+VLOOKUP(D1644,'Species Codes'!B:R,17,0)*((E1644*2.54)^VLOOKUP(D1644,'Species Codes'!B:S,18,0)))),IF(OR(D1644="BM",D1644="MD",D1644="OA"),EXP(VLOOKUP(D1644,'Species Codes'!B:O,14,0)+VLOOKUP(D1644,'Species Codes'!B:P,15,0)*LN((E1644*2.54)))*(1-(1/(VLOOKUP(D1644,'Species Codes'!B:Q,16,0)+VLOOKUP(D1644,'Species Codes'!B:R,17,0)*((E1644*2.54)^VLOOKUP(D1644,'Species Codes'!B:S,18,0)))))/1000,IF(D1644="DF",EXP(VLOOKUP(D1644,'Species Codes'!B:O,14,0)+VLOOKUP(D1644,'Species Codes'!B:P,15,0)*LN((E1644*2.54))),VLOOKUP(D1644,'Species Codes'!B:O,14,0)+VLOOKUP(D1644,'Species Codes'!B:P,15,0)*(((E1644*2.54)/100)^2)*(I1644*0.3048)))))*0.0011023),0)</f>
        <v>#N/A</v>
      </c>
      <c r="AD1644" s="104" t="e">
        <f t="shared" si="733"/>
        <v>#N/A</v>
      </c>
      <c r="AE1644" s="104" t="e">
        <f t="shared" si="734"/>
        <v>#N/A</v>
      </c>
      <c r="AF1644" s="104" t="e">
        <f>IF(AND(VLOOKUP($D1644,Merchantability!$B:$C,2,0)="Yes",$E1644&gt;=VLOOKUP($D1644,Merchantability!$B:$D,3,0),$E1644&lt;=VLOOKUP($D1644,Merchantability!$B:$E,4,0)),AA1644,0)</f>
        <v>#N/A</v>
      </c>
      <c r="AG1644" s="104" t="e">
        <f>IF(AND(VLOOKUP($D1644,Merchantability!$B:$C,2,0)="Yes",$E1644&gt;=VLOOKUP($D1644,Merchantability!$B:$D,3,0),$E1644&lt;=VLOOKUP($D1644,Merchantability!$B:$E,4,0)),AB1644,0)</f>
        <v>#N/A</v>
      </c>
      <c r="AH1644" s="104" t="e">
        <f>IF(AND(VLOOKUP($D1644,Merchantability!$B:$C,2,0)="Yes",$E1644&gt;=VLOOKUP($D1644,Merchantability!$B:$D,3,0),$E1644&lt;=VLOOKUP($D1644,Merchantability!$B:$E,4,0)),AC1644,0)</f>
        <v>#N/A</v>
      </c>
      <c r="AI1644" s="104" t="e">
        <f t="shared" si="735"/>
        <v>#N/A</v>
      </c>
      <c r="AJ1644" s="104" t="e">
        <f t="shared" si="736"/>
        <v>#VALUE!</v>
      </c>
      <c r="AK1644" s="104" t="e">
        <f t="shared" si="737"/>
        <v>#N/A</v>
      </c>
      <c r="AL1644" s="104" t="e">
        <f t="shared" si="738"/>
        <v>#N/A</v>
      </c>
      <c r="AM1644" s="104" t="e">
        <f t="shared" si="739"/>
        <v>#N/A</v>
      </c>
      <c r="AN1644" s="104" t="e">
        <f t="shared" si="723"/>
        <v>#N/A</v>
      </c>
      <c r="AO1644" s="104" t="e">
        <f t="shared" si="724"/>
        <v>#N/A</v>
      </c>
      <c r="AP1644" s="104" t="e">
        <f t="shared" si="725"/>
        <v>#N/A</v>
      </c>
      <c r="AQ1644" s="104" t="e">
        <f t="shared" si="726"/>
        <v>#N/A</v>
      </c>
      <c r="AR1644" s="105" t="str">
        <f t="shared" si="718"/>
        <v/>
      </c>
      <c r="AS1644" s="105" t="str">
        <f t="shared" si="719"/>
        <v/>
      </c>
      <c r="AT1644" s="108" t="str">
        <f t="shared" si="720"/>
        <v/>
      </c>
      <c r="AU1644" s="108" t="str">
        <f t="shared" si="721"/>
        <v/>
      </c>
      <c r="AV1644" s="107" t="str">
        <f>IF(ISNUMBER(O1644),IF(VLOOKUP($A1644,Stand!C:J,8,FALSE)="Short",AT1644,AU1644),"")</f>
        <v/>
      </c>
      <c r="AW1644" s="109" t="str">
        <f t="shared" si="727"/>
        <v/>
      </c>
      <c r="AX1644" s="109" t="str">
        <f t="shared" si="728"/>
        <v/>
      </c>
      <c r="AY1644" s="112" t="str">
        <f>IF(ISNUMBER(O1644),IF(AND(VLOOKUP($D1644,Merchantability!$B:$C,2,0)="Yes",$E1644&gt;=VLOOKUP($D1644,Merchantability!$B:$D,3,0),$E1644&lt;=VLOOKUP($D1644,Merchantability!$B:$E,4,0)),(AV1644*O1644)*(1-$H1644/100),""),"")</f>
        <v/>
      </c>
      <c r="AZ1644" s="116"/>
      <c r="BA1644" s="116"/>
      <c r="BB1644" s="116"/>
      <c r="BE1644" s="62"/>
      <c r="BF1644" s="63"/>
    </row>
    <row r="1645" spans="1:58" ht="12.75" customHeight="1" x14ac:dyDescent="0.25">
      <c r="A1645" s="334"/>
      <c r="B1645" s="334"/>
      <c r="C1645" s="332"/>
      <c r="D1645" s="334"/>
      <c r="E1645" s="335"/>
      <c r="F1645" s="334"/>
      <c r="G1645" s="332"/>
      <c r="H1645" s="332"/>
      <c r="I1645" s="334"/>
      <c r="J1645" s="336"/>
      <c r="K1645" s="332"/>
      <c r="L1645" s="332"/>
      <c r="M1645" s="76"/>
      <c r="N1645" s="103" t="str">
        <f>IF(A1645="","",VLOOKUP(A1645,Stand!C:K,9,0))</f>
        <v/>
      </c>
      <c r="O1645" s="104" t="str">
        <f t="shared" si="713"/>
        <v/>
      </c>
      <c r="P1645" s="105" t="str">
        <f t="shared" si="714"/>
        <v/>
      </c>
      <c r="Q1645" s="105" t="str">
        <f t="shared" si="729"/>
        <v/>
      </c>
      <c r="R1645" s="103" t="str">
        <f t="shared" si="715"/>
        <v/>
      </c>
      <c r="S1645" s="103" t="str">
        <f t="shared" si="716"/>
        <v/>
      </c>
      <c r="T1645" s="106" t="str">
        <f t="shared" si="730"/>
        <v/>
      </c>
      <c r="U1645" s="106" t="str">
        <f t="shared" si="731"/>
        <v/>
      </c>
      <c r="V1645" s="106" t="str">
        <f t="shared" si="732"/>
        <v/>
      </c>
      <c r="W1645" s="105" t="str">
        <f t="shared" si="717"/>
        <v/>
      </c>
      <c r="X1645" s="104" t="str">
        <f t="shared" si="722"/>
        <v/>
      </c>
      <c r="Y1645" s="104" t="str">
        <f t="array" ref="Y1645">IFERROR(IF(ISNUMBER(O1645),IF(COUNT(IF(A1645=$A$2:$A$2427,IF(D1645=$D$2:$D$2427,IF($X$2:$X$2427&gt;0,1))))&gt;0,SUM(IF(A1645=$A$2:$A$2427,IF(D1645=$D$2:$D$2427,$X$2:$X$2427)))/COUNT(IF(A1645=$A$2:$A$2427,IF(D1645=$D$2:$D$2427,IF(ISNUMBER($X$2:$X$2427),1)))),0),""),0)</f>
        <v/>
      </c>
      <c r="Z1645" s="104" t="str">
        <f>IF(ISNUMBER(O1645),IF(I1645&gt;0,(10^(VLOOKUP(D1645,'Species Codes'!B:C,2,0)+VLOOKUP(D1645,'Species Codes'!B:D,3,0)*LOG(E1645)+VLOOKUP(D1645,'Species Codes'!B:E,4,0)*LOG(I1645))),0),"")</f>
        <v/>
      </c>
      <c r="AA1645" s="104" t="str">
        <f>IFERROR((VLOOKUP(D1645,'Species Codes'!B:G,6,0)*Z1645)/2000,"")</f>
        <v/>
      </c>
      <c r="AB1645" s="104" t="e">
        <f>IF(Z1645&gt;0,((IF(OR(D1645="DF",D1645="RA")=TRUE,EXP(VLOOKUP(D1645,'Species Codes'!B:I,8,0)+VLOOKUP(D1645,'Species Codes'!B:J,9,0)*(LN((E1645*2.54)))),IF(OR(D1645="PY",D1645="RC",D1645="WH",D1645="NF")=TRUE,VLOOKUP(D1645,'Species Codes'!B:I,8,0)+VLOOKUP(D1645,'Species Codes'!B:J,9,0)*((E1645*2.54)^2)*(I1645*0.3048),IF(OR(D1645="MD",D1645="BM",D1645="GA")=TRUE,((VLOOKUP(D1645,'Species Codes'!B:I,8,0)*(((((E1645*2.54)+VLOOKUP(D1645,'Species Codes'!B:J,9,0))/VLOOKUP(D1645,'Species Codes'!B:K,10,0))^VLOOKUP(D1645,'Species Codes'!B:L,11,0))*((I1645*0.3048)^VLOOKUP(D1645,'Species Codes'!B:M,12,0))))-(VLOOKUP(D1645,'Species Codes'!B:I,8,0)*((((E1645*2.54)^VLOOKUP(D1645,'Species Codes'!B:L,11,0))*((I1645*0.3048)^VLOOKUP(D1645,'Species Codes'!B:M,12,0))))))*35.3*VLOOKUP(D1645,'Species Codes'!B:G,6,0)/2.2046,VLOOKUP(D1645,'Species Codes'!B:I,8,0)+VLOOKUP(D1645,'Species Codes'!B:J,9,0)*(((E1645*2.54)/100)^2)*(I1645*0.3048)))))*0.0011023),0)</f>
        <v>#N/A</v>
      </c>
      <c r="AC1645" s="104" t="e">
        <f>IF(Z1645&gt;0,((IF(OR(D1645="RA",D1645="OA",D1645="OT",D1645="UN",D1645="PC"),EXP(VLOOKUP(D1645,'Species Codes'!B:O,14,0)+VLOOKUP(D1645,'Species Codes'!B:P,15,0)*LN((E1645*2.54)))-EXP(VLOOKUP(D1645,'Species Codes'!B:O,14,0)+VLOOKUP(D1645,'Species Codes'!B:P,15,0)*LN((E1645*2.54)))*(1/(VLOOKUP(D1645,'Species Codes'!B:Q,16,0)+VLOOKUP(D1645,'Species Codes'!B:R,17,0)*((E1645*2.54)^VLOOKUP(D1645,'Species Codes'!B:S,18,0)))),IF(OR(D1645="BM",D1645="MD",D1645="OA"),EXP(VLOOKUP(D1645,'Species Codes'!B:O,14,0)+VLOOKUP(D1645,'Species Codes'!B:P,15,0)*LN((E1645*2.54)))*(1-(1/(VLOOKUP(D1645,'Species Codes'!B:Q,16,0)+VLOOKUP(D1645,'Species Codes'!B:R,17,0)*((E1645*2.54)^VLOOKUP(D1645,'Species Codes'!B:S,18,0)))))/1000,IF(D1645="DF",EXP(VLOOKUP(D1645,'Species Codes'!B:O,14,0)+VLOOKUP(D1645,'Species Codes'!B:P,15,0)*LN((E1645*2.54))),VLOOKUP(D1645,'Species Codes'!B:O,14,0)+VLOOKUP(D1645,'Species Codes'!B:P,15,0)*(((E1645*2.54)/100)^2)*(I1645*0.3048)))))*0.0011023),0)</f>
        <v>#N/A</v>
      </c>
      <c r="AD1645" s="104" t="e">
        <f t="shared" si="733"/>
        <v>#N/A</v>
      </c>
      <c r="AE1645" s="104" t="e">
        <f t="shared" si="734"/>
        <v>#N/A</v>
      </c>
      <c r="AF1645" s="104" t="e">
        <f>IF(AND(VLOOKUP($D1645,Merchantability!$B:$C,2,0)="Yes",$E1645&gt;=VLOOKUP($D1645,Merchantability!$B:$D,3,0),$E1645&lt;=VLOOKUP($D1645,Merchantability!$B:$E,4,0)),AA1645,0)</f>
        <v>#N/A</v>
      </c>
      <c r="AG1645" s="104" t="e">
        <f>IF(AND(VLOOKUP($D1645,Merchantability!$B:$C,2,0)="Yes",$E1645&gt;=VLOOKUP($D1645,Merchantability!$B:$D,3,0),$E1645&lt;=VLOOKUP($D1645,Merchantability!$B:$E,4,0)),AB1645,0)</f>
        <v>#N/A</v>
      </c>
      <c r="AH1645" s="104" t="e">
        <f>IF(AND(VLOOKUP($D1645,Merchantability!$B:$C,2,0)="Yes",$E1645&gt;=VLOOKUP($D1645,Merchantability!$B:$D,3,0),$E1645&lt;=VLOOKUP($D1645,Merchantability!$B:$E,4,0)),AC1645,0)</f>
        <v>#N/A</v>
      </c>
      <c r="AI1645" s="104" t="e">
        <f t="shared" si="735"/>
        <v>#N/A</v>
      </c>
      <c r="AJ1645" s="104" t="e">
        <f t="shared" si="736"/>
        <v>#VALUE!</v>
      </c>
      <c r="AK1645" s="104" t="e">
        <f t="shared" si="737"/>
        <v>#N/A</v>
      </c>
      <c r="AL1645" s="104" t="e">
        <f t="shared" si="738"/>
        <v>#N/A</v>
      </c>
      <c r="AM1645" s="104" t="e">
        <f t="shared" si="739"/>
        <v>#N/A</v>
      </c>
      <c r="AN1645" s="104" t="e">
        <f t="shared" si="723"/>
        <v>#N/A</v>
      </c>
      <c r="AO1645" s="104" t="e">
        <f t="shared" si="724"/>
        <v>#N/A</v>
      </c>
      <c r="AP1645" s="104" t="e">
        <f t="shared" si="725"/>
        <v>#N/A</v>
      </c>
      <c r="AQ1645" s="104" t="e">
        <f t="shared" si="726"/>
        <v>#N/A</v>
      </c>
      <c r="AR1645" s="105" t="str">
        <f t="shared" si="718"/>
        <v/>
      </c>
      <c r="AS1645" s="105" t="str">
        <f t="shared" si="719"/>
        <v/>
      </c>
      <c r="AT1645" s="108" t="str">
        <f t="shared" si="720"/>
        <v/>
      </c>
      <c r="AU1645" s="108" t="str">
        <f t="shared" si="721"/>
        <v/>
      </c>
      <c r="AV1645" s="107" t="str">
        <f>IF(ISNUMBER(O1645),IF(VLOOKUP($A1645,Stand!C:J,8,FALSE)="Short",AT1645,AU1645),"")</f>
        <v/>
      </c>
      <c r="AW1645" s="109" t="str">
        <f t="shared" si="727"/>
        <v/>
      </c>
      <c r="AX1645" s="109" t="str">
        <f t="shared" si="728"/>
        <v/>
      </c>
      <c r="AY1645" s="112" t="str">
        <f>IF(ISNUMBER(O1645),IF(AND(VLOOKUP($D1645,Merchantability!$B:$C,2,0)="Yes",$E1645&gt;=VLOOKUP($D1645,Merchantability!$B:$D,3,0),$E1645&lt;=VLOOKUP($D1645,Merchantability!$B:$E,4,0)),(AV1645*O1645)*(1-$H1645/100),""),"")</f>
        <v/>
      </c>
      <c r="AZ1645" s="116"/>
      <c r="BA1645" s="116"/>
      <c r="BB1645" s="116"/>
      <c r="BE1645" s="62"/>
      <c r="BF1645" s="63"/>
    </row>
    <row r="1646" spans="1:58" ht="12.75" customHeight="1" x14ac:dyDescent="0.25">
      <c r="A1646" s="334"/>
      <c r="B1646" s="334"/>
      <c r="C1646" s="332"/>
      <c r="D1646" s="334"/>
      <c r="E1646" s="335"/>
      <c r="F1646" s="334"/>
      <c r="G1646" s="332"/>
      <c r="H1646" s="332"/>
      <c r="I1646" s="334"/>
      <c r="J1646" s="336"/>
      <c r="K1646" s="332"/>
      <c r="L1646" s="332"/>
      <c r="M1646" s="76"/>
      <c r="N1646" s="103" t="str">
        <f>IF(A1646="","",VLOOKUP(A1646,Stand!C:K,9,0))</f>
        <v/>
      </c>
      <c r="O1646" s="104" t="str">
        <f t="shared" si="713"/>
        <v/>
      </c>
      <c r="P1646" s="105" t="str">
        <f t="shared" si="714"/>
        <v/>
      </c>
      <c r="Q1646" s="105" t="str">
        <f t="shared" si="729"/>
        <v/>
      </c>
      <c r="R1646" s="103" t="str">
        <f t="shared" si="715"/>
        <v/>
      </c>
      <c r="S1646" s="103" t="str">
        <f t="shared" si="716"/>
        <v/>
      </c>
      <c r="T1646" s="106" t="str">
        <f t="shared" si="730"/>
        <v/>
      </c>
      <c r="U1646" s="106" t="str">
        <f t="shared" si="731"/>
        <v/>
      </c>
      <c r="V1646" s="106" t="str">
        <f t="shared" si="732"/>
        <v/>
      </c>
      <c r="W1646" s="105" t="str">
        <f t="shared" si="717"/>
        <v/>
      </c>
      <c r="X1646" s="104" t="str">
        <f t="shared" si="722"/>
        <v/>
      </c>
      <c r="Y1646" s="104" t="str">
        <f t="array" ref="Y1646">IFERROR(IF(ISNUMBER(O1646),IF(COUNT(IF(A1646=$A$2:$A$2427,IF(D1646=$D$2:$D$2427,IF($X$2:$X$2427&gt;0,1))))&gt;0,SUM(IF(A1646=$A$2:$A$2427,IF(D1646=$D$2:$D$2427,$X$2:$X$2427)))/COUNT(IF(A1646=$A$2:$A$2427,IF(D1646=$D$2:$D$2427,IF(ISNUMBER($X$2:$X$2427),1)))),0),""),0)</f>
        <v/>
      </c>
      <c r="Z1646" s="104" t="str">
        <f>IF(ISNUMBER(O1646),IF(I1646&gt;0,(10^(VLOOKUP(D1646,'Species Codes'!B:C,2,0)+VLOOKUP(D1646,'Species Codes'!B:D,3,0)*LOG(E1646)+VLOOKUP(D1646,'Species Codes'!B:E,4,0)*LOG(I1646))),0),"")</f>
        <v/>
      </c>
      <c r="AA1646" s="104" t="str">
        <f>IFERROR((VLOOKUP(D1646,'Species Codes'!B:G,6,0)*Z1646)/2000,"")</f>
        <v/>
      </c>
      <c r="AB1646" s="104" t="e">
        <f>IF(Z1646&gt;0,((IF(OR(D1646="DF",D1646="RA")=TRUE,EXP(VLOOKUP(D1646,'Species Codes'!B:I,8,0)+VLOOKUP(D1646,'Species Codes'!B:J,9,0)*(LN((E1646*2.54)))),IF(OR(D1646="PY",D1646="RC",D1646="WH",D1646="NF")=TRUE,VLOOKUP(D1646,'Species Codes'!B:I,8,0)+VLOOKUP(D1646,'Species Codes'!B:J,9,0)*((E1646*2.54)^2)*(I1646*0.3048),IF(OR(D1646="MD",D1646="BM",D1646="GA")=TRUE,((VLOOKUP(D1646,'Species Codes'!B:I,8,0)*(((((E1646*2.54)+VLOOKUP(D1646,'Species Codes'!B:J,9,0))/VLOOKUP(D1646,'Species Codes'!B:K,10,0))^VLOOKUP(D1646,'Species Codes'!B:L,11,0))*((I1646*0.3048)^VLOOKUP(D1646,'Species Codes'!B:M,12,0))))-(VLOOKUP(D1646,'Species Codes'!B:I,8,0)*((((E1646*2.54)^VLOOKUP(D1646,'Species Codes'!B:L,11,0))*((I1646*0.3048)^VLOOKUP(D1646,'Species Codes'!B:M,12,0))))))*35.3*VLOOKUP(D1646,'Species Codes'!B:G,6,0)/2.2046,VLOOKUP(D1646,'Species Codes'!B:I,8,0)+VLOOKUP(D1646,'Species Codes'!B:J,9,0)*(((E1646*2.54)/100)^2)*(I1646*0.3048)))))*0.0011023),0)</f>
        <v>#N/A</v>
      </c>
      <c r="AC1646" s="104" t="e">
        <f>IF(Z1646&gt;0,((IF(OR(D1646="RA",D1646="OA",D1646="OT",D1646="UN",D1646="PC"),EXP(VLOOKUP(D1646,'Species Codes'!B:O,14,0)+VLOOKUP(D1646,'Species Codes'!B:P,15,0)*LN((E1646*2.54)))-EXP(VLOOKUP(D1646,'Species Codes'!B:O,14,0)+VLOOKUP(D1646,'Species Codes'!B:P,15,0)*LN((E1646*2.54)))*(1/(VLOOKUP(D1646,'Species Codes'!B:Q,16,0)+VLOOKUP(D1646,'Species Codes'!B:R,17,0)*((E1646*2.54)^VLOOKUP(D1646,'Species Codes'!B:S,18,0)))),IF(OR(D1646="BM",D1646="MD",D1646="OA"),EXP(VLOOKUP(D1646,'Species Codes'!B:O,14,0)+VLOOKUP(D1646,'Species Codes'!B:P,15,0)*LN((E1646*2.54)))*(1-(1/(VLOOKUP(D1646,'Species Codes'!B:Q,16,0)+VLOOKUP(D1646,'Species Codes'!B:R,17,0)*((E1646*2.54)^VLOOKUP(D1646,'Species Codes'!B:S,18,0)))))/1000,IF(D1646="DF",EXP(VLOOKUP(D1646,'Species Codes'!B:O,14,0)+VLOOKUP(D1646,'Species Codes'!B:P,15,0)*LN((E1646*2.54))),VLOOKUP(D1646,'Species Codes'!B:O,14,0)+VLOOKUP(D1646,'Species Codes'!B:P,15,0)*(((E1646*2.54)/100)^2)*(I1646*0.3048)))))*0.0011023),0)</f>
        <v>#N/A</v>
      </c>
      <c r="AD1646" s="104" t="e">
        <f t="shared" si="733"/>
        <v>#N/A</v>
      </c>
      <c r="AE1646" s="104" t="e">
        <f t="shared" si="734"/>
        <v>#N/A</v>
      </c>
      <c r="AF1646" s="104" t="e">
        <f>IF(AND(VLOOKUP($D1646,Merchantability!$B:$C,2,0)="Yes",$E1646&gt;=VLOOKUP($D1646,Merchantability!$B:$D,3,0),$E1646&lt;=VLOOKUP($D1646,Merchantability!$B:$E,4,0)),AA1646,0)</f>
        <v>#N/A</v>
      </c>
      <c r="AG1646" s="104" t="e">
        <f>IF(AND(VLOOKUP($D1646,Merchantability!$B:$C,2,0)="Yes",$E1646&gt;=VLOOKUP($D1646,Merchantability!$B:$D,3,0),$E1646&lt;=VLOOKUP($D1646,Merchantability!$B:$E,4,0)),AB1646,0)</f>
        <v>#N/A</v>
      </c>
      <c r="AH1646" s="104" t="e">
        <f>IF(AND(VLOOKUP($D1646,Merchantability!$B:$C,2,0)="Yes",$E1646&gt;=VLOOKUP($D1646,Merchantability!$B:$D,3,0),$E1646&lt;=VLOOKUP($D1646,Merchantability!$B:$E,4,0)),AC1646,0)</f>
        <v>#N/A</v>
      </c>
      <c r="AI1646" s="104" t="e">
        <f t="shared" si="735"/>
        <v>#N/A</v>
      </c>
      <c r="AJ1646" s="104" t="e">
        <f t="shared" si="736"/>
        <v>#VALUE!</v>
      </c>
      <c r="AK1646" s="104" t="e">
        <f t="shared" si="737"/>
        <v>#N/A</v>
      </c>
      <c r="AL1646" s="104" t="e">
        <f t="shared" si="738"/>
        <v>#N/A</v>
      </c>
      <c r="AM1646" s="104" t="e">
        <f t="shared" si="739"/>
        <v>#N/A</v>
      </c>
      <c r="AN1646" s="104" t="e">
        <f t="shared" si="723"/>
        <v>#N/A</v>
      </c>
      <c r="AO1646" s="104" t="e">
        <f t="shared" si="724"/>
        <v>#N/A</v>
      </c>
      <c r="AP1646" s="104" t="e">
        <f t="shared" si="725"/>
        <v>#N/A</v>
      </c>
      <c r="AQ1646" s="104" t="e">
        <f t="shared" si="726"/>
        <v>#N/A</v>
      </c>
      <c r="AR1646" s="105" t="str">
        <f t="shared" si="718"/>
        <v/>
      </c>
      <c r="AS1646" s="105" t="str">
        <f t="shared" si="719"/>
        <v/>
      </c>
      <c r="AT1646" s="108" t="str">
        <f t="shared" si="720"/>
        <v/>
      </c>
      <c r="AU1646" s="108" t="str">
        <f t="shared" si="721"/>
        <v/>
      </c>
      <c r="AV1646" s="107" t="str">
        <f>IF(ISNUMBER(O1646),IF(VLOOKUP($A1646,Stand!C:J,8,FALSE)="Short",AT1646,AU1646),"")</f>
        <v/>
      </c>
      <c r="AW1646" s="109" t="str">
        <f t="shared" si="727"/>
        <v/>
      </c>
      <c r="AX1646" s="109" t="str">
        <f t="shared" si="728"/>
        <v/>
      </c>
      <c r="AY1646" s="112" t="str">
        <f>IF(ISNUMBER(O1646),IF(AND(VLOOKUP($D1646,Merchantability!$B:$C,2,0)="Yes",$E1646&gt;=VLOOKUP($D1646,Merchantability!$B:$D,3,0),$E1646&lt;=VLOOKUP($D1646,Merchantability!$B:$E,4,0)),(AV1646*O1646)*(1-$H1646/100),""),"")</f>
        <v/>
      </c>
      <c r="AZ1646" s="116"/>
      <c r="BA1646" s="116"/>
      <c r="BB1646" s="116"/>
      <c r="BE1646" s="62"/>
      <c r="BF1646" s="63"/>
    </row>
    <row r="1647" spans="1:58" ht="12.75" customHeight="1" x14ac:dyDescent="0.25">
      <c r="A1647" s="334"/>
      <c r="B1647" s="334"/>
      <c r="C1647" s="332"/>
      <c r="D1647" s="334"/>
      <c r="E1647" s="335"/>
      <c r="F1647" s="334"/>
      <c r="G1647" s="332"/>
      <c r="H1647" s="332"/>
      <c r="I1647" s="334"/>
      <c r="J1647" s="336"/>
      <c r="K1647" s="332"/>
      <c r="L1647" s="332"/>
      <c r="M1647" s="76"/>
      <c r="N1647" s="103" t="str">
        <f>IF(A1647="","",VLOOKUP(A1647,Stand!C:K,9,0))</f>
        <v/>
      </c>
      <c r="O1647" s="104" t="str">
        <f t="shared" si="713"/>
        <v/>
      </c>
      <c r="P1647" s="105" t="str">
        <f t="shared" si="714"/>
        <v/>
      </c>
      <c r="Q1647" s="105" t="str">
        <f t="shared" si="729"/>
        <v/>
      </c>
      <c r="R1647" s="103" t="str">
        <f t="shared" si="715"/>
        <v/>
      </c>
      <c r="S1647" s="103" t="str">
        <f t="shared" si="716"/>
        <v/>
      </c>
      <c r="T1647" s="106" t="str">
        <f t="shared" si="730"/>
        <v/>
      </c>
      <c r="U1647" s="106" t="str">
        <f t="shared" si="731"/>
        <v/>
      </c>
      <c r="V1647" s="106" t="str">
        <f t="shared" si="732"/>
        <v/>
      </c>
      <c r="W1647" s="105" t="str">
        <f t="shared" si="717"/>
        <v/>
      </c>
      <c r="X1647" s="104" t="str">
        <f t="shared" si="722"/>
        <v/>
      </c>
      <c r="Y1647" s="104" t="str">
        <f t="array" ref="Y1647">IFERROR(IF(ISNUMBER(O1647),IF(COUNT(IF(A1647=$A$2:$A$2427,IF(D1647=$D$2:$D$2427,IF($X$2:$X$2427&gt;0,1))))&gt;0,SUM(IF(A1647=$A$2:$A$2427,IF(D1647=$D$2:$D$2427,$X$2:$X$2427)))/COUNT(IF(A1647=$A$2:$A$2427,IF(D1647=$D$2:$D$2427,IF(ISNUMBER($X$2:$X$2427),1)))),0),""),0)</f>
        <v/>
      </c>
      <c r="Z1647" s="104" t="str">
        <f>IF(ISNUMBER(O1647),IF(I1647&gt;0,(10^(VLOOKUP(D1647,'Species Codes'!B:C,2,0)+VLOOKUP(D1647,'Species Codes'!B:D,3,0)*LOG(E1647)+VLOOKUP(D1647,'Species Codes'!B:E,4,0)*LOG(I1647))),0),"")</f>
        <v/>
      </c>
      <c r="AA1647" s="104" t="str">
        <f>IFERROR((VLOOKUP(D1647,'Species Codes'!B:G,6,0)*Z1647)/2000,"")</f>
        <v/>
      </c>
      <c r="AB1647" s="104" t="e">
        <f>IF(Z1647&gt;0,((IF(OR(D1647="DF",D1647="RA")=TRUE,EXP(VLOOKUP(D1647,'Species Codes'!B:I,8,0)+VLOOKUP(D1647,'Species Codes'!B:J,9,0)*(LN((E1647*2.54)))),IF(OR(D1647="PY",D1647="RC",D1647="WH",D1647="NF")=TRUE,VLOOKUP(D1647,'Species Codes'!B:I,8,0)+VLOOKUP(D1647,'Species Codes'!B:J,9,0)*((E1647*2.54)^2)*(I1647*0.3048),IF(OR(D1647="MD",D1647="BM",D1647="GA")=TRUE,((VLOOKUP(D1647,'Species Codes'!B:I,8,0)*(((((E1647*2.54)+VLOOKUP(D1647,'Species Codes'!B:J,9,0))/VLOOKUP(D1647,'Species Codes'!B:K,10,0))^VLOOKUP(D1647,'Species Codes'!B:L,11,0))*((I1647*0.3048)^VLOOKUP(D1647,'Species Codes'!B:M,12,0))))-(VLOOKUP(D1647,'Species Codes'!B:I,8,0)*((((E1647*2.54)^VLOOKUP(D1647,'Species Codes'!B:L,11,0))*((I1647*0.3048)^VLOOKUP(D1647,'Species Codes'!B:M,12,0))))))*35.3*VLOOKUP(D1647,'Species Codes'!B:G,6,0)/2.2046,VLOOKUP(D1647,'Species Codes'!B:I,8,0)+VLOOKUP(D1647,'Species Codes'!B:J,9,0)*(((E1647*2.54)/100)^2)*(I1647*0.3048)))))*0.0011023),0)</f>
        <v>#N/A</v>
      </c>
      <c r="AC1647" s="104" t="e">
        <f>IF(Z1647&gt;0,((IF(OR(D1647="RA",D1647="OA",D1647="OT",D1647="UN",D1647="PC"),EXP(VLOOKUP(D1647,'Species Codes'!B:O,14,0)+VLOOKUP(D1647,'Species Codes'!B:P,15,0)*LN((E1647*2.54)))-EXP(VLOOKUP(D1647,'Species Codes'!B:O,14,0)+VLOOKUP(D1647,'Species Codes'!B:P,15,0)*LN((E1647*2.54)))*(1/(VLOOKUP(D1647,'Species Codes'!B:Q,16,0)+VLOOKUP(D1647,'Species Codes'!B:R,17,0)*((E1647*2.54)^VLOOKUP(D1647,'Species Codes'!B:S,18,0)))),IF(OR(D1647="BM",D1647="MD",D1647="OA"),EXP(VLOOKUP(D1647,'Species Codes'!B:O,14,0)+VLOOKUP(D1647,'Species Codes'!B:P,15,0)*LN((E1647*2.54)))*(1-(1/(VLOOKUP(D1647,'Species Codes'!B:Q,16,0)+VLOOKUP(D1647,'Species Codes'!B:R,17,0)*((E1647*2.54)^VLOOKUP(D1647,'Species Codes'!B:S,18,0)))))/1000,IF(D1647="DF",EXP(VLOOKUP(D1647,'Species Codes'!B:O,14,0)+VLOOKUP(D1647,'Species Codes'!B:P,15,0)*LN((E1647*2.54))),VLOOKUP(D1647,'Species Codes'!B:O,14,0)+VLOOKUP(D1647,'Species Codes'!B:P,15,0)*(((E1647*2.54)/100)^2)*(I1647*0.3048)))))*0.0011023),0)</f>
        <v>#N/A</v>
      </c>
      <c r="AD1647" s="104" t="e">
        <f t="shared" si="733"/>
        <v>#N/A</v>
      </c>
      <c r="AE1647" s="104" t="e">
        <f t="shared" si="734"/>
        <v>#N/A</v>
      </c>
      <c r="AF1647" s="104" t="e">
        <f>IF(AND(VLOOKUP($D1647,Merchantability!$B:$C,2,0)="Yes",$E1647&gt;=VLOOKUP($D1647,Merchantability!$B:$D,3,0),$E1647&lt;=VLOOKUP($D1647,Merchantability!$B:$E,4,0)),AA1647,0)</f>
        <v>#N/A</v>
      </c>
      <c r="AG1647" s="104" t="e">
        <f>IF(AND(VLOOKUP($D1647,Merchantability!$B:$C,2,0)="Yes",$E1647&gt;=VLOOKUP($D1647,Merchantability!$B:$D,3,0),$E1647&lt;=VLOOKUP($D1647,Merchantability!$B:$E,4,0)),AB1647,0)</f>
        <v>#N/A</v>
      </c>
      <c r="AH1647" s="104" t="e">
        <f>IF(AND(VLOOKUP($D1647,Merchantability!$B:$C,2,0)="Yes",$E1647&gt;=VLOOKUP($D1647,Merchantability!$B:$D,3,0),$E1647&lt;=VLOOKUP($D1647,Merchantability!$B:$E,4,0)),AC1647,0)</f>
        <v>#N/A</v>
      </c>
      <c r="AI1647" s="104" t="e">
        <f t="shared" si="735"/>
        <v>#N/A</v>
      </c>
      <c r="AJ1647" s="104" t="e">
        <f t="shared" si="736"/>
        <v>#VALUE!</v>
      </c>
      <c r="AK1647" s="104" t="e">
        <f t="shared" si="737"/>
        <v>#N/A</v>
      </c>
      <c r="AL1647" s="104" t="e">
        <f t="shared" si="738"/>
        <v>#N/A</v>
      </c>
      <c r="AM1647" s="104" t="e">
        <f t="shared" si="739"/>
        <v>#N/A</v>
      </c>
      <c r="AN1647" s="104" t="e">
        <f t="shared" si="723"/>
        <v>#N/A</v>
      </c>
      <c r="AO1647" s="104" t="e">
        <f t="shared" si="724"/>
        <v>#N/A</v>
      </c>
      <c r="AP1647" s="104" t="e">
        <f t="shared" si="725"/>
        <v>#N/A</v>
      </c>
      <c r="AQ1647" s="104" t="e">
        <f t="shared" si="726"/>
        <v>#N/A</v>
      </c>
      <c r="AR1647" s="105" t="str">
        <f t="shared" si="718"/>
        <v/>
      </c>
      <c r="AS1647" s="105" t="str">
        <f t="shared" si="719"/>
        <v/>
      </c>
      <c r="AT1647" s="108" t="str">
        <f t="shared" si="720"/>
        <v/>
      </c>
      <c r="AU1647" s="108" t="str">
        <f t="shared" si="721"/>
        <v/>
      </c>
      <c r="AV1647" s="107" t="str">
        <f>IF(ISNUMBER(O1647),IF(VLOOKUP($A1647,Stand!C:J,8,FALSE)="Short",AT1647,AU1647),"")</f>
        <v/>
      </c>
      <c r="AW1647" s="109" t="str">
        <f t="shared" si="727"/>
        <v/>
      </c>
      <c r="AX1647" s="109" t="str">
        <f t="shared" si="728"/>
        <v/>
      </c>
      <c r="AY1647" s="112" t="str">
        <f>IF(ISNUMBER(O1647),IF(AND(VLOOKUP($D1647,Merchantability!$B:$C,2,0)="Yes",$E1647&gt;=VLOOKUP($D1647,Merchantability!$B:$D,3,0),$E1647&lt;=VLOOKUP($D1647,Merchantability!$B:$E,4,0)),(AV1647*O1647)*(1-$H1647/100),""),"")</f>
        <v/>
      </c>
      <c r="AZ1647" s="116"/>
      <c r="BA1647" s="116"/>
      <c r="BB1647" s="116"/>
      <c r="BE1647" s="62"/>
      <c r="BF1647" s="63"/>
    </row>
    <row r="1648" spans="1:58" ht="12.75" customHeight="1" x14ac:dyDescent="0.25">
      <c r="A1648" s="334"/>
      <c r="B1648" s="334"/>
      <c r="C1648" s="332"/>
      <c r="D1648" s="334"/>
      <c r="E1648" s="335"/>
      <c r="F1648" s="334"/>
      <c r="G1648" s="332"/>
      <c r="H1648" s="332"/>
      <c r="I1648" s="334"/>
      <c r="J1648" s="336"/>
      <c r="K1648" s="332"/>
      <c r="L1648" s="332"/>
      <c r="M1648" s="76"/>
      <c r="N1648" s="103" t="str">
        <f>IF(A1648="","",VLOOKUP(A1648,Stand!C:K,9,0))</f>
        <v/>
      </c>
      <c r="O1648" s="104" t="str">
        <f t="shared" si="713"/>
        <v/>
      </c>
      <c r="P1648" s="105" t="str">
        <f t="shared" si="714"/>
        <v/>
      </c>
      <c r="Q1648" s="105" t="str">
        <f t="shared" si="729"/>
        <v/>
      </c>
      <c r="R1648" s="103" t="str">
        <f t="shared" si="715"/>
        <v/>
      </c>
      <c r="S1648" s="103" t="str">
        <f t="shared" si="716"/>
        <v/>
      </c>
      <c r="T1648" s="106" t="str">
        <f t="shared" si="730"/>
        <v/>
      </c>
      <c r="U1648" s="106" t="str">
        <f t="shared" si="731"/>
        <v/>
      </c>
      <c r="V1648" s="106" t="str">
        <f t="shared" si="732"/>
        <v/>
      </c>
      <c r="W1648" s="105" t="str">
        <f t="shared" si="717"/>
        <v/>
      </c>
      <c r="X1648" s="104" t="str">
        <f t="shared" si="722"/>
        <v/>
      </c>
      <c r="Y1648" s="104" t="str">
        <f t="array" ref="Y1648">IFERROR(IF(ISNUMBER(O1648),IF(COUNT(IF(A1648=$A$2:$A$2427,IF(D1648=$D$2:$D$2427,IF($X$2:$X$2427&gt;0,1))))&gt;0,SUM(IF(A1648=$A$2:$A$2427,IF(D1648=$D$2:$D$2427,$X$2:$X$2427)))/COUNT(IF(A1648=$A$2:$A$2427,IF(D1648=$D$2:$D$2427,IF(ISNUMBER($X$2:$X$2427),1)))),0),""),0)</f>
        <v/>
      </c>
      <c r="Z1648" s="104" t="str">
        <f>IF(ISNUMBER(O1648),IF(I1648&gt;0,(10^(VLOOKUP(D1648,'Species Codes'!B:C,2,0)+VLOOKUP(D1648,'Species Codes'!B:D,3,0)*LOG(E1648)+VLOOKUP(D1648,'Species Codes'!B:E,4,0)*LOG(I1648))),0),"")</f>
        <v/>
      </c>
      <c r="AA1648" s="104" t="str">
        <f>IFERROR((VLOOKUP(D1648,'Species Codes'!B:G,6,0)*Z1648)/2000,"")</f>
        <v/>
      </c>
      <c r="AB1648" s="104" t="e">
        <f>IF(Z1648&gt;0,((IF(OR(D1648="DF",D1648="RA")=TRUE,EXP(VLOOKUP(D1648,'Species Codes'!B:I,8,0)+VLOOKUP(D1648,'Species Codes'!B:J,9,0)*(LN((E1648*2.54)))),IF(OR(D1648="PY",D1648="RC",D1648="WH",D1648="NF")=TRUE,VLOOKUP(D1648,'Species Codes'!B:I,8,0)+VLOOKUP(D1648,'Species Codes'!B:J,9,0)*((E1648*2.54)^2)*(I1648*0.3048),IF(OR(D1648="MD",D1648="BM",D1648="GA")=TRUE,((VLOOKUP(D1648,'Species Codes'!B:I,8,0)*(((((E1648*2.54)+VLOOKUP(D1648,'Species Codes'!B:J,9,0))/VLOOKUP(D1648,'Species Codes'!B:K,10,0))^VLOOKUP(D1648,'Species Codes'!B:L,11,0))*((I1648*0.3048)^VLOOKUP(D1648,'Species Codes'!B:M,12,0))))-(VLOOKUP(D1648,'Species Codes'!B:I,8,0)*((((E1648*2.54)^VLOOKUP(D1648,'Species Codes'!B:L,11,0))*((I1648*0.3048)^VLOOKUP(D1648,'Species Codes'!B:M,12,0))))))*35.3*VLOOKUP(D1648,'Species Codes'!B:G,6,0)/2.2046,VLOOKUP(D1648,'Species Codes'!B:I,8,0)+VLOOKUP(D1648,'Species Codes'!B:J,9,0)*(((E1648*2.54)/100)^2)*(I1648*0.3048)))))*0.0011023),0)</f>
        <v>#N/A</v>
      </c>
      <c r="AC1648" s="104" t="e">
        <f>IF(Z1648&gt;0,((IF(OR(D1648="RA",D1648="OA",D1648="OT",D1648="UN",D1648="PC"),EXP(VLOOKUP(D1648,'Species Codes'!B:O,14,0)+VLOOKUP(D1648,'Species Codes'!B:P,15,0)*LN((E1648*2.54)))-EXP(VLOOKUP(D1648,'Species Codes'!B:O,14,0)+VLOOKUP(D1648,'Species Codes'!B:P,15,0)*LN((E1648*2.54)))*(1/(VLOOKUP(D1648,'Species Codes'!B:Q,16,0)+VLOOKUP(D1648,'Species Codes'!B:R,17,0)*((E1648*2.54)^VLOOKUP(D1648,'Species Codes'!B:S,18,0)))),IF(OR(D1648="BM",D1648="MD",D1648="OA"),EXP(VLOOKUP(D1648,'Species Codes'!B:O,14,0)+VLOOKUP(D1648,'Species Codes'!B:P,15,0)*LN((E1648*2.54)))*(1-(1/(VLOOKUP(D1648,'Species Codes'!B:Q,16,0)+VLOOKUP(D1648,'Species Codes'!B:R,17,0)*((E1648*2.54)^VLOOKUP(D1648,'Species Codes'!B:S,18,0)))))/1000,IF(D1648="DF",EXP(VLOOKUP(D1648,'Species Codes'!B:O,14,0)+VLOOKUP(D1648,'Species Codes'!B:P,15,0)*LN((E1648*2.54))),VLOOKUP(D1648,'Species Codes'!B:O,14,0)+VLOOKUP(D1648,'Species Codes'!B:P,15,0)*(((E1648*2.54)/100)^2)*(I1648*0.3048)))))*0.0011023),0)</f>
        <v>#N/A</v>
      </c>
      <c r="AD1648" s="104" t="e">
        <f t="shared" si="733"/>
        <v>#N/A</v>
      </c>
      <c r="AE1648" s="104" t="e">
        <f t="shared" si="734"/>
        <v>#N/A</v>
      </c>
      <c r="AF1648" s="104" t="e">
        <f>IF(AND(VLOOKUP($D1648,Merchantability!$B:$C,2,0)="Yes",$E1648&gt;=VLOOKUP($D1648,Merchantability!$B:$D,3,0),$E1648&lt;=VLOOKUP($D1648,Merchantability!$B:$E,4,0)),AA1648,0)</f>
        <v>#N/A</v>
      </c>
      <c r="AG1648" s="104" t="e">
        <f>IF(AND(VLOOKUP($D1648,Merchantability!$B:$C,2,0)="Yes",$E1648&gt;=VLOOKUP($D1648,Merchantability!$B:$D,3,0),$E1648&lt;=VLOOKUP($D1648,Merchantability!$B:$E,4,0)),AB1648,0)</f>
        <v>#N/A</v>
      </c>
      <c r="AH1648" s="104" t="e">
        <f>IF(AND(VLOOKUP($D1648,Merchantability!$B:$C,2,0)="Yes",$E1648&gt;=VLOOKUP($D1648,Merchantability!$B:$D,3,0),$E1648&lt;=VLOOKUP($D1648,Merchantability!$B:$E,4,0)),AC1648,0)</f>
        <v>#N/A</v>
      </c>
      <c r="AI1648" s="104" t="e">
        <f t="shared" si="735"/>
        <v>#N/A</v>
      </c>
      <c r="AJ1648" s="104" t="e">
        <f t="shared" si="736"/>
        <v>#VALUE!</v>
      </c>
      <c r="AK1648" s="104" t="e">
        <f t="shared" si="737"/>
        <v>#N/A</v>
      </c>
      <c r="AL1648" s="104" t="e">
        <f t="shared" si="738"/>
        <v>#N/A</v>
      </c>
      <c r="AM1648" s="104" t="e">
        <f t="shared" si="739"/>
        <v>#N/A</v>
      </c>
      <c r="AN1648" s="104" t="e">
        <f t="shared" si="723"/>
        <v>#N/A</v>
      </c>
      <c r="AO1648" s="104" t="e">
        <f t="shared" si="724"/>
        <v>#N/A</v>
      </c>
      <c r="AP1648" s="104" t="e">
        <f t="shared" si="725"/>
        <v>#N/A</v>
      </c>
      <c r="AQ1648" s="104" t="e">
        <f t="shared" si="726"/>
        <v>#N/A</v>
      </c>
      <c r="AR1648" s="105" t="str">
        <f t="shared" si="718"/>
        <v/>
      </c>
      <c r="AS1648" s="105" t="str">
        <f t="shared" si="719"/>
        <v/>
      </c>
      <c r="AT1648" s="108" t="str">
        <f t="shared" si="720"/>
        <v/>
      </c>
      <c r="AU1648" s="108" t="str">
        <f t="shared" si="721"/>
        <v/>
      </c>
      <c r="AV1648" s="107" t="str">
        <f>IF(ISNUMBER(O1648),IF(VLOOKUP($A1648,Stand!C:J,8,FALSE)="Short",AT1648,AU1648),"")</f>
        <v/>
      </c>
      <c r="AW1648" s="109" t="str">
        <f t="shared" si="727"/>
        <v/>
      </c>
      <c r="AX1648" s="109" t="str">
        <f t="shared" si="728"/>
        <v/>
      </c>
      <c r="AY1648" s="112" t="str">
        <f>IF(ISNUMBER(O1648),IF(AND(VLOOKUP($D1648,Merchantability!$B:$C,2,0)="Yes",$E1648&gt;=VLOOKUP($D1648,Merchantability!$B:$D,3,0),$E1648&lt;=VLOOKUP($D1648,Merchantability!$B:$E,4,0)),(AV1648*O1648)*(1-$H1648/100),""),"")</f>
        <v/>
      </c>
      <c r="AZ1648" s="116"/>
      <c r="BA1648" s="116"/>
      <c r="BB1648" s="116"/>
      <c r="BE1648" s="62"/>
      <c r="BF1648" s="63"/>
    </row>
    <row r="1649" spans="1:58" ht="12.75" customHeight="1" x14ac:dyDescent="0.25">
      <c r="A1649" s="334"/>
      <c r="B1649" s="334"/>
      <c r="C1649" s="332"/>
      <c r="D1649" s="334"/>
      <c r="E1649" s="335"/>
      <c r="F1649" s="334"/>
      <c r="G1649" s="332"/>
      <c r="H1649" s="332"/>
      <c r="I1649" s="334"/>
      <c r="J1649" s="336"/>
      <c r="K1649" s="332"/>
      <c r="L1649" s="332"/>
      <c r="M1649" s="76"/>
      <c r="N1649" s="103" t="str">
        <f>IF(A1649="","",VLOOKUP(A1649,Stand!C:K,9,0))</f>
        <v/>
      </c>
      <c r="O1649" s="104" t="str">
        <f t="shared" si="713"/>
        <v/>
      </c>
      <c r="P1649" s="105" t="str">
        <f t="shared" si="714"/>
        <v/>
      </c>
      <c r="Q1649" s="105" t="str">
        <f t="shared" si="729"/>
        <v/>
      </c>
      <c r="R1649" s="103" t="str">
        <f t="shared" si="715"/>
        <v/>
      </c>
      <c r="S1649" s="103" t="str">
        <f t="shared" si="716"/>
        <v/>
      </c>
      <c r="T1649" s="106" t="str">
        <f t="shared" si="730"/>
        <v/>
      </c>
      <c r="U1649" s="106" t="str">
        <f t="shared" si="731"/>
        <v/>
      </c>
      <c r="V1649" s="106" t="str">
        <f t="shared" si="732"/>
        <v/>
      </c>
      <c r="W1649" s="105" t="str">
        <f t="shared" si="717"/>
        <v/>
      </c>
      <c r="X1649" s="104" t="str">
        <f t="shared" si="722"/>
        <v/>
      </c>
      <c r="Y1649" s="104" t="str">
        <f t="array" ref="Y1649">IFERROR(IF(ISNUMBER(O1649),IF(COUNT(IF(A1649=$A$2:$A$2427,IF(D1649=$D$2:$D$2427,IF($X$2:$X$2427&gt;0,1))))&gt;0,SUM(IF(A1649=$A$2:$A$2427,IF(D1649=$D$2:$D$2427,$X$2:$X$2427)))/COUNT(IF(A1649=$A$2:$A$2427,IF(D1649=$D$2:$D$2427,IF(ISNUMBER($X$2:$X$2427),1)))),0),""),0)</f>
        <v/>
      </c>
      <c r="Z1649" s="104" t="str">
        <f>IF(ISNUMBER(O1649),IF(I1649&gt;0,(10^(VLOOKUP(D1649,'Species Codes'!B:C,2,0)+VLOOKUP(D1649,'Species Codes'!B:D,3,0)*LOG(E1649)+VLOOKUP(D1649,'Species Codes'!B:E,4,0)*LOG(I1649))),0),"")</f>
        <v/>
      </c>
      <c r="AA1649" s="104" t="str">
        <f>IFERROR((VLOOKUP(D1649,'Species Codes'!B:G,6,0)*Z1649)/2000,"")</f>
        <v/>
      </c>
      <c r="AB1649" s="104" t="e">
        <f>IF(Z1649&gt;0,((IF(OR(D1649="DF",D1649="RA")=TRUE,EXP(VLOOKUP(D1649,'Species Codes'!B:I,8,0)+VLOOKUP(D1649,'Species Codes'!B:J,9,0)*(LN((E1649*2.54)))),IF(OR(D1649="PY",D1649="RC",D1649="WH",D1649="NF")=TRUE,VLOOKUP(D1649,'Species Codes'!B:I,8,0)+VLOOKUP(D1649,'Species Codes'!B:J,9,0)*((E1649*2.54)^2)*(I1649*0.3048),IF(OR(D1649="MD",D1649="BM",D1649="GA")=TRUE,((VLOOKUP(D1649,'Species Codes'!B:I,8,0)*(((((E1649*2.54)+VLOOKUP(D1649,'Species Codes'!B:J,9,0))/VLOOKUP(D1649,'Species Codes'!B:K,10,0))^VLOOKUP(D1649,'Species Codes'!B:L,11,0))*((I1649*0.3048)^VLOOKUP(D1649,'Species Codes'!B:M,12,0))))-(VLOOKUP(D1649,'Species Codes'!B:I,8,0)*((((E1649*2.54)^VLOOKUP(D1649,'Species Codes'!B:L,11,0))*((I1649*0.3048)^VLOOKUP(D1649,'Species Codes'!B:M,12,0))))))*35.3*VLOOKUP(D1649,'Species Codes'!B:G,6,0)/2.2046,VLOOKUP(D1649,'Species Codes'!B:I,8,0)+VLOOKUP(D1649,'Species Codes'!B:J,9,0)*(((E1649*2.54)/100)^2)*(I1649*0.3048)))))*0.0011023),0)</f>
        <v>#N/A</v>
      </c>
      <c r="AC1649" s="104" t="e">
        <f>IF(Z1649&gt;0,((IF(OR(D1649="RA",D1649="OA",D1649="OT",D1649="UN",D1649="PC"),EXP(VLOOKUP(D1649,'Species Codes'!B:O,14,0)+VLOOKUP(D1649,'Species Codes'!B:P,15,0)*LN((E1649*2.54)))-EXP(VLOOKUP(D1649,'Species Codes'!B:O,14,0)+VLOOKUP(D1649,'Species Codes'!B:P,15,0)*LN((E1649*2.54)))*(1/(VLOOKUP(D1649,'Species Codes'!B:Q,16,0)+VLOOKUP(D1649,'Species Codes'!B:R,17,0)*((E1649*2.54)^VLOOKUP(D1649,'Species Codes'!B:S,18,0)))),IF(OR(D1649="BM",D1649="MD",D1649="OA"),EXP(VLOOKUP(D1649,'Species Codes'!B:O,14,0)+VLOOKUP(D1649,'Species Codes'!B:P,15,0)*LN((E1649*2.54)))*(1-(1/(VLOOKUP(D1649,'Species Codes'!B:Q,16,0)+VLOOKUP(D1649,'Species Codes'!B:R,17,0)*((E1649*2.54)^VLOOKUP(D1649,'Species Codes'!B:S,18,0)))))/1000,IF(D1649="DF",EXP(VLOOKUP(D1649,'Species Codes'!B:O,14,0)+VLOOKUP(D1649,'Species Codes'!B:P,15,0)*LN((E1649*2.54))),VLOOKUP(D1649,'Species Codes'!B:O,14,0)+VLOOKUP(D1649,'Species Codes'!B:P,15,0)*(((E1649*2.54)/100)^2)*(I1649*0.3048)))))*0.0011023),0)</f>
        <v>#N/A</v>
      </c>
      <c r="AD1649" s="104" t="e">
        <f t="shared" si="733"/>
        <v>#N/A</v>
      </c>
      <c r="AE1649" s="104" t="e">
        <f t="shared" si="734"/>
        <v>#N/A</v>
      </c>
      <c r="AF1649" s="104" t="e">
        <f>IF(AND(VLOOKUP($D1649,Merchantability!$B:$C,2,0)="Yes",$E1649&gt;=VLOOKUP($D1649,Merchantability!$B:$D,3,0),$E1649&lt;=VLOOKUP($D1649,Merchantability!$B:$E,4,0)),AA1649,0)</f>
        <v>#N/A</v>
      </c>
      <c r="AG1649" s="104" t="e">
        <f>IF(AND(VLOOKUP($D1649,Merchantability!$B:$C,2,0)="Yes",$E1649&gt;=VLOOKUP($D1649,Merchantability!$B:$D,3,0),$E1649&lt;=VLOOKUP($D1649,Merchantability!$B:$E,4,0)),AB1649,0)</f>
        <v>#N/A</v>
      </c>
      <c r="AH1649" s="104" t="e">
        <f>IF(AND(VLOOKUP($D1649,Merchantability!$B:$C,2,0)="Yes",$E1649&gt;=VLOOKUP($D1649,Merchantability!$B:$D,3,0),$E1649&lt;=VLOOKUP($D1649,Merchantability!$B:$E,4,0)),AC1649,0)</f>
        <v>#N/A</v>
      </c>
      <c r="AI1649" s="104" t="e">
        <f t="shared" si="735"/>
        <v>#N/A</v>
      </c>
      <c r="AJ1649" s="104" t="e">
        <f t="shared" si="736"/>
        <v>#VALUE!</v>
      </c>
      <c r="AK1649" s="104" t="e">
        <f t="shared" si="737"/>
        <v>#N/A</v>
      </c>
      <c r="AL1649" s="104" t="e">
        <f t="shared" si="738"/>
        <v>#N/A</v>
      </c>
      <c r="AM1649" s="104" t="e">
        <f t="shared" si="739"/>
        <v>#N/A</v>
      </c>
      <c r="AN1649" s="104" t="e">
        <f t="shared" si="723"/>
        <v>#N/A</v>
      </c>
      <c r="AO1649" s="104" t="e">
        <f t="shared" si="724"/>
        <v>#N/A</v>
      </c>
      <c r="AP1649" s="104" t="e">
        <f t="shared" si="725"/>
        <v>#N/A</v>
      </c>
      <c r="AQ1649" s="104" t="e">
        <f t="shared" si="726"/>
        <v>#N/A</v>
      </c>
      <c r="AR1649" s="105" t="str">
        <f t="shared" si="718"/>
        <v/>
      </c>
      <c r="AS1649" s="105" t="str">
        <f t="shared" si="719"/>
        <v/>
      </c>
      <c r="AT1649" s="108" t="str">
        <f t="shared" si="720"/>
        <v/>
      </c>
      <c r="AU1649" s="108" t="str">
        <f t="shared" si="721"/>
        <v/>
      </c>
      <c r="AV1649" s="107" t="str">
        <f>IF(ISNUMBER(O1649),IF(VLOOKUP($A1649,Stand!C:J,8,FALSE)="Short",AT1649,AU1649),"")</f>
        <v/>
      </c>
      <c r="AW1649" s="109" t="str">
        <f t="shared" si="727"/>
        <v/>
      </c>
      <c r="AX1649" s="109" t="str">
        <f t="shared" si="728"/>
        <v/>
      </c>
      <c r="AY1649" s="112" t="str">
        <f>IF(ISNUMBER(O1649),IF(AND(VLOOKUP($D1649,Merchantability!$B:$C,2,0)="Yes",$E1649&gt;=VLOOKUP($D1649,Merchantability!$B:$D,3,0),$E1649&lt;=VLOOKUP($D1649,Merchantability!$B:$E,4,0)),(AV1649*O1649)*(1-$H1649/100),""),"")</f>
        <v/>
      </c>
      <c r="AZ1649" s="116"/>
      <c r="BA1649" s="116"/>
      <c r="BB1649" s="116"/>
      <c r="BE1649" s="62"/>
      <c r="BF1649" s="63"/>
    </row>
    <row r="1650" spans="1:58" ht="12.75" customHeight="1" x14ac:dyDescent="0.25">
      <c r="A1650" s="334"/>
      <c r="B1650" s="334"/>
      <c r="C1650" s="332"/>
      <c r="D1650" s="334"/>
      <c r="E1650" s="335"/>
      <c r="F1650" s="334"/>
      <c r="G1650" s="332"/>
      <c r="H1650" s="332"/>
      <c r="I1650" s="334"/>
      <c r="J1650" s="336"/>
      <c r="K1650" s="332"/>
      <c r="L1650" s="332"/>
      <c r="M1650" s="76"/>
      <c r="N1650" s="103" t="str">
        <f>IF(A1650="","",VLOOKUP(A1650,Stand!C:K,9,0))</f>
        <v/>
      </c>
      <c r="O1650" s="104" t="str">
        <f t="shared" si="713"/>
        <v/>
      </c>
      <c r="P1650" s="105" t="str">
        <f t="shared" si="714"/>
        <v/>
      </c>
      <c r="Q1650" s="105" t="str">
        <f t="shared" si="729"/>
        <v/>
      </c>
      <c r="R1650" s="103" t="str">
        <f t="shared" si="715"/>
        <v/>
      </c>
      <c r="S1650" s="103" t="str">
        <f t="shared" si="716"/>
        <v/>
      </c>
      <c r="T1650" s="106" t="str">
        <f t="shared" si="730"/>
        <v/>
      </c>
      <c r="U1650" s="106" t="str">
        <f t="shared" si="731"/>
        <v/>
      </c>
      <c r="V1650" s="106" t="str">
        <f t="shared" si="732"/>
        <v/>
      </c>
      <c r="W1650" s="105" t="str">
        <f t="shared" si="717"/>
        <v/>
      </c>
      <c r="X1650" s="104" t="str">
        <f t="shared" si="722"/>
        <v/>
      </c>
      <c r="Y1650" s="104" t="str">
        <f t="array" ref="Y1650">IFERROR(IF(ISNUMBER(O1650),IF(COUNT(IF(A1650=$A$2:$A$2427,IF(D1650=$D$2:$D$2427,IF($X$2:$X$2427&gt;0,1))))&gt;0,SUM(IF(A1650=$A$2:$A$2427,IF(D1650=$D$2:$D$2427,$X$2:$X$2427)))/COUNT(IF(A1650=$A$2:$A$2427,IF(D1650=$D$2:$D$2427,IF(ISNUMBER($X$2:$X$2427),1)))),0),""),0)</f>
        <v/>
      </c>
      <c r="Z1650" s="104" t="str">
        <f>IF(ISNUMBER(O1650),IF(I1650&gt;0,(10^(VLOOKUP(D1650,'Species Codes'!B:C,2,0)+VLOOKUP(D1650,'Species Codes'!B:D,3,0)*LOG(E1650)+VLOOKUP(D1650,'Species Codes'!B:E,4,0)*LOG(I1650))),0),"")</f>
        <v/>
      </c>
      <c r="AA1650" s="104" t="str">
        <f>IFERROR((VLOOKUP(D1650,'Species Codes'!B:G,6,0)*Z1650)/2000,"")</f>
        <v/>
      </c>
      <c r="AB1650" s="104" t="e">
        <f>IF(Z1650&gt;0,((IF(OR(D1650="DF",D1650="RA")=TRUE,EXP(VLOOKUP(D1650,'Species Codes'!B:I,8,0)+VLOOKUP(D1650,'Species Codes'!B:J,9,0)*(LN((E1650*2.54)))),IF(OR(D1650="PY",D1650="RC",D1650="WH",D1650="NF")=TRUE,VLOOKUP(D1650,'Species Codes'!B:I,8,0)+VLOOKUP(D1650,'Species Codes'!B:J,9,0)*((E1650*2.54)^2)*(I1650*0.3048),IF(OR(D1650="MD",D1650="BM",D1650="GA")=TRUE,((VLOOKUP(D1650,'Species Codes'!B:I,8,0)*(((((E1650*2.54)+VLOOKUP(D1650,'Species Codes'!B:J,9,0))/VLOOKUP(D1650,'Species Codes'!B:K,10,0))^VLOOKUP(D1650,'Species Codes'!B:L,11,0))*((I1650*0.3048)^VLOOKUP(D1650,'Species Codes'!B:M,12,0))))-(VLOOKUP(D1650,'Species Codes'!B:I,8,0)*((((E1650*2.54)^VLOOKUP(D1650,'Species Codes'!B:L,11,0))*((I1650*0.3048)^VLOOKUP(D1650,'Species Codes'!B:M,12,0))))))*35.3*VLOOKUP(D1650,'Species Codes'!B:G,6,0)/2.2046,VLOOKUP(D1650,'Species Codes'!B:I,8,0)+VLOOKUP(D1650,'Species Codes'!B:J,9,0)*(((E1650*2.54)/100)^2)*(I1650*0.3048)))))*0.0011023),0)</f>
        <v>#N/A</v>
      </c>
      <c r="AC1650" s="104" t="e">
        <f>IF(Z1650&gt;0,((IF(OR(D1650="RA",D1650="OA",D1650="OT",D1650="UN",D1650="PC"),EXP(VLOOKUP(D1650,'Species Codes'!B:O,14,0)+VLOOKUP(D1650,'Species Codes'!B:P,15,0)*LN((E1650*2.54)))-EXP(VLOOKUP(D1650,'Species Codes'!B:O,14,0)+VLOOKUP(D1650,'Species Codes'!B:P,15,0)*LN((E1650*2.54)))*(1/(VLOOKUP(D1650,'Species Codes'!B:Q,16,0)+VLOOKUP(D1650,'Species Codes'!B:R,17,0)*((E1650*2.54)^VLOOKUP(D1650,'Species Codes'!B:S,18,0)))),IF(OR(D1650="BM",D1650="MD",D1650="OA"),EXP(VLOOKUP(D1650,'Species Codes'!B:O,14,0)+VLOOKUP(D1650,'Species Codes'!B:P,15,0)*LN((E1650*2.54)))*(1-(1/(VLOOKUP(D1650,'Species Codes'!B:Q,16,0)+VLOOKUP(D1650,'Species Codes'!B:R,17,0)*((E1650*2.54)^VLOOKUP(D1650,'Species Codes'!B:S,18,0)))))/1000,IF(D1650="DF",EXP(VLOOKUP(D1650,'Species Codes'!B:O,14,0)+VLOOKUP(D1650,'Species Codes'!B:P,15,0)*LN((E1650*2.54))),VLOOKUP(D1650,'Species Codes'!B:O,14,0)+VLOOKUP(D1650,'Species Codes'!B:P,15,0)*(((E1650*2.54)/100)^2)*(I1650*0.3048)))))*0.0011023),0)</f>
        <v>#N/A</v>
      </c>
      <c r="AD1650" s="104" t="e">
        <f t="shared" si="733"/>
        <v>#N/A</v>
      </c>
      <c r="AE1650" s="104" t="e">
        <f t="shared" si="734"/>
        <v>#N/A</v>
      </c>
      <c r="AF1650" s="104" t="e">
        <f>IF(AND(VLOOKUP($D1650,Merchantability!$B:$C,2,0)="Yes",$E1650&gt;=VLOOKUP($D1650,Merchantability!$B:$D,3,0),$E1650&lt;=VLOOKUP($D1650,Merchantability!$B:$E,4,0)),AA1650,0)</f>
        <v>#N/A</v>
      </c>
      <c r="AG1650" s="104" t="e">
        <f>IF(AND(VLOOKUP($D1650,Merchantability!$B:$C,2,0)="Yes",$E1650&gt;=VLOOKUP($D1650,Merchantability!$B:$D,3,0),$E1650&lt;=VLOOKUP($D1650,Merchantability!$B:$E,4,0)),AB1650,0)</f>
        <v>#N/A</v>
      </c>
      <c r="AH1650" s="104" t="e">
        <f>IF(AND(VLOOKUP($D1650,Merchantability!$B:$C,2,0)="Yes",$E1650&gt;=VLOOKUP($D1650,Merchantability!$B:$D,3,0),$E1650&lt;=VLOOKUP($D1650,Merchantability!$B:$E,4,0)),AC1650,0)</f>
        <v>#N/A</v>
      </c>
      <c r="AI1650" s="104" t="e">
        <f t="shared" si="735"/>
        <v>#N/A</v>
      </c>
      <c r="AJ1650" s="104" t="e">
        <f t="shared" si="736"/>
        <v>#VALUE!</v>
      </c>
      <c r="AK1650" s="104" t="e">
        <f t="shared" si="737"/>
        <v>#N/A</v>
      </c>
      <c r="AL1650" s="104" t="e">
        <f t="shared" si="738"/>
        <v>#N/A</v>
      </c>
      <c r="AM1650" s="104" t="e">
        <f t="shared" si="739"/>
        <v>#N/A</v>
      </c>
      <c r="AN1650" s="104" t="e">
        <f t="shared" si="723"/>
        <v>#N/A</v>
      </c>
      <c r="AO1650" s="104" t="e">
        <f t="shared" si="724"/>
        <v>#N/A</v>
      </c>
      <c r="AP1650" s="104" t="e">
        <f t="shared" si="725"/>
        <v>#N/A</v>
      </c>
      <c r="AQ1650" s="104" t="e">
        <f t="shared" si="726"/>
        <v>#N/A</v>
      </c>
      <c r="AR1650" s="105" t="str">
        <f t="shared" si="718"/>
        <v/>
      </c>
      <c r="AS1650" s="105" t="str">
        <f t="shared" si="719"/>
        <v/>
      </c>
      <c r="AT1650" s="108" t="str">
        <f t="shared" si="720"/>
        <v/>
      </c>
      <c r="AU1650" s="108" t="str">
        <f t="shared" si="721"/>
        <v/>
      </c>
      <c r="AV1650" s="107" t="str">
        <f>IF(ISNUMBER(O1650),IF(VLOOKUP($A1650,Stand!C:J,8,FALSE)="Short",AT1650,AU1650),"")</f>
        <v/>
      </c>
      <c r="AW1650" s="109" t="str">
        <f t="shared" si="727"/>
        <v/>
      </c>
      <c r="AX1650" s="109" t="str">
        <f t="shared" si="728"/>
        <v/>
      </c>
      <c r="AY1650" s="112" t="str">
        <f>IF(ISNUMBER(O1650),IF(AND(VLOOKUP($D1650,Merchantability!$B:$C,2,0)="Yes",$E1650&gt;=VLOOKUP($D1650,Merchantability!$B:$D,3,0),$E1650&lt;=VLOOKUP($D1650,Merchantability!$B:$E,4,0)),(AV1650*O1650)*(1-$H1650/100),""),"")</f>
        <v/>
      </c>
      <c r="AZ1650" s="116"/>
      <c r="BA1650" s="116"/>
      <c r="BB1650" s="116"/>
      <c r="BE1650" s="62"/>
      <c r="BF1650" s="63"/>
    </row>
    <row r="1651" spans="1:58" ht="12.75" customHeight="1" x14ac:dyDescent="0.25">
      <c r="A1651" s="334"/>
      <c r="B1651" s="334"/>
      <c r="C1651" s="332"/>
      <c r="D1651" s="334"/>
      <c r="E1651" s="335"/>
      <c r="F1651" s="334"/>
      <c r="G1651" s="332"/>
      <c r="H1651" s="332"/>
      <c r="I1651" s="334"/>
      <c r="J1651" s="336"/>
      <c r="K1651" s="332"/>
      <c r="L1651" s="332"/>
      <c r="M1651" s="76"/>
      <c r="N1651" s="103" t="str">
        <f>IF(A1651="","",VLOOKUP(A1651,Stand!C:K,9,0))</f>
        <v/>
      </c>
      <c r="O1651" s="104" t="str">
        <f t="shared" si="713"/>
        <v/>
      </c>
      <c r="P1651" s="105" t="str">
        <f t="shared" si="714"/>
        <v/>
      </c>
      <c r="Q1651" s="105" t="str">
        <f t="shared" si="729"/>
        <v/>
      </c>
      <c r="R1651" s="103" t="str">
        <f t="shared" si="715"/>
        <v/>
      </c>
      <c r="S1651" s="103" t="str">
        <f t="shared" si="716"/>
        <v/>
      </c>
      <c r="T1651" s="106" t="str">
        <f t="shared" si="730"/>
        <v/>
      </c>
      <c r="U1651" s="106" t="str">
        <f t="shared" si="731"/>
        <v/>
      </c>
      <c r="V1651" s="106" t="str">
        <f t="shared" si="732"/>
        <v/>
      </c>
      <c r="W1651" s="105" t="str">
        <f t="shared" si="717"/>
        <v/>
      </c>
      <c r="X1651" s="104" t="str">
        <f t="shared" si="722"/>
        <v/>
      </c>
      <c r="Y1651" s="104" t="str">
        <f t="array" ref="Y1651">IFERROR(IF(ISNUMBER(O1651),IF(COUNT(IF(A1651=$A$2:$A$2427,IF(D1651=$D$2:$D$2427,IF($X$2:$X$2427&gt;0,1))))&gt;0,SUM(IF(A1651=$A$2:$A$2427,IF(D1651=$D$2:$D$2427,$X$2:$X$2427)))/COUNT(IF(A1651=$A$2:$A$2427,IF(D1651=$D$2:$D$2427,IF(ISNUMBER($X$2:$X$2427),1)))),0),""),0)</f>
        <v/>
      </c>
      <c r="Z1651" s="104" t="str">
        <f>IF(ISNUMBER(O1651),IF(I1651&gt;0,(10^(VLOOKUP(D1651,'Species Codes'!B:C,2,0)+VLOOKUP(D1651,'Species Codes'!B:D,3,0)*LOG(E1651)+VLOOKUP(D1651,'Species Codes'!B:E,4,0)*LOG(I1651))),0),"")</f>
        <v/>
      </c>
      <c r="AA1651" s="104" t="str">
        <f>IFERROR((VLOOKUP(D1651,'Species Codes'!B:G,6,0)*Z1651)/2000,"")</f>
        <v/>
      </c>
      <c r="AB1651" s="104" t="e">
        <f>IF(Z1651&gt;0,((IF(OR(D1651="DF",D1651="RA")=TRUE,EXP(VLOOKUP(D1651,'Species Codes'!B:I,8,0)+VLOOKUP(D1651,'Species Codes'!B:J,9,0)*(LN((E1651*2.54)))),IF(OR(D1651="PY",D1651="RC",D1651="WH",D1651="NF")=TRUE,VLOOKUP(D1651,'Species Codes'!B:I,8,0)+VLOOKUP(D1651,'Species Codes'!B:J,9,0)*((E1651*2.54)^2)*(I1651*0.3048),IF(OR(D1651="MD",D1651="BM",D1651="GA")=TRUE,((VLOOKUP(D1651,'Species Codes'!B:I,8,0)*(((((E1651*2.54)+VLOOKUP(D1651,'Species Codes'!B:J,9,0))/VLOOKUP(D1651,'Species Codes'!B:K,10,0))^VLOOKUP(D1651,'Species Codes'!B:L,11,0))*((I1651*0.3048)^VLOOKUP(D1651,'Species Codes'!B:M,12,0))))-(VLOOKUP(D1651,'Species Codes'!B:I,8,0)*((((E1651*2.54)^VLOOKUP(D1651,'Species Codes'!B:L,11,0))*((I1651*0.3048)^VLOOKUP(D1651,'Species Codes'!B:M,12,0))))))*35.3*VLOOKUP(D1651,'Species Codes'!B:G,6,0)/2.2046,VLOOKUP(D1651,'Species Codes'!B:I,8,0)+VLOOKUP(D1651,'Species Codes'!B:J,9,0)*(((E1651*2.54)/100)^2)*(I1651*0.3048)))))*0.0011023),0)</f>
        <v>#N/A</v>
      </c>
      <c r="AC1651" s="104" t="e">
        <f>IF(Z1651&gt;0,((IF(OR(D1651="RA",D1651="OA",D1651="OT",D1651="UN",D1651="PC"),EXP(VLOOKUP(D1651,'Species Codes'!B:O,14,0)+VLOOKUP(D1651,'Species Codes'!B:P,15,0)*LN((E1651*2.54)))-EXP(VLOOKUP(D1651,'Species Codes'!B:O,14,0)+VLOOKUP(D1651,'Species Codes'!B:P,15,0)*LN((E1651*2.54)))*(1/(VLOOKUP(D1651,'Species Codes'!B:Q,16,0)+VLOOKUP(D1651,'Species Codes'!B:R,17,0)*((E1651*2.54)^VLOOKUP(D1651,'Species Codes'!B:S,18,0)))),IF(OR(D1651="BM",D1651="MD",D1651="OA"),EXP(VLOOKUP(D1651,'Species Codes'!B:O,14,0)+VLOOKUP(D1651,'Species Codes'!B:P,15,0)*LN((E1651*2.54)))*(1-(1/(VLOOKUP(D1651,'Species Codes'!B:Q,16,0)+VLOOKUP(D1651,'Species Codes'!B:R,17,0)*((E1651*2.54)^VLOOKUP(D1651,'Species Codes'!B:S,18,0)))))/1000,IF(D1651="DF",EXP(VLOOKUP(D1651,'Species Codes'!B:O,14,0)+VLOOKUP(D1651,'Species Codes'!B:P,15,0)*LN((E1651*2.54))),VLOOKUP(D1651,'Species Codes'!B:O,14,0)+VLOOKUP(D1651,'Species Codes'!B:P,15,0)*(((E1651*2.54)/100)^2)*(I1651*0.3048)))))*0.0011023),0)</f>
        <v>#N/A</v>
      </c>
      <c r="AD1651" s="104" t="e">
        <f t="shared" si="733"/>
        <v>#N/A</v>
      </c>
      <c r="AE1651" s="104" t="e">
        <f t="shared" si="734"/>
        <v>#N/A</v>
      </c>
      <c r="AF1651" s="104" t="e">
        <f>IF(AND(VLOOKUP($D1651,Merchantability!$B:$C,2,0)="Yes",$E1651&gt;=VLOOKUP($D1651,Merchantability!$B:$D,3,0),$E1651&lt;=VLOOKUP($D1651,Merchantability!$B:$E,4,0)),AA1651,0)</f>
        <v>#N/A</v>
      </c>
      <c r="AG1651" s="104" t="e">
        <f>IF(AND(VLOOKUP($D1651,Merchantability!$B:$C,2,0)="Yes",$E1651&gt;=VLOOKUP($D1651,Merchantability!$B:$D,3,0),$E1651&lt;=VLOOKUP($D1651,Merchantability!$B:$E,4,0)),AB1651,0)</f>
        <v>#N/A</v>
      </c>
      <c r="AH1651" s="104" t="e">
        <f>IF(AND(VLOOKUP($D1651,Merchantability!$B:$C,2,0)="Yes",$E1651&gt;=VLOOKUP($D1651,Merchantability!$B:$D,3,0),$E1651&lt;=VLOOKUP($D1651,Merchantability!$B:$E,4,0)),AC1651,0)</f>
        <v>#N/A</v>
      </c>
      <c r="AI1651" s="104" t="e">
        <f t="shared" si="735"/>
        <v>#N/A</v>
      </c>
      <c r="AJ1651" s="104" t="e">
        <f t="shared" si="736"/>
        <v>#VALUE!</v>
      </c>
      <c r="AK1651" s="104" t="e">
        <f t="shared" si="737"/>
        <v>#N/A</v>
      </c>
      <c r="AL1651" s="104" t="e">
        <f t="shared" si="738"/>
        <v>#N/A</v>
      </c>
      <c r="AM1651" s="104" t="e">
        <f t="shared" si="739"/>
        <v>#N/A</v>
      </c>
      <c r="AN1651" s="104" t="e">
        <f t="shared" si="723"/>
        <v>#N/A</v>
      </c>
      <c r="AO1651" s="104" t="e">
        <f t="shared" si="724"/>
        <v>#N/A</v>
      </c>
      <c r="AP1651" s="104" t="e">
        <f t="shared" si="725"/>
        <v>#N/A</v>
      </c>
      <c r="AQ1651" s="104" t="e">
        <f t="shared" si="726"/>
        <v>#N/A</v>
      </c>
      <c r="AR1651" s="105" t="str">
        <f t="shared" si="718"/>
        <v/>
      </c>
      <c r="AS1651" s="105" t="str">
        <f t="shared" si="719"/>
        <v/>
      </c>
      <c r="AT1651" s="108" t="str">
        <f t="shared" si="720"/>
        <v/>
      </c>
      <c r="AU1651" s="108" t="str">
        <f t="shared" si="721"/>
        <v/>
      </c>
      <c r="AV1651" s="107" t="str">
        <f>IF(ISNUMBER(O1651),IF(VLOOKUP($A1651,Stand!C:J,8,FALSE)="Short",AT1651,AU1651),"")</f>
        <v/>
      </c>
      <c r="AW1651" s="109" t="str">
        <f t="shared" si="727"/>
        <v/>
      </c>
      <c r="AX1651" s="109" t="str">
        <f t="shared" si="728"/>
        <v/>
      </c>
      <c r="AY1651" s="112" t="str">
        <f>IF(ISNUMBER(O1651),IF(AND(VLOOKUP($D1651,Merchantability!$B:$C,2,0)="Yes",$E1651&gt;=VLOOKUP($D1651,Merchantability!$B:$D,3,0),$E1651&lt;=VLOOKUP($D1651,Merchantability!$B:$E,4,0)),(AV1651*O1651)*(1-$H1651/100),""),"")</f>
        <v/>
      </c>
      <c r="AZ1651" s="116"/>
      <c r="BA1651" s="116"/>
      <c r="BB1651" s="116"/>
      <c r="BE1651" s="62"/>
      <c r="BF1651" s="63"/>
    </row>
    <row r="1652" spans="1:58" ht="12.75" customHeight="1" x14ac:dyDescent="0.25">
      <c r="A1652" s="334"/>
      <c r="B1652" s="334"/>
      <c r="C1652" s="332"/>
      <c r="D1652" s="334"/>
      <c r="E1652" s="335"/>
      <c r="F1652" s="334"/>
      <c r="G1652" s="332"/>
      <c r="H1652" s="332"/>
      <c r="I1652" s="334"/>
      <c r="J1652" s="336"/>
      <c r="K1652" s="332"/>
      <c r="L1652" s="332"/>
      <c r="M1652" s="76"/>
      <c r="N1652" s="103" t="str">
        <f>IF(A1652="","",VLOOKUP(A1652,Stand!C:K,9,0))</f>
        <v/>
      </c>
      <c r="O1652" s="104" t="str">
        <f t="shared" si="713"/>
        <v/>
      </c>
      <c r="P1652" s="105" t="str">
        <f t="shared" si="714"/>
        <v/>
      </c>
      <c r="Q1652" s="105" t="str">
        <f t="shared" si="729"/>
        <v/>
      </c>
      <c r="R1652" s="103" t="str">
        <f t="shared" si="715"/>
        <v/>
      </c>
      <c r="S1652" s="103" t="str">
        <f t="shared" si="716"/>
        <v/>
      </c>
      <c r="T1652" s="106" t="str">
        <f t="shared" si="730"/>
        <v/>
      </c>
      <c r="U1652" s="106" t="str">
        <f t="shared" si="731"/>
        <v/>
      </c>
      <c r="V1652" s="106" t="str">
        <f t="shared" si="732"/>
        <v/>
      </c>
      <c r="W1652" s="105" t="str">
        <f t="shared" si="717"/>
        <v/>
      </c>
      <c r="X1652" s="104" t="str">
        <f t="shared" si="722"/>
        <v/>
      </c>
      <c r="Y1652" s="104" t="str">
        <f t="array" ref="Y1652">IFERROR(IF(ISNUMBER(O1652),IF(COUNT(IF(A1652=$A$2:$A$2427,IF(D1652=$D$2:$D$2427,IF($X$2:$X$2427&gt;0,1))))&gt;0,SUM(IF(A1652=$A$2:$A$2427,IF(D1652=$D$2:$D$2427,$X$2:$X$2427)))/COUNT(IF(A1652=$A$2:$A$2427,IF(D1652=$D$2:$D$2427,IF(ISNUMBER($X$2:$X$2427),1)))),0),""),0)</f>
        <v/>
      </c>
      <c r="Z1652" s="104" t="str">
        <f>IF(ISNUMBER(O1652),IF(I1652&gt;0,(10^(VLOOKUP(D1652,'Species Codes'!B:C,2,0)+VLOOKUP(D1652,'Species Codes'!B:D,3,0)*LOG(E1652)+VLOOKUP(D1652,'Species Codes'!B:E,4,0)*LOG(I1652))),0),"")</f>
        <v/>
      </c>
      <c r="AA1652" s="104" t="str">
        <f>IFERROR((VLOOKUP(D1652,'Species Codes'!B:G,6,0)*Z1652)/2000,"")</f>
        <v/>
      </c>
      <c r="AB1652" s="104" t="e">
        <f>IF(Z1652&gt;0,((IF(OR(D1652="DF",D1652="RA")=TRUE,EXP(VLOOKUP(D1652,'Species Codes'!B:I,8,0)+VLOOKUP(D1652,'Species Codes'!B:J,9,0)*(LN((E1652*2.54)))),IF(OR(D1652="PY",D1652="RC",D1652="WH",D1652="NF")=TRUE,VLOOKUP(D1652,'Species Codes'!B:I,8,0)+VLOOKUP(D1652,'Species Codes'!B:J,9,0)*((E1652*2.54)^2)*(I1652*0.3048),IF(OR(D1652="MD",D1652="BM",D1652="GA")=TRUE,((VLOOKUP(D1652,'Species Codes'!B:I,8,0)*(((((E1652*2.54)+VLOOKUP(D1652,'Species Codes'!B:J,9,0))/VLOOKUP(D1652,'Species Codes'!B:K,10,0))^VLOOKUP(D1652,'Species Codes'!B:L,11,0))*((I1652*0.3048)^VLOOKUP(D1652,'Species Codes'!B:M,12,0))))-(VLOOKUP(D1652,'Species Codes'!B:I,8,0)*((((E1652*2.54)^VLOOKUP(D1652,'Species Codes'!B:L,11,0))*((I1652*0.3048)^VLOOKUP(D1652,'Species Codes'!B:M,12,0))))))*35.3*VLOOKUP(D1652,'Species Codes'!B:G,6,0)/2.2046,VLOOKUP(D1652,'Species Codes'!B:I,8,0)+VLOOKUP(D1652,'Species Codes'!B:J,9,0)*(((E1652*2.54)/100)^2)*(I1652*0.3048)))))*0.0011023),0)</f>
        <v>#N/A</v>
      </c>
      <c r="AC1652" s="104" t="e">
        <f>IF(Z1652&gt;0,((IF(OR(D1652="RA",D1652="OA",D1652="OT",D1652="UN",D1652="PC"),EXP(VLOOKUP(D1652,'Species Codes'!B:O,14,0)+VLOOKUP(D1652,'Species Codes'!B:P,15,0)*LN((E1652*2.54)))-EXP(VLOOKUP(D1652,'Species Codes'!B:O,14,0)+VLOOKUP(D1652,'Species Codes'!B:P,15,0)*LN((E1652*2.54)))*(1/(VLOOKUP(D1652,'Species Codes'!B:Q,16,0)+VLOOKUP(D1652,'Species Codes'!B:R,17,0)*((E1652*2.54)^VLOOKUP(D1652,'Species Codes'!B:S,18,0)))),IF(OR(D1652="BM",D1652="MD",D1652="OA"),EXP(VLOOKUP(D1652,'Species Codes'!B:O,14,0)+VLOOKUP(D1652,'Species Codes'!B:P,15,0)*LN((E1652*2.54)))*(1-(1/(VLOOKUP(D1652,'Species Codes'!B:Q,16,0)+VLOOKUP(D1652,'Species Codes'!B:R,17,0)*((E1652*2.54)^VLOOKUP(D1652,'Species Codes'!B:S,18,0)))))/1000,IF(D1652="DF",EXP(VLOOKUP(D1652,'Species Codes'!B:O,14,0)+VLOOKUP(D1652,'Species Codes'!B:P,15,0)*LN((E1652*2.54))),VLOOKUP(D1652,'Species Codes'!B:O,14,0)+VLOOKUP(D1652,'Species Codes'!B:P,15,0)*(((E1652*2.54)/100)^2)*(I1652*0.3048)))))*0.0011023),0)</f>
        <v>#N/A</v>
      </c>
      <c r="AD1652" s="104" t="e">
        <f t="shared" si="733"/>
        <v>#N/A</v>
      </c>
      <c r="AE1652" s="104" t="e">
        <f t="shared" si="734"/>
        <v>#N/A</v>
      </c>
      <c r="AF1652" s="104" t="e">
        <f>IF(AND(VLOOKUP($D1652,Merchantability!$B:$C,2,0)="Yes",$E1652&gt;=VLOOKUP($D1652,Merchantability!$B:$D,3,0),$E1652&lt;=VLOOKUP($D1652,Merchantability!$B:$E,4,0)),AA1652,0)</f>
        <v>#N/A</v>
      </c>
      <c r="AG1652" s="104" t="e">
        <f>IF(AND(VLOOKUP($D1652,Merchantability!$B:$C,2,0)="Yes",$E1652&gt;=VLOOKUP($D1652,Merchantability!$B:$D,3,0),$E1652&lt;=VLOOKUP($D1652,Merchantability!$B:$E,4,0)),AB1652,0)</f>
        <v>#N/A</v>
      </c>
      <c r="AH1652" s="104" t="e">
        <f>IF(AND(VLOOKUP($D1652,Merchantability!$B:$C,2,0)="Yes",$E1652&gt;=VLOOKUP($D1652,Merchantability!$B:$D,3,0),$E1652&lt;=VLOOKUP($D1652,Merchantability!$B:$E,4,0)),AC1652,0)</f>
        <v>#N/A</v>
      </c>
      <c r="AI1652" s="104" t="e">
        <f t="shared" si="735"/>
        <v>#N/A</v>
      </c>
      <c r="AJ1652" s="104" t="e">
        <f t="shared" si="736"/>
        <v>#VALUE!</v>
      </c>
      <c r="AK1652" s="104" t="e">
        <f t="shared" si="737"/>
        <v>#N/A</v>
      </c>
      <c r="AL1652" s="104" t="e">
        <f t="shared" si="738"/>
        <v>#N/A</v>
      </c>
      <c r="AM1652" s="104" t="e">
        <f t="shared" si="739"/>
        <v>#N/A</v>
      </c>
      <c r="AN1652" s="104" t="e">
        <f t="shared" si="723"/>
        <v>#N/A</v>
      </c>
      <c r="AO1652" s="104" t="e">
        <f t="shared" si="724"/>
        <v>#N/A</v>
      </c>
      <c r="AP1652" s="104" t="e">
        <f t="shared" si="725"/>
        <v>#N/A</v>
      </c>
      <c r="AQ1652" s="104" t="e">
        <f t="shared" si="726"/>
        <v>#N/A</v>
      </c>
      <c r="AR1652" s="105" t="str">
        <f t="shared" si="718"/>
        <v/>
      </c>
      <c r="AS1652" s="105" t="str">
        <f t="shared" si="719"/>
        <v/>
      </c>
      <c r="AT1652" s="108" t="str">
        <f t="shared" si="720"/>
        <v/>
      </c>
      <c r="AU1652" s="108" t="str">
        <f t="shared" si="721"/>
        <v/>
      </c>
      <c r="AV1652" s="107" t="str">
        <f>IF(ISNUMBER(O1652),IF(VLOOKUP($A1652,Stand!C:J,8,FALSE)="Short",AT1652,AU1652),"")</f>
        <v/>
      </c>
      <c r="AW1652" s="109" t="str">
        <f t="shared" si="727"/>
        <v/>
      </c>
      <c r="AX1652" s="109" t="str">
        <f t="shared" si="728"/>
        <v/>
      </c>
      <c r="AY1652" s="112" t="str">
        <f>IF(ISNUMBER(O1652),IF(AND(VLOOKUP($D1652,Merchantability!$B:$C,2,0)="Yes",$E1652&gt;=VLOOKUP($D1652,Merchantability!$B:$D,3,0),$E1652&lt;=VLOOKUP($D1652,Merchantability!$B:$E,4,0)),(AV1652*O1652)*(1-$H1652/100),""),"")</f>
        <v/>
      </c>
      <c r="AZ1652" s="116"/>
      <c r="BA1652" s="116"/>
      <c r="BB1652" s="116"/>
      <c r="BE1652" s="62"/>
      <c r="BF1652" s="63"/>
    </row>
    <row r="1653" spans="1:58" ht="12.75" customHeight="1" x14ac:dyDescent="0.25">
      <c r="A1653" s="334"/>
      <c r="B1653" s="334"/>
      <c r="C1653" s="332"/>
      <c r="D1653" s="334"/>
      <c r="E1653" s="335"/>
      <c r="F1653" s="334"/>
      <c r="G1653" s="332"/>
      <c r="H1653" s="332"/>
      <c r="I1653" s="334"/>
      <c r="J1653" s="336"/>
      <c r="K1653" s="332"/>
      <c r="L1653" s="332"/>
      <c r="M1653" s="76"/>
      <c r="N1653" s="103" t="str">
        <f>IF(A1653="","",VLOOKUP(A1653,Stand!C:K,9,0))</f>
        <v/>
      </c>
      <c r="O1653" s="104" t="str">
        <f t="shared" si="713"/>
        <v/>
      </c>
      <c r="P1653" s="105" t="str">
        <f t="shared" si="714"/>
        <v/>
      </c>
      <c r="Q1653" s="105" t="str">
        <f t="shared" si="729"/>
        <v/>
      </c>
      <c r="R1653" s="103" t="str">
        <f t="shared" si="715"/>
        <v/>
      </c>
      <c r="S1653" s="103" t="str">
        <f t="shared" si="716"/>
        <v/>
      </c>
      <c r="T1653" s="106" t="str">
        <f t="shared" si="730"/>
        <v/>
      </c>
      <c r="U1653" s="106" t="str">
        <f t="shared" si="731"/>
        <v/>
      </c>
      <c r="V1653" s="106" t="str">
        <f t="shared" si="732"/>
        <v/>
      </c>
      <c r="W1653" s="105" t="str">
        <f t="shared" si="717"/>
        <v/>
      </c>
      <c r="X1653" s="104" t="str">
        <f t="shared" si="722"/>
        <v/>
      </c>
      <c r="Y1653" s="104" t="str">
        <f t="array" ref="Y1653">IFERROR(IF(ISNUMBER(O1653),IF(COUNT(IF(A1653=$A$2:$A$2427,IF(D1653=$D$2:$D$2427,IF($X$2:$X$2427&gt;0,1))))&gt;0,SUM(IF(A1653=$A$2:$A$2427,IF(D1653=$D$2:$D$2427,$X$2:$X$2427)))/COUNT(IF(A1653=$A$2:$A$2427,IF(D1653=$D$2:$D$2427,IF(ISNUMBER($X$2:$X$2427),1)))),0),""),0)</f>
        <v/>
      </c>
      <c r="Z1653" s="104" t="str">
        <f>IF(ISNUMBER(O1653),IF(I1653&gt;0,(10^(VLOOKUP(D1653,'Species Codes'!B:C,2,0)+VLOOKUP(D1653,'Species Codes'!B:D,3,0)*LOG(E1653)+VLOOKUP(D1653,'Species Codes'!B:E,4,0)*LOG(I1653))),0),"")</f>
        <v/>
      </c>
      <c r="AA1653" s="104" t="str">
        <f>IFERROR((VLOOKUP(D1653,'Species Codes'!B:G,6,0)*Z1653)/2000,"")</f>
        <v/>
      </c>
      <c r="AB1653" s="104" t="e">
        <f>IF(Z1653&gt;0,((IF(OR(D1653="DF",D1653="RA")=TRUE,EXP(VLOOKUP(D1653,'Species Codes'!B:I,8,0)+VLOOKUP(D1653,'Species Codes'!B:J,9,0)*(LN((E1653*2.54)))),IF(OR(D1653="PY",D1653="RC",D1653="WH",D1653="NF")=TRUE,VLOOKUP(D1653,'Species Codes'!B:I,8,0)+VLOOKUP(D1653,'Species Codes'!B:J,9,0)*((E1653*2.54)^2)*(I1653*0.3048),IF(OR(D1653="MD",D1653="BM",D1653="GA")=TRUE,((VLOOKUP(D1653,'Species Codes'!B:I,8,0)*(((((E1653*2.54)+VLOOKUP(D1653,'Species Codes'!B:J,9,0))/VLOOKUP(D1653,'Species Codes'!B:K,10,0))^VLOOKUP(D1653,'Species Codes'!B:L,11,0))*((I1653*0.3048)^VLOOKUP(D1653,'Species Codes'!B:M,12,0))))-(VLOOKUP(D1653,'Species Codes'!B:I,8,0)*((((E1653*2.54)^VLOOKUP(D1653,'Species Codes'!B:L,11,0))*((I1653*0.3048)^VLOOKUP(D1653,'Species Codes'!B:M,12,0))))))*35.3*VLOOKUP(D1653,'Species Codes'!B:G,6,0)/2.2046,VLOOKUP(D1653,'Species Codes'!B:I,8,0)+VLOOKUP(D1653,'Species Codes'!B:J,9,0)*(((E1653*2.54)/100)^2)*(I1653*0.3048)))))*0.0011023),0)</f>
        <v>#N/A</v>
      </c>
      <c r="AC1653" s="104" t="e">
        <f>IF(Z1653&gt;0,((IF(OR(D1653="RA",D1653="OA",D1653="OT",D1653="UN",D1653="PC"),EXP(VLOOKUP(D1653,'Species Codes'!B:O,14,0)+VLOOKUP(D1653,'Species Codes'!B:P,15,0)*LN((E1653*2.54)))-EXP(VLOOKUP(D1653,'Species Codes'!B:O,14,0)+VLOOKUP(D1653,'Species Codes'!B:P,15,0)*LN((E1653*2.54)))*(1/(VLOOKUP(D1653,'Species Codes'!B:Q,16,0)+VLOOKUP(D1653,'Species Codes'!B:R,17,0)*((E1653*2.54)^VLOOKUP(D1653,'Species Codes'!B:S,18,0)))),IF(OR(D1653="BM",D1653="MD",D1653="OA"),EXP(VLOOKUP(D1653,'Species Codes'!B:O,14,0)+VLOOKUP(D1653,'Species Codes'!B:P,15,0)*LN((E1653*2.54)))*(1-(1/(VLOOKUP(D1653,'Species Codes'!B:Q,16,0)+VLOOKUP(D1653,'Species Codes'!B:R,17,0)*((E1653*2.54)^VLOOKUP(D1653,'Species Codes'!B:S,18,0)))))/1000,IF(D1653="DF",EXP(VLOOKUP(D1653,'Species Codes'!B:O,14,0)+VLOOKUP(D1653,'Species Codes'!B:P,15,0)*LN((E1653*2.54))),VLOOKUP(D1653,'Species Codes'!B:O,14,0)+VLOOKUP(D1653,'Species Codes'!B:P,15,0)*(((E1653*2.54)/100)^2)*(I1653*0.3048)))))*0.0011023),0)</f>
        <v>#N/A</v>
      </c>
      <c r="AD1653" s="104" t="e">
        <f t="shared" si="733"/>
        <v>#N/A</v>
      </c>
      <c r="AE1653" s="104" t="e">
        <f t="shared" si="734"/>
        <v>#N/A</v>
      </c>
      <c r="AF1653" s="104" t="e">
        <f>IF(AND(VLOOKUP($D1653,Merchantability!$B:$C,2,0)="Yes",$E1653&gt;=VLOOKUP($D1653,Merchantability!$B:$D,3,0),$E1653&lt;=VLOOKUP($D1653,Merchantability!$B:$E,4,0)),AA1653,0)</f>
        <v>#N/A</v>
      </c>
      <c r="AG1653" s="104" t="e">
        <f>IF(AND(VLOOKUP($D1653,Merchantability!$B:$C,2,0)="Yes",$E1653&gt;=VLOOKUP($D1653,Merchantability!$B:$D,3,0),$E1653&lt;=VLOOKUP($D1653,Merchantability!$B:$E,4,0)),AB1653,0)</f>
        <v>#N/A</v>
      </c>
      <c r="AH1653" s="104" t="e">
        <f>IF(AND(VLOOKUP($D1653,Merchantability!$B:$C,2,0)="Yes",$E1653&gt;=VLOOKUP($D1653,Merchantability!$B:$D,3,0),$E1653&lt;=VLOOKUP($D1653,Merchantability!$B:$E,4,0)),AC1653,0)</f>
        <v>#N/A</v>
      </c>
      <c r="AI1653" s="104" t="e">
        <f t="shared" si="735"/>
        <v>#N/A</v>
      </c>
      <c r="AJ1653" s="104" t="e">
        <f t="shared" si="736"/>
        <v>#VALUE!</v>
      </c>
      <c r="AK1653" s="104" t="e">
        <f t="shared" si="737"/>
        <v>#N/A</v>
      </c>
      <c r="AL1653" s="104" t="e">
        <f t="shared" si="738"/>
        <v>#N/A</v>
      </c>
      <c r="AM1653" s="104" t="e">
        <f t="shared" si="739"/>
        <v>#N/A</v>
      </c>
      <c r="AN1653" s="104" t="e">
        <f t="shared" si="723"/>
        <v>#N/A</v>
      </c>
      <c r="AO1653" s="104" t="e">
        <f t="shared" si="724"/>
        <v>#N/A</v>
      </c>
      <c r="AP1653" s="104" t="e">
        <f t="shared" si="725"/>
        <v>#N/A</v>
      </c>
      <c r="AQ1653" s="104" t="e">
        <f t="shared" si="726"/>
        <v>#N/A</v>
      </c>
      <c r="AR1653" s="105" t="str">
        <f t="shared" si="718"/>
        <v/>
      </c>
      <c r="AS1653" s="105" t="str">
        <f t="shared" si="719"/>
        <v/>
      </c>
      <c r="AT1653" s="108" t="str">
        <f t="shared" si="720"/>
        <v/>
      </c>
      <c r="AU1653" s="108" t="str">
        <f t="shared" si="721"/>
        <v/>
      </c>
      <c r="AV1653" s="107" t="str">
        <f>IF(ISNUMBER(O1653),IF(VLOOKUP($A1653,Stand!C:J,8,FALSE)="Short",AT1653,AU1653),"")</f>
        <v/>
      </c>
      <c r="AW1653" s="109" t="str">
        <f t="shared" si="727"/>
        <v/>
      </c>
      <c r="AX1653" s="109" t="str">
        <f t="shared" si="728"/>
        <v/>
      </c>
      <c r="AY1653" s="112" t="str">
        <f>IF(ISNUMBER(O1653),IF(AND(VLOOKUP($D1653,Merchantability!$B:$C,2,0)="Yes",$E1653&gt;=VLOOKUP($D1653,Merchantability!$B:$D,3,0),$E1653&lt;=VLOOKUP($D1653,Merchantability!$B:$E,4,0)),(AV1653*O1653)*(1-$H1653/100),""),"")</f>
        <v/>
      </c>
      <c r="AZ1653" s="116"/>
      <c r="BA1653" s="116"/>
      <c r="BB1653" s="116"/>
      <c r="BE1653" s="62"/>
      <c r="BF1653" s="63"/>
    </row>
    <row r="1654" spans="1:58" ht="12.75" customHeight="1" x14ac:dyDescent="0.25">
      <c r="A1654" s="334"/>
      <c r="B1654" s="334"/>
      <c r="C1654" s="332"/>
      <c r="D1654" s="334"/>
      <c r="E1654" s="335"/>
      <c r="F1654" s="334"/>
      <c r="G1654" s="332"/>
      <c r="H1654" s="332"/>
      <c r="I1654" s="334"/>
      <c r="J1654" s="336"/>
      <c r="K1654" s="332"/>
      <c r="L1654" s="332"/>
      <c r="M1654" s="76"/>
      <c r="N1654" s="103" t="str">
        <f>IF(A1654="","",VLOOKUP(A1654,Stand!C:K,9,0))</f>
        <v/>
      </c>
      <c r="O1654" s="104" t="str">
        <f t="shared" si="713"/>
        <v/>
      </c>
      <c r="P1654" s="105" t="str">
        <f t="shared" si="714"/>
        <v/>
      </c>
      <c r="Q1654" s="105" t="str">
        <f t="shared" si="729"/>
        <v/>
      </c>
      <c r="R1654" s="103" t="str">
        <f t="shared" si="715"/>
        <v/>
      </c>
      <c r="S1654" s="103" t="str">
        <f t="shared" si="716"/>
        <v/>
      </c>
      <c r="T1654" s="106" t="str">
        <f t="shared" si="730"/>
        <v/>
      </c>
      <c r="U1654" s="106" t="str">
        <f t="shared" si="731"/>
        <v/>
      </c>
      <c r="V1654" s="106" t="str">
        <f t="shared" si="732"/>
        <v/>
      </c>
      <c r="W1654" s="105" t="str">
        <f t="shared" si="717"/>
        <v/>
      </c>
      <c r="X1654" s="104" t="str">
        <f t="shared" si="722"/>
        <v/>
      </c>
      <c r="Y1654" s="104" t="str">
        <f t="array" ref="Y1654">IFERROR(IF(ISNUMBER(O1654),IF(COUNT(IF(A1654=$A$2:$A$2427,IF(D1654=$D$2:$D$2427,IF($X$2:$X$2427&gt;0,1))))&gt;0,SUM(IF(A1654=$A$2:$A$2427,IF(D1654=$D$2:$D$2427,$X$2:$X$2427)))/COUNT(IF(A1654=$A$2:$A$2427,IF(D1654=$D$2:$D$2427,IF(ISNUMBER($X$2:$X$2427),1)))),0),""),0)</f>
        <v/>
      </c>
      <c r="Z1654" s="104" t="str">
        <f>IF(ISNUMBER(O1654),IF(I1654&gt;0,(10^(VLOOKUP(D1654,'Species Codes'!B:C,2,0)+VLOOKUP(D1654,'Species Codes'!B:D,3,0)*LOG(E1654)+VLOOKUP(D1654,'Species Codes'!B:E,4,0)*LOG(I1654))),0),"")</f>
        <v/>
      </c>
      <c r="AA1654" s="104" t="str">
        <f>IFERROR((VLOOKUP(D1654,'Species Codes'!B:G,6,0)*Z1654)/2000,"")</f>
        <v/>
      </c>
      <c r="AB1654" s="104" t="e">
        <f>IF(Z1654&gt;0,((IF(OR(D1654="DF",D1654="RA")=TRUE,EXP(VLOOKUP(D1654,'Species Codes'!B:I,8,0)+VLOOKUP(D1654,'Species Codes'!B:J,9,0)*(LN((E1654*2.54)))),IF(OR(D1654="PY",D1654="RC",D1654="WH",D1654="NF")=TRUE,VLOOKUP(D1654,'Species Codes'!B:I,8,0)+VLOOKUP(D1654,'Species Codes'!B:J,9,0)*((E1654*2.54)^2)*(I1654*0.3048),IF(OR(D1654="MD",D1654="BM",D1654="GA")=TRUE,((VLOOKUP(D1654,'Species Codes'!B:I,8,0)*(((((E1654*2.54)+VLOOKUP(D1654,'Species Codes'!B:J,9,0))/VLOOKUP(D1654,'Species Codes'!B:K,10,0))^VLOOKUP(D1654,'Species Codes'!B:L,11,0))*((I1654*0.3048)^VLOOKUP(D1654,'Species Codes'!B:M,12,0))))-(VLOOKUP(D1654,'Species Codes'!B:I,8,0)*((((E1654*2.54)^VLOOKUP(D1654,'Species Codes'!B:L,11,0))*((I1654*0.3048)^VLOOKUP(D1654,'Species Codes'!B:M,12,0))))))*35.3*VLOOKUP(D1654,'Species Codes'!B:G,6,0)/2.2046,VLOOKUP(D1654,'Species Codes'!B:I,8,0)+VLOOKUP(D1654,'Species Codes'!B:J,9,0)*(((E1654*2.54)/100)^2)*(I1654*0.3048)))))*0.0011023),0)</f>
        <v>#N/A</v>
      </c>
      <c r="AC1654" s="104" t="e">
        <f>IF(Z1654&gt;0,((IF(OR(D1654="RA",D1654="OA",D1654="OT",D1654="UN",D1654="PC"),EXP(VLOOKUP(D1654,'Species Codes'!B:O,14,0)+VLOOKUP(D1654,'Species Codes'!B:P,15,0)*LN((E1654*2.54)))-EXP(VLOOKUP(D1654,'Species Codes'!B:O,14,0)+VLOOKUP(D1654,'Species Codes'!B:P,15,0)*LN((E1654*2.54)))*(1/(VLOOKUP(D1654,'Species Codes'!B:Q,16,0)+VLOOKUP(D1654,'Species Codes'!B:R,17,0)*((E1654*2.54)^VLOOKUP(D1654,'Species Codes'!B:S,18,0)))),IF(OR(D1654="BM",D1654="MD",D1654="OA"),EXP(VLOOKUP(D1654,'Species Codes'!B:O,14,0)+VLOOKUP(D1654,'Species Codes'!B:P,15,0)*LN((E1654*2.54)))*(1-(1/(VLOOKUP(D1654,'Species Codes'!B:Q,16,0)+VLOOKUP(D1654,'Species Codes'!B:R,17,0)*((E1654*2.54)^VLOOKUP(D1654,'Species Codes'!B:S,18,0)))))/1000,IF(D1654="DF",EXP(VLOOKUP(D1654,'Species Codes'!B:O,14,0)+VLOOKUP(D1654,'Species Codes'!B:P,15,0)*LN((E1654*2.54))),VLOOKUP(D1654,'Species Codes'!B:O,14,0)+VLOOKUP(D1654,'Species Codes'!B:P,15,0)*(((E1654*2.54)/100)^2)*(I1654*0.3048)))))*0.0011023),0)</f>
        <v>#N/A</v>
      </c>
      <c r="AD1654" s="104" t="e">
        <f t="shared" si="733"/>
        <v>#N/A</v>
      </c>
      <c r="AE1654" s="104" t="e">
        <f t="shared" si="734"/>
        <v>#N/A</v>
      </c>
      <c r="AF1654" s="104" t="e">
        <f>IF(AND(VLOOKUP($D1654,Merchantability!$B:$C,2,0)="Yes",$E1654&gt;=VLOOKUP($D1654,Merchantability!$B:$D,3,0),$E1654&lt;=VLOOKUP($D1654,Merchantability!$B:$E,4,0)),AA1654,0)</f>
        <v>#N/A</v>
      </c>
      <c r="AG1654" s="104" t="e">
        <f>IF(AND(VLOOKUP($D1654,Merchantability!$B:$C,2,0)="Yes",$E1654&gt;=VLOOKUP($D1654,Merchantability!$B:$D,3,0),$E1654&lt;=VLOOKUP($D1654,Merchantability!$B:$E,4,0)),AB1654,0)</f>
        <v>#N/A</v>
      </c>
      <c r="AH1654" s="104" t="e">
        <f>IF(AND(VLOOKUP($D1654,Merchantability!$B:$C,2,0)="Yes",$E1654&gt;=VLOOKUP($D1654,Merchantability!$B:$D,3,0),$E1654&lt;=VLOOKUP($D1654,Merchantability!$B:$E,4,0)),AC1654,0)</f>
        <v>#N/A</v>
      </c>
      <c r="AI1654" s="104" t="e">
        <f t="shared" si="735"/>
        <v>#N/A</v>
      </c>
      <c r="AJ1654" s="104" t="e">
        <f t="shared" si="736"/>
        <v>#VALUE!</v>
      </c>
      <c r="AK1654" s="104" t="e">
        <f t="shared" si="737"/>
        <v>#N/A</v>
      </c>
      <c r="AL1654" s="104" t="e">
        <f t="shared" si="738"/>
        <v>#N/A</v>
      </c>
      <c r="AM1654" s="104" t="e">
        <f t="shared" si="739"/>
        <v>#N/A</v>
      </c>
      <c r="AN1654" s="104" t="e">
        <f t="shared" si="723"/>
        <v>#N/A</v>
      </c>
      <c r="AO1654" s="104" t="e">
        <f t="shared" si="724"/>
        <v>#N/A</v>
      </c>
      <c r="AP1654" s="104" t="e">
        <f t="shared" si="725"/>
        <v>#N/A</v>
      </c>
      <c r="AQ1654" s="104" t="e">
        <f t="shared" si="726"/>
        <v>#N/A</v>
      </c>
      <c r="AR1654" s="105" t="str">
        <f t="shared" si="718"/>
        <v/>
      </c>
      <c r="AS1654" s="105" t="str">
        <f t="shared" si="719"/>
        <v/>
      </c>
      <c r="AT1654" s="108" t="str">
        <f t="shared" si="720"/>
        <v/>
      </c>
      <c r="AU1654" s="108" t="str">
        <f t="shared" si="721"/>
        <v/>
      </c>
      <c r="AV1654" s="107" t="str">
        <f>IF(ISNUMBER(O1654),IF(VLOOKUP($A1654,Stand!C:J,8,FALSE)="Short",AT1654,AU1654),"")</f>
        <v/>
      </c>
      <c r="AW1654" s="109" t="str">
        <f t="shared" si="727"/>
        <v/>
      </c>
      <c r="AX1654" s="109" t="str">
        <f t="shared" si="728"/>
        <v/>
      </c>
      <c r="AY1654" s="112" t="str">
        <f>IF(ISNUMBER(O1654),IF(AND(VLOOKUP($D1654,Merchantability!$B:$C,2,0)="Yes",$E1654&gt;=VLOOKUP($D1654,Merchantability!$B:$D,3,0),$E1654&lt;=VLOOKUP($D1654,Merchantability!$B:$E,4,0)),(AV1654*O1654)*(1-$H1654/100),""),"")</f>
        <v/>
      </c>
      <c r="AZ1654" s="116"/>
      <c r="BA1654" s="116"/>
      <c r="BB1654" s="116"/>
      <c r="BE1654" s="62"/>
      <c r="BF1654" s="63"/>
    </row>
    <row r="1655" spans="1:58" ht="12.75" customHeight="1" x14ac:dyDescent="0.25">
      <c r="A1655" s="334"/>
      <c r="B1655" s="334"/>
      <c r="C1655" s="332"/>
      <c r="D1655" s="334"/>
      <c r="E1655" s="335"/>
      <c r="F1655" s="334"/>
      <c r="G1655" s="332"/>
      <c r="H1655" s="332"/>
      <c r="I1655" s="334"/>
      <c r="J1655" s="336"/>
      <c r="K1655" s="332"/>
      <c r="L1655" s="332"/>
      <c r="M1655" s="76"/>
      <c r="N1655" s="103" t="str">
        <f>IF(A1655="","",VLOOKUP(A1655,Stand!C:K,9,0))</f>
        <v/>
      </c>
      <c r="O1655" s="104" t="str">
        <f t="shared" si="713"/>
        <v/>
      </c>
      <c r="P1655" s="105" t="str">
        <f t="shared" si="714"/>
        <v/>
      </c>
      <c r="Q1655" s="105" t="str">
        <f t="shared" si="729"/>
        <v/>
      </c>
      <c r="R1655" s="103" t="str">
        <f t="shared" si="715"/>
        <v/>
      </c>
      <c r="S1655" s="103" t="str">
        <f t="shared" si="716"/>
        <v/>
      </c>
      <c r="T1655" s="106" t="str">
        <f t="shared" si="730"/>
        <v/>
      </c>
      <c r="U1655" s="106" t="str">
        <f t="shared" si="731"/>
        <v/>
      </c>
      <c r="V1655" s="106" t="str">
        <f t="shared" si="732"/>
        <v/>
      </c>
      <c r="W1655" s="105" t="str">
        <f t="shared" si="717"/>
        <v/>
      </c>
      <c r="X1655" s="104" t="str">
        <f t="shared" si="722"/>
        <v/>
      </c>
      <c r="Y1655" s="104" t="str">
        <f t="array" ref="Y1655">IFERROR(IF(ISNUMBER(O1655),IF(COUNT(IF(A1655=$A$2:$A$2427,IF(D1655=$D$2:$D$2427,IF($X$2:$X$2427&gt;0,1))))&gt;0,SUM(IF(A1655=$A$2:$A$2427,IF(D1655=$D$2:$D$2427,$X$2:$X$2427)))/COUNT(IF(A1655=$A$2:$A$2427,IF(D1655=$D$2:$D$2427,IF(ISNUMBER($X$2:$X$2427),1)))),0),""),0)</f>
        <v/>
      </c>
      <c r="Z1655" s="104" t="str">
        <f>IF(ISNUMBER(O1655),IF(I1655&gt;0,(10^(VLOOKUP(D1655,'Species Codes'!B:C,2,0)+VLOOKUP(D1655,'Species Codes'!B:D,3,0)*LOG(E1655)+VLOOKUP(D1655,'Species Codes'!B:E,4,0)*LOG(I1655))),0),"")</f>
        <v/>
      </c>
      <c r="AA1655" s="104" t="str">
        <f>IFERROR((VLOOKUP(D1655,'Species Codes'!B:G,6,0)*Z1655)/2000,"")</f>
        <v/>
      </c>
      <c r="AB1655" s="104" t="e">
        <f>IF(Z1655&gt;0,((IF(OR(D1655="DF",D1655="RA")=TRUE,EXP(VLOOKUP(D1655,'Species Codes'!B:I,8,0)+VLOOKUP(D1655,'Species Codes'!B:J,9,0)*(LN((E1655*2.54)))),IF(OR(D1655="PY",D1655="RC",D1655="WH",D1655="NF")=TRUE,VLOOKUP(D1655,'Species Codes'!B:I,8,0)+VLOOKUP(D1655,'Species Codes'!B:J,9,0)*((E1655*2.54)^2)*(I1655*0.3048),IF(OR(D1655="MD",D1655="BM",D1655="GA")=TRUE,((VLOOKUP(D1655,'Species Codes'!B:I,8,0)*(((((E1655*2.54)+VLOOKUP(D1655,'Species Codes'!B:J,9,0))/VLOOKUP(D1655,'Species Codes'!B:K,10,0))^VLOOKUP(D1655,'Species Codes'!B:L,11,0))*((I1655*0.3048)^VLOOKUP(D1655,'Species Codes'!B:M,12,0))))-(VLOOKUP(D1655,'Species Codes'!B:I,8,0)*((((E1655*2.54)^VLOOKUP(D1655,'Species Codes'!B:L,11,0))*((I1655*0.3048)^VLOOKUP(D1655,'Species Codes'!B:M,12,0))))))*35.3*VLOOKUP(D1655,'Species Codes'!B:G,6,0)/2.2046,VLOOKUP(D1655,'Species Codes'!B:I,8,0)+VLOOKUP(D1655,'Species Codes'!B:J,9,0)*(((E1655*2.54)/100)^2)*(I1655*0.3048)))))*0.0011023),0)</f>
        <v>#N/A</v>
      </c>
      <c r="AC1655" s="104" t="e">
        <f>IF(Z1655&gt;0,((IF(OR(D1655="RA",D1655="OA",D1655="OT",D1655="UN",D1655="PC"),EXP(VLOOKUP(D1655,'Species Codes'!B:O,14,0)+VLOOKUP(D1655,'Species Codes'!B:P,15,0)*LN((E1655*2.54)))-EXP(VLOOKUP(D1655,'Species Codes'!B:O,14,0)+VLOOKUP(D1655,'Species Codes'!B:P,15,0)*LN((E1655*2.54)))*(1/(VLOOKUP(D1655,'Species Codes'!B:Q,16,0)+VLOOKUP(D1655,'Species Codes'!B:R,17,0)*((E1655*2.54)^VLOOKUP(D1655,'Species Codes'!B:S,18,0)))),IF(OR(D1655="BM",D1655="MD",D1655="OA"),EXP(VLOOKUP(D1655,'Species Codes'!B:O,14,0)+VLOOKUP(D1655,'Species Codes'!B:P,15,0)*LN((E1655*2.54)))*(1-(1/(VLOOKUP(D1655,'Species Codes'!B:Q,16,0)+VLOOKUP(D1655,'Species Codes'!B:R,17,0)*((E1655*2.54)^VLOOKUP(D1655,'Species Codes'!B:S,18,0)))))/1000,IF(D1655="DF",EXP(VLOOKUP(D1655,'Species Codes'!B:O,14,0)+VLOOKUP(D1655,'Species Codes'!B:P,15,0)*LN((E1655*2.54))),VLOOKUP(D1655,'Species Codes'!B:O,14,0)+VLOOKUP(D1655,'Species Codes'!B:P,15,0)*(((E1655*2.54)/100)^2)*(I1655*0.3048)))))*0.0011023),0)</f>
        <v>#N/A</v>
      </c>
      <c r="AD1655" s="104" t="e">
        <f t="shared" si="733"/>
        <v>#N/A</v>
      </c>
      <c r="AE1655" s="104" t="e">
        <f t="shared" si="734"/>
        <v>#N/A</v>
      </c>
      <c r="AF1655" s="104" t="e">
        <f>IF(AND(VLOOKUP($D1655,Merchantability!$B:$C,2,0)="Yes",$E1655&gt;=VLOOKUP($D1655,Merchantability!$B:$D,3,0),$E1655&lt;=VLOOKUP($D1655,Merchantability!$B:$E,4,0)),AA1655,0)</f>
        <v>#N/A</v>
      </c>
      <c r="AG1655" s="104" t="e">
        <f>IF(AND(VLOOKUP($D1655,Merchantability!$B:$C,2,0)="Yes",$E1655&gt;=VLOOKUP($D1655,Merchantability!$B:$D,3,0),$E1655&lt;=VLOOKUP($D1655,Merchantability!$B:$E,4,0)),AB1655,0)</f>
        <v>#N/A</v>
      </c>
      <c r="AH1655" s="104" t="e">
        <f>IF(AND(VLOOKUP($D1655,Merchantability!$B:$C,2,0)="Yes",$E1655&gt;=VLOOKUP($D1655,Merchantability!$B:$D,3,0),$E1655&lt;=VLOOKUP($D1655,Merchantability!$B:$E,4,0)),AC1655,0)</f>
        <v>#N/A</v>
      </c>
      <c r="AI1655" s="104" t="e">
        <f t="shared" si="735"/>
        <v>#N/A</v>
      </c>
      <c r="AJ1655" s="104" t="e">
        <f t="shared" si="736"/>
        <v>#VALUE!</v>
      </c>
      <c r="AK1655" s="104" t="e">
        <f t="shared" si="737"/>
        <v>#N/A</v>
      </c>
      <c r="AL1655" s="104" t="e">
        <f t="shared" si="738"/>
        <v>#N/A</v>
      </c>
      <c r="AM1655" s="104" t="e">
        <f t="shared" si="739"/>
        <v>#N/A</v>
      </c>
      <c r="AN1655" s="104" t="e">
        <f t="shared" si="723"/>
        <v>#N/A</v>
      </c>
      <c r="AO1655" s="104" t="e">
        <f t="shared" si="724"/>
        <v>#N/A</v>
      </c>
      <c r="AP1655" s="104" t="e">
        <f t="shared" si="725"/>
        <v>#N/A</v>
      </c>
      <c r="AQ1655" s="104" t="e">
        <f t="shared" si="726"/>
        <v>#N/A</v>
      </c>
      <c r="AR1655" s="105" t="str">
        <f t="shared" si="718"/>
        <v/>
      </c>
      <c r="AS1655" s="105" t="str">
        <f t="shared" si="719"/>
        <v/>
      </c>
      <c r="AT1655" s="108" t="str">
        <f t="shared" si="720"/>
        <v/>
      </c>
      <c r="AU1655" s="108" t="str">
        <f t="shared" si="721"/>
        <v/>
      </c>
      <c r="AV1655" s="107" t="str">
        <f>IF(ISNUMBER(O1655),IF(VLOOKUP($A1655,Stand!C:J,8,FALSE)="Short",AT1655,AU1655),"")</f>
        <v/>
      </c>
      <c r="AW1655" s="109" t="str">
        <f t="shared" si="727"/>
        <v/>
      </c>
      <c r="AX1655" s="109" t="str">
        <f t="shared" si="728"/>
        <v/>
      </c>
      <c r="AY1655" s="112" t="str">
        <f>IF(ISNUMBER(O1655),IF(AND(VLOOKUP($D1655,Merchantability!$B:$C,2,0)="Yes",$E1655&gt;=VLOOKUP($D1655,Merchantability!$B:$D,3,0),$E1655&lt;=VLOOKUP($D1655,Merchantability!$B:$E,4,0)),(AV1655*O1655)*(1-$H1655/100),""),"")</f>
        <v/>
      </c>
      <c r="AZ1655" s="116"/>
      <c r="BA1655" s="116"/>
      <c r="BB1655" s="116"/>
      <c r="BE1655" s="62"/>
      <c r="BF1655" s="63"/>
    </row>
    <row r="1656" spans="1:58" ht="12.75" customHeight="1" x14ac:dyDescent="0.25">
      <c r="A1656" s="334"/>
      <c r="B1656" s="334"/>
      <c r="C1656" s="332"/>
      <c r="D1656" s="334"/>
      <c r="E1656" s="335"/>
      <c r="F1656" s="334"/>
      <c r="G1656" s="332"/>
      <c r="H1656" s="332"/>
      <c r="I1656" s="334"/>
      <c r="J1656" s="336"/>
      <c r="K1656" s="332"/>
      <c r="L1656" s="332"/>
      <c r="M1656" s="76"/>
      <c r="N1656" s="103" t="str">
        <f>IF(A1656="","",VLOOKUP(A1656,Stand!C:K,9,0))</f>
        <v/>
      </c>
      <c r="O1656" s="104" t="str">
        <f t="shared" si="713"/>
        <v/>
      </c>
      <c r="P1656" s="105" t="str">
        <f t="shared" si="714"/>
        <v/>
      </c>
      <c r="Q1656" s="105" t="str">
        <f t="shared" si="729"/>
        <v/>
      </c>
      <c r="R1656" s="103" t="str">
        <f t="shared" si="715"/>
        <v/>
      </c>
      <c r="S1656" s="103" t="str">
        <f t="shared" si="716"/>
        <v/>
      </c>
      <c r="T1656" s="106" t="str">
        <f t="shared" si="730"/>
        <v/>
      </c>
      <c r="U1656" s="106" t="str">
        <f t="shared" si="731"/>
        <v/>
      </c>
      <c r="V1656" s="106" t="str">
        <f t="shared" si="732"/>
        <v/>
      </c>
      <c r="W1656" s="105" t="str">
        <f t="shared" si="717"/>
        <v/>
      </c>
      <c r="X1656" s="104" t="str">
        <f t="shared" si="722"/>
        <v/>
      </c>
      <c r="Y1656" s="104" t="str">
        <f t="array" ref="Y1656">IFERROR(IF(ISNUMBER(O1656),IF(COUNT(IF(A1656=$A$2:$A$2427,IF(D1656=$D$2:$D$2427,IF($X$2:$X$2427&gt;0,1))))&gt;0,SUM(IF(A1656=$A$2:$A$2427,IF(D1656=$D$2:$D$2427,$X$2:$X$2427)))/COUNT(IF(A1656=$A$2:$A$2427,IF(D1656=$D$2:$D$2427,IF(ISNUMBER($X$2:$X$2427),1)))),0),""),0)</f>
        <v/>
      </c>
      <c r="Z1656" s="104" t="str">
        <f>IF(ISNUMBER(O1656),IF(I1656&gt;0,(10^(VLOOKUP(D1656,'Species Codes'!B:C,2,0)+VLOOKUP(D1656,'Species Codes'!B:D,3,0)*LOG(E1656)+VLOOKUP(D1656,'Species Codes'!B:E,4,0)*LOG(I1656))),0),"")</f>
        <v/>
      </c>
      <c r="AA1656" s="104" t="str">
        <f>IFERROR((VLOOKUP(D1656,'Species Codes'!B:G,6,0)*Z1656)/2000,"")</f>
        <v/>
      </c>
      <c r="AB1656" s="104" t="e">
        <f>IF(Z1656&gt;0,((IF(OR(D1656="DF",D1656="RA")=TRUE,EXP(VLOOKUP(D1656,'Species Codes'!B:I,8,0)+VLOOKUP(D1656,'Species Codes'!B:J,9,0)*(LN((E1656*2.54)))),IF(OR(D1656="PY",D1656="RC",D1656="WH",D1656="NF")=TRUE,VLOOKUP(D1656,'Species Codes'!B:I,8,0)+VLOOKUP(D1656,'Species Codes'!B:J,9,0)*((E1656*2.54)^2)*(I1656*0.3048),IF(OR(D1656="MD",D1656="BM",D1656="GA")=TRUE,((VLOOKUP(D1656,'Species Codes'!B:I,8,0)*(((((E1656*2.54)+VLOOKUP(D1656,'Species Codes'!B:J,9,0))/VLOOKUP(D1656,'Species Codes'!B:K,10,0))^VLOOKUP(D1656,'Species Codes'!B:L,11,0))*((I1656*0.3048)^VLOOKUP(D1656,'Species Codes'!B:M,12,0))))-(VLOOKUP(D1656,'Species Codes'!B:I,8,0)*((((E1656*2.54)^VLOOKUP(D1656,'Species Codes'!B:L,11,0))*((I1656*0.3048)^VLOOKUP(D1656,'Species Codes'!B:M,12,0))))))*35.3*VLOOKUP(D1656,'Species Codes'!B:G,6,0)/2.2046,VLOOKUP(D1656,'Species Codes'!B:I,8,0)+VLOOKUP(D1656,'Species Codes'!B:J,9,0)*(((E1656*2.54)/100)^2)*(I1656*0.3048)))))*0.0011023),0)</f>
        <v>#N/A</v>
      </c>
      <c r="AC1656" s="104" t="e">
        <f>IF(Z1656&gt;0,((IF(OR(D1656="RA",D1656="OA",D1656="OT",D1656="UN",D1656="PC"),EXP(VLOOKUP(D1656,'Species Codes'!B:O,14,0)+VLOOKUP(D1656,'Species Codes'!B:P,15,0)*LN((E1656*2.54)))-EXP(VLOOKUP(D1656,'Species Codes'!B:O,14,0)+VLOOKUP(D1656,'Species Codes'!B:P,15,0)*LN((E1656*2.54)))*(1/(VLOOKUP(D1656,'Species Codes'!B:Q,16,0)+VLOOKUP(D1656,'Species Codes'!B:R,17,0)*((E1656*2.54)^VLOOKUP(D1656,'Species Codes'!B:S,18,0)))),IF(OR(D1656="BM",D1656="MD",D1656="OA"),EXP(VLOOKUP(D1656,'Species Codes'!B:O,14,0)+VLOOKUP(D1656,'Species Codes'!B:P,15,0)*LN((E1656*2.54)))*(1-(1/(VLOOKUP(D1656,'Species Codes'!B:Q,16,0)+VLOOKUP(D1656,'Species Codes'!B:R,17,0)*((E1656*2.54)^VLOOKUP(D1656,'Species Codes'!B:S,18,0)))))/1000,IF(D1656="DF",EXP(VLOOKUP(D1656,'Species Codes'!B:O,14,0)+VLOOKUP(D1656,'Species Codes'!B:P,15,0)*LN((E1656*2.54))),VLOOKUP(D1656,'Species Codes'!B:O,14,0)+VLOOKUP(D1656,'Species Codes'!B:P,15,0)*(((E1656*2.54)/100)^2)*(I1656*0.3048)))))*0.0011023),0)</f>
        <v>#N/A</v>
      </c>
      <c r="AD1656" s="104" t="e">
        <f t="shared" si="733"/>
        <v>#N/A</v>
      </c>
      <c r="AE1656" s="104" t="e">
        <f t="shared" si="734"/>
        <v>#N/A</v>
      </c>
      <c r="AF1656" s="104" t="e">
        <f>IF(AND(VLOOKUP($D1656,Merchantability!$B:$C,2,0)="Yes",$E1656&gt;=VLOOKUP($D1656,Merchantability!$B:$D,3,0),$E1656&lt;=VLOOKUP($D1656,Merchantability!$B:$E,4,0)),AA1656,0)</f>
        <v>#N/A</v>
      </c>
      <c r="AG1656" s="104" t="e">
        <f>IF(AND(VLOOKUP($D1656,Merchantability!$B:$C,2,0)="Yes",$E1656&gt;=VLOOKUP($D1656,Merchantability!$B:$D,3,0),$E1656&lt;=VLOOKUP($D1656,Merchantability!$B:$E,4,0)),AB1656,0)</f>
        <v>#N/A</v>
      </c>
      <c r="AH1656" s="104" t="e">
        <f>IF(AND(VLOOKUP($D1656,Merchantability!$B:$C,2,0)="Yes",$E1656&gt;=VLOOKUP($D1656,Merchantability!$B:$D,3,0),$E1656&lt;=VLOOKUP($D1656,Merchantability!$B:$E,4,0)),AC1656,0)</f>
        <v>#N/A</v>
      </c>
      <c r="AI1656" s="104" t="e">
        <f t="shared" si="735"/>
        <v>#N/A</v>
      </c>
      <c r="AJ1656" s="104" t="e">
        <f t="shared" si="736"/>
        <v>#VALUE!</v>
      </c>
      <c r="AK1656" s="104" t="e">
        <f t="shared" si="737"/>
        <v>#N/A</v>
      </c>
      <c r="AL1656" s="104" t="e">
        <f t="shared" si="738"/>
        <v>#N/A</v>
      </c>
      <c r="AM1656" s="104" t="e">
        <f t="shared" si="739"/>
        <v>#N/A</v>
      </c>
      <c r="AN1656" s="104" t="e">
        <f t="shared" si="723"/>
        <v>#N/A</v>
      </c>
      <c r="AO1656" s="104" t="e">
        <f t="shared" si="724"/>
        <v>#N/A</v>
      </c>
      <c r="AP1656" s="104" t="e">
        <f t="shared" si="725"/>
        <v>#N/A</v>
      </c>
      <c r="AQ1656" s="104" t="e">
        <f t="shared" si="726"/>
        <v>#N/A</v>
      </c>
      <c r="AR1656" s="105" t="str">
        <f t="shared" si="718"/>
        <v/>
      </c>
      <c r="AS1656" s="105" t="str">
        <f t="shared" si="719"/>
        <v/>
      </c>
      <c r="AT1656" s="108" t="str">
        <f t="shared" si="720"/>
        <v/>
      </c>
      <c r="AU1656" s="108" t="str">
        <f t="shared" si="721"/>
        <v/>
      </c>
      <c r="AV1656" s="107" t="str">
        <f>IF(ISNUMBER(O1656),IF(VLOOKUP($A1656,Stand!C:J,8,FALSE)="Short",AT1656,AU1656),"")</f>
        <v/>
      </c>
      <c r="AW1656" s="109" t="str">
        <f t="shared" si="727"/>
        <v/>
      </c>
      <c r="AX1656" s="109" t="str">
        <f t="shared" si="728"/>
        <v/>
      </c>
      <c r="AY1656" s="112" t="str">
        <f>IF(ISNUMBER(O1656),IF(AND(VLOOKUP($D1656,Merchantability!$B:$C,2,0)="Yes",$E1656&gt;=VLOOKUP($D1656,Merchantability!$B:$D,3,0),$E1656&lt;=VLOOKUP($D1656,Merchantability!$B:$E,4,0)),(AV1656*O1656)*(1-$H1656/100),""),"")</f>
        <v/>
      </c>
      <c r="AZ1656" s="116"/>
      <c r="BA1656" s="116"/>
      <c r="BB1656" s="116"/>
      <c r="BE1656" s="62"/>
      <c r="BF1656" s="63"/>
    </row>
    <row r="1657" spans="1:58" ht="12.75" customHeight="1" x14ac:dyDescent="0.25">
      <c r="A1657" s="334"/>
      <c r="B1657" s="334"/>
      <c r="C1657" s="332"/>
      <c r="D1657" s="334"/>
      <c r="E1657" s="335"/>
      <c r="F1657" s="334"/>
      <c r="G1657" s="332"/>
      <c r="H1657" s="332"/>
      <c r="I1657" s="334"/>
      <c r="J1657" s="336"/>
      <c r="K1657" s="332"/>
      <c r="L1657" s="332"/>
      <c r="M1657" s="76"/>
      <c r="N1657" s="103" t="str">
        <f>IF(A1657="","",VLOOKUP(A1657,Stand!C:K,9,0))</f>
        <v/>
      </c>
      <c r="O1657" s="104" t="str">
        <f t="shared" si="713"/>
        <v/>
      </c>
      <c r="P1657" s="105" t="str">
        <f t="shared" si="714"/>
        <v/>
      </c>
      <c r="Q1657" s="105" t="str">
        <f t="shared" si="729"/>
        <v/>
      </c>
      <c r="R1657" s="103" t="str">
        <f t="shared" si="715"/>
        <v/>
      </c>
      <c r="S1657" s="103" t="str">
        <f t="shared" si="716"/>
        <v/>
      </c>
      <c r="T1657" s="106" t="str">
        <f t="shared" si="730"/>
        <v/>
      </c>
      <c r="U1657" s="106" t="str">
        <f t="shared" si="731"/>
        <v/>
      </c>
      <c r="V1657" s="106" t="str">
        <f t="shared" si="732"/>
        <v/>
      </c>
      <c r="W1657" s="105" t="str">
        <f t="shared" si="717"/>
        <v/>
      </c>
      <c r="X1657" s="104" t="str">
        <f t="shared" si="722"/>
        <v/>
      </c>
      <c r="Y1657" s="104" t="str">
        <f t="array" ref="Y1657">IFERROR(IF(ISNUMBER(O1657),IF(COUNT(IF(A1657=$A$2:$A$2427,IF(D1657=$D$2:$D$2427,IF($X$2:$X$2427&gt;0,1))))&gt;0,SUM(IF(A1657=$A$2:$A$2427,IF(D1657=$D$2:$D$2427,$X$2:$X$2427)))/COUNT(IF(A1657=$A$2:$A$2427,IF(D1657=$D$2:$D$2427,IF(ISNUMBER($X$2:$X$2427),1)))),0),""),0)</f>
        <v/>
      </c>
      <c r="Z1657" s="104" t="str">
        <f>IF(ISNUMBER(O1657),IF(I1657&gt;0,(10^(VLOOKUP(D1657,'Species Codes'!B:C,2,0)+VLOOKUP(D1657,'Species Codes'!B:D,3,0)*LOG(E1657)+VLOOKUP(D1657,'Species Codes'!B:E,4,0)*LOG(I1657))),0),"")</f>
        <v/>
      </c>
      <c r="AA1657" s="104" t="str">
        <f>IFERROR((VLOOKUP(D1657,'Species Codes'!B:G,6,0)*Z1657)/2000,"")</f>
        <v/>
      </c>
      <c r="AB1657" s="104" t="e">
        <f>IF(Z1657&gt;0,((IF(OR(D1657="DF",D1657="RA")=TRUE,EXP(VLOOKUP(D1657,'Species Codes'!B:I,8,0)+VLOOKUP(D1657,'Species Codes'!B:J,9,0)*(LN((E1657*2.54)))),IF(OR(D1657="PY",D1657="RC",D1657="WH",D1657="NF")=TRUE,VLOOKUP(D1657,'Species Codes'!B:I,8,0)+VLOOKUP(D1657,'Species Codes'!B:J,9,0)*((E1657*2.54)^2)*(I1657*0.3048),IF(OR(D1657="MD",D1657="BM",D1657="GA")=TRUE,((VLOOKUP(D1657,'Species Codes'!B:I,8,0)*(((((E1657*2.54)+VLOOKUP(D1657,'Species Codes'!B:J,9,0))/VLOOKUP(D1657,'Species Codes'!B:K,10,0))^VLOOKUP(D1657,'Species Codes'!B:L,11,0))*((I1657*0.3048)^VLOOKUP(D1657,'Species Codes'!B:M,12,0))))-(VLOOKUP(D1657,'Species Codes'!B:I,8,0)*((((E1657*2.54)^VLOOKUP(D1657,'Species Codes'!B:L,11,0))*((I1657*0.3048)^VLOOKUP(D1657,'Species Codes'!B:M,12,0))))))*35.3*VLOOKUP(D1657,'Species Codes'!B:G,6,0)/2.2046,VLOOKUP(D1657,'Species Codes'!B:I,8,0)+VLOOKUP(D1657,'Species Codes'!B:J,9,0)*(((E1657*2.54)/100)^2)*(I1657*0.3048)))))*0.0011023),0)</f>
        <v>#N/A</v>
      </c>
      <c r="AC1657" s="104" t="e">
        <f>IF(Z1657&gt;0,((IF(OR(D1657="RA",D1657="OA",D1657="OT",D1657="UN",D1657="PC"),EXP(VLOOKUP(D1657,'Species Codes'!B:O,14,0)+VLOOKUP(D1657,'Species Codes'!B:P,15,0)*LN((E1657*2.54)))-EXP(VLOOKUP(D1657,'Species Codes'!B:O,14,0)+VLOOKUP(D1657,'Species Codes'!B:P,15,0)*LN((E1657*2.54)))*(1/(VLOOKUP(D1657,'Species Codes'!B:Q,16,0)+VLOOKUP(D1657,'Species Codes'!B:R,17,0)*((E1657*2.54)^VLOOKUP(D1657,'Species Codes'!B:S,18,0)))),IF(OR(D1657="BM",D1657="MD",D1657="OA"),EXP(VLOOKUP(D1657,'Species Codes'!B:O,14,0)+VLOOKUP(D1657,'Species Codes'!B:P,15,0)*LN((E1657*2.54)))*(1-(1/(VLOOKUP(D1657,'Species Codes'!B:Q,16,0)+VLOOKUP(D1657,'Species Codes'!B:R,17,0)*((E1657*2.54)^VLOOKUP(D1657,'Species Codes'!B:S,18,0)))))/1000,IF(D1657="DF",EXP(VLOOKUP(D1657,'Species Codes'!B:O,14,0)+VLOOKUP(D1657,'Species Codes'!B:P,15,0)*LN((E1657*2.54))),VLOOKUP(D1657,'Species Codes'!B:O,14,0)+VLOOKUP(D1657,'Species Codes'!B:P,15,0)*(((E1657*2.54)/100)^2)*(I1657*0.3048)))))*0.0011023),0)</f>
        <v>#N/A</v>
      </c>
      <c r="AD1657" s="104" t="e">
        <f t="shared" si="733"/>
        <v>#N/A</v>
      </c>
      <c r="AE1657" s="104" t="e">
        <f t="shared" si="734"/>
        <v>#N/A</v>
      </c>
      <c r="AF1657" s="104" t="e">
        <f>IF(AND(VLOOKUP($D1657,Merchantability!$B:$C,2,0)="Yes",$E1657&gt;=VLOOKUP($D1657,Merchantability!$B:$D,3,0),$E1657&lt;=VLOOKUP($D1657,Merchantability!$B:$E,4,0)),AA1657,0)</f>
        <v>#N/A</v>
      </c>
      <c r="AG1657" s="104" t="e">
        <f>IF(AND(VLOOKUP($D1657,Merchantability!$B:$C,2,0)="Yes",$E1657&gt;=VLOOKUP($D1657,Merchantability!$B:$D,3,0),$E1657&lt;=VLOOKUP($D1657,Merchantability!$B:$E,4,0)),AB1657,0)</f>
        <v>#N/A</v>
      </c>
      <c r="AH1657" s="104" t="e">
        <f>IF(AND(VLOOKUP($D1657,Merchantability!$B:$C,2,0)="Yes",$E1657&gt;=VLOOKUP($D1657,Merchantability!$B:$D,3,0),$E1657&lt;=VLOOKUP($D1657,Merchantability!$B:$E,4,0)),AC1657,0)</f>
        <v>#N/A</v>
      </c>
      <c r="AI1657" s="104" t="e">
        <f t="shared" si="735"/>
        <v>#N/A</v>
      </c>
      <c r="AJ1657" s="104" t="e">
        <f t="shared" si="736"/>
        <v>#VALUE!</v>
      </c>
      <c r="AK1657" s="104" t="e">
        <f t="shared" si="737"/>
        <v>#N/A</v>
      </c>
      <c r="AL1657" s="104" t="e">
        <f t="shared" si="738"/>
        <v>#N/A</v>
      </c>
      <c r="AM1657" s="104" t="e">
        <f t="shared" si="739"/>
        <v>#N/A</v>
      </c>
      <c r="AN1657" s="104" t="e">
        <f t="shared" si="723"/>
        <v>#N/A</v>
      </c>
      <c r="AO1657" s="104" t="e">
        <f t="shared" si="724"/>
        <v>#N/A</v>
      </c>
      <c r="AP1657" s="104" t="e">
        <f t="shared" si="725"/>
        <v>#N/A</v>
      </c>
      <c r="AQ1657" s="104" t="e">
        <f t="shared" si="726"/>
        <v>#N/A</v>
      </c>
      <c r="AR1657" s="105" t="str">
        <f t="shared" si="718"/>
        <v/>
      </c>
      <c r="AS1657" s="105" t="str">
        <f t="shared" si="719"/>
        <v/>
      </c>
      <c r="AT1657" s="108" t="str">
        <f t="shared" si="720"/>
        <v/>
      </c>
      <c r="AU1657" s="108" t="str">
        <f t="shared" si="721"/>
        <v/>
      </c>
      <c r="AV1657" s="107" t="str">
        <f>IF(ISNUMBER(O1657),IF(VLOOKUP($A1657,Stand!C:J,8,FALSE)="Short",AT1657,AU1657),"")</f>
        <v/>
      </c>
      <c r="AW1657" s="109" t="str">
        <f t="shared" si="727"/>
        <v/>
      </c>
      <c r="AX1657" s="109" t="str">
        <f t="shared" si="728"/>
        <v/>
      </c>
      <c r="AY1657" s="112" t="str">
        <f>IF(ISNUMBER(O1657),IF(AND(VLOOKUP($D1657,Merchantability!$B:$C,2,0)="Yes",$E1657&gt;=VLOOKUP($D1657,Merchantability!$B:$D,3,0),$E1657&lt;=VLOOKUP($D1657,Merchantability!$B:$E,4,0)),(AV1657*O1657)*(1-$H1657/100),""),"")</f>
        <v/>
      </c>
      <c r="AZ1657" s="116"/>
      <c r="BA1657" s="116"/>
      <c r="BB1657" s="116"/>
      <c r="BE1657" s="62"/>
      <c r="BF1657" s="63"/>
    </row>
    <row r="1658" spans="1:58" ht="12.75" customHeight="1" x14ac:dyDescent="0.25">
      <c r="A1658" s="334"/>
      <c r="B1658" s="334"/>
      <c r="C1658" s="332"/>
      <c r="D1658" s="334"/>
      <c r="E1658" s="335"/>
      <c r="F1658" s="334"/>
      <c r="G1658" s="332"/>
      <c r="H1658" s="332"/>
      <c r="I1658" s="334"/>
      <c r="J1658" s="336"/>
      <c r="K1658" s="332"/>
      <c r="L1658" s="332"/>
      <c r="M1658" s="76"/>
      <c r="N1658" s="103" t="str">
        <f>IF(A1658="","",VLOOKUP(A1658,Stand!C:K,9,0))</f>
        <v/>
      </c>
      <c r="O1658" s="104" t="str">
        <f t="shared" si="713"/>
        <v/>
      </c>
      <c r="P1658" s="105" t="str">
        <f t="shared" si="714"/>
        <v/>
      </c>
      <c r="Q1658" s="105" t="str">
        <f t="shared" si="729"/>
        <v/>
      </c>
      <c r="R1658" s="103" t="str">
        <f t="shared" si="715"/>
        <v/>
      </c>
      <c r="S1658" s="103" t="str">
        <f t="shared" si="716"/>
        <v/>
      </c>
      <c r="T1658" s="106" t="str">
        <f t="shared" si="730"/>
        <v/>
      </c>
      <c r="U1658" s="106" t="str">
        <f t="shared" si="731"/>
        <v/>
      </c>
      <c r="V1658" s="106" t="str">
        <f t="shared" si="732"/>
        <v/>
      </c>
      <c r="W1658" s="105" t="str">
        <f t="shared" si="717"/>
        <v/>
      </c>
      <c r="X1658" s="104" t="str">
        <f t="shared" si="722"/>
        <v/>
      </c>
      <c r="Y1658" s="104" t="str">
        <f t="array" ref="Y1658">IFERROR(IF(ISNUMBER(O1658),IF(COUNT(IF(A1658=$A$2:$A$2427,IF(D1658=$D$2:$D$2427,IF($X$2:$X$2427&gt;0,1))))&gt;0,SUM(IF(A1658=$A$2:$A$2427,IF(D1658=$D$2:$D$2427,$X$2:$X$2427)))/COUNT(IF(A1658=$A$2:$A$2427,IF(D1658=$D$2:$D$2427,IF(ISNUMBER($X$2:$X$2427),1)))),0),""),0)</f>
        <v/>
      </c>
      <c r="Z1658" s="104" t="str">
        <f>IF(ISNUMBER(O1658),IF(I1658&gt;0,(10^(VLOOKUP(D1658,'Species Codes'!B:C,2,0)+VLOOKUP(D1658,'Species Codes'!B:D,3,0)*LOG(E1658)+VLOOKUP(D1658,'Species Codes'!B:E,4,0)*LOG(I1658))),0),"")</f>
        <v/>
      </c>
      <c r="AA1658" s="104" t="str">
        <f>IFERROR((VLOOKUP(D1658,'Species Codes'!B:G,6,0)*Z1658)/2000,"")</f>
        <v/>
      </c>
      <c r="AB1658" s="104" t="e">
        <f>IF(Z1658&gt;0,((IF(OR(D1658="DF",D1658="RA")=TRUE,EXP(VLOOKUP(D1658,'Species Codes'!B:I,8,0)+VLOOKUP(D1658,'Species Codes'!B:J,9,0)*(LN((E1658*2.54)))),IF(OR(D1658="PY",D1658="RC",D1658="WH",D1658="NF")=TRUE,VLOOKUP(D1658,'Species Codes'!B:I,8,0)+VLOOKUP(D1658,'Species Codes'!B:J,9,0)*((E1658*2.54)^2)*(I1658*0.3048),IF(OR(D1658="MD",D1658="BM",D1658="GA")=TRUE,((VLOOKUP(D1658,'Species Codes'!B:I,8,0)*(((((E1658*2.54)+VLOOKUP(D1658,'Species Codes'!B:J,9,0))/VLOOKUP(D1658,'Species Codes'!B:K,10,0))^VLOOKUP(D1658,'Species Codes'!B:L,11,0))*((I1658*0.3048)^VLOOKUP(D1658,'Species Codes'!B:M,12,0))))-(VLOOKUP(D1658,'Species Codes'!B:I,8,0)*((((E1658*2.54)^VLOOKUP(D1658,'Species Codes'!B:L,11,0))*((I1658*0.3048)^VLOOKUP(D1658,'Species Codes'!B:M,12,0))))))*35.3*VLOOKUP(D1658,'Species Codes'!B:G,6,0)/2.2046,VLOOKUP(D1658,'Species Codes'!B:I,8,0)+VLOOKUP(D1658,'Species Codes'!B:J,9,0)*(((E1658*2.54)/100)^2)*(I1658*0.3048)))))*0.0011023),0)</f>
        <v>#N/A</v>
      </c>
      <c r="AC1658" s="104" t="e">
        <f>IF(Z1658&gt;0,((IF(OR(D1658="RA",D1658="OA",D1658="OT",D1658="UN",D1658="PC"),EXP(VLOOKUP(D1658,'Species Codes'!B:O,14,0)+VLOOKUP(D1658,'Species Codes'!B:P,15,0)*LN((E1658*2.54)))-EXP(VLOOKUP(D1658,'Species Codes'!B:O,14,0)+VLOOKUP(D1658,'Species Codes'!B:P,15,0)*LN((E1658*2.54)))*(1/(VLOOKUP(D1658,'Species Codes'!B:Q,16,0)+VLOOKUP(D1658,'Species Codes'!B:R,17,0)*((E1658*2.54)^VLOOKUP(D1658,'Species Codes'!B:S,18,0)))),IF(OR(D1658="BM",D1658="MD",D1658="OA"),EXP(VLOOKUP(D1658,'Species Codes'!B:O,14,0)+VLOOKUP(D1658,'Species Codes'!B:P,15,0)*LN((E1658*2.54)))*(1-(1/(VLOOKUP(D1658,'Species Codes'!B:Q,16,0)+VLOOKUP(D1658,'Species Codes'!B:R,17,0)*((E1658*2.54)^VLOOKUP(D1658,'Species Codes'!B:S,18,0)))))/1000,IF(D1658="DF",EXP(VLOOKUP(D1658,'Species Codes'!B:O,14,0)+VLOOKUP(D1658,'Species Codes'!B:P,15,0)*LN((E1658*2.54))),VLOOKUP(D1658,'Species Codes'!B:O,14,0)+VLOOKUP(D1658,'Species Codes'!B:P,15,0)*(((E1658*2.54)/100)^2)*(I1658*0.3048)))))*0.0011023),0)</f>
        <v>#N/A</v>
      </c>
      <c r="AD1658" s="104" t="e">
        <f t="shared" si="733"/>
        <v>#N/A</v>
      </c>
      <c r="AE1658" s="104" t="e">
        <f t="shared" si="734"/>
        <v>#N/A</v>
      </c>
      <c r="AF1658" s="104" t="e">
        <f>IF(AND(VLOOKUP($D1658,Merchantability!$B:$C,2,0)="Yes",$E1658&gt;=VLOOKUP($D1658,Merchantability!$B:$D,3,0),$E1658&lt;=VLOOKUP($D1658,Merchantability!$B:$E,4,0)),AA1658,0)</f>
        <v>#N/A</v>
      </c>
      <c r="AG1658" s="104" t="e">
        <f>IF(AND(VLOOKUP($D1658,Merchantability!$B:$C,2,0)="Yes",$E1658&gt;=VLOOKUP($D1658,Merchantability!$B:$D,3,0),$E1658&lt;=VLOOKUP($D1658,Merchantability!$B:$E,4,0)),AB1658,0)</f>
        <v>#N/A</v>
      </c>
      <c r="AH1658" s="104" t="e">
        <f>IF(AND(VLOOKUP($D1658,Merchantability!$B:$C,2,0)="Yes",$E1658&gt;=VLOOKUP($D1658,Merchantability!$B:$D,3,0),$E1658&lt;=VLOOKUP($D1658,Merchantability!$B:$E,4,0)),AC1658,0)</f>
        <v>#N/A</v>
      </c>
      <c r="AI1658" s="104" t="e">
        <f t="shared" si="735"/>
        <v>#N/A</v>
      </c>
      <c r="AJ1658" s="104" t="e">
        <f t="shared" si="736"/>
        <v>#VALUE!</v>
      </c>
      <c r="AK1658" s="104" t="e">
        <f t="shared" si="737"/>
        <v>#N/A</v>
      </c>
      <c r="AL1658" s="104" t="e">
        <f t="shared" si="738"/>
        <v>#N/A</v>
      </c>
      <c r="AM1658" s="104" t="e">
        <f t="shared" si="739"/>
        <v>#N/A</v>
      </c>
      <c r="AN1658" s="104" t="e">
        <f t="shared" si="723"/>
        <v>#N/A</v>
      </c>
      <c r="AO1658" s="104" t="e">
        <f t="shared" si="724"/>
        <v>#N/A</v>
      </c>
      <c r="AP1658" s="104" t="e">
        <f t="shared" si="725"/>
        <v>#N/A</v>
      </c>
      <c r="AQ1658" s="104" t="e">
        <f t="shared" si="726"/>
        <v>#N/A</v>
      </c>
      <c r="AR1658" s="105" t="str">
        <f t="shared" si="718"/>
        <v/>
      </c>
      <c r="AS1658" s="105" t="str">
        <f t="shared" si="719"/>
        <v/>
      </c>
      <c r="AT1658" s="108" t="str">
        <f t="shared" si="720"/>
        <v/>
      </c>
      <c r="AU1658" s="108" t="str">
        <f t="shared" si="721"/>
        <v/>
      </c>
      <c r="AV1658" s="107" t="str">
        <f>IF(ISNUMBER(O1658),IF(VLOOKUP($A1658,Stand!C:J,8,FALSE)="Short",AT1658,AU1658),"")</f>
        <v/>
      </c>
      <c r="AW1658" s="109" t="str">
        <f t="shared" si="727"/>
        <v/>
      </c>
      <c r="AX1658" s="109" t="str">
        <f t="shared" si="728"/>
        <v/>
      </c>
      <c r="AY1658" s="112" t="str">
        <f>IF(ISNUMBER(O1658),IF(AND(VLOOKUP($D1658,Merchantability!$B:$C,2,0)="Yes",$E1658&gt;=VLOOKUP($D1658,Merchantability!$B:$D,3,0),$E1658&lt;=VLOOKUP($D1658,Merchantability!$B:$E,4,0)),(AV1658*O1658)*(1-$H1658/100),""),"")</f>
        <v/>
      </c>
      <c r="AZ1658" s="116"/>
      <c r="BA1658" s="116"/>
      <c r="BB1658" s="116"/>
      <c r="BE1658" s="62"/>
      <c r="BF1658" s="63"/>
    </row>
    <row r="1659" spans="1:58" ht="12.75" customHeight="1" x14ac:dyDescent="0.25">
      <c r="A1659" s="334"/>
      <c r="B1659" s="334"/>
      <c r="C1659" s="332"/>
      <c r="D1659" s="334"/>
      <c r="E1659" s="335"/>
      <c r="F1659" s="334"/>
      <c r="G1659" s="332"/>
      <c r="H1659" s="332"/>
      <c r="I1659" s="334"/>
      <c r="J1659" s="336"/>
      <c r="K1659" s="332"/>
      <c r="L1659" s="332"/>
      <c r="M1659" s="76"/>
      <c r="N1659" s="103" t="str">
        <f>IF(A1659="","",VLOOKUP(A1659,Stand!C:K,9,0))</f>
        <v/>
      </c>
      <c r="O1659" s="104" t="str">
        <f t="shared" si="713"/>
        <v/>
      </c>
      <c r="P1659" s="105" t="str">
        <f t="shared" si="714"/>
        <v/>
      </c>
      <c r="Q1659" s="105" t="str">
        <f t="shared" si="729"/>
        <v/>
      </c>
      <c r="R1659" s="103" t="str">
        <f t="shared" si="715"/>
        <v/>
      </c>
      <c r="S1659" s="103" t="str">
        <f t="shared" si="716"/>
        <v/>
      </c>
      <c r="T1659" s="106" t="str">
        <f t="shared" si="730"/>
        <v/>
      </c>
      <c r="U1659" s="106" t="str">
        <f t="shared" si="731"/>
        <v/>
      </c>
      <c r="V1659" s="106" t="str">
        <f t="shared" si="732"/>
        <v/>
      </c>
      <c r="W1659" s="105" t="str">
        <f t="shared" si="717"/>
        <v/>
      </c>
      <c r="X1659" s="104" t="str">
        <f t="shared" si="722"/>
        <v/>
      </c>
      <c r="Y1659" s="104" t="str">
        <f t="array" ref="Y1659">IFERROR(IF(ISNUMBER(O1659),IF(COUNT(IF(A1659=$A$2:$A$2427,IF(D1659=$D$2:$D$2427,IF($X$2:$X$2427&gt;0,1))))&gt;0,SUM(IF(A1659=$A$2:$A$2427,IF(D1659=$D$2:$D$2427,$X$2:$X$2427)))/COUNT(IF(A1659=$A$2:$A$2427,IF(D1659=$D$2:$D$2427,IF(ISNUMBER($X$2:$X$2427),1)))),0),""),0)</f>
        <v/>
      </c>
      <c r="Z1659" s="104" t="str">
        <f>IF(ISNUMBER(O1659),IF(I1659&gt;0,(10^(VLOOKUP(D1659,'Species Codes'!B:C,2,0)+VLOOKUP(D1659,'Species Codes'!B:D,3,0)*LOG(E1659)+VLOOKUP(D1659,'Species Codes'!B:E,4,0)*LOG(I1659))),0),"")</f>
        <v/>
      </c>
      <c r="AA1659" s="104" t="str">
        <f>IFERROR((VLOOKUP(D1659,'Species Codes'!B:G,6,0)*Z1659)/2000,"")</f>
        <v/>
      </c>
      <c r="AB1659" s="104" t="e">
        <f>IF(Z1659&gt;0,((IF(OR(D1659="DF",D1659="RA")=TRUE,EXP(VLOOKUP(D1659,'Species Codes'!B:I,8,0)+VLOOKUP(D1659,'Species Codes'!B:J,9,0)*(LN((E1659*2.54)))),IF(OR(D1659="PY",D1659="RC",D1659="WH",D1659="NF")=TRUE,VLOOKUP(D1659,'Species Codes'!B:I,8,0)+VLOOKUP(D1659,'Species Codes'!B:J,9,0)*((E1659*2.54)^2)*(I1659*0.3048),IF(OR(D1659="MD",D1659="BM",D1659="GA")=TRUE,((VLOOKUP(D1659,'Species Codes'!B:I,8,0)*(((((E1659*2.54)+VLOOKUP(D1659,'Species Codes'!B:J,9,0))/VLOOKUP(D1659,'Species Codes'!B:K,10,0))^VLOOKUP(D1659,'Species Codes'!B:L,11,0))*((I1659*0.3048)^VLOOKUP(D1659,'Species Codes'!B:M,12,0))))-(VLOOKUP(D1659,'Species Codes'!B:I,8,0)*((((E1659*2.54)^VLOOKUP(D1659,'Species Codes'!B:L,11,0))*((I1659*0.3048)^VLOOKUP(D1659,'Species Codes'!B:M,12,0))))))*35.3*VLOOKUP(D1659,'Species Codes'!B:G,6,0)/2.2046,VLOOKUP(D1659,'Species Codes'!B:I,8,0)+VLOOKUP(D1659,'Species Codes'!B:J,9,0)*(((E1659*2.54)/100)^2)*(I1659*0.3048)))))*0.0011023),0)</f>
        <v>#N/A</v>
      </c>
      <c r="AC1659" s="104" t="e">
        <f>IF(Z1659&gt;0,((IF(OR(D1659="RA",D1659="OA",D1659="OT",D1659="UN",D1659="PC"),EXP(VLOOKUP(D1659,'Species Codes'!B:O,14,0)+VLOOKUP(D1659,'Species Codes'!B:P,15,0)*LN((E1659*2.54)))-EXP(VLOOKUP(D1659,'Species Codes'!B:O,14,0)+VLOOKUP(D1659,'Species Codes'!B:P,15,0)*LN((E1659*2.54)))*(1/(VLOOKUP(D1659,'Species Codes'!B:Q,16,0)+VLOOKUP(D1659,'Species Codes'!B:R,17,0)*((E1659*2.54)^VLOOKUP(D1659,'Species Codes'!B:S,18,0)))),IF(OR(D1659="BM",D1659="MD",D1659="OA"),EXP(VLOOKUP(D1659,'Species Codes'!B:O,14,0)+VLOOKUP(D1659,'Species Codes'!B:P,15,0)*LN((E1659*2.54)))*(1-(1/(VLOOKUP(D1659,'Species Codes'!B:Q,16,0)+VLOOKUP(D1659,'Species Codes'!B:R,17,0)*((E1659*2.54)^VLOOKUP(D1659,'Species Codes'!B:S,18,0)))))/1000,IF(D1659="DF",EXP(VLOOKUP(D1659,'Species Codes'!B:O,14,0)+VLOOKUP(D1659,'Species Codes'!B:P,15,0)*LN((E1659*2.54))),VLOOKUP(D1659,'Species Codes'!B:O,14,0)+VLOOKUP(D1659,'Species Codes'!B:P,15,0)*(((E1659*2.54)/100)^2)*(I1659*0.3048)))))*0.0011023),0)</f>
        <v>#N/A</v>
      </c>
      <c r="AD1659" s="104" t="e">
        <f t="shared" si="733"/>
        <v>#N/A</v>
      </c>
      <c r="AE1659" s="104" t="e">
        <f t="shared" si="734"/>
        <v>#N/A</v>
      </c>
      <c r="AF1659" s="104" t="e">
        <f>IF(AND(VLOOKUP($D1659,Merchantability!$B:$C,2,0)="Yes",$E1659&gt;=VLOOKUP($D1659,Merchantability!$B:$D,3,0),$E1659&lt;=VLOOKUP($D1659,Merchantability!$B:$E,4,0)),AA1659,0)</f>
        <v>#N/A</v>
      </c>
      <c r="AG1659" s="104" t="e">
        <f>IF(AND(VLOOKUP($D1659,Merchantability!$B:$C,2,0)="Yes",$E1659&gt;=VLOOKUP($D1659,Merchantability!$B:$D,3,0),$E1659&lt;=VLOOKUP($D1659,Merchantability!$B:$E,4,0)),AB1659,0)</f>
        <v>#N/A</v>
      </c>
      <c r="AH1659" s="104" t="e">
        <f>IF(AND(VLOOKUP($D1659,Merchantability!$B:$C,2,0)="Yes",$E1659&gt;=VLOOKUP($D1659,Merchantability!$B:$D,3,0),$E1659&lt;=VLOOKUP($D1659,Merchantability!$B:$E,4,0)),AC1659,0)</f>
        <v>#N/A</v>
      </c>
      <c r="AI1659" s="104" t="e">
        <f t="shared" si="735"/>
        <v>#N/A</v>
      </c>
      <c r="AJ1659" s="104" t="e">
        <f t="shared" si="736"/>
        <v>#VALUE!</v>
      </c>
      <c r="AK1659" s="104" t="e">
        <f t="shared" si="737"/>
        <v>#N/A</v>
      </c>
      <c r="AL1659" s="104" t="e">
        <f t="shared" si="738"/>
        <v>#N/A</v>
      </c>
      <c r="AM1659" s="104" t="e">
        <f t="shared" si="739"/>
        <v>#N/A</v>
      </c>
      <c r="AN1659" s="104" t="e">
        <f t="shared" si="723"/>
        <v>#N/A</v>
      </c>
      <c r="AO1659" s="104" t="e">
        <f t="shared" si="724"/>
        <v>#N/A</v>
      </c>
      <c r="AP1659" s="104" t="e">
        <f t="shared" si="725"/>
        <v>#N/A</v>
      </c>
      <c r="AQ1659" s="104" t="e">
        <f t="shared" si="726"/>
        <v>#N/A</v>
      </c>
      <c r="AR1659" s="105" t="str">
        <f t="shared" si="718"/>
        <v/>
      </c>
      <c r="AS1659" s="105" t="str">
        <f t="shared" si="719"/>
        <v/>
      </c>
      <c r="AT1659" s="108" t="str">
        <f t="shared" si="720"/>
        <v/>
      </c>
      <c r="AU1659" s="108" t="str">
        <f t="shared" si="721"/>
        <v/>
      </c>
      <c r="AV1659" s="107" t="str">
        <f>IF(ISNUMBER(O1659),IF(VLOOKUP($A1659,Stand!C:J,8,FALSE)="Short",AT1659,AU1659),"")</f>
        <v/>
      </c>
      <c r="AW1659" s="109" t="str">
        <f t="shared" si="727"/>
        <v/>
      </c>
      <c r="AX1659" s="109" t="str">
        <f t="shared" si="728"/>
        <v/>
      </c>
      <c r="AY1659" s="112" t="str">
        <f>IF(ISNUMBER(O1659),IF(AND(VLOOKUP($D1659,Merchantability!$B:$C,2,0)="Yes",$E1659&gt;=VLOOKUP($D1659,Merchantability!$B:$D,3,0),$E1659&lt;=VLOOKUP($D1659,Merchantability!$B:$E,4,0)),(AV1659*O1659)*(1-$H1659/100),""),"")</f>
        <v/>
      </c>
      <c r="AZ1659" s="116"/>
      <c r="BA1659" s="116"/>
      <c r="BB1659" s="116"/>
      <c r="BE1659" s="62"/>
      <c r="BF1659" s="63"/>
    </row>
    <row r="1660" spans="1:58" ht="12.75" customHeight="1" x14ac:dyDescent="0.25">
      <c r="A1660" s="334"/>
      <c r="B1660" s="334"/>
      <c r="C1660" s="332"/>
      <c r="D1660" s="334"/>
      <c r="E1660" s="335"/>
      <c r="F1660" s="334"/>
      <c r="G1660" s="332"/>
      <c r="H1660" s="332"/>
      <c r="I1660" s="334"/>
      <c r="J1660" s="336"/>
      <c r="K1660" s="332"/>
      <c r="L1660" s="332"/>
      <c r="M1660" s="76"/>
      <c r="N1660" s="103" t="str">
        <f>IF(A1660="","",VLOOKUP(A1660,Stand!C:K,9,0))</f>
        <v/>
      </c>
      <c r="O1660" s="104" t="str">
        <f t="shared" si="713"/>
        <v/>
      </c>
      <c r="P1660" s="105" t="str">
        <f t="shared" si="714"/>
        <v/>
      </c>
      <c r="Q1660" s="105" t="str">
        <f t="shared" si="729"/>
        <v/>
      </c>
      <c r="R1660" s="103" t="str">
        <f t="shared" si="715"/>
        <v/>
      </c>
      <c r="S1660" s="103" t="str">
        <f t="shared" si="716"/>
        <v/>
      </c>
      <c r="T1660" s="106" t="str">
        <f t="shared" si="730"/>
        <v/>
      </c>
      <c r="U1660" s="106" t="str">
        <f t="shared" si="731"/>
        <v/>
      </c>
      <c r="V1660" s="106" t="str">
        <f t="shared" si="732"/>
        <v/>
      </c>
      <c r="W1660" s="105" t="str">
        <f t="shared" si="717"/>
        <v/>
      </c>
      <c r="X1660" s="104" t="str">
        <f t="shared" si="722"/>
        <v/>
      </c>
      <c r="Y1660" s="104" t="str">
        <f t="array" ref="Y1660">IFERROR(IF(ISNUMBER(O1660),IF(COUNT(IF(A1660=$A$2:$A$2427,IF(D1660=$D$2:$D$2427,IF($X$2:$X$2427&gt;0,1))))&gt;0,SUM(IF(A1660=$A$2:$A$2427,IF(D1660=$D$2:$D$2427,$X$2:$X$2427)))/COUNT(IF(A1660=$A$2:$A$2427,IF(D1660=$D$2:$D$2427,IF(ISNUMBER($X$2:$X$2427),1)))),0),""),0)</f>
        <v/>
      </c>
      <c r="Z1660" s="104" t="str">
        <f>IF(ISNUMBER(O1660),IF(I1660&gt;0,(10^(VLOOKUP(D1660,'Species Codes'!B:C,2,0)+VLOOKUP(D1660,'Species Codes'!B:D,3,0)*LOG(E1660)+VLOOKUP(D1660,'Species Codes'!B:E,4,0)*LOG(I1660))),0),"")</f>
        <v/>
      </c>
      <c r="AA1660" s="104" t="str">
        <f>IFERROR((VLOOKUP(D1660,'Species Codes'!B:G,6,0)*Z1660)/2000,"")</f>
        <v/>
      </c>
      <c r="AB1660" s="104" t="e">
        <f>IF(Z1660&gt;0,((IF(OR(D1660="DF",D1660="RA")=TRUE,EXP(VLOOKUP(D1660,'Species Codes'!B:I,8,0)+VLOOKUP(D1660,'Species Codes'!B:J,9,0)*(LN((E1660*2.54)))),IF(OR(D1660="PY",D1660="RC",D1660="WH",D1660="NF")=TRUE,VLOOKUP(D1660,'Species Codes'!B:I,8,0)+VLOOKUP(D1660,'Species Codes'!B:J,9,0)*((E1660*2.54)^2)*(I1660*0.3048),IF(OR(D1660="MD",D1660="BM",D1660="GA")=TRUE,((VLOOKUP(D1660,'Species Codes'!B:I,8,0)*(((((E1660*2.54)+VLOOKUP(D1660,'Species Codes'!B:J,9,0))/VLOOKUP(D1660,'Species Codes'!B:K,10,0))^VLOOKUP(D1660,'Species Codes'!B:L,11,0))*((I1660*0.3048)^VLOOKUP(D1660,'Species Codes'!B:M,12,0))))-(VLOOKUP(D1660,'Species Codes'!B:I,8,0)*((((E1660*2.54)^VLOOKUP(D1660,'Species Codes'!B:L,11,0))*((I1660*0.3048)^VLOOKUP(D1660,'Species Codes'!B:M,12,0))))))*35.3*VLOOKUP(D1660,'Species Codes'!B:G,6,0)/2.2046,VLOOKUP(D1660,'Species Codes'!B:I,8,0)+VLOOKUP(D1660,'Species Codes'!B:J,9,0)*(((E1660*2.54)/100)^2)*(I1660*0.3048)))))*0.0011023),0)</f>
        <v>#N/A</v>
      </c>
      <c r="AC1660" s="104" t="e">
        <f>IF(Z1660&gt;0,((IF(OR(D1660="RA",D1660="OA",D1660="OT",D1660="UN",D1660="PC"),EXP(VLOOKUP(D1660,'Species Codes'!B:O,14,0)+VLOOKUP(D1660,'Species Codes'!B:P,15,0)*LN((E1660*2.54)))-EXP(VLOOKUP(D1660,'Species Codes'!B:O,14,0)+VLOOKUP(D1660,'Species Codes'!B:P,15,0)*LN((E1660*2.54)))*(1/(VLOOKUP(D1660,'Species Codes'!B:Q,16,0)+VLOOKUP(D1660,'Species Codes'!B:R,17,0)*((E1660*2.54)^VLOOKUP(D1660,'Species Codes'!B:S,18,0)))),IF(OR(D1660="BM",D1660="MD",D1660="OA"),EXP(VLOOKUP(D1660,'Species Codes'!B:O,14,0)+VLOOKUP(D1660,'Species Codes'!B:P,15,0)*LN((E1660*2.54)))*(1-(1/(VLOOKUP(D1660,'Species Codes'!B:Q,16,0)+VLOOKUP(D1660,'Species Codes'!B:R,17,0)*((E1660*2.54)^VLOOKUP(D1660,'Species Codes'!B:S,18,0)))))/1000,IF(D1660="DF",EXP(VLOOKUP(D1660,'Species Codes'!B:O,14,0)+VLOOKUP(D1660,'Species Codes'!B:P,15,0)*LN((E1660*2.54))),VLOOKUP(D1660,'Species Codes'!B:O,14,0)+VLOOKUP(D1660,'Species Codes'!B:P,15,0)*(((E1660*2.54)/100)^2)*(I1660*0.3048)))))*0.0011023),0)</f>
        <v>#N/A</v>
      </c>
      <c r="AD1660" s="104" t="e">
        <f t="shared" si="733"/>
        <v>#N/A</v>
      </c>
      <c r="AE1660" s="104" t="e">
        <f t="shared" si="734"/>
        <v>#N/A</v>
      </c>
      <c r="AF1660" s="104" t="e">
        <f>IF(AND(VLOOKUP($D1660,Merchantability!$B:$C,2,0)="Yes",$E1660&gt;=VLOOKUP($D1660,Merchantability!$B:$D,3,0),$E1660&lt;=VLOOKUP($D1660,Merchantability!$B:$E,4,0)),AA1660,0)</f>
        <v>#N/A</v>
      </c>
      <c r="AG1660" s="104" t="e">
        <f>IF(AND(VLOOKUP($D1660,Merchantability!$B:$C,2,0)="Yes",$E1660&gt;=VLOOKUP($D1660,Merchantability!$B:$D,3,0),$E1660&lt;=VLOOKUP($D1660,Merchantability!$B:$E,4,0)),AB1660,0)</f>
        <v>#N/A</v>
      </c>
      <c r="AH1660" s="104" t="e">
        <f>IF(AND(VLOOKUP($D1660,Merchantability!$B:$C,2,0)="Yes",$E1660&gt;=VLOOKUP($D1660,Merchantability!$B:$D,3,0),$E1660&lt;=VLOOKUP($D1660,Merchantability!$B:$E,4,0)),AC1660,0)</f>
        <v>#N/A</v>
      </c>
      <c r="AI1660" s="104" t="e">
        <f t="shared" si="735"/>
        <v>#N/A</v>
      </c>
      <c r="AJ1660" s="104" t="e">
        <f t="shared" si="736"/>
        <v>#VALUE!</v>
      </c>
      <c r="AK1660" s="104" t="e">
        <f t="shared" si="737"/>
        <v>#N/A</v>
      </c>
      <c r="AL1660" s="104" t="e">
        <f t="shared" si="738"/>
        <v>#N/A</v>
      </c>
      <c r="AM1660" s="104" t="e">
        <f t="shared" si="739"/>
        <v>#N/A</v>
      </c>
      <c r="AN1660" s="104" t="e">
        <f t="shared" si="723"/>
        <v>#N/A</v>
      </c>
      <c r="AO1660" s="104" t="e">
        <f t="shared" si="724"/>
        <v>#N/A</v>
      </c>
      <c r="AP1660" s="104" t="e">
        <f t="shared" si="725"/>
        <v>#N/A</v>
      </c>
      <c r="AQ1660" s="104" t="e">
        <f t="shared" si="726"/>
        <v>#N/A</v>
      </c>
      <c r="AR1660" s="105" t="str">
        <f t="shared" si="718"/>
        <v/>
      </c>
      <c r="AS1660" s="105" t="str">
        <f t="shared" si="719"/>
        <v/>
      </c>
      <c r="AT1660" s="108" t="str">
        <f t="shared" si="720"/>
        <v/>
      </c>
      <c r="AU1660" s="108" t="str">
        <f t="shared" si="721"/>
        <v/>
      </c>
      <c r="AV1660" s="107" t="str">
        <f>IF(ISNUMBER(O1660),IF(VLOOKUP($A1660,Stand!C:J,8,FALSE)="Short",AT1660,AU1660),"")</f>
        <v/>
      </c>
      <c r="AW1660" s="109" t="str">
        <f t="shared" si="727"/>
        <v/>
      </c>
      <c r="AX1660" s="109" t="str">
        <f t="shared" si="728"/>
        <v/>
      </c>
      <c r="AY1660" s="112" t="str">
        <f>IF(ISNUMBER(O1660),IF(AND(VLOOKUP($D1660,Merchantability!$B:$C,2,0)="Yes",$E1660&gt;=VLOOKUP($D1660,Merchantability!$B:$D,3,0),$E1660&lt;=VLOOKUP($D1660,Merchantability!$B:$E,4,0)),(AV1660*O1660)*(1-$H1660/100),""),"")</f>
        <v/>
      </c>
      <c r="AZ1660" s="116"/>
      <c r="BA1660" s="116"/>
      <c r="BB1660" s="116"/>
      <c r="BE1660" s="62"/>
      <c r="BF1660" s="63"/>
    </row>
    <row r="1661" spans="1:58" ht="12.75" customHeight="1" x14ac:dyDescent="0.25">
      <c r="A1661" s="334"/>
      <c r="B1661" s="334"/>
      <c r="C1661" s="332"/>
      <c r="D1661" s="334"/>
      <c r="E1661" s="335"/>
      <c r="F1661" s="334"/>
      <c r="G1661" s="332"/>
      <c r="H1661" s="332"/>
      <c r="I1661" s="334"/>
      <c r="J1661" s="336"/>
      <c r="K1661" s="332"/>
      <c r="L1661" s="332"/>
      <c r="M1661" s="76"/>
      <c r="N1661" s="103" t="str">
        <f>IF(A1661="","",VLOOKUP(A1661,Stand!C:K,9,0))</f>
        <v/>
      </c>
      <c r="O1661" s="104" t="str">
        <f t="shared" si="713"/>
        <v/>
      </c>
      <c r="P1661" s="105" t="str">
        <f t="shared" si="714"/>
        <v/>
      </c>
      <c r="Q1661" s="105" t="str">
        <f t="shared" si="729"/>
        <v/>
      </c>
      <c r="R1661" s="103" t="str">
        <f t="shared" si="715"/>
        <v/>
      </c>
      <c r="S1661" s="103" t="str">
        <f t="shared" si="716"/>
        <v/>
      </c>
      <c r="T1661" s="106" t="str">
        <f t="shared" si="730"/>
        <v/>
      </c>
      <c r="U1661" s="106" t="str">
        <f t="shared" si="731"/>
        <v/>
      </c>
      <c r="V1661" s="106" t="str">
        <f t="shared" si="732"/>
        <v/>
      </c>
      <c r="W1661" s="105" t="str">
        <f t="shared" si="717"/>
        <v/>
      </c>
      <c r="X1661" s="104" t="str">
        <f t="shared" si="722"/>
        <v/>
      </c>
      <c r="Y1661" s="104" t="str">
        <f t="array" ref="Y1661">IFERROR(IF(ISNUMBER(O1661),IF(COUNT(IF(A1661=$A$2:$A$2427,IF(D1661=$D$2:$D$2427,IF($X$2:$X$2427&gt;0,1))))&gt;0,SUM(IF(A1661=$A$2:$A$2427,IF(D1661=$D$2:$D$2427,$X$2:$X$2427)))/COUNT(IF(A1661=$A$2:$A$2427,IF(D1661=$D$2:$D$2427,IF(ISNUMBER($X$2:$X$2427),1)))),0),""),0)</f>
        <v/>
      </c>
      <c r="Z1661" s="104" t="str">
        <f>IF(ISNUMBER(O1661),IF(I1661&gt;0,(10^(VLOOKUP(D1661,'Species Codes'!B:C,2,0)+VLOOKUP(D1661,'Species Codes'!B:D,3,0)*LOG(E1661)+VLOOKUP(D1661,'Species Codes'!B:E,4,0)*LOG(I1661))),0),"")</f>
        <v/>
      </c>
      <c r="AA1661" s="104" t="str">
        <f>IFERROR((VLOOKUP(D1661,'Species Codes'!B:G,6,0)*Z1661)/2000,"")</f>
        <v/>
      </c>
      <c r="AB1661" s="104" t="e">
        <f>IF(Z1661&gt;0,((IF(OR(D1661="DF",D1661="RA")=TRUE,EXP(VLOOKUP(D1661,'Species Codes'!B:I,8,0)+VLOOKUP(D1661,'Species Codes'!B:J,9,0)*(LN((E1661*2.54)))),IF(OR(D1661="PY",D1661="RC",D1661="WH",D1661="NF")=TRUE,VLOOKUP(D1661,'Species Codes'!B:I,8,0)+VLOOKUP(D1661,'Species Codes'!B:J,9,0)*((E1661*2.54)^2)*(I1661*0.3048),IF(OR(D1661="MD",D1661="BM",D1661="GA")=TRUE,((VLOOKUP(D1661,'Species Codes'!B:I,8,0)*(((((E1661*2.54)+VLOOKUP(D1661,'Species Codes'!B:J,9,0))/VLOOKUP(D1661,'Species Codes'!B:K,10,0))^VLOOKUP(D1661,'Species Codes'!B:L,11,0))*((I1661*0.3048)^VLOOKUP(D1661,'Species Codes'!B:M,12,0))))-(VLOOKUP(D1661,'Species Codes'!B:I,8,0)*((((E1661*2.54)^VLOOKUP(D1661,'Species Codes'!B:L,11,0))*((I1661*0.3048)^VLOOKUP(D1661,'Species Codes'!B:M,12,0))))))*35.3*VLOOKUP(D1661,'Species Codes'!B:G,6,0)/2.2046,VLOOKUP(D1661,'Species Codes'!B:I,8,0)+VLOOKUP(D1661,'Species Codes'!B:J,9,0)*(((E1661*2.54)/100)^2)*(I1661*0.3048)))))*0.0011023),0)</f>
        <v>#N/A</v>
      </c>
      <c r="AC1661" s="104" t="e">
        <f>IF(Z1661&gt;0,((IF(OR(D1661="RA",D1661="OA",D1661="OT",D1661="UN",D1661="PC"),EXP(VLOOKUP(D1661,'Species Codes'!B:O,14,0)+VLOOKUP(D1661,'Species Codes'!B:P,15,0)*LN((E1661*2.54)))-EXP(VLOOKUP(D1661,'Species Codes'!B:O,14,0)+VLOOKUP(D1661,'Species Codes'!B:P,15,0)*LN((E1661*2.54)))*(1/(VLOOKUP(D1661,'Species Codes'!B:Q,16,0)+VLOOKUP(D1661,'Species Codes'!B:R,17,0)*((E1661*2.54)^VLOOKUP(D1661,'Species Codes'!B:S,18,0)))),IF(OR(D1661="BM",D1661="MD",D1661="OA"),EXP(VLOOKUP(D1661,'Species Codes'!B:O,14,0)+VLOOKUP(D1661,'Species Codes'!B:P,15,0)*LN((E1661*2.54)))*(1-(1/(VLOOKUP(D1661,'Species Codes'!B:Q,16,0)+VLOOKUP(D1661,'Species Codes'!B:R,17,0)*((E1661*2.54)^VLOOKUP(D1661,'Species Codes'!B:S,18,0)))))/1000,IF(D1661="DF",EXP(VLOOKUP(D1661,'Species Codes'!B:O,14,0)+VLOOKUP(D1661,'Species Codes'!B:P,15,0)*LN((E1661*2.54))),VLOOKUP(D1661,'Species Codes'!B:O,14,0)+VLOOKUP(D1661,'Species Codes'!B:P,15,0)*(((E1661*2.54)/100)^2)*(I1661*0.3048)))))*0.0011023),0)</f>
        <v>#N/A</v>
      </c>
      <c r="AD1661" s="104" t="e">
        <f t="shared" si="733"/>
        <v>#N/A</v>
      </c>
      <c r="AE1661" s="104" t="e">
        <f t="shared" si="734"/>
        <v>#N/A</v>
      </c>
      <c r="AF1661" s="104" t="e">
        <f>IF(AND(VLOOKUP($D1661,Merchantability!$B:$C,2,0)="Yes",$E1661&gt;=VLOOKUP($D1661,Merchantability!$B:$D,3,0),$E1661&lt;=VLOOKUP($D1661,Merchantability!$B:$E,4,0)),AA1661,0)</f>
        <v>#N/A</v>
      </c>
      <c r="AG1661" s="104" t="e">
        <f>IF(AND(VLOOKUP($D1661,Merchantability!$B:$C,2,0)="Yes",$E1661&gt;=VLOOKUP($D1661,Merchantability!$B:$D,3,0),$E1661&lt;=VLOOKUP($D1661,Merchantability!$B:$E,4,0)),AB1661,0)</f>
        <v>#N/A</v>
      </c>
      <c r="AH1661" s="104" t="e">
        <f>IF(AND(VLOOKUP($D1661,Merchantability!$B:$C,2,0)="Yes",$E1661&gt;=VLOOKUP($D1661,Merchantability!$B:$D,3,0),$E1661&lt;=VLOOKUP($D1661,Merchantability!$B:$E,4,0)),AC1661,0)</f>
        <v>#N/A</v>
      </c>
      <c r="AI1661" s="104" t="e">
        <f t="shared" si="735"/>
        <v>#N/A</v>
      </c>
      <c r="AJ1661" s="104" t="e">
        <f t="shared" si="736"/>
        <v>#VALUE!</v>
      </c>
      <c r="AK1661" s="104" t="e">
        <f t="shared" si="737"/>
        <v>#N/A</v>
      </c>
      <c r="AL1661" s="104" t="e">
        <f t="shared" si="738"/>
        <v>#N/A</v>
      </c>
      <c r="AM1661" s="104" t="e">
        <f t="shared" si="739"/>
        <v>#N/A</v>
      </c>
      <c r="AN1661" s="104" t="e">
        <f t="shared" si="723"/>
        <v>#N/A</v>
      </c>
      <c r="AO1661" s="104" t="e">
        <f t="shared" si="724"/>
        <v>#N/A</v>
      </c>
      <c r="AP1661" s="104" t="e">
        <f t="shared" si="725"/>
        <v>#N/A</v>
      </c>
      <c r="AQ1661" s="104" t="e">
        <f t="shared" si="726"/>
        <v>#N/A</v>
      </c>
      <c r="AR1661" s="105" t="str">
        <f t="shared" si="718"/>
        <v/>
      </c>
      <c r="AS1661" s="105" t="str">
        <f t="shared" si="719"/>
        <v/>
      </c>
      <c r="AT1661" s="108" t="str">
        <f t="shared" si="720"/>
        <v/>
      </c>
      <c r="AU1661" s="108" t="str">
        <f t="shared" si="721"/>
        <v/>
      </c>
      <c r="AV1661" s="107" t="str">
        <f>IF(ISNUMBER(O1661),IF(VLOOKUP($A1661,Stand!C:J,8,FALSE)="Short",AT1661,AU1661),"")</f>
        <v/>
      </c>
      <c r="AW1661" s="109" t="str">
        <f t="shared" si="727"/>
        <v/>
      </c>
      <c r="AX1661" s="109" t="str">
        <f t="shared" si="728"/>
        <v/>
      </c>
      <c r="AY1661" s="112" t="str">
        <f>IF(ISNUMBER(O1661),IF(AND(VLOOKUP($D1661,Merchantability!$B:$C,2,0)="Yes",$E1661&gt;=VLOOKUP($D1661,Merchantability!$B:$D,3,0),$E1661&lt;=VLOOKUP($D1661,Merchantability!$B:$E,4,0)),(AV1661*O1661)*(1-$H1661/100),""),"")</f>
        <v/>
      </c>
      <c r="AZ1661" s="116"/>
      <c r="BA1661" s="116"/>
      <c r="BB1661" s="116"/>
      <c r="BE1661" s="62"/>
      <c r="BF1661" s="63"/>
    </row>
    <row r="1662" spans="1:58" ht="12.75" customHeight="1" x14ac:dyDescent="0.25">
      <c r="A1662" s="334"/>
      <c r="B1662" s="334"/>
      <c r="C1662" s="332"/>
      <c r="D1662" s="334"/>
      <c r="E1662" s="335"/>
      <c r="F1662" s="334"/>
      <c r="G1662" s="332"/>
      <c r="H1662" s="332"/>
      <c r="I1662" s="334"/>
      <c r="J1662" s="336"/>
      <c r="K1662" s="332"/>
      <c r="L1662" s="332"/>
      <c r="M1662" s="76"/>
      <c r="N1662" s="103" t="str">
        <f>IF(A1662="","",VLOOKUP(A1662,Stand!C:K,9,0))</f>
        <v/>
      </c>
      <c r="O1662" s="104" t="str">
        <f t="shared" si="713"/>
        <v/>
      </c>
      <c r="P1662" s="105" t="str">
        <f t="shared" si="714"/>
        <v/>
      </c>
      <c r="Q1662" s="105" t="str">
        <f t="shared" si="729"/>
        <v/>
      </c>
      <c r="R1662" s="103" t="str">
        <f t="shared" si="715"/>
        <v/>
      </c>
      <c r="S1662" s="103" t="str">
        <f t="shared" si="716"/>
        <v/>
      </c>
      <c r="T1662" s="106" t="str">
        <f t="shared" si="730"/>
        <v/>
      </c>
      <c r="U1662" s="106" t="str">
        <f t="shared" si="731"/>
        <v/>
      </c>
      <c r="V1662" s="106" t="str">
        <f t="shared" si="732"/>
        <v/>
      </c>
      <c r="W1662" s="105" t="str">
        <f t="shared" si="717"/>
        <v/>
      </c>
      <c r="X1662" s="104" t="str">
        <f t="shared" si="722"/>
        <v/>
      </c>
      <c r="Y1662" s="104" t="str">
        <f t="array" ref="Y1662">IFERROR(IF(ISNUMBER(O1662),IF(COUNT(IF(A1662=$A$2:$A$2427,IF(D1662=$D$2:$D$2427,IF($X$2:$X$2427&gt;0,1))))&gt;0,SUM(IF(A1662=$A$2:$A$2427,IF(D1662=$D$2:$D$2427,$X$2:$X$2427)))/COUNT(IF(A1662=$A$2:$A$2427,IF(D1662=$D$2:$D$2427,IF(ISNUMBER($X$2:$X$2427),1)))),0),""),0)</f>
        <v/>
      </c>
      <c r="Z1662" s="104" t="str">
        <f>IF(ISNUMBER(O1662),IF(I1662&gt;0,(10^(VLOOKUP(D1662,'Species Codes'!B:C,2,0)+VLOOKUP(D1662,'Species Codes'!B:D,3,0)*LOG(E1662)+VLOOKUP(D1662,'Species Codes'!B:E,4,0)*LOG(I1662))),0),"")</f>
        <v/>
      </c>
      <c r="AA1662" s="104" t="str">
        <f>IFERROR((VLOOKUP(D1662,'Species Codes'!B:G,6,0)*Z1662)/2000,"")</f>
        <v/>
      </c>
      <c r="AB1662" s="104" t="e">
        <f>IF(Z1662&gt;0,((IF(OR(D1662="DF",D1662="RA")=TRUE,EXP(VLOOKUP(D1662,'Species Codes'!B:I,8,0)+VLOOKUP(D1662,'Species Codes'!B:J,9,0)*(LN((E1662*2.54)))),IF(OR(D1662="PY",D1662="RC",D1662="WH",D1662="NF")=TRUE,VLOOKUP(D1662,'Species Codes'!B:I,8,0)+VLOOKUP(D1662,'Species Codes'!B:J,9,0)*((E1662*2.54)^2)*(I1662*0.3048),IF(OR(D1662="MD",D1662="BM",D1662="GA")=TRUE,((VLOOKUP(D1662,'Species Codes'!B:I,8,0)*(((((E1662*2.54)+VLOOKUP(D1662,'Species Codes'!B:J,9,0))/VLOOKUP(D1662,'Species Codes'!B:K,10,0))^VLOOKUP(D1662,'Species Codes'!B:L,11,0))*((I1662*0.3048)^VLOOKUP(D1662,'Species Codes'!B:M,12,0))))-(VLOOKUP(D1662,'Species Codes'!B:I,8,0)*((((E1662*2.54)^VLOOKUP(D1662,'Species Codes'!B:L,11,0))*((I1662*0.3048)^VLOOKUP(D1662,'Species Codes'!B:M,12,0))))))*35.3*VLOOKUP(D1662,'Species Codes'!B:G,6,0)/2.2046,VLOOKUP(D1662,'Species Codes'!B:I,8,0)+VLOOKUP(D1662,'Species Codes'!B:J,9,0)*(((E1662*2.54)/100)^2)*(I1662*0.3048)))))*0.0011023),0)</f>
        <v>#N/A</v>
      </c>
      <c r="AC1662" s="104" t="e">
        <f>IF(Z1662&gt;0,((IF(OR(D1662="RA",D1662="OA",D1662="OT",D1662="UN",D1662="PC"),EXP(VLOOKUP(D1662,'Species Codes'!B:O,14,0)+VLOOKUP(D1662,'Species Codes'!B:P,15,0)*LN((E1662*2.54)))-EXP(VLOOKUP(D1662,'Species Codes'!B:O,14,0)+VLOOKUP(D1662,'Species Codes'!B:P,15,0)*LN((E1662*2.54)))*(1/(VLOOKUP(D1662,'Species Codes'!B:Q,16,0)+VLOOKUP(D1662,'Species Codes'!B:R,17,0)*((E1662*2.54)^VLOOKUP(D1662,'Species Codes'!B:S,18,0)))),IF(OR(D1662="BM",D1662="MD",D1662="OA"),EXP(VLOOKUP(D1662,'Species Codes'!B:O,14,0)+VLOOKUP(D1662,'Species Codes'!B:P,15,0)*LN((E1662*2.54)))*(1-(1/(VLOOKUP(D1662,'Species Codes'!B:Q,16,0)+VLOOKUP(D1662,'Species Codes'!B:R,17,0)*((E1662*2.54)^VLOOKUP(D1662,'Species Codes'!B:S,18,0)))))/1000,IF(D1662="DF",EXP(VLOOKUP(D1662,'Species Codes'!B:O,14,0)+VLOOKUP(D1662,'Species Codes'!B:P,15,0)*LN((E1662*2.54))),VLOOKUP(D1662,'Species Codes'!B:O,14,0)+VLOOKUP(D1662,'Species Codes'!B:P,15,0)*(((E1662*2.54)/100)^2)*(I1662*0.3048)))))*0.0011023),0)</f>
        <v>#N/A</v>
      </c>
      <c r="AD1662" s="104" t="e">
        <f t="shared" si="733"/>
        <v>#N/A</v>
      </c>
      <c r="AE1662" s="104" t="e">
        <f t="shared" si="734"/>
        <v>#N/A</v>
      </c>
      <c r="AF1662" s="104" t="e">
        <f>IF(AND(VLOOKUP($D1662,Merchantability!$B:$C,2,0)="Yes",$E1662&gt;=VLOOKUP($D1662,Merchantability!$B:$D,3,0),$E1662&lt;=VLOOKUP($D1662,Merchantability!$B:$E,4,0)),AA1662,0)</f>
        <v>#N/A</v>
      </c>
      <c r="AG1662" s="104" t="e">
        <f>IF(AND(VLOOKUP($D1662,Merchantability!$B:$C,2,0)="Yes",$E1662&gt;=VLOOKUP($D1662,Merchantability!$B:$D,3,0),$E1662&lt;=VLOOKUP($D1662,Merchantability!$B:$E,4,0)),AB1662,0)</f>
        <v>#N/A</v>
      </c>
      <c r="AH1662" s="104" t="e">
        <f>IF(AND(VLOOKUP($D1662,Merchantability!$B:$C,2,0)="Yes",$E1662&gt;=VLOOKUP($D1662,Merchantability!$B:$D,3,0),$E1662&lt;=VLOOKUP($D1662,Merchantability!$B:$E,4,0)),AC1662,0)</f>
        <v>#N/A</v>
      </c>
      <c r="AI1662" s="104" t="e">
        <f t="shared" si="735"/>
        <v>#N/A</v>
      </c>
      <c r="AJ1662" s="104" t="e">
        <f t="shared" si="736"/>
        <v>#VALUE!</v>
      </c>
      <c r="AK1662" s="104" t="e">
        <f t="shared" si="737"/>
        <v>#N/A</v>
      </c>
      <c r="AL1662" s="104" t="e">
        <f t="shared" si="738"/>
        <v>#N/A</v>
      </c>
      <c r="AM1662" s="104" t="e">
        <f t="shared" si="739"/>
        <v>#N/A</v>
      </c>
      <c r="AN1662" s="104" t="e">
        <f t="shared" si="723"/>
        <v>#N/A</v>
      </c>
      <c r="AO1662" s="104" t="e">
        <f t="shared" si="724"/>
        <v>#N/A</v>
      </c>
      <c r="AP1662" s="104" t="e">
        <f t="shared" si="725"/>
        <v>#N/A</v>
      </c>
      <c r="AQ1662" s="104" t="e">
        <f t="shared" si="726"/>
        <v>#N/A</v>
      </c>
      <c r="AR1662" s="105" t="str">
        <f t="shared" si="718"/>
        <v/>
      </c>
      <c r="AS1662" s="105" t="str">
        <f t="shared" si="719"/>
        <v/>
      </c>
      <c r="AT1662" s="108" t="str">
        <f t="shared" si="720"/>
        <v/>
      </c>
      <c r="AU1662" s="108" t="str">
        <f t="shared" si="721"/>
        <v/>
      </c>
      <c r="AV1662" s="107" t="str">
        <f>IF(ISNUMBER(O1662),IF(VLOOKUP($A1662,Stand!C:J,8,FALSE)="Short",AT1662,AU1662),"")</f>
        <v/>
      </c>
      <c r="AW1662" s="109" t="str">
        <f t="shared" si="727"/>
        <v/>
      </c>
      <c r="AX1662" s="109" t="str">
        <f t="shared" si="728"/>
        <v/>
      </c>
      <c r="AY1662" s="112" t="str">
        <f>IF(ISNUMBER(O1662),IF(AND(VLOOKUP($D1662,Merchantability!$B:$C,2,0)="Yes",$E1662&gt;=VLOOKUP($D1662,Merchantability!$B:$D,3,0),$E1662&lt;=VLOOKUP($D1662,Merchantability!$B:$E,4,0)),(AV1662*O1662)*(1-$H1662/100),""),"")</f>
        <v/>
      </c>
      <c r="AZ1662" s="116"/>
      <c r="BA1662" s="116"/>
      <c r="BB1662" s="116"/>
      <c r="BE1662" s="62"/>
      <c r="BF1662" s="63"/>
    </row>
    <row r="1663" spans="1:58" ht="12.75" customHeight="1" x14ac:dyDescent="0.25">
      <c r="A1663" s="334"/>
      <c r="B1663" s="334"/>
      <c r="C1663" s="332"/>
      <c r="D1663" s="334"/>
      <c r="E1663" s="335"/>
      <c r="F1663" s="334"/>
      <c r="G1663" s="332"/>
      <c r="H1663" s="332"/>
      <c r="I1663" s="334"/>
      <c r="J1663" s="336"/>
      <c r="K1663" s="332"/>
      <c r="L1663" s="332"/>
      <c r="M1663" s="76"/>
      <c r="N1663" s="103" t="str">
        <f>IF(A1663="","",VLOOKUP(A1663,Stand!C:K,9,0))</f>
        <v/>
      </c>
      <c r="O1663" s="104" t="str">
        <f t="shared" si="713"/>
        <v/>
      </c>
      <c r="P1663" s="105" t="str">
        <f t="shared" si="714"/>
        <v/>
      </c>
      <c r="Q1663" s="105" t="str">
        <f t="shared" si="729"/>
        <v/>
      </c>
      <c r="R1663" s="103" t="str">
        <f t="shared" si="715"/>
        <v/>
      </c>
      <c r="S1663" s="103" t="str">
        <f t="shared" si="716"/>
        <v/>
      </c>
      <c r="T1663" s="106" t="str">
        <f t="shared" si="730"/>
        <v/>
      </c>
      <c r="U1663" s="106" t="str">
        <f t="shared" si="731"/>
        <v/>
      </c>
      <c r="V1663" s="106" t="str">
        <f t="shared" si="732"/>
        <v/>
      </c>
      <c r="W1663" s="105" t="str">
        <f t="shared" si="717"/>
        <v/>
      </c>
      <c r="X1663" s="104" t="str">
        <f t="shared" si="722"/>
        <v/>
      </c>
      <c r="Y1663" s="104" t="str">
        <f t="array" ref="Y1663">IFERROR(IF(ISNUMBER(O1663),IF(COUNT(IF(A1663=$A$2:$A$2427,IF(D1663=$D$2:$D$2427,IF($X$2:$X$2427&gt;0,1))))&gt;0,SUM(IF(A1663=$A$2:$A$2427,IF(D1663=$D$2:$D$2427,$X$2:$X$2427)))/COUNT(IF(A1663=$A$2:$A$2427,IF(D1663=$D$2:$D$2427,IF(ISNUMBER($X$2:$X$2427),1)))),0),""),0)</f>
        <v/>
      </c>
      <c r="Z1663" s="104" t="str">
        <f>IF(ISNUMBER(O1663),IF(I1663&gt;0,(10^(VLOOKUP(D1663,'Species Codes'!B:C,2,0)+VLOOKUP(D1663,'Species Codes'!B:D,3,0)*LOG(E1663)+VLOOKUP(D1663,'Species Codes'!B:E,4,0)*LOG(I1663))),0),"")</f>
        <v/>
      </c>
      <c r="AA1663" s="104" t="str">
        <f>IFERROR((VLOOKUP(D1663,'Species Codes'!B:G,6,0)*Z1663)/2000,"")</f>
        <v/>
      </c>
      <c r="AB1663" s="104" t="e">
        <f>IF(Z1663&gt;0,((IF(OR(D1663="DF",D1663="RA")=TRUE,EXP(VLOOKUP(D1663,'Species Codes'!B:I,8,0)+VLOOKUP(D1663,'Species Codes'!B:J,9,0)*(LN((E1663*2.54)))),IF(OR(D1663="PY",D1663="RC",D1663="WH",D1663="NF")=TRUE,VLOOKUP(D1663,'Species Codes'!B:I,8,0)+VLOOKUP(D1663,'Species Codes'!B:J,9,0)*((E1663*2.54)^2)*(I1663*0.3048),IF(OR(D1663="MD",D1663="BM",D1663="GA")=TRUE,((VLOOKUP(D1663,'Species Codes'!B:I,8,0)*(((((E1663*2.54)+VLOOKUP(D1663,'Species Codes'!B:J,9,0))/VLOOKUP(D1663,'Species Codes'!B:K,10,0))^VLOOKUP(D1663,'Species Codes'!B:L,11,0))*((I1663*0.3048)^VLOOKUP(D1663,'Species Codes'!B:M,12,0))))-(VLOOKUP(D1663,'Species Codes'!B:I,8,0)*((((E1663*2.54)^VLOOKUP(D1663,'Species Codes'!B:L,11,0))*((I1663*0.3048)^VLOOKUP(D1663,'Species Codes'!B:M,12,0))))))*35.3*VLOOKUP(D1663,'Species Codes'!B:G,6,0)/2.2046,VLOOKUP(D1663,'Species Codes'!B:I,8,0)+VLOOKUP(D1663,'Species Codes'!B:J,9,0)*(((E1663*2.54)/100)^2)*(I1663*0.3048)))))*0.0011023),0)</f>
        <v>#N/A</v>
      </c>
      <c r="AC1663" s="104" t="e">
        <f>IF(Z1663&gt;0,((IF(OR(D1663="RA",D1663="OA",D1663="OT",D1663="UN",D1663="PC"),EXP(VLOOKUP(D1663,'Species Codes'!B:O,14,0)+VLOOKUP(D1663,'Species Codes'!B:P,15,0)*LN((E1663*2.54)))-EXP(VLOOKUP(D1663,'Species Codes'!B:O,14,0)+VLOOKUP(D1663,'Species Codes'!B:P,15,0)*LN((E1663*2.54)))*(1/(VLOOKUP(D1663,'Species Codes'!B:Q,16,0)+VLOOKUP(D1663,'Species Codes'!B:R,17,0)*((E1663*2.54)^VLOOKUP(D1663,'Species Codes'!B:S,18,0)))),IF(OR(D1663="BM",D1663="MD",D1663="OA"),EXP(VLOOKUP(D1663,'Species Codes'!B:O,14,0)+VLOOKUP(D1663,'Species Codes'!B:P,15,0)*LN((E1663*2.54)))*(1-(1/(VLOOKUP(D1663,'Species Codes'!B:Q,16,0)+VLOOKUP(D1663,'Species Codes'!B:R,17,0)*((E1663*2.54)^VLOOKUP(D1663,'Species Codes'!B:S,18,0)))))/1000,IF(D1663="DF",EXP(VLOOKUP(D1663,'Species Codes'!B:O,14,0)+VLOOKUP(D1663,'Species Codes'!B:P,15,0)*LN((E1663*2.54))),VLOOKUP(D1663,'Species Codes'!B:O,14,0)+VLOOKUP(D1663,'Species Codes'!B:P,15,0)*(((E1663*2.54)/100)^2)*(I1663*0.3048)))))*0.0011023),0)</f>
        <v>#N/A</v>
      </c>
      <c r="AD1663" s="104" t="e">
        <f t="shared" si="733"/>
        <v>#N/A</v>
      </c>
      <c r="AE1663" s="104" t="e">
        <f t="shared" si="734"/>
        <v>#N/A</v>
      </c>
      <c r="AF1663" s="104" t="e">
        <f>IF(AND(VLOOKUP($D1663,Merchantability!$B:$C,2,0)="Yes",$E1663&gt;=VLOOKUP($D1663,Merchantability!$B:$D,3,0),$E1663&lt;=VLOOKUP($D1663,Merchantability!$B:$E,4,0)),AA1663,0)</f>
        <v>#N/A</v>
      </c>
      <c r="AG1663" s="104" t="e">
        <f>IF(AND(VLOOKUP($D1663,Merchantability!$B:$C,2,0)="Yes",$E1663&gt;=VLOOKUP($D1663,Merchantability!$B:$D,3,0),$E1663&lt;=VLOOKUP($D1663,Merchantability!$B:$E,4,0)),AB1663,0)</f>
        <v>#N/A</v>
      </c>
      <c r="AH1663" s="104" t="e">
        <f>IF(AND(VLOOKUP($D1663,Merchantability!$B:$C,2,0)="Yes",$E1663&gt;=VLOOKUP($D1663,Merchantability!$B:$D,3,0),$E1663&lt;=VLOOKUP($D1663,Merchantability!$B:$E,4,0)),AC1663,0)</f>
        <v>#N/A</v>
      </c>
      <c r="AI1663" s="104" t="e">
        <f t="shared" si="735"/>
        <v>#N/A</v>
      </c>
      <c r="AJ1663" s="104" t="e">
        <f t="shared" si="736"/>
        <v>#VALUE!</v>
      </c>
      <c r="AK1663" s="104" t="e">
        <f t="shared" si="737"/>
        <v>#N/A</v>
      </c>
      <c r="AL1663" s="104" t="e">
        <f t="shared" si="738"/>
        <v>#N/A</v>
      </c>
      <c r="AM1663" s="104" t="e">
        <f t="shared" si="739"/>
        <v>#N/A</v>
      </c>
      <c r="AN1663" s="104" t="e">
        <f t="shared" si="723"/>
        <v>#N/A</v>
      </c>
      <c r="AO1663" s="104" t="e">
        <f t="shared" si="724"/>
        <v>#N/A</v>
      </c>
      <c r="AP1663" s="104" t="e">
        <f t="shared" si="725"/>
        <v>#N/A</v>
      </c>
      <c r="AQ1663" s="104" t="e">
        <f t="shared" si="726"/>
        <v>#N/A</v>
      </c>
      <c r="AR1663" s="105" t="str">
        <f t="shared" si="718"/>
        <v/>
      </c>
      <c r="AS1663" s="105" t="str">
        <f t="shared" si="719"/>
        <v/>
      </c>
      <c r="AT1663" s="108" t="str">
        <f t="shared" si="720"/>
        <v/>
      </c>
      <c r="AU1663" s="108" t="str">
        <f t="shared" si="721"/>
        <v/>
      </c>
      <c r="AV1663" s="107" t="str">
        <f>IF(ISNUMBER(O1663),IF(VLOOKUP($A1663,Stand!C:J,8,FALSE)="Short",AT1663,AU1663),"")</f>
        <v/>
      </c>
      <c r="AW1663" s="109" t="str">
        <f t="shared" si="727"/>
        <v/>
      </c>
      <c r="AX1663" s="109" t="str">
        <f t="shared" si="728"/>
        <v/>
      </c>
      <c r="AY1663" s="112" t="str">
        <f>IF(ISNUMBER(O1663),IF(AND(VLOOKUP($D1663,Merchantability!$B:$C,2,0)="Yes",$E1663&gt;=VLOOKUP($D1663,Merchantability!$B:$D,3,0),$E1663&lt;=VLOOKUP($D1663,Merchantability!$B:$E,4,0)),(AV1663*O1663)*(1-$H1663/100),""),"")</f>
        <v/>
      </c>
      <c r="AZ1663" s="116"/>
      <c r="BA1663" s="116"/>
      <c r="BB1663" s="116"/>
      <c r="BE1663" s="62"/>
      <c r="BF1663" s="63"/>
    </row>
    <row r="1664" spans="1:58" ht="12.75" customHeight="1" x14ac:dyDescent="0.25">
      <c r="A1664" s="334"/>
      <c r="B1664" s="334"/>
      <c r="C1664" s="332"/>
      <c r="D1664" s="334"/>
      <c r="E1664" s="335"/>
      <c r="F1664" s="334"/>
      <c r="G1664" s="332"/>
      <c r="H1664" s="332"/>
      <c r="I1664" s="334"/>
      <c r="J1664" s="336"/>
      <c r="K1664" s="332"/>
      <c r="L1664" s="332"/>
      <c r="M1664" s="76"/>
      <c r="N1664" s="103" t="str">
        <f>IF(A1664="","",VLOOKUP(A1664,Stand!C:K,9,0))</f>
        <v/>
      </c>
      <c r="O1664" s="104" t="str">
        <f t="shared" si="713"/>
        <v/>
      </c>
      <c r="P1664" s="105" t="str">
        <f t="shared" si="714"/>
        <v/>
      </c>
      <c r="Q1664" s="105" t="str">
        <f t="shared" si="729"/>
        <v/>
      </c>
      <c r="R1664" s="103" t="str">
        <f t="shared" si="715"/>
        <v/>
      </c>
      <c r="S1664" s="103" t="str">
        <f t="shared" si="716"/>
        <v/>
      </c>
      <c r="T1664" s="106" t="str">
        <f t="shared" si="730"/>
        <v/>
      </c>
      <c r="U1664" s="106" t="str">
        <f t="shared" si="731"/>
        <v/>
      </c>
      <c r="V1664" s="106" t="str">
        <f t="shared" si="732"/>
        <v/>
      </c>
      <c r="W1664" s="105" t="str">
        <f t="shared" si="717"/>
        <v/>
      </c>
      <c r="X1664" s="104" t="str">
        <f t="shared" si="722"/>
        <v/>
      </c>
      <c r="Y1664" s="104" t="str">
        <f t="array" ref="Y1664">IFERROR(IF(ISNUMBER(O1664),IF(COUNT(IF(A1664=$A$2:$A$2427,IF(D1664=$D$2:$D$2427,IF($X$2:$X$2427&gt;0,1))))&gt;0,SUM(IF(A1664=$A$2:$A$2427,IF(D1664=$D$2:$D$2427,$X$2:$X$2427)))/COUNT(IF(A1664=$A$2:$A$2427,IF(D1664=$D$2:$D$2427,IF(ISNUMBER($X$2:$X$2427),1)))),0),""),0)</f>
        <v/>
      </c>
      <c r="Z1664" s="104" t="str">
        <f>IF(ISNUMBER(O1664),IF(I1664&gt;0,(10^(VLOOKUP(D1664,'Species Codes'!B:C,2,0)+VLOOKUP(D1664,'Species Codes'!B:D,3,0)*LOG(E1664)+VLOOKUP(D1664,'Species Codes'!B:E,4,0)*LOG(I1664))),0),"")</f>
        <v/>
      </c>
      <c r="AA1664" s="104" t="str">
        <f>IFERROR((VLOOKUP(D1664,'Species Codes'!B:G,6,0)*Z1664)/2000,"")</f>
        <v/>
      </c>
      <c r="AB1664" s="104" t="e">
        <f>IF(Z1664&gt;0,((IF(OR(D1664="DF",D1664="RA")=TRUE,EXP(VLOOKUP(D1664,'Species Codes'!B:I,8,0)+VLOOKUP(D1664,'Species Codes'!B:J,9,0)*(LN((E1664*2.54)))),IF(OR(D1664="PY",D1664="RC",D1664="WH",D1664="NF")=TRUE,VLOOKUP(D1664,'Species Codes'!B:I,8,0)+VLOOKUP(D1664,'Species Codes'!B:J,9,0)*((E1664*2.54)^2)*(I1664*0.3048),IF(OR(D1664="MD",D1664="BM",D1664="GA")=TRUE,((VLOOKUP(D1664,'Species Codes'!B:I,8,0)*(((((E1664*2.54)+VLOOKUP(D1664,'Species Codes'!B:J,9,0))/VLOOKUP(D1664,'Species Codes'!B:K,10,0))^VLOOKUP(D1664,'Species Codes'!B:L,11,0))*((I1664*0.3048)^VLOOKUP(D1664,'Species Codes'!B:M,12,0))))-(VLOOKUP(D1664,'Species Codes'!B:I,8,0)*((((E1664*2.54)^VLOOKUP(D1664,'Species Codes'!B:L,11,0))*((I1664*0.3048)^VLOOKUP(D1664,'Species Codes'!B:M,12,0))))))*35.3*VLOOKUP(D1664,'Species Codes'!B:G,6,0)/2.2046,VLOOKUP(D1664,'Species Codes'!B:I,8,0)+VLOOKUP(D1664,'Species Codes'!B:J,9,0)*(((E1664*2.54)/100)^2)*(I1664*0.3048)))))*0.0011023),0)</f>
        <v>#N/A</v>
      </c>
      <c r="AC1664" s="104" t="e">
        <f>IF(Z1664&gt;0,((IF(OR(D1664="RA",D1664="OA",D1664="OT",D1664="UN",D1664="PC"),EXP(VLOOKUP(D1664,'Species Codes'!B:O,14,0)+VLOOKUP(D1664,'Species Codes'!B:P,15,0)*LN((E1664*2.54)))-EXP(VLOOKUP(D1664,'Species Codes'!B:O,14,0)+VLOOKUP(D1664,'Species Codes'!B:P,15,0)*LN((E1664*2.54)))*(1/(VLOOKUP(D1664,'Species Codes'!B:Q,16,0)+VLOOKUP(D1664,'Species Codes'!B:R,17,0)*((E1664*2.54)^VLOOKUP(D1664,'Species Codes'!B:S,18,0)))),IF(OR(D1664="BM",D1664="MD",D1664="OA"),EXP(VLOOKUP(D1664,'Species Codes'!B:O,14,0)+VLOOKUP(D1664,'Species Codes'!B:P,15,0)*LN((E1664*2.54)))*(1-(1/(VLOOKUP(D1664,'Species Codes'!B:Q,16,0)+VLOOKUP(D1664,'Species Codes'!B:R,17,0)*((E1664*2.54)^VLOOKUP(D1664,'Species Codes'!B:S,18,0)))))/1000,IF(D1664="DF",EXP(VLOOKUP(D1664,'Species Codes'!B:O,14,0)+VLOOKUP(D1664,'Species Codes'!B:P,15,0)*LN((E1664*2.54))),VLOOKUP(D1664,'Species Codes'!B:O,14,0)+VLOOKUP(D1664,'Species Codes'!B:P,15,0)*(((E1664*2.54)/100)^2)*(I1664*0.3048)))))*0.0011023),0)</f>
        <v>#N/A</v>
      </c>
      <c r="AD1664" s="104" t="e">
        <f t="shared" si="733"/>
        <v>#N/A</v>
      </c>
      <c r="AE1664" s="104" t="e">
        <f t="shared" si="734"/>
        <v>#N/A</v>
      </c>
      <c r="AF1664" s="104" t="e">
        <f>IF(AND(VLOOKUP($D1664,Merchantability!$B:$C,2,0)="Yes",$E1664&gt;=VLOOKUP($D1664,Merchantability!$B:$D,3,0),$E1664&lt;=VLOOKUP($D1664,Merchantability!$B:$E,4,0)),AA1664,0)</f>
        <v>#N/A</v>
      </c>
      <c r="AG1664" s="104" t="e">
        <f>IF(AND(VLOOKUP($D1664,Merchantability!$B:$C,2,0)="Yes",$E1664&gt;=VLOOKUP($D1664,Merchantability!$B:$D,3,0),$E1664&lt;=VLOOKUP($D1664,Merchantability!$B:$E,4,0)),AB1664,0)</f>
        <v>#N/A</v>
      </c>
      <c r="AH1664" s="104" t="e">
        <f>IF(AND(VLOOKUP($D1664,Merchantability!$B:$C,2,0)="Yes",$E1664&gt;=VLOOKUP($D1664,Merchantability!$B:$D,3,0),$E1664&lt;=VLOOKUP($D1664,Merchantability!$B:$E,4,0)),AC1664,0)</f>
        <v>#N/A</v>
      </c>
      <c r="AI1664" s="104" t="e">
        <f t="shared" si="735"/>
        <v>#N/A</v>
      </c>
      <c r="AJ1664" s="104" t="e">
        <f t="shared" si="736"/>
        <v>#VALUE!</v>
      </c>
      <c r="AK1664" s="104" t="e">
        <f t="shared" si="737"/>
        <v>#N/A</v>
      </c>
      <c r="AL1664" s="104" t="e">
        <f t="shared" si="738"/>
        <v>#N/A</v>
      </c>
      <c r="AM1664" s="104" t="e">
        <f t="shared" si="739"/>
        <v>#N/A</v>
      </c>
      <c r="AN1664" s="104" t="e">
        <f t="shared" si="723"/>
        <v>#N/A</v>
      </c>
      <c r="AO1664" s="104" t="e">
        <f t="shared" si="724"/>
        <v>#N/A</v>
      </c>
      <c r="AP1664" s="104" t="e">
        <f t="shared" si="725"/>
        <v>#N/A</v>
      </c>
      <c r="AQ1664" s="104" t="e">
        <f t="shared" si="726"/>
        <v>#N/A</v>
      </c>
      <c r="AR1664" s="105" t="str">
        <f t="shared" si="718"/>
        <v/>
      </c>
      <c r="AS1664" s="105" t="str">
        <f t="shared" si="719"/>
        <v/>
      </c>
      <c r="AT1664" s="108" t="str">
        <f t="shared" si="720"/>
        <v/>
      </c>
      <c r="AU1664" s="108" t="str">
        <f t="shared" si="721"/>
        <v/>
      </c>
      <c r="AV1664" s="107" t="str">
        <f>IF(ISNUMBER(O1664),IF(VLOOKUP($A1664,Stand!C:J,8,FALSE)="Short",AT1664,AU1664),"")</f>
        <v/>
      </c>
      <c r="AW1664" s="109" t="str">
        <f t="shared" si="727"/>
        <v/>
      </c>
      <c r="AX1664" s="109" t="str">
        <f t="shared" si="728"/>
        <v/>
      </c>
      <c r="AY1664" s="112" t="str">
        <f>IF(ISNUMBER(O1664),IF(AND(VLOOKUP($D1664,Merchantability!$B:$C,2,0)="Yes",$E1664&gt;=VLOOKUP($D1664,Merchantability!$B:$D,3,0),$E1664&lt;=VLOOKUP($D1664,Merchantability!$B:$E,4,0)),(AV1664*O1664)*(1-$H1664/100),""),"")</f>
        <v/>
      </c>
      <c r="AZ1664" s="116"/>
      <c r="BA1664" s="116"/>
      <c r="BB1664" s="116"/>
      <c r="BE1664" s="62"/>
      <c r="BF1664" s="63"/>
    </row>
    <row r="1665" spans="1:58" ht="12.75" customHeight="1" x14ac:dyDescent="0.25">
      <c r="A1665" s="334"/>
      <c r="B1665" s="334"/>
      <c r="C1665" s="332"/>
      <c r="D1665" s="334"/>
      <c r="E1665" s="335"/>
      <c r="F1665" s="334"/>
      <c r="G1665" s="332"/>
      <c r="H1665" s="332"/>
      <c r="I1665" s="334"/>
      <c r="J1665" s="336"/>
      <c r="K1665" s="332"/>
      <c r="L1665" s="332"/>
      <c r="M1665" s="76"/>
      <c r="N1665" s="103" t="str">
        <f>IF(A1665="","",VLOOKUP(A1665,Stand!C:K,9,0))</f>
        <v/>
      </c>
      <c r="O1665" s="104" t="str">
        <f t="shared" si="713"/>
        <v/>
      </c>
      <c r="P1665" s="105" t="str">
        <f t="shared" si="714"/>
        <v/>
      </c>
      <c r="Q1665" s="105" t="str">
        <f t="shared" si="729"/>
        <v/>
      </c>
      <c r="R1665" s="103" t="str">
        <f t="shared" si="715"/>
        <v/>
      </c>
      <c r="S1665" s="103" t="str">
        <f t="shared" si="716"/>
        <v/>
      </c>
      <c r="T1665" s="106" t="str">
        <f t="shared" si="730"/>
        <v/>
      </c>
      <c r="U1665" s="106" t="str">
        <f t="shared" si="731"/>
        <v/>
      </c>
      <c r="V1665" s="106" t="str">
        <f t="shared" si="732"/>
        <v/>
      </c>
      <c r="W1665" s="105" t="str">
        <f t="shared" si="717"/>
        <v/>
      </c>
      <c r="X1665" s="104" t="str">
        <f t="shared" si="722"/>
        <v/>
      </c>
      <c r="Y1665" s="104" t="str">
        <f t="array" ref="Y1665">IFERROR(IF(ISNUMBER(O1665),IF(COUNT(IF(A1665=$A$2:$A$2427,IF(D1665=$D$2:$D$2427,IF($X$2:$X$2427&gt;0,1))))&gt;0,SUM(IF(A1665=$A$2:$A$2427,IF(D1665=$D$2:$D$2427,$X$2:$X$2427)))/COUNT(IF(A1665=$A$2:$A$2427,IF(D1665=$D$2:$D$2427,IF(ISNUMBER($X$2:$X$2427),1)))),0),""),0)</f>
        <v/>
      </c>
      <c r="Z1665" s="104" t="str">
        <f>IF(ISNUMBER(O1665),IF(I1665&gt;0,(10^(VLOOKUP(D1665,'Species Codes'!B:C,2,0)+VLOOKUP(D1665,'Species Codes'!B:D,3,0)*LOG(E1665)+VLOOKUP(D1665,'Species Codes'!B:E,4,0)*LOG(I1665))),0),"")</f>
        <v/>
      </c>
      <c r="AA1665" s="104" t="str">
        <f>IFERROR((VLOOKUP(D1665,'Species Codes'!B:G,6,0)*Z1665)/2000,"")</f>
        <v/>
      </c>
      <c r="AB1665" s="104" t="e">
        <f>IF(Z1665&gt;0,((IF(OR(D1665="DF",D1665="RA")=TRUE,EXP(VLOOKUP(D1665,'Species Codes'!B:I,8,0)+VLOOKUP(D1665,'Species Codes'!B:J,9,0)*(LN((E1665*2.54)))),IF(OR(D1665="PY",D1665="RC",D1665="WH",D1665="NF")=TRUE,VLOOKUP(D1665,'Species Codes'!B:I,8,0)+VLOOKUP(D1665,'Species Codes'!B:J,9,0)*((E1665*2.54)^2)*(I1665*0.3048),IF(OR(D1665="MD",D1665="BM",D1665="GA")=TRUE,((VLOOKUP(D1665,'Species Codes'!B:I,8,0)*(((((E1665*2.54)+VLOOKUP(D1665,'Species Codes'!B:J,9,0))/VLOOKUP(D1665,'Species Codes'!B:K,10,0))^VLOOKUP(D1665,'Species Codes'!B:L,11,0))*((I1665*0.3048)^VLOOKUP(D1665,'Species Codes'!B:M,12,0))))-(VLOOKUP(D1665,'Species Codes'!B:I,8,0)*((((E1665*2.54)^VLOOKUP(D1665,'Species Codes'!B:L,11,0))*((I1665*0.3048)^VLOOKUP(D1665,'Species Codes'!B:M,12,0))))))*35.3*VLOOKUP(D1665,'Species Codes'!B:G,6,0)/2.2046,VLOOKUP(D1665,'Species Codes'!B:I,8,0)+VLOOKUP(D1665,'Species Codes'!B:J,9,0)*(((E1665*2.54)/100)^2)*(I1665*0.3048)))))*0.0011023),0)</f>
        <v>#N/A</v>
      </c>
      <c r="AC1665" s="104" t="e">
        <f>IF(Z1665&gt;0,((IF(OR(D1665="RA",D1665="OA",D1665="OT",D1665="UN",D1665="PC"),EXP(VLOOKUP(D1665,'Species Codes'!B:O,14,0)+VLOOKUP(D1665,'Species Codes'!B:P,15,0)*LN((E1665*2.54)))-EXP(VLOOKUP(D1665,'Species Codes'!B:O,14,0)+VLOOKUP(D1665,'Species Codes'!B:P,15,0)*LN((E1665*2.54)))*(1/(VLOOKUP(D1665,'Species Codes'!B:Q,16,0)+VLOOKUP(D1665,'Species Codes'!B:R,17,0)*((E1665*2.54)^VLOOKUP(D1665,'Species Codes'!B:S,18,0)))),IF(OR(D1665="BM",D1665="MD",D1665="OA"),EXP(VLOOKUP(D1665,'Species Codes'!B:O,14,0)+VLOOKUP(D1665,'Species Codes'!B:P,15,0)*LN((E1665*2.54)))*(1-(1/(VLOOKUP(D1665,'Species Codes'!B:Q,16,0)+VLOOKUP(D1665,'Species Codes'!B:R,17,0)*((E1665*2.54)^VLOOKUP(D1665,'Species Codes'!B:S,18,0)))))/1000,IF(D1665="DF",EXP(VLOOKUP(D1665,'Species Codes'!B:O,14,0)+VLOOKUP(D1665,'Species Codes'!B:P,15,0)*LN((E1665*2.54))),VLOOKUP(D1665,'Species Codes'!B:O,14,0)+VLOOKUP(D1665,'Species Codes'!B:P,15,0)*(((E1665*2.54)/100)^2)*(I1665*0.3048)))))*0.0011023),0)</f>
        <v>#N/A</v>
      </c>
      <c r="AD1665" s="104" t="e">
        <f t="shared" si="733"/>
        <v>#N/A</v>
      </c>
      <c r="AE1665" s="104" t="e">
        <f t="shared" si="734"/>
        <v>#N/A</v>
      </c>
      <c r="AF1665" s="104" t="e">
        <f>IF(AND(VLOOKUP($D1665,Merchantability!$B:$C,2,0)="Yes",$E1665&gt;=VLOOKUP($D1665,Merchantability!$B:$D,3,0),$E1665&lt;=VLOOKUP($D1665,Merchantability!$B:$E,4,0)),AA1665,0)</f>
        <v>#N/A</v>
      </c>
      <c r="AG1665" s="104" t="e">
        <f>IF(AND(VLOOKUP($D1665,Merchantability!$B:$C,2,0)="Yes",$E1665&gt;=VLOOKUP($D1665,Merchantability!$B:$D,3,0),$E1665&lt;=VLOOKUP($D1665,Merchantability!$B:$E,4,0)),AB1665,0)</f>
        <v>#N/A</v>
      </c>
      <c r="AH1665" s="104" t="e">
        <f>IF(AND(VLOOKUP($D1665,Merchantability!$B:$C,2,0)="Yes",$E1665&gt;=VLOOKUP($D1665,Merchantability!$B:$D,3,0),$E1665&lt;=VLOOKUP($D1665,Merchantability!$B:$E,4,0)),AC1665,0)</f>
        <v>#N/A</v>
      </c>
      <c r="AI1665" s="104" t="e">
        <f t="shared" si="735"/>
        <v>#N/A</v>
      </c>
      <c r="AJ1665" s="104" t="e">
        <f t="shared" si="736"/>
        <v>#VALUE!</v>
      </c>
      <c r="AK1665" s="104" t="e">
        <f t="shared" si="737"/>
        <v>#N/A</v>
      </c>
      <c r="AL1665" s="104" t="e">
        <f t="shared" si="738"/>
        <v>#N/A</v>
      </c>
      <c r="AM1665" s="104" t="e">
        <f t="shared" si="739"/>
        <v>#N/A</v>
      </c>
      <c r="AN1665" s="104" t="e">
        <f t="shared" si="723"/>
        <v>#N/A</v>
      </c>
      <c r="AO1665" s="104" t="e">
        <f t="shared" si="724"/>
        <v>#N/A</v>
      </c>
      <c r="AP1665" s="104" t="e">
        <f t="shared" si="725"/>
        <v>#N/A</v>
      </c>
      <c r="AQ1665" s="104" t="e">
        <f t="shared" si="726"/>
        <v>#N/A</v>
      </c>
      <c r="AR1665" s="105" t="str">
        <f t="shared" si="718"/>
        <v/>
      </c>
      <c r="AS1665" s="105" t="str">
        <f t="shared" si="719"/>
        <v/>
      </c>
      <c r="AT1665" s="108" t="str">
        <f t="shared" si="720"/>
        <v/>
      </c>
      <c r="AU1665" s="108" t="str">
        <f t="shared" si="721"/>
        <v/>
      </c>
      <c r="AV1665" s="107" t="str">
        <f>IF(ISNUMBER(O1665),IF(VLOOKUP($A1665,Stand!C:J,8,FALSE)="Short",AT1665,AU1665),"")</f>
        <v/>
      </c>
      <c r="AW1665" s="109" t="str">
        <f t="shared" si="727"/>
        <v/>
      </c>
      <c r="AX1665" s="109" t="str">
        <f t="shared" si="728"/>
        <v/>
      </c>
      <c r="AY1665" s="112" t="str">
        <f>IF(ISNUMBER(O1665),IF(AND(VLOOKUP($D1665,Merchantability!$B:$C,2,0)="Yes",$E1665&gt;=VLOOKUP($D1665,Merchantability!$B:$D,3,0),$E1665&lt;=VLOOKUP($D1665,Merchantability!$B:$E,4,0)),(AV1665*O1665)*(1-$H1665/100),""),"")</f>
        <v/>
      </c>
      <c r="AZ1665" s="116"/>
      <c r="BA1665" s="116"/>
      <c r="BB1665" s="116"/>
      <c r="BE1665" s="62"/>
      <c r="BF1665" s="63"/>
    </row>
    <row r="1666" spans="1:58" ht="12.75" customHeight="1" x14ac:dyDescent="0.25">
      <c r="A1666" s="334"/>
      <c r="B1666" s="334"/>
      <c r="C1666" s="332"/>
      <c r="D1666" s="334"/>
      <c r="E1666" s="335"/>
      <c r="F1666" s="334"/>
      <c r="G1666" s="332"/>
      <c r="H1666" s="332"/>
      <c r="I1666" s="334"/>
      <c r="J1666" s="336"/>
      <c r="K1666" s="332"/>
      <c r="L1666" s="332"/>
      <c r="M1666" s="76"/>
      <c r="N1666" s="103" t="str">
        <f>IF(A1666="","",VLOOKUP(A1666,Stand!C:K,9,0))</f>
        <v/>
      </c>
      <c r="O1666" s="104" t="str">
        <f t="shared" ref="O1666:O1729" si="740">IF(E1666&gt;0,IF(G1666&gt;1,G1666*(43560/(N1666^2*3.14)),43560/(N1666^2*3.14)),"")</f>
        <v/>
      </c>
      <c r="P1666" s="105" t="str">
        <f t="shared" ref="P1666:P1729" si="741">IF(ISNUMBER(O1666),E1666*O1666,"")</f>
        <v/>
      </c>
      <c r="Q1666" s="105" t="str">
        <f t="shared" si="729"/>
        <v/>
      </c>
      <c r="R1666" s="103" t="str">
        <f t="shared" ref="R1666:R1729" si="742">IF(ISNUMBER(O1666),E1666^2*0.005454*O1666,"")</f>
        <v/>
      </c>
      <c r="S1666" s="103" t="str">
        <f t="shared" ref="S1666:S1729" si="743">IF(ISNUMBER(O1666),(E1666/10)^1.7*O1666,"")</f>
        <v/>
      </c>
      <c r="T1666" s="106" t="str">
        <f t="shared" si="730"/>
        <v/>
      </c>
      <c r="U1666" s="106" t="str">
        <f t="shared" si="731"/>
        <v/>
      </c>
      <c r="V1666" s="106" t="str">
        <f t="shared" si="732"/>
        <v/>
      </c>
      <c r="W1666" s="105" t="str">
        <f t="shared" ref="W1666:W1729" si="744">IF(AND(ISNUMBER(O1666),I1666&gt;0),I1666/(E1666/12),"")</f>
        <v/>
      </c>
      <c r="X1666" s="104" t="str">
        <f t="shared" si="722"/>
        <v/>
      </c>
      <c r="Y1666" s="104" t="str">
        <f t="array" ref="Y1666">IFERROR(IF(ISNUMBER(O1666),IF(COUNT(IF(A1666=$A$2:$A$2427,IF(D1666=$D$2:$D$2427,IF($X$2:$X$2427&gt;0,1))))&gt;0,SUM(IF(A1666=$A$2:$A$2427,IF(D1666=$D$2:$D$2427,$X$2:$X$2427)))/COUNT(IF(A1666=$A$2:$A$2427,IF(D1666=$D$2:$D$2427,IF(ISNUMBER($X$2:$X$2427),1)))),0),""),0)</f>
        <v/>
      </c>
      <c r="Z1666" s="104" t="str">
        <f>IF(ISNUMBER(O1666),IF(I1666&gt;0,(10^(VLOOKUP(D1666,'Species Codes'!B:C,2,0)+VLOOKUP(D1666,'Species Codes'!B:D,3,0)*LOG(E1666)+VLOOKUP(D1666,'Species Codes'!B:E,4,0)*LOG(I1666))),0),"")</f>
        <v/>
      </c>
      <c r="AA1666" s="104" t="str">
        <f>IFERROR((VLOOKUP(D1666,'Species Codes'!B:G,6,0)*Z1666)/2000,"")</f>
        <v/>
      </c>
      <c r="AB1666" s="104" t="e">
        <f>IF(Z1666&gt;0,((IF(OR(D1666="DF",D1666="RA")=TRUE,EXP(VLOOKUP(D1666,'Species Codes'!B:I,8,0)+VLOOKUP(D1666,'Species Codes'!B:J,9,0)*(LN((E1666*2.54)))),IF(OR(D1666="PY",D1666="RC",D1666="WH",D1666="NF")=TRUE,VLOOKUP(D1666,'Species Codes'!B:I,8,0)+VLOOKUP(D1666,'Species Codes'!B:J,9,0)*((E1666*2.54)^2)*(I1666*0.3048),IF(OR(D1666="MD",D1666="BM",D1666="GA")=TRUE,((VLOOKUP(D1666,'Species Codes'!B:I,8,0)*(((((E1666*2.54)+VLOOKUP(D1666,'Species Codes'!B:J,9,0))/VLOOKUP(D1666,'Species Codes'!B:K,10,0))^VLOOKUP(D1666,'Species Codes'!B:L,11,0))*((I1666*0.3048)^VLOOKUP(D1666,'Species Codes'!B:M,12,0))))-(VLOOKUP(D1666,'Species Codes'!B:I,8,0)*((((E1666*2.54)^VLOOKUP(D1666,'Species Codes'!B:L,11,0))*((I1666*0.3048)^VLOOKUP(D1666,'Species Codes'!B:M,12,0))))))*35.3*VLOOKUP(D1666,'Species Codes'!B:G,6,0)/2.2046,VLOOKUP(D1666,'Species Codes'!B:I,8,0)+VLOOKUP(D1666,'Species Codes'!B:J,9,0)*(((E1666*2.54)/100)^2)*(I1666*0.3048)))))*0.0011023),0)</f>
        <v>#N/A</v>
      </c>
      <c r="AC1666" s="104" t="e">
        <f>IF(Z1666&gt;0,((IF(OR(D1666="RA",D1666="OA",D1666="OT",D1666="UN",D1666="PC"),EXP(VLOOKUP(D1666,'Species Codes'!B:O,14,0)+VLOOKUP(D1666,'Species Codes'!B:P,15,0)*LN((E1666*2.54)))-EXP(VLOOKUP(D1666,'Species Codes'!B:O,14,0)+VLOOKUP(D1666,'Species Codes'!B:P,15,0)*LN((E1666*2.54)))*(1/(VLOOKUP(D1666,'Species Codes'!B:Q,16,0)+VLOOKUP(D1666,'Species Codes'!B:R,17,0)*((E1666*2.54)^VLOOKUP(D1666,'Species Codes'!B:S,18,0)))),IF(OR(D1666="BM",D1666="MD",D1666="OA"),EXP(VLOOKUP(D1666,'Species Codes'!B:O,14,0)+VLOOKUP(D1666,'Species Codes'!B:P,15,0)*LN((E1666*2.54)))*(1-(1/(VLOOKUP(D1666,'Species Codes'!B:Q,16,0)+VLOOKUP(D1666,'Species Codes'!B:R,17,0)*((E1666*2.54)^VLOOKUP(D1666,'Species Codes'!B:S,18,0)))))/1000,IF(D1666="DF",EXP(VLOOKUP(D1666,'Species Codes'!B:O,14,0)+VLOOKUP(D1666,'Species Codes'!B:P,15,0)*LN((E1666*2.54))),VLOOKUP(D1666,'Species Codes'!B:O,14,0)+VLOOKUP(D1666,'Species Codes'!B:P,15,0)*(((E1666*2.54)/100)^2)*(I1666*0.3048)))))*0.0011023),0)</f>
        <v>#N/A</v>
      </c>
      <c r="AD1666" s="104" t="e">
        <f t="shared" si="733"/>
        <v>#N/A</v>
      </c>
      <c r="AE1666" s="104" t="e">
        <f t="shared" si="734"/>
        <v>#N/A</v>
      </c>
      <c r="AF1666" s="104" t="e">
        <f>IF(AND(VLOOKUP($D1666,Merchantability!$B:$C,2,0)="Yes",$E1666&gt;=VLOOKUP($D1666,Merchantability!$B:$D,3,0),$E1666&lt;=VLOOKUP($D1666,Merchantability!$B:$E,4,0)),AA1666,0)</f>
        <v>#N/A</v>
      </c>
      <c r="AG1666" s="104" t="e">
        <f>IF(AND(VLOOKUP($D1666,Merchantability!$B:$C,2,0)="Yes",$E1666&gt;=VLOOKUP($D1666,Merchantability!$B:$D,3,0),$E1666&lt;=VLOOKUP($D1666,Merchantability!$B:$E,4,0)),AB1666,0)</f>
        <v>#N/A</v>
      </c>
      <c r="AH1666" s="104" t="e">
        <f>IF(AND(VLOOKUP($D1666,Merchantability!$B:$C,2,0)="Yes",$E1666&gt;=VLOOKUP($D1666,Merchantability!$B:$D,3,0),$E1666&lt;=VLOOKUP($D1666,Merchantability!$B:$E,4,0)),AC1666,0)</f>
        <v>#N/A</v>
      </c>
      <c r="AI1666" s="104" t="e">
        <f t="shared" si="735"/>
        <v>#N/A</v>
      </c>
      <c r="AJ1666" s="104" t="e">
        <f t="shared" si="736"/>
        <v>#VALUE!</v>
      </c>
      <c r="AK1666" s="104" t="e">
        <f t="shared" si="737"/>
        <v>#N/A</v>
      </c>
      <c r="AL1666" s="104" t="e">
        <f t="shared" si="738"/>
        <v>#N/A</v>
      </c>
      <c r="AM1666" s="104" t="e">
        <f t="shared" si="739"/>
        <v>#N/A</v>
      </c>
      <c r="AN1666" s="104" t="e">
        <f t="shared" si="723"/>
        <v>#N/A</v>
      </c>
      <c r="AO1666" s="104" t="e">
        <f t="shared" si="724"/>
        <v>#N/A</v>
      </c>
      <c r="AP1666" s="104" t="e">
        <f t="shared" si="725"/>
        <v>#N/A</v>
      </c>
      <c r="AQ1666" s="104" t="e">
        <f t="shared" si="726"/>
        <v>#N/A</v>
      </c>
      <c r="AR1666" s="105" t="str">
        <f t="shared" ref="AR1666:AR1729" si="745">IF(ISNUMBER(O1666),IF(Y1666&gt;0,((Y1666*(E1666^2*0.005454-0.087266))/0.912733),0),"")</f>
        <v/>
      </c>
      <c r="AS1666" s="105" t="str">
        <f t="shared" ref="AS1666:AS1729" si="746">IF(ISNUMBER(O1666),AR1666*(0.993-0.993*(0.62^(E1666-6))),"")</f>
        <v/>
      </c>
      <c r="AT1666" s="108" t="str">
        <f t="shared" ref="AT1666:AT1729" si="747">IF(ISNUMBER(O1666),IF(AS1666&gt;0,IF(Y1666&gt;0,(AS1666*10^(0.174439+0.117594*(LOG(E1666,10))*(LOG(Y1666/0.912733,10))-8.210585/E1666^2+0.236693*(LOG(Y1666/0.912733,10))-0.00001345*(Y1666/0.912733)^2-0.00001937*E1666^2)),0),0),"")</f>
        <v/>
      </c>
      <c r="AU1666" s="108" t="str">
        <f t="shared" ref="AU1666:AU1729" si="748">IF(ISNUMBER(O1666),IF(AS1666&gt;0,IF(Y1666&gt;0,AT1666*(1.001491-(6.92497/Y1666)+(0.00001351*(E1666^2))),0),0),"")</f>
        <v/>
      </c>
      <c r="AV1666" s="107" t="str">
        <f>IF(ISNUMBER(O1666),IF(VLOOKUP($A1666,Stand!C:J,8,FALSE)="Short",AT1666,AU1666),"")</f>
        <v/>
      </c>
      <c r="AW1666" s="109" t="str">
        <f t="shared" si="727"/>
        <v/>
      </c>
      <c r="AX1666" s="109" t="str">
        <f t="shared" si="728"/>
        <v/>
      </c>
      <c r="AY1666" s="112" t="str">
        <f>IF(ISNUMBER(O1666),IF(AND(VLOOKUP($D1666,Merchantability!$B:$C,2,0)="Yes",$E1666&gt;=VLOOKUP($D1666,Merchantability!$B:$D,3,0),$E1666&lt;=VLOOKUP($D1666,Merchantability!$B:$E,4,0)),(AV1666*O1666)*(1-$H1666/100),""),"")</f>
        <v/>
      </c>
      <c r="AZ1666" s="116"/>
      <c r="BA1666" s="116"/>
      <c r="BB1666" s="116"/>
      <c r="BE1666" s="62"/>
      <c r="BF1666" s="63"/>
    </row>
    <row r="1667" spans="1:58" ht="12.75" customHeight="1" x14ac:dyDescent="0.25">
      <c r="A1667" s="334"/>
      <c r="B1667" s="334"/>
      <c r="C1667" s="332"/>
      <c r="D1667" s="334"/>
      <c r="E1667" s="335"/>
      <c r="F1667" s="334"/>
      <c r="G1667" s="332"/>
      <c r="H1667" s="332"/>
      <c r="I1667" s="334"/>
      <c r="J1667" s="336"/>
      <c r="K1667" s="332"/>
      <c r="L1667" s="332"/>
      <c r="M1667" s="76"/>
      <c r="N1667" s="103" t="str">
        <f>IF(A1667="","",VLOOKUP(A1667,Stand!C:K,9,0))</f>
        <v/>
      </c>
      <c r="O1667" s="104" t="str">
        <f t="shared" si="740"/>
        <v/>
      </c>
      <c r="P1667" s="105" t="str">
        <f t="shared" si="741"/>
        <v/>
      </c>
      <c r="Q1667" s="105" t="str">
        <f t="shared" si="729"/>
        <v/>
      </c>
      <c r="R1667" s="103" t="str">
        <f t="shared" si="742"/>
        <v/>
      </c>
      <c r="S1667" s="103" t="str">
        <f t="shared" si="743"/>
        <v/>
      </c>
      <c r="T1667" s="106" t="str">
        <f t="shared" si="730"/>
        <v/>
      </c>
      <c r="U1667" s="106" t="str">
        <f t="shared" si="731"/>
        <v/>
      </c>
      <c r="V1667" s="106" t="str">
        <f t="shared" si="732"/>
        <v/>
      </c>
      <c r="W1667" s="105" t="str">
        <f t="shared" si="744"/>
        <v/>
      </c>
      <c r="X1667" s="104" t="str">
        <f t="shared" ref="X1667:X1730" si="749">IF(ISNUMBER(O1667),IF(I1667&gt;0,IF(E1667&gt;0,(0.912733*Z1667)/(1.033*(1+1.382937*EXP(-4.015292*E1667/10))*((E1667^2)*0.005454+0.087266)-0.174533),""),""),"")</f>
        <v/>
      </c>
      <c r="Y1667" s="104" t="str">
        <f t="array" ref="Y1667">IFERROR(IF(ISNUMBER(O1667),IF(COUNT(IF(A1667=$A$2:$A$2427,IF(D1667=$D$2:$D$2427,IF($X$2:$X$2427&gt;0,1))))&gt;0,SUM(IF(A1667=$A$2:$A$2427,IF(D1667=$D$2:$D$2427,$X$2:$X$2427)))/COUNT(IF(A1667=$A$2:$A$2427,IF(D1667=$D$2:$D$2427,IF(ISNUMBER($X$2:$X$2427),1)))),0),""),0)</f>
        <v/>
      </c>
      <c r="Z1667" s="104" t="str">
        <f>IF(ISNUMBER(O1667),IF(I1667&gt;0,(10^(VLOOKUP(D1667,'Species Codes'!B:C,2,0)+VLOOKUP(D1667,'Species Codes'!B:D,3,0)*LOG(E1667)+VLOOKUP(D1667,'Species Codes'!B:E,4,0)*LOG(I1667))),0),"")</f>
        <v/>
      </c>
      <c r="AA1667" s="104" t="str">
        <f>IFERROR((VLOOKUP(D1667,'Species Codes'!B:G,6,0)*Z1667)/2000,"")</f>
        <v/>
      </c>
      <c r="AB1667" s="104" t="e">
        <f>IF(Z1667&gt;0,((IF(OR(D1667="DF",D1667="RA")=TRUE,EXP(VLOOKUP(D1667,'Species Codes'!B:I,8,0)+VLOOKUP(D1667,'Species Codes'!B:J,9,0)*(LN((E1667*2.54)))),IF(OR(D1667="PY",D1667="RC",D1667="WH",D1667="NF")=TRUE,VLOOKUP(D1667,'Species Codes'!B:I,8,0)+VLOOKUP(D1667,'Species Codes'!B:J,9,0)*((E1667*2.54)^2)*(I1667*0.3048),IF(OR(D1667="MD",D1667="BM",D1667="GA")=TRUE,((VLOOKUP(D1667,'Species Codes'!B:I,8,0)*(((((E1667*2.54)+VLOOKUP(D1667,'Species Codes'!B:J,9,0))/VLOOKUP(D1667,'Species Codes'!B:K,10,0))^VLOOKUP(D1667,'Species Codes'!B:L,11,0))*((I1667*0.3048)^VLOOKUP(D1667,'Species Codes'!B:M,12,0))))-(VLOOKUP(D1667,'Species Codes'!B:I,8,0)*((((E1667*2.54)^VLOOKUP(D1667,'Species Codes'!B:L,11,0))*((I1667*0.3048)^VLOOKUP(D1667,'Species Codes'!B:M,12,0))))))*35.3*VLOOKUP(D1667,'Species Codes'!B:G,6,0)/2.2046,VLOOKUP(D1667,'Species Codes'!B:I,8,0)+VLOOKUP(D1667,'Species Codes'!B:J,9,0)*(((E1667*2.54)/100)^2)*(I1667*0.3048)))))*0.0011023),0)</f>
        <v>#N/A</v>
      </c>
      <c r="AC1667" s="104" t="e">
        <f>IF(Z1667&gt;0,((IF(OR(D1667="RA",D1667="OA",D1667="OT",D1667="UN",D1667="PC"),EXP(VLOOKUP(D1667,'Species Codes'!B:O,14,0)+VLOOKUP(D1667,'Species Codes'!B:P,15,0)*LN((E1667*2.54)))-EXP(VLOOKUP(D1667,'Species Codes'!B:O,14,0)+VLOOKUP(D1667,'Species Codes'!B:P,15,0)*LN((E1667*2.54)))*(1/(VLOOKUP(D1667,'Species Codes'!B:Q,16,0)+VLOOKUP(D1667,'Species Codes'!B:R,17,0)*((E1667*2.54)^VLOOKUP(D1667,'Species Codes'!B:S,18,0)))),IF(OR(D1667="BM",D1667="MD",D1667="OA"),EXP(VLOOKUP(D1667,'Species Codes'!B:O,14,0)+VLOOKUP(D1667,'Species Codes'!B:P,15,0)*LN((E1667*2.54)))*(1-(1/(VLOOKUP(D1667,'Species Codes'!B:Q,16,0)+VLOOKUP(D1667,'Species Codes'!B:R,17,0)*((E1667*2.54)^VLOOKUP(D1667,'Species Codes'!B:S,18,0)))))/1000,IF(D1667="DF",EXP(VLOOKUP(D1667,'Species Codes'!B:O,14,0)+VLOOKUP(D1667,'Species Codes'!B:P,15,0)*LN((E1667*2.54))),VLOOKUP(D1667,'Species Codes'!B:O,14,0)+VLOOKUP(D1667,'Species Codes'!B:P,15,0)*(((E1667*2.54)/100)^2)*(I1667*0.3048)))))*0.0011023),0)</f>
        <v>#N/A</v>
      </c>
      <c r="AD1667" s="104" t="e">
        <f t="shared" si="733"/>
        <v>#N/A</v>
      </c>
      <c r="AE1667" s="104" t="e">
        <f t="shared" si="734"/>
        <v>#N/A</v>
      </c>
      <c r="AF1667" s="104" t="e">
        <f>IF(AND(VLOOKUP($D1667,Merchantability!$B:$C,2,0)="Yes",$E1667&gt;=VLOOKUP($D1667,Merchantability!$B:$D,3,0),$E1667&lt;=VLOOKUP($D1667,Merchantability!$B:$E,4,0)),AA1667,0)</f>
        <v>#N/A</v>
      </c>
      <c r="AG1667" s="104" t="e">
        <f>IF(AND(VLOOKUP($D1667,Merchantability!$B:$C,2,0)="Yes",$E1667&gt;=VLOOKUP($D1667,Merchantability!$B:$D,3,0),$E1667&lt;=VLOOKUP($D1667,Merchantability!$B:$E,4,0)),AB1667,0)</f>
        <v>#N/A</v>
      </c>
      <c r="AH1667" s="104" t="e">
        <f>IF(AND(VLOOKUP($D1667,Merchantability!$B:$C,2,0)="Yes",$E1667&gt;=VLOOKUP($D1667,Merchantability!$B:$D,3,0),$E1667&lt;=VLOOKUP($D1667,Merchantability!$B:$E,4,0)),AC1667,0)</f>
        <v>#N/A</v>
      </c>
      <c r="AI1667" s="104" t="e">
        <f t="shared" si="735"/>
        <v>#N/A</v>
      </c>
      <c r="AJ1667" s="104" t="e">
        <f t="shared" si="736"/>
        <v>#VALUE!</v>
      </c>
      <c r="AK1667" s="104" t="e">
        <f t="shared" si="737"/>
        <v>#N/A</v>
      </c>
      <c r="AL1667" s="104" t="e">
        <f t="shared" si="738"/>
        <v>#N/A</v>
      </c>
      <c r="AM1667" s="104" t="e">
        <f t="shared" si="739"/>
        <v>#N/A</v>
      </c>
      <c r="AN1667" s="104" t="e">
        <f t="shared" ref="AN1667:AN1730" si="750">AF1667*$O1667</f>
        <v>#N/A</v>
      </c>
      <c r="AO1667" s="104" t="e">
        <f t="shared" ref="AO1667:AO1730" si="751">AG1667*$O1667</f>
        <v>#N/A</v>
      </c>
      <c r="AP1667" s="104" t="e">
        <f t="shared" ref="AP1667:AP1730" si="752">AH1667*$O1667</f>
        <v>#N/A</v>
      </c>
      <c r="AQ1667" s="104" t="e">
        <f t="shared" ref="AQ1667:AQ1730" si="753">SUM(AN1667:AP1667)</f>
        <v>#N/A</v>
      </c>
      <c r="AR1667" s="105" t="str">
        <f t="shared" si="745"/>
        <v/>
      </c>
      <c r="AS1667" s="105" t="str">
        <f t="shared" si="746"/>
        <v/>
      </c>
      <c r="AT1667" s="108" t="str">
        <f t="shared" si="747"/>
        <v/>
      </c>
      <c r="AU1667" s="108" t="str">
        <f t="shared" si="748"/>
        <v/>
      </c>
      <c r="AV1667" s="107" t="str">
        <f>IF(ISNUMBER(O1667),IF(VLOOKUP($A1667,Stand!C:J,8,FALSE)="Short",AT1667,AU1667),"")</f>
        <v/>
      </c>
      <c r="AW1667" s="109" t="str">
        <f t="shared" ref="AW1667:AW1730" si="754">IF(ISNUMBER(O1667),AV1667*O1667,"")</f>
        <v/>
      </c>
      <c r="AX1667" s="109" t="str">
        <f t="shared" ref="AX1667:AX1730" si="755">IF(ISNUMBER(O1667),AW1667*(1-$H1667/100),"")</f>
        <v/>
      </c>
      <c r="AY1667" s="112" t="str">
        <f>IF(ISNUMBER(O1667),IF(AND(VLOOKUP($D1667,Merchantability!$B:$C,2,0)="Yes",$E1667&gt;=VLOOKUP($D1667,Merchantability!$B:$D,3,0),$E1667&lt;=VLOOKUP($D1667,Merchantability!$B:$E,4,0)),(AV1667*O1667)*(1-$H1667/100),""),"")</f>
        <v/>
      </c>
      <c r="AZ1667" s="116"/>
      <c r="BA1667" s="116"/>
      <c r="BB1667" s="116"/>
      <c r="BE1667" s="62"/>
      <c r="BF1667" s="63"/>
    </row>
    <row r="1668" spans="1:58" ht="12.75" customHeight="1" x14ac:dyDescent="0.25">
      <c r="A1668" s="334"/>
      <c r="B1668" s="334"/>
      <c r="C1668" s="332"/>
      <c r="D1668" s="334"/>
      <c r="E1668" s="335"/>
      <c r="F1668" s="334"/>
      <c r="G1668" s="332"/>
      <c r="H1668" s="332"/>
      <c r="I1668" s="334"/>
      <c r="J1668" s="336"/>
      <c r="K1668" s="332"/>
      <c r="L1668" s="332"/>
      <c r="M1668" s="76"/>
      <c r="N1668" s="103" t="str">
        <f>IF(A1668="","",VLOOKUP(A1668,Stand!C:K,9,0))</f>
        <v/>
      </c>
      <c r="O1668" s="104" t="str">
        <f t="shared" si="740"/>
        <v/>
      </c>
      <c r="P1668" s="105" t="str">
        <f t="shared" si="741"/>
        <v/>
      </c>
      <c r="Q1668" s="105" t="str">
        <f t="shared" si="729"/>
        <v/>
      </c>
      <c r="R1668" s="103" t="str">
        <f t="shared" si="742"/>
        <v/>
      </c>
      <c r="S1668" s="103" t="str">
        <f t="shared" si="743"/>
        <v/>
      </c>
      <c r="T1668" s="106" t="str">
        <f t="shared" si="730"/>
        <v/>
      </c>
      <c r="U1668" s="106" t="str">
        <f t="shared" si="731"/>
        <v/>
      </c>
      <c r="V1668" s="106" t="str">
        <f t="shared" si="732"/>
        <v/>
      </c>
      <c r="W1668" s="105" t="str">
        <f t="shared" si="744"/>
        <v/>
      </c>
      <c r="X1668" s="104" t="str">
        <f t="shared" si="749"/>
        <v/>
      </c>
      <c r="Y1668" s="104" t="str">
        <f t="array" ref="Y1668">IFERROR(IF(ISNUMBER(O1668),IF(COUNT(IF(A1668=$A$2:$A$2427,IF(D1668=$D$2:$D$2427,IF($X$2:$X$2427&gt;0,1))))&gt;0,SUM(IF(A1668=$A$2:$A$2427,IF(D1668=$D$2:$D$2427,$X$2:$X$2427)))/COUNT(IF(A1668=$A$2:$A$2427,IF(D1668=$D$2:$D$2427,IF(ISNUMBER($X$2:$X$2427),1)))),0),""),0)</f>
        <v/>
      </c>
      <c r="Z1668" s="104" t="str">
        <f>IF(ISNUMBER(O1668),IF(I1668&gt;0,(10^(VLOOKUP(D1668,'Species Codes'!B:C,2,0)+VLOOKUP(D1668,'Species Codes'!B:D,3,0)*LOG(E1668)+VLOOKUP(D1668,'Species Codes'!B:E,4,0)*LOG(I1668))),0),"")</f>
        <v/>
      </c>
      <c r="AA1668" s="104" t="str">
        <f>IFERROR((VLOOKUP(D1668,'Species Codes'!B:G,6,0)*Z1668)/2000,"")</f>
        <v/>
      </c>
      <c r="AB1668" s="104" t="e">
        <f>IF(Z1668&gt;0,((IF(OR(D1668="DF",D1668="RA")=TRUE,EXP(VLOOKUP(D1668,'Species Codes'!B:I,8,0)+VLOOKUP(D1668,'Species Codes'!B:J,9,0)*(LN((E1668*2.54)))),IF(OR(D1668="PY",D1668="RC",D1668="WH",D1668="NF")=TRUE,VLOOKUP(D1668,'Species Codes'!B:I,8,0)+VLOOKUP(D1668,'Species Codes'!B:J,9,0)*((E1668*2.54)^2)*(I1668*0.3048),IF(OR(D1668="MD",D1668="BM",D1668="GA")=TRUE,((VLOOKUP(D1668,'Species Codes'!B:I,8,0)*(((((E1668*2.54)+VLOOKUP(D1668,'Species Codes'!B:J,9,0))/VLOOKUP(D1668,'Species Codes'!B:K,10,0))^VLOOKUP(D1668,'Species Codes'!B:L,11,0))*((I1668*0.3048)^VLOOKUP(D1668,'Species Codes'!B:M,12,0))))-(VLOOKUP(D1668,'Species Codes'!B:I,8,0)*((((E1668*2.54)^VLOOKUP(D1668,'Species Codes'!B:L,11,0))*((I1668*0.3048)^VLOOKUP(D1668,'Species Codes'!B:M,12,0))))))*35.3*VLOOKUP(D1668,'Species Codes'!B:G,6,0)/2.2046,VLOOKUP(D1668,'Species Codes'!B:I,8,0)+VLOOKUP(D1668,'Species Codes'!B:J,9,0)*(((E1668*2.54)/100)^2)*(I1668*0.3048)))))*0.0011023),0)</f>
        <v>#N/A</v>
      </c>
      <c r="AC1668" s="104" t="e">
        <f>IF(Z1668&gt;0,((IF(OR(D1668="RA",D1668="OA",D1668="OT",D1668="UN",D1668="PC"),EXP(VLOOKUP(D1668,'Species Codes'!B:O,14,0)+VLOOKUP(D1668,'Species Codes'!B:P,15,0)*LN((E1668*2.54)))-EXP(VLOOKUP(D1668,'Species Codes'!B:O,14,0)+VLOOKUP(D1668,'Species Codes'!B:P,15,0)*LN((E1668*2.54)))*(1/(VLOOKUP(D1668,'Species Codes'!B:Q,16,0)+VLOOKUP(D1668,'Species Codes'!B:R,17,0)*((E1668*2.54)^VLOOKUP(D1668,'Species Codes'!B:S,18,0)))),IF(OR(D1668="BM",D1668="MD",D1668="OA"),EXP(VLOOKUP(D1668,'Species Codes'!B:O,14,0)+VLOOKUP(D1668,'Species Codes'!B:P,15,0)*LN((E1668*2.54)))*(1-(1/(VLOOKUP(D1668,'Species Codes'!B:Q,16,0)+VLOOKUP(D1668,'Species Codes'!B:R,17,0)*((E1668*2.54)^VLOOKUP(D1668,'Species Codes'!B:S,18,0)))))/1000,IF(D1668="DF",EXP(VLOOKUP(D1668,'Species Codes'!B:O,14,0)+VLOOKUP(D1668,'Species Codes'!B:P,15,0)*LN((E1668*2.54))),VLOOKUP(D1668,'Species Codes'!B:O,14,0)+VLOOKUP(D1668,'Species Codes'!B:P,15,0)*(((E1668*2.54)/100)^2)*(I1668*0.3048)))))*0.0011023),0)</f>
        <v>#N/A</v>
      </c>
      <c r="AD1668" s="104" t="e">
        <f t="shared" si="733"/>
        <v>#N/A</v>
      </c>
      <c r="AE1668" s="104" t="e">
        <f t="shared" si="734"/>
        <v>#N/A</v>
      </c>
      <c r="AF1668" s="104" t="e">
        <f>IF(AND(VLOOKUP($D1668,Merchantability!$B:$C,2,0)="Yes",$E1668&gt;=VLOOKUP($D1668,Merchantability!$B:$D,3,0),$E1668&lt;=VLOOKUP($D1668,Merchantability!$B:$E,4,0)),AA1668,0)</f>
        <v>#N/A</v>
      </c>
      <c r="AG1668" s="104" t="e">
        <f>IF(AND(VLOOKUP($D1668,Merchantability!$B:$C,2,0)="Yes",$E1668&gt;=VLOOKUP($D1668,Merchantability!$B:$D,3,0),$E1668&lt;=VLOOKUP($D1668,Merchantability!$B:$E,4,0)),AB1668,0)</f>
        <v>#N/A</v>
      </c>
      <c r="AH1668" s="104" t="e">
        <f>IF(AND(VLOOKUP($D1668,Merchantability!$B:$C,2,0)="Yes",$E1668&gt;=VLOOKUP($D1668,Merchantability!$B:$D,3,0),$E1668&lt;=VLOOKUP($D1668,Merchantability!$B:$E,4,0)),AC1668,0)</f>
        <v>#N/A</v>
      </c>
      <c r="AI1668" s="104" t="e">
        <f t="shared" si="735"/>
        <v>#N/A</v>
      </c>
      <c r="AJ1668" s="104" t="e">
        <f t="shared" si="736"/>
        <v>#VALUE!</v>
      </c>
      <c r="AK1668" s="104" t="e">
        <f t="shared" si="737"/>
        <v>#N/A</v>
      </c>
      <c r="AL1668" s="104" t="e">
        <f t="shared" si="738"/>
        <v>#N/A</v>
      </c>
      <c r="AM1668" s="104" t="e">
        <f t="shared" si="739"/>
        <v>#N/A</v>
      </c>
      <c r="AN1668" s="104" t="e">
        <f t="shared" si="750"/>
        <v>#N/A</v>
      </c>
      <c r="AO1668" s="104" t="e">
        <f t="shared" si="751"/>
        <v>#N/A</v>
      </c>
      <c r="AP1668" s="104" t="e">
        <f t="shared" si="752"/>
        <v>#N/A</v>
      </c>
      <c r="AQ1668" s="104" t="e">
        <f t="shared" si="753"/>
        <v>#N/A</v>
      </c>
      <c r="AR1668" s="105" t="str">
        <f t="shared" si="745"/>
        <v/>
      </c>
      <c r="AS1668" s="105" t="str">
        <f t="shared" si="746"/>
        <v/>
      </c>
      <c r="AT1668" s="108" t="str">
        <f t="shared" si="747"/>
        <v/>
      </c>
      <c r="AU1668" s="108" t="str">
        <f t="shared" si="748"/>
        <v/>
      </c>
      <c r="AV1668" s="107" t="str">
        <f>IF(ISNUMBER(O1668),IF(VLOOKUP($A1668,Stand!C:J,8,FALSE)="Short",AT1668,AU1668),"")</f>
        <v/>
      </c>
      <c r="AW1668" s="109" t="str">
        <f t="shared" si="754"/>
        <v/>
      </c>
      <c r="AX1668" s="109" t="str">
        <f t="shared" si="755"/>
        <v/>
      </c>
      <c r="AY1668" s="112" t="str">
        <f>IF(ISNUMBER(O1668),IF(AND(VLOOKUP($D1668,Merchantability!$B:$C,2,0)="Yes",$E1668&gt;=VLOOKUP($D1668,Merchantability!$B:$D,3,0),$E1668&lt;=VLOOKUP($D1668,Merchantability!$B:$E,4,0)),(AV1668*O1668)*(1-$H1668/100),""),"")</f>
        <v/>
      </c>
      <c r="AZ1668" s="116"/>
      <c r="BA1668" s="116"/>
      <c r="BB1668" s="116"/>
      <c r="BE1668" s="62"/>
      <c r="BF1668" s="63"/>
    </row>
    <row r="1669" spans="1:58" ht="12.75" customHeight="1" x14ac:dyDescent="0.25">
      <c r="A1669" s="334"/>
      <c r="B1669" s="334"/>
      <c r="C1669" s="332"/>
      <c r="D1669" s="334"/>
      <c r="E1669" s="335"/>
      <c r="F1669" s="334"/>
      <c r="G1669" s="332"/>
      <c r="H1669" s="332"/>
      <c r="I1669" s="334"/>
      <c r="J1669" s="336"/>
      <c r="K1669" s="332"/>
      <c r="L1669" s="332"/>
      <c r="M1669" s="76"/>
      <c r="N1669" s="103" t="str">
        <f>IF(A1669="","",VLOOKUP(A1669,Stand!C:K,9,0))</f>
        <v/>
      </c>
      <c r="O1669" s="104" t="str">
        <f t="shared" si="740"/>
        <v/>
      </c>
      <c r="P1669" s="105" t="str">
        <f t="shared" si="741"/>
        <v/>
      </c>
      <c r="Q1669" s="105" t="str">
        <f t="shared" si="729"/>
        <v/>
      </c>
      <c r="R1669" s="103" t="str">
        <f t="shared" si="742"/>
        <v/>
      </c>
      <c r="S1669" s="103" t="str">
        <f t="shared" si="743"/>
        <v/>
      </c>
      <c r="T1669" s="106" t="str">
        <f t="shared" si="730"/>
        <v/>
      </c>
      <c r="U1669" s="106" t="str">
        <f t="shared" si="731"/>
        <v/>
      </c>
      <c r="V1669" s="106" t="str">
        <f t="shared" si="732"/>
        <v/>
      </c>
      <c r="W1669" s="105" t="str">
        <f t="shared" si="744"/>
        <v/>
      </c>
      <c r="X1669" s="104" t="str">
        <f t="shared" si="749"/>
        <v/>
      </c>
      <c r="Y1669" s="104" t="str">
        <f t="array" ref="Y1669">IFERROR(IF(ISNUMBER(O1669),IF(COUNT(IF(A1669=$A$2:$A$2427,IF(D1669=$D$2:$D$2427,IF($X$2:$X$2427&gt;0,1))))&gt;0,SUM(IF(A1669=$A$2:$A$2427,IF(D1669=$D$2:$D$2427,$X$2:$X$2427)))/COUNT(IF(A1669=$A$2:$A$2427,IF(D1669=$D$2:$D$2427,IF(ISNUMBER($X$2:$X$2427),1)))),0),""),0)</f>
        <v/>
      </c>
      <c r="Z1669" s="104" t="str">
        <f>IF(ISNUMBER(O1669),IF(I1669&gt;0,(10^(VLOOKUP(D1669,'Species Codes'!B:C,2,0)+VLOOKUP(D1669,'Species Codes'!B:D,3,0)*LOG(E1669)+VLOOKUP(D1669,'Species Codes'!B:E,4,0)*LOG(I1669))),0),"")</f>
        <v/>
      </c>
      <c r="AA1669" s="104" t="str">
        <f>IFERROR((VLOOKUP(D1669,'Species Codes'!B:G,6,0)*Z1669)/2000,"")</f>
        <v/>
      </c>
      <c r="AB1669" s="104" t="e">
        <f>IF(Z1669&gt;0,((IF(OR(D1669="DF",D1669="RA")=TRUE,EXP(VLOOKUP(D1669,'Species Codes'!B:I,8,0)+VLOOKUP(D1669,'Species Codes'!B:J,9,0)*(LN((E1669*2.54)))),IF(OR(D1669="PY",D1669="RC",D1669="WH",D1669="NF")=TRUE,VLOOKUP(D1669,'Species Codes'!B:I,8,0)+VLOOKUP(D1669,'Species Codes'!B:J,9,0)*((E1669*2.54)^2)*(I1669*0.3048),IF(OR(D1669="MD",D1669="BM",D1669="GA")=TRUE,((VLOOKUP(D1669,'Species Codes'!B:I,8,0)*(((((E1669*2.54)+VLOOKUP(D1669,'Species Codes'!B:J,9,0))/VLOOKUP(D1669,'Species Codes'!B:K,10,0))^VLOOKUP(D1669,'Species Codes'!B:L,11,0))*((I1669*0.3048)^VLOOKUP(D1669,'Species Codes'!B:M,12,0))))-(VLOOKUP(D1669,'Species Codes'!B:I,8,0)*((((E1669*2.54)^VLOOKUP(D1669,'Species Codes'!B:L,11,0))*((I1669*0.3048)^VLOOKUP(D1669,'Species Codes'!B:M,12,0))))))*35.3*VLOOKUP(D1669,'Species Codes'!B:G,6,0)/2.2046,VLOOKUP(D1669,'Species Codes'!B:I,8,0)+VLOOKUP(D1669,'Species Codes'!B:J,9,0)*(((E1669*2.54)/100)^2)*(I1669*0.3048)))))*0.0011023),0)</f>
        <v>#N/A</v>
      </c>
      <c r="AC1669" s="104" t="e">
        <f>IF(Z1669&gt;0,((IF(OR(D1669="RA",D1669="OA",D1669="OT",D1669="UN",D1669="PC"),EXP(VLOOKUP(D1669,'Species Codes'!B:O,14,0)+VLOOKUP(D1669,'Species Codes'!B:P,15,0)*LN((E1669*2.54)))-EXP(VLOOKUP(D1669,'Species Codes'!B:O,14,0)+VLOOKUP(D1669,'Species Codes'!B:P,15,0)*LN((E1669*2.54)))*(1/(VLOOKUP(D1669,'Species Codes'!B:Q,16,0)+VLOOKUP(D1669,'Species Codes'!B:R,17,0)*((E1669*2.54)^VLOOKUP(D1669,'Species Codes'!B:S,18,0)))),IF(OR(D1669="BM",D1669="MD",D1669="OA"),EXP(VLOOKUP(D1669,'Species Codes'!B:O,14,0)+VLOOKUP(D1669,'Species Codes'!B:P,15,0)*LN((E1669*2.54)))*(1-(1/(VLOOKUP(D1669,'Species Codes'!B:Q,16,0)+VLOOKUP(D1669,'Species Codes'!B:R,17,0)*((E1669*2.54)^VLOOKUP(D1669,'Species Codes'!B:S,18,0)))))/1000,IF(D1669="DF",EXP(VLOOKUP(D1669,'Species Codes'!B:O,14,0)+VLOOKUP(D1669,'Species Codes'!B:P,15,0)*LN((E1669*2.54))),VLOOKUP(D1669,'Species Codes'!B:O,14,0)+VLOOKUP(D1669,'Species Codes'!B:P,15,0)*(((E1669*2.54)/100)^2)*(I1669*0.3048)))))*0.0011023),0)</f>
        <v>#N/A</v>
      </c>
      <c r="AD1669" s="104" t="e">
        <f t="shared" si="733"/>
        <v>#N/A</v>
      </c>
      <c r="AE1669" s="104" t="e">
        <f t="shared" si="734"/>
        <v>#N/A</v>
      </c>
      <c r="AF1669" s="104" t="e">
        <f>IF(AND(VLOOKUP($D1669,Merchantability!$B:$C,2,0)="Yes",$E1669&gt;=VLOOKUP($D1669,Merchantability!$B:$D,3,0),$E1669&lt;=VLOOKUP($D1669,Merchantability!$B:$E,4,0)),AA1669,0)</f>
        <v>#N/A</v>
      </c>
      <c r="AG1669" s="104" t="e">
        <f>IF(AND(VLOOKUP($D1669,Merchantability!$B:$C,2,0)="Yes",$E1669&gt;=VLOOKUP($D1669,Merchantability!$B:$D,3,0),$E1669&lt;=VLOOKUP($D1669,Merchantability!$B:$E,4,0)),AB1669,0)</f>
        <v>#N/A</v>
      </c>
      <c r="AH1669" s="104" t="e">
        <f>IF(AND(VLOOKUP($D1669,Merchantability!$B:$C,2,0)="Yes",$E1669&gt;=VLOOKUP($D1669,Merchantability!$B:$D,3,0),$E1669&lt;=VLOOKUP($D1669,Merchantability!$B:$E,4,0)),AC1669,0)</f>
        <v>#N/A</v>
      </c>
      <c r="AI1669" s="104" t="e">
        <f t="shared" si="735"/>
        <v>#N/A</v>
      </c>
      <c r="AJ1669" s="104" t="e">
        <f t="shared" si="736"/>
        <v>#VALUE!</v>
      </c>
      <c r="AK1669" s="104" t="e">
        <f t="shared" si="737"/>
        <v>#N/A</v>
      </c>
      <c r="AL1669" s="104" t="e">
        <f t="shared" si="738"/>
        <v>#N/A</v>
      </c>
      <c r="AM1669" s="104" t="e">
        <f t="shared" si="739"/>
        <v>#N/A</v>
      </c>
      <c r="AN1669" s="104" t="e">
        <f t="shared" si="750"/>
        <v>#N/A</v>
      </c>
      <c r="AO1669" s="104" t="e">
        <f t="shared" si="751"/>
        <v>#N/A</v>
      </c>
      <c r="AP1669" s="104" t="e">
        <f t="shared" si="752"/>
        <v>#N/A</v>
      </c>
      <c r="AQ1669" s="104" t="e">
        <f t="shared" si="753"/>
        <v>#N/A</v>
      </c>
      <c r="AR1669" s="105" t="str">
        <f t="shared" si="745"/>
        <v/>
      </c>
      <c r="AS1669" s="105" t="str">
        <f t="shared" si="746"/>
        <v/>
      </c>
      <c r="AT1669" s="108" t="str">
        <f t="shared" si="747"/>
        <v/>
      </c>
      <c r="AU1669" s="108" t="str">
        <f t="shared" si="748"/>
        <v/>
      </c>
      <c r="AV1669" s="107" t="str">
        <f>IF(ISNUMBER(O1669),IF(VLOOKUP($A1669,Stand!C:J,8,FALSE)="Short",AT1669,AU1669),"")</f>
        <v/>
      </c>
      <c r="AW1669" s="109" t="str">
        <f t="shared" si="754"/>
        <v/>
      </c>
      <c r="AX1669" s="109" t="str">
        <f t="shared" si="755"/>
        <v/>
      </c>
      <c r="AY1669" s="112" t="str">
        <f>IF(ISNUMBER(O1669),IF(AND(VLOOKUP($D1669,Merchantability!$B:$C,2,0)="Yes",$E1669&gt;=VLOOKUP($D1669,Merchantability!$B:$D,3,0),$E1669&lt;=VLOOKUP($D1669,Merchantability!$B:$E,4,0)),(AV1669*O1669)*(1-$H1669/100),""),"")</f>
        <v/>
      </c>
      <c r="AZ1669" s="116"/>
      <c r="BA1669" s="116"/>
      <c r="BB1669" s="116"/>
      <c r="BE1669" s="62"/>
      <c r="BF1669" s="63"/>
    </row>
    <row r="1670" spans="1:58" ht="12.75" customHeight="1" x14ac:dyDescent="0.25">
      <c r="A1670" s="334"/>
      <c r="B1670" s="334"/>
      <c r="C1670" s="332"/>
      <c r="D1670" s="334"/>
      <c r="E1670" s="335"/>
      <c r="F1670" s="334"/>
      <c r="G1670" s="332"/>
      <c r="H1670" s="332"/>
      <c r="I1670" s="334"/>
      <c r="J1670" s="336"/>
      <c r="K1670" s="332"/>
      <c r="L1670" s="332"/>
      <c r="M1670" s="76"/>
      <c r="N1670" s="103" t="str">
        <f>IF(A1670="","",VLOOKUP(A1670,Stand!C:K,9,0))</f>
        <v/>
      </c>
      <c r="O1670" s="104" t="str">
        <f t="shared" si="740"/>
        <v/>
      </c>
      <c r="P1670" s="105" t="str">
        <f t="shared" si="741"/>
        <v/>
      </c>
      <c r="Q1670" s="105" t="str">
        <f t="shared" si="729"/>
        <v/>
      </c>
      <c r="R1670" s="103" t="str">
        <f t="shared" si="742"/>
        <v/>
      </c>
      <c r="S1670" s="103" t="str">
        <f t="shared" si="743"/>
        <v/>
      </c>
      <c r="T1670" s="106" t="str">
        <f t="shared" si="730"/>
        <v/>
      </c>
      <c r="U1670" s="106" t="str">
        <f t="shared" si="731"/>
        <v/>
      </c>
      <c r="V1670" s="106" t="str">
        <f t="shared" si="732"/>
        <v/>
      </c>
      <c r="W1670" s="105" t="str">
        <f t="shared" si="744"/>
        <v/>
      </c>
      <c r="X1670" s="104" t="str">
        <f t="shared" si="749"/>
        <v/>
      </c>
      <c r="Y1670" s="104" t="str">
        <f t="array" ref="Y1670">IFERROR(IF(ISNUMBER(O1670),IF(COUNT(IF(A1670=$A$2:$A$2427,IF(D1670=$D$2:$D$2427,IF($X$2:$X$2427&gt;0,1))))&gt;0,SUM(IF(A1670=$A$2:$A$2427,IF(D1670=$D$2:$D$2427,$X$2:$X$2427)))/COUNT(IF(A1670=$A$2:$A$2427,IF(D1670=$D$2:$D$2427,IF(ISNUMBER($X$2:$X$2427),1)))),0),""),0)</f>
        <v/>
      </c>
      <c r="Z1670" s="104" t="str">
        <f>IF(ISNUMBER(O1670),IF(I1670&gt;0,(10^(VLOOKUP(D1670,'Species Codes'!B:C,2,0)+VLOOKUP(D1670,'Species Codes'!B:D,3,0)*LOG(E1670)+VLOOKUP(D1670,'Species Codes'!B:E,4,0)*LOG(I1670))),0),"")</f>
        <v/>
      </c>
      <c r="AA1670" s="104" t="str">
        <f>IFERROR((VLOOKUP(D1670,'Species Codes'!B:G,6,0)*Z1670)/2000,"")</f>
        <v/>
      </c>
      <c r="AB1670" s="104" t="e">
        <f>IF(Z1670&gt;0,((IF(OR(D1670="DF",D1670="RA")=TRUE,EXP(VLOOKUP(D1670,'Species Codes'!B:I,8,0)+VLOOKUP(D1670,'Species Codes'!B:J,9,0)*(LN((E1670*2.54)))),IF(OR(D1670="PY",D1670="RC",D1670="WH",D1670="NF")=TRUE,VLOOKUP(D1670,'Species Codes'!B:I,8,0)+VLOOKUP(D1670,'Species Codes'!B:J,9,0)*((E1670*2.54)^2)*(I1670*0.3048),IF(OR(D1670="MD",D1670="BM",D1670="GA")=TRUE,((VLOOKUP(D1670,'Species Codes'!B:I,8,0)*(((((E1670*2.54)+VLOOKUP(D1670,'Species Codes'!B:J,9,0))/VLOOKUP(D1670,'Species Codes'!B:K,10,0))^VLOOKUP(D1670,'Species Codes'!B:L,11,0))*((I1670*0.3048)^VLOOKUP(D1670,'Species Codes'!B:M,12,0))))-(VLOOKUP(D1670,'Species Codes'!B:I,8,0)*((((E1670*2.54)^VLOOKUP(D1670,'Species Codes'!B:L,11,0))*((I1670*0.3048)^VLOOKUP(D1670,'Species Codes'!B:M,12,0))))))*35.3*VLOOKUP(D1670,'Species Codes'!B:G,6,0)/2.2046,VLOOKUP(D1670,'Species Codes'!B:I,8,0)+VLOOKUP(D1670,'Species Codes'!B:J,9,0)*(((E1670*2.54)/100)^2)*(I1670*0.3048)))))*0.0011023),0)</f>
        <v>#N/A</v>
      </c>
      <c r="AC1670" s="104" t="e">
        <f>IF(Z1670&gt;0,((IF(OR(D1670="RA",D1670="OA",D1670="OT",D1670="UN",D1670="PC"),EXP(VLOOKUP(D1670,'Species Codes'!B:O,14,0)+VLOOKUP(D1670,'Species Codes'!B:P,15,0)*LN((E1670*2.54)))-EXP(VLOOKUP(D1670,'Species Codes'!B:O,14,0)+VLOOKUP(D1670,'Species Codes'!B:P,15,0)*LN((E1670*2.54)))*(1/(VLOOKUP(D1670,'Species Codes'!B:Q,16,0)+VLOOKUP(D1670,'Species Codes'!B:R,17,0)*((E1670*2.54)^VLOOKUP(D1670,'Species Codes'!B:S,18,0)))),IF(OR(D1670="BM",D1670="MD",D1670="OA"),EXP(VLOOKUP(D1670,'Species Codes'!B:O,14,0)+VLOOKUP(D1670,'Species Codes'!B:P,15,0)*LN((E1670*2.54)))*(1-(1/(VLOOKUP(D1670,'Species Codes'!B:Q,16,0)+VLOOKUP(D1670,'Species Codes'!B:R,17,0)*((E1670*2.54)^VLOOKUP(D1670,'Species Codes'!B:S,18,0)))))/1000,IF(D1670="DF",EXP(VLOOKUP(D1670,'Species Codes'!B:O,14,0)+VLOOKUP(D1670,'Species Codes'!B:P,15,0)*LN((E1670*2.54))),VLOOKUP(D1670,'Species Codes'!B:O,14,0)+VLOOKUP(D1670,'Species Codes'!B:P,15,0)*(((E1670*2.54)/100)^2)*(I1670*0.3048)))))*0.0011023),0)</f>
        <v>#N/A</v>
      </c>
      <c r="AD1670" s="104" t="e">
        <f t="shared" si="733"/>
        <v>#N/A</v>
      </c>
      <c r="AE1670" s="104" t="e">
        <f t="shared" si="734"/>
        <v>#N/A</v>
      </c>
      <c r="AF1670" s="104" t="e">
        <f>IF(AND(VLOOKUP($D1670,Merchantability!$B:$C,2,0)="Yes",$E1670&gt;=VLOOKUP($D1670,Merchantability!$B:$D,3,0),$E1670&lt;=VLOOKUP($D1670,Merchantability!$B:$E,4,0)),AA1670,0)</f>
        <v>#N/A</v>
      </c>
      <c r="AG1670" s="104" t="e">
        <f>IF(AND(VLOOKUP($D1670,Merchantability!$B:$C,2,0)="Yes",$E1670&gt;=VLOOKUP($D1670,Merchantability!$B:$D,3,0),$E1670&lt;=VLOOKUP($D1670,Merchantability!$B:$E,4,0)),AB1670,0)</f>
        <v>#N/A</v>
      </c>
      <c r="AH1670" s="104" t="e">
        <f>IF(AND(VLOOKUP($D1670,Merchantability!$B:$C,2,0)="Yes",$E1670&gt;=VLOOKUP($D1670,Merchantability!$B:$D,3,0),$E1670&lt;=VLOOKUP($D1670,Merchantability!$B:$E,4,0)),AC1670,0)</f>
        <v>#N/A</v>
      </c>
      <c r="AI1670" s="104" t="e">
        <f t="shared" si="735"/>
        <v>#N/A</v>
      </c>
      <c r="AJ1670" s="104" t="e">
        <f t="shared" si="736"/>
        <v>#VALUE!</v>
      </c>
      <c r="AK1670" s="104" t="e">
        <f t="shared" si="737"/>
        <v>#N/A</v>
      </c>
      <c r="AL1670" s="104" t="e">
        <f t="shared" si="738"/>
        <v>#N/A</v>
      </c>
      <c r="AM1670" s="104" t="e">
        <f t="shared" si="739"/>
        <v>#N/A</v>
      </c>
      <c r="AN1670" s="104" t="e">
        <f t="shared" si="750"/>
        <v>#N/A</v>
      </c>
      <c r="AO1670" s="104" t="e">
        <f t="shared" si="751"/>
        <v>#N/A</v>
      </c>
      <c r="AP1670" s="104" t="e">
        <f t="shared" si="752"/>
        <v>#N/A</v>
      </c>
      <c r="AQ1670" s="104" t="e">
        <f t="shared" si="753"/>
        <v>#N/A</v>
      </c>
      <c r="AR1670" s="105" t="str">
        <f t="shared" si="745"/>
        <v/>
      </c>
      <c r="AS1670" s="105" t="str">
        <f t="shared" si="746"/>
        <v/>
      </c>
      <c r="AT1670" s="108" t="str">
        <f t="shared" si="747"/>
        <v/>
      </c>
      <c r="AU1670" s="108" t="str">
        <f t="shared" si="748"/>
        <v/>
      </c>
      <c r="AV1670" s="107" t="str">
        <f>IF(ISNUMBER(O1670),IF(VLOOKUP($A1670,Stand!C:J,8,FALSE)="Short",AT1670,AU1670),"")</f>
        <v/>
      </c>
      <c r="AW1670" s="109" t="str">
        <f t="shared" si="754"/>
        <v/>
      </c>
      <c r="AX1670" s="109" t="str">
        <f t="shared" si="755"/>
        <v/>
      </c>
      <c r="AY1670" s="112" t="str">
        <f>IF(ISNUMBER(O1670),IF(AND(VLOOKUP($D1670,Merchantability!$B:$C,2,0)="Yes",$E1670&gt;=VLOOKUP($D1670,Merchantability!$B:$D,3,0),$E1670&lt;=VLOOKUP($D1670,Merchantability!$B:$E,4,0)),(AV1670*O1670)*(1-$H1670/100),""),"")</f>
        <v/>
      </c>
      <c r="AZ1670" s="116"/>
      <c r="BA1670" s="116"/>
      <c r="BB1670" s="116"/>
      <c r="BE1670" s="62"/>
      <c r="BF1670" s="63"/>
    </row>
    <row r="1671" spans="1:58" ht="12.75" customHeight="1" x14ac:dyDescent="0.25">
      <c r="A1671" s="334"/>
      <c r="B1671" s="334"/>
      <c r="C1671" s="332"/>
      <c r="D1671" s="334"/>
      <c r="E1671" s="335"/>
      <c r="F1671" s="334"/>
      <c r="G1671" s="332"/>
      <c r="H1671" s="332"/>
      <c r="I1671" s="334"/>
      <c r="J1671" s="336"/>
      <c r="K1671" s="332"/>
      <c r="L1671" s="332"/>
      <c r="M1671" s="76"/>
      <c r="N1671" s="103" t="str">
        <f>IF(A1671="","",VLOOKUP(A1671,Stand!C:K,9,0))</f>
        <v/>
      </c>
      <c r="O1671" s="104" t="str">
        <f t="shared" si="740"/>
        <v/>
      </c>
      <c r="P1671" s="105" t="str">
        <f t="shared" si="741"/>
        <v/>
      </c>
      <c r="Q1671" s="105" t="str">
        <f t="shared" si="729"/>
        <v/>
      </c>
      <c r="R1671" s="103" t="str">
        <f t="shared" si="742"/>
        <v/>
      </c>
      <c r="S1671" s="103" t="str">
        <f t="shared" si="743"/>
        <v/>
      </c>
      <c r="T1671" s="106" t="str">
        <f t="shared" si="730"/>
        <v/>
      </c>
      <c r="U1671" s="106" t="str">
        <f t="shared" si="731"/>
        <v/>
      </c>
      <c r="V1671" s="106" t="str">
        <f t="shared" si="732"/>
        <v/>
      </c>
      <c r="W1671" s="105" t="str">
        <f t="shared" si="744"/>
        <v/>
      </c>
      <c r="X1671" s="104" t="str">
        <f t="shared" si="749"/>
        <v/>
      </c>
      <c r="Y1671" s="104" t="str">
        <f t="array" ref="Y1671">IFERROR(IF(ISNUMBER(O1671),IF(COUNT(IF(A1671=$A$2:$A$2427,IF(D1671=$D$2:$D$2427,IF($X$2:$X$2427&gt;0,1))))&gt;0,SUM(IF(A1671=$A$2:$A$2427,IF(D1671=$D$2:$D$2427,$X$2:$X$2427)))/COUNT(IF(A1671=$A$2:$A$2427,IF(D1671=$D$2:$D$2427,IF(ISNUMBER($X$2:$X$2427),1)))),0),""),0)</f>
        <v/>
      </c>
      <c r="Z1671" s="104" t="str">
        <f>IF(ISNUMBER(O1671),IF(I1671&gt;0,(10^(VLOOKUP(D1671,'Species Codes'!B:C,2,0)+VLOOKUP(D1671,'Species Codes'!B:D,3,0)*LOG(E1671)+VLOOKUP(D1671,'Species Codes'!B:E,4,0)*LOG(I1671))),0),"")</f>
        <v/>
      </c>
      <c r="AA1671" s="104" t="str">
        <f>IFERROR((VLOOKUP(D1671,'Species Codes'!B:G,6,0)*Z1671)/2000,"")</f>
        <v/>
      </c>
      <c r="AB1671" s="104" t="e">
        <f>IF(Z1671&gt;0,((IF(OR(D1671="DF",D1671="RA")=TRUE,EXP(VLOOKUP(D1671,'Species Codes'!B:I,8,0)+VLOOKUP(D1671,'Species Codes'!B:J,9,0)*(LN((E1671*2.54)))),IF(OR(D1671="PY",D1671="RC",D1671="WH",D1671="NF")=TRUE,VLOOKUP(D1671,'Species Codes'!B:I,8,0)+VLOOKUP(D1671,'Species Codes'!B:J,9,0)*((E1671*2.54)^2)*(I1671*0.3048),IF(OR(D1671="MD",D1671="BM",D1671="GA")=TRUE,((VLOOKUP(D1671,'Species Codes'!B:I,8,0)*(((((E1671*2.54)+VLOOKUP(D1671,'Species Codes'!B:J,9,0))/VLOOKUP(D1671,'Species Codes'!B:K,10,0))^VLOOKUP(D1671,'Species Codes'!B:L,11,0))*((I1671*0.3048)^VLOOKUP(D1671,'Species Codes'!B:M,12,0))))-(VLOOKUP(D1671,'Species Codes'!B:I,8,0)*((((E1671*2.54)^VLOOKUP(D1671,'Species Codes'!B:L,11,0))*((I1671*0.3048)^VLOOKUP(D1671,'Species Codes'!B:M,12,0))))))*35.3*VLOOKUP(D1671,'Species Codes'!B:G,6,0)/2.2046,VLOOKUP(D1671,'Species Codes'!B:I,8,0)+VLOOKUP(D1671,'Species Codes'!B:J,9,0)*(((E1671*2.54)/100)^2)*(I1671*0.3048)))))*0.0011023),0)</f>
        <v>#N/A</v>
      </c>
      <c r="AC1671" s="104" t="e">
        <f>IF(Z1671&gt;0,((IF(OR(D1671="RA",D1671="OA",D1671="OT",D1671="UN",D1671="PC"),EXP(VLOOKUP(D1671,'Species Codes'!B:O,14,0)+VLOOKUP(D1671,'Species Codes'!B:P,15,0)*LN((E1671*2.54)))-EXP(VLOOKUP(D1671,'Species Codes'!B:O,14,0)+VLOOKUP(D1671,'Species Codes'!B:P,15,0)*LN((E1671*2.54)))*(1/(VLOOKUP(D1671,'Species Codes'!B:Q,16,0)+VLOOKUP(D1671,'Species Codes'!B:R,17,0)*((E1671*2.54)^VLOOKUP(D1671,'Species Codes'!B:S,18,0)))),IF(OR(D1671="BM",D1671="MD",D1671="OA"),EXP(VLOOKUP(D1671,'Species Codes'!B:O,14,0)+VLOOKUP(D1671,'Species Codes'!B:P,15,0)*LN((E1671*2.54)))*(1-(1/(VLOOKUP(D1671,'Species Codes'!B:Q,16,0)+VLOOKUP(D1671,'Species Codes'!B:R,17,0)*((E1671*2.54)^VLOOKUP(D1671,'Species Codes'!B:S,18,0)))))/1000,IF(D1671="DF",EXP(VLOOKUP(D1671,'Species Codes'!B:O,14,0)+VLOOKUP(D1671,'Species Codes'!B:P,15,0)*LN((E1671*2.54))),VLOOKUP(D1671,'Species Codes'!B:O,14,0)+VLOOKUP(D1671,'Species Codes'!B:P,15,0)*(((E1671*2.54)/100)^2)*(I1671*0.3048)))))*0.0011023),0)</f>
        <v>#N/A</v>
      </c>
      <c r="AD1671" s="104" t="e">
        <f t="shared" si="733"/>
        <v>#N/A</v>
      </c>
      <c r="AE1671" s="104" t="e">
        <f t="shared" si="734"/>
        <v>#N/A</v>
      </c>
      <c r="AF1671" s="104" t="e">
        <f>IF(AND(VLOOKUP($D1671,Merchantability!$B:$C,2,0)="Yes",$E1671&gt;=VLOOKUP($D1671,Merchantability!$B:$D,3,0),$E1671&lt;=VLOOKUP($D1671,Merchantability!$B:$E,4,0)),AA1671,0)</f>
        <v>#N/A</v>
      </c>
      <c r="AG1671" s="104" t="e">
        <f>IF(AND(VLOOKUP($D1671,Merchantability!$B:$C,2,0)="Yes",$E1671&gt;=VLOOKUP($D1671,Merchantability!$B:$D,3,0),$E1671&lt;=VLOOKUP($D1671,Merchantability!$B:$E,4,0)),AB1671,0)</f>
        <v>#N/A</v>
      </c>
      <c r="AH1671" s="104" t="e">
        <f>IF(AND(VLOOKUP($D1671,Merchantability!$B:$C,2,0)="Yes",$E1671&gt;=VLOOKUP($D1671,Merchantability!$B:$D,3,0),$E1671&lt;=VLOOKUP($D1671,Merchantability!$B:$E,4,0)),AC1671,0)</f>
        <v>#N/A</v>
      </c>
      <c r="AI1671" s="104" t="e">
        <f t="shared" si="735"/>
        <v>#N/A</v>
      </c>
      <c r="AJ1671" s="104" t="e">
        <f t="shared" si="736"/>
        <v>#VALUE!</v>
      </c>
      <c r="AK1671" s="104" t="e">
        <f t="shared" si="737"/>
        <v>#N/A</v>
      </c>
      <c r="AL1671" s="104" t="e">
        <f t="shared" si="738"/>
        <v>#N/A</v>
      </c>
      <c r="AM1671" s="104" t="e">
        <f t="shared" si="739"/>
        <v>#N/A</v>
      </c>
      <c r="AN1671" s="104" t="e">
        <f t="shared" si="750"/>
        <v>#N/A</v>
      </c>
      <c r="AO1671" s="104" t="e">
        <f t="shared" si="751"/>
        <v>#N/A</v>
      </c>
      <c r="AP1671" s="104" t="e">
        <f t="shared" si="752"/>
        <v>#N/A</v>
      </c>
      <c r="AQ1671" s="104" t="e">
        <f t="shared" si="753"/>
        <v>#N/A</v>
      </c>
      <c r="AR1671" s="105" t="str">
        <f t="shared" si="745"/>
        <v/>
      </c>
      <c r="AS1671" s="105" t="str">
        <f t="shared" si="746"/>
        <v/>
      </c>
      <c r="AT1671" s="108" t="str">
        <f t="shared" si="747"/>
        <v/>
      </c>
      <c r="AU1671" s="108" t="str">
        <f t="shared" si="748"/>
        <v/>
      </c>
      <c r="AV1671" s="107" t="str">
        <f>IF(ISNUMBER(O1671),IF(VLOOKUP($A1671,Stand!C:J,8,FALSE)="Short",AT1671,AU1671),"")</f>
        <v/>
      </c>
      <c r="AW1671" s="109" t="str">
        <f t="shared" si="754"/>
        <v/>
      </c>
      <c r="AX1671" s="109" t="str">
        <f t="shared" si="755"/>
        <v/>
      </c>
      <c r="AY1671" s="112" t="str">
        <f>IF(ISNUMBER(O1671),IF(AND(VLOOKUP($D1671,Merchantability!$B:$C,2,0)="Yes",$E1671&gt;=VLOOKUP($D1671,Merchantability!$B:$D,3,0),$E1671&lt;=VLOOKUP($D1671,Merchantability!$B:$E,4,0)),(AV1671*O1671)*(1-$H1671/100),""),"")</f>
        <v/>
      </c>
      <c r="AZ1671" s="116"/>
      <c r="BA1671" s="116"/>
      <c r="BB1671" s="116"/>
      <c r="BE1671" s="62"/>
      <c r="BF1671" s="63"/>
    </row>
    <row r="1672" spans="1:58" ht="12.75" customHeight="1" x14ac:dyDescent="0.25">
      <c r="A1672" s="334"/>
      <c r="B1672" s="334"/>
      <c r="C1672" s="332"/>
      <c r="D1672" s="334"/>
      <c r="E1672" s="335"/>
      <c r="F1672" s="334"/>
      <c r="G1672" s="332"/>
      <c r="H1672" s="332"/>
      <c r="I1672" s="334"/>
      <c r="J1672" s="336"/>
      <c r="K1672" s="332"/>
      <c r="L1672" s="332"/>
      <c r="M1672" s="76"/>
      <c r="N1672" s="103" t="str">
        <f>IF(A1672="","",VLOOKUP(A1672,Stand!C:K,9,0))</f>
        <v/>
      </c>
      <c r="O1672" s="104" t="str">
        <f t="shared" si="740"/>
        <v/>
      </c>
      <c r="P1672" s="105" t="str">
        <f t="shared" si="741"/>
        <v/>
      </c>
      <c r="Q1672" s="105" t="str">
        <f t="shared" si="729"/>
        <v/>
      </c>
      <c r="R1672" s="103" t="str">
        <f t="shared" si="742"/>
        <v/>
      </c>
      <c r="S1672" s="103" t="str">
        <f t="shared" si="743"/>
        <v/>
      </c>
      <c r="T1672" s="106" t="str">
        <f t="shared" si="730"/>
        <v/>
      </c>
      <c r="U1672" s="106" t="str">
        <f t="shared" si="731"/>
        <v/>
      </c>
      <c r="V1672" s="106" t="str">
        <f t="shared" si="732"/>
        <v/>
      </c>
      <c r="W1672" s="105" t="str">
        <f t="shared" si="744"/>
        <v/>
      </c>
      <c r="X1672" s="104" t="str">
        <f t="shared" si="749"/>
        <v/>
      </c>
      <c r="Y1672" s="104" t="str">
        <f t="array" ref="Y1672">IFERROR(IF(ISNUMBER(O1672),IF(COUNT(IF(A1672=$A$2:$A$2427,IF(D1672=$D$2:$D$2427,IF($X$2:$X$2427&gt;0,1))))&gt;0,SUM(IF(A1672=$A$2:$A$2427,IF(D1672=$D$2:$D$2427,$X$2:$X$2427)))/COUNT(IF(A1672=$A$2:$A$2427,IF(D1672=$D$2:$D$2427,IF(ISNUMBER($X$2:$X$2427),1)))),0),""),0)</f>
        <v/>
      </c>
      <c r="Z1672" s="104" t="str">
        <f>IF(ISNUMBER(O1672),IF(I1672&gt;0,(10^(VLOOKUP(D1672,'Species Codes'!B:C,2,0)+VLOOKUP(D1672,'Species Codes'!B:D,3,0)*LOG(E1672)+VLOOKUP(D1672,'Species Codes'!B:E,4,0)*LOG(I1672))),0),"")</f>
        <v/>
      </c>
      <c r="AA1672" s="104" t="str">
        <f>IFERROR((VLOOKUP(D1672,'Species Codes'!B:G,6,0)*Z1672)/2000,"")</f>
        <v/>
      </c>
      <c r="AB1672" s="104" t="e">
        <f>IF(Z1672&gt;0,((IF(OR(D1672="DF",D1672="RA")=TRUE,EXP(VLOOKUP(D1672,'Species Codes'!B:I,8,0)+VLOOKUP(D1672,'Species Codes'!B:J,9,0)*(LN((E1672*2.54)))),IF(OR(D1672="PY",D1672="RC",D1672="WH",D1672="NF")=TRUE,VLOOKUP(D1672,'Species Codes'!B:I,8,0)+VLOOKUP(D1672,'Species Codes'!B:J,9,0)*((E1672*2.54)^2)*(I1672*0.3048),IF(OR(D1672="MD",D1672="BM",D1672="GA")=TRUE,((VLOOKUP(D1672,'Species Codes'!B:I,8,0)*(((((E1672*2.54)+VLOOKUP(D1672,'Species Codes'!B:J,9,0))/VLOOKUP(D1672,'Species Codes'!B:K,10,0))^VLOOKUP(D1672,'Species Codes'!B:L,11,0))*((I1672*0.3048)^VLOOKUP(D1672,'Species Codes'!B:M,12,0))))-(VLOOKUP(D1672,'Species Codes'!B:I,8,0)*((((E1672*2.54)^VLOOKUP(D1672,'Species Codes'!B:L,11,0))*((I1672*0.3048)^VLOOKUP(D1672,'Species Codes'!B:M,12,0))))))*35.3*VLOOKUP(D1672,'Species Codes'!B:G,6,0)/2.2046,VLOOKUP(D1672,'Species Codes'!B:I,8,0)+VLOOKUP(D1672,'Species Codes'!B:J,9,0)*(((E1672*2.54)/100)^2)*(I1672*0.3048)))))*0.0011023),0)</f>
        <v>#N/A</v>
      </c>
      <c r="AC1672" s="104" t="e">
        <f>IF(Z1672&gt;0,((IF(OR(D1672="RA",D1672="OA",D1672="OT",D1672="UN",D1672="PC"),EXP(VLOOKUP(D1672,'Species Codes'!B:O,14,0)+VLOOKUP(D1672,'Species Codes'!B:P,15,0)*LN((E1672*2.54)))-EXP(VLOOKUP(D1672,'Species Codes'!B:O,14,0)+VLOOKUP(D1672,'Species Codes'!B:P,15,0)*LN((E1672*2.54)))*(1/(VLOOKUP(D1672,'Species Codes'!B:Q,16,0)+VLOOKUP(D1672,'Species Codes'!B:R,17,0)*((E1672*2.54)^VLOOKUP(D1672,'Species Codes'!B:S,18,0)))),IF(OR(D1672="BM",D1672="MD",D1672="OA"),EXP(VLOOKUP(D1672,'Species Codes'!B:O,14,0)+VLOOKUP(D1672,'Species Codes'!B:P,15,0)*LN((E1672*2.54)))*(1-(1/(VLOOKUP(D1672,'Species Codes'!B:Q,16,0)+VLOOKUP(D1672,'Species Codes'!B:R,17,0)*((E1672*2.54)^VLOOKUP(D1672,'Species Codes'!B:S,18,0)))))/1000,IF(D1672="DF",EXP(VLOOKUP(D1672,'Species Codes'!B:O,14,0)+VLOOKUP(D1672,'Species Codes'!B:P,15,0)*LN((E1672*2.54))),VLOOKUP(D1672,'Species Codes'!B:O,14,0)+VLOOKUP(D1672,'Species Codes'!B:P,15,0)*(((E1672*2.54)/100)^2)*(I1672*0.3048)))))*0.0011023),0)</f>
        <v>#N/A</v>
      </c>
      <c r="AD1672" s="104" t="e">
        <f t="shared" si="733"/>
        <v>#N/A</v>
      </c>
      <c r="AE1672" s="104" t="e">
        <f t="shared" si="734"/>
        <v>#N/A</v>
      </c>
      <c r="AF1672" s="104" t="e">
        <f>IF(AND(VLOOKUP($D1672,Merchantability!$B:$C,2,0)="Yes",$E1672&gt;=VLOOKUP($D1672,Merchantability!$B:$D,3,0),$E1672&lt;=VLOOKUP($D1672,Merchantability!$B:$E,4,0)),AA1672,0)</f>
        <v>#N/A</v>
      </c>
      <c r="AG1672" s="104" t="e">
        <f>IF(AND(VLOOKUP($D1672,Merchantability!$B:$C,2,0)="Yes",$E1672&gt;=VLOOKUP($D1672,Merchantability!$B:$D,3,0),$E1672&lt;=VLOOKUP($D1672,Merchantability!$B:$E,4,0)),AB1672,0)</f>
        <v>#N/A</v>
      </c>
      <c r="AH1672" s="104" t="e">
        <f>IF(AND(VLOOKUP($D1672,Merchantability!$B:$C,2,0)="Yes",$E1672&gt;=VLOOKUP($D1672,Merchantability!$B:$D,3,0),$E1672&lt;=VLOOKUP($D1672,Merchantability!$B:$E,4,0)),AC1672,0)</f>
        <v>#N/A</v>
      </c>
      <c r="AI1672" s="104" t="e">
        <f t="shared" si="735"/>
        <v>#N/A</v>
      </c>
      <c r="AJ1672" s="104" t="e">
        <f t="shared" si="736"/>
        <v>#VALUE!</v>
      </c>
      <c r="AK1672" s="104" t="e">
        <f t="shared" si="737"/>
        <v>#N/A</v>
      </c>
      <c r="AL1672" s="104" t="e">
        <f t="shared" si="738"/>
        <v>#N/A</v>
      </c>
      <c r="AM1672" s="104" t="e">
        <f t="shared" si="739"/>
        <v>#N/A</v>
      </c>
      <c r="AN1672" s="104" t="e">
        <f t="shared" si="750"/>
        <v>#N/A</v>
      </c>
      <c r="AO1672" s="104" t="e">
        <f t="shared" si="751"/>
        <v>#N/A</v>
      </c>
      <c r="AP1672" s="104" t="e">
        <f t="shared" si="752"/>
        <v>#N/A</v>
      </c>
      <c r="AQ1672" s="104" t="e">
        <f t="shared" si="753"/>
        <v>#N/A</v>
      </c>
      <c r="AR1672" s="105" t="str">
        <f t="shared" si="745"/>
        <v/>
      </c>
      <c r="AS1672" s="105" t="str">
        <f t="shared" si="746"/>
        <v/>
      </c>
      <c r="AT1672" s="108" t="str">
        <f t="shared" si="747"/>
        <v/>
      </c>
      <c r="AU1672" s="108" t="str">
        <f t="shared" si="748"/>
        <v/>
      </c>
      <c r="AV1672" s="107" t="str">
        <f>IF(ISNUMBER(O1672),IF(VLOOKUP($A1672,Stand!C:J,8,FALSE)="Short",AT1672,AU1672),"")</f>
        <v/>
      </c>
      <c r="AW1672" s="109" t="str">
        <f t="shared" si="754"/>
        <v/>
      </c>
      <c r="AX1672" s="109" t="str">
        <f t="shared" si="755"/>
        <v/>
      </c>
      <c r="AY1672" s="112" t="str">
        <f>IF(ISNUMBER(O1672),IF(AND(VLOOKUP($D1672,Merchantability!$B:$C,2,0)="Yes",$E1672&gt;=VLOOKUP($D1672,Merchantability!$B:$D,3,0),$E1672&lt;=VLOOKUP($D1672,Merchantability!$B:$E,4,0)),(AV1672*O1672)*(1-$H1672/100),""),"")</f>
        <v/>
      </c>
      <c r="AZ1672" s="116"/>
      <c r="BA1672" s="116"/>
      <c r="BB1672" s="116"/>
      <c r="BE1672" s="62"/>
      <c r="BF1672" s="63"/>
    </row>
    <row r="1673" spans="1:58" ht="12.75" customHeight="1" x14ac:dyDescent="0.25">
      <c r="A1673" s="334"/>
      <c r="B1673" s="334"/>
      <c r="C1673" s="332"/>
      <c r="D1673" s="334"/>
      <c r="E1673" s="335"/>
      <c r="F1673" s="334"/>
      <c r="G1673" s="332"/>
      <c r="H1673" s="332"/>
      <c r="I1673" s="334"/>
      <c r="J1673" s="336"/>
      <c r="K1673" s="332"/>
      <c r="L1673" s="332"/>
      <c r="M1673" s="76"/>
      <c r="N1673" s="103" t="str">
        <f>IF(A1673="","",VLOOKUP(A1673,Stand!C:K,9,0))</f>
        <v/>
      </c>
      <c r="O1673" s="104" t="str">
        <f t="shared" si="740"/>
        <v/>
      </c>
      <c r="P1673" s="105" t="str">
        <f t="shared" si="741"/>
        <v/>
      </c>
      <c r="Q1673" s="105" t="str">
        <f t="shared" si="729"/>
        <v/>
      </c>
      <c r="R1673" s="103" t="str">
        <f t="shared" si="742"/>
        <v/>
      </c>
      <c r="S1673" s="103" t="str">
        <f t="shared" si="743"/>
        <v/>
      </c>
      <c r="T1673" s="106" t="str">
        <f t="shared" si="730"/>
        <v/>
      </c>
      <c r="U1673" s="106" t="str">
        <f t="shared" si="731"/>
        <v/>
      </c>
      <c r="V1673" s="106" t="str">
        <f t="shared" si="732"/>
        <v/>
      </c>
      <c r="W1673" s="105" t="str">
        <f t="shared" si="744"/>
        <v/>
      </c>
      <c r="X1673" s="104" t="str">
        <f t="shared" si="749"/>
        <v/>
      </c>
      <c r="Y1673" s="104" t="str">
        <f t="array" ref="Y1673">IFERROR(IF(ISNUMBER(O1673),IF(COUNT(IF(A1673=$A$2:$A$2427,IF(D1673=$D$2:$D$2427,IF($X$2:$X$2427&gt;0,1))))&gt;0,SUM(IF(A1673=$A$2:$A$2427,IF(D1673=$D$2:$D$2427,$X$2:$X$2427)))/COUNT(IF(A1673=$A$2:$A$2427,IF(D1673=$D$2:$D$2427,IF(ISNUMBER($X$2:$X$2427),1)))),0),""),0)</f>
        <v/>
      </c>
      <c r="Z1673" s="104" t="str">
        <f>IF(ISNUMBER(O1673),IF(I1673&gt;0,(10^(VLOOKUP(D1673,'Species Codes'!B:C,2,0)+VLOOKUP(D1673,'Species Codes'!B:D,3,0)*LOG(E1673)+VLOOKUP(D1673,'Species Codes'!B:E,4,0)*LOG(I1673))),0),"")</f>
        <v/>
      </c>
      <c r="AA1673" s="104" t="str">
        <f>IFERROR((VLOOKUP(D1673,'Species Codes'!B:G,6,0)*Z1673)/2000,"")</f>
        <v/>
      </c>
      <c r="AB1673" s="104" t="e">
        <f>IF(Z1673&gt;0,((IF(OR(D1673="DF",D1673="RA")=TRUE,EXP(VLOOKUP(D1673,'Species Codes'!B:I,8,0)+VLOOKUP(D1673,'Species Codes'!B:J,9,0)*(LN((E1673*2.54)))),IF(OR(D1673="PY",D1673="RC",D1673="WH",D1673="NF")=TRUE,VLOOKUP(D1673,'Species Codes'!B:I,8,0)+VLOOKUP(D1673,'Species Codes'!B:J,9,0)*((E1673*2.54)^2)*(I1673*0.3048),IF(OR(D1673="MD",D1673="BM",D1673="GA")=TRUE,((VLOOKUP(D1673,'Species Codes'!B:I,8,0)*(((((E1673*2.54)+VLOOKUP(D1673,'Species Codes'!B:J,9,0))/VLOOKUP(D1673,'Species Codes'!B:K,10,0))^VLOOKUP(D1673,'Species Codes'!B:L,11,0))*((I1673*0.3048)^VLOOKUP(D1673,'Species Codes'!B:M,12,0))))-(VLOOKUP(D1673,'Species Codes'!B:I,8,0)*((((E1673*2.54)^VLOOKUP(D1673,'Species Codes'!B:L,11,0))*((I1673*0.3048)^VLOOKUP(D1673,'Species Codes'!B:M,12,0))))))*35.3*VLOOKUP(D1673,'Species Codes'!B:G,6,0)/2.2046,VLOOKUP(D1673,'Species Codes'!B:I,8,0)+VLOOKUP(D1673,'Species Codes'!B:J,9,0)*(((E1673*2.54)/100)^2)*(I1673*0.3048)))))*0.0011023),0)</f>
        <v>#N/A</v>
      </c>
      <c r="AC1673" s="104" t="e">
        <f>IF(Z1673&gt;0,((IF(OR(D1673="RA",D1673="OA",D1673="OT",D1673="UN",D1673="PC"),EXP(VLOOKUP(D1673,'Species Codes'!B:O,14,0)+VLOOKUP(D1673,'Species Codes'!B:P,15,0)*LN((E1673*2.54)))-EXP(VLOOKUP(D1673,'Species Codes'!B:O,14,0)+VLOOKUP(D1673,'Species Codes'!B:P,15,0)*LN((E1673*2.54)))*(1/(VLOOKUP(D1673,'Species Codes'!B:Q,16,0)+VLOOKUP(D1673,'Species Codes'!B:R,17,0)*((E1673*2.54)^VLOOKUP(D1673,'Species Codes'!B:S,18,0)))),IF(OR(D1673="BM",D1673="MD",D1673="OA"),EXP(VLOOKUP(D1673,'Species Codes'!B:O,14,0)+VLOOKUP(D1673,'Species Codes'!B:P,15,0)*LN((E1673*2.54)))*(1-(1/(VLOOKUP(D1673,'Species Codes'!B:Q,16,0)+VLOOKUP(D1673,'Species Codes'!B:R,17,0)*((E1673*2.54)^VLOOKUP(D1673,'Species Codes'!B:S,18,0)))))/1000,IF(D1673="DF",EXP(VLOOKUP(D1673,'Species Codes'!B:O,14,0)+VLOOKUP(D1673,'Species Codes'!B:P,15,0)*LN((E1673*2.54))),VLOOKUP(D1673,'Species Codes'!B:O,14,0)+VLOOKUP(D1673,'Species Codes'!B:P,15,0)*(((E1673*2.54)/100)^2)*(I1673*0.3048)))))*0.0011023),0)</f>
        <v>#N/A</v>
      </c>
      <c r="AD1673" s="104" t="e">
        <f t="shared" si="733"/>
        <v>#N/A</v>
      </c>
      <c r="AE1673" s="104" t="e">
        <f t="shared" si="734"/>
        <v>#N/A</v>
      </c>
      <c r="AF1673" s="104" t="e">
        <f>IF(AND(VLOOKUP($D1673,Merchantability!$B:$C,2,0)="Yes",$E1673&gt;=VLOOKUP($D1673,Merchantability!$B:$D,3,0),$E1673&lt;=VLOOKUP($D1673,Merchantability!$B:$E,4,0)),AA1673,0)</f>
        <v>#N/A</v>
      </c>
      <c r="AG1673" s="104" t="e">
        <f>IF(AND(VLOOKUP($D1673,Merchantability!$B:$C,2,0)="Yes",$E1673&gt;=VLOOKUP($D1673,Merchantability!$B:$D,3,0),$E1673&lt;=VLOOKUP($D1673,Merchantability!$B:$E,4,0)),AB1673,0)</f>
        <v>#N/A</v>
      </c>
      <c r="AH1673" s="104" t="e">
        <f>IF(AND(VLOOKUP($D1673,Merchantability!$B:$C,2,0)="Yes",$E1673&gt;=VLOOKUP($D1673,Merchantability!$B:$D,3,0),$E1673&lt;=VLOOKUP($D1673,Merchantability!$B:$E,4,0)),AC1673,0)</f>
        <v>#N/A</v>
      </c>
      <c r="AI1673" s="104" t="e">
        <f t="shared" si="735"/>
        <v>#N/A</v>
      </c>
      <c r="AJ1673" s="104" t="e">
        <f t="shared" si="736"/>
        <v>#VALUE!</v>
      </c>
      <c r="AK1673" s="104" t="e">
        <f t="shared" si="737"/>
        <v>#N/A</v>
      </c>
      <c r="AL1673" s="104" t="e">
        <f t="shared" si="738"/>
        <v>#N/A</v>
      </c>
      <c r="AM1673" s="104" t="e">
        <f t="shared" si="739"/>
        <v>#N/A</v>
      </c>
      <c r="AN1673" s="104" t="e">
        <f t="shared" si="750"/>
        <v>#N/A</v>
      </c>
      <c r="AO1673" s="104" t="e">
        <f t="shared" si="751"/>
        <v>#N/A</v>
      </c>
      <c r="AP1673" s="104" t="e">
        <f t="shared" si="752"/>
        <v>#N/A</v>
      </c>
      <c r="AQ1673" s="104" t="e">
        <f t="shared" si="753"/>
        <v>#N/A</v>
      </c>
      <c r="AR1673" s="105" t="str">
        <f t="shared" si="745"/>
        <v/>
      </c>
      <c r="AS1673" s="105" t="str">
        <f t="shared" si="746"/>
        <v/>
      </c>
      <c r="AT1673" s="108" t="str">
        <f t="shared" si="747"/>
        <v/>
      </c>
      <c r="AU1673" s="108" t="str">
        <f t="shared" si="748"/>
        <v/>
      </c>
      <c r="AV1673" s="107" t="str">
        <f>IF(ISNUMBER(O1673),IF(VLOOKUP($A1673,Stand!C:J,8,FALSE)="Short",AT1673,AU1673),"")</f>
        <v/>
      </c>
      <c r="AW1673" s="109" t="str">
        <f t="shared" si="754"/>
        <v/>
      </c>
      <c r="AX1673" s="109" t="str">
        <f t="shared" si="755"/>
        <v/>
      </c>
      <c r="AY1673" s="112" t="str">
        <f>IF(ISNUMBER(O1673),IF(AND(VLOOKUP($D1673,Merchantability!$B:$C,2,0)="Yes",$E1673&gt;=VLOOKUP($D1673,Merchantability!$B:$D,3,0),$E1673&lt;=VLOOKUP($D1673,Merchantability!$B:$E,4,0)),(AV1673*O1673)*(1-$H1673/100),""),"")</f>
        <v/>
      </c>
      <c r="AZ1673" s="116"/>
      <c r="BA1673" s="116"/>
      <c r="BB1673" s="116"/>
      <c r="BE1673" s="62"/>
      <c r="BF1673" s="63"/>
    </row>
    <row r="1674" spans="1:58" ht="12.75" customHeight="1" x14ac:dyDescent="0.25">
      <c r="A1674" s="334"/>
      <c r="B1674" s="334"/>
      <c r="C1674" s="332"/>
      <c r="D1674" s="334"/>
      <c r="E1674" s="335"/>
      <c r="F1674" s="334"/>
      <c r="G1674" s="332"/>
      <c r="H1674" s="332"/>
      <c r="I1674" s="334"/>
      <c r="J1674" s="336"/>
      <c r="K1674" s="332"/>
      <c r="L1674" s="332"/>
      <c r="M1674" s="76"/>
      <c r="N1674" s="103" t="str">
        <f>IF(A1674="","",VLOOKUP(A1674,Stand!C:K,9,0))</f>
        <v/>
      </c>
      <c r="O1674" s="104" t="str">
        <f t="shared" si="740"/>
        <v/>
      </c>
      <c r="P1674" s="105" t="str">
        <f t="shared" si="741"/>
        <v/>
      </c>
      <c r="Q1674" s="105" t="str">
        <f t="shared" si="729"/>
        <v/>
      </c>
      <c r="R1674" s="103" t="str">
        <f t="shared" si="742"/>
        <v/>
      </c>
      <c r="S1674" s="103" t="str">
        <f t="shared" si="743"/>
        <v/>
      </c>
      <c r="T1674" s="106" t="str">
        <f t="shared" si="730"/>
        <v/>
      </c>
      <c r="U1674" s="106" t="str">
        <f t="shared" si="731"/>
        <v/>
      </c>
      <c r="V1674" s="106" t="str">
        <f t="shared" si="732"/>
        <v/>
      </c>
      <c r="W1674" s="105" t="str">
        <f t="shared" si="744"/>
        <v/>
      </c>
      <c r="X1674" s="104" t="str">
        <f t="shared" si="749"/>
        <v/>
      </c>
      <c r="Y1674" s="104" t="str">
        <f t="array" ref="Y1674">IFERROR(IF(ISNUMBER(O1674),IF(COUNT(IF(A1674=$A$2:$A$2427,IF(D1674=$D$2:$D$2427,IF($X$2:$X$2427&gt;0,1))))&gt;0,SUM(IF(A1674=$A$2:$A$2427,IF(D1674=$D$2:$D$2427,$X$2:$X$2427)))/COUNT(IF(A1674=$A$2:$A$2427,IF(D1674=$D$2:$D$2427,IF(ISNUMBER($X$2:$X$2427),1)))),0),""),0)</f>
        <v/>
      </c>
      <c r="Z1674" s="104" t="str">
        <f>IF(ISNUMBER(O1674),IF(I1674&gt;0,(10^(VLOOKUP(D1674,'Species Codes'!B:C,2,0)+VLOOKUP(D1674,'Species Codes'!B:D,3,0)*LOG(E1674)+VLOOKUP(D1674,'Species Codes'!B:E,4,0)*LOG(I1674))),0),"")</f>
        <v/>
      </c>
      <c r="AA1674" s="104" t="str">
        <f>IFERROR((VLOOKUP(D1674,'Species Codes'!B:G,6,0)*Z1674)/2000,"")</f>
        <v/>
      </c>
      <c r="AB1674" s="104" t="e">
        <f>IF(Z1674&gt;0,((IF(OR(D1674="DF",D1674="RA")=TRUE,EXP(VLOOKUP(D1674,'Species Codes'!B:I,8,0)+VLOOKUP(D1674,'Species Codes'!B:J,9,0)*(LN((E1674*2.54)))),IF(OR(D1674="PY",D1674="RC",D1674="WH",D1674="NF")=TRUE,VLOOKUP(D1674,'Species Codes'!B:I,8,0)+VLOOKUP(D1674,'Species Codes'!B:J,9,0)*((E1674*2.54)^2)*(I1674*0.3048),IF(OR(D1674="MD",D1674="BM",D1674="GA")=TRUE,((VLOOKUP(D1674,'Species Codes'!B:I,8,0)*(((((E1674*2.54)+VLOOKUP(D1674,'Species Codes'!B:J,9,0))/VLOOKUP(D1674,'Species Codes'!B:K,10,0))^VLOOKUP(D1674,'Species Codes'!B:L,11,0))*((I1674*0.3048)^VLOOKUP(D1674,'Species Codes'!B:M,12,0))))-(VLOOKUP(D1674,'Species Codes'!B:I,8,0)*((((E1674*2.54)^VLOOKUP(D1674,'Species Codes'!B:L,11,0))*((I1674*0.3048)^VLOOKUP(D1674,'Species Codes'!B:M,12,0))))))*35.3*VLOOKUP(D1674,'Species Codes'!B:G,6,0)/2.2046,VLOOKUP(D1674,'Species Codes'!B:I,8,0)+VLOOKUP(D1674,'Species Codes'!B:J,9,0)*(((E1674*2.54)/100)^2)*(I1674*0.3048)))))*0.0011023),0)</f>
        <v>#N/A</v>
      </c>
      <c r="AC1674" s="104" t="e">
        <f>IF(Z1674&gt;0,((IF(OR(D1674="RA",D1674="OA",D1674="OT",D1674="UN",D1674="PC"),EXP(VLOOKUP(D1674,'Species Codes'!B:O,14,0)+VLOOKUP(D1674,'Species Codes'!B:P,15,0)*LN((E1674*2.54)))-EXP(VLOOKUP(D1674,'Species Codes'!B:O,14,0)+VLOOKUP(D1674,'Species Codes'!B:P,15,0)*LN((E1674*2.54)))*(1/(VLOOKUP(D1674,'Species Codes'!B:Q,16,0)+VLOOKUP(D1674,'Species Codes'!B:R,17,0)*((E1674*2.54)^VLOOKUP(D1674,'Species Codes'!B:S,18,0)))),IF(OR(D1674="BM",D1674="MD",D1674="OA"),EXP(VLOOKUP(D1674,'Species Codes'!B:O,14,0)+VLOOKUP(D1674,'Species Codes'!B:P,15,0)*LN((E1674*2.54)))*(1-(1/(VLOOKUP(D1674,'Species Codes'!B:Q,16,0)+VLOOKUP(D1674,'Species Codes'!B:R,17,0)*((E1674*2.54)^VLOOKUP(D1674,'Species Codes'!B:S,18,0)))))/1000,IF(D1674="DF",EXP(VLOOKUP(D1674,'Species Codes'!B:O,14,0)+VLOOKUP(D1674,'Species Codes'!B:P,15,0)*LN((E1674*2.54))),VLOOKUP(D1674,'Species Codes'!B:O,14,0)+VLOOKUP(D1674,'Species Codes'!B:P,15,0)*(((E1674*2.54)/100)^2)*(I1674*0.3048)))))*0.0011023),0)</f>
        <v>#N/A</v>
      </c>
      <c r="AD1674" s="104" t="e">
        <f t="shared" si="733"/>
        <v>#N/A</v>
      </c>
      <c r="AE1674" s="104" t="e">
        <f t="shared" si="734"/>
        <v>#N/A</v>
      </c>
      <c r="AF1674" s="104" t="e">
        <f>IF(AND(VLOOKUP($D1674,Merchantability!$B:$C,2,0)="Yes",$E1674&gt;=VLOOKUP($D1674,Merchantability!$B:$D,3,0),$E1674&lt;=VLOOKUP($D1674,Merchantability!$B:$E,4,0)),AA1674,0)</f>
        <v>#N/A</v>
      </c>
      <c r="AG1674" s="104" t="e">
        <f>IF(AND(VLOOKUP($D1674,Merchantability!$B:$C,2,0)="Yes",$E1674&gt;=VLOOKUP($D1674,Merchantability!$B:$D,3,0),$E1674&lt;=VLOOKUP($D1674,Merchantability!$B:$E,4,0)),AB1674,0)</f>
        <v>#N/A</v>
      </c>
      <c r="AH1674" s="104" t="e">
        <f>IF(AND(VLOOKUP($D1674,Merchantability!$B:$C,2,0)="Yes",$E1674&gt;=VLOOKUP($D1674,Merchantability!$B:$D,3,0),$E1674&lt;=VLOOKUP($D1674,Merchantability!$B:$E,4,0)),AC1674,0)</f>
        <v>#N/A</v>
      </c>
      <c r="AI1674" s="104" t="e">
        <f t="shared" si="735"/>
        <v>#N/A</v>
      </c>
      <c r="AJ1674" s="104" t="e">
        <f t="shared" si="736"/>
        <v>#VALUE!</v>
      </c>
      <c r="AK1674" s="104" t="e">
        <f t="shared" si="737"/>
        <v>#N/A</v>
      </c>
      <c r="AL1674" s="104" t="e">
        <f t="shared" si="738"/>
        <v>#N/A</v>
      </c>
      <c r="AM1674" s="104" t="e">
        <f t="shared" si="739"/>
        <v>#N/A</v>
      </c>
      <c r="AN1674" s="104" t="e">
        <f t="shared" si="750"/>
        <v>#N/A</v>
      </c>
      <c r="AO1674" s="104" t="e">
        <f t="shared" si="751"/>
        <v>#N/A</v>
      </c>
      <c r="AP1674" s="104" t="e">
        <f t="shared" si="752"/>
        <v>#N/A</v>
      </c>
      <c r="AQ1674" s="104" t="e">
        <f t="shared" si="753"/>
        <v>#N/A</v>
      </c>
      <c r="AR1674" s="105" t="str">
        <f t="shared" si="745"/>
        <v/>
      </c>
      <c r="AS1674" s="105" t="str">
        <f t="shared" si="746"/>
        <v/>
      </c>
      <c r="AT1674" s="108" t="str">
        <f t="shared" si="747"/>
        <v/>
      </c>
      <c r="AU1674" s="108" t="str">
        <f t="shared" si="748"/>
        <v/>
      </c>
      <c r="AV1674" s="107" t="str">
        <f>IF(ISNUMBER(O1674),IF(VLOOKUP($A1674,Stand!C:J,8,FALSE)="Short",AT1674,AU1674),"")</f>
        <v/>
      </c>
      <c r="AW1674" s="109" t="str">
        <f t="shared" si="754"/>
        <v/>
      </c>
      <c r="AX1674" s="109" t="str">
        <f t="shared" si="755"/>
        <v/>
      </c>
      <c r="AY1674" s="112" t="str">
        <f>IF(ISNUMBER(O1674),IF(AND(VLOOKUP($D1674,Merchantability!$B:$C,2,0)="Yes",$E1674&gt;=VLOOKUP($D1674,Merchantability!$B:$D,3,0),$E1674&lt;=VLOOKUP($D1674,Merchantability!$B:$E,4,0)),(AV1674*O1674)*(1-$H1674/100),""),"")</f>
        <v/>
      </c>
      <c r="AZ1674" s="116"/>
      <c r="BA1674" s="116"/>
      <c r="BB1674" s="116"/>
      <c r="BE1674" s="62"/>
      <c r="BF1674" s="63"/>
    </row>
    <row r="1675" spans="1:58" ht="12.75" customHeight="1" x14ac:dyDescent="0.25">
      <c r="A1675" s="334"/>
      <c r="B1675" s="334"/>
      <c r="C1675" s="332"/>
      <c r="D1675" s="334"/>
      <c r="E1675" s="335"/>
      <c r="F1675" s="334"/>
      <c r="G1675" s="332"/>
      <c r="H1675" s="332"/>
      <c r="I1675" s="334"/>
      <c r="J1675" s="336"/>
      <c r="K1675" s="332"/>
      <c r="L1675" s="332"/>
      <c r="M1675" s="76"/>
      <c r="N1675" s="103" t="str">
        <f>IF(A1675="","",VLOOKUP(A1675,Stand!C:K,9,0))</f>
        <v/>
      </c>
      <c r="O1675" s="104" t="str">
        <f t="shared" si="740"/>
        <v/>
      </c>
      <c r="P1675" s="105" t="str">
        <f t="shared" si="741"/>
        <v/>
      </c>
      <c r="Q1675" s="105" t="str">
        <f t="shared" si="729"/>
        <v/>
      </c>
      <c r="R1675" s="103" t="str">
        <f t="shared" si="742"/>
        <v/>
      </c>
      <c r="S1675" s="103" t="str">
        <f t="shared" si="743"/>
        <v/>
      </c>
      <c r="T1675" s="106" t="str">
        <f t="shared" si="730"/>
        <v/>
      </c>
      <c r="U1675" s="106" t="str">
        <f t="shared" si="731"/>
        <v/>
      </c>
      <c r="V1675" s="106" t="str">
        <f t="shared" si="732"/>
        <v/>
      </c>
      <c r="W1675" s="105" t="str">
        <f t="shared" si="744"/>
        <v/>
      </c>
      <c r="X1675" s="104" t="str">
        <f t="shared" si="749"/>
        <v/>
      </c>
      <c r="Y1675" s="104" t="str">
        <f t="array" ref="Y1675">IFERROR(IF(ISNUMBER(O1675),IF(COUNT(IF(A1675=$A$2:$A$2427,IF(D1675=$D$2:$D$2427,IF($X$2:$X$2427&gt;0,1))))&gt;0,SUM(IF(A1675=$A$2:$A$2427,IF(D1675=$D$2:$D$2427,$X$2:$X$2427)))/COUNT(IF(A1675=$A$2:$A$2427,IF(D1675=$D$2:$D$2427,IF(ISNUMBER($X$2:$X$2427),1)))),0),""),0)</f>
        <v/>
      </c>
      <c r="Z1675" s="104" t="str">
        <f>IF(ISNUMBER(O1675),IF(I1675&gt;0,(10^(VLOOKUP(D1675,'Species Codes'!B:C,2,0)+VLOOKUP(D1675,'Species Codes'!B:D,3,0)*LOG(E1675)+VLOOKUP(D1675,'Species Codes'!B:E,4,0)*LOG(I1675))),0),"")</f>
        <v/>
      </c>
      <c r="AA1675" s="104" t="str">
        <f>IFERROR((VLOOKUP(D1675,'Species Codes'!B:G,6,0)*Z1675)/2000,"")</f>
        <v/>
      </c>
      <c r="AB1675" s="104" t="e">
        <f>IF(Z1675&gt;0,((IF(OR(D1675="DF",D1675="RA")=TRUE,EXP(VLOOKUP(D1675,'Species Codes'!B:I,8,0)+VLOOKUP(D1675,'Species Codes'!B:J,9,0)*(LN((E1675*2.54)))),IF(OR(D1675="PY",D1675="RC",D1675="WH",D1675="NF")=TRUE,VLOOKUP(D1675,'Species Codes'!B:I,8,0)+VLOOKUP(D1675,'Species Codes'!B:J,9,0)*((E1675*2.54)^2)*(I1675*0.3048),IF(OR(D1675="MD",D1675="BM",D1675="GA")=TRUE,((VLOOKUP(D1675,'Species Codes'!B:I,8,0)*(((((E1675*2.54)+VLOOKUP(D1675,'Species Codes'!B:J,9,0))/VLOOKUP(D1675,'Species Codes'!B:K,10,0))^VLOOKUP(D1675,'Species Codes'!B:L,11,0))*((I1675*0.3048)^VLOOKUP(D1675,'Species Codes'!B:M,12,0))))-(VLOOKUP(D1675,'Species Codes'!B:I,8,0)*((((E1675*2.54)^VLOOKUP(D1675,'Species Codes'!B:L,11,0))*((I1675*0.3048)^VLOOKUP(D1675,'Species Codes'!B:M,12,0))))))*35.3*VLOOKUP(D1675,'Species Codes'!B:G,6,0)/2.2046,VLOOKUP(D1675,'Species Codes'!B:I,8,0)+VLOOKUP(D1675,'Species Codes'!B:J,9,0)*(((E1675*2.54)/100)^2)*(I1675*0.3048)))))*0.0011023),0)</f>
        <v>#N/A</v>
      </c>
      <c r="AC1675" s="104" t="e">
        <f>IF(Z1675&gt;0,((IF(OR(D1675="RA",D1675="OA",D1675="OT",D1675="UN",D1675="PC"),EXP(VLOOKUP(D1675,'Species Codes'!B:O,14,0)+VLOOKUP(D1675,'Species Codes'!B:P,15,0)*LN((E1675*2.54)))-EXP(VLOOKUP(D1675,'Species Codes'!B:O,14,0)+VLOOKUP(D1675,'Species Codes'!B:P,15,0)*LN((E1675*2.54)))*(1/(VLOOKUP(D1675,'Species Codes'!B:Q,16,0)+VLOOKUP(D1675,'Species Codes'!B:R,17,0)*((E1675*2.54)^VLOOKUP(D1675,'Species Codes'!B:S,18,0)))),IF(OR(D1675="BM",D1675="MD",D1675="OA"),EXP(VLOOKUP(D1675,'Species Codes'!B:O,14,0)+VLOOKUP(D1675,'Species Codes'!B:P,15,0)*LN((E1675*2.54)))*(1-(1/(VLOOKUP(D1675,'Species Codes'!B:Q,16,0)+VLOOKUP(D1675,'Species Codes'!B:R,17,0)*((E1675*2.54)^VLOOKUP(D1675,'Species Codes'!B:S,18,0)))))/1000,IF(D1675="DF",EXP(VLOOKUP(D1675,'Species Codes'!B:O,14,0)+VLOOKUP(D1675,'Species Codes'!B:P,15,0)*LN((E1675*2.54))),VLOOKUP(D1675,'Species Codes'!B:O,14,0)+VLOOKUP(D1675,'Species Codes'!B:P,15,0)*(((E1675*2.54)/100)^2)*(I1675*0.3048)))))*0.0011023),0)</f>
        <v>#N/A</v>
      </c>
      <c r="AD1675" s="104" t="e">
        <f t="shared" si="733"/>
        <v>#N/A</v>
      </c>
      <c r="AE1675" s="104" t="e">
        <f t="shared" si="734"/>
        <v>#N/A</v>
      </c>
      <c r="AF1675" s="104" t="e">
        <f>IF(AND(VLOOKUP($D1675,Merchantability!$B:$C,2,0)="Yes",$E1675&gt;=VLOOKUP($D1675,Merchantability!$B:$D,3,0),$E1675&lt;=VLOOKUP($D1675,Merchantability!$B:$E,4,0)),AA1675,0)</f>
        <v>#N/A</v>
      </c>
      <c r="AG1675" s="104" t="e">
        <f>IF(AND(VLOOKUP($D1675,Merchantability!$B:$C,2,0)="Yes",$E1675&gt;=VLOOKUP($D1675,Merchantability!$B:$D,3,0),$E1675&lt;=VLOOKUP($D1675,Merchantability!$B:$E,4,0)),AB1675,0)</f>
        <v>#N/A</v>
      </c>
      <c r="AH1675" s="104" t="e">
        <f>IF(AND(VLOOKUP($D1675,Merchantability!$B:$C,2,0)="Yes",$E1675&gt;=VLOOKUP($D1675,Merchantability!$B:$D,3,0),$E1675&lt;=VLOOKUP($D1675,Merchantability!$B:$E,4,0)),AC1675,0)</f>
        <v>#N/A</v>
      </c>
      <c r="AI1675" s="104" t="e">
        <f t="shared" si="735"/>
        <v>#N/A</v>
      </c>
      <c r="AJ1675" s="104" t="e">
        <f t="shared" si="736"/>
        <v>#VALUE!</v>
      </c>
      <c r="AK1675" s="104" t="e">
        <f t="shared" si="737"/>
        <v>#N/A</v>
      </c>
      <c r="AL1675" s="104" t="e">
        <f t="shared" si="738"/>
        <v>#N/A</v>
      </c>
      <c r="AM1675" s="104" t="e">
        <f t="shared" si="739"/>
        <v>#N/A</v>
      </c>
      <c r="AN1675" s="104" t="e">
        <f t="shared" si="750"/>
        <v>#N/A</v>
      </c>
      <c r="AO1675" s="104" t="e">
        <f t="shared" si="751"/>
        <v>#N/A</v>
      </c>
      <c r="AP1675" s="104" t="e">
        <f t="shared" si="752"/>
        <v>#N/A</v>
      </c>
      <c r="AQ1675" s="104" t="e">
        <f t="shared" si="753"/>
        <v>#N/A</v>
      </c>
      <c r="AR1675" s="105" t="str">
        <f t="shared" si="745"/>
        <v/>
      </c>
      <c r="AS1675" s="105" t="str">
        <f t="shared" si="746"/>
        <v/>
      </c>
      <c r="AT1675" s="108" t="str">
        <f t="shared" si="747"/>
        <v/>
      </c>
      <c r="AU1675" s="108" t="str">
        <f t="shared" si="748"/>
        <v/>
      </c>
      <c r="AV1675" s="107" t="str">
        <f>IF(ISNUMBER(O1675),IF(VLOOKUP($A1675,Stand!C:J,8,FALSE)="Short",AT1675,AU1675),"")</f>
        <v/>
      </c>
      <c r="AW1675" s="109" t="str">
        <f t="shared" si="754"/>
        <v/>
      </c>
      <c r="AX1675" s="109" t="str">
        <f t="shared" si="755"/>
        <v/>
      </c>
      <c r="AY1675" s="112" t="str">
        <f>IF(ISNUMBER(O1675),IF(AND(VLOOKUP($D1675,Merchantability!$B:$C,2,0)="Yes",$E1675&gt;=VLOOKUP($D1675,Merchantability!$B:$D,3,0),$E1675&lt;=VLOOKUP($D1675,Merchantability!$B:$E,4,0)),(AV1675*O1675)*(1-$H1675/100),""),"")</f>
        <v/>
      </c>
      <c r="AZ1675" s="116"/>
      <c r="BA1675" s="116"/>
      <c r="BB1675" s="116"/>
      <c r="BE1675" s="62"/>
      <c r="BF1675" s="63"/>
    </row>
    <row r="1676" spans="1:58" ht="12.75" customHeight="1" x14ac:dyDescent="0.25">
      <c r="A1676" s="334"/>
      <c r="B1676" s="334"/>
      <c r="C1676" s="332"/>
      <c r="D1676" s="334"/>
      <c r="E1676" s="335"/>
      <c r="F1676" s="334"/>
      <c r="G1676" s="332"/>
      <c r="H1676" s="332"/>
      <c r="I1676" s="334"/>
      <c r="J1676" s="336"/>
      <c r="K1676" s="332"/>
      <c r="L1676" s="332"/>
      <c r="M1676" s="76"/>
      <c r="N1676" s="103" t="str">
        <f>IF(A1676="","",VLOOKUP(A1676,Stand!C:K,9,0))</f>
        <v/>
      </c>
      <c r="O1676" s="104" t="str">
        <f t="shared" si="740"/>
        <v/>
      </c>
      <c r="P1676" s="105" t="str">
        <f t="shared" si="741"/>
        <v/>
      </c>
      <c r="Q1676" s="105" t="str">
        <f t="shared" si="729"/>
        <v/>
      </c>
      <c r="R1676" s="103" t="str">
        <f t="shared" si="742"/>
        <v/>
      </c>
      <c r="S1676" s="103" t="str">
        <f t="shared" si="743"/>
        <v/>
      </c>
      <c r="T1676" s="106" t="str">
        <f t="shared" si="730"/>
        <v/>
      </c>
      <c r="U1676" s="106" t="str">
        <f t="shared" si="731"/>
        <v/>
      </c>
      <c r="V1676" s="106" t="str">
        <f t="shared" si="732"/>
        <v/>
      </c>
      <c r="W1676" s="105" t="str">
        <f t="shared" si="744"/>
        <v/>
      </c>
      <c r="X1676" s="104" t="str">
        <f t="shared" si="749"/>
        <v/>
      </c>
      <c r="Y1676" s="104" t="str">
        <f t="array" ref="Y1676">IFERROR(IF(ISNUMBER(O1676),IF(COUNT(IF(A1676=$A$2:$A$2427,IF(D1676=$D$2:$D$2427,IF($X$2:$X$2427&gt;0,1))))&gt;0,SUM(IF(A1676=$A$2:$A$2427,IF(D1676=$D$2:$D$2427,$X$2:$X$2427)))/COUNT(IF(A1676=$A$2:$A$2427,IF(D1676=$D$2:$D$2427,IF(ISNUMBER($X$2:$X$2427),1)))),0),""),0)</f>
        <v/>
      </c>
      <c r="Z1676" s="104" t="str">
        <f>IF(ISNUMBER(O1676),IF(I1676&gt;0,(10^(VLOOKUP(D1676,'Species Codes'!B:C,2,0)+VLOOKUP(D1676,'Species Codes'!B:D,3,0)*LOG(E1676)+VLOOKUP(D1676,'Species Codes'!B:E,4,0)*LOG(I1676))),0),"")</f>
        <v/>
      </c>
      <c r="AA1676" s="104" t="str">
        <f>IFERROR((VLOOKUP(D1676,'Species Codes'!B:G,6,0)*Z1676)/2000,"")</f>
        <v/>
      </c>
      <c r="AB1676" s="104" t="e">
        <f>IF(Z1676&gt;0,((IF(OR(D1676="DF",D1676="RA")=TRUE,EXP(VLOOKUP(D1676,'Species Codes'!B:I,8,0)+VLOOKUP(D1676,'Species Codes'!B:J,9,0)*(LN((E1676*2.54)))),IF(OR(D1676="PY",D1676="RC",D1676="WH",D1676="NF")=TRUE,VLOOKUP(D1676,'Species Codes'!B:I,8,0)+VLOOKUP(D1676,'Species Codes'!B:J,9,0)*((E1676*2.54)^2)*(I1676*0.3048),IF(OR(D1676="MD",D1676="BM",D1676="GA")=TRUE,((VLOOKUP(D1676,'Species Codes'!B:I,8,0)*(((((E1676*2.54)+VLOOKUP(D1676,'Species Codes'!B:J,9,0))/VLOOKUP(D1676,'Species Codes'!B:K,10,0))^VLOOKUP(D1676,'Species Codes'!B:L,11,0))*((I1676*0.3048)^VLOOKUP(D1676,'Species Codes'!B:M,12,0))))-(VLOOKUP(D1676,'Species Codes'!B:I,8,0)*((((E1676*2.54)^VLOOKUP(D1676,'Species Codes'!B:L,11,0))*((I1676*0.3048)^VLOOKUP(D1676,'Species Codes'!B:M,12,0))))))*35.3*VLOOKUP(D1676,'Species Codes'!B:G,6,0)/2.2046,VLOOKUP(D1676,'Species Codes'!B:I,8,0)+VLOOKUP(D1676,'Species Codes'!B:J,9,0)*(((E1676*2.54)/100)^2)*(I1676*0.3048)))))*0.0011023),0)</f>
        <v>#N/A</v>
      </c>
      <c r="AC1676" s="104" t="e">
        <f>IF(Z1676&gt;0,((IF(OR(D1676="RA",D1676="OA",D1676="OT",D1676="UN",D1676="PC"),EXP(VLOOKUP(D1676,'Species Codes'!B:O,14,0)+VLOOKUP(D1676,'Species Codes'!B:P,15,0)*LN((E1676*2.54)))-EXP(VLOOKUP(D1676,'Species Codes'!B:O,14,0)+VLOOKUP(D1676,'Species Codes'!B:P,15,0)*LN((E1676*2.54)))*(1/(VLOOKUP(D1676,'Species Codes'!B:Q,16,0)+VLOOKUP(D1676,'Species Codes'!B:R,17,0)*((E1676*2.54)^VLOOKUP(D1676,'Species Codes'!B:S,18,0)))),IF(OR(D1676="BM",D1676="MD",D1676="OA"),EXP(VLOOKUP(D1676,'Species Codes'!B:O,14,0)+VLOOKUP(D1676,'Species Codes'!B:P,15,0)*LN((E1676*2.54)))*(1-(1/(VLOOKUP(D1676,'Species Codes'!B:Q,16,0)+VLOOKUP(D1676,'Species Codes'!B:R,17,0)*((E1676*2.54)^VLOOKUP(D1676,'Species Codes'!B:S,18,0)))))/1000,IF(D1676="DF",EXP(VLOOKUP(D1676,'Species Codes'!B:O,14,0)+VLOOKUP(D1676,'Species Codes'!B:P,15,0)*LN((E1676*2.54))),VLOOKUP(D1676,'Species Codes'!B:O,14,0)+VLOOKUP(D1676,'Species Codes'!B:P,15,0)*(((E1676*2.54)/100)^2)*(I1676*0.3048)))))*0.0011023),0)</f>
        <v>#N/A</v>
      </c>
      <c r="AD1676" s="104" t="e">
        <f t="shared" si="733"/>
        <v>#N/A</v>
      </c>
      <c r="AE1676" s="104" t="e">
        <f t="shared" si="734"/>
        <v>#N/A</v>
      </c>
      <c r="AF1676" s="104" t="e">
        <f>IF(AND(VLOOKUP($D1676,Merchantability!$B:$C,2,0)="Yes",$E1676&gt;=VLOOKUP($D1676,Merchantability!$B:$D,3,0),$E1676&lt;=VLOOKUP($D1676,Merchantability!$B:$E,4,0)),AA1676,0)</f>
        <v>#N/A</v>
      </c>
      <c r="AG1676" s="104" t="e">
        <f>IF(AND(VLOOKUP($D1676,Merchantability!$B:$C,2,0)="Yes",$E1676&gt;=VLOOKUP($D1676,Merchantability!$B:$D,3,0),$E1676&lt;=VLOOKUP($D1676,Merchantability!$B:$E,4,0)),AB1676,0)</f>
        <v>#N/A</v>
      </c>
      <c r="AH1676" s="104" t="e">
        <f>IF(AND(VLOOKUP($D1676,Merchantability!$B:$C,2,0)="Yes",$E1676&gt;=VLOOKUP($D1676,Merchantability!$B:$D,3,0),$E1676&lt;=VLOOKUP($D1676,Merchantability!$B:$E,4,0)),AC1676,0)</f>
        <v>#N/A</v>
      </c>
      <c r="AI1676" s="104" t="e">
        <f t="shared" si="735"/>
        <v>#N/A</v>
      </c>
      <c r="AJ1676" s="104" t="e">
        <f t="shared" si="736"/>
        <v>#VALUE!</v>
      </c>
      <c r="AK1676" s="104" t="e">
        <f t="shared" si="737"/>
        <v>#N/A</v>
      </c>
      <c r="AL1676" s="104" t="e">
        <f t="shared" si="738"/>
        <v>#N/A</v>
      </c>
      <c r="AM1676" s="104" t="e">
        <f t="shared" si="739"/>
        <v>#N/A</v>
      </c>
      <c r="AN1676" s="104" t="e">
        <f t="shared" si="750"/>
        <v>#N/A</v>
      </c>
      <c r="AO1676" s="104" t="e">
        <f t="shared" si="751"/>
        <v>#N/A</v>
      </c>
      <c r="AP1676" s="104" t="e">
        <f t="shared" si="752"/>
        <v>#N/A</v>
      </c>
      <c r="AQ1676" s="104" t="e">
        <f t="shared" si="753"/>
        <v>#N/A</v>
      </c>
      <c r="AR1676" s="105" t="str">
        <f t="shared" si="745"/>
        <v/>
      </c>
      <c r="AS1676" s="105" t="str">
        <f t="shared" si="746"/>
        <v/>
      </c>
      <c r="AT1676" s="108" t="str">
        <f t="shared" si="747"/>
        <v/>
      </c>
      <c r="AU1676" s="108" t="str">
        <f t="shared" si="748"/>
        <v/>
      </c>
      <c r="AV1676" s="107" t="str">
        <f>IF(ISNUMBER(O1676),IF(VLOOKUP($A1676,Stand!C:J,8,FALSE)="Short",AT1676,AU1676),"")</f>
        <v/>
      </c>
      <c r="AW1676" s="109" t="str">
        <f t="shared" si="754"/>
        <v/>
      </c>
      <c r="AX1676" s="109" t="str">
        <f t="shared" si="755"/>
        <v/>
      </c>
      <c r="AY1676" s="112" t="str">
        <f>IF(ISNUMBER(O1676),IF(AND(VLOOKUP($D1676,Merchantability!$B:$C,2,0)="Yes",$E1676&gt;=VLOOKUP($D1676,Merchantability!$B:$D,3,0),$E1676&lt;=VLOOKUP($D1676,Merchantability!$B:$E,4,0)),(AV1676*O1676)*(1-$H1676/100),""),"")</f>
        <v/>
      </c>
      <c r="AZ1676" s="116"/>
      <c r="BA1676" s="116"/>
      <c r="BB1676" s="116"/>
      <c r="BE1676" s="62"/>
      <c r="BF1676" s="63"/>
    </row>
    <row r="1677" spans="1:58" ht="12.75" customHeight="1" x14ac:dyDescent="0.25">
      <c r="A1677" s="334"/>
      <c r="B1677" s="334"/>
      <c r="C1677" s="332"/>
      <c r="D1677" s="334"/>
      <c r="E1677" s="335"/>
      <c r="F1677" s="334"/>
      <c r="G1677" s="332"/>
      <c r="H1677" s="332"/>
      <c r="I1677" s="334"/>
      <c r="J1677" s="336"/>
      <c r="K1677" s="332"/>
      <c r="L1677" s="332"/>
      <c r="M1677" s="76"/>
      <c r="N1677" s="103" t="str">
        <f>IF(A1677="","",VLOOKUP(A1677,Stand!C:K,9,0))</f>
        <v/>
      </c>
      <c r="O1677" s="104" t="str">
        <f t="shared" si="740"/>
        <v/>
      </c>
      <c r="P1677" s="105" t="str">
        <f t="shared" si="741"/>
        <v/>
      </c>
      <c r="Q1677" s="105" t="str">
        <f t="shared" si="729"/>
        <v/>
      </c>
      <c r="R1677" s="103" t="str">
        <f t="shared" si="742"/>
        <v/>
      </c>
      <c r="S1677" s="103" t="str">
        <f t="shared" si="743"/>
        <v/>
      </c>
      <c r="T1677" s="106" t="str">
        <f t="shared" si="730"/>
        <v/>
      </c>
      <c r="U1677" s="106" t="str">
        <f t="shared" si="731"/>
        <v/>
      </c>
      <c r="V1677" s="106" t="str">
        <f t="shared" si="732"/>
        <v/>
      </c>
      <c r="W1677" s="105" t="str">
        <f t="shared" si="744"/>
        <v/>
      </c>
      <c r="X1677" s="104" t="str">
        <f t="shared" si="749"/>
        <v/>
      </c>
      <c r="Y1677" s="104" t="str">
        <f t="array" ref="Y1677">IFERROR(IF(ISNUMBER(O1677),IF(COUNT(IF(A1677=$A$2:$A$2427,IF(D1677=$D$2:$D$2427,IF($X$2:$X$2427&gt;0,1))))&gt;0,SUM(IF(A1677=$A$2:$A$2427,IF(D1677=$D$2:$D$2427,$X$2:$X$2427)))/COUNT(IF(A1677=$A$2:$A$2427,IF(D1677=$D$2:$D$2427,IF(ISNUMBER($X$2:$X$2427),1)))),0),""),0)</f>
        <v/>
      </c>
      <c r="Z1677" s="104" t="str">
        <f>IF(ISNUMBER(O1677),IF(I1677&gt;0,(10^(VLOOKUP(D1677,'Species Codes'!B:C,2,0)+VLOOKUP(D1677,'Species Codes'!B:D,3,0)*LOG(E1677)+VLOOKUP(D1677,'Species Codes'!B:E,4,0)*LOG(I1677))),0),"")</f>
        <v/>
      </c>
      <c r="AA1677" s="104" t="str">
        <f>IFERROR((VLOOKUP(D1677,'Species Codes'!B:G,6,0)*Z1677)/2000,"")</f>
        <v/>
      </c>
      <c r="AB1677" s="104" t="e">
        <f>IF(Z1677&gt;0,((IF(OR(D1677="DF",D1677="RA")=TRUE,EXP(VLOOKUP(D1677,'Species Codes'!B:I,8,0)+VLOOKUP(D1677,'Species Codes'!B:J,9,0)*(LN((E1677*2.54)))),IF(OR(D1677="PY",D1677="RC",D1677="WH",D1677="NF")=TRUE,VLOOKUP(D1677,'Species Codes'!B:I,8,0)+VLOOKUP(D1677,'Species Codes'!B:J,9,0)*((E1677*2.54)^2)*(I1677*0.3048),IF(OR(D1677="MD",D1677="BM",D1677="GA")=TRUE,((VLOOKUP(D1677,'Species Codes'!B:I,8,0)*(((((E1677*2.54)+VLOOKUP(D1677,'Species Codes'!B:J,9,0))/VLOOKUP(D1677,'Species Codes'!B:K,10,0))^VLOOKUP(D1677,'Species Codes'!B:L,11,0))*((I1677*0.3048)^VLOOKUP(D1677,'Species Codes'!B:M,12,0))))-(VLOOKUP(D1677,'Species Codes'!B:I,8,0)*((((E1677*2.54)^VLOOKUP(D1677,'Species Codes'!B:L,11,0))*((I1677*0.3048)^VLOOKUP(D1677,'Species Codes'!B:M,12,0))))))*35.3*VLOOKUP(D1677,'Species Codes'!B:G,6,0)/2.2046,VLOOKUP(D1677,'Species Codes'!B:I,8,0)+VLOOKUP(D1677,'Species Codes'!B:J,9,0)*(((E1677*2.54)/100)^2)*(I1677*0.3048)))))*0.0011023),0)</f>
        <v>#N/A</v>
      </c>
      <c r="AC1677" s="104" t="e">
        <f>IF(Z1677&gt;0,((IF(OR(D1677="RA",D1677="OA",D1677="OT",D1677="UN",D1677="PC"),EXP(VLOOKUP(D1677,'Species Codes'!B:O,14,0)+VLOOKUP(D1677,'Species Codes'!B:P,15,0)*LN((E1677*2.54)))-EXP(VLOOKUP(D1677,'Species Codes'!B:O,14,0)+VLOOKUP(D1677,'Species Codes'!B:P,15,0)*LN((E1677*2.54)))*(1/(VLOOKUP(D1677,'Species Codes'!B:Q,16,0)+VLOOKUP(D1677,'Species Codes'!B:R,17,0)*((E1677*2.54)^VLOOKUP(D1677,'Species Codes'!B:S,18,0)))),IF(OR(D1677="BM",D1677="MD",D1677="OA"),EXP(VLOOKUP(D1677,'Species Codes'!B:O,14,0)+VLOOKUP(D1677,'Species Codes'!B:P,15,0)*LN((E1677*2.54)))*(1-(1/(VLOOKUP(D1677,'Species Codes'!B:Q,16,0)+VLOOKUP(D1677,'Species Codes'!B:R,17,0)*((E1677*2.54)^VLOOKUP(D1677,'Species Codes'!B:S,18,0)))))/1000,IF(D1677="DF",EXP(VLOOKUP(D1677,'Species Codes'!B:O,14,0)+VLOOKUP(D1677,'Species Codes'!B:P,15,0)*LN((E1677*2.54))),VLOOKUP(D1677,'Species Codes'!B:O,14,0)+VLOOKUP(D1677,'Species Codes'!B:P,15,0)*(((E1677*2.54)/100)^2)*(I1677*0.3048)))))*0.0011023),0)</f>
        <v>#N/A</v>
      </c>
      <c r="AD1677" s="104" t="e">
        <f t="shared" si="733"/>
        <v>#N/A</v>
      </c>
      <c r="AE1677" s="104" t="e">
        <f t="shared" si="734"/>
        <v>#N/A</v>
      </c>
      <c r="AF1677" s="104" t="e">
        <f>IF(AND(VLOOKUP($D1677,Merchantability!$B:$C,2,0)="Yes",$E1677&gt;=VLOOKUP($D1677,Merchantability!$B:$D,3,0),$E1677&lt;=VLOOKUP($D1677,Merchantability!$B:$E,4,0)),AA1677,0)</f>
        <v>#N/A</v>
      </c>
      <c r="AG1677" s="104" t="e">
        <f>IF(AND(VLOOKUP($D1677,Merchantability!$B:$C,2,0)="Yes",$E1677&gt;=VLOOKUP($D1677,Merchantability!$B:$D,3,0),$E1677&lt;=VLOOKUP($D1677,Merchantability!$B:$E,4,0)),AB1677,0)</f>
        <v>#N/A</v>
      </c>
      <c r="AH1677" s="104" t="e">
        <f>IF(AND(VLOOKUP($D1677,Merchantability!$B:$C,2,0)="Yes",$E1677&gt;=VLOOKUP($D1677,Merchantability!$B:$D,3,0),$E1677&lt;=VLOOKUP($D1677,Merchantability!$B:$E,4,0)),AC1677,0)</f>
        <v>#N/A</v>
      </c>
      <c r="AI1677" s="104" t="e">
        <f t="shared" si="735"/>
        <v>#N/A</v>
      </c>
      <c r="AJ1677" s="104" t="e">
        <f t="shared" si="736"/>
        <v>#VALUE!</v>
      </c>
      <c r="AK1677" s="104" t="e">
        <f t="shared" si="737"/>
        <v>#N/A</v>
      </c>
      <c r="AL1677" s="104" t="e">
        <f t="shared" si="738"/>
        <v>#N/A</v>
      </c>
      <c r="AM1677" s="104" t="e">
        <f t="shared" si="739"/>
        <v>#N/A</v>
      </c>
      <c r="AN1677" s="104" t="e">
        <f t="shared" si="750"/>
        <v>#N/A</v>
      </c>
      <c r="AO1677" s="104" t="e">
        <f t="shared" si="751"/>
        <v>#N/A</v>
      </c>
      <c r="AP1677" s="104" t="e">
        <f t="shared" si="752"/>
        <v>#N/A</v>
      </c>
      <c r="AQ1677" s="104" t="e">
        <f t="shared" si="753"/>
        <v>#N/A</v>
      </c>
      <c r="AR1677" s="105" t="str">
        <f t="shared" si="745"/>
        <v/>
      </c>
      <c r="AS1677" s="105" t="str">
        <f t="shared" si="746"/>
        <v/>
      </c>
      <c r="AT1677" s="108" t="str">
        <f t="shared" si="747"/>
        <v/>
      </c>
      <c r="AU1677" s="108" t="str">
        <f t="shared" si="748"/>
        <v/>
      </c>
      <c r="AV1677" s="107" t="str">
        <f>IF(ISNUMBER(O1677),IF(VLOOKUP($A1677,Stand!C:J,8,FALSE)="Short",AT1677,AU1677),"")</f>
        <v/>
      </c>
      <c r="AW1677" s="109" t="str">
        <f t="shared" si="754"/>
        <v/>
      </c>
      <c r="AX1677" s="109" t="str">
        <f t="shared" si="755"/>
        <v/>
      </c>
      <c r="AY1677" s="112" t="str">
        <f>IF(ISNUMBER(O1677),IF(AND(VLOOKUP($D1677,Merchantability!$B:$C,2,0)="Yes",$E1677&gt;=VLOOKUP($D1677,Merchantability!$B:$D,3,0),$E1677&lt;=VLOOKUP($D1677,Merchantability!$B:$E,4,0)),(AV1677*O1677)*(1-$H1677/100),""),"")</f>
        <v/>
      </c>
      <c r="AZ1677" s="116"/>
      <c r="BA1677" s="116"/>
      <c r="BB1677" s="116"/>
      <c r="BE1677" s="62"/>
      <c r="BF1677" s="63"/>
    </row>
    <row r="1678" spans="1:58" ht="12.75" customHeight="1" x14ac:dyDescent="0.25">
      <c r="A1678" s="334"/>
      <c r="B1678" s="334"/>
      <c r="C1678" s="332"/>
      <c r="D1678" s="334"/>
      <c r="E1678" s="335"/>
      <c r="F1678" s="334"/>
      <c r="G1678" s="332"/>
      <c r="H1678" s="332"/>
      <c r="I1678" s="334"/>
      <c r="J1678" s="336"/>
      <c r="K1678" s="332"/>
      <c r="L1678" s="332"/>
      <c r="M1678" s="76"/>
      <c r="N1678" s="103" t="str">
        <f>IF(A1678="","",VLOOKUP(A1678,Stand!C:K,9,0))</f>
        <v/>
      </c>
      <c r="O1678" s="104" t="str">
        <f t="shared" si="740"/>
        <v/>
      </c>
      <c r="P1678" s="105" t="str">
        <f t="shared" si="741"/>
        <v/>
      </c>
      <c r="Q1678" s="105" t="str">
        <f t="shared" si="729"/>
        <v/>
      </c>
      <c r="R1678" s="103" t="str">
        <f t="shared" si="742"/>
        <v/>
      </c>
      <c r="S1678" s="103" t="str">
        <f t="shared" si="743"/>
        <v/>
      </c>
      <c r="T1678" s="106" t="str">
        <f t="shared" si="730"/>
        <v/>
      </c>
      <c r="U1678" s="106" t="str">
        <f t="shared" si="731"/>
        <v/>
      </c>
      <c r="V1678" s="106" t="str">
        <f t="shared" si="732"/>
        <v/>
      </c>
      <c r="W1678" s="105" t="str">
        <f t="shared" si="744"/>
        <v/>
      </c>
      <c r="X1678" s="104" t="str">
        <f t="shared" si="749"/>
        <v/>
      </c>
      <c r="Y1678" s="104" t="str">
        <f t="array" ref="Y1678">IFERROR(IF(ISNUMBER(O1678),IF(COUNT(IF(A1678=$A$2:$A$2427,IF(D1678=$D$2:$D$2427,IF($X$2:$X$2427&gt;0,1))))&gt;0,SUM(IF(A1678=$A$2:$A$2427,IF(D1678=$D$2:$D$2427,$X$2:$X$2427)))/COUNT(IF(A1678=$A$2:$A$2427,IF(D1678=$D$2:$D$2427,IF(ISNUMBER($X$2:$X$2427),1)))),0),""),0)</f>
        <v/>
      </c>
      <c r="Z1678" s="104" t="str">
        <f>IF(ISNUMBER(O1678),IF(I1678&gt;0,(10^(VLOOKUP(D1678,'Species Codes'!B:C,2,0)+VLOOKUP(D1678,'Species Codes'!B:D,3,0)*LOG(E1678)+VLOOKUP(D1678,'Species Codes'!B:E,4,0)*LOG(I1678))),0),"")</f>
        <v/>
      </c>
      <c r="AA1678" s="104" t="str">
        <f>IFERROR((VLOOKUP(D1678,'Species Codes'!B:G,6,0)*Z1678)/2000,"")</f>
        <v/>
      </c>
      <c r="AB1678" s="104" t="e">
        <f>IF(Z1678&gt;0,((IF(OR(D1678="DF",D1678="RA")=TRUE,EXP(VLOOKUP(D1678,'Species Codes'!B:I,8,0)+VLOOKUP(D1678,'Species Codes'!B:J,9,0)*(LN((E1678*2.54)))),IF(OR(D1678="PY",D1678="RC",D1678="WH",D1678="NF")=TRUE,VLOOKUP(D1678,'Species Codes'!B:I,8,0)+VLOOKUP(D1678,'Species Codes'!B:J,9,0)*((E1678*2.54)^2)*(I1678*0.3048),IF(OR(D1678="MD",D1678="BM",D1678="GA")=TRUE,((VLOOKUP(D1678,'Species Codes'!B:I,8,0)*(((((E1678*2.54)+VLOOKUP(D1678,'Species Codes'!B:J,9,0))/VLOOKUP(D1678,'Species Codes'!B:K,10,0))^VLOOKUP(D1678,'Species Codes'!B:L,11,0))*((I1678*0.3048)^VLOOKUP(D1678,'Species Codes'!B:M,12,0))))-(VLOOKUP(D1678,'Species Codes'!B:I,8,0)*((((E1678*2.54)^VLOOKUP(D1678,'Species Codes'!B:L,11,0))*((I1678*0.3048)^VLOOKUP(D1678,'Species Codes'!B:M,12,0))))))*35.3*VLOOKUP(D1678,'Species Codes'!B:G,6,0)/2.2046,VLOOKUP(D1678,'Species Codes'!B:I,8,0)+VLOOKUP(D1678,'Species Codes'!B:J,9,0)*(((E1678*2.54)/100)^2)*(I1678*0.3048)))))*0.0011023),0)</f>
        <v>#N/A</v>
      </c>
      <c r="AC1678" s="104" t="e">
        <f>IF(Z1678&gt;0,((IF(OR(D1678="RA",D1678="OA",D1678="OT",D1678="UN",D1678="PC"),EXP(VLOOKUP(D1678,'Species Codes'!B:O,14,0)+VLOOKUP(D1678,'Species Codes'!B:P,15,0)*LN((E1678*2.54)))-EXP(VLOOKUP(D1678,'Species Codes'!B:O,14,0)+VLOOKUP(D1678,'Species Codes'!B:P,15,0)*LN((E1678*2.54)))*(1/(VLOOKUP(D1678,'Species Codes'!B:Q,16,0)+VLOOKUP(D1678,'Species Codes'!B:R,17,0)*((E1678*2.54)^VLOOKUP(D1678,'Species Codes'!B:S,18,0)))),IF(OR(D1678="BM",D1678="MD",D1678="OA"),EXP(VLOOKUP(D1678,'Species Codes'!B:O,14,0)+VLOOKUP(D1678,'Species Codes'!B:P,15,0)*LN((E1678*2.54)))*(1-(1/(VLOOKUP(D1678,'Species Codes'!B:Q,16,0)+VLOOKUP(D1678,'Species Codes'!B:R,17,0)*((E1678*2.54)^VLOOKUP(D1678,'Species Codes'!B:S,18,0)))))/1000,IF(D1678="DF",EXP(VLOOKUP(D1678,'Species Codes'!B:O,14,0)+VLOOKUP(D1678,'Species Codes'!B:P,15,0)*LN((E1678*2.54))),VLOOKUP(D1678,'Species Codes'!B:O,14,0)+VLOOKUP(D1678,'Species Codes'!B:P,15,0)*(((E1678*2.54)/100)^2)*(I1678*0.3048)))))*0.0011023),0)</f>
        <v>#N/A</v>
      </c>
      <c r="AD1678" s="104" t="e">
        <f t="shared" si="733"/>
        <v>#N/A</v>
      </c>
      <c r="AE1678" s="104" t="e">
        <f t="shared" si="734"/>
        <v>#N/A</v>
      </c>
      <c r="AF1678" s="104" t="e">
        <f>IF(AND(VLOOKUP($D1678,Merchantability!$B:$C,2,0)="Yes",$E1678&gt;=VLOOKUP($D1678,Merchantability!$B:$D,3,0),$E1678&lt;=VLOOKUP($D1678,Merchantability!$B:$E,4,0)),AA1678,0)</f>
        <v>#N/A</v>
      </c>
      <c r="AG1678" s="104" t="e">
        <f>IF(AND(VLOOKUP($D1678,Merchantability!$B:$C,2,0)="Yes",$E1678&gt;=VLOOKUP($D1678,Merchantability!$B:$D,3,0),$E1678&lt;=VLOOKUP($D1678,Merchantability!$B:$E,4,0)),AB1678,0)</f>
        <v>#N/A</v>
      </c>
      <c r="AH1678" s="104" t="e">
        <f>IF(AND(VLOOKUP($D1678,Merchantability!$B:$C,2,0)="Yes",$E1678&gt;=VLOOKUP($D1678,Merchantability!$B:$D,3,0),$E1678&lt;=VLOOKUP($D1678,Merchantability!$B:$E,4,0)),AC1678,0)</f>
        <v>#N/A</v>
      </c>
      <c r="AI1678" s="104" t="e">
        <f t="shared" si="735"/>
        <v>#N/A</v>
      </c>
      <c r="AJ1678" s="104" t="e">
        <f t="shared" si="736"/>
        <v>#VALUE!</v>
      </c>
      <c r="AK1678" s="104" t="e">
        <f t="shared" si="737"/>
        <v>#N/A</v>
      </c>
      <c r="AL1678" s="104" t="e">
        <f t="shared" si="738"/>
        <v>#N/A</v>
      </c>
      <c r="AM1678" s="104" t="e">
        <f t="shared" si="739"/>
        <v>#N/A</v>
      </c>
      <c r="AN1678" s="104" t="e">
        <f t="shared" si="750"/>
        <v>#N/A</v>
      </c>
      <c r="AO1678" s="104" t="e">
        <f t="shared" si="751"/>
        <v>#N/A</v>
      </c>
      <c r="AP1678" s="104" t="e">
        <f t="shared" si="752"/>
        <v>#N/A</v>
      </c>
      <c r="AQ1678" s="104" t="e">
        <f t="shared" si="753"/>
        <v>#N/A</v>
      </c>
      <c r="AR1678" s="105" t="str">
        <f t="shared" si="745"/>
        <v/>
      </c>
      <c r="AS1678" s="105" t="str">
        <f t="shared" si="746"/>
        <v/>
      </c>
      <c r="AT1678" s="108" t="str">
        <f t="shared" si="747"/>
        <v/>
      </c>
      <c r="AU1678" s="108" t="str">
        <f t="shared" si="748"/>
        <v/>
      </c>
      <c r="AV1678" s="107" t="str">
        <f>IF(ISNUMBER(O1678),IF(VLOOKUP($A1678,Stand!C:J,8,FALSE)="Short",AT1678,AU1678),"")</f>
        <v/>
      </c>
      <c r="AW1678" s="109" t="str">
        <f t="shared" si="754"/>
        <v/>
      </c>
      <c r="AX1678" s="109" t="str">
        <f t="shared" si="755"/>
        <v/>
      </c>
      <c r="AY1678" s="112" t="str">
        <f>IF(ISNUMBER(O1678),IF(AND(VLOOKUP($D1678,Merchantability!$B:$C,2,0)="Yes",$E1678&gt;=VLOOKUP($D1678,Merchantability!$B:$D,3,0),$E1678&lt;=VLOOKUP($D1678,Merchantability!$B:$E,4,0)),(AV1678*O1678)*(1-$H1678/100),""),"")</f>
        <v/>
      </c>
      <c r="AZ1678" s="116"/>
      <c r="BA1678" s="116"/>
      <c r="BB1678" s="116"/>
      <c r="BE1678" s="62"/>
      <c r="BF1678" s="63"/>
    </row>
    <row r="1679" spans="1:58" ht="12.75" customHeight="1" x14ac:dyDescent="0.25">
      <c r="A1679" s="334"/>
      <c r="B1679" s="334"/>
      <c r="C1679" s="332"/>
      <c r="D1679" s="334"/>
      <c r="E1679" s="335"/>
      <c r="F1679" s="334"/>
      <c r="G1679" s="332"/>
      <c r="H1679" s="332"/>
      <c r="I1679" s="334"/>
      <c r="J1679" s="336"/>
      <c r="K1679" s="332"/>
      <c r="L1679" s="332"/>
      <c r="M1679" s="76"/>
      <c r="N1679" s="103" t="str">
        <f>IF(A1679="","",VLOOKUP(A1679,Stand!C:K,9,0))</f>
        <v/>
      </c>
      <c r="O1679" s="104" t="str">
        <f t="shared" si="740"/>
        <v/>
      </c>
      <c r="P1679" s="105" t="str">
        <f t="shared" si="741"/>
        <v/>
      </c>
      <c r="Q1679" s="105" t="str">
        <f t="shared" si="729"/>
        <v/>
      </c>
      <c r="R1679" s="103" t="str">
        <f t="shared" si="742"/>
        <v/>
      </c>
      <c r="S1679" s="103" t="str">
        <f t="shared" si="743"/>
        <v/>
      </c>
      <c r="T1679" s="106" t="str">
        <f t="shared" si="730"/>
        <v/>
      </c>
      <c r="U1679" s="106" t="str">
        <f t="shared" si="731"/>
        <v/>
      </c>
      <c r="V1679" s="106" t="str">
        <f t="shared" si="732"/>
        <v/>
      </c>
      <c r="W1679" s="105" t="str">
        <f t="shared" si="744"/>
        <v/>
      </c>
      <c r="X1679" s="104" t="str">
        <f t="shared" si="749"/>
        <v/>
      </c>
      <c r="Y1679" s="104" t="str">
        <f t="array" ref="Y1679">IFERROR(IF(ISNUMBER(O1679),IF(COUNT(IF(A1679=$A$2:$A$2427,IF(D1679=$D$2:$D$2427,IF($X$2:$X$2427&gt;0,1))))&gt;0,SUM(IF(A1679=$A$2:$A$2427,IF(D1679=$D$2:$D$2427,$X$2:$X$2427)))/COUNT(IF(A1679=$A$2:$A$2427,IF(D1679=$D$2:$D$2427,IF(ISNUMBER($X$2:$X$2427),1)))),0),""),0)</f>
        <v/>
      </c>
      <c r="Z1679" s="104" t="str">
        <f>IF(ISNUMBER(O1679),IF(I1679&gt;0,(10^(VLOOKUP(D1679,'Species Codes'!B:C,2,0)+VLOOKUP(D1679,'Species Codes'!B:D,3,0)*LOG(E1679)+VLOOKUP(D1679,'Species Codes'!B:E,4,0)*LOG(I1679))),0),"")</f>
        <v/>
      </c>
      <c r="AA1679" s="104" t="str">
        <f>IFERROR((VLOOKUP(D1679,'Species Codes'!B:G,6,0)*Z1679)/2000,"")</f>
        <v/>
      </c>
      <c r="AB1679" s="104" t="e">
        <f>IF(Z1679&gt;0,((IF(OR(D1679="DF",D1679="RA")=TRUE,EXP(VLOOKUP(D1679,'Species Codes'!B:I,8,0)+VLOOKUP(D1679,'Species Codes'!B:J,9,0)*(LN((E1679*2.54)))),IF(OR(D1679="PY",D1679="RC",D1679="WH",D1679="NF")=TRUE,VLOOKUP(D1679,'Species Codes'!B:I,8,0)+VLOOKUP(D1679,'Species Codes'!B:J,9,0)*((E1679*2.54)^2)*(I1679*0.3048),IF(OR(D1679="MD",D1679="BM",D1679="GA")=TRUE,((VLOOKUP(D1679,'Species Codes'!B:I,8,0)*(((((E1679*2.54)+VLOOKUP(D1679,'Species Codes'!B:J,9,0))/VLOOKUP(D1679,'Species Codes'!B:K,10,0))^VLOOKUP(D1679,'Species Codes'!B:L,11,0))*((I1679*0.3048)^VLOOKUP(D1679,'Species Codes'!B:M,12,0))))-(VLOOKUP(D1679,'Species Codes'!B:I,8,0)*((((E1679*2.54)^VLOOKUP(D1679,'Species Codes'!B:L,11,0))*((I1679*0.3048)^VLOOKUP(D1679,'Species Codes'!B:M,12,0))))))*35.3*VLOOKUP(D1679,'Species Codes'!B:G,6,0)/2.2046,VLOOKUP(D1679,'Species Codes'!B:I,8,0)+VLOOKUP(D1679,'Species Codes'!B:J,9,0)*(((E1679*2.54)/100)^2)*(I1679*0.3048)))))*0.0011023),0)</f>
        <v>#N/A</v>
      </c>
      <c r="AC1679" s="104" t="e">
        <f>IF(Z1679&gt;0,((IF(OR(D1679="RA",D1679="OA",D1679="OT",D1679="UN",D1679="PC"),EXP(VLOOKUP(D1679,'Species Codes'!B:O,14,0)+VLOOKUP(D1679,'Species Codes'!B:P,15,0)*LN((E1679*2.54)))-EXP(VLOOKUP(D1679,'Species Codes'!B:O,14,0)+VLOOKUP(D1679,'Species Codes'!B:P,15,0)*LN((E1679*2.54)))*(1/(VLOOKUP(D1679,'Species Codes'!B:Q,16,0)+VLOOKUP(D1679,'Species Codes'!B:R,17,0)*((E1679*2.54)^VLOOKUP(D1679,'Species Codes'!B:S,18,0)))),IF(OR(D1679="BM",D1679="MD",D1679="OA"),EXP(VLOOKUP(D1679,'Species Codes'!B:O,14,0)+VLOOKUP(D1679,'Species Codes'!B:P,15,0)*LN((E1679*2.54)))*(1-(1/(VLOOKUP(D1679,'Species Codes'!B:Q,16,0)+VLOOKUP(D1679,'Species Codes'!B:R,17,0)*((E1679*2.54)^VLOOKUP(D1679,'Species Codes'!B:S,18,0)))))/1000,IF(D1679="DF",EXP(VLOOKUP(D1679,'Species Codes'!B:O,14,0)+VLOOKUP(D1679,'Species Codes'!B:P,15,0)*LN((E1679*2.54))),VLOOKUP(D1679,'Species Codes'!B:O,14,0)+VLOOKUP(D1679,'Species Codes'!B:P,15,0)*(((E1679*2.54)/100)^2)*(I1679*0.3048)))))*0.0011023),0)</f>
        <v>#N/A</v>
      </c>
      <c r="AD1679" s="104" t="e">
        <f t="shared" si="733"/>
        <v>#N/A</v>
      </c>
      <c r="AE1679" s="104" t="e">
        <f t="shared" si="734"/>
        <v>#N/A</v>
      </c>
      <c r="AF1679" s="104" t="e">
        <f>IF(AND(VLOOKUP($D1679,Merchantability!$B:$C,2,0)="Yes",$E1679&gt;=VLOOKUP($D1679,Merchantability!$B:$D,3,0),$E1679&lt;=VLOOKUP($D1679,Merchantability!$B:$E,4,0)),AA1679,0)</f>
        <v>#N/A</v>
      </c>
      <c r="AG1679" s="104" t="e">
        <f>IF(AND(VLOOKUP($D1679,Merchantability!$B:$C,2,0)="Yes",$E1679&gt;=VLOOKUP($D1679,Merchantability!$B:$D,3,0),$E1679&lt;=VLOOKUP($D1679,Merchantability!$B:$E,4,0)),AB1679,0)</f>
        <v>#N/A</v>
      </c>
      <c r="AH1679" s="104" t="e">
        <f>IF(AND(VLOOKUP($D1679,Merchantability!$B:$C,2,0)="Yes",$E1679&gt;=VLOOKUP($D1679,Merchantability!$B:$D,3,0),$E1679&lt;=VLOOKUP($D1679,Merchantability!$B:$E,4,0)),AC1679,0)</f>
        <v>#N/A</v>
      </c>
      <c r="AI1679" s="104" t="e">
        <f t="shared" si="735"/>
        <v>#N/A</v>
      </c>
      <c r="AJ1679" s="104" t="e">
        <f t="shared" si="736"/>
        <v>#VALUE!</v>
      </c>
      <c r="AK1679" s="104" t="e">
        <f t="shared" si="737"/>
        <v>#N/A</v>
      </c>
      <c r="AL1679" s="104" t="e">
        <f t="shared" si="738"/>
        <v>#N/A</v>
      </c>
      <c r="AM1679" s="104" t="e">
        <f t="shared" si="739"/>
        <v>#N/A</v>
      </c>
      <c r="AN1679" s="104" t="e">
        <f t="shared" si="750"/>
        <v>#N/A</v>
      </c>
      <c r="AO1679" s="104" t="e">
        <f t="shared" si="751"/>
        <v>#N/A</v>
      </c>
      <c r="AP1679" s="104" t="e">
        <f t="shared" si="752"/>
        <v>#N/A</v>
      </c>
      <c r="AQ1679" s="104" t="e">
        <f t="shared" si="753"/>
        <v>#N/A</v>
      </c>
      <c r="AR1679" s="105" t="str">
        <f t="shared" si="745"/>
        <v/>
      </c>
      <c r="AS1679" s="105" t="str">
        <f t="shared" si="746"/>
        <v/>
      </c>
      <c r="AT1679" s="108" t="str">
        <f t="shared" si="747"/>
        <v/>
      </c>
      <c r="AU1679" s="108" t="str">
        <f t="shared" si="748"/>
        <v/>
      </c>
      <c r="AV1679" s="107" t="str">
        <f>IF(ISNUMBER(O1679),IF(VLOOKUP($A1679,Stand!C:J,8,FALSE)="Short",AT1679,AU1679),"")</f>
        <v/>
      </c>
      <c r="AW1679" s="109" t="str">
        <f t="shared" si="754"/>
        <v/>
      </c>
      <c r="AX1679" s="109" t="str">
        <f t="shared" si="755"/>
        <v/>
      </c>
      <c r="AY1679" s="112" t="str">
        <f>IF(ISNUMBER(O1679),IF(AND(VLOOKUP($D1679,Merchantability!$B:$C,2,0)="Yes",$E1679&gt;=VLOOKUP($D1679,Merchantability!$B:$D,3,0),$E1679&lt;=VLOOKUP($D1679,Merchantability!$B:$E,4,0)),(AV1679*O1679)*(1-$H1679/100),""),"")</f>
        <v/>
      </c>
      <c r="AZ1679" s="116"/>
      <c r="BA1679" s="116"/>
      <c r="BB1679" s="116"/>
      <c r="BE1679" s="62"/>
      <c r="BF1679" s="63"/>
    </row>
    <row r="1680" spans="1:58" ht="12.75" customHeight="1" x14ac:dyDescent="0.25">
      <c r="A1680" s="334"/>
      <c r="B1680" s="334"/>
      <c r="C1680" s="332"/>
      <c r="D1680" s="334"/>
      <c r="E1680" s="335"/>
      <c r="F1680" s="334"/>
      <c r="G1680" s="332"/>
      <c r="H1680" s="332"/>
      <c r="I1680" s="334"/>
      <c r="J1680" s="336"/>
      <c r="K1680" s="332"/>
      <c r="L1680" s="332"/>
      <c r="M1680" s="76"/>
      <c r="N1680" s="103" t="str">
        <f>IF(A1680="","",VLOOKUP(A1680,Stand!C:K,9,0))</f>
        <v/>
      </c>
      <c r="O1680" s="104" t="str">
        <f t="shared" si="740"/>
        <v/>
      </c>
      <c r="P1680" s="105" t="str">
        <f t="shared" si="741"/>
        <v/>
      </c>
      <c r="Q1680" s="105" t="str">
        <f t="shared" si="729"/>
        <v/>
      </c>
      <c r="R1680" s="103" t="str">
        <f t="shared" si="742"/>
        <v/>
      </c>
      <c r="S1680" s="103" t="str">
        <f t="shared" si="743"/>
        <v/>
      </c>
      <c r="T1680" s="106" t="str">
        <f t="shared" si="730"/>
        <v/>
      </c>
      <c r="U1680" s="106" t="str">
        <f t="shared" si="731"/>
        <v/>
      </c>
      <c r="V1680" s="106" t="str">
        <f t="shared" si="732"/>
        <v/>
      </c>
      <c r="W1680" s="105" t="str">
        <f t="shared" si="744"/>
        <v/>
      </c>
      <c r="X1680" s="104" t="str">
        <f t="shared" si="749"/>
        <v/>
      </c>
      <c r="Y1680" s="104" t="str">
        <f t="array" ref="Y1680">IFERROR(IF(ISNUMBER(O1680),IF(COUNT(IF(A1680=$A$2:$A$2427,IF(D1680=$D$2:$D$2427,IF($X$2:$X$2427&gt;0,1))))&gt;0,SUM(IF(A1680=$A$2:$A$2427,IF(D1680=$D$2:$D$2427,$X$2:$X$2427)))/COUNT(IF(A1680=$A$2:$A$2427,IF(D1680=$D$2:$D$2427,IF(ISNUMBER($X$2:$X$2427),1)))),0),""),0)</f>
        <v/>
      </c>
      <c r="Z1680" s="104" t="str">
        <f>IF(ISNUMBER(O1680),IF(I1680&gt;0,(10^(VLOOKUP(D1680,'Species Codes'!B:C,2,0)+VLOOKUP(D1680,'Species Codes'!B:D,3,0)*LOG(E1680)+VLOOKUP(D1680,'Species Codes'!B:E,4,0)*LOG(I1680))),0),"")</f>
        <v/>
      </c>
      <c r="AA1680" s="104" t="str">
        <f>IFERROR((VLOOKUP(D1680,'Species Codes'!B:G,6,0)*Z1680)/2000,"")</f>
        <v/>
      </c>
      <c r="AB1680" s="104" t="e">
        <f>IF(Z1680&gt;0,((IF(OR(D1680="DF",D1680="RA")=TRUE,EXP(VLOOKUP(D1680,'Species Codes'!B:I,8,0)+VLOOKUP(D1680,'Species Codes'!B:J,9,0)*(LN((E1680*2.54)))),IF(OR(D1680="PY",D1680="RC",D1680="WH",D1680="NF")=TRUE,VLOOKUP(D1680,'Species Codes'!B:I,8,0)+VLOOKUP(D1680,'Species Codes'!B:J,9,0)*((E1680*2.54)^2)*(I1680*0.3048),IF(OR(D1680="MD",D1680="BM",D1680="GA")=TRUE,((VLOOKUP(D1680,'Species Codes'!B:I,8,0)*(((((E1680*2.54)+VLOOKUP(D1680,'Species Codes'!B:J,9,0))/VLOOKUP(D1680,'Species Codes'!B:K,10,0))^VLOOKUP(D1680,'Species Codes'!B:L,11,0))*((I1680*0.3048)^VLOOKUP(D1680,'Species Codes'!B:M,12,0))))-(VLOOKUP(D1680,'Species Codes'!B:I,8,0)*((((E1680*2.54)^VLOOKUP(D1680,'Species Codes'!B:L,11,0))*((I1680*0.3048)^VLOOKUP(D1680,'Species Codes'!B:M,12,0))))))*35.3*VLOOKUP(D1680,'Species Codes'!B:G,6,0)/2.2046,VLOOKUP(D1680,'Species Codes'!B:I,8,0)+VLOOKUP(D1680,'Species Codes'!B:J,9,0)*(((E1680*2.54)/100)^2)*(I1680*0.3048)))))*0.0011023),0)</f>
        <v>#N/A</v>
      </c>
      <c r="AC1680" s="104" t="e">
        <f>IF(Z1680&gt;0,((IF(OR(D1680="RA",D1680="OA",D1680="OT",D1680="UN",D1680="PC"),EXP(VLOOKUP(D1680,'Species Codes'!B:O,14,0)+VLOOKUP(D1680,'Species Codes'!B:P,15,0)*LN((E1680*2.54)))-EXP(VLOOKUP(D1680,'Species Codes'!B:O,14,0)+VLOOKUP(D1680,'Species Codes'!B:P,15,0)*LN((E1680*2.54)))*(1/(VLOOKUP(D1680,'Species Codes'!B:Q,16,0)+VLOOKUP(D1680,'Species Codes'!B:R,17,0)*((E1680*2.54)^VLOOKUP(D1680,'Species Codes'!B:S,18,0)))),IF(OR(D1680="BM",D1680="MD",D1680="OA"),EXP(VLOOKUP(D1680,'Species Codes'!B:O,14,0)+VLOOKUP(D1680,'Species Codes'!B:P,15,0)*LN((E1680*2.54)))*(1-(1/(VLOOKUP(D1680,'Species Codes'!B:Q,16,0)+VLOOKUP(D1680,'Species Codes'!B:R,17,0)*((E1680*2.54)^VLOOKUP(D1680,'Species Codes'!B:S,18,0)))))/1000,IF(D1680="DF",EXP(VLOOKUP(D1680,'Species Codes'!B:O,14,0)+VLOOKUP(D1680,'Species Codes'!B:P,15,0)*LN((E1680*2.54))),VLOOKUP(D1680,'Species Codes'!B:O,14,0)+VLOOKUP(D1680,'Species Codes'!B:P,15,0)*(((E1680*2.54)/100)^2)*(I1680*0.3048)))))*0.0011023),0)</f>
        <v>#N/A</v>
      </c>
      <c r="AD1680" s="104" t="e">
        <f t="shared" si="733"/>
        <v>#N/A</v>
      </c>
      <c r="AE1680" s="104" t="e">
        <f t="shared" si="734"/>
        <v>#N/A</v>
      </c>
      <c r="AF1680" s="104" t="e">
        <f>IF(AND(VLOOKUP($D1680,Merchantability!$B:$C,2,0)="Yes",$E1680&gt;=VLOOKUP($D1680,Merchantability!$B:$D,3,0),$E1680&lt;=VLOOKUP($D1680,Merchantability!$B:$E,4,0)),AA1680,0)</f>
        <v>#N/A</v>
      </c>
      <c r="AG1680" s="104" t="e">
        <f>IF(AND(VLOOKUP($D1680,Merchantability!$B:$C,2,0)="Yes",$E1680&gt;=VLOOKUP($D1680,Merchantability!$B:$D,3,0),$E1680&lt;=VLOOKUP($D1680,Merchantability!$B:$E,4,0)),AB1680,0)</f>
        <v>#N/A</v>
      </c>
      <c r="AH1680" s="104" t="e">
        <f>IF(AND(VLOOKUP($D1680,Merchantability!$B:$C,2,0)="Yes",$E1680&gt;=VLOOKUP($D1680,Merchantability!$B:$D,3,0),$E1680&lt;=VLOOKUP($D1680,Merchantability!$B:$E,4,0)),AC1680,0)</f>
        <v>#N/A</v>
      </c>
      <c r="AI1680" s="104" t="e">
        <f t="shared" si="735"/>
        <v>#N/A</v>
      </c>
      <c r="AJ1680" s="104" t="e">
        <f t="shared" si="736"/>
        <v>#VALUE!</v>
      </c>
      <c r="AK1680" s="104" t="e">
        <f t="shared" si="737"/>
        <v>#N/A</v>
      </c>
      <c r="AL1680" s="104" t="e">
        <f t="shared" si="738"/>
        <v>#N/A</v>
      </c>
      <c r="AM1680" s="104" t="e">
        <f t="shared" si="739"/>
        <v>#N/A</v>
      </c>
      <c r="AN1680" s="104" t="e">
        <f t="shared" si="750"/>
        <v>#N/A</v>
      </c>
      <c r="AO1680" s="104" t="e">
        <f t="shared" si="751"/>
        <v>#N/A</v>
      </c>
      <c r="AP1680" s="104" t="e">
        <f t="shared" si="752"/>
        <v>#N/A</v>
      </c>
      <c r="AQ1680" s="104" t="e">
        <f t="shared" si="753"/>
        <v>#N/A</v>
      </c>
      <c r="AR1680" s="105" t="str">
        <f t="shared" si="745"/>
        <v/>
      </c>
      <c r="AS1680" s="105" t="str">
        <f t="shared" si="746"/>
        <v/>
      </c>
      <c r="AT1680" s="108" t="str">
        <f t="shared" si="747"/>
        <v/>
      </c>
      <c r="AU1680" s="108" t="str">
        <f t="shared" si="748"/>
        <v/>
      </c>
      <c r="AV1680" s="107" t="str">
        <f>IF(ISNUMBER(O1680),IF(VLOOKUP($A1680,Stand!C:J,8,FALSE)="Short",AT1680,AU1680),"")</f>
        <v/>
      </c>
      <c r="AW1680" s="109" t="str">
        <f t="shared" si="754"/>
        <v/>
      </c>
      <c r="AX1680" s="109" t="str">
        <f t="shared" si="755"/>
        <v/>
      </c>
      <c r="AY1680" s="112" t="str">
        <f>IF(ISNUMBER(O1680),IF(AND(VLOOKUP($D1680,Merchantability!$B:$C,2,0)="Yes",$E1680&gt;=VLOOKUP($D1680,Merchantability!$B:$D,3,0),$E1680&lt;=VLOOKUP($D1680,Merchantability!$B:$E,4,0)),(AV1680*O1680)*(1-$H1680/100),""),"")</f>
        <v/>
      </c>
      <c r="AZ1680" s="116"/>
      <c r="BA1680" s="116"/>
      <c r="BB1680" s="116"/>
      <c r="BE1680" s="62"/>
      <c r="BF1680" s="63"/>
    </row>
    <row r="1681" spans="1:58" ht="12.75" customHeight="1" x14ac:dyDescent="0.25">
      <c r="A1681" s="334"/>
      <c r="B1681" s="334"/>
      <c r="C1681" s="332"/>
      <c r="D1681" s="334"/>
      <c r="E1681" s="335"/>
      <c r="F1681" s="334"/>
      <c r="G1681" s="332"/>
      <c r="H1681" s="332"/>
      <c r="I1681" s="334"/>
      <c r="J1681" s="336"/>
      <c r="K1681" s="332"/>
      <c r="L1681" s="332"/>
      <c r="M1681" s="76"/>
      <c r="N1681" s="103" t="str">
        <f>IF(A1681="","",VLOOKUP(A1681,Stand!C:K,9,0))</f>
        <v/>
      </c>
      <c r="O1681" s="104" t="str">
        <f t="shared" si="740"/>
        <v/>
      </c>
      <c r="P1681" s="105" t="str">
        <f t="shared" si="741"/>
        <v/>
      </c>
      <c r="Q1681" s="105" t="str">
        <f t="shared" si="729"/>
        <v/>
      </c>
      <c r="R1681" s="103" t="str">
        <f t="shared" si="742"/>
        <v/>
      </c>
      <c r="S1681" s="103" t="str">
        <f t="shared" si="743"/>
        <v/>
      </c>
      <c r="T1681" s="106" t="str">
        <f t="shared" si="730"/>
        <v/>
      </c>
      <c r="U1681" s="106" t="str">
        <f t="shared" si="731"/>
        <v/>
      </c>
      <c r="V1681" s="106" t="str">
        <f t="shared" si="732"/>
        <v/>
      </c>
      <c r="W1681" s="105" t="str">
        <f t="shared" si="744"/>
        <v/>
      </c>
      <c r="X1681" s="104" t="str">
        <f t="shared" si="749"/>
        <v/>
      </c>
      <c r="Y1681" s="104" t="str">
        <f t="array" ref="Y1681">IFERROR(IF(ISNUMBER(O1681),IF(COUNT(IF(A1681=$A$2:$A$2427,IF(D1681=$D$2:$D$2427,IF($X$2:$X$2427&gt;0,1))))&gt;0,SUM(IF(A1681=$A$2:$A$2427,IF(D1681=$D$2:$D$2427,$X$2:$X$2427)))/COUNT(IF(A1681=$A$2:$A$2427,IF(D1681=$D$2:$D$2427,IF(ISNUMBER($X$2:$X$2427),1)))),0),""),0)</f>
        <v/>
      </c>
      <c r="Z1681" s="104" t="str">
        <f>IF(ISNUMBER(O1681),IF(I1681&gt;0,(10^(VLOOKUP(D1681,'Species Codes'!B:C,2,0)+VLOOKUP(D1681,'Species Codes'!B:D,3,0)*LOG(E1681)+VLOOKUP(D1681,'Species Codes'!B:E,4,0)*LOG(I1681))),0),"")</f>
        <v/>
      </c>
      <c r="AA1681" s="104" t="str">
        <f>IFERROR((VLOOKUP(D1681,'Species Codes'!B:G,6,0)*Z1681)/2000,"")</f>
        <v/>
      </c>
      <c r="AB1681" s="104" t="e">
        <f>IF(Z1681&gt;0,((IF(OR(D1681="DF",D1681="RA")=TRUE,EXP(VLOOKUP(D1681,'Species Codes'!B:I,8,0)+VLOOKUP(D1681,'Species Codes'!B:J,9,0)*(LN((E1681*2.54)))),IF(OR(D1681="PY",D1681="RC",D1681="WH",D1681="NF")=TRUE,VLOOKUP(D1681,'Species Codes'!B:I,8,0)+VLOOKUP(D1681,'Species Codes'!B:J,9,0)*((E1681*2.54)^2)*(I1681*0.3048),IF(OR(D1681="MD",D1681="BM",D1681="GA")=TRUE,((VLOOKUP(D1681,'Species Codes'!B:I,8,0)*(((((E1681*2.54)+VLOOKUP(D1681,'Species Codes'!B:J,9,0))/VLOOKUP(D1681,'Species Codes'!B:K,10,0))^VLOOKUP(D1681,'Species Codes'!B:L,11,0))*((I1681*0.3048)^VLOOKUP(D1681,'Species Codes'!B:M,12,0))))-(VLOOKUP(D1681,'Species Codes'!B:I,8,0)*((((E1681*2.54)^VLOOKUP(D1681,'Species Codes'!B:L,11,0))*((I1681*0.3048)^VLOOKUP(D1681,'Species Codes'!B:M,12,0))))))*35.3*VLOOKUP(D1681,'Species Codes'!B:G,6,0)/2.2046,VLOOKUP(D1681,'Species Codes'!B:I,8,0)+VLOOKUP(D1681,'Species Codes'!B:J,9,0)*(((E1681*2.54)/100)^2)*(I1681*0.3048)))))*0.0011023),0)</f>
        <v>#N/A</v>
      </c>
      <c r="AC1681" s="104" t="e">
        <f>IF(Z1681&gt;0,((IF(OR(D1681="RA",D1681="OA",D1681="OT",D1681="UN",D1681="PC"),EXP(VLOOKUP(D1681,'Species Codes'!B:O,14,0)+VLOOKUP(D1681,'Species Codes'!B:P,15,0)*LN((E1681*2.54)))-EXP(VLOOKUP(D1681,'Species Codes'!B:O,14,0)+VLOOKUP(D1681,'Species Codes'!B:P,15,0)*LN((E1681*2.54)))*(1/(VLOOKUP(D1681,'Species Codes'!B:Q,16,0)+VLOOKUP(D1681,'Species Codes'!B:R,17,0)*((E1681*2.54)^VLOOKUP(D1681,'Species Codes'!B:S,18,0)))),IF(OR(D1681="BM",D1681="MD",D1681="OA"),EXP(VLOOKUP(D1681,'Species Codes'!B:O,14,0)+VLOOKUP(D1681,'Species Codes'!B:P,15,0)*LN((E1681*2.54)))*(1-(1/(VLOOKUP(D1681,'Species Codes'!B:Q,16,0)+VLOOKUP(D1681,'Species Codes'!B:R,17,0)*((E1681*2.54)^VLOOKUP(D1681,'Species Codes'!B:S,18,0)))))/1000,IF(D1681="DF",EXP(VLOOKUP(D1681,'Species Codes'!B:O,14,0)+VLOOKUP(D1681,'Species Codes'!B:P,15,0)*LN((E1681*2.54))),VLOOKUP(D1681,'Species Codes'!B:O,14,0)+VLOOKUP(D1681,'Species Codes'!B:P,15,0)*(((E1681*2.54)/100)^2)*(I1681*0.3048)))))*0.0011023),0)</f>
        <v>#N/A</v>
      </c>
      <c r="AD1681" s="104" t="e">
        <f t="shared" si="733"/>
        <v>#N/A</v>
      </c>
      <c r="AE1681" s="104" t="e">
        <f t="shared" si="734"/>
        <v>#N/A</v>
      </c>
      <c r="AF1681" s="104" t="e">
        <f>IF(AND(VLOOKUP($D1681,Merchantability!$B:$C,2,0)="Yes",$E1681&gt;=VLOOKUP($D1681,Merchantability!$B:$D,3,0),$E1681&lt;=VLOOKUP($D1681,Merchantability!$B:$E,4,0)),AA1681,0)</f>
        <v>#N/A</v>
      </c>
      <c r="AG1681" s="104" t="e">
        <f>IF(AND(VLOOKUP($D1681,Merchantability!$B:$C,2,0)="Yes",$E1681&gt;=VLOOKUP($D1681,Merchantability!$B:$D,3,0),$E1681&lt;=VLOOKUP($D1681,Merchantability!$B:$E,4,0)),AB1681,0)</f>
        <v>#N/A</v>
      </c>
      <c r="AH1681" s="104" t="e">
        <f>IF(AND(VLOOKUP($D1681,Merchantability!$B:$C,2,0)="Yes",$E1681&gt;=VLOOKUP($D1681,Merchantability!$B:$D,3,0),$E1681&lt;=VLOOKUP($D1681,Merchantability!$B:$E,4,0)),AC1681,0)</f>
        <v>#N/A</v>
      </c>
      <c r="AI1681" s="104" t="e">
        <f t="shared" si="735"/>
        <v>#N/A</v>
      </c>
      <c r="AJ1681" s="104" t="e">
        <f t="shared" si="736"/>
        <v>#VALUE!</v>
      </c>
      <c r="AK1681" s="104" t="e">
        <f t="shared" si="737"/>
        <v>#N/A</v>
      </c>
      <c r="AL1681" s="104" t="e">
        <f t="shared" si="738"/>
        <v>#N/A</v>
      </c>
      <c r="AM1681" s="104" t="e">
        <f t="shared" si="739"/>
        <v>#N/A</v>
      </c>
      <c r="AN1681" s="104" t="e">
        <f t="shared" si="750"/>
        <v>#N/A</v>
      </c>
      <c r="AO1681" s="104" t="e">
        <f t="shared" si="751"/>
        <v>#N/A</v>
      </c>
      <c r="AP1681" s="104" t="e">
        <f t="shared" si="752"/>
        <v>#N/A</v>
      </c>
      <c r="AQ1681" s="104" t="e">
        <f t="shared" si="753"/>
        <v>#N/A</v>
      </c>
      <c r="AR1681" s="105" t="str">
        <f t="shared" si="745"/>
        <v/>
      </c>
      <c r="AS1681" s="105" t="str">
        <f t="shared" si="746"/>
        <v/>
      </c>
      <c r="AT1681" s="108" t="str">
        <f t="shared" si="747"/>
        <v/>
      </c>
      <c r="AU1681" s="108" t="str">
        <f t="shared" si="748"/>
        <v/>
      </c>
      <c r="AV1681" s="107" t="str">
        <f>IF(ISNUMBER(O1681),IF(VLOOKUP($A1681,Stand!C:J,8,FALSE)="Short",AT1681,AU1681),"")</f>
        <v/>
      </c>
      <c r="AW1681" s="109" t="str">
        <f t="shared" si="754"/>
        <v/>
      </c>
      <c r="AX1681" s="109" t="str">
        <f t="shared" si="755"/>
        <v/>
      </c>
      <c r="AY1681" s="112" t="str">
        <f>IF(ISNUMBER(O1681),IF(AND(VLOOKUP($D1681,Merchantability!$B:$C,2,0)="Yes",$E1681&gt;=VLOOKUP($D1681,Merchantability!$B:$D,3,0),$E1681&lt;=VLOOKUP($D1681,Merchantability!$B:$E,4,0)),(AV1681*O1681)*(1-$H1681/100),""),"")</f>
        <v/>
      </c>
      <c r="AZ1681" s="116"/>
      <c r="BA1681" s="116"/>
      <c r="BB1681" s="116"/>
      <c r="BE1681" s="62"/>
      <c r="BF1681" s="63"/>
    </row>
    <row r="1682" spans="1:58" ht="12.75" customHeight="1" x14ac:dyDescent="0.25">
      <c r="A1682" s="334"/>
      <c r="B1682" s="334"/>
      <c r="C1682" s="332"/>
      <c r="D1682" s="334"/>
      <c r="E1682" s="335"/>
      <c r="F1682" s="334"/>
      <c r="G1682" s="332"/>
      <c r="H1682" s="332"/>
      <c r="I1682" s="334"/>
      <c r="J1682" s="336"/>
      <c r="K1682" s="332"/>
      <c r="L1682" s="332"/>
      <c r="M1682" s="76"/>
      <c r="N1682" s="103" t="str">
        <f>IF(A1682="","",VLOOKUP(A1682,Stand!C:K,9,0))</f>
        <v/>
      </c>
      <c r="O1682" s="104" t="str">
        <f t="shared" si="740"/>
        <v/>
      </c>
      <c r="P1682" s="105" t="str">
        <f t="shared" si="741"/>
        <v/>
      </c>
      <c r="Q1682" s="105" t="str">
        <f t="shared" si="729"/>
        <v/>
      </c>
      <c r="R1682" s="103" t="str">
        <f t="shared" si="742"/>
        <v/>
      </c>
      <c r="S1682" s="103" t="str">
        <f t="shared" si="743"/>
        <v/>
      </c>
      <c r="T1682" s="106" t="str">
        <f t="shared" si="730"/>
        <v/>
      </c>
      <c r="U1682" s="106" t="str">
        <f t="shared" si="731"/>
        <v/>
      </c>
      <c r="V1682" s="106" t="str">
        <f t="shared" si="732"/>
        <v/>
      </c>
      <c r="W1682" s="105" t="str">
        <f t="shared" si="744"/>
        <v/>
      </c>
      <c r="X1682" s="104" t="str">
        <f t="shared" si="749"/>
        <v/>
      </c>
      <c r="Y1682" s="104" t="str">
        <f t="array" ref="Y1682">IFERROR(IF(ISNUMBER(O1682),IF(COUNT(IF(A1682=$A$2:$A$2427,IF(D1682=$D$2:$D$2427,IF($X$2:$X$2427&gt;0,1))))&gt;0,SUM(IF(A1682=$A$2:$A$2427,IF(D1682=$D$2:$D$2427,$X$2:$X$2427)))/COUNT(IF(A1682=$A$2:$A$2427,IF(D1682=$D$2:$D$2427,IF(ISNUMBER($X$2:$X$2427),1)))),0),""),0)</f>
        <v/>
      </c>
      <c r="Z1682" s="104" t="str">
        <f>IF(ISNUMBER(O1682),IF(I1682&gt;0,(10^(VLOOKUP(D1682,'Species Codes'!B:C,2,0)+VLOOKUP(D1682,'Species Codes'!B:D,3,0)*LOG(E1682)+VLOOKUP(D1682,'Species Codes'!B:E,4,0)*LOG(I1682))),0),"")</f>
        <v/>
      </c>
      <c r="AA1682" s="104" t="str">
        <f>IFERROR((VLOOKUP(D1682,'Species Codes'!B:G,6,0)*Z1682)/2000,"")</f>
        <v/>
      </c>
      <c r="AB1682" s="104" t="e">
        <f>IF(Z1682&gt;0,((IF(OR(D1682="DF",D1682="RA")=TRUE,EXP(VLOOKUP(D1682,'Species Codes'!B:I,8,0)+VLOOKUP(D1682,'Species Codes'!B:J,9,0)*(LN((E1682*2.54)))),IF(OR(D1682="PY",D1682="RC",D1682="WH",D1682="NF")=TRUE,VLOOKUP(D1682,'Species Codes'!B:I,8,0)+VLOOKUP(D1682,'Species Codes'!B:J,9,0)*((E1682*2.54)^2)*(I1682*0.3048),IF(OR(D1682="MD",D1682="BM",D1682="GA")=TRUE,((VLOOKUP(D1682,'Species Codes'!B:I,8,0)*(((((E1682*2.54)+VLOOKUP(D1682,'Species Codes'!B:J,9,0))/VLOOKUP(D1682,'Species Codes'!B:K,10,0))^VLOOKUP(D1682,'Species Codes'!B:L,11,0))*((I1682*0.3048)^VLOOKUP(D1682,'Species Codes'!B:M,12,0))))-(VLOOKUP(D1682,'Species Codes'!B:I,8,0)*((((E1682*2.54)^VLOOKUP(D1682,'Species Codes'!B:L,11,0))*((I1682*0.3048)^VLOOKUP(D1682,'Species Codes'!B:M,12,0))))))*35.3*VLOOKUP(D1682,'Species Codes'!B:G,6,0)/2.2046,VLOOKUP(D1682,'Species Codes'!B:I,8,0)+VLOOKUP(D1682,'Species Codes'!B:J,9,0)*(((E1682*2.54)/100)^2)*(I1682*0.3048)))))*0.0011023),0)</f>
        <v>#N/A</v>
      </c>
      <c r="AC1682" s="104" t="e">
        <f>IF(Z1682&gt;0,((IF(OR(D1682="RA",D1682="OA",D1682="OT",D1682="UN",D1682="PC"),EXP(VLOOKUP(D1682,'Species Codes'!B:O,14,0)+VLOOKUP(D1682,'Species Codes'!B:P,15,0)*LN((E1682*2.54)))-EXP(VLOOKUP(D1682,'Species Codes'!B:O,14,0)+VLOOKUP(D1682,'Species Codes'!B:P,15,0)*LN((E1682*2.54)))*(1/(VLOOKUP(D1682,'Species Codes'!B:Q,16,0)+VLOOKUP(D1682,'Species Codes'!B:R,17,0)*((E1682*2.54)^VLOOKUP(D1682,'Species Codes'!B:S,18,0)))),IF(OR(D1682="BM",D1682="MD",D1682="OA"),EXP(VLOOKUP(D1682,'Species Codes'!B:O,14,0)+VLOOKUP(D1682,'Species Codes'!B:P,15,0)*LN((E1682*2.54)))*(1-(1/(VLOOKUP(D1682,'Species Codes'!B:Q,16,0)+VLOOKUP(D1682,'Species Codes'!B:R,17,0)*((E1682*2.54)^VLOOKUP(D1682,'Species Codes'!B:S,18,0)))))/1000,IF(D1682="DF",EXP(VLOOKUP(D1682,'Species Codes'!B:O,14,0)+VLOOKUP(D1682,'Species Codes'!B:P,15,0)*LN((E1682*2.54))),VLOOKUP(D1682,'Species Codes'!B:O,14,0)+VLOOKUP(D1682,'Species Codes'!B:P,15,0)*(((E1682*2.54)/100)^2)*(I1682*0.3048)))))*0.0011023),0)</f>
        <v>#N/A</v>
      </c>
      <c r="AD1682" s="104" t="e">
        <f t="shared" si="733"/>
        <v>#N/A</v>
      </c>
      <c r="AE1682" s="104" t="e">
        <f t="shared" si="734"/>
        <v>#N/A</v>
      </c>
      <c r="AF1682" s="104" t="e">
        <f>IF(AND(VLOOKUP($D1682,Merchantability!$B:$C,2,0)="Yes",$E1682&gt;=VLOOKUP($D1682,Merchantability!$B:$D,3,0),$E1682&lt;=VLOOKUP($D1682,Merchantability!$B:$E,4,0)),AA1682,0)</f>
        <v>#N/A</v>
      </c>
      <c r="AG1682" s="104" t="e">
        <f>IF(AND(VLOOKUP($D1682,Merchantability!$B:$C,2,0)="Yes",$E1682&gt;=VLOOKUP($D1682,Merchantability!$B:$D,3,0),$E1682&lt;=VLOOKUP($D1682,Merchantability!$B:$E,4,0)),AB1682,0)</f>
        <v>#N/A</v>
      </c>
      <c r="AH1682" s="104" t="e">
        <f>IF(AND(VLOOKUP($D1682,Merchantability!$B:$C,2,0)="Yes",$E1682&gt;=VLOOKUP($D1682,Merchantability!$B:$D,3,0),$E1682&lt;=VLOOKUP($D1682,Merchantability!$B:$E,4,0)),AC1682,0)</f>
        <v>#N/A</v>
      </c>
      <c r="AI1682" s="104" t="e">
        <f t="shared" si="735"/>
        <v>#N/A</v>
      </c>
      <c r="AJ1682" s="104" t="e">
        <f t="shared" si="736"/>
        <v>#VALUE!</v>
      </c>
      <c r="AK1682" s="104" t="e">
        <f t="shared" si="737"/>
        <v>#N/A</v>
      </c>
      <c r="AL1682" s="104" t="e">
        <f t="shared" si="738"/>
        <v>#N/A</v>
      </c>
      <c r="AM1682" s="104" t="e">
        <f t="shared" si="739"/>
        <v>#N/A</v>
      </c>
      <c r="AN1682" s="104" t="e">
        <f t="shared" si="750"/>
        <v>#N/A</v>
      </c>
      <c r="AO1682" s="104" t="e">
        <f t="shared" si="751"/>
        <v>#N/A</v>
      </c>
      <c r="AP1682" s="104" t="e">
        <f t="shared" si="752"/>
        <v>#N/A</v>
      </c>
      <c r="AQ1682" s="104" t="e">
        <f t="shared" si="753"/>
        <v>#N/A</v>
      </c>
      <c r="AR1682" s="105" t="str">
        <f t="shared" si="745"/>
        <v/>
      </c>
      <c r="AS1682" s="105" t="str">
        <f t="shared" si="746"/>
        <v/>
      </c>
      <c r="AT1682" s="108" t="str">
        <f t="shared" si="747"/>
        <v/>
      </c>
      <c r="AU1682" s="108" t="str">
        <f t="shared" si="748"/>
        <v/>
      </c>
      <c r="AV1682" s="107" t="str">
        <f>IF(ISNUMBER(O1682),IF(VLOOKUP($A1682,Stand!C:J,8,FALSE)="Short",AT1682,AU1682),"")</f>
        <v/>
      </c>
      <c r="AW1682" s="109" t="str">
        <f t="shared" si="754"/>
        <v/>
      </c>
      <c r="AX1682" s="109" t="str">
        <f t="shared" si="755"/>
        <v/>
      </c>
      <c r="AY1682" s="112" t="str">
        <f>IF(ISNUMBER(O1682),IF(AND(VLOOKUP($D1682,Merchantability!$B:$C,2,0)="Yes",$E1682&gt;=VLOOKUP($D1682,Merchantability!$B:$D,3,0),$E1682&lt;=VLOOKUP($D1682,Merchantability!$B:$E,4,0)),(AV1682*O1682)*(1-$H1682/100),""),"")</f>
        <v/>
      </c>
      <c r="AZ1682" s="116"/>
      <c r="BA1682" s="116"/>
      <c r="BB1682" s="116"/>
      <c r="BE1682" s="62"/>
      <c r="BF1682" s="63"/>
    </row>
    <row r="1683" spans="1:58" ht="12.75" customHeight="1" x14ac:dyDescent="0.25">
      <c r="A1683" s="334"/>
      <c r="B1683" s="334"/>
      <c r="C1683" s="332"/>
      <c r="D1683" s="334"/>
      <c r="E1683" s="335"/>
      <c r="F1683" s="334"/>
      <c r="G1683" s="332"/>
      <c r="H1683" s="332"/>
      <c r="I1683" s="334"/>
      <c r="J1683" s="336"/>
      <c r="K1683" s="332"/>
      <c r="L1683" s="332"/>
      <c r="M1683" s="76"/>
      <c r="N1683" s="103" t="str">
        <f>IF(A1683="","",VLOOKUP(A1683,Stand!C:K,9,0))</f>
        <v/>
      </c>
      <c r="O1683" s="104" t="str">
        <f t="shared" si="740"/>
        <v/>
      </c>
      <c r="P1683" s="105" t="str">
        <f t="shared" si="741"/>
        <v/>
      </c>
      <c r="Q1683" s="105" t="str">
        <f t="shared" si="729"/>
        <v/>
      </c>
      <c r="R1683" s="103" t="str">
        <f t="shared" si="742"/>
        <v/>
      </c>
      <c r="S1683" s="103" t="str">
        <f t="shared" si="743"/>
        <v/>
      </c>
      <c r="T1683" s="106" t="str">
        <f t="shared" si="730"/>
        <v/>
      </c>
      <c r="U1683" s="106" t="str">
        <f t="shared" si="731"/>
        <v/>
      </c>
      <c r="V1683" s="106" t="str">
        <f t="shared" si="732"/>
        <v/>
      </c>
      <c r="W1683" s="105" t="str">
        <f t="shared" si="744"/>
        <v/>
      </c>
      <c r="X1683" s="104" t="str">
        <f t="shared" si="749"/>
        <v/>
      </c>
      <c r="Y1683" s="104" t="str">
        <f t="array" ref="Y1683">IFERROR(IF(ISNUMBER(O1683),IF(COUNT(IF(A1683=$A$2:$A$2427,IF(D1683=$D$2:$D$2427,IF($X$2:$X$2427&gt;0,1))))&gt;0,SUM(IF(A1683=$A$2:$A$2427,IF(D1683=$D$2:$D$2427,$X$2:$X$2427)))/COUNT(IF(A1683=$A$2:$A$2427,IF(D1683=$D$2:$D$2427,IF(ISNUMBER($X$2:$X$2427),1)))),0),""),0)</f>
        <v/>
      </c>
      <c r="Z1683" s="104" t="str">
        <f>IF(ISNUMBER(O1683),IF(I1683&gt;0,(10^(VLOOKUP(D1683,'Species Codes'!B:C,2,0)+VLOOKUP(D1683,'Species Codes'!B:D,3,0)*LOG(E1683)+VLOOKUP(D1683,'Species Codes'!B:E,4,0)*LOG(I1683))),0),"")</f>
        <v/>
      </c>
      <c r="AA1683" s="104" t="str">
        <f>IFERROR((VLOOKUP(D1683,'Species Codes'!B:G,6,0)*Z1683)/2000,"")</f>
        <v/>
      </c>
      <c r="AB1683" s="104" t="e">
        <f>IF(Z1683&gt;0,((IF(OR(D1683="DF",D1683="RA")=TRUE,EXP(VLOOKUP(D1683,'Species Codes'!B:I,8,0)+VLOOKUP(D1683,'Species Codes'!B:J,9,0)*(LN((E1683*2.54)))),IF(OR(D1683="PY",D1683="RC",D1683="WH",D1683="NF")=TRUE,VLOOKUP(D1683,'Species Codes'!B:I,8,0)+VLOOKUP(D1683,'Species Codes'!B:J,9,0)*((E1683*2.54)^2)*(I1683*0.3048),IF(OR(D1683="MD",D1683="BM",D1683="GA")=TRUE,((VLOOKUP(D1683,'Species Codes'!B:I,8,0)*(((((E1683*2.54)+VLOOKUP(D1683,'Species Codes'!B:J,9,0))/VLOOKUP(D1683,'Species Codes'!B:K,10,0))^VLOOKUP(D1683,'Species Codes'!B:L,11,0))*((I1683*0.3048)^VLOOKUP(D1683,'Species Codes'!B:M,12,0))))-(VLOOKUP(D1683,'Species Codes'!B:I,8,0)*((((E1683*2.54)^VLOOKUP(D1683,'Species Codes'!B:L,11,0))*((I1683*0.3048)^VLOOKUP(D1683,'Species Codes'!B:M,12,0))))))*35.3*VLOOKUP(D1683,'Species Codes'!B:G,6,0)/2.2046,VLOOKUP(D1683,'Species Codes'!B:I,8,0)+VLOOKUP(D1683,'Species Codes'!B:J,9,0)*(((E1683*2.54)/100)^2)*(I1683*0.3048)))))*0.0011023),0)</f>
        <v>#N/A</v>
      </c>
      <c r="AC1683" s="104" t="e">
        <f>IF(Z1683&gt;0,((IF(OR(D1683="RA",D1683="OA",D1683="OT",D1683="UN",D1683="PC"),EXP(VLOOKUP(D1683,'Species Codes'!B:O,14,0)+VLOOKUP(D1683,'Species Codes'!B:P,15,0)*LN((E1683*2.54)))-EXP(VLOOKUP(D1683,'Species Codes'!B:O,14,0)+VLOOKUP(D1683,'Species Codes'!B:P,15,0)*LN((E1683*2.54)))*(1/(VLOOKUP(D1683,'Species Codes'!B:Q,16,0)+VLOOKUP(D1683,'Species Codes'!B:R,17,0)*((E1683*2.54)^VLOOKUP(D1683,'Species Codes'!B:S,18,0)))),IF(OR(D1683="BM",D1683="MD",D1683="OA"),EXP(VLOOKUP(D1683,'Species Codes'!B:O,14,0)+VLOOKUP(D1683,'Species Codes'!B:P,15,0)*LN((E1683*2.54)))*(1-(1/(VLOOKUP(D1683,'Species Codes'!B:Q,16,0)+VLOOKUP(D1683,'Species Codes'!B:R,17,0)*((E1683*2.54)^VLOOKUP(D1683,'Species Codes'!B:S,18,0)))))/1000,IF(D1683="DF",EXP(VLOOKUP(D1683,'Species Codes'!B:O,14,0)+VLOOKUP(D1683,'Species Codes'!B:P,15,0)*LN((E1683*2.54))),VLOOKUP(D1683,'Species Codes'!B:O,14,0)+VLOOKUP(D1683,'Species Codes'!B:P,15,0)*(((E1683*2.54)/100)^2)*(I1683*0.3048)))))*0.0011023),0)</f>
        <v>#N/A</v>
      </c>
      <c r="AD1683" s="104" t="e">
        <f t="shared" si="733"/>
        <v>#N/A</v>
      </c>
      <c r="AE1683" s="104" t="e">
        <f t="shared" si="734"/>
        <v>#N/A</v>
      </c>
      <c r="AF1683" s="104" t="e">
        <f>IF(AND(VLOOKUP($D1683,Merchantability!$B:$C,2,0)="Yes",$E1683&gt;=VLOOKUP($D1683,Merchantability!$B:$D,3,0),$E1683&lt;=VLOOKUP($D1683,Merchantability!$B:$E,4,0)),AA1683,0)</f>
        <v>#N/A</v>
      </c>
      <c r="AG1683" s="104" t="e">
        <f>IF(AND(VLOOKUP($D1683,Merchantability!$B:$C,2,0)="Yes",$E1683&gt;=VLOOKUP($D1683,Merchantability!$B:$D,3,0),$E1683&lt;=VLOOKUP($D1683,Merchantability!$B:$E,4,0)),AB1683,0)</f>
        <v>#N/A</v>
      </c>
      <c r="AH1683" s="104" t="e">
        <f>IF(AND(VLOOKUP($D1683,Merchantability!$B:$C,2,0)="Yes",$E1683&gt;=VLOOKUP($D1683,Merchantability!$B:$D,3,0),$E1683&lt;=VLOOKUP($D1683,Merchantability!$B:$E,4,0)),AC1683,0)</f>
        <v>#N/A</v>
      </c>
      <c r="AI1683" s="104" t="e">
        <f t="shared" si="735"/>
        <v>#N/A</v>
      </c>
      <c r="AJ1683" s="104" t="e">
        <f t="shared" si="736"/>
        <v>#VALUE!</v>
      </c>
      <c r="AK1683" s="104" t="e">
        <f t="shared" si="737"/>
        <v>#N/A</v>
      </c>
      <c r="AL1683" s="104" t="e">
        <f t="shared" si="738"/>
        <v>#N/A</v>
      </c>
      <c r="AM1683" s="104" t="e">
        <f t="shared" si="739"/>
        <v>#N/A</v>
      </c>
      <c r="AN1683" s="104" t="e">
        <f t="shared" si="750"/>
        <v>#N/A</v>
      </c>
      <c r="AO1683" s="104" t="e">
        <f t="shared" si="751"/>
        <v>#N/A</v>
      </c>
      <c r="AP1683" s="104" t="e">
        <f t="shared" si="752"/>
        <v>#N/A</v>
      </c>
      <c r="AQ1683" s="104" t="e">
        <f t="shared" si="753"/>
        <v>#N/A</v>
      </c>
      <c r="AR1683" s="105" t="str">
        <f t="shared" si="745"/>
        <v/>
      </c>
      <c r="AS1683" s="105" t="str">
        <f t="shared" si="746"/>
        <v/>
      </c>
      <c r="AT1683" s="108" t="str">
        <f t="shared" si="747"/>
        <v/>
      </c>
      <c r="AU1683" s="108" t="str">
        <f t="shared" si="748"/>
        <v/>
      </c>
      <c r="AV1683" s="107" t="str">
        <f>IF(ISNUMBER(O1683),IF(VLOOKUP($A1683,Stand!C:J,8,FALSE)="Short",AT1683,AU1683),"")</f>
        <v/>
      </c>
      <c r="AW1683" s="109" t="str">
        <f t="shared" si="754"/>
        <v/>
      </c>
      <c r="AX1683" s="109" t="str">
        <f t="shared" si="755"/>
        <v/>
      </c>
      <c r="AY1683" s="112" t="str">
        <f>IF(ISNUMBER(O1683),IF(AND(VLOOKUP($D1683,Merchantability!$B:$C,2,0)="Yes",$E1683&gt;=VLOOKUP($D1683,Merchantability!$B:$D,3,0),$E1683&lt;=VLOOKUP($D1683,Merchantability!$B:$E,4,0)),(AV1683*O1683)*(1-$H1683/100),""),"")</f>
        <v/>
      </c>
      <c r="AZ1683" s="116"/>
      <c r="BA1683" s="116"/>
      <c r="BB1683" s="116"/>
      <c r="BE1683" s="62"/>
      <c r="BF1683" s="63"/>
    </row>
    <row r="1684" spans="1:58" ht="12.75" customHeight="1" x14ac:dyDescent="0.25">
      <c r="A1684" s="334"/>
      <c r="B1684" s="334"/>
      <c r="C1684" s="332"/>
      <c r="D1684" s="334"/>
      <c r="E1684" s="335"/>
      <c r="F1684" s="334"/>
      <c r="G1684" s="332"/>
      <c r="H1684" s="332"/>
      <c r="I1684" s="334"/>
      <c r="J1684" s="336"/>
      <c r="K1684" s="332"/>
      <c r="L1684" s="332"/>
      <c r="M1684" s="76"/>
      <c r="N1684" s="103" t="str">
        <f>IF(A1684="","",VLOOKUP(A1684,Stand!C:K,9,0))</f>
        <v/>
      </c>
      <c r="O1684" s="104" t="str">
        <f t="shared" si="740"/>
        <v/>
      </c>
      <c r="P1684" s="105" t="str">
        <f t="shared" si="741"/>
        <v/>
      </c>
      <c r="Q1684" s="105" t="str">
        <f t="shared" si="729"/>
        <v/>
      </c>
      <c r="R1684" s="103" t="str">
        <f t="shared" si="742"/>
        <v/>
      </c>
      <c r="S1684" s="103" t="str">
        <f t="shared" si="743"/>
        <v/>
      </c>
      <c r="T1684" s="106" t="str">
        <f t="shared" si="730"/>
        <v/>
      </c>
      <c r="U1684" s="106" t="str">
        <f t="shared" si="731"/>
        <v/>
      </c>
      <c r="V1684" s="106" t="str">
        <f t="shared" si="732"/>
        <v/>
      </c>
      <c r="W1684" s="105" t="str">
        <f t="shared" si="744"/>
        <v/>
      </c>
      <c r="X1684" s="104" t="str">
        <f t="shared" si="749"/>
        <v/>
      </c>
      <c r="Y1684" s="104" t="str">
        <f t="array" ref="Y1684">IFERROR(IF(ISNUMBER(O1684),IF(COUNT(IF(A1684=$A$2:$A$2427,IF(D1684=$D$2:$D$2427,IF($X$2:$X$2427&gt;0,1))))&gt;0,SUM(IF(A1684=$A$2:$A$2427,IF(D1684=$D$2:$D$2427,$X$2:$X$2427)))/COUNT(IF(A1684=$A$2:$A$2427,IF(D1684=$D$2:$D$2427,IF(ISNUMBER($X$2:$X$2427),1)))),0),""),0)</f>
        <v/>
      </c>
      <c r="Z1684" s="104" t="str">
        <f>IF(ISNUMBER(O1684),IF(I1684&gt;0,(10^(VLOOKUP(D1684,'Species Codes'!B:C,2,0)+VLOOKUP(D1684,'Species Codes'!B:D,3,0)*LOG(E1684)+VLOOKUP(D1684,'Species Codes'!B:E,4,0)*LOG(I1684))),0),"")</f>
        <v/>
      </c>
      <c r="AA1684" s="104" t="str">
        <f>IFERROR((VLOOKUP(D1684,'Species Codes'!B:G,6,0)*Z1684)/2000,"")</f>
        <v/>
      </c>
      <c r="AB1684" s="104" t="e">
        <f>IF(Z1684&gt;0,((IF(OR(D1684="DF",D1684="RA")=TRUE,EXP(VLOOKUP(D1684,'Species Codes'!B:I,8,0)+VLOOKUP(D1684,'Species Codes'!B:J,9,0)*(LN((E1684*2.54)))),IF(OR(D1684="PY",D1684="RC",D1684="WH",D1684="NF")=TRUE,VLOOKUP(D1684,'Species Codes'!B:I,8,0)+VLOOKUP(D1684,'Species Codes'!B:J,9,0)*((E1684*2.54)^2)*(I1684*0.3048),IF(OR(D1684="MD",D1684="BM",D1684="GA")=TRUE,((VLOOKUP(D1684,'Species Codes'!B:I,8,0)*(((((E1684*2.54)+VLOOKUP(D1684,'Species Codes'!B:J,9,0))/VLOOKUP(D1684,'Species Codes'!B:K,10,0))^VLOOKUP(D1684,'Species Codes'!B:L,11,0))*((I1684*0.3048)^VLOOKUP(D1684,'Species Codes'!B:M,12,0))))-(VLOOKUP(D1684,'Species Codes'!B:I,8,0)*((((E1684*2.54)^VLOOKUP(D1684,'Species Codes'!B:L,11,0))*((I1684*0.3048)^VLOOKUP(D1684,'Species Codes'!B:M,12,0))))))*35.3*VLOOKUP(D1684,'Species Codes'!B:G,6,0)/2.2046,VLOOKUP(D1684,'Species Codes'!B:I,8,0)+VLOOKUP(D1684,'Species Codes'!B:J,9,0)*(((E1684*2.54)/100)^2)*(I1684*0.3048)))))*0.0011023),0)</f>
        <v>#N/A</v>
      </c>
      <c r="AC1684" s="104" t="e">
        <f>IF(Z1684&gt;0,((IF(OR(D1684="RA",D1684="OA",D1684="OT",D1684="UN",D1684="PC"),EXP(VLOOKUP(D1684,'Species Codes'!B:O,14,0)+VLOOKUP(D1684,'Species Codes'!B:P,15,0)*LN((E1684*2.54)))-EXP(VLOOKUP(D1684,'Species Codes'!B:O,14,0)+VLOOKUP(D1684,'Species Codes'!B:P,15,0)*LN((E1684*2.54)))*(1/(VLOOKUP(D1684,'Species Codes'!B:Q,16,0)+VLOOKUP(D1684,'Species Codes'!B:R,17,0)*((E1684*2.54)^VLOOKUP(D1684,'Species Codes'!B:S,18,0)))),IF(OR(D1684="BM",D1684="MD",D1684="OA"),EXP(VLOOKUP(D1684,'Species Codes'!B:O,14,0)+VLOOKUP(D1684,'Species Codes'!B:P,15,0)*LN((E1684*2.54)))*(1-(1/(VLOOKUP(D1684,'Species Codes'!B:Q,16,0)+VLOOKUP(D1684,'Species Codes'!B:R,17,0)*((E1684*2.54)^VLOOKUP(D1684,'Species Codes'!B:S,18,0)))))/1000,IF(D1684="DF",EXP(VLOOKUP(D1684,'Species Codes'!B:O,14,0)+VLOOKUP(D1684,'Species Codes'!B:P,15,0)*LN((E1684*2.54))),VLOOKUP(D1684,'Species Codes'!B:O,14,0)+VLOOKUP(D1684,'Species Codes'!B:P,15,0)*(((E1684*2.54)/100)^2)*(I1684*0.3048)))))*0.0011023),0)</f>
        <v>#N/A</v>
      </c>
      <c r="AD1684" s="104" t="e">
        <f t="shared" si="733"/>
        <v>#N/A</v>
      </c>
      <c r="AE1684" s="104" t="e">
        <f t="shared" si="734"/>
        <v>#N/A</v>
      </c>
      <c r="AF1684" s="104" t="e">
        <f>IF(AND(VLOOKUP($D1684,Merchantability!$B:$C,2,0)="Yes",$E1684&gt;=VLOOKUP($D1684,Merchantability!$B:$D,3,0),$E1684&lt;=VLOOKUP($D1684,Merchantability!$B:$E,4,0)),AA1684,0)</f>
        <v>#N/A</v>
      </c>
      <c r="AG1684" s="104" t="e">
        <f>IF(AND(VLOOKUP($D1684,Merchantability!$B:$C,2,0)="Yes",$E1684&gt;=VLOOKUP($D1684,Merchantability!$B:$D,3,0),$E1684&lt;=VLOOKUP($D1684,Merchantability!$B:$E,4,0)),AB1684,0)</f>
        <v>#N/A</v>
      </c>
      <c r="AH1684" s="104" t="e">
        <f>IF(AND(VLOOKUP($D1684,Merchantability!$B:$C,2,0)="Yes",$E1684&gt;=VLOOKUP($D1684,Merchantability!$B:$D,3,0),$E1684&lt;=VLOOKUP($D1684,Merchantability!$B:$E,4,0)),AC1684,0)</f>
        <v>#N/A</v>
      </c>
      <c r="AI1684" s="104" t="e">
        <f t="shared" si="735"/>
        <v>#N/A</v>
      </c>
      <c r="AJ1684" s="104" t="e">
        <f t="shared" si="736"/>
        <v>#VALUE!</v>
      </c>
      <c r="AK1684" s="104" t="e">
        <f t="shared" si="737"/>
        <v>#N/A</v>
      </c>
      <c r="AL1684" s="104" t="e">
        <f t="shared" si="738"/>
        <v>#N/A</v>
      </c>
      <c r="AM1684" s="104" t="e">
        <f t="shared" si="739"/>
        <v>#N/A</v>
      </c>
      <c r="AN1684" s="104" t="e">
        <f t="shared" si="750"/>
        <v>#N/A</v>
      </c>
      <c r="AO1684" s="104" t="e">
        <f t="shared" si="751"/>
        <v>#N/A</v>
      </c>
      <c r="AP1684" s="104" t="e">
        <f t="shared" si="752"/>
        <v>#N/A</v>
      </c>
      <c r="AQ1684" s="104" t="e">
        <f t="shared" si="753"/>
        <v>#N/A</v>
      </c>
      <c r="AR1684" s="105" t="str">
        <f t="shared" si="745"/>
        <v/>
      </c>
      <c r="AS1684" s="105" t="str">
        <f t="shared" si="746"/>
        <v/>
      </c>
      <c r="AT1684" s="108" t="str">
        <f t="shared" si="747"/>
        <v/>
      </c>
      <c r="AU1684" s="108" t="str">
        <f t="shared" si="748"/>
        <v/>
      </c>
      <c r="AV1684" s="107" t="str">
        <f>IF(ISNUMBER(O1684),IF(VLOOKUP($A1684,Stand!C:J,8,FALSE)="Short",AT1684,AU1684),"")</f>
        <v/>
      </c>
      <c r="AW1684" s="109" t="str">
        <f t="shared" si="754"/>
        <v/>
      </c>
      <c r="AX1684" s="109" t="str">
        <f t="shared" si="755"/>
        <v/>
      </c>
      <c r="AY1684" s="112" t="str">
        <f>IF(ISNUMBER(O1684),IF(AND(VLOOKUP($D1684,Merchantability!$B:$C,2,0)="Yes",$E1684&gt;=VLOOKUP($D1684,Merchantability!$B:$D,3,0),$E1684&lt;=VLOOKUP($D1684,Merchantability!$B:$E,4,0)),(AV1684*O1684)*(1-$H1684/100),""),"")</f>
        <v/>
      </c>
      <c r="AZ1684" s="116"/>
      <c r="BA1684" s="116"/>
      <c r="BB1684" s="116"/>
      <c r="BE1684" s="62"/>
      <c r="BF1684" s="63"/>
    </row>
    <row r="1685" spans="1:58" ht="12.75" customHeight="1" x14ac:dyDescent="0.25">
      <c r="A1685" s="334"/>
      <c r="B1685" s="334"/>
      <c r="C1685" s="332"/>
      <c r="D1685" s="334"/>
      <c r="E1685" s="335"/>
      <c r="F1685" s="334"/>
      <c r="G1685" s="332"/>
      <c r="H1685" s="332"/>
      <c r="I1685" s="334"/>
      <c r="J1685" s="336"/>
      <c r="K1685" s="332"/>
      <c r="L1685" s="332"/>
      <c r="M1685" s="76"/>
      <c r="N1685" s="103" t="str">
        <f>IF(A1685="","",VLOOKUP(A1685,Stand!C:K,9,0))</f>
        <v/>
      </c>
      <c r="O1685" s="104" t="str">
        <f t="shared" si="740"/>
        <v/>
      </c>
      <c r="P1685" s="105" t="str">
        <f t="shared" si="741"/>
        <v/>
      </c>
      <c r="Q1685" s="105" t="str">
        <f t="shared" si="729"/>
        <v/>
      </c>
      <c r="R1685" s="103" t="str">
        <f t="shared" si="742"/>
        <v/>
      </c>
      <c r="S1685" s="103" t="str">
        <f t="shared" si="743"/>
        <v/>
      </c>
      <c r="T1685" s="106" t="str">
        <f t="shared" si="730"/>
        <v/>
      </c>
      <c r="U1685" s="106" t="str">
        <f t="shared" si="731"/>
        <v/>
      </c>
      <c r="V1685" s="106" t="str">
        <f t="shared" si="732"/>
        <v/>
      </c>
      <c r="W1685" s="105" t="str">
        <f t="shared" si="744"/>
        <v/>
      </c>
      <c r="X1685" s="104" t="str">
        <f t="shared" si="749"/>
        <v/>
      </c>
      <c r="Y1685" s="104" t="str">
        <f t="array" ref="Y1685">IFERROR(IF(ISNUMBER(O1685),IF(COUNT(IF(A1685=$A$2:$A$2427,IF(D1685=$D$2:$D$2427,IF($X$2:$X$2427&gt;0,1))))&gt;0,SUM(IF(A1685=$A$2:$A$2427,IF(D1685=$D$2:$D$2427,$X$2:$X$2427)))/COUNT(IF(A1685=$A$2:$A$2427,IF(D1685=$D$2:$D$2427,IF(ISNUMBER($X$2:$X$2427),1)))),0),""),0)</f>
        <v/>
      </c>
      <c r="Z1685" s="104" t="str">
        <f>IF(ISNUMBER(O1685),IF(I1685&gt;0,(10^(VLOOKUP(D1685,'Species Codes'!B:C,2,0)+VLOOKUP(D1685,'Species Codes'!B:D,3,0)*LOG(E1685)+VLOOKUP(D1685,'Species Codes'!B:E,4,0)*LOG(I1685))),0),"")</f>
        <v/>
      </c>
      <c r="AA1685" s="104" t="str">
        <f>IFERROR((VLOOKUP(D1685,'Species Codes'!B:G,6,0)*Z1685)/2000,"")</f>
        <v/>
      </c>
      <c r="AB1685" s="104" t="e">
        <f>IF(Z1685&gt;0,((IF(OR(D1685="DF",D1685="RA")=TRUE,EXP(VLOOKUP(D1685,'Species Codes'!B:I,8,0)+VLOOKUP(D1685,'Species Codes'!B:J,9,0)*(LN((E1685*2.54)))),IF(OR(D1685="PY",D1685="RC",D1685="WH",D1685="NF")=TRUE,VLOOKUP(D1685,'Species Codes'!B:I,8,0)+VLOOKUP(D1685,'Species Codes'!B:J,9,0)*((E1685*2.54)^2)*(I1685*0.3048),IF(OR(D1685="MD",D1685="BM",D1685="GA")=TRUE,((VLOOKUP(D1685,'Species Codes'!B:I,8,0)*(((((E1685*2.54)+VLOOKUP(D1685,'Species Codes'!B:J,9,0))/VLOOKUP(D1685,'Species Codes'!B:K,10,0))^VLOOKUP(D1685,'Species Codes'!B:L,11,0))*((I1685*0.3048)^VLOOKUP(D1685,'Species Codes'!B:M,12,0))))-(VLOOKUP(D1685,'Species Codes'!B:I,8,0)*((((E1685*2.54)^VLOOKUP(D1685,'Species Codes'!B:L,11,0))*((I1685*0.3048)^VLOOKUP(D1685,'Species Codes'!B:M,12,0))))))*35.3*VLOOKUP(D1685,'Species Codes'!B:G,6,0)/2.2046,VLOOKUP(D1685,'Species Codes'!B:I,8,0)+VLOOKUP(D1685,'Species Codes'!B:J,9,0)*(((E1685*2.54)/100)^2)*(I1685*0.3048)))))*0.0011023),0)</f>
        <v>#N/A</v>
      </c>
      <c r="AC1685" s="104" t="e">
        <f>IF(Z1685&gt;0,((IF(OR(D1685="RA",D1685="OA",D1685="OT",D1685="UN",D1685="PC"),EXP(VLOOKUP(D1685,'Species Codes'!B:O,14,0)+VLOOKUP(D1685,'Species Codes'!B:P,15,0)*LN((E1685*2.54)))-EXP(VLOOKUP(D1685,'Species Codes'!B:O,14,0)+VLOOKUP(D1685,'Species Codes'!B:P,15,0)*LN((E1685*2.54)))*(1/(VLOOKUP(D1685,'Species Codes'!B:Q,16,0)+VLOOKUP(D1685,'Species Codes'!B:R,17,0)*((E1685*2.54)^VLOOKUP(D1685,'Species Codes'!B:S,18,0)))),IF(OR(D1685="BM",D1685="MD",D1685="OA"),EXP(VLOOKUP(D1685,'Species Codes'!B:O,14,0)+VLOOKUP(D1685,'Species Codes'!B:P,15,0)*LN((E1685*2.54)))*(1-(1/(VLOOKUP(D1685,'Species Codes'!B:Q,16,0)+VLOOKUP(D1685,'Species Codes'!B:R,17,0)*((E1685*2.54)^VLOOKUP(D1685,'Species Codes'!B:S,18,0)))))/1000,IF(D1685="DF",EXP(VLOOKUP(D1685,'Species Codes'!B:O,14,0)+VLOOKUP(D1685,'Species Codes'!B:P,15,0)*LN((E1685*2.54))),VLOOKUP(D1685,'Species Codes'!B:O,14,0)+VLOOKUP(D1685,'Species Codes'!B:P,15,0)*(((E1685*2.54)/100)^2)*(I1685*0.3048)))))*0.0011023),0)</f>
        <v>#N/A</v>
      </c>
      <c r="AD1685" s="104" t="e">
        <f t="shared" si="733"/>
        <v>#N/A</v>
      </c>
      <c r="AE1685" s="104" t="e">
        <f t="shared" si="734"/>
        <v>#N/A</v>
      </c>
      <c r="AF1685" s="104" t="e">
        <f>IF(AND(VLOOKUP($D1685,Merchantability!$B:$C,2,0)="Yes",$E1685&gt;=VLOOKUP($D1685,Merchantability!$B:$D,3,0),$E1685&lt;=VLOOKUP($D1685,Merchantability!$B:$E,4,0)),AA1685,0)</f>
        <v>#N/A</v>
      </c>
      <c r="AG1685" s="104" t="e">
        <f>IF(AND(VLOOKUP($D1685,Merchantability!$B:$C,2,0)="Yes",$E1685&gt;=VLOOKUP($D1685,Merchantability!$B:$D,3,0),$E1685&lt;=VLOOKUP($D1685,Merchantability!$B:$E,4,0)),AB1685,0)</f>
        <v>#N/A</v>
      </c>
      <c r="AH1685" s="104" t="e">
        <f>IF(AND(VLOOKUP($D1685,Merchantability!$B:$C,2,0)="Yes",$E1685&gt;=VLOOKUP($D1685,Merchantability!$B:$D,3,0),$E1685&lt;=VLOOKUP($D1685,Merchantability!$B:$E,4,0)),AC1685,0)</f>
        <v>#N/A</v>
      </c>
      <c r="AI1685" s="104" t="e">
        <f t="shared" si="735"/>
        <v>#N/A</v>
      </c>
      <c r="AJ1685" s="104" t="e">
        <f t="shared" si="736"/>
        <v>#VALUE!</v>
      </c>
      <c r="AK1685" s="104" t="e">
        <f t="shared" si="737"/>
        <v>#N/A</v>
      </c>
      <c r="AL1685" s="104" t="e">
        <f t="shared" si="738"/>
        <v>#N/A</v>
      </c>
      <c r="AM1685" s="104" t="e">
        <f t="shared" si="739"/>
        <v>#N/A</v>
      </c>
      <c r="AN1685" s="104" t="e">
        <f t="shared" si="750"/>
        <v>#N/A</v>
      </c>
      <c r="AO1685" s="104" t="e">
        <f t="shared" si="751"/>
        <v>#N/A</v>
      </c>
      <c r="AP1685" s="104" t="e">
        <f t="shared" si="752"/>
        <v>#N/A</v>
      </c>
      <c r="AQ1685" s="104" t="e">
        <f t="shared" si="753"/>
        <v>#N/A</v>
      </c>
      <c r="AR1685" s="105" t="str">
        <f t="shared" si="745"/>
        <v/>
      </c>
      <c r="AS1685" s="105" t="str">
        <f t="shared" si="746"/>
        <v/>
      </c>
      <c r="AT1685" s="108" t="str">
        <f t="shared" si="747"/>
        <v/>
      </c>
      <c r="AU1685" s="108" t="str">
        <f t="shared" si="748"/>
        <v/>
      </c>
      <c r="AV1685" s="107" t="str">
        <f>IF(ISNUMBER(O1685),IF(VLOOKUP($A1685,Stand!C:J,8,FALSE)="Short",AT1685,AU1685),"")</f>
        <v/>
      </c>
      <c r="AW1685" s="109" t="str">
        <f t="shared" si="754"/>
        <v/>
      </c>
      <c r="AX1685" s="109" t="str">
        <f t="shared" si="755"/>
        <v/>
      </c>
      <c r="AY1685" s="112" t="str">
        <f>IF(ISNUMBER(O1685),IF(AND(VLOOKUP($D1685,Merchantability!$B:$C,2,0)="Yes",$E1685&gt;=VLOOKUP($D1685,Merchantability!$B:$D,3,0),$E1685&lt;=VLOOKUP($D1685,Merchantability!$B:$E,4,0)),(AV1685*O1685)*(1-$H1685/100),""),"")</f>
        <v/>
      </c>
      <c r="AZ1685" s="116"/>
      <c r="BA1685" s="116"/>
      <c r="BB1685" s="116"/>
      <c r="BE1685" s="62"/>
      <c r="BF1685" s="63"/>
    </row>
    <row r="1686" spans="1:58" ht="12.75" customHeight="1" x14ac:dyDescent="0.25">
      <c r="A1686" s="334"/>
      <c r="B1686" s="334"/>
      <c r="C1686" s="332"/>
      <c r="D1686" s="334"/>
      <c r="E1686" s="335"/>
      <c r="F1686" s="334"/>
      <c r="G1686" s="332"/>
      <c r="H1686" s="332"/>
      <c r="I1686" s="334"/>
      <c r="J1686" s="336"/>
      <c r="K1686" s="332"/>
      <c r="L1686" s="332"/>
      <c r="M1686" s="76"/>
      <c r="N1686" s="103" t="str">
        <f>IF(A1686="","",VLOOKUP(A1686,Stand!C:K,9,0))</f>
        <v/>
      </c>
      <c r="O1686" s="104" t="str">
        <f t="shared" si="740"/>
        <v/>
      </c>
      <c r="P1686" s="105" t="str">
        <f t="shared" si="741"/>
        <v/>
      </c>
      <c r="Q1686" s="105" t="str">
        <f t="shared" si="729"/>
        <v/>
      </c>
      <c r="R1686" s="103" t="str">
        <f t="shared" si="742"/>
        <v/>
      </c>
      <c r="S1686" s="103" t="str">
        <f t="shared" si="743"/>
        <v/>
      </c>
      <c r="T1686" s="106" t="str">
        <f t="shared" si="730"/>
        <v/>
      </c>
      <c r="U1686" s="106" t="str">
        <f t="shared" si="731"/>
        <v/>
      </c>
      <c r="V1686" s="106" t="str">
        <f t="shared" si="732"/>
        <v/>
      </c>
      <c r="W1686" s="105" t="str">
        <f t="shared" si="744"/>
        <v/>
      </c>
      <c r="X1686" s="104" t="str">
        <f t="shared" si="749"/>
        <v/>
      </c>
      <c r="Y1686" s="104" t="str">
        <f t="array" ref="Y1686">IFERROR(IF(ISNUMBER(O1686),IF(COUNT(IF(A1686=$A$2:$A$2427,IF(D1686=$D$2:$D$2427,IF($X$2:$X$2427&gt;0,1))))&gt;0,SUM(IF(A1686=$A$2:$A$2427,IF(D1686=$D$2:$D$2427,$X$2:$X$2427)))/COUNT(IF(A1686=$A$2:$A$2427,IF(D1686=$D$2:$D$2427,IF(ISNUMBER($X$2:$X$2427),1)))),0),""),0)</f>
        <v/>
      </c>
      <c r="Z1686" s="104" t="str">
        <f>IF(ISNUMBER(O1686),IF(I1686&gt;0,(10^(VLOOKUP(D1686,'Species Codes'!B:C,2,0)+VLOOKUP(D1686,'Species Codes'!B:D,3,0)*LOG(E1686)+VLOOKUP(D1686,'Species Codes'!B:E,4,0)*LOG(I1686))),0),"")</f>
        <v/>
      </c>
      <c r="AA1686" s="104" t="str">
        <f>IFERROR((VLOOKUP(D1686,'Species Codes'!B:G,6,0)*Z1686)/2000,"")</f>
        <v/>
      </c>
      <c r="AB1686" s="104" t="e">
        <f>IF(Z1686&gt;0,((IF(OR(D1686="DF",D1686="RA")=TRUE,EXP(VLOOKUP(D1686,'Species Codes'!B:I,8,0)+VLOOKUP(D1686,'Species Codes'!B:J,9,0)*(LN((E1686*2.54)))),IF(OR(D1686="PY",D1686="RC",D1686="WH",D1686="NF")=TRUE,VLOOKUP(D1686,'Species Codes'!B:I,8,0)+VLOOKUP(D1686,'Species Codes'!B:J,9,0)*((E1686*2.54)^2)*(I1686*0.3048),IF(OR(D1686="MD",D1686="BM",D1686="GA")=TRUE,((VLOOKUP(D1686,'Species Codes'!B:I,8,0)*(((((E1686*2.54)+VLOOKUP(D1686,'Species Codes'!B:J,9,0))/VLOOKUP(D1686,'Species Codes'!B:K,10,0))^VLOOKUP(D1686,'Species Codes'!B:L,11,0))*((I1686*0.3048)^VLOOKUP(D1686,'Species Codes'!B:M,12,0))))-(VLOOKUP(D1686,'Species Codes'!B:I,8,0)*((((E1686*2.54)^VLOOKUP(D1686,'Species Codes'!B:L,11,0))*((I1686*0.3048)^VLOOKUP(D1686,'Species Codes'!B:M,12,0))))))*35.3*VLOOKUP(D1686,'Species Codes'!B:G,6,0)/2.2046,VLOOKUP(D1686,'Species Codes'!B:I,8,0)+VLOOKUP(D1686,'Species Codes'!B:J,9,0)*(((E1686*2.54)/100)^2)*(I1686*0.3048)))))*0.0011023),0)</f>
        <v>#N/A</v>
      </c>
      <c r="AC1686" s="104" t="e">
        <f>IF(Z1686&gt;0,((IF(OR(D1686="RA",D1686="OA",D1686="OT",D1686="UN",D1686="PC"),EXP(VLOOKUP(D1686,'Species Codes'!B:O,14,0)+VLOOKUP(D1686,'Species Codes'!B:P,15,0)*LN((E1686*2.54)))-EXP(VLOOKUP(D1686,'Species Codes'!B:O,14,0)+VLOOKUP(D1686,'Species Codes'!B:P,15,0)*LN((E1686*2.54)))*(1/(VLOOKUP(D1686,'Species Codes'!B:Q,16,0)+VLOOKUP(D1686,'Species Codes'!B:R,17,0)*((E1686*2.54)^VLOOKUP(D1686,'Species Codes'!B:S,18,0)))),IF(OR(D1686="BM",D1686="MD",D1686="OA"),EXP(VLOOKUP(D1686,'Species Codes'!B:O,14,0)+VLOOKUP(D1686,'Species Codes'!B:P,15,0)*LN((E1686*2.54)))*(1-(1/(VLOOKUP(D1686,'Species Codes'!B:Q,16,0)+VLOOKUP(D1686,'Species Codes'!B:R,17,0)*((E1686*2.54)^VLOOKUP(D1686,'Species Codes'!B:S,18,0)))))/1000,IF(D1686="DF",EXP(VLOOKUP(D1686,'Species Codes'!B:O,14,0)+VLOOKUP(D1686,'Species Codes'!B:P,15,0)*LN((E1686*2.54))),VLOOKUP(D1686,'Species Codes'!B:O,14,0)+VLOOKUP(D1686,'Species Codes'!B:P,15,0)*(((E1686*2.54)/100)^2)*(I1686*0.3048)))))*0.0011023),0)</f>
        <v>#N/A</v>
      </c>
      <c r="AD1686" s="104" t="e">
        <f t="shared" si="733"/>
        <v>#N/A</v>
      </c>
      <c r="AE1686" s="104" t="e">
        <f t="shared" si="734"/>
        <v>#N/A</v>
      </c>
      <c r="AF1686" s="104" t="e">
        <f>IF(AND(VLOOKUP($D1686,Merchantability!$B:$C,2,0)="Yes",$E1686&gt;=VLOOKUP($D1686,Merchantability!$B:$D,3,0),$E1686&lt;=VLOOKUP($D1686,Merchantability!$B:$E,4,0)),AA1686,0)</f>
        <v>#N/A</v>
      </c>
      <c r="AG1686" s="104" t="e">
        <f>IF(AND(VLOOKUP($D1686,Merchantability!$B:$C,2,0)="Yes",$E1686&gt;=VLOOKUP($D1686,Merchantability!$B:$D,3,0),$E1686&lt;=VLOOKUP($D1686,Merchantability!$B:$E,4,0)),AB1686,0)</f>
        <v>#N/A</v>
      </c>
      <c r="AH1686" s="104" t="e">
        <f>IF(AND(VLOOKUP($D1686,Merchantability!$B:$C,2,0)="Yes",$E1686&gt;=VLOOKUP($D1686,Merchantability!$B:$D,3,0),$E1686&lt;=VLOOKUP($D1686,Merchantability!$B:$E,4,0)),AC1686,0)</f>
        <v>#N/A</v>
      </c>
      <c r="AI1686" s="104" t="e">
        <f t="shared" si="735"/>
        <v>#N/A</v>
      </c>
      <c r="AJ1686" s="104" t="e">
        <f t="shared" si="736"/>
        <v>#VALUE!</v>
      </c>
      <c r="AK1686" s="104" t="e">
        <f t="shared" si="737"/>
        <v>#N/A</v>
      </c>
      <c r="AL1686" s="104" t="e">
        <f t="shared" si="738"/>
        <v>#N/A</v>
      </c>
      <c r="AM1686" s="104" t="e">
        <f t="shared" si="739"/>
        <v>#N/A</v>
      </c>
      <c r="AN1686" s="104" t="e">
        <f t="shared" si="750"/>
        <v>#N/A</v>
      </c>
      <c r="AO1686" s="104" t="e">
        <f t="shared" si="751"/>
        <v>#N/A</v>
      </c>
      <c r="AP1686" s="104" t="e">
        <f t="shared" si="752"/>
        <v>#N/A</v>
      </c>
      <c r="AQ1686" s="104" t="e">
        <f t="shared" si="753"/>
        <v>#N/A</v>
      </c>
      <c r="AR1686" s="105" t="str">
        <f t="shared" si="745"/>
        <v/>
      </c>
      <c r="AS1686" s="105" t="str">
        <f t="shared" si="746"/>
        <v/>
      </c>
      <c r="AT1686" s="108" t="str">
        <f t="shared" si="747"/>
        <v/>
      </c>
      <c r="AU1686" s="108" t="str">
        <f t="shared" si="748"/>
        <v/>
      </c>
      <c r="AV1686" s="107" t="str">
        <f>IF(ISNUMBER(O1686),IF(VLOOKUP($A1686,Stand!C:J,8,FALSE)="Short",AT1686,AU1686),"")</f>
        <v/>
      </c>
      <c r="AW1686" s="109" t="str">
        <f t="shared" si="754"/>
        <v/>
      </c>
      <c r="AX1686" s="109" t="str">
        <f t="shared" si="755"/>
        <v/>
      </c>
      <c r="AY1686" s="112" t="str">
        <f>IF(ISNUMBER(O1686),IF(AND(VLOOKUP($D1686,Merchantability!$B:$C,2,0)="Yes",$E1686&gt;=VLOOKUP($D1686,Merchantability!$B:$D,3,0),$E1686&lt;=VLOOKUP($D1686,Merchantability!$B:$E,4,0)),(AV1686*O1686)*(1-$H1686/100),""),"")</f>
        <v/>
      </c>
      <c r="AZ1686" s="116"/>
      <c r="BA1686" s="116"/>
      <c r="BB1686" s="116"/>
      <c r="BE1686" s="62"/>
      <c r="BF1686" s="63"/>
    </row>
    <row r="1687" spans="1:58" ht="12.75" customHeight="1" x14ac:dyDescent="0.25">
      <c r="A1687" s="334"/>
      <c r="B1687" s="334"/>
      <c r="C1687" s="332"/>
      <c r="D1687" s="334"/>
      <c r="E1687" s="335"/>
      <c r="F1687" s="334"/>
      <c r="G1687" s="332"/>
      <c r="H1687" s="332"/>
      <c r="I1687" s="334"/>
      <c r="J1687" s="336"/>
      <c r="K1687" s="332"/>
      <c r="L1687" s="332"/>
      <c r="M1687" s="76"/>
      <c r="N1687" s="103" t="str">
        <f>IF(A1687="","",VLOOKUP(A1687,Stand!C:K,9,0))</f>
        <v/>
      </c>
      <c r="O1687" s="104" t="str">
        <f t="shared" si="740"/>
        <v/>
      </c>
      <c r="P1687" s="105" t="str">
        <f t="shared" si="741"/>
        <v/>
      </c>
      <c r="Q1687" s="105" t="str">
        <f t="shared" si="729"/>
        <v/>
      </c>
      <c r="R1687" s="103" t="str">
        <f t="shared" si="742"/>
        <v/>
      </c>
      <c r="S1687" s="103" t="str">
        <f t="shared" si="743"/>
        <v/>
      </c>
      <c r="T1687" s="106" t="str">
        <f t="shared" si="730"/>
        <v/>
      </c>
      <c r="U1687" s="106" t="str">
        <f t="shared" si="731"/>
        <v/>
      </c>
      <c r="V1687" s="106" t="str">
        <f t="shared" si="732"/>
        <v/>
      </c>
      <c r="W1687" s="105" t="str">
        <f t="shared" si="744"/>
        <v/>
      </c>
      <c r="X1687" s="104" t="str">
        <f t="shared" si="749"/>
        <v/>
      </c>
      <c r="Y1687" s="104" t="str">
        <f t="array" ref="Y1687">IFERROR(IF(ISNUMBER(O1687),IF(COUNT(IF(A1687=$A$2:$A$2427,IF(D1687=$D$2:$D$2427,IF($X$2:$X$2427&gt;0,1))))&gt;0,SUM(IF(A1687=$A$2:$A$2427,IF(D1687=$D$2:$D$2427,$X$2:$X$2427)))/COUNT(IF(A1687=$A$2:$A$2427,IF(D1687=$D$2:$D$2427,IF(ISNUMBER($X$2:$X$2427),1)))),0),""),0)</f>
        <v/>
      </c>
      <c r="Z1687" s="104" t="str">
        <f>IF(ISNUMBER(O1687),IF(I1687&gt;0,(10^(VLOOKUP(D1687,'Species Codes'!B:C,2,0)+VLOOKUP(D1687,'Species Codes'!B:D,3,0)*LOG(E1687)+VLOOKUP(D1687,'Species Codes'!B:E,4,0)*LOG(I1687))),0),"")</f>
        <v/>
      </c>
      <c r="AA1687" s="104" t="str">
        <f>IFERROR((VLOOKUP(D1687,'Species Codes'!B:G,6,0)*Z1687)/2000,"")</f>
        <v/>
      </c>
      <c r="AB1687" s="104" t="e">
        <f>IF(Z1687&gt;0,((IF(OR(D1687="DF",D1687="RA")=TRUE,EXP(VLOOKUP(D1687,'Species Codes'!B:I,8,0)+VLOOKUP(D1687,'Species Codes'!B:J,9,0)*(LN((E1687*2.54)))),IF(OR(D1687="PY",D1687="RC",D1687="WH",D1687="NF")=TRUE,VLOOKUP(D1687,'Species Codes'!B:I,8,0)+VLOOKUP(D1687,'Species Codes'!B:J,9,0)*((E1687*2.54)^2)*(I1687*0.3048),IF(OR(D1687="MD",D1687="BM",D1687="GA")=TRUE,((VLOOKUP(D1687,'Species Codes'!B:I,8,0)*(((((E1687*2.54)+VLOOKUP(D1687,'Species Codes'!B:J,9,0))/VLOOKUP(D1687,'Species Codes'!B:K,10,0))^VLOOKUP(D1687,'Species Codes'!B:L,11,0))*((I1687*0.3048)^VLOOKUP(D1687,'Species Codes'!B:M,12,0))))-(VLOOKUP(D1687,'Species Codes'!B:I,8,0)*((((E1687*2.54)^VLOOKUP(D1687,'Species Codes'!B:L,11,0))*((I1687*0.3048)^VLOOKUP(D1687,'Species Codes'!B:M,12,0))))))*35.3*VLOOKUP(D1687,'Species Codes'!B:G,6,0)/2.2046,VLOOKUP(D1687,'Species Codes'!B:I,8,0)+VLOOKUP(D1687,'Species Codes'!B:J,9,0)*(((E1687*2.54)/100)^2)*(I1687*0.3048)))))*0.0011023),0)</f>
        <v>#N/A</v>
      </c>
      <c r="AC1687" s="104" t="e">
        <f>IF(Z1687&gt;0,((IF(OR(D1687="RA",D1687="OA",D1687="OT",D1687="UN",D1687="PC"),EXP(VLOOKUP(D1687,'Species Codes'!B:O,14,0)+VLOOKUP(D1687,'Species Codes'!B:P,15,0)*LN((E1687*2.54)))-EXP(VLOOKUP(D1687,'Species Codes'!B:O,14,0)+VLOOKUP(D1687,'Species Codes'!B:P,15,0)*LN((E1687*2.54)))*(1/(VLOOKUP(D1687,'Species Codes'!B:Q,16,0)+VLOOKUP(D1687,'Species Codes'!B:R,17,0)*((E1687*2.54)^VLOOKUP(D1687,'Species Codes'!B:S,18,0)))),IF(OR(D1687="BM",D1687="MD",D1687="OA"),EXP(VLOOKUP(D1687,'Species Codes'!B:O,14,0)+VLOOKUP(D1687,'Species Codes'!B:P,15,0)*LN((E1687*2.54)))*(1-(1/(VLOOKUP(D1687,'Species Codes'!B:Q,16,0)+VLOOKUP(D1687,'Species Codes'!B:R,17,0)*((E1687*2.54)^VLOOKUP(D1687,'Species Codes'!B:S,18,0)))))/1000,IF(D1687="DF",EXP(VLOOKUP(D1687,'Species Codes'!B:O,14,0)+VLOOKUP(D1687,'Species Codes'!B:P,15,0)*LN((E1687*2.54))),VLOOKUP(D1687,'Species Codes'!B:O,14,0)+VLOOKUP(D1687,'Species Codes'!B:P,15,0)*(((E1687*2.54)/100)^2)*(I1687*0.3048)))))*0.0011023),0)</f>
        <v>#N/A</v>
      </c>
      <c r="AD1687" s="104" t="e">
        <f t="shared" si="733"/>
        <v>#N/A</v>
      </c>
      <c r="AE1687" s="104" t="e">
        <f t="shared" si="734"/>
        <v>#N/A</v>
      </c>
      <c r="AF1687" s="104" t="e">
        <f>IF(AND(VLOOKUP($D1687,Merchantability!$B:$C,2,0)="Yes",$E1687&gt;=VLOOKUP($D1687,Merchantability!$B:$D,3,0),$E1687&lt;=VLOOKUP($D1687,Merchantability!$B:$E,4,0)),AA1687,0)</f>
        <v>#N/A</v>
      </c>
      <c r="AG1687" s="104" t="e">
        <f>IF(AND(VLOOKUP($D1687,Merchantability!$B:$C,2,0)="Yes",$E1687&gt;=VLOOKUP($D1687,Merchantability!$B:$D,3,0),$E1687&lt;=VLOOKUP($D1687,Merchantability!$B:$E,4,0)),AB1687,0)</f>
        <v>#N/A</v>
      </c>
      <c r="AH1687" s="104" t="e">
        <f>IF(AND(VLOOKUP($D1687,Merchantability!$B:$C,2,0)="Yes",$E1687&gt;=VLOOKUP($D1687,Merchantability!$B:$D,3,0),$E1687&lt;=VLOOKUP($D1687,Merchantability!$B:$E,4,0)),AC1687,0)</f>
        <v>#N/A</v>
      </c>
      <c r="AI1687" s="104" t="e">
        <f t="shared" si="735"/>
        <v>#N/A</v>
      </c>
      <c r="AJ1687" s="104" t="e">
        <f t="shared" si="736"/>
        <v>#VALUE!</v>
      </c>
      <c r="AK1687" s="104" t="e">
        <f t="shared" si="737"/>
        <v>#N/A</v>
      </c>
      <c r="AL1687" s="104" t="e">
        <f t="shared" si="738"/>
        <v>#N/A</v>
      </c>
      <c r="AM1687" s="104" t="e">
        <f t="shared" si="739"/>
        <v>#N/A</v>
      </c>
      <c r="AN1687" s="104" t="e">
        <f t="shared" si="750"/>
        <v>#N/A</v>
      </c>
      <c r="AO1687" s="104" t="e">
        <f t="shared" si="751"/>
        <v>#N/A</v>
      </c>
      <c r="AP1687" s="104" t="e">
        <f t="shared" si="752"/>
        <v>#N/A</v>
      </c>
      <c r="AQ1687" s="104" t="e">
        <f t="shared" si="753"/>
        <v>#N/A</v>
      </c>
      <c r="AR1687" s="105" t="str">
        <f t="shared" si="745"/>
        <v/>
      </c>
      <c r="AS1687" s="105" t="str">
        <f t="shared" si="746"/>
        <v/>
      </c>
      <c r="AT1687" s="108" t="str">
        <f t="shared" si="747"/>
        <v/>
      </c>
      <c r="AU1687" s="108" t="str">
        <f t="shared" si="748"/>
        <v/>
      </c>
      <c r="AV1687" s="107" t="str">
        <f>IF(ISNUMBER(O1687),IF(VLOOKUP($A1687,Stand!C:J,8,FALSE)="Short",AT1687,AU1687),"")</f>
        <v/>
      </c>
      <c r="AW1687" s="109" t="str">
        <f t="shared" si="754"/>
        <v/>
      </c>
      <c r="AX1687" s="109" t="str">
        <f t="shared" si="755"/>
        <v/>
      </c>
      <c r="AY1687" s="112" t="str">
        <f>IF(ISNUMBER(O1687),IF(AND(VLOOKUP($D1687,Merchantability!$B:$C,2,0)="Yes",$E1687&gt;=VLOOKUP($D1687,Merchantability!$B:$D,3,0),$E1687&lt;=VLOOKUP($D1687,Merchantability!$B:$E,4,0)),(AV1687*O1687)*(1-$H1687/100),""),"")</f>
        <v/>
      </c>
      <c r="AZ1687" s="116"/>
      <c r="BA1687" s="116"/>
      <c r="BB1687" s="116"/>
      <c r="BE1687" s="62"/>
      <c r="BF1687" s="63"/>
    </row>
    <row r="1688" spans="1:58" ht="12.75" customHeight="1" x14ac:dyDescent="0.25">
      <c r="A1688" s="334"/>
      <c r="B1688" s="334"/>
      <c r="C1688" s="332"/>
      <c r="D1688" s="334"/>
      <c r="E1688" s="335"/>
      <c r="F1688" s="334"/>
      <c r="G1688" s="332"/>
      <c r="H1688" s="332"/>
      <c r="I1688" s="334"/>
      <c r="J1688" s="336"/>
      <c r="K1688" s="332"/>
      <c r="L1688" s="332"/>
      <c r="M1688" s="76"/>
      <c r="N1688" s="103" t="str">
        <f>IF(A1688="","",VLOOKUP(A1688,Stand!C:K,9,0))</f>
        <v/>
      </c>
      <c r="O1688" s="104" t="str">
        <f t="shared" si="740"/>
        <v/>
      </c>
      <c r="P1688" s="105" t="str">
        <f t="shared" si="741"/>
        <v/>
      </c>
      <c r="Q1688" s="105" t="str">
        <f t="shared" si="729"/>
        <v/>
      </c>
      <c r="R1688" s="103" t="str">
        <f t="shared" si="742"/>
        <v/>
      </c>
      <c r="S1688" s="103" t="str">
        <f t="shared" si="743"/>
        <v/>
      </c>
      <c r="T1688" s="106" t="str">
        <f t="shared" si="730"/>
        <v/>
      </c>
      <c r="U1688" s="106" t="str">
        <f t="shared" si="731"/>
        <v/>
      </c>
      <c r="V1688" s="106" t="str">
        <f t="shared" si="732"/>
        <v/>
      </c>
      <c r="W1688" s="105" t="str">
        <f t="shared" si="744"/>
        <v/>
      </c>
      <c r="X1688" s="104" t="str">
        <f t="shared" si="749"/>
        <v/>
      </c>
      <c r="Y1688" s="104" t="str">
        <f t="array" ref="Y1688">IFERROR(IF(ISNUMBER(O1688),IF(COUNT(IF(A1688=$A$2:$A$2427,IF(D1688=$D$2:$D$2427,IF($X$2:$X$2427&gt;0,1))))&gt;0,SUM(IF(A1688=$A$2:$A$2427,IF(D1688=$D$2:$D$2427,$X$2:$X$2427)))/COUNT(IF(A1688=$A$2:$A$2427,IF(D1688=$D$2:$D$2427,IF(ISNUMBER($X$2:$X$2427),1)))),0),""),0)</f>
        <v/>
      </c>
      <c r="Z1688" s="104" t="str">
        <f>IF(ISNUMBER(O1688),IF(I1688&gt;0,(10^(VLOOKUP(D1688,'Species Codes'!B:C,2,0)+VLOOKUP(D1688,'Species Codes'!B:D,3,0)*LOG(E1688)+VLOOKUP(D1688,'Species Codes'!B:E,4,0)*LOG(I1688))),0),"")</f>
        <v/>
      </c>
      <c r="AA1688" s="104" t="str">
        <f>IFERROR((VLOOKUP(D1688,'Species Codes'!B:G,6,0)*Z1688)/2000,"")</f>
        <v/>
      </c>
      <c r="AB1688" s="104" t="e">
        <f>IF(Z1688&gt;0,((IF(OR(D1688="DF",D1688="RA")=TRUE,EXP(VLOOKUP(D1688,'Species Codes'!B:I,8,0)+VLOOKUP(D1688,'Species Codes'!B:J,9,0)*(LN((E1688*2.54)))),IF(OR(D1688="PY",D1688="RC",D1688="WH",D1688="NF")=TRUE,VLOOKUP(D1688,'Species Codes'!B:I,8,0)+VLOOKUP(D1688,'Species Codes'!B:J,9,0)*((E1688*2.54)^2)*(I1688*0.3048),IF(OR(D1688="MD",D1688="BM",D1688="GA")=TRUE,((VLOOKUP(D1688,'Species Codes'!B:I,8,0)*(((((E1688*2.54)+VLOOKUP(D1688,'Species Codes'!B:J,9,0))/VLOOKUP(D1688,'Species Codes'!B:K,10,0))^VLOOKUP(D1688,'Species Codes'!B:L,11,0))*((I1688*0.3048)^VLOOKUP(D1688,'Species Codes'!B:M,12,0))))-(VLOOKUP(D1688,'Species Codes'!B:I,8,0)*((((E1688*2.54)^VLOOKUP(D1688,'Species Codes'!B:L,11,0))*((I1688*0.3048)^VLOOKUP(D1688,'Species Codes'!B:M,12,0))))))*35.3*VLOOKUP(D1688,'Species Codes'!B:G,6,0)/2.2046,VLOOKUP(D1688,'Species Codes'!B:I,8,0)+VLOOKUP(D1688,'Species Codes'!B:J,9,0)*(((E1688*2.54)/100)^2)*(I1688*0.3048)))))*0.0011023),0)</f>
        <v>#N/A</v>
      </c>
      <c r="AC1688" s="104" t="e">
        <f>IF(Z1688&gt;0,((IF(OR(D1688="RA",D1688="OA",D1688="OT",D1688="UN",D1688="PC"),EXP(VLOOKUP(D1688,'Species Codes'!B:O,14,0)+VLOOKUP(D1688,'Species Codes'!B:P,15,0)*LN((E1688*2.54)))-EXP(VLOOKUP(D1688,'Species Codes'!B:O,14,0)+VLOOKUP(D1688,'Species Codes'!B:P,15,0)*LN((E1688*2.54)))*(1/(VLOOKUP(D1688,'Species Codes'!B:Q,16,0)+VLOOKUP(D1688,'Species Codes'!B:R,17,0)*((E1688*2.54)^VLOOKUP(D1688,'Species Codes'!B:S,18,0)))),IF(OR(D1688="BM",D1688="MD",D1688="OA"),EXP(VLOOKUP(D1688,'Species Codes'!B:O,14,0)+VLOOKUP(D1688,'Species Codes'!B:P,15,0)*LN((E1688*2.54)))*(1-(1/(VLOOKUP(D1688,'Species Codes'!B:Q,16,0)+VLOOKUP(D1688,'Species Codes'!B:R,17,0)*((E1688*2.54)^VLOOKUP(D1688,'Species Codes'!B:S,18,0)))))/1000,IF(D1688="DF",EXP(VLOOKUP(D1688,'Species Codes'!B:O,14,0)+VLOOKUP(D1688,'Species Codes'!B:P,15,0)*LN((E1688*2.54))),VLOOKUP(D1688,'Species Codes'!B:O,14,0)+VLOOKUP(D1688,'Species Codes'!B:P,15,0)*(((E1688*2.54)/100)^2)*(I1688*0.3048)))))*0.0011023),0)</f>
        <v>#N/A</v>
      </c>
      <c r="AD1688" s="104" t="e">
        <f t="shared" si="733"/>
        <v>#N/A</v>
      </c>
      <c r="AE1688" s="104" t="e">
        <f t="shared" si="734"/>
        <v>#N/A</v>
      </c>
      <c r="AF1688" s="104" t="e">
        <f>IF(AND(VLOOKUP($D1688,Merchantability!$B:$C,2,0)="Yes",$E1688&gt;=VLOOKUP($D1688,Merchantability!$B:$D,3,0),$E1688&lt;=VLOOKUP($D1688,Merchantability!$B:$E,4,0)),AA1688,0)</f>
        <v>#N/A</v>
      </c>
      <c r="AG1688" s="104" t="e">
        <f>IF(AND(VLOOKUP($D1688,Merchantability!$B:$C,2,0)="Yes",$E1688&gt;=VLOOKUP($D1688,Merchantability!$B:$D,3,0),$E1688&lt;=VLOOKUP($D1688,Merchantability!$B:$E,4,0)),AB1688,0)</f>
        <v>#N/A</v>
      </c>
      <c r="AH1688" s="104" t="e">
        <f>IF(AND(VLOOKUP($D1688,Merchantability!$B:$C,2,0)="Yes",$E1688&gt;=VLOOKUP($D1688,Merchantability!$B:$D,3,0),$E1688&lt;=VLOOKUP($D1688,Merchantability!$B:$E,4,0)),AC1688,0)</f>
        <v>#N/A</v>
      </c>
      <c r="AI1688" s="104" t="e">
        <f t="shared" si="735"/>
        <v>#N/A</v>
      </c>
      <c r="AJ1688" s="104" t="e">
        <f t="shared" si="736"/>
        <v>#VALUE!</v>
      </c>
      <c r="AK1688" s="104" t="e">
        <f t="shared" si="737"/>
        <v>#N/A</v>
      </c>
      <c r="AL1688" s="104" t="e">
        <f t="shared" si="738"/>
        <v>#N/A</v>
      </c>
      <c r="AM1688" s="104" t="e">
        <f t="shared" si="739"/>
        <v>#N/A</v>
      </c>
      <c r="AN1688" s="104" t="e">
        <f t="shared" si="750"/>
        <v>#N/A</v>
      </c>
      <c r="AO1688" s="104" t="e">
        <f t="shared" si="751"/>
        <v>#N/A</v>
      </c>
      <c r="AP1688" s="104" t="e">
        <f t="shared" si="752"/>
        <v>#N/A</v>
      </c>
      <c r="AQ1688" s="104" t="e">
        <f t="shared" si="753"/>
        <v>#N/A</v>
      </c>
      <c r="AR1688" s="105" t="str">
        <f t="shared" si="745"/>
        <v/>
      </c>
      <c r="AS1688" s="105" t="str">
        <f t="shared" si="746"/>
        <v/>
      </c>
      <c r="AT1688" s="108" t="str">
        <f t="shared" si="747"/>
        <v/>
      </c>
      <c r="AU1688" s="108" t="str">
        <f t="shared" si="748"/>
        <v/>
      </c>
      <c r="AV1688" s="107" t="str">
        <f>IF(ISNUMBER(O1688),IF(VLOOKUP($A1688,Stand!C:J,8,FALSE)="Short",AT1688,AU1688),"")</f>
        <v/>
      </c>
      <c r="AW1688" s="109" t="str">
        <f t="shared" si="754"/>
        <v/>
      </c>
      <c r="AX1688" s="109" t="str">
        <f t="shared" si="755"/>
        <v/>
      </c>
      <c r="AY1688" s="112" t="str">
        <f>IF(ISNUMBER(O1688),IF(AND(VLOOKUP($D1688,Merchantability!$B:$C,2,0)="Yes",$E1688&gt;=VLOOKUP($D1688,Merchantability!$B:$D,3,0),$E1688&lt;=VLOOKUP($D1688,Merchantability!$B:$E,4,0)),(AV1688*O1688)*(1-$H1688/100),""),"")</f>
        <v/>
      </c>
      <c r="AZ1688" s="116"/>
      <c r="BA1688" s="116"/>
      <c r="BB1688" s="116"/>
      <c r="BE1688" s="62"/>
      <c r="BF1688" s="63"/>
    </row>
    <row r="1689" spans="1:58" ht="12.75" customHeight="1" x14ac:dyDescent="0.25">
      <c r="A1689" s="334"/>
      <c r="B1689" s="334"/>
      <c r="C1689" s="332"/>
      <c r="D1689" s="334"/>
      <c r="E1689" s="335"/>
      <c r="F1689" s="334"/>
      <c r="G1689" s="332"/>
      <c r="H1689" s="332"/>
      <c r="I1689" s="334"/>
      <c r="J1689" s="336"/>
      <c r="K1689" s="332"/>
      <c r="L1689" s="332"/>
      <c r="M1689" s="76"/>
      <c r="N1689" s="103" t="str">
        <f>IF(A1689="","",VLOOKUP(A1689,Stand!C:K,9,0))</f>
        <v/>
      </c>
      <c r="O1689" s="104" t="str">
        <f t="shared" si="740"/>
        <v/>
      </c>
      <c r="P1689" s="105" t="str">
        <f t="shared" si="741"/>
        <v/>
      </c>
      <c r="Q1689" s="105" t="str">
        <f t="shared" si="729"/>
        <v/>
      </c>
      <c r="R1689" s="103" t="str">
        <f t="shared" si="742"/>
        <v/>
      </c>
      <c r="S1689" s="103" t="str">
        <f t="shared" si="743"/>
        <v/>
      </c>
      <c r="T1689" s="106" t="str">
        <f t="shared" si="730"/>
        <v/>
      </c>
      <c r="U1689" s="106" t="str">
        <f t="shared" si="731"/>
        <v/>
      </c>
      <c r="V1689" s="106" t="str">
        <f t="shared" si="732"/>
        <v/>
      </c>
      <c r="W1689" s="105" t="str">
        <f t="shared" si="744"/>
        <v/>
      </c>
      <c r="X1689" s="104" t="str">
        <f t="shared" si="749"/>
        <v/>
      </c>
      <c r="Y1689" s="104" t="str">
        <f t="array" ref="Y1689">IFERROR(IF(ISNUMBER(O1689),IF(COUNT(IF(A1689=$A$2:$A$2427,IF(D1689=$D$2:$D$2427,IF($X$2:$X$2427&gt;0,1))))&gt;0,SUM(IF(A1689=$A$2:$A$2427,IF(D1689=$D$2:$D$2427,$X$2:$X$2427)))/COUNT(IF(A1689=$A$2:$A$2427,IF(D1689=$D$2:$D$2427,IF(ISNUMBER($X$2:$X$2427),1)))),0),""),0)</f>
        <v/>
      </c>
      <c r="Z1689" s="104" t="str">
        <f>IF(ISNUMBER(O1689),IF(I1689&gt;0,(10^(VLOOKUP(D1689,'Species Codes'!B:C,2,0)+VLOOKUP(D1689,'Species Codes'!B:D,3,0)*LOG(E1689)+VLOOKUP(D1689,'Species Codes'!B:E,4,0)*LOG(I1689))),0),"")</f>
        <v/>
      </c>
      <c r="AA1689" s="104" t="str">
        <f>IFERROR((VLOOKUP(D1689,'Species Codes'!B:G,6,0)*Z1689)/2000,"")</f>
        <v/>
      </c>
      <c r="AB1689" s="104" t="e">
        <f>IF(Z1689&gt;0,((IF(OR(D1689="DF",D1689="RA")=TRUE,EXP(VLOOKUP(D1689,'Species Codes'!B:I,8,0)+VLOOKUP(D1689,'Species Codes'!B:J,9,0)*(LN((E1689*2.54)))),IF(OR(D1689="PY",D1689="RC",D1689="WH",D1689="NF")=TRUE,VLOOKUP(D1689,'Species Codes'!B:I,8,0)+VLOOKUP(D1689,'Species Codes'!B:J,9,0)*((E1689*2.54)^2)*(I1689*0.3048),IF(OR(D1689="MD",D1689="BM",D1689="GA")=TRUE,((VLOOKUP(D1689,'Species Codes'!B:I,8,0)*(((((E1689*2.54)+VLOOKUP(D1689,'Species Codes'!B:J,9,0))/VLOOKUP(D1689,'Species Codes'!B:K,10,0))^VLOOKUP(D1689,'Species Codes'!B:L,11,0))*((I1689*0.3048)^VLOOKUP(D1689,'Species Codes'!B:M,12,0))))-(VLOOKUP(D1689,'Species Codes'!B:I,8,0)*((((E1689*2.54)^VLOOKUP(D1689,'Species Codes'!B:L,11,0))*((I1689*0.3048)^VLOOKUP(D1689,'Species Codes'!B:M,12,0))))))*35.3*VLOOKUP(D1689,'Species Codes'!B:G,6,0)/2.2046,VLOOKUP(D1689,'Species Codes'!B:I,8,0)+VLOOKUP(D1689,'Species Codes'!B:J,9,0)*(((E1689*2.54)/100)^2)*(I1689*0.3048)))))*0.0011023),0)</f>
        <v>#N/A</v>
      </c>
      <c r="AC1689" s="104" t="e">
        <f>IF(Z1689&gt;0,((IF(OR(D1689="RA",D1689="OA",D1689="OT",D1689="UN",D1689="PC"),EXP(VLOOKUP(D1689,'Species Codes'!B:O,14,0)+VLOOKUP(D1689,'Species Codes'!B:P,15,0)*LN((E1689*2.54)))-EXP(VLOOKUP(D1689,'Species Codes'!B:O,14,0)+VLOOKUP(D1689,'Species Codes'!B:P,15,0)*LN((E1689*2.54)))*(1/(VLOOKUP(D1689,'Species Codes'!B:Q,16,0)+VLOOKUP(D1689,'Species Codes'!B:R,17,0)*((E1689*2.54)^VLOOKUP(D1689,'Species Codes'!B:S,18,0)))),IF(OR(D1689="BM",D1689="MD",D1689="OA"),EXP(VLOOKUP(D1689,'Species Codes'!B:O,14,0)+VLOOKUP(D1689,'Species Codes'!B:P,15,0)*LN((E1689*2.54)))*(1-(1/(VLOOKUP(D1689,'Species Codes'!B:Q,16,0)+VLOOKUP(D1689,'Species Codes'!B:R,17,0)*((E1689*2.54)^VLOOKUP(D1689,'Species Codes'!B:S,18,0)))))/1000,IF(D1689="DF",EXP(VLOOKUP(D1689,'Species Codes'!B:O,14,0)+VLOOKUP(D1689,'Species Codes'!B:P,15,0)*LN((E1689*2.54))),VLOOKUP(D1689,'Species Codes'!B:O,14,0)+VLOOKUP(D1689,'Species Codes'!B:P,15,0)*(((E1689*2.54)/100)^2)*(I1689*0.3048)))))*0.0011023),0)</f>
        <v>#N/A</v>
      </c>
      <c r="AD1689" s="104" t="e">
        <f t="shared" si="733"/>
        <v>#N/A</v>
      </c>
      <c r="AE1689" s="104" t="e">
        <f t="shared" si="734"/>
        <v>#N/A</v>
      </c>
      <c r="AF1689" s="104" t="e">
        <f>IF(AND(VLOOKUP($D1689,Merchantability!$B:$C,2,0)="Yes",$E1689&gt;=VLOOKUP($D1689,Merchantability!$B:$D,3,0),$E1689&lt;=VLOOKUP($D1689,Merchantability!$B:$E,4,0)),AA1689,0)</f>
        <v>#N/A</v>
      </c>
      <c r="AG1689" s="104" t="e">
        <f>IF(AND(VLOOKUP($D1689,Merchantability!$B:$C,2,0)="Yes",$E1689&gt;=VLOOKUP($D1689,Merchantability!$B:$D,3,0),$E1689&lt;=VLOOKUP($D1689,Merchantability!$B:$E,4,0)),AB1689,0)</f>
        <v>#N/A</v>
      </c>
      <c r="AH1689" s="104" t="e">
        <f>IF(AND(VLOOKUP($D1689,Merchantability!$B:$C,2,0)="Yes",$E1689&gt;=VLOOKUP($D1689,Merchantability!$B:$D,3,0),$E1689&lt;=VLOOKUP($D1689,Merchantability!$B:$E,4,0)),AC1689,0)</f>
        <v>#N/A</v>
      </c>
      <c r="AI1689" s="104" t="e">
        <f t="shared" si="735"/>
        <v>#N/A</v>
      </c>
      <c r="AJ1689" s="104" t="e">
        <f t="shared" si="736"/>
        <v>#VALUE!</v>
      </c>
      <c r="AK1689" s="104" t="e">
        <f t="shared" si="737"/>
        <v>#N/A</v>
      </c>
      <c r="AL1689" s="104" t="e">
        <f t="shared" si="738"/>
        <v>#N/A</v>
      </c>
      <c r="AM1689" s="104" t="e">
        <f t="shared" si="739"/>
        <v>#N/A</v>
      </c>
      <c r="AN1689" s="104" t="e">
        <f t="shared" si="750"/>
        <v>#N/A</v>
      </c>
      <c r="AO1689" s="104" t="e">
        <f t="shared" si="751"/>
        <v>#N/A</v>
      </c>
      <c r="AP1689" s="104" t="e">
        <f t="shared" si="752"/>
        <v>#N/A</v>
      </c>
      <c r="AQ1689" s="104" t="e">
        <f t="shared" si="753"/>
        <v>#N/A</v>
      </c>
      <c r="AR1689" s="105" t="str">
        <f t="shared" si="745"/>
        <v/>
      </c>
      <c r="AS1689" s="105" t="str">
        <f t="shared" si="746"/>
        <v/>
      </c>
      <c r="AT1689" s="108" t="str">
        <f t="shared" si="747"/>
        <v/>
      </c>
      <c r="AU1689" s="108" t="str">
        <f t="shared" si="748"/>
        <v/>
      </c>
      <c r="AV1689" s="107" t="str">
        <f>IF(ISNUMBER(O1689),IF(VLOOKUP($A1689,Stand!C:J,8,FALSE)="Short",AT1689,AU1689),"")</f>
        <v/>
      </c>
      <c r="AW1689" s="109" t="str">
        <f t="shared" si="754"/>
        <v/>
      </c>
      <c r="AX1689" s="109" t="str">
        <f t="shared" si="755"/>
        <v/>
      </c>
      <c r="AY1689" s="112" t="str">
        <f>IF(ISNUMBER(O1689),IF(AND(VLOOKUP($D1689,Merchantability!$B:$C,2,0)="Yes",$E1689&gt;=VLOOKUP($D1689,Merchantability!$B:$D,3,0),$E1689&lt;=VLOOKUP($D1689,Merchantability!$B:$E,4,0)),(AV1689*O1689)*(1-$H1689/100),""),"")</f>
        <v/>
      </c>
      <c r="AZ1689" s="116"/>
      <c r="BA1689" s="116"/>
      <c r="BB1689" s="116"/>
      <c r="BE1689" s="62"/>
      <c r="BF1689" s="63"/>
    </row>
    <row r="1690" spans="1:58" ht="12.75" customHeight="1" x14ac:dyDescent="0.25">
      <c r="A1690" s="334"/>
      <c r="B1690" s="334"/>
      <c r="C1690" s="332"/>
      <c r="D1690" s="334"/>
      <c r="E1690" s="335"/>
      <c r="F1690" s="334"/>
      <c r="G1690" s="332"/>
      <c r="H1690" s="332"/>
      <c r="I1690" s="334"/>
      <c r="J1690" s="336"/>
      <c r="K1690" s="332"/>
      <c r="L1690" s="332"/>
      <c r="M1690" s="76"/>
      <c r="N1690" s="103" t="str">
        <f>IF(A1690="","",VLOOKUP(A1690,Stand!C:K,9,0))</f>
        <v/>
      </c>
      <c r="O1690" s="104" t="str">
        <f t="shared" si="740"/>
        <v/>
      </c>
      <c r="P1690" s="105" t="str">
        <f t="shared" si="741"/>
        <v/>
      </c>
      <c r="Q1690" s="105" t="str">
        <f t="shared" si="729"/>
        <v/>
      </c>
      <c r="R1690" s="103" t="str">
        <f t="shared" si="742"/>
        <v/>
      </c>
      <c r="S1690" s="103" t="str">
        <f t="shared" si="743"/>
        <v/>
      </c>
      <c r="T1690" s="106" t="str">
        <f t="shared" si="730"/>
        <v/>
      </c>
      <c r="U1690" s="106" t="str">
        <f t="shared" si="731"/>
        <v/>
      </c>
      <c r="V1690" s="106" t="str">
        <f t="shared" si="732"/>
        <v/>
      </c>
      <c r="W1690" s="105" t="str">
        <f t="shared" si="744"/>
        <v/>
      </c>
      <c r="X1690" s="104" t="str">
        <f t="shared" si="749"/>
        <v/>
      </c>
      <c r="Y1690" s="104" t="str">
        <f t="array" ref="Y1690">IFERROR(IF(ISNUMBER(O1690),IF(COUNT(IF(A1690=$A$2:$A$2427,IF(D1690=$D$2:$D$2427,IF($X$2:$X$2427&gt;0,1))))&gt;0,SUM(IF(A1690=$A$2:$A$2427,IF(D1690=$D$2:$D$2427,$X$2:$X$2427)))/COUNT(IF(A1690=$A$2:$A$2427,IF(D1690=$D$2:$D$2427,IF(ISNUMBER($X$2:$X$2427),1)))),0),""),0)</f>
        <v/>
      </c>
      <c r="Z1690" s="104" t="str">
        <f>IF(ISNUMBER(O1690),IF(I1690&gt;0,(10^(VLOOKUP(D1690,'Species Codes'!B:C,2,0)+VLOOKUP(D1690,'Species Codes'!B:D,3,0)*LOG(E1690)+VLOOKUP(D1690,'Species Codes'!B:E,4,0)*LOG(I1690))),0),"")</f>
        <v/>
      </c>
      <c r="AA1690" s="104" t="str">
        <f>IFERROR((VLOOKUP(D1690,'Species Codes'!B:G,6,0)*Z1690)/2000,"")</f>
        <v/>
      </c>
      <c r="AB1690" s="104" t="e">
        <f>IF(Z1690&gt;0,((IF(OR(D1690="DF",D1690="RA")=TRUE,EXP(VLOOKUP(D1690,'Species Codes'!B:I,8,0)+VLOOKUP(D1690,'Species Codes'!B:J,9,0)*(LN((E1690*2.54)))),IF(OR(D1690="PY",D1690="RC",D1690="WH",D1690="NF")=TRUE,VLOOKUP(D1690,'Species Codes'!B:I,8,0)+VLOOKUP(D1690,'Species Codes'!B:J,9,0)*((E1690*2.54)^2)*(I1690*0.3048),IF(OR(D1690="MD",D1690="BM",D1690="GA")=TRUE,((VLOOKUP(D1690,'Species Codes'!B:I,8,0)*(((((E1690*2.54)+VLOOKUP(D1690,'Species Codes'!B:J,9,0))/VLOOKUP(D1690,'Species Codes'!B:K,10,0))^VLOOKUP(D1690,'Species Codes'!B:L,11,0))*((I1690*0.3048)^VLOOKUP(D1690,'Species Codes'!B:M,12,0))))-(VLOOKUP(D1690,'Species Codes'!B:I,8,0)*((((E1690*2.54)^VLOOKUP(D1690,'Species Codes'!B:L,11,0))*((I1690*0.3048)^VLOOKUP(D1690,'Species Codes'!B:M,12,0))))))*35.3*VLOOKUP(D1690,'Species Codes'!B:G,6,0)/2.2046,VLOOKUP(D1690,'Species Codes'!B:I,8,0)+VLOOKUP(D1690,'Species Codes'!B:J,9,0)*(((E1690*2.54)/100)^2)*(I1690*0.3048)))))*0.0011023),0)</f>
        <v>#N/A</v>
      </c>
      <c r="AC1690" s="104" t="e">
        <f>IF(Z1690&gt;0,((IF(OR(D1690="RA",D1690="OA",D1690="OT",D1690="UN",D1690="PC"),EXP(VLOOKUP(D1690,'Species Codes'!B:O,14,0)+VLOOKUP(D1690,'Species Codes'!B:P,15,0)*LN((E1690*2.54)))-EXP(VLOOKUP(D1690,'Species Codes'!B:O,14,0)+VLOOKUP(D1690,'Species Codes'!B:P,15,0)*LN((E1690*2.54)))*(1/(VLOOKUP(D1690,'Species Codes'!B:Q,16,0)+VLOOKUP(D1690,'Species Codes'!B:R,17,0)*((E1690*2.54)^VLOOKUP(D1690,'Species Codes'!B:S,18,0)))),IF(OR(D1690="BM",D1690="MD",D1690="OA"),EXP(VLOOKUP(D1690,'Species Codes'!B:O,14,0)+VLOOKUP(D1690,'Species Codes'!B:P,15,0)*LN((E1690*2.54)))*(1-(1/(VLOOKUP(D1690,'Species Codes'!B:Q,16,0)+VLOOKUP(D1690,'Species Codes'!B:R,17,0)*((E1690*2.54)^VLOOKUP(D1690,'Species Codes'!B:S,18,0)))))/1000,IF(D1690="DF",EXP(VLOOKUP(D1690,'Species Codes'!B:O,14,0)+VLOOKUP(D1690,'Species Codes'!B:P,15,0)*LN((E1690*2.54))),VLOOKUP(D1690,'Species Codes'!B:O,14,0)+VLOOKUP(D1690,'Species Codes'!B:P,15,0)*(((E1690*2.54)/100)^2)*(I1690*0.3048)))))*0.0011023),0)</f>
        <v>#N/A</v>
      </c>
      <c r="AD1690" s="104" t="e">
        <f t="shared" si="733"/>
        <v>#N/A</v>
      </c>
      <c r="AE1690" s="104" t="e">
        <f t="shared" si="734"/>
        <v>#N/A</v>
      </c>
      <c r="AF1690" s="104" t="e">
        <f>IF(AND(VLOOKUP($D1690,Merchantability!$B:$C,2,0)="Yes",$E1690&gt;=VLOOKUP($D1690,Merchantability!$B:$D,3,0),$E1690&lt;=VLOOKUP($D1690,Merchantability!$B:$E,4,0)),AA1690,0)</f>
        <v>#N/A</v>
      </c>
      <c r="AG1690" s="104" t="e">
        <f>IF(AND(VLOOKUP($D1690,Merchantability!$B:$C,2,0)="Yes",$E1690&gt;=VLOOKUP($D1690,Merchantability!$B:$D,3,0),$E1690&lt;=VLOOKUP($D1690,Merchantability!$B:$E,4,0)),AB1690,0)</f>
        <v>#N/A</v>
      </c>
      <c r="AH1690" s="104" t="e">
        <f>IF(AND(VLOOKUP($D1690,Merchantability!$B:$C,2,0)="Yes",$E1690&gt;=VLOOKUP($D1690,Merchantability!$B:$D,3,0),$E1690&lt;=VLOOKUP($D1690,Merchantability!$B:$E,4,0)),AC1690,0)</f>
        <v>#N/A</v>
      </c>
      <c r="AI1690" s="104" t="e">
        <f t="shared" si="735"/>
        <v>#N/A</v>
      </c>
      <c r="AJ1690" s="104" t="e">
        <f t="shared" si="736"/>
        <v>#VALUE!</v>
      </c>
      <c r="AK1690" s="104" t="e">
        <f t="shared" si="737"/>
        <v>#N/A</v>
      </c>
      <c r="AL1690" s="104" t="e">
        <f t="shared" si="738"/>
        <v>#N/A</v>
      </c>
      <c r="AM1690" s="104" t="e">
        <f t="shared" si="739"/>
        <v>#N/A</v>
      </c>
      <c r="AN1690" s="104" t="e">
        <f t="shared" si="750"/>
        <v>#N/A</v>
      </c>
      <c r="AO1690" s="104" t="e">
        <f t="shared" si="751"/>
        <v>#N/A</v>
      </c>
      <c r="AP1690" s="104" t="e">
        <f t="shared" si="752"/>
        <v>#N/A</v>
      </c>
      <c r="AQ1690" s="104" t="e">
        <f t="shared" si="753"/>
        <v>#N/A</v>
      </c>
      <c r="AR1690" s="105" t="str">
        <f t="shared" si="745"/>
        <v/>
      </c>
      <c r="AS1690" s="105" t="str">
        <f t="shared" si="746"/>
        <v/>
      </c>
      <c r="AT1690" s="108" t="str">
        <f t="shared" si="747"/>
        <v/>
      </c>
      <c r="AU1690" s="108" t="str">
        <f t="shared" si="748"/>
        <v/>
      </c>
      <c r="AV1690" s="107" t="str">
        <f>IF(ISNUMBER(O1690),IF(VLOOKUP($A1690,Stand!C:J,8,FALSE)="Short",AT1690,AU1690),"")</f>
        <v/>
      </c>
      <c r="AW1690" s="109" t="str">
        <f t="shared" si="754"/>
        <v/>
      </c>
      <c r="AX1690" s="109" t="str">
        <f t="shared" si="755"/>
        <v/>
      </c>
      <c r="AY1690" s="112" t="str">
        <f>IF(ISNUMBER(O1690),IF(AND(VLOOKUP($D1690,Merchantability!$B:$C,2,0)="Yes",$E1690&gt;=VLOOKUP($D1690,Merchantability!$B:$D,3,0),$E1690&lt;=VLOOKUP($D1690,Merchantability!$B:$E,4,0)),(AV1690*O1690)*(1-$H1690/100),""),"")</f>
        <v/>
      </c>
      <c r="AZ1690" s="116"/>
      <c r="BA1690" s="116"/>
      <c r="BB1690" s="116"/>
      <c r="BE1690" s="62"/>
      <c r="BF1690" s="63"/>
    </row>
    <row r="1691" spans="1:58" ht="12.75" customHeight="1" x14ac:dyDescent="0.25">
      <c r="A1691" s="334"/>
      <c r="B1691" s="334"/>
      <c r="C1691" s="332"/>
      <c r="D1691" s="334"/>
      <c r="E1691" s="335"/>
      <c r="F1691" s="334"/>
      <c r="G1691" s="332"/>
      <c r="H1691" s="332"/>
      <c r="I1691" s="334"/>
      <c r="J1691" s="336"/>
      <c r="K1691" s="332"/>
      <c r="L1691" s="332"/>
      <c r="M1691" s="76"/>
      <c r="N1691" s="103" t="str">
        <f>IF(A1691="","",VLOOKUP(A1691,Stand!C:K,9,0))</f>
        <v/>
      </c>
      <c r="O1691" s="104" t="str">
        <f t="shared" si="740"/>
        <v/>
      </c>
      <c r="P1691" s="105" t="str">
        <f t="shared" si="741"/>
        <v/>
      </c>
      <c r="Q1691" s="105" t="str">
        <f t="shared" si="729"/>
        <v/>
      </c>
      <c r="R1691" s="103" t="str">
        <f t="shared" si="742"/>
        <v/>
      </c>
      <c r="S1691" s="103" t="str">
        <f t="shared" si="743"/>
        <v/>
      </c>
      <c r="T1691" s="106" t="str">
        <f t="shared" si="730"/>
        <v/>
      </c>
      <c r="U1691" s="106" t="str">
        <f t="shared" si="731"/>
        <v/>
      </c>
      <c r="V1691" s="106" t="str">
        <f t="shared" si="732"/>
        <v/>
      </c>
      <c r="W1691" s="105" t="str">
        <f t="shared" si="744"/>
        <v/>
      </c>
      <c r="X1691" s="104" t="str">
        <f t="shared" si="749"/>
        <v/>
      </c>
      <c r="Y1691" s="104" t="str">
        <f t="array" ref="Y1691">IFERROR(IF(ISNUMBER(O1691),IF(COUNT(IF(A1691=$A$2:$A$2427,IF(D1691=$D$2:$D$2427,IF($X$2:$X$2427&gt;0,1))))&gt;0,SUM(IF(A1691=$A$2:$A$2427,IF(D1691=$D$2:$D$2427,$X$2:$X$2427)))/COUNT(IF(A1691=$A$2:$A$2427,IF(D1691=$D$2:$D$2427,IF(ISNUMBER($X$2:$X$2427),1)))),0),""),0)</f>
        <v/>
      </c>
      <c r="Z1691" s="104" t="str">
        <f>IF(ISNUMBER(O1691),IF(I1691&gt;0,(10^(VLOOKUP(D1691,'Species Codes'!B:C,2,0)+VLOOKUP(D1691,'Species Codes'!B:D,3,0)*LOG(E1691)+VLOOKUP(D1691,'Species Codes'!B:E,4,0)*LOG(I1691))),0),"")</f>
        <v/>
      </c>
      <c r="AA1691" s="104" t="str">
        <f>IFERROR((VLOOKUP(D1691,'Species Codes'!B:G,6,0)*Z1691)/2000,"")</f>
        <v/>
      </c>
      <c r="AB1691" s="104" t="e">
        <f>IF(Z1691&gt;0,((IF(OR(D1691="DF",D1691="RA")=TRUE,EXP(VLOOKUP(D1691,'Species Codes'!B:I,8,0)+VLOOKUP(D1691,'Species Codes'!B:J,9,0)*(LN((E1691*2.54)))),IF(OR(D1691="PY",D1691="RC",D1691="WH",D1691="NF")=TRUE,VLOOKUP(D1691,'Species Codes'!B:I,8,0)+VLOOKUP(D1691,'Species Codes'!B:J,9,0)*((E1691*2.54)^2)*(I1691*0.3048),IF(OR(D1691="MD",D1691="BM",D1691="GA")=TRUE,((VLOOKUP(D1691,'Species Codes'!B:I,8,0)*(((((E1691*2.54)+VLOOKUP(D1691,'Species Codes'!B:J,9,0))/VLOOKUP(D1691,'Species Codes'!B:K,10,0))^VLOOKUP(D1691,'Species Codes'!B:L,11,0))*((I1691*0.3048)^VLOOKUP(D1691,'Species Codes'!B:M,12,0))))-(VLOOKUP(D1691,'Species Codes'!B:I,8,0)*((((E1691*2.54)^VLOOKUP(D1691,'Species Codes'!B:L,11,0))*((I1691*0.3048)^VLOOKUP(D1691,'Species Codes'!B:M,12,0))))))*35.3*VLOOKUP(D1691,'Species Codes'!B:G,6,0)/2.2046,VLOOKUP(D1691,'Species Codes'!B:I,8,0)+VLOOKUP(D1691,'Species Codes'!B:J,9,0)*(((E1691*2.54)/100)^2)*(I1691*0.3048)))))*0.0011023),0)</f>
        <v>#N/A</v>
      </c>
      <c r="AC1691" s="104" t="e">
        <f>IF(Z1691&gt;0,((IF(OR(D1691="RA",D1691="OA",D1691="OT",D1691="UN",D1691="PC"),EXP(VLOOKUP(D1691,'Species Codes'!B:O,14,0)+VLOOKUP(D1691,'Species Codes'!B:P,15,0)*LN((E1691*2.54)))-EXP(VLOOKUP(D1691,'Species Codes'!B:O,14,0)+VLOOKUP(D1691,'Species Codes'!B:P,15,0)*LN((E1691*2.54)))*(1/(VLOOKUP(D1691,'Species Codes'!B:Q,16,0)+VLOOKUP(D1691,'Species Codes'!B:R,17,0)*((E1691*2.54)^VLOOKUP(D1691,'Species Codes'!B:S,18,0)))),IF(OR(D1691="BM",D1691="MD",D1691="OA"),EXP(VLOOKUP(D1691,'Species Codes'!B:O,14,0)+VLOOKUP(D1691,'Species Codes'!B:P,15,0)*LN((E1691*2.54)))*(1-(1/(VLOOKUP(D1691,'Species Codes'!B:Q,16,0)+VLOOKUP(D1691,'Species Codes'!B:R,17,0)*((E1691*2.54)^VLOOKUP(D1691,'Species Codes'!B:S,18,0)))))/1000,IF(D1691="DF",EXP(VLOOKUP(D1691,'Species Codes'!B:O,14,0)+VLOOKUP(D1691,'Species Codes'!B:P,15,0)*LN((E1691*2.54))),VLOOKUP(D1691,'Species Codes'!B:O,14,0)+VLOOKUP(D1691,'Species Codes'!B:P,15,0)*(((E1691*2.54)/100)^2)*(I1691*0.3048)))))*0.0011023),0)</f>
        <v>#N/A</v>
      </c>
      <c r="AD1691" s="104" t="e">
        <f t="shared" si="733"/>
        <v>#N/A</v>
      </c>
      <c r="AE1691" s="104" t="e">
        <f t="shared" si="734"/>
        <v>#N/A</v>
      </c>
      <c r="AF1691" s="104" t="e">
        <f>IF(AND(VLOOKUP($D1691,Merchantability!$B:$C,2,0)="Yes",$E1691&gt;=VLOOKUP($D1691,Merchantability!$B:$D,3,0),$E1691&lt;=VLOOKUP($D1691,Merchantability!$B:$E,4,0)),AA1691,0)</f>
        <v>#N/A</v>
      </c>
      <c r="AG1691" s="104" t="e">
        <f>IF(AND(VLOOKUP($D1691,Merchantability!$B:$C,2,0)="Yes",$E1691&gt;=VLOOKUP($D1691,Merchantability!$B:$D,3,0),$E1691&lt;=VLOOKUP($D1691,Merchantability!$B:$E,4,0)),AB1691,0)</f>
        <v>#N/A</v>
      </c>
      <c r="AH1691" s="104" t="e">
        <f>IF(AND(VLOOKUP($D1691,Merchantability!$B:$C,2,0)="Yes",$E1691&gt;=VLOOKUP($D1691,Merchantability!$B:$D,3,0),$E1691&lt;=VLOOKUP($D1691,Merchantability!$B:$E,4,0)),AC1691,0)</f>
        <v>#N/A</v>
      </c>
      <c r="AI1691" s="104" t="e">
        <f t="shared" si="735"/>
        <v>#N/A</v>
      </c>
      <c r="AJ1691" s="104" t="e">
        <f t="shared" si="736"/>
        <v>#VALUE!</v>
      </c>
      <c r="AK1691" s="104" t="e">
        <f t="shared" si="737"/>
        <v>#N/A</v>
      </c>
      <c r="AL1691" s="104" t="e">
        <f t="shared" si="738"/>
        <v>#N/A</v>
      </c>
      <c r="AM1691" s="104" t="e">
        <f t="shared" si="739"/>
        <v>#N/A</v>
      </c>
      <c r="AN1691" s="104" t="e">
        <f t="shared" si="750"/>
        <v>#N/A</v>
      </c>
      <c r="AO1691" s="104" t="e">
        <f t="shared" si="751"/>
        <v>#N/A</v>
      </c>
      <c r="AP1691" s="104" t="e">
        <f t="shared" si="752"/>
        <v>#N/A</v>
      </c>
      <c r="AQ1691" s="104" t="e">
        <f t="shared" si="753"/>
        <v>#N/A</v>
      </c>
      <c r="AR1691" s="105" t="str">
        <f t="shared" si="745"/>
        <v/>
      </c>
      <c r="AS1691" s="105" t="str">
        <f t="shared" si="746"/>
        <v/>
      </c>
      <c r="AT1691" s="108" t="str">
        <f t="shared" si="747"/>
        <v/>
      </c>
      <c r="AU1691" s="108" t="str">
        <f t="shared" si="748"/>
        <v/>
      </c>
      <c r="AV1691" s="107" t="str">
        <f>IF(ISNUMBER(O1691),IF(VLOOKUP($A1691,Stand!C:J,8,FALSE)="Short",AT1691,AU1691),"")</f>
        <v/>
      </c>
      <c r="AW1691" s="109" t="str">
        <f t="shared" si="754"/>
        <v/>
      </c>
      <c r="AX1691" s="109" t="str">
        <f t="shared" si="755"/>
        <v/>
      </c>
      <c r="AY1691" s="112" t="str">
        <f>IF(ISNUMBER(O1691),IF(AND(VLOOKUP($D1691,Merchantability!$B:$C,2,0)="Yes",$E1691&gt;=VLOOKUP($D1691,Merchantability!$B:$D,3,0),$E1691&lt;=VLOOKUP($D1691,Merchantability!$B:$E,4,0)),(AV1691*O1691)*(1-$H1691/100),""),"")</f>
        <v/>
      </c>
      <c r="AZ1691" s="116"/>
      <c r="BA1691" s="116"/>
      <c r="BB1691" s="116"/>
      <c r="BE1691" s="62"/>
      <c r="BF1691" s="63"/>
    </row>
    <row r="1692" spans="1:58" ht="12.75" customHeight="1" x14ac:dyDescent="0.25">
      <c r="A1692" s="334"/>
      <c r="B1692" s="334"/>
      <c r="C1692" s="332"/>
      <c r="D1692" s="334"/>
      <c r="E1692" s="335"/>
      <c r="F1692" s="334"/>
      <c r="G1692" s="332"/>
      <c r="H1692" s="332"/>
      <c r="I1692" s="334"/>
      <c r="J1692" s="336"/>
      <c r="K1692" s="332"/>
      <c r="L1692" s="332"/>
      <c r="M1692" s="76"/>
      <c r="N1692" s="103" t="str">
        <f>IF(A1692="","",VLOOKUP(A1692,Stand!C:K,9,0))</f>
        <v/>
      </c>
      <c r="O1692" s="104" t="str">
        <f t="shared" si="740"/>
        <v/>
      </c>
      <c r="P1692" s="105" t="str">
        <f t="shared" si="741"/>
        <v/>
      </c>
      <c r="Q1692" s="105" t="str">
        <f t="shared" si="729"/>
        <v/>
      </c>
      <c r="R1692" s="103" t="str">
        <f t="shared" si="742"/>
        <v/>
      </c>
      <c r="S1692" s="103" t="str">
        <f t="shared" si="743"/>
        <v/>
      </c>
      <c r="T1692" s="106" t="str">
        <f t="shared" si="730"/>
        <v/>
      </c>
      <c r="U1692" s="106" t="str">
        <f t="shared" si="731"/>
        <v/>
      </c>
      <c r="V1692" s="106" t="str">
        <f t="shared" si="732"/>
        <v/>
      </c>
      <c r="W1692" s="105" t="str">
        <f t="shared" si="744"/>
        <v/>
      </c>
      <c r="X1692" s="104" t="str">
        <f t="shared" si="749"/>
        <v/>
      </c>
      <c r="Y1692" s="104" t="str">
        <f t="array" ref="Y1692">IFERROR(IF(ISNUMBER(O1692),IF(COUNT(IF(A1692=$A$2:$A$2427,IF(D1692=$D$2:$D$2427,IF($X$2:$X$2427&gt;0,1))))&gt;0,SUM(IF(A1692=$A$2:$A$2427,IF(D1692=$D$2:$D$2427,$X$2:$X$2427)))/COUNT(IF(A1692=$A$2:$A$2427,IF(D1692=$D$2:$D$2427,IF(ISNUMBER($X$2:$X$2427),1)))),0),""),0)</f>
        <v/>
      </c>
      <c r="Z1692" s="104" t="str">
        <f>IF(ISNUMBER(O1692),IF(I1692&gt;0,(10^(VLOOKUP(D1692,'Species Codes'!B:C,2,0)+VLOOKUP(D1692,'Species Codes'!B:D,3,0)*LOG(E1692)+VLOOKUP(D1692,'Species Codes'!B:E,4,0)*LOG(I1692))),0),"")</f>
        <v/>
      </c>
      <c r="AA1692" s="104" t="str">
        <f>IFERROR((VLOOKUP(D1692,'Species Codes'!B:G,6,0)*Z1692)/2000,"")</f>
        <v/>
      </c>
      <c r="AB1692" s="104" t="e">
        <f>IF(Z1692&gt;0,((IF(OR(D1692="DF",D1692="RA")=TRUE,EXP(VLOOKUP(D1692,'Species Codes'!B:I,8,0)+VLOOKUP(D1692,'Species Codes'!B:J,9,0)*(LN((E1692*2.54)))),IF(OR(D1692="PY",D1692="RC",D1692="WH",D1692="NF")=TRUE,VLOOKUP(D1692,'Species Codes'!B:I,8,0)+VLOOKUP(D1692,'Species Codes'!B:J,9,0)*((E1692*2.54)^2)*(I1692*0.3048),IF(OR(D1692="MD",D1692="BM",D1692="GA")=TRUE,((VLOOKUP(D1692,'Species Codes'!B:I,8,0)*(((((E1692*2.54)+VLOOKUP(D1692,'Species Codes'!B:J,9,0))/VLOOKUP(D1692,'Species Codes'!B:K,10,0))^VLOOKUP(D1692,'Species Codes'!B:L,11,0))*((I1692*0.3048)^VLOOKUP(D1692,'Species Codes'!B:M,12,0))))-(VLOOKUP(D1692,'Species Codes'!B:I,8,0)*((((E1692*2.54)^VLOOKUP(D1692,'Species Codes'!B:L,11,0))*((I1692*0.3048)^VLOOKUP(D1692,'Species Codes'!B:M,12,0))))))*35.3*VLOOKUP(D1692,'Species Codes'!B:G,6,0)/2.2046,VLOOKUP(D1692,'Species Codes'!B:I,8,0)+VLOOKUP(D1692,'Species Codes'!B:J,9,0)*(((E1692*2.54)/100)^2)*(I1692*0.3048)))))*0.0011023),0)</f>
        <v>#N/A</v>
      </c>
      <c r="AC1692" s="104" t="e">
        <f>IF(Z1692&gt;0,((IF(OR(D1692="RA",D1692="OA",D1692="OT",D1692="UN",D1692="PC"),EXP(VLOOKUP(D1692,'Species Codes'!B:O,14,0)+VLOOKUP(D1692,'Species Codes'!B:P,15,0)*LN((E1692*2.54)))-EXP(VLOOKUP(D1692,'Species Codes'!B:O,14,0)+VLOOKUP(D1692,'Species Codes'!B:P,15,0)*LN((E1692*2.54)))*(1/(VLOOKUP(D1692,'Species Codes'!B:Q,16,0)+VLOOKUP(D1692,'Species Codes'!B:R,17,0)*((E1692*2.54)^VLOOKUP(D1692,'Species Codes'!B:S,18,0)))),IF(OR(D1692="BM",D1692="MD",D1692="OA"),EXP(VLOOKUP(D1692,'Species Codes'!B:O,14,0)+VLOOKUP(D1692,'Species Codes'!B:P,15,0)*LN((E1692*2.54)))*(1-(1/(VLOOKUP(D1692,'Species Codes'!B:Q,16,0)+VLOOKUP(D1692,'Species Codes'!B:R,17,0)*((E1692*2.54)^VLOOKUP(D1692,'Species Codes'!B:S,18,0)))))/1000,IF(D1692="DF",EXP(VLOOKUP(D1692,'Species Codes'!B:O,14,0)+VLOOKUP(D1692,'Species Codes'!B:P,15,0)*LN((E1692*2.54))),VLOOKUP(D1692,'Species Codes'!B:O,14,0)+VLOOKUP(D1692,'Species Codes'!B:P,15,0)*(((E1692*2.54)/100)^2)*(I1692*0.3048)))))*0.0011023),0)</f>
        <v>#N/A</v>
      </c>
      <c r="AD1692" s="104" t="e">
        <f t="shared" si="733"/>
        <v>#N/A</v>
      </c>
      <c r="AE1692" s="104" t="e">
        <f t="shared" si="734"/>
        <v>#N/A</v>
      </c>
      <c r="AF1692" s="104" t="e">
        <f>IF(AND(VLOOKUP($D1692,Merchantability!$B:$C,2,0)="Yes",$E1692&gt;=VLOOKUP($D1692,Merchantability!$B:$D,3,0),$E1692&lt;=VLOOKUP($D1692,Merchantability!$B:$E,4,0)),AA1692,0)</f>
        <v>#N/A</v>
      </c>
      <c r="AG1692" s="104" t="e">
        <f>IF(AND(VLOOKUP($D1692,Merchantability!$B:$C,2,0)="Yes",$E1692&gt;=VLOOKUP($D1692,Merchantability!$B:$D,3,0),$E1692&lt;=VLOOKUP($D1692,Merchantability!$B:$E,4,0)),AB1692,0)</f>
        <v>#N/A</v>
      </c>
      <c r="AH1692" s="104" t="e">
        <f>IF(AND(VLOOKUP($D1692,Merchantability!$B:$C,2,0)="Yes",$E1692&gt;=VLOOKUP($D1692,Merchantability!$B:$D,3,0),$E1692&lt;=VLOOKUP($D1692,Merchantability!$B:$E,4,0)),AC1692,0)</f>
        <v>#N/A</v>
      </c>
      <c r="AI1692" s="104" t="e">
        <f t="shared" si="735"/>
        <v>#N/A</v>
      </c>
      <c r="AJ1692" s="104" t="e">
        <f t="shared" si="736"/>
        <v>#VALUE!</v>
      </c>
      <c r="AK1692" s="104" t="e">
        <f t="shared" si="737"/>
        <v>#N/A</v>
      </c>
      <c r="AL1692" s="104" t="e">
        <f t="shared" si="738"/>
        <v>#N/A</v>
      </c>
      <c r="AM1692" s="104" t="e">
        <f t="shared" si="739"/>
        <v>#N/A</v>
      </c>
      <c r="AN1692" s="104" t="e">
        <f t="shared" si="750"/>
        <v>#N/A</v>
      </c>
      <c r="AO1692" s="104" t="e">
        <f t="shared" si="751"/>
        <v>#N/A</v>
      </c>
      <c r="AP1692" s="104" t="e">
        <f t="shared" si="752"/>
        <v>#N/A</v>
      </c>
      <c r="AQ1692" s="104" t="e">
        <f t="shared" si="753"/>
        <v>#N/A</v>
      </c>
      <c r="AR1692" s="105" t="str">
        <f t="shared" si="745"/>
        <v/>
      </c>
      <c r="AS1692" s="105" t="str">
        <f t="shared" si="746"/>
        <v/>
      </c>
      <c r="AT1692" s="108" t="str">
        <f t="shared" si="747"/>
        <v/>
      </c>
      <c r="AU1692" s="108" t="str">
        <f t="shared" si="748"/>
        <v/>
      </c>
      <c r="AV1692" s="107" t="str">
        <f>IF(ISNUMBER(O1692),IF(VLOOKUP($A1692,Stand!C:J,8,FALSE)="Short",AT1692,AU1692),"")</f>
        <v/>
      </c>
      <c r="AW1692" s="109" t="str">
        <f t="shared" si="754"/>
        <v/>
      </c>
      <c r="AX1692" s="109" t="str">
        <f t="shared" si="755"/>
        <v/>
      </c>
      <c r="AY1692" s="112" t="str">
        <f>IF(ISNUMBER(O1692),IF(AND(VLOOKUP($D1692,Merchantability!$B:$C,2,0)="Yes",$E1692&gt;=VLOOKUP($D1692,Merchantability!$B:$D,3,0),$E1692&lt;=VLOOKUP($D1692,Merchantability!$B:$E,4,0)),(AV1692*O1692)*(1-$H1692/100),""),"")</f>
        <v/>
      </c>
      <c r="AZ1692" s="116"/>
      <c r="BA1692" s="116"/>
      <c r="BB1692" s="116"/>
      <c r="BE1692" s="62"/>
      <c r="BF1692" s="63"/>
    </row>
    <row r="1693" spans="1:58" ht="12.75" customHeight="1" x14ac:dyDescent="0.25">
      <c r="A1693" s="334"/>
      <c r="B1693" s="334"/>
      <c r="C1693" s="332"/>
      <c r="D1693" s="334"/>
      <c r="E1693" s="335"/>
      <c r="F1693" s="334"/>
      <c r="G1693" s="332"/>
      <c r="H1693" s="332"/>
      <c r="I1693" s="334"/>
      <c r="J1693" s="336"/>
      <c r="K1693" s="332"/>
      <c r="L1693" s="332"/>
      <c r="M1693" s="76"/>
      <c r="N1693" s="103" t="str">
        <f>IF(A1693="","",VLOOKUP(A1693,Stand!C:K,9,0))</f>
        <v/>
      </c>
      <c r="O1693" s="104" t="str">
        <f t="shared" si="740"/>
        <v/>
      </c>
      <c r="P1693" s="105" t="str">
        <f t="shared" si="741"/>
        <v/>
      </c>
      <c r="Q1693" s="105" t="str">
        <f t="shared" ref="Q1693:Q1756" si="756">IF(AND(ISNUMBER(O1693),I1693&gt;0),I1693*O1693,"")</f>
        <v/>
      </c>
      <c r="R1693" s="103" t="str">
        <f t="shared" si="742"/>
        <v/>
      </c>
      <c r="S1693" s="103" t="str">
        <f t="shared" si="743"/>
        <v/>
      </c>
      <c r="T1693" s="106" t="str">
        <f t="shared" ref="T1693:T1756" si="757">IF(AND(ISNUMBER(O1693),J1693&gt;0),J1693/100,"")</f>
        <v/>
      </c>
      <c r="U1693" s="106" t="str">
        <f t="shared" ref="U1693:U1756" si="758">IF(AND(ISNUMBER(O1693),J1693&gt;0),T1693*O1693,"")</f>
        <v/>
      </c>
      <c r="V1693" s="106" t="str">
        <f t="shared" ref="V1693:V1756" si="759">IF(AND(ISNUMBER(O1693),I1693&gt;0),W1693*O1693,"")</f>
        <v/>
      </c>
      <c r="W1693" s="105" t="str">
        <f t="shared" si="744"/>
        <v/>
      </c>
      <c r="X1693" s="104" t="str">
        <f t="shared" si="749"/>
        <v/>
      </c>
      <c r="Y1693" s="104" t="str">
        <f t="array" ref="Y1693">IFERROR(IF(ISNUMBER(O1693),IF(COUNT(IF(A1693=$A$2:$A$2427,IF(D1693=$D$2:$D$2427,IF($X$2:$X$2427&gt;0,1))))&gt;0,SUM(IF(A1693=$A$2:$A$2427,IF(D1693=$D$2:$D$2427,$X$2:$X$2427)))/COUNT(IF(A1693=$A$2:$A$2427,IF(D1693=$D$2:$D$2427,IF(ISNUMBER($X$2:$X$2427),1)))),0),""),0)</f>
        <v/>
      </c>
      <c r="Z1693" s="104" t="str">
        <f>IF(ISNUMBER(O1693),IF(I1693&gt;0,(10^(VLOOKUP(D1693,'Species Codes'!B:C,2,0)+VLOOKUP(D1693,'Species Codes'!B:D,3,0)*LOG(E1693)+VLOOKUP(D1693,'Species Codes'!B:E,4,0)*LOG(I1693))),0),"")</f>
        <v/>
      </c>
      <c r="AA1693" s="104" t="str">
        <f>IFERROR((VLOOKUP(D1693,'Species Codes'!B:G,6,0)*Z1693)/2000,"")</f>
        <v/>
      </c>
      <c r="AB1693" s="104" t="e">
        <f>IF(Z1693&gt;0,((IF(OR(D1693="DF",D1693="RA")=TRUE,EXP(VLOOKUP(D1693,'Species Codes'!B:I,8,0)+VLOOKUP(D1693,'Species Codes'!B:J,9,0)*(LN((E1693*2.54)))),IF(OR(D1693="PY",D1693="RC",D1693="WH",D1693="NF")=TRUE,VLOOKUP(D1693,'Species Codes'!B:I,8,0)+VLOOKUP(D1693,'Species Codes'!B:J,9,0)*((E1693*2.54)^2)*(I1693*0.3048),IF(OR(D1693="MD",D1693="BM",D1693="GA")=TRUE,((VLOOKUP(D1693,'Species Codes'!B:I,8,0)*(((((E1693*2.54)+VLOOKUP(D1693,'Species Codes'!B:J,9,0))/VLOOKUP(D1693,'Species Codes'!B:K,10,0))^VLOOKUP(D1693,'Species Codes'!B:L,11,0))*((I1693*0.3048)^VLOOKUP(D1693,'Species Codes'!B:M,12,0))))-(VLOOKUP(D1693,'Species Codes'!B:I,8,0)*((((E1693*2.54)^VLOOKUP(D1693,'Species Codes'!B:L,11,0))*((I1693*0.3048)^VLOOKUP(D1693,'Species Codes'!B:M,12,0))))))*35.3*VLOOKUP(D1693,'Species Codes'!B:G,6,0)/2.2046,VLOOKUP(D1693,'Species Codes'!B:I,8,0)+VLOOKUP(D1693,'Species Codes'!B:J,9,0)*(((E1693*2.54)/100)^2)*(I1693*0.3048)))))*0.0011023),0)</f>
        <v>#N/A</v>
      </c>
      <c r="AC1693" s="104" t="e">
        <f>IF(Z1693&gt;0,((IF(OR(D1693="RA",D1693="OA",D1693="OT",D1693="UN",D1693="PC"),EXP(VLOOKUP(D1693,'Species Codes'!B:O,14,0)+VLOOKUP(D1693,'Species Codes'!B:P,15,0)*LN((E1693*2.54)))-EXP(VLOOKUP(D1693,'Species Codes'!B:O,14,0)+VLOOKUP(D1693,'Species Codes'!B:P,15,0)*LN((E1693*2.54)))*(1/(VLOOKUP(D1693,'Species Codes'!B:Q,16,0)+VLOOKUP(D1693,'Species Codes'!B:R,17,0)*((E1693*2.54)^VLOOKUP(D1693,'Species Codes'!B:S,18,0)))),IF(OR(D1693="BM",D1693="MD",D1693="OA"),EXP(VLOOKUP(D1693,'Species Codes'!B:O,14,0)+VLOOKUP(D1693,'Species Codes'!B:P,15,0)*LN((E1693*2.54)))*(1-(1/(VLOOKUP(D1693,'Species Codes'!B:Q,16,0)+VLOOKUP(D1693,'Species Codes'!B:R,17,0)*((E1693*2.54)^VLOOKUP(D1693,'Species Codes'!B:S,18,0)))))/1000,IF(D1693="DF",EXP(VLOOKUP(D1693,'Species Codes'!B:O,14,0)+VLOOKUP(D1693,'Species Codes'!B:P,15,0)*LN((E1693*2.54))),VLOOKUP(D1693,'Species Codes'!B:O,14,0)+VLOOKUP(D1693,'Species Codes'!B:P,15,0)*(((E1693*2.54)/100)^2)*(I1693*0.3048)))))*0.0011023),0)</f>
        <v>#N/A</v>
      </c>
      <c r="AD1693" s="104" t="e">
        <f t="shared" ref="AD1693:AD1756" si="760">SUM(AA1693:AC1693)</f>
        <v>#N/A</v>
      </c>
      <c r="AE1693" s="104" t="e">
        <f t="shared" ref="AE1693:AE1756" si="761">AD1693*O1693</f>
        <v>#N/A</v>
      </c>
      <c r="AF1693" s="104" t="e">
        <f>IF(AND(VLOOKUP($D1693,Merchantability!$B:$C,2,0)="Yes",$E1693&gt;=VLOOKUP($D1693,Merchantability!$B:$D,3,0),$E1693&lt;=VLOOKUP($D1693,Merchantability!$B:$E,4,0)),AA1693,0)</f>
        <v>#N/A</v>
      </c>
      <c r="AG1693" s="104" t="e">
        <f>IF(AND(VLOOKUP($D1693,Merchantability!$B:$C,2,0)="Yes",$E1693&gt;=VLOOKUP($D1693,Merchantability!$B:$D,3,0),$E1693&lt;=VLOOKUP($D1693,Merchantability!$B:$E,4,0)),AB1693,0)</f>
        <v>#N/A</v>
      </c>
      <c r="AH1693" s="104" t="e">
        <f>IF(AND(VLOOKUP($D1693,Merchantability!$B:$C,2,0)="Yes",$E1693&gt;=VLOOKUP($D1693,Merchantability!$B:$D,3,0),$E1693&lt;=VLOOKUP($D1693,Merchantability!$B:$E,4,0)),AC1693,0)</f>
        <v>#N/A</v>
      </c>
      <c r="AI1693" s="104" t="e">
        <f t="shared" ref="AI1693:AI1756" si="762">SUM(AF1693:AH1693)</f>
        <v>#N/A</v>
      </c>
      <c r="AJ1693" s="104" t="e">
        <f t="shared" ref="AJ1693:AJ1756" si="763">AA1693*$O1693</f>
        <v>#VALUE!</v>
      </c>
      <c r="AK1693" s="104" t="e">
        <f t="shared" ref="AK1693:AK1756" si="764">AB1693*$O1693</f>
        <v>#N/A</v>
      </c>
      <c r="AL1693" s="104" t="e">
        <f t="shared" ref="AL1693:AL1756" si="765">AC1693*$O1693</f>
        <v>#N/A</v>
      </c>
      <c r="AM1693" s="104" t="e">
        <f t="shared" ref="AM1693:AM1756" si="766">AD1693*$O1693</f>
        <v>#N/A</v>
      </c>
      <c r="AN1693" s="104" t="e">
        <f t="shared" si="750"/>
        <v>#N/A</v>
      </c>
      <c r="AO1693" s="104" t="e">
        <f t="shared" si="751"/>
        <v>#N/A</v>
      </c>
      <c r="AP1693" s="104" t="e">
        <f t="shared" si="752"/>
        <v>#N/A</v>
      </c>
      <c r="AQ1693" s="104" t="e">
        <f t="shared" si="753"/>
        <v>#N/A</v>
      </c>
      <c r="AR1693" s="105" t="str">
        <f t="shared" si="745"/>
        <v/>
      </c>
      <c r="AS1693" s="105" t="str">
        <f t="shared" si="746"/>
        <v/>
      </c>
      <c r="AT1693" s="108" t="str">
        <f t="shared" si="747"/>
        <v/>
      </c>
      <c r="AU1693" s="108" t="str">
        <f t="shared" si="748"/>
        <v/>
      </c>
      <c r="AV1693" s="107" t="str">
        <f>IF(ISNUMBER(O1693),IF(VLOOKUP($A1693,Stand!C:J,8,FALSE)="Short",AT1693,AU1693),"")</f>
        <v/>
      </c>
      <c r="AW1693" s="109" t="str">
        <f t="shared" si="754"/>
        <v/>
      </c>
      <c r="AX1693" s="109" t="str">
        <f t="shared" si="755"/>
        <v/>
      </c>
      <c r="AY1693" s="112" t="str">
        <f>IF(ISNUMBER(O1693),IF(AND(VLOOKUP($D1693,Merchantability!$B:$C,2,0)="Yes",$E1693&gt;=VLOOKUP($D1693,Merchantability!$B:$D,3,0),$E1693&lt;=VLOOKUP($D1693,Merchantability!$B:$E,4,0)),(AV1693*O1693)*(1-$H1693/100),""),"")</f>
        <v/>
      </c>
      <c r="AZ1693" s="116"/>
      <c r="BA1693" s="116"/>
      <c r="BB1693" s="116"/>
      <c r="BE1693" s="62"/>
      <c r="BF1693" s="63"/>
    </row>
    <row r="1694" spans="1:58" ht="12.75" customHeight="1" x14ac:dyDescent="0.25">
      <c r="A1694" s="334"/>
      <c r="B1694" s="334"/>
      <c r="C1694" s="332"/>
      <c r="D1694" s="334"/>
      <c r="E1694" s="335"/>
      <c r="F1694" s="334"/>
      <c r="G1694" s="332"/>
      <c r="H1694" s="332"/>
      <c r="I1694" s="334"/>
      <c r="J1694" s="336"/>
      <c r="K1694" s="332"/>
      <c r="L1694" s="332"/>
      <c r="M1694" s="76"/>
      <c r="N1694" s="103" t="str">
        <f>IF(A1694="","",VLOOKUP(A1694,Stand!C:K,9,0))</f>
        <v/>
      </c>
      <c r="O1694" s="104" t="str">
        <f t="shared" si="740"/>
        <v/>
      </c>
      <c r="P1694" s="105" t="str">
        <f t="shared" si="741"/>
        <v/>
      </c>
      <c r="Q1694" s="105" t="str">
        <f t="shared" si="756"/>
        <v/>
      </c>
      <c r="R1694" s="103" t="str">
        <f t="shared" si="742"/>
        <v/>
      </c>
      <c r="S1694" s="103" t="str">
        <f t="shared" si="743"/>
        <v/>
      </c>
      <c r="T1694" s="106" t="str">
        <f t="shared" si="757"/>
        <v/>
      </c>
      <c r="U1694" s="106" t="str">
        <f t="shared" si="758"/>
        <v/>
      </c>
      <c r="V1694" s="106" t="str">
        <f t="shared" si="759"/>
        <v/>
      </c>
      <c r="W1694" s="105" t="str">
        <f t="shared" si="744"/>
        <v/>
      </c>
      <c r="X1694" s="104" t="str">
        <f t="shared" si="749"/>
        <v/>
      </c>
      <c r="Y1694" s="104" t="str">
        <f t="array" ref="Y1694">IFERROR(IF(ISNUMBER(O1694),IF(COUNT(IF(A1694=$A$2:$A$2427,IF(D1694=$D$2:$D$2427,IF($X$2:$X$2427&gt;0,1))))&gt;0,SUM(IF(A1694=$A$2:$A$2427,IF(D1694=$D$2:$D$2427,$X$2:$X$2427)))/COUNT(IF(A1694=$A$2:$A$2427,IF(D1694=$D$2:$D$2427,IF(ISNUMBER($X$2:$X$2427),1)))),0),""),0)</f>
        <v/>
      </c>
      <c r="Z1694" s="104" t="str">
        <f>IF(ISNUMBER(O1694),IF(I1694&gt;0,(10^(VLOOKUP(D1694,'Species Codes'!B:C,2,0)+VLOOKUP(D1694,'Species Codes'!B:D,3,0)*LOG(E1694)+VLOOKUP(D1694,'Species Codes'!B:E,4,0)*LOG(I1694))),0),"")</f>
        <v/>
      </c>
      <c r="AA1694" s="104" t="str">
        <f>IFERROR((VLOOKUP(D1694,'Species Codes'!B:G,6,0)*Z1694)/2000,"")</f>
        <v/>
      </c>
      <c r="AB1694" s="104" t="e">
        <f>IF(Z1694&gt;0,((IF(OR(D1694="DF",D1694="RA")=TRUE,EXP(VLOOKUP(D1694,'Species Codes'!B:I,8,0)+VLOOKUP(D1694,'Species Codes'!B:J,9,0)*(LN((E1694*2.54)))),IF(OR(D1694="PY",D1694="RC",D1694="WH",D1694="NF")=TRUE,VLOOKUP(D1694,'Species Codes'!B:I,8,0)+VLOOKUP(D1694,'Species Codes'!B:J,9,0)*((E1694*2.54)^2)*(I1694*0.3048),IF(OR(D1694="MD",D1694="BM",D1694="GA")=TRUE,((VLOOKUP(D1694,'Species Codes'!B:I,8,0)*(((((E1694*2.54)+VLOOKUP(D1694,'Species Codes'!B:J,9,0))/VLOOKUP(D1694,'Species Codes'!B:K,10,0))^VLOOKUP(D1694,'Species Codes'!B:L,11,0))*((I1694*0.3048)^VLOOKUP(D1694,'Species Codes'!B:M,12,0))))-(VLOOKUP(D1694,'Species Codes'!B:I,8,0)*((((E1694*2.54)^VLOOKUP(D1694,'Species Codes'!B:L,11,0))*((I1694*0.3048)^VLOOKUP(D1694,'Species Codes'!B:M,12,0))))))*35.3*VLOOKUP(D1694,'Species Codes'!B:G,6,0)/2.2046,VLOOKUP(D1694,'Species Codes'!B:I,8,0)+VLOOKUP(D1694,'Species Codes'!B:J,9,0)*(((E1694*2.54)/100)^2)*(I1694*0.3048)))))*0.0011023),0)</f>
        <v>#N/A</v>
      </c>
      <c r="AC1694" s="104" t="e">
        <f>IF(Z1694&gt;0,((IF(OR(D1694="RA",D1694="OA",D1694="OT",D1694="UN",D1694="PC"),EXP(VLOOKUP(D1694,'Species Codes'!B:O,14,0)+VLOOKUP(D1694,'Species Codes'!B:P,15,0)*LN((E1694*2.54)))-EXP(VLOOKUP(D1694,'Species Codes'!B:O,14,0)+VLOOKUP(D1694,'Species Codes'!B:P,15,0)*LN((E1694*2.54)))*(1/(VLOOKUP(D1694,'Species Codes'!B:Q,16,0)+VLOOKUP(D1694,'Species Codes'!B:R,17,0)*((E1694*2.54)^VLOOKUP(D1694,'Species Codes'!B:S,18,0)))),IF(OR(D1694="BM",D1694="MD",D1694="OA"),EXP(VLOOKUP(D1694,'Species Codes'!B:O,14,0)+VLOOKUP(D1694,'Species Codes'!B:P,15,0)*LN((E1694*2.54)))*(1-(1/(VLOOKUP(D1694,'Species Codes'!B:Q,16,0)+VLOOKUP(D1694,'Species Codes'!B:R,17,0)*((E1694*2.54)^VLOOKUP(D1694,'Species Codes'!B:S,18,0)))))/1000,IF(D1694="DF",EXP(VLOOKUP(D1694,'Species Codes'!B:O,14,0)+VLOOKUP(D1694,'Species Codes'!B:P,15,0)*LN((E1694*2.54))),VLOOKUP(D1694,'Species Codes'!B:O,14,0)+VLOOKUP(D1694,'Species Codes'!B:P,15,0)*(((E1694*2.54)/100)^2)*(I1694*0.3048)))))*0.0011023),0)</f>
        <v>#N/A</v>
      </c>
      <c r="AD1694" s="104" t="e">
        <f t="shared" si="760"/>
        <v>#N/A</v>
      </c>
      <c r="AE1694" s="104" t="e">
        <f t="shared" si="761"/>
        <v>#N/A</v>
      </c>
      <c r="AF1694" s="104" t="e">
        <f>IF(AND(VLOOKUP($D1694,Merchantability!$B:$C,2,0)="Yes",$E1694&gt;=VLOOKUP($D1694,Merchantability!$B:$D,3,0),$E1694&lt;=VLOOKUP($D1694,Merchantability!$B:$E,4,0)),AA1694,0)</f>
        <v>#N/A</v>
      </c>
      <c r="AG1694" s="104" t="e">
        <f>IF(AND(VLOOKUP($D1694,Merchantability!$B:$C,2,0)="Yes",$E1694&gt;=VLOOKUP($D1694,Merchantability!$B:$D,3,0),$E1694&lt;=VLOOKUP($D1694,Merchantability!$B:$E,4,0)),AB1694,0)</f>
        <v>#N/A</v>
      </c>
      <c r="AH1694" s="104" t="e">
        <f>IF(AND(VLOOKUP($D1694,Merchantability!$B:$C,2,0)="Yes",$E1694&gt;=VLOOKUP($D1694,Merchantability!$B:$D,3,0),$E1694&lt;=VLOOKUP($D1694,Merchantability!$B:$E,4,0)),AC1694,0)</f>
        <v>#N/A</v>
      </c>
      <c r="AI1694" s="104" t="e">
        <f t="shared" si="762"/>
        <v>#N/A</v>
      </c>
      <c r="AJ1694" s="104" t="e">
        <f t="shared" si="763"/>
        <v>#VALUE!</v>
      </c>
      <c r="AK1694" s="104" t="e">
        <f t="shared" si="764"/>
        <v>#N/A</v>
      </c>
      <c r="AL1694" s="104" t="e">
        <f t="shared" si="765"/>
        <v>#N/A</v>
      </c>
      <c r="AM1694" s="104" t="e">
        <f t="shared" si="766"/>
        <v>#N/A</v>
      </c>
      <c r="AN1694" s="104" t="e">
        <f t="shared" si="750"/>
        <v>#N/A</v>
      </c>
      <c r="AO1694" s="104" t="e">
        <f t="shared" si="751"/>
        <v>#N/A</v>
      </c>
      <c r="AP1694" s="104" t="e">
        <f t="shared" si="752"/>
        <v>#N/A</v>
      </c>
      <c r="AQ1694" s="104" t="e">
        <f t="shared" si="753"/>
        <v>#N/A</v>
      </c>
      <c r="AR1694" s="105" t="str">
        <f t="shared" si="745"/>
        <v/>
      </c>
      <c r="AS1694" s="105" t="str">
        <f t="shared" si="746"/>
        <v/>
      </c>
      <c r="AT1694" s="108" t="str">
        <f t="shared" si="747"/>
        <v/>
      </c>
      <c r="AU1694" s="108" t="str">
        <f t="shared" si="748"/>
        <v/>
      </c>
      <c r="AV1694" s="107" t="str">
        <f>IF(ISNUMBER(O1694),IF(VLOOKUP($A1694,Stand!C:J,8,FALSE)="Short",AT1694,AU1694),"")</f>
        <v/>
      </c>
      <c r="AW1694" s="109" t="str">
        <f t="shared" si="754"/>
        <v/>
      </c>
      <c r="AX1694" s="109" t="str">
        <f t="shared" si="755"/>
        <v/>
      </c>
      <c r="AY1694" s="112" t="str">
        <f>IF(ISNUMBER(O1694),IF(AND(VLOOKUP($D1694,Merchantability!$B:$C,2,0)="Yes",$E1694&gt;=VLOOKUP($D1694,Merchantability!$B:$D,3,0),$E1694&lt;=VLOOKUP($D1694,Merchantability!$B:$E,4,0)),(AV1694*O1694)*(1-$H1694/100),""),"")</f>
        <v/>
      </c>
      <c r="AZ1694" s="116"/>
      <c r="BA1694" s="116"/>
      <c r="BB1694" s="116"/>
      <c r="BE1694" s="62"/>
      <c r="BF1694" s="63"/>
    </row>
    <row r="1695" spans="1:58" ht="12.75" customHeight="1" x14ac:dyDescent="0.25">
      <c r="A1695" s="334"/>
      <c r="B1695" s="334"/>
      <c r="C1695" s="332"/>
      <c r="D1695" s="334"/>
      <c r="E1695" s="335"/>
      <c r="F1695" s="334"/>
      <c r="G1695" s="332"/>
      <c r="H1695" s="332"/>
      <c r="I1695" s="334"/>
      <c r="J1695" s="336"/>
      <c r="K1695" s="332"/>
      <c r="L1695" s="332"/>
      <c r="M1695" s="76"/>
      <c r="N1695" s="103" t="str">
        <f>IF(A1695="","",VLOOKUP(A1695,Stand!C:K,9,0))</f>
        <v/>
      </c>
      <c r="O1695" s="104" t="str">
        <f t="shared" si="740"/>
        <v/>
      </c>
      <c r="P1695" s="105" t="str">
        <f t="shared" si="741"/>
        <v/>
      </c>
      <c r="Q1695" s="105" t="str">
        <f t="shared" si="756"/>
        <v/>
      </c>
      <c r="R1695" s="103" t="str">
        <f t="shared" si="742"/>
        <v/>
      </c>
      <c r="S1695" s="103" t="str">
        <f t="shared" si="743"/>
        <v/>
      </c>
      <c r="T1695" s="106" t="str">
        <f t="shared" si="757"/>
        <v/>
      </c>
      <c r="U1695" s="106" t="str">
        <f t="shared" si="758"/>
        <v/>
      </c>
      <c r="V1695" s="106" t="str">
        <f t="shared" si="759"/>
        <v/>
      </c>
      <c r="W1695" s="105" t="str">
        <f t="shared" si="744"/>
        <v/>
      </c>
      <c r="X1695" s="104" t="str">
        <f t="shared" si="749"/>
        <v/>
      </c>
      <c r="Y1695" s="104" t="str">
        <f t="array" ref="Y1695">IFERROR(IF(ISNUMBER(O1695),IF(COUNT(IF(A1695=$A$2:$A$2427,IF(D1695=$D$2:$D$2427,IF($X$2:$X$2427&gt;0,1))))&gt;0,SUM(IF(A1695=$A$2:$A$2427,IF(D1695=$D$2:$D$2427,$X$2:$X$2427)))/COUNT(IF(A1695=$A$2:$A$2427,IF(D1695=$D$2:$D$2427,IF(ISNUMBER($X$2:$X$2427),1)))),0),""),0)</f>
        <v/>
      </c>
      <c r="Z1695" s="104" t="str">
        <f>IF(ISNUMBER(O1695),IF(I1695&gt;0,(10^(VLOOKUP(D1695,'Species Codes'!B:C,2,0)+VLOOKUP(D1695,'Species Codes'!B:D,3,0)*LOG(E1695)+VLOOKUP(D1695,'Species Codes'!B:E,4,0)*LOG(I1695))),0),"")</f>
        <v/>
      </c>
      <c r="AA1695" s="104" t="str">
        <f>IFERROR((VLOOKUP(D1695,'Species Codes'!B:G,6,0)*Z1695)/2000,"")</f>
        <v/>
      </c>
      <c r="AB1695" s="104" t="e">
        <f>IF(Z1695&gt;0,((IF(OR(D1695="DF",D1695="RA")=TRUE,EXP(VLOOKUP(D1695,'Species Codes'!B:I,8,0)+VLOOKUP(D1695,'Species Codes'!B:J,9,0)*(LN((E1695*2.54)))),IF(OR(D1695="PY",D1695="RC",D1695="WH",D1695="NF")=TRUE,VLOOKUP(D1695,'Species Codes'!B:I,8,0)+VLOOKUP(D1695,'Species Codes'!B:J,9,0)*((E1695*2.54)^2)*(I1695*0.3048),IF(OR(D1695="MD",D1695="BM",D1695="GA")=TRUE,((VLOOKUP(D1695,'Species Codes'!B:I,8,0)*(((((E1695*2.54)+VLOOKUP(D1695,'Species Codes'!B:J,9,0))/VLOOKUP(D1695,'Species Codes'!B:K,10,0))^VLOOKUP(D1695,'Species Codes'!B:L,11,0))*((I1695*0.3048)^VLOOKUP(D1695,'Species Codes'!B:M,12,0))))-(VLOOKUP(D1695,'Species Codes'!B:I,8,0)*((((E1695*2.54)^VLOOKUP(D1695,'Species Codes'!B:L,11,0))*((I1695*0.3048)^VLOOKUP(D1695,'Species Codes'!B:M,12,0))))))*35.3*VLOOKUP(D1695,'Species Codes'!B:G,6,0)/2.2046,VLOOKUP(D1695,'Species Codes'!B:I,8,0)+VLOOKUP(D1695,'Species Codes'!B:J,9,0)*(((E1695*2.54)/100)^2)*(I1695*0.3048)))))*0.0011023),0)</f>
        <v>#N/A</v>
      </c>
      <c r="AC1695" s="104" t="e">
        <f>IF(Z1695&gt;0,((IF(OR(D1695="RA",D1695="OA",D1695="OT",D1695="UN",D1695="PC"),EXP(VLOOKUP(D1695,'Species Codes'!B:O,14,0)+VLOOKUP(D1695,'Species Codes'!B:P,15,0)*LN((E1695*2.54)))-EXP(VLOOKUP(D1695,'Species Codes'!B:O,14,0)+VLOOKUP(D1695,'Species Codes'!B:P,15,0)*LN((E1695*2.54)))*(1/(VLOOKUP(D1695,'Species Codes'!B:Q,16,0)+VLOOKUP(D1695,'Species Codes'!B:R,17,0)*((E1695*2.54)^VLOOKUP(D1695,'Species Codes'!B:S,18,0)))),IF(OR(D1695="BM",D1695="MD",D1695="OA"),EXP(VLOOKUP(D1695,'Species Codes'!B:O,14,0)+VLOOKUP(D1695,'Species Codes'!B:P,15,0)*LN((E1695*2.54)))*(1-(1/(VLOOKUP(D1695,'Species Codes'!B:Q,16,0)+VLOOKUP(D1695,'Species Codes'!B:R,17,0)*((E1695*2.54)^VLOOKUP(D1695,'Species Codes'!B:S,18,0)))))/1000,IF(D1695="DF",EXP(VLOOKUP(D1695,'Species Codes'!B:O,14,0)+VLOOKUP(D1695,'Species Codes'!B:P,15,0)*LN((E1695*2.54))),VLOOKUP(D1695,'Species Codes'!B:O,14,0)+VLOOKUP(D1695,'Species Codes'!B:P,15,0)*(((E1695*2.54)/100)^2)*(I1695*0.3048)))))*0.0011023),0)</f>
        <v>#N/A</v>
      </c>
      <c r="AD1695" s="104" t="e">
        <f t="shared" si="760"/>
        <v>#N/A</v>
      </c>
      <c r="AE1695" s="104" t="e">
        <f t="shared" si="761"/>
        <v>#N/A</v>
      </c>
      <c r="AF1695" s="104" t="e">
        <f>IF(AND(VLOOKUP($D1695,Merchantability!$B:$C,2,0)="Yes",$E1695&gt;=VLOOKUP($D1695,Merchantability!$B:$D,3,0),$E1695&lt;=VLOOKUP($D1695,Merchantability!$B:$E,4,0)),AA1695,0)</f>
        <v>#N/A</v>
      </c>
      <c r="AG1695" s="104" t="e">
        <f>IF(AND(VLOOKUP($D1695,Merchantability!$B:$C,2,0)="Yes",$E1695&gt;=VLOOKUP($D1695,Merchantability!$B:$D,3,0),$E1695&lt;=VLOOKUP($D1695,Merchantability!$B:$E,4,0)),AB1695,0)</f>
        <v>#N/A</v>
      </c>
      <c r="AH1695" s="104" t="e">
        <f>IF(AND(VLOOKUP($D1695,Merchantability!$B:$C,2,0)="Yes",$E1695&gt;=VLOOKUP($D1695,Merchantability!$B:$D,3,0),$E1695&lt;=VLOOKUP($D1695,Merchantability!$B:$E,4,0)),AC1695,0)</f>
        <v>#N/A</v>
      </c>
      <c r="AI1695" s="104" t="e">
        <f t="shared" si="762"/>
        <v>#N/A</v>
      </c>
      <c r="AJ1695" s="104" t="e">
        <f t="shared" si="763"/>
        <v>#VALUE!</v>
      </c>
      <c r="AK1695" s="104" t="e">
        <f t="shared" si="764"/>
        <v>#N/A</v>
      </c>
      <c r="AL1695" s="104" t="e">
        <f t="shared" si="765"/>
        <v>#N/A</v>
      </c>
      <c r="AM1695" s="104" t="e">
        <f t="shared" si="766"/>
        <v>#N/A</v>
      </c>
      <c r="AN1695" s="104" t="e">
        <f t="shared" si="750"/>
        <v>#N/A</v>
      </c>
      <c r="AO1695" s="104" t="e">
        <f t="shared" si="751"/>
        <v>#N/A</v>
      </c>
      <c r="AP1695" s="104" t="e">
        <f t="shared" si="752"/>
        <v>#N/A</v>
      </c>
      <c r="AQ1695" s="104" t="e">
        <f t="shared" si="753"/>
        <v>#N/A</v>
      </c>
      <c r="AR1695" s="105" t="str">
        <f t="shared" si="745"/>
        <v/>
      </c>
      <c r="AS1695" s="105" t="str">
        <f t="shared" si="746"/>
        <v/>
      </c>
      <c r="AT1695" s="108" t="str">
        <f t="shared" si="747"/>
        <v/>
      </c>
      <c r="AU1695" s="108" t="str">
        <f t="shared" si="748"/>
        <v/>
      </c>
      <c r="AV1695" s="107" t="str">
        <f>IF(ISNUMBER(O1695),IF(VLOOKUP($A1695,Stand!C:J,8,FALSE)="Short",AT1695,AU1695),"")</f>
        <v/>
      </c>
      <c r="AW1695" s="109" t="str">
        <f t="shared" si="754"/>
        <v/>
      </c>
      <c r="AX1695" s="109" t="str">
        <f t="shared" si="755"/>
        <v/>
      </c>
      <c r="AY1695" s="112" t="str">
        <f>IF(ISNUMBER(O1695),IF(AND(VLOOKUP($D1695,Merchantability!$B:$C,2,0)="Yes",$E1695&gt;=VLOOKUP($D1695,Merchantability!$B:$D,3,0),$E1695&lt;=VLOOKUP($D1695,Merchantability!$B:$E,4,0)),(AV1695*O1695)*(1-$H1695/100),""),"")</f>
        <v/>
      </c>
      <c r="AZ1695" s="116"/>
      <c r="BA1695" s="116"/>
      <c r="BB1695" s="116"/>
      <c r="BE1695" s="62"/>
      <c r="BF1695" s="63"/>
    </row>
    <row r="1696" spans="1:58" ht="12.75" customHeight="1" x14ac:dyDescent="0.25">
      <c r="A1696" s="334"/>
      <c r="B1696" s="334"/>
      <c r="C1696" s="332"/>
      <c r="D1696" s="334"/>
      <c r="E1696" s="335"/>
      <c r="F1696" s="334"/>
      <c r="G1696" s="332"/>
      <c r="H1696" s="332"/>
      <c r="I1696" s="334"/>
      <c r="J1696" s="336"/>
      <c r="K1696" s="332"/>
      <c r="L1696" s="332"/>
      <c r="M1696" s="76"/>
      <c r="N1696" s="103" t="str">
        <f>IF(A1696="","",VLOOKUP(A1696,Stand!C:K,9,0))</f>
        <v/>
      </c>
      <c r="O1696" s="104" t="str">
        <f t="shared" si="740"/>
        <v/>
      </c>
      <c r="P1696" s="105" t="str">
        <f t="shared" si="741"/>
        <v/>
      </c>
      <c r="Q1696" s="105" t="str">
        <f t="shared" si="756"/>
        <v/>
      </c>
      <c r="R1696" s="103" t="str">
        <f t="shared" si="742"/>
        <v/>
      </c>
      <c r="S1696" s="103" t="str">
        <f t="shared" si="743"/>
        <v/>
      </c>
      <c r="T1696" s="106" t="str">
        <f t="shared" si="757"/>
        <v/>
      </c>
      <c r="U1696" s="106" t="str">
        <f t="shared" si="758"/>
        <v/>
      </c>
      <c r="V1696" s="106" t="str">
        <f t="shared" si="759"/>
        <v/>
      </c>
      <c r="W1696" s="105" t="str">
        <f t="shared" si="744"/>
        <v/>
      </c>
      <c r="X1696" s="104" t="str">
        <f t="shared" si="749"/>
        <v/>
      </c>
      <c r="Y1696" s="104" t="str">
        <f t="array" ref="Y1696">IFERROR(IF(ISNUMBER(O1696),IF(COUNT(IF(A1696=$A$2:$A$2427,IF(D1696=$D$2:$D$2427,IF($X$2:$X$2427&gt;0,1))))&gt;0,SUM(IF(A1696=$A$2:$A$2427,IF(D1696=$D$2:$D$2427,$X$2:$X$2427)))/COUNT(IF(A1696=$A$2:$A$2427,IF(D1696=$D$2:$D$2427,IF(ISNUMBER($X$2:$X$2427),1)))),0),""),0)</f>
        <v/>
      </c>
      <c r="Z1696" s="104" t="str">
        <f>IF(ISNUMBER(O1696),IF(I1696&gt;0,(10^(VLOOKUP(D1696,'Species Codes'!B:C,2,0)+VLOOKUP(D1696,'Species Codes'!B:D,3,0)*LOG(E1696)+VLOOKUP(D1696,'Species Codes'!B:E,4,0)*LOG(I1696))),0),"")</f>
        <v/>
      </c>
      <c r="AA1696" s="104" t="str">
        <f>IFERROR((VLOOKUP(D1696,'Species Codes'!B:G,6,0)*Z1696)/2000,"")</f>
        <v/>
      </c>
      <c r="AB1696" s="104" t="e">
        <f>IF(Z1696&gt;0,((IF(OR(D1696="DF",D1696="RA")=TRUE,EXP(VLOOKUP(D1696,'Species Codes'!B:I,8,0)+VLOOKUP(D1696,'Species Codes'!B:J,9,0)*(LN((E1696*2.54)))),IF(OR(D1696="PY",D1696="RC",D1696="WH",D1696="NF")=TRUE,VLOOKUP(D1696,'Species Codes'!B:I,8,0)+VLOOKUP(D1696,'Species Codes'!B:J,9,0)*((E1696*2.54)^2)*(I1696*0.3048),IF(OR(D1696="MD",D1696="BM",D1696="GA")=TRUE,((VLOOKUP(D1696,'Species Codes'!B:I,8,0)*(((((E1696*2.54)+VLOOKUP(D1696,'Species Codes'!B:J,9,0))/VLOOKUP(D1696,'Species Codes'!B:K,10,0))^VLOOKUP(D1696,'Species Codes'!B:L,11,0))*((I1696*0.3048)^VLOOKUP(D1696,'Species Codes'!B:M,12,0))))-(VLOOKUP(D1696,'Species Codes'!B:I,8,0)*((((E1696*2.54)^VLOOKUP(D1696,'Species Codes'!B:L,11,0))*((I1696*0.3048)^VLOOKUP(D1696,'Species Codes'!B:M,12,0))))))*35.3*VLOOKUP(D1696,'Species Codes'!B:G,6,0)/2.2046,VLOOKUP(D1696,'Species Codes'!B:I,8,0)+VLOOKUP(D1696,'Species Codes'!B:J,9,0)*(((E1696*2.54)/100)^2)*(I1696*0.3048)))))*0.0011023),0)</f>
        <v>#N/A</v>
      </c>
      <c r="AC1696" s="104" t="e">
        <f>IF(Z1696&gt;0,((IF(OR(D1696="RA",D1696="OA",D1696="OT",D1696="UN",D1696="PC"),EXP(VLOOKUP(D1696,'Species Codes'!B:O,14,0)+VLOOKUP(D1696,'Species Codes'!B:P,15,0)*LN((E1696*2.54)))-EXP(VLOOKUP(D1696,'Species Codes'!B:O,14,0)+VLOOKUP(D1696,'Species Codes'!B:P,15,0)*LN((E1696*2.54)))*(1/(VLOOKUP(D1696,'Species Codes'!B:Q,16,0)+VLOOKUP(D1696,'Species Codes'!B:R,17,0)*((E1696*2.54)^VLOOKUP(D1696,'Species Codes'!B:S,18,0)))),IF(OR(D1696="BM",D1696="MD",D1696="OA"),EXP(VLOOKUP(D1696,'Species Codes'!B:O,14,0)+VLOOKUP(D1696,'Species Codes'!B:P,15,0)*LN((E1696*2.54)))*(1-(1/(VLOOKUP(D1696,'Species Codes'!B:Q,16,0)+VLOOKUP(D1696,'Species Codes'!B:R,17,0)*((E1696*2.54)^VLOOKUP(D1696,'Species Codes'!B:S,18,0)))))/1000,IF(D1696="DF",EXP(VLOOKUP(D1696,'Species Codes'!B:O,14,0)+VLOOKUP(D1696,'Species Codes'!B:P,15,0)*LN((E1696*2.54))),VLOOKUP(D1696,'Species Codes'!B:O,14,0)+VLOOKUP(D1696,'Species Codes'!B:P,15,0)*(((E1696*2.54)/100)^2)*(I1696*0.3048)))))*0.0011023),0)</f>
        <v>#N/A</v>
      </c>
      <c r="AD1696" s="104" t="e">
        <f t="shared" si="760"/>
        <v>#N/A</v>
      </c>
      <c r="AE1696" s="104" t="e">
        <f t="shared" si="761"/>
        <v>#N/A</v>
      </c>
      <c r="AF1696" s="104" t="e">
        <f>IF(AND(VLOOKUP($D1696,Merchantability!$B:$C,2,0)="Yes",$E1696&gt;=VLOOKUP($D1696,Merchantability!$B:$D,3,0),$E1696&lt;=VLOOKUP($D1696,Merchantability!$B:$E,4,0)),AA1696,0)</f>
        <v>#N/A</v>
      </c>
      <c r="AG1696" s="104" t="e">
        <f>IF(AND(VLOOKUP($D1696,Merchantability!$B:$C,2,0)="Yes",$E1696&gt;=VLOOKUP($D1696,Merchantability!$B:$D,3,0),$E1696&lt;=VLOOKUP($D1696,Merchantability!$B:$E,4,0)),AB1696,0)</f>
        <v>#N/A</v>
      </c>
      <c r="AH1696" s="104" t="e">
        <f>IF(AND(VLOOKUP($D1696,Merchantability!$B:$C,2,0)="Yes",$E1696&gt;=VLOOKUP($D1696,Merchantability!$B:$D,3,0),$E1696&lt;=VLOOKUP($D1696,Merchantability!$B:$E,4,0)),AC1696,0)</f>
        <v>#N/A</v>
      </c>
      <c r="AI1696" s="104" t="e">
        <f t="shared" si="762"/>
        <v>#N/A</v>
      </c>
      <c r="AJ1696" s="104" t="e">
        <f t="shared" si="763"/>
        <v>#VALUE!</v>
      </c>
      <c r="AK1696" s="104" t="e">
        <f t="shared" si="764"/>
        <v>#N/A</v>
      </c>
      <c r="AL1696" s="104" t="e">
        <f t="shared" si="765"/>
        <v>#N/A</v>
      </c>
      <c r="AM1696" s="104" t="e">
        <f t="shared" si="766"/>
        <v>#N/A</v>
      </c>
      <c r="AN1696" s="104" t="e">
        <f t="shared" si="750"/>
        <v>#N/A</v>
      </c>
      <c r="AO1696" s="104" t="e">
        <f t="shared" si="751"/>
        <v>#N/A</v>
      </c>
      <c r="AP1696" s="104" t="e">
        <f t="shared" si="752"/>
        <v>#N/A</v>
      </c>
      <c r="AQ1696" s="104" t="e">
        <f t="shared" si="753"/>
        <v>#N/A</v>
      </c>
      <c r="AR1696" s="105" t="str">
        <f t="shared" si="745"/>
        <v/>
      </c>
      <c r="AS1696" s="105" t="str">
        <f t="shared" si="746"/>
        <v/>
      </c>
      <c r="AT1696" s="108" t="str">
        <f t="shared" si="747"/>
        <v/>
      </c>
      <c r="AU1696" s="108" t="str">
        <f t="shared" si="748"/>
        <v/>
      </c>
      <c r="AV1696" s="107" t="str">
        <f>IF(ISNUMBER(O1696),IF(VLOOKUP($A1696,Stand!C:J,8,FALSE)="Short",AT1696,AU1696),"")</f>
        <v/>
      </c>
      <c r="AW1696" s="109" t="str">
        <f t="shared" si="754"/>
        <v/>
      </c>
      <c r="AX1696" s="109" t="str">
        <f t="shared" si="755"/>
        <v/>
      </c>
      <c r="AY1696" s="112" t="str">
        <f>IF(ISNUMBER(O1696),IF(AND(VLOOKUP($D1696,Merchantability!$B:$C,2,0)="Yes",$E1696&gt;=VLOOKUP($D1696,Merchantability!$B:$D,3,0),$E1696&lt;=VLOOKUP($D1696,Merchantability!$B:$E,4,0)),(AV1696*O1696)*(1-$H1696/100),""),"")</f>
        <v/>
      </c>
      <c r="AZ1696" s="116"/>
      <c r="BA1696" s="116"/>
      <c r="BB1696" s="116"/>
      <c r="BE1696" s="62"/>
      <c r="BF1696" s="63"/>
    </row>
    <row r="1697" spans="1:58" ht="12.75" customHeight="1" x14ac:dyDescent="0.25">
      <c r="A1697" s="334"/>
      <c r="B1697" s="334"/>
      <c r="C1697" s="332"/>
      <c r="D1697" s="334"/>
      <c r="E1697" s="335"/>
      <c r="F1697" s="334"/>
      <c r="G1697" s="332"/>
      <c r="H1697" s="332"/>
      <c r="I1697" s="334"/>
      <c r="J1697" s="336"/>
      <c r="K1697" s="332"/>
      <c r="L1697" s="332"/>
      <c r="M1697" s="76"/>
      <c r="N1697" s="103" t="str">
        <f>IF(A1697="","",VLOOKUP(A1697,Stand!C:K,9,0))</f>
        <v/>
      </c>
      <c r="O1697" s="104" t="str">
        <f t="shared" si="740"/>
        <v/>
      </c>
      <c r="P1697" s="105" t="str">
        <f t="shared" si="741"/>
        <v/>
      </c>
      <c r="Q1697" s="105" t="str">
        <f t="shared" si="756"/>
        <v/>
      </c>
      <c r="R1697" s="103" t="str">
        <f t="shared" si="742"/>
        <v/>
      </c>
      <c r="S1697" s="103" t="str">
        <f t="shared" si="743"/>
        <v/>
      </c>
      <c r="T1697" s="106" t="str">
        <f t="shared" si="757"/>
        <v/>
      </c>
      <c r="U1697" s="106" t="str">
        <f t="shared" si="758"/>
        <v/>
      </c>
      <c r="V1697" s="106" t="str">
        <f t="shared" si="759"/>
        <v/>
      </c>
      <c r="W1697" s="105" t="str">
        <f t="shared" si="744"/>
        <v/>
      </c>
      <c r="X1697" s="104" t="str">
        <f t="shared" si="749"/>
        <v/>
      </c>
      <c r="Y1697" s="104" t="str">
        <f t="array" ref="Y1697">IFERROR(IF(ISNUMBER(O1697),IF(COUNT(IF(A1697=$A$2:$A$2427,IF(D1697=$D$2:$D$2427,IF($X$2:$X$2427&gt;0,1))))&gt;0,SUM(IF(A1697=$A$2:$A$2427,IF(D1697=$D$2:$D$2427,$X$2:$X$2427)))/COUNT(IF(A1697=$A$2:$A$2427,IF(D1697=$D$2:$D$2427,IF(ISNUMBER($X$2:$X$2427),1)))),0),""),0)</f>
        <v/>
      </c>
      <c r="Z1697" s="104" t="str">
        <f>IF(ISNUMBER(O1697),IF(I1697&gt;0,(10^(VLOOKUP(D1697,'Species Codes'!B:C,2,0)+VLOOKUP(D1697,'Species Codes'!B:D,3,0)*LOG(E1697)+VLOOKUP(D1697,'Species Codes'!B:E,4,0)*LOG(I1697))),0),"")</f>
        <v/>
      </c>
      <c r="AA1697" s="104" t="str">
        <f>IFERROR((VLOOKUP(D1697,'Species Codes'!B:G,6,0)*Z1697)/2000,"")</f>
        <v/>
      </c>
      <c r="AB1697" s="104" t="e">
        <f>IF(Z1697&gt;0,((IF(OR(D1697="DF",D1697="RA")=TRUE,EXP(VLOOKUP(D1697,'Species Codes'!B:I,8,0)+VLOOKUP(D1697,'Species Codes'!B:J,9,0)*(LN((E1697*2.54)))),IF(OR(D1697="PY",D1697="RC",D1697="WH",D1697="NF")=TRUE,VLOOKUP(D1697,'Species Codes'!B:I,8,0)+VLOOKUP(D1697,'Species Codes'!B:J,9,0)*((E1697*2.54)^2)*(I1697*0.3048),IF(OR(D1697="MD",D1697="BM",D1697="GA")=TRUE,((VLOOKUP(D1697,'Species Codes'!B:I,8,0)*(((((E1697*2.54)+VLOOKUP(D1697,'Species Codes'!B:J,9,0))/VLOOKUP(D1697,'Species Codes'!B:K,10,0))^VLOOKUP(D1697,'Species Codes'!B:L,11,0))*((I1697*0.3048)^VLOOKUP(D1697,'Species Codes'!B:M,12,0))))-(VLOOKUP(D1697,'Species Codes'!B:I,8,0)*((((E1697*2.54)^VLOOKUP(D1697,'Species Codes'!B:L,11,0))*((I1697*0.3048)^VLOOKUP(D1697,'Species Codes'!B:M,12,0))))))*35.3*VLOOKUP(D1697,'Species Codes'!B:G,6,0)/2.2046,VLOOKUP(D1697,'Species Codes'!B:I,8,0)+VLOOKUP(D1697,'Species Codes'!B:J,9,0)*(((E1697*2.54)/100)^2)*(I1697*0.3048)))))*0.0011023),0)</f>
        <v>#N/A</v>
      </c>
      <c r="AC1697" s="104" t="e">
        <f>IF(Z1697&gt;0,((IF(OR(D1697="RA",D1697="OA",D1697="OT",D1697="UN",D1697="PC"),EXP(VLOOKUP(D1697,'Species Codes'!B:O,14,0)+VLOOKUP(D1697,'Species Codes'!B:P,15,0)*LN((E1697*2.54)))-EXP(VLOOKUP(D1697,'Species Codes'!B:O,14,0)+VLOOKUP(D1697,'Species Codes'!B:P,15,0)*LN((E1697*2.54)))*(1/(VLOOKUP(D1697,'Species Codes'!B:Q,16,0)+VLOOKUP(D1697,'Species Codes'!B:R,17,0)*((E1697*2.54)^VLOOKUP(D1697,'Species Codes'!B:S,18,0)))),IF(OR(D1697="BM",D1697="MD",D1697="OA"),EXP(VLOOKUP(D1697,'Species Codes'!B:O,14,0)+VLOOKUP(D1697,'Species Codes'!B:P,15,0)*LN((E1697*2.54)))*(1-(1/(VLOOKUP(D1697,'Species Codes'!B:Q,16,0)+VLOOKUP(D1697,'Species Codes'!B:R,17,0)*((E1697*2.54)^VLOOKUP(D1697,'Species Codes'!B:S,18,0)))))/1000,IF(D1697="DF",EXP(VLOOKUP(D1697,'Species Codes'!B:O,14,0)+VLOOKUP(D1697,'Species Codes'!B:P,15,0)*LN((E1697*2.54))),VLOOKUP(D1697,'Species Codes'!B:O,14,0)+VLOOKUP(D1697,'Species Codes'!B:P,15,0)*(((E1697*2.54)/100)^2)*(I1697*0.3048)))))*0.0011023),0)</f>
        <v>#N/A</v>
      </c>
      <c r="AD1697" s="104" t="e">
        <f t="shared" si="760"/>
        <v>#N/A</v>
      </c>
      <c r="AE1697" s="104" t="e">
        <f t="shared" si="761"/>
        <v>#N/A</v>
      </c>
      <c r="AF1697" s="104" t="e">
        <f>IF(AND(VLOOKUP($D1697,Merchantability!$B:$C,2,0)="Yes",$E1697&gt;=VLOOKUP($D1697,Merchantability!$B:$D,3,0),$E1697&lt;=VLOOKUP($D1697,Merchantability!$B:$E,4,0)),AA1697,0)</f>
        <v>#N/A</v>
      </c>
      <c r="AG1697" s="104" t="e">
        <f>IF(AND(VLOOKUP($D1697,Merchantability!$B:$C,2,0)="Yes",$E1697&gt;=VLOOKUP($D1697,Merchantability!$B:$D,3,0),$E1697&lt;=VLOOKUP($D1697,Merchantability!$B:$E,4,0)),AB1697,0)</f>
        <v>#N/A</v>
      </c>
      <c r="AH1697" s="104" t="e">
        <f>IF(AND(VLOOKUP($D1697,Merchantability!$B:$C,2,0)="Yes",$E1697&gt;=VLOOKUP($D1697,Merchantability!$B:$D,3,0),$E1697&lt;=VLOOKUP($D1697,Merchantability!$B:$E,4,0)),AC1697,0)</f>
        <v>#N/A</v>
      </c>
      <c r="AI1697" s="104" t="e">
        <f t="shared" si="762"/>
        <v>#N/A</v>
      </c>
      <c r="AJ1697" s="104" t="e">
        <f t="shared" si="763"/>
        <v>#VALUE!</v>
      </c>
      <c r="AK1697" s="104" t="e">
        <f t="shared" si="764"/>
        <v>#N/A</v>
      </c>
      <c r="AL1697" s="104" t="e">
        <f t="shared" si="765"/>
        <v>#N/A</v>
      </c>
      <c r="AM1697" s="104" t="e">
        <f t="shared" si="766"/>
        <v>#N/A</v>
      </c>
      <c r="AN1697" s="104" t="e">
        <f t="shared" si="750"/>
        <v>#N/A</v>
      </c>
      <c r="AO1697" s="104" t="e">
        <f t="shared" si="751"/>
        <v>#N/A</v>
      </c>
      <c r="AP1697" s="104" t="e">
        <f t="shared" si="752"/>
        <v>#N/A</v>
      </c>
      <c r="AQ1697" s="104" t="e">
        <f t="shared" si="753"/>
        <v>#N/A</v>
      </c>
      <c r="AR1697" s="105" t="str">
        <f t="shared" si="745"/>
        <v/>
      </c>
      <c r="AS1697" s="105" t="str">
        <f t="shared" si="746"/>
        <v/>
      </c>
      <c r="AT1697" s="108" t="str">
        <f t="shared" si="747"/>
        <v/>
      </c>
      <c r="AU1697" s="108" t="str">
        <f t="shared" si="748"/>
        <v/>
      </c>
      <c r="AV1697" s="107" t="str">
        <f>IF(ISNUMBER(O1697),IF(VLOOKUP($A1697,Stand!C:J,8,FALSE)="Short",AT1697,AU1697),"")</f>
        <v/>
      </c>
      <c r="AW1697" s="109" t="str">
        <f t="shared" si="754"/>
        <v/>
      </c>
      <c r="AX1697" s="109" t="str">
        <f t="shared" si="755"/>
        <v/>
      </c>
      <c r="AY1697" s="112" t="str">
        <f>IF(ISNUMBER(O1697),IF(AND(VLOOKUP($D1697,Merchantability!$B:$C,2,0)="Yes",$E1697&gt;=VLOOKUP($D1697,Merchantability!$B:$D,3,0),$E1697&lt;=VLOOKUP($D1697,Merchantability!$B:$E,4,0)),(AV1697*O1697)*(1-$H1697/100),""),"")</f>
        <v/>
      </c>
      <c r="AZ1697" s="116"/>
      <c r="BA1697" s="116"/>
      <c r="BB1697" s="116"/>
      <c r="BE1697" s="62"/>
      <c r="BF1697" s="63"/>
    </row>
    <row r="1698" spans="1:58" ht="12.75" customHeight="1" x14ac:dyDescent="0.25">
      <c r="A1698" s="334"/>
      <c r="B1698" s="334"/>
      <c r="C1698" s="332"/>
      <c r="D1698" s="334"/>
      <c r="E1698" s="335"/>
      <c r="F1698" s="334"/>
      <c r="G1698" s="332"/>
      <c r="H1698" s="332"/>
      <c r="I1698" s="334"/>
      <c r="J1698" s="336"/>
      <c r="K1698" s="332"/>
      <c r="L1698" s="332"/>
      <c r="M1698" s="76"/>
      <c r="N1698" s="103" t="str">
        <f>IF(A1698="","",VLOOKUP(A1698,Stand!C:K,9,0))</f>
        <v/>
      </c>
      <c r="O1698" s="104" t="str">
        <f t="shared" si="740"/>
        <v/>
      </c>
      <c r="P1698" s="105" t="str">
        <f t="shared" si="741"/>
        <v/>
      </c>
      <c r="Q1698" s="105" t="str">
        <f t="shared" si="756"/>
        <v/>
      </c>
      <c r="R1698" s="103" t="str">
        <f t="shared" si="742"/>
        <v/>
      </c>
      <c r="S1698" s="103" t="str">
        <f t="shared" si="743"/>
        <v/>
      </c>
      <c r="T1698" s="106" t="str">
        <f t="shared" si="757"/>
        <v/>
      </c>
      <c r="U1698" s="106" t="str">
        <f t="shared" si="758"/>
        <v/>
      </c>
      <c r="V1698" s="106" t="str">
        <f t="shared" si="759"/>
        <v/>
      </c>
      <c r="W1698" s="105" t="str">
        <f t="shared" si="744"/>
        <v/>
      </c>
      <c r="X1698" s="104" t="str">
        <f t="shared" si="749"/>
        <v/>
      </c>
      <c r="Y1698" s="104" t="str">
        <f t="array" ref="Y1698">IFERROR(IF(ISNUMBER(O1698),IF(COUNT(IF(A1698=$A$2:$A$2427,IF(D1698=$D$2:$D$2427,IF($X$2:$X$2427&gt;0,1))))&gt;0,SUM(IF(A1698=$A$2:$A$2427,IF(D1698=$D$2:$D$2427,$X$2:$X$2427)))/COUNT(IF(A1698=$A$2:$A$2427,IF(D1698=$D$2:$D$2427,IF(ISNUMBER($X$2:$X$2427),1)))),0),""),0)</f>
        <v/>
      </c>
      <c r="Z1698" s="104" t="str">
        <f>IF(ISNUMBER(O1698),IF(I1698&gt;0,(10^(VLOOKUP(D1698,'Species Codes'!B:C,2,0)+VLOOKUP(D1698,'Species Codes'!B:D,3,0)*LOG(E1698)+VLOOKUP(D1698,'Species Codes'!B:E,4,0)*LOG(I1698))),0),"")</f>
        <v/>
      </c>
      <c r="AA1698" s="104" t="str">
        <f>IFERROR((VLOOKUP(D1698,'Species Codes'!B:G,6,0)*Z1698)/2000,"")</f>
        <v/>
      </c>
      <c r="AB1698" s="104" t="e">
        <f>IF(Z1698&gt;0,((IF(OR(D1698="DF",D1698="RA")=TRUE,EXP(VLOOKUP(D1698,'Species Codes'!B:I,8,0)+VLOOKUP(D1698,'Species Codes'!B:J,9,0)*(LN((E1698*2.54)))),IF(OR(D1698="PY",D1698="RC",D1698="WH",D1698="NF")=TRUE,VLOOKUP(D1698,'Species Codes'!B:I,8,0)+VLOOKUP(D1698,'Species Codes'!B:J,9,0)*((E1698*2.54)^2)*(I1698*0.3048),IF(OR(D1698="MD",D1698="BM",D1698="GA")=TRUE,((VLOOKUP(D1698,'Species Codes'!B:I,8,0)*(((((E1698*2.54)+VLOOKUP(D1698,'Species Codes'!B:J,9,0))/VLOOKUP(D1698,'Species Codes'!B:K,10,0))^VLOOKUP(D1698,'Species Codes'!B:L,11,0))*((I1698*0.3048)^VLOOKUP(D1698,'Species Codes'!B:M,12,0))))-(VLOOKUP(D1698,'Species Codes'!B:I,8,0)*((((E1698*2.54)^VLOOKUP(D1698,'Species Codes'!B:L,11,0))*((I1698*0.3048)^VLOOKUP(D1698,'Species Codes'!B:M,12,0))))))*35.3*VLOOKUP(D1698,'Species Codes'!B:G,6,0)/2.2046,VLOOKUP(D1698,'Species Codes'!B:I,8,0)+VLOOKUP(D1698,'Species Codes'!B:J,9,0)*(((E1698*2.54)/100)^2)*(I1698*0.3048)))))*0.0011023),0)</f>
        <v>#N/A</v>
      </c>
      <c r="AC1698" s="104" t="e">
        <f>IF(Z1698&gt;0,((IF(OR(D1698="RA",D1698="OA",D1698="OT",D1698="UN",D1698="PC"),EXP(VLOOKUP(D1698,'Species Codes'!B:O,14,0)+VLOOKUP(D1698,'Species Codes'!B:P,15,0)*LN((E1698*2.54)))-EXP(VLOOKUP(D1698,'Species Codes'!B:O,14,0)+VLOOKUP(D1698,'Species Codes'!B:P,15,0)*LN((E1698*2.54)))*(1/(VLOOKUP(D1698,'Species Codes'!B:Q,16,0)+VLOOKUP(D1698,'Species Codes'!B:R,17,0)*((E1698*2.54)^VLOOKUP(D1698,'Species Codes'!B:S,18,0)))),IF(OR(D1698="BM",D1698="MD",D1698="OA"),EXP(VLOOKUP(D1698,'Species Codes'!B:O,14,0)+VLOOKUP(D1698,'Species Codes'!B:P,15,0)*LN((E1698*2.54)))*(1-(1/(VLOOKUP(D1698,'Species Codes'!B:Q,16,0)+VLOOKUP(D1698,'Species Codes'!B:R,17,0)*((E1698*2.54)^VLOOKUP(D1698,'Species Codes'!B:S,18,0)))))/1000,IF(D1698="DF",EXP(VLOOKUP(D1698,'Species Codes'!B:O,14,0)+VLOOKUP(D1698,'Species Codes'!B:P,15,0)*LN((E1698*2.54))),VLOOKUP(D1698,'Species Codes'!B:O,14,0)+VLOOKUP(D1698,'Species Codes'!B:P,15,0)*(((E1698*2.54)/100)^2)*(I1698*0.3048)))))*0.0011023),0)</f>
        <v>#N/A</v>
      </c>
      <c r="AD1698" s="104" t="e">
        <f t="shared" si="760"/>
        <v>#N/A</v>
      </c>
      <c r="AE1698" s="104" t="e">
        <f t="shared" si="761"/>
        <v>#N/A</v>
      </c>
      <c r="AF1698" s="104" t="e">
        <f>IF(AND(VLOOKUP($D1698,Merchantability!$B:$C,2,0)="Yes",$E1698&gt;=VLOOKUP($D1698,Merchantability!$B:$D,3,0),$E1698&lt;=VLOOKUP($D1698,Merchantability!$B:$E,4,0)),AA1698,0)</f>
        <v>#N/A</v>
      </c>
      <c r="AG1698" s="104" t="e">
        <f>IF(AND(VLOOKUP($D1698,Merchantability!$B:$C,2,0)="Yes",$E1698&gt;=VLOOKUP($D1698,Merchantability!$B:$D,3,0),$E1698&lt;=VLOOKUP($D1698,Merchantability!$B:$E,4,0)),AB1698,0)</f>
        <v>#N/A</v>
      </c>
      <c r="AH1698" s="104" t="e">
        <f>IF(AND(VLOOKUP($D1698,Merchantability!$B:$C,2,0)="Yes",$E1698&gt;=VLOOKUP($D1698,Merchantability!$B:$D,3,0),$E1698&lt;=VLOOKUP($D1698,Merchantability!$B:$E,4,0)),AC1698,0)</f>
        <v>#N/A</v>
      </c>
      <c r="AI1698" s="104" t="e">
        <f t="shared" si="762"/>
        <v>#N/A</v>
      </c>
      <c r="AJ1698" s="104" t="e">
        <f t="shared" si="763"/>
        <v>#VALUE!</v>
      </c>
      <c r="AK1698" s="104" t="e">
        <f t="shared" si="764"/>
        <v>#N/A</v>
      </c>
      <c r="AL1698" s="104" t="e">
        <f t="shared" si="765"/>
        <v>#N/A</v>
      </c>
      <c r="AM1698" s="104" t="e">
        <f t="shared" si="766"/>
        <v>#N/A</v>
      </c>
      <c r="AN1698" s="104" t="e">
        <f t="shared" si="750"/>
        <v>#N/A</v>
      </c>
      <c r="AO1698" s="104" t="e">
        <f t="shared" si="751"/>
        <v>#N/A</v>
      </c>
      <c r="AP1698" s="104" t="e">
        <f t="shared" si="752"/>
        <v>#N/A</v>
      </c>
      <c r="AQ1698" s="104" t="e">
        <f t="shared" si="753"/>
        <v>#N/A</v>
      </c>
      <c r="AR1698" s="105" t="str">
        <f t="shared" si="745"/>
        <v/>
      </c>
      <c r="AS1698" s="105" t="str">
        <f t="shared" si="746"/>
        <v/>
      </c>
      <c r="AT1698" s="108" t="str">
        <f t="shared" si="747"/>
        <v/>
      </c>
      <c r="AU1698" s="108" t="str">
        <f t="shared" si="748"/>
        <v/>
      </c>
      <c r="AV1698" s="107" t="str">
        <f>IF(ISNUMBER(O1698),IF(VLOOKUP($A1698,Stand!C:J,8,FALSE)="Short",AT1698,AU1698),"")</f>
        <v/>
      </c>
      <c r="AW1698" s="109" t="str">
        <f t="shared" si="754"/>
        <v/>
      </c>
      <c r="AX1698" s="109" t="str">
        <f t="shared" si="755"/>
        <v/>
      </c>
      <c r="AY1698" s="112" t="str">
        <f>IF(ISNUMBER(O1698),IF(AND(VLOOKUP($D1698,Merchantability!$B:$C,2,0)="Yes",$E1698&gt;=VLOOKUP($D1698,Merchantability!$B:$D,3,0),$E1698&lt;=VLOOKUP($D1698,Merchantability!$B:$E,4,0)),(AV1698*O1698)*(1-$H1698/100),""),"")</f>
        <v/>
      </c>
      <c r="AZ1698" s="116"/>
      <c r="BA1698" s="116"/>
      <c r="BB1698" s="116"/>
      <c r="BE1698" s="62"/>
      <c r="BF1698" s="63"/>
    </row>
    <row r="1699" spans="1:58" ht="12.75" customHeight="1" x14ac:dyDescent="0.25">
      <c r="A1699" s="334"/>
      <c r="B1699" s="334"/>
      <c r="C1699" s="332"/>
      <c r="D1699" s="334"/>
      <c r="E1699" s="335"/>
      <c r="F1699" s="334"/>
      <c r="G1699" s="332"/>
      <c r="H1699" s="332"/>
      <c r="I1699" s="334"/>
      <c r="J1699" s="336"/>
      <c r="K1699" s="332"/>
      <c r="L1699" s="332"/>
      <c r="M1699" s="76"/>
      <c r="N1699" s="103" t="str">
        <f>IF(A1699="","",VLOOKUP(A1699,Stand!C:K,9,0))</f>
        <v/>
      </c>
      <c r="O1699" s="104" t="str">
        <f t="shared" si="740"/>
        <v/>
      </c>
      <c r="P1699" s="105" t="str">
        <f t="shared" si="741"/>
        <v/>
      </c>
      <c r="Q1699" s="105" t="str">
        <f t="shared" si="756"/>
        <v/>
      </c>
      <c r="R1699" s="103" t="str">
        <f t="shared" si="742"/>
        <v/>
      </c>
      <c r="S1699" s="103" t="str">
        <f t="shared" si="743"/>
        <v/>
      </c>
      <c r="T1699" s="106" t="str">
        <f t="shared" si="757"/>
        <v/>
      </c>
      <c r="U1699" s="106" t="str">
        <f t="shared" si="758"/>
        <v/>
      </c>
      <c r="V1699" s="106" t="str">
        <f t="shared" si="759"/>
        <v/>
      </c>
      <c r="W1699" s="105" t="str">
        <f t="shared" si="744"/>
        <v/>
      </c>
      <c r="X1699" s="104" t="str">
        <f t="shared" si="749"/>
        <v/>
      </c>
      <c r="Y1699" s="104" t="str">
        <f t="array" ref="Y1699">IFERROR(IF(ISNUMBER(O1699),IF(COUNT(IF(A1699=$A$2:$A$2427,IF(D1699=$D$2:$D$2427,IF($X$2:$X$2427&gt;0,1))))&gt;0,SUM(IF(A1699=$A$2:$A$2427,IF(D1699=$D$2:$D$2427,$X$2:$X$2427)))/COUNT(IF(A1699=$A$2:$A$2427,IF(D1699=$D$2:$D$2427,IF(ISNUMBER($X$2:$X$2427),1)))),0),""),0)</f>
        <v/>
      </c>
      <c r="Z1699" s="104" t="str">
        <f>IF(ISNUMBER(O1699),IF(I1699&gt;0,(10^(VLOOKUP(D1699,'Species Codes'!B:C,2,0)+VLOOKUP(D1699,'Species Codes'!B:D,3,0)*LOG(E1699)+VLOOKUP(D1699,'Species Codes'!B:E,4,0)*LOG(I1699))),0),"")</f>
        <v/>
      </c>
      <c r="AA1699" s="104" t="str">
        <f>IFERROR((VLOOKUP(D1699,'Species Codes'!B:G,6,0)*Z1699)/2000,"")</f>
        <v/>
      </c>
      <c r="AB1699" s="104" t="e">
        <f>IF(Z1699&gt;0,((IF(OR(D1699="DF",D1699="RA")=TRUE,EXP(VLOOKUP(D1699,'Species Codes'!B:I,8,0)+VLOOKUP(D1699,'Species Codes'!B:J,9,0)*(LN((E1699*2.54)))),IF(OR(D1699="PY",D1699="RC",D1699="WH",D1699="NF")=TRUE,VLOOKUP(D1699,'Species Codes'!B:I,8,0)+VLOOKUP(D1699,'Species Codes'!B:J,9,0)*((E1699*2.54)^2)*(I1699*0.3048),IF(OR(D1699="MD",D1699="BM",D1699="GA")=TRUE,((VLOOKUP(D1699,'Species Codes'!B:I,8,0)*(((((E1699*2.54)+VLOOKUP(D1699,'Species Codes'!B:J,9,0))/VLOOKUP(D1699,'Species Codes'!B:K,10,0))^VLOOKUP(D1699,'Species Codes'!B:L,11,0))*((I1699*0.3048)^VLOOKUP(D1699,'Species Codes'!B:M,12,0))))-(VLOOKUP(D1699,'Species Codes'!B:I,8,0)*((((E1699*2.54)^VLOOKUP(D1699,'Species Codes'!B:L,11,0))*((I1699*0.3048)^VLOOKUP(D1699,'Species Codes'!B:M,12,0))))))*35.3*VLOOKUP(D1699,'Species Codes'!B:G,6,0)/2.2046,VLOOKUP(D1699,'Species Codes'!B:I,8,0)+VLOOKUP(D1699,'Species Codes'!B:J,9,0)*(((E1699*2.54)/100)^2)*(I1699*0.3048)))))*0.0011023),0)</f>
        <v>#N/A</v>
      </c>
      <c r="AC1699" s="104" t="e">
        <f>IF(Z1699&gt;0,((IF(OR(D1699="RA",D1699="OA",D1699="OT",D1699="UN",D1699="PC"),EXP(VLOOKUP(D1699,'Species Codes'!B:O,14,0)+VLOOKUP(D1699,'Species Codes'!B:P,15,0)*LN((E1699*2.54)))-EXP(VLOOKUP(D1699,'Species Codes'!B:O,14,0)+VLOOKUP(D1699,'Species Codes'!B:P,15,0)*LN((E1699*2.54)))*(1/(VLOOKUP(D1699,'Species Codes'!B:Q,16,0)+VLOOKUP(D1699,'Species Codes'!B:R,17,0)*((E1699*2.54)^VLOOKUP(D1699,'Species Codes'!B:S,18,0)))),IF(OR(D1699="BM",D1699="MD",D1699="OA"),EXP(VLOOKUP(D1699,'Species Codes'!B:O,14,0)+VLOOKUP(D1699,'Species Codes'!B:P,15,0)*LN((E1699*2.54)))*(1-(1/(VLOOKUP(D1699,'Species Codes'!B:Q,16,0)+VLOOKUP(D1699,'Species Codes'!B:R,17,0)*((E1699*2.54)^VLOOKUP(D1699,'Species Codes'!B:S,18,0)))))/1000,IF(D1699="DF",EXP(VLOOKUP(D1699,'Species Codes'!B:O,14,0)+VLOOKUP(D1699,'Species Codes'!B:P,15,0)*LN((E1699*2.54))),VLOOKUP(D1699,'Species Codes'!B:O,14,0)+VLOOKUP(D1699,'Species Codes'!B:P,15,0)*(((E1699*2.54)/100)^2)*(I1699*0.3048)))))*0.0011023),0)</f>
        <v>#N/A</v>
      </c>
      <c r="AD1699" s="104" t="e">
        <f t="shared" si="760"/>
        <v>#N/A</v>
      </c>
      <c r="AE1699" s="104" t="e">
        <f t="shared" si="761"/>
        <v>#N/A</v>
      </c>
      <c r="AF1699" s="104" t="e">
        <f>IF(AND(VLOOKUP($D1699,Merchantability!$B:$C,2,0)="Yes",$E1699&gt;=VLOOKUP($D1699,Merchantability!$B:$D,3,0),$E1699&lt;=VLOOKUP($D1699,Merchantability!$B:$E,4,0)),AA1699,0)</f>
        <v>#N/A</v>
      </c>
      <c r="AG1699" s="104" t="e">
        <f>IF(AND(VLOOKUP($D1699,Merchantability!$B:$C,2,0)="Yes",$E1699&gt;=VLOOKUP($D1699,Merchantability!$B:$D,3,0),$E1699&lt;=VLOOKUP($D1699,Merchantability!$B:$E,4,0)),AB1699,0)</f>
        <v>#N/A</v>
      </c>
      <c r="AH1699" s="104" t="e">
        <f>IF(AND(VLOOKUP($D1699,Merchantability!$B:$C,2,0)="Yes",$E1699&gt;=VLOOKUP($D1699,Merchantability!$B:$D,3,0),$E1699&lt;=VLOOKUP($D1699,Merchantability!$B:$E,4,0)),AC1699,0)</f>
        <v>#N/A</v>
      </c>
      <c r="AI1699" s="104" t="e">
        <f t="shared" si="762"/>
        <v>#N/A</v>
      </c>
      <c r="AJ1699" s="104" t="e">
        <f t="shared" si="763"/>
        <v>#VALUE!</v>
      </c>
      <c r="AK1699" s="104" t="e">
        <f t="shared" si="764"/>
        <v>#N/A</v>
      </c>
      <c r="AL1699" s="104" t="e">
        <f t="shared" si="765"/>
        <v>#N/A</v>
      </c>
      <c r="AM1699" s="104" t="e">
        <f t="shared" si="766"/>
        <v>#N/A</v>
      </c>
      <c r="AN1699" s="104" t="e">
        <f t="shared" si="750"/>
        <v>#N/A</v>
      </c>
      <c r="AO1699" s="104" t="e">
        <f t="shared" si="751"/>
        <v>#N/A</v>
      </c>
      <c r="AP1699" s="104" t="e">
        <f t="shared" si="752"/>
        <v>#N/A</v>
      </c>
      <c r="AQ1699" s="104" t="e">
        <f t="shared" si="753"/>
        <v>#N/A</v>
      </c>
      <c r="AR1699" s="105" t="str">
        <f t="shared" si="745"/>
        <v/>
      </c>
      <c r="AS1699" s="105" t="str">
        <f t="shared" si="746"/>
        <v/>
      </c>
      <c r="AT1699" s="108" t="str">
        <f t="shared" si="747"/>
        <v/>
      </c>
      <c r="AU1699" s="108" t="str">
        <f t="shared" si="748"/>
        <v/>
      </c>
      <c r="AV1699" s="107" t="str">
        <f>IF(ISNUMBER(O1699),IF(VLOOKUP($A1699,Stand!C:J,8,FALSE)="Short",AT1699,AU1699),"")</f>
        <v/>
      </c>
      <c r="AW1699" s="109" t="str">
        <f t="shared" si="754"/>
        <v/>
      </c>
      <c r="AX1699" s="109" t="str">
        <f t="shared" si="755"/>
        <v/>
      </c>
      <c r="AY1699" s="112" t="str">
        <f>IF(ISNUMBER(O1699),IF(AND(VLOOKUP($D1699,Merchantability!$B:$C,2,0)="Yes",$E1699&gt;=VLOOKUP($D1699,Merchantability!$B:$D,3,0),$E1699&lt;=VLOOKUP($D1699,Merchantability!$B:$E,4,0)),(AV1699*O1699)*(1-$H1699/100),""),"")</f>
        <v/>
      </c>
      <c r="AZ1699" s="116"/>
      <c r="BA1699" s="116"/>
      <c r="BB1699" s="116"/>
      <c r="BE1699" s="62"/>
      <c r="BF1699" s="63"/>
    </row>
    <row r="1700" spans="1:58" ht="12.75" customHeight="1" x14ac:dyDescent="0.25">
      <c r="A1700" s="334"/>
      <c r="B1700" s="334"/>
      <c r="C1700" s="332"/>
      <c r="D1700" s="334"/>
      <c r="E1700" s="335"/>
      <c r="F1700" s="334"/>
      <c r="G1700" s="332"/>
      <c r="H1700" s="332"/>
      <c r="I1700" s="334"/>
      <c r="J1700" s="336"/>
      <c r="K1700" s="332"/>
      <c r="L1700" s="332"/>
      <c r="M1700" s="76"/>
      <c r="N1700" s="103" t="str">
        <f>IF(A1700="","",VLOOKUP(A1700,Stand!C:K,9,0))</f>
        <v/>
      </c>
      <c r="O1700" s="104" t="str">
        <f t="shared" si="740"/>
        <v/>
      </c>
      <c r="P1700" s="105" t="str">
        <f t="shared" si="741"/>
        <v/>
      </c>
      <c r="Q1700" s="105" t="str">
        <f t="shared" si="756"/>
        <v/>
      </c>
      <c r="R1700" s="103" t="str">
        <f t="shared" si="742"/>
        <v/>
      </c>
      <c r="S1700" s="103" t="str">
        <f t="shared" si="743"/>
        <v/>
      </c>
      <c r="T1700" s="106" t="str">
        <f t="shared" si="757"/>
        <v/>
      </c>
      <c r="U1700" s="106" t="str">
        <f t="shared" si="758"/>
        <v/>
      </c>
      <c r="V1700" s="106" t="str">
        <f t="shared" si="759"/>
        <v/>
      </c>
      <c r="W1700" s="105" t="str">
        <f t="shared" si="744"/>
        <v/>
      </c>
      <c r="X1700" s="104" t="str">
        <f t="shared" si="749"/>
        <v/>
      </c>
      <c r="Y1700" s="104" t="str">
        <f t="array" ref="Y1700">IFERROR(IF(ISNUMBER(O1700),IF(COUNT(IF(A1700=$A$2:$A$2427,IF(D1700=$D$2:$D$2427,IF($X$2:$X$2427&gt;0,1))))&gt;0,SUM(IF(A1700=$A$2:$A$2427,IF(D1700=$D$2:$D$2427,$X$2:$X$2427)))/COUNT(IF(A1700=$A$2:$A$2427,IF(D1700=$D$2:$D$2427,IF(ISNUMBER($X$2:$X$2427),1)))),0),""),0)</f>
        <v/>
      </c>
      <c r="Z1700" s="104" t="str">
        <f>IF(ISNUMBER(O1700),IF(I1700&gt;0,(10^(VLOOKUP(D1700,'Species Codes'!B:C,2,0)+VLOOKUP(D1700,'Species Codes'!B:D,3,0)*LOG(E1700)+VLOOKUP(D1700,'Species Codes'!B:E,4,0)*LOG(I1700))),0),"")</f>
        <v/>
      </c>
      <c r="AA1700" s="104" t="str">
        <f>IFERROR((VLOOKUP(D1700,'Species Codes'!B:G,6,0)*Z1700)/2000,"")</f>
        <v/>
      </c>
      <c r="AB1700" s="104" t="e">
        <f>IF(Z1700&gt;0,((IF(OR(D1700="DF",D1700="RA")=TRUE,EXP(VLOOKUP(D1700,'Species Codes'!B:I,8,0)+VLOOKUP(D1700,'Species Codes'!B:J,9,0)*(LN((E1700*2.54)))),IF(OR(D1700="PY",D1700="RC",D1700="WH",D1700="NF")=TRUE,VLOOKUP(D1700,'Species Codes'!B:I,8,0)+VLOOKUP(D1700,'Species Codes'!B:J,9,0)*((E1700*2.54)^2)*(I1700*0.3048),IF(OR(D1700="MD",D1700="BM",D1700="GA")=TRUE,((VLOOKUP(D1700,'Species Codes'!B:I,8,0)*(((((E1700*2.54)+VLOOKUP(D1700,'Species Codes'!B:J,9,0))/VLOOKUP(D1700,'Species Codes'!B:K,10,0))^VLOOKUP(D1700,'Species Codes'!B:L,11,0))*((I1700*0.3048)^VLOOKUP(D1700,'Species Codes'!B:M,12,0))))-(VLOOKUP(D1700,'Species Codes'!B:I,8,0)*((((E1700*2.54)^VLOOKUP(D1700,'Species Codes'!B:L,11,0))*((I1700*0.3048)^VLOOKUP(D1700,'Species Codes'!B:M,12,0))))))*35.3*VLOOKUP(D1700,'Species Codes'!B:G,6,0)/2.2046,VLOOKUP(D1700,'Species Codes'!B:I,8,0)+VLOOKUP(D1700,'Species Codes'!B:J,9,0)*(((E1700*2.54)/100)^2)*(I1700*0.3048)))))*0.0011023),0)</f>
        <v>#N/A</v>
      </c>
      <c r="AC1700" s="104" t="e">
        <f>IF(Z1700&gt;0,((IF(OR(D1700="RA",D1700="OA",D1700="OT",D1700="UN",D1700="PC"),EXP(VLOOKUP(D1700,'Species Codes'!B:O,14,0)+VLOOKUP(D1700,'Species Codes'!B:P,15,0)*LN((E1700*2.54)))-EXP(VLOOKUP(D1700,'Species Codes'!B:O,14,0)+VLOOKUP(D1700,'Species Codes'!B:P,15,0)*LN((E1700*2.54)))*(1/(VLOOKUP(D1700,'Species Codes'!B:Q,16,0)+VLOOKUP(D1700,'Species Codes'!B:R,17,0)*((E1700*2.54)^VLOOKUP(D1700,'Species Codes'!B:S,18,0)))),IF(OR(D1700="BM",D1700="MD",D1700="OA"),EXP(VLOOKUP(D1700,'Species Codes'!B:O,14,0)+VLOOKUP(D1700,'Species Codes'!B:P,15,0)*LN((E1700*2.54)))*(1-(1/(VLOOKUP(D1700,'Species Codes'!B:Q,16,0)+VLOOKUP(D1700,'Species Codes'!B:R,17,0)*((E1700*2.54)^VLOOKUP(D1700,'Species Codes'!B:S,18,0)))))/1000,IF(D1700="DF",EXP(VLOOKUP(D1700,'Species Codes'!B:O,14,0)+VLOOKUP(D1700,'Species Codes'!B:P,15,0)*LN((E1700*2.54))),VLOOKUP(D1700,'Species Codes'!B:O,14,0)+VLOOKUP(D1700,'Species Codes'!B:P,15,0)*(((E1700*2.54)/100)^2)*(I1700*0.3048)))))*0.0011023),0)</f>
        <v>#N/A</v>
      </c>
      <c r="AD1700" s="104" t="e">
        <f t="shared" si="760"/>
        <v>#N/A</v>
      </c>
      <c r="AE1700" s="104" t="e">
        <f t="shared" si="761"/>
        <v>#N/A</v>
      </c>
      <c r="AF1700" s="104" t="e">
        <f>IF(AND(VLOOKUP($D1700,Merchantability!$B:$C,2,0)="Yes",$E1700&gt;=VLOOKUP($D1700,Merchantability!$B:$D,3,0),$E1700&lt;=VLOOKUP($D1700,Merchantability!$B:$E,4,0)),AA1700,0)</f>
        <v>#N/A</v>
      </c>
      <c r="AG1700" s="104" t="e">
        <f>IF(AND(VLOOKUP($D1700,Merchantability!$B:$C,2,0)="Yes",$E1700&gt;=VLOOKUP($D1700,Merchantability!$B:$D,3,0),$E1700&lt;=VLOOKUP($D1700,Merchantability!$B:$E,4,0)),AB1700,0)</f>
        <v>#N/A</v>
      </c>
      <c r="AH1700" s="104" t="e">
        <f>IF(AND(VLOOKUP($D1700,Merchantability!$B:$C,2,0)="Yes",$E1700&gt;=VLOOKUP($D1700,Merchantability!$B:$D,3,0),$E1700&lt;=VLOOKUP($D1700,Merchantability!$B:$E,4,0)),AC1700,0)</f>
        <v>#N/A</v>
      </c>
      <c r="AI1700" s="104" t="e">
        <f t="shared" si="762"/>
        <v>#N/A</v>
      </c>
      <c r="AJ1700" s="104" t="e">
        <f t="shared" si="763"/>
        <v>#VALUE!</v>
      </c>
      <c r="AK1700" s="104" t="e">
        <f t="shared" si="764"/>
        <v>#N/A</v>
      </c>
      <c r="AL1700" s="104" t="e">
        <f t="shared" si="765"/>
        <v>#N/A</v>
      </c>
      <c r="AM1700" s="104" t="e">
        <f t="shared" si="766"/>
        <v>#N/A</v>
      </c>
      <c r="AN1700" s="104" t="e">
        <f t="shared" si="750"/>
        <v>#N/A</v>
      </c>
      <c r="AO1700" s="104" t="e">
        <f t="shared" si="751"/>
        <v>#N/A</v>
      </c>
      <c r="AP1700" s="104" t="e">
        <f t="shared" si="752"/>
        <v>#N/A</v>
      </c>
      <c r="AQ1700" s="104" t="e">
        <f t="shared" si="753"/>
        <v>#N/A</v>
      </c>
      <c r="AR1700" s="105" t="str">
        <f t="shared" si="745"/>
        <v/>
      </c>
      <c r="AS1700" s="105" t="str">
        <f t="shared" si="746"/>
        <v/>
      </c>
      <c r="AT1700" s="108" t="str">
        <f t="shared" si="747"/>
        <v/>
      </c>
      <c r="AU1700" s="108" t="str">
        <f t="shared" si="748"/>
        <v/>
      </c>
      <c r="AV1700" s="107" t="str">
        <f>IF(ISNUMBER(O1700),IF(VLOOKUP($A1700,Stand!C:J,8,FALSE)="Short",AT1700,AU1700),"")</f>
        <v/>
      </c>
      <c r="AW1700" s="109" t="str">
        <f t="shared" si="754"/>
        <v/>
      </c>
      <c r="AX1700" s="109" t="str">
        <f t="shared" si="755"/>
        <v/>
      </c>
      <c r="AY1700" s="112" t="str">
        <f>IF(ISNUMBER(O1700),IF(AND(VLOOKUP($D1700,Merchantability!$B:$C,2,0)="Yes",$E1700&gt;=VLOOKUP($D1700,Merchantability!$B:$D,3,0),$E1700&lt;=VLOOKUP($D1700,Merchantability!$B:$E,4,0)),(AV1700*O1700)*(1-$H1700/100),""),"")</f>
        <v/>
      </c>
      <c r="AZ1700" s="116"/>
      <c r="BA1700" s="116"/>
      <c r="BB1700" s="116"/>
      <c r="BE1700" s="62"/>
      <c r="BF1700" s="63"/>
    </row>
    <row r="1701" spans="1:58" ht="12.75" customHeight="1" x14ac:dyDescent="0.25">
      <c r="A1701" s="334"/>
      <c r="B1701" s="334"/>
      <c r="C1701" s="332"/>
      <c r="D1701" s="334"/>
      <c r="E1701" s="335"/>
      <c r="F1701" s="334"/>
      <c r="G1701" s="332"/>
      <c r="H1701" s="332"/>
      <c r="I1701" s="334"/>
      <c r="J1701" s="336"/>
      <c r="K1701" s="332"/>
      <c r="L1701" s="332"/>
      <c r="M1701" s="76"/>
      <c r="N1701" s="103" t="str">
        <f>IF(A1701="","",VLOOKUP(A1701,Stand!C:K,9,0))</f>
        <v/>
      </c>
      <c r="O1701" s="104" t="str">
        <f t="shared" si="740"/>
        <v/>
      </c>
      <c r="P1701" s="105" t="str">
        <f t="shared" si="741"/>
        <v/>
      </c>
      <c r="Q1701" s="105" t="str">
        <f t="shared" si="756"/>
        <v/>
      </c>
      <c r="R1701" s="103" t="str">
        <f t="shared" si="742"/>
        <v/>
      </c>
      <c r="S1701" s="103" t="str">
        <f t="shared" si="743"/>
        <v/>
      </c>
      <c r="T1701" s="106" t="str">
        <f t="shared" si="757"/>
        <v/>
      </c>
      <c r="U1701" s="106" t="str">
        <f t="shared" si="758"/>
        <v/>
      </c>
      <c r="V1701" s="106" t="str">
        <f t="shared" si="759"/>
        <v/>
      </c>
      <c r="W1701" s="105" t="str">
        <f t="shared" si="744"/>
        <v/>
      </c>
      <c r="X1701" s="104" t="str">
        <f t="shared" si="749"/>
        <v/>
      </c>
      <c r="Y1701" s="104" t="str">
        <f t="array" ref="Y1701">IFERROR(IF(ISNUMBER(O1701),IF(COUNT(IF(A1701=$A$2:$A$2427,IF(D1701=$D$2:$D$2427,IF($X$2:$X$2427&gt;0,1))))&gt;0,SUM(IF(A1701=$A$2:$A$2427,IF(D1701=$D$2:$D$2427,$X$2:$X$2427)))/COUNT(IF(A1701=$A$2:$A$2427,IF(D1701=$D$2:$D$2427,IF(ISNUMBER($X$2:$X$2427),1)))),0),""),0)</f>
        <v/>
      </c>
      <c r="Z1701" s="104" t="str">
        <f>IF(ISNUMBER(O1701),IF(I1701&gt;0,(10^(VLOOKUP(D1701,'Species Codes'!B:C,2,0)+VLOOKUP(D1701,'Species Codes'!B:D,3,0)*LOG(E1701)+VLOOKUP(D1701,'Species Codes'!B:E,4,0)*LOG(I1701))),0),"")</f>
        <v/>
      </c>
      <c r="AA1701" s="104" t="str">
        <f>IFERROR((VLOOKUP(D1701,'Species Codes'!B:G,6,0)*Z1701)/2000,"")</f>
        <v/>
      </c>
      <c r="AB1701" s="104" t="e">
        <f>IF(Z1701&gt;0,((IF(OR(D1701="DF",D1701="RA")=TRUE,EXP(VLOOKUP(D1701,'Species Codes'!B:I,8,0)+VLOOKUP(D1701,'Species Codes'!B:J,9,0)*(LN((E1701*2.54)))),IF(OR(D1701="PY",D1701="RC",D1701="WH",D1701="NF")=TRUE,VLOOKUP(D1701,'Species Codes'!B:I,8,0)+VLOOKUP(D1701,'Species Codes'!B:J,9,0)*((E1701*2.54)^2)*(I1701*0.3048),IF(OR(D1701="MD",D1701="BM",D1701="GA")=TRUE,((VLOOKUP(D1701,'Species Codes'!B:I,8,0)*(((((E1701*2.54)+VLOOKUP(D1701,'Species Codes'!B:J,9,0))/VLOOKUP(D1701,'Species Codes'!B:K,10,0))^VLOOKUP(D1701,'Species Codes'!B:L,11,0))*((I1701*0.3048)^VLOOKUP(D1701,'Species Codes'!B:M,12,0))))-(VLOOKUP(D1701,'Species Codes'!B:I,8,0)*((((E1701*2.54)^VLOOKUP(D1701,'Species Codes'!B:L,11,0))*((I1701*0.3048)^VLOOKUP(D1701,'Species Codes'!B:M,12,0))))))*35.3*VLOOKUP(D1701,'Species Codes'!B:G,6,0)/2.2046,VLOOKUP(D1701,'Species Codes'!B:I,8,0)+VLOOKUP(D1701,'Species Codes'!B:J,9,0)*(((E1701*2.54)/100)^2)*(I1701*0.3048)))))*0.0011023),0)</f>
        <v>#N/A</v>
      </c>
      <c r="AC1701" s="104" t="e">
        <f>IF(Z1701&gt;0,((IF(OR(D1701="RA",D1701="OA",D1701="OT",D1701="UN",D1701="PC"),EXP(VLOOKUP(D1701,'Species Codes'!B:O,14,0)+VLOOKUP(D1701,'Species Codes'!B:P,15,0)*LN((E1701*2.54)))-EXP(VLOOKUP(D1701,'Species Codes'!B:O,14,0)+VLOOKUP(D1701,'Species Codes'!B:P,15,0)*LN((E1701*2.54)))*(1/(VLOOKUP(D1701,'Species Codes'!B:Q,16,0)+VLOOKUP(D1701,'Species Codes'!B:R,17,0)*((E1701*2.54)^VLOOKUP(D1701,'Species Codes'!B:S,18,0)))),IF(OR(D1701="BM",D1701="MD",D1701="OA"),EXP(VLOOKUP(D1701,'Species Codes'!B:O,14,0)+VLOOKUP(D1701,'Species Codes'!B:P,15,0)*LN((E1701*2.54)))*(1-(1/(VLOOKUP(D1701,'Species Codes'!B:Q,16,0)+VLOOKUP(D1701,'Species Codes'!B:R,17,0)*((E1701*2.54)^VLOOKUP(D1701,'Species Codes'!B:S,18,0)))))/1000,IF(D1701="DF",EXP(VLOOKUP(D1701,'Species Codes'!B:O,14,0)+VLOOKUP(D1701,'Species Codes'!B:P,15,0)*LN((E1701*2.54))),VLOOKUP(D1701,'Species Codes'!B:O,14,0)+VLOOKUP(D1701,'Species Codes'!B:P,15,0)*(((E1701*2.54)/100)^2)*(I1701*0.3048)))))*0.0011023),0)</f>
        <v>#N/A</v>
      </c>
      <c r="AD1701" s="104" t="e">
        <f t="shared" si="760"/>
        <v>#N/A</v>
      </c>
      <c r="AE1701" s="104" t="e">
        <f t="shared" si="761"/>
        <v>#N/A</v>
      </c>
      <c r="AF1701" s="104" t="e">
        <f>IF(AND(VLOOKUP($D1701,Merchantability!$B:$C,2,0)="Yes",$E1701&gt;=VLOOKUP($D1701,Merchantability!$B:$D,3,0),$E1701&lt;=VLOOKUP($D1701,Merchantability!$B:$E,4,0)),AA1701,0)</f>
        <v>#N/A</v>
      </c>
      <c r="AG1701" s="104" t="e">
        <f>IF(AND(VLOOKUP($D1701,Merchantability!$B:$C,2,0)="Yes",$E1701&gt;=VLOOKUP($D1701,Merchantability!$B:$D,3,0),$E1701&lt;=VLOOKUP($D1701,Merchantability!$B:$E,4,0)),AB1701,0)</f>
        <v>#N/A</v>
      </c>
      <c r="AH1701" s="104" t="e">
        <f>IF(AND(VLOOKUP($D1701,Merchantability!$B:$C,2,0)="Yes",$E1701&gt;=VLOOKUP($D1701,Merchantability!$B:$D,3,0),$E1701&lt;=VLOOKUP($D1701,Merchantability!$B:$E,4,0)),AC1701,0)</f>
        <v>#N/A</v>
      </c>
      <c r="AI1701" s="104" t="e">
        <f t="shared" si="762"/>
        <v>#N/A</v>
      </c>
      <c r="AJ1701" s="104" t="e">
        <f t="shared" si="763"/>
        <v>#VALUE!</v>
      </c>
      <c r="AK1701" s="104" t="e">
        <f t="shared" si="764"/>
        <v>#N/A</v>
      </c>
      <c r="AL1701" s="104" t="e">
        <f t="shared" si="765"/>
        <v>#N/A</v>
      </c>
      <c r="AM1701" s="104" t="e">
        <f t="shared" si="766"/>
        <v>#N/A</v>
      </c>
      <c r="AN1701" s="104" t="e">
        <f t="shared" si="750"/>
        <v>#N/A</v>
      </c>
      <c r="AO1701" s="104" t="e">
        <f t="shared" si="751"/>
        <v>#N/A</v>
      </c>
      <c r="AP1701" s="104" t="e">
        <f t="shared" si="752"/>
        <v>#N/A</v>
      </c>
      <c r="AQ1701" s="104" t="e">
        <f t="shared" si="753"/>
        <v>#N/A</v>
      </c>
      <c r="AR1701" s="105" t="str">
        <f t="shared" si="745"/>
        <v/>
      </c>
      <c r="AS1701" s="105" t="str">
        <f t="shared" si="746"/>
        <v/>
      </c>
      <c r="AT1701" s="108" t="str">
        <f t="shared" si="747"/>
        <v/>
      </c>
      <c r="AU1701" s="108" t="str">
        <f t="shared" si="748"/>
        <v/>
      </c>
      <c r="AV1701" s="107" t="str">
        <f>IF(ISNUMBER(O1701),IF(VLOOKUP($A1701,Stand!C:J,8,FALSE)="Short",AT1701,AU1701),"")</f>
        <v/>
      </c>
      <c r="AW1701" s="109" t="str">
        <f t="shared" si="754"/>
        <v/>
      </c>
      <c r="AX1701" s="109" t="str">
        <f t="shared" si="755"/>
        <v/>
      </c>
      <c r="AY1701" s="112" t="str">
        <f>IF(ISNUMBER(O1701),IF(AND(VLOOKUP($D1701,Merchantability!$B:$C,2,0)="Yes",$E1701&gt;=VLOOKUP($D1701,Merchantability!$B:$D,3,0),$E1701&lt;=VLOOKUP($D1701,Merchantability!$B:$E,4,0)),(AV1701*O1701)*(1-$H1701/100),""),"")</f>
        <v/>
      </c>
      <c r="AZ1701" s="116"/>
      <c r="BA1701" s="116"/>
      <c r="BB1701" s="116"/>
      <c r="BE1701" s="62"/>
      <c r="BF1701" s="63"/>
    </row>
    <row r="1702" spans="1:58" ht="12.75" customHeight="1" x14ac:dyDescent="0.25">
      <c r="A1702" s="334"/>
      <c r="B1702" s="334"/>
      <c r="C1702" s="332"/>
      <c r="D1702" s="334"/>
      <c r="E1702" s="335"/>
      <c r="F1702" s="334"/>
      <c r="G1702" s="332"/>
      <c r="H1702" s="332"/>
      <c r="I1702" s="334"/>
      <c r="J1702" s="336"/>
      <c r="K1702" s="332"/>
      <c r="L1702" s="332"/>
      <c r="M1702" s="76"/>
      <c r="N1702" s="103" t="str">
        <f>IF(A1702="","",VLOOKUP(A1702,Stand!C:K,9,0))</f>
        <v/>
      </c>
      <c r="O1702" s="104" t="str">
        <f t="shared" si="740"/>
        <v/>
      </c>
      <c r="P1702" s="105" t="str">
        <f t="shared" si="741"/>
        <v/>
      </c>
      <c r="Q1702" s="105" t="str">
        <f t="shared" si="756"/>
        <v/>
      </c>
      <c r="R1702" s="103" t="str">
        <f t="shared" si="742"/>
        <v/>
      </c>
      <c r="S1702" s="103" t="str">
        <f t="shared" si="743"/>
        <v/>
      </c>
      <c r="T1702" s="106" t="str">
        <f t="shared" si="757"/>
        <v/>
      </c>
      <c r="U1702" s="106" t="str">
        <f t="shared" si="758"/>
        <v/>
      </c>
      <c r="V1702" s="106" t="str">
        <f t="shared" si="759"/>
        <v/>
      </c>
      <c r="W1702" s="105" t="str">
        <f t="shared" si="744"/>
        <v/>
      </c>
      <c r="X1702" s="104" t="str">
        <f t="shared" si="749"/>
        <v/>
      </c>
      <c r="Y1702" s="104" t="str">
        <f t="array" ref="Y1702">IFERROR(IF(ISNUMBER(O1702),IF(COUNT(IF(A1702=$A$2:$A$2427,IF(D1702=$D$2:$D$2427,IF($X$2:$X$2427&gt;0,1))))&gt;0,SUM(IF(A1702=$A$2:$A$2427,IF(D1702=$D$2:$D$2427,$X$2:$X$2427)))/COUNT(IF(A1702=$A$2:$A$2427,IF(D1702=$D$2:$D$2427,IF(ISNUMBER($X$2:$X$2427),1)))),0),""),0)</f>
        <v/>
      </c>
      <c r="Z1702" s="104" t="str">
        <f>IF(ISNUMBER(O1702),IF(I1702&gt;0,(10^(VLOOKUP(D1702,'Species Codes'!B:C,2,0)+VLOOKUP(D1702,'Species Codes'!B:D,3,0)*LOG(E1702)+VLOOKUP(D1702,'Species Codes'!B:E,4,0)*LOG(I1702))),0),"")</f>
        <v/>
      </c>
      <c r="AA1702" s="104" t="str">
        <f>IFERROR((VLOOKUP(D1702,'Species Codes'!B:G,6,0)*Z1702)/2000,"")</f>
        <v/>
      </c>
      <c r="AB1702" s="104" t="e">
        <f>IF(Z1702&gt;0,((IF(OR(D1702="DF",D1702="RA")=TRUE,EXP(VLOOKUP(D1702,'Species Codes'!B:I,8,0)+VLOOKUP(D1702,'Species Codes'!B:J,9,0)*(LN((E1702*2.54)))),IF(OR(D1702="PY",D1702="RC",D1702="WH",D1702="NF")=TRUE,VLOOKUP(D1702,'Species Codes'!B:I,8,0)+VLOOKUP(D1702,'Species Codes'!B:J,9,0)*((E1702*2.54)^2)*(I1702*0.3048),IF(OR(D1702="MD",D1702="BM",D1702="GA")=TRUE,((VLOOKUP(D1702,'Species Codes'!B:I,8,0)*(((((E1702*2.54)+VLOOKUP(D1702,'Species Codes'!B:J,9,0))/VLOOKUP(D1702,'Species Codes'!B:K,10,0))^VLOOKUP(D1702,'Species Codes'!B:L,11,0))*((I1702*0.3048)^VLOOKUP(D1702,'Species Codes'!B:M,12,0))))-(VLOOKUP(D1702,'Species Codes'!B:I,8,0)*((((E1702*2.54)^VLOOKUP(D1702,'Species Codes'!B:L,11,0))*((I1702*0.3048)^VLOOKUP(D1702,'Species Codes'!B:M,12,0))))))*35.3*VLOOKUP(D1702,'Species Codes'!B:G,6,0)/2.2046,VLOOKUP(D1702,'Species Codes'!B:I,8,0)+VLOOKUP(D1702,'Species Codes'!B:J,9,0)*(((E1702*2.54)/100)^2)*(I1702*0.3048)))))*0.0011023),0)</f>
        <v>#N/A</v>
      </c>
      <c r="AC1702" s="104" t="e">
        <f>IF(Z1702&gt;0,((IF(OR(D1702="RA",D1702="OA",D1702="OT",D1702="UN",D1702="PC"),EXP(VLOOKUP(D1702,'Species Codes'!B:O,14,0)+VLOOKUP(D1702,'Species Codes'!B:P,15,0)*LN((E1702*2.54)))-EXP(VLOOKUP(D1702,'Species Codes'!B:O,14,0)+VLOOKUP(D1702,'Species Codes'!B:P,15,0)*LN((E1702*2.54)))*(1/(VLOOKUP(D1702,'Species Codes'!B:Q,16,0)+VLOOKUP(D1702,'Species Codes'!B:R,17,0)*((E1702*2.54)^VLOOKUP(D1702,'Species Codes'!B:S,18,0)))),IF(OR(D1702="BM",D1702="MD",D1702="OA"),EXP(VLOOKUP(D1702,'Species Codes'!B:O,14,0)+VLOOKUP(D1702,'Species Codes'!B:P,15,0)*LN((E1702*2.54)))*(1-(1/(VLOOKUP(D1702,'Species Codes'!B:Q,16,0)+VLOOKUP(D1702,'Species Codes'!B:R,17,0)*((E1702*2.54)^VLOOKUP(D1702,'Species Codes'!B:S,18,0)))))/1000,IF(D1702="DF",EXP(VLOOKUP(D1702,'Species Codes'!B:O,14,0)+VLOOKUP(D1702,'Species Codes'!B:P,15,0)*LN((E1702*2.54))),VLOOKUP(D1702,'Species Codes'!B:O,14,0)+VLOOKUP(D1702,'Species Codes'!B:P,15,0)*(((E1702*2.54)/100)^2)*(I1702*0.3048)))))*0.0011023),0)</f>
        <v>#N/A</v>
      </c>
      <c r="AD1702" s="104" t="e">
        <f t="shared" si="760"/>
        <v>#N/A</v>
      </c>
      <c r="AE1702" s="104" t="e">
        <f t="shared" si="761"/>
        <v>#N/A</v>
      </c>
      <c r="AF1702" s="104" t="e">
        <f>IF(AND(VLOOKUP($D1702,Merchantability!$B:$C,2,0)="Yes",$E1702&gt;=VLOOKUP($D1702,Merchantability!$B:$D,3,0),$E1702&lt;=VLOOKUP($D1702,Merchantability!$B:$E,4,0)),AA1702,0)</f>
        <v>#N/A</v>
      </c>
      <c r="AG1702" s="104" t="e">
        <f>IF(AND(VLOOKUP($D1702,Merchantability!$B:$C,2,0)="Yes",$E1702&gt;=VLOOKUP($D1702,Merchantability!$B:$D,3,0),$E1702&lt;=VLOOKUP($D1702,Merchantability!$B:$E,4,0)),AB1702,0)</f>
        <v>#N/A</v>
      </c>
      <c r="AH1702" s="104" t="e">
        <f>IF(AND(VLOOKUP($D1702,Merchantability!$B:$C,2,0)="Yes",$E1702&gt;=VLOOKUP($D1702,Merchantability!$B:$D,3,0),$E1702&lt;=VLOOKUP($D1702,Merchantability!$B:$E,4,0)),AC1702,0)</f>
        <v>#N/A</v>
      </c>
      <c r="AI1702" s="104" t="e">
        <f t="shared" si="762"/>
        <v>#N/A</v>
      </c>
      <c r="AJ1702" s="104" t="e">
        <f t="shared" si="763"/>
        <v>#VALUE!</v>
      </c>
      <c r="AK1702" s="104" t="e">
        <f t="shared" si="764"/>
        <v>#N/A</v>
      </c>
      <c r="AL1702" s="104" t="e">
        <f t="shared" si="765"/>
        <v>#N/A</v>
      </c>
      <c r="AM1702" s="104" t="e">
        <f t="shared" si="766"/>
        <v>#N/A</v>
      </c>
      <c r="AN1702" s="104" t="e">
        <f t="shared" si="750"/>
        <v>#N/A</v>
      </c>
      <c r="AO1702" s="104" t="e">
        <f t="shared" si="751"/>
        <v>#N/A</v>
      </c>
      <c r="AP1702" s="104" t="e">
        <f t="shared" si="752"/>
        <v>#N/A</v>
      </c>
      <c r="AQ1702" s="104" t="e">
        <f t="shared" si="753"/>
        <v>#N/A</v>
      </c>
      <c r="AR1702" s="105" t="str">
        <f t="shared" si="745"/>
        <v/>
      </c>
      <c r="AS1702" s="105" t="str">
        <f t="shared" si="746"/>
        <v/>
      </c>
      <c r="AT1702" s="108" t="str">
        <f t="shared" si="747"/>
        <v/>
      </c>
      <c r="AU1702" s="108" t="str">
        <f t="shared" si="748"/>
        <v/>
      </c>
      <c r="AV1702" s="107" t="str">
        <f>IF(ISNUMBER(O1702),IF(VLOOKUP($A1702,Stand!C:J,8,FALSE)="Short",AT1702,AU1702),"")</f>
        <v/>
      </c>
      <c r="AW1702" s="109" t="str">
        <f t="shared" si="754"/>
        <v/>
      </c>
      <c r="AX1702" s="109" t="str">
        <f t="shared" si="755"/>
        <v/>
      </c>
      <c r="AY1702" s="112" t="str">
        <f>IF(ISNUMBER(O1702),IF(AND(VLOOKUP($D1702,Merchantability!$B:$C,2,0)="Yes",$E1702&gt;=VLOOKUP($D1702,Merchantability!$B:$D,3,0),$E1702&lt;=VLOOKUP($D1702,Merchantability!$B:$E,4,0)),(AV1702*O1702)*(1-$H1702/100),""),"")</f>
        <v/>
      </c>
      <c r="AZ1702" s="116"/>
      <c r="BA1702" s="116"/>
      <c r="BB1702" s="116"/>
      <c r="BE1702" s="62"/>
      <c r="BF1702" s="63"/>
    </row>
    <row r="1703" spans="1:58" ht="12.75" customHeight="1" x14ac:dyDescent="0.25">
      <c r="A1703" s="334"/>
      <c r="B1703" s="334"/>
      <c r="C1703" s="332"/>
      <c r="D1703" s="334"/>
      <c r="E1703" s="335"/>
      <c r="F1703" s="334"/>
      <c r="G1703" s="332"/>
      <c r="H1703" s="332"/>
      <c r="I1703" s="334"/>
      <c r="J1703" s="336"/>
      <c r="K1703" s="332"/>
      <c r="L1703" s="332"/>
      <c r="M1703" s="76"/>
      <c r="N1703" s="103" t="str">
        <f>IF(A1703="","",VLOOKUP(A1703,Stand!C:K,9,0))</f>
        <v/>
      </c>
      <c r="O1703" s="104" t="str">
        <f t="shared" si="740"/>
        <v/>
      </c>
      <c r="P1703" s="105" t="str">
        <f t="shared" si="741"/>
        <v/>
      </c>
      <c r="Q1703" s="105" t="str">
        <f t="shared" si="756"/>
        <v/>
      </c>
      <c r="R1703" s="103" t="str">
        <f t="shared" si="742"/>
        <v/>
      </c>
      <c r="S1703" s="103" t="str">
        <f t="shared" si="743"/>
        <v/>
      </c>
      <c r="T1703" s="106" t="str">
        <f t="shared" si="757"/>
        <v/>
      </c>
      <c r="U1703" s="106" t="str">
        <f t="shared" si="758"/>
        <v/>
      </c>
      <c r="V1703" s="106" t="str">
        <f t="shared" si="759"/>
        <v/>
      </c>
      <c r="W1703" s="105" t="str">
        <f t="shared" si="744"/>
        <v/>
      </c>
      <c r="X1703" s="104" t="str">
        <f t="shared" si="749"/>
        <v/>
      </c>
      <c r="Y1703" s="104" t="str">
        <f t="array" ref="Y1703">IFERROR(IF(ISNUMBER(O1703),IF(COUNT(IF(A1703=$A$2:$A$2427,IF(D1703=$D$2:$D$2427,IF($X$2:$X$2427&gt;0,1))))&gt;0,SUM(IF(A1703=$A$2:$A$2427,IF(D1703=$D$2:$D$2427,$X$2:$X$2427)))/COUNT(IF(A1703=$A$2:$A$2427,IF(D1703=$D$2:$D$2427,IF(ISNUMBER($X$2:$X$2427),1)))),0),""),0)</f>
        <v/>
      </c>
      <c r="Z1703" s="104" t="str">
        <f>IF(ISNUMBER(O1703),IF(I1703&gt;0,(10^(VLOOKUP(D1703,'Species Codes'!B:C,2,0)+VLOOKUP(D1703,'Species Codes'!B:D,3,0)*LOG(E1703)+VLOOKUP(D1703,'Species Codes'!B:E,4,0)*LOG(I1703))),0),"")</f>
        <v/>
      </c>
      <c r="AA1703" s="104" t="str">
        <f>IFERROR((VLOOKUP(D1703,'Species Codes'!B:G,6,0)*Z1703)/2000,"")</f>
        <v/>
      </c>
      <c r="AB1703" s="104" t="e">
        <f>IF(Z1703&gt;0,((IF(OR(D1703="DF",D1703="RA")=TRUE,EXP(VLOOKUP(D1703,'Species Codes'!B:I,8,0)+VLOOKUP(D1703,'Species Codes'!B:J,9,0)*(LN((E1703*2.54)))),IF(OR(D1703="PY",D1703="RC",D1703="WH",D1703="NF")=TRUE,VLOOKUP(D1703,'Species Codes'!B:I,8,0)+VLOOKUP(D1703,'Species Codes'!B:J,9,0)*((E1703*2.54)^2)*(I1703*0.3048),IF(OR(D1703="MD",D1703="BM",D1703="GA")=TRUE,((VLOOKUP(D1703,'Species Codes'!B:I,8,0)*(((((E1703*2.54)+VLOOKUP(D1703,'Species Codes'!B:J,9,0))/VLOOKUP(D1703,'Species Codes'!B:K,10,0))^VLOOKUP(D1703,'Species Codes'!B:L,11,0))*((I1703*0.3048)^VLOOKUP(D1703,'Species Codes'!B:M,12,0))))-(VLOOKUP(D1703,'Species Codes'!B:I,8,0)*((((E1703*2.54)^VLOOKUP(D1703,'Species Codes'!B:L,11,0))*((I1703*0.3048)^VLOOKUP(D1703,'Species Codes'!B:M,12,0))))))*35.3*VLOOKUP(D1703,'Species Codes'!B:G,6,0)/2.2046,VLOOKUP(D1703,'Species Codes'!B:I,8,0)+VLOOKUP(D1703,'Species Codes'!B:J,9,0)*(((E1703*2.54)/100)^2)*(I1703*0.3048)))))*0.0011023),0)</f>
        <v>#N/A</v>
      </c>
      <c r="AC1703" s="104" t="e">
        <f>IF(Z1703&gt;0,((IF(OR(D1703="RA",D1703="OA",D1703="OT",D1703="UN",D1703="PC"),EXP(VLOOKUP(D1703,'Species Codes'!B:O,14,0)+VLOOKUP(D1703,'Species Codes'!B:P,15,0)*LN((E1703*2.54)))-EXP(VLOOKUP(D1703,'Species Codes'!B:O,14,0)+VLOOKUP(D1703,'Species Codes'!B:P,15,0)*LN((E1703*2.54)))*(1/(VLOOKUP(D1703,'Species Codes'!B:Q,16,0)+VLOOKUP(D1703,'Species Codes'!B:R,17,0)*((E1703*2.54)^VLOOKUP(D1703,'Species Codes'!B:S,18,0)))),IF(OR(D1703="BM",D1703="MD",D1703="OA"),EXP(VLOOKUP(D1703,'Species Codes'!B:O,14,0)+VLOOKUP(D1703,'Species Codes'!B:P,15,0)*LN((E1703*2.54)))*(1-(1/(VLOOKUP(D1703,'Species Codes'!B:Q,16,0)+VLOOKUP(D1703,'Species Codes'!B:R,17,0)*((E1703*2.54)^VLOOKUP(D1703,'Species Codes'!B:S,18,0)))))/1000,IF(D1703="DF",EXP(VLOOKUP(D1703,'Species Codes'!B:O,14,0)+VLOOKUP(D1703,'Species Codes'!B:P,15,0)*LN((E1703*2.54))),VLOOKUP(D1703,'Species Codes'!B:O,14,0)+VLOOKUP(D1703,'Species Codes'!B:P,15,0)*(((E1703*2.54)/100)^2)*(I1703*0.3048)))))*0.0011023),0)</f>
        <v>#N/A</v>
      </c>
      <c r="AD1703" s="104" t="e">
        <f t="shared" si="760"/>
        <v>#N/A</v>
      </c>
      <c r="AE1703" s="104" t="e">
        <f t="shared" si="761"/>
        <v>#N/A</v>
      </c>
      <c r="AF1703" s="104" t="e">
        <f>IF(AND(VLOOKUP($D1703,Merchantability!$B:$C,2,0)="Yes",$E1703&gt;=VLOOKUP($D1703,Merchantability!$B:$D,3,0),$E1703&lt;=VLOOKUP($D1703,Merchantability!$B:$E,4,0)),AA1703,0)</f>
        <v>#N/A</v>
      </c>
      <c r="AG1703" s="104" t="e">
        <f>IF(AND(VLOOKUP($D1703,Merchantability!$B:$C,2,0)="Yes",$E1703&gt;=VLOOKUP($D1703,Merchantability!$B:$D,3,0),$E1703&lt;=VLOOKUP($D1703,Merchantability!$B:$E,4,0)),AB1703,0)</f>
        <v>#N/A</v>
      </c>
      <c r="AH1703" s="104" t="e">
        <f>IF(AND(VLOOKUP($D1703,Merchantability!$B:$C,2,0)="Yes",$E1703&gt;=VLOOKUP($D1703,Merchantability!$B:$D,3,0),$E1703&lt;=VLOOKUP($D1703,Merchantability!$B:$E,4,0)),AC1703,0)</f>
        <v>#N/A</v>
      </c>
      <c r="AI1703" s="104" t="e">
        <f t="shared" si="762"/>
        <v>#N/A</v>
      </c>
      <c r="AJ1703" s="104" t="e">
        <f t="shared" si="763"/>
        <v>#VALUE!</v>
      </c>
      <c r="AK1703" s="104" t="e">
        <f t="shared" si="764"/>
        <v>#N/A</v>
      </c>
      <c r="AL1703" s="104" t="e">
        <f t="shared" si="765"/>
        <v>#N/A</v>
      </c>
      <c r="AM1703" s="104" t="e">
        <f t="shared" si="766"/>
        <v>#N/A</v>
      </c>
      <c r="AN1703" s="104" t="e">
        <f t="shared" si="750"/>
        <v>#N/A</v>
      </c>
      <c r="AO1703" s="104" t="e">
        <f t="shared" si="751"/>
        <v>#N/A</v>
      </c>
      <c r="AP1703" s="104" t="e">
        <f t="shared" si="752"/>
        <v>#N/A</v>
      </c>
      <c r="AQ1703" s="104" t="e">
        <f t="shared" si="753"/>
        <v>#N/A</v>
      </c>
      <c r="AR1703" s="105" t="str">
        <f t="shared" si="745"/>
        <v/>
      </c>
      <c r="AS1703" s="105" t="str">
        <f t="shared" si="746"/>
        <v/>
      </c>
      <c r="AT1703" s="108" t="str">
        <f t="shared" si="747"/>
        <v/>
      </c>
      <c r="AU1703" s="108" t="str">
        <f t="shared" si="748"/>
        <v/>
      </c>
      <c r="AV1703" s="107" t="str">
        <f>IF(ISNUMBER(O1703),IF(VLOOKUP($A1703,Stand!C:J,8,FALSE)="Short",AT1703,AU1703),"")</f>
        <v/>
      </c>
      <c r="AW1703" s="109" t="str">
        <f t="shared" si="754"/>
        <v/>
      </c>
      <c r="AX1703" s="109" t="str">
        <f t="shared" si="755"/>
        <v/>
      </c>
      <c r="AY1703" s="112" t="str">
        <f>IF(ISNUMBER(O1703),IF(AND(VLOOKUP($D1703,Merchantability!$B:$C,2,0)="Yes",$E1703&gt;=VLOOKUP($D1703,Merchantability!$B:$D,3,0),$E1703&lt;=VLOOKUP($D1703,Merchantability!$B:$E,4,0)),(AV1703*O1703)*(1-$H1703/100),""),"")</f>
        <v/>
      </c>
      <c r="AZ1703" s="116"/>
      <c r="BA1703" s="116"/>
      <c r="BB1703" s="116"/>
      <c r="BE1703" s="62"/>
      <c r="BF1703" s="63"/>
    </row>
    <row r="1704" spans="1:58" ht="12.75" customHeight="1" x14ac:dyDescent="0.25">
      <c r="A1704" s="334"/>
      <c r="B1704" s="334"/>
      <c r="C1704" s="332"/>
      <c r="D1704" s="334"/>
      <c r="E1704" s="335"/>
      <c r="F1704" s="334"/>
      <c r="G1704" s="332"/>
      <c r="H1704" s="332"/>
      <c r="I1704" s="334"/>
      <c r="J1704" s="336"/>
      <c r="K1704" s="332"/>
      <c r="L1704" s="332"/>
      <c r="M1704" s="76"/>
      <c r="N1704" s="103" t="str">
        <f>IF(A1704="","",VLOOKUP(A1704,Stand!C:K,9,0))</f>
        <v/>
      </c>
      <c r="O1704" s="104" t="str">
        <f t="shared" si="740"/>
        <v/>
      </c>
      <c r="P1704" s="105" t="str">
        <f t="shared" si="741"/>
        <v/>
      </c>
      <c r="Q1704" s="105" t="str">
        <f t="shared" si="756"/>
        <v/>
      </c>
      <c r="R1704" s="103" t="str">
        <f t="shared" si="742"/>
        <v/>
      </c>
      <c r="S1704" s="103" t="str">
        <f t="shared" si="743"/>
        <v/>
      </c>
      <c r="T1704" s="106" t="str">
        <f t="shared" si="757"/>
        <v/>
      </c>
      <c r="U1704" s="106" t="str">
        <f t="shared" si="758"/>
        <v/>
      </c>
      <c r="V1704" s="106" t="str">
        <f t="shared" si="759"/>
        <v/>
      </c>
      <c r="W1704" s="105" t="str">
        <f t="shared" si="744"/>
        <v/>
      </c>
      <c r="X1704" s="104" t="str">
        <f t="shared" si="749"/>
        <v/>
      </c>
      <c r="Y1704" s="104" t="str">
        <f t="array" ref="Y1704">IFERROR(IF(ISNUMBER(O1704),IF(COUNT(IF(A1704=$A$2:$A$2427,IF(D1704=$D$2:$D$2427,IF($X$2:$X$2427&gt;0,1))))&gt;0,SUM(IF(A1704=$A$2:$A$2427,IF(D1704=$D$2:$D$2427,$X$2:$X$2427)))/COUNT(IF(A1704=$A$2:$A$2427,IF(D1704=$D$2:$D$2427,IF(ISNUMBER($X$2:$X$2427),1)))),0),""),0)</f>
        <v/>
      </c>
      <c r="Z1704" s="104" t="str">
        <f>IF(ISNUMBER(O1704),IF(I1704&gt;0,(10^(VLOOKUP(D1704,'Species Codes'!B:C,2,0)+VLOOKUP(D1704,'Species Codes'!B:D,3,0)*LOG(E1704)+VLOOKUP(D1704,'Species Codes'!B:E,4,0)*LOG(I1704))),0),"")</f>
        <v/>
      </c>
      <c r="AA1704" s="104" t="str">
        <f>IFERROR((VLOOKUP(D1704,'Species Codes'!B:G,6,0)*Z1704)/2000,"")</f>
        <v/>
      </c>
      <c r="AB1704" s="104" t="e">
        <f>IF(Z1704&gt;0,((IF(OR(D1704="DF",D1704="RA")=TRUE,EXP(VLOOKUP(D1704,'Species Codes'!B:I,8,0)+VLOOKUP(D1704,'Species Codes'!B:J,9,0)*(LN((E1704*2.54)))),IF(OR(D1704="PY",D1704="RC",D1704="WH",D1704="NF")=TRUE,VLOOKUP(D1704,'Species Codes'!B:I,8,0)+VLOOKUP(D1704,'Species Codes'!B:J,9,0)*((E1704*2.54)^2)*(I1704*0.3048),IF(OR(D1704="MD",D1704="BM",D1704="GA")=TRUE,((VLOOKUP(D1704,'Species Codes'!B:I,8,0)*(((((E1704*2.54)+VLOOKUP(D1704,'Species Codes'!B:J,9,0))/VLOOKUP(D1704,'Species Codes'!B:K,10,0))^VLOOKUP(D1704,'Species Codes'!B:L,11,0))*((I1704*0.3048)^VLOOKUP(D1704,'Species Codes'!B:M,12,0))))-(VLOOKUP(D1704,'Species Codes'!B:I,8,0)*((((E1704*2.54)^VLOOKUP(D1704,'Species Codes'!B:L,11,0))*((I1704*0.3048)^VLOOKUP(D1704,'Species Codes'!B:M,12,0))))))*35.3*VLOOKUP(D1704,'Species Codes'!B:G,6,0)/2.2046,VLOOKUP(D1704,'Species Codes'!B:I,8,0)+VLOOKUP(D1704,'Species Codes'!B:J,9,0)*(((E1704*2.54)/100)^2)*(I1704*0.3048)))))*0.0011023),0)</f>
        <v>#N/A</v>
      </c>
      <c r="AC1704" s="104" t="e">
        <f>IF(Z1704&gt;0,((IF(OR(D1704="RA",D1704="OA",D1704="OT",D1704="UN",D1704="PC"),EXP(VLOOKUP(D1704,'Species Codes'!B:O,14,0)+VLOOKUP(D1704,'Species Codes'!B:P,15,0)*LN((E1704*2.54)))-EXP(VLOOKUP(D1704,'Species Codes'!B:O,14,0)+VLOOKUP(D1704,'Species Codes'!B:P,15,0)*LN((E1704*2.54)))*(1/(VLOOKUP(D1704,'Species Codes'!B:Q,16,0)+VLOOKUP(D1704,'Species Codes'!B:R,17,0)*((E1704*2.54)^VLOOKUP(D1704,'Species Codes'!B:S,18,0)))),IF(OR(D1704="BM",D1704="MD",D1704="OA"),EXP(VLOOKUP(D1704,'Species Codes'!B:O,14,0)+VLOOKUP(D1704,'Species Codes'!B:P,15,0)*LN((E1704*2.54)))*(1-(1/(VLOOKUP(D1704,'Species Codes'!B:Q,16,0)+VLOOKUP(D1704,'Species Codes'!B:R,17,0)*((E1704*2.54)^VLOOKUP(D1704,'Species Codes'!B:S,18,0)))))/1000,IF(D1704="DF",EXP(VLOOKUP(D1704,'Species Codes'!B:O,14,0)+VLOOKUP(D1704,'Species Codes'!B:P,15,0)*LN((E1704*2.54))),VLOOKUP(D1704,'Species Codes'!B:O,14,0)+VLOOKUP(D1704,'Species Codes'!B:P,15,0)*(((E1704*2.54)/100)^2)*(I1704*0.3048)))))*0.0011023),0)</f>
        <v>#N/A</v>
      </c>
      <c r="AD1704" s="104" t="e">
        <f t="shared" si="760"/>
        <v>#N/A</v>
      </c>
      <c r="AE1704" s="104" t="e">
        <f t="shared" si="761"/>
        <v>#N/A</v>
      </c>
      <c r="AF1704" s="104" t="e">
        <f>IF(AND(VLOOKUP($D1704,Merchantability!$B:$C,2,0)="Yes",$E1704&gt;=VLOOKUP($D1704,Merchantability!$B:$D,3,0),$E1704&lt;=VLOOKUP($D1704,Merchantability!$B:$E,4,0)),AA1704,0)</f>
        <v>#N/A</v>
      </c>
      <c r="AG1704" s="104" t="e">
        <f>IF(AND(VLOOKUP($D1704,Merchantability!$B:$C,2,0)="Yes",$E1704&gt;=VLOOKUP($D1704,Merchantability!$B:$D,3,0),$E1704&lt;=VLOOKUP($D1704,Merchantability!$B:$E,4,0)),AB1704,0)</f>
        <v>#N/A</v>
      </c>
      <c r="AH1704" s="104" t="e">
        <f>IF(AND(VLOOKUP($D1704,Merchantability!$B:$C,2,0)="Yes",$E1704&gt;=VLOOKUP($D1704,Merchantability!$B:$D,3,0),$E1704&lt;=VLOOKUP($D1704,Merchantability!$B:$E,4,0)),AC1704,0)</f>
        <v>#N/A</v>
      </c>
      <c r="AI1704" s="104" t="e">
        <f t="shared" si="762"/>
        <v>#N/A</v>
      </c>
      <c r="AJ1704" s="104" t="e">
        <f t="shared" si="763"/>
        <v>#VALUE!</v>
      </c>
      <c r="AK1704" s="104" t="e">
        <f t="shared" si="764"/>
        <v>#N/A</v>
      </c>
      <c r="AL1704" s="104" t="e">
        <f t="shared" si="765"/>
        <v>#N/A</v>
      </c>
      <c r="AM1704" s="104" t="e">
        <f t="shared" si="766"/>
        <v>#N/A</v>
      </c>
      <c r="AN1704" s="104" t="e">
        <f t="shared" si="750"/>
        <v>#N/A</v>
      </c>
      <c r="AO1704" s="104" t="e">
        <f t="shared" si="751"/>
        <v>#N/A</v>
      </c>
      <c r="AP1704" s="104" t="e">
        <f t="shared" si="752"/>
        <v>#N/A</v>
      </c>
      <c r="AQ1704" s="104" t="e">
        <f t="shared" si="753"/>
        <v>#N/A</v>
      </c>
      <c r="AR1704" s="105" t="str">
        <f t="shared" si="745"/>
        <v/>
      </c>
      <c r="AS1704" s="105" t="str">
        <f t="shared" si="746"/>
        <v/>
      </c>
      <c r="AT1704" s="108" t="str">
        <f t="shared" si="747"/>
        <v/>
      </c>
      <c r="AU1704" s="108" t="str">
        <f t="shared" si="748"/>
        <v/>
      </c>
      <c r="AV1704" s="107" t="str">
        <f>IF(ISNUMBER(O1704),IF(VLOOKUP($A1704,Stand!C:J,8,FALSE)="Short",AT1704,AU1704),"")</f>
        <v/>
      </c>
      <c r="AW1704" s="109" t="str">
        <f t="shared" si="754"/>
        <v/>
      </c>
      <c r="AX1704" s="109" t="str">
        <f t="shared" si="755"/>
        <v/>
      </c>
      <c r="AY1704" s="112" t="str">
        <f>IF(ISNUMBER(O1704),IF(AND(VLOOKUP($D1704,Merchantability!$B:$C,2,0)="Yes",$E1704&gt;=VLOOKUP($D1704,Merchantability!$B:$D,3,0),$E1704&lt;=VLOOKUP($D1704,Merchantability!$B:$E,4,0)),(AV1704*O1704)*(1-$H1704/100),""),"")</f>
        <v/>
      </c>
      <c r="AZ1704" s="116"/>
      <c r="BA1704" s="116"/>
      <c r="BB1704" s="116"/>
      <c r="BE1704" s="62"/>
      <c r="BF1704" s="63"/>
    </row>
    <row r="1705" spans="1:58" ht="12.75" customHeight="1" x14ac:dyDescent="0.25">
      <c r="A1705" s="334"/>
      <c r="B1705" s="334"/>
      <c r="C1705" s="332"/>
      <c r="D1705" s="334"/>
      <c r="E1705" s="335"/>
      <c r="F1705" s="334"/>
      <c r="G1705" s="332"/>
      <c r="H1705" s="332"/>
      <c r="I1705" s="334"/>
      <c r="J1705" s="336"/>
      <c r="K1705" s="332"/>
      <c r="L1705" s="332"/>
      <c r="M1705" s="76"/>
      <c r="N1705" s="103" t="str">
        <f>IF(A1705="","",VLOOKUP(A1705,Stand!C:K,9,0))</f>
        <v/>
      </c>
      <c r="O1705" s="104" t="str">
        <f t="shared" si="740"/>
        <v/>
      </c>
      <c r="P1705" s="105" t="str">
        <f t="shared" si="741"/>
        <v/>
      </c>
      <c r="Q1705" s="105" t="str">
        <f t="shared" si="756"/>
        <v/>
      </c>
      <c r="R1705" s="103" t="str">
        <f t="shared" si="742"/>
        <v/>
      </c>
      <c r="S1705" s="103" t="str">
        <f t="shared" si="743"/>
        <v/>
      </c>
      <c r="T1705" s="106" t="str">
        <f t="shared" si="757"/>
        <v/>
      </c>
      <c r="U1705" s="106" t="str">
        <f t="shared" si="758"/>
        <v/>
      </c>
      <c r="V1705" s="106" t="str">
        <f t="shared" si="759"/>
        <v/>
      </c>
      <c r="W1705" s="105" t="str">
        <f t="shared" si="744"/>
        <v/>
      </c>
      <c r="X1705" s="104" t="str">
        <f t="shared" si="749"/>
        <v/>
      </c>
      <c r="Y1705" s="104" t="str">
        <f t="array" ref="Y1705">IFERROR(IF(ISNUMBER(O1705),IF(COUNT(IF(A1705=$A$2:$A$2427,IF(D1705=$D$2:$D$2427,IF($X$2:$X$2427&gt;0,1))))&gt;0,SUM(IF(A1705=$A$2:$A$2427,IF(D1705=$D$2:$D$2427,$X$2:$X$2427)))/COUNT(IF(A1705=$A$2:$A$2427,IF(D1705=$D$2:$D$2427,IF(ISNUMBER($X$2:$X$2427),1)))),0),""),0)</f>
        <v/>
      </c>
      <c r="Z1705" s="104" t="str">
        <f>IF(ISNUMBER(O1705),IF(I1705&gt;0,(10^(VLOOKUP(D1705,'Species Codes'!B:C,2,0)+VLOOKUP(D1705,'Species Codes'!B:D,3,0)*LOG(E1705)+VLOOKUP(D1705,'Species Codes'!B:E,4,0)*LOG(I1705))),0),"")</f>
        <v/>
      </c>
      <c r="AA1705" s="104" t="str">
        <f>IFERROR((VLOOKUP(D1705,'Species Codes'!B:G,6,0)*Z1705)/2000,"")</f>
        <v/>
      </c>
      <c r="AB1705" s="104" t="e">
        <f>IF(Z1705&gt;0,((IF(OR(D1705="DF",D1705="RA")=TRUE,EXP(VLOOKUP(D1705,'Species Codes'!B:I,8,0)+VLOOKUP(D1705,'Species Codes'!B:J,9,0)*(LN((E1705*2.54)))),IF(OR(D1705="PY",D1705="RC",D1705="WH",D1705="NF")=TRUE,VLOOKUP(D1705,'Species Codes'!B:I,8,0)+VLOOKUP(D1705,'Species Codes'!B:J,9,0)*((E1705*2.54)^2)*(I1705*0.3048),IF(OR(D1705="MD",D1705="BM",D1705="GA")=TRUE,((VLOOKUP(D1705,'Species Codes'!B:I,8,0)*(((((E1705*2.54)+VLOOKUP(D1705,'Species Codes'!B:J,9,0))/VLOOKUP(D1705,'Species Codes'!B:K,10,0))^VLOOKUP(D1705,'Species Codes'!B:L,11,0))*((I1705*0.3048)^VLOOKUP(D1705,'Species Codes'!B:M,12,0))))-(VLOOKUP(D1705,'Species Codes'!B:I,8,0)*((((E1705*2.54)^VLOOKUP(D1705,'Species Codes'!B:L,11,0))*((I1705*0.3048)^VLOOKUP(D1705,'Species Codes'!B:M,12,0))))))*35.3*VLOOKUP(D1705,'Species Codes'!B:G,6,0)/2.2046,VLOOKUP(D1705,'Species Codes'!B:I,8,0)+VLOOKUP(D1705,'Species Codes'!B:J,9,0)*(((E1705*2.54)/100)^2)*(I1705*0.3048)))))*0.0011023),0)</f>
        <v>#N/A</v>
      </c>
      <c r="AC1705" s="104" t="e">
        <f>IF(Z1705&gt;0,((IF(OR(D1705="RA",D1705="OA",D1705="OT",D1705="UN",D1705="PC"),EXP(VLOOKUP(D1705,'Species Codes'!B:O,14,0)+VLOOKUP(D1705,'Species Codes'!B:P,15,0)*LN((E1705*2.54)))-EXP(VLOOKUP(D1705,'Species Codes'!B:O,14,0)+VLOOKUP(D1705,'Species Codes'!B:P,15,0)*LN((E1705*2.54)))*(1/(VLOOKUP(D1705,'Species Codes'!B:Q,16,0)+VLOOKUP(D1705,'Species Codes'!B:R,17,0)*((E1705*2.54)^VLOOKUP(D1705,'Species Codes'!B:S,18,0)))),IF(OR(D1705="BM",D1705="MD",D1705="OA"),EXP(VLOOKUP(D1705,'Species Codes'!B:O,14,0)+VLOOKUP(D1705,'Species Codes'!B:P,15,0)*LN((E1705*2.54)))*(1-(1/(VLOOKUP(D1705,'Species Codes'!B:Q,16,0)+VLOOKUP(D1705,'Species Codes'!B:R,17,0)*((E1705*2.54)^VLOOKUP(D1705,'Species Codes'!B:S,18,0)))))/1000,IF(D1705="DF",EXP(VLOOKUP(D1705,'Species Codes'!B:O,14,0)+VLOOKUP(D1705,'Species Codes'!B:P,15,0)*LN((E1705*2.54))),VLOOKUP(D1705,'Species Codes'!B:O,14,0)+VLOOKUP(D1705,'Species Codes'!B:P,15,0)*(((E1705*2.54)/100)^2)*(I1705*0.3048)))))*0.0011023),0)</f>
        <v>#N/A</v>
      </c>
      <c r="AD1705" s="104" t="e">
        <f t="shared" si="760"/>
        <v>#N/A</v>
      </c>
      <c r="AE1705" s="104" t="e">
        <f t="shared" si="761"/>
        <v>#N/A</v>
      </c>
      <c r="AF1705" s="104" t="e">
        <f>IF(AND(VLOOKUP($D1705,Merchantability!$B:$C,2,0)="Yes",$E1705&gt;=VLOOKUP($D1705,Merchantability!$B:$D,3,0),$E1705&lt;=VLOOKUP($D1705,Merchantability!$B:$E,4,0)),AA1705,0)</f>
        <v>#N/A</v>
      </c>
      <c r="AG1705" s="104" t="e">
        <f>IF(AND(VLOOKUP($D1705,Merchantability!$B:$C,2,0)="Yes",$E1705&gt;=VLOOKUP($D1705,Merchantability!$B:$D,3,0),$E1705&lt;=VLOOKUP($D1705,Merchantability!$B:$E,4,0)),AB1705,0)</f>
        <v>#N/A</v>
      </c>
      <c r="AH1705" s="104" t="e">
        <f>IF(AND(VLOOKUP($D1705,Merchantability!$B:$C,2,0)="Yes",$E1705&gt;=VLOOKUP($D1705,Merchantability!$B:$D,3,0),$E1705&lt;=VLOOKUP($D1705,Merchantability!$B:$E,4,0)),AC1705,0)</f>
        <v>#N/A</v>
      </c>
      <c r="AI1705" s="104" t="e">
        <f t="shared" si="762"/>
        <v>#N/A</v>
      </c>
      <c r="AJ1705" s="104" t="e">
        <f t="shared" si="763"/>
        <v>#VALUE!</v>
      </c>
      <c r="AK1705" s="104" t="e">
        <f t="shared" si="764"/>
        <v>#N/A</v>
      </c>
      <c r="AL1705" s="104" t="e">
        <f t="shared" si="765"/>
        <v>#N/A</v>
      </c>
      <c r="AM1705" s="104" t="e">
        <f t="shared" si="766"/>
        <v>#N/A</v>
      </c>
      <c r="AN1705" s="104" t="e">
        <f t="shared" si="750"/>
        <v>#N/A</v>
      </c>
      <c r="AO1705" s="104" t="e">
        <f t="shared" si="751"/>
        <v>#N/A</v>
      </c>
      <c r="AP1705" s="104" t="e">
        <f t="shared" si="752"/>
        <v>#N/A</v>
      </c>
      <c r="AQ1705" s="104" t="e">
        <f t="shared" si="753"/>
        <v>#N/A</v>
      </c>
      <c r="AR1705" s="105" t="str">
        <f t="shared" si="745"/>
        <v/>
      </c>
      <c r="AS1705" s="105" t="str">
        <f t="shared" si="746"/>
        <v/>
      </c>
      <c r="AT1705" s="108" t="str">
        <f t="shared" si="747"/>
        <v/>
      </c>
      <c r="AU1705" s="108" t="str">
        <f t="shared" si="748"/>
        <v/>
      </c>
      <c r="AV1705" s="107" t="str">
        <f>IF(ISNUMBER(O1705),IF(VLOOKUP($A1705,Stand!C:J,8,FALSE)="Short",AT1705,AU1705),"")</f>
        <v/>
      </c>
      <c r="AW1705" s="109" t="str">
        <f t="shared" si="754"/>
        <v/>
      </c>
      <c r="AX1705" s="109" t="str">
        <f t="shared" si="755"/>
        <v/>
      </c>
      <c r="AY1705" s="112" t="str">
        <f>IF(ISNUMBER(O1705),IF(AND(VLOOKUP($D1705,Merchantability!$B:$C,2,0)="Yes",$E1705&gt;=VLOOKUP($D1705,Merchantability!$B:$D,3,0),$E1705&lt;=VLOOKUP($D1705,Merchantability!$B:$E,4,0)),(AV1705*O1705)*(1-$H1705/100),""),"")</f>
        <v/>
      </c>
      <c r="AZ1705" s="116"/>
      <c r="BA1705" s="116"/>
      <c r="BB1705" s="116"/>
      <c r="BE1705" s="62"/>
      <c r="BF1705" s="63"/>
    </row>
    <row r="1706" spans="1:58" ht="12.75" customHeight="1" x14ac:dyDescent="0.25">
      <c r="A1706" s="334"/>
      <c r="B1706" s="334"/>
      <c r="C1706" s="332"/>
      <c r="D1706" s="334"/>
      <c r="E1706" s="335"/>
      <c r="F1706" s="334"/>
      <c r="G1706" s="332"/>
      <c r="H1706" s="332"/>
      <c r="I1706" s="334"/>
      <c r="J1706" s="336"/>
      <c r="K1706" s="332"/>
      <c r="L1706" s="332"/>
      <c r="M1706" s="76"/>
      <c r="N1706" s="103" t="str">
        <f>IF(A1706="","",VLOOKUP(A1706,Stand!C:K,9,0))</f>
        <v/>
      </c>
      <c r="O1706" s="104" t="str">
        <f t="shared" si="740"/>
        <v/>
      </c>
      <c r="P1706" s="105" t="str">
        <f t="shared" si="741"/>
        <v/>
      </c>
      <c r="Q1706" s="105" t="str">
        <f t="shared" si="756"/>
        <v/>
      </c>
      <c r="R1706" s="103" t="str">
        <f t="shared" si="742"/>
        <v/>
      </c>
      <c r="S1706" s="103" t="str">
        <f t="shared" si="743"/>
        <v/>
      </c>
      <c r="T1706" s="106" t="str">
        <f t="shared" si="757"/>
        <v/>
      </c>
      <c r="U1706" s="106" t="str">
        <f t="shared" si="758"/>
        <v/>
      </c>
      <c r="V1706" s="106" t="str">
        <f t="shared" si="759"/>
        <v/>
      </c>
      <c r="W1706" s="105" t="str">
        <f t="shared" si="744"/>
        <v/>
      </c>
      <c r="X1706" s="104" t="str">
        <f t="shared" si="749"/>
        <v/>
      </c>
      <c r="Y1706" s="104" t="str">
        <f t="array" ref="Y1706">IFERROR(IF(ISNUMBER(O1706),IF(COUNT(IF(A1706=$A$2:$A$2427,IF(D1706=$D$2:$D$2427,IF($X$2:$X$2427&gt;0,1))))&gt;0,SUM(IF(A1706=$A$2:$A$2427,IF(D1706=$D$2:$D$2427,$X$2:$X$2427)))/COUNT(IF(A1706=$A$2:$A$2427,IF(D1706=$D$2:$D$2427,IF(ISNUMBER($X$2:$X$2427),1)))),0),""),0)</f>
        <v/>
      </c>
      <c r="Z1706" s="104" t="str">
        <f>IF(ISNUMBER(O1706),IF(I1706&gt;0,(10^(VLOOKUP(D1706,'Species Codes'!B:C,2,0)+VLOOKUP(D1706,'Species Codes'!B:D,3,0)*LOG(E1706)+VLOOKUP(D1706,'Species Codes'!B:E,4,0)*LOG(I1706))),0),"")</f>
        <v/>
      </c>
      <c r="AA1706" s="104" t="str">
        <f>IFERROR((VLOOKUP(D1706,'Species Codes'!B:G,6,0)*Z1706)/2000,"")</f>
        <v/>
      </c>
      <c r="AB1706" s="104" t="e">
        <f>IF(Z1706&gt;0,((IF(OR(D1706="DF",D1706="RA")=TRUE,EXP(VLOOKUP(D1706,'Species Codes'!B:I,8,0)+VLOOKUP(D1706,'Species Codes'!B:J,9,0)*(LN((E1706*2.54)))),IF(OR(D1706="PY",D1706="RC",D1706="WH",D1706="NF")=TRUE,VLOOKUP(D1706,'Species Codes'!B:I,8,0)+VLOOKUP(D1706,'Species Codes'!B:J,9,0)*((E1706*2.54)^2)*(I1706*0.3048),IF(OR(D1706="MD",D1706="BM",D1706="GA")=TRUE,((VLOOKUP(D1706,'Species Codes'!B:I,8,0)*(((((E1706*2.54)+VLOOKUP(D1706,'Species Codes'!B:J,9,0))/VLOOKUP(D1706,'Species Codes'!B:K,10,0))^VLOOKUP(D1706,'Species Codes'!B:L,11,0))*((I1706*0.3048)^VLOOKUP(D1706,'Species Codes'!B:M,12,0))))-(VLOOKUP(D1706,'Species Codes'!B:I,8,0)*((((E1706*2.54)^VLOOKUP(D1706,'Species Codes'!B:L,11,0))*((I1706*0.3048)^VLOOKUP(D1706,'Species Codes'!B:M,12,0))))))*35.3*VLOOKUP(D1706,'Species Codes'!B:G,6,0)/2.2046,VLOOKUP(D1706,'Species Codes'!B:I,8,0)+VLOOKUP(D1706,'Species Codes'!B:J,9,0)*(((E1706*2.54)/100)^2)*(I1706*0.3048)))))*0.0011023),0)</f>
        <v>#N/A</v>
      </c>
      <c r="AC1706" s="104" t="e">
        <f>IF(Z1706&gt;0,((IF(OR(D1706="RA",D1706="OA",D1706="OT",D1706="UN",D1706="PC"),EXP(VLOOKUP(D1706,'Species Codes'!B:O,14,0)+VLOOKUP(D1706,'Species Codes'!B:P,15,0)*LN((E1706*2.54)))-EXP(VLOOKUP(D1706,'Species Codes'!B:O,14,0)+VLOOKUP(D1706,'Species Codes'!B:P,15,0)*LN((E1706*2.54)))*(1/(VLOOKUP(D1706,'Species Codes'!B:Q,16,0)+VLOOKUP(D1706,'Species Codes'!B:R,17,0)*((E1706*2.54)^VLOOKUP(D1706,'Species Codes'!B:S,18,0)))),IF(OR(D1706="BM",D1706="MD",D1706="OA"),EXP(VLOOKUP(D1706,'Species Codes'!B:O,14,0)+VLOOKUP(D1706,'Species Codes'!B:P,15,0)*LN((E1706*2.54)))*(1-(1/(VLOOKUP(D1706,'Species Codes'!B:Q,16,0)+VLOOKUP(D1706,'Species Codes'!B:R,17,0)*((E1706*2.54)^VLOOKUP(D1706,'Species Codes'!B:S,18,0)))))/1000,IF(D1706="DF",EXP(VLOOKUP(D1706,'Species Codes'!B:O,14,0)+VLOOKUP(D1706,'Species Codes'!B:P,15,0)*LN((E1706*2.54))),VLOOKUP(D1706,'Species Codes'!B:O,14,0)+VLOOKUP(D1706,'Species Codes'!B:P,15,0)*(((E1706*2.54)/100)^2)*(I1706*0.3048)))))*0.0011023),0)</f>
        <v>#N/A</v>
      </c>
      <c r="AD1706" s="104" t="e">
        <f t="shared" si="760"/>
        <v>#N/A</v>
      </c>
      <c r="AE1706" s="104" t="e">
        <f t="shared" si="761"/>
        <v>#N/A</v>
      </c>
      <c r="AF1706" s="104" t="e">
        <f>IF(AND(VLOOKUP($D1706,Merchantability!$B:$C,2,0)="Yes",$E1706&gt;=VLOOKUP($D1706,Merchantability!$B:$D,3,0),$E1706&lt;=VLOOKUP($D1706,Merchantability!$B:$E,4,0)),AA1706,0)</f>
        <v>#N/A</v>
      </c>
      <c r="AG1706" s="104" t="e">
        <f>IF(AND(VLOOKUP($D1706,Merchantability!$B:$C,2,0)="Yes",$E1706&gt;=VLOOKUP($D1706,Merchantability!$B:$D,3,0),$E1706&lt;=VLOOKUP($D1706,Merchantability!$B:$E,4,0)),AB1706,0)</f>
        <v>#N/A</v>
      </c>
      <c r="AH1706" s="104" t="e">
        <f>IF(AND(VLOOKUP($D1706,Merchantability!$B:$C,2,0)="Yes",$E1706&gt;=VLOOKUP($D1706,Merchantability!$B:$D,3,0),$E1706&lt;=VLOOKUP($D1706,Merchantability!$B:$E,4,0)),AC1706,0)</f>
        <v>#N/A</v>
      </c>
      <c r="AI1706" s="104" t="e">
        <f t="shared" si="762"/>
        <v>#N/A</v>
      </c>
      <c r="AJ1706" s="104" t="e">
        <f t="shared" si="763"/>
        <v>#VALUE!</v>
      </c>
      <c r="AK1706" s="104" t="e">
        <f t="shared" si="764"/>
        <v>#N/A</v>
      </c>
      <c r="AL1706" s="104" t="e">
        <f t="shared" si="765"/>
        <v>#N/A</v>
      </c>
      <c r="AM1706" s="104" t="e">
        <f t="shared" si="766"/>
        <v>#N/A</v>
      </c>
      <c r="AN1706" s="104" t="e">
        <f t="shared" si="750"/>
        <v>#N/A</v>
      </c>
      <c r="AO1706" s="104" t="e">
        <f t="shared" si="751"/>
        <v>#N/A</v>
      </c>
      <c r="AP1706" s="104" t="e">
        <f t="shared" si="752"/>
        <v>#N/A</v>
      </c>
      <c r="AQ1706" s="104" t="e">
        <f t="shared" si="753"/>
        <v>#N/A</v>
      </c>
      <c r="AR1706" s="105" t="str">
        <f t="shared" si="745"/>
        <v/>
      </c>
      <c r="AS1706" s="105" t="str">
        <f t="shared" si="746"/>
        <v/>
      </c>
      <c r="AT1706" s="108" t="str">
        <f t="shared" si="747"/>
        <v/>
      </c>
      <c r="AU1706" s="108" t="str">
        <f t="shared" si="748"/>
        <v/>
      </c>
      <c r="AV1706" s="107" t="str">
        <f>IF(ISNUMBER(O1706),IF(VLOOKUP($A1706,Stand!C:J,8,FALSE)="Short",AT1706,AU1706),"")</f>
        <v/>
      </c>
      <c r="AW1706" s="109" t="str">
        <f t="shared" si="754"/>
        <v/>
      </c>
      <c r="AX1706" s="109" t="str">
        <f t="shared" si="755"/>
        <v/>
      </c>
      <c r="AY1706" s="112" t="str">
        <f>IF(ISNUMBER(O1706),IF(AND(VLOOKUP($D1706,Merchantability!$B:$C,2,0)="Yes",$E1706&gt;=VLOOKUP($D1706,Merchantability!$B:$D,3,0),$E1706&lt;=VLOOKUP($D1706,Merchantability!$B:$E,4,0)),(AV1706*O1706)*(1-$H1706/100),""),"")</f>
        <v/>
      </c>
      <c r="AZ1706" s="116"/>
      <c r="BA1706" s="116"/>
      <c r="BB1706" s="116"/>
      <c r="BE1706" s="62"/>
      <c r="BF1706" s="63"/>
    </row>
    <row r="1707" spans="1:58" ht="12.75" customHeight="1" x14ac:dyDescent="0.25">
      <c r="A1707" s="334"/>
      <c r="B1707" s="334"/>
      <c r="C1707" s="332"/>
      <c r="D1707" s="334"/>
      <c r="E1707" s="335"/>
      <c r="F1707" s="334"/>
      <c r="G1707" s="332"/>
      <c r="H1707" s="332"/>
      <c r="I1707" s="334"/>
      <c r="J1707" s="336"/>
      <c r="K1707" s="332"/>
      <c r="L1707" s="332"/>
      <c r="M1707" s="76"/>
      <c r="N1707" s="103" t="str">
        <f>IF(A1707="","",VLOOKUP(A1707,Stand!C:K,9,0))</f>
        <v/>
      </c>
      <c r="O1707" s="104" t="str">
        <f t="shared" si="740"/>
        <v/>
      </c>
      <c r="P1707" s="105" t="str">
        <f t="shared" si="741"/>
        <v/>
      </c>
      <c r="Q1707" s="105" t="str">
        <f t="shared" si="756"/>
        <v/>
      </c>
      <c r="R1707" s="103" t="str">
        <f t="shared" si="742"/>
        <v/>
      </c>
      <c r="S1707" s="103" t="str">
        <f t="shared" si="743"/>
        <v/>
      </c>
      <c r="T1707" s="106" t="str">
        <f t="shared" si="757"/>
        <v/>
      </c>
      <c r="U1707" s="106" t="str">
        <f t="shared" si="758"/>
        <v/>
      </c>
      <c r="V1707" s="106" t="str">
        <f t="shared" si="759"/>
        <v/>
      </c>
      <c r="W1707" s="105" t="str">
        <f t="shared" si="744"/>
        <v/>
      </c>
      <c r="X1707" s="104" t="str">
        <f t="shared" si="749"/>
        <v/>
      </c>
      <c r="Y1707" s="104" t="str">
        <f t="array" ref="Y1707">IFERROR(IF(ISNUMBER(O1707),IF(COUNT(IF(A1707=$A$2:$A$2427,IF(D1707=$D$2:$D$2427,IF($X$2:$X$2427&gt;0,1))))&gt;0,SUM(IF(A1707=$A$2:$A$2427,IF(D1707=$D$2:$D$2427,$X$2:$X$2427)))/COUNT(IF(A1707=$A$2:$A$2427,IF(D1707=$D$2:$D$2427,IF(ISNUMBER($X$2:$X$2427),1)))),0),""),0)</f>
        <v/>
      </c>
      <c r="Z1707" s="104" t="str">
        <f>IF(ISNUMBER(O1707),IF(I1707&gt;0,(10^(VLOOKUP(D1707,'Species Codes'!B:C,2,0)+VLOOKUP(D1707,'Species Codes'!B:D,3,0)*LOG(E1707)+VLOOKUP(D1707,'Species Codes'!B:E,4,0)*LOG(I1707))),0),"")</f>
        <v/>
      </c>
      <c r="AA1707" s="104" t="str">
        <f>IFERROR((VLOOKUP(D1707,'Species Codes'!B:G,6,0)*Z1707)/2000,"")</f>
        <v/>
      </c>
      <c r="AB1707" s="104" t="e">
        <f>IF(Z1707&gt;0,((IF(OR(D1707="DF",D1707="RA")=TRUE,EXP(VLOOKUP(D1707,'Species Codes'!B:I,8,0)+VLOOKUP(D1707,'Species Codes'!B:J,9,0)*(LN((E1707*2.54)))),IF(OR(D1707="PY",D1707="RC",D1707="WH",D1707="NF")=TRUE,VLOOKUP(D1707,'Species Codes'!B:I,8,0)+VLOOKUP(D1707,'Species Codes'!B:J,9,0)*((E1707*2.54)^2)*(I1707*0.3048),IF(OR(D1707="MD",D1707="BM",D1707="GA")=TRUE,((VLOOKUP(D1707,'Species Codes'!B:I,8,0)*(((((E1707*2.54)+VLOOKUP(D1707,'Species Codes'!B:J,9,0))/VLOOKUP(D1707,'Species Codes'!B:K,10,0))^VLOOKUP(D1707,'Species Codes'!B:L,11,0))*((I1707*0.3048)^VLOOKUP(D1707,'Species Codes'!B:M,12,0))))-(VLOOKUP(D1707,'Species Codes'!B:I,8,0)*((((E1707*2.54)^VLOOKUP(D1707,'Species Codes'!B:L,11,0))*((I1707*0.3048)^VLOOKUP(D1707,'Species Codes'!B:M,12,0))))))*35.3*VLOOKUP(D1707,'Species Codes'!B:G,6,0)/2.2046,VLOOKUP(D1707,'Species Codes'!B:I,8,0)+VLOOKUP(D1707,'Species Codes'!B:J,9,0)*(((E1707*2.54)/100)^2)*(I1707*0.3048)))))*0.0011023),0)</f>
        <v>#N/A</v>
      </c>
      <c r="AC1707" s="104" t="e">
        <f>IF(Z1707&gt;0,((IF(OR(D1707="RA",D1707="OA",D1707="OT",D1707="UN",D1707="PC"),EXP(VLOOKUP(D1707,'Species Codes'!B:O,14,0)+VLOOKUP(D1707,'Species Codes'!B:P,15,0)*LN((E1707*2.54)))-EXP(VLOOKUP(D1707,'Species Codes'!B:O,14,0)+VLOOKUP(D1707,'Species Codes'!B:P,15,0)*LN((E1707*2.54)))*(1/(VLOOKUP(D1707,'Species Codes'!B:Q,16,0)+VLOOKUP(D1707,'Species Codes'!B:R,17,0)*((E1707*2.54)^VLOOKUP(D1707,'Species Codes'!B:S,18,0)))),IF(OR(D1707="BM",D1707="MD",D1707="OA"),EXP(VLOOKUP(D1707,'Species Codes'!B:O,14,0)+VLOOKUP(D1707,'Species Codes'!B:P,15,0)*LN((E1707*2.54)))*(1-(1/(VLOOKUP(D1707,'Species Codes'!B:Q,16,0)+VLOOKUP(D1707,'Species Codes'!B:R,17,0)*((E1707*2.54)^VLOOKUP(D1707,'Species Codes'!B:S,18,0)))))/1000,IF(D1707="DF",EXP(VLOOKUP(D1707,'Species Codes'!B:O,14,0)+VLOOKUP(D1707,'Species Codes'!B:P,15,0)*LN((E1707*2.54))),VLOOKUP(D1707,'Species Codes'!B:O,14,0)+VLOOKUP(D1707,'Species Codes'!B:P,15,0)*(((E1707*2.54)/100)^2)*(I1707*0.3048)))))*0.0011023),0)</f>
        <v>#N/A</v>
      </c>
      <c r="AD1707" s="104" t="e">
        <f t="shared" si="760"/>
        <v>#N/A</v>
      </c>
      <c r="AE1707" s="104" t="e">
        <f t="shared" si="761"/>
        <v>#N/A</v>
      </c>
      <c r="AF1707" s="104" t="e">
        <f>IF(AND(VLOOKUP($D1707,Merchantability!$B:$C,2,0)="Yes",$E1707&gt;=VLOOKUP($D1707,Merchantability!$B:$D,3,0),$E1707&lt;=VLOOKUP($D1707,Merchantability!$B:$E,4,0)),AA1707,0)</f>
        <v>#N/A</v>
      </c>
      <c r="AG1707" s="104" t="e">
        <f>IF(AND(VLOOKUP($D1707,Merchantability!$B:$C,2,0)="Yes",$E1707&gt;=VLOOKUP($D1707,Merchantability!$B:$D,3,0),$E1707&lt;=VLOOKUP($D1707,Merchantability!$B:$E,4,0)),AB1707,0)</f>
        <v>#N/A</v>
      </c>
      <c r="AH1707" s="104" t="e">
        <f>IF(AND(VLOOKUP($D1707,Merchantability!$B:$C,2,0)="Yes",$E1707&gt;=VLOOKUP($D1707,Merchantability!$B:$D,3,0),$E1707&lt;=VLOOKUP($D1707,Merchantability!$B:$E,4,0)),AC1707,0)</f>
        <v>#N/A</v>
      </c>
      <c r="AI1707" s="104" t="e">
        <f t="shared" si="762"/>
        <v>#N/A</v>
      </c>
      <c r="AJ1707" s="104" t="e">
        <f t="shared" si="763"/>
        <v>#VALUE!</v>
      </c>
      <c r="AK1707" s="104" t="e">
        <f t="shared" si="764"/>
        <v>#N/A</v>
      </c>
      <c r="AL1707" s="104" t="e">
        <f t="shared" si="765"/>
        <v>#N/A</v>
      </c>
      <c r="AM1707" s="104" t="e">
        <f t="shared" si="766"/>
        <v>#N/A</v>
      </c>
      <c r="AN1707" s="104" t="e">
        <f t="shared" si="750"/>
        <v>#N/A</v>
      </c>
      <c r="AO1707" s="104" t="e">
        <f t="shared" si="751"/>
        <v>#N/A</v>
      </c>
      <c r="AP1707" s="104" t="e">
        <f t="shared" si="752"/>
        <v>#N/A</v>
      </c>
      <c r="AQ1707" s="104" t="e">
        <f t="shared" si="753"/>
        <v>#N/A</v>
      </c>
      <c r="AR1707" s="105" t="str">
        <f t="shared" si="745"/>
        <v/>
      </c>
      <c r="AS1707" s="105" t="str">
        <f t="shared" si="746"/>
        <v/>
      </c>
      <c r="AT1707" s="108" t="str">
        <f t="shared" si="747"/>
        <v/>
      </c>
      <c r="AU1707" s="108" t="str">
        <f t="shared" si="748"/>
        <v/>
      </c>
      <c r="AV1707" s="107" t="str">
        <f>IF(ISNUMBER(O1707),IF(VLOOKUP($A1707,Stand!C:J,8,FALSE)="Short",AT1707,AU1707),"")</f>
        <v/>
      </c>
      <c r="AW1707" s="109" t="str">
        <f t="shared" si="754"/>
        <v/>
      </c>
      <c r="AX1707" s="109" t="str">
        <f t="shared" si="755"/>
        <v/>
      </c>
      <c r="AY1707" s="112" t="str">
        <f>IF(ISNUMBER(O1707),IF(AND(VLOOKUP($D1707,Merchantability!$B:$C,2,0)="Yes",$E1707&gt;=VLOOKUP($D1707,Merchantability!$B:$D,3,0),$E1707&lt;=VLOOKUP($D1707,Merchantability!$B:$E,4,0)),(AV1707*O1707)*(1-$H1707/100),""),"")</f>
        <v/>
      </c>
      <c r="AZ1707" s="116"/>
      <c r="BA1707" s="116"/>
      <c r="BB1707" s="116"/>
      <c r="BE1707" s="62"/>
      <c r="BF1707" s="63"/>
    </row>
    <row r="1708" spans="1:58" ht="12.75" customHeight="1" x14ac:dyDescent="0.25">
      <c r="A1708" s="334"/>
      <c r="B1708" s="334"/>
      <c r="C1708" s="332"/>
      <c r="D1708" s="334"/>
      <c r="E1708" s="335"/>
      <c r="F1708" s="334"/>
      <c r="G1708" s="332"/>
      <c r="H1708" s="332"/>
      <c r="I1708" s="334"/>
      <c r="J1708" s="336"/>
      <c r="K1708" s="332"/>
      <c r="L1708" s="332"/>
      <c r="M1708" s="76"/>
      <c r="N1708" s="103" t="str">
        <f>IF(A1708="","",VLOOKUP(A1708,Stand!C:K,9,0))</f>
        <v/>
      </c>
      <c r="O1708" s="104" t="str">
        <f t="shared" si="740"/>
        <v/>
      </c>
      <c r="P1708" s="105" t="str">
        <f t="shared" si="741"/>
        <v/>
      </c>
      <c r="Q1708" s="105" t="str">
        <f t="shared" si="756"/>
        <v/>
      </c>
      <c r="R1708" s="103" t="str">
        <f t="shared" si="742"/>
        <v/>
      </c>
      <c r="S1708" s="103" t="str">
        <f t="shared" si="743"/>
        <v/>
      </c>
      <c r="T1708" s="106" t="str">
        <f t="shared" si="757"/>
        <v/>
      </c>
      <c r="U1708" s="106" t="str">
        <f t="shared" si="758"/>
        <v/>
      </c>
      <c r="V1708" s="106" t="str">
        <f t="shared" si="759"/>
        <v/>
      </c>
      <c r="W1708" s="105" t="str">
        <f t="shared" si="744"/>
        <v/>
      </c>
      <c r="X1708" s="104" t="str">
        <f t="shared" si="749"/>
        <v/>
      </c>
      <c r="Y1708" s="104" t="str">
        <f t="array" ref="Y1708">IFERROR(IF(ISNUMBER(O1708),IF(COUNT(IF(A1708=$A$2:$A$2427,IF(D1708=$D$2:$D$2427,IF($X$2:$X$2427&gt;0,1))))&gt;0,SUM(IF(A1708=$A$2:$A$2427,IF(D1708=$D$2:$D$2427,$X$2:$X$2427)))/COUNT(IF(A1708=$A$2:$A$2427,IF(D1708=$D$2:$D$2427,IF(ISNUMBER($X$2:$X$2427),1)))),0),""),0)</f>
        <v/>
      </c>
      <c r="Z1708" s="104" t="str">
        <f>IF(ISNUMBER(O1708),IF(I1708&gt;0,(10^(VLOOKUP(D1708,'Species Codes'!B:C,2,0)+VLOOKUP(D1708,'Species Codes'!B:D,3,0)*LOG(E1708)+VLOOKUP(D1708,'Species Codes'!B:E,4,0)*LOG(I1708))),0),"")</f>
        <v/>
      </c>
      <c r="AA1708" s="104" t="str">
        <f>IFERROR((VLOOKUP(D1708,'Species Codes'!B:G,6,0)*Z1708)/2000,"")</f>
        <v/>
      </c>
      <c r="AB1708" s="104" t="e">
        <f>IF(Z1708&gt;0,((IF(OR(D1708="DF",D1708="RA")=TRUE,EXP(VLOOKUP(D1708,'Species Codes'!B:I,8,0)+VLOOKUP(D1708,'Species Codes'!B:J,9,0)*(LN((E1708*2.54)))),IF(OR(D1708="PY",D1708="RC",D1708="WH",D1708="NF")=TRUE,VLOOKUP(D1708,'Species Codes'!B:I,8,0)+VLOOKUP(D1708,'Species Codes'!B:J,9,0)*((E1708*2.54)^2)*(I1708*0.3048),IF(OR(D1708="MD",D1708="BM",D1708="GA")=TRUE,((VLOOKUP(D1708,'Species Codes'!B:I,8,0)*(((((E1708*2.54)+VLOOKUP(D1708,'Species Codes'!B:J,9,0))/VLOOKUP(D1708,'Species Codes'!B:K,10,0))^VLOOKUP(D1708,'Species Codes'!B:L,11,0))*((I1708*0.3048)^VLOOKUP(D1708,'Species Codes'!B:M,12,0))))-(VLOOKUP(D1708,'Species Codes'!B:I,8,0)*((((E1708*2.54)^VLOOKUP(D1708,'Species Codes'!B:L,11,0))*((I1708*0.3048)^VLOOKUP(D1708,'Species Codes'!B:M,12,0))))))*35.3*VLOOKUP(D1708,'Species Codes'!B:G,6,0)/2.2046,VLOOKUP(D1708,'Species Codes'!B:I,8,0)+VLOOKUP(D1708,'Species Codes'!B:J,9,0)*(((E1708*2.54)/100)^2)*(I1708*0.3048)))))*0.0011023),0)</f>
        <v>#N/A</v>
      </c>
      <c r="AC1708" s="104" t="e">
        <f>IF(Z1708&gt;0,((IF(OR(D1708="RA",D1708="OA",D1708="OT",D1708="UN",D1708="PC"),EXP(VLOOKUP(D1708,'Species Codes'!B:O,14,0)+VLOOKUP(D1708,'Species Codes'!B:P,15,0)*LN((E1708*2.54)))-EXP(VLOOKUP(D1708,'Species Codes'!B:O,14,0)+VLOOKUP(D1708,'Species Codes'!B:P,15,0)*LN((E1708*2.54)))*(1/(VLOOKUP(D1708,'Species Codes'!B:Q,16,0)+VLOOKUP(D1708,'Species Codes'!B:R,17,0)*((E1708*2.54)^VLOOKUP(D1708,'Species Codes'!B:S,18,0)))),IF(OR(D1708="BM",D1708="MD",D1708="OA"),EXP(VLOOKUP(D1708,'Species Codes'!B:O,14,0)+VLOOKUP(D1708,'Species Codes'!B:P,15,0)*LN((E1708*2.54)))*(1-(1/(VLOOKUP(D1708,'Species Codes'!B:Q,16,0)+VLOOKUP(D1708,'Species Codes'!B:R,17,0)*((E1708*2.54)^VLOOKUP(D1708,'Species Codes'!B:S,18,0)))))/1000,IF(D1708="DF",EXP(VLOOKUP(D1708,'Species Codes'!B:O,14,0)+VLOOKUP(D1708,'Species Codes'!B:P,15,0)*LN((E1708*2.54))),VLOOKUP(D1708,'Species Codes'!B:O,14,0)+VLOOKUP(D1708,'Species Codes'!B:P,15,0)*(((E1708*2.54)/100)^2)*(I1708*0.3048)))))*0.0011023),0)</f>
        <v>#N/A</v>
      </c>
      <c r="AD1708" s="104" t="e">
        <f t="shared" si="760"/>
        <v>#N/A</v>
      </c>
      <c r="AE1708" s="104" t="e">
        <f t="shared" si="761"/>
        <v>#N/A</v>
      </c>
      <c r="AF1708" s="104" t="e">
        <f>IF(AND(VLOOKUP($D1708,Merchantability!$B:$C,2,0)="Yes",$E1708&gt;=VLOOKUP($D1708,Merchantability!$B:$D,3,0),$E1708&lt;=VLOOKUP($D1708,Merchantability!$B:$E,4,0)),AA1708,0)</f>
        <v>#N/A</v>
      </c>
      <c r="AG1708" s="104" t="e">
        <f>IF(AND(VLOOKUP($D1708,Merchantability!$B:$C,2,0)="Yes",$E1708&gt;=VLOOKUP($D1708,Merchantability!$B:$D,3,0),$E1708&lt;=VLOOKUP($D1708,Merchantability!$B:$E,4,0)),AB1708,0)</f>
        <v>#N/A</v>
      </c>
      <c r="AH1708" s="104" t="e">
        <f>IF(AND(VLOOKUP($D1708,Merchantability!$B:$C,2,0)="Yes",$E1708&gt;=VLOOKUP($D1708,Merchantability!$B:$D,3,0),$E1708&lt;=VLOOKUP($D1708,Merchantability!$B:$E,4,0)),AC1708,0)</f>
        <v>#N/A</v>
      </c>
      <c r="AI1708" s="104" t="e">
        <f t="shared" si="762"/>
        <v>#N/A</v>
      </c>
      <c r="AJ1708" s="104" t="e">
        <f t="shared" si="763"/>
        <v>#VALUE!</v>
      </c>
      <c r="AK1708" s="104" t="e">
        <f t="shared" si="764"/>
        <v>#N/A</v>
      </c>
      <c r="AL1708" s="104" t="e">
        <f t="shared" si="765"/>
        <v>#N/A</v>
      </c>
      <c r="AM1708" s="104" t="e">
        <f t="shared" si="766"/>
        <v>#N/A</v>
      </c>
      <c r="AN1708" s="104" t="e">
        <f t="shared" si="750"/>
        <v>#N/A</v>
      </c>
      <c r="AO1708" s="104" t="e">
        <f t="shared" si="751"/>
        <v>#N/A</v>
      </c>
      <c r="AP1708" s="104" t="e">
        <f t="shared" si="752"/>
        <v>#N/A</v>
      </c>
      <c r="AQ1708" s="104" t="e">
        <f t="shared" si="753"/>
        <v>#N/A</v>
      </c>
      <c r="AR1708" s="105" t="str">
        <f t="shared" si="745"/>
        <v/>
      </c>
      <c r="AS1708" s="105" t="str">
        <f t="shared" si="746"/>
        <v/>
      </c>
      <c r="AT1708" s="108" t="str">
        <f t="shared" si="747"/>
        <v/>
      </c>
      <c r="AU1708" s="108" t="str">
        <f t="shared" si="748"/>
        <v/>
      </c>
      <c r="AV1708" s="107" t="str">
        <f>IF(ISNUMBER(O1708),IF(VLOOKUP($A1708,Stand!C:J,8,FALSE)="Short",AT1708,AU1708),"")</f>
        <v/>
      </c>
      <c r="AW1708" s="109" t="str">
        <f t="shared" si="754"/>
        <v/>
      </c>
      <c r="AX1708" s="109" t="str">
        <f t="shared" si="755"/>
        <v/>
      </c>
      <c r="AY1708" s="112" t="str">
        <f>IF(ISNUMBER(O1708),IF(AND(VLOOKUP($D1708,Merchantability!$B:$C,2,0)="Yes",$E1708&gt;=VLOOKUP($D1708,Merchantability!$B:$D,3,0),$E1708&lt;=VLOOKUP($D1708,Merchantability!$B:$E,4,0)),(AV1708*O1708)*(1-$H1708/100),""),"")</f>
        <v/>
      </c>
      <c r="AZ1708" s="116"/>
      <c r="BA1708" s="116"/>
      <c r="BB1708" s="116"/>
      <c r="BE1708" s="62"/>
      <c r="BF1708" s="63"/>
    </row>
    <row r="1709" spans="1:58" ht="12.75" customHeight="1" x14ac:dyDescent="0.25">
      <c r="A1709" s="334"/>
      <c r="B1709" s="334"/>
      <c r="C1709" s="332"/>
      <c r="D1709" s="334"/>
      <c r="E1709" s="335"/>
      <c r="F1709" s="334"/>
      <c r="G1709" s="332"/>
      <c r="H1709" s="332"/>
      <c r="I1709" s="334"/>
      <c r="J1709" s="336"/>
      <c r="K1709" s="332"/>
      <c r="L1709" s="332"/>
      <c r="M1709" s="76"/>
      <c r="N1709" s="103" t="str">
        <f>IF(A1709="","",VLOOKUP(A1709,Stand!C:K,9,0))</f>
        <v/>
      </c>
      <c r="O1709" s="104" t="str">
        <f t="shared" si="740"/>
        <v/>
      </c>
      <c r="P1709" s="105" t="str">
        <f t="shared" si="741"/>
        <v/>
      </c>
      <c r="Q1709" s="105" t="str">
        <f t="shared" si="756"/>
        <v/>
      </c>
      <c r="R1709" s="103" t="str">
        <f t="shared" si="742"/>
        <v/>
      </c>
      <c r="S1709" s="103" t="str">
        <f t="shared" si="743"/>
        <v/>
      </c>
      <c r="T1709" s="106" t="str">
        <f t="shared" si="757"/>
        <v/>
      </c>
      <c r="U1709" s="106" t="str">
        <f t="shared" si="758"/>
        <v/>
      </c>
      <c r="V1709" s="106" t="str">
        <f t="shared" si="759"/>
        <v/>
      </c>
      <c r="W1709" s="105" t="str">
        <f t="shared" si="744"/>
        <v/>
      </c>
      <c r="X1709" s="104" t="str">
        <f t="shared" si="749"/>
        <v/>
      </c>
      <c r="Y1709" s="104" t="str">
        <f t="array" ref="Y1709">IFERROR(IF(ISNUMBER(O1709),IF(COUNT(IF(A1709=$A$2:$A$2427,IF(D1709=$D$2:$D$2427,IF($X$2:$X$2427&gt;0,1))))&gt;0,SUM(IF(A1709=$A$2:$A$2427,IF(D1709=$D$2:$D$2427,$X$2:$X$2427)))/COUNT(IF(A1709=$A$2:$A$2427,IF(D1709=$D$2:$D$2427,IF(ISNUMBER($X$2:$X$2427),1)))),0),""),0)</f>
        <v/>
      </c>
      <c r="Z1709" s="104" t="str">
        <f>IF(ISNUMBER(O1709),IF(I1709&gt;0,(10^(VLOOKUP(D1709,'Species Codes'!B:C,2,0)+VLOOKUP(D1709,'Species Codes'!B:D,3,0)*LOG(E1709)+VLOOKUP(D1709,'Species Codes'!B:E,4,0)*LOG(I1709))),0),"")</f>
        <v/>
      </c>
      <c r="AA1709" s="104" t="str">
        <f>IFERROR((VLOOKUP(D1709,'Species Codes'!B:G,6,0)*Z1709)/2000,"")</f>
        <v/>
      </c>
      <c r="AB1709" s="104" t="e">
        <f>IF(Z1709&gt;0,((IF(OR(D1709="DF",D1709="RA")=TRUE,EXP(VLOOKUP(D1709,'Species Codes'!B:I,8,0)+VLOOKUP(D1709,'Species Codes'!B:J,9,0)*(LN((E1709*2.54)))),IF(OR(D1709="PY",D1709="RC",D1709="WH",D1709="NF")=TRUE,VLOOKUP(D1709,'Species Codes'!B:I,8,0)+VLOOKUP(D1709,'Species Codes'!B:J,9,0)*((E1709*2.54)^2)*(I1709*0.3048),IF(OR(D1709="MD",D1709="BM",D1709="GA")=TRUE,((VLOOKUP(D1709,'Species Codes'!B:I,8,0)*(((((E1709*2.54)+VLOOKUP(D1709,'Species Codes'!B:J,9,0))/VLOOKUP(D1709,'Species Codes'!B:K,10,0))^VLOOKUP(D1709,'Species Codes'!B:L,11,0))*((I1709*0.3048)^VLOOKUP(D1709,'Species Codes'!B:M,12,0))))-(VLOOKUP(D1709,'Species Codes'!B:I,8,0)*((((E1709*2.54)^VLOOKUP(D1709,'Species Codes'!B:L,11,0))*((I1709*0.3048)^VLOOKUP(D1709,'Species Codes'!B:M,12,0))))))*35.3*VLOOKUP(D1709,'Species Codes'!B:G,6,0)/2.2046,VLOOKUP(D1709,'Species Codes'!B:I,8,0)+VLOOKUP(D1709,'Species Codes'!B:J,9,0)*(((E1709*2.54)/100)^2)*(I1709*0.3048)))))*0.0011023),0)</f>
        <v>#N/A</v>
      </c>
      <c r="AC1709" s="104" t="e">
        <f>IF(Z1709&gt;0,((IF(OR(D1709="RA",D1709="OA",D1709="OT",D1709="UN",D1709="PC"),EXP(VLOOKUP(D1709,'Species Codes'!B:O,14,0)+VLOOKUP(D1709,'Species Codes'!B:P,15,0)*LN((E1709*2.54)))-EXP(VLOOKUP(D1709,'Species Codes'!B:O,14,0)+VLOOKUP(D1709,'Species Codes'!B:P,15,0)*LN((E1709*2.54)))*(1/(VLOOKUP(D1709,'Species Codes'!B:Q,16,0)+VLOOKUP(D1709,'Species Codes'!B:R,17,0)*((E1709*2.54)^VLOOKUP(D1709,'Species Codes'!B:S,18,0)))),IF(OR(D1709="BM",D1709="MD",D1709="OA"),EXP(VLOOKUP(D1709,'Species Codes'!B:O,14,0)+VLOOKUP(D1709,'Species Codes'!B:P,15,0)*LN((E1709*2.54)))*(1-(1/(VLOOKUP(D1709,'Species Codes'!B:Q,16,0)+VLOOKUP(D1709,'Species Codes'!B:R,17,0)*((E1709*2.54)^VLOOKUP(D1709,'Species Codes'!B:S,18,0)))))/1000,IF(D1709="DF",EXP(VLOOKUP(D1709,'Species Codes'!B:O,14,0)+VLOOKUP(D1709,'Species Codes'!B:P,15,0)*LN((E1709*2.54))),VLOOKUP(D1709,'Species Codes'!B:O,14,0)+VLOOKUP(D1709,'Species Codes'!B:P,15,0)*(((E1709*2.54)/100)^2)*(I1709*0.3048)))))*0.0011023),0)</f>
        <v>#N/A</v>
      </c>
      <c r="AD1709" s="104" t="e">
        <f t="shared" si="760"/>
        <v>#N/A</v>
      </c>
      <c r="AE1709" s="104" t="e">
        <f t="shared" si="761"/>
        <v>#N/A</v>
      </c>
      <c r="AF1709" s="104" t="e">
        <f>IF(AND(VLOOKUP($D1709,Merchantability!$B:$C,2,0)="Yes",$E1709&gt;=VLOOKUP($D1709,Merchantability!$B:$D,3,0),$E1709&lt;=VLOOKUP($D1709,Merchantability!$B:$E,4,0)),AA1709,0)</f>
        <v>#N/A</v>
      </c>
      <c r="AG1709" s="104" t="e">
        <f>IF(AND(VLOOKUP($D1709,Merchantability!$B:$C,2,0)="Yes",$E1709&gt;=VLOOKUP($D1709,Merchantability!$B:$D,3,0),$E1709&lt;=VLOOKUP($D1709,Merchantability!$B:$E,4,0)),AB1709,0)</f>
        <v>#N/A</v>
      </c>
      <c r="AH1709" s="104" t="e">
        <f>IF(AND(VLOOKUP($D1709,Merchantability!$B:$C,2,0)="Yes",$E1709&gt;=VLOOKUP($D1709,Merchantability!$B:$D,3,0),$E1709&lt;=VLOOKUP($D1709,Merchantability!$B:$E,4,0)),AC1709,0)</f>
        <v>#N/A</v>
      </c>
      <c r="AI1709" s="104" t="e">
        <f t="shared" si="762"/>
        <v>#N/A</v>
      </c>
      <c r="AJ1709" s="104" t="e">
        <f t="shared" si="763"/>
        <v>#VALUE!</v>
      </c>
      <c r="AK1709" s="104" t="e">
        <f t="shared" si="764"/>
        <v>#N/A</v>
      </c>
      <c r="AL1709" s="104" t="e">
        <f t="shared" si="765"/>
        <v>#N/A</v>
      </c>
      <c r="AM1709" s="104" t="e">
        <f t="shared" si="766"/>
        <v>#N/A</v>
      </c>
      <c r="AN1709" s="104" t="e">
        <f t="shared" si="750"/>
        <v>#N/A</v>
      </c>
      <c r="AO1709" s="104" t="e">
        <f t="shared" si="751"/>
        <v>#N/A</v>
      </c>
      <c r="AP1709" s="104" t="e">
        <f t="shared" si="752"/>
        <v>#N/A</v>
      </c>
      <c r="AQ1709" s="104" t="e">
        <f t="shared" si="753"/>
        <v>#N/A</v>
      </c>
      <c r="AR1709" s="105" t="str">
        <f t="shared" si="745"/>
        <v/>
      </c>
      <c r="AS1709" s="105" t="str">
        <f t="shared" si="746"/>
        <v/>
      </c>
      <c r="AT1709" s="108" t="str">
        <f t="shared" si="747"/>
        <v/>
      </c>
      <c r="AU1709" s="108" t="str">
        <f t="shared" si="748"/>
        <v/>
      </c>
      <c r="AV1709" s="107" t="str">
        <f>IF(ISNUMBER(O1709),IF(VLOOKUP($A1709,Stand!C:J,8,FALSE)="Short",AT1709,AU1709),"")</f>
        <v/>
      </c>
      <c r="AW1709" s="109" t="str">
        <f t="shared" si="754"/>
        <v/>
      </c>
      <c r="AX1709" s="109" t="str">
        <f t="shared" si="755"/>
        <v/>
      </c>
      <c r="AY1709" s="112" t="str">
        <f>IF(ISNUMBER(O1709),IF(AND(VLOOKUP($D1709,Merchantability!$B:$C,2,0)="Yes",$E1709&gt;=VLOOKUP($D1709,Merchantability!$B:$D,3,0),$E1709&lt;=VLOOKUP($D1709,Merchantability!$B:$E,4,0)),(AV1709*O1709)*(1-$H1709/100),""),"")</f>
        <v/>
      </c>
      <c r="AZ1709" s="116"/>
      <c r="BA1709" s="116"/>
      <c r="BB1709" s="116"/>
      <c r="BE1709" s="62"/>
      <c r="BF1709" s="63"/>
    </row>
    <row r="1710" spans="1:58" ht="12.75" customHeight="1" x14ac:dyDescent="0.25">
      <c r="A1710" s="334"/>
      <c r="B1710" s="334"/>
      <c r="C1710" s="332"/>
      <c r="D1710" s="334"/>
      <c r="E1710" s="335"/>
      <c r="F1710" s="334"/>
      <c r="G1710" s="332"/>
      <c r="H1710" s="332"/>
      <c r="I1710" s="334"/>
      <c r="J1710" s="336"/>
      <c r="K1710" s="332"/>
      <c r="L1710" s="332"/>
      <c r="M1710" s="76"/>
      <c r="N1710" s="103" t="str">
        <f>IF(A1710="","",VLOOKUP(A1710,Stand!C:K,9,0))</f>
        <v/>
      </c>
      <c r="O1710" s="104" t="str">
        <f t="shared" si="740"/>
        <v/>
      </c>
      <c r="P1710" s="105" t="str">
        <f t="shared" si="741"/>
        <v/>
      </c>
      <c r="Q1710" s="105" t="str">
        <f t="shared" si="756"/>
        <v/>
      </c>
      <c r="R1710" s="103" t="str">
        <f t="shared" si="742"/>
        <v/>
      </c>
      <c r="S1710" s="103" t="str">
        <f t="shared" si="743"/>
        <v/>
      </c>
      <c r="T1710" s="106" t="str">
        <f t="shared" si="757"/>
        <v/>
      </c>
      <c r="U1710" s="106" t="str">
        <f t="shared" si="758"/>
        <v/>
      </c>
      <c r="V1710" s="106" t="str">
        <f t="shared" si="759"/>
        <v/>
      </c>
      <c r="W1710" s="105" t="str">
        <f t="shared" si="744"/>
        <v/>
      </c>
      <c r="X1710" s="104" t="str">
        <f t="shared" si="749"/>
        <v/>
      </c>
      <c r="Y1710" s="104" t="str">
        <f t="array" ref="Y1710">IFERROR(IF(ISNUMBER(O1710),IF(COUNT(IF(A1710=$A$2:$A$2427,IF(D1710=$D$2:$D$2427,IF($X$2:$X$2427&gt;0,1))))&gt;0,SUM(IF(A1710=$A$2:$A$2427,IF(D1710=$D$2:$D$2427,$X$2:$X$2427)))/COUNT(IF(A1710=$A$2:$A$2427,IF(D1710=$D$2:$D$2427,IF(ISNUMBER($X$2:$X$2427),1)))),0),""),0)</f>
        <v/>
      </c>
      <c r="Z1710" s="104" t="str">
        <f>IF(ISNUMBER(O1710),IF(I1710&gt;0,(10^(VLOOKUP(D1710,'Species Codes'!B:C,2,0)+VLOOKUP(D1710,'Species Codes'!B:D,3,0)*LOG(E1710)+VLOOKUP(D1710,'Species Codes'!B:E,4,0)*LOG(I1710))),0),"")</f>
        <v/>
      </c>
      <c r="AA1710" s="104" t="str">
        <f>IFERROR((VLOOKUP(D1710,'Species Codes'!B:G,6,0)*Z1710)/2000,"")</f>
        <v/>
      </c>
      <c r="AB1710" s="104" t="e">
        <f>IF(Z1710&gt;0,((IF(OR(D1710="DF",D1710="RA")=TRUE,EXP(VLOOKUP(D1710,'Species Codes'!B:I,8,0)+VLOOKUP(D1710,'Species Codes'!B:J,9,0)*(LN((E1710*2.54)))),IF(OR(D1710="PY",D1710="RC",D1710="WH",D1710="NF")=TRUE,VLOOKUP(D1710,'Species Codes'!B:I,8,0)+VLOOKUP(D1710,'Species Codes'!B:J,9,0)*((E1710*2.54)^2)*(I1710*0.3048),IF(OR(D1710="MD",D1710="BM",D1710="GA")=TRUE,((VLOOKUP(D1710,'Species Codes'!B:I,8,0)*(((((E1710*2.54)+VLOOKUP(D1710,'Species Codes'!B:J,9,0))/VLOOKUP(D1710,'Species Codes'!B:K,10,0))^VLOOKUP(D1710,'Species Codes'!B:L,11,0))*((I1710*0.3048)^VLOOKUP(D1710,'Species Codes'!B:M,12,0))))-(VLOOKUP(D1710,'Species Codes'!B:I,8,0)*((((E1710*2.54)^VLOOKUP(D1710,'Species Codes'!B:L,11,0))*((I1710*0.3048)^VLOOKUP(D1710,'Species Codes'!B:M,12,0))))))*35.3*VLOOKUP(D1710,'Species Codes'!B:G,6,0)/2.2046,VLOOKUP(D1710,'Species Codes'!B:I,8,0)+VLOOKUP(D1710,'Species Codes'!B:J,9,0)*(((E1710*2.54)/100)^2)*(I1710*0.3048)))))*0.0011023),0)</f>
        <v>#N/A</v>
      </c>
      <c r="AC1710" s="104" t="e">
        <f>IF(Z1710&gt;0,((IF(OR(D1710="RA",D1710="OA",D1710="OT",D1710="UN",D1710="PC"),EXP(VLOOKUP(D1710,'Species Codes'!B:O,14,0)+VLOOKUP(D1710,'Species Codes'!B:P,15,0)*LN((E1710*2.54)))-EXP(VLOOKUP(D1710,'Species Codes'!B:O,14,0)+VLOOKUP(D1710,'Species Codes'!B:P,15,0)*LN((E1710*2.54)))*(1/(VLOOKUP(D1710,'Species Codes'!B:Q,16,0)+VLOOKUP(D1710,'Species Codes'!B:R,17,0)*((E1710*2.54)^VLOOKUP(D1710,'Species Codes'!B:S,18,0)))),IF(OR(D1710="BM",D1710="MD",D1710="OA"),EXP(VLOOKUP(D1710,'Species Codes'!B:O,14,0)+VLOOKUP(D1710,'Species Codes'!B:P,15,0)*LN((E1710*2.54)))*(1-(1/(VLOOKUP(D1710,'Species Codes'!B:Q,16,0)+VLOOKUP(D1710,'Species Codes'!B:R,17,0)*((E1710*2.54)^VLOOKUP(D1710,'Species Codes'!B:S,18,0)))))/1000,IF(D1710="DF",EXP(VLOOKUP(D1710,'Species Codes'!B:O,14,0)+VLOOKUP(D1710,'Species Codes'!B:P,15,0)*LN((E1710*2.54))),VLOOKUP(D1710,'Species Codes'!B:O,14,0)+VLOOKUP(D1710,'Species Codes'!B:P,15,0)*(((E1710*2.54)/100)^2)*(I1710*0.3048)))))*0.0011023),0)</f>
        <v>#N/A</v>
      </c>
      <c r="AD1710" s="104" t="e">
        <f t="shared" si="760"/>
        <v>#N/A</v>
      </c>
      <c r="AE1710" s="104" t="e">
        <f t="shared" si="761"/>
        <v>#N/A</v>
      </c>
      <c r="AF1710" s="104" t="e">
        <f>IF(AND(VLOOKUP($D1710,Merchantability!$B:$C,2,0)="Yes",$E1710&gt;=VLOOKUP($D1710,Merchantability!$B:$D,3,0),$E1710&lt;=VLOOKUP($D1710,Merchantability!$B:$E,4,0)),AA1710,0)</f>
        <v>#N/A</v>
      </c>
      <c r="AG1710" s="104" t="e">
        <f>IF(AND(VLOOKUP($D1710,Merchantability!$B:$C,2,0)="Yes",$E1710&gt;=VLOOKUP($D1710,Merchantability!$B:$D,3,0),$E1710&lt;=VLOOKUP($D1710,Merchantability!$B:$E,4,0)),AB1710,0)</f>
        <v>#N/A</v>
      </c>
      <c r="AH1710" s="104" t="e">
        <f>IF(AND(VLOOKUP($D1710,Merchantability!$B:$C,2,0)="Yes",$E1710&gt;=VLOOKUP($D1710,Merchantability!$B:$D,3,0),$E1710&lt;=VLOOKUP($D1710,Merchantability!$B:$E,4,0)),AC1710,0)</f>
        <v>#N/A</v>
      </c>
      <c r="AI1710" s="104" t="e">
        <f t="shared" si="762"/>
        <v>#N/A</v>
      </c>
      <c r="AJ1710" s="104" t="e">
        <f t="shared" si="763"/>
        <v>#VALUE!</v>
      </c>
      <c r="AK1710" s="104" t="e">
        <f t="shared" si="764"/>
        <v>#N/A</v>
      </c>
      <c r="AL1710" s="104" t="e">
        <f t="shared" si="765"/>
        <v>#N/A</v>
      </c>
      <c r="AM1710" s="104" t="e">
        <f t="shared" si="766"/>
        <v>#N/A</v>
      </c>
      <c r="AN1710" s="104" t="e">
        <f t="shared" si="750"/>
        <v>#N/A</v>
      </c>
      <c r="AO1710" s="104" t="e">
        <f t="shared" si="751"/>
        <v>#N/A</v>
      </c>
      <c r="AP1710" s="104" t="e">
        <f t="shared" si="752"/>
        <v>#N/A</v>
      </c>
      <c r="AQ1710" s="104" t="e">
        <f t="shared" si="753"/>
        <v>#N/A</v>
      </c>
      <c r="AR1710" s="105" t="str">
        <f t="shared" si="745"/>
        <v/>
      </c>
      <c r="AS1710" s="105" t="str">
        <f t="shared" si="746"/>
        <v/>
      </c>
      <c r="AT1710" s="108" t="str">
        <f t="shared" si="747"/>
        <v/>
      </c>
      <c r="AU1710" s="108" t="str">
        <f t="shared" si="748"/>
        <v/>
      </c>
      <c r="AV1710" s="107" t="str">
        <f>IF(ISNUMBER(O1710),IF(VLOOKUP($A1710,Stand!C:J,8,FALSE)="Short",AT1710,AU1710),"")</f>
        <v/>
      </c>
      <c r="AW1710" s="109" t="str">
        <f t="shared" si="754"/>
        <v/>
      </c>
      <c r="AX1710" s="109" t="str">
        <f t="shared" si="755"/>
        <v/>
      </c>
      <c r="AY1710" s="112" t="str">
        <f>IF(ISNUMBER(O1710),IF(AND(VLOOKUP($D1710,Merchantability!$B:$C,2,0)="Yes",$E1710&gt;=VLOOKUP($D1710,Merchantability!$B:$D,3,0),$E1710&lt;=VLOOKUP($D1710,Merchantability!$B:$E,4,0)),(AV1710*O1710)*(1-$H1710/100),""),"")</f>
        <v/>
      </c>
      <c r="AZ1710" s="116"/>
      <c r="BA1710" s="116"/>
      <c r="BB1710" s="116"/>
      <c r="BE1710" s="62"/>
      <c r="BF1710" s="63"/>
    </row>
    <row r="1711" spans="1:58" ht="12.75" customHeight="1" x14ac:dyDescent="0.25">
      <c r="A1711" s="334"/>
      <c r="B1711" s="334"/>
      <c r="C1711" s="332"/>
      <c r="D1711" s="334"/>
      <c r="E1711" s="335"/>
      <c r="F1711" s="334"/>
      <c r="G1711" s="332"/>
      <c r="H1711" s="332"/>
      <c r="I1711" s="334"/>
      <c r="J1711" s="336"/>
      <c r="K1711" s="332"/>
      <c r="L1711" s="332"/>
      <c r="M1711" s="76"/>
      <c r="N1711" s="103" t="str">
        <f>IF(A1711="","",VLOOKUP(A1711,Stand!C:K,9,0))</f>
        <v/>
      </c>
      <c r="O1711" s="104" t="str">
        <f t="shared" si="740"/>
        <v/>
      </c>
      <c r="P1711" s="105" t="str">
        <f t="shared" si="741"/>
        <v/>
      </c>
      <c r="Q1711" s="105" t="str">
        <f t="shared" si="756"/>
        <v/>
      </c>
      <c r="R1711" s="103" t="str">
        <f t="shared" si="742"/>
        <v/>
      </c>
      <c r="S1711" s="103" t="str">
        <f t="shared" si="743"/>
        <v/>
      </c>
      <c r="T1711" s="106" t="str">
        <f t="shared" si="757"/>
        <v/>
      </c>
      <c r="U1711" s="106" t="str">
        <f t="shared" si="758"/>
        <v/>
      </c>
      <c r="V1711" s="106" t="str">
        <f t="shared" si="759"/>
        <v/>
      </c>
      <c r="W1711" s="105" t="str">
        <f t="shared" si="744"/>
        <v/>
      </c>
      <c r="X1711" s="104" t="str">
        <f t="shared" si="749"/>
        <v/>
      </c>
      <c r="Y1711" s="104" t="str">
        <f t="array" ref="Y1711">IFERROR(IF(ISNUMBER(O1711),IF(COUNT(IF(A1711=$A$2:$A$2427,IF(D1711=$D$2:$D$2427,IF($X$2:$X$2427&gt;0,1))))&gt;0,SUM(IF(A1711=$A$2:$A$2427,IF(D1711=$D$2:$D$2427,$X$2:$X$2427)))/COUNT(IF(A1711=$A$2:$A$2427,IF(D1711=$D$2:$D$2427,IF(ISNUMBER($X$2:$X$2427),1)))),0),""),0)</f>
        <v/>
      </c>
      <c r="Z1711" s="104" t="str">
        <f>IF(ISNUMBER(O1711),IF(I1711&gt;0,(10^(VLOOKUP(D1711,'Species Codes'!B:C,2,0)+VLOOKUP(D1711,'Species Codes'!B:D,3,0)*LOG(E1711)+VLOOKUP(D1711,'Species Codes'!B:E,4,0)*LOG(I1711))),0),"")</f>
        <v/>
      </c>
      <c r="AA1711" s="104" t="str">
        <f>IFERROR((VLOOKUP(D1711,'Species Codes'!B:G,6,0)*Z1711)/2000,"")</f>
        <v/>
      </c>
      <c r="AB1711" s="104" t="e">
        <f>IF(Z1711&gt;0,((IF(OR(D1711="DF",D1711="RA")=TRUE,EXP(VLOOKUP(D1711,'Species Codes'!B:I,8,0)+VLOOKUP(D1711,'Species Codes'!B:J,9,0)*(LN((E1711*2.54)))),IF(OR(D1711="PY",D1711="RC",D1711="WH",D1711="NF")=TRUE,VLOOKUP(D1711,'Species Codes'!B:I,8,0)+VLOOKUP(D1711,'Species Codes'!B:J,9,0)*((E1711*2.54)^2)*(I1711*0.3048),IF(OR(D1711="MD",D1711="BM",D1711="GA")=TRUE,((VLOOKUP(D1711,'Species Codes'!B:I,8,0)*(((((E1711*2.54)+VLOOKUP(D1711,'Species Codes'!B:J,9,0))/VLOOKUP(D1711,'Species Codes'!B:K,10,0))^VLOOKUP(D1711,'Species Codes'!B:L,11,0))*((I1711*0.3048)^VLOOKUP(D1711,'Species Codes'!B:M,12,0))))-(VLOOKUP(D1711,'Species Codes'!B:I,8,0)*((((E1711*2.54)^VLOOKUP(D1711,'Species Codes'!B:L,11,0))*((I1711*0.3048)^VLOOKUP(D1711,'Species Codes'!B:M,12,0))))))*35.3*VLOOKUP(D1711,'Species Codes'!B:G,6,0)/2.2046,VLOOKUP(D1711,'Species Codes'!B:I,8,0)+VLOOKUP(D1711,'Species Codes'!B:J,9,0)*(((E1711*2.54)/100)^2)*(I1711*0.3048)))))*0.0011023),0)</f>
        <v>#N/A</v>
      </c>
      <c r="AC1711" s="104" t="e">
        <f>IF(Z1711&gt;0,((IF(OR(D1711="RA",D1711="OA",D1711="OT",D1711="UN",D1711="PC"),EXP(VLOOKUP(D1711,'Species Codes'!B:O,14,0)+VLOOKUP(D1711,'Species Codes'!B:P,15,0)*LN((E1711*2.54)))-EXP(VLOOKUP(D1711,'Species Codes'!B:O,14,0)+VLOOKUP(D1711,'Species Codes'!B:P,15,0)*LN((E1711*2.54)))*(1/(VLOOKUP(D1711,'Species Codes'!B:Q,16,0)+VLOOKUP(D1711,'Species Codes'!B:R,17,0)*((E1711*2.54)^VLOOKUP(D1711,'Species Codes'!B:S,18,0)))),IF(OR(D1711="BM",D1711="MD",D1711="OA"),EXP(VLOOKUP(D1711,'Species Codes'!B:O,14,0)+VLOOKUP(D1711,'Species Codes'!B:P,15,0)*LN((E1711*2.54)))*(1-(1/(VLOOKUP(D1711,'Species Codes'!B:Q,16,0)+VLOOKUP(D1711,'Species Codes'!B:R,17,0)*((E1711*2.54)^VLOOKUP(D1711,'Species Codes'!B:S,18,0)))))/1000,IF(D1711="DF",EXP(VLOOKUP(D1711,'Species Codes'!B:O,14,0)+VLOOKUP(D1711,'Species Codes'!B:P,15,0)*LN((E1711*2.54))),VLOOKUP(D1711,'Species Codes'!B:O,14,0)+VLOOKUP(D1711,'Species Codes'!B:P,15,0)*(((E1711*2.54)/100)^2)*(I1711*0.3048)))))*0.0011023),0)</f>
        <v>#N/A</v>
      </c>
      <c r="AD1711" s="104" t="e">
        <f t="shared" si="760"/>
        <v>#N/A</v>
      </c>
      <c r="AE1711" s="104" t="e">
        <f t="shared" si="761"/>
        <v>#N/A</v>
      </c>
      <c r="AF1711" s="104" t="e">
        <f>IF(AND(VLOOKUP($D1711,Merchantability!$B:$C,2,0)="Yes",$E1711&gt;=VLOOKUP($D1711,Merchantability!$B:$D,3,0),$E1711&lt;=VLOOKUP($D1711,Merchantability!$B:$E,4,0)),AA1711,0)</f>
        <v>#N/A</v>
      </c>
      <c r="AG1711" s="104" t="e">
        <f>IF(AND(VLOOKUP($D1711,Merchantability!$B:$C,2,0)="Yes",$E1711&gt;=VLOOKUP($D1711,Merchantability!$B:$D,3,0),$E1711&lt;=VLOOKUP($D1711,Merchantability!$B:$E,4,0)),AB1711,0)</f>
        <v>#N/A</v>
      </c>
      <c r="AH1711" s="104" t="e">
        <f>IF(AND(VLOOKUP($D1711,Merchantability!$B:$C,2,0)="Yes",$E1711&gt;=VLOOKUP($D1711,Merchantability!$B:$D,3,0),$E1711&lt;=VLOOKUP($D1711,Merchantability!$B:$E,4,0)),AC1711,0)</f>
        <v>#N/A</v>
      </c>
      <c r="AI1711" s="104" t="e">
        <f t="shared" si="762"/>
        <v>#N/A</v>
      </c>
      <c r="AJ1711" s="104" t="e">
        <f t="shared" si="763"/>
        <v>#VALUE!</v>
      </c>
      <c r="AK1711" s="104" t="e">
        <f t="shared" si="764"/>
        <v>#N/A</v>
      </c>
      <c r="AL1711" s="104" t="e">
        <f t="shared" si="765"/>
        <v>#N/A</v>
      </c>
      <c r="AM1711" s="104" t="e">
        <f t="shared" si="766"/>
        <v>#N/A</v>
      </c>
      <c r="AN1711" s="104" t="e">
        <f t="shared" si="750"/>
        <v>#N/A</v>
      </c>
      <c r="AO1711" s="104" t="e">
        <f t="shared" si="751"/>
        <v>#N/A</v>
      </c>
      <c r="AP1711" s="104" t="e">
        <f t="shared" si="752"/>
        <v>#N/A</v>
      </c>
      <c r="AQ1711" s="104" t="e">
        <f t="shared" si="753"/>
        <v>#N/A</v>
      </c>
      <c r="AR1711" s="105" t="str">
        <f t="shared" si="745"/>
        <v/>
      </c>
      <c r="AS1711" s="105" t="str">
        <f t="shared" si="746"/>
        <v/>
      </c>
      <c r="AT1711" s="108" t="str">
        <f t="shared" si="747"/>
        <v/>
      </c>
      <c r="AU1711" s="108" t="str">
        <f t="shared" si="748"/>
        <v/>
      </c>
      <c r="AV1711" s="107" t="str">
        <f>IF(ISNUMBER(O1711),IF(VLOOKUP($A1711,Stand!C:J,8,FALSE)="Short",AT1711,AU1711),"")</f>
        <v/>
      </c>
      <c r="AW1711" s="109" t="str">
        <f t="shared" si="754"/>
        <v/>
      </c>
      <c r="AX1711" s="109" t="str">
        <f t="shared" si="755"/>
        <v/>
      </c>
      <c r="AY1711" s="112" t="str">
        <f>IF(ISNUMBER(O1711),IF(AND(VLOOKUP($D1711,Merchantability!$B:$C,2,0)="Yes",$E1711&gt;=VLOOKUP($D1711,Merchantability!$B:$D,3,0),$E1711&lt;=VLOOKUP($D1711,Merchantability!$B:$E,4,0)),(AV1711*O1711)*(1-$H1711/100),""),"")</f>
        <v/>
      </c>
      <c r="AZ1711" s="116"/>
      <c r="BA1711" s="116"/>
      <c r="BB1711" s="116"/>
      <c r="BE1711" s="62"/>
      <c r="BF1711" s="63"/>
    </row>
    <row r="1712" spans="1:58" ht="12.75" customHeight="1" x14ac:dyDescent="0.25">
      <c r="A1712" s="334"/>
      <c r="B1712" s="334"/>
      <c r="C1712" s="332"/>
      <c r="D1712" s="334"/>
      <c r="E1712" s="335"/>
      <c r="F1712" s="334"/>
      <c r="G1712" s="332"/>
      <c r="H1712" s="332"/>
      <c r="I1712" s="334"/>
      <c r="J1712" s="336"/>
      <c r="K1712" s="332"/>
      <c r="L1712" s="332"/>
      <c r="M1712" s="76"/>
      <c r="N1712" s="103" t="str">
        <f>IF(A1712="","",VLOOKUP(A1712,Stand!C:K,9,0))</f>
        <v/>
      </c>
      <c r="O1712" s="104" t="str">
        <f t="shared" si="740"/>
        <v/>
      </c>
      <c r="P1712" s="105" t="str">
        <f t="shared" si="741"/>
        <v/>
      </c>
      <c r="Q1712" s="105" t="str">
        <f t="shared" si="756"/>
        <v/>
      </c>
      <c r="R1712" s="103" t="str">
        <f t="shared" si="742"/>
        <v/>
      </c>
      <c r="S1712" s="103" t="str">
        <f t="shared" si="743"/>
        <v/>
      </c>
      <c r="T1712" s="106" t="str">
        <f t="shared" si="757"/>
        <v/>
      </c>
      <c r="U1712" s="106" t="str">
        <f t="shared" si="758"/>
        <v/>
      </c>
      <c r="V1712" s="106" t="str">
        <f t="shared" si="759"/>
        <v/>
      </c>
      <c r="W1712" s="105" t="str">
        <f t="shared" si="744"/>
        <v/>
      </c>
      <c r="X1712" s="104" t="str">
        <f t="shared" si="749"/>
        <v/>
      </c>
      <c r="Y1712" s="104" t="str">
        <f t="array" ref="Y1712">IFERROR(IF(ISNUMBER(O1712),IF(COUNT(IF(A1712=$A$2:$A$2427,IF(D1712=$D$2:$D$2427,IF($X$2:$X$2427&gt;0,1))))&gt;0,SUM(IF(A1712=$A$2:$A$2427,IF(D1712=$D$2:$D$2427,$X$2:$X$2427)))/COUNT(IF(A1712=$A$2:$A$2427,IF(D1712=$D$2:$D$2427,IF(ISNUMBER($X$2:$X$2427),1)))),0),""),0)</f>
        <v/>
      </c>
      <c r="Z1712" s="104" t="str">
        <f>IF(ISNUMBER(O1712),IF(I1712&gt;0,(10^(VLOOKUP(D1712,'Species Codes'!B:C,2,0)+VLOOKUP(D1712,'Species Codes'!B:D,3,0)*LOG(E1712)+VLOOKUP(D1712,'Species Codes'!B:E,4,0)*LOG(I1712))),0),"")</f>
        <v/>
      </c>
      <c r="AA1712" s="104" t="str">
        <f>IFERROR((VLOOKUP(D1712,'Species Codes'!B:G,6,0)*Z1712)/2000,"")</f>
        <v/>
      </c>
      <c r="AB1712" s="104" t="e">
        <f>IF(Z1712&gt;0,((IF(OR(D1712="DF",D1712="RA")=TRUE,EXP(VLOOKUP(D1712,'Species Codes'!B:I,8,0)+VLOOKUP(D1712,'Species Codes'!B:J,9,0)*(LN((E1712*2.54)))),IF(OR(D1712="PY",D1712="RC",D1712="WH",D1712="NF")=TRUE,VLOOKUP(D1712,'Species Codes'!B:I,8,0)+VLOOKUP(D1712,'Species Codes'!B:J,9,0)*((E1712*2.54)^2)*(I1712*0.3048),IF(OR(D1712="MD",D1712="BM",D1712="GA")=TRUE,((VLOOKUP(D1712,'Species Codes'!B:I,8,0)*(((((E1712*2.54)+VLOOKUP(D1712,'Species Codes'!B:J,9,0))/VLOOKUP(D1712,'Species Codes'!B:K,10,0))^VLOOKUP(D1712,'Species Codes'!B:L,11,0))*((I1712*0.3048)^VLOOKUP(D1712,'Species Codes'!B:M,12,0))))-(VLOOKUP(D1712,'Species Codes'!B:I,8,0)*((((E1712*2.54)^VLOOKUP(D1712,'Species Codes'!B:L,11,0))*((I1712*0.3048)^VLOOKUP(D1712,'Species Codes'!B:M,12,0))))))*35.3*VLOOKUP(D1712,'Species Codes'!B:G,6,0)/2.2046,VLOOKUP(D1712,'Species Codes'!B:I,8,0)+VLOOKUP(D1712,'Species Codes'!B:J,9,0)*(((E1712*2.54)/100)^2)*(I1712*0.3048)))))*0.0011023),0)</f>
        <v>#N/A</v>
      </c>
      <c r="AC1712" s="104" t="e">
        <f>IF(Z1712&gt;0,((IF(OR(D1712="RA",D1712="OA",D1712="OT",D1712="UN",D1712="PC"),EXP(VLOOKUP(D1712,'Species Codes'!B:O,14,0)+VLOOKUP(D1712,'Species Codes'!B:P,15,0)*LN((E1712*2.54)))-EXP(VLOOKUP(D1712,'Species Codes'!B:O,14,0)+VLOOKUP(D1712,'Species Codes'!B:P,15,0)*LN((E1712*2.54)))*(1/(VLOOKUP(D1712,'Species Codes'!B:Q,16,0)+VLOOKUP(D1712,'Species Codes'!B:R,17,0)*((E1712*2.54)^VLOOKUP(D1712,'Species Codes'!B:S,18,0)))),IF(OR(D1712="BM",D1712="MD",D1712="OA"),EXP(VLOOKUP(D1712,'Species Codes'!B:O,14,0)+VLOOKUP(D1712,'Species Codes'!B:P,15,0)*LN((E1712*2.54)))*(1-(1/(VLOOKUP(D1712,'Species Codes'!B:Q,16,0)+VLOOKUP(D1712,'Species Codes'!B:R,17,0)*((E1712*2.54)^VLOOKUP(D1712,'Species Codes'!B:S,18,0)))))/1000,IF(D1712="DF",EXP(VLOOKUP(D1712,'Species Codes'!B:O,14,0)+VLOOKUP(D1712,'Species Codes'!B:P,15,0)*LN((E1712*2.54))),VLOOKUP(D1712,'Species Codes'!B:O,14,0)+VLOOKUP(D1712,'Species Codes'!B:P,15,0)*(((E1712*2.54)/100)^2)*(I1712*0.3048)))))*0.0011023),0)</f>
        <v>#N/A</v>
      </c>
      <c r="AD1712" s="104" t="e">
        <f t="shared" si="760"/>
        <v>#N/A</v>
      </c>
      <c r="AE1712" s="104" t="e">
        <f t="shared" si="761"/>
        <v>#N/A</v>
      </c>
      <c r="AF1712" s="104" t="e">
        <f>IF(AND(VLOOKUP($D1712,Merchantability!$B:$C,2,0)="Yes",$E1712&gt;=VLOOKUP($D1712,Merchantability!$B:$D,3,0),$E1712&lt;=VLOOKUP($D1712,Merchantability!$B:$E,4,0)),AA1712,0)</f>
        <v>#N/A</v>
      </c>
      <c r="AG1712" s="104" t="e">
        <f>IF(AND(VLOOKUP($D1712,Merchantability!$B:$C,2,0)="Yes",$E1712&gt;=VLOOKUP($D1712,Merchantability!$B:$D,3,0),$E1712&lt;=VLOOKUP($D1712,Merchantability!$B:$E,4,0)),AB1712,0)</f>
        <v>#N/A</v>
      </c>
      <c r="AH1712" s="104" t="e">
        <f>IF(AND(VLOOKUP($D1712,Merchantability!$B:$C,2,0)="Yes",$E1712&gt;=VLOOKUP($D1712,Merchantability!$B:$D,3,0),$E1712&lt;=VLOOKUP($D1712,Merchantability!$B:$E,4,0)),AC1712,0)</f>
        <v>#N/A</v>
      </c>
      <c r="AI1712" s="104" t="e">
        <f t="shared" si="762"/>
        <v>#N/A</v>
      </c>
      <c r="AJ1712" s="104" t="e">
        <f t="shared" si="763"/>
        <v>#VALUE!</v>
      </c>
      <c r="AK1712" s="104" t="e">
        <f t="shared" si="764"/>
        <v>#N/A</v>
      </c>
      <c r="AL1712" s="104" t="e">
        <f t="shared" si="765"/>
        <v>#N/A</v>
      </c>
      <c r="AM1712" s="104" t="e">
        <f t="shared" si="766"/>
        <v>#N/A</v>
      </c>
      <c r="AN1712" s="104" t="e">
        <f t="shared" si="750"/>
        <v>#N/A</v>
      </c>
      <c r="AO1712" s="104" t="e">
        <f t="shared" si="751"/>
        <v>#N/A</v>
      </c>
      <c r="AP1712" s="104" t="e">
        <f t="shared" si="752"/>
        <v>#N/A</v>
      </c>
      <c r="AQ1712" s="104" t="e">
        <f t="shared" si="753"/>
        <v>#N/A</v>
      </c>
      <c r="AR1712" s="105" t="str">
        <f t="shared" si="745"/>
        <v/>
      </c>
      <c r="AS1712" s="105" t="str">
        <f t="shared" si="746"/>
        <v/>
      </c>
      <c r="AT1712" s="108" t="str">
        <f t="shared" si="747"/>
        <v/>
      </c>
      <c r="AU1712" s="108" t="str">
        <f t="shared" si="748"/>
        <v/>
      </c>
      <c r="AV1712" s="107" t="str">
        <f>IF(ISNUMBER(O1712),IF(VLOOKUP($A1712,Stand!C:J,8,FALSE)="Short",AT1712,AU1712),"")</f>
        <v/>
      </c>
      <c r="AW1712" s="109" t="str">
        <f t="shared" si="754"/>
        <v/>
      </c>
      <c r="AX1712" s="109" t="str">
        <f t="shared" si="755"/>
        <v/>
      </c>
      <c r="AY1712" s="112" t="str">
        <f>IF(ISNUMBER(O1712),IF(AND(VLOOKUP($D1712,Merchantability!$B:$C,2,0)="Yes",$E1712&gt;=VLOOKUP($D1712,Merchantability!$B:$D,3,0),$E1712&lt;=VLOOKUP($D1712,Merchantability!$B:$E,4,0)),(AV1712*O1712)*(1-$H1712/100),""),"")</f>
        <v/>
      </c>
      <c r="AZ1712" s="116"/>
      <c r="BA1712" s="116"/>
      <c r="BB1712" s="116"/>
      <c r="BE1712" s="62"/>
      <c r="BF1712" s="63"/>
    </row>
    <row r="1713" spans="1:58" ht="12.75" customHeight="1" x14ac:dyDescent="0.25">
      <c r="A1713" s="334"/>
      <c r="B1713" s="334"/>
      <c r="C1713" s="332"/>
      <c r="D1713" s="334"/>
      <c r="E1713" s="335"/>
      <c r="F1713" s="334"/>
      <c r="G1713" s="332"/>
      <c r="H1713" s="332"/>
      <c r="I1713" s="334"/>
      <c r="J1713" s="336"/>
      <c r="K1713" s="332"/>
      <c r="L1713" s="332"/>
      <c r="M1713" s="76"/>
      <c r="N1713" s="103" t="str">
        <f>IF(A1713="","",VLOOKUP(A1713,Stand!C:K,9,0))</f>
        <v/>
      </c>
      <c r="O1713" s="104" t="str">
        <f t="shared" si="740"/>
        <v/>
      </c>
      <c r="P1713" s="105" t="str">
        <f t="shared" si="741"/>
        <v/>
      </c>
      <c r="Q1713" s="105" t="str">
        <f t="shared" si="756"/>
        <v/>
      </c>
      <c r="R1713" s="103" t="str">
        <f t="shared" si="742"/>
        <v/>
      </c>
      <c r="S1713" s="103" t="str">
        <f t="shared" si="743"/>
        <v/>
      </c>
      <c r="T1713" s="106" t="str">
        <f t="shared" si="757"/>
        <v/>
      </c>
      <c r="U1713" s="106" t="str">
        <f t="shared" si="758"/>
        <v/>
      </c>
      <c r="V1713" s="106" t="str">
        <f t="shared" si="759"/>
        <v/>
      </c>
      <c r="W1713" s="105" t="str">
        <f t="shared" si="744"/>
        <v/>
      </c>
      <c r="X1713" s="104" t="str">
        <f t="shared" si="749"/>
        <v/>
      </c>
      <c r="Y1713" s="104" t="str">
        <f t="array" ref="Y1713">IFERROR(IF(ISNUMBER(O1713),IF(COUNT(IF(A1713=$A$2:$A$2427,IF(D1713=$D$2:$D$2427,IF($X$2:$X$2427&gt;0,1))))&gt;0,SUM(IF(A1713=$A$2:$A$2427,IF(D1713=$D$2:$D$2427,$X$2:$X$2427)))/COUNT(IF(A1713=$A$2:$A$2427,IF(D1713=$D$2:$D$2427,IF(ISNUMBER($X$2:$X$2427),1)))),0),""),0)</f>
        <v/>
      </c>
      <c r="Z1713" s="104" t="str">
        <f>IF(ISNUMBER(O1713),IF(I1713&gt;0,(10^(VLOOKUP(D1713,'Species Codes'!B:C,2,0)+VLOOKUP(D1713,'Species Codes'!B:D,3,0)*LOG(E1713)+VLOOKUP(D1713,'Species Codes'!B:E,4,0)*LOG(I1713))),0),"")</f>
        <v/>
      </c>
      <c r="AA1713" s="104" t="str">
        <f>IFERROR((VLOOKUP(D1713,'Species Codes'!B:G,6,0)*Z1713)/2000,"")</f>
        <v/>
      </c>
      <c r="AB1713" s="104" t="e">
        <f>IF(Z1713&gt;0,((IF(OR(D1713="DF",D1713="RA")=TRUE,EXP(VLOOKUP(D1713,'Species Codes'!B:I,8,0)+VLOOKUP(D1713,'Species Codes'!B:J,9,0)*(LN((E1713*2.54)))),IF(OR(D1713="PY",D1713="RC",D1713="WH",D1713="NF")=TRUE,VLOOKUP(D1713,'Species Codes'!B:I,8,0)+VLOOKUP(D1713,'Species Codes'!B:J,9,0)*((E1713*2.54)^2)*(I1713*0.3048),IF(OR(D1713="MD",D1713="BM",D1713="GA")=TRUE,((VLOOKUP(D1713,'Species Codes'!B:I,8,0)*(((((E1713*2.54)+VLOOKUP(D1713,'Species Codes'!B:J,9,0))/VLOOKUP(D1713,'Species Codes'!B:K,10,0))^VLOOKUP(D1713,'Species Codes'!B:L,11,0))*((I1713*0.3048)^VLOOKUP(D1713,'Species Codes'!B:M,12,0))))-(VLOOKUP(D1713,'Species Codes'!B:I,8,0)*((((E1713*2.54)^VLOOKUP(D1713,'Species Codes'!B:L,11,0))*((I1713*0.3048)^VLOOKUP(D1713,'Species Codes'!B:M,12,0))))))*35.3*VLOOKUP(D1713,'Species Codes'!B:G,6,0)/2.2046,VLOOKUP(D1713,'Species Codes'!B:I,8,0)+VLOOKUP(D1713,'Species Codes'!B:J,9,0)*(((E1713*2.54)/100)^2)*(I1713*0.3048)))))*0.0011023),0)</f>
        <v>#N/A</v>
      </c>
      <c r="AC1713" s="104" t="e">
        <f>IF(Z1713&gt;0,((IF(OR(D1713="RA",D1713="OA",D1713="OT",D1713="UN",D1713="PC"),EXP(VLOOKUP(D1713,'Species Codes'!B:O,14,0)+VLOOKUP(D1713,'Species Codes'!B:P,15,0)*LN((E1713*2.54)))-EXP(VLOOKUP(D1713,'Species Codes'!B:O,14,0)+VLOOKUP(D1713,'Species Codes'!B:P,15,0)*LN((E1713*2.54)))*(1/(VLOOKUP(D1713,'Species Codes'!B:Q,16,0)+VLOOKUP(D1713,'Species Codes'!B:R,17,0)*((E1713*2.54)^VLOOKUP(D1713,'Species Codes'!B:S,18,0)))),IF(OR(D1713="BM",D1713="MD",D1713="OA"),EXP(VLOOKUP(D1713,'Species Codes'!B:O,14,0)+VLOOKUP(D1713,'Species Codes'!B:P,15,0)*LN((E1713*2.54)))*(1-(1/(VLOOKUP(D1713,'Species Codes'!B:Q,16,0)+VLOOKUP(D1713,'Species Codes'!B:R,17,0)*((E1713*2.54)^VLOOKUP(D1713,'Species Codes'!B:S,18,0)))))/1000,IF(D1713="DF",EXP(VLOOKUP(D1713,'Species Codes'!B:O,14,0)+VLOOKUP(D1713,'Species Codes'!B:P,15,0)*LN((E1713*2.54))),VLOOKUP(D1713,'Species Codes'!B:O,14,0)+VLOOKUP(D1713,'Species Codes'!B:P,15,0)*(((E1713*2.54)/100)^2)*(I1713*0.3048)))))*0.0011023),0)</f>
        <v>#N/A</v>
      </c>
      <c r="AD1713" s="104" t="e">
        <f t="shared" si="760"/>
        <v>#N/A</v>
      </c>
      <c r="AE1713" s="104" t="e">
        <f t="shared" si="761"/>
        <v>#N/A</v>
      </c>
      <c r="AF1713" s="104" t="e">
        <f>IF(AND(VLOOKUP($D1713,Merchantability!$B:$C,2,0)="Yes",$E1713&gt;=VLOOKUP($D1713,Merchantability!$B:$D,3,0),$E1713&lt;=VLOOKUP($D1713,Merchantability!$B:$E,4,0)),AA1713,0)</f>
        <v>#N/A</v>
      </c>
      <c r="AG1713" s="104" t="e">
        <f>IF(AND(VLOOKUP($D1713,Merchantability!$B:$C,2,0)="Yes",$E1713&gt;=VLOOKUP($D1713,Merchantability!$B:$D,3,0),$E1713&lt;=VLOOKUP($D1713,Merchantability!$B:$E,4,0)),AB1713,0)</f>
        <v>#N/A</v>
      </c>
      <c r="AH1713" s="104" t="e">
        <f>IF(AND(VLOOKUP($D1713,Merchantability!$B:$C,2,0)="Yes",$E1713&gt;=VLOOKUP($D1713,Merchantability!$B:$D,3,0),$E1713&lt;=VLOOKUP($D1713,Merchantability!$B:$E,4,0)),AC1713,0)</f>
        <v>#N/A</v>
      </c>
      <c r="AI1713" s="104" t="e">
        <f t="shared" si="762"/>
        <v>#N/A</v>
      </c>
      <c r="AJ1713" s="104" t="e">
        <f t="shared" si="763"/>
        <v>#VALUE!</v>
      </c>
      <c r="AK1713" s="104" t="e">
        <f t="shared" si="764"/>
        <v>#N/A</v>
      </c>
      <c r="AL1713" s="104" t="e">
        <f t="shared" si="765"/>
        <v>#N/A</v>
      </c>
      <c r="AM1713" s="104" t="e">
        <f t="shared" si="766"/>
        <v>#N/A</v>
      </c>
      <c r="AN1713" s="104" t="e">
        <f t="shared" si="750"/>
        <v>#N/A</v>
      </c>
      <c r="AO1713" s="104" t="e">
        <f t="shared" si="751"/>
        <v>#N/A</v>
      </c>
      <c r="AP1713" s="104" t="e">
        <f t="shared" si="752"/>
        <v>#N/A</v>
      </c>
      <c r="AQ1713" s="104" t="e">
        <f t="shared" si="753"/>
        <v>#N/A</v>
      </c>
      <c r="AR1713" s="105" t="str">
        <f t="shared" si="745"/>
        <v/>
      </c>
      <c r="AS1713" s="105" t="str">
        <f t="shared" si="746"/>
        <v/>
      </c>
      <c r="AT1713" s="108" t="str">
        <f t="shared" si="747"/>
        <v/>
      </c>
      <c r="AU1713" s="108" t="str">
        <f t="shared" si="748"/>
        <v/>
      </c>
      <c r="AV1713" s="107" t="str">
        <f>IF(ISNUMBER(O1713),IF(VLOOKUP($A1713,Stand!C:J,8,FALSE)="Short",AT1713,AU1713),"")</f>
        <v/>
      </c>
      <c r="AW1713" s="109" t="str">
        <f t="shared" si="754"/>
        <v/>
      </c>
      <c r="AX1713" s="109" t="str">
        <f t="shared" si="755"/>
        <v/>
      </c>
      <c r="AY1713" s="112" t="str">
        <f>IF(ISNUMBER(O1713),IF(AND(VLOOKUP($D1713,Merchantability!$B:$C,2,0)="Yes",$E1713&gt;=VLOOKUP($D1713,Merchantability!$B:$D,3,0),$E1713&lt;=VLOOKUP($D1713,Merchantability!$B:$E,4,0)),(AV1713*O1713)*(1-$H1713/100),""),"")</f>
        <v/>
      </c>
      <c r="AZ1713" s="116"/>
      <c r="BA1713" s="116"/>
      <c r="BB1713" s="116"/>
      <c r="BE1713" s="62"/>
      <c r="BF1713" s="63"/>
    </row>
    <row r="1714" spans="1:58" ht="12.75" customHeight="1" x14ac:dyDescent="0.25">
      <c r="A1714" s="334"/>
      <c r="B1714" s="334"/>
      <c r="C1714" s="332"/>
      <c r="D1714" s="334"/>
      <c r="E1714" s="335"/>
      <c r="F1714" s="334"/>
      <c r="G1714" s="332"/>
      <c r="H1714" s="332"/>
      <c r="I1714" s="334"/>
      <c r="J1714" s="336"/>
      <c r="K1714" s="332"/>
      <c r="L1714" s="332"/>
      <c r="M1714" s="76"/>
      <c r="N1714" s="103" t="str">
        <f>IF(A1714="","",VLOOKUP(A1714,Stand!C:K,9,0))</f>
        <v/>
      </c>
      <c r="O1714" s="104" t="str">
        <f t="shared" si="740"/>
        <v/>
      </c>
      <c r="P1714" s="105" t="str">
        <f t="shared" si="741"/>
        <v/>
      </c>
      <c r="Q1714" s="105" t="str">
        <f t="shared" si="756"/>
        <v/>
      </c>
      <c r="R1714" s="103" t="str">
        <f t="shared" si="742"/>
        <v/>
      </c>
      <c r="S1714" s="103" t="str">
        <f t="shared" si="743"/>
        <v/>
      </c>
      <c r="T1714" s="106" t="str">
        <f t="shared" si="757"/>
        <v/>
      </c>
      <c r="U1714" s="106" t="str">
        <f t="shared" si="758"/>
        <v/>
      </c>
      <c r="V1714" s="106" t="str">
        <f t="shared" si="759"/>
        <v/>
      </c>
      <c r="W1714" s="105" t="str">
        <f t="shared" si="744"/>
        <v/>
      </c>
      <c r="X1714" s="104" t="str">
        <f t="shared" si="749"/>
        <v/>
      </c>
      <c r="Y1714" s="104" t="str">
        <f t="array" ref="Y1714">IFERROR(IF(ISNUMBER(O1714),IF(COUNT(IF(A1714=$A$2:$A$2427,IF(D1714=$D$2:$D$2427,IF($X$2:$X$2427&gt;0,1))))&gt;0,SUM(IF(A1714=$A$2:$A$2427,IF(D1714=$D$2:$D$2427,$X$2:$X$2427)))/COUNT(IF(A1714=$A$2:$A$2427,IF(D1714=$D$2:$D$2427,IF(ISNUMBER($X$2:$X$2427),1)))),0),""),0)</f>
        <v/>
      </c>
      <c r="Z1714" s="104" t="str">
        <f>IF(ISNUMBER(O1714),IF(I1714&gt;0,(10^(VLOOKUP(D1714,'Species Codes'!B:C,2,0)+VLOOKUP(D1714,'Species Codes'!B:D,3,0)*LOG(E1714)+VLOOKUP(D1714,'Species Codes'!B:E,4,0)*LOG(I1714))),0),"")</f>
        <v/>
      </c>
      <c r="AA1714" s="104" t="str">
        <f>IFERROR((VLOOKUP(D1714,'Species Codes'!B:G,6,0)*Z1714)/2000,"")</f>
        <v/>
      </c>
      <c r="AB1714" s="104" t="e">
        <f>IF(Z1714&gt;0,((IF(OR(D1714="DF",D1714="RA")=TRUE,EXP(VLOOKUP(D1714,'Species Codes'!B:I,8,0)+VLOOKUP(D1714,'Species Codes'!B:J,9,0)*(LN((E1714*2.54)))),IF(OR(D1714="PY",D1714="RC",D1714="WH",D1714="NF")=TRUE,VLOOKUP(D1714,'Species Codes'!B:I,8,0)+VLOOKUP(D1714,'Species Codes'!B:J,9,0)*((E1714*2.54)^2)*(I1714*0.3048),IF(OR(D1714="MD",D1714="BM",D1714="GA")=TRUE,((VLOOKUP(D1714,'Species Codes'!B:I,8,0)*(((((E1714*2.54)+VLOOKUP(D1714,'Species Codes'!B:J,9,0))/VLOOKUP(D1714,'Species Codes'!B:K,10,0))^VLOOKUP(D1714,'Species Codes'!B:L,11,0))*((I1714*0.3048)^VLOOKUP(D1714,'Species Codes'!B:M,12,0))))-(VLOOKUP(D1714,'Species Codes'!B:I,8,0)*((((E1714*2.54)^VLOOKUP(D1714,'Species Codes'!B:L,11,0))*((I1714*0.3048)^VLOOKUP(D1714,'Species Codes'!B:M,12,0))))))*35.3*VLOOKUP(D1714,'Species Codes'!B:G,6,0)/2.2046,VLOOKUP(D1714,'Species Codes'!B:I,8,0)+VLOOKUP(D1714,'Species Codes'!B:J,9,0)*(((E1714*2.54)/100)^2)*(I1714*0.3048)))))*0.0011023),0)</f>
        <v>#N/A</v>
      </c>
      <c r="AC1714" s="104" t="e">
        <f>IF(Z1714&gt;0,((IF(OR(D1714="RA",D1714="OA",D1714="OT",D1714="UN",D1714="PC"),EXP(VLOOKUP(D1714,'Species Codes'!B:O,14,0)+VLOOKUP(D1714,'Species Codes'!B:P,15,0)*LN((E1714*2.54)))-EXP(VLOOKUP(D1714,'Species Codes'!B:O,14,0)+VLOOKUP(D1714,'Species Codes'!B:P,15,0)*LN((E1714*2.54)))*(1/(VLOOKUP(D1714,'Species Codes'!B:Q,16,0)+VLOOKUP(D1714,'Species Codes'!B:R,17,0)*((E1714*2.54)^VLOOKUP(D1714,'Species Codes'!B:S,18,0)))),IF(OR(D1714="BM",D1714="MD",D1714="OA"),EXP(VLOOKUP(D1714,'Species Codes'!B:O,14,0)+VLOOKUP(D1714,'Species Codes'!B:P,15,0)*LN((E1714*2.54)))*(1-(1/(VLOOKUP(D1714,'Species Codes'!B:Q,16,0)+VLOOKUP(D1714,'Species Codes'!B:R,17,0)*((E1714*2.54)^VLOOKUP(D1714,'Species Codes'!B:S,18,0)))))/1000,IF(D1714="DF",EXP(VLOOKUP(D1714,'Species Codes'!B:O,14,0)+VLOOKUP(D1714,'Species Codes'!B:P,15,0)*LN((E1714*2.54))),VLOOKUP(D1714,'Species Codes'!B:O,14,0)+VLOOKUP(D1714,'Species Codes'!B:P,15,0)*(((E1714*2.54)/100)^2)*(I1714*0.3048)))))*0.0011023),0)</f>
        <v>#N/A</v>
      </c>
      <c r="AD1714" s="104" t="e">
        <f t="shared" si="760"/>
        <v>#N/A</v>
      </c>
      <c r="AE1714" s="104" t="e">
        <f t="shared" si="761"/>
        <v>#N/A</v>
      </c>
      <c r="AF1714" s="104" t="e">
        <f>IF(AND(VLOOKUP($D1714,Merchantability!$B:$C,2,0)="Yes",$E1714&gt;=VLOOKUP($D1714,Merchantability!$B:$D,3,0),$E1714&lt;=VLOOKUP($D1714,Merchantability!$B:$E,4,0)),AA1714,0)</f>
        <v>#N/A</v>
      </c>
      <c r="AG1714" s="104" t="e">
        <f>IF(AND(VLOOKUP($D1714,Merchantability!$B:$C,2,0)="Yes",$E1714&gt;=VLOOKUP($D1714,Merchantability!$B:$D,3,0),$E1714&lt;=VLOOKUP($D1714,Merchantability!$B:$E,4,0)),AB1714,0)</f>
        <v>#N/A</v>
      </c>
      <c r="AH1714" s="104" t="e">
        <f>IF(AND(VLOOKUP($D1714,Merchantability!$B:$C,2,0)="Yes",$E1714&gt;=VLOOKUP($D1714,Merchantability!$B:$D,3,0),$E1714&lt;=VLOOKUP($D1714,Merchantability!$B:$E,4,0)),AC1714,0)</f>
        <v>#N/A</v>
      </c>
      <c r="AI1714" s="104" t="e">
        <f t="shared" si="762"/>
        <v>#N/A</v>
      </c>
      <c r="AJ1714" s="104" t="e">
        <f t="shared" si="763"/>
        <v>#VALUE!</v>
      </c>
      <c r="AK1714" s="104" t="e">
        <f t="shared" si="764"/>
        <v>#N/A</v>
      </c>
      <c r="AL1714" s="104" t="e">
        <f t="shared" si="765"/>
        <v>#N/A</v>
      </c>
      <c r="AM1714" s="104" t="e">
        <f t="shared" si="766"/>
        <v>#N/A</v>
      </c>
      <c r="AN1714" s="104" t="e">
        <f t="shared" si="750"/>
        <v>#N/A</v>
      </c>
      <c r="AO1714" s="104" t="e">
        <f t="shared" si="751"/>
        <v>#N/A</v>
      </c>
      <c r="AP1714" s="104" t="e">
        <f t="shared" si="752"/>
        <v>#N/A</v>
      </c>
      <c r="AQ1714" s="104" t="e">
        <f t="shared" si="753"/>
        <v>#N/A</v>
      </c>
      <c r="AR1714" s="105" t="str">
        <f t="shared" si="745"/>
        <v/>
      </c>
      <c r="AS1714" s="105" t="str">
        <f t="shared" si="746"/>
        <v/>
      </c>
      <c r="AT1714" s="108" t="str">
        <f t="shared" si="747"/>
        <v/>
      </c>
      <c r="AU1714" s="108" t="str">
        <f t="shared" si="748"/>
        <v/>
      </c>
      <c r="AV1714" s="107" t="str">
        <f>IF(ISNUMBER(O1714),IF(VLOOKUP($A1714,Stand!C:J,8,FALSE)="Short",AT1714,AU1714),"")</f>
        <v/>
      </c>
      <c r="AW1714" s="109" t="str">
        <f t="shared" si="754"/>
        <v/>
      </c>
      <c r="AX1714" s="109" t="str">
        <f t="shared" si="755"/>
        <v/>
      </c>
      <c r="AY1714" s="112" t="str">
        <f>IF(ISNUMBER(O1714),IF(AND(VLOOKUP($D1714,Merchantability!$B:$C,2,0)="Yes",$E1714&gt;=VLOOKUP($D1714,Merchantability!$B:$D,3,0),$E1714&lt;=VLOOKUP($D1714,Merchantability!$B:$E,4,0)),(AV1714*O1714)*(1-$H1714/100),""),"")</f>
        <v/>
      </c>
      <c r="AZ1714" s="116"/>
      <c r="BA1714" s="116"/>
      <c r="BB1714" s="116"/>
      <c r="BE1714" s="62"/>
      <c r="BF1714" s="63"/>
    </row>
    <row r="1715" spans="1:58" ht="12.75" customHeight="1" x14ac:dyDescent="0.25">
      <c r="A1715" s="334"/>
      <c r="B1715" s="334"/>
      <c r="C1715" s="332"/>
      <c r="D1715" s="334"/>
      <c r="E1715" s="335"/>
      <c r="F1715" s="334"/>
      <c r="G1715" s="332"/>
      <c r="H1715" s="332"/>
      <c r="I1715" s="334"/>
      <c r="J1715" s="336"/>
      <c r="K1715" s="332"/>
      <c r="L1715" s="332"/>
      <c r="M1715" s="76"/>
      <c r="N1715" s="103" t="str">
        <f>IF(A1715="","",VLOOKUP(A1715,Stand!C:K,9,0))</f>
        <v/>
      </c>
      <c r="O1715" s="104" t="str">
        <f t="shared" si="740"/>
        <v/>
      </c>
      <c r="P1715" s="105" t="str">
        <f t="shared" si="741"/>
        <v/>
      </c>
      <c r="Q1715" s="105" t="str">
        <f t="shared" si="756"/>
        <v/>
      </c>
      <c r="R1715" s="103" t="str">
        <f t="shared" si="742"/>
        <v/>
      </c>
      <c r="S1715" s="103" t="str">
        <f t="shared" si="743"/>
        <v/>
      </c>
      <c r="T1715" s="106" t="str">
        <f t="shared" si="757"/>
        <v/>
      </c>
      <c r="U1715" s="106" t="str">
        <f t="shared" si="758"/>
        <v/>
      </c>
      <c r="V1715" s="106" t="str">
        <f t="shared" si="759"/>
        <v/>
      </c>
      <c r="W1715" s="105" t="str">
        <f t="shared" si="744"/>
        <v/>
      </c>
      <c r="X1715" s="104" t="str">
        <f t="shared" si="749"/>
        <v/>
      </c>
      <c r="Y1715" s="104" t="str">
        <f t="array" ref="Y1715">IFERROR(IF(ISNUMBER(O1715),IF(COUNT(IF(A1715=$A$2:$A$2427,IF(D1715=$D$2:$D$2427,IF($X$2:$X$2427&gt;0,1))))&gt;0,SUM(IF(A1715=$A$2:$A$2427,IF(D1715=$D$2:$D$2427,$X$2:$X$2427)))/COUNT(IF(A1715=$A$2:$A$2427,IF(D1715=$D$2:$D$2427,IF(ISNUMBER($X$2:$X$2427),1)))),0),""),0)</f>
        <v/>
      </c>
      <c r="Z1715" s="104" t="str">
        <f>IF(ISNUMBER(O1715),IF(I1715&gt;0,(10^(VLOOKUP(D1715,'Species Codes'!B:C,2,0)+VLOOKUP(D1715,'Species Codes'!B:D,3,0)*LOG(E1715)+VLOOKUP(D1715,'Species Codes'!B:E,4,0)*LOG(I1715))),0),"")</f>
        <v/>
      </c>
      <c r="AA1715" s="104" t="str">
        <f>IFERROR((VLOOKUP(D1715,'Species Codes'!B:G,6,0)*Z1715)/2000,"")</f>
        <v/>
      </c>
      <c r="AB1715" s="104" t="e">
        <f>IF(Z1715&gt;0,((IF(OR(D1715="DF",D1715="RA")=TRUE,EXP(VLOOKUP(D1715,'Species Codes'!B:I,8,0)+VLOOKUP(D1715,'Species Codes'!B:J,9,0)*(LN((E1715*2.54)))),IF(OR(D1715="PY",D1715="RC",D1715="WH",D1715="NF")=TRUE,VLOOKUP(D1715,'Species Codes'!B:I,8,0)+VLOOKUP(D1715,'Species Codes'!B:J,9,0)*((E1715*2.54)^2)*(I1715*0.3048),IF(OR(D1715="MD",D1715="BM",D1715="GA")=TRUE,((VLOOKUP(D1715,'Species Codes'!B:I,8,0)*(((((E1715*2.54)+VLOOKUP(D1715,'Species Codes'!B:J,9,0))/VLOOKUP(D1715,'Species Codes'!B:K,10,0))^VLOOKUP(D1715,'Species Codes'!B:L,11,0))*((I1715*0.3048)^VLOOKUP(D1715,'Species Codes'!B:M,12,0))))-(VLOOKUP(D1715,'Species Codes'!B:I,8,0)*((((E1715*2.54)^VLOOKUP(D1715,'Species Codes'!B:L,11,0))*((I1715*0.3048)^VLOOKUP(D1715,'Species Codes'!B:M,12,0))))))*35.3*VLOOKUP(D1715,'Species Codes'!B:G,6,0)/2.2046,VLOOKUP(D1715,'Species Codes'!B:I,8,0)+VLOOKUP(D1715,'Species Codes'!B:J,9,0)*(((E1715*2.54)/100)^2)*(I1715*0.3048)))))*0.0011023),0)</f>
        <v>#N/A</v>
      </c>
      <c r="AC1715" s="104" t="e">
        <f>IF(Z1715&gt;0,((IF(OR(D1715="RA",D1715="OA",D1715="OT",D1715="UN",D1715="PC"),EXP(VLOOKUP(D1715,'Species Codes'!B:O,14,0)+VLOOKUP(D1715,'Species Codes'!B:P,15,0)*LN((E1715*2.54)))-EXP(VLOOKUP(D1715,'Species Codes'!B:O,14,0)+VLOOKUP(D1715,'Species Codes'!B:P,15,0)*LN((E1715*2.54)))*(1/(VLOOKUP(D1715,'Species Codes'!B:Q,16,0)+VLOOKUP(D1715,'Species Codes'!B:R,17,0)*((E1715*2.54)^VLOOKUP(D1715,'Species Codes'!B:S,18,0)))),IF(OR(D1715="BM",D1715="MD",D1715="OA"),EXP(VLOOKUP(D1715,'Species Codes'!B:O,14,0)+VLOOKUP(D1715,'Species Codes'!B:P,15,0)*LN((E1715*2.54)))*(1-(1/(VLOOKUP(D1715,'Species Codes'!B:Q,16,0)+VLOOKUP(D1715,'Species Codes'!B:R,17,0)*((E1715*2.54)^VLOOKUP(D1715,'Species Codes'!B:S,18,0)))))/1000,IF(D1715="DF",EXP(VLOOKUP(D1715,'Species Codes'!B:O,14,0)+VLOOKUP(D1715,'Species Codes'!B:P,15,0)*LN((E1715*2.54))),VLOOKUP(D1715,'Species Codes'!B:O,14,0)+VLOOKUP(D1715,'Species Codes'!B:P,15,0)*(((E1715*2.54)/100)^2)*(I1715*0.3048)))))*0.0011023),0)</f>
        <v>#N/A</v>
      </c>
      <c r="AD1715" s="104" t="e">
        <f t="shared" si="760"/>
        <v>#N/A</v>
      </c>
      <c r="AE1715" s="104" t="e">
        <f t="shared" si="761"/>
        <v>#N/A</v>
      </c>
      <c r="AF1715" s="104" t="e">
        <f>IF(AND(VLOOKUP($D1715,Merchantability!$B:$C,2,0)="Yes",$E1715&gt;=VLOOKUP($D1715,Merchantability!$B:$D,3,0),$E1715&lt;=VLOOKUP($D1715,Merchantability!$B:$E,4,0)),AA1715,0)</f>
        <v>#N/A</v>
      </c>
      <c r="AG1715" s="104" t="e">
        <f>IF(AND(VLOOKUP($D1715,Merchantability!$B:$C,2,0)="Yes",$E1715&gt;=VLOOKUP($D1715,Merchantability!$B:$D,3,0),$E1715&lt;=VLOOKUP($D1715,Merchantability!$B:$E,4,0)),AB1715,0)</f>
        <v>#N/A</v>
      </c>
      <c r="AH1715" s="104" t="e">
        <f>IF(AND(VLOOKUP($D1715,Merchantability!$B:$C,2,0)="Yes",$E1715&gt;=VLOOKUP($D1715,Merchantability!$B:$D,3,0),$E1715&lt;=VLOOKUP($D1715,Merchantability!$B:$E,4,0)),AC1715,0)</f>
        <v>#N/A</v>
      </c>
      <c r="AI1715" s="104" t="e">
        <f t="shared" si="762"/>
        <v>#N/A</v>
      </c>
      <c r="AJ1715" s="104" t="e">
        <f t="shared" si="763"/>
        <v>#VALUE!</v>
      </c>
      <c r="AK1715" s="104" t="e">
        <f t="shared" si="764"/>
        <v>#N/A</v>
      </c>
      <c r="AL1715" s="104" t="e">
        <f t="shared" si="765"/>
        <v>#N/A</v>
      </c>
      <c r="AM1715" s="104" t="e">
        <f t="shared" si="766"/>
        <v>#N/A</v>
      </c>
      <c r="AN1715" s="104" t="e">
        <f t="shared" si="750"/>
        <v>#N/A</v>
      </c>
      <c r="AO1715" s="104" t="e">
        <f t="shared" si="751"/>
        <v>#N/A</v>
      </c>
      <c r="AP1715" s="104" t="e">
        <f t="shared" si="752"/>
        <v>#N/A</v>
      </c>
      <c r="AQ1715" s="104" t="e">
        <f t="shared" si="753"/>
        <v>#N/A</v>
      </c>
      <c r="AR1715" s="105" t="str">
        <f t="shared" si="745"/>
        <v/>
      </c>
      <c r="AS1715" s="105" t="str">
        <f t="shared" si="746"/>
        <v/>
      </c>
      <c r="AT1715" s="108" t="str">
        <f t="shared" si="747"/>
        <v/>
      </c>
      <c r="AU1715" s="108" t="str">
        <f t="shared" si="748"/>
        <v/>
      </c>
      <c r="AV1715" s="107" t="str">
        <f>IF(ISNUMBER(O1715),IF(VLOOKUP($A1715,Stand!C:J,8,FALSE)="Short",AT1715,AU1715),"")</f>
        <v/>
      </c>
      <c r="AW1715" s="109" t="str">
        <f t="shared" si="754"/>
        <v/>
      </c>
      <c r="AX1715" s="109" t="str">
        <f t="shared" si="755"/>
        <v/>
      </c>
      <c r="AY1715" s="112" t="str">
        <f>IF(ISNUMBER(O1715),IF(AND(VLOOKUP($D1715,Merchantability!$B:$C,2,0)="Yes",$E1715&gt;=VLOOKUP($D1715,Merchantability!$B:$D,3,0),$E1715&lt;=VLOOKUP($D1715,Merchantability!$B:$E,4,0)),(AV1715*O1715)*(1-$H1715/100),""),"")</f>
        <v/>
      </c>
      <c r="AZ1715" s="116"/>
      <c r="BA1715" s="116"/>
      <c r="BB1715" s="116"/>
      <c r="BE1715" s="62"/>
      <c r="BF1715" s="63"/>
    </row>
    <row r="1716" spans="1:58" ht="12.75" customHeight="1" x14ac:dyDescent="0.25">
      <c r="A1716" s="334"/>
      <c r="B1716" s="334"/>
      <c r="C1716" s="332"/>
      <c r="D1716" s="334"/>
      <c r="E1716" s="335"/>
      <c r="F1716" s="334"/>
      <c r="G1716" s="332"/>
      <c r="H1716" s="332"/>
      <c r="I1716" s="334"/>
      <c r="J1716" s="336"/>
      <c r="K1716" s="332"/>
      <c r="L1716" s="332"/>
      <c r="M1716" s="76"/>
      <c r="N1716" s="103" t="str">
        <f>IF(A1716="","",VLOOKUP(A1716,Stand!C:K,9,0))</f>
        <v/>
      </c>
      <c r="O1716" s="104" t="str">
        <f t="shared" si="740"/>
        <v/>
      </c>
      <c r="P1716" s="105" t="str">
        <f t="shared" si="741"/>
        <v/>
      </c>
      <c r="Q1716" s="105" t="str">
        <f t="shared" si="756"/>
        <v/>
      </c>
      <c r="R1716" s="103" t="str">
        <f t="shared" si="742"/>
        <v/>
      </c>
      <c r="S1716" s="103" t="str">
        <f t="shared" si="743"/>
        <v/>
      </c>
      <c r="T1716" s="106" t="str">
        <f t="shared" si="757"/>
        <v/>
      </c>
      <c r="U1716" s="106" t="str">
        <f t="shared" si="758"/>
        <v/>
      </c>
      <c r="V1716" s="106" t="str">
        <f t="shared" si="759"/>
        <v/>
      </c>
      <c r="W1716" s="105" t="str">
        <f t="shared" si="744"/>
        <v/>
      </c>
      <c r="X1716" s="104" t="str">
        <f t="shared" si="749"/>
        <v/>
      </c>
      <c r="Y1716" s="104" t="str">
        <f t="array" ref="Y1716">IFERROR(IF(ISNUMBER(O1716),IF(COUNT(IF(A1716=$A$2:$A$2427,IF(D1716=$D$2:$D$2427,IF($X$2:$X$2427&gt;0,1))))&gt;0,SUM(IF(A1716=$A$2:$A$2427,IF(D1716=$D$2:$D$2427,$X$2:$X$2427)))/COUNT(IF(A1716=$A$2:$A$2427,IF(D1716=$D$2:$D$2427,IF(ISNUMBER($X$2:$X$2427),1)))),0),""),0)</f>
        <v/>
      </c>
      <c r="Z1716" s="104" t="str">
        <f>IF(ISNUMBER(O1716),IF(I1716&gt;0,(10^(VLOOKUP(D1716,'Species Codes'!B:C,2,0)+VLOOKUP(D1716,'Species Codes'!B:D,3,0)*LOG(E1716)+VLOOKUP(D1716,'Species Codes'!B:E,4,0)*LOG(I1716))),0),"")</f>
        <v/>
      </c>
      <c r="AA1716" s="104" t="str">
        <f>IFERROR((VLOOKUP(D1716,'Species Codes'!B:G,6,0)*Z1716)/2000,"")</f>
        <v/>
      </c>
      <c r="AB1716" s="104" t="e">
        <f>IF(Z1716&gt;0,((IF(OR(D1716="DF",D1716="RA")=TRUE,EXP(VLOOKUP(D1716,'Species Codes'!B:I,8,0)+VLOOKUP(D1716,'Species Codes'!B:J,9,0)*(LN((E1716*2.54)))),IF(OR(D1716="PY",D1716="RC",D1716="WH",D1716="NF")=TRUE,VLOOKUP(D1716,'Species Codes'!B:I,8,0)+VLOOKUP(D1716,'Species Codes'!B:J,9,0)*((E1716*2.54)^2)*(I1716*0.3048),IF(OR(D1716="MD",D1716="BM",D1716="GA")=TRUE,((VLOOKUP(D1716,'Species Codes'!B:I,8,0)*(((((E1716*2.54)+VLOOKUP(D1716,'Species Codes'!B:J,9,0))/VLOOKUP(D1716,'Species Codes'!B:K,10,0))^VLOOKUP(D1716,'Species Codes'!B:L,11,0))*((I1716*0.3048)^VLOOKUP(D1716,'Species Codes'!B:M,12,0))))-(VLOOKUP(D1716,'Species Codes'!B:I,8,0)*((((E1716*2.54)^VLOOKUP(D1716,'Species Codes'!B:L,11,0))*((I1716*0.3048)^VLOOKUP(D1716,'Species Codes'!B:M,12,0))))))*35.3*VLOOKUP(D1716,'Species Codes'!B:G,6,0)/2.2046,VLOOKUP(D1716,'Species Codes'!B:I,8,0)+VLOOKUP(D1716,'Species Codes'!B:J,9,0)*(((E1716*2.54)/100)^2)*(I1716*0.3048)))))*0.0011023),0)</f>
        <v>#N/A</v>
      </c>
      <c r="AC1716" s="104" t="e">
        <f>IF(Z1716&gt;0,((IF(OR(D1716="RA",D1716="OA",D1716="OT",D1716="UN",D1716="PC"),EXP(VLOOKUP(D1716,'Species Codes'!B:O,14,0)+VLOOKUP(D1716,'Species Codes'!B:P,15,0)*LN((E1716*2.54)))-EXP(VLOOKUP(D1716,'Species Codes'!B:O,14,0)+VLOOKUP(D1716,'Species Codes'!B:P,15,0)*LN((E1716*2.54)))*(1/(VLOOKUP(D1716,'Species Codes'!B:Q,16,0)+VLOOKUP(D1716,'Species Codes'!B:R,17,0)*((E1716*2.54)^VLOOKUP(D1716,'Species Codes'!B:S,18,0)))),IF(OR(D1716="BM",D1716="MD",D1716="OA"),EXP(VLOOKUP(D1716,'Species Codes'!B:O,14,0)+VLOOKUP(D1716,'Species Codes'!B:P,15,0)*LN((E1716*2.54)))*(1-(1/(VLOOKUP(D1716,'Species Codes'!B:Q,16,0)+VLOOKUP(D1716,'Species Codes'!B:R,17,0)*((E1716*2.54)^VLOOKUP(D1716,'Species Codes'!B:S,18,0)))))/1000,IF(D1716="DF",EXP(VLOOKUP(D1716,'Species Codes'!B:O,14,0)+VLOOKUP(D1716,'Species Codes'!B:P,15,0)*LN((E1716*2.54))),VLOOKUP(D1716,'Species Codes'!B:O,14,0)+VLOOKUP(D1716,'Species Codes'!B:P,15,0)*(((E1716*2.54)/100)^2)*(I1716*0.3048)))))*0.0011023),0)</f>
        <v>#N/A</v>
      </c>
      <c r="AD1716" s="104" t="e">
        <f t="shared" si="760"/>
        <v>#N/A</v>
      </c>
      <c r="AE1716" s="104" t="e">
        <f t="shared" si="761"/>
        <v>#N/A</v>
      </c>
      <c r="AF1716" s="104" t="e">
        <f>IF(AND(VLOOKUP($D1716,Merchantability!$B:$C,2,0)="Yes",$E1716&gt;=VLOOKUP($D1716,Merchantability!$B:$D,3,0),$E1716&lt;=VLOOKUP($D1716,Merchantability!$B:$E,4,0)),AA1716,0)</f>
        <v>#N/A</v>
      </c>
      <c r="AG1716" s="104" t="e">
        <f>IF(AND(VLOOKUP($D1716,Merchantability!$B:$C,2,0)="Yes",$E1716&gt;=VLOOKUP($D1716,Merchantability!$B:$D,3,0),$E1716&lt;=VLOOKUP($D1716,Merchantability!$B:$E,4,0)),AB1716,0)</f>
        <v>#N/A</v>
      </c>
      <c r="AH1716" s="104" t="e">
        <f>IF(AND(VLOOKUP($D1716,Merchantability!$B:$C,2,0)="Yes",$E1716&gt;=VLOOKUP($D1716,Merchantability!$B:$D,3,0),$E1716&lt;=VLOOKUP($D1716,Merchantability!$B:$E,4,0)),AC1716,0)</f>
        <v>#N/A</v>
      </c>
      <c r="AI1716" s="104" t="e">
        <f t="shared" si="762"/>
        <v>#N/A</v>
      </c>
      <c r="AJ1716" s="104" t="e">
        <f t="shared" si="763"/>
        <v>#VALUE!</v>
      </c>
      <c r="AK1716" s="104" t="e">
        <f t="shared" si="764"/>
        <v>#N/A</v>
      </c>
      <c r="AL1716" s="104" t="e">
        <f t="shared" si="765"/>
        <v>#N/A</v>
      </c>
      <c r="AM1716" s="104" t="e">
        <f t="shared" si="766"/>
        <v>#N/A</v>
      </c>
      <c r="AN1716" s="104" t="e">
        <f t="shared" si="750"/>
        <v>#N/A</v>
      </c>
      <c r="AO1716" s="104" t="e">
        <f t="shared" si="751"/>
        <v>#N/A</v>
      </c>
      <c r="AP1716" s="104" t="e">
        <f t="shared" si="752"/>
        <v>#N/A</v>
      </c>
      <c r="AQ1716" s="104" t="e">
        <f t="shared" si="753"/>
        <v>#N/A</v>
      </c>
      <c r="AR1716" s="105" t="str">
        <f t="shared" si="745"/>
        <v/>
      </c>
      <c r="AS1716" s="105" t="str">
        <f t="shared" si="746"/>
        <v/>
      </c>
      <c r="AT1716" s="108" t="str">
        <f t="shared" si="747"/>
        <v/>
      </c>
      <c r="AU1716" s="108" t="str">
        <f t="shared" si="748"/>
        <v/>
      </c>
      <c r="AV1716" s="107" t="str">
        <f>IF(ISNUMBER(O1716),IF(VLOOKUP($A1716,Stand!C:J,8,FALSE)="Short",AT1716,AU1716),"")</f>
        <v/>
      </c>
      <c r="AW1716" s="109" t="str">
        <f t="shared" si="754"/>
        <v/>
      </c>
      <c r="AX1716" s="109" t="str">
        <f t="shared" si="755"/>
        <v/>
      </c>
      <c r="AY1716" s="112" t="str">
        <f>IF(ISNUMBER(O1716),IF(AND(VLOOKUP($D1716,Merchantability!$B:$C,2,0)="Yes",$E1716&gt;=VLOOKUP($D1716,Merchantability!$B:$D,3,0),$E1716&lt;=VLOOKUP($D1716,Merchantability!$B:$E,4,0)),(AV1716*O1716)*(1-$H1716/100),""),"")</f>
        <v/>
      </c>
      <c r="AZ1716" s="116"/>
      <c r="BA1716" s="116"/>
      <c r="BB1716" s="116"/>
      <c r="BE1716" s="62"/>
      <c r="BF1716" s="63"/>
    </row>
    <row r="1717" spans="1:58" ht="12.75" customHeight="1" x14ac:dyDescent="0.25">
      <c r="A1717" s="334"/>
      <c r="B1717" s="334"/>
      <c r="C1717" s="332"/>
      <c r="D1717" s="334"/>
      <c r="E1717" s="335"/>
      <c r="F1717" s="334"/>
      <c r="G1717" s="332"/>
      <c r="H1717" s="332"/>
      <c r="I1717" s="334"/>
      <c r="J1717" s="336"/>
      <c r="K1717" s="332"/>
      <c r="L1717" s="332"/>
      <c r="M1717" s="76"/>
      <c r="N1717" s="103" t="str">
        <f>IF(A1717="","",VLOOKUP(A1717,Stand!C:K,9,0))</f>
        <v/>
      </c>
      <c r="O1717" s="104" t="str">
        <f t="shared" si="740"/>
        <v/>
      </c>
      <c r="P1717" s="105" t="str">
        <f t="shared" si="741"/>
        <v/>
      </c>
      <c r="Q1717" s="105" t="str">
        <f t="shared" si="756"/>
        <v/>
      </c>
      <c r="R1717" s="103" t="str">
        <f t="shared" si="742"/>
        <v/>
      </c>
      <c r="S1717" s="103" t="str">
        <f t="shared" si="743"/>
        <v/>
      </c>
      <c r="T1717" s="106" t="str">
        <f t="shared" si="757"/>
        <v/>
      </c>
      <c r="U1717" s="106" t="str">
        <f t="shared" si="758"/>
        <v/>
      </c>
      <c r="V1717" s="106" t="str">
        <f t="shared" si="759"/>
        <v/>
      </c>
      <c r="W1717" s="105" t="str">
        <f t="shared" si="744"/>
        <v/>
      </c>
      <c r="X1717" s="104" t="str">
        <f t="shared" si="749"/>
        <v/>
      </c>
      <c r="Y1717" s="104" t="str">
        <f t="array" ref="Y1717">IFERROR(IF(ISNUMBER(O1717),IF(COUNT(IF(A1717=$A$2:$A$2427,IF(D1717=$D$2:$D$2427,IF($X$2:$X$2427&gt;0,1))))&gt;0,SUM(IF(A1717=$A$2:$A$2427,IF(D1717=$D$2:$D$2427,$X$2:$X$2427)))/COUNT(IF(A1717=$A$2:$A$2427,IF(D1717=$D$2:$D$2427,IF(ISNUMBER($X$2:$X$2427),1)))),0),""),0)</f>
        <v/>
      </c>
      <c r="Z1717" s="104" t="str">
        <f>IF(ISNUMBER(O1717),IF(I1717&gt;0,(10^(VLOOKUP(D1717,'Species Codes'!B:C,2,0)+VLOOKUP(D1717,'Species Codes'!B:D,3,0)*LOG(E1717)+VLOOKUP(D1717,'Species Codes'!B:E,4,0)*LOG(I1717))),0),"")</f>
        <v/>
      </c>
      <c r="AA1717" s="104" t="str">
        <f>IFERROR((VLOOKUP(D1717,'Species Codes'!B:G,6,0)*Z1717)/2000,"")</f>
        <v/>
      </c>
      <c r="AB1717" s="104" t="e">
        <f>IF(Z1717&gt;0,((IF(OR(D1717="DF",D1717="RA")=TRUE,EXP(VLOOKUP(D1717,'Species Codes'!B:I,8,0)+VLOOKUP(D1717,'Species Codes'!B:J,9,0)*(LN((E1717*2.54)))),IF(OR(D1717="PY",D1717="RC",D1717="WH",D1717="NF")=TRUE,VLOOKUP(D1717,'Species Codes'!B:I,8,0)+VLOOKUP(D1717,'Species Codes'!B:J,9,0)*((E1717*2.54)^2)*(I1717*0.3048),IF(OR(D1717="MD",D1717="BM",D1717="GA")=TRUE,((VLOOKUP(D1717,'Species Codes'!B:I,8,0)*(((((E1717*2.54)+VLOOKUP(D1717,'Species Codes'!B:J,9,0))/VLOOKUP(D1717,'Species Codes'!B:K,10,0))^VLOOKUP(D1717,'Species Codes'!B:L,11,0))*((I1717*0.3048)^VLOOKUP(D1717,'Species Codes'!B:M,12,0))))-(VLOOKUP(D1717,'Species Codes'!B:I,8,0)*((((E1717*2.54)^VLOOKUP(D1717,'Species Codes'!B:L,11,0))*((I1717*0.3048)^VLOOKUP(D1717,'Species Codes'!B:M,12,0))))))*35.3*VLOOKUP(D1717,'Species Codes'!B:G,6,0)/2.2046,VLOOKUP(D1717,'Species Codes'!B:I,8,0)+VLOOKUP(D1717,'Species Codes'!B:J,9,0)*(((E1717*2.54)/100)^2)*(I1717*0.3048)))))*0.0011023),0)</f>
        <v>#N/A</v>
      </c>
      <c r="AC1717" s="104" t="e">
        <f>IF(Z1717&gt;0,((IF(OR(D1717="RA",D1717="OA",D1717="OT",D1717="UN",D1717="PC"),EXP(VLOOKUP(D1717,'Species Codes'!B:O,14,0)+VLOOKUP(D1717,'Species Codes'!B:P,15,0)*LN((E1717*2.54)))-EXP(VLOOKUP(D1717,'Species Codes'!B:O,14,0)+VLOOKUP(D1717,'Species Codes'!B:P,15,0)*LN((E1717*2.54)))*(1/(VLOOKUP(D1717,'Species Codes'!B:Q,16,0)+VLOOKUP(D1717,'Species Codes'!B:R,17,0)*((E1717*2.54)^VLOOKUP(D1717,'Species Codes'!B:S,18,0)))),IF(OR(D1717="BM",D1717="MD",D1717="OA"),EXP(VLOOKUP(D1717,'Species Codes'!B:O,14,0)+VLOOKUP(D1717,'Species Codes'!B:P,15,0)*LN((E1717*2.54)))*(1-(1/(VLOOKUP(D1717,'Species Codes'!B:Q,16,0)+VLOOKUP(D1717,'Species Codes'!B:R,17,0)*((E1717*2.54)^VLOOKUP(D1717,'Species Codes'!B:S,18,0)))))/1000,IF(D1717="DF",EXP(VLOOKUP(D1717,'Species Codes'!B:O,14,0)+VLOOKUP(D1717,'Species Codes'!B:P,15,0)*LN((E1717*2.54))),VLOOKUP(D1717,'Species Codes'!B:O,14,0)+VLOOKUP(D1717,'Species Codes'!B:P,15,0)*(((E1717*2.54)/100)^2)*(I1717*0.3048)))))*0.0011023),0)</f>
        <v>#N/A</v>
      </c>
      <c r="AD1717" s="104" t="e">
        <f t="shared" si="760"/>
        <v>#N/A</v>
      </c>
      <c r="AE1717" s="104" t="e">
        <f t="shared" si="761"/>
        <v>#N/A</v>
      </c>
      <c r="AF1717" s="104" t="e">
        <f>IF(AND(VLOOKUP($D1717,Merchantability!$B:$C,2,0)="Yes",$E1717&gt;=VLOOKUP($D1717,Merchantability!$B:$D,3,0),$E1717&lt;=VLOOKUP($D1717,Merchantability!$B:$E,4,0)),AA1717,0)</f>
        <v>#N/A</v>
      </c>
      <c r="AG1717" s="104" t="e">
        <f>IF(AND(VLOOKUP($D1717,Merchantability!$B:$C,2,0)="Yes",$E1717&gt;=VLOOKUP($D1717,Merchantability!$B:$D,3,0),$E1717&lt;=VLOOKUP($D1717,Merchantability!$B:$E,4,0)),AB1717,0)</f>
        <v>#N/A</v>
      </c>
      <c r="AH1717" s="104" t="e">
        <f>IF(AND(VLOOKUP($D1717,Merchantability!$B:$C,2,0)="Yes",$E1717&gt;=VLOOKUP($D1717,Merchantability!$B:$D,3,0),$E1717&lt;=VLOOKUP($D1717,Merchantability!$B:$E,4,0)),AC1717,0)</f>
        <v>#N/A</v>
      </c>
      <c r="AI1717" s="104" t="e">
        <f t="shared" si="762"/>
        <v>#N/A</v>
      </c>
      <c r="AJ1717" s="104" t="e">
        <f t="shared" si="763"/>
        <v>#VALUE!</v>
      </c>
      <c r="AK1717" s="104" t="e">
        <f t="shared" si="764"/>
        <v>#N/A</v>
      </c>
      <c r="AL1717" s="104" t="e">
        <f t="shared" si="765"/>
        <v>#N/A</v>
      </c>
      <c r="AM1717" s="104" t="e">
        <f t="shared" si="766"/>
        <v>#N/A</v>
      </c>
      <c r="AN1717" s="104" t="e">
        <f t="shared" si="750"/>
        <v>#N/A</v>
      </c>
      <c r="AO1717" s="104" t="e">
        <f t="shared" si="751"/>
        <v>#N/A</v>
      </c>
      <c r="AP1717" s="104" t="e">
        <f t="shared" si="752"/>
        <v>#N/A</v>
      </c>
      <c r="AQ1717" s="104" t="e">
        <f t="shared" si="753"/>
        <v>#N/A</v>
      </c>
      <c r="AR1717" s="105" t="str">
        <f t="shared" si="745"/>
        <v/>
      </c>
      <c r="AS1717" s="105" t="str">
        <f t="shared" si="746"/>
        <v/>
      </c>
      <c r="AT1717" s="108" t="str">
        <f t="shared" si="747"/>
        <v/>
      </c>
      <c r="AU1717" s="108" t="str">
        <f t="shared" si="748"/>
        <v/>
      </c>
      <c r="AV1717" s="107" t="str">
        <f>IF(ISNUMBER(O1717),IF(VLOOKUP($A1717,Stand!C:J,8,FALSE)="Short",AT1717,AU1717),"")</f>
        <v/>
      </c>
      <c r="AW1717" s="109" t="str">
        <f t="shared" si="754"/>
        <v/>
      </c>
      <c r="AX1717" s="109" t="str">
        <f t="shared" si="755"/>
        <v/>
      </c>
      <c r="AY1717" s="112" t="str">
        <f>IF(ISNUMBER(O1717),IF(AND(VLOOKUP($D1717,Merchantability!$B:$C,2,0)="Yes",$E1717&gt;=VLOOKUP($D1717,Merchantability!$B:$D,3,0),$E1717&lt;=VLOOKUP($D1717,Merchantability!$B:$E,4,0)),(AV1717*O1717)*(1-$H1717/100),""),"")</f>
        <v/>
      </c>
      <c r="AZ1717" s="116"/>
      <c r="BA1717" s="116"/>
      <c r="BB1717" s="116"/>
      <c r="BE1717" s="62"/>
      <c r="BF1717" s="63"/>
    </row>
    <row r="1718" spans="1:58" ht="12.75" customHeight="1" x14ac:dyDescent="0.25">
      <c r="A1718" s="334"/>
      <c r="B1718" s="334"/>
      <c r="C1718" s="332"/>
      <c r="D1718" s="334"/>
      <c r="E1718" s="335"/>
      <c r="F1718" s="334"/>
      <c r="G1718" s="332"/>
      <c r="H1718" s="332"/>
      <c r="I1718" s="334"/>
      <c r="J1718" s="336"/>
      <c r="K1718" s="332"/>
      <c r="L1718" s="332"/>
      <c r="M1718" s="76"/>
      <c r="N1718" s="103" t="str">
        <f>IF(A1718="","",VLOOKUP(A1718,Stand!C:K,9,0))</f>
        <v/>
      </c>
      <c r="O1718" s="104" t="str">
        <f t="shared" si="740"/>
        <v/>
      </c>
      <c r="P1718" s="105" t="str">
        <f t="shared" si="741"/>
        <v/>
      </c>
      <c r="Q1718" s="105" t="str">
        <f t="shared" si="756"/>
        <v/>
      </c>
      <c r="R1718" s="103" t="str">
        <f t="shared" si="742"/>
        <v/>
      </c>
      <c r="S1718" s="103" t="str">
        <f t="shared" si="743"/>
        <v/>
      </c>
      <c r="T1718" s="106" t="str">
        <f t="shared" si="757"/>
        <v/>
      </c>
      <c r="U1718" s="106" t="str">
        <f t="shared" si="758"/>
        <v/>
      </c>
      <c r="V1718" s="106" t="str">
        <f t="shared" si="759"/>
        <v/>
      </c>
      <c r="W1718" s="105" t="str">
        <f t="shared" si="744"/>
        <v/>
      </c>
      <c r="X1718" s="104" t="str">
        <f t="shared" si="749"/>
        <v/>
      </c>
      <c r="Y1718" s="104" t="str">
        <f t="array" ref="Y1718">IFERROR(IF(ISNUMBER(O1718),IF(COUNT(IF(A1718=$A$2:$A$2427,IF(D1718=$D$2:$D$2427,IF($X$2:$X$2427&gt;0,1))))&gt;0,SUM(IF(A1718=$A$2:$A$2427,IF(D1718=$D$2:$D$2427,$X$2:$X$2427)))/COUNT(IF(A1718=$A$2:$A$2427,IF(D1718=$D$2:$D$2427,IF(ISNUMBER($X$2:$X$2427),1)))),0),""),0)</f>
        <v/>
      </c>
      <c r="Z1718" s="104" t="str">
        <f>IF(ISNUMBER(O1718),IF(I1718&gt;0,(10^(VLOOKUP(D1718,'Species Codes'!B:C,2,0)+VLOOKUP(D1718,'Species Codes'!B:D,3,0)*LOG(E1718)+VLOOKUP(D1718,'Species Codes'!B:E,4,0)*LOG(I1718))),0),"")</f>
        <v/>
      </c>
      <c r="AA1718" s="104" t="str">
        <f>IFERROR((VLOOKUP(D1718,'Species Codes'!B:G,6,0)*Z1718)/2000,"")</f>
        <v/>
      </c>
      <c r="AB1718" s="104" t="e">
        <f>IF(Z1718&gt;0,((IF(OR(D1718="DF",D1718="RA")=TRUE,EXP(VLOOKUP(D1718,'Species Codes'!B:I,8,0)+VLOOKUP(D1718,'Species Codes'!B:J,9,0)*(LN((E1718*2.54)))),IF(OR(D1718="PY",D1718="RC",D1718="WH",D1718="NF")=TRUE,VLOOKUP(D1718,'Species Codes'!B:I,8,0)+VLOOKUP(D1718,'Species Codes'!B:J,9,0)*((E1718*2.54)^2)*(I1718*0.3048),IF(OR(D1718="MD",D1718="BM",D1718="GA")=TRUE,((VLOOKUP(D1718,'Species Codes'!B:I,8,0)*(((((E1718*2.54)+VLOOKUP(D1718,'Species Codes'!B:J,9,0))/VLOOKUP(D1718,'Species Codes'!B:K,10,0))^VLOOKUP(D1718,'Species Codes'!B:L,11,0))*((I1718*0.3048)^VLOOKUP(D1718,'Species Codes'!B:M,12,0))))-(VLOOKUP(D1718,'Species Codes'!B:I,8,0)*((((E1718*2.54)^VLOOKUP(D1718,'Species Codes'!B:L,11,0))*((I1718*0.3048)^VLOOKUP(D1718,'Species Codes'!B:M,12,0))))))*35.3*VLOOKUP(D1718,'Species Codes'!B:G,6,0)/2.2046,VLOOKUP(D1718,'Species Codes'!B:I,8,0)+VLOOKUP(D1718,'Species Codes'!B:J,9,0)*(((E1718*2.54)/100)^2)*(I1718*0.3048)))))*0.0011023),0)</f>
        <v>#N/A</v>
      </c>
      <c r="AC1718" s="104" t="e">
        <f>IF(Z1718&gt;0,((IF(OR(D1718="RA",D1718="OA",D1718="OT",D1718="UN",D1718="PC"),EXP(VLOOKUP(D1718,'Species Codes'!B:O,14,0)+VLOOKUP(D1718,'Species Codes'!B:P,15,0)*LN((E1718*2.54)))-EXP(VLOOKUP(D1718,'Species Codes'!B:O,14,0)+VLOOKUP(D1718,'Species Codes'!B:P,15,0)*LN((E1718*2.54)))*(1/(VLOOKUP(D1718,'Species Codes'!B:Q,16,0)+VLOOKUP(D1718,'Species Codes'!B:R,17,0)*((E1718*2.54)^VLOOKUP(D1718,'Species Codes'!B:S,18,0)))),IF(OR(D1718="BM",D1718="MD",D1718="OA"),EXP(VLOOKUP(D1718,'Species Codes'!B:O,14,0)+VLOOKUP(D1718,'Species Codes'!B:P,15,0)*LN((E1718*2.54)))*(1-(1/(VLOOKUP(D1718,'Species Codes'!B:Q,16,0)+VLOOKUP(D1718,'Species Codes'!B:R,17,0)*((E1718*2.54)^VLOOKUP(D1718,'Species Codes'!B:S,18,0)))))/1000,IF(D1718="DF",EXP(VLOOKUP(D1718,'Species Codes'!B:O,14,0)+VLOOKUP(D1718,'Species Codes'!B:P,15,0)*LN((E1718*2.54))),VLOOKUP(D1718,'Species Codes'!B:O,14,0)+VLOOKUP(D1718,'Species Codes'!B:P,15,0)*(((E1718*2.54)/100)^2)*(I1718*0.3048)))))*0.0011023),0)</f>
        <v>#N/A</v>
      </c>
      <c r="AD1718" s="104" t="e">
        <f t="shared" si="760"/>
        <v>#N/A</v>
      </c>
      <c r="AE1718" s="104" t="e">
        <f t="shared" si="761"/>
        <v>#N/A</v>
      </c>
      <c r="AF1718" s="104" t="e">
        <f>IF(AND(VLOOKUP($D1718,Merchantability!$B:$C,2,0)="Yes",$E1718&gt;=VLOOKUP($D1718,Merchantability!$B:$D,3,0),$E1718&lt;=VLOOKUP($D1718,Merchantability!$B:$E,4,0)),AA1718,0)</f>
        <v>#N/A</v>
      </c>
      <c r="AG1718" s="104" t="e">
        <f>IF(AND(VLOOKUP($D1718,Merchantability!$B:$C,2,0)="Yes",$E1718&gt;=VLOOKUP($D1718,Merchantability!$B:$D,3,0),$E1718&lt;=VLOOKUP($D1718,Merchantability!$B:$E,4,0)),AB1718,0)</f>
        <v>#N/A</v>
      </c>
      <c r="AH1718" s="104" t="e">
        <f>IF(AND(VLOOKUP($D1718,Merchantability!$B:$C,2,0)="Yes",$E1718&gt;=VLOOKUP($D1718,Merchantability!$B:$D,3,0),$E1718&lt;=VLOOKUP($D1718,Merchantability!$B:$E,4,0)),AC1718,0)</f>
        <v>#N/A</v>
      </c>
      <c r="AI1718" s="104" t="e">
        <f t="shared" si="762"/>
        <v>#N/A</v>
      </c>
      <c r="AJ1718" s="104" t="e">
        <f t="shared" si="763"/>
        <v>#VALUE!</v>
      </c>
      <c r="AK1718" s="104" t="e">
        <f t="shared" si="764"/>
        <v>#N/A</v>
      </c>
      <c r="AL1718" s="104" t="e">
        <f t="shared" si="765"/>
        <v>#N/A</v>
      </c>
      <c r="AM1718" s="104" t="e">
        <f t="shared" si="766"/>
        <v>#N/A</v>
      </c>
      <c r="AN1718" s="104" t="e">
        <f t="shared" si="750"/>
        <v>#N/A</v>
      </c>
      <c r="AO1718" s="104" t="e">
        <f t="shared" si="751"/>
        <v>#N/A</v>
      </c>
      <c r="AP1718" s="104" t="e">
        <f t="shared" si="752"/>
        <v>#N/A</v>
      </c>
      <c r="AQ1718" s="104" t="e">
        <f t="shared" si="753"/>
        <v>#N/A</v>
      </c>
      <c r="AR1718" s="105" t="str">
        <f t="shared" si="745"/>
        <v/>
      </c>
      <c r="AS1718" s="105" t="str">
        <f t="shared" si="746"/>
        <v/>
      </c>
      <c r="AT1718" s="108" t="str">
        <f t="shared" si="747"/>
        <v/>
      </c>
      <c r="AU1718" s="108" t="str">
        <f t="shared" si="748"/>
        <v/>
      </c>
      <c r="AV1718" s="107" t="str">
        <f>IF(ISNUMBER(O1718),IF(VLOOKUP($A1718,Stand!C:J,8,FALSE)="Short",AT1718,AU1718),"")</f>
        <v/>
      </c>
      <c r="AW1718" s="109" t="str">
        <f t="shared" si="754"/>
        <v/>
      </c>
      <c r="AX1718" s="109" t="str">
        <f t="shared" si="755"/>
        <v/>
      </c>
      <c r="AY1718" s="112" t="str">
        <f>IF(ISNUMBER(O1718),IF(AND(VLOOKUP($D1718,Merchantability!$B:$C,2,0)="Yes",$E1718&gt;=VLOOKUP($D1718,Merchantability!$B:$D,3,0),$E1718&lt;=VLOOKUP($D1718,Merchantability!$B:$E,4,0)),(AV1718*O1718)*(1-$H1718/100),""),"")</f>
        <v/>
      </c>
      <c r="AZ1718" s="116"/>
      <c r="BA1718" s="116"/>
      <c r="BB1718" s="116"/>
      <c r="BE1718" s="62"/>
      <c r="BF1718" s="63"/>
    </row>
    <row r="1719" spans="1:58" ht="12.75" customHeight="1" x14ac:dyDescent="0.25">
      <c r="A1719" s="334"/>
      <c r="B1719" s="334"/>
      <c r="C1719" s="332"/>
      <c r="D1719" s="334"/>
      <c r="E1719" s="335"/>
      <c r="F1719" s="334"/>
      <c r="G1719" s="332"/>
      <c r="H1719" s="332"/>
      <c r="I1719" s="334"/>
      <c r="J1719" s="336"/>
      <c r="K1719" s="332"/>
      <c r="L1719" s="332"/>
      <c r="M1719" s="76"/>
      <c r="N1719" s="103" t="str">
        <f>IF(A1719="","",VLOOKUP(A1719,Stand!C:K,9,0))</f>
        <v/>
      </c>
      <c r="O1719" s="104" t="str">
        <f t="shared" si="740"/>
        <v/>
      </c>
      <c r="P1719" s="105" t="str">
        <f t="shared" si="741"/>
        <v/>
      </c>
      <c r="Q1719" s="105" t="str">
        <f t="shared" si="756"/>
        <v/>
      </c>
      <c r="R1719" s="103" t="str">
        <f t="shared" si="742"/>
        <v/>
      </c>
      <c r="S1719" s="103" t="str">
        <f t="shared" si="743"/>
        <v/>
      </c>
      <c r="T1719" s="106" t="str">
        <f t="shared" si="757"/>
        <v/>
      </c>
      <c r="U1719" s="106" t="str">
        <f t="shared" si="758"/>
        <v/>
      </c>
      <c r="V1719" s="106" t="str">
        <f t="shared" si="759"/>
        <v/>
      </c>
      <c r="W1719" s="105" t="str">
        <f t="shared" si="744"/>
        <v/>
      </c>
      <c r="X1719" s="104" t="str">
        <f t="shared" si="749"/>
        <v/>
      </c>
      <c r="Y1719" s="104" t="str">
        <f t="array" ref="Y1719">IFERROR(IF(ISNUMBER(O1719),IF(COUNT(IF(A1719=$A$2:$A$2427,IF(D1719=$D$2:$D$2427,IF($X$2:$X$2427&gt;0,1))))&gt;0,SUM(IF(A1719=$A$2:$A$2427,IF(D1719=$D$2:$D$2427,$X$2:$X$2427)))/COUNT(IF(A1719=$A$2:$A$2427,IF(D1719=$D$2:$D$2427,IF(ISNUMBER($X$2:$X$2427),1)))),0),""),0)</f>
        <v/>
      </c>
      <c r="Z1719" s="104" t="str">
        <f>IF(ISNUMBER(O1719),IF(I1719&gt;0,(10^(VLOOKUP(D1719,'Species Codes'!B:C,2,0)+VLOOKUP(D1719,'Species Codes'!B:D,3,0)*LOG(E1719)+VLOOKUP(D1719,'Species Codes'!B:E,4,0)*LOG(I1719))),0),"")</f>
        <v/>
      </c>
      <c r="AA1719" s="104" t="str">
        <f>IFERROR((VLOOKUP(D1719,'Species Codes'!B:G,6,0)*Z1719)/2000,"")</f>
        <v/>
      </c>
      <c r="AB1719" s="104" t="e">
        <f>IF(Z1719&gt;0,((IF(OR(D1719="DF",D1719="RA")=TRUE,EXP(VLOOKUP(D1719,'Species Codes'!B:I,8,0)+VLOOKUP(D1719,'Species Codes'!B:J,9,0)*(LN((E1719*2.54)))),IF(OR(D1719="PY",D1719="RC",D1719="WH",D1719="NF")=TRUE,VLOOKUP(D1719,'Species Codes'!B:I,8,0)+VLOOKUP(D1719,'Species Codes'!B:J,9,0)*((E1719*2.54)^2)*(I1719*0.3048),IF(OR(D1719="MD",D1719="BM",D1719="GA")=TRUE,((VLOOKUP(D1719,'Species Codes'!B:I,8,0)*(((((E1719*2.54)+VLOOKUP(D1719,'Species Codes'!B:J,9,0))/VLOOKUP(D1719,'Species Codes'!B:K,10,0))^VLOOKUP(D1719,'Species Codes'!B:L,11,0))*((I1719*0.3048)^VLOOKUP(D1719,'Species Codes'!B:M,12,0))))-(VLOOKUP(D1719,'Species Codes'!B:I,8,0)*((((E1719*2.54)^VLOOKUP(D1719,'Species Codes'!B:L,11,0))*((I1719*0.3048)^VLOOKUP(D1719,'Species Codes'!B:M,12,0))))))*35.3*VLOOKUP(D1719,'Species Codes'!B:G,6,0)/2.2046,VLOOKUP(D1719,'Species Codes'!B:I,8,0)+VLOOKUP(D1719,'Species Codes'!B:J,9,0)*(((E1719*2.54)/100)^2)*(I1719*0.3048)))))*0.0011023),0)</f>
        <v>#N/A</v>
      </c>
      <c r="AC1719" s="104" t="e">
        <f>IF(Z1719&gt;0,((IF(OR(D1719="RA",D1719="OA",D1719="OT",D1719="UN",D1719="PC"),EXP(VLOOKUP(D1719,'Species Codes'!B:O,14,0)+VLOOKUP(D1719,'Species Codes'!B:P,15,0)*LN((E1719*2.54)))-EXP(VLOOKUP(D1719,'Species Codes'!B:O,14,0)+VLOOKUP(D1719,'Species Codes'!B:P,15,0)*LN((E1719*2.54)))*(1/(VLOOKUP(D1719,'Species Codes'!B:Q,16,0)+VLOOKUP(D1719,'Species Codes'!B:R,17,0)*((E1719*2.54)^VLOOKUP(D1719,'Species Codes'!B:S,18,0)))),IF(OR(D1719="BM",D1719="MD",D1719="OA"),EXP(VLOOKUP(D1719,'Species Codes'!B:O,14,0)+VLOOKUP(D1719,'Species Codes'!B:P,15,0)*LN((E1719*2.54)))*(1-(1/(VLOOKUP(D1719,'Species Codes'!B:Q,16,0)+VLOOKUP(D1719,'Species Codes'!B:R,17,0)*((E1719*2.54)^VLOOKUP(D1719,'Species Codes'!B:S,18,0)))))/1000,IF(D1719="DF",EXP(VLOOKUP(D1719,'Species Codes'!B:O,14,0)+VLOOKUP(D1719,'Species Codes'!B:P,15,0)*LN((E1719*2.54))),VLOOKUP(D1719,'Species Codes'!B:O,14,0)+VLOOKUP(D1719,'Species Codes'!B:P,15,0)*(((E1719*2.54)/100)^2)*(I1719*0.3048)))))*0.0011023),0)</f>
        <v>#N/A</v>
      </c>
      <c r="AD1719" s="104" t="e">
        <f t="shared" si="760"/>
        <v>#N/A</v>
      </c>
      <c r="AE1719" s="104" t="e">
        <f t="shared" si="761"/>
        <v>#N/A</v>
      </c>
      <c r="AF1719" s="104" t="e">
        <f>IF(AND(VLOOKUP($D1719,Merchantability!$B:$C,2,0)="Yes",$E1719&gt;=VLOOKUP($D1719,Merchantability!$B:$D,3,0),$E1719&lt;=VLOOKUP($D1719,Merchantability!$B:$E,4,0)),AA1719,0)</f>
        <v>#N/A</v>
      </c>
      <c r="AG1719" s="104" t="e">
        <f>IF(AND(VLOOKUP($D1719,Merchantability!$B:$C,2,0)="Yes",$E1719&gt;=VLOOKUP($D1719,Merchantability!$B:$D,3,0),$E1719&lt;=VLOOKUP($D1719,Merchantability!$B:$E,4,0)),AB1719,0)</f>
        <v>#N/A</v>
      </c>
      <c r="AH1719" s="104" t="e">
        <f>IF(AND(VLOOKUP($D1719,Merchantability!$B:$C,2,0)="Yes",$E1719&gt;=VLOOKUP($D1719,Merchantability!$B:$D,3,0),$E1719&lt;=VLOOKUP($D1719,Merchantability!$B:$E,4,0)),AC1719,0)</f>
        <v>#N/A</v>
      </c>
      <c r="AI1719" s="104" t="e">
        <f t="shared" si="762"/>
        <v>#N/A</v>
      </c>
      <c r="AJ1719" s="104" t="e">
        <f t="shared" si="763"/>
        <v>#VALUE!</v>
      </c>
      <c r="AK1719" s="104" t="e">
        <f t="shared" si="764"/>
        <v>#N/A</v>
      </c>
      <c r="AL1719" s="104" t="e">
        <f t="shared" si="765"/>
        <v>#N/A</v>
      </c>
      <c r="AM1719" s="104" t="e">
        <f t="shared" si="766"/>
        <v>#N/A</v>
      </c>
      <c r="AN1719" s="104" t="e">
        <f t="shared" si="750"/>
        <v>#N/A</v>
      </c>
      <c r="AO1719" s="104" t="e">
        <f t="shared" si="751"/>
        <v>#N/A</v>
      </c>
      <c r="AP1719" s="104" t="e">
        <f t="shared" si="752"/>
        <v>#N/A</v>
      </c>
      <c r="AQ1719" s="104" t="e">
        <f t="shared" si="753"/>
        <v>#N/A</v>
      </c>
      <c r="AR1719" s="105" t="str">
        <f t="shared" si="745"/>
        <v/>
      </c>
      <c r="AS1719" s="105" t="str">
        <f t="shared" si="746"/>
        <v/>
      </c>
      <c r="AT1719" s="108" t="str">
        <f t="shared" si="747"/>
        <v/>
      </c>
      <c r="AU1719" s="108" t="str">
        <f t="shared" si="748"/>
        <v/>
      </c>
      <c r="AV1719" s="107" t="str">
        <f>IF(ISNUMBER(O1719),IF(VLOOKUP($A1719,Stand!C:J,8,FALSE)="Short",AT1719,AU1719),"")</f>
        <v/>
      </c>
      <c r="AW1719" s="109" t="str">
        <f t="shared" si="754"/>
        <v/>
      </c>
      <c r="AX1719" s="109" t="str">
        <f t="shared" si="755"/>
        <v/>
      </c>
      <c r="AY1719" s="112" t="str">
        <f>IF(ISNUMBER(O1719),IF(AND(VLOOKUP($D1719,Merchantability!$B:$C,2,0)="Yes",$E1719&gt;=VLOOKUP($D1719,Merchantability!$B:$D,3,0),$E1719&lt;=VLOOKUP($D1719,Merchantability!$B:$E,4,0)),(AV1719*O1719)*(1-$H1719/100),""),"")</f>
        <v/>
      </c>
      <c r="AZ1719" s="116"/>
      <c r="BA1719" s="116"/>
      <c r="BB1719" s="116"/>
      <c r="BE1719" s="62"/>
      <c r="BF1719" s="63"/>
    </row>
    <row r="1720" spans="1:58" ht="12.75" customHeight="1" x14ac:dyDescent="0.25">
      <c r="A1720" s="334"/>
      <c r="B1720" s="334"/>
      <c r="C1720" s="332"/>
      <c r="D1720" s="334"/>
      <c r="E1720" s="335"/>
      <c r="F1720" s="334"/>
      <c r="G1720" s="332"/>
      <c r="H1720" s="332"/>
      <c r="I1720" s="334"/>
      <c r="J1720" s="336"/>
      <c r="K1720" s="332"/>
      <c r="L1720" s="332"/>
      <c r="M1720" s="76"/>
      <c r="N1720" s="103" t="str">
        <f>IF(A1720="","",VLOOKUP(A1720,Stand!C:K,9,0))</f>
        <v/>
      </c>
      <c r="O1720" s="104" t="str">
        <f t="shared" si="740"/>
        <v/>
      </c>
      <c r="P1720" s="105" t="str">
        <f t="shared" si="741"/>
        <v/>
      </c>
      <c r="Q1720" s="105" t="str">
        <f t="shared" si="756"/>
        <v/>
      </c>
      <c r="R1720" s="103" t="str">
        <f t="shared" si="742"/>
        <v/>
      </c>
      <c r="S1720" s="103" t="str">
        <f t="shared" si="743"/>
        <v/>
      </c>
      <c r="T1720" s="106" t="str">
        <f t="shared" si="757"/>
        <v/>
      </c>
      <c r="U1720" s="106" t="str">
        <f t="shared" si="758"/>
        <v/>
      </c>
      <c r="V1720" s="106" t="str">
        <f t="shared" si="759"/>
        <v/>
      </c>
      <c r="W1720" s="105" t="str">
        <f t="shared" si="744"/>
        <v/>
      </c>
      <c r="X1720" s="104" t="str">
        <f t="shared" si="749"/>
        <v/>
      </c>
      <c r="Y1720" s="104" t="str">
        <f t="array" ref="Y1720">IFERROR(IF(ISNUMBER(O1720),IF(COUNT(IF(A1720=$A$2:$A$2427,IF(D1720=$D$2:$D$2427,IF($X$2:$X$2427&gt;0,1))))&gt;0,SUM(IF(A1720=$A$2:$A$2427,IF(D1720=$D$2:$D$2427,$X$2:$X$2427)))/COUNT(IF(A1720=$A$2:$A$2427,IF(D1720=$D$2:$D$2427,IF(ISNUMBER($X$2:$X$2427),1)))),0),""),0)</f>
        <v/>
      </c>
      <c r="Z1720" s="104" t="str">
        <f>IF(ISNUMBER(O1720),IF(I1720&gt;0,(10^(VLOOKUP(D1720,'Species Codes'!B:C,2,0)+VLOOKUP(D1720,'Species Codes'!B:D,3,0)*LOG(E1720)+VLOOKUP(D1720,'Species Codes'!B:E,4,0)*LOG(I1720))),0),"")</f>
        <v/>
      </c>
      <c r="AA1720" s="104" t="str">
        <f>IFERROR((VLOOKUP(D1720,'Species Codes'!B:G,6,0)*Z1720)/2000,"")</f>
        <v/>
      </c>
      <c r="AB1720" s="104" t="e">
        <f>IF(Z1720&gt;0,((IF(OR(D1720="DF",D1720="RA")=TRUE,EXP(VLOOKUP(D1720,'Species Codes'!B:I,8,0)+VLOOKUP(D1720,'Species Codes'!B:J,9,0)*(LN((E1720*2.54)))),IF(OR(D1720="PY",D1720="RC",D1720="WH",D1720="NF")=TRUE,VLOOKUP(D1720,'Species Codes'!B:I,8,0)+VLOOKUP(D1720,'Species Codes'!B:J,9,0)*((E1720*2.54)^2)*(I1720*0.3048),IF(OR(D1720="MD",D1720="BM",D1720="GA")=TRUE,((VLOOKUP(D1720,'Species Codes'!B:I,8,0)*(((((E1720*2.54)+VLOOKUP(D1720,'Species Codes'!B:J,9,0))/VLOOKUP(D1720,'Species Codes'!B:K,10,0))^VLOOKUP(D1720,'Species Codes'!B:L,11,0))*((I1720*0.3048)^VLOOKUP(D1720,'Species Codes'!B:M,12,0))))-(VLOOKUP(D1720,'Species Codes'!B:I,8,0)*((((E1720*2.54)^VLOOKUP(D1720,'Species Codes'!B:L,11,0))*((I1720*0.3048)^VLOOKUP(D1720,'Species Codes'!B:M,12,0))))))*35.3*VLOOKUP(D1720,'Species Codes'!B:G,6,0)/2.2046,VLOOKUP(D1720,'Species Codes'!B:I,8,0)+VLOOKUP(D1720,'Species Codes'!B:J,9,0)*(((E1720*2.54)/100)^2)*(I1720*0.3048)))))*0.0011023),0)</f>
        <v>#N/A</v>
      </c>
      <c r="AC1720" s="104" t="e">
        <f>IF(Z1720&gt;0,((IF(OR(D1720="RA",D1720="OA",D1720="OT",D1720="UN",D1720="PC"),EXP(VLOOKUP(D1720,'Species Codes'!B:O,14,0)+VLOOKUP(D1720,'Species Codes'!B:P,15,0)*LN((E1720*2.54)))-EXP(VLOOKUP(D1720,'Species Codes'!B:O,14,0)+VLOOKUP(D1720,'Species Codes'!B:P,15,0)*LN((E1720*2.54)))*(1/(VLOOKUP(D1720,'Species Codes'!B:Q,16,0)+VLOOKUP(D1720,'Species Codes'!B:R,17,0)*((E1720*2.54)^VLOOKUP(D1720,'Species Codes'!B:S,18,0)))),IF(OR(D1720="BM",D1720="MD",D1720="OA"),EXP(VLOOKUP(D1720,'Species Codes'!B:O,14,0)+VLOOKUP(D1720,'Species Codes'!B:P,15,0)*LN((E1720*2.54)))*(1-(1/(VLOOKUP(D1720,'Species Codes'!B:Q,16,0)+VLOOKUP(D1720,'Species Codes'!B:R,17,0)*((E1720*2.54)^VLOOKUP(D1720,'Species Codes'!B:S,18,0)))))/1000,IF(D1720="DF",EXP(VLOOKUP(D1720,'Species Codes'!B:O,14,0)+VLOOKUP(D1720,'Species Codes'!B:P,15,0)*LN((E1720*2.54))),VLOOKUP(D1720,'Species Codes'!B:O,14,0)+VLOOKUP(D1720,'Species Codes'!B:P,15,0)*(((E1720*2.54)/100)^2)*(I1720*0.3048)))))*0.0011023),0)</f>
        <v>#N/A</v>
      </c>
      <c r="AD1720" s="104" t="e">
        <f t="shared" si="760"/>
        <v>#N/A</v>
      </c>
      <c r="AE1720" s="104" t="e">
        <f t="shared" si="761"/>
        <v>#N/A</v>
      </c>
      <c r="AF1720" s="104" t="e">
        <f>IF(AND(VLOOKUP($D1720,Merchantability!$B:$C,2,0)="Yes",$E1720&gt;=VLOOKUP($D1720,Merchantability!$B:$D,3,0),$E1720&lt;=VLOOKUP($D1720,Merchantability!$B:$E,4,0)),AA1720,0)</f>
        <v>#N/A</v>
      </c>
      <c r="AG1720" s="104" t="e">
        <f>IF(AND(VLOOKUP($D1720,Merchantability!$B:$C,2,0)="Yes",$E1720&gt;=VLOOKUP($D1720,Merchantability!$B:$D,3,0),$E1720&lt;=VLOOKUP($D1720,Merchantability!$B:$E,4,0)),AB1720,0)</f>
        <v>#N/A</v>
      </c>
      <c r="AH1720" s="104" t="e">
        <f>IF(AND(VLOOKUP($D1720,Merchantability!$B:$C,2,0)="Yes",$E1720&gt;=VLOOKUP($D1720,Merchantability!$B:$D,3,0),$E1720&lt;=VLOOKUP($D1720,Merchantability!$B:$E,4,0)),AC1720,0)</f>
        <v>#N/A</v>
      </c>
      <c r="AI1720" s="104" t="e">
        <f t="shared" si="762"/>
        <v>#N/A</v>
      </c>
      <c r="AJ1720" s="104" t="e">
        <f t="shared" si="763"/>
        <v>#VALUE!</v>
      </c>
      <c r="AK1720" s="104" t="e">
        <f t="shared" si="764"/>
        <v>#N/A</v>
      </c>
      <c r="AL1720" s="104" t="e">
        <f t="shared" si="765"/>
        <v>#N/A</v>
      </c>
      <c r="AM1720" s="104" t="e">
        <f t="shared" si="766"/>
        <v>#N/A</v>
      </c>
      <c r="AN1720" s="104" t="e">
        <f t="shared" si="750"/>
        <v>#N/A</v>
      </c>
      <c r="AO1720" s="104" t="e">
        <f t="shared" si="751"/>
        <v>#N/A</v>
      </c>
      <c r="AP1720" s="104" t="e">
        <f t="shared" si="752"/>
        <v>#N/A</v>
      </c>
      <c r="AQ1720" s="104" t="e">
        <f t="shared" si="753"/>
        <v>#N/A</v>
      </c>
      <c r="AR1720" s="105" t="str">
        <f t="shared" si="745"/>
        <v/>
      </c>
      <c r="AS1720" s="105" t="str">
        <f t="shared" si="746"/>
        <v/>
      </c>
      <c r="AT1720" s="108" t="str">
        <f t="shared" si="747"/>
        <v/>
      </c>
      <c r="AU1720" s="108" t="str">
        <f t="shared" si="748"/>
        <v/>
      </c>
      <c r="AV1720" s="107" t="str">
        <f>IF(ISNUMBER(O1720),IF(VLOOKUP($A1720,Stand!C:J,8,FALSE)="Short",AT1720,AU1720),"")</f>
        <v/>
      </c>
      <c r="AW1720" s="109" t="str">
        <f t="shared" si="754"/>
        <v/>
      </c>
      <c r="AX1720" s="109" t="str">
        <f t="shared" si="755"/>
        <v/>
      </c>
      <c r="AY1720" s="112" t="str">
        <f>IF(ISNUMBER(O1720),IF(AND(VLOOKUP($D1720,Merchantability!$B:$C,2,0)="Yes",$E1720&gt;=VLOOKUP($D1720,Merchantability!$B:$D,3,0),$E1720&lt;=VLOOKUP($D1720,Merchantability!$B:$E,4,0)),(AV1720*O1720)*(1-$H1720/100),""),"")</f>
        <v/>
      </c>
      <c r="AZ1720" s="116"/>
      <c r="BA1720" s="116"/>
      <c r="BB1720" s="116"/>
      <c r="BE1720" s="62"/>
      <c r="BF1720" s="63"/>
    </row>
    <row r="1721" spans="1:58" ht="12.75" customHeight="1" x14ac:dyDescent="0.25">
      <c r="A1721" s="334"/>
      <c r="B1721" s="334"/>
      <c r="C1721" s="332"/>
      <c r="D1721" s="334"/>
      <c r="E1721" s="335"/>
      <c r="F1721" s="334"/>
      <c r="G1721" s="332"/>
      <c r="H1721" s="332"/>
      <c r="I1721" s="334"/>
      <c r="J1721" s="336"/>
      <c r="K1721" s="332"/>
      <c r="L1721" s="332"/>
      <c r="M1721" s="76"/>
      <c r="N1721" s="103" t="str">
        <f>IF(A1721="","",VLOOKUP(A1721,Stand!C:K,9,0))</f>
        <v/>
      </c>
      <c r="O1721" s="104" t="str">
        <f t="shared" si="740"/>
        <v/>
      </c>
      <c r="P1721" s="105" t="str">
        <f t="shared" si="741"/>
        <v/>
      </c>
      <c r="Q1721" s="105" t="str">
        <f t="shared" si="756"/>
        <v/>
      </c>
      <c r="R1721" s="103" t="str">
        <f t="shared" si="742"/>
        <v/>
      </c>
      <c r="S1721" s="103" t="str">
        <f t="shared" si="743"/>
        <v/>
      </c>
      <c r="T1721" s="106" t="str">
        <f t="shared" si="757"/>
        <v/>
      </c>
      <c r="U1721" s="106" t="str">
        <f t="shared" si="758"/>
        <v/>
      </c>
      <c r="V1721" s="106" t="str">
        <f t="shared" si="759"/>
        <v/>
      </c>
      <c r="W1721" s="105" t="str">
        <f t="shared" si="744"/>
        <v/>
      </c>
      <c r="X1721" s="104" t="str">
        <f t="shared" si="749"/>
        <v/>
      </c>
      <c r="Y1721" s="104" t="str">
        <f t="array" ref="Y1721">IFERROR(IF(ISNUMBER(O1721),IF(COUNT(IF(A1721=$A$2:$A$2427,IF(D1721=$D$2:$D$2427,IF($X$2:$X$2427&gt;0,1))))&gt;0,SUM(IF(A1721=$A$2:$A$2427,IF(D1721=$D$2:$D$2427,$X$2:$X$2427)))/COUNT(IF(A1721=$A$2:$A$2427,IF(D1721=$D$2:$D$2427,IF(ISNUMBER($X$2:$X$2427),1)))),0),""),0)</f>
        <v/>
      </c>
      <c r="Z1721" s="104" t="str">
        <f>IF(ISNUMBER(O1721),IF(I1721&gt;0,(10^(VLOOKUP(D1721,'Species Codes'!B:C,2,0)+VLOOKUP(D1721,'Species Codes'!B:D,3,0)*LOG(E1721)+VLOOKUP(D1721,'Species Codes'!B:E,4,0)*LOG(I1721))),0),"")</f>
        <v/>
      </c>
      <c r="AA1721" s="104" t="str">
        <f>IFERROR((VLOOKUP(D1721,'Species Codes'!B:G,6,0)*Z1721)/2000,"")</f>
        <v/>
      </c>
      <c r="AB1721" s="104" t="e">
        <f>IF(Z1721&gt;0,((IF(OR(D1721="DF",D1721="RA")=TRUE,EXP(VLOOKUP(D1721,'Species Codes'!B:I,8,0)+VLOOKUP(D1721,'Species Codes'!B:J,9,0)*(LN((E1721*2.54)))),IF(OR(D1721="PY",D1721="RC",D1721="WH",D1721="NF")=TRUE,VLOOKUP(D1721,'Species Codes'!B:I,8,0)+VLOOKUP(D1721,'Species Codes'!B:J,9,0)*((E1721*2.54)^2)*(I1721*0.3048),IF(OR(D1721="MD",D1721="BM",D1721="GA")=TRUE,((VLOOKUP(D1721,'Species Codes'!B:I,8,0)*(((((E1721*2.54)+VLOOKUP(D1721,'Species Codes'!B:J,9,0))/VLOOKUP(D1721,'Species Codes'!B:K,10,0))^VLOOKUP(D1721,'Species Codes'!B:L,11,0))*((I1721*0.3048)^VLOOKUP(D1721,'Species Codes'!B:M,12,0))))-(VLOOKUP(D1721,'Species Codes'!B:I,8,0)*((((E1721*2.54)^VLOOKUP(D1721,'Species Codes'!B:L,11,0))*((I1721*0.3048)^VLOOKUP(D1721,'Species Codes'!B:M,12,0))))))*35.3*VLOOKUP(D1721,'Species Codes'!B:G,6,0)/2.2046,VLOOKUP(D1721,'Species Codes'!B:I,8,0)+VLOOKUP(D1721,'Species Codes'!B:J,9,0)*(((E1721*2.54)/100)^2)*(I1721*0.3048)))))*0.0011023),0)</f>
        <v>#N/A</v>
      </c>
      <c r="AC1721" s="104" t="e">
        <f>IF(Z1721&gt;0,((IF(OR(D1721="RA",D1721="OA",D1721="OT",D1721="UN",D1721="PC"),EXP(VLOOKUP(D1721,'Species Codes'!B:O,14,0)+VLOOKUP(D1721,'Species Codes'!B:P,15,0)*LN((E1721*2.54)))-EXP(VLOOKUP(D1721,'Species Codes'!B:O,14,0)+VLOOKUP(D1721,'Species Codes'!B:P,15,0)*LN((E1721*2.54)))*(1/(VLOOKUP(D1721,'Species Codes'!B:Q,16,0)+VLOOKUP(D1721,'Species Codes'!B:R,17,0)*((E1721*2.54)^VLOOKUP(D1721,'Species Codes'!B:S,18,0)))),IF(OR(D1721="BM",D1721="MD",D1721="OA"),EXP(VLOOKUP(D1721,'Species Codes'!B:O,14,0)+VLOOKUP(D1721,'Species Codes'!B:P,15,0)*LN((E1721*2.54)))*(1-(1/(VLOOKUP(D1721,'Species Codes'!B:Q,16,0)+VLOOKUP(D1721,'Species Codes'!B:R,17,0)*((E1721*2.54)^VLOOKUP(D1721,'Species Codes'!B:S,18,0)))))/1000,IF(D1721="DF",EXP(VLOOKUP(D1721,'Species Codes'!B:O,14,0)+VLOOKUP(D1721,'Species Codes'!B:P,15,0)*LN((E1721*2.54))),VLOOKUP(D1721,'Species Codes'!B:O,14,0)+VLOOKUP(D1721,'Species Codes'!B:P,15,0)*(((E1721*2.54)/100)^2)*(I1721*0.3048)))))*0.0011023),0)</f>
        <v>#N/A</v>
      </c>
      <c r="AD1721" s="104" t="e">
        <f t="shared" si="760"/>
        <v>#N/A</v>
      </c>
      <c r="AE1721" s="104" t="e">
        <f t="shared" si="761"/>
        <v>#N/A</v>
      </c>
      <c r="AF1721" s="104" t="e">
        <f>IF(AND(VLOOKUP($D1721,Merchantability!$B:$C,2,0)="Yes",$E1721&gt;=VLOOKUP($D1721,Merchantability!$B:$D,3,0),$E1721&lt;=VLOOKUP($D1721,Merchantability!$B:$E,4,0)),AA1721,0)</f>
        <v>#N/A</v>
      </c>
      <c r="AG1721" s="104" t="e">
        <f>IF(AND(VLOOKUP($D1721,Merchantability!$B:$C,2,0)="Yes",$E1721&gt;=VLOOKUP($D1721,Merchantability!$B:$D,3,0),$E1721&lt;=VLOOKUP($D1721,Merchantability!$B:$E,4,0)),AB1721,0)</f>
        <v>#N/A</v>
      </c>
      <c r="AH1721" s="104" t="e">
        <f>IF(AND(VLOOKUP($D1721,Merchantability!$B:$C,2,0)="Yes",$E1721&gt;=VLOOKUP($D1721,Merchantability!$B:$D,3,0),$E1721&lt;=VLOOKUP($D1721,Merchantability!$B:$E,4,0)),AC1721,0)</f>
        <v>#N/A</v>
      </c>
      <c r="AI1721" s="104" t="e">
        <f t="shared" si="762"/>
        <v>#N/A</v>
      </c>
      <c r="AJ1721" s="104" t="e">
        <f t="shared" si="763"/>
        <v>#VALUE!</v>
      </c>
      <c r="AK1721" s="104" t="e">
        <f t="shared" si="764"/>
        <v>#N/A</v>
      </c>
      <c r="AL1721" s="104" t="e">
        <f t="shared" si="765"/>
        <v>#N/A</v>
      </c>
      <c r="AM1721" s="104" t="e">
        <f t="shared" si="766"/>
        <v>#N/A</v>
      </c>
      <c r="AN1721" s="104" t="e">
        <f t="shared" si="750"/>
        <v>#N/A</v>
      </c>
      <c r="AO1721" s="104" t="e">
        <f t="shared" si="751"/>
        <v>#N/A</v>
      </c>
      <c r="AP1721" s="104" t="e">
        <f t="shared" si="752"/>
        <v>#N/A</v>
      </c>
      <c r="AQ1721" s="104" t="e">
        <f t="shared" si="753"/>
        <v>#N/A</v>
      </c>
      <c r="AR1721" s="105" t="str">
        <f t="shared" si="745"/>
        <v/>
      </c>
      <c r="AS1721" s="105" t="str">
        <f t="shared" si="746"/>
        <v/>
      </c>
      <c r="AT1721" s="108" t="str">
        <f t="shared" si="747"/>
        <v/>
      </c>
      <c r="AU1721" s="108" t="str">
        <f t="shared" si="748"/>
        <v/>
      </c>
      <c r="AV1721" s="107" t="str">
        <f>IF(ISNUMBER(O1721),IF(VLOOKUP($A1721,Stand!C:J,8,FALSE)="Short",AT1721,AU1721),"")</f>
        <v/>
      </c>
      <c r="AW1721" s="109" t="str">
        <f t="shared" si="754"/>
        <v/>
      </c>
      <c r="AX1721" s="109" t="str">
        <f t="shared" si="755"/>
        <v/>
      </c>
      <c r="AY1721" s="112" t="str">
        <f>IF(ISNUMBER(O1721),IF(AND(VLOOKUP($D1721,Merchantability!$B:$C,2,0)="Yes",$E1721&gt;=VLOOKUP($D1721,Merchantability!$B:$D,3,0),$E1721&lt;=VLOOKUP($D1721,Merchantability!$B:$E,4,0)),(AV1721*O1721)*(1-$H1721/100),""),"")</f>
        <v/>
      </c>
      <c r="AZ1721" s="116"/>
      <c r="BA1721" s="116"/>
      <c r="BB1721" s="116"/>
      <c r="BE1721" s="62"/>
      <c r="BF1721" s="63"/>
    </row>
    <row r="1722" spans="1:58" ht="12.75" customHeight="1" x14ac:dyDescent="0.25">
      <c r="A1722" s="334"/>
      <c r="B1722" s="334"/>
      <c r="C1722" s="332"/>
      <c r="D1722" s="334"/>
      <c r="E1722" s="335"/>
      <c r="F1722" s="334"/>
      <c r="G1722" s="332"/>
      <c r="H1722" s="332"/>
      <c r="I1722" s="334"/>
      <c r="J1722" s="336"/>
      <c r="K1722" s="332"/>
      <c r="L1722" s="332"/>
      <c r="M1722" s="76"/>
      <c r="N1722" s="103" t="str">
        <f>IF(A1722="","",VLOOKUP(A1722,Stand!C:K,9,0))</f>
        <v/>
      </c>
      <c r="O1722" s="104" t="str">
        <f t="shared" si="740"/>
        <v/>
      </c>
      <c r="P1722" s="105" t="str">
        <f t="shared" si="741"/>
        <v/>
      </c>
      <c r="Q1722" s="105" t="str">
        <f t="shared" si="756"/>
        <v/>
      </c>
      <c r="R1722" s="103" t="str">
        <f t="shared" si="742"/>
        <v/>
      </c>
      <c r="S1722" s="103" t="str">
        <f t="shared" si="743"/>
        <v/>
      </c>
      <c r="T1722" s="106" t="str">
        <f t="shared" si="757"/>
        <v/>
      </c>
      <c r="U1722" s="106" t="str">
        <f t="shared" si="758"/>
        <v/>
      </c>
      <c r="V1722" s="106" t="str">
        <f t="shared" si="759"/>
        <v/>
      </c>
      <c r="W1722" s="105" t="str">
        <f t="shared" si="744"/>
        <v/>
      </c>
      <c r="X1722" s="104" t="str">
        <f t="shared" si="749"/>
        <v/>
      </c>
      <c r="Y1722" s="104" t="str">
        <f t="array" ref="Y1722">IFERROR(IF(ISNUMBER(O1722),IF(COUNT(IF(A1722=$A$2:$A$2427,IF(D1722=$D$2:$D$2427,IF($X$2:$X$2427&gt;0,1))))&gt;0,SUM(IF(A1722=$A$2:$A$2427,IF(D1722=$D$2:$D$2427,$X$2:$X$2427)))/COUNT(IF(A1722=$A$2:$A$2427,IF(D1722=$D$2:$D$2427,IF(ISNUMBER($X$2:$X$2427),1)))),0),""),0)</f>
        <v/>
      </c>
      <c r="Z1722" s="104" t="str">
        <f>IF(ISNUMBER(O1722),IF(I1722&gt;0,(10^(VLOOKUP(D1722,'Species Codes'!B:C,2,0)+VLOOKUP(D1722,'Species Codes'!B:D,3,0)*LOG(E1722)+VLOOKUP(D1722,'Species Codes'!B:E,4,0)*LOG(I1722))),0),"")</f>
        <v/>
      </c>
      <c r="AA1722" s="104" t="str">
        <f>IFERROR((VLOOKUP(D1722,'Species Codes'!B:G,6,0)*Z1722)/2000,"")</f>
        <v/>
      </c>
      <c r="AB1722" s="104" t="e">
        <f>IF(Z1722&gt;0,((IF(OR(D1722="DF",D1722="RA")=TRUE,EXP(VLOOKUP(D1722,'Species Codes'!B:I,8,0)+VLOOKUP(D1722,'Species Codes'!B:J,9,0)*(LN((E1722*2.54)))),IF(OR(D1722="PY",D1722="RC",D1722="WH",D1722="NF")=TRUE,VLOOKUP(D1722,'Species Codes'!B:I,8,0)+VLOOKUP(D1722,'Species Codes'!B:J,9,0)*((E1722*2.54)^2)*(I1722*0.3048),IF(OR(D1722="MD",D1722="BM",D1722="GA")=TRUE,((VLOOKUP(D1722,'Species Codes'!B:I,8,0)*(((((E1722*2.54)+VLOOKUP(D1722,'Species Codes'!B:J,9,0))/VLOOKUP(D1722,'Species Codes'!B:K,10,0))^VLOOKUP(D1722,'Species Codes'!B:L,11,0))*((I1722*0.3048)^VLOOKUP(D1722,'Species Codes'!B:M,12,0))))-(VLOOKUP(D1722,'Species Codes'!B:I,8,0)*((((E1722*2.54)^VLOOKUP(D1722,'Species Codes'!B:L,11,0))*((I1722*0.3048)^VLOOKUP(D1722,'Species Codes'!B:M,12,0))))))*35.3*VLOOKUP(D1722,'Species Codes'!B:G,6,0)/2.2046,VLOOKUP(D1722,'Species Codes'!B:I,8,0)+VLOOKUP(D1722,'Species Codes'!B:J,9,0)*(((E1722*2.54)/100)^2)*(I1722*0.3048)))))*0.0011023),0)</f>
        <v>#N/A</v>
      </c>
      <c r="AC1722" s="104" t="e">
        <f>IF(Z1722&gt;0,((IF(OR(D1722="RA",D1722="OA",D1722="OT",D1722="UN",D1722="PC"),EXP(VLOOKUP(D1722,'Species Codes'!B:O,14,0)+VLOOKUP(D1722,'Species Codes'!B:P,15,0)*LN((E1722*2.54)))-EXP(VLOOKUP(D1722,'Species Codes'!B:O,14,0)+VLOOKUP(D1722,'Species Codes'!B:P,15,0)*LN((E1722*2.54)))*(1/(VLOOKUP(D1722,'Species Codes'!B:Q,16,0)+VLOOKUP(D1722,'Species Codes'!B:R,17,0)*((E1722*2.54)^VLOOKUP(D1722,'Species Codes'!B:S,18,0)))),IF(OR(D1722="BM",D1722="MD",D1722="OA"),EXP(VLOOKUP(D1722,'Species Codes'!B:O,14,0)+VLOOKUP(D1722,'Species Codes'!B:P,15,0)*LN((E1722*2.54)))*(1-(1/(VLOOKUP(D1722,'Species Codes'!B:Q,16,0)+VLOOKUP(D1722,'Species Codes'!B:R,17,0)*((E1722*2.54)^VLOOKUP(D1722,'Species Codes'!B:S,18,0)))))/1000,IF(D1722="DF",EXP(VLOOKUP(D1722,'Species Codes'!B:O,14,0)+VLOOKUP(D1722,'Species Codes'!B:P,15,0)*LN((E1722*2.54))),VLOOKUP(D1722,'Species Codes'!B:O,14,0)+VLOOKUP(D1722,'Species Codes'!B:P,15,0)*(((E1722*2.54)/100)^2)*(I1722*0.3048)))))*0.0011023),0)</f>
        <v>#N/A</v>
      </c>
      <c r="AD1722" s="104" t="e">
        <f t="shared" si="760"/>
        <v>#N/A</v>
      </c>
      <c r="AE1722" s="104" t="e">
        <f t="shared" si="761"/>
        <v>#N/A</v>
      </c>
      <c r="AF1722" s="104" t="e">
        <f>IF(AND(VLOOKUP($D1722,Merchantability!$B:$C,2,0)="Yes",$E1722&gt;=VLOOKUP($D1722,Merchantability!$B:$D,3,0),$E1722&lt;=VLOOKUP($D1722,Merchantability!$B:$E,4,0)),AA1722,0)</f>
        <v>#N/A</v>
      </c>
      <c r="AG1722" s="104" t="e">
        <f>IF(AND(VLOOKUP($D1722,Merchantability!$B:$C,2,0)="Yes",$E1722&gt;=VLOOKUP($D1722,Merchantability!$B:$D,3,0),$E1722&lt;=VLOOKUP($D1722,Merchantability!$B:$E,4,0)),AB1722,0)</f>
        <v>#N/A</v>
      </c>
      <c r="AH1722" s="104" t="e">
        <f>IF(AND(VLOOKUP($D1722,Merchantability!$B:$C,2,0)="Yes",$E1722&gt;=VLOOKUP($D1722,Merchantability!$B:$D,3,0),$E1722&lt;=VLOOKUP($D1722,Merchantability!$B:$E,4,0)),AC1722,0)</f>
        <v>#N/A</v>
      </c>
      <c r="AI1722" s="104" t="e">
        <f t="shared" si="762"/>
        <v>#N/A</v>
      </c>
      <c r="AJ1722" s="104" t="e">
        <f t="shared" si="763"/>
        <v>#VALUE!</v>
      </c>
      <c r="AK1722" s="104" t="e">
        <f t="shared" si="764"/>
        <v>#N/A</v>
      </c>
      <c r="AL1722" s="104" t="e">
        <f t="shared" si="765"/>
        <v>#N/A</v>
      </c>
      <c r="AM1722" s="104" t="e">
        <f t="shared" si="766"/>
        <v>#N/A</v>
      </c>
      <c r="AN1722" s="104" t="e">
        <f t="shared" si="750"/>
        <v>#N/A</v>
      </c>
      <c r="AO1722" s="104" t="e">
        <f t="shared" si="751"/>
        <v>#N/A</v>
      </c>
      <c r="AP1722" s="104" t="e">
        <f t="shared" si="752"/>
        <v>#N/A</v>
      </c>
      <c r="AQ1722" s="104" t="e">
        <f t="shared" si="753"/>
        <v>#N/A</v>
      </c>
      <c r="AR1722" s="105" t="str">
        <f t="shared" si="745"/>
        <v/>
      </c>
      <c r="AS1722" s="105" t="str">
        <f t="shared" si="746"/>
        <v/>
      </c>
      <c r="AT1722" s="108" t="str">
        <f t="shared" si="747"/>
        <v/>
      </c>
      <c r="AU1722" s="108" t="str">
        <f t="shared" si="748"/>
        <v/>
      </c>
      <c r="AV1722" s="107" t="str">
        <f>IF(ISNUMBER(O1722),IF(VLOOKUP($A1722,Stand!C:J,8,FALSE)="Short",AT1722,AU1722),"")</f>
        <v/>
      </c>
      <c r="AW1722" s="109" t="str">
        <f t="shared" si="754"/>
        <v/>
      </c>
      <c r="AX1722" s="109" t="str">
        <f t="shared" si="755"/>
        <v/>
      </c>
      <c r="AY1722" s="112" t="str">
        <f>IF(ISNUMBER(O1722),IF(AND(VLOOKUP($D1722,Merchantability!$B:$C,2,0)="Yes",$E1722&gt;=VLOOKUP($D1722,Merchantability!$B:$D,3,0),$E1722&lt;=VLOOKUP($D1722,Merchantability!$B:$E,4,0)),(AV1722*O1722)*(1-$H1722/100),""),"")</f>
        <v/>
      </c>
      <c r="AZ1722" s="116"/>
      <c r="BA1722" s="116"/>
      <c r="BB1722" s="116"/>
      <c r="BE1722" s="62"/>
      <c r="BF1722" s="63"/>
    </row>
    <row r="1723" spans="1:58" ht="12.75" customHeight="1" x14ac:dyDescent="0.25">
      <c r="A1723" s="334"/>
      <c r="B1723" s="334"/>
      <c r="C1723" s="332"/>
      <c r="D1723" s="334"/>
      <c r="E1723" s="335"/>
      <c r="F1723" s="334"/>
      <c r="G1723" s="332"/>
      <c r="H1723" s="332"/>
      <c r="I1723" s="334"/>
      <c r="J1723" s="336"/>
      <c r="K1723" s="332"/>
      <c r="L1723" s="332"/>
      <c r="M1723" s="76"/>
      <c r="N1723" s="103" t="str">
        <f>IF(A1723="","",VLOOKUP(A1723,Stand!C:K,9,0))</f>
        <v/>
      </c>
      <c r="O1723" s="104" t="str">
        <f t="shared" si="740"/>
        <v/>
      </c>
      <c r="P1723" s="105" t="str">
        <f t="shared" si="741"/>
        <v/>
      </c>
      <c r="Q1723" s="105" t="str">
        <f t="shared" si="756"/>
        <v/>
      </c>
      <c r="R1723" s="103" t="str">
        <f t="shared" si="742"/>
        <v/>
      </c>
      <c r="S1723" s="103" t="str">
        <f t="shared" si="743"/>
        <v/>
      </c>
      <c r="T1723" s="106" t="str">
        <f t="shared" si="757"/>
        <v/>
      </c>
      <c r="U1723" s="106" t="str">
        <f t="shared" si="758"/>
        <v/>
      </c>
      <c r="V1723" s="106" t="str">
        <f t="shared" si="759"/>
        <v/>
      </c>
      <c r="W1723" s="105" t="str">
        <f t="shared" si="744"/>
        <v/>
      </c>
      <c r="X1723" s="104" t="str">
        <f t="shared" si="749"/>
        <v/>
      </c>
      <c r="Y1723" s="104" t="str">
        <f t="array" ref="Y1723">IFERROR(IF(ISNUMBER(O1723),IF(COUNT(IF(A1723=$A$2:$A$2427,IF(D1723=$D$2:$D$2427,IF($X$2:$X$2427&gt;0,1))))&gt;0,SUM(IF(A1723=$A$2:$A$2427,IF(D1723=$D$2:$D$2427,$X$2:$X$2427)))/COUNT(IF(A1723=$A$2:$A$2427,IF(D1723=$D$2:$D$2427,IF(ISNUMBER($X$2:$X$2427),1)))),0),""),0)</f>
        <v/>
      </c>
      <c r="Z1723" s="104" t="str">
        <f>IF(ISNUMBER(O1723),IF(I1723&gt;0,(10^(VLOOKUP(D1723,'Species Codes'!B:C,2,0)+VLOOKUP(D1723,'Species Codes'!B:D,3,0)*LOG(E1723)+VLOOKUP(D1723,'Species Codes'!B:E,4,0)*LOG(I1723))),0),"")</f>
        <v/>
      </c>
      <c r="AA1723" s="104" t="str">
        <f>IFERROR((VLOOKUP(D1723,'Species Codes'!B:G,6,0)*Z1723)/2000,"")</f>
        <v/>
      </c>
      <c r="AB1723" s="104" t="e">
        <f>IF(Z1723&gt;0,((IF(OR(D1723="DF",D1723="RA")=TRUE,EXP(VLOOKUP(D1723,'Species Codes'!B:I,8,0)+VLOOKUP(D1723,'Species Codes'!B:J,9,0)*(LN((E1723*2.54)))),IF(OR(D1723="PY",D1723="RC",D1723="WH",D1723="NF")=TRUE,VLOOKUP(D1723,'Species Codes'!B:I,8,0)+VLOOKUP(D1723,'Species Codes'!B:J,9,0)*((E1723*2.54)^2)*(I1723*0.3048),IF(OR(D1723="MD",D1723="BM",D1723="GA")=TRUE,((VLOOKUP(D1723,'Species Codes'!B:I,8,0)*(((((E1723*2.54)+VLOOKUP(D1723,'Species Codes'!B:J,9,0))/VLOOKUP(D1723,'Species Codes'!B:K,10,0))^VLOOKUP(D1723,'Species Codes'!B:L,11,0))*((I1723*0.3048)^VLOOKUP(D1723,'Species Codes'!B:M,12,0))))-(VLOOKUP(D1723,'Species Codes'!B:I,8,0)*((((E1723*2.54)^VLOOKUP(D1723,'Species Codes'!B:L,11,0))*((I1723*0.3048)^VLOOKUP(D1723,'Species Codes'!B:M,12,0))))))*35.3*VLOOKUP(D1723,'Species Codes'!B:G,6,0)/2.2046,VLOOKUP(D1723,'Species Codes'!B:I,8,0)+VLOOKUP(D1723,'Species Codes'!B:J,9,0)*(((E1723*2.54)/100)^2)*(I1723*0.3048)))))*0.0011023),0)</f>
        <v>#N/A</v>
      </c>
      <c r="AC1723" s="104" t="e">
        <f>IF(Z1723&gt;0,((IF(OR(D1723="RA",D1723="OA",D1723="OT",D1723="UN",D1723="PC"),EXP(VLOOKUP(D1723,'Species Codes'!B:O,14,0)+VLOOKUP(D1723,'Species Codes'!B:P,15,0)*LN((E1723*2.54)))-EXP(VLOOKUP(D1723,'Species Codes'!B:O,14,0)+VLOOKUP(D1723,'Species Codes'!B:P,15,0)*LN((E1723*2.54)))*(1/(VLOOKUP(D1723,'Species Codes'!B:Q,16,0)+VLOOKUP(D1723,'Species Codes'!B:R,17,0)*((E1723*2.54)^VLOOKUP(D1723,'Species Codes'!B:S,18,0)))),IF(OR(D1723="BM",D1723="MD",D1723="OA"),EXP(VLOOKUP(D1723,'Species Codes'!B:O,14,0)+VLOOKUP(D1723,'Species Codes'!B:P,15,0)*LN((E1723*2.54)))*(1-(1/(VLOOKUP(D1723,'Species Codes'!B:Q,16,0)+VLOOKUP(D1723,'Species Codes'!B:R,17,0)*((E1723*2.54)^VLOOKUP(D1723,'Species Codes'!B:S,18,0)))))/1000,IF(D1723="DF",EXP(VLOOKUP(D1723,'Species Codes'!B:O,14,0)+VLOOKUP(D1723,'Species Codes'!B:P,15,0)*LN((E1723*2.54))),VLOOKUP(D1723,'Species Codes'!B:O,14,0)+VLOOKUP(D1723,'Species Codes'!B:P,15,0)*(((E1723*2.54)/100)^2)*(I1723*0.3048)))))*0.0011023),0)</f>
        <v>#N/A</v>
      </c>
      <c r="AD1723" s="104" t="e">
        <f t="shared" si="760"/>
        <v>#N/A</v>
      </c>
      <c r="AE1723" s="104" t="e">
        <f t="shared" si="761"/>
        <v>#N/A</v>
      </c>
      <c r="AF1723" s="104" t="e">
        <f>IF(AND(VLOOKUP($D1723,Merchantability!$B:$C,2,0)="Yes",$E1723&gt;=VLOOKUP($D1723,Merchantability!$B:$D,3,0),$E1723&lt;=VLOOKUP($D1723,Merchantability!$B:$E,4,0)),AA1723,0)</f>
        <v>#N/A</v>
      </c>
      <c r="AG1723" s="104" t="e">
        <f>IF(AND(VLOOKUP($D1723,Merchantability!$B:$C,2,0)="Yes",$E1723&gt;=VLOOKUP($D1723,Merchantability!$B:$D,3,0),$E1723&lt;=VLOOKUP($D1723,Merchantability!$B:$E,4,0)),AB1723,0)</f>
        <v>#N/A</v>
      </c>
      <c r="AH1723" s="104" t="e">
        <f>IF(AND(VLOOKUP($D1723,Merchantability!$B:$C,2,0)="Yes",$E1723&gt;=VLOOKUP($D1723,Merchantability!$B:$D,3,0),$E1723&lt;=VLOOKUP($D1723,Merchantability!$B:$E,4,0)),AC1723,0)</f>
        <v>#N/A</v>
      </c>
      <c r="AI1723" s="104" t="e">
        <f t="shared" si="762"/>
        <v>#N/A</v>
      </c>
      <c r="AJ1723" s="104" t="e">
        <f t="shared" si="763"/>
        <v>#VALUE!</v>
      </c>
      <c r="AK1723" s="104" t="e">
        <f t="shared" si="764"/>
        <v>#N/A</v>
      </c>
      <c r="AL1723" s="104" t="e">
        <f t="shared" si="765"/>
        <v>#N/A</v>
      </c>
      <c r="AM1723" s="104" t="e">
        <f t="shared" si="766"/>
        <v>#N/A</v>
      </c>
      <c r="AN1723" s="104" t="e">
        <f t="shared" si="750"/>
        <v>#N/A</v>
      </c>
      <c r="AO1723" s="104" t="e">
        <f t="shared" si="751"/>
        <v>#N/A</v>
      </c>
      <c r="AP1723" s="104" t="e">
        <f t="shared" si="752"/>
        <v>#N/A</v>
      </c>
      <c r="AQ1723" s="104" t="e">
        <f t="shared" si="753"/>
        <v>#N/A</v>
      </c>
      <c r="AR1723" s="105" t="str">
        <f t="shared" si="745"/>
        <v/>
      </c>
      <c r="AS1723" s="105" t="str">
        <f t="shared" si="746"/>
        <v/>
      </c>
      <c r="AT1723" s="108" t="str">
        <f t="shared" si="747"/>
        <v/>
      </c>
      <c r="AU1723" s="108" t="str">
        <f t="shared" si="748"/>
        <v/>
      </c>
      <c r="AV1723" s="107" t="str">
        <f>IF(ISNUMBER(O1723),IF(VLOOKUP($A1723,Stand!C:J,8,FALSE)="Short",AT1723,AU1723),"")</f>
        <v/>
      </c>
      <c r="AW1723" s="109" t="str">
        <f t="shared" si="754"/>
        <v/>
      </c>
      <c r="AX1723" s="109" t="str">
        <f t="shared" si="755"/>
        <v/>
      </c>
      <c r="AY1723" s="112" t="str">
        <f>IF(ISNUMBER(O1723),IF(AND(VLOOKUP($D1723,Merchantability!$B:$C,2,0)="Yes",$E1723&gt;=VLOOKUP($D1723,Merchantability!$B:$D,3,0),$E1723&lt;=VLOOKUP($D1723,Merchantability!$B:$E,4,0)),(AV1723*O1723)*(1-$H1723/100),""),"")</f>
        <v/>
      </c>
      <c r="AZ1723" s="116"/>
      <c r="BA1723" s="116"/>
      <c r="BB1723" s="116"/>
      <c r="BE1723" s="62"/>
      <c r="BF1723" s="63"/>
    </row>
    <row r="1724" spans="1:58" ht="12.75" customHeight="1" x14ac:dyDescent="0.25">
      <c r="A1724" s="334"/>
      <c r="B1724" s="334"/>
      <c r="C1724" s="332"/>
      <c r="D1724" s="334"/>
      <c r="E1724" s="335"/>
      <c r="F1724" s="334"/>
      <c r="G1724" s="332"/>
      <c r="H1724" s="332"/>
      <c r="I1724" s="334"/>
      <c r="J1724" s="336"/>
      <c r="K1724" s="332"/>
      <c r="L1724" s="332"/>
      <c r="M1724" s="76"/>
      <c r="N1724" s="103" t="str">
        <f>IF(A1724="","",VLOOKUP(A1724,Stand!C:K,9,0))</f>
        <v/>
      </c>
      <c r="O1724" s="104" t="str">
        <f t="shared" si="740"/>
        <v/>
      </c>
      <c r="P1724" s="105" t="str">
        <f t="shared" si="741"/>
        <v/>
      </c>
      <c r="Q1724" s="105" t="str">
        <f t="shared" si="756"/>
        <v/>
      </c>
      <c r="R1724" s="103" t="str">
        <f t="shared" si="742"/>
        <v/>
      </c>
      <c r="S1724" s="103" t="str">
        <f t="shared" si="743"/>
        <v/>
      </c>
      <c r="T1724" s="106" t="str">
        <f t="shared" si="757"/>
        <v/>
      </c>
      <c r="U1724" s="106" t="str">
        <f t="shared" si="758"/>
        <v/>
      </c>
      <c r="V1724" s="106" t="str">
        <f t="shared" si="759"/>
        <v/>
      </c>
      <c r="W1724" s="105" t="str">
        <f t="shared" si="744"/>
        <v/>
      </c>
      <c r="X1724" s="104" t="str">
        <f t="shared" si="749"/>
        <v/>
      </c>
      <c r="Y1724" s="104" t="str">
        <f t="array" ref="Y1724">IFERROR(IF(ISNUMBER(O1724),IF(COUNT(IF(A1724=$A$2:$A$2427,IF(D1724=$D$2:$D$2427,IF($X$2:$X$2427&gt;0,1))))&gt;0,SUM(IF(A1724=$A$2:$A$2427,IF(D1724=$D$2:$D$2427,$X$2:$X$2427)))/COUNT(IF(A1724=$A$2:$A$2427,IF(D1724=$D$2:$D$2427,IF(ISNUMBER($X$2:$X$2427),1)))),0),""),0)</f>
        <v/>
      </c>
      <c r="Z1724" s="104" t="str">
        <f>IF(ISNUMBER(O1724),IF(I1724&gt;0,(10^(VLOOKUP(D1724,'Species Codes'!B:C,2,0)+VLOOKUP(D1724,'Species Codes'!B:D,3,0)*LOG(E1724)+VLOOKUP(D1724,'Species Codes'!B:E,4,0)*LOG(I1724))),0),"")</f>
        <v/>
      </c>
      <c r="AA1724" s="104" t="str">
        <f>IFERROR((VLOOKUP(D1724,'Species Codes'!B:G,6,0)*Z1724)/2000,"")</f>
        <v/>
      </c>
      <c r="AB1724" s="104" t="e">
        <f>IF(Z1724&gt;0,((IF(OR(D1724="DF",D1724="RA")=TRUE,EXP(VLOOKUP(D1724,'Species Codes'!B:I,8,0)+VLOOKUP(D1724,'Species Codes'!B:J,9,0)*(LN((E1724*2.54)))),IF(OR(D1724="PY",D1724="RC",D1724="WH",D1724="NF")=TRUE,VLOOKUP(D1724,'Species Codes'!B:I,8,0)+VLOOKUP(D1724,'Species Codes'!B:J,9,0)*((E1724*2.54)^2)*(I1724*0.3048),IF(OR(D1724="MD",D1724="BM",D1724="GA")=TRUE,((VLOOKUP(D1724,'Species Codes'!B:I,8,0)*(((((E1724*2.54)+VLOOKUP(D1724,'Species Codes'!B:J,9,0))/VLOOKUP(D1724,'Species Codes'!B:K,10,0))^VLOOKUP(D1724,'Species Codes'!B:L,11,0))*((I1724*0.3048)^VLOOKUP(D1724,'Species Codes'!B:M,12,0))))-(VLOOKUP(D1724,'Species Codes'!B:I,8,0)*((((E1724*2.54)^VLOOKUP(D1724,'Species Codes'!B:L,11,0))*((I1724*0.3048)^VLOOKUP(D1724,'Species Codes'!B:M,12,0))))))*35.3*VLOOKUP(D1724,'Species Codes'!B:G,6,0)/2.2046,VLOOKUP(D1724,'Species Codes'!B:I,8,0)+VLOOKUP(D1724,'Species Codes'!B:J,9,0)*(((E1724*2.54)/100)^2)*(I1724*0.3048)))))*0.0011023),0)</f>
        <v>#N/A</v>
      </c>
      <c r="AC1724" s="104" t="e">
        <f>IF(Z1724&gt;0,((IF(OR(D1724="RA",D1724="OA",D1724="OT",D1724="UN",D1724="PC"),EXP(VLOOKUP(D1724,'Species Codes'!B:O,14,0)+VLOOKUP(D1724,'Species Codes'!B:P,15,0)*LN((E1724*2.54)))-EXP(VLOOKUP(D1724,'Species Codes'!B:O,14,0)+VLOOKUP(D1724,'Species Codes'!B:P,15,0)*LN((E1724*2.54)))*(1/(VLOOKUP(D1724,'Species Codes'!B:Q,16,0)+VLOOKUP(D1724,'Species Codes'!B:R,17,0)*((E1724*2.54)^VLOOKUP(D1724,'Species Codes'!B:S,18,0)))),IF(OR(D1724="BM",D1724="MD",D1724="OA"),EXP(VLOOKUP(D1724,'Species Codes'!B:O,14,0)+VLOOKUP(D1724,'Species Codes'!B:P,15,0)*LN((E1724*2.54)))*(1-(1/(VLOOKUP(D1724,'Species Codes'!B:Q,16,0)+VLOOKUP(D1724,'Species Codes'!B:R,17,0)*((E1724*2.54)^VLOOKUP(D1724,'Species Codes'!B:S,18,0)))))/1000,IF(D1724="DF",EXP(VLOOKUP(D1724,'Species Codes'!B:O,14,0)+VLOOKUP(D1724,'Species Codes'!B:P,15,0)*LN((E1724*2.54))),VLOOKUP(D1724,'Species Codes'!B:O,14,0)+VLOOKUP(D1724,'Species Codes'!B:P,15,0)*(((E1724*2.54)/100)^2)*(I1724*0.3048)))))*0.0011023),0)</f>
        <v>#N/A</v>
      </c>
      <c r="AD1724" s="104" t="e">
        <f t="shared" si="760"/>
        <v>#N/A</v>
      </c>
      <c r="AE1724" s="104" t="e">
        <f t="shared" si="761"/>
        <v>#N/A</v>
      </c>
      <c r="AF1724" s="104" t="e">
        <f>IF(AND(VLOOKUP($D1724,Merchantability!$B:$C,2,0)="Yes",$E1724&gt;=VLOOKUP($D1724,Merchantability!$B:$D,3,0),$E1724&lt;=VLOOKUP($D1724,Merchantability!$B:$E,4,0)),AA1724,0)</f>
        <v>#N/A</v>
      </c>
      <c r="AG1724" s="104" t="e">
        <f>IF(AND(VLOOKUP($D1724,Merchantability!$B:$C,2,0)="Yes",$E1724&gt;=VLOOKUP($D1724,Merchantability!$B:$D,3,0),$E1724&lt;=VLOOKUP($D1724,Merchantability!$B:$E,4,0)),AB1724,0)</f>
        <v>#N/A</v>
      </c>
      <c r="AH1724" s="104" t="e">
        <f>IF(AND(VLOOKUP($D1724,Merchantability!$B:$C,2,0)="Yes",$E1724&gt;=VLOOKUP($D1724,Merchantability!$B:$D,3,0),$E1724&lt;=VLOOKUP($D1724,Merchantability!$B:$E,4,0)),AC1724,0)</f>
        <v>#N/A</v>
      </c>
      <c r="AI1724" s="104" t="e">
        <f t="shared" si="762"/>
        <v>#N/A</v>
      </c>
      <c r="AJ1724" s="104" t="e">
        <f t="shared" si="763"/>
        <v>#VALUE!</v>
      </c>
      <c r="AK1724" s="104" t="e">
        <f t="shared" si="764"/>
        <v>#N/A</v>
      </c>
      <c r="AL1724" s="104" t="e">
        <f t="shared" si="765"/>
        <v>#N/A</v>
      </c>
      <c r="AM1724" s="104" t="e">
        <f t="shared" si="766"/>
        <v>#N/A</v>
      </c>
      <c r="AN1724" s="104" t="e">
        <f t="shared" si="750"/>
        <v>#N/A</v>
      </c>
      <c r="AO1724" s="104" t="e">
        <f t="shared" si="751"/>
        <v>#N/A</v>
      </c>
      <c r="AP1724" s="104" t="e">
        <f t="shared" si="752"/>
        <v>#N/A</v>
      </c>
      <c r="AQ1724" s="104" t="e">
        <f t="shared" si="753"/>
        <v>#N/A</v>
      </c>
      <c r="AR1724" s="105" t="str">
        <f t="shared" si="745"/>
        <v/>
      </c>
      <c r="AS1724" s="105" t="str">
        <f t="shared" si="746"/>
        <v/>
      </c>
      <c r="AT1724" s="108" t="str">
        <f t="shared" si="747"/>
        <v/>
      </c>
      <c r="AU1724" s="108" t="str">
        <f t="shared" si="748"/>
        <v/>
      </c>
      <c r="AV1724" s="107" t="str">
        <f>IF(ISNUMBER(O1724),IF(VLOOKUP($A1724,Stand!C:J,8,FALSE)="Short",AT1724,AU1724),"")</f>
        <v/>
      </c>
      <c r="AW1724" s="109" t="str">
        <f t="shared" si="754"/>
        <v/>
      </c>
      <c r="AX1724" s="109" t="str">
        <f t="shared" si="755"/>
        <v/>
      </c>
      <c r="AY1724" s="112" t="str">
        <f>IF(ISNUMBER(O1724),IF(AND(VLOOKUP($D1724,Merchantability!$B:$C,2,0)="Yes",$E1724&gt;=VLOOKUP($D1724,Merchantability!$B:$D,3,0),$E1724&lt;=VLOOKUP($D1724,Merchantability!$B:$E,4,0)),(AV1724*O1724)*(1-$H1724/100),""),"")</f>
        <v/>
      </c>
      <c r="AZ1724" s="116"/>
      <c r="BA1724" s="116"/>
      <c r="BB1724" s="116"/>
      <c r="BE1724" s="62"/>
      <c r="BF1724" s="63"/>
    </row>
    <row r="1725" spans="1:58" ht="12.75" customHeight="1" x14ac:dyDescent="0.25">
      <c r="A1725" s="334"/>
      <c r="B1725" s="334"/>
      <c r="C1725" s="332"/>
      <c r="D1725" s="334"/>
      <c r="E1725" s="335"/>
      <c r="F1725" s="334"/>
      <c r="G1725" s="332"/>
      <c r="H1725" s="332"/>
      <c r="I1725" s="334"/>
      <c r="J1725" s="336"/>
      <c r="K1725" s="332"/>
      <c r="L1725" s="332"/>
      <c r="M1725" s="76"/>
      <c r="N1725" s="103" t="str">
        <f>IF(A1725="","",VLOOKUP(A1725,Stand!C:K,9,0))</f>
        <v/>
      </c>
      <c r="O1725" s="104" t="str">
        <f t="shared" si="740"/>
        <v/>
      </c>
      <c r="P1725" s="105" t="str">
        <f t="shared" si="741"/>
        <v/>
      </c>
      <c r="Q1725" s="105" t="str">
        <f t="shared" si="756"/>
        <v/>
      </c>
      <c r="R1725" s="103" t="str">
        <f t="shared" si="742"/>
        <v/>
      </c>
      <c r="S1725" s="103" t="str">
        <f t="shared" si="743"/>
        <v/>
      </c>
      <c r="T1725" s="106" t="str">
        <f t="shared" si="757"/>
        <v/>
      </c>
      <c r="U1725" s="106" t="str">
        <f t="shared" si="758"/>
        <v/>
      </c>
      <c r="V1725" s="106" t="str">
        <f t="shared" si="759"/>
        <v/>
      </c>
      <c r="W1725" s="105" t="str">
        <f t="shared" si="744"/>
        <v/>
      </c>
      <c r="X1725" s="104" t="str">
        <f t="shared" si="749"/>
        <v/>
      </c>
      <c r="Y1725" s="104" t="str">
        <f t="array" ref="Y1725">IFERROR(IF(ISNUMBER(O1725),IF(COUNT(IF(A1725=$A$2:$A$2427,IF(D1725=$D$2:$D$2427,IF($X$2:$X$2427&gt;0,1))))&gt;0,SUM(IF(A1725=$A$2:$A$2427,IF(D1725=$D$2:$D$2427,$X$2:$X$2427)))/COUNT(IF(A1725=$A$2:$A$2427,IF(D1725=$D$2:$D$2427,IF(ISNUMBER($X$2:$X$2427),1)))),0),""),0)</f>
        <v/>
      </c>
      <c r="Z1725" s="104" t="str">
        <f>IF(ISNUMBER(O1725),IF(I1725&gt;0,(10^(VLOOKUP(D1725,'Species Codes'!B:C,2,0)+VLOOKUP(D1725,'Species Codes'!B:D,3,0)*LOG(E1725)+VLOOKUP(D1725,'Species Codes'!B:E,4,0)*LOG(I1725))),0),"")</f>
        <v/>
      </c>
      <c r="AA1725" s="104" t="str">
        <f>IFERROR((VLOOKUP(D1725,'Species Codes'!B:G,6,0)*Z1725)/2000,"")</f>
        <v/>
      </c>
      <c r="AB1725" s="104" t="e">
        <f>IF(Z1725&gt;0,((IF(OR(D1725="DF",D1725="RA")=TRUE,EXP(VLOOKUP(D1725,'Species Codes'!B:I,8,0)+VLOOKUP(D1725,'Species Codes'!B:J,9,0)*(LN((E1725*2.54)))),IF(OR(D1725="PY",D1725="RC",D1725="WH",D1725="NF")=TRUE,VLOOKUP(D1725,'Species Codes'!B:I,8,0)+VLOOKUP(D1725,'Species Codes'!B:J,9,0)*((E1725*2.54)^2)*(I1725*0.3048),IF(OR(D1725="MD",D1725="BM",D1725="GA")=TRUE,((VLOOKUP(D1725,'Species Codes'!B:I,8,0)*(((((E1725*2.54)+VLOOKUP(D1725,'Species Codes'!B:J,9,0))/VLOOKUP(D1725,'Species Codes'!B:K,10,0))^VLOOKUP(D1725,'Species Codes'!B:L,11,0))*((I1725*0.3048)^VLOOKUP(D1725,'Species Codes'!B:M,12,0))))-(VLOOKUP(D1725,'Species Codes'!B:I,8,0)*((((E1725*2.54)^VLOOKUP(D1725,'Species Codes'!B:L,11,0))*((I1725*0.3048)^VLOOKUP(D1725,'Species Codes'!B:M,12,0))))))*35.3*VLOOKUP(D1725,'Species Codes'!B:G,6,0)/2.2046,VLOOKUP(D1725,'Species Codes'!B:I,8,0)+VLOOKUP(D1725,'Species Codes'!B:J,9,0)*(((E1725*2.54)/100)^2)*(I1725*0.3048)))))*0.0011023),0)</f>
        <v>#N/A</v>
      </c>
      <c r="AC1725" s="104" t="e">
        <f>IF(Z1725&gt;0,((IF(OR(D1725="RA",D1725="OA",D1725="OT",D1725="UN",D1725="PC"),EXP(VLOOKUP(D1725,'Species Codes'!B:O,14,0)+VLOOKUP(D1725,'Species Codes'!B:P,15,0)*LN((E1725*2.54)))-EXP(VLOOKUP(D1725,'Species Codes'!B:O,14,0)+VLOOKUP(D1725,'Species Codes'!B:P,15,0)*LN((E1725*2.54)))*(1/(VLOOKUP(D1725,'Species Codes'!B:Q,16,0)+VLOOKUP(D1725,'Species Codes'!B:R,17,0)*((E1725*2.54)^VLOOKUP(D1725,'Species Codes'!B:S,18,0)))),IF(OR(D1725="BM",D1725="MD",D1725="OA"),EXP(VLOOKUP(D1725,'Species Codes'!B:O,14,0)+VLOOKUP(D1725,'Species Codes'!B:P,15,0)*LN((E1725*2.54)))*(1-(1/(VLOOKUP(D1725,'Species Codes'!B:Q,16,0)+VLOOKUP(D1725,'Species Codes'!B:R,17,0)*((E1725*2.54)^VLOOKUP(D1725,'Species Codes'!B:S,18,0)))))/1000,IF(D1725="DF",EXP(VLOOKUP(D1725,'Species Codes'!B:O,14,0)+VLOOKUP(D1725,'Species Codes'!B:P,15,0)*LN((E1725*2.54))),VLOOKUP(D1725,'Species Codes'!B:O,14,0)+VLOOKUP(D1725,'Species Codes'!B:P,15,0)*(((E1725*2.54)/100)^2)*(I1725*0.3048)))))*0.0011023),0)</f>
        <v>#N/A</v>
      </c>
      <c r="AD1725" s="104" t="e">
        <f t="shared" si="760"/>
        <v>#N/A</v>
      </c>
      <c r="AE1725" s="104" t="e">
        <f t="shared" si="761"/>
        <v>#N/A</v>
      </c>
      <c r="AF1725" s="104" t="e">
        <f>IF(AND(VLOOKUP($D1725,Merchantability!$B:$C,2,0)="Yes",$E1725&gt;=VLOOKUP($D1725,Merchantability!$B:$D,3,0),$E1725&lt;=VLOOKUP($D1725,Merchantability!$B:$E,4,0)),AA1725,0)</f>
        <v>#N/A</v>
      </c>
      <c r="AG1725" s="104" t="e">
        <f>IF(AND(VLOOKUP($D1725,Merchantability!$B:$C,2,0)="Yes",$E1725&gt;=VLOOKUP($D1725,Merchantability!$B:$D,3,0),$E1725&lt;=VLOOKUP($D1725,Merchantability!$B:$E,4,0)),AB1725,0)</f>
        <v>#N/A</v>
      </c>
      <c r="AH1725" s="104" t="e">
        <f>IF(AND(VLOOKUP($D1725,Merchantability!$B:$C,2,0)="Yes",$E1725&gt;=VLOOKUP($D1725,Merchantability!$B:$D,3,0),$E1725&lt;=VLOOKUP($D1725,Merchantability!$B:$E,4,0)),AC1725,0)</f>
        <v>#N/A</v>
      </c>
      <c r="AI1725" s="104" t="e">
        <f t="shared" si="762"/>
        <v>#N/A</v>
      </c>
      <c r="AJ1725" s="104" t="e">
        <f t="shared" si="763"/>
        <v>#VALUE!</v>
      </c>
      <c r="AK1725" s="104" t="e">
        <f t="shared" si="764"/>
        <v>#N/A</v>
      </c>
      <c r="AL1725" s="104" t="e">
        <f t="shared" si="765"/>
        <v>#N/A</v>
      </c>
      <c r="AM1725" s="104" t="e">
        <f t="shared" si="766"/>
        <v>#N/A</v>
      </c>
      <c r="AN1725" s="104" t="e">
        <f t="shared" si="750"/>
        <v>#N/A</v>
      </c>
      <c r="AO1725" s="104" t="e">
        <f t="shared" si="751"/>
        <v>#N/A</v>
      </c>
      <c r="AP1725" s="104" t="e">
        <f t="shared" si="752"/>
        <v>#N/A</v>
      </c>
      <c r="AQ1725" s="104" t="e">
        <f t="shared" si="753"/>
        <v>#N/A</v>
      </c>
      <c r="AR1725" s="105" t="str">
        <f t="shared" si="745"/>
        <v/>
      </c>
      <c r="AS1725" s="105" t="str">
        <f t="shared" si="746"/>
        <v/>
      </c>
      <c r="AT1725" s="108" t="str">
        <f t="shared" si="747"/>
        <v/>
      </c>
      <c r="AU1725" s="108" t="str">
        <f t="shared" si="748"/>
        <v/>
      </c>
      <c r="AV1725" s="107" t="str">
        <f>IF(ISNUMBER(O1725),IF(VLOOKUP($A1725,Stand!C:J,8,FALSE)="Short",AT1725,AU1725),"")</f>
        <v/>
      </c>
      <c r="AW1725" s="109" t="str">
        <f t="shared" si="754"/>
        <v/>
      </c>
      <c r="AX1725" s="109" t="str">
        <f t="shared" si="755"/>
        <v/>
      </c>
      <c r="AY1725" s="112" t="str">
        <f>IF(ISNUMBER(O1725),IF(AND(VLOOKUP($D1725,Merchantability!$B:$C,2,0)="Yes",$E1725&gt;=VLOOKUP($D1725,Merchantability!$B:$D,3,0),$E1725&lt;=VLOOKUP($D1725,Merchantability!$B:$E,4,0)),(AV1725*O1725)*(1-$H1725/100),""),"")</f>
        <v/>
      </c>
      <c r="AZ1725" s="116"/>
      <c r="BA1725" s="116"/>
      <c r="BB1725" s="116"/>
      <c r="BE1725" s="62"/>
      <c r="BF1725" s="63"/>
    </row>
    <row r="1726" spans="1:58" ht="12.75" customHeight="1" x14ac:dyDescent="0.25">
      <c r="A1726" s="334"/>
      <c r="B1726" s="334"/>
      <c r="C1726" s="332"/>
      <c r="D1726" s="334"/>
      <c r="E1726" s="335"/>
      <c r="F1726" s="334"/>
      <c r="G1726" s="332"/>
      <c r="H1726" s="332"/>
      <c r="I1726" s="334"/>
      <c r="J1726" s="336"/>
      <c r="K1726" s="332"/>
      <c r="L1726" s="332"/>
      <c r="M1726" s="76"/>
      <c r="N1726" s="103" t="str">
        <f>IF(A1726="","",VLOOKUP(A1726,Stand!C:K,9,0))</f>
        <v/>
      </c>
      <c r="O1726" s="104" t="str">
        <f t="shared" si="740"/>
        <v/>
      </c>
      <c r="P1726" s="105" t="str">
        <f t="shared" si="741"/>
        <v/>
      </c>
      <c r="Q1726" s="105" t="str">
        <f t="shared" si="756"/>
        <v/>
      </c>
      <c r="R1726" s="103" t="str">
        <f t="shared" si="742"/>
        <v/>
      </c>
      <c r="S1726" s="103" t="str">
        <f t="shared" si="743"/>
        <v/>
      </c>
      <c r="T1726" s="106" t="str">
        <f t="shared" si="757"/>
        <v/>
      </c>
      <c r="U1726" s="106" t="str">
        <f t="shared" si="758"/>
        <v/>
      </c>
      <c r="V1726" s="106" t="str">
        <f t="shared" si="759"/>
        <v/>
      </c>
      <c r="W1726" s="105" t="str">
        <f t="shared" si="744"/>
        <v/>
      </c>
      <c r="X1726" s="104" t="str">
        <f t="shared" si="749"/>
        <v/>
      </c>
      <c r="Y1726" s="104" t="str">
        <f t="array" ref="Y1726">IFERROR(IF(ISNUMBER(O1726),IF(COUNT(IF(A1726=$A$2:$A$2427,IF(D1726=$D$2:$D$2427,IF($X$2:$X$2427&gt;0,1))))&gt;0,SUM(IF(A1726=$A$2:$A$2427,IF(D1726=$D$2:$D$2427,$X$2:$X$2427)))/COUNT(IF(A1726=$A$2:$A$2427,IF(D1726=$D$2:$D$2427,IF(ISNUMBER($X$2:$X$2427),1)))),0),""),0)</f>
        <v/>
      </c>
      <c r="Z1726" s="104" t="str">
        <f>IF(ISNUMBER(O1726),IF(I1726&gt;0,(10^(VLOOKUP(D1726,'Species Codes'!B:C,2,0)+VLOOKUP(D1726,'Species Codes'!B:D,3,0)*LOG(E1726)+VLOOKUP(D1726,'Species Codes'!B:E,4,0)*LOG(I1726))),0),"")</f>
        <v/>
      </c>
      <c r="AA1726" s="104" t="str">
        <f>IFERROR((VLOOKUP(D1726,'Species Codes'!B:G,6,0)*Z1726)/2000,"")</f>
        <v/>
      </c>
      <c r="AB1726" s="104" t="e">
        <f>IF(Z1726&gt;0,((IF(OR(D1726="DF",D1726="RA")=TRUE,EXP(VLOOKUP(D1726,'Species Codes'!B:I,8,0)+VLOOKUP(D1726,'Species Codes'!B:J,9,0)*(LN((E1726*2.54)))),IF(OR(D1726="PY",D1726="RC",D1726="WH",D1726="NF")=TRUE,VLOOKUP(D1726,'Species Codes'!B:I,8,0)+VLOOKUP(D1726,'Species Codes'!B:J,9,0)*((E1726*2.54)^2)*(I1726*0.3048),IF(OR(D1726="MD",D1726="BM",D1726="GA")=TRUE,((VLOOKUP(D1726,'Species Codes'!B:I,8,0)*(((((E1726*2.54)+VLOOKUP(D1726,'Species Codes'!B:J,9,0))/VLOOKUP(D1726,'Species Codes'!B:K,10,0))^VLOOKUP(D1726,'Species Codes'!B:L,11,0))*((I1726*0.3048)^VLOOKUP(D1726,'Species Codes'!B:M,12,0))))-(VLOOKUP(D1726,'Species Codes'!B:I,8,0)*((((E1726*2.54)^VLOOKUP(D1726,'Species Codes'!B:L,11,0))*((I1726*0.3048)^VLOOKUP(D1726,'Species Codes'!B:M,12,0))))))*35.3*VLOOKUP(D1726,'Species Codes'!B:G,6,0)/2.2046,VLOOKUP(D1726,'Species Codes'!B:I,8,0)+VLOOKUP(D1726,'Species Codes'!B:J,9,0)*(((E1726*2.54)/100)^2)*(I1726*0.3048)))))*0.0011023),0)</f>
        <v>#N/A</v>
      </c>
      <c r="AC1726" s="104" t="e">
        <f>IF(Z1726&gt;0,((IF(OR(D1726="RA",D1726="OA",D1726="OT",D1726="UN",D1726="PC"),EXP(VLOOKUP(D1726,'Species Codes'!B:O,14,0)+VLOOKUP(D1726,'Species Codes'!B:P,15,0)*LN((E1726*2.54)))-EXP(VLOOKUP(D1726,'Species Codes'!B:O,14,0)+VLOOKUP(D1726,'Species Codes'!B:P,15,0)*LN((E1726*2.54)))*(1/(VLOOKUP(D1726,'Species Codes'!B:Q,16,0)+VLOOKUP(D1726,'Species Codes'!B:R,17,0)*((E1726*2.54)^VLOOKUP(D1726,'Species Codes'!B:S,18,0)))),IF(OR(D1726="BM",D1726="MD",D1726="OA"),EXP(VLOOKUP(D1726,'Species Codes'!B:O,14,0)+VLOOKUP(D1726,'Species Codes'!B:P,15,0)*LN((E1726*2.54)))*(1-(1/(VLOOKUP(D1726,'Species Codes'!B:Q,16,0)+VLOOKUP(D1726,'Species Codes'!B:R,17,0)*((E1726*2.54)^VLOOKUP(D1726,'Species Codes'!B:S,18,0)))))/1000,IF(D1726="DF",EXP(VLOOKUP(D1726,'Species Codes'!B:O,14,0)+VLOOKUP(D1726,'Species Codes'!B:P,15,0)*LN((E1726*2.54))),VLOOKUP(D1726,'Species Codes'!B:O,14,0)+VLOOKUP(D1726,'Species Codes'!B:P,15,0)*(((E1726*2.54)/100)^2)*(I1726*0.3048)))))*0.0011023),0)</f>
        <v>#N/A</v>
      </c>
      <c r="AD1726" s="104" t="e">
        <f t="shared" si="760"/>
        <v>#N/A</v>
      </c>
      <c r="AE1726" s="104" t="e">
        <f t="shared" si="761"/>
        <v>#N/A</v>
      </c>
      <c r="AF1726" s="104" t="e">
        <f>IF(AND(VLOOKUP($D1726,Merchantability!$B:$C,2,0)="Yes",$E1726&gt;=VLOOKUP($D1726,Merchantability!$B:$D,3,0),$E1726&lt;=VLOOKUP($D1726,Merchantability!$B:$E,4,0)),AA1726,0)</f>
        <v>#N/A</v>
      </c>
      <c r="AG1726" s="104" t="e">
        <f>IF(AND(VLOOKUP($D1726,Merchantability!$B:$C,2,0)="Yes",$E1726&gt;=VLOOKUP($D1726,Merchantability!$B:$D,3,0),$E1726&lt;=VLOOKUP($D1726,Merchantability!$B:$E,4,0)),AB1726,0)</f>
        <v>#N/A</v>
      </c>
      <c r="AH1726" s="104" t="e">
        <f>IF(AND(VLOOKUP($D1726,Merchantability!$B:$C,2,0)="Yes",$E1726&gt;=VLOOKUP($D1726,Merchantability!$B:$D,3,0),$E1726&lt;=VLOOKUP($D1726,Merchantability!$B:$E,4,0)),AC1726,0)</f>
        <v>#N/A</v>
      </c>
      <c r="AI1726" s="104" t="e">
        <f t="shared" si="762"/>
        <v>#N/A</v>
      </c>
      <c r="AJ1726" s="104" t="e">
        <f t="shared" si="763"/>
        <v>#VALUE!</v>
      </c>
      <c r="AK1726" s="104" t="e">
        <f t="shared" si="764"/>
        <v>#N/A</v>
      </c>
      <c r="AL1726" s="104" t="e">
        <f t="shared" si="765"/>
        <v>#N/A</v>
      </c>
      <c r="AM1726" s="104" t="e">
        <f t="shared" si="766"/>
        <v>#N/A</v>
      </c>
      <c r="AN1726" s="104" t="e">
        <f t="shared" si="750"/>
        <v>#N/A</v>
      </c>
      <c r="AO1726" s="104" t="e">
        <f t="shared" si="751"/>
        <v>#N/A</v>
      </c>
      <c r="AP1726" s="104" t="e">
        <f t="shared" si="752"/>
        <v>#N/A</v>
      </c>
      <c r="AQ1726" s="104" t="e">
        <f t="shared" si="753"/>
        <v>#N/A</v>
      </c>
      <c r="AR1726" s="105" t="str">
        <f t="shared" si="745"/>
        <v/>
      </c>
      <c r="AS1726" s="105" t="str">
        <f t="shared" si="746"/>
        <v/>
      </c>
      <c r="AT1726" s="108" t="str">
        <f t="shared" si="747"/>
        <v/>
      </c>
      <c r="AU1726" s="108" t="str">
        <f t="shared" si="748"/>
        <v/>
      </c>
      <c r="AV1726" s="107" t="str">
        <f>IF(ISNUMBER(O1726),IF(VLOOKUP($A1726,Stand!C:J,8,FALSE)="Short",AT1726,AU1726),"")</f>
        <v/>
      </c>
      <c r="AW1726" s="109" t="str">
        <f t="shared" si="754"/>
        <v/>
      </c>
      <c r="AX1726" s="109" t="str">
        <f t="shared" si="755"/>
        <v/>
      </c>
      <c r="AY1726" s="112" t="str">
        <f>IF(ISNUMBER(O1726),IF(AND(VLOOKUP($D1726,Merchantability!$B:$C,2,0)="Yes",$E1726&gt;=VLOOKUP($D1726,Merchantability!$B:$D,3,0),$E1726&lt;=VLOOKUP($D1726,Merchantability!$B:$E,4,0)),(AV1726*O1726)*(1-$H1726/100),""),"")</f>
        <v/>
      </c>
      <c r="AZ1726" s="116"/>
      <c r="BA1726" s="116"/>
      <c r="BB1726" s="116"/>
      <c r="BE1726" s="62"/>
      <c r="BF1726" s="63"/>
    </row>
    <row r="1727" spans="1:58" ht="12.75" customHeight="1" x14ac:dyDescent="0.25">
      <c r="A1727" s="334"/>
      <c r="B1727" s="334"/>
      <c r="C1727" s="332"/>
      <c r="D1727" s="334"/>
      <c r="E1727" s="335"/>
      <c r="F1727" s="334"/>
      <c r="G1727" s="332"/>
      <c r="H1727" s="332"/>
      <c r="I1727" s="334"/>
      <c r="J1727" s="336"/>
      <c r="K1727" s="332"/>
      <c r="L1727" s="332"/>
      <c r="M1727" s="76"/>
      <c r="N1727" s="103" t="str">
        <f>IF(A1727="","",VLOOKUP(A1727,Stand!C:K,9,0))</f>
        <v/>
      </c>
      <c r="O1727" s="104" t="str">
        <f t="shared" si="740"/>
        <v/>
      </c>
      <c r="P1727" s="105" t="str">
        <f t="shared" si="741"/>
        <v/>
      </c>
      <c r="Q1727" s="105" t="str">
        <f t="shared" si="756"/>
        <v/>
      </c>
      <c r="R1727" s="103" t="str">
        <f t="shared" si="742"/>
        <v/>
      </c>
      <c r="S1727" s="103" t="str">
        <f t="shared" si="743"/>
        <v/>
      </c>
      <c r="T1727" s="106" t="str">
        <f t="shared" si="757"/>
        <v/>
      </c>
      <c r="U1727" s="106" t="str">
        <f t="shared" si="758"/>
        <v/>
      </c>
      <c r="V1727" s="106" t="str">
        <f t="shared" si="759"/>
        <v/>
      </c>
      <c r="W1727" s="105" t="str">
        <f t="shared" si="744"/>
        <v/>
      </c>
      <c r="X1727" s="104" t="str">
        <f t="shared" si="749"/>
        <v/>
      </c>
      <c r="Y1727" s="104" t="str">
        <f t="array" ref="Y1727">IFERROR(IF(ISNUMBER(O1727),IF(COUNT(IF(A1727=$A$2:$A$2427,IF(D1727=$D$2:$D$2427,IF($X$2:$X$2427&gt;0,1))))&gt;0,SUM(IF(A1727=$A$2:$A$2427,IF(D1727=$D$2:$D$2427,$X$2:$X$2427)))/COUNT(IF(A1727=$A$2:$A$2427,IF(D1727=$D$2:$D$2427,IF(ISNUMBER($X$2:$X$2427),1)))),0),""),0)</f>
        <v/>
      </c>
      <c r="Z1727" s="104" t="str">
        <f>IF(ISNUMBER(O1727),IF(I1727&gt;0,(10^(VLOOKUP(D1727,'Species Codes'!B:C,2,0)+VLOOKUP(D1727,'Species Codes'!B:D,3,0)*LOG(E1727)+VLOOKUP(D1727,'Species Codes'!B:E,4,0)*LOG(I1727))),0),"")</f>
        <v/>
      </c>
      <c r="AA1727" s="104" t="str">
        <f>IFERROR((VLOOKUP(D1727,'Species Codes'!B:G,6,0)*Z1727)/2000,"")</f>
        <v/>
      </c>
      <c r="AB1727" s="104" t="e">
        <f>IF(Z1727&gt;0,((IF(OR(D1727="DF",D1727="RA")=TRUE,EXP(VLOOKUP(D1727,'Species Codes'!B:I,8,0)+VLOOKUP(D1727,'Species Codes'!B:J,9,0)*(LN((E1727*2.54)))),IF(OR(D1727="PY",D1727="RC",D1727="WH",D1727="NF")=TRUE,VLOOKUP(D1727,'Species Codes'!B:I,8,0)+VLOOKUP(D1727,'Species Codes'!B:J,9,0)*((E1727*2.54)^2)*(I1727*0.3048),IF(OR(D1727="MD",D1727="BM",D1727="GA")=TRUE,((VLOOKUP(D1727,'Species Codes'!B:I,8,0)*(((((E1727*2.54)+VLOOKUP(D1727,'Species Codes'!B:J,9,0))/VLOOKUP(D1727,'Species Codes'!B:K,10,0))^VLOOKUP(D1727,'Species Codes'!B:L,11,0))*((I1727*0.3048)^VLOOKUP(D1727,'Species Codes'!B:M,12,0))))-(VLOOKUP(D1727,'Species Codes'!B:I,8,0)*((((E1727*2.54)^VLOOKUP(D1727,'Species Codes'!B:L,11,0))*((I1727*0.3048)^VLOOKUP(D1727,'Species Codes'!B:M,12,0))))))*35.3*VLOOKUP(D1727,'Species Codes'!B:G,6,0)/2.2046,VLOOKUP(D1727,'Species Codes'!B:I,8,0)+VLOOKUP(D1727,'Species Codes'!B:J,9,0)*(((E1727*2.54)/100)^2)*(I1727*0.3048)))))*0.0011023),0)</f>
        <v>#N/A</v>
      </c>
      <c r="AC1727" s="104" t="e">
        <f>IF(Z1727&gt;0,((IF(OR(D1727="RA",D1727="OA",D1727="OT",D1727="UN",D1727="PC"),EXP(VLOOKUP(D1727,'Species Codes'!B:O,14,0)+VLOOKUP(D1727,'Species Codes'!B:P,15,0)*LN((E1727*2.54)))-EXP(VLOOKUP(D1727,'Species Codes'!B:O,14,0)+VLOOKUP(D1727,'Species Codes'!B:P,15,0)*LN((E1727*2.54)))*(1/(VLOOKUP(D1727,'Species Codes'!B:Q,16,0)+VLOOKUP(D1727,'Species Codes'!B:R,17,0)*((E1727*2.54)^VLOOKUP(D1727,'Species Codes'!B:S,18,0)))),IF(OR(D1727="BM",D1727="MD",D1727="OA"),EXP(VLOOKUP(D1727,'Species Codes'!B:O,14,0)+VLOOKUP(D1727,'Species Codes'!B:P,15,0)*LN((E1727*2.54)))*(1-(1/(VLOOKUP(D1727,'Species Codes'!B:Q,16,0)+VLOOKUP(D1727,'Species Codes'!B:R,17,0)*((E1727*2.54)^VLOOKUP(D1727,'Species Codes'!B:S,18,0)))))/1000,IF(D1727="DF",EXP(VLOOKUP(D1727,'Species Codes'!B:O,14,0)+VLOOKUP(D1727,'Species Codes'!B:P,15,0)*LN((E1727*2.54))),VLOOKUP(D1727,'Species Codes'!B:O,14,0)+VLOOKUP(D1727,'Species Codes'!B:P,15,0)*(((E1727*2.54)/100)^2)*(I1727*0.3048)))))*0.0011023),0)</f>
        <v>#N/A</v>
      </c>
      <c r="AD1727" s="104" t="e">
        <f t="shared" si="760"/>
        <v>#N/A</v>
      </c>
      <c r="AE1727" s="104" t="e">
        <f t="shared" si="761"/>
        <v>#N/A</v>
      </c>
      <c r="AF1727" s="104" t="e">
        <f>IF(AND(VLOOKUP($D1727,Merchantability!$B:$C,2,0)="Yes",$E1727&gt;=VLOOKUP($D1727,Merchantability!$B:$D,3,0),$E1727&lt;=VLOOKUP($D1727,Merchantability!$B:$E,4,0)),AA1727,0)</f>
        <v>#N/A</v>
      </c>
      <c r="AG1727" s="104" t="e">
        <f>IF(AND(VLOOKUP($D1727,Merchantability!$B:$C,2,0)="Yes",$E1727&gt;=VLOOKUP($D1727,Merchantability!$B:$D,3,0),$E1727&lt;=VLOOKUP($D1727,Merchantability!$B:$E,4,0)),AB1727,0)</f>
        <v>#N/A</v>
      </c>
      <c r="AH1727" s="104" t="e">
        <f>IF(AND(VLOOKUP($D1727,Merchantability!$B:$C,2,0)="Yes",$E1727&gt;=VLOOKUP($D1727,Merchantability!$B:$D,3,0),$E1727&lt;=VLOOKUP($D1727,Merchantability!$B:$E,4,0)),AC1727,0)</f>
        <v>#N/A</v>
      </c>
      <c r="AI1727" s="104" t="e">
        <f t="shared" si="762"/>
        <v>#N/A</v>
      </c>
      <c r="AJ1727" s="104" t="e">
        <f t="shared" si="763"/>
        <v>#VALUE!</v>
      </c>
      <c r="AK1727" s="104" t="e">
        <f t="shared" si="764"/>
        <v>#N/A</v>
      </c>
      <c r="AL1727" s="104" t="e">
        <f t="shared" si="765"/>
        <v>#N/A</v>
      </c>
      <c r="AM1727" s="104" t="e">
        <f t="shared" si="766"/>
        <v>#N/A</v>
      </c>
      <c r="AN1727" s="104" t="e">
        <f t="shared" si="750"/>
        <v>#N/A</v>
      </c>
      <c r="AO1727" s="104" t="e">
        <f t="shared" si="751"/>
        <v>#N/A</v>
      </c>
      <c r="AP1727" s="104" t="e">
        <f t="shared" si="752"/>
        <v>#N/A</v>
      </c>
      <c r="AQ1727" s="104" t="e">
        <f t="shared" si="753"/>
        <v>#N/A</v>
      </c>
      <c r="AR1727" s="105" t="str">
        <f t="shared" si="745"/>
        <v/>
      </c>
      <c r="AS1727" s="105" t="str">
        <f t="shared" si="746"/>
        <v/>
      </c>
      <c r="AT1727" s="108" t="str">
        <f t="shared" si="747"/>
        <v/>
      </c>
      <c r="AU1727" s="108" t="str">
        <f t="shared" si="748"/>
        <v/>
      </c>
      <c r="AV1727" s="107" t="str">
        <f>IF(ISNUMBER(O1727),IF(VLOOKUP($A1727,Stand!C:J,8,FALSE)="Short",AT1727,AU1727),"")</f>
        <v/>
      </c>
      <c r="AW1727" s="109" t="str">
        <f t="shared" si="754"/>
        <v/>
      </c>
      <c r="AX1727" s="109" t="str">
        <f t="shared" si="755"/>
        <v/>
      </c>
      <c r="AY1727" s="112" t="str">
        <f>IF(ISNUMBER(O1727),IF(AND(VLOOKUP($D1727,Merchantability!$B:$C,2,0)="Yes",$E1727&gt;=VLOOKUP($D1727,Merchantability!$B:$D,3,0),$E1727&lt;=VLOOKUP($D1727,Merchantability!$B:$E,4,0)),(AV1727*O1727)*(1-$H1727/100),""),"")</f>
        <v/>
      </c>
      <c r="AZ1727" s="116"/>
      <c r="BA1727" s="116"/>
      <c r="BB1727" s="116"/>
      <c r="BE1727" s="62"/>
      <c r="BF1727" s="63"/>
    </row>
    <row r="1728" spans="1:58" ht="12.75" customHeight="1" x14ac:dyDescent="0.25">
      <c r="A1728" s="334"/>
      <c r="B1728" s="334"/>
      <c r="C1728" s="332"/>
      <c r="D1728" s="334"/>
      <c r="E1728" s="335"/>
      <c r="F1728" s="334"/>
      <c r="G1728" s="332"/>
      <c r="H1728" s="332"/>
      <c r="I1728" s="334"/>
      <c r="J1728" s="336"/>
      <c r="K1728" s="332"/>
      <c r="L1728" s="332"/>
      <c r="M1728" s="76"/>
      <c r="N1728" s="103" t="str">
        <f>IF(A1728="","",VLOOKUP(A1728,Stand!C:K,9,0))</f>
        <v/>
      </c>
      <c r="O1728" s="104" t="str">
        <f t="shared" si="740"/>
        <v/>
      </c>
      <c r="P1728" s="105" t="str">
        <f t="shared" si="741"/>
        <v/>
      </c>
      <c r="Q1728" s="105" t="str">
        <f t="shared" si="756"/>
        <v/>
      </c>
      <c r="R1728" s="103" t="str">
        <f t="shared" si="742"/>
        <v/>
      </c>
      <c r="S1728" s="103" t="str">
        <f t="shared" si="743"/>
        <v/>
      </c>
      <c r="T1728" s="106" t="str">
        <f t="shared" si="757"/>
        <v/>
      </c>
      <c r="U1728" s="106" t="str">
        <f t="shared" si="758"/>
        <v/>
      </c>
      <c r="V1728" s="106" t="str">
        <f t="shared" si="759"/>
        <v/>
      </c>
      <c r="W1728" s="105" t="str">
        <f t="shared" si="744"/>
        <v/>
      </c>
      <c r="X1728" s="104" t="str">
        <f t="shared" si="749"/>
        <v/>
      </c>
      <c r="Y1728" s="104" t="str">
        <f t="array" ref="Y1728">IFERROR(IF(ISNUMBER(O1728),IF(COUNT(IF(A1728=$A$2:$A$2427,IF(D1728=$D$2:$D$2427,IF($X$2:$X$2427&gt;0,1))))&gt;0,SUM(IF(A1728=$A$2:$A$2427,IF(D1728=$D$2:$D$2427,$X$2:$X$2427)))/COUNT(IF(A1728=$A$2:$A$2427,IF(D1728=$D$2:$D$2427,IF(ISNUMBER($X$2:$X$2427),1)))),0),""),0)</f>
        <v/>
      </c>
      <c r="Z1728" s="104" t="str">
        <f>IF(ISNUMBER(O1728),IF(I1728&gt;0,(10^(VLOOKUP(D1728,'Species Codes'!B:C,2,0)+VLOOKUP(D1728,'Species Codes'!B:D,3,0)*LOG(E1728)+VLOOKUP(D1728,'Species Codes'!B:E,4,0)*LOG(I1728))),0),"")</f>
        <v/>
      </c>
      <c r="AA1728" s="104" t="str">
        <f>IFERROR((VLOOKUP(D1728,'Species Codes'!B:G,6,0)*Z1728)/2000,"")</f>
        <v/>
      </c>
      <c r="AB1728" s="104" t="e">
        <f>IF(Z1728&gt;0,((IF(OR(D1728="DF",D1728="RA")=TRUE,EXP(VLOOKUP(D1728,'Species Codes'!B:I,8,0)+VLOOKUP(D1728,'Species Codes'!B:J,9,0)*(LN((E1728*2.54)))),IF(OR(D1728="PY",D1728="RC",D1728="WH",D1728="NF")=TRUE,VLOOKUP(D1728,'Species Codes'!B:I,8,0)+VLOOKUP(D1728,'Species Codes'!B:J,9,0)*((E1728*2.54)^2)*(I1728*0.3048),IF(OR(D1728="MD",D1728="BM",D1728="GA")=TRUE,((VLOOKUP(D1728,'Species Codes'!B:I,8,0)*(((((E1728*2.54)+VLOOKUP(D1728,'Species Codes'!B:J,9,0))/VLOOKUP(D1728,'Species Codes'!B:K,10,0))^VLOOKUP(D1728,'Species Codes'!B:L,11,0))*((I1728*0.3048)^VLOOKUP(D1728,'Species Codes'!B:M,12,0))))-(VLOOKUP(D1728,'Species Codes'!B:I,8,0)*((((E1728*2.54)^VLOOKUP(D1728,'Species Codes'!B:L,11,0))*((I1728*0.3048)^VLOOKUP(D1728,'Species Codes'!B:M,12,0))))))*35.3*VLOOKUP(D1728,'Species Codes'!B:G,6,0)/2.2046,VLOOKUP(D1728,'Species Codes'!B:I,8,0)+VLOOKUP(D1728,'Species Codes'!B:J,9,0)*(((E1728*2.54)/100)^2)*(I1728*0.3048)))))*0.0011023),0)</f>
        <v>#N/A</v>
      </c>
      <c r="AC1728" s="104" t="e">
        <f>IF(Z1728&gt;0,((IF(OR(D1728="RA",D1728="OA",D1728="OT",D1728="UN",D1728="PC"),EXP(VLOOKUP(D1728,'Species Codes'!B:O,14,0)+VLOOKUP(D1728,'Species Codes'!B:P,15,0)*LN((E1728*2.54)))-EXP(VLOOKUP(D1728,'Species Codes'!B:O,14,0)+VLOOKUP(D1728,'Species Codes'!B:P,15,0)*LN((E1728*2.54)))*(1/(VLOOKUP(D1728,'Species Codes'!B:Q,16,0)+VLOOKUP(D1728,'Species Codes'!B:R,17,0)*((E1728*2.54)^VLOOKUP(D1728,'Species Codes'!B:S,18,0)))),IF(OR(D1728="BM",D1728="MD",D1728="OA"),EXP(VLOOKUP(D1728,'Species Codes'!B:O,14,0)+VLOOKUP(D1728,'Species Codes'!B:P,15,0)*LN((E1728*2.54)))*(1-(1/(VLOOKUP(D1728,'Species Codes'!B:Q,16,0)+VLOOKUP(D1728,'Species Codes'!B:R,17,0)*((E1728*2.54)^VLOOKUP(D1728,'Species Codes'!B:S,18,0)))))/1000,IF(D1728="DF",EXP(VLOOKUP(D1728,'Species Codes'!B:O,14,0)+VLOOKUP(D1728,'Species Codes'!B:P,15,0)*LN((E1728*2.54))),VLOOKUP(D1728,'Species Codes'!B:O,14,0)+VLOOKUP(D1728,'Species Codes'!B:P,15,0)*(((E1728*2.54)/100)^2)*(I1728*0.3048)))))*0.0011023),0)</f>
        <v>#N/A</v>
      </c>
      <c r="AD1728" s="104" t="e">
        <f t="shared" si="760"/>
        <v>#N/A</v>
      </c>
      <c r="AE1728" s="104" t="e">
        <f t="shared" si="761"/>
        <v>#N/A</v>
      </c>
      <c r="AF1728" s="104" t="e">
        <f>IF(AND(VLOOKUP($D1728,Merchantability!$B:$C,2,0)="Yes",$E1728&gt;=VLOOKUP($D1728,Merchantability!$B:$D,3,0),$E1728&lt;=VLOOKUP($D1728,Merchantability!$B:$E,4,0)),AA1728,0)</f>
        <v>#N/A</v>
      </c>
      <c r="AG1728" s="104" t="e">
        <f>IF(AND(VLOOKUP($D1728,Merchantability!$B:$C,2,0)="Yes",$E1728&gt;=VLOOKUP($D1728,Merchantability!$B:$D,3,0),$E1728&lt;=VLOOKUP($D1728,Merchantability!$B:$E,4,0)),AB1728,0)</f>
        <v>#N/A</v>
      </c>
      <c r="AH1728" s="104" t="e">
        <f>IF(AND(VLOOKUP($D1728,Merchantability!$B:$C,2,0)="Yes",$E1728&gt;=VLOOKUP($D1728,Merchantability!$B:$D,3,0),$E1728&lt;=VLOOKUP($D1728,Merchantability!$B:$E,4,0)),AC1728,0)</f>
        <v>#N/A</v>
      </c>
      <c r="AI1728" s="104" t="e">
        <f t="shared" si="762"/>
        <v>#N/A</v>
      </c>
      <c r="AJ1728" s="104" t="e">
        <f t="shared" si="763"/>
        <v>#VALUE!</v>
      </c>
      <c r="AK1728" s="104" t="e">
        <f t="shared" si="764"/>
        <v>#N/A</v>
      </c>
      <c r="AL1728" s="104" t="e">
        <f t="shared" si="765"/>
        <v>#N/A</v>
      </c>
      <c r="AM1728" s="104" t="e">
        <f t="shared" si="766"/>
        <v>#N/A</v>
      </c>
      <c r="AN1728" s="104" t="e">
        <f t="shared" si="750"/>
        <v>#N/A</v>
      </c>
      <c r="AO1728" s="104" t="e">
        <f t="shared" si="751"/>
        <v>#N/A</v>
      </c>
      <c r="AP1728" s="104" t="e">
        <f t="shared" si="752"/>
        <v>#N/A</v>
      </c>
      <c r="AQ1728" s="104" t="e">
        <f t="shared" si="753"/>
        <v>#N/A</v>
      </c>
      <c r="AR1728" s="105" t="str">
        <f t="shared" si="745"/>
        <v/>
      </c>
      <c r="AS1728" s="105" t="str">
        <f t="shared" si="746"/>
        <v/>
      </c>
      <c r="AT1728" s="108" t="str">
        <f t="shared" si="747"/>
        <v/>
      </c>
      <c r="AU1728" s="108" t="str">
        <f t="shared" si="748"/>
        <v/>
      </c>
      <c r="AV1728" s="107" t="str">
        <f>IF(ISNUMBER(O1728),IF(VLOOKUP($A1728,Stand!C:J,8,FALSE)="Short",AT1728,AU1728),"")</f>
        <v/>
      </c>
      <c r="AW1728" s="109" t="str">
        <f t="shared" si="754"/>
        <v/>
      </c>
      <c r="AX1728" s="109" t="str">
        <f t="shared" si="755"/>
        <v/>
      </c>
      <c r="AY1728" s="112" t="str">
        <f>IF(ISNUMBER(O1728),IF(AND(VLOOKUP($D1728,Merchantability!$B:$C,2,0)="Yes",$E1728&gt;=VLOOKUP($D1728,Merchantability!$B:$D,3,0),$E1728&lt;=VLOOKUP($D1728,Merchantability!$B:$E,4,0)),(AV1728*O1728)*(1-$H1728/100),""),"")</f>
        <v/>
      </c>
      <c r="AZ1728" s="116"/>
      <c r="BA1728" s="116"/>
      <c r="BB1728" s="116"/>
      <c r="BE1728" s="62"/>
      <c r="BF1728" s="63"/>
    </row>
    <row r="1729" spans="1:58" ht="12.75" customHeight="1" x14ac:dyDescent="0.25">
      <c r="A1729" s="334"/>
      <c r="B1729" s="334"/>
      <c r="C1729" s="332"/>
      <c r="D1729" s="334"/>
      <c r="E1729" s="335"/>
      <c r="F1729" s="334"/>
      <c r="G1729" s="332"/>
      <c r="H1729" s="332"/>
      <c r="I1729" s="334"/>
      <c r="J1729" s="336"/>
      <c r="K1729" s="332"/>
      <c r="L1729" s="332"/>
      <c r="M1729" s="76"/>
      <c r="N1729" s="103" t="str">
        <f>IF(A1729="","",VLOOKUP(A1729,Stand!C:K,9,0))</f>
        <v/>
      </c>
      <c r="O1729" s="104" t="str">
        <f t="shared" si="740"/>
        <v/>
      </c>
      <c r="P1729" s="105" t="str">
        <f t="shared" si="741"/>
        <v/>
      </c>
      <c r="Q1729" s="105" t="str">
        <f t="shared" si="756"/>
        <v/>
      </c>
      <c r="R1729" s="103" t="str">
        <f t="shared" si="742"/>
        <v/>
      </c>
      <c r="S1729" s="103" t="str">
        <f t="shared" si="743"/>
        <v/>
      </c>
      <c r="T1729" s="106" t="str">
        <f t="shared" si="757"/>
        <v/>
      </c>
      <c r="U1729" s="106" t="str">
        <f t="shared" si="758"/>
        <v/>
      </c>
      <c r="V1729" s="106" t="str">
        <f t="shared" si="759"/>
        <v/>
      </c>
      <c r="W1729" s="105" t="str">
        <f t="shared" si="744"/>
        <v/>
      </c>
      <c r="X1729" s="104" t="str">
        <f t="shared" si="749"/>
        <v/>
      </c>
      <c r="Y1729" s="104" t="str">
        <f t="array" ref="Y1729">IFERROR(IF(ISNUMBER(O1729),IF(COUNT(IF(A1729=$A$2:$A$2427,IF(D1729=$D$2:$D$2427,IF($X$2:$X$2427&gt;0,1))))&gt;0,SUM(IF(A1729=$A$2:$A$2427,IF(D1729=$D$2:$D$2427,$X$2:$X$2427)))/COUNT(IF(A1729=$A$2:$A$2427,IF(D1729=$D$2:$D$2427,IF(ISNUMBER($X$2:$X$2427),1)))),0),""),0)</f>
        <v/>
      </c>
      <c r="Z1729" s="104" t="str">
        <f>IF(ISNUMBER(O1729),IF(I1729&gt;0,(10^(VLOOKUP(D1729,'Species Codes'!B:C,2,0)+VLOOKUP(D1729,'Species Codes'!B:D,3,0)*LOG(E1729)+VLOOKUP(D1729,'Species Codes'!B:E,4,0)*LOG(I1729))),0),"")</f>
        <v/>
      </c>
      <c r="AA1729" s="104" t="str">
        <f>IFERROR((VLOOKUP(D1729,'Species Codes'!B:G,6,0)*Z1729)/2000,"")</f>
        <v/>
      </c>
      <c r="AB1729" s="104" t="e">
        <f>IF(Z1729&gt;0,((IF(OR(D1729="DF",D1729="RA")=TRUE,EXP(VLOOKUP(D1729,'Species Codes'!B:I,8,0)+VLOOKUP(D1729,'Species Codes'!B:J,9,0)*(LN((E1729*2.54)))),IF(OR(D1729="PY",D1729="RC",D1729="WH",D1729="NF")=TRUE,VLOOKUP(D1729,'Species Codes'!B:I,8,0)+VLOOKUP(D1729,'Species Codes'!B:J,9,0)*((E1729*2.54)^2)*(I1729*0.3048),IF(OR(D1729="MD",D1729="BM",D1729="GA")=TRUE,((VLOOKUP(D1729,'Species Codes'!B:I,8,0)*(((((E1729*2.54)+VLOOKUP(D1729,'Species Codes'!B:J,9,0))/VLOOKUP(D1729,'Species Codes'!B:K,10,0))^VLOOKUP(D1729,'Species Codes'!B:L,11,0))*((I1729*0.3048)^VLOOKUP(D1729,'Species Codes'!B:M,12,0))))-(VLOOKUP(D1729,'Species Codes'!B:I,8,0)*((((E1729*2.54)^VLOOKUP(D1729,'Species Codes'!B:L,11,0))*((I1729*0.3048)^VLOOKUP(D1729,'Species Codes'!B:M,12,0))))))*35.3*VLOOKUP(D1729,'Species Codes'!B:G,6,0)/2.2046,VLOOKUP(D1729,'Species Codes'!B:I,8,0)+VLOOKUP(D1729,'Species Codes'!B:J,9,0)*(((E1729*2.54)/100)^2)*(I1729*0.3048)))))*0.0011023),0)</f>
        <v>#N/A</v>
      </c>
      <c r="AC1729" s="104" t="e">
        <f>IF(Z1729&gt;0,((IF(OR(D1729="RA",D1729="OA",D1729="OT",D1729="UN",D1729="PC"),EXP(VLOOKUP(D1729,'Species Codes'!B:O,14,0)+VLOOKUP(D1729,'Species Codes'!B:P,15,0)*LN((E1729*2.54)))-EXP(VLOOKUP(D1729,'Species Codes'!B:O,14,0)+VLOOKUP(D1729,'Species Codes'!B:P,15,0)*LN((E1729*2.54)))*(1/(VLOOKUP(D1729,'Species Codes'!B:Q,16,0)+VLOOKUP(D1729,'Species Codes'!B:R,17,0)*((E1729*2.54)^VLOOKUP(D1729,'Species Codes'!B:S,18,0)))),IF(OR(D1729="BM",D1729="MD",D1729="OA"),EXP(VLOOKUP(D1729,'Species Codes'!B:O,14,0)+VLOOKUP(D1729,'Species Codes'!B:P,15,0)*LN((E1729*2.54)))*(1-(1/(VLOOKUP(D1729,'Species Codes'!B:Q,16,0)+VLOOKUP(D1729,'Species Codes'!B:R,17,0)*((E1729*2.54)^VLOOKUP(D1729,'Species Codes'!B:S,18,0)))))/1000,IF(D1729="DF",EXP(VLOOKUP(D1729,'Species Codes'!B:O,14,0)+VLOOKUP(D1729,'Species Codes'!B:P,15,0)*LN((E1729*2.54))),VLOOKUP(D1729,'Species Codes'!B:O,14,0)+VLOOKUP(D1729,'Species Codes'!B:P,15,0)*(((E1729*2.54)/100)^2)*(I1729*0.3048)))))*0.0011023),0)</f>
        <v>#N/A</v>
      </c>
      <c r="AD1729" s="104" t="e">
        <f t="shared" si="760"/>
        <v>#N/A</v>
      </c>
      <c r="AE1729" s="104" t="e">
        <f t="shared" si="761"/>
        <v>#N/A</v>
      </c>
      <c r="AF1729" s="104" t="e">
        <f>IF(AND(VLOOKUP($D1729,Merchantability!$B:$C,2,0)="Yes",$E1729&gt;=VLOOKUP($D1729,Merchantability!$B:$D,3,0),$E1729&lt;=VLOOKUP($D1729,Merchantability!$B:$E,4,0)),AA1729,0)</f>
        <v>#N/A</v>
      </c>
      <c r="AG1729" s="104" t="e">
        <f>IF(AND(VLOOKUP($D1729,Merchantability!$B:$C,2,0)="Yes",$E1729&gt;=VLOOKUP($D1729,Merchantability!$B:$D,3,0),$E1729&lt;=VLOOKUP($D1729,Merchantability!$B:$E,4,0)),AB1729,0)</f>
        <v>#N/A</v>
      </c>
      <c r="AH1729" s="104" t="e">
        <f>IF(AND(VLOOKUP($D1729,Merchantability!$B:$C,2,0)="Yes",$E1729&gt;=VLOOKUP($D1729,Merchantability!$B:$D,3,0),$E1729&lt;=VLOOKUP($D1729,Merchantability!$B:$E,4,0)),AC1729,0)</f>
        <v>#N/A</v>
      </c>
      <c r="AI1729" s="104" t="e">
        <f t="shared" si="762"/>
        <v>#N/A</v>
      </c>
      <c r="AJ1729" s="104" t="e">
        <f t="shared" si="763"/>
        <v>#VALUE!</v>
      </c>
      <c r="AK1729" s="104" t="e">
        <f t="shared" si="764"/>
        <v>#N/A</v>
      </c>
      <c r="AL1729" s="104" t="e">
        <f t="shared" si="765"/>
        <v>#N/A</v>
      </c>
      <c r="AM1729" s="104" t="e">
        <f t="shared" si="766"/>
        <v>#N/A</v>
      </c>
      <c r="AN1729" s="104" t="e">
        <f t="shared" si="750"/>
        <v>#N/A</v>
      </c>
      <c r="AO1729" s="104" t="e">
        <f t="shared" si="751"/>
        <v>#N/A</v>
      </c>
      <c r="AP1729" s="104" t="e">
        <f t="shared" si="752"/>
        <v>#N/A</v>
      </c>
      <c r="AQ1729" s="104" t="e">
        <f t="shared" si="753"/>
        <v>#N/A</v>
      </c>
      <c r="AR1729" s="105" t="str">
        <f t="shared" si="745"/>
        <v/>
      </c>
      <c r="AS1729" s="105" t="str">
        <f t="shared" si="746"/>
        <v/>
      </c>
      <c r="AT1729" s="108" t="str">
        <f t="shared" si="747"/>
        <v/>
      </c>
      <c r="AU1729" s="108" t="str">
        <f t="shared" si="748"/>
        <v/>
      </c>
      <c r="AV1729" s="107" t="str">
        <f>IF(ISNUMBER(O1729),IF(VLOOKUP($A1729,Stand!C:J,8,FALSE)="Short",AT1729,AU1729),"")</f>
        <v/>
      </c>
      <c r="AW1729" s="109" t="str">
        <f t="shared" si="754"/>
        <v/>
      </c>
      <c r="AX1729" s="109" t="str">
        <f t="shared" si="755"/>
        <v/>
      </c>
      <c r="AY1729" s="112" t="str">
        <f>IF(ISNUMBER(O1729),IF(AND(VLOOKUP($D1729,Merchantability!$B:$C,2,0)="Yes",$E1729&gt;=VLOOKUP($D1729,Merchantability!$B:$D,3,0),$E1729&lt;=VLOOKUP($D1729,Merchantability!$B:$E,4,0)),(AV1729*O1729)*(1-$H1729/100),""),"")</f>
        <v/>
      </c>
      <c r="AZ1729" s="116"/>
      <c r="BA1729" s="116"/>
      <c r="BB1729" s="116"/>
      <c r="BE1729" s="62"/>
      <c r="BF1729" s="63"/>
    </row>
    <row r="1730" spans="1:58" ht="12.75" customHeight="1" x14ac:dyDescent="0.25">
      <c r="A1730" s="334"/>
      <c r="B1730" s="334"/>
      <c r="C1730" s="332"/>
      <c r="D1730" s="334"/>
      <c r="E1730" s="335"/>
      <c r="F1730" s="334"/>
      <c r="G1730" s="332"/>
      <c r="H1730" s="332"/>
      <c r="I1730" s="334"/>
      <c r="J1730" s="336"/>
      <c r="K1730" s="332"/>
      <c r="L1730" s="332"/>
      <c r="M1730" s="76"/>
      <c r="N1730" s="103" t="str">
        <f>IF(A1730="","",VLOOKUP(A1730,Stand!C:K,9,0))</f>
        <v/>
      </c>
      <c r="O1730" s="104" t="str">
        <f t="shared" ref="O1730:O1793" si="767">IF(E1730&gt;0,IF(G1730&gt;1,G1730*(43560/(N1730^2*3.14)),43560/(N1730^2*3.14)),"")</f>
        <v/>
      </c>
      <c r="P1730" s="105" t="str">
        <f t="shared" ref="P1730:P1793" si="768">IF(ISNUMBER(O1730),E1730*O1730,"")</f>
        <v/>
      </c>
      <c r="Q1730" s="105" t="str">
        <f t="shared" si="756"/>
        <v/>
      </c>
      <c r="R1730" s="103" t="str">
        <f t="shared" ref="R1730:R1793" si="769">IF(ISNUMBER(O1730),E1730^2*0.005454*O1730,"")</f>
        <v/>
      </c>
      <c r="S1730" s="103" t="str">
        <f t="shared" ref="S1730:S1793" si="770">IF(ISNUMBER(O1730),(E1730/10)^1.7*O1730,"")</f>
        <v/>
      </c>
      <c r="T1730" s="106" t="str">
        <f t="shared" si="757"/>
        <v/>
      </c>
      <c r="U1730" s="106" t="str">
        <f t="shared" si="758"/>
        <v/>
      </c>
      <c r="V1730" s="106" t="str">
        <f t="shared" si="759"/>
        <v/>
      </c>
      <c r="W1730" s="105" t="str">
        <f t="shared" ref="W1730:W1793" si="771">IF(AND(ISNUMBER(O1730),I1730&gt;0),I1730/(E1730/12),"")</f>
        <v/>
      </c>
      <c r="X1730" s="104" t="str">
        <f t="shared" si="749"/>
        <v/>
      </c>
      <c r="Y1730" s="104" t="str">
        <f t="array" ref="Y1730">IFERROR(IF(ISNUMBER(O1730),IF(COUNT(IF(A1730=$A$2:$A$2427,IF(D1730=$D$2:$D$2427,IF($X$2:$X$2427&gt;0,1))))&gt;0,SUM(IF(A1730=$A$2:$A$2427,IF(D1730=$D$2:$D$2427,$X$2:$X$2427)))/COUNT(IF(A1730=$A$2:$A$2427,IF(D1730=$D$2:$D$2427,IF(ISNUMBER($X$2:$X$2427),1)))),0),""),0)</f>
        <v/>
      </c>
      <c r="Z1730" s="104" t="str">
        <f>IF(ISNUMBER(O1730),IF(I1730&gt;0,(10^(VLOOKUP(D1730,'Species Codes'!B:C,2,0)+VLOOKUP(D1730,'Species Codes'!B:D,3,0)*LOG(E1730)+VLOOKUP(D1730,'Species Codes'!B:E,4,0)*LOG(I1730))),0),"")</f>
        <v/>
      </c>
      <c r="AA1730" s="104" t="str">
        <f>IFERROR((VLOOKUP(D1730,'Species Codes'!B:G,6,0)*Z1730)/2000,"")</f>
        <v/>
      </c>
      <c r="AB1730" s="104" t="e">
        <f>IF(Z1730&gt;0,((IF(OR(D1730="DF",D1730="RA")=TRUE,EXP(VLOOKUP(D1730,'Species Codes'!B:I,8,0)+VLOOKUP(D1730,'Species Codes'!B:J,9,0)*(LN((E1730*2.54)))),IF(OR(D1730="PY",D1730="RC",D1730="WH",D1730="NF")=TRUE,VLOOKUP(D1730,'Species Codes'!B:I,8,0)+VLOOKUP(D1730,'Species Codes'!B:J,9,0)*((E1730*2.54)^2)*(I1730*0.3048),IF(OR(D1730="MD",D1730="BM",D1730="GA")=TRUE,((VLOOKUP(D1730,'Species Codes'!B:I,8,0)*(((((E1730*2.54)+VLOOKUP(D1730,'Species Codes'!B:J,9,0))/VLOOKUP(D1730,'Species Codes'!B:K,10,0))^VLOOKUP(D1730,'Species Codes'!B:L,11,0))*((I1730*0.3048)^VLOOKUP(D1730,'Species Codes'!B:M,12,0))))-(VLOOKUP(D1730,'Species Codes'!B:I,8,0)*((((E1730*2.54)^VLOOKUP(D1730,'Species Codes'!B:L,11,0))*((I1730*0.3048)^VLOOKUP(D1730,'Species Codes'!B:M,12,0))))))*35.3*VLOOKUP(D1730,'Species Codes'!B:G,6,0)/2.2046,VLOOKUP(D1730,'Species Codes'!B:I,8,0)+VLOOKUP(D1730,'Species Codes'!B:J,9,0)*(((E1730*2.54)/100)^2)*(I1730*0.3048)))))*0.0011023),0)</f>
        <v>#N/A</v>
      </c>
      <c r="AC1730" s="104" t="e">
        <f>IF(Z1730&gt;0,((IF(OR(D1730="RA",D1730="OA",D1730="OT",D1730="UN",D1730="PC"),EXP(VLOOKUP(D1730,'Species Codes'!B:O,14,0)+VLOOKUP(D1730,'Species Codes'!B:P,15,0)*LN((E1730*2.54)))-EXP(VLOOKUP(D1730,'Species Codes'!B:O,14,0)+VLOOKUP(D1730,'Species Codes'!B:P,15,0)*LN((E1730*2.54)))*(1/(VLOOKUP(D1730,'Species Codes'!B:Q,16,0)+VLOOKUP(D1730,'Species Codes'!B:R,17,0)*((E1730*2.54)^VLOOKUP(D1730,'Species Codes'!B:S,18,0)))),IF(OR(D1730="BM",D1730="MD",D1730="OA"),EXP(VLOOKUP(D1730,'Species Codes'!B:O,14,0)+VLOOKUP(D1730,'Species Codes'!B:P,15,0)*LN((E1730*2.54)))*(1-(1/(VLOOKUP(D1730,'Species Codes'!B:Q,16,0)+VLOOKUP(D1730,'Species Codes'!B:R,17,0)*((E1730*2.54)^VLOOKUP(D1730,'Species Codes'!B:S,18,0)))))/1000,IF(D1730="DF",EXP(VLOOKUP(D1730,'Species Codes'!B:O,14,0)+VLOOKUP(D1730,'Species Codes'!B:P,15,0)*LN((E1730*2.54))),VLOOKUP(D1730,'Species Codes'!B:O,14,0)+VLOOKUP(D1730,'Species Codes'!B:P,15,0)*(((E1730*2.54)/100)^2)*(I1730*0.3048)))))*0.0011023),0)</f>
        <v>#N/A</v>
      </c>
      <c r="AD1730" s="104" t="e">
        <f t="shared" si="760"/>
        <v>#N/A</v>
      </c>
      <c r="AE1730" s="104" t="e">
        <f t="shared" si="761"/>
        <v>#N/A</v>
      </c>
      <c r="AF1730" s="104" t="e">
        <f>IF(AND(VLOOKUP($D1730,Merchantability!$B:$C,2,0)="Yes",$E1730&gt;=VLOOKUP($D1730,Merchantability!$B:$D,3,0),$E1730&lt;=VLOOKUP($D1730,Merchantability!$B:$E,4,0)),AA1730,0)</f>
        <v>#N/A</v>
      </c>
      <c r="AG1730" s="104" t="e">
        <f>IF(AND(VLOOKUP($D1730,Merchantability!$B:$C,2,0)="Yes",$E1730&gt;=VLOOKUP($D1730,Merchantability!$B:$D,3,0),$E1730&lt;=VLOOKUP($D1730,Merchantability!$B:$E,4,0)),AB1730,0)</f>
        <v>#N/A</v>
      </c>
      <c r="AH1730" s="104" t="e">
        <f>IF(AND(VLOOKUP($D1730,Merchantability!$B:$C,2,0)="Yes",$E1730&gt;=VLOOKUP($D1730,Merchantability!$B:$D,3,0),$E1730&lt;=VLOOKUP($D1730,Merchantability!$B:$E,4,0)),AC1730,0)</f>
        <v>#N/A</v>
      </c>
      <c r="AI1730" s="104" t="e">
        <f t="shared" si="762"/>
        <v>#N/A</v>
      </c>
      <c r="AJ1730" s="104" t="e">
        <f t="shared" si="763"/>
        <v>#VALUE!</v>
      </c>
      <c r="AK1730" s="104" t="e">
        <f t="shared" si="764"/>
        <v>#N/A</v>
      </c>
      <c r="AL1730" s="104" t="e">
        <f t="shared" si="765"/>
        <v>#N/A</v>
      </c>
      <c r="AM1730" s="104" t="e">
        <f t="shared" si="766"/>
        <v>#N/A</v>
      </c>
      <c r="AN1730" s="104" t="e">
        <f t="shared" si="750"/>
        <v>#N/A</v>
      </c>
      <c r="AO1730" s="104" t="e">
        <f t="shared" si="751"/>
        <v>#N/A</v>
      </c>
      <c r="AP1730" s="104" t="e">
        <f t="shared" si="752"/>
        <v>#N/A</v>
      </c>
      <c r="AQ1730" s="104" t="e">
        <f t="shared" si="753"/>
        <v>#N/A</v>
      </c>
      <c r="AR1730" s="105" t="str">
        <f t="shared" ref="AR1730:AR1793" si="772">IF(ISNUMBER(O1730),IF(Y1730&gt;0,((Y1730*(E1730^2*0.005454-0.087266))/0.912733),0),"")</f>
        <v/>
      </c>
      <c r="AS1730" s="105" t="str">
        <f t="shared" ref="AS1730:AS1793" si="773">IF(ISNUMBER(O1730),AR1730*(0.993-0.993*(0.62^(E1730-6))),"")</f>
        <v/>
      </c>
      <c r="AT1730" s="108" t="str">
        <f t="shared" ref="AT1730:AT1793" si="774">IF(ISNUMBER(O1730),IF(AS1730&gt;0,IF(Y1730&gt;0,(AS1730*10^(0.174439+0.117594*(LOG(E1730,10))*(LOG(Y1730/0.912733,10))-8.210585/E1730^2+0.236693*(LOG(Y1730/0.912733,10))-0.00001345*(Y1730/0.912733)^2-0.00001937*E1730^2)),0),0),"")</f>
        <v/>
      </c>
      <c r="AU1730" s="108" t="str">
        <f t="shared" ref="AU1730:AU1793" si="775">IF(ISNUMBER(O1730),IF(AS1730&gt;0,IF(Y1730&gt;0,AT1730*(1.001491-(6.92497/Y1730)+(0.00001351*(E1730^2))),0),0),"")</f>
        <v/>
      </c>
      <c r="AV1730" s="107" t="str">
        <f>IF(ISNUMBER(O1730),IF(VLOOKUP($A1730,Stand!C:J,8,FALSE)="Short",AT1730,AU1730),"")</f>
        <v/>
      </c>
      <c r="AW1730" s="109" t="str">
        <f t="shared" si="754"/>
        <v/>
      </c>
      <c r="AX1730" s="109" t="str">
        <f t="shared" si="755"/>
        <v/>
      </c>
      <c r="AY1730" s="112" t="str">
        <f>IF(ISNUMBER(O1730),IF(AND(VLOOKUP($D1730,Merchantability!$B:$C,2,0)="Yes",$E1730&gt;=VLOOKUP($D1730,Merchantability!$B:$D,3,0),$E1730&lt;=VLOOKUP($D1730,Merchantability!$B:$E,4,0)),(AV1730*O1730)*(1-$H1730/100),""),"")</f>
        <v/>
      </c>
      <c r="AZ1730" s="116"/>
      <c r="BA1730" s="116"/>
      <c r="BB1730" s="116"/>
      <c r="BE1730" s="62"/>
      <c r="BF1730" s="63"/>
    </row>
    <row r="1731" spans="1:58" ht="12.75" customHeight="1" x14ac:dyDescent="0.25">
      <c r="A1731" s="334"/>
      <c r="B1731" s="334"/>
      <c r="C1731" s="332"/>
      <c r="D1731" s="334"/>
      <c r="E1731" s="335"/>
      <c r="F1731" s="334"/>
      <c r="G1731" s="332"/>
      <c r="H1731" s="332"/>
      <c r="I1731" s="334"/>
      <c r="J1731" s="336"/>
      <c r="K1731" s="332"/>
      <c r="L1731" s="332"/>
      <c r="M1731" s="76"/>
      <c r="N1731" s="103" t="str">
        <f>IF(A1731="","",VLOOKUP(A1731,Stand!C:K,9,0))</f>
        <v/>
      </c>
      <c r="O1731" s="104" t="str">
        <f t="shared" si="767"/>
        <v/>
      </c>
      <c r="P1731" s="105" t="str">
        <f t="shared" si="768"/>
        <v/>
      </c>
      <c r="Q1731" s="105" t="str">
        <f t="shared" si="756"/>
        <v/>
      </c>
      <c r="R1731" s="103" t="str">
        <f t="shared" si="769"/>
        <v/>
      </c>
      <c r="S1731" s="103" t="str">
        <f t="shared" si="770"/>
        <v/>
      </c>
      <c r="T1731" s="106" t="str">
        <f t="shared" si="757"/>
        <v/>
      </c>
      <c r="U1731" s="106" t="str">
        <f t="shared" si="758"/>
        <v/>
      </c>
      <c r="V1731" s="106" t="str">
        <f t="shared" si="759"/>
        <v/>
      </c>
      <c r="W1731" s="105" t="str">
        <f t="shared" si="771"/>
        <v/>
      </c>
      <c r="X1731" s="104" t="str">
        <f t="shared" ref="X1731:X1794" si="776">IF(ISNUMBER(O1731),IF(I1731&gt;0,IF(E1731&gt;0,(0.912733*Z1731)/(1.033*(1+1.382937*EXP(-4.015292*E1731/10))*((E1731^2)*0.005454+0.087266)-0.174533),""),""),"")</f>
        <v/>
      </c>
      <c r="Y1731" s="104" t="str">
        <f t="array" ref="Y1731">IFERROR(IF(ISNUMBER(O1731),IF(COUNT(IF(A1731=$A$2:$A$2427,IF(D1731=$D$2:$D$2427,IF($X$2:$X$2427&gt;0,1))))&gt;0,SUM(IF(A1731=$A$2:$A$2427,IF(D1731=$D$2:$D$2427,$X$2:$X$2427)))/COUNT(IF(A1731=$A$2:$A$2427,IF(D1731=$D$2:$D$2427,IF(ISNUMBER($X$2:$X$2427),1)))),0),""),0)</f>
        <v/>
      </c>
      <c r="Z1731" s="104" t="str">
        <f>IF(ISNUMBER(O1731),IF(I1731&gt;0,(10^(VLOOKUP(D1731,'Species Codes'!B:C,2,0)+VLOOKUP(D1731,'Species Codes'!B:D,3,0)*LOG(E1731)+VLOOKUP(D1731,'Species Codes'!B:E,4,0)*LOG(I1731))),0),"")</f>
        <v/>
      </c>
      <c r="AA1731" s="104" t="str">
        <f>IFERROR((VLOOKUP(D1731,'Species Codes'!B:G,6,0)*Z1731)/2000,"")</f>
        <v/>
      </c>
      <c r="AB1731" s="104" t="e">
        <f>IF(Z1731&gt;0,((IF(OR(D1731="DF",D1731="RA")=TRUE,EXP(VLOOKUP(D1731,'Species Codes'!B:I,8,0)+VLOOKUP(D1731,'Species Codes'!B:J,9,0)*(LN((E1731*2.54)))),IF(OR(D1731="PY",D1731="RC",D1731="WH",D1731="NF")=TRUE,VLOOKUP(D1731,'Species Codes'!B:I,8,0)+VLOOKUP(D1731,'Species Codes'!B:J,9,0)*((E1731*2.54)^2)*(I1731*0.3048),IF(OR(D1731="MD",D1731="BM",D1731="GA")=TRUE,((VLOOKUP(D1731,'Species Codes'!B:I,8,0)*(((((E1731*2.54)+VLOOKUP(D1731,'Species Codes'!B:J,9,0))/VLOOKUP(D1731,'Species Codes'!B:K,10,0))^VLOOKUP(D1731,'Species Codes'!B:L,11,0))*((I1731*0.3048)^VLOOKUP(D1731,'Species Codes'!B:M,12,0))))-(VLOOKUP(D1731,'Species Codes'!B:I,8,0)*((((E1731*2.54)^VLOOKUP(D1731,'Species Codes'!B:L,11,0))*((I1731*0.3048)^VLOOKUP(D1731,'Species Codes'!B:M,12,0))))))*35.3*VLOOKUP(D1731,'Species Codes'!B:G,6,0)/2.2046,VLOOKUP(D1731,'Species Codes'!B:I,8,0)+VLOOKUP(D1731,'Species Codes'!B:J,9,0)*(((E1731*2.54)/100)^2)*(I1731*0.3048)))))*0.0011023),0)</f>
        <v>#N/A</v>
      </c>
      <c r="AC1731" s="104" t="e">
        <f>IF(Z1731&gt;0,((IF(OR(D1731="RA",D1731="OA",D1731="OT",D1731="UN",D1731="PC"),EXP(VLOOKUP(D1731,'Species Codes'!B:O,14,0)+VLOOKUP(D1731,'Species Codes'!B:P,15,0)*LN((E1731*2.54)))-EXP(VLOOKUP(D1731,'Species Codes'!B:O,14,0)+VLOOKUP(D1731,'Species Codes'!B:P,15,0)*LN((E1731*2.54)))*(1/(VLOOKUP(D1731,'Species Codes'!B:Q,16,0)+VLOOKUP(D1731,'Species Codes'!B:R,17,0)*((E1731*2.54)^VLOOKUP(D1731,'Species Codes'!B:S,18,0)))),IF(OR(D1731="BM",D1731="MD",D1731="OA"),EXP(VLOOKUP(D1731,'Species Codes'!B:O,14,0)+VLOOKUP(D1731,'Species Codes'!B:P,15,0)*LN((E1731*2.54)))*(1-(1/(VLOOKUP(D1731,'Species Codes'!B:Q,16,0)+VLOOKUP(D1731,'Species Codes'!B:R,17,0)*((E1731*2.54)^VLOOKUP(D1731,'Species Codes'!B:S,18,0)))))/1000,IF(D1731="DF",EXP(VLOOKUP(D1731,'Species Codes'!B:O,14,0)+VLOOKUP(D1731,'Species Codes'!B:P,15,0)*LN((E1731*2.54))),VLOOKUP(D1731,'Species Codes'!B:O,14,0)+VLOOKUP(D1731,'Species Codes'!B:P,15,0)*(((E1731*2.54)/100)^2)*(I1731*0.3048)))))*0.0011023),0)</f>
        <v>#N/A</v>
      </c>
      <c r="AD1731" s="104" t="e">
        <f t="shared" si="760"/>
        <v>#N/A</v>
      </c>
      <c r="AE1731" s="104" t="e">
        <f t="shared" si="761"/>
        <v>#N/A</v>
      </c>
      <c r="AF1731" s="104" t="e">
        <f>IF(AND(VLOOKUP($D1731,Merchantability!$B:$C,2,0)="Yes",$E1731&gt;=VLOOKUP($D1731,Merchantability!$B:$D,3,0),$E1731&lt;=VLOOKUP($D1731,Merchantability!$B:$E,4,0)),AA1731,0)</f>
        <v>#N/A</v>
      </c>
      <c r="AG1731" s="104" t="e">
        <f>IF(AND(VLOOKUP($D1731,Merchantability!$B:$C,2,0)="Yes",$E1731&gt;=VLOOKUP($D1731,Merchantability!$B:$D,3,0),$E1731&lt;=VLOOKUP($D1731,Merchantability!$B:$E,4,0)),AB1731,0)</f>
        <v>#N/A</v>
      </c>
      <c r="AH1731" s="104" t="e">
        <f>IF(AND(VLOOKUP($D1731,Merchantability!$B:$C,2,0)="Yes",$E1731&gt;=VLOOKUP($D1731,Merchantability!$B:$D,3,0),$E1731&lt;=VLOOKUP($D1731,Merchantability!$B:$E,4,0)),AC1731,0)</f>
        <v>#N/A</v>
      </c>
      <c r="AI1731" s="104" t="e">
        <f t="shared" si="762"/>
        <v>#N/A</v>
      </c>
      <c r="AJ1731" s="104" t="e">
        <f t="shared" si="763"/>
        <v>#VALUE!</v>
      </c>
      <c r="AK1731" s="104" t="e">
        <f t="shared" si="764"/>
        <v>#N/A</v>
      </c>
      <c r="AL1731" s="104" t="e">
        <f t="shared" si="765"/>
        <v>#N/A</v>
      </c>
      <c r="AM1731" s="104" t="e">
        <f t="shared" si="766"/>
        <v>#N/A</v>
      </c>
      <c r="AN1731" s="104" t="e">
        <f t="shared" ref="AN1731:AN1794" si="777">AF1731*$O1731</f>
        <v>#N/A</v>
      </c>
      <c r="AO1731" s="104" t="e">
        <f t="shared" ref="AO1731:AO1794" si="778">AG1731*$O1731</f>
        <v>#N/A</v>
      </c>
      <c r="AP1731" s="104" t="e">
        <f t="shared" ref="AP1731:AP1794" si="779">AH1731*$O1731</f>
        <v>#N/A</v>
      </c>
      <c r="AQ1731" s="104" t="e">
        <f t="shared" ref="AQ1731:AQ1794" si="780">SUM(AN1731:AP1731)</f>
        <v>#N/A</v>
      </c>
      <c r="AR1731" s="105" t="str">
        <f t="shared" si="772"/>
        <v/>
      </c>
      <c r="AS1731" s="105" t="str">
        <f t="shared" si="773"/>
        <v/>
      </c>
      <c r="AT1731" s="108" t="str">
        <f t="shared" si="774"/>
        <v/>
      </c>
      <c r="AU1731" s="108" t="str">
        <f t="shared" si="775"/>
        <v/>
      </c>
      <c r="AV1731" s="107" t="str">
        <f>IF(ISNUMBER(O1731),IF(VLOOKUP($A1731,Stand!C:J,8,FALSE)="Short",AT1731,AU1731),"")</f>
        <v/>
      </c>
      <c r="AW1731" s="109" t="str">
        <f t="shared" ref="AW1731:AW1794" si="781">IF(ISNUMBER(O1731),AV1731*O1731,"")</f>
        <v/>
      </c>
      <c r="AX1731" s="109" t="str">
        <f t="shared" ref="AX1731:AX1794" si="782">IF(ISNUMBER(O1731),AW1731*(1-$H1731/100),"")</f>
        <v/>
      </c>
      <c r="AY1731" s="112" t="str">
        <f>IF(ISNUMBER(O1731),IF(AND(VLOOKUP($D1731,Merchantability!$B:$C,2,0)="Yes",$E1731&gt;=VLOOKUP($D1731,Merchantability!$B:$D,3,0),$E1731&lt;=VLOOKUP($D1731,Merchantability!$B:$E,4,0)),(AV1731*O1731)*(1-$H1731/100),""),"")</f>
        <v/>
      </c>
      <c r="AZ1731" s="116"/>
      <c r="BA1731" s="116"/>
      <c r="BB1731" s="116"/>
      <c r="BE1731" s="62"/>
      <c r="BF1731" s="63"/>
    </row>
    <row r="1732" spans="1:58" ht="12.75" customHeight="1" x14ac:dyDescent="0.25">
      <c r="A1732" s="334"/>
      <c r="B1732" s="334"/>
      <c r="C1732" s="332"/>
      <c r="D1732" s="334"/>
      <c r="E1732" s="335"/>
      <c r="F1732" s="334"/>
      <c r="G1732" s="332"/>
      <c r="H1732" s="332"/>
      <c r="I1732" s="334"/>
      <c r="J1732" s="336"/>
      <c r="K1732" s="332"/>
      <c r="L1732" s="332"/>
      <c r="M1732" s="76"/>
      <c r="N1732" s="103" t="str">
        <f>IF(A1732="","",VLOOKUP(A1732,Stand!C:K,9,0))</f>
        <v/>
      </c>
      <c r="O1732" s="104" t="str">
        <f t="shared" si="767"/>
        <v/>
      </c>
      <c r="P1732" s="105" t="str">
        <f t="shared" si="768"/>
        <v/>
      </c>
      <c r="Q1732" s="105" t="str">
        <f t="shared" si="756"/>
        <v/>
      </c>
      <c r="R1732" s="103" t="str">
        <f t="shared" si="769"/>
        <v/>
      </c>
      <c r="S1732" s="103" t="str">
        <f t="shared" si="770"/>
        <v/>
      </c>
      <c r="T1732" s="106" t="str">
        <f t="shared" si="757"/>
        <v/>
      </c>
      <c r="U1732" s="106" t="str">
        <f t="shared" si="758"/>
        <v/>
      </c>
      <c r="V1732" s="106" t="str">
        <f t="shared" si="759"/>
        <v/>
      </c>
      <c r="W1732" s="105" t="str">
        <f t="shared" si="771"/>
        <v/>
      </c>
      <c r="X1732" s="104" t="str">
        <f t="shared" si="776"/>
        <v/>
      </c>
      <c r="Y1732" s="104" t="str">
        <f t="array" ref="Y1732">IFERROR(IF(ISNUMBER(O1732),IF(COUNT(IF(A1732=$A$2:$A$2427,IF(D1732=$D$2:$D$2427,IF($X$2:$X$2427&gt;0,1))))&gt;0,SUM(IF(A1732=$A$2:$A$2427,IF(D1732=$D$2:$D$2427,$X$2:$X$2427)))/COUNT(IF(A1732=$A$2:$A$2427,IF(D1732=$D$2:$D$2427,IF(ISNUMBER($X$2:$X$2427),1)))),0),""),0)</f>
        <v/>
      </c>
      <c r="Z1732" s="104" t="str">
        <f>IF(ISNUMBER(O1732),IF(I1732&gt;0,(10^(VLOOKUP(D1732,'Species Codes'!B:C,2,0)+VLOOKUP(D1732,'Species Codes'!B:D,3,0)*LOG(E1732)+VLOOKUP(D1732,'Species Codes'!B:E,4,0)*LOG(I1732))),0),"")</f>
        <v/>
      </c>
      <c r="AA1732" s="104" t="str">
        <f>IFERROR((VLOOKUP(D1732,'Species Codes'!B:G,6,0)*Z1732)/2000,"")</f>
        <v/>
      </c>
      <c r="AB1732" s="104" t="e">
        <f>IF(Z1732&gt;0,((IF(OR(D1732="DF",D1732="RA")=TRUE,EXP(VLOOKUP(D1732,'Species Codes'!B:I,8,0)+VLOOKUP(D1732,'Species Codes'!B:J,9,0)*(LN((E1732*2.54)))),IF(OR(D1732="PY",D1732="RC",D1732="WH",D1732="NF")=TRUE,VLOOKUP(D1732,'Species Codes'!B:I,8,0)+VLOOKUP(D1732,'Species Codes'!B:J,9,0)*((E1732*2.54)^2)*(I1732*0.3048),IF(OR(D1732="MD",D1732="BM",D1732="GA")=TRUE,((VLOOKUP(D1732,'Species Codes'!B:I,8,0)*(((((E1732*2.54)+VLOOKUP(D1732,'Species Codes'!B:J,9,0))/VLOOKUP(D1732,'Species Codes'!B:K,10,0))^VLOOKUP(D1732,'Species Codes'!B:L,11,0))*((I1732*0.3048)^VLOOKUP(D1732,'Species Codes'!B:M,12,0))))-(VLOOKUP(D1732,'Species Codes'!B:I,8,0)*((((E1732*2.54)^VLOOKUP(D1732,'Species Codes'!B:L,11,0))*((I1732*0.3048)^VLOOKUP(D1732,'Species Codes'!B:M,12,0))))))*35.3*VLOOKUP(D1732,'Species Codes'!B:G,6,0)/2.2046,VLOOKUP(D1732,'Species Codes'!B:I,8,0)+VLOOKUP(D1732,'Species Codes'!B:J,9,0)*(((E1732*2.54)/100)^2)*(I1732*0.3048)))))*0.0011023),0)</f>
        <v>#N/A</v>
      </c>
      <c r="AC1732" s="104" t="e">
        <f>IF(Z1732&gt;0,((IF(OR(D1732="RA",D1732="OA",D1732="OT",D1732="UN",D1732="PC"),EXP(VLOOKUP(D1732,'Species Codes'!B:O,14,0)+VLOOKUP(D1732,'Species Codes'!B:P,15,0)*LN((E1732*2.54)))-EXP(VLOOKUP(D1732,'Species Codes'!B:O,14,0)+VLOOKUP(D1732,'Species Codes'!B:P,15,0)*LN((E1732*2.54)))*(1/(VLOOKUP(D1732,'Species Codes'!B:Q,16,0)+VLOOKUP(D1732,'Species Codes'!B:R,17,0)*((E1732*2.54)^VLOOKUP(D1732,'Species Codes'!B:S,18,0)))),IF(OR(D1732="BM",D1732="MD",D1732="OA"),EXP(VLOOKUP(D1732,'Species Codes'!B:O,14,0)+VLOOKUP(D1732,'Species Codes'!B:P,15,0)*LN((E1732*2.54)))*(1-(1/(VLOOKUP(D1732,'Species Codes'!B:Q,16,0)+VLOOKUP(D1732,'Species Codes'!B:R,17,0)*((E1732*2.54)^VLOOKUP(D1732,'Species Codes'!B:S,18,0)))))/1000,IF(D1732="DF",EXP(VLOOKUP(D1732,'Species Codes'!B:O,14,0)+VLOOKUP(D1732,'Species Codes'!B:P,15,0)*LN((E1732*2.54))),VLOOKUP(D1732,'Species Codes'!B:O,14,0)+VLOOKUP(D1732,'Species Codes'!B:P,15,0)*(((E1732*2.54)/100)^2)*(I1732*0.3048)))))*0.0011023),0)</f>
        <v>#N/A</v>
      </c>
      <c r="AD1732" s="104" t="e">
        <f t="shared" si="760"/>
        <v>#N/A</v>
      </c>
      <c r="AE1732" s="104" t="e">
        <f t="shared" si="761"/>
        <v>#N/A</v>
      </c>
      <c r="AF1732" s="104" t="e">
        <f>IF(AND(VLOOKUP($D1732,Merchantability!$B:$C,2,0)="Yes",$E1732&gt;=VLOOKUP($D1732,Merchantability!$B:$D,3,0),$E1732&lt;=VLOOKUP($D1732,Merchantability!$B:$E,4,0)),AA1732,0)</f>
        <v>#N/A</v>
      </c>
      <c r="AG1732" s="104" t="e">
        <f>IF(AND(VLOOKUP($D1732,Merchantability!$B:$C,2,0)="Yes",$E1732&gt;=VLOOKUP($D1732,Merchantability!$B:$D,3,0),$E1732&lt;=VLOOKUP($D1732,Merchantability!$B:$E,4,0)),AB1732,0)</f>
        <v>#N/A</v>
      </c>
      <c r="AH1732" s="104" t="e">
        <f>IF(AND(VLOOKUP($D1732,Merchantability!$B:$C,2,0)="Yes",$E1732&gt;=VLOOKUP($D1732,Merchantability!$B:$D,3,0),$E1732&lt;=VLOOKUP($D1732,Merchantability!$B:$E,4,0)),AC1732,0)</f>
        <v>#N/A</v>
      </c>
      <c r="AI1732" s="104" t="e">
        <f t="shared" si="762"/>
        <v>#N/A</v>
      </c>
      <c r="AJ1732" s="104" t="e">
        <f t="shared" si="763"/>
        <v>#VALUE!</v>
      </c>
      <c r="AK1732" s="104" t="e">
        <f t="shared" si="764"/>
        <v>#N/A</v>
      </c>
      <c r="AL1732" s="104" t="e">
        <f t="shared" si="765"/>
        <v>#N/A</v>
      </c>
      <c r="AM1732" s="104" t="e">
        <f t="shared" si="766"/>
        <v>#N/A</v>
      </c>
      <c r="AN1732" s="104" t="e">
        <f t="shared" si="777"/>
        <v>#N/A</v>
      </c>
      <c r="AO1732" s="104" t="e">
        <f t="shared" si="778"/>
        <v>#N/A</v>
      </c>
      <c r="AP1732" s="104" t="e">
        <f t="shared" si="779"/>
        <v>#N/A</v>
      </c>
      <c r="AQ1732" s="104" t="e">
        <f t="shared" si="780"/>
        <v>#N/A</v>
      </c>
      <c r="AR1732" s="105" t="str">
        <f t="shared" si="772"/>
        <v/>
      </c>
      <c r="AS1732" s="105" t="str">
        <f t="shared" si="773"/>
        <v/>
      </c>
      <c r="AT1732" s="108" t="str">
        <f t="shared" si="774"/>
        <v/>
      </c>
      <c r="AU1732" s="108" t="str">
        <f t="shared" si="775"/>
        <v/>
      </c>
      <c r="AV1732" s="107" t="str">
        <f>IF(ISNUMBER(O1732),IF(VLOOKUP($A1732,Stand!C:J,8,FALSE)="Short",AT1732,AU1732),"")</f>
        <v/>
      </c>
      <c r="AW1732" s="109" t="str">
        <f t="shared" si="781"/>
        <v/>
      </c>
      <c r="AX1732" s="109" t="str">
        <f t="shared" si="782"/>
        <v/>
      </c>
      <c r="AY1732" s="112" t="str">
        <f>IF(ISNUMBER(O1732),IF(AND(VLOOKUP($D1732,Merchantability!$B:$C,2,0)="Yes",$E1732&gt;=VLOOKUP($D1732,Merchantability!$B:$D,3,0),$E1732&lt;=VLOOKUP($D1732,Merchantability!$B:$E,4,0)),(AV1732*O1732)*(1-$H1732/100),""),"")</f>
        <v/>
      </c>
      <c r="AZ1732" s="116"/>
      <c r="BA1732" s="116"/>
      <c r="BB1732" s="116"/>
      <c r="BE1732" s="62"/>
      <c r="BF1732" s="63"/>
    </row>
    <row r="1733" spans="1:58" ht="12.75" customHeight="1" x14ac:dyDescent="0.25">
      <c r="A1733" s="334"/>
      <c r="B1733" s="334"/>
      <c r="C1733" s="332"/>
      <c r="D1733" s="334"/>
      <c r="E1733" s="335"/>
      <c r="F1733" s="334"/>
      <c r="G1733" s="332"/>
      <c r="H1733" s="332"/>
      <c r="I1733" s="334"/>
      <c r="J1733" s="336"/>
      <c r="K1733" s="332"/>
      <c r="L1733" s="332"/>
      <c r="M1733" s="76"/>
      <c r="N1733" s="103" t="str">
        <f>IF(A1733="","",VLOOKUP(A1733,Stand!C:K,9,0))</f>
        <v/>
      </c>
      <c r="O1733" s="104" t="str">
        <f t="shared" si="767"/>
        <v/>
      </c>
      <c r="P1733" s="105" t="str">
        <f t="shared" si="768"/>
        <v/>
      </c>
      <c r="Q1733" s="105" t="str">
        <f t="shared" si="756"/>
        <v/>
      </c>
      <c r="R1733" s="103" t="str">
        <f t="shared" si="769"/>
        <v/>
      </c>
      <c r="S1733" s="103" t="str">
        <f t="shared" si="770"/>
        <v/>
      </c>
      <c r="T1733" s="106" t="str">
        <f t="shared" si="757"/>
        <v/>
      </c>
      <c r="U1733" s="106" t="str">
        <f t="shared" si="758"/>
        <v/>
      </c>
      <c r="V1733" s="106" t="str">
        <f t="shared" si="759"/>
        <v/>
      </c>
      <c r="W1733" s="105" t="str">
        <f t="shared" si="771"/>
        <v/>
      </c>
      <c r="X1733" s="104" t="str">
        <f t="shared" si="776"/>
        <v/>
      </c>
      <c r="Y1733" s="104" t="str">
        <f t="array" ref="Y1733">IFERROR(IF(ISNUMBER(O1733),IF(COUNT(IF(A1733=$A$2:$A$2427,IF(D1733=$D$2:$D$2427,IF($X$2:$X$2427&gt;0,1))))&gt;0,SUM(IF(A1733=$A$2:$A$2427,IF(D1733=$D$2:$D$2427,$X$2:$X$2427)))/COUNT(IF(A1733=$A$2:$A$2427,IF(D1733=$D$2:$D$2427,IF(ISNUMBER($X$2:$X$2427),1)))),0),""),0)</f>
        <v/>
      </c>
      <c r="Z1733" s="104" t="str">
        <f>IF(ISNUMBER(O1733),IF(I1733&gt;0,(10^(VLOOKUP(D1733,'Species Codes'!B:C,2,0)+VLOOKUP(D1733,'Species Codes'!B:D,3,0)*LOG(E1733)+VLOOKUP(D1733,'Species Codes'!B:E,4,0)*LOG(I1733))),0),"")</f>
        <v/>
      </c>
      <c r="AA1733" s="104" t="str">
        <f>IFERROR((VLOOKUP(D1733,'Species Codes'!B:G,6,0)*Z1733)/2000,"")</f>
        <v/>
      </c>
      <c r="AB1733" s="104" t="e">
        <f>IF(Z1733&gt;0,((IF(OR(D1733="DF",D1733="RA")=TRUE,EXP(VLOOKUP(D1733,'Species Codes'!B:I,8,0)+VLOOKUP(D1733,'Species Codes'!B:J,9,0)*(LN((E1733*2.54)))),IF(OR(D1733="PY",D1733="RC",D1733="WH",D1733="NF")=TRUE,VLOOKUP(D1733,'Species Codes'!B:I,8,0)+VLOOKUP(D1733,'Species Codes'!B:J,9,0)*((E1733*2.54)^2)*(I1733*0.3048),IF(OR(D1733="MD",D1733="BM",D1733="GA")=TRUE,((VLOOKUP(D1733,'Species Codes'!B:I,8,0)*(((((E1733*2.54)+VLOOKUP(D1733,'Species Codes'!B:J,9,0))/VLOOKUP(D1733,'Species Codes'!B:K,10,0))^VLOOKUP(D1733,'Species Codes'!B:L,11,0))*((I1733*0.3048)^VLOOKUP(D1733,'Species Codes'!B:M,12,0))))-(VLOOKUP(D1733,'Species Codes'!B:I,8,0)*((((E1733*2.54)^VLOOKUP(D1733,'Species Codes'!B:L,11,0))*((I1733*0.3048)^VLOOKUP(D1733,'Species Codes'!B:M,12,0))))))*35.3*VLOOKUP(D1733,'Species Codes'!B:G,6,0)/2.2046,VLOOKUP(D1733,'Species Codes'!B:I,8,0)+VLOOKUP(D1733,'Species Codes'!B:J,9,0)*(((E1733*2.54)/100)^2)*(I1733*0.3048)))))*0.0011023),0)</f>
        <v>#N/A</v>
      </c>
      <c r="AC1733" s="104" t="e">
        <f>IF(Z1733&gt;0,((IF(OR(D1733="RA",D1733="OA",D1733="OT",D1733="UN",D1733="PC"),EXP(VLOOKUP(D1733,'Species Codes'!B:O,14,0)+VLOOKUP(D1733,'Species Codes'!B:P,15,0)*LN((E1733*2.54)))-EXP(VLOOKUP(D1733,'Species Codes'!B:O,14,0)+VLOOKUP(D1733,'Species Codes'!B:P,15,0)*LN((E1733*2.54)))*(1/(VLOOKUP(D1733,'Species Codes'!B:Q,16,0)+VLOOKUP(D1733,'Species Codes'!B:R,17,0)*((E1733*2.54)^VLOOKUP(D1733,'Species Codes'!B:S,18,0)))),IF(OR(D1733="BM",D1733="MD",D1733="OA"),EXP(VLOOKUP(D1733,'Species Codes'!B:O,14,0)+VLOOKUP(D1733,'Species Codes'!B:P,15,0)*LN((E1733*2.54)))*(1-(1/(VLOOKUP(D1733,'Species Codes'!B:Q,16,0)+VLOOKUP(D1733,'Species Codes'!B:R,17,0)*((E1733*2.54)^VLOOKUP(D1733,'Species Codes'!B:S,18,0)))))/1000,IF(D1733="DF",EXP(VLOOKUP(D1733,'Species Codes'!B:O,14,0)+VLOOKUP(D1733,'Species Codes'!B:P,15,0)*LN((E1733*2.54))),VLOOKUP(D1733,'Species Codes'!B:O,14,0)+VLOOKUP(D1733,'Species Codes'!B:P,15,0)*(((E1733*2.54)/100)^2)*(I1733*0.3048)))))*0.0011023),0)</f>
        <v>#N/A</v>
      </c>
      <c r="AD1733" s="104" t="e">
        <f t="shared" si="760"/>
        <v>#N/A</v>
      </c>
      <c r="AE1733" s="104" t="e">
        <f t="shared" si="761"/>
        <v>#N/A</v>
      </c>
      <c r="AF1733" s="104" t="e">
        <f>IF(AND(VLOOKUP($D1733,Merchantability!$B:$C,2,0)="Yes",$E1733&gt;=VLOOKUP($D1733,Merchantability!$B:$D,3,0),$E1733&lt;=VLOOKUP($D1733,Merchantability!$B:$E,4,0)),AA1733,0)</f>
        <v>#N/A</v>
      </c>
      <c r="AG1733" s="104" t="e">
        <f>IF(AND(VLOOKUP($D1733,Merchantability!$B:$C,2,0)="Yes",$E1733&gt;=VLOOKUP($D1733,Merchantability!$B:$D,3,0),$E1733&lt;=VLOOKUP($D1733,Merchantability!$B:$E,4,0)),AB1733,0)</f>
        <v>#N/A</v>
      </c>
      <c r="AH1733" s="104" t="e">
        <f>IF(AND(VLOOKUP($D1733,Merchantability!$B:$C,2,0)="Yes",$E1733&gt;=VLOOKUP($D1733,Merchantability!$B:$D,3,0),$E1733&lt;=VLOOKUP($D1733,Merchantability!$B:$E,4,0)),AC1733,0)</f>
        <v>#N/A</v>
      </c>
      <c r="AI1733" s="104" t="e">
        <f t="shared" si="762"/>
        <v>#N/A</v>
      </c>
      <c r="AJ1733" s="104" t="e">
        <f t="shared" si="763"/>
        <v>#VALUE!</v>
      </c>
      <c r="AK1733" s="104" t="e">
        <f t="shared" si="764"/>
        <v>#N/A</v>
      </c>
      <c r="AL1733" s="104" t="e">
        <f t="shared" si="765"/>
        <v>#N/A</v>
      </c>
      <c r="AM1733" s="104" t="e">
        <f t="shared" si="766"/>
        <v>#N/A</v>
      </c>
      <c r="AN1733" s="104" t="e">
        <f t="shared" si="777"/>
        <v>#N/A</v>
      </c>
      <c r="AO1733" s="104" t="e">
        <f t="shared" si="778"/>
        <v>#N/A</v>
      </c>
      <c r="AP1733" s="104" t="e">
        <f t="shared" si="779"/>
        <v>#N/A</v>
      </c>
      <c r="AQ1733" s="104" t="e">
        <f t="shared" si="780"/>
        <v>#N/A</v>
      </c>
      <c r="AR1733" s="105" t="str">
        <f t="shared" si="772"/>
        <v/>
      </c>
      <c r="AS1733" s="105" t="str">
        <f t="shared" si="773"/>
        <v/>
      </c>
      <c r="AT1733" s="108" t="str">
        <f t="shared" si="774"/>
        <v/>
      </c>
      <c r="AU1733" s="108" t="str">
        <f t="shared" si="775"/>
        <v/>
      </c>
      <c r="AV1733" s="107" t="str">
        <f>IF(ISNUMBER(O1733),IF(VLOOKUP($A1733,Stand!C:J,8,FALSE)="Short",AT1733,AU1733),"")</f>
        <v/>
      </c>
      <c r="AW1733" s="109" t="str">
        <f t="shared" si="781"/>
        <v/>
      </c>
      <c r="AX1733" s="109" t="str">
        <f t="shared" si="782"/>
        <v/>
      </c>
      <c r="AY1733" s="112" t="str">
        <f>IF(ISNUMBER(O1733),IF(AND(VLOOKUP($D1733,Merchantability!$B:$C,2,0)="Yes",$E1733&gt;=VLOOKUP($D1733,Merchantability!$B:$D,3,0),$E1733&lt;=VLOOKUP($D1733,Merchantability!$B:$E,4,0)),(AV1733*O1733)*(1-$H1733/100),""),"")</f>
        <v/>
      </c>
      <c r="AZ1733" s="116"/>
      <c r="BA1733" s="116"/>
      <c r="BB1733" s="116"/>
      <c r="BE1733" s="62"/>
      <c r="BF1733" s="63"/>
    </row>
    <row r="1734" spans="1:58" ht="12.75" customHeight="1" x14ac:dyDescent="0.25">
      <c r="A1734" s="334"/>
      <c r="B1734" s="334"/>
      <c r="C1734" s="332"/>
      <c r="D1734" s="334"/>
      <c r="E1734" s="335"/>
      <c r="F1734" s="334"/>
      <c r="G1734" s="332"/>
      <c r="H1734" s="332"/>
      <c r="I1734" s="334"/>
      <c r="J1734" s="336"/>
      <c r="K1734" s="332"/>
      <c r="L1734" s="332"/>
      <c r="M1734" s="76"/>
      <c r="N1734" s="103" t="str">
        <f>IF(A1734="","",VLOOKUP(A1734,Stand!C:K,9,0))</f>
        <v/>
      </c>
      <c r="O1734" s="104" t="str">
        <f t="shared" si="767"/>
        <v/>
      </c>
      <c r="P1734" s="105" t="str">
        <f t="shared" si="768"/>
        <v/>
      </c>
      <c r="Q1734" s="105" t="str">
        <f t="shared" si="756"/>
        <v/>
      </c>
      <c r="R1734" s="103" t="str">
        <f t="shared" si="769"/>
        <v/>
      </c>
      <c r="S1734" s="103" t="str">
        <f t="shared" si="770"/>
        <v/>
      </c>
      <c r="T1734" s="106" t="str">
        <f t="shared" si="757"/>
        <v/>
      </c>
      <c r="U1734" s="106" t="str">
        <f t="shared" si="758"/>
        <v/>
      </c>
      <c r="V1734" s="106" t="str">
        <f t="shared" si="759"/>
        <v/>
      </c>
      <c r="W1734" s="105" t="str">
        <f t="shared" si="771"/>
        <v/>
      </c>
      <c r="X1734" s="104" t="str">
        <f t="shared" si="776"/>
        <v/>
      </c>
      <c r="Y1734" s="104" t="str">
        <f t="array" ref="Y1734">IFERROR(IF(ISNUMBER(O1734),IF(COUNT(IF(A1734=$A$2:$A$2427,IF(D1734=$D$2:$D$2427,IF($X$2:$X$2427&gt;0,1))))&gt;0,SUM(IF(A1734=$A$2:$A$2427,IF(D1734=$D$2:$D$2427,$X$2:$X$2427)))/COUNT(IF(A1734=$A$2:$A$2427,IF(D1734=$D$2:$D$2427,IF(ISNUMBER($X$2:$X$2427),1)))),0),""),0)</f>
        <v/>
      </c>
      <c r="Z1734" s="104" t="str">
        <f>IF(ISNUMBER(O1734),IF(I1734&gt;0,(10^(VLOOKUP(D1734,'Species Codes'!B:C,2,0)+VLOOKUP(D1734,'Species Codes'!B:D,3,0)*LOG(E1734)+VLOOKUP(D1734,'Species Codes'!B:E,4,0)*LOG(I1734))),0),"")</f>
        <v/>
      </c>
      <c r="AA1734" s="104" t="str">
        <f>IFERROR((VLOOKUP(D1734,'Species Codes'!B:G,6,0)*Z1734)/2000,"")</f>
        <v/>
      </c>
      <c r="AB1734" s="104" t="e">
        <f>IF(Z1734&gt;0,((IF(OR(D1734="DF",D1734="RA")=TRUE,EXP(VLOOKUP(D1734,'Species Codes'!B:I,8,0)+VLOOKUP(D1734,'Species Codes'!B:J,9,0)*(LN((E1734*2.54)))),IF(OR(D1734="PY",D1734="RC",D1734="WH",D1734="NF")=TRUE,VLOOKUP(D1734,'Species Codes'!B:I,8,0)+VLOOKUP(D1734,'Species Codes'!B:J,9,0)*((E1734*2.54)^2)*(I1734*0.3048),IF(OR(D1734="MD",D1734="BM",D1734="GA")=TRUE,((VLOOKUP(D1734,'Species Codes'!B:I,8,0)*(((((E1734*2.54)+VLOOKUP(D1734,'Species Codes'!B:J,9,0))/VLOOKUP(D1734,'Species Codes'!B:K,10,0))^VLOOKUP(D1734,'Species Codes'!B:L,11,0))*((I1734*0.3048)^VLOOKUP(D1734,'Species Codes'!B:M,12,0))))-(VLOOKUP(D1734,'Species Codes'!B:I,8,0)*((((E1734*2.54)^VLOOKUP(D1734,'Species Codes'!B:L,11,0))*((I1734*0.3048)^VLOOKUP(D1734,'Species Codes'!B:M,12,0))))))*35.3*VLOOKUP(D1734,'Species Codes'!B:G,6,0)/2.2046,VLOOKUP(D1734,'Species Codes'!B:I,8,0)+VLOOKUP(D1734,'Species Codes'!B:J,9,0)*(((E1734*2.54)/100)^2)*(I1734*0.3048)))))*0.0011023),0)</f>
        <v>#N/A</v>
      </c>
      <c r="AC1734" s="104" t="e">
        <f>IF(Z1734&gt;0,((IF(OR(D1734="RA",D1734="OA",D1734="OT",D1734="UN",D1734="PC"),EXP(VLOOKUP(D1734,'Species Codes'!B:O,14,0)+VLOOKUP(D1734,'Species Codes'!B:P,15,0)*LN((E1734*2.54)))-EXP(VLOOKUP(D1734,'Species Codes'!B:O,14,0)+VLOOKUP(D1734,'Species Codes'!B:P,15,0)*LN((E1734*2.54)))*(1/(VLOOKUP(D1734,'Species Codes'!B:Q,16,0)+VLOOKUP(D1734,'Species Codes'!B:R,17,0)*((E1734*2.54)^VLOOKUP(D1734,'Species Codes'!B:S,18,0)))),IF(OR(D1734="BM",D1734="MD",D1734="OA"),EXP(VLOOKUP(D1734,'Species Codes'!B:O,14,0)+VLOOKUP(D1734,'Species Codes'!B:P,15,0)*LN((E1734*2.54)))*(1-(1/(VLOOKUP(D1734,'Species Codes'!B:Q,16,0)+VLOOKUP(D1734,'Species Codes'!B:R,17,0)*((E1734*2.54)^VLOOKUP(D1734,'Species Codes'!B:S,18,0)))))/1000,IF(D1734="DF",EXP(VLOOKUP(D1734,'Species Codes'!B:O,14,0)+VLOOKUP(D1734,'Species Codes'!B:P,15,0)*LN((E1734*2.54))),VLOOKUP(D1734,'Species Codes'!B:O,14,0)+VLOOKUP(D1734,'Species Codes'!B:P,15,0)*(((E1734*2.54)/100)^2)*(I1734*0.3048)))))*0.0011023),0)</f>
        <v>#N/A</v>
      </c>
      <c r="AD1734" s="104" t="e">
        <f t="shared" si="760"/>
        <v>#N/A</v>
      </c>
      <c r="AE1734" s="104" t="e">
        <f t="shared" si="761"/>
        <v>#N/A</v>
      </c>
      <c r="AF1734" s="104" t="e">
        <f>IF(AND(VLOOKUP($D1734,Merchantability!$B:$C,2,0)="Yes",$E1734&gt;=VLOOKUP($D1734,Merchantability!$B:$D,3,0),$E1734&lt;=VLOOKUP($D1734,Merchantability!$B:$E,4,0)),AA1734,0)</f>
        <v>#N/A</v>
      </c>
      <c r="AG1734" s="104" t="e">
        <f>IF(AND(VLOOKUP($D1734,Merchantability!$B:$C,2,0)="Yes",$E1734&gt;=VLOOKUP($D1734,Merchantability!$B:$D,3,0),$E1734&lt;=VLOOKUP($D1734,Merchantability!$B:$E,4,0)),AB1734,0)</f>
        <v>#N/A</v>
      </c>
      <c r="AH1734" s="104" t="e">
        <f>IF(AND(VLOOKUP($D1734,Merchantability!$B:$C,2,0)="Yes",$E1734&gt;=VLOOKUP($D1734,Merchantability!$B:$D,3,0),$E1734&lt;=VLOOKUP($D1734,Merchantability!$B:$E,4,0)),AC1734,0)</f>
        <v>#N/A</v>
      </c>
      <c r="AI1734" s="104" t="e">
        <f t="shared" si="762"/>
        <v>#N/A</v>
      </c>
      <c r="AJ1734" s="104" t="e">
        <f t="shared" si="763"/>
        <v>#VALUE!</v>
      </c>
      <c r="AK1734" s="104" t="e">
        <f t="shared" si="764"/>
        <v>#N/A</v>
      </c>
      <c r="AL1734" s="104" t="e">
        <f t="shared" si="765"/>
        <v>#N/A</v>
      </c>
      <c r="AM1734" s="104" t="e">
        <f t="shared" si="766"/>
        <v>#N/A</v>
      </c>
      <c r="AN1734" s="104" t="e">
        <f t="shared" si="777"/>
        <v>#N/A</v>
      </c>
      <c r="AO1734" s="104" t="e">
        <f t="shared" si="778"/>
        <v>#N/A</v>
      </c>
      <c r="AP1734" s="104" t="e">
        <f t="shared" si="779"/>
        <v>#N/A</v>
      </c>
      <c r="AQ1734" s="104" t="e">
        <f t="shared" si="780"/>
        <v>#N/A</v>
      </c>
      <c r="AR1734" s="105" t="str">
        <f t="shared" si="772"/>
        <v/>
      </c>
      <c r="AS1734" s="105" t="str">
        <f t="shared" si="773"/>
        <v/>
      </c>
      <c r="AT1734" s="108" t="str">
        <f t="shared" si="774"/>
        <v/>
      </c>
      <c r="AU1734" s="108" t="str">
        <f t="shared" si="775"/>
        <v/>
      </c>
      <c r="AV1734" s="107" t="str">
        <f>IF(ISNUMBER(O1734),IF(VLOOKUP($A1734,Stand!C:J,8,FALSE)="Short",AT1734,AU1734),"")</f>
        <v/>
      </c>
      <c r="AW1734" s="109" t="str">
        <f t="shared" si="781"/>
        <v/>
      </c>
      <c r="AX1734" s="109" t="str">
        <f t="shared" si="782"/>
        <v/>
      </c>
      <c r="AY1734" s="112" t="str">
        <f>IF(ISNUMBER(O1734),IF(AND(VLOOKUP($D1734,Merchantability!$B:$C,2,0)="Yes",$E1734&gt;=VLOOKUP($D1734,Merchantability!$B:$D,3,0),$E1734&lt;=VLOOKUP($D1734,Merchantability!$B:$E,4,0)),(AV1734*O1734)*(1-$H1734/100),""),"")</f>
        <v/>
      </c>
      <c r="AZ1734" s="116"/>
      <c r="BA1734" s="116"/>
      <c r="BB1734" s="116"/>
      <c r="BE1734" s="62"/>
      <c r="BF1734" s="63"/>
    </row>
    <row r="1735" spans="1:58" ht="12.75" customHeight="1" x14ac:dyDescent="0.25">
      <c r="A1735" s="334"/>
      <c r="B1735" s="334"/>
      <c r="C1735" s="332"/>
      <c r="D1735" s="334"/>
      <c r="E1735" s="335"/>
      <c r="F1735" s="334"/>
      <c r="G1735" s="332"/>
      <c r="H1735" s="332"/>
      <c r="I1735" s="334"/>
      <c r="J1735" s="336"/>
      <c r="K1735" s="332"/>
      <c r="L1735" s="332"/>
      <c r="M1735" s="76"/>
      <c r="N1735" s="103" t="str">
        <f>IF(A1735="","",VLOOKUP(A1735,Stand!C:K,9,0))</f>
        <v/>
      </c>
      <c r="O1735" s="104" t="str">
        <f t="shared" si="767"/>
        <v/>
      </c>
      <c r="P1735" s="105" t="str">
        <f t="shared" si="768"/>
        <v/>
      </c>
      <c r="Q1735" s="105" t="str">
        <f t="shared" si="756"/>
        <v/>
      </c>
      <c r="R1735" s="103" t="str">
        <f t="shared" si="769"/>
        <v/>
      </c>
      <c r="S1735" s="103" t="str">
        <f t="shared" si="770"/>
        <v/>
      </c>
      <c r="T1735" s="106" t="str">
        <f t="shared" si="757"/>
        <v/>
      </c>
      <c r="U1735" s="106" t="str">
        <f t="shared" si="758"/>
        <v/>
      </c>
      <c r="V1735" s="106" t="str">
        <f t="shared" si="759"/>
        <v/>
      </c>
      <c r="W1735" s="105" t="str">
        <f t="shared" si="771"/>
        <v/>
      </c>
      <c r="X1735" s="104" t="str">
        <f t="shared" si="776"/>
        <v/>
      </c>
      <c r="Y1735" s="104" t="str">
        <f t="array" ref="Y1735">IFERROR(IF(ISNUMBER(O1735),IF(COUNT(IF(A1735=$A$2:$A$2427,IF(D1735=$D$2:$D$2427,IF($X$2:$X$2427&gt;0,1))))&gt;0,SUM(IF(A1735=$A$2:$A$2427,IF(D1735=$D$2:$D$2427,$X$2:$X$2427)))/COUNT(IF(A1735=$A$2:$A$2427,IF(D1735=$D$2:$D$2427,IF(ISNUMBER($X$2:$X$2427),1)))),0),""),0)</f>
        <v/>
      </c>
      <c r="Z1735" s="104" t="str">
        <f>IF(ISNUMBER(O1735),IF(I1735&gt;0,(10^(VLOOKUP(D1735,'Species Codes'!B:C,2,0)+VLOOKUP(D1735,'Species Codes'!B:D,3,0)*LOG(E1735)+VLOOKUP(D1735,'Species Codes'!B:E,4,0)*LOG(I1735))),0),"")</f>
        <v/>
      </c>
      <c r="AA1735" s="104" t="str">
        <f>IFERROR((VLOOKUP(D1735,'Species Codes'!B:G,6,0)*Z1735)/2000,"")</f>
        <v/>
      </c>
      <c r="AB1735" s="104" t="e">
        <f>IF(Z1735&gt;0,((IF(OR(D1735="DF",D1735="RA")=TRUE,EXP(VLOOKUP(D1735,'Species Codes'!B:I,8,0)+VLOOKUP(D1735,'Species Codes'!B:J,9,0)*(LN((E1735*2.54)))),IF(OR(D1735="PY",D1735="RC",D1735="WH",D1735="NF")=TRUE,VLOOKUP(D1735,'Species Codes'!B:I,8,0)+VLOOKUP(D1735,'Species Codes'!B:J,9,0)*((E1735*2.54)^2)*(I1735*0.3048),IF(OR(D1735="MD",D1735="BM",D1735="GA")=TRUE,((VLOOKUP(D1735,'Species Codes'!B:I,8,0)*(((((E1735*2.54)+VLOOKUP(D1735,'Species Codes'!B:J,9,0))/VLOOKUP(D1735,'Species Codes'!B:K,10,0))^VLOOKUP(D1735,'Species Codes'!B:L,11,0))*((I1735*0.3048)^VLOOKUP(D1735,'Species Codes'!B:M,12,0))))-(VLOOKUP(D1735,'Species Codes'!B:I,8,0)*((((E1735*2.54)^VLOOKUP(D1735,'Species Codes'!B:L,11,0))*((I1735*0.3048)^VLOOKUP(D1735,'Species Codes'!B:M,12,0))))))*35.3*VLOOKUP(D1735,'Species Codes'!B:G,6,0)/2.2046,VLOOKUP(D1735,'Species Codes'!B:I,8,0)+VLOOKUP(D1735,'Species Codes'!B:J,9,0)*(((E1735*2.54)/100)^2)*(I1735*0.3048)))))*0.0011023),0)</f>
        <v>#N/A</v>
      </c>
      <c r="AC1735" s="104" t="e">
        <f>IF(Z1735&gt;0,((IF(OR(D1735="RA",D1735="OA",D1735="OT",D1735="UN",D1735="PC"),EXP(VLOOKUP(D1735,'Species Codes'!B:O,14,0)+VLOOKUP(D1735,'Species Codes'!B:P,15,0)*LN((E1735*2.54)))-EXP(VLOOKUP(D1735,'Species Codes'!B:O,14,0)+VLOOKUP(D1735,'Species Codes'!B:P,15,0)*LN((E1735*2.54)))*(1/(VLOOKUP(D1735,'Species Codes'!B:Q,16,0)+VLOOKUP(D1735,'Species Codes'!B:R,17,0)*((E1735*2.54)^VLOOKUP(D1735,'Species Codes'!B:S,18,0)))),IF(OR(D1735="BM",D1735="MD",D1735="OA"),EXP(VLOOKUP(D1735,'Species Codes'!B:O,14,0)+VLOOKUP(D1735,'Species Codes'!B:P,15,0)*LN((E1735*2.54)))*(1-(1/(VLOOKUP(D1735,'Species Codes'!B:Q,16,0)+VLOOKUP(D1735,'Species Codes'!B:R,17,0)*((E1735*2.54)^VLOOKUP(D1735,'Species Codes'!B:S,18,0)))))/1000,IF(D1735="DF",EXP(VLOOKUP(D1735,'Species Codes'!B:O,14,0)+VLOOKUP(D1735,'Species Codes'!B:P,15,0)*LN((E1735*2.54))),VLOOKUP(D1735,'Species Codes'!B:O,14,0)+VLOOKUP(D1735,'Species Codes'!B:P,15,0)*(((E1735*2.54)/100)^2)*(I1735*0.3048)))))*0.0011023),0)</f>
        <v>#N/A</v>
      </c>
      <c r="AD1735" s="104" t="e">
        <f t="shared" si="760"/>
        <v>#N/A</v>
      </c>
      <c r="AE1735" s="104" t="e">
        <f t="shared" si="761"/>
        <v>#N/A</v>
      </c>
      <c r="AF1735" s="104" t="e">
        <f>IF(AND(VLOOKUP($D1735,Merchantability!$B:$C,2,0)="Yes",$E1735&gt;=VLOOKUP($D1735,Merchantability!$B:$D,3,0),$E1735&lt;=VLOOKUP($D1735,Merchantability!$B:$E,4,0)),AA1735,0)</f>
        <v>#N/A</v>
      </c>
      <c r="AG1735" s="104" t="e">
        <f>IF(AND(VLOOKUP($D1735,Merchantability!$B:$C,2,0)="Yes",$E1735&gt;=VLOOKUP($D1735,Merchantability!$B:$D,3,0),$E1735&lt;=VLOOKUP($D1735,Merchantability!$B:$E,4,0)),AB1735,0)</f>
        <v>#N/A</v>
      </c>
      <c r="AH1735" s="104" t="e">
        <f>IF(AND(VLOOKUP($D1735,Merchantability!$B:$C,2,0)="Yes",$E1735&gt;=VLOOKUP($D1735,Merchantability!$B:$D,3,0),$E1735&lt;=VLOOKUP($D1735,Merchantability!$B:$E,4,0)),AC1735,0)</f>
        <v>#N/A</v>
      </c>
      <c r="AI1735" s="104" t="e">
        <f t="shared" si="762"/>
        <v>#N/A</v>
      </c>
      <c r="AJ1735" s="104" t="e">
        <f t="shared" si="763"/>
        <v>#VALUE!</v>
      </c>
      <c r="AK1735" s="104" t="e">
        <f t="shared" si="764"/>
        <v>#N/A</v>
      </c>
      <c r="AL1735" s="104" t="e">
        <f t="shared" si="765"/>
        <v>#N/A</v>
      </c>
      <c r="AM1735" s="104" t="e">
        <f t="shared" si="766"/>
        <v>#N/A</v>
      </c>
      <c r="AN1735" s="104" t="e">
        <f t="shared" si="777"/>
        <v>#N/A</v>
      </c>
      <c r="AO1735" s="104" t="e">
        <f t="shared" si="778"/>
        <v>#N/A</v>
      </c>
      <c r="AP1735" s="104" t="e">
        <f t="shared" si="779"/>
        <v>#N/A</v>
      </c>
      <c r="AQ1735" s="104" t="e">
        <f t="shared" si="780"/>
        <v>#N/A</v>
      </c>
      <c r="AR1735" s="105" t="str">
        <f t="shared" si="772"/>
        <v/>
      </c>
      <c r="AS1735" s="105" t="str">
        <f t="shared" si="773"/>
        <v/>
      </c>
      <c r="AT1735" s="108" t="str">
        <f t="shared" si="774"/>
        <v/>
      </c>
      <c r="AU1735" s="108" t="str">
        <f t="shared" si="775"/>
        <v/>
      </c>
      <c r="AV1735" s="107" t="str">
        <f>IF(ISNUMBER(O1735),IF(VLOOKUP($A1735,Stand!C:J,8,FALSE)="Short",AT1735,AU1735),"")</f>
        <v/>
      </c>
      <c r="AW1735" s="109" t="str">
        <f t="shared" si="781"/>
        <v/>
      </c>
      <c r="AX1735" s="109" t="str">
        <f t="shared" si="782"/>
        <v/>
      </c>
      <c r="AY1735" s="112" t="str">
        <f>IF(ISNUMBER(O1735),IF(AND(VLOOKUP($D1735,Merchantability!$B:$C,2,0)="Yes",$E1735&gt;=VLOOKUP($D1735,Merchantability!$B:$D,3,0),$E1735&lt;=VLOOKUP($D1735,Merchantability!$B:$E,4,0)),(AV1735*O1735)*(1-$H1735/100),""),"")</f>
        <v/>
      </c>
      <c r="AZ1735" s="116"/>
      <c r="BA1735" s="116"/>
      <c r="BB1735" s="116"/>
      <c r="BE1735" s="62"/>
      <c r="BF1735" s="63"/>
    </row>
    <row r="1736" spans="1:58" ht="12.75" customHeight="1" x14ac:dyDescent="0.25">
      <c r="A1736" s="334"/>
      <c r="B1736" s="334"/>
      <c r="C1736" s="332"/>
      <c r="D1736" s="334"/>
      <c r="E1736" s="335"/>
      <c r="F1736" s="334"/>
      <c r="G1736" s="332"/>
      <c r="H1736" s="332"/>
      <c r="I1736" s="334"/>
      <c r="J1736" s="336"/>
      <c r="K1736" s="332"/>
      <c r="L1736" s="332"/>
      <c r="M1736" s="76"/>
      <c r="N1736" s="103" t="str">
        <f>IF(A1736="","",VLOOKUP(A1736,Stand!C:K,9,0))</f>
        <v/>
      </c>
      <c r="O1736" s="104" t="str">
        <f t="shared" si="767"/>
        <v/>
      </c>
      <c r="P1736" s="105" t="str">
        <f t="shared" si="768"/>
        <v/>
      </c>
      <c r="Q1736" s="105" t="str">
        <f t="shared" si="756"/>
        <v/>
      </c>
      <c r="R1736" s="103" t="str">
        <f t="shared" si="769"/>
        <v/>
      </c>
      <c r="S1736" s="103" t="str">
        <f t="shared" si="770"/>
        <v/>
      </c>
      <c r="T1736" s="106" t="str">
        <f t="shared" si="757"/>
        <v/>
      </c>
      <c r="U1736" s="106" t="str">
        <f t="shared" si="758"/>
        <v/>
      </c>
      <c r="V1736" s="106" t="str">
        <f t="shared" si="759"/>
        <v/>
      </c>
      <c r="W1736" s="105" t="str">
        <f t="shared" si="771"/>
        <v/>
      </c>
      <c r="X1736" s="104" t="str">
        <f t="shared" si="776"/>
        <v/>
      </c>
      <c r="Y1736" s="104" t="str">
        <f t="array" ref="Y1736">IFERROR(IF(ISNUMBER(O1736),IF(COUNT(IF(A1736=$A$2:$A$2427,IF(D1736=$D$2:$D$2427,IF($X$2:$X$2427&gt;0,1))))&gt;0,SUM(IF(A1736=$A$2:$A$2427,IF(D1736=$D$2:$D$2427,$X$2:$X$2427)))/COUNT(IF(A1736=$A$2:$A$2427,IF(D1736=$D$2:$D$2427,IF(ISNUMBER($X$2:$X$2427),1)))),0),""),0)</f>
        <v/>
      </c>
      <c r="Z1736" s="104" t="str">
        <f>IF(ISNUMBER(O1736),IF(I1736&gt;0,(10^(VLOOKUP(D1736,'Species Codes'!B:C,2,0)+VLOOKUP(D1736,'Species Codes'!B:D,3,0)*LOG(E1736)+VLOOKUP(D1736,'Species Codes'!B:E,4,0)*LOG(I1736))),0),"")</f>
        <v/>
      </c>
      <c r="AA1736" s="104" t="str">
        <f>IFERROR((VLOOKUP(D1736,'Species Codes'!B:G,6,0)*Z1736)/2000,"")</f>
        <v/>
      </c>
      <c r="AB1736" s="104" t="e">
        <f>IF(Z1736&gt;0,((IF(OR(D1736="DF",D1736="RA")=TRUE,EXP(VLOOKUP(D1736,'Species Codes'!B:I,8,0)+VLOOKUP(D1736,'Species Codes'!B:J,9,0)*(LN((E1736*2.54)))),IF(OR(D1736="PY",D1736="RC",D1736="WH",D1736="NF")=TRUE,VLOOKUP(D1736,'Species Codes'!B:I,8,0)+VLOOKUP(D1736,'Species Codes'!B:J,9,0)*((E1736*2.54)^2)*(I1736*0.3048),IF(OR(D1736="MD",D1736="BM",D1736="GA")=TRUE,((VLOOKUP(D1736,'Species Codes'!B:I,8,0)*(((((E1736*2.54)+VLOOKUP(D1736,'Species Codes'!B:J,9,0))/VLOOKUP(D1736,'Species Codes'!B:K,10,0))^VLOOKUP(D1736,'Species Codes'!B:L,11,0))*((I1736*0.3048)^VLOOKUP(D1736,'Species Codes'!B:M,12,0))))-(VLOOKUP(D1736,'Species Codes'!B:I,8,0)*((((E1736*2.54)^VLOOKUP(D1736,'Species Codes'!B:L,11,0))*((I1736*0.3048)^VLOOKUP(D1736,'Species Codes'!B:M,12,0))))))*35.3*VLOOKUP(D1736,'Species Codes'!B:G,6,0)/2.2046,VLOOKUP(D1736,'Species Codes'!B:I,8,0)+VLOOKUP(D1736,'Species Codes'!B:J,9,0)*(((E1736*2.54)/100)^2)*(I1736*0.3048)))))*0.0011023),0)</f>
        <v>#N/A</v>
      </c>
      <c r="AC1736" s="104" t="e">
        <f>IF(Z1736&gt;0,((IF(OR(D1736="RA",D1736="OA",D1736="OT",D1736="UN",D1736="PC"),EXP(VLOOKUP(D1736,'Species Codes'!B:O,14,0)+VLOOKUP(D1736,'Species Codes'!B:P,15,0)*LN((E1736*2.54)))-EXP(VLOOKUP(D1736,'Species Codes'!B:O,14,0)+VLOOKUP(D1736,'Species Codes'!B:P,15,0)*LN((E1736*2.54)))*(1/(VLOOKUP(D1736,'Species Codes'!B:Q,16,0)+VLOOKUP(D1736,'Species Codes'!B:R,17,0)*((E1736*2.54)^VLOOKUP(D1736,'Species Codes'!B:S,18,0)))),IF(OR(D1736="BM",D1736="MD",D1736="OA"),EXP(VLOOKUP(D1736,'Species Codes'!B:O,14,0)+VLOOKUP(D1736,'Species Codes'!B:P,15,0)*LN((E1736*2.54)))*(1-(1/(VLOOKUP(D1736,'Species Codes'!B:Q,16,0)+VLOOKUP(D1736,'Species Codes'!B:R,17,0)*((E1736*2.54)^VLOOKUP(D1736,'Species Codes'!B:S,18,0)))))/1000,IF(D1736="DF",EXP(VLOOKUP(D1736,'Species Codes'!B:O,14,0)+VLOOKUP(D1736,'Species Codes'!B:P,15,0)*LN((E1736*2.54))),VLOOKUP(D1736,'Species Codes'!B:O,14,0)+VLOOKUP(D1736,'Species Codes'!B:P,15,0)*(((E1736*2.54)/100)^2)*(I1736*0.3048)))))*0.0011023),0)</f>
        <v>#N/A</v>
      </c>
      <c r="AD1736" s="104" t="e">
        <f t="shared" si="760"/>
        <v>#N/A</v>
      </c>
      <c r="AE1736" s="104" t="e">
        <f t="shared" si="761"/>
        <v>#N/A</v>
      </c>
      <c r="AF1736" s="104" t="e">
        <f>IF(AND(VLOOKUP($D1736,Merchantability!$B:$C,2,0)="Yes",$E1736&gt;=VLOOKUP($D1736,Merchantability!$B:$D,3,0),$E1736&lt;=VLOOKUP($D1736,Merchantability!$B:$E,4,0)),AA1736,0)</f>
        <v>#N/A</v>
      </c>
      <c r="AG1736" s="104" t="e">
        <f>IF(AND(VLOOKUP($D1736,Merchantability!$B:$C,2,0)="Yes",$E1736&gt;=VLOOKUP($D1736,Merchantability!$B:$D,3,0),$E1736&lt;=VLOOKUP($D1736,Merchantability!$B:$E,4,0)),AB1736,0)</f>
        <v>#N/A</v>
      </c>
      <c r="AH1736" s="104" t="e">
        <f>IF(AND(VLOOKUP($D1736,Merchantability!$B:$C,2,0)="Yes",$E1736&gt;=VLOOKUP($D1736,Merchantability!$B:$D,3,0),$E1736&lt;=VLOOKUP($D1736,Merchantability!$B:$E,4,0)),AC1736,0)</f>
        <v>#N/A</v>
      </c>
      <c r="AI1736" s="104" t="e">
        <f t="shared" si="762"/>
        <v>#N/A</v>
      </c>
      <c r="AJ1736" s="104" t="e">
        <f t="shared" si="763"/>
        <v>#VALUE!</v>
      </c>
      <c r="AK1736" s="104" t="e">
        <f t="shared" si="764"/>
        <v>#N/A</v>
      </c>
      <c r="AL1736" s="104" t="e">
        <f t="shared" si="765"/>
        <v>#N/A</v>
      </c>
      <c r="AM1736" s="104" t="e">
        <f t="shared" si="766"/>
        <v>#N/A</v>
      </c>
      <c r="AN1736" s="104" t="e">
        <f t="shared" si="777"/>
        <v>#N/A</v>
      </c>
      <c r="AO1736" s="104" t="e">
        <f t="shared" si="778"/>
        <v>#N/A</v>
      </c>
      <c r="AP1736" s="104" t="e">
        <f t="shared" si="779"/>
        <v>#N/A</v>
      </c>
      <c r="AQ1736" s="104" t="e">
        <f t="shared" si="780"/>
        <v>#N/A</v>
      </c>
      <c r="AR1736" s="105" t="str">
        <f t="shared" si="772"/>
        <v/>
      </c>
      <c r="AS1736" s="105" t="str">
        <f t="shared" si="773"/>
        <v/>
      </c>
      <c r="AT1736" s="108" t="str">
        <f t="shared" si="774"/>
        <v/>
      </c>
      <c r="AU1736" s="108" t="str">
        <f t="shared" si="775"/>
        <v/>
      </c>
      <c r="AV1736" s="107" t="str">
        <f>IF(ISNUMBER(O1736),IF(VLOOKUP($A1736,Stand!C:J,8,FALSE)="Short",AT1736,AU1736),"")</f>
        <v/>
      </c>
      <c r="AW1736" s="109" t="str">
        <f t="shared" si="781"/>
        <v/>
      </c>
      <c r="AX1736" s="109" t="str">
        <f t="shared" si="782"/>
        <v/>
      </c>
      <c r="AY1736" s="112" t="str">
        <f>IF(ISNUMBER(O1736),IF(AND(VLOOKUP($D1736,Merchantability!$B:$C,2,0)="Yes",$E1736&gt;=VLOOKUP($D1736,Merchantability!$B:$D,3,0),$E1736&lt;=VLOOKUP($D1736,Merchantability!$B:$E,4,0)),(AV1736*O1736)*(1-$H1736/100),""),"")</f>
        <v/>
      </c>
      <c r="AZ1736" s="116"/>
      <c r="BA1736" s="116"/>
      <c r="BB1736" s="116"/>
      <c r="BE1736" s="62"/>
      <c r="BF1736" s="63"/>
    </row>
    <row r="1737" spans="1:58" ht="12.75" customHeight="1" x14ac:dyDescent="0.25">
      <c r="A1737" s="334"/>
      <c r="B1737" s="334"/>
      <c r="C1737" s="332"/>
      <c r="D1737" s="334"/>
      <c r="E1737" s="335"/>
      <c r="F1737" s="334"/>
      <c r="G1737" s="332"/>
      <c r="H1737" s="332"/>
      <c r="I1737" s="334"/>
      <c r="J1737" s="336"/>
      <c r="K1737" s="332"/>
      <c r="L1737" s="332"/>
      <c r="M1737" s="76"/>
      <c r="N1737" s="103" t="str">
        <f>IF(A1737="","",VLOOKUP(A1737,Stand!C:K,9,0))</f>
        <v/>
      </c>
      <c r="O1737" s="104" t="str">
        <f t="shared" si="767"/>
        <v/>
      </c>
      <c r="P1737" s="105" t="str">
        <f t="shared" si="768"/>
        <v/>
      </c>
      <c r="Q1737" s="105" t="str">
        <f t="shared" si="756"/>
        <v/>
      </c>
      <c r="R1737" s="103" t="str">
        <f t="shared" si="769"/>
        <v/>
      </c>
      <c r="S1737" s="103" t="str">
        <f t="shared" si="770"/>
        <v/>
      </c>
      <c r="T1737" s="106" t="str">
        <f t="shared" si="757"/>
        <v/>
      </c>
      <c r="U1737" s="106" t="str">
        <f t="shared" si="758"/>
        <v/>
      </c>
      <c r="V1737" s="106" t="str">
        <f t="shared" si="759"/>
        <v/>
      </c>
      <c r="W1737" s="105" t="str">
        <f t="shared" si="771"/>
        <v/>
      </c>
      <c r="X1737" s="104" t="str">
        <f t="shared" si="776"/>
        <v/>
      </c>
      <c r="Y1737" s="104" t="str">
        <f t="array" ref="Y1737">IFERROR(IF(ISNUMBER(O1737),IF(COUNT(IF(A1737=$A$2:$A$2427,IF(D1737=$D$2:$D$2427,IF($X$2:$X$2427&gt;0,1))))&gt;0,SUM(IF(A1737=$A$2:$A$2427,IF(D1737=$D$2:$D$2427,$X$2:$X$2427)))/COUNT(IF(A1737=$A$2:$A$2427,IF(D1737=$D$2:$D$2427,IF(ISNUMBER($X$2:$X$2427),1)))),0),""),0)</f>
        <v/>
      </c>
      <c r="Z1737" s="104" t="str">
        <f>IF(ISNUMBER(O1737),IF(I1737&gt;0,(10^(VLOOKUP(D1737,'Species Codes'!B:C,2,0)+VLOOKUP(D1737,'Species Codes'!B:D,3,0)*LOG(E1737)+VLOOKUP(D1737,'Species Codes'!B:E,4,0)*LOG(I1737))),0),"")</f>
        <v/>
      </c>
      <c r="AA1737" s="104" t="str">
        <f>IFERROR((VLOOKUP(D1737,'Species Codes'!B:G,6,0)*Z1737)/2000,"")</f>
        <v/>
      </c>
      <c r="AB1737" s="104" t="e">
        <f>IF(Z1737&gt;0,((IF(OR(D1737="DF",D1737="RA")=TRUE,EXP(VLOOKUP(D1737,'Species Codes'!B:I,8,0)+VLOOKUP(D1737,'Species Codes'!B:J,9,0)*(LN((E1737*2.54)))),IF(OR(D1737="PY",D1737="RC",D1737="WH",D1737="NF")=TRUE,VLOOKUP(D1737,'Species Codes'!B:I,8,0)+VLOOKUP(D1737,'Species Codes'!B:J,9,0)*((E1737*2.54)^2)*(I1737*0.3048),IF(OR(D1737="MD",D1737="BM",D1737="GA")=TRUE,((VLOOKUP(D1737,'Species Codes'!B:I,8,0)*(((((E1737*2.54)+VLOOKUP(D1737,'Species Codes'!B:J,9,0))/VLOOKUP(D1737,'Species Codes'!B:K,10,0))^VLOOKUP(D1737,'Species Codes'!B:L,11,0))*((I1737*0.3048)^VLOOKUP(D1737,'Species Codes'!B:M,12,0))))-(VLOOKUP(D1737,'Species Codes'!B:I,8,0)*((((E1737*2.54)^VLOOKUP(D1737,'Species Codes'!B:L,11,0))*((I1737*0.3048)^VLOOKUP(D1737,'Species Codes'!B:M,12,0))))))*35.3*VLOOKUP(D1737,'Species Codes'!B:G,6,0)/2.2046,VLOOKUP(D1737,'Species Codes'!B:I,8,0)+VLOOKUP(D1737,'Species Codes'!B:J,9,0)*(((E1737*2.54)/100)^2)*(I1737*0.3048)))))*0.0011023),0)</f>
        <v>#N/A</v>
      </c>
      <c r="AC1737" s="104" t="e">
        <f>IF(Z1737&gt;0,((IF(OR(D1737="RA",D1737="OA",D1737="OT",D1737="UN",D1737="PC"),EXP(VLOOKUP(D1737,'Species Codes'!B:O,14,0)+VLOOKUP(D1737,'Species Codes'!B:P,15,0)*LN((E1737*2.54)))-EXP(VLOOKUP(D1737,'Species Codes'!B:O,14,0)+VLOOKUP(D1737,'Species Codes'!B:P,15,0)*LN((E1737*2.54)))*(1/(VLOOKUP(D1737,'Species Codes'!B:Q,16,0)+VLOOKUP(D1737,'Species Codes'!B:R,17,0)*((E1737*2.54)^VLOOKUP(D1737,'Species Codes'!B:S,18,0)))),IF(OR(D1737="BM",D1737="MD",D1737="OA"),EXP(VLOOKUP(D1737,'Species Codes'!B:O,14,0)+VLOOKUP(D1737,'Species Codes'!B:P,15,0)*LN((E1737*2.54)))*(1-(1/(VLOOKUP(D1737,'Species Codes'!B:Q,16,0)+VLOOKUP(D1737,'Species Codes'!B:R,17,0)*((E1737*2.54)^VLOOKUP(D1737,'Species Codes'!B:S,18,0)))))/1000,IF(D1737="DF",EXP(VLOOKUP(D1737,'Species Codes'!B:O,14,0)+VLOOKUP(D1737,'Species Codes'!B:P,15,0)*LN((E1737*2.54))),VLOOKUP(D1737,'Species Codes'!B:O,14,0)+VLOOKUP(D1737,'Species Codes'!B:P,15,0)*(((E1737*2.54)/100)^2)*(I1737*0.3048)))))*0.0011023),0)</f>
        <v>#N/A</v>
      </c>
      <c r="AD1737" s="104" t="e">
        <f t="shared" si="760"/>
        <v>#N/A</v>
      </c>
      <c r="AE1737" s="104" t="e">
        <f t="shared" si="761"/>
        <v>#N/A</v>
      </c>
      <c r="AF1737" s="104" t="e">
        <f>IF(AND(VLOOKUP($D1737,Merchantability!$B:$C,2,0)="Yes",$E1737&gt;=VLOOKUP($D1737,Merchantability!$B:$D,3,0),$E1737&lt;=VLOOKUP($D1737,Merchantability!$B:$E,4,0)),AA1737,0)</f>
        <v>#N/A</v>
      </c>
      <c r="AG1737" s="104" t="e">
        <f>IF(AND(VLOOKUP($D1737,Merchantability!$B:$C,2,0)="Yes",$E1737&gt;=VLOOKUP($D1737,Merchantability!$B:$D,3,0),$E1737&lt;=VLOOKUP($D1737,Merchantability!$B:$E,4,0)),AB1737,0)</f>
        <v>#N/A</v>
      </c>
      <c r="AH1737" s="104" t="e">
        <f>IF(AND(VLOOKUP($D1737,Merchantability!$B:$C,2,0)="Yes",$E1737&gt;=VLOOKUP($D1737,Merchantability!$B:$D,3,0),$E1737&lt;=VLOOKUP($D1737,Merchantability!$B:$E,4,0)),AC1737,0)</f>
        <v>#N/A</v>
      </c>
      <c r="AI1737" s="104" t="e">
        <f t="shared" si="762"/>
        <v>#N/A</v>
      </c>
      <c r="AJ1737" s="104" t="e">
        <f t="shared" si="763"/>
        <v>#VALUE!</v>
      </c>
      <c r="AK1737" s="104" t="e">
        <f t="shared" si="764"/>
        <v>#N/A</v>
      </c>
      <c r="AL1737" s="104" t="e">
        <f t="shared" si="765"/>
        <v>#N/A</v>
      </c>
      <c r="AM1737" s="104" t="e">
        <f t="shared" si="766"/>
        <v>#N/A</v>
      </c>
      <c r="AN1737" s="104" t="e">
        <f t="shared" si="777"/>
        <v>#N/A</v>
      </c>
      <c r="AO1737" s="104" t="e">
        <f t="shared" si="778"/>
        <v>#N/A</v>
      </c>
      <c r="AP1737" s="104" t="e">
        <f t="shared" si="779"/>
        <v>#N/A</v>
      </c>
      <c r="AQ1737" s="104" t="e">
        <f t="shared" si="780"/>
        <v>#N/A</v>
      </c>
      <c r="AR1737" s="105" t="str">
        <f t="shared" si="772"/>
        <v/>
      </c>
      <c r="AS1737" s="105" t="str">
        <f t="shared" si="773"/>
        <v/>
      </c>
      <c r="AT1737" s="108" t="str">
        <f t="shared" si="774"/>
        <v/>
      </c>
      <c r="AU1737" s="108" t="str">
        <f t="shared" si="775"/>
        <v/>
      </c>
      <c r="AV1737" s="107" t="str">
        <f>IF(ISNUMBER(O1737),IF(VLOOKUP($A1737,Stand!C:J,8,FALSE)="Short",AT1737,AU1737),"")</f>
        <v/>
      </c>
      <c r="AW1737" s="109" t="str">
        <f t="shared" si="781"/>
        <v/>
      </c>
      <c r="AX1737" s="109" t="str">
        <f t="shared" si="782"/>
        <v/>
      </c>
      <c r="AY1737" s="112" t="str">
        <f>IF(ISNUMBER(O1737),IF(AND(VLOOKUP($D1737,Merchantability!$B:$C,2,0)="Yes",$E1737&gt;=VLOOKUP($D1737,Merchantability!$B:$D,3,0),$E1737&lt;=VLOOKUP($D1737,Merchantability!$B:$E,4,0)),(AV1737*O1737)*(1-$H1737/100),""),"")</f>
        <v/>
      </c>
      <c r="AZ1737" s="116"/>
      <c r="BA1737" s="116"/>
      <c r="BB1737" s="116"/>
      <c r="BE1737" s="62"/>
      <c r="BF1737" s="63"/>
    </row>
    <row r="1738" spans="1:58" ht="12.75" customHeight="1" x14ac:dyDescent="0.25">
      <c r="A1738" s="334"/>
      <c r="B1738" s="334"/>
      <c r="C1738" s="332"/>
      <c r="D1738" s="334"/>
      <c r="E1738" s="335"/>
      <c r="F1738" s="334"/>
      <c r="G1738" s="332"/>
      <c r="H1738" s="332"/>
      <c r="I1738" s="334"/>
      <c r="J1738" s="336"/>
      <c r="K1738" s="332"/>
      <c r="L1738" s="332"/>
      <c r="M1738" s="76"/>
      <c r="N1738" s="103" t="str">
        <f>IF(A1738="","",VLOOKUP(A1738,Stand!C:K,9,0))</f>
        <v/>
      </c>
      <c r="O1738" s="104" t="str">
        <f t="shared" si="767"/>
        <v/>
      </c>
      <c r="P1738" s="105" t="str">
        <f t="shared" si="768"/>
        <v/>
      </c>
      <c r="Q1738" s="105" t="str">
        <f t="shared" si="756"/>
        <v/>
      </c>
      <c r="R1738" s="103" t="str">
        <f t="shared" si="769"/>
        <v/>
      </c>
      <c r="S1738" s="103" t="str">
        <f t="shared" si="770"/>
        <v/>
      </c>
      <c r="T1738" s="106" t="str">
        <f t="shared" si="757"/>
        <v/>
      </c>
      <c r="U1738" s="106" t="str">
        <f t="shared" si="758"/>
        <v/>
      </c>
      <c r="V1738" s="106" t="str">
        <f t="shared" si="759"/>
        <v/>
      </c>
      <c r="W1738" s="105" t="str">
        <f t="shared" si="771"/>
        <v/>
      </c>
      <c r="X1738" s="104" t="str">
        <f t="shared" si="776"/>
        <v/>
      </c>
      <c r="Y1738" s="104" t="str">
        <f t="array" ref="Y1738">IFERROR(IF(ISNUMBER(O1738),IF(COUNT(IF(A1738=$A$2:$A$2427,IF(D1738=$D$2:$D$2427,IF($X$2:$X$2427&gt;0,1))))&gt;0,SUM(IF(A1738=$A$2:$A$2427,IF(D1738=$D$2:$D$2427,$X$2:$X$2427)))/COUNT(IF(A1738=$A$2:$A$2427,IF(D1738=$D$2:$D$2427,IF(ISNUMBER($X$2:$X$2427),1)))),0),""),0)</f>
        <v/>
      </c>
      <c r="Z1738" s="104" t="str">
        <f>IF(ISNUMBER(O1738),IF(I1738&gt;0,(10^(VLOOKUP(D1738,'Species Codes'!B:C,2,0)+VLOOKUP(D1738,'Species Codes'!B:D,3,0)*LOG(E1738)+VLOOKUP(D1738,'Species Codes'!B:E,4,0)*LOG(I1738))),0),"")</f>
        <v/>
      </c>
      <c r="AA1738" s="104" t="str">
        <f>IFERROR((VLOOKUP(D1738,'Species Codes'!B:G,6,0)*Z1738)/2000,"")</f>
        <v/>
      </c>
      <c r="AB1738" s="104" t="e">
        <f>IF(Z1738&gt;0,((IF(OR(D1738="DF",D1738="RA")=TRUE,EXP(VLOOKUP(D1738,'Species Codes'!B:I,8,0)+VLOOKUP(D1738,'Species Codes'!B:J,9,0)*(LN((E1738*2.54)))),IF(OR(D1738="PY",D1738="RC",D1738="WH",D1738="NF")=TRUE,VLOOKUP(D1738,'Species Codes'!B:I,8,0)+VLOOKUP(D1738,'Species Codes'!B:J,9,0)*((E1738*2.54)^2)*(I1738*0.3048),IF(OR(D1738="MD",D1738="BM",D1738="GA")=TRUE,((VLOOKUP(D1738,'Species Codes'!B:I,8,0)*(((((E1738*2.54)+VLOOKUP(D1738,'Species Codes'!B:J,9,0))/VLOOKUP(D1738,'Species Codes'!B:K,10,0))^VLOOKUP(D1738,'Species Codes'!B:L,11,0))*((I1738*0.3048)^VLOOKUP(D1738,'Species Codes'!B:M,12,0))))-(VLOOKUP(D1738,'Species Codes'!B:I,8,0)*((((E1738*2.54)^VLOOKUP(D1738,'Species Codes'!B:L,11,0))*((I1738*0.3048)^VLOOKUP(D1738,'Species Codes'!B:M,12,0))))))*35.3*VLOOKUP(D1738,'Species Codes'!B:G,6,0)/2.2046,VLOOKUP(D1738,'Species Codes'!B:I,8,0)+VLOOKUP(D1738,'Species Codes'!B:J,9,0)*(((E1738*2.54)/100)^2)*(I1738*0.3048)))))*0.0011023),0)</f>
        <v>#N/A</v>
      </c>
      <c r="AC1738" s="104" t="e">
        <f>IF(Z1738&gt;0,((IF(OR(D1738="RA",D1738="OA",D1738="OT",D1738="UN",D1738="PC"),EXP(VLOOKUP(D1738,'Species Codes'!B:O,14,0)+VLOOKUP(D1738,'Species Codes'!B:P,15,0)*LN((E1738*2.54)))-EXP(VLOOKUP(D1738,'Species Codes'!B:O,14,0)+VLOOKUP(D1738,'Species Codes'!B:P,15,0)*LN((E1738*2.54)))*(1/(VLOOKUP(D1738,'Species Codes'!B:Q,16,0)+VLOOKUP(D1738,'Species Codes'!B:R,17,0)*((E1738*2.54)^VLOOKUP(D1738,'Species Codes'!B:S,18,0)))),IF(OR(D1738="BM",D1738="MD",D1738="OA"),EXP(VLOOKUP(D1738,'Species Codes'!B:O,14,0)+VLOOKUP(D1738,'Species Codes'!B:P,15,0)*LN((E1738*2.54)))*(1-(1/(VLOOKUP(D1738,'Species Codes'!B:Q,16,0)+VLOOKUP(D1738,'Species Codes'!B:R,17,0)*((E1738*2.54)^VLOOKUP(D1738,'Species Codes'!B:S,18,0)))))/1000,IF(D1738="DF",EXP(VLOOKUP(D1738,'Species Codes'!B:O,14,0)+VLOOKUP(D1738,'Species Codes'!B:P,15,0)*LN((E1738*2.54))),VLOOKUP(D1738,'Species Codes'!B:O,14,0)+VLOOKUP(D1738,'Species Codes'!B:P,15,0)*(((E1738*2.54)/100)^2)*(I1738*0.3048)))))*0.0011023),0)</f>
        <v>#N/A</v>
      </c>
      <c r="AD1738" s="104" t="e">
        <f t="shared" si="760"/>
        <v>#N/A</v>
      </c>
      <c r="AE1738" s="104" t="e">
        <f t="shared" si="761"/>
        <v>#N/A</v>
      </c>
      <c r="AF1738" s="104" t="e">
        <f>IF(AND(VLOOKUP($D1738,Merchantability!$B:$C,2,0)="Yes",$E1738&gt;=VLOOKUP($D1738,Merchantability!$B:$D,3,0),$E1738&lt;=VLOOKUP($D1738,Merchantability!$B:$E,4,0)),AA1738,0)</f>
        <v>#N/A</v>
      </c>
      <c r="AG1738" s="104" t="e">
        <f>IF(AND(VLOOKUP($D1738,Merchantability!$B:$C,2,0)="Yes",$E1738&gt;=VLOOKUP($D1738,Merchantability!$B:$D,3,0),$E1738&lt;=VLOOKUP($D1738,Merchantability!$B:$E,4,0)),AB1738,0)</f>
        <v>#N/A</v>
      </c>
      <c r="AH1738" s="104" t="e">
        <f>IF(AND(VLOOKUP($D1738,Merchantability!$B:$C,2,0)="Yes",$E1738&gt;=VLOOKUP($D1738,Merchantability!$B:$D,3,0),$E1738&lt;=VLOOKUP($D1738,Merchantability!$B:$E,4,0)),AC1738,0)</f>
        <v>#N/A</v>
      </c>
      <c r="AI1738" s="104" t="e">
        <f t="shared" si="762"/>
        <v>#N/A</v>
      </c>
      <c r="AJ1738" s="104" t="e">
        <f t="shared" si="763"/>
        <v>#VALUE!</v>
      </c>
      <c r="AK1738" s="104" t="e">
        <f t="shared" si="764"/>
        <v>#N/A</v>
      </c>
      <c r="AL1738" s="104" t="e">
        <f t="shared" si="765"/>
        <v>#N/A</v>
      </c>
      <c r="AM1738" s="104" t="e">
        <f t="shared" si="766"/>
        <v>#N/A</v>
      </c>
      <c r="AN1738" s="104" t="e">
        <f t="shared" si="777"/>
        <v>#N/A</v>
      </c>
      <c r="AO1738" s="104" t="e">
        <f t="shared" si="778"/>
        <v>#N/A</v>
      </c>
      <c r="AP1738" s="104" t="e">
        <f t="shared" si="779"/>
        <v>#N/A</v>
      </c>
      <c r="AQ1738" s="104" t="e">
        <f t="shared" si="780"/>
        <v>#N/A</v>
      </c>
      <c r="AR1738" s="105" t="str">
        <f t="shared" si="772"/>
        <v/>
      </c>
      <c r="AS1738" s="105" t="str">
        <f t="shared" si="773"/>
        <v/>
      </c>
      <c r="AT1738" s="108" t="str">
        <f t="shared" si="774"/>
        <v/>
      </c>
      <c r="AU1738" s="108" t="str">
        <f t="shared" si="775"/>
        <v/>
      </c>
      <c r="AV1738" s="107" t="str">
        <f>IF(ISNUMBER(O1738),IF(VLOOKUP($A1738,Stand!C:J,8,FALSE)="Short",AT1738,AU1738),"")</f>
        <v/>
      </c>
      <c r="AW1738" s="109" t="str">
        <f t="shared" si="781"/>
        <v/>
      </c>
      <c r="AX1738" s="109" t="str">
        <f t="shared" si="782"/>
        <v/>
      </c>
      <c r="AY1738" s="112" t="str">
        <f>IF(ISNUMBER(O1738),IF(AND(VLOOKUP($D1738,Merchantability!$B:$C,2,0)="Yes",$E1738&gt;=VLOOKUP($D1738,Merchantability!$B:$D,3,0),$E1738&lt;=VLOOKUP($D1738,Merchantability!$B:$E,4,0)),(AV1738*O1738)*(1-$H1738/100),""),"")</f>
        <v/>
      </c>
      <c r="AZ1738" s="116"/>
      <c r="BA1738" s="116"/>
      <c r="BB1738" s="116"/>
      <c r="BE1738" s="62"/>
      <c r="BF1738" s="63"/>
    </row>
    <row r="1739" spans="1:58" ht="12.75" customHeight="1" x14ac:dyDescent="0.25">
      <c r="A1739" s="334"/>
      <c r="B1739" s="334"/>
      <c r="C1739" s="332"/>
      <c r="D1739" s="334"/>
      <c r="E1739" s="335"/>
      <c r="F1739" s="334"/>
      <c r="G1739" s="332"/>
      <c r="H1739" s="332"/>
      <c r="I1739" s="334"/>
      <c r="J1739" s="336"/>
      <c r="K1739" s="332"/>
      <c r="L1739" s="332"/>
      <c r="M1739" s="76"/>
      <c r="N1739" s="103" t="str">
        <f>IF(A1739="","",VLOOKUP(A1739,Stand!C:K,9,0))</f>
        <v/>
      </c>
      <c r="O1739" s="104" t="str">
        <f t="shared" si="767"/>
        <v/>
      </c>
      <c r="P1739" s="105" t="str">
        <f t="shared" si="768"/>
        <v/>
      </c>
      <c r="Q1739" s="105" t="str">
        <f t="shared" si="756"/>
        <v/>
      </c>
      <c r="R1739" s="103" t="str">
        <f t="shared" si="769"/>
        <v/>
      </c>
      <c r="S1739" s="103" t="str">
        <f t="shared" si="770"/>
        <v/>
      </c>
      <c r="T1739" s="106" t="str">
        <f t="shared" si="757"/>
        <v/>
      </c>
      <c r="U1739" s="106" t="str">
        <f t="shared" si="758"/>
        <v/>
      </c>
      <c r="V1739" s="106" t="str">
        <f t="shared" si="759"/>
        <v/>
      </c>
      <c r="W1739" s="105" t="str">
        <f t="shared" si="771"/>
        <v/>
      </c>
      <c r="X1739" s="104" t="str">
        <f t="shared" si="776"/>
        <v/>
      </c>
      <c r="Y1739" s="104" t="str">
        <f t="array" ref="Y1739">IFERROR(IF(ISNUMBER(O1739),IF(COUNT(IF(A1739=$A$2:$A$2427,IF(D1739=$D$2:$D$2427,IF($X$2:$X$2427&gt;0,1))))&gt;0,SUM(IF(A1739=$A$2:$A$2427,IF(D1739=$D$2:$D$2427,$X$2:$X$2427)))/COUNT(IF(A1739=$A$2:$A$2427,IF(D1739=$D$2:$D$2427,IF(ISNUMBER($X$2:$X$2427),1)))),0),""),0)</f>
        <v/>
      </c>
      <c r="Z1739" s="104" t="str">
        <f>IF(ISNUMBER(O1739),IF(I1739&gt;0,(10^(VLOOKUP(D1739,'Species Codes'!B:C,2,0)+VLOOKUP(D1739,'Species Codes'!B:D,3,0)*LOG(E1739)+VLOOKUP(D1739,'Species Codes'!B:E,4,0)*LOG(I1739))),0),"")</f>
        <v/>
      </c>
      <c r="AA1739" s="104" t="str">
        <f>IFERROR((VLOOKUP(D1739,'Species Codes'!B:G,6,0)*Z1739)/2000,"")</f>
        <v/>
      </c>
      <c r="AB1739" s="104" t="e">
        <f>IF(Z1739&gt;0,((IF(OR(D1739="DF",D1739="RA")=TRUE,EXP(VLOOKUP(D1739,'Species Codes'!B:I,8,0)+VLOOKUP(D1739,'Species Codes'!B:J,9,0)*(LN((E1739*2.54)))),IF(OR(D1739="PY",D1739="RC",D1739="WH",D1739="NF")=TRUE,VLOOKUP(D1739,'Species Codes'!B:I,8,0)+VLOOKUP(D1739,'Species Codes'!B:J,9,0)*((E1739*2.54)^2)*(I1739*0.3048),IF(OR(D1739="MD",D1739="BM",D1739="GA")=TRUE,((VLOOKUP(D1739,'Species Codes'!B:I,8,0)*(((((E1739*2.54)+VLOOKUP(D1739,'Species Codes'!B:J,9,0))/VLOOKUP(D1739,'Species Codes'!B:K,10,0))^VLOOKUP(D1739,'Species Codes'!B:L,11,0))*((I1739*0.3048)^VLOOKUP(D1739,'Species Codes'!B:M,12,0))))-(VLOOKUP(D1739,'Species Codes'!B:I,8,0)*((((E1739*2.54)^VLOOKUP(D1739,'Species Codes'!B:L,11,0))*((I1739*0.3048)^VLOOKUP(D1739,'Species Codes'!B:M,12,0))))))*35.3*VLOOKUP(D1739,'Species Codes'!B:G,6,0)/2.2046,VLOOKUP(D1739,'Species Codes'!B:I,8,0)+VLOOKUP(D1739,'Species Codes'!B:J,9,0)*(((E1739*2.54)/100)^2)*(I1739*0.3048)))))*0.0011023),0)</f>
        <v>#N/A</v>
      </c>
      <c r="AC1739" s="104" t="e">
        <f>IF(Z1739&gt;0,((IF(OR(D1739="RA",D1739="OA",D1739="OT",D1739="UN",D1739="PC"),EXP(VLOOKUP(D1739,'Species Codes'!B:O,14,0)+VLOOKUP(D1739,'Species Codes'!B:P,15,0)*LN((E1739*2.54)))-EXP(VLOOKUP(D1739,'Species Codes'!B:O,14,0)+VLOOKUP(D1739,'Species Codes'!B:P,15,0)*LN((E1739*2.54)))*(1/(VLOOKUP(D1739,'Species Codes'!B:Q,16,0)+VLOOKUP(D1739,'Species Codes'!B:R,17,0)*((E1739*2.54)^VLOOKUP(D1739,'Species Codes'!B:S,18,0)))),IF(OR(D1739="BM",D1739="MD",D1739="OA"),EXP(VLOOKUP(D1739,'Species Codes'!B:O,14,0)+VLOOKUP(D1739,'Species Codes'!B:P,15,0)*LN((E1739*2.54)))*(1-(1/(VLOOKUP(D1739,'Species Codes'!B:Q,16,0)+VLOOKUP(D1739,'Species Codes'!B:R,17,0)*((E1739*2.54)^VLOOKUP(D1739,'Species Codes'!B:S,18,0)))))/1000,IF(D1739="DF",EXP(VLOOKUP(D1739,'Species Codes'!B:O,14,0)+VLOOKUP(D1739,'Species Codes'!B:P,15,0)*LN((E1739*2.54))),VLOOKUP(D1739,'Species Codes'!B:O,14,0)+VLOOKUP(D1739,'Species Codes'!B:P,15,0)*(((E1739*2.54)/100)^2)*(I1739*0.3048)))))*0.0011023),0)</f>
        <v>#N/A</v>
      </c>
      <c r="AD1739" s="104" t="e">
        <f t="shared" si="760"/>
        <v>#N/A</v>
      </c>
      <c r="AE1739" s="104" t="e">
        <f t="shared" si="761"/>
        <v>#N/A</v>
      </c>
      <c r="AF1739" s="104" t="e">
        <f>IF(AND(VLOOKUP($D1739,Merchantability!$B:$C,2,0)="Yes",$E1739&gt;=VLOOKUP($D1739,Merchantability!$B:$D,3,0),$E1739&lt;=VLOOKUP($D1739,Merchantability!$B:$E,4,0)),AA1739,0)</f>
        <v>#N/A</v>
      </c>
      <c r="AG1739" s="104" t="e">
        <f>IF(AND(VLOOKUP($D1739,Merchantability!$B:$C,2,0)="Yes",$E1739&gt;=VLOOKUP($D1739,Merchantability!$B:$D,3,0),$E1739&lt;=VLOOKUP($D1739,Merchantability!$B:$E,4,0)),AB1739,0)</f>
        <v>#N/A</v>
      </c>
      <c r="AH1739" s="104" t="e">
        <f>IF(AND(VLOOKUP($D1739,Merchantability!$B:$C,2,0)="Yes",$E1739&gt;=VLOOKUP($D1739,Merchantability!$B:$D,3,0),$E1739&lt;=VLOOKUP($D1739,Merchantability!$B:$E,4,0)),AC1739,0)</f>
        <v>#N/A</v>
      </c>
      <c r="AI1739" s="104" t="e">
        <f t="shared" si="762"/>
        <v>#N/A</v>
      </c>
      <c r="AJ1739" s="104" t="e">
        <f t="shared" si="763"/>
        <v>#VALUE!</v>
      </c>
      <c r="AK1739" s="104" t="e">
        <f t="shared" si="764"/>
        <v>#N/A</v>
      </c>
      <c r="AL1739" s="104" t="e">
        <f t="shared" si="765"/>
        <v>#N/A</v>
      </c>
      <c r="AM1739" s="104" t="e">
        <f t="shared" si="766"/>
        <v>#N/A</v>
      </c>
      <c r="AN1739" s="104" t="e">
        <f t="shared" si="777"/>
        <v>#N/A</v>
      </c>
      <c r="AO1739" s="104" t="e">
        <f t="shared" si="778"/>
        <v>#N/A</v>
      </c>
      <c r="AP1739" s="104" t="e">
        <f t="shared" si="779"/>
        <v>#N/A</v>
      </c>
      <c r="AQ1739" s="104" t="e">
        <f t="shared" si="780"/>
        <v>#N/A</v>
      </c>
      <c r="AR1739" s="105" t="str">
        <f t="shared" si="772"/>
        <v/>
      </c>
      <c r="AS1739" s="105" t="str">
        <f t="shared" si="773"/>
        <v/>
      </c>
      <c r="AT1739" s="108" t="str">
        <f t="shared" si="774"/>
        <v/>
      </c>
      <c r="AU1739" s="108" t="str">
        <f t="shared" si="775"/>
        <v/>
      </c>
      <c r="AV1739" s="107" t="str">
        <f>IF(ISNUMBER(O1739),IF(VLOOKUP($A1739,Stand!C:J,8,FALSE)="Short",AT1739,AU1739),"")</f>
        <v/>
      </c>
      <c r="AW1739" s="109" t="str">
        <f t="shared" si="781"/>
        <v/>
      </c>
      <c r="AX1739" s="109" t="str">
        <f t="shared" si="782"/>
        <v/>
      </c>
      <c r="AY1739" s="112" t="str">
        <f>IF(ISNUMBER(O1739),IF(AND(VLOOKUP($D1739,Merchantability!$B:$C,2,0)="Yes",$E1739&gt;=VLOOKUP($D1739,Merchantability!$B:$D,3,0),$E1739&lt;=VLOOKUP($D1739,Merchantability!$B:$E,4,0)),(AV1739*O1739)*(1-$H1739/100),""),"")</f>
        <v/>
      </c>
      <c r="AZ1739" s="116"/>
      <c r="BA1739" s="116"/>
      <c r="BB1739" s="116"/>
      <c r="BE1739" s="62"/>
      <c r="BF1739" s="63"/>
    </row>
    <row r="1740" spans="1:58" ht="12.75" customHeight="1" x14ac:dyDescent="0.25">
      <c r="A1740" s="334"/>
      <c r="B1740" s="334"/>
      <c r="C1740" s="332"/>
      <c r="D1740" s="334"/>
      <c r="E1740" s="335"/>
      <c r="F1740" s="334"/>
      <c r="G1740" s="332"/>
      <c r="H1740" s="332"/>
      <c r="I1740" s="334"/>
      <c r="J1740" s="336"/>
      <c r="K1740" s="332"/>
      <c r="L1740" s="332"/>
      <c r="M1740" s="76"/>
      <c r="N1740" s="103" t="str">
        <f>IF(A1740="","",VLOOKUP(A1740,Stand!C:K,9,0))</f>
        <v/>
      </c>
      <c r="O1740" s="104" t="str">
        <f t="shared" si="767"/>
        <v/>
      </c>
      <c r="P1740" s="105" t="str">
        <f t="shared" si="768"/>
        <v/>
      </c>
      <c r="Q1740" s="105" t="str">
        <f t="shared" si="756"/>
        <v/>
      </c>
      <c r="R1740" s="103" t="str">
        <f t="shared" si="769"/>
        <v/>
      </c>
      <c r="S1740" s="103" t="str">
        <f t="shared" si="770"/>
        <v/>
      </c>
      <c r="T1740" s="106" t="str">
        <f t="shared" si="757"/>
        <v/>
      </c>
      <c r="U1740" s="106" t="str">
        <f t="shared" si="758"/>
        <v/>
      </c>
      <c r="V1740" s="106" t="str">
        <f t="shared" si="759"/>
        <v/>
      </c>
      <c r="W1740" s="105" t="str">
        <f t="shared" si="771"/>
        <v/>
      </c>
      <c r="X1740" s="104" t="str">
        <f t="shared" si="776"/>
        <v/>
      </c>
      <c r="Y1740" s="104" t="str">
        <f t="array" ref="Y1740">IFERROR(IF(ISNUMBER(O1740),IF(COUNT(IF(A1740=$A$2:$A$2427,IF(D1740=$D$2:$D$2427,IF($X$2:$X$2427&gt;0,1))))&gt;0,SUM(IF(A1740=$A$2:$A$2427,IF(D1740=$D$2:$D$2427,$X$2:$X$2427)))/COUNT(IF(A1740=$A$2:$A$2427,IF(D1740=$D$2:$D$2427,IF(ISNUMBER($X$2:$X$2427),1)))),0),""),0)</f>
        <v/>
      </c>
      <c r="Z1740" s="104" t="str">
        <f>IF(ISNUMBER(O1740),IF(I1740&gt;0,(10^(VLOOKUP(D1740,'Species Codes'!B:C,2,0)+VLOOKUP(D1740,'Species Codes'!B:D,3,0)*LOG(E1740)+VLOOKUP(D1740,'Species Codes'!B:E,4,0)*LOG(I1740))),0),"")</f>
        <v/>
      </c>
      <c r="AA1740" s="104" t="str">
        <f>IFERROR((VLOOKUP(D1740,'Species Codes'!B:G,6,0)*Z1740)/2000,"")</f>
        <v/>
      </c>
      <c r="AB1740" s="104" t="e">
        <f>IF(Z1740&gt;0,((IF(OR(D1740="DF",D1740="RA")=TRUE,EXP(VLOOKUP(D1740,'Species Codes'!B:I,8,0)+VLOOKUP(D1740,'Species Codes'!B:J,9,0)*(LN((E1740*2.54)))),IF(OR(D1740="PY",D1740="RC",D1740="WH",D1740="NF")=TRUE,VLOOKUP(D1740,'Species Codes'!B:I,8,0)+VLOOKUP(D1740,'Species Codes'!B:J,9,0)*((E1740*2.54)^2)*(I1740*0.3048),IF(OR(D1740="MD",D1740="BM",D1740="GA")=TRUE,((VLOOKUP(D1740,'Species Codes'!B:I,8,0)*(((((E1740*2.54)+VLOOKUP(D1740,'Species Codes'!B:J,9,0))/VLOOKUP(D1740,'Species Codes'!B:K,10,0))^VLOOKUP(D1740,'Species Codes'!B:L,11,0))*((I1740*0.3048)^VLOOKUP(D1740,'Species Codes'!B:M,12,0))))-(VLOOKUP(D1740,'Species Codes'!B:I,8,0)*((((E1740*2.54)^VLOOKUP(D1740,'Species Codes'!B:L,11,0))*((I1740*0.3048)^VLOOKUP(D1740,'Species Codes'!B:M,12,0))))))*35.3*VLOOKUP(D1740,'Species Codes'!B:G,6,0)/2.2046,VLOOKUP(D1740,'Species Codes'!B:I,8,0)+VLOOKUP(D1740,'Species Codes'!B:J,9,0)*(((E1740*2.54)/100)^2)*(I1740*0.3048)))))*0.0011023),0)</f>
        <v>#N/A</v>
      </c>
      <c r="AC1740" s="104" t="e">
        <f>IF(Z1740&gt;0,((IF(OR(D1740="RA",D1740="OA",D1740="OT",D1740="UN",D1740="PC"),EXP(VLOOKUP(D1740,'Species Codes'!B:O,14,0)+VLOOKUP(D1740,'Species Codes'!B:P,15,0)*LN((E1740*2.54)))-EXP(VLOOKUP(D1740,'Species Codes'!B:O,14,0)+VLOOKUP(D1740,'Species Codes'!B:P,15,0)*LN((E1740*2.54)))*(1/(VLOOKUP(D1740,'Species Codes'!B:Q,16,0)+VLOOKUP(D1740,'Species Codes'!B:R,17,0)*((E1740*2.54)^VLOOKUP(D1740,'Species Codes'!B:S,18,0)))),IF(OR(D1740="BM",D1740="MD",D1740="OA"),EXP(VLOOKUP(D1740,'Species Codes'!B:O,14,0)+VLOOKUP(D1740,'Species Codes'!B:P,15,0)*LN((E1740*2.54)))*(1-(1/(VLOOKUP(D1740,'Species Codes'!B:Q,16,0)+VLOOKUP(D1740,'Species Codes'!B:R,17,0)*((E1740*2.54)^VLOOKUP(D1740,'Species Codes'!B:S,18,0)))))/1000,IF(D1740="DF",EXP(VLOOKUP(D1740,'Species Codes'!B:O,14,0)+VLOOKUP(D1740,'Species Codes'!B:P,15,0)*LN((E1740*2.54))),VLOOKUP(D1740,'Species Codes'!B:O,14,0)+VLOOKUP(D1740,'Species Codes'!B:P,15,0)*(((E1740*2.54)/100)^2)*(I1740*0.3048)))))*0.0011023),0)</f>
        <v>#N/A</v>
      </c>
      <c r="AD1740" s="104" t="e">
        <f t="shared" si="760"/>
        <v>#N/A</v>
      </c>
      <c r="AE1740" s="104" t="e">
        <f t="shared" si="761"/>
        <v>#N/A</v>
      </c>
      <c r="AF1740" s="104" t="e">
        <f>IF(AND(VLOOKUP($D1740,Merchantability!$B:$C,2,0)="Yes",$E1740&gt;=VLOOKUP($D1740,Merchantability!$B:$D,3,0),$E1740&lt;=VLOOKUP($D1740,Merchantability!$B:$E,4,0)),AA1740,0)</f>
        <v>#N/A</v>
      </c>
      <c r="AG1740" s="104" t="e">
        <f>IF(AND(VLOOKUP($D1740,Merchantability!$B:$C,2,0)="Yes",$E1740&gt;=VLOOKUP($D1740,Merchantability!$B:$D,3,0),$E1740&lt;=VLOOKUP($D1740,Merchantability!$B:$E,4,0)),AB1740,0)</f>
        <v>#N/A</v>
      </c>
      <c r="AH1740" s="104" t="e">
        <f>IF(AND(VLOOKUP($D1740,Merchantability!$B:$C,2,0)="Yes",$E1740&gt;=VLOOKUP($D1740,Merchantability!$B:$D,3,0),$E1740&lt;=VLOOKUP($D1740,Merchantability!$B:$E,4,0)),AC1740,0)</f>
        <v>#N/A</v>
      </c>
      <c r="AI1740" s="104" t="e">
        <f t="shared" si="762"/>
        <v>#N/A</v>
      </c>
      <c r="AJ1740" s="104" t="e">
        <f t="shared" si="763"/>
        <v>#VALUE!</v>
      </c>
      <c r="AK1740" s="104" t="e">
        <f t="shared" si="764"/>
        <v>#N/A</v>
      </c>
      <c r="AL1740" s="104" t="e">
        <f t="shared" si="765"/>
        <v>#N/A</v>
      </c>
      <c r="AM1740" s="104" t="e">
        <f t="shared" si="766"/>
        <v>#N/A</v>
      </c>
      <c r="AN1740" s="104" t="e">
        <f t="shared" si="777"/>
        <v>#N/A</v>
      </c>
      <c r="AO1740" s="104" t="e">
        <f t="shared" si="778"/>
        <v>#N/A</v>
      </c>
      <c r="AP1740" s="104" t="e">
        <f t="shared" si="779"/>
        <v>#N/A</v>
      </c>
      <c r="AQ1740" s="104" t="e">
        <f t="shared" si="780"/>
        <v>#N/A</v>
      </c>
      <c r="AR1740" s="105" t="str">
        <f t="shared" si="772"/>
        <v/>
      </c>
      <c r="AS1740" s="105" t="str">
        <f t="shared" si="773"/>
        <v/>
      </c>
      <c r="AT1740" s="108" t="str">
        <f t="shared" si="774"/>
        <v/>
      </c>
      <c r="AU1740" s="108" t="str">
        <f t="shared" si="775"/>
        <v/>
      </c>
      <c r="AV1740" s="107" t="str">
        <f>IF(ISNUMBER(O1740),IF(VLOOKUP($A1740,Stand!C:J,8,FALSE)="Short",AT1740,AU1740),"")</f>
        <v/>
      </c>
      <c r="AW1740" s="109" t="str">
        <f t="shared" si="781"/>
        <v/>
      </c>
      <c r="AX1740" s="109" t="str">
        <f t="shared" si="782"/>
        <v/>
      </c>
      <c r="AY1740" s="112" t="str">
        <f>IF(ISNUMBER(O1740),IF(AND(VLOOKUP($D1740,Merchantability!$B:$C,2,0)="Yes",$E1740&gt;=VLOOKUP($D1740,Merchantability!$B:$D,3,0),$E1740&lt;=VLOOKUP($D1740,Merchantability!$B:$E,4,0)),(AV1740*O1740)*(1-$H1740/100),""),"")</f>
        <v/>
      </c>
      <c r="AZ1740" s="116"/>
      <c r="BA1740" s="116"/>
      <c r="BB1740" s="116"/>
      <c r="BE1740" s="62"/>
      <c r="BF1740" s="63"/>
    </row>
    <row r="1741" spans="1:58" ht="12.75" customHeight="1" x14ac:dyDescent="0.25">
      <c r="A1741" s="334"/>
      <c r="B1741" s="334"/>
      <c r="C1741" s="332"/>
      <c r="D1741" s="334"/>
      <c r="E1741" s="335"/>
      <c r="F1741" s="334"/>
      <c r="G1741" s="332"/>
      <c r="H1741" s="332"/>
      <c r="I1741" s="334"/>
      <c r="J1741" s="336"/>
      <c r="K1741" s="332"/>
      <c r="L1741" s="332"/>
      <c r="M1741" s="76"/>
      <c r="N1741" s="103" t="str">
        <f>IF(A1741="","",VLOOKUP(A1741,Stand!C:K,9,0))</f>
        <v/>
      </c>
      <c r="O1741" s="104" t="str">
        <f t="shared" si="767"/>
        <v/>
      </c>
      <c r="P1741" s="105" t="str">
        <f t="shared" si="768"/>
        <v/>
      </c>
      <c r="Q1741" s="105" t="str">
        <f t="shared" si="756"/>
        <v/>
      </c>
      <c r="R1741" s="103" t="str">
        <f t="shared" si="769"/>
        <v/>
      </c>
      <c r="S1741" s="103" t="str">
        <f t="shared" si="770"/>
        <v/>
      </c>
      <c r="T1741" s="106" t="str">
        <f t="shared" si="757"/>
        <v/>
      </c>
      <c r="U1741" s="106" t="str">
        <f t="shared" si="758"/>
        <v/>
      </c>
      <c r="V1741" s="106" t="str">
        <f t="shared" si="759"/>
        <v/>
      </c>
      <c r="W1741" s="105" t="str">
        <f t="shared" si="771"/>
        <v/>
      </c>
      <c r="X1741" s="104" t="str">
        <f t="shared" si="776"/>
        <v/>
      </c>
      <c r="Y1741" s="104" t="str">
        <f t="array" ref="Y1741">IFERROR(IF(ISNUMBER(O1741),IF(COUNT(IF(A1741=$A$2:$A$2427,IF(D1741=$D$2:$D$2427,IF($X$2:$X$2427&gt;0,1))))&gt;0,SUM(IF(A1741=$A$2:$A$2427,IF(D1741=$D$2:$D$2427,$X$2:$X$2427)))/COUNT(IF(A1741=$A$2:$A$2427,IF(D1741=$D$2:$D$2427,IF(ISNUMBER($X$2:$X$2427),1)))),0),""),0)</f>
        <v/>
      </c>
      <c r="Z1741" s="104" t="str">
        <f>IF(ISNUMBER(O1741),IF(I1741&gt;0,(10^(VLOOKUP(D1741,'Species Codes'!B:C,2,0)+VLOOKUP(D1741,'Species Codes'!B:D,3,0)*LOG(E1741)+VLOOKUP(D1741,'Species Codes'!B:E,4,0)*LOG(I1741))),0),"")</f>
        <v/>
      </c>
      <c r="AA1741" s="104" t="str">
        <f>IFERROR((VLOOKUP(D1741,'Species Codes'!B:G,6,0)*Z1741)/2000,"")</f>
        <v/>
      </c>
      <c r="AB1741" s="104" t="e">
        <f>IF(Z1741&gt;0,((IF(OR(D1741="DF",D1741="RA")=TRUE,EXP(VLOOKUP(D1741,'Species Codes'!B:I,8,0)+VLOOKUP(D1741,'Species Codes'!B:J,9,0)*(LN((E1741*2.54)))),IF(OR(D1741="PY",D1741="RC",D1741="WH",D1741="NF")=TRUE,VLOOKUP(D1741,'Species Codes'!B:I,8,0)+VLOOKUP(D1741,'Species Codes'!B:J,9,0)*((E1741*2.54)^2)*(I1741*0.3048),IF(OR(D1741="MD",D1741="BM",D1741="GA")=TRUE,((VLOOKUP(D1741,'Species Codes'!B:I,8,0)*(((((E1741*2.54)+VLOOKUP(D1741,'Species Codes'!B:J,9,0))/VLOOKUP(D1741,'Species Codes'!B:K,10,0))^VLOOKUP(D1741,'Species Codes'!B:L,11,0))*((I1741*0.3048)^VLOOKUP(D1741,'Species Codes'!B:M,12,0))))-(VLOOKUP(D1741,'Species Codes'!B:I,8,0)*((((E1741*2.54)^VLOOKUP(D1741,'Species Codes'!B:L,11,0))*((I1741*0.3048)^VLOOKUP(D1741,'Species Codes'!B:M,12,0))))))*35.3*VLOOKUP(D1741,'Species Codes'!B:G,6,0)/2.2046,VLOOKUP(D1741,'Species Codes'!B:I,8,0)+VLOOKUP(D1741,'Species Codes'!B:J,9,0)*(((E1741*2.54)/100)^2)*(I1741*0.3048)))))*0.0011023),0)</f>
        <v>#N/A</v>
      </c>
      <c r="AC1741" s="104" t="e">
        <f>IF(Z1741&gt;0,((IF(OR(D1741="RA",D1741="OA",D1741="OT",D1741="UN",D1741="PC"),EXP(VLOOKUP(D1741,'Species Codes'!B:O,14,0)+VLOOKUP(D1741,'Species Codes'!B:P,15,0)*LN((E1741*2.54)))-EXP(VLOOKUP(D1741,'Species Codes'!B:O,14,0)+VLOOKUP(D1741,'Species Codes'!B:P,15,0)*LN((E1741*2.54)))*(1/(VLOOKUP(D1741,'Species Codes'!B:Q,16,0)+VLOOKUP(D1741,'Species Codes'!B:R,17,0)*((E1741*2.54)^VLOOKUP(D1741,'Species Codes'!B:S,18,0)))),IF(OR(D1741="BM",D1741="MD",D1741="OA"),EXP(VLOOKUP(D1741,'Species Codes'!B:O,14,0)+VLOOKUP(D1741,'Species Codes'!B:P,15,0)*LN((E1741*2.54)))*(1-(1/(VLOOKUP(D1741,'Species Codes'!B:Q,16,0)+VLOOKUP(D1741,'Species Codes'!B:R,17,0)*((E1741*2.54)^VLOOKUP(D1741,'Species Codes'!B:S,18,0)))))/1000,IF(D1741="DF",EXP(VLOOKUP(D1741,'Species Codes'!B:O,14,0)+VLOOKUP(D1741,'Species Codes'!B:P,15,0)*LN((E1741*2.54))),VLOOKUP(D1741,'Species Codes'!B:O,14,0)+VLOOKUP(D1741,'Species Codes'!B:P,15,0)*(((E1741*2.54)/100)^2)*(I1741*0.3048)))))*0.0011023),0)</f>
        <v>#N/A</v>
      </c>
      <c r="AD1741" s="104" t="e">
        <f t="shared" si="760"/>
        <v>#N/A</v>
      </c>
      <c r="AE1741" s="104" t="e">
        <f t="shared" si="761"/>
        <v>#N/A</v>
      </c>
      <c r="AF1741" s="104" t="e">
        <f>IF(AND(VLOOKUP($D1741,Merchantability!$B:$C,2,0)="Yes",$E1741&gt;=VLOOKUP($D1741,Merchantability!$B:$D,3,0),$E1741&lt;=VLOOKUP($D1741,Merchantability!$B:$E,4,0)),AA1741,0)</f>
        <v>#N/A</v>
      </c>
      <c r="AG1741" s="104" t="e">
        <f>IF(AND(VLOOKUP($D1741,Merchantability!$B:$C,2,0)="Yes",$E1741&gt;=VLOOKUP($D1741,Merchantability!$B:$D,3,0),$E1741&lt;=VLOOKUP($D1741,Merchantability!$B:$E,4,0)),AB1741,0)</f>
        <v>#N/A</v>
      </c>
      <c r="AH1741" s="104" t="e">
        <f>IF(AND(VLOOKUP($D1741,Merchantability!$B:$C,2,0)="Yes",$E1741&gt;=VLOOKUP($D1741,Merchantability!$B:$D,3,0),$E1741&lt;=VLOOKUP($D1741,Merchantability!$B:$E,4,0)),AC1741,0)</f>
        <v>#N/A</v>
      </c>
      <c r="AI1741" s="104" t="e">
        <f t="shared" si="762"/>
        <v>#N/A</v>
      </c>
      <c r="AJ1741" s="104" t="e">
        <f t="shared" si="763"/>
        <v>#VALUE!</v>
      </c>
      <c r="AK1741" s="104" t="e">
        <f t="shared" si="764"/>
        <v>#N/A</v>
      </c>
      <c r="AL1741" s="104" t="e">
        <f t="shared" si="765"/>
        <v>#N/A</v>
      </c>
      <c r="AM1741" s="104" t="e">
        <f t="shared" si="766"/>
        <v>#N/A</v>
      </c>
      <c r="AN1741" s="104" t="e">
        <f t="shared" si="777"/>
        <v>#N/A</v>
      </c>
      <c r="AO1741" s="104" t="e">
        <f t="shared" si="778"/>
        <v>#N/A</v>
      </c>
      <c r="AP1741" s="104" t="e">
        <f t="shared" si="779"/>
        <v>#N/A</v>
      </c>
      <c r="AQ1741" s="104" t="e">
        <f t="shared" si="780"/>
        <v>#N/A</v>
      </c>
      <c r="AR1741" s="105" t="str">
        <f t="shared" si="772"/>
        <v/>
      </c>
      <c r="AS1741" s="105" t="str">
        <f t="shared" si="773"/>
        <v/>
      </c>
      <c r="AT1741" s="108" t="str">
        <f t="shared" si="774"/>
        <v/>
      </c>
      <c r="AU1741" s="108" t="str">
        <f t="shared" si="775"/>
        <v/>
      </c>
      <c r="AV1741" s="107" t="str">
        <f>IF(ISNUMBER(O1741),IF(VLOOKUP($A1741,Stand!C:J,8,FALSE)="Short",AT1741,AU1741),"")</f>
        <v/>
      </c>
      <c r="AW1741" s="109" t="str">
        <f t="shared" si="781"/>
        <v/>
      </c>
      <c r="AX1741" s="109" t="str">
        <f t="shared" si="782"/>
        <v/>
      </c>
      <c r="AY1741" s="112" t="str">
        <f>IF(ISNUMBER(O1741),IF(AND(VLOOKUP($D1741,Merchantability!$B:$C,2,0)="Yes",$E1741&gt;=VLOOKUP($D1741,Merchantability!$B:$D,3,0),$E1741&lt;=VLOOKUP($D1741,Merchantability!$B:$E,4,0)),(AV1741*O1741)*(1-$H1741/100),""),"")</f>
        <v/>
      </c>
      <c r="AZ1741" s="116"/>
      <c r="BA1741" s="116"/>
      <c r="BB1741" s="116"/>
      <c r="BE1741" s="62"/>
      <c r="BF1741" s="63"/>
    </row>
    <row r="1742" spans="1:58" ht="12.75" customHeight="1" x14ac:dyDescent="0.25">
      <c r="A1742" s="334"/>
      <c r="B1742" s="334"/>
      <c r="C1742" s="332"/>
      <c r="D1742" s="334"/>
      <c r="E1742" s="335"/>
      <c r="F1742" s="334"/>
      <c r="G1742" s="332"/>
      <c r="H1742" s="332"/>
      <c r="I1742" s="334"/>
      <c r="J1742" s="336"/>
      <c r="K1742" s="332"/>
      <c r="L1742" s="332"/>
      <c r="M1742" s="76"/>
      <c r="N1742" s="103" t="str">
        <f>IF(A1742="","",VLOOKUP(A1742,Stand!C:K,9,0))</f>
        <v/>
      </c>
      <c r="O1742" s="104" t="str">
        <f t="shared" si="767"/>
        <v/>
      </c>
      <c r="P1742" s="105" t="str">
        <f t="shared" si="768"/>
        <v/>
      </c>
      <c r="Q1742" s="105" t="str">
        <f t="shared" si="756"/>
        <v/>
      </c>
      <c r="R1742" s="103" t="str">
        <f t="shared" si="769"/>
        <v/>
      </c>
      <c r="S1742" s="103" t="str">
        <f t="shared" si="770"/>
        <v/>
      </c>
      <c r="T1742" s="106" t="str">
        <f t="shared" si="757"/>
        <v/>
      </c>
      <c r="U1742" s="106" t="str">
        <f t="shared" si="758"/>
        <v/>
      </c>
      <c r="V1742" s="106" t="str">
        <f t="shared" si="759"/>
        <v/>
      </c>
      <c r="W1742" s="105" t="str">
        <f t="shared" si="771"/>
        <v/>
      </c>
      <c r="X1742" s="104" t="str">
        <f t="shared" si="776"/>
        <v/>
      </c>
      <c r="Y1742" s="104" t="str">
        <f t="array" ref="Y1742">IFERROR(IF(ISNUMBER(O1742),IF(COUNT(IF(A1742=$A$2:$A$2427,IF(D1742=$D$2:$D$2427,IF($X$2:$X$2427&gt;0,1))))&gt;0,SUM(IF(A1742=$A$2:$A$2427,IF(D1742=$D$2:$D$2427,$X$2:$X$2427)))/COUNT(IF(A1742=$A$2:$A$2427,IF(D1742=$D$2:$D$2427,IF(ISNUMBER($X$2:$X$2427),1)))),0),""),0)</f>
        <v/>
      </c>
      <c r="Z1742" s="104" t="str">
        <f>IF(ISNUMBER(O1742),IF(I1742&gt;0,(10^(VLOOKUP(D1742,'Species Codes'!B:C,2,0)+VLOOKUP(D1742,'Species Codes'!B:D,3,0)*LOG(E1742)+VLOOKUP(D1742,'Species Codes'!B:E,4,0)*LOG(I1742))),0),"")</f>
        <v/>
      </c>
      <c r="AA1742" s="104" t="str">
        <f>IFERROR((VLOOKUP(D1742,'Species Codes'!B:G,6,0)*Z1742)/2000,"")</f>
        <v/>
      </c>
      <c r="AB1742" s="104" t="e">
        <f>IF(Z1742&gt;0,((IF(OR(D1742="DF",D1742="RA")=TRUE,EXP(VLOOKUP(D1742,'Species Codes'!B:I,8,0)+VLOOKUP(D1742,'Species Codes'!B:J,9,0)*(LN((E1742*2.54)))),IF(OR(D1742="PY",D1742="RC",D1742="WH",D1742="NF")=TRUE,VLOOKUP(D1742,'Species Codes'!B:I,8,0)+VLOOKUP(D1742,'Species Codes'!B:J,9,0)*((E1742*2.54)^2)*(I1742*0.3048),IF(OR(D1742="MD",D1742="BM",D1742="GA")=TRUE,((VLOOKUP(D1742,'Species Codes'!B:I,8,0)*(((((E1742*2.54)+VLOOKUP(D1742,'Species Codes'!B:J,9,0))/VLOOKUP(D1742,'Species Codes'!B:K,10,0))^VLOOKUP(D1742,'Species Codes'!B:L,11,0))*((I1742*0.3048)^VLOOKUP(D1742,'Species Codes'!B:M,12,0))))-(VLOOKUP(D1742,'Species Codes'!B:I,8,0)*((((E1742*2.54)^VLOOKUP(D1742,'Species Codes'!B:L,11,0))*((I1742*0.3048)^VLOOKUP(D1742,'Species Codes'!B:M,12,0))))))*35.3*VLOOKUP(D1742,'Species Codes'!B:G,6,0)/2.2046,VLOOKUP(D1742,'Species Codes'!B:I,8,0)+VLOOKUP(D1742,'Species Codes'!B:J,9,0)*(((E1742*2.54)/100)^2)*(I1742*0.3048)))))*0.0011023),0)</f>
        <v>#N/A</v>
      </c>
      <c r="AC1742" s="104" t="e">
        <f>IF(Z1742&gt;0,((IF(OR(D1742="RA",D1742="OA",D1742="OT",D1742="UN",D1742="PC"),EXP(VLOOKUP(D1742,'Species Codes'!B:O,14,0)+VLOOKUP(D1742,'Species Codes'!B:P,15,0)*LN((E1742*2.54)))-EXP(VLOOKUP(D1742,'Species Codes'!B:O,14,0)+VLOOKUP(D1742,'Species Codes'!B:P,15,0)*LN((E1742*2.54)))*(1/(VLOOKUP(D1742,'Species Codes'!B:Q,16,0)+VLOOKUP(D1742,'Species Codes'!B:R,17,0)*((E1742*2.54)^VLOOKUP(D1742,'Species Codes'!B:S,18,0)))),IF(OR(D1742="BM",D1742="MD",D1742="OA"),EXP(VLOOKUP(D1742,'Species Codes'!B:O,14,0)+VLOOKUP(D1742,'Species Codes'!B:P,15,0)*LN((E1742*2.54)))*(1-(1/(VLOOKUP(D1742,'Species Codes'!B:Q,16,0)+VLOOKUP(D1742,'Species Codes'!B:R,17,0)*((E1742*2.54)^VLOOKUP(D1742,'Species Codes'!B:S,18,0)))))/1000,IF(D1742="DF",EXP(VLOOKUP(D1742,'Species Codes'!B:O,14,0)+VLOOKUP(D1742,'Species Codes'!B:P,15,0)*LN((E1742*2.54))),VLOOKUP(D1742,'Species Codes'!B:O,14,0)+VLOOKUP(D1742,'Species Codes'!B:P,15,0)*(((E1742*2.54)/100)^2)*(I1742*0.3048)))))*0.0011023),0)</f>
        <v>#N/A</v>
      </c>
      <c r="AD1742" s="104" t="e">
        <f t="shared" si="760"/>
        <v>#N/A</v>
      </c>
      <c r="AE1742" s="104" t="e">
        <f t="shared" si="761"/>
        <v>#N/A</v>
      </c>
      <c r="AF1742" s="104" t="e">
        <f>IF(AND(VLOOKUP($D1742,Merchantability!$B:$C,2,0)="Yes",$E1742&gt;=VLOOKUP($D1742,Merchantability!$B:$D,3,0),$E1742&lt;=VLOOKUP($D1742,Merchantability!$B:$E,4,0)),AA1742,0)</f>
        <v>#N/A</v>
      </c>
      <c r="AG1742" s="104" t="e">
        <f>IF(AND(VLOOKUP($D1742,Merchantability!$B:$C,2,0)="Yes",$E1742&gt;=VLOOKUP($D1742,Merchantability!$B:$D,3,0),$E1742&lt;=VLOOKUP($D1742,Merchantability!$B:$E,4,0)),AB1742,0)</f>
        <v>#N/A</v>
      </c>
      <c r="AH1742" s="104" t="e">
        <f>IF(AND(VLOOKUP($D1742,Merchantability!$B:$C,2,0)="Yes",$E1742&gt;=VLOOKUP($D1742,Merchantability!$B:$D,3,0),$E1742&lt;=VLOOKUP($D1742,Merchantability!$B:$E,4,0)),AC1742,0)</f>
        <v>#N/A</v>
      </c>
      <c r="AI1742" s="104" t="e">
        <f t="shared" si="762"/>
        <v>#N/A</v>
      </c>
      <c r="AJ1742" s="104" t="e">
        <f t="shared" si="763"/>
        <v>#VALUE!</v>
      </c>
      <c r="AK1742" s="104" t="e">
        <f t="shared" si="764"/>
        <v>#N/A</v>
      </c>
      <c r="AL1742" s="104" t="e">
        <f t="shared" si="765"/>
        <v>#N/A</v>
      </c>
      <c r="AM1742" s="104" t="e">
        <f t="shared" si="766"/>
        <v>#N/A</v>
      </c>
      <c r="AN1742" s="104" t="e">
        <f t="shared" si="777"/>
        <v>#N/A</v>
      </c>
      <c r="AO1742" s="104" t="e">
        <f t="shared" si="778"/>
        <v>#N/A</v>
      </c>
      <c r="AP1742" s="104" t="e">
        <f t="shared" si="779"/>
        <v>#N/A</v>
      </c>
      <c r="AQ1742" s="104" t="e">
        <f t="shared" si="780"/>
        <v>#N/A</v>
      </c>
      <c r="AR1742" s="105" t="str">
        <f t="shared" si="772"/>
        <v/>
      </c>
      <c r="AS1742" s="105" t="str">
        <f t="shared" si="773"/>
        <v/>
      </c>
      <c r="AT1742" s="108" t="str">
        <f t="shared" si="774"/>
        <v/>
      </c>
      <c r="AU1742" s="108" t="str">
        <f t="shared" si="775"/>
        <v/>
      </c>
      <c r="AV1742" s="107" t="str">
        <f>IF(ISNUMBER(O1742),IF(VLOOKUP($A1742,Stand!C:J,8,FALSE)="Short",AT1742,AU1742),"")</f>
        <v/>
      </c>
      <c r="AW1742" s="109" t="str">
        <f t="shared" si="781"/>
        <v/>
      </c>
      <c r="AX1742" s="109" t="str">
        <f t="shared" si="782"/>
        <v/>
      </c>
      <c r="AY1742" s="112" t="str">
        <f>IF(ISNUMBER(O1742),IF(AND(VLOOKUP($D1742,Merchantability!$B:$C,2,0)="Yes",$E1742&gt;=VLOOKUP($D1742,Merchantability!$B:$D,3,0),$E1742&lt;=VLOOKUP($D1742,Merchantability!$B:$E,4,0)),(AV1742*O1742)*(1-$H1742/100),""),"")</f>
        <v/>
      </c>
      <c r="AZ1742" s="116"/>
      <c r="BA1742" s="116"/>
      <c r="BB1742" s="116"/>
      <c r="BE1742" s="62"/>
      <c r="BF1742" s="63"/>
    </row>
    <row r="1743" spans="1:58" ht="12.75" customHeight="1" x14ac:dyDescent="0.25">
      <c r="A1743" s="334"/>
      <c r="B1743" s="334"/>
      <c r="C1743" s="332"/>
      <c r="D1743" s="334"/>
      <c r="E1743" s="335"/>
      <c r="F1743" s="334"/>
      <c r="G1743" s="332"/>
      <c r="H1743" s="332"/>
      <c r="I1743" s="334"/>
      <c r="J1743" s="336"/>
      <c r="K1743" s="332"/>
      <c r="L1743" s="332"/>
      <c r="M1743" s="76"/>
      <c r="N1743" s="103" t="str">
        <f>IF(A1743="","",VLOOKUP(A1743,Stand!C:K,9,0))</f>
        <v/>
      </c>
      <c r="O1743" s="104" t="str">
        <f t="shared" si="767"/>
        <v/>
      </c>
      <c r="P1743" s="105" t="str">
        <f t="shared" si="768"/>
        <v/>
      </c>
      <c r="Q1743" s="105" t="str">
        <f t="shared" si="756"/>
        <v/>
      </c>
      <c r="R1743" s="103" t="str">
        <f t="shared" si="769"/>
        <v/>
      </c>
      <c r="S1743" s="103" t="str">
        <f t="shared" si="770"/>
        <v/>
      </c>
      <c r="T1743" s="106" t="str">
        <f t="shared" si="757"/>
        <v/>
      </c>
      <c r="U1743" s="106" t="str">
        <f t="shared" si="758"/>
        <v/>
      </c>
      <c r="V1743" s="106" t="str">
        <f t="shared" si="759"/>
        <v/>
      </c>
      <c r="W1743" s="105" t="str">
        <f t="shared" si="771"/>
        <v/>
      </c>
      <c r="X1743" s="104" t="str">
        <f t="shared" si="776"/>
        <v/>
      </c>
      <c r="Y1743" s="104" t="str">
        <f t="array" ref="Y1743">IFERROR(IF(ISNUMBER(O1743),IF(COUNT(IF(A1743=$A$2:$A$2427,IF(D1743=$D$2:$D$2427,IF($X$2:$X$2427&gt;0,1))))&gt;0,SUM(IF(A1743=$A$2:$A$2427,IF(D1743=$D$2:$D$2427,$X$2:$X$2427)))/COUNT(IF(A1743=$A$2:$A$2427,IF(D1743=$D$2:$D$2427,IF(ISNUMBER($X$2:$X$2427),1)))),0),""),0)</f>
        <v/>
      </c>
      <c r="Z1743" s="104" t="str">
        <f>IF(ISNUMBER(O1743),IF(I1743&gt;0,(10^(VLOOKUP(D1743,'Species Codes'!B:C,2,0)+VLOOKUP(D1743,'Species Codes'!B:D,3,0)*LOG(E1743)+VLOOKUP(D1743,'Species Codes'!B:E,4,0)*LOG(I1743))),0),"")</f>
        <v/>
      </c>
      <c r="AA1743" s="104" t="str">
        <f>IFERROR((VLOOKUP(D1743,'Species Codes'!B:G,6,0)*Z1743)/2000,"")</f>
        <v/>
      </c>
      <c r="AB1743" s="104" t="e">
        <f>IF(Z1743&gt;0,((IF(OR(D1743="DF",D1743="RA")=TRUE,EXP(VLOOKUP(D1743,'Species Codes'!B:I,8,0)+VLOOKUP(D1743,'Species Codes'!B:J,9,0)*(LN((E1743*2.54)))),IF(OR(D1743="PY",D1743="RC",D1743="WH",D1743="NF")=TRUE,VLOOKUP(D1743,'Species Codes'!B:I,8,0)+VLOOKUP(D1743,'Species Codes'!B:J,9,0)*((E1743*2.54)^2)*(I1743*0.3048),IF(OR(D1743="MD",D1743="BM",D1743="GA")=TRUE,((VLOOKUP(D1743,'Species Codes'!B:I,8,0)*(((((E1743*2.54)+VLOOKUP(D1743,'Species Codes'!B:J,9,0))/VLOOKUP(D1743,'Species Codes'!B:K,10,0))^VLOOKUP(D1743,'Species Codes'!B:L,11,0))*((I1743*0.3048)^VLOOKUP(D1743,'Species Codes'!B:M,12,0))))-(VLOOKUP(D1743,'Species Codes'!B:I,8,0)*((((E1743*2.54)^VLOOKUP(D1743,'Species Codes'!B:L,11,0))*((I1743*0.3048)^VLOOKUP(D1743,'Species Codes'!B:M,12,0))))))*35.3*VLOOKUP(D1743,'Species Codes'!B:G,6,0)/2.2046,VLOOKUP(D1743,'Species Codes'!B:I,8,0)+VLOOKUP(D1743,'Species Codes'!B:J,9,0)*(((E1743*2.54)/100)^2)*(I1743*0.3048)))))*0.0011023),0)</f>
        <v>#N/A</v>
      </c>
      <c r="AC1743" s="104" t="e">
        <f>IF(Z1743&gt;0,((IF(OR(D1743="RA",D1743="OA",D1743="OT",D1743="UN",D1743="PC"),EXP(VLOOKUP(D1743,'Species Codes'!B:O,14,0)+VLOOKUP(D1743,'Species Codes'!B:P,15,0)*LN((E1743*2.54)))-EXP(VLOOKUP(D1743,'Species Codes'!B:O,14,0)+VLOOKUP(D1743,'Species Codes'!B:P,15,0)*LN((E1743*2.54)))*(1/(VLOOKUP(D1743,'Species Codes'!B:Q,16,0)+VLOOKUP(D1743,'Species Codes'!B:R,17,0)*((E1743*2.54)^VLOOKUP(D1743,'Species Codes'!B:S,18,0)))),IF(OR(D1743="BM",D1743="MD",D1743="OA"),EXP(VLOOKUP(D1743,'Species Codes'!B:O,14,0)+VLOOKUP(D1743,'Species Codes'!B:P,15,0)*LN((E1743*2.54)))*(1-(1/(VLOOKUP(D1743,'Species Codes'!B:Q,16,0)+VLOOKUP(D1743,'Species Codes'!B:R,17,0)*((E1743*2.54)^VLOOKUP(D1743,'Species Codes'!B:S,18,0)))))/1000,IF(D1743="DF",EXP(VLOOKUP(D1743,'Species Codes'!B:O,14,0)+VLOOKUP(D1743,'Species Codes'!B:P,15,0)*LN((E1743*2.54))),VLOOKUP(D1743,'Species Codes'!B:O,14,0)+VLOOKUP(D1743,'Species Codes'!B:P,15,0)*(((E1743*2.54)/100)^2)*(I1743*0.3048)))))*0.0011023),0)</f>
        <v>#N/A</v>
      </c>
      <c r="AD1743" s="104" t="e">
        <f t="shared" si="760"/>
        <v>#N/A</v>
      </c>
      <c r="AE1743" s="104" t="e">
        <f t="shared" si="761"/>
        <v>#N/A</v>
      </c>
      <c r="AF1743" s="104" t="e">
        <f>IF(AND(VLOOKUP($D1743,Merchantability!$B:$C,2,0)="Yes",$E1743&gt;=VLOOKUP($D1743,Merchantability!$B:$D,3,0),$E1743&lt;=VLOOKUP($D1743,Merchantability!$B:$E,4,0)),AA1743,0)</f>
        <v>#N/A</v>
      </c>
      <c r="AG1743" s="104" t="e">
        <f>IF(AND(VLOOKUP($D1743,Merchantability!$B:$C,2,0)="Yes",$E1743&gt;=VLOOKUP($D1743,Merchantability!$B:$D,3,0),$E1743&lt;=VLOOKUP($D1743,Merchantability!$B:$E,4,0)),AB1743,0)</f>
        <v>#N/A</v>
      </c>
      <c r="AH1743" s="104" t="e">
        <f>IF(AND(VLOOKUP($D1743,Merchantability!$B:$C,2,0)="Yes",$E1743&gt;=VLOOKUP($D1743,Merchantability!$B:$D,3,0),$E1743&lt;=VLOOKUP($D1743,Merchantability!$B:$E,4,0)),AC1743,0)</f>
        <v>#N/A</v>
      </c>
      <c r="AI1743" s="104" t="e">
        <f t="shared" si="762"/>
        <v>#N/A</v>
      </c>
      <c r="AJ1743" s="104" t="e">
        <f t="shared" si="763"/>
        <v>#VALUE!</v>
      </c>
      <c r="AK1743" s="104" t="e">
        <f t="shared" si="764"/>
        <v>#N/A</v>
      </c>
      <c r="AL1743" s="104" t="e">
        <f t="shared" si="765"/>
        <v>#N/A</v>
      </c>
      <c r="AM1743" s="104" t="e">
        <f t="shared" si="766"/>
        <v>#N/A</v>
      </c>
      <c r="AN1743" s="104" t="e">
        <f t="shared" si="777"/>
        <v>#N/A</v>
      </c>
      <c r="AO1743" s="104" t="e">
        <f t="shared" si="778"/>
        <v>#N/A</v>
      </c>
      <c r="AP1743" s="104" t="e">
        <f t="shared" si="779"/>
        <v>#N/A</v>
      </c>
      <c r="AQ1743" s="104" t="e">
        <f t="shared" si="780"/>
        <v>#N/A</v>
      </c>
      <c r="AR1743" s="105" t="str">
        <f t="shared" si="772"/>
        <v/>
      </c>
      <c r="AS1743" s="105" t="str">
        <f t="shared" si="773"/>
        <v/>
      </c>
      <c r="AT1743" s="108" t="str">
        <f t="shared" si="774"/>
        <v/>
      </c>
      <c r="AU1743" s="108" t="str">
        <f t="shared" si="775"/>
        <v/>
      </c>
      <c r="AV1743" s="107" t="str">
        <f>IF(ISNUMBER(O1743),IF(VLOOKUP($A1743,Stand!C:J,8,FALSE)="Short",AT1743,AU1743),"")</f>
        <v/>
      </c>
      <c r="AW1743" s="109" t="str">
        <f t="shared" si="781"/>
        <v/>
      </c>
      <c r="AX1743" s="109" t="str">
        <f t="shared" si="782"/>
        <v/>
      </c>
      <c r="AY1743" s="112" t="str">
        <f>IF(ISNUMBER(O1743),IF(AND(VLOOKUP($D1743,Merchantability!$B:$C,2,0)="Yes",$E1743&gt;=VLOOKUP($D1743,Merchantability!$B:$D,3,0),$E1743&lt;=VLOOKUP($D1743,Merchantability!$B:$E,4,0)),(AV1743*O1743)*(1-$H1743/100),""),"")</f>
        <v/>
      </c>
      <c r="AZ1743" s="116"/>
      <c r="BA1743" s="116"/>
      <c r="BB1743" s="116"/>
      <c r="BE1743" s="62"/>
      <c r="BF1743" s="63"/>
    </row>
    <row r="1744" spans="1:58" ht="12.75" customHeight="1" x14ac:dyDescent="0.25">
      <c r="A1744" s="334"/>
      <c r="B1744" s="334"/>
      <c r="C1744" s="332"/>
      <c r="D1744" s="334"/>
      <c r="E1744" s="335"/>
      <c r="F1744" s="334"/>
      <c r="G1744" s="332"/>
      <c r="H1744" s="332"/>
      <c r="I1744" s="334"/>
      <c r="J1744" s="336"/>
      <c r="K1744" s="332"/>
      <c r="L1744" s="332"/>
      <c r="M1744" s="76"/>
      <c r="N1744" s="103" t="str">
        <f>IF(A1744="","",VLOOKUP(A1744,Stand!C:K,9,0))</f>
        <v/>
      </c>
      <c r="O1744" s="104" t="str">
        <f t="shared" si="767"/>
        <v/>
      </c>
      <c r="P1744" s="105" t="str">
        <f t="shared" si="768"/>
        <v/>
      </c>
      <c r="Q1744" s="105" t="str">
        <f t="shared" si="756"/>
        <v/>
      </c>
      <c r="R1744" s="103" t="str">
        <f t="shared" si="769"/>
        <v/>
      </c>
      <c r="S1744" s="103" t="str">
        <f t="shared" si="770"/>
        <v/>
      </c>
      <c r="T1744" s="106" t="str">
        <f t="shared" si="757"/>
        <v/>
      </c>
      <c r="U1744" s="106" t="str">
        <f t="shared" si="758"/>
        <v/>
      </c>
      <c r="V1744" s="106" t="str">
        <f t="shared" si="759"/>
        <v/>
      </c>
      <c r="W1744" s="105" t="str">
        <f t="shared" si="771"/>
        <v/>
      </c>
      <c r="X1744" s="104" t="str">
        <f t="shared" si="776"/>
        <v/>
      </c>
      <c r="Y1744" s="104" t="str">
        <f t="array" ref="Y1744">IFERROR(IF(ISNUMBER(O1744),IF(COUNT(IF(A1744=$A$2:$A$2427,IF(D1744=$D$2:$D$2427,IF($X$2:$X$2427&gt;0,1))))&gt;0,SUM(IF(A1744=$A$2:$A$2427,IF(D1744=$D$2:$D$2427,$X$2:$X$2427)))/COUNT(IF(A1744=$A$2:$A$2427,IF(D1744=$D$2:$D$2427,IF(ISNUMBER($X$2:$X$2427),1)))),0),""),0)</f>
        <v/>
      </c>
      <c r="Z1744" s="104" t="str">
        <f>IF(ISNUMBER(O1744),IF(I1744&gt;0,(10^(VLOOKUP(D1744,'Species Codes'!B:C,2,0)+VLOOKUP(D1744,'Species Codes'!B:D,3,0)*LOG(E1744)+VLOOKUP(D1744,'Species Codes'!B:E,4,0)*LOG(I1744))),0),"")</f>
        <v/>
      </c>
      <c r="AA1744" s="104" t="str">
        <f>IFERROR((VLOOKUP(D1744,'Species Codes'!B:G,6,0)*Z1744)/2000,"")</f>
        <v/>
      </c>
      <c r="AB1744" s="104" t="e">
        <f>IF(Z1744&gt;0,((IF(OR(D1744="DF",D1744="RA")=TRUE,EXP(VLOOKUP(D1744,'Species Codes'!B:I,8,0)+VLOOKUP(D1744,'Species Codes'!B:J,9,0)*(LN((E1744*2.54)))),IF(OR(D1744="PY",D1744="RC",D1744="WH",D1744="NF")=TRUE,VLOOKUP(D1744,'Species Codes'!B:I,8,0)+VLOOKUP(D1744,'Species Codes'!B:J,9,0)*((E1744*2.54)^2)*(I1744*0.3048),IF(OR(D1744="MD",D1744="BM",D1744="GA")=TRUE,((VLOOKUP(D1744,'Species Codes'!B:I,8,0)*(((((E1744*2.54)+VLOOKUP(D1744,'Species Codes'!B:J,9,0))/VLOOKUP(D1744,'Species Codes'!B:K,10,0))^VLOOKUP(D1744,'Species Codes'!B:L,11,0))*((I1744*0.3048)^VLOOKUP(D1744,'Species Codes'!B:M,12,0))))-(VLOOKUP(D1744,'Species Codes'!B:I,8,0)*((((E1744*2.54)^VLOOKUP(D1744,'Species Codes'!B:L,11,0))*((I1744*0.3048)^VLOOKUP(D1744,'Species Codes'!B:M,12,0))))))*35.3*VLOOKUP(D1744,'Species Codes'!B:G,6,0)/2.2046,VLOOKUP(D1744,'Species Codes'!B:I,8,0)+VLOOKUP(D1744,'Species Codes'!B:J,9,0)*(((E1744*2.54)/100)^2)*(I1744*0.3048)))))*0.0011023),0)</f>
        <v>#N/A</v>
      </c>
      <c r="AC1744" s="104" t="e">
        <f>IF(Z1744&gt;0,((IF(OR(D1744="RA",D1744="OA",D1744="OT",D1744="UN",D1744="PC"),EXP(VLOOKUP(D1744,'Species Codes'!B:O,14,0)+VLOOKUP(D1744,'Species Codes'!B:P,15,0)*LN((E1744*2.54)))-EXP(VLOOKUP(D1744,'Species Codes'!B:O,14,0)+VLOOKUP(D1744,'Species Codes'!B:P,15,0)*LN((E1744*2.54)))*(1/(VLOOKUP(D1744,'Species Codes'!B:Q,16,0)+VLOOKUP(D1744,'Species Codes'!B:R,17,0)*((E1744*2.54)^VLOOKUP(D1744,'Species Codes'!B:S,18,0)))),IF(OR(D1744="BM",D1744="MD",D1744="OA"),EXP(VLOOKUP(D1744,'Species Codes'!B:O,14,0)+VLOOKUP(D1744,'Species Codes'!B:P,15,0)*LN((E1744*2.54)))*(1-(1/(VLOOKUP(D1744,'Species Codes'!B:Q,16,0)+VLOOKUP(D1744,'Species Codes'!B:R,17,0)*((E1744*2.54)^VLOOKUP(D1744,'Species Codes'!B:S,18,0)))))/1000,IF(D1744="DF",EXP(VLOOKUP(D1744,'Species Codes'!B:O,14,0)+VLOOKUP(D1744,'Species Codes'!B:P,15,0)*LN((E1744*2.54))),VLOOKUP(D1744,'Species Codes'!B:O,14,0)+VLOOKUP(D1744,'Species Codes'!B:P,15,0)*(((E1744*2.54)/100)^2)*(I1744*0.3048)))))*0.0011023),0)</f>
        <v>#N/A</v>
      </c>
      <c r="AD1744" s="104" t="e">
        <f t="shared" si="760"/>
        <v>#N/A</v>
      </c>
      <c r="AE1744" s="104" t="e">
        <f t="shared" si="761"/>
        <v>#N/A</v>
      </c>
      <c r="AF1744" s="104" t="e">
        <f>IF(AND(VLOOKUP($D1744,Merchantability!$B:$C,2,0)="Yes",$E1744&gt;=VLOOKUP($D1744,Merchantability!$B:$D,3,0),$E1744&lt;=VLOOKUP($D1744,Merchantability!$B:$E,4,0)),AA1744,0)</f>
        <v>#N/A</v>
      </c>
      <c r="AG1744" s="104" t="e">
        <f>IF(AND(VLOOKUP($D1744,Merchantability!$B:$C,2,0)="Yes",$E1744&gt;=VLOOKUP($D1744,Merchantability!$B:$D,3,0),$E1744&lt;=VLOOKUP($D1744,Merchantability!$B:$E,4,0)),AB1744,0)</f>
        <v>#N/A</v>
      </c>
      <c r="AH1744" s="104" t="e">
        <f>IF(AND(VLOOKUP($D1744,Merchantability!$B:$C,2,0)="Yes",$E1744&gt;=VLOOKUP($D1744,Merchantability!$B:$D,3,0),$E1744&lt;=VLOOKUP($D1744,Merchantability!$B:$E,4,0)),AC1744,0)</f>
        <v>#N/A</v>
      </c>
      <c r="AI1744" s="104" t="e">
        <f t="shared" si="762"/>
        <v>#N/A</v>
      </c>
      <c r="AJ1744" s="104" t="e">
        <f t="shared" si="763"/>
        <v>#VALUE!</v>
      </c>
      <c r="AK1744" s="104" t="e">
        <f t="shared" si="764"/>
        <v>#N/A</v>
      </c>
      <c r="AL1744" s="104" t="e">
        <f t="shared" si="765"/>
        <v>#N/A</v>
      </c>
      <c r="AM1744" s="104" t="e">
        <f t="shared" si="766"/>
        <v>#N/A</v>
      </c>
      <c r="AN1744" s="104" t="e">
        <f t="shared" si="777"/>
        <v>#N/A</v>
      </c>
      <c r="AO1744" s="104" t="e">
        <f t="shared" si="778"/>
        <v>#N/A</v>
      </c>
      <c r="AP1744" s="104" t="e">
        <f t="shared" si="779"/>
        <v>#N/A</v>
      </c>
      <c r="AQ1744" s="104" t="e">
        <f t="shared" si="780"/>
        <v>#N/A</v>
      </c>
      <c r="AR1744" s="105" t="str">
        <f t="shared" si="772"/>
        <v/>
      </c>
      <c r="AS1744" s="105" t="str">
        <f t="shared" si="773"/>
        <v/>
      </c>
      <c r="AT1744" s="108" t="str">
        <f t="shared" si="774"/>
        <v/>
      </c>
      <c r="AU1744" s="108" t="str">
        <f t="shared" si="775"/>
        <v/>
      </c>
      <c r="AV1744" s="107" t="str">
        <f>IF(ISNUMBER(O1744),IF(VLOOKUP($A1744,Stand!C:J,8,FALSE)="Short",AT1744,AU1744),"")</f>
        <v/>
      </c>
      <c r="AW1744" s="109" t="str">
        <f t="shared" si="781"/>
        <v/>
      </c>
      <c r="AX1744" s="109" t="str">
        <f t="shared" si="782"/>
        <v/>
      </c>
      <c r="AY1744" s="112" t="str">
        <f>IF(ISNUMBER(O1744),IF(AND(VLOOKUP($D1744,Merchantability!$B:$C,2,0)="Yes",$E1744&gt;=VLOOKUP($D1744,Merchantability!$B:$D,3,0),$E1744&lt;=VLOOKUP($D1744,Merchantability!$B:$E,4,0)),(AV1744*O1744)*(1-$H1744/100),""),"")</f>
        <v/>
      </c>
      <c r="AZ1744" s="116"/>
      <c r="BA1744" s="116"/>
      <c r="BB1744" s="116"/>
      <c r="BE1744" s="62"/>
      <c r="BF1744" s="63"/>
    </row>
    <row r="1745" spans="1:58" ht="12.75" customHeight="1" x14ac:dyDescent="0.25">
      <c r="A1745" s="334"/>
      <c r="B1745" s="334"/>
      <c r="C1745" s="332"/>
      <c r="D1745" s="334"/>
      <c r="E1745" s="335"/>
      <c r="F1745" s="334"/>
      <c r="G1745" s="332"/>
      <c r="H1745" s="332"/>
      <c r="I1745" s="334"/>
      <c r="J1745" s="336"/>
      <c r="K1745" s="332"/>
      <c r="L1745" s="332"/>
      <c r="M1745" s="76"/>
      <c r="N1745" s="103" t="str">
        <f>IF(A1745="","",VLOOKUP(A1745,Stand!C:K,9,0))</f>
        <v/>
      </c>
      <c r="O1745" s="104" t="str">
        <f t="shared" si="767"/>
        <v/>
      </c>
      <c r="P1745" s="105" t="str">
        <f t="shared" si="768"/>
        <v/>
      </c>
      <c r="Q1745" s="105" t="str">
        <f t="shared" si="756"/>
        <v/>
      </c>
      <c r="R1745" s="103" t="str">
        <f t="shared" si="769"/>
        <v/>
      </c>
      <c r="S1745" s="103" t="str">
        <f t="shared" si="770"/>
        <v/>
      </c>
      <c r="T1745" s="106" t="str">
        <f t="shared" si="757"/>
        <v/>
      </c>
      <c r="U1745" s="106" t="str">
        <f t="shared" si="758"/>
        <v/>
      </c>
      <c r="V1745" s="106" t="str">
        <f t="shared" si="759"/>
        <v/>
      </c>
      <c r="W1745" s="105" t="str">
        <f t="shared" si="771"/>
        <v/>
      </c>
      <c r="X1745" s="104" t="str">
        <f t="shared" si="776"/>
        <v/>
      </c>
      <c r="Y1745" s="104" t="str">
        <f t="array" ref="Y1745">IFERROR(IF(ISNUMBER(O1745),IF(COUNT(IF(A1745=$A$2:$A$2427,IF(D1745=$D$2:$D$2427,IF($X$2:$X$2427&gt;0,1))))&gt;0,SUM(IF(A1745=$A$2:$A$2427,IF(D1745=$D$2:$D$2427,$X$2:$X$2427)))/COUNT(IF(A1745=$A$2:$A$2427,IF(D1745=$D$2:$D$2427,IF(ISNUMBER($X$2:$X$2427),1)))),0),""),0)</f>
        <v/>
      </c>
      <c r="Z1745" s="104" t="str">
        <f>IF(ISNUMBER(O1745),IF(I1745&gt;0,(10^(VLOOKUP(D1745,'Species Codes'!B:C,2,0)+VLOOKUP(D1745,'Species Codes'!B:D,3,0)*LOG(E1745)+VLOOKUP(D1745,'Species Codes'!B:E,4,0)*LOG(I1745))),0),"")</f>
        <v/>
      </c>
      <c r="AA1745" s="104" t="str">
        <f>IFERROR((VLOOKUP(D1745,'Species Codes'!B:G,6,0)*Z1745)/2000,"")</f>
        <v/>
      </c>
      <c r="AB1745" s="104" t="e">
        <f>IF(Z1745&gt;0,((IF(OR(D1745="DF",D1745="RA")=TRUE,EXP(VLOOKUP(D1745,'Species Codes'!B:I,8,0)+VLOOKUP(D1745,'Species Codes'!B:J,9,0)*(LN((E1745*2.54)))),IF(OR(D1745="PY",D1745="RC",D1745="WH",D1745="NF")=TRUE,VLOOKUP(D1745,'Species Codes'!B:I,8,0)+VLOOKUP(D1745,'Species Codes'!B:J,9,0)*((E1745*2.54)^2)*(I1745*0.3048),IF(OR(D1745="MD",D1745="BM",D1745="GA")=TRUE,((VLOOKUP(D1745,'Species Codes'!B:I,8,0)*(((((E1745*2.54)+VLOOKUP(D1745,'Species Codes'!B:J,9,0))/VLOOKUP(D1745,'Species Codes'!B:K,10,0))^VLOOKUP(D1745,'Species Codes'!B:L,11,0))*((I1745*0.3048)^VLOOKUP(D1745,'Species Codes'!B:M,12,0))))-(VLOOKUP(D1745,'Species Codes'!B:I,8,0)*((((E1745*2.54)^VLOOKUP(D1745,'Species Codes'!B:L,11,0))*((I1745*0.3048)^VLOOKUP(D1745,'Species Codes'!B:M,12,0))))))*35.3*VLOOKUP(D1745,'Species Codes'!B:G,6,0)/2.2046,VLOOKUP(D1745,'Species Codes'!B:I,8,0)+VLOOKUP(D1745,'Species Codes'!B:J,9,0)*(((E1745*2.54)/100)^2)*(I1745*0.3048)))))*0.0011023),0)</f>
        <v>#N/A</v>
      </c>
      <c r="AC1745" s="104" t="e">
        <f>IF(Z1745&gt;0,((IF(OR(D1745="RA",D1745="OA",D1745="OT",D1745="UN",D1745="PC"),EXP(VLOOKUP(D1745,'Species Codes'!B:O,14,0)+VLOOKUP(D1745,'Species Codes'!B:P,15,0)*LN((E1745*2.54)))-EXP(VLOOKUP(D1745,'Species Codes'!B:O,14,0)+VLOOKUP(D1745,'Species Codes'!B:P,15,0)*LN((E1745*2.54)))*(1/(VLOOKUP(D1745,'Species Codes'!B:Q,16,0)+VLOOKUP(D1745,'Species Codes'!B:R,17,0)*((E1745*2.54)^VLOOKUP(D1745,'Species Codes'!B:S,18,0)))),IF(OR(D1745="BM",D1745="MD",D1745="OA"),EXP(VLOOKUP(D1745,'Species Codes'!B:O,14,0)+VLOOKUP(D1745,'Species Codes'!B:P,15,0)*LN((E1745*2.54)))*(1-(1/(VLOOKUP(D1745,'Species Codes'!B:Q,16,0)+VLOOKUP(D1745,'Species Codes'!B:R,17,0)*((E1745*2.54)^VLOOKUP(D1745,'Species Codes'!B:S,18,0)))))/1000,IF(D1745="DF",EXP(VLOOKUP(D1745,'Species Codes'!B:O,14,0)+VLOOKUP(D1745,'Species Codes'!B:P,15,0)*LN((E1745*2.54))),VLOOKUP(D1745,'Species Codes'!B:O,14,0)+VLOOKUP(D1745,'Species Codes'!B:P,15,0)*(((E1745*2.54)/100)^2)*(I1745*0.3048)))))*0.0011023),0)</f>
        <v>#N/A</v>
      </c>
      <c r="AD1745" s="104" t="e">
        <f t="shared" si="760"/>
        <v>#N/A</v>
      </c>
      <c r="AE1745" s="104" t="e">
        <f t="shared" si="761"/>
        <v>#N/A</v>
      </c>
      <c r="AF1745" s="104" t="e">
        <f>IF(AND(VLOOKUP($D1745,Merchantability!$B:$C,2,0)="Yes",$E1745&gt;=VLOOKUP($D1745,Merchantability!$B:$D,3,0),$E1745&lt;=VLOOKUP($D1745,Merchantability!$B:$E,4,0)),AA1745,0)</f>
        <v>#N/A</v>
      </c>
      <c r="AG1745" s="104" t="e">
        <f>IF(AND(VLOOKUP($D1745,Merchantability!$B:$C,2,0)="Yes",$E1745&gt;=VLOOKUP($D1745,Merchantability!$B:$D,3,0),$E1745&lt;=VLOOKUP($D1745,Merchantability!$B:$E,4,0)),AB1745,0)</f>
        <v>#N/A</v>
      </c>
      <c r="AH1745" s="104" t="e">
        <f>IF(AND(VLOOKUP($D1745,Merchantability!$B:$C,2,0)="Yes",$E1745&gt;=VLOOKUP($D1745,Merchantability!$B:$D,3,0),$E1745&lt;=VLOOKUP($D1745,Merchantability!$B:$E,4,0)),AC1745,0)</f>
        <v>#N/A</v>
      </c>
      <c r="AI1745" s="104" t="e">
        <f t="shared" si="762"/>
        <v>#N/A</v>
      </c>
      <c r="AJ1745" s="104" t="e">
        <f t="shared" si="763"/>
        <v>#VALUE!</v>
      </c>
      <c r="AK1745" s="104" t="e">
        <f t="shared" si="764"/>
        <v>#N/A</v>
      </c>
      <c r="AL1745" s="104" t="e">
        <f t="shared" si="765"/>
        <v>#N/A</v>
      </c>
      <c r="AM1745" s="104" t="e">
        <f t="shared" si="766"/>
        <v>#N/A</v>
      </c>
      <c r="AN1745" s="104" t="e">
        <f t="shared" si="777"/>
        <v>#N/A</v>
      </c>
      <c r="AO1745" s="104" t="e">
        <f t="shared" si="778"/>
        <v>#N/A</v>
      </c>
      <c r="AP1745" s="104" t="e">
        <f t="shared" si="779"/>
        <v>#N/A</v>
      </c>
      <c r="AQ1745" s="104" t="e">
        <f t="shared" si="780"/>
        <v>#N/A</v>
      </c>
      <c r="AR1745" s="105" t="str">
        <f t="shared" si="772"/>
        <v/>
      </c>
      <c r="AS1745" s="105" t="str">
        <f t="shared" si="773"/>
        <v/>
      </c>
      <c r="AT1745" s="108" t="str">
        <f t="shared" si="774"/>
        <v/>
      </c>
      <c r="AU1745" s="108" t="str">
        <f t="shared" si="775"/>
        <v/>
      </c>
      <c r="AV1745" s="107" t="str">
        <f>IF(ISNUMBER(O1745),IF(VLOOKUP($A1745,Stand!C:J,8,FALSE)="Short",AT1745,AU1745),"")</f>
        <v/>
      </c>
      <c r="AW1745" s="109" t="str">
        <f t="shared" si="781"/>
        <v/>
      </c>
      <c r="AX1745" s="109" t="str">
        <f t="shared" si="782"/>
        <v/>
      </c>
      <c r="AY1745" s="112" t="str">
        <f>IF(ISNUMBER(O1745),IF(AND(VLOOKUP($D1745,Merchantability!$B:$C,2,0)="Yes",$E1745&gt;=VLOOKUP($D1745,Merchantability!$B:$D,3,0),$E1745&lt;=VLOOKUP($D1745,Merchantability!$B:$E,4,0)),(AV1745*O1745)*(1-$H1745/100),""),"")</f>
        <v/>
      </c>
      <c r="AZ1745" s="116"/>
      <c r="BA1745" s="116"/>
      <c r="BB1745" s="116"/>
      <c r="BE1745" s="62"/>
      <c r="BF1745" s="63"/>
    </row>
    <row r="1746" spans="1:58" ht="12.75" customHeight="1" x14ac:dyDescent="0.25">
      <c r="A1746" s="334"/>
      <c r="B1746" s="334"/>
      <c r="C1746" s="332"/>
      <c r="D1746" s="334"/>
      <c r="E1746" s="335"/>
      <c r="F1746" s="334"/>
      <c r="G1746" s="332"/>
      <c r="H1746" s="332"/>
      <c r="I1746" s="334"/>
      <c r="J1746" s="336"/>
      <c r="K1746" s="332"/>
      <c r="L1746" s="332"/>
      <c r="M1746" s="76"/>
      <c r="N1746" s="103" t="str">
        <f>IF(A1746="","",VLOOKUP(A1746,Stand!C:K,9,0))</f>
        <v/>
      </c>
      <c r="O1746" s="104" t="str">
        <f t="shared" si="767"/>
        <v/>
      </c>
      <c r="P1746" s="105" t="str">
        <f t="shared" si="768"/>
        <v/>
      </c>
      <c r="Q1746" s="105" t="str">
        <f t="shared" si="756"/>
        <v/>
      </c>
      <c r="R1746" s="103" t="str">
        <f t="shared" si="769"/>
        <v/>
      </c>
      <c r="S1746" s="103" t="str">
        <f t="shared" si="770"/>
        <v/>
      </c>
      <c r="T1746" s="106" t="str">
        <f t="shared" si="757"/>
        <v/>
      </c>
      <c r="U1746" s="106" t="str">
        <f t="shared" si="758"/>
        <v/>
      </c>
      <c r="V1746" s="106" t="str">
        <f t="shared" si="759"/>
        <v/>
      </c>
      <c r="W1746" s="105" t="str">
        <f t="shared" si="771"/>
        <v/>
      </c>
      <c r="X1746" s="104" t="str">
        <f t="shared" si="776"/>
        <v/>
      </c>
      <c r="Y1746" s="104" t="str">
        <f t="array" ref="Y1746">IFERROR(IF(ISNUMBER(O1746),IF(COUNT(IF(A1746=$A$2:$A$2427,IF(D1746=$D$2:$D$2427,IF($X$2:$X$2427&gt;0,1))))&gt;0,SUM(IF(A1746=$A$2:$A$2427,IF(D1746=$D$2:$D$2427,$X$2:$X$2427)))/COUNT(IF(A1746=$A$2:$A$2427,IF(D1746=$D$2:$D$2427,IF(ISNUMBER($X$2:$X$2427),1)))),0),""),0)</f>
        <v/>
      </c>
      <c r="Z1746" s="104" t="str">
        <f>IF(ISNUMBER(O1746),IF(I1746&gt;0,(10^(VLOOKUP(D1746,'Species Codes'!B:C,2,0)+VLOOKUP(D1746,'Species Codes'!B:D,3,0)*LOG(E1746)+VLOOKUP(D1746,'Species Codes'!B:E,4,0)*LOG(I1746))),0),"")</f>
        <v/>
      </c>
      <c r="AA1746" s="104" t="str">
        <f>IFERROR((VLOOKUP(D1746,'Species Codes'!B:G,6,0)*Z1746)/2000,"")</f>
        <v/>
      </c>
      <c r="AB1746" s="104" t="e">
        <f>IF(Z1746&gt;0,((IF(OR(D1746="DF",D1746="RA")=TRUE,EXP(VLOOKUP(D1746,'Species Codes'!B:I,8,0)+VLOOKUP(D1746,'Species Codes'!B:J,9,0)*(LN((E1746*2.54)))),IF(OR(D1746="PY",D1746="RC",D1746="WH",D1746="NF")=TRUE,VLOOKUP(D1746,'Species Codes'!B:I,8,0)+VLOOKUP(D1746,'Species Codes'!B:J,9,0)*((E1746*2.54)^2)*(I1746*0.3048),IF(OR(D1746="MD",D1746="BM",D1746="GA")=TRUE,((VLOOKUP(D1746,'Species Codes'!B:I,8,0)*(((((E1746*2.54)+VLOOKUP(D1746,'Species Codes'!B:J,9,0))/VLOOKUP(D1746,'Species Codes'!B:K,10,0))^VLOOKUP(D1746,'Species Codes'!B:L,11,0))*((I1746*0.3048)^VLOOKUP(D1746,'Species Codes'!B:M,12,0))))-(VLOOKUP(D1746,'Species Codes'!B:I,8,0)*((((E1746*2.54)^VLOOKUP(D1746,'Species Codes'!B:L,11,0))*((I1746*0.3048)^VLOOKUP(D1746,'Species Codes'!B:M,12,0))))))*35.3*VLOOKUP(D1746,'Species Codes'!B:G,6,0)/2.2046,VLOOKUP(D1746,'Species Codes'!B:I,8,0)+VLOOKUP(D1746,'Species Codes'!B:J,9,0)*(((E1746*2.54)/100)^2)*(I1746*0.3048)))))*0.0011023),0)</f>
        <v>#N/A</v>
      </c>
      <c r="AC1746" s="104" t="e">
        <f>IF(Z1746&gt;0,((IF(OR(D1746="RA",D1746="OA",D1746="OT",D1746="UN",D1746="PC"),EXP(VLOOKUP(D1746,'Species Codes'!B:O,14,0)+VLOOKUP(D1746,'Species Codes'!B:P,15,0)*LN((E1746*2.54)))-EXP(VLOOKUP(D1746,'Species Codes'!B:O,14,0)+VLOOKUP(D1746,'Species Codes'!B:P,15,0)*LN((E1746*2.54)))*(1/(VLOOKUP(D1746,'Species Codes'!B:Q,16,0)+VLOOKUP(D1746,'Species Codes'!B:R,17,0)*((E1746*2.54)^VLOOKUP(D1746,'Species Codes'!B:S,18,0)))),IF(OR(D1746="BM",D1746="MD",D1746="OA"),EXP(VLOOKUP(D1746,'Species Codes'!B:O,14,0)+VLOOKUP(D1746,'Species Codes'!B:P,15,0)*LN((E1746*2.54)))*(1-(1/(VLOOKUP(D1746,'Species Codes'!B:Q,16,0)+VLOOKUP(D1746,'Species Codes'!B:R,17,0)*((E1746*2.54)^VLOOKUP(D1746,'Species Codes'!B:S,18,0)))))/1000,IF(D1746="DF",EXP(VLOOKUP(D1746,'Species Codes'!B:O,14,0)+VLOOKUP(D1746,'Species Codes'!B:P,15,0)*LN((E1746*2.54))),VLOOKUP(D1746,'Species Codes'!B:O,14,0)+VLOOKUP(D1746,'Species Codes'!B:P,15,0)*(((E1746*2.54)/100)^2)*(I1746*0.3048)))))*0.0011023),0)</f>
        <v>#N/A</v>
      </c>
      <c r="AD1746" s="104" t="e">
        <f t="shared" si="760"/>
        <v>#N/A</v>
      </c>
      <c r="AE1746" s="104" t="e">
        <f t="shared" si="761"/>
        <v>#N/A</v>
      </c>
      <c r="AF1746" s="104" t="e">
        <f>IF(AND(VLOOKUP($D1746,Merchantability!$B:$C,2,0)="Yes",$E1746&gt;=VLOOKUP($D1746,Merchantability!$B:$D,3,0),$E1746&lt;=VLOOKUP($D1746,Merchantability!$B:$E,4,0)),AA1746,0)</f>
        <v>#N/A</v>
      </c>
      <c r="AG1746" s="104" t="e">
        <f>IF(AND(VLOOKUP($D1746,Merchantability!$B:$C,2,0)="Yes",$E1746&gt;=VLOOKUP($D1746,Merchantability!$B:$D,3,0),$E1746&lt;=VLOOKUP($D1746,Merchantability!$B:$E,4,0)),AB1746,0)</f>
        <v>#N/A</v>
      </c>
      <c r="AH1746" s="104" t="e">
        <f>IF(AND(VLOOKUP($D1746,Merchantability!$B:$C,2,0)="Yes",$E1746&gt;=VLOOKUP($D1746,Merchantability!$B:$D,3,0),$E1746&lt;=VLOOKUP($D1746,Merchantability!$B:$E,4,0)),AC1746,0)</f>
        <v>#N/A</v>
      </c>
      <c r="AI1746" s="104" t="e">
        <f t="shared" si="762"/>
        <v>#N/A</v>
      </c>
      <c r="AJ1746" s="104" t="e">
        <f t="shared" si="763"/>
        <v>#VALUE!</v>
      </c>
      <c r="AK1746" s="104" t="e">
        <f t="shared" si="764"/>
        <v>#N/A</v>
      </c>
      <c r="AL1746" s="104" t="e">
        <f t="shared" si="765"/>
        <v>#N/A</v>
      </c>
      <c r="AM1746" s="104" t="e">
        <f t="shared" si="766"/>
        <v>#N/A</v>
      </c>
      <c r="AN1746" s="104" t="e">
        <f t="shared" si="777"/>
        <v>#N/A</v>
      </c>
      <c r="AO1746" s="104" t="e">
        <f t="shared" si="778"/>
        <v>#N/A</v>
      </c>
      <c r="AP1746" s="104" t="e">
        <f t="shared" si="779"/>
        <v>#N/A</v>
      </c>
      <c r="AQ1746" s="104" t="e">
        <f t="shared" si="780"/>
        <v>#N/A</v>
      </c>
      <c r="AR1746" s="105" t="str">
        <f t="shared" si="772"/>
        <v/>
      </c>
      <c r="AS1746" s="105" t="str">
        <f t="shared" si="773"/>
        <v/>
      </c>
      <c r="AT1746" s="108" t="str">
        <f t="shared" si="774"/>
        <v/>
      </c>
      <c r="AU1746" s="108" t="str">
        <f t="shared" si="775"/>
        <v/>
      </c>
      <c r="AV1746" s="107" t="str">
        <f>IF(ISNUMBER(O1746),IF(VLOOKUP($A1746,Stand!C:J,8,FALSE)="Short",AT1746,AU1746),"")</f>
        <v/>
      </c>
      <c r="AW1746" s="109" t="str">
        <f t="shared" si="781"/>
        <v/>
      </c>
      <c r="AX1746" s="109" t="str">
        <f t="shared" si="782"/>
        <v/>
      </c>
      <c r="AY1746" s="112" t="str">
        <f>IF(ISNUMBER(O1746),IF(AND(VLOOKUP($D1746,Merchantability!$B:$C,2,0)="Yes",$E1746&gt;=VLOOKUP($D1746,Merchantability!$B:$D,3,0),$E1746&lt;=VLOOKUP($D1746,Merchantability!$B:$E,4,0)),(AV1746*O1746)*(1-$H1746/100),""),"")</f>
        <v/>
      </c>
      <c r="AZ1746" s="116"/>
      <c r="BA1746" s="116"/>
      <c r="BB1746" s="116"/>
      <c r="BE1746" s="62"/>
      <c r="BF1746" s="63"/>
    </row>
    <row r="1747" spans="1:58" ht="12.75" customHeight="1" x14ac:dyDescent="0.25">
      <c r="A1747" s="334"/>
      <c r="B1747" s="334"/>
      <c r="C1747" s="332"/>
      <c r="D1747" s="334"/>
      <c r="E1747" s="335"/>
      <c r="F1747" s="334"/>
      <c r="G1747" s="332"/>
      <c r="H1747" s="332"/>
      <c r="I1747" s="334"/>
      <c r="J1747" s="336"/>
      <c r="K1747" s="332"/>
      <c r="L1747" s="332"/>
      <c r="M1747" s="76"/>
      <c r="N1747" s="103" t="str">
        <f>IF(A1747="","",VLOOKUP(A1747,Stand!C:K,9,0))</f>
        <v/>
      </c>
      <c r="O1747" s="104" t="str">
        <f t="shared" si="767"/>
        <v/>
      </c>
      <c r="P1747" s="105" t="str">
        <f t="shared" si="768"/>
        <v/>
      </c>
      <c r="Q1747" s="105" t="str">
        <f t="shared" si="756"/>
        <v/>
      </c>
      <c r="R1747" s="103" t="str">
        <f t="shared" si="769"/>
        <v/>
      </c>
      <c r="S1747" s="103" t="str">
        <f t="shared" si="770"/>
        <v/>
      </c>
      <c r="T1747" s="106" t="str">
        <f t="shared" si="757"/>
        <v/>
      </c>
      <c r="U1747" s="106" t="str">
        <f t="shared" si="758"/>
        <v/>
      </c>
      <c r="V1747" s="106" t="str">
        <f t="shared" si="759"/>
        <v/>
      </c>
      <c r="W1747" s="105" t="str">
        <f t="shared" si="771"/>
        <v/>
      </c>
      <c r="X1747" s="104" t="str">
        <f t="shared" si="776"/>
        <v/>
      </c>
      <c r="Y1747" s="104" t="str">
        <f t="array" ref="Y1747">IFERROR(IF(ISNUMBER(O1747),IF(COUNT(IF(A1747=$A$2:$A$2427,IF(D1747=$D$2:$D$2427,IF($X$2:$X$2427&gt;0,1))))&gt;0,SUM(IF(A1747=$A$2:$A$2427,IF(D1747=$D$2:$D$2427,$X$2:$X$2427)))/COUNT(IF(A1747=$A$2:$A$2427,IF(D1747=$D$2:$D$2427,IF(ISNUMBER($X$2:$X$2427),1)))),0),""),0)</f>
        <v/>
      </c>
      <c r="Z1747" s="104" t="str">
        <f>IF(ISNUMBER(O1747),IF(I1747&gt;0,(10^(VLOOKUP(D1747,'Species Codes'!B:C,2,0)+VLOOKUP(D1747,'Species Codes'!B:D,3,0)*LOG(E1747)+VLOOKUP(D1747,'Species Codes'!B:E,4,0)*LOG(I1747))),0),"")</f>
        <v/>
      </c>
      <c r="AA1747" s="104" t="str">
        <f>IFERROR((VLOOKUP(D1747,'Species Codes'!B:G,6,0)*Z1747)/2000,"")</f>
        <v/>
      </c>
      <c r="AB1747" s="104" t="e">
        <f>IF(Z1747&gt;0,((IF(OR(D1747="DF",D1747="RA")=TRUE,EXP(VLOOKUP(D1747,'Species Codes'!B:I,8,0)+VLOOKUP(D1747,'Species Codes'!B:J,9,0)*(LN((E1747*2.54)))),IF(OR(D1747="PY",D1747="RC",D1747="WH",D1747="NF")=TRUE,VLOOKUP(D1747,'Species Codes'!B:I,8,0)+VLOOKUP(D1747,'Species Codes'!B:J,9,0)*((E1747*2.54)^2)*(I1747*0.3048),IF(OR(D1747="MD",D1747="BM",D1747="GA")=TRUE,((VLOOKUP(D1747,'Species Codes'!B:I,8,0)*(((((E1747*2.54)+VLOOKUP(D1747,'Species Codes'!B:J,9,0))/VLOOKUP(D1747,'Species Codes'!B:K,10,0))^VLOOKUP(D1747,'Species Codes'!B:L,11,0))*((I1747*0.3048)^VLOOKUP(D1747,'Species Codes'!B:M,12,0))))-(VLOOKUP(D1747,'Species Codes'!B:I,8,0)*((((E1747*2.54)^VLOOKUP(D1747,'Species Codes'!B:L,11,0))*((I1747*0.3048)^VLOOKUP(D1747,'Species Codes'!B:M,12,0))))))*35.3*VLOOKUP(D1747,'Species Codes'!B:G,6,0)/2.2046,VLOOKUP(D1747,'Species Codes'!B:I,8,0)+VLOOKUP(D1747,'Species Codes'!B:J,9,0)*(((E1747*2.54)/100)^2)*(I1747*0.3048)))))*0.0011023),0)</f>
        <v>#N/A</v>
      </c>
      <c r="AC1747" s="104" t="e">
        <f>IF(Z1747&gt;0,((IF(OR(D1747="RA",D1747="OA",D1747="OT",D1747="UN",D1747="PC"),EXP(VLOOKUP(D1747,'Species Codes'!B:O,14,0)+VLOOKUP(D1747,'Species Codes'!B:P,15,0)*LN((E1747*2.54)))-EXP(VLOOKUP(D1747,'Species Codes'!B:O,14,0)+VLOOKUP(D1747,'Species Codes'!B:P,15,0)*LN((E1747*2.54)))*(1/(VLOOKUP(D1747,'Species Codes'!B:Q,16,0)+VLOOKUP(D1747,'Species Codes'!B:R,17,0)*((E1747*2.54)^VLOOKUP(D1747,'Species Codes'!B:S,18,0)))),IF(OR(D1747="BM",D1747="MD",D1747="OA"),EXP(VLOOKUP(D1747,'Species Codes'!B:O,14,0)+VLOOKUP(D1747,'Species Codes'!B:P,15,0)*LN((E1747*2.54)))*(1-(1/(VLOOKUP(D1747,'Species Codes'!B:Q,16,0)+VLOOKUP(D1747,'Species Codes'!B:R,17,0)*((E1747*2.54)^VLOOKUP(D1747,'Species Codes'!B:S,18,0)))))/1000,IF(D1747="DF",EXP(VLOOKUP(D1747,'Species Codes'!B:O,14,0)+VLOOKUP(D1747,'Species Codes'!B:P,15,0)*LN((E1747*2.54))),VLOOKUP(D1747,'Species Codes'!B:O,14,0)+VLOOKUP(D1747,'Species Codes'!B:P,15,0)*(((E1747*2.54)/100)^2)*(I1747*0.3048)))))*0.0011023),0)</f>
        <v>#N/A</v>
      </c>
      <c r="AD1747" s="104" t="e">
        <f t="shared" si="760"/>
        <v>#N/A</v>
      </c>
      <c r="AE1747" s="104" t="e">
        <f t="shared" si="761"/>
        <v>#N/A</v>
      </c>
      <c r="AF1747" s="104" t="e">
        <f>IF(AND(VLOOKUP($D1747,Merchantability!$B:$C,2,0)="Yes",$E1747&gt;=VLOOKUP($D1747,Merchantability!$B:$D,3,0),$E1747&lt;=VLOOKUP($D1747,Merchantability!$B:$E,4,0)),AA1747,0)</f>
        <v>#N/A</v>
      </c>
      <c r="AG1747" s="104" t="e">
        <f>IF(AND(VLOOKUP($D1747,Merchantability!$B:$C,2,0)="Yes",$E1747&gt;=VLOOKUP($D1747,Merchantability!$B:$D,3,0),$E1747&lt;=VLOOKUP($D1747,Merchantability!$B:$E,4,0)),AB1747,0)</f>
        <v>#N/A</v>
      </c>
      <c r="AH1747" s="104" t="e">
        <f>IF(AND(VLOOKUP($D1747,Merchantability!$B:$C,2,0)="Yes",$E1747&gt;=VLOOKUP($D1747,Merchantability!$B:$D,3,0),$E1747&lt;=VLOOKUP($D1747,Merchantability!$B:$E,4,0)),AC1747,0)</f>
        <v>#N/A</v>
      </c>
      <c r="AI1747" s="104" t="e">
        <f t="shared" si="762"/>
        <v>#N/A</v>
      </c>
      <c r="AJ1747" s="104" t="e">
        <f t="shared" si="763"/>
        <v>#VALUE!</v>
      </c>
      <c r="AK1747" s="104" t="e">
        <f t="shared" si="764"/>
        <v>#N/A</v>
      </c>
      <c r="AL1747" s="104" t="e">
        <f t="shared" si="765"/>
        <v>#N/A</v>
      </c>
      <c r="AM1747" s="104" t="e">
        <f t="shared" si="766"/>
        <v>#N/A</v>
      </c>
      <c r="AN1747" s="104" t="e">
        <f t="shared" si="777"/>
        <v>#N/A</v>
      </c>
      <c r="AO1747" s="104" t="e">
        <f t="shared" si="778"/>
        <v>#N/A</v>
      </c>
      <c r="AP1747" s="104" t="e">
        <f t="shared" si="779"/>
        <v>#N/A</v>
      </c>
      <c r="AQ1747" s="104" t="e">
        <f t="shared" si="780"/>
        <v>#N/A</v>
      </c>
      <c r="AR1747" s="105" t="str">
        <f t="shared" si="772"/>
        <v/>
      </c>
      <c r="AS1747" s="105" t="str">
        <f t="shared" si="773"/>
        <v/>
      </c>
      <c r="AT1747" s="108" t="str">
        <f t="shared" si="774"/>
        <v/>
      </c>
      <c r="AU1747" s="108" t="str">
        <f t="shared" si="775"/>
        <v/>
      </c>
      <c r="AV1747" s="107" t="str">
        <f>IF(ISNUMBER(O1747),IF(VLOOKUP($A1747,Stand!C:J,8,FALSE)="Short",AT1747,AU1747),"")</f>
        <v/>
      </c>
      <c r="AW1747" s="109" t="str">
        <f t="shared" si="781"/>
        <v/>
      </c>
      <c r="AX1747" s="109" t="str">
        <f t="shared" si="782"/>
        <v/>
      </c>
      <c r="AY1747" s="112" t="str">
        <f>IF(ISNUMBER(O1747),IF(AND(VLOOKUP($D1747,Merchantability!$B:$C,2,0)="Yes",$E1747&gt;=VLOOKUP($D1747,Merchantability!$B:$D,3,0),$E1747&lt;=VLOOKUP($D1747,Merchantability!$B:$E,4,0)),(AV1747*O1747)*(1-$H1747/100),""),"")</f>
        <v/>
      </c>
      <c r="AZ1747" s="116"/>
      <c r="BA1747" s="116"/>
      <c r="BB1747" s="116"/>
      <c r="BE1747" s="62"/>
      <c r="BF1747" s="63"/>
    </row>
    <row r="1748" spans="1:58" ht="12.75" customHeight="1" x14ac:dyDescent="0.25">
      <c r="A1748" s="334"/>
      <c r="B1748" s="334"/>
      <c r="C1748" s="332"/>
      <c r="D1748" s="334"/>
      <c r="E1748" s="335"/>
      <c r="F1748" s="334"/>
      <c r="G1748" s="332"/>
      <c r="H1748" s="332"/>
      <c r="I1748" s="334"/>
      <c r="J1748" s="336"/>
      <c r="K1748" s="332"/>
      <c r="L1748" s="332"/>
      <c r="M1748" s="76"/>
      <c r="N1748" s="103" t="str">
        <f>IF(A1748="","",VLOOKUP(A1748,Stand!C:K,9,0))</f>
        <v/>
      </c>
      <c r="O1748" s="104" t="str">
        <f t="shared" si="767"/>
        <v/>
      </c>
      <c r="P1748" s="105" t="str">
        <f t="shared" si="768"/>
        <v/>
      </c>
      <c r="Q1748" s="105" t="str">
        <f t="shared" si="756"/>
        <v/>
      </c>
      <c r="R1748" s="103" t="str">
        <f t="shared" si="769"/>
        <v/>
      </c>
      <c r="S1748" s="103" t="str">
        <f t="shared" si="770"/>
        <v/>
      </c>
      <c r="T1748" s="106" t="str">
        <f t="shared" si="757"/>
        <v/>
      </c>
      <c r="U1748" s="106" t="str">
        <f t="shared" si="758"/>
        <v/>
      </c>
      <c r="V1748" s="106" t="str">
        <f t="shared" si="759"/>
        <v/>
      </c>
      <c r="W1748" s="105" t="str">
        <f t="shared" si="771"/>
        <v/>
      </c>
      <c r="X1748" s="104" t="str">
        <f t="shared" si="776"/>
        <v/>
      </c>
      <c r="Y1748" s="104" t="str">
        <f t="array" ref="Y1748">IFERROR(IF(ISNUMBER(O1748),IF(COUNT(IF(A1748=$A$2:$A$2427,IF(D1748=$D$2:$D$2427,IF($X$2:$X$2427&gt;0,1))))&gt;0,SUM(IF(A1748=$A$2:$A$2427,IF(D1748=$D$2:$D$2427,$X$2:$X$2427)))/COUNT(IF(A1748=$A$2:$A$2427,IF(D1748=$D$2:$D$2427,IF(ISNUMBER($X$2:$X$2427),1)))),0),""),0)</f>
        <v/>
      </c>
      <c r="Z1748" s="104" t="str">
        <f>IF(ISNUMBER(O1748),IF(I1748&gt;0,(10^(VLOOKUP(D1748,'Species Codes'!B:C,2,0)+VLOOKUP(D1748,'Species Codes'!B:D,3,0)*LOG(E1748)+VLOOKUP(D1748,'Species Codes'!B:E,4,0)*LOG(I1748))),0),"")</f>
        <v/>
      </c>
      <c r="AA1748" s="104" t="str">
        <f>IFERROR((VLOOKUP(D1748,'Species Codes'!B:G,6,0)*Z1748)/2000,"")</f>
        <v/>
      </c>
      <c r="AB1748" s="104" t="e">
        <f>IF(Z1748&gt;0,((IF(OR(D1748="DF",D1748="RA")=TRUE,EXP(VLOOKUP(D1748,'Species Codes'!B:I,8,0)+VLOOKUP(D1748,'Species Codes'!B:J,9,0)*(LN((E1748*2.54)))),IF(OR(D1748="PY",D1748="RC",D1748="WH",D1748="NF")=TRUE,VLOOKUP(D1748,'Species Codes'!B:I,8,0)+VLOOKUP(D1748,'Species Codes'!B:J,9,0)*((E1748*2.54)^2)*(I1748*0.3048),IF(OR(D1748="MD",D1748="BM",D1748="GA")=TRUE,((VLOOKUP(D1748,'Species Codes'!B:I,8,0)*(((((E1748*2.54)+VLOOKUP(D1748,'Species Codes'!B:J,9,0))/VLOOKUP(D1748,'Species Codes'!B:K,10,0))^VLOOKUP(D1748,'Species Codes'!B:L,11,0))*((I1748*0.3048)^VLOOKUP(D1748,'Species Codes'!B:M,12,0))))-(VLOOKUP(D1748,'Species Codes'!B:I,8,0)*((((E1748*2.54)^VLOOKUP(D1748,'Species Codes'!B:L,11,0))*((I1748*0.3048)^VLOOKUP(D1748,'Species Codes'!B:M,12,0))))))*35.3*VLOOKUP(D1748,'Species Codes'!B:G,6,0)/2.2046,VLOOKUP(D1748,'Species Codes'!B:I,8,0)+VLOOKUP(D1748,'Species Codes'!B:J,9,0)*(((E1748*2.54)/100)^2)*(I1748*0.3048)))))*0.0011023),0)</f>
        <v>#N/A</v>
      </c>
      <c r="AC1748" s="104" t="e">
        <f>IF(Z1748&gt;0,((IF(OR(D1748="RA",D1748="OA",D1748="OT",D1748="UN",D1748="PC"),EXP(VLOOKUP(D1748,'Species Codes'!B:O,14,0)+VLOOKUP(D1748,'Species Codes'!B:P,15,0)*LN((E1748*2.54)))-EXP(VLOOKUP(D1748,'Species Codes'!B:O,14,0)+VLOOKUP(D1748,'Species Codes'!B:P,15,0)*LN((E1748*2.54)))*(1/(VLOOKUP(D1748,'Species Codes'!B:Q,16,0)+VLOOKUP(D1748,'Species Codes'!B:R,17,0)*((E1748*2.54)^VLOOKUP(D1748,'Species Codes'!B:S,18,0)))),IF(OR(D1748="BM",D1748="MD",D1748="OA"),EXP(VLOOKUP(D1748,'Species Codes'!B:O,14,0)+VLOOKUP(D1748,'Species Codes'!B:P,15,0)*LN((E1748*2.54)))*(1-(1/(VLOOKUP(D1748,'Species Codes'!B:Q,16,0)+VLOOKUP(D1748,'Species Codes'!B:R,17,0)*((E1748*2.54)^VLOOKUP(D1748,'Species Codes'!B:S,18,0)))))/1000,IF(D1748="DF",EXP(VLOOKUP(D1748,'Species Codes'!B:O,14,0)+VLOOKUP(D1748,'Species Codes'!B:P,15,0)*LN((E1748*2.54))),VLOOKUP(D1748,'Species Codes'!B:O,14,0)+VLOOKUP(D1748,'Species Codes'!B:P,15,0)*(((E1748*2.54)/100)^2)*(I1748*0.3048)))))*0.0011023),0)</f>
        <v>#N/A</v>
      </c>
      <c r="AD1748" s="104" t="e">
        <f t="shared" si="760"/>
        <v>#N/A</v>
      </c>
      <c r="AE1748" s="104" t="e">
        <f t="shared" si="761"/>
        <v>#N/A</v>
      </c>
      <c r="AF1748" s="104" t="e">
        <f>IF(AND(VLOOKUP($D1748,Merchantability!$B:$C,2,0)="Yes",$E1748&gt;=VLOOKUP($D1748,Merchantability!$B:$D,3,0),$E1748&lt;=VLOOKUP($D1748,Merchantability!$B:$E,4,0)),AA1748,0)</f>
        <v>#N/A</v>
      </c>
      <c r="AG1748" s="104" t="e">
        <f>IF(AND(VLOOKUP($D1748,Merchantability!$B:$C,2,0)="Yes",$E1748&gt;=VLOOKUP($D1748,Merchantability!$B:$D,3,0),$E1748&lt;=VLOOKUP($D1748,Merchantability!$B:$E,4,0)),AB1748,0)</f>
        <v>#N/A</v>
      </c>
      <c r="AH1748" s="104" t="e">
        <f>IF(AND(VLOOKUP($D1748,Merchantability!$B:$C,2,0)="Yes",$E1748&gt;=VLOOKUP($D1748,Merchantability!$B:$D,3,0),$E1748&lt;=VLOOKUP($D1748,Merchantability!$B:$E,4,0)),AC1748,0)</f>
        <v>#N/A</v>
      </c>
      <c r="AI1748" s="104" t="e">
        <f t="shared" si="762"/>
        <v>#N/A</v>
      </c>
      <c r="AJ1748" s="104" t="e">
        <f t="shared" si="763"/>
        <v>#VALUE!</v>
      </c>
      <c r="AK1748" s="104" t="e">
        <f t="shared" si="764"/>
        <v>#N/A</v>
      </c>
      <c r="AL1748" s="104" t="e">
        <f t="shared" si="765"/>
        <v>#N/A</v>
      </c>
      <c r="AM1748" s="104" t="e">
        <f t="shared" si="766"/>
        <v>#N/A</v>
      </c>
      <c r="AN1748" s="104" t="e">
        <f t="shared" si="777"/>
        <v>#N/A</v>
      </c>
      <c r="AO1748" s="104" t="e">
        <f t="shared" si="778"/>
        <v>#N/A</v>
      </c>
      <c r="AP1748" s="104" t="e">
        <f t="shared" si="779"/>
        <v>#N/A</v>
      </c>
      <c r="AQ1748" s="104" t="e">
        <f t="shared" si="780"/>
        <v>#N/A</v>
      </c>
      <c r="AR1748" s="105" t="str">
        <f t="shared" si="772"/>
        <v/>
      </c>
      <c r="AS1748" s="105" t="str">
        <f t="shared" si="773"/>
        <v/>
      </c>
      <c r="AT1748" s="108" t="str">
        <f t="shared" si="774"/>
        <v/>
      </c>
      <c r="AU1748" s="108" t="str">
        <f t="shared" si="775"/>
        <v/>
      </c>
      <c r="AV1748" s="107" t="str">
        <f>IF(ISNUMBER(O1748),IF(VLOOKUP($A1748,Stand!C:J,8,FALSE)="Short",AT1748,AU1748),"")</f>
        <v/>
      </c>
      <c r="AW1748" s="109" t="str">
        <f t="shared" si="781"/>
        <v/>
      </c>
      <c r="AX1748" s="109" t="str">
        <f t="shared" si="782"/>
        <v/>
      </c>
      <c r="AY1748" s="112" t="str">
        <f>IF(ISNUMBER(O1748),IF(AND(VLOOKUP($D1748,Merchantability!$B:$C,2,0)="Yes",$E1748&gt;=VLOOKUP($D1748,Merchantability!$B:$D,3,0),$E1748&lt;=VLOOKUP($D1748,Merchantability!$B:$E,4,0)),(AV1748*O1748)*(1-$H1748/100),""),"")</f>
        <v/>
      </c>
      <c r="AZ1748" s="116"/>
      <c r="BA1748" s="116"/>
      <c r="BB1748" s="116"/>
      <c r="BE1748" s="62"/>
      <c r="BF1748" s="63"/>
    </row>
    <row r="1749" spans="1:58" ht="12.75" customHeight="1" x14ac:dyDescent="0.25">
      <c r="A1749" s="334"/>
      <c r="B1749" s="334"/>
      <c r="C1749" s="332"/>
      <c r="D1749" s="334"/>
      <c r="E1749" s="335"/>
      <c r="F1749" s="334"/>
      <c r="G1749" s="332"/>
      <c r="H1749" s="332"/>
      <c r="I1749" s="334"/>
      <c r="J1749" s="336"/>
      <c r="K1749" s="332"/>
      <c r="L1749" s="332"/>
      <c r="M1749" s="76"/>
      <c r="N1749" s="103" t="str">
        <f>IF(A1749="","",VLOOKUP(A1749,Stand!C:K,9,0))</f>
        <v/>
      </c>
      <c r="O1749" s="104" t="str">
        <f t="shared" si="767"/>
        <v/>
      </c>
      <c r="P1749" s="105" t="str">
        <f t="shared" si="768"/>
        <v/>
      </c>
      <c r="Q1749" s="105" t="str">
        <f t="shared" si="756"/>
        <v/>
      </c>
      <c r="R1749" s="103" t="str">
        <f t="shared" si="769"/>
        <v/>
      </c>
      <c r="S1749" s="103" t="str">
        <f t="shared" si="770"/>
        <v/>
      </c>
      <c r="T1749" s="106" t="str">
        <f t="shared" si="757"/>
        <v/>
      </c>
      <c r="U1749" s="106" t="str">
        <f t="shared" si="758"/>
        <v/>
      </c>
      <c r="V1749" s="106" t="str">
        <f t="shared" si="759"/>
        <v/>
      </c>
      <c r="W1749" s="105" t="str">
        <f t="shared" si="771"/>
        <v/>
      </c>
      <c r="X1749" s="104" t="str">
        <f t="shared" si="776"/>
        <v/>
      </c>
      <c r="Y1749" s="104" t="str">
        <f t="array" ref="Y1749">IFERROR(IF(ISNUMBER(O1749),IF(COUNT(IF(A1749=$A$2:$A$2427,IF(D1749=$D$2:$D$2427,IF($X$2:$X$2427&gt;0,1))))&gt;0,SUM(IF(A1749=$A$2:$A$2427,IF(D1749=$D$2:$D$2427,$X$2:$X$2427)))/COUNT(IF(A1749=$A$2:$A$2427,IF(D1749=$D$2:$D$2427,IF(ISNUMBER($X$2:$X$2427),1)))),0),""),0)</f>
        <v/>
      </c>
      <c r="Z1749" s="104" t="str">
        <f>IF(ISNUMBER(O1749),IF(I1749&gt;0,(10^(VLOOKUP(D1749,'Species Codes'!B:C,2,0)+VLOOKUP(D1749,'Species Codes'!B:D,3,0)*LOG(E1749)+VLOOKUP(D1749,'Species Codes'!B:E,4,0)*LOG(I1749))),0),"")</f>
        <v/>
      </c>
      <c r="AA1749" s="104" t="str">
        <f>IFERROR((VLOOKUP(D1749,'Species Codes'!B:G,6,0)*Z1749)/2000,"")</f>
        <v/>
      </c>
      <c r="AB1749" s="104" t="e">
        <f>IF(Z1749&gt;0,((IF(OR(D1749="DF",D1749="RA")=TRUE,EXP(VLOOKUP(D1749,'Species Codes'!B:I,8,0)+VLOOKUP(D1749,'Species Codes'!B:J,9,0)*(LN((E1749*2.54)))),IF(OR(D1749="PY",D1749="RC",D1749="WH",D1749="NF")=TRUE,VLOOKUP(D1749,'Species Codes'!B:I,8,0)+VLOOKUP(D1749,'Species Codes'!B:J,9,0)*((E1749*2.54)^2)*(I1749*0.3048),IF(OR(D1749="MD",D1749="BM",D1749="GA")=TRUE,((VLOOKUP(D1749,'Species Codes'!B:I,8,0)*(((((E1749*2.54)+VLOOKUP(D1749,'Species Codes'!B:J,9,0))/VLOOKUP(D1749,'Species Codes'!B:K,10,0))^VLOOKUP(D1749,'Species Codes'!B:L,11,0))*((I1749*0.3048)^VLOOKUP(D1749,'Species Codes'!B:M,12,0))))-(VLOOKUP(D1749,'Species Codes'!B:I,8,0)*((((E1749*2.54)^VLOOKUP(D1749,'Species Codes'!B:L,11,0))*((I1749*0.3048)^VLOOKUP(D1749,'Species Codes'!B:M,12,0))))))*35.3*VLOOKUP(D1749,'Species Codes'!B:G,6,0)/2.2046,VLOOKUP(D1749,'Species Codes'!B:I,8,0)+VLOOKUP(D1749,'Species Codes'!B:J,9,0)*(((E1749*2.54)/100)^2)*(I1749*0.3048)))))*0.0011023),0)</f>
        <v>#N/A</v>
      </c>
      <c r="AC1749" s="104" t="e">
        <f>IF(Z1749&gt;0,((IF(OR(D1749="RA",D1749="OA",D1749="OT",D1749="UN",D1749="PC"),EXP(VLOOKUP(D1749,'Species Codes'!B:O,14,0)+VLOOKUP(D1749,'Species Codes'!B:P,15,0)*LN((E1749*2.54)))-EXP(VLOOKUP(D1749,'Species Codes'!B:O,14,0)+VLOOKUP(D1749,'Species Codes'!B:P,15,0)*LN((E1749*2.54)))*(1/(VLOOKUP(D1749,'Species Codes'!B:Q,16,0)+VLOOKUP(D1749,'Species Codes'!B:R,17,0)*((E1749*2.54)^VLOOKUP(D1749,'Species Codes'!B:S,18,0)))),IF(OR(D1749="BM",D1749="MD",D1749="OA"),EXP(VLOOKUP(D1749,'Species Codes'!B:O,14,0)+VLOOKUP(D1749,'Species Codes'!B:P,15,0)*LN((E1749*2.54)))*(1-(1/(VLOOKUP(D1749,'Species Codes'!B:Q,16,0)+VLOOKUP(D1749,'Species Codes'!B:R,17,0)*((E1749*2.54)^VLOOKUP(D1749,'Species Codes'!B:S,18,0)))))/1000,IF(D1749="DF",EXP(VLOOKUP(D1749,'Species Codes'!B:O,14,0)+VLOOKUP(D1749,'Species Codes'!B:P,15,0)*LN((E1749*2.54))),VLOOKUP(D1749,'Species Codes'!B:O,14,0)+VLOOKUP(D1749,'Species Codes'!B:P,15,0)*(((E1749*2.54)/100)^2)*(I1749*0.3048)))))*0.0011023),0)</f>
        <v>#N/A</v>
      </c>
      <c r="AD1749" s="104" t="e">
        <f t="shared" si="760"/>
        <v>#N/A</v>
      </c>
      <c r="AE1749" s="104" t="e">
        <f t="shared" si="761"/>
        <v>#N/A</v>
      </c>
      <c r="AF1749" s="104" t="e">
        <f>IF(AND(VLOOKUP($D1749,Merchantability!$B:$C,2,0)="Yes",$E1749&gt;=VLOOKUP($D1749,Merchantability!$B:$D,3,0),$E1749&lt;=VLOOKUP($D1749,Merchantability!$B:$E,4,0)),AA1749,0)</f>
        <v>#N/A</v>
      </c>
      <c r="AG1749" s="104" t="e">
        <f>IF(AND(VLOOKUP($D1749,Merchantability!$B:$C,2,0)="Yes",$E1749&gt;=VLOOKUP($D1749,Merchantability!$B:$D,3,0),$E1749&lt;=VLOOKUP($D1749,Merchantability!$B:$E,4,0)),AB1749,0)</f>
        <v>#N/A</v>
      </c>
      <c r="AH1749" s="104" t="e">
        <f>IF(AND(VLOOKUP($D1749,Merchantability!$B:$C,2,0)="Yes",$E1749&gt;=VLOOKUP($D1749,Merchantability!$B:$D,3,0),$E1749&lt;=VLOOKUP($D1749,Merchantability!$B:$E,4,0)),AC1749,0)</f>
        <v>#N/A</v>
      </c>
      <c r="AI1749" s="104" t="e">
        <f t="shared" si="762"/>
        <v>#N/A</v>
      </c>
      <c r="AJ1749" s="104" t="e">
        <f t="shared" si="763"/>
        <v>#VALUE!</v>
      </c>
      <c r="AK1749" s="104" t="e">
        <f t="shared" si="764"/>
        <v>#N/A</v>
      </c>
      <c r="AL1749" s="104" t="e">
        <f t="shared" si="765"/>
        <v>#N/A</v>
      </c>
      <c r="AM1749" s="104" t="e">
        <f t="shared" si="766"/>
        <v>#N/A</v>
      </c>
      <c r="AN1749" s="104" t="e">
        <f t="shared" si="777"/>
        <v>#N/A</v>
      </c>
      <c r="AO1749" s="104" t="e">
        <f t="shared" si="778"/>
        <v>#N/A</v>
      </c>
      <c r="AP1749" s="104" t="e">
        <f t="shared" si="779"/>
        <v>#N/A</v>
      </c>
      <c r="AQ1749" s="104" t="e">
        <f t="shared" si="780"/>
        <v>#N/A</v>
      </c>
      <c r="AR1749" s="105" t="str">
        <f t="shared" si="772"/>
        <v/>
      </c>
      <c r="AS1749" s="105" t="str">
        <f t="shared" si="773"/>
        <v/>
      </c>
      <c r="AT1749" s="108" t="str">
        <f t="shared" si="774"/>
        <v/>
      </c>
      <c r="AU1749" s="108" t="str">
        <f t="shared" si="775"/>
        <v/>
      </c>
      <c r="AV1749" s="107" t="str">
        <f>IF(ISNUMBER(O1749),IF(VLOOKUP($A1749,Stand!C:J,8,FALSE)="Short",AT1749,AU1749),"")</f>
        <v/>
      </c>
      <c r="AW1749" s="109" t="str">
        <f t="shared" si="781"/>
        <v/>
      </c>
      <c r="AX1749" s="109" t="str">
        <f t="shared" si="782"/>
        <v/>
      </c>
      <c r="AY1749" s="112" t="str">
        <f>IF(ISNUMBER(O1749),IF(AND(VLOOKUP($D1749,Merchantability!$B:$C,2,0)="Yes",$E1749&gt;=VLOOKUP($D1749,Merchantability!$B:$D,3,0),$E1749&lt;=VLOOKUP($D1749,Merchantability!$B:$E,4,0)),(AV1749*O1749)*(1-$H1749/100),""),"")</f>
        <v/>
      </c>
      <c r="AZ1749" s="116"/>
      <c r="BA1749" s="116"/>
      <c r="BB1749" s="116"/>
      <c r="BE1749" s="62"/>
      <c r="BF1749" s="63"/>
    </row>
    <row r="1750" spans="1:58" ht="12.75" customHeight="1" x14ac:dyDescent="0.25">
      <c r="A1750" s="334"/>
      <c r="B1750" s="334"/>
      <c r="C1750" s="332"/>
      <c r="D1750" s="334"/>
      <c r="E1750" s="335"/>
      <c r="F1750" s="334"/>
      <c r="G1750" s="332"/>
      <c r="H1750" s="332"/>
      <c r="I1750" s="334"/>
      <c r="J1750" s="336"/>
      <c r="K1750" s="332"/>
      <c r="L1750" s="332"/>
      <c r="M1750" s="76"/>
      <c r="N1750" s="103" t="str">
        <f>IF(A1750="","",VLOOKUP(A1750,Stand!C:K,9,0))</f>
        <v/>
      </c>
      <c r="O1750" s="104" t="str">
        <f t="shared" si="767"/>
        <v/>
      </c>
      <c r="P1750" s="105" t="str">
        <f t="shared" si="768"/>
        <v/>
      </c>
      <c r="Q1750" s="105" t="str">
        <f t="shared" si="756"/>
        <v/>
      </c>
      <c r="R1750" s="103" t="str">
        <f t="shared" si="769"/>
        <v/>
      </c>
      <c r="S1750" s="103" t="str">
        <f t="shared" si="770"/>
        <v/>
      </c>
      <c r="T1750" s="106" t="str">
        <f t="shared" si="757"/>
        <v/>
      </c>
      <c r="U1750" s="106" t="str">
        <f t="shared" si="758"/>
        <v/>
      </c>
      <c r="V1750" s="106" t="str">
        <f t="shared" si="759"/>
        <v/>
      </c>
      <c r="W1750" s="105" t="str">
        <f t="shared" si="771"/>
        <v/>
      </c>
      <c r="X1750" s="104" t="str">
        <f t="shared" si="776"/>
        <v/>
      </c>
      <c r="Y1750" s="104" t="str">
        <f t="array" ref="Y1750">IFERROR(IF(ISNUMBER(O1750),IF(COUNT(IF(A1750=$A$2:$A$2427,IF(D1750=$D$2:$D$2427,IF($X$2:$X$2427&gt;0,1))))&gt;0,SUM(IF(A1750=$A$2:$A$2427,IF(D1750=$D$2:$D$2427,$X$2:$X$2427)))/COUNT(IF(A1750=$A$2:$A$2427,IF(D1750=$D$2:$D$2427,IF(ISNUMBER($X$2:$X$2427),1)))),0),""),0)</f>
        <v/>
      </c>
      <c r="Z1750" s="104" t="str">
        <f>IF(ISNUMBER(O1750),IF(I1750&gt;0,(10^(VLOOKUP(D1750,'Species Codes'!B:C,2,0)+VLOOKUP(D1750,'Species Codes'!B:D,3,0)*LOG(E1750)+VLOOKUP(D1750,'Species Codes'!B:E,4,0)*LOG(I1750))),0),"")</f>
        <v/>
      </c>
      <c r="AA1750" s="104" t="str">
        <f>IFERROR((VLOOKUP(D1750,'Species Codes'!B:G,6,0)*Z1750)/2000,"")</f>
        <v/>
      </c>
      <c r="AB1750" s="104" t="e">
        <f>IF(Z1750&gt;0,((IF(OR(D1750="DF",D1750="RA")=TRUE,EXP(VLOOKUP(D1750,'Species Codes'!B:I,8,0)+VLOOKUP(D1750,'Species Codes'!B:J,9,0)*(LN((E1750*2.54)))),IF(OR(D1750="PY",D1750="RC",D1750="WH",D1750="NF")=TRUE,VLOOKUP(D1750,'Species Codes'!B:I,8,0)+VLOOKUP(D1750,'Species Codes'!B:J,9,0)*((E1750*2.54)^2)*(I1750*0.3048),IF(OR(D1750="MD",D1750="BM",D1750="GA")=TRUE,((VLOOKUP(D1750,'Species Codes'!B:I,8,0)*(((((E1750*2.54)+VLOOKUP(D1750,'Species Codes'!B:J,9,0))/VLOOKUP(D1750,'Species Codes'!B:K,10,0))^VLOOKUP(D1750,'Species Codes'!B:L,11,0))*((I1750*0.3048)^VLOOKUP(D1750,'Species Codes'!B:M,12,0))))-(VLOOKUP(D1750,'Species Codes'!B:I,8,0)*((((E1750*2.54)^VLOOKUP(D1750,'Species Codes'!B:L,11,0))*((I1750*0.3048)^VLOOKUP(D1750,'Species Codes'!B:M,12,0))))))*35.3*VLOOKUP(D1750,'Species Codes'!B:G,6,0)/2.2046,VLOOKUP(D1750,'Species Codes'!B:I,8,0)+VLOOKUP(D1750,'Species Codes'!B:J,9,0)*(((E1750*2.54)/100)^2)*(I1750*0.3048)))))*0.0011023),0)</f>
        <v>#N/A</v>
      </c>
      <c r="AC1750" s="104" t="e">
        <f>IF(Z1750&gt;0,((IF(OR(D1750="RA",D1750="OA",D1750="OT",D1750="UN",D1750="PC"),EXP(VLOOKUP(D1750,'Species Codes'!B:O,14,0)+VLOOKUP(D1750,'Species Codes'!B:P,15,0)*LN((E1750*2.54)))-EXP(VLOOKUP(D1750,'Species Codes'!B:O,14,0)+VLOOKUP(D1750,'Species Codes'!B:P,15,0)*LN((E1750*2.54)))*(1/(VLOOKUP(D1750,'Species Codes'!B:Q,16,0)+VLOOKUP(D1750,'Species Codes'!B:R,17,0)*((E1750*2.54)^VLOOKUP(D1750,'Species Codes'!B:S,18,0)))),IF(OR(D1750="BM",D1750="MD",D1750="OA"),EXP(VLOOKUP(D1750,'Species Codes'!B:O,14,0)+VLOOKUP(D1750,'Species Codes'!B:P,15,0)*LN((E1750*2.54)))*(1-(1/(VLOOKUP(D1750,'Species Codes'!B:Q,16,0)+VLOOKUP(D1750,'Species Codes'!B:R,17,0)*((E1750*2.54)^VLOOKUP(D1750,'Species Codes'!B:S,18,0)))))/1000,IF(D1750="DF",EXP(VLOOKUP(D1750,'Species Codes'!B:O,14,0)+VLOOKUP(D1750,'Species Codes'!B:P,15,0)*LN((E1750*2.54))),VLOOKUP(D1750,'Species Codes'!B:O,14,0)+VLOOKUP(D1750,'Species Codes'!B:P,15,0)*(((E1750*2.54)/100)^2)*(I1750*0.3048)))))*0.0011023),0)</f>
        <v>#N/A</v>
      </c>
      <c r="AD1750" s="104" t="e">
        <f t="shared" si="760"/>
        <v>#N/A</v>
      </c>
      <c r="AE1750" s="104" t="e">
        <f t="shared" si="761"/>
        <v>#N/A</v>
      </c>
      <c r="AF1750" s="104" t="e">
        <f>IF(AND(VLOOKUP($D1750,Merchantability!$B:$C,2,0)="Yes",$E1750&gt;=VLOOKUP($D1750,Merchantability!$B:$D,3,0),$E1750&lt;=VLOOKUP($D1750,Merchantability!$B:$E,4,0)),AA1750,0)</f>
        <v>#N/A</v>
      </c>
      <c r="AG1750" s="104" t="e">
        <f>IF(AND(VLOOKUP($D1750,Merchantability!$B:$C,2,0)="Yes",$E1750&gt;=VLOOKUP($D1750,Merchantability!$B:$D,3,0),$E1750&lt;=VLOOKUP($D1750,Merchantability!$B:$E,4,0)),AB1750,0)</f>
        <v>#N/A</v>
      </c>
      <c r="AH1750" s="104" t="e">
        <f>IF(AND(VLOOKUP($D1750,Merchantability!$B:$C,2,0)="Yes",$E1750&gt;=VLOOKUP($D1750,Merchantability!$B:$D,3,0),$E1750&lt;=VLOOKUP($D1750,Merchantability!$B:$E,4,0)),AC1750,0)</f>
        <v>#N/A</v>
      </c>
      <c r="AI1750" s="104" t="e">
        <f t="shared" si="762"/>
        <v>#N/A</v>
      </c>
      <c r="AJ1750" s="104" t="e">
        <f t="shared" si="763"/>
        <v>#VALUE!</v>
      </c>
      <c r="AK1750" s="104" t="e">
        <f t="shared" si="764"/>
        <v>#N/A</v>
      </c>
      <c r="AL1750" s="104" t="e">
        <f t="shared" si="765"/>
        <v>#N/A</v>
      </c>
      <c r="AM1750" s="104" t="e">
        <f t="shared" si="766"/>
        <v>#N/A</v>
      </c>
      <c r="AN1750" s="104" t="e">
        <f t="shared" si="777"/>
        <v>#N/A</v>
      </c>
      <c r="AO1750" s="104" t="e">
        <f t="shared" si="778"/>
        <v>#N/A</v>
      </c>
      <c r="AP1750" s="104" t="e">
        <f t="shared" si="779"/>
        <v>#N/A</v>
      </c>
      <c r="AQ1750" s="104" t="e">
        <f t="shared" si="780"/>
        <v>#N/A</v>
      </c>
      <c r="AR1750" s="105" t="str">
        <f t="shared" si="772"/>
        <v/>
      </c>
      <c r="AS1750" s="105" t="str">
        <f t="shared" si="773"/>
        <v/>
      </c>
      <c r="AT1750" s="108" t="str">
        <f t="shared" si="774"/>
        <v/>
      </c>
      <c r="AU1750" s="108" t="str">
        <f t="shared" si="775"/>
        <v/>
      </c>
      <c r="AV1750" s="107" t="str">
        <f>IF(ISNUMBER(O1750),IF(VLOOKUP($A1750,Stand!C:J,8,FALSE)="Short",AT1750,AU1750),"")</f>
        <v/>
      </c>
      <c r="AW1750" s="109" t="str">
        <f t="shared" si="781"/>
        <v/>
      </c>
      <c r="AX1750" s="109" t="str">
        <f t="shared" si="782"/>
        <v/>
      </c>
      <c r="AY1750" s="112" t="str">
        <f>IF(ISNUMBER(O1750),IF(AND(VLOOKUP($D1750,Merchantability!$B:$C,2,0)="Yes",$E1750&gt;=VLOOKUP($D1750,Merchantability!$B:$D,3,0),$E1750&lt;=VLOOKUP($D1750,Merchantability!$B:$E,4,0)),(AV1750*O1750)*(1-$H1750/100),""),"")</f>
        <v/>
      </c>
      <c r="AZ1750" s="116"/>
      <c r="BA1750" s="116"/>
      <c r="BB1750" s="116"/>
      <c r="BE1750" s="62"/>
      <c r="BF1750" s="63"/>
    </row>
    <row r="1751" spans="1:58" ht="12.75" customHeight="1" x14ac:dyDescent="0.25">
      <c r="A1751" s="334"/>
      <c r="B1751" s="334"/>
      <c r="C1751" s="332"/>
      <c r="D1751" s="334"/>
      <c r="E1751" s="335"/>
      <c r="F1751" s="334"/>
      <c r="G1751" s="332"/>
      <c r="H1751" s="332"/>
      <c r="I1751" s="334"/>
      <c r="J1751" s="336"/>
      <c r="K1751" s="332"/>
      <c r="L1751" s="332"/>
      <c r="M1751" s="76"/>
      <c r="N1751" s="103" t="str">
        <f>IF(A1751="","",VLOOKUP(A1751,Stand!C:K,9,0))</f>
        <v/>
      </c>
      <c r="O1751" s="104" t="str">
        <f t="shared" si="767"/>
        <v/>
      </c>
      <c r="P1751" s="105" t="str">
        <f t="shared" si="768"/>
        <v/>
      </c>
      <c r="Q1751" s="105" t="str">
        <f t="shared" si="756"/>
        <v/>
      </c>
      <c r="R1751" s="103" t="str">
        <f t="shared" si="769"/>
        <v/>
      </c>
      <c r="S1751" s="103" t="str">
        <f t="shared" si="770"/>
        <v/>
      </c>
      <c r="T1751" s="106" t="str">
        <f t="shared" si="757"/>
        <v/>
      </c>
      <c r="U1751" s="106" t="str">
        <f t="shared" si="758"/>
        <v/>
      </c>
      <c r="V1751" s="106" t="str">
        <f t="shared" si="759"/>
        <v/>
      </c>
      <c r="W1751" s="105" t="str">
        <f t="shared" si="771"/>
        <v/>
      </c>
      <c r="X1751" s="104" t="str">
        <f t="shared" si="776"/>
        <v/>
      </c>
      <c r="Y1751" s="104" t="str">
        <f t="array" ref="Y1751">IFERROR(IF(ISNUMBER(O1751),IF(COUNT(IF(A1751=$A$2:$A$2427,IF(D1751=$D$2:$D$2427,IF($X$2:$X$2427&gt;0,1))))&gt;0,SUM(IF(A1751=$A$2:$A$2427,IF(D1751=$D$2:$D$2427,$X$2:$X$2427)))/COUNT(IF(A1751=$A$2:$A$2427,IF(D1751=$D$2:$D$2427,IF(ISNUMBER($X$2:$X$2427),1)))),0),""),0)</f>
        <v/>
      </c>
      <c r="Z1751" s="104" t="str">
        <f>IF(ISNUMBER(O1751),IF(I1751&gt;0,(10^(VLOOKUP(D1751,'Species Codes'!B:C,2,0)+VLOOKUP(D1751,'Species Codes'!B:D,3,0)*LOG(E1751)+VLOOKUP(D1751,'Species Codes'!B:E,4,0)*LOG(I1751))),0),"")</f>
        <v/>
      </c>
      <c r="AA1751" s="104" t="str">
        <f>IFERROR((VLOOKUP(D1751,'Species Codes'!B:G,6,0)*Z1751)/2000,"")</f>
        <v/>
      </c>
      <c r="AB1751" s="104" t="e">
        <f>IF(Z1751&gt;0,((IF(OR(D1751="DF",D1751="RA")=TRUE,EXP(VLOOKUP(D1751,'Species Codes'!B:I,8,0)+VLOOKUP(D1751,'Species Codes'!B:J,9,0)*(LN((E1751*2.54)))),IF(OR(D1751="PY",D1751="RC",D1751="WH",D1751="NF")=TRUE,VLOOKUP(D1751,'Species Codes'!B:I,8,0)+VLOOKUP(D1751,'Species Codes'!B:J,9,0)*((E1751*2.54)^2)*(I1751*0.3048),IF(OR(D1751="MD",D1751="BM",D1751="GA")=TRUE,((VLOOKUP(D1751,'Species Codes'!B:I,8,0)*(((((E1751*2.54)+VLOOKUP(D1751,'Species Codes'!B:J,9,0))/VLOOKUP(D1751,'Species Codes'!B:K,10,0))^VLOOKUP(D1751,'Species Codes'!B:L,11,0))*((I1751*0.3048)^VLOOKUP(D1751,'Species Codes'!B:M,12,0))))-(VLOOKUP(D1751,'Species Codes'!B:I,8,0)*((((E1751*2.54)^VLOOKUP(D1751,'Species Codes'!B:L,11,0))*((I1751*0.3048)^VLOOKUP(D1751,'Species Codes'!B:M,12,0))))))*35.3*VLOOKUP(D1751,'Species Codes'!B:G,6,0)/2.2046,VLOOKUP(D1751,'Species Codes'!B:I,8,0)+VLOOKUP(D1751,'Species Codes'!B:J,9,0)*(((E1751*2.54)/100)^2)*(I1751*0.3048)))))*0.0011023),0)</f>
        <v>#N/A</v>
      </c>
      <c r="AC1751" s="104" t="e">
        <f>IF(Z1751&gt;0,((IF(OR(D1751="RA",D1751="OA",D1751="OT",D1751="UN",D1751="PC"),EXP(VLOOKUP(D1751,'Species Codes'!B:O,14,0)+VLOOKUP(D1751,'Species Codes'!B:P,15,0)*LN((E1751*2.54)))-EXP(VLOOKUP(D1751,'Species Codes'!B:O,14,0)+VLOOKUP(D1751,'Species Codes'!B:P,15,0)*LN((E1751*2.54)))*(1/(VLOOKUP(D1751,'Species Codes'!B:Q,16,0)+VLOOKUP(D1751,'Species Codes'!B:R,17,0)*((E1751*2.54)^VLOOKUP(D1751,'Species Codes'!B:S,18,0)))),IF(OR(D1751="BM",D1751="MD",D1751="OA"),EXP(VLOOKUP(D1751,'Species Codes'!B:O,14,0)+VLOOKUP(D1751,'Species Codes'!B:P,15,0)*LN((E1751*2.54)))*(1-(1/(VLOOKUP(D1751,'Species Codes'!B:Q,16,0)+VLOOKUP(D1751,'Species Codes'!B:R,17,0)*((E1751*2.54)^VLOOKUP(D1751,'Species Codes'!B:S,18,0)))))/1000,IF(D1751="DF",EXP(VLOOKUP(D1751,'Species Codes'!B:O,14,0)+VLOOKUP(D1751,'Species Codes'!B:P,15,0)*LN((E1751*2.54))),VLOOKUP(D1751,'Species Codes'!B:O,14,0)+VLOOKUP(D1751,'Species Codes'!B:P,15,0)*(((E1751*2.54)/100)^2)*(I1751*0.3048)))))*0.0011023),0)</f>
        <v>#N/A</v>
      </c>
      <c r="AD1751" s="104" t="e">
        <f t="shared" si="760"/>
        <v>#N/A</v>
      </c>
      <c r="AE1751" s="104" t="e">
        <f t="shared" si="761"/>
        <v>#N/A</v>
      </c>
      <c r="AF1751" s="104" t="e">
        <f>IF(AND(VLOOKUP($D1751,Merchantability!$B:$C,2,0)="Yes",$E1751&gt;=VLOOKUP($D1751,Merchantability!$B:$D,3,0),$E1751&lt;=VLOOKUP($D1751,Merchantability!$B:$E,4,0)),AA1751,0)</f>
        <v>#N/A</v>
      </c>
      <c r="AG1751" s="104" t="e">
        <f>IF(AND(VLOOKUP($D1751,Merchantability!$B:$C,2,0)="Yes",$E1751&gt;=VLOOKUP($D1751,Merchantability!$B:$D,3,0),$E1751&lt;=VLOOKUP($D1751,Merchantability!$B:$E,4,0)),AB1751,0)</f>
        <v>#N/A</v>
      </c>
      <c r="AH1751" s="104" t="e">
        <f>IF(AND(VLOOKUP($D1751,Merchantability!$B:$C,2,0)="Yes",$E1751&gt;=VLOOKUP($D1751,Merchantability!$B:$D,3,0),$E1751&lt;=VLOOKUP($D1751,Merchantability!$B:$E,4,0)),AC1751,0)</f>
        <v>#N/A</v>
      </c>
      <c r="AI1751" s="104" t="e">
        <f t="shared" si="762"/>
        <v>#N/A</v>
      </c>
      <c r="AJ1751" s="104" t="e">
        <f t="shared" si="763"/>
        <v>#VALUE!</v>
      </c>
      <c r="AK1751" s="104" t="e">
        <f t="shared" si="764"/>
        <v>#N/A</v>
      </c>
      <c r="AL1751" s="104" t="e">
        <f t="shared" si="765"/>
        <v>#N/A</v>
      </c>
      <c r="AM1751" s="104" t="e">
        <f t="shared" si="766"/>
        <v>#N/A</v>
      </c>
      <c r="AN1751" s="104" t="e">
        <f t="shared" si="777"/>
        <v>#N/A</v>
      </c>
      <c r="AO1751" s="104" t="e">
        <f t="shared" si="778"/>
        <v>#N/A</v>
      </c>
      <c r="AP1751" s="104" t="e">
        <f t="shared" si="779"/>
        <v>#N/A</v>
      </c>
      <c r="AQ1751" s="104" t="e">
        <f t="shared" si="780"/>
        <v>#N/A</v>
      </c>
      <c r="AR1751" s="105" t="str">
        <f t="shared" si="772"/>
        <v/>
      </c>
      <c r="AS1751" s="105" t="str">
        <f t="shared" si="773"/>
        <v/>
      </c>
      <c r="AT1751" s="108" t="str">
        <f t="shared" si="774"/>
        <v/>
      </c>
      <c r="AU1751" s="108" t="str">
        <f t="shared" si="775"/>
        <v/>
      </c>
      <c r="AV1751" s="107" t="str">
        <f>IF(ISNUMBER(O1751),IF(VLOOKUP($A1751,Stand!C:J,8,FALSE)="Short",AT1751,AU1751),"")</f>
        <v/>
      </c>
      <c r="AW1751" s="109" t="str">
        <f t="shared" si="781"/>
        <v/>
      </c>
      <c r="AX1751" s="109" t="str">
        <f t="shared" si="782"/>
        <v/>
      </c>
      <c r="AY1751" s="112" t="str">
        <f>IF(ISNUMBER(O1751),IF(AND(VLOOKUP($D1751,Merchantability!$B:$C,2,0)="Yes",$E1751&gt;=VLOOKUP($D1751,Merchantability!$B:$D,3,0),$E1751&lt;=VLOOKUP($D1751,Merchantability!$B:$E,4,0)),(AV1751*O1751)*(1-$H1751/100),""),"")</f>
        <v/>
      </c>
      <c r="AZ1751" s="116"/>
      <c r="BA1751" s="116"/>
      <c r="BB1751" s="116"/>
      <c r="BE1751" s="62"/>
      <c r="BF1751" s="63"/>
    </row>
    <row r="1752" spans="1:58" ht="12.75" customHeight="1" x14ac:dyDescent="0.25">
      <c r="A1752" s="334"/>
      <c r="B1752" s="334"/>
      <c r="C1752" s="332"/>
      <c r="D1752" s="334"/>
      <c r="E1752" s="335"/>
      <c r="F1752" s="334"/>
      <c r="G1752" s="332"/>
      <c r="H1752" s="332"/>
      <c r="I1752" s="334"/>
      <c r="J1752" s="336"/>
      <c r="K1752" s="332"/>
      <c r="L1752" s="332"/>
      <c r="M1752" s="76"/>
      <c r="N1752" s="103" t="str">
        <f>IF(A1752="","",VLOOKUP(A1752,Stand!C:K,9,0))</f>
        <v/>
      </c>
      <c r="O1752" s="104" t="str">
        <f t="shared" si="767"/>
        <v/>
      </c>
      <c r="P1752" s="105" t="str">
        <f t="shared" si="768"/>
        <v/>
      </c>
      <c r="Q1752" s="105" t="str">
        <f t="shared" si="756"/>
        <v/>
      </c>
      <c r="R1752" s="103" t="str">
        <f t="shared" si="769"/>
        <v/>
      </c>
      <c r="S1752" s="103" t="str">
        <f t="shared" si="770"/>
        <v/>
      </c>
      <c r="T1752" s="106" t="str">
        <f t="shared" si="757"/>
        <v/>
      </c>
      <c r="U1752" s="106" t="str">
        <f t="shared" si="758"/>
        <v/>
      </c>
      <c r="V1752" s="106" t="str">
        <f t="shared" si="759"/>
        <v/>
      </c>
      <c r="W1752" s="105" t="str">
        <f t="shared" si="771"/>
        <v/>
      </c>
      <c r="X1752" s="104" t="str">
        <f t="shared" si="776"/>
        <v/>
      </c>
      <c r="Y1752" s="104" t="str">
        <f t="array" ref="Y1752">IFERROR(IF(ISNUMBER(O1752),IF(COUNT(IF(A1752=$A$2:$A$2427,IF(D1752=$D$2:$D$2427,IF($X$2:$X$2427&gt;0,1))))&gt;0,SUM(IF(A1752=$A$2:$A$2427,IF(D1752=$D$2:$D$2427,$X$2:$X$2427)))/COUNT(IF(A1752=$A$2:$A$2427,IF(D1752=$D$2:$D$2427,IF(ISNUMBER($X$2:$X$2427),1)))),0),""),0)</f>
        <v/>
      </c>
      <c r="Z1752" s="104" t="str">
        <f>IF(ISNUMBER(O1752),IF(I1752&gt;0,(10^(VLOOKUP(D1752,'Species Codes'!B:C,2,0)+VLOOKUP(D1752,'Species Codes'!B:D,3,0)*LOG(E1752)+VLOOKUP(D1752,'Species Codes'!B:E,4,0)*LOG(I1752))),0),"")</f>
        <v/>
      </c>
      <c r="AA1752" s="104" t="str">
        <f>IFERROR((VLOOKUP(D1752,'Species Codes'!B:G,6,0)*Z1752)/2000,"")</f>
        <v/>
      </c>
      <c r="AB1752" s="104" t="e">
        <f>IF(Z1752&gt;0,((IF(OR(D1752="DF",D1752="RA")=TRUE,EXP(VLOOKUP(D1752,'Species Codes'!B:I,8,0)+VLOOKUP(D1752,'Species Codes'!B:J,9,0)*(LN((E1752*2.54)))),IF(OR(D1752="PY",D1752="RC",D1752="WH",D1752="NF")=TRUE,VLOOKUP(D1752,'Species Codes'!B:I,8,0)+VLOOKUP(D1752,'Species Codes'!B:J,9,0)*((E1752*2.54)^2)*(I1752*0.3048),IF(OR(D1752="MD",D1752="BM",D1752="GA")=TRUE,((VLOOKUP(D1752,'Species Codes'!B:I,8,0)*(((((E1752*2.54)+VLOOKUP(D1752,'Species Codes'!B:J,9,0))/VLOOKUP(D1752,'Species Codes'!B:K,10,0))^VLOOKUP(D1752,'Species Codes'!B:L,11,0))*((I1752*0.3048)^VLOOKUP(D1752,'Species Codes'!B:M,12,0))))-(VLOOKUP(D1752,'Species Codes'!B:I,8,0)*((((E1752*2.54)^VLOOKUP(D1752,'Species Codes'!B:L,11,0))*((I1752*0.3048)^VLOOKUP(D1752,'Species Codes'!B:M,12,0))))))*35.3*VLOOKUP(D1752,'Species Codes'!B:G,6,0)/2.2046,VLOOKUP(D1752,'Species Codes'!B:I,8,0)+VLOOKUP(D1752,'Species Codes'!B:J,9,0)*(((E1752*2.54)/100)^2)*(I1752*0.3048)))))*0.0011023),0)</f>
        <v>#N/A</v>
      </c>
      <c r="AC1752" s="104" t="e">
        <f>IF(Z1752&gt;0,((IF(OR(D1752="RA",D1752="OA",D1752="OT",D1752="UN",D1752="PC"),EXP(VLOOKUP(D1752,'Species Codes'!B:O,14,0)+VLOOKUP(D1752,'Species Codes'!B:P,15,0)*LN((E1752*2.54)))-EXP(VLOOKUP(D1752,'Species Codes'!B:O,14,0)+VLOOKUP(D1752,'Species Codes'!B:P,15,0)*LN((E1752*2.54)))*(1/(VLOOKUP(D1752,'Species Codes'!B:Q,16,0)+VLOOKUP(D1752,'Species Codes'!B:R,17,0)*((E1752*2.54)^VLOOKUP(D1752,'Species Codes'!B:S,18,0)))),IF(OR(D1752="BM",D1752="MD",D1752="OA"),EXP(VLOOKUP(D1752,'Species Codes'!B:O,14,0)+VLOOKUP(D1752,'Species Codes'!B:P,15,0)*LN((E1752*2.54)))*(1-(1/(VLOOKUP(D1752,'Species Codes'!B:Q,16,0)+VLOOKUP(D1752,'Species Codes'!B:R,17,0)*((E1752*2.54)^VLOOKUP(D1752,'Species Codes'!B:S,18,0)))))/1000,IF(D1752="DF",EXP(VLOOKUP(D1752,'Species Codes'!B:O,14,0)+VLOOKUP(D1752,'Species Codes'!B:P,15,0)*LN((E1752*2.54))),VLOOKUP(D1752,'Species Codes'!B:O,14,0)+VLOOKUP(D1752,'Species Codes'!B:P,15,0)*(((E1752*2.54)/100)^2)*(I1752*0.3048)))))*0.0011023),0)</f>
        <v>#N/A</v>
      </c>
      <c r="AD1752" s="104" t="e">
        <f t="shared" si="760"/>
        <v>#N/A</v>
      </c>
      <c r="AE1752" s="104" t="e">
        <f t="shared" si="761"/>
        <v>#N/A</v>
      </c>
      <c r="AF1752" s="104" t="e">
        <f>IF(AND(VLOOKUP($D1752,Merchantability!$B:$C,2,0)="Yes",$E1752&gt;=VLOOKUP($D1752,Merchantability!$B:$D,3,0),$E1752&lt;=VLOOKUP($D1752,Merchantability!$B:$E,4,0)),AA1752,0)</f>
        <v>#N/A</v>
      </c>
      <c r="AG1752" s="104" t="e">
        <f>IF(AND(VLOOKUP($D1752,Merchantability!$B:$C,2,0)="Yes",$E1752&gt;=VLOOKUP($D1752,Merchantability!$B:$D,3,0),$E1752&lt;=VLOOKUP($D1752,Merchantability!$B:$E,4,0)),AB1752,0)</f>
        <v>#N/A</v>
      </c>
      <c r="AH1752" s="104" t="e">
        <f>IF(AND(VLOOKUP($D1752,Merchantability!$B:$C,2,0)="Yes",$E1752&gt;=VLOOKUP($D1752,Merchantability!$B:$D,3,0),$E1752&lt;=VLOOKUP($D1752,Merchantability!$B:$E,4,0)),AC1752,0)</f>
        <v>#N/A</v>
      </c>
      <c r="AI1752" s="104" t="e">
        <f t="shared" si="762"/>
        <v>#N/A</v>
      </c>
      <c r="AJ1752" s="104" t="e">
        <f t="shared" si="763"/>
        <v>#VALUE!</v>
      </c>
      <c r="AK1752" s="104" t="e">
        <f t="shared" si="764"/>
        <v>#N/A</v>
      </c>
      <c r="AL1752" s="104" t="e">
        <f t="shared" si="765"/>
        <v>#N/A</v>
      </c>
      <c r="AM1752" s="104" t="e">
        <f t="shared" si="766"/>
        <v>#N/A</v>
      </c>
      <c r="AN1752" s="104" t="e">
        <f t="shared" si="777"/>
        <v>#N/A</v>
      </c>
      <c r="AO1752" s="104" t="e">
        <f t="shared" si="778"/>
        <v>#N/A</v>
      </c>
      <c r="AP1752" s="104" t="e">
        <f t="shared" si="779"/>
        <v>#N/A</v>
      </c>
      <c r="AQ1752" s="104" t="e">
        <f t="shared" si="780"/>
        <v>#N/A</v>
      </c>
      <c r="AR1752" s="105" t="str">
        <f t="shared" si="772"/>
        <v/>
      </c>
      <c r="AS1752" s="105" t="str">
        <f t="shared" si="773"/>
        <v/>
      </c>
      <c r="AT1752" s="108" t="str">
        <f t="shared" si="774"/>
        <v/>
      </c>
      <c r="AU1752" s="108" t="str">
        <f t="shared" si="775"/>
        <v/>
      </c>
      <c r="AV1752" s="107" t="str">
        <f>IF(ISNUMBER(O1752),IF(VLOOKUP($A1752,Stand!C:J,8,FALSE)="Short",AT1752,AU1752),"")</f>
        <v/>
      </c>
      <c r="AW1752" s="109" t="str">
        <f t="shared" si="781"/>
        <v/>
      </c>
      <c r="AX1752" s="109" t="str">
        <f t="shared" si="782"/>
        <v/>
      </c>
      <c r="AY1752" s="112" t="str">
        <f>IF(ISNUMBER(O1752),IF(AND(VLOOKUP($D1752,Merchantability!$B:$C,2,0)="Yes",$E1752&gt;=VLOOKUP($D1752,Merchantability!$B:$D,3,0),$E1752&lt;=VLOOKUP($D1752,Merchantability!$B:$E,4,0)),(AV1752*O1752)*(1-$H1752/100),""),"")</f>
        <v/>
      </c>
      <c r="AZ1752" s="116"/>
      <c r="BA1752" s="116"/>
      <c r="BB1752" s="116"/>
      <c r="BE1752" s="62"/>
      <c r="BF1752" s="63"/>
    </row>
    <row r="1753" spans="1:58" ht="12.75" customHeight="1" x14ac:dyDescent="0.25">
      <c r="A1753" s="334"/>
      <c r="B1753" s="334"/>
      <c r="C1753" s="332"/>
      <c r="D1753" s="334"/>
      <c r="E1753" s="335"/>
      <c r="F1753" s="334"/>
      <c r="G1753" s="332"/>
      <c r="H1753" s="332"/>
      <c r="I1753" s="334"/>
      <c r="J1753" s="336"/>
      <c r="K1753" s="332"/>
      <c r="L1753" s="332"/>
      <c r="M1753" s="76"/>
      <c r="N1753" s="103" t="str">
        <f>IF(A1753="","",VLOOKUP(A1753,Stand!C:K,9,0))</f>
        <v/>
      </c>
      <c r="O1753" s="104" t="str">
        <f t="shared" si="767"/>
        <v/>
      </c>
      <c r="P1753" s="105" t="str">
        <f t="shared" si="768"/>
        <v/>
      </c>
      <c r="Q1753" s="105" t="str">
        <f t="shared" si="756"/>
        <v/>
      </c>
      <c r="R1753" s="103" t="str">
        <f t="shared" si="769"/>
        <v/>
      </c>
      <c r="S1753" s="103" t="str">
        <f t="shared" si="770"/>
        <v/>
      </c>
      <c r="T1753" s="106" t="str">
        <f t="shared" si="757"/>
        <v/>
      </c>
      <c r="U1753" s="106" t="str">
        <f t="shared" si="758"/>
        <v/>
      </c>
      <c r="V1753" s="106" t="str">
        <f t="shared" si="759"/>
        <v/>
      </c>
      <c r="W1753" s="105" t="str">
        <f t="shared" si="771"/>
        <v/>
      </c>
      <c r="X1753" s="104" t="str">
        <f t="shared" si="776"/>
        <v/>
      </c>
      <c r="Y1753" s="104" t="str">
        <f t="array" ref="Y1753">IFERROR(IF(ISNUMBER(O1753),IF(COUNT(IF(A1753=$A$2:$A$2427,IF(D1753=$D$2:$D$2427,IF($X$2:$X$2427&gt;0,1))))&gt;0,SUM(IF(A1753=$A$2:$A$2427,IF(D1753=$D$2:$D$2427,$X$2:$X$2427)))/COUNT(IF(A1753=$A$2:$A$2427,IF(D1753=$D$2:$D$2427,IF(ISNUMBER($X$2:$X$2427),1)))),0),""),0)</f>
        <v/>
      </c>
      <c r="Z1753" s="104" t="str">
        <f>IF(ISNUMBER(O1753),IF(I1753&gt;0,(10^(VLOOKUP(D1753,'Species Codes'!B:C,2,0)+VLOOKUP(D1753,'Species Codes'!B:D,3,0)*LOG(E1753)+VLOOKUP(D1753,'Species Codes'!B:E,4,0)*LOG(I1753))),0),"")</f>
        <v/>
      </c>
      <c r="AA1753" s="104" t="str">
        <f>IFERROR((VLOOKUP(D1753,'Species Codes'!B:G,6,0)*Z1753)/2000,"")</f>
        <v/>
      </c>
      <c r="AB1753" s="104" t="e">
        <f>IF(Z1753&gt;0,((IF(OR(D1753="DF",D1753="RA")=TRUE,EXP(VLOOKUP(D1753,'Species Codes'!B:I,8,0)+VLOOKUP(D1753,'Species Codes'!B:J,9,0)*(LN((E1753*2.54)))),IF(OR(D1753="PY",D1753="RC",D1753="WH",D1753="NF")=TRUE,VLOOKUP(D1753,'Species Codes'!B:I,8,0)+VLOOKUP(D1753,'Species Codes'!B:J,9,0)*((E1753*2.54)^2)*(I1753*0.3048),IF(OR(D1753="MD",D1753="BM",D1753="GA")=TRUE,((VLOOKUP(D1753,'Species Codes'!B:I,8,0)*(((((E1753*2.54)+VLOOKUP(D1753,'Species Codes'!B:J,9,0))/VLOOKUP(D1753,'Species Codes'!B:K,10,0))^VLOOKUP(D1753,'Species Codes'!B:L,11,0))*((I1753*0.3048)^VLOOKUP(D1753,'Species Codes'!B:M,12,0))))-(VLOOKUP(D1753,'Species Codes'!B:I,8,0)*((((E1753*2.54)^VLOOKUP(D1753,'Species Codes'!B:L,11,0))*((I1753*0.3048)^VLOOKUP(D1753,'Species Codes'!B:M,12,0))))))*35.3*VLOOKUP(D1753,'Species Codes'!B:G,6,0)/2.2046,VLOOKUP(D1753,'Species Codes'!B:I,8,0)+VLOOKUP(D1753,'Species Codes'!B:J,9,0)*(((E1753*2.54)/100)^2)*(I1753*0.3048)))))*0.0011023),0)</f>
        <v>#N/A</v>
      </c>
      <c r="AC1753" s="104" t="e">
        <f>IF(Z1753&gt;0,((IF(OR(D1753="RA",D1753="OA",D1753="OT",D1753="UN",D1753="PC"),EXP(VLOOKUP(D1753,'Species Codes'!B:O,14,0)+VLOOKUP(D1753,'Species Codes'!B:P,15,0)*LN((E1753*2.54)))-EXP(VLOOKUP(D1753,'Species Codes'!B:O,14,0)+VLOOKUP(D1753,'Species Codes'!B:P,15,0)*LN((E1753*2.54)))*(1/(VLOOKUP(D1753,'Species Codes'!B:Q,16,0)+VLOOKUP(D1753,'Species Codes'!B:R,17,0)*((E1753*2.54)^VLOOKUP(D1753,'Species Codes'!B:S,18,0)))),IF(OR(D1753="BM",D1753="MD",D1753="OA"),EXP(VLOOKUP(D1753,'Species Codes'!B:O,14,0)+VLOOKUP(D1753,'Species Codes'!B:P,15,0)*LN((E1753*2.54)))*(1-(1/(VLOOKUP(D1753,'Species Codes'!B:Q,16,0)+VLOOKUP(D1753,'Species Codes'!B:R,17,0)*((E1753*2.54)^VLOOKUP(D1753,'Species Codes'!B:S,18,0)))))/1000,IF(D1753="DF",EXP(VLOOKUP(D1753,'Species Codes'!B:O,14,0)+VLOOKUP(D1753,'Species Codes'!B:P,15,0)*LN((E1753*2.54))),VLOOKUP(D1753,'Species Codes'!B:O,14,0)+VLOOKUP(D1753,'Species Codes'!B:P,15,0)*(((E1753*2.54)/100)^2)*(I1753*0.3048)))))*0.0011023),0)</f>
        <v>#N/A</v>
      </c>
      <c r="AD1753" s="104" t="e">
        <f t="shared" si="760"/>
        <v>#N/A</v>
      </c>
      <c r="AE1753" s="104" t="e">
        <f t="shared" si="761"/>
        <v>#N/A</v>
      </c>
      <c r="AF1753" s="104" t="e">
        <f>IF(AND(VLOOKUP($D1753,Merchantability!$B:$C,2,0)="Yes",$E1753&gt;=VLOOKUP($D1753,Merchantability!$B:$D,3,0),$E1753&lt;=VLOOKUP($D1753,Merchantability!$B:$E,4,0)),AA1753,0)</f>
        <v>#N/A</v>
      </c>
      <c r="AG1753" s="104" t="e">
        <f>IF(AND(VLOOKUP($D1753,Merchantability!$B:$C,2,0)="Yes",$E1753&gt;=VLOOKUP($D1753,Merchantability!$B:$D,3,0),$E1753&lt;=VLOOKUP($D1753,Merchantability!$B:$E,4,0)),AB1753,0)</f>
        <v>#N/A</v>
      </c>
      <c r="AH1753" s="104" t="e">
        <f>IF(AND(VLOOKUP($D1753,Merchantability!$B:$C,2,0)="Yes",$E1753&gt;=VLOOKUP($D1753,Merchantability!$B:$D,3,0),$E1753&lt;=VLOOKUP($D1753,Merchantability!$B:$E,4,0)),AC1753,0)</f>
        <v>#N/A</v>
      </c>
      <c r="AI1753" s="104" t="e">
        <f t="shared" si="762"/>
        <v>#N/A</v>
      </c>
      <c r="AJ1753" s="104" t="e">
        <f t="shared" si="763"/>
        <v>#VALUE!</v>
      </c>
      <c r="AK1753" s="104" t="e">
        <f t="shared" si="764"/>
        <v>#N/A</v>
      </c>
      <c r="AL1753" s="104" t="e">
        <f t="shared" si="765"/>
        <v>#N/A</v>
      </c>
      <c r="AM1753" s="104" t="e">
        <f t="shared" si="766"/>
        <v>#N/A</v>
      </c>
      <c r="AN1753" s="104" t="e">
        <f t="shared" si="777"/>
        <v>#N/A</v>
      </c>
      <c r="AO1753" s="104" t="e">
        <f t="shared" si="778"/>
        <v>#N/A</v>
      </c>
      <c r="AP1753" s="104" t="e">
        <f t="shared" si="779"/>
        <v>#N/A</v>
      </c>
      <c r="AQ1753" s="104" t="e">
        <f t="shared" si="780"/>
        <v>#N/A</v>
      </c>
      <c r="AR1753" s="105" t="str">
        <f t="shared" si="772"/>
        <v/>
      </c>
      <c r="AS1753" s="105" t="str">
        <f t="shared" si="773"/>
        <v/>
      </c>
      <c r="AT1753" s="108" t="str">
        <f t="shared" si="774"/>
        <v/>
      </c>
      <c r="AU1753" s="108" t="str">
        <f t="shared" si="775"/>
        <v/>
      </c>
      <c r="AV1753" s="107" t="str">
        <f>IF(ISNUMBER(O1753),IF(VLOOKUP($A1753,Stand!C:J,8,FALSE)="Short",AT1753,AU1753),"")</f>
        <v/>
      </c>
      <c r="AW1753" s="109" t="str">
        <f t="shared" si="781"/>
        <v/>
      </c>
      <c r="AX1753" s="109" t="str">
        <f t="shared" si="782"/>
        <v/>
      </c>
      <c r="AY1753" s="112" t="str">
        <f>IF(ISNUMBER(O1753),IF(AND(VLOOKUP($D1753,Merchantability!$B:$C,2,0)="Yes",$E1753&gt;=VLOOKUP($D1753,Merchantability!$B:$D,3,0),$E1753&lt;=VLOOKUP($D1753,Merchantability!$B:$E,4,0)),(AV1753*O1753)*(1-$H1753/100),""),"")</f>
        <v/>
      </c>
      <c r="AZ1753" s="116"/>
      <c r="BA1753" s="116"/>
      <c r="BB1753" s="116"/>
      <c r="BE1753" s="62"/>
      <c r="BF1753" s="63"/>
    </row>
    <row r="1754" spans="1:58" ht="12.75" customHeight="1" x14ac:dyDescent="0.25">
      <c r="A1754" s="334"/>
      <c r="B1754" s="334"/>
      <c r="C1754" s="332"/>
      <c r="D1754" s="334"/>
      <c r="E1754" s="335"/>
      <c r="F1754" s="334"/>
      <c r="G1754" s="332"/>
      <c r="H1754" s="332"/>
      <c r="I1754" s="334"/>
      <c r="J1754" s="336"/>
      <c r="K1754" s="332"/>
      <c r="L1754" s="332"/>
      <c r="M1754" s="76"/>
      <c r="N1754" s="103" t="str">
        <f>IF(A1754="","",VLOOKUP(A1754,Stand!C:K,9,0))</f>
        <v/>
      </c>
      <c r="O1754" s="104" t="str">
        <f t="shared" si="767"/>
        <v/>
      </c>
      <c r="P1754" s="105" t="str">
        <f t="shared" si="768"/>
        <v/>
      </c>
      <c r="Q1754" s="105" t="str">
        <f t="shared" si="756"/>
        <v/>
      </c>
      <c r="R1754" s="103" t="str">
        <f t="shared" si="769"/>
        <v/>
      </c>
      <c r="S1754" s="103" t="str">
        <f t="shared" si="770"/>
        <v/>
      </c>
      <c r="T1754" s="106" t="str">
        <f t="shared" si="757"/>
        <v/>
      </c>
      <c r="U1754" s="106" t="str">
        <f t="shared" si="758"/>
        <v/>
      </c>
      <c r="V1754" s="106" t="str">
        <f t="shared" si="759"/>
        <v/>
      </c>
      <c r="W1754" s="105" t="str">
        <f t="shared" si="771"/>
        <v/>
      </c>
      <c r="X1754" s="104" t="str">
        <f t="shared" si="776"/>
        <v/>
      </c>
      <c r="Y1754" s="104" t="str">
        <f t="array" ref="Y1754">IFERROR(IF(ISNUMBER(O1754),IF(COUNT(IF(A1754=$A$2:$A$2427,IF(D1754=$D$2:$D$2427,IF($X$2:$X$2427&gt;0,1))))&gt;0,SUM(IF(A1754=$A$2:$A$2427,IF(D1754=$D$2:$D$2427,$X$2:$X$2427)))/COUNT(IF(A1754=$A$2:$A$2427,IF(D1754=$D$2:$D$2427,IF(ISNUMBER($X$2:$X$2427),1)))),0),""),0)</f>
        <v/>
      </c>
      <c r="Z1754" s="104" t="str">
        <f>IF(ISNUMBER(O1754),IF(I1754&gt;0,(10^(VLOOKUP(D1754,'Species Codes'!B:C,2,0)+VLOOKUP(D1754,'Species Codes'!B:D,3,0)*LOG(E1754)+VLOOKUP(D1754,'Species Codes'!B:E,4,0)*LOG(I1754))),0),"")</f>
        <v/>
      </c>
      <c r="AA1754" s="104" t="str">
        <f>IFERROR((VLOOKUP(D1754,'Species Codes'!B:G,6,0)*Z1754)/2000,"")</f>
        <v/>
      </c>
      <c r="AB1754" s="104" t="e">
        <f>IF(Z1754&gt;0,((IF(OR(D1754="DF",D1754="RA")=TRUE,EXP(VLOOKUP(D1754,'Species Codes'!B:I,8,0)+VLOOKUP(D1754,'Species Codes'!B:J,9,0)*(LN((E1754*2.54)))),IF(OR(D1754="PY",D1754="RC",D1754="WH",D1754="NF")=TRUE,VLOOKUP(D1754,'Species Codes'!B:I,8,0)+VLOOKUP(D1754,'Species Codes'!B:J,9,0)*((E1754*2.54)^2)*(I1754*0.3048),IF(OR(D1754="MD",D1754="BM",D1754="GA")=TRUE,((VLOOKUP(D1754,'Species Codes'!B:I,8,0)*(((((E1754*2.54)+VLOOKUP(D1754,'Species Codes'!B:J,9,0))/VLOOKUP(D1754,'Species Codes'!B:K,10,0))^VLOOKUP(D1754,'Species Codes'!B:L,11,0))*((I1754*0.3048)^VLOOKUP(D1754,'Species Codes'!B:M,12,0))))-(VLOOKUP(D1754,'Species Codes'!B:I,8,0)*((((E1754*2.54)^VLOOKUP(D1754,'Species Codes'!B:L,11,0))*((I1754*0.3048)^VLOOKUP(D1754,'Species Codes'!B:M,12,0))))))*35.3*VLOOKUP(D1754,'Species Codes'!B:G,6,0)/2.2046,VLOOKUP(D1754,'Species Codes'!B:I,8,0)+VLOOKUP(D1754,'Species Codes'!B:J,9,0)*(((E1754*2.54)/100)^2)*(I1754*0.3048)))))*0.0011023),0)</f>
        <v>#N/A</v>
      </c>
      <c r="AC1754" s="104" t="e">
        <f>IF(Z1754&gt;0,((IF(OR(D1754="RA",D1754="OA",D1754="OT",D1754="UN",D1754="PC"),EXP(VLOOKUP(D1754,'Species Codes'!B:O,14,0)+VLOOKUP(D1754,'Species Codes'!B:P,15,0)*LN((E1754*2.54)))-EXP(VLOOKUP(D1754,'Species Codes'!B:O,14,0)+VLOOKUP(D1754,'Species Codes'!B:P,15,0)*LN((E1754*2.54)))*(1/(VLOOKUP(D1754,'Species Codes'!B:Q,16,0)+VLOOKUP(D1754,'Species Codes'!B:R,17,0)*((E1754*2.54)^VLOOKUP(D1754,'Species Codes'!B:S,18,0)))),IF(OR(D1754="BM",D1754="MD",D1754="OA"),EXP(VLOOKUP(D1754,'Species Codes'!B:O,14,0)+VLOOKUP(D1754,'Species Codes'!B:P,15,0)*LN((E1754*2.54)))*(1-(1/(VLOOKUP(D1754,'Species Codes'!B:Q,16,0)+VLOOKUP(D1754,'Species Codes'!B:R,17,0)*((E1754*2.54)^VLOOKUP(D1754,'Species Codes'!B:S,18,0)))))/1000,IF(D1754="DF",EXP(VLOOKUP(D1754,'Species Codes'!B:O,14,0)+VLOOKUP(D1754,'Species Codes'!B:P,15,0)*LN((E1754*2.54))),VLOOKUP(D1754,'Species Codes'!B:O,14,0)+VLOOKUP(D1754,'Species Codes'!B:P,15,0)*(((E1754*2.54)/100)^2)*(I1754*0.3048)))))*0.0011023),0)</f>
        <v>#N/A</v>
      </c>
      <c r="AD1754" s="104" t="e">
        <f t="shared" si="760"/>
        <v>#N/A</v>
      </c>
      <c r="AE1754" s="104" t="e">
        <f t="shared" si="761"/>
        <v>#N/A</v>
      </c>
      <c r="AF1754" s="104" t="e">
        <f>IF(AND(VLOOKUP($D1754,Merchantability!$B:$C,2,0)="Yes",$E1754&gt;=VLOOKUP($D1754,Merchantability!$B:$D,3,0),$E1754&lt;=VLOOKUP($D1754,Merchantability!$B:$E,4,0)),AA1754,0)</f>
        <v>#N/A</v>
      </c>
      <c r="AG1754" s="104" t="e">
        <f>IF(AND(VLOOKUP($D1754,Merchantability!$B:$C,2,0)="Yes",$E1754&gt;=VLOOKUP($D1754,Merchantability!$B:$D,3,0),$E1754&lt;=VLOOKUP($D1754,Merchantability!$B:$E,4,0)),AB1754,0)</f>
        <v>#N/A</v>
      </c>
      <c r="AH1754" s="104" t="e">
        <f>IF(AND(VLOOKUP($D1754,Merchantability!$B:$C,2,0)="Yes",$E1754&gt;=VLOOKUP($D1754,Merchantability!$B:$D,3,0),$E1754&lt;=VLOOKUP($D1754,Merchantability!$B:$E,4,0)),AC1754,0)</f>
        <v>#N/A</v>
      </c>
      <c r="AI1754" s="104" t="e">
        <f t="shared" si="762"/>
        <v>#N/A</v>
      </c>
      <c r="AJ1754" s="104" t="e">
        <f t="shared" si="763"/>
        <v>#VALUE!</v>
      </c>
      <c r="AK1754" s="104" t="e">
        <f t="shared" si="764"/>
        <v>#N/A</v>
      </c>
      <c r="AL1754" s="104" t="e">
        <f t="shared" si="765"/>
        <v>#N/A</v>
      </c>
      <c r="AM1754" s="104" t="e">
        <f t="shared" si="766"/>
        <v>#N/A</v>
      </c>
      <c r="AN1754" s="104" t="e">
        <f t="shared" si="777"/>
        <v>#N/A</v>
      </c>
      <c r="AO1754" s="104" t="e">
        <f t="shared" si="778"/>
        <v>#N/A</v>
      </c>
      <c r="AP1754" s="104" t="e">
        <f t="shared" si="779"/>
        <v>#N/A</v>
      </c>
      <c r="AQ1754" s="104" t="e">
        <f t="shared" si="780"/>
        <v>#N/A</v>
      </c>
      <c r="AR1754" s="105" t="str">
        <f t="shared" si="772"/>
        <v/>
      </c>
      <c r="AS1754" s="105" t="str">
        <f t="shared" si="773"/>
        <v/>
      </c>
      <c r="AT1754" s="108" t="str">
        <f t="shared" si="774"/>
        <v/>
      </c>
      <c r="AU1754" s="108" t="str">
        <f t="shared" si="775"/>
        <v/>
      </c>
      <c r="AV1754" s="107" t="str">
        <f>IF(ISNUMBER(O1754),IF(VLOOKUP($A1754,Stand!C:J,8,FALSE)="Short",AT1754,AU1754),"")</f>
        <v/>
      </c>
      <c r="AW1754" s="109" t="str">
        <f t="shared" si="781"/>
        <v/>
      </c>
      <c r="AX1754" s="109" t="str">
        <f t="shared" si="782"/>
        <v/>
      </c>
      <c r="AY1754" s="112" t="str">
        <f>IF(ISNUMBER(O1754),IF(AND(VLOOKUP($D1754,Merchantability!$B:$C,2,0)="Yes",$E1754&gt;=VLOOKUP($D1754,Merchantability!$B:$D,3,0),$E1754&lt;=VLOOKUP($D1754,Merchantability!$B:$E,4,0)),(AV1754*O1754)*(1-$H1754/100),""),"")</f>
        <v/>
      </c>
      <c r="AZ1754" s="116"/>
      <c r="BA1754" s="116"/>
      <c r="BB1754" s="116"/>
      <c r="BE1754" s="62"/>
      <c r="BF1754" s="63"/>
    </row>
    <row r="1755" spans="1:58" ht="12.75" customHeight="1" x14ac:dyDescent="0.25">
      <c r="A1755" s="334"/>
      <c r="B1755" s="334"/>
      <c r="C1755" s="332"/>
      <c r="D1755" s="334"/>
      <c r="E1755" s="335"/>
      <c r="F1755" s="334"/>
      <c r="G1755" s="332"/>
      <c r="H1755" s="332"/>
      <c r="I1755" s="334"/>
      <c r="J1755" s="336"/>
      <c r="K1755" s="332"/>
      <c r="L1755" s="332"/>
      <c r="M1755" s="76"/>
      <c r="N1755" s="103" t="str">
        <f>IF(A1755="","",VLOOKUP(A1755,Stand!C:K,9,0))</f>
        <v/>
      </c>
      <c r="O1755" s="104" t="str">
        <f t="shared" si="767"/>
        <v/>
      </c>
      <c r="P1755" s="105" t="str">
        <f t="shared" si="768"/>
        <v/>
      </c>
      <c r="Q1755" s="105" t="str">
        <f t="shared" si="756"/>
        <v/>
      </c>
      <c r="R1755" s="103" t="str">
        <f t="shared" si="769"/>
        <v/>
      </c>
      <c r="S1755" s="103" t="str">
        <f t="shared" si="770"/>
        <v/>
      </c>
      <c r="T1755" s="106" t="str">
        <f t="shared" si="757"/>
        <v/>
      </c>
      <c r="U1755" s="106" t="str">
        <f t="shared" si="758"/>
        <v/>
      </c>
      <c r="V1755" s="106" t="str">
        <f t="shared" si="759"/>
        <v/>
      </c>
      <c r="W1755" s="105" t="str">
        <f t="shared" si="771"/>
        <v/>
      </c>
      <c r="X1755" s="104" t="str">
        <f t="shared" si="776"/>
        <v/>
      </c>
      <c r="Y1755" s="104" t="str">
        <f t="array" ref="Y1755">IFERROR(IF(ISNUMBER(O1755),IF(COUNT(IF(A1755=$A$2:$A$2427,IF(D1755=$D$2:$D$2427,IF($X$2:$X$2427&gt;0,1))))&gt;0,SUM(IF(A1755=$A$2:$A$2427,IF(D1755=$D$2:$D$2427,$X$2:$X$2427)))/COUNT(IF(A1755=$A$2:$A$2427,IF(D1755=$D$2:$D$2427,IF(ISNUMBER($X$2:$X$2427),1)))),0),""),0)</f>
        <v/>
      </c>
      <c r="Z1755" s="104" t="str">
        <f>IF(ISNUMBER(O1755),IF(I1755&gt;0,(10^(VLOOKUP(D1755,'Species Codes'!B:C,2,0)+VLOOKUP(D1755,'Species Codes'!B:D,3,0)*LOG(E1755)+VLOOKUP(D1755,'Species Codes'!B:E,4,0)*LOG(I1755))),0),"")</f>
        <v/>
      </c>
      <c r="AA1755" s="104" t="str">
        <f>IFERROR((VLOOKUP(D1755,'Species Codes'!B:G,6,0)*Z1755)/2000,"")</f>
        <v/>
      </c>
      <c r="AB1755" s="104" t="e">
        <f>IF(Z1755&gt;0,((IF(OR(D1755="DF",D1755="RA")=TRUE,EXP(VLOOKUP(D1755,'Species Codes'!B:I,8,0)+VLOOKUP(D1755,'Species Codes'!B:J,9,0)*(LN((E1755*2.54)))),IF(OR(D1755="PY",D1755="RC",D1755="WH",D1755="NF")=TRUE,VLOOKUP(D1755,'Species Codes'!B:I,8,0)+VLOOKUP(D1755,'Species Codes'!B:J,9,0)*((E1755*2.54)^2)*(I1755*0.3048),IF(OR(D1755="MD",D1755="BM",D1755="GA")=TRUE,((VLOOKUP(D1755,'Species Codes'!B:I,8,0)*(((((E1755*2.54)+VLOOKUP(D1755,'Species Codes'!B:J,9,0))/VLOOKUP(D1755,'Species Codes'!B:K,10,0))^VLOOKUP(D1755,'Species Codes'!B:L,11,0))*((I1755*0.3048)^VLOOKUP(D1755,'Species Codes'!B:M,12,0))))-(VLOOKUP(D1755,'Species Codes'!B:I,8,0)*((((E1755*2.54)^VLOOKUP(D1755,'Species Codes'!B:L,11,0))*((I1755*0.3048)^VLOOKUP(D1755,'Species Codes'!B:M,12,0))))))*35.3*VLOOKUP(D1755,'Species Codes'!B:G,6,0)/2.2046,VLOOKUP(D1755,'Species Codes'!B:I,8,0)+VLOOKUP(D1755,'Species Codes'!B:J,9,0)*(((E1755*2.54)/100)^2)*(I1755*0.3048)))))*0.0011023),0)</f>
        <v>#N/A</v>
      </c>
      <c r="AC1755" s="104" t="e">
        <f>IF(Z1755&gt;0,((IF(OR(D1755="RA",D1755="OA",D1755="OT",D1755="UN",D1755="PC"),EXP(VLOOKUP(D1755,'Species Codes'!B:O,14,0)+VLOOKUP(D1755,'Species Codes'!B:P,15,0)*LN((E1755*2.54)))-EXP(VLOOKUP(D1755,'Species Codes'!B:O,14,0)+VLOOKUP(D1755,'Species Codes'!B:P,15,0)*LN((E1755*2.54)))*(1/(VLOOKUP(D1755,'Species Codes'!B:Q,16,0)+VLOOKUP(D1755,'Species Codes'!B:R,17,0)*((E1755*2.54)^VLOOKUP(D1755,'Species Codes'!B:S,18,0)))),IF(OR(D1755="BM",D1755="MD",D1755="OA"),EXP(VLOOKUP(D1755,'Species Codes'!B:O,14,0)+VLOOKUP(D1755,'Species Codes'!B:P,15,0)*LN((E1755*2.54)))*(1-(1/(VLOOKUP(D1755,'Species Codes'!B:Q,16,0)+VLOOKUP(D1755,'Species Codes'!B:R,17,0)*((E1755*2.54)^VLOOKUP(D1755,'Species Codes'!B:S,18,0)))))/1000,IF(D1755="DF",EXP(VLOOKUP(D1755,'Species Codes'!B:O,14,0)+VLOOKUP(D1755,'Species Codes'!B:P,15,0)*LN((E1755*2.54))),VLOOKUP(D1755,'Species Codes'!B:O,14,0)+VLOOKUP(D1755,'Species Codes'!B:P,15,0)*(((E1755*2.54)/100)^2)*(I1755*0.3048)))))*0.0011023),0)</f>
        <v>#N/A</v>
      </c>
      <c r="AD1755" s="104" t="e">
        <f t="shared" si="760"/>
        <v>#N/A</v>
      </c>
      <c r="AE1755" s="104" t="e">
        <f t="shared" si="761"/>
        <v>#N/A</v>
      </c>
      <c r="AF1755" s="104" t="e">
        <f>IF(AND(VLOOKUP($D1755,Merchantability!$B:$C,2,0)="Yes",$E1755&gt;=VLOOKUP($D1755,Merchantability!$B:$D,3,0),$E1755&lt;=VLOOKUP($D1755,Merchantability!$B:$E,4,0)),AA1755,0)</f>
        <v>#N/A</v>
      </c>
      <c r="AG1755" s="104" t="e">
        <f>IF(AND(VLOOKUP($D1755,Merchantability!$B:$C,2,0)="Yes",$E1755&gt;=VLOOKUP($D1755,Merchantability!$B:$D,3,0),$E1755&lt;=VLOOKUP($D1755,Merchantability!$B:$E,4,0)),AB1755,0)</f>
        <v>#N/A</v>
      </c>
      <c r="AH1755" s="104" t="e">
        <f>IF(AND(VLOOKUP($D1755,Merchantability!$B:$C,2,0)="Yes",$E1755&gt;=VLOOKUP($D1755,Merchantability!$B:$D,3,0),$E1755&lt;=VLOOKUP($D1755,Merchantability!$B:$E,4,0)),AC1755,0)</f>
        <v>#N/A</v>
      </c>
      <c r="AI1755" s="104" t="e">
        <f t="shared" si="762"/>
        <v>#N/A</v>
      </c>
      <c r="AJ1755" s="104" t="e">
        <f t="shared" si="763"/>
        <v>#VALUE!</v>
      </c>
      <c r="AK1755" s="104" t="e">
        <f t="shared" si="764"/>
        <v>#N/A</v>
      </c>
      <c r="AL1755" s="104" t="e">
        <f t="shared" si="765"/>
        <v>#N/A</v>
      </c>
      <c r="AM1755" s="104" t="e">
        <f t="shared" si="766"/>
        <v>#N/A</v>
      </c>
      <c r="AN1755" s="104" t="e">
        <f t="shared" si="777"/>
        <v>#N/A</v>
      </c>
      <c r="AO1755" s="104" t="e">
        <f t="shared" si="778"/>
        <v>#N/A</v>
      </c>
      <c r="AP1755" s="104" t="e">
        <f t="shared" si="779"/>
        <v>#N/A</v>
      </c>
      <c r="AQ1755" s="104" t="e">
        <f t="shared" si="780"/>
        <v>#N/A</v>
      </c>
      <c r="AR1755" s="105" t="str">
        <f t="shared" si="772"/>
        <v/>
      </c>
      <c r="AS1755" s="105" t="str">
        <f t="shared" si="773"/>
        <v/>
      </c>
      <c r="AT1755" s="108" t="str">
        <f t="shared" si="774"/>
        <v/>
      </c>
      <c r="AU1755" s="108" t="str">
        <f t="shared" si="775"/>
        <v/>
      </c>
      <c r="AV1755" s="107" t="str">
        <f>IF(ISNUMBER(O1755),IF(VLOOKUP($A1755,Stand!C:J,8,FALSE)="Short",AT1755,AU1755),"")</f>
        <v/>
      </c>
      <c r="AW1755" s="109" t="str">
        <f t="shared" si="781"/>
        <v/>
      </c>
      <c r="AX1755" s="109" t="str">
        <f t="shared" si="782"/>
        <v/>
      </c>
      <c r="AY1755" s="112" t="str">
        <f>IF(ISNUMBER(O1755),IF(AND(VLOOKUP($D1755,Merchantability!$B:$C,2,0)="Yes",$E1755&gt;=VLOOKUP($D1755,Merchantability!$B:$D,3,0),$E1755&lt;=VLOOKUP($D1755,Merchantability!$B:$E,4,0)),(AV1755*O1755)*(1-$H1755/100),""),"")</f>
        <v/>
      </c>
      <c r="AZ1755" s="116"/>
      <c r="BA1755" s="116"/>
      <c r="BB1755" s="116"/>
      <c r="BE1755" s="62"/>
      <c r="BF1755" s="63"/>
    </row>
    <row r="1756" spans="1:58" ht="12.75" customHeight="1" x14ac:dyDescent="0.25">
      <c r="A1756" s="334"/>
      <c r="B1756" s="334"/>
      <c r="C1756" s="332"/>
      <c r="D1756" s="334"/>
      <c r="E1756" s="335"/>
      <c r="F1756" s="334"/>
      <c r="G1756" s="332"/>
      <c r="H1756" s="332"/>
      <c r="I1756" s="334"/>
      <c r="J1756" s="336"/>
      <c r="K1756" s="332"/>
      <c r="L1756" s="332"/>
      <c r="M1756" s="76"/>
      <c r="N1756" s="103" t="str">
        <f>IF(A1756="","",VLOOKUP(A1756,Stand!C:K,9,0))</f>
        <v/>
      </c>
      <c r="O1756" s="104" t="str">
        <f t="shared" si="767"/>
        <v/>
      </c>
      <c r="P1756" s="105" t="str">
        <f t="shared" si="768"/>
        <v/>
      </c>
      <c r="Q1756" s="105" t="str">
        <f t="shared" si="756"/>
        <v/>
      </c>
      <c r="R1756" s="103" t="str">
        <f t="shared" si="769"/>
        <v/>
      </c>
      <c r="S1756" s="103" t="str">
        <f t="shared" si="770"/>
        <v/>
      </c>
      <c r="T1756" s="106" t="str">
        <f t="shared" si="757"/>
        <v/>
      </c>
      <c r="U1756" s="106" t="str">
        <f t="shared" si="758"/>
        <v/>
      </c>
      <c r="V1756" s="106" t="str">
        <f t="shared" si="759"/>
        <v/>
      </c>
      <c r="W1756" s="105" t="str">
        <f t="shared" si="771"/>
        <v/>
      </c>
      <c r="X1756" s="104" t="str">
        <f t="shared" si="776"/>
        <v/>
      </c>
      <c r="Y1756" s="104" t="str">
        <f t="array" ref="Y1756">IFERROR(IF(ISNUMBER(O1756),IF(COUNT(IF(A1756=$A$2:$A$2427,IF(D1756=$D$2:$D$2427,IF($X$2:$X$2427&gt;0,1))))&gt;0,SUM(IF(A1756=$A$2:$A$2427,IF(D1756=$D$2:$D$2427,$X$2:$X$2427)))/COUNT(IF(A1756=$A$2:$A$2427,IF(D1756=$D$2:$D$2427,IF(ISNUMBER($X$2:$X$2427),1)))),0),""),0)</f>
        <v/>
      </c>
      <c r="Z1756" s="104" t="str">
        <f>IF(ISNUMBER(O1756),IF(I1756&gt;0,(10^(VLOOKUP(D1756,'Species Codes'!B:C,2,0)+VLOOKUP(D1756,'Species Codes'!B:D,3,0)*LOG(E1756)+VLOOKUP(D1756,'Species Codes'!B:E,4,0)*LOG(I1756))),0),"")</f>
        <v/>
      </c>
      <c r="AA1756" s="104" t="str">
        <f>IFERROR((VLOOKUP(D1756,'Species Codes'!B:G,6,0)*Z1756)/2000,"")</f>
        <v/>
      </c>
      <c r="AB1756" s="104" t="e">
        <f>IF(Z1756&gt;0,((IF(OR(D1756="DF",D1756="RA")=TRUE,EXP(VLOOKUP(D1756,'Species Codes'!B:I,8,0)+VLOOKUP(D1756,'Species Codes'!B:J,9,0)*(LN((E1756*2.54)))),IF(OR(D1756="PY",D1756="RC",D1756="WH",D1756="NF")=TRUE,VLOOKUP(D1756,'Species Codes'!B:I,8,0)+VLOOKUP(D1756,'Species Codes'!B:J,9,0)*((E1756*2.54)^2)*(I1756*0.3048),IF(OR(D1756="MD",D1756="BM",D1756="GA")=TRUE,((VLOOKUP(D1756,'Species Codes'!B:I,8,0)*(((((E1756*2.54)+VLOOKUP(D1756,'Species Codes'!B:J,9,0))/VLOOKUP(D1756,'Species Codes'!B:K,10,0))^VLOOKUP(D1756,'Species Codes'!B:L,11,0))*((I1756*0.3048)^VLOOKUP(D1756,'Species Codes'!B:M,12,0))))-(VLOOKUP(D1756,'Species Codes'!B:I,8,0)*((((E1756*2.54)^VLOOKUP(D1756,'Species Codes'!B:L,11,0))*((I1756*0.3048)^VLOOKUP(D1756,'Species Codes'!B:M,12,0))))))*35.3*VLOOKUP(D1756,'Species Codes'!B:G,6,0)/2.2046,VLOOKUP(D1756,'Species Codes'!B:I,8,0)+VLOOKUP(D1756,'Species Codes'!B:J,9,0)*(((E1756*2.54)/100)^2)*(I1756*0.3048)))))*0.0011023),0)</f>
        <v>#N/A</v>
      </c>
      <c r="AC1756" s="104" t="e">
        <f>IF(Z1756&gt;0,((IF(OR(D1756="RA",D1756="OA",D1756="OT",D1756="UN",D1756="PC"),EXP(VLOOKUP(D1756,'Species Codes'!B:O,14,0)+VLOOKUP(D1756,'Species Codes'!B:P,15,0)*LN((E1756*2.54)))-EXP(VLOOKUP(D1756,'Species Codes'!B:O,14,0)+VLOOKUP(D1756,'Species Codes'!B:P,15,0)*LN((E1756*2.54)))*(1/(VLOOKUP(D1756,'Species Codes'!B:Q,16,0)+VLOOKUP(D1756,'Species Codes'!B:R,17,0)*((E1756*2.54)^VLOOKUP(D1756,'Species Codes'!B:S,18,0)))),IF(OR(D1756="BM",D1756="MD",D1756="OA"),EXP(VLOOKUP(D1756,'Species Codes'!B:O,14,0)+VLOOKUP(D1756,'Species Codes'!B:P,15,0)*LN((E1756*2.54)))*(1-(1/(VLOOKUP(D1756,'Species Codes'!B:Q,16,0)+VLOOKUP(D1756,'Species Codes'!B:R,17,0)*((E1756*2.54)^VLOOKUP(D1756,'Species Codes'!B:S,18,0)))))/1000,IF(D1756="DF",EXP(VLOOKUP(D1756,'Species Codes'!B:O,14,0)+VLOOKUP(D1756,'Species Codes'!B:P,15,0)*LN((E1756*2.54))),VLOOKUP(D1756,'Species Codes'!B:O,14,0)+VLOOKUP(D1756,'Species Codes'!B:P,15,0)*(((E1756*2.54)/100)^2)*(I1756*0.3048)))))*0.0011023),0)</f>
        <v>#N/A</v>
      </c>
      <c r="AD1756" s="104" t="e">
        <f t="shared" si="760"/>
        <v>#N/A</v>
      </c>
      <c r="AE1756" s="104" t="e">
        <f t="shared" si="761"/>
        <v>#N/A</v>
      </c>
      <c r="AF1756" s="104" t="e">
        <f>IF(AND(VLOOKUP($D1756,Merchantability!$B:$C,2,0)="Yes",$E1756&gt;=VLOOKUP($D1756,Merchantability!$B:$D,3,0),$E1756&lt;=VLOOKUP($D1756,Merchantability!$B:$E,4,0)),AA1756,0)</f>
        <v>#N/A</v>
      </c>
      <c r="AG1756" s="104" t="e">
        <f>IF(AND(VLOOKUP($D1756,Merchantability!$B:$C,2,0)="Yes",$E1756&gt;=VLOOKUP($D1756,Merchantability!$B:$D,3,0),$E1756&lt;=VLOOKUP($D1756,Merchantability!$B:$E,4,0)),AB1756,0)</f>
        <v>#N/A</v>
      </c>
      <c r="AH1756" s="104" t="e">
        <f>IF(AND(VLOOKUP($D1756,Merchantability!$B:$C,2,0)="Yes",$E1756&gt;=VLOOKUP($D1756,Merchantability!$B:$D,3,0),$E1756&lt;=VLOOKUP($D1756,Merchantability!$B:$E,4,0)),AC1756,0)</f>
        <v>#N/A</v>
      </c>
      <c r="AI1756" s="104" t="e">
        <f t="shared" si="762"/>
        <v>#N/A</v>
      </c>
      <c r="AJ1756" s="104" t="e">
        <f t="shared" si="763"/>
        <v>#VALUE!</v>
      </c>
      <c r="AK1756" s="104" t="e">
        <f t="shared" si="764"/>
        <v>#N/A</v>
      </c>
      <c r="AL1756" s="104" t="e">
        <f t="shared" si="765"/>
        <v>#N/A</v>
      </c>
      <c r="AM1756" s="104" t="e">
        <f t="shared" si="766"/>
        <v>#N/A</v>
      </c>
      <c r="AN1756" s="104" t="e">
        <f t="shared" si="777"/>
        <v>#N/A</v>
      </c>
      <c r="AO1756" s="104" t="e">
        <f t="shared" si="778"/>
        <v>#N/A</v>
      </c>
      <c r="AP1756" s="104" t="e">
        <f t="shared" si="779"/>
        <v>#N/A</v>
      </c>
      <c r="AQ1756" s="104" t="e">
        <f t="shared" si="780"/>
        <v>#N/A</v>
      </c>
      <c r="AR1756" s="105" t="str">
        <f t="shared" si="772"/>
        <v/>
      </c>
      <c r="AS1756" s="105" t="str">
        <f t="shared" si="773"/>
        <v/>
      </c>
      <c r="AT1756" s="108" t="str">
        <f t="shared" si="774"/>
        <v/>
      </c>
      <c r="AU1756" s="108" t="str">
        <f t="shared" si="775"/>
        <v/>
      </c>
      <c r="AV1756" s="107" t="str">
        <f>IF(ISNUMBER(O1756),IF(VLOOKUP($A1756,Stand!C:J,8,FALSE)="Short",AT1756,AU1756),"")</f>
        <v/>
      </c>
      <c r="AW1756" s="109" t="str">
        <f t="shared" si="781"/>
        <v/>
      </c>
      <c r="AX1756" s="109" t="str">
        <f t="shared" si="782"/>
        <v/>
      </c>
      <c r="AY1756" s="112" t="str">
        <f>IF(ISNUMBER(O1756),IF(AND(VLOOKUP($D1756,Merchantability!$B:$C,2,0)="Yes",$E1756&gt;=VLOOKUP($D1756,Merchantability!$B:$D,3,0),$E1756&lt;=VLOOKUP($D1756,Merchantability!$B:$E,4,0)),(AV1756*O1756)*(1-$H1756/100),""),"")</f>
        <v/>
      </c>
      <c r="AZ1756" s="116"/>
      <c r="BA1756" s="116"/>
      <c r="BB1756" s="116"/>
      <c r="BE1756" s="62"/>
      <c r="BF1756" s="63"/>
    </row>
    <row r="1757" spans="1:58" ht="12.75" customHeight="1" x14ac:dyDescent="0.25">
      <c r="A1757" s="334"/>
      <c r="B1757" s="334"/>
      <c r="C1757" s="332"/>
      <c r="D1757" s="334"/>
      <c r="E1757" s="335"/>
      <c r="F1757" s="334"/>
      <c r="G1757" s="332"/>
      <c r="H1757" s="332"/>
      <c r="I1757" s="334"/>
      <c r="J1757" s="336"/>
      <c r="K1757" s="332"/>
      <c r="L1757" s="332"/>
      <c r="M1757" s="76"/>
      <c r="N1757" s="103" t="str">
        <f>IF(A1757="","",VLOOKUP(A1757,Stand!C:K,9,0))</f>
        <v/>
      </c>
      <c r="O1757" s="104" t="str">
        <f t="shared" si="767"/>
        <v/>
      </c>
      <c r="P1757" s="105" t="str">
        <f t="shared" si="768"/>
        <v/>
      </c>
      <c r="Q1757" s="105" t="str">
        <f t="shared" ref="Q1757:Q1820" si="783">IF(AND(ISNUMBER(O1757),I1757&gt;0),I1757*O1757,"")</f>
        <v/>
      </c>
      <c r="R1757" s="103" t="str">
        <f t="shared" si="769"/>
        <v/>
      </c>
      <c r="S1757" s="103" t="str">
        <f t="shared" si="770"/>
        <v/>
      </c>
      <c r="T1757" s="106" t="str">
        <f t="shared" ref="T1757:T1820" si="784">IF(AND(ISNUMBER(O1757),J1757&gt;0),J1757/100,"")</f>
        <v/>
      </c>
      <c r="U1757" s="106" t="str">
        <f t="shared" ref="U1757:U1820" si="785">IF(AND(ISNUMBER(O1757),J1757&gt;0),T1757*O1757,"")</f>
        <v/>
      </c>
      <c r="V1757" s="106" t="str">
        <f t="shared" ref="V1757:V1820" si="786">IF(AND(ISNUMBER(O1757),I1757&gt;0),W1757*O1757,"")</f>
        <v/>
      </c>
      <c r="W1757" s="105" t="str">
        <f t="shared" si="771"/>
        <v/>
      </c>
      <c r="X1757" s="104" t="str">
        <f t="shared" si="776"/>
        <v/>
      </c>
      <c r="Y1757" s="104" t="str">
        <f t="array" ref="Y1757">IFERROR(IF(ISNUMBER(O1757),IF(COUNT(IF(A1757=$A$2:$A$2427,IF(D1757=$D$2:$D$2427,IF($X$2:$X$2427&gt;0,1))))&gt;0,SUM(IF(A1757=$A$2:$A$2427,IF(D1757=$D$2:$D$2427,$X$2:$X$2427)))/COUNT(IF(A1757=$A$2:$A$2427,IF(D1757=$D$2:$D$2427,IF(ISNUMBER($X$2:$X$2427),1)))),0),""),0)</f>
        <v/>
      </c>
      <c r="Z1757" s="104" t="str">
        <f>IF(ISNUMBER(O1757),IF(I1757&gt;0,(10^(VLOOKUP(D1757,'Species Codes'!B:C,2,0)+VLOOKUP(D1757,'Species Codes'!B:D,3,0)*LOG(E1757)+VLOOKUP(D1757,'Species Codes'!B:E,4,0)*LOG(I1757))),0),"")</f>
        <v/>
      </c>
      <c r="AA1757" s="104" t="str">
        <f>IFERROR((VLOOKUP(D1757,'Species Codes'!B:G,6,0)*Z1757)/2000,"")</f>
        <v/>
      </c>
      <c r="AB1757" s="104" t="e">
        <f>IF(Z1757&gt;0,((IF(OR(D1757="DF",D1757="RA")=TRUE,EXP(VLOOKUP(D1757,'Species Codes'!B:I,8,0)+VLOOKUP(D1757,'Species Codes'!B:J,9,0)*(LN((E1757*2.54)))),IF(OR(D1757="PY",D1757="RC",D1757="WH",D1757="NF")=TRUE,VLOOKUP(D1757,'Species Codes'!B:I,8,0)+VLOOKUP(D1757,'Species Codes'!B:J,9,0)*((E1757*2.54)^2)*(I1757*0.3048),IF(OR(D1757="MD",D1757="BM",D1757="GA")=TRUE,((VLOOKUP(D1757,'Species Codes'!B:I,8,0)*(((((E1757*2.54)+VLOOKUP(D1757,'Species Codes'!B:J,9,0))/VLOOKUP(D1757,'Species Codes'!B:K,10,0))^VLOOKUP(D1757,'Species Codes'!B:L,11,0))*((I1757*0.3048)^VLOOKUP(D1757,'Species Codes'!B:M,12,0))))-(VLOOKUP(D1757,'Species Codes'!B:I,8,0)*((((E1757*2.54)^VLOOKUP(D1757,'Species Codes'!B:L,11,0))*((I1757*0.3048)^VLOOKUP(D1757,'Species Codes'!B:M,12,0))))))*35.3*VLOOKUP(D1757,'Species Codes'!B:G,6,0)/2.2046,VLOOKUP(D1757,'Species Codes'!B:I,8,0)+VLOOKUP(D1757,'Species Codes'!B:J,9,0)*(((E1757*2.54)/100)^2)*(I1757*0.3048)))))*0.0011023),0)</f>
        <v>#N/A</v>
      </c>
      <c r="AC1757" s="104" t="e">
        <f>IF(Z1757&gt;0,((IF(OR(D1757="RA",D1757="OA",D1757="OT",D1757="UN",D1757="PC"),EXP(VLOOKUP(D1757,'Species Codes'!B:O,14,0)+VLOOKUP(D1757,'Species Codes'!B:P,15,0)*LN((E1757*2.54)))-EXP(VLOOKUP(D1757,'Species Codes'!B:O,14,0)+VLOOKUP(D1757,'Species Codes'!B:P,15,0)*LN((E1757*2.54)))*(1/(VLOOKUP(D1757,'Species Codes'!B:Q,16,0)+VLOOKUP(D1757,'Species Codes'!B:R,17,0)*((E1757*2.54)^VLOOKUP(D1757,'Species Codes'!B:S,18,0)))),IF(OR(D1757="BM",D1757="MD",D1757="OA"),EXP(VLOOKUP(D1757,'Species Codes'!B:O,14,0)+VLOOKUP(D1757,'Species Codes'!B:P,15,0)*LN((E1757*2.54)))*(1-(1/(VLOOKUP(D1757,'Species Codes'!B:Q,16,0)+VLOOKUP(D1757,'Species Codes'!B:R,17,0)*((E1757*2.54)^VLOOKUP(D1757,'Species Codes'!B:S,18,0)))))/1000,IF(D1757="DF",EXP(VLOOKUP(D1757,'Species Codes'!B:O,14,0)+VLOOKUP(D1757,'Species Codes'!B:P,15,0)*LN((E1757*2.54))),VLOOKUP(D1757,'Species Codes'!B:O,14,0)+VLOOKUP(D1757,'Species Codes'!B:P,15,0)*(((E1757*2.54)/100)^2)*(I1757*0.3048)))))*0.0011023),0)</f>
        <v>#N/A</v>
      </c>
      <c r="AD1757" s="104" t="e">
        <f t="shared" ref="AD1757:AD1820" si="787">SUM(AA1757:AC1757)</f>
        <v>#N/A</v>
      </c>
      <c r="AE1757" s="104" t="e">
        <f t="shared" ref="AE1757:AE1820" si="788">AD1757*O1757</f>
        <v>#N/A</v>
      </c>
      <c r="AF1757" s="104" t="e">
        <f>IF(AND(VLOOKUP($D1757,Merchantability!$B:$C,2,0)="Yes",$E1757&gt;=VLOOKUP($D1757,Merchantability!$B:$D,3,0),$E1757&lt;=VLOOKUP($D1757,Merchantability!$B:$E,4,0)),AA1757,0)</f>
        <v>#N/A</v>
      </c>
      <c r="AG1757" s="104" t="e">
        <f>IF(AND(VLOOKUP($D1757,Merchantability!$B:$C,2,0)="Yes",$E1757&gt;=VLOOKUP($D1757,Merchantability!$B:$D,3,0),$E1757&lt;=VLOOKUP($D1757,Merchantability!$B:$E,4,0)),AB1757,0)</f>
        <v>#N/A</v>
      </c>
      <c r="AH1757" s="104" t="e">
        <f>IF(AND(VLOOKUP($D1757,Merchantability!$B:$C,2,0)="Yes",$E1757&gt;=VLOOKUP($D1757,Merchantability!$B:$D,3,0),$E1757&lt;=VLOOKUP($D1757,Merchantability!$B:$E,4,0)),AC1757,0)</f>
        <v>#N/A</v>
      </c>
      <c r="AI1757" s="104" t="e">
        <f t="shared" ref="AI1757:AI1820" si="789">SUM(AF1757:AH1757)</f>
        <v>#N/A</v>
      </c>
      <c r="AJ1757" s="104" t="e">
        <f t="shared" ref="AJ1757:AJ1820" si="790">AA1757*$O1757</f>
        <v>#VALUE!</v>
      </c>
      <c r="AK1757" s="104" t="e">
        <f t="shared" ref="AK1757:AK1820" si="791">AB1757*$O1757</f>
        <v>#N/A</v>
      </c>
      <c r="AL1757" s="104" t="e">
        <f t="shared" ref="AL1757:AL1820" si="792">AC1757*$O1757</f>
        <v>#N/A</v>
      </c>
      <c r="AM1757" s="104" t="e">
        <f t="shared" ref="AM1757:AM1820" si="793">AD1757*$O1757</f>
        <v>#N/A</v>
      </c>
      <c r="AN1757" s="104" t="e">
        <f t="shared" si="777"/>
        <v>#N/A</v>
      </c>
      <c r="AO1757" s="104" t="e">
        <f t="shared" si="778"/>
        <v>#N/A</v>
      </c>
      <c r="AP1757" s="104" t="e">
        <f t="shared" si="779"/>
        <v>#N/A</v>
      </c>
      <c r="AQ1757" s="104" t="e">
        <f t="shared" si="780"/>
        <v>#N/A</v>
      </c>
      <c r="AR1757" s="105" t="str">
        <f t="shared" si="772"/>
        <v/>
      </c>
      <c r="AS1757" s="105" t="str">
        <f t="shared" si="773"/>
        <v/>
      </c>
      <c r="AT1757" s="108" t="str">
        <f t="shared" si="774"/>
        <v/>
      </c>
      <c r="AU1757" s="108" t="str">
        <f t="shared" si="775"/>
        <v/>
      </c>
      <c r="AV1757" s="107" t="str">
        <f>IF(ISNUMBER(O1757),IF(VLOOKUP($A1757,Stand!C:J,8,FALSE)="Short",AT1757,AU1757),"")</f>
        <v/>
      </c>
      <c r="AW1757" s="109" t="str">
        <f t="shared" si="781"/>
        <v/>
      </c>
      <c r="AX1757" s="109" t="str">
        <f t="shared" si="782"/>
        <v/>
      </c>
      <c r="AY1757" s="112" t="str">
        <f>IF(ISNUMBER(O1757),IF(AND(VLOOKUP($D1757,Merchantability!$B:$C,2,0)="Yes",$E1757&gt;=VLOOKUP($D1757,Merchantability!$B:$D,3,0),$E1757&lt;=VLOOKUP($D1757,Merchantability!$B:$E,4,0)),(AV1757*O1757)*(1-$H1757/100),""),"")</f>
        <v/>
      </c>
      <c r="AZ1757" s="116"/>
      <c r="BA1757" s="116"/>
      <c r="BB1757" s="116"/>
      <c r="BE1757" s="62"/>
      <c r="BF1757" s="63"/>
    </row>
    <row r="1758" spans="1:58" ht="12.75" customHeight="1" x14ac:dyDescent="0.25">
      <c r="A1758" s="334"/>
      <c r="B1758" s="334"/>
      <c r="C1758" s="332"/>
      <c r="D1758" s="334"/>
      <c r="E1758" s="335"/>
      <c r="F1758" s="334"/>
      <c r="G1758" s="332"/>
      <c r="H1758" s="332"/>
      <c r="I1758" s="334"/>
      <c r="J1758" s="336"/>
      <c r="K1758" s="332"/>
      <c r="L1758" s="332"/>
      <c r="M1758" s="76"/>
      <c r="N1758" s="103" t="str">
        <f>IF(A1758="","",VLOOKUP(A1758,Stand!C:K,9,0))</f>
        <v/>
      </c>
      <c r="O1758" s="104" t="str">
        <f t="shared" si="767"/>
        <v/>
      </c>
      <c r="P1758" s="105" t="str">
        <f t="shared" si="768"/>
        <v/>
      </c>
      <c r="Q1758" s="105" t="str">
        <f t="shared" si="783"/>
        <v/>
      </c>
      <c r="R1758" s="103" t="str">
        <f t="shared" si="769"/>
        <v/>
      </c>
      <c r="S1758" s="103" t="str">
        <f t="shared" si="770"/>
        <v/>
      </c>
      <c r="T1758" s="106" t="str">
        <f t="shared" si="784"/>
        <v/>
      </c>
      <c r="U1758" s="106" t="str">
        <f t="shared" si="785"/>
        <v/>
      </c>
      <c r="V1758" s="106" t="str">
        <f t="shared" si="786"/>
        <v/>
      </c>
      <c r="W1758" s="105" t="str">
        <f t="shared" si="771"/>
        <v/>
      </c>
      <c r="X1758" s="104" t="str">
        <f t="shared" si="776"/>
        <v/>
      </c>
      <c r="Y1758" s="104" t="str">
        <f t="array" ref="Y1758">IFERROR(IF(ISNUMBER(O1758),IF(COUNT(IF(A1758=$A$2:$A$2427,IF(D1758=$D$2:$D$2427,IF($X$2:$X$2427&gt;0,1))))&gt;0,SUM(IF(A1758=$A$2:$A$2427,IF(D1758=$D$2:$D$2427,$X$2:$X$2427)))/COUNT(IF(A1758=$A$2:$A$2427,IF(D1758=$D$2:$D$2427,IF(ISNUMBER($X$2:$X$2427),1)))),0),""),0)</f>
        <v/>
      </c>
      <c r="Z1758" s="104" t="str">
        <f>IF(ISNUMBER(O1758),IF(I1758&gt;0,(10^(VLOOKUP(D1758,'Species Codes'!B:C,2,0)+VLOOKUP(D1758,'Species Codes'!B:D,3,0)*LOG(E1758)+VLOOKUP(D1758,'Species Codes'!B:E,4,0)*LOG(I1758))),0),"")</f>
        <v/>
      </c>
      <c r="AA1758" s="104" t="str">
        <f>IFERROR((VLOOKUP(D1758,'Species Codes'!B:G,6,0)*Z1758)/2000,"")</f>
        <v/>
      </c>
      <c r="AB1758" s="104" t="e">
        <f>IF(Z1758&gt;0,((IF(OR(D1758="DF",D1758="RA")=TRUE,EXP(VLOOKUP(D1758,'Species Codes'!B:I,8,0)+VLOOKUP(D1758,'Species Codes'!B:J,9,0)*(LN((E1758*2.54)))),IF(OR(D1758="PY",D1758="RC",D1758="WH",D1758="NF")=TRUE,VLOOKUP(D1758,'Species Codes'!B:I,8,0)+VLOOKUP(D1758,'Species Codes'!B:J,9,0)*((E1758*2.54)^2)*(I1758*0.3048),IF(OR(D1758="MD",D1758="BM",D1758="GA")=TRUE,((VLOOKUP(D1758,'Species Codes'!B:I,8,0)*(((((E1758*2.54)+VLOOKUP(D1758,'Species Codes'!B:J,9,0))/VLOOKUP(D1758,'Species Codes'!B:K,10,0))^VLOOKUP(D1758,'Species Codes'!B:L,11,0))*((I1758*0.3048)^VLOOKUP(D1758,'Species Codes'!B:M,12,0))))-(VLOOKUP(D1758,'Species Codes'!B:I,8,0)*((((E1758*2.54)^VLOOKUP(D1758,'Species Codes'!B:L,11,0))*((I1758*0.3048)^VLOOKUP(D1758,'Species Codes'!B:M,12,0))))))*35.3*VLOOKUP(D1758,'Species Codes'!B:G,6,0)/2.2046,VLOOKUP(D1758,'Species Codes'!B:I,8,0)+VLOOKUP(D1758,'Species Codes'!B:J,9,0)*(((E1758*2.54)/100)^2)*(I1758*0.3048)))))*0.0011023),0)</f>
        <v>#N/A</v>
      </c>
      <c r="AC1758" s="104" t="e">
        <f>IF(Z1758&gt;0,((IF(OR(D1758="RA",D1758="OA",D1758="OT",D1758="UN",D1758="PC"),EXP(VLOOKUP(D1758,'Species Codes'!B:O,14,0)+VLOOKUP(D1758,'Species Codes'!B:P,15,0)*LN((E1758*2.54)))-EXP(VLOOKUP(D1758,'Species Codes'!B:O,14,0)+VLOOKUP(D1758,'Species Codes'!B:P,15,0)*LN((E1758*2.54)))*(1/(VLOOKUP(D1758,'Species Codes'!B:Q,16,0)+VLOOKUP(D1758,'Species Codes'!B:R,17,0)*((E1758*2.54)^VLOOKUP(D1758,'Species Codes'!B:S,18,0)))),IF(OR(D1758="BM",D1758="MD",D1758="OA"),EXP(VLOOKUP(D1758,'Species Codes'!B:O,14,0)+VLOOKUP(D1758,'Species Codes'!B:P,15,0)*LN((E1758*2.54)))*(1-(1/(VLOOKUP(D1758,'Species Codes'!B:Q,16,0)+VLOOKUP(D1758,'Species Codes'!B:R,17,0)*((E1758*2.54)^VLOOKUP(D1758,'Species Codes'!B:S,18,0)))))/1000,IF(D1758="DF",EXP(VLOOKUP(D1758,'Species Codes'!B:O,14,0)+VLOOKUP(D1758,'Species Codes'!B:P,15,0)*LN((E1758*2.54))),VLOOKUP(D1758,'Species Codes'!B:O,14,0)+VLOOKUP(D1758,'Species Codes'!B:P,15,0)*(((E1758*2.54)/100)^2)*(I1758*0.3048)))))*0.0011023),0)</f>
        <v>#N/A</v>
      </c>
      <c r="AD1758" s="104" t="e">
        <f t="shared" si="787"/>
        <v>#N/A</v>
      </c>
      <c r="AE1758" s="104" t="e">
        <f t="shared" si="788"/>
        <v>#N/A</v>
      </c>
      <c r="AF1758" s="104" t="e">
        <f>IF(AND(VLOOKUP($D1758,Merchantability!$B:$C,2,0)="Yes",$E1758&gt;=VLOOKUP($D1758,Merchantability!$B:$D,3,0),$E1758&lt;=VLOOKUP($D1758,Merchantability!$B:$E,4,0)),AA1758,0)</f>
        <v>#N/A</v>
      </c>
      <c r="AG1758" s="104" t="e">
        <f>IF(AND(VLOOKUP($D1758,Merchantability!$B:$C,2,0)="Yes",$E1758&gt;=VLOOKUP($D1758,Merchantability!$B:$D,3,0),$E1758&lt;=VLOOKUP($D1758,Merchantability!$B:$E,4,0)),AB1758,0)</f>
        <v>#N/A</v>
      </c>
      <c r="AH1758" s="104" t="e">
        <f>IF(AND(VLOOKUP($D1758,Merchantability!$B:$C,2,0)="Yes",$E1758&gt;=VLOOKUP($D1758,Merchantability!$B:$D,3,0),$E1758&lt;=VLOOKUP($D1758,Merchantability!$B:$E,4,0)),AC1758,0)</f>
        <v>#N/A</v>
      </c>
      <c r="AI1758" s="104" t="e">
        <f t="shared" si="789"/>
        <v>#N/A</v>
      </c>
      <c r="AJ1758" s="104" t="e">
        <f t="shared" si="790"/>
        <v>#VALUE!</v>
      </c>
      <c r="AK1758" s="104" t="e">
        <f t="shared" si="791"/>
        <v>#N/A</v>
      </c>
      <c r="AL1758" s="104" t="e">
        <f t="shared" si="792"/>
        <v>#N/A</v>
      </c>
      <c r="AM1758" s="104" t="e">
        <f t="shared" si="793"/>
        <v>#N/A</v>
      </c>
      <c r="AN1758" s="104" t="e">
        <f t="shared" si="777"/>
        <v>#N/A</v>
      </c>
      <c r="AO1758" s="104" t="e">
        <f t="shared" si="778"/>
        <v>#N/A</v>
      </c>
      <c r="AP1758" s="104" t="e">
        <f t="shared" si="779"/>
        <v>#N/A</v>
      </c>
      <c r="AQ1758" s="104" t="e">
        <f t="shared" si="780"/>
        <v>#N/A</v>
      </c>
      <c r="AR1758" s="105" t="str">
        <f t="shared" si="772"/>
        <v/>
      </c>
      <c r="AS1758" s="105" t="str">
        <f t="shared" si="773"/>
        <v/>
      </c>
      <c r="AT1758" s="108" t="str">
        <f t="shared" si="774"/>
        <v/>
      </c>
      <c r="AU1758" s="108" t="str">
        <f t="shared" si="775"/>
        <v/>
      </c>
      <c r="AV1758" s="107" t="str">
        <f>IF(ISNUMBER(O1758),IF(VLOOKUP($A1758,Stand!C:J,8,FALSE)="Short",AT1758,AU1758),"")</f>
        <v/>
      </c>
      <c r="AW1758" s="109" t="str">
        <f t="shared" si="781"/>
        <v/>
      </c>
      <c r="AX1758" s="109" t="str">
        <f t="shared" si="782"/>
        <v/>
      </c>
      <c r="AY1758" s="112" t="str">
        <f>IF(ISNUMBER(O1758),IF(AND(VLOOKUP($D1758,Merchantability!$B:$C,2,0)="Yes",$E1758&gt;=VLOOKUP($D1758,Merchantability!$B:$D,3,0),$E1758&lt;=VLOOKUP($D1758,Merchantability!$B:$E,4,0)),(AV1758*O1758)*(1-$H1758/100),""),"")</f>
        <v/>
      </c>
      <c r="AZ1758" s="116"/>
      <c r="BA1758" s="116"/>
      <c r="BB1758" s="116"/>
      <c r="BE1758" s="62"/>
      <c r="BF1758" s="63"/>
    </row>
    <row r="1759" spans="1:58" ht="12.75" customHeight="1" x14ac:dyDescent="0.25">
      <c r="A1759" s="334"/>
      <c r="B1759" s="334"/>
      <c r="C1759" s="332"/>
      <c r="D1759" s="334"/>
      <c r="E1759" s="335"/>
      <c r="F1759" s="334"/>
      <c r="G1759" s="332"/>
      <c r="H1759" s="332"/>
      <c r="I1759" s="334"/>
      <c r="J1759" s="336"/>
      <c r="K1759" s="332"/>
      <c r="L1759" s="332"/>
      <c r="M1759" s="76"/>
      <c r="N1759" s="103" t="str">
        <f>IF(A1759="","",VLOOKUP(A1759,Stand!C:K,9,0))</f>
        <v/>
      </c>
      <c r="O1759" s="104" t="str">
        <f t="shared" si="767"/>
        <v/>
      </c>
      <c r="P1759" s="105" t="str">
        <f t="shared" si="768"/>
        <v/>
      </c>
      <c r="Q1759" s="105" t="str">
        <f t="shared" si="783"/>
        <v/>
      </c>
      <c r="R1759" s="103" t="str">
        <f t="shared" si="769"/>
        <v/>
      </c>
      <c r="S1759" s="103" t="str">
        <f t="shared" si="770"/>
        <v/>
      </c>
      <c r="T1759" s="106" t="str">
        <f t="shared" si="784"/>
        <v/>
      </c>
      <c r="U1759" s="106" t="str">
        <f t="shared" si="785"/>
        <v/>
      </c>
      <c r="V1759" s="106" t="str">
        <f t="shared" si="786"/>
        <v/>
      </c>
      <c r="W1759" s="105" t="str">
        <f t="shared" si="771"/>
        <v/>
      </c>
      <c r="X1759" s="104" t="str">
        <f t="shared" si="776"/>
        <v/>
      </c>
      <c r="Y1759" s="104" t="str">
        <f t="array" ref="Y1759">IFERROR(IF(ISNUMBER(O1759),IF(COUNT(IF(A1759=$A$2:$A$2427,IF(D1759=$D$2:$D$2427,IF($X$2:$X$2427&gt;0,1))))&gt;0,SUM(IF(A1759=$A$2:$A$2427,IF(D1759=$D$2:$D$2427,$X$2:$X$2427)))/COUNT(IF(A1759=$A$2:$A$2427,IF(D1759=$D$2:$D$2427,IF(ISNUMBER($X$2:$X$2427),1)))),0),""),0)</f>
        <v/>
      </c>
      <c r="Z1759" s="104" t="str">
        <f>IF(ISNUMBER(O1759),IF(I1759&gt;0,(10^(VLOOKUP(D1759,'Species Codes'!B:C,2,0)+VLOOKUP(D1759,'Species Codes'!B:D,3,0)*LOG(E1759)+VLOOKUP(D1759,'Species Codes'!B:E,4,0)*LOG(I1759))),0),"")</f>
        <v/>
      </c>
      <c r="AA1759" s="104" t="str">
        <f>IFERROR((VLOOKUP(D1759,'Species Codes'!B:G,6,0)*Z1759)/2000,"")</f>
        <v/>
      </c>
      <c r="AB1759" s="104" t="e">
        <f>IF(Z1759&gt;0,((IF(OR(D1759="DF",D1759="RA")=TRUE,EXP(VLOOKUP(D1759,'Species Codes'!B:I,8,0)+VLOOKUP(D1759,'Species Codes'!B:J,9,0)*(LN((E1759*2.54)))),IF(OR(D1759="PY",D1759="RC",D1759="WH",D1759="NF")=TRUE,VLOOKUP(D1759,'Species Codes'!B:I,8,0)+VLOOKUP(D1759,'Species Codes'!B:J,9,0)*((E1759*2.54)^2)*(I1759*0.3048),IF(OR(D1759="MD",D1759="BM",D1759="GA")=TRUE,((VLOOKUP(D1759,'Species Codes'!B:I,8,0)*(((((E1759*2.54)+VLOOKUP(D1759,'Species Codes'!B:J,9,0))/VLOOKUP(D1759,'Species Codes'!B:K,10,0))^VLOOKUP(D1759,'Species Codes'!B:L,11,0))*((I1759*0.3048)^VLOOKUP(D1759,'Species Codes'!B:M,12,0))))-(VLOOKUP(D1759,'Species Codes'!B:I,8,0)*((((E1759*2.54)^VLOOKUP(D1759,'Species Codes'!B:L,11,0))*((I1759*0.3048)^VLOOKUP(D1759,'Species Codes'!B:M,12,0))))))*35.3*VLOOKUP(D1759,'Species Codes'!B:G,6,0)/2.2046,VLOOKUP(D1759,'Species Codes'!B:I,8,0)+VLOOKUP(D1759,'Species Codes'!B:J,9,0)*(((E1759*2.54)/100)^2)*(I1759*0.3048)))))*0.0011023),0)</f>
        <v>#N/A</v>
      </c>
      <c r="AC1759" s="104" t="e">
        <f>IF(Z1759&gt;0,((IF(OR(D1759="RA",D1759="OA",D1759="OT",D1759="UN",D1759="PC"),EXP(VLOOKUP(D1759,'Species Codes'!B:O,14,0)+VLOOKUP(D1759,'Species Codes'!B:P,15,0)*LN((E1759*2.54)))-EXP(VLOOKUP(D1759,'Species Codes'!B:O,14,0)+VLOOKUP(D1759,'Species Codes'!B:P,15,0)*LN((E1759*2.54)))*(1/(VLOOKUP(D1759,'Species Codes'!B:Q,16,0)+VLOOKUP(D1759,'Species Codes'!B:R,17,0)*((E1759*2.54)^VLOOKUP(D1759,'Species Codes'!B:S,18,0)))),IF(OR(D1759="BM",D1759="MD",D1759="OA"),EXP(VLOOKUP(D1759,'Species Codes'!B:O,14,0)+VLOOKUP(D1759,'Species Codes'!B:P,15,0)*LN((E1759*2.54)))*(1-(1/(VLOOKUP(D1759,'Species Codes'!B:Q,16,0)+VLOOKUP(D1759,'Species Codes'!B:R,17,0)*((E1759*2.54)^VLOOKUP(D1759,'Species Codes'!B:S,18,0)))))/1000,IF(D1759="DF",EXP(VLOOKUP(D1759,'Species Codes'!B:O,14,0)+VLOOKUP(D1759,'Species Codes'!B:P,15,0)*LN((E1759*2.54))),VLOOKUP(D1759,'Species Codes'!B:O,14,0)+VLOOKUP(D1759,'Species Codes'!B:P,15,0)*(((E1759*2.54)/100)^2)*(I1759*0.3048)))))*0.0011023),0)</f>
        <v>#N/A</v>
      </c>
      <c r="AD1759" s="104" t="e">
        <f t="shared" si="787"/>
        <v>#N/A</v>
      </c>
      <c r="AE1759" s="104" t="e">
        <f t="shared" si="788"/>
        <v>#N/A</v>
      </c>
      <c r="AF1759" s="104" t="e">
        <f>IF(AND(VLOOKUP($D1759,Merchantability!$B:$C,2,0)="Yes",$E1759&gt;=VLOOKUP($D1759,Merchantability!$B:$D,3,0),$E1759&lt;=VLOOKUP($D1759,Merchantability!$B:$E,4,0)),AA1759,0)</f>
        <v>#N/A</v>
      </c>
      <c r="AG1759" s="104" t="e">
        <f>IF(AND(VLOOKUP($D1759,Merchantability!$B:$C,2,0)="Yes",$E1759&gt;=VLOOKUP($D1759,Merchantability!$B:$D,3,0),$E1759&lt;=VLOOKUP($D1759,Merchantability!$B:$E,4,0)),AB1759,0)</f>
        <v>#N/A</v>
      </c>
      <c r="AH1759" s="104" t="e">
        <f>IF(AND(VLOOKUP($D1759,Merchantability!$B:$C,2,0)="Yes",$E1759&gt;=VLOOKUP($D1759,Merchantability!$B:$D,3,0),$E1759&lt;=VLOOKUP($D1759,Merchantability!$B:$E,4,0)),AC1759,0)</f>
        <v>#N/A</v>
      </c>
      <c r="AI1759" s="104" t="e">
        <f t="shared" si="789"/>
        <v>#N/A</v>
      </c>
      <c r="AJ1759" s="104" t="e">
        <f t="shared" si="790"/>
        <v>#VALUE!</v>
      </c>
      <c r="AK1759" s="104" t="e">
        <f t="shared" si="791"/>
        <v>#N/A</v>
      </c>
      <c r="AL1759" s="104" t="e">
        <f t="shared" si="792"/>
        <v>#N/A</v>
      </c>
      <c r="AM1759" s="104" t="e">
        <f t="shared" si="793"/>
        <v>#N/A</v>
      </c>
      <c r="AN1759" s="104" t="e">
        <f t="shared" si="777"/>
        <v>#N/A</v>
      </c>
      <c r="AO1759" s="104" t="e">
        <f t="shared" si="778"/>
        <v>#N/A</v>
      </c>
      <c r="AP1759" s="104" t="e">
        <f t="shared" si="779"/>
        <v>#N/A</v>
      </c>
      <c r="AQ1759" s="104" t="e">
        <f t="shared" si="780"/>
        <v>#N/A</v>
      </c>
      <c r="AR1759" s="105" t="str">
        <f t="shared" si="772"/>
        <v/>
      </c>
      <c r="AS1759" s="105" t="str">
        <f t="shared" si="773"/>
        <v/>
      </c>
      <c r="AT1759" s="108" t="str">
        <f t="shared" si="774"/>
        <v/>
      </c>
      <c r="AU1759" s="108" t="str">
        <f t="shared" si="775"/>
        <v/>
      </c>
      <c r="AV1759" s="107" t="str">
        <f>IF(ISNUMBER(O1759),IF(VLOOKUP($A1759,Stand!C:J,8,FALSE)="Short",AT1759,AU1759),"")</f>
        <v/>
      </c>
      <c r="AW1759" s="109" t="str">
        <f t="shared" si="781"/>
        <v/>
      </c>
      <c r="AX1759" s="109" t="str">
        <f t="shared" si="782"/>
        <v/>
      </c>
      <c r="AY1759" s="112" t="str">
        <f>IF(ISNUMBER(O1759),IF(AND(VLOOKUP($D1759,Merchantability!$B:$C,2,0)="Yes",$E1759&gt;=VLOOKUP($D1759,Merchantability!$B:$D,3,0),$E1759&lt;=VLOOKUP($D1759,Merchantability!$B:$E,4,0)),(AV1759*O1759)*(1-$H1759/100),""),"")</f>
        <v/>
      </c>
      <c r="AZ1759" s="116"/>
      <c r="BA1759" s="116"/>
      <c r="BB1759" s="116"/>
      <c r="BE1759" s="62"/>
      <c r="BF1759" s="63"/>
    </row>
    <row r="1760" spans="1:58" ht="12.75" customHeight="1" x14ac:dyDescent="0.25">
      <c r="A1760" s="334"/>
      <c r="B1760" s="334"/>
      <c r="C1760" s="332"/>
      <c r="D1760" s="334"/>
      <c r="E1760" s="335"/>
      <c r="F1760" s="334"/>
      <c r="G1760" s="332"/>
      <c r="H1760" s="332"/>
      <c r="I1760" s="334"/>
      <c r="J1760" s="336"/>
      <c r="K1760" s="332"/>
      <c r="L1760" s="332"/>
      <c r="M1760" s="76"/>
      <c r="N1760" s="103" t="str">
        <f>IF(A1760="","",VLOOKUP(A1760,Stand!C:K,9,0))</f>
        <v/>
      </c>
      <c r="O1760" s="104" t="str">
        <f t="shared" si="767"/>
        <v/>
      </c>
      <c r="P1760" s="105" t="str">
        <f t="shared" si="768"/>
        <v/>
      </c>
      <c r="Q1760" s="105" t="str">
        <f t="shared" si="783"/>
        <v/>
      </c>
      <c r="R1760" s="103" t="str">
        <f t="shared" si="769"/>
        <v/>
      </c>
      <c r="S1760" s="103" t="str">
        <f t="shared" si="770"/>
        <v/>
      </c>
      <c r="T1760" s="106" t="str">
        <f t="shared" si="784"/>
        <v/>
      </c>
      <c r="U1760" s="106" t="str">
        <f t="shared" si="785"/>
        <v/>
      </c>
      <c r="V1760" s="106" t="str">
        <f t="shared" si="786"/>
        <v/>
      </c>
      <c r="W1760" s="105" t="str">
        <f t="shared" si="771"/>
        <v/>
      </c>
      <c r="X1760" s="104" t="str">
        <f t="shared" si="776"/>
        <v/>
      </c>
      <c r="Y1760" s="104" t="str">
        <f t="array" ref="Y1760">IFERROR(IF(ISNUMBER(O1760),IF(COUNT(IF(A1760=$A$2:$A$2427,IF(D1760=$D$2:$D$2427,IF($X$2:$X$2427&gt;0,1))))&gt;0,SUM(IF(A1760=$A$2:$A$2427,IF(D1760=$D$2:$D$2427,$X$2:$X$2427)))/COUNT(IF(A1760=$A$2:$A$2427,IF(D1760=$D$2:$D$2427,IF(ISNUMBER($X$2:$X$2427),1)))),0),""),0)</f>
        <v/>
      </c>
      <c r="Z1760" s="104" t="str">
        <f>IF(ISNUMBER(O1760),IF(I1760&gt;0,(10^(VLOOKUP(D1760,'Species Codes'!B:C,2,0)+VLOOKUP(D1760,'Species Codes'!B:D,3,0)*LOG(E1760)+VLOOKUP(D1760,'Species Codes'!B:E,4,0)*LOG(I1760))),0),"")</f>
        <v/>
      </c>
      <c r="AA1760" s="104" t="str">
        <f>IFERROR((VLOOKUP(D1760,'Species Codes'!B:G,6,0)*Z1760)/2000,"")</f>
        <v/>
      </c>
      <c r="AB1760" s="104" t="e">
        <f>IF(Z1760&gt;0,((IF(OR(D1760="DF",D1760="RA")=TRUE,EXP(VLOOKUP(D1760,'Species Codes'!B:I,8,0)+VLOOKUP(D1760,'Species Codes'!B:J,9,0)*(LN((E1760*2.54)))),IF(OR(D1760="PY",D1760="RC",D1760="WH",D1760="NF")=TRUE,VLOOKUP(D1760,'Species Codes'!B:I,8,0)+VLOOKUP(D1760,'Species Codes'!B:J,9,0)*((E1760*2.54)^2)*(I1760*0.3048),IF(OR(D1760="MD",D1760="BM",D1760="GA")=TRUE,((VLOOKUP(D1760,'Species Codes'!B:I,8,0)*(((((E1760*2.54)+VLOOKUP(D1760,'Species Codes'!B:J,9,0))/VLOOKUP(D1760,'Species Codes'!B:K,10,0))^VLOOKUP(D1760,'Species Codes'!B:L,11,0))*((I1760*0.3048)^VLOOKUP(D1760,'Species Codes'!B:M,12,0))))-(VLOOKUP(D1760,'Species Codes'!B:I,8,0)*((((E1760*2.54)^VLOOKUP(D1760,'Species Codes'!B:L,11,0))*((I1760*0.3048)^VLOOKUP(D1760,'Species Codes'!B:M,12,0))))))*35.3*VLOOKUP(D1760,'Species Codes'!B:G,6,0)/2.2046,VLOOKUP(D1760,'Species Codes'!B:I,8,0)+VLOOKUP(D1760,'Species Codes'!B:J,9,0)*(((E1760*2.54)/100)^2)*(I1760*0.3048)))))*0.0011023),0)</f>
        <v>#N/A</v>
      </c>
      <c r="AC1760" s="104" t="e">
        <f>IF(Z1760&gt;0,((IF(OR(D1760="RA",D1760="OA",D1760="OT",D1760="UN",D1760="PC"),EXP(VLOOKUP(D1760,'Species Codes'!B:O,14,0)+VLOOKUP(D1760,'Species Codes'!B:P,15,0)*LN((E1760*2.54)))-EXP(VLOOKUP(D1760,'Species Codes'!B:O,14,0)+VLOOKUP(D1760,'Species Codes'!B:P,15,0)*LN((E1760*2.54)))*(1/(VLOOKUP(D1760,'Species Codes'!B:Q,16,0)+VLOOKUP(D1760,'Species Codes'!B:R,17,0)*((E1760*2.54)^VLOOKUP(D1760,'Species Codes'!B:S,18,0)))),IF(OR(D1760="BM",D1760="MD",D1760="OA"),EXP(VLOOKUP(D1760,'Species Codes'!B:O,14,0)+VLOOKUP(D1760,'Species Codes'!B:P,15,0)*LN((E1760*2.54)))*(1-(1/(VLOOKUP(D1760,'Species Codes'!B:Q,16,0)+VLOOKUP(D1760,'Species Codes'!B:R,17,0)*((E1760*2.54)^VLOOKUP(D1760,'Species Codes'!B:S,18,0)))))/1000,IF(D1760="DF",EXP(VLOOKUP(D1760,'Species Codes'!B:O,14,0)+VLOOKUP(D1760,'Species Codes'!B:P,15,0)*LN((E1760*2.54))),VLOOKUP(D1760,'Species Codes'!B:O,14,0)+VLOOKUP(D1760,'Species Codes'!B:P,15,0)*(((E1760*2.54)/100)^2)*(I1760*0.3048)))))*0.0011023),0)</f>
        <v>#N/A</v>
      </c>
      <c r="AD1760" s="104" t="e">
        <f t="shared" si="787"/>
        <v>#N/A</v>
      </c>
      <c r="AE1760" s="104" t="e">
        <f t="shared" si="788"/>
        <v>#N/A</v>
      </c>
      <c r="AF1760" s="104" t="e">
        <f>IF(AND(VLOOKUP($D1760,Merchantability!$B:$C,2,0)="Yes",$E1760&gt;=VLOOKUP($D1760,Merchantability!$B:$D,3,0),$E1760&lt;=VLOOKUP($D1760,Merchantability!$B:$E,4,0)),AA1760,0)</f>
        <v>#N/A</v>
      </c>
      <c r="AG1760" s="104" t="e">
        <f>IF(AND(VLOOKUP($D1760,Merchantability!$B:$C,2,0)="Yes",$E1760&gt;=VLOOKUP($D1760,Merchantability!$B:$D,3,0),$E1760&lt;=VLOOKUP($D1760,Merchantability!$B:$E,4,0)),AB1760,0)</f>
        <v>#N/A</v>
      </c>
      <c r="AH1760" s="104" t="e">
        <f>IF(AND(VLOOKUP($D1760,Merchantability!$B:$C,2,0)="Yes",$E1760&gt;=VLOOKUP($D1760,Merchantability!$B:$D,3,0),$E1760&lt;=VLOOKUP($D1760,Merchantability!$B:$E,4,0)),AC1760,0)</f>
        <v>#N/A</v>
      </c>
      <c r="AI1760" s="104" t="e">
        <f t="shared" si="789"/>
        <v>#N/A</v>
      </c>
      <c r="AJ1760" s="104" t="e">
        <f t="shared" si="790"/>
        <v>#VALUE!</v>
      </c>
      <c r="AK1760" s="104" t="e">
        <f t="shared" si="791"/>
        <v>#N/A</v>
      </c>
      <c r="AL1760" s="104" t="e">
        <f t="shared" si="792"/>
        <v>#N/A</v>
      </c>
      <c r="AM1760" s="104" t="e">
        <f t="shared" si="793"/>
        <v>#N/A</v>
      </c>
      <c r="AN1760" s="104" t="e">
        <f t="shared" si="777"/>
        <v>#N/A</v>
      </c>
      <c r="AO1760" s="104" t="e">
        <f t="shared" si="778"/>
        <v>#N/A</v>
      </c>
      <c r="AP1760" s="104" t="e">
        <f t="shared" si="779"/>
        <v>#N/A</v>
      </c>
      <c r="AQ1760" s="104" t="e">
        <f t="shared" si="780"/>
        <v>#N/A</v>
      </c>
      <c r="AR1760" s="105" t="str">
        <f t="shared" si="772"/>
        <v/>
      </c>
      <c r="AS1760" s="105" t="str">
        <f t="shared" si="773"/>
        <v/>
      </c>
      <c r="AT1760" s="108" t="str">
        <f t="shared" si="774"/>
        <v/>
      </c>
      <c r="AU1760" s="108" t="str">
        <f t="shared" si="775"/>
        <v/>
      </c>
      <c r="AV1760" s="107" t="str">
        <f>IF(ISNUMBER(O1760),IF(VLOOKUP($A1760,Stand!C:J,8,FALSE)="Short",AT1760,AU1760),"")</f>
        <v/>
      </c>
      <c r="AW1760" s="109" t="str">
        <f t="shared" si="781"/>
        <v/>
      </c>
      <c r="AX1760" s="109" t="str">
        <f t="shared" si="782"/>
        <v/>
      </c>
      <c r="AY1760" s="112" t="str">
        <f>IF(ISNUMBER(O1760),IF(AND(VLOOKUP($D1760,Merchantability!$B:$C,2,0)="Yes",$E1760&gt;=VLOOKUP($D1760,Merchantability!$B:$D,3,0),$E1760&lt;=VLOOKUP($D1760,Merchantability!$B:$E,4,0)),(AV1760*O1760)*(1-$H1760/100),""),"")</f>
        <v/>
      </c>
      <c r="AZ1760" s="116"/>
      <c r="BA1760" s="116"/>
      <c r="BB1760" s="116"/>
      <c r="BE1760" s="62"/>
      <c r="BF1760" s="63"/>
    </row>
    <row r="1761" spans="1:58" ht="12.75" customHeight="1" x14ac:dyDescent="0.25">
      <c r="A1761" s="334"/>
      <c r="B1761" s="334"/>
      <c r="C1761" s="332"/>
      <c r="D1761" s="334"/>
      <c r="E1761" s="335"/>
      <c r="F1761" s="334"/>
      <c r="G1761" s="332"/>
      <c r="H1761" s="332"/>
      <c r="I1761" s="334"/>
      <c r="J1761" s="336"/>
      <c r="K1761" s="332"/>
      <c r="L1761" s="332"/>
      <c r="M1761" s="76"/>
      <c r="N1761" s="103" t="str">
        <f>IF(A1761="","",VLOOKUP(A1761,Stand!C:K,9,0))</f>
        <v/>
      </c>
      <c r="O1761" s="104" t="str">
        <f t="shared" si="767"/>
        <v/>
      </c>
      <c r="P1761" s="105" t="str">
        <f t="shared" si="768"/>
        <v/>
      </c>
      <c r="Q1761" s="105" t="str">
        <f t="shared" si="783"/>
        <v/>
      </c>
      <c r="R1761" s="103" t="str">
        <f t="shared" si="769"/>
        <v/>
      </c>
      <c r="S1761" s="103" t="str">
        <f t="shared" si="770"/>
        <v/>
      </c>
      <c r="T1761" s="106" t="str">
        <f t="shared" si="784"/>
        <v/>
      </c>
      <c r="U1761" s="106" t="str">
        <f t="shared" si="785"/>
        <v/>
      </c>
      <c r="V1761" s="106" t="str">
        <f t="shared" si="786"/>
        <v/>
      </c>
      <c r="W1761" s="105" t="str">
        <f t="shared" si="771"/>
        <v/>
      </c>
      <c r="X1761" s="104" t="str">
        <f t="shared" si="776"/>
        <v/>
      </c>
      <c r="Y1761" s="104" t="str">
        <f t="array" ref="Y1761">IFERROR(IF(ISNUMBER(O1761),IF(COUNT(IF(A1761=$A$2:$A$2427,IF(D1761=$D$2:$D$2427,IF($X$2:$X$2427&gt;0,1))))&gt;0,SUM(IF(A1761=$A$2:$A$2427,IF(D1761=$D$2:$D$2427,$X$2:$X$2427)))/COUNT(IF(A1761=$A$2:$A$2427,IF(D1761=$D$2:$D$2427,IF(ISNUMBER($X$2:$X$2427),1)))),0),""),0)</f>
        <v/>
      </c>
      <c r="Z1761" s="104" t="str">
        <f>IF(ISNUMBER(O1761),IF(I1761&gt;0,(10^(VLOOKUP(D1761,'Species Codes'!B:C,2,0)+VLOOKUP(D1761,'Species Codes'!B:D,3,0)*LOG(E1761)+VLOOKUP(D1761,'Species Codes'!B:E,4,0)*LOG(I1761))),0),"")</f>
        <v/>
      </c>
      <c r="AA1761" s="104" t="str">
        <f>IFERROR((VLOOKUP(D1761,'Species Codes'!B:G,6,0)*Z1761)/2000,"")</f>
        <v/>
      </c>
      <c r="AB1761" s="104" t="e">
        <f>IF(Z1761&gt;0,((IF(OR(D1761="DF",D1761="RA")=TRUE,EXP(VLOOKUP(D1761,'Species Codes'!B:I,8,0)+VLOOKUP(D1761,'Species Codes'!B:J,9,0)*(LN((E1761*2.54)))),IF(OR(D1761="PY",D1761="RC",D1761="WH",D1761="NF")=TRUE,VLOOKUP(D1761,'Species Codes'!B:I,8,0)+VLOOKUP(D1761,'Species Codes'!B:J,9,0)*((E1761*2.54)^2)*(I1761*0.3048),IF(OR(D1761="MD",D1761="BM",D1761="GA")=TRUE,((VLOOKUP(D1761,'Species Codes'!B:I,8,0)*(((((E1761*2.54)+VLOOKUP(D1761,'Species Codes'!B:J,9,0))/VLOOKUP(D1761,'Species Codes'!B:K,10,0))^VLOOKUP(D1761,'Species Codes'!B:L,11,0))*((I1761*0.3048)^VLOOKUP(D1761,'Species Codes'!B:M,12,0))))-(VLOOKUP(D1761,'Species Codes'!B:I,8,0)*((((E1761*2.54)^VLOOKUP(D1761,'Species Codes'!B:L,11,0))*((I1761*0.3048)^VLOOKUP(D1761,'Species Codes'!B:M,12,0))))))*35.3*VLOOKUP(D1761,'Species Codes'!B:G,6,0)/2.2046,VLOOKUP(D1761,'Species Codes'!B:I,8,0)+VLOOKUP(D1761,'Species Codes'!B:J,9,0)*(((E1761*2.54)/100)^2)*(I1761*0.3048)))))*0.0011023),0)</f>
        <v>#N/A</v>
      </c>
      <c r="AC1761" s="104" t="e">
        <f>IF(Z1761&gt;0,((IF(OR(D1761="RA",D1761="OA",D1761="OT",D1761="UN",D1761="PC"),EXP(VLOOKUP(D1761,'Species Codes'!B:O,14,0)+VLOOKUP(D1761,'Species Codes'!B:P,15,0)*LN((E1761*2.54)))-EXP(VLOOKUP(D1761,'Species Codes'!B:O,14,0)+VLOOKUP(D1761,'Species Codes'!B:P,15,0)*LN((E1761*2.54)))*(1/(VLOOKUP(D1761,'Species Codes'!B:Q,16,0)+VLOOKUP(D1761,'Species Codes'!B:R,17,0)*((E1761*2.54)^VLOOKUP(D1761,'Species Codes'!B:S,18,0)))),IF(OR(D1761="BM",D1761="MD",D1761="OA"),EXP(VLOOKUP(D1761,'Species Codes'!B:O,14,0)+VLOOKUP(D1761,'Species Codes'!B:P,15,0)*LN((E1761*2.54)))*(1-(1/(VLOOKUP(D1761,'Species Codes'!B:Q,16,0)+VLOOKUP(D1761,'Species Codes'!B:R,17,0)*((E1761*2.54)^VLOOKUP(D1761,'Species Codes'!B:S,18,0)))))/1000,IF(D1761="DF",EXP(VLOOKUP(D1761,'Species Codes'!B:O,14,0)+VLOOKUP(D1761,'Species Codes'!B:P,15,0)*LN((E1761*2.54))),VLOOKUP(D1761,'Species Codes'!B:O,14,0)+VLOOKUP(D1761,'Species Codes'!B:P,15,0)*(((E1761*2.54)/100)^2)*(I1761*0.3048)))))*0.0011023),0)</f>
        <v>#N/A</v>
      </c>
      <c r="AD1761" s="104" t="e">
        <f t="shared" si="787"/>
        <v>#N/A</v>
      </c>
      <c r="AE1761" s="104" t="e">
        <f t="shared" si="788"/>
        <v>#N/A</v>
      </c>
      <c r="AF1761" s="104" t="e">
        <f>IF(AND(VLOOKUP($D1761,Merchantability!$B:$C,2,0)="Yes",$E1761&gt;=VLOOKUP($D1761,Merchantability!$B:$D,3,0),$E1761&lt;=VLOOKUP($D1761,Merchantability!$B:$E,4,0)),AA1761,0)</f>
        <v>#N/A</v>
      </c>
      <c r="AG1761" s="104" t="e">
        <f>IF(AND(VLOOKUP($D1761,Merchantability!$B:$C,2,0)="Yes",$E1761&gt;=VLOOKUP($D1761,Merchantability!$B:$D,3,0),$E1761&lt;=VLOOKUP($D1761,Merchantability!$B:$E,4,0)),AB1761,0)</f>
        <v>#N/A</v>
      </c>
      <c r="AH1761" s="104" t="e">
        <f>IF(AND(VLOOKUP($D1761,Merchantability!$B:$C,2,0)="Yes",$E1761&gt;=VLOOKUP($D1761,Merchantability!$B:$D,3,0),$E1761&lt;=VLOOKUP($D1761,Merchantability!$B:$E,4,0)),AC1761,0)</f>
        <v>#N/A</v>
      </c>
      <c r="AI1761" s="104" t="e">
        <f t="shared" si="789"/>
        <v>#N/A</v>
      </c>
      <c r="AJ1761" s="104" t="e">
        <f t="shared" si="790"/>
        <v>#VALUE!</v>
      </c>
      <c r="AK1761" s="104" t="e">
        <f t="shared" si="791"/>
        <v>#N/A</v>
      </c>
      <c r="AL1761" s="104" t="e">
        <f t="shared" si="792"/>
        <v>#N/A</v>
      </c>
      <c r="AM1761" s="104" t="e">
        <f t="shared" si="793"/>
        <v>#N/A</v>
      </c>
      <c r="AN1761" s="104" t="e">
        <f t="shared" si="777"/>
        <v>#N/A</v>
      </c>
      <c r="AO1761" s="104" t="e">
        <f t="shared" si="778"/>
        <v>#N/A</v>
      </c>
      <c r="AP1761" s="104" t="e">
        <f t="shared" si="779"/>
        <v>#N/A</v>
      </c>
      <c r="AQ1761" s="104" t="e">
        <f t="shared" si="780"/>
        <v>#N/A</v>
      </c>
      <c r="AR1761" s="105" t="str">
        <f t="shared" si="772"/>
        <v/>
      </c>
      <c r="AS1761" s="105" t="str">
        <f t="shared" si="773"/>
        <v/>
      </c>
      <c r="AT1761" s="108" t="str">
        <f t="shared" si="774"/>
        <v/>
      </c>
      <c r="AU1761" s="108" t="str">
        <f t="shared" si="775"/>
        <v/>
      </c>
      <c r="AV1761" s="107" t="str">
        <f>IF(ISNUMBER(O1761),IF(VLOOKUP($A1761,Stand!C:J,8,FALSE)="Short",AT1761,AU1761),"")</f>
        <v/>
      </c>
      <c r="AW1761" s="109" t="str">
        <f t="shared" si="781"/>
        <v/>
      </c>
      <c r="AX1761" s="109" t="str">
        <f t="shared" si="782"/>
        <v/>
      </c>
      <c r="AY1761" s="112" t="str">
        <f>IF(ISNUMBER(O1761),IF(AND(VLOOKUP($D1761,Merchantability!$B:$C,2,0)="Yes",$E1761&gt;=VLOOKUP($D1761,Merchantability!$B:$D,3,0),$E1761&lt;=VLOOKUP($D1761,Merchantability!$B:$E,4,0)),(AV1761*O1761)*(1-$H1761/100),""),"")</f>
        <v/>
      </c>
      <c r="AZ1761" s="116"/>
      <c r="BA1761" s="116"/>
      <c r="BB1761" s="116"/>
      <c r="BE1761" s="62"/>
      <c r="BF1761" s="63"/>
    </row>
    <row r="1762" spans="1:58" ht="12.75" customHeight="1" x14ac:dyDescent="0.25">
      <c r="A1762" s="334"/>
      <c r="B1762" s="334"/>
      <c r="C1762" s="332"/>
      <c r="D1762" s="334"/>
      <c r="E1762" s="335"/>
      <c r="F1762" s="334"/>
      <c r="G1762" s="332"/>
      <c r="H1762" s="332"/>
      <c r="I1762" s="334"/>
      <c r="J1762" s="336"/>
      <c r="K1762" s="332"/>
      <c r="L1762" s="332"/>
      <c r="M1762" s="76"/>
      <c r="N1762" s="103" t="str">
        <f>IF(A1762="","",VLOOKUP(A1762,Stand!C:K,9,0))</f>
        <v/>
      </c>
      <c r="O1762" s="104" t="str">
        <f t="shared" si="767"/>
        <v/>
      </c>
      <c r="P1762" s="105" t="str">
        <f t="shared" si="768"/>
        <v/>
      </c>
      <c r="Q1762" s="105" t="str">
        <f t="shared" si="783"/>
        <v/>
      </c>
      <c r="R1762" s="103" t="str">
        <f t="shared" si="769"/>
        <v/>
      </c>
      <c r="S1762" s="103" t="str">
        <f t="shared" si="770"/>
        <v/>
      </c>
      <c r="T1762" s="106" t="str">
        <f t="shared" si="784"/>
        <v/>
      </c>
      <c r="U1762" s="106" t="str">
        <f t="shared" si="785"/>
        <v/>
      </c>
      <c r="V1762" s="106" t="str">
        <f t="shared" si="786"/>
        <v/>
      </c>
      <c r="W1762" s="105" t="str">
        <f t="shared" si="771"/>
        <v/>
      </c>
      <c r="X1762" s="104" t="str">
        <f t="shared" si="776"/>
        <v/>
      </c>
      <c r="Y1762" s="104" t="str">
        <f t="array" ref="Y1762">IFERROR(IF(ISNUMBER(O1762),IF(COUNT(IF(A1762=$A$2:$A$2427,IF(D1762=$D$2:$D$2427,IF($X$2:$X$2427&gt;0,1))))&gt;0,SUM(IF(A1762=$A$2:$A$2427,IF(D1762=$D$2:$D$2427,$X$2:$X$2427)))/COUNT(IF(A1762=$A$2:$A$2427,IF(D1762=$D$2:$D$2427,IF(ISNUMBER($X$2:$X$2427),1)))),0),""),0)</f>
        <v/>
      </c>
      <c r="Z1762" s="104" t="str">
        <f>IF(ISNUMBER(O1762),IF(I1762&gt;0,(10^(VLOOKUP(D1762,'Species Codes'!B:C,2,0)+VLOOKUP(D1762,'Species Codes'!B:D,3,0)*LOG(E1762)+VLOOKUP(D1762,'Species Codes'!B:E,4,0)*LOG(I1762))),0),"")</f>
        <v/>
      </c>
      <c r="AA1762" s="104" t="str">
        <f>IFERROR((VLOOKUP(D1762,'Species Codes'!B:G,6,0)*Z1762)/2000,"")</f>
        <v/>
      </c>
      <c r="AB1762" s="104" t="e">
        <f>IF(Z1762&gt;0,((IF(OR(D1762="DF",D1762="RA")=TRUE,EXP(VLOOKUP(D1762,'Species Codes'!B:I,8,0)+VLOOKUP(D1762,'Species Codes'!B:J,9,0)*(LN((E1762*2.54)))),IF(OR(D1762="PY",D1762="RC",D1762="WH",D1762="NF")=TRUE,VLOOKUP(D1762,'Species Codes'!B:I,8,0)+VLOOKUP(D1762,'Species Codes'!B:J,9,0)*((E1762*2.54)^2)*(I1762*0.3048),IF(OR(D1762="MD",D1762="BM",D1762="GA")=TRUE,((VLOOKUP(D1762,'Species Codes'!B:I,8,0)*(((((E1762*2.54)+VLOOKUP(D1762,'Species Codes'!B:J,9,0))/VLOOKUP(D1762,'Species Codes'!B:K,10,0))^VLOOKUP(D1762,'Species Codes'!B:L,11,0))*((I1762*0.3048)^VLOOKUP(D1762,'Species Codes'!B:M,12,0))))-(VLOOKUP(D1762,'Species Codes'!B:I,8,0)*((((E1762*2.54)^VLOOKUP(D1762,'Species Codes'!B:L,11,0))*((I1762*0.3048)^VLOOKUP(D1762,'Species Codes'!B:M,12,0))))))*35.3*VLOOKUP(D1762,'Species Codes'!B:G,6,0)/2.2046,VLOOKUP(D1762,'Species Codes'!B:I,8,0)+VLOOKUP(D1762,'Species Codes'!B:J,9,0)*(((E1762*2.54)/100)^2)*(I1762*0.3048)))))*0.0011023),0)</f>
        <v>#N/A</v>
      </c>
      <c r="AC1762" s="104" t="e">
        <f>IF(Z1762&gt;0,((IF(OR(D1762="RA",D1762="OA",D1762="OT",D1762="UN",D1762="PC"),EXP(VLOOKUP(D1762,'Species Codes'!B:O,14,0)+VLOOKUP(D1762,'Species Codes'!B:P,15,0)*LN((E1762*2.54)))-EXP(VLOOKUP(D1762,'Species Codes'!B:O,14,0)+VLOOKUP(D1762,'Species Codes'!B:P,15,0)*LN((E1762*2.54)))*(1/(VLOOKUP(D1762,'Species Codes'!B:Q,16,0)+VLOOKUP(D1762,'Species Codes'!B:R,17,0)*((E1762*2.54)^VLOOKUP(D1762,'Species Codes'!B:S,18,0)))),IF(OR(D1762="BM",D1762="MD",D1762="OA"),EXP(VLOOKUP(D1762,'Species Codes'!B:O,14,0)+VLOOKUP(D1762,'Species Codes'!B:P,15,0)*LN((E1762*2.54)))*(1-(1/(VLOOKUP(D1762,'Species Codes'!B:Q,16,0)+VLOOKUP(D1762,'Species Codes'!B:R,17,0)*((E1762*2.54)^VLOOKUP(D1762,'Species Codes'!B:S,18,0)))))/1000,IF(D1762="DF",EXP(VLOOKUP(D1762,'Species Codes'!B:O,14,0)+VLOOKUP(D1762,'Species Codes'!B:P,15,0)*LN((E1762*2.54))),VLOOKUP(D1762,'Species Codes'!B:O,14,0)+VLOOKUP(D1762,'Species Codes'!B:P,15,0)*(((E1762*2.54)/100)^2)*(I1762*0.3048)))))*0.0011023),0)</f>
        <v>#N/A</v>
      </c>
      <c r="AD1762" s="104" t="e">
        <f t="shared" si="787"/>
        <v>#N/A</v>
      </c>
      <c r="AE1762" s="104" t="e">
        <f t="shared" si="788"/>
        <v>#N/A</v>
      </c>
      <c r="AF1762" s="104" t="e">
        <f>IF(AND(VLOOKUP($D1762,Merchantability!$B:$C,2,0)="Yes",$E1762&gt;=VLOOKUP($D1762,Merchantability!$B:$D,3,0),$E1762&lt;=VLOOKUP($D1762,Merchantability!$B:$E,4,0)),AA1762,0)</f>
        <v>#N/A</v>
      </c>
      <c r="AG1762" s="104" t="e">
        <f>IF(AND(VLOOKUP($D1762,Merchantability!$B:$C,2,0)="Yes",$E1762&gt;=VLOOKUP($D1762,Merchantability!$B:$D,3,0),$E1762&lt;=VLOOKUP($D1762,Merchantability!$B:$E,4,0)),AB1762,0)</f>
        <v>#N/A</v>
      </c>
      <c r="AH1762" s="104" t="e">
        <f>IF(AND(VLOOKUP($D1762,Merchantability!$B:$C,2,0)="Yes",$E1762&gt;=VLOOKUP($D1762,Merchantability!$B:$D,3,0),$E1762&lt;=VLOOKUP($D1762,Merchantability!$B:$E,4,0)),AC1762,0)</f>
        <v>#N/A</v>
      </c>
      <c r="AI1762" s="104" t="e">
        <f t="shared" si="789"/>
        <v>#N/A</v>
      </c>
      <c r="AJ1762" s="104" t="e">
        <f t="shared" si="790"/>
        <v>#VALUE!</v>
      </c>
      <c r="AK1762" s="104" t="e">
        <f t="shared" si="791"/>
        <v>#N/A</v>
      </c>
      <c r="AL1762" s="104" t="e">
        <f t="shared" si="792"/>
        <v>#N/A</v>
      </c>
      <c r="AM1762" s="104" t="e">
        <f t="shared" si="793"/>
        <v>#N/A</v>
      </c>
      <c r="AN1762" s="104" t="e">
        <f t="shared" si="777"/>
        <v>#N/A</v>
      </c>
      <c r="AO1762" s="104" t="e">
        <f t="shared" si="778"/>
        <v>#N/A</v>
      </c>
      <c r="AP1762" s="104" t="e">
        <f t="shared" si="779"/>
        <v>#N/A</v>
      </c>
      <c r="AQ1762" s="104" t="e">
        <f t="shared" si="780"/>
        <v>#N/A</v>
      </c>
      <c r="AR1762" s="105" t="str">
        <f t="shared" si="772"/>
        <v/>
      </c>
      <c r="AS1762" s="105" t="str">
        <f t="shared" si="773"/>
        <v/>
      </c>
      <c r="AT1762" s="108" t="str">
        <f t="shared" si="774"/>
        <v/>
      </c>
      <c r="AU1762" s="108" t="str">
        <f t="shared" si="775"/>
        <v/>
      </c>
      <c r="AV1762" s="107" t="str">
        <f>IF(ISNUMBER(O1762),IF(VLOOKUP($A1762,Stand!C:J,8,FALSE)="Short",AT1762,AU1762),"")</f>
        <v/>
      </c>
      <c r="AW1762" s="109" t="str">
        <f t="shared" si="781"/>
        <v/>
      </c>
      <c r="AX1762" s="109" t="str">
        <f t="shared" si="782"/>
        <v/>
      </c>
      <c r="AY1762" s="112" t="str">
        <f>IF(ISNUMBER(O1762),IF(AND(VLOOKUP($D1762,Merchantability!$B:$C,2,0)="Yes",$E1762&gt;=VLOOKUP($D1762,Merchantability!$B:$D,3,0),$E1762&lt;=VLOOKUP($D1762,Merchantability!$B:$E,4,0)),(AV1762*O1762)*(1-$H1762/100),""),"")</f>
        <v/>
      </c>
      <c r="AZ1762" s="116"/>
      <c r="BA1762" s="116"/>
      <c r="BB1762" s="116"/>
      <c r="BE1762" s="62"/>
      <c r="BF1762" s="63"/>
    </row>
    <row r="1763" spans="1:58" ht="12.75" customHeight="1" x14ac:dyDescent="0.25">
      <c r="A1763" s="334"/>
      <c r="B1763" s="334"/>
      <c r="C1763" s="332"/>
      <c r="D1763" s="334"/>
      <c r="E1763" s="335"/>
      <c r="F1763" s="334"/>
      <c r="G1763" s="332"/>
      <c r="H1763" s="332"/>
      <c r="I1763" s="334"/>
      <c r="J1763" s="336"/>
      <c r="K1763" s="332"/>
      <c r="L1763" s="332"/>
      <c r="M1763" s="76"/>
      <c r="N1763" s="103" t="str">
        <f>IF(A1763="","",VLOOKUP(A1763,Stand!C:K,9,0))</f>
        <v/>
      </c>
      <c r="O1763" s="104" t="str">
        <f t="shared" si="767"/>
        <v/>
      </c>
      <c r="P1763" s="105" t="str">
        <f t="shared" si="768"/>
        <v/>
      </c>
      <c r="Q1763" s="105" t="str">
        <f t="shared" si="783"/>
        <v/>
      </c>
      <c r="R1763" s="103" t="str">
        <f t="shared" si="769"/>
        <v/>
      </c>
      <c r="S1763" s="103" t="str">
        <f t="shared" si="770"/>
        <v/>
      </c>
      <c r="T1763" s="106" t="str">
        <f t="shared" si="784"/>
        <v/>
      </c>
      <c r="U1763" s="106" t="str">
        <f t="shared" si="785"/>
        <v/>
      </c>
      <c r="V1763" s="106" t="str">
        <f t="shared" si="786"/>
        <v/>
      </c>
      <c r="W1763" s="105" t="str">
        <f t="shared" si="771"/>
        <v/>
      </c>
      <c r="X1763" s="104" t="str">
        <f t="shared" si="776"/>
        <v/>
      </c>
      <c r="Y1763" s="104" t="str">
        <f t="array" ref="Y1763">IFERROR(IF(ISNUMBER(O1763),IF(COUNT(IF(A1763=$A$2:$A$2427,IF(D1763=$D$2:$D$2427,IF($X$2:$X$2427&gt;0,1))))&gt;0,SUM(IF(A1763=$A$2:$A$2427,IF(D1763=$D$2:$D$2427,$X$2:$X$2427)))/COUNT(IF(A1763=$A$2:$A$2427,IF(D1763=$D$2:$D$2427,IF(ISNUMBER($X$2:$X$2427),1)))),0),""),0)</f>
        <v/>
      </c>
      <c r="Z1763" s="104" t="str">
        <f>IF(ISNUMBER(O1763),IF(I1763&gt;0,(10^(VLOOKUP(D1763,'Species Codes'!B:C,2,0)+VLOOKUP(D1763,'Species Codes'!B:D,3,0)*LOG(E1763)+VLOOKUP(D1763,'Species Codes'!B:E,4,0)*LOG(I1763))),0),"")</f>
        <v/>
      </c>
      <c r="AA1763" s="104" t="str">
        <f>IFERROR((VLOOKUP(D1763,'Species Codes'!B:G,6,0)*Z1763)/2000,"")</f>
        <v/>
      </c>
      <c r="AB1763" s="104" t="e">
        <f>IF(Z1763&gt;0,((IF(OR(D1763="DF",D1763="RA")=TRUE,EXP(VLOOKUP(D1763,'Species Codes'!B:I,8,0)+VLOOKUP(D1763,'Species Codes'!B:J,9,0)*(LN((E1763*2.54)))),IF(OR(D1763="PY",D1763="RC",D1763="WH",D1763="NF")=TRUE,VLOOKUP(D1763,'Species Codes'!B:I,8,0)+VLOOKUP(D1763,'Species Codes'!B:J,9,0)*((E1763*2.54)^2)*(I1763*0.3048),IF(OR(D1763="MD",D1763="BM",D1763="GA")=TRUE,((VLOOKUP(D1763,'Species Codes'!B:I,8,0)*(((((E1763*2.54)+VLOOKUP(D1763,'Species Codes'!B:J,9,0))/VLOOKUP(D1763,'Species Codes'!B:K,10,0))^VLOOKUP(D1763,'Species Codes'!B:L,11,0))*((I1763*0.3048)^VLOOKUP(D1763,'Species Codes'!B:M,12,0))))-(VLOOKUP(D1763,'Species Codes'!B:I,8,0)*((((E1763*2.54)^VLOOKUP(D1763,'Species Codes'!B:L,11,0))*((I1763*0.3048)^VLOOKUP(D1763,'Species Codes'!B:M,12,0))))))*35.3*VLOOKUP(D1763,'Species Codes'!B:G,6,0)/2.2046,VLOOKUP(D1763,'Species Codes'!B:I,8,0)+VLOOKUP(D1763,'Species Codes'!B:J,9,0)*(((E1763*2.54)/100)^2)*(I1763*0.3048)))))*0.0011023),0)</f>
        <v>#N/A</v>
      </c>
      <c r="AC1763" s="104" t="e">
        <f>IF(Z1763&gt;0,((IF(OR(D1763="RA",D1763="OA",D1763="OT",D1763="UN",D1763="PC"),EXP(VLOOKUP(D1763,'Species Codes'!B:O,14,0)+VLOOKUP(D1763,'Species Codes'!B:P,15,0)*LN((E1763*2.54)))-EXP(VLOOKUP(D1763,'Species Codes'!B:O,14,0)+VLOOKUP(D1763,'Species Codes'!B:P,15,0)*LN((E1763*2.54)))*(1/(VLOOKUP(D1763,'Species Codes'!B:Q,16,0)+VLOOKUP(D1763,'Species Codes'!B:R,17,0)*((E1763*2.54)^VLOOKUP(D1763,'Species Codes'!B:S,18,0)))),IF(OR(D1763="BM",D1763="MD",D1763="OA"),EXP(VLOOKUP(D1763,'Species Codes'!B:O,14,0)+VLOOKUP(D1763,'Species Codes'!B:P,15,0)*LN((E1763*2.54)))*(1-(1/(VLOOKUP(D1763,'Species Codes'!B:Q,16,0)+VLOOKUP(D1763,'Species Codes'!B:R,17,0)*((E1763*2.54)^VLOOKUP(D1763,'Species Codes'!B:S,18,0)))))/1000,IF(D1763="DF",EXP(VLOOKUP(D1763,'Species Codes'!B:O,14,0)+VLOOKUP(D1763,'Species Codes'!B:P,15,0)*LN((E1763*2.54))),VLOOKUP(D1763,'Species Codes'!B:O,14,0)+VLOOKUP(D1763,'Species Codes'!B:P,15,0)*(((E1763*2.54)/100)^2)*(I1763*0.3048)))))*0.0011023),0)</f>
        <v>#N/A</v>
      </c>
      <c r="AD1763" s="104" t="e">
        <f t="shared" si="787"/>
        <v>#N/A</v>
      </c>
      <c r="AE1763" s="104" t="e">
        <f t="shared" si="788"/>
        <v>#N/A</v>
      </c>
      <c r="AF1763" s="104" t="e">
        <f>IF(AND(VLOOKUP($D1763,Merchantability!$B:$C,2,0)="Yes",$E1763&gt;=VLOOKUP($D1763,Merchantability!$B:$D,3,0),$E1763&lt;=VLOOKUP($D1763,Merchantability!$B:$E,4,0)),AA1763,0)</f>
        <v>#N/A</v>
      </c>
      <c r="AG1763" s="104" t="e">
        <f>IF(AND(VLOOKUP($D1763,Merchantability!$B:$C,2,0)="Yes",$E1763&gt;=VLOOKUP($D1763,Merchantability!$B:$D,3,0),$E1763&lt;=VLOOKUP($D1763,Merchantability!$B:$E,4,0)),AB1763,0)</f>
        <v>#N/A</v>
      </c>
      <c r="AH1763" s="104" t="e">
        <f>IF(AND(VLOOKUP($D1763,Merchantability!$B:$C,2,0)="Yes",$E1763&gt;=VLOOKUP($D1763,Merchantability!$B:$D,3,0),$E1763&lt;=VLOOKUP($D1763,Merchantability!$B:$E,4,0)),AC1763,0)</f>
        <v>#N/A</v>
      </c>
      <c r="AI1763" s="104" t="e">
        <f t="shared" si="789"/>
        <v>#N/A</v>
      </c>
      <c r="AJ1763" s="104" t="e">
        <f t="shared" si="790"/>
        <v>#VALUE!</v>
      </c>
      <c r="AK1763" s="104" t="e">
        <f t="shared" si="791"/>
        <v>#N/A</v>
      </c>
      <c r="AL1763" s="104" t="e">
        <f t="shared" si="792"/>
        <v>#N/A</v>
      </c>
      <c r="AM1763" s="104" t="e">
        <f t="shared" si="793"/>
        <v>#N/A</v>
      </c>
      <c r="AN1763" s="104" t="e">
        <f t="shared" si="777"/>
        <v>#N/A</v>
      </c>
      <c r="AO1763" s="104" t="e">
        <f t="shared" si="778"/>
        <v>#N/A</v>
      </c>
      <c r="AP1763" s="104" t="e">
        <f t="shared" si="779"/>
        <v>#N/A</v>
      </c>
      <c r="AQ1763" s="104" t="e">
        <f t="shared" si="780"/>
        <v>#N/A</v>
      </c>
      <c r="AR1763" s="105" t="str">
        <f t="shared" si="772"/>
        <v/>
      </c>
      <c r="AS1763" s="105" t="str">
        <f t="shared" si="773"/>
        <v/>
      </c>
      <c r="AT1763" s="108" t="str">
        <f t="shared" si="774"/>
        <v/>
      </c>
      <c r="AU1763" s="108" t="str">
        <f t="shared" si="775"/>
        <v/>
      </c>
      <c r="AV1763" s="107" t="str">
        <f>IF(ISNUMBER(O1763),IF(VLOOKUP($A1763,Stand!C:J,8,FALSE)="Short",AT1763,AU1763),"")</f>
        <v/>
      </c>
      <c r="AW1763" s="109" t="str">
        <f t="shared" si="781"/>
        <v/>
      </c>
      <c r="AX1763" s="109" t="str">
        <f t="shared" si="782"/>
        <v/>
      </c>
      <c r="AY1763" s="112" t="str">
        <f>IF(ISNUMBER(O1763),IF(AND(VLOOKUP($D1763,Merchantability!$B:$C,2,0)="Yes",$E1763&gt;=VLOOKUP($D1763,Merchantability!$B:$D,3,0),$E1763&lt;=VLOOKUP($D1763,Merchantability!$B:$E,4,0)),(AV1763*O1763)*(1-$H1763/100),""),"")</f>
        <v/>
      </c>
      <c r="AZ1763" s="116"/>
      <c r="BA1763" s="116"/>
      <c r="BB1763" s="116"/>
      <c r="BE1763" s="62"/>
      <c r="BF1763" s="63"/>
    </row>
    <row r="1764" spans="1:58" ht="12.75" customHeight="1" x14ac:dyDescent="0.25">
      <c r="A1764" s="334"/>
      <c r="B1764" s="334"/>
      <c r="C1764" s="332"/>
      <c r="D1764" s="334"/>
      <c r="E1764" s="335"/>
      <c r="F1764" s="334"/>
      <c r="G1764" s="332"/>
      <c r="H1764" s="332"/>
      <c r="I1764" s="334"/>
      <c r="J1764" s="336"/>
      <c r="K1764" s="332"/>
      <c r="L1764" s="332"/>
      <c r="M1764" s="76"/>
      <c r="N1764" s="103" t="str">
        <f>IF(A1764="","",VLOOKUP(A1764,Stand!C:K,9,0))</f>
        <v/>
      </c>
      <c r="O1764" s="104" t="str">
        <f t="shared" si="767"/>
        <v/>
      </c>
      <c r="P1764" s="105" t="str">
        <f t="shared" si="768"/>
        <v/>
      </c>
      <c r="Q1764" s="105" t="str">
        <f t="shared" si="783"/>
        <v/>
      </c>
      <c r="R1764" s="103" t="str">
        <f t="shared" si="769"/>
        <v/>
      </c>
      <c r="S1764" s="103" t="str">
        <f t="shared" si="770"/>
        <v/>
      </c>
      <c r="T1764" s="106" t="str">
        <f t="shared" si="784"/>
        <v/>
      </c>
      <c r="U1764" s="106" t="str">
        <f t="shared" si="785"/>
        <v/>
      </c>
      <c r="V1764" s="106" t="str">
        <f t="shared" si="786"/>
        <v/>
      </c>
      <c r="W1764" s="105" t="str">
        <f t="shared" si="771"/>
        <v/>
      </c>
      <c r="X1764" s="104" t="str">
        <f t="shared" si="776"/>
        <v/>
      </c>
      <c r="Y1764" s="104" t="str">
        <f t="array" ref="Y1764">IFERROR(IF(ISNUMBER(O1764),IF(COUNT(IF(A1764=$A$2:$A$2427,IF(D1764=$D$2:$D$2427,IF($X$2:$X$2427&gt;0,1))))&gt;0,SUM(IF(A1764=$A$2:$A$2427,IF(D1764=$D$2:$D$2427,$X$2:$X$2427)))/COUNT(IF(A1764=$A$2:$A$2427,IF(D1764=$D$2:$D$2427,IF(ISNUMBER($X$2:$X$2427),1)))),0),""),0)</f>
        <v/>
      </c>
      <c r="Z1764" s="104" t="str">
        <f>IF(ISNUMBER(O1764),IF(I1764&gt;0,(10^(VLOOKUP(D1764,'Species Codes'!B:C,2,0)+VLOOKUP(D1764,'Species Codes'!B:D,3,0)*LOG(E1764)+VLOOKUP(D1764,'Species Codes'!B:E,4,0)*LOG(I1764))),0),"")</f>
        <v/>
      </c>
      <c r="AA1764" s="104" t="str">
        <f>IFERROR((VLOOKUP(D1764,'Species Codes'!B:G,6,0)*Z1764)/2000,"")</f>
        <v/>
      </c>
      <c r="AB1764" s="104" t="e">
        <f>IF(Z1764&gt;0,((IF(OR(D1764="DF",D1764="RA")=TRUE,EXP(VLOOKUP(D1764,'Species Codes'!B:I,8,0)+VLOOKUP(D1764,'Species Codes'!B:J,9,0)*(LN((E1764*2.54)))),IF(OR(D1764="PY",D1764="RC",D1764="WH",D1764="NF")=TRUE,VLOOKUP(D1764,'Species Codes'!B:I,8,0)+VLOOKUP(D1764,'Species Codes'!B:J,9,0)*((E1764*2.54)^2)*(I1764*0.3048),IF(OR(D1764="MD",D1764="BM",D1764="GA")=TRUE,((VLOOKUP(D1764,'Species Codes'!B:I,8,0)*(((((E1764*2.54)+VLOOKUP(D1764,'Species Codes'!B:J,9,0))/VLOOKUP(D1764,'Species Codes'!B:K,10,0))^VLOOKUP(D1764,'Species Codes'!B:L,11,0))*((I1764*0.3048)^VLOOKUP(D1764,'Species Codes'!B:M,12,0))))-(VLOOKUP(D1764,'Species Codes'!B:I,8,0)*((((E1764*2.54)^VLOOKUP(D1764,'Species Codes'!B:L,11,0))*((I1764*0.3048)^VLOOKUP(D1764,'Species Codes'!B:M,12,0))))))*35.3*VLOOKUP(D1764,'Species Codes'!B:G,6,0)/2.2046,VLOOKUP(D1764,'Species Codes'!B:I,8,0)+VLOOKUP(D1764,'Species Codes'!B:J,9,0)*(((E1764*2.54)/100)^2)*(I1764*0.3048)))))*0.0011023),0)</f>
        <v>#N/A</v>
      </c>
      <c r="AC1764" s="104" t="e">
        <f>IF(Z1764&gt;0,((IF(OR(D1764="RA",D1764="OA",D1764="OT",D1764="UN",D1764="PC"),EXP(VLOOKUP(D1764,'Species Codes'!B:O,14,0)+VLOOKUP(D1764,'Species Codes'!B:P,15,0)*LN((E1764*2.54)))-EXP(VLOOKUP(D1764,'Species Codes'!B:O,14,0)+VLOOKUP(D1764,'Species Codes'!B:P,15,0)*LN((E1764*2.54)))*(1/(VLOOKUP(D1764,'Species Codes'!B:Q,16,0)+VLOOKUP(D1764,'Species Codes'!B:R,17,0)*((E1764*2.54)^VLOOKUP(D1764,'Species Codes'!B:S,18,0)))),IF(OR(D1764="BM",D1764="MD",D1764="OA"),EXP(VLOOKUP(D1764,'Species Codes'!B:O,14,0)+VLOOKUP(D1764,'Species Codes'!B:P,15,0)*LN((E1764*2.54)))*(1-(1/(VLOOKUP(D1764,'Species Codes'!B:Q,16,0)+VLOOKUP(D1764,'Species Codes'!B:R,17,0)*((E1764*2.54)^VLOOKUP(D1764,'Species Codes'!B:S,18,0)))))/1000,IF(D1764="DF",EXP(VLOOKUP(D1764,'Species Codes'!B:O,14,0)+VLOOKUP(D1764,'Species Codes'!B:P,15,0)*LN((E1764*2.54))),VLOOKUP(D1764,'Species Codes'!B:O,14,0)+VLOOKUP(D1764,'Species Codes'!B:P,15,0)*(((E1764*2.54)/100)^2)*(I1764*0.3048)))))*0.0011023),0)</f>
        <v>#N/A</v>
      </c>
      <c r="AD1764" s="104" t="e">
        <f t="shared" si="787"/>
        <v>#N/A</v>
      </c>
      <c r="AE1764" s="104" t="e">
        <f t="shared" si="788"/>
        <v>#N/A</v>
      </c>
      <c r="AF1764" s="104" t="e">
        <f>IF(AND(VLOOKUP($D1764,Merchantability!$B:$C,2,0)="Yes",$E1764&gt;=VLOOKUP($D1764,Merchantability!$B:$D,3,0),$E1764&lt;=VLOOKUP($D1764,Merchantability!$B:$E,4,0)),AA1764,0)</f>
        <v>#N/A</v>
      </c>
      <c r="AG1764" s="104" t="e">
        <f>IF(AND(VLOOKUP($D1764,Merchantability!$B:$C,2,0)="Yes",$E1764&gt;=VLOOKUP($D1764,Merchantability!$B:$D,3,0),$E1764&lt;=VLOOKUP($D1764,Merchantability!$B:$E,4,0)),AB1764,0)</f>
        <v>#N/A</v>
      </c>
      <c r="AH1764" s="104" t="e">
        <f>IF(AND(VLOOKUP($D1764,Merchantability!$B:$C,2,0)="Yes",$E1764&gt;=VLOOKUP($D1764,Merchantability!$B:$D,3,0),$E1764&lt;=VLOOKUP($D1764,Merchantability!$B:$E,4,0)),AC1764,0)</f>
        <v>#N/A</v>
      </c>
      <c r="AI1764" s="104" t="e">
        <f t="shared" si="789"/>
        <v>#N/A</v>
      </c>
      <c r="AJ1764" s="104" t="e">
        <f t="shared" si="790"/>
        <v>#VALUE!</v>
      </c>
      <c r="AK1764" s="104" t="e">
        <f t="shared" si="791"/>
        <v>#N/A</v>
      </c>
      <c r="AL1764" s="104" t="e">
        <f t="shared" si="792"/>
        <v>#N/A</v>
      </c>
      <c r="AM1764" s="104" t="e">
        <f t="shared" si="793"/>
        <v>#N/A</v>
      </c>
      <c r="AN1764" s="104" t="e">
        <f t="shared" si="777"/>
        <v>#N/A</v>
      </c>
      <c r="AO1764" s="104" t="e">
        <f t="shared" si="778"/>
        <v>#N/A</v>
      </c>
      <c r="AP1764" s="104" t="e">
        <f t="shared" si="779"/>
        <v>#N/A</v>
      </c>
      <c r="AQ1764" s="104" t="e">
        <f t="shared" si="780"/>
        <v>#N/A</v>
      </c>
      <c r="AR1764" s="105" t="str">
        <f t="shared" si="772"/>
        <v/>
      </c>
      <c r="AS1764" s="105" t="str">
        <f t="shared" si="773"/>
        <v/>
      </c>
      <c r="AT1764" s="108" t="str">
        <f t="shared" si="774"/>
        <v/>
      </c>
      <c r="AU1764" s="108" t="str">
        <f t="shared" si="775"/>
        <v/>
      </c>
      <c r="AV1764" s="107" t="str">
        <f>IF(ISNUMBER(O1764),IF(VLOOKUP($A1764,Stand!C:J,8,FALSE)="Short",AT1764,AU1764),"")</f>
        <v/>
      </c>
      <c r="AW1764" s="109" t="str">
        <f t="shared" si="781"/>
        <v/>
      </c>
      <c r="AX1764" s="109" t="str">
        <f t="shared" si="782"/>
        <v/>
      </c>
      <c r="AY1764" s="112" t="str">
        <f>IF(ISNUMBER(O1764),IF(AND(VLOOKUP($D1764,Merchantability!$B:$C,2,0)="Yes",$E1764&gt;=VLOOKUP($D1764,Merchantability!$B:$D,3,0),$E1764&lt;=VLOOKUP($D1764,Merchantability!$B:$E,4,0)),(AV1764*O1764)*(1-$H1764/100),""),"")</f>
        <v/>
      </c>
      <c r="AZ1764" s="116"/>
      <c r="BA1764" s="116"/>
      <c r="BB1764" s="116"/>
      <c r="BE1764" s="62"/>
      <c r="BF1764" s="63"/>
    </row>
    <row r="1765" spans="1:58" ht="12.75" customHeight="1" x14ac:dyDescent="0.25">
      <c r="A1765" s="334"/>
      <c r="B1765" s="334"/>
      <c r="C1765" s="332"/>
      <c r="D1765" s="334"/>
      <c r="E1765" s="335"/>
      <c r="F1765" s="334"/>
      <c r="G1765" s="332"/>
      <c r="H1765" s="332"/>
      <c r="I1765" s="334"/>
      <c r="J1765" s="336"/>
      <c r="K1765" s="332"/>
      <c r="L1765" s="332"/>
      <c r="M1765" s="76"/>
      <c r="N1765" s="103" t="str">
        <f>IF(A1765="","",VLOOKUP(A1765,Stand!C:K,9,0))</f>
        <v/>
      </c>
      <c r="O1765" s="104" t="str">
        <f t="shared" si="767"/>
        <v/>
      </c>
      <c r="P1765" s="105" t="str">
        <f t="shared" si="768"/>
        <v/>
      </c>
      <c r="Q1765" s="105" t="str">
        <f t="shared" si="783"/>
        <v/>
      </c>
      <c r="R1765" s="103" t="str">
        <f t="shared" si="769"/>
        <v/>
      </c>
      <c r="S1765" s="103" t="str">
        <f t="shared" si="770"/>
        <v/>
      </c>
      <c r="T1765" s="106" t="str">
        <f t="shared" si="784"/>
        <v/>
      </c>
      <c r="U1765" s="106" t="str">
        <f t="shared" si="785"/>
        <v/>
      </c>
      <c r="V1765" s="106" t="str">
        <f t="shared" si="786"/>
        <v/>
      </c>
      <c r="W1765" s="105" t="str">
        <f t="shared" si="771"/>
        <v/>
      </c>
      <c r="X1765" s="104" t="str">
        <f t="shared" si="776"/>
        <v/>
      </c>
      <c r="Y1765" s="104" t="str">
        <f t="array" ref="Y1765">IFERROR(IF(ISNUMBER(O1765),IF(COUNT(IF(A1765=$A$2:$A$2427,IF(D1765=$D$2:$D$2427,IF($X$2:$X$2427&gt;0,1))))&gt;0,SUM(IF(A1765=$A$2:$A$2427,IF(D1765=$D$2:$D$2427,$X$2:$X$2427)))/COUNT(IF(A1765=$A$2:$A$2427,IF(D1765=$D$2:$D$2427,IF(ISNUMBER($X$2:$X$2427),1)))),0),""),0)</f>
        <v/>
      </c>
      <c r="Z1765" s="104" t="str">
        <f>IF(ISNUMBER(O1765),IF(I1765&gt;0,(10^(VLOOKUP(D1765,'Species Codes'!B:C,2,0)+VLOOKUP(D1765,'Species Codes'!B:D,3,0)*LOG(E1765)+VLOOKUP(D1765,'Species Codes'!B:E,4,0)*LOG(I1765))),0),"")</f>
        <v/>
      </c>
      <c r="AA1765" s="104" t="str">
        <f>IFERROR((VLOOKUP(D1765,'Species Codes'!B:G,6,0)*Z1765)/2000,"")</f>
        <v/>
      </c>
      <c r="AB1765" s="104" t="e">
        <f>IF(Z1765&gt;0,((IF(OR(D1765="DF",D1765="RA")=TRUE,EXP(VLOOKUP(D1765,'Species Codes'!B:I,8,0)+VLOOKUP(D1765,'Species Codes'!B:J,9,0)*(LN((E1765*2.54)))),IF(OR(D1765="PY",D1765="RC",D1765="WH",D1765="NF")=TRUE,VLOOKUP(D1765,'Species Codes'!B:I,8,0)+VLOOKUP(D1765,'Species Codes'!B:J,9,0)*((E1765*2.54)^2)*(I1765*0.3048),IF(OR(D1765="MD",D1765="BM",D1765="GA")=TRUE,((VLOOKUP(D1765,'Species Codes'!B:I,8,0)*(((((E1765*2.54)+VLOOKUP(D1765,'Species Codes'!B:J,9,0))/VLOOKUP(D1765,'Species Codes'!B:K,10,0))^VLOOKUP(D1765,'Species Codes'!B:L,11,0))*((I1765*0.3048)^VLOOKUP(D1765,'Species Codes'!B:M,12,0))))-(VLOOKUP(D1765,'Species Codes'!B:I,8,0)*((((E1765*2.54)^VLOOKUP(D1765,'Species Codes'!B:L,11,0))*((I1765*0.3048)^VLOOKUP(D1765,'Species Codes'!B:M,12,0))))))*35.3*VLOOKUP(D1765,'Species Codes'!B:G,6,0)/2.2046,VLOOKUP(D1765,'Species Codes'!B:I,8,0)+VLOOKUP(D1765,'Species Codes'!B:J,9,0)*(((E1765*2.54)/100)^2)*(I1765*0.3048)))))*0.0011023),0)</f>
        <v>#N/A</v>
      </c>
      <c r="AC1765" s="104" t="e">
        <f>IF(Z1765&gt;0,((IF(OR(D1765="RA",D1765="OA",D1765="OT",D1765="UN",D1765="PC"),EXP(VLOOKUP(D1765,'Species Codes'!B:O,14,0)+VLOOKUP(D1765,'Species Codes'!B:P,15,0)*LN((E1765*2.54)))-EXP(VLOOKUP(D1765,'Species Codes'!B:O,14,0)+VLOOKUP(D1765,'Species Codes'!B:P,15,0)*LN((E1765*2.54)))*(1/(VLOOKUP(D1765,'Species Codes'!B:Q,16,0)+VLOOKUP(D1765,'Species Codes'!B:R,17,0)*((E1765*2.54)^VLOOKUP(D1765,'Species Codes'!B:S,18,0)))),IF(OR(D1765="BM",D1765="MD",D1765="OA"),EXP(VLOOKUP(D1765,'Species Codes'!B:O,14,0)+VLOOKUP(D1765,'Species Codes'!B:P,15,0)*LN((E1765*2.54)))*(1-(1/(VLOOKUP(D1765,'Species Codes'!B:Q,16,0)+VLOOKUP(D1765,'Species Codes'!B:R,17,0)*((E1765*2.54)^VLOOKUP(D1765,'Species Codes'!B:S,18,0)))))/1000,IF(D1765="DF",EXP(VLOOKUP(D1765,'Species Codes'!B:O,14,0)+VLOOKUP(D1765,'Species Codes'!B:P,15,0)*LN((E1765*2.54))),VLOOKUP(D1765,'Species Codes'!B:O,14,0)+VLOOKUP(D1765,'Species Codes'!B:P,15,0)*(((E1765*2.54)/100)^2)*(I1765*0.3048)))))*0.0011023),0)</f>
        <v>#N/A</v>
      </c>
      <c r="AD1765" s="104" t="e">
        <f t="shared" si="787"/>
        <v>#N/A</v>
      </c>
      <c r="AE1765" s="104" t="e">
        <f t="shared" si="788"/>
        <v>#N/A</v>
      </c>
      <c r="AF1765" s="104" t="e">
        <f>IF(AND(VLOOKUP($D1765,Merchantability!$B:$C,2,0)="Yes",$E1765&gt;=VLOOKUP($D1765,Merchantability!$B:$D,3,0),$E1765&lt;=VLOOKUP($D1765,Merchantability!$B:$E,4,0)),AA1765,0)</f>
        <v>#N/A</v>
      </c>
      <c r="AG1765" s="104" t="e">
        <f>IF(AND(VLOOKUP($D1765,Merchantability!$B:$C,2,0)="Yes",$E1765&gt;=VLOOKUP($D1765,Merchantability!$B:$D,3,0),$E1765&lt;=VLOOKUP($D1765,Merchantability!$B:$E,4,0)),AB1765,0)</f>
        <v>#N/A</v>
      </c>
      <c r="AH1765" s="104" t="e">
        <f>IF(AND(VLOOKUP($D1765,Merchantability!$B:$C,2,0)="Yes",$E1765&gt;=VLOOKUP($D1765,Merchantability!$B:$D,3,0),$E1765&lt;=VLOOKUP($D1765,Merchantability!$B:$E,4,0)),AC1765,0)</f>
        <v>#N/A</v>
      </c>
      <c r="AI1765" s="104" t="e">
        <f t="shared" si="789"/>
        <v>#N/A</v>
      </c>
      <c r="AJ1765" s="104" t="e">
        <f t="shared" si="790"/>
        <v>#VALUE!</v>
      </c>
      <c r="AK1765" s="104" t="e">
        <f t="shared" si="791"/>
        <v>#N/A</v>
      </c>
      <c r="AL1765" s="104" t="e">
        <f t="shared" si="792"/>
        <v>#N/A</v>
      </c>
      <c r="AM1765" s="104" t="e">
        <f t="shared" si="793"/>
        <v>#N/A</v>
      </c>
      <c r="AN1765" s="104" t="e">
        <f t="shared" si="777"/>
        <v>#N/A</v>
      </c>
      <c r="AO1765" s="104" t="e">
        <f t="shared" si="778"/>
        <v>#N/A</v>
      </c>
      <c r="AP1765" s="104" t="e">
        <f t="shared" si="779"/>
        <v>#N/A</v>
      </c>
      <c r="AQ1765" s="104" t="e">
        <f t="shared" si="780"/>
        <v>#N/A</v>
      </c>
      <c r="AR1765" s="105" t="str">
        <f t="shared" si="772"/>
        <v/>
      </c>
      <c r="AS1765" s="105" t="str">
        <f t="shared" si="773"/>
        <v/>
      </c>
      <c r="AT1765" s="108" t="str">
        <f t="shared" si="774"/>
        <v/>
      </c>
      <c r="AU1765" s="108" t="str">
        <f t="shared" si="775"/>
        <v/>
      </c>
      <c r="AV1765" s="107" t="str">
        <f>IF(ISNUMBER(O1765),IF(VLOOKUP($A1765,Stand!C:J,8,FALSE)="Short",AT1765,AU1765),"")</f>
        <v/>
      </c>
      <c r="AW1765" s="109" t="str">
        <f t="shared" si="781"/>
        <v/>
      </c>
      <c r="AX1765" s="109" t="str">
        <f t="shared" si="782"/>
        <v/>
      </c>
      <c r="AY1765" s="112" t="str">
        <f>IF(ISNUMBER(O1765),IF(AND(VLOOKUP($D1765,Merchantability!$B:$C,2,0)="Yes",$E1765&gt;=VLOOKUP($D1765,Merchantability!$B:$D,3,0),$E1765&lt;=VLOOKUP($D1765,Merchantability!$B:$E,4,0)),(AV1765*O1765)*(1-$H1765/100),""),"")</f>
        <v/>
      </c>
      <c r="AZ1765" s="116"/>
      <c r="BA1765" s="116"/>
      <c r="BB1765" s="116"/>
      <c r="BE1765" s="62"/>
      <c r="BF1765" s="63"/>
    </row>
    <row r="1766" spans="1:58" ht="12.75" customHeight="1" x14ac:dyDescent="0.25">
      <c r="A1766" s="334"/>
      <c r="B1766" s="334"/>
      <c r="C1766" s="332"/>
      <c r="D1766" s="334"/>
      <c r="E1766" s="335"/>
      <c r="F1766" s="334"/>
      <c r="G1766" s="332"/>
      <c r="H1766" s="332"/>
      <c r="I1766" s="334"/>
      <c r="J1766" s="336"/>
      <c r="K1766" s="332"/>
      <c r="L1766" s="332"/>
      <c r="M1766" s="76"/>
      <c r="N1766" s="103" t="str">
        <f>IF(A1766="","",VLOOKUP(A1766,Stand!C:K,9,0))</f>
        <v/>
      </c>
      <c r="O1766" s="104" t="str">
        <f t="shared" si="767"/>
        <v/>
      </c>
      <c r="P1766" s="105" t="str">
        <f t="shared" si="768"/>
        <v/>
      </c>
      <c r="Q1766" s="105" t="str">
        <f t="shared" si="783"/>
        <v/>
      </c>
      <c r="R1766" s="103" t="str">
        <f t="shared" si="769"/>
        <v/>
      </c>
      <c r="S1766" s="103" t="str">
        <f t="shared" si="770"/>
        <v/>
      </c>
      <c r="T1766" s="106" t="str">
        <f t="shared" si="784"/>
        <v/>
      </c>
      <c r="U1766" s="106" t="str">
        <f t="shared" si="785"/>
        <v/>
      </c>
      <c r="V1766" s="106" t="str">
        <f t="shared" si="786"/>
        <v/>
      </c>
      <c r="W1766" s="105" t="str">
        <f t="shared" si="771"/>
        <v/>
      </c>
      <c r="X1766" s="104" t="str">
        <f t="shared" si="776"/>
        <v/>
      </c>
      <c r="Y1766" s="104" t="str">
        <f t="array" ref="Y1766">IFERROR(IF(ISNUMBER(O1766),IF(COUNT(IF(A1766=$A$2:$A$2427,IF(D1766=$D$2:$D$2427,IF($X$2:$X$2427&gt;0,1))))&gt;0,SUM(IF(A1766=$A$2:$A$2427,IF(D1766=$D$2:$D$2427,$X$2:$X$2427)))/COUNT(IF(A1766=$A$2:$A$2427,IF(D1766=$D$2:$D$2427,IF(ISNUMBER($X$2:$X$2427),1)))),0),""),0)</f>
        <v/>
      </c>
      <c r="Z1766" s="104" t="str">
        <f>IF(ISNUMBER(O1766),IF(I1766&gt;0,(10^(VLOOKUP(D1766,'Species Codes'!B:C,2,0)+VLOOKUP(D1766,'Species Codes'!B:D,3,0)*LOG(E1766)+VLOOKUP(D1766,'Species Codes'!B:E,4,0)*LOG(I1766))),0),"")</f>
        <v/>
      </c>
      <c r="AA1766" s="104" t="str">
        <f>IFERROR((VLOOKUP(D1766,'Species Codes'!B:G,6,0)*Z1766)/2000,"")</f>
        <v/>
      </c>
      <c r="AB1766" s="104" t="e">
        <f>IF(Z1766&gt;0,((IF(OR(D1766="DF",D1766="RA")=TRUE,EXP(VLOOKUP(D1766,'Species Codes'!B:I,8,0)+VLOOKUP(D1766,'Species Codes'!B:J,9,0)*(LN((E1766*2.54)))),IF(OR(D1766="PY",D1766="RC",D1766="WH",D1766="NF")=TRUE,VLOOKUP(D1766,'Species Codes'!B:I,8,0)+VLOOKUP(D1766,'Species Codes'!B:J,9,0)*((E1766*2.54)^2)*(I1766*0.3048),IF(OR(D1766="MD",D1766="BM",D1766="GA")=TRUE,((VLOOKUP(D1766,'Species Codes'!B:I,8,0)*(((((E1766*2.54)+VLOOKUP(D1766,'Species Codes'!B:J,9,0))/VLOOKUP(D1766,'Species Codes'!B:K,10,0))^VLOOKUP(D1766,'Species Codes'!B:L,11,0))*((I1766*0.3048)^VLOOKUP(D1766,'Species Codes'!B:M,12,0))))-(VLOOKUP(D1766,'Species Codes'!B:I,8,0)*((((E1766*2.54)^VLOOKUP(D1766,'Species Codes'!B:L,11,0))*((I1766*0.3048)^VLOOKUP(D1766,'Species Codes'!B:M,12,0))))))*35.3*VLOOKUP(D1766,'Species Codes'!B:G,6,0)/2.2046,VLOOKUP(D1766,'Species Codes'!B:I,8,0)+VLOOKUP(D1766,'Species Codes'!B:J,9,0)*(((E1766*2.54)/100)^2)*(I1766*0.3048)))))*0.0011023),0)</f>
        <v>#N/A</v>
      </c>
      <c r="AC1766" s="104" t="e">
        <f>IF(Z1766&gt;0,((IF(OR(D1766="RA",D1766="OA",D1766="OT",D1766="UN",D1766="PC"),EXP(VLOOKUP(D1766,'Species Codes'!B:O,14,0)+VLOOKUP(D1766,'Species Codes'!B:P,15,0)*LN((E1766*2.54)))-EXP(VLOOKUP(D1766,'Species Codes'!B:O,14,0)+VLOOKUP(D1766,'Species Codes'!B:P,15,0)*LN((E1766*2.54)))*(1/(VLOOKUP(D1766,'Species Codes'!B:Q,16,0)+VLOOKUP(D1766,'Species Codes'!B:R,17,0)*((E1766*2.54)^VLOOKUP(D1766,'Species Codes'!B:S,18,0)))),IF(OR(D1766="BM",D1766="MD",D1766="OA"),EXP(VLOOKUP(D1766,'Species Codes'!B:O,14,0)+VLOOKUP(D1766,'Species Codes'!B:P,15,0)*LN((E1766*2.54)))*(1-(1/(VLOOKUP(D1766,'Species Codes'!B:Q,16,0)+VLOOKUP(D1766,'Species Codes'!B:R,17,0)*((E1766*2.54)^VLOOKUP(D1766,'Species Codes'!B:S,18,0)))))/1000,IF(D1766="DF",EXP(VLOOKUP(D1766,'Species Codes'!B:O,14,0)+VLOOKUP(D1766,'Species Codes'!B:P,15,0)*LN((E1766*2.54))),VLOOKUP(D1766,'Species Codes'!B:O,14,0)+VLOOKUP(D1766,'Species Codes'!B:P,15,0)*(((E1766*2.54)/100)^2)*(I1766*0.3048)))))*0.0011023),0)</f>
        <v>#N/A</v>
      </c>
      <c r="AD1766" s="104" t="e">
        <f t="shared" si="787"/>
        <v>#N/A</v>
      </c>
      <c r="AE1766" s="104" t="e">
        <f t="shared" si="788"/>
        <v>#N/A</v>
      </c>
      <c r="AF1766" s="104" t="e">
        <f>IF(AND(VLOOKUP($D1766,Merchantability!$B:$C,2,0)="Yes",$E1766&gt;=VLOOKUP($D1766,Merchantability!$B:$D,3,0),$E1766&lt;=VLOOKUP($D1766,Merchantability!$B:$E,4,0)),AA1766,0)</f>
        <v>#N/A</v>
      </c>
      <c r="AG1766" s="104" t="e">
        <f>IF(AND(VLOOKUP($D1766,Merchantability!$B:$C,2,0)="Yes",$E1766&gt;=VLOOKUP($D1766,Merchantability!$B:$D,3,0),$E1766&lt;=VLOOKUP($D1766,Merchantability!$B:$E,4,0)),AB1766,0)</f>
        <v>#N/A</v>
      </c>
      <c r="AH1766" s="104" t="e">
        <f>IF(AND(VLOOKUP($D1766,Merchantability!$B:$C,2,0)="Yes",$E1766&gt;=VLOOKUP($D1766,Merchantability!$B:$D,3,0),$E1766&lt;=VLOOKUP($D1766,Merchantability!$B:$E,4,0)),AC1766,0)</f>
        <v>#N/A</v>
      </c>
      <c r="AI1766" s="104" t="e">
        <f t="shared" si="789"/>
        <v>#N/A</v>
      </c>
      <c r="AJ1766" s="104" t="e">
        <f t="shared" si="790"/>
        <v>#VALUE!</v>
      </c>
      <c r="AK1766" s="104" t="e">
        <f t="shared" si="791"/>
        <v>#N/A</v>
      </c>
      <c r="AL1766" s="104" t="e">
        <f t="shared" si="792"/>
        <v>#N/A</v>
      </c>
      <c r="AM1766" s="104" t="e">
        <f t="shared" si="793"/>
        <v>#N/A</v>
      </c>
      <c r="AN1766" s="104" t="e">
        <f t="shared" si="777"/>
        <v>#N/A</v>
      </c>
      <c r="AO1766" s="104" t="e">
        <f t="shared" si="778"/>
        <v>#N/A</v>
      </c>
      <c r="AP1766" s="104" t="e">
        <f t="shared" si="779"/>
        <v>#N/A</v>
      </c>
      <c r="AQ1766" s="104" t="e">
        <f t="shared" si="780"/>
        <v>#N/A</v>
      </c>
      <c r="AR1766" s="105" t="str">
        <f t="shared" si="772"/>
        <v/>
      </c>
      <c r="AS1766" s="105" t="str">
        <f t="shared" si="773"/>
        <v/>
      </c>
      <c r="AT1766" s="108" t="str">
        <f t="shared" si="774"/>
        <v/>
      </c>
      <c r="AU1766" s="108" t="str">
        <f t="shared" si="775"/>
        <v/>
      </c>
      <c r="AV1766" s="107" t="str">
        <f>IF(ISNUMBER(O1766),IF(VLOOKUP($A1766,Stand!C:J,8,FALSE)="Short",AT1766,AU1766),"")</f>
        <v/>
      </c>
      <c r="AW1766" s="109" t="str">
        <f t="shared" si="781"/>
        <v/>
      </c>
      <c r="AX1766" s="109" t="str">
        <f t="shared" si="782"/>
        <v/>
      </c>
      <c r="AY1766" s="112" t="str">
        <f>IF(ISNUMBER(O1766),IF(AND(VLOOKUP($D1766,Merchantability!$B:$C,2,0)="Yes",$E1766&gt;=VLOOKUP($D1766,Merchantability!$B:$D,3,0),$E1766&lt;=VLOOKUP($D1766,Merchantability!$B:$E,4,0)),(AV1766*O1766)*(1-$H1766/100),""),"")</f>
        <v/>
      </c>
      <c r="AZ1766" s="116"/>
      <c r="BA1766" s="116"/>
      <c r="BB1766" s="116"/>
      <c r="BE1766" s="62"/>
      <c r="BF1766" s="63"/>
    </row>
    <row r="1767" spans="1:58" ht="12.75" customHeight="1" x14ac:dyDescent="0.25">
      <c r="A1767" s="334"/>
      <c r="B1767" s="334"/>
      <c r="C1767" s="332"/>
      <c r="D1767" s="334"/>
      <c r="E1767" s="335"/>
      <c r="F1767" s="334"/>
      <c r="G1767" s="332"/>
      <c r="H1767" s="332"/>
      <c r="I1767" s="334"/>
      <c r="J1767" s="336"/>
      <c r="K1767" s="332"/>
      <c r="L1767" s="332"/>
      <c r="M1767" s="76"/>
      <c r="N1767" s="103" t="str">
        <f>IF(A1767="","",VLOOKUP(A1767,Stand!C:K,9,0))</f>
        <v/>
      </c>
      <c r="O1767" s="104" t="str">
        <f t="shared" si="767"/>
        <v/>
      </c>
      <c r="P1767" s="105" t="str">
        <f t="shared" si="768"/>
        <v/>
      </c>
      <c r="Q1767" s="105" t="str">
        <f t="shared" si="783"/>
        <v/>
      </c>
      <c r="R1767" s="103" t="str">
        <f t="shared" si="769"/>
        <v/>
      </c>
      <c r="S1767" s="103" t="str">
        <f t="shared" si="770"/>
        <v/>
      </c>
      <c r="T1767" s="106" t="str">
        <f t="shared" si="784"/>
        <v/>
      </c>
      <c r="U1767" s="106" t="str">
        <f t="shared" si="785"/>
        <v/>
      </c>
      <c r="V1767" s="106" t="str">
        <f t="shared" si="786"/>
        <v/>
      </c>
      <c r="W1767" s="105" t="str">
        <f t="shared" si="771"/>
        <v/>
      </c>
      <c r="X1767" s="104" t="str">
        <f t="shared" si="776"/>
        <v/>
      </c>
      <c r="Y1767" s="104" t="str">
        <f t="array" ref="Y1767">IFERROR(IF(ISNUMBER(O1767),IF(COUNT(IF(A1767=$A$2:$A$2427,IF(D1767=$D$2:$D$2427,IF($X$2:$X$2427&gt;0,1))))&gt;0,SUM(IF(A1767=$A$2:$A$2427,IF(D1767=$D$2:$D$2427,$X$2:$X$2427)))/COUNT(IF(A1767=$A$2:$A$2427,IF(D1767=$D$2:$D$2427,IF(ISNUMBER($X$2:$X$2427),1)))),0),""),0)</f>
        <v/>
      </c>
      <c r="Z1767" s="104" t="str">
        <f>IF(ISNUMBER(O1767),IF(I1767&gt;0,(10^(VLOOKUP(D1767,'Species Codes'!B:C,2,0)+VLOOKUP(D1767,'Species Codes'!B:D,3,0)*LOG(E1767)+VLOOKUP(D1767,'Species Codes'!B:E,4,0)*LOG(I1767))),0),"")</f>
        <v/>
      </c>
      <c r="AA1767" s="104" t="str">
        <f>IFERROR((VLOOKUP(D1767,'Species Codes'!B:G,6,0)*Z1767)/2000,"")</f>
        <v/>
      </c>
      <c r="AB1767" s="104" t="e">
        <f>IF(Z1767&gt;0,((IF(OR(D1767="DF",D1767="RA")=TRUE,EXP(VLOOKUP(D1767,'Species Codes'!B:I,8,0)+VLOOKUP(D1767,'Species Codes'!B:J,9,0)*(LN((E1767*2.54)))),IF(OR(D1767="PY",D1767="RC",D1767="WH",D1767="NF")=TRUE,VLOOKUP(D1767,'Species Codes'!B:I,8,0)+VLOOKUP(D1767,'Species Codes'!B:J,9,0)*((E1767*2.54)^2)*(I1767*0.3048),IF(OR(D1767="MD",D1767="BM",D1767="GA")=TRUE,((VLOOKUP(D1767,'Species Codes'!B:I,8,0)*(((((E1767*2.54)+VLOOKUP(D1767,'Species Codes'!B:J,9,0))/VLOOKUP(D1767,'Species Codes'!B:K,10,0))^VLOOKUP(D1767,'Species Codes'!B:L,11,0))*((I1767*0.3048)^VLOOKUP(D1767,'Species Codes'!B:M,12,0))))-(VLOOKUP(D1767,'Species Codes'!B:I,8,0)*((((E1767*2.54)^VLOOKUP(D1767,'Species Codes'!B:L,11,0))*((I1767*0.3048)^VLOOKUP(D1767,'Species Codes'!B:M,12,0))))))*35.3*VLOOKUP(D1767,'Species Codes'!B:G,6,0)/2.2046,VLOOKUP(D1767,'Species Codes'!B:I,8,0)+VLOOKUP(D1767,'Species Codes'!B:J,9,0)*(((E1767*2.54)/100)^2)*(I1767*0.3048)))))*0.0011023),0)</f>
        <v>#N/A</v>
      </c>
      <c r="AC1767" s="104" t="e">
        <f>IF(Z1767&gt;0,((IF(OR(D1767="RA",D1767="OA",D1767="OT",D1767="UN",D1767="PC"),EXP(VLOOKUP(D1767,'Species Codes'!B:O,14,0)+VLOOKUP(D1767,'Species Codes'!B:P,15,0)*LN((E1767*2.54)))-EXP(VLOOKUP(D1767,'Species Codes'!B:O,14,0)+VLOOKUP(D1767,'Species Codes'!B:P,15,0)*LN((E1767*2.54)))*(1/(VLOOKUP(D1767,'Species Codes'!B:Q,16,0)+VLOOKUP(D1767,'Species Codes'!B:R,17,0)*((E1767*2.54)^VLOOKUP(D1767,'Species Codes'!B:S,18,0)))),IF(OR(D1767="BM",D1767="MD",D1767="OA"),EXP(VLOOKUP(D1767,'Species Codes'!B:O,14,0)+VLOOKUP(D1767,'Species Codes'!B:P,15,0)*LN((E1767*2.54)))*(1-(1/(VLOOKUP(D1767,'Species Codes'!B:Q,16,0)+VLOOKUP(D1767,'Species Codes'!B:R,17,0)*((E1767*2.54)^VLOOKUP(D1767,'Species Codes'!B:S,18,0)))))/1000,IF(D1767="DF",EXP(VLOOKUP(D1767,'Species Codes'!B:O,14,0)+VLOOKUP(D1767,'Species Codes'!B:P,15,0)*LN((E1767*2.54))),VLOOKUP(D1767,'Species Codes'!B:O,14,0)+VLOOKUP(D1767,'Species Codes'!B:P,15,0)*(((E1767*2.54)/100)^2)*(I1767*0.3048)))))*0.0011023),0)</f>
        <v>#N/A</v>
      </c>
      <c r="AD1767" s="104" t="e">
        <f t="shared" si="787"/>
        <v>#N/A</v>
      </c>
      <c r="AE1767" s="104" t="e">
        <f t="shared" si="788"/>
        <v>#N/A</v>
      </c>
      <c r="AF1767" s="104" t="e">
        <f>IF(AND(VLOOKUP($D1767,Merchantability!$B:$C,2,0)="Yes",$E1767&gt;=VLOOKUP($D1767,Merchantability!$B:$D,3,0),$E1767&lt;=VLOOKUP($D1767,Merchantability!$B:$E,4,0)),AA1767,0)</f>
        <v>#N/A</v>
      </c>
      <c r="AG1767" s="104" t="e">
        <f>IF(AND(VLOOKUP($D1767,Merchantability!$B:$C,2,0)="Yes",$E1767&gt;=VLOOKUP($D1767,Merchantability!$B:$D,3,0),$E1767&lt;=VLOOKUP($D1767,Merchantability!$B:$E,4,0)),AB1767,0)</f>
        <v>#N/A</v>
      </c>
      <c r="AH1767" s="104" t="e">
        <f>IF(AND(VLOOKUP($D1767,Merchantability!$B:$C,2,0)="Yes",$E1767&gt;=VLOOKUP($D1767,Merchantability!$B:$D,3,0),$E1767&lt;=VLOOKUP($D1767,Merchantability!$B:$E,4,0)),AC1767,0)</f>
        <v>#N/A</v>
      </c>
      <c r="AI1767" s="104" t="e">
        <f t="shared" si="789"/>
        <v>#N/A</v>
      </c>
      <c r="AJ1767" s="104" t="e">
        <f t="shared" si="790"/>
        <v>#VALUE!</v>
      </c>
      <c r="AK1767" s="104" t="e">
        <f t="shared" si="791"/>
        <v>#N/A</v>
      </c>
      <c r="AL1767" s="104" t="e">
        <f t="shared" si="792"/>
        <v>#N/A</v>
      </c>
      <c r="AM1767" s="104" t="e">
        <f t="shared" si="793"/>
        <v>#N/A</v>
      </c>
      <c r="AN1767" s="104" t="e">
        <f t="shared" si="777"/>
        <v>#N/A</v>
      </c>
      <c r="AO1767" s="104" t="e">
        <f t="shared" si="778"/>
        <v>#N/A</v>
      </c>
      <c r="AP1767" s="104" t="e">
        <f t="shared" si="779"/>
        <v>#N/A</v>
      </c>
      <c r="AQ1767" s="104" t="e">
        <f t="shared" si="780"/>
        <v>#N/A</v>
      </c>
      <c r="AR1767" s="105" t="str">
        <f t="shared" si="772"/>
        <v/>
      </c>
      <c r="AS1767" s="105" t="str">
        <f t="shared" si="773"/>
        <v/>
      </c>
      <c r="AT1767" s="108" t="str">
        <f t="shared" si="774"/>
        <v/>
      </c>
      <c r="AU1767" s="108" t="str">
        <f t="shared" si="775"/>
        <v/>
      </c>
      <c r="AV1767" s="107" t="str">
        <f>IF(ISNUMBER(O1767),IF(VLOOKUP($A1767,Stand!C:J,8,FALSE)="Short",AT1767,AU1767),"")</f>
        <v/>
      </c>
      <c r="AW1767" s="109" t="str">
        <f t="shared" si="781"/>
        <v/>
      </c>
      <c r="AX1767" s="109" t="str">
        <f t="shared" si="782"/>
        <v/>
      </c>
      <c r="AY1767" s="112" t="str">
        <f>IF(ISNUMBER(O1767),IF(AND(VLOOKUP($D1767,Merchantability!$B:$C,2,0)="Yes",$E1767&gt;=VLOOKUP($D1767,Merchantability!$B:$D,3,0),$E1767&lt;=VLOOKUP($D1767,Merchantability!$B:$E,4,0)),(AV1767*O1767)*(1-$H1767/100),""),"")</f>
        <v/>
      </c>
      <c r="AZ1767" s="116"/>
      <c r="BA1767" s="116"/>
      <c r="BB1767" s="116"/>
      <c r="BE1767" s="62"/>
      <c r="BF1767" s="63"/>
    </row>
    <row r="1768" spans="1:58" ht="12.75" customHeight="1" x14ac:dyDescent="0.25">
      <c r="A1768" s="334"/>
      <c r="B1768" s="334"/>
      <c r="C1768" s="332"/>
      <c r="D1768" s="334"/>
      <c r="E1768" s="335"/>
      <c r="F1768" s="334"/>
      <c r="G1768" s="332"/>
      <c r="H1768" s="332"/>
      <c r="I1768" s="334"/>
      <c r="J1768" s="336"/>
      <c r="K1768" s="332"/>
      <c r="L1768" s="332"/>
      <c r="M1768" s="76"/>
      <c r="N1768" s="103" t="str">
        <f>IF(A1768="","",VLOOKUP(A1768,Stand!C:K,9,0))</f>
        <v/>
      </c>
      <c r="O1768" s="104" t="str">
        <f t="shared" si="767"/>
        <v/>
      </c>
      <c r="P1768" s="105" t="str">
        <f t="shared" si="768"/>
        <v/>
      </c>
      <c r="Q1768" s="105" t="str">
        <f t="shared" si="783"/>
        <v/>
      </c>
      <c r="R1768" s="103" t="str">
        <f t="shared" si="769"/>
        <v/>
      </c>
      <c r="S1768" s="103" t="str">
        <f t="shared" si="770"/>
        <v/>
      </c>
      <c r="T1768" s="106" t="str">
        <f t="shared" si="784"/>
        <v/>
      </c>
      <c r="U1768" s="106" t="str">
        <f t="shared" si="785"/>
        <v/>
      </c>
      <c r="V1768" s="106" t="str">
        <f t="shared" si="786"/>
        <v/>
      </c>
      <c r="W1768" s="105" t="str">
        <f t="shared" si="771"/>
        <v/>
      </c>
      <c r="X1768" s="104" t="str">
        <f t="shared" si="776"/>
        <v/>
      </c>
      <c r="Y1768" s="104" t="str">
        <f t="array" ref="Y1768">IFERROR(IF(ISNUMBER(O1768),IF(COUNT(IF(A1768=$A$2:$A$2427,IF(D1768=$D$2:$D$2427,IF($X$2:$X$2427&gt;0,1))))&gt;0,SUM(IF(A1768=$A$2:$A$2427,IF(D1768=$D$2:$D$2427,$X$2:$X$2427)))/COUNT(IF(A1768=$A$2:$A$2427,IF(D1768=$D$2:$D$2427,IF(ISNUMBER($X$2:$X$2427),1)))),0),""),0)</f>
        <v/>
      </c>
      <c r="Z1768" s="104" t="str">
        <f>IF(ISNUMBER(O1768),IF(I1768&gt;0,(10^(VLOOKUP(D1768,'Species Codes'!B:C,2,0)+VLOOKUP(D1768,'Species Codes'!B:D,3,0)*LOG(E1768)+VLOOKUP(D1768,'Species Codes'!B:E,4,0)*LOG(I1768))),0),"")</f>
        <v/>
      </c>
      <c r="AA1768" s="104" t="str">
        <f>IFERROR((VLOOKUP(D1768,'Species Codes'!B:G,6,0)*Z1768)/2000,"")</f>
        <v/>
      </c>
      <c r="AB1768" s="104" t="e">
        <f>IF(Z1768&gt;0,((IF(OR(D1768="DF",D1768="RA")=TRUE,EXP(VLOOKUP(D1768,'Species Codes'!B:I,8,0)+VLOOKUP(D1768,'Species Codes'!B:J,9,0)*(LN((E1768*2.54)))),IF(OR(D1768="PY",D1768="RC",D1768="WH",D1768="NF")=TRUE,VLOOKUP(D1768,'Species Codes'!B:I,8,0)+VLOOKUP(D1768,'Species Codes'!B:J,9,0)*((E1768*2.54)^2)*(I1768*0.3048),IF(OR(D1768="MD",D1768="BM",D1768="GA")=TRUE,((VLOOKUP(D1768,'Species Codes'!B:I,8,0)*(((((E1768*2.54)+VLOOKUP(D1768,'Species Codes'!B:J,9,0))/VLOOKUP(D1768,'Species Codes'!B:K,10,0))^VLOOKUP(D1768,'Species Codes'!B:L,11,0))*((I1768*0.3048)^VLOOKUP(D1768,'Species Codes'!B:M,12,0))))-(VLOOKUP(D1768,'Species Codes'!B:I,8,0)*((((E1768*2.54)^VLOOKUP(D1768,'Species Codes'!B:L,11,0))*((I1768*0.3048)^VLOOKUP(D1768,'Species Codes'!B:M,12,0))))))*35.3*VLOOKUP(D1768,'Species Codes'!B:G,6,0)/2.2046,VLOOKUP(D1768,'Species Codes'!B:I,8,0)+VLOOKUP(D1768,'Species Codes'!B:J,9,0)*(((E1768*2.54)/100)^2)*(I1768*0.3048)))))*0.0011023),0)</f>
        <v>#N/A</v>
      </c>
      <c r="AC1768" s="104" t="e">
        <f>IF(Z1768&gt;0,((IF(OR(D1768="RA",D1768="OA",D1768="OT",D1768="UN",D1768="PC"),EXP(VLOOKUP(D1768,'Species Codes'!B:O,14,0)+VLOOKUP(D1768,'Species Codes'!B:P,15,0)*LN((E1768*2.54)))-EXP(VLOOKUP(D1768,'Species Codes'!B:O,14,0)+VLOOKUP(D1768,'Species Codes'!B:P,15,0)*LN((E1768*2.54)))*(1/(VLOOKUP(D1768,'Species Codes'!B:Q,16,0)+VLOOKUP(D1768,'Species Codes'!B:R,17,0)*((E1768*2.54)^VLOOKUP(D1768,'Species Codes'!B:S,18,0)))),IF(OR(D1768="BM",D1768="MD",D1768="OA"),EXP(VLOOKUP(D1768,'Species Codes'!B:O,14,0)+VLOOKUP(D1768,'Species Codes'!B:P,15,0)*LN((E1768*2.54)))*(1-(1/(VLOOKUP(D1768,'Species Codes'!B:Q,16,0)+VLOOKUP(D1768,'Species Codes'!B:R,17,0)*((E1768*2.54)^VLOOKUP(D1768,'Species Codes'!B:S,18,0)))))/1000,IF(D1768="DF",EXP(VLOOKUP(D1768,'Species Codes'!B:O,14,0)+VLOOKUP(D1768,'Species Codes'!B:P,15,0)*LN((E1768*2.54))),VLOOKUP(D1768,'Species Codes'!B:O,14,0)+VLOOKUP(D1768,'Species Codes'!B:P,15,0)*(((E1768*2.54)/100)^2)*(I1768*0.3048)))))*0.0011023),0)</f>
        <v>#N/A</v>
      </c>
      <c r="AD1768" s="104" t="e">
        <f t="shared" si="787"/>
        <v>#N/A</v>
      </c>
      <c r="AE1768" s="104" t="e">
        <f t="shared" si="788"/>
        <v>#N/A</v>
      </c>
      <c r="AF1768" s="104" t="e">
        <f>IF(AND(VLOOKUP($D1768,Merchantability!$B:$C,2,0)="Yes",$E1768&gt;=VLOOKUP($D1768,Merchantability!$B:$D,3,0),$E1768&lt;=VLOOKUP($D1768,Merchantability!$B:$E,4,0)),AA1768,0)</f>
        <v>#N/A</v>
      </c>
      <c r="AG1768" s="104" t="e">
        <f>IF(AND(VLOOKUP($D1768,Merchantability!$B:$C,2,0)="Yes",$E1768&gt;=VLOOKUP($D1768,Merchantability!$B:$D,3,0),$E1768&lt;=VLOOKUP($D1768,Merchantability!$B:$E,4,0)),AB1768,0)</f>
        <v>#N/A</v>
      </c>
      <c r="AH1768" s="104" t="e">
        <f>IF(AND(VLOOKUP($D1768,Merchantability!$B:$C,2,0)="Yes",$E1768&gt;=VLOOKUP($D1768,Merchantability!$B:$D,3,0),$E1768&lt;=VLOOKUP($D1768,Merchantability!$B:$E,4,0)),AC1768,0)</f>
        <v>#N/A</v>
      </c>
      <c r="AI1768" s="104" t="e">
        <f t="shared" si="789"/>
        <v>#N/A</v>
      </c>
      <c r="AJ1768" s="104" t="e">
        <f t="shared" si="790"/>
        <v>#VALUE!</v>
      </c>
      <c r="AK1768" s="104" t="e">
        <f t="shared" si="791"/>
        <v>#N/A</v>
      </c>
      <c r="AL1768" s="104" t="e">
        <f t="shared" si="792"/>
        <v>#N/A</v>
      </c>
      <c r="AM1768" s="104" t="e">
        <f t="shared" si="793"/>
        <v>#N/A</v>
      </c>
      <c r="AN1768" s="104" t="e">
        <f t="shared" si="777"/>
        <v>#N/A</v>
      </c>
      <c r="AO1768" s="104" t="e">
        <f t="shared" si="778"/>
        <v>#N/A</v>
      </c>
      <c r="AP1768" s="104" t="e">
        <f t="shared" si="779"/>
        <v>#N/A</v>
      </c>
      <c r="AQ1768" s="104" t="e">
        <f t="shared" si="780"/>
        <v>#N/A</v>
      </c>
      <c r="AR1768" s="105" t="str">
        <f t="shared" si="772"/>
        <v/>
      </c>
      <c r="AS1768" s="105" t="str">
        <f t="shared" si="773"/>
        <v/>
      </c>
      <c r="AT1768" s="108" t="str">
        <f t="shared" si="774"/>
        <v/>
      </c>
      <c r="AU1768" s="108" t="str">
        <f t="shared" si="775"/>
        <v/>
      </c>
      <c r="AV1768" s="107" t="str">
        <f>IF(ISNUMBER(O1768),IF(VLOOKUP($A1768,Stand!C:J,8,FALSE)="Short",AT1768,AU1768),"")</f>
        <v/>
      </c>
      <c r="AW1768" s="109" t="str">
        <f t="shared" si="781"/>
        <v/>
      </c>
      <c r="AX1768" s="109" t="str">
        <f t="shared" si="782"/>
        <v/>
      </c>
      <c r="AY1768" s="112" t="str">
        <f>IF(ISNUMBER(O1768),IF(AND(VLOOKUP($D1768,Merchantability!$B:$C,2,0)="Yes",$E1768&gt;=VLOOKUP($D1768,Merchantability!$B:$D,3,0),$E1768&lt;=VLOOKUP($D1768,Merchantability!$B:$E,4,0)),(AV1768*O1768)*(1-$H1768/100),""),"")</f>
        <v/>
      </c>
      <c r="AZ1768" s="116"/>
      <c r="BA1768" s="116"/>
      <c r="BB1768" s="116"/>
      <c r="BE1768" s="62"/>
      <c r="BF1768" s="63"/>
    </row>
    <row r="1769" spans="1:58" ht="12.75" customHeight="1" x14ac:dyDescent="0.25">
      <c r="A1769" s="334"/>
      <c r="B1769" s="334"/>
      <c r="C1769" s="332"/>
      <c r="D1769" s="334"/>
      <c r="E1769" s="335"/>
      <c r="F1769" s="334"/>
      <c r="G1769" s="332"/>
      <c r="H1769" s="332"/>
      <c r="I1769" s="334"/>
      <c r="J1769" s="336"/>
      <c r="K1769" s="332"/>
      <c r="L1769" s="332"/>
      <c r="M1769" s="76"/>
      <c r="N1769" s="103" t="str">
        <f>IF(A1769="","",VLOOKUP(A1769,Stand!C:K,9,0))</f>
        <v/>
      </c>
      <c r="O1769" s="104" t="str">
        <f t="shared" si="767"/>
        <v/>
      </c>
      <c r="P1769" s="105" t="str">
        <f t="shared" si="768"/>
        <v/>
      </c>
      <c r="Q1769" s="105" t="str">
        <f t="shared" si="783"/>
        <v/>
      </c>
      <c r="R1769" s="103" t="str">
        <f t="shared" si="769"/>
        <v/>
      </c>
      <c r="S1769" s="103" t="str">
        <f t="shared" si="770"/>
        <v/>
      </c>
      <c r="T1769" s="106" t="str">
        <f t="shared" si="784"/>
        <v/>
      </c>
      <c r="U1769" s="106" t="str">
        <f t="shared" si="785"/>
        <v/>
      </c>
      <c r="V1769" s="106" t="str">
        <f t="shared" si="786"/>
        <v/>
      </c>
      <c r="W1769" s="105" t="str">
        <f t="shared" si="771"/>
        <v/>
      </c>
      <c r="X1769" s="104" t="str">
        <f t="shared" si="776"/>
        <v/>
      </c>
      <c r="Y1769" s="104" t="str">
        <f t="array" ref="Y1769">IFERROR(IF(ISNUMBER(O1769),IF(COUNT(IF(A1769=$A$2:$A$2427,IF(D1769=$D$2:$D$2427,IF($X$2:$X$2427&gt;0,1))))&gt;0,SUM(IF(A1769=$A$2:$A$2427,IF(D1769=$D$2:$D$2427,$X$2:$X$2427)))/COUNT(IF(A1769=$A$2:$A$2427,IF(D1769=$D$2:$D$2427,IF(ISNUMBER($X$2:$X$2427),1)))),0),""),0)</f>
        <v/>
      </c>
      <c r="Z1769" s="104" t="str">
        <f>IF(ISNUMBER(O1769),IF(I1769&gt;0,(10^(VLOOKUP(D1769,'Species Codes'!B:C,2,0)+VLOOKUP(D1769,'Species Codes'!B:D,3,0)*LOG(E1769)+VLOOKUP(D1769,'Species Codes'!B:E,4,0)*LOG(I1769))),0),"")</f>
        <v/>
      </c>
      <c r="AA1769" s="104" t="str">
        <f>IFERROR((VLOOKUP(D1769,'Species Codes'!B:G,6,0)*Z1769)/2000,"")</f>
        <v/>
      </c>
      <c r="AB1769" s="104" t="e">
        <f>IF(Z1769&gt;0,((IF(OR(D1769="DF",D1769="RA")=TRUE,EXP(VLOOKUP(D1769,'Species Codes'!B:I,8,0)+VLOOKUP(D1769,'Species Codes'!B:J,9,0)*(LN((E1769*2.54)))),IF(OR(D1769="PY",D1769="RC",D1769="WH",D1769="NF")=TRUE,VLOOKUP(D1769,'Species Codes'!B:I,8,0)+VLOOKUP(D1769,'Species Codes'!B:J,9,0)*((E1769*2.54)^2)*(I1769*0.3048),IF(OR(D1769="MD",D1769="BM",D1769="GA")=TRUE,((VLOOKUP(D1769,'Species Codes'!B:I,8,0)*(((((E1769*2.54)+VLOOKUP(D1769,'Species Codes'!B:J,9,0))/VLOOKUP(D1769,'Species Codes'!B:K,10,0))^VLOOKUP(D1769,'Species Codes'!B:L,11,0))*((I1769*0.3048)^VLOOKUP(D1769,'Species Codes'!B:M,12,0))))-(VLOOKUP(D1769,'Species Codes'!B:I,8,0)*((((E1769*2.54)^VLOOKUP(D1769,'Species Codes'!B:L,11,0))*((I1769*0.3048)^VLOOKUP(D1769,'Species Codes'!B:M,12,0))))))*35.3*VLOOKUP(D1769,'Species Codes'!B:G,6,0)/2.2046,VLOOKUP(D1769,'Species Codes'!B:I,8,0)+VLOOKUP(D1769,'Species Codes'!B:J,9,0)*(((E1769*2.54)/100)^2)*(I1769*0.3048)))))*0.0011023),0)</f>
        <v>#N/A</v>
      </c>
      <c r="AC1769" s="104" t="e">
        <f>IF(Z1769&gt;0,((IF(OR(D1769="RA",D1769="OA",D1769="OT",D1769="UN",D1769="PC"),EXP(VLOOKUP(D1769,'Species Codes'!B:O,14,0)+VLOOKUP(D1769,'Species Codes'!B:P,15,0)*LN((E1769*2.54)))-EXP(VLOOKUP(D1769,'Species Codes'!B:O,14,0)+VLOOKUP(D1769,'Species Codes'!B:P,15,0)*LN((E1769*2.54)))*(1/(VLOOKUP(D1769,'Species Codes'!B:Q,16,0)+VLOOKUP(D1769,'Species Codes'!B:R,17,0)*((E1769*2.54)^VLOOKUP(D1769,'Species Codes'!B:S,18,0)))),IF(OR(D1769="BM",D1769="MD",D1769="OA"),EXP(VLOOKUP(D1769,'Species Codes'!B:O,14,0)+VLOOKUP(D1769,'Species Codes'!B:P,15,0)*LN((E1769*2.54)))*(1-(1/(VLOOKUP(D1769,'Species Codes'!B:Q,16,0)+VLOOKUP(D1769,'Species Codes'!B:R,17,0)*((E1769*2.54)^VLOOKUP(D1769,'Species Codes'!B:S,18,0)))))/1000,IF(D1769="DF",EXP(VLOOKUP(D1769,'Species Codes'!B:O,14,0)+VLOOKUP(D1769,'Species Codes'!B:P,15,0)*LN((E1769*2.54))),VLOOKUP(D1769,'Species Codes'!B:O,14,0)+VLOOKUP(D1769,'Species Codes'!B:P,15,0)*(((E1769*2.54)/100)^2)*(I1769*0.3048)))))*0.0011023),0)</f>
        <v>#N/A</v>
      </c>
      <c r="AD1769" s="104" t="e">
        <f t="shared" si="787"/>
        <v>#N/A</v>
      </c>
      <c r="AE1769" s="104" t="e">
        <f t="shared" si="788"/>
        <v>#N/A</v>
      </c>
      <c r="AF1769" s="104" t="e">
        <f>IF(AND(VLOOKUP($D1769,Merchantability!$B:$C,2,0)="Yes",$E1769&gt;=VLOOKUP($D1769,Merchantability!$B:$D,3,0),$E1769&lt;=VLOOKUP($D1769,Merchantability!$B:$E,4,0)),AA1769,0)</f>
        <v>#N/A</v>
      </c>
      <c r="AG1769" s="104" t="e">
        <f>IF(AND(VLOOKUP($D1769,Merchantability!$B:$C,2,0)="Yes",$E1769&gt;=VLOOKUP($D1769,Merchantability!$B:$D,3,0),$E1769&lt;=VLOOKUP($D1769,Merchantability!$B:$E,4,0)),AB1769,0)</f>
        <v>#N/A</v>
      </c>
      <c r="AH1769" s="104" t="e">
        <f>IF(AND(VLOOKUP($D1769,Merchantability!$B:$C,2,0)="Yes",$E1769&gt;=VLOOKUP($D1769,Merchantability!$B:$D,3,0),$E1769&lt;=VLOOKUP($D1769,Merchantability!$B:$E,4,0)),AC1769,0)</f>
        <v>#N/A</v>
      </c>
      <c r="AI1769" s="104" t="e">
        <f t="shared" si="789"/>
        <v>#N/A</v>
      </c>
      <c r="AJ1769" s="104" t="e">
        <f t="shared" si="790"/>
        <v>#VALUE!</v>
      </c>
      <c r="AK1769" s="104" t="e">
        <f t="shared" si="791"/>
        <v>#N/A</v>
      </c>
      <c r="AL1769" s="104" t="e">
        <f t="shared" si="792"/>
        <v>#N/A</v>
      </c>
      <c r="AM1769" s="104" t="e">
        <f t="shared" si="793"/>
        <v>#N/A</v>
      </c>
      <c r="AN1769" s="104" t="e">
        <f t="shared" si="777"/>
        <v>#N/A</v>
      </c>
      <c r="AO1769" s="104" t="e">
        <f t="shared" si="778"/>
        <v>#N/A</v>
      </c>
      <c r="AP1769" s="104" t="e">
        <f t="shared" si="779"/>
        <v>#N/A</v>
      </c>
      <c r="AQ1769" s="104" t="e">
        <f t="shared" si="780"/>
        <v>#N/A</v>
      </c>
      <c r="AR1769" s="105" t="str">
        <f t="shared" si="772"/>
        <v/>
      </c>
      <c r="AS1769" s="105" t="str">
        <f t="shared" si="773"/>
        <v/>
      </c>
      <c r="AT1769" s="108" t="str">
        <f t="shared" si="774"/>
        <v/>
      </c>
      <c r="AU1769" s="108" t="str">
        <f t="shared" si="775"/>
        <v/>
      </c>
      <c r="AV1769" s="107" t="str">
        <f>IF(ISNUMBER(O1769),IF(VLOOKUP($A1769,Stand!C:J,8,FALSE)="Short",AT1769,AU1769),"")</f>
        <v/>
      </c>
      <c r="AW1769" s="109" t="str">
        <f t="shared" si="781"/>
        <v/>
      </c>
      <c r="AX1769" s="109" t="str">
        <f t="shared" si="782"/>
        <v/>
      </c>
      <c r="AY1769" s="112" t="str">
        <f>IF(ISNUMBER(O1769),IF(AND(VLOOKUP($D1769,Merchantability!$B:$C,2,0)="Yes",$E1769&gt;=VLOOKUP($D1769,Merchantability!$B:$D,3,0),$E1769&lt;=VLOOKUP($D1769,Merchantability!$B:$E,4,0)),(AV1769*O1769)*(1-$H1769/100),""),"")</f>
        <v/>
      </c>
      <c r="AZ1769" s="116"/>
      <c r="BA1769" s="116"/>
      <c r="BB1769" s="116"/>
      <c r="BE1769" s="62"/>
      <c r="BF1769" s="63"/>
    </row>
    <row r="1770" spans="1:58" ht="12.75" customHeight="1" x14ac:dyDescent="0.25">
      <c r="A1770" s="334"/>
      <c r="B1770" s="334"/>
      <c r="C1770" s="332"/>
      <c r="D1770" s="334"/>
      <c r="E1770" s="335"/>
      <c r="F1770" s="334"/>
      <c r="G1770" s="332"/>
      <c r="H1770" s="332"/>
      <c r="I1770" s="334"/>
      <c r="J1770" s="336"/>
      <c r="K1770" s="332"/>
      <c r="L1770" s="332"/>
      <c r="M1770" s="76"/>
      <c r="N1770" s="103" t="str">
        <f>IF(A1770="","",VLOOKUP(A1770,Stand!C:K,9,0))</f>
        <v/>
      </c>
      <c r="O1770" s="104" t="str">
        <f t="shared" si="767"/>
        <v/>
      </c>
      <c r="P1770" s="105" t="str">
        <f t="shared" si="768"/>
        <v/>
      </c>
      <c r="Q1770" s="105" t="str">
        <f t="shared" si="783"/>
        <v/>
      </c>
      <c r="R1770" s="103" t="str">
        <f t="shared" si="769"/>
        <v/>
      </c>
      <c r="S1770" s="103" t="str">
        <f t="shared" si="770"/>
        <v/>
      </c>
      <c r="T1770" s="106" t="str">
        <f t="shared" si="784"/>
        <v/>
      </c>
      <c r="U1770" s="106" t="str">
        <f t="shared" si="785"/>
        <v/>
      </c>
      <c r="V1770" s="106" t="str">
        <f t="shared" si="786"/>
        <v/>
      </c>
      <c r="W1770" s="105" t="str">
        <f t="shared" si="771"/>
        <v/>
      </c>
      <c r="X1770" s="104" t="str">
        <f t="shared" si="776"/>
        <v/>
      </c>
      <c r="Y1770" s="104" t="str">
        <f t="array" ref="Y1770">IFERROR(IF(ISNUMBER(O1770),IF(COUNT(IF(A1770=$A$2:$A$2427,IF(D1770=$D$2:$D$2427,IF($X$2:$X$2427&gt;0,1))))&gt;0,SUM(IF(A1770=$A$2:$A$2427,IF(D1770=$D$2:$D$2427,$X$2:$X$2427)))/COUNT(IF(A1770=$A$2:$A$2427,IF(D1770=$D$2:$D$2427,IF(ISNUMBER($X$2:$X$2427),1)))),0),""),0)</f>
        <v/>
      </c>
      <c r="Z1770" s="104" t="str">
        <f>IF(ISNUMBER(O1770),IF(I1770&gt;0,(10^(VLOOKUP(D1770,'Species Codes'!B:C,2,0)+VLOOKUP(D1770,'Species Codes'!B:D,3,0)*LOG(E1770)+VLOOKUP(D1770,'Species Codes'!B:E,4,0)*LOG(I1770))),0),"")</f>
        <v/>
      </c>
      <c r="AA1770" s="104" t="str">
        <f>IFERROR((VLOOKUP(D1770,'Species Codes'!B:G,6,0)*Z1770)/2000,"")</f>
        <v/>
      </c>
      <c r="AB1770" s="104" t="e">
        <f>IF(Z1770&gt;0,((IF(OR(D1770="DF",D1770="RA")=TRUE,EXP(VLOOKUP(D1770,'Species Codes'!B:I,8,0)+VLOOKUP(D1770,'Species Codes'!B:J,9,0)*(LN((E1770*2.54)))),IF(OR(D1770="PY",D1770="RC",D1770="WH",D1770="NF")=TRUE,VLOOKUP(D1770,'Species Codes'!B:I,8,0)+VLOOKUP(D1770,'Species Codes'!B:J,9,0)*((E1770*2.54)^2)*(I1770*0.3048),IF(OR(D1770="MD",D1770="BM",D1770="GA")=TRUE,((VLOOKUP(D1770,'Species Codes'!B:I,8,0)*(((((E1770*2.54)+VLOOKUP(D1770,'Species Codes'!B:J,9,0))/VLOOKUP(D1770,'Species Codes'!B:K,10,0))^VLOOKUP(D1770,'Species Codes'!B:L,11,0))*((I1770*0.3048)^VLOOKUP(D1770,'Species Codes'!B:M,12,0))))-(VLOOKUP(D1770,'Species Codes'!B:I,8,0)*((((E1770*2.54)^VLOOKUP(D1770,'Species Codes'!B:L,11,0))*((I1770*0.3048)^VLOOKUP(D1770,'Species Codes'!B:M,12,0))))))*35.3*VLOOKUP(D1770,'Species Codes'!B:G,6,0)/2.2046,VLOOKUP(D1770,'Species Codes'!B:I,8,0)+VLOOKUP(D1770,'Species Codes'!B:J,9,0)*(((E1770*2.54)/100)^2)*(I1770*0.3048)))))*0.0011023),0)</f>
        <v>#N/A</v>
      </c>
      <c r="AC1770" s="104" t="e">
        <f>IF(Z1770&gt;0,((IF(OR(D1770="RA",D1770="OA",D1770="OT",D1770="UN",D1770="PC"),EXP(VLOOKUP(D1770,'Species Codes'!B:O,14,0)+VLOOKUP(D1770,'Species Codes'!B:P,15,0)*LN((E1770*2.54)))-EXP(VLOOKUP(D1770,'Species Codes'!B:O,14,0)+VLOOKUP(D1770,'Species Codes'!B:P,15,0)*LN((E1770*2.54)))*(1/(VLOOKUP(D1770,'Species Codes'!B:Q,16,0)+VLOOKUP(D1770,'Species Codes'!B:R,17,0)*((E1770*2.54)^VLOOKUP(D1770,'Species Codes'!B:S,18,0)))),IF(OR(D1770="BM",D1770="MD",D1770="OA"),EXP(VLOOKUP(D1770,'Species Codes'!B:O,14,0)+VLOOKUP(D1770,'Species Codes'!B:P,15,0)*LN((E1770*2.54)))*(1-(1/(VLOOKUP(D1770,'Species Codes'!B:Q,16,0)+VLOOKUP(D1770,'Species Codes'!B:R,17,0)*((E1770*2.54)^VLOOKUP(D1770,'Species Codes'!B:S,18,0)))))/1000,IF(D1770="DF",EXP(VLOOKUP(D1770,'Species Codes'!B:O,14,0)+VLOOKUP(D1770,'Species Codes'!B:P,15,0)*LN((E1770*2.54))),VLOOKUP(D1770,'Species Codes'!B:O,14,0)+VLOOKUP(D1770,'Species Codes'!B:P,15,0)*(((E1770*2.54)/100)^2)*(I1770*0.3048)))))*0.0011023),0)</f>
        <v>#N/A</v>
      </c>
      <c r="AD1770" s="104" t="e">
        <f t="shared" si="787"/>
        <v>#N/A</v>
      </c>
      <c r="AE1770" s="104" t="e">
        <f t="shared" si="788"/>
        <v>#N/A</v>
      </c>
      <c r="AF1770" s="104" t="e">
        <f>IF(AND(VLOOKUP($D1770,Merchantability!$B:$C,2,0)="Yes",$E1770&gt;=VLOOKUP($D1770,Merchantability!$B:$D,3,0),$E1770&lt;=VLOOKUP($D1770,Merchantability!$B:$E,4,0)),AA1770,0)</f>
        <v>#N/A</v>
      </c>
      <c r="AG1770" s="104" t="e">
        <f>IF(AND(VLOOKUP($D1770,Merchantability!$B:$C,2,0)="Yes",$E1770&gt;=VLOOKUP($D1770,Merchantability!$B:$D,3,0),$E1770&lt;=VLOOKUP($D1770,Merchantability!$B:$E,4,0)),AB1770,0)</f>
        <v>#N/A</v>
      </c>
      <c r="AH1770" s="104" t="e">
        <f>IF(AND(VLOOKUP($D1770,Merchantability!$B:$C,2,0)="Yes",$E1770&gt;=VLOOKUP($D1770,Merchantability!$B:$D,3,0),$E1770&lt;=VLOOKUP($D1770,Merchantability!$B:$E,4,0)),AC1770,0)</f>
        <v>#N/A</v>
      </c>
      <c r="AI1770" s="104" t="e">
        <f t="shared" si="789"/>
        <v>#N/A</v>
      </c>
      <c r="AJ1770" s="104" t="e">
        <f t="shared" si="790"/>
        <v>#VALUE!</v>
      </c>
      <c r="AK1770" s="104" t="e">
        <f t="shared" si="791"/>
        <v>#N/A</v>
      </c>
      <c r="AL1770" s="104" t="e">
        <f t="shared" si="792"/>
        <v>#N/A</v>
      </c>
      <c r="AM1770" s="104" t="e">
        <f t="shared" si="793"/>
        <v>#N/A</v>
      </c>
      <c r="AN1770" s="104" t="e">
        <f t="shared" si="777"/>
        <v>#N/A</v>
      </c>
      <c r="AO1770" s="104" t="e">
        <f t="shared" si="778"/>
        <v>#N/A</v>
      </c>
      <c r="AP1770" s="104" t="e">
        <f t="shared" si="779"/>
        <v>#N/A</v>
      </c>
      <c r="AQ1770" s="104" t="e">
        <f t="shared" si="780"/>
        <v>#N/A</v>
      </c>
      <c r="AR1770" s="105" t="str">
        <f t="shared" si="772"/>
        <v/>
      </c>
      <c r="AS1770" s="105" t="str">
        <f t="shared" si="773"/>
        <v/>
      </c>
      <c r="AT1770" s="108" t="str">
        <f t="shared" si="774"/>
        <v/>
      </c>
      <c r="AU1770" s="108" t="str">
        <f t="shared" si="775"/>
        <v/>
      </c>
      <c r="AV1770" s="107" t="str">
        <f>IF(ISNUMBER(O1770),IF(VLOOKUP($A1770,Stand!C:J,8,FALSE)="Short",AT1770,AU1770),"")</f>
        <v/>
      </c>
      <c r="AW1770" s="109" t="str">
        <f t="shared" si="781"/>
        <v/>
      </c>
      <c r="AX1770" s="109" t="str">
        <f t="shared" si="782"/>
        <v/>
      </c>
      <c r="AY1770" s="112" t="str">
        <f>IF(ISNUMBER(O1770),IF(AND(VLOOKUP($D1770,Merchantability!$B:$C,2,0)="Yes",$E1770&gt;=VLOOKUP($D1770,Merchantability!$B:$D,3,0),$E1770&lt;=VLOOKUP($D1770,Merchantability!$B:$E,4,0)),(AV1770*O1770)*(1-$H1770/100),""),"")</f>
        <v/>
      </c>
      <c r="AZ1770" s="116"/>
      <c r="BA1770" s="116"/>
      <c r="BB1770" s="116"/>
      <c r="BE1770" s="62"/>
      <c r="BF1770" s="63"/>
    </row>
    <row r="1771" spans="1:58" ht="12.75" customHeight="1" x14ac:dyDescent="0.25">
      <c r="A1771" s="334"/>
      <c r="B1771" s="334"/>
      <c r="C1771" s="332"/>
      <c r="D1771" s="334"/>
      <c r="E1771" s="335"/>
      <c r="F1771" s="334"/>
      <c r="G1771" s="332"/>
      <c r="H1771" s="332"/>
      <c r="I1771" s="334"/>
      <c r="J1771" s="336"/>
      <c r="K1771" s="332"/>
      <c r="L1771" s="332"/>
      <c r="M1771" s="76"/>
      <c r="N1771" s="103" t="str">
        <f>IF(A1771="","",VLOOKUP(A1771,Stand!C:K,9,0))</f>
        <v/>
      </c>
      <c r="O1771" s="104" t="str">
        <f t="shared" si="767"/>
        <v/>
      </c>
      <c r="P1771" s="105" t="str">
        <f t="shared" si="768"/>
        <v/>
      </c>
      <c r="Q1771" s="105" t="str">
        <f t="shared" si="783"/>
        <v/>
      </c>
      <c r="R1771" s="103" t="str">
        <f t="shared" si="769"/>
        <v/>
      </c>
      <c r="S1771" s="103" t="str">
        <f t="shared" si="770"/>
        <v/>
      </c>
      <c r="T1771" s="106" t="str">
        <f t="shared" si="784"/>
        <v/>
      </c>
      <c r="U1771" s="106" t="str">
        <f t="shared" si="785"/>
        <v/>
      </c>
      <c r="V1771" s="106" t="str">
        <f t="shared" si="786"/>
        <v/>
      </c>
      <c r="W1771" s="105" t="str">
        <f t="shared" si="771"/>
        <v/>
      </c>
      <c r="X1771" s="104" t="str">
        <f t="shared" si="776"/>
        <v/>
      </c>
      <c r="Y1771" s="104" t="str">
        <f t="array" ref="Y1771">IFERROR(IF(ISNUMBER(O1771),IF(COUNT(IF(A1771=$A$2:$A$2427,IF(D1771=$D$2:$D$2427,IF($X$2:$X$2427&gt;0,1))))&gt;0,SUM(IF(A1771=$A$2:$A$2427,IF(D1771=$D$2:$D$2427,$X$2:$X$2427)))/COUNT(IF(A1771=$A$2:$A$2427,IF(D1771=$D$2:$D$2427,IF(ISNUMBER($X$2:$X$2427),1)))),0),""),0)</f>
        <v/>
      </c>
      <c r="Z1771" s="104" t="str">
        <f>IF(ISNUMBER(O1771),IF(I1771&gt;0,(10^(VLOOKUP(D1771,'Species Codes'!B:C,2,0)+VLOOKUP(D1771,'Species Codes'!B:D,3,0)*LOG(E1771)+VLOOKUP(D1771,'Species Codes'!B:E,4,0)*LOG(I1771))),0),"")</f>
        <v/>
      </c>
      <c r="AA1771" s="104" t="str">
        <f>IFERROR((VLOOKUP(D1771,'Species Codes'!B:G,6,0)*Z1771)/2000,"")</f>
        <v/>
      </c>
      <c r="AB1771" s="104" t="e">
        <f>IF(Z1771&gt;0,((IF(OR(D1771="DF",D1771="RA")=TRUE,EXP(VLOOKUP(D1771,'Species Codes'!B:I,8,0)+VLOOKUP(D1771,'Species Codes'!B:J,9,0)*(LN((E1771*2.54)))),IF(OR(D1771="PY",D1771="RC",D1771="WH",D1771="NF")=TRUE,VLOOKUP(D1771,'Species Codes'!B:I,8,0)+VLOOKUP(D1771,'Species Codes'!B:J,9,0)*((E1771*2.54)^2)*(I1771*0.3048),IF(OR(D1771="MD",D1771="BM",D1771="GA")=TRUE,((VLOOKUP(D1771,'Species Codes'!B:I,8,0)*(((((E1771*2.54)+VLOOKUP(D1771,'Species Codes'!B:J,9,0))/VLOOKUP(D1771,'Species Codes'!B:K,10,0))^VLOOKUP(D1771,'Species Codes'!B:L,11,0))*((I1771*0.3048)^VLOOKUP(D1771,'Species Codes'!B:M,12,0))))-(VLOOKUP(D1771,'Species Codes'!B:I,8,0)*((((E1771*2.54)^VLOOKUP(D1771,'Species Codes'!B:L,11,0))*((I1771*0.3048)^VLOOKUP(D1771,'Species Codes'!B:M,12,0))))))*35.3*VLOOKUP(D1771,'Species Codes'!B:G,6,0)/2.2046,VLOOKUP(D1771,'Species Codes'!B:I,8,0)+VLOOKUP(D1771,'Species Codes'!B:J,9,0)*(((E1771*2.54)/100)^2)*(I1771*0.3048)))))*0.0011023),0)</f>
        <v>#N/A</v>
      </c>
      <c r="AC1771" s="104" t="e">
        <f>IF(Z1771&gt;0,((IF(OR(D1771="RA",D1771="OA",D1771="OT",D1771="UN",D1771="PC"),EXP(VLOOKUP(D1771,'Species Codes'!B:O,14,0)+VLOOKUP(D1771,'Species Codes'!B:P,15,0)*LN((E1771*2.54)))-EXP(VLOOKUP(D1771,'Species Codes'!B:O,14,0)+VLOOKUP(D1771,'Species Codes'!B:P,15,0)*LN((E1771*2.54)))*(1/(VLOOKUP(D1771,'Species Codes'!B:Q,16,0)+VLOOKUP(D1771,'Species Codes'!B:R,17,0)*((E1771*2.54)^VLOOKUP(D1771,'Species Codes'!B:S,18,0)))),IF(OR(D1771="BM",D1771="MD",D1771="OA"),EXP(VLOOKUP(D1771,'Species Codes'!B:O,14,0)+VLOOKUP(D1771,'Species Codes'!B:P,15,0)*LN((E1771*2.54)))*(1-(1/(VLOOKUP(D1771,'Species Codes'!B:Q,16,0)+VLOOKUP(D1771,'Species Codes'!B:R,17,0)*((E1771*2.54)^VLOOKUP(D1771,'Species Codes'!B:S,18,0)))))/1000,IF(D1771="DF",EXP(VLOOKUP(D1771,'Species Codes'!B:O,14,0)+VLOOKUP(D1771,'Species Codes'!B:P,15,0)*LN((E1771*2.54))),VLOOKUP(D1771,'Species Codes'!B:O,14,0)+VLOOKUP(D1771,'Species Codes'!B:P,15,0)*(((E1771*2.54)/100)^2)*(I1771*0.3048)))))*0.0011023),0)</f>
        <v>#N/A</v>
      </c>
      <c r="AD1771" s="104" t="e">
        <f t="shared" si="787"/>
        <v>#N/A</v>
      </c>
      <c r="AE1771" s="104" t="e">
        <f t="shared" si="788"/>
        <v>#N/A</v>
      </c>
      <c r="AF1771" s="104" t="e">
        <f>IF(AND(VLOOKUP($D1771,Merchantability!$B:$C,2,0)="Yes",$E1771&gt;=VLOOKUP($D1771,Merchantability!$B:$D,3,0),$E1771&lt;=VLOOKUP($D1771,Merchantability!$B:$E,4,0)),AA1771,0)</f>
        <v>#N/A</v>
      </c>
      <c r="AG1771" s="104" t="e">
        <f>IF(AND(VLOOKUP($D1771,Merchantability!$B:$C,2,0)="Yes",$E1771&gt;=VLOOKUP($D1771,Merchantability!$B:$D,3,0),$E1771&lt;=VLOOKUP($D1771,Merchantability!$B:$E,4,0)),AB1771,0)</f>
        <v>#N/A</v>
      </c>
      <c r="AH1771" s="104" t="e">
        <f>IF(AND(VLOOKUP($D1771,Merchantability!$B:$C,2,0)="Yes",$E1771&gt;=VLOOKUP($D1771,Merchantability!$B:$D,3,0),$E1771&lt;=VLOOKUP($D1771,Merchantability!$B:$E,4,0)),AC1771,0)</f>
        <v>#N/A</v>
      </c>
      <c r="AI1771" s="104" t="e">
        <f t="shared" si="789"/>
        <v>#N/A</v>
      </c>
      <c r="AJ1771" s="104" t="e">
        <f t="shared" si="790"/>
        <v>#VALUE!</v>
      </c>
      <c r="AK1771" s="104" t="e">
        <f t="shared" si="791"/>
        <v>#N/A</v>
      </c>
      <c r="AL1771" s="104" t="e">
        <f t="shared" si="792"/>
        <v>#N/A</v>
      </c>
      <c r="AM1771" s="104" t="e">
        <f t="shared" si="793"/>
        <v>#N/A</v>
      </c>
      <c r="AN1771" s="104" t="e">
        <f t="shared" si="777"/>
        <v>#N/A</v>
      </c>
      <c r="AO1771" s="104" t="e">
        <f t="shared" si="778"/>
        <v>#N/A</v>
      </c>
      <c r="AP1771" s="104" t="e">
        <f t="shared" si="779"/>
        <v>#N/A</v>
      </c>
      <c r="AQ1771" s="104" t="e">
        <f t="shared" si="780"/>
        <v>#N/A</v>
      </c>
      <c r="AR1771" s="105" t="str">
        <f t="shared" si="772"/>
        <v/>
      </c>
      <c r="AS1771" s="105" t="str">
        <f t="shared" si="773"/>
        <v/>
      </c>
      <c r="AT1771" s="108" t="str">
        <f t="shared" si="774"/>
        <v/>
      </c>
      <c r="AU1771" s="108" t="str">
        <f t="shared" si="775"/>
        <v/>
      </c>
      <c r="AV1771" s="107" t="str">
        <f>IF(ISNUMBER(O1771),IF(VLOOKUP($A1771,Stand!C:J,8,FALSE)="Short",AT1771,AU1771),"")</f>
        <v/>
      </c>
      <c r="AW1771" s="109" t="str">
        <f t="shared" si="781"/>
        <v/>
      </c>
      <c r="AX1771" s="109" t="str">
        <f t="shared" si="782"/>
        <v/>
      </c>
      <c r="AY1771" s="112" t="str">
        <f>IF(ISNUMBER(O1771),IF(AND(VLOOKUP($D1771,Merchantability!$B:$C,2,0)="Yes",$E1771&gt;=VLOOKUP($D1771,Merchantability!$B:$D,3,0),$E1771&lt;=VLOOKUP($D1771,Merchantability!$B:$E,4,0)),(AV1771*O1771)*(1-$H1771/100),""),"")</f>
        <v/>
      </c>
      <c r="AZ1771" s="116"/>
      <c r="BA1771" s="116"/>
      <c r="BB1771" s="116"/>
      <c r="BE1771" s="62"/>
      <c r="BF1771" s="63"/>
    </row>
    <row r="1772" spans="1:58" ht="12.75" customHeight="1" x14ac:dyDescent="0.25">
      <c r="A1772" s="334"/>
      <c r="B1772" s="334"/>
      <c r="C1772" s="332"/>
      <c r="D1772" s="334"/>
      <c r="E1772" s="335"/>
      <c r="F1772" s="334"/>
      <c r="G1772" s="332"/>
      <c r="H1772" s="332"/>
      <c r="I1772" s="334"/>
      <c r="J1772" s="336"/>
      <c r="K1772" s="332"/>
      <c r="L1772" s="332"/>
      <c r="M1772" s="76"/>
      <c r="N1772" s="103" t="str">
        <f>IF(A1772="","",VLOOKUP(A1772,Stand!C:K,9,0))</f>
        <v/>
      </c>
      <c r="O1772" s="104" t="str">
        <f t="shared" si="767"/>
        <v/>
      </c>
      <c r="P1772" s="105" t="str">
        <f t="shared" si="768"/>
        <v/>
      </c>
      <c r="Q1772" s="105" t="str">
        <f t="shared" si="783"/>
        <v/>
      </c>
      <c r="R1772" s="103" t="str">
        <f t="shared" si="769"/>
        <v/>
      </c>
      <c r="S1772" s="103" t="str">
        <f t="shared" si="770"/>
        <v/>
      </c>
      <c r="T1772" s="106" t="str">
        <f t="shared" si="784"/>
        <v/>
      </c>
      <c r="U1772" s="106" t="str">
        <f t="shared" si="785"/>
        <v/>
      </c>
      <c r="V1772" s="106" t="str">
        <f t="shared" si="786"/>
        <v/>
      </c>
      <c r="W1772" s="105" t="str">
        <f t="shared" si="771"/>
        <v/>
      </c>
      <c r="X1772" s="104" t="str">
        <f t="shared" si="776"/>
        <v/>
      </c>
      <c r="Y1772" s="104" t="str">
        <f t="array" ref="Y1772">IFERROR(IF(ISNUMBER(O1772),IF(COUNT(IF(A1772=$A$2:$A$2427,IF(D1772=$D$2:$D$2427,IF($X$2:$X$2427&gt;0,1))))&gt;0,SUM(IF(A1772=$A$2:$A$2427,IF(D1772=$D$2:$D$2427,$X$2:$X$2427)))/COUNT(IF(A1772=$A$2:$A$2427,IF(D1772=$D$2:$D$2427,IF(ISNUMBER($X$2:$X$2427),1)))),0),""),0)</f>
        <v/>
      </c>
      <c r="Z1772" s="104" t="str">
        <f>IF(ISNUMBER(O1772),IF(I1772&gt;0,(10^(VLOOKUP(D1772,'Species Codes'!B:C,2,0)+VLOOKUP(D1772,'Species Codes'!B:D,3,0)*LOG(E1772)+VLOOKUP(D1772,'Species Codes'!B:E,4,0)*LOG(I1772))),0),"")</f>
        <v/>
      </c>
      <c r="AA1772" s="104" t="str">
        <f>IFERROR((VLOOKUP(D1772,'Species Codes'!B:G,6,0)*Z1772)/2000,"")</f>
        <v/>
      </c>
      <c r="AB1772" s="104" t="e">
        <f>IF(Z1772&gt;0,((IF(OR(D1772="DF",D1772="RA")=TRUE,EXP(VLOOKUP(D1772,'Species Codes'!B:I,8,0)+VLOOKUP(D1772,'Species Codes'!B:J,9,0)*(LN((E1772*2.54)))),IF(OR(D1772="PY",D1772="RC",D1772="WH",D1772="NF")=TRUE,VLOOKUP(D1772,'Species Codes'!B:I,8,0)+VLOOKUP(D1772,'Species Codes'!B:J,9,0)*((E1772*2.54)^2)*(I1772*0.3048),IF(OR(D1772="MD",D1772="BM",D1772="GA")=TRUE,((VLOOKUP(D1772,'Species Codes'!B:I,8,0)*(((((E1772*2.54)+VLOOKUP(D1772,'Species Codes'!B:J,9,0))/VLOOKUP(D1772,'Species Codes'!B:K,10,0))^VLOOKUP(D1772,'Species Codes'!B:L,11,0))*((I1772*0.3048)^VLOOKUP(D1772,'Species Codes'!B:M,12,0))))-(VLOOKUP(D1772,'Species Codes'!B:I,8,0)*((((E1772*2.54)^VLOOKUP(D1772,'Species Codes'!B:L,11,0))*((I1772*0.3048)^VLOOKUP(D1772,'Species Codes'!B:M,12,0))))))*35.3*VLOOKUP(D1772,'Species Codes'!B:G,6,0)/2.2046,VLOOKUP(D1772,'Species Codes'!B:I,8,0)+VLOOKUP(D1772,'Species Codes'!B:J,9,0)*(((E1772*2.54)/100)^2)*(I1772*0.3048)))))*0.0011023),0)</f>
        <v>#N/A</v>
      </c>
      <c r="AC1772" s="104" t="e">
        <f>IF(Z1772&gt;0,((IF(OR(D1772="RA",D1772="OA",D1772="OT",D1772="UN",D1772="PC"),EXP(VLOOKUP(D1772,'Species Codes'!B:O,14,0)+VLOOKUP(D1772,'Species Codes'!B:P,15,0)*LN((E1772*2.54)))-EXP(VLOOKUP(D1772,'Species Codes'!B:O,14,0)+VLOOKUP(D1772,'Species Codes'!B:P,15,0)*LN((E1772*2.54)))*(1/(VLOOKUP(D1772,'Species Codes'!B:Q,16,0)+VLOOKUP(D1772,'Species Codes'!B:R,17,0)*((E1772*2.54)^VLOOKUP(D1772,'Species Codes'!B:S,18,0)))),IF(OR(D1772="BM",D1772="MD",D1772="OA"),EXP(VLOOKUP(D1772,'Species Codes'!B:O,14,0)+VLOOKUP(D1772,'Species Codes'!B:P,15,0)*LN((E1772*2.54)))*(1-(1/(VLOOKUP(D1772,'Species Codes'!B:Q,16,0)+VLOOKUP(D1772,'Species Codes'!B:R,17,0)*((E1772*2.54)^VLOOKUP(D1772,'Species Codes'!B:S,18,0)))))/1000,IF(D1772="DF",EXP(VLOOKUP(D1772,'Species Codes'!B:O,14,0)+VLOOKUP(D1772,'Species Codes'!B:P,15,0)*LN((E1772*2.54))),VLOOKUP(D1772,'Species Codes'!B:O,14,0)+VLOOKUP(D1772,'Species Codes'!B:P,15,0)*(((E1772*2.54)/100)^2)*(I1772*0.3048)))))*0.0011023),0)</f>
        <v>#N/A</v>
      </c>
      <c r="AD1772" s="104" t="e">
        <f t="shared" si="787"/>
        <v>#N/A</v>
      </c>
      <c r="AE1772" s="104" t="e">
        <f t="shared" si="788"/>
        <v>#N/A</v>
      </c>
      <c r="AF1772" s="104" t="e">
        <f>IF(AND(VLOOKUP($D1772,Merchantability!$B:$C,2,0)="Yes",$E1772&gt;=VLOOKUP($D1772,Merchantability!$B:$D,3,0),$E1772&lt;=VLOOKUP($D1772,Merchantability!$B:$E,4,0)),AA1772,0)</f>
        <v>#N/A</v>
      </c>
      <c r="AG1772" s="104" t="e">
        <f>IF(AND(VLOOKUP($D1772,Merchantability!$B:$C,2,0)="Yes",$E1772&gt;=VLOOKUP($D1772,Merchantability!$B:$D,3,0),$E1772&lt;=VLOOKUP($D1772,Merchantability!$B:$E,4,0)),AB1772,0)</f>
        <v>#N/A</v>
      </c>
      <c r="AH1772" s="104" t="e">
        <f>IF(AND(VLOOKUP($D1772,Merchantability!$B:$C,2,0)="Yes",$E1772&gt;=VLOOKUP($D1772,Merchantability!$B:$D,3,0),$E1772&lt;=VLOOKUP($D1772,Merchantability!$B:$E,4,0)),AC1772,0)</f>
        <v>#N/A</v>
      </c>
      <c r="AI1772" s="104" t="e">
        <f t="shared" si="789"/>
        <v>#N/A</v>
      </c>
      <c r="AJ1772" s="104" t="e">
        <f t="shared" si="790"/>
        <v>#VALUE!</v>
      </c>
      <c r="AK1772" s="104" t="e">
        <f t="shared" si="791"/>
        <v>#N/A</v>
      </c>
      <c r="AL1772" s="104" t="e">
        <f t="shared" si="792"/>
        <v>#N/A</v>
      </c>
      <c r="AM1772" s="104" t="e">
        <f t="shared" si="793"/>
        <v>#N/A</v>
      </c>
      <c r="AN1772" s="104" t="e">
        <f t="shared" si="777"/>
        <v>#N/A</v>
      </c>
      <c r="AO1772" s="104" t="e">
        <f t="shared" si="778"/>
        <v>#N/A</v>
      </c>
      <c r="AP1772" s="104" t="e">
        <f t="shared" si="779"/>
        <v>#N/A</v>
      </c>
      <c r="AQ1772" s="104" t="e">
        <f t="shared" si="780"/>
        <v>#N/A</v>
      </c>
      <c r="AR1772" s="105" t="str">
        <f t="shared" si="772"/>
        <v/>
      </c>
      <c r="AS1772" s="105" t="str">
        <f t="shared" si="773"/>
        <v/>
      </c>
      <c r="AT1772" s="108" t="str">
        <f t="shared" si="774"/>
        <v/>
      </c>
      <c r="AU1772" s="108" t="str">
        <f t="shared" si="775"/>
        <v/>
      </c>
      <c r="AV1772" s="107" t="str">
        <f>IF(ISNUMBER(O1772),IF(VLOOKUP($A1772,Stand!C:J,8,FALSE)="Short",AT1772,AU1772),"")</f>
        <v/>
      </c>
      <c r="AW1772" s="109" t="str">
        <f t="shared" si="781"/>
        <v/>
      </c>
      <c r="AX1772" s="109" t="str">
        <f t="shared" si="782"/>
        <v/>
      </c>
      <c r="AY1772" s="112" t="str">
        <f>IF(ISNUMBER(O1772),IF(AND(VLOOKUP($D1772,Merchantability!$B:$C,2,0)="Yes",$E1772&gt;=VLOOKUP($D1772,Merchantability!$B:$D,3,0),$E1772&lt;=VLOOKUP($D1772,Merchantability!$B:$E,4,0)),(AV1772*O1772)*(1-$H1772/100),""),"")</f>
        <v/>
      </c>
      <c r="AZ1772" s="116"/>
      <c r="BA1772" s="116"/>
      <c r="BB1772" s="116"/>
      <c r="BE1772" s="62"/>
      <c r="BF1772" s="63"/>
    </row>
    <row r="1773" spans="1:58" ht="12.75" customHeight="1" x14ac:dyDescent="0.25">
      <c r="A1773" s="334"/>
      <c r="B1773" s="334"/>
      <c r="C1773" s="332"/>
      <c r="D1773" s="334"/>
      <c r="E1773" s="335"/>
      <c r="F1773" s="334"/>
      <c r="G1773" s="332"/>
      <c r="H1773" s="332"/>
      <c r="I1773" s="334"/>
      <c r="J1773" s="336"/>
      <c r="K1773" s="332"/>
      <c r="L1773" s="332"/>
      <c r="M1773" s="76"/>
      <c r="N1773" s="103" t="str">
        <f>IF(A1773="","",VLOOKUP(A1773,Stand!C:K,9,0))</f>
        <v/>
      </c>
      <c r="O1773" s="104" t="str">
        <f t="shared" si="767"/>
        <v/>
      </c>
      <c r="P1773" s="105" t="str">
        <f t="shared" si="768"/>
        <v/>
      </c>
      <c r="Q1773" s="105" t="str">
        <f t="shared" si="783"/>
        <v/>
      </c>
      <c r="R1773" s="103" t="str">
        <f t="shared" si="769"/>
        <v/>
      </c>
      <c r="S1773" s="103" t="str">
        <f t="shared" si="770"/>
        <v/>
      </c>
      <c r="T1773" s="106" t="str">
        <f t="shared" si="784"/>
        <v/>
      </c>
      <c r="U1773" s="106" t="str">
        <f t="shared" si="785"/>
        <v/>
      </c>
      <c r="V1773" s="106" t="str">
        <f t="shared" si="786"/>
        <v/>
      </c>
      <c r="W1773" s="105" t="str">
        <f t="shared" si="771"/>
        <v/>
      </c>
      <c r="X1773" s="104" t="str">
        <f t="shared" si="776"/>
        <v/>
      </c>
      <c r="Y1773" s="104" t="str">
        <f t="array" ref="Y1773">IFERROR(IF(ISNUMBER(O1773),IF(COUNT(IF(A1773=$A$2:$A$2427,IF(D1773=$D$2:$D$2427,IF($X$2:$X$2427&gt;0,1))))&gt;0,SUM(IF(A1773=$A$2:$A$2427,IF(D1773=$D$2:$D$2427,$X$2:$X$2427)))/COUNT(IF(A1773=$A$2:$A$2427,IF(D1773=$D$2:$D$2427,IF(ISNUMBER($X$2:$X$2427),1)))),0),""),0)</f>
        <v/>
      </c>
      <c r="Z1773" s="104" t="str">
        <f>IF(ISNUMBER(O1773),IF(I1773&gt;0,(10^(VLOOKUP(D1773,'Species Codes'!B:C,2,0)+VLOOKUP(D1773,'Species Codes'!B:D,3,0)*LOG(E1773)+VLOOKUP(D1773,'Species Codes'!B:E,4,0)*LOG(I1773))),0),"")</f>
        <v/>
      </c>
      <c r="AA1773" s="104" t="str">
        <f>IFERROR((VLOOKUP(D1773,'Species Codes'!B:G,6,0)*Z1773)/2000,"")</f>
        <v/>
      </c>
      <c r="AB1773" s="104" t="e">
        <f>IF(Z1773&gt;0,((IF(OR(D1773="DF",D1773="RA")=TRUE,EXP(VLOOKUP(D1773,'Species Codes'!B:I,8,0)+VLOOKUP(D1773,'Species Codes'!B:J,9,0)*(LN((E1773*2.54)))),IF(OR(D1773="PY",D1773="RC",D1773="WH",D1773="NF")=TRUE,VLOOKUP(D1773,'Species Codes'!B:I,8,0)+VLOOKUP(D1773,'Species Codes'!B:J,9,0)*((E1773*2.54)^2)*(I1773*0.3048),IF(OR(D1773="MD",D1773="BM",D1773="GA")=TRUE,((VLOOKUP(D1773,'Species Codes'!B:I,8,0)*(((((E1773*2.54)+VLOOKUP(D1773,'Species Codes'!B:J,9,0))/VLOOKUP(D1773,'Species Codes'!B:K,10,0))^VLOOKUP(D1773,'Species Codes'!B:L,11,0))*((I1773*0.3048)^VLOOKUP(D1773,'Species Codes'!B:M,12,0))))-(VLOOKUP(D1773,'Species Codes'!B:I,8,0)*((((E1773*2.54)^VLOOKUP(D1773,'Species Codes'!B:L,11,0))*((I1773*0.3048)^VLOOKUP(D1773,'Species Codes'!B:M,12,0))))))*35.3*VLOOKUP(D1773,'Species Codes'!B:G,6,0)/2.2046,VLOOKUP(D1773,'Species Codes'!B:I,8,0)+VLOOKUP(D1773,'Species Codes'!B:J,9,0)*(((E1773*2.54)/100)^2)*(I1773*0.3048)))))*0.0011023),0)</f>
        <v>#N/A</v>
      </c>
      <c r="AC1773" s="104" t="e">
        <f>IF(Z1773&gt;0,((IF(OR(D1773="RA",D1773="OA",D1773="OT",D1773="UN",D1773="PC"),EXP(VLOOKUP(D1773,'Species Codes'!B:O,14,0)+VLOOKUP(D1773,'Species Codes'!B:P,15,0)*LN((E1773*2.54)))-EXP(VLOOKUP(D1773,'Species Codes'!B:O,14,0)+VLOOKUP(D1773,'Species Codes'!B:P,15,0)*LN((E1773*2.54)))*(1/(VLOOKUP(D1773,'Species Codes'!B:Q,16,0)+VLOOKUP(D1773,'Species Codes'!B:R,17,0)*((E1773*2.54)^VLOOKUP(D1773,'Species Codes'!B:S,18,0)))),IF(OR(D1773="BM",D1773="MD",D1773="OA"),EXP(VLOOKUP(D1773,'Species Codes'!B:O,14,0)+VLOOKUP(D1773,'Species Codes'!B:P,15,0)*LN((E1773*2.54)))*(1-(1/(VLOOKUP(D1773,'Species Codes'!B:Q,16,0)+VLOOKUP(D1773,'Species Codes'!B:R,17,0)*((E1773*2.54)^VLOOKUP(D1773,'Species Codes'!B:S,18,0)))))/1000,IF(D1773="DF",EXP(VLOOKUP(D1773,'Species Codes'!B:O,14,0)+VLOOKUP(D1773,'Species Codes'!B:P,15,0)*LN((E1773*2.54))),VLOOKUP(D1773,'Species Codes'!B:O,14,0)+VLOOKUP(D1773,'Species Codes'!B:P,15,0)*(((E1773*2.54)/100)^2)*(I1773*0.3048)))))*0.0011023),0)</f>
        <v>#N/A</v>
      </c>
      <c r="AD1773" s="104" t="e">
        <f t="shared" si="787"/>
        <v>#N/A</v>
      </c>
      <c r="AE1773" s="104" t="e">
        <f t="shared" si="788"/>
        <v>#N/A</v>
      </c>
      <c r="AF1773" s="104" t="e">
        <f>IF(AND(VLOOKUP($D1773,Merchantability!$B:$C,2,0)="Yes",$E1773&gt;=VLOOKUP($D1773,Merchantability!$B:$D,3,0),$E1773&lt;=VLOOKUP($D1773,Merchantability!$B:$E,4,0)),AA1773,0)</f>
        <v>#N/A</v>
      </c>
      <c r="AG1773" s="104" t="e">
        <f>IF(AND(VLOOKUP($D1773,Merchantability!$B:$C,2,0)="Yes",$E1773&gt;=VLOOKUP($D1773,Merchantability!$B:$D,3,0),$E1773&lt;=VLOOKUP($D1773,Merchantability!$B:$E,4,0)),AB1773,0)</f>
        <v>#N/A</v>
      </c>
      <c r="AH1773" s="104" t="e">
        <f>IF(AND(VLOOKUP($D1773,Merchantability!$B:$C,2,0)="Yes",$E1773&gt;=VLOOKUP($D1773,Merchantability!$B:$D,3,0),$E1773&lt;=VLOOKUP($D1773,Merchantability!$B:$E,4,0)),AC1773,0)</f>
        <v>#N/A</v>
      </c>
      <c r="AI1773" s="104" t="e">
        <f t="shared" si="789"/>
        <v>#N/A</v>
      </c>
      <c r="AJ1773" s="104" t="e">
        <f t="shared" si="790"/>
        <v>#VALUE!</v>
      </c>
      <c r="AK1773" s="104" t="e">
        <f t="shared" si="791"/>
        <v>#N/A</v>
      </c>
      <c r="AL1773" s="104" t="e">
        <f t="shared" si="792"/>
        <v>#N/A</v>
      </c>
      <c r="AM1773" s="104" t="e">
        <f t="shared" si="793"/>
        <v>#N/A</v>
      </c>
      <c r="AN1773" s="104" t="e">
        <f t="shared" si="777"/>
        <v>#N/A</v>
      </c>
      <c r="AO1773" s="104" t="e">
        <f t="shared" si="778"/>
        <v>#N/A</v>
      </c>
      <c r="AP1773" s="104" t="e">
        <f t="shared" si="779"/>
        <v>#N/A</v>
      </c>
      <c r="AQ1773" s="104" t="e">
        <f t="shared" si="780"/>
        <v>#N/A</v>
      </c>
      <c r="AR1773" s="105" t="str">
        <f t="shared" si="772"/>
        <v/>
      </c>
      <c r="AS1773" s="105" t="str">
        <f t="shared" si="773"/>
        <v/>
      </c>
      <c r="AT1773" s="108" t="str">
        <f t="shared" si="774"/>
        <v/>
      </c>
      <c r="AU1773" s="108" t="str">
        <f t="shared" si="775"/>
        <v/>
      </c>
      <c r="AV1773" s="107" t="str">
        <f>IF(ISNUMBER(O1773),IF(VLOOKUP($A1773,Stand!C:J,8,FALSE)="Short",AT1773,AU1773),"")</f>
        <v/>
      </c>
      <c r="AW1773" s="109" t="str">
        <f t="shared" si="781"/>
        <v/>
      </c>
      <c r="AX1773" s="109" t="str">
        <f t="shared" si="782"/>
        <v/>
      </c>
      <c r="AY1773" s="112" t="str">
        <f>IF(ISNUMBER(O1773),IF(AND(VLOOKUP($D1773,Merchantability!$B:$C,2,0)="Yes",$E1773&gt;=VLOOKUP($D1773,Merchantability!$B:$D,3,0),$E1773&lt;=VLOOKUP($D1773,Merchantability!$B:$E,4,0)),(AV1773*O1773)*(1-$H1773/100),""),"")</f>
        <v/>
      </c>
      <c r="AZ1773" s="116"/>
      <c r="BA1773" s="116"/>
      <c r="BB1773" s="116"/>
      <c r="BE1773" s="62"/>
      <c r="BF1773" s="63"/>
    </row>
    <row r="1774" spans="1:58" ht="12.75" customHeight="1" x14ac:dyDescent="0.25">
      <c r="A1774" s="334"/>
      <c r="B1774" s="334"/>
      <c r="C1774" s="332"/>
      <c r="D1774" s="334"/>
      <c r="E1774" s="335"/>
      <c r="F1774" s="334"/>
      <c r="G1774" s="332"/>
      <c r="H1774" s="332"/>
      <c r="I1774" s="334"/>
      <c r="J1774" s="336"/>
      <c r="K1774" s="332"/>
      <c r="L1774" s="332"/>
      <c r="M1774" s="76"/>
      <c r="N1774" s="103" t="str">
        <f>IF(A1774="","",VLOOKUP(A1774,Stand!C:K,9,0))</f>
        <v/>
      </c>
      <c r="O1774" s="104" t="str">
        <f t="shared" si="767"/>
        <v/>
      </c>
      <c r="P1774" s="105" t="str">
        <f t="shared" si="768"/>
        <v/>
      </c>
      <c r="Q1774" s="105" t="str">
        <f t="shared" si="783"/>
        <v/>
      </c>
      <c r="R1774" s="103" t="str">
        <f t="shared" si="769"/>
        <v/>
      </c>
      <c r="S1774" s="103" t="str">
        <f t="shared" si="770"/>
        <v/>
      </c>
      <c r="T1774" s="106" t="str">
        <f t="shared" si="784"/>
        <v/>
      </c>
      <c r="U1774" s="106" t="str">
        <f t="shared" si="785"/>
        <v/>
      </c>
      <c r="V1774" s="106" t="str">
        <f t="shared" si="786"/>
        <v/>
      </c>
      <c r="W1774" s="105" t="str">
        <f t="shared" si="771"/>
        <v/>
      </c>
      <c r="X1774" s="104" t="str">
        <f t="shared" si="776"/>
        <v/>
      </c>
      <c r="Y1774" s="104" t="str">
        <f t="array" ref="Y1774">IFERROR(IF(ISNUMBER(O1774),IF(COUNT(IF(A1774=$A$2:$A$2427,IF(D1774=$D$2:$D$2427,IF($X$2:$X$2427&gt;0,1))))&gt;0,SUM(IF(A1774=$A$2:$A$2427,IF(D1774=$D$2:$D$2427,$X$2:$X$2427)))/COUNT(IF(A1774=$A$2:$A$2427,IF(D1774=$D$2:$D$2427,IF(ISNUMBER($X$2:$X$2427),1)))),0),""),0)</f>
        <v/>
      </c>
      <c r="Z1774" s="104" t="str">
        <f>IF(ISNUMBER(O1774),IF(I1774&gt;0,(10^(VLOOKUP(D1774,'Species Codes'!B:C,2,0)+VLOOKUP(D1774,'Species Codes'!B:D,3,0)*LOG(E1774)+VLOOKUP(D1774,'Species Codes'!B:E,4,0)*LOG(I1774))),0),"")</f>
        <v/>
      </c>
      <c r="AA1774" s="104" t="str">
        <f>IFERROR((VLOOKUP(D1774,'Species Codes'!B:G,6,0)*Z1774)/2000,"")</f>
        <v/>
      </c>
      <c r="AB1774" s="104" t="e">
        <f>IF(Z1774&gt;0,((IF(OR(D1774="DF",D1774="RA")=TRUE,EXP(VLOOKUP(D1774,'Species Codes'!B:I,8,0)+VLOOKUP(D1774,'Species Codes'!B:J,9,0)*(LN((E1774*2.54)))),IF(OR(D1774="PY",D1774="RC",D1774="WH",D1774="NF")=TRUE,VLOOKUP(D1774,'Species Codes'!B:I,8,0)+VLOOKUP(D1774,'Species Codes'!B:J,9,0)*((E1774*2.54)^2)*(I1774*0.3048),IF(OR(D1774="MD",D1774="BM",D1774="GA")=TRUE,((VLOOKUP(D1774,'Species Codes'!B:I,8,0)*(((((E1774*2.54)+VLOOKUP(D1774,'Species Codes'!B:J,9,0))/VLOOKUP(D1774,'Species Codes'!B:K,10,0))^VLOOKUP(D1774,'Species Codes'!B:L,11,0))*((I1774*0.3048)^VLOOKUP(D1774,'Species Codes'!B:M,12,0))))-(VLOOKUP(D1774,'Species Codes'!B:I,8,0)*((((E1774*2.54)^VLOOKUP(D1774,'Species Codes'!B:L,11,0))*((I1774*0.3048)^VLOOKUP(D1774,'Species Codes'!B:M,12,0))))))*35.3*VLOOKUP(D1774,'Species Codes'!B:G,6,0)/2.2046,VLOOKUP(D1774,'Species Codes'!B:I,8,0)+VLOOKUP(D1774,'Species Codes'!B:J,9,0)*(((E1774*2.54)/100)^2)*(I1774*0.3048)))))*0.0011023),0)</f>
        <v>#N/A</v>
      </c>
      <c r="AC1774" s="104" t="e">
        <f>IF(Z1774&gt;0,((IF(OR(D1774="RA",D1774="OA",D1774="OT",D1774="UN",D1774="PC"),EXP(VLOOKUP(D1774,'Species Codes'!B:O,14,0)+VLOOKUP(D1774,'Species Codes'!B:P,15,0)*LN((E1774*2.54)))-EXP(VLOOKUP(D1774,'Species Codes'!B:O,14,0)+VLOOKUP(D1774,'Species Codes'!B:P,15,0)*LN((E1774*2.54)))*(1/(VLOOKUP(D1774,'Species Codes'!B:Q,16,0)+VLOOKUP(D1774,'Species Codes'!B:R,17,0)*((E1774*2.54)^VLOOKUP(D1774,'Species Codes'!B:S,18,0)))),IF(OR(D1774="BM",D1774="MD",D1774="OA"),EXP(VLOOKUP(D1774,'Species Codes'!B:O,14,0)+VLOOKUP(D1774,'Species Codes'!B:P,15,0)*LN((E1774*2.54)))*(1-(1/(VLOOKUP(D1774,'Species Codes'!B:Q,16,0)+VLOOKUP(D1774,'Species Codes'!B:R,17,0)*((E1774*2.54)^VLOOKUP(D1774,'Species Codes'!B:S,18,0)))))/1000,IF(D1774="DF",EXP(VLOOKUP(D1774,'Species Codes'!B:O,14,0)+VLOOKUP(D1774,'Species Codes'!B:P,15,0)*LN((E1774*2.54))),VLOOKUP(D1774,'Species Codes'!B:O,14,0)+VLOOKUP(D1774,'Species Codes'!B:P,15,0)*(((E1774*2.54)/100)^2)*(I1774*0.3048)))))*0.0011023),0)</f>
        <v>#N/A</v>
      </c>
      <c r="AD1774" s="104" t="e">
        <f t="shared" si="787"/>
        <v>#N/A</v>
      </c>
      <c r="AE1774" s="104" t="e">
        <f t="shared" si="788"/>
        <v>#N/A</v>
      </c>
      <c r="AF1774" s="104" t="e">
        <f>IF(AND(VLOOKUP($D1774,Merchantability!$B:$C,2,0)="Yes",$E1774&gt;=VLOOKUP($D1774,Merchantability!$B:$D,3,0),$E1774&lt;=VLOOKUP($D1774,Merchantability!$B:$E,4,0)),AA1774,0)</f>
        <v>#N/A</v>
      </c>
      <c r="AG1774" s="104" t="e">
        <f>IF(AND(VLOOKUP($D1774,Merchantability!$B:$C,2,0)="Yes",$E1774&gt;=VLOOKUP($D1774,Merchantability!$B:$D,3,0),$E1774&lt;=VLOOKUP($D1774,Merchantability!$B:$E,4,0)),AB1774,0)</f>
        <v>#N/A</v>
      </c>
      <c r="AH1774" s="104" t="e">
        <f>IF(AND(VLOOKUP($D1774,Merchantability!$B:$C,2,0)="Yes",$E1774&gt;=VLOOKUP($D1774,Merchantability!$B:$D,3,0),$E1774&lt;=VLOOKUP($D1774,Merchantability!$B:$E,4,0)),AC1774,0)</f>
        <v>#N/A</v>
      </c>
      <c r="AI1774" s="104" t="e">
        <f t="shared" si="789"/>
        <v>#N/A</v>
      </c>
      <c r="AJ1774" s="104" t="e">
        <f t="shared" si="790"/>
        <v>#VALUE!</v>
      </c>
      <c r="AK1774" s="104" t="e">
        <f t="shared" si="791"/>
        <v>#N/A</v>
      </c>
      <c r="AL1774" s="104" t="e">
        <f t="shared" si="792"/>
        <v>#N/A</v>
      </c>
      <c r="AM1774" s="104" t="e">
        <f t="shared" si="793"/>
        <v>#N/A</v>
      </c>
      <c r="AN1774" s="104" t="e">
        <f t="shared" si="777"/>
        <v>#N/A</v>
      </c>
      <c r="AO1774" s="104" t="e">
        <f t="shared" si="778"/>
        <v>#N/A</v>
      </c>
      <c r="AP1774" s="104" t="e">
        <f t="shared" si="779"/>
        <v>#N/A</v>
      </c>
      <c r="AQ1774" s="104" t="e">
        <f t="shared" si="780"/>
        <v>#N/A</v>
      </c>
      <c r="AR1774" s="105" t="str">
        <f t="shared" si="772"/>
        <v/>
      </c>
      <c r="AS1774" s="105" t="str">
        <f t="shared" si="773"/>
        <v/>
      </c>
      <c r="AT1774" s="108" t="str">
        <f t="shared" si="774"/>
        <v/>
      </c>
      <c r="AU1774" s="108" t="str">
        <f t="shared" si="775"/>
        <v/>
      </c>
      <c r="AV1774" s="107" t="str">
        <f>IF(ISNUMBER(O1774),IF(VLOOKUP($A1774,Stand!C:J,8,FALSE)="Short",AT1774,AU1774),"")</f>
        <v/>
      </c>
      <c r="AW1774" s="109" t="str">
        <f t="shared" si="781"/>
        <v/>
      </c>
      <c r="AX1774" s="109" t="str">
        <f t="shared" si="782"/>
        <v/>
      </c>
      <c r="AY1774" s="112" t="str">
        <f>IF(ISNUMBER(O1774),IF(AND(VLOOKUP($D1774,Merchantability!$B:$C,2,0)="Yes",$E1774&gt;=VLOOKUP($D1774,Merchantability!$B:$D,3,0),$E1774&lt;=VLOOKUP($D1774,Merchantability!$B:$E,4,0)),(AV1774*O1774)*(1-$H1774/100),""),"")</f>
        <v/>
      </c>
      <c r="AZ1774" s="116"/>
      <c r="BA1774" s="116"/>
      <c r="BB1774" s="116"/>
      <c r="BE1774" s="62"/>
      <c r="BF1774" s="63"/>
    </row>
    <row r="1775" spans="1:58" ht="12.75" customHeight="1" x14ac:dyDescent="0.25">
      <c r="A1775" s="334"/>
      <c r="B1775" s="334"/>
      <c r="C1775" s="332"/>
      <c r="D1775" s="334"/>
      <c r="E1775" s="335"/>
      <c r="F1775" s="334"/>
      <c r="G1775" s="332"/>
      <c r="H1775" s="332"/>
      <c r="I1775" s="334"/>
      <c r="J1775" s="336"/>
      <c r="K1775" s="332"/>
      <c r="L1775" s="332"/>
      <c r="M1775" s="76"/>
      <c r="N1775" s="103" t="str">
        <f>IF(A1775="","",VLOOKUP(A1775,Stand!C:K,9,0))</f>
        <v/>
      </c>
      <c r="O1775" s="104" t="str">
        <f t="shared" si="767"/>
        <v/>
      </c>
      <c r="P1775" s="105" t="str">
        <f t="shared" si="768"/>
        <v/>
      </c>
      <c r="Q1775" s="105" t="str">
        <f t="shared" si="783"/>
        <v/>
      </c>
      <c r="R1775" s="103" t="str">
        <f t="shared" si="769"/>
        <v/>
      </c>
      <c r="S1775" s="103" t="str">
        <f t="shared" si="770"/>
        <v/>
      </c>
      <c r="T1775" s="106" t="str">
        <f t="shared" si="784"/>
        <v/>
      </c>
      <c r="U1775" s="106" t="str">
        <f t="shared" si="785"/>
        <v/>
      </c>
      <c r="V1775" s="106" t="str">
        <f t="shared" si="786"/>
        <v/>
      </c>
      <c r="W1775" s="105" t="str">
        <f t="shared" si="771"/>
        <v/>
      </c>
      <c r="X1775" s="104" t="str">
        <f t="shared" si="776"/>
        <v/>
      </c>
      <c r="Y1775" s="104" t="str">
        <f t="array" ref="Y1775">IFERROR(IF(ISNUMBER(O1775),IF(COUNT(IF(A1775=$A$2:$A$2427,IF(D1775=$D$2:$D$2427,IF($X$2:$X$2427&gt;0,1))))&gt;0,SUM(IF(A1775=$A$2:$A$2427,IF(D1775=$D$2:$D$2427,$X$2:$X$2427)))/COUNT(IF(A1775=$A$2:$A$2427,IF(D1775=$D$2:$D$2427,IF(ISNUMBER($X$2:$X$2427),1)))),0),""),0)</f>
        <v/>
      </c>
      <c r="Z1775" s="104" t="str">
        <f>IF(ISNUMBER(O1775),IF(I1775&gt;0,(10^(VLOOKUP(D1775,'Species Codes'!B:C,2,0)+VLOOKUP(D1775,'Species Codes'!B:D,3,0)*LOG(E1775)+VLOOKUP(D1775,'Species Codes'!B:E,4,0)*LOG(I1775))),0),"")</f>
        <v/>
      </c>
      <c r="AA1775" s="104" t="str">
        <f>IFERROR((VLOOKUP(D1775,'Species Codes'!B:G,6,0)*Z1775)/2000,"")</f>
        <v/>
      </c>
      <c r="AB1775" s="104" t="e">
        <f>IF(Z1775&gt;0,((IF(OR(D1775="DF",D1775="RA")=TRUE,EXP(VLOOKUP(D1775,'Species Codes'!B:I,8,0)+VLOOKUP(D1775,'Species Codes'!B:J,9,0)*(LN((E1775*2.54)))),IF(OR(D1775="PY",D1775="RC",D1775="WH",D1775="NF")=TRUE,VLOOKUP(D1775,'Species Codes'!B:I,8,0)+VLOOKUP(D1775,'Species Codes'!B:J,9,0)*((E1775*2.54)^2)*(I1775*0.3048),IF(OR(D1775="MD",D1775="BM",D1775="GA")=TRUE,((VLOOKUP(D1775,'Species Codes'!B:I,8,0)*(((((E1775*2.54)+VLOOKUP(D1775,'Species Codes'!B:J,9,0))/VLOOKUP(D1775,'Species Codes'!B:K,10,0))^VLOOKUP(D1775,'Species Codes'!B:L,11,0))*((I1775*0.3048)^VLOOKUP(D1775,'Species Codes'!B:M,12,0))))-(VLOOKUP(D1775,'Species Codes'!B:I,8,0)*((((E1775*2.54)^VLOOKUP(D1775,'Species Codes'!B:L,11,0))*((I1775*0.3048)^VLOOKUP(D1775,'Species Codes'!B:M,12,0))))))*35.3*VLOOKUP(D1775,'Species Codes'!B:G,6,0)/2.2046,VLOOKUP(D1775,'Species Codes'!B:I,8,0)+VLOOKUP(D1775,'Species Codes'!B:J,9,0)*(((E1775*2.54)/100)^2)*(I1775*0.3048)))))*0.0011023),0)</f>
        <v>#N/A</v>
      </c>
      <c r="AC1775" s="104" t="e">
        <f>IF(Z1775&gt;0,((IF(OR(D1775="RA",D1775="OA",D1775="OT",D1775="UN",D1775="PC"),EXP(VLOOKUP(D1775,'Species Codes'!B:O,14,0)+VLOOKUP(D1775,'Species Codes'!B:P,15,0)*LN((E1775*2.54)))-EXP(VLOOKUP(D1775,'Species Codes'!B:O,14,0)+VLOOKUP(D1775,'Species Codes'!B:P,15,0)*LN((E1775*2.54)))*(1/(VLOOKUP(D1775,'Species Codes'!B:Q,16,0)+VLOOKUP(D1775,'Species Codes'!B:R,17,0)*((E1775*2.54)^VLOOKUP(D1775,'Species Codes'!B:S,18,0)))),IF(OR(D1775="BM",D1775="MD",D1775="OA"),EXP(VLOOKUP(D1775,'Species Codes'!B:O,14,0)+VLOOKUP(D1775,'Species Codes'!B:P,15,0)*LN((E1775*2.54)))*(1-(1/(VLOOKUP(D1775,'Species Codes'!B:Q,16,0)+VLOOKUP(D1775,'Species Codes'!B:R,17,0)*((E1775*2.54)^VLOOKUP(D1775,'Species Codes'!B:S,18,0)))))/1000,IF(D1775="DF",EXP(VLOOKUP(D1775,'Species Codes'!B:O,14,0)+VLOOKUP(D1775,'Species Codes'!B:P,15,0)*LN((E1775*2.54))),VLOOKUP(D1775,'Species Codes'!B:O,14,0)+VLOOKUP(D1775,'Species Codes'!B:P,15,0)*(((E1775*2.54)/100)^2)*(I1775*0.3048)))))*0.0011023),0)</f>
        <v>#N/A</v>
      </c>
      <c r="AD1775" s="104" t="e">
        <f t="shared" si="787"/>
        <v>#N/A</v>
      </c>
      <c r="AE1775" s="104" t="e">
        <f t="shared" si="788"/>
        <v>#N/A</v>
      </c>
      <c r="AF1775" s="104" t="e">
        <f>IF(AND(VLOOKUP($D1775,Merchantability!$B:$C,2,0)="Yes",$E1775&gt;=VLOOKUP($D1775,Merchantability!$B:$D,3,0),$E1775&lt;=VLOOKUP($D1775,Merchantability!$B:$E,4,0)),AA1775,0)</f>
        <v>#N/A</v>
      </c>
      <c r="AG1775" s="104" t="e">
        <f>IF(AND(VLOOKUP($D1775,Merchantability!$B:$C,2,0)="Yes",$E1775&gt;=VLOOKUP($D1775,Merchantability!$B:$D,3,0),$E1775&lt;=VLOOKUP($D1775,Merchantability!$B:$E,4,0)),AB1775,0)</f>
        <v>#N/A</v>
      </c>
      <c r="AH1775" s="104" t="e">
        <f>IF(AND(VLOOKUP($D1775,Merchantability!$B:$C,2,0)="Yes",$E1775&gt;=VLOOKUP($D1775,Merchantability!$B:$D,3,0),$E1775&lt;=VLOOKUP($D1775,Merchantability!$B:$E,4,0)),AC1775,0)</f>
        <v>#N/A</v>
      </c>
      <c r="AI1775" s="104" t="e">
        <f t="shared" si="789"/>
        <v>#N/A</v>
      </c>
      <c r="AJ1775" s="104" t="e">
        <f t="shared" si="790"/>
        <v>#VALUE!</v>
      </c>
      <c r="AK1775" s="104" t="e">
        <f t="shared" si="791"/>
        <v>#N/A</v>
      </c>
      <c r="AL1775" s="104" t="e">
        <f t="shared" si="792"/>
        <v>#N/A</v>
      </c>
      <c r="AM1775" s="104" t="e">
        <f t="shared" si="793"/>
        <v>#N/A</v>
      </c>
      <c r="AN1775" s="104" t="e">
        <f t="shared" si="777"/>
        <v>#N/A</v>
      </c>
      <c r="AO1775" s="104" t="e">
        <f t="shared" si="778"/>
        <v>#N/A</v>
      </c>
      <c r="AP1775" s="104" t="e">
        <f t="shared" si="779"/>
        <v>#N/A</v>
      </c>
      <c r="AQ1775" s="104" t="e">
        <f t="shared" si="780"/>
        <v>#N/A</v>
      </c>
      <c r="AR1775" s="105" t="str">
        <f t="shared" si="772"/>
        <v/>
      </c>
      <c r="AS1775" s="105" t="str">
        <f t="shared" si="773"/>
        <v/>
      </c>
      <c r="AT1775" s="108" t="str">
        <f t="shared" si="774"/>
        <v/>
      </c>
      <c r="AU1775" s="108" t="str">
        <f t="shared" si="775"/>
        <v/>
      </c>
      <c r="AV1775" s="107" t="str">
        <f>IF(ISNUMBER(O1775),IF(VLOOKUP($A1775,Stand!C:J,8,FALSE)="Short",AT1775,AU1775),"")</f>
        <v/>
      </c>
      <c r="AW1775" s="109" t="str">
        <f t="shared" si="781"/>
        <v/>
      </c>
      <c r="AX1775" s="109" t="str">
        <f t="shared" si="782"/>
        <v/>
      </c>
      <c r="AY1775" s="112" t="str">
        <f>IF(ISNUMBER(O1775),IF(AND(VLOOKUP($D1775,Merchantability!$B:$C,2,0)="Yes",$E1775&gt;=VLOOKUP($D1775,Merchantability!$B:$D,3,0),$E1775&lt;=VLOOKUP($D1775,Merchantability!$B:$E,4,0)),(AV1775*O1775)*(1-$H1775/100),""),"")</f>
        <v/>
      </c>
      <c r="AZ1775" s="116"/>
      <c r="BA1775" s="116"/>
      <c r="BB1775" s="116"/>
      <c r="BE1775" s="62"/>
      <c r="BF1775" s="63"/>
    </row>
    <row r="1776" spans="1:58" ht="12.75" customHeight="1" x14ac:dyDescent="0.25">
      <c r="A1776" s="334"/>
      <c r="B1776" s="334"/>
      <c r="C1776" s="332"/>
      <c r="D1776" s="334"/>
      <c r="E1776" s="335"/>
      <c r="F1776" s="334"/>
      <c r="G1776" s="332"/>
      <c r="H1776" s="332"/>
      <c r="I1776" s="334"/>
      <c r="J1776" s="336"/>
      <c r="K1776" s="332"/>
      <c r="L1776" s="332"/>
      <c r="M1776" s="76"/>
      <c r="N1776" s="103" t="str">
        <f>IF(A1776="","",VLOOKUP(A1776,Stand!C:K,9,0))</f>
        <v/>
      </c>
      <c r="O1776" s="104" t="str">
        <f t="shared" si="767"/>
        <v/>
      </c>
      <c r="P1776" s="105" t="str">
        <f t="shared" si="768"/>
        <v/>
      </c>
      <c r="Q1776" s="105" t="str">
        <f t="shared" si="783"/>
        <v/>
      </c>
      <c r="R1776" s="103" t="str">
        <f t="shared" si="769"/>
        <v/>
      </c>
      <c r="S1776" s="103" t="str">
        <f t="shared" si="770"/>
        <v/>
      </c>
      <c r="T1776" s="106" t="str">
        <f t="shared" si="784"/>
        <v/>
      </c>
      <c r="U1776" s="106" t="str">
        <f t="shared" si="785"/>
        <v/>
      </c>
      <c r="V1776" s="106" t="str">
        <f t="shared" si="786"/>
        <v/>
      </c>
      <c r="W1776" s="105" t="str">
        <f t="shared" si="771"/>
        <v/>
      </c>
      <c r="X1776" s="104" t="str">
        <f t="shared" si="776"/>
        <v/>
      </c>
      <c r="Y1776" s="104" t="str">
        <f t="array" ref="Y1776">IFERROR(IF(ISNUMBER(O1776),IF(COUNT(IF(A1776=$A$2:$A$2427,IF(D1776=$D$2:$D$2427,IF($X$2:$X$2427&gt;0,1))))&gt;0,SUM(IF(A1776=$A$2:$A$2427,IF(D1776=$D$2:$D$2427,$X$2:$X$2427)))/COUNT(IF(A1776=$A$2:$A$2427,IF(D1776=$D$2:$D$2427,IF(ISNUMBER($X$2:$X$2427),1)))),0),""),0)</f>
        <v/>
      </c>
      <c r="Z1776" s="104" t="str">
        <f>IF(ISNUMBER(O1776),IF(I1776&gt;0,(10^(VLOOKUP(D1776,'Species Codes'!B:C,2,0)+VLOOKUP(D1776,'Species Codes'!B:D,3,0)*LOG(E1776)+VLOOKUP(D1776,'Species Codes'!B:E,4,0)*LOG(I1776))),0),"")</f>
        <v/>
      </c>
      <c r="AA1776" s="104" t="str">
        <f>IFERROR((VLOOKUP(D1776,'Species Codes'!B:G,6,0)*Z1776)/2000,"")</f>
        <v/>
      </c>
      <c r="AB1776" s="104" t="e">
        <f>IF(Z1776&gt;0,((IF(OR(D1776="DF",D1776="RA")=TRUE,EXP(VLOOKUP(D1776,'Species Codes'!B:I,8,0)+VLOOKUP(D1776,'Species Codes'!B:J,9,0)*(LN((E1776*2.54)))),IF(OR(D1776="PY",D1776="RC",D1776="WH",D1776="NF")=TRUE,VLOOKUP(D1776,'Species Codes'!B:I,8,0)+VLOOKUP(D1776,'Species Codes'!B:J,9,0)*((E1776*2.54)^2)*(I1776*0.3048),IF(OR(D1776="MD",D1776="BM",D1776="GA")=TRUE,((VLOOKUP(D1776,'Species Codes'!B:I,8,0)*(((((E1776*2.54)+VLOOKUP(D1776,'Species Codes'!B:J,9,0))/VLOOKUP(D1776,'Species Codes'!B:K,10,0))^VLOOKUP(D1776,'Species Codes'!B:L,11,0))*((I1776*0.3048)^VLOOKUP(D1776,'Species Codes'!B:M,12,0))))-(VLOOKUP(D1776,'Species Codes'!B:I,8,0)*((((E1776*2.54)^VLOOKUP(D1776,'Species Codes'!B:L,11,0))*((I1776*0.3048)^VLOOKUP(D1776,'Species Codes'!B:M,12,0))))))*35.3*VLOOKUP(D1776,'Species Codes'!B:G,6,0)/2.2046,VLOOKUP(D1776,'Species Codes'!B:I,8,0)+VLOOKUP(D1776,'Species Codes'!B:J,9,0)*(((E1776*2.54)/100)^2)*(I1776*0.3048)))))*0.0011023),0)</f>
        <v>#N/A</v>
      </c>
      <c r="AC1776" s="104" t="e">
        <f>IF(Z1776&gt;0,((IF(OR(D1776="RA",D1776="OA",D1776="OT",D1776="UN",D1776="PC"),EXP(VLOOKUP(D1776,'Species Codes'!B:O,14,0)+VLOOKUP(D1776,'Species Codes'!B:P,15,0)*LN((E1776*2.54)))-EXP(VLOOKUP(D1776,'Species Codes'!B:O,14,0)+VLOOKUP(D1776,'Species Codes'!B:P,15,0)*LN((E1776*2.54)))*(1/(VLOOKUP(D1776,'Species Codes'!B:Q,16,0)+VLOOKUP(D1776,'Species Codes'!B:R,17,0)*((E1776*2.54)^VLOOKUP(D1776,'Species Codes'!B:S,18,0)))),IF(OR(D1776="BM",D1776="MD",D1776="OA"),EXP(VLOOKUP(D1776,'Species Codes'!B:O,14,0)+VLOOKUP(D1776,'Species Codes'!B:P,15,0)*LN((E1776*2.54)))*(1-(1/(VLOOKUP(D1776,'Species Codes'!B:Q,16,0)+VLOOKUP(D1776,'Species Codes'!B:R,17,0)*((E1776*2.54)^VLOOKUP(D1776,'Species Codes'!B:S,18,0)))))/1000,IF(D1776="DF",EXP(VLOOKUP(D1776,'Species Codes'!B:O,14,0)+VLOOKUP(D1776,'Species Codes'!B:P,15,0)*LN((E1776*2.54))),VLOOKUP(D1776,'Species Codes'!B:O,14,0)+VLOOKUP(D1776,'Species Codes'!B:P,15,0)*(((E1776*2.54)/100)^2)*(I1776*0.3048)))))*0.0011023),0)</f>
        <v>#N/A</v>
      </c>
      <c r="AD1776" s="104" t="e">
        <f t="shared" si="787"/>
        <v>#N/A</v>
      </c>
      <c r="AE1776" s="104" t="e">
        <f t="shared" si="788"/>
        <v>#N/A</v>
      </c>
      <c r="AF1776" s="104" t="e">
        <f>IF(AND(VLOOKUP($D1776,Merchantability!$B:$C,2,0)="Yes",$E1776&gt;=VLOOKUP($D1776,Merchantability!$B:$D,3,0),$E1776&lt;=VLOOKUP($D1776,Merchantability!$B:$E,4,0)),AA1776,0)</f>
        <v>#N/A</v>
      </c>
      <c r="AG1776" s="104" t="e">
        <f>IF(AND(VLOOKUP($D1776,Merchantability!$B:$C,2,0)="Yes",$E1776&gt;=VLOOKUP($D1776,Merchantability!$B:$D,3,0),$E1776&lt;=VLOOKUP($D1776,Merchantability!$B:$E,4,0)),AB1776,0)</f>
        <v>#N/A</v>
      </c>
      <c r="AH1776" s="104" t="e">
        <f>IF(AND(VLOOKUP($D1776,Merchantability!$B:$C,2,0)="Yes",$E1776&gt;=VLOOKUP($D1776,Merchantability!$B:$D,3,0),$E1776&lt;=VLOOKUP($D1776,Merchantability!$B:$E,4,0)),AC1776,0)</f>
        <v>#N/A</v>
      </c>
      <c r="AI1776" s="104" t="e">
        <f t="shared" si="789"/>
        <v>#N/A</v>
      </c>
      <c r="AJ1776" s="104" t="e">
        <f t="shared" si="790"/>
        <v>#VALUE!</v>
      </c>
      <c r="AK1776" s="104" t="e">
        <f t="shared" si="791"/>
        <v>#N/A</v>
      </c>
      <c r="AL1776" s="104" t="e">
        <f t="shared" si="792"/>
        <v>#N/A</v>
      </c>
      <c r="AM1776" s="104" t="e">
        <f t="shared" si="793"/>
        <v>#N/A</v>
      </c>
      <c r="AN1776" s="104" t="e">
        <f t="shared" si="777"/>
        <v>#N/A</v>
      </c>
      <c r="AO1776" s="104" t="e">
        <f t="shared" si="778"/>
        <v>#N/A</v>
      </c>
      <c r="AP1776" s="104" t="e">
        <f t="shared" si="779"/>
        <v>#N/A</v>
      </c>
      <c r="AQ1776" s="104" t="e">
        <f t="shared" si="780"/>
        <v>#N/A</v>
      </c>
      <c r="AR1776" s="105" t="str">
        <f t="shared" si="772"/>
        <v/>
      </c>
      <c r="AS1776" s="105" t="str">
        <f t="shared" si="773"/>
        <v/>
      </c>
      <c r="AT1776" s="108" t="str">
        <f t="shared" si="774"/>
        <v/>
      </c>
      <c r="AU1776" s="108" t="str">
        <f t="shared" si="775"/>
        <v/>
      </c>
      <c r="AV1776" s="107" t="str">
        <f>IF(ISNUMBER(O1776),IF(VLOOKUP($A1776,Stand!C:J,8,FALSE)="Short",AT1776,AU1776),"")</f>
        <v/>
      </c>
      <c r="AW1776" s="109" t="str">
        <f t="shared" si="781"/>
        <v/>
      </c>
      <c r="AX1776" s="109" t="str">
        <f t="shared" si="782"/>
        <v/>
      </c>
      <c r="AY1776" s="112" t="str">
        <f>IF(ISNUMBER(O1776),IF(AND(VLOOKUP($D1776,Merchantability!$B:$C,2,0)="Yes",$E1776&gt;=VLOOKUP($D1776,Merchantability!$B:$D,3,0),$E1776&lt;=VLOOKUP($D1776,Merchantability!$B:$E,4,0)),(AV1776*O1776)*(1-$H1776/100),""),"")</f>
        <v/>
      </c>
      <c r="AZ1776" s="116"/>
      <c r="BA1776" s="116"/>
      <c r="BB1776" s="116"/>
      <c r="BE1776" s="62"/>
      <c r="BF1776" s="63"/>
    </row>
    <row r="1777" spans="1:58" ht="12.75" customHeight="1" x14ac:dyDescent="0.25">
      <c r="A1777" s="334"/>
      <c r="B1777" s="334"/>
      <c r="C1777" s="332"/>
      <c r="D1777" s="334"/>
      <c r="E1777" s="335"/>
      <c r="F1777" s="334"/>
      <c r="G1777" s="332"/>
      <c r="H1777" s="332"/>
      <c r="I1777" s="334"/>
      <c r="J1777" s="336"/>
      <c r="K1777" s="332"/>
      <c r="L1777" s="332"/>
      <c r="M1777" s="76"/>
      <c r="N1777" s="103" t="str">
        <f>IF(A1777="","",VLOOKUP(A1777,Stand!C:K,9,0))</f>
        <v/>
      </c>
      <c r="O1777" s="104" t="str">
        <f t="shared" si="767"/>
        <v/>
      </c>
      <c r="P1777" s="105" t="str">
        <f t="shared" si="768"/>
        <v/>
      </c>
      <c r="Q1777" s="105" t="str">
        <f t="shared" si="783"/>
        <v/>
      </c>
      <c r="R1777" s="103" t="str">
        <f t="shared" si="769"/>
        <v/>
      </c>
      <c r="S1777" s="103" t="str">
        <f t="shared" si="770"/>
        <v/>
      </c>
      <c r="T1777" s="106" t="str">
        <f t="shared" si="784"/>
        <v/>
      </c>
      <c r="U1777" s="106" t="str">
        <f t="shared" si="785"/>
        <v/>
      </c>
      <c r="V1777" s="106" t="str">
        <f t="shared" si="786"/>
        <v/>
      </c>
      <c r="W1777" s="105" t="str">
        <f t="shared" si="771"/>
        <v/>
      </c>
      <c r="X1777" s="104" t="str">
        <f t="shared" si="776"/>
        <v/>
      </c>
      <c r="Y1777" s="104" t="str">
        <f t="array" ref="Y1777">IFERROR(IF(ISNUMBER(O1777),IF(COUNT(IF(A1777=$A$2:$A$2427,IF(D1777=$D$2:$D$2427,IF($X$2:$X$2427&gt;0,1))))&gt;0,SUM(IF(A1777=$A$2:$A$2427,IF(D1777=$D$2:$D$2427,$X$2:$X$2427)))/COUNT(IF(A1777=$A$2:$A$2427,IF(D1777=$D$2:$D$2427,IF(ISNUMBER($X$2:$X$2427),1)))),0),""),0)</f>
        <v/>
      </c>
      <c r="Z1777" s="104" t="str">
        <f>IF(ISNUMBER(O1777),IF(I1777&gt;0,(10^(VLOOKUP(D1777,'Species Codes'!B:C,2,0)+VLOOKUP(D1777,'Species Codes'!B:D,3,0)*LOG(E1777)+VLOOKUP(D1777,'Species Codes'!B:E,4,0)*LOG(I1777))),0),"")</f>
        <v/>
      </c>
      <c r="AA1777" s="104" t="str">
        <f>IFERROR((VLOOKUP(D1777,'Species Codes'!B:G,6,0)*Z1777)/2000,"")</f>
        <v/>
      </c>
      <c r="AB1777" s="104" t="e">
        <f>IF(Z1777&gt;0,((IF(OR(D1777="DF",D1777="RA")=TRUE,EXP(VLOOKUP(D1777,'Species Codes'!B:I,8,0)+VLOOKUP(D1777,'Species Codes'!B:J,9,0)*(LN((E1777*2.54)))),IF(OR(D1777="PY",D1777="RC",D1777="WH",D1777="NF")=TRUE,VLOOKUP(D1777,'Species Codes'!B:I,8,0)+VLOOKUP(D1777,'Species Codes'!B:J,9,0)*((E1777*2.54)^2)*(I1777*0.3048),IF(OR(D1777="MD",D1777="BM",D1777="GA")=TRUE,((VLOOKUP(D1777,'Species Codes'!B:I,8,0)*(((((E1777*2.54)+VLOOKUP(D1777,'Species Codes'!B:J,9,0))/VLOOKUP(D1777,'Species Codes'!B:K,10,0))^VLOOKUP(D1777,'Species Codes'!B:L,11,0))*((I1777*0.3048)^VLOOKUP(D1777,'Species Codes'!B:M,12,0))))-(VLOOKUP(D1777,'Species Codes'!B:I,8,0)*((((E1777*2.54)^VLOOKUP(D1777,'Species Codes'!B:L,11,0))*((I1777*0.3048)^VLOOKUP(D1777,'Species Codes'!B:M,12,0))))))*35.3*VLOOKUP(D1777,'Species Codes'!B:G,6,0)/2.2046,VLOOKUP(D1777,'Species Codes'!B:I,8,0)+VLOOKUP(D1777,'Species Codes'!B:J,9,0)*(((E1777*2.54)/100)^2)*(I1777*0.3048)))))*0.0011023),0)</f>
        <v>#N/A</v>
      </c>
      <c r="AC1777" s="104" t="e">
        <f>IF(Z1777&gt;0,((IF(OR(D1777="RA",D1777="OA",D1777="OT",D1777="UN",D1777="PC"),EXP(VLOOKUP(D1777,'Species Codes'!B:O,14,0)+VLOOKUP(D1777,'Species Codes'!B:P,15,0)*LN((E1777*2.54)))-EXP(VLOOKUP(D1777,'Species Codes'!B:O,14,0)+VLOOKUP(D1777,'Species Codes'!B:P,15,0)*LN((E1777*2.54)))*(1/(VLOOKUP(D1777,'Species Codes'!B:Q,16,0)+VLOOKUP(D1777,'Species Codes'!B:R,17,0)*((E1777*2.54)^VLOOKUP(D1777,'Species Codes'!B:S,18,0)))),IF(OR(D1777="BM",D1777="MD",D1777="OA"),EXP(VLOOKUP(D1777,'Species Codes'!B:O,14,0)+VLOOKUP(D1777,'Species Codes'!B:P,15,0)*LN((E1777*2.54)))*(1-(1/(VLOOKUP(D1777,'Species Codes'!B:Q,16,0)+VLOOKUP(D1777,'Species Codes'!B:R,17,0)*((E1777*2.54)^VLOOKUP(D1777,'Species Codes'!B:S,18,0)))))/1000,IF(D1777="DF",EXP(VLOOKUP(D1777,'Species Codes'!B:O,14,0)+VLOOKUP(D1777,'Species Codes'!B:P,15,0)*LN((E1777*2.54))),VLOOKUP(D1777,'Species Codes'!B:O,14,0)+VLOOKUP(D1777,'Species Codes'!B:P,15,0)*(((E1777*2.54)/100)^2)*(I1777*0.3048)))))*0.0011023),0)</f>
        <v>#N/A</v>
      </c>
      <c r="AD1777" s="104" t="e">
        <f t="shared" si="787"/>
        <v>#N/A</v>
      </c>
      <c r="AE1777" s="104" t="e">
        <f t="shared" si="788"/>
        <v>#N/A</v>
      </c>
      <c r="AF1777" s="104" t="e">
        <f>IF(AND(VLOOKUP($D1777,Merchantability!$B:$C,2,0)="Yes",$E1777&gt;=VLOOKUP($D1777,Merchantability!$B:$D,3,0),$E1777&lt;=VLOOKUP($D1777,Merchantability!$B:$E,4,0)),AA1777,0)</f>
        <v>#N/A</v>
      </c>
      <c r="AG1777" s="104" t="e">
        <f>IF(AND(VLOOKUP($D1777,Merchantability!$B:$C,2,0)="Yes",$E1777&gt;=VLOOKUP($D1777,Merchantability!$B:$D,3,0),$E1777&lt;=VLOOKUP($D1777,Merchantability!$B:$E,4,0)),AB1777,0)</f>
        <v>#N/A</v>
      </c>
      <c r="AH1777" s="104" t="e">
        <f>IF(AND(VLOOKUP($D1777,Merchantability!$B:$C,2,0)="Yes",$E1777&gt;=VLOOKUP($D1777,Merchantability!$B:$D,3,0),$E1777&lt;=VLOOKUP($D1777,Merchantability!$B:$E,4,0)),AC1777,0)</f>
        <v>#N/A</v>
      </c>
      <c r="AI1777" s="104" t="e">
        <f t="shared" si="789"/>
        <v>#N/A</v>
      </c>
      <c r="AJ1777" s="104" t="e">
        <f t="shared" si="790"/>
        <v>#VALUE!</v>
      </c>
      <c r="AK1777" s="104" t="e">
        <f t="shared" si="791"/>
        <v>#N/A</v>
      </c>
      <c r="AL1777" s="104" t="e">
        <f t="shared" si="792"/>
        <v>#N/A</v>
      </c>
      <c r="AM1777" s="104" t="e">
        <f t="shared" si="793"/>
        <v>#N/A</v>
      </c>
      <c r="AN1777" s="104" t="e">
        <f t="shared" si="777"/>
        <v>#N/A</v>
      </c>
      <c r="AO1777" s="104" t="e">
        <f t="shared" si="778"/>
        <v>#N/A</v>
      </c>
      <c r="AP1777" s="104" t="e">
        <f t="shared" si="779"/>
        <v>#N/A</v>
      </c>
      <c r="AQ1777" s="104" t="e">
        <f t="shared" si="780"/>
        <v>#N/A</v>
      </c>
      <c r="AR1777" s="105" t="str">
        <f t="shared" si="772"/>
        <v/>
      </c>
      <c r="AS1777" s="105" t="str">
        <f t="shared" si="773"/>
        <v/>
      </c>
      <c r="AT1777" s="108" t="str">
        <f t="shared" si="774"/>
        <v/>
      </c>
      <c r="AU1777" s="108" t="str">
        <f t="shared" si="775"/>
        <v/>
      </c>
      <c r="AV1777" s="107" t="str">
        <f>IF(ISNUMBER(O1777),IF(VLOOKUP($A1777,Stand!C:J,8,FALSE)="Short",AT1777,AU1777),"")</f>
        <v/>
      </c>
      <c r="AW1777" s="109" t="str">
        <f t="shared" si="781"/>
        <v/>
      </c>
      <c r="AX1777" s="109" t="str">
        <f t="shared" si="782"/>
        <v/>
      </c>
      <c r="AY1777" s="112" t="str">
        <f>IF(ISNUMBER(O1777),IF(AND(VLOOKUP($D1777,Merchantability!$B:$C,2,0)="Yes",$E1777&gt;=VLOOKUP($D1777,Merchantability!$B:$D,3,0),$E1777&lt;=VLOOKUP($D1777,Merchantability!$B:$E,4,0)),(AV1777*O1777)*(1-$H1777/100),""),"")</f>
        <v/>
      </c>
      <c r="AZ1777" s="116"/>
      <c r="BA1777" s="116"/>
      <c r="BB1777" s="116"/>
      <c r="BE1777" s="62"/>
      <c r="BF1777" s="63"/>
    </row>
    <row r="1778" spans="1:58" ht="12.75" customHeight="1" x14ac:dyDescent="0.25">
      <c r="A1778" s="334"/>
      <c r="B1778" s="334"/>
      <c r="C1778" s="332"/>
      <c r="D1778" s="334"/>
      <c r="E1778" s="335"/>
      <c r="F1778" s="334"/>
      <c r="G1778" s="332"/>
      <c r="H1778" s="332"/>
      <c r="I1778" s="334"/>
      <c r="J1778" s="336"/>
      <c r="K1778" s="332"/>
      <c r="L1778" s="332"/>
      <c r="M1778" s="76"/>
      <c r="N1778" s="103" t="str">
        <f>IF(A1778="","",VLOOKUP(A1778,Stand!C:K,9,0))</f>
        <v/>
      </c>
      <c r="O1778" s="104" t="str">
        <f t="shared" si="767"/>
        <v/>
      </c>
      <c r="P1778" s="105" t="str">
        <f t="shared" si="768"/>
        <v/>
      </c>
      <c r="Q1778" s="105" t="str">
        <f t="shared" si="783"/>
        <v/>
      </c>
      <c r="R1778" s="103" t="str">
        <f t="shared" si="769"/>
        <v/>
      </c>
      <c r="S1778" s="103" t="str">
        <f t="shared" si="770"/>
        <v/>
      </c>
      <c r="T1778" s="106" t="str">
        <f t="shared" si="784"/>
        <v/>
      </c>
      <c r="U1778" s="106" t="str">
        <f t="shared" si="785"/>
        <v/>
      </c>
      <c r="V1778" s="106" t="str">
        <f t="shared" si="786"/>
        <v/>
      </c>
      <c r="W1778" s="105" t="str">
        <f t="shared" si="771"/>
        <v/>
      </c>
      <c r="X1778" s="104" t="str">
        <f t="shared" si="776"/>
        <v/>
      </c>
      <c r="Y1778" s="104" t="str">
        <f t="array" ref="Y1778">IFERROR(IF(ISNUMBER(O1778),IF(COUNT(IF(A1778=$A$2:$A$2427,IF(D1778=$D$2:$D$2427,IF($X$2:$X$2427&gt;0,1))))&gt;0,SUM(IF(A1778=$A$2:$A$2427,IF(D1778=$D$2:$D$2427,$X$2:$X$2427)))/COUNT(IF(A1778=$A$2:$A$2427,IF(D1778=$D$2:$D$2427,IF(ISNUMBER($X$2:$X$2427),1)))),0),""),0)</f>
        <v/>
      </c>
      <c r="Z1778" s="104" t="str">
        <f>IF(ISNUMBER(O1778),IF(I1778&gt;0,(10^(VLOOKUP(D1778,'Species Codes'!B:C,2,0)+VLOOKUP(D1778,'Species Codes'!B:D,3,0)*LOG(E1778)+VLOOKUP(D1778,'Species Codes'!B:E,4,0)*LOG(I1778))),0),"")</f>
        <v/>
      </c>
      <c r="AA1778" s="104" t="str">
        <f>IFERROR((VLOOKUP(D1778,'Species Codes'!B:G,6,0)*Z1778)/2000,"")</f>
        <v/>
      </c>
      <c r="AB1778" s="104" t="e">
        <f>IF(Z1778&gt;0,((IF(OR(D1778="DF",D1778="RA")=TRUE,EXP(VLOOKUP(D1778,'Species Codes'!B:I,8,0)+VLOOKUP(D1778,'Species Codes'!B:J,9,0)*(LN((E1778*2.54)))),IF(OR(D1778="PY",D1778="RC",D1778="WH",D1778="NF")=TRUE,VLOOKUP(D1778,'Species Codes'!B:I,8,0)+VLOOKUP(D1778,'Species Codes'!B:J,9,0)*((E1778*2.54)^2)*(I1778*0.3048),IF(OR(D1778="MD",D1778="BM",D1778="GA")=TRUE,((VLOOKUP(D1778,'Species Codes'!B:I,8,0)*(((((E1778*2.54)+VLOOKUP(D1778,'Species Codes'!B:J,9,0))/VLOOKUP(D1778,'Species Codes'!B:K,10,0))^VLOOKUP(D1778,'Species Codes'!B:L,11,0))*((I1778*0.3048)^VLOOKUP(D1778,'Species Codes'!B:M,12,0))))-(VLOOKUP(D1778,'Species Codes'!B:I,8,0)*((((E1778*2.54)^VLOOKUP(D1778,'Species Codes'!B:L,11,0))*((I1778*0.3048)^VLOOKUP(D1778,'Species Codes'!B:M,12,0))))))*35.3*VLOOKUP(D1778,'Species Codes'!B:G,6,0)/2.2046,VLOOKUP(D1778,'Species Codes'!B:I,8,0)+VLOOKUP(D1778,'Species Codes'!B:J,9,0)*(((E1778*2.54)/100)^2)*(I1778*0.3048)))))*0.0011023),0)</f>
        <v>#N/A</v>
      </c>
      <c r="AC1778" s="104" t="e">
        <f>IF(Z1778&gt;0,((IF(OR(D1778="RA",D1778="OA",D1778="OT",D1778="UN",D1778="PC"),EXP(VLOOKUP(D1778,'Species Codes'!B:O,14,0)+VLOOKUP(D1778,'Species Codes'!B:P,15,0)*LN((E1778*2.54)))-EXP(VLOOKUP(D1778,'Species Codes'!B:O,14,0)+VLOOKUP(D1778,'Species Codes'!B:P,15,0)*LN((E1778*2.54)))*(1/(VLOOKUP(D1778,'Species Codes'!B:Q,16,0)+VLOOKUP(D1778,'Species Codes'!B:R,17,0)*((E1778*2.54)^VLOOKUP(D1778,'Species Codes'!B:S,18,0)))),IF(OR(D1778="BM",D1778="MD",D1778="OA"),EXP(VLOOKUP(D1778,'Species Codes'!B:O,14,0)+VLOOKUP(D1778,'Species Codes'!B:P,15,0)*LN((E1778*2.54)))*(1-(1/(VLOOKUP(D1778,'Species Codes'!B:Q,16,0)+VLOOKUP(D1778,'Species Codes'!B:R,17,0)*((E1778*2.54)^VLOOKUP(D1778,'Species Codes'!B:S,18,0)))))/1000,IF(D1778="DF",EXP(VLOOKUP(D1778,'Species Codes'!B:O,14,0)+VLOOKUP(D1778,'Species Codes'!B:P,15,0)*LN((E1778*2.54))),VLOOKUP(D1778,'Species Codes'!B:O,14,0)+VLOOKUP(D1778,'Species Codes'!B:P,15,0)*(((E1778*2.54)/100)^2)*(I1778*0.3048)))))*0.0011023),0)</f>
        <v>#N/A</v>
      </c>
      <c r="AD1778" s="104" t="e">
        <f t="shared" si="787"/>
        <v>#N/A</v>
      </c>
      <c r="AE1778" s="104" t="e">
        <f t="shared" si="788"/>
        <v>#N/A</v>
      </c>
      <c r="AF1778" s="104" t="e">
        <f>IF(AND(VLOOKUP($D1778,Merchantability!$B:$C,2,0)="Yes",$E1778&gt;=VLOOKUP($D1778,Merchantability!$B:$D,3,0),$E1778&lt;=VLOOKUP($D1778,Merchantability!$B:$E,4,0)),AA1778,0)</f>
        <v>#N/A</v>
      </c>
      <c r="AG1778" s="104" t="e">
        <f>IF(AND(VLOOKUP($D1778,Merchantability!$B:$C,2,0)="Yes",$E1778&gt;=VLOOKUP($D1778,Merchantability!$B:$D,3,0),$E1778&lt;=VLOOKUP($D1778,Merchantability!$B:$E,4,0)),AB1778,0)</f>
        <v>#N/A</v>
      </c>
      <c r="AH1778" s="104" t="e">
        <f>IF(AND(VLOOKUP($D1778,Merchantability!$B:$C,2,0)="Yes",$E1778&gt;=VLOOKUP($D1778,Merchantability!$B:$D,3,0),$E1778&lt;=VLOOKUP($D1778,Merchantability!$B:$E,4,0)),AC1778,0)</f>
        <v>#N/A</v>
      </c>
      <c r="AI1778" s="104" t="e">
        <f t="shared" si="789"/>
        <v>#N/A</v>
      </c>
      <c r="AJ1778" s="104" t="e">
        <f t="shared" si="790"/>
        <v>#VALUE!</v>
      </c>
      <c r="AK1778" s="104" t="e">
        <f t="shared" si="791"/>
        <v>#N/A</v>
      </c>
      <c r="AL1778" s="104" t="e">
        <f t="shared" si="792"/>
        <v>#N/A</v>
      </c>
      <c r="AM1778" s="104" t="e">
        <f t="shared" si="793"/>
        <v>#N/A</v>
      </c>
      <c r="AN1778" s="104" t="e">
        <f t="shared" si="777"/>
        <v>#N/A</v>
      </c>
      <c r="AO1778" s="104" t="e">
        <f t="shared" si="778"/>
        <v>#N/A</v>
      </c>
      <c r="AP1778" s="104" t="e">
        <f t="shared" si="779"/>
        <v>#N/A</v>
      </c>
      <c r="AQ1778" s="104" t="e">
        <f t="shared" si="780"/>
        <v>#N/A</v>
      </c>
      <c r="AR1778" s="105" t="str">
        <f t="shared" si="772"/>
        <v/>
      </c>
      <c r="AS1778" s="105" t="str">
        <f t="shared" si="773"/>
        <v/>
      </c>
      <c r="AT1778" s="108" t="str">
        <f t="shared" si="774"/>
        <v/>
      </c>
      <c r="AU1778" s="108" t="str">
        <f t="shared" si="775"/>
        <v/>
      </c>
      <c r="AV1778" s="107" t="str">
        <f>IF(ISNUMBER(O1778),IF(VLOOKUP($A1778,Stand!C:J,8,FALSE)="Short",AT1778,AU1778),"")</f>
        <v/>
      </c>
      <c r="AW1778" s="109" t="str">
        <f t="shared" si="781"/>
        <v/>
      </c>
      <c r="AX1778" s="109" t="str">
        <f t="shared" si="782"/>
        <v/>
      </c>
      <c r="AY1778" s="112" t="str">
        <f>IF(ISNUMBER(O1778),IF(AND(VLOOKUP($D1778,Merchantability!$B:$C,2,0)="Yes",$E1778&gt;=VLOOKUP($D1778,Merchantability!$B:$D,3,0),$E1778&lt;=VLOOKUP($D1778,Merchantability!$B:$E,4,0)),(AV1778*O1778)*(1-$H1778/100),""),"")</f>
        <v/>
      </c>
      <c r="AZ1778" s="116"/>
      <c r="BA1778" s="116"/>
      <c r="BB1778" s="116"/>
      <c r="BE1778" s="62"/>
      <c r="BF1778" s="63"/>
    </row>
    <row r="1779" spans="1:58" ht="12.75" customHeight="1" x14ac:dyDescent="0.25">
      <c r="A1779" s="334"/>
      <c r="B1779" s="334"/>
      <c r="C1779" s="332"/>
      <c r="D1779" s="334"/>
      <c r="E1779" s="335"/>
      <c r="F1779" s="334"/>
      <c r="G1779" s="332"/>
      <c r="H1779" s="332"/>
      <c r="I1779" s="334"/>
      <c r="J1779" s="336"/>
      <c r="K1779" s="332"/>
      <c r="L1779" s="332"/>
      <c r="M1779" s="76"/>
      <c r="N1779" s="103" t="str">
        <f>IF(A1779="","",VLOOKUP(A1779,Stand!C:K,9,0))</f>
        <v/>
      </c>
      <c r="O1779" s="104" t="str">
        <f t="shared" si="767"/>
        <v/>
      </c>
      <c r="P1779" s="105" t="str">
        <f t="shared" si="768"/>
        <v/>
      </c>
      <c r="Q1779" s="105" t="str">
        <f t="shared" si="783"/>
        <v/>
      </c>
      <c r="R1779" s="103" t="str">
        <f t="shared" si="769"/>
        <v/>
      </c>
      <c r="S1779" s="103" t="str">
        <f t="shared" si="770"/>
        <v/>
      </c>
      <c r="T1779" s="106" t="str">
        <f t="shared" si="784"/>
        <v/>
      </c>
      <c r="U1779" s="106" t="str">
        <f t="shared" si="785"/>
        <v/>
      </c>
      <c r="V1779" s="106" t="str">
        <f t="shared" si="786"/>
        <v/>
      </c>
      <c r="W1779" s="105" t="str">
        <f t="shared" si="771"/>
        <v/>
      </c>
      <c r="X1779" s="104" t="str">
        <f t="shared" si="776"/>
        <v/>
      </c>
      <c r="Y1779" s="104" t="str">
        <f t="array" ref="Y1779">IFERROR(IF(ISNUMBER(O1779),IF(COUNT(IF(A1779=$A$2:$A$2427,IF(D1779=$D$2:$D$2427,IF($X$2:$X$2427&gt;0,1))))&gt;0,SUM(IF(A1779=$A$2:$A$2427,IF(D1779=$D$2:$D$2427,$X$2:$X$2427)))/COUNT(IF(A1779=$A$2:$A$2427,IF(D1779=$D$2:$D$2427,IF(ISNUMBER($X$2:$X$2427),1)))),0),""),0)</f>
        <v/>
      </c>
      <c r="Z1779" s="104" t="str">
        <f>IF(ISNUMBER(O1779),IF(I1779&gt;0,(10^(VLOOKUP(D1779,'Species Codes'!B:C,2,0)+VLOOKUP(D1779,'Species Codes'!B:D,3,0)*LOG(E1779)+VLOOKUP(D1779,'Species Codes'!B:E,4,0)*LOG(I1779))),0),"")</f>
        <v/>
      </c>
      <c r="AA1779" s="104" t="str">
        <f>IFERROR((VLOOKUP(D1779,'Species Codes'!B:G,6,0)*Z1779)/2000,"")</f>
        <v/>
      </c>
      <c r="AB1779" s="104" t="e">
        <f>IF(Z1779&gt;0,((IF(OR(D1779="DF",D1779="RA")=TRUE,EXP(VLOOKUP(D1779,'Species Codes'!B:I,8,0)+VLOOKUP(D1779,'Species Codes'!B:J,9,0)*(LN((E1779*2.54)))),IF(OR(D1779="PY",D1779="RC",D1779="WH",D1779="NF")=TRUE,VLOOKUP(D1779,'Species Codes'!B:I,8,0)+VLOOKUP(D1779,'Species Codes'!B:J,9,0)*((E1779*2.54)^2)*(I1779*0.3048),IF(OR(D1779="MD",D1779="BM",D1779="GA")=TRUE,((VLOOKUP(D1779,'Species Codes'!B:I,8,0)*(((((E1779*2.54)+VLOOKUP(D1779,'Species Codes'!B:J,9,0))/VLOOKUP(D1779,'Species Codes'!B:K,10,0))^VLOOKUP(D1779,'Species Codes'!B:L,11,0))*((I1779*0.3048)^VLOOKUP(D1779,'Species Codes'!B:M,12,0))))-(VLOOKUP(D1779,'Species Codes'!B:I,8,0)*((((E1779*2.54)^VLOOKUP(D1779,'Species Codes'!B:L,11,0))*((I1779*0.3048)^VLOOKUP(D1779,'Species Codes'!B:M,12,0))))))*35.3*VLOOKUP(D1779,'Species Codes'!B:G,6,0)/2.2046,VLOOKUP(D1779,'Species Codes'!B:I,8,0)+VLOOKUP(D1779,'Species Codes'!B:J,9,0)*(((E1779*2.54)/100)^2)*(I1779*0.3048)))))*0.0011023),0)</f>
        <v>#N/A</v>
      </c>
      <c r="AC1779" s="104" t="e">
        <f>IF(Z1779&gt;0,((IF(OR(D1779="RA",D1779="OA",D1779="OT",D1779="UN",D1779="PC"),EXP(VLOOKUP(D1779,'Species Codes'!B:O,14,0)+VLOOKUP(D1779,'Species Codes'!B:P,15,0)*LN((E1779*2.54)))-EXP(VLOOKUP(D1779,'Species Codes'!B:O,14,0)+VLOOKUP(D1779,'Species Codes'!B:P,15,0)*LN((E1779*2.54)))*(1/(VLOOKUP(D1779,'Species Codes'!B:Q,16,0)+VLOOKUP(D1779,'Species Codes'!B:R,17,0)*((E1779*2.54)^VLOOKUP(D1779,'Species Codes'!B:S,18,0)))),IF(OR(D1779="BM",D1779="MD",D1779="OA"),EXP(VLOOKUP(D1779,'Species Codes'!B:O,14,0)+VLOOKUP(D1779,'Species Codes'!B:P,15,0)*LN((E1779*2.54)))*(1-(1/(VLOOKUP(D1779,'Species Codes'!B:Q,16,0)+VLOOKUP(D1779,'Species Codes'!B:R,17,0)*((E1779*2.54)^VLOOKUP(D1779,'Species Codes'!B:S,18,0)))))/1000,IF(D1779="DF",EXP(VLOOKUP(D1779,'Species Codes'!B:O,14,0)+VLOOKUP(D1779,'Species Codes'!B:P,15,0)*LN((E1779*2.54))),VLOOKUP(D1779,'Species Codes'!B:O,14,0)+VLOOKUP(D1779,'Species Codes'!B:P,15,0)*(((E1779*2.54)/100)^2)*(I1779*0.3048)))))*0.0011023),0)</f>
        <v>#N/A</v>
      </c>
      <c r="AD1779" s="104" t="e">
        <f t="shared" si="787"/>
        <v>#N/A</v>
      </c>
      <c r="AE1779" s="104" t="e">
        <f t="shared" si="788"/>
        <v>#N/A</v>
      </c>
      <c r="AF1779" s="104" t="e">
        <f>IF(AND(VLOOKUP($D1779,Merchantability!$B:$C,2,0)="Yes",$E1779&gt;=VLOOKUP($D1779,Merchantability!$B:$D,3,0),$E1779&lt;=VLOOKUP($D1779,Merchantability!$B:$E,4,0)),AA1779,0)</f>
        <v>#N/A</v>
      </c>
      <c r="AG1779" s="104" t="e">
        <f>IF(AND(VLOOKUP($D1779,Merchantability!$B:$C,2,0)="Yes",$E1779&gt;=VLOOKUP($D1779,Merchantability!$B:$D,3,0),$E1779&lt;=VLOOKUP($D1779,Merchantability!$B:$E,4,0)),AB1779,0)</f>
        <v>#N/A</v>
      </c>
      <c r="AH1779" s="104" t="e">
        <f>IF(AND(VLOOKUP($D1779,Merchantability!$B:$C,2,0)="Yes",$E1779&gt;=VLOOKUP($D1779,Merchantability!$B:$D,3,0),$E1779&lt;=VLOOKUP($D1779,Merchantability!$B:$E,4,0)),AC1779,0)</f>
        <v>#N/A</v>
      </c>
      <c r="AI1779" s="104" t="e">
        <f t="shared" si="789"/>
        <v>#N/A</v>
      </c>
      <c r="AJ1779" s="104" t="e">
        <f t="shared" si="790"/>
        <v>#VALUE!</v>
      </c>
      <c r="AK1779" s="104" t="e">
        <f t="shared" si="791"/>
        <v>#N/A</v>
      </c>
      <c r="AL1779" s="104" t="e">
        <f t="shared" si="792"/>
        <v>#N/A</v>
      </c>
      <c r="AM1779" s="104" t="e">
        <f t="shared" si="793"/>
        <v>#N/A</v>
      </c>
      <c r="AN1779" s="104" t="e">
        <f t="shared" si="777"/>
        <v>#N/A</v>
      </c>
      <c r="AO1779" s="104" t="e">
        <f t="shared" si="778"/>
        <v>#N/A</v>
      </c>
      <c r="AP1779" s="104" t="e">
        <f t="shared" si="779"/>
        <v>#N/A</v>
      </c>
      <c r="AQ1779" s="104" t="e">
        <f t="shared" si="780"/>
        <v>#N/A</v>
      </c>
      <c r="AR1779" s="105" t="str">
        <f t="shared" si="772"/>
        <v/>
      </c>
      <c r="AS1779" s="105" t="str">
        <f t="shared" si="773"/>
        <v/>
      </c>
      <c r="AT1779" s="108" t="str">
        <f t="shared" si="774"/>
        <v/>
      </c>
      <c r="AU1779" s="108" t="str">
        <f t="shared" si="775"/>
        <v/>
      </c>
      <c r="AV1779" s="107" t="str">
        <f>IF(ISNUMBER(O1779),IF(VLOOKUP($A1779,Stand!C:J,8,FALSE)="Short",AT1779,AU1779),"")</f>
        <v/>
      </c>
      <c r="AW1779" s="109" t="str">
        <f t="shared" si="781"/>
        <v/>
      </c>
      <c r="AX1779" s="109" t="str">
        <f t="shared" si="782"/>
        <v/>
      </c>
      <c r="AY1779" s="112" t="str">
        <f>IF(ISNUMBER(O1779),IF(AND(VLOOKUP($D1779,Merchantability!$B:$C,2,0)="Yes",$E1779&gt;=VLOOKUP($D1779,Merchantability!$B:$D,3,0),$E1779&lt;=VLOOKUP($D1779,Merchantability!$B:$E,4,0)),(AV1779*O1779)*(1-$H1779/100),""),"")</f>
        <v/>
      </c>
      <c r="AZ1779" s="116"/>
      <c r="BA1779" s="116"/>
      <c r="BB1779" s="116"/>
      <c r="BE1779" s="62"/>
      <c r="BF1779" s="63"/>
    </row>
    <row r="1780" spans="1:58" ht="12.75" customHeight="1" x14ac:dyDescent="0.25">
      <c r="A1780" s="334"/>
      <c r="B1780" s="334"/>
      <c r="C1780" s="332"/>
      <c r="D1780" s="334"/>
      <c r="E1780" s="335"/>
      <c r="F1780" s="334"/>
      <c r="G1780" s="332"/>
      <c r="H1780" s="332"/>
      <c r="I1780" s="334"/>
      <c r="J1780" s="336"/>
      <c r="K1780" s="332"/>
      <c r="L1780" s="332"/>
      <c r="M1780" s="76"/>
      <c r="N1780" s="103" t="str">
        <f>IF(A1780="","",VLOOKUP(A1780,Stand!C:K,9,0))</f>
        <v/>
      </c>
      <c r="O1780" s="104" t="str">
        <f t="shared" si="767"/>
        <v/>
      </c>
      <c r="P1780" s="105" t="str">
        <f t="shared" si="768"/>
        <v/>
      </c>
      <c r="Q1780" s="105" t="str">
        <f t="shared" si="783"/>
        <v/>
      </c>
      <c r="R1780" s="103" t="str">
        <f t="shared" si="769"/>
        <v/>
      </c>
      <c r="S1780" s="103" t="str">
        <f t="shared" si="770"/>
        <v/>
      </c>
      <c r="T1780" s="106" t="str">
        <f t="shared" si="784"/>
        <v/>
      </c>
      <c r="U1780" s="106" t="str">
        <f t="shared" si="785"/>
        <v/>
      </c>
      <c r="V1780" s="106" t="str">
        <f t="shared" si="786"/>
        <v/>
      </c>
      <c r="W1780" s="105" t="str">
        <f t="shared" si="771"/>
        <v/>
      </c>
      <c r="X1780" s="104" t="str">
        <f t="shared" si="776"/>
        <v/>
      </c>
      <c r="Y1780" s="104" t="str">
        <f t="array" ref="Y1780">IFERROR(IF(ISNUMBER(O1780),IF(COUNT(IF(A1780=$A$2:$A$2427,IF(D1780=$D$2:$D$2427,IF($X$2:$X$2427&gt;0,1))))&gt;0,SUM(IF(A1780=$A$2:$A$2427,IF(D1780=$D$2:$D$2427,$X$2:$X$2427)))/COUNT(IF(A1780=$A$2:$A$2427,IF(D1780=$D$2:$D$2427,IF(ISNUMBER($X$2:$X$2427),1)))),0),""),0)</f>
        <v/>
      </c>
      <c r="Z1780" s="104" t="str">
        <f>IF(ISNUMBER(O1780),IF(I1780&gt;0,(10^(VLOOKUP(D1780,'Species Codes'!B:C,2,0)+VLOOKUP(D1780,'Species Codes'!B:D,3,0)*LOG(E1780)+VLOOKUP(D1780,'Species Codes'!B:E,4,0)*LOG(I1780))),0),"")</f>
        <v/>
      </c>
      <c r="AA1780" s="104" t="str">
        <f>IFERROR((VLOOKUP(D1780,'Species Codes'!B:G,6,0)*Z1780)/2000,"")</f>
        <v/>
      </c>
      <c r="AB1780" s="104" t="e">
        <f>IF(Z1780&gt;0,((IF(OR(D1780="DF",D1780="RA")=TRUE,EXP(VLOOKUP(D1780,'Species Codes'!B:I,8,0)+VLOOKUP(D1780,'Species Codes'!B:J,9,0)*(LN((E1780*2.54)))),IF(OR(D1780="PY",D1780="RC",D1780="WH",D1780="NF")=TRUE,VLOOKUP(D1780,'Species Codes'!B:I,8,0)+VLOOKUP(D1780,'Species Codes'!B:J,9,0)*((E1780*2.54)^2)*(I1780*0.3048),IF(OR(D1780="MD",D1780="BM",D1780="GA")=TRUE,((VLOOKUP(D1780,'Species Codes'!B:I,8,0)*(((((E1780*2.54)+VLOOKUP(D1780,'Species Codes'!B:J,9,0))/VLOOKUP(D1780,'Species Codes'!B:K,10,0))^VLOOKUP(D1780,'Species Codes'!B:L,11,0))*((I1780*0.3048)^VLOOKUP(D1780,'Species Codes'!B:M,12,0))))-(VLOOKUP(D1780,'Species Codes'!B:I,8,0)*((((E1780*2.54)^VLOOKUP(D1780,'Species Codes'!B:L,11,0))*((I1780*0.3048)^VLOOKUP(D1780,'Species Codes'!B:M,12,0))))))*35.3*VLOOKUP(D1780,'Species Codes'!B:G,6,0)/2.2046,VLOOKUP(D1780,'Species Codes'!B:I,8,0)+VLOOKUP(D1780,'Species Codes'!B:J,9,0)*(((E1780*2.54)/100)^2)*(I1780*0.3048)))))*0.0011023),0)</f>
        <v>#N/A</v>
      </c>
      <c r="AC1780" s="104" t="e">
        <f>IF(Z1780&gt;0,((IF(OR(D1780="RA",D1780="OA",D1780="OT",D1780="UN",D1780="PC"),EXP(VLOOKUP(D1780,'Species Codes'!B:O,14,0)+VLOOKUP(D1780,'Species Codes'!B:P,15,0)*LN((E1780*2.54)))-EXP(VLOOKUP(D1780,'Species Codes'!B:O,14,0)+VLOOKUP(D1780,'Species Codes'!B:P,15,0)*LN((E1780*2.54)))*(1/(VLOOKUP(D1780,'Species Codes'!B:Q,16,0)+VLOOKUP(D1780,'Species Codes'!B:R,17,0)*((E1780*2.54)^VLOOKUP(D1780,'Species Codes'!B:S,18,0)))),IF(OR(D1780="BM",D1780="MD",D1780="OA"),EXP(VLOOKUP(D1780,'Species Codes'!B:O,14,0)+VLOOKUP(D1780,'Species Codes'!B:P,15,0)*LN((E1780*2.54)))*(1-(1/(VLOOKUP(D1780,'Species Codes'!B:Q,16,0)+VLOOKUP(D1780,'Species Codes'!B:R,17,0)*((E1780*2.54)^VLOOKUP(D1780,'Species Codes'!B:S,18,0)))))/1000,IF(D1780="DF",EXP(VLOOKUP(D1780,'Species Codes'!B:O,14,0)+VLOOKUP(D1780,'Species Codes'!B:P,15,0)*LN((E1780*2.54))),VLOOKUP(D1780,'Species Codes'!B:O,14,0)+VLOOKUP(D1780,'Species Codes'!B:P,15,0)*(((E1780*2.54)/100)^2)*(I1780*0.3048)))))*0.0011023),0)</f>
        <v>#N/A</v>
      </c>
      <c r="AD1780" s="104" t="e">
        <f t="shared" si="787"/>
        <v>#N/A</v>
      </c>
      <c r="AE1780" s="104" t="e">
        <f t="shared" si="788"/>
        <v>#N/A</v>
      </c>
      <c r="AF1780" s="104" t="e">
        <f>IF(AND(VLOOKUP($D1780,Merchantability!$B:$C,2,0)="Yes",$E1780&gt;=VLOOKUP($D1780,Merchantability!$B:$D,3,0),$E1780&lt;=VLOOKUP($D1780,Merchantability!$B:$E,4,0)),AA1780,0)</f>
        <v>#N/A</v>
      </c>
      <c r="AG1780" s="104" t="e">
        <f>IF(AND(VLOOKUP($D1780,Merchantability!$B:$C,2,0)="Yes",$E1780&gt;=VLOOKUP($D1780,Merchantability!$B:$D,3,0),$E1780&lt;=VLOOKUP($D1780,Merchantability!$B:$E,4,0)),AB1780,0)</f>
        <v>#N/A</v>
      </c>
      <c r="AH1780" s="104" t="e">
        <f>IF(AND(VLOOKUP($D1780,Merchantability!$B:$C,2,0)="Yes",$E1780&gt;=VLOOKUP($D1780,Merchantability!$B:$D,3,0),$E1780&lt;=VLOOKUP($D1780,Merchantability!$B:$E,4,0)),AC1780,0)</f>
        <v>#N/A</v>
      </c>
      <c r="AI1780" s="104" t="e">
        <f t="shared" si="789"/>
        <v>#N/A</v>
      </c>
      <c r="AJ1780" s="104" t="e">
        <f t="shared" si="790"/>
        <v>#VALUE!</v>
      </c>
      <c r="AK1780" s="104" t="e">
        <f t="shared" si="791"/>
        <v>#N/A</v>
      </c>
      <c r="AL1780" s="104" t="e">
        <f t="shared" si="792"/>
        <v>#N/A</v>
      </c>
      <c r="AM1780" s="104" t="e">
        <f t="shared" si="793"/>
        <v>#N/A</v>
      </c>
      <c r="AN1780" s="104" t="e">
        <f t="shared" si="777"/>
        <v>#N/A</v>
      </c>
      <c r="AO1780" s="104" t="e">
        <f t="shared" si="778"/>
        <v>#N/A</v>
      </c>
      <c r="AP1780" s="104" t="e">
        <f t="shared" si="779"/>
        <v>#N/A</v>
      </c>
      <c r="AQ1780" s="104" t="e">
        <f t="shared" si="780"/>
        <v>#N/A</v>
      </c>
      <c r="AR1780" s="105" t="str">
        <f t="shared" si="772"/>
        <v/>
      </c>
      <c r="AS1780" s="105" t="str">
        <f t="shared" si="773"/>
        <v/>
      </c>
      <c r="AT1780" s="108" t="str">
        <f t="shared" si="774"/>
        <v/>
      </c>
      <c r="AU1780" s="108" t="str">
        <f t="shared" si="775"/>
        <v/>
      </c>
      <c r="AV1780" s="107" t="str">
        <f>IF(ISNUMBER(O1780),IF(VLOOKUP($A1780,Stand!C:J,8,FALSE)="Short",AT1780,AU1780),"")</f>
        <v/>
      </c>
      <c r="AW1780" s="109" t="str">
        <f t="shared" si="781"/>
        <v/>
      </c>
      <c r="AX1780" s="109" t="str">
        <f t="shared" si="782"/>
        <v/>
      </c>
      <c r="AY1780" s="112" t="str">
        <f>IF(ISNUMBER(O1780),IF(AND(VLOOKUP($D1780,Merchantability!$B:$C,2,0)="Yes",$E1780&gt;=VLOOKUP($D1780,Merchantability!$B:$D,3,0),$E1780&lt;=VLOOKUP($D1780,Merchantability!$B:$E,4,0)),(AV1780*O1780)*(1-$H1780/100),""),"")</f>
        <v/>
      </c>
      <c r="AZ1780" s="116"/>
      <c r="BA1780" s="116"/>
      <c r="BB1780" s="116"/>
      <c r="BE1780" s="62"/>
      <c r="BF1780" s="63"/>
    </row>
    <row r="1781" spans="1:58" ht="12.75" customHeight="1" x14ac:dyDescent="0.25">
      <c r="A1781" s="334"/>
      <c r="B1781" s="334"/>
      <c r="C1781" s="332"/>
      <c r="D1781" s="334"/>
      <c r="E1781" s="335"/>
      <c r="F1781" s="334"/>
      <c r="G1781" s="332"/>
      <c r="H1781" s="332"/>
      <c r="I1781" s="334"/>
      <c r="J1781" s="336"/>
      <c r="K1781" s="332"/>
      <c r="L1781" s="332"/>
      <c r="M1781" s="76"/>
      <c r="N1781" s="103" t="str">
        <f>IF(A1781="","",VLOOKUP(A1781,Stand!C:K,9,0))</f>
        <v/>
      </c>
      <c r="O1781" s="104" t="str">
        <f t="shared" si="767"/>
        <v/>
      </c>
      <c r="P1781" s="105" t="str">
        <f t="shared" si="768"/>
        <v/>
      </c>
      <c r="Q1781" s="105" t="str">
        <f t="shared" si="783"/>
        <v/>
      </c>
      <c r="R1781" s="103" t="str">
        <f t="shared" si="769"/>
        <v/>
      </c>
      <c r="S1781" s="103" t="str">
        <f t="shared" si="770"/>
        <v/>
      </c>
      <c r="T1781" s="106" t="str">
        <f t="shared" si="784"/>
        <v/>
      </c>
      <c r="U1781" s="106" t="str">
        <f t="shared" si="785"/>
        <v/>
      </c>
      <c r="V1781" s="106" t="str">
        <f t="shared" si="786"/>
        <v/>
      </c>
      <c r="W1781" s="105" t="str">
        <f t="shared" si="771"/>
        <v/>
      </c>
      <c r="X1781" s="104" t="str">
        <f t="shared" si="776"/>
        <v/>
      </c>
      <c r="Y1781" s="104" t="str">
        <f t="array" ref="Y1781">IFERROR(IF(ISNUMBER(O1781),IF(COUNT(IF(A1781=$A$2:$A$2427,IF(D1781=$D$2:$D$2427,IF($X$2:$X$2427&gt;0,1))))&gt;0,SUM(IF(A1781=$A$2:$A$2427,IF(D1781=$D$2:$D$2427,$X$2:$X$2427)))/COUNT(IF(A1781=$A$2:$A$2427,IF(D1781=$D$2:$D$2427,IF(ISNUMBER($X$2:$X$2427),1)))),0),""),0)</f>
        <v/>
      </c>
      <c r="Z1781" s="104" t="str">
        <f>IF(ISNUMBER(O1781),IF(I1781&gt;0,(10^(VLOOKUP(D1781,'Species Codes'!B:C,2,0)+VLOOKUP(D1781,'Species Codes'!B:D,3,0)*LOG(E1781)+VLOOKUP(D1781,'Species Codes'!B:E,4,0)*LOG(I1781))),0),"")</f>
        <v/>
      </c>
      <c r="AA1781" s="104" t="str">
        <f>IFERROR((VLOOKUP(D1781,'Species Codes'!B:G,6,0)*Z1781)/2000,"")</f>
        <v/>
      </c>
      <c r="AB1781" s="104" t="e">
        <f>IF(Z1781&gt;0,((IF(OR(D1781="DF",D1781="RA")=TRUE,EXP(VLOOKUP(D1781,'Species Codes'!B:I,8,0)+VLOOKUP(D1781,'Species Codes'!B:J,9,0)*(LN((E1781*2.54)))),IF(OR(D1781="PY",D1781="RC",D1781="WH",D1781="NF")=TRUE,VLOOKUP(D1781,'Species Codes'!B:I,8,0)+VLOOKUP(D1781,'Species Codes'!B:J,9,0)*((E1781*2.54)^2)*(I1781*0.3048),IF(OR(D1781="MD",D1781="BM",D1781="GA")=TRUE,((VLOOKUP(D1781,'Species Codes'!B:I,8,0)*(((((E1781*2.54)+VLOOKUP(D1781,'Species Codes'!B:J,9,0))/VLOOKUP(D1781,'Species Codes'!B:K,10,0))^VLOOKUP(D1781,'Species Codes'!B:L,11,0))*((I1781*0.3048)^VLOOKUP(D1781,'Species Codes'!B:M,12,0))))-(VLOOKUP(D1781,'Species Codes'!B:I,8,0)*((((E1781*2.54)^VLOOKUP(D1781,'Species Codes'!B:L,11,0))*((I1781*0.3048)^VLOOKUP(D1781,'Species Codes'!B:M,12,0))))))*35.3*VLOOKUP(D1781,'Species Codes'!B:G,6,0)/2.2046,VLOOKUP(D1781,'Species Codes'!B:I,8,0)+VLOOKUP(D1781,'Species Codes'!B:J,9,0)*(((E1781*2.54)/100)^2)*(I1781*0.3048)))))*0.0011023),0)</f>
        <v>#N/A</v>
      </c>
      <c r="AC1781" s="104" t="e">
        <f>IF(Z1781&gt;0,((IF(OR(D1781="RA",D1781="OA",D1781="OT",D1781="UN",D1781="PC"),EXP(VLOOKUP(D1781,'Species Codes'!B:O,14,0)+VLOOKUP(D1781,'Species Codes'!B:P,15,0)*LN((E1781*2.54)))-EXP(VLOOKUP(D1781,'Species Codes'!B:O,14,0)+VLOOKUP(D1781,'Species Codes'!B:P,15,0)*LN((E1781*2.54)))*(1/(VLOOKUP(D1781,'Species Codes'!B:Q,16,0)+VLOOKUP(D1781,'Species Codes'!B:R,17,0)*((E1781*2.54)^VLOOKUP(D1781,'Species Codes'!B:S,18,0)))),IF(OR(D1781="BM",D1781="MD",D1781="OA"),EXP(VLOOKUP(D1781,'Species Codes'!B:O,14,0)+VLOOKUP(D1781,'Species Codes'!B:P,15,0)*LN((E1781*2.54)))*(1-(1/(VLOOKUP(D1781,'Species Codes'!B:Q,16,0)+VLOOKUP(D1781,'Species Codes'!B:R,17,0)*((E1781*2.54)^VLOOKUP(D1781,'Species Codes'!B:S,18,0)))))/1000,IF(D1781="DF",EXP(VLOOKUP(D1781,'Species Codes'!B:O,14,0)+VLOOKUP(D1781,'Species Codes'!B:P,15,0)*LN((E1781*2.54))),VLOOKUP(D1781,'Species Codes'!B:O,14,0)+VLOOKUP(D1781,'Species Codes'!B:P,15,0)*(((E1781*2.54)/100)^2)*(I1781*0.3048)))))*0.0011023),0)</f>
        <v>#N/A</v>
      </c>
      <c r="AD1781" s="104" t="e">
        <f t="shared" si="787"/>
        <v>#N/A</v>
      </c>
      <c r="AE1781" s="104" t="e">
        <f t="shared" si="788"/>
        <v>#N/A</v>
      </c>
      <c r="AF1781" s="104" t="e">
        <f>IF(AND(VLOOKUP($D1781,Merchantability!$B:$C,2,0)="Yes",$E1781&gt;=VLOOKUP($D1781,Merchantability!$B:$D,3,0),$E1781&lt;=VLOOKUP($D1781,Merchantability!$B:$E,4,0)),AA1781,0)</f>
        <v>#N/A</v>
      </c>
      <c r="AG1781" s="104" t="e">
        <f>IF(AND(VLOOKUP($D1781,Merchantability!$B:$C,2,0)="Yes",$E1781&gt;=VLOOKUP($D1781,Merchantability!$B:$D,3,0),$E1781&lt;=VLOOKUP($D1781,Merchantability!$B:$E,4,0)),AB1781,0)</f>
        <v>#N/A</v>
      </c>
      <c r="AH1781" s="104" t="e">
        <f>IF(AND(VLOOKUP($D1781,Merchantability!$B:$C,2,0)="Yes",$E1781&gt;=VLOOKUP($D1781,Merchantability!$B:$D,3,0),$E1781&lt;=VLOOKUP($D1781,Merchantability!$B:$E,4,0)),AC1781,0)</f>
        <v>#N/A</v>
      </c>
      <c r="AI1781" s="104" t="e">
        <f t="shared" si="789"/>
        <v>#N/A</v>
      </c>
      <c r="AJ1781" s="104" t="e">
        <f t="shared" si="790"/>
        <v>#VALUE!</v>
      </c>
      <c r="AK1781" s="104" t="e">
        <f t="shared" si="791"/>
        <v>#N/A</v>
      </c>
      <c r="AL1781" s="104" t="e">
        <f t="shared" si="792"/>
        <v>#N/A</v>
      </c>
      <c r="AM1781" s="104" t="e">
        <f t="shared" si="793"/>
        <v>#N/A</v>
      </c>
      <c r="AN1781" s="104" t="e">
        <f t="shared" si="777"/>
        <v>#N/A</v>
      </c>
      <c r="AO1781" s="104" t="e">
        <f t="shared" si="778"/>
        <v>#N/A</v>
      </c>
      <c r="AP1781" s="104" t="e">
        <f t="shared" si="779"/>
        <v>#N/A</v>
      </c>
      <c r="AQ1781" s="104" t="e">
        <f t="shared" si="780"/>
        <v>#N/A</v>
      </c>
      <c r="AR1781" s="105" t="str">
        <f t="shared" si="772"/>
        <v/>
      </c>
      <c r="AS1781" s="105" t="str">
        <f t="shared" si="773"/>
        <v/>
      </c>
      <c r="AT1781" s="108" t="str">
        <f t="shared" si="774"/>
        <v/>
      </c>
      <c r="AU1781" s="108" t="str">
        <f t="shared" si="775"/>
        <v/>
      </c>
      <c r="AV1781" s="107" t="str">
        <f>IF(ISNUMBER(O1781),IF(VLOOKUP($A1781,Stand!C:J,8,FALSE)="Short",AT1781,AU1781),"")</f>
        <v/>
      </c>
      <c r="AW1781" s="109" t="str">
        <f t="shared" si="781"/>
        <v/>
      </c>
      <c r="AX1781" s="109" t="str">
        <f t="shared" si="782"/>
        <v/>
      </c>
      <c r="AY1781" s="112" t="str">
        <f>IF(ISNUMBER(O1781),IF(AND(VLOOKUP($D1781,Merchantability!$B:$C,2,0)="Yes",$E1781&gt;=VLOOKUP($D1781,Merchantability!$B:$D,3,0),$E1781&lt;=VLOOKUP($D1781,Merchantability!$B:$E,4,0)),(AV1781*O1781)*(1-$H1781/100),""),"")</f>
        <v/>
      </c>
      <c r="AZ1781" s="116"/>
      <c r="BA1781" s="116"/>
      <c r="BB1781" s="116"/>
      <c r="BE1781" s="62"/>
      <c r="BF1781" s="63"/>
    </row>
    <row r="1782" spans="1:58" ht="12.75" customHeight="1" x14ac:dyDescent="0.25">
      <c r="A1782" s="334"/>
      <c r="B1782" s="334"/>
      <c r="C1782" s="332"/>
      <c r="D1782" s="334"/>
      <c r="E1782" s="335"/>
      <c r="F1782" s="334"/>
      <c r="G1782" s="332"/>
      <c r="H1782" s="332"/>
      <c r="I1782" s="334"/>
      <c r="J1782" s="336"/>
      <c r="K1782" s="332"/>
      <c r="L1782" s="332"/>
      <c r="M1782" s="76"/>
      <c r="N1782" s="103" t="str">
        <f>IF(A1782="","",VLOOKUP(A1782,Stand!C:K,9,0))</f>
        <v/>
      </c>
      <c r="O1782" s="104" t="str">
        <f t="shared" si="767"/>
        <v/>
      </c>
      <c r="P1782" s="105" t="str">
        <f t="shared" si="768"/>
        <v/>
      </c>
      <c r="Q1782" s="105" t="str">
        <f t="shared" si="783"/>
        <v/>
      </c>
      <c r="R1782" s="103" t="str">
        <f t="shared" si="769"/>
        <v/>
      </c>
      <c r="S1782" s="103" t="str">
        <f t="shared" si="770"/>
        <v/>
      </c>
      <c r="T1782" s="106" t="str">
        <f t="shared" si="784"/>
        <v/>
      </c>
      <c r="U1782" s="106" t="str">
        <f t="shared" si="785"/>
        <v/>
      </c>
      <c r="V1782" s="106" t="str">
        <f t="shared" si="786"/>
        <v/>
      </c>
      <c r="W1782" s="105" t="str">
        <f t="shared" si="771"/>
        <v/>
      </c>
      <c r="X1782" s="104" t="str">
        <f t="shared" si="776"/>
        <v/>
      </c>
      <c r="Y1782" s="104" t="str">
        <f t="array" ref="Y1782">IFERROR(IF(ISNUMBER(O1782),IF(COUNT(IF(A1782=$A$2:$A$2427,IF(D1782=$D$2:$D$2427,IF($X$2:$X$2427&gt;0,1))))&gt;0,SUM(IF(A1782=$A$2:$A$2427,IF(D1782=$D$2:$D$2427,$X$2:$X$2427)))/COUNT(IF(A1782=$A$2:$A$2427,IF(D1782=$D$2:$D$2427,IF(ISNUMBER($X$2:$X$2427),1)))),0),""),0)</f>
        <v/>
      </c>
      <c r="Z1782" s="104" t="str">
        <f>IF(ISNUMBER(O1782),IF(I1782&gt;0,(10^(VLOOKUP(D1782,'Species Codes'!B:C,2,0)+VLOOKUP(D1782,'Species Codes'!B:D,3,0)*LOG(E1782)+VLOOKUP(D1782,'Species Codes'!B:E,4,0)*LOG(I1782))),0),"")</f>
        <v/>
      </c>
      <c r="AA1782" s="104" t="str">
        <f>IFERROR((VLOOKUP(D1782,'Species Codes'!B:G,6,0)*Z1782)/2000,"")</f>
        <v/>
      </c>
      <c r="AB1782" s="104" t="e">
        <f>IF(Z1782&gt;0,((IF(OR(D1782="DF",D1782="RA")=TRUE,EXP(VLOOKUP(D1782,'Species Codes'!B:I,8,0)+VLOOKUP(D1782,'Species Codes'!B:J,9,0)*(LN((E1782*2.54)))),IF(OR(D1782="PY",D1782="RC",D1782="WH",D1782="NF")=TRUE,VLOOKUP(D1782,'Species Codes'!B:I,8,0)+VLOOKUP(D1782,'Species Codes'!B:J,9,0)*((E1782*2.54)^2)*(I1782*0.3048),IF(OR(D1782="MD",D1782="BM",D1782="GA")=TRUE,((VLOOKUP(D1782,'Species Codes'!B:I,8,0)*(((((E1782*2.54)+VLOOKUP(D1782,'Species Codes'!B:J,9,0))/VLOOKUP(D1782,'Species Codes'!B:K,10,0))^VLOOKUP(D1782,'Species Codes'!B:L,11,0))*((I1782*0.3048)^VLOOKUP(D1782,'Species Codes'!B:M,12,0))))-(VLOOKUP(D1782,'Species Codes'!B:I,8,0)*((((E1782*2.54)^VLOOKUP(D1782,'Species Codes'!B:L,11,0))*((I1782*0.3048)^VLOOKUP(D1782,'Species Codes'!B:M,12,0))))))*35.3*VLOOKUP(D1782,'Species Codes'!B:G,6,0)/2.2046,VLOOKUP(D1782,'Species Codes'!B:I,8,0)+VLOOKUP(D1782,'Species Codes'!B:J,9,0)*(((E1782*2.54)/100)^2)*(I1782*0.3048)))))*0.0011023),0)</f>
        <v>#N/A</v>
      </c>
      <c r="AC1782" s="104" t="e">
        <f>IF(Z1782&gt;0,((IF(OR(D1782="RA",D1782="OA",D1782="OT",D1782="UN",D1782="PC"),EXP(VLOOKUP(D1782,'Species Codes'!B:O,14,0)+VLOOKUP(D1782,'Species Codes'!B:P,15,0)*LN((E1782*2.54)))-EXP(VLOOKUP(D1782,'Species Codes'!B:O,14,0)+VLOOKUP(D1782,'Species Codes'!B:P,15,0)*LN((E1782*2.54)))*(1/(VLOOKUP(D1782,'Species Codes'!B:Q,16,0)+VLOOKUP(D1782,'Species Codes'!B:R,17,0)*((E1782*2.54)^VLOOKUP(D1782,'Species Codes'!B:S,18,0)))),IF(OR(D1782="BM",D1782="MD",D1782="OA"),EXP(VLOOKUP(D1782,'Species Codes'!B:O,14,0)+VLOOKUP(D1782,'Species Codes'!B:P,15,0)*LN((E1782*2.54)))*(1-(1/(VLOOKUP(D1782,'Species Codes'!B:Q,16,0)+VLOOKUP(D1782,'Species Codes'!B:R,17,0)*((E1782*2.54)^VLOOKUP(D1782,'Species Codes'!B:S,18,0)))))/1000,IF(D1782="DF",EXP(VLOOKUP(D1782,'Species Codes'!B:O,14,0)+VLOOKUP(D1782,'Species Codes'!B:P,15,0)*LN((E1782*2.54))),VLOOKUP(D1782,'Species Codes'!B:O,14,0)+VLOOKUP(D1782,'Species Codes'!B:P,15,0)*(((E1782*2.54)/100)^2)*(I1782*0.3048)))))*0.0011023),0)</f>
        <v>#N/A</v>
      </c>
      <c r="AD1782" s="104" t="e">
        <f t="shared" si="787"/>
        <v>#N/A</v>
      </c>
      <c r="AE1782" s="104" t="e">
        <f t="shared" si="788"/>
        <v>#N/A</v>
      </c>
      <c r="AF1782" s="104" t="e">
        <f>IF(AND(VLOOKUP($D1782,Merchantability!$B:$C,2,0)="Yes",$E1782&gt;=VLOOKUP($D1782,Merchantability!$B:$D,3,0),$E1782&lt;=VLOOKUP($D1782,Merchantability!$B:$E,4,0)),AA1782,0)</f>
        <v>#N/A</v>
      </c>
      <c r="AG1782" s="104" t="e">
        <f>IF(AND(VLOOKUP($D1782,Merchantability!$B:$C,2,0)="Yes",$E1782&gt;=VLOOKUP($D1782,Merchantability!$B:$D,3,0),$E1782&lt;=VLOOKUP($D1782,Merchantability!$B:$E,4,0)),AB1782,0)</f>
        <v>#N/A</v>
      </c>
      <c r="AH1782" s="104" t="e">
        <f>IF(AND(VLOOKUP($D1782,Merchantability!$B:$C,2,0)="Yes",$E1782&gt;=VLOOKUP($D1782,Merchantability!$B:$D,3,0),$E1782&lt;=VLOOKUP($D1782,Merchantability!$B:$E,4,0)),AC1782,0)</f>
        <v>#N/A</v>
      </c>
      <c r="AI1782" s="104" t="e">
        <f t="shared" si="789"/>
        <v>#N/A</v>
      </c>
      <c r="AJ1782" s="104" t="e">
        <f t="shared" si="790"/>
        <v>#VALUE!</v>
      </c>
      <c r="AK1782" s="104" t="e">
        <f t="shared" si="791"/>
        <v>#N/A</v>
      </c>
      <c r="AL1782" s="104" t="e">
        <f t="shared" si="792"/>
        <v>#N/A</v>
      </c>
      <c r="AM1782" s="104" t="e">
        <f t="shared" si="793"/>
        <v>#N/A</v>
      </c>
      <c r="AN1782" s="104" t="e">
        <f t="shared" si="777"/>
        <v>#N/A</v>
      </c>
      <c r="AO1782" s="104" t="e">
        <f t="shared" si="778"/>
        <v>#N/A</v>
      </c>
      <c r="AP1782" s="104" t="e">
        <f t="shared" si="779"/>
        <v>#N/A</v>
      </c>
      <c r="AQ1782" s="104" t="e">
        <f t="shared" si="780"/>
        <v>#N/A</v>
      </c>
      <c r="AR1782" s="105" t="str">
        <f t="shared" si="772"/>
        <v/>
      </c>
      <c r="AS1782" s="105" t="str">
        <f t="shared" si="773"/>
        <v/>
      </c>
      <c r="AT1782" s="108" t="str">
        <f t="shared" si="774"/>
        <v/>
      </c>
      <c r="AU1782" s="108" t="str">
        <f t="shared" si="775"/>
        <v/>
      </c>
      <c r="AV1782" s="107" t="str">
        <f>IF(ISNUMBER(O1782),IF(VLOOKUP($A1782,Stand!C:J,8,FALSE)="Short",AT1782,AU1782),"")</f>
        <v/>
      </c>
      <c r="AW1782" s="109" t="str">
        <f t="shared" si="781"/>
        <v/>
      </c>
      <c r="AX1782" s="109" t="str">
        <f t="shared" si="782"/>
        <v/>
      </c>
      <c r="AY1782" s="112" t="str">
        <f>IF(ISNUMBER(O1782),IF(AND(VLOOKUP($D1782,Merchantability!$B:$C,2,0)="Yes",$E1782&gt;=VLOOKUP($D1782,Merchantability!$B:$D,3,0),$E1782&lt;=VLOOKUP($D1782,Merchantability!$B:$E,4,0)),(AV1782*O1782)*(1-$H1782/100),""),"")</f>
        <v/>
      </c>
      <c r="AZ1782" s="116"/>
      <c r="BA1782" s="116"/>
      <c r="BB1782" s="116"/>
      <c r="BE1782" s="62"/>
      <c r="BF1782" s="63"/>
    </row>
    <row r="1783" spans="1:58" ht="12.75" customHeight="1" x14ac:dyDescent="0.25">
      <c r="A1783" s="334"/>
      <c r="B1783" s="334"/>
      <c r="C1783" s="332"/>
      <c r="D1783" s="334"/>
      <c r="E1783" s="335"/>
      <c r="F1783" s="334"/>
      <c r="G1783" s="332"/>
      <c r="H1783" s="332"/>
      <c r="I1783" s="334"/>
      <c r="J1783" s="336"/>
      <c r="K1783" s="332"/>
      <c r="L1783" s="332"/>
      <c r="M1783" s="76"/>
      <c r="N1783" s="103" t="str">
        <f>IF(A1783="","",VLOOKUP(A1783,Stand!C:K,9,0))</f>
        <v/>
      </c>
      <c r="O1783" s="104" t="str">
        <f t="shared" si="767"/>
        <v/>
      </c>
      <c r="P1783" s="105" t="str">
        <f t="shared" si="768"/>
        <v/>
      </c>
      <c r="Q1783" s="105" t="str">
        <f t="shared" si="783"/>
        <v/>
      </c>
      <c r="R1783" s="103" t="str">
        <f t="shared" si="769"/>
        <v/>
      </c>
      <c r="S1783" s="103" t="str">
        <f t="shared" si="770"/>
        <v/>
      </c>
      <c r="T1783" s="106" t="str">
        <f t="shared" si="784"/>
        <v/>
      </c>
      <c r="U1783" s="106" t="str">
        <f t="shared" si="785"/>
        <v/>
      </c>
      <c r="V1783" s="106" t="str">
        <f t="shared" si="786"/>
        <v/>
      </c>
      <c r="W1783" s="105" t="str">
        <f t="shared" si="771"/>
        <v/>
      </c>
      <c r="X1783" s="104" t="str">
        <f t="shared" si="776"/>
        <v/>
      </c>
      <c r="Y1783" s="104" t="str">
        <f t="array" ref="Y1783">IFERROR(IF(ISNUMBER(O1783),IF(COUNT(IF(A1783=$A$2:$A$2427,IF(D1783=$D$2:$D$2427,IF($X$2:$X$2427&gt;0,1))))&gt;0,SUM(IF(A1783=$A$2:$A$2427,IF(D1783=$D$2:$D$2427,$X$2:$X$2427)))/COUNT(IF(A1783=$A$2:$A$2427,IF(D1783=$D$2:$D$2427,IF(ISNUMBER($X$2:$X$2427),1)))),0),""),0)</f>
        <v/>
      </c>
      <c r="Z1783" s="104" t="str">
        <f>IF(ISNUMBER(O1783),IF(I1783&gt;0,(10^(VLOOKUP(D1783,'Species Codes'!B:C,2,0)+VLOOKUP(D1783,'Species Codes'!B:D,3,0)*LOG(E1783)+VLOOKUP(D1783,'Species Codes'!B:E,4,0)*LOG(I1783))),0),"")</f>
        <v/>
      </c>
      <c r="AA1783" s="104" t="str">
        <f>IFERROR((VLOOKUP(D1783,'Species Codes'!B:G,6,0)*Z1783)/2000,"")</f>
        <v/>
      </c>
      <c r="AB1783" s="104" t="e">
        <f>IF(Z1783&gt;0,((IF(OR(D1783="DF",D1783="RA")=TRUE,EXP(VLOOKUP(D1783,'Species Codes'!B:I,8,0)+VLOOKUP(D1783,'Species Codes'!B:J,9,0)*(LN((E1783*2.54)))),IF(OR(D1783="PY",D1783="RC",D1783="WH",D1783="NF")=TRUE,VLOOKUP(D1783,'Species Codes'!B:I,8,0)+VLOOKUP(D1783,'Species Codes'!B:J,9,0)*((E1783*2.54)^2)*(I1783*0.3048),IF(OR(D1783="MD",D1783="BM",D1783="GA")=TRUE,((VLOOKUP(D1783,'Species Codes'!B:I,8,0)*(((((E1783*2.54)+VLOOKUP(D1783,'Species Codes'!B:J,9,0))/VLOOKUP(D1783,'Species Codes'!B:K,10,0))^VLOOKUP(D1783,'Species Codes'!B:L,11,0))*((I1783*0.3048)^VLOOKUP(D1783,'Species Codes'!B:M,12,0))))-(VLOOKUP(D1783,'Species Codes'!B:I,8,0)*((((E1783*2.54)^VLOOKUP(D1783,'Species Codes'!B:L,11,0))*((I1783*0.3048)^VLOOKUP(D1783,'Species Codes'!B:M,12,0))))))*35.3*VLOOKUP(D1783,'Species Codes'!B:G,6,0)/2.2046,VLOOKUP(D1783,'Species Codes'!B:I,8,0)+VLOOKUP(D1783,'Species Codes'!B:J,9,0)*(((E1783*2.54)/100)^2)*(I1783*0.3048)))))*0.0011023),0)</f>
        <v>#N/A</v>
      </c>
      <c r="AC1783" s="104" t="e">
        <f>IF(Z1783&gt;0,((IF(OR(D1783="RA",D1783="OA",D1783="OT",D1783="UN",D1783="PC"),EXP(VLOOKUP(D1783,'Species Codes'!B:O,14,0)+VLOOKUP(D1783,'Species Codes'!B:P,15,0)*LN((E1783*2.54)))-EXP(VLOOKUP(D1783,'Species Codes'!B:O,14,0)+VLOOKUP(D1783,'Species Codes'!B:P,15,0)*LN((E1783*2.54)))*(1/(VLOOKUP(D1783,'Species Codes'!B:Q,16,0)+VLOOKUP(D1783,'Species Codes'!B:R,17,0)*((E1783*2.54)^VLOOKUP(D1783,'Species Codes'!B:S,18,0)))),IF(OR(D1783="BM",D1783="MD",D1783="OA"),EXP(VLOOKUP(D1783,'Species Codes'!B:O,14,0)+VLOOKUP(D1783,'Species Codes'!B:P,15,0)*LN((E1783*2.54)))*(1-(1/(VLOOKUP(D1783,'Species Codes'!B:Q,16,0)+VLOOKUP(D1783,'Species Codes'!B:R,17,0)*((E1783*2.54)^VLOOKUP(D1783,'Species Codes'!B:S,18,0)))))/1000,IF(D1783="DF",EXP(VLOOKUP(D1783,'Species Codes'!B:O,14,0)+VLOOKUP(D1783,'Species Codes'!B:P,15,0)*LN((E1783*2.54))),VLOOKUP(D1783,'Species Codes'!B:O,14,0)+VLOOKUP(D1783,'Species Codes'!B:P,15,0)*(((E1783*2.54)/100)^2)*(I1783*0.3048)))))*0.0011023),0)</f>
        <v>#N/A</v>
      </c>
      <c r="AD1783" s="104" t="e">
        <f t="shared" si="787"/>
        <v>#N/A</v>
      </c>
      <c r="AE1783" s="104" t="e">
        <f t="shared" si="788"/>
        <v>#N/A</v>
      </c>
      <c r="AF1783" s="104" t="e">
        <f>IF(AND(VLOOKUP($D1783,Merchantability!$B:$C,2,0)="Yes",$E1783&gt;=VLOOKUP($D1783,Merchantability!$B:$D,3,0),$E1783&lt;=VLOOKUP($D1783,Merchantability!$B:$E,4,0)),AA1783,0)</f>
        <v>#N/A</v>
      </c>
      <c r="AG1783" s="104" t="e">
        <f>IF(AND(VLOOKUP($D1783,Merchantability!$B:$C,2,0)="Yes",$E1783&gt;=VLOOKUP($D1783,Merchantability!$B:$D,3,0),$E1783&lt;=VLOOKUP($D1783,Merchantability!$B:$E,4,0)),AB1783,0)</f>
        <v>#N/A</v>
      </c>
      <c r="AH1783" s="104" t="e">
        <f>IF(AND(VLOOKUP($D1783,Merchantability!$B:$C,2,0)="Yes",$E1783&gt;=VLOOKUP($D1783,Merchantability!$B:$D,3,0),$E1783&lt;=VLOOKUP($D1783,Merchantability!$B:$E,4,0)),AC1783,0)</f>
        <v>#N/A</v>
      </c>
      <c r="AI1783" s="104" t="e">
        <f t="shared" si="789"/>
        <v>#N/A</v>
      </c>
      <c r="AJ1783" s="104" t="e">
        <f t="shared" si="790"/>
        <v>#VALUE!</v>
      </c>
      <c r="AK1783" s="104" t="e">
        <f t="shared" si="791"/>
        <v>#N/A</v>
      </c>
      <c r="AL1783" s="104" t="e">
        <f t="shared" si="792"/>
        <v>#N/A</v>
      </c>
      <c r="AM1783" s="104" t="e">
        <f t="shared" si="793"/>
        <v>#N/A</v>
      </c>
      <c r="AN1783" s="104" t="e">
        <f t="shared" si="777"/>
        <v>#N/A</v>
      </c>
      <c r="AO1783" s="104" t="e">
        <f t="shared" si="778"/>
        <v>#N/A</v>
      </c>
      <c r="AP1783" s="104" t="e">
        <f t="shared" si="779"/>
        <v>#N/A</v>
      </c>
      <c r="AQ1783" s="104" t="e">
        <f t="shared" si="780"/>
        <v>#N/A</v>
      </c>
      <c r="AR1783" s="105" t="str">
        <f t="shared" si="772"/>
        <v/>
      </c>
      <c r="AS1783" s="105" t="str">
        <f t="shared" si="773"/>
        <v/>
      </c>
      <c r="AT1783" s="108" t="str">
        <f t="shared" si="774"/>
        <v/>
      </c>
      <c r="AU1783" s="108" t="str">
        <f t="shared" si="775"/>
        <v/>
      </c>
      <c r="AV1783" s="107" t="str">
        <f>IF(ISNUMBER(O1783),IF(VLOOKUP($A1783,Stand!C:J,8,FALSE)="Short",AT1783,AU1783),"")</f>
        <v/>
      </c>
      <c r="AW1783" s="109" t="str">
        <f t="shared" si="781"/>
        <v/>
      </c>
      <c r="AX1783" s="109" t="str">
        <f t="shared" si="782"/>
        <v/>
      </c>
      <c r="AY1783" s="112" t="str">
        <f>IF(ISNUMBER(O1783),IF(AND(VLOOKUP($D1783,Merchantability!$B:$C,2,0)="Yes",$E1783&gt;=VLOOKUP($D1783,Merchantability!$B:$D,3,0),$E1783&lt;=VLOOKUP($D1783,Merchantability!$B:$E,4,0)),(AV1783*O1783)*(1-$H1783/100),""),"")</f>
        <v/>
      </c>
      <c r="AZ1783" s="116"/>
      <c r="BA1783" s="116"/>
      <c r="BB1783" s="116"/>
      <c r="BE1783" s="62"/>
      <c r="BF1783" s="63"/>
    </row>
    <row r="1784" spans="1:58" ht="12.75" customHeight="1" x14ac:dyDescent="0.25">
      <c r="A1784" s="334"/>
      <c r="B1784" s="334"/>
      <c r="C1784" s="332"/>
      <c r="D1784" s="334"/>
      <c r="E1784" s="335"/>
      <c r="F1784" s="334"/>
      <c r="G1784" s="332"/>
      <c r="H1784" s="332"/>
      <c r="I1784" s="334"/>
      <c r="J1784" s="336"/>
      <c r="K1784" s="332"/>
      <c r="L1784" s="332"/>
      <c r="M1784" s="76"/>
      <c r="N1784" s="103" t="str">
        <f>IF(A1784="","",VLOOKUP(A1784,Stand!C:K,9,0))</f>
        <v/>
      </c>
      <c r="O1784" s="104" t="str">
        <f t="shared" si="767"/>
        <v/>
      </c>
      <c r="P1784" s="105" t="str">
        <f t="shared" si="768"/>
        <v/>
      </c>
      <c r="Q1784" s="105" t="str">
        <f t="shared" si="783"/>
        <v/>
      </c>
      <c r="R1784" s="103" t="str">
        <f t="shared" si="769"/>
        <v/>
      </c>
      <c r="S1784" s="103" t="str">
        <f t="shared" si="770"/>
        <v/>
      </c>
      <c r="T1784" s="106" t="str">
        <f t="shared" si="784"/>
        <v/>
      </c>
      <c r="U1784" s="106" t="str">
        <f t="shared" si="785"/>
        <v/>
      </c>
      <c r="V1784" s="106" t="str">
        <f t="shared" si="786"/>
        <v/>
      </c>
      <c r="W1784" s="105" t="str">
        <f t="shared" si="771"/>
        <v/>
      </c>
      <c r="X1784" s="104" t="str">
        <f t="shared" si="776"/>
        <v/>
      </c>
      <c r="Y1784" s="104" t="str">
        <f t="array" ref="Y1784">IFERROR(IF(ISNUMBER(O1784),IF(COUNT(IF(A1784=$A$2:$A$2427,IF(D1784=$D$2:$D$2427,IF($X$2:$X$2427&gt;0,1))))&gt;0,SUM(IF(A1784=$A$2:$A$2427,IF(D1784=$D$2:$D$2427,$X$2:$X$2427)))/COUNT(IF(A1784=$A$2:$A$2427,IF(D1784=$D$2:$D$2427,IF(ISNUMBER($X$2:$X$2427),1)))),0),""),0)</f>
        <v/>
      </c>
      <c r="Z1784" s="104" t="str">
        <f>IF(ISNUMBER(O1784),IF(I1784&gt;0,(10^(VLOOKUP(D1784,'Species Codes'!B:C,2,0)+VLOOKUP(D1784,'Species Codes'!B:D,3,0)*LOG(E1784)+VLOOKUP(D1784,'Species Codes'!B:E,4,0)*LOG(I1784))),0),"")</f>
        <v/>
      </c>
      <c r="AA1784" s="104" t="str">
        <f>IFERROR((VLOOKUP(D1784,'Species Codes'!B:G,6,0)*Z1784)/2000,"")</f>
        <v/>
      </c>
      <c r="AB1784" s="104" t="e">
        <f>IF(Z1784&gt;0,((IF(OR(D1784="DF",D1784="RA")=TRUE,EXP(VLOOKUP(D1784,'Species Codes'!B:I,8,0)+VLOOKUP(D1784,'Species Codes'!B:J,9,0)*(LN((E1784*2.54)))),IF(OR(D1784="PY",D1784="RC",D1784="WH",D1784="NF")=TRUE,VLOOKUP(D1784,'Species Codes'!B:I,8,0)+VLOOKUP(D1784,'Species Codes'!B:J,9,0)*((E1784*2.54)^2)*(I1784*0.3048),IF(OR(D1784="MD",D1784="BM",D1784="GA")=TRUE,((VLOOKUP(D1784,'Species Codes'!B:I,8,0)*(((((E1784*2.54)+VLOOKUP(D1784,'Species Codes'!B:J,9,0))/VLOOKUP(D1784,'Species Codes'!B:K,10,0))^VLOOKUP(D1784,'Species Codes'!B:L,11,0))*((I1784*0.3048)^VLOOKUP(D1784,'Species Codes'!B:M,12,0))))-(VLOOKUP(D1784,'Species Codes'!B:I,8,0)*((((E1784*2.54)^VLOOKUP(D1784,'Species Codes'!B:L,11,0))*((I1784*0.3048)^VLOOKUP(D1784,'Species Codes'!B:M,12,0))))))*35.3*VLOOKUP(D1784,'Species Codes'!B:G,6,0)/2.2046,VLOOKUP(D1784,'Species Codes'!B:I,8,0)+VLOOKUP(D1784,'Species Codes'!B:J,9,0)*(((E1784*2.54)/100)^2)*(I1784*0.3048)))))*0.0011023),0)</f>
        <v>#N/A</v>
      </c>
      <c r="AC1784" s="104" t="e">
        <f>IF(Z1784&gt;0,((IF(OR(D1784="RA",D1784="OA",D1784="OT",D1784="UN",D1784="PC"),EXP(VLOOKUP(D1784,'Species Codes'!B:O,14,0)+VLOOKUP(D1784,'Species Codes'!B:P,15,0)*LN((E1784*2.54)))-EXP(VLOOKUP(D1784,'Species Codes'!B:O,14,0)+VLOOKUP(D1784,'Species Codes'!B:P,15,0)*LN((E1784*2.54)))*(1/(VLOOKUP(D1784,'Species Codes'!B:Q,16,0)+VLOOKUP(D1784,'Species Codes'!B:R,17,0)*((E1784*2.54)^VLOOKUP(D1784,'Species Codes'!B:S,18,0)))),IF(OR(D1784="BM",D1784="MD",D1784="OA"),EXP(VLOOKUP(D1784,'Species Codes'!B:O,14,0)+VLOOKUP(D1784,'Species Codes'!B:P,15,0)*LN((E1784*2.54)))*(1-(1/(VLOOKUP(D1784,'Species Codes'!B:Q,16,0)+VLOOKUP(D1784,'Species Codes'!B:R,17,0)*((E1784*2.54)^VLOOKUP(D1784,'Species Codes'!B:S,18,0)))))/1000,IF(D1784="DF",EXP(VLOOKUP(D1784,'Species Codes'!B:O,14,0)+VLOOKUP(D1784,'Species Codes'!B:P,15,0)*LN((E1784*2.54))),VLOOKUP(D1784,'Species Codes'!B:O,14,0)+VLOOKUP(D1784,'Species Codes'!B:P,15,0)*(((E1784*2.54)/100)^2)*(I1784*0.3048)))))*0.0011023),0)</f>
        <v>#N/A</v>
      </c>
      <c r="AD1784" s="104" t="e">
        <f t="shared" si="787"/>
        <v>#N/A</v>
      </c>
      <c r="AE1784" s="104" t="e">
        <f t="shared" si="788"/>
        <v>#N/A</v>
      </c>
      <c r="AF1784" s="104" t="e">
        <f>IF(AND(VLOOKUP($D1784,Merchantability!$B:$C,2,0)="Yes",$E1784&gt;=VLOOKUP($D1784,Merchantability!$B:$D,3,0),$E1784&lt;=VLOOKUP($D1784,Merchantability!$B:$E,4,0)),AA1784,0)</f>
        <v>#N/A</v>
      </c>
      <c r="AG1784" s="104" t="e">
        <f>IF(AND(VLOOKUP($D1784,Merchantability!$B:$C,2,0)="Yes",$E1784&gt;=VLOOKUP($D1784,Merchantability!$B:$D,3,0),$E1784&lt;=VLOOKUP($D1784,Merchantability!$B:$E,4,0)),AB1784,0)</f>
        <v>#N/A</v>
      </c>
      <c r="AH1784" s="104" t="e">
        <f>IF(AND(VLOOKUP($D1784,Merchantability!$B:$C,2,0)="Yes",$E1784&gt;=VLOOKUP($D1784,Merchantability!$B:$D,3,0),$E1784&lt;=VLOOKUP($D1784,Merchantability!$B:$E,4,0)),AC1784,0)</f>
        <v>#N/A</v>
      </c>
      <c r="AI1784" s="104" t="e">
        <f t="shared" si="789"/>
        <v>#N/A</v>
      </c>
      <c r="AJ1784" s="104" t="e">
        <f t="shared" si="790"/>
        <v>#VALUE!</v>
      </c>
      <c r="AK1784" s="104" t="e">
        <f t="shared" si="791"/>
        <v>#N/A</v>
      </c>
      <c r="AL1784" s="104" t="e">
        <f t="shared" si="792"/>
        <v>#N/A</v>
      </c>
      <c r="AM1784" s="104" t="e">
        <f t="shared" si="793"/>
        <v>#N/A</v>
      </c>
      <c r="AN1784" s="104" t="e">
        <f t="shared" si="777"/>
        <v>#N/A</v>
      </c>
      <c r="AO1784" s="104" t="e">
        <f t="shared" si="778"/>
        <v>#N/A</v>
      </c>
      <c r="AP1784" s="104" t="e">
        <f t="shared" si="779"/>
        <v>#N/A</v>
      </c>
      <c r="AQ1784" s="104" t="e">
        <f t="shared" si="780"/>
        <v>#N/A</v>
      </c>
      <c r="AR1784" s="105" t="str">
        <f t="shared" si="772"/>
        <v/>
      </c>
      <c r="AS1784" s="105" t="str">
        <f t="shared" si="773"/>
        <v/>
      </c>
      <c r="AT1784" s="108" t="str">
        <f t="shared" si="774"/>
        <v/>
      </c>
      <c r="AU1784" s="108" t="str">
        <f t="shared" si="775"/>
        <v/>
      </c>
      <c r="AV1784" s="107" t="str">
        <f>IF(ISNUMBER(O1784),IF(VLOOKUP($A1784,Stand!C:J,8,FALSE)="Short",AT1784,AU1784),"")</f>
        <v/>
      </c>
      <c r="AW1784" s="109" t="str">
        <f t="shared" si="781"/>
        <v/>
      </c>
      <c r="AX1784" s="109" t="str">
        <f t="shared" si="782"/>
        <v/>
      </c>
      <c r="AY1784" s="112" t="str">
        <f>IF(ISNUMBER(O1784),IF(AND(VLOOKUP($D1784,Merchantability!$B:$C,2,0)="Yes",$E1784&gt;=VLOOKUP($D1784,Merchantability!$B:$D,3,0),$E1784&lt;=VLOOKUP($D1784,Merchantability!$B:$E,4,0)),(AV1784*O1784)*(1-$H1784/100),""),"")</f>
        <v/>
      </c>
      <c r="AZ1784" s="116"/>
      <c r="BA1784" s="116"/>
      <c r="BB1784" s="116"/>
      <c r="BE1784" s="62"/>
      <c r="BF1784" s="63"/>
    </row>
    <row r="1785" spans="1:58" ht="12.75" customHeight="1" x14ac:dyDescent="0.25">
      <c r="A1785" s="334"/>
      <c r="B1785" s="334"/>
      <c r="C1785" s="332"/>
      <c r="D1785" s="334"/>
      <c r="E1785" s="335"/>
      <c r="F1785" s="334"/>
      <c r="G1785" s="332"/>
      <c r="H1785" s="332"/>
      <c r="I1785" s="334"/>
      <c r="J1785" s="336"/>
      <c r="K1785" s="332"/>
      <c r="L1785" s="332"/>
      <c r="M1785" s="76"/>
      <c r="N1785" s="103" t="str">
        <f>IF(A1785="","",VLOOKUP(A1785,Stand!C:K,9,0))</f>
        <v/>
      </c>
      <c r="O1785" s="104" t="str">
        <f t="shared" si="767"/>
        <v/>
      </c>
      <c r="P1785" s="105" t="str">
        <f t="shared" si="768"/>
        <v/>
      </c>
      <c r="Q1785" s="105" t="str">
        <f t="shared" si="783"/>
        <v/>
      </c>
      <c r="R1785" s="103" t="str">
        <f t="shared" si="769"/>
        <v/>
      </c>
      <c r="S1785" s="103" t="str">
        <f t="shared" si="770"/>
        <v/>
      </c>
      <c r="T1785" s="106" t="str">
        <f t="shared" si="784"/>
        <v/>
      </c>
      <c r="U1785" s="106" t="str">
        <f t="shared" si="785"/>
        <v/>
      </c>
      <c r="V1785" s="106" t="str">
        <f t="shared" si="786"/>
        <v/>
      </c>
      <c r="W1785" s="105" t="str">
        <f t="shared" si="771"/>
        <v/>
      </c>
      <c r="X1785" s="104" t="str">
        <f t="shared" si="776"/>
        <v/>
      </c>
      <c r="Y1785" s="104" t="str">
        <f t="array" ref="Y1785">IFERROR(IF(ISNUMBER(O1785),IF(COUNT(IF(A1785=$A$2:$A$2427,IF(D1785=$D$2:$D$2427,IF($X$2:$X$2427&gt;0,1))))&gt;0,SUM(IF(A1785=$A$2:$A$2427,IF(D1785=$D$2:$D$2427,$X$2:$X$2427)))/COUNT(IF(A1785=$A$2:$A$2427,IF(D1785=$D$2:$D$2427,IF(ISNUMBER($X$2:$X$2427),1)))),0),""),0)</f>
        <v/>
      </c>
      <c r="Z1785" s="104" t="str">
        <f>IF(ISNUMBER(O1785),IF(I1785&gt;0,(10^(VLOOKUP(D1785,'Species Codes'!B:C,2,0)+VLOOKUP(D1785,'Species Codes'!B:D,3,0)*LOG(E1785)+VLOOKUP(D1785,'Species Codes'!B:E,4,0)*LOG(I1785))),0),"")</f>
        <v/>
      </c>
      <c r="AA1785" s="104" t="str">
        <f>IFERROR((VLOOKUP(D1785,'Species Codes'!B:G,6,0)*Z1785)/2000,"")</f>
        <v/>
      </c>
      <c r="AB1785" s="104" t="e">
        <f>IF(Z1785&gt;0,((IF(OR(D1785="DF",D1785="RA")=TRUE,EXP(VLOOKUP(D1785,'Species Codes'!B:I,8,0)+VLOOKUP(D1785,'Species Codes'!B:J,9,0)*(LN((E1785*2.54)))),IF(OR(D1785="PY",D1785="RC",D1785="WH",D1785="NF")=TRUE,VLOOKUP(D1785,'Species Codes'!B:I,8,0)+VLOOKUP(D1785,'Species Codes'!B:J,9,0)*((E1785*2.54)^2)*(I1785*0.3048),IF(OR(D1785="MD",D1785="BM",D1785="GA")=TRUE,((VLOOKUP(D1785,'Species Codes'!B:I,8,0)*(((((E1785*2.54)+VLOOKUP(D1785,'Species Codes'!B:J,9,0))/VLOOKUP(D1785,'Species Codes'!B:K,10,0))^VLOOKUP(D1785,'Species Codes'!B:L,11,0))*((I1785*0.3048)^VLOOKUP(D1785,'Species Codes'!B:M,12,0))))-(VLOOKUP(D1785,'Species Codes'!B:I,8,0)*((((E1785*2.54)^VLOOKUP(D1785,'Species Codes'!B:L,11,0))*((I1785*0.3048)^VLOOKUP(D1785,'Species Codes'!B:M,12,0))))))*35.3*VLOOKUP(D1785,'Species Codes'!B:G,6,0)/2.2046,VLOOKUP(D1785,'Species Codes'!B:I,8,0)+VLOOKUP(D1785,'Species Codes'!B:J,9,0)*(((E1785*2.54)/100)^2)*(I1785*0.3048)))))*0.0011023),0)</f>
        <v>#N/A</v>
      </c>
      <c r="AC1785" s="104" t="e">
        <f>IF(Z1785&gt;0,((IF(OR(D1785="RA",D1785="OA",D1785="OT",D1785="UN",D1785="PC"),EXP(VLOOKUP(D1785,'Species Codes'!B:O,14,0)+VLOOKUP(D1785,'Species Codes'!B:P,15,0)*LN((E1785*2.54)))-EXP(VLOOKUP(D1785,'Species Codes'!B:O,14,0)+VLOOKUP(D1785,'Species Codes'!B:P,15,0)*LN((E1785*2.54)))*(1/(VLOOKUP(D1785,'Species Codes'!B:Q,16,0)+VLOOKUP(D1785,'Species Codes'!B:R,17,0)*((E1785*2.54)^VLOOKUP(D1785,'Species Codes'!B:S,18,0)))),IF(OR(D1785="BM",D1785="MD",D1785="OA"),EXP(VLOOKUP(D1785,'Species Codes'!B:O,14,0)+VLOOKUP(D1785,'Species Codes'!B:P,15,0)*LN((E1785*2.54)))*(1-(1/(VLOOKUP(D1785,'Species Codes'!B:Q,16,0)+VLOOKUP(D1785,'Species Codes'!B:R,17,0)*((E1785*2.54)^VLOOKUP(D1785,'Species Codes'!B:S,18,0)))))/1000,IF(D1785="DF",EXP(VLOOKUP(D1785,'Species Codes'!B:O,14,0)+VLOOKUP(D1785,'Species Codes'!B:P,15,0)*LN((E1785*2.54))),VLOOKUP(D1785,'Species Codes'!B:O,14,0)+VLOOKUP(D1785,'Species Codes'!B:P,15,0)*(((E1785*2.54)/100)^2)*(I1785*0.3048)))))*0.0011023),0)</f>
        <v>#N/A</v>
      </c>
      <c r="AD1785" s="104" t="e">
        <f t="shared" si="787"/>
        <v>#N/A</v>
      </c>
      <c r="AE1785" s="104" t="e">
        <f t="shared" si="788"/>
        <v>#N/A</v>
      </c>
      <c r="AF1785" s="104" t="e">
        <f>IF(AND(VLOOKUP($D1785,Merchantability!$B:$C,2,0)="Yes",$E1785&gt;=VLOOKUP($D1785,Merchantability!$B:$D,3,0),$E1785&lt;=VLOOKUP($D1785,Merchantability!$B:$E,4,0)),AA1785,0)</f>
        <v>#N/A</v>
      </c>
      <c r="AG1785" s="104" t="e">
        <f>IF(AND(VLOOKUP($D1785,Merchantability!$B:$C,2,0)="Yes",$E1785&gt;=VLOOKUP($D1785,Merchantability!$B:$D,3,0),$E1785&lt;=VLOOKUP($D1785,Merchantability!$B:$E,4,0)),AB1785,0)</f>
        <v>#N/A</v>
      </c>
      <c r="AH1785" s="104" t="e">
        <f>IF(AND(VLOOKUP($D1785,Merchantability!$B:$C,2,0)="Yes",$E1785&gt;=VLOOKUP($D1785,Merchantability!$B:$D,3,0),$E1785&lt;=VLOOKUP($D1785,Merchantability!$B:$E,4,0)),AC1785,0)</f>
        <v>#N/A</v>
      </c>
      <c r="AI1785" s="104" t="e">
        <f t="shared" si="789"/>
        <v>#N/A</v>
      </c>
      <c r="AJ1785" s="104" t="e">
        <f t="shared" si="790"/>
        <v>#VALUE!</v>
      </c>
      <c r="AK1785" s="104" t="e">
        <f t="shared" si="791"/>
        <v>#N/A</v>
      </c>
      <c r="AL1785" s="104" t="e">
        <f t="shared" si="792"/>
        <v>#N/A</v>
      </c>
      <c r="AM1785" s="104" t="e">
        <f t="shared" si="793"/>
        <v>#N/A</v>
      </c>
      <c r="AN1785" s="104" t="e">
        <f t="shared" si="777"/>
        <v>#N/A</v>
      </c>
      <c r="AO1785" s="104" t="e">
        <f t="shared" si="778"/>
        <v>#N/A</v>
      </c>
      <c r="AP1785" s="104" t="e">
        <f t="shared" si="779"/>
        <v>#N/A</v>
      </c>
      <c r="AQ1785" s="104" t="e">
        <f t="shared" si="780"/>
        <v>#N/A</v>
      </c>
      <c r="AR1785" s="105" t="str">
        <f t="shared" si="772"/>
        <v/>
      </c>
      <c r="AS1785" s="105" t="str">
        <f t="shared" si="773"/>
        <v/>
      </c>
      <c r="AT1785" s="108" t="str">
        <f t="shared" si="774"/>
        <v/>
      </c>
      <c r="AU1785" s="108" t="str">
        <f t="shared" si="775"/>
        <v/>
      </c>
      <c r="AV1785" s="107" t="str">
        <f>IF(ISNUMBER(O1785),IF(VLOOKUP($A1785,Stand!C:J,8,FALSE)="Short",AT1785,AU1785),"")</f>
        <v/>
      </c>
      <c r="AW1785" s="109" t="str">
        <f t="shared" si="781"/>
        <v/>
      </c>
      <c r="AX1785" s="109" t="str">
        <f t="shared" si="782"/>
        <v/>
      </c>
      <c r="AY1785" s="112" t="str">
        <f>IF(ISNUMBER(O1785),IF(AND(VLOOKUP($D1785,Merchantability!$B:$C,2,0)="Yes",$E1785&gt;=VLOOKUP($D1785,Merchantability!$B:$D,3,0),$E1785&lt;=VLOOKUP($D1785,Merchantability!$B:$E,4,0)),(AV1785*O1785)*(1-$H1785/100),""),"")</f>
        <v/>
      </c>
      <c r="AZ1785" s="116"/>
      <c r="BA1785" s="116"/>
      <c r="BB1785" s="116"/>
      <c r="BE1785" s="62"/>
      <c r="BF1785" s="63"/>
    </row>
    <row r="1786" spans="1:58" ht="12.75" customHeight="1" x14ac:dyDescent="0.25">
      <c r="A1786" s="334"/>
      <c r="B1786" s="334"/>
      <c r="C1786" s="332"/>
      <c r="D1786" s="334"/>
      <c r="E1786" s="335"/>
      <c r="F1786" s="334"/>
      <c r="G1786" s="332"/>
      <c r="H1786" s="332"/>
      <c r="I1786" s="334"/>
      <c r="J1786" s="336"/>
      <c r="K1786" s="332"/>
      <c r="L1786" s="332"/>
      <c r="M1786" s="76"/>
      <c r="N1786" s="103" t="str">
        <f>IF(A1786="","",VLOOKUP(A1786,Stand!C:K,9,0))</f>
        <v/>
      </c>
      <c r="O1786" s="104" t="str">
        <f t="shared" si="767"/>
        <v/>
      </c>
      <c r="P1786" s="105" t="str">
        <f t="shared" si="768"/>
        <v/>
      </c>
      <c r="Q1786" s="105" t="str">
        <f t="shared" si="783"/>
        <v/>
      </c>
      <c r="R1786" s="103" t="str">
        <f t="shared" si="769"/>
        <v/>
      </c>
      <c r="S1786" s="103" t="str">
        <f t="shared" si="770"/>
        <v/>
      </c>
      <c r="T1786" s="106" t="str">
        <f t="shared" si="784"/>
        <v/>
      </c>
      <c r="U1786" s="106" t="str">
        <f t="shared" si="785"/>
        <v/>
      </c>
      <c r="V1786" s="106" t="str">
        <f t="shared" si="786"/>
        <v/>
      </c>
      <c r="W1786" s="105" t="str">
        <f t="shared" si="771"/>
        <v/>
      </c>
      <c r="X1786" s="104" t="str">
        <f t="shared" si="776"/>
        <v/>
      </c>
      <c r="Y1786" s="104" t="str">
        <f t="array" ref="Y1786">IFERROR(IF(ISNUMBER(O1786),IF(COUNT(IF(A1786=$A$2:$A$2427,IF(D1786=$D$2:$D$2427,IF($X$2:$X$2427&gt;0,1))))&gt;0,SUM(IF(A1786=$A$2:$A$2427,IF(D1786=$D$2:$D$2427,$X$2:$X$2427)))/COUNT(IF(A1786=$A$2:$A$2427,IF(D1786=$D$2:$D$2427,IF(ISNUMBER($X$2:$X$2427),1)))),0),""),0)</f>
        <v/>
      </c>
      <c r="Z1786" s="104" t="str">
        <f>IF(ISNUMBER(O1786),IF(I1786&gt;0,(10^(VLOOKUP(D1786,'Species Codes'!B:C,2,0)+VLOOKUP(D1786,'Species Codes'!B:D,3,0)*LOG(E1786)+VLOOKUP(D1786,'Species Codes'!B:E,4,0)*LOG(I1786))),0),"")</f>
        <v/>
      </c>
      <c r="AA1786" s="104" t="str">
        <f>IFERROR((VLOOKUP(D1786,'Species Codes'!B:G,6,0)*Z1786)/2000,"")</f>
        <v/>
      </c>
      <c r="AB1786" s="104" t="e">
        <f>IF(Z1786&gt;0,((IF(OR(D1786="DF",D1786="RA")=TRUE,EXP(VLOOKUP(D1786,'Species Codes'!B:I,8,0)+VLOOKUP(D1786,'Species Codes'!B:J,9,0)*(LN((E1786*2.54)))),IF(OR(D1786="PY",D1786="RC",D1786="WH",D1786="NF")=TRUE,VLOOKUP(D1786,'Species Codes'!B:I,8,0)+VLOOKUP(D1786,'Species Codes'!B:J,9,0)*((E1786*2.54)^2)*(I1786*0.3048),IF(OR(D1786="MD",D1786="BM",D1786="GA")=TRUE,((VLOOKUP(D1786,'Species Codes'!B:I,8,0)*(((((E1786*2.54)+VLOOKUP(D1786,'Species Codes'!B:J,9,0))/VLOOKUP(D1786,'Species Codes'!B:K,10,0))^VLOOKUP(D1786,'Species Codes'!B:L,11,0))*((I1786*0.3048)^VLOOKUP(D1786,'Species Codes'!B:M,12,0))))-(VLOOKUP(D1786,'Species Codes'!B:I,8,0)*((((E1786*2.54)^VLOOKUP(D1786,'Species Codes'!B:L,11,0))*((I1786*0.3048)^VLOOKUP(D1786,'Species Codes'!B:M,12,0))))))*35.3*VLOOKUP(D1786,'Species Codes'!B:G,6,0)/2.2046,VLOOKUP(D1786,'Species Codes'!B:I,8,0)+VLOOKUP(D1786,'Species Codes'!B:J,9,0)*(((E1786*2.54)/100)^2)*(I1786*0.3048)))))*0.0011023),0)</f>
        <v>#N/A</v>
      </c>
      <c r="AC1786" s="104" t="e">
        <f>IF(Z1786&gt;0,((IF(OR(D1786="RA",D1786="OA",D1786="OT",D1786="UN",D1786="PC"),EXP(VLOOKUP(D1786,'Species Codes'!B:O,14,0)+VLOOKUP(D1786,'Species Codes'!B:P,15,0)*LN((E1786*2.54)))-EXP(VLOOKUP(D1786,'Species Codes'!B:O,14,0)+VLOOKUP(D1786,'Species Codes'!B:P,15,0)*LN((E1786*2.54)))*(1/(VLOOKUP(D1786,'Species Codes'!B:Q,16,0)+VLOOKUP(D1786,'Species Codes'!B:R,17,0)*((E1786*2.54)^VLOOKUP(D1786,'Species Codes'!B:S,18,0)))),IF(OR(D1786="BM",D1786="MD",D1786="OA"),EXP(VLOOKUP(D1786,'Species Codes'!B:O,14,0)+VLOOKUP(D1786,'Species Codes'!B:P,15,0)*LN((E1786*2.54)))*(1-(1/(VLOOKUP(D1786,'Species Codes'!B:Q,16,0)+VLOOKUP(D1786,'Species Codes'!B:R,17,0)*((E1786*2.54)^VLOOKUP(D1786,'Species Codes'!B:S,18,0)))))/1000,IF(D1786="DF",EXP(VLOOKUP(D1786,'Species Codes'!B:O,14,0)+VLOOKUP(D1786,'Species Codes'!B:P,15,0)*LN((E1786*2.54))),VLOOKUP(D1786,'Species Codes'!B:O,14,0)+VLOOKUP(D1786,'Species Codes'!B:P,15,0)*(((E1786*2.54)/100)^2)*(I1786*0.3048)))))*0.0011023),0)</f>
        <v>#N/A</v>
      </c>
      <c r="AD1786" s="104" t="e">
        <f t="shared" si="787"/>
        <v>#N/A</v>
      </c>
      <c r="AE1786" s="104" t="e">
        <f t="shared" si="788"/>
        <v>#N/A</v>
      </c>
      <c r="AF1786" s="104" t="e">
        <f>IF(AND(VLOOKUP($D1786,Merchantability!$B:$C,2,0)="Yes",$E1786&gt;=VLOOKUP($D1786,Merchantability!$B:$D,3,0),$E1786&lt;=VLOOKUP($D1786,Merchantability!$B:$E,4,0)),AA1786,0)</f>
        <v>#N/A</v>
      </c>
      <c r="AG1786" s="104" t="e">
        <f>IF(AND(VLOOKUP($D1786,Merchantability!$B:$C,2,0)="Yes",$E1786&gt;=VLOOKUP($D1786,Merchantability!$B:$D,3,0),$E1786&lt;=VLOOKUP($D1786,Merchantability!$B:$E,4,0)),AB1786,0)</f>
        <v>#N/A</v>
      </c>
      <c r="AH1786" s="104" t="e">
        <f>IF(AND(VLOOKUP($D1786,Merchantability!$B:$C,2,0)="Yes",$E1786&gt;=VLOOKUP($D1786,Merchantability!$B:$D,3,0),$E1786&lt;=VLOOKUP($D1786,Merchantability!$B:$E,4,0)),AC1786,0)</f>
        <v>#N/A</v>
      </c>
      <c r="AI1786" s="104" t="e">
        <f t="shared" si="789"/>
        <v>#N/A</v>
      </c>
      <c r="AJ1786" s="104" t="e">
        <f t="shared" si="790"/>
        <v>#VALUE!</v>
      </c>
      <c r="AK1786" s="104" t="e">
        <f t="shared" si="791"/>
        <v>#N/A</v>
      </c>
      <c r="AL1786" s="104" t="e">
        <f t="shared" si="792"/>
        <v>#N/A</v>
      </c>
      <c r="AM1786" s="104" t="e">
        <f t="shared" si="793"/>
        <v>#N/A</v>
      </c>
      <c r="AN1786" s="104" t="e">
        <f t="shared" si="777"/>
        <v>#N/A</v>
      </c>
      <c r="AO1786" s="104" t="e">
        <f t="shared" si="778"/>
        <v>#N/A</v>
      </c>
      <c r="AP1786" s="104" t="e">
        <f t="shared" si="779"/>
        <v>#N/A</v>
      </c>
      <c r="AQ1786" s="104" t="e">
        <f t="shared" si="780"/>
        <v>#N/A</v>
      </c>
      <c r="AR1786" s="105" t="str">
        <f t="shared" si="772"/>
        <v/>
      </c>
      <c r="AS1786" s="105" t="str">
        <f t="shared" si="773"/>
        <v/>
      </c>
      <c r="AT1786" s="108" t="str">
        <f t="shared" si="774"/>
        <v/>
      </c>
      <c r="AU1786" s="108" t="str">
        <f t="shared" si="775"/>
        <v/>
      </c>
      <c r="AV1786" s="107" t="str">
        <f>IF(ISNUMBER(O1786),IF(VLOOKUP($A1786,Stand!C:J,8,FALSE)="Short",AT1786,AU1786),"")</f>
        <v/>
      </c>
      <c r="AW1786" s="109" t="str">
        <f t="shared" si="781"/>
        <v/>
      </c>
      <c r="AX1786" s="109" t="str">
        <f t="shared" si="782"/>
        <v/>
      </c>
      <c r="AY1786" s="112" t="str">
        <f>IF(ISNUMBER(O1786),IF(AND(VLOOKUP($D1786,Merchantability!$B:$C,2,0)="Yes",$E1786&gt;=VLOOKUP($D1786,Merchantability!$B:$D,3,0),$E1786&lt;=VLOOKUP($D1786,Merchantability!$B:$E,4,0)),(AV1786*O1786)*(1-$H1786/100),""),"")</f>
        <v/>
      </c>
      <c r="AZ1786" s="116"/>
      <c r="BA1786" s="116"/>
      <c r="BB1786" s="116"/>
      <c r="BE1786" s="62"/>
      <c r="BF1786" s="63"/>
    </row>
    <row r="1787" spans="1:58" ht="12.75" customHeight="1" x14ac:dyDescent="0.25">
      <c r="A1787" s="334"/>
      <c r="B1787" s="334"/>
      <c r="C1787" s="332"/>
      <c r="D1787" s="334"/>
      <c r="E1787" s="335"/>
      <c r="F1787" s="334"/>
      <c r="G1787" s="332"/>
      <c r="H1787" s="332"/>
      <c r="I1787" s="334"/>
      <c r="J1787" s="336"/>
      <c r="K1787" s="332"/>
      <c r="L1787" s="332"/>
      <c r="M1787" s="76"/>
      <c r="N1787" s="103" t="str">
        <f>IF(A1787="","",VLOOKUP(A1787,Stand!C:K,9,0))</f>
        <v/>
      </c>
      <c r="O1787" s="104" t="str">
        <f t="shared" si="767"/>
        <v/>
      </c>
      <c r="P1787" s="105" t="str">
        <f t="shared" si="768"/>
        <v/>
      </c>
      <c r="Q1787" s="105" t="str">
        <f t="shared" si="783"/>
        <v/>
      </c>
      <c r="R1787" s="103" t="str">
        <f t="shared" si="769"/>
        <v/>
      </c>
      <c r="S1787" s="103" t="str">
        <f t="shared" si="770"/>
        <v/>
      </c>
      <c r="T1787" s="106" t="str">
        <f t="shared" si="784"/>
        <v/>
      </c>
      <c r="U1787" s="106" t="str">
        <f t="shared" si="785"/>
        <v/>
      </c>
      <c r="V1787" s="106" t="str">
        <f t="shared" si="786"/>
        <v/>
      </c>
      <c r="W1787" s="105" t="str">
        <f t="shared" si="771"/>
        <v/>
      </c>
      <c r="X1787" s="104" t="str">
        <f t="shared" si="776"/>
        <v/>
      </c>
      <c r="Y1787" s="104" t="str">
        <f t="array" ref="Y1787">IFERROR(IF(ISNUMBER(O1787),IF(COUNT(IF(A1787=$A$2:$A$2427,IF(D1787=$D$2:$D$2427,IF($X$2:$X$2427&gt;0,1))))&gt;0,SUM(IF(A1787=$A$2:$A$2427,IF(D1787=$D$2:$D$2427,$X$2:$X$2427)))/COUNT(IF(A1787=$A$2:$A$2427,IF(D1787=$D$2:$D$2427,IF(ISNUMBER($X$2:$X$2427),1)))),0),""),0)</f>
        <v/>
      </c>
      <c r="Z1787" s="104" t="str">
        <f>IF(ISNUMBER(O1787),IF(I1787&gt;0,(10^(VLOOKUP(D1787,'Species Codes'!B:C,2,0)+VLOOKUP(D1787,'Species Codes'!B:D,3,0)*LOG(E1787)+VLOOKUP(D1787,'Species Codes'!B:E,4,0)*LOG(I1787))),0),"")</f>
        <v/>
      </c>
      <c r="AA1787" s="104" t="str">
        <f>IFERROR((VLOOKUP(D1787,'Species Codes'!B:G,6,0)*Z1787)/2000,"")</f>
        <v/>
      </c>
      <c r="AB1787" s="104" t="e">
        <f>IF(Z1787&gt;0,((IF(OR(D1787="DF",D1787="RA")=TRUE,EXP(VLOOKUP(D1787,'Species Codes'!B:I,8,0)+VLOOKUP(D1787,'Species Codes'!B:J,9,0)*(LN((E1787*2.54)))),IF(OR(D1787="PY",D1787="RC",D1787="WH",D1787="NF")=TRUE,VLOOKUP(D1787,'Species Codes'!B:I,8,0)+VLOOKUP(D1787,'Species Codes'!B:J,9,0)*((E1787*2.54)^2)*(I1787*0.3048),IF(OR(D1787="MD",D1787="BM",D1787="GA")=TRUE,((VLOOKUP(D1787,'Species Codes'!B:I,8,0)*(((((E1787*2.54)+VLOOKUP(D1787,'Species Codes'!B:J,9,0))/VLOOKUP(D1787,'Species Codes'!B:K,10,0))^VLOOKUP(D1787,'Species Codes'!B:L,11,0))*((I1787*0.3048)^VLOOKUP(D1787,'Species Codes'!B:M,12,0))))-(VLOOKUP(D1787,'Species Codes'!B:I,8,0)*((((E1787*2.54)^VLOOKUP(D1787,'Species Codes'!B:L,11,0))*((I1787*0.3048)^VLOOKUP(D1787,'Species Codes'!B:M,12,0))))))*35.3*VLOOKUP(D1787,'Species Codes'!B:G,6,0)/2.2046,VLOOKUP(D1787,'Species Codes'!B:I,8,0)+VLOOKUP(D1787,'Species Codes'!B:J,9,0)*(((E1787*2.54)/100)^2)*(I1787*0.3048)))))*0.0011023),0)</f>
        <v>#N/A</v>
      </c>
      <c r="AC1787" s="104" t="e">
        <f>IF(Z1787&gt;0,((IF(OR(D1787="RA",D1787="OA",D1787="OT",D1787="UN",D1787="PC"),EXP(VLOOKUP(D1787,'Species Codes'!B:O,14,0)+VLOOKUP(D1787,'Species Codes'!B:P,15,0)*LN((E1787*2.54)))-EXP(VLOOKUP(D1787,'Species Codes'!B:O,14,0)+VLOOKUP(D1787,'Species Codes'!B:P,15,0)*LN((E1787*2.54)))*(1/(VLOOKUP(D1787,'Species Codes'!B:Q,16,0)+VLOOKUP(D1787,'Species Codes'!B:R,17,0)*((E1787*2.54)^VLOOKUP(D1787,'Species Codes'!B:S,18,0)))),IF(OR(D1787="BM",D1787="MD",D1787="OA"),EXP(VLOOKUP(D1787,'Species Codes'!B:O,14,0)+VLOOKUP(D1787,'Species Codes'!B:P,15,0)*LN((E1787*2.54)))*(1-(1/(VLOOKUP(D1787,'Species Codes'!B:Q,16,0)+VLOOKUP(D1787,'Species Codes'!B:R,17,0)*((E1787*2.54)^VLOOKUP(D1787,'Species Codes'!B:S,18,0)))))/1000,IF(D1787="DF",EXP(VLOOKUP(D1787,'Species Codes'!B:O,14,0)+VLOOKUP(D1787,'Species Codes'!B:P,15,0)*LN((E1787*2.54))),VLOOKUP(D1787,'Species Codes'!B:O,14,0)+VLOOKUP(D1787,'Species Codes'!B:P,15,0)*(((E1787*2.54)/100)^2)*(I1787*0.3048)))))*0.0011023),0)</f>
        <v>#N/A</v>
      </c>
      <c r="AD1787" s="104" t="e">
        <f t="shared" si="787"/>
        <v>#N/A</v>
      </c>
      <c r="AE1787" s="104" t="e">
        <f t="shared" si="788"/>
        <v>#N/A</v>
      </c>
      <c r="AF1787" s="104" t="e">
        <f>IF(AND(VLOOKUP($D1787,Merchantability!$B:$C,2,0)="Yes",$E1787&gt;=VLOOKUP($D1787,Merchantability!$B:$D,3,0),$E1787&lt;=VLOOKUP($D1787,Merchantability!$B:$E,4,0)),AA1787,0)</f>
        <v>#N/A</v>
      </c>
      <c r="AG1787" s="104" t="e">
        <f>IF(AND(VLOOKUP($D1787,Merchantability!$B:$C,2,0)="Yes",$E1787&gt;=VLOOKUP($D1787,Merchantability!$B:$D,3,0),$E1787&lt;=VLOOKUP($D1787,Merchantability!$B:$E,4,0)),AB1787,0)</f>
        <v>#N/A</v>
      </c>
      <c r="AH1787" s="104" t="e">
        <f>IF(AND(VLOOKUP($D1787,Merchantability!$B:$C,2,0)="Yes",$E1787&gt;=VLOOKUP($D1787,Merchantability!$B:$D,3,0),$E1787&lt;=VLOOKUP($D1787,Merchantability!$B:$E,4,0)),AC1787,0)</f>
        <v>#N/A</v>
      </c>
      <c r="AI1787" s="104" t="e">
        <f t="shared" si="789"/>
        <v>#N/A</v>
      </c>
      <c r="AJ1787" s="104" t="e">
        <f t="shared" si="790"/>
        <v>#VALUE!</v>
      </c>
      <c r="AK1787" s="104" t="e">
        <f t="shared" si="791"/>
        <v>#N/A</v>
      </c>
      <c r="AL1787" s="104" t="e">
        <f t="shared" si="792"/>
        <v>#N/A</v>
      </c>
      <c r="AM1787" s="104" t="e">
        <f t="shared" si="793"/>
        <v>#N/A</v>
      </c>
      <c r="AN1787" s="104" t="e">
        <f t="shared" si="777"/>
        <v>#N/A</v>
      </c>
      <c r="AO1787" s="104" t="e">
        <f t="shared" si="778"/>
        <v>#N/A</v>
      </c>
      <c r="AP1787" s="104" t="e">
        <f t="shared" si="779"/>
        <v>#N/A</v>
      </c>
      <c r="AQ1787" s="104" t="e">
        <f t="shared" si="780"/>
        <v>#N/A</v>
      </c>
      <c r="AR1787" s="105" t="str">
        <f t="shared" si="772"/>
        <v/>
      </c>
      <c r="AS1787" s="105" t="str">
        <f t="shared" si="773"/>
        <v/>
      </c>
      <c r="AT1787" s="108" t="str">
        <f t="shared" si="774"/>
        <v/>
      </c>
      <c r="AU1787" s="108" t="str">
        <f t="shared" si="775"/>
        <v/>
      </c>
      <c r="AV1787" s="107" t="str">
        <f>IF(ISNUMBER(O1787),IF(VLOOKUP($A1787,Stand!C:J,8,FALSE)="Short",AT1787,AU1787),"")</f>
        <v/>
      </c>
      <c r="AW1787" s="109" t="str">
        <f t="shared" si="781"/>
        <v/>
      </c>
      <c r="AX1787" s="109" t="str">
        <f t="shared" si="782"/>
        <v/>
      </c>
      <c r="AY1787" s="112" t="str">
        <f>IF(ISNUMBER(O1787),IF(AND(VLOOKUP($D1787,Merchantability!$B:$C,2,0)="Yes",$E1787&gt;=VLOOKUP($D1787,Merchantability!$B:$D,3,0),$E1787&lt;=VLOOKUP($D1787,Merchantability!$B:$E,4,0)),(AV1787*O1787)*(1-$H1787/100),""),"")</f>
        <v/>
      </c>
      <c r="AZ1787" s="116"/>
      <c r="BA1787" s="116"/>
      <c r="BB1787" s="116"/>
      <c r="BE1787" s="62"/>
      <c r="BF1787" s="63"/>
    </row>
    <row r="1788" spans="1:58" ht="12.75" customHeight="1" x14ac:dyDescent="0.25">
      <c r="A1788" s="334"/>
      <c r="B1788" s="334"/>
      <c r="C1788" s="332"/>
      <c r="D1788" s="334"/>
      <c r="E1788" s="335"/>
      <c r="F1788" s="334"/>
      <c r="G1788" s="332"/>
      <c r="H1788" s="332"/>
      <c r="I1788" s="334"/>
      <c r="J1788" s="336"/>
      <c r="K1788" s="332"/>
      <c r="L1788" s="332"/>
      <c r="M1788" s="76"/>
      <c r="N1788" s="103" t="str">
        <f>IF(A1788="","",VLOOKUP(A1788,Stand!C:K,9,0))</f>
        <v/>
      </c>
      <c r="O1788" s="104" t="str">
        <f t="shared" si="767"/>
        <v/>
      </c>
      <c r="P1788" s="105" t="str">
        <f t="shared" si="768"/>
        <v/>
      </c>
      <c r="Q1788" s="105" t="str">
        <f t="shared" si="783"/>
        <v/>
      </c>
      <c r="R1788" s="103" t="str">
        <f t="shared" si="769"/>
        <v/>
      </c>
      <c r="S1788" s="103" t="str">
        <f t="shared" si="770"/>
        <v/>
      </c>
      <c r="T1788" s="106" t="str">
        <f t="shared" si="784"/>
        <v/>
      </c>
      <c r="U1788" s="106" t="str">
        <f t="shared" si="785"/>
        <v/>
      </c>
      <c r="V1788" s="106" t="str">
        <f t="shared" si="786"/>
        <v/>
      </c>
      <c r="W1788" s="105" t="str">
        <f t="shared" si="771"/>
        <v/>
      </c>
      <c r="X1788" s="104" t="str">
        <f t="shared" si="776"/>
        <v/>
      </c>
      <c r="Y1788" s="104" t="str">
        <f t="array" ref="Y1788">IFERROR(IF(ISNUMBER(O1788),IF(COUNT(IF(A1788=$A$2:$A$2427,IF(D1788=$D$2:$D$2427,IF($X$2:$X$2427&gt;0,1))))&gt;0,SUM(IF(A1788=$A$2:$A$2427,IF(D1788=$D$2:$D$2427,$X$2:$X$2427)))/COUNT(IF(A1788=$A$2:$A$2427,IF(D1788=$D$2:$D$2427,IF(ISNUMBER($X$2:$X$2427),1)))),0),""),0)</f>
        <v/>
      </c>
      <c r="Z1788" s="104" t="str">
        <f>IF(ISNUMBER(O1788),IF(I1788&gt;0,(10^(VLOOKUP(D1788,'Species Codes'!B:C,2,0)+VLOOKUP(D1788,'Species Codes'!B:D,3,0)*LOG(E1788)+VLOOKUP(D1788,'Species Codes'!B:E,4,0)*LOG(I1788))),0),"")</f>
        <v/>
      </c>
      <c r="AA1788" s="104" t="str">
        <f>IFERROR((VLOOKUP(D1788,'Species Codes'!B:G,6,0)*Z1788)/2000,"")</f>
        <v/>
      </c>
      <c r="AB1788" s="104" t="e">
        <f>IF(Z1788&gt;0,((IF(OR(D1788="DF",D1788="RA")=TRUE,EXP(VLOOKUP(D1788,'Species Codes'!B:I,8,0)+VLOOKUP(D1788,'Species Codes'!B:J,9,0)*(LN((E1788*2.54)))),IF(OR(D1788="PY",D1788="RC",D1788="WH",D1788="NF")=TRUE,VLOOKUP(D1788,'Species Codes'!B:I,8,0)+VLOOKUP(D1788,'Species Codes'!B:J,9,0)*((E1788*2.54)^2)*(I1788*0.3048),IF(OR(D1788="MD",D1788="BM",D1788="GA")=TRUE,((VLOOKUP(D1788,'Species Codes'!B:I,8,0)*(((((E1788*2.54)+VLOOKUP(D1788,'Species Codes'!B:J,9,0))/VLOOKUP(D1788,'Species Codes'!B:K,10,0))^VLOOKUP(D1788,'Species Codes'!B:L,11,0))*((I1788*0.3048)^VLOOKUP(D1788,'Species Codes'!B:M,12,0))))-(VLOOKUP(D1788,'Species Codes'!B:I,8,0)*((((E1788*2.54)^VLOOKUP(D1788,'Species Codes'!B:L,11,0))*((I1788*0.3048)^VLOOKUP(D1788,'Species Codes'!B:M,12,0))))))*35.3*VLOOKUP(D1788,'Species Codes'!B:G,6,0)/2.2046,VLOOKUP(D1788,'Species Codes'!B:I,8,0)+VLOOKUP(D1788,'Species Codes'!B:J,9,0)*(((E1788*2.54)/100)^2)*(I1788*0.3048)))))*0.0011023),0)</f>
        <v>#N/A</v>
      </c>
      <c r="AC1788" s="104" t="e">
        <f>IF(Z1788&gt;0,((IF(OR(D1788="RA",D1788="OA",D1788="OT",D1788="UN",D1788="PC"),EXP(VLOOKUP(D1788,'Species Codes'!B:O,14,0)+VLOOKUP(D1788,'Species Codes'!B:P,15,0)*LN((E1788*2.54)))-EXP(VLOOKUP(D1788,'Species Codes'!B:O,14,0)+VLOOKUP(D1788,'Species Codes'!B:P,15,0)*LN((E1788*2.54)))*(1/(VLOOKUP(D1788,'Species Codes'!B:Q,16,0)+VLOOKUP(D1788,'Species Codes'!B:R,17,0)*((E1788*2.54)^VLOOKUP(D1788,'Species Codes'!B:S,18,0)))),IF(OR(D1788="BM",D1788="MD",D1788="OA"),EXP(VLOOKUP(D1788,'Species Codes'!B:O,14,0)+VLOOKUP(D1788,'Species Codes'!B:P,15,0)*LN((E1788*2.54)))*(1-(1/(VLOOKUP(D1788,'Species Codes'!B:Q,16,0)+VLOOKUP(D1788,'Species Codes'!B:R,17,0)*((E1788*2.54)^VLOOKUP(D1788,'Species Codes'!B:S,18,0)))))/1000,IF(D1788="DF",EXP(VLOOKUP(D1788,'Species Codes'!B:O,14,0)+VLOOKUP(D1788,'Species Codes'!B:P,15,0)*LN((E1788*2.54))),VLOOKUP(D1788,'Species Codes'!B:O,14,0)+VLOOKUP(D1788,'Species Codes'!B:P,15,0)*(((E1788*2.54)/100)^2)*(I1788*0.3048)))))*0.0011023),0)</f>
        <v>#N/A</v>
      </c>
      <c r="AD1788" s="104" t="e">
        <f t="shared" si="787"/>
        <v>#N/A</v>
      </c>
      <c r="AE1788" s="104" t="e">
        <f t="shared" si="788"/>
        <v>#N/A</v>
      </c>
      <c r="AF1788" s="104" t="e">
        <f>IF(AND(VLOOKUP($D1788,Merchantability!$B:$C,2,0)="Yes",$E1788&gt;=VLOOKUP($D1788,Merchantability!$B:$D,3,0),$E1788&lt;=VLOOKUP($D1788,Merchantability!$B:$E,4,0)),AA1788,0)</f>
        <v>#N/A</v>
      </c>
      <c r="AG1788" s="104" t="e">
        <f>IF(AND(VLOOKUP($D1788,Merchantability!$B:$C,2,0)="Yes",$E1788&gt;=VLOOKUP($D1788,Merchantability!$B:$D,3,0),$E1788&lt;=VLOOKUP($D1788,Merchantability!$B:$E,4,0)),AB1788,0)</f>
        <v>#N/A</v>
      </c>
      <c r="AH1788" s="104" t="e">
        <f>IF(AND(VLOOKUP($D1788,Merchantability!$B:$C,2,0)="Yes",$E1788&gt;=VLOOKUP($D1788,Merchantability!$B:$D,3,0),$E1788&lt;=VLOOKUP($D1788,Merchantability!$B:$E,4,0)),AC1788,0)</f>
        <v>#N/A</v>
      </c>
      <c r="AI1788" s="104" t="e">
        <f t="shared" si="789"/>
        <v>#N/A</v>
      </c>
      <c r="AJ1788" s="104" t="e">
        <f t="shared" si="790"/>
        <v>#VALUE!</v>
      </c>
      <c r="AK1788" s="104" t="e">
        <f t="shared" si="791"/>
        <v>#N/A</v>
      </c>
      <c r="AL1788" s="104" t="e">
        <f t="shared" si="792"/>
        <v>#N/A</v>
      </c>
      <c r="AM1788" s="104" t="e">
        <f t="shared" si="793"/>
        <v>#N/A</v>
      </c>
      <c r="AN1788" s="104" t="e">
        <f t="shared" si="777"/>
        <v>#N/A</v>
      </c>
      <c r="AO1788" s="104" t="e">
        <f t="shared" si="778"/>
        <v>#N/A</v>
      </c>
      <c r="AP1788" s="104" t="e">
        <f t="shared" si="779"/>
        <v>#N/A</v>
      </c>
      <c r="AQ1788" s="104" t="e">
        <f t="shared" si="780"/>
        <v>#N/A</v>
      </c>
      <c r="AR1788" s="105" t="str">
        <f t="shared" si="772"/>
        <v/>
      </c>
      <c r="AS1788" s="105" t="str">
        <f t="shared" si="773"/>
        <v/>
      </c>
      <c r="AT1788" s="108" t="str">
        <f t="shared" si="774"/>
        <v/>
      </c>
      <c r="AU1788" s="108" t="str">
        <f t="shared" si="775"/>
        <v/>
      </c>
      <c r="AV1788" s="107" t="str">
        <f>IF(ISNUMBER(O1788),IF(VLOOKUP($A1788,Stand!C:J,8,FALSE)="Short",AT1788,AU1788),"")</f>
        <v/>
      </c>
      <c r="AW1788" s="109" t="str">
        <f t="shared" si="781"/>
        <v/>
      </c>
      <c r="AX1788" s="109" t="str">
        <f t="shared" si="782"/>
        <v/>
      </c>
      <c r="AY1788" s="112" t="str">
        <f>IF(ISNUMBER(O1788),IF(AND(VLOOKUP($D1788,Merchantability!$B:$C,2,0)="Yes",$E1788&gt;=VLOOKUP($D1788,Merchantability!$B:$D,3,0),$E1788&lt;=VLOOKUP($D1788,Merchantability!$B:$E,4,0)),(AV1788*O1788)*(1-$H1788/100),""),"")</f>
        <v/>
      </c>
      <c r="AZ1788" s="116"/>
      <c r="BA1788" s="116"/>
      <c r="BB1788" s="116"/>
      <c r="BE1788" s="62"/>
      <c r="BF1788" s="63"/>
    </row>
    <row r="1789" spans="1:58" ht="12.75" customHeight="1" x14ac:dyDescent="0.25">
      <c r="A1789" s="334"/>
      <c r="B1789" s="334"/>
      <c r="C1789" s="332"/>
      <c r="D1789" s="334"/>
      <c r="E1789" s="335"/>
      <c r="F1789" s="334"/>
      <c r="G1789" s="332"/>
      <c r="H1789" s="332"/>
      <c r="I1789" s="334"/>
      <c r="J1789" s="336"/>
      <c r="K1789" s="332"/>
      <c r="L1789" s="332"/>
      <c r="M1789" s="76"/>
      <c r="N1789" s="103" t="str">
        <f>IF(A1789="","",VLOOKUP(A1789,Stand!C:K,9,0))</f>
        <v/>
      </c>
      <c r="O1789" s="104" t="str">
        <f t="shared" si="767"/>
        <v/>
      </c>
      <c r="P1789" s="105" t="str">
        <f t="shared" si="768"/>
        <v/>
      </c>
      <c r="Q1789" s="105" t="str">
        <f t="shared" si="783"/>
        <v/>
      </c>
      <c r="R1789" s="103" t="str">
        <f t="shared" si="769"/>
        <v/>
      </c>
      <c r="S1789" s="103" t="str">
        <f t="shared" si="770"/>
        <v/>
      </c>
      <c r="T1789" s="106" t="str">
        <f t="shared" si="784"/>
        <v/>
      </c>
      <c r="U1789" s="106" t="str">
        <f t="shared" si="785"/>
        <v/>
      </c>
      <c r="V1789" s="106" t="str">
        <f t="shared" si="786"/>
        <v/>
      </c>
      <c r="W1789" s="105" t="str">
        <f t="shared" si="771"/>
        <v/>
      </c>
      <c r="X1789" s="104" t="str">
        <f t="shared" si="776"/>
        <v/>
      </c>
      <c r="Y1789" s="104" t="str">
        <f t="array" ref="Y1789">IFERROR(IF(ISNUMBER(O1789),IF(COUNT(IF(A1789=$A$2:$A$2427,IF(D1789=$D$2:$D$2427,IF($X$2:$X$2427&gt;0,1))))&gt;0,SUM(IF(A1789=$A$2:$A$2427,IF(D1789=$D$2:$D$2427,$X$2:$X$2427)))/COUNT(IF(A1789=$A$2:$A$2427,IF(D1789=$D$2:$D$2427,IF(ISNUMBER($X$2:$X$2427),1)))),0),""),0)</f>
        <v/>
      </c>
      <c r="Z1789" s="104" t="str">
        <f>IF(ISNUMBER(O1789),IF(I1789&gt;0,(10^(VLOOKUP(D1789,'Species Codes'!B:C,2,0)+VLOOKUP(D1789,'Species Codes'!B:D,3,0)*LOG(E1789)+VLOOKUP(D1789,'Species Codes'!B:E,4,0)*LOG(I1789))),0),"")</f>
        <v/>
      </c>
      <c r="AA1789" s="104" t="str">
        <f>IFERROR((VLOOKUP(D1789,'Species Codes'!B:G,6,0)*Z1789)/2000,"")</f>
        <v/>
      </c>
      <c r="AB1789" s="104" t="e">
        <f>IF(Z1789&gt;0,((IF(OR(D1789="DF",D1789="RA")=TRUE,EXP(VLOOKUP(D1789,'Species Codes'!B:I,8,0)+VLOOKUP(D1789,'Species Codes'!B:J,9,0)*(LN((E1789*2.54)))),IF(OR(D1789="PY",D1789="RC",D1789="WH",D1789="NF")=TRUE,VLOOKUP(D1789,'Species Codes'!B:I,8,0)+VLOOKUP(D1789,'Species Codes'!B:J,9,0)*((E1789*2.54)^2)*(I1789*0.3048),IF(OR(D1789="MD",D1789="BM",D1789="GA")=TRUE,((VLOOKUP(D1789,'Species Codes'!B:I,8,0)*(((((E1789*2.54)+VLOOKUP(D1789,'Species Codes'!B:J,9,0))/VLOOKUP(D1789,'Species Codes'!B:K,10,0))^VLOOKUP(D1789,'Species Codes'!B:L,11,0))*((I1789*0.3048)^VLOOKUP(D1789,'Species Codes'!B:M,12,0))))-(VLOOKUP(D1789,'Species Codes'!B:I,8,0)*((((E1789*2.54)^VLOOKUP(D1789,'Species Codes'!B:L,11,0))*((I1789*0.3048)^VLOOKUP(D1789,'Species Codes'!B:M,12,0))))))*35.3*VLOOKUP(D1789,'Species Codes'!B:G,6,0)/2.2046,VLOOKUP(D1789,'Species Codes'!B:I,8,0)+VLOOKUP(D1789,'Species Codes'!B:J,9,0)*(((E1789*2.54)/100)^2)*(I1789*0.3048)))))*0.0011023),0)</f>
        <v>#N/A</v>
      </c>
      <c r="AC1789" s="104" t="e">
        <f>IF(Z1789&gt;0,((IF(OR(D1789="RA",D1789="OA",D1789="OT",D1789="UN",D1789="PC"),EXP(VLOOKUP(D1789,'Species Codes'!B:O,14,0)+VLOOKUP(D1789,'Species Codes'!B:P,15,0)*LN((E1789*2.54)))-EXP(VLOOKUP(D1789,'Species Codes'!B:O,14,0)+VLOOKUP(D1789,'Species Codes'!B:P,15,0)*LN((E1789*2.54)))*(1/(VLOOKUP(D1789,'Species Codes'!B:Q,16,0)+VLOOKUP(D1789,'Species Codes'!B:R,17,0)*((E1789*2.54)^VLOOKUP(D1789,'Species Codes'!B:S,18,0)))),IF(OR(D1789="BM",D1789="MD",D1789="OA"),EXP(VLOOKUP(D1789,'Species Codes'!B:O,14,0)+VLOOKUP(D1789,'Species Codes'!B:P,15,0)*LN((E1789*2.54)))*(1-(1/(VLOOKUP(D1789,'Species Codes'!B:Q,16,0)+VLOOKUP(D1789,'Species Codes'!B:R,17,0)*((E1789*2.54)^VLOOKUP(D1789,'Species Codes'!B:S,18,0)))))/1000,IF(D1789="DF",EXP(VLOOKUP(D1789,'Species Codes'!B:O,14,0)+VLOOKUP(D1789,'Species Codes'!B:P,15,0)*LN((E1789*2.54))),VLOOKUP(D1789,'Species Codes'!B:O,14,0)+VLOOKUP(D1789,'Species Codes'!B:P,15,0)*(((E1789*2.54)/100)^2)*(I1789*0.3048)))))*0.0011023),0)</f>
        <v>#N/A</v>
      </c>
      <c r="AD1789" s="104" t="e">
        <f t="shared" si="787"/>
        <v>#N/A</v>
      </c>
      <c r="AE1789" s="104" t="e">
        <f t="shared" si="788"/>
        <v>#N/A</v>
      </c>
      <c r="AF1789" s="104" t="e">
        <f>IF(AND(VLOOKUP($D1789,Merchantability!$B:$C,2,0)="Yes",$E1789&gt;=VLOOKUP($D1789,Merchantability!$B:$D,3,0),$E1789&lt;=VLOOKUP($D1789,Merchantability!$B:$E,4,0)),AA1789,0)</f>
        <v>#N/A</v>
      </c>
      <c r="AG1789" s="104" t="e">
        <f>IF(AND(VLOOKUP($D1789,Merchantability!$B:$C,2,0)="Yes",$E1789&gt;=VLOOKUP($D1789,Merchantability!$B:$D,3,0),$E1789&lt;=VLOOKUP($D1789,Merchantability!$B:$E,4,0)),AB1789,0)</f>
        <v>#N/A</v>
      </c>
      <c r="AH1789" s="104" t="e">
        <f>IF(AND(VLOOKUP($D1789,Merchantability!$B:$C,2,0)="Yes",$E1789&gt;=VLOOKUP($D1789,Merchantability!$B:$D,3,0),$E1789&lt;=VLOOKUP($D1789,Merchantability!$B:$E,4,0)),AC1789,0)</f>
        <v>#N/A</v>
      </c>
      <c r="AI1789" s="104" t="e">
        <f t="shared" si="789"/>
        <v>#N/A</v>
      </c>
      <c r="AJ1789" s="104" t="e">
        <f t="shared" si="790"/>
        <v>#VALUE!</v>
      </c>
      <c r="AK1789" s="104" t="e">
        <f t="shared" si="791"/>
        <v>#N/A</v>
      </c>
      <c r="AL1789" s="104" t="e">
        <f t="shared" si="792"/>
        <v>#N/A</v>
      </c>
      <c r="AM1789" s="104" t="e">
        <f t="shared" si="793"/>
        <v>#N/A</v>
      </c>
      <c r="AN1789" s="104" t="e">
        <f t="shared" si="777"/>
        <v>#N/A</v>
      </c>
      <c r="AO1789" s="104" t="e">
        <f t="shared" si="778"/>
        <v>#N/A</v>
      </c>
      <c r="AP1789" s="104" t="e">
        <f t="shared" si="779"/>
        <v>#N/A</v>
      </c>
      <c r="AQ1789" s="104" t="e">
        <f t="shared" si="780"/>
        <v>#N/A</v>
      </c>
      <c r="AR1789" s="105" t="str">
        <f t="shared" si="772"/>
        <v/>
      </c>
      <c r="AS1789" s="105" t="str">
        <f t="shared" si="773"/>
        <v/>
      </c>
      <c r="AT1789" s="108" t="str">
        <f t="shared" si="774"/>
        <v/>
      </c>
      <c r="AU1789" s="108" t="str">
        <f t="shared" si="775"/>
        <v/>
      </c>
      <c r="AV1789" s="107" t="str">
        <f>IF(ISNUMBER(O1789),IF(VLOOKUP($A1789,Stand!C:J,8,FALSE)="Short",AT1789,AU1789),"")</f>
        <v/>
      </c>
      <c r="AW1789" s="109" t="str">
        <f t="shared" si="781"/>
        <v/>
      </c>
      <c r="AX1789" s="109" t="str">
        <f t="shared" si="782"/>
        <v/>
      </c>
      <c r="AY1789" s="112" t="str">
        <f>IF(ISNUMBER(O1789),IF(AND(VLOOKUP($D1789,Merchantability!$B:$C,2,0)="Yes",$E1789&gt;=VLOOKUP($D1789,Merchantability!$B:$D,3,0),$E1789&lt;=VLOOKUP($D1789,Merchantability!$B:$E,4,0)),(AV1789*O1789)*(1-$H1789/100),""),"")</f>
        <v/>
      </c>
      <c r="AZ1789" s="116"/>
      <c r="BA1789" s="116"/>
      <c r="BB1789" s="116"/>
      <c r="BE1789" s="62"/>
      <c r="BF1789" s="63"/>
    </row>
    <row r="1790" spans="1:58" ht="12.75" customHeight="1" x14ac:dyDescent="0.25">
      <c r="A1790" s="334"/>
      <c r="B1790" s="334"/>
      <c r="C1790" s="332"/>
      <c r="D1790" s="334"/>
      <c r="E1790" s="335"/>
      <c r="F1790" s="334"/>
      <c r="G1790" s="332"/>
      <c r="H1790" s="332"/>
      <c r="I1790" s="334"/>
      <c r="J1790" s="336"/>
      <c r="K1790" s="332"/>
      <c r="L1790" s="332"/>
      <c r="M1790" s="76"/>
      <c r="N1790" s="103" t="str">
        <f>IF(A1790="","",VLOOKUP(A1790,Stand!C:K,9,0))</f>
        <v/>
      </c>
      <c r="O1790" s="104" t="str">
        <f t="shared" si="767"/>
        <v/>
      </c>
      <c r="P1790" s="105" t="str">
        <f t="shared" si="768"/>
        <v/>
      </c>
      <c r="Q1790" s="105" t="str">
        <f t="shared" si="783"/>
        <v/>
      </c>
      <c r="R1790" s="103" t="str">
        <f t="shared" si="769"/>
        <v/>
      </c>
      <c r="S1790" s="103" t="str">
        <f t="shared" si="770"/>
        <v/>
      </c>
      <c r="T1790" s="106" t="str">
        <f t="shared" si="784"/>
        <v/>
      </c>
      <c r="U1790" s="106" t="str">
        <f t="shared" si="785"/>
        <v/>
      </c>
      <c r="V1790" s="106" t="str">
        <f t="shared" si="786"/>
        <v/>
      </c>
      <c r="W1790" s="105" t="str">
        <f t="shared" si="771"/>
        <v/>
      </c>
      <c r="X1790" s="104" t="str">
        <f t="shared" si="776"/>
        <v/>
      </c>
      <c r="Y1790" s="104" t="str">
        <f t="array" ref="Y1790">IFERROR(IF(ISNUMBER(O1790),IF(COUNT(IF(A1790=$A$2:$A$2427,IF(D1790=$D$2:$D$2427,IF($X$2:$X$2427&gt;0,1))))&gt;0,SUM(IF(A1790=$A$2:$A$2427,IF(D1790=$D$2:$D$2427,$X$2:$X$2427)))/COUNT(IF(A1790=$A$2:$A$2427,IF(D1790=$D$2:$D$2427,IF(ISNUMBER($X$2:$X$2427),1)))),0),""),0)</f>
        <v/>
      </c>
      <c r="Z1790" s="104" t="str">
        <f>IF(ISNUMBER(O1790),IF(I1790&gt;0,(10^(VLOOKUP(D1790,'Species Codes'!B:C,2,0)+VLOOKUP(D1790,'Species Codes'!B:D,3,0)*LOG(E1790)+VLOOKUP(D1790,'Species Codes'!B:E,4,0)*LOG(I1790))),0),"")</f>
        <v/>
      </c>
      <c r="AA1790" s="104" t="str">
        <f>IFERROR((VLOOKUP(D1790,'Species Codes'!B:G,6,0)*Z1790)/2000,"")</f>
        <v/>
      </c>
      <c r="AB1790" s="104" t="e">
        <f>IF(Z1790&gt;0,((IF(OR(D1790="DF",D1790="RA")=TRUE,EXP(VLOOKUP(D1790,'Species Codes'!B:I,8,0)+VLOOKUP(D1790,'Species Codes'!B:J,9,0)*(LN((E1790*2.54)))),IF(OR(D1790="PY",D1790="RC",D1790="WH",D1790="NF")=TRUE,VLOOKUP(D1790,'Species Codes'!B:I,8,0)+VLOOKUP(D1790,'Species Codes'!B:J,9,0)*((E1790*2.54)^2)*(I1790*0.3048),IF(OR(D1790="MD",D1790="BM",D1790="GA")=TRUE,((VLOOKUP(D1790,'Species Codes'!B:I,8,0)*(((((E1790*2.54)+VLOOKUP(D1790,'Species Codes'!B:J,9,0))/VLOOKUP(D1790,'Species Codes'!B:K,10,0))^VLOOKUP(D1790,'Species Codes'!B:L,11,0))*((I1790*0.3048)^VLOOKUP(D1790,'Species Codes'!B:M,12,0))))-(VLOOKUP(D1790,'Species Codes'!B:I,8,0)*((((E1790*2.54)^VLOOKUP(D1790,'Species Codes'!B:L,11,0))*((I1790*0.3048)^VLOOKUP(D1790,'Species Codes'!B:M,12,0))))))*35.3*VLOOKUP(D1790,'Species Codes'!B:G,6,0)/2.2046,VLOOKUP(D1790,'Species Codes'!B:I,8,0)+VLOOKUP(D1790,'Species Codes'!B:J,9,0)*(((E1790*2.54)/100)^2)*(I1790*0.3048)))))*0.0011023),0)</f>
        <v>#N/A</v>
      </c>
      <c r="AC1790" s="104" t="e">
        <f>IF(Z1790&gt;0,((IF(OR(D1790="RA",D1790="OA",D1790="OT",D1790="UN",D1790="PC"),EXP(VLOOKUP(D1790,'Species Codes'!B:O,14,0)+VLOOKUP(D1790,'Species Codes'!B:P,15,0)*LN((E1790*2.54)))-EXP(VLOOKUP(D1790,'Species Codes'!B:O,14,0)+VLOOKUP(D1790,'Species Codes'!B:P,15,0)*LN((E1790*2.54)))*(1/(VLOOKUP(D1790,'Species Codes'!B:Q,16,0)+VLOOKUP(D1790,'Species Codes'!B:R,17,0)*((E1790*2.54)^VLOOKUP(D1790,'Species Codes'!B:S,18,0)))),IF(OR(D1790="BM",D1790="MD",D1790="OA"),EXP(VLOOKUP(D1790,'Species Codes'!B:O,14,0)+VLOOKUP(D1790,'Species Codes'!B:P,15,0)*LN((E1790*2.54)))*(1-(1/(VLOOKUP(D1790,'Species Codes'!B:Q,16,0)+VLOOKUP(D1790,'Species Codes'!B:R,17,0)*((E1790*2.54)^VLOOKUP(D1790,'Species Codes'!B:S,18,0)))))/1000,IF(D1790="DF",EXP(VLOOKUP(D1790,'Species Codes'!B:O,14,0)+VLOOKUP(D1790,'Species Codes'!B:P,15,0)*LN((E1790*2.54))),VLOOKUP(D1790,'Species Codes'!B:O,14,0)+VLOOKUP(D1790,'Species Codes'!B:P,15,0)*(((E1790*2.54)/100)^2)*(I1790*0.3048)))))*0.0011023),0)</f>
        <v>#N/A</v>
      </c>
      <c r="AD1790" s="104" t="e">
        <f t="shared" si="787"/>
        <v>#N/A</v>
      </c>
      <c r="AE1790" s="104" t="e">
        <f t="shared" si="788"/>
        <v>#N/A</v>
      </c>
      <c r="AF1790" s="104" t="e">
        <f>IF(AND(VLOOKUP($D1790,Merchantability!$B:$C,2,0)="Yes",$E1790&gt;=VLOOKUP($D1790,Merchantability!$B:$D,3,0),$E1790&lt;=VLOOKUP($D1790,Merchantability!$B:$E,4,0)),AA1790,0)</f>
        <v>#N/A</v>
      </c>
      <c r="AG1790" s="104" t="e">
        <f>IF(AND(VLOOKUP($D1790,Merchantability!$B:$C,2,0)="Yes",$E1790&gt;=VLOOKUP($D1790,Merchantability!$B:$D,3,0),$E1790&lt;=VLOOKUP($D1790,Merchantability!$B:$E,4,0)),AB1790,0)</f>
        <v>#N/A</v>
      </c>
      <c r="AH1790" s="104" t="e">
        <f>IF(AND(VLOOKUP($D1790,Merchantability!$B:$C,2,0)="Yes",$E1790&gt;=VLOOKUP($D1790,Merchantability!$B:$D,3,0),$E1790&lt;=VLOOKUP($D1790,Merchantability!$B:$E,4,0)),AC1790,0)</f>
        <v>#N/A</v>
      </c>
      <c r="AI1790" s="104" t="e">
        <f t="shared" si="789"/>
        <v>#N/A</v>
      </c>
      <c r="AJ1790" s="104" t="e">
        <f t="shared" si="790"/>
        <v>#VALUE!</v>
      </c>
      <c r="AK1790" s="104" t="e">
        <f t="shared" si="791"/>
        <v>#N/A</v>
      </c>
      <c r="AL1790" s="104" t="e">
        <f t="shared" si="792"/>
        <v>#N/A</v>
      </c>
      <c r="AM1790" s="104" t="e">
        <f t="shared" si="793"/>
        <v>#N/A</v>
      </c>
      <c r="AN1790" s="104" t="e">
        <f t="shared" si="777"/>
        <v>#N/A</v>
      </c>
      <c r="AO1790" s="104" t="e">
        <f t="shared" si="778"/>
        <v>#N/A</v>
      </c>
      <c r="AP1790" s="104" t="e">
        <f t="shared" si="779"/>
        <v>#N/A</v>
      </c>
      <c r="AQ1790" s="104" t="e">
        <f t="shared" si="780"/>
        <v>#N/A</v>
      </c>
      <c r="AR1790" s="105" t="str">
        <f t="shared" si="772"/>
        <v/>
      </c>
      <c r="AS1790" s="105" t="str">
        <f t="shared" si="773"/>
        <v/>
      </c>
      <c r="AT1790" s="108" t="str">
        <f t="shared" si="774"/>
        <v/>
      </c>
      <c r="AU1790" s="108" t="str">
        <f t="shared" si="775"/>
        <v/>
      </c>
      <c r="AV1790" s="107" t="str">
        <f>IF(ISNUMBER(O1790),IF(VLOOKUP($A1790,Stand!C:J,8,FALSE)="Short",AT1790,AU1790),"")</f>
        <v/>
      </c>
      <c r="AW1790" s="109" t="str">
        <f t="shared" si="781"/>
        <v/>
      </c>
      <c r="AX1790" s="109" t="str">
        <f t="shared" si="782"/>
        <v/>
      </c>
      <c r="AY1790" s="112" t="str">
        <f>IF(ISNUMBER(O1790),IF(AND(VLOOKUP($D1790,Merchantability!$B:$C,2,0)="Yes",$E1790&gt;=VLOOKUP($D1790,Merchantability!$B:$D,3,0),$E1790&lt;=VLOOKUP($D1790,Merchantability!$B:$E,4,0)),(AV1790*O1790)*(1-$H1790/100),""),"")</f>
        <v/>
      </c>
      <c r="AZ1790" s="116"/>
      <c r="BA1790" s="116"/>
      <c r="BB1790" s="116"/>
      <c r="BE1790" s="62"/>
      <c r="BF1790" s="63"/>
    </row>
    <row r="1791" spans="1:58" ht="12.75" customHeight="1" x14ac:dyDescent="0.25">
      <c r="A1791" s="334"/>
      <c r="B1791" s="334"/>
      <c r="C1791" s="332"/>
      <c r="D1791" s="334"/>
      <c r="E1791" s="335"/>
      <c r="F1791" s="334"/>
      <c r="G1791" s="332"/>
      <c r="H1791" s="332"/>
      <c r="I1791" s="334"/>
      <c r="J1791" s="336"/>
      <c r="K1791" s="332"/>
      <c r="L1791" s="332"/>
      <c r="M1791" s="76"/>
      <c r="N1791" s="103" t="str">
        <f>IF(A1791="","",VLOOKUP(A1791,Stand!C:K,9,0))</f>
        <v/>
      </c>
      <c r="O1791" s="104" t="str">
        <f t="shared" si="767"/>
        <v/>
      </c>
      <c r="P1791" s="105" t="str">
        <f t="shared" si="768"/>
        <v/>
      </c>
      <c r="Q1791" s="105" t="str">
        <f t="shared" si="783"/>
        <v/>
      </c>
      <c r="R1791" s="103" t="str">
        <f t="shared" si="769"/>
        <v/>
      </c>
      <c r="S1791" s="103" t="str">
        <f t="shared" si="770"/>
        <v/>
      </c>
      <c r="T1791" s="106" t="str">
        <f t="shared" si="784"/>
        <v/>
      </c>
      <c r="U1791" s="106" t="str">
        <f t="shared" si="785"/>
        <v/>
      </c>
      <c r="V1791" s="106" t="str">
        <f t="shared" si="786"/>
        <v/>
      </c>
      <c r="W1791" s="105" t="str">
        <f t="shared" si="771"/>
        <v/>
      </c>
      <c r="X1791" s="104" t="str">
        <f t="shared" si="776"/>
        <v/>
      </c>
      <c r="Y1791" s="104" t="str">
        <f t="array" ref="Y1791">IFERROR(IF(ISNUMBER(O1791),IF(COUNT(IF(A1791=$A$2:$A$2427,IF(D1791=$D$2:$D$2427,IF($X$2:$X$2427&gt;0,1))))&gt;0,SUM(IF(A1791=$A$2:$A$2427,IF(D1791=$D$2:$D$2427,$X$2:$X$2427)))/COUNT(IF(A1791=$A$2:$A$2427,IF(D1791=$D$2:$D$2427,IF(ISNUMBER($X$2:$X$2427),1)))),0),""),0)</f>
        <v/>
      </c>
      <c r="Z1791" s="104" t="str">
        <f>IF(ISNUMBER(O1791),IF(I1791&gt;0,(10^(VLOOKUP(D1791,'Species Codes'!B:C,2,0)+VLOOKUP(D1791,'Species Codes'!B:D,3,0)*LOG(E1791)+VLOOKUP(D1791,'Species Codes'!B:E,4,0)*LOG(I1791))),0),"")</f>
        <v/>
      </c>
      <c r="AA1791" s="104" t="str">
        <f>IFERROR((VLOOKUP(D1791,'Species Codes'!B:G,6,0)*Z1791)/2000,"")</f>
        <v/>
      </c>
      <c r="AB1791" s="104" t="e">
        <f>IF(Z1791&gt;0,((IF(OR(D1791="DF",D1791="RA")=TRUE,EXP(VLOOKUP(D1791,'Species Codes'!B:I,8,0)+VLOOKUP(D1791,'Species Codes'!B:J,9,0)*(LN((E1791*2.54)))),IF(OR(D1791="PY",D1791="RC",D1791="WH",D1791="NF")=TRUE,VLOOKUP(D1791,'Species Codes'!B:I,8,0)+VLOOKUP(D1791,'Species Codes'!B:J,9,0)*((E1791*2.54)^2)*(I1791*0.3048),IF(OR(D1791="MD",D1791="BM",D1791="GA")=TRUE,((VLOOKUP(D1791,'Species Codes'!B:I,8,0)*(((((E1791*2.54)+VLOOKUP(D1791,'Species Codes'!B:J,9,0))/VLOOKUP(D1791,'Species Codes'!B:K,10,0))^VLOOKUP(D1791,'Species Codes'!B:L,11,0))*((I1791*0.3048)^VLOOKUP(D1791,'Species Codes'!B:M,12,0))))-(VLOOKUP(D1791,'Species Codes'!B:I,8,0)*((((E1791*2.54)^VLOOKUP(D1791,'Species Codes'!B:L,11,0))*((I1791*0.3048)^VLOOKUP(D1791,'Species Codes'!B:M,12,0))))))*35.3*VLOOKUP(D1791,'Species Codes'!B:G,6,0)/2.2046,VLOOKUP(D1791,'Species Codes'!B:I,8,0)+VLOOKUP(D1791,'Species Codes'!B:J,9,0)*(((E1791*2.54)/100)^2)*(I1791*0.3048)))))*0.0011023),0)</f>
        <v>#N/A</v>
      </c>
      <c r="AC1791" s="104" t="e">
        <f>IF(Z1791&gt;0,((IF(OR(D1791="RA",D1791="OA",D1791="OT",D1791="UN",D1791="PC"),EXP(VLOOKUP(D1791,'Species Codes'!B:O,14,0)+VLOOKUP(D1791,'Species Codes'!B:P,15,0)*LN((E1791*2.54)))-EXP(VLOOKUP(D1791,'Species Codes'!B:O,14,0)+VLOOKUP(D1791,'Species Codes'!B:P,15,0)*LN((E1791*2.54)))*(1/(VLOOKUP(D1791,'Species Codes'!B:Q,16,0)+VLOOKUP(D1791,'Species Codes'!B:R,17,0)*((E1791*2.54)^VLOOKUP(D1791,'Species Codes'!B:S,18,0)))),IF(OR(D1791="BM",D1791="MD",D1791="OA"),EXP(VLOOKUP(D1791,'Species Codes'!B:O,14,0)+VLOOKUP(D1791,'Species Codes'!B:P,15,0)*LN((E1791*2.54)))*(1-(1/(VLOOKUP(D1791,'Species Codes'!B:Q,16,0)+VLOOKUP(D1791,'Species Codes'!B:R,17,0)*((E1791*2.54)^VLOOKUP(D1791,'Species Codes'!B:S,18,0)))))/1000,IF(D1791="DF",EXP(VLOOKUP(D1791,'Species Codes'!B:O,14,0)+VLOOKUP(D1791,'Species Codes'!B:P,15,0)*LN((E1791*2.54))),VLOOKUP(D1791,'Species Codes'!B:O,14,0)+VLOOKUP(D1791,'Species Codes'!B:P,15,0)*(((E1791*2.54)/100)^2)*(I1791*0.3048)))))*0.0011023),0)</f>
        <v>#N/A</v>
      </c>
      <c r="AD1791" s="104" t="e">
        <f t="shared" si="787"/>
        <v>#N/A</v>
      </c>
      <c r="AE1791" s="104" t="e">
        <f t="shared" si="788"/>
        <v>#N/A</v>
      </c>
      <c r="AF1791" s="104" t="e">
        <f>IF(AND(VLOOKUP($D1791,Merchantability!$B:$C,2,0)="Yes",$E1791&gt;=VLOOKUP($D1791,Merchantability!$B:$D,3,0),$E1791&lt;=VLOOKUP($D1791,Merchantability!$B:$E,4,0)),AA1791,0)</f>
        <v>#N/A</v>
      </c>
      <c r="AG1791" s="104" t="e">
        <f>IF(AND(VLOOKUP($D1791,Merchantability!$B:$C,2,0)="Yes",$E1791&gt;=VLOOKUP($D1791,Merchantability!$B:$D,3,0),$E1791&lt;=VLOOKUP($D1791,Merchantability!$B:$E,4,0)),AB1791,0)</f>
        <v>#N/A</v>
      </c>
      <c r="AH1791" s="104" t="e">
        <f>IF(AND(VLOOKUP($D1791,Merchantability!$B:$C,2,0)="Yes",$E1791&gt;=VLOOKUP($D1791,Merchantability!$B:$D,3,0),$E1791&lt;=VLOOKUP($D1791,Merchantability!$B:$E,4,0)),AC1791,0)</f>
        <v>#N/A</v>
      </c>
      <c r="AI1791" s="104" t="e">
        <f t="shared" si="789"/>
        <v>#N/A</v>
      </c>
      <c r="AJ1791" s="104" t="e">
        <f t="shared" si="790"/>
        <v>#VALUE!</v>
      </c>
      <c r="AK1791" s="104" t="e">
        <f t="shared" si="791"/>
        <v>#N/A</v>
      </c>
      <c r="AL1791" s="104" t="e">
        <f t="shared" si="792"/>
        <v>#N/A</v>
      </c>
      <c r="AM1791" s="104" t="e">
        <f t="shared" si="793"/>
        <v>#N/A</v>
      </c>
      <c r="AN1791" s="104" t="e">
        <f t="shared" si="777"/>
        <v>#N/A</v>
      </c>
      <c r="AO1791" s="104" t="e">
        <f t="shared" si="778"/>
        <v>#N/A</v>
      </c>
      <c r="AP1791" s="104" t="e">
        <f t="shared" si="779"/>
        <v>#N/A</v>
      </c>
      <c r="AQ1791" s="104" t="e">
        <f t="shared" si="780"/>
        <v>#N/A</v>
      </c>
      <c r="AR1791" s="105" t="str">
        <f t="shared" si="772"/>
        <v/>
      </c>
      <c r="AS1791" s="105" t="str">
        <f t="shared" si="773"/>
        <v/>
      </c>
      <c r="AT1791" s="108" t="str">
        <f t="shared" si="774"/>
        <v/>
      </c>
      <c r="AU1791" s="108" t="str">
        <f t="shared" si="775"/>
        <v/>
      </c>
      <c r="AV1791" s="107" t="str">
        <f>IF(ISNUMBER(O1791),IF(VLOOKUP($A1791,Stand!C:J,8,FALSE)="Short",AT1791,AU1791),"")</f>
        <v/>
      </c>
      <c r="AW1791" s="109" t="str">
        <f t="shared" si="781"/>
        <v/>
      </c>
      <c r="AX1791" s="109" t="str">
        <f t="shared" si="782"/>
        <v/>
      </c>
      <c r="AY1791" s="112" t="str">
        <f>IF(ISNUMBER(O1791),IF(AND(VLOOKUP($D1791,Merchantability!$B:$C,2,0)="Yes",$E1791&gt;=VLOOKUP($D1791,Merchantability!$B:$D,3,0),$E1791&lt;=VLOOKUP($D1791,Merchantability!$B:$E,4,0)),(AV1791*O1791)*(1-$H1791/100),""),"")</f>
        <v/>
      </c>
      <c r="AZ1791" s="116"/>
      <c r="BA1791" s="116"/>
      <c r="BB1791" s="116"/>
      <c r="BE1791" s="62"/>
      <c r="BF1791" s="63"/>
    </row>
    <row r="1792" spans="1:58" ht="12.75" customHeight="1" x14ac:dyDescent="0.25">
      <c r="A1792" s="334"/>
      <c r="B1792" s="334"/>
      <c r="C1792" s="332"/>
      <c r="D1792" s="334"/>
      <c r="E1792" s="335"/>
      <c r="F1792" s="334"/>
      <c r="G1792" s="332"/>
      <c r="H1792" s="332"/>
      <c r="I1792" s="334"/>
      <c r="J1792" s="336"/>
      <c r="K1792" s="332"/>
      <c r="L1792" s="332"/>
      <c r="M1792" s="76"/>
      <c r="N1792" s="103" t="str">
        <f>IF(A1792="","",VLOOKUP(A1792,Stand!C:K,9,0))</f>
        <v/>
      </c>
      <c r="O1792" s="104" t="str">
        <f t="shared" si="767"/>
        <v/>
      </c>
      <c r="P1792" s="105" t="str">
        <f t="shared" si="768"/>
        <v/>
      </c>
      <c r="Q1792" s="105" t="str">
        <f t="shared" si="783"/>
        <v/>
      </c>
      <c r="R1792" s="103" t="str">
        <f t="shared" si="769"/>
        <v/>
      </c>
      <c r="S1792" s="103" t="str">
        <f t="shared" si="770"/>
        <v/>
      </c>
      <c r="T1792" s="106" t="str">
        <f t="shared" si="784"/>
        <v/>
      </c>
      <c r="U1792" s="106" t="str">
        <f t="shared" si="785"/>
        <v/>
      </c>
      <c r="V1792" s="106" t="str">
        <f t="shared" si="786"/>
        <v/>
      </c>
      <c r="W1792" s="105" t="str">
        <f t="shared" si="771"/>
        <v/>
      </c>
      <c r="X1792" s="104" t="str">
        <f t="shared" si="776"/>
        <v/>
      </c>
      <c r="Y1792" s="104" t="str">
        <f t="array" ref="Y1792">IFERROR(IF(ISNUMBER(O1792),IF(COUNT(IF(A1792=$A$2:$A$2427,IF(D1792=$D$2:$D$2427,IF($X$2:$X$2427&gt;0,1))))&gt;0,SUM(IF(A1792=$A$2:$A$2427,IF(D1792=$D$2:$D$2427,$X$2:$X$2427)))/COUNT(IF(A1792=$A$2:$A$2427,IF(D1792=$D$2:$D$2427,IF(ISNUMBER($X$2:$X$2427),1)))),0),""),0)</f>
        <v/>
      </c>
      <c r="Z1792" s="104" t="str">
        <f>IF(ISNUMBER(O1792),IF(I1792&gt;0,(10^(VLOOKUP(D1792,'Species Codes'!B:C,2,0)+VLOOKUP(D1792,'Species Codes'!B:D,3,0)*LOG(E1792)+VLOOKUP(D1792,'Species Codes'!B:E,4,0)*LOG(I1792))),0),"")</f>
        <v/>
      </c>
      <c r="AA1792" s="104" t="str">
        <f>IFERROR((VLOOKUP(D1792,'Species Codes'!B:G,6,0)*Z1792)/2000,"")</f>
        <v/>
      </c>
      <c r="AB1792" s="104" t="e">
        <f>IF(Z1792&gt;0,((IF(OR(D1792="DF",D1792="RA")=TRUE,EXP(VLOOKUP(D1792,'Species Codes'!B:I,8,0)+VLOOKUP(D1792,'Species Codes'!B:J,9,0)*(LN((E1792*2.54)))),IF(OR(D1792="PY",D1792="RC",D1792="WH",D1792="NF")=TRUE,VLOOKUP(D1792,'Species Codes'!B:I,8,0)+VLOOKUP(D1792,'Species Codes'!B:J,9,0)*((E1792*2.54)^2)*(I1792*0.3048),IF(OR(D1792="MD",D1792="BM",D1792="GA")=TRUE,((VLOOKUP(D1792,'Species Codes'!B:I,8,0)*(((((E1792*2.54)+VLOOKUP(D1792,'Species Codes'!B:J,9,0))/VLOOKUP(D1792,'Species Codes'!B:K,10,0))^VLOOKUP(D1792,'Species Codes'!B:L,11,0))*((I1792*0.3048)^VLOOKUP(D1792,'Species Codes'!B:M,12,0))))-(VLOOKUP(D1792,'Species Codes'!B:I,8,0)*((((E1792*2.54)^VLOOKUP(D1792,'Species Codes'!B:L,11,0))*((I1792*0.3048)^VLOOKUP(D1792,'Species Codes'!B:M,12,0))))))*35.3*VLOOKUP(D1792,'Species Codes'!B:G,6,0)/2.2046,VLOOKUP(D1792,'Species Codes'!B:I,8,0)+VLOOKUP(D1792,'Species Codes'!B:J,9,0)*(((E1792*2.54)/100)^2)*(I1792*0.3048)))))*0.0011023),0)</f>
        <v>#N/A</v>
      </c>
      <c r="AC1792" s="104" t="e">
        <f>IF(Z1792&gt;0,((IF(OR(D1792="RA",D1792="OA",D1792="OT",D1792="UN",D1792="PC"),EXP(VLOOKUP(D1792,'Species Codes'!B:O,14,0)+VLOOKUP(D1792,'Species Codes'!B:P,15,0)*LN((E1792*2.54)))-EXP(VLOOKUP(D1792,'Species Codes'!B:O,14,0)+VLOOKUP(D1792,'Species Codes'!B:P,15,0)*LN((E1792*2.54)))*(1/(VLOOKUP(D1792,'Species Codes'!B:Q,16,0)+VLOOKUP(D1792,'Species Codes'!B:R,17,0)*((E1792*2.54)^VLOOKUP(D1792,'Species Codes'!B:S,18,0)))),IF(OR(D1792="BM",D1792="MD",D1792="OA"),EXP(VLOOKUP(D1792,'Species Codes'!B:O,14,0)+VLOOKUP(D1792,'Species Codes'!B:P,15,0)*LN((E1792*2.54)))*(1-(1/(VLOOKUP(D1792,'Species Codes'!B:Q,16,0)+VLOOKUP(D1792,'Species Codes'!B:R,17,0)*((E1792*2.54)^VLOOKUP(D1792,'Species Codes'!B:S,18,0)))))/1000,IF(D1792="DF",EXP(VLOOKUP(D1792,'Species Codes'!B:O,14,0)+VLOOKUP(D1792,'Species Codes'!B:P,15,0)*LN((E1792*2.54))),VLOOKUP(D1792,'Species Codes'!B:O,14,0)+VLOOKUP(D1792,'Species Codes'!B:P,15,0)*(((E1792*2.54)/100)^2)*(I1792*0.3048)))))*0.0011023),0)</f>
        <v>#N/A</v>
      </c>
      <c r="AD1792" s="104" t="e">
        <f t="shared" si="787"/>
        <v>#N/A</v>
      </c>
      <c r="AE1792" s="104" t="e">
        <f t="shared" si="788"/>
        <v>#N/A</v>
      </c>
      <c r="AF1792" s="104" t="e">
        <f>IF(AND(VLOOKUP($D1792,Merchantability!$B:$C,2,0)="Yes",$E1792&gt;=VLOOKUP($D1792,Merchantability!$B:$D,3,0),$E1792&lt;=VLOOKUP($D1792,Merchantability!$B:$E,4,0)),AA1792,0)</f>
        <v>#N/A</v>
      </c>
      <c r="AG1792" s="104" t="e">
        <f>IF(AND(VLOOKUP($D1792,Merchantability!$B:$C,2,0)="Yes",$E1792&gt;=VLOOKUP($D1792,Merchantability!$B:$D,3,0),$E1792&lt;=VLOOKUP($D1792,Merchantability!$B:$E,4,0)),AB1792,0)</f>
        <v>#N/A</v>
      </c>
      <c r="AH1792" s="104" t="e">
        <f>IF(AND(VLOOKUP($D1792,Merchantability!$B:$C,2,0)="Yes",$E1792&gt;=VLOOKUP($D1792,Merchantability!$B:$D,3,0),$E1792&lt;=VLOOKUP($D1792,Merchantability!$B:$E,4,0)),AC1792,0)</f>
        <v>#N/A</v>
      </c>
      <c r="AI1792" s="104" t="e">
        <f t="shared" si="789"/>
        <v>#N/A</v>
      </c>
      <c r="AJ1792" s="104" t="e">
        <f t="shared" si="790"/>
        <v>#VALUE!</v>
      </c>
      <c r="AK1792" s="104" t="e">
        <f t="shared" si="791"/>
        <v>#N/A</v>
      </c>
      <c r="AL1792" s="104" t="e">
        <f t="shared" si="792"/>
        <v>#N/A</v>
      </c>
      <c r="AM1792" s="104" t="e">
        <f t="shared" si="793"/>
        <v>#N/A</v>
      </c>
      <c r="AN1792" s="104" t="e">
        <f t="shared" si="777"/>
        <v>#N/A</v>
      </c>
      <c r="AO1792" s="104" t="e">
        <f t="shared" si="778"/>
        <v>#N/A</v>
      </c>
      <c r="AP1792" s="104" t="e">
        <f t="shared" si="779"/>
        <v>#N/A</v>
      </c>
      <c r="AQ1792" s="104" t="e">
        <f t="shared" si="780"/>
        <v>#N/A</v>
      </c>
      <c r="AR1792" s="105" t="str">
        <f t="shared" si="772"/>
        <v/>
      </c>
      <c r="AS1792" s="105" t="str">
        <f t="shared" si="773"/>
        <v/>
      </c>
      <c r="AT1792" s="108" t="str">
        <f t="shared" si="774"/>
        <v/>
      </c>
      <c r="AU1792" s="108" t="str">
        <f t="shared" si="775"/>
        <v/>
      </c>
      <c r="AV1792" s="107" t="str">
        <f>IF(ISNUMBER(O1792),IF(VLOOKUP($A1792,Stand!C:J,8,FALSE)="Short",AT1792,AU1792),"")</f>
        <v/>
      </c>
      <c r="AW1792" s="109" t="str">
        <f t="shared" si="781"/>
        <v/>
      </c>
      <c r="AX1792" s="109" t="str">
        <f t="shared" si="782"/>
        <v/>
      </c>
      <c r="AY1792" s="112" t="str">
        <f>IF(ISNUMBER(O1792),IF(AND(VLOOKUP($D1792,Merchantability!$B:$C,2,0)="Yes",$E1792&gt;=VLOOKUP($D1792,Merchantability!$B:$D,3,0),$E1792&lt;=VLOOKUP($D1792,Merchantability!$B:$E,4,0)),(AV1792*O1792)*(1-$H1792/100),""),"")</f>
        <v/>
      </c>
      <c r="AZ1792" s="116"/>
      <c r="BA1792" s="116"/>
      <c r="BB1792" s="116"/>
      <c r="BE1792" s="62"/>
      <c r="BF1792" s="63"/>
    </row>
    <row r="1793" spans="1:58" ht="12.75" customHeight="1" x14ac:dyDescent="0.25">
      <c r="A1793" s="334"/>
      <c r="B1793" s="334"/>
      <c r="C1793" s="332"/>
      <c r="D1793" s="334"/>
      <c r="E1793" s="335"/>
      <c r="F1793" s="334"/>
      <c r="G1793" s="332"/>
      <c r="H1793" s="332"/>
      <c r="I1793" s="334"/>
      <c r="J1793" s="336"/>
      <c r="K1793" s="332"/>
      <c r="L1793" s="332"/>
      <c r="M1793" s="76"/>
      <c r="N1793" s="103" t="str">
        <f>IF(A1793="","",VLOOKUP(A1793,Stand!C:K,9,0))</f>
        <v/>
      </c>
      <c r="O1793" s="104" t="str">
        <f t="shared" si="767"/>
        <v/>
      </c>
      <c r="P1793" s="105" t="str">
        <f t="shared" si="768"/>
        <v/>
      </c>
      <c r="Q1793" s="105" t="str">
        <f t="shared" si="783"/>
        <v/>
      </c>
      <c r="R1793" s="103" t="str">
        <f t="shared" si="769"/>
        <v/>
      </c>
      <c r="S1793" s="103" t="str">
        <f t="shared" si="770"/>
        <v/>
      </c>
      <c r="T1793" s="106" t="str">
        <f t="shared" si="784"/>
        <v/>
      </c>
      <c r="U1793" s="106" t="str">
        <f t="shared" si="785"/>
        <v/>
      </c>
      <c r="V1793" s="106" t="str">
        <f t="shared" si="786"/>
        <v/>
      </c>
      <c r="W1793" s="105" t="str">
        <f t="shared" si="771"/>
        <v/>
      </c>
      <c r="X1793" s="104" t="str">
        <f t="shared" si="776"/>
        <v/>
      </c>
      <c r="Y1793" s="104" t="str">
        <f t="array" ref="Y1793">IFERROR(IF(ISNUMBER(O1793),IF(COUNT(IF(A1793=$A$2:$A$2427,IF(D1793=$D$2:$D$2427,IF($X$2:$X$2427&gt;0,1))))&gt;0,SUM(IF(A1793=$A$2:$A$2427,IF(D1793=$D$2:$D$2427,$X$2:$X$2427)))/COUNT(IF(A1793=$A$2:$A$2427,IF(D1793=$D$2:$D$2427,IF(ISNUMBER($X$2:$X$2427),1)))),0),""),0)</f>
        <v/>
      </c>
      <c r="Z1793" s="104" t="str">
        <f>IF(ISNUMBER(O1793),IF(I1793&gt;0,(10^(VLOOKUP(D1793,'Species Codes'!B:C,2,0)+VLOOKUP(D1793,'Species Codes'!B:D,3,0)*LOG(E1793)+VLOOKUP(D1793,'Species Codes'!B:E,4,0)*LOG(I1793))),0),"")</f>
        <v/>
      </c>
      <c r="AA1793" s="104" t="str">
        <f>IFERROR((VLOOKUP(D1793,'Species Codes'!B:G,6,0)*Z1793)/2000,"")</f>
        <v/>
      </c>
      <c r="AB1793" s="104" t="e">
        <f>IF(Z1793&gt;0,((IF(OR(D1793="DF",D1793="RA")=TRUE,EXP(VLOOKUP(D1793,'Species Codes'!B:I,8,0)+VLOOKUP(D1793,'Species Codes'!B:J,9,0)*(LN((E1793*2.54)))),IF(OR(D1793="PY",D1793="RC",D1793="WH",D1793="NF")=TRUE,VLOOKUP(D1793,'Species Codes'!B:I,8,0)+VLOOKUP(D1793,'Species Codes'!B:J,9,0)*((E1793*2.54)^2)*(I1793*0.3048),IF(OR(D1793="MD",D1793="BM",D1793="GA")=TRUE,((VLOOKUP(D1793,'Species Codes'!B:I,8,0)*(((((E1793*2.54)+VLOOKUP(D1793,'Species Codes'!B:J,9,0))/VLOOKUP(D1793,'Species Codes'!B:K,10,0))^VLOOKUP(D1793,'Species Codes'!B:L,11,0))*((I1793*0.3048)^VLOOKUP(D1793,'Species Codes'!B:M,12,0))))-(VLOOKUP(D1793,'Species Codes'!B:I,8,0)*((((E1793*2.54)^VLOOKUP(D1793,'Species Codes'!B:L,11,0))*((I1793*0.3048)^VLOOKUP(D1793,'Species Codes'!B:M,12,0))))))*35.3*VLOOKUP(D1793,'Species Codes'!B:G,6,0)/2.2046,VLOOKUP(D1793,'Species Codes'!B:I,8,0)+VLOOKUP(D1793,'Species Codes'!B:J,9,0)*(((E1793*2.54)/100)^2)*(I1793*0.3048)))))*0.0011023),0)</f>
        <v>#N/A</v>
      </c>
      <c r="AC1793" s="104" t="e">
        <f>IF(Z1793&gt;0,((IF(OR(D1793="RA",D1793="OA",D1793="OT",D1793="UN",D1793="PC"),EXP(VLOOKUP(D1793,'Species Codes'!B:O,14,0)+VLOOKUP(D1793,'Species Codes'!B:P,15,0)*LN((E1793*2.54)))-EXP(VLOOKUP(D1793,'Species Codes'!B:O,14,0)+VLOOKUP(D1793,'Species Codes'!B:P,15,0)*LN((E1793*2.54)))*(1/(VLOOKUP(D1793,'Species Codes'!B:Q,16,0)+VLOOKUP(D1793,'Species Codes'!B:R,17,0)*((E1793*2.54)^VLOOKUP(D1793,'Species Codes'!B:S,18,0)))),IF(OR(D1793="BM",D1793="MD",D1793="OA"),EXP(VLOOKUP(D1793,'Species Codes'!B:O,14,0)+VLOOKUP(D1793,'Species Codes'!B:P,15,0)*LN((E1793*2.54)))*(1-(1/(VLOOKUP(D1793,'Species Codes'!B:Q,16,0)+VLOOKUP(D1793,'Species Codes'!B:R,17,0)*((E1793*2.54)^VLOOKUP(D1793,'Species Codes'!B:S,18,0)))))/1000,IF(D1793="DF",EXP(VLOOKUP(D1793,'Species Codes'!B:O,14,0)+VLOOKUP(D1793,'Species Codes'!B:P,15,0)*LN((E1793*2.54))),VLOOKUP(D1793,'Species Codes'!B:O,14,0)+VLOOKUP(D1793,'Species Codes'!B:P,15,0)*(((E1793*2.54)/100)^2)*(I1793*0.3048)))))*0.0011023),0)</f>
        <v>#N/A</v>
      </c>
      <c r="AD1793" s="104" t="e">
        <f t="shared" si="787"/>
        <v>#N/A</v>
      </c>
      <c r="AE1793" s="104" t="e">
        <f t="shared" si="788"/>
        <v>#N/A</v>
      </c>
      <c r="AF1793" s="104" t="e">
        <f>IF(AND(VLOOKUP($D1793,Merchantability!$B:$C,2,0)="Yes",$E1793&gt;=VLOOKUP($D1793,Merchantability!$B:$D,3,0),$E1793&lt;=VLOOKUP($D1793,Merchantability!$B:$E,4,0)),AA1793,0)</f>
        <v>#N/A</v>
      </c>
      <c r="AG1793" s="104" t="e">
        <f>IF(AND(VLOOKUP($D1793,Merchantability!$B:$C,2,0)="Yes",$E1793&gt;=VLOOKUP($D1793,Merchantability!$B:$D,3,0),$E1793&lt;=VLOOKUP($D1793,Merchantability!$B:$E,4,0)),AB1793,0)</f>
        <v>#N/A</v>
      </c>
      <c r="AH1793" s="104" t="e">
        <f>IF(AND(VLOOKUP($D1793,Merchantability!$B:$C,2,0)="Yes",$E1793&gt;=VLOOKUP($D1793,Merchantability!$B:$D,3,0),$E1793&lt;=VLOOKUP($D1793,Merchantability!$B:$E,4,0)),AC1793,0)</f>
        <v>#N/A</v>
      </c>
      <c r="AI1793" s="104" t="e">
        <f t="shared" si="789"/>
        <v>#N/A</v>
      </c>
      <c r="AJ1793" s="104" t="e">
        <f t="shared" si="790"/>
        <v>#VALUE!</v>
      </c>
      <c r="AK1793" s="104" t="e">
        <f t="shared" si="791"/>
        <v>#N/A</v>
      </c>
      <c r="AL1793" s="104" t="e">
        <f t="shared" si="792"/>
        <v>#N/A</v>
      </c>
      <c r="AM1793" s="104" t="e">
        <f t="shared" si="793"/>
        <v>#N/A</v>
      </c>
      <c r="AN1793" s="104" t="e">
        <f t="shared" si="777"/>
        <v>#N/A</v>
      </c>
      <c r="AO1793" s="104" t="e">
        <f t="shared" si="778"/>
        <v>#N/A</v>
      </c>
      <c r="AP1793" s="104" t="e">
        <f t="shared" si="779"/>
        <v>#N/A</v>
      </c>
      <c r="AQ1793" s="104" t="e">
        <f t="shared" si="780"/>
        <v>#N/A</v>
      </c>
      <c r="AR1793" s="105" t="str">
        <f t="shared" si="772"/>
        <v/>
      </c>
      <c r="AS1793" s="105" t="str">
        <f t="shared" si="773"/>
        <v/>
      </c>
      <c r="AT1793" s="108" t="str">
        <f t="shared" si="774"/>
        <v/>
      </c>
      <c r="AU1793" s="108" t="str">
        <f t="shared" si="775"/>
        <v/>
      </c>
      <c r="AV1793" s="107" t="str">
        <f>IF(ISNUMBER(O1793),IF(VLOOKUP($A1793,Stand!C:J,8,FALSE)="Short",AT1793,AU1793),"")</f>
        <v/>
      </c>
      <c r="AW1793" s="109" t="str">
        <f t="shared" si="781"/>
        <v/>
      </c>
      <c r="AX1793" s="109" t="str">
        <f t="shared" si="782"/>
        <v/>
      </c>
      <c r="AY1793" s="112" t="str">
        <f>IF(ISNUMBER(O1793),IF(AND(VLOOKUP($D1793,Merchantability!$B:$C,2,0)="Yes",$E1793&gt;=VLOOKUP($D1793,Merchantability!$B:$D,3,0),$E1793&lt;=VLOOKUP($D1793,Merchantability!$B:$E,4,0)),(AV1793*O1793)*(1-$H1793/100),""),"")</f>
        <v/>
      </c>
      <c r="AZ1793" s="116"/>
      <c r="BA1793" s="116"/>
      <c r="BB1793" s="116"/>
      <c r="BE1793" s="62"/>
      <c r="BF1793" s="63"/>
    </row>
    <row r="1794" spans="1:58" ht="12.75" customHeight="1" x14ac:dyDescent="0.25">
      <c r="A1794" s="334"/>
      <c r="B1794" s="334"/>
      <c r="C1794" s="332"/>
      <c r="D1794" s="334"/>
      <c r="E1794" s="335"/>
      <c r="F1794" s="334"/>
      <c r="G1794" s="332"/>
      <c r="H1794" s="332"/>
      <c r="I1794" s="334"/>
      <c r="J1794" s="336"/>
      <c r="K1794" s="332"/>
      <c r="L1794" s="332"/>
      <c r="M1794" s="76"/>
      <c r="N1794" s="103" t="str">
        <f>IF(A1794="","",VLOOKUP(A1794,Stand!C:K,9,0))</f>
        <v/>
      </c>
      <c r="O1794" s="104" t="str">
        <f t="shared" ref="O1794:O1857" si="794">IF(E1794&gt;0,IF(G1794&gt;1,G1794*(43560/(N1794^2*3.14)),43560/(N1794^2*3.14)),"")</f>
        <v/>
      </c>
      <c r="P1794" s="105" t="str">
        <f t="shared" ref="P1794:P1857" si="795">IF(ISNUMBER(O1794),E1794*O1794,"")</f>
        <v/>
      </c>
      <c r="Q1794" s="105" t="str">
        <f t="shared" si="783"/>
        <v/>
      </c>
      <c r="R1794" s="103" t="str">
        <f t="shared" ref="R1794:R1857" si="796">IF(ISNUMBER(O1794),E1794^2*0.005454*O1794,"")</f>
        <v/>
      </c>
      <c r="S1794" s="103" t="str">
        <f t="shared" ref="S1794:S1857" si="797">IF(ISNUMBER(O1794),(E1794/10)^1.7*O1794,"")</f>
        <v/>
      </c>
      <c r="T1794" s="106" t="str">
        <f t="shared" si="784"/>
        <v/>
      </c>
      <c r="U1794" s="106" t="str">
        <f t="shared" si="785"/>
        <v/>
      </c>
      <c r="V1794" s="106" t="str">
        <f t="shared" si="786"/>
        <v/>
      </c>
      <c r="W1794" s="105" t="str">
        <f t="shared" ref="W1794:W1857" si="798">IF(AND(ISNUMBER(O1794),I1794&gt;0),I1794/(E1794/12),"")</f>
        <v/>
      </c>
      <c r="X1794" s="104" t="str">
        <f t="shared" si="776"/>
        <v/>
      </c>
      <c r="Y1794" s="104" t="str">
        <f t="array" ref="Y1794">IFERROR(IF(ISNUMBER(O1794),IF(COUNT(IF(A1794=$A$2:$A$2427,IF(D1794=$D$2:$D$2427,IF($X$2:$X$2427&gt;0,1))))&gt;0,SUM(IF(A1794=$A$2:$A$2427,IF(D1794=$D$2:$D$2427,$X$2:$X$2427)))/COUNT(IF(A1794=$A$2:$A$2427,IF(D1794=$D$2:$D$2427,IF(ISNUMBER($X$2:$X$2427),1)))),0),""),0)</f>
        <v/>
      </c>
      <c r="Z1794" s="104" t="str">
        <f>IF(ISNUMBER(O1794),IF(I1794&gt;0,(10^(VLOOKUP(D1794,'Species Codes'!B:C,2,0)+VLOOKUP(D1794,'Species Codes'!B:D,3,0)*LOG(E1794)+VLOOKUP(D1794,'Species Codes'!B:E,4,0)*LOG(I1794))),0),"")</f>
        <v/>
      </c>
      <c r="AA1794" s="104" t="str">
        <f>IFERROR((VLOOKUP(D1794,'Species Codes'!B:G,6,0)*Z1794)/2000,"")</f>
        <v/>
      </c>
      <c r="AB1794" s="104" t="e">
        <f>IF(Z1794&gt;0,((IF(OR(D1794="DF",D1794="RA")=TRUE,EXP(VLOOKUP(D1794,'Species Codes'!B:I,8,0)+VLOOKUP(D1794,'Species Codes'!B:J,9,0)*(LN((E1794*2.54)))),IF(OR(D1794="PY",D1794="RC",D1794="WH",D1794="NF")=TRUE,VLOOKUP(D1794,'Species Codes'!B:I,8,0)+VLOOKUP(D1794,'Species Codes'!B:J,9,0)*((E1794*2.54)^2)*(I1794*0.3048),IF(OR(D1794="MD",D1794="BM",D1794="GA")=TRUE,((VLOOKUP(D1794,'Species Codes'!B:I,8,0)*(((((E1794*2.54)+VLOOKUP(D1794,'Species Codes'!B:J,9,0))/VLOOKUP(D1794,'Species Codes'!B:K,10,0))^VLOOKUP(D1794,'Species Codes'!B:L,11,0))*((I1794*0.3048)^VLOOKUP(D1794,'Species Codes'!B:M,12,0))))-(VLOOKUP(D1794,'Species Codes'!B:I,8,0)*((((E1794*2.54)^VLOOKUP(D1794,'Species Codes'!B:L,11,0))*((I1794*0.3048)^VLOOKUP(D1794,'Species Codes'!B:M,12,0))))))*35.3*VLOOKUP(D1794,'Species Codes'!B:G,6,0)/2.2046,VLOOKUP(D1794,'Species Codes'!B:I,8,0)+VLOOKUP(D1794,'Species Codes'!B:J,9,0)*(((E1794*2.54)/100)^2)*(I1794*0.3048)))))*0.0011023),0)</f>
        <v>#N/A</v>
      </c>
      <c r="AC1794" s="104" t="e">
        <f>IF(Z1794&gt;0,((IF(OR(D1794="RA",D1794="OA",D1794="OT",D1794="UN",D1794="PC"),EXP(VLOOKUP(D1794,'Species Codes'!B:O,14,0)+VLOOKUP(D1794,'Species Codes'!B:P,15,0)*LN((E1794*2.54)))-EXP(VLOOKUP(D1794,'Species Codes'!B:O,14,0)+VLOOKUP(D1794,'Species Codes'!B:P,15,0)*LN((E1794*2.54)))*(1/(VLOOKUP(D1794,'Species Codes'!B:Q,16,0)+VLOOKUP(D1794,'Species Codes'!B:R,17,0)*((E1794*2.54)^VLOOKUP(D1794,'Species Codes'!B:S,18,0)))),IF(OR(D1794="BM",D1794="MD",D1794="OA"),EXP(VLOOKUP(D1794,'Species Codes'!B:O,14,0)+VLOOKUP(D1794,'Species Codes'!B:P,15,0)*LN((E1794*2.54)))*(1-(1/(VLOOKUP(D1794,'Species Codes'!B:Q,16,0)+VLOOKUP(D1794,'Species Codes'!B:R,17,0)*((E1794*2.54)^VLOOKUP(D1794,'Species Codes'!B:S,18,0)))))/1000,IF(D1794="DF",EXP(VLOOKUP(D1794,'Species Codes'!B:O,14,0)+VLOOKUP(D1794,'Species Codes'!B:P,15,0)*LN((E1794*2.54))),VLOOKUP(D1794,'Species Codes'!B:O,14,0)+VLOOKUP(D1794,'Species Codes'!B:P,15,0)*(((E1794*2.54)/100)^2)*(I1794*0.3048)))))*0.0011023),0)</f>
        <v>#N/A</v>
      </c>
      <c r="AD1794" s="104" t="e">
        <f t="shared" si="787"/>
        <v>#N/A</v>
      </c>
      <c r="AE1794" s="104" t="e">
        <f t="shared" si="788"/>
        <v>#N/A</v>
      </c>
      <c r="AF1794" s="104" t="e">
        <f>IF(AND(VLOOKUP($D1794,Merchantability!$B:$C,2,0)="Yes",$E1794&gt;=VLOOKUP($D1794,Merchantability!$B:$D,3,0),$E1794&lt;=VLOOKUP($D1794,Merchantability!$B:$E,4,0)),AA1794,0)</f>
        <v>#N/A</v>
      </c>
      <c r="AG1794" s="104" t="e">
        <f>IF(AND(VLOOKUP($D1794,Merchantability!$B:$C,2,0)="Yes",$E1794&gt;=VLOOKUP($D1794,Merchantability!$B:$D,3,0),$E1794&lt;=VLOOKUP($D1794,Merchantability!$B:$E,4,0)),AB1794,0)</f>
        <v>#N/A</v>
      </c>
      <c r="AH1794" s="104" t="e">
        <f>IF(AND(VLOOKUP($D1794,Merchantability!$B:$C,2,0)="Yes",$E1794&gt;=VLOOKUP($D1794,Merchantability!$B:$D,3,0),$E1794&lt;=VLOOKUP($D1794,Merchantability!$B:$E,4,0)),AC1794,0)</f>
        <v>#N/A</v>
      </c>
      <c r="AI1794" s="104" t="e">
        <f t="shared" si="789"/>
        <v>#N/A</v>
      </c>
      <c r="AJ1794" s="104" t="e">
        <f t="shared" si="790"/>
        <v>#VALUE!</v>
      </c>
      <c r="AK1794" s="104" t="e">
        <f t="shared" si="791"/>
        <v>#N/A</v>
      </c>
      <c r="AL1794" s="104" t="e">
        <f t="shared" si="792"/>
        <v>#N/A</v>
      </c>
      <c r="AM1794" s="104" t="e">
        <f t="shared" si="793"/>
        <v>#N/A</v>
      </c>
      <c r="AN1794" s="104" t="e">
        <f t="shared" si="777"/>
        <v>#N/A</v>
      </c>
      <c r="AO1794" s="104" t="e">
        <f t="shared" si="778"/>
        <v>#N/A</v>
      </c>
      <c r="AP1794" s="104" t="e">
        <f t="shared" si="779"/>
        <v>#N/A</v>
      </c>
      <c r="AQ1794" s="104" t="e">
        <f t="shared" si="780"/>
        <v>#N/A</v>
      </c>
      <c r="AR1794" s="105" t="str">
        <f t="shared" ref="AR1794:AR1857" si="799">IF(ISNUMBER(O1794),IF(Y1794&gt;0,((Y1794*(E1794^2*0.005454-0.087266))/0.912733),0),"")</f>
        <v/>
      </c>
      <c r="AS1794" s="105" t="str">
        <f t="shared" ref="AS1794:AS1857" si="800">IF(ISNUMBER(O1794),AR1794*(0.993-0.993*(0.62^(E1794-6))),"")</f>
        <v/>
      </c>
      <c r="AT1794" s="108" t="str">
        <f t="shared" ref="AT1794:AT1857" si="801">IF(ISNUMBER(O1794),IF(AS1794&gt;0,IF(Y1794&gt;0,(AS1794*10^(0.174439+0.117594*(LOG(E1794,10))*(LOG(Y1794/0.912733,10))-8.210585/E1794^2+0.236693*(LOG(Y1794/0.912733,10))-0.00001345*(Y1794/0.912733)^2-0.00001937*E1794^2)),0),0),"")</f>
        <v/>
      </c>
      <c r="AU1794" s="108" t="str">
        <f t="shared" ref="AU1794:AU1857" si="802">IF(ISNUMBER(O1794),IF(AS1794&gt;0,IF(Y1794&gt;0,AT1794*(1.001491-(6.92497/Y1794)+(0.00001351*(E1794^2))),0),0),"")</f>
        <v/>
      </c>
      <c r="AV1794" s="107" t="str">
        <f>IF(ISNUMBER(O1794),IF(VLOOKUP($A1794,Stand!C:J,8,FALSE)="Short",AT1794,AU1794),"")</f>
        <v/>
      </c>
      <c r="AW1794" s="109" t="str">
        <f t="shared" si="781"/>
        <v/>
      </c>
      <c r="AX1794" s="109" t="str">
        <f t="shared" si="782"/>
        <v/>
      </c>
      <c r="AY1794" s="112" t="str">
        <f>IF(ISNUMBER(O1794),IF(AND(VLOOKUP($D1794,Merchantability!$B:$C,2,0)="Yes",$E1794&gt;=VLOOKUP($D1794,Merchantability!$B:$D,3,0),$E1794&lt;=VLOOKUP($D1794,Merchantability!$B:$E,4,0)),(AV1794*O1794)*(1-$H1794/100),""),"")</f>
        <v/>
      </c>
      <c r="AZ1794" s="116"/>
      <c r="BA1794" s="116"/>
      <c r="BB1794" s="116"/>
      <c r="BE1794" s="62"/>
      <c r="BF1794" s="63"/>
    </row>
    <row r="1795" spans="1:58" ht="12.75" customHeight="1" x14ac:dyDescent="0.25">
      <c r="A1795" s="334"/>
      <c r="B1795" s="334"/>
      <c r="C1795" s="332"/>
      <c r="D1795" s="334"/>
      <c r="E1795" s="335"/>
      <c r="F1795" s="334"/>
      <c r="G1795" s="332"/>
      <c r="H1795" s="332"/>
      <c r="I1795" s="334"/>
      <c r="J1795" s="336"/>
      <c r="K1795" s="332"/>
      <c r="L1795" s="332"/>
      <c r="M1795" s="76"/>
      <c r="N1795" s="103" t="str">
        <f>IF(A1795="","",VLOOKUP(A1795,Stand!C:K,9,0))</f>
        <v/>
      </c>
      <c r="O1795" s="104" t="str">
        <f t="shared" si="794"/>
        <v/>
      </c>
      <c r="P1795" s="105" t="str">
        <f t="shared" si="795"/>
        <v/>
      </c>
      <c r="Q1795" s="105" t="str">
        <f t="shared" si="783"/>
        <v/>
      </c>
      <c r="R1795" s="103" t="str">
        <f t="shared" si="796"/>
        <v/>
      </c>
      <c r="S1795" s="103" t="str">
        <f t="shared" si="797"/>
        <v/>
      </c>
      <c r="T1795" s="106" t="str">
        <f t="shared" si="784"/>
        <v/>
      </c>
      <c r="U1795" s="106" t="str">
        <f t="shared" si="785"/>
        <v/>
      </c>
      <c r="V1795" s="106" t="str">
        <f t="shared" si="786"/>
        <v/>
      </c>
      <c r="W1795" s="105" t="str">
        <f t="shared" si="798"/>
        <v/>
      </c>
      <c r="X1795" s="104" t="str">
        <f t="shared" ref="X1795:X1858" si="803">IF(ISNUMBER(O1795),IF(I1795&gt;0,IF(E1795&gt;0,(0.912733*Z1795)/(1.033*(1+1.382937*EXP(-4.015292*E1795/10))*((E1795^2)*0.005454+0.087266)-0.174533),""),""),"")</f>
        <v/>
      </c>
      <c r="Y1795" s="104" t="str">
        <f t="array" ref="Y1795">IFERROR(IF(ISNUMBER(O1795),IF(COUNT(IF(A1795=$A$2:$A$2427,IF(D1795=$D$2:$D$2427,IF($X$2:$X$2427&gt;0,1))))&gt;0,SUM(IF(A1795=$A$2:$A$2427,IF(D1795=$D$2:$D$2427,$X$2:$X$2427)))/COUNT(IF(A1795=$A$2:$A$2427,IF(D1795=$D$2:$D$2427,IF(ISNUMBER($X$2:$X$2427),1)))),0),""),0)</f>
        <v/>
      </c>
      <c r="Z1795" s="104" t="str">
        <f>IF(ISNUMBER(O1795),IF(I1795&gt;0,(10^(VLOOKUP(D1795,'Species Codes'!B:C,2,0)+VLOOKUP(D1795,'Species Codes'!B:D,3,0)*LOG(E1795)+VLOOKUP(D1795,'Species Codes'!B:E,4,0)*LOG(I1795))),0),"")</f>
        <v/>
      </c>
      <c r="AA1795" s="104" t="str">
        <f>IFERROR((VLOOKUP(D1795,'Species Codes'!B:G,6,0)*Z1795)/2000,"")</f>
        <v/>
      </c>
      <c r="AB1795" s="104" t="e">
        <f>IF(Z1795&gt;0,((IF(OR(D1795="DF",D1795="RA")=TRUE,EXP(VLOOKUP(D1795,'Species Codes'!B:I,8,0)+VLOOKUP(D1795,'Species Codes'!B:J,9,0)*(LN((E1795*2.54)))),IF(OR(D1795="PY",D1795="RC",D1795="WH",D1795="NF")=TRUE,VLOOKUP(D1795,'Species Codes'!B:I,8,0)+VLOOKUP(D1795,'Species Codes'!B:J,9,0)*((E1795*2.54)^2)*(I1795*0.3048),IF(OR(D1795="MD",D1795="BM",D1795="GA")=TRUE,((VLOOKUP(D1795,'Species Codes'!B:I,8,0)*(((((E1795*2.54)+VLOOKUP(D1795,'Species Codes'!B:J,9,0))/VLOOKUP(D1795,'Species Codes'!B:K,10,0))^VLOOKUP(D1795,'Species Codes'!B:L,11,0))*((I1795*0.3048)^VLOOKUP(D1795,'Species Codes'!B:M,12,0))))-(VLOOKUP(D1795,'Species Codes'!B:I,8,0)*((((E1795*2.54)^VLOOKUP(D1795,'Species Codes'!B:L,11,0))*((I1795*0.3048)^VLOOKUP(D1795,'Species Codes'!B:M,12,0))))))*35.3*VLOOKUP(D1795,'Species Codes'!B:G,6,0)/2.2046,VLOOKUP(D1795,'Species Codes'!B:I,8,0)+VLOOKUP(D1795,'Species Codes'!B:J,9,0)*(((E1795*2.54)/100)^2)*(I1795*0.3048)))))*0.0011023),0)</f>
        <v>#N/A</v>
      </c>
      <c r="AC1795" s="104" t="e">
        <f>IF(Z1795&gt;0,((IF(OR(D1795="RA",D1795="OA",D1795="OT",D1795="UN",D1795="PC"),EXP(VLOOKUP(D1795,'Species Codes'!B:O,14,0)+VLOOKUP(D1795,'Species Codes'!B:P,15,0)*LN((E1795*2.54)))-EXP(VLOOKUP(D1795,'Species Codes'!B:O,14,0)+VLOOKUP(D1795,'Species Codes'!B:P,15,0)*LN((E1795*2.54)))*(1/(VLOOKUP(D1795,'Species Codes'!B:Q,16,0)+VLOOKUP(D1795,'Species Codes'!B:R,17,0)*((E1795*2.54)^VLOOKUP(D1795,'Species Codes'!B:S,18,0)))),IF(OR(D1795="BM",D1795="MD",D1795="OA"),EXP(VLOOKUP(D1795,'Species Codes'!B:O,14,0)+VLOOKUP(D1795,'Species Codes'!B:P,15,0)*LN((E1795*2.54)))*(1-(1/(VLOOKUP(D1795,'Species Codes'!B:Q,16,0)+VLOOKUP(D1795,'Species Codes'!B:R,17,0)*((E1795*2.54)^VLOOKUP(D1795,'Species Codes'!B:S,18,0)))))/1000,IF(D1795="DF",EXP(VLOOKUP(D1795,'Species Codes'!B:O,14,0)+VLOOKUP(D1795,'Species Codes'!B:P,15,0)*LN((E1795*2.54))),VLOOKUP(D1795,'Species Codes'!B:O,14,0)+VLOOKUP(D1795,'Species Codes'!B:P,15,0)*(((E1795*2.54)/100)^2)*(I1795*0.3048)))))*0.0011023),0)</f>
        <v>#N/A</v>
      </c>
      <c r="AD1795" s="104" t="e">
        <f t="shared" si="787"/>
        <v>#N/A</v>
      </c>
      <c r="AE1795" s="104" t="e">
        <f t="shared" si="788"/>
        <v>#N/A</v>
      </c>
      <c r="AF1795" s="104" t="e">
        <f>IF(AND(VLOOKUP($D1795,Merchantability!$B:$C,2,0)="Yes",$E1795&gt;=VLOOKUP($D1795,Merchantability!$B:$D,3,0),$E1795&lt;=VLOOKUP($D1795,Merchantability!$B:$E,4,0)),AA1795,0)</f>
        <v>#N/A</v>
      </c>
      <c r="AG1795" s="104" t="e">
        <f>IF(AND(VLOOKUP($D1795,Merchantability!$B:$C,2,0)="Yes",$E1795&gt;=VLOOKUP($D1795,Merchantability!$B:$D,3,0),$E1795&lt;=VLOOKUP($D1795,Merchantability!$B:$E,4,0)),AB1795,0)</f>
        <v>#N/A</v>
      </c>
      <c r="AH1795" s="104" t="e">
        <f>IF(AND(VLOOKUP($D1795,Merchantability!$B:$C,2,0)="Yes",$E1795&gt;=VLOOKUP($D1795,Merchantability!$B:$D,3,0),$E1795&lt;=VLOOKUP($D1795,Merchantability!$B:$E,4,0)),AC1795,0)</f>
        <v>#N/A</v>
      </c>
      <c r="AI1795" s="104" t="e">
        <f t="shared" si="789"/>
        <v>#N/A</v>
      </c>
      <c r="AJ1795" s="104" t="e">
        <f t="shared" si="790"/>
        <v>#VALUE!</v>
      </c>
      <c r="AK1795" s="104" t="e">
        <f t="shared" si="791"/>
        <v>#N/A</v>
      </c>
      <c r="AL1795" s="104" t="e">
        <f t="shared" si="792"/>
        <v>#N/A</v>
      </c>
      <c r="AM1795" s="104" t="e">
        <f t="shared" si="793"/>
        <v>#N/A</v>
      </c>
      <c r="AN1795" s="104" t="e">
        <f t="shared" ref="AN1795:AN1858" si="804">AF1795*$O1795</f>
        <v>#N/A</v>
      </c>
      <c r="AO1795" s="104" t="e">
        <f t="shared" ref="AO1795:AO1858" si="805">AG1795*$O1795</f>
        <v>#N/A</v>
      </c>
      <c r="AP1795" s="104" t="e">
        <f t="shared" ref="AP1795:AP1858" si="806">AH1795*$O1795</f>
        <v>#N/A</v>
      </c>
      <c r="AQ1795" s="104" t="e">
        <f t="shared" ref="AQ1795:AQ1858" si="807">SUM(AN1795:AP1795)</f>
        <v>#N/A</v>
      </c>
      <c r="AR1795" s="105" t="str">
        <f t="shared" si="799"/>
        <v/>
      </c>
      <c r="AS1795" s="105" t="str">
        <f t="shared" si="800"/>
        <v/>
      </c>
      <c r="AT1795" s="108" t="str">
        <f t="shared" si="801"/>
        <v/>
      </c>
      <c r="AU1795" s="108" t="str">
        <f t="shared" si="802"/>
        <v/>
      </c>
      <c r="AV1795" s="107" t="str">
        <f>IF(ISNUMBER(O1795),IF(VLOOKUP($A1795,Stand!C:J,8,FALSE)="Short",AT1795,AU1795),"")</f>
        <v/>
      </c>
      <c r="AW1795" s="109" t="str">
        <f t="shared" ref="AW1795:AW1858" si="808">IF(ISNUMBER(O1795),AV1795*O1795,"")</f>
        <v/>
      </c>
      <c r="AX1795" s="109" t="str">
        <f t="shared" ref="AX1795:AX1858" si="809">IF(ISNUMBER(O1795),AW1795*(1-$H1795/100),"")</f>
        <v/>
      </c>
      <c r="AY1795" s="112" t="str">
        <f>IF(ISNUMBER(O1795),IF(AND(VLOOKUP($D1795,Merchantability!$B:$C,2,0)="Yes",$E1795&gt;=VLOOKUP($D1795,Merchantability!$B:$D,3,0),$E1795&lt;=VLOOKUP($D1795,Merchantability!$B:$E,4,0)),(AV1795*O1795)*(1-$H1795/100),""),"")</f>
        <v/>
      </c>
      <c r="AZ1795" s="116"/>
      <c r="BA1795" s="116"/>
      <c r="BB1795" s="116"/>
      <c r="BE1795" s="62"/>
      <c r="BF1795" s="63"/>
    </row>
    <row r="1796" spans="1:58" ht="12.75" customHeight="1" x14ac:dyDescent="0.25">
      <c r="A1796" s="334"/>
      <c r="B1796" s="334"/>
      <c r="C1796" s="332"/>
      <c r="D1796" s="334"/>
      <c r="E1796" s="335"/>
      <c r="F1796" s="334"/>
      <c r="G1796" s="332"/>
      <c r="H1796" s="332"/>
      <c r="I1796" s="334"/>
      <c r="J1796" s="336"/>
      <c r="K1796" s="332"/>
      <c r="L1796" s="332"/>
      <c r="M1796" s="76"/>
      <c r="N1796" s="103" t="str">
        <f>IF(A1796="","",VLOOKUP(A1796,Stand!C:K,9,0))</f>
        <v/>
      </c>
      <c r="O1796" s="104" t="str">
        <f t="shared" si="794"/>
        <v/>
      </c>
      <c r="P1796" s="105" t="str">
        <f t="shared" si="795"/>
        <v/>
      </c>
      <c r="Q1796" s="105" t="str">
        <f t="shared" si="783"/>
        <v/>
      </c>
      <c r="R1796" s="103" t="str">
        <f t="shared" si="796"/>
        <v/>
      </c>
      <c r="S1796" s="103" t="str">
        <f t="shared" si="797"/>
        <v/>
      </c>
      <c r="T1796" s="106" t="str">
        <f t="shared" si="784"/>
        <v/>
      </c>
      <c r="U1796" s="106" t="str">
        <f t="shared" si="785"/>
        <v/>
      </c>
      <c r="V1796" s="106" t="str">
        <f t="shared" si="786"/>
        <v/>
      </c>
      <c r="W1796" s="105" t="str">
        <f t="shared" si="798"/>
        <v/>
      </c>
      <c r="X1796" s="104" t="str">
        <f t="shared" si="803"/>
        <v/>
      </c>
      <c r="Y1796" s="104" t="str">
        <f t="array" ref="Y1796">IFERROR(IF(ISNUMBER(O1796),IF(COUNT(IF(A1796=$A$2:$A$2427,IF(D1796=$D$2:$D$2427,IF($X$2:$X$2427&gt;0,1))))&gt;0,SUM(IF(A1796=$A$2:$A$2427,IF(D1796=$D$2:$D$2427,$X$2:$X$2427)))/COUNT(IF(A1796=$A$2:$A$2427,IF(D1796=$D$2:$D$2427,IF(ISNUMBER($X$2:$X$2427),1)))),0),""),0)</f>
        <v/>
      </c>
      <c r="Z1796" s="104" t="str">
        <f>IF(ISNUMBER(O1796),IF(I1796&gt;0,(10^(VLOOKUP(D1796,'Species Codes'!B:C,2,0)+VLOOKUP(D1796,'Species Codes'!B:D,3,0)*LOG(E1796)+VLOOKUP(D1796,'Species Codes'!B:E,4,0)*LOG(I1796))),0),"")</f>
        <v/>
      </c>
      <c r="AA1796" s="104" t="str">
        <f>IFERROR((VLOOKUP(D1796,'Species Codes'!B:G,6,0)*Z1796)/2000,"")</f>
        <v/>
      </c>
      <c r="AB1796" s="104" t="e">
        <f>IF(Z1796&gt;0,((IF(OR(D1796="DF",D1796="RA")=TRUE,EXP(VLOOKUP(D1796,'Species Codes'!B:I,8,0)+VLOOKUP(D1796,'Species Codes'!B:J,9,0)*(LN((E1796*2.54)))),IF(OR(D1796="PY",D1796="RC",D1796="WH",D1796="NF")=TRUE,VLOOKUP(D1796,'Species Codes'!B:I,8,0)+VLOOKUP(D1796,'Species Codes'!B:J,9,0)*((E1796*2.54)^2)*(I1796*0.3048),IF(OR(D1796="MD",D1796="BM",D1796="GA")=TRUE,((VLOOKUP(D1796,'Species Codes'!B:I,8,0)*(((((E1796*2.54)+VLOOKUP(D1796,'Species Codes'!B:J,9,0))/VLOOKUP(D1796,'Species Codes'!B:K,10,0))^VLOOKUP(D1796,'Species Codes'!B:L,11,0))*((I1796*0.3048)^VLOOKUP(D1796,'Species Codes'!B:M,12,0))))-(VLOOKUP(D1796,'Species Codes'!B:I,8,0)*((((E1796*2.54)^VLOOKUP(D1796,'Species Codes'!B:L,11,0))*((I1796*0.3048)^VLOOKUP(D1796,'Species Codes'!B:M,12,0))))))*35.3*VLOOKUP(D1796,'Species Codes'!B:G,6,0)/2.2046,VLOOKUP(D1796,'Species Codes'!B:I,8,0)+VLOOKUP(D1796,'Species Codes'!B:J,9,0)*(((E1796*2.54)/100)^2)*(I1796*0.3048)))))*0.0011023),0)</f>
        <v>#N/A</v>
      </c>
      <c r="AC1796" s="104" t="e">
        <f>IF(Z1796&gt;0,((IF(OR(D1796="RA",D1796="OA",D1796="OT",D1796="UN",D1796="PC"),EXP(VLOOKUP(D1796,'Species Codes'!B:O,14,0)+VLOOKUP(D1796,'Species Codes'!B:P,15,0)*LN((E1796*2.54)))-EXP(VLOOKUP(D1796,'Species Codes'!B:O,14,0)+VLOOKUP(D1796,'Species Codes'!B:P,15,0)*LN((E1796*2.54)))*(1/(VLOOKUP(D1796,'Species Codes'!B:Q,16,0)+VLOOKUP(D1796,'Species Codes'!B:R,17,0)*((E1796*2.54)^VLOOKUP(D1796,'Species Codes'!B:S,18,0)))),IF(OR(D1796="BM",D1796="MD",D1796="OA"),EXP(VLOOKUP(D1796,'Species Codes'!B:O,14,0)+VLOOKUP(D1796,'Species Codes'!B:P,15,0)*LN((E1796*2.54)))*(1-(1/(VLOOKUP(D1796,'Species Codes'!B:Q,16,0)+VLOOKUP(D1796,'Species Codes'!B:R,17,0)*((E1796*2.54)^VLOOKUP(D1796,'Species Codes'!B:S,18,0)))))/1000,IF(D1796="DF",EXP(VLOOKUP(D1796,'Species Codes'!B:O,14,0)+VLOOKUP(D1796,'Species Codes'!B:P,15,0)*LN((E1796*2.54))),VLOOKUP(D1796,'Species Codes'!B:O,14,0)+VLOOKUP(D1796,'Species Codes'!B:P,15,0)*(((E1796*2.54)/100)^2)*(I1796*0.3048)))))*0.0011023),0)</f>
        <v>#N/A</v>
      </c>
      <c r="AD1796" s="104" t="e">
        <f t="shared" si="787"/>
        <v>#N/A</v>
      </c>
      <c r="AE1796" s="104" t="e">
        <f t="shared" si="788"/>
        <v>#N/A</v>
      </c>
      <c r="AF1796" s="104" t="e">
        <f>IF(AND(VLOOKUP($D1796,Merchantability!$B:$C,2,0)="Yes",$E1796&gt;=VLOOKUP($D1796,Merchantability!$B:$D,3,0),$E1796&lt;=VLOOKUP($D1796,Merchantability!$B:$E,4,0)),AA1796,0)</f>
        <v>#N/A</v>
      </c>
      <c r="AG1796" s="104" t="e">
        <f>IF(AND(VLOOKUP($D1796,Merchantability!$B:$C,2,0)="Yes",$E1796&gt;=VLOOKUP($D1796,Merchantability!$B:$D,3,0),$E1796&lt;=VLOOKUP($D1796,Merchantability!$B:$E,4,0)),AB1796,0)</f>
        <v>#N/A</v>
      </c>
      <c r="AH1796" s="104" t="e">
        <f>IF(AND(VLOOKUP($D1796,Merchantability!$B:$C,2,0)="Yes",$E1796&gt;=VLOOKUP($D1796,Merchantability!$B:$D,3,0),$E1796&lt;=VLOOKUP($D1796,Merchantability!$B:$E,4,0)),AC1796,0)</f>
        <v>#N/A</v>
      </c>
      <c r="AI1796" s="104" t="e">
        <f t="shared" si="789"/>
        <v>#N/A</v>
      </c>
      <c r="AJ1796" s="104" t="e">
        <f t="shared" si="790"/>
        <v>#VALUE!</v>
      </c>
      <c r="AK1796" s="104" t="e">
        <f t="shared" si="791"/>
        <v>#N/A</v>
      </c>
      <c r="AL1796" s="104" t="e">
        <f t="shared" si="792"/>
        <v>#N/A</v>
      </c>
      <c r="AM1796" s="104" t="e">
        <f t="shared" si="793"/>
        <v>#N/A</v>
      </c>
      <c r="AN1796" s="104" t="e">
        <f t="shared" si="804"/>
        <v>#N/A</v>
      </c>
      <c r="AO1796" s="104" t="e">
        <f t="shared" si="805"/>
        <v>#N/A</v>
      </c>
      <c r="AP1796" s="104" t="e">
        <f t="shared" si="806"/>
        <v>#N/A</v>
      </c>
      <c r="AQ1796" s="104" t="e">
        <f t="shared" si="807"/>
        <v>#N/A</v>
      </c>
      <c r="AR1796" s="105" t="str">
        <f t="shared" si="799"/>
        <v/>
      </c>
      <c r="AS1796" s="105" t="str">
        <f t="shared" si="800"/>
        <v/>
      </c>
      <c r="AT1796" s="108" t="str">
        <f t="shared" si="801"/>
        <v/>
      </c>
      <c r="AU1796" s="108" t="str">
        <f t="shared" si="802"/>
        <v/>
      </c>
      <c r="AV1796" s="107" t="str">
        <f>IF(ISNUMBER(O1796),IF(VLOOKUP($A1796,Stand!C:J,8,FALSE)="Short",AT1796,AU1796),"")</f>
        <v/>
      </c>
      <c r="AW1796" s="109" t="str">
        <f t="shared" si="808"/>
        <v/>
      </c>
      <c r="AX1796" s="109" t="str">
        <f t="shared" si="809"/>
        <v/>
      </c>
      <c r="AY1796" s="112" t="str">
        <f>IF(ISNUMBER(O1796),IF(AND(VLOOKUP($D1796,Merchantability!$B:$C,2,0)="Yes",$E1796&gt;=VLOOKUP($D1796,Merchantability!$B:$D,3,0),$E1796&lt;=VLOOKUP($D1796,Merchantability!$B:$E,4,0)),(AV1796*O1796)*(1-$H1796/100),""),"")</f>
        <v/>
      </c>
      <c r="AZ1796" s="116"/>
      <c r="BA1796" s="116"/>
      <c r="BB1796" s="116"/>
      <c r="BE1796" s="62"/>
      <c r="BF1796" s="63"/>
    </row>
    <row r="1797" spans="1:58" ht="12.75" customHeight="1" x14ac:dyDescent="0.25">
      <c r="A1797" s="334"/>
      <c r="B1797" s="334"/>
      <c r="C1797" s="332"/>
      <c r="D1797" s="334"/>
      <c r="E1797" s="335"/>
      <c r="F1797" s="334"/>
      <c r="G1797" s="332"/>
      <c r="H1797" s="332"/>
      <c r="I1797" s="334"/>
      <c r="J1797" s="336"/>
      <c r="K1797" s="332"/>
      <c r="L1797" s="332"/>
      <c r="M1797" s="76"/>
      <c r="N1797" s="103" t="str">
        <f>IF(A1797="","",VLOOKUP(A1797,Stand!C:K,9,0))</f>
        <v/>
      </c>
      <c r="O1797" s="104" t="str">
        <f t="shared" si="794"/>
        <v/>
      </c>
      <c r="P1797" s="105" t="str">
        <f t="shared" si="795"/>
        <v/>
      </c>
      <c r="Q1797" s="105" t="str">
        <f t="shared" si="783"/>
        <v/>
      </c>
      <c r="R1797" s="103" t="str">
        <f t="shared" si="796"/>
        <v/>
      </c>
      <c r="S1797" s="103" t="str">
        <f t="shared" si="797"/>
        <v/>
      </c>
      <c r="T1797" s="106" t="str">
        <f t="shared" si="784"/>
        <v/>
      </c>
      <c r="U1797" s="106" t="str">
        <f t="shared" si="785"/>
        <v/>
      </c>
      <c r="V1797" s="106" t="str">
        <f t="shared" si="786"/>
        <v/>
      </c>
      <c r="W1797" s="105" t="str">
        <f t="shared" si="798"/>
        <v/>
      </c>
      <c r="X1797" s="104" t="str">
        <f t="shared" si="803"/>
        <v/>
      </c>
      <c r="Y1797" s="104" t="str">
        <f t="array" ref="Y1797">IFERROR(IF(ISNUMBER(O1797),IF(COUNT(IF(A1797=$A$2:$A$2427,IF(D1797=$D$2:$D$2427,IF($X$2:$X$2427&gt;0,1))))&gt;0,SUM(IF(A1797=$A$2:$A$2427,IF(D1797=$D$2:$D$2427,$X$2:$X$2427)))/COUNT(IF(A1797=$A$2:$A$2427,IF(D1797=$D$2:$D$2427,IF(ISNUMBER($X$2:$X$2427),1)))),0),""),0)</f>
        <v/>
      </c>
      <c r="Z1797" s="104" t="str">
        <f>IF(ISNUMBER(O1797),IF(I1797&gt;0,(10^(VLOOKUP(D1797,'Species Codes'!B:C,2,0)+VLOOKUP(D1797,'Species Codes'!B:D,3,0)*LOG(E1797)+VLOOKUP(D1797,'Species Codes'!B:E,4,0)*LOG(I1797))),0),"")</f>
        <v/>
      </c>
      <c r="AA1797" s="104" t="str">
        <f>IFERROR((VLOOKUP(D1797,'Species Codes'!B:G,6,0)*Z1797)/2000,"")</f>
        <v/>
      </c>
      <c r="AB1797" s="104" t="e">
        <f>IF(Z1797&gt;0,((IF(OR(D1797="DF",D1797="RA")=TRUE,EXP(VLOOKUP(D1797,'Species Codes'!B:I,8,0)+VLOOKUP(D1797,'Species Codes'!B:J,9,0)*(LN((E1797*2.54)))),IF(OR(D1797="PY",D1797="RC",D1797="WH",D1797="NF")=TRUE,VLOOKUP(D1797,'Species Codes'!B:I,8,0)+VLOOKUP(D1797,'Species Codes'!B:J,9,0)*((E1797*2.54)^2)*(I1797*0.3048),IF(OR(D1797="MD",D1797="BM",D1797="GA")=TRUE,((VLOOKUP(D1797,'Species Codes'!B:I,8,0)*(((((E1797*2.54)+VLOOKUP(D1797,'Species Codes'!B:J,9,0))/VLOOKUP(D1797,'Species Codes'!B:K,10,0))^VLOOKUP(D1797,'Species Codes'!B:L,11,0))*((I1797*0.3048)^VLOOKUP(D1797,'Species Codes'!B:M,12,0))))-(VLOOKUP(D1797,'Species Codes'!B:I,8,0)*((((E1797*2.54)^VLOOKUP(D1797,'Species Codes'!B:L,11,0))*((I1797*0.3048)^VLOOKUP(D1797,'Species Codes'!B:M,12,0))))))*35.3*VLOOKUP(D1797,'Species Codes'!B:G,6,0)/2.2046,VLOOKUP(D1797,'Species Codes'!B:I,8,0)+VLOOKUP(D1797,'Species Codes'!B:J,9,0)*(((E1797*2.54)/100)^2)*(I1797*0.3048)))))*0.0011023),0)</f>
        <v>#N/A</v>
      </c>
      <c r="AC1797" s="104" t="e">
        <f>IF(Z1797&gt;0,((IF(OR(D1797="RA",D1797="OA",D1797="OT",D1797="UN",D1797="PC"),EXP(VLOOKUP(D1797,'Species Codes'!B:O,14,0)+VLOOKUP(D1797,'Species Codes'!B:P,15,0)*LN((E1797*2.54)))-EXP(VLOOKUP(D1797,'Species Codes'!B:O,14,0)+VLOOKUP(D1797,'Species Codes'!B:P,15,0)*LN((E1797*2.54)))*(1/(VLOOKUP(D1797,'Species Codes'!B:Q,16,0)+VLOOKUP(D1797,'Species Codes'!B:R,17,0)*((E1797*2.54)^VLOOKUP(D1797,'Species Codes'!B:S,18,0)))),IF(OR(D1797="BM",D1797="MD",D1797="OA"),EXP(VLOOKUP(D1797,'Species Codes'!B:O,14,0)+VLOOKUP(D1797,'Species Codes'!B:P,15,0)*LN((E1797*2.54)))*(1-(1/(VLOOKUP(D1797,'Species Codes'!B:Q,16,0)+VLOOKUP(D1797,'Species Codes'!B:R,17,0)*((E1797*2.54)^VLOOKUP(D1797,'Species Codes'!B:S,18,0)))))/1000,IF(D1797="DF",EXP(VLOOKUP(D1797,'Species Codes'!B:O,14,0)+VLOOKUP(D1797,'Species Codes'!B:P,15,0)*LN((E1797*2.54))),VLOOKUP(D1797,'Species Codes'!B:O,14,0)+VLOOKUP(D1797,'Species Codes'!B:P,15,0)*(((E1797*2.54)/100)^2)*(I1797*0.3048)))))*0.0011023),0)</f>
        <v>#N/A</v>
      </c>
      <c r="AD1797" s="104" t="e">
        <f t="shared" si="787"/>
        <v>#N/A</v>
      </c>
      <c r="AE1797" s="104" t="e">
        <f t="shared" si="788"/>
        <v>#N/A</v>
      </c>
      <c r="AF1797" s="104" t="e">
        <f>IF(AND(VLOOKUP($D1797,Merchantability!$B:$C,2,0)="Yes",$E1797&gt;=VLOOKUP($D1797,Merchantability!$B:$D,3,0),$E1797&lt;=VLOOKUP($D1797,Merchantability!$B:$E,4,0)),AA1797,0)</f>
        <v>#N/A</v>
      </c>
      <c r="AG1797" s="104" t="e">
        <f>IF(AND(VLOOKUP($D1797,Merchantability!$B:$C,2,0)="Yes",$E1797&gt;=VLOOKUP($D1797,Merchantability!$B:$D,3,0),$E1797&lt;=VLOOKUP($D1797,Merchantability!$B:$E,4,0)),AB1797,0)</f>
        <v>#N/A</v>
      </c>
      <c r="AH1797" s="104" t="e">
        <f>IF(AND(VLOOKUP($D1797,Merchantability!$B:$C,2,0)="Yes",$E1797&gt;=VLOOKUP($D1797,Merchantability!$B:$D,3,0),$E1797&lt;=VLOOKUP($D1797,Merchantability!$B:$E,4,0)),AC1797,0)</f>
        <v>#N/A</v>
      </c>
      <c r="AI1797" s="104" t="e">
        <f t="shared" si="789"/>
        <v>#N/A</v>
      </c>
      <c r="AJ1797" s="104" t="e">
        <f t="shared" si="790"/>
        <v>#VALUE!</v>
      </c>
      <c r="AK1797" s="104" t="e">
        <f t="shared" si="791"/>
        <v>#N/A</v>
      </c>
      <c r="AL1797" s="104" t="e">
        <f t="shared" si="792"/>
        <v>#N/A</v>
      </c>
      <c r="AM1797" s="104" t="e">
        <f t="shared" si="793"/>
        <v>#N/A</v>
      </c>
      <c r="AN1797" s="104" t="e">
        <f t="shared" si="804"/>
        <v>#N/A</v>
      </c>
      <c r="AO1797" s="104" t="e">
        <f t="shared" si="805"/>
        <v>#N/A</v>
      </c>
      <c r="AP1797" s="104" t="e">
        <f t="shared" si="806"/>
        <v>#N/A</v>
      </c>
      <c r="AQ1797" s="104" t="e">
        <f t="shared" si="807"/>
        <v>#N/A</v>
      </c>
      <c r="AR1797" s="105" t="str">
        <f t="shared" si="799"/>
        <v/>
      </c>
      <c r="AS1797" s="105" t="str">
        <f t="shared" si="800"/>
        <v/>
      </c>
      <c r="AT1797" s="108" t="str">
        <f t="shared" si="801"/>
        <v/>
      </c>
      <c r="AU1797" s="108" t="str">
        <f t="shared" si="802"/>
        <v/>
      </c>
      <c r="AV1797" s="107" t="str">
        <f>IF(ISNUMBER(O1797),IF(VLOOKUP($A1797,Stand!C:J,8,FALSE)="Short",AT1797,AU1797),"")</f>
        <v/>
      </c>
      <c r="AW1797" s="109" t="str">
        <f t="shared" si="808"/>
        <v/>
      </c>
      <c r="AX1797" s="109" t="str">
        <f t="shared" si="809"/>
        <v/>
      </c>
      <c r="AY1797" s="112" t="str">
        <f>IF(ISNUMBER(O1797),IF(AND(VLOOKUP($D1797,Merchantability!$B:$C,2,0)="Yes",$E1797&gt;=VLOOKUP($D1797,Merchantability!$B:$D,3,0),$E1797&lt;=VLOOKUP($D1797,Merchantability!$B:$E,4,0)),(AV1797*O1797)*(1-$H1797/100),""),"")</f>
        <v/>
      </c>
      <c r="AZ1797" s="116"/>
      <c r="BA1797" s="116"/>
      <c r="BB1797" s="116"/>
      <c r="BE1797" s="62"/>
      <c r="BF1797" s="63"/>
    </row>
    <row r="1798" spans="1:58" ht="12.75" customHeight="1" x14ac:dyDescent="0.25">
      <c r="A1798" s="334"/>
      <c r="B1798" s="334"/>
      <c r="C1798" s="332"/>
      <c r="D1798" s="334"/>
      <c r="E1798" s="335"/>
      <c r="F1798" s="334"/>
      <c r="G1798" s="332"/>
      <c r="H1798" s="332"/>
      <c r="I1798" s="334"/>
      <c r="J1798" s="336"/>
      <c r="K1798" s="332"/>
      <c r="L1798" s="332"/>
      <c r="M1798" s="76"/>
      <c r="N1798" s="103" t="str">
        <f>IF(A1798="","",VLOOKUP(A1798,Stand!C:K,9,0))</f>
        <v/>
      </c>
      <c r="O1798" s="104" t="str">
        <f t="shared" si="794"/>
        <v/>
      </c>
      <c r="P1798" s="105" t="str">
        <f t="shared" si="795"/>
        <v/>
      </c>
      <c r="Q1798" s="105" t="str">
        <f t="shared" si="783"/>
        <v/>
      </c>
      <c r="R1798" s="103" t="str">
        <f t="shared" si="796"/>
        <v/>
      </c>
      <c r="S1798" s="103" t="str">
        <f t="shared" si="797"/>
        <v/>
      </c>
      <c r="T1798" s="106" t="str">
        <f t="shared" si="784"/>
        <v/>
      </c>
      <c r="U1798" s="106" t="str">
        <f t="shared" si="785"/>
        <v/>
      </c>
      <c r="V1798" s="106" t="str">
        <f t="shared" si="786"/>
        <v/>
      </c>
      <c r="W1798" s="105" t="str">
        <f t="shared" si="798"/>
        <v/>
      </c>
      <c r="X1798" s="104" t="str">
        <f t="shared" si="803"/>
        <v/>
      </c>
      <c r="Y1798" s="104" t="str">
        <f t="array" ref="Y1798">IFERROR(IF(ISNUMBER(O1798),IF(COUNT(IF(A1798=$A$2:$A$2427,IF(D1798=$D$2:$D$2427,IF($X$2:$X$2427&gt;0,1))))&gt;0,SUM(IF(A1798=$A$2:$A$2427,IF(D1798=$D$2:$D$2427,$X$2:$X$2427)))/COUNT(IF(A1798=$A$2:$A$2427,IF(D1798=$D$2:$D$2427,IF(ISNUMBER($X$2:$X$2427),1)))),0),""),0)</f>
        <v/>
      </c>
      <c r="Z1798" s="104" t="str">
        <f>IF(ISNUMBER(O1798),IF(I1798&gt;0,(10^(VLOOKUP(D1798,'Species Codes'!B:C,2,0)+VLOOKUP(D1798,'Species Codes'!B:D,3,0)*LOG(E1798)+VLOOKUP(D1798,'Species Codes'!B:E,4,0)*LOG(I1798))),0),"")</f>
        <v/>
      </c>
      <c r="AA1798" s="104" t="str">
        <f>IFERROR((VLOOKUP(D1798,'Species Codes'!B:G,6,0)*Z1798)/2000,"")</f>
        <v/>
      </c>
      <c r="AB1798" s="104" t="e">
        <f>IF(Z1798&gt;0,((IF(OR(D1798="DF",D1798="RA")=TRUE,EXP(VLOOKUP(D1798,'Species Codes'!B:I,8,0)+VLOOKUP(D1798,'Species Codes'!B:J,9,0)*(LN((E1798*2.54)))),IF(OR(D1798="PY",D1798="RC",D1798="WH",D1798="NF")=TRUE,VLOOKUP(D1798,'Species Codes'!B:I,8,0)+VLOOKUP(D1798,'Species Codes'!B:J,9,0)*((E1798*2.54)^2)*(I1798*0.3048),IF(OR(D1798="MD",D1798="BM",D1798="GA")=TRUE,((VLOOKUP(D1798,'Species Codes'!B:I,8,0)*(((((E1798*2.54)+VLOOKUP(D1798,'Species Codes'!B:J,9,0))/VLOOKUP(D1798,'Species Codes'!B:K,10,0))^VLOOKUP(D1798,'Species Codes'!B:L,11,0))*((I1798*0.3048)^VLOOKUP(D1798,'Species Codes'!B:M,12,0))))-(VLOOKUP(D1798,'Species Codes'!B:I,8,0)*((((E1798*2.54)^VLOOKUP(D1798,'Species Codes'!B:L,11,0))*((I1798*0.3048)^VLOOKUP(D1798,'Species Codes'!B:M,12,0))))))*35.3*VLOOKUP(D1798,'Species Codes'!B:G,6,0)/2.2046,VLOOKUP(D1798,'Species Codes'!B:I,8,0)+VLOOKUP(D1798,'Species Codes'!B:J,9,0)*(((E1798*2.54)/100)^2)*(I1798*0.3048)))))*0.0011023),0)</f>
        <v>#N/A</v>
      </c>
      <c r="AC1798" s="104" t="e">
        <f>IF(Z1798&gt;0,((IF(OR(D1798="RA",D1798="OA",D1798="OT",D1798="UN",D1798="PC"),EXP(VLOOKUP(D1798,'Species Codes'!B:O,14,0)+VLOOKUP(D1798,'Species Codes'!B:P,15,0)*LN((E1798*2.54)))-EXP(VLOOKUP(D1798,'Species Codes'!B:O,14,0)+VLOOKUP(D1798,'Species Codes'!B:P,15,0)*LN((E1798*2.54)))*(1/(VLOOKUP(D1798,'Species Codes'!B:Q,16,0)+VLOOKUP(D1798,'Species Codes'!B:R,17,0)*((E1798*2.54)^VLOOKUP(D1798,'Species Codes'!B:S,18,0)))),IF(OR(D1798="BM",D1798="MD",D1798="OA"),EXP(VLOOKUP(D1798,'Species Codes'!B:O,14,0)+VLOOKUP(D1798,'Species Codes'!B:P,15,0)*LN((E1798*2.54)))*(1-(1/(VLOOKUP(D1798,'Species Codes'!B:Q,16,0)+VLOOKUP(D1798,'Species Codes'!B:R,17,0)*((E1798*2.54)^VLOOKUP(D1798,'Species Codes'!B:S,18,0)))))/1000,IF(D1798="DF",EXP(VLOOKUP(D1798,'Species Codes'!B:O,14,0)+VLOOKUP(D1798,'Species Codes'!B:P,15,0)*LN((E1798*2.54))),VLOOKUP(D1798,'Species Codes'!B:O,14,0)+VLOOKUP(D1798,'Species Codes'!B:P,15,0)*(((E1798*2.54)/100)^2)*(I1798*0.3048)))))*0.0011023),0)</f>
        <v>#N/A</v>
      </c>
      <c r="AD1798" s="104" t="e">
        <f t="shared" si="787"/>
        <v>#N/A</v>
      </c>
      <c r="AE1798" s="104" t="e">
        <f t="shared" si="788"/>
        <v>#N/A</v>
      </c>
      <c r="AF1798" s="104" t="e">
        <f>IF(AND(VLOOKUP($D1798,Merchantability!$B:$C,2,0)="Yes",$E1798&gt;=VLOOKUP($D1798,Merchantability!$B:$D,3,0),$E1798&lt;=VLOOKUP($D1798,Merchantability!$B:$E,4,0)),AA1798,0)</f>
        <v>#N/A</v>
      </c>
      <c r="AG1798" s="104" t="e">
        <f>IF(AND(VLOOKUP($D1798,Merchantability!$B:$C,2,0)="Yes",$E1798&gt;=VLOOKUP($D1798,Merchantability!$B:$D,3,0),$E1798&lt;=VLOOKUP($D1798,Merchantability!$B:$E,4,0)),AB1798,0)</f>
        <v>#N/A</v>
      </c>
      <c r="AH1798" s="104" t="e">
        <f>IF(AND(VLOOKUP($D1798,Merchantability!$B:$C,2,0)="Yes",$E1798&gt;=VLOOKUP($D1798,Merchantability!$B:$D,3,0),$E1798&lt;=VLOOKUP($D1798,Merchantability!$B:$E,4,0)),AC1798,0)</f>
        <v>#N/A</v>
      </c>
      <c r="AI1798" s="104" t="e">
        <f t="shared" si="789"/>
        <v>#N/A</v>
      </c>
      <c r="AJ1798" s="104" t="e">
        <f t="shared" si="790"/>
        <v>#VALUE!</v>
      </c>
      <c r="AK1798" s="104" t="e">
        <f t="shared" si="791"/>
        <v>#N/A</v>
      </c>
      <c r="AL1798" s="104" t="e">
        <f t="shared" si="792"/>
        <v>#N/A</v>
      </c>
      <c r="AM1798" s="104" t="e">
        <f t="shared" si="793"/>
        <v>#N/A</v>
      </c>
      <c r="AN1798" s="104" t="e">
        <f t="shared" si="804"/>
        <v>#N/A</v>
      </c>
      <c r="AO1798" s="104" t="e">
        <f t="shared" si="805"/>
        <v>#N/A</v>
      </c>
      <c r="AP1798" s="104" t="e">
        <f t="shared" si="806"/>
        <v>#N/A</v>
      </c>
      <c r="AQ1798" s="104" t="e">
        <f t="shared" si="807"/>
        <v>#N/A</v>
      </c>
      <c r="AR1798" s="105" t="str">
        <f t="shared" si="799"/>
        <v/>
      </c>
      <c r="AS1798" s="105" t="str">
        <f t="shared" si="800"/>
        <v/>
      </c>
      <c r="AT1798" s="108" t="str">
        <f t="shared" si="801"/>
        <v/>
      </c>
      <c r="AU1798" s="108" t="str">
        <f t="shared" si="802"/>
        <v/>
      </c>
      <c r="AV1798" s="107" t="str">
        <f>IF(ISNUMBER(O1798),IF(VLOOKUP($A1798,Stand!C:J,8,FALSE)="Short",AT1798,AU1798),"")</f>
        <v/>
      </c>
      <c r="AW1798" s="109" t="str">
        <f t="shared" si="808"/>
        <v/>
      </c>
      <c r="AX1798" s="109" t="str">
        <f t="shared" si="809"/>
        <v/>
      </c>
      <c r="AY1798" s="112" t="str">
        <f>IF(ISNUMBER(O1798),IF(AND(VLOOKUP($D1798,Merchantability!$B:$C,2,0)="Yes",$E1798&gt;=VLOOKUP($D1798,Merchantability!$B:$D,3,0),$E1798&lt;=VLOOKUP($D1798,Merchantability!$B:$E,4,0)),(AV1798*O1798)*(1-$H1798/100),""),"")</f>
        <v/>
      </c>
      <c r="AZ1798" s="116"/>
      <c r="BA1798" s="116"/>
      <c r="BB1798" s="116"/>
      <c r="BE1798" s="62"/>
      <c r="BF1798" s="63"/>
    </row>
    <row r="1799" spans="1:58" ht="12.75" customHeight="1" x14ac:dyDescent="0.25">
      <c r="A1799" s="334"/>
      <c r="B1799" s="334"/>
      <c r="C1799" s="332"/>
      <c r="D1799" s="334"/>
      <c r="E1799" s="335"/>
      <c r="F1799" s="334"/>
      <c r="G1799" s="332"/>
      <c r="H1799" s="332"/>
      <c r="I1799" s="334"/>
      <c r="J1799" s="336"/>
      <c r="K1799" s="332"/>
      <c r="L1799" s="332"/>
      <c r="M1799" s="76"/>
      <c r="N1799" s="103" t="str">
        <f>IF(A1799="","",VLOOKUP(A1799,Stand!C:K,9,0))</f>
        <v/>
      </c>
      <c r="O1799" s="104" t="str">
        <f t="shared" si="794"/>
        <v/>
      </c>
      <c r="P1799" s="105" t="str">
        <f t="shared" si="795"/>
        <v/>
      </c>
      <c r="Q1799" s="105" t="str">
        <f t="shared" si="783"/>
        <v/>
      </c>
      <c r="R1799" s="103" t="str">
        <f t="shared" si="796"/>
        <v/>
      </c>
      <c r="S1799" s="103" t="str">
        <f t="shared" si="797"/>
        <v/>
      </c>
      <c r="T1799" s="106" t="str">
        <f t="shared" si="784"/>
        <v/>
      </c>
      <c r="U1799" s="106" t="str">
        <f t="shared" si="785"/>
        <v/>
      </c>
      <c r="V1799" s="106" t="str">
        <f t="shared" si="786"/>
        <v/>
      </c>
      <c r="W1799" s="105" t="str">
        <f t="shared" si="798"/>
        <v/>
      </c>
      <c r="X1799" s="104" t="str">
        <f t="shared" si="803"/>
        <v/>
      </c>
      <c r="Y1799" s="104" t="str">
        <f t="array" ref="Y1799">IFERROR(IF(ISNUMBER(O1799),IF(COUNT(IF(A1799=$A$2:$A$2427,IF(D1799=$D$2:$D$2427,IF($X$2:$X$2427&gt;0,1))))&gt;0,SUM(IF(A1799=$A$2:$A$2427,IF(D1799=$D$2:$D$2427,$X$2:$X$2427)))/COUNT(IF(A1799=$A$2:$A$2427,IF(D1799=$D$2:$D$2427,IF(ISNUMBER($X$2:$X$2427),1)))),0),""),0)</f>
        <v/>
      </c>
      <c r="Z1799" s="104" t="str">
        <f>IF(ISNUMBER(O1799),IF(I1799&gt;0,(10^(VLOOKUP(D1799,'Species Codes'!B:C,2,0)+VLOOKUP(D1799,'Species Codes'!B:D,3,0)*LOG(E1799)+VLOOKUP(D1799,'Species Codes'!B:E,4,0)*LOG(I1799))),0),"")</f>
        <v/>
      </c>
      <c r="AA1799" s="104" t="str">
        <f>IFERROR((VLOOKUP(D1799,'Species Codes'!B:G,6,0)*Z1799)/2000,"")</f>
        <v/>
      </c>
      <c r="AB1799" s="104" t="e">
        <f>IF(Z1799&gt;0,((IF(OR(D1799="DF",D1799="RA")=TRUE,EXP(VLOOKUP(D1799,'Species Codes'!B:I,8,0)+VLOOKUP(D1799,'Species Codes'!B:J,9,0)*(LN((E1799*2.54)))),IF(OR(D1799="PY",D1799="RC",D1799="WH",D1799="NF")=TRUE,VLOOKUP(D1799,'Species Codes'!B:I,8,0)+VLOOKUP(D1799,'Species Codes'!B:J,9,0)*((E1799*2.54)^2)*(I1799*0.3048),IF(OR(D1799="MD",D1799="BM",D1799="GA")=TRUE,((VLOOKUP(D1799,'Species Codes'!B:I,8,0)*(((((E1799*2.54)+VLOOKUP(D1799,'Species Codes'!B:J,9,0))/VLOOKUP(D1799,'Species Codes'!B:K,10,0))^VLOOKUP(D1799,'Species Codes'!B:L,11,0))*((I1799*0.3048)^VLOOKUP(D1799,'Species Codes'!B:M,12,0))))-(VLOOKUP(D1799,'Species Codes'!B:I,8,0)*((((E1799*2.54)^VLOOKUP(D1799,'Species Codes'!B:L,11,0))*((I1799*0.3048)^VLOOKUP(D1799,'Species Codes'!B:M,12,0))))))*35.3*VLOOKUP(D1799,'Species Codes'!B:G,6,0)/2.2046,VLOOKUP(D1799,'Species Codes'!B:I,8,0)+VLOOKUP(D1799,'Species Codes'!B:J,9,0)*(((E1799*2.54)/100)^2)*(I1799*0.3048)))))*0.0011023),0)</f>
        <v>#N/A</v>
      </c>
      <c r="AC1799" s="104" t="e">
        <f>IF(Z1799&gt;0,((IF(OR(D1799="RA",D1799="OA",D1799="OT",D1799="UN",D1799="PC"),EXP(VLOOKUP(D1799,'Species Codes'!B:O,14,0)+VLOOKUP(D1799,'Species Codes'!B:P,15,0)*LN((E1799*2.54)))-EXP(VLOOKUP(D1799,'Species Codes'!B:O,14,0)+VLOOKUP(D1799,'Species Codes'!B:P,15,0)*LN((E1799*2.54)))*(1/(VLOOKUP(D1799,'Species Codes'!B:Q,16,0)+VLOOKUP(D1799,'Species Codes'!B:R,17,0)*((E1799*2.54)^VLOOKUP(D1799,'Species Codes'!B:S,18,0)))),IF(OR(D1799="BM",D1799="MD",D1799="OA"),EXP(VLOOKUP(D1799,'Species Codes'!B:O,14,0)+VLOOKUP(D1799,'Species Codes'!B:P,15,0)*LN((E1799*2.54)))*(1-(1/(VLOOKUP(D1799,'Species Codes'!B:Q,16,0)+VLOOKUP(D1799,'Species Codes'!B:R,17,0)*((E1799*2.54)^VLOOKUP(D1799,'Species Codes'!B:S,18,0)))))/1000,IF(D1799="DF",EXP(VLOOKUP(D1799,'Species Codes'!B:O,14,0)+VLOOKUP(D1799,'Species Codes'!B:P,15,0)*LN((E1799*2.54))),VLOOKUP(D1799,'Species Codes'!B:O,14,0)+VLOOKUP(D1799,'Species Codes'!B:P,15,0)*(((E1799*2.54)/100)^2)*(I1799*0.3048)))))*0.0011023),0)</f>
        <v>#N/A</v>
      </c>
      <c r="AD1799" s="104" t="e">
        <f t="shared" si="787"/>
        <v>#N/A</v>
      </c>
      <c r="AE1799" s="104" t="e">
        <f t="shared" si="788"/>
        <v>#N/A</v>
      </c>
      <c r="AF1799" s="104" t="e">
        <f>IF(AND(VLOOKUP($D1799,Merchantability!$B:$C,2,0)="Yes",$E1799&gt;=VLOOKUP($D1799,Merchantability!$B:$D,3,0),$E1799&lt;=VLOOKUP($D1799,Merchantability!$B:$E,4,0)),AA1799,0)</f>
        <v>#N/A</v>
      </c>
      <c r="AG1799" s="104" t="e">
        <f>IF(AND(VLOOKUP($D1799,Merchantability!$B:$C,2,0)="Yes",$E1799&gt;=VLOOKUP($D1799,Merchantability!$B:$D,3,0),$E1799&lt;=VLOOKUP($D1799,Merchantability!$B:$E,4,0)),AB1799,0)</f>
        <v>#N/A</v>
      </c>
      <c r="AH1799" s="104" t="e">
        <f>IF(AND(VLOOKUP($D1799,Merchantability!$B:$C,2,0)="Yes",$E1799&gt;=VLOOKUP($D1799,Merchantability!$B:$D,3,0),$E1799&lt;=VLOOKUP($D1799,Merchantability!$B:$E,4,0)),AC1799,0)</f>
        <v>#N/A</v>
      </c>
      <c r="AI1799" s="104" t="e">
        <f t="shared" si="789"/>
        <v>#N/A</v>
      </c>
      <c r="AJ1799" s="104" t="e">
        <f t="shared" si="790"/>
        <v>#VALUE!</v>
      </c>
      <c r="AK1799" s="104" t="e">
        <f t="shared" si="791"/>
        <v>#N/A</v>
      </c>
      <c r="AL1799" s="104" t="e">
        <f t="shared" si="792"/>
        <v>#N/A</v>
      </c>
      <c r="AM1799" s="104" t="e">
        <f t="shared" si="793"/>
        <v>#N/A</v>
      </c>
      <c r="AN1799" s="104" t="e">
        <f t="shared" si="804"/>
        <v>#N/A</v>
      </c>
      <c r="AO1799" s="104" t="e">
        <f t="shared" si="805"/>
        <v>#N/A</v>
      </c>
      <c r="AP1799" s="104" t="e">
        <f t="shared" si="806"/>
        <v>#N/A</v>
      </c>
      <c r="AQ1799" s="104" t="e">
        <f t="shared" si="807"/>
        <v>#N/A</v>
      </c>
      <c r="AR1799" s="105" t="str">
        <f t="shared" si="799"/>
        <v/>
      </c>
      <c r="AS1799" s="105" t="str">
        <f t="shared" si="800"/>
        <v/>
      </c>
      <c r="AT1799" s="108" t="str">
        <f t="shared" si="801"/>
        <v/>
      </c>
      <c r="AU1799" s="108" t="str">
        <f t="shared" si="802"/>
        <v/>
      </c>
      <c r="AV1799" s="107" t="str">
        <f>IF(ISNUMBER(O1799),IF(VLOOKUP($A1799,Stand!C:J,8,FALSE)="Short",AT1799,AU1799),"")</f>
        <v/>
      </c>
      <c r="AW1799" s="109" t="str">
        <f t="shared" si="808"/>
        <v/>
      </c>
      <c r="AX1799" s="109" t="str">
        <f t="shared" si="809"/>
        <v/>
      </c>
      <c r="AY1799" s="112" t="str">
        <f>IF(ISNUMBER(O1799),IF(AND(VLOOKUP($D1799,Merchantability!$B:$C,2,0)="Yes",$E1799&gt;=VLOOKUP($D1799,Merchantability!$B:$D,3,0),$E1799&lt;=VLOOKUP($D1799,Merchantability!$B:$E,4,0)),(AV1799*O1799)*(1-$H1799/100),""),"")</f>
        <v/>
      </c>
      <c r="AZ1799" s="116"/>
      <c r="BA1799" s="116"/>
      <c r="BB1799" s="116"/>
      <c r="BE1799" s="62"/>
      <c r="BF1799" s="63"/>
    </row>
    <row r="1800" spans="1:58" ht="12.75" customHeight="1" x14ac:dyDescent="0.25">
      <c r="A1800" s="334"/>
      <c r="B1800" s="334"/>
      <c r="C1800" s="332"/>
      <c r="D1800" s="334"/>
      <c r="E1800" s="335"/>
      <c r="F1800" s="334"/>
      <c r="G1800" s="332"/>
      <c r="H1800" s="332"/>
      <c r="I1800" s="334"/>
      <c r="J1800" s="336"/>
      <c r="K1800" s="332"/>
      <c r="L1800" s="332"/>
      <c r="M1800" s="76"/>
      <c r="N1800" s="103" t="str">
        <f>IF(A1800="","",VLOOKUP(A1800,Stand!C:K,9,0))</f>
        <v/>
      </c>
      <c r="O1800" s="104" t="str">
        <f t="shared" si="794"/>
        <v/>
      </c>
      <c r="P1800" s="105" t="str">
        <f t="shared" si="795"/>
        <v/>
      </c>
      <c r="Q1800" s="105" t="str">
        <f t="shared" si="783"/>
        <v/>
      </c>
      <c r="R1800" s="103" t="str">
        <f t="shared" si="796"/>
        <v/>
      </c>
      <c r="S1800" s="103" t="str">
        <f t="shared" si="797"/>
        <v/>
      </c>
      <c r="T1800" s="106" t="str">
        <f t="shared" si="784"/>
        <v/>
      </c>
      <c r="U1800" s="106" t="str">
        <f t="shared" si="785"/>
        <v/>
      </c>
      <c r="V1800" s="106" t="str">
        <f t="shared" si="786"/>
        <v/>
      </c>
      <c r="W1800" s="105" t="str">
        <f t="shared" si="798"/>
        <v/>
      </c>
      <c r="X1800" s="104" t="str">
        <f t="shared" si="803"/>
        <v/>
      </c>
      <c r="Y1800" s="104" t="str">
        <f t="array" ref="Y1800">IFERROR(IF(ISNUMBER(O1800),IF(COUNT(IF(A1800=$A$2:$A$2427,IF(D1800=$D$2:$D$2427,IF($X$2:$X$2427&gt;0,1))))&gt;0,SUM(IF(A1800=$A$2:$A$2427,IF(D1800=$D$2:$D$2427,$X$2:$X$2427)))/COUNT(IF(A1800=$A$2:$A$2427,IF(D1800=$D$2:$D$2427,IF(ISNUMBER($X$2:$X$2427),1)))),0),""),0)</f>
        <v/>
      </c>
      <c r="Z1800" s="104" t="str">
        <f>IF(ISNUMBER(O1800),IF(I1800&gt;0,(10^(VLOOKUP(D1800,'Species Codes'!B:C,2,0)+VLOOKUP(D1800,'Species Codes'!B:D,3,0)*LOG(E1800)+VLOOKUP(D1800,'Species Codes'!B:E,4,0)*LOG(I1800))),0),"")</f>
        <v/>
      </c>
      <c r="AA1800" s="104" t="str">
        <f>IFERROR((VLOOKUP(D1800,'Species Codes'!B:G,6,0)*Z1800)/2000,"")</f>
        <v/>
      </c>
      <c r="AB1800" s="104" t="e">
        <f>IF(Z1800&gt;0,((IF(OR(D1800="DF",D1800="RA")=TRUE,EXP(VLOOKUP(D1800,'Species Codes'!B:I,8,0)+VLOOKUP(D1800,'Species Codes'!B:J,9,0)*(LN((E1800*2.54)))),IF(OR(D1800="PY",D1800="RC",D1800="WH",D1800="NF")=TRUE,VLOOKUP(D1800,'Species Codes'!B:I,8,0)+VLOOKUP(D1800,'Species Codes'!B:J,9,0)*((E1800*2.54)^2)*(I1800*0.3048),IF(OR(D1800="MD",D1800="BM",D1800="GA")=TRUE,((VLOOKUP(D1800,'Species Codes'!B:I,8,0)*(((((E1800*2.54)+VLOOKUP(D1800,'Species Codes'!B:J,9,0))/VLOOKUP(D1800,'Species Codes'!B:K,10,0))^VLOOKUP(D1800,'Species Codes'!B:L,11,0))*((I1800*0.3048)^VLOOKUP(D1800,'Species Codes'!B:M,12,0))))-(VLOOKUP(D1800,'Species Codes'!B:I,8,0)*((((E1800*2.54)^VLOOKUP(D1800,'Species Codes'!B:L,11,0))*((I1800*0.3048)^VLOOKUP(D1800,'Species Codes'!B:M,12,0))))))*35.3*VLOOKUP(D1800,'Species Codes'!B:G,6,0)/2.2046,VLOOKUP(D1800,'Species Codes'!B:I,8,0)+VLOOKUP(D1800,'Species Codes'!B:J,9,0)*(((E1800*2.54)/100)^2)*(I1800*0.3048)))))*0.0011023),0)</f>
        <v>#N/A</v>
      </c>
      <c r="AC1800" s="104" t="e">
        <f>IF(Z1800&gt;0,((IF(OR(D1800="RA",D1800="OA",D1800="OT",D1800="UN",D1800="PC"),EXP(VLOOKUP(D1800,'Species Codes'!B:O,14,0)+VLOOKUP(D1800,'Species Codes'!B:P,15,0)*LN((E1800*2.54)))-EXP(VLOOKUP(D1800,'Species Codes'!B:O,14,0)+VLOOKUP(D1800,'Species Codes'!B:P,15,0)*LN((E1800*2.54)))*(1/(VLOOKUP(D1800,'Species Codes'!B:Q,16,0)+VLOOKUP(D1800,'Species Codes'!B:R,17,0)*((E1800*2.54)^VLOOKUP(D1800,'Species Codes'!B:S,18,0)))),IF(OR(D1800="BM",D1800="MD",D1800="OA"),EXP(VLOOKUP(D1800,'Species Codes'!B:O,14,0)+VLOOKUP(D1800,'Species Codes'!B:P,15,0)*LN((E1800*2.54)))*(1-(1/(VLOOKUP(D1800,'Species Codes'!B:Q,16,0)+VLOOKUP(D1800,'Species Codes'!B:R,17,0)*((E1800*2.54)^VLOOKUP(D1800,'Species Codes'!B:S,18,0)))))/1000,IF(D1800="DF",EXP(VLOOKUP(D1800,'Species Codes'!B:O,14,0)+VLOOKUP(D1800,'Species Codes'!B:P,15,0)*LN((E1800*2.54))),VLOOKUP(D1800,'Species Codes'!B:O,14,0)+VLOOKUP(D1800,'Species Codes'!B:P,15,0)*(((E1800*2.54)/100)^2)*(I1800*0.3048)))))*0.0011023),0)</f>
        <v>#N/A</v>
      </c>
      <c r="AD1800" s="104" t="e">
        <f t="shared" si="787"/>
        <v>#N/A</v>
      </c>
      <c r="AE1800" s="104" t="e">
        <f t="shared" si="788"/>
        <v>#N/A</v>
      </c>
      <c r="AF1800" s="104" t="e">
        <f>IF(AND(VLOOKUP($D1800,Merchantability!$B:$C,2,0)="Yes",$E1800&gt;=VLOOKUP($D1800,Merchantability!$B:$D,3,0),$E1800&lt;=VLOOKUP($D1800,Merchantability!$B:$E,4,0)),AA1800,0)</f>
        <v>#N/A</v>
      </c>
      <c r="AG1800" s="104" t="e">
        <f>IF(AND(VLOOKUP($D1800,Merchantability!$B:$C,2,0)="Yes",$E1800&gt;=VLOOKUP($D1800,Merchantability!$B:$D,3,0),$E1800&lt;=VLOOKUP($D1800,Merchantability!$B:$E,4,0)),AB1800,0)</f>
        <v>#N/A</v>
      </c>
      <c r="AH1800" s="104" t="e">
        <f>IF(AND(VLOOKUP($D1800,Merchantability!$B:$C,2,0)="Yes",$E1800&gt;=VLOOKUP($D1800,Merchantability!$B:$D,3,0),$E1800&lt;=VLOOKUP($D1800,Merchantability!$B:$E,4,0)),AC1800,0)</f>
        <v>#N/A</v>
      </c>
      <c r="AI1800" s="104" t="e">
        <f t="shared" si="789"/>
        <v>#N/A</v>
      </c>
      <c r="AJ1800" s="104" t="e">
        <f t="shared" si="790"/>
        <v>#VALUE!</v>
      </c>
      <c r="AK1800" s="104" t="e">
        <f t="shared" si="791"/>
        <v>#N/A</v>
      </c>
      <c r="AL1800" s="104" t="e">
        <f t="shared" si="792"/>
        <v>#N/A</v>
      </c>
      <c r="AM1800" s="104" t="e">
        <f t="shared" si="793"/>
        <v>#N/A</v>
      </c>
      <c r="AN1800" s="104" t="e">
        <f t="shared" si="804"/>
        <v>#N/A</v>
      </c>
      <c r="AO1800" s="104" t="e">
        <f t="shared" si="805"/>
        <v>#N/A</v>
      </c>
      <c r="AP1800" s="104" t="e">
        <f t="shared" si="806"/>
        <v>#N/A</v>
      </c>
      <c r="AQ1800" s="104" t="e">
        <f t="shared" si="807"/>
        <v>#N/A</v>
      </c>
      <c r="AR1800" s="105" t="str">
        <f t="shared" si="799"/>
        <v/>
      </c>
      <c r="AS1800" s="105" t="str">
        <f t="shared" si="800"/>
        <v/>
      </c>
      <c r="AT1800" s="108" t="str">
        <f t="shared" si="801"/>
        <v/>
      </c>
      <c r="AU1800" s="108" t="str">
        <f t="shared" si="802"/>
        <v/>
      </c>
      <c r="AV1800" s="107" t="str">
        <f>IF(ISNUMBER(O1800),IF(VLOOKUP($A1800,Stand!C:J,8,FALSE)="Short",AT1800,AU1800),"")</f>
        <v/>
      </c>
      <c r="AW1800" s="109" t="str">
        <f t="shared" si="808"/>
        <v/>
      </c>
      <c r="AX1800" s="109" t="str">
        <f t="shared" si="809"/>
        <v/>
      </c>
      <c r="AY1800" s="112" t="str">
        <f>IF(ISNUMBER(O1800),IF(AND(VLOOKUP($D1800,Merchantability!$B:$C,2,0)="Yes",$E1800&gt;=VLOOKUP($D1800,Merchantability!$B:$D,3,0),$E1800&lt;=VLOOKUP($D1800,Merchantability!$B:$E,4,0)),(AV1800*O1800)*(1-$H1800/100),""),"")</f>
        <v/>
      </c>
      <c r="AZ1800" s="116"/>
      <c r="BA1800" s="116"/>
      <c r="BB1800" s="116"/>
      <c r="BE1800" s="62"/>
      <c r="BF1800" s="63"/>
    </row>
    <row r="1801" spans="1:58" ht="12.75" customHeight="1" x14ac:dyDescent="0.25">
      <c r="A1801" s="334"/>
      <c r="B1801" s="334"/>
      <c r="C1801" s="332"/>
      <c r="D1801" s="334"/>
      <c r="E1801" s="335"/>
      <c r="F1801" s="334"/>
      <c r="G1801" s="332"/>
      <c r="H1801" s="332"/>
      <c r="I1801" s="334"/>
      <c r="J1801" s="336"/>
      <c r="K1801" s="332"/>
      <c r="L1801" s="332"/>
      <c r="M1801" s="76"/>
      <c r="N1801" s="103" t="str">
        <f>IF(A1801="","",VLOOKUP(A1801,Stand!C:K,9,0))</f>
        <v/>
      </c>
      <c r="O1801" s="104" t="str">
        <f t="shared" si="794"/>
        <v/>
      </c>
      <c r="P1801" s="105" t="str">
        <f t="shared" si="795"/>
        <v/>
      </c>
      <c r="Q1801" s="105" t="str">
        <f t="shared" si="783"/>
        <v/>
      </c>
      <c r="R1801" s="103" t="str">
        <f t="shared" si="796"/>
        <v/>
      </c>
      <c r="S1801" s="103" t="str">
        <f t="shared" si="797"/>
        <v/>
      </c>
      <c r="T1801" s="106" t="str">
        <f t="shared" si="784"/>
        <v/>
      </c>
      <c r="U1801" s="106" t="str">
        <f t="shared" si="785"/>
        <v/>
      </c>
      <c r="V1801" s="106" t="str">
        <f t="shared" si="786"/>
        <v/>
      </c>
      <c r="W1801" s="105" t="str">
        <f t="shared" si="798"/>
        <v/>
      </c>
      <c r="X1801" s="104" t="str">
        <f t="shared" si="803"/>
        <v/>
      </c>
      <c r="Y1801" s="104" t="str">
        <f t="array" ref="Y1801">IFERROR(IF(ISNUMBER(O1801),IF(COUNT(IF(A1801=$A$2:$A$2427,IF(D1801=$D$2:$D$2427,IF($X$2:$X$2427&gt;0,1))))&gt;0,SUM(IF(A1801=$A$2:$A$2427,IF(D1801=$D$2:$D$2427,$X$2:$X$2427)))/COUNT(IF(A1801=$A$2:$A$2427,IF(D1801=$D$2:$D$2427,IF(ISNUMBER($X$2:$X$2427),1)))),0),""),0)</f>
        <v/>
      </c>
      <c r="Z1801" s="104" t="str">
        <f>IF(ISNUMBER(O1801),IF(I1801&gt;0,(10^(VLOOKUP(D1801,'Species Codes'!B:C,2,0)+VLOOKUP(D1801,'Species Codes'!B:D,3,0)*LOG(E1801)+VLOOKUP(D1801,'Species Codes'!B:E,4,0)*LOG(I1801))),0),"")</f>
        <v/>
      </c>
      <c r="AA1801" s="104" t="str">
        <f>IFERROR((VLOOKUP(D1801,'Species Codes'!B:G,6,0)*Z1801)/2000,"")</f>
        <v/>
      </c>
      <c r="AB1801" s="104" t="e">
        <f>IF(Z1801&gt;0,((IF(OR(D1801="DF",D1801="RA")=TRUE,EXP(VLOOKUP(D1801,'Species Codes'!B:I,8,0)+VLOOKUP(D1801,'Species Codes'!B:J,9,0)*(LN((E1801*2.54)))),IF(OR(D1801="PY",D1801="RC",D1801="WH",D1801="NF")=TRUE,VLOOKUP(D1801,'Species Codes'!B:I,8,0)+VLOOKUP(D1801,'Species Codes'!B:J,9,0)*((E1801*2.54)^2)*(I1801*0.3048),IF(OR(D1801="MD",D1801="BM",D1801="GA")=TRUE,((VLOOKUP(D1801,'Species Codes'!B:I,8,0)*(((((E1801*2.54)+VLOOKUP(D1801,'Species Codes'!B:J,9,0))/VLOOKUP(D1801,'Species Codes'!B:K,10,0))^VLOOKUP(D1801,'Species Codes'!B:L,11,0))*((I1801*0.3048)^VLOOKUP(D1801,'Species Codes'!B:M,12,0))))-(VLOOKUP(D1801,'Species Codes'!B:I,8,0)*((((E1801*2.54)^VLOOKUP(D1801,'Species Codes'!B:L,11,0))*((I1801*0.3048)^VLOOKUP(D1801,'Species Codes'!B:M,12,0))))))*35.3*VLOOKUP(D1801,'Species Codes'!B:G,6,0)/2.2046,VLOOKUP(D1801,'Species Codes'!B:I,8,0)+VLOOKUP(D1801,'Species Codes'!B:J,9,0)*(((E1801*2.54)/100)^2)*(I1801*0.3048)))))*0.0011023),0)</f>
        <v>#N/A</v>
      </c>
      <c r="AC1801" s="104" t="e">
        <f>IF(Z1801&gt;0,((IF(OR(D1801="RA",D1801="OA",D1801="OT",D1801="UN",D1801="PC"),EXP(VLOOKUP(D1801,'Species Codes'!B:O,14,0)+VLOOKUP(D1801,'Species Codes'!B:P,15,0)*LN((E1801*2.54)))-EXP(VLOOKUP(D1801,'Species Codes'!B:O,14,0)+VLOOKUP(D1801,'Species Codes'!B:P,15,0)*LN((E1801*2.54)))*(1/(VLOOKUP(D1801,'Species Codes'!B:Q,16,0)+VLOOKUP(D1801,'Species Codes'!B:R,17,0)*((E1801*2.54)^VLOOKUP(D1801,'Species Codes'!B:S,18,0)))),IF(OR(D1801="BM",D1801="MD",D1801="OA"),EXP(VLOOKUP(D1801,'Species Codes'!B:O,14,0)+VLOOKUP(D1801,'Species Codes'!B:P,15,0)*LN((E1801*2.54)))*(1-(1/(VLOOKUP(D1801,'Species Codes'!B:Q,16,0)+VLOOKUP(D1801,'Species Codes'!B:R,17,0)*((E1801*2.54)^VLOOKUP(D1801,'Species Codes'!B:S,18,0)))))/1000,IF(D1801="DF",EXP(VLOOKUP(D1801,'Species Codes'!B:O,14,0)+VLOOKUP(D1801,'Species Codes'!B:P,15,0)*LN((E1801*2.54))),VLOOKUP(D1801,'Species Codes'!B:O,14,0)+VLOOKUP(D1801,'Species Codes'!B:P,15,0)*(((E1801*2.54)/100)^2)*(I1801*0.3048)))))*0.0011023),0)</f>
        <v>#N/A</v>
      </c>
      <c r="AD1801" s="104" t="e">
        <f t="shared" si="787"/>
        <v>#N/A</v>
      </c>
      <c r="AE1801" s="104" t="e">
        <f t="shared" si="788"/>
        <v>#N/A</v>
      </c>
      <c r="AF1801" s="104" t="e">
        <f>IF(AND(VLOOKUP($D1801,Merchantability!$B:$C,2,0)="Yes",$E1801&gt;=VLOOKUP($D1801,Merchantability!$B:$D,3,0),$E1801&lt;=VLOOKUP($D1801,Merchantability!$B:$E,4,0)),AA1801,0)</f>
        <v>#N/A</v>
      </c>
      <c r="AG1801" s="104" t="e">
        <f>IF(AND(VLOOKUP($D1801,Merchantability!$B:$C,2,0)="Yes",$E1801&gt;=VLOOKUP($D1801,Merchantability!$B:$D,3,0),$E1801&lt;=VLOOKUP($D1801,Merchantability!$B:$E,4,0)),AB1801,0)</f>
        <v>#N/A</v>
      </c>
      <c r="AH1801" s="104" t="e">
        <f>IF(AND(VLOOKUP($D1801,Merchantability!$B:$C,2,0)="Yes",$E1801&gt;=VLOOKUP($D1801,Merchantability!$B:$D,3,0),$E1801&lt;=VLOOKUP($D1801,Merchantability!$B:$E,4,0)),AC1801,0)</f>
        <v>#N/A</v>
      </c>
      <c r="AI1801" s="104" t="e">
        <f t="shared" si="789"/>
        <v>#N/A</v>
      </c>
      <c r="AJ1801" s="104" t="e">
        <f t="shared" si="790"/>
        <v>#VALUE!</v>
      </c>
      <c r="AK1801" s="104" t="e">
        <f t="shared" si="791"/>
        <v>#N/A</v>
      </c>
      <c r="AL1801" s="104" t="e">
        <f t="shared" si="792"/>
        <v>#N/A</v>
      </c>
      <c r="AM1801" s="104" t="e">
        <f t="shared" si="793"/>
        <v>#N/A</v>
      </c>
      <c r="AN1801" s="104" t="e">
        <f t="shared" si="804"/>
        <v>#N/A</v>
      </c>
      <c r="AO1801" s="104" t="e">
        <f t="shared" si="805"/>
        <v>#N/A</v>
      </c>
      <c r="AP1801" s="104" t="e">
        <f t="shared" si="806"/>
        <v>#N/A</v>
      </c>
      <c r="AQ1801" s="104" t="e">
        <f t="shared" si="807"/>
        <v>#N/A</v>
      </c>
      <c r="AR1801" s="105" t="str">
        <f t="shared" si="799"/>
        <v/>
      </c>
      <c r="AS1801" s="105" t="str">
        <f t="shared" si="800"/>
        <v/>
      </c>
      <c r="AT1801" s="108" t="str">
        <f t="shared" si="801"/>
        <v/>
      </c>
      <c r="AU1801" s="108" t="str">
        <f t="shared" si="802"/>
        <v/>
      </c>
      <c r="AV1801" s="107" t="str">
        <f>IF(ISNUMBER(O1801),IF(VLOOKUP($A1801,Stand!C:J,8,FALSE)="Short",AT1801,AU1801),"")</f>
        <v/>
      </c>
      <c r="AW1801" s="109" t="str">
        <f t="shared" si="808"/>
        <v/>
      </c>
      <c r="AX1801" s="109" t="str">
        <f t="shared" si="809"/>
        <v/>
      </c>
      <c r="AY1801" s="112" t="str">
        <f>IF(ISNUMBER(O1801),IF(AND(VLOOKUP($D1801,Merchantability!$B:$C,2,0)="Yes",$E1801&gt;=VLOOKUP($D1801,Merchantability!$B:$D,3,0),$E1801&lt;=VLOOKUP($D1801,Merchantability!$B:$E,4,0)),(AV1801*O1801)*(1-$H1801/100),""),"")</f>
        <v/>
      </c>
      <c r="AZ1801" s="116"/>
      <c r="BA1801" s="116"/>
      <c r="BB1801" s="116"/>
      <c r="BE1801" s="62"/>
      <c r="BF1801" s="63"/>
    </row>
    <row r="1802" spans="1:58" ht="12.75" customHeight="1" x14ac:dyDescent="0.25">
      <c r="A1802" s="334"/>
      <c r="B1802" s="334"/>
      <c r="C1802" s="332"/>
      <c r="D1802" s="334"/>
      <c r="E1802" s="335"/>
      <c r="F1802" s="334"/>
      <c r="G1802" s="332"/>
      <c r="H1802" s="332"/>
      <c r="I1802" s="334"/>
      <c r="J1802" s="336"/>
      <c r="K1802" s="332"/>
      <c r="L1802" s="332"/>
      <c r="M1802" s="76"/>
      <c r="N1802" s="103" t="str">
        <f>IF(A1802="","",VLOOKUP(A1802,Stand!C:K,9,0))</f>
        <v/>
      </c>
      <c r="O1802" s="104" t="str">
        <f t="shared" si="794"/>
        <v/>
      </c>
      <c r="P1802" s="105" t="str">
        <f t="shared" si="795"/>
        <v/>
      </c>
      <c r="Q1802" s="105" t="str">
        <f t="shared" si="783"/>
        <v/>
      </c>
      <c r="R1802" s="103" t="str">
        <f t="shared" si="796"/>
        <v/>
      </c>
      <c r="S1802" s="103" t="str">
        <f t="shared" si="797"/>
        <v/>
      </c>
      <c r="T1802" s="106" t="str">
        <f t="shared" si="784"/>
        <v/>
      </c>
      <c r="U1802" s="106" t="str">
        <f t="shared" si="785"/>
        <v/>
      </c>
      <c r="V1802" s="106" t="str">
        <f t="shared" si="786"/>
        <v/>
      </c>
      <c r="W1802" s="105" t="str">
        <f t="shared" si="798"/>
        <v/>
      </c>
      <c r="X1802" s="104" t="str">
        <f t="shared" si="803"/>
        <v/>
      </c>
      <c r="Y1802" s="104" t="str">
        <f t="array" ref="Y1802">IFERROR(IF(ISNUMBER(O1802),IF(COUNT(IF(A1802=$A$2:$A$2427,IF(D1802=$D$2:$D$2427,IF($X$2:$X$2427&gt;0,1))))&gt;0,SUM(IF(A1802=$A$2:$A$2427,IF(D1802=$D$2:$D$2427,$X$2:$X$2427)))/COUNT(IF(A1802=$A$2:$A$2427,IF(D1802=$D$2:$D$2427,IF(ISNUMBER($X$2:$X$2427),1)))),0),""),0)</f>
        <v/>
      </c>
      <c r="Z1802" s="104" t="str">
        <f>IF(ISNUMBER(O1802),IF(I1802&gt;0,(10^(VLOOKUP(D1802,'Species Codes'!B:C,2,0)+VLOOKUP(D1802,'Species Codes'!B:D,3,0)*LOG(E1802)+VLOOKUP(D1802,'Species Codes'!B:E,4,0)*LOG(I1802))),0),"")</f>
        <v/>
      </c>
      <c r="AA1802" s="104" t="str">
        <f>IFERROR((VLOOKUP(D1802,'Species Codes'!B:G,6,0)*Z1802)/2000,"")</f>
        <v/>
      </c>
      <c r="AB1802" s="104" t="e">
        <f>IF(Z1802&gt;0,((IF(OR(D1802="DF",D1802="RA")=TRUE,EXP(VLOOKUP(D1802,'Species Codes'!B:I,8,0)+VLOOKUP(D1802,'Species Codes'!B:J,9,0)*(LN((E1802*2.54)))),IF(OR(D1802="PY",D1802="RC",D1802="WH",D1802="NF")=TRUE,VLOOKUP(D1802,'Species Codes'!B:I,8,0)+VLOOKUP(D1802,'Species Codes'!B:J,9,0)*((E1802*2.54)^2)*(I1802*0.3048),IF(OR(D1802="MD",D1802="BM",D1802="GA")=TRUE,((VLOOKUP(D1802,'Species Codes'!B:I,8,0)*(((((E1802*2.54)+VLOOKUP(D1802,'Species Codes'!B:J,9,0))/VLOOKUP(D1802,'Species Codes'!B:K,10,0))^VLOOKUP(D1802,'Species Codes'!B:L,11,0))*((I1802*0.3048)^VLOOKUP(D1802,'Species Codes'!B:M,12,0))))-(VLOOKUP(D1802,'Species Codes'!B:I,8,0)*((((E1802*2.54)^VLOOKUP(D1802,'Species Codes'!B:L,11,0))*((I1802*0.3048)^VLOOKUP(D1802,'Species Codes'!B:M,12,0))))))*35.3*VLOOKUP(D1802,'Species Codes'!B:G,6,0)/2.2046,VLOOKUP(D1802,'Species Codes'!B:I,8,0)+VLOOKUP(D1802,'Species Codes'!B:J,9,0)*(((E1802*2.54)/100)^2)*(I1802*0.3048)))))*0.0011023),0)</f>
        <v>#N/A</v>
      </c>
      <c r="AC1802" s="104" t="e">
        <f>IF(Z1802&gt;0,((IF(OR(D1802="RA",D1802="OA",D1802="OT",D1802="UN",D1802="PC"),EXP(VLOOKUP(D1802,'Species Codes'!B:O,14,0)+VLOOKUP(D1802,'Species Codes'!B:P,15,0)*LN((E1802*2.54)))-EXP(VLOOKUP(D1802,'Species Codes'!B:O,14,0)+VLOOKUP(D1802,'Species Codes'!B:P,15,0)*LN((E1802*2.54)))*(1/(VLOOKUP(D1802,'Species Codes'!B:Q,16,0)+VLOOKUP(D1802,'Species Codes'!B:R,17,0)*((E1802*2.54)^VLOOKUP(D1802,'Species Codes'!B:S,18,0)))),IF(OR(D1802="BM",D1802="MD",D1802="OA"),EXP(VLOOKUP(D1802,'Species Codes'!B:O,14,0)+VLOOKUP(D1802,'Species Codes'!B:P,15,0)*LN((E1802*2.54)))*(1-(1/(VLOOKUP(D1802,'Species Codes'!B:Q,16,0)+VLOOKUP(D1802,'Species Codes'!B:R,17,0)*((E1802*2.54)^VLOOKUP(D1802,'Species Codes'!B:S,18,0)))))/1000,IF(D1802="DF",EXP(VLOOKUP(D1802,'Species Codes'!B:O,14,0)+VLOOKUP(D1802,'Species Codes'!B:P,15,0)*LN((E1802*2.54))),VLOOKUP(D1802,'Species Codes'!B:O,14,0)+VLOOKUP(D1802,'Species Codes'!B:P,15,0)*(((E1802*2.54)/100)^2)*(I1802*0.3048)))))*0.0011023),0)</f>
        <v>#N/A</v>
      </c>
      <c r="AD1802" s="104" t="e">
        <f t="shared" si="787"/>
        <v>#N/A</v>
      </c>
      <c r="AE1802" s="104" t="e">
        <f t="shared" si="788"/>
        <v>#N/A</v>
      </c>
      <c r="AF1802" s="104" t="e">
        <f>IF(AND(VLOOKUP($D1802,Merchantability!$B:$C,2,0)="Yes",$E1802&gt;=VLOOKUP($D1802,Merchantability!$B:$D,3,0),$E1802&lt;=VLOOKUP($D1802,Merchantability!$B:$E,4,0)),AA1802,0)</f>
        <v>#N/A</v>
      </c>
      <c r="AG1802" s="104" t="e">
        <f>IF(AND(VLOOKUP($D1802,Merchantability!$B:$C,2,0)="Yes",$E1802&gt;=VLOOKUP($D1802,Merchantability!$B:$D,3,0),$E1802&lt;=VLOOKUP($D1802,Merchantability!$B:$E,4,0)),AB1802,0)</f>
        <v>#N/A</v>
      </c>
      <c r="AH1802" s="104" t="e">
        <f>IF(AND(VLOOKUP($D1802,Merchantability!$B:$C,2,0)="Yes",$E1802&gt;=VLOOKUP($D1802,Merchantability!$B:$D,3,0),$E1802&lt;=VLOOKUP($D1802,Merchantability!$B:$E,4,0)),AC1802,0)</f>
        <v>#N/A</v>
      </c>
      <c r="AI1802" s="104" t="e">
        <f t="shared" si="789"/>
        <v>#N/A</v>
      </c>
      <c r="AJ1802" s="104" t="e">
        <f t="shared" si="790"/>
        <v>#VALUE!</v>
      </c>
      <c r="AK1802" s="104" t="e">
        <f t="shared" si="791"/>
        <v>#N/A</v>
      </c>
      <c r="AL1802" s="104" t="e">
        <f t="shared" si="792"/>
        <v>#N/A</v>
      </c>
      <c r="AM1802" s="104" t="e">
        <f t="shared" si="793"/>
        <v>#N/A</v>
      </c>
      <c r="AN1802" s="104" t="e">
        <f t="shared" si="804"/>
        <v>#N/A</v>
      </c>
      <c r="AO1802" s="104" t="e">
        <f t="shared" si="805"/>
        <v>#N/A</v>
      </c>
      <c r="AP1802" s="104" t="e">
        <f t="shared" si="806"/>
        <v>#N/A</v>
      </c>
      <c r="AQ1802" s="104" t="e">
        <f t="shared" si="807"/>
        <v>#N/A</v>
      </c>
      <c r="AR1802" s="105" t="str">
        <f t="shared" si="799"/>
        <v/>
      </c>
      <c r="AS1802" s="105" t="str">
        <f t="shared" si="800"/>
        <v/>
      </c>
      <c r="AT1802" s="108" t="str">
        <f t="shared" si="801"/>
        <v/>
      </c>
      <c r="AU1802" s="108" t="str">
        <f t="shared" si="802"/>
        <v/>
      </c>
      <c r="AV1802" s="107" t="str">
        <f>IF(ISNUMBER(O1802),IF(VLOOKUP($A1802,Stand!C:J,8,FALSE)="Short",AT1802,AU1802),"")</f>
        <v/>
      </c>
      <c r="AW1802" s="109" t="str">
        <f t="shared" si="808"/>
        <v/>
      </c>
      <c r="AX1802" s="109" t="str">
        <f t="shared" si="809"/>
        <v/>
      </c>
      <c r="AY1802" s="112" t="str">
        <f>IF(ISNUMBER(O1802),IF(AND(VLOOKUP($D1802,Merchantability!$B:$C,2,0)="Yes",$E1802&gt;=VLOOKUP($D1802,Merchantability!$B:$D,3,0),$E1802&lt;=VLOOKUP($D1802,Merchantability!$B:$E,4,0)),(AV1802*O1802)*(1-$H1802/100),""),"")</f>
        <v/>
      </c>
      <c r="AZ1802" s="116"/>
      <c r="BA1802" s="116"/>
      <c r="BB1802" s="116"/>
      <c r="BE1802" s="62"/>
      <c r="BF1802" s="63"/>
    </row>
    <row r="1803" spans="1:58" ht="12.75" customHeight="1" x14ac:dyDescent="0.25">
      <c r="A1803" s="334"/>
      <c r="B1803" s="334"/>
      <c r="C1803" s="332"/>
      <c r="D1803" s="334"/>
      <c r="E1803" s="335"/>
      <c r="F1803" s="334"/>
      <c r="G1803" s="332"/>
      <c r="H1803" s="332"/>
      <c r="I1803" s="334"/>
      <c r="J1803" s="336"/>
      <c r="K1803" s="332"/>
      <c r="L1803" s="332"/>
      <c r="M1803" s="76"/>
      <c r="N1803" s="103" t="str">
        <f>IF(A1803="","",VLOOKUP(A1803,Stand!C:K,9,0))</f>
        <v/>
      </c>
      <c r="O1803" s="104" t="str">
        <f t="shared" si="794"/>
        <v/>
      </c>
      <c r="P1803" s="105" t="str">
        <f t="shared" si="795"/>
        <v/>
      </c>
      <c r="Q1803" s="105" t="str">
        <f t="shared" si="783"/>
        <v/>
      </c>
      <c r="R1803" s="103" t="str">
        <f t="shared" si="796"/>
        <v/>
      </c>
      <c r="S1803" s="103" t="str">
        <f t="shared" si="797"/>
        <v/>
      </c>
      <c r="T1803" s="106" t="str">
        <f t="shared" si="784"/>
        <v/>
      </c>
      <c r="U1803" s="106" t="str">
        <f t="shared" si="785"/>
        <v/>
      </c>
      <c r="V1803" s="106" t="str">
        <f t="shared" si="786"/>
        <v/>
      </c>
      <c r="W1803" s="105" t="str">
        <f t="shared" si="798"/>
        <v/>
      </c>
      <c r="X1803" s="104" t="str">
        <f t="shared" si="803"/>
        <v/>
      </c>
      <c r="Y1803" s="104" t="str">
        <f t="array" ref="Y1803">IFERROR(IF(ISNUMBER(O1803),IF(COUNT(IF(A1803=$A$2:$A$2427,IF(D1803=$D$2:$D$2427,IF($X$2:$X$2427&gt;0,1))))&gt;0,SUM(IF(A1803=$A$2:$A$2427,IF(D1803=$D$2:$D$2427,$X$2:$X$2427)))/COUNT(IF(A1803=$A$2:$A$2427,IF(D1803=$D$2:$D$2427,IF(ISNUMBER($X$2:$X$2427),1)))),0),""),0)</f>
        <v/>
      </c>
      <c r="Z1803" s="104" t="str">
        <f>IF(ISNUMBER(O1803),IF(I1803&gt;0,(10^(VLOOKUP(D1803,'Species Codes'!B:C,2,0)+VLOOKUP(D1803,'Species Codes'!B:D,3,0)*LOG(E1803)+VLOOKUP(D1803,'Species Codes'!B:E,4,0)*LOG(I1803))),0),"")</f>
        <v/>
      </c>
      <c r="AA1803" s="104" t="str">
        <f>IFERROR((VLOOKUP(D1803,'Species Codes'!B:G,6,0)*Z1803)/2000,"")</f>
        <v/>
      </c>
      <c r="AB1803" s="104" t="e">
        <f>IF(Z1803&gt;0,((IF(OR(D1803="DF",D1803="RA")=TRUE,EXP(VLOOKUP(D1803,'Species Codes'!B:I,8,0)+VLOOKUP(D1803,'Species Codes'!B:J,9,0)*(LN((E1803*2.54)))),IF(OR(D1803="PY",D1803="RC",D1803="WH",D1803="NF")=TRUE,VLOOKUP(D1803,'Species Codes'!B:I,8,0)+VLOOKUP(D1803,'Species Codes'!B:J,9,0)*((E1803*2.54)^2)*(I1803*0.3048),IF(OR(D1803="MD",D1803="BM",D1803="GA")=TRUE,((VLOOKUP(D1803,'Species Codes'!B:I,8,0)*(((((E1803*2.54)+VLOOKUP(D1803,'Species Codes'!B:J,9,0))/VLOOKUP(D1803,'Species Codes'!B:K,10,0))^VLOOKUP(D1803,'Species Codes'!B:L,11,0))*((I1803*0.3048)^VLOOKUP(D1803,'Species Codes'!B:M,12,0))))-(VLOOKUP(D1803,'Species Codes'!B:I,8,0)*((((E1803*2.54)^VLOOKUP(D1803,'Species Codes'!B:L,11,0))*((I1803*0.3048)^VLOOKUP(D1803,'Species Codes'!B:M,12,0))))))*35.3*VLOOKUP(D1803,'Species Codes'!B:G,6,0)/2.2046,VLOOKUP(D1803,'Species Codes'!B:I,8,0)+VLOOKUP(D1803,'Species Codes'!B:J,9,0)*(((E1803*2.54)/100)^2)*(I1803*0.3048)))))*0.0011023),0)</f>
        <v>#N/A</v>
      </c>
      <c r="AC1803" s="104" t="e">
        <f>IF(Z1803&gt;0,((IF(OR(D1803="RA",D1803="OA",D1803="OT",D1803="UN",D1803="PC"),EXP(VLOOKUP(D1803,'Species Codes'!B:O,14,0)+VLOOKUP(D1803,'Species Codes'!B:P,15,0)*LN((E1803*2.54)))-EXP(VLOOKUP(D1803,'Species Codes'!B:O,14,0)+VLOOKUP(D1803,'Species Codes'!B:P,15,0)*LN((E1803*2.54)))*(1/(VLOOKUP(D1803,'Species Codes'!B:Q,16,0)+VLOOKUP(D1803,'Species Codes'!B:R,17,0)*((E1803*2.54)^VLOOKUP(D1803,'Species Codes'!B:S,18,0)))),IF(OR(D1803="BM",D1803="MD",D1803="OA"),EXP(VLOOKUP(D1803,'Species Codes'!B:O,14,0)+VLOOKUP(D1803,'Species Codes'!B:P,15,0)*LN((E1803*2.54)))*(1-(1/(VLOOKUP(D1803,'Species Codes'!B:Q,16,0)+VLOOKUP(D1803,'Species Codes'!B:R,17,0)*((E1803*2.54)^VLOOKUP(D1803,'Species Codes'!B:S,18,0)))))/1000,IF(D1803="DF",EXP(VLOOKUP(D1803,'Species Codes'!B:O,14,0)+VLOOKUP(D1803,'Species Codes'!B:P,15,0)*LN((E1803*2.54))),VLOOKUP(D1803,'Species Codes'!B:O,14,0)+VLOOKUP(D1803,'Species Codes'!B:P,15,0)*(((E1803*2.54)/100)^2)*(I1803*0.3048)))))*0.0011023),0)</f>
        <v>#N/A</v>
      </c>
      <c r="AD1803" s="104" t="e">
        <f t="shared" si="787"/>
        <v>#N/A</v>
      </c>
      <c r="AE1803" s="104" t="e">
        <f t="shared" si="788"/>
        <v>#N/A</v>
      </c>
      <c r="AF1803" s="104" t="e">
        <f>IF(AND(VLOOKUP($D1803,Merchantability!$B:$C,2,0)="Yes",$E1803&gt;=VLOOKUP($D1803,Merchantability!$B:$D,3,0),$E1803&lt;=VLOOKUP($D1803,Merchantability!$B:$E,4,0)),AA1803,0)</f>
        <v>#N/A</v>
      </c>
      <c r="AG1803" s="104" t="e">
        <f>IF(AND(VLOOKUP($D1803,Merchantability!$B:$C,2,0)="Yes",$E1803&gt;=VLOOKUP($D1803,Merchantability!$B:$D,3,0),$E1803&lt;=VLOOKUP($D1803,Merchantability!$B:$E,4,0)),AB1803,0)</f>
        <v>#N/A</v>
      </c>
      <c r="AH1803" s="104" t="e">
        <f>IF(AND(VLOOKUP($D1803,Merchantability!$B:$C,2,0)="Yes",$E1803&gt;=VLOOKUP($D1803,Merchantability!$B:$D,3,0),$E1803&lt;=VLOOKUP($D1803,Merchantability!$B:$E,4,0)),AC1803,0)</f>
        <v>#N/A</v>
      </c>
      <c r="AI1803" s="104" t="e">
        <f t="shared" si="789"/>
        <v>#N/A</v>
      </c>
      <c r="AJ1803" s="104" t="e">
        <f t="shared" si="790"/>
        <v>#VALUE!</v>
      </c>
      <c r="AK1803" s="104" t="e">
        <f t="shared" si="791"/>
        <v>#N/A</v>
      </c>
      <c r="AL1803" s="104" t="e">
        <f t="shared" si="792"/>
        <v>#N/A</v>
      </c>
      <c r="AM1803" s="104" t="e">
        <f t="shared" si="793"/>
        <v>#N/A</v>
      </c>
      <c r="AN1803" s="104" t="e">
        <f t="shared" si="804"/>
        <v>#N/A</v>
      </c>
      <c r="AO1803" s="104" t="e">
        <f t="shared" si="805"/>
        <v>#N/A</v>
      </c>
      <c r="AP1803" s="104" t="e">
        <f t="shared" si="806"/>
        <v>#N/A</v>
      </c>
      <c r="AQ1803" s="104" t="e">
        <f t="shared" si="807"/>
        <v>#N/A</v>
      </c>
      <c r="AR1803" s="105" t="str">
        <f t="shared" si="799"/>
        <v/>
      </c>
      <c r="AS1803" s="105" t="str">
        <f t="shared" si="800"/>
        <v/>
      </c>
      <c r="AT1803" s="108" t="str">
        <f t="shared" si="801"/>
        <v/>
      </c>
      <c r="AU1803" s="108" t="str">
        <f t="shared" si="802"/>
        <v/>
      </c>
      <c r="AV1803" s="107" t="str">
        <f>IF(ISNUMBER(O1803),IF(VLOOKUP($A1803,Stand!C:J,8,FALSE)="Short",AT1803,AU1803),"")</f>
        <v/>
      </c>
      <c r="AW1803" s="109" t="str">
        <f t="shared" si="808"/>
        <v/>
      </c>
      <c r="AX1803" s="109" t="str">
        <f t="shared" si="809"/>
        <v/>
      </c>
      <c r="AY1803" s="112" t="str">
        <f>IF(ISNUMBER(O1803),IF(AND(VLOOKUP($D1803,Merchantability!$B:$C,2,0)="Yes",$E1803&gt;=VLOOKUP($D1803,Merchantability!$B:$D,3,0),$E1803&lt;=VLOOKUP($D1803,Merchantability!$B:$E,4,0)),(AV1803*O1803)*(1-$H1803/100),""),"")</f>
        <v/>
      </c>
      <c r="AZ1803" s="116"/>
      <c r="BA1803" s="116"/>
      <c r="BB1803" s="116"/>
      <c r="BE1803" s="62"/>
      <c r="BF1803" s="63"/>
    </row>
    <row r="1804" spans="1:58" ht="12.75" customHeight="1" x14ac:dyDescent="0.25">
      <c r="A1804" s="334"/>
      <c r="B1804" s="334"/>
      <c r="C1804" s="332"/>
      <c r="D1804" s="334"/>
      <c r="E1804" s="335"/>
      <c r="F1804" s="334"/>
      <c r="G1804" s="332"/>
      <c r="H1804" s="332"/>
      <c r="I1804" s="334"/>
      <c r="J1804" s="336"/>
      <c r="K1804" s="332"/>
      <c r="L1804" s="332"/>
      <c r="M1804" s="76"/>
      <c r="N1804" s="103" t="str">
        <f>IF(A1804="","",VLOOKUP(A1804,Stand!C:K,9,0))</f>
        <v/>
      </c>
      <c r="O1804" s="104" t="str">
        <f t="shared" si="794"/>
        <v/>
      </c>
      <c r="P1804" s="105" t="str">
        <f t="shared" si="795"/>
        <v/>
      </c>
      <c r="Q1804" s="105" t="str">
        <f t="shared" si="783"/>
        <v/>
      </c>
      <c r="R1804" s="103" t="str">
        <f t="shared" si="796"/>
        <v/>
      </c>
      <c r="S1804" s="103" t="str">
        <f t="shared" si="797"/>
        <v/>
      </c>
      <c r="T1804" s="106" t="str">
        <f t="shared" si="784"/>
        <v/>
      </c>
      <c r="U1804" s="106" t="str">
        <f t="shared" si="785"/>
        <v/>
      </c>
      <c r="V1804" s="106" t="str">
        <f t="shared" si="786"/>
        <v/>
      </c>
      <c r="W1804" s="105" t="str">
        <f t="shared" si="798"/>
        <v/>
      </c>
      <c r="X1804" s="104" t="str">
        <f t="shared" si="803"/>
        <v/>
      </c>
      <c r="Y1804" s="104" t="str">
        <f t="array" ref="Y1804">IFERROR(IF(ISNUMBER(O1804),IF(COUNT(IF(A1804=$A$2:$A$2427,IF(D1804=$D$2:$D$2427,IF($X$2:$X$2427&gt;0,1))))&gt;0,SUM(IF(A1804=$A$2:$A$2427,IF(D1804=$D$2:$D$2427,$X$2:$X$2427)))/COUNT(IF(A1804=$A$2:$A$2427,IF(D1804=$D$2:$D$2427,IF(ISNUMBER($X$2:$X$2427),1)))),0),""),0)</f>
        <v/>
      </c>
      <c r="Z1804" s="104" t="str">
        <f>IF(ISNUMBER(O1804),IF(I1804&gt;0,(10^(VLOOKUP(D1804,'Species Codes'!B:C,2,0)+VLOOKUP(D1804,'Species Codes'!B:D,3,0)*LOG(E1804)+VLOOKUP(D1804,'Species Codes'!B:E,4,0)*LOG(I1804))),0),"")</f>
        <v/>
      </c>
      <c r="AA1804" s="104" t="str">
        <f>IFERROR((VLOOKUP(D1804,'Species Codes'!B:G,6,0)*Z1804)/2000,"")</f>
        <v/>
      </c>
      <c r="AB1804" s="104" t="e">
        <f>IF(Z1804&gt;0,((IF(OR(D1804="DF",D1804="RA")=TRUE,EXP(VLOOKUP(D1804,'Species Codes'!B:I,8,0)+VLOOKUP(D1804,'Species Codes'!B:J,9,0)*(LN((E1804*2.54)))),IF(OR(D1804="PY",D1804="RC",D1804="WH",D1804="NF")=TRUE,VLOOKUP(D1804,'Species Codes'!B:I,8,0)+VLOOKUP(D1804,'Species Codes'!B:J,9,0)*((E1804*2.54)^2)*(I1804*0.3048),IF(OR(D1804="MD",D1804="BM",D1804="GA")=TRUE,((VLOOKUP(D1804,'Species Codes'!B:I,8,0)*(((((E1804*2.54)+VLOOKUP(D1804,'Species Codes'!B:J,9,0))/VLOOKUP(D1804,'Species Codes'!B:K,10,0))^VLOOKUP(D1804,'Species Codes'!B:L,11,0))*((I1804*0.3048)^VLOOKUP(D1804,'Species Codes'!B:M,12,0))))-(VLOOKUP(D1804,'Species Codes'!B:I,8,0)*((((E1804*2.54)^VLOOKUP(D1804,'Species Codes'!B:L,11,0))*((I1804*0.3048)^VLOOKUP(D1804,'Species Codes'!B:M,12,0))))))*35.3*VLOOKUP(D1804,'Species Codes'!B:G,6,0)/2.2046,VLOOKUP(D1804,'Species Codes'!B:I,8,0)+VLOOKUP(D1804,'Species Codes'!B:J,9,0)*(((E1804*2.54)/100)^2)*(I1804*0.3048)))))*0.0011023),0)</f>
        <v>#N/A</v>
      </c>
      <c r="AC1804" s="104" t="e">
        <f>IF(Z1804&gt;0,((IF(OR(D1804="RA",D1804="OA",D1804="OT",D1804="UN",D1804="PC"),EXP(VLOOKUP(D1804,'Species Codes'!B:O,14,0)+VLOOKUP(D1804,'Species Codes'!B:P,15,0)*LN((E1804*2.54)))-EXP(VLOOKUP(D1804,'Species Codes'!B:O,14,0)+VLOOKUP(D1804,'Species Codes'!B:P,15,0)*LN((E1804*2.54)))*(1/(VLOOKUP(D1804,'Species Codes'!B:Q,16,0)+VLOOKUP(D1804,'Species Codes'!B:R,17,0)*((E1804*2.54)^VLOOKUP(D1804,'Species Codes'!B:S,18,0)))),IF(OR(D1804="BM",D1804="MD",D1804="OA"),EXP(VLOOKUP(D1804,'Species Codes'!B:O,14,0)+VLOOKUP(D1804,'Species Codes'!B:P,15,0)*LN((E1804*2.54)))*(1-(1/(VLOOKUP(D1804,'Species Codes'!B:Q,16,0)+VLOOKUP(D1804,'Species Codes'!B:R,17,0)*((E1804*2.54)^VLOOKUP(D1804,'Species Codes'!B:S,18,0)))))/1000,IF(D1804="DF",EXP(VLOOKUP(D1804,'Species Codes'!B:O,14,0)+VLOOKUP(D1804,'Species Codes'!B:P,15,0)*LN((E1804*2.54))),VLOOKUP(D1804,'Species Codes'!B:O,14,0)+VLOOKUP(D1804,'Species Codes'!B:P,15,0)*(((E1804*2.54)/100)^2)*(I1804*0.3048)))))*0.0011023),0)</f>
        <v>#N/A</v>
      </c>
      <c r="AD1804" s="104" t="e">
        <f t="shared" si="787"/>
        <v>#N/A</v>
      </c>
      <c r="AE1804" s="104" t="e">
        <f t="shared" si="788"/>
        <v>#N/A</v>
      </c>
      <c r="AF1804" s="104" t="e">
        <f>IF(AND(VLOOKUP($D1804,Merchantability!$B:$C,2,0)="Yes",$E1804&gt;=VLOOKUP($D1804,Merchantability!$B:$D,3,0),$E1804&lt;=VLOOKUP($D1804,Merchantability!$B:$E,4,0)),AA1804,0)</f>
        <v>#N/A</v>
      </c>
      <c r="AG1804" s="104" t="e">
        <f>IF(AND(VLOOKUP($D1804,Merchantability!$B:$C,2,0)="Yes",$E1804&gt;=VLOOKUP($D1804,Merchantability!$B:$D,3,0),$E1804&lt;=VLOOKUP($D1804,Merchantability!$B:$E,4,0)),AB1804,0)</f>
        <v>#N/A</v>
      </c>
      <c r="AH1804" s="104" t="e">
        <f>IF(AND(VLOOKUP($D1804,Merchantability!$B:$C,2,0)="Yes",$E1804&gt;=VLOOKUP($D1804,Merchantability!$B:$D,3,0),$E1804&lt;=VLOOKUP($D1804,Merchantability!$B:$E,4,0)),AC1804,0)</f>
        <v>#N/A</v>
      </c>
      <c r="AI1804" s="104" t="e">
        <f t="shared" si="789"/>
        <v>#N/A</v>
      </c>
      <c r="AJ1804" s="104" t="e">
        <f t="shared" si="790"/>
        <v>#VALUE!</v>
      </c>
      <c r="AK1804" s="104" t="e">
        <f t="shared" si="791"/>
        <v>#N/A</v>
      </c>
      <c r="AL1804" s="104" t="e">
        <f t="shared" si="792"/>
        <v>#N/A</v>
      </c>
      <c r="AM1804" s="104" t="e">
        <f t="shared" si="793"/>
        <v>#N/A</v>
      </c>
      <c r="AN1804" s="104" t="e">
        <f t="shared" si="804"/>
        <v>#N/A</v>
      </c>
      <c r="AO1804" s="104" t="e">
        <f t="shared" si="805"/>
        <v>#N/A</v>
      </c>
      <c r="AP1804" s="104" t="e">
        <f t="shared" si="806"/>
        <v>#N/A</v>
      </c>
      <c r="AQ1804" s="104" t="e">
        <f t="shared" si="807"/>
        <v>#N/A</v>
      </c>
      <c r="AR1804" s="105" t="str">
        <f t="shared" si="799"/>
        <v/>
      </c>
      <c r="AS1804" s="105" t="str">
        <f t="shared" si="800"/>
        <v/>
      </c>
      <c r="AT1804" s="108" t="str">
        <f t="shared" si="801"/>
        <v/>
      </c>
      <c r="AU1804" s="108" t="str">
        <f t="shared" si="802"/>
        <v/>
      </c>
      <c r="AV1804" s="107" t="str">
        <f>IF(ISNUMBER(O1804),IF(VLOOKUP($A1804,Stand!C:J,8,FALSE)="Short",AT1804,AU1804),"")</f>
        <v/>
      </c>
      <c r="AW1804" s="109" t="str">
        <f t="shared" si="808"/>
        <v/>
      </c>
      <c r="AX1804" s="109" t="str">
        <f t="shared" si="809"/>
        <v/>
      </c>
      <c r="AY1804" s="112" t="str">
        <f>IF(ISNUMBER(O1804),IF(AND(VLOOKUP($D1804,Merchantability!$B:$C,2,0)="Yes",$E1804&gt;=VLOOKUP($D1804,Merchantability!$B:$D,3,0),$E1804&lt;=VLOOKUP($D1804,Merchantability!$B:$E,4,0)),(AV1804*O1804)*(1-$H1804/100),""),"")</f>
        <v/>
      </c>
      <c r="AZ1804" s="116"/>
      <c r="BA1804" s="116"/>
      <c r="BB1804" s="116"/>
      <c r="BE1804" s="62"/>
      <c r="BF1804" s="63"/>
    </row>
    <row r="1805" spans="1:58" ht="12.75" customHeight="1" x14ac:dyDescent="0.25">
      <c r="A1805" s="334"/>
      <c r="B1805" s="334"/>
      <c r="C1805" s="332"/>
      <c r="D1805" s="334"/>
      <c r="E1805" s="335"/>
      <c r="F1805" s="334"/>
      <c r="G1805" s="332"/>
      <c r="H1805" s="332"/>
      <c r="I1805" s="334"/>
      <c r="J1805" s="336"/>
      <c r="K1805" s="332"/>
      <c r="L1805" s="332"/>
      <c r="M1805" s="76"/>
      <c r="N1805" s="103" t="str">
        <f>IF(A1805="","",VLOOKUP(A1805,Stand!C:K,9,0))</f>
        <v/>
      </c>
      <c r="O1805" s="104" t="str">
        <f t="shared" si="794"/>
        <v/>
      </c>
      <c r="P1805" s="105" t="str">
        <f t="shared" si="795"/>
        <v/>
      </c>
      <c r="Q1805" s="105" t="str">
        <f t="shared" si="783"/>
        <v/>
      </c>
      <c r="R1805" s="103" t="str">
        <f t="shared" si="796"/>
        <v/>
      </c>
      <c r="S1805" s="103" t="str">
        <f t="shared" si="797"/>
        <v/>
      </c>
      <c r="T1805" s="106" t="str">
        <f t="shared" si="784"/>
        <v/>
      </c>
      <c r="U1805" s="106" t="str">
        <f t="shared" si="785"/>
        <v/>
      </c>
      <c r="V1805" s="106" t="str">
        <f t="shared" si="786"/>
        <v/>
      </c>
      <c r="W1805" s="105" t="str">
        <f t="shared" si="798"/>
        <v/>
      </c>
      <c r="X1805" s="104" t="str">
        <f t="shared" si="803"/>
        <v/>
      </c>
      <c r="Y1805" s="104" t="str">
        <f t="array" ref="Y1805">IFERROR(IF(ISNUMBER(O1805),IF(COUNT(IF(A1805=$A$2:$A$2427,IF(D1805=$D$2:$D$2427,IF($X$2:$X$2427&gt;0,1))))&gt;0,SUM(IF(A1805=$A$2:$A$2427,IF(D1805=$D$2:$D$2427,$X$2:$X$2427)))/COUNT(IF(A1805=$A$2:$A$2427,IF(D1805=$D$2:$D$2427,IF(ISNUMBER($X$2:$X$2427),1)))),0),""),0)</f>
        <v/>
      </c>
      <c r="Z1805" s="104" t="str">
        <f>IF(ISNUMBER(O1805),IF(I1805&gt;0,(10^(VLOOKUP(D1805,'Species Codes'!B:C,2,0)+VLOOKUP(D1805,'Species Codes'!B:D,3,0)*LOG(E1805)+VLOOKUP(D1805,'Species Codes'!B:E,4,0)*LOG(I1805))),0),"")</f>
        <v/>
      </c>
      <c r="AA1805" s="104" t="str">
        <f>IFERROR((VLOOKUP(D1805,'Species Codes'!B:G,6,0)*Z1805)/2000,"")</f>
        <v/>
      </c>
      <c r="AB1805" s="104" t="e">
        <f>IF(Z1805&gt;0,((IF(OR(D1805="DF",D1805="RA")=TRUE,EXP(VLOOKUP(D1805,'Species Codes'!B:I,8,0)+VLOOKUP(D1805,'Species Codes'!B:J,9,0)*(LN((E1805*2.54)))),IF(OR(D1805="PY",D1805="RC",D1805="WH",D1805="NF")=TRUE,VLOOKUP(D1805,'Species Codes'!B:I,8,0)+VLOOKUP(D1805,'Species Codes'!B:J,9,0)*((E1805*2.54)^2)*(I1805*0.3048),IF(OR(D1805="MD",D1805="BM",D1805="GA")=TRUE,((VLOOKUP(D1805,'Species Codes'!B:I,8,0)*(((((E1805*2.54)+VLOOKUP(D1805,'Species Codes'!B:J,9,0))/VLOOKUP(D1805,'Species Codes'!B:K,10,0))^VLOOKUP(D1805,'Species Codes'!B:L,11,0))*((I1805*0.3048)^VLOOKUP(D1805,'Species Codes'!B:M,12,0))))-(VLOOKUP(D1805,'Species Codes'!B:I,8,0)*((((E1805*2.54)^VLOOKUP(D1805,'Species Codes'!B:L,11,0))*((I1805*0.3048)^VLOOKUP(D1805,'Species Codes'!B:M,12,0))))))*35.3*VLOOKUP(D1805,'Species Codes'!B:G,6,0)/2.2046,VLOOKUP(D1805,'Species Codes'!B:I,8,0)+VLOOKUP(D1805,'Species Codes'!B:J,9,0)*(((E1805*2.54)/100)^2)*(I1805*0.3048)))))*0.0011023),0)</f>
        <v>#N/A</v>
      </c>
      <c r="AC1805" s="104" t="e">
        <f>IF(Z1805&gt;0,((IF(OR(D1805="RA",D1805="OA",D1805="OT",D1805="UN",D1805="PC"),EXP(VLOOKUP(D1805,'Species Codes'!B:O,14,0)+VLOOKUP(D1805,'Species Codes'!B:P,15,0)*LN((E1805*2.54)))-EXP(VLOOKUP(D1805,'Species Codes'!B:O,14,0)+VLOOKUP(D1805,'Species Codes'!B:P,15,0)*LN((E1805*2.54)))*(1/(VLOOKUP(D1805,'Species Codes'!B:Q,16,0)+VLOOKUP(D1805,'Species Codes'!B:R,17,0)*((E1805*2.54)^VLOOKUP(D1805,'Species Codes'!B:S,18,0)))),IF(OR(D1805="BM",D1805="MD",D1805="OA"),EXP(VLOOKUP(D1805,'Species Codes'!B:O,14,0)+VLOOKUP(D1805,'Species Codes'!B:P,15,0)*LN((E1805*2.54)))*(1-(1/(VLOOKUP(D1805,'Species Codes'!B:Q,16,0)+VLOOKUP(D1805,'Species Codes'!B:R,17,0)*((E1805*2.54)^VLOOKUP(D1805,'Species Codes'!B:S,18,0)))))/1000,IF(D1805="DF",EXP(VLOOKUP(D1805,'Species Codes'!B:O,14,0)+VLOOKUP(D1805,'Species Codes'!B:P,15,0)*LN((E1805*2.54))),VLOOKUP(D1805,'Species Codes'!B:O,14,0)+VLOOKUP(D1805,'Species Codes'!B:P,15,0)*(((E1805*2.54)/100)^2)*(I1805*0.3048)))))*0.0011023),0)</f>
        <v>#N/A</v>
      </c>
      <c r="AD1805" s="104" t="e">
        <f t="shared" si="787"/>
        <v>#N/A</v>
      </c>
      <c r="AE1805" s="104" t="e">
        <f t="shared" si="788"/>
        <v>#N/A</v>
      </c>
      <c r="AF1805" s="104" t="e">
        <f>IF(AND(VLOOKUP($D1805,Merchantability!$B:$C,2,0)="Yes",$E1805&gt;=VLOOKUP($D1805,Merchantability!$B:$D,3,0),$E1805&lt;=VLOOKUP($D1805,Merchantability!$B:$E,4,0)),AA1805,0)</f>
        <v>#N/A</v>
      </c>
      <c r="AG1805" s="104" t="e">
        <f>IF(AND(VLOOKUP($D1805,Merchantability!$B:$C,2,0)="Yes",$E1805&gt;=VLOOKUP($D1805,Merchantability!$B:$D,3,0),$E1805&lt;=VLOOKUP($D1805,Merchantability!$B:$E,4,0)),AB1805,0)</f>
        <v>#N/A</v>
      </c>
      <c r="AH1805" s="104" t="e">
        <f>IF(AND(VLOOKUP($D1805,Merchantability!$B:$C,2,0)="Yes",$E1805&gt;=VLOOKUP($D1805,Merchantability!$B:$D,3,0),$E1805&lt;=VLOOKUP($D1805,Merchantability!$B:$E,4,0)),AC1805,0)</f>
        <v>#N/A</v>
      </c>
      <c r="AI1805" s="104" t="e">
        <f t="shared" si="789"/>
        <v>#N/A</v>
      </c>
      <c r="AJ1805" s="104" t="e">
        <f t="shared" si="790"/>
        <v>#VALUE!</v>
      </c>
      <c r="AK1805" s="104" t="e">
        <f t="shared" si="791"/>
        <v>#N/A</v>
      </c>
      <c r="AL1805" s="104" t="e">
        <f t="shared" si="792"/>
        <v>#N/A</v>
      </c>
      <c r="AM1805" s="104" t="e">
        <f t="shared" si="793"/>
        <v>#N/A</v>
      </c>
      <c r="AN1805" s="104" t="e">
        <f t="shared" si="804"/>
        <v>#N/A</v>
      </c>
      <c r="AO1805" s="104" t="e">
        <f t="shared" si="805"/>
        <v>#N/A</v>
      </c>
      <c r="AP1805" s="104" t="e">
        <f t="shared" si="806"/>
        <v>#N/A</v>
      </c>
      <c r="AQ1805" s="104" t="e">
        <f t="shared" si="807"/>
        <v>#N/A</v>
      </c>
      <c r="AR1805" s="105" t="str">
        <f t="shared" si="799"/>
        <v/>
      </c>
      <c r="AS1805" s="105" t="str">
        <f t="shared" si="800"/>
        <v/>
      </c>
      <c r="AT1805" s="108" t="str">
        <f t="shared" si="801"/>
        <v/>
      </c>
      <c r="AU1805" s="108" t="str">
        <f t="shared" si="802"/>
        <v/>
      </c>
      <c r="AV1805" s="107" t="str">
        <f>IF(ISNUMBER(O1805),IF(VLOOKUP($A1805,Stand!C:J,8,FALSE)="Short",AT1805,AU1805),"")</f>
        <v/>
      </c>
      <c r="AW1805" s="109" t="str">
        <f t="shared" si="808"/>
        <v/>
      </c>
      <c r="AX1805" s="109" t="str">
        <f t="shared" si="809"/>
        <v/>
      </c>
      <c r="AY1805" s="112" t="str">
        <f>IF(ISNUMBER(O1805),IF(AND(VLOOKUP($D1805,Merchantability!$B:$C,2,0)="Yes",$E1805&gt;=VLOOKUP($D1805,Merchantability!$B:$D,3,0),$E1805&lt;=VLOOKUP($D1805,Merchantability!$B:$E,4,0)),(AV1805*O1805)*(1-$H1805/100),""),"")</f>
        <v/>
      </c>
      <c r="AZ1805" s="116"/>
      <c r="BA1805" s="116"/>
      <c r="BB1805" s="116"/>
      <c r="BE1805" s="62"/>
      <c r="BF1805" s="63"/>
    </row>
    <row r="1806" spans="1:58" ht="12.75" customHeight="1" x14ac:dyDescent="0.25">
      <c r="A1806" s="334"/>
      <c r="B1806" s="334"/>
      <c r="C1806" s="332"/>
      <c r="D1806" s="334"/>
      <c r="E1806" s="335"/>
      <c r="F1806" s="334"/>
      <c r="G1806" s="332"/>
      <c r="H1806" s="332"/>
      <c r="I1806" s="334"/>
      <c r="J1806" s="336"/>
      <c r="K1806" s="332"/>
      <c r="L1806" s="332"/>
      <c r="M1806" s="76"/>
      <c r="N1806" s="103" t="str">
        <f>IF(A1806="","",VLOOKUP(A1806,Stand!C:K,9,0))</f>
        <v/>
      </c>
      <c r="O1806" s="104" t="str">
        <f t="shared" si="794"/>
        <v/>
      </c>
      <c r="P1806" s="105" t="str">
        <f t="shared" si="795"/>
        <v/>
      </c>
      <c r="Q1806" s="105" t="str">
        <f t="shared" si="783"/>
        <v/>
      </c>
      <c r="R1806" s="103" t="str">
        <f t="shared" si="796"/>
        <v/>
      </c>
      <c r="S1806" s="103" t="str">
        <f t="shared" si="797"/>
        <v/>
      </c>
      <c r="T1806" s="106" t="str">
        <f t="shared" si="784"/>
        <v/>
      </c>
      <c r="U1806" s="106" t="str">
        <f t="shared" si="785"/>
        <v/>
      </c>
      <c r="V1806" s="106" t="str">
        <f t="shared" si="786"/>
        <v/>
      </c>
      <c r="W1806" s="105" t="str">
        <f t="shared" si="798"/>
        <v/>
      </c>
      <c r="X1806" s="104" t="str">
        <f t="shared" si="803"/>
        <v/>
      </c>
      <c r="Y1806" s="104" t="str">
        <f t="array" ref="Y1806">IFERROR(IF(ISNUMBER(O1806),IF(COUNT(IF(A1806=$A$2:$A$2427,IF(D1806=$D$2:$D$2427,IF($X$2:$X$2427&gt;0,1))))&gt;0,SUM(IF(A1806=$A$2:$A$2427,IF(D1806=$D$2:$D$2427,$X$2:$X$2427)))/COUNT(IF(A1806=$A$2:$A$2427,IF(D1806=$D$2:$D$2427,IF(ISNUMBER($X$2:$X$2427),1)))),0),""),0)</f>
        <v/>
      </c>
      <c r="Z1806" s="104" t="str">
        <f>IF(ISNUMBER(O1806),IF(I1806&gt;0,(10^(VLOOKUP(D1806,'Species Codes'!B:C,2,0)+VLOOKUP(D1806,'Species Codes'!B:D,3,0)*LOG(E1806)+VLOOKUP(D1806,'Species Codes'!B:E,4,0)*LOG(I1806))),0),"")</f>
        <v/>
      </c>
      <c r="AA1806" s="104" t="str">
        <f>IFERROR((VLOOKUP(D1806,'Species Codes'!B:G,6,0)*Z1806)/2000,"")</f>
        <v/>
      </c>
      <c r="AB1806" s="104" t="e">
        <f>IF(Z1806&gt;0,((IF(OR(D1806="DF",D1806="RA")=TRUE,EXP(VLOOKUP(D1806,'Species Codes'!B:I,8,0)+VLOOKUP(D1806,'Species Codes'!B:J,9,0)*(LN((E1806*2.54)))),IF(OR(D1806="PY",D1806="RC",D1806="WH",D1806="NF")=TRUE,VLOOKUP(D1806,'Species Codes'!B:I,8,0)+VLOOKUP(D1806,'Species Codes'!B:J,9,0)*((E1806*2.54)^2)*(I1806*0.3048),IF(OR(D1806="MD",D1806="BM",D1806="GA")=TRUE,((VLOOKUP(D1806,'Species Codes'!B:I,8,0)*(((((E1806*2.54)+VLOOKUP(D1806,'Species Codes'!B:J,9,0))/VLOOKUP(D1806,'Species Codes'!B:K,10,0))^VLOOKUP(D1806,'Species Codes'!B:L,11,0))*((I1806*0.3048)^VLOOKUP(D1806,'Species Codes'!B:M,12,0))))-(VLOOKUP(D1806,'Species Codes'!B:I,8,0)*((((E1806*2.54)^VLOOKUP(D1806,'Species Codes'!B:L,11,0))*((I1806*0.3048)^VLOOKUP(D1806,'Species Codes'!B:M,12,0))))))*35.3*VLOOKUP(D1806,'Species Codes'!B:G,6,0)/2.2046,VLOOKUP(D1806,'Species Codes'!B:I,8,0)+VLOOKUP(D1806,'Species Codes'!B:J,9,0)*(((E1806*2.54)/100)^2)*(I1806*0.3048)))))*0.0011023),0)</f>
        <v>#N/A</v>
      </c>
      <c r="AC1806" s="104" t="e">
        <f>IF(Z1806&gt;0,((IF(OR(D1806="RA",D1806="OA",D1806="OT",D1806="UN",D1806="PC"),EXP(VLOOKUP(D1806,'Species Codes'!B:O,14,0)+VLOOKUP(D1806,'Species Codes'!B:P,15,0)*LN((E1806*2.54)))-EXP(VLOOKUP(D1806,'Species Codes'!B:O,14,0)+VLOOKUP(D1806,'Species Codes'!B:P,15,0)*LN((E1806*2.54)))*(1/(VLOOKUP(D1806,'Species Codes'!B:Q,16,0)+VLOOKUP(D1806,'Species Codes'!B:R,17,0)*((E1806*2.54)^VLOOKUP(D1806,'Species Codes'!B:S,18,0)))),IF(OR(D1806="BM",D1806="MD",D1806="OA"),EXP(VLOOKUP(D1806,'Species Codes'!B:O,14,0)+VLOOKUP(D1806,'Species Codes'!B:P,15,0)*LN((E1806*2.54)))*(1-(1/(VLOOKUP(D1806,'Species Codes'!B:Q,16,0)+VLOOKUP(D1806,'Species Codes'!B:R,17,0)*((E1806*2.54)^VLOOKUP(D1806,'Species Codes'!B:S,18,0)))))/1000,IF(D1806="DF",EXP(VLOOKUP(D1806,'Species Codes'!B:O,14,0)+VLOOKUP(D1806,'Species Codes'!B:P,15,0)*LN((E1806*2.54))),VLOOKUP(D1806,'Species Codes'!B:O,14,0)+VLOOKUP(D1806,'Species Codes'!B:P,15,0)*(((E1806*2.54)/100)^2)*(I1806*0.3048)))))*0.0011023),0)</f>
        <v>#N/A</v>
      </c>
      <c r="AD1806" s="104" t="e">
        <f t="shared" si="787"/>
        <v>#N/A</v>
      </c>
      <c r="AE1806" s="104" t="e">
        <f t="shared" si="788"/>
        <v>#N/A</v>
      </c>
      <c r="AF1806" s="104" t="e">
        <f>IF(AND(VLOOKUP($D1806,Merchantability!$B:$C,2,0)="Yes",$E1806&gt;=VLOOKUP($D1806,Merchantability!$B:$D,3,0),$E1806&lt;=VLOOKUP($D1806,Merchantability!$B:$E,4,0)),AA1806,0)</f>
        <v>#N/A</v>
      </c>
      <c r="AG1806" s="104" t="e">
        <f>IF(AND(VLOOKUP($D1806,Merchantability!$B:$C,2,0)="Yes",$E1806&gt;=VLOOKUP($D1806,Merchantability!$B:$D,3,0),$E1806&lt;=VLOOKUP($D1806,Merchantability!$B:$E,4,0)),AB1806,0)</f>
        <v>#N/A</v>
      </c>
      <c r="AH1806" s="104" t="e">
        <f>IF(AND(VLOOKUP($D1806,Merchantability!$B:$C,2,0)="Yes",$E1806&gt;=VLOOKUP($D1806,Merchantability!$B:$D,3,0),$E1806&lt;=VLOOKUP($D1806,Merchantability!$B:$E,4,0)),AC1806,0)</f>
        <v>#N/A</v>
      </c>
      <c r="AI1806" s="104" t="e">
        <f t="shared" si="789"/>
        <v>#N/A</v>
      </c>
      <c r="AJ1806" s="104" t="e">
        <f t="shared" si="790"/>
        <v>#VALUE!</v>
      </c>
      <c r="AK1806" s="104" t="e">
        <f t="shared" si="791"/>
        <v>#N/A</v>
      </c>
      <c r="AL1806" s="104" t="e">
        <f t="shared" si="792"/>
        <v>#N/A</v>
      </c>
      <c r="AM1806" s="104" t="e">
        <f t="shared" si="793"/>
        <v>#N/A</v>
      </c>
      <c r="AN1806" s="104" t="e">
        <f t="shared" si="804"/>
        <v>#N/A</v>
      </c>
      <c r="AO1806" s="104" t="e">
        <f t="shared" si="805"/>
        <v>#N/A</v>
      </c>
      <c r="AP1806" s="104" t="e">
        <f t="shared" si="806"/>
        <v>#N/A</v>
      </c>
      <c r="AQ1806" s="104" t="e">
        <f t="shared" si="807"/>
        <v>#N/A</v>
      </c>
      <c r="AR1806" s="105" t="str">
        <f t="shared" si="799"/>
        <v/>
      </c>
      <c r="AS1806" s="105" t="str">
        <f t="shared" si="800"/>
        <v/>
      </c>
      <c r="AT1806" s="108" t="str">
        <f t="shared" si="801"/>
        <v/>
      </c>
      <c r="AU1806" s="108" t="str">
        <f t="shared" si="802"/>
        <v/>
      </c>
      <c r="AV1806" s="107" t="str">
        <f>IF(ISNUMBER(O1806),IF(VLOOKUP($A1806,Stand!C:J,8,FALSE)="Short",AT1806,AU1806),"")</f>
        <v/>
      </c>
      <c r="AW1806" s="109" t="str">
        <f t="shared" si="808"/>
        <v/>
      </c>
      <c r="AX1806" s="109" t="str">
        <f t="shared" si="809"/>
        <v/>
      </c>
      <c r="AY1806" s="112" t="str">
        <f>IF(ISNUMBER(O1806),IF(AND(VLOOKUP($D1806,Merchantability!$B:$C,2,0)="Yes",$E1806&gt;=VLOOKUP($D1806,Merchantability!$B:$D,3,0),$E1806&lt;=VLOOKUP($D1806,Merchantability!$B:$E,4,0)),(AV1806*O1806)*(1-$H1806/100),""),"")</f>
        <v/>
      </c>
      <c r="AZ1806" s="116"/>
      <c r="BA1806" s="116"/>
      <c r="BB1806" s="116"/>
      <c r="BE1806" s="62"/>
      <c r="BF1806" s="63"/>
    </row>
    <row r="1807" spans="1:58" ht="12.75" customHeight="1" x14ac:dyDescent="0.25">
      <c r="A1807" s="334"/>
      <c r="B1807" s="334"/>
      <c r="C1807" s="332"/>
      <c r="D1807" s="334"/>
      <c r="E1807" s="335"/>
      <c r="F1807" s="334"/>
      <c r="G1807" s="332"/>
      <c r="H1807" s="332"/>
      <c r="I1807" s="334"/>
      <c r="J1807" s="336"/>
      <c r="K1807" s="332"/>
      <c r="L1807" s="332"/>
      <c r="M1807" s="76"/>
      <c r="N1807" s="103" t="str">
        <f>IF(A1807="","",VLOOKUP(A1807,Stand!C:K,9,0))</f>
        <v/>
      </c>
      <c r="O1807" s="104" t="str">
        <f t="shared" si="794"/>
        <v/>
      </c>
      <c r="P1807" s="105" t="str">
        <f t="shared" si="795"/>
        <v/>
      </c>
      <c r="Q1807" s="105" t="str">
        <f t="shared" si="783"/>
        <v/>
      </c>
      <c r="R1807" s="103" t="str">
        <f t="shared" si="796"/>
        <v/>
      </c>
      <c r="S1807" s="103" t="str">
        <f t="shared" si="797"/>
        <v/>
      </c>
      <c r="T1807" s="106" t="str">
        <f t="shared" si="784"/>
        <v/>
      </c>
      <c r="U1807" s="106" t="str">
        <f t="shared" si="785"/>
        <v/>
      </c>
      <c r="V1807" s="106" t="str">
        <f t="shared" si="786"/>
        <v/>
      </c>
      <c r="W1807" s="105" t="str">
        <f t="shared" si="798"/>
        <v/>
      </c>
      <c r="X1807" s="104" t="str">
        <f t="shared" si="803"/>
        <v/>
      </c>
      <c r="Y1807" s="104" t="str">
        <f t="array" ref="Y1807">IFERROR(IF(ISNUMBER(O1807),IF(COUNT(IF(A1807=$A$2:$A$2427,IF(D1807=$D$2:$D$2427,IF($X$2:$X$2427&gt;0,1))))&gt;0,SUM(IF(A1807=$A$2:$A$2427,IF(D1807=$D$2:$D$2427,$X$2:$X$2427)))/COUNT(IF(A1807=$A$2:$A$2427,IF(D1807=$D$2:$D$2427,IF(ISNUMBER($X$2:$X$2427),1)))),0),""),0)</f>
        <v/>
      </c>
      <c r="Z1807" s="104" t="str">
        <f>IF(ISNUMBER(O1807),IF(I1807&gt;0,(10^(VLOOKUP(D1807,'Species Codes'!B:C,2,0)+VLOOKUP(D1807,'Species Codes'!B:D,3,0)*LOG(E1807)+VLOOKUP(D1807,'Species Codes'!B:E,4,0)*LOG(I1807))),0),"")</f>
        <v/>
      </c>
      <c r="AA1807" s="104" t="str">
        <f>IFERROR((VLOOKUP(D1807,'Species Codes'!B:G,6,0)*Z1807)/2000,"")</f>
        <v/>
      </c>
      <c r="AB1807" s="104" t="e">
        <f>IF(Z1807&gt;0,((IF(OR(D1807="DF",D1807="RA")=TRUE,EXP(VLOOKUP(D1807,'Species Codes'!B:I,8,0)+VLOOKUP(D1807,'Species Codes'!B:J,9,0)*(LN((E1807*2.54)))),IF(OR(D1807="PY",D1807="RC",D1807="WH",D1807="NF")=TRUE,VLOOKUP(D1807,'Species Codes'!B:I,8,0)+VLOOKUP(D1807,'Species Codes'!B:J,9,0)*((E1807*2.54)^2)*(I1807*0.3048),IF(OR(D1807="MD",D1807="BM",D1807="GA")=TRUE,((VLOOKUP(D1807,'Species Codes'!B:I,8,0)*(((((E1807*2.54)+VLOOKUP(D1807,'Species Codes'!B:J,9,0))/VLOOKUP(D1807,'Species Codes'!B:K,10,0))^VLOOKUP(D1807,'Species Codes'!B:L,11,0))*((I1807*0.3048)^VLOOKUP(D1807,'Species Codes'!B:M,12,0))))-(VLOOKUP(D1807,'Species Codes'!B:I,8,0)*((((E1807*2.54)^VLOOKUP(D1807,'Species Codes'!B:L,11,0))*((I1807*0.3048)^VLOOKUP(D1807,'Species Codes'!B:M,12,0))))))*35.3*VLOOKUP(D1807,'Species Codes'!B:G,6,0)/2.2046,VLOOKUP(D1807,'Species Codes'!B:I,8,0)+VLOOKUP(D1807,'Species Codes'!B:J,9,0)*(((E1807*2.54)/100)^2)*(I1807*0.3048)))))*0.0011023),0)</f>
        <v>#N/A</v>
      </c>
      <c r="AC1807" s="104" t="e">
        <f>IF(Z1807&gt;0,((IF(OR(D1807="RA",D1807="OA",D1807="OT",D1807="UN",D1807="PC"),EXP(VLOOKUP(D1807,'Species Codes'!B:O,14,0)+VLOOKUP(D1807,'Species Codes'!B:P,15,0)*LN((E1807*2.54)))-EXP(VLOOKUP(D1807,'Species Codes'!B:O,14,0)+VLOOKUP(D1807,'Species Codes'!B:P,15,0)*LN((E1807*2.54)))*(1/(VLOOKUP(D1807,'Species Codes'!B:Q,16,0)+VLOOKUP(D1807,'Species Codes'!B:R,17,0)*((E1807*2.54)^VLOOKUP(D1807,'Species Codes'!B:S,18,0)))),IF(OR(D1807="BM",D1807="MD",D1807="OA"),EXP(VLOOKUP(D1807,'Species Codes'!B:O,14,0)+VLOOKUP(D1807,'Species Codes'!B:P,15,0)*LN((E1807*2.54)))*(1-(1/(VLOOKUP(D1807,'Species Codes'!B:Q,16,0)+VLOOKUP(D1807,'Species Codes'!B:R,17,0)*((E1807*2.54)^VLOOKUP(D1807,'Species Codes'!B:S,18,0)))))/1000,IF(D1807="DF",EXP(VLOOKUP(D1807,'Species Codes'!B:O,14,0)+VLOOKUP(D1807,'Species Codes'!B:P,15,0)*LN((E1807*2.54))),VLOOKUP(D1807,'Species Codes'!B:O,14,0)+VLOOKUP(D1807,'Species Codes'!B:P,15,0)*(((E1807*2.54)/100)^2)*(I1807*0.3048)))))*0.0011023),0)</f>
        <v>#N/A</v>
      </c>
      <c r="AD1807" s="104" t="e">
        <f t="shared" si="787"/>
        <v>#N/A</v>
      </c>
      <c r="AE1807" s="104" t="e">
        <f t="shared" si="788"/>
        <v>#N/A</v>
      </c>
      <c r="AF1807" s="104" t="e">
        <f>IF(AND(VLOOKUP($D1807,Merchantability!$B:$C,2,0)="Yes",$E1807&gt;=VLOOKUP($D1807,Merchantability!$B:$D,3,0),$E1807&lt;=VLOOKUP($D1807,Merchantability!$B:$E,4,0)),AA1807,0)</f>
        <v>#N/A</v>
      </c>
      <c r="AG1807" s="104" t="e">
        <f>IF(AND(VLOOKUP($D1807,Merchantability!$B:$C,2,0)="Yes",$E1807&gt;=VLOOKUP($D1807,Merchantability!$B:$D,3,0),$E1807&lt;=VLOOKUP($D1807,Merchantability!$B:$E,4,0)),AB1807,0)</f>
        <v>#N/A</v>
      </c>
      <c r="AH1807" s="104" t="e">
        <f>IF(AND(VLOOKUP($D1807,Merchantability!$B:$C,2,0)="Yes",$E1807&gt;=VLOOKUP($D1807,Merchantability!$B:$D,3,0),$E1807&lt;=VLOOKUP($D1807,Merchantability!$B:$E,4,0)),AC1807,0)</f>
        <v>#N/A</v>
      </c>
      <c r="AI1807" s="104" t="e">
        <f t="shared" si="789"/>
        <v>#N/A</v>
      </c>
      <c r="AJ1807" s="104" t="e">
        <f t="shared" si="790"/>
        <v>#VALUE!</v>
      </c>
      <c r="AK1807" s="104" t="e">
        <f t="shared" si="791"/>
        <v>#N/A</v>
      </c>
      <c r="AL1807" s="104" t="e">
        <f t="shared" si="792"/>
        <v>#N/A</v>
      </c>
      <c r="AM1807" s="104" t="e">
        <f t="shared" si="793"/>
        <v>#N/A</v>
      </c>
      <c r="AN1807" s="104" t="e">
        <f t="shared" si="804"/>
        <v>#N/A</v>
      </c>
      <c r="AO1807" s="104" t="e">
        <f t="shared" si="805"/>
        <v>#N/A</v>
      </c>
      <c r="AP1807" s="104" t="e">
        <f t="shared" si="806"/>
        <v>#N/A</v>
      </c>
      <c r="AQ1807" s="104" t="e">
        <f t="shared" si="807"/>
        <v>#N/A</v>
      </c>
      <c r="AR1807" s="105" t="str">
        <f t="shared" si="799"/>
        <v/>
      </c>
      <c r="AS1807" s="105" t="str">
        <f t="shared" si="800"/>
        <v/>
      </c>
      <c r="AT1807" s="108" t="str">
        <f t="shared" si="801"/>
        <v/>
      </c>
      <c r="AU1807" s="108" t="str">
        <f t="shared" si="802"/>
        <v/>
      </c>
      <c r="AV1807" s="107" t="str">
        <f>IF(ISNUMBER(O1807),IF(VLOOKUP($A1807,Stand!C:J,8,FALSE)="Short",AT1807,AU1807),"")</f>
        <v/>
      </c>
      <c r="AW1807" s="109" t="str">
        <f t="shared" si="808"/>
        <v/>
      </c>
      <c r="AX1807" s="109" t="str">
        <f t="shared" si="809"/>
        <v/>
      </c>
      <c r="AY1807" s="112" t="str">
        <f>IF(ISNUMBER(O1807),IF(AND(VLOOKUP($D1807,Merchantability!$B:$C,2,0)="Yes",$E1807&gt;=VLOOKUP($D1807,Merchantability!$B:$D,3,0),$E1807&lt;=VLOOKUP($D1807,Merchantability!$B:$E,4,0)),(AV1807*O1807)*(1-$H1807/100),""),"")</f>
        <v/>
      </c>
      <c r="AZ1807" s="116"/>
      <c r="BA1807" s="116"/>
      <c r="BB1807" s="116"/>
      <c r="BE1807" s="62"/>
      <c r="BF1807" s="63"/>
    </row>
    <row r="1808" spans="1:58" ht="12.75" customHeight="1" x14ac:dyDescent="0.25">
      <c r="A1808" s="334"/>
      <c r="B1808" s="334"/>
      <c r="C1808" s="332"/>
      <c r="D1808" s="334"/>
      <c r="E1808" s="335"/>
      <c r="F1808" s="334"/>
      <c r="G1808" s="332"/>
      <c r="H1808" s="332"/>
      <c r="I1808" s="334"/>
      <c r="J1808" s="336"/>
      <c r="K1808" s="332"/>
      <c r="L1808" s="332"/>
      <c r="M1808" s="76"/>
      <c r="N1808" s="103" t="str">
        <f>IF(A1808="","",VLOOKUP(A1808,Stand!C:K,9,0))</f>
        <v/>
      </c>
      <c r="O1808" s="104" t="str">
        <f t="shared" si="794"/>
        <v/>
      </c>
      <c r="P1808" s="105" t="str">
        <f t="shared" si="795"/>
        <v/>
      </c>
      <c r="Q1808" s="105" t="str">
        <f t="shared" si="783"/>
        <v/>
      </c>
      <c r="R1808" s="103" t="str">
        <f t="shared" si="796"/>
        <v/>
      </c>
      <c r="S1808" s="103" t="str">
        <f t="shared" si="797"/>
        <v/>
      </c>
      <c r="T1808" s="106" t="str">
        <f t="shared" si="784"/>
        <v/>
      </c>
      <c r="U1808" s="106" t="str">
        <f t="shared" si="785"/>
        <v/>
      </c>
      <c r="V1808" s="106" t="str">
        <f t="shared" si="786"/>
        <v/>
      </c>
      <c r="W1808" s="105" t="str">
        <f t="shared" si="798"/>
        <v/>
      </c>
      <c r="X1808" s="104" t="str">
        <f t="shared" si="803"/>
        <v/>
      </c>
      <c r="Y1808" s="104" t="str">
        <f t="array" ref="Y1808">IFERROR(IF(ISNUMBER(O1808),IF(COUNT(IF(A1808=$A$2:$A$2427,IF(D1808=$D$2:$D$2427,IF($X$2:$X$2427&gt;0,1))))&gt;0,SUM(IF(A1808=$A$2:$A$2427,IF(D1808=$D$2:$D$2427,$X$2:$X$2427)))/COUNT(IF(A1808=$A$2:$A$2427,IF(D1808=$D$2:$D$2427,IF(ISNUMBER($X$2:$X$2427),1)))),0),""),0)</f>
        <v/>
      </c>
      <c r="Z1808" s="104" t="str">
        <f>IF(ISNUMBER(O1808),IF(I1808&gt;0,(10^(VLOOKUP(D1808,'Species Codes'!B:C,2,0)+VLOOKUP(D1808,'Species Codes'!B:D,3,0)*LOG(E1808)+VLOOKUP(D1808,'Species Codes'!B:E,4,0)*LOG(I1808))),0),"")</f>
        <v/>
      </c>
      <c r="AA1808" s="104" t="str">
        <f>IFERROR((VLOOKUP(D1808,'Species Codes'!B:G,6,0)*Z1808)/2000,"")</f>
        <v/>
      </c>
      <c r="AB1808" s="104" t="e">
        <f>IF(Z1808&gt;0,((IF(OR(D1808="DF",D1808="RA")=TRUE,EXP(VLOOKUP(D1808,'Species Codes'!B:I,8,0)+VLOOKUP(D1808,'Species Codes'!B:J,9,0)*(LN((E1808*2.54)))),IF(OR(D1808="PY",D1808="RC",D1808="WH",D1808="NF")=TRUE,VLOOKUP(D1808,'Species Codes'!B:I,8,0)+VLOOKUP(D1808,'Species Codes'!B:J,9,0)*((E1808*2.54)^2)*(I1808*0.3048),IF(OR(D1808="MD",D1808="BM",D1808="GA")=TRUE,((VLOOKUP(D1808,'Species Codes'!B:I,8,0)*(((((E1808*2.54)+VLOOKUP(D1808,'Species Codes'!B:J,9,0))/VLOOKUP(D1808,'Species Codes'!B:K,10,0))^VLOOKUP(D1808,'Species Codes'!B:L,11,0))*((I1808*0.3048)^VLOOKUP(D1808,'Species Codes'!B:M,12,0))))-(VLOOKUP(D1808,'Species Codes'!B:I,8,0)*((((E1808*2.54)^VLOOKUP(D1808,'Species Codes'!B:L,11,0))*((I1808*0.3048)^VLOOKUP(D1808,'Species Codes'!B:M,12,0))))))*35.3*VLOOKUP(D1808,'Species Codes'!B:G,6,0)/2.2046,VLOOKUP(D1808,'Species Codes'!B:I,8,0)+VLOOKUP(D1808,'Species Codes'!B:J,9,0)*(((E1808*2.54)/100)^2)*(I1808*0.3048)))))*0.0011023),0)</f>
        <v>#N/A</v>
      </c>
      <c r="AC1808" s="104" t="e">
        <f>IF(Z1808&gt;0,((IF(OR(D1808="RA",D1808="OA",D1808="OT",D1808="UN",D1808="PC"),EXP(VLOOKUP(D1808,'Species Codes'!B:O,14,0)+VLOOKUP(D1808,'Species Codes'!B:P,15,0)*LN((E1808*2.54)))-EXP(VLOOKUP(D1808,'Species Codes'!B:O,14,0)+VLOOKUP(D1808,'Species Codes'!B:P,15,0)*LN((E1808*2.54)))*(1/(VLOOKUP(D1808,'Species Codes'!B:Q,16,0)+VLOOKUP(D1808,'Species Codes'!B:R,17,0)*((E1808*2.54)^VLOOKUP(D1808,'Species Codes'!B:S,18,0)))),IF(OR(D1808="BM",D1808="MD",D1808="OA"),EXP(VLOOKUP(D1808,'Species Codes'!B:O,14,0)+VLOOKUP(D1808,'Species Codes'!B:P,15,0)*LN((E1808*2.54)))*(1-(1/(VLOOKUP(D1808,'Species Codes'!B:Q,16,0)+VLOOKUP(D1808,'Species Codes'!B:R,17,0)*((E1808*2.54)^VLOOKUP(D1808,'Species Codes'!B:S,18,0)))))/1000,IF(D1808="DF",EXP(VLOOKUP(D1808,'Species Codes'!B:O,14,0)+VLOOKUP(D1808,'Species Codes'!B:P,15,0)*LN((E1808*2.54))),VLOOKUP(D1808,'Species Codes'!B:O,14,0)+VLOOKUP(D1808,'Species Codes'!B:P,15,0)*(((E1808*2.54)/100)^2)*(I1808*0.3048)))))*0.0011023),0)</f>
        <v>#N/A</v>
      </c>
      <c r="AD1808" s="104" t="e">
        <f t="shared" si="787"/>
        <v>#N/A</v>
      </c>
      <c r="AE1808" s="104" t="e">
        <f t="shared" si="788"/>
        <v>#N/A</v>
      </c>
      <c r="AF1808" s="104" t="e">
        <f>IF(AND(VLOOKUP($D1808,Merchantability!$B:$C,2,0)="Yes",$E1808&gt;=VLOOKUP($D1808,Merchantability!$B:$D,3,0),$E1808&lt;=VLOOKUP($D1808,Merchantability!$B:$E,4,0)),AA1808,0)</f>
        <v>#N/A</v>
      </c>
      <c r="AG1808" s="104" t="e">
        <f>IF(AND(VLOOKUP($D1808,Merchantability!$B:$C,2,0)="Yes",$E1808&gt;=VLOOKUP($D1808,Merchantability!$B:$D,3,0),$E1808&lt;=VLOOKUP($D1808,Merchantability!$B:$E,4,0)),AB1808,0)</f>
        <v>#N/A</v>
      </c>
      <c r="AH1808" s="104" t="e">
        <f>IF(AND(VLOOKUP($D1808,Merchantability!$B:$C,2,0)="Yes",$E1808&gt;=VLOOKUP($D1808,Merchantability!$B:$D,3,0),$E1808&lt;=VLOOKUP($D1808,Merchantability!$B:$E,4,0)),AC1808,0)</f>
        <v>#N/A</v>
      </c>
      <c r="AI1808" s="104" t="e">
        <f t="shared" si="789"/>
        <v>#N/A</v>
      </c>
      <c r="AJ1808" s="104" t="e">
        <f t="shared" si="790"/>
        <v>#VALUE!</v>
      </c>
      <c r="AK1808" s="104" t="e">
        <f t="shared" si="791"/>
        <v>#N/A</v>
      </c>
      <c r="AL1808" s="104" t="e">
        <f t="shared" si="792"/>
        <v>#N/A</v>
      </c>
      <c r="AM1808" s="104" t="e">
        <f t="shared" si="793"/>
        <v>#N/A</v>
      </c>
      <c r="AN1808" s="104" t="e">
        <f t="shared" si="804"/>
        <v>#N/A</v>
      </c>
      <c r="AO1808" s="104" t="e">
        <f t="shared" si="805"/>
        <v>#N/A</v>
      </c>
      <c r="AP1808" s="104" t="e">
        <f t="shared" si="806"/>
        <v>#N/A</v>
      </c>
      <c r="AQ1808" s="104" t="e">
        <f t="shared" si="807"/>
        <v>#N/A</v>
      </c>
      <c r="AR1808" s="105" t="str">
        <f t="shared" si="799"/>
        <v/>
      </c>
      <c r="AS1808" s="105" t="str">
        <f t="shared" si="800"/>
        <v/>
      </c>
      <c r="AT1808" s="108" t="str">
        <f t="shared" si="801"/>
        <v/>
      </c>
      <c r="AU1808" s="108" t="str">
        <f t="shared" si="802"/>
        <v/>
      </c>
      <c r="AV1808" s="107" t="str">
        <f>IF(ISNUMBER(O1808),IF(VLOOKUP($A1808,Stand!C:J,8,FALSE)="Short",AT1808,AU1808),"")</f>
        <v/>
      </c>
      <c r="AW1808" s="109" t="str">
        <f t="shared" si="808"/>
        <v/>
      </c>
      <c r="AX1808" s="109" t="str">
        <f t="shared" si="809"/>
        <v/>
      </c>
      <c r="AY1808" s="112" t="str">
        <f>IF(ISNUMBER(O1808),IF(AND(VLOOKUP($D1808,Merchantability!$B:$C,2,0)="Yes",$E1808&gt;=VLOOKUP($D1808,Merchantability!$B:$D,3,0),$E1808&lt;=VLOOKUP($D1808,Merchantability!$B:$E,4,0)),(AV1808*O1808)*(1-$H1808/100),""),"")</f>
        <v/>
      </c>
      <c r="AZ1808" s="116"/>
      <c r="BA1808" s="116"/>
      <c r="BB1808" s="116"/>
      <c r="BE1808" s="62"/>
      <c r="BF1808" s="63"/>
    </row>
    <row r="1809" spans="1:58" ht="12.75" customHeight="1" x14ac:dyDescent="0.25">
      <c r="A1809" s="334"/>
      <c r="B1809" s="334"/>
      <c r="C1809" s="332"/>
      <c r="D1809" s="334"/>
      <c r="E1809" s="335"/>
      <c r="F1809" s="334"/>
      <c r="G1809" s="332"/>
      <c r="H1809" s="332"/>
      <c r="I1809" s="334"/>
      <c r="J1809" s="336"/>
      <c r="K1809" s="332"/>
      <c r="L1809" s="332"/>
      <c r="M1809" s="76"/>
      <c r="N1809" s="103" t="str">
        <f>IF(A1809="","",VLOOKUP(A1809,Stand!C:K,9,0))</f>
        <v/>
      </c>
      <c r="O1809" s="104" t="str">
        <f t="shared" si="794"/>
        <v/>
      </c>
      <c r="P1809" s="105" t="str">
        <f t="shared" si="795"/>
        <v/>
      </c>
      <c r="Q1809" s="105" t="str">
        <f t="shared" si="783"/>
        <v/>
      </c>
      <c r="R1809" s="103" t="str">
        <f t="shared" si="796"/>
        <v/>
      </c>
      <c r="S1809" s="103" t="str">
        <f t="shared" si="797"/>
        <v/>
      </c>
      <c r="T1809" s="106" t="str">
        <f t="shared" si="784"/>
        <v/>
      </c>
      <c r="U1809" s="106" t="str">
        <f t="shared" si="785"/>
        <v/>
      </c>
      <c r="V1809" s="106" t="str">
        <f t="shared" si="786"/>
        <v/>
      </c>
      <c r="W1809" s="105" t="str">
        <f t="shared" si="798"/>
        <v/>
      </c>
      <c r="X1809" s="104" t="str">
        <f t="shared" si="803"/>
        <v/>
      </c>
      <c r="Y1809" s="104" t="str">
        <f t="array" ref="Y1809">IFERROR(IF(ISNUMBER(O1809),IF(COUNT(IF(A1809=$A$2:$A$2427,IF(D1809=$D$2:$D$2427,IF($X$2:$X$2427&gt;0,1))))&gt;0,SUM(IF(A1809=$A$2:$A$2427,IF(D1809=$D$2:$D$2427,$X$2:$X$2427)))/COUNT(IF(A1809=$A$2:$A$2427,IF(D1809=$D$2:$D$2427,IF(ISNUMBER($X$2:$X$2427),1)))),0),""),0)</f>
        <v/>
      </c>
      <c r="Z1809" s="104" t="str">
        <f>IF(ISNUMBER(O1809),IF(I1809&gt;0,(10^(VLOOKUP(D1809,'Species Codes'!B:C,2,0)+VLOOKUP(D1809,'Species Codes'!B:D,3,0)*LOG(E1809)+VLOOKUP(D1809,'Species Codes'!B:E,4,0)*LOG(I1809))),0),"")</f>
        <v/>
      </c>
      <c r="AA1809" s="104" t="str">
        <f>IFERROR((VLOOKUP(D1809,'Species Codes'!B:G,6,0)*Z1809)/2000,"")</f>
        <v/>
      </c>
      <c r="AB1809" s="104" t="e">
        <f>IF(Z1809&gt;0,((IF(OR(D1809="DF",D1809="RA")=TRUE,EXP(VLOOKUP(D1809,'Species Codes'!B:I,8,0)+VLOOKUP(D1809,'Species Codes'!B:J,9,0)*(LN((E1809*2.54)))),IF(OR(D1809="PY",D1809="RC",D1809="WH",D1809="NF")=TRUE,VLOOKUP(D1809,'Species Codes'!B:I,8,0)+VLOOKUP(D1809,'Species Codes'!B:J,9,0)*((E1809*2.54)^2)*(I1809*0.3048),IF(OR(D1809="MD",D1809="BM",D1809="GA")=TRUE,((VLOOKUP(D1809,'Species Codes'!B:I,8,0)*(((((E1809*2.54)+VLOOKUP(D1809,'Species Codes'!B:J,9,0))/VLOOKUP(D1809,'Species Codes'!B:K,10,0))^VLOOKUP(D1809,'Species Codes'!B:L,11,0))*((I1809*0.3048)^VLOOKUP(D1809,'Species Codes'!B:M,12,0))))-(VLOOKUP(D1809,'Species Codes'!B:I,8,0)*((((E1809*2.54)^VLOOKUP(D1809,'Species Codes'!B:L,11,0))*((I1809*0.3048)^VLOOKUP(D1809,'Species Codes'!B:M,12,0))))))*35.3*VLOOKUP(D1809,'Species Codes'!B:G,6,0)/2.2046,VLOOKUP(D1809,'Species Codes'!B:I,8,0)+VLOOKUP(D1809,'Species Codes'!B:J,9,0)*(((E1809*2.54)/100)^2)*(I1809*0.3048)))))*0.0011023),0)</f>
        <v>#N/A</v>
      </c>
      <c r="AC1809" s="104" t="e">
        <f>IF(Z1809&gt;0,((IF(OR(D1809="RA",D1809="OA",D1809="OT",D1809="UN",D1809="PC"),EXP(VLOOKUP(D1809,'Species Codes'!B:O,14,0)+VLOOKUP(D1809,'Species Codes'!B:P,15,0)*LN((E1809*2.54)))-EXP(VLOOKUP(D1809,'Species Codes'!B:O,14,0)+VLOOKUP(D1809,'Species Codes'!B:P,15,0)*LN((E1809*2.54)))*(1/(VLOOKUP(D1809,'Species Codes'!B:Q,16,0)+VLOOKUP(D1809,'Species Codes'!B:R,17,0)*((E1809*2.54)^VLOOKUP(D1809,'Species Codes'!B:S,18,0)))),IF(OR(D1809="BM",D1809="MD",D1809="OA"),EXP(VLOOKUP(D1809,'Species Codes'!B:O,14,0)+VLOOKUP(D1809,'Species Codes'!B:P,15,0)*LN((E1809*2.54)))*(1-(1/(VLOOKUP(D1809,'Species Codes'!B:Q,16,0)+VLOOKUP(D1809,'Species Codes'!B:R,17,0)*((E1809*2.54)^VLOOKUP(D1809,'Species Codes'!B:S,18,0)))))/1000,IF(D1809="DF",EXP(VLOOKUP(D1809,'Species Codes'!B:O,14,0)+VLOOKUP(D1809,'Species Codes'!B:P,15,0)*LN((E1809*2.54))),VLOOKUP(D1809,'Species Codes'!B:O,14,0)+VLOOKUP(D1809,'Species Codes'!B:P,15,0)*(((E1809*2.54)/100)^2)*(I1809*0.3048)))))*0.0011023),0)</f>
        <v>#N/A</v>
      </c>
      <c r="AD1809" s="104" t="e">
        <f t="shared" si="787"/>
        <v>#N/A</v>
      </c>
      <c r="AE1809" s="104" t="e">
        <f t="shared" si="788"/>
        <v>#N/A</v>
      </c>
      <c r="AF1809" s="104" t="e">
        <f>IF(AND(VLOOKUP($D1809,Merchantability!$B:$C,2,0)="Yes",$E1809&gt;=VLOOKUP($D1809,Merchantability!$B:$D,3,0),$E1809&lt;=VLOOKUP($D1809,Merchantability!$B:$E,4,0)),AA1809,0)</f>
        <v>#N/A</v>
      </c>
      <c r="AG1809" s="104" t="e">
        <f>IF(AND(VLOOKUP($D1809,Merchantability!$B:$C,2,0)="Yes",$E1809&gt;=VLOOKUP($D1809,Merchantability!$B:$D,3,0),$E1809&lt;=VLOOKUP($D1809,Merchantability!$B:$E,4,0)),AB1809,0)</f>
        <v>#N/A</v>
      </c>
      <c r="AH1809" s="104" t="e">
        <f>IF(AND(VLOOKUP($D1809,Merchantability!$B:$C,2,0)="Yes",$E1809&gt;=VLOOKUP($D1809,Merchantability!$B:$D,3,0),$E1809&lt;=VLOOKUP($D1809,Merchantability!$B:$E,4,0)),AC1809,0)</f>
        <v>#N/A</v>
      </c>
      <c r="AI1809" s="104" t="e">
        <f t="shared" si="789"/>
        <v>#N/A</v>
      </c>
      <c r="AJ1809" s="104" t="e">
        <f t="shared" si="790"/>
        <v>#VALUE!</v>
      </c>
      <c r="AK1809" s="104" t="e">
        <f t="shared" si="791"/>
        <v>#N/A</v>
      </c>
      <c r="AL1809" s="104" t="e">
        <f t="shared" si="792"/>
        <v>#N/A</v>
      </c>
      <c r="AM1809" s="104" t="e">
        <f t="shared" si="793"/>
        <v>#N/A</v>
      </c>
      <c r="AN1809" s="104" t="e">
        <f t="shared" si="804"/>
        <v>#N/A</v>
      </c>
      <c r="AO1809" s="104" t="e">
        <f t="shared" si="805"/>
        <v>#N/A</v>
      </c>
      <c r="AP1809" s="104" t="e">
        <f t="shared" si="806"/>
        <v>#N/A</v>
      </c>
      <c r="AQ1809" s="104" t="e">
        <f t="shared" si="807"/>
        <v>#N/A</v>
      </c>
      <c r="AR1809" s="105" t="str">
        <f t="shared" si="799"/>
        <v/>
      </c>
      <c r="AS1809" s="105" t="str">
        <f t="shared" si="800"/>
        <v/>
      </c>
      <c r="AT1809" s="108" t="str">
        <f t="shared" si="801"/>
        <v/>
      </c>
      <c r="AU1809" s="108" t="str">
        <f t="shared" si="802"/>
        <v/>
      </c>
      <c r="AV1809" s="107" t="str">
        <f>IF(ISNUMBER(O1809),IF(VLOOKUP($A1809,Stand!C:J,8,FALSE)="Short",AT1809,AU1809),"")</f>
        <v/>
      </c>
      <c r="AW1809" s="109" t="str">
        <f t="shared" si="808"/>
        <v/>
      </c>
      <c r="AX1809" s="109" t="str">
        <f t="shared" si="809"/>
        <v/>
      </c>
      <c r="AY1809" s="112" t="str">
        <f>IF(ISNUMBER(O1809),IF(AND(VLOOKUP($D1809,Merchantability!$B:$C,2,0)="Yes",$E1809&gt;=VLOOKUP($D1809,Merchantability!$B:$D,3,0),$E1809&lt;=VLOOKUP($D1809,Merchantability!$B:$E,4,0)),(AV1809*O1809)*(1-$H1809/100),""),"")</f>
        <v/>
      </c>
      <c r="AZ1809" s="116"/>
      <c r="BA1809" s="116"/>
      <c r="BB1809" s="116"/>
      <c r="BE1809" s="62"/>
      <c r="BF1809" s="63"/>
    </row>
    <row r="1810" spans="1:58" ht="12.75" customHeight="1" x14ac:dyDescent="0.25">
      <c r="A1810" s="334"/>
      <c r="B1810" s="334"/>
      <c r="C1810" s="332"/>
      <c r="D1810" s="334"/>
      <c r="E1810" s="335"/>
      <c r="F1810" s="334"/>
      <c r="G1810" s="332"/>
      <c r="H1810" s="332"/>
      <c r="I1810" s="334"/>
      <c r="J1810" s="336"/>
      <c r="K1810" s="332"/>
      <c r="L1810" s="332"/>
      <c r="M1810" s="76"/>
      <c r="N1810" s="103" t="str">
        <f>IF(A1810="","",VLOOKUP(A1810,Stand!C:K,9,0))</f>
        <v/>
      </c>
      <c r="O1810" s="104" t="str">
        <f t="shared" si="794"/>
        <v/>
      </c>
      <c r="P1810" s="105" t="str">
        <f t="shared" si="795"/>
        <v/>
      </c>
      <c r="Q1810" s="105" t="str">
        <f t="shared" si="783"/>
        <v/>
      </c>
      <c r="R1810" s="103" t="str">
        <f t="shared" si="796"/>
        <v/>
      </c>
      <c r="S1810" s="103" t="str">
        <f t="shared" si="797"/>
        <v/>
      </c>
      <c r="T1810" s="106" t="str">
        <f t="shared" si="784"/>
        <v/>
      </c>
      <c r="U1810" s="106" t="str">
        <f t="shared" si="785"/>
        <v/>
      </c>
      <c r="V1810" s="106" t="str">
        <f t="shared" si="786"/>
        <v/>
      </c>
      <c r="W1810" s="105" t="str">
        <f t="shared" si="798"/>
        <v/>
      </c>
      <c r="X1810" s="104" t="str">
        <f t="shared" si="803"/>
        <v/>
      </c>
      <c r="Y1810" s="104" t="str">
        <f t="array" ref="Y1810">IFERROR(IF(ISNUMBER(O1810),IF(COUNT(IF(A1810=$A$2:$A$2427,IF(D1810=$D$2:$D$2427,IF($X$2:$X$2427&gt;0,1))))&gt;0,SUM(IF(A1810=$A$2:$A$2427,IF(D1810=$D$2:$D$2427,$X$2:$X$2427)))/COUNT(IF(A1810=$A$2:$A$2427,IF(D1810=$D$2:$D$2427,IF(ISNUMBER($X$2:$X$2427),1)))),0),""),0)</f>
        <v/>
      </c>
      <c r="Z1810" s="104" t="str">
        <f>IF(ISNUMBER(O1810),IF(I1810&gt;0,(10^(VLOOKUP(D1810,'Species Codes'!B:C,2,0)+VLOOKUP(D1810,'Species Codes'!B:D,3,0)*LOG(E1810)+VLOOKUP(D1810,'Species Codes'!B:E,4,0)*LOG(I1810))),0),"")</f>
        <v/>
      </c>
      <c r="AA1810" s="104" t="str">
        <f>IFERROR((VLOOKUP(D1810,'Species Codes'!B:G,6,0)*Z1810)/2000,"")</f>
        <v/>
      </c>
      <c r="AB1810" s="104" t="e">
        <f>IF(Z1810&gt;0,((IF(OR(D1810="DF",D1810="RA")=TRUE,EXP(VLOOKUP(D1810,'Species Codes'!B:I,8,0)+VLOOKUP(D1810,'Species Codes'!B:J,9,0)*(LN((E1810*2.54)))),IF(OR(D1810="PY",D1810="RC",D1810="WH",D1810="NF")=TRUE,VLOOKUP(D1810,'Species Codes'!B:I,8,0)+VLOOKUP(D1810,'Species Codes'!B:J,9,0)*((E1810*2.54)^2)*(I1810*0.3048),IF(OR(D1810="MD",D1810="BM",D1810="GA")=TRUE,((VLOOKUP(D1810,'Species Codes'!B:I,8,0)*(((((E1810*2.54)+VLOOKUP(D1810,'Species Codes'!B:J,9,0))/VLOOKUP(D1810,'Species Codes'!B:K,10,0))^VLOOKUP(D1810,'Species Codes'!B:L,11,0))*((I1810*0.3048)^VLOOKUP(D1810,'Species Codes'!B:M,12,0))))-(VLOOKUP(D1810,'Species Codes'!B:I,8,0)*((((E1810*2.54)^VLOOKUP(D1810,'Species Codes'!B:L,11,0))*((I1810*0.3048)^VLOOKUP(D1810,'Species Codes'!B:M,12,0))))))*35.3*VLOOKUP(D1810,'Species Codes'!B:G,6,0)/2.2046,VLOOKUP(D1810,'Species Codes'!B:I,8,0)+VLOOKUP(D1810,'Species Codes'!B:J,9,0)*(((E1810*2.54)/100)^2)*(I1810*0.3048)))))*0.0011023),0)</f>
        <v>#N/A</v>
      </c>
      <c r="AC1810" s="104" t="e">
        <f>IF(Z1810&gt;0,((IF(OR(D1810="RA",D1810="OA",D1810="OT",D1810="UN",D1810="PC"),EXP(VLOOKUP(D1810,'Species Codes'!B:O,14,0)+VLOOKUP(D1810,'Species Codes'!B:P,15,0)*LN((E1810*2.54)))-EXP(VLOOKUP(D1810,'Species Codes'!B:O,14,0)+VLOOKUP(D1810,'Species Codes'!B:P,15,0)*LN((E1810*2.54)))*(1/(VLOOKUP(D1810,'Species Codes'!B:Q,16,0)+VLOOKUP(D1810,'Species Codes'!B:R,17,0)*((E1810*2.54)^VLOOKUP(D1810,'Species Codes'!B:S,18,0)))),IF(OR(D1810="BM",D1810="MD",D1810="OA"),EXP(VLOOKUP(D1810,'Species Codes'!B:O,14,0)+VLOOKUP(D1810,'Species Codes'!B:P,15,0)*LN((E1810*2.54)))*(1-(1/(VLOOKUP(D1810,'Species Codes'!B:Q,16,0)+VLOOKUP(D1810,'Species Codes'!B:R,17,0)*((E1810*2.54)^VLOOKUP(D1810,'Species Codes'!B:S,18,0)))))/1000,IF(D1810="DF",EXP(VLOOKUP(D1810,'Species Codes'!B:O,14,0)+VLOOKUP(D1810,'Species Codes'!B:P,15,0)*LN((E1810*2.54))),VLOOKUP(D1810,'Species Codes'!B:O,14,0)+VLOOKUP(D1810,'Species Codes'!B:P,15,0)*(((E1810*2.54)/100)^2)*(I1810*0.3048)))))*0.0011023),0)</f>
        <v>#N/A</v>
      </c>
      <c r="AD1810" s="104" t="e">
        <f t="shared" si="787"/>
        <v>#N/A</v>
      </c>
      <c r="AE1810" s="104" t="e">
        <f t="shared" si="788"/>
        <v>#N/A</v>
      </c>
      <c r="AF1810" s="104" t="e">
        <f>IF(AND(VLOOKUP($D1810,Merchantability!$B:$C,2,0)="Yes",$E1810&gt;=VLOOKUP($D1810,Merchantability!$B:$D,3,0),$E1810&lt;=VLOOKUP($D1810,Merchantability!$B:$E,4,0)),AA1810,0)</f>
        <v>#N/A</v>
      </c>
      <c r="AG1810" s="104" t="e">
        <f>IF(AND(VLOOKUP($D1810,Merchantability!$B:$C,2,0)="Yes",$E1810&gt;=VLOOKUP($D1810,Merchantability!$B:$D,3,0),$E1810&lt;=VLOOKUP($D1810,Merchantability!$B:$E,4,0)),AB1810,0)</f>
        <v>#N/A</v>
      </c>
      <c r="AH1810" s="104" t="e">
        <f>IF(AND(VLOOKUP($D1810,Merchantability!$B:$C,2,0)="Yes",$E1810&gt;=VLOOKUP($D1810,Merchantability!$B:$D,3,0),$E1810&lt;=VLOOKUP($D1810,Merchantability!$B:$E,4,0)),AC1810,0)</f>
        <v>#N/A</v>
      </c>
      <c r="AI1810" s="104" t="e">
        <f t="shared" si="789"/>
        <v>#N/A</v>
      </c>
      <c r="AJ1810" s="104" t="e">
        <f t="shared" si="790"/>
        <v>#VALUE!</v>
      </c>
      <c r="AK1810" s="104" t="e">
        <f t="shared" si="791"/>
        <v>#N/A</v>
      </c>
      <c r="AL1810" s="104" t="e">
        <f t="shared" si="792"/>
        <v>#N/A</v>
      </c>
      <c r="AM1810" s="104" t="e">
        <f t="shared" si="793"/>
        <v>#N/A</v>
      </c>
      <c r="AN1810" s="104" t="e">
        <f t="shared" si="804"/>
        <v>#N/A</v>
      </c>
      <c r="AO1810" s="104" t="e">
        <f t="shared" si="805"/>
        <v>#N/A</v>
      </c>
      <c r="AP1810" s="104" t="e">
        <f t="shared" si="806"/>
        <v>#N/A</v>
      </c>
      <c r="AQ1810" s="104" t="e">
        <f t="shared" si="807"/>
        <v>#N/A</v>
      </c>
      <c r="AR1810" s="105" t="str">
        <f t="shared" si="799"/>
        <v/>
      </c>
      <c r="AS1810" s="105" t="str">
        <f t="shared" si="800"/>
        <v/>
      </c>
      <c r="AT1810" s="108" t="str">
        <f t="shared" si="801"/>
        <v/>
      </c>
      <c r="AU1810" s="108" t="str">
        <f t="shared" si="802"/>
        <v/>
      </c>
      <c r="AV1810" s="107" t="str">
        <f>IF(ISNUMBER(O1810),IF(VLOOKUP($A1810,Stand!C:J,8,FALSE)="Short",AT1810,AU1810),"")</f>
        <v/>
      </c>
      <c r="AW1810" s="109" t="str">
        <f t="shared" si="808"/>
        <v/>
      </c>
      <c r="AX1810" s="109" t="str">
        <f t="shared" si="809"/>
        <v/>
      </c>
      <c r="AY1810" s="112" t="str">
        <f>IF(ISNUMBER(O1810),IF(AND(VLOOKUP($D1810,Merchantability!$B:$C,2,0)="Yes",$E1810&gt;=VLOOKUP($D1810,Merchantability!$B:$D,3,0),$E1810&lt;=VLOOKUP($D1810,Merchantability!$B:$E,4,0)),(AV1810*O1810)*(1-$H1810/100),""),"")</f>
        <v/>
      </c>
      <c r="AZ1810" s="116"/>
      <c r="BA1810" s="116"/>
      <c r="BB1810" s="116"/>
      <c r="BE1810" s="62"/>
      <c r="BF1810" s="63"/>
    </row>
    <row r="1811" spans="1:58" ht="12.75" customHeight="1" x14ac:dyDescent="0.25">
      <c r="A1811" s="334"/>
      <c r="B1811" s="334"/>
      <c r="C1811" s="332"/>
      <c r="D1811" s="334"/>
      <c r="E1811" s="335"/>
      <c r="F1811" s="334"/>
      <c r="G1811" s="332"/>
      <c r="H1811" s="332"/>
      <c r="I1811" s="334"/>
      <c r="J1811" s="336"/>
      <c r="K1811" s="332"/>
      <c r="L1811" s="332"/>
      <c r="M1811" s="76"/>
      <c r="N1811" s="103" t="str">
        <f>IF(A1811="","",VLOOKUP(A1811,Stand!C:K,9,0))</f>
        <v/>
      </c>
      <c r="O1811" s="104" t="str">
        <f t="shared" si="794"/>
        <v/>
      </c>
      <c r="P1811" s="105" t="str">
        <f t="shared" si="795"/>
        <v/>
      </c>
      <c r="Q1811" s="105" t="str">
        <f t="shared" si="783"/>
        <v/>
      </c>
      <c r="R1811" s="103" t="str">
        <f t="shared" si="796"/>
        <v/>
      </c>
      <c r="S1811" s="103" t="str">
        <f t="shared" si="797"/>
        <v/>
      </c>
      <c r="T1811" s="106" t="str">
        <f t="shared" si="784"/>
        <v/>
      </c>
      <c r="U1811" s="106" t="str">
        <f t="shared" si="785"/>
        <v/>
      </c>
      <c r="V1811" s="106" t="str">
        <f t="shared" si="786"/>
        <v/>
      </c>
      <c r="W1811" s="105" t="str">
        <f t="shared" si="798"/>
        <v/>
      </c>
      <c r="X1811" s="104" t="str">
        <f t="shared" si="803"/>
        <v/>
      </c>
      <c r="Y1811" s="104" t="str">
        <f t="array" ref="Y1811">IFERROR(IF(ISNUMBER(O1811),IF(COUNT(IF(A1811=$A$2:$A$2427,IF(D1811=$D$2:$D$2427,IF($X$2:$X$2427&gt;0,1))))&gt;0,SUM(IF(A1811=$A$2:$A$2427,IF(D1811=$D$2:$D$2427,$X$2:$X$2427)))/COUNT(IF(A1811=$A$2:$A$2427,IF(D1811=$D$2:$D$2427,IF(ISNUMBER($X$2:$X$2427),1)))),0),""),0)</f>
        <v/>
      </c>
      <c r="Z1811" s="104" t="str">
        <f>IF(ISNUMBER(O1811),IF(I1811&gt;0,(10^(VLOOKUP(D1811,'Species Codes'!B:C,2,0)+VLOOKUP(D1811,'Species Codes'!B:D,3,0)*LOG(E1811)+VLOOKUP(D1811,'Species Codes'!B:E,4,0)*LOG(I1811))),0),"")</f>
        <v/>
      </c>
      <c r="AA1811" s="104" t="str">
        <f>IFERROR((VLOOKUP(D1811,'Species Codes'!B:G,6,0)*Z1811)/2000,"")</f>
        <v/>
      </c>
      <c r="AB1811" s="104" t="e">
        <f>IF(Z1811&gt;0,((IF(OR(D1811="DF",D1811="RA")=TRUE,EXP(VLOOKUP(D1811,'Species Codes'!B:I,8,0)+VLOOKUP(D1811,'Species Codes'!B:J,9,0)*(LN((E1811*2.54)))),IF(OR(D1811="PY",D1811="RC",D1811="WH",D1811="NF")=TRUE,VLOOKUP(D1811,'Species Codes'!B:I,8,0)+VLOOKUP(D1811,'Species Codes'!B:J,9,0)*((E1811*2.54)^2)*(I1811*0.3048),IF(OR(D1811="MD",D1811="BM",D1811="GA")=TRUE,((VLOOKUP(D1811,'Species Codes'!B:I,8,0)*(((((E1811*2.54)+VLOOKUP(D1811,'Species Codes'!B:J,9,0))/VLOOKUP(D1811,'Species Codes'!B:K,10,0))^VLOOKUP(D1811,'Species Codes'!B:L,11,0))*((I1811*0.3048)^VLOOKUP(D1811,'Species Codes'!B:M,12,0))))-(VLOOKUP(D1811,'Species Codes'!B:I,8,0)*((((E1811*2.54)^VLOOKUP(D1811,'Species Codes'!B:L,11,0))*((I1811*0.3048)^VLOOKUP(D1811,'Species Codes'!B:M,12,0))))))*35.3*VLOOKUP(D1811,'Species Codes'!B:G,6,0)/2.2046,VLOOKUP(D1811,'Species Codes'!B:I,8,0)+VLOOKUP(D1811,'Species Codes'!B:J,9,0)*(((E1811*2.54)/100)^2)*(I1811*0.3048)))))*0.0011023),0)</f>
        <v>#N/A</v>
      </c>
      <c r="AC1811" s="104" t="e">
        <f>IF(Z1811&gt;0,((IF(OR(D1811="RA",D1811="OA",D1811="OT",D1811="UN",D1811="PC"),EXP(VLOOKUP(D1811,'Species Codes'!B:O,14,0)+VLOOKUP(D1811,'Species Codes'!B:P,15,0)*LN((E1811*2.54)))-EXP(VLOOKUP(D1811,'Species Codes'!B:O,14,0)+VLOOKUP(D1811,'Species Codes'!B:P,15,0)*LN((E1811*2.54)))*(1/(VLOOKUP(D1811,'Species Codes'!B:Q,16,0)+VLOOKUP(D1811,'Species Codes'!B:R,17,0)*((E1811*2.54)^VLOOKUP(D1811,'Species Codes'!B:S,18,0)))),IF(OR(D1811="BM",D1811="MD",D1811="OA"),EXP(VLOOKUP(D1811,'Species Codes'!B:O,14,0)+VLOOKUP(D1811,'Species Codes'!B:P,15,0)*LN((E1811*2.54)))*(1-(1/(VLOOKUP(D1811,'Species Codes'!B:Q,16,0)+VLOOKUP(D1811,'Species Codes'!B:R,17,0)*((E1811*2.54)^VLOOKUP(D1811,'Species Codes'!B:S,18,0)))))/1000,IF(D1811="DF",EXP(VLOOKUP(D1811,'Species Codes'!B:O,14,0)+VLOOKUP(D1811,'Species Codes'!B:P,15,0)*LN((E1811*2.54))),VLOOKUP(D1811,'Species Codes'!B:O,14,0)+VLOOKUP(D1811,'Species Codes'!B:P,15,0)*(((E1811*2.54)/100)^2)*(I1811*0.3048)))))*0.0011023),0)</f>
        <v>#N/A</v>
      </c>
      <c r="AD1811" s="104" t="e">
        <f t="shared" si="787"/>
        <v>#N/A</v>
      </c>
      <c r="AE1811" s="104" t="e">
        <f t="shared" si="788"/>
        <v>#N/A</v>
      </c>
      <c r="AF1811" s="104" t="e">
        <f>IF(AND(VLOOKUP($D1811,Merchantability!$B:$C,2,0)="Yes",$E1811&gt;=VLOOKUP($D1811,Merchantability!$B:$D,3,0),$E1811&lt;=VLOOKUP($D1811,Merchantability!$B:$E,4,0)),AA1811,0)</f>
        <v>#N/A</v>
      </c>
      <c r="AG1811" s="104" t="e">
        <f>IF(AND(VLOOKUP($D1811,Merchantability!$B:$C,2,0)="Yes",$E1811&gt;=VLOOKUP($D1811,Merchantability!$B:$D,3,0),$E1811&lt;=VLOOKUP($D1811,Merchantability!$B:$E,4,0)),AB1811,0)</f>
        <v>#N/A</v>
      </c>
      <c r="AH1811" s="104" t="e">
        <f>IF(AND(VLOOKUP($D1811,Merchantability!$B:$C,2,0)="Yes",$E1811&gt;=VLOOKUP($D1811,Merchantability!$B:$D,3,0),$E1811&lt;=VLOOKUP($D1811,Merchantability!$B:$E,4,0)),AC1811,0)</f>
        <v>#N/A</v>
      </c>
      <c r="AI1811" s="104" t="e">
        <f t="shared" si="789"/>
        <v>#N/A</v>
      </c>
      <c r="AJ1811" s="104" t="e">
        <f t="shared" si="790"/>
        <v>#VALUE!</v>
      </c>
      <c r="AK1811" s="104" t="e">
        <f t="shared" si="791"/>
        <v>#N/A</v>
      </c>
      <c r="AL1811" s="104" t="e">
        <f t="shared" si="792"/>
        <v>#N/A</v>
      </c>
      <c r="AM1811" s="104" t="e">
        <f t="shared" si="793"/>
        <v>#N/A</v>
      </c>
      <c r="AN1811" s="104" t="e">
        <f t="shared" si="804"/>
        <v>#N/A</v>
      </c>
      <c r="AO1811" s="104" t="e">
        <f t="shared" si="805"/>
        <v>#N/A</v>
      </c>
      <c r="AP1811" s="104" t="e">
        <f t="shared" si="806"/>
        <v>#N/A</v>
      </c>
      <c r="AQ1811" s="104" t="e">
        <f t="shared" si="807"/>
        <v>#N/A</v>
      </c>
      <c r="AR1811" s="105" t="str">
        <f t="shared" si="799"/>
        <v/>
      </c>
      <c r="AS1811" s="105" t="str">
        <f t="shared" si="800"/>
        <v/>
      </c>
      <c r="AT1811" s="108" t="str">
        <f t="shared" si="801"/>
        <v/>
      </c>
      <c r="AU1811" s="108" t="str">
        <f t="shared" si="802"/>
        <v/>
      </c>
      <c r="AV1811" s="107" t="str">
        <f>IF(ISNUMBER(O1811),IF(VLOOKUP($A1811,Stand!C:J,8,FALSE)="Short",AT1811,AU1811),"")</f>
        <v/>
      </c>
      <c r="AW1811" s="109" t="str">
        <f t="shared" si="808"/>
        <v/>
      </c>
      <c r="AX1811" s="109" t="str">
        <f t="shared" si="809"/>
        <v/>
      </c>
      <c r="AY1811" s="112" t="str">
        <f>IF(ISNUMBER(O1811),IF(AND(VLOOKUP($D1811,Merchantability!$B:$C,2,0)="Yes",$E1811&gt;=VLOOKUP($D1811,Merchantability!$B:$D,3,0),$E1811&lt;=VLOOKUP($D1811,Merchantability!$B:$E,4,0)),(AV1811*O1811)*(1-$H1811/100),""),"")</f>
        <v/>
      </c>
      <c r="AZ1811" s="116"/>
      <c r="BA1811" s="116"/>
      <c r="BB1811" s="116"/>
      <c r="BE1811" s="62"/>
      <c r="BF1811" s="63"/>
    </row>
    <row r="1812" spans="1:58" ht="12.75" customHeight="1" x14ac:dyDescent="0.25">
      <c r="A1812" s="334"/>
      <c r="B1812" s="334"/>
      <c r="C1812" s="332"/>
      <c r="D1812" s="334"/>
      <c r="E1812" s="335"/>
      <c r="F1812" s="334"/>
      <c r="G1812" s="332"/>
      <c r="H1812" s="332"/>
      <c r="I1812" s="334"/>
      <c r="J1812" s="336"/>
      <c r="K1812" s="332"/>
      <c r="L1812" s="332"/>
      <c r="M1812" s="76"/>
      <c r="N1812" s="103" t="str">
        <f>IF(A1812="","",VLOOKUP(A1812,Stand!C:K,9,0))</f>
        <v/>
      </c>
      <c r="O1812" s="104" t="str">
        <f t="shared" si="794"/>
        <v/>
      </c>
      <c r="P1812" s="105" t="str">
        <f t="shared" si="795"/>
        <v/>
      </c>
      <c r="Q1812" s="105" t="str">
        <f t="shared" si="783"/>
        <v/>
      </c>
      <c r="R1812" s="103" t="str">
        <f t="shared" si="796"/>
        <v/>
      </c>
      <c r="S1812" s="103" t="str">
        <f t="shared" si="797"/>
        <v/>
      </c>
      <c r="T1812" s="106" t="str">
        <f t="shared" si="784"/>
        <v/>
      </c>
      <c r="U1812" s="106" t="str">
        <f t="shared" si="785"/>
        <v/>
      </c>
      <c r="V1812" s="106" t="str">
        <f t="shared" si="786"/>
        <v/>
      </c>
      <c r="W1812" s="105" t="str">
        <f t="shared" si="798"/>
        <v/>
      </c>
      <c r="X1812" s="104" t="str">
        <f t="shared" si="803"/>
        <v/>
      </c>
      <c r="Y1812" s="104" t="str">
        <f t="array" ref="Y1812">IFERROR(IF(ISNUMBER(O1812),IF(COUNT(IF(A1812=$A$2:$A$2427,IF(D1812=$D$2:$D$2427,IF($X$2:$X$2427&gt;0,1))))&gt;0,SUM(IF(A1812=$A$2:$A$2427,IF(D1812=$D$2:$D$2427,$X$2:$X$2427)))/COUNT(IF(A1812=$A$2:$A$2427,IF(D1812=$D$2:$D$2427,IF(ISNUMBER($X$2:$X$2427),1)))),0),""),0)</f>
        <v/>
      </c>
      <c r="Z1812" s="104" t="str">
        <f>IF(ISNUMBER(O1812),IF(I1812&gt;0,(10^(VLOOKUP(D1812,'Species Codes'!B:C,2,0)+VLOOKUP(D1812,'Species Codes'!B:D,3,0)*LOG(E1812)+VLOOKUP(D1812,'Species Codes'!B:E,4,0)*LOG(I1812))),0),"")</f>
        <v/>
      </c>
      <c r="AA1812" s="104" t="str">
        <f>IFERROR((VLOOKUP(D1812,'Species Codes'!B:G,6,0)*Z1812)/2000,"")</f>
        <v/>
      </c>
      <c r="AB1812" s="104" t="e">
        <f>IF(Z1812&gt;0,((IF(OR(D1812="DF",D1812="RA")=TRUE,EXP(VLOOKUP(D1812,'Species Codes'!B:I,8,0)+VLOOKUP(D1812,'Species Codes'!B:J,9,0)*(LN((E1812*2.54)))),IF(OR(D1812="PY",D1812="RC",D1812="WH",D1812="NF")=TRUE,VLOOKUP(D1812,'Species Codes'!B:I,8,0)+VLOOKUP(D1812,'Species Codes'!B:J,9,0)*((E1812*2.54)^2)*(I1812*0.3048),IF(OR(D1812="MD",D1812="BM",D1812="GA")=TRUE,((VLOOKUP(D1812,'Species Codes'!B:I,8,0)*(((((E1812*2.54)+VLOOKUP(D1812,'Species Codes'!B:J,9,0))/VLOOKUP(D1812,'Species Codes'!B:K,10,0))^VLOOKUP(D1812,'Species Codes'!B:L,11,0))*((I1812*0.3048)^VLOOKUP(D1812,'Species Codes'!B:M,12,0))))-(VLOOKUP(D1812,'Species Codes'!B:I,8,0)*((((E1812*2.54)^VLOOKUP(D1812,'Species Codes'!B:L,11,0))*((I1812*0.3048)^VLOOKUP(D1812,'Species Codes'!B:M,12,0))))))*35.3*VLOOKUP(D1812,'Species Codes'!B:G,6,0)/2.2046,VLOOKUP(D1812,'Species Codes'!B:I,8,0)+VLOOKUP(D1812,'Species Codes'!B:J,9,0)*(((E1812*2.54)/100)^2)*(I1812*0.3048)))))*0.0011023),0)</f>
        <v>#N/A</v>
      </c>
      <c r="AC1812" s="104" t="e">
        <f>IF(Z1812&gt;0,((IF(OR(D1812="RA",D1812="OA",D1812="OT",D1812="UN",D1812="PC"),EXP(VLOOKUP(D1812,'Species Codes'!B:O,14,0)+VLOOKUP(D1812,'Species Codes'!B:P,15,0)*LN((E1812*2.54)))-EXP(VLOOKUP(D1812,'Species Codes'!B:O,14,0)+VLOOKUP(D1812,'Species Codes'!B:P,15,0)*LN((E1812*2.54)))*(1/(VLOOKUP(D1812,'Species Codes'!B:Q,16,0)+VLOOKUP(D1812,'Species Codes'!B:R,17,0)*((E1812*2.54)^VLOOKUP(D1812,'Species Codes'!B:S,18,0)))),IF(OR(D1812="BM",D1812="MD",D1812="OA"),EXP(VLOOKUP(D1812,'Species Codes'!B:O,14,0)+VLOOKUP(D1812,'Species Codes'!B:P,15,0)*LN((E1812*2.54)))*(1-(1/(VLOOKUP(D1812,'Species Codes'!B:Q,16,0)+VLOOKUP(D1812,'Species Codes'!B:R,17,0)*((E1812*2.54)^VLOOKUP(D1812,'Species Codes'!B:S,18,0)))))/1000,IF(D1812="DF",EXP(VLOOKUP(D1812,'Species Codes'!B:O,14,0)+VLOOKUP(D1812,'Species Codes'!B:P,15,0)*LN((E1812*2.54))),VLOOKUP(D1812,'Species Codes'!B:O,14,0)+VLOOKUP(D1812,'Species Codes'!B:P,15,0)*(((E1812*2.54)/100)^2)*(I1812*0.3048)))))*0.0011023),0)</f>
        <v>#N/A</v>
      </c>
      <c r="AD1812" s="104" t="e">
        <f t="shared" si="787"/>
        <v>#N/A</v>
      </c>
      <c r="AE1812" s="104" t="e">
        <f t="shared" si="788"/>
        <v>#N/A</v>
      </c>
      <c r="AF1812" s="104" t="e">
        <f>IF(AND(VLOOKUP($D1812,Merchantability!$B:$C,2,0)="Yes",$E1812&gt;=VLOOKUP($D1812,Merchantability!$B:$D,3,0),$E1812&lt;=VLOOKUP($D1812,Merchantability!$B:$E,4,0)),AA1812,0)</f>
        <v>#N/A</v>
      </c>
      <c r="AG1812" s="104" t="e">
        <f>IF(AND(VLOOKUP($D1812,Merchantability!$B:$C,2,0)="Yes",$E1812&gt;=VLOOKUP($D1812,Merchantability!$B:$D,3,0),$E1812&lt;=VLOOKUP($D1812,Merchantability!$B:$E,4,0)),AB1812,0)</f>
        <v>#N/A</v>
      </c>
      <c r="AH1812" s="104" t="e">
        <f>IF(AND(VLOOKUP($D1812,Merchantability!$B:$C,2,0)="Yes",$E1812&gt;=VLOOKUP($D1812,Merchantability!$B:$D,3,0),$E1812&lt;=VLOOKUP($D1812,Merchantability!$B:$E,4,0)),AC1812,0)</f>
        <v>#N/A</v>
      </c>
      <c r="AI1812" s="104" t="e">
        <f t="shared" si="789"/>
        <v>#N/A</v>
      </c>
      <c r="AJ1812" s="104" t="e">
        <f t="shared" si="790"/>
        <v>#VALUE!</v>
      </c>
      <c r="AK1812" s="104" t="e">
        <f t="shared" si="791"/>
        <v>#N/A</v>
      </c>
      <c r="AL1812" s="104" t="e">
        <f t="shared" si="792"/>
        <v>#N/A</v>
      </c>
      <c r="AM1812" s="104" t="e">
        <f t="shared" si="793"/>
        <v>#N/A</v>
      </c>
      <c r="AN1812" s="104" t="e">
        <f t="shared" si="804"/>
        <v>#N/A</v>
      </c>
      <c r="AO1812" s="104" t="e">
        <f t="shared" si="805"/>
        <v>#N/A</v>
      </c>
      <c r="AP1812" s="104" t="e">
        <f t="shared" si="806"/>
        <v>#N/A</v>
      </c>
      <c r="AQ1812" s="104" t="e">
        <f t="shared" si="807"/>
        <v>#N/A</v>
      </c>
      <c r="AR1812" s="105" t="str">
        <f t="shared" si="799"/>
        <v/>
      </c>
      <c r="AS1812" s="105" t="str">
        <f t="shared" si="800"/>
        <v/>
      </c>
      <c r="AT1812" s="108" t="str">
        <f t="shared" si="801"/>
        <v/>
      </c>
      <c r="AU1812" s="108" t="str">
        <f t="shared" si="802"/>
        <v/>
      </c>
      <c r="AV1812" s="107" t="str">
        <f>IF(ISNUMBER(O1812),IF(VLOOKUP($A1812,Stand!C:J,8,FALSE)="Short",AT1812,AU1812),"")</f>
        <v/>
      </c>
      <c r="AW1812" s="109" t="str">
        <f t="shared" si="808"/>
        <v/>
      </c>
      <c r="AX1812" s="109" t="str">
        <f t="shared" si="809"/>
        <v/>
      </c>
      <c r="AY1812" s="112" t="str">
        <f>IF(ISNUMBER(O1812),IF(AND(VLOOKUP($D1812,Merchantability!$B:$C,2,0)="Yes",$E1812&gt;=VLOOKUP($D1812,Merchantability!$B:$D,3,0),$E1812&lt;=VLOOKUP($D1812,Merchantability!$B:$E,4,0)),(AV1812*O1812)*(1-$H1812/100),""),"")</f>
        <v/>
      </c>
      <c r="AZ1812" s="116"/>
      <c r="BA1812" s="116"/>
      <c r="BB1812" s="116"/>
      <c r="BE1812" s="62"/>
      <c r="BF1812" s="63"/>
    </row>
    <row r="1813" spans="1:58" ht="12.75" customHeight="1" x14ac:dyDescent="0.25">
      <c r="A1813" s="334"/>
      <c r="B1813" s="334"/>
      <c r="C1813" s="332"/>
      <c r="D1813" s="334"/>
      <c r="E1813" s="335"/>
      <c r="F1813" s="334"/>
      <c r="G1813" s="332"/>
      <c r="H1813" s="332"/>
      <c r="I1813" s="334"/>
      <c r="J1813" s="336"/>
      <c r="K1813" s="332"/>
      <c r="L1813" s="332"/>
      <c r="M1813" s="76"/>
      <c r="N1813" s="103" t="str">
        <f>IF(A1813="","",VLOOKUP(A1813,Stand!C:K,9,0))</f>
        <v/>
      </c>
      <c r="O1813" s="104" t="str">
        <f t="shared" si="794"/>
        <v/>
      </c>
      <c r="P1813" s="105" t="str">
        <f t="shared" si="795"/>
        <v/>
      </c>
      <c r="Q1813" s="105" t="str">
        <f t="shared" si="783"/>
        <v/>
      </c>
      <c r="R1813" s="103" t="str">
        <f t="shared" si="796"/>
        <v/>
      </c>
      <c r="S1813" s="103" t="str">
        <f t="shared" si="797"/>
        <v/>
      </c>
      <c r="T1813" s="106" t="str">
        <f t="shared" si="784"/>
        <v/>
      </c>
      <c r="U1813" s="106" t="str">
        <f t="shared" si="785"/>
        <v/>
      </c>
      <c r="V1813" s="106" t="str">
        <f t="shared" si="786"/>
        <v/>
      </c>
      <c r="W1813" s="105" t="str">
        <f t="shared" si="798"/>
        <v/>
      </c>
      <c r="X1813" s="104" t="str">
        <f t="shared" si="803"/>
        <v/>
      </c>
      <c r="Y1813" s="104" t="str">
        <f t="array" ref="Y1813">IFERROR(IF(ISNUMBER(O1813),IF(COUNT(IF(A1813=$A$2:$A$2427,IF(D1813=$D$2:$D$2427,IF($X$2:$X$2427&gt;0,1))))&gt;0,SUM(IF(A1813=$A$2:$A$2427,IF(D1813=$D$2:$D$2427,$X$2:$X$2427)))/COUNT(IF(A1813=$A$2:$A$2427,IF(D1813=$D$2:$D$2427,IF(ISNUMBER($X$2:$X$2427),1)))),0),""),0)</f>
        <v/>
      </c>
      <c r="Z1813" s="104" t="str">
        <f>IF(ISNUMBER(O1813),IF(I1813&gt;0,(10^(VLOOKUP(D1813,'Species Codes'!B:C,2,0)+VLOOKUP(D1813,'Species Codes'!B:D,3,0)*LOG(E1813)+VLOOKUP(D1813,'Species Codes'!B:E,4,0)*LOG(I1813))),0),"")</f>
        <v/>
      </c>
      <c r="AA1813" s="104" t="str">
        <f>IFERROR((VLOOKUP(D1813,'Species Codes'!B:G,6,0)*Z1813)/2000,"")</f>
        <v/>
      </c>
      <c r="AB1813" s="104" t="e">
        <f>IF(Z1813&gt;0,((IF(OR(D1813="DF",D1813="RA")=TRUE,EXP(VLOOKUP(D1813,'Species Codes'!B:I,8,0)+VLOOKUP(D1813,'Species Codes'!B:J,9,0)*(LN((E1813*2.54)))),IF(OR(D1813="PY",D1813="RC",D1813="WH",D1813="NF")=TRUE,VLOOKUP(D1813,'Species Codes'!B:I,8,0)+VLOOKUP(D1813,'Species Codes'!B:J,9,0)*((E1813*2.54)^2)*(I1813*0.3048),IF(OR(D1813="MD",D1813="BM",D1813="GA")=TRUE,((VLOOKUP(D1813,'Species Codes'!B:I,8,0)*(((((E1813*2.54)+VLOOKUP(D1813,'Species Codes'!B:J,9,0))/VLOOKUP(D1813,'Species Codes'!B:K,10,0))^VLOOKUP(D1813,'Species Codes'!B:L,11,0))*((I1813*0.3048)^VLOOKUP(D1813,'Species Codes'!B:M,12,0))))-(VLOOKUP(D1813,'Species Codes'!B:I,8,0)*((((E1813*2.54)^VLOOKUP(D1813,'Species Codes'!B:L,11,0))*((I1813*0.3048)^VLOOKUP(D1813,'Species Codes'!B:M,12,0))))))*35.3*VLOOKUP(D1813,'Species Codes'!B:G,6,0)/2.2046,VLOOKUP(D1813,'Species Codes'!B:I,8,0)+VLOOKUP(D1813,'Species Codes'!B:J,9,0)*(((E1813*2.54)/100)^2)*(I1813*0.3048)))))*0.0011023),0)</f>
        <v>#N/A</v>
      </c>
      <c r="AC1813" s="104" t="e">
        <f>IF(Z1813&gt;0,((IF(OR(D1813="RA",D1813="OA",D1813="OT",D1813="UN",D1813="PC"),EXP(VLOOKUP(D1813,'Species Codes'!B:O,14,0)+VLOOKUP(D1813,'Species Codes'!B:P,15,0)*LN((E1813*2.54)))-EXP(VLOOKUP(D1813,'Species Codes'!B:O,14,0)+VLOOKUP(D1813,'Species Codes'!B:P,15,0)*LN((E1813*2.54)))*(1/(VLOOKUP(D1813,'Species Codes'!B:Q,16,0)+VLOOKUP(D1813,'Species Codes'!B:R,17,0)*((E1813*2.54)^VLOOKUP(D1813,'Species Codes'!B:S,18,0)))),IF(OR(D1813="BM",D1813="MD",D1813="OA"),EXP(VLOOKUP(D1813,'Species Codes'!B:O,14,0)+VLOOKUP(D1813,'Species Codes'!B:P,15,0)*LN((E1813*2.54)))*(1-(1/(VLOOKUP(D1813,'Species Codes'!B:Q,16,0)+VLOOKUP(D1813,'Species Codes'!B:R,17,0)*((E1813*2.54)^VLOOKUP(D1813,'Species Codes'!B:S,18,0)))))/1000,IF(D1813="DF",EXP(VLOOKUP(D1813,'Species Codes'!B:O,14,0)+VLOOKUP(D1813,'Species Codes'!B:P,15,0)*LN((E1813*2.54))),VLOOKUP(D1813,'Species Codes'!B:O,14,0)+VLOOKUP(D1813,'Species Codes'!B:P,15,0)*(((E1813*2.54)/100)^2)*(I1813*0.3048)))))*0.0011023),0)</f>
        <v>#N/A</v>
      </c>
      <c r="AD1813" s="104" t="e">
        <f t="shared" si="787"/>
        <v>#N/A</v>
      </c>
      <c r="AE1813" s="104" t="e">
        <f t="shared" si="788"/>
        <v>#N/A</v>
      </c>
      <c r="AF1813" s="104" t="e">
        <f>IF(AND(VLOOKUP($D1813,Merchantability!$B:$C,2,0)="Yes",$E1813&gt;=VLOOKUP($D1813,Merchantability!$B:$D,3,0),$E1813&lt;=VLOOKUP($D1813,Merchantability!$B:$E,4,0)),AA1813,0)</f>
        <v>#N/A</v>
      </c>
      <c r="AG1813" s="104" t="e">
        <f>IF(AND(VLOOKUP($D1813,Merchantability!$B:$C,2,0)="Yes",$E1813&gt;=VLOOKUP($D1813,Merchantability!$B:$D,3,0),$E1813&lt;=VLOOKUP($D1813,Merchantability!$B:$E,4,0)),AB1813,0)</f>
        <v>#N/A</v>
      </c>
      <c r="AH1813" s="104" t="e">
        <f>IF(AND(VLOOKUP($D1813,Merchantability!$B:$C,2,0)="Yes",$E1813&gt;=VLOOKUP($D1813,Merchantability!$B:$D,3,0),$E1813&lt;=VLOOKUP($D1813,Merchantability!$B:$E,4,0)),AC1813,0)</f>
        <v>#N/A</v>
      </c>
      <c r="AI1813" s="104" t="e">
        <f t="shared" si="789"/>
        <v>#N/A</v>
      </c>
      <c r="AJ1813" s="104" t="e">
        <f t="shared" si="790"/>
        <v>#VALUE!</v>
      </c>
      <c r="AK1813" s="104" t="e">
        <f t="shared" si="791"/>
        <v>#N/A</v>
      </c>
      <c r="AL1813" s="104" t="e">
        <f t="shared" si="792"/>
        <v>#N/A</v>
      </c>
      <c r="AM1813" s="104" t="e">
        <f t="shared" si="793"/>
        <v>#N/A</v>
      </c>
      <c r="AN1813" s="104" t="e">
        <f t="shared" si="804"/>
        <v>#N/A</v>
      </c>
      <c r="AO1813" s="104" t="e">
        <f t="shared" si="805"/>
        <v>#N/A</v>
      </c>
      <c r="AP1813" s="104" t="e">
        <f t="shared" si="806"/>
        <v>#N/A</v>
      </c>
      <c r="AQ1813" s="104" t="e">
        <f t="shared" si="807"/>
        <v>#N/A</v>
      </c>
      <c r="AR1813" s="105" t="str">
        <f t="shared" si="799"/>
        <v/>
      </c>
      <c r="AS1813" s="105" t="str">
        <f t="shared" si="800"/>
        <v/>
      </c>
      <c r="AT1813" s="108" t="str">
        <f t="shared" si="801"/>
        <v/>
      </c>
      <c r="AU1813" s="108" t="str">
        <f t="shared" si="802"/>
        <v/>
      </c>
      <c r="AV1813" s="107" t="str">
        <f>IF(ISNUMBER(O1813),IF(VLOOKUP($A1813,Stand!C:J,8,FALSE)="Short",AT1813,AU1813),"")</f>
        <v/>
      </c>
      <c r="AW1813" s="109" t="str">
        <f t="shared" si="808"/>
        <v/>
      </c>
      <c r="AX1813" s="109" t="str">
        <f t="shared" si="809"/>
        <v/>
      </c>
      <c r="AY1813" s="112" t="str">
        <f>IF(ISNUMBER(O1813),IF(AND(VLOOKUP($D1813,Merchantability!$B:$C,2,0)="Yes",$E1813&gt;=VLOOKUP($D1813,Merchantability!$B:$D,3,0),$E1813&lt;=VLOOKUP($D1813,Merchantability!$B:$E,4,0)),(AV1813*O1813)*(1-$H1813/100),""),"")</f>
        <v/>
      </c>
      <c r="AZ1813" s="116"/>
      <c r="BA1813" s="116"/>
      <c r="BB1813" s="116"/>
      <c r="BE1813" s="62"/>
      <c r="BF1813" s="63"/>
    </row>
    <row r="1814" spans="1:58" ht="12.75" customHeight="1" x14ac:dyDescent="0.25">
      <c r="A1814" s="334"/>
      <c r="B1814" s="334"/>
      <c r="C1814" s="332"/>
      <c r="D1814" s="334"/>
      <c r="E1814" s="335"/>
      <c r="F1814" s="334"/>
      <c r="G1814" s="332"/>
      <c r="H1814" s="332"/>
      <c r="I1814" s="334"/>
      <c r="J1814" s="336"/>
      <c r="K1814" s="332"/>
      <c r="L1814" s="332"/>
      <c r="M1814" s="76"/>
      <c r="N1814" s="103" t="str">
        <f>IF(A1814="","",VLOOKUP(A1814,Stand!C:K,9,0))</f>
        <v/>
      </c>
      <c r="O1814" s="104" t="str">
        <f t="shared" si="794"/>
        <v/>
      </c>
      <c r="P1814" s="105" t="str">
        <f t="shared" si="795"/>
        <v/>
      </c>
      <c r="Q1814" s="105" t="str">
        <f t="shared" si="783"/>
        <v/>
      </c>
      <c r="R1814" s="103" t="str">
        <f t="shared" si="796"/>
        <v/>
      </c>
      <c r="S1814" s="103" t="str">
        <f t="shared" si="797"/>
        <v/>
      </c>
      <c r="T1814" s="106" t="str">
        <f t="shared" si="784"/>
        <v/>
      </c>
      <c r="U1814" s="106" t="str">
        <f t="shared" si="785"/>
        <v/>
      </c>
      <c r="V1814" s="106" t="str">
        <f t="shared" si="786"/>
        <v/>
      </c>
      <c r="W1814" s="105" t="str">
        <f t="shared" si="798"/>
        <v/>
      </c>
      <c r="X1814" s="104" t="str">
        <f t="shared" si="803"/>
        <v/>
      </c>
      <c r="Y1814" s="104" t="str">
        <f t="array" ref="Y1814">IFERROR(IF(ISNUMBER(O1814),IF(COUNT(IF(A1814=$A$2:$A$2427,IF(D1814=$D$2:$D$2427,IF($X$2:$X$2427&gt;0,1))))&gt;0,SUM(IF(A1814=$A$2:$A$2427,IF(D1814=$D$2:$D$2427,$X$2:$X$2427)))/COUNT(IF(A1814=$A$2:$A$2427,IF(D1814=$D$2:$D$2427,IF(ISNUMBER($X$2:$X$2427),1)))),0),""),0)</f>
        <v/>
      </c>
      <c r="Z1814" s="104" t="str">
        <f>IF(ISNUMBER(O1814),IF(I1814&gt;0,(10^(VLOOKUP(D1814,'Species Codes'!B:C,2,0)+VLOOKUP(D1814,'Species Codes'!B:D,3,0)*LOG(E1814)+VLOOKUP(D1814,'Species Codes'!B:E,4,0)*LOG(I1814))),0),"")</f>
        <v/>
      </c>
      <c r="AA1814" s="104" t="str">
        <f>IFERROR((VLOOKUP(D1814,'Species Codes'!B:G,6,0)*Z1814)/2000,"")</f>
        <v/>
      </c>
      <c r="AB1814" s="104" t="e">
        <f>IF(Z1814&gt;0,((IF(OR(D1814="DF",D1814="RA")=TRUE,EXP(VLOOKUP(D1814,'Species Codes'!B:I,8,0)+VLOOKUP(D1814,'Species Codes'!B:J,9,0)*(LN((E1814*2.54)))),IF(OR(D1814="PY",D1814="RC",D1814="WH",D1814="NF")=TRUE,VLOOKUP(D1814,'Species Codes'!B:I,8,0)+VLOOKUP(D1814,'Species Codes'!B:J,9,0)*((E1814*2.54)^2)*(I1814*0.3048),IF(OR(D1814="MD",D1814="BM",D1814="GA")=TRUE,((VLOOKUP(D1814,'Species Codes'!B:I,8,0)*(((((E1814*2.54)+VLOOKUP(D1814,'Species Codes'!B:J,9,0))/VLOOKUP(D1814,'Species Codes'!B:K,10,0))^VLOOKUP(D1814,'Species Codes'!B:L,11,0))*((I1814*0.3048)^VLOOKUP(D1814,'Species Codes'!B:M,12,0))))-(VLOOKUP(D1814,'Species Codes'!B:I,8,0)*((((E1814*2.54)^VLOOKUP(D1814,'Species Codes'!B:L,11,0))*((I1814*0.3048)^VLOOKUP(D1814,'Species Codes'!B:M,12,0))))))*35.3*VLOOKUP(D1814,'Species Codes'!B:G,6,0)/2.2046,VLOOKUP(D1814,'Species Codes'!B:I,8,0)+VLOOKUP(D1814,'Species Codes'!B:J,9,0)*(((E1814*2.54)/100)^2)*(I1814*0.3048)))))*0.0011023),0)</f>
        <v>#N/A</v>
      </c>
      <c r="AC1814" s="104" t="e">
        <f>IF(Z1814&gt;0,((IF(OR(D1814="RA",D1814="OA",D1814="OT",D1814="UN",D1814="PC"),EXP(VLOOKUP(D1814,'Species Codes'!B:O,14,0)+VLOOKUP(D1814,'Species Codes'!B:P,15,0)*LN((E1814*2.54)))-EXP(VLOOKUP(D1814,'Species Codes'!B:O,14,0)+VLOOKUP(D1814,'Species Codes'!B:P,15,0)*LN((E1814*2.54)))*(1/(VLOOKUP(D1814,'Species Codes'!B:Q,16,0)+VLOOKUP(D1814,'Species Codes'!B:R,17,0)*((E1814*2.54)^VLOOKUP(D1814,'Species Codes'!B:S,18,0)))),IF(OR(D1814="BM",D1814="MD",D1814="OA"),EXP(VLOOKUP(D1814,'Species Codes'!B:O,14,0)+VLOOKUP(D1814,'Species Codes'!B:P,15,0)*LN((E1814*2.54)))*(1-(1/(VLOOKUP(D1814,'Species Codes'!B:Q,16,0)+VLOOKUP(D1814,'Species Codes'!B:R,17,0)*((E1814*2.54)^VLOOKUP(D1814,'Species Codes'!B:S,18,0)))))/1000,IF(D1814="DF",EXP(VLOOKUP(D1814,'Species Codes'!B:O,14,0)+VLOOKUP(D1814,'Species Codes'!B:P,15,0)*LN((E1814*2.54))),VLOOKUP(D1814,'Species Codes'!B:O,14,0)+VLOOKUP(D1814,'Species Codes'!B:P,15,0)*(((E1814*2.54)/100)^2)*(I1814*0.3048)))))*0.0011023),0)</f>
        <v>#N/A</v>
      </c>
      <c r="AD1814" s="104" t="e">
        <f t="shared" si="787"/>
        <v>#N/A</v>
      </c>
      <c r="AE1814" s="104" t="e">
        <f t="shared" si="788"/>
        <v>#N/A</v>
      </c>
      <c r="AF1814" s="104" t="e">
        <f>IF(AND(VLOOKUP($D1814,Merchantability!$B:$C,2,0)="Yes",$E1814&gt;=VLOOKUP($D1814,Merchantability!$B:$D,3,0),$E1814&lt;=VLOOKUP($D1814,Merchantability!$B:$E,4,0)),AA1814,0)</f>
        <v>#N/A</v>
      </c>
      <c r="AG1814" s="104" t="e">
        <f>IF(AND(VLOOKUP($D1814,Merchantability!$B:$C,2,0)="Yes",$E1814&gt;=VLOOKUP($D1814,Merchantability!$B:$D,3,0),$E1814&lt;=VLOOKUP($D1814,Merchantability!$B:$E,4,0)),AB1814,0)</f>
        <v>#N/A</v>
      </c>
      <c r="AH1814" s="104" t="e">
        <f>IF(AND(VLOOKUP($D1814,Merchantability!$B:$C,2,0)="Yes",$E1814&gt;=VLOOKUP($D1814,Merchantability!$B:$D,3,0),$E1814&lt;=VLOOKUP($D1814,Merchantability!$B:$E,4,0)),AC1814,0)</f>
        <v>#N/A</v>
      </c>
      <c r="AI1814" s="104" t="e">
        <f t="shared" si="789"/>
        <v>#N/A</v>
      </c>
      <c r="AJ1814" s="104" t="e">
        <f t="shared" si="790"/>
        <v>#VALUE!</v>
      </c>
      <c r="AK1814" s="104" t="e">
        <f t="shared" si="791"/>
        <v>#N/A</v>
      </c>
      <c r="AL1814" s="104" t="e">
        <f t="shared" si="792"/>
        <v>#N/A</v>
      </c>
      <c r="AM1814" s="104" t="e">
        <f t="shared" si="793"/>
        <v>#N/A</v>
      </c>
      <c r="AN1814" s="104" t="e">
        <f t="shared" si="804"/>
        <v>#N/A</v>
      </c>
      <c r="AO1814" s="104" t="e">
        <f t="shared" si="805"/>
        <v>#N/A</v>
      </c>
      <c r="AP1814" s="104" t="e">
        <f t="shared" si="806"/>
        <v>#N/A</v>
      </c>
      <c r="AQ1814" s="104" t="e">
        <f t="shared" si="807"/>
        <v>#N/A</v>
      </c>
      <c r="AR1814" s="105" t="str">
        <f t="shared" si="799"/>
        <v/>
      </c>
      <c r="AS1814" s="105" t="str">
        <f t="shared" si="800"/>
        <v/>
      </c>
      <c r="AT1814" s="108" t="str">
        <f t="shared" si="801"/>
        <v/>
      </c>
      <c r="AU1814" s="108" t="str">
        <f t="shared" si="802"/>
        <v/>
      </c>
      <c r="AV1814" s="107" t="str">
        <f>IF(ISNUMBER(O1814),IF(VLOOKUP($A1814,Stand!C:J,8,FALSE)="Short",AT1814,AU1814),"")</f>
        <v/>
      </c>
      <c r="AW1814" s="109" t="str">
        <f t="shared" si="808"/>
        <v/>
      </c>
      <c r="AX1814" s="109" t="str">
        <f t="shared" si="809"/>
        <v/>
      </c>
      <c r="AY1814" s="112" t="str">
        <f>IF(ISNUMBER(O1814),IF(AND(VLOOKUP($D1814,Merchantability!$B:$C,2,0)="Yes",$E1814&gt;=VLOOKUP($D1814,Merchantability!$B:$D,3,0),$E1814&lt;=VLOOKUP($D1814,Merchantability!$B:$E,4,0)),(AV1814*O1814)*(1-$H1814/100),""),"")</f>
        <v/>
      </c>
      <c r="AZ1814" s="116"/>
      <c r="BA1814" s="116"/>
      <c r="BB1814" s="116"/>
      <c r="BE1814" s="62"/>
      <c r="BF1814" s="63"/>
    </row>
    <row r="1815" spans="1:58" ht="12.75" customHeight="1" x14ac:dyDescent="0.25">
      <c r="A1815" s="334"/>
      <c r="B1815" s="334"/>
      <c r="C1815" s="332"/>
      <c r="D1815" s="334"/>
      <c r="E1815" s="335"/>
      <c r="F1815" s="334"/>
      <c r="G1815" s="332"/>
      <c r="H1815" s="332"/>
      <c r="I1815" s="334"/>
      <c r="J1815" s="336"/>
      <c r="K1815" s="332"/>
      <c r="L1815" s="332"/>
      <c r="M1815" s="76"/>
      <c r="N1815" s="103" t="str">
        <f>IF(A1815="","",VLOOKUP(A1815,Stand!C:K,9,0))</f>
        <v/>
      </c>
      <c r="O1815" s="104" t="str">
        <f t="shared" si="794"/>
        <v/>
      </c>
      <c r="P1815" s="105" t="str">
        <f t="shared" si="795"/>
        <v/>
      </c>
      <c r="Q1815" s="105" t="str">
        <f t="shared" si="783"/>
        <v/>
      </c>
      <c r="R1815" s="103" t="str">
        <f t="shared" si="796"/>
        <v/>
      </c>
      <c r="S1815" s="103" t="str">
        <f t="shared" si="797"/>
        <v/>
      </c>
      <c r="T1815" s="106" t="str">
        <f t="shared" si="784"/>
        <v/>
      </c>
      <c r="U1815" s="106" t="str">
        <f t="shared" si="785"/>
        <v/>
      </c>
      <c r="V1815" s="106" t="str">
        <f t="shared" si="786"/>
        <v/>
      </c>
      <c r="W1815" s="105" t="str">
        <f t="shared" si="798"/>
        <v/>
      </c>
      <c r="X1815" s="104" t="str">
        <f t="shared" si="803"/>
        <v/>
      </c>
      <c r="Y1815" s="104" t="str">
        <f t="array" ref="Y1815">IFERROR(IF(ISNUMBER(O1815),IF(COUNT(IF(A1815=$A$2:$A$2427,IF(D1815=$D$2:$D$2427,IF($X$2:$X$2427&gt;0,1))))&gt;0,SUM(IF(A1815=$A$2:$A$2427,IF(D1815=$D$2:$D$2427,$X$2:$X$2427)))/COUNT(IF(A1815=$A$2:$A$2427,IF(D1815=$D$2:$D$2427,IF(ISNUMBER($X$2:$X$2427),1)))),0),""),0)</f>
        <v/>
      </c>
      <c r="Z1815" s="104" t="str">
        <f>IF(ISNUMBER(O1815),IF(I1815&gt;0,(10^(VLOOKUP(D1815,'Species Codes'!B:C,2,0)+VLOOKUP(D1815,'Species Codes'!B:D,3,0)*LOG(E1815)+VLOOKUP(D1815,'Species Codes'!B:E,4,0)*LOG(I1815))),0),"")</f>
        <v/>
      </c>
      <c r="AA1815" s="104" t="str">
        <f>IFERROR((VLOOKUP(D1815,'Species Codes'!B:G,6,0)*Z1815)/2000,"")</f>
        <v/>
      </c>
      <c r="AB1815" s="104" t="e">
        <f>IF(Z1815&gt;0,((IF(OR(D1815="DF",D1815="RA")=TRUE,EXP(VLOOKUP(D1815,'Species Codes'!B:I,8,0)+VLOOKUP(D1815,'Species Codes'!B:J,9,0)*(LN((E1815*2.54)))),IF(OR(D1815="PY",D1815="RC",D1815="WH",D1815="NF")=TRUE,VLOOKUP(D1815,'Species Codes'!B:I,8,0)+VLOOKUP(D1815,'Species Codes'!B:J,9,0)*((E1815*2.54)^2)*(I1815*0.3048),IF(OR(D1815="MD",D1815="BM",D1815="GA")=TRUE,((VLOOKUP(D1815,'Species Codes'!B:I,8,0)*(((((E1815*2.54)+VLOOKUP(D1815,'Species Codes'!B:J,9,0))/VLOOKUP(D1815,'Species Codes'!B:K,10,0))^VLOOKUP(D1815,'Species Codes'!B:L,11,0))*((I1815*0.3048)^VLOOKUP(D1815,'Species Codes'!B:M,12,0))))-(VLOOKUP(D1815,'Species Codes'!B:I,8,0)*((((E1815*2.54)^VLOOKUP(D1815,'Species Codes'!B:L,11,0))*((I1815*0.3048)^VLOOKUP(D1815,'Species Codes'!B:M,12,0))))))*35.3*VLOOKUP(D1815,'Species Codes'!B:G,6,0)/2.2046,VLOOKUP(D1815,'Species Codes'!B:I,8,0)+VLOOKUP(D1815,'Species Codes'!B:J,9,0)*(((E1815*2.54)/100)^2)*(I1815*0.3048)))))*0.0011023),0)</f>
        <v>#N/A</v>
      </c>
      <c r="AC1815" s="104" t="e">
        <f>IF(Z1815&gt;0,((IF(OR(D1815="RA",D1815="OA",D1815="OT",D1815="UN",D1815="PC"),EXP(VLOOKUP(D1815,'Species Codes'!B:O,14,0)+VLOOKUP(D1815,'Species Codes'!B:P,15,0)*LN((E1815*2.54)))-EXP(VLOOKUP(D1815,'Species Codes'!B:O,14,0)+VLOOKUP(D1815,'Species Codes'!B:P,15,0)*LN((E1815*2.54)))*(1/(VLOOKUP(D1815,'Species Codes'!B:Q,16,0)+VLOOKUP(D1815,'Species Codes'!B:R,17,0)*((E1815*2.54)^VLOOKUP(D1815,'Species Codes'!B:S,18,0)))),IF(OR(D1815="BM",D1815="MD",D1815="OA"),EXP(VLOOKUP(D1815,'Species Codes'!B:O,14,0)+VLOOKUP(D1815,'Species Codes'!B:P,15,0)*LN((E1815*2.54)))*(1-(1/(VLOOKUP(D1815,'Species Codes'!B:Q,16,0)+VLOOKUP(D1815,'Species Codes'!B:R,17,0)*((E1815*2.54)^VLOOKUP(D1815,'Species Codes'!B:S,18,0)))))/1000,IF(D1815="DF",EXP(VLOOKUP(D1815,'Species Codes'!B:O,14,0)+VLOOKUP(D1815,'Species Codes'!B:P,15,0)*LN((E1815*2.54))),VLOOKUP(D1815,'Species Codes'!B:O,14,0)+VLOOKUP(D1815,'Species Codes'!B:P,15,0)*(((E1815*2.54)/100)^2)*(I1815*0.3048)))))*0.0011023),0)</f>
        <v>#N/A</v>
      </c>
      <c r="AD1815" s="104" t="e">
        <f t="shared" si="787"/>
        <v>#N/A</v>
      </c>
      <c r="AE1815" s="104" t="e">
        <f t="shared" si="788"/>
        <v>#N/A</v>
      </c>
      <c r="AF1815" s="104" t="e">
        <f>IF(AND(VLOOKUP($D1815,Merchantability!$B:$C,2,0)="Yes",$E1815&gt;=VLOOKUP($D1815,Merchantability!$B:$D,3,0),$E1815&lt;=VLOOKUP($D1815,Merchantability!$B:$E,4,0)),AA1815,0)</f>
        <v>#N/A</v>
      </c>
      <c r="AG1815" s="104" t="e">
        <f>IF(AND(VLOOKUP($D1815,Merchantability!$B:$C,2,0)="Yes",$E1815&gt;=VLOOKUP($D1815,Merchantability!$B:$D,3,0),$E1815&lt;=VLOOKUP($D1815,Merchantability!$B:$E,4,0)),AB1815,0)</f>
        <v>#N/A</v>
      </c>
      <c r="AH1815" s="104" t="e">
        <f>IF(AND(VLOOKUP($D1815,Merchantability!$B:$C,2,0)="Yes",$E1815&gt;=VLOOKUP($D1815,Merchantability!$B:$D,3,0),$E1815&lt;=VLOOKUP($D1815,Merchantability!$B:$E,4,0)),AC1815,0)</f>
        <v>#N/A</v>
      </c>
      <c r="AI1815" s="104" t="e">
        <f t="shared" si="789"/>
        <v>#N/A</v>
      </c>
      <c r="AJ1815" s="104" t="e">
        <f t="shared" si="790"/>
        <v>#VALUE!</v>
      </c>
      <c r="AK1815" s="104" t="e">
        <f t="shared" si="791"/>
        <v>#N/A</v>
      </c>
      <c r="AL1815" s="104" t="e">
        <f t="shared" si="792"/>
        <v>#N/A</v>
      </c>
      <c r="AM1815" s="104" t="e">
        <f t="shared" si="793"/>
        <v>#N/A</v>
      </c>
      <c r="AN1815" s="104" t="e">
        <f t="shared" si="804"/>
        <v>#N/A</v>
      </c>
      <c r="AO1815" s="104" t="e">
        <f t="shared" si="805"/>
        <v>#N/A</v>
      </c>
      <c r="AP1815" s="104" t="e">
        <f t="shared" si="806"/>
        <v>#N/A</v>
      </c>
      <c r="AQ1815" s="104" t="e">
        <f t="shared" si="807"/>
        <v>#N/A</v>
      </c>
      <c r="AR1815" s="105" t="str">
        <f t="shared" si="799"/>
        <v/>
      </c>
      <c r="AS1815" s="105" t="str">
        <f t="shared" si="800"/>
        <v/>
      </c>
      <c r="AT1815" s="108" t="str">
        <f t="shared" si="801"/>
        <v/>
      </c>
      <c r="AU1815" s="108" t="str">
        <f t="shared" si="802"/>
        <v/>
      </c>
      <c r="AV1815" s="107" t="str">
        <f>IF(ISNUMBER(O1815),IF(VLOOKUP($A1815,Stand!C:J,8,FALSE)="Short",AT1815,AU1815),"")</f>
        <v/>
      </c>
      <c r="AW1815" s="109" t="str">
        <f t="shared" si="808"/>
        <v/>
      </c>
      <c r="AX1815" s="109" t="str">
        <f t="shared" si="809"/>
        <v/>
      </c>
      <c r="AY1815" s="112" t="str">
        <f>IF(ISNUMBER(O1815),IF(AND(VLOOKUP($D1815,Merchantability!$B:$C,2,0)="Yes",$E1815&gt;=VLOOKUP($D1815,Merchantability!$B:$D,3,0),$E1815&lt;=VLOOKUP($D1815,Merchantability!$B:$E,4,0)),(AV1815*O1815)*(1-$H1815/100),""),"")</f>
        <v/>
      </c>
      <c r="AZ1815" s="116"/>
      <c r="BA1815" s="116"/>
      <c r="BB1815" s="116"/>
      <c r="BE1815" s="62"/>
      <c r="BF1815" s="63"/>
    </row>
    <row r="1816" spans="1:58" ht="12.75" customHeight="1" x14ac:dyDescent="0.25">
      <c r="A1816" s="334"/>
      <c r="B1816" s="334"/>
      <c r="C1816" s="332"/>
      <c r="D1816" s="334"/>
      <c r="E1816" s="335"/>
      <c r="F1816" s="334"/>
      <c r="G1816" s="332"/>
      <c r="H1816" s="332"/>
      <c r="I1816" s="334"/>
      <c r="J1816" s="336"/>
      <c r="K1816" s="332"/>
      <c r="L1816" s="332"/>
      <c r="M1816" s="76"/>
      <c r="N1816" s="103" t="str">
        <f>IF(A1816="","",VLOOKUP(A1816,Stand!C:K,9,0))</f>
        <v/>
      </c>
      <c r="O1816" s="104" t="str">
        <f t="shared" si="794"/>
        <v/>
      </c>
      <c r="P1816" s="105" t="str">
        <f t="shared" si="795"/>
        <v/>
      </c>
      <c r="Q1816" s="105" t="str">
        <f t="shared" si="783"/>
        <v/>
      </c>
      <c r="R1816" s="103" t="str">
        <f t="shared" si="796"/>
        <v/>
      </c>
      <c r="S1816" s="103" t="str">
        <f t="shared" si="797"/>
        <v/>
      </c>
      <c r="T1816" s="106" t="str">
        <f t="shared" si="784"/>
        <v/>
      </c>
      <c r="U1816" s="106" t="str">
        <f t="shared" si="785"/>
        <v/>
      </c>
      <c r="V1816" s="106" t="str">
        <f t="shared" si="786"/>
        <v/>
      </c>
      <c r="W1816" s="105" t="str">
        <f t="shared" si="798"/>
        <v/>
      </c>
      <c r="X1816" s="104" t="str">
        <f t="shared" si="803"/>
        <v/>
      </c>
      <c r="Y1816" s="104" t="str">
        <f t="array" ref="Y1816">IFERROR(IF(ISNUMBER(O1816),IF(COUNT(IF(A1816=$A$2:$A$2427,IF(D1816=$D$2:$D$2427,IF($X$2:$X$2427&gt;0,1))))&gt;0,SUM(IF(A1816=$A$2:$A$2427,IF(D1816=$D$2:$D$2427,$X$2:$X$2427)))/COUNT(IF(A1816=$A$2:$A$2427,IF(D1816=$D$2:$D$2427,IF(ISNUMBER($X$2:$X$2427),1)))),0),""),0)</f>
        <v/>
      </c>
      <c r="Z1816" s="104" t="str">
        <f>IF(ISNUMBER(O1816),IF(I1816&gt;0,(10^(VLOOKUP(D1816,'Species Codes'!B:C,2,0)+VLOOKUP(D1816,'Species Codes'!B:D,3,0)*LOG(E1816)+VLOOKUP(D1816,'Species Codes'!B:E,4,0)*LOG(I1816))),0),"")</f>
        <v/>
      </c>
      <c r="AA1816" s="104" t="str">
        <f>IFERROR((VLOOKUP(D1816,'Species Codes'!B:G,6,0)*Z1816)/2000,"")</f>
        <v/>
      </c>
      <c r="AB1816" s="104" t="e">
        <f>IF(Z1816&gt;0,((IF(OR(D1816="DF",D1816="RA")=TRUE,EXP(VLOOKUP(D1816,'Species Codes'!B:I,8,0)+VLOOKUP(D1816,'Species Codes'!B:J,9,0)*(LN((E1816*2.54)))),IF(OR(D1816="PY",D1816="RC",D1816="WH",D1816="NF")=TRUE,VLOOKUP(D1816,'Species Codes'!B:I,8,0)+VLOOKUP(D1816,'Species Codes'!B:J,9,0)*((E1816*2.54)^2)*(I1816*0.3048),IF(OR(D1816="MD",D1816="BM",D1816="GA")=TRUE,((VLOOKUP(D1816,'Species Codes'!B:I,8,0)*(((((E1816*2.54)+VLOOKUP(D1816,'Species Codes'!B:J,9,0))/VLOOKUP(D1816,'Species Codes'!B:K,10,0))^VLOOKUP(D1816,'Species Codes'!B:L,11,0))*((I1816*0.3048)^VLOOKUP(D1816,'Species Codes'!B:M,12,0))))-(VLOOKUP(D1816,'Species Codes'!B:I,8,0)*((((E1816*2.54)^VLOOKUP(D1816,'Species Codes'!B:L,11,0))*((I1816*0.3048)^VLOOKUP(D1816,'Species Codes'!B:M,12,0))))))*35.3*VLOOKUP(D1816,'Species Codes'!B:G,6,0)/2.2046,VLOOKUP(D1816,'Species Codes'!B:I,8,0)+VLOOKUP(D1816,'Species Codes'!B:J,9,0)*(((E1816*2.54)/100)^2)*(I1816*0.3048)))))*0.0011023),0)</f>
        <v>#N/A</v>
      </c>
      <c r="AC1816" s="104" t="e">
        <f>IF(Z1816&gt;0,((IF(OR(D1816="RA",D1816="OA",D1816="OT",D1816="UN",D1816="PC"),EXP(VLOOKUP(D1816,'Species Codes'!B:O,14,0)+VLOOKUP(D1816,'Species Codes'!B:P,15,0)*LN((E1816*2.54)))-EXP(VLOOKUP(D1816,'Species Codes'!B:O,14,0)+VLOOKUP(D1816,'Species Codes'!B:P,15,0)*LN((E1816*2.54)))*(1/(VLOOKUP(D1816,'Species Codes'!B:Q,16,0)+VLOOKUP(D1816,'Species Codes'!B:R,17,0)*((E1816*2.54)^VLOOKUP(D1816,'Species Codes'!B:S,18,0)))),IF(OR(D1816="BM",D1816="MD",D1816="OA"),EXP(VLOOKUP(D1816,'Species Codes'!B:O,14,0)+VLOOKUP(D1816,'Species Codes'!B:P,15,0)*LN((E1816*2.54)))*(1-(1/(VLOOKUP(D1816,'Species Codes'!B:Q,16,0)+VLOOKUP(D1816,'Species Codes'!B:R,17,0)*((E1816*2.54)^VLOOKUP(D1816,'Species Codes'!B:S,18,0)))))/1000,IF(D1816="DF",EXP(VLOOKUP(D1816,'Species Codes'!B:O,14,0)+VLOOKUP(D1816,'Species Codes'!B:P,15,0)*LN((E1816*2.54))),VLOOKUP(D1816,'Species Codes'!B:O,14,0)+VLOOKUP(D1816,'Species Codes'!B:P,15,0)*(((E1816*2.54)/100)^2)*(I1816*0.3048)))))*0.0011023),0)</f>
        <v>#N/A</v>
      </c>
      <c r="AD1816" s="104" t="e">
        <f t="shared" si="787"/>
        <v>#N/A</v>
      </c>
      <c r="AE1816" s="104" t="e">
        <f t="shared" si="788"/>
        <v>#N/A</v>
      </c>
      <c r="AF1816" s="104" t="e">
        <f>IF(AND(VLOOKUP($D1816,Merchantability!$B:$C,2,0)="Yes",$E1816&gt;=VLOOKUP($D1816,Merchantability!$B:$D,3,0),$E1816&lt;=VLOOKUP($D1816,Merchantability!$B:$E,4,0)),AA1816,0)</f>
        <v>#N/A</v>
      </c>
      <c r="AG1816" s="104" t="e">
        <f>IF(AND(VLOOKUP($D1816,Merchantability!$B:$C,2,0)="Yes",$E1816&gt;=VLOOKUP($D1816,Merchantability!$B:$D,3,0),$E1816&lt;=VLOOKUP($D1816,Merchantability!$B:$E,4,0)),AB1816,0)</f>
        <v>#N/A</v>
      </c>
      <c r="AH1816" s="104" t="e">
        <f>IF(AND(VLOOKUP($D1816,Merchantability!$B:$C,2,0)="Yes",$E1816&gt;=VLOOKUP($D1816,Merchantability!$B:$D,3,0),$E1816&lt;=VLOOKUP($D1816,Merchantability!$B:$E,4,0)),AC1816,0)</f>
        <v>#N/A</v>
      </c>
      <c r="AI1816" s="104" t="e">
        <f t="shared" si="789"/>
        <v>#N/A</v>
      </c>
      <c r="AJ1816" s="104" t="e">
        <f t="shared" si="790"/>
        <v>#VALUE!</v>
      </c>
      <c r="AK1816" s="104" t="e">
        <f t="shared" si="791"/>
        <v>#N/A</v>
      </c>
      <c r="AL1816" s="104" t="e">
        <f t="shared" si="792"/>
        <v>#N/A</v>
      </c>
      <c r="AM1816" s="104" t="e">
        <f t="shared" si="793"/>
        <v>#N/A</v>
      </c>
      <c r="AN1816" s="104" t="e">
        <f t="shared" si="804"/>
        <v>#N/A</v>
      </c>
      <c r="AO1816" s="104" t="e">
        <f t="shared" si="805"/>
        <v>#N/A</v>
      </c>
      <c r="AP1816" s="104" t="e">
        <f t="shared" si="806"/>
        <v>#N/A</v>
      </c>
      <c r="AQ1816" s="104" t="e">
        <f t="shared" si="807"/>
        <v>#N/A</v>
      </c>
      <c r="AR1816" s="105" t="str">
        <f t="shared" si="799"/>
        <v/>
      </c>
      <c r="AS1816" s="105" t="str">
        <f t="shared" si="800"/>
        <v/>
      </c>
      <c r="AT1816" s="108" t="str">
        <f t="shared" si="801"/>
        <v/>
      </c>
      <c r="AU1816" s="108" t="str">
        <f t="shared" si="802"/>
        <v/>
      </c>
      <c r="AV1816" s="107" t="str">
        <f>IF(ISNUMBER(O1816),IF(VLOOKUP($A1816,Stand!C:J,8,FALSE)="Short",AT1816,AU1816),"")</f>
        <v/>
      </c>
      <c r="AW1816" s="109" t="str">
        <f t="shared" si="808"/>
        <v/>
      </c>
      <c r="AX1816" s="109" t="str">
        <f t="shared" si="809"/>
        <v/>
      </c>
      <c r="AY1816" s="112" t="str">
        <f>IF(ISNUMBER(O1816),IF(AND(VLOOKUP($D1816,Merchantability!$B:$C,2,0)="Yes",$E1816&gt;=VLOOKUP($D1816,Merchantability!$B:$D,3,0),$E1816&lt;=VLOOKUP($D1816,Merchantability!$B:$E,4,0)),(AV1816*O1816)*(1-$H1816/100),""),"")</f>
        <v/>
      </c>
      <c r="AZ1816" s="116"/>
      <c r="BA1816" s="116"/>
      <c r="BB1816" s="116"/>
      <c r="BE1816" s="62"/>
      <c r="BF1816" s="63"/>
    </row>
    <row r="1817" spans="1:58" ht="12.75" customHeight="1" x14ac:dyDescent="0.25">
      <c r="A1817" s="334"/>
      <c r="B1817" s="334"/>
      <c r="C1817" s="332"/>
      <c r="D1817" s="334"/>
      <c r="E1817" s="335"/>
      <c r="F1817" s="334"/>
      <c r="G1817" s="332"/>
      <c r="H1817" s="332"/>
      <c r="I1817" s="334"/>
      <c r="J1817" s="336"/>
      <c r="K1817" s="332"/>
      <c r="L1817" s="332"/>
      <c r="M1817" s="76"/>
      <c r="N1817" s="103" t="str">
        <f>IF(A1817="","",VLOOKUP(A1817,Stand!C:K,9,0))</f>
        <v/>
      </c>
      <c r="O1817" s="104" t="str">
        <f t="shared" si="794"/>
        <v/>
      </c>
      <c r="P1817" s="105" t="str">
        <f t="shared" si="795"/>
        <v/>
      </c>
      <c r="Q1817" s="105" t="str">
        <f t="shared" si="783"/>
        <v/>
      </c>
      <c r="R1817" s="103" t="str">
        <f t="shared" si="796"/>
        <v/>
      </c>
      <c r="S1817" s="103" t="str">
        <f t="shared" si="797"/>
        <v/>
      </c>
      <c r="T1817" s="106" t="str">
        <f t="shared" si="784"/>
        <v/>
      </c>
      <c r="U1817" s="106" t="str">
        <f t="shared" si="785"/>
        <v/>
      </c>
      <c r="V1817" s="106" t="str">
        <f t="shared" si="786"/>
        <v/>
      </c>
      <c r="W1817" s="105" t="str">
        <f t="shared" si="798"/>
        <v/>
      </c>
      <c r="X1817" s="104" t="str">
        <f t="shared" si="803"/>
        <v/>
      </c>
      <c r="Y1817" s="104" t="str">
        <f t="array" ref="Y1817">IFERROR(IF(ISNUMBER(O1817),IF(COUNT(IF(A1817=$A$2:$A$2427,IF(D1817=$D$2:$D$2427,IF($X$2:$X$2427&gt;0,1))))&gt;0,SUM(IF(A1817=$A$2:$A$2427,IF(D1817=$D$2:$D$2427,$X$2:$X$2427)))/COUNT(IF(A1817=$A$2:$A$2427,IF(D1817=$D$2:$D$2427,IF(ISNUMBER($X$2:$X$2427),1)))),0),""),0)</f>
        <v/>
      </c>
      <c r="Z1817" s="104" t="str">
        <f>IF(ISNUMBER(O1817),IF(I1817&gt;0,(10^(VLOOKUP(D1817,'Species Codes'!B:C,2,0)+VLOOKUP(D1817,'Species Codes'!B:D,3,0)*LOG(E1817)+VLOOKUP(D1817,'Species Codes'!B:E,4,0)*LOG(I1817))),0),"")</f>
        <v/>
      </c>
      <c r="AA1817" s="104" t="str">
        <f>IFERROR((VLOOKUP(D1817,'Species Codes'!B:G,6,0)*Z1817)/2000,"")</f>
        <v/>
      </c>
      <c r="AB1817" s="104" t="e">
        <f>IF(Z1817&gt;0,((IF(OR(D1817="DF",D1817="RA")=TRUE,EXP(VLOOKUP(D1817,'Species Codes'!B:I,8,0)+VLOOKUP(D1817,'Species Codes'!B:J,9,0)*(LN((E1817*2.54)))),IF(OR(D1817="PY",D1817="RC",D1817="WH",D1817="NF")=TRUE,VLOOKUP(D1817,'Species Codes'!B:I,8,0)+VLOOKUP(D1817,'Species Codes'!B:J,9,0)*((E1817*2.54)^2)*(I1817*0.3048),IF(OR(D1817="MD",D1817="BM",D1817="GA")=TRUE,((VLOOKUP(D1817,'Species Codes'!B:I,8,0)*(((((E1817*2.54)+VLOOKUP(D1817,'Species Codes'!B:J,9,0))/VLOOKUP(D1817,'Species Codes'!B:K,10,0))^VLOOKUP(D1817,'Species Codes'!B:L,11,0))*((I1817*0.3048)^VLOOKUP(D1817,'Species Codes'!B:M,12,0))))-(VLOOKUP(D1817,'Species Codes'!B:I,8,0)*((((E1817*2.54)^VLOOKUP(D1817,'Species Codes'!B:L,11,0))*((I1817*0.3048)^VLOOKUP(D1817,'Species Codes'!B:M,12,0))))))*35.3*VLOOKUP(D1817,'Species Codes'!B:G,6,0)/2.2046,VLOOKUP(D1817,'Species Codes'!B:I,8,0)+VLOOKUP(D1817,'Species Codes'!B:J,9,0)*(((E1817*2.54)/100)^2)*(I1817*0.3048)))))*0.0011023),0)</f>
        <v>#N/A</v>
      </c>
      <c r="AC1817" s="104" t="e">
        <f>IF(Z1817&gt;0,((IF(OR(D1817="RA",D1817="OA",D1817="OT",D1817="UN",D1817="PC"),EXP(VLOOKUP(D1817,'Species Codes'!B:O,14,0)+VLOOKUP(D1817,'Species Codes'!B:P,15,0)*LN((E1817*2.54)))-EXP(VLOOKUP(D1817,'Species Codes'!B:O,14,0)+VLOOKUP(D1817,'Species Codes'!B:P,15,0)*LN((E1817*2.54)))*(1/(VLOOKUP(D1817,'Species Codes'!B:Q,16,0)+VLOOKUP(D1817,'Species Codes'!B:R,17,0)*((E1817*2.54)^VLOOKUP(D1817,'Species Codes'!B:S,18,0)))),IF(OR(D1817="BM",D1817="MD",D1817="OA"),EXP(VLOOKUP(D1817,'Species Codes'!B:O,14,0)+VLOOKUP(D1817,'Species Codes'!B:P,15,0)*LN((E1817*2.54)))*(1-(1/(VLOOKUP(D1817,'Species Codes'!B:Q,16,0)+VLOOKUP(D1817,'Species Codes'!B:R,17,0)*((E1817*2.54)^VLOOKUP(D1817,'Species Codes'!B:S,18,0)))))/1000,IF(D1817="DF",EXP(VLOOKUP(D1817,'Species Codes'!B:O,14,0)+VLOOKUP(D1817,'Species Codes'!B:P,15,0)*LN((E1817*2.54))),VLOOKUP(D1817,'Species Codes'!B:O,14,0)+VLOOKUP(D1817,'Species Codes'!B:P,15,0)*(((E1817*2.54)/100)^2)*(I1817*0.3048)))))*0.0011023),0)</f>
        <v>#N/A</v>
      </c>
      <c r="AD1817" s="104" t="e">
        <f t="shared" si="787"/>
        <v>#N/A</v>
      </c>
      <c r="AE1817" s="104" t="e">
        <f t="shared" si="788"/>
        <v>#N/A</v>
      </c>
      <c r="AF1817" s="104" t="e">
        <f>IF(AND(VLOOKUP($D1817,Merchantability!$B:$C,2,0)="Yes",$E1817&gt;=VLOOKUP($D1817,Merchantability!$B:$D,3,0),$E1817&lt;=VLOOKUP($D1817,Merchantability!$B:$E,4,0)),AA1817,0)</f>
        <v>#N/A</v>
      </c>
      <c r="AG1817" s="104" t="e">
        <f>IF(AND(VLOOKUP($D1817,Merchantability!$B:$C,2,0)="Yes",$E1817&gt;=VLOOKUP($D1817,Merchantability!$B:$D,3,0),$E1817&lt;=VLOOKUP($D1817,Merchantability!$B:$E,4,0)),AB1817,0)</f>
        <v>#N/A</v>
      </c>
      <c r="AH1817" s="104" t="e">
        <f>IF(AND(VLOOKUP($D1817,Merchantability!$B:$C,2,0)="Yes",$E1817&gt;=VLOOKUP($D1817,Merchantability!$B:$D,3,0),$E1817&lt;=VLOOKUP($D1817,Merchantability!$B:$E,4,0)),AC1817,0)</f>
        <v>#N/A</v>
      </c>
      <c r="AI1817" s="104" t="e">
        <f t="shared" si="789"/>
        <v>#N/A</v>
      </c>
      <c r="AJ1817" s="104" t="e">
        <f t="shared" si="790"/>
        <v>#VALUE!</v>
      </c>
      <c r="AK1817" s="104" t="e">
        <f t="shared" si="791"/>
        <v>#N/A</v>
      </c>
      <c r="AL1817" s="104" t="e">
        <f t="shared" si="792"/>
        <v>#N/A</v>
      </c>
      <c r="AM1817" s="104" t="e">
        <f t="shared" si="793"/>
        <v>#N/A</v>
      </c>
      <c r="AN1817" s="104" t="e">
        <f t="shared" si="804"/>
        <v>#N/A</v>
      </c>
      <c r="AO1817" s="104" t="e">
        <f t="shared" si="805"/>
        <v>#N/A</v>
      </c>
      <c r="AP1817" s="104" t="e">
        <f t="shared" si="806"/>
        <v>#N/A</v>
      </c>
      <c r="AQ1817" s="104" t="e">
        <f t="shared" si="807"/>
        <v>#N/A</v>
      </c>
      <c r="AR1817" s="105" t="str">
        <f t="shared" si="799"/>
        <v/>
      </c>
      <c r="AS1817" s="105" t="str">
        <f t="shared" si="800"/>
        <v/>
      </c>
      <c r="AT1817" s="108" t="str">
        <f t="shared" si="801"/>
        <v/>
      </c>
      <c r="AU1817" s="108" t="str">
        <f t="shared" si="802"/>
        <v/>
      </c>
      <c r="AV1817" s="107" t="str">
        <f>IF(ISNUMBER(O1817),IF(VLOOKUP($A1817,Stand!C:J,8,FALSE)="Short",AT1817,AU1817),"")</f>
        <v/>
      </c>
      <c r="AW1817" s="109" t="str">
        <f t="shared" si="808"/>
        <v/>
      </c>
      <c r="AX1817" s="109" t="str">
        <f t="shared" si="809"/>
        <v/>
      </c>
      <c r="AY1817" s="112" t="str">
        <f>IF(ISNUMBER(O1817),IF(AND(VLOOKUP($D1817,Merchantability!$B:$C,2,0)="Yes",$E1817&gt;=VLOOKUP($D1817,Merchantability!$B:$D,3,0),$E1817&lt;=VLOOKUP($D1817,Merchantability!$B:$E,4,0)),(AV1817*O1817)*(1-$H1817/100),""),"")</f>
        <v/>
      </c>
      <c r="AZ1817" s="116"/>
      <c r="BA1817" s="116"/>
      <c r="BB1817" s="116"/>
      <c r="BE1817" s="62"/>
      <c r="BF1817" s="63"/>
    </row>
    <row r="1818" spans="1:58" ht="12.75" customHeight="1" x14ac:dyDescent="0.25">
      <c r="A1818" s="334"/>
      <c r="B1818" s="334"/>
      <c r="C1818" s="332"/>
      <c r="D1818" s="334"/>
      <c r="E1818" s="335"/>
      <c r="F1818" s="334"/>
      <c r="G1818" s="332"/>
      <c r="H1818" s="332"/>
      <c r="I1818" s="334"/>
      <c r="J1818" s="336"/>
      <c r="K1818" s="332"/>
      <c r="L1818" s="332"/>
      <c r="M1818" s="76"/>
      <c r="N1818" s="103" t="str">
        <f>IF(A1818="","",VLOOKUP(A1818,Stand!C:K,9,0))</f>
        <v/>
      </c>
      <c r="O1818" s="104" t="str">
        <f t="shared" si="794"/>
        <v/>
      </c>
      <c r="P1818" s="105" t="str">
        <f t="shared" si="795"/>
        <v/>
      </c>
      <c r="Q1818" s="105" t="str">
        <f t="shared" si="783"/>
        <v/>
      </c>
      <c r="R1818" s="103" t="str">
        <f t="shared" si="796"/>
        <v/>
      </c>
      <c r="S1818" s="103" t="str">
        <f t="shared" si="797"/>
        <v/>
      </c>
      <c r="T1818" s="106" t="str">
        <f t="shared" si="784"/>
        <v/>
      </c>
      <c r="U1818" s="106" t="str">
        <f t="shared" si="785"/>
        <v/>
      </c>
      <c r="V1818" s="106" t="str">
        <f t="shared" si="786"/>
        <v/>
      </c>
      <c r="W1818" s="105" t="str">
        <f t="shared" si="798"/>
        <v/>
      </c>
      <c r="X1818" s="104" t="str">
        <f t="shared" si="803"/>
        <v/>
      </c>
      <c r="Y1818" s="104" t="str">
        <f t="array" ref="Y1818">IFERROR(IF(ISNUMBER(O1818),IF(COUNT(IF(A1818=$A$2:$A$2427,IF(D1818=$D$2:$D$2427,IF($X$2:$X$2427&gt;0,1))))&gt;0,SUM(IF(A1818=$A$2:$A$2427,IF(D1818=$D$2:$D$2427,$X$2:$X$2427)))/COUNT(IF(A1818=$A$2:$A$2427,IF(D1818=$D$2:$D$2427,IF(ISNUMBER($X$2:$X$2427),1)))),0),""),0)</f>
        <v/>
      </c>
      <c r="Z1818" s="104" t="str">
        <f>IF(ISNUMBER(O1818),IF(I1818&gt;0,(10^(VLOOKUP(D1818,'Species Codes'!B:C,2,0)+VLOOKUP(D1818,'Species Codes'!B:D,3,0)*LOG(E1818)+VLOOKUP(D1818,'Species Codes'!B:E,4,0)*LOG(I1818))),0),"")</f>
        <v/>
      </c>
      <c r="AA1818" s="104" t="str">
        <f>IFERROR((VLOOKUP(D1818,'Species Codes'!B:G,6,0)*Z1818)/2000,"")</f>
        <v/>
      </c>
      <c r="AB1818" s="104" t="e">
        <f>IF(Z1818&gt;0,((IF(OR(D1818="DF",D1818="RA")=TRUE,EXP(VLOOKUP(D1818,'Species Codes'!B:I,8,0)+VLOOKUP(D1818,'Species Codes'!B:J,9,0)*(LN((E1818*2.54)))),IF(OR(D1818="PY",D1818="RC",D1818="WH",D1818="NF")=TRUE,VLOOKUP(D1818,'Species Codes'!B:I,8,0)+VLOOKUP(D1818,'Species Codes'!B:J,9,0)*((E1818*2.54)^2)*(I1818*0.3048),IF(OR(D1818="MD",D1818="BM",D1818="GA")=TRUE,((VLOOKUP(D1818,'Species Codes'!B:I,8,0)*(((((E1818*2.54)+VLOOKUP(D1818,'Species Codes'!B:J,9,0))/VLOOKUP(D1818,'Species Codes'!B:K,10,0))^VLOOKUP(D1818,'Species Codes'!B:L,11,0))*((I1818*0.3048)^VLOOKUP(D1818,'Species Codes'!B:M,12,0))))-(VLOOKUP(D1818,'Species Codes'!B:I,8,0)*((((E1818*2.54)^VLOOKUP(D1818,'Species Codes'!B:L,11,0))*((I1818*0.3048)^VLOOKUP(D1818,'Species Codes'!B:M,12,0))))))*35.3*VLOOKUP(D1818,'Species Codes'!B:G,6,0)/2.2046,VLOOKUP(D1818,'Species Codes'!B:I,8,0)+VLOOKUP(D1818,'Species Codes'!B:J,9,0)*(((E1818*2.54)/100)^2)*(I1818*0.3048)))))*0.0011023),0)</f>
        <v>#N/A</v>
      </c>
      <c r="AC1818" s="104" t="e">
        <f>IF(Z1818&gt;0,((IF(OR(D1818="RA",D1818="OA",D1818="OT",D1818="UN",D1818="PC"),EXP(VLOOKUP(D1818,'Species Codes'!B:O,14,0)+VLOOKUP(D1818,'Species Codes'!B:P,15,0)*LN((E1818*2.54)))-EXP(VLOOKUP(D1818,'Species Codes'!B:O,14,0)+VLOOKUP(D1818,'Species Codes'!B:P,15,0)*LN((E1818*2.54)))*(1/(VLOOKUP(D1818,'Species Codes'!B:Q,16,0)+VLOOKUP(D1818,'Species Codes'!B:R,17,0)*((E1818*2.54)^VLOOKUP(D1818,'Species Codes'!B:S,18,0)))),IF(OR(D1818="BM",D1818="MD",D1818="OA"),EXP(VLOOKUP(D1818,'Species Codes'!B:O,14,0)+VLOOKUP(D1818,'Species Codes'!B:P,15,0)*LN((E1818*2.54)))*(1-(1/(VLOOKUP(D1818,'Species Codes'!B:Q,16,0)+VLOOKUP(D1818,'Species Codes'!B:R,17,0)*((E1818*2.54)^VLOOKUP(D1818,'Species Codes'!B:S,18,0)))))/1000,IF(D1818="DF",EXP(VLOOKUP(D1818,'Species Codes'!B:O,14,0)+VLOOKUP(D1818,'Species Codes'!B:P,15,0)*LN((E1818*2.54))),VLOOKUP(D1818,'Species Codes'!B:O,14,0)+VLOOKUP(D1818,'Species Codes'!B:P,15,0)*(((E1818*2.54)/100)^2)*(I1818*0.3048)))))*0.0011023),0)</f>
        <v>#N/A</v>
      </c>
      <c r="AD1818" s="104" t="e">
        <f t="shared" si="787"/>
        <v>#N/A</v>
      </c>
      <c r="AE1818" s="104" t="e">
        <f t="shared" si="788"/>
        <v>#N/A</v>
      </c>
      <c r="AF1818" s="104" t="e">
        <f>IF(AND(VLOOKUP($D1818,Merchantability!$B:$C,2,0)="Yes",$E1818&gt;=VLOOKUP($D1818,Merchantability!$B:$D,3,0),$E1818&lt;=VLOOKUP($D1818,Merchantability!$B:$E,4,0)),AA1818,0)</f>
        <v>#N/A</v>
      </c>
      <c r="AG1818" s="104" t="e">
        <f>IF(AND(VLOOKUP($D1818,Merchantability!$B:$C,2,0)="Yes",$E1818&gt;=VLOOKUP($D1818,Merchantability!$B:$D,3,0),$E1818&lt;=VLOOKUP($D1818,Merchantability!$B:$E,4,0)),AB1818,0)</f>
        <v>#N/A</v>
      </c>
      <c r="AH1818" s="104" t="e">
        <f>IF(AND(VLOOKUP($D1818,Merchantability!$B:$C,2,0)="Yes",$E1818&gt;=VLOOKUP($D1818,Merchantability!$B:$D,3,0),$E1818&lt;=VLOOKUP($D1818,Merchantability!$B:$E,4,0)),AC1818,0)</f>
        <v>#N/A</v>
      </c>
      <c r="AI1818" s="104" t="e">
        <f t="shared" si="789"/>
        <v>#N/A</v>
      </c>
      <c r="AJ1818" s="104" t="e">
        <f t="shared" si="790"/>
        <v>#VALUE!</v>
      </c>
      <c r="AK1818" s="104" t="e">
        <f t="shared" si="791"/>
        <v>#N/A</v>
      </c>
      <c r="AL1818" s="104" t="e">
        <f t="shared" si="792"/>
        <v>#N/A</v>
      </c>
      <c r="AM1818" s="104" t="e">
        <f t="shared" si="793"/>
        <v>#N/A</v>
      </c>
      <c r="AN1818" s="104" t="e">
        <f t="shared" si="804"/>
        <v>#N/A</v>
      </c>
      <c r="AO1818" s="104" t="e">
        <f t="shared" si="805"/>
        <v>#N/A</v>
      </c>
      <c r="AP1818" s="104" t="e">
        <f t="shared" si="806"/>
        <v>#N/A</v>
      </c>
      <c r="AQ1818" s="104" t="e">
        <f t="shared" si="807"/>
        <v>#N/A</v>
      </c>
      <c r="AR1818" s="105" t="str">
        <f t="shared" si="799"/>
        <v/>
      </c>
      <c r="AS1818" s="105" t="str">
        <f t="shared" si="800"/>
        <v/>
      </c>
      <c r="AT1818" s="108" t="str">
        <f t="shared" si="801"/>
        <v/>
      </c>
      <c r="AU1818" s="108" t="str">
        <f t="shared" si="802"/>
        <v/>
      </c>
      <c r="AV1818" s="107" t="str">
        <f>IF(ISNUMBER(O1818),IF(VLOOKUP($A1818,Stand!C:J,8,FALSE)="Short",AT1818,AU1818),"")</f>
        <v/>
      </c>
      <c r="AW1818" s="109" t="str">
        <f t="shared" si="808"/>
        <v/>
      </c>
      <c r="AX1818" s="109" t="str">
        <f t="shared" si="809"/>
        <v/>
      </c>
      <c r="AY1818" s="112" t="str">
        <f>IF(ISNUMBER(O1818),IF(AND(VLOOKUP($D1818,Merchantability!$B:$C,2,0)="Yes",$E1818&gt;=VLOOKUP($D1818,Merchantability!$B:$D,3,0),$E1818&lt;=VLOOKUP($D1818,Merchantability!$B:$E,4,0)),(AV1818*O1818)*(1-$H1818/100),""),"")</f>
        <v/>
      </c>
      <c r="AZ1818" s="116"/>
      <c r="BA1818" s="116"/>
      <c r="BB1818" s="116"/>
      <c r="BE1818" s="62"/>
      <c r="BF1818" s="63"/>
    </row>
    <row r="1819" spans="1:58" ht="12.75" customHeight="1" x14ac:dyDescent="0.25">
      <c r="A1819" s="334"/>
      <c r="B1819" s="334"/>
      <c r="C1819" s="332"/>
      <c r="D1819" s="334"/>
      <c r="E1819" s="335"/>
      <c r="F1819" s="334"/>
      <c r="G1819" s="332"/>
      <c r="H1819" s="332"/>
      <c r="I1819" s="334"/>
      <c r="J1819" s="336"/>
      <c r="K1819" s="332"/>
      <c r="L1819" s="332"/>
      <c r="M1819" s="76"/>
      <c r="N1819" s="103" t="str">
        <f>IF(A1819="","",VLOOKUP(A1819,Stand!C:K,9,0))</f>
        <v/>
      </c>
      <c r="O1819" s="104" t="str">
        <f t="shared" si="794"/>
        <v/>
      </c>
      <c r="P1819" s="105" t="str">
        <f t="shared" si="795"/>
        <v/>
      </c>
      <c r="Q1819" s="105" t="str">
        <f t="shared" si="783"/>
        <v/>
      </c>
      <c r="R1819" s="103" t="str">
        <f t="shared" si="796"/>
        <v/>
      </c>
      <c r="S1819" s="103" t="str">
        <f t="shared" si="797"/>
        <v/>
      </c>
      <c r="T1819" s="106" t="str">
        <f t="shared" si="784"/>
        <v/>
      </c>
      <c r="U1819" s="106" t="str">
        <f t="shared" si="785"/>
        <v/>
      </c>
      <c r="V1819" s="106" t="str">
        <f t="shared" si="786"/>
        <v/>
      </c>
      <c r="W1819" s="105" t="str">
        <f t="shared" si="798"/>
        <v/>
      </c>
      <c r="X1819" s="104" t="str">
        <f t="shared" si="803"/>
        <v/>
      </c>
      <c r="Y1819" s="104" t="str">
        <f t="array" ref="Y1819">IFERROR(IF(ISNUMBER(O1819),IF(COUNT(IF(A1819=$A$2:$A$2427,IF(D1819=$D$2:$D$2427,IF($X$2:$X$2427&gt;0,1))))&gt;0,SUM(IF(A1819=$A$2:$A$2427,IF(D1819=$D$2:$D$2427,$X$2:$X$2427)))/COUNT(IF(A1819=$A$2:$A$2427,IF(D1819=$D$2:$D$2427,IF(ISNUMBER($X$2:$X$2427),1)))),0),""),0)</f>
        <v/>
      </c>
      <c r="Z1819" s="104" t="str">
        <f>IF(ISNUMBER(O1819),IF(I1819&gt;0,(10^(VLOOKUP(D1819,'Species Codes'!B:C,2,0)+VLOOKUP(D1819,'Species Codes'!B:D,3,0)*LOG(E1819)+VLOOKUP(D1819,'Species Codes'!B:E,4,0)*LOG(I1819))),0),"")</f>
        <v/>
      </c>
      <c r="AA1819" s="104" t="str">
        <f>IFERROR((VLOOKUP(D1819,'Species Codes'!B:G,6,0)*Z1819)/2000,"")</f>
        <v/>
      </c>
      <c r="AB1819" s="104" t="e">
        <f>IF(Z1819&gt;0,((IF(OR(D1819="DF",D1819="RA")=TRUE,EXP(VLOOKUP(D1819,'Species Codes'!B:I,8,0)+VLOOKUP(D1819,'Species Codes'!B:J,9,0)*(LN((E1819*2.54)))),IF(OR(D1819="PY",D1819="RC",D1819="WH",D1819="NF")=TRUE,VLOOKUP(D1819,'Species Codes'!B:I,8,0)+VLOOKUP(D1819,'Species Codes'!B:J,9,0)*((E1819*2.54)^2)*(I1819*0.3048),IF(OR(D1819="MD",D1819="BM",D1819="GA")=TRUE,((VLOOKUP(D1819,'Species Codes'!B:I,8,0)*(((((E1819*2.54)+VLOOKUP(D1819,'Species Codes'!B:J,9,0))/VLOOKUP(D1819,'Species Codes'!B:K,10,0))^VLOOKUP(D1819,'Species Codes'!B:L,11,0))*((I1819*0.3048)^VLOOKUP(D1819,'Species Codes'!B:M,12,0))))-(VLOOKUP(D1819,'Species Codes'!B:I,8,0)*((((E1819*2.54)^VLOOKUP(D1819,'Species Codes'!B:L,11,0))*((I1819*0.3048)^VLOOKUP(D1819,'Species Codes'!B:M,12,0))))))*35.3*VLOOKUP(D1819,'Species Codes'!B:G,6,0)/2.2046,VLOOKUP(D1819,'Species Codes'!B:I,8,0)+VLOOKUP(D1819,'Species Codes'!B:J,9,0)*(((E1819*2.54)/100)^2)*(I1819*0.3048)))))*0.0011023),0)</f>
        <v>#N/A</v>
      </c>
      <c r="AC1819" s="104" t="e">
        <f>IF(Z1819&gt;0,((IF(OR(D1819="RA",D1819="OA",D1819="OT",D1819="UN",D1819="PC"),EXP(VLOOKUP(D1819,'Species Codes'!B:O,14,0)+VLOOKUP(D1819,'Species Codes'!B:P,15,0)*LN((E1819*2.54)))-EXP(VLOOKUP(D1819,'Species Codes'!B:O,14,0)+VLOOKUP(D1819,'Species Codes'!B:P,15,0)*LN((E1819*2.54)))*(1/(VLOOKUP(D1819,'Species Codes'!B:Q,16,0)+VLOOKUP(D1819,'Species Codes'!B:R,17,0)*((E1819*2.54)^VLOOKUP(D1819,'Species Codes'!B:S,18,0)))),IF(OR(D1819="BM",D1819="MD",D1819="OA"),EXP(VLOOKUP(D1819,'Species Codes'!B:O,14,0)+VLOOKUP(D1819,'Species Codes'!B:P,15,0)*LN((E1819*2.54)))*(1-(1/(VLOOKUP(D1819,'Species Codes'!B:Q,16,0)+VLOOKUP(D1819,'Species Codes'!B:R,17,0)*((E1819*2.54)^VLOOKUP(D1819,'Species Codes'!B:S,18,0)))))/1000,IF(D1819="DF",EXP(VLOOKUP(D1819,'Species Codes'!B:O,14,0)+VLOOKUP(D1819,'Species Codes'!B:P,15,0)*LN((E1819*2.54))),VLOOKUP(D1819,'Species Codes'!B:O,14,0)+VLOOKUP(D1819,'Species Codes'!B:P,15,0)*(((E1819*2.54)/100)^2)*(I1819*0.3048)))))*0.0011023),0)</f>
        <v>#N/A</v>
      </c>
      <c r="AD1819" s="104" t="e">
        <f t="shared" si="787"/>
        <v>#N/A</v>
      </c>
      <c r="AE1819" s="104" t="e">
        <f t="shared" si="788"/>
        <v>#N/A</v>
      </c>
      <c r="AF1819" s="104" t="e">
        <f>IF(AND(VLOOKUP($D1819,Merchantability!$B:$C,2,0)="Yes",$E1819&gt;=VLOOKUP($D1819,Merchantability!$B:$D,3,0),$E1819&lt;=VLOOKUP($D1819,Merchantability!$B:$E,4,0)),AA1819,0)</f>
        <v>#N/A</v>
      </c>
      <c r="AG1819" s="104" t="e">
        <f>IF(AND(VLOOKUP($D1819,Merchantability!$B:$C,2,0)="Yes",$E1819&gt;=VLOOKUP($D1819,Merchantability!$B:$D,3,0),$E1819&lt;=VLOOKUP($D1819,Merchantability!$B:$E,4,0)),AB1819,0)</f>
        <v>#N/A</v>
      </c>
      <c r="AH1819" s="104" t="e">
        <f>IF(AND(VLOOKUP($D1819,Merchantability!$B:$C,2,0)="Yes",$E1819&gt;=VLOOKUP($D1819,Merchantability!$B:$D,3,0),$E1819&lt;=VLOOKUP($D1819,Merchantability!$B:$E,4,0)),AC1819,0)</f>
        <v>#N/A</v>
      </c>
      <c r="AI1819" s="104" t="e">
        <f t="shared" si="789"/>
        <v>#N/A</v>
      </c>
      <c r="AJ1819" s="104" t="e">
        <f t="shared" si="790"/>
        <v>#VALUE!</v>
      </c>
      <c r="AK1819" s="104" t="e">
        <f t="shared" si="791"/>
        <v>#N/A</v>
      </c>
      <c r="AL1819" s="104" t="e">
        <f t="shared" si="792"/>
        <v>#N/A</v>
      </c>
      <c r="AM1819" s="104" t="e">
        <f t="shared" si="793"/>
        <v>#N/A</v>
      </c>
      <c r="AN1819" s="104" t="e">
        <f t="shared" si="804"/>
        <v>#N/A</v>
      </c>
      <c r="AO1819" s="104" t="e">
        <f t="shared" si="805"/>
        <v>#N/A</v>
      </c>
      <c r="AP1819" s="104" t="e">
        <f t="shared" si="806"/>
        <v>#N/A</v>
      </c>
      <c r="AQ1819" s="104" t="e">
        <f t="shared" si="807"/>
        <v>#N/A</v>
      </c>
      <c r="AR1819" s="105" t="str">
        <f t="shared" si="799"/>
        <v/>
      </c>
      <c r="AS1819" s="105" t="str">
        <f t="shared" si="800"/>
        <v/>
      </c>
      <c r="AT1819" s="108" t="str">
        <f t="shared" si="801"/>
        <v/>
      </c>
      <c r="AU1819" s="108" t="str">
        <f t="shared" si="802"/>
        <v/>
      </c>
      <c r="AV1819" s="107" t="str">
        <f>IF(ISNUMBER(O1819),IF(VLOOKUP($A1819,Stand!C:J,8,FALSE)="Short",AT1819,AU1819),"")</f>
        <v/>
      </c>
      <c r="AW1819" s="109" t="str">
        <f t="shared" si="808"/>
        <v/>
      </c>
      <c r="AX1819" s="109" t="str">
        <f t="shared" si="809"/>
        <v/>
      </c>
      <c r="AY1819" s="112" t="str">
        <f>IF(ISNUMBER(O1819),IF(AND(VLOOKUP($D1819,Merchantability!$B:$C,2,0)="Yes",$E1819&gt;=VLOOKUP($D1819,Merchantability!$B:$D,3,0),$E1819&lt;=VLOOKUP($D1819,Merchantability!$B:$E,4,0)),(AV1819*O1819)*(1-$H1819/100),""),"")</f>
        <v/>
      </c>
      <c r="AZ1819" s="116"/>
      <c r="BA1819" s="116"/>
      <c r="BB1819" s="116"/>
      <c r="BE1819" s="62"/>
      <c r="BF1819" s="63"/>
    </row>
    <row r="1820" spans="1:58" ht="12.75" customHeight="1" x14ac:dyDescent="0.25">
      <c r="A1820" s="334"/>
      <c r="B1820" s="334"/>
      <c r="C1820" s="332"/>
      <c r="D1820" s="334"/>
      <c r="E1820" s="335"/>
      <c r="F1820" s="334"/>
      <c r="G1820" s="332"/>
      <c r="H1820" s="332"/>
      <c r="I1820" s="334"/>
      <c r="J1820" s="336"/>
      <c r="K1820" s="332"/>
      <c r="L1820" s="332"/>
      <c r="M1820" s="76"/>
      <c r="N1820" s="103" t="str">
        <f>IF(A1820="","",VLOOKUP(A1820,Stand!C:K,9,0))</f>
        <v/>
      </c>
      <c r="O1820" s="104" t="str">
        <f t="shared" si="794"/>
        <v/>
      </c>
      <c r="P1820" s="105" t="str">
        <f t="shared" si="795"/>
        <v/>
      </c>
      <c r="Q1820" s="105" t="str">
        <f t="shared" si="783"/>
        <v/>
      </c>
      <c r="R1820" s="103" t="str">
        <f t="shared" si="796"/>
        <v/>
      </c>
      <c r="S1820" s="103" t="str">
        <f t="shared" si="797"/>
        <v/>
      </c>
      <c r="T1820" s="106" t="str">
        <f t="shared" si="784"/>
        <v/>
      </c>
      <c r="U1820" s="106" t="str">
        <f t="shared" si="785"/>
        <v/>
      </c>
      <c r="V1820" s="106" t="str">
        <f t="shared" si="786"/>
        <v/>
      </c>
      <c r="W1820" s="105" t="str">
        <f t="shared" si="798"/>
        <v/>
      </c>
      <c r="X1820" s="104" t="str">
        <f t="shared" si="803"/>
        <v/>
      </c>
      <c r="Y1820" s="104" t="str">
        <f t="array" ref="Y1820">IFERROR(IF(ISNUMBER(O1820),IF(COUNT(IF(A1820=$A$2:$A$2427,IF(D1820=$D$2:$D$2427,IF($X$2:$X$2427&gt;0,1))))&gt;0,SUM(IF(A1820=$A$2:$A$2427,IF(D1820=$D$2:$D$2427,$X$2:$X$2427)))/COUNT(IF(A1820=$A$2:$A$2427,IF(D1820=$D$2:$D$2427,IF(ISNUMBER($X$2:$X$2427),1)))),0),""),0)</f>
        <v/>
      </c>
      <c r="Z1820" s="104" t="str">
        <f>IF(ISNUMBER(O1820),IF(I1820&gt;0,(10^(VLOOKUP(D1820,'Species Codes'!B:C,2,0)+VLOOKUP(D1820,'Species Codes'!B:D,3,0)*LOG(E1820)+VLOOKUP(D1820,'Species Codes'!B:E,4,0)*LOG(I1820))),0),"")</f>
        <v/>
      </c>
      <c r="AA1820" s="104" t="str">
        <f>IFERROR((VLOOKUP(D1820,'Species Codes'!B:G,6,0)*Z1820)/2000,"")</f>
        <v/>
      </c>
      <c r="AB1820" s="104" t="e">
        <f>IF(Z1820&gt;0,((IF(OR(D1820="DF",D1820="RA")=TRUE,EXP(VLOOKUP(D1820,'Species Codes'!B:I,8,0)+VLOOKUP(D1820,'Species Codes'!B:J,9,0)*(LN((E1820*2.54)))),IF(OR(D1820="PY",D1820="RC",D1820="WH",D1820="NF")=TRUE,VLOOKUP(D1820,'Species Codes'!B:I,8,0)+VLOOKUP(D1820,'Species Codes'!B:J,9,0)*((E1820*2.54)^2)*(I1820*0.3048),IF(OR(D1820="MD",D1820="BM",D1820="GA")=TRUE,((VLOOKUP(D1820,'Species Codes'!B:I,8,0)*(((((E1820*2.54)+VLOOKUP(D1820,'Species Codes'!B:J,9,0))/VLOOKUP(D1820,'Species Codes'!B:K,10,0))^VLOOKUP(D1820,'Species Codes'!B:L,11,0))*((I1820*0.3048)^VLOOKUP(D1820,'Species Codes'!B:M,12,0))))-(VLOOKUP(D1820,'Species Codes'!B:I,8,0)*((((E1820*2.54)^VLOOKUP(D1820,'Species Codes'!B:L,11,0))*((I1820*0.3048)^VLOOKUP(D1820,'Species Codes'!B:M,12,0))))))*35.3*VLOOKUP(D1820,'Species Codes'!B:G,6,0)/2.2046,VLOOKUP(D1820,'Species Codes'!B:I,8,0)+VLOOKUP(D1820,'Species Codes'!B:J,9,0)*(((E1820*2.54)/100)^2)*(I1820*0.3048)))))*0.0011023),0)</f>
        <v>#N/A</v>
      </c>
      <c r="AC1820" s="104" t="e">
        <f>IF(Z1820&gt;0,((IF(OR(D1820="RA",D1820="OA",D1820="OT",D1820="UN",D1820="PC"),EXP(VLOOKUP(D1820,'Species Codes'!B:O,14,0)+VLOOKUP(D1820,'Species Codes'!B:P,15,0)*LN((E1820*2.54)))-EXP(VLOOKUP(D1820,'Species Codes'!B:O,14,0)+VLOOKUP(D1820,'Species Codes'!B:P,15,0)*LN((E1820*2.54)))*(1/(VLOOKUP(D1820,'Species Codes'!B:Q,16,0)+VLOOKUP(D1820,'Species Codes'!B:R,17,0)*((E1820*2.54)^VLOOKUP(D1820,'Species Codes'!B:S,18,0)))),IF(OR(D1820="BM",D1820="MD",D1820="OA"),EXP(VLOOKUP(D1820,'Species Codes'!B:O,14,0)+VLOOKUP(D1820,'Species Codes'!B:P,15,0)*LN((E1820*2.54)))*(1-(1/(VLOOKUP(D1820,'Species Codes'!B:Q,16,0)+VLOOKUP(D1820,'Species Codes'!B:R,17,0)*((E1820*2.54)^VLOOKUP(D1820,'Species Codes'!B:S,18,0)))))/1000,IF(D1820="DF",EXP(VLOOKUP(D1820,'Species Codes'!B:O,14,0)+VLOOKUP(D1820,'Species Codes'!B:P,15,0)*LN((E1820*2.54))),VLOOKUP(D1820,'Species Codes'!B:O,14,0)+VLOOKUP(D1820,'Species Codes'!B:P,15,0)*(((E1820*2.54)/100)^2)*(I1820*0.3048)))))*0.0011023),0)</f>
        <v>#N/A</v>
      </c>
      <c r="AD1820" s="104" t="e">
        <f t="shared" si="787"/>
        <v>#N/A</v>
      </c>
      <c r="AE1820" s="104" t="e">
        <f t="shared" si="788"/>
        <v>#N/A</v>
      </c>
      <c r="AF1820" s="104" t="e">
        <f>IF(AND(VLOOKUP($D1820,Merchantability!$B:$C,2,0)="Yes",$E1820&gt;=VLOOKUP($D1820,Merchantability!$B:$D,3,0),$E1820&lt;=VLOOKUP($D1820,Merchantability!$B:$E,4,0)),AA1820,0)</f>
        <v>#N/A</v>
      </c>
      <c r="AG1820" s="104" t="e">
        <f>IF(AND(VLOOKUP($D1820,Merchantability!$B:$C,2,0)="Yes",$E1820&gt;=VLOOKUP($D1820,Merchantability!$B:$D,3,0),$E1820&lt;=VLOOKUP($D1820,Merchantability!$B:$E,4,0)),AB1820,0)</f>
        <v>#N/A</v>
      </c>
      <c r="AH1820" s="104" t="e">
        <f>IF(AND(VLOOKUP($D1820,Merchantability!$B:$C,2,0)="Yes",$E1820&gt;=VLOOKUP($D1820,Merchantability!$B:$D,3,0),$E1820&lt;=VLOOKUP($D1820,Merchantability!$B:$E,4,0)),AC1820,0)</f>
        <v>#N/A</v>
      </c>
      <c r="AI1820" s="104" t="e">
        <f t="shared" si="789"/>
        <v>#N/A</v>
      </c>
      <c r="AJ1820" s="104" t="e">
        <f t="shared" si="790"/>
        <v>#VALUE!</v>
      </c>
      <c r="AK1820" s="104" t="e">
        <f t="shared" si="791"/>
        <v>#N/A</v>
      </c>
      <c r="AL1820" s="104" t="e">
        <f t="shared" si="792"/>
        <v>#N/A</v>
      </c>
      <c r="AM1820" s="104" t="e">
        <f t="shared" si="793"/>
        <v>#N/A</v>
      </c>
      <c r="AN1820" s="104" t="e">
        <f t="shared" si="804"/>
        <v>#N/A</v>
      </c>
      <c r="AO1820" s="104" t="e">
        <f t="shared" si="805"/>
        <v>#N/A</v>
      </c>
      <c r="AP1820" s="104" t="e">
        <f t="shared" si="806"/>
        <v>#N/A</v>
      </c>
      <c r="AQ1820" s="104" t="e">
        <f t="shared" si="807"/>
        <v>#N/A</v>
      </c>
      <c r="AR1820" s="105" t="str">
        <f t="shared" si="799"/>
        <v/>
      </c>
      <c r="AS1820" s="105" t="str">
        <f t="shared" si="800"/>
        <v/>
      </c>
      <c r="AT1820" s="108" t="str">
        <f t="shared" si="801"/>
        <v/>
      </c>
      <c r="AU1820" s="108" t="str">
        <f t="shared" si="802"/>
        <v/>
      </c>
      <c r="AV1820" s="107" t="str">
        <f>IF(ISNUMBER(O1820),IF(VLOOKUP($A1820,Stand!C:J,8,FALSE)="Short",AT1820,AU1820),"")</f>
        <v/>
      </c>
      <c r="AW1820" s="109" t="str">
        <f t="shared" si="808"/>
        <v/>
      </c>
      <c r="AX1820" s="109" t="str">
        <f t="shared" si="809"/>
        <v/>
      </c>
      <c r="AY1820" s="112" t="str">
        <f>IF(ISNUMBER(O1820),IF(AND(VLOOKUP($D1820,Merchantability!$B:$C,2,0)="Yes",$E1820&gt;=VLOOKUP($D1820,Merchantability!$B:$D,3,0),$E1820&lt;=VLOOKUP($D1820,Merchantability!$B:$E,4,0)),(AV1820*O1820)*(1-$H1820/100),""),"")</f>
        <v/>
      </c>
      <c r="AZ1820" s="116"/>
      <c r="BA1820" s="116"/>
      <c r="BB1820" s="116"/>
      <c r="BE1820" s="62"/>
      <c r="BF1820" s="63"/>
    </row>
    <row r="1821" spans="1:58" ht="12.75" customHeight="1" x14ac:dyDescent="0.25">
      <c r="A1821" s="334"/>
      <c r="B1821" s="334"/>
      <c r="C1821" s="332"/>
      <c r="D1821" s="334"/>
      <c r="E1821" s="335"/>
      <c r="F1821" s="334"/>
      <c r="G1821" s="332"/>
      <c r="H1821" s="332"/>
      <c r="I1821" s="334"/>
      <c r="J1821" s="336"/>
      <c r="K1821" s="332"/>
      <c r="L1821" s="332"/>
      <c r="M1821" s="76"/>
      <c r="N1821" s="103" t="str">
        <f>IF(A1821="","",VLOOKUP(A1821,Stand!C:K,9,0))</f>
        <v/>
      </c>
      <c r="O1821" s="104" t="str">
        <f t="shared" si="794"/>
        <v/>
      </c>
      <c r="P1821" s="105" t="str">
        <f t="shared" si="795"/>
        <v/>
      </c>
      <c r="Q1821" s="105" t="str">
        <f t="shared" ref="Q1821:Q1884" si="810">IF(AND(ISNUMBER(O1821),I1821&gt;0),I1821*O1821,"")</f>
        <v/>
      </c>
      <c r="R1821" s="103" t="str">
        <f t="shared" si="796"/>
        <v/>
      </c>
      <c r="S1821" s="103" t="str">
        <f t="shared" si="797"/>
        <v/>
      </c>
      <c r="T1821" s="106" t="str">
        <f t="shared" ref="T1821:T1884" si="811">IF(AND(ISNUMBER(O1821),J1821&gt;0),J1821/100,"")</f>
        <v/>
      </c>
      <c r="U1821" s="106" t="str">
        <f t="shared" ref="U1821:U1884" si="812">IF(AND(ISNUMBER(O1821),J1821&gt;0),T1821*O1821,"")</f>
        <v/>
      </c>
      <c r="V1821" s="106" t="str">
        <f t="shared" ref="V1821:V1884" si="813">IF(AND(ISNUMBER(O1821),I1821&gt;0),W1821*O1821,"")</f>
        <v/>
      </c>
      <c r="W1821" s="105" t="str">
        <f t="shared" si="798"/>
        <v/>
      </c>
      <c r="X1821" s="104" t="str">
        <f t="shared" si="803"/>
        <v/>
      </c>
      <c r="Y1821" s="104" t="str">
        <f t="array" ref="Y1821">IFERROR(IF(ISNUMBER(O1821),IF(COUNT(IF(A1821=$A$2:$A$2427,IF(D1821=$D$2:$D$2427,IF($X$2:$X$2427&gt;0,1))))&gt;0,SUM(IF(A1821=$A$2:$A$2427,IF(D1821=$D$2:$D$2427,$X$2:$X$2427)))/COUNT(IF(A1821=$A$2:$A$2427,IF(D1821=$D$2:$D$2427,IF(ISNUMBER($X$2:$X$2427),1)))),0),""),0)</f>
        <v/>
      </c>
      <c r="Z1821" s="104" t="str">
        <f>IF(ISNUMBER(O1821),IF(I1821&gt;0,(10^(VLOOKUP(D1821,'Species Codes'!B:C,2,0)+VLOOKUP(D1821,'Species Codes'!B:D,3,0)*LOG(E1821)+VLOOKUP(D1821,'Species Codes'!B:E,4,0)*LOG(I1821))),0),"")</f>
        <v/>
      </c>
      <c r="AA1821" s="104" t="str">
        <f>IFERROR((VLOOKUP(D1821,'Species Codes'!B:G,6,0)*Z1821)/2000,"")</f>
        <v/>
      </c>
      <c r="AB1821" s="104" t="e">
        <f>IF(Z1821&gt;0,((IF(OR(D1821="DF",D1821="RA")=TRUE,EXP(VLOOKUP(D1821,'Species Codes'!B:I,8,0)+VLOOKUP(D1821,'Species Codes'!B:J,9,0)*(LN((E1821*2.54)))),IF(OR(D1821="PY",D1821="RC",D1821="WH",D1821="NF")=TRUE,VLOOKUP(D1821,'Species Codes'!B:I,8,0)+VLOOKUP(D1821,'Species Codes'!B:J,9,0)*((E1821*2.54)^2)*(I1821*0.3048),IF(OR(D1821="MD",D1821="BM",D1821="GA")=TRUE,((VLOOKUP(D1821,'Species Codes'!B:I,8,0)*(((((E1821*2.54)+VLOOKUP(D1821,'Species Codes'!B:J,9,0))/VLOOKUP(D1821,'Species Codes'!B:K,10,0))^VLOOKUP(D1821,'Species Codes'!B:L,11,0))*((I1821*0.3048)^VLOOKUP(D1821,'Species Codes'!B:M,12,0))))-(VLOOKUP(D1821,'Species Codes'!B:I,8,0)*((((E1821*2.54)^VLOOKUP(D1821,'Species Codes'!B:L,11,0))*((I1821*0.3048)^VLOOKUP(D1821,'Species Codes'!B:M,12,0))))))*35.3*VLOOKUP(D1821,'Species Codes'!B:G,6,0)/2.2046,VLOOKUP(D1821,'Species Codes'!B:I,8,0)+VLOOKUP(D1821,'Species Codes'!B:J,9,0)*(((E1821*2.54)/100)^2)*(I1821*0.3048)))))*0.0011023),0)</f>
        <v>#N/A</v>
      </c>
      <c r="AC1821" s="104" t="e">
        <f>IF(Z1821&gt;0,((IF(OR(D1821="RA",D1821="OA",D1821="OT",D1821="UN",D1821="PC"),EXP(VLOOKUP(D1821,'Species Codes'!B:O,14,0)+VLOOKUP(D1821,'Species Codes'!B:P,15,0)*LN((E1821*2.54)))-EXP(VLOOKUP(D1821,'Species Codes'!B:O,14,0)+VLOOKUP(D1821,'Species Codes'!B:P,15,0)*LN((E1821*2.54)))*(1/(VLOOKUP(D1821,'Species Codes'!B:Q,16,0)+VLOOKUP(D1821,'Species Codes'!B:R,17,0)*((E1821*2.54)^VLOOKUP(D1821,'Species Codes'!B:S,18,0)))),IF(OR(D1821="BM",D1821="MD",D1821="OA"),EXP(VLOOKUP(D1821,'Species Codes'!B:O,14,0)+VLOOKUP(D1821,'Species Codes'!B:P,15,0)*LN((E1821*2.54)))*(1-(1/(VLOOKUP(D1821,'Species Codes'!B:Q,16,0)+VLOOKUP(D1821,'Species Codes'!B:R,17,0)*((E1821*2.54)^VLOOKUP(D1821,'Species Codes'!B:S,18,0)))))/1000,IF(D1821="DF",EXP(VLOOKUP(D1821,'Species Codes'!B:O,14,0)+VLOOKUP(D1821,'Species Codes'!B:P,15,0)*LN((E1821*2.54))),VLOOKUP(D1821,'Species Codes'!B:O,14,0)+VLOOKUP(D1821,'Species Codes'!B:P,15,0)*(((E1821*2.54)/100)^2)*(I1821*0.3048)))))*0.0011023),0)</f>
        <v>#N/A</v>
      </c>
      <c r="AD1821" s="104" t="e">
        <f t="shared" ref="AD1821:AD1884" si="814">SUM(AA1821:AC1821)</f>
        <v>#N/A</v>
      </c>
      <c r="AE1821" s="104" t="e">
        <f t="shared" ref="AE1821:AE1884" si="815">AD1821*O1821</f>
        <v>#N/A</v>
      </c>
      <c r="AF1821" s="104" t="e">
        <f>IF(AND(VLOOKUP($D1821,Merchantability!$B:$C,2,0)="Yes",$E1821&gt;=VLOOKUP($D1821,Merchantability!$B:$D,3,0),$E1821&lt;=VLOOKUP($D1821,Merchantability!$B:$E,4,0)),AA1821,0)</f>
        <v>#N/A</v>
      </c>
      <c r="AG1821" s="104" t="e">
        <f>IF(AND(VLOOKUP($D1821,Merchantability!$B:$C,2,0)="Yes",$E1821&gt;=VLOOKUP($D1821,Merchantability!$B:$D,3,0),$E1821&lt;=VLOOKUP($D1821,Merchantability!$B:$E,4,0)),AB1821,0)</f>
        <v>#N/A</v>
      </c>
      <c r="AH1821" s="104" t="e">
        <f>IF(AND(VLOOKUP($D1821,Merchantability!$B:$C,2,0)="Yes",$E1821&gt;=VLOOKUP($D1821,Merchantability!$B:$D,3,0),$E1821&lt;=VLOOKUP($D1821,Merchantability!$B:$E,4,0)),AC1821,0)</f>
        <v>#N/A</v>
      </c>
      <c r="AI1821" s="104" t="e">
        <f t="shared" ref="AI1821:AI1884" si="816">SUM(AF1821:AH1821)</f>
        <v>#N/A</v>
      </c>
      <c r="AJ1821" s="104" t="e">
        <f t="shared" ref="AJ1821:AJ1884" si="817">AA1821*$O1821</f>
        <v>#VALUE!</v>
      </c>
      <c r="AK1821" s="104" t="e">
        <f t="shared" ref="AK1821:AK1884" si="818">AB1821*$O1821</f>
        <v>#N/A</v>
      </c>
      <c r="AL1821" s="104" t="e">
        <f t="shared" ref="AL1821:AL1884" si="819">AC1821*$O1821</f>
        <v>#N/A</v>
      </c>
      <c r="AM1821" s="104" t="e">
        <f t="shared" ref="AM1821:AM1884" si="820">AD1821*$O1821</f>
        <v>#N/A</v>
      </c>
      <c r="AN1821" s="104" t="e">
        <f t="shared" si="804"/>
        <v>#N/A</v>
      </c>
      <c r="AO1821" s="104" t="e">
        <f t="shared" si="805"/>
        <v>#N/A</v>
      </c>
      <c r="AP1821" s="104" t="e">
        <f t="shared" si="806"/>
        <v>#N/A</v>
      </c>
      <c r="AQ1821" s="104" t="e">
        <f t="shared" si="807"/>
        <v>#N/A</v>
      </c>
      <c r="AR1821" s="105" t="str">
        <f t="shared" si="799"/>
        <v/>
      </c>
      <c r="AS1821" s="105" t="str">
        <f t="shared" si="800"/>
        <v/>
      </c>
      <c r="AT1821" s="108" t="str">
        <f t="shared" si="801"/>
        <v/>
      </c>
      <c r="AU1821" s="108" t="str">
        <f t="shared" si="802"/>
        <v/>
      </c>
      <c r="AV1821" s="107" t="str">
        <f>IF(ISNUMBER(O1821),IF(VLOOKUP($A1821,Stand!C:J,8,FALSE)="Short",AT1821,AU1821),"")</f>
        <v/>
      </c>
      <c r="AW1821" s="109" t="str">
        <f t="shared" si="808"/>
        <v/>
      </c>
      <c r="AX1821" s="109" t="str">
        <f t="shared" si="809"/>
        <v/>
      </c>
      <c r="AY1821" s="112" t="str">
        <f>IF(ISNUMBER(O1821),IF(AND(VLOOKUP($D1821,Merchantability!$B:$C,2,0)="Yes",$E1821&gt;=VLOOKUP($D1821,Merchantability!$B:$D,3,0),$E1821&lt;=VLOOKUP($D1821,Merchantability!$B:$E,4,0)),(AV1821*O1821)*(1-$H1821/100),""),"")</f>
        <v/>
      </c>
      <c r="AZ1821" s="116"/>
      <c r="BA1821" s="116"/>
      <c r="BB1821" s="116"/>
      <c r="BE1821" s="62"/>
      <c r="BF1821" s="63"/>
    </row>
    <row r="1822" spans="1:58" ht="12.75" customHeight="1" x14ac:dyDescent="0.25">
      <c r="A1822" s="334"/>
      <c r="B1822" s="334"/>
      <c r="C1822" s="332"/>
      <c r="D1822" s="334"/>
      <c r="E1822" s="335"/>
      <c r="F1822" s="334"/>
      <c r="G1822" s="332"/>
      <c r="H1822" s="332"/>
      <c r="I1822" s="334"/>
      <c r="J1822" s="336"/>
      <c r="K1822" s="332"/>
      <c r="L1822" s="332"/>
      <c r="M1822" s="76"/>
      <c r="N1822" s="103" t="str">
        <f>IF(A1822="","",VLOOKUP(A1822,Stand!C:K,9,0))</f>
        <v/>
      </c>
      <c r="O1822" s="104" t="str">
        <f t="shared" si="794"/>
        <v/>
      </c>
      <c r="P1822" s="105" t="str">
        <f t="shared" si="795"/>
        <v/>
      </c>
      <c r="Q1822" s="105" t="str">
        <f t="shared" si="810"/>
        <v/>
      </c>
      <c r="R1822" s="103" t="str">
        <f t="shared" si="796"/>
        <v/>
      </c>
      <c r="S1822" s="103" t="str">
        <f t="shared" si="797"/>
        <v/>
      </c>
      <c r="T1822" s="106" t="str">
        <f t="shared" si="811"/>
        <v/>
      </c>
      <c r="U1822" s="106" t="str">
        <f t="shared" si="812"/>
        <v/>
      </c>
      <c r="V1822" s="106" t="str">
        <f t="shared" si="813"/>
        <v/>
      </c>
      <c r="W1822" s="105" t="str">
        <f t="shared" si="798"/>
        <v/>
      </c>
      <c r="X1822" s="104" t="str">
        <f t="shared" si="803"/>
        <v/>
      </c>
      <c r="Y1822" s="104" t="str">
        <f t="array" ref="Y1822">IFERROR(IF(ISNUMBER(O1822),IF(COUNT(IF(A1822=$A$2:$A$2427,IF(D1822=$D$2:$D$2427,IF($X$2:$X$2427&gt;0,1))))&gt;0,SUM(IF(A1822=$A$2:$A$2427,IF(D1822=$D$2:$D$2427,$X$2:$X$2427)))/COUNT(IF(A1822=$A$2:$A$2427,IF(D1822=$D$2:$D$2427,IF(ISNUMBER($X$2:$X$2427),1)))),0),""),0)</f>
        <v/>
      </c>
      <c r="Z1822" s="104" t="str">
        <f>IF(ISNUMBER(O1822),IF(I1822&gt;0,(10^(VLOOKUP(D1822,'Species Codes'!B:C,2,0)+VLOOKUP(D1822,'Species Codes'!B:D,3,0)*LOG(E1822)+VLOOKUP(D1822,'Species Codes'!B:E,4,0)*LOG(I1822))),0),"")</f>
        <v/>
      </c>
      <c r="AA1822" s="104" t="str">
        <f>IFERROR((VLOOKUP(D1822,'Species Codes'!B:G,6,0)*Z1822)/2000,"")</f>
        <v/>
      </c>
      <c r="AB1822" s="104" t="e">
        <f>IF(Z1822&gt;0,((IF(OR(D1822="DF",D1822="RA")=TRUE,EXP(VLOOKUP(D1822,'Species Codes'!B:I,8,0)+VLOOKUP(D1822,'Species Codes'!B:J,9,0)*(LN((E1822*2.54)))),IF(OR(D1822="PY",D1822="RC",D1822="WH",D1822="NF")=TRUE,VLOOKUP(D1822,'Species Codes'!B:I,8,0)+VLOOKUP(D1822,'Species Codes'!B:J,9,0)*((E1822*2.54)^2)*(I1822*0.3048),IF(OR(D1822="MD",D1822="BM",D1822="GA")=TRUE,((VLOOKUP(D1822,'Species Codes'!B:I,8,0)*(((((E1822*2.54)+VLOOKUP(D1822,'Species Codes'!B:J,9,0))/VLOOKUP(D1822,'Species Codes'!B:K,10,0))^VLOOKUP(D1822,'Species Codes'!B:L,11,0))*((I1822*0.3048)^VLOOKUP(D1822,'Species Codes'!B:M,12,0))))-(VLOOKUP(D1822,'Species Codes'!B:I,8,0)*((((E1822*2.54)^VLOOKUP(D1822,'Species Codes'!B:L,11,0))*((I1822*0.3048)^VLOOKUP(D1822,'Species Codes'!B:M,12,0))))))*35.3*VLOOKUP(D1822,'Species Codes'!B:G,6,0)/2.2046,VLOOKUP(D1822,'Species Codes'!B:I,8,0)+VLOOKUP(D1822,'Species Codes'!B:J,9,0)*(((E1822*2.54)/100)^2)*(I1822*0.3048)))))*0.0011023),0)</f>
        <v>#N/A</v>
      </c>
      <c r="AC1822" s="104" t="e">
        <f>IF(Z1822&gt;0,((IF(OR(D1822="RA",D1822="OA",D1822="OT",D1822="UN",D1822="PC"),EXP(VLOOKUP(D1822,'Species Codes'!B:O,14,0)+VLOOKUP(D1822,'Species Codes'!B:P,15,0)*LN((E1822*2.54)))-EXP(VLOOKUP(D1822,'Species Codes'!B:O,14,0)+VLOOKUP(D1822,'Species Codes'!B:P,15,0)*LN((E1822*2.54)))*(1/(VLOOKUP(D1822,'Species Codes'!B:Q,16,0)+VLOOKUP(D1822,'Species Codes'!B:R,17,0)*((E1822*2.54)^VLOOKUP(D1822,'Species Codes'!B:S,18,0)))),IF(OR(D1822="BM",D1822="MD",D1822="OA"),EXP(VLOOKUP(D1822,'Species Codes'!B:O,14,0)+VLOOKUP(D1822,'Species Codes'!B:P,15,0)*LN((E1822*2.54)))*(1-(1/(VLOOKUP(D1822,'Species Codes'!B:Q,16,0)+VLOOKUP(D1822,'Species Codes'!B:R,17,0)*((E1822*2.54)^VLOOKUP(D1822,'Species Codes'!B:S,18,0)))))/1000,IF(D1822="DF",EXP(VLOOKUP(D1822,'Species Codes'!B:O,14,0)+VLOOKUP(D1822,'Species Codes'!B:P,15,0)*LN((E1822*2.54))),VLOOKUP(D1822,'Species Codes'!B:O,14,0)+VLOOKUP(D1822,'Species Codes'!B:P,15,0)*(((E1822*2.54)/100)^2)*(I1822*0.3048)))))*0.0011023),0)</f>
        <v>#N/A</v>
      </c>
      <c r="AD1822" s="104" t="e">
        <f t="shared" si="814"/>
        <v>#N/A</v>
      </c>
      <c r="AE1822" s="104" t="e">
        <f t="shared" si="815"/>
        <v>#N/A</v>
      </c>
      <c r="AF1822" s="104" t="e">
        <f>IF(AND(VLOOKUP($D1822,Merchantability!$B:$C,2,0)="Yes",$E1822&gt;=VLOOKUP($D1822,Merchantability!$B:$D,3,0),$E1822&lt;=VLOOKUP($D1822,Merchantability!$B:$E,4,0)),AA1822,0)</f>
        <v>#N/A</v>
      </c>
      <c r="AG1822" s="104" t="e">
        <f>IF(AND(VLOOKUP($D1822,Merchantability!$B:$C,2,0)="Yes",$E1822&gt;=VLOOKUP($D1822,Merchantability!$B:$D,3,0),$E1822&lt;=VLOOKUP($D1822,Merchantability!$B:$E,4,0)),AB1822,0)</f>
        <v>#N/A</v>
      </c>
      <c r="AH1822" s="104" t="e">
        <f>IF(AND(VLOOKUP($D1822,Merchantability!$B:$C,2,0)="Yes",$E1822&gt;=VLOOKUP($D1822,Merchantability!$B:$D,3,0),$E1822&lt;=VLOOKUP($D1822,Merchantability!$B:$E,4,0)),AC1822,0)</f>
        <v>#N/A</v>
      </c>
      <c r="AI1822" s="104" t="e">
        <f t="shared" si="816"/>
        <v>#N/A</v>
      </c>
      <c r="AJ1822" s="104" t="e">
        <f t="shared" si="817"/>
        <v>#VALUE!</v>
      </c>
      <c r="AK1822" s="104" t="e">
        <f t="shared" si="818"/>
        <v>#N/A</v>
      </c>
      <c r="AL1822" s="104" t="e">
        <f t="shared" si="819"/>
        <v>#N/A</v>
      </c>
      <c r="AM1822" s="104" t="e">
        <f t="shared" si="820"/>
        <v>#N/A</v>
      </c>
      <c r="AN1822" s="104" t="e">
        <f t="shared" si="804"/>
        <v>#N/A</v>
      </c>
      <c r="AO1822" s="104" t="e">
        <f t="shared" si="805"/>
        <v>#N/A</v>
      </c>
      <c r="AP1822" s="104" t="e">
        <f t="shared" si="806"/>
        <v>#N/A</v>
      </c>
      <c r="AQ1822" s="104" t="e">
        <f t="shared" si="807"/>
        <v>#N/A</v>
      </c>
      <c r="AR1822" s="105" t="str">
        <f t="shared" si="799"/>
        <v/>
      </c>
      <c r="AS1822" s="105" t="str">
        <f t="shared" si="800"/>
        <v/>
      </c>
      <c r="AT1822" s="108" t="str">
        <f t="shared" si="801"/>
        <v/>
      </c>
      <c r="AU1822" s="108" t="str">
        <f t="shared" si="802"/>
        <v/>
      </c>
      <c r="AV1822" s="107" t="str">
        <f>IF(ISNUMBER(O1822),IF(VLOOKUP($A1822,Stand!C:J,8,FALSE)="Short",AT1822,AU1822),"")</f>
        <v/>
      </c>
      <c r="AW1822" s="109" t="str">
        <f t="shared" si="808"/>
        <v/>
      </c>
      <c r="AX1822" s="109" t="str">
        <f t="shared" si="809"/>
        <v/>
      </c>
      <c r="AY1822" s="112" t="str">
        <f>IF(ISNUMBER(O1822),IF(AND(VLOOKUP($D1822,Merchantability!$B:$C,2,0)="Yes",$E1822&gt;=VLOOKUP($D1822,Merchantability!$B:$D,3,0),$E1822&lt;=VLOOKUP($D1822,Merchantability!$B:$E,4,0)),(AV1822*O1822)*(1-$H1822/100),""),"")</f>
        <v/>
      </c>
      <c r="AZ1822" s="116"/>
      <c r="BA1822" s="116"/>
      <c r="BB1822" s="116"/>
      <c r="BE1822" s="62"/>
      <c r="BF1822" s="63"/>
    </row>
    <row r="1823" spans="1:58" ht="12.75" customHeight="1" x14ac:dyDescent="0.25">
      <c r="A1823" s="334"/>
      <c r="B1823" s="334"/>
      <c r="C1823" s="332"/>
      <c r="D1823" s="334"/>
      <c r="E1823" s="335"/>
      <c r="F1823" s="334"/>
      <c r="G1823" s="332"/>
      <c r="H1823" s="332"/>
      <c r="I1823" s="334"/>
      <c r="J1823" s="336"/>
      <c r="K1823" s="332"/>
      <c r="L1823" s="332"/>
      <c r="M1823" s="76"/>
      <c r="N1823" s="103" t="str">
        <f>IF(A1823="","",VLOOKUP(A1823,Stand!C:K,9,0))</f>
        <v/>
      </c>
      <c r="O1823" s="104" t="str">
        <f t="shared" si="794"/>
        <v/>
      </c>
      <c r="P1823" s="105" t="str">
        <f t="shared" si="795"/>
        <v/>
      </c>
      <c r="Q1823" s="105" t="str">
        <f t="shared" si="810"/>
        <v/>
      </c>
      <c r="R1823" s="103" t="str">
        <f t="shared" si="796"/>
        <v/>
      </c>
      <c r="S1823" s="103" t="str">
        <f t="shared" si="797"/>
        <v/>
      </c>
      <c r="T1823" s="106" t="str">
        <f t="shared" si="811"/>
        <v/>
      </c>
      <c r="U1823" s="106" t="str">
        <f t="shared" si="812"/>
        <v/>
      </c>
      <c r="V1823" s="106" t="str">
        <f t="shared" si="813"/>
        <v/>
      </c>
      <c r="W1823" s="105" t="str">
        <f t="shared" si="798"/>
        <v/>
      </c>
      <c r="X1823" s="104" t="str">
        <f t="shared" si="803"/>
        <v/>
      </c>
      <c r="Y1823" s="104" t="str">
        <f t="array" ref="Y1823">IFERROR(IF(ISNUMBER(O1823),IF(COUNT(IF(A1823=$A$2:$A$2427,IF(D1823=$D$2:$D$2427,IF($X$2:$X$2427&gt;0,1))))&gt;0,SUM(IF(A1823=$A$2:$A$2427,IF(D1823=$D$2:$D$2427,$X$2:$X$2427)))/COUNT(IF(A1823=$A$2:$A$2427,IF(D1823=$D$2:$D$2427,IF(ISNUMBER($X$2:$X$2427),1)))),0),""),0)</f>
        <v/>
      </c>
      <c r="Z1823" s="104" t="str">
        <f>IF(ISNUMBER(O1823),IF(I1823&gt;0,(10^(VLOOKUP(D1823,'Species Codes'!B:C,2,0)+VLOOKUP(D1823,'Species Codes'!B:D,3,0)*LOG(E1823)+VLOOKUP(D1823,'Species Codes'!B:E,4,0)*LOG(I1823))),0),"")</f>
        <v/>
      </c>
      <c r="AA1823" s="104" t="str">
        <f>IFERROR((VLOOKUP(D1823,'Species Codes'!B:G,6,0)*Z1823)/2000,"")</f>
        <v/>
      </c>
      <c r="AB1823" s="104" t="e">
        <f>IF(Z1823&gt;0,((IF(OR(D1823="DF",D1823="RA")=TRUE,EXP(VLOOKUP(D1823,'Species Codes'!B:I,8,0)+VLOOKUP(D1823,'Species Codes'!B:J,9,0)*(LN((E1823*2.54)))),IF(OR(D1823="PY",D1823="RC",D1823="WH",D1823="NF")=TRUE,VLOOKUP(D1823,'Species Codes'!B:I,8,0)+VLOOKUP(D1823,'Species Codes'!B:J,9,0)*((E1823*2.54)^2)*(I1823*0.3048),IF(OR(D1823="MD",D1823="BM",D1823="GA")=TRUE,((VLOOKUP(D1823,'Species Codes'!B:I,8,0)*(((((E1823*2.54)+VLOOKUP(D1823,'Species Codes'!B:J,9,0))/VLOOKUP(D1823,'Species Codes'!B:K,10,0))^VLOOKUP(D1823,'Species Codes'!B:L,11,0))*((I1823*0.3048)^VLOOKUP(D1823,'Species Codes'!B:M,12,0))))-(VLOOKUP(D1823,'Species Codes'!B:I,8,0)*((((E1823*2.54)^VLOOKUP(D1823,'Species Codes'!B:L,11,0))*((I1823*0.3048)^VLOOKUP(D1823,'Species Codes'!B:M,12,0))))))*35.3*VLOOKUP(D1823,'Species Codes'!B:G,6,0)/2.2046,VLOOKUP(D1823,'Species Codes'!B:I,8,0)+VLOOKUP(D1823,'Species Codes'!B:J,9,0)*(((E1823*2.54)/100)^2)*(I1823*0.3048)))))*0.0011023),0)</f>
        <v>#N/A</v>
      </c>
      <c r="AC1823" s="104" t="e">
        <f>IF(Z1823&gt;0,((IF(OR(D1823="RA",D1823="OA",D1823="OT",D1823="UN",D1823="PC"),EXP(VLOOKUP(D1823,'Species Codes'!B:O,14,0)+VLOOKUP(D1823,'Species Codes'!B:P,15,0)*LN((E1823*2.54)))-EXP(VLOOKUP(D1823,'Species Codes'!B:O,14,0)+VLOOKUP(D1823,'Species Codes'!B:P,15,0)*LN((E1823*2.54)))*(1/(VLOOKUP(D1823,'Species Codes'!B:Q,16,0)+VLOOKUP(D1823,'Species Codes'!B:R,17,0)*((E1823*2.54)^VLOOKUP(D1823,'Species Codes'!B:S,18,0)))),IF(OR(D1823="BM",D1823="MD",D1823="OA"),EXP(VLOOKUP(D1823,'Species Codes'!B:O,14,0)+VLOOKUP(D1823,'Species Codes'!B:P,15,0)*LN((E1823*2.54)))*(1-(1/(VLOOKUP(D1823,'Species Codes'!B:Q,16,0)+VLOOKUP(D1823,'Species Codes'!B:R,17,0)*((E1823*2.54)^VLOOKUP(D1823,'Species Codes'!B:S,18,0)))))/1000,IF(D1823="DF",EXP(VLOOKUP(D1823,'Species Codes'!B:O,14,0)+VLOOKUP(D1823,'Species Codes'!B:P,15,0)*LN((E1823*2.54))),VLOOKUP(D1823,'Species Codes'!B:O,14,0)+VLOOKUP(D1823,'Species Codes'!B:P,15,0)*(((E1823*2.54)/100)^2)*(I1823*0.3048)))))*0.0011023),0)</f>
        <v>#N/A</v>
      </c>
      <c r="AD1823" s="104" t="e">
        <f t="shared" si="814"/>
        <v>#N/A</v>
      </c>
      <c r="AE1823" s="104" t="e">
        <f t="shared" si="815"/>
        <v>#N/A</v>
      </c>
      <c r="AF1823" s="104" t="e">
        <f>IF(AND(VLOOKUP($D1823,Merchantability!$B:$C,2,0)="Yes",$E1823&gt;=VLOOKUP($D1823,Merchantability!$B:$D,3,0),$E1823&lt;=VLOOKUP($D1823,Merchantability!$B:$E,4,0)),AA1823,0)</f>
        <v>#N/A</v>
      </c>
      <c r="AG1823" s="104" t="e">
        <f>IF(AND(VLOOKUP($D1823,Merchantability!$B:$C,2,0)="Yes",$E1823&gt;=VLOOKUP($D1823,Merchantability!$B:$D,3,0),$E1823&lt;=VLOOKUP($D1823,Merchantability!$B:$E,4,0)),AB1823,0)</f>
        <v>#N/A</v>
      </c>
      <c r="AH1823" s="104" t="e">
        <f>IF(AND(VLOOKUP($D1823,Merchantability!$B:$C,2,0)="Yes",$E1823&gt;=VLOOKUP($D1823,Merchantability!$B:$D,3,0),$E1823&lt;=VLOOKUP($D1823,Merchantability!$B:$E,4,0)),AC1823,0)</f>
        <v>#N/A</v>
      </c>
      <c r="AI1823" s="104" t="e">
        <f t="shared" si="816"/>
        <v>#N/A</v>
      </c>
      <c r="AJ1823" s="104" t="e">
        <f t="shared" si="817"/>
        <v>#VALUE!</v>
      </c>
      <c r="AK1823" s="104" t="e">
        <f t="shared" si="818"/>
        <v>#N/A</v>
      </c>
      <c r="AL1823" s="104" t="e">
        <f t="shared" si="819"/>
        <v>#N/A</v>
      </c>
      <c r="AM1823" s="104" t="e">
        <f t="shared" si="820"/>
        <v>#N/A</v>
      </c>
      <c r="AN1823" s="104" t="e">
        <f t="shared" si="804"/>
        <v>#N/A</v>
      </c>
      <c r="AO1823" s="104" t="e">
        <f t="shared" si="805"/>
        <v>#N/A</v>
      </c>
      <c r="AP1823" s="104" t="e">
        <f t="shared" si="806"/>
        <v>#N/A</v>
      </c>
      <c r="AQ1823" s="104" t="e">
        <f t="shared" si="807"/>
        <v>#N/A</v>
      </c>
      <c r="AR1823" s="105" t="str">
        <f t="shared" si="799"/>
        <v/>
      </c>
      <c r="AS1823" s="105" t="str">
        <f t="shared" si="800"/>
        <v/>
      </c>
      <c r="AT1823" s="108" t="str">
        <f t="shared" si="801"/>
        <v/>
      </c>
      <c r="AU1823" s="108" t="str">
        <f t="shared" si="802"/>
        <v/>
      </c>
      <c r="AV1823" s="107" t="str">
        <f>IF(ISNUMBER(O1823),IF(VLOOKUP($A1823,Stand!C:J,8,FALSE)="Short",AT1823,AU1823),"")</f>
        <v/>
      </c>
      <c r="AW1823" s="109" t="str">
        <f t="shared" si="808"/>
        <v/>
      </c>
      <c r="AX1823" s="109" t="str">
        <f t="shared" si="809"/>
        <v/>
      </c>
      <c r="AY1823" s="112" t="str">
        <f>IF(ISNUMBER(O1823),IF(AND(VLOOKUP($D1823,Merchantability!$B:$C,2,0)="Yes",$E1823&gt;=VLOOKUP($D1823,Merchantability!$B:$D,3,0),$E1823&lt;=VLOOKUP($D1823,Merchantability!$B:$E,4,0)),(AV1823*O1823)*(1-$H1823/100),""),"")</f>
        <v/>
      </c>
      <c r="AZ1823" s="116"/>
      <c r="BA1823" s="116"/>
      <c r="BB1823" s="116"/>
      <c r="BE1823" s="62"/>
      <c r="BF1823" s="63"/>
    </row>
    <row r="1824" spans="1:58" ht="12.75" customHeight="1" x14ac:dyDescent="0.25">
      <c r="A1824" s="334"/>
      <c r="B1824" s="334"/>
      <c r="C1824" s="332"/>
      <c r="D1824" s="334"/>
      <c r="E1824" s="335"/>
      <c r="F1824" s="334"/>
      <c r="G1824" s="332"/>
      <c r="H1824" s="332"/>
      <c r="I1824" s="334"/>
      <c r="J1824" s="336"/>
      <c r="K1824" s="332"/>
      <c r="L1824" s="332"/>
      <c r="M1824" s="76"/>
      <c r="N1824" s="103" t="str">
        <f>IF(A1824="","",VLOOKUP(A1824,Stand!C:K,9,0))</f>
        <v/>
      </c>
      <c r="O1824" s="104" t="str">
        <f t="shared" si="794"/>
        <v/>
      </c>
      <c r="P1824" s="105" t="str">
        <f t="shared" si="795"/>
        <v/>
      </c>
      <c r="Q1824" s="105" t="str">
        <f t="shared" si="810"/>
        <v/>
      </c>
      <c r="R1824" s="103" t="str">
        <f t="shared" si="796"/>
        <v/>
      </c>
      <c r="S1824" s="103" t="str">
        <f t="shared" si="797"/>
        <v/>
      </c>
      <c r="T1824" s="106" t="str">
        <f t="shared" si="811"/>
        <v/>
      </c>
      <c r="U1824" s="106" t="str">
        <f t="shared" si="812"/>
        <v/>
      </c>
      <c r="V1824" s="106" t="str">
        <f t="shared" si="813"/>
        <v/>
      </c>
      <c r="W1824" s="105" t="str">
        <f t="shared" si="798"/>
        <v/>
      </c>
      <c r="X1824" s="104" t="str">
        <f t="shared" si="803"/>
        <v/>
      </c>
      <c r="Y1824" s="104" t="str">
        <f t="array" ref="Y1824">IFERROR(IF(ISNUMBER(O1824),IF(COUNT(IF(A1824=$A$2:$A$2427,IF(D1824=$D$2:$D$2427,IF($X$2:$X$2427&gt;0,1))))&gt;0,SUM(IF(A1824=$A$2:$A$2427,IF(D1824=$D$2:$D$2427,$X$2:$X$2427)))/COUNT(IF(A1824=$A$2:$A$2427,IF(D1824=$D$2:$D$2427,IF(ISNUMBER($X$2:$X$2427),1)))),0),""),0)</f>
        <v/>
      </c>
      <c r="Z1824" s="104" t="str">
        <f>IF(ISNUMBER(O1824),IF(I1824&gt;0,(10^(VLOOKUP(D1824,'Species Codes'!B:C,2,0)+VLOOKUP(D1824,'Species Codes'!B:D,3,0)*LOG(E1824)+VLOOKUP(D1824,'Species Codes'!B:E,4,0)*LOG(I1824))),0),"")</f>
        <v/>
      </c>
      <c r="AA1824" s="104" t="str">
        <f>IFERROR((VLOOKUP(D1824,'Species Codes'!B:G,6,0)*Z1824)/2000,"")</f>
        <v/>
      </c>
      <c r="AB1824" s="104" t="e">
        <f>IF(Z1824&gt;0,((IF(OR(D1824="DF",D1824="RA")=TRUE,EXP(VLOOKUP(D1824,'Species Codes'!B:I,8,0)+VLOOKUP(D1824,'Species Codes'!B:J,9,0)*(LN((E1824*2.54)))),IF(OR(D1824="PY",D1824="RC",D1824="WH",D1824="NF")=TRUE,VLOOKUP(D1824,'Species Codes'!B:I,8,0)+VLOOKUP(D1824,'Species Codes'!B:J,9,0)*((E1824*2.54)^2)*(I1824*0.3048),IF(OR(D1824="MD",D1824="BM",D1824="GA")=TRUE,((VLOOKUP(D1824,'Species Codes'!B:I,8,0)*(((((E1824*2.54)+VLOOKUP(D1824,'Species Codes'!B:J,9,0))/VLOOKUP(D1824,'Species Codes'!B:K,10,0))^VLOOKUP(D1824,'Species Codes'!B:L,11,0))*((I1824*0.3048)^VLOOKUP(D1824,'Species Codes'!B:M,12,0))))-(VLOOKUP(D1824,'Species Codes'!B:I,8,0)*((((E1824*2.54)^VLOOKUP(D1824,'Species Codes'!B:L,11,0))*((I1824*0.3048)^VLOOKUP(D1824,'Species Codes'!B:M,12,0))))))*35.3*VLOOKUP(D1824,'Species Codes'!B:G,6,0)/2.2046,VLOOKUP(D1824,'Species Codes'!B:I,8,0)+VLOOKUP(D1824,'Species Codes'!B:J,9,0)*(((E1824*2.54)/100)^2)*(I1824*0.3048)))))*0.0011023),0)</f>
        <v>#N/A</v>
      </c>
      <c r="AC1824" s="104" t="e">
        <f>IF(Z1824&gt;0,((IF(OR(D1824="RA",D1824="OA",D1824="OT",D1824="UN",D1824="PC"),EXP(VLOOKUP(D1824,'Species Codes'!B:O,14,0)+VLOOKUP(D1824,'Species Codes'!B:P,15,0)*LN((E1824*2.54)))-EXP(VLOOKUP(D1824,'Species Codes'!B:O,14,0)+VLOOKUP(D1824,'Species Codes'!B:P,15,0)*LN((E1824*2.54)))*(1/(VLOOKUP(D1824,'Species Codes'!B:Q,16,0)+VLOOKUP(D1824,'Species Codes'!B:R,17,0)*((E1824*2.54)^VLOOKUP(D1824,'Species Codes'!B:S,18,0)))),IF(OR(D1824="BM",D1824="MD",D1824="OA"),EXP(VLOOKUP(D1824,'Species Codes'!B:O,14,0)+VLOOKUP(D1824,'Species Codes'!B:P,15,0)*LN((E1824*2.54)))*(1-(1/(VLOOKUP(D1824,'Species Codes'!B:Q,16,0)+VLOOKUP(D1824,'Species Codes'!B:R,17,0)*((E1824*2.54)^VLOOKUP(D1824,'Species Codes'!B:S,18,0)))))/1000,IF(D1824="DF",EXP(VLOOKUP(D1824,'Species Codes'!B:O,14,0)+VLOOKUP(D1824,'Species Codes'!B:P,15,0)*LN((E1824*2.54))),VLOOKUP(D1824,'Species Codes'!B:O,14,0)+VLOOKUP(D1824,'Species Codes'!B:P,15,0)*(((E1824*2.54)/100)^2)*(I1824*0.3048)))))*0.0011023),0)</f>
        <v>#N/A</v>
      </c>
      <c r="AD1824" s="104" t="e">
        <f t="shared" si="814"/>
        <v>#N/A</v>
      </c>
      <c r="AE1824" s="104" t="e">
        <f t="shared" si="815"/>
        <v>#N/A</v>
      </c>
      <c r="AF1824" s="104" t="e">
        <f>IF(AND(VLOOKUP($D1824,Merchantability!$B:$C,2,0)="Yes",$E1824&gt;=VLOOKUP($D1824,Merchantability!$B:$D,3,0),$E1824&lt;=VLOOKUP($D1824,Merchantability!$B:$E,4,0)),AA1824,0)</f>
        <v>#N/A</v>
      </c>
      <c r="AG1824" s="104" t="e">
        <f>IF(AND(VLOOKUP($D1824,Merchantability!$B:$C,2,0)="Yes",$E1824&gt;=VLOOKUP($D1824,Merchantability!$B:$D,3,0),$E1824&lt;=VLOOKUP($D1824,Merchantability!$B:$E,4,0)),AB1824,0)</f>
        <v>#N/A</v>
      </c>
      <c r="AH1824" s="104" t="e">
        <f>IF(AND(VLOOKUP($D1824,Merchantability!$B:$C,2,0)="Yes",$E1824&gt;=VLOOKUP($D1824,Merchantability!$B:$D,3,0),$E1824&lt;=VLOOKUP($D1824,Merchantability!$B:$E,4,0)),AC1824,0)</f>
        <v>#N/A</v>
      </c>
      <c r="AI1824" s="104" t="e">
        <f t="shared" si="816"/>
        <v>#N/A</v>
      </c>
      <c r="AJ1824" s="104" t="e">
        <f t="shared" si="817"/>
        <v>#VALUE!</v>
      </c>
      <c r="AK1824" s="104" t="e">
        <f t="shared" si="818"/>
        <v>#N/A</v>
      </c>
      <c r="AL1824" s="104" t="e">
        <f t="shared" si="819"/>
        <v>#N/A</v>
      </c>
      <c r="AM1824" s="104" t="e">
        <f t="shared" si="820"/>
        <v>#N/A</v>
      </c>
      <c r="AN1824" s="104" t="e">
        <f t="shared" si="804"/>
        <v>#N/A</v>
      </c>
      <c r="AO1824" s="104" t="e">
        <f t="shared" si="805"/>
        <v>#N/A</v>
      </c>
      <c r="AP1824" s="104" t="e">
        <f t="shared" si="806"/>
        <v>#N/A</v>
      </c>
      <c r="AQ1824" s="104" t="e">
        <f t="shared" si="807"/>
        <v>#N/A</v>
      </c>
      <c r="AR1824" s="105" t="str">
        <f t="shared" si="799"/>
        <v/>
      </c>
      <c r="AS1824" s="105" t="str">
        <f t="shared" si="800"/>
        <v/>
      </c>
      <c r="AT1824" s="108" t="str">
        <f t="shared" si="801"/>
        <v/>
      </c>
      <c r="AU1824" s="108" t="str">
        <f t="shared" si="802"/>
        <v/>
      </c>
      <c r="AV1824" s="107" t="str">
        <f>IF(ISNUMBER(O1824),IF(VLOOKUP($A1824,Stand!C:J,8,FALSE)="Short",AT1824,AU1824),"")</f>
        <v/>
      </c>
      <c r="AW1824" s="109" t="str">
        <f t="shared" si="808"/>
        <v/>
      </c>
      <c r="AX1824" s="109" t="str">
        <f t="shared" si="809"/>
        <v/>
      </c>
      <c r="AY1824" s="112" t="str">
        <f>IF(ISNUMBER(O1824),IF(AND(VLOOKUP($D1824,Merchantability!$B:$C,2,0)="Yes",$E1824&gt;=VLOOKUP($D1824,Merchantability!$B:$D,3,0),$E1824&lt;=VLOOKUP($D1824,Merchantability!$B:$E,4,0)),(AV1824*O1824)*(1-$H1824/100),""),"")</f>
        <v/>
      </c>
      <c r="AZ1824" s="116"/>
      <c r="BA1824" s="116"/>
      <c r="BB1824" s="116"/>
      <c r="BE1824" s="62"/>
      <c r="BF1824" s="63"/>
    </row>
    <row r="1825" spans="1:58" ht="12.75" customHeight="1" x14ac:dyDescent="0.25">
      <c r="A1825" s="334"/>
      <c r="B1825" s="334"/>
      <c r="C1825" s="332"/>
      <c r="D1825" s="334"/>
      <c r="E1825" s="335"/>
      <c r="F1825" s="334"/>
      <c r="G1825" s="332"/>
      <c r="H1825" s="332"/>
      <c r="I1825" s="334"/>
      <c r="J1825" s="336"/>
      <c r="K1825" s="332"/>
      <c r="L1825" s="332"/>
      <c r="M1825" s="76"/>
      <c r="N1825" s="103" t="str">
        <f>IF(A1825="","",VLOOKUP(A1825,Stand!C:K,9,0))</f>
        <v/>
      </c>
      <c r="O1825" s="104" t="str">
        <f t="shared" si="794"/>
        <v/>
      </c>
      <c r="P1825" s="105" t="str">
        <f t="shared" si="795"/>
        <v/>
      </c>
      <c r="Q1825" s="105" t="str">
        <f t="shared" si="810"/>
        <v/>
      </c>
      <c r="R1825" s="103" t="str">
        <f t="shared" si="796"/>
        <v/>
      </c>
      <c r="S1825" s="103" t="str">
        <f t="shared" si="797"/>
        <v/>
      </c>
      <c r="T1825" s="106" t="str">
        <f t="shared" si="811"/>
        <v/>
      </c>
      <c r="U1825" s="106" t="str">
        <f t="shared" si="812"/>
        <v/>
      </c>
      <c r="V1825" s="106" t="str">
        <f t="shared" si="813"/>
        <v/>
      </c>
      <c r="W1825" s="105" t="str">
        <f t="shared" si="798"/>
        <v/>
      </c>
      <c r="X1825" s="104" t="str">
        <f t="shared" si="803"/>
        <v/>
      </c>
      <c r="Y1825" s="104" t="str">
        <f t="array" ref="Y1825">IFERROR(IF(ISNUMBER(O1825),IF(COUNT(IF(A1825=$A$2:$A$2427,IF(D1825=$D$2:$D$2427,IF($X$2:$X$2427&gt;0,1))))&gt;0,SUM(IF(A1825=$A$2:$A$2427,IF(D1825=$D$2:$D$2427,$X$2:$X$2427)))/COUNT(IF(A1825=$A$2:$A$2427,IF(D1825=$D$2:$D$2427,IF(ISNUMBER($X$2:$X$2427),1)))),0),""),0)</f>
        <v/>
      </c>
      <c r="Z1825" s="104" t="str">
        <f>IF(ISNUMBER(O1825),IF(I1825&gt;0,(10^(VLOOKUP(D1825,'Species Codes'!B:C,2,0)+VLOOKUP(D1825,'Species Codes'!B:D,3,0)*LOG(E1825)+VLOOKUP(D1825,'Species Codes'!B:E,4,0)*LOG(I1825))),0),"")</f>
        <v/>
      </c>
      <c r="AA1825" s="104" t="str">
        <f>IFERROR((VLOOKUP(D1825,'Species Codes'!B:G,6,0)*Z1825)/2000,"")</f>
        <v/>
      </c>
      <c r="AB1825" s="104" t="e">
        <f>IF(Z1825&gt;0,((IF(OR(D1825="DF",D1825="RA")=TRUE,EXP(VLOOKUP(D1825,'Species Codes'!B:I,8,0)+VLOOKUP(D1825,'Species Codes'!B:J,9,0)*(LN((E1825*2.54)))),IF(OR(D1825="PY",D1825="RC",D1825="WH",D1825="NF")=TRUE,VLOOKUP(D1825,'Species Codes'!B:I,8,0)+VLOOKUP(D1825,'Species Codes'!B:J,9,0)*((E1825*2.54)^2)*(I1825*0.3048),IF(OR(D1825="MD",D1825="BM",D1825="GA")=TRUE,((VLOOKUP(D1825,'Species Codes'!B:I,8,0)*(((((E1825*2.54)+VLOOKUP(D1825,'Species Codes'!B:J,9,0))/VLOOKUP(D1825,'Species Codes'!B:K,10,0))^VLOOKUP(D1825,'Species Codes'!B:L,11,0))*((I1825*0.3048)^VLOOKUP(D1825,'Species Codes'!B:M,12,0))))-(VLOOKUP(D1825,'Species Codes'!B:I,8,0)*((((E1825*2.54)^VLOOKUP(D1825,'Species Codes'!B:L,11,0))*((I1825*0.3048)^VLOOKUP(D1825,'Species Codes'!B:M,12,0))))))*35.3*VLOOKUP(D1825,'Species Codes'!B:G,6,0)/2.2046,VLOOKUP(D1825,'Species Codes'!B:I,8,0)+VLOOKUP(D1825,'Species Codes'!B:J,9,0)*(((E1825*2.54)/100)^2)*(I1825*0.3048)))))*0.0011023),0)</f>
        <v>#N/A</v>
      </c>
      <c r="AC1825" s="104" t="e">
        <f>IF(Z1825&gt;0,((IF(OR(D1825="RA",D1825="OA",D1825="OT",D1825="UN",D1825="PC"),EXP(VLOOKUP(D1825,'Species Codes'!B:O,14,0)+VLOOKUP(D1825,'Species Codes'!B:P,15,0)*LN((E1825*2.54)))-EXP(VLOOKUP(D1825,'Species Codes'!B:O,14,0)+VLOOKUP(D1825,'Species Codes'!B:P,15,0)*LN((E1825*2.54)))*(1/(VLOOKUP(D1825,'Species Codes'!B:Q,16,0)+VLOOKUP(D1825,'Species Codes'!B:R,17,0)*((E1825*2.54)^VLOOKUP(D1825,'Species Codes'!B:S,18,0)))),IF(OR(D1825="BM",D1825="MD",D1825="OA"),EXP(VLOOKUP(D1825,'Species Codes'!B:O,14,0)+VLOOKUP(D1825,'Species Codes'!B:P,15,0)*LN((E1825*2.54)))*(1-(1/(VLOOKUP(D1825,'Species Codes'!B:Q,16,0)+VLOOKUP(D1825,'Species Codes'!B:R,17,0)*((E1825*2.54)^VLOOKUP(D1825,'Species Codes'!B:S,18,0)))))/1000,IF(D1825="DF",EXP(VLOOKUP(D1825,'Species Codes'!B:O,14,0)+VLOOKUP(D1825,'Species Codes'!B:P,15,0)*LN((E1825*2.54))),VLOOKUP(D1825,'Species Codes'!B:O,14,0)+VLOOKUP(D1825,'Species Codes'!B:P,15,0)*(((E1825*2.54)/100)^2)*(I1825*0.3048)))))*0.0011023),0)</f>
        <v>#N/A</v>
      </c>
      <c r="AD1825" s="104" t="e">
        <f t="shared" si="814"/>
        <v>#N/A</v>
      </c>
      <c r="AE1825" s="104" t="e">
        <f t="shared" si="815"/>
        <v>#N/A</v>
      </c>
      <c r="AF1825" s="104" t="e">
        <f>IF(AND(VLOOKUP($D1825,Merchantability!$B:$C,2,0)="Yes",$E1825&gt;=VLOOKUP($D1825,Merchantability!$B:$D,3,0),$E1825&lt;=VLOOKUP($D1825,Merchantability!$B:$E,4,0)),AA1825,0)</f>
        <v>#N/A</v>
      </c>
      <c r="AG1825" s="104" t="e">
        <f>IF(AND(VLOOKUP($D1825,Merchantability!$B:$C,2,0)="Yes",$E1825&gt;=VLOOKUP($D1825,Merchantability!$B:$D,3,0),$E1825&lt;=VLOOKUP($D1825,Merchantability!$B:$E,4,0)),AB1825,0)</f>
        <v>#N/A</v>
      </c>
      <c r="AH1825" s="104" t="e">
        <f>IF(AND(VLOOKUP($D1825,Merchantability!$B:$C,2,0)="Yes",$E1825&gt;=VLOOKUP($D1825,Merchantability!$B:$D,3,0),$E1825&lt;=VLOOKUP($D1825,Merchantability!$B:$E,4,0)),AC1825,0)</f>
        <v>#N/A</v>
      </c>
      <c r="AI1825" s="104" t="e">
        <f t="shared" si="816"/>
        <v>#N/A</v>
      </c>
      <c r="AJ1825" s="104" t="e">
        <f t="shared" si="817"/>
        <v>#VALUE!</v>
      </c>
      <c r="AK1825" s="104" t="e">
        <f t="shared" si="818"/>
        <v>#N/A</v>
      </c>
      <c r="AL1825" s="104" t="e">
        <f t="shared" si="819"/>
        <v>#N/A</v>
      </c>
      <c r="AM1825" s="104" t="e">
        <f t="shared" si="820"/>
        <v>#N/A</v>
      </c>
      <c r="AN1825" s="104" t="e">
        <f t="shared" si="804"/>
        <v>#N/A</v>
      </c>
      <c r="AO1825" s="104" t="e">
        <f t="shared" si="805"/>
        <v>#N/A</v>
      </c>
      <c r="AP1825" s="104" t="e">
        <f t="shared" si="806"/>
        <v>#N/A</v>
      </c>
      <c r="AQ1825" s="104" t="e">
        <f t="shared" si="807"/>
        <v>#N/A</v>
      </c>
      <c r="AR1825" s="105" t="str">
        <f t="shared" si="799"/>
        <v/>
      </c>
      <c r="AS1825" s="105" t="str">
        <f t="shared" si="800"/>
        <v/>
      </c>
      <c r="AT1825" s="108" t="str">
        <f t="shared" si="801"/>
        <v/>
      </c>
      <c r="AU1825" s="108" t="str">
        <f t="shared" si="802"/>
        <v/>
      </c>
      <c r="AV1825" s="107" t="str">
        <f>IF(ISNUMBER(O1825),IF(VLOOKUP($A1825,Stand!C:J,8,FALSE)="Short",AT1825,AU1825),"")</f>
        <v/>
      </c>
      <c r="AW1825" s="109" t="str">
        <f t="shared" si="808"/>
        <v/>
      </c>
      <c r="AX1825" s="109" t="str">
        <f t="shared" si="809"/>
        <v/>
      </c>
      <c r="AY1825" s="112" t="str">
        <f>IF(ISNUMBER(O1825),IF(AND(VLOOKUP($D1825,Merchantability!$B:$C,2,0)="Yes",$E1825&gt;=VLOOKUP($D1825,Merchantability!$B:$D,3,0),$E1825&lt;=VLOOKUP($D1825,Merchantability!$B:$E,4,0)),(AV1825*O1825)*(1-$H1825/100),""),"")</f>
        <v/>
      </c>
      <c r="AZ1825" s="116"/>
      <c r="BA1825" s="116"/>
      <c r="BB1825" s="116"/>
      <c r="BE1825" s="62"/>
      <c r="BF1825" s="63"/>
    </row>
    <row r="1826" spans="1:58" ht="12.75" customHeight="1" x14ac:dyDescent="0.25">
      <c r="A1826" s="334"/>
      <c r="B1826" s="334"/>
      <c r="C1826" s="332"/>
      <c r="D1826" s="334"/>
      <c r="E1826" s="335"/>
      <c r="F1826" s="334"/>
      <c r="G1826" s="332"/>
      <c r="H1826" s="332"/>
      <c r="I1826" s="334"/>
      <c r="J1826" s="336"/>
      <c r="K1826" s="332"/>
      <c r="L1826" s="332"/>
      <c r="M1826" s="76"/>
      <c r="N1826" s="103" t="str">
        <f>IF(A1826="","",VLOOKUP(A1826,Stand!C:K,9,0))</f>
        <v/>
      </c>
      <c r="O1826" s="104" t="str">
        <f t="shared" si="794"/>
        <v/>
      </c>
      <c r="P1826" s="105" t="str">
        <f t="shared" si="795"/>
        <v/>
      </c>
      <c r="Q1826" s="105" t="str">
        <f t="shared" si="810"/>
        <v/>
      </c>
      <c r="R1826" s="103" t="str">
        <f t="shared" si="796"/>
        <v/>
      </c>
      <c r="S1826" s="103" t="str">
        <f t="shared" si="797"/>
        <v/>
      </c>
      <c r="T1826" s="106" t="str">
        <f t="shared" si="811"/>
        <v/>
      </c>
      <c r="U1826" s="106" t="str">
        <f t="shared" si="812"/>
        <v/>
      </c>
      <c r="V1826" s="106" t="str">
        <f t="shared" si="813"/>
        <v/>
      </c>
      <c r="W1826" s="105" t="str">
        <f t="shared" si="798"/>
        <v/>
      </c>
      <c r="X1826" s="104" t="str">
        <f t="shared" si="803"/>
        <v/>
      </c>
      <c r="Y1826" s="104" t="str">
        <f t="array" ref="Y1826">IFERROR(IF(ISNUMBER(O1826),IF(COUNT(IF(A1826=$A$2:$A$2427,IF(D1826=$D$2:$D$2427,IF($X$2:$X$2427&gt;0,1))))&gt;0,SUM(IF(A1826=$A$2:$A$2427,IF(D1826=$D$2:$D$2427,$X$2:$X$2427)))/COUNT(IF(A1826=$A$2:$A$2427,IF(D1826=$D$2:$D$2427,IF(ISNUMBER($X$2:$X$2427),1)))),0),""),0)</f>
        <v/>
      </c>
      <c r="Z1826" s="104" t="str">
        <f>IF(ISNUMBER(O1826),IF(I1826&gt;0,(10^(VLOOKUP(D1826,'Species Codes'!B:C,2,0)+VLOOKUP(D1826,'Species Codes'!B:D,3,0)*LOG(E1826)+VLOOKUP(D1826,'Species Codes'!B:E,4,0)*LOG(I1826))),0),"")</f>
        <v/>
      </c>
      <c r="AA1826" s="104" t="str">
        <f>IFERROR((VLOOKUP(D1826,'Species Codes'!B:G,6,0)*Z1826)/2000,"")</f>
        <v/>
      </c>
      <c r="AB1826" s="104" t="e">
        <f>IF(Z1826&gt;0,((IF(OR(D1826="DF",D1826="RA")=TRUE,EXP(VLOOKUP(D1826,'Species Codes'!B:I,8,0)+VLOOKUP(D1826,'Species Codes'!B:J,9,0)*(LN((E1826*2.54)))),IF(OR(D1826="PY",D1826="RC",D1826="WH",D1826="NF")=TRUE,VLOOKUP(D1826,'Species Codes'!B:I,8,0)+VLOOKUP(D1826,'Species Codes'!B:J,9,0)*((E1826*2.54)^2)*(I1826*0.3048),IF(OR(D1826="MD",D1826="BM",D1826="GA")=TRUE,((VLOOKUP(D1826,'Species Codes'!B:I,8,0)*(((((E1826*2.54)+VLOOKUP(D1826,'Species Codes'!B:J,9,0))/VLOOKUP(D1826,'Species Codes'!B:K,10,0))^VLOOKUP(D1826,'Species Codes'!B:L,11,0))*((I1826*0.3048)^VLOOKUP(D1826,'Species Codes'!B:M,12,0))))-(VLOOKUP(D1826,'Species Codes'!B:I,8,0)*((((E1826*2.54)^VLOOKUP(D1826,'Species Codes'!B:L,11,0))*((I1826*0.3048)^VLOOKUP(D1826,'Species Codes'!B:M,12,0))))))*35.3*VLOOKUP(D1826,'Species Codes'!B:G,6,0)/2.2046,VLOOKUP(D1826,'Species Codes'!B:I,8,0)+VLOOKUP(D1826,'Species Codes'!B:J,9,0)*(((E1826*2.54)/100)^2)*(I1826*0.3048)))))*0.0011023),0)</f>
        <v>#N/A</v>
      </c>
      <c r="AC1826" s="104" t="e">
        <f>IF(Z1826&gt;0,((IF(OR(D1826="RA",D1826="OA",D1826="OT",D1826="UN",D1826="PC"),EXP(VLOOKUP(D1826,'Species Codes'!B:O,14,0)+VLOOKUP(D1826,'Species Codes'!B:P,15,0)*LN((E1826*2.54)))-EXP(VLOOKUP(D1826,'Species Codes'!B:O,14,0)+VLOOKUP(D1826,'Species Codes'!B:P,15,0)*LN((E1826*2.54)))*(1/(VLOOKUP(D1826,'Species Codes'!B:Q,16,0)+VLOOKUP(D1826,'Species Codes'!B:R,17,0)*((E1826*2.54)^VLOOKUP(D1826,'Species Codes'!B:S,18,0)))),IF(OR(D1826="BM",D1826="MD",D1826="OA"),EXP(VLOOKUP(D1826,'Species Codes'!B:O,14,0)+VLOOKUP(D1826,'Species Codes'!B:P,15,0)*LN((E1826*2.54)))*(1-(1/(VLOOKUP(D1826,'Species Codes'!B:Q,16,0)+VLOOKUP(D1826,'Species Codes'!B:R,17,0)*((E1826*2.54)^VLOOKUP(D1826,'Species Codes'!B:S,18,0)))))/1000,IF(D1826="DF",EXP(VLOOKUP(D1826,'Species Codes'!B:O,14,0)+VLOOKUP(D1826,'Species Codes'!B:P,15,0)*LN((E1826*2.54))),VLOOKUP(D1826,'Species Codes'!B:O,14,0)+VLOOKUP(D1826,'Species Codes'!B:P,15,0)*(((E1826*2.54)/100)^2)*(I1826*0.3048)))))*0.0011023),0)</f>
        <v>#N/A</v>
      </c>
      <c r="AD1826" s="104" t="e">
        <f t="shared" si="814"/>
        <v>#N/A</v>
      </c>
      <c r="AE1826" s="104" t="e">
        <f t="shared" si="815"/>
        <v>#N/A</v>
      </c>
      <c r="AF1826" s="104" t="e">
        <f>IF(AND(VLOOKUP($D1826,Merchantability!$B:$C,2,0)="Yes",$E1826&gt;=VLOOKUP($D1826,Merchantability!$B:$D,3,0),$E1826&lt;=VLOOKUP($D1826,Merchantability!$B:$E,4,0)),AA1826,0)</f>
        <v>#N/A</v>
      </c>
      <c r="AG1826" s="104" t="e">
        <f>IF(AND(VLOOKUP($D1826,Merchantability!$B:$C,2,0)="Yes",$E1826&gt;=VLOOKUP($D1826,Merchantability!$B:$D,3,0),$E1826&lt;=VLOOKUP($D1826,Merchantability!$B:$E,4,0)),AB1826,0)</f>
        <v>#N/A</v>
      </c>
      <c r="AH1826" s="104" t="e">
        <f>IF(AND(VLOOKUP($D1826,Merchantability!$B:$C,2,0)="Yes",$E1826&gt;=VLOOKUP($D1826,Merchantability!$B:$D,3,0),$E1826&lt;=VLOOKUP($D1826,Merchantability!$B:$E,4,0)),AC1826,0)</f>
        <v>#N/A</v>
      </c>
      <c r="AI1826" s="104" t="e">
        <f t="shared" si="816"/>
        <v>#N/A</v>
      </c>
      <c r="AJ1826" s="104" t="e">
        <f t="shared" si="817"/>
        <v>#VALUE!</v>
      </c>
      <c r="AK1826" s="104" t="e">
        <f t="shared" si="818"/>
        <v>#N/A</v>
      </c>
      <c r="AL1826" s="104" t="e">
        <f t="shared" si="819"/>
        <v>#N/A</v>
      </c>
      <c r="AM1826" s="104" t="e">
        <f t="shared" si="820"/>
        <v>#N/A</v>
      </c>
      <c r="AN1826" s="104" t="e">
        <f t="shared" si="804"/>
        <v>#N/A</v>
      </c>
      <c r="AO1826" s="104" t="e">
        <f t="shared" si="805"/>
        <v>#N/A</v>
      </c>
      <c r="AP1826" s="104" t="e">
        <f t="shared" si="806"/>
        <v>#N/A</v>
      </c>
      <c r="AQ1826" s="104" t="e">
        <f t="shared" si="807"/>
        <v>#N/A</v>
      </c>
      <c r="AR1826" s="105" t="str">
        <f t="shared" si="799"/>
        <v/>
      </c>
      <c r="AS1826" s="105" t="str">
        <f t="shared" si="800"/>
        <v/>
      </c>
      <c r="AT1826" s="108" t="str">
        <f t="shared" si="801"/>
        <v/>
      </c>
      <c r="AU1826" s="108" t="str">
        <f t="shared" si="802"/>
        <v/>
      </c>
      <c r="AV1826" s="107" t="str">
        <f>IF(ISNUMBER(O1826),IF(VLOOKUP($A1826,Stand!C:J,8,FALSE)="Short",AT1826,AU1826),"")</f>
        <v/>
      </c>
      <c r="AW1826" s="109" t="str">
        <f t="shared" si="808"/>
        <v/>
      </c>
      <c r="AX1826" s="109" t="str">
        <f t="shared" si="809"/>
        <v/>
      </c>
      <c r="AY1826" s="112" t="str">
        <f>IF(ISNUMBER(O1826),IF(AND(VLOOKUP($D1826,Merchantability!$B:$C,2,0)="Yes",$E1826&gt;=VLOOKUP($D1826,Merchantability!$B:$D,3,0),$E1826&lt;=VLOOKUP($D1826,Merchantability!$B:$E,4,0)),(AV1826*O1826)*(1-$H1826/100),""),"")</f>
        <v/>
      </c>
      <c r="AZ1826" s="116"/>
      <c r="BA1826" s="116"/>
      <c r="BB1826" s="116"/>
      <c r="BE1826" s="62"/>
      <c r="BF1826" s="63"/>
    </row>
    <row r="1827" spans="1:58" ht="12.75" customHeight="1" x14ac:dyDescent="0.25">
      <c r="A1827" s="334"/>
      <c r="B1827" s="334"/>
      <c r="C1827" s="332"/>
      <c r="D1827" s="334"/>
      <c r="E1827" s="335"/>
      <c r="F1827" s="334"/>
      <c r="G1827" s="332"/>
      <c r="H1827" s="332"/>
      <c r="I1827" s="334"/>
      <c r="J1827" s="336"/>
      <c r="K1827" s="332"/>
      <c r="L1827" s="332"/>
      <c r="M1827" s="76"/>
      <c r="N1827" s="103" t="str">
        <f>IF(A1827="","",VLOOKUP(A1827,Stand!C:K,9,0))</f>
        <v/>
      </c>
      <c r="O1827" s="104" t="str">
        <f t="shared" si="794"/>
        <v/>
      </c>
      <c r="P1827" s="105" t="str">
        <f t="shared" si="795"/>
        <v/>
      </c>
      <c r="Q1827" s="105" t="str">
        <f t="shared" si="810"/>
        <v/>
      </c>
      <c r="R1827" s="103" t="str">
        <f t="shared" si="796"/>
        <v/>
      </c>
      <c r="S1827" s="103" t="str">
        <f t="shared" si="797"/>
        <v/>
      </c>
      <c r="T1827" s="106" t="str">
        <f t="shared" si="811"/>
        <v/>
      </c>
      <c r="U1827" s="106" t="str">
        <f t="shared" si="812"/>
        <v/>
      </c>
      <c r="V1827" s="106" t="str">
        <f t="shared" si="813"/>
        <v/>
      </c>
      <c r="W1827" s="105" t="str">
        <f t="shared" si="798"/>
        <v/>
      </c>
      <c r="X1827" s="104" t="str">
        <f t="shared" si="803"/>
        <v/>
      </c>
      <c r="Y1827" s="104" t="str">
        <f t="array" ref="Y1827">IFERROR(IF(ISNUMBER(O1827),IF(COUNT(IF(A1827=$A$2:$A$2427,IF(D1827=$D$2:$D$2427,IF($X$2:$X$2427&gt;0,1))))&gt;0,SUM(IF(A1827=$A$2:$A$2427,IF(D1827=$D$2:$D$2427,$X$2:$X$2427)))/COUNT(IF(A1827=$A$2:$A$2427,IF(D1827=$D$2:$D$2427,IF(ISNUMBER($X$2:$X$2427),1)))),0),""),0)</f>
        <v/>
      </c>
      <c r="Z1827" s="104" t="str">
        <f>IF(ISNUMBER(O1827),IF(I1827&gt;0,(10^(VLOOKUP(D1827,'Species Codes'!B:C,2,0)+VLOOKUP(D1827,'Species Codes'!B:D,3,0)*LOG(E1827)+VLOOKUP(D1827,'Species Codes'!B:E,4,0)*LOG(I1827))),0),"")</f>
        <v/>
      </c>
      <c r="AA1827" s="104" t="str">
        <f>IFERROR((VLOOKUP(D1827,'Species Codes'!B:G,6,0)*Z1827)/2000,"")</f>
        <v/>
      </c>
      <c r="AB1827" s="104" t="e">
        <f>IF(Z1827&gt;0,((IF(OR(D1827="DF",D1827="RA")=TRUE,EXP(VLOOKUP(D1827,'Species Codes'!B:I,8,0)+VLOOKUP(D1827,'Species Codes'!B:J,9,0)*(LN((E1827*2.54)))),IF(OR(D1827="PY",D1827="RC",D1827="WH",D1827="NF")=TRUE,VLOOKUP(D1827,'Species Codes'!B:I,8,0)+VLOOKUP(D1827,'Species Codes'!B:J,9,0)*((E1827*2.54)^2)*(I1827*0.3048),IF(OR(D1827="MD",D1827="BM",D1827="GA")=TRUE,((VLOOKUP(D1827,'Species Codes'!B:I,8,0)*(((((E1827*2.54)+VLOOKUP(D1827,'Species Codes'!B:J,9,0))/VLOOKUP(D1827,'Species Codes'!B:K,10,0))^VLOOKUP(D1827,'Species Codes'!B:L,11,0))*((I1827*0.3048)^VLOOKUP(D1827,'Species Codes'!B:M,12,0))))-(VLOOKUP(D1827,'Species Codes'!B:I,8,0)*((((E1827*2.54)^VLOOKUP(D1827,'Species Codes'!B:L,11,0))*((I1827*0.3048)^VLOOKUP(D1827,'Species Codes'!B:M,12,0))))))*35.3*VLOOKUP(D1827,'Species Codes'!B:G,6,0)/2.2046,VLOOKUP(D1827,'Species Codes'!B:I,8,0)+VLOOKUP(D1827,'Species Codes'!B:J,9,0)*(((E1827*2.54)/100)^2)*(I1827*0.3048)))))*0.0011023),0)</f>
        <v>#N/A</v>
      </c>
      <c r="AC1827" s="104" t="e">
        <f>IF(Z1827&gt;0,((IF(OR(D1827="RA",D1827="OA",D1827="OT",D1827="UN",D1827="PC"),EXP(VLOOKUP(D1827,'Species Codes'!B:O,14,0)+VLOOKUP(D1827,'Species Codes'!B:P,15,0)*LN((E1827*2.54)))-EXP(VLOOKUP(D1827,'Species Codes'!B:O,14,0)+VLOOKUP(D1827,'Species Codes'!B:P,15,0)*LN((E1827*2.54)))*(1/(VLOOKUP(D1827,'Species Codes'!B:Q,16,0)+VLOOKUP(D1827,'Species Codes'!B:R,17,0)*((E1827*2.54)^VLOOKUP(D1827,'Species Codes'!B:S,18,0)))),IF(OR(D1827="BM",D1827="MD",D1827="OA"),EXP(VLOOKUP(D1827,'Species Codes'!B:O,14,0)+VLOOKUP(D1827,'Species Codes'!B:P,15,0)*LN((E1827*2.54)))*(1-(1/(VLOOKUP(D1827,'Species Codes'!B:Q,16,0)+VLOOKUP(D1827,'Species Codes'!B:R,17,0)*((E1827*2.54)^VLOOKUP(D1827,'Species Codes'!B:S,18,0)))))/1000,IF(D1827="DF",EXP(VLOOKUP(D1827,'Species Codes'!B:O,14,0)+VLOOKUP(D1827,'Species Codes'!B:P,15,0)*LN((E1827*2.54))),VLOOKUP(D1827,'Species Codes'!B:O,14,0)+VLOOKUP(D1827,'Species Codes'!B:P,15,0)*(((E1827*2.54)/100)^2)*(I1827*0.3048)))))*0.0011023),0)</f>
        <v>#N/A</v>
      </c>
      <c r="AD1827" s="104" t="e">
        <f t="shared" si="814"/>
        <v>#N/A</v>
      </c>
      <c r="AE1827" s="104" t="e">
        <f t="shared" si="815"/>
        <v>#N/A</v>
      </c>
      <c r="AF1827" s="104" t="e">
        <f>IF(AND(VLOOKUP($D1827,Merchantability!$B:$C,2,0)="Yes",$E1827&gt;=VLOOKUP($D1827,Merchantability!$B:$D,3,0),$E1827&lt;=VLOOKUP($D1827,Merchantability!$B:$E,4,0)),AA1827,0)</f>
        <v>#N/A</v>
      </c>
      <c r="AG1827" s="104" t="e">
        <f>IF(AND(VLOOKUP($D1827,Merchantability!$B:$C,2,0)="Yes",$E1827&gt;=VLOOKUP($D1827,Merchantability!$B:$D,3,0),$E1827&lt;=VLOOKUP($D1827,Merchantability!$B:$E,4,0)),AB1827,0)</f>
        <v>#N/A</v>
      </c>
      <c r="AH1827" s="104" t="e">
        <f>IF(AND(VLOOKUP($D1827,Merchantability!$B:$C,2,0)="Yes",$E1827&gt;=VLOOKUP($D1827,Merchantability!$B:$D,3,0),$E1827&lt;=VLOOKUP($D1827,Merchantability!$B:$E,4,0)),AC1827,0)</f>
        <v>#N/A</v>
      </c>
      <c r="AI1827" s="104" t="e">
        <f t="shared" si="816"/>
        <v>#N/A</v>
      </c>
      <c r="AJ1827" s="104" t="e">
        <f t="shared" si="817"/>
        <v>#VALUE!</v>
      </c>
      <c r="AK1827" s="104" t="e">
        <f t="shared" si="818"/>
        <v>#N/A</v>
      </c>
      <c r="AL1827" s="104" t="e">
        <f t="shared" si="819"/>
        <v>#N/A</v>
      </c>
      <c r="AM1827" s="104" t="e">
        <f t="shared" si="820"/>
        <v>#N/A</v>
      </c>
      <c r="AN1827" s="104" t="e">
        <f t="shared" si="804"/>
        <v>#N/A</v>
      </c>
      <c r="AO1827" s="104" t="e">
        <f t="shared" si="805"/>
        <v>#N/A</v>
      </c>
      <c r="AP1827" s="104" t="e">
        <f t="shared" si="806"/>
        <v>#N/A</v>
      </c>
      <c r="AQ1827" s="104" t="e">
        <f t="shared" si="807"/>
        <v>#N/A</v>
      </c>
      <c r="AR1827" s="105" t="str">
        <f t="shared" si="799"/>
        <v/>
      </c>
      <c r="AS1827" s="105" t="str">
        <f t="shared" si="800"/>
        <v/>
      </c>
      <c r="AT1827" s="108" t="str">
        <f t="shared" si="801"/>
        <v/>
      </c>
      <c r="AU1827" s="108" t="str">
        <f t="shared" si="802"/>
        <v/>
      </c>
      <c r="AV1827" s="107" t="str">
        <f>IF(ISNUMBER(O1827),IF(VLOOKUP($A1827,Stand!C:J,8,FALSE)="Short",AT1827,AU1827),"")</f>
        <v/>
      </c>
      <c r="AW1827" s="109" t="str">
        <f t="shared" si="808"/>
        <v/>
      </c>
      <c r="AX1827" s="109" t="str">
        <f t="shared" si="809"/>
        <v/>
      </c>
      <c r="AY1827" s="112" t="str">
        <f>IF(ISNUMBER(O1827),IF(AND(VLOOKUP($D1827,Merchantability!$B:$C,2,0)="Yes",$E1827&gt;=VLOOKUP($D1827,Merchantability!$B:$D,3,0),$E1827&lt;=VLOOKUP($D1827,Merchantability!$B:$E,4,0)),(AV1827*O1827)*(1-$H1827/100),""),"")</f>
        <v/>
      </c>
      <c r="AZ1827" s="116"/>
      <c r="BA1827" s="116"/>
      <c r="BB1827" s="116"/>
      <c r="BE1827" s="62"/>
      <c r="BF1827" s="63"/>
    </row>
    <row r="1828" spans="1:58" ht="12.75" customHeight="1" x14ac:dyDescent="0.25">
      <c r="A1828" s="334"/>
      <c r="B1828" s="334"/>
      <c r="C1828" s="332"/>
      <c r="D1828" s="334"/>
      <c r="E1828" s="335"/>
      <c r="F1828" s="334"/>
      <c r="G1828" s="332"/>
      <c r="H1828" s="332"/>
      <c r="I1828" s="334"/>
      <c r="J1828" s="336"/>
      <c r="K1828" s="332"/>
      <c r="L1828" s="332"/>
      <c r="M1828" s="76"/>
      <c r="N1828" s="103" t="str">
        <f>IF(A1828="","",VLOOKUP(A1828,Stand!C:K,9,0))</f>
        <v/>
      </c>
      <c r="O1828" s="104" t="str">
        <f t="shared" si="794"/>
        <v/>
      </c>
      <c r="P1828" s="105" t="str">
        <f t="shared" si="795"/>
        <v/>
      </c>
      <c r="Q1828" s="105" t="str">
        <f t="shared" si="810"/>
        <v/>
      </c>
      <c r="R1828" s="103" t="str">
        <f t="shared" si="796"/>
        <v/>
      </c>
      <c r="S1828" s="103" t="str">
        <f t="shared" si="797"/>
        <v/>
      </c>
      <c r="T1828" s="106" t="str">
        <f t="shared" si="811"/>
        <v/>
      </c>
      <c r="U1828" s="106" t="str">
        <f t="shared" si="812"/>
        <v/>
      </c>
      <c r="V1828" s="106" t="str">
        <f t="shared" si="813"/>
        <v/>
      </c>
      <c r="W1828" s="105" t="str">
        <f t="shared" si="798"/>
        <v/>
      </c>
      <c r="X1828" s="104" t="str">
        <f t="shared" si="803"/>
        <v/>
      </c>
      <c r="Y1828" s="104" t="str">
        <f t="array" ref="Y1828">IFERROR(IF(ISNUMBER(O1828),IF(COUNT(IF(A1828=$A$2:$A$2427,IF(D1828=$D$2:$D$2427,IF($X$2:$X$2427&gt;0,1))))&gt;0,SUM(IF(A1828=$A$2:$A$2427,IF(D1828=$D$2:$D$2427,$X$2:$X$2427)))/COUNT(IF(A1828=$A$2:$A$2427,IF(D1828=$D$2:$D$2427,IF(ISNUMBER($X$2:$X$2427),1)))),0),""),0)</f>
        <v/>
      </c>
      <c r="Z1828" s="104" t="str">
        <f>IF(ISNUMBER(O1828),IF(I1828&gt;0,(10^(VLOOKUP(D1828,'Species Codes'!B:C,2,0)+VLOOKUP(D1828,'Species Codes'!B:D,3,0)*LOG(E1828)+VLOOKUP(D1828,'Species Codes'!B:E,4,0)*LOG(I1828))),0),"")</f>
        <v/>
      </c>
      <c r="AA1828" s="104" t="str">
        <f>IFERROR((VLOOKUP(D1828,'Species Codes'!B:G,6,0)*Z1828)/2000,"")</f>
        <v/>
      </c>
      <c r="AB1828" s="104" t="e">
        <f>IF(Z1828&gt;0,((IF(OR(D1828="DF",D1828="RA")=TRUE,EXP(VLOOKUP(D1828,'Species Codes'!B:I,8,0)+VLOOKUP(D1828,'Species Codes'!B:J,9,0)*(LN((E1828*2.54)))),IF(OR(D1828="PY",D1828="RC",D1828="WH",D1828="NF")=TRUE,VLOOKUP(D1828,'Species Codes'!B:I,8,0)+VLOOKUP(D1828,'Species Codes'!B:J,9,0)*((E1828*2.54)^2)*(I1828*0.3048),IF(OR(D1828="MD",D1828="BM",D1828="GA")=TRUE,((VLOOKUP(D1828,'Species Codes'!B:I,8,0)*(((((E1828*2.54)+VLOOKUP(D1828,'Species Codes'!B:J,9,0))/VLOOKUP(D1828,'Species Codes'!B:K,10,0))^VLOOKUP(D1828,'Species Codes'!B:L,11,0))*((I1828*0.3048)^VLOOKUP(D1828,'Species Codes'!B:M,12,0))))-(VLOOKUP(D1828,'Species Codes'!B:I,8,0)*((((E1828*2.54)^VLOOKUP(D1828,'Species Codes'!B:L,11,0))*((I1828*0.3048)^VLOOKUP(D1828,'Species Codes'!B:M,12,0))))))*35.3*VLOOKUP(D1828,'Species Codes'!B:G,6,0)/2.2046,VLOOKUP(D1828,'Species Codes'!B:I,8,0)+VLOOKUP(D1828,'Species Codes'!B:J,9,0)*(((E1828*2.54)/100)^2)*(I1828*0.3048)))))*0.0011023),0)</f>
        <v>#N/A</v>
      </c>
      <c r="AC1828" s="104" t="e">
        <f>IF(Z1828&gt;0,((IF(OR(D1828="RA",D1828="OA",D1828="OT",D1828="UN",D1828="PC"),EXP(VLOOKUP(D1828,'Species Codes'!B:O,14,0)+VLOOKUP(D1828,'Species Codes'!B:P,15,0)*LN((E1828*2.54)))-EXP(VLOOKUP(D1828,'Species Codes'!B:O,14,0)+VLOOKUP(D1828,'Species Codes'!B:P,15,0)*LN((E1828*2.54)))*(1/(VLOOKUP(D1828,'Species Codes'!B:Q,16,0)+VLOOKUP(D1828,'Species Codes'!B:R,17,0)*((E1828*2.54)^VLOOKUP(D1828,'Species Codes'!B:S,18,0)))),IF(OR(D1828="BM",D1828="MD",D1828="OA"),EXP(VLOOKUP(D1828,'Species Codes'!B:O,14,0)+VLOOKUP(D1828,'Species Codes'!B:P,15,0)*LN((E1828*2.54)))*(1-(1/(VLOOKUP(D1828,'Species Codes'!B:Q,16,0)+VLOOKUP(D1828,'Species Codes'!B:R,17,0)*((E1828*2.54)^VLOOKUP(D1828,'Species Codes'!B:S,18,0)))))/1000,IF(D1828="DF",EXP(VLOOKUP(D1828,'Species Codes'!B:O,14,0)+VLOOKUP(D1828,'Species Codes'!B:P,15,0)*LN((E1828*2.54))),VLOOKUP(D1828,'Species Codes'!B:O,14,0)+VLOOKUP(D1828,'Species Codes'!B:P,15,0)*(((E1828*2.54)/100)^2)*(I1828*0.3048)))))*0.0011023),0)</f>
        <v>#N/A</v>
      </c>
      <c r="AD1828" s="104" t="e">
        <f t="shared" si="814"/>
        <v>#N/A</v>
      </c>
      <c r="AE1828" s="104" t="e">
        <f t="shared" si="815"/>
        <v>#N/A</v>
      </c>
      <c r="AF1828" s="104" t="e">
        <f>IF(AND(VLOOKUP($D1828,Merchantability!$B:$C,2,0)="Yes",$E1828&gt;=VLOOKUP($D1828,Merchantability!$B:$D,3,0),$E1828&lt;=VLOOKUP($D1828,Merchantability!$B:$E,4,0)),AA1828,0)</f>
        <v>#N/A</v>
      </c>
      <c r="AG1828" s="104" t="e">
        <f>IF(AND(VLOOKUP($D1828,Merchantability!$B:$C,2,0)="Yes",$E1828&gt;=VLOOKUP($D1828,Merchantability!$B:$D,3,0),$E1828&lt;=VLOOKUP($D1828,Merchantability!$B:$E,4,0)),AB1828,0)</f>
        <v>#N/A</v>
      </c>
      <c r="AH1828" s="104" t="e">
        <f>IF(AND(VLOOKUP($D1828,Merchantability!$B:$C,2,0)="Yes",$E1828&gt;=VLOOKUP($D1828,Merchantability!$B:$D,3,0),$E1828&lt;=VLOOKUP($D1828,Merchantability!$B:$E,4,0)),AC1828,0)</f>
        <v>#N/A</v>
      </c>
      <c r="AI1828" s="104" t="e">
        <f t="shared" si="816"/>
        <v>#N/A</v>
      </c>
      <c r="AJ1828" s="104" t="e">
        <f t="shared" si="817"/>
        <v>#VALUE!</v>
      </c>
      <c r="AK1828" s="104" t="e">
        <f t="shared" si="818"/>
        <v>#N/A</v>
      </c>
      <c r="AL1828" s="104" t="e">
        <f t="shared" si="819"/>
        <v>#N/A</v>
      </c>
      <c r="AM1828" s="104" t="e">
        <f t="shared" si="820"/>
        <v>#N/A</v>
      </c>
      <c r="AN1828" s="104" t="e">
        <f t="shared" si="804"/>
        <v>#N/A</v>
      </c>
      <c r="AO1828" s="104" t="e">
        <f t="shared" si="805"/>
        <v>#N/A</v>
      </c>
      <c r="AP1828" s="104" t="e">
        <f t="shared" si="806"/>
        <v>#N/A</v>
      </c>
      <c r="AQ1828" s="104" t="e">
        <f t="shared" si="807"/>
        <v>#N/A</v>
      </c>
      <c r="AR1828" s="105" t="str">
        <f t="shared" si="799"/>
        <v/>
      </c>
      <c r="AS1828" s="105" t="str">
        <f t="shared" si="800"/>
        <v/>
      </c>
      <c r="AT1828" s="108" t="str">
        <f t="shared" si="801"/>
        <v/>
      </c>
      <c r="AU1828" s="108" t="str">
        <f t="shared" si="802"/>
        <v/>
      </c>
      <c r="AV1828" s="107" t="str">
        <f>IF(ISNUMBER(O1828),IF(VLOOKUP($A1828,Stand!C:J,8,FALSE)="Short",AT1828,AU1828),"")</f>
        <v/>
      </c>
      <c r="AW1828" s="109" t="str">
        <f t="shared" si="808"/>
        <v/>
      </c>
      <c r="AX1828" s="109" t="str">
        <f t="shared" si="809"/>
        <v/>
      </c>
      <c r="AY1828" s="112" t="str">
        <f>IF(ISNUMBER(O1828),IF(AND(VLOOKUP($D1828,Merchantability!$B:$C,2,0)="Yes",$E1828&gt;=VLOOKUP($D1828,Merchantability!$B:$D,3,0),$E1828&lt;=VLOOKUP($D1828,Merchantability!$B:$E,4,0)),(AV1828*O1828)*(1-$H1828/100),""),"")</f>
        <v/>
      </c>
      <c r="AZ1828" s="116"/>
      <c r="BA1828" s="116"/>
      <c r="BB1828" s="116"/>
      <c r="BE1828" s="62"/>
      <c r="BF1828" s="63"/>
    </row>
    <row r="1829" spans="1:58" ht="12.75" customHeight="1" x14ac:dyDescent="0.25">
      <c r="A1829" s="334"/>
      <c r="B1829" s="334"/>
      <c r="C1829" s="332"/>
      <c r="D1829" s="334"/>
      <c r="E1829" s="335"/>
      <c r="F1829" s="334"/>
      <c r="G1829" s="332"/>
      <c r="H1829" s="332"/>
      <c r="I1829" s="334"/>
      <c r="J1829" s="336"/>
      <c r="K1829" s="332"/>
      <c r="L1829" s="332"/>
      <c r="M1829" s="76"/>
      <c r="N1829" s="103" t="str">
        <f>IF(A1829="","",VLOOKUP(A1829,Stand!C:K,9,0))</f>
        <v/>
      </c>
      <c r="O1829" s="104" t="str">
        <f t="shared" si="794"/>
        <v/>
      </c>
      <c r="P1829" s="105" t="str">
        <f t="shared" si="795"/>
        <v/>
      </c>
      <c r="Q1829" s="105" t="str">
        <f t="shared" si="810"/>
        <v/>
      </c>
      <c r="R1829" s="103" t="str">
        <f t="shared" si="796"/>
        <v/>
      </c>
      <c r="S1829" s="103" t="str">
        <f t="shared" si="797"/>
        <v/>
      </c>
      <c r="T1829" s="106" t="str">
        <f t="shared" si="811"/>
        <v/>
      </c>
      <c r="U1829" s="106" t="str">
        <f t="shared" si="812"/>
        <v/>
      </c>
      <c r="V1829" s="106" t="str">
        <f t="shared" si="813"/>
        <v/>
      </c>
      <c r="W1829" s="105" t="str">
        <f t="shared" si="798"/>
        <v/>
      </c>
      <c r="X1829" s="104" t="str">
        <f t="shared" si="803"/>
        <v/>
      </c>
      <c r="Y1829" s="104" t="str">
        <f t="array" ref="Y1829">IFERROR(IF(ISNUMBER(O1829),IF(COUNT(IF(A1829=$A$2:$A$2427,IF(D1829=$D$2:$D$2427,IF($X$2:$X$2427&gt;0,1))))&gt;0,SUM(IF(A1829=$A$2:$A$2427,IF(D1829=$D$2:$D$2427,$X$2:$X$2427)))/COUNT(IF(A1829=$A$2:$A$2427,IF(D1829=$D$2:$D$2427,IF(ISNUMBER($X$2:$X$2427),1)))),0),""),0)</f>
        <v/>
      </c>
      <c r="Z1829" s="104" t="str">
        <f>IF(ISNUMBER(O1829),IF(I1829&gt;0,(10^(VLOOKUP(D1829,'Species Codes'!B:C,2,0)+VLOOKUP(D1829,'Species Codes'!B:D,3,0)*LOG(E1829)+VLOOKUP(D1829,'Species Codes'!B:E,4,0)*LOG(I1829))),0),"")</f>
        <v/>
      </c>
      <c r="AA1829" s="104" t="str">
        <f>IFERROR((VLOOKUP(D1829,'Species Codes'!B:G,6,0)*Z1829)/2000,"")</f>
        <v/>
      </c>
      <c r="AB1829" s="104" t="e">
        <f>IF(Z1829&gt;0,((IF(OR(D1829="DF",D1829="RA")=TRUE,EXP(VLOOKUP(D1829,'Species Codes'!B:I,8,0)+VLOOKUP(D1829,'Species Codes'!B:J,9,0)*(LN((E1829*2.54)))),IF(OR(D1829="PY",D1829="RC",D1829="WH",D1829="NF")=TRUE,VLOOKUP(D1829,'Species Codes'!B:I,8,0)+VLOOKUP(D1829,'Species Codes'!B:J,9,0)*((E1829*2.54)^2)*(I1829*0.3048),IF(OR(D1829="MD",D1829="BM",D1829="GA")=TRUE,((VLOOKUP(D1829,'Species Codes'!B:I,8,0)*(((((E1829*2.54)+VLOOKUP(D1829,'Species Codes'!B:J,9,0))/VLOOKUP(D1829,'Species Codes'!B:K,10,0))^VLOOKUP(D1829,'Species Codes'!B:L,11,0))*((I1829*0.3048)^VLOOKUP(D1829,'Species Codes'!B:M,12,0))))-(VLOOKUP(D1829,'Species Codes'!B:I,8,0)*((((E1829*2.54)^VLOOKUP(D1829,'Species Codes'!B:L,11,0))*((I1829*0.3048)^VLOOKUP(D1829,'Species Codes'!B:M,12,0))))))*35.3*VLOOKUP(D1829,'Species Codes'!B:G,6,0)/2.2046,VLOOKUP(D1829,'Species Codes'!B:I,8,0)+VLOOKUP(D1829,'Species Codes'!B:J,9,0)*(((E1829*2.54)/100)^2)*(I1829*0.3048)))))*0.0011023),0)</f>
        <v>#N/A</v>
      </c>
      <c r="AC1829" s="104" t="e">
        <f>IF(Z1829&gt;0,((IF(OR(D1829="RA",D1829="OA",D1829="OT",D1829="UN",D1829="PC"),EXP(VLOOKUP(D1829,'Species Codes'!B:O,14,0)+VLOOKUP(D1829,'Species Codes'!B:P,15,0)*LN((E1829*2.54)))-EXP(VLOOKUP(D1829,'Species Codes'!B:O,14,0)+VLOOKUP(D1829,'Species Codes'!B:P,15,0)*LN((E1829*2.54)))*(1/(VLOOKUP(D1829,'Species Codes'!B:Q,16,0)+VLOOKUP(D1829,'Species Codes'!B:R,17,0)*((E1829*2.54)^VLOOKUP(D1829,'Species Codes'!B:S,18,0)))),IF(OR(D1829="BM",D1829="MD",D1829="OA"),EXP(VLOOKUP(D1829,'Species Codes'!B:O,14,0)+VLOOKUP(D1829,'Species Codes'!B:P,15,0)*LN((E1829*2.54)))*(1-(1/(VLOOKUP(D1829,'Species Codes'!B:Q,16,0)+VLOOKUP(D1829,'Species Codes'!B:R,17,0)*((E1829*2.54)^VLOOKUP(D1829,'Species Codes'!B:S,18,0)))))/1000,IF(D1829="DF",EXP(VLOOKUP(D1829,'Species Codes'!B:O,14,0)+VLOOKUP(D1829,'Species Codes'!B:P,15,0)*LN((E1829*2.54))),VLOOKUP(D1829,'Species Codes'!B:O,14,0)+VLOOKUP(D1829,'Species Codes'!B:P,15,0)*(((E1829*2.54)/100)^2)*(I1829*0.3048)))))*0.0011023),0)</f>
        <v>#N/A</v>
      </c>
      <c r="AD1829" s="104" t="e">
        <f t="shared" si="814"/>
        <v>#N/A</v>
      </c>
      <c r="AE1829" s="104" t="e">
        <f t="shared" si="815"/>
        <v>#N/A</v>
      </c>
      <c r="AF1829" s="104" t="e">
        <f>IF(AND(VLOOKUP($D1829,Merchantability!$B:$C,2,0)="Yes",$E1829&gt;=VLOOKUP($D1829,Merchantability!$B:$D,3,0),$E1829&lt;=VLOOKUP($D1829,Merchantability!$B:$E,4,0)),AA1829,0)</f>
        <v>#N/A</v>
      </c>
      <c r="AG1829" s="104" t="e">
        <f>IF(AND(VLOOKUP($D1829,Merchantability!$B:$C,2,0)="Yes",$E1829&gt;=VLOOKUP($D1829,Merchantability!$B:$D,3,0),$E1829&lt;=VLOOKUP($D1829,Merchantability!$B:$E,4,0)),AB1829,0)</f>
        <v>#N/A</v>
      </c>
      <c r="AH1829" s="104" t="e">
        <f>IF(AND(VLOOKUP($D1829,Merchantability!$B:$C,2,0)="Yes",$E1829&gt;=VLOOKUP($D1829,Merchantability!$B:$D,3,0),$E1829&lt;=VLOOKUP($D1829,Merchantability!$B:$E,4,0)),AC1829,0)</f>
        <v>#N/A</v>
      </c>
      <c r="AI1829" s="104" t="e">
        <f t="shared" si="816"/>
        <v>#N/A</v>
      </c>
      <c r="AJ1829" s="104" t="e">
        <f t="shared" si="817"/>
        <v>#VALUE!</v>
      </c>
      <c r="AK1829" s="104" t="e">
        <f t="shared" si="818"/>
        <v>#N/A</v>
      </c>
      <c r="AL1829" s="104" t="e">
        <f t="shared" si="819"/>
        <v>#N/A</v>
      </c>
      <c r="AM1829" s="104" t="e">
        <f t="shared" si="820"/>
        <v>#N/A</v>
      </c>
      <c r="AN1829" s="104" t="e">
        <f t="shared" si="804"/>
        <v>#N/A</v>
      </c>
      <c r="AO1829" s="104" t="e">
        <f t="shared" si="805"/>
        <v>#N/A</v>
      </c>
      <c r="AP1829" s="104" t="e">
        <f t="shared" si="806"/>
        <v>#N/A</v>
      </c>
      <c r="AQ1829" s="104" t="e">
        <f t="shared" si="807"/>
        <v>#N/A</v>
      </c>
      <c r="AR1829" s="105" t="str">
        <f t="shared" si="799"/>
        <v/>
      </c>
      <c r="AS1829" s="105" t="str">
        <f t="shared" si="800"/>
        <v/>
      </c>
      <c r="AT1829" s="108" t="str">
        <f t="shared" si="801"/>
        <v/>
      </c>
      <c r="AU1829" s="108" t="str">
        <f t="shared" si="802"/>
        <v/>
      </c>
      <c r="AV1829" s="107" t="str">
        <f>IF(ISNUMBER(O1829),IF(VLOOKUP($A1829,Stand!C:J,8,FALSE)="Short",AT1829,AU1829),"")</f>
        <v/>
      </c>
      <c r="AW1829" s="109" t="str">
        <f t="shared" si="808"/>
        <v/>
      </c>
      <c r="AX1829" s="109" t="str">
        <f t="shared" si="809"/>
        <v/>
      </c>
      <c r="AY1829" s="112" t="str">
        <f>IF(ISNUMBER(O1829),IF(AND(VLOOKUP($D1829,Merchantability!$B:$C,2,0)="Yes",$E1829&gt;=VLOOKUP($D1829,Merchantability!$B:$D,3,0),$E1829&lt;=VLOOKUP($D1829,Merchantability!$B:$E,4,0)),(AV1829*O1829)*(1-$H1829/100),""),"")</f>
        <v/>
      </c>
      <c r="AZ1829" s="116"/>
      <c r="BA1829" s="116"/>
      <c r="BB1829" s="116"/>
      <c r="BE1829" s="62"/>
      <c r="BF1829" s="63"/>
    </row>
    <row r="1830" spans="1:58" ht="12.75" customHeight="1" x14ac:dyDescent="0.25">
      <c r="A1830" s="334"/>
      <c r="B1830" s="334"/>
      <c r="C1830" s="332"/>
      <c r="D1830" s="334"/>
      <c r="E1830" s="335"/>
      <c r="F1830" s="334"/>
      <c r="G1830" s="332"/>
      <c r="H1830" s="332"/>
      <c r="I1830" s="334"/>
      <c r="J1830" s="336"/>
      <c r="K1830" s="332"/>
      <c r="L1830" s="332"/>
      <c r="M1830" s="76"/>
      <c r="N1830" s="103" t="str">
        <f>IF(A1830="","",VLOOKUP(A1830,Stand!C:K,9,0))</f>
        <v/>
      </c>
      <c r="O1830" s="104" t="str">
        <f t="shared" si="794"/>
        <v/>
      </c>
      <c r="P1830" s="105" t="str">
        <f t="shared" si="795"/>
        <v/>
      </c>
      <c r="Q1830" s="105" t="str">
        <f t="shared" si="810"/>
        <v/>
      </c>
      <c r="R1830" s="103" t="str">
        <f t="shared" si="796"/>
        <v/>
      </c>
      <c r="S1830" s="103" t="str">
        <f t="shared" si="797"/>
        <v/>
      </c>
      <c r="T1830" s="106" t="str">
        <f t="shared" si="811"/>
        <v/>
      </c>
      <c r="U1830" s="106" t="str">
        <f t="shared" si="812"/>
        <v/>
      </c>
      <c r="V1830" s="106" t="str">
        <f t="shared" si="813"/>
        <v/>
      </c>
      <c r="W1830" s="105" t="str">
        <f t="shared" si="798"/>
        <v/>
      </c>
      <c r="X1830" s="104" t="str">
        <f t="shared" si="803"/>
        <v/>
      </c>
      <c r="Y1830" s="104" t="str">
        <f t="array" ref="Y1830">IFERROR(IF(ISNUMBER(O1830),IF(COUNT(IF(A1830=$A$2:$A$2427,IF(D1830=$D$2:$D$2427,IF($X$2:$X$2427&gt;0,1))))&gt;0,SUM(IF(A1830=$A$2:$A$2427,IF(D1830=$D$2:$D$2427,$X$2:$X$2427)))/COUNT(IF(A1830=$A$2:$A$2427,IF(D1830=$D$2:$D$2427,IF(ISNUMBER($X$2:$X$2427),1)))),0),""),0)</f>
        <v/>
      </c>
      <c r="Z1830" s="104" t="str">
        <f>IF(ISNUMBER(O1830),IF(I1830&gt;0,(10^(VLOOKUP(D1830,'Species Codes'!B:C,2,0)+VLOOKUP(D1830,'Species Codes'!B:D,3,0)*LOG(E1830)+VLOOKUP(D1830,'Species Codes'!B:E,4,0)*LOG(I1830))),0),"")</f>
        <v/>
      </c>
      <c r="AA1830" s="104" t="str">
        <f>IFERROR((VLOOKUP(D1830,'Species Codes'!B:G,6,0)*Z1830)/2000,"")</f>
        <v/>
      </c>
      <c r="AB1830" s="104" t="e">
        <f>IF(Z1830&gt;0,((IF(OR(D1830="DF",D1830="RA")=TRUE,EXP(VLOOKUP(D1830,'Species Codes'!B:I,8,0)+VLOOKUP(D1830,'Species Codes'!B:J,9,0)*(LN((E1830*2.54)))),IF(OR(D1830="PY",D1830="RC",D1830="WH",D1830="NF")=TRUE,VLOOKUP(D1830,'Species Codes'!B:I,8,0)+VLOOKUP(D1830,'Species Codes'!B:J,9,0)*((E1830*2.54)^2)*(I1830*0.3048),IF(OR(D1830="MD",D1830="BM",D1830="GA")=TRUE,((VLOOKUP(D1830,'Species Codes'!B:I,8,0)*(((((E1830*2.54)+VLOOKUP(D1830,'Species Codes'!B:J,9,0))/VLOOKUP(D1830,'Species Codes'!B:K,10,0))^VLOOKUP(D1830,'Species Codes'!B:L,11,0))*((I1830*0.3048)^VLOOKUP(D1830,'Species Codes'!B:M,12,0))))-(VLOOKUP(D1830,'Species Codes'!B:I,8,0)*((((E1830*2.54)^VLOOKUP(D1830,'Species Codes'!B:L,11,0))*((I1830*0.3048)^VLOOKUP(D1830,'Species Codes'!B:M,12,0))))))*35.3*VLOOKUP(D1830,'Species Codes'!B:G,6,0)/2.2046,VLOOKUP(D1830,'Species Codes'!B:I,8,0)+VLOOKUP(D1830,'Species Codes'!B:J,9,0)*(((E1830*2.54)/100)^2)*(I1830*0.3048)))))*0.0011023),0)</f>
        <v>#N/A</v>
      </c>
      <c r="AC1830" s="104" t="e">
        <f>IF(Z1830&gt;0,((IF(OR(D1830="RA",D1830="OA",D1830="OT",D1830="UN",D1830="PC"),EXP(VLOOKUP(D1830,'Species Codes'!B:O,14,0)+VLOOKUP(D1830,'Species Codes'!B:P,15,0)*LN((E1830*2.54)))-EXP(VLOOKUP(D1830,'Species Codes'!B:O,14,0)+VLOOKUP(D1830,'Species Codes'!B:P,15,0)*LN((E1830*2.54)))*(1/(VLOOKUP(D1830,'Species Codes'!B:Q,16,0)+VLOOKUP(D1830,'Species Codes'!B:R,17,0)*((E1830*2.54)^VLOOKUP(D1830,'Species Codes'!B:S,18,0)))),IF(OR(D1830="BM",D1830="MD",D1830="OA"),EXP(VLOOKUP(D1830,'Species Codes'!B:O,14,0)+VLOOKUP(D1830,'Species Codes'!B:P,15,0)*LN((E1830*2.54)))*(1-(1/(VLOOKUP(D1830,'Species Codes'!B:Q,16,0)+VLOOKUP(D1830,'Species Codes'!B:R,17,0)*((E1830*2.54)^VLOOKUP(D1830,'Species Codes'!B:S,18,0)))))/1000,IF(D1830="DF",EXP(VLOOKUP(D1830,'Species Codes'!B:O,14,0)+VLOOKUP(D1830,'Species Codes'!B:P,15,0)*LN((E1830*2.54))),VLOOKUP(D1830,'Species Codes'!B:O,14,0)+VLOOKUP(D1830,'Species Codes'!B:P,15,0)*(((E1830*2.54)/100)^2)*(I1830*0.3048)))))*0.0011023),0)</f>
        <v>#N/A</v>
      </c>
      <c r="AD1830" s="104" t="e">
        <f t="shared" si="814"/>
        <v>#N/A</v>
      </c>
      <c r="AE1830" s="104" t="e">
        <f t="shared" si="815"/>
        <v>#N/A</v>
      </c>
      <c r="AF1830" s="104" t="e">
        <f>IF(AND(VLOOKUP($D1830,Merchantability!$B:$C,2,0)="Yes",$E1830&gt;=VLOOKUP($D1830,Merchantability!$B:$D,3,0),$E1830&lt;=VLOOKUP($D1830,Merchantability!$B:$E,4,0)),AA1830,0)</f>
        <v>#N/A</v>
      </c>
      <c r="AG1830" s="104" t="e">
        <f>IF(AND(VLOOKUP($D1830,Merchantability!$B:$C,2,0)="Yes",$E1830&gt;=VLOOKUP($D1830,Merchantability!$B:$D,3,0),$E1830&lt;=VLOOKUP($D1830,Merchantability!$B:$E,4,0)),AB1830,0)</f>
        <v>#N/A</v>
      </c>
      <c r="AH1830" s="104" t="e">
        <f>IF(AND(VLOOKUP($D1830,Merchantability!$B:$C,2,0)="Yes",$E1830&gt;=VLOOKUP($D1830,Merchantability!$B:$D,3,0),$E1830&lt;=VLOOKUP($D1830,Merchantability!$B:$E,4,0)),AC1830,0)</f>
        <v>#N/A</v>
      </c>
      <c r="AI1830" s="104" t="e">
        <f t="shared" si="816"/>
        <v>#N/A</v>
      </c>
      <c r="AJ1830" s="104" t="e">
        <f t="shared" si="817"/>
        <v>#VALUE!</v>
      </c>
      <c r="AK1830" s="104" t="e">
        <f t="shared" si="818"/>
        <v>#N/A</v>
      </c>
      <c r="AL1830" s="104" t="e">
        <f t="shared" si="819"/>
        <v>#N/A</v>
      </c>
      <c r="AM1830" s="104" t="e">
        <f t="shared" si="820"/>
        <v>#N/A</v>
      </c>
      <c r="AN1830" s="104" t="e">
        <f t="shared" si="804"/>
        <v>#N/A</v>
      </c>
      <c r="AO1830" s="104" t="e">
        <f t="shared" si="805"/>
        <v>#N/A</v>
      </c>
      <c r="AP1830" s="104" t="e">
        <f t="shared" si="806"/>
        <v>#N/A</v>
      </c>
      <c r="AQ1830" s="104" t="e">
        <f t="shared" si="807"/>
        <v>#N/A</v>
      </c>
      <c r="AR1830" s="105" t="str">
        <f t="shared" si="799"/>
        <v/>
      </c>
      <c r="AS1830" s="105" t="str">
        <f t="shared" si="800"/>
        <v/>
      </c>
      <c r="AT1830" s="108" t="str">
        <f t="shared" si="801"/>
        <v/>
      </c>
      <c r="AU1830" s="108" t="str">
        <f t="shared" si="802"/>
        <v/>
      </c>
      <c r="AV1830" s="107" t="str">
        <f>IF(ISNUMBER(O1830),IF(VLOOKUP($A1830,Stand!C:J,8,FALSE)="Short",AT1830,AU1830),"")</f>
        <v/>
      </c>
      <c r="AW1830" s="109" t="str">
        <f t="shared" si="808"/>
        <v/>
      </c>
      <c r="AX1830" s="109" t="str">
        <f t="shared" si="809"/>
        <v/>
      </c>
      <c r="AY1830" s="112" t="str">
        <f>IF(ISNUMBER(O1830),IF(AND(VLOOKUP($D1830,Merchantability!$B:$C,2,0)="Yes",$E1830&gt;=VLOOKUP($D1830,Merchantability!$B:$D,3,0),$E1830&lt;=VLOOKUP($D1830,Merchantability!$B:$E,4,0)),(AV1830*O1830)*(1-$H1830/100),""),"")</f>
        <v/>
      </c>
      <c r="AZ1830" s="116"/>
      <c r="BA1830" s="116"/>
      <c r="BB1830" s="116"/>
      <c r="BE1830" s="62"/>
      <c r="BF1830" s="63"/>
    </row>
    <row r="1831" spans="1:58" ht="12.75" customHeight="1" x14ac:dyDescent="0.25">
      <c r="A1831" s="334"/>
      <c r="B1831" s="334"/>
      <c r="C1831" s="332"/>
      <c r="D1831" s="334"/>
      <c r="E1831" s="335"/>
      <c r="F1831" s="334"/>
      <c r="G1831" s="332"/>
      <c r="H1831" s="332"/>
      <c r="I1831" s="334"/>
      <c r="J1831" s="336"/>
      <c r="K1831" s="332"/>
      <c r="L1831" s="332"/>
      <c r="M1831" s="76"/>
      <c r="N1831" s="103" t="str">
        <f>IF(A1831="","",VLOOKUP(A1831,Stand!C:K,9,0))</f>
        <v/>
      </c>
      <c r="O1831" s="104" t="str">
        <f t="shared" si="794"/>
        <v/>
      </c>
      <c r="P1831" s="105" t="str">
        <f t="shared" si="795"/>
        <v/>
      </c>
      <c r="Q1831" s="105" t="str">
        <f t="shared" si="810"/>
        <v/>
      </c>
      <c r="R1831" s="103" t="str">
        <f t="shared" si="796"/>
        <v/>
      </c>
      <c r="S1831" s="103" t="str">
        <f t="shared" si="797"/>
        <v/>
      </c>
      <c r="T1831" s="106" t="str">
        <f t="shared" si="811"/>
        <v/>
      </c>
      <c r="U1831" s="106" t="str">
        <f t="shared" si="812"/>
        <v/>
      </c>
      <c r="V1831" s="106" t="str">
        <f t="shared" si="813"/>
        <v/>
      </c>
      <c r="W1831" s="105" t="str">
        <f t="shared" si="798"/>
        <v/>
      </c>
      <c r="X1831" s="104" t="str">
        <f t="shared" si="803"/>
        <v/>
      </c>
      <c r="Y1831" s="104" t="str">
        <f t="array" ref="Y1831">IFERROR(IF(ISNUMBER(O1831),IF(COUNT(IF(A1831=$A$2:$A$2427,IF(D1831=$D$2:$D$2427,IF($X$2:$X$2427&gt;0,1))))&gt;0,SUM(IF(A1831=$A$2:$A$2427,IF(D1831=$D$2:$D$2427,$X$2:$X$2427)))/COUNT(IF(A1831=$A$2:$A$2427,IF(D1831=$D$2:$D$2427,IF(ISNUMBER($X$2:$X$2427),1)))),0),""),0)</f>
        <v/>
      </c>
      <c r="Z1831" s="104" t="str">
        <f>IF(ISNUMBER(O1831),IF(I1831&gt;0,(10^(VLOOKUP(D1831,'Species Codes'!B:C,2,0)+VLOOKUP(D1831,'Species Codes'!B:D,3,0)*LOG(E1831)+VLOOKUP(D1831,'Species Codes'!B:E,4,0)*LOG(I1831))),0),"")</f>
        <v/>
      </c>
      <c r="AA1831" s="104" t="str">
        <f>IFERROR((VLOOKUP(D1831,'Species Codes'!B:G,6,0)*Z1831)/2000,"")</f>
        <v/>
      </c>
      <c r="AB1831" s="104" t="e">
        <f>IF(Z1831&gt;0,((IF(OR(D1831="DF",D1831="RA")=TRUE,EXP(VLOOKUP(D1831,'Species Codes'!B:I,8,0)+VLOOKUP(D1831,'Species Codes'!B:J,9,0)*(LN((E1831*2.54)))),IF(OR(D1831="PY",D1831="RC",D1831="WH",D1831="NF")=TRUE,VLOOKUP(D1831,'Species Codes'!B:I,8,0)+VLOOKUP(D1831,'Species Codes'!B:J,9,0)*((E1831*2.54)^2)*(I1831*0.3048),IF(OR(D1831="MD",D1831="BM",D1831="GA")=TRUE,((VLOOKUP(D1831,'Species Codes'!B:I,8,0)*(((((E1831*2.54)+VLOOKUP(D1831,'Species Codes'!B:J,9,0))/VLOOKUP(D1831,'Species Codes'!B:K,10,0))^VLOOKUP(D1831,'Species Codes'!B:L,11,0))*((I1831*0.3048)^VLOOKUP(D1831,'Species Codes'!B:M,12,0))))-(VLOOKUP(D1831,'Species Codes'!B:I,8,0)*((((E1831*2.54)^VLOOKUP(D1831,'Species Codes'!B:L,11,0))*((I1831*0.3048)^VLOOKUP(D1831,'Species Codes'!B:M,12,0))))))*35.3*VLOOKUP(D1831,'Species Codes'!B:G,6,0)/2.2046,VLOOKUP(D1831,'Species Codes'!B:I,8,0)+VLOOKUP(D1831,'Species Codes'!B:J,9,0)*(((E1831*2.54)/100)^2)*(I1831*0.3048)))))*0.0011023),0)</f>
        <v>#N/A</v>
      </c>
      <c r="AC1831" s="104" t="e">
        <f>IF(Z1831&gt;0,((IF(OR(D1831="RA",D1831="OA",D1831="OT",D1831="UN",D1831="PC"),EXP(VLOOKUP(D1831,'Species Codes'!B:O,14,0)+VLOOKUP(D1831,'Species Codes'!B:P,15,0)*LN((E1831*2.54)))-EXP(VLOOKUP(D1831,'Species Codes'!B:O,14,0)+VLOOKUP(D1831,'Species Codes'!B:P,15,0)*LN((E1831*2.54)))*(1/(VLOOKUP(D1831,'Species Codes'!B:Q,16,0)+VLOOKUP(D1831,'Species Codes'!B:R,17,0)*((E1831*2.54)^VLOOKUP(D1831,'Species Codes'!B:S,18,0)))),IF(OR(D1831="BM",D1831="MD",D1831="OA"),EXP(VLOOKUP(D1831,'Species Codes'!B:O,14,0)+VLOOKUP(D1831,'Species Codes'!B:P,15,0)*LN((E1831*2.54)))*(1-(1/(VLOOKUP(D1831,'Species Codes'!B:Q,16,0)+VLOOKUP(D1831,'Species Codes'!B:R,17,0)*((E1831*2.54)^VLOOKUP(D1831,'Species Codes'!B:S,18,0)))))/1000,IF(D1831="DF",EXP(VLOOKUP(D1831,'Species Codes'!B:O,14,0)+VLOOKUP(D1831,'Species Codes'!B:P,15,0)*LN((E1831*2.54))),VLOOKUP(D1831,'Species Codes'!B:O,14,0)+VLOOKUP(D1831,'Species Codes'!B:P,15,0)*(((E1831*2.54)/100)^2)*(I1831*0.3048)))))*0.0011023),0)</f>
        <v>#N/A</v>
      </c>
      <c r="AD1831" s="104" t="e">
        <f t="shared" si="814"/>
        <v>#N/A</v>
      </c>
      <c r="AE1831" s="104" t="e">
        <f t="shared" si="815"/>
        <v>#N/A</v>
      </c>
      <c r="AF1831" s="104" t="e">
        <f>IF(AND(VLOOKUP($D1831,Merchantability!$B:$C,2,0)="Yes",$E1831&gt;=VLOOKUP($D1831,Merchantability!$B:$D,3,0),$E1831&lt;=VLOOKUP($D1831,Merchantability!$B:$E,4,0)),AA1831,0)</f>
        <v>#N/A</v>
      </c>
      <c r="AG1831" s="104" t="e">
        <f>IF(AND(VLOOKUP($D1831,Merchantability!$B:$C,2,0)="Yes",$E1831&gt;=VLOOKUP($D1831,Merchantability!$B:$D,3,0),$E1831&lt;=VLOOKUP($D1831,Merchantability!$B:$E,4,0)),AB1831,0)</f>
        <v>#N/A</v>
      </c>
      <c r="AH1831" s="104" t="e">
        <f>IF(AND(VLOOKUP($D1831,Merchantability!$B:$C,2,0)="Yes",$E1831&gt;=VLOOKUP($D1831,Merchantability!$B:$D,3,0),$E1831&lt;=VLOOKUP($D1831,Merchantability!$B:$E,4,0)),AC1831,0)</f>
        <v>#N/A</v>
      </c>
      <c r="AI1831" s="104" t="e">
        <f t="shared" si="816"/>
        <v>#N/A</v>
      </c>
      <c r="AJ1831" s="104" t="e">
        <f t="shared" si="817"/>
        <v>#VALUE!</v>
      </c>
      <c r="AK1831" s="104" t="e">
        <f t="shared" si="818"/>
        <v>#N/A</v>
      </c>
      <c r="AL1831" s="104" t="e">
        <f t="shared" si="819"/>
        <v>#N/A</v>
      </c>
      <c r="AM1831" s="104" t="e">
        <f t="shared" si="820"/>
        <v>#N/A</v>
      </c>
      <c r="AN1831" s="104" t="e">
        <f t="shared" si="804"/>
        <v>#N/A</v>
      </c>
      <c r="AO1831" s="104" t="e">
        <f t="shared" si="805"/>
        <v>#N/A</v>
      </c>
      <c r="AP1831" s="104" t="e">
        <f t="shared" si="806"/>
        <v>#N/A</v>
      </c>
      <c r="AQ1831" s="104" t="e">
        <f t="shared" si="807"/>
        <v>#N/A</v>
      </c>
      <c r="AR1831" s="105" t="str">
        <f t="shared" si="799"/>
        <v/>
      </c>
      <c r="AS1831" s="105" t="str">
        <f t="shared" si="800"/>
        <v/>
      </c>
      <c r="AT1831" s="108" t="str">
        <f t="shared" si="801"/>
        <v/>
      </c>
      <c r="AU1831" s="108" t="str">
        <f t="shared" si="802"/>
        <v/>
      </c>
      <c r="AV1831" s="107" t="str">
        <f>IF(ISNUMBER(O1831),IF(VLOOKUP($A1831,Stand!C:J,8,FALSE)="Short",AT1831,AU1831),"")</f>
        <v/>
      </c>
      <c r="AW1831" s="109" t="str">
        <f t="shared" si="808"/>
        <v/>
      </c>
      <c r="AX1831" s="109" t="str">
        <f t="shared" si="809"/>
        <v/>
      </c>
      <c r="AY1831" s="112" t="str">
        <f>IF(ISNUMBER(O1831),IF(AND(VLOOKUP($D1831,Merchantability!$B:$C,2,0)="Yes",$E1831&gt;=VLOOKUP($D1831,Merchantability!$B:$D,3,0),$E1831&lt;=VLOOKUP($D1831,Merchantability!$B:$E,4,0)),(AV1831*O1831)*(1-$H1831/100),""),"")</f>
        <v/>
      </c>
      <c r="AZ1831" s="116"/>
      <c r="BA1831" s="116"/>
      <c r="BB1831" s="116"/>
      <c r="BE1831" s="62"/>
      <c r="BF1831" s="63"/>
    </row>
    <row r="1832" spans="1:58" ht="12.75" customHeight="1" x14ac:dyDescent="0.25">
      <c r="A1832" s="334"/>
      <c r="B1832" s="334"/>
      <c r="C1832" s="332"/>
      <c r="D1832" s="334"/>
      <c r="E1832" s="335"/>
      <c r="F1832" s="334"/>
      <c r="G1832" s="332"/>
      <c r="H1832" s="332"/>
      <c r="I1832" s="334"/>
      <c r="J1832" s="336"/>
      <c r="K1832" s="332"/>
      <c r="L1832" s="332"/>
      <c r="M1832" s="76"/>
      <c r="N1832" s="103" t="str">
        <f>IF(A1832="","",VLOOKUP(A1832,Stand!C:K,9,0))</f>
        <v/>
      </c>
      <c r="O1832" s="104" t="str">
        <f t="shared" si="794"/>
        <v/>
      </c>
      <c r="P1832" s="105" t="str">
        <f t="shared" si="795"/>
        <v/>
      </c>
      <c r="Q1832" s="105" t="str">
        <f t="shared" si="810"/>
        <v/>
      </c>
      <c r="R1832" s="103" t="str">
        <f t="shared" si="796"/>
        <v/>
      </c>
      <c r="S1832" s="103" t="str">
        <f t="shared" si="797"/>
        <v/>
      </c>
      <c r="T1832" s="106" t="str">
        <f t="shared" si="811"/>
        <v/>
      </c>
      <c r="U1832" s="106" t="str">
        <f t="shared" si="812"/>
        <v/>
      </c>
      <c r="V1832" s="106" t="str">
        <f t="shared" si="813"/>
        <v/>
      </c>
      <c r="W1832" s="105" t="str">
        <f t="shared" si="798"/>
        <v/>
      </c>
      <c r="X1832" s="104" t="str">
        <f t="shared" si="803"/>
        <v/>
      </c>
      <c r="Y1832" s="104" t="str">
        <f t="array" ref="Y1832">IFERROR(IF(ISNUMBER(O1832),IF(COUNT(IF(A1832=$A$2:$A$2427,IF(D1832=$D$2:$D$2427,IF($X$2:$X$2427&gt;0,1))))&gt;0,SUM(IF(A1832=$A$2:$A$2427,IF(D1832=$D$2:$D$2427,$X$2:$X$2427)))/COUNT(IF(A1832=$A$2:$A$2427,IF(D1832=$D$2:$D$2427,IF(ISNUMBER($X$2:$X$2427),1)))),0),""),0)</f>
        <v/>
      </c>
      <c r="Z1832" s="104" t="str">
        <f>IF(ISNUMBER(O1832),IF(I1832&gt;0,(10^(VLOOKUP(D1832,'Species Codes'!B:C,2,0)+VLOOKUP(D1832,'Species Codes'!B:D,3,0)*LOG(E1832)+VLOOKUP(D1832,'Species Codes'!B:E,4,0)*LOG(I1832))),0),"")</f>
        <v/>
      </c>
      <c r="AA1832" s="104" t="str">
        <f>IFERROR((VLOOKUP(D1832,'Species Codes'!B:G,6,0)*Z1832)/2000,"")</f>
        <v/>
      </c>
      <c r="AB1832" s="104" t="e">
        <f>IF(Z1832&gt;0,((IF(OR(D1832="DF",D1832="RA")=TRUE,EXP(VLOOKUP(D1832,'Species Codes'!B:I,8,0)+VLOOKUP(D1832,'Species Codes'!B:J,9,0)*(LN((E1832*2.54)))),IF(OR(D1832="PY",D1832="RC",D1832="WH",D1832="NF")=TRUE,VLOOKUP(D1832,'Species Codes'!B:I,8,0)+VLOOKUP(D1832,'Species Codes'!B:J,9,0)*((E1832*2.54)^2)*(I1832*0.3048),IF(OR(D1832="MD",D1832="BM",D1832="GA")=TRUE,((VLOOKUP(D1832,'Species Codes'!B:I,8,0)*(((((E1832*2.54)+VLOOKUP(D1832,'Species Codes'!B:J,9,0))/VLOOKUP(D1832,'Species Codes'!B:K,10,0))^VLOOKUP(D1832,'Species Codes'!B:L,11,0))*((I1832*0.3048)^VLOOKUP(D1832,'Species Codes'!B:M,12,0))))-(VLOOKUP(D1832,'Species Codes'!B:I,8,0)*((((E1832*2.54)^VLOOKUP(D1832,'Species Codes'!B:L,11,0))*((I1832*0.3048)^VLOOKUP(D1832,'Species Codes'!B:M,12,0))))))*35.3*VLOOKUP(D1832,'Species Codes'!B:G,6,0)/2.2046,VLOOKUP(D1832,'Species Codes'!B:I,8,0)+VLOOKUP(D1832,'Species Codes'!B:J,9,0)*(((E1832*2.54)/100)^2)*(I1832*0.3048)))))*0.0011023),0)</f>
        <v>#N/A</v>
      </c>
      <c r="AC1832" s="104" t="e">
        <f>IF(Z1832&gt;0,((IF(OR(D1832="RA",D1832="OA",D1832="OT",D1832="UN",D1832="PC"),EXP(VLOOKUP(D1832,'Species Codes'!B:O,14,0)+VLOOKUP(D1832,'Species Codes'!B:P,15,0)*LN((E1832*2.54)))-EXP(VLOOKUP(D1832,'Species Codes'!B:O,14,0)+VLOOKUP(D1832,'Species Codes'!B:P,15,0)*LN((E1832*2.54)))*(1/(VLOOKUP(D1832,'Species Codes'!B:Q,16,0)+VLOOKUP(D1832,'Species Codes'!B:R,17,0)*((E1832*2.54)^VLOOKUP(D1832,'Species Codes'!B:S,18,0)))),IF(OR(D1832="BM",D1832="MD",D1832="OA"),EXP(VLOOKUP(D1832,'Species Codes'!B:O,14,0)+VLOOKUP(D1832,'Species Codes'!B:P,15,0)*LN((E1832*2.54)))*(1-(1/(VLOOKUP(D1832,'Species Codes'!B:Q,16,0)+VLOOKUP(D1832,'Species Codes'!B:R,17,0)*((E1832*2.54)^VLOOKUP(D1832,'Species Codes'!B:S,18,0)))))/1000,IF(D1832="DF",EXP(VLOOKUP(D1832,'Species Codes'!B:O,14,0)+VLOOKUP(D1832,'Species Codes'!B:P,15,0)*LN((E1832*2.54))),VLOOKUP(D1832,'Species Codes'!B:O,14,0)+VLOOKUP(D1832,'Species Codes'!B:P,15,0)*(((E1832*2.54)/100)^2)*(I1832*0.3048)))))*0.0011023),0)</f>
        <v>#N/A</v>
      </c>
      <c r="AD1832" s="104" t="e">
        <f t="shared" si="814"/>
        <v>#N/A</v>
      </c>
      <c r="AE1832" s="104" t="e">
        <f t="shared" si="815"/>
        <v>#N/A</v>
      </c>
      <c r="AF1832" s="104" t="e">
        <f>IF(AND(VLOOKUP($D1832,Merchantability!$B:$C,2,0)="Yes",$E1832&gt;=VLOOKUP($D1832,Merchantability!$B:$D,3,0),$E1832&lt;=VLOOKUP($D1832,Merchantability!$B:$E,4,0)),AA1832,0)</f>
        <v>#N/A</v>
      </c>
      <c r="AG1832" s="104" t="e">
        <f>IF(AND(VLOOKUP($D1832,Merchantability!$B:$C,2,0)="Yes",$E1832&gt;=VLOOKUP($D1832,Merchantability!$B:$D,3,0),$E1832&lt;=VLOOKUP($D1832,Merchantability!$B:$E,4,0)),AB1832,0)</f>
        <v>#N/A</v>
      </c>
      <c r="AH1832" s="104" t="e">
        <f>IF(AND(VLOOKUP($D1832,Merchantability!$B:$C,2,0)="Yes",$E1832&gt;=VLOOKUP($D1832,Merchantability!$B:$D,3,0),$E1832&lt;=VLOOKUP($D1832,Merchantability!$B:$E,4,0)),AC1832,0)</f>
        <v>#N/A</v>
      </c>
      <c r="AI1832" s="104" t="e">
        <f t="shared" si="816"/>
        <v>#N/A</v>
      </c>
      <c r="AJ1832" s="104" t="e">
        <f t="shared" si="817"/>
        <v>#VALUE!</v>
      </c>
      <c r="AK1832" s="104" t="e">
        <f t="shared" si="818"/>
        <v>#N/A</v>
      </c>
      <c r="AL1832" s="104" t="e">
        <f t="shared" si="819"/>
        <v>#N/A</v>
      </c>
      <c r="AM1832" s="104" t="e">
        <f t="shared" si="820"/>
        <v>#N/A</v>
      </c>
      <c r="AN1832" s="104" t="e">
        <f t="shared" si="804"/>
        <v>#N/A</v>
      </c>
      <c r="AO1832" s="104" t="e">
        <f t="shared" si="805"/>
        <v>#N/A</v>
      </c>
      <c r="AP1832" s="104" t="e">
        <f t="shared" si="806"/>
        <v>#N/A</v>
      </c>
      <c r="AQ1832" s="104" t="e">
        <f t="shared" si="807"/>
        <v>#N/A</v>
      </c>
      <c r="AR1832" s="105" t="str">
        <f t="shared" si="799"/>
        <v/>
      </c>
      <c r="AS1832" s="105" t="str">
        <f t="shared" si="800"/>
        <v/>
      </c>
      <c r="AT1832" s="108" t="str">
        <f t="shared" si="801"/>
        <v/>
      </c>
      <c r="AU1832" s="108" t="str">
        <f t="shared" si="802"/>
        <v/>
      </c>
      <c r="AV1832" s="107" t="str">
        <f>IF(ISNUMBER(O1832),IF(VLOOKUP($A1832,Stand!C:J,8,FALSE)="Short",AT1832,AU1832),"")</f>
        <v/>
      </c>
      <c r="AW1832" s="109" t="str">
        <f t="shared" si="808"/>
        <v/>
      </c>
      <c r="AX1832" s="109" t="str">
        <f t="shared" si="809"/>
        <v/>
      </c>
      <c r="AY1832" s="112" t="str">
        <f>IF(ISNUMBER(O1832),IF(AND(VLOOKUP($D1832,Merchantability!$B:$C,2,0)="Yes",$E1832&gt;=VLOOKUP($D1832,Merchantability!$B:$D,3,0),$E1832&lt;=VLOOKUP($D1832,Merchantability!$B:$E,4,0)),(AV1832*O1832)*(1-$H1832/100),""),"")</f>
        <v/>
      </c>
      <c r="AZ1832" s="116"/>
      <c r="BA1832" s="116"/>
      <c r="BB1832" s="116"/>
      <c r="BE1832" s="62"/>
      <c r="BF1832" s="63"/>
    </row>
    <row r="1833" spans="1:58" ht="12.75" customHeight="1" x14ac:dyDescent="0.25">
      <c r="A1833" s="334"/>
      <c r="B1833" s="334"/>
      <c r="C1833" s="332"/>
      <c r="D1833" s="334"/>
      <c r="E1833" s="335"/>
      <c r="F1833" s="334"/>
      <c r="G1833" s="332"/>
      <c r="H1833" s="332"/>
      <c r="I1833" s="334"/>
      <c r="J1833" s="336"/>
      <c r="K1833" s="332"/>
      <c r="L1833" s="332"/>
      <c r="M1833" s="76"/>
      <c r="N1833" s="103" t="str">
        <f>IF(A1833="","",VLOOKUP(A1833,Stand!C:K,9,0))</f>
        <v/>
      </c>
      <c r="O1833" s="104" t="str">
        <f t="shared" si="794"/>
        <v/>
      </c>
      <c r="P1833" s="105" t="str">
        <f t="shared" si="795"/>
        <v/>
      </c>
      <c r="Q1833" s="105" t="str">
        <f t="shared" si="810"/>
        <v/>
      </c>
      <c r="R1833" s="103" t="str">
        <f t="shared" si="796"/>
        <v/>
      </c>
      <c r="S1833" s="103" t="str">
        <f t="shared" si="797"/>
        <v/>
      </c>
      <c r="T1833" s="106" t="str">
        <f t="shared" si="811"/>
        <v/>
      </c>
      <c r="U1833" s="106" t="str">
        <f t="shared" si="812"/>
        <v/>
      </c>
      <c r="V1833" s="106" t="str">
        <f t="shared" si="813"/>
        <v/>
      </c>
      <c r="W1833" s="105" t="str">
        <f t="shared" si="798"/>
        <v/>
      </c>
      <c r="X1833" s="104" t="str">
        <f t="shared" si="803"/>
        <v/>
      </c>
      <c r="Y1833" s="104" t="str">
        <f t="array" ref="Y1833">IFERROR(IF(ISNUMBER(O1833),IF(COUNT(IF(A1833=$A$2:$A$2427,IF(D1833=$D$2:$D$2427,IF($X$2:$X$2427&gt;0,1))))&gt;0,SUM(IF(A1833=$A$2:$A$2427,IF(D1833=$D$2:$D$2427,$X$2:$X$2427)))/COUNT(IF(A1833=$A$2:$A$2427,IF(D1833=$D$2:$D$2427,IF(ISNUMBER($X$2:$X$2427),1)))),0),""),0)</f>
        <v/>
      </c>
      <c r="Z1833" s="104" t="str">
        <f>IF(ISNUMBER(O1833),IF(I1833&gt;0,(10^(VLOOKUP(D1833,'Species Codes'!B:C,2,0)+VLOOKUP(D1833,'Species Codes'!B:D,3,0)*LOG(E1833)+VLOOKUP(D1833,'Species Codes'!B:E,4,0)*LOG(I1833))),0),"")</f>
        <v/>
      </c>
      <c r="AA1833" s="104" t="str">
        <f>IFERROR((VLOOKUP(D1833,'Species Codes'!B:G,6,0)*Z1833)/2000,"")</f>
        <v/>
      </c>
      <c r="AB1833" s="104" t="e">
        <f>IF(Z1833&gt;0,((IF(OR(D1833="DF",D1833="RA")=TRUE,EXP(VLOOKUP(D1833,'Species Codes'!B:I,8,0)+VLOOKUP(D1833,'Species Codes'!B:J,9,0)*(LN((E1833*2.54)))),IF(OR(D1833="PY",D1833="RC",D1833="WH",D1833="NF")=TRUE,VLOOKUP(D1833,'Species Codes'!B:I,8,0)+VLOOKUP(D1833,'Species Codes'!B:J,9,0)*((E1833*2.54)^2)*(I1833*0.3048),IF(OR(D1833="MD",D1833="BM",D1833="GA")=TRUE,((VLOOKUP(D1833,'Species Codes'!B:I,8,0)*(((((E1833*2.54)+VLOOKUP(D1833,'Species Codes'!B:J,9,0))/VLOOKUP(D1833,'Species Codes'!B:K,10,0))^VLOOKUP(D1833,'Species Codes'!B:L,11,0))*((I1833*0.3048)^VLOOKUP(D1833,'Species Codes'!B:M,12,0))))-(VLOOKUP(D1833,'Species Codes'!B:I,8,0)*((((E1833*2.54)^VLOOKUP(D1833,'Species Codes'!B:L,11,0))*((I1833*0.3048)^VLOOKUP(D1833,'Species Codes'!B:M,12,0))))))*35.3*VLOOKUP(D1833,'Species Codes'!B:G,6,0)/2.2046,VLOOKUP(D1833,'Species Codes'!B:I,8,0)+VLOOKUP(D1833,'Species Codes'!B:J,9,0)*(((E1833*2.54)/100)^2)*(I1833*0.3048)))))*0.0011023),0)</f>
        <v>#N/A</v>
      </c>
      <c r="AC1833" s="104" t="e">
        <f>IF(Z1833&gt;0,((IF(OR(D1833="RA",D1833="OA",D1833="OT",D1833="UN",D1833="PC"),EXP(VLOOKUP(D1833,'Species Codes'!B:O,14,0)+VLOOKUP(D1833,'Species Codes'!B:P,15,0)*LN((E1833*2.54)))-EXP(VLOOKUP(D1833,'Species Codes'!B:O,14,0)+VLOOKUP(D1833,'Species Codes'!B:P,15,0)*LN((E1833*2.54)))*(1/(VLOOKUP(D1833,'Species Codes'!B:Q,16,0)+VLOOKUP(D1833,'Species Codes'!B:R,17,0)*((E1833*2.54)^VLOOKUP(D1833,'Species Codes'!B:S,18,0)))),IF(OR(D1833="BM",D1833="MD",D1833="OA"),EXP(VLOOKUP(D1833,'Species Codes'!B:O,14,0)+VLOOKUP(D1833,'Species Codes'!B:P,15,0)*LN((E1833*2.54)))*(1-(1/(VLOOKUP(D1833,'Species Codes'!B:Q,16,0)+VLOOKUP(D1833,'Species Codes'!B:R,17,0)*((E1833*2.54)^VLOOKUP(D1833,'Species Codes'!B:S,18,0)))))/1000,IF(D1833="DF",EXP(VLOOKUP(D1833,'Species Codes'!B:O,14,0)+VLOOKUP(D1833,'Species Codes'!B:P,15,0)*LN((E1833*2.54))),VLOOKUP(D1833,'Species Codes'!B:O,14,0)+VLOOKUP(D1833,'Species Codes'!B:P,15,0)*(((E1833*2.54)/100)^2)*(I1833*0.3048)))))*0.0011023),0)</f>
        <v>#N/A</v>
      </c>
      <c r="AD1833" s="104" t="e">
        <f t="shared" si="814"/>
        <v>#N/A</v>
      </c>
      <c r="AE1833" s="104" t="e">
        <f t="shared" si="815"/>
        <v>#N/A</v>
      </c>
      <c r="AF1833" s="104" t="e">
        <f>IF(AND(VLOOKUP($D1833,Merchantability!$B:$C,2,0)="Yes",$E1833&gt;=VLOOKUP($D1833,Merchantability!$B:$D,3,0),$E1833&lt;=VLOOKUP($D1833,Merchantability!$B:$E,4,0)),AA1833,0)</f>
        <v>#N/A</v>
      </c>
      <c r="AG1833" s="104" t="e">
        <f>IF(AND(VLOOKUP($D1833,Merchantability!$B:$C,2,0)="Yes",$E1833&gt;=VLOOKUP($D1833,Merchantability!$B:$D,3,0),$E1833&lt;=VLOOKUP($D1833,Merchantability!$B:$E,4,0)),AB1833,0)</f>
        <v>#N/A</v>
      </c>
      <c r="AH1833" s="104" t="e">
        <f>IF(AND(VLOOKUP($D1833,Merchantability!$B:$C,2,0)="Yes",$E1833&gt;=VLOOKUP($D1833,Merchantability!$B:$D,3,0),$E1833&lt;=VLOOKUP($D1833,Merchantability!$B:$E,4,0)),AC1833,0)</f>
        <v>#N/A</v>
      </c>
      <c r="AI1833" s="104" t="e">
        <f t="shared" si="816"/>
        <v>#N/A</v>
      </c>
      <c r="AJ1833" s="104" t="e">
        <f t="shared" si="817"/>
        <v>#VALUE!</v>
      </c>
      <c r="AK1833" s="104" t="e">
        <f t="shared" si="818"/>
        <v>#N/A</v>
      </c>
      <c r="AL1833" s="104" t="e">
        <f t="shared" si="819"/>
        <v>#N/A</v>
      </c>
      <c r="AM1833" s="104" t="e">
        <f t="shared" si="820"/>
        <v>#N/A</v>
      </c>
      <c r="AN1833" s="104" t="e">
        <f t="shared" si="804"/>
        <v>#N/A</v>
      </c>
      <c r="AO1833" s="104" t="e">
        <f t="shared" si="805"/>
        <v>#N/A</v>
      </c>
      <c r="AP1833" s="104" t="e">
        <f t="shared" si="806"/>
        <v>#N/A</v>
      </c>
      <c r="AQ1833" s="104" t="e">
        <f t="shared" si="807"/>
        <v>#N/A</v>
      </c>
      <c r="AR1833" s="105" t="str">
        <f t="shared" si="799"/>
        <v/>
      </c>
      <c r="AS1833" s="105" t="str">
        <f t="shared" si="800"/>
        <v/>
      </c>
      <c r="AT1833" s="108" t="str">
        <f t="shared" si="801"/>
        <v/>
      </c>
      <c r="AU1833" s="108" t="str">
        <f t="shared" si="802"/>
        <v/>
      </c>
      <c r="AV1833" s="107" t="str">
        <f>IF(ISNUMBER(O1833),IF(VLOOKUP($A1833,Stand!C:J,8,FALSE)="Short",AT1833,AU1833),"")</f>
        <v/>
      </c>
      <c r="AW1833" s="109" t="str">
        <f t="shared" si="808"/>
        <v/>
      </c>
      <c r="AX1833" s="109" t="str">
        <f t="shared" si="809"/>
        <v/>
      </c>
      <c r="AY1833" s="112" t="str">
        <f>IF(ISNUMBER(O1833),IF(AND(VLOOKUP($D1833,Merchantability!$B:$C,2,0)="Yes",$E1833&gt;=VLOOKUP($D1833,Merchantability!$B:$D,3,0),$E1833&lt;=VLOOKUP($D1833,Merchantability!$B:$E,4,0)),(AV1833*O1833)*(1-$H1833/100),""),"")</f>
        <v/>
      </c>
      <c r="AZ1833" s="116"/>
      <c r="BA1833" s="116"/>
      <c r="BB1833" s="116"/>
      <c r="BE1833" s="62"/>
      <c r="BF1833" s="63"/>
    </row>
    <row r="1834" spans="1:58" ht="12.75" customHeight="1" x14ac:dyDescent="0.25">
      <c r="A1834" s="334"/>
      <c r="B1834" s="334"/>
      <c r="C1834" s="332"/>
      <c r="D1834" s="334"/>
      <c r="E1834" s="335"/>
      <c r="F1834" s="334"/>
      <c r="G1834" s="332"/>
      <c r="H1834" s="332"/>
      <c r="I1834" s="334"/>
      <c r="J1834" s="336"/>
      <c r="K1834" s="332"/>
      <c r="L1834" s="332"/>
      <c r="M1834" s="76"/>
      <c r="N1834" s="103" t="str">
        <f>IF(A1834="","",VLOOKUP(A1834,Stand!C:K,9,0))</f>
        <v/>
      </c>
      <c r="O1834" s="104" t="str">
        <f t="shared" si="794"/>
        <v/>
      </c>
      <c r="P1834" s="105" t="str">
        <f t="shared" si="795"/>
        <v/>
      </c>
      <c r="Q1834" s="105" t="str">
        <f t="shared" si="810"/>
        <v/>
      </c>
      <c r="R1834" s="103" t="str">
        <f t="shared" si="796"/>
        <v/>
      </c>
      <c r="S1834" s="103" t="str">
        <f t="shared" si="797"/>
        <v/>
      </c>
      <c r="T1834" s="106" t="str">
        <f t="shared" si="811"/>
        <v/>
      </c>
      <c r="U1834" s="106" t="str">
        <f t="shared" si="812"/>
        <v/>
      </c>
      <c r="V1834" s="106" t="str">
        <f t="shared" si="813"/>
        <v/>
      </c>
      <c r="W1834" s="105" t="str">
        <f t="shared" si="798"/>
        <v/>
      </c>
      <c r="X1834" s="104" t="str">
        <f t="shared" si="803"/>
        <v/>
      </c>
      <c r="Y1834" s="104" t="str">
        <f t="array" ref="Y1834">IFERROR(IF(ISNUMBER(O1834),IF(COUNT(IF(A1834=$A$2:$A$2427,IF(D1834=$D$2:$D$2427,IF($X$2:$X$2427&gt;0,1))))&gt;0,SUM(IF(A1834=$A$2:$A$2427,IF(D1834=$D$2:$D$2427,$X$2:$X$2427)))/COUNT(IF(A1834=$A$2:$A$2427,IF(D1834=$D$2:$D$2427,IF(ISNUMBER($X$2:$X$2427),1)))),0),""),0)</f>
        <v/>
      </c>
      <c r="Z1834" s="104" t="str">
        <f>IF(ISNUMBER(O1834),IF(I1834&gt;0,(10^(VLOOKUP(D1834,'Species Codes'!B:C,2,0)+VLOOKUP(D1834,'Species Codes'!B:D,3,0)*LOG(E1834)+VLOOKUP(D1834,'Species Codes'!B:E,4,0)*LOG(I1834))),0),"")</f>
        <v/>
      </c>
      <c r="AA1834" s="104" t="str">
        <f>IFERROR((VLOOKUP(D1834,'Species Codes'!B:G,6,0)*Z1834)/2000,"")</f>
        <v/>
      </c>
      <c r="AB1834" s="104" t="e">
        <f>IF(Z1834&gt;0,((IF(OR(D1834="DF",D1834="RA")=TRUE,EXP(VLOOKUP(D1834,'Species Codes'!B:I,8,0)+VLOOKUP(D1834,'Species Codes'!B:J,9,0)*(LN((E1834*2.54)))),IF(OR(D1834="PY",D1834="RC",D1834="WH",D1834="NF")=TRUE,VLOOKUP(D1834,'Species Codes'!B:I,8,0)+VLOOKUP(D1834,'Species Codes'!B:J,9,0)*((E1834*2.54)^2)*(I1834*0.3048),IF(OR(D1834="MD",D1834="BM",D1834="GA")=TRUE,((VLOOKUP(D1834,'Species Codes'!B:I,8,0)*(((((E1834*2.54)+VLOOKUP(D1834,'Species Codes'!B:J,9,0))/VLOOKUP(D1834,'Species Codes'!B:K,10,0))^VLOOKUP(D1834,'Species Codes'!B:L,11,0))*((I1834*0.3048)^VLOOKUP(D1834,'Species Codes'!B:M,12,0))))-(VLOOKUP(D1834,'Species Codes'!B:I,8,0)*((((E1834*2.54)^VLOOKUP(D1834,'Species Codes'!B:L,11,0))*((I1834*0.3048)^VLOOKUP(D1834,'Species Codes'!B:M,12,0))))))*35.3*VLOOKUP(D1834,'Species Codes'!B:G,6,0)/2.2046,VLOOKUP(D1834,'Species Codes'!B:I,8,0)+VLOOKUP(D1834,'Species Codes'!B:J,9,0)*(((E1834*2.54)/100)^2)*(I1834*0.3048)))))*0.0011023),0)</f>
        <v>#N/A</v>
      </c>
      <c r="AC1834" s="104" t="e">
        <f>IF(Z1834&gt;0,((IF(OR(D1834="RA",D1834="OA",D1834="OT",D1834="UN",D1834="PC"),EXP(VLOOKUP(D1834,'Species Codes'!B:O,14,0)+VLOOKUP(D1834,'Species Codes'!B:P,15,0)*LN((E1834*2.54)))-EXP(VLOOKUP(D1834,'Species Codes'!B:O,14,0)+VLOOKUP(D1834,'Species Codes'!B:P,15,0)*LN((E1834*2.54)))*(1/(VLOOKUP(D1834,'Species Codes'!B:Q,16,0)+VLOOKUP(D1834,'Species Codes'!B:R,17,0)*((E1834*2.54)^VLOOKUP(D1834,'Species Codes'!B:S,18,0)))),IF(OR(D1834="BM",D1834="MD",D1834="OA"),EXP(VLOOKUP(D1834,'Species Codes'!B:O,14,0)+VLOOKUP(D1834,'Species Codes'!B:P,15,0)*LN((E1834*2.54)))*(1-(1/(VLOOKUP(D1834,'Species Codes'!B:Q,16,0)+VLOOKUP(D1834,'Species Codes'!B:R,17,0)*((E1834*2.54)^VLOOKUP(D1834,'Species Codes'!B:S,18,0)))))/1000,IF(D1834="DF",EXP(VLOOKUP(D1834,'Species Codes'!B:O,14,0)+VLOOKUP(D1834,'Species Codes'!B:P,15,0)*LN((E1834*2.54))),VLOOKUP(D1834,'Species Codes'!B:O,14,0)+VLOOKUP(D1834,'Species Codes'!B:P,15,0)*(((E1834*2.54)/100)^2)*(I1834*0.3048)))))*0.0011023),0)</f>
        <v>#N/A</v>
      </c>
      <c r="AD1834" s="104" t="e">
        <f t="shared" si="814"/>
        <v>#N/A</v>
      </c>
      <c r="AE1834" s="104" t="e">
        <f t="shared" si="815"/>
        <v>#N/A</v>
      </c>
      <c r="AF1834" s="104" t="e">
        <f>IF(AND(VLOOKUP($D1834,Merchantability!$B:$C,2,0)="Yes",$E1834&gt;=VLOOKUP($D1834,Merchantability!$B:$D,3,0),$E1834&lt;=VLOOKUP($D1834,Merchantability!$B:$E,4,0)),AA1834,0)</f>
        <v>#N/A</v>
      </c>
      <c r="AG1834" s="104" t="e">
        <f>IF(AND(VLOOKUP($D1834,Merchantability!$B:$C,2,0)="Yes",$E1834&gt;=VLOOKUP($D1834,Merchantability!$B:$D,3,0),$E1834&lt;=VLOOKUP($D1834,Merchantability!$B:$E,4,0)),AB1834,0)</f>
        <v>#N/A</v>
      </c>
      <c r="AH1834" s="104" t="e">
        <f>IF(AND(VLOOKUP($D1834,Merchantability!$B:$C,2,0)="Yes",$E1834&gt;=VLOOKUP($D1834,Merchantability!$B:$D,3,0),$E1834&lt;=VLOOKUP($D1834,Merchantability!$B:$E,4,0)),AC1834,0)</f>
        <v>#N/A</v>
      </c>
      <c r="AI1834" s="104" t="e">
        <f t="shared" si="816"/>
        <v>#N/A</v>
      </c>
      <c r="AJ1834" s="104" t="e">
        <f t="shared" si="817"/>
        <v>#VALUE!</v>
      </c>
      <c r="AK1834" s="104" t="e">
        <f t="shared" si="818"/>
        <v>#N/A</v>
      </c>
      <c r="AL1834" s="104" t="e">
        <f t="shared" si="819"/>
        <v>#N/A</v>
      </c>
      <c r="AM1834" s="104" t="e">
        <f t="shared" si="820"/>
        <v>#N/A</v>
      </c>
      <c r="AN1834" s="104" t="e">
        <f t="shared" si="804"/>
        <v>#N/A</v>
      </c>
      <c r="AO1834" s="104" t="e">
        <f t="shared" si="805"/>
        <v>#N/A</v>
      </c>
      <c r="AP1834" s="104" t="e">
        <f t="shared" si="806"/>
        <v>#N/A</v>
      </c>
      <c r="AQ1834" s="104" t="e">
        <f t="shared" si="807"/>
        <v>#N/A</v>
      </c>
      <c r="AR1834" s="105" t="str">
        <f t="shared" si="799"/>
        <v/>
      </c>
      <c r="AS1834" s="105" t="str">
        <f t="shared" si="800"/>
        <v/>
      </c>
      <c r="AT1834" s="108" t="str">
        <f t="shared" si="801"/>
        <v/>
      </c>
      <c r="AU1834" s="108" t="str">
        <f t="shared" si="802"/>
        <v/>
      </c>
      <c r="AV1834" s="107" t="str">
        <f>IF(ISNUMBER(O1834),IF(VLOOKUP($A1834,Stand!C:J,8,FALSE)="Short",AT1834,AU1834),"")</f>
        <v/>
      </c>
      <c r="AW1834" s="109" t="str">
        <f t="shared" si="808"/>
        <v/>
      </c>
      <c r="AX1834" s="109" t="str">
        <f t="shared" si="809"/>
        <v/>
      </c>
      <c r="AY1834" s="112" t="str">
        <f>IF(ISNUMBER(O1834),IF(AND(VLOOKUP($D1834,Merchantability!$B:$C,2,0)="Yes",$E1834&gt;=VLOOKUP($D1834,Merchantability!$B:$D,3,0),$E1834&lt;=VLOOKUP($D1834,Merchantability!$B:$E,4,0)),(AV1834*O1834)*(1-$H1834/100),""),"")</f>
        <v/>
      </c>
      <c r="AZ1834" s="116"/>
      <c r="BA1834" s="116"/>
      <c r="BB1834" s="116"/>
      <c r="BE1834" s="62"/>
      <c r="BF1834" s="63"/>
    </row>
    <row r="1835" spans="1:58" ht="12.75" customHeight="1" x14ac:dyDescent="0.25">
      <c r="A1835" s="334"/>
      <c r="B1835" s="334"/>
      <c r="C1835" s="332"/>
      <c r="D1835" s="334"/>
      <c r="E1835" s="335"/>
      <c r="F1835" s="334"/>
      <c r="G1835" s="332"/>
      <c r="H1835" s="332"/>
      <c r="I1835" s="334"/>
      <c r="J1835" s="336"/>
      <c r="K1835" s="332"/>
      <c r="L1835" s="332"/>
      <c r="M1835" s="76"/>
      <c r="N1835" s="103" t="str">
        <f>IF(A1835="","",VLOOKUP(A1835,Stand!C:K,9,0))</f>
        <v/>
      </c>
      <c r="O1835" s="104" t="str">
        <f t="shared" si="794"/>
        <v/>
      </c>
      <c r="P1835" s="105" t="str">
        <f t="shared" si="795"/>
        <v/>
      </c>
      <c r="Q1835" s="105" t="str">
        <f t="shared" si="810"/>
        <v/>
      </c>
      <c r="R1835" s="103" t="str">
        <f t="shared" si="796"/>
        <v/>
      </c>
      <c r="S1835" s="103" t="str">
        <f t="shared" si="797"/>
        <v/>
      </c>
      <c r="T1835" s="106" t="str">
        <f t="shared" si="811"/>
        <v/>
      </c>
      <c r="U1835" s="106" t="str">
        <f t="shared" si="812"/>
        <v/>
      </c>
      <c r="V1835" s="106" t="str">
        <f t="shared" si="813"/>
        <v/>
      </c>
      <c r="W1835" s="105" t="str">
        <f t="shared" si="798"/>
        <v/>
      </c>
      <c r="X1835" s="104" t="str">
        <f t="shared" si="803"/>
        <v/>
      </c>
      <c r="Y1835" s="104" t="str">
        <f t="array" ref="Y1835">IFERROR(IF(ISNUMBER(O1835),IF(COUNT(IF(A1835=$A$2:$A$2427,IF(D1835=$D$2:$D$2427,IF($X$2:$X$2427&gt;0,1))))&gt;0,SUM(IF(A1835=$A$2:$A$2427,IF(D1835=$D$2:$D$2427,$X$2:$X$2427)))/COUNT(IF(A1835=$A$2:$A$2427,IF(D1835=$D$2:$D$2427,IF(ISNUMBER($X$2:$X$2427),1)))),0),""),0)</f>
        <v/>
      </c>
      <c r="Z1835" s="104" t="str">
        <f>IF(ISNUMBER(O1835),IF(I1835&gt;0,(10^(VLOOKUP(D1835,'Species Codes'!B:C,2,0)+VLOOKUP(D1835,'Species Codes'!B:D,3,0)*LOG(E1835)+VLOOKUP(D1835,'Species Codes'!B:E,4,0)*LOG(I1835))),0),"")</f>
        <v/>
      </c>
      <c r="AA1835" s="104" t="str">
        <f>IFERROR((VLOOKUP(D1835,'Species Codes'!B:G,6,0)*Z1835)/2000,"")</f>
        <v/>
      </c>
      <c r="AB1835" s="104" t="e">
        <f>IF(Z1835&gt;0,((IF(OR(D1835="DF",D1835="RA")=TRUE,EXP(VLOOKUP(D1835,'Species Codes'!B:I,8,0)+VLOOKUP(D1835,'Species Codes'!B:J,9,0)*(LN((E1835*2.54)))),IF(OR(D1835="PY",D1835="RC",D1835="WH",D1835="NF")=TRUE,VLOOKUP(D1835,'Species Codes'!B:I,8,0)+VLOOKUP(D1835,'Species Codes'!B:J,9,0)*((E1835*2.54)^2)*(I1835*0.3048),IF(OR(D1835="MD",D1835="BM",D1835="GA")=TRUE,((VLOOKUP(D1835,'Species Codes'!B:I,8,0)*(((((E1835*2.54)+VLOOKUP(D1835,'Species Codes'!B:J,9,0))/VLOOKUP(D1835,'Species Codes'!B:K,10,0))^VLOOKUP(D1835,'Species Codes'!B:L,11,0))*((I1835*0.3048)^VLOOKUP(D1835,'Species Codes'!B:M,12,0))))-(VLOOKUP(D1835,'Species Codes'!B:I,8,0)*((((E1835*2.54)^VLOOKUP(D1835,'Species Codes'!B:L,11,0))*((I1835*0.3048)^VLOOKUP(D1835,'Species Codes'!B:M,12,0))))))*35.3*VLOOKUP(D1835,'Species Codes'!B:G,6,0)/2.2046,VLOOKUP(D1835,'Species Codes'!B:I,8,0)+VLOOKUP(D1835,'Species Codes'!B:J,9,0)*(((E1835*2.54)/100)^2)*(I1835*0.3048)))))*0.0011023),0)</f>
        <v>#N/A</v>
      </c>
      <c r="AC1835" s="104" t="e">
        <f>IF(Z1835&gt;0,((IF(OR(D1835="RA",D1835="OA",D1835="OT",D1835="UN",D1835="PC"),EXP(VLOOKUP(D1835,'Species Codes'!B:O,14,0)+VLOOKUP(D1835,'Species Codes'!B:P,15,0)*LN((E1835*2.54)))-EXP(VLOOKUP(D1835,'Species Codes'!B:O,14,0)+VLOOKUP(D1835,'Species Codes'!B:P,15,0)*LN((E1835*2.54)))*(1/(VLOOKUP(D1835,'Species Codes'!B:Q,16,0)+VLOOKUP(D1835,'Species Codes'!B:R,17,0)*((E1835*2.54)^VLOOKUP(D1835,'Species Codes'!B:S,18,0)))),IF(OR(D1835="BM",D1835="MD",D1835="OA"),EXP(VLOOKUP(D1835,'Species Codes'!B:O,14,0)+VLOOKUP(D1835,'Species Codes'!B:P,15,0)*LN((E1835*2.54)))*(1-(1/(VLOOKUP(D1835,'Species Codes'!B:Q,16,0)+VLOOKUP(D1835,'Species Codes'!B:R,17,0)*((E1835*2.54)^VLOOKUP(D1835,'Species Codes'!B:S,18,0)))))/1000,IF(D1835="DF",EXP(VLOOKUP(D1835,'Species Codes'!B:O,14,0)+VLOOKUP(D1835,'Species Codes'!B:P,15,0)*LN((E1835*2.54))),VLOOKUP(D1835,'Species Codes'!B:O,14,0)+VLOOKUP(D1835,'Species Codes'!B:P,15,0)*(((E1835*2.54)/100)^2)*(I1835*0.3048)))))*0.0011023),0)</f>
        <v>#N/A</v>
      </c>
      <c r="AD1835" s="104" t="e">
        <f t="shared" si="814"/>
        <v>#N/A</v>
      </c>
      <c r="AE1835" s="104" t="e">
        <f t="shared" si="815"/>
        <v>#N/A</v>
      </c>
      <c r="AF1835" s="104" t="e">
        <f>IF(AND(VLOOKUP($D1835,Merchantability!$B:$C,2,0)="Yes",$E1835&gt;=VLOOKUP($D1835,Merchantability!$B:$D,3,0),$E1835&lt;=VLOOKUP($D1835,Merchantability!$B:$E,4,0)),AA1835,0)</f>
        <v>#N/A</v>
      </c>
      <c r="AG1835" s="104" t="e">
        <f>IF(AND(VLOOKUP($D1835,Merchantability!$B:$C,2,0)="Yes",$E1835&gt;=VLOOKUP($D1835,Merchantability!$B:$D,3,0),$E1835&lt;=VLOOKUP($D1835,Merchantability!$B:$E,4,0)),AB1835,0)</f>
        <v>#N/A</v>
      </c>
      <c r="AH1835" s="104" t="e">
        <f>IF(AND(VLOOKUP($D1835,Merchantability!$B:$C,2,0)="Yes",$E1835&gt;=VLOOKUP($D1835,Merchantability!$B:$D,3,0),$E1835&lt;=VLOOKUP($D1835,Merchantability!$B:$E,4,0)),AC1835,0)</f>
        <v>#N/A</v>
      </c>
      <c r="AI1835" s="104" t="e">
        <f t="shared" si="816"/>
        <v>#N/A</v>
      </c>
      <c r="AJ1835" s="104" t="e">
        <f t="shared" si="817"/>
        <v>#VALUE!</v>
      </c>
      <c r="AK1835" s="104" t="e">
        <f t="shared" si="818"/>
        <v>#N/A</v>
      </c>
      <c r="AL1835" s="104" t="e">
        <f t="shared" si="819"/>
        <v>#N/A</v>
      </c>
      <c r="AM1835" s="104" t="e">
        <f t="shared" si="820"/>
        <v>#N/A</v>
      </c>
      <c r="AN1835" s="104" t="e">
        <f t="shared" si="804"/>
        <v>#N/A</v>
      </c>
      <c r="AO1835" s="104" t="e">
        <f t="shared" si="805"/>
        <v>#N/A</v>
      </c>
      <c r="AP1835" s="104" t="e">
        <f t="shared" si="806"/>
        <v>#N/A</v>
      </c>
      <c r="AQ1835" s="104" t="e">
        <f t="shared" si="807"/>
        <v>#N/A</v>
      </c>
      <c r="AR1835" s="105" t="str">
        <f t="shared" si="799"/>
        <v/>
      </c>
      <c r="AS1835" s="105" t="str">
        <f t="shared" si="800"/>
        <v/>
      </c>
      <c r="AT1835" s="108" t="str">
        <f t="shared" si="801"/>
        <v/>
      </c>
      <c r="AU1835" s="108" t="str">
        <f t="shared" si="802"/>
        <v/>
      </c>
      <c r="AV1835" s="107" t="str">
        <f>IF(ISNUMBER(O1835),IF(VLOOKUP($A1835,Stand!C:J,8,FALSE)="Short",AT1835,AU1835),"")</f>
        <v/>
      </c>
      <c r="AW1835" s="109" t="str">
        <f t="shared" si="808"/>
        <v/>
      </c>
      <c r="AX1835" s="109" t="str">
        <f t="shared" si="809"/>
        <v/>
      </c>
      <c r="AY1835" s="112" t="str">
        <f>IF(ISNUMBER(O1835),IF(AND(VLOOKUP($D1835,Merchantability!$B:$C,2,0)="Yes",$E1835&gt;=VLOOKUP($D1835,Merchantability!$B:$D,3,0),$E1835&lt;=VLOOKUP($D1835,Merchantability!$B:$E,4,0)),(AV1835*O1835)*(1-$H1835/100),""),"")</f>
        <v/>
      </c>
      <c r="AZ1835" s="116"/>
      <c r="BA1835" s="116"/>
      <c r="BB1835" s="116"/>
      <c r="BE1835" s="62"/>
      <c r="BF1835" s="63"/>
    </row>
    <row r="1836" spans="1:58" ht="12.75" customHeight="1" x14ac:dyDescent="0.25">
      <c r="A1836" s="334"/>
      <c r="B1836" s="334"/>
      <c r="C1836" s="332"/>
      <c r="D1836" s="334"/>
      <c r="E1836" s="335"/>
      <c r="F1836" s="334"/>
      <c r="G1836" s="332"/>
      <c r="H1836" s="332"/>
      <c r="I1836" s="334"/>
      <c r="J1836" s="336"/>
      <c r="K1836" s="332"/>
      <c r="L1836" s="332"/>
      <c r="M1836" s="76"/>
      <c r="N1836" s="103" t="str">
        <f>IF(A1836="","",VLOOKUP(A1836,Stand!C:K,9,0))</f>
        <v/>
      </c>
      <c r="O1836" s="104" t="str">
        <f t="shared" si="794"/>
        <v/>
      </c>
      <c r="P1836" s="105" t="str">
        <f t="shared" si="795"/>
        <v/>
      </c>
      <c r="Q1836" s="105" t="str">
        <f t="shared" si="810"/>
        <v/>
      </c>
      <c r="R1836" s="103" t="str">
        <f t="shared" si="796"/>
        <v/>
      </c>
      <c r="S1836" s="103" t="str">
        <f t="shared" si="797"/>
        <v/>
      </c>
      <c r="T1836" s="106" t="str">
        <f t="shared" si="811"/>
        <v/>
      </c>
      <c r="U1836" s="106" t="str">
        <f t="shared" si="812"/>
        <v/>
      </c>
      <c r="V1836" s="106" t="str">
        <f t="shared" si="813"/>
        <v/>
      </c>
      <c r="W1836" s="105" t="str">
        <f t="shared" si="798"/>
        <v/>
      </c>
      <c r="X1836" s="104" t="str">
        <f t="shared" si="803"/>
        <v/>
      </c>
      <c r="Y1836" s="104" t="str">
        <f t="array" ref="Y1836">IFERROR(IF(ISNUMBER(O1836),IF(COUNT(IF(A1836=$A$2:$A$2427,IF(D1836=$D$2:$D$2427,IF($X$2:$X$2427&gt;0,1))))&gt;0,SUM(IF(A1836=$A$2:$A$2427,IF(D1836=$D$2:$D$2427,$X$2:$X$2427)))/COUNT(IF(A1836=$A$2:$A$2427,IF(D1836=$D$2:$D$2427,IF(ISNUMBER($X$2:$X$2427),1)))),0),""),0)</f>
        <v/>
      </c>
      <c r="Z1836" s="104" t="str">
        <f>IF(ISNUMBER(O1836),IF(I1836&gt;0,(10^(VLOOKUP(D1836,'Species Codes'!B:C,2,0)+VLOOKUP(D1836,'Species Codes'!B:D,3,0)*LOG(E1836)+VLOOKUP(D1836,'Species Codes'!B:E,4,0)*LOG(I1836))),0),"")</f>
        <v/>
      </c>
      <c r="AA1836" s="104" t="str">
        <f>IFERROR((VLOOKUP(D1836,'Species Codes'!B:G,6,0)*Z1836)/2000,"")</f>
        <v/>
      </c>
      <c r="AB1836" s="104" t="e">
        <f>IF(Z1836&gt;0,((IF(OR(D1836="DF",D1836="RA")=TRUE,EXP(VLOOKUP(D1836,'Species Codes'!B:I,8,0)+VLOOKUP(D1836,'Species Codes'!B:J,9,0)*(LN((E1836*2.54)))),IF(OR(D1836="PY",D1836="RC",D1836="WH",D1836="NF")=TRUE,VLOOKUP(D1836,'Species Codes'!B:I,8,0)+VLOOKUP(D1836,'Species Codes'!B:J,9,0)*((E1836*2.54)^2)*(I1836*0.3048),IF(OR(D1836="MD",D1836="BM",D1836="GA")=TRUE,((VLOOKUP(D1836,'Species Codes'!B:I,8,0)*(((((E1836*2.54)+VLOOKUP(D1836,'Species Codes'!B:J,9,0))/VLOOKUP(D1836,'Species Codes'!B:K,10,0))^VLOOKUP(D1836,'Species Codes'!B:L,11,0))*((I1836*0.3048)^VLOOKUP(D1836,'Species Codes'!B:M,12,0))))-(VLOOKUP(D1836,'Species Codes'!B:I,8,0)*((((E1836*2.54)^VLOOKUP(D1836,'Species Codes'!B:L,11,0))*((I1836*0.3048)^VLOOKUP(D1836,'Species Codes'!B:M,12,0))))))*35.3*VLOOKUP(D1836,'Species Codes'!B:G,6,0)/2.2046,VLOOKUP(D1836,'Species Codes'!B:I,8,0)+VLOOKUP(D1836,'Species Codes'!B:J,9,0)*(((E1836*2.54)/100)^2)*(I1836*0.3048)))))*0.0011023),0)</f>
        <v>#N/A</v>
      </c>
      <c r="AC1836" s="104" t="e">
        <f>IF(Z1836&gt;0,((IF(OR(D1836="RA",D1836="OA",D1836="OT",D1836="UN",D1836="PC"),EXP(VLOOKUP(D1836,'Species Codes'!B:O,14,0)+VLOOKUP(D1836,'Species Codes'!B:P,15,0)*LN((E1836*2.54)))-EXP(VLOOKUP(D1836,'Species Codes'!B:O,14,0)+VLOOKUP(D1836,'Species Codes'!B:P,15,0)*LN((E1836*2.54)))*(1/(VLOOKUP(D1836,'Species Codes'!B:Q,16,0)+VLOOKUP(D1836,'Species Codes'!B:R,17,0)*((E1836*2.54)^VLOOKUP(D1836,'Species Codes'!B:S,18,0)))),IF(OR(D1836="BM",D1836="MD",D1836="OA"),EXP(VLOOKUP(D1836,'Species Codes'!B:O,14,0)+VLOOKUP(D1836,'Species Codes'!B:P,15,0)*LN((E1836*2.54)))*(1-(1/(VLOOKUP(D1836,'Species Codes'!B:Q,16,0)+VLOOKUP(D1836,'Species Codes'!B:R,17,0)*((E1836*2.54)^VLOOKUP(D1836,'Species Codes'!B:S,18,0)))))/1000,IF(D1836="DF",EXP(VLOOKUP(D1836,'Species Codes'!B:O,14,0)+VLOOKUP(D1836,'Species Codes'!B:P,15,0)*LN((E1836*2.54))),VLOOKUP(D1836,'Species Codes'!B:O,14,0)+VLOOKUP(D1836,'Species Codes'!B:P,15,0)*(((E1836*2.54)/100)^2)*(I1836*0.3048)))))*0.0011023),0)</f>
        <v>#N/A</v>
      </c>
      <c r="AD1836" s="104" t="e">
        <f t="shared" si="814"/>
        <v>#N/A</v>
      </c>
      <c r="AE1836" s="104" t="e">
        <f t="shared" si="815"/>
        <v>#N/A</v>
      </c>
      <c r="AF1836" s="104" t="e">
        <f>IF(AND(VLOOKUP($D1836,Merchantability!$B:$C,2,0)="Yes",$E1836&gt;=VLOOKUP($D1836,Merchantability!$B:$D,3,0),$E1836&lt;=VLOOKUP($D1836,Merchantability!$B:$E,4,0)),AA1836,0)</f>
        <v>#N/A</v>
      </c>
      <c r="AG1836" s="104" t="e">
        <f>IF(AND(VLOOKUP($D1836,Merchantability!$B:$C,2,0)="Yes",$E1836&gt;=VLOOKUP($D1836,Merchantability!$B:$D,3,0),$E1836&lt;=VLOOKUP($D1836,Merchantability!$B:$E,4,0)),AB1836,0)</f>
        <v>#N/A</v>
      </c>
      <c r="AH1836" s="104" t="e">
        <f>IF(AND(VLOOKUP($D1836,Merchantability!$B:$C,2,0)="Yes",$E1836&gt;=VLOOKUP($D1836,Merchantability!$B:$D,3,0),$E1836&lt;=VLOOKUP($D1836,Merchantability!$B:$E,4,0)),AC1836,0)</f>
        <v>#N/A</v>
      </c>
      <c r="AI1836" s="104" t="e">
        <f t="shared" si="816"/>
        <v>#N/A</v>
      </c>
      <c r="AJ1836" s="104" t="e">
        <f t="shared" si="817"/>
        <v>#VALUE!</v>
      </c>
      <c r="AK1836" s="104" t="e">
        <f t="shared" si="818"/>
        <v>#N/A</v>
      </c>
      <c r="AL1836" s="104" t="e">
        <f t="shared" si="819"/>
        <v>#N/A</v>
      </c>
      <c r="AM1836" s="104" t="e">
        <f t="shared" si="820"/>
        <v>#N/A</v>
      </c>
      <c r="AN1836" s="104" t="e">
        <f t="shared" si="804"/>
        <v>#N/A</v>
      </c>
      <c r="AO1836" s="104" t="e">
        <f t="shared" si="805"/>
        <v>#N/A</v>
      </c>
      <c r="AP1836" s="104" t="e">
        <f t="shared" si="806"/>
        <v>#N/A</v>
      </c>
      <c r="AQ1836" s="104" t="e">
        <f t="shared" si="807"/>
        <v>#N/A</v>
      </c>
      <c r="AR1836" s="105" t="str">
        <f t="shared" si="799"/>
        <v/>
      </c>
      <c r="AS1836" s="105" t="str">
        <f t="shared" si="800"/>
        <v/>
      </c>
      <c r="AT1836" s="108" t="str">
        <f t="shared" si="801"/>
        <v/>
      </c>
      <c r="AU1836" s="108" t="str">
        <f t="shared" si="802"/>
        <v/>
      </c>
      <c r="AV1836" s="107" t="str">
        <f>IF(ISNUMBER(O1836),IF(VLOOKUP($A1836,Stand!C:J,8,FALSE)="Short",AT1836,AU1836),"")</f>
        <v/>
      </c>
      <c r="AW1836" s="109" t="str">
        <f t="shared" si="808"/>
        <v/>
      </c>
      <c r="AX1836" s="109" t="str">
        <f t="shared" si="809"/>
        <v/>
      </c>
      <c r="AY1836" s="112" t="str">
        <f>IF(ISNUMBER(O1836),IF(AND(VLOOKUP($D1836,Merchantability!$B:$C,2,0)="Yes",$E1836&gt;=VLOOKUP($D1836,Merchantability!$B:$D,3,0),$E1836&lt;=VLOOKUP($D1836,Merchantability!$B:$E,4,0)),(AV1836*O1836)*(1-$H1836/100),""),"")</f>
        <v/>
      </c>
      <c r="AZ1836" s="116"/>
      <c r="BA1836" s="116"/>
      <c r="BB1836" s="116"/>
      <c r="BE1836" s="62"/>
      <c r="BF1836" s="63"/>
    </row>
    <row r="1837" spans="1:58" ht="12.75" customHeight="1" x14ac:dyDescent="0.25">
      <c r="A1837" s="334"/>
      <c r="B1837" s="334"/>
      <c r="C1837" s="332"/>
      <c r="D1837" s="334"/>
      <c r="E1837" s="335"/>
      <c r="F1837" s="334"/>
      <c r="G1837" s="332"/>
      <c r="H1837" s="332"/>
      <c r="I1837" s="334"/>
      <c r="J1837" s="336"/>
      <c r="K1837" s="332"/>
      <c r="L1837" s="332"/>
      <c r="M1837" s="76"/>
      <c r="N1837" s="103" t="str">
        <f>IF(A1837="","",VLOOKUP(A1837,Stand!C:K,9,0))</f>
        <v/>
      </c>
      <c r="O1837" s="104" t="str">
        <f t="shared" si="794"/>
        <v/>
      </c>
      <c r="P1837" s="105" t="str">
        <f t="shared" si="795"/>
        <v/>
      </c>
      <c r="Q1837" s="105" t="str">
        <f t="shared" si="810"/>
        <v/>
      </c>
      <c r="R1837" s="103" t="str">
        <f t="shared" si="796"/>
        <v/>
      </c>
      <c r="S1837" s="103" t="str">
        <f t="shared" si="797"/>
        <v/>
      </c>
      <c r="T1837" s="106" t="str">
        <f t="shared" si="811"/>
        <v/>
      </c>
      <c r="U1837" s="106" t="str">
        <f t="shared" si="812"/>
        <v/>
      </c>
      <c r="V1837" s="106" t="str">
        <f t="shared" si="813"/>
        <v/>
      </c>
      <c r="W1837" s="105" t="str">
        <f t="shared" si="798"/>
        <v/>
      </c>
      <c r="X1837" s="104" t="str">
        <f t="shared" si="803"/>
        <v/>
      </c>
      <c r="Y1837" s="104" t="str">
        <f t="array" ref="Y1837">IFERROR(IF(ISNUMBER(O1837),IF(COUNT(IF(A1837=$A$2:$A$2427,IF(D1837=$D$2:$D$2427,IF($X$2:$X$2427&gt;0,1))))&gt;0,SUM(IF(A1837=$A$2:$A$2427,IF(D1837=$D$2:$D$2427,$X$2:$X$2427)))/COUNT(IF(A1837=$A$2:$A$2427,IF(D1837=$D$2:$D$2427,IF(ISNUMBER($X$2:$X$2427),1)))),0),""),0)</f>
        <v/>
      </c>
      <c r="Z1837" s="104" t="str">
        <f>IF(ISNUMBER(O1837),IF(I1837&gt;0,(10^(VLOOKUP(D1837,'Species Codes'!B:C,2,0)+VLOOKUP(D1837,'Species Codes'!B:D,3,0)*LOG(E1837)+VLOOKUP(D1837,'Species Codes'!B:E,4,0)*LOG(I1837))),0),"")</f>
        <v/>
      </c>
      <c r="AA1837" s="104" t="str">
        <f>IFERROR((VLOOKUP(D1837,'Species Codes'!B:G,6,0)*Z1837)/2000,"")</f>
        <v/>
      </c>
      <c r="AB1837" s="104" t="e">
        <f>IF(Z1837&gt;0,((IF(OR(D1837="DF",D1837="RA")=TRUE,EXP(VLOOKUP(D1837,'Species Codes'!B:I,8,0)+VLOOKUP(D1837,'Species Codes'!B:J,9,0)*(LN((E1837*2.54)))),IF(OR(D1837="PY",D1837="RC",D1837="WH",D1837="NF")=TRUE,VLOOKUP(D1837,'Species Codes'!B:I,8,0)+VLOOKUP(D1837,'Species Codes'!B:J,9,0)*((E1837*2.54)^2)*(I1837*0.3048),IF(OR(D1837="MD",D1837="BM",D1837="GA")=TRUE,((VLOOKUP(D1837,'Species Codes'!B:I,8,0)*(((((E1837*2.54)+VLOOKUP(D1837,'Species Codes'!B:J,9,0))/VLOOKUP(D1837,'Species Codes'!B:K,10,0))^VLOOKUP(D1837,'Species Codes'!B:L,11,0))*((I1837*0.3048)^VLOOKUP(D1837,'Species Codes'!B:M,12,0))))-(VLOOKUP(D1837,'Species Codes'!B:I,8,0)*((((E1837*2.54)^VLOOKUP(D1837,'Species Codes'!B:L,11,0))*((I1837*0.3048)^VLOOKUP(D1837,'Species Codes'!B:M,12,0))))))*35.3*VLOOKUP(D1837,'Species Codes'!B:G,6,0)/2.2046,VLOOKUP(D1837,'Species Codes'!B:I,8,0)+VLOOKUP(D1837,'Species Codes'!B:J,9,0)*(((E1837*2.54)/100)^2)*(I1837*0.3048)))))*0.0011023),0)</f>
        <v>#N/A</v>
      </c>
      <c r="AC1837" s="104" t="e">
        <f>IF(Z1837&gt;0,((IF(OR(D1837="RA",D1837="OA",D1837="OT",D1837="UN",D1837="PC"),EXP(VLOOKUP(D1837,'Species Codes'!B:O,14,0)+VLOOKUP(D1837,'Species Codes'!B:P,15,0)*LN((E1837*2.54)))-EXP(VLOOKUP(D1837,'Species Codes'!B:O,14,0)+VLOOKUP(D1837,'Species Codes'!B:P,15,0)*LN((E1837*2.54)))*(1/(VLOOKUP(D1837,'Species Codes'!B:Q,16,0)+VLOOKUP(D1837,'Species Codes'!B:R,17,0)*((E1837*2.54)^VLOOKUP(D1837,'Species Codes'!B:S,18,0)))),IF(OR(D1837="BM",D1837="MD",D1837="OA"),EXP(VLOOKUP(D1837,'Species Codes'!B:O,14,0)+VLOOKUP(D1837,'Species Codes'!B:P,15,0)*LN((E1837*2.54)))*(1-(1/(VLOOKUP(D1837,'Species Codes'!B:Q,16,0)+VLOOKUP(D1837,'Species Codes'!B:R,17,0)*((E1837*2.54)^VLOOKUP(D1837,'Species Codes'!B:S,18,0)))))/1000,IF(D1837="DF",EXP(VLOOKUP(D1837,'Species Codes'!B:O,14,0)+VLOOKUP(D1837,'Species Codes'!B:P,15,0)*LN((E1837*2.54))),VLOOKUP(D1837,'Species Codes'!B:O,14,0)+VLOOKUP(D1837,'Species Codes'!B:P,15,0)*(((E1837*2.54)/100)^2)*(I1837*0.3048)))))*0.0011023),0)</f>
        <v>#N/A</v>
      </c>
      <c r="AD1837" s="104" t="e">
        <f t="shared" si="814"/>
        <v>#N/A</v>
      </c>
      <c r="AE1837" s="104" t="e">
        <f t="shared" si="815"/>
        <v>#N/A</v>
      </c>
      <c r="AF1837" s="104" t="e">
        <f>IF(AND(VLOOKUP($D1837,Merchantability!$B:$C,2,0)="Yes",$E1837&gt;=VLOOKUP($D1837,Merchantability!$B:$D,3,0),$E1837&lt;=VLOOKUP($D1837,Merchantability!$B:$E,4,0)),AA1837,0)</f>
        <v>#N/A</v>
      </c>
      <c r="AG1837" s="104" t="e">
        <f>IF(AND(VLOOKUP($D1837,Merchantability!$B:$C,2,0)="Yes",$E1837&gt;=VLOOKUP($D1837,Merchantability!$B:$D,3,0),$E1837&lt;=VLOOKUP($D1837,Merchantability!$B:$E,4,0)),AB1837,0)</f>
        <v>#N/A</v>
      </c>
      <c r="AH1837" s="104" t="e">
        <f>IF(AND(VLOOKUP($D1837,Merchantability!$B:$C,2,0)="Yes",$E1837&gt;=VLOOKUP($D1837,Merchantability!$B:$D,3,0),$E1837&lt;=VLOOKUP($D1837,Merchantability!$B:$E,4,0)),AC1837,0)</f>
        <v>#N/A</v>
      </c>
      <c r="AI1837" s="104" t="e">
        <f t="shared" si="816"/>
        <v>#N/A</v>
      </c>
      <c r="AJ1837" s="104" t="e">
        <f t="shared" si="817"/>
        <v>#VALUE!</v>
      </c>
      <c r="AK1837" s="104" t="e">
        <f t="shared" si="818"/>
        <v>#N/A</v>
      </c>
      <c r="AL1837" s="104" t="e">
        <f t="shared" si="819"/>
        <v>#N/A</v>
      </c>
      <c r="AM1837" s="104" t="e">
        <f t="shared" si="820"/>
        <v>#N/A</v>
      </c>
      <c r="AN1837" s="104" t="e">
        <f t="shared" si="804"/>
        <v>#N/A</v>
      </c>
      <c r="AO1837" s="104" t="e">
        <f t="shared" si="805"/>
        <v>#N/A</v>
      </c>
      <c r="AP1837" s="104" t="e">
        <f t="shared" si="806"/>
        <v>#N/A</v>
      </c>
      <c r="AQ1837" s="104" t="e">
        <f t="shared" si="807"/>
        <v>#N/A</v>
      </c>
      <c r="AR1837" s="105" t="str">
        <f t="shared" si="799"/>
        <v/>
      </c>
      <c r="AS1837" s="105" t="str">
        <f t="shared" si="800"/>
        <v/>
      </c>
      <c r="AT1837" s="108" t="str">
        <f t="shared" si="801"/>
        <v/>
      </c>
      <c r="AU1837" s="108" t="str">
        <f t="shared" si="802"/>
        <v/>
      </c>
      <c r="AV1837" s="107" t="str">
        <f>IF(ISNUMBER(O1837),IF(VLOOKUP($A1837,Stand!C:J,8,FALSE)="Short",AT1837,AU1837),"")</f>
        <v/>
      </c>
      <c r="AW1837" s="109" t="str">
        <f t="shared" si="808"/>
        <v/>
      </c>
      <c r="AX1837" s="109" t="str">
        <f t="shared" si="809"/>
        <v/>
      </c>
      <c r="AY1837" s="112" t="str">
        <f>IF(ISNUMBER(O1837),IF(AND(VLOOKUP($D1837,Merchantability!$B:$C,2,0)="Yes",$E1837&gt;=VLOOKUP($D1837,Merchantability!$B:$D,3,0),$E1837&lt;=VLOOKUP($D1837,Merchantability!$B:$E,4,0)),(AV1837*O1837)*(1-$H1837/100),""),"")</f>
        <v/>
      </c>
      <c r="AZ1837" s="116"/>
      <c r="BA1837" s="116"/>
      <c r="BB1837" s="116"/>
      <c r="BE1837" s="62"/>
      <c r="BF1837" s="63"/>
    </row>
    <row r="1838" spans="1:58" ht="12.75" customHeight="1" x14ac:dyDescent="0.25">
      <c r="A1838" s="334"/>
      <c r="B1838" s="334"/>
      <c r="C1838" s="332"/>
      <c r="D1838" s="334"/>
      <c r="E1838" s="335"/>
      <c r="F1838" s="334"/>
      <c r="G1838" s="332"/>
      <c r="H1838" s="332"/>
      <c r="I1838" s="334"/>
      <c r="J1838" s="336"/>
      <c r="K1838" s="332"/>
      <c r="L1838" s="332"/>
      <c r="M1838" s="76"/>
      <c r="N1838" s="103" t="str">
        <f>IF(A1838="","",VLOOKUP(A1838,Stand!C:K,9,0))</f>
        <v/>
      </c>
      <c r="O1838" s="104" t="str">
        <f t="shared" si="794"/>
        <v/>
      </c>
      <c r="P1838" s="105" t="str">
        <f t="shared" si="795"/>
        <v/>
      </c>
      <c r="Q1838" s="105" t="str">
        <f t="shared" si="810"/>
        <v/>
      </c>
      <c r="R1838" s="103" t="str">
        <f t="shared" si="796"/>
        <v/>
      </c>
      <c r="S1838" s="103" t="str">
        <f t="shared" si="797"/>
        <v/>
      </c>
      <c r="T1838" s="106" t="str">
        <f t="shared" si="811"/>
        <v/>
      </c>
      <c r="U1838" s="106" t="str">
        <f t="shared" si="812"/>
        <v/>
      </c>
      <c r="V1838" s="106" t="str">
        <f t="shared" si="813"/>
        <v/>
      </c>
      <c r="W1838" s="105" t="str">
        <f t="shared" si="798"/>
        <v/>
      </c>
      <c r="X1838" s="104" t="str">
        <f t="shared" si="803"/>
        <v/>
      </c>
      <c r="Y1838" s="104" t="str">
        <f t="array" ref="Y1838">IFERROR(IF(ISNUMBER(O1838),IF(COUNT(IF(A1838=$A$2:$A$2427,IF(D1838=$D$2:$D$2427,IF($X$2:$X$2427&gt;0,1))))&gt;0,SUM(IF(A1838=$A$2:$A$2427,IF(D1838=$D$2:$D$2427,$X$2:$X$2427)))/COUNT(IF(A1838=$A$2:$A$2427,IF(D1838=$D$2:$D$2427,IF(ISNUMBER($X$2:$X$2427),1)))),0),""),0)</f>
        <v/>
      </c>
      <c r="Z1838" s="104" t="str">
        <f>IF(ISNUMBER(O1838),IF(I1838&gt;0,(10^(VLOOKUP(D1838,'Species Codes'!B:C,2,0)+VLOOKUP(D1838,'Species Codes'!B:D,3,0)*LOG(E1838)+VLOOKUP(D1838,'Species Codes'!B:E,4,0)*LOG(I1838))),0),"")</f>
        <v/>
      </c>
      <c r="AA1838" s="104" t="str">
        <f>IFERROR((VLOOKUP(D1838,'Species Codes'!B:G,6,0)*Z1838)/2000,"")</f>
        <v/>
      </c>
      <c r="AB1838" s="104" t="e">
        <f>IF(Z1838&gt;0,((IF(OR(D1838="DF",D1838="RA")=TRUE,EXP(VLOOKUP(D1838,'Species Codes'!B:I,8,0)+VLOOKUP(D1838,'Species Codes'!B:J,9,0)*(LN((E1838*2.54)))),IF(OR(D1838="PY",D1838="RC",D1838="WH",D1838="NF")=TRUE,VLOOKUP(D1838,'Species Codes'!B:I,8,0)+VLOOKUP(D1838,'Species Codes'!B:J,9,0)*((E1838*2.54)^2)*(I1838*0.3048),IF(OR(D1838="MD",D1838="BM",D1838="GA")=TRUE,((VLOOKUP(D1838,'Species Codes'!B:I,8,0)*(((((E1838*2.54)+VLOOKUP(D1838,'Species Codes'!B:J,9,0))/VLOOKUP(D1838,'Species Codes'!B:K,10,0))^VLOOKUP(D1838,'Species Codes'!B:L,11,0))*((I1838*0.3048)^VLOOKUP(D1838,'Species Codes'!B:M,12,0))))-(VLOOKUP(D1838,'Species Codes'!B:I,8,0)*((((E1838*2.54)^VLOOKUP(D1838,'Species Codes'!B:L,11,0))*((I1838*0.3048)^VLOOKUP(D1838,'Species Codes'!B:M,12,0))))))*35.3*VLOOKUP(D1838,'Species Codes'!B:G,6,0)/2.2046,VLOOKUP(D1838,'Species Codes'!B:I,8,0)+VLOOKUP(D1838,'Species Codes'!B:J,9,0)*(((E1838*2.54)/100)^2)*(I1838*0.3048)))))*0.0011023),0)</f>
        <v>#N/A</v>
      </c>
      <c r="AC1838" s="104" t="e">
        <f>IF(Z1838&gt;0,((IF(OR(D1838="RA",D1838="OA",D1838="OT",D1838="UN",D1838="PC"),EXP(VLOOKUP(D1838,'Species Codes'!B:O,14,0)+VLOOKUP(D1838,'Species Codes'!B:P,15,0)*LN((E1838*2.54)))-EXP(VLOOKUP(D1838,'Species Codes'!B:O,14,0)+VLOOKUP(D1838,'Species Codes'!B:P,15,0)*LN((E1838*2.54)))*(1/(VLOOKUP(D1838,'Species Codes'!B:Q,16,0)+VLOOKUP(D1838,'Species Codes'!B:R,17,0)*((E1838*2.54)^VLOOKUP(D1838,'Species Codes'!B:S,18,0)))),IF(OR(D1838="BM",D1838="MD",D1838="OA"),EXP(VLOOKUP(D1838,'Species Codes'!B:O,14,0)+VLOOKUP(D1838,'Species Codes'!B:P,15,0)*LN((E1838*2.54)))*(1-(1/(VLOOKUP(D1838,'Species Codes'!B:Q,16,0)+VLOOKUP(D1838,'Species Codes'!B:R,17,0)*((E1838*2.54)^VLOOKUP(D1838,'Species Codes'!B:S,18,0)))))/1000,IF(D1838="DF",EXP(VLOOKUP(D1838,'Species Codes'!B:O,14,0)+VLOOKUP(D1838,'Species Codes'!B:P,15,0)*LN((E1838*2.54))),VLOOKUP(D1838,'Species Codes'!B:O,14,0)+VLOOKUP(D1838,'Species Codes'!B:P,15,0)*(((E1838*2.54)/100)^2)*(I1838*0.3048)))))*0.0011023),0)</f>
        <v>#N/A</v>
      </c>
      <c r="AD1838" s="104" t="e">
        <f t="shared" si="814"/>
        <v>#N/A</v>
      </c>
      <c r="AE1838" s="104" t="e">
        <f t="shared" si="815"/>
        <v>#N/A</v>
      </c>
      <c r="AF1838" s="104" t="e">
        <f>IF(AND(VLOOKUP($D1838,Merchantability!$B:$C,2,0)="Yes",$E1838&gt;=VLOOKUP($D1838,Merchantability!$B:$D,3,0),$E1838&lt;=VLOOKUP($D1838,Merchantability!$B:$E,4,0)),AA1838,0)</f>
        <v>#N/A</v>
      </c>
      <c r="AG1838" s="104" t="e">
        <f>IF(AND(VLOOKUP($D1838,Merchantability!$B:$C,2,0)="Yes",$E1838&gt;=VLOOKUP($D1838,Merchantability!$B:$D,3,0),$E1838&lt;=VLOOKUP($D1838,Merchantability!$B:$E,4,0)),AB1838,0)</f>
        <v>#N/A</v>
      </c>
      <c r="AH1838" s="104" t="e">
        <f>IF(AND(VLOOKUP($D1838,Merchantability!$B:$C,2,0)="Yes",$E1838&gt;=VLOOKUP($D1838,Merchantability!$B:$D,3,0),$E1838&lt;=VLOOKUP($D1838,Merchantability!$B:$E,4,0)),AC1838,0)</f>
        <v>#N/A</v>
      </c>
      <c r="AI1838" s="104" t="e">
        <f t="shared" si="816"/>
        <v>#N/A</v>
      </c>
      <c r="AJ1838" s="104" t="e">
        <f t="shared" si="817"/>
        <v>#VALUE!</v>
      </c>
      <c r="AK1838" s="104" t="e">
        <f t="shared" si="818"/>
        <v>#N/A</v>
      </c>
      <c r="AL1838" s="104" t="e">
        <f t="shared" si="819"/>
        <v>#N/A</v>
      </c>
      <c r="AM1838" s="104" t="e">
        <f t="shared" si="820"/>
        <v>#N/A</v>
      </c>
      <c r="AN1838" s="104" t="e">
        <f t="shared" si="804"/>
        <v>#N/A</v>
      </c>
      <c r="AO1838" s="104" t="e">
        <f t="shared" si="805"/>
        <v>#N/A</v>
      </c>
      <c r="AP1838" s="104" t="e">
        <f t="shared" si="806"/>
        <v>#N/A</v>
      </c>
      <c r="AQ1838" s="104" t="e">
        <f t="shared" si="807"/>
        <v>#N/A</v>
      </c>
      <c r="AR1838" s="105" t="str">
        <f t="shared" si="799"/>
        <v/>
      </c>
      <c r="AS1838" s="105" t="str">
        <f t="shared" si="800"/>
        <v/>
      </c>
      <c r="AT1838" s="108" t="str">
        <f t="shared" si="801"/>
        <v/>
      </c>
      <c r="AU1838" s="108" t="str">
        <f t="shared" si="802"/>
        <v/>
      </c>
      <c r="AV1838" s="107" t="str">
        <f>IF(ISNUMBER(O1838),IF(VLOOKUP($A1838,Stand!C:J,8,FALSE)="Short",AT1838,AU1838),"")</f>
        <v/>
      </c>
      <c r="AW1838" s="109" t="str">
        <f t="shared" si="808"/>
        <v/>
      </c>
      <c r="AX1838" s="109" t="str">
        <f t="shared" si="809"/>
        <v/>
      </c>
      <c r="AY1838" s="112" t="str">
        <f>IF(ISNUMBER(O1838),IF(AND(VLOOKUP($D1838,Merchantability!$B:$C,2,0)="Yes",$E1838&gt;=VLOOKUP($D1838,Merchantability!$B:$D,3,0),$E1838&lt;=VLOOKUP($D1838,Merchantability!$B:$E,4,0)),(AV1838*O1838)*(1-$H1838/100),""),"")</f>
        <v/>
      </c>
      <c r="AZ1838" s="116"/>
      <c r="BA1838" s="116"/>
      <c r="BB1838" s="116"/>
      <c r="BE1838" s="62"/>
      <c r="BF1838" s="63"/>
    </row>
    <row r="1839" spans="1:58" ht="12.75" customHeight="1" x14ac:dyDescent="0.25">
      <c r="A1839" s="334"/>
      <c r="B1839" s="334"/>
      <c r="C1839" s="332"/>
      <c r="D1839" s="334"/>
      <c r="E1839" s="335"/>
      <c r="F1839" s="334"/>
      <c r="G1839" s="332"/>
      <c r="H1839" s="332"/>
      <c r="I1839" s="334"/>
      <c r="J1839" s="336"/>
      <c r="K1839" s="332"/>
      <c r="L1839" s="332"/>
      <c r="M1839" s="76"/>
      <c r="N1839" s="103" t="str">
        <f>IF(A1839="","",VLOOKUP(A1839,Stand!C:K,9,0))</f>
        <v/>
      </c>
      <c r="O1839" s="104" t="str">
        <f t="shared" si="794"/>
        <v/>
      </c>
      <c r="P1839" s="105" t="str">
        <f t="shared" si="795"/>
        <v/>
      </c>
      <c r="Q1839" s="105" t="str">
        <f t="shared" si="810"/>
        <v/>
      </c>
      <c r="R1839" s="103" t="str">
        <f t="shared" si="796"/>
        <v/>
      </c>
      <c r="S1839" s="103" t="str">
        <f t="shared" si="797"/>
        <v/>
      </c>
      <c r="T1839" s="106" t="str">
        <f t="shared" si="811"/>
        <v/>
      </c>
      <c r="U1839" s="106" t="str">
        <f t="shared" si="812"/>
        <v/>
      </c>
      <c r="V1839" s="106" t="str">
        <f t="shared" si="813"/>
        <v/>
      </c>
      <c r="W1839" s="105" t="str">
        <f t="shared" si="798"/>
        <v/>
      </c>
      <c r="X1839" s="104" t="str">
        <f t="shared" si="803"/>
        <v/>
      </c>
      <c r="Y1839" s="104" t="str">
        <f t="array" ref="Y1839">IFERROR(IF(ISNUMBER(O1839),IF(COUNT(IF(A1839=$A$2:$A$2427,IF(D1839=$D$2:$D$2427,IF($X$2:$X$2427&gt;0,1))))&gt;0,SUM(IF(A1839=$A$2:$A$2427,IF(D1839=$D$2:$D$2427,$X$2:$X$2427)))/COUNT(IF(A1839=$A$2:$A$2427,IF(D1839=$D$2:$D$2427,IF(ISNUMBER($X$2:$X$2427),1)))),0),""),0)</f>
        <v/>
      </c>
      <c r="Z1839" s="104" t="str">
        <f>IF(ISNUMBER(O1839),IF(I1839&gt;0,(10^(VLOOKUP(D1839,'Species Codes'!B:C,2,0)+VLOOKUP(D1839,'Species Codes'!B:D,3,0)*LOG(E1839)+VLOOKUP(D1839,'Species Codes'!B:E,4,0)*LOG(I1839))),0),"")</f>
        <v/>
      </c>
      <c r="AA1839" s="104" t="str">
        <f>IFERROR((VLOOKUP(D1839,'Species Codes'!B:G,6,0)*Z1839)/2000,"")</f>
        <v/>
      </c>
      <c r="AB1839" s="104" t="e">
        <f>IF(Z1839&gt;0,((IF(OR(D1839="DF",D1839="RA")=TRUE,EXP(VLOOKUP(D1839,'Species Codes'!B:I,8,0)+VLOOKUP(D1839,'Species Codes'!B:J,9,0)*(LN((E1839*2.54)))),IF(OR(D1839="PY",D1839="RC",D1839="WH",D1839="NF")=TRUE,VLOOKUP(D1839,'Species Codes'!B:I,8,0)+VLOOKUP(D1839,'Species Codes'!B:J,9,0)*((E1839*2.54)^2)*(I1839*0.3048),IF(OR(D1839="MD",D1839="BM",D1839="GA")=TRUE,((VLOOKUP(D1839,'Species Codes'!B:I,8,0)*(((((E1839*2.54)+VLOOKUP(D1839,'Species Codes'!B:J,9,0))/VLOOKUP(D1839,'Species Codes'!B:K,10,0))^VLOOKUP(D1839,'Species Codes'!B:L,11,0))*((I1839*0.3048)^VLOOKUP(D1839,'Species Codes'!B:M,12,0))))-(VLOOKUP(D1839,'Species Codes'!B:I,8,0)*((((E1839*2.54)^VLOOKUP(D1839,'Species Codes'!B:L,11,0))*((I1839*0.3048)^VLOOKUP(D1839,'Species Codes'!B:M,12,0))))))*35.3*VLOOKUP(D1839,'Species Codes'!B:G,6,0)/2.2046,VLOOKUP(D1839,'Species Codes'!B:I,8,0)+VLOOKUP(D1839,'Species Codes'!B:J,9,0)*(((E1839*2.54)/100)^2)*(I1839*0.3048)))))*0.0011023),0)</f>
        <v>#N/A</v>
      </c>
      <c r="AC1839" s="104" t="e">
        <f>IF(Z1839&gt;0,((IF(OR(D1839="RA",D1839="OA",D1839="OT",D1839="UN",D1839="PC"),EXP(VLOOKUP(D1839,'Species Codes'!B:O,14,0)+VLOOKUP(D1839,'Species Codes'!B:P,15,0)*LN((E1839*2.54)))-EXP(VLOOKUP(D1839,'Species Codes'!B:O,14,0)+VLOOKUP(D1839,'Species Codes'!B:P,15,0)*LN((E1839*2.54)))*(1/(VLOOKUP(D1839,'Species Codes'!B:Q,16,0)+VLOOKUP(D1839,'Species Codes'!B:R,17,0)*((E1839*2.54)^VLOOKUP(D1839,'Species Codes'!B:S,18,0)))),IF(OR(D1839="BM",D1839="MD",D1839="OA"),EXP(VLOOKUP(D1839,'Species Codes'!B:O,14,0)+VLOOKUP(D1839,'Species Codes'!B:P,15,0)*LN((E1839*2.54)))*(1-(1/(VLOOKUP(D1839,'Species Codes'!B:Q,16,0)+VLOOKUP(D1839,'Species Codes'!B:R,17,0)*((E1839*2.54)^VLOOKUP(D1839,'Species Codes'!B:S,18,0)))))/1000,IF(D1839="DF",EXP(VLOOKUP(D1839,'Species Codes'!B:O,14,0)+VLOOKUP(D1839,'Species Codes'!B:P,15,0)*LN((E1839*2.54))),VLOOKUP(D1839,'Species Codes'!B:O,14,0)+VLOOKUP(D1839,'Species Codes'!B:P,15,0)*(((E1839*2.54)/100)^2)*(I1839*0.3048)))))*0.0011023),0)</f>
        <v>#N/A</v>
      </c>
      <c r="AD1839" s="104" t="e">
        <f t="shared" si="814"/>
        <v>#N/A</v>
      </c>
      <c r="AE1839" s="104" t="e">
        <f t="shared" si="815"/>
        <v>#N/A</v>
      </c>
      <c r="AF1839" s="104" t="e">
        <f>IF(AND(VLOOKUP($D1839,Merchantability!$B:$C,2,0)="Yes",$E1839&gt;=VLOOKUP($D1839,Merchantability!$B:$D,3,0),$E1839&lt;=VLOOKUP($D1839,Merchantability!$B:$E,4,0)),AA1839,0)</f>
        <v>#N/A</v>
      </c>
      <c r="AG1839" s="104" t="e">
        <f>IF(AND(VLOOKUP($D1839,Merchantability!$B:$C,2,0)="Yes",$E1839&gt;=VLOOKUP($D1839,Merchantability!$B:$D,3,0),$E1839&lt;=VLOOKUP($D1839,Merchantability!$B:$E,4,0)),AB1839,0)</f>
        <v>#N/A</v>
      </c>
      <c r="AH1839" s="104" t="e">
        <f>IF(AND(VLOOKUP($D1839,Merchantability!$B:$C,2,0)="Yes",$E1839&gt;=VLOOKUP($D1839,Merchantability!$B:$D,3,0),$E1839&lt;=VLOOKUP($D1839,Merchantability!$B:$E,4,0)),AC1839,0)</f>
        <v>#N/A</v>
      </c>
      <c r="AI1839" s="104" t="e">
        <f t="shared" si="816"/>
        <v>#N/A</v>
      </c>
      <c r="AJ1839" s="104" t="e">
        <f t="shared" si="817"/>
        <v>#VALUE!</v>
      </c>
      <c r="AK1839" s="104" t="e">
        <f t="shared" si="818"/>
        <v>#N/A</v>
      </c>
      <c r="AL1839" s="104" t="e">
        <f t="shared" si="819"/>
        <v>#N/A</v>
      </c>
      <c r="AM1839" s="104" t="e">
        <f t="shared" si="820"/>
        <v>#N/A</v>
      </c>
      <c r="AN1839" s="104" t="e">
        <f t="shared" si="804"/>
        <v>#N/A</v>
      </c>
      <c r="AO1839" s="104" t="e">
        <f t="shared" si="805"/>
        <v>#N/A</v>
      </c>
      <c r="AP1839" s="104" t="e">
        <f t="shared" si="806"/>
        <v>#N/A</v>
      </c>
      <c r="AQ1839" s="104" t="e">
        <f t="shared" si="807"/>
        <v>#N/A</v>
      </c>
      <c r="AR1839" s="105" t="str">
        <f t="shared" si="799"/>
        <v/>
      </c>
      <c r="AS1839" s="105" t="str">
        <f t="shared" si="800"/>
        <v/>
      </c>
      <c r="AT1839" s="108" t="str">
        <f t="shared" si="801"/>
        <v/>
      </c>
      <c r="AU1839" s="108" t="str">
        <f t="shared" si="802"/>
        <v/>
      </c>
      <c r="AV1839" s="107" t="str">
        <f>IF(ISNUMBER(O1839),IF(VLOOKUP($A1839,Stand!C:J,8,FALSE)="Short",AT1839,AU1839),"")</f>
        <v/>
      </c>
      <c r="AW1839" s="109" t="str">
        <f t="shared" si="808"/>
        <v/>
      </c>
      <c r="AX1839" s="109" t="str">
        <f t="shared" si="809"/>
        <v/>
      </c>
      <c r="AY1839" s="112" t="str">
        <f>IF(ISNUMBER(O1839),IF(AND(VLOOKUP($D1839,Merchantability!$B:$C,2,0)="Yes",$E1839&gt;=VLOOKUP($D1839,Merchantability!$B:$D,3,0),$E1839&lt;=VLOOKUP($D1839,Merchantability!$B:$E,4,0)),(AV1839*O1839)*(1-$H1839/100),""),"")</f>
        <v/>
      </c>
      <c r="AZ1839" s="116"/>
      <c r="BA1839" s="116"/>
      <c r="BB1839" s="116"/>
      <c r="BE1839" s="62"/>
      <c r="BF1839" s="63"/>
    </row>
    <row r="1840" spans="1:58" ht="12.75" customHeight="1" x14ac:dyDescent="0.25">
      <c r="A1840" s="334"/>
      <c r="B1840" s="334"/>
      <c r="C1840" s="332"/>
      <c r="D1840" s="334"/>
      <c r="E1840" s="335"/>
      <c r="F1840" s="334"/>
      <c r="G1840" s="332"/>
      <c r="H1840" s="332"/>
      <c r="I1840" s="334"/>
      <c r="J1840" s="336"/>
      <c r="K1840" s="332"/>
      <c r="L1840" s="332"/>
      <c r="M1840" s="76"/>
      <c r="N1840" s="103" t="str">
        <f>IF(A1840="","",VLOOKUP(A1840,Stand!C:K,9,0))</f>
        <v/>
      </c>
      <c r="O1840" s="104" t="str">
        <f t="shared" si="794"/>
        <v/>
      </c>
      <c r="P1840" s="105" t="str">
        <f t="shared" si="795"/>
        <v/>
      </c>
      <c r="Q1840" s="105" t="str">
        <f t="shared" si="810"/>
        <v/>
      </c>
      <c r="R1840" s="103" t="str">
        <f t="shared" si="796"/>
        <v/>
      </c>
      <c r="S1840" s="103" t="str">
        <f t="shared" si="797"/>
        <v/>
      </c>
      <c r="T1840" s="106" t="str">
        <f t="shared" si="811"/>
        <v/>
      </c>
      <c r="U1840" s="106" t="str">
        <f t="shared" si="812"/>
        <v/>
      </c>
      <c r="V1840" s="106" t="str">
        <f t="shared" si="813"/>
        <v/>
      </c>
      <c r="W1840" s="105" t="str">
        <f t="shared" si="798"/>
        <v/>
      </c>
      <c r="X1840" s="104" t="str">
        <f t="shared" si="803"/>
        <v/>
      </c>
      <c r="Y1840" s="104" t="str">
        <f t="array" ref="Y1840">IFERROR(IF(ISNUMBER(O1840),IF(COUNT(IF(A1840=$A$2:$A$2427,IF(D1840=$D$2:$D$2427,IF($X$2:$X$2427&gt;0,1))))&gt;0,SUM(IF(A1840=$A$2:$A$2427,IF(D1840=$D$2:$D$2427,$X$2:$X$2427)))/COUNT(IF(A1840=$A$2:$A$2427,IF(D1840=$D$2:$D$2427,IF(ISNUMBER($X$2:$X$2427),1)))),0),""),0)</f>
        <v/>
      </c>
      <c r="Z1840" s="104" t="str">
        <f>IF(ISNUMBER(O1840),IF(I1840&gt;0,(10^(VLOOKUP(D1840,'Species Codes'!B:C,2,0)+VLOOKUP(D1840,'Species Codes'!B:D,3,0)*LOG(E1840)+VLOOKUP(D1840,'Species Codes'!B:E,4,0)*LOG(I1840))),0),"")</f>
        <v/>
      </c>
      <c r="AA1840" s="104" t="str">
        <f>IFERROR((VLOOKUP(D1840,'Species Codes'!B:G,6,0)*Z1840)/2000,"")</f>
        <v/>
      </c>
      <c r="AB1840" s="104" t="e">
        <f>IF(Z1840&gt;0,((IF(OR(D1840="DF",D1840="RA")=TRUE,EXP(VLOOKUP(D1840,'Species Codes'!B:I,8,0)+VLOOKUP(D1840,'Species Codes'!B:J,9,0)*(LN((E1840*2.54)))),IF(OR(D1840="PY",D1840="RC",D1840="WH",D1840="NF")=TRUE,VLOOKUP(D1840,'Species Codes'!B:I,8,0)+VLOOKUP(D1840,'Species Codes'!B:J,9,0)*((E1840*2.54)^2)*(I1840*0.3048),IF(OR(D1840="MD",D1840="BM",D1840="GA")=TRUE,((VLOOKUP(D1840,'Species Codes'!B:I,8,0)*(((((E1840*2.54)+VLOOKUP(D1840,'Species Codes'!B:J,9,0))/VLOOKUP(D1840,'Species Codes'!B:K,10,0))^VLOOKUP(D1840,'Species Codes'!B:L,11,0))*((I1840*0.3048)^VLOOKUP(D1840,'Species Codes'!B:M,12,0))))-(VLOOKUP(D1840,'Species Codes'!B:I,8,0)*((((E1840*2.54)^VLOOKUP(D1840,'Species Codes'!B:L,11,0))*((I1840*0.3048)^VLOOKUP(D1840,'Species Codes'!B:M,12,0))))))*35.3*VLOOKUP(D1840,'Species Codes'!B:G,6,0)/2.2046,VLOOKUP(D1840,'Species Codes'!B:I,8,0)+VLOOKUP(D1840,'Species Codes'!B:J,9,0)*(((E1840*2.54)/100)^2)*(I1840*0.3048)))))*0.0011023),0)</f>
        <v>#N/A</v>
      </c>
      <c r="AC1840" s="104" t="e">
        <f>IF(Z1840&gt;0,((IF(OR(D1840="RA",D1840="OA",D1840="OT",D1840="UN",D1840="PC"),EXP(VLOOKUP(D1840,'Species Codes'!B:O,14,0)+VLOOKUP(D1840,'Species Codes'!B:P,15,0)*LN((E1840*2.54)))-EXP(VLOOKUP(D1840,'Species Codes'!B:O,14,0)+VLOOKUP(D1840,'Species Codes'!B:P,15,0)*LN((E1840*2.54)))*(1/(VLOOKUP(D1840,'Species Codes'!B:Q,16,0)+VLOOKUP(D1840,'Species Codes'!B:R,17,0)*((E1840*2.54)^VLOOKUP(D1840,'Species Codes'!B:S,18,0)))),IF(OR(D1840="BM",D1840="MD",D1840="OA"),EXP(VLOOKUP(D1840,'Species Codes'!B:O,14,0)+VLOOKUP(D1840,'Species Codes'!B:P,15,0)*LN((E1840*2.54)))*(1-(1/(VLOOKUP(D1840,'Species Codes'!B:Q,16,0)+VLOOKUP(D1840,'Species Codes'!B:R,17,0)*((E1840*2.54)^VLOOKUP(D1840,'Species Codes'!B:S,18,0)))))/1000,IF(D1840="DF",EXP(VLOOKUP(D1840,'Species Codes'!B:O,14,0)+VLOOKUP(D1840,'Species Codes'!B:P,15,0)*LN((E1840*2.54))),VLOOKUP(D1840,'Species Codes'!B:O,14,0)+VLOOKUP(D1840,'Species Codes'!B:P,15,0)*(((E1840*2.54)/100)^2)*(I1840*0.3048)))))*0.0011023),0)</f>
        <v>#N/A</v>
      </c>
      <c r="AD1840" s="104" t="e">
        <f t="shared" si="814"/>
        <v>#N/A</v>
      </c>
      <c r="AE1840" s="104" t="e">
        <f t="shared" si="815"/>
        <v>#N/A</v>
      </c>
      <c r="AF1840" s="104" t="e">
        <f>IF(AND(VLOOKUP($D1840,Merchantability!$B:$C,2,0)="Yes",$E1840&gt;=VLOOKUP($D1840,Merchantability!$B:$D,3,0),$E1840&lt;=VLOOKUP($D1840,Merchantability!$B:$E,4,0)),AA1840,0)</f>
        <v>#N/A</v>
      </c>
      <c r="AG1840" s="104" t="e">
        <f>IF(AND(VLOOKUP($D1840,Merchantability!$B:$C,2,0)="Yes",$E1840&gt;=VLOOKUP($D1840,Merchantability!$B:$D,3,0),$E1840&lt;=VLOOKUP($D1840,Merchantability!$B:$E,4,0)),AB1840,0)</f>
        <v>#N/A</v>
      </c>
      <c r="AH1840" s="104" t="e">
        <f>IF(AND(VLOOKUP($D1840,Merchantability!$B:$C,2,0)="Yes",$E1840&gt;=VLOOKUP($D1840,Merchantability!$B:$D,3,0),$E1840&lt;=VLOOKUP($D1840,Merchantability!$B:$E,4,0)),AC1840,0)</f>
        <v>#N/A</v>
      </c>
      <c r="AI1840" s="104" t="e">
        <f t="shared" si="816"/>
        <v>#N/A</v>
      </c>
      <c r="AJ1840" s="104" t="e">
        <f t="shared" si="817"/>
        <v>#VALUE!</v>
      </c>
      <c r="AK1840" s="104" t="e">
        <f t="shared" si="818"/>
        <v>#N/A</v>
      </c>
      <c r="AL1840" s="104" t="e">
        <f t="shared" si="819"/>
        <v>#N/A</v>
      </c>
      <c r="AM1840" s="104" t="e">
        <f t="shared" si="820"/>
        <v>#N/A</v>
      </c>
      <c r="AN1840" s="104" t="e">
        <f t="shared" si="804"/>
        <v>#N/A</v>
      </c>
      <c r="AO1840" s="104" t="e">
        <f t="shared" si="805"/>
        <v>#N/A</v>
      </c>
      <c r="AP1840" s="104" t="e">
        <f t="shared" si="806"/>
        <v>#N/A</v>
      </c>
      <c r="AQ1840" s="104" t="e">
        <f t="shared" si="807"/>
        <v>#N/A</v>
      </c>
      <c r="AR1840" s="105" t="str">
        <f t="shared" si="799"/>
        <v/>
      </c>
      <c r="AS1840" s="105" t="str">
        <f t="shared" si="800"/>
        <v/>
      </c>
      <c r="AT1840" s="108" t="str">
        <f t="shared" si="801"/>
        <v/>
      </c>
      <c r="AU1840" s="108" t="str">
        <f t="shared" si="802"/>
        <v/>
      </c>
      <c r="AV1840" s="107" t="str">
        <f>IF(ISNUMBER(O1840),IF(VLOOKUP($A1840,Stand!C:J,8,FALSE)="Short",AT1840,AU1840),"")</f>
        <v/>
      </c>
      <c r="AW1840" s="109" t="str">
        <f t="shared" si="808"/>
        <v/>
      </c>
      <c r="AX1840" s="109" t="str">
        <f t="shared" si="809"/>
        <v/>
      </c>
      <c r="AY1840" s="112" t="str">
        <f>IF(ISNUMBER(O1840),IF(AND(VLOOKUP($D1840,Merchantability!$B:$C,2,0)="Yes",$E1840&gt;=VLOOKUP($D1840,Merchantability!$B:$D,3,0),$E1840&lt;=VLOOKUP($D1840,Merchantability!$B:$E,4,0)),(AV1840*O1840)*(1-$H1840/100),""),"")</f>
        <v/>
      </c>
      <c r="AZ1840" s="116"/>
      <c r="BA1840" s="116"/>
      <c r="BB1840" s="116"/>
      <c r="BE1840" s="62"/>
      <c r="BF1840" s="63"/>
    </row>
    <row r="1841" spans="1:58" ht="12.75" customHeight="1" x14ac:dyDescent="0.25">
      <c r="A1841" s="334"/>
      <c r="B1841" s="334"/>
      <c r="C1841" s="332"/>
      <c r="D1841" s="334"/>
      <c r="E1841" s="335"/>
      <c r="F1841" s="334"/>
      <c r="G1841" s="332"/>
      <c r="H1841" s="332"/>
      <c r="I1841" s="334"/>
      <c r="J1841" s="336"/>
      <c r="K1841" s="332"/>
      <c r="L1841" s="332"/>
      <c r="M1841" s="76"/>
      <c r="N1841" s="103" t="str">
        <f>IF(A1841="","",VLOOKUP(A1841,Stand!C:K,9,0))</f>
        <v/>
      </c>
      <c r="O1841" s="104" t="str">
        <f t="shared" si="794"/>
        <v/>
      </c>
      <c r="P1841" s="105" t="str">
        <f t="shared" si="795"/>
        <v/>
      </c>
      <c r="Q1841" s="105" t="str">
        <f t="shared" si="810"/>
        <v/>
      </c>
      <c r="R1841" s="103" t="str">
        <f t="shared" si="796"/>
        <v/>
      </c>
      <c r="S1841" s="103" t="str">
        <f t="shared" si="797"/>
        <v/>
      </c>
      <c r="T1841" s="106" t="str">
        <f t="shared" si="811"/>
        <v/>
      </c>
      <c r="U1841" s="106" t="str">
        <f t="shared" si="812"/>
        <v/>
      </c>
      <c r="V1841" s="106" t="str">
        <f t="shared" si="813"/>
        <v/>
      </c>
      <c r="W1841" s="105" t="str">
        <f t="shared" si="798"/>
        <v/>
      </c>
      <c r="X1841" s="104" t="str">
        <f t="shared" si="803"/>
        <v/>
      </c>
      <c r="Y1841" s="104" t="str">
        <f t="array" ref="Y1841">IFERROR(IF(ISNUMBER(O1841),IF(COUNT(IF(A1841=$A$2:$A$2427,IF(D1841=$D$2:$D$2427,IF($X$2:$X$2427&gt;0,1))))&gt;0,SUM(IF(A1841=$A$2:$A$2427,IF(D1841=$D$2:$D$2427,$X$2:$X$2427)))/COUNT(IF(A1841=$A$2:$A$2427,IF(D1841=$D$2:$D$2427,IF(ISNUMBER($X$2:$X$2427),1)))),0),""),0)</f>
        <v/>
      </c>
      <c r="Z1841" s="104" t="str">
        <f>IF(ISNUMBER(O1841),IF(I1841&gt;0,(10^(VLOOKUP(D1841,'Species Codes'!B:C,2,0)+VLOOKUP(D1841,'Species Codes'!B:D,3,0)*LOG(E1841)+VLOOKUP(D1841,'Species Codes'!B:E,4,0)*LOG(I1841))),0),"")</f>
        <v/>
      </c>
      <c r="AA1841" s="104" t="str">
        <f>IFERROR((VLOOKUP(D1841,'Species Codes'!B:G,6,0)*Z1841)/2000,"")</f>
        <v/>
      </c>
      <c r="AB1841" s="104" t="e">
        <f>IF(Z1841&gt;0,((IF(OR(D1841="DF",D1841="RA")=TRUE,EXP(VLOOKUP(D1841,'Species Codes'!B:I,8,0)+VLOOKUP(D1841,'Species Codes'!B:J,9,0)*(LN((E1841*2.54)))),IF(OR(D1841="PY",D1841="RC",D1841="WH",D1841="NF")=TRUE,VLOOKUP(D1841,'Species Codes'!B:I,8,0)+VLOOKUP(D1841,'Species Codes'!B:J,9,0)*((E1841*2.54)^2)*(I1841*0.3048),IF(OR(D1841="MD",D1841="BM",D1841="GA")=TRUE,((VLOOKUP(D1841,'Species Codes'!B:I,8,0)*(((((E1841*2.54)+VLOOKUP(D1841,'Species Codes'!B:J,9,0))/VLOOKUP(D1841,'Species Codes'!B:K,10,0))^VLOOKUP(D1841,'Species Codes'!B:L,11,0))*((I1841*0.3048)^VLOOKUP(D1841,'Species Codes'!B:M,12,0))))-(VLOOKUP(D1841,'Species Codes'!B:I,8,0)*((((E1841*2.54)^VLOOKUP(D1841,'Species Codes'!B:L,11,0))*((I1841*0.3048)^VLOOKUP(D1841,'Species Codes'!B:M,12,0))))))*35.3*VLOOKUP(D1841,'Species Codes'!B:G,6,0)/2.2046,VLOOKUP(D1841,'Species Codes'!B:I,8,0)+VLOOKUP(D1841,'Species Codes'!B:J,9,0)*(((E1841*2.54)/100)^2)*(I1841*0.3048)))))*0.0011023),0)</f>
        <v>#N/A</v>
      </c>
      <c r="AC1841" s="104" t="e">
        <f>IF(Z1841&gt;0,((IF(OR(D1841="RA",D1841="OA",D1841="OT",D1841="UN",D1841="PC"),EXP(VLOOKUP(D1841,'Species Codes'!B:O,14,0)+VLOOKUP(D1841,'Species Codes'!B:P,15,0)*LN((E1841*2.54)))-EXP(VLOOKUP(D1841,'Species Codes'!B:O,14,0)+VLOOKUP(D1841,'Species Codes'!B:P,15,0)*LN((E1841*2.54)))*(1/(VLOOKUP(D1841,'Species Codes'!B:Q,16,0)+VLOOKUP(D1841,'Species Codes'!B:R,17,0)*((E1841*2.54)^VLOOKUP(D1841,'Species Codes'!B:S,18,0)))),IF(OR(D1841="BM",D1841="MD",D1841="OA"),EXP(VLOOKUP(D1841,'Species Codes'!B:O,14,0)+VLOOKUP(D1841,'Species Codes'!B:P,15,0)*LN((E1841*2.54)))*(1-(1/(VLOOKUP(D1841,'Species Codes'!B:Q,16,0)+VLOOKUP(D1841,'Species Codes'!B:R,17,0)*((E1841*2.54)^VLOOKUP(D1841,'Species Codes'!B:S,18,0)))))/1000,IF(D1841="DF",EXP(VLOOKUP(D1841,'Species Codes'!B:O,14,0)+VLOOKUP(D1841,'Species Codes'!B:P,15,0)*LN((E1841*2.54))),VLOOKUP(D1841,'Species Codes'!B:O,14,0)+VLOOKUP(D1841,'Species Codes'!B:P,15,0)*(((E1841*2.54)/100)^2)*(I1841*0.3048)))))*0.0011023),0)</f>
        <v>#N/A</v>
      </c>
      <c r="AD1841" s="104" t="e">
        <f t="shared" si="814"/>
        <v>#N/A</v>
      </c>
      <c r="AE1841" s="104" t="e">
        <f t="shared" si="815"/>
        <v>#N/A</v>
      </c>
      <c r="AF1841" s="104" t="e">
        <f>IF(AND(VLOOKUP($D1841,Merchantability!$B:$C,2,0)="Yes",$E1841&gt;=VLOOKUP($D1841,Merchantability!$B:$D,3,0),$E1841&lt;=VLOOKUP($D1841,Merchantability!$B:$E,4,0)),AA1841,0)</f>
        <v>#N/A</v>
      </c>
      <c r="AG1841" s="104" t="e">
        <f>IF(AND(VLOOKUP($D1841,Merchantability!$B:$C,2,0)="Yes",$E1841&gt;=VLOOKUP($D1841,Merchantability!$B:$D,3,0),$E1841&lt;=VLOOKUP($D1841,Merchantability!$B:$E,4,0)),AB1841,0)</f>
        <v>#N/A</v>
      </c>
      <c r="AH1841" s="104" t="e">
        <f>IF(AND(VLOOKUP($D1841,Merchantability!$B:$C,2,0)="Yes",$E1841&gt;=VLOOKUP($D1841,Merchantability!$B:$D,3,0),$E1841&lt;=VLOOKUP($D1841,Merchantability!$B:$E,4,0)),AC1841,0)</f>
        <v>#N/A</v>
      </c>
      <c r="AI1841" s="104" t="e">
        <f t="shared" si="816"/>
        <v>#N/A</v>
      </c>
      <c r="AJ1841" s="104" t="e">
        <f t="shared" si="817"/>
        <v>#VALUE!</v>
      </c>
      <c r="AK1841" s="104" t="e">
        <f t="shared" si="818"/>
        <v>#N/A</v>
      </c>
      <c r="AL1841" s="104" t="e">
        <f t="shared" si="819"/>
        <v>#N/A</v>
      </c>
      <c r="AM1841" s="104" t="e">
        <f t="shared" si="820"/>
        <v>#N/A</v>
      </c>
      <c r="AN1841" s="104" t="e">
        <f t="shared" si="804"/>
        <v>#N/A</v>
      </c>
      <c r="AO1841" s="104" t="e">
        <f t="shared" si="805"/>
        <v>#N/A</v>
      </c>
      <c r="AP1841" s="104" t="e">
        <f t="shared" si="806"/>
        <v>#N/A</v>
      </c>
      <c r="AQ1841" s="104" t="e">
        <f t="shared" si="807"/>
        <v>#N/A</v>
      </c>
      <c r="AR1841" s="105" t="str">
        <f t="shared" si="799"/>
        <v/>
      </c>
      <c r="AS1841" s="105" t="str">
        <f t="shared" si="800"/>
        <v/>
      </c>
      <c r="AT1841" s="108" t="str">
        <f t="shared" si="801"/>
        <v/>
      </c>
      <c r="AU1841" s="108" t="str">
        <f t="shared" si="802"/>
        <v/>
      </c>
      <c r="AV1841" s="107" t="str">
        <f>IF(ISNUMBER(O1841),IF(VLOOKUP($A1841,Stand!C:J,8,FALSE)="Short",AT1841,AU1841),"")</f>
        <v/>
      </c>
      <c r="AW1841" s="109" t="str">
        <f t="shared" si="808"/>
        <v/>
      </c>
      <c r="AX1841" s="109" t="str">
        <f t="shared" si="809"/>
        <v/>
      </c>
      <c r="AY1841" s="112" t="str">
        <f>IF(ISNUMBER(O1841),IF(AND(VLOOKUP($D1841,Merchantability!$B:$C,2,0)="Yes",$E1841&gt;=VLOOKUP($D1841,Merchantability!$B:$D,3,0),$E1841&lt;=VLOOKUP($D1841,Merchantability!$B:$E,4,0)),(AV1841*O1841)*(1-$H1841/100),""),"")</f>
        <v/>
      </c>
      <c r="AZ1841" s="116"/>
      <c r="BA1841" s="116"/>
      <c r="BB1841" s="116"/>
      <c r="BE1841" s="62"/>
      <c r="BF1841" s="63"/>
    </row>
    <row r="1842" spans="1:58" ht="12.75" customHeight="1" x14ac:dyDescent="0.25">
      <c r="A1842" s="334"/>
      <c r="B1842" s="334"/>
      <c r="C1842" s="332"/>
      <c r="D1842" s="334"/>
      <c r="E1842" s="335"/>
      <c r="F1842" s="334"/>
      <c r="G1842" s="332"/>
      <c r="H1842" s="332"/>
      <c r="I1842" s="334"/>
      <c r="J1842" s="336"/>
      <c r="K1842" s="332"/>
      <c r="L1842" s="332"/>
      <c r="M1842" s="76"/>
      <c r="N1842" s="103" t="str">
        <f>IF(A1842="","",VLOOKUP(A1842,Stand!C:K,9,0))</f>
        <v/>
      </c>
      <c r="O1842" s="104" t="str">
        <f t="shared" si="794"/>
        <v/>
      </c>
      <c r="P1842" s="105" t="str">
        <f t="shared" si="795"/>
        <v/>
      </c>
      <c r="Q1842" s="105" t="str">
        <f t="shared" si="810"/>
        <v/>
      </c>
      <c r="R1842" s="103" t="str">
        <f t="shared" si="796"/>
        <v/>
      </c>
      <c r="S1842" s="103" t="str">
        <f t="shared" si="797"/>
        <v/>
      </c>
      <c r="T1842" s="106" t="str">
        <f t="shared" si="811"/>
        <v/>
      </c>
      <c r="U1842" s="106" t="str">
        <f t="shared" si="812"/>
        <v/>
      </c>
      <c r="V1842" s="106" t="str">
        <f t="shared" si="813"/>
        <v/>
      </c>
      <c r="W1842" s="105" t="str">
        <f t="shared" si="798"/>
        <v/>
      </c>
      <c r="X1842" s="104" t="str">
        <f t="shared" si="803"/>
        <v/>
      </c>
      <c r="Y1842" s="104" t="str">
        <f t="array" ref="Y1842">IFERROR(IF(ISNUMBER(O1842),IF(COUNT(IF(A1842=$A$2:$A$2427,IF(D1842=$D$2:$D$2427,IF($X$2:$X$2427&gt;0,1))))&gt;0,SUM(IF(A1842=$A$2:$A$2427,IF(D1842=$D$2:$D$2427,$X$2:$X$2427)))/COUNT(IF(A1842=$A$2:$A$2427,IF(D1842=$D$2:$D$2427,IF(ISNUMBER($X$2:$X$2427),1)))),0),""),0)</f>
        <v/>
      </c>
      <c r="Z1842" s="104" t="str">
        <f>IF(ISNUMBER(O1842),IF(I1842&gt;0,(10^(VLOOKUP(D1842,'Species Codes'!B:C,2,0)+VLOOKUP(D1842,'Species Codes'!B:D,3,0)*LOG(E1842)+VLOOKUP(D1842,'Species Codes'!B:E,4,0)*LOG(I1842))),0),"")</f>
        <v/>
      </c>
      <c r="AA1842" s="104" t="str">
        <f>IFERROR((VLOOKUP(D1842,'Species Codes'!B:G,6,0)*Z1842)/2000,"")</f>
        <v/>
      </c>
      <c r="AB1842" s="104" t="e">
        <f>IF(Z1842&gt;0,((IF(OR(D1842="DF",D1842="RA")=TRUE,EXP(VLOOKUP(D1842,'Species Codes'!B:I,8,0)+VLOOKUP(D1842,'Species Codes'!B:J,9,0)*(LN((E1842*2.54)))),IF(OR(D1842="PY",D1842="RC",D1842="WH",D1842="NF")=TRUE,VLOOKUP(D1842,'Species Codes'!B:I,8,0)+VLOOKUP(D1842,'Species Codes'!B:J,9,0)*((E1842*2.54)^2)*(I1842*0.3048),IF(OR(D1842="MD",D1842="BM",D1842="GA")=TRUE,((VLOOKUP(D1842,'Species Codes'!B:I,8,0)*(((((E1842*2.54)+VLOOKUP(D1842,'Species Codes'!B:J,9,0))/VLOOKUP(D1842,'Species Codes'!B:K,10,0))^VLOOKUP(D1842,'Species Codes'!B:L,11,0))*((I1842*0.3048)^VLOOKUP(D1842,'Species Codes'!B:M,12,0))))-(VLOOKUP(D1842,'Species Codes'!B:I,8,0)*((((E1842*2.54)^VLOOKUP(D1842,'Species Codes'!B:L,11,0))*((I1842*0.3048)^VLOOKUP(D1842,'Species Codes'!B:M,12,0))))))*35.3*VLOOKUP(D1842,'Species Codes'!B:G,6,0)/2.2046,VLOOKUP(D1842,'Species Codes'!B:I,8,0)+VLOOKUP(D1842,'Species Codes'!B:J,9,0)*(((E1842*2.54)/100)^2)*(I1842*0.3048)))))*0.0011023),0)</f>
        <v>#N/A</v>
      </c>
      <c r="AC1842" s="104" t="e">
        <f>IF(Z1842&gt;0,((IF(OR(D1842="RA",D1842="OA",D1842="OT",D1842="UN",D1842="PC"),EXP(VLOOKUP(D1842,'Species Codes'!B:O,14,0)+VLOOKUP(D1842,'Species Codes'!B:P,15,0)*LN((E1842*2.54)))-EXP(VLOOKUP(D1842,'Species Codes'!B:O,14,0)+VLOOKUP(D1842,'Species Codes'!B:P,15,0)*LN((E1842*2.54)))*(1/(VLOOKUP(D1842,'Species Codes'!B:Q,16,0)+VLOOKUP(D1842,'Species Codes'!B:R,17,0)*((E1842*2.54)^VLOOKUP(D1842,'Species Codes'!B:S,18,0)))),IF(OR(D1842="BM",D1842="MD",D1842="OA"),EXP(VLOOKUP(D1842,'Species Codes'!B:O,14,0)+VLOOKUP(D1842,'Species Codes'!B:P,15,0)*LN((E1842*2.54)))*(1-(1/(VLOOKUP(D1842,'Species Codes'!B:Q,16,0)+VLOOKUP(D1842,'Species Codes'!B:R,17,0)*((E1842*2.54)^VLOOKUP(D1842,'Species Codes'!B:S,18,0)))))/1000,IF(D1842="DF",EXP(VLOOKUP(D1842,'Species Codes'!B:O,14,0)+VLOOKUP(D1842,'Species Codes'!B:P,15,0)*LN((E1842*2.54))),VLOOKUP(D1842,'Species Codes'!B:O,14,0)+VLOOKUP(D1842,'Species Codes'!B:P,15,0)*(((E1842*2.54)/100)^2)*(I1842*0.3048)))))*0.0011023),0)</f>
        <v>#N/A</v>
      </c>
      <c r="AD1842" s="104" t="e">
        <f t="shared" si="814"/>
        <v>#N/A</v>
      </c>
      <c r="AE1842" s="104" t="e">
        <f t="shared" si="815"/>
        <v>#N/A</v>
      </c>
      <c r="AF1842" s="104" t="e">
        <f>IF(AND(VLOOKUP($D1842,Merchantability!$B:$C,2,0)="Yes",$E1842&gt;=VLOOKUP($D1842,Merchantability!$B:$D,3,0),$E1842&lt;=VLOOKUP($D1842,Merchantability!$B:$E,4,0)),AA1842,0)</f>
        <v>#N/A</v>
      </c>
      <c r="AG1842" s="104" t="e">
        <f>IF(AND(VLOOKUP($D1842,Merchantability!$B:$C,2,0)="Yes",$E1842&gt;=VLOOKUP($D1842,Merchantability!$B:$D,3,0),$E1842&lt;=VLOOKUP($D1842,Merchantability!$B:$E,4,0)),AB1842,0)</f>
        <v>#N/A</v>
      </c>
      <c r="AH1842" s="104" t="e">
        <f>IF(AND(VLOOKUP($D1842,Merchantability!$B:$C,2,0)="Yes",$E1842&gt;=VLOOKUP($D1842,Merchantability!$B:$D,3,0),$E1842&lt;=VLOOKUP($D1842,Merchantability!$B:$E,4,0)),AC1842,0)</f>
        <v>#N/A</v>
      </c>
      <c r="AI1842" s="104" t="e">
        <f t="shared" si="816"/>
        <v>#N/A</v>
      </c>
      <c r="AJ1842" s="104" t="e">
        <f t="shared" si="817"/>
        <v>#VALUE!</v>
      </c>
      <c r="AK1842" s="104" t="e">
        <f t="shared" si="818"/>
        <v>#N/A</v>
      </c>
      <c r="AL1842" s="104" t="e">
        <f t="shared" si="819"/>
        <v>#N/A</v>
      </c>
      <c r="AM1842" s="104" t="e">
        <f t="shared" si="820"/>
        <v>#N/A</v>
      </c>
      <c r="AN1842" s="104" t="e">
        <f t="shared" si="804"/>
        <v>#N/A</v>
      </c>
      <c r="AO1842" s="104" t="e">
        <f t="shared" si="805"/>
        <v>#N/A</v>
      </c>
      <c r="AP1842" s="104" t="e">
        <f t="shared" si="806"/>
        <v>#N/A</v>
      </c>
      <c r="AQ1842" s="104" t="e">
        <f t="shared" si="807"/>
        <v>#N/A</v>
      </c>
      <c r="AR1842" s="105" t="str">
        <f t="shared" si="799"/>
        <v/>
      </c>
      <c r="AS1842" s="105" t="str">
        <f t="shared" si="800"/>
        <v/>
      </c>
      <c r="AT1842" s="108" t="str">
        <f t="shared" si="801"/>
        <v/>
      </c>
      <c r="AU1842" s="108" t="str">
        <f t="shared" si="802"/>
        <v/>
      </c>
      <c r="AV1842" s="107" t="str">
        <f>IF(ISNUMBER(O1842),IF(VLOOKUP($A1842,Stand!C:J,8,FALSE)="Short",AT1842,AU1842),"")</f>
        <v/>
      </c>
      <c r="AW1842" s="109" t="str">
        <f t="shared" si="808"/>
        <v/>
      </c>
      <c r="AX1842" s="109" t="str">
        <f t="shared" si="809"/>
        <v/>
      </c>
      <c r="AY1842" s="112" t="str">
        <f>IF(ISNUMBER(O1842),IF(AND(VLOOKUP($D1842,Merchantability!$B:$C,2,0)="Yes",$E1842&gt;=VLOOKUP($D1842,Merchantability!$B:$D,3,0),$E1842&lt;=VLOOKUP($D1842,Merchantability!$B:$E,4,0)),(AV1842*O1842)*(1-$H1842/100),""),"")</f>
        <v/>
      </c>
      <c r="AZ1842" s="116"/>
      <c r="BA1842" s="116"/>
      <c r="BB1842" s="116"/>
      <c r="BE1842" s="62"/>
      <c r="BF1842" s="63"/>
    </row>
    <row r="1843" spans="1:58" ht="12.75" customHeight="1" x14ac:dyDescent="0.25">
      <c r="A1843" s="334"/>
      <c r="B1843" s="334"/>
      <c r="C1843" s="332"/>
      <c r="D1843" s="334"/>
      <c r="E1843" s="335"/>
      <c r="F1843" s="334"/>
      <c r="G1843" s="332"/>
      <c r="H1843" s="332"/>
      <c r="I1843" s="334"/>
      <c r="J1843" s="336"/>
      <c r="K1843" s="332"/>
      <c r="L1843" s="332"/>
      <c r="M1843" s="76"/>
      <c r="N1843" s="103" t="str">
        <f>IF(A1843="","",VLOOKUP(A1843,Stand!C:K,9,0))</f>
        <v/>
      </c>
      <c r="O1843" s="104" t="str">
        <f t="shared" si="794"/>
        <v/>
      </c>
      <c r="P1843" s="105" t="str">
        <f t="shared" si="795"/>
        <v/>
      </c>
      <c r="Q1843" s="105" t="str">
        <f t="shared" si="810"/>
        <v/>
      </c>
      <c r="R1843" s="103" t="str">
        <f t="shared" si="796"/>
        <v/>
      </c>
      <c r="S1843" s="103" t="str">
        <f t="shared" si="797"/>
        <v/>
      </c>
      <c r="T1843" s="106" t="str">
        <f t="shared" si="811"/>
        <v/>
      </c>
      <c r="U1843" s="106" t="str">
        <f t="shared" si="812"/>
        <v/>
      </c>
      <c r="V1843" s="106" t="str">
        <f t="shared" si="813"/>
        <v/>
      </c>
      <c r="W1843" s="105" t="str">
        <f t="shared" si="798"/>
        <v/>
      </c>
      <c r="X1843" s="104" t="str">
        <f t="shared" si="803"/>
        <v/>
      </c>
      <c r="Y1843" s="104" t="str">
        <f t="array" ref="Y1843">IFERROR(IF(ISNUMBER(O1843),IF(COUNT(IF(A1843=$A$2:$A$2427,IF(D1843=$D$2:$D$2427,IF($X$2:$X$2427&gt;0,1))))&gt;0,SUM(IF(A1843=$A$2:$A$2427,IF(D1843=$D$2:$D$2427,$X$2:$X$2427)))/COUNT(IF(A1843=$A$2:$A$2427,IF(D1843=$D$2:$D$2427,IF(ISNUMBER($X$2:$X$2427),1)))),0),""),0)</f>
        <v/>
      </c>
      <c r="Z1843" s="104" t="str">
        <f>IF(ISNUMBER(O1843),IF(I1843&gt;0,(10^(VLOOKUP(D1843,'Species Codes'!B:C,2,0)+VLOOKUP(D1843,'Species Codes'!B:D,3,0)*LOG(E1843)+VLOOKUP(D1843,'Species Codes'!B:E,4,0)*LOG(I1843))),0),"")</f>
        <v/>
      </c>
      <c r="AA1843" s="104" t="str">
        <f>IFERROR((VLOOKUP(D1843,'Species Codes'!B:G,6,0)*Z1843)/2000,"")</f>
        <v/>
      </c>
      <c r="AB1843" s="104" t="e">
        <f>IF(Z1843&gt;0,((IF(OR(D1843="DF",D1843="RA")=TRUE,EXP(VLOOKUP(D1843,'Species Codes'!B:I,8,0)+VLOOKUP(D1843,'Species Codes'!B:J,9,0)*(LN((E1843*2.54)))),IF(OR(D1843="PY",D1843="RC",D1843="WH",D1843="NF")=TRUE,VLOOKUP(D1843,'Species Codes'!B:I,8,0)+VLOOKUP(D1843,'Species Codes'!B:J,9,0)*((E1843*2.54)^2)*(I1843*0.3048),IF(OR(D1843="MD",D1843="BM",D1843="GA")=TRUE,((VLOOKUP(D1843,'Species Codes'!B:I,8,0)*(((((E1843*2.54)+VLOOKUP(D1843,'Species Codes'!B:J,9,0))/VLOOKUP(D1843,'Species Codes'!B:K,10,0))^VLOOKUP(D1843,'Species Codes'!B:L,11,0))*((I1843*0.3048)^VLOOKUP(D1843,'Species Codes'!B:M,12,0))))-(VLOOKUP(D1843,'Species Codes'!B:I,8,0)*((((E1843*2.54)^VLOOKUP(D1843,'Species Codes'!B:L,11,0))*((I1843*0.3048)^VLOOKUP(D1843,'Species Codes'!B:M,12,0))))))*35.3*VLOOKUP(D1843,'Species Codes'!B:G,6,0)/2.2046,VLOOKUP(D1843,'Species Codes'!B:I,8,0)+VLOOKUP(D1843,'Species Codes'!B:J,9,0)*(((E1843*2.54)/100)^2)*(I1843*0.3048)))))*0.0011023),0)</f>
        <v>#N/A</v>
      </c>
      <c r="AC1843" s="104" t="e">
        <f>IF(Z1843&gt;0,((IF(OR(D1843="RA",D1843="OA",D1843="OT",D1843="UN",D1843="PC"),EXP(VLOOKUP(D1843,'Species Codes'!B:O,14,0)+VLOOKUP(D1843,'Species Codes'!B:P,15,0)*LN((E1843*2.54)))-EXP(VLOOKUP(D1843,'Species Codes'!B:O,14,0)+VLOOKUP(D1843,'Species Codes'!B:P,15,0)*LN((E1843*2.54)))*(1/(VLOOKUP(D1843,'Species Codes'!B:Q,16,0)+VLOOKUP(D1843,'Species Codes'!B:R,17,0)*((E1843*2.54)^VLOOKUP(D1843,'Species Codes'!B:S,18,0)))),IF(OR(D1843="BM",D1843="MD",D1843="OA"),EXP(VLOOKUP(D1843,'Species Codes'!B:O,14,0)+VLOOKUP(D1843,'Species Codes'!B:P,15,0)*LN((E1843*2.54)))*(1-(1/(VLOOKUP(D1843,'Species Codes'!B:Q,16,0)+VLOOKUP(D1843,'Species Codes'!B:R,17,0)*((E1843*2.54)^VLOOKUP(D1843,'Species Codes'!B:S,18,0)))))/1000,IF(D1843="DF",EXP(VLOOKUP(D1843,'Species Codes'!B:O,14,0)+VLOOKUP(D1843,'Species Codes'!B:P,15,0)*LN((E1843*2.54))),VLOOKUP(D1843,'Species Codes'!B:O,14,0)+VLOOKUP(D1843,'Species Codes'!B:P,15,0)*(((E1843*2.54)/100)^2)*(I1843*0.3048)))))*0.0011023),0)</f>
        <v>#N/A</v>
      </c>
      <c r="AD1843" s="104" t="e">
        <f t="shared" si="814"/>
        <v>#N/A</v>
      </c>
      <c r="AE1843" s="104" t="e">
        <f t="shared" si="815"/>
        <v>#N/A</v>
      </c>
      <c r="AF1843" s="104" t="e">
        <f>IF(AND(VLOOKUP($D1843,Merchantability!$B:$C,2,0)="Yes",$E1843&gt;=VLOOKUP($D1843,Merchantability!$B:$D,3,0),$E1843&lt;=VLOOKUP($D1843,Merchantability!$B:$E,4,0)),AA1843,0)</f>
        <v>#N/A</v>
      </c>
      <c r="AG1843" s="104" t="e">
        <f>IF(AND(VLOOKUP($D1843,Merchantability!$B:$C,2,0)="Yes",$E1843&gt;=VLOOKUP($D1843,Merchantability!$B:$D,3,0),$E1843&lt;=VLOOKUP($D1843,Merchantability!$B:$E,4,0)),AB1843,0)</f>
        <v>#N/A</v>
      </c>
      <c r="AH1843" s="104" t="e">
        <f>IF(AND(VLOOKUP($D1843,Merchantability!$B:$C,2,0)="Yes",$E1843&gt;=VLOOKUP($D1843,Merchantability!$B:$D,3,0),$E1843&lt;=VLOOKUP($D1843,Merchantability!$B:$E,4,0)),AC1843,0)</f>
        <v>#N/A</v>
      </c>
      <c r="AI1843" s="104" t="e">
        <f t="shared" si="816"/>
        <v>#N/A</v>
      </c>
      <c r="AJ1843" s="104" t="e">
        <f t="shared" si="817"/>
        <v>#VALUE!</v>
      </c>
      <c r="AK1843" s="104" t="e">
        <f t="shared" si="818"/>
        <v>#N/A</v>
      </c>
      <c r="AL1843" s="104" t="e">
        <f t="shared" si="819"/>
        <v>#N/A</v>
      </c>
      <c r="AM1843" s="104" t="e">
        <f t="shared" si="820"/>
        <v>#N/A</v>
      </c>
      <c r="AN1843" s="104" t="e">
        <f t="shared" si="804"/>
        <v>#N/A</v>
      </c>
      <c r="AO1843" s="104" t="e">
        <f t="shared" si="805"/>
        <v>#N/A</v>
      </c>
      <c r="AP1843" s="104" t="e">
        <f t="shared" si="806"/>
        <v>#N/A</v>
      </c>
      <c r="AQ1843" s="104" t="e">
        <f t="shared" si="807"/>
        <v>#N/A</v>
      </c>
      <c r="AR1843" s="105" t="str">
        <f t="shared" si="799"/>
        <v/>
      </c>
      <c r="AS1843" s="105" t="str">
        <f t="shared" si="800"/>
        <v/>
      </c>
      <c r="AT1843" s="108" t="str">
        <f t="shared" si="801"/>
        <v/>
      </c>
      <c r="AU1843" s="108" t="str">
        <f t="shared" si="802"/>
        <v/>
      </c>
      <c r="AV1843" s="107" t="str">
        <f>IF(ISNUMBER(O1843),IF(VLOOKUP($A1843,Stand!C:J,8,FALSE)="Short",AT1843,AU1843),"")</f>
        <v/>
      </c>
      <c r="AW1843" s="109" t="str">
        <f t="shared" si="808"/>
        <v/>
      </c>
      <c r="AX1843" s="109" t="str">
        <f t="shared" si="809"/>
        <v/>
      </c>
      <c r="AY1843" s="112" t="str">
        <f>IF(ISNUMBER(O1843),IF(AND(VLOOKUP($D1843,Merchantability!$B:$C,2,0)="Yes",$E1843&gt;=VLOOKUP($D1843,Merchantability!$B:$D,3,0),$E1843&lt;=VLOOKUP($D1843,Merchantability!$B:$E,4,0)),(AV1843*O1843)*(1-$H1843/100),""),"")</f>
        <v/>
      </c>
      <c r="AZ1843" s="116"/>
      <c r="BA1843" s="116"/>
      <c r="BB1843" s="116"/>
      <c r="BE1843" s="62"/>
      <c r="BF1843" s="63"/>
    </row>
    <row r="1844" spans="1:58" ht="12.75" customHeight="1" x14ac:dyDescent="0.25">
      <c r="A1844" s="334"/>
      <c r="B1844" s="334"/>
      <c r="C1844" s="332"/>
      <c r="D1844" s="334"/>
      <c r="E1844" s="335"/>
      <c r="F1844" s="334"/>
      <c r="G1844" s="332"/>
      <c r="H1844" s="332"/>
      <c r="I1844" s="334"/>
      <c r="J1844" s="336"/>
      <c r="K1844" s="332"/>
      <c r="L1844" s="332"/>
      <c r="M1844" s="76"/>
      <c r="N1844" s="103" t="str">
        <f>IF(A1844="","",VLOOKUP(A1844,Stand!C:K,9,0))</f>
        <v/>
      </c>
      <c r="O1844" s="104" t="str">
        <f t="shared" si="794"/>
        <v/>
      </c>
      <c r="P1844" s="105" t="str">
        <f t="shared" si="795"/>
        <v/>
      </c>
      <c r="Q1844" s="105" t="str">
        <f t="shared" si="810"/>
        <v/>
      </c>
      <c r="R1844" s="103" t="str">
        <f t="shared" si="796"/>
        <v/>
      </c>
      <c r="S1844" s="103" t="str">
        <f t="shared" si="797"/>
        <v/>
      </c>
      <c r="T1844" s="106" t="str">
        <f t="shared" si="811"/>
        <v/>
      </c>
      <c r="U1844" s="106" t="str">
        <f t="shared" si="812"/>
        <v/>
      </c>
      <c r="V1844" s="106" t="str">
        <f t="shared" si="813"/>
        <v/>
      </c>
      <c r="W1844" s="105" t="str">
        <f t="shared" si="798"/>
        <v/>
      </c>
      <c r="X1844" s="104" t="str">
        <f t="shared" si="803"/>
        <v/>
      </c>
      <c r="Y1844" s="104" t="str">
        <f t="array" ref="Y1844">IFERROR(IF(ISNUMBER(O1844),IF(COUNT(IF(A1844=$A$2:$A$2427,IF(D1844=$D$2:$D$2427,IF($X$2:$X$2427&gt;0,1))))&gt;0,SUM(IF(A1844=$A$2:$A$2427,IF(D1844=$D$2:$D$2427,$X$2:$X$2427)))/COUNT(IF(A1844=$A$2:$A$2427,IF(D1844=$D$2:$D$2427,IF(ISNUMBER($X$2:$X$2427),1)))),0),""),0)</f>
        <v/>
      </c>
      <c r="Z1844" s="104" t="str">
        <f>IF(ISNUMBER(O1844),IF(I1844&gt;0,(10^(VLOOKUP(D1844,'Species Codes'!B:C,2,0)+VLOOKUP(D1844,'Species Codes'!B:D,3,0)*LOG(E1844)+VLOOKUP(D1844,'Species Codes'!B:E,4,0)*LOG(I1844))),0),"")</f>
        <v/>
      </c>
      <c r="AA1844" s="104" t="str">
        <f>IFERROR((VLOOKUP(D1844,'Species Codes'!B:G,6,0)*Z1844)/2000,"")</f>
        <v/>
      </c>
      <c r="AB1844" s="104" t="e">
        <f>IF(Z1844&gt;0,((IF(OR(D1844="DF",D1844="RA")=TRUE,EXP(VLOOKUP(D1844,'Species Codes'!B:I,8,0)+VLOOKUP(D1844,'Species Codes'!B:J,9,0)*(LN((E1844*2.54)))),IF(OR(D1844="PY",D1844="RC",D1844="WH",D1844="NF")=TRUE,VLOOKUP(D1844,'Species Codes'!B:I,8,0)+VLOOKUP(D1844,'Species Codes'!B:J,9,0)*((E1844*2.54)^2)*(I1844*0.3048),IF(OR(D1844="MD",D1844="BM",D1844="GA")=TRUE,((VLOOKUP(D1844,'Species Codes'!B:I,8,0)*(((((E1844*2.54)+VLOOKUP(D1844,'Species Codes'!B:J,9,0))/VLOOKUP(D1844,'Species Codes'!B:K,10,0))^VLOOKUP(D1844,'Species Codes'!B:L,11,0))*((I1844*0.3048)^VLOOKUP(D1844,'Species Codes'!B:M,12,0))))-(VLOOKUP(D1844,'Species Codes'!B:I,8,0)*((((E1844*2.54)^VLOOKUP(D1844,'Species Codes'!B:L,11,0))*((I1844*0.3048)^VLOOKUP(D1844,'Species Codes'!B:M,12,0))))))*35.3*VLOOKUP(D1844,'Species Codes'!B:G,6,0)/2.2046,VLOOKUP(D1844,'Species Codes'!B:I,8,0)+VLOOKUP(D1844,'Species Codes'!B:J,9,0)*(((E1844*2.54)/100)^2)*(I1844*0.3048)))))*0.0011023),0)</f>
        <v>#N/A</v>
      </c>
      <c r="AC1844" s="104" t="e">
        <f>IF(Z1844&gt;0,((IF(OR(D1844="RA",D1844="OA",D1844="OT",D1844="UN",D1844="PC"),EXP(VLOOKUP(D1844,'Species Codes'!B:O,14,0)+VLOOKUP(D1844,'Species Codes'!B:P,15,0)*LN((E1844*2.54)))-EXP(VLOOKUP(D1844,'Species Codes'!B:O,14,0)+VLOOKUP(D1844,'Species Codes'!B:P,15,0)*LN((E1844*2.54)))*(1/(VLOOKUP(D1844,'Species Codes'!B:Q,16,0)+VLOOKUP(D1844,'Species Codes'!B:R,17,0)*((E1844*2.54)^VLOOKUP(D1844,'Species Codes'!B:S,18,0)))),IF(OR(D1844="BM",D1844="MD",D1844="OA"),EXP(VLOOKUP(D1844,'Species Codes'!B:O,14,0)+VLOOKUP(D1844,'Species Codes'!B:P,15,0)*LN((E1844*2.54)))*(1-(1/(VLOOKUP(D1844,'Species Codes'!B:Q,16,0)+VLOOKUP(D1844,'Species Codes'!B:R,17,0)*((E1844*2.54)^VLOOKUP(D1844,'Species Codes'!B:S,18,0)))))/1000,IF(D1844="DF",EXP(VLOOKUP(D1844,'Species Codes'!B:O,14,0)+VLOOKUP(D1844,'Species Codes'!B:P,15,0)*LN((E1844*2.54))),VLOOKUP(D1844,'Species Codes'!B:O,14,0)+VLOOKUP(D1844,'Species Codes'!B:P,15,0)*(((E1844*2.54)/100)^2)*(I1844*0.3048)))))*0.0011023),0)</f>
        <v>#N/A</v>
      </c>
      <c r="AD1844" s="104" t="e">
        <f t="shared" si="814"/>
        <v>#N/A</v>
      </c>
      <c r="AE1844" s="104" t="e">
        <f t="shared" si="815"/>
        <v>#N/A</v>
      </c>
      <c r="AF1844" s="104" t="e">
        <f>IF(AND(VLOOKUP($D1844,Merchantability!$B:$C,2,0)="Yes",$E1844&gt;=VLOOKUP($D1844,Merchantability!$B:$D,3,0),$E1844&lt;=VLOOKUP($D1844,Merchantability!$B:$E,4,0)),AA1844,0)</f>
        <v>#N/A</v>
      </c>
      <c r="AG1844" s="104" t="e">
        <f>IF(AND(VLOOKUP($D1844,Merchantability!$B:$C,2,0)="Yes",$E1844&gt;=VLOOKUP($D1844,Merchantability!$B:$D,3,0),$E1844&lt;=VLOOKUP($D1844,Merchantability!$B:$E,4,0)),AB1844,0)</f>
        <v>#N/A</v>
      </c>
      <c r="AH1844" s="104" t="e">
        <f>IF(AND(VLOOKUP($D1844,Merchantability!$B:$C,2,0)="Yes",$E1844&gt;=VLOOKUP($D1844,Merchantability!$B:$D,3,0),$E1844&lt;=VLOOKUP($D1844,Merchantability!$B:$E,4,0)),AC1844,0)</f>
        <v>#N/A</v>
      </c>
      <c r="AI1844" s="104" t="e">
        <f t="shared" si="816"/>
        <v>#N/A</v>
      </c>
      <c r="AJ1844" s="104" t="e">
        <f t="shared" si="817"/>
        <v>#VALUE!</v>
      </c>
      <c r="AK1844" s="104" t="e">
        <f t="shared" si="818"/>
        <v>#N/A</v>
      </c>
      <c r="AL1844" s="104" t="e">
        <f t="shared" si="819"/>
        <v>#N/A</v>
      </c>
      <c r="AM1844" s="104" t="e">
        <f t="shared" si="820"/>
        <v>#N/A</v>
      </c>
      <c r="AN1844" s="104" t="e">
        <f t="shared" si="804"/>
        <v>#N/A</v>
      </c>
      <c r="AO1844" s="104" t="e">
        <f t="shared" si="805"/>
        <v>#N/A</v>
      </c>
      <c r="AP1844" s="104" t="e">
        <f t="shared" si="806"/>
        <v>#N/A</v>
      </c>
      <c r="AQ1844" s="104" t="e">
        <f t="shared" si="807"/>
        <v>#N/A</v>
      </c>
      <c r="AR1844" s="105" t="str">
        <f t="shared" si="799"/>
        <v/>
      </c>
      <c r="AS1844" s="105" t="str">
        <f t="shared" si="800"/>
        <v/>
      </c>
      <c r="AT1844" s="108" t="str">
        <f t="shared" si="801"/>
        <v/>
      </c>
      <c r="AU1844" s="108" t="str">
        <f t="shared" si="802"/>
        <v/>
      </c>
      <c r="AV1844" s="107" t="str">
        <f>IF(ISNUMBER(O1844),IF(VLOOKUP($A1844,Stand!C:J,8,FALSE)="Short",AT1844,AU1844),"")</f>
        <v/>
      </c>
      <c r="AW1844" s="109" t="str">
        <f t="shared" si="808"/>
        <v/>
      </c>
      <c r="AX1844" s="109" t="str">
        <f t="shared" si="809"/>
        <v/>
      </c>
      <c r="AY1844" s="112" t="str">
        <f>IF(ISNUMBER(O1844),IF(AND(VLOOKUP($D1844,Merchantability!$B:$C,2,0)="Yes",$E1844&gt;=VLOOKUP($D1844,Merchantability!$B:$D,3,0),$E1844&lt;=VLOOKUP($D1844,Merchantability!$B:$E,4,0)),(AV1844*O1844)*(1-$H1844/100),""),"")</f>
        <v/>
      </c>
      <c r="AZ1844" s="116"/>
      <c r="BA1844" s="116"/>
      <c r="BB1844" s="116"/>
      <c r="BE1844" s="62"/>
      <c r="BF1844" s="63"/>
    </row>
    <row r="1845" spans="1:58" ht="12.75" customHeight="1" x14ac:dyDescent="0.25">
      <c r="A1845" s="334"/>
      <c r="B1845" s="334"/>
      <c r="C1845" s="332"/>
      <c r="D1845" s="334"/>
      <c r="E1845" s="335"/>
      <c r="F1845" s="334"/>
      <c r="G1845" s="332"/>
      <c r="H1845" s="332"/>
      <c r="I1845" s="334"/>
      <c r="J1845" s="336"/>
      <c r="K1845" s="332"/>
      <c r="L1845" s="332"/>
      <c r="M1845" s="76"/>
      <c r="N1845" s="103" t="str">
        <f>IF(A1845="","",VLOOKUP(A1845,Stand!C:K,9,0))</f>
        <v/>
      </c>
      <c r="O1845" s="104" t="str">
        <f t="shared" si="794"/>
        <v/>
      </c>
      <c r="P1845" s="105" t="str">
        <f t="shared" si="795"/>
        <v/>
      </c>
      <c r="Q1845" s="105" t="str">
        <f t="shared" si="810"/>
        <v/>
      </c>
      <c r="R1845" s="103" t="str">
        <f t="shared" si="796"/>
        <v/>
      </c>
      <c r="S1845" s="103" t="str">
        <f t="shared" si="797"/>
        <v/>
      </c>
      <c r="T1845" s="106" t="str">
        <f t="shared" si="811"/>
        <v/>
      </c>
      <c r="U1845" s="106" t="str">
        <f t="shared" si="812"/>
        <v/>
      </c>
      <c r="V1845" s="106" t="str">
        <f t="shared" si="813"/>
        <v/>
      </c>
      <c r="W1845" s="105" t="str">
        <f t="shared" si="798"/>
        <v/>
      </c>
      <c r="X1845" s="104" t="str">
        <f t="shared" si="803"/>
        <v/>
      </c>
      <c r="Y1845" s="104" t="str">
        <f t="array" ref="Y1845">IFERROR(IF(ISNUMBER(O1845),IF(COUNT(IF(A1845=$A$2:$A$2427,IF(D1845=$D$2:$D$2427,IF($X$2:$X$2427&gt;0,1))))&gt;0,SUM(IF(A1845=$A$2:$A$2427,IF(D1845=$D$2:$D$2427,$X$2:$X$2427)))/COUNT(IF(A1845=$A$2:$A$2427,IF(D1845=$D$2:$D$2427,IF(ISNUMBER($X$2:$X$2427),1)))),0),""),0)</f>
        <v/>
      </c>
      <c r="Z1845" s="104" t="str">
        <f>IF(ISNUMBER(O1845),IF(I1845&gt;0,(10^(VLOOKUP(D1845,'Species Codes'!B:C,2,0)+VLOOKUP(D1845,'Species Codes'!B:D,3,0)*LOG(E1845)+VLOOKUP(D1845,'Species Codes'!B:E,4,0)*LOG(I1845))),0),"")</f>
        <v/>
      </c>
      <c r="AA1845" s="104" t="str">
        <f>IFERROR((VLOOKUP(D1845,'Species Codes'!B:G,6,0)*Z1845)/2000,"")</f>
        <v/>
      </c>
      <c r="AB1845" s="104" t="e">
        <f>IF(Z1845&gt;0,((IF(OR(D1845="DF",D1845="RA")=TRUE,EXP(VLOOKUP(D1845,'Species Codes'!B:I,8,0)+VLOOKUP(D1845,'Species Codes'!B:J,9,0)*(LN((E1845*2.54)))),IF(OR(D1845="PY",D1845="RC",D1845="WH",D1845="NF")=TRUE,VLOOKUP(D1845,'Species Codes'!B:I,8,0)+VLOOKUP(D1845,'Species Codes'!B:J,9,0)*((E1845*2.54)^2)*(I1845*0.3048),IF(OR(D1845="MD",D1845="BM",D1845="GA")=TRUE,((VLOOKUP(D1845,'Species Codes'!B:I,8,0)*(((((E1845*2.54)+VLOOKUP(D1845,'Species Codes'!B:J,9,0))/VLOOKUP(D1845,'Species Codes'!B:K,10,0))^VLOOKUP(D1845,'Species Codes'!B:L,11,0))*((I1845*0.3048)^VLOOKUP(D1845,'Species Codes'!B:M,12,0))))-(VLOOKUP(D1845,'Species Codes'!B:I,8,0)*((((E1845*2.54)^VLOOKUP(D1845,'Species Codes'!B:L,11,0))*((I1845*0.3048)^VLOOKUP(D1845,'Species Codes'!B:M,12,0))))))*35.3*VLOOKUP(D1845,'Species Codes'!B:G,6,0)/2.2046,VLOOKUP(D1845,'Species Codes'!B:I,8,0)+VLOOKUP(D1845,'Species Codes'!B:J,9,0)*(((E1845*2.54)/100)^2)*(I1845*0.3048)))))*0.0011023),0)</f>
        <v>#N/A</v>
      </c>
      <c r="AC1845" s="104" t="e">
        <f>IF(Z1845&gt;0,((IF(OR(D1845="RA",D1845="OA",D1845="OT",D1845="UN",D1845="PC"),EXP(VLOOKUP(D1845,'Species Codes'!B:O,14,0)+VLOOKUP(D1845,'Species Codes'!B:P,15,0)*LN((E1845*2.54)))-EXP(VLOOKUP(D1845,'Species Codes'!B:O,14,0)+VLOOKUP(D1845,'Species Codes'!B:P,15,0)*LN((E1845*2.54)))*(1/(VLOOKUP(D1845,'Species Codes'!B:Q,16,0)+VLOOKUP(D1845,'Species Codes'!B:R,17,0)*((E1845*2.54)^VLOOKUP(D1845,'Species Codes'!B:S,18,0)))),IF(OR(D1845="BM",D1845="MD",D1845="OA"),EXP(VLOOKUP(D1845,'Species Codes'!B:O,14,0)+VLOOKUP(D1845,'Species Codes'!B:P,15,0)*LN((E1845*2.54)))*(1-(1/(VLOOKUP(D1845,'Species Codes'!B:Q,16,0)+VLOOKUP(D1845,'Species Codes'!B:R,17,0)*((E1845*2.54)^VLOOKUP(D1845,'Species Codes'!B:S,18,0)))))/1000,IF(D1845="DF",EXP(VLOOKUP(D1845,'Species Codes'!B:O,14,0)+VLOOKUP(D1845,'Species Codes'!B:P,15,0)*LN((E1845*2.54))),VLOOKUP(D1845,'Species Codes'!B:O,14,0)+VLOOKUP(D1845,'Species Codes'!B:P,15,0)*(((E1845*2.54)/100)^2)*(I1845*0.3048)))))*0.0011023),0)</f>
        <v>#N/A</v>
      </c>
      <c r="AD1845" s="104" t="e">
        <f t="shared" si="814"/>
        <v>#N/A</v>
      </c>
      <c r="AE1845" s="104" t="e">
        <f t="shared" si="815"/>
        <v>#N/A</v>
      </c>
      <c r="AF1845" s="104" t="e">
        <f>IF(AND(VLOOKUP($D1845,Merchantability!$B:$C,2,0)="Yes",$E1845&gt;=VLOOKUP($D1845,Merchantability!$B:$D,3,0),$E1845&lt;=VLOOKUP($D1845,Merchantability!$B:$E,4,0)),AA1845,0)</f>
        <v>#N/A</v>
      </c>
      <c r="AG1845" s="104" t="e">
        <f>IF(AND(VLOOKUP($D1845,Merchantability!$B:$C,2,0)="Yes",$E1845&gt;=VLOOKUP($D1845,Merchantability!$B:$D,3,0),$E1845&lt;=VLOOKUP($D1845,Merchantability!$B:$E,4,0)),AB1845,0)</f>
        <v>#N/A</v>
      </c>
      <c r="AH1845" s="104" t="e">
        <f>IF(AND(VLOOKUP($D1845,Merchantability!$B:$C,2,0)="Yes",$E1845&gt;=VLOOKUP($D1845,Merchantability!$B:$D,3,0),$E1845&lt;=VLOOKUP($D1845,Merchantability!$B:$E,4,0)),AC1845,0)</f>
        <v>#N/A</v>
      </c>
      <c r="AI1845" s="104" t="e">
        <f t="shared" si="816"/>
        <v>#N/A</v>
      </c>
      <c r="AJ1845" s="104" t="e">
        <f t="shared" si="817"/>
        <v>#VALUE!</v>
      </c>
      <c r="AK1845" s="104" t="e">
        <f t="shared" si="818"/>
        <v>#N/A</v>
      </c>
      <c r="AL1845" s="104" t="e">
        <f t="shared" si="819"/>
        <v>#N/A</v>
      </c>
      <c r="AM1845" s="104" t="e">
        <f t="shared" si="820"/>
        <v>#N/A</v>
      </c>
      <c r="AN1845" s="104" t="e">
        <f t="shared" si="804"/>
        <v>#N/A</v>
      </c>
      <c r="AO1845" s="104" t="e">
        <f t="shared" si="805"/>
        <v>#N/A</v>
      </c>
      <c r="AP1845" s="104" t="e">
        <f t="shared" si="806"/>
        <v>#N/A</v>
      </c>
      <c r="AQ1845" s="104" t="e">
        <f t="shared" si="807"/>
        <v>#N/A</v>
      </c>
      <c r="AR1845" s="105" t="str">
        <f t="shared" si="799"/>
        <v/>
      </c>
      <c r="AS1845" s="105" t="str">
        <f t="shared" si="800"/>
        <v/>
      </c>
      <c r="AT1845" s="108" t="str">
        <f t="shared" si="801"/>
        <v/>
      </c>
      <c r="AU1845" s="108" t="str">
        <f t="shared" si="802"/>
        <v/>
      </c>
      <c r="AV1845" s="107" t="str">
        <f>IF(ISNUMBER(O1845),IF(VLOOKUP($A1845,Stand!C:J,8,FALSE)="Short",AT1845,AU1845),"")</f>
        <v/>
      </c>
      <c r="AW1845" s="109" t="str">
        <f t="shared" si="808"/>
        <v/>
      </c>
      <c r="AX1845" s="109" t="str">
        <f t="shared" si="809"/>
        <v/>
      </c>
      <c r="AY1845" s="112" t="str">
        <f>IF(ISNUMBER(O1845),IF(AND(VLOOKUP($D1845,Merchantability!$B:$C,2,0)="Yes",$E1845&gt;=VLOOKUP($D1845,Merchantability!$B:$D,3,0),$E1845&lt;=VLOOKUP($D1845,Merchantability!$B:$E,4,0)),(AV1845*O1845)*(1-$H1845/100),""),"")</f>
        <v/>
      </c>
      <c r="AZ1845" s="116"/>
      <c r="BA1845" s="116"/>
      <c r="BB1845" s="116"/>
      <c r="BE1845" s="62"/>
      <c r="BF1845" s="63"/>
    </row>
    <row r="1846" spans="1:58" ht="12.75" customHeight="1" x14ac:dyDescent="0.25">
      <c r="A1846" s="334"/>
      <c r="B1846" s="334"/>
      <c r="C1846" s="332"/>
      <c r="D1846" s="334"/>
      <c r="E1846" s="335"/>
      <c r="F1846" s="334"/>
      <c r="G1846" s="332"/>
      <c r="H1846" s="332"/>
      <c r="I1846" s="334"/>
      <c r="J1846" s="336"/>
      <c r="K1846" s="332"/>
      <c r="L1846" s="332"/>
      <c r="M1846" s="76"/>
      <c r="N1846" s="103" t="str">
        <f>IF(A1846="","",VLOOKUP(A1846,Stand!C:K,9,0))</f>
        <v/>
      </c>
      <c r="O1846" s="104" t="str">
        <f t="shared" si="794"/>
        <v/>
      </c>
      <c r="P1846" s="105" t="str">
        <f t="shared" si="795"/>
        <v/>
      </c>
      <c r="Q1846" s="105" t="str">
        <f t="shared" si="810"/>
        <v/>
      </c>
      <c r="R1846" s="103" t="str">
        <f t="shared" si="796"/>
        <v/>
      </c>
      <c r="S1846" s="103" t="str">
        <f t="shared" si="797"/>
        <v/>
      </c>
      <c r="T1846" s="106" t="str">
        <f t="shared" si="811"/>
        <v/>
      </c>
      <c r="U1846" s="106" t="str">
        <f t="shared" si="812"/>
        <v/>
      </c>
      <c r="V1846" s="106" t="str">
        <f t="shared" si="813"/>
        <v/>
      </c>
      <c r="W1846" s="105" t="str">
        <f t="shared" si="798"/>
        <v/>
      </c>
      <c r="X1846" s="104" t="str">
        <f t="shared" si="803"/>
        <v/>
      </c>
      <c r="Y1846" s="104" t="str">
        <f t="array" ref="Y1846">IFERROR(IF(ISNUMBER(O1846),IF(COUNT(IF(A1846=$A$2:$A$2427,IF(D1846=$D$2:$D$2427,IF($X$2:$X$2427&gt;0,1))))&gt;0,SUM(IF(A1846=$A$2:$A$2427,IF(D1846=$D$2:$D$2427,$X$2:$X$2427)))/COUNT(IF(A1846=$A$2:$A$2427,IF(D1846=$D$2:$D$2427,IF(ISNUMBER($X$2:$X$2427),1)))),0),""),0)</f>
        <v/>
      </c>
      <c r="Z1846" s="104" t="str">
        <f>IF(ISNUMBER(O1846),IF(I1846&gt;0,(10^(VLOOKUP(D1846,'Species Codes'!B:C,2,0)+VLOOKUP(D1846,'Species Codes'!B:D,3,0)*LOG(E1846)+VLOOKUP(D1846,'Species Codes'!B:E,4,0)*LOG(I1846))),0),"")</f>
        <v/>
      </c>
      <c r="AA1846" s="104" t="str">
        <f>IFERROR((VLOOKUP(D1846,'Species Codes'!B:G,6,0)*Z1846)/2000,"")</f>
        <v/>
      </c>
      <c r="AB1846" s="104" t="e">
        <f>IF(Z1846&gt;0,((IF(OR(D1846="DF",D1846="RA")=TRUE,EXP(VLOOKUP(D1846,'Species Codes'!B:I,8,0)+VLOOKUP(D1846,'Species Codes'!B:J,9,0)*(LN((E1846*2.54)))),IF(OR(D1846="PY",D1846="RC",D1846="WH",D1846="NF")=TRUE,VLOOKUP(D1846,'Species Codes'!B:I,8,0)+VLOOKUP(D1846,'Species Codes'!B:J,9,0)*((E1846*2.54)^2)*(I1846*0.3048),IF(OR(D1846="MD",D1846="BM",D1846="GA")=TRUE,((VLOOKUP(D1846,'Species Codes'!B:I,8,0)*(((((E1846*2.54)+VLOOKUP(D1846,'Species Codes'!B:J,9,0))/VLOOKUP(D1846,'Species Codes'!B:K,10,0))^VLOOKUP(D1846,'Species Codes'!B:L,11,0))*((I1846*0.3048)^VLOOKUP(D1846,'Species Codes'!B:M,12,0))))-(VLOOKUP(D1846,'Species Codes'!B:I,8,0)*((((E1846*2.54)^VLOOKUP(D1846,'Species Codes'!B:L,11,0))*((I1846*0.3048)^VLOOKUP(D1846,'Species Codes'!B:M,12,0))))))*35.3*VLOOKUP(D1846,'Species Codes'!B:G,6,0)/2.2046,VLOOKUP(D1846,'Species Codes'!B:I,8,0)+VLOOKUP(D1846,'Species Codes'!B:J,9,0)*(((E1846*2.54)/100)^2)*(I1846*0.3048)))))*0.0011023),0)</f>
        <v>#N/A</v>
      </c>
      <c r="AC1846" s="104" t="e">
        <f>IF(Z1846&gt;0,((IF(OR(D1846="RA",D1846="OA",D1846="OT",D1846="UN",D1846="PC"),EXP(VLOOKUP(D1846,'Species Codes'!B:O,14,0)+VLOOKUP(D1846,'Species Codes'!B:P,15,0)*LN((E1846*2.54)))-EXP(VLOOKUP(D1846,'Species Codes'!B:O,14,0)+VLOOKUP(D1846,'Species Codes'!B:P,15,0)*LN((E1846*2.54)))*(1/(VLOOKUP(D1846,'Species Codes'!B:Q,16,0)+VLOOKUP(D1846,'Species Codes'!B:R,17,0)*((E1846*2.54)^VLOOKUP(D1846,'Species Codes'!B:S,18,0)))),IF(OR(D1846="BM",D1846="MD",D1846="OA"),EXP(VLOOKUP(D1846,'Species Codes'!B:O,14,0)+VLOOKUP(D1846,'Species Codes'!B:P,15,0)*LN((E1846*2.54)))*(1-(1/(VLOOKUP(D1846,'Species Codes'!B:Q,16,0)+VLOOKUP(D1846,'Species Codes'!B:R,17,0)*((E1846*2.54)^VLOOKUP(D1846,'Species Codes'!B:S,18,0)))))/1000,IF(D1846="DF",EXP(VLOOKUP(D1846,'Species Codes'!B:O,14,0)+VLOOKUP(D1846,'Species Codes'!B:P,15,0)*LN((E1846*2.54))),VLOOKUP(D1846,'Species Codes'!B:O,14,0)+VLOOKUP(D1846,'Species Codes'!B:P,15,0)*(((E1846*2.54)/100)^2)*(I1846*0.3048)))))*0.0011023),0)</f>
        <v>#N/A</v>
      </c>
      <c r="AD1846" s="104" t="e">
        <f t="shared" si="814"/>
        <v>#N/A</v>
      </c>
      <c r="AE1846" s="104" t="e">
        <f t="shared" si="815"/>
        <v>#N/A</v>
      </c>
      <c r="AF1846" s="104" t="e">
        <f>IF(AND(VLOOKUP($D1846,Merchantability!$B:$C,2,0)="Yes",$E1846&gt;=VLOOKUP($D1846,Merchantability!$B:$D,3,0),$E1846&lt;=VLOOKUP($D1846,Merchantability!$B:$E,4,0)),AA1846,0)</f>
        <v>#N/A</v>
      </c>
      <c r="AG1846" s="104" t="e">
        <f>IF(AND(VLOOKUP($D1846,Merchantability!$B:$C,2,0)="Yes",$E1846&gt;=VLOOKUP($D1846,Merchantability!$B:$D,3,0),$E1846&lt;=VLOOKUP($D1846,Merchantability!$B:$E,4,0)),AB1846,0)</f>
        <v>#N/A</v>
      </c>
      <c r="AH1846" s="104" t="e">
        <f>IF(AND(VLOOKUP($D1846,Merchantability!$B:$C,2,0)="Yes",$E1846&gt;=VLOOKUP($D1846,Merchantability!$B:$D,3,0),$E1846&lt;=VLOOKUP($D1846,Merchantability!$B:$E,4,0)),AC1846,0)</f>
        <v>#N/A</v>
      </c>
      <c r="AI1846" s="104" t="e">
        <f t="shared" si="816"/>
        <v>#N/A</v>
      </c>
      <c r="AJ1846" s="104" t="e">
        <f t="shared" si="817"/>
        <v>#VALUE!</v>
      </c>
      <c r="AK1846" s="104" t="e">
        <f t="shared" si="818"/>
        <v>#N/A</v>
      </c>
      <c r="AL1846" s="104" t="e">
        <f t="shared" si="819"/>
        <v>#N/A</v>
      </c>
      <c r="AM1846" s="104" t="e">
        <f t="shared" si="820"/>
        <v>#N/A</v>
      </c>
      <c r="AN1846" s="104" t="e">
        <f t="shared" si="804"/>
        <v>#N/A</v>
      </c>
      <c r="AO1846" s="104" t="e">
        <f t="shared" si="805"/>
        <v>#N/A</v>
      </c>
      <c r="AP1846" s="104" t="e">
        <f t="shared" si="806"/>
        <v>#N/A</v>
      </c>
      <c r="AQ1846" s="104" t="e">
        <f t="shared" si="807"/>
        <v>#N/A</v>
      </c>
      <c r="AR1846" s="105" t="str">
        <f t="shared" si="799"/>
        <v/>
      </c>
      <c r="AS1846" s="105" t="str">
        <f t="shared" si="800"/>
        <v/>
      </c>
      <c r="AT1846" s="108" t="str">
        <f t="shared" si="801"/>
        <v/>
      </c>
      <c r="AU1846" s="108" t="str">
        <f t="shared" si="802"/>
        <v/>
      </c>
      <c r="AV1846" s="107" t="str">
        <f>IF(ISNUMBER(O1846),IF(VLOOKUP($A1846,Stand!C:J,8,FALSE)="Short",AT1846,AU1846),"")</f>
        <v/>
      </c>
      <c r="AW1846" s="109" t="str">
        <f t="shared" si="808"/>
        <v/>
      </c>
      <c r="AX1846" s="109" t="str">
        <f t="shared" si="809"/>
        <v/>
      </c>
      <c r="AY1846" s="112" t="str">
        <f>IF(ISNUMBER(O1846),IF(AND(VLOOKUP($D1846,Merchantability!$B:$C,2,0)="Yes",$E1846&gt;=VLOOKUP($D1846,Merchantability!$B:$D,3,0),$E1846&lt;=VLOOKUP($D1846,Merchantability!$B:$E,4,0)),(AV1846*O1846)*(1-$H1846/100),""),"")</f>
        <v/>
      </c>
      <c r="AZ1846" s="116"/>
      <c r="BA1846" s="116"/>
      <c r="BB1846" s="116"/>
      <c r="BE1846" s="62"/>
      <c r="BF1846" s="63"/>
    </row>
    <row r="1847" spans="1:58" ht="12.75" customHeight="1" x14ac:dyDescent="0.25">
      <c r="A1847" s="334"/>
      <c r="B1847" s="334"/>
      <c r="C1847" s="332"/>
      <c r="D1847" s="334"/>
      <c r="E1847" s="335"/>
      <c r="F1847" s="334"/>
      <c r="G1847" s="332"/>
      <c r="H1847" s="332"/>
      <c r="I1847" s="334"/>
      <c r="J1847" s="336"/>
      <c r="K1847" s="332"/>
      <c r="L1847" s="332"/>
      <c r="M1847" s="76"/>
      <c r="N1847" s="103" t="str">
        <f>IF(A1847="","",VLOOKUP(A1847,Stand!C:K,9,0))</f>
        <v/>
      </c>
      <c r="O1847" s="104" t="str">
        <f t="shared" si="794"/>
        <v/>
      </c>
      <c r="P1847" s="105" t="str">
        <f t="shared" si="795"/>
        <v/>
      </c>
      <c r="Q1847" s="105" t="str">
        <f t="shared" si="810"/>
        <v/>
      </c>
      <c r="R1847" s="103" t="str">
        <f t="shared" si="796"/>
        <v/>
      </c>
      <c r="S1847" s="103" t="str">
        <f t="shared" si="797"/>
        <v/>
      </c>
      <c r="T1847" s="106" t="str">
        <f t="shared" si="811"/>
        <v/>
      </c>
      <c r="U1847" s="106" t="str">
        <f t="shared" si="812"/>
        <v/>
      </c>
      <c r="V1847" s="106" t="str">
        <f t="shared" si="813"/>
        <v/>
      </c>
      <c r="W1847" s="105" t="str">
        <f t="shared" si="798"/>
        <v/>
      </c>
      <c r="X1847" s="104" t="str">
        <f t="shared" si="803"/>
        <v/>
      </c>
      <c r="Y1847" s="104" t="str">
        <f t="array" ref="Y1847">IFERROR(IF(ISNUMBER(O1847),IF(COUNT(IF(A1847=$A$2:$A$2427,IF(D1847=$D$2:$D$2427,IF($X$2:$X$2427&gt;0,1))))&gt;0,SUM(IF(A1847=$A$2:$A$2427,IF(D1847=$D$2:$D$2427,$X$2:$X$2427)))/COUNT(IF(A1847=$A$2:$A$2427,IF(D1847=$D$2:$D$2427,IF(ISNUMBER($X$2:$X$2427),1)))),0),""),0)</f>
        <v/>
      </c>
      <c r="Z1847" s="104" t="str">
        <f>IF(ISNUMBER(O1847),IF(I1847&gt;0,(10^(VLOOKUP(D1847,'Species Codes'!B:C,2,0)+VLOOKUP(D1847,'Species Codes'!B:D,3,0)*LOG(E1847)+VLOOKUP(D1847,'Species Codes'!B:E,4,0)*LOG(I1847))),0),"")</f>
        <v/>
      </c>
      <c r="AA1847" s="104" t="str">
        <f>IFERROR((VLOOKUP(D1847,'Species Codes'!B:G,6,0)*Z1847)/2000,"")</f>
        <v/>
      </c>
      <c r="AB1847" s="104" t="e">
        <f>IF(Z1847&gt;0,((IF(OR(D1847="DF",D1847="RA")=TRUE,EXP(VLOOKUP(D1847,'Species Codes'!B:I,8,0)+VLOOKUP(D1847,'Species Codes'!B:J,9,0)*(LN((E1847*2.54)))),IF(OR(D1847="PY",D1847="RC",D1847="WH",D1847="NF")=TRUE,VLOOKUP(D1847,'Species Codes'!B:I,8,0)+VLOOKUP(D1847,'Species Codes'!B:J,9,0)*((E1847*2.54)^2)*(I1847*0.3048),IF(OR(D1847="MD",D1847="BM",D1847="GA")=TRUE,((VLOOKUP(D1847,'Species Codes'!B:I,8,0)*(((((E1847*2.54)+VLOOKUP(D1847,'Species Codes'!B:J,9,0))/VLOOKUP(D1847,'Species Codes'!B:K,10,0))^VLOOKUP(D1847,'Species Codes'!B:L,11,0))*((I1847*0.3048)^VLOOKUP(D1847,'Species Codes'!B:M,12,0))))-(VLOOKUP(D1847,'Species Codes'!B:I,8,0)*((((E1847*2.54)^VLOOKUP(D1847,'Species Codes'!B:L,11,0))*((I1847*0.3048)^VLOOKUP(D1847,'Species Codes'!B:M,12,0))))))*35.3*VLOOKUP(D1847,'Species Codes'!B:G,6,0)/2.2046,VLOOKUP(D1847,'Species Codes'!B:I,8,0)+VLOOKUP(D1847,'Species Codes'!B:J,9,0)*(((E1847*2.54)/100)^2)*(I1847*0.3048)))))*0.0011023),0)</f>
        <v>#N/A</v>
      </c>
      <c r="AC1847" s="104" t="e">
        <f>IF(Z1847&gt;0,((IF(OR(D1847="RA",D1847="OA",D1847="OT",D1847="UN",D1847="PC"),EXP(VLOOKUP(D1847,'Species Codes'!B:O,14,0)+VLOOKUP(D1847,'Species Codes'!B:P,15,0)*LN((E1847*2.54)))-EXP(VLOOKUP(D1847,'Species Codes'!B:O,14,0)+VLOOKUP(D1847,'Species Codes'!B:P,15,0)*LN((E1847*2.54)))*(1/(VLOOKUP(D1847,'Species Codes'!B:Q,16,0)+VLOOKUP(D1847,'Species Codes'!B:R,17,0)*((E1847*2.54)^VLOOKUP(D1847,'Species Codes'!B:S,18,0)))),IF(OR(D1847="BM",D1847="MD",D1847="OA"),EXP(VLOOKUP(D1847,'Species Codes'!B:O,14,0)+VLOOKUP(D1847,'Species Codes'!B:P,15,0)*LN((E1847*2.54)))*(1-(1/(VLOOKUP(D1847,'Species Codes'!B:Q,16,0)+VLOOKUP(D1847,'Species Codes'!B:R,17,0)*((E1847*2.54)^VLOOKUP(D1847,'Species Codes'!B:S,18,0)))))/1000,IF(D1847="DF",EXP(VLOOKUP(D1847,'Species Codes'!B:O,14,0)+VLOOKUP(D1847,'Species Codes'!B:P,15,0)*LN((E1847*2.54))),VLOOKUP(D1847,'Species Codes'!B:O,14,0)+VLOOKUP(D1847,'Species Codes'!B:P,15,0)*(((E1847*2.54)/100)^2)*(I1847*0.3048)))))*0.0011023),0)</f>
        <v>#N/A</v>
      </c>
      <c r="AD1847" s="104" t="e">
        <f t="shared" si="814"/>
        <v>#N/A</v>
      </c>
      <c r="AE1847" s="104" t="e">
        <f t="shared" si="815"/>
        <v>#N/A</v>
      </c>
      <c r="AF1847" s="104" t="e">
        <f>IF(AND(VLOOKUP($D1847,Merchantability!$B:$C,2,0)="Yes",$E1847&gt;=VLOOKUP($D1847,Merchantability!$B:$D,3,0),$E1847&lt;=VLOOKUP($D1847,Merchantability!$B:$E,4,0)),AA1847,0)</f>
        <v>#N/A</v>
      </c>
      <c r="AG1847" s="104" t="e">
        <f>IF(AND(VLOOKUP($D1847,Merchantability!$B:$C,2,0)="Yes",$E1847&gt;=VLOOKUP($D1847,Merchantability!$B:$D,3,0),$E1847&lt;=VLOOKUP($D1847,Merchantability!$B:$E,4,0)),AB1847,0)</f>
        <v>#N/A</v>
      </c>
      <c r="AH1847" s="104" t="e">
        <f>IF(AND(VLOOKUP($D1847,Merchantability!$B:$C,2,0)="Yes",$E1847&gt;=VLOOKUP($D1847,Merchantability!$B:$D,3,0),$E1847&lt;=VLOOKUP($D1847,Merchantability!$B:$E,4,0)),AC1847,0)</f>
        <v>#N/A</v>
      </c>
      <c r="AI1847" s="104" t="e">
        <f t="shared" si="816"/>
        <v>#N/A</v>
      </c>
      <c r="AJ1847" s="104" t="e">
        <f t="shared" si="817"/>
        <v>#VALUE!</v>
      </c>
      <c r="AK1847" s="104" t="e">
        <f t="shared" si="818"/>
        <v>#N/A</v>
      </c>
      <c r="AL1847" s="104" t="e">
        <f t="shared" si="819"/>
        <v>#N/A</v>
      </c>
      <c r="AM1847" s="104" t="e">
        <f t="shared" si="820"/>
        <v>#N/A</v>
      </c>
      <c r="AN1847" s="104" t="e">
        <f t="shared" si="804"/>
        <v>#N/A</v>
      </c>
      <c r="AO1847" s="104" t="e">
        <f t="shared" si="805"/>
        <v>#N/A</v>
      </c>
      <c r="AP1847" s="104" t="e">
        <f t="shared" si="806"/>
        <v>#N/A</v>
      </c>
      <c r="AQ1847" s="104" t="e">
        <f t="shared" si="807"/>
        <v>#N/A</v>
      </c>
      <c r="AR1847" s="105" t="str">
        <f t="shared" si="799"/>
        <v/>
      </c>
      <c r="AS1847" s="105" t="str">
        <f t="shared" si="800"/>
        <v/>
      </c>
      <c r="AT1847" s="108" t="str">
        <f t="shared" si="801"/>
        <v/>
      </c>
      <c r="AU1847" s="108" t="str">
        <f t="shared" si="802"/>
        <v/>
      </c>
      <c r="AV1847" s="107" t="str">
        <f>IF(ISNUMBER(O1847),IF(VLOOKUP($A1847,Stand!C:J,8,FALSE)="Short",AT1847,AU1847),"")</f>
        <v/>
      </c>
      <c r="AW1847" s="109" t="str">
        <f t="shared" si="808"/>
        <v/>
      </c>
      <c r="AX1847" s="109" t="str">
        <f t="shared" si="809"/>
        <v/>
      </c>
      <c r="AY1847" s="112" t="str">
        <f>IF(ISNUMBER(O1847),IF(AND(VLOOKUP($D1847,Merchantability!$B:$C,2,0)="Yes",$E1847&gt;=VLOOKUP($D1847,Merchantability!$B:$D,3,0),$E1847&lt;=VLOOKUP($D1847,Merchantability!$B:$E,4,0)),(AV1847*O1847)*(1-$H1847/100),""),"")</f>
        <v/>
      </c>
      <c r="AZ1847" s="116"/>
      <c r="BA1847" s="116"/>
      <c r="BB1847" s="116"/>
      <c r="BE1847" s="62"/>
      <c r="BF1847" s="63"/>
    </row>
    <row r="1848" spans="1:58" ht="12.75" customHeight="1" x14ac:dyDescent="0.25">
      <c r="A1848" s="334"/>
      <c r="B1848" s="334"/>
      <c r="C1848" s="332"/>
      <c r="D1848" s="334"/>
      <c r="E1848" s="335"/>
      <c r="F1848" s="334"/>
      <c r="G1848" s="332"/>
      <c r="H1848" s="332"/>
      <c r="I1848" s="334"/>
      <c r="J1848" s="336"/>
      <c r="K1848" s="332"/>
      <c r="L1848" s="332"/>
      <c r="M1848" s="76"/>
      <c r="N1848" s="103" t="str">
        <f>IF(A1848="","",VLOOKUP(A1848,Stand!C:K,9,0))</f>
        <v/>
      </c>
      <c r="O1848" s="104" t="str">
        <f t="shared" si="794"/>
        <v/>
      </c>
      <c r="P1848" s="105" t="str">
        <f t="shared" si="795"/>
        <v/>
      </c>
      <c r="Q1848" s="105" t="str">
        <f t="shared" si="810"/>
        <v/>
      </c>
      <c r="R1848" s="103" t="str">
        <f t="shared" si="796"/>
        <v/>
      </c>
      <c r="S1848" s="103" t="str">
        <f t="shared" si="797"/>
        <v/>
      </c>
      <c r="T1848" s="106" t="str">
        <f t="shared" si="811"/>
        <v/>
      </c>
      <c r="U1848" s="106" t="str">
        <f t="shared" si="812"/>
        <v/>
      </c>
      <c r="V1848" s="106" t="str">
        <f t="shared" si="813"/>
        <v/>
      </c>
      <c r="W1848" s="105" t="str">
        <f t="shared" si="798"/>
        <v/>
      </c>
      <c r="X1848" s="104" t="str">
        <f t="shared" si="803"/>
        <v/>
      </c>
      <c r="Y1848" s="104" t="str">
        <f t="array" ref="Y1848">IFERROR(IF(ISNUMBER(O1848),IF(COUNT(IF(A1848=$A$2:$A$2427,IF(D1848=$D$2:$D$2427,IF($X$2:$X$2427&gt;0,1))))&gt;0,SUM(IF(A1848=$A$2:$A$2427,IF(D1848=$D$2:$D$2427,$X$2:$X$2427)))/COUNT(IF(A1848=$A$2:$A$2427,IF(D1848=$D$2:$D$2427,IF(ISNUMBER($X$2:$X$2427),1)))),0),""),0)</f>
        <v/>
      </c>
      <c r="Z1848" s="104" t="str">
        <f>IF(ISNUMBER(O1848),IF(I1848&gt;0,(10^(VLOOKUP(D1848,'Species Codes'!B:C,2,0)+VLOOKUP(D1848,'Species Codes'!B:D,3,0)*LOG(E1848)+VLOOKUP(D1848,'Species Codes'!B:E,4,0)*LOG(I1848))),0),"")</f>
        <v/>
      </c>
      <c r="AA1848" s="104" t="str">
        <f>IFERROR((VLOOKUP(D1848,'Species Codes'!B:G,6,0)*Z1848)/2000,"")</f>
        <v/>
      </c>
      <c r="AB1848" s="104" t="e">
        <f>IF(Z1848&gt;0,((IF(OR(D1848="DF",D1848="RA")=TRUE,EXP(VLOOKUP(D1848,'Species Codes'!B:I,8,0)+VLOOKUP(D1848,'Species Codes'!B:J,9,0)*(LN((E1848*2.54)))),IF(OR(D1848="PY",D1848="RC",D1848="WH",D1848="NF")=TRUE,VLOOKUP(D1848,'Species Codes'!B:I,8,0)+VLOOKUP(D1848,'Species Codes'!B:J,9,0)*((E1848*2.54)^2)*(I1848*0.3048),IF(OR(D1848="MD",D1848="BM",D1848="GA")=TRUE,((VLOOKUP(D1848,'Species Codes'!B:I,8,0)*(((((E1848*2.54)+VLOOKUP(D1848,'Species Codes'!B:J,9,0))/VLOOKUP(D1848,'Species Codes'!B:K,10,0))^VLOOKUP(D1848,'Species Codes'!B:L,11,0))*((I1848*0.3048)^VLOOKUP(D1848,'Species Codes'!B:M,12,0))))-(VLOOKUP(D1848,'Species Codes'!B:I,8,0)*((((E1848*2.54)^VLOOKUP(D1848,'Species Codes'!B:L,11,0))*((I1848*0.3048)^VLOOKUP(D1848,'Species Codes'!B:M,12,0))))))*35.3*VLOOKUP(D1848,'Species Codes'!B:G,6,0)/2.2046,VLOOKUP(D1848,'Species Codes'!B:I,8,0)+VLOOKUP(D1848,'Species Codes'!B:J,9,0)*(((E1848*2.54)/100)^2)*(I1848*0.3048)))))*0.0011023),0)</f>
        <v>#N/A</v>
      </c>
      <c r="AC1848" s="104" t="e">
        <f>IF(Z1848&gt;0,((IF(OR(D1848="RA",D1848="OA",D1848="OT",D1848="UN",D1848="PC"),EXP(VLOOKUP(D1848,'Species Codes'!B:O,14,0)+VLOOKUP(D1848,'Species Codes'!B:P,15,0)*LN((E1848*2.54)))-EXP(VLOOKUP(D1848,'Species Codes'!B:O,14,0)+VLOOKUP(D1848,'Species Codes'!B:P,15,0)*LN((E1848*2.54)))*(1/(VLOOKUP(D1848,'Species Codes'!B:Q,16,0)+VLOOKUP(D1848,'Species Codes'!B:R,17,0)*((E1848*2.54)^VLOOKUP(D1848,'Species Codes'!B:S,18,0)))),IF(OR(D1848="BM",D1848="MD",D1848="OA"),EXP(VLOOKUP(D1848,'Species Codes'!B:O,14,0)+VLOOKUP(D1848,'Species Codes'!B:P,15,0)*LN((E1848*2.54)))*(1-(1/(VLOOKUP(D1848,'Species Codes'!B:Q,16,0)+VLOOKUP(D1848,'Species Codes'!B:R,17,0)*((E1848*2.54)^VLOOKUP(D1848,'Species Codes'!B:S,18,0)))))/1000,IF(D1848="DF",EXP(VLOOKUP(D1848,'Species Codes'!B:O,14,0)+VLOOKUP(D1848,'Species Codes'!B:P,15,0)*LN((E1848*2.54))),VLOOKUP(D1848,'Species Codes'!B:O,14,0)+VLOOKUP(D1848,'Species Codes'!B:P,15,0)*(((E1848*2.54)/100)^2)*(I1848*0.3048)))))*0.0011023),0)</f>
        <v>#N/A</v>
      </c>
      <c r="AD1848" s="104" t="e">
        <f t="shared" si="814"/>
        <v>#N/A</v>
      </c>
      <c r="AE1848" s="104" t="e">
        <f t="shared" si="815"/>
        <v>#N/A</v>
      </c>
      <c r="AF1848" s="104" t="e">
        <f>IF(AND(VLOOKUP($D1848,Merchantability!$B:$C,2,0)="Yes",$E1848&gt;=VLOOKUP($D1848,Merchantability!$B:$D,3,0),$E1848&lt;=VLOOKUP($D1848,Merchantability!$B:$E,4,0)),AA1848,0)</f>
        <v>#N/A</v>
      </c>
      <c r="AG1848" s="104" t="e">
        <f>IF(AND(VLOOKUP($D1848,Merchantability!$B:$C,2,0)="Yes",$E1848&gt;=VLOOKUP($D1848,Merchantability!$B:$D,3,0),$E1848&lt;=VLOOKUP($D1848,Merchantability!$B:$E,4,0)),AB1848,0)</f>
        <v>#N/A</v>
      </c>
      <c r="AH1848" s="104" t="e">
        <f>IF(AND(VLOOKUP($D1848,Merchantability!$B:$C,2,0)="Yes",$E1848&gt;=VLOOKUP($D1848,Merchantability!$B:$D,3,0),$E1848&lt;=VLOOKUP($D1848,Merchantability!$B:$E,4,0)),AC1848,0)</f>
        <v>#N/A</v>
      </c>
      <c r="AI1848" s="104" t="e">
        <f t="shared" si="816"/>
        <v>#N/A</v>
      </c>
      <c r="AJ1848" s="104" t="e">
        <f t="shared" si="817"/>
        <v>#VALUE!</v>
      </c>
      <c r="AK1848" s="104" t="e">
        <f t="shared" si="818"/>
        <v>#N/A</v>
      </c>
      <c r="AL1848" s="104" t="e">
        <f t="shared" si="819"/>
        <v>#N/A</v>
      </c>
      <c r="AM1848" s="104" t="e">
        <f t="shared" si="820"/>
        <v>#N/A</v>
      </c>
      <c r="AN1848" s="104" t="e">
        <f t="shared" si="804"/>
        <v>#N/A</v>
      </c>
      <c r="AO1848" s="104" t="e">
        <f t="shared" si="805"/>
        <v>#N/A</v>
      </c>
      <c r="AP1848" s="104" t="e">
        <f t="shared" si="806"/>
        <v>#N/A</v>
      </c>
      <c r="AQ1848" s="104" t="e">
        <f t="shared" si="807"/>
        <v>#N/A</v>
      </c>
      <c r="AR1848" s="105" t="str">
        <f t="shared" si="799"/>
        <v/>
      </c>
      <c r="AS1848" s="105" t="str">
        <f t="shared" si="800"/>
        <v/>
      </c>
      <c r="AT1848" s="108" t="str">
        <f t="shared" si="801"/>
        <v/>
      </c>
      <c r="AU1848" s="108" t="str">
        <f t="shared" si="802"/>
        <v/>
      </c>
      <c r="AV1848" s="107" t="str">
        <f>IF(ISNUMBER(O1848),IF(VLOOKUP($A1848,Stand!C:J,8,FALSE)="Short",AT1848,AU1848),"")</f>
        <v/>
      </c>
      <c r="AW1848" s="109" t="str">
        <f t="shared" si="808"/>
        <v/>
      </c>
      <c r="AX1848" s="109" t="str">
        <f t="shared" si="809"/>
        <v/>
      </c>
      <c r="AY1848" s="112" t="str">
        <f>IF(ISNUMBER(O1848),IF(AND(VLOOKUP($D1848,Merchantability!$B:$C,2,0)="Yes",$E1848&gt;=VLOOKUP($D1848,Merchantability!$B:$D,3,0),$E1848&lt;=VLOOKUP($D1848,Merchantability!$B:$E,4,0)),(AV1848*O1848)*(1-$H1848/100),""),"")</f>
        <v/>
      </c>
      <c r="AZ1848" s="116"/>
      <c r="BA1848" s="116"/>
      <c r="BB1848" s="116"/>
      <c r="BE1848" s="62"/>
      <c r="BF1848" s="63"/>
    </row>
    <row r="1849" spans="1:58" ht="12.75" customHeight="1" x14ac:dyDescent="0.25">
      <c r="A1849" s="334"/>
      <c r="B1849" s="334"/>
      <c r="C1849" s="332"/>
      <c r="D1849" s="334"/>
      <c r="E1849" s="335"/>
      <c r="F1849" s="334"/>
      <c r="G1849" s="332"/>
      <c r="H1849" s="332"/>
      <c r="I1849" s="334"/>
      <c r="J1849" s="336"/>
      <c r="K1849" s="332"/>
      <c r="L1849" s="332"/>
      <c r="M1849" s="76"/>
      <c r="N1849" s="103" t="str">
        <f>IF(A1849="","",VLOOKUP(A1849,Stand!C:K,9,0))</f>
        <v/>
      </c>
      <c r="O1849" s="104" t="str">
        <f t="shared" si="794"/>
        <v/>
      </c>
      <c r="P1849" s="105" t="str">
        <f t="shared" si="795"/>
        <v/>
      </c>
      <c r="Q1849" s="105" t="str">
        <f t="shared" si="810"/>
        <v/>
      </c>
      <c r="R1849" s="103" t="str">
        <f t="shared" si="796"/>
        <v/>
      </c>
      <c r="S1849" s="103" t="str">
        <f t="shared" si="797"/>
        <v/>
      </c>
      <c r="T1849" s="106" t="str">
        <f t="shared" si="811"/>
        <v/>
      </c>
      <c r="U1849" s="106" t="str">
        <f t="shared" si="812"/>
        <v/>
      </c>
      <c r="V1849" s="106" t="str">
        <f t="shared" si="813"/>
        <v/>
      </c>
      <c r="W1849" s="105" t="str">
        <f t="shared" si="798"/>
        <v/>
      </c>
      <c r="X1849" s="104" t="str">
        <f t="shared" si="803"/>
        <v/>
      </c>
      <c r="Y1849" s="104" t="str">
        <f t="array" ref="Y1849">IFERROR(IF(ISNUMBER(O1849),IF(COUNT(IF(A1849=$A$2:$A$2427,IF(D1849=$D$2:$D$2427,IF($X$2:$X$2427&gt;0,1))))&gt;0,SUM(IF(A1849=$A$2:$A$2427,IF(D1849=$D$2:$D$2427,$X$2:$X$2427)))/COUNT(IF(A1849=$A$2:$A$2427,IF(D1849=$D$2:$D$2427,IF(ISNUMBER($X$2:$X$2427),1)))),0),""),0)</f>
        <v/>
      </c>
      <c r="Z1849" s="104" t="str">
        <f>IF(ISNUMBER(O1849),IF(I1849&gt;0,(10^(VLOOKUP(D1849,'Species Codes'!B:C,2,0)+VLOOKUP(D1849,'Species Codes'!B:D,3,0)*LOG(E1849)+VLOOKUP(D1849,'Species Codes'!B:E,4,0)*LOG(I1849))),0),"")</f>
        <v/>
      </c>
      <c r="AA1849" s="104" t="str">
        <f>IFERROR((VLOOKUP(D1849,'Species Codes'!B:G,6,0)*Z1849)/2000,"")</f>
        <v/>
      </c>
      <c r="AB1849" s="104" t="e">
        <f>IF(Z1849&gt;0,((IF(OR(D1849="DF",D1849="RA")=TRUE,EXP(VLOOKUP(D1849,'Species Codes'!B:I,8,0)+VLOOKUP(D1849,'Species Codes'!B:J,9,0)*(LN((E1849*2.54)))),IF(OR(D1849="PY",D1849="RC",D1849="WH",D1849="NF")=TRUE,VLOOKUP(D1849,'Species Codes'!B:I,8,0)+VLOOKUP(D1849,'Species Codes'!B:J,9,0)*((E1849*2.54)^2)*(I1849*0.3048),IF(OR(D1849="MD",D1849="BM",D1849="GA")=TRUE,((VLOOKUP(D1849,'Species Codes'!B:I,8,0)*(((((E1849*2.54)+VLOOKUP(D1849,'Species Codes'!B:J,9,0))/VLOOKUP(D1849,'Species Codes'!B:K,10,0))^VLOOKUP(D1849,'Species Codes'!B:L,11,0))*((I1849*0.3048)^VLOOKUP(D1849,'Species Codes'!B:M,12,0))))-(VLOOKUP(D1849,'Species Codes'!B:I,8,0)*((((E1849*2.54)^VLOOKUP(D1849,'Species Codes'!B:L,11,0))*((I1849*0.3048)^VLOOKUP(D1849,'Species Codes'!B:M,12,0))))))*35.3*VLOOKUP(D1849,'Species Codes'!B:G,6,0)/2.2046,VLOOKUP(D1849,'Species Codes'!B:I,8,0)+VLOOKUP(D1849,'Species Codes'!B:J,9,0)*(((E1849*2.54)/100)^2)*(I1849*0.3048)))))*0.0011023),0)</f>
        <v>#N/A</v>
      </c>
      <c r="AC1849" s="104" t="e">
        <f>IF(Z1849&gt;0,((IF(OR(D1849="RA",D1849="OA",D1849="OT",D1849="UN",D1849="PC"),EXP(VLOOKUP(D1849,'Species Codes'!B:O,14,0)+VLOOKUP(D1849,'Species Codes'!B:P,15,0)*LN((E1849*2.54)))-EXP(VLOOKUP(D1849,'Species Codes'!B:O,14,0)+VLOOKUP(D1849,'Species Codes'!B:P,15,0)*LN((E1849*2.54)))*(1/(VLOOKUP(D1849,'Species Codes'!B:Q,16,0)+VLOOKUP(D1849,'Species Codes'!B:R,17,0)*((E1849*2.54)^VLOOKUP(D1849,'Species Codes'!B:S,18,0)))),IF(OR(D1849="BM",D1849="MD",D1849="OA"),EXP(VLOOKUP(D1849,'Species Codes'!B:O,14,0)+VLOOKUP(D1849,'Species Codes'!B:P,15,0)*LN((E1849*2.54)))*(1-(1/(VLOOKUP(D1849,'Species Codes'!B:Q,16,0)+VLOOKUP(D1849,'Species Codes'!B:R,17,0)*((E1849*2.54)^VLOOKUP(D1849,'Species Codes'!B:S,18,0)))))/1000,IF(D1849="DF",EXP(VLOOKUP(D1849,'Species Codes'!B:O,14,0)+VLOOKUP(D1849,'Species Codes'!B:P,15,0)*LN((E1849*2.54))),VLOOKUP(D1849,'Species Codes'!B:O,14,0)+VLOOKUP(D1849,'Species Codes'!B:P,15,0)*(((E1849*2.54)/100)^2)*(I1849*0.3048)))))*0.0011023),0)</f>
        <v>#N/A</v>
      </c>
      <c r="AD1849" s="104" t="e">
        <f t="shared" si="814"/>
        <v>#N/A</v>
      </c>
      <c r="AE1849" s="104" t="e">
        <f t="shared" si="815"/>
        <v>#N/A</v>
      </c>
      <c r="AF1849" s="104" t="e">
        <f>IF(AND(VLOOKUP($D1849,Merchantability!$B:$C,2,0)="Yes",$E1849&gt;=VLOOKUP($D1849,Merchantability!$B:$D,3,0),$E1849&lt;=VLOOKUP($D1849,Merchantability!$B:$E,4,0)),AA1849,0)</f>
        <v>#N/A</v>
      </c>
      <c r="AG1849" s="104" t="e">
        <f>IF(AND(VLOOKUP($D1849,Merchantability!$B:$C,2,0)="Yes",$E1849&gt;=VLOOKUP($D1849,Merchantability!$B:$D,3,0),$E1849&lt;=VLOOKUP($D1849,Merchantability!$B:$E,4,0)),AB1849,0)</f>
        <v>#N/A</v>
      </c>
      <c r="AH1849" s="104" t="e">
        <f>IF(AND(VLOOKUP($D1849,Merchantability!$B:$C,2,0)="Yes",$E1849&gt;=VLOOKUP($D1849,Merchantability!$B:$D,3,0),$E1849&lt;=VLOOKUP($D1849,Merchantability!$B:$E,4,0)),AC1849,0)</f>
        <v>#N/A</v>
      </c>
      <c r="AI1849" s="104" t="e">
        <f t="shared" si="816"/>
        <v>#N/A</v>
      </c>
      <c r="AJ1849" s="104" t="e">
        <f t="shared" si="817"/>
        <v>#VALUE!</v>
      </c>
      <c r="AK1849" s="104" t="e">
        <f t="shared" si="818"/>
        <v>#N/A</v>
      </c>
      <c r="AL1849" s="104" t="e">
        <f t="shared" si="819"/>
        <v>#N/A</v>
      </c>
      <c r="AM1849" s="104" t="e">
        <f t="shared" si="820"/>
        <v>#N/A</v>
      </c>
      <c r="AN1849" s="104" t="e">
        <f t="shared" si="804"/>
        <v>#N/A</v>
      </c>
      <c r="AO1849" s="104" t="e">
        <f t="shared" si="805"/>
        <v>#N/A</v>
      </c>
      <c r="AP1849" s="104" t="e">
        <f t="shared" si="806"/>
        <v>#N/A</v>
      </c>
      <c r="AQ1849" s="104" t="e">
        <f t="shared" si="807"/>
        <v>#N/A</v>
      </c>
      <c r="AR1849" s="105" t="str">
        <f t="shared" si="799"/>
        <v/>
      </c>
      <c r="AS1849" s="105" t="str">
        <f t="shared" si="800"/>
        <v/>
      </c>
      <c r="AT1849" s="108" t="str">
        <f t="shared" si="801"/>
        <v/>
      </c>
      <c r="AU1849" s="108" t="str">
        <f t="shared" si="802"/>
        <v/>
      </c>
      <c r="AV1849" s="107" t="str">
        <f>IF(ISNUMBER(O1849),IF(VLOOKUP($A1849,Stand!C:J,8,FALSE)="Short",AT1849,AU1849),"")</f>
        <v/>
      </c>
      <c r="AW1849" s="109" t="str">
        <f t="shared" si="808"/>
        <v/>
      </c>
      <c r="AX1849" s="109" t="str">
        <f t="shared" si="809"/>
        <v/>
      </c>
      <c r="AY1849" s="112" t="str">
        <f>IF(ISNUMBER(O1849),IF(AND(VLOOKUP($D1849,Merchantability!$B:$C,2,0)="Yes",$E1849&gt;=VLOOKUP($D1849,Merchantability!$B:$D,3,0),$E1849&lt;=VLOOKUP($D1849,Merchantability!$B:$E,4,0)),(AV1849*O1849)*(1-$H1849/100),""),"")</f>
        <v/>
      </c>
      <c r="AZ1849" s="116"/>
      <c r="BA1849" s="116"/>
      <c r="BB1849" s="116"/>
      <c r="BE1849" s="62"/>
      <c r="BF1849" s="63"/>
    </row>
    <row r="1850" spans="1:58" ht="12.75" customHeight="1" x14ac:dyDescent="0.25">
      <c r="A1850" s="334"/>
      <c r="B1850" s="334"/>
      <c r="C1850" s="332"/>
      <c r="D1850" s="334"/>
      <c r="E1850" s="335"/>
      <c r="F1850" s="334"/>
      <c r="G1850" s="332"/>
      <c r="H1850" s="332"/>
      <c r="I1850" s="334"/>
      <c r="J1850" s="336"/>
      <c r="K1850" s="332"/>
      <c r="L1850" s="332"/>
      <c r="M1850" s="76"/>
      <c r="N1850" s="103" t="str">
        <f>IF(A1850="","",VLOOKUP(A1850,Stand!C:K,9,0))</f>
        <v/>
      </c>
      <c r="O1850" s="104" t="str">
        <f t="shared" si="794"/>
        <v/>
      </c>
      <c r="P1850" s="105" t="str">
        <f t="shared" si="795"/>
        <v/>
      </c>
      <c r="Q1850" s="105" t="str">
        <f t="shared" si="810"/>
        <v/>
      </c>
      <c r="R1850" s="103" t="str">
        <f t="shared" si="796"/>
        <v/>
      </c>
      <c r="S1850" s="103" t="str">
        <f t="shared" si="797"/>
        <v/>
      </c>
      <c r="T1850" s="106" t="str">
        <f t="shared" si="811"/>
        <v/>
      </c>
      <c r="U1850" s="106" t="str">
        <f t="shared" si="812"/>
        <v/>
      </c>
      <c r="V1850" s="106" t="str">
        <f t="shared" si="813"/>
        <v/>
      </c>
      <c r="W1850" s="105" t="str">
        <f t="shared" si="798"/>
        <v/>
      </c>
      <c r="X1850" s="104" t="str">
        <f t="shared" si="803"/>
        <v/>
      </c>
      <c r="Y1850" s="104" t="str">
        <f t="array" ref="Y1850">IFERROR(IF(ISNUMBER(O1850),IF(COUNT(IF(A1850=$A$2:$A$2427,IF(D1850=$D$2:$D$2427,IF($X$2:$X$2427&gt;0,1))))&gt;0,SUM(IF(A1850=$A$2:$A$2427,IF(D1850=$D$2:$D$2427,$X$2:$X$2427)))/COUNT(IF(A1850=$A$2:$A$2427,IF(D1850=$D$2:$D$2427,IF(ISNUMBER($X$2:$X$2427),1)))),0),""),0)</f>
        <v/>
      </c>
      <c r="Z1850" s="104" t="str">
        <f>IF(ISNUMBER(O1850),IF(I1850&gt;0,(10^(VLOOKUP(D1850,'Species Codes'!B:C,2,0)+VLOOKUP(D1850,'Species Codes'!B:D,3,0)*LOG(E1850)+VLOOKUP(D1850,'Species Codes'!B:E,4,0)*LOG(I1850))),0),"")</f>
        <v/>
      </c>
      <c r="AA1850" s="104" t="str">
        <f>IFERROR((VLOOKUP(D1850,'Species Codes'!B:G,6,0)*Z1850)/2000,"")</f>
        <v/>
      </c>
      <c r="AB1850" s="104" t="e">
        <f>IF(Z1850&gt;0,((IF(OR(D1850="DF",D1850="RA")=TRUE,EXP(VLOOKUP(D1850,'Species Codes'!B:I,8,0)+VLOOKUP(D1850,'Species Codes'!B:J,9,0)*(LN((E1850*2.54)))),IF(OR(D1850="PY",D1850="RC",D1850="WH",D1850="NF")=TRUE,VLOOKUP(D1850,'Species Codes'!B:I,8,0)+VLOOKUP(D1850,'Species Codes'!B:J,9,0)*((E1850*2.54)^2)*(I1850*0.3048),IF(OR(D1850="MD",D1850="BM",D1850="GA")=TRUE,((VLOOKUP(D1850,'Species Codes'!B:I,8,0)*(((((E1850*2.54)+VLOOKUP(D1850,'Species Codes'!B:J,9,0))/VLOOKUP(D1850,'Species Codes'!B:K,10,0))^VLOOKUP(D1850,'Species Codes'!B:L,11,0))*((I1850*0.3048)^VLOOKUP(D1850,'Species Codes'!B:M,12,0))))-(VLOOKUP(D1850,'Species Codes'!B:I,8,0)*((((E1850*2.54)^VLOOKUP(D1850,'Species Codes'!B:L,11,0))*((I1850*0.3048)^VLOOKUP(D1850,'Species Codes'!B:M,12,0))))))*35.3*VLOOKUP(D1850,'Species Codes'!B:G,6,0)/2.2046,VLOOKUP(D1850,'Species Codes'!B:I,8,0)+VLOOKUP(D1850,'Species Codes'!B:J,9,0)*(((E1850*2.54)/100)^2)*(I1850*0.3048)))))*0.0011023),0)</f>
        <v>#N/A</v>
      </c>
      <c r="AC1850" s="104" t="e">
        <f>IF(Z1850&gt;0,((IF(OR(D1850="RA",D1850="OA",D1850="OT",D1850="UN",D1850="PC"),EXP(VLOOKUP(D1850,'Species Codes'!B:O,14,0)+VLOOKUP(D1850,'Species Codes'!B:P,15,0)*LN((E1850*2.54)))-EXP(VLOOKUP(D1850,'Species Codes'!B:O,14,0)+VLOOKUP(D1850,'Species Codes'!B:P,15,0)*LN((E1850*2.54)))*(1/(VLOOKUP(D1850,'Species Codes'!B:Q,16,0)+VLOOKUP(D1850,'Species Codes'!B:R,17,0)*((E1850*2.54)^VLOOKUP(D1850,'Species Codes'!B:S,18,0)))),IF(OR(D1850="BM",D1850="MD",D1850="OA"),EXP(VLOOKUP(D1850,'Species Codes'!B:O,14,0)+VLOOKUP(D1850,'Species Codes'!B:P,15,0)*LN((E1850*2.54)))*(1-(1/(VLOOKUP(D1850,'Species Codes'!B:Q,16,0)+VLOOKUP(D1850,'Species Codes'!B:R,17,0)*((E1850*2.54)^VLOOKUP(D1850,'Species Codes'!B:S,18,0)))))/1000,IF(D1850="DF",EXP(VLOOKUP(D1850,'Species Codes'!B:O,14,0)+VLOOKUP(D1850,'Species Codes'!B:P,15,0)*LN((E1850*2.54))),VLOOKUP(D1850,'Species Codes'!B:O,14,0)+VLOOKUP(D1850,'Species Codes'!B:P,15,0)*(((E1850*2.54)/100)^2)*(I1850*0.3048)))))*0.0011023),0)</f>
        <v>#N/A</v>
      </c>
      <c r="AD1850" s="104" t="e">
        <f t="shared" si="814"/>
        <v>#N/A</v>
      </c>
      <c r="AE1850" s="104" t="e">
        <f t="shared" si="815"/>
        <v>#N/A</v>
      </c>
      <c r="AF1850" s="104" t="e">
        <f>IF(AND(VLOOKUP($D1850,Merchantability!$B:$C,2,0)="Yes",$E1850&gt;=VLOOKUP($D1850,Merchantability!$B:$D,3,0),$E1850&lt;=VLOOKUP($D1850,Merchantability!$B:$E,4,0)),AA1850,0)</f>
        <v>#N/A</v>
      </c>
      <c r="AG1850" s="104" t="e">
        <f>IF(AND(VLOOKUP($D1850,Merchantability!$B:$C,2,0)="Yes",$E1850&gt;=VLOOKUP($D1850,Merchantability!$B:$D,3,0),$E1850&lt;=VLOOKUP($D1850,Merchantability!$B:$E,4,0)),AB1850,0)</f>
        <v>#N/A</v>
      </c>
      <c r="AH1850" s="104" t="e">
        <f>IF(AND(VLOOKUP($D1850,Merchantability!$B:$C,2,0)="Yes",$E1850&gt;=VLOOKUP($D1850,Merchantability!$B:$D,3,0),$E1850&lt;=VLOOKUP($D1850,Merchantability!$B:$E,4,0)),AC1850,0)</f>
        <v>#N/A</v>
      </c>
      <c r="AI1850" s="104" t="e">
        <f t="shared" si="816"/>
        <v>#N/A</v>
      </c>
      <c r="AJ1850" s="104" t="e">
        <f t="shared" si="817"/>
        <v>#VALUE!</v>
      </c>
      <c r="AK1850" s="104" t="e">
        <f t="shared" si="818"/>
        <v>#N/A</v>
      </c>
      <c r="AL1850" s="104" t="e">
        <f t="shared" si="819"/>
        <v>#N/A</v>
      </c>
      <c r="AM1850" s="104" t="e">
        <f t="shared" si="820"/>
        <v>#N/A</v>
      </c>
      <c r="AN1850" s="104" t="e">
        <f t="shared" si="804"/>
        <v>#N/A</v>
      </c>
      <c r="AO1850" s="104" t="e">
        <f t="shared" si="805"/>
        <v>#N/A</v>
      </c>
      <c r="AP1850" s="104" t="e">
        <f t="shared" si="806"/>
        <v>#N/A</v>
      </c>
      <c r="AQ1850" s="104" t="e">
        <f t="shared" si="807"/>
        <v>#N/A</v>
      </c>
      <c r="AR1850" s="105" t="str">
        <f t="shared" si="799"/>
        <v/>
      </c>
      <c r="AS1850" s="105" t="str">
        <f t="shared" si="800"/>
        <v/>
      </c>
      <c r="AT1850" s="108" t="str">
        <f t="shared" si="801"/>
        <v/>
      </c>
      <c r="AU1850" s="108" t="str">
        <f t="shared" si="802"/>
        <v/>
      </c>
      <c r="AV1850" s="107" t="str">
        <f>IF(ISNUMBER(O1850),IF(VLOOKUP($A1850,Stand!C:J,8,FALSE)="Short",AT1850,AU1850),"")</f>
        <v/>
      </c>
      <c r="AW1850" s="109" t="str">
        <f t="shared" si="808"/>
        <v/>
      </c>
      <c r="AX1850" s="109" t="str">
        <f t="shared" si="809"/>
        <v/>
      </c>
      <c r="AY1850" s="112" t="str">
        <f>IF(ISNUMBER(O1850),IF(AND(VLOOKUP($D1850,Merchantability!$B:$C,2,0)="Yes",$E1850&gt;=VLOOKUP($D1850,Merchantability!$B:$D,3,0),$E1850&lt;=VLOOKUP($D1850,Merchantability!$B:$E,4,0)),(AV1850*O1850)*(1-$H1850/100),""),"")</f>
        <v/>
      </c>
      <c r="AZ1850" s="116"/>
      <c r="BA1850" s="116"/>
      <c r="BB1850" s="116"/>
      <c r="BE1850" s="62"/>
      <c r="BF1850" s="63"/>
    </row>
    <row r="1851" spans="1:58" ht="12.75" customHeight="1" x14ac:dyDescent="0.25">
      <c r="A1851" s="334"/>
      <c r="B1851" s="334"/>
      <c r="C1851" s="332"/>
      <c r="D1851" s="334"/>
      <c r="E1851" s="335"/>
      <c r="F1851" s="334"/>
      <c r="G1851" s="332"/>
      <c r="H1851" s="332"/>
      <c r="I1851" s="334"/>
      <c r="J1851" s="336"/>
      <c r="K1851" s="332"/>
      <c r="L1851" s="332"/>
      <c r="M1851" s="76"/>
      <c r="N1851" s="103" t="str">
        <f>IF(A1851="","",VLOOKUP(A1851,Stand!C:K,9,0))</f>
        <v/>
      </c>
      <c r="O1851" s="104" t="str">
        <f t="shared" si="794"/>
        <v/>
      </c>
      <c r="P1851" s="105" t="str">
        <f t="shared" si="795"/>
        <v/>
      </c>
      <c r="Q1851" s="105" t="str">
        <f t="shared" si="810"/>
        <v/>
      </c>
      <c r="R1851" s="103" t="str">
        <f t="shared" si="796"/>
        <v/>
      </c>
      <c r="S1851" s="103" t="str">
        <f t="shared" si="797"/>
        <v/>
      </c>
      <c r="T1851" s="106" t="str">
        <f t="shared" si="811"/>
        <v/>
      </c>
      <c r="U1851" s="106" t="str">
        <f t="shared" si="812"/>
        <v/>
      </c>
      <c r="V1851" s="106" t="str">
        <f t="shared" si="813"/>
        <v/>
      </c>
      <c r="W1851" s="105" t="str">
        <f t="shared" si="798"/>
        <v/>
      </c>
      <c r="X1851" s="104" t="str">
        <f t="shared" si="803"/>
        <v/>
      </c>
      <c r="Y1851" s="104" t="str">
        <f t="array" ref="Y1851">IFERROR(IF(ISNUMBER(O1851),IF(COUNT(IF(A1851=$A$2:$A$2427,IF(D1851=$D$2:$D$2427,IF($X$2:$X$2427&gt;0,1))))&gt;0,SUM(IF(A1851=$A$2:$A$2427,IF(D1851=$D$2:$D$2427,$X$2:$X$2427)))/COUNT(IF(A1851=$A$2:$A$2427,IF(D1851=$D$2:$D$2427,IF(ISNUMBER($X$2:$X$2427),1)))),0),""),0)</f>
        <v/>
      </c>
      <c r="Z1851" s="104" t="str">
        <f>IF(ISNUMBER(O1851),IF(I1851&gt;0,(10^(VLOOKUP(D1851,'Species Codes'!B:C,2,0)+VLOOKUP(D1851,'Species Codes'!B:D,3,0)*LOG(E1851)+VLOOKUP(D1851,'Species Codes'!B:E,4,0)*LOG(I1851))),0),"")</f>
        <v/>
      </c>
      <c r="AA1851" s="104" t="str">
        <f>IFERROR((VLOOKUP(D1851,'Species Codes'!B:G,6,0)*Z1851)/2000,"")</f>
        <v/>
      </c>
      <c r="AB1851" s="104" t="e">
        <f>IF(Z1851&gt;0,((IF(OR(D1851="DF",D1851="RA")=TRUE,EXP(VLOOKUP(D1851,'Species Codes'!B:I,8,0)+VLOOKUP(D1851,'Species Codes'!B:J,9,0)*(LN((E1851*2.54)))),IF(OR(D1851="PY",D1851="RC",D1851="WH",D1851="NF")=TRUE,VLOOKUP(D1851,'Species Codes'!B:I,8,0)+VLOOKUP(D1851,'Species Codes'!B:J,9,0)*((E1851*2.54)^2)*(I1851*0.3048),IF(OR(D1851="MD",D1851="BM",D1851="GA")=TRUE,((VLOOKUP(D1851,'Species Codes'!B:I,8,0)*(((((E1851*2.54)+VLOOKUP(D1851,'Species Codes'!B:J,9,0))/VLOOKUP(D1851,'Species Codes'!B:K,10,0))^VLOOKUP(D1851,'Species Codes'!B:L,11,0))*((I1851*0.3048)^VLOOKUP(D1851,'Species Codes'!B:M,12,0))))-(VLOOKUP(D1851,'Species Codes'!B:I,8,0)*((((E1851*2.54)^VLOOKUP(D1851,'Species Codes'!B:L,11,0))*((I1851*0.3048)^VLOOKUP(D1851,'Species Codes'!B:M,12,0))))))*35.3*VLOOKUP(D1851,'Species Codes'!B:G,6,0)/2.2046,VLOOKUP(D1851,'Species Codes'!B:I,8,0)+VLOOKUP(D1851,'Species Codes'!B:J,9,0)*(((E1851*2.54)/100)^2)*(I1851*0.3048)))))*0.0011023),0)</f>
        <v>#N/A</v>
      </c>
      <c r="AC1851" s="104" t="e">
        <f>IF(Z1851&gt;0,((IF(OR(D1851="RA",D1851="OA",D1851="OT",D1851="UN",D1851="PC"),EXP(VLOOKUP(D1851,'Species Codes'!B:O,14,0)+VLOOKUP(D1851,'Species Codes'!B:P,15,0)*LN((E1851*2.54)))-EXP(VLOOKUP(D1851,'Species Codes'!B:O,14,0)+VLOOKUP(D1851,'Species Codes'!B:P,15,0)*LN((E1851*2.54)))*(1/(VLOOKUP(D1851,'Species Codes'!B:Q,16,0)+VLOOKUP(D1851,'Species Codes'!B:R,17,0)*((E1851*2.54)^VLOOKUP(D1851,'Species Codes'!B:S,18,0)))),IF(OR(D1851="BM",D1851="MD",D1851="OA"),EXP(VLOOKUP(D1851,'Species Codes'!B:O,14,0)+VLOOKUP(D1851,'Species Codes'!B:P,15,0)*LN((E1851*2.54)))*(1-(1/(VLOOKUP(D1851,'Species Codes'!B:Q,16,0)+VLOOKUP(D1851,'Species Codes'!B:R,17,0)*((E1851*2.54)^VLOOKUP(D1851,'Species Codes'!B:S,18,0)))))/1000,IF(D1851="DF",EXP(VLOOKUP(D1851,'Species Codes'!B:O,14,0)+VLOOKUP(D1851,'Species Codes'!B:P,15,0)*LN((E1851*2.54))),VLOOKUP(D1851,'Species Codes'!B:O,14,0)+VLOOKUP(D1851,'Species Codes'!B:P,15,0)*(((E1851*2.54)/100)^2)*(I1851*0.3048)))))*0.0011023),0)</f>
        <v>#N/A</v>
      </c>
      <c r="AD1851" s="104" t="e">
        <f t="shared" si="814"/>
        <v>#N/A</v>
      </c>
      <c r="AE1851" s="104" t="e">
        <f t="shared" si="815"/>
        <v>#N/A</v>
      </c>
      <c r="AF1851" s="104" t="e">
        <f>IF(AND(VLOOKUP($D1851,Merchantability!$B:$C,2,0)="Yes",$E1851&gt;=VLOOKUP($D1851,Merchantability!$B:$D,3,0),$E1851&lt;=VLOOKUP($D1851,Merchantability!$B:$E,4,0)),AA1851,0)</f>
        <v>#N/A</v>
      </c>
      <c r="AG1851" s="104" t="e">
        <f>IF(AND(VLOOKUP($D1851,Merchantability!$B:$C,2,0)="Yes",$E1851&gt;=VLOOKUP($D1851,Merchantability!$B:$D,3,0),$E1851&lt;=VLOOKUP($D1851,Merchantability!$B:$E,4,0)),AB1851,0)</f>
        <v>#N/A</v>
      </c>
      <c r="AH1851" s="104" t="e">
        <f>IF(AND(VLOOKUP($D1851,Merchantability!$B:$C,2,0)="Yes",$E1851&gt;=VLOOKUP($D1851,Merchantability!$B:$D,3,0),$E1851&lt;=VLOOKUP($D1851,Merchantability!$B:$E,4,0)),AC1851,0)</f>
        <v>#N/A</v>
      </c>
      <c r="AI1851" s="104" t="e">
        <f t="shared" si="816"/>
        <v>#N/A</v>
      </c>
      <c r="AJ1851" s="104" t="e">
        <f t="shared" si="817"/>
        <v>#VALUE!</v>
      </c>
      <c r="AK1851" s="104" t="e">
        <f t="shared" si="818"/>
        <v>#N/A</v>
      </c>
      <c r="AL1851" s="104" t="e">
        <f t="shared" si="819"/>
        <v>#N/A</v>
      </c>
      <c r="AM1851" s="104" t="e">
        <f t="shared" si="820"/>
        <v>#N/A</v>
      </c>
      <c r="AN1851" s="104" t="e">
        <f t="shared" si="804"/>
        <v>#N/A</v>
      </c>
      <c r="AO1851" s="104" t="e">
        <f t="shared" si="805"/>
        <v>#N/A</v>
      </c>
      <c r="AP1851" s="104" t="e">
        <f t="shared" si="806"/>
        <v>#N/A</v>
      </c>
      <c r="AQ1851" s="104" t="e">
        <f t="shared" si="807"/>
        <v>#N/A</v>
      </c>
      <c r="AR1851" s="105" t="str">
        <f t="shared" si="799"/>
        <v/>
      </c>
      <c r="AS1851" s="105" t="str">
        <f t="shared" si="800"/>
        <v/>
      </c>
      <c r="AT1851" s="108" t="str">
        <f t="shared" si="801"/>
        <v/>
      </c>
      <c r="AU1851" s="108" t="str">
        <f t="shared" si="802"/>
        <v/>
      </c>
      <c r="AV1851" s="107" t="str">
        <f>IF(ISNUMBER(O1851),IF(VLOOKUP($A1851,Stand!C:J,8,FALSE)="Short",AT1851,AU1851),"")</f>
        <v/>
      </c>
      <c r="AW1851" s="109" t="str">
        <f t="shared" si="808"/>
        <v/>
      </c>
      <c r="AX1851" s="109" t="str">
        <f t="shared" si="809"/>
        <v/>
      </c>
      <c r="AY1851" s="112" t="str">
        <f>IF(ISNUMBER(O1851),IF(AND(VLOOKUP($D1851,Merchantability!$B:$C,2,0)="Yes",$E1851&gt;=VLOOKUP($D1851,Merchantability!$B:$D,3,0),$E1851&lt;=VLOOKUP($D1851,Merchantability!$B:$E,4,0)),(AV1851*O1851)*(1-$H1851/100),""),"")</f>
        <v/>
      </c>
      <c r="AZ1851" s="116"/>
      <c r="BA1851" s="116"/>
      <c r="BB1851" s="116"/>
      <c r="BE1851" s="62"/>
      <c r="BF1851" s="63"/>
    </row>
    <row r="1852" spans="1:58" ht="12.75" customHeight="1" x14ac:dyDescent="0.25">
      <c r="A1852" s="334"/>
      <c r="B1852" s="334"/>
      <c r="C1852" s="332"/>
      <c r="D1852" s="334"/>
      <c r="E1852" s="335"/>
      <c r="F1852" s="334"/>
      <c r="G1852" s="332"/>
      <c r="H1852" s="332"/>
      <c r="I1852" s="334"/>
      <c r="J1852" s="336"/>
      <c r="K1852" s="332"/>
      <c r="L1852" s="332"/>
      <c r="M1852" s="76"/>
      <c r="N1852" s="103" t="str">
        <f>IF(A1852="","",VLOOKUP(A1852,Stand!C:K,9,0))</f>
        <v/>
      </c>
      <c r="O1852" s="104" t="str">
        <f t="shared" si="794"/>
        <v/>
      </c>
      <c r="P1852" s="105" t="str">
        <f t="shared" si="795"/>
        <v/>
      </c>
      <c r="Q1852" s="105" t="str">
        <f t="shared" si="810"/>
        <v/>
      </c>
      <c r="R1852" s="103" t="str">
        <f t="shared" si="796"/>
        <v/>
      </c>
      <c r="S1852" s="103" t="str">
        <f t="shared" si="797"/>
        <v/>
      </c>
      <c r="T1852" s="106" t="str">
        <f t="shared" si="811"/>
        <v/>
      </c>
      <c r="U1852" s="106" t="str">
        <f t="shared" si="812"/>
        <v/>
      </c>
      <c r="V1852" s="106" t="str">
        <f t="shared" si="813"/>
        <v/>
      </c>
      <c r="W1852" s="105" t="str">
        <f t="shared" si="798"/>
        <v/>
      </c>
      <c r="X1852" s="104" t="str">
        <f t="shared" si="803"/>
        <v/>
      </c>
      <c r="Y1852" s="104" t="str">
        <f t="array" ref="Y1852">IFERROR(IF(ISNUMBER(O1852),IF(COUNT(IF(A1852=$A$2:$A$2427,IF(D1852=$D$2:$D$2427,IF($X$2:$X$2427&gt;0,1))))&gt;0,SUM(IF(A1852=$A$2:$A$2427,IF(D1852=$D$2:$D$2427,$X$2:$X$2427)))/COUNT(IF(A1852=$A$2:$A$2427,IF(D1852=$D$2:$D$2427,IF(ISNUMBER($X$2:$X$2427),1)))),0),""),0)</f>
        <v/>
      </c>
      <c r="Z1852" s="104" t="str">
        <f>IF(ISNUMBER(O1852),IF(I1852&gt;0,(10^(VLOOKUP(D1852,'Species Codes'!B:C,2,0)+VLOOKUP(D1852,'Species Codes'!B:D,3,0)*LOG(E1852)+VLOOKUP(D1852,'Species Codes'!B:E,4,0)*LOG(I1852))),0),"")</f>
        <v/>
      </c>
      <c r="AA1852" s="104" t="str">
        <f>IFERROR((VLOOKUP(D1852,'Species Codes'!B:G,6,0)*Z1852)/2000,"")</f>
        <v/>
      </c>
      <c r="AB1852" s="104" t="e">
        <f>IF(Z1852&gt;0,((IF(OR(D1852="DF",D1852="RA")=TRUE,EXP(VLOOKUP(D1852,'Species Codes'!B:I,8,0)+VLOOKUP(D1852,'Species Codes'!B:J,9,0)*(LN((E1852*2.54)))),IF(OR(D1852="PY",D1852="RC",D1852="WH",D1852="NF")=TRUE,VLOOKUP(D1852,'Species Codes'!B:I,8,0)+VLOOKUP(D1852,'Species Codes'!B:J,9,0)*((E1852*2.54)^2)*(I1852*0.3048),IF(OR(D1852="MD",D1852="BM",D1852="GA")=TRUE,((VLOOKUP(D1852,'Species Codes'!B:I,8,0)*(((((E1852*2.54)+VLOOKUP(D1852,'Species Codes'!B:J,9,0))/VLOOKUP(D1852,'Species Codes'!B:K,10,0))^VLOOKUP(D1852,'Species Codes'!B:L,11,0))*((I1852*0.3048)^VLOOKUP(D1852,'Species Codes'!B:M,12,0))))-(VLOOKUP(D1852,'Species Codes'!B:I,8,0)*((((E1852*2.54)^VLOOKUP(D1852,'Species Codes'!B:L,11,0))*((I1852*0.3048)^VLOOKUP(D1852,'Species Codes'!B:M,12,0))))))*35.3*VLOOKUP(D1852,'Species Codes'!B:G,6,0)/2.2046,VLOOKUP(D1852,'Species Codes'!B:I,8,0)+VLOOKUP(D1852,'Species Codes'!B:J,9,0)*(((E1852*2.54)/100)^2)*(I1852*0.3048)))))*0.0011023),0)</f>
        <v>#N/A</v>
      </c>
      <c r="AC1852" s="104" t="e">
        <f>IF(Z1852&gt;0,((IF(OR(D1852="RA",D1852="OA",D1852="OT",D1852="UN",D1852="PC"),EXP(VLOOKUP(D1852,'Species Codes'!B:O,14,0)+VLOOKUP(D1852,'Species Codes'!B:P,15,0)*LN((E1852*2.54)))-EXP(VLOOKUP(D1852,'Species Codes'!B:O,14,0)+VLOOKUP(D1852,'Species Codes'!B:P,15,0)*LN((E1852*2.54)))*(1/(VLOOKUP(D1852,'Species Codes'!B:Q,16,0)+VLOOKUP(D1852,'Species Codes'!B:R,17,0)*((E1852*2.54)^VLOOKUP(D1852,'Species Codes'!B:S,18,0)))),IF(OR(D1852="BM",D1852="MD",D1852="OA"),EXP(VLOOKUP(D1852,'Species Codes'!B:O,14,0)+VLOOKUP(D1852,'Species Codes'!B:P,15,0)*LN((E1852*2.54)))*(1-(1/(VLOOKUP(D1852,'Species Codes'!B:Q,16,0)+VLOOKUP(D1852,'Species Codes'!B:R,17,0)*((E1852*2.54)^VLOOKUP(D1852,'Species Codes'!B:S,18,0)))))/1000,IF(D1852="DF",EXP(VLOOKUP(D1852,'Species Codes'!B:O,14,0)+VLOOKUP(D1852,'Species Codes'!B:P,15,0)*LN((E1852*2.54))),VLOOKUP(D1852,'Species Codes'!B:O,14,0)+VLOOKUP(D1852,'Species Codes'!B:P,15,0)*(((E1852*2.54)/100)^2)*(I1852*0.3048)))))*0.0011023),0)</f>
        <v>#N/A</v>
      </c>
      <c r="AD1852" s="104" t="e">
        <f t="shared" si="814"/>
        <v>#N/A</v>
      </c>
      <c r="AE1852" s="104" t="e">
        <f t="shared" si="815"/>
        <v>#N/A</v>
      </c>
      <c r="AF1852" s="104" t="e">
        <f>IF(AND(VLOOKUP($D1852,Merchantability!$B:$C,2,0)="Yes",$E1852&gt;=VLOOKUP($D1852,Merchantability!$B:$D,3,0),$E1852&lt;=VLOOKUP($D1852,Merchantability!$B:$E,4,0)),AA1852,0)</f>
        <v>#N/A</v>
      </c>
      <c r="AG1852" s="104" t="e">
        <f>IF(AND(VLOOKUP($D1852,Merchantability!$B:$C,2,0)="Yes",$E1852&gt;=VLOOKUP($D1852,Merchantability!$B:$D,3,0),$E1852&lt;=VLOOKUP($D1852,Merchantability!$B:$E,4,0)),AB1852,0)</f>
        <v>#N/A</v>
      </c>
      <c r="AH1852" s="104" t="e">
        <f>IF(AND(VLOOKUP($D1852,Merchantability!$B:$C,2,0)="Yes",$E1852&gt;=VLOOKUP($D1852,Merchantability!$B:$D,3,0),$E1852&lt;=VLOOKUP($D1852,Merchantability!$B:$E,4,0)),AC1852,0)</f>
        <v>#N/A</v>
      </c>
      <c r="AI1852" s="104" t="e">
        <f t="shared" si="816"/>
        <v>#N/A</v>
      </c>
      <c r="AJ1852" s="104" t="e">
        <f t="shared" si="817"/>
        <v>#VALUE!</v>
      </c>
      <c r="AK1852" s="104" t="e">
        <f t="shared" si="818"/>
        <v>#N/A</v>
      </c>
      <c r="AL1852" s="104" t="e">
        <f t="shared" si="819"/>
        <v>#N/A</v>
      </c>
      <c r="AM1852" s="104" t="e">
        <f t="shared" si="820"/>
        <v>#N/A</v>
      </c>
      <c r="AN1852" s="104" t="e">
        <f t="shared" si="804"/>
        <v>#N/A</v>
      </c>
      <c r="AO1852" s="104" t="e">
        <f t="shared" si="805"/>
        <v>#N/A</v>
      </c>
      <c r="AP1852" s="104" t="e">
        <f t="shared" si="806"/>
        <v>#N/A</v>
      </c>
      <c r="AQ1852" s="104" t="e">
        <f t="shared" si="807"/>
        <v>#N/A</v>
      </c>
      <c r="AR1852" s="105" t="str">
        <f t="shared" si="799"/>
        <v/>
      </c>
      <c r="AS1852" s="105" t="str">
        <f t="shared" si="800"/>
        <v/>
      </c>
      <c r="AT1852" s="108" t="str">
        <f t="shared" si="801"/>
        <v/>
      </c>
      <c r="AU1852" s="108" t="str">
        <f t="shared" si="802"/>
        <v/>
      </c>
      <c r="AV1852" s="107" t="str">
        <f>IF(ISNUMBER(O1852),IF(VLOOKUP($A1852,Stand!C:J,8,FALSE)="Short",AT1852,AU1852),"")</f>
        <v/>
      </c>
      <c r="AW1852" s="109" t="str">
        <f t="shared" si="808"/>
        <v/>
      </c>
      <c r="AX1852" s="109" t="str">
        <f t="shared" si="809"/>
        <v/>
      </c>
      <c r="AY1852" s="112" t="str">
        <f>IF(ISNUMBER(O1852),IF(AND(VLOOKUP($D1852,Merchantability!$B:$C,2,0)="Yes",$E1852&gt;=VLOOKUP($D1852,Merchantability!$B:$D,3,0),$E1852&lt;=VLOOKUP($D1852,Merchantability!$B:$E,4,0)),(AV1852*O1852)*(1-$H1852/100),""),"")</f>
        <v/>
      </c>
      <c r="AZ1852" s="116"/>
      <c r="BA1852" s="116"/>
      <c r="BB1852" s="116"/>
      <c r="BE1852" s="62"/>
      <c r="BF1852" s="63"/>
    </row>
    <row r="1853" spans="1:58" ht="12.75" customHeight="1" x14ac:dyDescent="0.25">
      <c r="A1853" s="334"/>
      <c r="B1853" s="334"/>
      <c r="C1853" s="332"/>
      <c r="D1853" s="334"/>
      <c r="E1853" s="335"/>
      <c r="F1853" s="334"/>
      <c r="G1853" s="332"/>
      <c r="H1853" s="332"/>
      <c r="I1853" s="334"/>
      <c r="J1853" s="336"/>
      <c r="K1853" s="332"/>
      <c r="L1853" s="332"/>
      <c r="M1853" s="76"/>
      <c r="N1853" s="103" t="str">
        <f>IF(A1853="","",VLOOKUP(A1853,Stand!C:K,9,0))</f>
        <v/>
      </c>
      <c r="O1853" s="104" t="str">
        <f t="shared" si="794"/>
        <v/>
      </c>
      <c r="P1853" s="105" t="str">
        <f t="shared" si="795"/>
        <v/>
      </c>
      <c r="Q1853" s="105" t="str">
        <f t="shared" si="810"/>
        <v/>
      </c>
      <c r="R1853" s="103" t="str">
        <f t="shared" si="796"/>
        <v/>
      </c>
      <c r="S1853" s="103" t="str">
        <f t="shared" si="797"/>
        <v/>
      </c>
      <c r="T1853" s="106" t="str">
        <f t="shared" si="811"/>
        <v/>
      </c>
      <c r="U1853" s="106" t="str">
        <f t="shared" si="812"/>
        <v/>
      </c>
      <c r="V1853" s="106" t="str">
        <f t="shared" si="813"/>
        <v/>
      </c>
      <c r="W1853" s="105" t="str">
        <f t="shared" si="798"/>
        <v/>
      </c>
      <c r="X1853" s="104" t="str">
        <f t="shared" si="803"/>
        <v/>
      </c>
      <c r="Y1853" s="104" t="str">
        <f t="array" ref="Y1853">IFERROR(IF(ISNUMBER(O1853),IF(COUNT(IF(A1853=$A$2:$A$2427,IF(D1853=$D$2:$D$2427,IF($X$2:$X$2427&gt;0,1))))&gt;0,SUM(IF(A1853=$A$2:$A$2427,IF(D1853=$D$2:$D$2427,$X$2:$X$2427)))/COUNT(IF(A1853=$A$2:$A$2427,IF(D1853=$D$2:$D$2427,IF(ISNUMBER($X$2:$X$2427),1)))),0),""),0)</f>
        <v/>
      </c>
      <c r="Z1853" s="104" t="str">
        <f>IF(ISNUMBER(O1853),IF(I1853&gt;0,(10^(VLOOKUP(D1853,'Species Codes'!B:C,2,0)+VLOOKUP(D1853,'Species Codes'!B:D,3,0)*LOG(E1853)+VLOOKUP(D1853,'Species Codes'!B:E,4,0)*LOG(I1853))),0),"")</f>
        <v/>
      </c>
      <c r="AA1853" s="104" t="str">
        <f>IFERROR((VLOOKUP(D1853,'Species Codes'!B:G,6,0)*Z1853)/2000,"")</f>
        <v/>
      </c>
      <c r="AB1853" s="104" t="e">
        <f>IF(Z1853&gt;0,((IF(OR(D1853="DF",D1853="RA")=TRUE,EXP(VLOOKUP(D1853,'Species Codes'!B:I,8,0)+VLOOKUP(D1853,'Species Codes'!B:J,9,0)*(LN((E1853*2.54)))),IF(OR(D1853="PY",D1853="RC",D1853="WH",D1853="NF")=TRUE,VLOOKUP(D1853,'Species Codes'!B:I,8,0)+VLOOKUP(D1853,'Species Codes'!B:J,9,0)*((E1853*2.54)^2)*(I1853*0.3048),IF(OR(D1853="MD",D1853="BM",D1853="GA")=TRUE,((VLOOKUP(D1853,'Species Codes'!B:I,8,0)*(((((E1853*2.54)+VLOOKUP(D1853,'Species Codes'!B:J,9,0))/VLOOKUP(D1853,'Species Codes'!B:K,10,0))^VLOOKUP(D1853,'Species Codes'!B:L,11,0))*((I1853*0.3048)^VLOOKUP(D1853,'Species Codes'!B:M,12,0))))-(VLOOKUP(D1853,'Species Codes'!B:I,8,0)*((((E1853*2.54)^VLOOKUP(D1853,'Species Codes'!B:L,11,0))*((I1853*0.3048)^VLOOKUP(D1853,'Species Codes'!B:M,12,0))))))*35.3*VLOOKUP(D1853,'Species Codes'!B:G,6,0)/2.2046,VLOOKUP(D1853,'Species Codes'!B:I,8,0)+VLOOKUP(D1853,'Species Codes'!B:J,9,0)*(((E1853*2.54)/100)^2)*(I1853*0.3048)))))*0.0011023),0)</f>
        <v>#N/A</v>
      </c>
      <c r="AC1853" s="104" t="e">
        <f>IF(Z1853&gt;0,((IF(OR(D1853="RA",D1853="OA",D1853="OT",D1853="UN",D1853="PC"),EXP(VLOOKUP(D1853,'Species Codes'!B:O,14,0)+VLOOKUP(D1853,'Species Codes'!B:P,15,0)*LN((E1853*2.54)))-EXP(VLOOKUP(D1853,'Species Codes'!B:O,14,0)+VLOOKUP(D1853,'Species Codes'!B:P,15,0)*LN((E1853*2.54)))*(1/(VLOOKUP(D1853,'Species Codes'!B:Q,16,0)+VLOOKUP(D1853,'Species Codes'!B:R,17,0)*((E1853*2.54)^VLOOKUP(D1853,'Species Codes'!B:S,18,0)))),IF(OR(D1853="BM",D1853="MD",D1853="OA"),EXP(VLOOKUP(D1853,'Species Codes'!B:O,14,0)+VLOOKUP(D1853,'Species Codes'!B:P,15,0)*LN((E1853*2.54)))*(1-(1/(VLOOKUP(D1853,'Species Codes'!B:Q,16,0)+VLOOKUP(D1853,'Species Codes'!B:R,17,0)*((E1853*2.54)^VLOOKUP(D1853,'Species Codes'!B:S,18,0)))))/1000,IF(D1853="DF",EXP(VLOOKUP(D1853,'Species Codes'!B:O,14,0)+VLOOKUP(D1853,'Species Codes'!B:P,15,0)*LN((E1853*2.54))),VLOOKUP(D1853,'Species Codes'!B:O,14,0)+VLOOKUP(D1853,'Species Codes'!B:P,15,0)*(((E1853*2.54)/100)^2)*(I1853*0.3048)))))*0.0011023),0)</f>
        <v>#N/A</v>
      </c>
      <c r="AD1853" s="104" t="e">
        <f t="shared" si="814"/>
        <v>#N/A</v>
      </c>
      <c r="AE1853" s="104" t="e">
        <f t="shared" si="815"/>
        <v>#N/A</v>
      </c>
      <c r="AF1853" s="104" t="e">
        <f>IF(AND(VLOOKUP($D1853,Merchantability!$B:$C,2,0)="Yes",$E1853&gt;=VLOOKUP($D1853,Merchantability!$B:$D,3,0),$E1853&lt;=VLOOKUP($D1853,Merchantability!$B:$E,4,0)),AA1853,0)</f>
        <v>#N/A</v>
      </c>
      <c r="AG1853" s="104" t="e">
        <f>IF(AND(VLOOKUP($D1853,Merchantability!$B:$C,2,0)="Yes",$E1853&gt;=VLOOKUP($D1853,Merchantability!$B:$D,3,0),$E1853&lt;=VLOOKUP($D1853,Merchantability!$B:$E,4,0)),AB1853,0)</f>
        <v>#N/A</v>
      </c>
      <c r="AH1853" s="104" t="e">
        <f>IF(AND(VLOOKUP($D1853,Merchantability!$B:$C,2,0)="Yes",$E1853&gt;=VLOOKUP($D1853,Merchantability!$B:$D,3,0),$E1853&lt;=VLOOKUP($D1853,Merchantability!$B:$E,4,0)),AC1853,0)</f>
        <v>#N/A</v>
      </c>
      <c r="AI1853" s="104" t="e">
        <f t="shared" si="816"/>
        <v>#N/A</v>
      </c>
      <c r="AJ1853" s="104" t="e">
        <f t="shared" si="817"/>
        <v>#VALUE!</v>
      </c>
      <c r="AK1853" s="104" t="e">
        <f t="shared" si="818"/>
        <v>#N/A</v>
      </c>
      <c r="AL1853" s="104" t="e">
        <f t="shared" si="819"/>
        <v>#N/A</v>
      </c>
      <c r="AM1853" s="104" t="e">
        <f t="shared" si="820"/>
        <v>#N/A</v>
      </c>
      <c r="AN1853" s="104" t="e">
        <f t="shared" si="804"/>
        <v>#N/A</v>
      </c>
      <c r="AO1853" s="104" t="e">
        <f t="shared" si="805"/>
        <v>#N/A</v>
      </c>
      <c r="AP1853" s="104" t="e">
        <f t="shared" si="806"/>
        <v>#N/A</v>
      </c>
      <c r="AQ1853" s="104" t="e">
        <f t="shared" si="807"/>
        <v>#N/A</v>
      </c>
      <c r="AR1853" s="105" t="str">
        <f t="shared" si="799"/>
        <v/>
      </c>
      <c r="AS1853" s="105" t="str">
        <f t="shared" si="800"/>
        <v/>
      </c>
      <c r="AT1853" s="108" t="str">
        <f t="shared" si="801"/>
        <v/>
      </c>
      <c r="AU1853" s="108" t="str">
        <f t="shared" si="802"/>
        <v/>
      </c>
      <c r="AV1853" s="107" t="str">
        <f>IF(ISNUMBER(O1853),IF(VLOOKUP($A1853,Stand!C:J,8,FALSE)="Short",AT1853,AU1853),"")</f>
        <v/>
      </c>
      <c r="AW1853" s="109" t="str">
        <f t="shared" si="808"/>
        <v/>
      </c>
      <c r="AX1853" s="109" t="str">
        <f t="shared" si="809"/>
        <v/>
      </c>
      <c r="AY1853" s="112" t="str">
        <f>IF(ISNUMBER(O1853),IF(AND(VLOOKUP($D1853,Merchantability!$B:$C,2,0)="Yes",$E1853&gt;=VLOOKUP($D1853,Merchantability!$B:$D,3,0),$E1853&lt;=VLOOKUP($D1853,Merchantability!$B:$E,4,0)),(AV1853*O1853)*(1-$H1853/100),""),"")</f>
        <v/>
      </c>
      <c r="AZ1853" s="116"/>
      <c r="BA1853" s="116"/>
      <c r="BB1853" s="116"/>
      <c r="BE1853" s="62"/>
      <c r="BF1853" s="63"/>
    </row>
    <row r="1854" spans="1:58" ht="12.75" customHeight="1" x14ac:dyDescent="0.25">
      <c r="A1854" s="334"/>
      <c r="B1854" s="334"/>
      <c r="C1854" s="332"/>
      <c r="D1854" s="334"/>
      <c r="E1854" s="335"/>
      <c r="F1854" s="334"/>
      <c r="G1854" s="332"/>
      <c r="H1854" s="332"/>
      <c r="I1854" s="334"/>
      <c r="J1854" s="336"/>
      <c r="K1854" s="332"/>
      <c r="L1854" s="332"/>
      <c r="M1854" s="76"/>
      <c r="N1854" s="103" t="str">
        <f>IF(A1854="","",VLOOKUP(A1854,Stand!C:K,9,0))</f>
        <v/>
      </c>
      <c r="O1854" s="104" t="str">
        <f t="shared" si="794"/>
        <v/>
      </c>
      <c r="P1854" s="105" t="str">
        <f t="shared" si="795"/>
        <v/>
      </c>
      <c r="Q1854" s="105" t="str">
        <f t="shared" si="810"/>
        <v/>
      </c>
      <c r="R1854" s="103" t="str">
        <f t="shared" si="796"/>
        <v/>
      </c>
      <c r="S1854" s="103" t="str">
        <f t="shared" si="797"/>
        <v/>
      </c>
      <c r="T1854" s="106" t="str">
        <f t="shared" si="811"/>
        <v/>
      </c>
      <c r="U1854" s="106" t="str">
        <f t="shared" si="812"/>
        <v/>
      </c>
      <c r="V1854" s="106" t="str">
        <f t="shared" si="813"/>
        <v/>
      </c>
      <c r="W1854" s="105" t="str">
        <f t="shared" si="798"/>
        <v/>
      </c>
      <c r="X1854" s="104" t="str">
        <f t="shared" si="803"/>
        <v/>
      </c>
      <c r="Y1854" s="104" t="str">
        <f t="array" ref="Y1854">IFERROR(IF(ISNUMBER(O1854),IF(COUNT(IF(A1854=$A$2:$A$2427,IF(D1854=$D$2:$D$2427,IF($X$2:$X$2427&gt;0,1))))&gt;0,SUM(IF(A1854=$A$2:$A$2427,IF(D1854=$D$2:$D$2427,$X$2:$X$2427)))/COUNT(IF(A1854=$A$2:$A$2427,IF(D1854=$D$2:$D$2427,IF(ISNUMBER($X$2:$X$2427),1)))),0),""),0)</f>
        <v/>
      </c>
      <c r="Z1854" s="104" t="str">
        <f>IF(ISNUMBER(O1854),IF(I1854&gt;0,(10^(VLOOKUP(D1854,'Species Codes'!B:C,2,0)+VLOOKUP(D1854,'Species Codes'!B:D,3,0)*LOG(E1854)+VLOOKUP(D1854,'Species Codes'!B:E,4,0)*LOG(I1854))),0),"")</f>
        <v/>
      </c>
      <c r="AA1854" s="104" t="str">
        <f>IFERROR((VLOOKUP(D1854,'Species Codes'!B:G,6,0)*Z1854)/2000,"")</f>
        <v/>
      </c>
      <c r="AB1854" s="104" t="e">
        <f>IF(Z1854&gt;0,((IF(OR(D1854="DF",D1854="RA")=TRUE,EXP(VLOOKUP(D1854,'Species Codes'!B:I,8,0)+VLOOKUP(D1854,'Species Codes'!B:J,9,0)*(LN((E1854*2.54)))),IF(OR(D1854="PY",D1854="RC",D1854="WH",D1854="NF")=TRUE,VLOOKUP(D1854,'Species Codes'!B:I,8,0)+VLOOKUP(D1854,'Species Codes'!B:J,9,0)*((E1854*2.54)^2)*(I1854*0.3048),IF(OR(D1854="MD",D1854="BM",D1854="GA")=TRUE,((VLOOKUP(D1854,'Species Codes'!B:I,8,0)*(((((E1854*2.54)+VLOOKUP(D1854,'Species Codes'!B:J,9,0))/VLOOKUP(D1854,'Species Codes'!B:K,10,0))^VLOOKUP(D1854,'Species Codes'!B:L,11,0))*((I1854*0.3048)^VLOOKUP(D1854,'Species Codes'!B:M,12,0))))-(VLOOKUP(D1854,'Species Codes'!B:I,8,0)*((((E1854*2.54)^VLOOKUP(D1854,'Species Codes'!B:L,11,0))*((I1854*0.3048)^VLOOKUP(D1854,'Species Codes'!B:M,12,0))))))*35.3*VLOOKUP(D1854,'Species Codes'!B:G,6,0)/2.2046,VLOOKUP(D1854,'Species Codes'!B:I,8,0)+VLOOKUP(D1854,'Species Codes'!B:J,9,0)*(((E1854*2.54)/100)^2)*(I1854*0.3048)))))*0.0011023),0)</f>
        <v>#N/A</v>
      </c>
      <c r="AC1854" s="104" t="e">
        <f>IF(Z1854&gt;0,((IF(OR(D1854="RA",D1854="OA",D1854="OT",D1854="UN",D1854="PC"),EXP(VLOOKUP(D1854,'Species Codes'!B:O,14,0)+VLOOKUP(D1854,'Species Codes'!B:P,15,0)*LN((E1854*2.54)))-EXP(VLOOKUP(D1854,'Species Codes'!B:O,14,0)+VLOOKUP(D1854,'Species Codes'!B:P,15,0)*LN((E1854*2.54)))*(1/(VLOOKUP(D1854,'Species Codes'!B:Q,16,0)+VLOOKUP(D1854,'Species Codes'!B:R,17,0)*((E1854*2.54)^VLOOKUP(D1854,'Species Codes'!B:S,18,0)))),IF(OR(D1854="BM",D1854="MD",D1854="OA"),EXP(VLOOKUP(D1854,'Species Codes'!B:O,14,0)+VLOOKUP(D1854,'Species Codes'!B:P,15,0)*LN((E1854*2.54)))*(1-(1/(VLOOKUP(D1854,'Species Codes'!B:Q,16,0)+VLOOKUP(D1854,'Species Codes'!B:R,17,0)*((E1854*2.54)^VLOOKUP(D1854,'Species Codes'!B:S,18,0)))))/1000,IF(D1854="DF",EXP(VLOOKUP(D1854,'Species Codes'!B:O,14,0)+VLOOKUP(D1854,'Species Codes'!B:P,15,0)*LN((E1854*2.54))),VLOOKUP(D1854,'Species Codes'!B:O,14,0)+VLOOKUP(D1854,'Species Codes'!B:P,15,0)*(((E1854*2.54)/100)^2)*(I1854*0.3048)))))*0.0011023),0)</f>
        <v>#N/A</v>
      </c>
      <c r="AD1854" s="104" t="e">
        <f t="shared" si="814"/>
        <v>#N/A</v>
      </c>
      <c r="AE1854" s="104" t="e">
        <f t="shared" si="815"/>
        <v>#N/A</v>
      </c>
      <c r="AF1854" s="104" t="e">
        <f>IF(AND(VLOOKUP($D1854,Merchantability!$B:$C,2,0)="Yes",$E1854&gt;=VLOOKUP($D1854,Merchantability!$B:$D,3,0),$E1854&lt;=VLOOKUP($D1854,Merchantability!$B:$E,4,0)),AA1854,0)</f>
        <v>#N/A</v>
      </c>
      <c r="AG1854" s="104" t="e">
        <f>IF(AND(VLOOKUP($D1854,Merchantability!$B:$C,2,0)="Yes",$E1854&gt;=VLOOKUP($D1854,Merchantability!$B:$D,3,0),$E1854&lt;=VLOOKUP($D1854,Merchantability!$B:$E,4,0)),AB1854,0)</f>
        <v>#N/A</v>
      </c>
      <c r="AH1854" s="104" t="e">
        <f>IF(AND(VLOOKUP($D1854,Merchantability!$B:$C,2,0)="Yes",$E1854&gt;=VLOOKUP($D1854,Merchantability!$B:$D,3,0),$E1854&lt;=VLOOKUP($D1854,Merchantability!$B:$E,4,0)),AC1854,0)</f>
        <v>#N/A</v>
      </c>
      <c r="AI1854" s="104" t="e">
        <f t="shared" si="816"/>
        <v>#N/A</v>
      </c>
      <c r="AJ1854" s="104" t="e">
        <f t="shared" si="817"/>
        <v>#VALUE!</v>
      </c>
      <c r="AK1854" s="104" t="e">
        <f t="shared" si="818"/>
        <v>#N/A</v>
      </c>
      <c r="AL1854" s="104" t="e">
        <f t="shared" si="819"/>
        <v>#N/A</v>
      </c>
      <c r="AM1854" s="104" t="e">
        <f t="shared" si="820"/>
        <v>#N/A</v>
      </c>
      <c r="AN1854" s="104" t="e">
        <f t="shared" si="804"/>
        <v>#N/A</v>
      </c>
      <c r="AO1854" s="104" t="e">
        <f t="shared" si="805"/>
        <v>#N/A</v>
      </c>
      <c r="AP1854" s="104" t="e">
        <f t="shared" si="806"/>
        <v>#N/A</v>
      </c>
      <c r="AQ1854" s="104" t="e">
        <f t="shared" si="807"/>
        <v>#N/A</v>
      </c>
      <c r="AR1854" s="105" t="str">
        <f t="shared" si="799"/>
        <v/>
      </c>
      <c r="AS1854" s="105" t="str">
        <f t="shared" si="800"/>
        <v/>
      </c>
      <c r="AT1854" s="108" t="str">
        <f t="shared" si="801"/>
        <v/>
      </c>
      <c r="AU1854" s="108" t="str">
        <f t="shared" si="802"/>
        <v/>
      </c>
      <c r="AV1854" s="107" t="str">
        <f>IF(ISNUMBER(O1854),IF(VLOOKUP($A1854,Stand!C:J,8,FALSE)="Short",AT1854,AU1854),"")</f>
        <v/>
      </c>
      <c r="AW1854" s="109" t="str">
        <f t="shared" si="808"/>
        <v/>
      </c>
      <c r="AX1854" s="109" t="str">
        <f t="shared" si="809"/>
        <v/>
      </c>
      <c r="AY1854" s="112" t="str">
        <f>IF(ISNUMBER(O1854),IF(AND(VLOOKUP($D1854,Merchantability!$B:$C,2,0)="Yes",$E1854&gt;=VLOOKUP($D1854,Merchantability!$B:$D,3,0),$E1854&lt;=VLOOKUP($D1854,Merchantability!$B:$E,4,0)),(AV1854*O1854)*(1-$H1854/100),""),"")</f>
        <v/>
      </c>
      <c r="AZ1854" s="116"/>
      <c r="BA1854" s="116"/>
      <c r="BB1854" s="116"/>
      <c r="BE1854" s="62"/>
      <c r="BF1854" s="63"/>
    </row>
    <row r="1855" spans="1:58" ht="12.75" customHeight="1" x14ac:dyDescent="0.25">
      <c r="A1855" s="334"/>
      <c r="B1855" s="334"/>
      <c r="C1855" s="332"/>
      <c r="D1855" s="334"/>
      <c r="E1855" s="335"/>
      <c r="F1855" s="334"/>
      <c r="G1855" s="332"/>
      <c r="H1855" s="332"/>
      <c r="I1855" s="334"/>
      <c r="J1855" s="336"/>
      <c r="K1855" s="332"/>
      <c r="L1855" s="332"/>
      <c r="M1855" s="76"/>
      <c r="N1855" s="103" t="str">
        <f>IF(A1855="","",VLOOKUP(A1855,Stand!C:K,9,0))</f>
        <v/>
      </c>
      <c r="O1855" s="104" t="str">
        <f t="shared" si="794"/>
        <v/>
      </c>
      <c r="P1855" s="105" t="str">
        <f t="shared" si="795"/>
        <v/>
      </c>
      <c r="Q1855" s="105" t="str">
        <f t="shared" si="810"/>
        <v/>
      </c>
      <c r="R1855" s="103" t="str">
        <f t="shared" si="796"/>
        <v/>
      </c>
      <c r="S1855" s="103" t="str">
        <f t="shared" si="797"/>
        <v/>
      </c>
      <c r="T1855" s="106" t="str">
        <f t="shared" si="811"/>
        <v/>
      </c>
      <c r="U1855" s="106" t="str">
        <f t="shared" si="812"/>
        <v/>
      </c>
      <c r="V1855" s="106" t="str">
        <f t="shared" si="813"/>
        <v/>
      </c>
      <c r="W1855" s="105" t="str">
        <f t="shared" si="798"/>
        <v/>
      </c>
      <c r="X1855" s="104" t="str">
        <f t="shared" si="803"/>
        <v/>
      </c>
      <c r="Y1855" s="104" t="str">
        <f t="array" ref="Y1855">IFERROR(IF(ISNUMBER(O1855),IF(COUNT(IF(A1855=$A$2:$A$2427,IF(D1855=$D$2:$D$2427,IF($X$2:$X$2427&gt;0,1))))&gt;0,SUM(IF(A1855=$A$2:$A$2427,IF(D1855=$D$2:$D$2427,$X$2:$X$2427)))/COUNT(IF(A1855=$A$2:$A$2427,IF(D1855=$D$2:$D$2427,IF(ISNUMBER($X$2:$X$2427),1)))),0),""),0)</f>
        <v/>
      </c>
      <c r="Z1855" s="104" t="str">
        <f>IF(ISNUMBER(O1855),IF(I1855&gt;0,(10^(VLOOKUP(D1855,'Species Codes'!B:C,2,0)+VLOOKUP(D1855,'Species Codes'!B:D,3,0)*LOG(E1855)+VLOOKUP(D1855,'Species Codes'!B:E,4,0)*LOG(I1855))),0),"")</f>
        <v/>
      </c>
      <c r="AA1855" s="104" t="str">
        <f>IFERROR((VLOOKUP(D1855,'Species Codes'!B:G,6,0)*Z1855)/2000,"")</f>
        <v/>
      </c>
      <c r="AB1855" s="104" t="e">
        <f>IF(Z1855&gt;0,((IF(OR(D1855="DF",D1855="RA")=TRUE,EXP(VLOOKUP(D1855,'Species Codes'!B:I,8,0)+VLOOKUP(D1855,'Species Codes'!B:J,9,0)*(LN((E1855*2.54)))),IF(OR(D1855="PY",D1855="RC",D1855="WH",D1855="NF")=TRUE,VLOOKUP(D1855,'Species Codes'!B:I,8,0)+VLOOKUP(D1855,'Species Codes'!B:J,9,0)*((E1855*2.54)^2)*(I1855*0.3048),IF(OR(D1855="MD",D1855="BM",D1855="GA")=TRUE,((VLOOKUP(D1855,'Species Codes'!B:I,8,0)*(((((E1855*2.54)+VLOOKUP(D1855,'Species Codes'!B:J,9,0))/VLOOKUP(D1855,'Species Codes'!B:K,10,0))^VLOOKUP(D1855,'Species Codes'!B:L,11,0))*((I1855*0.3048)^VLOOKUP(D1855,'Species Codes'!B:M,12,0))))-(VLOOKUP(D1855,'Species Codes'!B:I,8,0)*((((E1855*2.54)^VLOOKUP(D1855,'Species Codes'!B:L,11,0))*((I1855*0.3048)^VLOOKUP(D1855,'Species Codes'!B:M,12,0))))))*35.3*VLOOKUP(D1855,'Species Codes'!B:G,6,0)/2.2046,VLOOKUP(D1855,'Species Codes'!B:I,8,0)+VLOOKUP(D1855,'Species Codes'!B:J,9,0)*(((E1855*2.54)/100)^2)*(I1855*0.3048)))))*0.0011023),0)</f>
        <v>#N/A</v>
      </c>
      <c r="AC1855" s="104" t="e">
        <f>IF(Z1855&gt;0,((IF(OR(D1855="RA",D1855="OA",D1855="OT",D1855="UN",D1855="PC"),EXP(VLOOKUP(D1855,'Species Codes'!B:O,14,0)+VLOOKUP(D1855,'Species Codes'!B:P,15,0)*LN((E1855*2.54)))-EXP(VLOOKUP(D1855,'Species Codes'!B:O,14,0)+VLOOKUP(D1855,'Species Codes'!B:P,15,0)*LN((E1855*2.54)))*(1/(VLOOKUP(D1855,'Species Codes'!B:Q,16,0)+VLOOKUP(D1855,'Species Codes'!B:R,17,0)*((E1855*2.54)^VLOOKUP(D1855,'Species Codes'!B:S,18,0)))),IF(OR(D1855="BM",D1855="MD",D1855="OA"),EXP(VLOOKUP(D1855,'Species Codes'!B:O,14,0)+VLOOKUP(D1855,'Species Codes'!B:P,15,0)*LN((E1855*2.54)))*(1-(1/(VLOOKUP(D1855,'Species Codes'!B:Q,16,0)+VLOOKUP(D1855,'Species Codes'!B:R,17,0)*((E1855*2.54)^VLOOKUP(D1855,'Species Codes'!B:S,18,0)))))/1000,IF(D1855="DF",EXP(VLOOKUP(D1855,'Species Codes'!B:O,14,0)+VLOOKUP(D1855,'Species Codes'!B:P,15,0)*LN((E1855*2.54))),VLOOKUP(D1855,'Species Codes'!B:O,14,0)+VLOOKUP(D1855,'Species Codes'!B:P,15,0)*(((E1855*2.54)/100)^2)*(I1855*0.3048)))))*0.0011023),0)</f>
        <v>#N/A</v>
      </c>
      <c r="AD1855" s="104" t="e">
        <f t="shared" si="814"/>
        <v>#N/A</v>
      </c>
      <c r="AE1855" s="104" t="e">
        <f t="shared" si="815"/>
        <v>#N/A</v>
      </c>
      <c r="AF1855" s="104" t="e">
        <f>IF(AND(VLOOKUP($D1855,Merchantability!$B:$C,2,0)="Yes",$E1855&gt;=VLOOKUP($D1855,Merchantability!$B:$D,3,0),$E1855&lt;=VLOOKUP($D1855,Merchantability!$B:$E,4,0)),AA1855,0)</f>
        <v>#N/A</v>
      </c>
      <c r="AG1855" s="104" t="e">
        <f>IF(AND(VLOOKUP($D1855,Merchantability!$B:$C,2,0)="Yes",$E1855&gt;=VLOOKUP($D1855,Merchantability!$B:$D,3,0),$E1855&lt;=VLOOKUP($D1855,Merchantability!$B:$E,4,0)),AB1855,0)</f>
        <v>#N/A</v>
      </c>
      <c r="AH1855" s="104" t="e">
        <f>IF(AND(VLOOKUP($D1855,Merchantability!$B:$C,2,0)="Yes",$E1855&gt;=VLOOKUP($D1855,Merchantability!$B:$D,3,0),$E1855&lt;=VLOOKUP($D1855,Merchantability!$B:$E,4,0)),AC1855,0)</f>
        <v>#N/A</v>
      </c>
      <c r="AI1855" s="104" t="e">
        <f t="shared" si="816"/>
        <v>#N/A</v>
      </c>
      <c r="AJ1855" s="104" t="e">
        <f t="shared" si="817"/>
        <v>#VALUE!</v>
      </c>
      <c r="AK1855" s="104" t="e">
        <f t="shared" si="818"/>
        <v>#N/A</v>
      </c>
      <c r="AL1855" s="104" t="e">
        <f t="shared" si="819"/>
        <v>#N/A</v>
      </c>
      <c r="AM1855" s="104" t="e">
        <f t="shared" si="820"/>
        <v>#N/A</v>
      </c>
      <c r="AN1855" s="104" t="e">
        <f t="shared" si="804"/>
        <v>#N/A</v>
      </c>
      <c r="AO1855" s="104" t="e">
        <f t="shared" si="805"/>
        <v>#N/A</v>
      </c>
      <c r="AP1855" s="104" t="e">
        <f t="shared" si="806"/>
        <v>#N/A</v>
      </c>
      <c r="AQ1855" s="104" t="e">
        <f t="shared" si="807"/>
        <v>#N/A</v>
      </c>
      <c r="AR1855" s="105" t="str">
        <f t="shared" si="799"/>
        <v/>
      </c>
      <c r="AS1855" s="105" t="str">
        <f t="shared" si="800"/>
        <v/>
      </c>
      <c r="AT1855" s="108" t="str">
        <f t="shared" si="801"/>
        <v/>
      </c>
      <c r="AU1855" s="108" t="str">
        <f t="shared" si="802"/>
        <v/>
      </c>
      <c r="AV1855" s="107" t="str">
        <f>IF(ISNUMBER(O1855),IF(VLOOKUP($A1855,Stand!C:J,8,FALSE)="Short",AT1855,AU1855),"")</f>
        <v/>
      </c>
      <c r="AW1855" s="109" t="str">
        <f t="shared" si="808"/>
        <v/>
      </c>
      <c r="AX1855" s="109" t="str">
        <f t="shared" si="809"/>
        <v/>
      </c>
      <c r="AY1855" s="112" t="str">
        <f>IF(ISNUMBER(O1855),IF(AND(VLOOKUP($D1855,Merchantability!$B:$C,2,0)="Yes",$E1855&gt;=VLOOKUP($D1855,Merchantability!$B:$D,3,0),$E1855&lt;=VLOOKUP($D1855,Merchantability!$B:$E,4,0)),(AV1855*O1855)*(1-$H1855/100),""),"")</f>
        <v/>
      </c>
      <c r="AZ1855" s="116"/>
      <c r="BA1855" s="116"/>
      <c r="BB1855" s="116"/>
      <c r="BE1855" s="62"/>
      <c r="BF1855" s="63"/>
    </row>
    <row r="1856" spans="1:58" ht="12.75" customHeight="1" x14ac:dyDescent="0.25">
      <c r="A1856" s="334"/>
      <c r="B1856" s="334"/>
      <c r="C1856" s="332"/>
      <c r="D1856" s="334"/>
      <c r="E1856" s="335"/>
      <c r="F1856" s="334"/>
      <c r="G1856" s="332"/>
      <c r="H1856" s="332"/>
      <c r="I1856" s="334"/>
      <c r="J1856" s="336"/>
      <c r="K1856" s="332"/>
      <c r="L1856" s="332"/>
      <c r="M1856" s="76"/>
      <c r="N1856" s="103" t="str">
        <f>IF(A1856="","",VLOOKUP(A1856,Stand!C:K,9,0))</f>
        <v/>
      </c>
      <c r="O1856" s="104" t="str">
        <f t="shared" si="794"/>
        <v/>
      </c>
      <c r="P1856" s="105" t="str">
        <f t="shared" si="795"/>
        <v/>
      </c>
      <c r="Q1856" s="105" t="str">
        <f t="shared" si="810"/>
        <v/>
      </c>
      <c r="R1856" s="103" t="str">
        <f t="shared" si="796"/>
        <v/>
      </c>
      <c r="S1856" s="103" t="str">
        <f t="shared" si="797"/>
        <v/>
      </c>
      <c r="T1856" s="106" t="str">
        <f t="shared" si="811"/>
        <v/>
      </c>
      <c r="U1856" s="106" t="str">
        <f t="shared" si="812"/>
        <v/>
      </c>
      <c r="V1856" s="106" t="str">
        <f t="shared" si="813"/>
        <v/>
      </c>
      <c r="W1856" s="105" t="str">
        <f t="shared" si="798"/>
        <v/>
      </c>
      <c r="X1856" s="104" t="str">
        <f t="shared" si="803"/>
        <v/>
      </c>
      <c r="Y1856" s="104" t="str">
        <f t="array" ref="Y1856">IFERROR(IF(ISNUMBER(O1856),IF(COUNT(IF(A1856=$A$2:$A$2427,IF(D1856=$D$2:$D$2427,IF($X$2:$X$2427&gt;0,1))))&gt;0,SUM(IF(A1856=$A$2:$A$2427,IF(D1856=$D$2:$D$2427,$X$2:$X$2427)))/COUNT(IF(A1856=$A$2:$A$2427,IF(D1856=$D$2:$D$2427,IF(ISNUMBER($X$2:$X$2427),1)))),0),""),0)</f>
        <v/>
      </c>
      <c r="Z1856" s="104" t="str">
        <f>IF(ISNUMBER(O1856),IF(I1856&gt;0,(10^(VLOOKUP(D1856,'Species Codes'!B:C,2,0)+VLOOKUP(D1856,'Species Codes'!B:D,3,0)*LOG(E1856)+VLOOKUP(D1856,'Species Codes'!B:E,4,0)*LOG(I1856))),0),"")</f>
        <v/>
      </c>
      <c r="AA1856" s="104" t="str">
        <f>IFERROR((VLOOKUP(D1856,'Species Codes'!B:G,6,0)*Z1856)/2000,"")</f>
        <v/>
      </c>
      <c r="AB1856" s="104" t="e">
        <f>IF(Z1856&gt;0,((IF(OR(D1856="DF",D1856="RA")=TRUE,EXP(VLOOKUP(D1856,'Species Codes'!B:I,8,0)+VLOOKUP(D1856,'Species Codes'!B:J,9,0)*(LN((E1856*2.54)))),IF(OR(D1856="PY",D1856="RC",D1856="WH",D1856="NF")=TRUE,VLOOKUP(D1856,'Species Codes'!B:I,8,0)+VLOOKUP(D1856,'Species Codes'!B:J,9,0)*((E1856*2.54)^2)*(I1856*0.3048),IF(OR(D1856="MD",D1856="BM",D1856="GA")=TRUE,((VLOOKUP(D1856,'Species Codes'!B:I,8,0)*(((((E1856*2.54)+VLOOKUP(D1856,'Species Codes'!B:J,9,0))/VLOOKUP(D1856,'Species Codes'!B:K,10,0))^VLOOKUP(D1856,'Species Codes'!B:L,11,0))*((I1856*0.3048)^VLOOKUP(D1856,'Species Codes'!B:M,12,0))))-(VLOOKUP(D1856,'Species Codes'!B:I,8,0)*((((E1856*2.54)^VLOOKUP(D1856,'Species Codes'!B:L,11,0))*((I1856*0.3048)^VLOOKUP(D1856,'Species Codes'!B:M,12,0))))))*35.3*VLOOKUP(D1856,'Species Codes'!B:G,6,0)/2.2046,VLOOKUP(D1856,'Species Codes'!B:I,8,0)+VLOOKUP(D1856,'Species Codes'!B:J,9,0)*(((E1856*2.54)/100)^2)*(I1856*0.3048)))))*0.0011023),0)</f>
        <v>#N/A</v>
      </c>
      <c r="AC1856" s="104" t="e">
        <f>IF(Z1856&gt;0,((IF(OR(D1856="RA",D1856="OA",D1856="OT",D1856="UN",D1856="PC"),EXP(VLOOKUP(D1856,'Species Codes'!B:O,14,0)+VLOOKUP(D1856,'Species Codes'!B:P,15,0)*LN((E1856*2.54)))-EXP(VLOOKUP(D1856,'Species Codes'!B:O,14,0)+VLOOKUP(D1856,'Species Codes'!B:P,15,0)*LN((E1856*2.54)))*(1/(VLOOKUP(D1856,'Species Codes'!B:Q,16,0)+VLOOKUP(D1856,'Species Codes'!B:R,17,0)*((E1856*2.54)^VLOOKUP(D1856,'Species Codes'!B:S,18,0)))),IF(OR(D1856="BM",D1856="MD",D1856="OA"),EXP(VLOOKUP(D1856,'Species Codes'!B:O,14,0)+VLOOKUP(D1856,'Species Codes'!B:P,15,0)*LN((E1856*2.54)))*(1-(1/(VLOOKUP(D1856,'Species Codes'!B:Q,16,0)+VLOOKUP(D1856,'Species Codes'!B:R,17,0)*((E1856*2.54)^VLOOKUP(D1856,'Species Codes'!B:S,18,0)))))/1000,IF(D1856="DF",EXP(VLOOKUP(D1856,'Species Codes'!B:O,14,0)+VLOOKUP(D1856,'Species Codes'!B:P,15,0)*LN((E1856*2.54))),VLOOKUP(D1856,'Species Codes'!B:O,14,0)+VLOOKUP(D1856,'Species Codes'!B:P,15,0)*(((E1856*2.54)/100)^2)*(I1856*0.3048)))))*0.0011023),0)</f>
        <v>#N/A</v>
      </c>
      <c r="AD1856" s="104" t="e">
        <f t="shared" si="814"/>
        <v>#N/A</v>
      </c>
      <c r="AE1856" s="104" t="e">
        <f t="shared" si="815"/>
        <v>#N/A</v>
      </c>
      <c r="AF1856" s="104" t="e">
        <f>IF(AND(VLOOKUP($D1856,Merchantability!$B:$C,2,0)="Yes",$E1856&gt;=VLOOKUP($D1856,Merchantability!$B:$D,3,0),$E1856&lt;=VLOOKUP($D1856,Merchantability!$B:$E,4,0)),AA1856,0)</f>
        <v>#N/A</v>
      </c>
      <c r="AG1856" s="104" t="e">
        <f>IF(AND(VLOOKUP($D1856,Merchantability!$B:$C,2,0)="Yes",$E1856&gt;=VLOOKUP($D1856,Merchantability!$B:$D,3,0),$E1856&lt;=VLOOKUP($D1856,Merchantability!$B:$E,4,0)),AB1856,0)</f>
        <v>#N/A</v>
      </c>
      <c r="AH1856" s="104" t="e">
        <f>IF(AND(VLOOKUP($D1856,Merchantability!$B:$C,2,0)="Yes",$E1856&gt;=VLOOKUP($D1856,Merchantability!$B:$D,3,0),$E1856&lt;=VLOOKUP($D1856,Merchantability!$B:$E,4,0)),AC1856,0)</f>
        <v>#N/A</v>
      </c>
      <c r="AI1856" s="104" t="e">
        <f t="shared" si="816"/>
        <v>#N/A</v>
      </c>
      <c r="AJ1856" s="104" t="e">
        <f t="shared" si="817"/>
        <v>#VALUE!</v>
      </c>
      <c r="AK1856" s="104" t="e">
        <f t="shared" si="818"/>
        <v>#N/A</v>
      </c>
      <c r="AL1856" s="104" t="e">
        <f t="shared" si="819"/>
        <v>#N/A</v>
      </c>
      <c r="AM1856" s="104" t="e">
        <f t="shared" si="820"/>
        <v>#N/A</v>
      </c>
      <c r="AN1856" s="104" t="e">
        <f t="shared" si="804"/>
        <v>#N/A</v>
      </c>
      <c r="AO1856" s="104" t="e">
        <f t="shared" si="805"/>
        <v>#N/A</v>
      </c>
      <c r="AP1856" s="104" t="e">
        <f t="shared" si="806"/>
        <v>#N/A</v>
      </c>
      <c r="AQ1856" s="104" t="e">
        <f t="shared" si="807"/>
        <v>#N/A</v>
      </c>
      <c r="AR1856" s="105" t="str">
        <f t="shared" si="799"/>
        <v/>
      </c>
      <c r="AS1856" s="105" t="str">
        <f t="shared" si="800"/>
        <v/>
      </c>
      <c r="AT1856" s="108" t="str">
        <f t="shared" si="801"/>
        <v/>
      </c>
      <c r="AU1856" s="108" t="str">
        <f t="shared" si="802"/>
        <v/>
      </c>
      <c r="AV1856" s="107" t="str">
        <f>IF(ISNUMBER(O1856),IF(VLOOKUP($A1856,Stand!C:J,8,FALSE)="Short",AT1856,AU1856),"")</f>
        <v/>
      </c>
      <c r="AW1856" s="109" t="str">
        <f t="shared" si="808"/>
        <v/>
      </c>
      <c r="AX1856" s="109" t="str">
        <f t="shared" si="809"/>
        <v/>
      </c>
      <c r="AY1856" s="112" t="str">
        <f>IF(ISNUMBER(O1856),IF(AND(VLOOKUP($D1856,Merchantability!$B:$C,2,0)="Yes",$E1856&gt;=VLOOKUP($D1856,Merchantability!$B:$D,3,0),$E1856&lt;=VLOOKUP($D1856,Merchantability!$B:$E,4,0)),(AV1856*O1856)*(1-$H1856/100),""),"")</f>
        <v/>
      </c>
      <c r="AZ1856" s="116"/>
      <c r="BA1856" s="116"/>
      <c r="BB1856" s="116"/>
      <c r="BE1856" s="62"/>
      <c r="BF1856" s="63"/>
    </row>
    <row r="1857" spans="1:58" ht="12.75" customHeight="1" x14ac:dyDescent="0.25">
      <c r="A1857" s="334"/>
      <c r="B1857" s="334"/>
      <c r="C1857" s="332"/>
      <c r="D1857" s="334"/>
      <c r="E1857" s="335"/>
      <c r="F1857" s="334"/>
      <c r="G1857" s="332"/>
      <c r="H1857" s="332"/>
      <c r="I1857" s="334"/>
      <c r="J1857" s="336"/>
      <c r="K1857" s="332"/>
      <c r="L1857" s="332"/>
      <c r="M1857" s="76"/>
      <c r="N1857" s="103" t="str">
        <f>IF(A1857="","",VLOOKUP(A1857,Stand!C:K,9,0))</f>
        <v/>
      </c>
      <c r="O1857" s="104" t="str">
        <f t="shared" si="794"/>
        <v/>
      </c>
      <c r="P1857" s="105" t="str">
        <f t="shared" si="795"/>
        <v/>
      </c>
      <c r="Q1857" s="105" t="str">
        <f t="shared" si="810"/>
        <v/>
      </c>
      <c r="R1857" s="103" t="str">
        <f t="shared" si="796"/>
        <v/>
      </c>
      <c r="S1857" s="103" t="str">
        <f t="shared" si="797"/>
        <v/>
      </c>
      <c r="T1857" s="106" t="str">
        <f t="shared" si="811"/>
        <v/>
      </c>
      <c r="U1857" s="106" t="str">
        <f t="shared" si="812"/>
        <v/>
      </c>
      <c r="V1857" s="106" t="str">
        <f t="shared" si="813"/>
        <v/>
      </c>
      <c r="W1857" s="105" t="str">
        <f t="shared" si="798"/>
        <v/>
      </c>
      <c r="X1857" s="104" t="str">
        <f t="shared" si="803"/>
        <v/>
      </c>
      <c r="Y1857" s="104" t="str">
        <f t="array" ref="Y1857">IFERROR(IF(ISNUMBER(O1857),IF(COUNT(IF(A1857=$A$2:$A$2427,IF(D1857=$D$2:$D$2427,IF($X$2:$X$2427&gt;0,1))))&gt;0,SUM(IF(A1857=$A$2:$A$2427,IF(D1857=$D$2:$D$2427,$X$2:$X$2427)))/COUNT(IF(A1857=$A$2:$A$2427,IF(D1857=$D$2:$D$2427,IF(ISNUMBER($X$2:$X$2427),1)))),0),""),0)</f>
        <v/>
      </c>
      <c r="Z1857" s="104" t="str">
        <f>IF(ISNUMBER(O1857),IF(I1857&gt;0,(10^(VLOOKUP(D1857,'Species Codes'!B:C,2,0)+VLOOKUP(D1857,'Species Codes'!B:D,3,0)*LOG(E1857)+VLOOKUP(D1857,'Species Codes'!B:E,4,0)*LOG(I1857))),0),"")</f>
        <v/>
      </c>
      <c r="AA1857" s="104" t="str">
        <f>IFERROR((VLOOKUP(D1857,'Species Codes'!B:G,6,0)*Z1857)/2000,"")</f>
        <v/>
      </c>
      <c r="AB1857" s="104" t="e">
        <f>IF(Z1857&gt;0,((IF(OR(D1857="DF",D1857="RA")=TRUE,EXP(VLOOKUP(D1857,'Species Codes'!B:I,8,0)+VLOOKUP(D1857,'Species Codes'!B:J,9,0)*(LN((E1857*2.54)))),IF(OR(D1857="PY",D1857="RC",D1857="WH",D1857="NF")=TRUE,VLOOKUP(D1857,'Species Codes'!B:I,8,0)+VLOOKUP(D1857,'Species Codes'!B:J,9,0)*((E1857*2.54)^2)*(I1857*0.3048),IF(OR(D1857="MD",D1857="BM",D1857="GA")=TRUE,((VLOOKUP(D1857,'Species Codes'!B:I,8,0)*(((((E1857*2.54)+VLOOKUP(D1857,'Species Codes'!B:J,9,0))/VLOOKUP(D1857,'Species Codes'!B:K,10,0))^VLOOKUP(D1857,'Species Codes'!B:L,11,0))*((I1857*0.3048)^VLOOKUP(D1857,'Species Codes'!B:M,12,0))))-(VLOOKUP(D1857,'Species Codes'!B:I,8,0)*((((E1857*2.54)^VLOOKUP(D1857,'Species Codes'!B:L,11,0))*((I1857*0.3048)^VLOOKUP(D1857,'Species Codes'!B:M,12,0))))))*35.3*VLOOKUP(D1857,'Species Codes'!B:G,6,0)/2.2046,VLOOKUP(D1857,'Species Codes'!B:I,8,0)+VLOOKUP(D1857,'Species Codes'!B:J,9,0)*(((E1857*2.54)/100)^2)*(I1857*0.3048)))))*0.0011023),0)</f>
        <v>#N/A</v>
      </c>
      <c r="AC1857" s="104" t="e">
        <f>IF(Z1857&gt;0,((IF(OR(D1857="RA",D1857="OA",D1857="OT",D1857="UN",D1857="PC"),EXP(VLOOKUP(D1857,'Species Codes'!B:O,14,0)+VLOOKUP(D1857,'Species Codes'!B:P,15,0)*LN((E1857*2.54)))-EXP(VLOOKUP(D1857,'Species Codes'!B:O,14,0)+VLOOKUP(D1857,'Species Codes'!B:P,15,0)*LN((E1857*2.54)))*(1/(VLOOKUP(D1857,'Species Codes'!B:Q,16,0)+VLOOKUP(D1857,'Species Codes'!B:R,17,0)*((E1857*2.54)^VLOOKUP(D1857,'Species Codes'!B:S,18,0)))),IF(OR(D1857="BM",D1857="MD",D1857="OA"),EXP(VLOOKUP(D1857,'Species Codes'!B:O,14,0)+VLOOKUP(D1857,'Species Codes'!B:P,15,0)*LN((E1857*2.54)))*(1-(1/(VLOOKUP(D1857,'Species Codes'!B:Q,16,0)+VLOOKUP(D1857,'Species Codes'!B:R,17,0)*((E1857*2.54)^VLOOKUP(D1857,'Species Codes'!B:S,18,0)))))/1000,IF(D1857="DF",EXP(VLOOKUP(D1857,'Species Codes'!B:O,14,0)+VLOOKUP(D1857,'Species Codes'!B:P,15,0)*LN((E1857*2.54))),VLOOKUP(D1857,'Species Codes'!B:O,14,0)+VLOOKUP(D1857,'Species Codes'!B:P,15,0)*(((E1857*2.54)/100)^2)*(I1857*0.3048)))))*0.0011023),0)</f>
        <v>#N/A</v>
      </c>
      <c r="AD1857" s="104" t="e">
        <f t="shared" si="814"/>
        <v>#N/A</v>
      </c>
      <c r="AE1857" s="104" t="e">
        <f t="shared" si="815"/>
        <v>#N/A</v>
      </c>
      <c r="AF1857" s="104" t="e">
        <f>IF(AND(VLOOKUP($D1857,Merchantability!$B:$C,2,0)="Yes",$E1857&gt;=VLOOKUP($D1857,Merchantability!$B:$D,3,0),$E1857&lt;=VLOOKUP($D1857,Merchantability!$B:$E,4,0)),AA1857,0)</f>
        <v>#N/A</v>
      </c>
      <c r="AG1857" s="104" t="e">
        <f>IF(AND(VLOOKUP($D1857,Merchantability!$B:$C,2,0)="Yes",$E1857&gt;=VLOOKUP($D1857,Merchantability!$B:$D,3,0),$E1857&lt;=VLOOKUP($D1857,Merchantability!$B:$E,4,0)),AB1857,0)</f>
        <v>#N/A</v>
      </c>
      <c r="AH1857" s="104" t="e">
        <f>IF(AND(VLOOKUP($D1857,Merchantability!$B:$C,2,0)="Yes",$E1857&gt;=VLOOKUP($D1857,Merchantability!$B:$D,3,0),$E1857&lt;=VLOOKUP($D1857,Merchantability!$B:$E,4,0)),AC1857,0)</f>
        <v>#N/A</v>
      </c>
      <c r="AI1857" s="104" t="e">
        <f t="shared" si="816"/>
        <v>#N/A</v>
      </c>
      <c r="AJ1857" s="104" t="e">
        <f t="shared" si="817"/>
        <v>#VALUE!</v>
      </c>
      <c r="AK1857" s="104" t="e">
        <f t="shared" si="818"/>
        <v>#N/A</v>
      </c>
      <c r="AL1857" s="104" t="e">
        <f t="shared" si="819"/>
        <v>#N/A</v>
      </c>
      <c r="AM1857" s="104" t="e">
        <f t="shared" si="820"/>
        <v>#N/A</v>
      </c>
      <c r="AN1857" s="104" t="e">
        <f t="shared" si="804"/>
        <v>#N/A</v>
      </c>
      <c r="AO1857" s="104" t="e">
        <f t="shared" si="805"/>
        <v>#N/A</v>
      </c>
      <c r="AP1857" s="104" t="e">
        <f t="shared" si="806"/>
        <v>#N/A</v>
      </c>
      <c r="AQ1857" s="104" t="e">
        <f t="shared" si="807"/>
        <v>#N/A</v>
      </c>
      <c r="AR1857" s="105" t="str">
        <f t="shared" si="799"/>
        <v/>
      </c>
      <c r="AS1857" s="105" t="str">
        <f t="shared" si="800"/>
        <v/>
      </c>
      <c r="AT1857" s="108" t="str">
        <f t="shared" si="801"/>
        <v/>
      </c>
      <c r="AU1857" s="108" t="str">
        <f t="shared" si="802"/>
        <v/>
      </c>
      <c r="AV1857" s="107" t="str">
        <f>IF(ISNUMBER(O1857),IF(VLOOKUP($A1857,Stand!C:J,8,FALSE)="Short",AT1857,AU1857),"")</f>
        <v/>
      </c>
      <c r="AW1857" s="109" t="str">
        <f t="shared" si="808"/>
        <v/>
      </c>
      <c r="AX1857" s="109" t="str">
        <f t="shared" si="809"/>
        <v/>
      </c>
      <c r="AY1857" s="112" t="str">
        <f>IF(ISNUMBER(O1857),IF(AND(VLOOKUP($D1857,Merchantability!$B:$C,2,0)="Yes",$E1857&gt;=VLOOKUP($D1857,Merchantability!$B:$D,3,0),$E1857&lt;=VLOOKUP($D1857,Merchantability!$B:$E,4,0)),(AV1857*O1857)*(1-$H1857/100),""),"")</f>
        <v/>
      </c>
      <c r="AZ1857" s="116"/>
      <c r="BA1857" s="116"/>
      <c r="BB1857" s="116"/>
      <c r="BE1857" s="62"/>
      <c r="BF1857" s="63"/>
    </row>
    <row r="1858" spans="1:58" ht="12.75" customHeight="1" x14ac:dyDescent="0.25">
      <c r="A1858" s="334"/>
      <c r="B1858" s="334"/>
      <c r="C1858" s="332"/>
      <c r="D1858" s="334"/>
      <c r="E1858" s="335"/>
      <c r="F1858" s="334"/>
      <c r="G1858" s="332"/>
      <c r="H1858" s="332"/>
      <c r="I1858" s="334"/>
      <c r="J1858" s="336"/>
      <c r="K1858" s="332"/>
      <c r="L1858" s="332"/>
      <c r="M1858" s="76"/>
      <c r="N1858" s="103" t="str">
        <f>IF(A1858="","",VLOOKUP(A1858,Stand!C:K,9,0))</f>
        <v/>
      </c>
      <c r="O1858" s="104" t="str">
        <f t="shared" ref="O1858:O1921" si="821">IF(E1858&gt;0,IF(G1858&gt;1,G1858*(43560/(N1858^2*3.14)),43560/(N1858^2*3.14)),"")</f>
        <v/>
      </c>
      <c r="P1858" s="105" t="str">
        <f t="shared" ref="P1858:P1921" si="822">IF(ISNUMBER(O1858),E1858*O1858,"")</f>
        <v/>
      </c>
      <c r="Q1858" s="105" t="str">
        <f t="shared" si="810"/>
        <v/>
      </c>
      <c r="R1858" s="103" t="str">
        <f t="shared" ref="R1858:R1921" si="823">IF(ISNUMBER(O1858),E1858^2*0.005454*O1858,"")</f>
        <v/>
      </c>
      <c r="S1858" s="103" t="str">
        <f t="shared" ref="S1858:S1921" si="824">IF(ISNUMBER(O1858),(E1858/10)^1.7*O1858,"")</f>
        <v/>
      </c>
      <c r="T1858" s="106" t="str">
        <f t="shared" si="811"/>
        <v/>
      </c>
      <c r="U1858" s="106" t="str">
        <f t="shared" si="812"/>
        <v/>
      </c>
      <c r="V1858" s="106" t="str">
        <f t="shared" si="813"/>
        <v/>
      </c>
      <c r="W1858" s="105" t="str">
        <f t="shared" ref="W1858:W1921" si="825">IF(AND(ISNUMBER(O1858),I1858&gt;0),I1858/(E1858/12),"")</f>
        <v/>
      </c>
      <c r="X1858" s="104" t="str">
        <f t="shared" si="803"/>
        <v/>
      </c>
      <c r="Y1858" s="104" t="str">
        <f t="array" ref="Y1858">IFERROR(IF(ISNUMBER(O1858),IF(COUNT(IF(A1858=$A$2:$A$2427,IF(D1858=$D$2:$D$2427,IF($X$2:$X$2427&gt;0,1))))&gt;0,SUM(IF(A1858=$A$2:$A$2427,IF(D1858=$D$2:$D$2427,$X$2:$X$2427)))/COUNT(IF(A1858=$A$2:$A$2427,IF(D1858=$D$2:$D$2427,IF(ISNUMBER($X$2:$X$2427),1)))),0),""),0)</f>
        <v/>
      </c>
      <c r="Z1858" s="104" t="str">
        <f>IF(ISNUMBER(O1858),IF(I1858&gt;0,(10^(VLOOKUP(D1858,'Species Codes'!B:C,2,0)+VLOOKUP(D1858,'Species Codes'!B:D,3,0)*LOG(E1858)+VLOOKUP(D1858,'Species Codes'!B:E,4,0)*LOG(I1858))),0),"")</f>
        <v/>
      </c>
      <c r="AA1858" s="104" t="str">
        <f>IFERROR((VLOOKUP(D1858,'Species Codes'!B:G,6,0)*Z1858)/2000,"")</f>
        <v/>
      </c>
      <c r="AB1858" s="104" t="e">
        <f>IF(Z1858&gt;0,((IF(OR(D1858="DF",D1858="RA")=TRUE,EXP(VLOOKUP(D1858,'Species Codes'!B:I,8,0)+VLOOKUP(D1858,'Species Codes'!B:J,9,0)*(LN((E1858*2.54)))),IF(OR(D1858="PY",D1858="RC",D1858="WH",D1858="NF")=TRUE,VLOOKUP(D1858,'Species Codes'!B:I,8,0)+VLOOKUP(D1858,'Species Codes'!B:J,9,0)*((E1858*2.54)^2)*(I1858*0.3048),IF(OR(D1858="MD",D1858="BM",D1858="GA")=TRUE,((VLOOKUP(D1858,'Species Codes'!B:I,8,0)*(((((E1858*2.54)+VLOOKUP(D1858,'Species Codes'!B:J,9,0))/VLOOKUP(D1858,'Species Codes'!B:K,10,0))^VLOOKUP(D1858,'Species Codes'!B:L,11,0))*((I1858*0.3048)^VLOOKUP(D1858,'Species Codes'!B:M,12,0))))-(VLOOKUP(D1858,'Species Codes'!B:I,8,0)*((((E1858*2.54)^VLOOKUP(D1858,'Species Codes'!B:L,11,0))*((I1858*0.3048)^VLOOKUP(D1858,'Species Codes'!B:M,12,0))))))*35.3*VLOOKUP(D1858,'Species Codes'!B:G,6,0)/2.2046,VLOOKUP(D1858,'Species Codes'!B:I,8,0)+VLOOKUP(D1858,'Species Codes'!B:J,9,0)*(((E1858*2.54)/100)^2)*(I1858*0.3048)))))*0.0011023),0)</f>
        <v>#N/A</v>
      </c>
      <c r="AC1858" s="104" t="e">
        <f>IF(Z1858&gt;0,((IF(OR(D1858="RA",D1858="OA",D1858="OT",D1858="UN",D1858="PC"),EXP(VLOOKUP(D1858,'Species Codes'!B:O,14,0)+VLOOKUP(D1858,'Species Codes'!B:P,15,0)*LN((E1858*2.54)))-EXP(VLOOKUP(D1858,'Species Codes'!B:O,14,0)+VLOOKUP(D1858,'Species Codes'!B:P,15,0)*LN((E1858*2.54)))*(1/(VLOOKUP(D1858,'Species Codes'!B:Q,16,0)+VLOOKUP(D1858,'Species Codes'!B:R,17,0)*((E1858*2.54)^VLOOKUP(D1858,'Species Codes'!B:S,18,0)))),IF(OR(D1858="BM",D1858="MD",D1858="OA"),EXP(VLOOKUP(D1858,'Species Codes'!B:O,14,0)+VLOOKUP(D1858,'Species Codes'!B:P,15,0)*LN((E1858*2.54)))*(1-(1/(VLOOKUP(D1858,'Species Codes'!B:Q,16,0)+VLOOKUP(D1858,'Species Codes'!B:R,17,0)*((E1858*2.54)^VLOOKUP(D1858,'Species Codes'!B:S,18,0)))))/1000,IF(D1858="DF",EXP(VLOOKUP(D1858,'Species Codes'!B:O,14,0)+VLOOKUP(D1858,'Species Codes'!B:P,15,0)*LN((E1858*2.54))),VLOOKUP(D1858,'Species Codes'!B:O,14,0)+VLOOKUP(D1858,'Species Codes'!B:P,15,0)*(((E1858*2.54)/100)^2)*(I1858*0.3048)))))*0.0011023),0)</f>
        <v>#N/A</v>
      </c>
      <c r="AD1858" s="104" t="e">
        <f t="shared" si="814"/>
        <v>#N/A</v>
      </c>
      <c r="AE1858" s="104" t="e">
        <f t="shared" si="815"/>
        <v>#N/A</v>
      </c>
      <c r="AF1858" s="104" t="e">
        <f>IF(AND(VLOOKUP($D1858,Merchantability!$B:$C,2,0)="Yes",$E1858&gt;=VLOOKUP($D1858,Merchantability!$B:$D,3,0),$E1858&lt;=VLOOKUP($D1858,Merchantability!$B:$E,4,0)),AA1858,0)</f>
        <v>#N/A</v>
      </c>
      <c r="AG1858" s="104" t="e">
        <f>IF(AND(VLOOKUP($D1858,Merchantability!$B:$C,2,0)="Yes",$E1858&gt;=VLOOKUP($D1858,Merchantability!$B:$D,3,0),$E1858&lt;=VLOOKUP($D1858,Merchantability!$B:$E,4,0)),AB1858,0)</f>
        <v>#N/A</v>
      </c>
      <c r="AH1858" s="104" t="e">
        <f>IF(AND(VLOOKUP($D1858,Merchantability!$B:$C,2,0)="Yes",$E1858&gt;=VLOOKUP($D1858,Merchantability!$B:$D,3,0),$E1858&lt;=VLOOKUP($D1858,Merchantability!$B:$E,4,0)),AC1858,0)</f>
        <v>#N/A</v>
      </c>
      <c r="AI1858" s="104" t="e">
        <f t="shared" si="816"/>
        <v>#N/A</v>
      </c>
      <c r="AJ1858" s="104" t="e">
        <f t="shared" si="817"/>
        <v>#VALUE!</v>
      </c>
      <c r="AK1858" s="104" t="e">
        <f t="shared" si="818"/>
        <v>#N/A</v>
      </c>
      <c r="AL1858" s="104" t="e">
        <f t="shared" si="819"/>
        <v>#N/A</v>
      </c>
      <c r="AM1858" s="104" t="e">
        <f t="shared" si="820"/>
        <v>#N/A</v>
      </c>
      <c r="AN1858" s="104" t="e">
        <f t="shared" si="804"/>
        <v>#N/A</v>
      </c>
      <c r="AO1858" s="104" t="e">
        <f t="shared" si="805"/>
        <v>#N/A</v>
      </c>
      <c r="AP1858" s="104" t="e">
        <f t="shared" si="806"/>
        <v>#N/A</v>
      </c>
      <c r="AQ1858" s="104" t="e">
        <f t="shared" si="807"/>
        <v>#N/A</v>
      </c>
      <c r="AR1858" s="105" t="str">
        <f t="shared" ref="AR1858:AR1921" si="826">IF(ISNUMBER(O1858),IF(Y1858&gt;0,((Y1858*(E1858^2*0.005454-0.087266))/0.912733),0),"")</f>
        <v/>
      </c>
      <c r="AS1858" s="105" t="str">
        <f t="shared" ref="AS1858:AS1921" si="827">IF(ISNUMBER(O1858),AR1858*(0.993-0.993*(0.62^(E1858-6))),"")</f>
        <v/>
      </c>
      <c r="AT1858" s="108" t="str">
        <f t="shared" ref="AT1858:AT1921" si="828">IF(ISNUMBER(O1858),IF(AS1858&gt;0,IF(Y1858&gt;0,(AS1858*10^(0.174439+0.117594*(LOG(E1858,10))*(LOG(Y1858/0.912733,10))-8.210585/E1858^2+0.236693*(LOG(Y1858/0.912733,10))-0.00001345*(Y1858/0.912733)^2-0.00001937*E1858^2)),0),0),"")</f>
        <v/>
      </c>
      <c r="AU1858" s="108" t="str">
        <f t="shared" ref="AU1858:AU1921" si="829">IF(ISNUMBER(O1858),IF(AS1858&gt;0,IF(Y1858&gt;0,AT1858*(1.001491-(6.92497/Y1858)+(0.00001351*(E1858^2))),0),0),"")</f>
        <v/>
      </c>
      <c r="AV1858" s="107" t="str">
        <f>IF(ISNUMBER(O1858),IF(VLOOKUP($A1858,Stand!C:J,8,FALSE)="Short",AT1858,AU1858),"")</f>
        <v/>
      </c>
      <c r="AW1858" s="109" t="str">
        <f t="shared" si="808"/>
        <v/>
      </c>
      <c r="AX1858" s="109" t="str">
        <f t="shared" si="809"/>
        <v/>
      </c>
      <c r="AY1858" s="112" t="str">
        <f>IF(ISNUMBER(O1858),IF(AND(VLOOKUP($D1858,Merchantability!$B:$C,2,0)="Yes",$E1858&gt;=VLOOKUP($D1858,Merchantability!$B:$D,3,0),$E1858&lt;=VLOOKUP($D1858,Merchantability!$B:$E,4,0)),(AV1858*O1858)*(1-$H1858/100),""),"")</f>
        <v/>
      </c>
      <c r="AZ1858" s="116"/>
      <c r="BA1858" s="116"/>
      <c r="BB1858" s="116"/>
      <c r="BE1858" s="62"/>
      <c r="BF1858" s="63"/>
    </row>
    <row r="1859" spans="1:58" ht="12.75" customHeight="1" x14ac:dyDescent="0.25">
      <c r="A1859" s="334"/>
      <c r="B1859" s="334"/>
      <c r="C1859" s="332"/>
      <c r="D1859" s="334"/>
      <c r="E1859" s="335"/>
      <c r="F1859" s="334"/>
      <c r="G1859" s="332"/>
      <c r="H1859" s="332"/>
      <c r="I1859" s="334"/>
      <c r="J1859" s="336"/>
      <c r="K1859" s="332"/>
      <c r="L1859" s="332"/>
      <c r="M1859" s="76"/>
      <c r="N1859" s="103" t="str">
        <f>IF(A1859="","",VLOOKUP(A1859,Stand!C:K,9,0))</f>
        <v/>
      </c>
      <c r="O1859" s="104" t="str">
        <f t="shared" si="821"/>
        <v/>
      </c>
      <c r="P1859" s="105" t="str">
        <f t="shared" si="822"/>
        <v/>
      </c>
      <c r="Q1859" s="105" t="str">
        <f t="shared" si="810"/>
        <v/>
      </c>
      <c r="R1859" s="103" t="str">
        <f t="shared" si="823"/>
        <v/>
      </c>
      <c r="S1859" s="103" t="str">
        <f t="shared" si="824"/>
        <v/>
      </c>
      <c r="T1859" s="106" t="str">
        <f t="shared" si="811"/>
        <v/>
      </c>
      <c r="U1859" s="106" t="str">
        <f t="shared" si="812"/>
        <v/>
      </c>
      <c r="V1859" s="106" t="str">
        <f t="shared" si="813"/>
        <v/>
      </c>
      <c r="W1859" s="105" t="str">
        <f t="shared" si="825"/>
        <v/>
      </c>
      <c r="X1859" s="104" t="str">
        <f t="shared" ref="X1859:X1922" si="830">IF(ISNUMBER(O1859),IF(I1859&gt;0,IF(E1859&gt;0,(0.912733*Z1859)/(1.033*(1+1.382937*EXP(-4.015292*E1859/10))*((E1859^2)*0.005454+0.087266)-0.174533),""),""),"")</f>
        <v/>
      </c>
      <c r="Y1859" s="104" t="str">
        <f t="array" ref="Y1859">IFERROR(IF(ISNUMBER(O1859),IF(COUNT(IF(A1859=$A$2:$A$2427,IF(D1859=$D$2:$D$2427,IF($X$2:$X$2427&gt;0,1))))&gt;0,SUM(IF(A1859=$A$2:$A$2427,IF(D1859=$D$2:$D$2427,$X$2:$X$2427)))/COUNT(IF(A1859=$A$2:$A$2427,IF(D1859=$D$2:$D$2427,IF(ISNUMBER($X$2:$X$2427),1)))),0),""),0)</f>
        <v/>
      </c>
      <c r="Z1859" s="104" t="str">
        <f>IF(ISNUMBER(O1859),IF(I1859&gt;0,(10^(VLOOKUP(D1859,'Species Codes'!B:C,2,0)+VLOOKUP(D1859,'Species Codes'!B:D,3,0)*LOG(E1859)+VLOOKUP(D1859,'Species Codes'!B:E,4,0)*LOG(I1859))),0),"")</f>
        <v/>
      </c>
      <c r="AA1859" s="104" t="str">
        <f>IFERROR((VLOOKUP(D1859,'Species Codes'!B:G,6,0)*Z1859)/2000,"")</f>
        <v/>
      </c>
      <c r="AB1859" s="104" t="e">
        <f>IF(Z1859&gt;0,((IF(OR(D1859="DF",D1859="RA")=TRUE,EXP(VLOOKUP(D1859,'Species Codes'!B:I,8,0)+VLOOKUP(D1859,'Species Codes'!B:J,9,0)*(LN((E1859*2.54)))),IF(OR(D1859="PY",D1859="RC",D1859="WH",D1859="NF")=TRUE,VLOOKUP(D1859,'Species Codes'!B:I,8,0)+VLOOKUP(D1859,'Species Codes'!B:J,9,0)*((E1859*2.54)^2)*(I1859*0.3048),IF(OR(D1859="MD",D1859="BM",D1859="GA")=TRUE,((VLOOKUP(D1859,'Species Codes'!B:I,8,0)*(((((E1859*2.54)+VLOOKUP(D1859,'Species Codes'!B:J,9,0))/VLOOKUP(D1859,'Species Codes'!B:K,10,0))^VLOOKUP(D1859,'Species Codes'!B:L,11,0))*((I1859*0.3048)^VLOOKUP(D1859,'Species Codes'!B:M,12,0))))-(VLOOKUP(D1859,'Species Codes'!B:I,8,0)*((((E1859*2.54)^VLOOKUP(D1859,'Species Codes'!B:L,11,0))*((I1859*0.3048)^VLOOKUP(D1859,'Species Codes'!B:M,12,0))))))*35.3*VLOOKUP(D1859,'Species Codes'!B:G,6,0)/2.2046,VLOOKUP(D1859,'Species Codes'!B:I,8,0)+VLOOKUP(D1859,'Species Codes'!B:J,9,0)*(((E1859*2.54)/100)^2)*(I1859*0.3048)))))*0.0011023),0)</f>
        <v>#N/A</v>
      </c>
      <c r="AC1859" s="104" t="e">
        <f>IF(Z1859&gt;0,((IF(OR(D1859="RA",D1859="OA",D1859="OT",D1859="UN",D1859="PC"),EXP(VLOOKUP(D1859,'Species Codes'!B:O,14,0)+VLOOKUP(D1859,'Species Codes'!B:P,15,0)*LN((E1859*2.54)))-EXP(VLOOKUP(D1859,'Species Codes'!B:O,14,0)+VLOOKUP(D1859,'Species Codes'!B:P,15,0)*LN((E1859*2.54)))*(1/(VLOOKUP(D1859,'Species Codes'!B:Q,16,0)+VLOOKUP(D1859,'Species Codes'!B:R,17,0)*((E1859*2.54)^VLOOKUP(D1859,'Species Codes'!B:S,18,0)))),IF(OR(D1859="BM",D1859="MD",D1859="OA"),EXP(VLOOKUP(D1859,'Species Codes'!B:O,14,0)+VLOOKUP(D1859,'Species Codes'!B:P,15,0)*LN((E1859*2.54)))*(1-(1/(VLOOKUP(D1859,'Species Codes'!B:Q,16,0)+VLOOKUP(D1859,'Species Codes'!B:R,17,0)*((E1859*2.54)^VLOOKUP(D1859,'Species Codes'!B:S,18,0)))))/1000,IF(D1859="DF",EXP(VLOOKUP(D1859,'Species Codes'!B:O,14,0)+VLOOKUP(D1859,'Species Codes'!B:P,15,0)*LN((E1859*2.54))),VLOOKUP(D1859,'Species Codes'!B:O,14,0)+VLOOKUP(D1859,'Species Codes'!B:P,15,0)*(((E1859*2.54)/100)^2)*(I1859*0.3048)))))*0.0011023),0)</f>
        <v>#N/A</v>
      </c>
      <c r="AD1859" s="104" t="e">
        <f t="shared" si="814"/>
        <v>#N/A</v>
      </c>
      <c r="AE1859" s="104" t="e">
        <f t="shared" si="815"/>
        <v>#N/A</v>
      </c>
      <c r="AF1859" s="104" t="e">
        <f>IF(AND(VLOOKUP($D1859,Merchantability!$B:$C,2,0)="Yes",$E1859&gt;=VLOOKUP($D1859,Merchantability!$B:$D,3,0),$E1859&lt;=VLOOKUP($D1859,Merchantability!$B:$E,4,0)),AA1859,0)</f>
        <v>#N/A</v>
      </c>
      <c r="AG1859" s="104" t="e">
        <f>IF(AND(VLOOKUP($D1859,Merchantability!$B:$C,2,0)="Yes",$E1859&gt;=VLOOKUP($D1859,Merchantability!$B:$D,3,0),$E1859&lt;=VLOOKUP($D1859,Merchantability!$B:$E,4,0)),AB1859,0)</f>
        <v>#N/A</v>
      </c>
      <c r="AH1859" s="104" t="e">
        <f>IF(AND(VLOOKUP($D1859,Merchantability!$B:$C,2,0)="Yes",$E1859&gt;=VLOOKUP($D1859,Merchantability!$B:$D,3,0),$E1859&lt;=VLOOKUP($D1859,Merchantability!$B:$E,4,0)),AC1859,0)</f>
        <v>#N/A</v>
      </c>
      <c r="AI1859" s="104" t="e">
        <f t="shared" si="816"/>
        <v>#N/A</v>
      </c>
      <c r="AJ1859" s="104" t="e">
        <f t="shared" si="817"/>
        <v>#VALUE!</v>
      </c>
      <c r="AK1859" s="104" t="e">
        <f t="shared" si="818"/>
        <v>#N/A</v>
      </c>
      <c r="AL1859" s="104" t="e">
        <f t="shared" si="819"/>
        <v>#N/A</v>
      </c>
      <c r="AM1859" s="104" t="e">
        <f t="shared" si="820"/>
        <v>#N/A</v>
      </c>
      <c r="AN1859" s="104" t="e">
        <f t="shared" ref="AN1859:AN1922" si="831">AF1859*$O1859</f>
        <v>#N/A</v>
      </c>
      <c r="AO1859" s="104" t="e">
        <f t="shared" ref="AO1859:AO1922" si="832">AG1859*$O1859</f>
        <v>#N/A</v>
      </c>
      <c r="AP1859" s="104" t="e">
        <f t="shared" ref="AP1859:AP1922" si="833">AH1859*$O1859</f>
        <v>#N/A</v>
      </c>
      <c r="AQ1859" s="104" t="e">
        <f t="shared" ref="AQ1859:AQ1922" si="834">SUM(AN1859:AP1859)</f>
        <v>#N/A</v>
      </c>
      <c r="AR1859" s="105" t="str">
        <f t="shared" si="826"/>
        <v/>
      </c>
      <c r="AS1859" s="105" t="str">
        <f t="shared" si="827"/>
        <v/>
      </c>
      <c r="AT1859" s="108" t="str">
        <f t="shared" si="828"/>
        <v/>
      </c>
      <c r="AU1859" s="108" t="str">
        <f t="shared" si="829"/>
        <v/>
      </c>
      <c r="AV1859" s="107" t="str">
        <f>IF(ISNUMBER(O1859),IF(VLOOKUP($A1859,Stand!C:J,8,FALSE)="Short",AT1859,AU1859),"")</f>
        <v/>
      </c>
      <c r="AW1859" s="109" t="str">
        <f t="shared" ref="AW1859:AW1922" si="835">IF(ISNUMBER(O1859),AV1859*O1859,"")</f>
        <v/>
      </c>
      <c r="AX1859" s="109" t="str">
        <f t="shared" ref="AX1859:AX1922" si="836">IF(ISNUMBER(O1859),AW1859*(1-$H1859/100),"")</f>
        <v/>
      </c>
      <c r="AY1859" s="112" t="str">
        <f>IF(ISNUMBER(O1859),IF(AND(VLOOKUP($D1859,Merchantability!$B:$C,2,0)="Yes",$E1859&gt;=VLOOKUP($D1859,Merchantability!$B:$D,3,0),$E1859&lt;=VLOOKUP($D1859,Merchantability!$B:$E,4,0)),(AV1859*O1859)*(1-$H1859/100),""),"")</f>
        <v/>
      </c>
      <c r="AZ1859" s="116"/>
      <c r="BA1859" s="116"/>
      <c r="BB1859" s="116"/>
      <c r="BE1859" s="62"/>
      <c r="BF1859" s="63"/>
    </row>
    <row r="1860" spans="1:58" ht="12.75" customHeight="1" x14ac:dyDescent="0.25">
      <c r="A1860" s="334"/>
      <c r="B1860" s="334"/>
      <c r="C1860" s="332"/>
      <c r="D1860" s="334"/>
      <c r="E1860" s="335"/>
      <c r="F1860" s="334"/>
      <c r="G1860" s="332"/>
      <c r="H1860" s="332"/>
      <c r="I1860" s="334"/>
      <c r="J1860" s="336"/>
      <c r="K1860" s="332"/>
      <c r="L1860" s="332"/>
      <c r="M1860" s="76"/>
      <c r="N1860" s="103" t="str">
        <f>IF(A1860="","",VLOOKUP(A1860,Stand!C:K,9,0))</f>
        <v/>
      </c>
      <c r="O1860" s="104" t="str">
        <f t="shared" si="821"/>
        <v/>
      </c>
      <c r="P1860" s="105" t="str">
        <f t="shared" si="822"/>
        <v/>
      </c>
      <c r="Q1860" s="105" t="str">
        <f t="shared" si="810"/>
        <v/>
      </c>
      <c r="R1860" s="103" t="str">
        <f t="shared" si="823"/>
        <v/>
      </c>
      <c r="S1860" s="103" t="str">
        <f t="shared" si="824"/>
        <v/>
      </c>
      <c r="T1860" s="106" t="str">
        <f t="shared" si="811"/>
        <v/>
      </c>
      <c r="U1860" s="106" t="str">
        <f t="shared" si="812"/>
        <v/>
      </c>
      <c r="V1860" s="106" t="str">
        <f t="shared" si="813"/>
        <v/>
      </c>
      <c r="W1860" s="105" t="str">
        <f t="shared" si="825"/>
        <v/>
      </c>
      <c r="X1860" s="104" t="str">
        <f t="shared" si="830"/>
        <v/>
      </c>
      <c r="Y1860" s="104" t="str">
        <f t="array" ref="Y1860">IFERROR(IF(ISNUMBER(O1860),IF(COUNT(IF(A1860=$A$2:$A$2427,IF(D1860=$D$2:$D$2427,IF($X$2:$X$2427&gt;0,1))))&gt;0,SUM(IF(A1860=$A$2:$A$2427,IF(D1860=$D$2:$D$2427,$X$2:$X$2427)))/COUNT(IF(A1860=$A$2:$A$2427,IF(D1860=$D$2:$D$2427,IF(ISNUMBER($X$2:$X$2427),1)))),0),""),0)</f>
        <v/>
      </c>
      <c r="Z1860" s="104" t="str">
        <f>IF(ISNUMBER(O1860),IF(I1860&gt;0,(10^(VLOOKUP(D1860,'Species Codes'!B:C,2,0)+VLOOKUP(D1860,'Species Codes'!B:D,3,0)*LOG(E1860)+VLOOKUP(D1860,'Species Codes'!B:E,4,0)*LOG(I1860))),0),"")</f>
        <v/>
      </c>
      <c r="AA1860" s="104" t="str">
        <f>IFERROR((VLOOKUP(D1860,'Species Codes'!B:G,6,0)*Z1860)/2000,"")</f>
        <v/>
      </c>
      <c r="AB1860" s="104" t="e">
        <f>IF(Z1860&gt;0,((IF(OR(D1860="DF",D1860="RA")=TRUE,EXP(VLOOKUP(D1860,'Species Codes'!B:I,8,0)+VLOOKUP(D1860,'Species Codes'!B:J,9,0)*(LN((E1860*2.54)))),IF(OR(D1860="PY",D1860="RC",D1860="WH",D1860="NF")=TRUE,VLOOKUP(D1860,'Species Codes'!B:I,8,0)+VLOOKUP(D1860,'Species Codes'!B:J,9,0)*((E1860*2.54)^2)*(I1860*0.3048),IF(OR(D1860="MD",D1860="BM",D1860="GA")=TRUE,((VLOOKUP(D1860,'Species Codes'!B:I,8,0)*(((((E1860*2.54)+VLOOKUP(D1860,'Species Codes'!B:J,9,0))/VLOOKUP(D1860,'Species Codes'!B:K,10,0))^VLOOKUP(D1860,'Species Codes'!B:L,11,0))*((I1860*0.3048)^VLOOKUP(D1860,'Species Codes'!B:M,12,0))))-(VLOOKUP(D1860,'Species Codes'!B:I,8,0)*((((E1860*2.54)^VLOOKUP(D1860,'Species Codes'!B:L,11,0))*((I1860*0.3048)^VLOOKUP(D1860,'Species Codes'!B:M,12,0))))))*35.3*VLOOKUP(D1860,'Species Codes'!B:G,6,0)/2.2046,VLOOKUP(D1860,'Species Codes'!B:I,8,0)+VLOOKUP(D1860,'Species Codes'!B:J,9,0)*(((E1860*2.54)/100)^2)*(I1860*0.3048)))))*0.0011023),0)</f>
        <v>#N/A</v>
      </c>
      <c r="AC1860" s="104" t="e">
        <f>IF(Z1860&gt;0,((IF(OR(D1860="RA",D1860="OA",D1860="OT",D1860="UN",D1860="PC"),EXP(VLOOKUP(D1860,'Species Codes'!B:O,14,0)+VLOOKUP(D1860,'Species Codes'!B:P,15,0)*LN((E1860*2.54)))-EXP(VLOOKUP(D1860,'Species Codes'!B:O,14,0)+VLOOKUP(D1860,'Species Codes'!B:P,15,0)*LN((E1860*2.54)))*(1/(VLOOKUP(D1860,'Species Codes'!B:Q,16,0)+VLOOKUP(D1860,'Species Codes'!B:R,17,0)*((E1860*2.54)^VLOOKUP(D1860,'Species Codes'!B:S,18,0)))),IF(OR(D1860="BM",D1860="MD",D1860="OA"),EXP(VLOOKUP(D1860,'Species Codes'!B:O,14,0)+VLOOKUP(D1860,'Species Codes'!B:P,15,0)*LN((E1860*2.54)))*(1-(1/(VLOOKUP(D1860,'Species Codes'!B:Q,16,0)+VLOOKUP(D1860,'Species Codes'!B:R,17,0)*((E1860*2.54)^VLOOKUP(D1860,'Species Codes'!B:S,18,0)))))/1000,IF(D1860="DF",EXP(VLOOKUP(D1860,'Species Codes'!B:O,14,0)+VLOOKUP(D1860,'Species Codes'!B:P,15,0)*LN((E1860*2.54))),VLOOKUP(D1860,'Species Codes'!B:O,14,0)+VLOOKUP(D1860,'Species Codes'!B:P,15,0)*(((E1860*2.54)/100)^2)*(I1860*0.3048)))))*0.0011023),0)</f>
        <v>#N/A</v>
      </c>
      <c r="AD1860" s="104" t="e">
        <f t="shared" si="814"/>
        <v>#N/A</v>
      </c>
      <c r="AE1860" s="104" t="e">
        <f t="shared" si="815"/>
        <v>#N/A</v>
      </c>
      <c r="AF1860" s="104" t="e">
        <f>IF(AND(VLOOKUP($D1860,Merchantability!$B:$C,2,0)="Yes",$E1860&gt;=VLOOKUP($D1860,Merchantability!$B:$D,3,0),$E1860&lt;=VLOOKUP($D1860,Merchantability!$B:$E,4,0)),AA1860,0)</f>
        <v>#N/A</v>
      </c>
      <c r="AG1860" s="104" t="e">
        <f>IF(AND(VLOOKUP($D1860,Merchantability!$B:$C,2,0)="Yes",$E1860&gt;=VLOOKUP($D1860,Merchantability!$B:$D,3,0),$E1860&lt;=VLOOKUP($D1860,Merchantability!$B:$E,4,0)),AB1860,0)</f>
        <v>#N/A</v>
      </c>
      <c r="AH1860" s="104" t="e">
        <f>IF(AND(VLOOKUP($D1860,Merchantability!$B:$C,2,0)="Yes",$E1860&gt;=VLOOKUP($D1860,Merchantability!$B:$D,3,0),$E1860&lt;=VLOOKUP($D1860,Merchantability!$B:$E,4,0)),AC1860,0)</f>
        <v>#N/A</v>
      </c>
      <c r="AI1860" s="104" t="e">
        <f t="shared" si="816"/>
        <v>#N/A</v>
      </c>
      <c r="AJ1860" s="104" t="e">
        <f t="shared" si="817"/>
        <v>#VALUE!</v>
      </c>
      <c r="AK1860" s="104" t="e">
        <f t="shared" si="818"/>
        <v>#N/A</v>
      </c>
      <c r="AL1860" s="104" t="e">
        <f t="shared" si="819"/>
        <v>#N/A</v>
      </c>
      <c r="AM1860" s="104" t="e">
        <f t="shared" si="820"/>
        <v>#N/A</v>
      </c>
      <c r="AN1860" s="104" t="e">
        <f t="shared" si="831"/>
        <v>#N/A</v>
      </c>
      <c r="AO1860" s="104" t="e">
        <f t="shared" si="832"/>
        <v>#N/A</v>
      </c>
      <c r="AP1860" s="104" t="e">
        <f t="shared" si="833"/>
        <v>#N/A</v>
      </c>
      <c r="AQ1860" s="104" t="e">
        <f t="shared" si="834"/>
        <v>#N/A</v>
      </c>
      <c r="AR1860" s="105" t="str">
        <f t="shared" si="826"/>
        <v/>
      </c>
      <c r="AS1860" s="105" t="str">
        <f t="shared" si="827"/>
        <v/>
      </c>
      <c r="AT1860" s="108" t="str">
        <f t="shared" si="828"/>
        <v/>
      </c>
      <c r="AU1860" s="108" t="str">
        <f t="shared" si="829"/>
        <v/>
      </c>
      <c r="AV1860" s="107" t="str">
        <f>IF(ISNUMBER(O1860),IF(VLOOKUP($A1860,Stand!C:J,8,FALSE)="Short",AT1860,AU1860),"")</f>
        <v/>
      </c>
      <c r="AW1860" s="109" t="str">
        <f t="shared" si="835"/>
        <v/>
      </c>
      <c r="AX1860" s="109" t="str">
        <f t="shared" si="836"/>
        <v/>
      </c>
      <c r="AY1860" s="112" t="str">
        <f>IF(ISNUMBER(O1860),IF(AND(VLOOKUP($D1860,Merchantability!$B:$C,2,0)="Yes",$E1860&gt;=VLOOKUP($D1860,Merchantability!$B:$D,3,0),$E1860&lt;=VLOOKUP($D1860,Merchantability!$B:$E,4,0)),(AV1860*O1860)*(1-$H1860/100),""),"")</f>
        <v/>
      </c>
      <c r="AZ1860" s="116"/>
      <c r="BA1860" s="116"/>
      <c r="BB1860" s="116"/>
      <c r="BE1860" s="62"/>
      <c r="BF1860" s="63"/>
    </row>
    <row r="1861" spans="1:58" ht="12.75" customHeight="1" x14ac:dyDescent="0.25">
      <c r="A1861" s="334"/>
      <c r="B1861" s="334"/>
      <c r="C1861" s="332"/>
      <c r="D1861" s="334"/>
      <c r="E1861" s="335"/>
      <c r="F1861" s="334"/>
      <c r="G1861" s="332"/>
      <c r="H1861" s="332"/>
      <c r="I1861" s="334"/>
      <c r="J1861" s="336"/>
      <c r="K1861" s="332"/>
      <c r="L1861" s="332"/>
      <c r="M1861" s="76"/>
      <c r="N1861" s="103" t="str">
        <f>IF(A1861="","",VLOOKUP(A1861,Stand!C:K,9,0))</f>
        <v/>
      </c>
      <c r="O1861" s="104" t="str">
        <f t="shared" si="821"/>
        <v/>
      </c>
      <c r="P1861" s="105" t="str">
        <f t="shared" si="822"/>
        <v/>
      </c>
      <c r="Q1861" s="105" t="str">
        <f t="shared" si="810"/>
        <v/>
      </c>
      <c r="R1861" s="103" t="str">
        <f t="shared" si="823"/>
        <v/>
      </c>
      <c r="S1861" s="103" t="str">
        <f t="shared" si="824"/>
        <v/>
      </c>
      <c r="T1861" s="106" t="str">
        <f t="shared" si="811"/>
        <v/>
      </c>
      <c r="U1861" s="106" t="str">
        <f t="shared" si="812"/>
        <v/>
      </c>
      <c r="V1861" s="106" t="str">
        <f t="shared" si="813"/>
        <v/>
      </c>
      <c r="W1861" s="105" t="str">
        <f t="shared" si="825"/>
        <v/>
      </c>
      <c r="X1861" s="104" t="str">
        <f t="shared" si="830"/>
        <v/>
      </c>
      <c r="Y1861" s="104" t="str">
        <f t="array" ref="Y1861">IFERROR(IF(ISNUMBER(O1861),IF(COUNT(IF(A1861=$A$2:$A$2427,IF(D1861=$D$2:$D$2427,IF($X$2:$X$2427&gt;0,1))))&gt;0,SUM(IF(A1861=$A$2:$A$2427,IF(D1861=$D$2:$D$2427,$X$2:$X$2427)))/COUNT(IF(A1861=$A$2:$A$2427,IF(D1861=$D$2:$D$2427,IF(ISNUMBER($X$2:$X$2427),1)))),0),""),0)</f>
        <v/>
      </c>
      <c r="Z1861" s="104" t="str">
        <f>IF(ISNUMBER(O1861),IF(I1861&gt;0,(10^(VLOOKUP(D1861,'Species Codes'!B:C,2,0)+VLOOKUP(D1861,'Species Codes'!B:D,3,0)*LOG(E1861)+VLOOKUP(D1861,'Species Codes'!B:E,4,0)*LOG(I1861))),0),"")</f>
        <v/>
      </c>
      <c r="AA1861" s="104" t="str">
        <f>IFERROR((VLOOKUP(D1861,'Species Codes'!B:G,6,0)*Z1861)/2000,"")</f>
        <v/>
      </c>
      <c r="AB1861" s="104" t="e">
        <f>IF(Z1861&gt;0,((IF(OR(D1861="DF",D1861="RA")=TRUE,EXP(VLOOKUP(D1861,'Species Codes'!B:I,8,0)+VLOOKUP(D1861,'Species Codes'!B:J,9,0)*(LN((E1861*2.54)))),IF(OR(D1861="PY",D1861="RC",D1861="WH",D1861="NF")=TRUE,VLOOKUP(D1861,'Species Codes'!B:I,8,0)+VLOOKUP(D1861,'Species Codes'!B:J,9,0)*((E1861*2.54)^2)*(I1861*0.3048),IF(OR(D1861="MD",D1861="BM",D1861="GA")=TRUE,((VLOOKUP(D1861,'Species Codes'!B:I,8,0)*(((((E1861*2.54)+VLOOKUP(D1861,'Species Codes'!B:J,9,0))/VLOOKUP(D1861,'Species Codes'!B:K,10,0))^VLOOKUP(D1861,'Species Codes'!B:L,11,0))*((I1861*0.3048)^VLOOKUP(D1861,'Species Codes'!B:M,12,0))))-(VLOOKUP(D1861,'Species Codes'!B:I,8,0)*((((E1861*2.54)^VLOOKUP(D1861,'Species Codes'!B:L,11,0))*((I1861*0.3048)^VLOOKUP(D1861,'Species Codes'!B:M,12,0))))))*35.3*VLOOKUP(D1861,'Species Codes'!B:G,6,0)/2.2046,VLOOKUP(D1861,'Species Codes'!B:I,8,0)+VLOOKUP(D1861,'Species Codes'!B:J,9,0)*(((E1861*2.54)/100)^2)*(I1861*0.3048)))))*0.0011023),0)</f>
        <v>#N/A</v>
      </c>
      <c r="AC1861" s="104" t="e">
        <f>IF(Z1861&gt;0,((IF(OR(D1861="RA",D1861="OA",D1861="OT",D1861="UN",D1861="PC"),EXP(VLOOKUP(D1861,'Species Codes'!B:O,14,0)+VLOOKUP(D1861,'Species Codes'!B:P,15,0)*LN((E1861*2.54)))-EXP(VLOOKUP(D1861,'Species Codes'!B:O,14,0)+VLOOKUP(D1861,'Species Codes'!B:P,15,0)*LN((E1861*2.54)))*(1/(VLOOKUP(D1861,'Species Codes'!B:Q,16,0)+VLOOKUP(D1861,'Species Codes'!B:R,17,0)*((E1861*2.54)^VLOOKUP(D1861,'Species Codes'!B:S,18,0)))),IF(OR(D1861="BM",D1861="MD",D1861="OA"),EXP(VLOOKUP(D1861,'Species Codes'!B:O,14,0)+VLOOKUP(D1861,'Species Codes'!B:P,15,0)*LN((E1861*2.54)))*(1-(1/(VLOOKUP(D1861,'Species Codes'!B:Q,16,0)+VLOOKUP(D1861,'Species Codes'!B:R,17,0)*((E1861*2.54)^VLOOKUP(D1861,'Species Codes'!B:S,18,0)))))/1000,IF(D1861="DF",EXP(VLOOKUP(D1861,'Species Codes'!B:O,14,0)+VLOOKUP(D1861,'Species Codes'!B:P,15,0)*LN((E1861*2.54))),VLOOKUP(D1861,'Species Codes'!B:O,14,0)+VLOOKUP(D1861,'Species Codes'!B:P,15,0)*(((E1861*2.54)/100)^2)*(I1861*0.3048)))))*0.0011023),0)</f>
        <v>#N/A</v>
      </c>
      <c r="AD1861" s="104" t="e">
        <f t="shared" si="814"/>
        <v>#N/A</v>
      </c>
      <c r="AE1861" s="104" t="e">
        <f t="shared" si="815"/>
        <v>#N/A</v>
      </c>
      <c r="AF1861" s="104" t="e">
        <f>IF(AND(VLOOKUP($D1861,Merchantability!$B:$C,2,0)="Yes",$E1861&gt;=VLOOKUP($D1861,Merchantability!$B:$D,3,0),$E1861&lt;=VLOOKUP($D1861,Merchantability!$B:$E,4,0)),AA1861,0)</f>
        <v>#N/A</v>
      </c>
      <c r="AG1861" s="104" t="e">
        <f>IF(AND(VLOOKUP($D1861,Merchantability!$B:$C,2,0)="Yes",$E1861&gt;=VLOOKUP($D1861,Merchantability!$B:$D,3,0),$E1861&lt;=VLOOKUP($D1861,Merchantability!$B:$E,4,0)),AB1861,0)</f>
        <v>#N/A</v>
      </c>
      <c r="AH1861" s="104" t="e">
        <f>IF(AND(VLOOKUP($D1861,Merchantability!$B:$C,2,0)="Yes",$E1861&gt;=VLOOKUP($D1861,Merchantability!$B:$D,3,0),$E1861&lt;=VLOOKUP($D1861,Merchantability!$B:$E,4,0)),AC1861,0)</f>
        <v>#N/A</v>
      </c>
      <c r="AI1861" s="104" t="e">
        <f t="shared" si="816"/>
        <v>#N/A</v>
      </c>
      <c r="AJ1861" s="104" t="e">
        <f t="shared" si="817"/>
        <v>#VALUE!</v>
      </c>
      <c r="AK1861" s="104" t="e">
        <f t="shared" si="818"/>
        <v>#N/A</v>
      </c>
      <c r="AL1861" s="104" t="e">
        <f t="shared" si="819"/>
        <v>#N/A</v>
      </c>
      <c r="AM1861" s="104" t="e">
        <f t="shared" si="820"/>
        <v>#N/A</v>
      </c>
      <c r="AN1861" s="104" t="e">
        <f t="shared" si="831"/>
        <v>#N/A</v>
      </c>
      <c r="AO1861" s="104" t="e">
        <f t="shared" si="832"/>
        <v>#N/A</v>
      </c>
      <c r="AP1861" s="104" t="e">
        <f t="shared" si="833"/>
        <v>#N/A</v>
      </c>
      <c r="AQ1861" s="104" t="e">
        <f t="shared" si="834"/>
        <v>#N/A</v>
      </c>
      <c r="AR1861" s="105" t="str">
        <f t="shared" si="826"/>
        <v/>
      </c>
      <c r="AS1861" s="105" t="str">
        <f t="shared" si="827"/>
        <v/>
      </c>
      <c r="AT1861" s="108" t="str">
        <f t="shared" si="828"/>
        <v/>
      </c>
      <c r="AU1861" s="108" t="str">
        <f t="shared" si="829"/>
        <v/>
      </c>
      <c r="AV1861" s="107" t="str">
        <f>IF(ISNUMBER(O1861),IF(VLOOKUP($A1861,Stand!C:J,8,FALSE)="Short",AT1861,AU1861),"")</f>
        <v/>
      </c>
      <c r="AW1861" s="109" t="str">
        <f t="shared" si="835"/>
        <v/>
      </c>
      <c r="AX1861" s="109" t="str">
        <f t="shared" si="836"/>
        <v/>
      </c>
      <c r="AY1861" s="112" t="str">
        <f>IF(ISNUMBER(O1861),IF(AND(VLOOKUP($D1861,Merchantability!$B:$C,2,0)="Yes",$E1861&gt;=VLOOKUP($D1861,Merchantability!$B:$D,3,0),$E1861&lt;=VLOOKUP($D1861,Merchantability!$B:$E,4,0)),(AV1861*O1861)*(1-$H1861/100),""),"")</f>
        <v/>
      </c>
      <c r="AZ1861" s="116"/>
      <c r="BA1861" s="116"/>
      <c r="BB1861" s="116"/>
      <c r="BE1861" s="62"/>
      <c r="BF1861" s="63"/>
    </row>
    <row r="1862" spans="1:58" ht="12.75" customHeight="1" x14ac:dyDescent="0.25">
      <c r="A1862" s="334"/>
      <c r="B1862" s="334"/>
      <c r="C1862" s="332"/>
      <c r="D1862" s="334"/>
      <c r="E1862" s="335"/>
      <c r="F1862" s="334"/>
      <c r="G1862" s="332"/>
      <c r="H1862" s="332"/>
      <c r="I1862" s="334"/>
      <c r="J1862" s="336"/>
      <c r="K1862" s="332"/>
      <c r="L1862" s="332"/>
      <c r="M1862" s="76"/>
      <c r="N1862" s="103" t="str">
        <f>IF(A1862="","",VLOOKUP(A1862,Stand!C:K,9,0))</f>
        <v/>
      </c>
      <c r="O1862" s="104" t="str">
        <f t="shared" si="821"/>
        <v/>
      </c>
      <c r="P1862" s="105" t="str">
        <f t="shared" si="822"/>
        <v/>
      </c>
      <c r="Q1862" s="105" t="str">
        <f t="shared" si="810"/>
        <v/>
      </c>
      <c r="R1862" s="103" t="str">
        <f t="shared" si="823"/>
        <v/>
      </c>
      <c r="S1862" s="103" t="str">
        <f t="shared" si="824"/>
        <v/>
      </c>
      <c r="T1862" s="106" t="str">
        <f t="shared" si="811"/>
        <v/>
      </c>
      <c r="U1862" s="106" t="str">
        <f t="shared" si="812"/>
        <v/>
      </c>
      <c r="V1862" s="106" t="str">
        <f t="shared" si="813"/>
        <v/>
      </c>
      <c r="W1862" s="105" t="str">
        <f t="shared" si="825"/>
        <v/>
      </c>
      <c r="X1862" s="104" t="str">
        <f t="shared" si="830"/>
        <v/>
      </c>
      <c r="Y1862" s="104" t="str">
        <f t="array" ref="Y1862">IFERROR(IF(ISNUMBER(O1862),IF(COUNT(IF(A1862=$A$2:$A$2427,IF(D1862=$D$2:$D$2427,IF($X$2:$X$2427&gt;0,1))))&gt;0,SUM(IF(A1862=$A$2:$A$2427,IF(D1862=$D$2:$D$2427,$X$2:$X$2427)))/COUNT(IF(A1862=$A$2:$A$2427,IF(D1862=$D$2:$D$2427,IF(ISNUMBER($X$2:$X$2427),1)))),0),""),0)</f>
        <v/>
      </c>
      <c r="Z1862" s="104" t="str">
        <f>IF(ISNUMBER(O1862),IF(I1862&gt;0,(10^(VLOOKUP(D1862,'Species Codes'!B:C,2,0)+VLOOKUP(D1862,'Species Codes'!B:D,3,0)*LOG(E1862)+VLOOKUP(D1862,'Species Codes'!B:E,4,0)*LOG(I1862))),0),"")</f>
        <v/>
      </c>
      <c r="AA1862" s="104" t="str">
        <f>IFERROR((VLOOKUP(D1862,'Species Codes'!B:G,6,0)*Z1862)/2000,"")</f>
        <v/>
      </c>
      <c r="AB1862" s="104" t="e">
        <f>IF(Z1862&gt;0,((IF(OR(D1862="DF",D1862="RA")=TRUE,EXP(VLOOKUP(D1862,'Species Codes'!B:I,8,0)+VLOOKUP(D1862,'Species Codes'!B:J,9,0)*(LN((E1862*2.54)))),IF(OR(D1862="PY",D1862="RC",D1862="WH",D1862="NF")=TRUE,VLOOKUP(D1862,'Species Codes'!B:I,8,0)+VLOOKUP(D1862,'Species Codes'!B:J,9,0)*((E1862*2.54)^2)*(I1862*0.3048),IF(OR(D1862="MD",D1862="BM",D1862="GA")=TRUE,((VLOOKUP(D1862,'Species Codes'!B:I,8,0)*(((((E1862*2.54)+VLOOKUP(D1862,'Species Codes'!B:J,9,0))/VLOOKUP(D1862,'Species Codes'!B:K,10,0))^VLOOKUP(D1862,'Species Codes'!B:L,11,0))*((I1862*0.3048)^VLOOKUP(D1862,'Species Codes'!B:M,12,0))))-(VLOOKUP(D1862,'Species Codes'!B:I,8,0)*((((E1862*2.54)^VLOOKUP(D1862,'Species Codes'!B:L,11,0))*((I1862*0.3048)^VLOOKUP(D1862,'Species Codes'!B:M,12,0))))))*35.3*VLOOKUP(D1862,'Species Codes'!B:G,6,0)/2.2046,VLOOKUP(D1862,'Species Codes'!B:I,8,0)+VLOOKUP(D1862,'Species Codes'!B:J,9,0)*(((E1862*2.54)/100)^2)*(I1862*0.3048)))))*0.0011023),0)</f>
        <v>#N/A</v>
      </c>
      <c r="AC1862" s="104" t="e">
        <f>IF(Z1862&gt;0,((IF(OR(D1862="RA",D1862="OA",D1862="OT",D1862="UN",D1862="PC"),EXP(VLOOKUP(D1862,'Species Codes'!B:O,14,0)+VLOOKUP(D1862,'Species Codes'!B:P,15,0)*LN((E1862*2.54)))-EXP(VLOOKUP(D1862,'Species Codes'!B:O,14,0)+VLOOKUP(D1862,'Species Codes'!B:P,15,0)*LN((E1862*2.54)))*(1/(VLOOKUP(D1862,'Species Codes'!B:Q,16,0)+VLOOKUP(D1862,'Species Codes'!B:R,17,0)*((E1862*2.54)^VLOOKUP(D1862,'Species Codes'!B:S,18,0)))),IF(OR(D1862="BM",D1862="MD",D1862="OA"),EXP(VLOOKUP(D1862,'Species Codes'!B:O,14,0)+VLOOKUP(D1862,'Species Codes'!B:P,15,0)*LN((E1862*2.54)))*(1-(1/(VLOOKUP(D1862,'Species Codes'!B:Q,16,0)+VLOOKUP(D1862,'Species Codes'!B:R,17,0)*((E1862*2.54)^VLOOKUP(D1862,'Species Codes'!B:S,18,0)))))/1000,IF(D1862="DF",EXP(VLOOKUP(D1862,'Species Codes'!B:O,14,0)+VLOOKUP(D1862,'Species Codes'!B:P,15,0)*LN((E1862*2.54))),VLOOKUP(D1862,'Species Codes'!B:O,14,0)+VLOOKUP(D1862,'Species Codes'!B:P,15,0)*(((E1862*2.54)/100)^2)*(I1862*0.3048)))))*0.0011023),0)</f>
        <v>#N/A</v>
      </c>
      <c r="AD1862" s="104" t="e">
        <f t="shared" si="814"/>
        <v>#N/A</v>
      </c>
      <c r="AE1862" s="104" t="e">
        <f t="shared" si="815"/>
        <v>#N/A</v>
      </c>
      <c r="AF1862" s="104" t="e">
        <f>IF(AND(VLOOKUP($D1862,Merchantability!$B:$C,2,0)="Yes",$E1862&gt;=VLOOKUP($D1862,Merchantability!$B:$D,3,0),$E1862&lt;=VLOOKUP($D1862,Merchantability!$B:$E,4,0)),AA1862,0)</f>
        <v>#N/A</v>
      </c>
      <c r="AG1862" s="104" t="e">
        <f>IF(AND(VLOOKUP($D1862,Merchantability!$B:$C,2,0)="Yes",$E1862&gt;=VLOOKUP($D1862,Merchantability!$B:$D,3,0),$E1862&lt;=VLOOKUP($D1862,Merchantability!$B:$E,4,0)),AB1862,0)</f>
        <v>#N/A</v>
      </c>
      <c r="AH1862" s="104" t="e">
        <f>IF(AND(VLOOKUP($D1862,Merchantability!$B:$C,2,0)="Yes",$E1862&gt;=VLOOKUP($D1862,Merchantability!$B:$D,3,0),$E1862&lt;=VLOOKUP($D1862,Merchantability!$B:$E,4,0)),AC1862,0)</f>
        <v>#N/A</v>
      </c>
      <c r="AI1862" s="104" t="e">
        <f t="shared" si="816"/>
        <v>#N/A</v>
      </c>
      <c r="AJ1862" s="104" t="e">
        <f t="shared" si="817"/>
        <v>#VALUE!</v>
      </c>
      <c r="AK1862" s="104" t="e">
        <f t="shared" si="818"/>
        <v>#N/A</v>
      </c>
      <c r="AL1862" s="104" t="e">
        <f t="shared" si="819"/>
        <v>#N/A</v>
      </c>
      <c r="AM1862" s="104" t="e">
        <f t="shared" si="820"/>
        <v>#N/A</v>
      </c>
      <c r="AN1862" s="104" t="e">
        <f t="shared" si="831"/>
        <v>#N/A</v>
      </c>
      <c r="AO1862" s="104" t="e">
        <f t="shared" si="832"/>
        <v>#N/A</v>
      </c>
      <c r="AP1862" s="104" t="e">
        <f t="shared" si="833"/>
        <v>#N/A</v>
      </c>
      <c r="AQ1862" s="104" t="e">
        <f t="shared" si="834"/>
        <v>#N/A</v>
      </c>
      <c r="AR1862" s="105" t="str">
        <f t="shared" si="826"/>
        <v/>
      </c>
      <c r="AS1862" s="105" t="str">
        <f t="shared" si="827"/>
        <v/>
      </c>
      <c r="AT1862" s="108" t="str">
        <f t="shared" si="828"/>
        <v/>
      </c>
      <c r="AU1862" s="108" t="str">
        <f t="shared" si="829"/>
        <v/>
      </c>
      <c r="AV1862" s="107" t="str">
        <f>IF(ISNUMBER(O1862),IF(VLOOKUP($A1862,Stand!C:J,8,FALSE)="Short",AT1862,AU1862),"")</f>
        <v/>
      </c>
      <c r="AW1862" s="109" t="str">
        <f t="shared" si="835"/>
        <v/>
      </c>
      <c r="AX1862" s="109" t="str">
        <f t="shared" si="836"/>
        <v/>
      </c>
      <c r="AY1862" s="112" t="str">
        <f>IF(ISNUMBER(O1862),IF(AND(VLOOKUP($D1862,Merchantability!$B:$C,2,0)="Yes",$E1862&gt;=VLOOKUP($D1862,Merchantability!$B:$D,3,0),$E1862&lt;=VLOOKUP($D1862,Merchantability!$B:$E,4,0)),(AV1862*O1862)*(1-$H1862/100),""),"")</f>
        <v/>
      </c>
      <c r="AZ1862" s="116"/>
      <c r="BA1862" s="116"/>
      <c r="BB1862" s="116"/>
      <c r="BE1862" s="62"/>
      <c r="BF1862" s="63"/>
    </row>
    <row r="1863" spans="1:58" ht="12.75" customHeight="1" x14ac:dyDescent="0.25">
      <c r="A1863" s="334"/>
      <c r="B1863" s="334"/>
      <c r="C1863" s="332"/>
      <c r="D1863" s="334"/>
      <c r="E1863" s="335"/>
      <c r="F1863" s="334"/>
      <c r="G1863" s="332"/>
      <c r="H1863" s="332"/>
      <c r="I1863" s="334"/>
      <c r="J1863" s="336"/>
      <c r="K1863" s="332"/>
      <c r="L1863" s="332"/>
      <c r="M1863" s="76"/>
      <c r="N1863" s="103" t="str">
        <f>IF(A1863="","",VLOOKUP(A1863,Stand!C:K,9,0))</f>
        <v/>
      </c>
      <c r="O1863" s="104" t="str">
        <f t="shared" si="821"/>
        <v/>
      </c>
      <c r="P1863" s="105" t="str">
        <f t="shared" si="822"/>
        <v/>
      </c>
      <c r="Q1863" s="105" t="str">
        <f t="shared" si="810"/>
        <v/>
      </c>
      <c r="R1863" s="103" t="str">
        <f t="shared" si="823"/>
        <v/>
      </c>
      <c r="S1863" s="103" t="str">
        <f t="shared" si="824"/>
        <v/>
      </c>
      <c r="T1863" s="106" t="str">
        <f t="shared" si="811"/>
        <v/>
      </c>
      <c r="U1863" s="106" t="str">
        <f t="shared" si="812"/>
        <v/>
      </c>
      <c r="V1863" s="106" t="str">
        <f t="shared" si="813"/>
        <v/>
      </c>
      <c r="W1863" s="105" t="str">
        <f t="shared" si="825"/>
        <v/>
      </c>
      <c r="X1863" s="104" t="str">
        <f t="shared" si="830"/>
        <v/>
      </c>
      <c r="Y1863" s="104" t="str">
        <f t="array" ref="Y1863">IFERROR(IF(ISNUMBER(O1863),IF(COUNT(IF(A1863=$A$2:$A$2427,IF(D1863=$D$2:$D$2427,IF($X$2:$X$2427&gt;0,1))))&gt;0,SUM(IF(A1863=$A$2:$A$2427,IF(D1863=$D$2:$D$2427,$X$2:$X$2427)))/COUNT(IF(A1863=$A$2:$A$2427,IF(D1863=$D$2:$D$2427,IF(ISNUMBER($X$2:$X$2427),1)))),0),""),0)</f>
        <v/>
      </c>
      <c r="Z1863" s="104" t="str">
        <f>IF(ISNUMBER(O1863),IF(I1863&gt;0,(10^(VLOOKUP(D1863,'Species Codes'!B:C,2,0)+VLOOKUP(D1863,'Species Codes'!B:D,3,0)*LOG(E1863)+VLOOKUP(D1863,'Species Codes'!B:E,4,0)*LOG(I1863))),0),"")</f>
        <v/>
      </c>
      <c r="AA1863" s="104" t="str">
        <f>IFERROR((VLOOKUP(D1863,'Species Codes'!B:G,6,0)*Z1863)/2000,"")</f>
        <v/>
      </c>
      <c r="AB1863" s="104" t="e">
        <f>IF(Z1863&gt;0,((IF(OR(D1863="DF",D1863="RA")=TRUE,EXP(VLOOKUP(D1863,'Species Codes'!B:I,8,0)+VLOOKUP(D1863,'Species Codes'!B:J,9,0)*(LN((E1863*2.54)))),IF(OR(D1863="PY",D1863="RC",D1863="WH",D1863="NF")=TRUE,VLOOKUP(D1863,'Species Codes'!B:I,8,0)+VLOOKUP(D1863,'Species Codes'!B:J,9,0)*((E1863*2.54)^2)*(I1863*0.3048),IF(OR(D1863="MD",D1863="BM",D1863="GA")=TRUE,((VLOOKUP(D1863,'Species Codes'!B:I,8,0)*(((((E1863*2.54)+VLOOKUP(D1863,'Species Codes'!B:J,9,0))/VLOOKUP(D1863,'Species Codes'!B:K,10,0))^VLOOKUP(D1863,'Species Codes'!B:L,11,0))*((I1863*0.3048)^VLOOKUP(D1863,'Species Codes'!B:M,12,0))))-(VLOOKUP(D1863,'Species Codes'!B:I,8,0)*((((E1863*2.54)^VLOOKUP(D1863,'Species Codes'!B:L,11,0))*((I1863*0.3048)^VLOOKUP(D1863,'Species Codes'!B:M,12,0))))))*35.3*VLOOKUP(D1863,'Species Codes'!B:G,6,0)/2.2046,VLOOKUP(D1863,'Species Codes'!B:I,8,0)+VLOOKUP(D1863,'Species Codes'!B:J,9,0)*(((E1863*2.54)/100)^2)*(I1863*0.3048)))))*0.0011023),0)</f>
        <v>#N/A</v>
      </c>
      <c r="AC1863" s="104" t="e">
        <f>IF(Z1863&gt;0,((IF(OR(D1863="RA",D1863="OA",D1863="OT",D1863="UN",D1863="PC"),EXP(VLOOKUP(D1863,'Species Codes'!B:O,14,0)+VLOOKUP(D1863,'Species Codes'!B:P,15,0)*LN((E1863*2.54)))-EXP(VLOOKUP(D1863,'Species Codes'!B:O,14,0)+VLOOKUP(D1863,'Species Codes'!B:P,15,0)*LN((E1863*2.54)))*(1/(VLOOKUP(D1863,'Species Codes'!B:Q,16,0)+VLOOKUP(D1863,'Species Codes'!B:R,17,0)*((E1863*2.54)^VLOOKUP(D1863,'Species Codes'!B:S,18,0)))),IF(OR(D1863="BM",D1863="MD",D1863="OA"),EXP(VLOOKUP(D1863,'Species Codes'!B:O,14,0)+VLOOKUP(D1863,'Species Codes'!B:P,15,0)*LN((E1863*2.54)))*(1-(1/(VLOOKUP(D1863,'Species Codes'!B:Q,16,0)+VLOOKUP(D1863,'Species Codes'!B:R,17,0)*((E1863*2.54)^VLOOKUP(D1863,'Species Codes'!B:S,18,0)))))/1000,IF(D1863="DF",EXP(VLOOKUP(D1863,'Species Codes'!B:O,14,0)+VLOOKUP(D1863,'Species Codes'!B:P,15,0)*LN((E1863*2.54))),VLOOKUP(D1863,'Species Codes'!B:O,14,0)+VLOOKUP(D1863,'Species Codes'!B:P,15,0)*(((E1863*2.54)/100)^2)*(I1863*0.3048)))))*0.0011023),0)</f>
        <v>#N/A</v>
      </c>
      <c r="AD1863" s="104" t="e">
        <f t="shared" si="814"/>
        <v>#N/A</v>
      </c>
      <c r="AE1863" s="104" t="e">
        <f t="shared" si="815"/>
        <v>#N/A</v>
      </c>
      <c r="AF1863" s="104" t="e">
        <f>IF(AND(VLOOKUP($D1863,Merchantability!$B:$C,2,0)="Yes",$E1863&gt;=VLOOKUP($D1863,Merchantability!$B:$D,3,0),$E1863&lt;=VLOOKUP($D1863,Merchantability!$B:$E,4,0)),AA1863,0)</f>
        <v>#N/A</v>
      </c>
      <c r="AG1863" s="104" t="e">
        <f>IF(AND(VLOOKUP($D1863,Merchantability!$B:$C,2,0)="Yes",$E1863&gt;=VLOOKUP($D1863,Merchantability!$B:$D,3,0),$E1863&lt;=VLOOKUP($D1863,Merchantability!$B:$E,4,0)),AB1863,0)</f>
        <v>#N/A</v>
      </c>
      <c r="AH1863" s="104" t="e">
        <f>IF(AND(VLOOKUP($D1863,Merchantability!$B:$C,2,0)="Yes",$E1863&gt;=VLOOKUP($D1863,Merchantability!$B:$D,3,0),$E1863&lt;=VLOOKUP($D1863,Merchantability!$B:$E,4,0)),AC1863,0)</f>
        <v>#N/A</v>
      </c>
      <c r="AI1863" s="104" t="e">
        <f t="shared" si="816"/>
        <v>#N/A</v>
      </c>
      <c r="AJ1863" s="104" t="e">
        <f t="shared" si="817"/>
        <v>#VALUE!</v>
      </c>
      <c r="AK1863" s="104" t="e">
        <f t="shared" si="818"/>
        <v>#N/A</v>
      </c>
      <c r="AL1863" s="104" t="e">
        <f t="shared" si="819"/>
        <v>#N/A</v>
      </c>
      <c r="AM1863" s="104" t="e">
        <f t="shared" si="820"/>
        <v>#N/A</v>
      </c>
      <c r="AN1863" s="104" t="e">
        <f t="shared" si="831"/>
        <v>#N/A</v>
      </c>
      <c r="AO1863" s="104" t="e">
        <f t="shared" si="832"/>
        <v>#N/A</v>
      </c>
      <c r="AP1863" s="104" t="e">
        <f t="shared" si="833"/>
        <v>#N/A</v>
      </c>
      <c r="AQ1863" s="104" t="e">
        <f t="shared" si="834"/>
        <v>#N/A</v>
      </c>
      <c r="AR1863" s="105" t="str">
        <f t="shared" si="826"/>
        <v/>
      </c>
      <c r="AS1863" s="105" t="str">
        <f t="shared" si="827"/>
        <v/>
      </c>
      <c r="AT1863" s="108" t="str">
        <f t="shared" si="828"/>
        <v/>
      </c>
      <c r="AU1863" s="108" t="str">
        <f t="shared" si="829"/>
        <v/>
      </c>
      <c r="AV1863" s="107" t="str">
        <f>IF(ISNUMBER(O1863),IF(VLOOKUP($A1863,Stand!C:J,8,FALSE)="Short",AT1863,AU1863),"")</f>
        <v/>
      </c>
      <c r="AW1863" s="109" t="str">
        <f t="shared" si="835"/>
        <v/>
      </c>
      <c r="AX1863" s="109" t="str">
        <f t="shared" si="836"/>
        <v/>
      </c>
      <c r="AY1863" s="112" t="str">
        <f>IF(ISNUMBER(O1863),IF(AND(VLOOKUP($D1863,Merchantability!$B:$C,2,0)="Yes",$E1863&gt;=VLOOKUP($D1863,Merchantability!$B:$D,3,0),$E1863&lt;=VLOOKUP($D1863,Merchantability!$B:$E,4,0)),(AV1863*O1863)*(1-$H1863/100),""),"")</f>
        <v/>
      </c>
      <c r="AZ1863" s="116"/>
      <c r="BA1863" s="116"/>
      <c r="BB1863" s="116"/>
      <c r="BE1863" s="62"/>
      <c r="BF1863" s="63"/>
    </row>
    <row r="1864" spans="1:58" ht="12.75" customHeight="1" x14ac:dyDescent="0.25">
      <c r="A1864" s="334"/>
      <c r="B1864" s="334"/>
      <c r="C1864" s="332"/>
      <c r="D1864" s="334"/>
      <c r="E1864" s="335"/>
      <c r="F1864" s="334"/>
      <c r="G1864" s="332"/>
      <c r="H1864" s="332"/>
      <c r="I1864" s="334"/>
      <c r="J1864" s="336"/>
      <c r="K1864" s="332"/>
      <c r="L1864" s="332"/>
      <c r="M1864" s="76"/>
      <c r="N1864" s="103" t="str">
        <f>IF(A1864="","",VLOOKUP(A1864,Stand!C:K,9,0))</f>
        <v/>
      </c>
      <c r="O1864" s="104" t="str">
        <f t="shared" si="821"/>
        <v/>
      </c>
      <c r="P1864" s="105" t="str">
        <f t="shared" si="822"/>
        <v/>
      </c>
      <c r="Q1864" s="105" t="str">
        <f t="shared" si="810"/>
        <v/>
      </c>
      <c r="R1864" s="103" t="str">
        <f t="shared" si="823"/>
        <v/>
      </c>
      <c r="S1864" s="103" t="str">
        <f t="shared" si="824"/>
        <v/>
      </c>
      <c r="T1864" s="106" t="str">
        <f t="shared" si="811"/>
        <v/>
      </c>
      <c r="U1864" s="106" t="str">
        <f t="shared" si="812"/>
        <v/>
      </c>
      <c r="V1864" s="106" t="str">
        <f t="shared" si="813"/>
        <v/>
      </c>
      <c r="W1864" s="105" t="str">
        <f t="shared" si="825"/>
        <v/>
      </c>
      <c r="X1864" s="104" t="str">
        <f t="shared" si="830"/>
        <v/>
      </c>
      <c r="Y1864" s="104" t="str">
        <f t="array" ref="Y1864">IFERROR(IF(ISNUMBER(O1864),IF(COUNT(IF(A1864=$A$2:$A$2427,IF(D1864=$D$2:$D$2427,IF($X$2:$X$2427&gt;0,1))))&gt;0,SUM(IF(A1864=$A$2:$A$2427,IF(D1864=$D$2:$D$2427,$X$2:$X$2427)))/COUNT(IF(A1864=$A$2:$A$2427,IF(D1864=$D$2:$D$2427,IF(ISNUMBER($X$2:$X$2427),1)))),0),""),0)</f>
        <v/>
      </c>
      <c r="Z1864" s="104" t="str">
        <f>IF(ISNUMBER(O1864),IF(I1864&gt;0,(10^(VLOOKUP(D1864,'Species Codes'!B:C,2,0)+VLOOKUP(D1864,'Species Codes'!B:D,3,0)*LOG(E1864)+VLOOKUP(D1864,'Species Codes'!B:E,4,0)*LOG(I1864))),0),"")</f>
        <v/>
      </c>
      <c r="AA1864" s="104" t="str">
        <f>IFERROR((VLOOKUP(D1864,'Species Codes'!B:G,6,0)*Z1864)/2000,"")</f>
        <v/>
      </c>
      <c r="AB1864" s="104" t="e">
        <f>IF(Z1864&gt;0,((IF(OR(D1864="DF",D1864="RA")=TRUE,EXP(VLOOKUP(D1864,'Species Codes'!B:I,8,0)+VLOOKUP(D1864,'Species Codes'!B:J,9,0)*(LN((E1864*2.54)))),IF(OR(D1864="PY",D1864="RC",D1864="WH",D1864="NF")=TRUE,VLOOKUP(D1864,'Species Codes'!B:I,8,0)+VLOOKUP(D1864,'Species Codes'!B:J,9,0)*((E1864*2.54)^2)*(I1864*0.3048),IF(OR(D1864="MD",D1864="BM",D1864="GA")=TRUE,((VLOOKUP(D1864,'Species Codes'!B:I,8,0)*(((((E1864*2.54)+VLOOKUP(D1864,'Species Codes'!B:J,9,0))/VLOOKUP(D1864,'Species Codes'!B:K,10,0))^VLOOKUP(D1864,'Species Codes'!B:L,11,0))*((I1864*0.3048)^VLOOKUP(D1864,'Species Codes'!B:M,12,0))))-(VLOOKUP(D1864,'Species Codes'!B:I,8,0)*((((E1864*2.54)^VLOOKUP(D1864,'Species Codes'!B:L,11,0))*((I1864*0.3048)^VLOOKUP(D1864,'Species Codes'!B:M,12,0))))))*35.3*VLOOKUP(D1864,'Species Codes'!B:G,6,0)/2.2046,VLOOKUP(D1864,'Species Codes'!B:I,8,0)+VLOOKUP(D1864,'Species Codes'!B:J,9,0)*(((E1864*2.54)/100)^2)*(I1864*0.3048)))))*0.0011023),0)</f>
        <v>#N/A</v>
      </c>
      <c r="AC1864" s="104" t="e">
        <f>IF(Z1864&gt;0,((IF(OR(D1864="RA",D1864="OA",D1864="OT",D1864="UN",D1864="PC"),EXP(VLOOKUP(D1864,'Species Codes'!B:O,14,0)+VLOOKUP(D1864,'Species Codes'!B:P,15,0)*LN((E1864*2.54)))-EXP(VLOOKUP(D1864,'Species Codes'!B:O,14,0)+VLOOKUP(D1864,'Species Codes'!B:P,15,0)*LN((E1864*2.54)))*(1/(VLOOKUP(D1864,'Species Codes'!B:Q,16,0)+VLOOKUP(D1864,'Species Codes'!B:R,17,0)*((E1864*2.54)^VLOOKUP(D1864,'Species Codes'!B:S,18,0)))),IF(OR(D1864="BM",D1864="MD",D1864="OA"),EXP(VLOOKUP(D1864,'Species Codes'!B:O,14,0)+VLOOKUP(D1864,'Species Codes'!B:P,15,0)*LN((E1864*2.54)))*(1-(1/(VLOOKUP(D1864,'Species Codes'!B:Q,16,0)+VLOOKUP(D1864,'Species Codes'!B:R,17,0)*((E1864*2.54)^VLOOKUP(D1864,'Species Codes'!B:S,18,0)))))/1000,IF(D1864="DF",EXP(VLOOKUP(D1864,'Species Codes'!B:O,14,0)+VLOOKUP(D1864,'Species Codes'!B:P,15,0)*LN((E1864*2.54))),VLOOKUP(D1864,'Species Codes'!B:O,14,0)+VLOOKUP(D1864,'Species Codes'!B:P,15,0)*(((E1864*2.54)/100)^2)*(I1864*0.3048)))))*0.0011023),0)</f>
        <v>#N/A</v>
      </c>
      <c r="AD1864" s="104" t="e">
        <f t="shared" si="814"/>
        <v>#N/A</v>
      </c>
      <c r="AE1864" s="104" t="e">
        <f t="shared" si="815"/>
        <v>#N/A</v>
      </c>
      <c r="AF1864" s="104" t="e">
        <f>IF(AND(VLOOKUP($D1864,Merchantability!$B:$C,2,0)="Yes",$E1864&gt;=VLOOKUP($D1864,Merchantability!$B:$D,3,0),$E1864&lt;=VLOOKUP($D1864,Merchantability!$B:$E,4,0)),AA1864,0)</f>
        <v>#N/A</v>
      </c>
      <c r="AG1864" s="104" t="e">
        <f>IF(AND(VLOOKUP($D1864,Merchantability!$B:$C,2,0)="Yes",$E1864&gt;=VLOOKUP($D1864,Merchantability!$B:$D,3,0),$E1864&lt;=VLOOKUP($D1864,Merchantability!$B:$E,4,0)),AB1864,0)</f>
        <v>#N/A</v>
      </c>
      <c r="AH1864" s="104" t="e">
        <f>IF(AND(VLOOKUP($D1864,Merchantability!$B:$C,2,0)="Yes",$E1864&gt;=VLOOKUP($D1864,Merchantability!$B:$D,3,0),$E1864&lt;=VLOOKUP($D1864,Merchantability!$B:$E,4,0)),AC1864,0)</f>
        <v>#N/A</v>
      </c>
      <c r="AI1864" s="104" t="e">
        <f t="shared" si="816"/>
        <v>#N/A</v>
      </c>
      <c r="AJ1864" s="104" t="e">
        <f t="shared" si="817"/>
        <v>#VALUE!</v>
      </c>
      <c r="AK1864" s="104" t="e">
        <f t="shared" si="818"/>
        <v>#N/A</v>
      </c>
      <c r="AL1864" s="104" t="e">
        <f t="shared" si="819"/>
        <v>#N/A</v>
      </c>
      <c r="AM1864" s="104" t="e">
        <f t="shared" si="820"/>
        <v>#N/A</v>
      </c>
      <c r="AN1864" s="104" t="e">
        <f t="shared" si="831"/>
        <v>#N/A</v>
      </c>
      <c r="AO1864" s="104" t="e">
        <f t="shared" si="832"/>
        <v>#N/A</v>
      </c>
      <c r="AP1864" s="104" t="e">
        <f t="shared" si="833"/>
        <v>#N/A</v>
      </c>
      <c r="AQ1864" s="104" t="e">
        <f t="shared" si="834"/>
        <v>#N/A</v>
      </c>
      <c r="AR1864" s="105" t="str">
        <f t="shared" si="826"/>
        <v/>
      </c>
      <c r="AS1864" s="105" t="str">
        <f t="shared" si="827"/>
        <v/>
      </c>
      <c r="AT1864" s="108" t="str">
        <f t="shared" si="828"/>
        <v/>
      </c>
      <c r="AU1864" s="108" t="str">
        <f t="shared" si="829"/>
        <v/>
      </c>
      <c r="AV1864" s="107" t="str">
        <f>IF(ISNUMBER(O1864),IF(VLOOKUP($A1864,Stand!C:J,8,FALSE)="Short",AT1864,AU1864),"")</f>
        <v/>
      </c>
      <c r="AW1864" s="109" t="str">
        <f t="shared" si="835"/>
        <v/>
      </c>
      <c r="AX1864" s="109" t="str">
        <f t="shared" si="836"/>
        <v/>
      </c>
      <c r="AY1864" s="112" t="str">
        <f>IF(ISNUMBER(O1864),IF(AND(VLOOKUP($D1864,Merchantability!$B:$C,2,0)="Yes",$E1864&gt;=VLOOKUP($D1864,Merchantability!$B:$D,3,0),$E1864&lt;=VLOOKUP($D1864,Merchantability!$B:$E,4,0)),(AV1864*O1864)*(1-$H1864/100),""),"")</f>
        <v/>
      </c>
      <c r="AZ1864" s="116"/>
      <c r="BA1864" s="116"/>
      <c r="BB1864" s="116"/>
      <c r="BE1864" s="62"/>
      <c r="BF1864" s="63"/>
    </row>
    <row r="1865" spans="1:58" ht="12.75" customHeight="1" x14ac:dyDescent="0.25">
      <c r="A1865" s="334"/>
      <c r="B1865" s="334"/>
      <c r="C1865" s="332"/>
      <c r="D1865" s="334"/>
      <c r="E1865" s="335"/>
      <c r="F1865" s="334"/>
      <c r="G1865" s="332"/>
      <c r="H1865" s="332"/>
      <c r="I1865" s="334"/>
      <c r="J1865" s="336"/>
      <c r="K1865" s="332"/>
      <c r="L1865" s="332"/>
      <c r="M1865" s="76"/>
      <c r="N1865" s="103" t="str">
        <f>IF(A1865="","",VLOOKUP(A1865,Stand!C:K,9,0))</f>
        <v/>
      </c>
      <c r="O1865" s="104" t="str">
        <f t="shared" si="821"/>
        <v/>
      </c>
      <c r="P1865" s="105" t="str">
        <f t="shared" si="822"/>
        <v/>
      </c>
      <c r="Q1865" s="105" t="str">
        <f t="shared" si="810"/>
        <v/>
      </c>
      <c r="R1865" s="103" t="str">
        <f t="shared" si="823"/>
        <v/>
      </c>
      <c r="S1865" s="103" t="str">
        <f t="shared" si="824"/>
        <v/>
      </c>
      <c r="T1865" s="106" t="str">
        <f t="shared" si="811"/>
        <v/>
      </c>
      <c r="U1865" s="106" t="str">
        <f t="shared" si="812"/>
        <v/>
      </c>
      <c r="V1865" s="106" t="str">
        <f t="shared" si="813"/>
        <v/>
      </c>
      <c r="W1865" s="105" t="str">
        <f t="shared" si="825"/>
        <v/>
      </c>
      <c r="X1865" s="104" t="str">
        <f t="shared" si="830"/>
        <v/>
      </c>
      <c r="Y1865" s="104" t="str">
        <f t="array" ref="Y1865">IFERROR(IF(ISNUMBER(O1865),IF(COUNT(IF(A1865=$A$2:$A$2427,IF(D1865=$D$2:$D$2427,IF($X$2:$X$2427&gt;0,1))))&gt;0,SUM(IF(A1865=$A$2:$A$2427,IF(D1865=$D$2:$D$2427,$X$2:$X$2427)))/COUNT(IF(A1865=$A$2:$A$2427,IF(D1865=$D$2:$D$2427,IF(ISNUMBER($X$2:$X$2427),1)))),0),""),0)</f>
        <v/>
      </c>
      <c r="Z1865" s="104" t="str">
        <f>IF(ISNUMBER(O1865),IF(I1865&gt;0,(10^(VLOOKUP(D1865,'Species Codes'!B:C,2,0)+VLOOKUP(D1865,'Species Codes'!B:D,3,0)*LOG(E1865)+VLOOKUP(D1865,'Species Codes'!B:E,4,0)*LOG(I1865))),0),"")</f>
        <v/>
      </c>
      <c r="AA1865" s="104" t="str">
        <f>IFERROR((VLOOKUP(D1865,'Species Codes'!B:G,6,0)*Z1865)/2000,"")</f>
        <v/>
      </c>
      <c r="AB1865" s="104" t="e">
        <f>IF(Z1865&gt;0,((IF(OR(D1865="DF",D1865="RA")=TRUE,EXP(VLOOKUP(D1865,'Species Codes'!B:I,8,0)+VLOOKUP(D1865,'Species Codes'!B:J,9,0)*(LN((E1865*2.54)))),IF(OR(D1865="PY",D1865="RC",D1865="WH",D1865="NF")=TRUE,VLOOKUP(D1865,'Species Codes'!B:I,8,0)+VLOOKUP(D1865,'Species Codes'!B:J,9,0)*((E1865*2.54)^2)*(I1865*0.3048),IF(OR(D1865="MD",D1865="BM",D1865="GA")=TRUE,((VLOOKUP(D1865,'Species Codes'!B:I,8,0)*(((((E1865*2.54)+VLOOKUP(D1865,'Species Codes'!B:J,9,0))/VLOOKUP(D1865,'Species Codes'!B:K,10,0))^VLOOKUP(D1865,'Species Codes'!B:L,11,0))*((I1865*0.3048)^VLOOKUP(D1865,'Species Codes'!B:M,12,0))))-(VLOOKUP(D1865,'Species Codes'!B:I,8,0)*((((E1865*2.54)^VLOOKUP(D1865,'Species Codes'!B:L,11,0))*((I1865*0.3048)^VLOOKUP(D1865,'Species Codes'!B:M,12,0))))))*35.3*VLOOKUP(D1865,'Species Codes'!B:G,6,0)/2.2046,VLOOKUP(D1865,'Species Codes'!B:I,8,0)+VLOOKUP(D1865,'Species Codes'!B:J,9,0)*(((E1865*2.54)/100)^2)*(I1865*0.3048)))))*0.0011023),0)</f>
        <v>#N/A</v>
      </c>
      <c r="AC1865" s="104" t="e">
        <f>IF(Z1865&gt;0,((IF(OR(D1865="RA",D1865="OA",D1865="OT",D1865="UN",D1865="PC"),EXP(VLOOKUP(D1865,'Species Codes'!B:O,14,0)+VLOOKUP(D1865,'Species Codes'!B:P,15,0)*LN((E1865*2.54)))-EXP(VLOOKUP(D1865,'Species Codes'!B:O,14,0)+VLOOKUP(D1865,'Species Codes'!B:P,15,0)*LN((E1865*2.54)))*(1/(VLOOKUP(D1865,'Species Codes'!B:Q,16,0)+VLOOKUP(D1865,'Species Codes'!B:R,17,0)*((E1865*2.54)^VLOOKUP(D1865,'Species Codes'!B:S,18,0)))),IF(OR(D1865="BM",D1865="MD",D1865="OA"),EXP(VLOOKUP(D1865,'Species Codes'!B:O,14,0)+VLOOKUP(D1865,'Species Codes'!B:P,15,0)*LN((E1865*2.54)))*(1-(1/(VLOOKUP(D1865,'Species Codes'!B:Q,16,0)+VLOOKUP(D1865,'Species Codes'!B:R,17,0)*((E1865*2.54)^VLOOKUP(D1865,'Species Codes'!B:S,18,0)))))/1000,IF(D1865="DF",EXP(VLOOKUP(D1865,'Species Codes'!B:O,14,0)+VLOOKUP(D1865,'Species Codes'!B:P,15,0)*LN((E1865*2.54))),VLOOKUP(D1865,'Species Codes'!B:O,14,0)+VLOOKUP(D1865,'Species Codes'!B:P,15,0)*(((E1865*2.54)/100)^2)*(I1865*0.3048)))))*0.0011023),0)</f>
        <v>#N/A</v>
      </c>
      <c r="AD1865" s="104" t="e">
        <f t="shared" si="814"/>
        <v>#N/A</v>
      </c>
      <c r="AE1865" s="104" t="e">
        <f t="shared" si="815"/>
        <v>#N/A</v>
      </c>
      <c r="AF1865" s="104" t="e">
        <f>IF(AND(VLOOKUP($D1865,Merchantability!$B:$C,2,0)="Yes",$E1865&gt;=VLOOKUP($D1865,Merchantability!$B:$D,3,0),$E1865&lt;=VLOOKUP($D1865,Merchantability!$B:$E,4,0)),AA1865,0)</f>
        <v>#N/A</v>
      </c>
      <c r="AG1865" s="104" t="e">
        <f>IF(AND(VLOOKUP($D1865,Merchantability!$B:$C,2,0)="Yes",$E1865&gt;=VLOOKUP($D1865,Merchantability!$B:$D,3,0),$E1865&lt;=VLOOKUP($D1865,Merchantability!$B:$E,4,0)),AB1865,0)</f>
        <v>#N/A</v>
      </c>
      <c r="AH1865" s="104" t="e">
        <f>IF(AND(VLOOKUP($D1865,Merchantability!$B:$C,2,0)="Yes",$E1865&gt;=VLOOKUP($D1865,Merchantability!$B:$D,3,0),$E1865&lt;=VLOOKUP($D1865,Merchantability!$B:$E,4,0)),AC1865,0)</f>
        <v>#N/A</v>
      </c>
      <c r="AI1865" s="104" t="e">
        <f t="shared" si="816"/>
        <v>#N/A</v>
      </c>
      <c r="AJ1865" s="104" t="e">
        <f t="shared" si="817"/>
        <v>#VALUE!</v>
      </c>
      <c r="AK1865" s="104" t="e">
        <f t="shared" si="818"/>
        <v>#N/A</v>
      </c>
      <c r="AL1865" s="104" t="e">
        <f t="shared" si="819"/>
        <v>#N/A</v>
      </c>
      <c r="AM1865" s="104" t="e">
        <f t="shared" si="820"/>
        <v>#N/A</v>
      </c>
      <c r="AN1865" s="104" t="e">
        <f t="shared" si="831"/>
        <v>#N/A</v>
      </c>
      <c r="AO1865" s="104" t="e">
        <f t="shared" si="832"/>
        <v>#N/A</v>
      </c>
      <c r="AP1865" s="104" t="e">
        <f t="shared" si="833"/>
        <v>#N/A</v>
      </c>
      <c r="AQ1865" s="104" t="e">
        <f t="shared" si="834"/>
        <v>#N/A</v>
      </c>
      <c r="AR1865" s="105" t="str">
        <f t="shared" si="826"/>
        <v/>
      </c>
      <c r="AS1865" s="105" t="str">
        <f t="shared" si="827"/>
        <v/>
      </c>
      <c r="AT1865" s="108" t="str">
        <f t="shared" si="828"/>
        <v/>
      </c>
      <c r="AU1865" s="108" t="str">
        <f t="shared" si="829"/>
        <v/>
      </c>
      <c r="AV1865" s="107" t="str">
        <f>IF(ISNUMBER(O1865),IF(VLOOKUP($A1865,Stand!C:J,8,FALSE)="Short",AT1865,AU1865),"")</f>
        <v/>
      </c>
      <c r="AW1865" s="109" t="str">
        <f t="shared" si="835"/>
        <v/>
      </c>
      <c r="AX1865" s="109" t="str">
        <f t="shared" si="836"/>
        <v/>
      </c>
      <c r="AY1865" s="112" t="str">
        <f>IF(ISNUMBER(O1865),IF(AND(VLOOKUP($D1865,Merchantability!$B:$C,2,0)="Yes",$E1865&gt;=VLOOKUP($D1865,Merchantability!$B:$D,3,0),$E1865&lt;=VLOOKUP($D1865,Merchantability!$B:$E,4,0)),(AV1865*O1865)*(1-$H1865/100),""),"")</f>
        <v/>
      </c>
      <c r="AZ1865" s="116"/>
      <c r="BA1865" s="116"/>
      <c r="BB1865" s="116"/>
      <c r="BE1865" s="62"/>
      <c r="BF1865" s="63"/>
    </row>
    <row r="1866" spans="1:58" ht="12.75" customHeight="1" x14ac:dyDescent="0.25">
      <c r="A1866" s="334"/>
      <c r="B1866" s="334"/>
      <c r="C1866" s="332"/>
      <c r="D1866" s="334"/>
      <c r="E1866" s="335"/>
      <c r="F1866" s="334"/>
      <c r="G1866" s="332"/>
      <c r="H1866" s="332"/>
      <c r="I1866" s="334"/>
      <c r="J1866" s="336"/>
      <c r="K1866" s="332"/>
      <c r="L1866" s="332"/>
      <c r="M1866" s="76"/>
      <c r="N1866" s="103" t="str">
        <f>IF(A1866="","",VLOOKUP(A1866,Stand!C:K,9,0))</f>
        <v/>
      </c>
      <c r="O1866" s="104" t="str">
        <f t="shared" si="821"/>
        <v/>
      </c>
      <c r="P1866" s="105" t="str">
        <f t="shared" si="822"/>
        <v/>
      </c>
      <c r="Q1866" s="105" t="str">
        <f t="shared" si="810"/>
        <v/>
      </c>
      <c r="R1866" s="103" t="str">
        <f t="shared" si="823"/>
        <v/>
      </c>
      <c r="S1866" s="103" t="str">
        <f t="shared" si="824"/>
        <v/>
      </c>
      <c r="T1866" s="106" t="str">
        <f t="shared" si="811"/>
        <v/>
      </c>
      <c r="U1866" s="106" t="str">
        <f t="shared" si="812"/>
        <v/>
      </c>
      <c r="V1866" s="106" t="str">
        <f t="shared" si="813"/>
        <v/>
      </c>
      <c r="W1866" s="105" t="str">
        <f t="shared" si="825"/>
        <v/>
      </c>
      <c r="X1866" s="104" t="str">
        <f t="shared" si="830"/>
        <v/>
      </c>
      <c r="Y1866" s="104" t="str">
        <f t="array" ref="Y1866">IFERROR(IF(ISNUMBER(O1866),IF(COUNT(IF(A1866=$A$2:$A$2427,IF(D1866=$D$2:$D$2427,IF($X$2:$X$2427&gt;0,1))))&gt;0,SUM(IF(A1866=$A$2:$A$2427,IF(D1866=$D$2:$D$2427,$X$2:$X$2427)))/COUNT(IF(A1866=$A$2:$A$2427,IF(D1866=$D$2:$D$2427,IF(ISNUMBER($X$2:$X$2427),1)))),0),""),0)</f>
        <v/>
      </c>
      <c r="Z1866" s="104" t="str">
        <f>IF(ISNUMBER(O1866),IF(I1866&gt;0,(10^(VLOOKUP(D1866,'Species Codes'!B:C,2,0)+VLOOKUP(D1866,'Species Codes'!B:D,3,0)*LOG(E1866)+VLOOKUP(D1866,'Species Codes'!B:E,4,0)*LOG(I1866))),0),"")</f>
        <v/>
      </c>
      <c r="AA1866" s="104" t="str">
        <f>IFERROR((VLOOKUP(D1866,'Species Codes'!B:G,6,0)*Z1866)/2000,"")</f>
        <v/>
      </c>
      <c r="AB1866" s="104" t="e">
        <f>IF(Z1866&gt;0,((IF(OR(D1866="DF",D1866="RA")=TRUE,EXP(VLOOKUP(D1866,'Species Codes'!B:I,8,0)+VLOOKUP(D1866,'Species Codes'!B:J,9,0)*(LN((E1866*2.54)))),IF(OR(D1866="PY",D1866="RC",D1866="WH",D1866="NF")=TRUE,VLOOKUP(D1866,'Species Codes'!B:I,8,0)+VLOOKUP(D1866,'Species Codes'!B:J,9,0)*((E1866*2.54)^2)*(I1866*0.3048),IF(OR(D1866="MD",D1866="BM",D1866="GA")=TRUE,((VLOOKUP(D1866,'Species Codes'!B:I,8,0)*(((((E1866*2.54)+VLOOKUP(D1866,'Species Codes'!B:J,9,0))/VLOOKUP(D1866,'Species Codes'!B:K,10,0))^VLOOKUP(D1866,'Species Codes'!B:L,11,0))*((I1866*0.3048)^VLOOKUP(D1866,'Species Codes'!B:M,12,0))))-(VLOOKUP(D1866,'Species Codes'!B:I,8,0)*((((E1866*2.54)^VLOOKUP(D1866,'Species Codes'!B:L,11,0))*((I1866*0.3048)^VLOOKUP(D1866,'Species Codes'!B:M,12,0))))))*35.3*VLOOKUP(D1866,'Species Codes'!B:G,6,0)/2.2046,VLOOKUP(D1866,'Species Codes'!B:I,8,0)+VLOOKUP(D1866,'Species Codes'!B:J,9,0)*(((E1866*2.54)/100)^2)*(I1866*0.3048)))))*0.0011023),0)</f>
        <v>#N/A</v>
      </c>
      <c r="AC1866" s="104" t="e">
        <f>IF(Z1866&gt;0,((IF(OR(D1866="RA",D1866="OA",D1866="OT",D1866="UN",D1866="PC"),EXP(VLOOKUP(D1866,'Species Codes'!B:O,14,0)+VLOOKUP(D1866,'Species Codes'!B:P,15,0)*LN((E1866*2.54)))-EXP(VLOOKUP(D1866,'Species Codes'!B:O,14,0)+VLOOKUP(D1866,'Species Codes'!B:P,15,0)*LN((E1866*2.54)))*(1/(VLOOKUP(D1866,'Species Codes'!B:Q,16,0)+VLOOKUP(D1866,'Species Codes'!B:R,17,0)*((E1866*2.54)^VLOOKUP(D1866,'Species Codes'!B:S,18,0)))),IF(OR(D1866="BM",D1866="MD",D1866="OA"),EXP(VLOOKUP(D1866,'Species Codes'!B:O,14,0)+VLOOKUP(D1866,'Species Codes'!B:P,15,0)*LN((E1866*2.54)))*(1-(1/(VLOOKUP(D1866,'Species Codes'!B:Q,16,0)+VLOOKUP(D1866,'Species Codes'!B:R,17,0)*((E1866*2.54)^VLOOKUP(D1866,'Species Codes'!B:S,18,0)))))/1000,IF(D1866="DF",EXP(VLOOKUP(D1866,'Species Codes'!B:O,14,0)+VLOOKUP(D1866,'Species Codes'!B:P,15,0)*LN((E1866*2.54))),VLOOKUP(D1866,'Species Codes'!B:O,14,0)+VLOOKUP(D1866,'Species Codes'!B:P,15,0)*(((E1866*2.54)/100)^2)*(I1866*0.3048)))))*0.0011023),0)</f>
        <v>#N/A</v>
      </c>
      <c r="AD1866" s="104" t="e">
        <f t="shared" si="814"/>
        <v>#N/A</v>
      </c>
      <c r="AE1866" s="104" t="e">
        <f t="shared" si="815"/>
        <v>#N/A</v>
      </c>
      <c r="AF1866" s="104" t="e">
        <f>IF(AND(VLOOKUP($D1866,Merchantability!$B:$C,2,0)="Yes",$E1866&gt;=VLOOKUP($D1866,Merchantability!$B:$D,3,0),$E1866&lt;=VLOOKUP($D1866,Merchantability!$B:$E,4,0)),AA1866,0)</f>
        <v>#N/A</v>
      </c>
      <c r="AG1866" s="104" t="e">
        <f>IF(AND(VLOOKUP($D1866,Merchantability!$B:$C,2,0)="Yes",$E1866&gt;=VLOOKUP($D1866,Merchantability!$B:$D,3,0),$E1866&lt;=VLOOKUP($D1866,Merchantability!$B:$E,4,0)),AB1866,0)</f>
        <v>#N/A</v>
      </c>
      <c r="AH1866" s="104" t="e">
        <f>IF(AND(VLOOKUP($D1866,Merchantability!$B:$C,2,0)="Yes",$E1866&gt;=VLOOKUP($D1866,Merchantability!$B:$D,3,0),$E1866&lt;=VLOOKUP($D1866,Merchantability!$B:$E,4,0)),AC1866,0)</f>
        <v>#N/A</v>
      </c>
      <c r="AI1866" s="104" t="e">
        <f t="shared" si="816"/>
        <v>#N/A</v>
      </c>
      <c r="AJ1866" s="104" t="e">
        <f t="shared" si="817"/>
        <v>#VALUE!</v>
      </c>
      <c r="AK1866" s="104" t="e">
        <f t="shared" si="818"/>
        <v>#N/A</v>
      </c>
      <c r="AL1866" s="104" t="e">
        <f t="shared" si="819"/>
        <v>#N/A</v>
      </c>
      <c r="AM1866" s="104" t="e">
        <f t="shared" si="820"/>
        <v>#N/A</v>
      </c>
      <c r="AN1866" s="104" t="e">
        <f t="shared" si="831"/>
        <v>#N/A</v>
      </c>
      <c r="AO1866" s="104" t="e">
        <f t="shared" si="832"/>
        <v>#N/A</v>
      </c>
      <c r="AP1866" s="104" t="e">
        <f t="shared" si="833"/>
        <v>#N/A</v>
      </c>
      <c r="AQ1866" s="104" t="e">
        <f t="shared" si="834"/>
        <v>#N/A</v>
      </c>
      <c r="AR1866" s="105" t="str">
        <f t="shared" si="826"/>
        <v/>
      </c>
      <c r="AS1866" s="105" t="str">
        <f t="shared" si="827"/>
        <v/>
      </c>
      <c r="AT1866" s="108" t="str">
        <f t="shared" si="828"/>
        <v/>
      </c>
      <c r="AU1866" s="108" t="str">
        <f t="shared" si="829"/>
        <v/>
      </c>
      <c r="AV1866" s="107" t="str">
        <f>IF(ISNUMBER(O1866),IF(VLOOKUP($A1866,Stand!C:J,8,FALSE)="Short",AT1866,AU1866),"")</f>
        <v/>
      </c>
      <c r="AW1866" s="109" t="str">
        <f t="shared" si="835"/>
        <v/>
      </c>
      <c r="AX1866" s="109" t="str">
        <f t="shared" si="836"/>
        <v/>
      </c>
      <c r="AY1866" s="112" t="str">
        <f>IF(ISNUMBER(O1866),IF(AND(VLOOKUP($D1866,Merchantability!$B:$C,2,0)="Yes",$E1866&gt;=VLOOKUP($D1866,Merchantability!$B:$D,3,0),$E1866&lt;=VLOOKUP($D1866,Merchantability!$B:$E,4,0)),(AV1866*O1866)*(1-$H1866/100),""),"")</f>
        <v/>
      </c>
      <c r="AZ1866" s="116"/>
      <c r="BA1866" s="116"/>
      <c r="BB1866" s="116"/>
      <c r="BE1866" s="62"/>
      <c r="BF1866" s="63"/>
    </row>
    <row r="1867" spans="1:58" ht="12.75" customHeight="1" x14ac:dyDescent="0.25">
      <c r="A1867" s="334"/>
      <c r="B1867" s="334"/>
      <c r="C1867" s="332"/>
      <c r="D1867" s="334"/>
      <c r="E1867" s="335"/>
      <c r="F1867" s="334"/>
      <c r="G1867" s="332"/>
      <c r="H1867" s="332"/>
      <c r="I1867" s="334"/>
      <c r="J1867" s="336"/>
      <c r="K1867" s="332"/>
      <c r="L1867" s="332"/>
      <c r="M1867" s="76"/>
      <c r="N1867" s="103" t="str">
        <f>IF(A1867="","",VLOOKUP(A1867,Stand!C:K,9,0))</f>
        <v/>
      </c>
      <c r="O1867" s="104" t="str">
        <f t="shared" si="821"/>
        <v/>
      </c>
      <c r="P1867" s="105" t="str">
        <f t="shared" si="822"/>
        <v/>
      </c>
      <c r="Q1867" s="105" t="str">
        <f t="shared" si="810"/>
        <v/>
      </c>
      <c r="R1867" s="103" t="str">
        <f t="shared" si="823"/>
        <v/>
      </c>
      <c r="S1867" s="103" t="str">
        <f t="shared" si="824"/>
        <v/>
      </c>
      <c r="T1867" s="106" t="str">
        <f t="shared" si="811"/>
        <v/>
      </c>
      <c r="U1867" s="106" t="str">
        <f t="shared" si="812"/>
        <v/>
      </c>
      <c r="V1867" s="106" t="str">
        <f t="shared" si="813"/>
        <v/>
      </c>
      <c r="W1867" s="105" t="str">
        <f t="shared" si="825"/>
        <v/>
      </c>
      <c r="X1867" s="104" t="str">
        <f t="shared" si="830"/>
        <v/>
      </c>
      <c r="Y1867" s="104" t="str">
        <f t="array" ref="Y1867">IFERROR(IF(ISNUMBER(O1867),IF(COUNT(IF(A1867=$A$2:$A$2427,IF(D1867=$D$2:$D$2427,IF($X$2:$X$2427&gt;0,1))))&gt;0,SUM(IF(A1867=$A$2:$A$2427,IF(D1867=$D$2:$D$2427,$X$2:$X$2427)))/COUNT(IF(A1867=$A$2:$A$2427,IF(D1867=$D$2:$D$2427,IF(ISNUMBER($X$2:$X$2427),1)))),0),""),0)</f>
        <v/>
      </c>
      <c r="Z1867" s="104" t="str">
        <f>IF(ISNUMBER(O1867),IF(I1867&gt;0,(10^(VLOOKUP(D1867,'Species Codes'!B:C,2,0)+VLOOKUP(D1867,'Species Codes'!B:D,3,0)*LOG(E1867)+VLOOKUP(D1867,'Species Codes'!B:E,4,0)*LOG(I1867))),0),"")</f>
        <v/>
      </c>
      <c r="AA1867" s="104" t="str">
        <f>IFERROR((VLOOKUP(D1867,'Species Codes'!B:G,6,0)*Z1867)/2000,"")</f>
        <v/>
      </c>
      <c r="AB1867" s="104" t="e">
        <f>IF(Z1867&gt;0,((IF(OR(D1867="DF",D1867="RA")=TRUE,EXP(VLOOKUP(D1867,'Species Codes'!B:I,8,0)+VLOOKUP(D1867,'Species Codes'!B:J,9,0)*(LN((E1867*2.54)))),IF(OR(D1867="PY",D1867="RC",D1867="WH",D1867="NF")=TRUE,VLOOKUP(D1867,'Species Codes'!B:I,8,0)+VLOOKUP(D1867,'Species Codes'!B:J,9,0)*((E1867*2.54)^2)*(I1867*0.3048),IF(OR(D1867="MD",D1867="BM",D1867="GA")=TRUE,((VLOOKUP(D1867,'Species Codes'!B:I,8,0)*(((((E1867*2.54)+VLOOKUP(D1867,'Species Codes'!B:J,9,0))/VLOOKUP(D1867,'Species Codes'!B:K,10,0))^VLOOKUP(D1867,'Species Codes'!B:L,11,0))*((I1867*0.3048)^VLOOKUP(D1867,'Species Codes'!B:M,12,0))))-(VLOOKUP(D1867,'Species Codes'!B:I,8,0)*((((E1867*2.54)^VLOOKUP(D1867,'Species Codes'!B:L,11,0))*((I1867*0.3048)^VLOOKUP(D1867,'Species Codes'!B:M,12,0))))))*35.3*VLOOKUP(D1867,'Species Codes'!B:G,6,0)/2.2046,VLOOKUP(D1867,'Species Codes'!B:I,8,0)+VLOOKUP(D1867,'Species Codes'!B:J,9,0)*(((E1867*2.54)/100)^2)*(I1867*0.3048)))))*0.0011023),0)</f>
        <v>#N/A</v>
      </c>
      <c r="AC1867" s="104" t="e">
        <f>IF(Z1867&gt;0,((IF(OR(D1867="RA",D1867="OA",D1867="OT",D1867="UN",D1867="PC"),EXP(VLOOKUP(D1867,'Species Codes'!B:O,14,0)+VLOOKUP(D1867,'Species Codes'!B:P,15,0)*LN((E1867*2.54)))-EXP(VLOOKUP(D1867,'Species Codes'!B:O,14,0)+VLOOKUP(D1867,'Species Codes'!B:P,15,0)*LN((E1867*2.54)))*(1/(VLOOKUP(D1867,'Species Codes'!B:Q,16,0)+VLOOKUP(D1867,'Species Codes'!B:R,17,0)*((E1867*2.54)^VLOOKUP(D1867,'Species Codes'!B:S,18,0)))),IF(OR(D1867="BM",D1867="MD",D1867="OA"),EXP(VLOOKUP(D1867,'Species Codes'!B:O,14,0)+VLOOKUP(D1867,'Species Codes'!B:P,15,0)*LN((E1867*2.54)))*(1-(1/(VLOOKUP(D1867,'Species Codes'!B:Q,16,0)+VLOOKUP(D1867,'Species Codes'!B:R,17,0)*((E1867*2.54)^VLOOKUP(D1867,'Species Codes'!B:S,18,0)))))/1000,IF(D1867="DF",EXP(VLOOKUP(D1867,'Species Codes'!B:O,14,0)+VLOOKUP(D1867,'Species Codes'!B:P,15,0)*LN((E1867*2.54))),VLOOKUP(D1867,'Species Codes'!B:O,14,0)+VLOOKUP(D1867,'Species Codes'!B:P,15,0)*(((E1867*2.54)/100)^2)*(I1867*0.3048)))))*0.0011023),0)</f>
        <v>#N/A</v>
      </c>
      <c r="AD1867" s="104" t="e">
        <f t="shared" si="814"/>
        <v>#N/A</v>
      </c>
      <c r="AE1867" s="104" t="e">
        <f t="shared" si="815"/>
        <v>#N/A</v>
      </c>
      <c r="AF1867" s="104" t="e">
        <f>IF(AND(VLOOKUP($D1867,Merchantability!$B:$C,2,0)="Yes",$E1867&gt;=VLOOKUP($D1867,Merchantability!$B:$D,3,0),$E1867&lt;=VLOOKUP($D1867,Merchantability!$B:$E,4,0)),AA1867,0)</f>
        <v>#N/A</v>
      </c>
      <c r="AG1867" s="104" t="e">
        <f>IF(AND(VLOOKUP($D1867,Merchantability!$B:$C,2,0)="Yes",$E1867&gt;=VLOOKUP($D1867,Merchantability!$B:$D,3,0),$E1867&lt;=VLOOKUP($D1867,Merchantability!$B:$E,4,0)),AB1867,0)</f>
        <v>#N/A</v>
      </c>
      <c r="AH1867" s="104" t="e">
        <f>IF(AND(VLOOKUP($D1867,Merchantability!$B:$C,2,0)="Yes",$E1867&gt;=VLOOKUP($D1867,Merchantability!$B:$D,3,0),$E1867&lt;=VLOOKUP($D1867,Merchantability!$B:$E,4,0)),AC1867,0)</f>
        <v>#N/A</v>
      </c>
      <c r="AI1867" s="104" t="e">
        <f t="shared" si="816"/>
        <v>#N/A</v>
      </c>
      <c r="AJ1867" s="104" t="e">
        <f t="shared" si="817"/>
        <v>#VALUE!</v>
      </c>
      <c r="AK1867" s="104" t="e">
        <f t="shared" si="818"/>
        <v>#N/A</v>
      </c>
      <c r="AL1867" s="104" t="e">
        <f t="shared" si="819"/>
        <v>#N/A</v>
      </c>
      <c r="AM1867" s="104" t="e">
        <f t="shared" si="820"/>
        <v>#N/A</v>
      </c>
      <c r="AN1867" s="104" t="e">
        <f t="shared" si="831"/>
        <v>#N/A</v>
      </c>
      <c r="AO1867" s="104" t="e">
        <f t="shared" si="832"/>
        <v>#N/A</v>
      </c>
      <c r="AP1867" s="104" t="e">
        <f t="shared" si="833"/>
        <v>#N/A</v>
      </c>
      <c r="AQ1867" s="104" t="e">
        <f t="shared" si="834"/>
        <v>#N/A</v>
      </c>
      <c r="AR1867" s="105" t="str">
        <f t="shared" si="826"/>
        <v/>
      </c>
      <c r="AS1867" s="105" t="str">
        <f t="shared" si="827"/>
        <v/>
      </c>
      <c r="AT1867" s="108" t="str">
        <f t="shared" si="828"/>
        <v/>
      </c>
      <c r="AU1867" s="108" t="str">
        <f t="shared" si="829"/>
        <v/>
      </c>
      <c r="AV1867" s="107" t="str">
        <f>IF(ISNUMBER(O1867),IF(VLOOKUP($A1867,Stand!C:J,8,FALSE)="Short",AT1867,AU1867),"")</f>
        <v/>
      </c>
      <c r="AW1867" s="109" t="str">
        <f t="shared" si="835"/>
        <v/>
      </c>
      <c r="AX1867" s="109" t="str">
        <f t="shared" si="836"/>
        <v/>
      </c>
      <c r="AY1867" s="112" t="str">
        <f>IF(ISNUMBER(O1867),IF(AND(VLOOKUP($D1867,Merchantability!$B:$C,2,0)="Yes",$E1867&gt;=VLOOKUP($D1867,Merchantability!$B:$D,3,0),$E1867&lt;=VLOOKUP($D1867,Merchantability!$B:$E,4,0)),(AV1867*O1867)*(1-$H1867/100),""),"")</f>
        <v/>
      </c>
      <c r="AZ1867" s="116"/>
      <c r="BA1867" s="116"/>
      <c r="BB1867" s="116"/>
      <c r="BE1867" s="62"/>
      <c r="BF1867" s="63"/>
    </row>
    <row r="1868" spans="1:58" ht="12.75" customHeight="1" x14ac:dyDescent="0.25">
      <c r="A1868" s="334"/>
      <c r="B1868" s="334"/>
      <c r="C1868" s="332"/>
      <c r="D1868" s="334"/>
      <c r="E1868" s="335"/>
      <c r="F1868" s="334"/>
      <c r="G1868" s="332"/>
      <c r="H1868" s="332"/>
      <c r="I1868" s="334"/>
      <c r="J1868" s="336"/>
      <c r="K1868" s="332"/>
      <c r="L1868" s="332"/>
      <c r="M1868" s="76"/>
      <c r="N1868" s="103" t="str">
        <f>IF(A1868="","",VLOOKUP(A1868,Stand!C:K,9,0))</f>
        <v/>
      </c>
      <c r="O1868" s="104" t="str">
        <f t="shared" si="821"/>
        <v/>
      </c>
      <c r="P1868" s="105" t="str">
        <f t="shared" si="822"/>
        <v/>
      </c>
      <c r="Q1868" s="105" t="str">
        <f t="shared" si="810"/>
        <v/>
      </c>
      <c r="R1868" s="103" t="str">
        <f t="shared" si="823"/>
        <v/>
      </c>
      <c r="S1868" s="103" t="str">
        <f t="shared" si="824"/>
        <v/>
      </c>
      <c r="T1868" s="106" t="str">
        <f t="shared" si="811"/>
        <v/>
      </c>
      <c r="U1868" s="106" t="str">
        <f t="shared" si="812"/>
        <v/>
      </c>
      <c r="V1868" s="106" t="str">
        <f t="shared" si="813"/>
        <v/>
      </c>
      <c r="W1868" s="105" t="str">
        <f t="shared" si="825"/>
        <v/>
      </c>
      <c r="X1868" s="104" t="str">
        <f t="shared" si="830"/>
        <v/>
      </c>
      <c r="Y1868" s="104" t="str">
        <f t="array" ref="Y1868">IFERROR(IF(ISNUMBER(O1868),IF(COUNT(IF(A1868=$A$2:$A$2427,IF(D1868=$D$2:$D$2427,IF($X$2:$X$2427&gt;0,1))))&gt;0,SUM(IF(A1868=$A$2:$A$2427,IF(D1868=$D$2:$D$2427,$X$2:$X$2427)))/COUNT(IF(A1868=$A$2:$A$2427,IF(D1868=$D$2:$D$2427,IF(ISNUMBER($X$2:$X$2427),1)))),0),""),0)</f>
        <v/>
      </c>
      <c r="Z1868" s="104" t="str">
        <f>IF(ISNUMBER(O1868),IF(I1868&gt;0,(10^(VLOOKUP(D1868,'Species Codes'!B:C,2,0)+VLOOKUP(D1868,'Species Codes'!B:D,3,0)*LOG(E1868)+VLOOKUP(D1868,'Species Codes'!B:E,4,0)*LOG(I1868))),0),"")</f>
        <v/>
      </c>
      <c r="AA1868" s="104" t="str">
        <f>IFERROR((VLOOKUP(D1868,'Species Codes'!B:G,6,0)*Z1868)/2000,"")</f>
        <v/>
      </c>
      <c r="AB1868" s="104" t="e">
        <f>IF(Z1868&gt;0,((IF(OR(D1868="DF",D1868="RA")=TRUE,EXP(VLOOKUP(D1868,'Species Codes'!B:I,8,0)+VLOOKUP(D1868,'Species Codes'!B:J,9,0)*(LN((E1868*2.54)))),IF(OR(D1868="PY",D1868="RC",D1868="WH",D1868="NF")=TRUE,VLOOKUP(D1868,'Species Codes'!B:I,8,0)+VLOOKUP(D1868,'Species Codes'!B:J,9,0)*((E1868*2.54)^2)*(I1868*0.3048),IF(OR(D1868="MD",D1868="BM",D1868="GA")=TRUE,((VLOOKUP(D1868,'Species Codes'!B:I,8,0)*(((((E1868*2.54)+VLOOKUP(D1868,'Species Codes'!B:J,9,0))/VLOOKUP(D1868,'Species Codes'!B:K,10,0))^VLOOKUP(D1868,'Species Codes'!B:L,11,0))*((I1868*0.3048)^VLOOKUP(D1868,'Species Codes'!B:M,12,0))))-(VLOOKUP(D1868,'Species Codes'!B:I,8,0)*((((E1868*2.54)^VLOOKUP(D1868,'Species Codes'!B:L,11,0))*((I1868*0.3048)^VLOOKUP(D1868,'Species Codes'!B:M,12,0))))))*35.3*VLOOKUP(D1868,'Species Codes'!B:G,6,0)/2.2046,VLOOKUP(D1868,'Species Codes'!B:I,8,0)+VLOOKUP(D1868,'Species Codes'!B:J,9,0)*(((E1868*2.54)/100)^2)*(I1868*0.3048)))))*0.0011023),0)</f>
        <v>#N/A</v>
      </c>
      <c r="AC1868" s="104" t="e">
        <f>IF(Z1868&gt;0,((IF(OR(D1868="RA",D1868="OA",D1868="OT",D1868="UN",D1868="PC"),EXP(VLOOKUP(D1868,'Species Codes'!B:O,14,0)+VLOOKUP(D1868,'Species Codes'!B:P,15,0)*LN((E1868*2.54)))-EXP(VLOOKUP(D1868,'Species Codes'!B:O,14,0)+VLOOKUP(D1868,'Species Codes'!B:P,15,0)*LN((E1868*2.54)))*(1/(VLOOKUP(D1868,'Species Codes'!B:Q,16,0)+VLOOKUP(D1868,'Species Codes'!B:R,17,0)*((E1868*2.54)^VLOOKUP(D1868,'Species Codes'!B:S,18,0)))),IF(OR(D1868="BM",D1868="MD",D1868="OA"),EXP(VLOOKUP(D1868,'Species Codes'!B:O,14,0)+VLOOKUP(D1868,'Species Codes'!B:P,15,0)*LN((E1868*2.54)))*(1-(1/(VLOOKUP(D1868,'Species Codes'!B:Q,16,0)+VLOOKUP(D1868,'Species Codes'!B:R,17,0)*((E1868*2.54)^VLOOKUP(D1868,'Species Codes'!B:S,18,0)))))/1000,IF(D1868="DF",EXP(VLOOKUP(D1868,'Species Codes'!B:O,14,0)+VLOOKUP(D1868,'Species Codes'!B:P,15,0)*LN((E1868*2.54))),VLOOKUP(D1868,'Species Codes'!B:O,14,0)+VLOOKUP(D1868,'Species Codes'!B:P,15,0)*(((E1868*2.54)/100)^2)*(I1868*0.3048)))))*0.0011023),0)</f>
        <v>#N/A</v>
      </c>
      <c r="AD1868" s="104" t="e">
        <f t="shared" si="814"/>
        <v>#N/A</v>
      </c>
      <c r="AE1868" s="104" t="e">
        <f t="shared" si="815"/>
        <v>#N/A</v>
      </c>
      <c r="AF1868" s="104" t="e">
        <f>IF(AND(VLOOKUP($D1868,Merchantability!$B:$C,2,0)="Yes",$E1868&gt;=VLOOKUP($D1868,Merchantability!$B:$D,3,0),$E1868&lt;=VLOOKUP($D1868,Merchantability!$B:$E,4,0)),AA1868,0)</f>
        <v>#N/A</v>
      </c>
      <c r="AG1868" s="104" t="e">
        <f>IF(AND(VLOOKUP($D1868,Merchantability!$B:$C,2,0)="Yes",$E1868&gt;=VLOOKUP($D1868,Merchantability!$B:$D,3,0),$E1868&lt;=VLOOKUP($D1868,Merchantability!$B:$E,4,0)),AB1868,0)</f>
        <v>#N/A</v>
      </c>
      <c r="AH1868" s="104" t="e">
        <f>IF(AND(VLOOKUP($D1868,Merchantability!$B:$C,2,0)="Yes",$E1868&gt;=VLOOKUP($D1868,Merchantability!$B:$D,3,0),$E1868&lt;=VLOOKUP($D1868,Merchantability!$B:$E,4,0)),AC1868,0)</f>
        <v>#N/A</v>
      </c>
      <c r="AI1868" s="104" t="e">
        <f t="shared" si="816"/>
        <v>#N/A</v>
      </c>
      <c r="AJ1868" s="104" t="e">
        <f t="shared" si="817"/>
        <v>#VALUE!</v>
      </c>
      <c r="AK1868" s="104" t="e">
        <f t="shared" si="818"/>
        <v>#N/A</v>
      </c>
      <c r="AL1868" s="104" t="e">
        <f t="shared" si="819"/>
        <v>#N/A</v>
      </c>
      <c r="AM1868" s="104" t="e">
        <f t="shared" si="820"/>
        <v>#N/A</v>
      </c>
      <c r="AN1868" s="104" t="e">
        <f t="shared" si="831"/>
        <v>#N/A</v>
      </c>
      <c r="AO1868" s="104" t="e">
        <f t="shared" si="832"/>
        <v>#N/A</v>
      </c>
      <c r="AP1868" s="104" t="e">
        <f t="shared" si="833"/>
        <v>#N/A</v>
      </c>
      <c r="AQ1868" s="104" t="e">
        <f t="shared" si="834"/>
        <v>#N/A</v>
      </c>
      <c r="AR1868" s="105" t="str">
        <f t="shared" si="826"/>
        <v/>
      </c>
      <c r="AS1868" s="105" t="str">
        <f t="shared" si="827"/>
        <v/>
      </c>
      <c r="AT1868" s="108" t="str">
        <f t="shared" si="828"/>
        <v/>
      </c>
      <c r="AU1868" s="108" t="str">
        <f t="shared" si="829"/>
        <v/>
      </c>
      <c r="AV1868" s="107" t="str">
        <f>IF(ISNUMBER(O1868),IF(VLOOKUP($A1868,Stand!C:J,8,FALSE)="Short",AT1868,AU1868),"")</f>
        <v/>
      </c>
      <c r="AW1868" s="109" t="str">
        <f t="shared" si="835"/>
        <v/>
      </c>
      <c r="AX1868" s="109" t="str">
        <f t="shared" si="836"/>
        <v/>
      </c>
      <c r="AY1868" s="112" t="str">
        <f>IF(ISNUMBER(O1868),IF(AND(VLOOKUP($D1868,Merchantability!$B:$C,2,0)="Yes",$E1868&gt;=VLOOKUP($D1868,Merchantability!$B:$D,3,0),$E1868&lt;=VLOOKUP($D1868,Merchantability!$B:$E,4,0)),(AV1868*O1868)*(1-$H1868/100),""),"")</f>
        <v/>
      </c>
      <c r="AZ1868" s="116"/>
      <c r="BA1868" s="116"/>
      <c r="BB1868" s="116"/>
      <c r="BE1868" s="62"/>
      <c r="BF1868" s="63"/>
    </row>
    <row r="1869" spans="1:58" ht="12.75" customHeight="1" x14ac:dyDescent="0.25">
      <c r="A1869" s="334"/>
      <c r="B1869" s="334"/>
      <c r="C1869" s="332"/>
      <c r="D1869" s="334"/>
      <c r="E1869" s="335"/>
      <c r="F1869" s="334"/>
      <c r="G1869" s="332"/>
      <c r="H1869" s="332"/>
      <c r="I1869" s="334"/>
      <c r="J1869" s="336"/>
      <c r="K1869" s="332"/>
      <c r="L1869" s="332"/>
      <c r="M1869" s="76"/>
      <c r="N1869" s="103" t="str">
        <f>IF(A1869="","",VLOOKUP(A1869,Stand!C:K,9,0))</f>
        <v/>
      </c>
      <c r="O1869" s="104" t="str">
        <f t="shared" si="821"/>
        <v/>
      </c>
      <c r="P1869" s="105" t="str">
        <f t="shared" si="822"/>
        <v/>
      </c>
      <c r="Q1869" s="105" t="str">
        <f t="shared" si="810"/>
        <v/>
      </c>
      <c r="R1869" s="103" t="str">
        <f t="shared" si="823"/>
        <v/>
      </c>
      <c r="S1869" s="103" t="str">
        <f t="shared" si="824"/>
        <v/>
      </c>
      <c r="T1869" s="106" t="str">
        <f t="shared" si="811"/>
        <v/>
      </c>
      <c r="U1869" s="106" t="str">
        <f t="shared" si="812"/>
        <v/>
      </c>
      <c r="V1869" s="106" t="str">
        <f t="shared" si="813"/>
        <v/>
      </c>
      <c r="W1869" s="105" t="str">
        <f t="shared" si="825"/>
        <v/>
      </c>
      <c r="X1869" s="104" t="str">
        <f t="shared" si="830"/>
        <v/>
      </c>
      <c r="Y1869" s="104" t="str">
        <f t="array" ref="Y1869">IFERROR(IF(ISNUMBER(O1869),IF(COUNT(IF(A1869=$A$2:$A$2427,IF(D1869=$D$2:$D$2427,IF($X$2:$X$2427&gt;0,1))))&gt;0,SUM(IF(A1869=$A$2:$A$2427,IF(D1869=$D$2:$D$2427,$X$2:$X$2427)))/COUNT(IF(A1869=$A$2:$A$2427,IF(D1869=$D$2:$D$2427,IF(ISNUMBER($X$2:$X$2427),1)))),0),""),0)</f>
        <v/>
      </c>
      <c r="Z1869" s="104" t="str">
        <f>IF(ISNUMBER(O1869),IF(I1869&gt;0,(10^(VLOOKUP(D1869,'Species Codes'!B:C,2,0)+VLOOKUP(D1869,'Species Codes'!B:D,3,0)*LOG(E1869)+VLOOKUP(D1869,'Species Codes'!B:E,4,0)*LOG(I1869))),0),"")</f>
        <v/>
      </c>
      <c r="AA1869" s="104" t="str">
        <f>IFERROR((VLOOKUP(D1869,'Species Codes'!B:G,6,0)*Z1869)/2000,"")</f>
        <v/>
      </c>
      <c r="AB1869" s="104" t="e">
        <f>IF(Z1869&gt;0,((IF(OR(D1869="DF",D1869="RA")=TRUE,EXP(VLOOKUP(D1869,'Species Codes'!B:I,8,0)+VLOOKUP(D1869,'Species Codes'!B:J,9,0)*(LN((E1869*2.54)))),IF(OR(D1869="PY",D1869="RC",D1869="WH",D1869="NF")=TRUE,VLOOKUP(D1869,'Species Codes'!B:I,8,0)+VLOOKUP(D1869,'Species Codes'!B:J,9,0)*((E1869*2.54)^2)*(I1869*0.3048),IF(OR(D1869="MD",D1869="BM",D1869="GA")=TRUE,((VLOOKUP(D1869,'Species Codes'!B:I,8,0)*(((((E1869*2.54)+VLOOKUP(D1869,'Species Codes'!B:J,9,0))/VLOOKUP(D1869,'Species Codes'!B:K,10,0))^VLOOKUP(D1869,'Species Codes'!B:L,11,0))*((I1869*0.3048)^VLOOKUP(D1869,'Species Codes'!B:M,12,0))))-(VLOOKUP(D1869,'Species Codes'!B:I,8,0)*((((E1869*2.54)^VLOOKUP(D1869,'Species Codes'!B:L,11,0))*((I1869*0.3048)^VLOOKUP(D1869,'Species Codes'!B:M,12,0))))))*35.3*VLOOKUP(D1869,'Species Codes'!B:G,6,0)/2.2046,VLOOKUP(D1869,'Species Codes'!B:I,8,0)+VLOOKUP(D1869,'Species Codes'!B:J,9,0)*(((E1869*2.54)/100)^2)*(I1869*0.3048)))))*0.0011023),0)</f>
        <v>#N/A</v>
      </c>
      <c r="AC1869" s="104" t="e">
        <f>IF(Z1869&gt;0,((IF(OR(D1869="RA",D1869="OA",D1869="OT",D1869="UN",D1869="PC"),EXP(VLOOKUP(D1869,'Species Codes'!B:O,14,0)+VLOOKUP(D1869,'Species Codes'!B:P,15,0)*LN((E1869*2.54)))-EXP(VLOOKUP(D1869,'Species Codes'!B:O,14,0)+VLOOKUP(D1869,'Species Codes'!B:P,15,0)*LN((E1869*2.54)))*(1/(VLOOKUP(D1869,'Species Codes'!B:Q,16,0)+VLOOKUP(D1869,'Species Codes'!B:R,17,0)*((E1869*2.54)^VLOOKUP(D1869,'Species Codes'!B:S,18,0)))),IF(OR(D1869="BM",D1869="MD",D1869="OA"),EXP(VLOOKUP(D1869,'Species Codes'!B:O,14,0)+VLOOKUP(D1869,'Species Codes'!B:P,15,0)*LN((E1869*2.54)))*(1-(1/(VLOOKUP(D1869,'Species Codes'!B:Q,16,0)+VLOOKUP(D1869,'Species Codes'!B:R,17,0)*((E1869*2.54)^VLOOKUP(D1869,'Species Codes'!B:S,18,0)))))/1000,IF(D1869="DF",EXP(VLOOKUP(D1869,'Species Codes'!B:O,14,0)+VLOOKUP(D1869,'Species Codes'!B:P,15,0)*LN((E1869*2.54))),VLOOKUP(D1869,'Species Codes'!B:O,14,0)+VLOOKUP(D1869,'Species Codes'!B:P,15,0)*(((E1869*2.54)/100)^2)*(I1869*0.3048)))))*0.0011023),0)</f>
        <v>#N/A</v>
      </c>
      <c r="AD1869" s="104" t="e">
        <f t="shared" si="814"/>
        <v>#N/A</v>
      </c>
      <c r="AE1869" s="104" t="e">
        <f t="shared" si="815"/>
        <v>#N/A</v>
      </c>
      <c r="AF1869" s="104" t="e">
        <f>IF(AND(VLOOKUP($D1869,Merchantability!$B:$C,2,0)="Yes",$E1869&gt;=VLOOKUP($D1869,Merchantability!$B:$D,3,0),$E1869&lt;=VLOOKUP($D1869,Merchantability!$B:$E,4,0)),AA1869,0)</f>
        <v>#N/A</v>
      </c>
      <c r="AG1869" s="104" t="e">
        <f>IF(AND(VLOOKUP($D1869,Merchantability!$B:$C,2,0)="Yes",$E1869&gt;=VLOOKUP($D1869,Merchantability!$B:$D,3,0),$E1869&lt;=VLOOKUP($D1869,Merchantability!$B:$E,4,0)),AB1869,0)</f>
        <v>#N/A</v>
      </c>
      <c r="AH1869" s="104" t="e">
        <f>IF(AND(VLOOKUP($D1869,Merchantability!$B:$C,2,0)="Yes",$E1869&gt;=VLOOKUP($D1869,Merchantability!$B:$D,3,0),$E1869&lt;=VLOOKUP($D1869,Merchantability!$B:$E,4,0)),AC1869,0)</f>
        <v>#N/A</v>
      </c>
      <c r="AI1869" s="104" t="e">
        <f t="shared" si="816"/>
        <v>#N/A</v>
      </c>
      <c r="AJ1869" s="104" t="e">
        <f t="shared" si="817"/>
        <v>#VALUE!</v>
      </c>
      <c r="AK1869" s="104" t="e">
        <f t="shared" si="818"/>
        <v>#N/A</v>
      </c>
      <c r="AL1869" s="104" t="e">
        <f t="shared" si="819"/>
        <v>#N/A</v>
      </c>
      <c r="AM1869" s="104" t="e">
        <f t="shared" si="820"/>
        <v>#N/A</v>
      </c>
      <c r="AN1869" s="104" t="e">
        <f t="shared" si="831"/>
        <v>#N/A</v>
      </c>
      <c r="AO1869" s="104" t="e">
        <f t="shared" si="832"/>
        <v>#N/A</v>
      </c>
      <c r="AP1869" s="104" t="e">
        <f t="shared" si="833"/>
        <v>#N/A</v>
      </c>
      <c r="AQ1869" s="104" t="e">
        <f t="shared" si="834"/>
        <v>#N/A</v>
      </c>
      <c r="AR1869" s="105" t="str">
        <f t="shared" si="826"/>
        <v/>
      </c>
      <c r="AS1869" s="105" t="str">
        <f t="shared" si="827"/>
        <v/>
      </c>
      <c r="AT1869" s="108" t="str">
        <f t="shared" si="828"/>
        <v/>
      </c>
      <c r="AU1869" s="108" t="str">
        <f t="shared" si="829"/>
        <v/>
      </c>
      <c r="AV1869" s="107" t="str">
        <f>IF(ISNUMBER(O1869),IF(VLOOKUP($A1869,Stand!C:J,8,FALSE)="Short",AT1869,AU1869),"")</f>
        <v/>
      </c>
      <c r="AW1869" s="109" t="str">
        <f t="shared" si="835"/>
        <v/>
      </c>
      <c r="AX1869" s="109" t="str">
        <f t="shared" si="836"/>
        <v/>
      </c>
      <c r="AY1869" s="112" t="str">
        <f>IF(ISNUMBER(O1869),IF(AND(VLOOKUP($D1869,Merchantability!$B:$C,2,0)="Yes",$E1869&gt;=VLOOKUP($D1869,Merchantability!$B:$D,3,0),$E1869&lt;=VLOOKUP($D1869,Merchantability!$B:$E,4,0)),(AV1869*O1869)*(1-$H1869/100),""),"")</f>
        <v/>
      </c>
      <c r="AZ1869" s="116"/>
      <c r="BA1869" s="116"/>
      <c r="BB1869" s="116"/>
      <c r="BE1869" s="62"/>
      <c r="BF1869" s="63"/>
    </row>
    <row r="1870" spans="1:58" ht="12.75" customHeight="1" x14ac:dyDescent="0.25">
      <c r="A1870" s="334"/>
      <c r="B1870" s="334"/>
      <c r="C1870" s="332"/>
      <c r="D1870" s="334"/>
      <c r="E1870" s="335"/>
      <c r="F1870" s="334"/>
      <c r="G1870" s="332"/>
      <c r="H1870" s="332"/>
      <c r="I1870" s="334"/>
      <c r="J1870" s="336"/>
      <c r="K1870" s="332"/>
      <c r="L1870" s="332"/>
      <c r="M1870" s="76"/>
      <c r="N1870" s="103" t="str">
        <f>IF(A1870="","",VLOOKUP(A1870,Stand!C:K,9,0))</f>
        <v/>
      </c>
      <c r="O1870" s="104" t="str">
        <f t="shared" si="821"/>
        <v/>
      </c>
      <c r="P1870" s="105" t="str">
        <f t="shared" si="822"/>
        <v/>
      </c>
      <c r="Q1870" s="105" t="str">
        <f t="shared" si="810"/>
        <v/>
      </c>
      <c r="R1870" s="103" t="str">
        <f t="shared" si="823"/>
        <v/>
      </c>
      <c r="S1870" s="103" t="str">
        <f t="shared" si="824"/>
        <v/>
      </c>
      <c r="T1870" s="106" t="str">
        <f t="shared" si="811"/>
        <v/>
      </c>
      <c r="U1870" s="106" t="str">
        <f t="shared" si="812"/>
        <v/>
      </c>
      <c r="V1870" s="106" t="str">
        <f t="shared" si="813"/>
        <v/>
      </c>
      <c r="W1870" s="105" t="str">
        <f t="shared" si="825"/>
        <v/>
      </c>
      <c r="X1870" s="104" t="str">
        <f t="shared" si="830"/>
        <v/>
      </c>
      <c r="Y1870" s="104" t="str">
        <f t="array" ref="Y1870">IFERROR(IF(ISNUMBER(O1870),IF(COUNT(IF(A1870=$A$2:$A$2427,IF(D1870=$D$2:$D$2427,IF($X$2:$X$2427&gt;0,1))))&gt;0,SUM(IF(A1870=$A$2:$A$2427,IF(D1870=$D$2:$D$2427,$X$2:$X$2427)))/COUNT(IF(A1870=$A$2:$A$2427,IF(D1870=$D$2:$D$2427,IF(ISNUMBER($X$2:$X$2427),1)))),0),""),0)</f>
        <v/>
      </c>
      <c r="Z1870" s="104" t="str">
        <f>IF(ISNUMBER(O1870),IF(I1870&gt;0,(10^(VLOOKUP(D1870,'Species Codes'!B:C,2,0)+VLOOKUP(D1870,'Species Codes'!B:D,3,0)*LOG(E1870)+VLOOKUP(D1870,'Species Codes'!B:E,4,0)*LOG(I1870))),0),"")</f>
        <v/>
      </c>
      <c r="AA1870" s="104" t="str">
        <f>IFERROR((VLOOKUP(D1870,'Species Codes'!B:G,6,0)*Z1870)/2000,"")</f>
        <v/>
      </c>
      <c r="AB1870" s="104" t="e">
        <f>IF(Z1870&gt;0,((IF(OR(D1870="DF",D1870="RA")=TRUE,EXP(VLOOKUP(D1870,'Species Codes'!B:I,8,0)+VLOOKUP(D1870,'Species Codes'!B:J,9,0)*(LN((E1870*2.54)))),IF(OR(D1870="PY",D1870="RC",D1870="WH",D1870="NF")=TRUE,VLOOKUP(D1870,'Species Codes'!B:I,8,0)+VLOOKUP(D1870,'Species Codes'!B:J,9,0)*((E1870*2.54)^2)*(I1870*0.3048),IF(OR(D1870="MD",D1870="BM",D1870="GA")=TRUE,((VLOOKUP(D1870,'Species Codes'!B:I,8,0)*(((((E1870*2.54)+VLOOKUP(D1870,'Species Codes'!B:J,9,0))/VLOOKUP(D1870,'Species Codes'!B:K,10,0))^VLOOKUP(D1870,'Species Codes'!B:L,11,0))*((I1870*0.3048)^VLOOKUP(D1870,'Species Codes'!B:M,12,0))))-(VLOOKUP(D1870,'Species Codes'!B:I,8,0)*((((E1870*2.54)^VLOOKUP(D1870,'Species Codes'!B:L,11,0))*((I1870*0.3048)^VLOOKUP(D1870,'Species Codes'!B:M,12,0))))))*35.3*VLOOKUP(D1870,'Species Codes'!B:G,6,0)/2.2046,VLOOKUP(D1870,'Species Codes'!B:I,8,0)+VLOOKUP(D1870,'Species Codes'!B:J,9,0)*(((E1870*2.54)/100)^2)*(I1870*0.3048)))))*0.0011023),0)</f>
        <v>#N/A</v>
      </c>
      <c r="AC1870" s="104" t="e">
        <f>IF(Z1870&gt;0,((IF(OR(D1870="RA",D1870="OA",D1870="OT",D1870="UN",D1870="PC"),EXP(VLOOKUP(D1870,'Species Codes'!B:O,14,0)+VLOOKUP(D1870,'Species Codes'!B:P,15,0)*LN((E1870*2.54)))-EXP(VLOOKUP(D1870,'Species Codes'!B:O,14,0)+VLOOKUP(D1870,'Species Codes'!B:P,15,0)*LN((E1870*2.54)))*(1/(VLOOKUP(D1870,'Species Codes'!B:Q,16,0)+VLOOKUP(D1870,'Species Codes'!B:R,17,0)*((E1870*2.54)^VLOOKUP(D1870,'Species Codes'!B:S,18,0)))),IF(OR(D1870="BM",D1870="MD",D1870="OA"),EXP(VLOOKUP(D1870,'Species Codes'!B:O,14,0)+VLOOKUP(D1870,'Species Codes'!B:P,15,0)*LN((E1870*2.54)))*(1-(1/(VLOOKUP(D1870,'Species Codes'!B:Q,16,0)+VLOOKUP(D1870,'Species Codes'!B:R,17,0)*((E1870*2.54)^VLOOKUP(D1870,'Species Codes'!B:S,18,0)))))/1000,IF(D1870="DF",EXP(VLOOKUP(D1870,'Species Codes'!B:O,14,0)+VLOOKUP(D1870,'Species Codes'!B:P,15,0)*LN((E1870*2.54))),VLOOKUP(D1870,'Species Codes'!B:O,14,0)+VLOOKUP(D1870,'Species Codes'!B:P,15,0)*(((E1870*2.54)/100)^2)*(I1870*0.3048)))))*0.0011023),0)</f>
        <v>#N/A</v>
      </c>
      <c r="AD1870" s="104" t="e">
        <f t="shared" si="814"/>
        <v>#N/A</v>
      </c>
      <c r="AE1870" s="104" t="e">
        <f t="shared" si="815"/>
        <v>#N/A</v>
      </c>
      <c r="AF1870" s="104" t="e">
        <f>IF(AND(VLOOKUP($D1870,Merchantability!$B:$C,2,0)="Yes",$E1870&gt;=VLOOKUP($D1870,Merchantability!$B:$D,3,0),$E1870&lt;=VLOOKUP($D1870,Merchantability!$B:$E,4,0)),AA1870,0)</f>
        <v>#N/A</v>
      </c>
      <c r="AG1870" s="104" t="e">
        <f>IF(AND(VLOOKUP($D1870,Merchantability!$B:$C,2,0)="Yes",$E1870&gt;=VLOOKUP($D1870,Merchantability!$B:$D,3,0),$E1870&lt;=VLOOKUP($D1870,Merchantability!$B:$E,4,0)),AB1870,0)</f>
        <v>#N/A</v>
      </c>
      <c r="AH1870" s="104" t="e">
        <f>IF(AND(VLOOKUP($D1870,Merchantability!$B:$C,2,0)="Yes",$E1870&gt;=VLOOKUP($D1870,Merchantability!$B:$D,3,0),$E1870&lt;=VLOOKUP($D1870,Merchantability!$B:$E,4,0)),AC1870,0)</f>
        <v>#N/A</v>
      </c>
      <c r="AI1870" s="104" t="e">
        <f t="shared" si="816"/>
        <v>#N/A</v>
      </c>
      <c r="AJ1870" s="104" t="e">
        <f t="shared" si="817"/>
        <v>#VALUE!</v>
      </c>
      <c r="AK1870" s="104" t="e">
        <f t="shared" si="818"/>
        <v>#N/A</v>
      </c>
      <c r="AL1870" s="104" t="e">
        <f t="shared" si="819"/>
        <v>#N/A</v>
      </c>
      <c r="AM1870" s="104" t="e">
        <f t="shared" si="820"/>
        <v>#N/A</v>
      </c>
      <c r="AN1870" s="104" t="e">
        <f t="shared" si="831"/>
        <v>#N/A</v>
      </c>
      <c r="AO1870" s="104" t="e">
        <f t="shared" si="832"/>
        <v>#N/A</v>
      </c>
      <c r="AP1870" s="104" t="e">
        <f t="shared" si="833"/>
        <v>#N/A</v>
      </c>
      <c r="AQ1870" s="104" t="e">
        <f t="shared" si="834"/>
        <v>#N/A</v>
      </c>
      <c r="AR1870" s="105" t="str">
        <f t="shared" si="826"/>
        <v/>
      </c>
      <c r="AS1870" s="105" t="str">
        <f t="shared" si="827"/>
        <v/>
      </c>
      <c r="AT1870" s="108" t="str">
        <f t="shared" si="828"/>
        <v/>
      </c>
      <c r="AU1870" s="108" t="str">
        <f t="shared" si="829"/>
        <v/>
      </c>
      <c r="AV1870" s="107" t="str">
        <f>IF(ISNUMBER(O1870),IF(VLOOKUP($A1870,Stand!C:J,8,FALSE)="Short",AT1870,AU1870),"")</f>
        <v/>
      </c>
      <c r="AW1870" s="109" t="str">
        <f t="shared" si="835"/>
        <v/>
      </c>
      <c r="AX1870" s="109" t="str">
        <f t="shared" si="836"/>
        <v/>
      </c>
      <c r="AY1870" s="112" t="str">
        <f>IF(ISNUMBER(O1870),IF(AND(VLOOKUP($D1870,Merchantability!$B:$C,2,0)="Yes",$E1870&gt;=VLOOKUP($D1870,Merchantability!$B:$D,3,0),$E1870&lt;=VLOOKUP($D1870,Merchantability!$B:$E,4,0)),(AV1870*O1870)*(1-$H1870/100),""),"")</f>
        <v/>
      </c>
      <c r="AZ1870" s="116"/>
      <c r="BA1870" s="116"/>
      <c r="BB1870" s="116"/>
      <c r="BE1870" s="62"/>
      <c r="BF1870" s="63"/>
    </row>
    <row r="1871" spans="1:58" ht="12.75" customHeight="1" x14ac:dyDescent="0.25">
      <c r="A1871" s="334"/>
      <c r="B1871" s="334"/>
      <c r="C1871" s="332"/>
      <c r="D1871" s="334"/>
      <c r="E1871" s="335"/>
      <c r="F1871" s="334"/>
      <c r="G1871" s="332"/>
      <c r="H1871" s="332"/>
      <c r="I1871" s="334"/>
      <c r="J1871" s="336"/>
      <c r="K1871" s="332"/>
      <c r="L1871" s="332"/>
      <c r="M1871" s="76"/>
      <c r="N1871" s="103" t="str">
        <f>IF(A1871="","",VLOOKUP(A1871,Stand!C:K,9,0))</f>
        <v/>
      </c>
      <c r="O1871" s="104" t="str">
        <f t="shared" si="821"/>
        <v/>
      </c>
      <c r="P1871" s="105" t="str">
        <f t="shared" si="822"/>
        <v/>
      </c>
      <c r="Q1871" s="105" t="str">
        <f t="shared" si="810"/>
        <v/>
      </c>
      <c r="R1871" s="103" t="str">
        <f t="shared" si="823"/>
        <v/>
      </c>
      <c r="S1871" s="103" t="str">
        <f t="shared" si="824"/>
        <v/>
      </c>
      <c r="T1871" s="106" t="str">
        <f t="shared" si="811"/>
        <v/>
      </c>
      <c r="U1871" s="106" t="str">
        <f t="shared" si="812"/>
        <v/>
      </c>
      <c r="V1871" s="106" t="str">
        <f t="shared" si="813"/>
        <v/>
      </c>
      <c r="W1871" s="105" t="str">
        <f t="shared" si="825"/>
        <v/>
      </c>
      <c r="X1871" s="104" t="str">
        <f t="shared" si="830"/>
        <v/>
      </c>
      <c r="Y1871" s="104" t="str">
        <f t="array" ref="Y1871">IFERROR(IF(ISNUMBER(O1871),IF(COUNT(IF(A1871=$A$2:$A$2427,IF(D1871=$D$2:$D$2427,IF($X$2:$X$2427&gt;0,1))))&gt;0,SUM(IF(A1871=$A$2:$A$2427,IF(D1871=$D$2:$D$2427,$X$2:$X$2427)))/COUNT(IF(A1871=$A$2:$A$2427,IF(D1871=$D$2:$D$2427,IF(ISNUMBER($X$2:$X$2427),1)))),0),""),0)</f>
        <v/>
      </c>
      <c r="Z1871" s="104" t="str">
        <f>IF(ISNUMBER(O1871),IF(I1871&gt;0,(10^(VLOOKUP(D1871,'Species Codes'!B:C,2,0)+VLOOKUP(D1871,'Species Codes'!B:D,3,0)*LOG(E1871)+VLOOKUP(D1871,'Species Codes'!B:E,4,0)*LOG(I1871))),0),"")</f>
        <v/>
      </c>
      <c r="AA1871" s="104" t="str">
        <f>IFERROR((VLOOKUP(D1871,'Species Codes'!B:G,6,0)*Z1871)/2000,"")</f>
        <v/>
      </c>
      <c r="AB1871" s="104" t="e">
        <f>IF(Z1871&gt;0,((IF(OR(D1871="DF",D1871="RA")=TRUE,EXP(VLOOKUP(D1871,'Species Codes'!B:I,8,0)+VLOOKUP(D1871,'Species Codes'!B:J,9,0)*(LN((E1871*2.54)))),IF(OR(D1871="PY",D1871="RC",D1871="WH",D1871="NF")=TRUE,VLOOKUP(D1871,'Species Codes'!B:I,8,0)+VLOOKUP(D1871,'Species Codes'!B:J,9,0)*((E1871*2.54)^2)*(I1871*0.3048),IF(OR(D1871="MD",D1871="BM",D1871="GA")=TRUE,((VLOOKUP(D1871,'Species Codes'!B:I,8,0)*(((((E1871*2.54)+VLOOKUP(D1871,'Species Codes'!B:J,9,0))/VLOOKUP(D1871,'Species Codes'!B:K,10,0))^VLOOKUP(D1871,'Species Codes'!B:L,11,0))*((I1871*0.3048)^VLOOKUP(D1871,'Species Codes'!B:M,12,0))))-(VLOOKUP(D1871,'Species Codes'!B:I,8,0)*((((E1871*2.54)^VLOOKUP(D1871,'Species Codes'!B:L,11,0))*((I1871*0.3048)^VLOOKUP(D1871,'Species Codes'!B:M,12,0))))))*35.3*VLOOKUP(D1871,'Species Codes'!B:G,6,0)/2.2046,VLOOKUP(D1871,'Species Codes'!B:I,8,0)+VLOOKUP(D1871,'Species Codes'!B:J,9,0)*(((E1871*2.54)/100)^2)*(I1871*0.3048)))))*0.0011023),0)</f>
        <v>#N/A</v>
      </c>
      <c r="AC1871" s="104" t="e">
        <f>IF(Z1871&gt;0,((IF(OR(D1871="RA",D1871="OA",D1871="OT",D1871="UN",D1871="PC"),EXP(VLOOKUP(D1871,'Species Codes'!B:O,14,0)+VLOOKUP(D1871,'Species Codes'!B:P,15,0)*LN((E1871*2.54)))-EXP(VLOOKUP(D1871,'Species Codes'!B:O,14,0)+VLOOKUP(D1871,'Species Codes'!B:P,15,0)*LN((E1871*2.54)))*(1/(VLOOKUP(D1871,'Species Codes'!B:Q,16,0)+VLOOKUP(D1871,'Species Codes'!B:R,17,0)*((E1871*2.54)^VLOOKUP(D1871,'Species Codes'!B:S,18,0)))),IF(OR(D1871="BM",D1871="MD",D1871="OA"),EXP(VLOOKUP(D1871,'Species Codes'!B:O,14,0)+VLOOKUP(D1871,'Species Codes'!B:P,15,0)*LN((E1871*2.54)))*(1-(1/(VLOOKUP(D1871,'Species Codes'!B:Q,16,0)+VLOOKUP(D1871,'Species Codes'!B:R,17,0)*((E1871*2.54)^VLOOKUP(D1871,'Species Codes'!B:S,18,0)))))/1000,IF(D1871="DF",EXP(VLOOKUP(D1871,'Species Codes'!B:O,14,0)+VLOOKUP(D1871,'Species Codes'!B:P,15,0)*LN((E1871*2.54))),VLOOKUP(D1871,'Species Codes'!B:O,14,0)+VLOOKUP(D1871,'Species Codes'!B:P,15,0)*(((E1871*2.54)/100)^2)*(I1871*0.3048)))))*0.0011023),0)</f>
        <v>#N/A</v>
      </c>
      <c r="AD1871" s="104" t="e">
        <f t="shared" si="814"/>
        <v>#N/A</v>
      </c>
      <c r="AE1871" s="104" t="e">
        <f t="shared" si="815"/>
        <v>#N/A</v>
      </c>
      <c r="AF1871" s="104" t="e">
        <f>IF(AND(VLOOKUP($D1871,Merchantability!$B:$C,2,0)="Yes",$E1871&gt;=VLOOKUP($D1871,Merchantability!$B:$D,3,0),$E1871&lt;=VLOOKUP($D1871,Merchantability!$B:$E,4,0)),AA1871,0)</f>
        <v>#N/A</v>
      </c>
      <c r="AG1871" s="104" t="e">
        <f>IF(AND(VLOOKUP($D1871,Merchantability!$B:$C,2,0)="Yes",$E1871&gt;=VLOOKUP($D1871,Merchantability!$B:$D,3,0),$E1871&lt;=VLOOKUP($D1871,Merchantability!$B:$E,4,0)),AB1871,0)</f>
        <v>#N/A</v>
      </c>
      <c r="AH1871" s="104" t="e">
        <f>IF(AND(VLOOKUP($D1871,Merchantability!$B:$C,2,0)="Yes",$E1871&gt;=VLOOKUP($D1871,Merchantability!$B:$D,3,0),$E1871&lt;=VLOOKUP($D1871,Merchantability!$B:$E,4,0)),AC1871,0)</f>
        <v>#N/A</v>
      </c>
      <c r="AI1871" s="104" t="e">
        <f t="shared" si="816"/>
        <v>#N/A</v>
      </c>
      <c r="AJ1871" s="104" t="e">
        <f t="shared" si="817"/>
        <v>#VALUE!</v>
      </c>
      <c r="AK1871" s="104" t="e">
        <f t="shared" si="818"/>
        <v>#N/A</v>
      </c>
      <c r="AL1871" s="104" t="e">
        <f t="shared" si="819"/>
        <v>#N/A</v>
      </c>
      <c r="AM1871" s="104" t="e">
        <f t="shared" si="820"/>
        <v>#N/A</v>
      </c>
      <c r="AN1871" s="104" t="e">
        <f t="shared" si="831"/>
        <v>#N/A</v>
      </c>
      <c r="AO1871" s="104" t="e">
        <f t="shared" si="832"/>
        <v>#N/A</v>
      </c>
      <c r="AP1871" s="104" t="e">
        <f t="shared" si="833"/>
        <v>#N/A</v>
      </c>
      <c r="AQ1871" s="104" t="e">
        <f t="shared" si="834"/>
        <v>#N/A</v>
      </c>
      <c r="AR1871" s="105" t="str">
        <f t="shared" si="826"/>
        <v/>
      </c>
      <c r="AS1871" s="105" t="str">
        <f t="shared" si="827"/>
        <v/>
      </c>
      <c r="AT1871" s="108" t="str">
        <f t="shared" si="828"/>
        <v/>
      </c>
      <c r="AU1871" s="108" t="str">
        <f t="shared" si="829"/>
        <v/>
      </c>
      <c r="AV1871" s="107" t="str">
        <f>IF(ISNUMBER(O1871),IF(VLOOKUP($A1871,Stand!C:J,8,FALSE)="Short",AT1871,AU1871),"")</f>
        <v/>
      </c>
      <c r="AW1871" s="109" t="str">
        <f t="shared" si="835"/>
        <v/>
      </c>
      <c r="AX1871" s="109" t="str">
        <f t="shared" si="836"/>
        <v/>
      </c>
      <c r="AY1871" s="112" t="str">
        <f>IF(ISNUMBER(O1871),IF(AND(VLOOKUP($D1871,Merchantability!$B:$C,2,0)="Yes",$E1871&gt;=VLOOKUP($D1871,Merchantability!$B:$D,3,0),$E1871&lt;=VLOOKUP($D1871,Merchantability!$B:$E,4,0)),(AV1871*O1871)*(1-$H1871/100),""),"")</f>
        <v/>
      </c>
      <c r="AZ1871" s="116"/>
      <c r="BA1871" s="116"/>
      <c r="BB1871" s="116"/>
      <c r="BE1871" s="62"/>
      <c r="BF1871" s="63"/>
    </row>
    <row r="1872" spans="1:58" ht="12.75" customHeight="1" x14ac:dyDescent="0.25">
      <c r="A1872" s="334"/>
      <c r="B1872" s="334"/>
      <c r="C1872" s="332"/>
      <c r="D1872" s="334"/>
      <c r="E1872" s="335"/>
      <c r="F1872" s="334"/>
      <c r="G1872" s="332"/>
      <c r="H1872" s="332"/>
      <c r="I1872" s="334"/>
      <c r="J1872" s="336"/>
      <c r="K1872" s="332"/>
      <c r="L1872" s="332"/>
      <c r="M1872" s="76"/>
      <c r="N1872" s="103" t="str">
        <f>IF(A1872="","",VLOOKUP(A1872,Stand!C:K,9,0))</f>
        <v/>
      </c>
      <c r="O1872" s="104" t="str">
        <f t="shared" si="821"/>
        <v/>
      </c>
      <c r="P1872" s="105" t="str">
        <f t="shared" si="822"/>
        <v/>
      </c>
      <c r="Q1872" s="105" t="str">
        <f t="shared" si="810"/>
        <v/>
      </c>
      <c r="R1872" s="103" t="str">
        <f t="shared" si="823"/>
        <v/>
      </c>
      <c r="S1872" s="103" t="str">
        <f t="shared" si="824"/>
        <v/>
      </c>
      <c r="T1872" s="106" t="str">
        <f t="shared" si="811"/>
        <v/>
      </c>
      <c r="U1872" s="106" t="str">
        <f t="shared" si="812"/>
        <v/>
      </c>
      <c r="V1872" s="106" t="str">
        <f t="shared" si="813"/>
        <v/>
      </c>
      <c r="W1872" s="105" t="str">
        <f t="shared" si="825"/>
        <v/>
      </c>
      <c r="X1872" s="104" t="str">
        <f t="shared" si="830"/>
        <v/>
      </c>
      <c r="Y1872" s="104" t="str">
        <f t="array" ref="Y1872">IFERROR(IF(ISNUMBER(O1872),IF(COUNT(IF(A1872=$A$2:$A$2427,IF(D1872=$D$2:$D$2427,IF($X$2:$X$2427&gt;0,1))))&gt;0,SUM(IF(A1872=$A$2:$A$2427,IF(D1872=$D$2:$D$2427,$X$2:$X$2427)))/COUNT(IF(A1872=$A$2:$A$2427,IF(D1872=$D$2:$D$2427,IF(ISNUMBER($X$2:$X$2427),1)))),0),""),0)</f>
        <v/>
      </c>
      <c r="Z1872" s="104" t="str">
        <f>IF(ISNUMBER(O1872),IF(I1872&gt;0,(10^(VLOOKUP(D1872,'Species Codes'!B:C,2,0)+VLOOKUP(D1872,'Species Codes'!B:D,3,0)*LOG(E1872)+VLOOKUP(D1872,'Species Codes'!B:E,4,0)*LOG(I1872))),0),"")</f>
        <v/>
      </c>
      <c r="AA1872" s="104" t="str">
        <f>IFERROR((VLOOKUP(D1872,'Species Codes'!B:G,6,0)*Z1872)/2000,"")</f>
        <v/>
      </c>
      <c r="AB1872" s="104" t="e">
        <f>IF(Z1872&gt;0,((IF(OR(D1872="DF",D1872="RA")=TRUE,EXP(VLOOKUP(D1872,'Species Codes'!B:I,8,0)+VLOOKUP(D1872,'Species Codes'!B:J,9,0)*(LN((E1872*2.54)))),IF(OR(D1872="PY",D1872="RC",D1872="WH",D1872="NF")=TRUE,VLOOKUP(D1872,'Species Codes'!B:I,8,0)+VLOOKUP(D1872,'Species Codes'!B:J,9,0)*((E1872*2.54)^2)*(I1872*0.3048),IF(OR(D1872="MD",D1872="BM",D1872="GA")=TRUE,((VLOOKUP(D1872,'Species Codes'!B:I,8,0)*(((((E1872*2.54)+VLOOKUP(D1872,'Species Codes'!B:J,9,0))/VLOOKUP(D1872,'Species Codes'!B:K,10,0))^VLOOKUP(D1872,'Species Codes'!B:L,11,0))*((I1872*0.3048)^VLOOKUP(D1872,'Species Codes'!B:M,12,0))))-(VLOOKUP(D1872,'Species Codes'!B:I,8,0)*((((E1872*2.54)^VLOOKUP(D1872,'Species Codes'!B:L,11,0))*((I1872*0.3048)^VLOOKUP(D1872,'Species Codes'!B:M,12,0))))))*35.3*VLOOKUP(D1872,'Species Codes'!B:G,6,0)/2.2046,VLOOKUP(D1872,'Species Codes'!B:I,8,0)+VLOOKUP(D1872,'Species Codes'!B:J,9,0)*(((E1872*2.54)/100)^2)*(I1872*0.3048)))))*0.0011023),0)</f>
        <v>#N/A</v>
      </c>
      <c r="AC1872" s="104" t="e">
        <f>IF(Z1872&gt;0,((IF(OR(D1872="RA",D1872="OA",D1872="OT",D1872="UN",D1872="PC"),EXP(VLOOKUP(D1872,'Species Codes'!B:O,14,0)+VLOOKUP(D1872,'Species Codes'!B:P,15,0)*LN((E1872*2.54)))-EXP(VLOOKUP(D1872,'Species Codes'!B:O,14,0)+VLOOKUP(D1872,'Species Codes'!B:P,15,0)*LN((E1872*2.54)))*(1/(VLOOKUP(D1872,'Species Codes'!B:Q,16,0)+VLOOKUP(D1872,'Species Codes'!B:R,17,0)*((E1872*2.54)^VLOOKUP(D1872,'Species Codes'!B:S,18,0)))),IF(OR(D1872="BM",D1872="MD",D1872="OA"),EXP(VLOOKUP(D1872,'Species Codes'!B:O,14,0)+VLOOKUP(D1872,'Species Codes'!B:P,15,0)*LN((E1872*2.54)))*(1-(1/(VLOOKUP(D1872,'Species Codes'!B:Q,16,0)+VLOOKUP(D1872,'Species Codes'!B:R,17,0)*((E1872*2.54)^VLOOKUP(D1872,'Species Codes'!B:S,18,0)))))/1000,IF(D1872="DF",EXP(VLOOKUP(D1872,'Species Codes'!B:O,14,0)+VLOOKUP(D1872,'Species Codes'!B:P,15,0)*LN((E1872*2.54))),VLOOKUP(D1872,'Species Codes'!B:O,14,0)+VLOOKUP(D1872,'Species Codes'!B:P,15,0)*(((E1872*2.54)/100)^2)*(I1872*0.3048)))))*0.0011023),0)</f>
        <v>#N/A</v>
      </c>
      <c r="AD1872" s="104" t="e">
        <f t="shared" si="814"/>
        <v>#N/A</v>
      </c>
      <c r="AE1872" s="104" t="e">
        <f t="shared" si="815"/>
        <v>#N/A</v>
      </c>
      <c r="AF1872" s="104" t="e">
        <f>IF(AND(VLOOKUP($D1872,Merchantability!$B:$C,2,0)="Yes",$E1872&gt;=VLOOKUP($D1872,Merchantability!$B:$D,3,0),$E1872&lt;=VLOOKUP($D1872,Merchantability!$B:$E,4,0)),AA1872,0)</f>
        <v>#N/A</v>
      </c>
      <c r="AG1872" s="104" t="e">
        <f>IF(AND(VLOOKUP($D1872,Merchantability!$B:$C,2,0)="Yes",$E1872&gt;=VLOOKUP($D1872,Merchantability!$B:$D,3,0),$E1872&lt;=VLOOKUP($D1872,Merchantability!$B:$E,4,0)),AB1872,0)</f>
        <v>#N/A</v>
      </c>
      <c r="AH1872" s="104" t="e">
        <f>IF(AND(VLOOKUP($D1872,Merchantability!$B:$C,2,0)="Yes",$E1872&gt;=VLOOKUP($D1872,Merchantability!$B:$D,3,0),$E1872&lt;=VLOOKUP($D1872,Merchantability!$B:$E,4,0)),AC1872,0)</f>
        <v>#N/A</v>
      </c>
      <c r="AI1872" s="104" t="e">
        <f t="shared" si="816"/>
        <v>#N/A</v>
      </c>
      <c r="AJ1872" s="104" t="e">
        <f t="shared" si="817"/>
        <v>#VALUE!</v>
      </c>
      <c r="AK1872" s="104" t="e">
        <f t="shared" si="818"/>
        <v>#N/A</v>
      </c>
      <c r="AL1872" s="104" t="e">
        <f t="shared" si="819"/>
        <v>#N/A</v>
      </c>
      <c r="AM1872" s="104" t="e">
        <f t="shared" si="820"/>
        <v>#N/A</v>
      </c>
      <c r="AN1872" s="104" t="e">
        <f t="shared" si="831"/>
        <v>#N/A</v>
      </c>
      <c r="AO1872" s="104" t="e">
        <f t="shared" si="832"/>
        <v>#N/A</v>
      </c>
      <c r="AP1872" s="104" t="e">
        <f t="shared" si="833"/>
        <v>#N/A</v>
      </c>
      <c r="AQ1872" s="104" t="e">
        <f t="shared" si="834"/>
        <v>#N/A</v>
      </c>
      <c r="AR1872" s="105" t="str">
        <f t="shared" si="826"/>
        <v/>
      </c>
      <c r="AS1872" s="105" t="str">
        <f t="shared" si="827"/>
        <v/>
      </c>
      <c r="AT1872" s="108" t="str">
        <f t="shared" si="828"/>
        <v/>
      </c>
      <c r="AU1872" s="108" t="str">
        <f t="shared" si="829"/>
        <v/>
      </c>
      <c r="AV1872" s="107" t="str">
        <f>IF(ISNUMBER(O1872),IF(VLOOKUP($A1872,Stand!C:J,8,FALSE)="Short",AT1872,AU1872),"")</f>
        <v/>
      </c>
      <c r="AW1872" s="109" t="str">
        <f t="shared" si="835"/>
        <v/>
      </c>
      <c r="AX1872" s="109" t="str">
        <f t="shared" si="836"/>
        <v/>
      </c>
      <c r="AY1872" s="112" t="str">
        <f>IF(ISNUMBER(O1872),IF(AND(VLOOKUP($D1872,Merchantability!$B:$C,2,0)="Yes",$E1872&gt;=VLOOKUP($D1872,Merchantability!$B:$D,3,0),$E1872&lt;=VLOOKUP($D1872,Merchantability!$B:$E,4,0)),(AV1872*O1872)*(1-$H1872/100),""),"")</f>
        <v/>
      </c>
      <c r="AZ1872" s="116"/>
      <c r="BA1872" s="116"/>
      <c r="BB1872" s="116"/>
      <c r="BE1872" s="62"/>
      <c r="BF1872" s="63"/>
    </row>
    <row r="1873" spans="1:58" ht="12.75" customHeight="1" x14ac:dyDescent="0.25">
      <c r="A1873" s="334"/>
      <c r="B1873" s="334"/>
      <c r="C1873" s="332"/>
      <c r="D1873" s="334"/>
      <c r="E1873" s="335"/>
      <c r="F1873" s="334"/>
      <c r="G1873" s="332"/>
      <c r="H1873" s="332"/>
      <c r="I1873" s="334"/>
      <c r="J1873" s="336"/>
      <c r="K1873" s="332"/>
      <c r="L1873" s="332"/>
      <c r="M1873" s="76"/>
      <c r="N1873" s="103" t="str">
        <f>IF(A1873="","",VLOOKUP(A1873,Stand!C:K,9,0))</f>
        <v/>
      </c>
      <c r="O1873" s="104" t="str">
        <f t="shared" si="821"/>
        <v/>
      </c>
      <c r="P1873" s="105" t="str">
        <f t="shared" si="822"/>
        <v/>
      </c>
      <c r="Q1873" s="105" t="str">
        <f t="shared" si="810"/>
        <v/>
      </c>
      <c r="R1873" s="103" t="str">
        <f t="shared" si="823"/>
        <v/>
      </c>
      <c r="S1873" s="103" t="str">
        <f t="shared" si="824"/>
        <v/>
      </c>
      <c r="T1873" s="106" t="str">
        <f t="shared" si="811"/>
        <v/>
      </c>
      <c r="U1873" s="106" t="str">
        <f t="shared" si="812"/>
        <v/>
      </c>
      <c r="V1873" s="106" t="str">
        <f t="shared" si="813"/>
        <v/>
      </c>
      <c r="W1873" s="105" t="str">
        <f t="shared" si="825"/>
        <v/>
      </c>
      <c r="X1873" s="104" t="str">
        <f t="shared" si="830"/>
        <v/>
      </c>
      <c r="Y1873" s="104" t="str">
        <f t="array" ref="Y1873">IFERROR(IF(ISNUMBER(O1873),IF(COUNT(IF(A1873=$A$2:$A$2427,IF(D1873=$D$2:$D$2427,IF($X$2:$X$2427&gt;0,1))))&gt;0,SUM(IF(A1873=$A$2:$A$2427,IF(D1873=$D$2:$D$2427,$X$2:$X$2427)))/COUNT(IF(A1873=$A$2:$A$2427,IF(D1873=$D$2:$D$2427,IF(ISNUMBER($X$2:$X$2427),1)))),0),""),0)</f>
        <v/>
      </c>
      <c r="Z1873" s="104" t="str">
        <f>IF(ISNUMBER(O1873),IF(I1873&gt;0,(10^(VLOOKUP(D1873,'Species Codes'!B:C,2,0)+VLOOKUP(D1873,'Species Codes'!B:D,3,0)*LOG(E1873)+VLOOKUP(D1873,'Species Codes'!B:E,4,0)*LOG(I1873))),0),"")</f>
        <v/>
      </c>
      <c r="AA1873" s="104" t="str">
        <f>IFERROR((VLOOKUP(D1873,'Species Codes'!B:G,6,0)*Z1873)/2000,"")</f>
        <v/>
      </c>
      <c r="AB1873" s="104" t="e">
        <f>IF(Z1873&gt;0,((IF(OR(D1873="DF",D1873="RA")=TRUE,EXP(VLOOKUP(D1873,'Species Codes'!B:I,8,0)+VLOOKUP(D1873,'Species Codes'!B:J,9,0)*(LN((E1873*2.54)))),IF(OR(D1873="PY",D1873="RC",D1873="WH",D1873="NF")=TRUE,VLOOKUP(D1873,'Species Codes'!B:I,8,0)+VLOOKUP(D1873,'Species Codes'!B:J,9,0)*((E1873*2.54)^2)*(I1873*0.3048),IF(OR(D1873="MD",D1873="BM",D1873="GA")=TRUE,((VLOOKUP(D1873,'Species Codes'!B:I,8,0)*(((((E1873*2.54)+VLOOKUP(D1873,'Species Codes'!B:J,9,0))/VLOOKUP(D1873,'Species Codes'!B:K,10,0))^VLOOKUP(D1873,'Species Codes'!B:L,11,0))*((I1873*0.3048)^VLOOKUP(D1873,'Species Codes'!B:M,12,0))))-(VLOOKUP(D1873,'Species Codes'!B:I,8,0)*((((E1873*2.54)^VLOOKUP(D1873,'Species Codes'!B:L,11,0))*((I1873*0.3048)^VLOOKUP(D1873,'Species Codes'!B:M,12,0))))))*35.3*VLOOKUP(D1873,'Species Codes'!B:G,6,0)/2.2046,VLOOKUP(D1873,'Species Codes'!B:I,8,0)+VLOOKUP(D1873,'Species Codes'!B:J,9,0)*(((E1873*2.54)/100)^2)*(I1873*0.3048)))))*0.0011023),0)</f>
        <v>#N/A</v>
      </c>
      <c r="AC1873" s="104" t="e">
        <f>IF(Z1873&gt;0,((IF(OR(D1873="RA",D1873="OA",D1873="OT",D1873="UN",D1873="PC"),EXP(VLOOKUP(D1873,'Species Codes'!B:O,14,0)+VLOOKUP(D1873,'Species Codes'!B:P,15,0)*LN((E1873*2.54)))-EXP(VLOOKUP(D1873,'Species Codes'!B:O,14,0)+VLOOKUP(D1873,'Species Codes'!B:P,15,0)*LN((E1873*2.54)))*(1/(VLOOKUP(D1873,'Species Codes'!B:Q,16,0)+VLOOKUP(D1873,'Species Codes'!B:R,17,0)*((E1873*2.54)^VLOOKUP(D1873,'Species Codes'!B:S,18,0)))),IF(OR(D1873="BM",D1873="MD",D1873="OA"),EXP(VLOOKUP(D1873,'Species Codes'!B:O,14,0)+VLOOKUP(D1873,'Species Codes'!B:P,15,0)*LN((E1873*2.54)))*(1-(1/(VLOOKUP(D1873,'Species Codes'!B:Q,16,0)+VLOOKUP(D1873,'Species Codes'!B:R,17,0)*((E1873*2.54)^VLOOKUP(D1873,'Species Codes'!B:S,18,0)))))/1000,IF(D1873="DF",EXP(VLOOKUP(D1873,'Species Codes'!B:O,14,0)+VLOOKUP(D1873,'Species Codes'!B:P,15,0)*LN((E1873*2.54))),VLOOKUP(D1873,'Species Codes'!B:O,14,0)+VLOOKUP(D1873,'Species Codes'!B:P,15,0)*(((E1873*2.54)/100)^2)*(I1873*0.3048)))))*0.0011023),0)</f>
        <v>#N/A</v>
      </c>
      <c r="AD1873" s="104" t="e">
        <f t="shared" si="814"/>
        <v>#N/A</v>
      </c>
      <c r="AE1873" s="104" t="e">
        <f t="shared" si="815"/>
        <v>#N/A</v>
      </c>
      <c r="AF1873" s="104" t="e">
        <f>IF(AND(VLOOKUP($D1873,Merchantability!$B:$C,2,0)="Yes",$E1873&gt;=VLOOKUP($D1873,Merchantability!$B:$D,3,0),$E1873&lt;=VLOOKUP($D1873,Merchantability!$B:$E,4,0)),AA1873,0)</f>
        <v>#N/A</v>
      </c>
      <c r="AG1873" s="104" t="e">
        <f>IF(AND(VLOOKUP($D1873,Merchantability!$B:$C,2,0)="Yes",$E1873&gt;=VLOOKUP($D1873,Merchantability!$B:$D,3,0),$E1873&lt;=VLOOKUP($D1873,Merchantability!$B:$E,4,0)),AB1873,0)</f>
        <v>#N/A</v>
      </c>
      <c r="AH1873" s="104" t="e">
        <f>IF(AND(VLOOKUP($D1873,Merchantability!$B:$C,2,0)="Yes",$E1873&gt;=VLOOKUP($D1873,Merchantability!$B:$D,3,0),$E1873&lt;=VLOOKUP($D1873,Merchantability!$B:$E,4,0)),AC1873,0)</f>
        <v>#N/A</v>
      </c>
      <c r="AI1873" s="104" t="e">
        <f t="shared" si="816"/>
        <v>#N/A</v>
      </c>
      <c r="AJ1873" s="104" t="e">
        <f t="shared" si="817"/>
        <v>#VALUE!</v>
      </c>
      <c r="AK1873" s="104" t="e">
        <f t="shared" si="818"/>
        <v>#N/A</v>
      </c>
      <c r="AL1873" s="104" t="e">
        <f t="shared" si="819"/>
        <v>#N/A</v>
      </c>
      <c r="AM1873" s="104" t="e">
        <f t="shared" si="820"/>
        <v>#N/A</v>
      </c>
      <c r="AN1873" s="104" t="e">
        <f t="shared" si="831"/>
        <v>#N/A</v>
      </c>
      <c r="AO1873" s="104" t="e">
        <f t="shared" si="832"/>
        <v>#N/A</v>
      </c>
      <c r="AP1873" s="104" t="e">
        <f t="shared" si="833"/>
        <v>#N/A</v>
      </c>
      <c r="AQ1873" s="104" t="e">
        <f t="shared" si="834"/>
        <v>#N/A</v>
      </c>
      <c r="AR1873" s="105" t="str">
        <f t="shared" si="826"/>
        <v/>
      </c>
      <c r="AS1873" s="105" t="str">
        <f t="shared" si="827"/>
        <v/>
      </c>
      <c r="AT1873" s="108" t="str">
        <f t="shared" si="828"/>
        <v/>
      </c>
      <c r="AU1873" s="108" t="str">
        <f t="shared" si="829"/>
        <v/>
      </c>
      <c r="AV1873" s="107" t="str">
        <f>IF(ISNUMBER(O1873),IF(VLOOKUP($A1873,Stand!C:J,8,FALSE)="Short",AT1873,AU1873),"")</f>
        <v/>
      </c>
      <c r="AW1873" s="109" t="str">
        <f t="shared" si="835"/>
        <v/>
      </c>
      <c r="AX1873" s="109" t="str">
        <f t="shared" si="836"/>
        <v/>
      </c>
      <c r="AY1873" s="112" t="str">
        <f>IF(ISNUMBER(O1873),IF(AND(VLOOKUP($D1873,Merchantability!$B:$C,2,0)="Yes",$E1873&gt;=VLOOKUP($D1873,Merchantability!$B:$D,3,0),$E1873&lt;=VLOOKUP($D1873,Merchantability!$B:$E,4,0)),(AV1873*O1873)*(1-$H1873/100),""),"")</f>
        <v/>
      </c>
      <c r="AZ1873" s="116"/>
      <c r="BA1873" s="116"/>
      <c r="BB1873" s="116"/>
      <c r="BE1873" s="62"/>
      <c r="BF1873" s="63"/>
    </row>
    <row r="1874" spans="1:58" ht="12.75" customHeight="1" x14ac:dyDescent="0.25">
      <c r="A1874" s="334"/>
      <c r="B1874" s="334"/>
      <c r="C1874" s="332"/>
      <c r="D1874" s="334"/>
      <c r="E1874" s="335"/>
      <c r="F1874" s="334"/>
      <c r="G1874" s="332"/>
      <c r="H1874" s="332"/>
      <c r="I1874" s="334"/>
      <c r="J1874" s="336"/>
      <c r="K1874" s="332"/>
      <c r="L1874" s="332"/>
      <c r="M1874" s="76"/>
      <c r="N1874" s="103" t="str">
        <f>IF(A1874="","",VLOOKUP(A1874,Stand!C:K,9,0))</f>
        <v/>
      </c>
      <c r="O1874" s="104" t="str">
        <f t="shared" si="821"/>
        <v/>
      </c>
      <c r="P1874" s="105" t="str">
        <f t="shared" si="822"/>
        <v/>
      </c>
      <c r="Q1874" s="105" t="str">
        <f t="shared" si="810"/>
        <v/>
      </c>
      <c r="R1874" s="103" t="str">
        <f t="shared" si="823"/>
        <v/>
      </c>
      <c r="S1874" s="103" t="str">
        <f t="shared" si="824"/>
        <v/>
      </c>
      <c r="T1874" s="106" t="str">
        <f t="shared" si="811"/>
        <v/>
      </c>
      <c r="U1874" s="106" t="str">
        <f t="shared" si="812"/>
        <v/>
      </c>
      <c r="V1874" s="106" t="str">
        <f t="shared" si="813"/>
        <v/>
      </c>
      <c r="W1874" s="105" t="str">
        <f t="shared" si="825"/>
        <v/>
      </c>
      <c r="X1874" s="104" t="str">
        <f t="shared" si="830"/>
        <v/>
      </c>
      <c r="Y1874" s="104" t="str">
        <f t="array" ref="Y1874">IFERROR(IF(ISNUMBER(O1874),IF(COUNT(IF(A1874=$A$2:$A$2427,IF(D1874=$D$2:$D$2427,IF($X$2:$X$2427&gt;0,1))))&gt;0,SUM(IF(A1874=$A$2:$A$2427,IF(D1874=$D$2:$D$2427,$X$2:$X$2427)))/COUNT(IF(A1874=$A$2:$A$2427,IF(D1874=$D$2:$D$2427,IF(ISNUMBER($X$2:$X$2427),1)))),0),""),0)</f>
        <v/>
      </c>
      <c r="Z1874" s="104" t="str">
        <f>IF(ISNUMBER(O1874),IF(I1874&gt;0,(10^(VLOOKUP(D1874,'Species Codes'!B:C,2,0)+VLOOKUP(D1874,'Species Codes'!B:D,3,0)*LOG(E1874)+VLOOKUP(D1874,'Species Codes'!B:E,4,0)*LOG(I1874))),0),"")</f>
        <v/>
      </c>
      <c r="AA1874" s="104" t="str">
        <f>IFERROR((VLOOKUP(D1874,'Species Codes'!B:G,6,0)*Z1874)/2000,"")</f>
        <v/>
      </c>
      <c r="AB1874" s="104" t="e">
        <f>IF(Z1874&gt;0,((IF(OR(D1874="DF",D1874="RA")=TRUE,EXP(VLOOKUP(D1874,'Species Codes'!B:I,8,0)+VLOOKUP(D1874,'Species Codes'!B:J,9,0)*(LN((E1874*2.54)))),IF(OR(D1874="PY",D1874="RC",D1874="WH",D1874="NF")=TRUE,VLOOKUP(D1874,'Species Codes'!B:I,8,0)+VLOOKUP(D1874,'Species Codes'!B:J,9,0)*((E1874*2.54)^2)*(I1874*0.3048),IF(OR(D1874="MD",D1874="BM",D1874="GA")=TRUE,((VLOOKUP(D1874,'Species Codes'!B:I,8,0)*(((((E1874*2.54)+VLOOKUP(D1874,'Species Codes'!B:J,9,0))/VLOOKUP(D1874,'Species Codes'!B:K,10,0))^VLOOKUP(D1874,'Species Codes'!B:L,11,0))*((I1874*0.3048)^VLOOKUP(D1874,'Species Codes'!B:M,12,0))))-(VLOOKUP(D1874,'Species Codes'!B:I,8,0)*((((E1874*2.54)^VLOOKUP(D1874,'Species Codes'!B:L,11,0))*((I1874*0.3048)^VLOOKUP(D1874,'Species Codes'!B:M,12,0))))))*35.3*VLOOKUP(D1874,'Species Codes'!B:G,6,0)/2.2046,VLOOKUP(D1874,'Species Codes'!B:I,8,0)+VLOOKUP(D1874,'Species Codes'!B:J,9,0)*(((E1874*2.54)/100)^2)*(I1874*0.3048)))))*0.0011023),0)</f>
        <v>#N/A</v>
      </c>
      <c r="AC1874" s="104" t="e">
        <f>IF(Z1874&gt;0,((IF(OR(D1874="RA",D1874="OA",D1874="OT",D1874="UN",D1874="PC"),EXP(VLOOKUP(D1874,'Species Codes'!B:O,14,0)+VLOOKUP(D1874,'Species Codes'!B:P,15,0)*LN((E1874*2.54)))-EXP(VLOOKUP(D1874,'Species Codes'!B:O,14,0)+VLOOKUP(D1874,'Species Codes'!B:P,15,0)*LN((E1874*2.54)))*(1/(VLOOKUP(D1874,'Species Codes'!B:Q,16,0)+VLOOKUP(D1874,'Species Codes'!B:R,17,0)*((E1874*2.54)^VLOOKUP(D1874,'Species Codes'!B:S,18,0)))),IF(OR(D1874="BM",D1874="MD",D1874="OA"),EXP(VLOOKUP(D1874,'Species Codes'!B:O,14,0)+VLOOKUP(D1874,'Species Codes'!B:P,15,0)*LN((E1874*2.54)))*(1-(1/(VLOOKUP(D1874,'Species Codes'!B:Q,16,0)+VLOOKUP(D1874,'Species Codes'!B:R,17,0)*((E1874*2.54)^VLOOKUP(D1874,'Species Codes'!B:S,18,0)))))/1000,IF(D1874="DF",EXP(VLOOKUP(D1874,'Species Codes'!B:O,14,0)+VLOOKUP(D1874,'Species Codes'!B:P,15,0)*LN((E1874*2.54))),VLOOKUP(D1874,'Species Codes'!B:O,14,0)+VLOOKUP(D1874,'Species Codes'!B:P,15,0)*(((E1874*2.54)/100)^2)*(I1874*0.3048)))))*0.0011023),0)</f>
        <v>#N/A</v>
      </c>
      <c r="AD1874" s="104" t="e">
        <f t="shared" si="814"/>
        <v>#N/A</v>
      </c>
      <c r="AE1874" s="104" t="e">
        <f t="shared" si="815"/>
        <v>#N/A</v>
      </c>
      <c r="AF1874" s="104" t="e">
        <f>IF(AND(VLOOKUP($D1874,Merchantability!$B:$C,2,0)="Yes",$E1874&gt;=VLOOKUP($D1874,Merchantability!$B:$D,3,0),$E1874&lt;=VLOOKUP($D1874,Merchantability!$B:$E,4,0)),AA1874,0)</f>
        <v>#N/A</v>
      </c>
      <c r="AG1874" s="104" t="e">
        <f>IF(AND(VLOOKUP($D1874,Merchantability!$B:$C,2,0)="Yes",$E1874&gt;=VLOOKUP($D1874,Merchantability!$B:$D,3,0),$E1874&lt;=VLOOKUP($D1874,Merchantability!$B:$E,4,0)),AB1874,0)</f>
        <v>#N/A</v>
      </c>
      <c r="AH1874" s="104" t="e">
        <f>IF(AND(VLOOKUP($D1874,Merchantability!$B:$C,2,0)="Yes",$E1874&gt;=VLOOKUP($D1874,Merchantability!$B:$D,3,0),$E1874&lt;=VLOOKUP($D1874,Merchantability!$B:$E,4,0)),AC1874,0)</f>
        <v>#N/A</v>
      </c>
      <c r="AI1874" s="104" t="e">
        <f t="shared" si="816"/>
        <v>#N/A</v>
      </c>
      <c r="AJ1874" s="104" t="e">
        <f t="shared" si="817"/>
        <v>#VALUE!</v>
      </c>
      <c r="AK1874" s="104" t="e">
        <f t="shared" si="818"/>
        <v>#N/A</v>
      </c>
      <c r="AL1874" s="104" t="e">
        <f t="shared" si="819"/>
        <v>#N/A</v>
      </c>
      <c r="AM1874" s="104" t="e">
        <f t="shared" si="820"/>
        <v>#N/A</v>
      </c>
      <c r="AN1874" s="104" t="e">
        <f t="shared" si="831"/>
        <v>#N/A</v>
      </c>
      <c r="AO1874" s="104" t="e">
        <f t="shared" si="832"/>
        <v>#N/A</v>
      </c>
      <c r="AP1874" s="104" t="e">
        <f t="shared" si="833"/>
        <v>#N/A</v>
      </c>
      <c r="AQ1874" s="104" t="e">
        <f t="shared" si="834"/>
        <v>#N/A</v>
      </c>
      <c r="AR1874" s="105" t="str">
        <f t="shared" si="826"/>
        <v/>
      </c>
      <c r="AS1874" s="105" t="str">
        <f t="shared" si="827"/>
        <v/>
      </c>
      <c r="AT1874" s="108" t="str">
        <f t="shared" si="828"/>
        <v/>
      </c>
      <c r="AU1874" s="108" t="str">
        <f t="shared" si="829"/>
        <v/>
      </c>
      <c r="AV1874" s="107" t="str">
        <f>IF(ISNUMBER(O1874),IF(VLOOKUP($A1874,Stand!C:J,8,FALSE)="Short",AT1874,AU1874),"")</f>
        <v/>
      </c>
      <c r="AW1874" s="109" t="str">
        <f t="shared" si="835"/>
        <v/>
      </c>
      <c r="AX1874" s="109" t="str">
        <f t="shared" si="836"/>
        <v/>
      </c>
      <c r="AY1874" s="112" t="str">
        <f>IF(ISNUMBER(O1874),IF(AND(VLOOKUP($D1874,Merchantability!$B:$C,2,0)="Yes",$E1874&gt;=VLOOKUP($D1874,Merchantability!$B:$D,3,0),$E1874&lt;=VLOOKUP($D1874,Merchantability!$B:$E,4,0)),(AV1874*O1874)*(1-$H1874/100),""),"")</f>
        <v/>
      </c>
      <c r="AZ1874" s="116"/>
      <c r="BA1874" s="116"/>
      <c r="BB1874" s="116"/>
      <c r="BE1874" s="62"/>
      <c r="BF1874" s="63"/>
    </row>
    <row r="1875" spans="1:58" ht="12.75" customHeight="1" x14ac:dyDescent="0.25">
      <c r="A1875" s="334"/>
      <c r="B1875" s="334"/>
      <c r="C1875" s="332"/>
      <c r="D1875" s="334"/>
      <c r="E1875" s="335"/>
      <c r="F1875" s="334"/>
      <c r="G1875" s="332"/>
      <c r="H1875" s="332"/>
      <c r="I1875" s="334"/>
      <c r="J1875" s="336"/>
      <c r="K1875" s="332"/>
      <c r="L1875" s="332"/>
      <c r="M1875" s="76"/>
      <c r="N1875" s="103" t="str">
        <f>IF(A1875="","",VLOOKUP(A1875,Stand!C:K,9,0))</f>
        <v/>
      </c>
      <c r="O1875" s="104" t="str">
        <f t="shared" si="821"/>
        <v/>
      </c>
      <c r="P1875" s="105" t="str">
        <f t="shared" si="822"/>
        <v/>
      </c>
      <c r="Q1875" s="105" t="str">
        <f t="shared" si="810"/>
        <v/>
      </c>
      <c r="R1875" s="103" t="str">
        <f t="shared" si="823"/>
        <v/>
      </c>
      <c r="S1875" s="103" t="str">
        <f t="shared" si="824"/>
        <v/>
      </c>
      <c r="T1875" s="106" t="str">
        <f t="shared" si="811"/>
        <v/>
      </c>
      <c r="U1875" s="106" t="str">
        <f t="shared" si="812"/>
        <v/>
      </c>
      <c r="V1875" s="106" t="str">
        <f t="shared" si="813"/>
        <v/>
      </c>
      <c r="W1875" s="105" t="str">
        <f t="shared" si="825"/>
        <v/>
      </c>
      <c r="X1875" s="104" t="str">
        <f t="shared" si="830"/>
        <v/>
      </c>
      <c r="Y1875" s="104" t="str">
        <f t="array" ref="Y1875">IFERROR(IF(ISNUMBER(O1875),IF(COUNT(IF(A1875=$A$2:$A$2427,IF(D1875=$D$2:$D$2427,IF($X$2:$X$2427&gt;0,1))))&gt;0,SUM(IF(A1875=$A$2:$A$2427,IF(D1875=$D$2:$D$2427,$X$2:$X$2427)))/COUNT(IF(A1875=$A$2:$A$2427,IF(D1875=$D$2:$D$2427,IF(ISNUMBER($X$2:$X$2427),1)))),0),""),0)</f>
        <v/>
      </c>
      <c r="Z1875" s="104" t="str">
        <f>IF(ISNUMBER(O1875),IF(I1875&gt;0,(10^(VLOOKUP(D1875,'Species Codes'!B:C,2,0)+VLOOKUP(D1875,'Species Codes'!B:D,3,0)*LOG(E1875)+VLOOKUP(D1875,'Species Codes'!B:E,4,0)*LOG(I1875))),0),"")</f>
        <v/>
      </c>
      <c r="AA1875" s="104" t="str">
        <f>IFERROR((VLOOKUP(D1875,'Species Codes'!B:G,6,0)*Z1875)/2000,"")</f>
        <v/>
      </c>
      <c r="AB1875" s="104" t="e">
        <f>IF(Z1875&gt;0,((IF(OR(D1875="DF",D1875="RA")=TRUE,EXP(VLOOKUP(D1875,'Species Codes'!B:I,8,0)+VLOOKUP(D1875,'Species Codes'!B:J,9,0)*(LN((E1875*2.54)))),IF(OR(D1875="PY",D1875="RC",D1875="WH",D1875="NF")=TRUE,VLOOKUP(D1875,'Species Codes'!B:I,8,0)+VLOOKUP(D1875,'Species Codes'!B:J,9,0)*((E1875*2.54)^2)*(I1875*0.3048),IF(OR(D1875="MD",D1875="BM",D1875="GA")=TRUE,((VLOOKUP(D1875,'Species Codes'!B:I,8,0)*(((((E1875*2.54)+VLOOKUP(D1875,'Species Codes'!B:J,9,0))/VLOOKUP(D1875,'Species Codes'!B:K,10,0))^VLOOKUP(D1875,'Species Codes'!B:L,11,0))*((I1875*0.3048)^VLOOKUP(D1875,'Species Codes'!B:M,12,0))))-(VLOOKUP(D1875,'Species Codes'!B:I,8,0)*((((E1875*2.54)^VLOOKUP(D1875,'Species Codes'!B:L,11,0))*((I1875*0.3048)^VLOOKUP(D1875,'Species Codes'!B:M,12,0))))))*35.3*VLOOKUP(D1875,'Species Codes'!B:G,6,0)/2.2046,VLOOKUP(D1875,'Species Codes'!B:I,8,0)+VLOOKUP(D1875,'Species Codes'!B:J,9,0)*(((E1875*2.54)/100)^2)*(I1875*0.3048)))))*0.0011023),0)</f>
        <v>#N/A</v>
      </c>
      <c r="AC1875" s="104" t="e">
        <f>IF(Z1875&gt;0,((IF(OR(D1875="RA",D1875="OA",D1875="OT",D1875="UN",D1875="PC"),EXP(VLOOKUP(D1875,'Species Codes'!B:O,14,0)+VLOOKUP(D1875,'Species Codes'!B:P,15,0)*LN((E1875*2.54)))-EXP(VLOOKUP(D1875,'Species Codes'!B:O,14,0)+VLOOKUP(D1875,'Species Codes'!B:P,15,0)*LN((E1875*2.54)))*(1/(VLOOKUP(D1875,'Species Codes'!B:Q,16,0)+VLOOKUP(D1875,'Species Codes'!B:R,17,0)*((E1875*2.54)^VLOOKUP(D1875,'Species Codes'!B:S,18,0)))),IF(OR(D1875="BM",D1875="MD",D1875="OA"),EXP(VLOOKUP(D1875,'Species Codes'!B:O,14,0)+VLOOKUP(D1875,'Species Codes'!B:P,15,0)*LN((E1875*2.54)))*(1-(1/(VLOOKUP(D1875,'Species Codes'!B:Q,16,0)+VLOOKUP(D1875,'Species Codes'!B:R,17,0)*((E1875*2.54)^VLOOKUP(D1875,'Species Codes'!B:S,18,0)))))/1000,IF(D1875="DF",EXP(VLOOKUP(D1875,'Species Codes'!B:O,14,0)+VLOOKUP(D1875,'Species Codes'!B:P,15,0)*LN((E1875*2.54))),VLOOKUP(D1875,'Species Codes'!B:O,14,0)+VLOOKUP(D1875,'Species Codes'!B:P,15,0)*(((E1875*2.54)/100)^2)*(I1875*0.3048)))))*0.0011023),0)</f>
        <v>#N/A</v>
      </c>
      <c r="AD1875" s="104" t="e">
        <f t="shared" si="814"/>
        <v>#N/A</v>
      </c>
      <c r="AE1875" s="104" t="e">
        <f t="shared" si="815"/>
        <v>#N/A</v>
      </c>
      <c r="AF1875" s="104" t="e">
        <f>IF(AND(VLOOKUP($D1875,Merchantability!$B:$C,2,0)="Yes",$E1875&gt;=VLOOKUP($D1875,Merchantability!$B:$D,3,0),$E1875&lt;=VLOOKUP($D1875,Merchantability!$B:$E,4,0)),AA1875,0)</f>
        <v>#N/A</v>
      </c>
      <c r="AG1875" s="104" t="e">
        <f>IF(AND(VLOOKUP($D1875,Merchantability!$B:$C,2,0)="Yes",$E1875&gt;=VLOOKUP($D1875,Merchantability!$B:$D,3,0),$E1875&lt;=VLOOKUP($D1875,Merchantability!$B:$E,4,0)),AB1875,0)</f>
        <v>#N/A</v>
      </c>
      <c r="AH1875" s="104" t="e">
        <f>IF(AND(VLOOKUP($D1875,Merchantability!$B:$C,2,0)="Yes",$E1875&gt;=VLOOKUP($D1875,Merchantability!$B:$D,3,0),$E1875&lt;=VLOOKUP($D1875,Merchantability!$B:$E,4,0)),AC1875,0)</f>
        <v>#N/A</v>
      </c>
      <c r="AI1875" s="104" t="e">
        <f t="shared" si="816"/>
        <v>#N/A</v>
      </c>
      <c r="AJ1875" s="104" t="e">
        <f t="shared" si="817"/>
        <v>#VALUE!</v>
      </c>
      <c r="AK1875" s="104" t="e">
        <f t="shared" si="818"/>
        <v>#N/A</v>
      </c>
      <c r="AL1875" s="104" t="e">
        <f t="shared" si="819"/>
        <v>#N/A</v>
      </c>
      <c r="AM1875" s="104" t="e">
        <f t="shared" si="820"/>
        <v>#N/A</v>
      </c>
      <c r="AN1875" s="104" t="e">
        <f t="shared" si="831"/>
        <v>#N/A</v>
      </c>
      <c r="AO1875" s="104" t="e">
        <f t="shared" si="832"/>
        <v>#N/A</v>
      </c>
      <c r="AP1875" s="104" t="e">
        <f t="shared" si="833"/>
        <v>#N/A</v>
      </c>
      <c r="AQ1875" s="104" t="e">
        <f t="shared" si="834"/>
        <v>#N/A</v>
      </c>
      <c r="AR1875" s="105" t="str">
        <f t="shared" si="826"/>
        <v/>
      </c>
      <c r="AS1875" s="105" t="str">
        <f t="shared" si="827"/>
        <v/>
      </c>
      <c r="AT1875" s="108" t="str">
        <f t="shared" si="828"/>
        <v/>
      </c>
      <c r="AU1875" s="108" t="str">
        <f t="shared" si="829"/>
        <v/>
      </c>
      <c r="AV1875" s="107" t="str">
        <f>IF(ISNUMBER(O1875),IF(VLOOKUP($A1875,Stand!C:J,8,FALSE)="Short",AT1875,AU1875),"")</f>
        <v/>
      </c>
      <c r="AW1875" s="109" t="str">
        <f t="shared" si="835"/>
        <v/>
      </c>
      <c r="AX1875" s="109" t="str">
        <f t="shared" si="836"/>
        <v/>
      </c>
      <c r="AY1875" s="112" t="str">
        <f>IF(ISNUMBER(O1875),IF(AND(VLOOKUP($D1875,Merchantability!$B:$C,2,0)="Yes",$E1875&gt;=VLOOKUP($D1875,Merchantability!$B:$D,3,0),$E1875&lt;=VLOOKUP($D1875,Merchantability!$B:$E,4,0)),(AV1875*O1875)*(1-$H1875/100),""),"")</f>
        <v/>
      </c>
      <c r="AZ1875" s="116"/>
      <c r="BA1875" s="116"/>
      <c r="BB1875" s="116"/>
      <c r="BE1875" s="62"/>
      <c r="BF1875" s="63"/>
    </row>
    <row r="1876" spans="1:58" ht="12.75" customHeight="1" x14ac:dyDescent="0.25">
      <c r="A1876" s="334"/>
      <c r="B1876" s="334"/>
      <c r="C1876" s="332"/>
      <c r="D1876" s="334"/>
      <c r="E1876" s="335"/>
      <c r="F1876" s="334"/>
      <c r="G1876" s="332"/>
      <c r="H1876" s="332"/>
      <c r="I1876" s="334"/>
      <c r="J1876" s="336"/>
      <c r="K1876" s="332"/>
      <c r="L1876" s="332"/>
      <c r="M1876" s="76"/>
      <c r="N1876" s="103" t="str">
        <f>IF(A1876="","",VLOOKUP(A1876,Stand!C:K,9,0))</f>
        <v/>
      </c>
      <c r="O1876" s="104" t="str">
        <f t="shared" si="821"/>
        <v/>
      </c>
      <c r="P1876" s="105" t="str">
        <f t="shared" si="822"/>
        <v/>
      </c>
      <c r="Q1876" s="105" t="str">
        <f t="shared" si="810"/>
        <v/>
      </c>
      <c r="R1876" s="103" t="str">
        <f t="shared" si="823"/>
        <v/>
      </c>
      <c r="S1876" s="103" t="str">
        <f t="shared" si="824"/>
        <v/>
      </c>
      <c r="T1876" s="106" t="str">
        <f t="shared" si="811"/>
        <v/>
      </c>
      <c r="U1876" s="106" t="str">
        <f t="shared" si="812"/>
        <v/>
      </c>
      <c r="V1876" s="106" t="str">
        <f t="shared" si="813"/>
        <v/>
      </c>
      <c r="W1876" s="105" t="str">
        <f t="shared" si="825"/>
        <v/>
      </c>
      <c r="X1876" s="104" t="str">
        <f t="shared" si="830"/>
        <v/>
      </c>
      <c r="Y1876" s="104" t="str">
        <f t="array" ref="Y1876">IFERROR(IF(ISNUMBER(O1876),IF(COUNT(IF(A1876=$A$2:$A$2427,IF(D1876=$D$2:$D$2427,IF($X$2:$X$2427&gt;0,1))))&gt;0,SUM(IF(A1876=$A$2:$A$2427,IF(D1876=$D$2:$D$2427,$X$2:$X$2427)))/COUNT(IF(A1876=$A$2:$A$2427,IF(D1876=$D$2:$D$2427,IF(ISNUMBER($X$2:$X$2427),1)))),0),""),0)</f>
        <v/>
      </c>
      <c r="Z1876" s="104" t="str">
        <f>IF(ISNUMBER(O1876),IF(I1876&gt;0,(10^(VLOOKUP(D1876,'Species Codes'!B:C,2,0)+VLOOKUP(D1876,'Species Codes'!B:D,3,0)*LOG(E1876)+VLOOKUP(D1876,'Species Codes'!B:E,4,0)*LOG(I1876))),0),"")</f>
        <v/>
      </c>
      <c r="AA1876" s="104" t="str">
        <f>IFERROR((VLOOKUP(D1876,'Species Codes'!B:G,6,0)*Z1876)/2000,"")</f>
        <v/>
      </c>
      <c r="AB1876" s="104" t="e">
        <f>IF(Z1876&gt;0,((IF(OR(D1876="DF",D1876="RA")=TRUE,EXP(VLOOKUP(D1876,'Species Codes'!B:I,8,0)+VLOOKUP(D1876,'Species Codes'!B:J,9,0)*(LN((E1876*2.54)))),IF(OR(D1876="PY",D1876="RC",D1876="WH",D1876="NF")=TRUE,VLOOKUP(D1876,'Species Codes'!B:I,8,0)+VLOOKUP(D1876,'Species Codes'!B:J,9,0)*((E1876*2.54)^2)*(I1876*0.3048),IF(OR(D1876="MD",D1876="BM",D1876="GA")=TRUE,((VLOOKUP(D1876,'Species Codes'!B:I,8,0)*(((((E1876*2.54)+VLOOKUP(D1876,'Species Codes'!B:J,9,0))/VLOOKUP(D1876,'Species Codes'!B:K,10,0))^VLOOKUP(D1876,'Species Codes'!B:L,11,0))*((I1876*0.3048)^VLOOKUP(D1876,'Species Codes'!B:M,12,0))))-(VLOOKUP(D1876,'Species Codes'!B:I,8,0)*((((E1876*2.54)^VLOOKUP(D1876,'Species Codes'!B:L,11,0))*((I1876*0.3048)^VLOOKUP(D1876,'Species Codes'!B:M,12,0))))))*35.3*VLOOKUP(D1876,'Species Codes'!B:G,6,0)/2.2046,VLOOKUP(D1876,'Species Codes'!B:I,8,0)+VLOOKUP(D1876,'Species Codes'!B:J,9,0)*(((E1876*2.54)/100)^2)*(I1876*0.3048)))))*0.0011023),0)</f>
        <v>#N/A</v>
      </c>
      <c r="AC1876" s="104" t="e">
        <f>IF(Z1876&gt;0,((IF(OR(D1876="RA",D1876="OA",D1876="OT",D1876="UN",D1876="PC"),EXP(VLOOKUP(D1876,'Species Codes'!B:O,14,0)+VLOOKUP(D1876,'Species Codes'!B:P,15,0)*LN((E1876*2.54)))-EXP(VLOOKUP(D1876,'Species Codes'!B:O,14,0)+VLOOKUP(D1876,'Species Codes'!B:P,15,0)*LN((E1876*2.54)))*(1/(VLOOKUP(D1876,'Species Codes'!B:Q,16,0)+VLOOKUP(D1876,'Species Codes'!B:R,17,0)*((E1876*2.54)^VLOOKUP(D1876,'Species Codes'!B:S,18,0)))),IF(OR(D1876="BM",D1876="MD",D1876="OA"),EXP(VLOOKUP(D1876,'Species Codes'!B:O,14,0)+VLOOKUP(D1876,'Species Codes'!B:P,15,0)*LN((E1876*2.54)))*(1-(1/(VLOOKUP(D1876,'Species Codes'!B:Q,16,0)+VLOOKUP(D1876,'Species Codes'!B:R,17,0)*((E1876*2.54)^VLOOKUP(D1876,'Species Codes'!B:S,18,0)))))/1000,IF(D1876="DF",EXP(VLOOKUP(D1876,'Species Codes'!B:O,14,0)+VLOOKUP(D1876,'Species Codes'!B:P,15,0)*LN((E1876*2.54))),VLOOKUP(D1876,'Species Codes'!B:O,14,0)+VLOOKUP(D1876,'Species Codes'!B:P,15,0)*(((E1876*2.54)/100)^2)*(I1876*0.3048)))))*0.0011023),0)</f>
        <v>#N/A</v>
      </c>
      <c r="AD1876" s="104" t="e">
        <f t="shared" si="814"/>
        <v>#N/A</v>
      </c>
      <c r="AE1876" s="104" t="e">
        <f t="shared" si="815"/>
        <v>#N/A</v>
      </c>
      <c r="AF1876" s="104" t="e">
        <f>IF(AND(VLOOKUP($D1876,Merchantability!$B:$C,2,0)="Yes",$E1876&gt;=VLOOKUP($D1876,Merchantability!$B:$D,3,0),$E1876&lt;=VLOOKUP($D1876,Merchantability!$B:$E,4,0)),AA1876,0)</f>
        <v>#N/A</v>
      </c>
      <c r="AG1876" s="104" t="e">
        <f>IF(AND(VLOOKUP($D1876,Merchantability!$B:$C,2,0)="Yes",$E1876&gt;=VLOOKUP($D1876,Merchantability!$B:$D,3,0),$E1876&lt;=VLOOKUP($D1876,Merchantability!$B:$E,4,0)),AB1876,0)</f>
        <v>#N/A</v>
      </c>
      <c r="AH1876" s="104" t="e">
        <f>IF(AND(VLOOKUP($D1876,Merchantability!$B:$C,2,0)="Yes",$E1876&gt;=VLOOKUP($D1876,Merchantability!$B:$D,3,0),$E1876&lt;=VLOOKUP($D1876,Merchantability!$B:$E,4,0)),AC1876,0)</f>
        <v>#N/A</v>
      </c>
      <c r="AI1876" s="104" t="e">
        <f t="shared" si="816"/>
        <v>#N/A</v>
      </c>
      <c r="AJ1876" s="104" t="e">
        <f t="shared" si="817"/>
        <v>#VALUE!</v>
      </c>
      <c r="AK1876" s="104" t="e">
        <f t="shared" si="818"/>
        <v>#N/A</v>
      </c>
      <c r="AL1876" s="104" t="e">
        <f t="shared" si="819"/>
        <v>#N/A</v>
      </c>
      <c r="AM1876" s="104" t="e">
        <f t="shared" si="820"/>
        <v>#N/A</v>
      </c>
      <c r="AN1876" s="104" t="e">
        <f t="shared" si="831"/>
        <v>#N/A</v>
      </c>
      <c r="AO1876" s="104" t="e">
        <f t="shared" si="832"/>
        <v>#N/A</v>
      </c>
      <c r="AP1876" s="104" t="e">
        <f t="shared" si="833"/>
        <v>#N/A</v>
      </c>
      <c r="AQ1876" s="104" t="e">
        <f t="shared" si="834"/>
        <v>#N/A</v>
      </c>
      <c r="AR1876" s="105" t="str">
        <f t="shared" si="826"/>
        <v/>
      </c>
      <c r="AS1876" s="105" t="str">
        <f t="shared" si="827"/>
        <v/>
      </c>
      <c r="AT1876" s="108" t="str">
        <f t="shared" si="828"/>
        <v/>
      </c>
      <c r="AU1876" s="108" t="str">
        <f t="shared" si="829"/>
        <v/>
      </c>
      <c r="AV1876" s="107" t="str">
        <f>IF(ISNUMBER(O1876),IF(VLOOKUP($A1876,Stand!C:J,8,FALSE)="Short",AT1876,AU1876),"")</f>
        <v/>
      </c>
      <c r="AW1876" s="109" t="str">
        <f t="shared" si="835"/>
        <v/>
      </c>
      <c r="AX1876" s="109" t="str">
        <f t="shared" si="836"/>
        <v/>
      </c>
      <c r="AY1876" s="112" t="str">
        <f>IF(ISNUMBER(O1876),IF(AND(VLOOKUP($D1876,Merchantability!$B:$C,2,0)="Yes",$E1876&gt;=VLOOKUP($D1876,Merchantability!$B:$D,3,0),$E1876&lt;=VLOOKUP($D1876,Merchantability!$B:$E,4,0)),(AV1876*O1876)*(1-$H1876/100),""),"")</f>
        <v/>
      </c>
      <c r="AZ1876" s="116"/>
      <c r="BA1876" s="116"/>
      <c r="BB1876" s="116"/>
      <c r="BE1876" s="62"/>
      <c r="BF1876" s="63"/>
    </row>
    <row r="1877" spans="1:58" ht="12.75" customHeight="1" x14ac:dyDescent="0.25">
      <c r="A1877" s="334"/>
      <c r="B1877" s="334"/>
      <c r="C1877" s="332"/>
      <c r="D1877" s="334"/>
      <c r="E1877" s="335"/>
      <c r="F1877" s="334"/>
      <c r="G1877" s="332"/>
      <c r="H1877" s="332"/>
      <c r="I1877" s="334"/>
      <c r="J1877" s="336"/>
      <c r="K1877" s="332"/>
      <c r="L1877" s="332"/>
      <c r="M1877" s="76"/>
      <c r="N1877" s="103" t="str">
        <f>IF(A1877="","",VLOOKUP(A1877,Stand!C:K,9,0))</f>
        <v/>
      </c>
      <c r="O1877" s="104" t="str">
        <f t="shared" si="821"/>
        <v/>
      </c>
      <c r="P1877" s="105" t="str">
        <f t="shared" si="822"/>
        <v/>
      </c>
      <c r="Q1877" s="105" t="str">
        <f t="shared" si="810"/>
        <v/>
      </c>
      <c r="R1877" s="103" t="str">
        <f t="shared" si="823"/>
        <v/>
      </c>
      <c r="S1877" s="103" t="str">
        <f t="shared" si="824"/>
        <v/>
      </c>
      <c r="T1877" s="106" t="str">
        <f t="shared" si="811"/>
        <v/>
      </c>
      <c r="U1877" s="106" t="str">
        <f t="shared" si="812"/>
        <v/>
      </c>
      <c r="V1877" s="106" t="str">
        <f t="shared" si="813"/>
        <v/>
      </c>
      <c r="W1877" s="105" t="str">
        <f t="shared" si="825"/>
        <v/>
      </c>
      <c r="X1877" s="104" t="str">
        <f t="shared" si="830"/>
        <v/>
      </c>
      <c r="Y1877" s="104" t="str">
        <f t="array" ref="Y1877">IFERROR(IF(ISNUMBER(O1877),IF(COUNT(IF(A1877=$A$2:$A$2427,IF(D1877=$D$2:$D$2427,IF($X$2:$X$2427&gt;0,1))))&gt;0,SUM(IF(A1877=$A$2:$A$2427,IF(D1877=$D$2:$D$2427,$X$2:$X$2427)))/COUNT(IF(A1877=$A$2:$A$2427,IF(D1877=$D$2:$D$2427,IF(ISNUMBER($X$2:$X$2427),1)))),0),""),0)</f>
        <v/>
      </c>
      <c r="Z1877" s="104" t="str">
        <f>IF(ISNUMBER(O1877),IF(I1877&gt;0,(10^(VLOOKUP(D1877,'Species Codes'!B:C,2,0)+VLOOKUP(D1877,'Species Codes'!B:D,3,0)*LOG(E1877)+VLOOKUP(D1877,'Species Codes'!B:E,4,0)*LOG(I1877))),0),"")</f>
        <v/>
      </c>
      <c r="AA1877" s="104" t="str">
        <f>IFERROR((VLOOKUP(D1877,'Species Codes'!B:G,6,0)*Z1877)/2000,"")</f>
        <v/>
      </c>
      <c r="AB1877" s="104" t="e">
        <f>IF(Z1877&gt;0,((IF(OR(D1877="DF",D1877="RA")=TRUE,EXP(VLOOKUP(D1877,'Species Codes'!B:I,8,0)+VLOOKUP(D1877,'Species Codes'!B:J,9,0)*(LN((E1877*2.54)))),IF(OR(D1877="PY",D1877="RC",D1877="WH",D1877="NF")=TRUE,VLOOKUP(D1877,'Species Codes'!B:I,8,0)+VLOOKUP(D1877,'Species Codes'!B:J,9,0)*((E1877*2.54)^2)*(I1877*0.3048),IF(OR(D1877="MD",D1877="BM",D1877="GA")=TRUE,((VLOOKUP(D1877,'Species Codes'!B:I,8,0)*(((((E1877*2.54)+VLOOKUP(D1877,'Species Codes'!B:J,9,0))/VLOOKUP(D1877,'Species Codes'!B:K,10,0))^VLOOKUP(D1877,'Species Codes'!B:L,11,0))*((I1877*0.3048)^VLOOKUP(D1877,'Species Codes'!B:M,12,0))))-(VLOOKUP(D1877,'Species Codes'!B:I,8,0)*((((E1877*2.54)^VLOOKUP(D1877,'Species Codes'!B:L,11,0))*((I1877*0.3048)^VLOOKUP(D1877,'Species Codes'!B:M,12,0))))))*35.3*VLOOKUP(D1877,'Species Codes'!B:G,6,0)/2.2046,VLOOKUP(D1877,'Species Codes'!B:I,8,0)+VLOOKUP(D1877,'Species Codes'!B:J,9,0)*(((E1877*2.54)/100)^2)*(I1877*0.3048)))))*0.0011023),0)</f>
        <v>#N/A</v>
      </c>
      <c r="AC1877" s="104" t="e">
        <f>IF(Z1877&gt;0,((IF(OR(D1877="RA",D1877="OA",D1877="OT",D1877="UN",D1877="PC"),EXP(VLOOKUP(D1877,'Species Codes'!B:O,14,0)+VLOOKUP(D1877,'Species Codes'!B:P,15,0)*LN((E1877*2.54)))-EXP(VLOOKUP(D1877,'Species Codes'!B:O,14,0)+VLOOKUP(D1877,'Species Codes'!B:P,15,0)*LN((E1877*2.54)))*(1/(VLOOKUP(D1877,'Species Codes'!B:Q,16,0)+VLOOKUP(D1877,'Species Codes'!B:R,17,0)*((E1877*2.54)^VLOOKUP(D1877,'Species Codes'!B:S,18,0)))),IF(OR(D1877="BM",D1877="MD",D1877="OA"),EXP(VLOOKUP(D1877,'Species Codes'!B:O,14,0)+VLOOKUP(D1877,'Species Codes'!B:P,15,0)*LN((E1877*2.54)))*(1-(1/(VLOOKUP(D1877,'Species Codes'!B:Q,16,0)+VLOOKUP(D1877,'Species Codes'!B:R,17,0)*((E1877*2.54)^VLOOKUP(D1877,'Species Codes'!B:S,18,0)))))/1000,IF(D1877="DF",EXP(VLOOKUP(D1877,'Species Codes'!B:O,14,0)+VLOOKUP(D1877,'Species Codes'!B:P,15,0)*LN((E1877*2.54))),VLOOKUP(D1877,'Species Codes'!B:O,14,0)+VLOOKUP(D1877,'Species Codes'!B:P,15,0)*(((E1877*2.54)/100)^2)*(I1877*0.3048)))))*0.0011023),0)</f>
        <v>#N/A</v>
      </c>
      <c r="AD1877" s="104" t="e">
        <f t="shared" si="814"/>
        <v>#N/A</v>
      </c>
      <c r="AE1877" s="104" t="e">
        <f t="shared" si="815"/>
        <v>#N/A</v>
      </c>
      <c r="AF1877" s="104" t="e">
        <f>IF(AND(VLOOKUP($D1877,Merchantability!$B:$C,2,0)="Yes",$E1877&gt;=VLOOKUP($D1877,Merchantability!$B:$D,3,0),$E1877&lt;=VLOOKUP($D1877,Merchantability!$B:$E,4,0)),AA1877,0)</f>
        <v>#N/A</v>
      </c>
      <c r="AG1877" s="104" t="e">
        <f>IF(AND(VLOOKUP($D1877,Merchantability!$B:$C,2,0)="Yes",$E1877&gt;=VLOOKUP($D1877,Merchantability!$B:$D,3,0),$E1877&lt;=VLOOKUP($D1877,Merchantability!$B:$E,4,0)),AB1877,0)</f>
        <v>#N/A</v>
      </c>
      <c r="AH1877" s="104" t="e">
        <f>IF(AND(VLOOKUP($D1877,Merchantability!$B:$C,2,0)="Yes",$E1877&gt;=VLOOKUP($D1877,Merchantability!$B:$D,3,0),$E1877&lt;=VLOOKUP($D1877,Merchantability!$B:$E,4,0)),AC1877,0)</f>
        <v>#N/A</v>
      </c>
      <c r="AI1877" s="104" t="e">
        <f t="shared" si="816"/>
        <v>#N/A</v>
      </c>
      <c r="AJ1877" s="104" t="e">
        <f t="shared" si="817"/>
        <v>#VALUE!</v>
      </c>
      <c r="AK1877" s="104" t="e">
        <f t="shared" si="818"/>
        <v>#N/A</v>
      </c>
      <c r="AL1877" s="104" t="e">
        <f t="shared" si="819"/>
        <v>#N/A</v>
      </c>
      <c r="AM1877" s="104" t="e">
        <f t="shared" si="820"/>
        <v>#N/A</v>
      </c>
      <c r="AN1877" s="104" t="e">
        <f t="shared" si="831"/>
        <v>#N/A</v>
      </c>
      <c r="AO1877" s="104" t="e">
        <f t="shared" si="832"/>
        <v>#N/A</v>
      </c>
      <c r="AP1877" s="104" t="e">
        <f t="shared" si="833"/>
        <v>#N/A</v>
      </c>
      <c r="AQ1877" s="104" t="e">
        <f t="shared" si="834"/>
        <v>#N/A</v>
      </c>
      <c r="AR1877" s="105" t="str">
        <f t="shared" si="826"/>
        <v/>
      </c>
      <c r="AS1877" s="105" t="str">
        <f t="shared" si="827"/>
        <v/>
      </c>
      <c r="AT1877" s="108" t="str">
        <f t="shared" si="828"/>
        <v/>
      </c>
      <c r="AU1877" s="108" t="str">
        <f t="shared" si="829"/>
        <v/>
      </c>
      <c r="AV1877" s="107" t="str">
        <f>IF(ISNUMBER(O1877),IF(VLOOKUP($A1877,Stand!C:J,8,FALSE)="Short",AT1877,AU1877),"")</f>
        <v/>
      </c>
      <c r="AW1877" s="109" t="str">
        <f t="shared" si="835"/>
        <v/>
      </c>
      <c r="AX1877" s="109" t="str">
        <f t="shared" si="836"/>
        <v/>
      </c>
      <c r="AY1877" s="112" t="str">
        <f>IF(ISNUMBER(O1877),IF(AND(VLOOKUP($D1877,Merchantability!$B:$C,2,0)="Yes",$E1877&gt;=VLOOKUP($D1877,Merchantability!$B:$D,3,0),$E1877&lt;=VLOOKUP($D1877,Merchantability!$B:$E,4,0)),(AV1877*O1877)*(1-$H1877/100),""),"")</f>
        <v/>
      </c>
      <c r="AZ1877" s="116"/>
      <c r="BA1877" s="116"/>
      <c r="BB1877" s="116"/>
      <c r="BE1877" s="62"/>
      <c r="BF1877" s="63"/>
    </row>
    <row r="1878" spans="1:58" ht="12.75" customHeight="1" x14ac:dyDescent="0.25">
      <c r="A1878" s="334"/>
      <c r="B1878" s="334"/>
      <c r="C1878" s="332"/>
      <c r="D1878" s="334"/>
      <c r="E1878" s="335"/>
      <c r="F1878" s="334"/>
      <c r="G1878" s="332"/>
      <c r="H1878" s="332"/>
      <c r="I1878" s="334"/>
      <c r="J1878" s="336"/>
      <c r="K1878" s="332"/>
      <c r="L1878" s="332"/>
      <c r="M1878" s="76"/>
      <c r="N1878" s="103" t="str">
        <f>IF(A1878="","",VLOOKUP(A1878,Stand!C:K,9,0))</f>
        <v/>
      </c>
      <c r="O1878" s="104" t="str">
        <f t="shared" si="821"/>
        <v/>
      </c>
      <c r="P1878" s="105" t="str">
        <f t="shared" si="822"/>
        <v/>
      </c>
      <c r="Q1878" s="105" t="str">
        <f t="shared" si="810"/>
        <v/>
      </c>
      <c r="R1878" s="103" t="str">
        <f t="shared" si="823"/>
        <v/>
      </c>
      <c r="S1878" s="103" t="str">
        <f t="shared" si="824"/>
        <v/>
      </c>
      <c r="T1878" s="106" t="str">
        <f t="shared" si="811"/>
        <v/>
      </c>
      <c r="U1878" s="106" t="str">
        <f t="shared" si="812"/>
        <v/>
      </c>
      <c r="V1878" s="106" t="str">
        <f t="shared" si="813"/>
        <v/>
      </c>
      <c r="W1878" s="105" t="str">
        <f t="shared" si="825"/>
        <v/>
      </c>
      <c r="X1878" s="104" t="str">
        <f t="shared" si="830"/>
        <v/>
      </c>
      <c r="Y1878" s="104" t="str">
        <f t="array" ref="Y1878">IFERROR(IF(ISNUMBER(O1878),IF(COUNT(IF(A1878=$A$2:$A$2427,IF(D1878=$D$2:$D$2427,IF($X$2:$X$2427&gt;0,1))))&gt;0,SUM(IF(A1878=$A$2:$A$2427,IF(D1878=$D$2:$D$2427,$X$2:$X$2427)))/COUNT(IF(A1878=$A$2:$A$2427,IF(D1878=$D$2:$D$2427,IF(ISNUMBER($X$2:$X$2427),1)))),0),""),0)</f>
        <v/>
      </c>
      <c r="Z1878" s="104" t="str">
        <f>IF(ISNUMBER(O1878),IF(I1878&gt;0,(10^(VLOOKUP(D1878,'Species Codes'!B:C,2,0)+VLOOKUP(D1878,'Species Codes'!B:D,3,0)*LOG(E1878)+VLOOKUP(D1878,'Species Codes'!B:E,4,0)*LOG(I1878))),0),"")</f>
        <v/>
      </c>
      <c r="AA1878" s="104" t="str">
        <f>IFERROR((VLOOKUP(D1878,'Species Codes'!B:G,6,0)*Z1878)/2000,"")</f>
        <v/>
      </c>
      <c r="AB1878" s="104" t="e">
        <f>IF(Z1878&gt;0,((IF(OR(D1878="DF",D1878="RA")=TRUE,EXP(VLOOKUP(D1878,'Species Codes'!B:I,8,0)+VLOOKUP(D1878,'Species Codes'!B:J,9,0)*(LN((E1878*2.54)))),IF(OR(D1878="PY",D1878="RC",D1878="WH",D1878="NF")=TRUE,VLOOKUP(D1878,'Species Codes'!B:I,8,0)+VLOOKUP(D1878,'Species Codes'!B:J,9,0)*((E1878*2.54)^2)*(I1878*0.3048),IF(OR(D1878="MD",D1878="BM",D1878="GA")=TRUE,((VLOOKUP(D1878,'Species Codes'!B:I,8,0)*(((((E1878*2.54)+VLOOKUP(D1878,'Species Codes'!B:J,9,0))/VLOOKUP(D1878,'Species Codes'!B:K,10,0))^VLOOKUP(D1878,'Species Codes'!B:L,11,0))*((I1878*0.3048)^VLOOKUP(D1878,'Species Codes'!B:M,12,0))))-(VLOOKUP(D1878,'Species Codes'!B:I,8,0)*((((E1878*2.54)^VLOOKUP(D1878,'Species Codes'!B:L,11,0))*((I1878*0.3048)^VLOOKUP(D1878,'Species Codes'!B:M,12,0))))))*35.3*VLOOKUP(D1878,'Species Codes'!B:G,6,0)/2.2046,VLOOKUP(D1878,'Species Codes'!B:I,8,0)+VLOOKUP(D1878,'Species Codes'!B:J,9,0)*(((E1878*2.54)/100)^2)*(I1878*0.3048)))))*0.0011023),0)</f>
        <v>#N/A</v>
      </c>
      <c r="AC1878" s="104" t="e">
        <f>IF(Z1878&gt;0,((IF(OR(D1878="RA",D1878="OA",D1878="OT",D1878="UN",D1878="PC"),EXP(VLOOKUP(D1878,'Species Codes'!B:O,14,0)+VLOOKUP(D1878,'Species Codes'!B:P,15,0)*LN((E1878*2.54)))-EXP(VLOOKUP(D1878,'Species Codes'!B:O,14,0)+VLOOKUP(D1878,'Species Codes'!B:P,15,0)*LN((E1878*2.54)))*(1/(VLOOKUP(D1878,'Species Codes'!B:Q,16,0)+VLOOKUP(D1878,'Species Codes'!B:R,17,0)*((E1878*2.54)^VLOOKUP(D1878,'Species Codes'!B:S,18,0)))),IF(OR(D1878="BM",D1878="MD",D1878="OA"),EXP(VLOOKUP(D1878,'Species Codes'!B:O,14,0)+VLOOKUP(D1878,'Species Codes'!B:P,15,0)*LN((E1878*2.54)))*(1-(1/(VLOOKUP(D1878,'Species Codes'!B:Q,16,0)+VLOOKUP(D1878,'Species Codes'!B:R,17,0)*((E1878*2.54)^VLOOKUP(D1878,'Species Codes'!B:S,18,0)))))/1000,IF(D1878="DF",EXP(VLOOKUP(D1878,'Species Codes'!B:O,14,0)+VLOOKUP(D1878,'Species Codes'!B:P,15,0)*LN((E1878*2.54))),VLOOKUP(D1878,'Species Codes'!B:O,14,0)+VLOOKUP(D1878,'Species Codes'!B:P,15,0)*(((E1878*2.54)/100)^2)*(I1878*0.3048)))))*0.0011023),0)</f>
        <v>#N/A</v>
      </c>
      <c r="AD1878" s="104" t="e">
        <f t="shared" si="814"/>
        <v>#N/A</v>
      </c>
      <c r="AE1878" s="104" t="e">
        <f t="shared" si="815"/>
        <v>#N/A</v>
      </c>
      <c r="AF1878" s="104" t="e">
        <f>IF(AND(VLOOKUP($D1878,Merchantability!$B:$C,2,0)="Yes",$E1878&gt;=VLOOKUP($D1878,Merchantability!$B:$D,3,0),$E1878&lt;=VLOOKUP($D1878,Merchantability!$B:$E,4,0)),AA1878,0)</f>
        <v>#N/A</v>
      </c>
      <c r="AG1878" s="104" t="e">
        <f>IF(AND(VLOOKUP($D1878,Merchantability!$B:$C,2,0)="Yes",$E1878&gt;=VLOOKUP($D1878,Merchantability!$B:$D,3,0),$E1878&lt;=VLOOKUP($D1878,Merchantability!$B:$E,4,0)),AB1878,0)</f>
        <v>#N/A</v>
      </c>
      <c r="AH1878" s="104" t="e">
        <f>IF(AND(VLOOKUP($D1878,Merchantability!$B:$C,2,0)="Yes",$E1878&gt;=VLOOKUP($D1878,Merchantability!$B:$D,3,0),$E1878&lt;=VLOOKUP($D1878,Merchantability!$B:$E,4,0)),AC1878,0)</f>
        <v>#N/A</v>
      </c>
      <c r="AI1878" s="104" t="e">
        <f t="shared" si="816"/>
        <v>#N/A</v>
      </c>
      <c r="AJ1878" s="104" t="e">
        <f t="shared" si="817"/>
        <v>#VALUE!</v>
      </c>
      <c r="AK1878" s="104" t="e">
        <f t="shared" si="818"/>
        <v>#N/A</v>
      </c>
      <c r="AL1878" s="104" t="e">
        <f t="shared" si="819"/>
        <v>#N/A</v>
      </c>
      <c r="AM1878" s="104" t="e">
        <f t="shared" si="820"/>
        <v>#N/A</v>
      </c>
      <c r="AN1878" s="104" t="e">
        <f t="shared" si="831"/>
        <v>#N/A</v>
      </c>
      <c r="AO1878" s="104" t="e">
        <f t="shared" si="832"/>
        <v>#N/A</v>
      </c>
      <c r="AP1878" s="104" t="e">
        <f t="shared" si="833"/>
        <v>#N/A</v>
      </c>
      <c r="AQ1878" s="104" t="e">
        <f t="shared" si="834"/>
        <v>#N/A</v>
      </c>
      <c r="AR1878" s="105" t="str">
        <f t="shared" si="826"/>
        <v/>
      </c>
      <c r="AS1878" s="105" t="str">
        <f t="shared" si="827"/>
        <v/>
      </c>
      <c r="AT1878" s="108" t="str">
        <f t="shared" si="828"/>
        <v/>
      </c>
      <c r="AU1878" s="108" t="str">
        <f t="shared" si="829"/>
        <v/>
      </c>
      <c r="AV1878" s="107" t="str">
        <f>IF(ISNUMBER(O1878),IF(VLOOKUP($A1878,Stand!C:J,8,FALSE)="Short",AT1878,AU1878),"")</f>
        <v/>
      </c>
      <c r="AW1878" s="109" t="str">
        <f t="shared" si="835"/>
        <v/>
      </c>
      <c r="AX1878" s="109" t="str">
        <f t="shared" si="836"/>
        <v/>
      </c>
      <c r="AY1878" s="112" t="str">
        <f>IF(ISNUMBER(O1878),IF(AND(VLOOKUP($D1878,Merchantability!$B:$C,2,0)="Yes",$E1878&gt;=VLOOKUP($D1878,Merchantability!$B:$D,3,0),$E1878&lt;=VLOOKUP($D1878,Merchantability!$B:$E,4,0)),(AV1878*O1878)*(1-$H1878/100),""),"")</f>
        <v/>
      </c>
      <c r="AZ1878" s="116"/>
      <c r="BA1878" s="116"/>
      <c r="BB1878" s="116"/>
      <c r="BE1878" s="62"/>
      <c r="BF1878" s="63"/>
    </row>
    <row r="1879" spans="1:58" ht="12.75" customHeight="1" x14ac:dyDescent="0.25">
      <c r="A1879" s="334"/>
      <c r="B1879" s="334"/>
      <c r="C1879" s="332"/>
      <c r="D1879" s="334"/>
      <c r="E1879" s="335"/>
      <c r="F1879" s="334"/>
      <c r="G1879" s="332"/>
      <c r="H1879" s="332"/>
      <c r="I1879" s="334"/>
      <c r="J1879" s="336"/>
      <c r="K1879" s="332"/>
      <c r="L1879" s="332"/>
      <c r="M1879" s="76"/>
      <c r="N1879" s="103" t="str">
        <f>IF(A1879="","",VLOOKUP(A1879,Stand!C:K,9,0))</f>
        <v/>
      </c>
      <c r="O1879" s="104" t="str">
        <f t="shared" si="821"/>
        <v/>
      </c>
      <c r="P1879" s="105" t="str">
        <f t="shared" si="822"/>
        <v/>
      </c>
      <c r="Q1879" s="105" t="str">
        <f t="shared" si="810"/>
        <v/>
      </c>
      <c r="R1879" s="103" t="str">
        <f t="shared" si="823"/>
        <v/>
      </c>
      <c r="S1879" s="103" t="str">
        <f t="shared" si="824"/>
        <v/>
      </c>
      <c r="T1879" s="106" t="str">
        <f t="shared" si="811"/>
        <v/>
      </c>
      <c r="U1879" s="106" t="str">
        <f t="shared" si="812"/>
        <v/>
      </c>
      <c r="V1879" s="106" t="str">
        <f t="shared" si="813"/>
        <v/>
      </c>
      <c r="W1879" s="105" t="str">
        <f t="shared" si="825"/>
        <v/>
      </c>
      <c r="X1879" s="104" t="str">
        <f t="shared" si="830"/>
        <v/>
      </c>
      <c r="Y1879" s="104" t="str">
        <f t="array" ref="Y1879">IFERROR(IF(ISNUMBER(O1879),IF(COUNT(IF(A1879=$A$2:$A$2427,IF(D1879=$D$2:$D$2427,IF($X$2:$X$2427&gt;0,1))))&gt;0,SUM(IF(A1879=$A$2:$A$2427,IF(D1879=$D$2:$D$2427,$X$2:$X$2427)))/COUNT(IF(A1879=$A$2:$A$2427,IF(D1879=$D$2:$D$2427,IF(ISNUMBER($X$2:$X$2427),1)))),0),""),0)</f>
        <v/>
      </c>
      <c r="Z1879" s="104" t="str">
        <f>IF(ISNUMBER(O1879),IF(I1879&gt;0,(10^(VLOOKUP(D1879,'Species Codes'!B:C,2,0)+VLOOKUP(D1879,'Species Codes'!B:D,3,0)*LOG(E1879)+VLOOKUP(D1879,'Species Codes'!B:E,4,0)*LOG(I1879))),0),"")</f>
        <v/>
      </c>
      <c r="AA1879" s="104" t="str">
        <f>IFERROR((VLOOKUP(D1879,'Species Codes'!B:G,6,0)*Z1879)/2000,"")</f>
        <v/>
      </c>
      <c r="AB1879" s="104" t="e">
        <f>IF(Z1879&gt;0,((IF(OR(D1879="DF",D1879="RA")=TRUE,EXP(VLOOKUP(D1879,'Species Codes'!B:I,8,0)+VLOOKUP(D1879,'Species Codes'!B:J,9,0)*(LN((E1879*2.54)))),IF(OR(D1879="PY",D1879="RC",D1879="WH",D1879="NF")=TRUE,VLOOKUP(D1879,'Species Codes'!B:I,8,0)+VLOOKUP(D1879,'Species Codes'!B:J,9,0)*((E1879*2.54)^2)*(I1879*0.3048),IF(OR(D1879="MD",D1879="BM",D1879="GA")=TRUE,((VLOOKUP(D1879,'Species Codes'!B:I,8,0)*(((((E1879*2.54)+VLOOKUP(D1879,'Species Codes'!B:J,9,0))/VLOOKUP(D1879,'Species Codes'!B:K,10,0))^VLOOKUP(D1879,'Species Codes'!B:L,11,0))*((I1879*0.3048)^VLOOKUP(D1879,'Species Codes'!B:M,12,0))))-(VLOOKUP(D1879,'Species Codes'!B:I,8,0)*((((E1879*2.54)^VLOOKUP(D1879,'Species Codes'!B:L,11,0))*((I1879*0.3048)^VLOOKUP(D1879,'Species Codes'!B:M,12,0))))))*35.3*VLOOKUP(D1879,'Species Codes'!B:G,6,0)/2.2046,VLOOKUP(D1879,'Species Codes'!B:I,8,0)+VLOOKUP(D1879,'Species Codes'!B:J,9,0)*(((E1879*2.54)/100)^2)*(I1879*0.3048)))))*0.0011023),0)</f>
        <v>#N/A</v>
      </c>
      <c r="AC1879" s="104" t="e">
        <f>IF(Z1879&gt;0,((IF(OR(D1879="RA",D1879="OA",D1879="OT",D1879="UN",D1879="PC"),EXP(VLOOKUP(D1879,'Species Codes'!B:O,14,0)+VLOOKUP(D1879,'Species Codes'!B:P,15,0)*LN((E1879*2.54)))-EXP(VLOOKUP(D1879,'Species Codes'!B:O,14,0)+VLOOKUP(D1879,'Species Codes'!B:P,15,0)*LN((E1879*2.54)))*(1/(VLOOKUP(D1879,'Species Codes'!B:Q,16,0)+VLOOKUP(D1879,'Species Codes'!B:R,17,0)*((E1879*2.54)^VLOOKUP(D1879,'Species Codes'!B:S,18,0)))),IF(OR(D1879="BM",D1879="MD",D1879="OA"),EXP(VLOOKUP(D1879,'Species Codes'!B:O,14,0)+VLOOKUP(D1879,'Species Codes'!B:P,15,0)*LN((E1879*2.54)))*(1-(1/(VLOOKUP(D1879,'Species Codes'!B:Q,16,0)+VLOOKUP(D1879,'Species Codes'!B:R,17,0)*((E1879*2.54)^VLOOKUP(D1879,'Species Codes'!B:S,18,0)))))/1000,IF(D1879="DF",EXP(VLOOKUP(D1879,'Species Codes'!B:O,14,0)+VLOOKUP(D1879,'Species Codes'!B:P,15,0)*LN((E1879*2.54))),VLOOKUP(D1879,'Species Codes'!B:O,14,0)+VLOOKUP(D1879,'Species Codes'!B:P,15,0)*(((E1879*2.54)/100)^2)*(I1879*0.3048)))))*0.0011023),0)</f>
        <v>#N/A</v>
      </c>
      <c r="AD1879" s="104" t="e">
        <f t="shared" si="814"/>
        <v>#N/A</v>
      </c>
      <c r="AE1879" s="104" t="e">
        <f t="shared" si="815"/>
        <v>#N/A</v>
      </c>
      <c r="AF1879" s="104" t="e">
        <f>IF(AND(VLOOKUP($D1879,Merchantability!$B:$C,2,0)="Yes",$E1879&gt;=VLOOKUP($D1879,Merchantability!$B:$D,3,0),$E1879&lt;=VLOOKUP($D1879,Merchantability!$B:$E,4,0)),AA1879,0)</f>
        <v>#N/A</v>
      </c>
      <c r="AG1879" s="104" t="e">
        <f>IF(AND(VLOOKUP($D1879,Merchantability!$B:$C,2,0)="Yes",$E1879&gt;=VLOOKUP($D1879,Merchantability!$B:$D,3,0),$E1879&lt;=VLOOKUP($D1879,Merchantability!$B:$E,4,0)),AB1879,0)</f>
        <v>#N/A</v>
      </c>
      <c r="AH1879" s="104" t="e">
        <f>IF(AND(VLOOKUP($D1879,Merchantability!$B:$C,2,0)="Yes",$E1879&gt;=VLOOKUP($D1879,Merchantability!$B:$D,3,0),$E1879&lt;=VLOOKUP($D1879,Merchantability!$B:$E,4,0)),AC1879,0)</f>
        <v>#N/A</v>
      </c>
      <c r="AI1879" s="104" t="e">
        <f t="shared" si="816"/>
        <v>#N/A</v>
      </c>
      <c r="AJ1879" s="104" t="e">
        <f t="shared" si="817"/>
        <v>#VALUE!</v>
      </c>
      <c r="AK1879" s="104" t="e">
        <f t="shared" si="818"/>
        <v>#N/A</v>
      </c>
      <c r="AL1879" s="104" t="e">
        <f t="shared" si="819"/>
        <v>#N/A</v>
      </c>
      <c r="AM1879" s="104" t="e">
        <f t="shared" si="820"/>
        <v>#N/A</v>
      </c>
      <c r="AN1879" s="104" t="e">
        <f t="shared" si="831"/>
        <v>#N/A</v>
      </c>
      <c r="AO1879" s="104" t="e">
        <f t="shared" si="832"/>
        <v>#N/A</v>
      </c>
      <c r="AP1879" s="104" t="e">
        <f t="shared" si="833"/>
        <v>#N/A</v>
      </c>
      <c r="AQ1879" s="104" t="e">
        <f t="shared" si="834"/>
        <v>#N/A</v>
      </c>
      <c r="AR1879" s="105" t="str">
        <f t="shared" si="826"/>
        <v/>
      </c>
      <c r="AS1879" s="105" t="str">
        <f t="shared" si="827"/>
        <v/>
      </c>
      <c r="AT1879" s="108" t="str">
        <f t="shared" si="828"/>
        <v/>
      </c>
      <c r="AU1879" s="108" t="str">
        <f t="shared" si="829"/>
        <v/>
      </c>
      <c r="AV1879" s="107" t="str">
        <f>IF(ISNUMBER(O1879),IF(VLOOKUP($A1879,Stand!C:J,8,FALSE)="Short",AT1879,AU1879),"")</f>
        <v/>
      </c>
      <c r="AW1879" s="109" t="str">
        <f t="shared" si="835"/>
        <v/>
      </c>
      <c r="AX1879" s="109" t="str">
        <f t="shared" si="836"/>
        <v/>
      </c>
      <c r="AY1879" s="112" t="str">
        <f>IF(ISNUMBER(O1879),IF(AND(VLOOKUP($D1879,Merchantability!$B:$C,2,0)="Yes",$E1879&gt;=VLOOKUP($D1879,Merchantability!$B:$D,3,0),$E1879&lt;=VLOOKUP($D1879,Merchantability!$B:$E,4,0)),(AV1879*O1879)*(1-$H1879/100),""),"")</f>
        <v/>
      </c>
      <c r="AZ1879" s="116"/>
      <c r="BA1879" s="116"/>
      <c r="BB1879" s="116"/>
      <c r="BE1879" s="62"/>
      <c r="BF1879" s="63"/>
    </row>
    <row r="1880" spans="1:58" ht="12.75" customHeight="1" x14ac:dyDescent="0.25">
      <c r="A1880" s="334"/>
      <c r="B1880" s="334"/>
      <c r="C1880" s="332"/>
      <c r="D1880" s="334"/>
      <c r="E1880" s="335"/>
      <c r="F1880" s="334"/>
      <c r="G1880" s="332"/>
      <c r="H1880" s="332"/>
      <c r="I1880" s="334"/>
      <c r="J1880" s="336"/>
      <c r="K1880" s="332"/>
      <c r="L1880" s="332"/>
      <c r="M1880" s="76"/>
      <c r="N1880" s="103" t="str">
        <f>IF(A1880="","",VLOOKUP(A1880,Stand!C:K,9,0))</f>
        <v/>
      </c>
      <c r="O1880" s="104" t="str">
        <f t="shared" si="821"/>
        <v/>
      </c>
      <c r="P1880" s="105" t="str">
        <f t="shared" si="822"/>
        <v/>
      </c>
      <c r="Q1880" s="105" t="str">
        <f t="shared" si="810"/>
        <v/>
      </c>
      <c r="R1880" s="103" t="str">
        <f t="shared" si="823"/>
        <v/>
      </c>
      <c r="S1880" s="103" t="str">
        <f t="shared" si="824"/>
        <v/>
      </c>
      <c r="T1880" s="106" t="str">
        <f t="shared" si="811"/>
        <v/>
      </c>
      <c r="U1880" s="106" t="str">
        <f t="shared" si="812"/>
        <v/>
      </c>
      <c r="V1880" s="106" t="str">
        <f t="shared" si="813"/>
        <v/>
      </c>
      <c r="W1880" s="105" t="str">
        <f t="shared" si="825"/>
        <v/>
      </c>
      <c r="X1880" s="104" t="str">
        <f t="shared" si="830"/>
        <v/>
      </c>
      <c r="Y1880" s="104" t="str">
        <f t="array" ref="Y1880">IFERROR(IF(ISNUMBER(O1880),IF(COUNT(IF(A1880=$A$2:$A$2427,IF(D1880=$D$2:$D$2427,IF($X$2:$X$2427&gt;0,1))))&gt;0,SUM(IF(A1880=$A$2:$A$2427,IF(D1880=$D$2:$D$2427,$X$2:$X$2427)))/COUNT(IF(A1880=$A$2:$A$2427,IF(D1880=$D$2:$D$2427,IF(ISNUMBER($X$2:$X$2427),1)))),0),""),0)</f>
        <v/>
      </c>
      <c r="Z1880" s="104" t="str">
        <f>IF(ISNUMBER(O1880),IF(I1880&gt;0,(10^(VLOOKUP(D1880,'Species Codes'!B:C,2,0)+VLOOKUP(D1880,'Species Codes'!B:D,3,0)*LOG(E1880)+VLOOKUP(D1880,'Species Codes'!B:E,4,0)*LOG(I1880))),0),"")</f>
        <v/>
      </c>
      <c r="AA1880" s="104" t="str">
        <f>IFERROR((VLOOKUP(D1880,'Species Codes'!B:G,6,0)*Z1880)/2000,"")</f>
        <v/>
      </c>
      <c r="AB1880" s="104" t="e">
        <f>IF(Z1880&gt;0,((IF(OR(D1880="DF",D1880="RA")=TRUE,EXP(VLOOKUP(D1880,'Species Codes'!B:I,8,0)+VLOOKUP(D1880,'Species Codes'!B:J,9,0)*(LN((E1880*2.54)))),IF(OR(D1880="PY",D1880="RC",D1880="WH",D1880="NF")=TRUE,VLOOKUP(D1880,'Species Codes'!B:I,8,0)+VLOOKUP(D1880,'Species Codes'!B:J,9,0)*((E1880*2.54)^2)*(I1880*0.3048),IF(OR(D1880="MD",D1880="BM",D1880="GA")=TRUE,((VLOOKUP(D1880,'Species Codes'!B:I,8,0)*(((((E1880*2.54)+VLOOKUP(D1880,'Species Codes'!B:J,9,0))/VLOOKUP(D1880,'Species Codes'!B:K,10,0))^VLOOKUP(D1880,'Species Codes'!B:L,11,0))*((I1880*0.3048)^VLOOKUP(D1880,'Species Codes'!B:M,12,0))))-(VLOOKUP(D1880,'Species Codes'!B:I,8,0)*((((E1880*2.54)^VLOOKUP(D1880,'Species Codes'!B:L,11,0))*((I1880*0.3048)^VLOOKUP(D1880,'Species Codes'!B:M,12,0))))))*35.3*VLOOKUP(D1880,'Species Codes'!B:G,6,0)/2.2046,VLOOKUP(D1880,'Species Codes'!B:I,8,0)+VLOOKUP(D1880,'Species Codes'!B:J,9,0)*(((E1880*2.54)/100)^2)*(I1880*0.3048)))))*0.0011023),0)</f>
        <v>#N/A</v>
      </c>
      <c r="AC1880" s="104" t="e">
        <f>IF(Z1880&gt;0,((IF(OR(D1880="RA",D1880="OA",D1880="OT",D1880="UN",D1880="PC"),EXP(VLOOKUP(D1880,'Species Codes'!B:O,14,0)+VLOOKUP(D1880,'Species Codes'!B:P,15,0)*LN((E1880*2.54)))-EXP(VLOOKUP(D1880,'Species Codes'!B:O,14,0)+VLOOKUP(D1880,'Species Codes'!B:P,15,0)*LN((E1880*2.54)))*(1/(VLOOKUP(D1880,'Species Codes'!B:Q,16,0)+VLOOKUP(D1880,'Species Codes'!B:R,17,0)*((E1880*2.54)^VLOOKUP(D1880,'Species Codes'!B:S,18,0)))),IF(OR(D1880="BM",D1880="MD",D1880="OA"),EXP(VLOOKUP(D1880,'Species Codes'!B:O,14,0)+VLOOKUP(D1880,'Species Codes'!B:P,15,0)*LN((E1880*2.54)))*(1-(1/(VLOOKUP(D1880,'Species Codes'!B:Q,16,0)+VLOOKUP(D1880,'Species Codes'!B:R,17,0)*((E1880*2.54)^VLOOKUP(D1880,'Species Codes'!B:S,18,0)))))/1000,IF(D1880="DF",EXP(VLOOKUP(D1880,'Species Codes'!B:O,14,0)+VLOOKUP(D1880,'Species Codes'!B:P,15,0)*LN((E1880*2.54))),VLOOKUP(D1880,'Species Codes'!B:O,14,0)+VLOOKUP(D1880,'Species Codes'!B:P,15,0)*(((E1880*2.54)/100)^2)*(I1880*0.3048)))))*0.0011023),0)</f>
        <v>#N/A</v>
      </c>
      <c r="AD1880" s="104" t="e">
        <f t="shared" si="814"/>
        <v>#N/A</v>
      </c>
      <c r="AE1880" s="104" t="e">
        <f t="shared" si="815"/>
        <v>#N/A</v>
      </c>
      <c r="AF1880" s="104" t="e">
        <f>IF(AND(VLOOKUP($D1880,Merchantability!$B:$C,2,0)="Yes",$E1880&gt;=VLOOKUP($D1880,Merchantability!$B:$D,3,0),$E1880&lt;=VLOOKUP($D1880,Merchantability!$B:$E,4,0)),AA1880,0)</f>
        <v>#N/A</v>
      </c>
      <c r="AG1880" s="104" t="e">
        <f>IF(AND(VLOOKUP($D1880,Merchantability!$B:$C,2,0)="Yes",$E1880&gt;=VLOOKUP($D1880,Merchantability!$B:$D,3,0),$E1880&lt;=VLOOKUP($D1880,Merchantability!$B:$E,4,0)),AB1880,0)</f>
        <v>#N/A</v>
      </c>
      <c r="AH1880" s="104" t="e">
        <f>IF(AND(VLOOKUP($D1880,Merchantability!$B:$C,2,0)="Yes",$E1880&gt;=VLOOKUP($D1880,Merchantability!$B:$D,3,0),$E1880&lt;=VLOOKUP($D1880,Merchantability!$B:$E,4,0)),AC1880,0)</f>
        <v>#N/A</v>
      </c>
      <c r="AI1880" s="104" t="e">
        <f t="shared" si="816"/>
        <v>#N/A</v>
      </c>
      <c r="AJ1880" s="104" t="e">
        <f t="shared" si="817"/>
        <v>#VALUE!</v>
      </c>
      <c r="AK1880" s="104" t="e">
        <f t="shared" si="818"/>
        <v>#N/A</v>
      </c>
      <c r="AL1880" s="104" t="e">
        <f t="shared" si="819"/>
        <v>#N/A</v>
      </c>
      <c r="AM1880" s="104" t="e">
        <f t="shared" si="820"/>
        <v>#N/A</v>
      </c>
      <c r="AN1880" s="104" t="e">
        <f t="shared" si="831"/>
        <v>#N/A</v>
      </c>
      <c r="AO1880" s="104" t="e">
        <f t="shared" si="832"/>
        <v>#N/A</v>
      </c>
      <c r="AP1880" s="104" t="e">
        <f t="shared" si="833"/>
        <v>#N/A</v>
      </c>
      <c r="AQ1880" s="104" t="e">
        <f t="shared" si="834"/>
        <v>#N/A</v>
      </c>
      <c r="AR1880" s="105" t="str">
        <f t="shared" si="826"/>
        <v/>
      </c>
      <c r="AS1880" s="105" t="str">
        <f t="shared" si="827"/>
        <v/>
      </c>
      <c r="AT1880" s="108" t="str">
        <f t="shared" si="828"/>
        <v/>
      </c>
      <c r="AU1880" s="108" t="str">
        <f t="shared" si="829"/>
        <v/>
      </c>
      <c r="AV1880" s="107" t="str">
        <f>IF(ISNUMBER(O1880),IF(VLOOKUP($A1880,Stand!C:J,8,FALSE)="Short",AT1880,AU1880),"")</f>
        <v/>
      </c>
      <c r="AW1880" s="109" t="str">
        <f t="shared" si="835"/>
        <v/>
      </c>
      <c r="AX1880" s="109" t="str">
        <f t="shared" si="836"/>
        <v/>
      </c>
      <c r="AY1880" s="112" t="str">
        <f>IF(ISNUMBER(O1880),IF(AND(VLOOKUP($D1880,Merchantability!$B:$C,2,0)="Yes",$E1880&gt;=VLOOKUP($D1880,Merchantability!$B:$D,3,0),$E1880&lt;=VLOOKUP($D1880,Merchantability!$B:$E,4,0)),(AV1880*O1880)*(1-$H1880/100),""),"")</f>
        <v/>
      </c>
      <c r="AZ1880" s="116"/>
      <c r="BA1880" s="116"/>
      <c r="BB1880" s="116"/>
      <c r="BE1880" s="62"/>
      <c r="BF1880" s="63"/>
    </row>
    <row r="1881" spans="1:58" ht="12.75" customHeight="1" x14ac:dyDescent="0.25">
      <c r="A1881" s="334"/>
      <c r="B1881" s="334"/>
      <c r="C1881" s="332"/>
      <c r="D1881" s="334"/>
      <c r="E1881" s="335"/>
      <c r="F1881" s="334"/>
      <c r="G1881" s="332"/>
      <c r="H1881" s="332"/>
      <c r="I1881" s="334"/>
      <c r="J1881" s="336"/>
      <c r="K1881" s="332"/>
      <c r="L1881" s="332"/>
      <c r="M1881" s="76"/>
      <c r="N1881" s="103" t="str">
        <f>IF(A1881="","",VLOOKUP(A1881,Stand!C:K,9,0))</f>
        <v/>
      </c>
      <c r="O1881" s="104" t="str">
        <f t="shared" si="821"/>
        <v/>
      </c>
      <c r="P1881" s="105" t="str">
        <f t="shared" si="822"/>
        <v/>
      </c>
      <c r="Q1881" s="105" t="str">
        <f t="shared" si="810"/>
        <v/>
      </c>
      <c r="R1881" s="103" t="str">
        <f t="shared" si="823"/>
        <v/>
      </c>
      <c r="S1881" s="103" t="str">
        <f t="shared" si="824"/>
        <v/>
      </c>
      <c r="T1881" s="106" t="str">
        <f t="shared" si="811"/>
        <v/>
      </c>
      <c r="U1881" s="106" t="str">
        <f t="shared" si="812"/>
        <v/>
      </c>
      <c r="V1881" s="106" t="str">
        <f t="shared" si="813"/>
        <v/>
      </c>
      <c r="W1881" s="105" t="str">
        <f t="shared" si="825"/>
        <v/>
      </c>
      <c r="X1881" s="104" t="str">
        <f t="shared" si="830"/>
        <v/>
      </c>
      <c r="Y1881" s="104" t="str">
        <f t="array" ref="Y1881">IFERROR(IF(ISNUMBER(O1881),IF(COUNT(IF(A1881=$A$2:$A$2427,IF(D1881=$D$2:$D$2427,IF($X$2:$X$2427&gt;0,1))))&gt;0,SUM(IF(A1881=$A$2:$A$2427,IF(D1881=$D$2:$D$2427,$X$2:$X$2427)))/COUNT(IF(A1881=$A$2:$A$2427,IF(D1881=$D$2:$D$2427,IF(ISNUMBER($X$2:$X$2427),1)))),0),""),0)</f>
        <v/>
      </c>
      <c r="Z1881" s="104" t="str">
        <f>IF(ISNUMBER(O1881),IF(I1881&gt;0,(10^(VLOOKUP(D1881,'Species Codes'!B:C,2,0)+VLOOKUP(D1881,'Species Codes'!B:D,3,0)*LOG(E1881)+VLOOKUP(D1881,'Species Codes'!B:E,4,0)*LOG(I1881))),0),"")</f>
        <v/>
      </c>
      <c r="AA1881" s="104" t="str">
        <f>IFERROR((VLOOKUP(D1881,'Species Codes'!B:G,6,0)*Z1881)/2000,"")</f>
        <v/>
      </c>
      <c r="AB1881" s="104" t="e">
        <f>IF(Z1881&gt;0,((IF(OR(D1881="DF",D1881="RA")=TRUE,EXP(VLOOKUP(D1881,'Species Codes'!B:I,8,0)+VLOOKUP(D1881,'Species Codes'!B:J,9,0)*(LN((E1881*2.54)))),IF(OR(D1881="PY",D1881="RC",D1881="WH",D1881="NF")=TRUE,VLOOKUP(D1881,'Species Codes'!B:I,8,0)+VLOOKUP(D1881,'Species Codes'!B:J,9,0)*((E1881*2.54)^2)*(I1881*0.3048),IF(OR(D1881="MD",D1881="BM",D1881="GA")=TRUE,((VLOOKUP(D1881,'Species Codes'!B:I,8,0)*(((((E1881*2.54)+VLOOKUP(D1881,'Species Codes'!B:J,9,0))/VLOOKUP(D1881,'Species Codes'!B:K,10,0))^VLOOKUP(D1881,'Species Codes'!B:L,11,0))*((I1881*0.3048)^VLOOKUP(D1881,'Species Codes'!B:M,12,0))))-(VLOOKUP(D1881,'Species Codes'!B:I,8,0)*((((E1881*2.54)^VLOOKUP(D1881,'Species Codes'!B:L,11,0))*((I1881*0.3048)^VLOOKUP(D1881,'Species Codes'!B:M,12,0))))))*35.3*VLOOKUP(D1881,'Species Codes'!B:G,6,0)/2.2046,VLOOKUP(D1881,'Species Codes'!B:I,8,0)+VLOOKUP(D1881,'Species Codes'!B:J,9,0)*(((E1881*2.54)/100)^2)*(I1881*0.3048)))))*0.0011023),0)</f>
        <v>#N/A</v>
      </c>
      <c r="AC1881" s="104" t="e">
        <f>IF(Z1881&gt;0,((IF(OR(D1881="RA",D1881="OA",D1881="OT",D1881="UN",D1881="PC"),EXP(VLOOKUP(D1881,'Species Codes'!B:O,14,0)+VLOOKUP(D1881,'Species Codes'!B:P,15,0)*LN((E1881*2.54)))-EXP(VLOOKUP(D1881,'Species Codes'!B:O,14,0)+VLOOKUP(D1881,'Species Codes'!B:P,15,0)*LN((E1881*2.54)))*(1/(VLOOKUP(D1881,'Species Codes'!B:Q,16,0)+VLOOKUP(D1881,'Species Codes'!B:R,17,0)*((E1881*2.54)^VLOOKUP(D1881,'Species Codes'!B:S,18,0)))),IF(OR(D1881="BM",D1881="MD",D1881="OA"),EXP(VLOOKUP(D1881,'Species Codes'!B:O,14,0)+VLOOKUP(D1881,'Species Codes'!B:P,15,0)*LN((E1881*2.54)))*(1-(1/(VLOOKUP(D1881,'Species Codes'!B:Q,16,0)+VLOOKUP(D1881,'Species Codes'!B:R,17,0)*((E1881*2.54)^VLOOKUP(D1881,'Species Codes'!B:S,18,0)))))/1000,IF(D1881="DF",EXP(VLOOKUP(D1881,'Species Codes'!B:O,14,0)+VLOOKUP(D1881,'Species Codes'!B:P,15,0)*LN((E1881*2.54))),VLOOKUP(D1881,'Species Codes'!B:O,14,0)+VLOOKUP(D1881,'Species Codes'!B:P,15,0)*(((E1881*2.54)/100)^2)*(I1881*0.3048)))))*0.0011023),0)</f>
        <v>#N/A</v>
      </c>
      <c r="AD1881" s="104" t="e">
        <f t="shared" si="814"/>
        <v>#N/A</v>
      </c>
      <c r="AE1881" s="104" t="e">
        <f t="shared" si="815"/>
        <v>#N/A</v>
      </c>
      <c r="AF1881" s="104" t="e">
        <f>IF(AND(VLOOKUP($D1881,Merchantability!$B:$C,2,0)="Yes",$E1881&gt;=VLOOKUP($D1881,Merchantability!$B:$D,3,0),$E1881&lt;=VLOOKUP($D1881,Merchantability!$B:$E,4,0)),AA1881,0)</f>
        <v>#N/A</v>
      </c>
      <c r="AG1881" s="104" t="e">
        <f>IF(AND(VLOOKUP($D1881,Merchantability!$B:$C,2,0)="Yes",$E1881&gt;=VLOOKUP($D1881,Merchantability!$B:$D,3,0),$E1881&lt;=VLOOKUP($D1881,Merchantability!$B:$E,4,0)),AB1881,0)</f>
        <v>#N/A</v>
      </c>
      <c r="AH1881" s="104" t="e">
        <f>IF(AND(VLOOKUP($D1881,Merchantability!$B:$C,2,0)="Yes",$E1881&gt;=VLOOKUP($D1881,Merchantability!$B:$D,3,0),$E1881&lt;=VLOOKUP($D1881,Merchantability!$B:$E,4,0)),AC1881,0)</f>
        <v>#N/A</v>
      </c>
      <c r="AI1881" s="104" t="e">
        <f t="shared" si="816"/>
        <v>#N/A</v>
      </c>
      <c r="AJ1881" s="104" t="e">
        <f t="shared" si="817"/>
        <v>#VALUE!</v>
      </c>
      <c r="AK1881" s="104" t="e">
        <f t="shared" si="818"/>
        <v>#N/A</v>
      </c>
      <c r="AL1881" s="104" t="e">
        <f t="shared" si="819"/>
        <v>#N/A</v>
      </c>
      <c r="AM1881" s="104" t="e">
        <f t="shared" si="820"/>
        <v>#N/A</v>
      </c>
      <c r="AN1881" s="104" t="e">
        <f t="shared" si="831"/>
        <v>#N/A</v>
      </c>
      <c r="AO1881" s="104" t="e">
        <f t="shared" si="832"/>
        <v>#N/A</v>
      </c>
      <c r="AP1881" s="104" t="e">
        <f t="shared" si="833"/>
        <v>#N/A</v>
      </c>
      <c r="AQ1881" s="104" t="e">
        <f t="shared" si="834"/>
        <v>#N/A</v>
      </c>
      <c r="AR1881" s="105" t="str">
        <f t="shared" si="826"/>
        <v/>
      </c>
      <c r="AS1881" s="105" t="str">
        <f t="shared" si="827"/>
        <v/>
      </c>
      <c r="AT1881" s="108" t="str">
        <f t="shared" si="828"/>
        <v/>
      </c>
      <c r="AU1881" s="108" t="str">
        <f t="shared" si="829"/>
        <v/>
      </c>
      <c r="AV1881" s="107" t="str">
        <f>IF(ISNUMBER(O1881),IF(VLOOKUP($A1881,Stand!C:J,8,FALSE)="Short",AT1881,AU1881),"")</f>
        <v/>
      </c>
      <c r="AW1881" s="109" t="str">
        <f t="shared" si="835"/>
        <v/>
      </c>
      <c r="AX1881" s="109" t="str">
        <f t="shared" si="836"/>
        <v/>
      </c>
      <c r="AY1881" s="112" t="str">
        <f>IF(ISNUMBER(O1881),IF(AND(VLOOKUP($D1881,Merchantability!$B:$C,2,0)="Yes",$E1881&gt;=VLOOKUP($D1881,Merchantability!$B:$D,3,0),$E1881&lt;=VLOOKUP($D1881,Merchantability!$B:$E,4,0)),(AV1881*O1881)*(1-$H1881/100),""),"")</f>
        <v/>
      </c>
      <c r="AZ1881" s="116"/>
      <c r="BA1881" s="116"/>
      <c r="BB1881" s="116"/>
      <c r="BE1881" s="62"/>
      <c r="BF1881" s="63"/>
    </row>
    <row r="1882" spans="1:58" ht="12.75" customHeight="1" x14ac:dyDescent="0.25">
      <c r="A1882" s="334"/>
      <c r="B1882" s="334"/>
      <c r="C1882" s="332"/>
      <c r="D1882" s="334"/>
      <c r="E1882" s="335"/>
      <c r="F1882" s="334"/>
      <c r="G1882" s="332"/>
      <c r="H1882" s="332"/>
      <c r="I1882" s="334"/>
      <c r="J1882" s="336"/>
      <c r="K1882" s="332"/>
      <c r="L1882" s="332"/>
      <c r="M1882" s="76"/>
      <c r="N1882" s="103" t="str">
        <f>IF(A1882="","",VLOOKUP(A1882,Stand!C:K,9,0))</f>
        <v/>
      </c>
      <c r="O1882" s="104" t="str">
        <f t="shared" si="821"/>
        <v/>
      </c>
      <c r="P1882" s="105" t="str">
        <f t="shared" si="822"/>
        <v/>
      </c>
      <c r="Q1882" s="105" t="str">
        <f t="shared" si="810"/>
        <v/>
      </c>
      <c r="R1882" s="103" t="str">
        <f t="shared" si="823"/>
        <v/>
      </c>
      <c r="S1882" s="103" t="str">
        <f t="shared" si="824"/>
        <v/>
      </c>
      <c r="T1882" s="106" t="str">
        <f t="shared" si="811"/>
        <v/>
      </c>
      <c r="U1882" s="106" t="str">
        <f t="shared" si="812"/>
        <v/>
      </c>
      <c r="V1882" s="106" t="str">
        <f t="shared" si="813"/>
        <v/>
      </c>
      <c r="W1882" s="105" t="str">
        <f t="shared" si="825"/>
        <v/>
      </c>
      <c r="X1882" s="104" t="str">
        <f t="shared" si="830"/>
        <v/>
      </c>
      <c r="Y1882" s="104" t="str">
        <f t="array" ref="Y1882">IFERROR(IF(ISNUMBER(O1882),IF(COUNT(IF(A1882=$A$2:$A$2427,IF(D1882=$D$2:$D$2427,IF($X$2:$X$2427&gt;0,1))))&gt;0,SUM(IF(A1882=$A$2:$A$2427,IF(D1882=$D$2:$D$2427,$X$2:$X$2427)))/COUNT(IF(A1882=$A$2:$A$2427,IF(D1882=$D$2:$D$2427,IF(ISNUMBER($X$2:$X$2427),1)))),0),""),0)</f>
        <v/>
      </c>
      <c r="Z1882" s="104" t="str">
        <f>IF(ISNUMBER(O1882),IF(I1882&gt;0,(10^(VLOOKUP(D1882,'Species Codes'!B:C,2,0)+VLOOKUP(D1882,'Species Codes'!B:D,3,0)*LOG(E1882)+VLOOKUP(D1882,'Species Codes'!B:E,4,0)*LOG(I1882))),0),"")</f>
        <v/>
      </c>
      <c r="AA1882" s="104" t="str">
        <f>IFERROR((VLOOKUP(D1882,'Species Codes'!B:G,6,0)*Z1882)/2000,"")</f>
        <v/>
      </c>
      <c r="AB1882" s="104" t="e">
        <f>IF(Z1882&gt;0,((IF(OR(D1882="DF",D1882="RA")=TRUE,EXP(VLOOKUP(D1882,'Species Codes'!B:I,8,0)+VLOOKUP(D1882,'Species Codes'!B:J,9,0)*(LN((E1882*2.54)))),IF(OR(D1882="PY",D1882="RC",D1882="WH",D1882="NF")=TRUE,VLOOKUP(D1882,'Species Codes'!B:I,8,0)+VLOOKUP(D1882,'Species Codes'!B:J,9,0)*((E1882*2.54)^2)*(I1882*0.3048),IF(OR(D1882="MD",D1882="BM",D1882="GA")=TRUE,((VLOOKUP(D1882,'Species Codes'!B:I,8,0)*(((((E1882*2.54)+VLOOKUP(D1882,'Species Codes'!B:J,9,0))/VLOOKUP(D1882,'Species Codes'!B:K,10,0))^VLOOKUP(D1882,'Species Codes'!B:L,11,0))*((I1882*0.3048)^VLOOKUP(D1882,'Species Codes'!B:M,12,0))))-(VLOOKUP(D1882,'Species Codes'!B:I,8,0)*((((E1882*2.54)^VLOOKUP(D1882,'Species Codes'!B:L,11,0))*((I1882*0.3048)^VLOOKUP(D1882,'Species Codes'!B:M,12,0))))))*35.3*VLOOKUP(D1882,'Species Codes'!B:G,6,0)/2.2046,VLOOKUP(D1882,'Species Codes'!B:I,8,0)+VLOOKUP(D1882,'Species Codes'!B:J,9,0)*(((E1882*2.54)/100)^2)*(I1882*0.3048)))))*0.0011023),0)</f>
        <v>#N/A</v>
      </c>
      <c r="AC1882" s="104" t="e">
        <f>IF(Z1882&gt;0,((IF(OR(D1882="RA",D1882="OA",D1882="OT",D1882="UN",D1882="PC"),EXP(VLOOKUP(D1882,'Species Codes'!B:O,14,0)+VLOOKUP(D1882,'Species Codes'!B:P,15,0)*LN((E1882*2.54)))-EXP(VLOOKUP(D1882,'Species Codes'!B:O,14,0)+VLOOKUP(D1882,'Species Codes'!B:P,15,0)*LN((E1882*2.54)))*(1/(VLOOKUP(D1882,'Species Codes'!B:Q,16,0)+VLOOKUP(D1882,'Species Codes'!B:R,17,0)*((E1882*2.54)^VLOOKUP(D1882,'Species Codes'!B:S,18,0)))),IF(OR(D1882="BM",D1882="MD",D1882="OA"),EXP(VLOOKUP(D1882,'Species Codes'!B:O,14,0)+VLOOKUP(D1882,'Species Codes'!B:P,15,0)*LN((E1882*2.54)))*(1-(1/(VLOOKUP(D1882,'Species Codes'!B:Q,16,0)+VLOOKUP(D1882,'Species Codes'!B:R,17,0)*((E1882*2.54)^VLOOKUP(D1882,'Species Codes'!B:S,18,0)))))/1000,IF(D1882="DF",EXP(VLOOKUP(D1882,'Species Codes'!B:O,14,0)+VLOOKUP(D1882,'Species Codes'!B:P,15,0)*LN((E1882*2.54))),VLOOKUP(D1882,'Species Codes'!B:O,14,0)+VLOOKUP(D1882,'Species Codes'!B:P,15,0)*(((E1882*2.54)/100)^2)*(I1882*0.3048)))))*0.0011023),0)</f>
        <v>#N/A</v>
      </c>
      <c r="AD1882" s="104" t="e">
        <f t="shared" si="814"/>
        <v>#N/A</v>
      </c>
      <c r="AE1882" s="104" t="e">
        <f t="shared" si="815"/>
        <v>#N/A</v>
      </c>
      <c r="AF1882" s="104" t="e">
        <f>IF(AND(VLOOKUP($D1882,Merchantability!$B:$C,2,0)="Yes",$E1882&gt;=VLOOKUP($D1882,Merchantability!$B:$D,3,0),$E1882&lt;=VLOOKUP($D1882,Merchantability!$B:$E,4,0)),AA1882,0)</f>
        <v>#N/A</v>
      </c>
      <c r="AG1882" s="104" t="e">
        <f>IF(AND(VLOOKUP($D1882,Merchantability!$B:$C,2,0)="Yes",$E1882&gt;=VLOOKUP($D1882,Merchantability!$B:$D,3,0),$E1882&lt;=VLOOKUP($D1882,Merchantability!$B:$E,4,0)),AB1882,0)</f>
        <v>#N/A</v>
      </c>
      <c r="AH1882" s="104" t="e">
        <f>IF(AND(VLOOKUP($D1882,Merchantability!$B:$C,2,0)="Yes",$E1882&gt;=VLOOKUP($D1882,Merchantability!$B:$D,3,0),$E1882&lt;=VLOOKUP($D1882,Merchantability!$B:$E,4,0)),AC1882,0)</f>
        <v>#N/A</v>
      </c>
      <c r="AI1882" s="104" t="e">
        <f t="shared" si="816"/>
        <v>#N/A</v>
      </c>
      <c r="AJ1882" s="104" t="e">
        <f t="shared" si="817"/>
        <v>#VALUE!</v>
      </c>
      <c r="AK1882" s="104" t="e">
        <f t="shared" si="818"/>
        <v>#N/A</v>
      </c>
      <c r="AL1882" s="104" t="e">
        <f t="shared" si="819"/>
        <v>#N/A</v>
      </c>
      <c r="AM1882" s="104" t="e">
        <f t="shared" si="820"/>
        <v>#N/A</v>
      </c>
      <c r="AN1882" s="104" t="e">
        <f t="shared" si="831"/>
        <v>#N/A</v>
      </c>
      <c r="AO1882" s="104" t="e">
        <f t="shared" si="832"/>
        <v>#N/A</v>
      </c>
      <c r="AP1882" s="104" t="e">
        <f t="shared" si="833"/>
        <v>#N/A</v>
      </c>
      <c r="AQ1882" s="104" t="e">
        <f t="shared" si="834"/>
        <v>#N/A</v>
      </c>
      <c r="AR1882" s="105" t="str">
        <f t="shared" si="826"/>
        <v/>
      </c>
      <c r="AS1882" s="105" t="str">
        <f t="shared" si="827"/>
        <v/>
      </c>
      <c r="AT1882" s="108" t="str">
        <f t="shared" si="828"/>
        <v/>
      </c>
      <c r="AU1882" s="108" t="str">
        <f t="shared" si="829"/>
        <v/>
      </c>
      <c r="AV1882" s="107" t="str">
        <f>IF(ISNUMBER(O1882),IF(VLOOKUP($A1882,Stand!C:J,8,FALSE)="Short",AT1882,AU1882),"")</f>
        <v/>
      </c>
      <c r="AW1882" s="109" t="str">
        <f t="shared" si="835"/>
        <v/>
      </c>
      <c r="AX1882" s="109" t="str">
        <f t="shared" si="836"/>
        <v/>
      </c>
      <c r="AY1882" s="112" t="str">
        <f>IF(ISNUMBER(O1882),IF(AND(VLOOKUP($D1882,Merchantability!$B:$C,2,0)="Yes",$E1882&gt;=VLOOKUP($D1882,Merchantability!$B:$D,3,0),$E1882&lt;=VLOOKUP($D1882,Merchantability!$B:$E,4,0)),(AV1882*O1882)*(1-$H1882/100),""),"")</f>
        <v/>
      </c>
      <c r="AZ1882" s="116"/>
      <c r="BA1882" s="116"/>
      <c r="BB1882" s="116"/>
      <c r="BE1882" s="62"/>
      <c r="BF1882" s="63"/>
    </row>
    <row r="1883" spans="1:58" ht="12.75" customHeight="1" x14ac:dyDescent="0.25">
      <c r="A1883" s="334"/>
      <c r="B1883" s="334"/>
      <c r="C1883" s="332"/>
      <c r="D1883" s="334"/>
      <c r="E1883" s="335"/>
      <c r="F1883" s="334"/>
      <c r="G1883" s="332"/>
      <c r="H1883" s="332"/>
      <c r="I1883" s="334"/>
      <c r="J1883" s="336"/>
      <c r="K1883" s="332"/>
      <c r="L1883" s="332"/>
      <c r="M1883" s="76"/>
      <c r="N1883" s="103" t="str">
        <f>IF(A1883="","",VLOOKUP(A1883,Stand!C:K,9,0))</f>
        <v/>
      </c>
      <c r="O1883" s="104" t="str">
        <f t="shared" si="821"/>
        <v/>
      </c>
      <c r="P1883" s="105" t="str">
        <f t="shared" si="822"/>
        <v/>
      </c>
      <c r="Q1883" s="105" t="str">
        <f t="shared" si="810"/>
        <v/>
      </c>
      <c r="R1883" s="103" t="str">
        <f t="shared" si="823"/>
        <v/>
      </c>
      <c r="S1883" s="103" t="str">
        <f t="shared" si="824"/>
        <v/>
      </c>
      <c r="T1883" s="106" t="str">
        <f t="shared" si="811"/>
        <v/>
      </c>
      <c r="U1883" s="106" t="str">
        <f t="shared" si="812"/>
        <v/>
      </c>
      <c r="V1883" s="106" t="str">
        <f t="shared" si="813"/>
        <v/>
      </c>
      <c r="W1883" s="105" t="str">
        <f t="shared" si="825"/>
        <v/>
      </c>
      <c r="X1883" s="104" t="str">
        <f t="shared" si="830"/>
        <v/>
      </c>
      <c r="Y1883" s="104" t="str">
        <f t="array" ref="Y1883">IFERROR(IF(ISNUMBER(O1883),IF(COUNT(IF(A1883=$A$2:$A$2427,IF(D1883=$D$2:$D$2427,IF($X$2:$X$2427&gt;0,1))))&gt;0,SUM(IF(A1883=$A$2:$A$2427,IF(D1883=$D$2:$D$2427,$X$2:$X$2427)))/COUNT(IF(A1883=$A$2:$A$2427,IF(D1883=$D$2:$D$2427,IF(ISNUMBER($X$2:$X$2427),1)))),0),""),0)</f>
        <v/>
      </c>
      <c r="Z1883" s="104" t="str">
        <f>IF(ISNUMBER(O1883),IF(I1883&gt;0,(10^(VLOOKUP(D1883,'Species Codes'!B:C,2,0)+VLOOKUP(D1883,'Species Codes'!B:D,3,0)*LOG(E1883)+VLOOKUP(D1883,'Species Codes'!B:E,4,0)*LOG(I1883))),0),"")</f>
        <v/>
      </c>
      <c r="AA1883" s="104" t="str">
        <f>IFERROR((VLOOKUP(D1883,'Species Codes'!B:G,6,0)*Z1883)/2000,"")</f>
        <v/>
      </c>
      <c r="AB1883" s="104" t="e">
        <f>IF(Z1883&gt;0,((IF(OR(D1883="DF",D1883="RA")=TRUE,EXP(VLOOKUP(D1883,'Species Codes'!B:I,8,0)+VLOOKUP(D1883,'Species Codes'!B:J,9,0)*(LN((E1883*2.54)))),IF(OR(D1883="PY",D1883="RC",D1883="WH",D1883="NF")=TRUE,VLOOKUP(D1883,'Species Codes'!B:I,8,0)+VLOOKUP(D1883,'Species Codes'!B:J,9,0)*((E1883*2.54)^2)*(I1883*0.3048),IF(OR(D1883="MD",D1883="BM",D1883="GA")=TRUE,((VLOOKUP(D1883,'Species Codes'!B:I,8,0)*(((((E1883*2.54)+VLOOKUP(D1883,'Species Codes'!B:J,9,0))/VLOOKUP(D1883,'Species Codes'!B:K,10,0))^VLOOKUP(D1883,'Species Codes'!B:L,11,0))*((I1883*0.3048)^VLOOKUP(D1883,'Species Codes'!B:M,12,0))))-(VLOOKUP(D1883,'Species Codes'!B:I,8,0)*((((E1883*2.54)^VLOOKUP(D1883,'Species Codes'!B:L,11,0))*((I1883*0.3048)^VLOOKUP(D1883,'Species Codes'!B:M,12,0))))))*35.3*VLOOKUP(D1883,'Species Codes'!B:G,6,0)/2.2046,VLOOKUP(D1883,'Species Codes'!B:I,8,0)+VLOOKUP(D1883,'Species Codes'!B:J,9,0)*(((E1883*2.54)/100)^2)*(I1883*0.3048)))))*0.0011023),0)</f>
        <v>#N/A</v>
      </c>
      <c r="AC1883" s="104" t="e">
        <f>IF(Z1883&gt;0,((IF(OR(D1883="RA",D1883="OA",D1883="OT",D1883="UN",D1883="PC"),EXP(VLOOKUP(D1883,'Species Codes'!B:O,14,0)+VLOOKUP(D1883,'Species Codes'!B:P,15,0)*LN((E1883*2.54)))-EXP(VLOOKUP(D1883,'Species Codes'!B:O,14,0)+VLOOKUP(D1883,'Species Codes'!B:P,15,0)*LN((E1883*2.54)))*(1/(VLOOKUP(D1883,'Species Codes'!B:Q,16,0)+VLOOKUP(D1883,'Species Codes'!B:R,17,0)*((E1883*2.54)^VLOOKUP(D1883,'Species Codes'!B:S,18,0)))),IF(OR(D1883="BM",D1883="MD",D1883="OA"),EXP(VLOOKUP(D1883,'Species Codes'!B:O,14,0)+VLOOKUP(D1883,'Species Codes'!B:P,15,0)*LN((E1883*2.54)))*(1-(1/(VLOOKUP(D1883,'Species Codes'!B:Q,16,0)+VLOOKUP(D1883,'Species Codes'!B:R,17,0)*((E1883*2.54)^VLOOKUP(D1883,'Species Codes'!B:S,18,0)))))/1000,IF(D1883="DF",EXP(VLOOKUP(D1883,'Species Codes'!B:O,14,0)+VLOOKUP(D1883,'Species Codes'!B:P,15,0)*LN((E1883*2.54))),VLOOKUP(D1883,'Species Codes'!B:O,14,0)+VLOOKUP(D1883,'Species Codes'!B:P,15,0)*(((E1883*2.54)/100)^2)*(I1883*0.3048)))))*0.0011023),0)</f>
        <v>#N/A</v>
      </c>
      <c r="AD1883" s="104" t="e">
        <f t="shared" si="814"/>
        <v>#N/A</v>
      </c>
      <c r="AE1883" s="104" t="e">
        <f t="shared" si="815"/>
        <v>#N/A</v>
      </c>
      <c r="AF1883" s="104" t="e">
        <f>IF(AND(VLOOKUP($D1883,Merchantability!$B:$C,2,0)="Yes",$E1883&gt;=VLOOKUP($D1883,Merchantability!$B:$D,3,0),$E1883&lt;=VLOOKUP($D1883,Merchantability!$B:$E,4,0)),AA1883,0)</f>
        <v>#N/A</v>
      </c>
      <c r="AG1883" s="104" t="e">
        <f>IF(AND(VLOOKUP($D1883,Merchantability!$B:$C,2,0)="Yes",$E1883&gt;=VLOOKUP($D1883,Merchantability!$B:$D,3,0),$E1883&lt;=VLOOKUP($D1883,Merchantability!$B:$E,4,0)),AB1883,0)</f>
        <v>#N/A</v>
      </c>
      <c r="AH1883" s="104" t="e">
        <f>IF(AND(VLOOKUP($D1883,Merchantability!$B:$C,2,0)="Yes",$E1883&gt;=VLOOKUP($D1883,Merchantability!$B:$D,3,0),$E1883&lt;=VLOOKUP($D1883,Merchantability!$B:$E,4,0)),AC1883,0)</f>
        <v>#N/A</v>
      </c>
      <c r="AI1883" s="104" t="e">
        <f t="shared" si="816"/>
        <v>#N/A</v>
      </c>
      <c r="AJ1883" s="104" t="e">
        <f t="shared" si="817"/>
        <v>#VALUE!</v>
      </c>
      <c r="AK1883" s="104" t="e">
        <f t="shared" si="818"/>
        <v>#N/A</v>
      </c>
      <c r="AL1883" s="104" t="e">
        <f t="shared" si="819"/>
        <v>#N/A</v>
      </c>
      <c r="AM1883" s="104" t="e">
        <f t="shared" si="820"/>
        <v>#N/A</v>
      </c>
      <c r="AN1883" s="104" t="e">
        <f t="shared" si="831"/>
        <v>#N/A</v>
      </c>
      <c r="AO1883" s="104" t="e">
        <f t="shared" si="832"/>
        <v>#N/A</v>
      </c>
      <c r="AP1883" s="104" t="e">
        <f t="shared" si="833"/>
        <v>#N/A</v>
      </c>
      <c r="AQ1883" s="104" t="e">
        <f t="shared" si="834"/>
        <v>#N/A</v>
      </c>
      <c r="AR1883" s="105" t="str">
        <f t="shared" si="826"/>
        <v/>
      </c>
      <c r="AS1883" s="105" t="str">
        <f t="shared" si="827"/>
        <v/>
      </c>
      <c r="AT1883" s="108" t="str">
        <f t="shared" si="828"/>
        <v/>
      </c>
      <c r="AU1883" s="108" t="str">
        <f t="shared" si="829"/>
        <v/>
      </c>
      <c r="AV1883" s="107" t="str">
        <f>IF(ISNUMBER(O1883),IF(VLOOKUP($A1883,Stand!C:J,8,FALSE)="Short",AT1883,AU1883),"")</f>
        <v/>
      </c>
      <c r="AW1883" s="109" t="str">
        <f t="shared" si="835"/>
        <v/>
      </c>
      <c r="AX1883" s="109" t="str">
        <f t="shared" si="836"/>
        <v/>
      </c>
      <c r="AY1883" s="112" t="str">
        <f>IF(ISNUMBER(O1883),IF(AND(VLOOKUP($D1883,Merchantability!$B:$C,2,0)="Yes",$E1883&gt;=VLOOKUP($D1883,Merchantability!$B:$D,3,0),$E1883&lt;=VLOOKUP($D1883,Merchantability!$B:$E,4,0)),(AV1883*O1883)*(1-$H1883/100),""),"")</f>
        <v/>
      </c>
      <c r="AZ1883" s="116"/>
      <c r="BA1883" s="116"/>
      <c r="BB1883" s="116"/>
      <c r="BE1883" s="62"/>
      <c r="BF1883" s="63"/>
    </row>
    <row r="1884" spans="1:58" ht="12.75" customHeight="1" x14ac:dyDescent="0.25">
      <c r="A1884" s="334"/>
      <c r="B1884" s="334"/>
      <c r="C1884" s="332"/>
      <c r="D1884" s="334"/>
      <c r="E1884" s="335"/>
      <c r="F1884" s="334"/>
      <c r="G1884" s="332"/>
      <c r="H1884" s="332"/>
      <c r="I1884" s="334"/>
      <c r="J1884" s="336"/>
      <c r="K1884" s="332"/>
      <c r="L1884" s="332"/>
      <c r="M1884" s="76"/>
      <c r="N1884" s="103" t="str">
        <f>IF(A1884="","",VLOOKUP(A1884,Stand!C:K,9,0))</f>
        <v/>
      </c>
      <c r="O1884" s="104" t="str">
        <f t="shared" si="821"/>
        <v/>
      </c>
      <c r="P1884" s="105" t="str">
        <f t="shared" si="822"/>
        <v/>
      </c>
      <c r="Q1884" s="105" t="str">
        <f t="shared" si="810"/>
        <v/>
      </c>
      <c r="R1884" s="103" t="str">
        <f t="shared" si="823"/>
        <v/>
      </c>
      <c r="S1884" s="103" t="str">
        <f t="shared" si="824"/>
        <v/>
      </c>
      <c r="T1884" s="106" t="str">
        <f t="shared" si="811"/>
        <v/>
      </c>
      <c r="U1884" s="106" t="str">
        <f t="shared" si="812"/>
        <v/>
      </c>
      <c r="V1884" s="106" t="str">
        <f t="shared" si="813"/>
        <v/>
      </c>
      <c r="W1884" s="105" t="str">
        <f t="shared" si="825"/>
        <v/>
      </c>
      <c r="X1884" s="104" t="str">
        <f t="shared" si="830"/>
        <v/>
      </c>
      <c r="Y1884" s="104" t="str">
        <f t="array" ref="Y1884">IFERROR(IF(ISNUMBER(O1884),IF(COUNT(IF(A1884=$A$2:$A$2427,IF(D1884=$D$2:$D$2427,IF($X$2:$X$2427&gt;0,1))))&gt;0,SUM(IF(A1884=$A$2:$A$2427,IF(D1884=$D$2:$D$2427,$X$2:$X$2427)))/COUNT(IF(A1884=$A$2:$A$2427,IF(D1884=$D$2:$D$2427,IF(ISNUMBER($X$2:$X$2427),1)))),0),""),0)</f>
        <v/>
      </c>
      <c r="Z1884" s="104" t="str">
        <f>IF(ISNUMBER(O1884),IF(I1884&gt;0,(10^(VLOOKUP(D1884,'Species Codes'!B:C,2,0)+VLOOKUP(D1884,'Species Codes'!B:D,3,0)*LOG(E1884)+VLOOKUP(D1884,'Species Codes'!B:E,4,0)*LOG(I1884))),0),"")</f>
        <v/>
      </c>
      <c r="AA1884" s="104" t="str">
        <f>IFERROR((VLOOKUP(D1884,'Species Codes'!B:G,6,0)*Z1884)/2000,"")</f>
        <v/>
      </c>
      <c r="AB1884" s="104" t="e">
        <f>IF(Z1884&gt;0,((IF(OR(D1884="DF",D1884="RA")=TRUE,EXP(VLOOKUP(D1884,'Species Codes'!B:I,8,0)+VLOOKUP(D1884,'Species Codes'!B:J,9,0)*(LN((E1884*2.54)))),IF(OR(D1884="PY",D1884="RC",D1884="WH",D1884="NF")=TRUE,VLOOKUP(D1884,'Species Codes'!B:I,8,0)+VLOOKUP(D1884,'Species Codes'!B:J,9,0)*((E1884*2.54)^2)*(I1884*0.3048),IF(OR(D1884="MD",D1884="BM",D1884="GA")=TRUE,((VLOOKUP(D1884,'Species Codes'!B:I,8,0)*(((((E1884*2.54)+VLOOKUP(D1884,'Species Codes'!B:J,9,0))/VLOOKUP(D1884,'Species Codes'!B:K,10,0))^VLOOKUP(D1884,'Species Codes'!B:L,11,0))*((I1884*0.3048)^VLOOKUP(D1884,'Species Codes'!B:M,12,0))))-(VLOOKUP(D1884,'Species Codes'!B:I,8,0)*((((E1884*2.54)^VLOOKUP(D1884,'Species Codes'!B:L,11,0))*((I1884*0.3048)^VLOOKUP(D1884,'Species Codes'!B:M,12,0))))))*35.3*VLOOKUP(D1884,'Species Codes'!B:G,6,0)/2.2046,VLOOKUP(D1884,'Species Codes'!B:I,8,0)+VLOOKUP(D1884,'Species Codes'!B:J,9,0)*(((E1884*2.54)/100)^2)*(I1884*0.3048)))))*0.0011023),0)</f>
        <v>#N/A</v>
      </c>
      <c r="AC1884" s="104" t="e">
        <f>IF(Z1884&gt;0,((IF(OR(D1884="RA",D1884="OA",D1884="OT",D1884="UN",D1884="PC"),EXP(VLOOKUP(D1884,'Species Codes'!B:O,14,0)+VLOOKUP(D1884,'Species Codes'!B:P,15,0)*LN((E1884*2.54)))-EXP(VLOOKUP(D1884,'Species Codes'!B:O,14,0)+VLOOKUP(D1884,'Species Codes'!B:P,15,0)*LN((E1884*2.54)))*(1/(VLOOKUP(D1884,'Species Codes'!B:Q,16,0)+VLOOKUP(D1884,'Species Codes'!B:R,17,0)*((E1884*2.54)^VLOOKUP(D1884,'Species Codes'!B:S,18,0)))),IF(OR(D1884="BM",D1884="MD",D1884="OA"),EXP(VLOOKUP(D1884,'Species Codes'!B:O,14,0)+VLOOKUP(D1884,'Species Codes'!B:P,15,0)*LN((E1884*2.54)))*(1-(1/(VLOOKUP(D1884,'Species Codes'!B:Q,16,0)+VLOOKUP(D1884,'Species Codes'!B:R,17,0)*((E1884*2.54)^VLOOKUP(D1884,'Species Codes'!B:S,18,0)))))/1000,IF(D1884="DF",EXP(VLOOKUP(D1884,'Species Codes'!B:O,14,0)+VLOOKUP(D1884,'Species Codes'!B:P,15,0)*LN((E1884*2.54))),VLOOKUP(D1884,'Species Codes'!B:O,14,0)+VLOOKUP(D1884,'Species Codes'!B:P,15,0)*(((E1884*2.54)/100)^2)*(I1884*0.3048)))))*0.0011023),0)</f>
        <v>#N/A</v>
      </c>
      <c r="AD1884" s="104" t="e">
        <f t="shared" si="814"/>
        <v>#N/A</v>
      </c>
      <c r="AE1884" s="104" t="e">
        <f t="shared" si="815"/>
        <v>#N/A</v>
      </c>
      <c r="AF1884" s="104" t="e">
        <f>IF(AND(VLOOKUP($D1884,Merchantability!$B:$C,2,0)="Yes",$E1884&gt;=VLOOKUP($D1884,Merchantability!$B:$D,3,0),$E1884&lt;=VLOOKUP($D1884,Merchantability!$B:$E,4,0)),AA1884,0)</f>
        <v>#N/A</v>
      </c>
      <c r="AG1884" s="104" t="e">
        <f>IF(AND(VLOOKUP($D1884,Merchantability!$B:$C,2,0)="Yes",$E1884&gt;=VLOOKUP($D1884,Merchantability!$B:$D,3,0),$E1884&lt;=VLOOKUP($D1884,Merchantability!$B:$E,4,0)),AB1884,0)</f>
        <v>#N/A</v>
      </c>
      <c r="AH1884" s="104" t="e">
        <f>IF(AND(VLOOKUP($D1884,Merchantability!$B:$C,2,0)="Yes",$E1884&gt;=VLOOKUP($D1884,Merchantability!$B:$D,3,0),$E1884&lt;=VLOOKUP($D1884,Merchantability!$B:$E,4,0)),AC1884,0)</f>
        <v>#N/A</v>
      </c>
      <c r="AI1884" s="104" t="e">
        <f t="shared" si="816"/>
        <v>#N/A</v>
      </c>
      <c r="AJ1884" s="104" t="e">
        <f t="shared" si="817"/>
        <v>#VALUE!</v>
      </c>
      <c r="AK1884" s="104" t="e">
        <f t="shared" si="818"/>
        <v>#N/A</v>
      </c>
      <c r="AL1884" s="104" t="e">
        <f t="shared" si="819"/>
        <v>#N/A</v>
      </c>
      <c r="AM1884" s="104" t="e">
        <f t="shared" si="820"/>
        <v>#N/A</v>
      </c>
      <c r="AN1884" s="104" t="e">
        <f t="shared" si="831"/>
        <v>#N/A</v>
      </c>
      <c r="AO1884" s="104" t="e">
        <f t="shared" si="832"/>
        <v>#N/A</v>
      </c>
      <c r="AP1884" s="104" t="e">
        <f t="shared" si="833"/>
        <v>#N/A</v>
      </c>
      <c r="AQ1884" s="104" t="e">
        <f t="shared" si="834"/>
        <v>#N/A</v>
      </c>
      <c r="AR1884" s="105" t="str">
        <f t="shared" si="826"/>
        <v/>
      </c>
      <c r="AS1884" s="105" t="str">
        <f t="shared" si="827"/>
        <v/>
      </c>
      <c r="AT1884" s="108" t="str">
        <f t="shared" si="828"/>
        <v/>
      </c>
      <c r="AU1884" s="108" t="str">
        <f t="shared" si="829"/>
        <v/>
      </c>
      <c r="AV1884" s="107" t="str">
        <f>IF(ISNUMBER(O1884),IF(VLOOKUP($A1884,Stand!C:J,8,FALSE)="Short",AT1884,AU1884),"")</f>
        <v/>
      </c>
      <c r="AW1884" s="109" t="str">
        <f t="shared" si="835"/>
        <v/>
      </c>
      <c r="AX1884" s="109" t="str">
        <f t="shared" si="836"/>
        <v/>
      </c>
      <c r="AY1884" s="112" t="str">
        <f>IF(ISNUMBER(O1884),IF(AND(VLOOKUP($D1884,Merchantability!$B:$C,2,0)="Yes",$E1884&gt;=VLOOKUP($D1884,Merchantability!$B:$D,3,0),$E1884&lt;=VLOOKUP($D1884,Merchantability!$B:$E,4,0)),(AV1884*O1884)*(1-$H1884/100),""),"")</f>
        <v/>
      </c>
      <c r="AZ1884" s="116"/>
      <c r="BA1884" s="116"/>
      <c r="BB1884" s="116"/>
      <c r="BE1884" s="62"/>
      <c r="BF1884" s="63"/>
    </row>
    <row r="1885" spans="1:58" ht="12.75" customHeight="1" x14ac:dyDescent="0.25">
      <c r="A1885" s="334"/>
      <c r="B1885" s="334"/>
      <c r="C1885" s="332"/>
      <c r="D1885" s="334"/>
      <c r="E1885" s="335"/>
      <c r="F1885" s="334"/>
      <c r="G1885" s="332"/>
      <c r="H1885" s="332"/>
      <c r="I1885" s="334"/>
      <c r="J1885" s="336"/>
      <c r="K1885" s="332"/>
      <c r="L1885" s="332"/>
      <c r="M1885" s="76"/>
      <c r="N1885" s="103" t="str">
        <f>IF(A1885="","",VLOOKUP(A1885,Stand!C:K,9,0))</f>
        <v/>
      </c>
      <c r="O1885" s="104" t="str">
        <f t="shared" si="821"/>
        <v/>
      </c>
      <c r="P1885" s="105" t="str">
        <f t="shared" si="822"/>
        <v/>
      </c>
      <c r="Q1885" s="105" t="str">
        <f t="shared" ref="Q1885:Q1948" si="837">IF(AND(ISNUMBER(O1885),I1885&gt;0),I1885*O1885,"")</f>
        <v/>
      </c>
      <c r="R1885" s="103" t="str">
        <f t="shared" si="823"/>
        <v/>
      </c>
      <c r="S1885" s="103" t="str">
        <f t="shared" si="824"/>
        <v/>
      </c>
      <c r="T1885" s="106" t="str">
        <f t="shared" ref="T1885:T1948" si="838">IF(AND(ISNUMBER(O1885),J1885&gt;0),J1885/100,"")</f>
        <v/>
      </c>
      <c r="U1885" s="106" t="str">
        <f t="shared" ref="U1885:U1948" si="839">IF(AND(ISNUMBER(O1885),J1885&gt;0),T1885*O1885,"")</f>
        <v/>
      </c>
      <c r="V1885" s="106" t="str">
        <f t="shared" ref="V1885:V1948" si="840">IF(AND(ISNUMBER(O1885),I1885&gt;0),W1885*O1885,"")</f>
        <v/>
      </c>
      <c r="W1885" s="105" t="str">
        <f t="shared" si="825"/>
        <v/>
      </c>
      <c r="X1885" s="104" t="str">
        <f t="shared" si="830"/>
        <v/>
      </c>
      <c r="Y1885" s="104" t="str">
        <f t="array" ref="Y1885">IFERROR(IF(ISNUMBER(O1885),IF(COUNT(IF(A1885=$A$2:$A$2427,IF(D1885=$D$2:$D$2427,IF($X$2:$X$2427&gt;0,1))))&gt;0,SUM(IF(A1885=$A$2:$A$2427,IF(D1885=$D$2:$D$2427,$X$2:$X$2427)))/COUNT(IF(A1885=$A$2:$A$2427,IF(D1885=$D$2:$D$2427,IF(ISNUMBER($X$2:$X$2427),1)))),0),""),0)</f>
        <v/>
      </c>
      <c r="Z1885" s="104" t="str">
        <f>IF(ISNUMBER(O1885),IF(I1885&gt;0,(10^(VLOOKUP(D1885,'Species Codes'!B:C,2,0)+VLOOKUP(D1885,'Species Codes'!B:D,3,0)*LOG(E1885)+VLOOKUP(D1885,'Species Codes'!B:E,4,0)*LOG(I1885))),0),"")</f>
        <v/>
      </c>
      <c r="AA1885" s="104" t="str">
        <f>IFERROR((VLOOKUP(D1885,'Species Codes'!B:G,6,0)*Z1885)/2000,"")</f>
        <v/>
      </c>
      <c r="AB1885" s="104" t="e">
        <f>IF(Z1885&gt;0,((IF(OR(D1885="DF",D1885="RA")=TRUE,EXP(VLOOKUP(D1885,'Species Codes'!B:I,8,0)+VLOOKUP(D1885,'Species Codes'!B:J,9,0)*(LN((E1885*2.54)))),IF(OR(D1885="PY",D1885="RC",D1885="WH",D1885="NF")=TRUE,VLOOKUP(D1885,'Species Codes'!B:I,8,0)+VLOOKUP(D1885,'Species Codes'!B:J,9,0)*((E1885*2.54)^2)*(I1885*0.3048),IF(OR(D1885="MD",D1885="BM",D1885="GA")=TRUE,((VLOOKUP(D1885,'Species Codes'!B:I,8,0)*(((((E1885*2.54)+VLOOKUP(D1885,'Species Codes'!B:J,9,0))/VLOOKUP(D1885,'Species Codes'!B:K,10,0))^VLOOKUP(D1885,'Species Codes'!B:L,11,0))*((I1885*0.3048)^VLOOKUP(D1885,'Species Codes'!B:M,12,0))))-(VLOOKUP(D1885,'Species Codes'!B:I,8,0)*((((E1885*2.54)^VLOOKUP(D1885,'Species Codes'!B:L,11,0))*((I1885*0.3048)^VLOOKUP(D1885,'Species Codes'!B:M,12,0))))))*35.3*VLOOKUP(D1885,'Species Codes'!B:G,6,0)/2.2046,VLOOKUP(D1885,'Species Codes'!B:I,8,0)+VLOOKUP(D1885,'Species Codes'!B:J,9,0)*(((E1885*2.54)/100)^2)*(I1885*0.3048)))))*0.0011023),0)</f>
        <v>#N/A</v>
      </c>
      <c r="AC1885" s="104" t="e">
        <f>IF(Z1885&gt;0,((IF(OR(D1885="RA",D1885="OA",D1885="OT",D1885="UN",D1885="PC"),EXP(VLOOKUP(D1885,'Species Codes'!B:O,14,0)+VLOOKUP(D1885,'Species Codes'!B:P,15,0)*LN((E1885*2.54)))-EXP(VLOOKUP(D1885,'Species Codes'!B:O,14,0)+VLOOKUP(D1885,'Species Codes'!B:P,15,0)*LN((E1885*2.54)))*(1/(VLOOKUP(D1885,'Species Codes'!B:Q,16,0)+VLOOKUP(D1885,'Species Codes'!B:R,17,0)*((E1885*2.54)^VLOOKUP(D1885,'Species Codes'!B:S,18,0)))),IF(OR(D1885="BM",D1885="MD",D1885="OA"),EXP(VLOOKUP(D1885,'Species Codes'!B:O,14,0)+VLOOKUP(D1885,'Species Codes'!B:P,15,0)*LN((E1885*2.54)))*(1-(1/(VLOOKUP(D1885,'Species Codes'!B:Q,16,0)+VLOOKUP(D1885,'Species Codes'!B:R,17,0)*((E1885*2.54)^VLOOKUP(D1885,'Species Codes'!B:S,18,0)))))/1000,IF(D1885="DF",EXP(VLOOKUP(D1885,'Species Codes'!B:O,14,0)+VLOOKUP(D1885,'Species Codes'!B:P,15,0)*LN((E1885*2.54))),VLOOKUP(D1885,'Species Codes'!B:O,14,0)+VLOOKUP(D1885,'Species Codes'!B:P,15,0)*(((E1885*2.54)/100)^2)*(I1885*0.3048)))))*0.0011023),0)</f>
        <v>#N/A</v>
      </c>
      <c r="AD1885" s="104" t="e">
        <f t="shared" ref="AD1885:AD1948" si="841">SUM(AA1885:AC1885)</f>
        <v>#N/A</v>
      </c>
      <c r="AE1885" s="104" t="e">
        <f t="shared" ref="AE1885:AE1948" si="842">AD1885*O1885</f>
        <v>#N/A</v>
      </c>
      <c r="AF1885" s="104" t="e">
        <f>IF(AND(VLOOKUP($D1885,Merchantability!$B:$C,2,0)="Yes",$E1885&gt;=VLOOKUP($D1885,Merchantability!$B:$D,3,0),$E1885&lt;=VLOOKUP($D1885,Merchantability!$B:$E,4,0)),AA1885,0)</f>
        <v>#N/A</v>
      </c>
      <c r="AG1885" s="104" t="e">
        <f>IF(AND(VLOOKUP($D1885,Merchantability!$B:$C,2,0)="Yes",$E1885&gt;=VLOOKUP($D1885,Merchantability!$B:$D,3,0),$E1885&lt;=VLOOKUP($D1885,Merchantability!$B:$E,4,0)),AB1885,0)</f>
        <v>#N/A</v>
      </c>
      <c r="AH1885" s="104" t="e">
        <f>IF(AND(VLOOKUP($D1885,Merchantability!$B:$C,2,0)="Yes",$E1885&gt;=VLOOKUP($D1885,Merchantability!$B:$D,3,0),$E1885&lt;=VLOOKUP($D1885,Merchantability!$B:$E,4,0)),AC1885,0)</f>
        <v>#N/A</v>
      </c>
      <c r="AI1885" s="104" t="e">
        <f t="shared" ref="AI1885:AI1948" si="843">SUM(AF1885:AH1885)</f>
        <v>#N/A</v>
      </c>
      <c r="AJ1885" s="104" t="e">
        <f t="shared" ref="AJ1885:AJ1948" si="844">AA1885*$O1885</f>
        <v>#VALUE!</v>
      </c>
      <c r="AK1885" s="104" t="e">
        <f t="shared" ref="AK1885:AK1948" si="845">AB1885*$O1885</f>
        <v>#N/A</v>
      </c>
      <c r="AL1885" s="104" t="e">
        <f t="shared" ref="AL1885:AL1948" si="846">AC1885*$O1885</f>
        <v>#N/A</v>
      </c>
      <c r="AM1885" s="104" t="e">
        <f t="shared" ref="AM1885:AM1948" si="847">AD1885*$O1885</f>
        <v>#N/A</v>
      </c>
      <c r="AN1885" s="104" t="e">
        <f t="shared" si="831"/>
        <v>#N/A</v>
      </c>
      <c r="AO1885" s="104" t="e">
        <f t="shared" si="832"/>
        <v>#N/A</v>
      </c>
      <c r="AP1885" s="104" t="e">
        <f t="shared" si="833"/>
        <v>#N/A</v>
      </c>
      <c r="AQ1885" s="104" t="e">
        <f t="shared" si="834"/>
        <v>#N/A</v>
      </c>
      <c r="AR1885" s="105" t="str">
        <f t="shared" si="826"/>
        <v/>
      </c>
      <c r="AS1885" s="105" t="str">
        <f t="shared" si="827"/>
        <v/>
      </c>
      <c r="AT1885" s="108" t="str">
        <f t="shared" si="828"/>
        <v/>
      </c>
      <c r="AU1885" s="108" t="str">
        <f t="shared" si="829"/>
        <v/>
      </c>
      <c r="AV1885" s="107" t="str">
        <f>IF(ISNUMBER(O1885),IF(VLOOKUP($A1885,Stand!C:J,8,FALSE)="Short",AT1885,AU1885),"")</f>
        <v/>
      </c>
      <c r="AW1885" s="109" t="str">
        <f t="shared" si="835"/>
        <v/>
      </c>
      <c r="AX1885" s="109" t="str">
        <f t="shared" si="836"/>
        <v/>
      </c>
      <c r="AY1885" s="112" t="str">
        <f>IF(ISNUMBER(O1885),IF(AND(VLOOKUP($D1885,Merchantability!$B:$C,2,0)="Yes",$E1885&gt;=VLOOKUP($D1885,Merchantability!$B:$D,3,0),$E1885&lt;=VLOOKUP($D1885,Merchantability!$B:$E,4,0)),(AV1885*O1885)*(1-$H1885/100),""),"")</f>
        <v/>
      </c>
      <c r="AZ1885" s="116"/>
      <c r="BA1885" s="116"/>
      <c r="BB1885" s="116"/>
      <c r="BE1885" s="62"/>
      <c r="BF1885" s="63"/>
    </row>
    <row r="1886" spans="1:58" ht="12.75" customHeight="1" x14ac:dyDescent="0.25">
      <c r="A1886" s="334"/>
      <c r="B1886" s="334"/>
      <c r="C1886" s="332"/>
      <c r="D1886" s="334"/>
      <c r="E1886" s="335"/>
      <c r="F1886" s="334"/>
      <c r="G1886" s="332"/>
      <c r="H1886" s="332"/>
      <c r="I1886" s="334"/>
      <c r="J1886" s="336"/>
      <c r="K1886" s="332"/>
      <c r="L1886" s="332"/>
      <c r="M1886" s="76"/>
      <c r="N1886" s="103" t="str">
        <f>IF(A1886="","",VLOOKUP(A1886,Stand!C:K,9,0))</f>
        <v/>
      </c>
      <c r="O1886" s="104" t="str">
        <f t="shared" si="821"/>
        <v/>
      </c>
      <c r="P1886" s="105" t="str">
        <f t="shared" si="822"/>
        <v/>
      </c>
      <c r="Q1886" s="105" t="str">
        <f t="shared" si="837"/>
        <v/>
      </c>
      <c r="R1886" s="103" t="str">
        <f t="shared" si="823"/>
        <v/>
      </c>
      <c r="S1886" s="103" t="str">
        <f t="shared" si="824"/>
        <v/>
      </c>
      <c r="T1886" s="106" t="str">
        <f t="shared" si="838"/>
        <v/>
      </c>
      <c r="U1886" s="106" t="str">
        <f t="shared" si="839"/>
        <v/>
      </c>
      <c r="V1886" s="106" t="str">
        <f t="shared" si="840"/>
        <v/>
      </c>
      <c r="W1886" s="105" t="str">
        <f t="shared" si="825"/>
        <v/>
      </c>
      <c r="X1886" s="104" t="str">
        <f t="shared" si="830"/>
        <v/>
      </c>
      <c r="Y1886" s="104" t="str">
        <f t="array" ref="Y1886">IFERROR(IF(ISNUMBER(O1886),IF(COUNT(IF(A1886=$A$2:$A$2427,IF(D1886=$D$2:$D$2427,IF($X$2:$X$2427&gt;0,1))))&gt;0,SUM(IF(A1886=$A$2:$A$2427,IF(D1886=$D$2:$D$2427,$X$2:$X$2427)))/COUNT(IF(A1886=$A$2:$A$2427,IF(D1886=$D$2:$D$2427,IF(ISNUMBER($X$2:$X$2427),1)))),0),""),0)</f>
        <v/>
      </c>
      <c r="Z1886" s="104" t="str">
        <f>IF(ISNUMBER(O1886),IF(I1886&gt;0,(10^(VLOOKUP(D1886,'Species Codes'!B:C,2,0)+VLOOKUP(D1886,'Species Codes'!B:D,3,0)*LOG(E1886)+VLOOKUP(D1886,'Species Codes'!B:E,4,0)*LOG(I1886))),0),"")</f>
        <v/>
      </c>
      <c r="AA1886" s="104" t="str">
        <f>IFERROR((VLOOKUP(D1886,'Species Codes'!B:G,6,0)*Z1886)/2000,"")</f>
        <v/>
      </c>
      <c r="AB1886" s="104" t="e">
        <f>IF(Z1886&gt;0,((IF(OR(D1886="DF",D1886="RA")=TRUE,EXP(VLOOKUP(D1886,'Species Codes'!B:I,8,0)+VLOOKUP(D1886,'Species Codes'!B:J,9,0)*(LN((E1886*2.54)))),IF(OR(D1886="PY",D1886="RC",D1886="WH",D1886="NF")=TRUE,VLOOKUP(D1886,'Species Codes'!B:I,8,0)+VLOOKUP(D1886,'Species Codes'!B:J,9,0)*((E1886*2.54)^2)*(I1886*0.3048),IF(OR(D1886="MD",D1886="BM",D1886="GA")=TRUE,((VLOOKUP(D1886,'Species Codes'!B:I,8,0)*(((((E1886*2.54)+VLOOKUP(D1886,'Species Codes'!B:J,9,0))/VLOOKUP(D1886,'Species Codes'!B:K,10,0))^VLOOKUP(D1886,'Species Codes'!B:L,11,0))*((I1886*0.3048)^VLOOKUP(D1886,'Species Codes'!B:M,12,0))))-(VLOOKUP(D1886,'Species Codes'!B:I,8,0)*((((E1886*2.54)^VLOOKUP(D1886,'Species Codes'!B:L,11,0))*((I1886*0.3048)^VLOOKUP(D1886,'Species Codes'!B:M,12,0))))))*35.3*VLOOKUP(D1886,'Species Codes'!B:G,6,0)/2.2046,VLOOKUP(D1886,'Species Codes'!B:I,8,0)+VLOOKUP(D1886,'Species Codes'!B:J,9,0)*(((E1886*2.54)/100)^2)*(I1886*0.3048)))))*0.0011023),0)</f>
        <v>#N/A</v>
      </c>
      <c r="AC1886" s="104" t="e">
        <f>IF(Z1886&gt;0,((IF(OR(D1886="RA",D1886="OA",D1886="OT",D1886="UN",D1886="PC"),EXP(VLOOKUP(D1886,'Species Codes'!B:O,14,0)+VLOOKUP(D1886,'Species Codes'!B:P,15,0)*LN((E1886*2.54)))-EXP(VLOOKUP(D1886,'Species Codes'!B:O,14,0)+VLOOKUP(D1886,'Species Codes'!B:P,15,0)*LN((E1886*2.54)))*(1/(VLOOKUP(D1886,'Species Codes'!B:Q,16,0)+VLOOKUP(D1886,'Species Codes'!B:R,17,0)*((E1886*2.54)^VLOOKUP(D1886,'Species Codes'!B:S,18,0)))),IF(OR(D1886="BM",D1886="MD",D1886="OA"),EXP(VLOOKUP(D1886,'Species Codes'!B:O,14,0)+VLOOKUP(D1886,'Species Codes'!B:P,15,0)*LN((E1886*2.54)))*(1-(1/(VLOOKUP(D1886,'Species Codes'!B:Q,16,0)+VLOOKUP(D1886,'Species Codes'!B:R,17,0)*((E1886*2.54)^VLOOKUP(D1886,'Species Codes'!B:S,18,0)))))/1000,IF(D1886="DF",EXP(VLOOKUP(D1886,'Species Codes'!B:O,14,0)+VLOOKUP(D1886,'Species Codes'!B:P,15,0)*LN((E1886*2.54))),VLOOKUP(D1886,'Species Codes'!B:O,14,0)+VLOOKUP(D1886,'Species Codes'!B:P,15,0)*(((E1886*2.54)/100)^2)*(I1886*0.3048)))))*0.0011023),0)</f>
        <v>#N/A</v>
      </c>
      <c r="AD1886" s="104" t="e">
        <f t="shared" si="841"/>
        <v>#N/A</v>
      </c>
      <c r="AE1886" s="104" t="e">
        <f t="shared" si="842"/>
        <v>#N/A</v>
      </c>
      <c r="AF1886" s="104" t="e">
        <f>IF(AND(VLOOKUP($D1886,Merchantability!$B:$C,2,0)="Yes",$E1886&gt;=VLOOKUP($D1886,Merchantability!$B:$D,3,0),$E1886&lt;=VLOOKUP($D1886,Merchantability!$B:$E,4,0)),AA1886,0)</f>
        <v>#N/A</v>
      </c>
      <c r="AG1886" s="104" t="e">
        <f>IF(AND(VLOOKUP($D1886,Merchantability!$B:$C,2,0)="Yes",$E1886&gt;=VLOOKUP($D1886,Merchantability!$B:$D,3,0),$E1886&lt;=VLOOKUP($D1886,Merchantability!$B:$E,4,0)),AB1886,0)</f>
        <v>#N/A</v>
      </c>
      <c r="AH1886" s="104" t="e">
        <f>IF(AND(VLOOKUP($D1886,Merchantability!$B:$C,2,0)="Yes",$E1886&gt;=VLOOKUP($D1886,Merchantability!$B:$D,3,0),$E1886&lt;=VLOOKUP($D1886,Merchantability!$B:$E,4,0)),AC1886,0)</f>
        <v>#N/A</v>
      </c>
      <c r="AI1886" s="104" t="e">
        <f t="shared" si="843"/>
        <v>#N/A</v>
      </c>
      <c r="AJ1886" s="104" t="e">
        <f t="shared" si="844"/>
        <v>#VALUE!</v>
      </c>
      <c r="AK1886" s="104" t="e">
        <f t="shared" si="845"/>
        <v>#N/A</v>
      </c>
      <c r="AL1886" s="104" t="e">
        <f t="shared" si="846"/>
        <v>#N/A</v>
      </c>
      <c r="AM1886" s="104" t="e">
        <f t="shared" si="847"/>
        <v>#N/A</v>
      </c>
      <c r="AN1886" s="104" t="e">
        <f t="shared" si="831"/>
        <v>#N/A</v>
      </c>
      <c r="AO1886" s="104" t="e">
        <f t="shared" si="832"/>
        <v>#N/A</v>
      </c>
      <c r="AP1886" s="104" t="e">
        <f t="shared" si="833"/>
        <v>#N/A</v>
      </c>
      <c r="AQ1886" s="104" t="e">
        <f t="shared" si="834"/>
        <v>#N/A</v>
      </c>
      <c r="AR1886" s="105" t="str">
        <f t="shared" si="826"/>
        <v/>
      </c>
      <c r="AS1886" s="105" t="str">
        <f t="shared" si="827"/>
        <v/>
      </c>
      <c r="AT1886" s="108" t="str">
        <f t="shared" si="828"/>
        <v/>
      </c>
      <c r="AU1886" s="108" t="str">
        <f t="shared" si="829"/>
        <v/>
      </c>
      <c r="AV1886" s="107" t="str">
        <f>IF(ISNUMBER(O1886),IF(VLOOKUP($A1886,Stand!C:J,8,FALSE)="Short",AT1886,AU1886),"")</f>
        <v/>
      </c>
      <c r="AW1886" s="109" t="str">
        <f t="shared" si="835"/>
        <v/>
      </c>
      <c r="AX1886" s="109" t="str">
        <f t="shared" si="836"/>
        <v/>
      </c>
      <c r="AY1886" s="112" t="str">
        <f>IF(ISNUMBER(O1886),IF(AND(VLOOKUP($D1886,Merchantability!$B:$C,2,0)="Yes",$E1886&gt;=VLOOKUP($D1886,Merchantability!$B:$D,3,0),$E1886&lt;=VLOOKUP($D1886,Merchantability!$B:$E,4,0)),(AV1886*O1886)*(1-$H1886/100),""),"")</f>
        <v/>
      </c>
      <c r="AZ1886" s="116"/>
      <c r="BA1886" s="116"/>
      <c r="BB1886" s="116"/>
      <c r="BE1886" s="62"/>
      <c r="BF1886" s="63"/>
    </row>
    <row r="1887" spans="1:58" ht="12.75" customHeight="1" x14ac:dyDescent="0.25">
      <c r="A1887" s="334"/>
      <c r="B1887" s="334"/>
      <c r="C1887" s="332"/>
      <c r="D1887" s="334"/>
      <c r="E1887" s="335"/>
      <c r="F1887" s="334"/>
      <c r="G1887" s="332"/>
      <c r="H1887" s="332"/>
      <c r="I1887" s="334"/>
      <c r="J1887" s="336"/>
      <c r="K1887" s="332"/>
      <c r="L1887" s="332"/>
      <c r="M1887" s="76"/>
      <c r="N1887" s="103" t="str">
        <f>IF(A1887="","",VLOOKUP(A1887,Stand!C:K,9,0))</f>
        <v/>
      </c>
      <c r="O1887" s="104" t="str">
        <f t="shared" si="821"/>
        <v/>
      </c>
      <c r="P1887" s="105" t="str">
        <f t="shared" si="822"/>
        <v/>
      </c>
      <c r="Q1887" s="105" t="str">
        <f t="shared" si="837"/>
        <v/>
      </c>
      <c r="R1887" s="103" t="str">
        <f t="shared" si="823"/>
        <v/>
      </c>
      <c r="S1887" s="103" t="str">
        <f t="shared" si="824"/>
        <v/>
      </c>
      <c r="T1887" s="106" t="str">
        <f t="shared" si="838"/>
        <v/>
      </c>
      <c r="U1887" s="106" t="str">
        <f t="shared" si="839"/>
        <v/>
      </c>
      <c r="V1887" s="106" t="str">
        <f t="shared" si="840"/>
        <v/>
      </c>
      <c r="W1887" s="105" t="str">
        <f t="shared" si="825"/>
        <v/>
      </c>
      <c r="X1887" s="104" t="str">
        <f t="shared" si="830"/>
        <v/>
      </c>
      <c r="Y1887" s="104" t="str">
        <f t="array" ref="Y1887">IFERROR(IF(ISNUMBER(O1887),IF(COUNT(IF(A1887=$A$2:$A$2427,IF(D1887=$D$2:$D$2427,IF($X$2:$X$2427&gt;0,1))))&gt;0,SUM(IF(A1887=$A$2:$A$2427,IF(D1887=$D$2:$D$2427,$X$2:$X$2427)))/COUNT(IF(A1887=$A$2:$A$2427,IF(D1887=$D$2:$D$2427,IF(ISNUMBER($X$2:$X$2427),1)))),0),""),0)</f>
        <v/>
      </c>
      <c r="Z1887" s="104" t="str">
        <f>IF(ISNUMBER(O1887),IF(I1887&gt;0,(10^(VLOOKUP(D1887,'Species Codes'!B:C,2,0)+VLOOKUP(D1887,'Species Codes'!B:D,3,0)*LOG(E1887)+VLOOKUP(D1887,'Species Codes'!B:E,4,0)*LOG(I1887))),0),"")</f>
        <v/>
      </c>
      <c r="AA1887" s="104" t="str">
        <f>IFERROR((VLOOKUP(D1887,'Species Codes'!B:G,6,0)*Z1887)/2000,"")</f>
        <v/>
      </c>
      <c r="AB1887" s="104" t="e">
        <f>IF(Z1887&gt;0,((IF(OR(D1887="DF",D1887="RA")=TRUE,EXP(VLOOKUP(D1887,'Species Codes'!B:I,8,0)+VLOOKUP(D1887,'Species Codes'!B:J,9,0)*(LN((E1887*2.54)))),IF(OR(D1887="PY",D1887="RC",D1887="WH",D1887="NF")=TRUE,VLOOKUP(D1887,'Species Codes'!B:I,8,0)+VLOOKUP(D1887,'Species Codes'!B:J,9,0)*((E1887*2.54)^2)*(I1887*0.3048),IF(OR(D1887="MD",D1887="BM",D1887="GA")=TRUE,((VLOOKUP(D1887,'Species Codes'!B:I,8,0)*(((((E1887*2.54)+VLOOKUP(D1887,'Species Codes'!B:J,9,0))/VLOOKUP(D1887,'Species Codes'!B:K,10,0))^VLOOKUP(D1887,'Species Codes'!B:L,11,0))*((I1887*0.3048)^VLOOKUP(D1887,'Species Codes'!B:M,12,0))))-(VLOOKUP(D1887,'Species Codes'!B:I,8,0)*((((E1887*2.54)^VLOOKUP(D1887,'Species Codes'!B:L,11,0))*((I1887*0.3048)^VLOOKUP(D1887,'Species Codes'!B:M,12,0))))))*35.3*VLOOKUP(D1887,'Species Codes'!B:G,6,0)/2.2046,VLOOKUP(D1887,'Species Codes'!B:I,8,0)+VLOOKUP(D1887,'Species Codes'!B:J,9,0)*(((E1887*2.54)/100)^2)*(I1887*0.3048)))))*0.0011023),0)</f>
        <v>#N/A</v>
      </c>
      <c r="AC1887" s="104" t="e">
        <f>IF(Z1887&gt;0,((IF(OR(D1887="RA",D1887="OA",D1887="OT",D1887="UN",D1887="PC"),EXP(VLOOKUP(D1887,'Species Codes'!B:O,14,0)+VLOOKUP(D1887,'Species Codes'!B:P,15,0)*LN((E1887*2.54)))-EXP(VLOOKUP(D1887,'Species Codes'!B:O,14,0)+VLOOKUP(D1887,'Species Codes'!B:P,15,0)*LN((E1887*2.54)))*(1/(VLOOKUP(D1887,'Species Codes'!B:Q,16,0)+VLOOKUP(D1887,'Species Codes'!B:R,17,0)*((E1887*2.54)^VLOOKUP(D1887,'Species Codes'!B:S,18,0)))),IF(OR(D1887="BM",D1887="MD",D1887="OA"),EXP(VLOOKUP(D1887,'Species Codes'!B:O,14,0)+VLOOKUP(D1887,'Species Codes'!B:P,15,0)*LN((E1887*2.54)))*(1-(1/(VLOOKUP(D1887,'Species Codes'!B:Q,16,0)+VLOOKUP(D1887,'Species Codes'!B:R,17,0)*((E1887*2.54)^VLOOKUP(D1887,'Species Codes'!B:S,18,0)))))/1000,IF(D1887="DF",EXP(VLOOKUP(D1887,'Species Codes'!B:O,14,0)+VLOOKUP(D1887,'Species Codes'!B:P,15,0)*LN((E1887*2.54))),VLOOKUP(D1887,'Species Codes'!B:O,14,0)+VLOOKUP(D1887,'Species Codes'!B:P,15,0)*(((E1887*2.54)/100)^2)*(I1887*0.3048)))))*0.0011023),0)</f>
        <v>#N/A</v>
      </c>
      <c r="AD1887" s="104" t="e">
        <f t="shared" si="841"/>
        <v>#N/A</v>
      </c>
      <c r="AE1887" s="104" t="e">
        <f t="shared" si="842"/>
        <v>#N/A</v>
      </c>
      <c r="AF1887" s="104" t="e">
        <f>IF(AND(VLOOKUP($D1887,Merchantability!$B:$C,2,0)="Yes",$E1887&gt;=VLOOKUP($D1887,Merchantability!$B:$D,3,0),$E1887&lt;=VLOOKUP($D1887,Merchantability!$B:$E,4,0)),AA1887,0)</f>
        <v>#N/A</v>
      </c>
      <c r="AG1887" s="104" t="e">
        <f>IF(AND(VLOOKUP($D1887,Merchantability!$B:$C,2,0)="Yes",$E1887&gt;=VLOOKUP($D1887,Merchantability!$B:$D,3,0),$E1887&lt;=VLOOKUP($D1887,Merchantability!$B:$E,4,0)),AB1887,0)</f>
        <v>#N/A</v>
      </c>
      <c r="AH1887" s="104" t="e">
        <f>IF(AND(VLOOKUP($D1887,Merchantability!$B:$C,2,0)="Yes",$E1887&gt;=VLOOKUP($D1887,Merchantability!$B:$D,3,0),$E1887&lt;=VLOOKUP($D1887,Merchantability!$B:$E,4,0)),AC1887,0)</f>
        <v>#N/A</v>
      </c>
      <c r="AI1887" s="104" t="e">
        <f t="shared" si="843"/>
        <v>#N/A</v>
      </c>
      <c r="AJ1887" s="104" t="e">
        <f t="shared" si="844"/>
        <v>#VALUE!</v>
      </c>
      <c r="AK1887" s="104" t="e">
        <f t="shared" si="845"/>
        <v>#N/A</v>
      </c>
      <c r="AL1887" s="104" t="e">
        <f t="shared" si="846"/>
        <v>#N/A</v>
      </c>
      <c r="AM1887" s="104" t="e">
        <f t="shared" si="847"/>
        <v>#N/A</v>
      </c>
      <c r="AN1887" s="104" t="e">
        <f t="shared" si="831"/>
        <v>#N/A</v>
      </c>
      <c r="AO1887" s="104" t="e">
        <f t="shared" si="832"/>
        <v>#N/A</v>
      </c>
      <c r="AP1887" s="104" t="e">
        <f t="shared" si="833"/>
        <v>#N/A</v>
      </c>
      <c r="AQ1887" s="104" t="e">
        <f t="shared" si="834"/>
        <v>#N/A</v>
      </c>
      <c r="AR1887" s="105" t="str">
        <f t="shared" si="826"/>
        <v/>
      </c>
      <c r="AS1887" s="105" t="str">
        <f t="shared" si="827"/>
        <v/>
      </c>
      <c r="AT1887" s="108" t="str">
        <f t="shared" si="828"/>
        <v/>
      </c>
      <c r="AU1887" s="108" t="str">
        <f t="shared" si="829"/>
        <v/>
      </c>
      <c r="AV1887" s="107" t="str">
        <f>IF(ISNUMBER(O1887),IF(VLOOKUP($A1887,Stand!C:J,8,FALSE)="Short",AT1887,AU1887),"")</f>
        <v/>
      </c>
      <c r="AW1887" s="109" t="str">
        <f t="shared" si="835"/>
        <v/>
      </c>
      <c r="AX1887" s="109" t="str">
        <f t="shared" si="836"/>
        <v/>
      </c>
      <c r="AY1887" s="112" t="str">
        <f>IF(ISNUMBER(O1887),IF(AND(VLOOKUP($D1887,Merchantability!$B:$C,2,0)="Yes",$E1887&gt;=VLOOKUP($D1887,Merchantability!$B:$D,3,0),$E1887&lt;=VLOOKUP($D1887,Merchantability!$B:$E,4,0)),(AV1887*O1887)*(1-$H1887/100),""),"")</f>
        <v/>
      </c>
      <c r="AZ1887" s="116"/>
      <c r="BA1887" s="116"/>
      <c r="BB1887" s="116"/>
      <c r="BE1887" s="62"/>
      <c r="BF1887" s="63"/>
    </row>
    <row r="1888" spans="1:58" ht="12.75" customHeight="1" x14ac:dyDescent="0.25">
      <c r="A1888" s="334"/>
      <c r="B1888" s="334"/>
      <c r="C1888" s="332"/>
      <c r="D1888" s="334"/>
      <c r="E1888" s="335"/>
      <c r="F1888" s="334"/>
      <c r="G1888" s="332"/>
      <c r="H1888" s="332"/>
      <c r="I1888" s="334"/>
      <c r="J1888" s="336"/>
      <c r="K1888" s="332"/>
      <c r="L1888" s="332"/>
      <c r="M1888" s="76"/>
      <c r="N1888" s="103" t="str">
        <f>IF(A1888="","",VLOOKUP(A1888,Stand!C:K,9,0))</f>
        <v/>
      </c>
      <c r="O1888" s="104" t="str">
        <f t="shared" si="821"/>
        <v/>
      </c>
      <c r="P1888" s="105" t="str">
        <f t="shared" si="822"/>
        <v/>
      </c>
      <c r="Q1888" s="105" t="str">
        <f t="shared" si="837"/>
        <v/>
      </c>
      <c r="R1888" s="103" t="str">
        <f t="shared" si="823"/>
        <v/>
      </c>
      <c r="S1888" s="103" t="str">
        <f t="shared" si="824"/>
        <v/>
      </c>
      <c r="T1888" s="106" t="str">
        <f t="shared" si="838"/>
        <v/>
      </c>
      <c r="U1888" s="106" t="str">
        <f t="shared" si="839"/>
        <v/>
      </c>
      <c r="V1888" s="106" t="str">
        <f t="shared" si="840"/>
        <v/>
      </c>
      <c r="W1888" s="105" t="str">
        <f t="shared" si="825"/>
        <v/>
      </c>
      <c r="X1888" s="104" t="str">
        <f t="shared" si="830"/>
        <v/>
      </c>
      <c r="Y1888" s="104" t="str">
        <f t="array" ref="Y1888">IFERROR(IF(ISNUMBER(O1888),IF(COUNT(IF(A1888=$A$2:$A$2427,IF(D1888=$D$2:$D$2427,IF($X$2:$X$2427&gt;0,1))))&gt;0,SUM(IF(A1888=$A$2:$A$2427,IF(D1888=$D$2:$D$2427,$X$2:$X$2427)))/COUNT(IF(A1888=$A$2:$A$2427,IF(D1888=$D$2:$D$2427,IF(ISNUMBER($X$2:$X$2427),1)))),0),""),0)</f>
        <v/>
      </c>
      <c r="Z1888" s="104" t="str">
        <f>IF(ISNUMBER(O1888),IF(I1888&gt;0,(10^(VLOOKUP(D1888,'Species Codes'!B:C,2,0)+VLOOKUP(D1888,'Species Codes'!B:D,3,0)*LOG(E1888)+VLOOKUP(D1888,'Species Codes'!B:E,4,0)*LOG(I1888))),0),"")</f>
        <v/>
      </c>
      <c r="AA1888" s="104" t="str">
        <f>IFERROR((VLOOKUP(D1888,'Species Codes'!B:G,6,0)*Z1888)/2000,"")</f>
        <v/>
      </c>
      <c r="AB1888" s="104" t="e">
        <f>IF(Z1888&gt;0,((IF(OR(D1888="DF",D1888="RA")=TRUE,EXP(VLOOKUP(D1888,'Species Codes'!B:I,8,0)+VLOOKUP(D1888,'Species Codes'!B:J,9,0)*(LN((E1888*2.54)))),IF(OR(D1888="PY",D1888="RC",D1888="WH",D1888="NF")=TRUE,VLOOKUP(D1888,'Species Codes'!B:I,8,0)+VLOOKUP(D1888,'Species Codes'!B:J,9,0)*((E1888*2.54)^2)*(I1888*0.3048),IF(OR(D1888="MD",D1888="BM",D1888="GA")=TRUE,((VLOOKUP(D1888,'Species Codes'!B:I,8,0)*(((((E1888*2.54)+VLOOKUP(D1888,'Species Codes'!B:J,9,0))/VLOOKUP(D1888,'Species Codes'!B:K,10,0))^VLOOKUP(D1888,'Species Codes'!B:L,11,0))*((I1888*0.3048)^VLOOKUP(D1888,'Species Codes'!B:M,12,0))))-(VLOOKUP(D1888,'Species Codes'!B:I,8,0)*((((E1888*2.54)^VLOOKUP(D1888,'Species Codes'!B:L,11,0))*((I1888*0.3048)^VLOOKUP(D1888,'Species Codes'!B:M,12,0))))))*35.3*VLOOKUP(D1888,'Species Codes'!B:G,6,0)/2.2046,VLOOKUP(D1888,'Species Codes'!B:I,8,0)+VLOOKUP(D1888,'Species Codes'!B:J,9,0)*(((E1888*2.54)/100)^2)*(I1888*0.3048)))))*0.0011023),0)</f>
        <v>#N/A</v>
      </c>
      <c r="AC1888" s="104" t="e">
        <f>IF(Z1888&gt;0,((IF(OR(D1888="RA",D1888="OA",D1888="OT",D1888="UN",D1888="PC"),EXP(VLOOKUP(D1888,'Species Codes'!B:O,14,0)+VLOOKUP(D1888,'Species Codes'!B:P,15,0)*LN((E1888*2.54)))-EXP(VLOOKUP(D1888,'Species Codes'!B:O,14,0)+VLOOKUP(D1888,'Species Codes'!B:P,15,0)*LN((E1888*2.54)))*(1/(VLOOKUP(D1888,'Species Codes'!B:Q,16,0)+VLOOKUP(D1888,'Species Codes'!B:R,17,0)*((E1888*2.54)^VLOOKUP(D1888,'Species Codes'!B:S,18,0)))),IF(OR(D1888="BM",D1888="MD",D1888="OA"),EXP(VLOOKUP(D1888,'Species Codes'!B:O,14,0)+VLOOKUP(D1888,'Species Codes'!B:P,15,0)*LN((E1888*2.54)))*(1-(1/(VLOOKUP(D1888,'Species Codes'!B:Q,16,0)+VLOOKUP(D1888,'Species Codes'!B:R,17,0)*((E1888*2.54)^VLOOKUP(D1888,'Species Codes'!B:S,18,0)))))/1000,IF(D1888="DF",EXP(VLOOKUP(D1888,'Species Codes'!B:O,14,0)+VLOOKUP(D1888,'Species Codes'!B:P,15,0)*LN((E1888*2.54))),VLOOKUP(D1888,'Species Codes'!B:O,14,0)+VLOOKUP(D1888,'Species Codes'!B:P,15,0)*(((E1888*2.54)/100)^2)*(I1888*0.3048)))))*0.0011023),0)</f>
        <v>#N/A</v>
      </c>
      <c r="AD1888" s="104" t="e">
        <f t="shared" si="841"/>
        <v>#N/A</v>
      </c>
      <c r="AE1888" s="104" t="e">
        <f t="shared" si="842"/>
        <v>#N/A</v>
      </c>
      <c r="AF1888" s="104" t="e">
        <f>IF(AND(VLOOKUP($D1888,Merchantability!$B:$C,2,0)="Yes",$E1888&gt;=VLOOKUP($D1888,Merchantability!$B:$D,3,0),$E1888&lt;=VLOOKUP($D1888,Merchantability!$B:$E,4,0)),AA1888,0)</f>
        <v>#N/A</v>
      </c>
      <c r="AG1888" s="104" t="e">
        <f>IF(AND(VLOOKUP($D1888,Merchantability!$B:$C,2,0)="Yes",$E1888&gt;=VLOOKUP($D1888,Merchantability!$B:$D,3,0),$E1888&lt;=VLOOKUP($D1888,Merchantability!$B:$E,4,0)),AB1888,0)</f>
        <v>#N/A</v>
      </c>
      <c r="AH1888" s="104" t="e">
        <f>IF(AND(VLOOKUP($D1888,Merchantability!$B:$C,2,0)="Yes",$E1888&gt;=VLOOKUP($D1888,Merchantability!$B:$D,3,0),$E1888&lt;=VLOOKUP($D1888,Merchantability!$B:$E,4,0)),AC1888,0)</f>
        <v>#N/A</v>
      </c>
      <c r="AI1888" s="104" t="e">
        <f t="shared" si="843"/>
        <v>#N/A</v>
      </c>
      <c r="AJ1888" s="104" t="e">
        <f t="shared" si="844"/>
        <v>#VALUE!</v>
      </c>
      <c r="AK1888" s="104" t="e">
        <f t="shared" si="845"/>
        <v>#N/A</v>
      </c>
      <c r="AL1888" s="104" t="e">
        <f t="shared" si="846"/>
        <v>#N/A</v>
      </c>
      <c r="AM1888" s="104" t="e">
        <f t="shared" si="847"/>
        <v>#N/A</v>
      </c>
      <c r="AN1888" s="104" t="e">
        <f t="shared" si="831"/>
        <v>#N/A</v>
      </c>
      <c r="AO1888" s="104" t="e">
        <f t="shared" si="832"/>
        <v>#N/A</v>
      </c>
      <c r="AP1888" s="104" t="e">
        <f t="shared" si="833"/>
        <v>#N/A</v>
      </c>
      <c r="AQ1888" s="104" t="e">
        <f t="shared" si="834"/>
        <v>#N/A</v>
      </c>
      <c r="AR1888" s="105" t="str">
        <f t="shared" si="826"/>
        <v/>
      </c>
      <c r="AS1888" s="105" t="str">
        <f t="shared" si="827"/>
        <v/>
      </c>
      <c r="AT1888" s="108" t="str">
        <f t="shared" si="828"/>
        <v/>
      </c>
      <c r="AU1888" s="108" t="str">
        <f t="shared" si="829"/>
        <v/>
      </c>
      <c r="AV1888" s="107" t="str">
        <f>IF(ISNUMBER(O1888),IF(VLOOKUP($A1888,Stand!C:J,8,FALSE)="Short",AT1888,AU1888),"")</f>
        <v/>
      </c>
      <c r="AW1888" s="109" t="str">
        <f t="shared" si="835"/>
        <v/>
      </c>
      <c r="AX1888" s="109" t="str">
        <f t="shared" si="836"/>
        <v/>
      </c>
      <c r="AY1888" s="112" t="str">
        <f>IF(ISNUMBER(O1888),IF(AND(VLOOKUP($D1888,Merchantability!$B:$C,2,0)="Yes",$E1888&gt;=VLOOKUP($D1888,Merchantability!$B:$D,3,0),$E1888&lt;=VLOOKUP($D1888,Merchantability!$B:$E,4,0)),(AV1888*O1888)*(1-$H1888/100),""),"")</f>
        <v/>
      </c>
      <c r="AZ1888" s="116"/>
      <c r="BA1888" s="116"/>
      <c r="BB1888" s="116"/>
      <c r="BE1888" s="62"/>
      <c r="BF1888" s="63"/>
    </row>
    <row r="1889" spans="1:58" ht="12.75" customHeight="1" x14ac:dyDescent="0.25">
      <c r="A1889" s="334"/>
      <c r="B1889" s="334"/>
      <c r="C1889" s="332"/>
      <c r="D1889" s="334"/>
      <c r="E1889" s="335"/>
      <c r="F1889" s="334"/>
      <c r="G1889" s="332"/>
      <c r="H1889" s="332"/>
      <c r="I1889" s="334"/>
      <c r="J1889" s="336"/>
      <c r="K1889" s="332"/>
      <c r="L1889" s="332"/>
      <c r="M1889" s="76"/>
      <c r="N1889" s="103" t="str">
        <f>IF(A1889="","",VLOOKUP(A1889,Stand!C:K,9,0))</f>
        <v/>
      </c>
      <c r="O1889" s="104" t="str">
        <f t="shared" si="821"/>
        <v/>
      </c>
      <c r="P1889" s="105" t="str">
        <f t="shared" si="822"/>
        <v/>
      </c>
      <c r="Q1889" s="105" t="str">
        <f t="shared" si="837"/>
        <v/>
      </c>
      <c r="R1889" s="103" t="str">
        <f t="shared" si="823"/>
        <v/>
      </c>
      <c r="S1889" s="103" t="str">
        <f t="shared" si="824"/>
        <v/>
      </c>
      <c r="T1889" s="106" t="str">
        <f t="shared" si="838"/>
        <v/>
      </c>
      <c r="U1889" s="106" t="str">
        <f t="shared" si="839"/>
        <v/>
      </c>
      <c r="V1889" s="106" t="str">
        <f t="shared" si="840"/>
        <v/>
      </c>
      <c r="W1889" s="105" t="str">
        <f t="shared" si="825"/>
        <v/>
      </c>
      <c r="X1889" s="104" t="str">
        <f t="shared" si="830"/>
        <v/>
      </c>
      <c r="Y1889" s="104" t="str">
        <f t="array" ref="Y1889">IFERROR(IF(ISNUMBER(O1889),IF(COUNT(IF(A1889=$A$2:$A$2427,IF(D1889=$D$2:$D$2427,IF($X$2:$X$2427&gt;0,1))))&gt;0,SUM(IF(A1889=$A$2:$A$2427,IF(D1889=$D$2:$D$2427,$X$2:$X$2427)))/COUNT(IF(A1889=$A$2:$A$2427,IF(D1889=$D$2:$D$2427,IF(ISNUMBER($X$2:$X$2427),1)))),0),""),0)</f>
        <v/>
      </c>
      <c r="Z1889" s="104" t="str">
        <f>IF(ISNUMBER(O1889),IF(I1889&gt;0,(10^(VLOOKUP(D1889,'Species Codes'!B:C,2,0)+VLOOKUP(D1889,'Species Codes'!B:D,3,0)*LOG(E1889)+VLOOKUP(D1889,'Species Codes'!B:E,4,0)*LOG(I1889))),0),"")</f>
        <v/>
      </c>
      <c r="AA1889" s="104" t="str">
        <f>IFERROR((VLOOKUP(D1889,'Species Codes'!B:G,6,0)*Z1889)/2000,"")</f>
        <v/>
      </c>
      <c r="AB1889" s="104" t="e">
        <f>IF(Z1889&gt;0,((IF(OR(D1889="DF",D1889="RA")=TRUE,EXP(VLOOKUP(D1889,'Species Codes'!B:I,8,0)+VLOOKUP(D1889,'Species Codes'!B:J,9,0)*(LN((E1889*2.54)))),IF(OR(D1889="PY",D1889="RC",D1889="WH",D1889="NF")=TRUE,VLOOKUP(D1889,'Species Codes'!B:I,8,0)+VLOOKUP(D1889,'Species Codes'!B:J,9,0)*((E1889*2.54)^2)*(I1889*0.3048),IF(OR(D1889="MD",D1889="BM",D1889="GA")=TRUE,((VLOOKUP(D1889,'Species Codes'!B:I,8,0)*(((((E1889*2.54)+VLOOKUP(D1889,'Species Codes'!B:J,9,0))/VLOOKUP(D1889,'Species Codes'!B:K,10,0))^VLOOKUP(D1889,'Species Codes'!B:L,11,0))*((I1889*0.3048)^VLOOKUP(D1889,'Species Codes'!B:M,12,0))))-(VLOOKUP(D1889,'Species Codes'!B:I,8,0)*((((E1889*2.54)^VLOOKUP(D1889,'Species Codes'!B:L,11,0))*((I1889*0.3048)^VLOOKUP(D1889,'Species Codes'!B:M,12,0))))))*35.3*VLOOKUP(D1889,'Species Codes'!B:G,6,0)/2.2046,VLOOKUP(D1889,'Species Codes'!B:I,8,0)+VLOOKUP(D1889,'Species Codes'!B:J,9,0)*(((E1889*2.54)/100)^2)*(I1889*0.3048)))))*0.0011023),0)</f>
        <v>#N/A</v>
      </c>
      <c r="AC1889" s="104" t="e">
        <f>IF(Z1889&gt;0,((IF(OR(D1889="RA",D1889="OA",D1889="OT",D1889="UN",D1889="PC"),EXP(VLOOKUP(D1889,'Species Codes'!B:O,14,0)+VLOOKUP(D1889,'Species Codes'!B:P,15,0)*LN((E1889*2.54)))-EXP(VLOOKUP(D1889,'Species Codes'!B:O,14,0)+VLOOKUP(D1889,'Species Codes'!B:P,15,0)*LN((E1889*2.54)))*(1/(VLOOKUP(D1889,'Species Codes'!B:Q,16,0)+VLOOKUP(D1889,'Species Codes'!B:R,17,0)*((E1889*2.54)^VLOOKUP(D1889,'Species Codes'!B:S,18,0)))),IF(OR(D1889="BM",D1889="MD",D1889="OA"),EXP(VLOOKUP(D1889,'Species Codes'!B:O,14,0)+VLOOKUP(D1889,'Species Codes'!B:P,15,0)*LN((E1889*2.54)))*(1-(1/(VLOOKUP(D1889,'Species Codes'!B:Q,16,0)+VLOOKUP(D1889,'Species Codes'!B:R,17,0)*((E1889*2.54)^VLOOKUP(D1889,'Species Codes'!B:S,18,0)))))/1000,IF(D1889="DF",EXP(VLOOKUP(D1889,'Species Codes'!B:O,14,0)+VLOOKUP(D1889,'Species Codes'!B:P,15,0)*LN((E1889*2.54))),VLOOKUP(D1889,'Species Codes'!B:O,14,0)+VLOOKUP(D1889,'Species Codes'!B:P,15,0)*(((E1889*2.54)/100)^2)*(I1889*0.3048)))))*0.0011023),0)</f>
        <v>#N/A</v>
      </c>
      <c r="AD1889" s="104" t="e">
        <f t="shared" si="841"/>
        <v>#N/A</v>
      </c>
      <c r="AE1889" s="104" t="e">
        <f t="shared" si="842"/>
        <v>#N/A</v>
      </c>
      <c r="AF1889" s="104" t="e">
        <f>IF(AND(VLOOKUP($D1889,Merchantability!$B:$C,2,0)="Yes",$E1889&gt;=VLOOKUP($D1889,Merchantability!$B:$D,3,0),$E1889&lt;=VLOOKUP($D1889,Merchantability!$B:$E,4,0)),AA1889,0)</f>
        <v>#N/A</v>
      </c>
      <c r="AG1889" s="104" t="e">
        <f>IF(AND(VLOOKUP($D1889,Merchantability!$B:$C,2,0)="Yes",$E1889&gt;=VLOOKUP($D1889,Merchantability!$B:$D,3,0),$E1889&lt;=VLOOKUP($D1889,Merchantability!$B:$E,4,0)),AB1889,0)</f>
        <v>#N/A</v>
      </c>
      <c r="AH1889" s="104" t="e">
        <f>IF(AND(VLOOKUP($D1889,Merchantability!$B:$C,2,0)="Yes",$E1889&gt;=VLOOKUP($D1889,Merchantability!$B:$D,3,0),$E1889&lt;=VLOOKUP($D1889,Merchantability!$B:$E,4,0)),AC1889,0)</f>
        <v>#N/A</v>
      </c>
      <c r="AI1889" s="104" t="e">
        <f t="shared" si="843"/>
        <v>#N/A</v>
      </c>
      <c r="AJ1889" s="104" t="e">
        <f t="shared" si="844"/>
        <v>#VALUE!</v>
      </c>
      <c r="AK1889" s="104" t="e">
        <f t="shared" si="845"/>
        <v>#N/A</v>
      </c>
      <c r="AL1889" s="104" t="e">
        <f t="shared" si="846"/>
        <v>#N/A</v>
      </c>
      <c r="AM1889" s="104" t="e">
        <f t="shared" si="847"/>
        <v>#N/A</v>
      </c>
      <c r="AN1889" s="104" t="e">
        <f t="shared" si="831"/>
        <v>#N/A</v>
      </c>
      <c r="AO1889" s="104" t="e">
        <f t="shared" si="832"/>
        <v>#N/A</v>
      </c>
      <c r="AP1889" s="104" t="e">
        <f t="shared" si="833"/>
        <v>#N/A</v>
      </c>
      <c r="AQ1889" s="104" t="e">
        <f t="shared" si="834"/>
        <v>#N/A</v>
      </c>
      <c r="AR1889" s="105" t="str">
        <f t="shared" si="826"/>
        <v/>
      </c>
      <c r="AS1889" s="105" t="str">
        <f t="shared" si="827"/>
        <v/>
      </c>
      <c r="AT1889" s="108" t="str">
        <f t="shared" si="828"/>
        <v/>
      </c>
      <c r="AU1889" s="108" t="str">
        <f t="shared" si="829"/>
        <v/>
      </c>
      <c r="AV1889" s="107" t="str">
        <f>IF(ISNUMBER(O1889),IF(VLOOKUP($A1889,Stand!C:J,8,FALSE)="Short",AT1889,AU1889),"")</f>
        <v/>
      </c>
      <c r="AW1889" s="109" t="str">
        <f t="shared" si="835"/>
        <v/>
      </c>
      <c r="AX1889" s="109" t="str">
        <f t="shared" si="836"/>
        <v/>
      </c>
      <c r="AY1889" s="112" t="str">
        <f>IF(ISNUMBER(O1889),IF(AND(VLOOKUP($D1889,Merchantability!$B:$C,2,0)="Yes",$E1889&gt;=VLOOKUP($D1889,Merchantability!$B:$D,3,0),$E1889&lt;=VLOOKUP($D1889,Merchantability!$B:$E,4,0)),(AV1889*O1889)*(1-$H1889/100),""),"")</f>
        <v/>
      </c>
      <c r="AZ1889" s="116"/>
      <c r="BA1889" s="116"/>
      <c r="BB1889" s="116"/>
      <c r="BE1889" s="62"/>
      <c r="BF1889" s="63"/>
    </row>
    <row r="1890" spans="1:58" ht="12.75" customHeight="1" x14ac:dyDescent="0.25">
      <c r="A1890" s="334"/>
      <c r="B1890" s="334"/>
      <c r="C1890" s="332"/>
      <c r="D1890" s="334"/>
      <c r="E1890" s="335"/>
      <c r="F1890" s="334"/>
      <c r="G1890" s="332"/>
      <c r="H1890" s="332"/>
      <c r="I1890" s="334"/>
      <c r="J1890" s="336"/>
      <c r="K1890" s="332"/>
      <c r="L1890" s="332"/>
      <c r="M1890" s="76"/>
      <c r="N1890" s="103" t="str">
        <f>IF(A1890="","",VLOOKUP(A1890,Stand!C:K,9,0))</f>
        <v/>
      </c>
      <c r="O1890" s="104" t="str">
        <f t="shared" si="821"/>
        <v/>
      </c>
      <c r="P1890" s="105" t="str">
        <f t="shared" si="822"/>
        <v/>
      </c>
      <c r="Q1890" s="105" t="str">
        <f t="shared" si="837"/>
        <v/>
      </c>
      <c r="R1890" s="103" t="str">
        <f t="shared" si="823"/>
        <v/>
      </c>
      <c r="S1890" s="103" t="str">
        <f t="shared" si="824"/>
        <v/>
      </c>
      <c r="T1890" s="106" t="str">
        <f t="shared" si="838"/>
        <v/>
      </c>
      <c r="U1890" s="106" t="str">
        <f t="shared" si="839"/>
        <v/>
      </c>
      <c r="V1890" s="106" t="str">
        <f t="shared" si="840"/>
        <v/>
      </c>
      <c r="W1890" s="105" t="str">
        <f t="shared" si="825"/>
        <v/>
      </c>
      <c r="X1890" s="104" t="str">
        <f t="shared" si="830"/>
        <v/>
      </c>
      <c r="Y1890" s="104" t="str">
        <f t="array" ref="Y1890">IFERROR(IF(ISNUMBER(O1890),IF(COUNT(IF(A1890=$A$2:$A$2427,IF(D1890=$D$2:$D$2427,IF($X$2:$X$2427&gt;0,1))))&gt;0,SUM(IF(A1890=$A$2:$A$2427,IF(D1890=$D$2:$D$2427,$X$2:$X$2427)))/COUNT(IF(A1890=$A$2:$A$2427,IF(D1890=$D$2:$D$2427,IF(ISNUMBER($X$2:$X$2427),1)))),0),""),0)</f>
        <v/>
      </c>
      <c r="Z1890" s="104" t="str">
        <f>IF(ISNUMBER(O1890),IF(I1890&gt;0,(10^(VLOOKUP(D1890,'Species Codes'!B:C,2,0)+VLOOKUP(D1890,'Species Codes'!B:D,3,0)*LOG(E1890)+VLOOKUP(D1890,'Species Codes'!B:E,4,0)*LOG(I1890))),0),"")</f>
        <v/>
      </c>
      <c r="AA1890" s="104" t="str">
        <f>IFERROR((VLOOKUP(D1890,'Species Codes'!B:G,6,0)*Z1890)/2000,"")</f>
        <v/>
      </c>
      <c r="AB1890" s="104" t="e">
        <f>IF(Z1890&gt;0,((IF(OR(D1890="DF",D1890="RA")=TRUE,EXP(VLOOKUP(D1890,'Species Codes'!B:I,8,0)+VLOOKUP(D1890,'Species Codes'!B:J,9,0)*(LN((E1890*2.54)))),IF(OR(D1890="PY",D1890="RC",D1890="WH",D1890="NF")=TRUE,VLOOKUP(D1890,'Species Codes'!B:I,8,0)+VLOOKUP(D1890,'Species Codes'!B:J,9,0)*((E1890*2.54)^2)*(I1890*0.3048),IF(OR(D1890="MD",D1890="BM",D1890="GA")=TRUE,((VLOOKUP(D1890,'Species Codes'!B:I,8,0)*(((((E1890*2.54)+VLOOKUP(D1890,'Species Codes'!B:J,9,0))/VLOOKUP(D1890,'Species Codes'!B:K,10,0))^VLOOKUP(D1890,'Species Codes'!B:L,11,0))*((I1890*0.3048)^VLOOKUP(D1890,'Species Codes'!B:M,12,0))))-(VLOOKUP(D1890,'Species Codes'!B:I,8,0)*((((E1890*2.54)^VLOOKUP(D1890,'Species Codes'!B:L,11,0))*((I1890*0.3048)^VLOOKUP(D1890,'Species Codes'!B:M,12,0))))))*35.3*VLOOKUP(D1890,'Species Codes'!B:G,6,0)/2.2046,VLOOKUP(D1890,'Species Codes'!B:I,8,0)+VLOOKUP(D1890,'Species Codes'!B:J,9,0)*(((E1890*2.54)/100)^2)*(I1890*0.3048)))))*0.0011023),0)</f>
        <v>#N/A</v>
      </c>
      <c r="AC1890" s="104" t="e">
        <f>IF(Z1890&gt;0,((IF(OR(D1890="RA",D1890="OA",D1890="OT",D1890="UN",D1890="PC"),EXP(VLOOKUP(D1890,'Species Codes'!B:O,14,0)+VLOOKUP(D1890,'Species Codes'!B:P,15,0)*LN((E1890*2.54)))-EXP(VLOOKUP(D1890,'Species Codes'!B:O,14,0)+VLOOKUP(D1890,'Species Codes'!B:P,15,0)*LN((E1890*2.54)))*(1/(VLOOKUP(D1890,'Species Codes'!B:Q,16,0)+VLOOKUP(D1890,'Species Codes'!B:R,17,0)*((E1890*2.54)^VLOOKUP(D1890,'Species Codes'!B:S,18,0)))),IF(OR(D1890="BM",D1890="MD",D1890="OA"),EXP(VLOOKUP(D1890,'Species Codes'!B:O,14,0)+VLOOKUP(D1890,'Species Codes'!B:P,15,0)*LN((E1890*2.54)))*(1-(1/(VLOOKUP(D1890,'Species Codes'!B:Q,16,0)+VLOOKUP(D1890,'Species Codes'!B:R,17,0)*((E1890*2.54)^VLOOKUP(D1890,'Species Codes'!B:S,18,0)))))/1000,IF(D1890="DF",EXP(VLOOKUP(D1890,'Species Codes'!B:O,14,0)+VLOOKUP(D1890,'Species Codes'!B:P,15,0)*LN((E1890*2.54))),VLOOKUP(D1890,'Species Codes'!B:O,14,0)+VLOOKUP(D1890,'Species Codes'!B:P,15,0)*(((E1890*2.54)/100)^2)*(I1890*0.3048)))))*0.0011023),0)</f>
        <v>#N/A</v>
      </c>
      <c r="AD1890" s="104" t="e">
        <f t="shared" si="841"/>
        <v>#N/A</v>
      </c>
      <c r="AE1890" s="104" t="e">
        <f t="shared" si="842"/>
        <v>#N/A</v>
      </c>
      <c r="AF1890" s="104" t="e">
        <f>IF(AND(VLOOKUP($D1890,Merchantability!$B:$C,2,0)="Yes",$E1890&gt;=VLOOKUP($D1890,Merchantability!$B:$D,3,0),$E1890&lt;=VLOOKUP($D1890,Merchantability!$B:$E,4,0)),AA1890,0)</f>
        <v>#N/A</v>
      </c>
      <c r="AG1890" s="104" t="e">
        <f>IF(AND(VLOOKUP($D1890,Merchantability!$B:$C,2,0)="Yes",$E1890&gt;=VLOOKUP($D1890,Merchantability!$B:$D,3,0),$E1890&lt;=VLOOKUP($D1890,Merchantability!$B:$E,4,0)),AB1890,0)</f>
        <v>#N/A</v>
      </c>
      <c r="AH1890" s="104" t="e">
        <f>IF(AND(VLOOKUP($D1890,Merchantability!$B:$C,2,0)="Yes",$E1890&gt;=VLOOKUP($D1890,Merchantability!$B:$D,3,0),$E1890&lt;=VLOOKUP($D1890,Merchantability!$B:$E,4,0)),AC1890,0)</f>
        <v>#N/A</v>
      </c>
      <c r="AI1890" s="104" t="e">
        <f t="shared" si="843"/>
        <v>#N/A</v>
      </c>
      <c r="AJ1890" s="104" t="e">
        <f t="shared" si="844"/>
        <v>#VALUE!</v>
      </c>
      <c r="AK1890" s="104" t="e">
        <f t="shared" si="845"/>
        <v>#N/A</v>
      </c>
      <c r="AL1890" s="104" t="e">
        <f t="shared" si="846"/>
        <v>#N/A</v>
      </c>
      <c r="AM1890" s="104" t="e">
        <f t="shared" si="847"/>
        <v>#N/A</v>
      </c>
      <c r="AN1890" s="104" t="e">
        <f t="shared" si="831"/>
        <v>#N/A</v>
      </c>
      <c r="AO1890" s="104" t="e">
        <f t="shared" si="832"/>
        <v>#N/A</v>
      </c>
      <c r="AP1890" s="104" t="e">
        <f t="shared" si="833"/>
        <v>#N/A</v>
      </c>
      <c r="AQ1890" s="104" t="e">
        <f t="shared" si="834"/>
        <v>#N/A</v>
      </c>
      <c r="AR1890" s="105" t="str">
        <f t="shared" si="826"/>
        <v/>
      </c>
      <c r="AS1890" s="105" t="str">
        <f t="shared" si="827"/>
        <v/>
      </c>
      <c r="AT1890" s="108" t="str">
        <f t="shared" si="828"/>
        <v/>
      </c>
      <c r="AU1890" s="108" t="str">
        <f t="shared" si="829"/>
        <v/>
      </c>
      <c r="AV1890" s="107" t="str">
        <f>IF(ISNUMBER(O1890),IF(VLOOKUP($A1890,Stand!C:J,8,FALSE)="Short",AT1890,AU1890),"")</f>
        <v/>
      </c>
      <c r="AW1890" s="109" t="str">
        <f t="shared" si="835"/>
        <v/>
      </c>
      <c r="AX1890" s="109" t="str">
        <f t="shared" si="836"/>
        <v/>
      </c>
      <c r="AY1890" s="112" t="str">
        <f>IF(ISNUMBER(O1890),IF(AND(VLOOKUP($D1890,Merchantability!$B:$C,2,0)="Yes",$E1890&gt;=VLOOKUP($D1890,Merchantability!$B:$D,3,0),$E1890&lt;=VLOOKUP($D1890,Merchantability!$B:$E,4,0)),(AV1890*O1890)*(1-$H1890/100),""),"")</f>
        <v/>
      </c>
      <c r="AZ1890" s="116"/>
      <c r="BA1890" s="116"/>
      <c r="BB1890" s="116"/>
      <c r="BE1890" s="62"/>
      <c r="BF1890" s="63"/>
    </row>
    <row r="1891" spans="1:58" ht="12.75" customHeight="1" x14ac:dyDescent="0.25">
      <c r="A1891" s="334"/>
      <c r="B1891" s="334"/>
      <c r="C1891" s="332"/>
      <c r="D1891" s="334"/>
      <c r="E1891" s="335"/>
      <c r="F1891" s="334"/>
      <c r="G1891" s="332"/>
      <c r="H1891" s="332"/>
      <c r="I1891" s="334"/>
      <c r="J1891" s="336"/>
      <c r="K1891" s="332"/>
      <c r="L1891" s="332"/>
      <c r="M1891" s="76"/>
      <c r="N1891" s="103" t="str">
        <f>IF(A1891="","",VLOOKUP(A1891,Stand!C:K,9,0))</f>
        <v/>
      </c>
      <c r="O1891" s="104" t="str">
        <f t="shared" si="821"/>
        <v/>
      </c>
      <c r="P1891" s="105" t="str">
        <f t="shared" si="822"/>
        <v/>
      </c>
      <c r="Q1891" s="105" t="str">
        <f t="shared" si="837"/>
        <v/>
      </c>
      <c r="R1891" s="103" t="str">
        <f t="shared" si="823"/>
        <v/>
      </c>
      <c r="S1891" s="103" t="str">
        <f t="shared" si="824"/>
        <v/>
      </c>
      <c r="T1891" s="106" t="str">
        <f t="shared" si="838"/>
        <v/>
      </c>
      <c r="U1891" s="106" t="str">
        <f t="shared" si="839"/>
        <v/>
      </c>
      <c r="V1891" s="106" t="str">
        <f t="shared" si="840"/>
        <v/>
      </c>
      <c r="W1891" s="105" t="str">
        <f t="shared" si="825"/>
        <v/>
      </c>
      <c r="X1891" s="104" t="str">
        <f t="shared" si="830"/>
        <v/>
      </c>
      <c r="Y1891" s="104" t="str">
        <f t="array" ref="Y1891">IFERROR(IF(ISNUMBER(O1891),IF(COUNT(IF(A1891=$A$2:$A$2427,IF(D1891=$D$2:$D$2427,IF($X$2:$X$2427&gt;0,1))))&gt;0,SUM(IF(A1891=$A$2:$A$2427,IF(D1891=$D$2:$D$2427,$X$2:$X$2427)))/COUNT(IF(A1891=$A$2:$A$2427,IF(D1891=$D$2:$D$2427,IF(ISNUMBER($X$2:$X$2427),1)))),0),""),0)</f>
        <v/>
      </c>
      <c r="Z1891" s="104" t="str">
        <f>IF(ISNUMBER(O1891),IF(I1891&gt;0,(10^(VLOOKUP(D1891,'Species Codes'!B:C,2,0)+VLOOKUP(D1891,'Species Codes'!B:D,3,0)*LOG(E1891)+VLOOKUP(D1891,'Species Codes'!B:E,4,0)*LOG(I1891))),0),"")</f>
        <v/>
      </c>
      <c r="AA1891" s="104" t="str">
        <f>IFERROR((VLOOKUP(D1891,'Species Codes'!B:G,6,0)*Z1891)/2000,"")</f>
        <v/>
      </c>
      <c r="AB1891" s="104" t="e">
        <f>IF(Z1891&gt;0,((IF(OR(D1891="DF",D1891="RA")=TRUE,EXP(VLOOKUP(D1891,'Species Codes'!B:I,8,0)+VLOOKUP(D1891,'Species Codes'!B:J,9,0)*(LN((E1891*2.54)))),IF(OR(D1891="PY",D1891="RC",D1891="WH",D1891="NF")=TRUE,VLOOKUP(D1891,'Species Codes'!B:I,8,0)+VLOOKUP(D1891,'Species Codes'!B:J,9,0)*((E1891*2.54)^2)*(I1891*0.3048),IF(OR(D1891="MD",D1891="BM",D1891="GA")=TRUE,((VLOOKUP(D1891,'Species Codes'!B:I,8,0)*(((((E1891*2.54)+VLOOKUP(D1891,'Species Codes'!B:J,9,0))/VLOOKUP(D1891,'Species Codes'!B:K,10,0))^VLOOKUP(D1891,'Species Codes'!B:L,11,0))*((I1891*0.3048)^VLOOKUP(D1891,'Species Codes'!B:M,12,0))))-(VLOOKUP(D1891,'Species Codes'!B:I,8,0)*((((E1891*2.54)^VLOOKUP(D1891,'Species Codes'!B:L,11,0))*((I1891*0.3048)^VLOOKUP(D1891,'Species Codes'!B:M,12,0))))))*35.3*VLOOKUP(D1891,'Species Codes'!B:G,6,0)/2.2046,VLOOKUP(D1891,'Species Codes'!B:I,8,0)+VLOOKUP(D1891,'Species Codes'!B:J,9,0)*(((E1891*2.54)/100)^2)*(I1891*0.3048)))))*0.0011023),0)</f>
        <v>#N/A</v>
      </c>
      <c r="AC1891" s="104" t="e">
        <f>IF(Z1891&gt;0,((IF(OR(D1891="RA",D1891="OA",D1891="OT",D1891="UN",D1891="PC"),EXP(VLOOKUP(D1891,'Species Codes'!B:O,14,0)+VLOOKUP(D1891,'Species Codes'!B:P,15,0)*LN((E1891*2.54)))-EXP(VLOOKUP(D1891,'Species Codes'!B:O,14,0)+VLOOKUP(D1891,'Species Codes'!B:P,15,0)*LN((E1891*2.54)))*(1/(VLOOKUP(D1891,'Species Codes'!B:Q,16,0)+VLOOKUP(D1891,'Species Codes'!B:R,17,0)*((E1891*2.54)^VLOOKUP(D1891,'Species Codes'!B:S,18,0)))),IF(OR(D1891="BM",D1891="MD",D1891="OA"),EXP(VLOOKUP(D1891,'Species Codes'!B:O,14,0)+VLOOKUP(D1891,'Species Codes'!B:P,15,0)*LN((E1891*2.54)))*(1-(1/(VLOOKUP(D1891,'Species Codes'!B:Q,16,0)+VLOOKUP(D1891,'Species Codes'!B:R,17,0)*((E1891*2.54)^VLOOKUP(D1891,'Species Codes'!B:S,18,0)))))/1000,IF(D1891="DF",EXP(VLOOKUP(D1891,'Species Codes'!B:O,14,0)+VLOOKUP(D1891,'Species Codes'!B:P,15,0)*LN((E1891*2.54))),VLOOKUP(D1891,'Species Codes'!B:O,14,0)+VLOOKUP(D1891,'Species Codes'!B:P,15,0)*(((E1891*2.54)/100)^2)*(I1891*0.3048)))))*0.0011023),0)</f>
        <v>#N/A</v>
      </c>
      <c r="AD1891" s="104" t="e">
        <f t="shared" si="841"/>
        <v>#N/A</v>
      </c>
      <c r="AE1891" s="104" t="e">
        <f t="shared" si="842"/>
        <v>#N/A</v>
      </c>
      <c r="AF1891" s="104" t="e">
        <f>IF(AND(VLOOKUP($D1891,Merchantability!$B:$C,2,0)="Yes",$E1891&gt;=VLOOKUP($D1891,Merchantability!$B:$D,3,0),$E1891&lt;=VLOOKUP($D1891,Merchantability!$B:$E,4,0)),AA1891,0)</f>
        <v>#N/A</v>
      </c>
      <c r="AG1891" s="104" t="e">
        <f>IF(AND(VLOOKUP($D1891,Merchantability!$B:$C,2,0)="Yes",$E1891&gt;=VLOOKUP($D1891,Merchantability!$B:$D,3,0),$E1891&lt;=VLOOKUP($D1891,Merchantability!$B:$E,4,0)),AB1891,0)</f>
        <v>#N/A</v>
      </c>
      <c r="AH1891" s="104" t="e">
        <f>IF(AND(VLOOKUP($D1891,Merchantability!$B:$C,2,0)="Yes",$E1891&gt;=VLOOKUP($D1891,Merchantability!$B:$D,3,0),$E1891&lt;=VLOOKUP($D1891,Merchantability!$B:$E,4,0)),AC1891,0)</f>
        <v>#N/A</v>
      </c>
      <c r="AI1891" s="104" t="e">
        <f t="shared" si="843"/>
        <v>#N/A</v>
      </c>
      <c r="AJ1891" s="104" t="e">
        <f t="shared" si="844"/>
        <v>#VALUE!</v>
      </c>
      <c r="AK1891" s="104" t="e">
        <f t="shared" si="845"/>
        <v>#N/A</v>
      </c>
      <c r="AL1891" s="104" t="e">
        <f t="shared" si="846"/>
        <v>#N/A</v>
      </c>
      <c r="AM1891" s="104" t="e">
        <f t="shared" si="847"/>
        <v>#N/A</v>
      </c>
      <c r="AN1891" s="104" t="e">
        <f t="shared" si="831"/>
        <v>#N/A</v>
      </c>
      <c r="AO1891" s="104" t="e">
        <f t="shared" si="832"/>
        <v>#N/A</v>
      </c>
      <c r="AP1891" s="104" t="e">
        <f t="shared" si="833"/>
        <v>#N/A</v>
      </c>
      <c r="AQ1891" s="104" t="e">
        <f t="shared" si="834"/>
        <v>#N/A</v>
      </c>
      <c r="AR1891" s="105" t="str">
        <f t="shared" si="826"/>
        <v/>
      </c>
      <c r="AS1891" s="105" t="str">
        <f t="shared" si="827"/>
        <v/>
      </c>
      <c r="AT1891" s="108" t="str">
        <f t="shared" si="828"/>
        <v/>
      </c>
      <c r="AU1891" s="108" t="str">
        <f t="shared" si="829"/>
        <v/>
      </c>
      <c r="AV1891" s="107" t="str">
        <f>IF(ISNUMBER(O1891),IF(VLOOKUP($A1891,Stand!C:J,8,FALSE)="Short",AT1891,AU1891),"")</f>
        <v/>
      </c>
      <c r="AW1891" s="109" t="str">
        <f t="shared" si="835"/>
        <v/>
      </c>
      <c r="AX1891" s="109" t="str">
        <f t="shared" si="836"/>
        <v/>
      </c>
      <c r="AY1891" s="112" t="str">
        <f>IF(ISNUMBER(O1891),IF(AND(VLOOKUP($D1891,Merchantability!$B:$C,2,0)="Yes",$E1891&gt;=VLOOKUP($D1891,Merchantability!$B:$D,3,0),$E1891&lt;=VLOOKUP($D1891,Merchantability!$B:$E,4,0)),(AV1891*O1891)*(1-$H1891/100),""),"")</f>
        <v/>
      </c>
      <c r="AZ1891" s="116"/>
      <c r="BA1891" s="116"/>
      <c r="BB1891" s="116"/>
      <c r="BE1891" s="62"/>
      <c r="BF1891" s="63"/>
    </row>
    <row r="1892" spans="1:58" ht="12.75" customHeight="1" x14ac:dyDescent="0.25">
      <c r="A1892" s="334"/>
      <c r="B1892" s="334"/>
      <c r="C1892" s="332"/>
      <c r="D1892" s="334"/>
      <c r="E1892" s="335"/>
      <c r="F1892" s="334"/>
      <c r="G1892" s="332"/>
      <c r="H1892" s="332"/>
      <c r="I1892" s="334"/>
      <c r="J1892" s="336"/>
      <c r="K1892" s="332"/>
      <c r="L1892" s="332"/>
      <c r="M1892" s="76"/>
      <c r="N1892" s="103" t="str">
        <f>IF(A1892="","",VLOOKUP(A1892,Stand!C:K,9,0))</f>
        <v/>
      </c>
      <c r="O1892" s="104" t="str">
        <f t="shared" si="821"/>
        <v/>
      </c>
      <c r="P1892" s="105" t="str">
        <f t="shared" si="822"/>
        <v/>
      </c>
      <c r="Q1892" s="105" t="str">
        <f t="shared" si="837"/>
        <v/>
      </c>
      <c r="R1892" s="103" t="str">
        <f t="shared" si="823"/>
        <v/>
      </c>
      <c r="S1892" s="103" t="str">
        <f t="shared" si="824"/>
        <v/>
      </c>
      <c r="T1892" s="106" t="str">
        <f t="shared" si="838"/>
        <v/>
      </c>
      <c r="U1892" s="106" t="str">
        <f t="shared" si="839"/>
        <v/>
      </c>
      <c r="V1892" s="106" t="str">
        <f t="shared" si="840"/>
        <v/>
      </c>
      <c r="W1892" s="105" t="str">
        <f t="shared" si="825"/>
        <v/>
      </c>
      <c r="X1892" s="104" t="str">
        <f t="shared" si="830"/>
        <v/>
      </c>
      <c r="Y1892" s="104" t="str">
        <f t="array" ref="Y1892">IFERROR(IF(ISNUMBER(O1892),IF(COUNT(IF(A1892=$A$2:$A$2427,IF(D1892=$D$2:$D$2427,IF($X$2:$X$2427&gt;0,1))))&gt;0,SUM(IF(A1892=$A$2:$A$2427,IF(D1892=$D$2:$D$2427,$X$2:$X$2427)))/COUNT(IF(A1892=$A$2:$A$2427,IF(D1892=$D$2:$D$2427,IF(ISNUMBER($X$2:$X$2427),1)))),0),""),0)</f>
        <v/>
      </c>
      <c r="Z1892" s="104" t="str">
        <f>IF(ISNUMBER(O1892),IF(I1892&gt;0,(10^(VLOOKUP(D1892,'Species Codes'!B:C,2,0)+VLOOKUP(D1892,'Species Codes'!B:D,3,0)*LOG(E1892)+VLOOKUP(D1892,'Species Codes'!B:E,4,0)*LOG(I1892))),0),"")</f>
        <v/>
      </c>
      <c r="AA1892" s="104" t="str">
        <f>IFERROR((VLOOKUP(D1892,'Species Codes'!B:G,6,0)*Z1892)/2000,"")</f>
        <v/>
      </c>
      <c r="AB1892" s="104" t="e">
        <f>IF(Z1892&gt;0,((IF(OR(D1892="DF",D1892="RA")=TRUE,EXP(VLOOKUP(D1892,'Species Codes'!B:I,8,0)+VLOOKUP(D1892,'Species Codes'!B:J,9,0)*(LN((E1892*2.54)))),IF(OR(D1892="PY",D1892="RC",D1892="WH",D1892="NF")=TRUE,VLOOKUP(D1892,'Species Codes'!B:I,8,0)+VLOOKUP(D1892,'Species Codes'!B:J,9,0)*((E1892*2.54)^2)*(I1892*0.3048),IF(OR(D1892="MD",D1892="BM",D1892="GA")=TRUE,((VLOOKUP(D1892,'Species Codes'!B:I,8,0)*(((((E1892*2.54)+VLOOKUP(D1892,'Species Codes'!B:J,9,0))/VLOOKUP(D1892,'Species Codes'!B:K,10,0))^VLOOKUP(D1892,'Species Codes'!B:L,11,0))*((I1892*0.3048)^VLOOKUP(D1892,'Species Codes'!B:M,12,0))))-(VLOOKUP(D1892,'Species Codes'!B:I,8,0)*((((E1892*2.54)^VLOOKUP(D1892,'Species Codes'!B:L,11,0))*((I1892*0.3048)^VLOOKUP(D1892,'Species Codes'!B:M,12,0))))))*35.3*VLOOKUP(D1892,'Species Codes'!B:G,6,0)/2.2046,VLOOKUP(D1892,'Species Codes'!B:I,8,0)+VLOOKUP(D1892,'Species Codes'!B:J,9,0)*(((E1892*2.54)/100)^2)*(I1892*0.3048)))))*0.0011023),0)</f>
        <v>#N/A</v>
      </c>
      <c r="AC1892" s="104" t="e">
        <f>IF(Z1892&gt;0,((IF(OR(D1892="RA",D1892="OA",D1892="OT",D1892="UN",D1892="PC"),EXP(VLOOKUP(D1892,'Species Codes'!B:O,14,0)+VLOOKUP(D1892,'Species Codes'!B:P,15,0)*LN((E1892*2.54)))-EXP(VLOOKUP(D1892,'Species Codes'!B:O,14,0)+VLOOKUP(D1892,'Species Codes'!B:P,15,0)*LN((E1892*2.54)))*(1/(VLOOKUP(D1892,'Species Codes'!B:Q,16,0)+VLOOKUP(D1892,'Species Codes'!B:R,17,0)*((E1892*2.54)^VLOOKUP(D1892,'Species Codes'!B:S,18,0)))),IF(OR(D1892="BM",D1892="MD",D1892="OA"),EXP(VLOOKUP(D1892,'Species Codes'!B:O,14,0)+VLOOKUP(D1892,'Species Codes'!B:P,15,0)*LN((E1892*2.54)))*(1-(1/(VLOOKUP(D1892,'Species Codes'!B:Q,16,0)+VLOOKUP(D1892,'Species Codes'!B:R,17,0)*((E1892*2.54)^VLOOKUP(D1892,'Species Codes'!B:S,18,0)))))/1000,IF(D1892="DF",EXP(VLOOKUP(D1892,'Species Codes'!B:O,14,0)+VLOOKUP(D1892,'Species Codes'!B:P,15,0)*LN((E1892*2.54))),VLOOKUP(D1892,'Species Codes'!B:O,14,0)+VLOOKUP(D1892,'Species Codes'!B:P,15,0)*(((E1892*2.54)/100)^2)*(I1892*0.3048)))))*0.0011023),0)</f>
        <v>#N/A</v>
      </c>
      <c r="AD1892" s="104" t="e">
        <f t="shared" si="841"/>
        <v>#N/A</v>
      </c>
      <c r="AE1892" s="104" t="e">
        <f t="shared" si="842"/>
        <v>#N/A</v>
      </c>
      <c r="AF1892" s="104" t="e">
        <f>IF(AND(VLOOKUP($D1892,Merchantability!$B:$C,2,0)="Yes",$E1892&gt;=VLOOKUP($D1892,Merchantability!$B:$D,3,0),$E1892&lt;=VLOOKUP($D1892,Merchantability!$B:$E,4,0)),AA1892,0)</f>
        <v>#N/A</v>
      </c>
      <c r="AG1892" s="104" t="e">
        <f>IF(AND(VLOOKUP($D1892,Merchantability!$B:$C,2,0)="Yes",$E1892&gt;=VLOOKUP($D1892,Merchantability!$B:$D,3,0),$E1892&lt;=VLOOKUP($D1892,Merchantability!$B:$E,4,0)),AB1892,0)</f>
        <v>#N/A</v>
      </c>
      <c r="AH1892" s="104" t="e">
        <f>IF(AND(VLOOKUP($D1892,Merchantability!$B:$C,2,0)="Yes",$E1892&gt;=VLOOKUP($D1892,Merchantability!$B:$D,3,0),$E1892&lt;=VLOOKUP($D1892,Merchantability!$B:$E,4,0)),AC1892,0)</f>
        <v>#N/A</v>
      </c>
      <c r="AI1892" s="104" t="e">
        <f t="shared" si="843"/>
        <v>#N/A</v>
      </c>
      <c r="AJ1892" s="104" t="e">
        <f t="shared" si="844"/>
        <v>#VALUE!</v>
      </c>
      <c r="AK1892" s="104" t="e">
        <f t="shared" si="845"/>
        <v>#N/A</v>
      </c>
      <c r="AL1892" s="104" t="e">
        <f t="shared" si="846"/>
        <v>#N/A</v>
      </c>
      <c r="AM1892" s="104" t="e">
        <f t="shared" si="847"/>
        <v>#N/A</v>
      </c>
      <c r="AN1892" s="104" t="e">
        <f t="shared" si="831"/>
        <v>#N/A</v>
      </c>
      <c r="AO1892" s="104" t="e">
        <f t="shared" si="832"/>
        <v>#N/A</v>
      </c>
      <c r="AP1892" s="104" t="e">
        <f t="shared" si="833"/>
        <v>#N/A</v>
      </c>
      <c r="AQ1892" s="104" t="e">
        <f t="shared" si="834"/>
        <v>#N/A</v>
      </c>
      <c r="AR1892" s="105" t="str">
        <f t="shared" si="826"/>
        <v/>
      </c>
      <c r="AS1892" s="105" t="str">
        <f t="shared" si="827"/>
        <v/>
      </c>
      <c r="AT1892" s="108" t="str">
        <f t="shared" si="828"/>
        <v/>
      </c>
      <c r="AU1892" s="108" t="str">
        <f t="shared" si="829"/>
        <v/>
      </c>
      <c r="AV1892" s="107" t="str">
        <f>IF(ISNUMBER(O1892),IF(VLOOKUP($A1892,Stand!C:J,8,FALSE)="Short",AT1892,AU1892),"")</f>
        <v/>
      </c>
      <c r="AW1892" s="109" t="str">
        <f t="shared" si="835"/>
        <v/>
      </c>
      <c r="AX1892" s="109" t="str">
        <f t="shared" si="836"/>
        <v/>
      </c>
      <c r="AY1892" s="112" t="str">
        <f>IF(ISNUMBER(O1892),IF(AND(VLOOKUP($D1892,Merchantability!$B:$C,2,0)="Yes",$E1892&gt;=VLOOKUP($D1892,Merchantability!$B:$D,3,0),$E1892&lt;=VLOOKUP($D1892,Merchantability!$B:$E,4,0)),(AV1892*O1892)*(1-$H1892/100),""),"")</f>
        <v/>
      </c>
      <c r="AZ1892" s="116"/>
      <c r="BA1892" s="116"/>
      <c r="BB1892" s="116"/>
      <c r="BE1892" s="62"/>
      <c r="BF1892" s="63"/>
    </row>
    <row r="1893" spans="1:58" ht="12.75" customHeight="1" x14ac:dyDescent="0.25">
      <c r="A1893" s="334"/>
      <c r="B1893" s="334"/>
      <c r="C1893" s="332"/>
      <c r="D1893" s="334"/>
      <c r="E1893" s="335"/>
      <c r="F1893" s="334"/>
      <c r="G1893" s="332"/>
      <c r="H1893" s="332"/>
      <c r="I1893" s="334"/>
      <c r="J1893" s="336"/>
      <c r="K1893" s="332"/>
      <c r="L1893" s="332"/>
      <c r="M1893" s="76"/>
      <c r="N1893" s="103" t="str">
        <f>IF(A1893="","",VLOOKUP(A1893,Stand!C:K,9,0))</f>
        <v/>
      </c>
      <c r="O1893" s="104" t="str">
        <f t="shared" si="821"/>
        <v/>
      </c>
      <c r="P1893" s="105" t="str">
        <f t="shared" si="822"/>
        <v/>
      </c>
      <c r="Q1893" s="105" t="str">
        <f t="shared" si="837"/>
        <v/>
      </c>
      <c r="R1893" s="103" t="str">
        <f t="shared" si="823"/>
        <v/>
      </c>
      <c r="S1893" s="103" t="str">
        <f t="shared" si="824"/>
        <v/>
      </c>
      <c r="T1893" s="106" t="str">
        <f t="shared" si="838"/>
        <v/>
      </c>
      <c r="U1893" s="106" t="str">
        <f t="shared" si="839"/>
        <v/>
      </c>
      <c r="V1893" s="106" t="str">
        <f t="shared" si="840"/>
        <v/>
      </c>
      <c r="W1893" s="105" t="str">
        <f t="shared" si="825"/>
        <v/>
      </c>
      <c r="X1893" s="104" t="str">
        <f t="shared" si="830"/>
        <v/>
      </c>
      <c r="Y1893" s="104" t="str">
        <f t="array" ref="Y1893">IFERROR(IF(ISNUMBER(O1893),IF(COUNT(IF(A1893=$A$2:$A$2427,IF(D1893=$D$2:$D$2427,IF($X$2:$X$2427&gt;0,1))))&gt;0,SUM(IF(A1893=$A$2:$A$2427,IF(D1893=$D$2:$D$2427,$X$2:$X$2427)))/COUNT(IF(A1893=$A$2:$A$2427,IF(D1893=$D$2:$D$2427,IF(ISNUMBER($X$2:$X$2427),1)))),0),""),0)</f>
        <v/>
      </c>
      <c r="Z1893" s="104" t="str">
        <f>IF(ISNUMBER(O1893),IF(I1893&gt;0,(10^(VLOOKUP(D1893,'Species Codes'!B:C,2,0)+VLOOKUP(D1893,'Species Codes'!B:D,3,0)*LOG(E1893)+VLOOKUP(D1893,'Species Codes'!B:E,4,0)*LOG(I1893))),0),"")</f>
        <v/>
      </c>
      <c r="AA1893" s="104" t="str">
        <f>IFERROR((VLOOKUP(D1893,'Species Codes'!B:G,6,0)*Z1893)/2000,"")</f>
        <v/>
      </c>
      <c r="AB1893" s="104" t="e">
        <f>IF(Z1893&gt;0,((IF(OR(D1893="DF",D1893="RA")=TRUE,EXP(VLOOKUP(D1893,'Species Codes'!B:I,8,0)+VLOOKUP(D1893,'Species Codes'!B:J,9,0)*(LN((E1893*2.54)))),IF(OR(D1893="PY",D1893="RC",D1893="WH",D1893="NF")=TRUE,VLOOKUP(D1893,'Species Codes'!B:I,8,0)+VLOOKUP(D1893,'Species Codes'!B:J,9,0)*((E1893*2.54)^2)*(I1893*0.3048),IF(OR(D1893="MD",D1893="BM",D1893="GA")=TRUE,((VLOOKUP(D1893,'Species Codes'!B:I,8,0)*(((((E1893*2.54)+VLOOKUP(D1893,'Species Codes'!B:J,9,0))/VLOOKUP(D1893,'Species Codes'!B:K,10,0))^VLOOKUP(D1893,'Species Codes'!B:L,11,0))*((I1893*0.3048)^VLOOKUP(D1893,'Species Codes'!B:M,12,0))))-(VLOOKUP(D1893,'Species Codes'!B:I,8,0)*((((E1893*2.54)^VLOOKUP(D1893,'Species Codes'!B:L,11,0))*((I1893*0.3048)^VLOOKUP(D1893,'Species Codes'!B:M,12,0))))))*35.3*VLOOKUP(D1893,'Species Codes'!B:G,6,0)/2.2046,VLOOKUP(D1893,'Species Codes'!B:I,8,0)+VLOOKUP(D1893,'Species Codes'!B:J,9,0)*(((E1893*2.54)/100)^2)*(I1893*0.3048)))))*0.0011023),0)</f>
        <v>#N/A</v>
      </c>
      <c r="AC1893" s="104" t="e">
        <f>IF(Z1893&gt;0,((IF(OR(D1893="RA",D1893="OA",D1893="OT",D1893="UN",D1893="PC"),EXP(VLOOKUP(D1893,'Species Codes'!B:O,14,0)+VLOOKUP(D1893,'Species Codes'!B:P,15,0)*LN((E1893*2.54)))-EXP(VLOOKUP(D1893,'Species Codes'!B:O,14,0)+VLOOKUP(D1893,'Species Codes'!B:P,15,0)*LN((E1893*2.54)))*(1/(VLOOKUP(D1893,'Species Codes'!B:Q,16,0)+VLOOKUP(D1893,'Species Codes'!B:R,17,0)*((E1893*2.54)^VLOOKUP(D1893,'Species Codes'!B:S,18,0)))),IF(OR(D1893="BM",D1893="MD",D1893="OA"),EXP(VLOOKUP(D1893,'Species Codes'!B:O,14,0)+VLOOKUP(D1893,'Species Codes'!B:P,15,0)*LN((E1893*2.54)))*(1-(1/(VLOOKUP(D1893,'Species Codes'!B:Q,16,0)+VLOOKUP(D1893,'Species Codes'!B:R,17,0)*((E1893*2.54)^VLOOKUP(D1893,'Species Codes'!B:S,18,0)))))/1000,IF(D1893="DF",EXP(VLOOKUP(D1893,'Species Codes'!B:O,14,0)+VLOOKUP(D1893,'Species Codes'!B:P,15,0)*LN((E1893*2.54))),VLOOKUP(D1893,'Species Codes'!B:O,14,0)+VLOOKUP(D1893,'Species Codes'!B:P,15,0)*(((E1893*2.54)/100)^2)*(I1893*0.3048)))))*0.0011023),0)</f>
        <v>#N/A</v>
      </c>
      <c r="AD1893" s="104" t="e">
        <f t="shared" si="841"/>
        <v>#N/A</v>
      </c>
      <c r="AE1893" s="104" t="e">
        <f t="shared" si="842"/>
        <v>#N/A</v>
      </c>
      <c r="AF1893" s="104" t="e">
        <f>IF(AND(VLOOKUP($D1893,Merchantability!$B:$C,2,0)="Yes",$E1893&gt;=VLOOKUP($D1893,Merchantability!$B:$D,3,0),$E1893&lt;=VLOOKUP($D1893,Merchantability!$B:$E,4,0)),AA1893,0)</f>
        <v>#N/A</v>
      </c>
      <c r="AG1893" s="104" t="e">
        <f>IF(AND(VLOOKUP($D1893,Merchantability!$B:$C,2,0)="Yes",$E1893&gt;=VLOOKUP($D1893,Merchantability!$B:$D,3,0),$E1893&lt;=VLOOKUP($D1893,Merchantability!$B:$E,4,0)),AB1893,0)</f>
        <v>#N/A</v>
      </c>
      <c r="AH1893" s="104" t="e">
        <f>IF(AND(VLOOKUP($D1893,Merchantability!$B:$C,2,0)="Yes",$E1893&gt;=VLOOKUP($D1893,Merchantability!$B:$D,3,0),$E1893&lt;=VLOOKUP($D1893,Merchantability!$B:$E,4,0)),AC1893,0)</f>
        <v>#N/A</v>
      </c>
      <c r="AI1893" s="104" t="e">
        <f t="shared" si="843"/>
        <v>#N/A</v>
      </c>
      <c r="AJ1893" s="104" t="e">
        <f t="shared" si="844"/>
        <v>#VALUE!</v>
      </c>
      <c r="AK1893" s="104" t="e">
        <f t="shared" si="845"/>
        <v>#N/A</v>
      </c>
      <c r="AL1893" s="104" t="e">
        <f t="shared" si="846"/>
        <v>#N/A</v>
      </c>
      <c r="AM1893" s="104" t="e">
        <f t="shared" si="847"/>
        <v>#N/A</v>
      </c>
      <c r="AN1893" s="104" t="e">
        <f t="shared" si="831"/>
        <v>#N/A</v>
      </c>
      <c r="AO1893" s="104" t="e">
        <f t="shared" si="832"/>
        <v>#N/A</v>
      </c>
      <c r="AP1893" s="104" t="e">
        <f t="shared" si="833"/>
        <v>#N/A</v>
      </c>
      <c r="AQ1893" s="104" t="e">
        <f t="shared" si="834"/>
        <v>#N/A</v>
      </c>
      <c r="AR1893" s="105" t="str">
        <f t="shared" si="826"/>
        <v/>
      </c>
      <c r="AS1893" s="105" t="str">
        <f t="shared" si="827"/>
        <v/>
      </c>
      <c r="AT1893" s="108" t="str">
        <f t="shared" si="828"/>
        <v/>
      </c>
      <c r="AU1893" s="108" t="str">
        <f t="shared" si="829"/>
        <v/>
      </c>
      <c r="AV1893" s="107" t="str">
        <f>IF(ISNUMBER(O1893),IF(VLOOKUP($A1893,Stand!C:J,8,FALSE)="Short",AT1893,AU1893),"")</f>
        <v/>
      </c>
      <c r="AW1893" s="109" t="str">
        <f t="shared" si="835"/>
        <v/>
      </c>
      <c r="AX1893" s="109" t="str">
        <f t="shared" si="836"/>
        <v/>
      </c>
      <c r="AY1893" s="112" t="str">
        <f>IF(ISNUMBER(O1893),IF(AND(VLOOKUP($D1893,Merchantability!$B:$C,2,0)="Yes",$E1893&gt;=VLOOKUP($D1893,Merchantability!$B:$D,3,0),$E1893&lt;=VLOOKUP($D1893,Merchantability!$B:$E,4,0)),(AV1893*O1893)*(1-$H1893/100),""),"")</f>
        <v/>
      </c>
      <c r="AZ1893" s="116"/>
      <c r="BA1893" s="116"/>
      <c r="BB1893" s="116"/>
      <c r="BE1893" s="62"/>
      <c r="BF1893" s="63"/>
    </row>
    <row r="1894" spans="1:58" ht="12.75" customHeight="1" x14ac:dyDescent="0.25">
      <c r="A1894" s="334"/>
      <c r="B1894" s="334"/>
      <c r="C1894" s="332"/>
      <c r="D1894" s="334"/>
      <c r="E1894" s="335"/>
      <c r="F1894" s="334"/>
      <c r="G1894" s="332"/>
      <c r="H1894" s="332"/>
      <c r="I1894" s="334"/>
      <c r="J1894" s="336"/>
      <c r="K1894" s="332"/>
      <c r="L1894" s="332"/>
      <c r="M1894" s="76"/>
      <c r="N1894" s="103" t="str">
        <f>IF(A1894="","",VLOOKUP(A1894,Stand!C:K,9,0))</f>
        <v/>
      </c>
      <c r="O1894" s="104" t="str">
        <f t="shared" si="821"/>
        <v/>
      </c>
      <c r="P1894" s="105" t="str">
        <f t="shared" si="822"/>
        <v/>
      </c>
      <c r="Q1894" s="105" t="str">
        <f t="shared" si="837"/>
        <v/>
      </c>
      <c r="R1894" s="103" t="str">
        <f t="shared" si="823"/>
        <v/>
      </c>
      <c r="S1894" s="103" t="str">
        <f t="shared" si="824"/>
        <v/>
      </c>
      <c r="T1894" s="106" t="str">
        <f t="shared" si="838"/>
        <v/>
      </c>
      <c r="U1894" s="106" t="str">
        <f t="shared" si="839"/>
        <v/>
      </c>
      <c r="V1894" s="106" t="str">
        <f t="shared" si="840"/>
        <v/>
      </c>
      <c r="W1894" s="105" t="str">
        <f t="shared" si="825"/>
        <v/>
      </c>
      <c r="X1894" s="104" t="str">
        <f t="shared" si="830"/>
        <v/>
      </c>
      <c r="Y1894" s="104" t="str">
        <f t="array" ref="Y1894">IFERROR(IF(ISNUMBER(O1894),IF(COUNT(IF(A1894=$A$2:$A$2427,IF(D1894=$D$2:$D$2427,IF($X$2:$X$2427&gt;0,1))))&gt;0,SUM(IF(A1894=$A$2:$A$2427,IF(D1894=$D$2:$D$2427,$X$2:$X$2427)))/COUNT(IF(A1894=$A$2:$A$2427,IF(D1894=$D$2:$D$2427,IF(ISNUMBER($X$2:$X$2427),1)))),0),""),0)</f>
        <v/>
      </c>
      <c r="Z1894" s="104" t="str">
        <f>IF(ISNUMBER(O1894),IF(I1894&gt;0,(10^(VLOOKUP(D1894,'Species Codes'!B:C,2,0)+VLOOKUP(D1894,'Species Codes'!B:D,3,0)*LOG(E1894)+VLOOKUP(D1894,'Species Codes'!B:E,4,0)*LOG(I1894))),0),"")</f>
        <v/>
      </c>
      <c r="AA1894" s="104" t="str">
        <f>IFERROR((VLOOKUP(D1894,'Species Codes'!B:G,6,0)*Z1894)/2000,"")</f>
        <v/>
      </c>
      <c r="AB1894" s="104" t="e">
        <f>IF(Z1894&gt;0,((IF(OR(D1894="DF",D1894="RA")=TRUE,EXP(VLOOKUP(D1894,'Species Codes'!B:I,8,0)+VLOOKUP(D1894,'Species Codes'!B:J,9,0)*(LN((E1894*2.54)))),IF(OR(D1894="PY",D1894="RC",D1894="WH",D1894="NF")=TRUE,VLOOKUP(D1894,'Species Codes'!B:I,8,0)+VLOOKUP(D1894,'Species Codes'!B:J,9,0)*((E1894*2.54)^2)*(I1894*0.3048),IF(OR(D1894="MD",D1894="BM",D1894="GA")=TRUE,((VLOOKUP(D1894,'Species Codes'!B:I,8,0)*(((((E1894*2.54)+VLOOKUP(D1894,'Species Codes'!B:J,9,0))/VLOOKUP(D1894,'Species Codes'!B:K,10,0))^VLOOKUP(D1894,'Species Codes'!B:L,11,0))*((I1894*0.3048)^VLOOKUP(D1894,'Species Codes'!B:M,12,0))))-(VLOOKUP(D1894,'Species Codes'!B:I,8,0)*((((E1894*2.54)^VLOOKUP(D1894,'Species Codes'!B:L,11,0))*((I1894*0.3048)^VLOOKUP(D1894,'Species Codes'!B:M,12,0))))))*35.3*VLOOKUP(D1894,'Species Codes'!B:G,6,0)/2.2046,VLOOKUP(D1894,'Species Codes'!B:I,8,0)+VLOOKUP(D1894,'Species Codes'!B:J,9,0)*(((E1894*2.54)/100)^2)*(I1894*0.3048)))))*0.0011023),0)</f>
        <v>#N/A</v>
      </c>
      <c r="AC1894" s="104" t="e">
        <f>IF(Z1894&gt;0,((IF(OR(D1894="RA",D1894="OA",D1894="OT",D1894="UN",D1894="PC"),EXP(VLOOKUP(D1894,'Species Codes'!B:O,14,0)+VLOOKUP(D1894,'Species Codes'!B:P,15,0)*LN((E1894*2.54)))-EXP(VLOOKUP(D1894,'Species Codes'!B:O,14,0)+VLOOKUP(D1894,'Species Codes'!B:P,15,0)*LN((E1894*2.54)))*(1/(VLOOKUP(D1894,'Species Codes'!B:Q,16,0)+VLOOKUP(D1894,'Species Codes'!B:R,17,0)*((E1894*2.54)^VLOOKUP(D1894,'Species Codes'!B:S,18,0)))),IF(OR(D1894="BM",D1894="MD",D1894="OA"),EXP(VLOOKUP(D1894,'Species Codes'!B:O,14,0)+VLOOKUP(D1894,'Species Codes'!B:P,15,0)*LN((E1894*2.54)))*(1-(1/(VLOOKUP(D1894,'Species Codes'!B:Q,16,0)+VLOOKUP(D1894,'Species Codes'!B:R,17,0)*((E1894*2.54)^VLOOKUP(D1894,'Species Codes'!B:S,18,0)))))/1000,IF(D1894="DF",EXP(VLOOKUP(D1894,'Species Codes'!B:O,14,0)+VLOOKUP(D1894,'Species Codes'!B:P,15,0)*LN((E1894*2.54))),VLOOKUP(D1894,'Species Codes'!B:O,14,0)+VLOOKUP(D1894,'Species Codes'!B:P,15,0)*(((E1894*2.54)/100)^2)*(I1894*0.3048)))))*0.0011023),0)</f>
        <v>#N/A</v>
      </c>
      <c r="AD1894" s="104" t="e">
        <f t="shared" si="841"/>
        <v>#N/A</v>
      </c>
      <c r="AE1894" s="104" t="e">
        <f t="shared" si="842"/>
        <v>#N/A</v>
      </c>
      <c r="AF1894" s="104" t="e">
        <f>IF(AND(VLOOKUP($D1894,Merchantability!$B:$C,2,0)="Yes",$E1894&gt;=VLOOKUP($D1894,Merchantability!$B:$D,3,0),$E1894&lt;=VLOOKUP($D1894,Merchantability!$B:$E,4,0)),AA1894,0)</f>
        <v>#N/A</v>
      </c>
      <c r="AG1894" s="104" t="e">
        <f>IF(AND(VLOOKUP($D1894,Merchantability!$B:$C,2,0)="Yes",$E1894&gt;=VLOOKUP($D1894,Merchantability!$B:$D,3,0),$E1894&lt;=VLOOKUP($D1894,Merchantability!$B:$E,4,0)),AB1894,0)</f>
        <v>#N/A</v>
      </c>
      <c r="AH1894" s="104" t="e">
        <f>IF(AND(VLOOKUP($D1894,Merchantability!$B:$C,2,0)="Yes",$E1894&gt;=VLOOKUP($D1894,Merchantability!$B:$D,3,0),$E1894&lt;=VLOOKUP($D1894,Merchantability!$B:$E,4,0)),AC1894,0)</f>
        <v>#N/A</v>
      </c>
      <c r="AI1894" s="104" t="e">
        <f t="shared" si="843"/>
        <v>#N/A</v>
      </c>
      <c r="AJ1894" s="104" t="e">
        <f t="shared" si="844"/>
        <v>#VALUE!</v>
      </c>
      <c r="AK1894" s="104" t="e">
        <f t="shared" si="845"/>
        <v>#N/A</v>
      </c>
      <c r="AL1894" s="104" t="e">
        <f t="shared" si="846"/>
        <v>#N/A</v>
      </c>
      <c r="AM1894" s="104" t="e">
        <f t="shared" si="847"/>
        <v>#N/A</v>
      </c>
      <c r="AN1894" s="104" t="e">
        <f t="shared" si="831"/>
        <v>#N/A</v>
      </c>
      <c r="AO1894" s="104" t="e">
        <f t="shared" si="832"/>
        <v>#N/A</v>
      </c>
      <c r="AP1894" s="104" t="e">
        <f t="shared" si="833"/>
        <v>#N/A</v>
      </c>
      <c r="AQ1894" s="104" t="e">
        <f t="shared" si="834"/>
        <v>#N/A</v>
      </c>
      <c r="AR1894" s="105" t="str">
        <f t="shared" si="826"/>
        <v/>
      </c>
      <c r="AS1894" s="105" t="str">
        <f t="shared" si="827"/>
        <v/>
      </c>
      <c r="AT1894" s="108" t="str">
        <f t="shared" si="828"/>
        <v/>
      </c>
      <c r="AU1894" s="108" t="str">
        <f t="shared" si="829"/>
        <v/>
      </c>
      <c r="AV1894" s="107" t="str">
        <f>IF(ISNUMBER(O1894),IF(VLOOKUP($A1894,Stand!C:J,8,FALSE)="Short",AT1894,AU1894),"")</f>
        <v/>
      </c>
      <c r="AW1894" s="109" t="str">
        <f t="shared" si="835"/>
        <v/>
      </c>
      <c r="AX1894" s="109" t="str">
        <f t="shared" si="836"/>
        <v/>
      </c>
      <c r="AY1894" s="112" t="str">
        <f>IF(ISNUMBER(O1894),IF(AND(VLOOKUP($D1894,Merchantability!$B:$C,2,0)="Yes",$E1894&gt;=VLOOKUP($D1894,Merchantability!$B:$D,3,0),$E1894&lt;=VLOOKUP($D1894,Merchantability!$B:$E,4,0)),(AV1894*O1894)*(1-$H1894/100),""),"")</f>
        <v/>
      </c>
      <c r="AZ1894" s="116"/>
      <c r="BA1894" s="116"/>
      <c r="BB1894" s="116"/>
      <c r="BE1894" s="62"/>
      <c r="BF1894" s="63"/>
    </row>
    <row r="1895" spans="1:58" ht="12.75" customHeight="1" x14ac:dyDescent="0.25">
      <c r="A1895" s="334"/>
      <c r="B1895" s="334"/>
      <c r="C1895" s="332"/>
      <c r="D1895" s="334"/>
      <c r="E1895" s="335"/>
      <c r="F1895" s="334"/>
      <c r="G1895" s="332"/>
      <c r="H1895" s="332"/>
      <c r="I1895" s="334"/>
      <c r="J1895" s="336"/>
      <c r="K1895" s="332"/>
      <c r="L1895" s="332"/>
      <c r="M1895" s="76"/>
      <c r="N1895" s="103" t="str">
        <f>IF(A1895="","",VLOOKUP(A1895,Stand!C:K,9,0))</f>
        <v/>
      </c>
      <c r="O1895" s="104" t="str">
        <f t="shared" si="821"/>
        <v/>
      </c>
      <c r="P1895" s="105" t="str">
        <f t="shared" si="822"/>
        <v/>
      </c>
      <c r="Q1895" s="105" t="str">
        <f t="shared" si="837"/>
        <v/>
      </c>
      <c r="R1895" s="103" t="str">
        <f t="shared" si="823"/>
        <v/>
      </c>
      <c r="S1895" s="103" t="str">
        <f t="shared" si="824"/>
        <v/>
      </c>
      <c r="T1895" s="106" t="str">
        <f t="shared" si="838"/>
        <v/>
      </c>
      <c r="U1895" s="106" t="str">
        <f t="shared" si="839"/>
        <v/>
      </c>
      <c r="V1895" s="106" t="str">
        <f t="shared" si="840"/>
        <v/>
      </c>
      <c r="W1895" s="105" t="str">
        <f t="shared" si="825"/>
        <v/>
      </c>
      <c r="X1895" s="104" t="str">
        <f t="shared" si="830"/>
        <v/>
      </c>
      <c r="Y1895" s="104" t="str">
        <f t="array" ref="Y1895">IFERROR(IF(ISNUMBER(O1895),IF(COUNT(IF(A1895=$A$2:$A$2427,IF(D1895=$D$2:$D$2427,IF($X$2:$X$2427&gt;0,1))))&gt;0,SUM(IF(A1895=$A$2:$A$2427,IF(D1895=$D$2:$D$2427,$X$2:$X$2427)))/COUNT(IF(A1895=$A$2:$A$2427,IF(D1895=$D$2:$D$2427,IF(ISNUMBER($X$2:$X$2427),1)))),0),""),0)</f>
        <v/>
      </c>
      <c r="Z1895" s="104" t="str">
        <f>IF(ISNUMBER(O1895),IF(I1895&gt;0,(10^(VLOOKUP(D1895,'Species Codes'!B:C,2,0)+VLOOKUP(D1895,'Species Codes'!B:D,3,0)*LOG(E1895)+VLOOKUP(D1895,'Species Codes'!B:E,4,0)*LOG(I1895))),0),"")</f>
        <v/>
      </c>
      <c r="AA1895" s="104" t="str">
        <f>IFERROR((VLOOKUP(D1895,'Species Codes'!B:G,6,0)*Z1895)/2000,"")</f>
        <v/>
      </c>
      <c r="AB1895" s="104" t="e">
        <f>IF(Z1895&gt;0,((IF(OR(D1895="DF",D1895="RA")=TRUE,EXP(VLOOKUP(D1895,'Species Codes'!B:I,8,0)+VLOOKUP(D1895,'Species Codes'!B:J,9,0)*(LN((E1895*2.54)))),IF(OR(D1895="PY",D1895="RC",D1895="WH",D1895="NF")=TRUE,VLOOKUP(D1895,'Species Codes'!B:I,8,0)+VLOOKUP(D1895,'Species Codes'!B:J,9,0)*((E1895*2.54)^2)*(I1895*0.3048),IF(OR(D1895="MD",D1895="BM",D1895="GA")=TRUE,((VLOOKUP(D1895,'Species Codes'!B:I,8,0)*(((((E1895*2.54)+VLOOKUP(D1895,'Species Codes'!B:J,9,0))/VLOOKUP(D1895,'Species Codes'!B:K,10,0))^VLOOKUP(D1895,'Species Codes'!B:L,11,0))*((I1895*0.3048)^VLOOKUP(D1895,'Species Codes'!B:M,12,0))))-(VLOOKUP(D1895,'Species Codes'!B:I,8,0)*((((E1895*2.54)^VLOOKUP(D1895,'Species Codes'!B:L,11,0))*((I1895*0.3048)^VLOOKUP(D1895,'Species Codes'!B:M,12,0))))))*35.3*VLOOKUP(D1895,'Species Codes'!B:G,6,0)/2.2046,VLOOKUP(D1895,'Species Codes'!B:I,8,0)+VLOOKUP(D1895,'Species Codes'!B:J,9,0)*(((E1895*2.54)/100)^2)*(I1895*0.3048)))))*0.0011023),0)</f>
        <v>#N/A</v>
      </c>
      <c r="AC1895" s="104" t="e">
        <f>IF(Z1895&gt;0,((IF(OR(D1895="RA",D1895="OA",D1895="OT",D1895="UN",D1895="PC"),EXP(VLOOKUP(D1895,'Species Codes'!B:O,14,0)+VLOOKUP(D1895,'Species Codes'!B:P,15,0)*LN((E1895*2.54)))-EXP(VLOOKUP(D1895,'Species Codes'!B:O,14,0)+VLOOKUP(D1895,'Species Codes'!B:P,15,0)*LN((E1895*2.54)))*(1/(VLOOKUP(D1895,'Species Codes'!B:Q,16,0)+VLOOKUP(D1895,'Species Codes'!B:R,17,0)*((E1895*2.54)^VLOOKUP(D1895,'Species Codes'!B:S,18,0)))),IF(OR(D1895="BM",D1895="MD",D1895="OA"),EXP(VLOOKUP(D1895,'Species Codes'!B:O,14,0)+VLOOKUP(D1895,'Species Codes'!B:P,15,0)*LN((E1895*2.54)))*(1-(1/(VLOOKUP(D1895,'Species Codes'!B:Q,16,0)+VLOOKUP(D1895,'Species Codes'!B:R,17,0)*((E1895*2.54)^VLOOKUP(D1895,'Species Codes'!B:S,18,0)))))/1000,IF(D1895="DF",EXP(VLOOKUP(D1895,'Species Codes'!B:O,14,0)+VLOOKUP(D1895,'Species Codes'!B:P,15,0)*LN((E1895*2.54))),VLOOKUP(D1895,'Species Codes'!B:O,14,0)+VLOOKUP(D1895,'Species Codes'!B:P,15,0)*(((E1895*2.54)/100)^2)*(I1895*0.3048)))))*0.0011023),0)</f>
        <v>#N/A</v>
      </c>
      <c r="AD1895" s="104" t="e">
        <f t="shared" si="841"/>
        <v>#N/A</v>
      </c>
      <c r="AE1895" s="104" t="e">
        <f t="shared" si="842"/>
        <v>#N/A</v>
      </c>
      <c r="AF1895" s="104" t="e">
        <f>IF(AND(VLOOKUP($D1895,Merchantability!$B:$C,2,0)="Yes",$E1895&gt;=VLOOKUP($D1895,Merchantability!$B:$D,3,0),$E1895&lt;=VLOOKUP($D1895,Merchantability!$B:$E,4,0)),AA1895,0)</f>
        <v>#N/A</v>
      </c>
      <c r="AG1895" s="104" t="e">
        <f>IF(AND(VLOOKUP($D1895,Merchantability!$B:$C,2,0)="Yes",$E1895&gt;=VLOOKUP($D1895,Merchantability!$B:$D,3,0),$E1895&lt;=VLOOKUP($D1895,Merchantability!$B:$E,4,0)),AB1895,0)</f>
        <v>#N/A</v>
      </c>
      <c r="AH1895" s="104" t="e">
        <f>IF(AND(VLOOKUP($D1895,Merchantability!$B:$C,2,0)="Yes",$E1895&gt;=VLOOKUP($D1895,Merchantability!$B:$D,3,0),$E1895&lt;=VLOOKUP($D1895,Merchantability!$B:$E,4,0)),AC1895,0)</f>
        <v>#N/A</v>
      </c>
      <c r="AI1895" s="104" t="e">
        <f t="shared" si="843"/>
        <v>#N/A</v>
      </c>
      <c r="AJ1895" s="104" t="e">
        <f t="shared" si="844"/>
        <v>#VALUE!</v>
      </c>
      <c r="AK1895" s="104" t="e">
        <f t="shared" si="845"/>
        <v>#N/A</v>
      </c>
      <c r="AL1895" s="104" t="e">
        <f t="shared" si="846"/>
        <v>#N/A</v>
      </c>
      <c r="AM1895" s="104" t="e">
        <f t="shared" si="847"/>
        <v>#N/A</v>
      </c>
      <c r="AN1895" s="104" t="e">
        <f t="shared" si="831"/>
        <v>#N/A</v>
      </c>
      <c r="AO1895" s="104" t="e">
        <f t="shared" si="832"/>
        <v>#N/A</v>
      </c>
      <c r="AP1895" s="104" t="e">
        <f t="shared" si="833"/>
        <v>#N/A</v>
      </c>
      <c r="AQ1895" s="104" t="e">
        <f t="shared" si="834"/>
        <v>#N/A</v>
      </c>
      <c r="AR1895" s="105" t="str">
        <f t="shared" si="826"/>
        <v/>
      </c>
      <c r="AS1895" s="105" t="str">
        <f t="shared" si="827"/>
        <v/>
      </c>
      <c r="AT1895" s="108" t="str">
        <f t="shared" si="828"/>
        <v/>
      </c>
      <c r="AU1895" s="108" t="str">
        <f t="shared" si="829"/>
        <v/>
      </c>
      <c r="AV1895" s="107" t="str">
        <f>IF(ISNUMBER(O1895),IF(VLOOKUP($A1895,Stand!C:J,8,FALSE)="Short",AT1895,AU1895),"")</f>
        <v/>
      </c>
      <c r="AW1895" s="109" t="str">
        <f t="shared" si="835"/>
        <v/>
      </c>
      <c r="AX1895" s="109" t="str">
        <f t="shared" si="836"/>
        <v/>
      </c>
      <c r="AY1895" s="112" t="str">
        <f>IF(ISNUMBER(O1895),IF(AND(VLOOKUP($D1895,Merchantability!$B:$C,2,0)="Yes",$E1895&gt;=VLOOKUP($D1895,Merchantability!$B:$D,3,0),$E1895&lt;=VLOOKUP($D1895,Merchantability!$B:$E,4,0)),(AV1895*O1895)*(1-$H1895/100),""),"")</f>
        <v/>
      </c>
      <c r="AZ1895" s="116"/>
      <c r="BA1895" s="116"/>
      <c r="BB1895" s="116"/>
      <c r="BE1895" s="62"/>
      <c r="BF1895" s="63"/>
    </row>
    <row r="1896" spans="1:58" ht="12.75" customHeight="1" x14ac:dyDescent="0.25">
      <c r="A1896" s="334"/>
      <c r="B1896" s="334"/>
      <c r="C1896" s="332"/>
      <c r="D1896" s="334"/>
      <c r="E1896" s="335"/>
      <c r="F1896" s="334"/>
      <c r="G1896" s="332"/>
      <c r="H1896" s="332"/>
      <c r="I1896" s="334"/>
      <c r="J1896" s="336"/>
      <c r="K1896" s="332"/>
      <c r="L1896" s="332"/>
      <c r="M1896" s="76"/>
      <c r="N1896" s="103" t="str">
        <f>IF(A1896="","",VLOOKUP(A1896,Stand!C:K,9,0))</f>
        <v/>
      </c>
      <c r="O1896" s="104" t="str">
        <f t="shared" si="821"/>
        <v/>
      </c>
      <c r="P1896" s="105" t="str">
        <f t="shared" si="822"/>
        <v/>
      </c>
      <c r="Q1896" s="105" t="str">
        <f t="shared" si="837"/>
        <v/>
      </c>
      <c r="R1896" s="103" t="str">
        <f t="shared" si="823"/>
        <v/>
      </c>
      <c r="S1896" s="103" t="str">
        <f t="shared" si="824"/>
        <v/>
      </c>
      <c r="T1896" s="106" t="str">
        <f t="shared" si="838"/>
        <v/>
      </c>
      <c r="U1896" s="106" t="str">
        <f t="shared" si="839"/>
        <v/>
      </c>
      <c r="V1896" s="106" t="str">
        <f t="shared" si="840"/>
        <v/>
      </c>
      <c r="W1896" s="105" t="str">
        <f t="shared" si="825"/>
        <v/>
      </c>
      <c r="X1896" s="104" t="str">
        <f t="shared" si="830"/>
        <v/>
      </c>
      <c r="Y1896" s="104" t="str">
        <f t="array" ref="Y1896">IFERROR(IF(ISNUMBER(O1896),IF(COUNT(IF(A1896=$A$2:$A$2427,IF(D1896=$D$2:$D$2427,IF($X$2:$X$2427&gt;0,1))))&gt;0,SUM(IF(A1896=$A$2:$A$2427,IF(D1896=$D$2:$D$2427,$X$2:$X$2427)))/COUNT(IF(A1896=$A$2:$A$2427,IF(D1896=$D$2:$D$2427,IF(ISNUMBER($X$2:$X$2427),1)))),0),""),0)</f>
        <v/>
      </c>
      <c r="Z1896" s="104" t="str">
        <f>IF(ISNUMBER(O1896),IF(I1896&gt;0,(10^(VLOOKUP(D1896,'Species Codes'!B:C,2,0)+VLOOKUP(D1896,'Species Codes'!B:D,3,0)*LOG(E1896)+VLOOKUP(D1896,'Species Codes'!B:E,4,0)*LOG(I1896))),0),"")</f>
        <v/>
      </c>
      <c r="AA1896" s="104" t="str">
        <f>IFERROR((VLOOKUP(D1896,'Species Codes'!B:G,6,0)*Z1896)/2000,"")</f>
        <v/>
      </c>
      <c r="AB1896" s="104" t="e">
        <f>IF(Z1896&gt;0,((IF(OR(D1896="DF",D1896="RA")=TRUE,EXP(VLOOKUP(D1896,'Species Codes'!B:I,8,0)+VLOOKUP(D1896,'Species Codes'!B:J,9,0)*(LN((E1896*2.54)))),IF(OR(D1896="PY",D1896="RC",D1896="WH",D1896="NF")=TRUE,VLOOKUP(D1896,'Species Codes'!B:I,8,0)+VLOOKUP(D1896,'Species Codes'!B:J,9,0)*((E1896*2.54)^2)*(I1896*0.3048),IF(OR(D1896="MD",D1896="BM",D1896="GA")=TRUE,((VLOOKUP(D1896,'Species Codes'!B:I,8,0)*(((((E1896*2.54)+VLOOKUP(D1896,'Species Codes'!B:J,9,0))/VLOOKUP(D1896,'Species Codes'!B:K,10,0))^VLOOKUP(D1896,'Species Codes'!B:L,11,0))*((I1896*0.3048)^VLOOKUP(D1896,'Species Codes'!B:M,12,0))))-(VLOOKUP(D1896,'Species Codes'!B:I,8,0)*((((E1896*2.54)^VLOOKUP(D1896,'Species Codes'!B:L,11,0))*((I1896*0.3048)^VLOOKUP(D1896,'Species Codes'!B:M,12,0))))))*35.3*VLOOKUP(D1896,'Species Codes'!B:G,6,0)/2.2046,VLOOKUP(D1896,'Species Codes'!B:I,8,0)+VLOOKUP(D1896,'Species Codes'!B:J,9,0)*(((E1896*2.54)/100)^2)*(I1896*0.3048)))))*0.0011023),0)</f>
        <v>#N/A</v>
      </c>
      <c r="AC1896" s="104" t="e">
        <f>IF(Z1896&gt;0,((IF(OR(D1896="RA",D1896="OA",D1896="OT",D1896="UN",D1896="PC"),EXP(VLOOKUP(D1896,'Species Codes'!B:O,14,0)+VLOOKUP(D1896,'Species Codes'!B:P,15,0)*LN((E1896*2.54)))-EXP(VLOOKUP(D1896,'Species Codes'!B:O,14,0)+VLOOKUP(D1896,'Species Codes'!B:P,15,0)*LN((E1896*2.54)))*(1/(VLOOKUP(D1896,'Species Codes'!B:Q,16,0)+VLOOKUP(D1896,'Species Codes'!B:R,17,0)*((E1896*2.54)^VLOOKUP(D1896,'Species Codes'!B:S,18,0)))),IF(OR(D1896="BM",D1896="MD",D1896="OA"),EXP(VLOOKUP(D1896,'Species Codes'!B:O,14,0)+VLOOKUP(D1896,'Species Codes'!B:P,15,0)*LN((E1896*2.54)))*(1-(1/(VLOOKUP(D1896,'Species Codes'!B:Q,16,0)+VLOOKUP(D1896,'Species Codes'!B:R,17,0)*((E1896*2.54)^VLOOKUP(D1896,'Species Codes'!B:S,18,0)))))/1000,IF(D1896="DF",EXP(VLOOKUP(D1896,'Species Codes'!B:O,14,0)+VLOOKUP(D1896,'Species Codes'!B:P,15,0)*LN((E1896*2.54))),VLOOKUP(D1896,'Species Codes'!B:O,14,0)+VLOOKUP(D1896,'Species Codes'!B:P,15,0)*(((E1896*2.54)/100)^2)*(I1896*0.3048)))))*0.0011023),0)</f>
        <v>#N/A</v>
      </c>
      <c r="AD1896" s="104" t="e">
        <f t="shared" si="841"/>
        <v>#N/A</v>
      </c>
      <c r="AE1896" s="104" t="e">
        <f t="shared" si="842"/>
        <v>#N/A</v>
      </c>
      <c r="AF1896" s="104" t="e">
        <f>IF(AND(VLOOKUP($D1896,Merchantability!$B:$C,2,0)="Yes",$E1896&gt;=VLOOKUP($D1896,Merchantability!$B:$D,3,0),$E1896&lt;=VLOOKUP($D1896,Merchantability!$B:$E,4,0)),AA1896,0)</f>
        <v>#N/A</v>
      </c>
      <c r="AG1896" s="104" t="e">
        <f>IF(AND(VLOOKUP($D1896,Merchantability!$B:$C,2,0)="Yes",$E1896&gt;=VLOOKUP($D1896,Merchantability!$B:$D,3,0),$E1896&lt;=VLOOKUP($D1896,Merchantability!$B:$E,4,0)),AB1896,0)</f>
        <v>#N/A</v>
      </c>
      <c r="AH1896" s="104" t="e">
        <f>IF(AND(VLOOKUP($D1896,Merchantability!$B:$C,2,0)="Yes",$E1896&gt;=VLOOKUP($D1896,Merchantability!$B:$D,3,0),$E1896&lt;=VLOOKUP($D1896,Merchantability!$B:$E,4,0)),AC1896,0)</f>
        <v>#N/A</v>
      </c>
      <c r="AI1896" s="104" t="e">
        <f t="shared" si="843"/>
        <v>#N/A</v>
      </c>
      <c r="AJ1896" s="104" t="e">
        <f t="shared" si="844"/>
        <v>#VALUE!</v>
      </c>
      <c r="AK1896" s="104" t="e">
        <f t="shared" si="845"/>
        <v>#N/A</v>
      </c>
      <c r="AL1896" s="104" t="e">
        <f t="shared" si="846"/>
        <v>#N/A</v>
      </c>
      <c r="AM1896" s="104" t="e">
        <f t="shared" si="847"/>
        <v>#N/A</v>
      </c>
      <c r="AN1896" s="104" t="e">
        <f t="shared" si="831"/>
        <v>#N/A</v>
      </c>
      <c r="AO1896" s="104" t="e">
        <f t="shared" si="832"/>
        <v>#N/A</v>
      </c>
      <c r="AP1896" s="104" t="e">
        <f t="shared" si="833"/>
        <v>#N/A</v>
      </c>
      <c r="AQ1896" s="104" t="e">
        <f t="shared" si="834"/>
        <v>#N/A</v>
      </c>
      <c r="AR1896" s="105" t="str">
        <f t="shared" si="826"/>
        <v/>
      </c>
      <c r="AS1896" s="105" t="str">
        <f t="shared" si="827"/>
        <v/>
      </c>
      <c r="AT1896" s="108" t="str">
        <f t="shared" si="828"/>
        <v/>
      </c>
      <c r="AU1896" s="108" t="str">
        <f t="shared" si="829"/>
        <v/>
      </c>
      <c r="AV1896" s="107" t="str">
        <f>IF(ISNUMBER(O1896),IF(VLOOKUP($A1896,Stand!C:J,8,FALSE)="Short",AT1896,AU1896),"")</f>
        <v/>
      </c>
      <c r="AW1896" s="109" t="str">
        <f t="shared" si="835"/>
        <v/>
      </c>
      <c r="AX1896" s="109" t="str">
        <f t="shared" si="836"/>
        <v/>
      </c>
      <c r="AY1896" s="112" t="str">
        <f>IF(ISNUMBER(O1896),IF(AND(VLOOKUP($D1896,Merchantability!$B:$C,2,0)="Yes",$E1896&gt;=VLOOKUP($D1896,Merchantability!$B:$D,3,0),$E1896&lt;=VLOOKUP($D1896,Merchantability!$B:$E,4,0)),(AV1896*O1896)*(1-$H1896/100),""),"")</f>
        <v/>
      </c>
      <c r="AZ1896" s="116"/>
      <c r="BA1896" s="116"/>
      <c r="BB1896" s="116"/>
      <c r="BE1896" s="62"/>
      <c r="BF1896" s="63"/>
    </row>
    <row r="1897" spans="1:58" ht="12.75" customHeight="1" x14ac:dyDescent="0.25">
      <c r="A1897" s="334"/>
      <c r="B1897" s="334"/>
      <c r="C1897" s="332"/>
      <c r="D1897" s="334"/>
      <c r="E1897" s="335"/>
      <c r="F1897" s="334"/>
      <c r="G1897" s="332"/>
      <c r="H1897" s="332"/>
      <c r="I1897" s="334"/>
      <c r="J1897" s="336"/>
      <c r="K1897" s="332"/>
      <c r="L1897" s="332"/>
      <c r="M1897" s="76"/>
      <c r="N1897" s="103" t="str">
        <f>IF(A1897="","",VLOOKUP(A1897,Stand!C:K,9,0))</f>
        <v/>
      </c>
      <c r="O1897" s="104" t="str">
        <f t="shared" si="821"/>
        <v/>
      </c>
      <c r="P1897" s="105" t="str">
        <f t="shared" si="822"/>
        <v/>
      </c>
      <c r="Q1897" s="105" t="str">
        <f t="shared" si="837"/>
        <v/>
      </c>
      <c r="R1897" s="103" t="str">
        <f t="shared" si="823"/>
        <v/>
      </c>
      <c r="S1897" s="103" t="str">
        <f t="shared" si="824"/>
        <v/>
      </c>
      <c r="T1897" s="106" t="str">
        <f t="shared" si="838"/>
        <v/>
      </c>
      <c r="U1897" s="106" t="str">
        <f t="shared" si="839"/>
        <v/>
      </c>
      <c r="V1897" s="106" t="str">
        <f t="shared" si="840"/>
        <v/>
      </c>
      <c r="W1897" s="105" t="str">
        <f t="shared" si="825"/>
        <v/>
      </c>
      <c r="X1897" s="104" t="str">
        <f t="shared" si="830"/>
        <v/>
      </c>
      <c r="Y1897" s="104" t="str">
        <f t="array" ref="Y1897">IFERROR(IF(ISNUMBER(O1897),IF(COUNT(IF(A1897=$A$2:$A$2427,IF(D1897=$D$2:$D$2427,IF($X$2:$X$2427&gt;0,1))))&gt;0,SUM(IF(A1897=$A$2:$A$2427,IF(D1897=$D$2:$D$2427,$X$2:$X$2427)))/COUNT(IF(A1897=$A$2:$A$2427,IF(D1897=$D$2:$D$2427,IF(ISNUMBER($X$2:$X$2427),1)))),0),""),0)</f>
        <v/>
      </c>
      <c r="Z1897" s="104" t="str">
        <f>IF(ISNUMBER(O1897),IF(I1897&gt;0,(10^(VLOOKUP(D1897,'Species Codes'!B:C,2,0)+VLOOKUP(D1897,'Species Codes'!B:D,3,0)*LOG(E1897)+VLOOKUP(D1897,'Species Codes'!B:E,4,0)*LOG(I1897))),0),"")</f>
        <v/>
      </c>
      <c r="AA1897" s="104" t="str">
        <f>IFERROR((VLOOKUP(D1897,'Species Codes'!B:G,6,0)*Z1897)/2000,"")</f>
        <v/>
      </c>
      <c r="AB1897" s="104" t="e">
        <f>IF(Z1897&gt;0,((IF(OR(D1897="DF",D1897="RA")=TRUE,EXP(VLOOKUP(D1897,'Species Codes'!B:I,8,0)+VLOOKUP(D1897,'Species Codes'!B:J,9,0)*(LN((E1897*2.54)))),IF(OR(D1897="PY",D1897="RC",D1897="WH",D1897="NF")=TRUE,VLOOKUP(D1897,'Species Codes'!B:I,8,0)+VLOOKUP(D1897,'Species Codes'!B:J,9,0)*((E1897*2.54)^2)*(I1897*0.3048),IF(OR(D1897="MD",D1897="BM",D1897="GA")=TRUE,((VLOOKUP(D1897,'Species Codes'!B:I,8,0)*(((((E1897*2.54)+VLOOKUP(D1897,'Species Codes'!B:J,9,0))/VLOOKUP(D1897,'Species Codes'!B:K,10,0))^VLOOKUP(D1897,'Species Codes'!B:L,11,0))*((I1897*0.3048)^VLOOKUP(D1897,'Species Codes'!B:M,12,0))))-(VLOOKUP(D1897,'Species Codes'!B:I,8,0)*((((E1897*2.54)^VLOOKUP(D1897,'Species Codes'!B:L,11,0))*((I1897*0.3048)^VLOOKUP(D1897,'Species Codes'!B:M,12,0))))))*35.3*VLOOKUP(D1897,'Species Codes'!B:G,6,0)/2.2046,VLOOKUP(D1897,'Species Codes'!B:I,8,0)+VLOOKUP(D1897,'Species Codes'!B:J,9,0)*(((E1897*2.54)/100)^2)*(I1897*0.3048)))))*0.0011023),0)</f>
        <v>#N/A</v>
      </c>
      <c r="AC1897" s="104" t="e">
        <f>IF(Z1897&gt;0,((IF(OR(D1897="RA",D1897="OA",D1897="OT",D1897="UN",D1897="PC"),EXP(VLOOKUP(D1897,'Species Codes'!B:O,14,0)+VLOOKUP(D1897,'Species Codes'!B:P,15,0)*LN((E1897*2.54)))-EXP(VLOOKUP(D1897,'Species Codes'!B:O,14,0)+VLOOKUP(D1897,'Species Codes'!B:P,15,0)*LN((E1897*2.54)))*(1/(VLOOKUP(D1897,'Species Codes'!B:Q,16,0)+VLOOKUP(D1897,'Species Codes'!B:R,17,0)*((E1897*2.54)^VLOOKUP(D1897,'Species Codes'!B:S,18,0)))),IF(OR(D1897="BM",D1897="MD",D1897="OA"),EXP(VLOOKUP(D1897,'Species Codes'!B:O,14,0)+VLOOKUP(D1897,'Species Codes'!B:P,15,0)*LN((E1897*2.54)))*(1-(1/(VLOOKUP(D1897,'Species Codes'!B:Q,16,0)+VLOOKUP(D1897,'Species Codes'!B:R,17,0)*((E1897*2.54)^VLOOKUP(D1897,'Species Codes'!B:S,18,0)))))/1000,IF(D1897="DF",EXP(VLOOKUP(D1897,'Species Codes'!B:O,14,0)+VLOOKUP(D1897,'Species Codes'!B:P,15,0)*LN((E1897*2.54))),VLOOKUP(D1897,'Species Codes'!B:O,14,0)+VLOOKUP(D1897,'Species Codes'!B:P,15,0)*(((E1897*2.54)/100)^2)*(I1897*0.3048)))))*0.0011023),0)</f>
        <v>#N/A</v>
      </c>
      <c r="AD1897" s="104" t="e">
        <f t="shared" si="841"/>
        <v>#N/A</v>
      </c>
      <c r="AE1897" s="104" t="e">
        <f t="shared" si="842"/>
        <v>#N/A</v>
      </c>
      <c r="AF1897" s="104" t="e">
        <f>IF(AND(VLOOKUP($D1897,Merchantability!$B:$C,2,0)="Yes",$E1897&gt;=VLOOKUP($D1897,Merchantability!$B:$D,3,0),$E1897&lt;=VLOOKUP($D1897,Merchantability!$B:$E,4,0)),AA1897,0)</f>
        <v>#N/A</v>
      </c>
      <c r="AG1897" s="104" t="e">
        <f>IF(AND(VLOOKUP($D1897,Merchantability!$B:$C,2,0)="Yes",$E1897&gt;=VLOOKUP($D1897,Merchantability!$B:$D,3,0),$E1897&lt;=VLOOKUP($D1897,Merchantability!$B:$E,4,0)),AB1897,0)</f>
        <v>#N/A</v>
      </c>
      <c r="AH1897" s="104" t="e">
        <f>IF(AND(VLOOKUP($D1897,Merchantability!$B:$C,2,0)="Yes",$E1897&gt;=VLOOKUP($D1897,Merchantability!$B:$D,3,0),$E1897&lt;=VLOOKUP($D1897,Merchantability!$B:$E,4,0)),AC1897,0)</f>
        <v>#N/A</v>
      </c>
      <c r="AI1897" s="104" t="e">
        <f t="shared" si="843"/>
        <v>#N/A</v>
      </c>
      <c r="AJ1897" s="104" t="e">
        <f t="shared" si="844"/>
        <v>#VALUE!</v>
      </c>
      <c r="AK1897" s="104" t="e">
        <f t="shared" si="845"/>
        <v>#N/A</v>
      </c>
      <c r="AL1897" s="104" t="e">
        <f t="shared" si="846"/>
        <v>#N/A</v>
      </c>
      <c r="AM1897" s="104" t="e">
        <f t="shared" si="847"/>
        <v>#N/A</v>
      </c>
      <c r="AN1897" s="104" t="e">
        <f t="shared" si="831"/>
        <v>#N/A</v>
      </c>
      <c r="AO1897" s="104" t="e">
        <f t="shared" si="832"/>
        <v>#N/A</v>
      </c>
      <c r="AP1897" s="104" t="e">
        <f t="shared" si="833"/>
        <v>#N/A</v>
      </c>
      <c r="AQ1897" s="104" t="e">
        <f t="shared" si="834"/>
        <v>#N/A</v>
      </c>
      <c r="AR1897" s="105" t="str">
        <f t="shared" si="826"/>
        <v/>
      </c>
      <c r="AS1897" s="105" t="str">
        <f t="shared" si="827"/>
        <v/>
      </c>
      <c r="AT1897" s="108" t="str">
        <f t="shared" si="828"/>
        <v/>
      </c>
      <c r="AU1897" s="108" t="str">
        <f t="shared" si="829"/>
        <v/>
      </c>
      <c r="AV1897" s="107" t="str">
        <f>IF(ISNUMBER(O1897),IF(VLOOKUP($A1897,Stand!C:J,8,FALSE)="Short",AT1897,AU1897),"")</f>
        <v/>
      </c>
      <c r="AW1897" s="109" t="str">
        <f t="shared" si="835"/>
        <v/>
      </c>
      <c r="AX1897" s="109" t="str">
        <f t="shared" si="836"/>
        <v/>
      </c>
      <c r="AY1897" s="112" t="str">
        <f>IF(ISNUMBER(O1897),IF(AND(VLOOKUP($D1897,Merchantability!$B:$C,2,0)="Yes",$E1897&gt;=VLOOKUP($D1897,Merchantability!$B:$D,3,0),$E1897&lt;=VLOOKUP($D1897,Merchantability!$B:$E,4,0)),(AV1897*O1897)*(1-$H1897/100),""),"")</f>
        <v/>
      </c>
      <c r="AZ1897" s="116"/>
      <c r="BA1897" s="116"/>
      <c r="BB1897" s="116"/>
      <c r="BE1897" s="62"/>
      <c r="BF1897" s="63"/>
    </row>
    <row r="1898" spans="1:58" ht="12.75" customHeight="1" x14ac:dyDescent="0.25">
      <c r="A1898" s="334"/>
      <c r="B1898" s="334"/>
      <c r="C1898" s="332"/>
      <c r="D1898" s="334"/>
      <c r="E1898" s="335"/>
      <c r="F1898" s="334"/>
      <c r="G1898" s="332"/>
      <c r="H1898" s="332"/>
      <c r="I1898" s="334"/>
      <c r="J1898" s="336"/>
      <c r="K1898" s="332"/>
      <c r="L1898" s="332"/>
      <c r="M1898" s="76"/>
      <c r="N1898" s="103" t="str">
        <f>IF(A1898="","",VLOOKUP(A1898,Stand!C:K,9,0))</f>
        <v/>
      </c>
      <c r="O1898" s="104" t="str">
        <f t="shared" si="821"/>
        <v/>
      </c>
      <c r="P1898" s="105" t="str">
        <f t="shared" si="822"/>
        <v/>
      </c>
      <c r="Q1898" s="105" t="str">
        <f t="shared" si="837"/>
        <v/>
      </c>
      <c r="R1898" s="103" t="str">
        <f t="shared" si="823"/>
        <v/>
      </c>
      <c r="S1898" s="103" t="str">
        <f t="shared" si="824"/>
        <v/>
      </c>
      <c r="T1898" s="106" t="str">
        <f t="shared" si="838"/>
        <v/>
      </c>
      <c r="U1898" s="106" t="str">
        <f t="shared" si="839"/>
        <v/>
      </c>
      <c r="V1898" s="106" t="str">
        <f t="shared" si="840"/>
        <v/>
      </c>
      <c r="W1898" s="105" t="str">
        <f t="shared" si="825"/>
        <v/>
      </c>
      <c r="X1898" s="104" t="str">
        <f t="shared" si="830"/>
        <v/>
      </c>
      <c r="Y1898" s="104" t="str">
        <f t="array" ref="Y1898">IFERROR(IF(ISNUMBER(O1898),IF(COUNT(IF(A1898=$A$2:$A$2427,IF(D1898=$D$2:$D$2427,IF($X$2:$X$2427&gt;0,1))))&gt;0,SUM(IF(A1898=$A$2:$A$2427,IF(D1898=$D$2:$D$2427,$X$2:$X$2427)))/COUNT(IF(A1898=$A$2:$A$2427,IF(D1898=$D$2:$D$2427,IF(ISNUMBER($X$2:$X$2427),1)))),0),""),0)</f>
        <v/>
      </c>
      <c r="Z1898" s="104" t="str">
        <f>IF(ISNUMBER(O1898),IF(I1898&gt;0,(10^(VLOOKUP(D1898,'Species Codes'!B:C,2,0)+VLOOKUP(D1898,'Species Codes'!B:D,3,0)*LOG(E1898)+VLOOKUP(D1898,'Species Codes'!B:E,4,0)*LOG(I1898))),0),"")</f>
        <v/>
      </c>
      <c r="AA1898" s="104" t="str">
        <f>IFERROR((VLOOKUP(D1898,'Species Codes'!B:G,6,0)*Z1898)/2000,"")</f>
        <v/>
      </c>
      <c r="AB1898" s="104" t="e">
        <f>IF(Z1898&gt;0,((IF(OR(D1898="DF",D1898="RA")=TRUE,EXP(VLOOKUP(D1898,'Species Codes'!B:I,8,0)+VLOOKUP(D1898,'Species Codes'!B:J,9,0)*(LN((E1898*2.54)))),IF(OR(D1898="PY",D1898="RC",D1898="WH",D1898="NF")=TRUE,VLOOKUP(D1898,'Species Codes'!B:I,8,0)+VLOOKUP(D1898,'Species Codes'!B:J,9,0)*((E1898*2.54)^2)*(I1898*0.3048),IF(OR(D1898="MD",D1898="BM",D1898="GA")=TRUE,((VLOOKUP(D1898,'Species Codes'!B:I,8,0)*(((((E1898*2.54)+VLOOKUP(D1898,'Species Codes'!B:J,9,0))/VLOOKUP(D1898,'Species Codes'!B:K,10,0))^VLOOKUP(D1898,'Species Codes'!B:L,11,0))*((I1898*0.3048)^VLOOKUP(D1898,'Species Codes'!B:M,12,0))))-(VLOOKUP(D1898,'Species Codes'!B:I,8,0)*((((E1898*2.54)^VLOOKUP(D1898,'Species Codes'!B:L,11,0))*((I1898*0.3048)^VLOOKUP(D1898,'Species Codes'!B:M,12,0))))))*35.3*VLOOKUP(D1898,'Species Codes'!B:G,6,0)/2.2046,VLOOKUP(D1898,'Species Codes'!B:I,8,0)+VLOOKUP(D1898,'Species Codes'!B:J,9,0)*(((E1898*2.54)/100)^2)*(I1898*0.3048)))))*0.0011023),0)</f>
        <v>#N/A</v>
      </c>
      <c r="AC1898" s="104" t="e">
        <f>IF(Z1898&gt;0,((IF(OR(D1898="RA",D1898="OA",D1898="OT",D1898="UN",D1898="PC"),EXP(VLOOKUP(D1898,'Species Codes'!B:O,14,0)+VLOOKUP(D1898,'Species Codes'!B:P,15,0)*LN((E1898*2.54)))-EXP(VLOOKUP(D1898,'Species Codes'!B:O,14,0)+VLOOKUP(D1898,'Species Codes'!B:P,15,0)*LN((E1898*2.54)))*(1/(VLOOKUP(D1898,'Species Codes'!B:Q,16,0)+VLOOKUP(D1898,'Species Codes'!B:R,17,0)*((E1898*2.54)^VLOOKUP(D1898,'Species Codes'!B:S,18,0)))),IF(OR(D1898="BM",D1898="MD",D1898="OA"),EXP(VLOOKUP(D1898,'Species Codes'!B:O,14,0)+VLOOKUP(D1898,'Species Codes'!B:P,15,0)*LN((E1898*2.54)))*(1-(1/(VLOOKUP(D1898,'Species Codes'!B:Q,16,0)+VLOOKUP(D1898,'Species Codes'!B:R,17,0)*((E1898*2.54)^VLOOKUP(D1898,'Species Codes'!B:S,18,0)))))/1000,IF(D1898="DF",EXP(VLOOKUP(D1898,'Species Codes'!B:O,14,0)+VLOOKUP(D1898,'Species Codes'!B:P,15,0)*LN((E1898*2.54))),VLOOKUP(D1898,'Species Codes'!B:O,14,0)+VLOOKUP(D1898,'Species Codes'!B:P,15,0)*(((E1898*2.54)/100)^2)*(I1898*0.3048)))))*0.0011023),0)</f>
        <v>#N/A</v>
      </c>
      <c r="AD1898" s="104" t="e">
        <f t="shared" si="841"/>
        <v>#N/A</v>
      </c>
      <c r="AE1898" s="104" t="e">
        <f t="shared" si="842"/>
        <v>#N/A</v>
      </c>
      <c r="AF1898" s="104" t="e">
        <f>IF(AND(VLOOKUP($D1898,Merchantability!$B:$C,2,0)="Yes",$E1898&gt;=VLOOKUP($D1898,Merchantability!$B:$D,3,0),$E1898&lt;=VLOOKUP($D1898,Merchantability!$B:$E,4,0)),AA1898,0)</f>
        <v>#N/A</v>
      </c>
      <c r="AG1898" s="104" t="e">
        <f>IF(AND(VLOOKUP($D1898,Merchantability!$B:$C,2,0)="Yes",$E1898&gt;=VLOOKUP($D1898,Merchantability!$B:$D,3,0),$E1898&lt;=VLOOKUP($D1898,Merchantability!$B:$E,4,0)),AB1898,0)</f>
        <v>#N/A</v>
      </c>
      <c r="AH1898" s="104" t="e">
        <f>IF(AND(VLOOKUP($D1898,Merchantability!$B:$C,2,0)="Yes",$E1898&gt;=VLOOKUP($D1898,Merchantability!$B:$D,3,0),$E1898&lt;=VLOOKUP($D1898,Merchantability!$B:$E,4,0)),AC1898,0)</f>
        <v>#N/A</v>
      </c>
      <c r="AI1898" s="104" t="e">
        <f t="shared" si="843"/>
        <v>#N/A</v>
      </c>
      <c r="AJ1898" s="104" t="e">
        <f t="shared" si="844"/>
        <v>#VALUE!</v>
      </c>
      <c r="AK1898" s="104" t="e">
        <f t="shared" si="845"/>
        <v>#N/A</v>
      </c>
      <c r="AL1898" s="104" t="e">
        <f t="shared" si="846"/>
        <v>#N/A</v>
      </c>
      <c r="AM1898" s="104" t="e">
        <f t="shared" si="847"/>
        <v>#N/A</v>
      </c>
      <c r="AN1898" s="104" t="e">
        <f t="shared" si="831"/>
        <v>#N/A</v>
      </c>
      <c r="AO1898" s="104" t="e">
        <f t="shared" si="832"/>
        <v>#N/A</v>
      </c>
      <c r="AP1898" s="104" t="e">
        <f t="shared" si="833"/>
        <v>#N/A</v>
      </c>
      <c r="AQ1898" s="104" t="e">
        <f t="shared" si="834"/>
        <v>#N/A</v>
      </c>
      <c r="AR1898" s="105" t="str">
        <f t="shared" si="826"/>
        <v/>
      </c>
      <c r="AS1898" s="105" t="str">
        <f t="shared" si="827"/>
        <v/>
      </c>
      <c r="AT1898" s="108" t="str">
        <f t="shared" si="828"/>
        <v/>
      </c>
      <c r="AU1898" s="108" t="str">
        <f t="shared" si="829"/>
        <v/>
      </c>
      <c r="AV1898" s="107" t="str">
        <f>IF(ISNUMBER(O1898),IF(VLOOKUP($A1898,Stand!C:J,8,FALSE)="Short",AT1898,AU1898),"")</f>
        <v/>
      </c>
      <c r="AW1898" s="109" t="str">
        <f t="shared" si="835"/>
        <v/>
      </c>
      <c r="AX1898" s="109" t="str">
        <f t="shared" si="836"/>
        <v/>
      </c>
      <c r="AY1898" s="112" t="str">
        <f>IF(ISNUMBER(O1898),IF(AND(VLOOKUP($D1898,Merchantability!$B:$C,2,0)="Yes",$E1898&gt;=VLOOKUP($D1898,Merchantability!$B:$D,3,0),$E1898&lt;=VLOOKUP($D1898,Merchantability!$B:$E,4,0)),(AV1898*O1898)*(1-$H1898/100),""),"")</f>
        <v/>
      </c>
      <c r="AZ1898" s="116"/>
      <c r="BA1898" s="116"/>
      <c r="BB1898" s="116"/>
      <c r="BE1898" s="62"/>
      <c r="BF1898" s="63"/>
    </row>
    <row r="1899" spans="1:58" ht="12.75" customHeight="1" x14ac:dyDescent="0.25">
      <c r="A1899" s="334"/>
      <c r="B1899" s="334"/>
      <c r="C1899" s="332"/>
      <c r="D1899" s="334"/>
      <c r="E1899" s="335"/>
      <c r="F1899" s="334"/>
      <c r="G1899" s="332"/>
      <c r="H1899" s="332"/>
      <c r="I1899" s="334"/>
      <c r="J1899" s="336"/>
      <c r="K1899" s="332"/>
      <c r="L1899" s="332"/>
      <c r="M1899" s="76"/>
      <c r="N1899" s="103" t="str">
        <f>IF(A1899="","",VLOOKUP(A1899,Stand!C:K,9,0))</f>
        <v/>
      </c>
      <c r="O1899" s="104" t="str">
        <f t="shared" si="821"/>
        <v/>
      </c>
      <c r="P1899" s="105" t="str">
        <f t="shared" si="822"/>
        <v/>
      </c>
      <c r="Q1899" s="105" t="str">
        <f t="shared" si="837"/>
        <v/>
      </c>
      <c r="R1899" s="103" t="str">
        <f t="shared" si="823"/>
        <v/>
      </c>
      <c r="S1899" s="103" t="str">
        <f t="shared" si="824"/>
        <v/>
      </c>
      <c r="T1899" s="106" t="str">
        <f t="shared" si="838"/>
        <v/>
      </c>
      <c r="U1899" s="106" t="str">
        <f t="shared" si="839"/>
        <v/>
      </c>
      <c r="V1899" s="106" t="str">
        <f t="shared" si="840"/>
        <v/>
      </c>
      <c r="W1899" s="105" t="str">
        <f t="shared" si="825"/>
        <v/>
      </c>
      <c r="X1899" s="104" t="str">
        <f t="shared" si="830"/>
        <v/>
      </c>
      <c r="Y1899" s="104" t="str">
        <f t="array" ref="Y1899">IFERROR(IF(ISNUMBER(O1899),IF(COUNT(IF(A1899=$A$2:$A$2427,IF(D1899=$D$2:$D$2427,IF($X$2:$X$2427&gt;0,1))))&gt;0,SUM(IF(A1899=$A$2:$A$2427,IF(D1899=$D$2:$D$2427,$X$2:$X$2427)))/COUNT(IF(A1899=$A$2:$A$2427,IF(D1899=$D$2:$D$2427,IF(ISNUMBER($X$2:$X$2427),1)))),0),""),0)</f>
        <v/>
      </c>
      <c r="Z1899" s="104" t="str">
        <f>IF(ISNUMBER(O1899),IF(I1899&gt;0,(10^(VLOOKUP(D1899,'Species Codes'!B:C,2,0)+VLOOKUP(D1899,'Species Codes'!B:D,3,0)*LOG(E1899)+VLOOKUP(D1899,'Species Codes'!B:E,4,0)*LOG(I1899))),0),"")</f>
        <v/>
      </c>
      <c r="AA1899" s="104" t="str">
        <f>IFERROR((VLOOKUP(D1899,'Species Codes'!B:G,6,0)*Z1899)/2000,"")</f>
        <v/>
      </c>
      <c r="AB1899" s="104" t="e">
        <f>IF(Z1899&gt;0,((IF(OR(D1899="DF",D1899="RA")=TRUE,EXP(VLOOKUP(D1899,'Species Codes'!B:I,8,0)+VLOOKUP(D1899,'Species Codes'!B:J,9,0)*(LN((E1899*2.54)))),IF(OR(D1899="PY",D1899="RC",D1899="WH",D1899="NF")=TRUE,VLOOKUP(D1899,'Species Codes'!B:I,8,0)+VLOOKUP(D1899,'Species Codes'!B:J,9,0)*((E1899*2.54)^2)*(I1899*0.3048),IF(OR(D1899="MD",D1899="BM",D1899="GA")=TRUE,((VLOOKUP(D1899,'Species Codes'!B:I,8,0)*(((((E1899*2.54)+VLOOKUP(D1899,'Species Codes'!B:J,9,0))/VLOOKUP(D1899,'Species Codes'!B:K,10,0))^VLOOKUP(D1899,'Species Codes'!B:L,11,0))*((I1899*0.3048)^VLOOKUP(D1899,'Species Codes'!B:M,12,0))))-(VLOOKUP(D1899,'Species Codes'!B:I,8,0)*((((E1899*2.54)^VLOOKUP(D1899,'Species Codes'!B:L,11,0))*((I1899*0.3048)^VLOOKUP(D1899,'Species Codes'!B:M,12,0))))))*35.3*VLOOKUP(D1899,'Species Codes'!B:G,6,0)/2.2046,VLOOKUP(D1899,'Species Codes'!B:I,8,0)+VLOOKUP(D1899,'Species Codes'!B:J,9,0)*(((E1899*2.54)/100)^2)*(I1899*0.3048)))))*0.0011023),0)</f>
        <v>#N/A</v>
      </c>
      <c r="AC1899" s="104" t="e">
        <f>IF(Z1899&gt;0,((IF(OR(D1899="RA",D1899="OA",D1899="OT",D1899="UN",D1899="PC"),EXP(VLOOKUP(D1899,'Species Codes'!B:O,14,0)+VLOOKUP(D1899,'Species Codes'!B:P,15,0)*LN((E1899*2.54)))-EXP(VLOOKUP(D1899,'Species Codes'!B:O,14,0)+VLOOKUP(D1899,'Species Codes'!B:P,15,0)*LN((E1899*2.54)))*(1/(VLOOKUP(D1899,'Species Codes'!B:Q,16,0)+VLOOKUP(D1899,'Species Codes'!B:R,17,0)*((E1899*2.54)^VLOOKUP(D1899,'Species Codes'!B:S,18,0)))),IF(OR(D1899="BM",D1899="MD",D1899="OA"),EXP(VLOOKUP(D1899,'Species Codes'!B:O,14,0)+VLOOKUP(D1899,'Species Codes'!B:P,15,0)*LN((E1899*2.54)))*(1-(1/(VLOOKUP(D1899,'Species Codes'!B:Q,16,0)+VLOOKUP(D1899,'Species Codes'!B:R,17,0)*((E1899*2.54)^VLOOKUP(D1899,'Species Codes'!B:S,18,0)))))/1000,IF(D1899="DF",EXP(VLOOKUP(D1899,'Species Codes'!B:O,14,0)+VLOOKUP(D1899,'Species Codes'!B:P,15,0)*LN((E1899*2.54))),VLOOKUP(D1899,'Species Codes'!B:O,14,0)+VLOOKUP(D1899,'Species Codes'!B:P,15,0)*(((E1899*2.54)/100)^2)*(I1899*0.3048)))))*0.0011023),0)</f>
        <v>#N/A</v>
      </c>
      <c r="AD1899" s="104" t="e">
        <f t="shared" si="841"/>
        <v>#N/A</v>
      </c>
      <c r="AE1899" s="104" t="e">
        <f t="shared" si="842"/>
        <v>#N/A</v>
      </c>
      <c r="AF1899" s="104" t="e">
        <f>IF(AND(VLOOKUP($D1899,Merchantability!$B:$C,2,0)="Yes",$E1899&gt;=VLOOKUP($D1899,Merchantability!$B:$D,3,0),$E1899&lt;=VLOOKUP($D1899,Merchantability!$B:$E,4,0)),AA1899,0)</f>
        <v>#N/A</v>
      </c>
      <c r="AG1899" s="104" t="e">
        <f>IF(AND(VLOOKUP($D1899,Merchantability!$B:$C,2,0)="Yes",$E1899&gt;=VLOOKUP($D1899,Merchantability!$B:$D,3,0),$E1899&lt;=VLOOKUP($D1899,Merchantability!$B:$E,4,0)),AB1899,0)</f>
        <v>#N/A</v>
      </c>
      <c r="AH1899" s="104" t="e">
        <f>IF(AND(VLOOKUP($D1899,Merchantability!$B:$C,2,0)="Yes",$E1899&gt;=VLOOKUP($D1899,Merchantability!$B:$D,3,0),$E1899&lt;=VLOOKUP($D1899,Merchantability!$B:$E,4,0)),AC1899,0)</f>
        <v>#N/A</v>
      </c>
      <c r="AI1899" s="104" t="e">
        <f t="shared" si="843"/>
        <v>#N/A</v>
      </c>
      <c r="AJ1899" s="104" t="e">
        <f t="shared" si="844"/>
        <v>#VALUE!</v>
      </c>
      <c r="AK1899" s="104" t="e">
        <f t="shared" si="845"/>
        <v>#N/A</v>
      </c>
      <c r="AL1899" s="104" t="e">
        <f t="shared" si="846"/>
        <v>#N/A</v>
      </c>
      <c r="AM1899" s="104" t="e">
        <f t="shared" si="847"/>
        <v>#N/A</v>
      </c>
      <c r="AN1899" s="104" t="e">
        <f t="shared" si="831"/>
        <v>#N/A</v>
      </c>
      <c r="AO1899" s="104" t="e">
        <f t="shared" si="832"/>
        <v>#N/A</v>
      </c>
      <c r="AP1899" s="104" t="e">
        <f t="shared" si="833"/>
        <v>#N/A</v>
      </c>
      <c r="AQ1899" s="104" t="e">
        <f t="shared" si="834"/>
        <v>#N/A</v>
      </c>
      <c r="AR1899" s="105" t="str">
        <f t="shared" si="826"/>
        <v/>
      </c>
      <c r="AS1899" s="105" t="str">
        <f t="shared" si="827"/>
        <v/>
      </c>
      <c r="AT1899" s="108" t="str">
        <f t="shared" si="828"/>
        <v/>
      </c>
      <c r="AU1899" s="108" t="str">
        <f t="shared" si="829"/>
        <v/>
      </c>
      <c r="AV1899" s="107" t="str">
        <f>IF(ISNUMBER(O1899),IF(VLOOKUP($A1899,Stand!C:J,8,FALSE)="Short",AT1899,AU1899),"")</f>
        <v/>
      </c>
      <c r="AW1899" s="109" t="str">
        <f t="shared" si="835"/>
        <v/>
      </c>
      <c r="AX1899" s="109" t="str">
        <f t="shared" si="836"/>
        <v/>
      </c>
      <c r="AY1899" s="112" t="str">
        <f>IF(ISNUMBER(O1899),IF(AND(VLOOKUP($D1899,Merchantability!$B:$C,2,0)="Yes",$E1899&gt;=VLOOKUP($D1899,Merchantability!$B:$D,3,0),$E1899&lt;=VLOOKUP($D1899,Merchantability!$B:$E,4,0)),(AV1899*O1899)*(1-$H1899/100),""),"")</f>
        <v/>
      </c>
      <c r="AZ1899" s="116"/>
      <c r="BA1899" s="116"/>
      <c r="BB1899" s="116"/>
      <c r="BE1899" s="62"/>
      <c r="BF1899" s="63"/>
    </row>
    <row r="1900" spans="1:58" ht="12.75" customHeight="1" x14ac:dyDescent="0.25">
      <c r="A1900" s="334"/>
      <c r="B1900" s="334"/>
      <c r="C1900" s="332"/>
      <c r="D1900" s="334"/>
      <c r="E1900" s="335"/>
      <c r="F1900" s="334"/>
      <c r="G1900" s="332"/>
      <c r="H1900" s="332"/>
      <c r="I1900" s="334"/>
      <c r="J1900" s="336"/>
      <c r="K1900" s="332"/>
      <c r="L1900" s="332"/>
      <c r="M1900" s="76"/>
      <c r="N1900" s="103" t="str">
        <f>IF(A1900="","",VLOOKUP(A1900,Stand!C:K,9,0))</f>
        <v/>
      </c>
      <c r="O1900" s="104" t="str">
        <f t="shared" si="821"/>
        <v/>
      </c>
      <c r="P1900" s="105" t="str">
        <f t="shared" si="822"/>
        <v/>
      </c>
      <c r="Q1900" s="105" t="str">
        <f t="shared" si="837"/>
        <v/>
      </c>
      <c r="R1900" s="103" t="str">
        <f t="shared" si="823"/>
        <v/>
      </c>
      <c r="S1900" s="103" t="str">
        <f t="shared" si="824"/>
        <v/>
      </c>
      <c r="T1900" s="106" t="str">
        <f t="shared" si="838"/>
        <v/>
      </c>
      <c r="U1900" s="106" t="str">
        <f t="shared" si="839"/>
        <v/>
      </c>
      <c r="V1900" s="106" t="str">
        <f t="shared" si="840"/>
        <v/>
      </c>
      <c r="W1900" s="105" t="str">
        <f t="shared" si="825"/>
        <v/>
      </c>
      <c r="X1900" s="104" t="str">
        <f t="shared" si="830"/>
        <v/>
      </c>
      <c r="Y1900" s="104" t="str">
        <f t="array" ref="Y1900">IFERROR(IF(ISNUMBER(O1900),IF(COUNT(IF(A1900=$A$2:$A$2427,IF(D1900=$D$2:$D$2427,IF($X$2:$X$2427&gt;0,1))))&gt;0,SUM(IF(A1900=$A$2:$A$2427,IF(D1900=$D$2:$D$2427,$X$2:$X$2427)))/COUNT(IF(A1900=$A$2:$A$2427,IF(D1900=$D$2:$D$2427,IF(ISNUMBER($X$2:$X$2427),1)))),0),""),0)</f>
        <v/>
      </c>
      <c r="Z1900" s="104" t="str">
        <f>IF(ISNUMBER(O1900),IF(I1900&gt;0,(10^(VLOOKUP(D1900,'Species Codes'!B:C,2,0)+VLOOKUP(D1900,'Species Codes'!B:D,3,0)*LOG(E1900)+VLOOKUP(D1900,'Species Codes'!B:E,4,0)*LOG(I1900))),0),"")</f>
        <v/>
      </c>
      <c r="AA1900" s="104" t="str">
        <f>IFERROR((VLOOKUP(D1900,'Species Codes'!B:G,6,0)*Z1900)/2000,"")</f>
        <v/>
      </c>
      <c r="AB1900" s="104" t="e">
        <f>IF(Z1900&gt;0,((IF(OR(D1900="DF",D1900="RA")=TRUE,EXP(VLOOKUP(D1900,'Species Codes'!B:I,8,0)+VLOOKUP(D1900,'Species Codes'!B:J,9,0)*(LN((E1900*2.54)))),IF(OR(D1900="PY",D1900="RC",D1900="WH",D1900="NF")=TRUE,VLOOKUP(D1900,'Species Codes'!B:I,8,0)+VLOOKUP(D1900,'Species Codes'!B:J,9,0)*((E1900*2.54)^2)*(I1900*0.3048),IF(OR(D1900="MD",D1900="BM",D1900="GA")=TRUE,((VLOOKUP(D1900,'Species Codes'!B:I,8,0)*(((((E1900*2.54)+VLOOKUP(D1900,'Species Codes'!B:J,9,0))/VLOOKUP(D1900,'Species Codes'!B:K,10,0))^VLOOKUP(D1900,'Species Codes'!B:L,11,0))*((I1900*0.3048)^VLOOKUP(D1900,'Species Codes'!B:M,12,0))))-(VLOOKUP(D1900,'Species Codes'!B:I,8,0)*((((E1900*2.54)^VLOOKUP(D1900,'Species Codes'!B:L,11,0))*((I1900*0.3048)^VLOOKUP(D1900,'Species Codes'!B:M,12,0))))))*35.3*VLOOKUP(D1900,'Species Codes'!B:G,6,0)/2.2046,VLOOKUP(D1900,'Species Codes'!B:I,8,0)+VLOOKUP(D1900,'Species Codes'!B:J,9,0)*(((E1900*2.54)/100)^2)*(I1900*0.3048)))))*0.0011023),0)</f>
        <v>#N/A</v>
      </c>
      <c r="AC1900" s="104" t="e">
        <f>IF(Z1900&gt;0,((IF(OR(D1900="RA",D1900="OA",D1900="OT",D1900="UN",D1900="PC"),EXP(VLOOKUP(D1900,'Species Codes'!B:O,14,0)+VLOOKUP(D1900,'Species Codes'!B:P,15,0)*LN((E1900*2.54)))-EXP(VLOOKUP(D1900,'Species Codes'!B:O,14,0)+VLOOKUP(D1900,'Species Codes'!B:P,15,0)*LN((E1900*2.54)))*(1/(VLOOKUP(D1900,'Species Codes'!B:Q,16,0)+VLOOKUP(D1900,'Species Codes'!B:R,17,0)*((E1900*2.54)^VLOOKUP(D1900,'Species Codes'!B:S,18,0)))),IF(OR(D1900="BM",D1900="MD",D1900="OA"),EXP(VLOOKUP(D1900,'Species Codes'!B:O,14,0)+VLOOKUP(D1900,'Species Codes'!B:P,15,0)*LN((E1900*2.54)))*(1-(1/(VLOOKUP(D1900,'Species Codes'!B:Q,16,0)+VLOOKUP(D1900,'Species Codes'!B:R,17,0)*((E1900*2.54)^VLOOKUP(D1900,'Species Codes'!B:S,18,0)))))/1000,IF(D1900="DF",EXP(VLOOKUP(D1900,'Species Codes'!B:O,14,0)+VLOOKUP(D1900,'Species Codes'!B:P,15,0)*LN((E1900*2.54))),VLOOKUP(D1900,'Species Codes'!B:O,14,0)+VLOOKUP(D1900,'Species Codes'!B:P,15,0)*(((E1900*2.54)/100)^2)*(I1900*0.3048)))))*0.0011023),0)</f>
        <v>#N/A</v>
      </c>
      <c r="AD1900" s="104" t="e">
        <f t="shared" si="841"/>
        <v>#N/A</v>
      </c>
      <c r="AE1900" s="104" t="e">
        <f t="shared" si="842"/>
        <v>#N/A</v>
      </c>
      <c r="AF1900" s="104" t="e">
        <f>IF(AND(VLOOKUP($D1900,Merchantability!$B:$C,2,0)="Yes",$E1900&gt;=VLOOKUP($D1900,Merchantability!$B:$D,3,0),$E1900&lt;=VLOOKUP($D1900,Merchantability!$B:$E,4,0)),AA1900,0)</f>
        <v>#N/A</v>
      </c>
      <c r="AG1900" s="104" t="e">
        <f>IF(AND(VLOOKUP($D1900,Merchantability!$B:$C,2,0)="Yes",$E1900&gt;=VLOOKUP($D1900,Merchantability!$B:$D,3,0),$E1900&lt;=VLOOKUP($D1900,Merchantability!$B:$E,4,0)),AB1900,0)</f>
        <v>#N/A</v>
      </c>
      <c r="AH1900" s="104" t="e">
        <f>IF(AND(VLOOKUP($D1900,Merchantability!$B:$C,2,0)="Yes",$E1900&gt;=VLOOKUP($D1900,Merchantability!$B:$D,3,0),$E1900&lt;=VLOOKUP($D1900,Merchantability!$B:$E,4,0)),AC1900,0)</f>
        <v>#N/A</v>
      </c>
      <c r="AI1900" s="104" t="e">
        <f t="shared" si="843"/>
        <v>#N/A</v>
      </c>
      <c r="AJ1900" s="104" t="e">
        <f t="shared" si="844"/>
        <v>#VALUE!</v>
      </c>
      <c r="AK1900" s="104" t="e">
        <f t="shared" si="845"/>
        <v>#N/A</v>
      </c>
      <c r="AL1900" s="104" t="e">
        <f t="shared" si="846"/>
        <v>#N/A</v>
      </c>
      <c r="AM1900" s="104" t="e">
        <f t="shared" si="847"/>
        <v>#N/A</v>
      </c>
      <c r="AN1900" s="104" t="e">
        <f t="shared" si="831"/>
        <v>#N/A</v>
      </c>
      <c r="AO1900" s="104" t="e">
        <f t="shared" si="832"/>
        <v>#N/A</v>
      </c>
      <c r="AP1900" s="104" t="e">
        <f t="shared" si="833"/>
        <v>#N/A</v>
      </c>
      <c r="AQ1900" s="104" t="e">
        <f t="shared" si="834"/>
        <v>#N/A</v>
      </c>
      <c r="AR1900" s="105" t="str">
        <f t="shared" si="826"/>
        <v/>
      </c>
      <c r="AS1900" s="105" t="str">
        <f t="shared" si="827"/>
        <v/>
      </c>
      <c r="AT1900" s="108" t="str">
        <f t="shared" si="828"/>
        <v/>
      </c>
      <c r="AU1900" s="108" t="str">
        <f t="shared" si="829"/>
        <v/>
      </c>
      <c r="AV1900" s="107" t="str">
        <f>IF(ISNUMBER(O1900),IF(VLOOKUP($A1900,Stand!C:J,8,FALSE)="Short",AT1900,AU1900),"")</f>
        <v/>
      </c>
      <c r="AW1900" s="109" t="str">
        <f t="shared" si="835"/>
        <v/>
      </c>
      <c r="AX1900" s="109" t="str">
        <f t="shared" si="836"/>
        <v/>
      </c>
      <c r="AY1900" s="112" t="str">
        <f>IF(ISNUMBER(O1900),IF(AND(VLOOKUP($D1900,Merchantability!$B:$C,2,0)="Yes",$E1900&gt;=VLOOKUP($D1900,Merchantability!$B:$D,3,0),$E1900&lt;=VLOOKUP($D1900,Merchantability!$B:$E,4,0)),(AV1900*O1900)*(1-$H1900/100),""),"")</f>
        <v/>
      </c>
      <c r="AZ1900" s="116"/>
      <c r="BA1900" s="116"/>
      <c r="BB1900" s="116"/>
      <c r="BE1900" s="62"/>
      <c r="BF1900" s="63"/>
    </row>
    <row r="1901" spans="1:58" ht="12.75" customHeight="1" x14ac:dyDescent="0.25">
      <c r="A1901" s="334"/>
      <c r="B1901" s="334"/>
      <c r="C1901" s="332"/>
      <c r="D1901" s="334"/>
      <c r="E1901" s="335"/>
      <c r="F1901" s="334"/>
      <c r="G1901" s="332"/>
      <c r="H1901" s="332"/>
      <c r="I1901" s="334"/>
      <c r="J1901" s="336"/>
      <c r="K1901" s="332"/>
      <c r="L1901" s="332"/>
      <c r="M1901" s="76"/>
      <c r="N1901" s="103" t="str">
        <f>IF(A1901="","",VLOOKUP(A1901,Stand!C:K,9,0))</f>
        <v/>
      </c>
      <c r="O1901" s="104" t="str">
        <f t="shared" si="821"/>
        <v/>
      </c>
      <c r="P1901" s="105" t="str">
        <f t="shared" si="822"/>
        <v/>
      </c>
      <c r="Q1901" s="105" t="str">
        <f t="shared" si="837"/>
        <v/>
      </c>
      <c r="R1901" s="103" t="str">
        <f t="shared" si="823"/>
        <v/>
      </c>
      <c r="S1901" s="103" t="str">
        <f t="shared" si="824"/>
        <v/>
      </c>
      <c r="T1901" s="106" t="str">
        <f t="shared" si="838"/>
        <v/>
      </c>
      <c r="U1901" s="106" t="str">
        <f t="shared" si="839"/>
        <v/>
      </c>
      <c r="V1901" s="106" t="str">
        <f t="shared" si="840"/>
        <v/>
      </c>
      <c r="W1901" s="105" t="str">
        <f t="shared" si="825"/>
        <v/>
      </c>
      <c r="X1901" s="104" t="str">
        <f t="shared" si="830"/>
        <v/>
      </c>
      <c r="Y1901" s="104" t="str">
        <f t="array" ref="Y1901">IFERROR(IF(ISNUMBER(O1901),IF(COUNT(IF(A1901=$A$2:$A$2427,IF(D1901=$D$2:$D$2427,IF($X$2:$X$2427&gt;0,1))))&gt;0,SUM(IF(A1901=$A$2:$A$2427,IF(D1901=$D$2:$D$2427,$X$2:$X$2427)))/COUNT(IF(A1901=$A$2:$A$2427,IF(D1901=$D$2:$D$2427,IF(ISNUMBER($X$2:$X$2427),1)))),0),""),0)</f>
        <v/>
      </c>
      <c r="Z1901" s="104" t="str">
        <f>IF(ISNUMBER(O1901),IF(I1901&gt;0,(10^(VLOOKUP(D1901,'Species Codes'!B:C,2,0)+VLOOKUP(D1901,'Species Codes'!B:D,3,0)*LOG(E1901)+VLOOKUP(D1901,'Species Codes'!B:E,4,0)*LOG(I1901))),0),"")</f>
        <v/>
      </c>
      <c r="AA1901" s="104" t="str">
        <f>IFERROR((VLOOKUP(D1901,'Species Codes'!B:G,6,0)*Z1901)/2000,"")</f>
        <v/>
      </c>
      <c r="AB1901" s="104" t="e">
        <f>IF(Z1901&gt;0,((IF(OR(D1901="DF",D1901="RA")=TRUE,EXP(VLOOKUP(D1901,'Species Codes'!B:I,8,0)+VLOOKUP(D1901,'Species Codes'!B:J,9,0)*(LN((E1901*2.54)))),IF(OR(D1901="PY",D1901="RC",D1901="WH",D1901="NF")=TRUE,VLOOKUP(D1901,'Species Codes'!B:I,8,0)+VLOOKUP(D1901,'Species Codes'!B:J,9,0)*((E1901*2.54)^2)*(I1901*0.3048),IF(OR(D1901="MD",D1901="BM",D1901="GA")=TRUE,((VLOOKUP(D1901,'Species Codes'!B:I,8,0)*(((((E1901*2.54)+VLOOKUP(D1901,'Species Codes'!B:J,9,0))/VLOOKUP(D1901,'Species Codes'!B:K,10,0))^VLOOKUP(D1901,'Species Codes'!B:L,11,0))*((I1901*0.3048)^VLOOKUP(D1901,'Species Codes'!B:M,12,0))))-(VLOOKUP(D1901,'Species Codes'!B:I,8,0)*((((E1901*2.54)^VLOOKUP(D1901,'Species Codes'!B:L,11,0))*((I1901*0.3048)^VLOOKUP(D1901,'Species Codes'!B:M,12,0))))))*35.3*VLOOKUP(D1901,'Species Codes'!B:G,6,0)/2.2046,VLOOKUP(D1901,'Species Codes'!B:I,8,0)+VLOOKUP(D1901,'Species Codes'!B:J,9,0)*(((E1901*2.54)/100)^2)*(I1901*0.3048)))))*0.0011023),0)</f>
        <v>#N/A</v>
      </c>
      <c r="AC1901" s="104" t="e">
        <f>IF(Z1901&gt;0,((IF(OR(D1901="RA",D1901="OA",D1901="OT",D1901="UN",D1901="PC"),EXP(VLOOKUP(D1901,'Species Codes'!B:O,14,0)+VLOOKUP(D1901,'Species Codes'!B:P,15,0)*LN((E1901*2.54)))-EXP(VLOOKUP(D1901,'Species Codes'!B:O,14,0)+VLOOKUP(D1901,'Species Codes'!B:P,15,0)*LN((E1901*2.54)))*(1/(VLOOKUP(D1901,'Species Codes'!B:Q,16,0)+VLOOKUP(D1901,'Species Codes'!B:R,17,0)*((E1901*2.54)^VLOOKUP(D1901,'Species Codes'!B:S,18,0)))),IF(OR(D1901="BM",D1901="MD",D1901="OA"),EXP(VLOOKUP(D1901,'Species Codes'!B:O,14,0)+VLOOKUP(D1901,'Species Codes'!B:P,15,0)*LN((E1901*2.54)))*(1-(1/(VLOOKUP(D1901,'Species Codes'!B:Q,16,0)+VLOOKUP(D1901,'Species Codes'!B:R,17,0)*((E1901*2.54)^VLOOKUP(D1901,'Species Codes'!B:S,18,0)))))/1000,IF(D1901="DF",EXP(VLOOKUP(D1901,'Species Codes'!B:O,14,0)+VLOOKUP(D1901,'Species Codes'!B:P,15,0)*LN((E1901*2.54))),VLOOKUP(D1901,'Species Codes'!B:O,14,0)+VLOOKUP(D1901,'Species Codes'!B:P,15,0)*(((E1901*2.54)/100)^2)*(I1901*0.3048)))))*0.0011023),0)</f>
        <v>#N/A</v>
      </c>
      <c r="AD1901" s="104" t="e">
        <f t="shared" si="841"/>
        <v>#N/A</v>
      </c>
      <c r="AE1901" s="104" t="e">
        <f t="shared" si="842"/>
        <v>#N/A</v>
      </c>
      <c r="AF1901" s="104" t="e">
        <f>IF(AND(VLOOKUP($D1901,Merchantability!$B:$C,2,0)="Yes",$E1901&gt;=VLOOKUP($D1901,Merchantability!$B:$D,3,0),$E1901&lt;=VLOOKUP($D1901,Merchantability!$B:$E,4,0)),AA1901,0)</f>
        <v>#N/A</v>
      </c>
      <c r="AG1901" s="104" t="e">
        <f>IF(AND(VLOOKUP($D1901,Merchantability!$B:$C,2,0)="Yes",$E1901&gt;=VLOOKUP($D1901,Merchantability!$B:$D,3,0),$E1901&lt;=VLOOKUP($D1901,Merchantability!$B:$E,4,0)),AB1901,0)</f>
        <v>#N/A</v>
      </c>
      <c r="AH1901" s="104" t="e">
        <f>IF(AND(VLOOKUP($D1901,Merchantability!$B:$C,2,0)="Yes",$E1901&gt;=VLOOKUP($D1901,Merchantability!$B:$D,3,0),$E1901&lt;=VLOOKUP($D1901,Merchantability!$B:$E,4,0)),AC1901,0)</f>
        <v>#N/A</v>
      </c>
      <c r="AI1901" s="104" t="e">
        <f t="shared" si="843"/>
        <v>#N/A</v>
      </c>
      <c r="AJ1901" s="104" t="e">
        <f t="shared" si="844"/>
        <v>#VALUE!</v>
      </c>
      <c r="AK1901" s="104" t="e">
        <f t="shared" si="845"/>
        <v>#N/A</v>
      </c>
      <c r="AL1901" s="104" t="e">
        <f t="shared" si="846"/>
        <v>#N/A</v>
      </c>
      <c r="AM1901" s="104" t="e">
        <f t="shared" si="847"/>
        <v>#N/A</v>
      </c>
      <c r="AN1901" s="104" t="e">
        <f t="shared" si="831"/>
        <v>#N/A</v>
      </c>
      <c r="AO1901" s="104" t="e">
        <f t="shared" si="832"/>
        <v>#N/A</v>
      </c>
      <c r="AP1901" s="104" t="e">
        <f t="shared" si="833"/>
        <v>#N/A</v>
      </c>
      <c r="AQ1901" s="104" t="e">
        <f t="shared" si="834"/>
        <v>#N/A</v>
      </c>
      <c r="AR1901" s="105" t="str">
        <f t="shared" si="826"/>
        <v/>
      </c>
      <c r="AS1901" s="105" t="str">
        <f t="shared" si="827"/>
        <v/>
      </c>
      <c r="AT1901" s="108" t="str">
        <f t="shared" si="828"/>
        <v/>
      </c>
      <c r="AU1901" s="108" t="str">
        <f t="shared" si="829"/>
        <v/>
      </c>
      <c r="AV1901" s="107" t="str">
        <f>IF(ISNUMBER(O1901),IF(VLOOKUP($A1901,Stand!C:J,8,FALSE)="Short",AT1901,AU1901),"")</f>
        <v/>
      </c>
      <c r="AW1901" s="109" t="str">
        <f t="shared" si="835"/>
        <v/>
      </c>
      <c r="AX1901" s="109" t="str">
        <f t="shared" si="836"/>
        <v/>
      </c>
      <c r="AY1901" s="112" t="str">
        <f>IF(ISNUMBER(O1901),IF(AND(VLOOKUP($D1901,Merchantability!$B:$C,2,0)="Yes",$E1901&gt;=VLOOKUP($D1901,Merchantability!$B:$D,3,0),$E1901&lt;=VLOOKUP($D1901,Merchantability!$B:$E,4,0)),(AV1901*O1901)*(1-$H1901/100),""),"")</f>
        <v/>
      </c>
      <c r="AZ1901" s="116"/>
      <c r="BA1901" s="116"/>
      <c r="BB1901" s="116"/>
      <c r="BE1901" s="62"/>
      <c r="BF1901" s="63"/>
    </row>
    <row r="1902" spans="1:58" ht="12.75" customHeight="1" x14ac:dyDescent="0.25">
      <c r="A1902" s="334"/>
      <c r="B1902" s="334"/>
      <c r="C1902" s="332"/>
      <c r="D1902" s="334"/>
      <c r="E1902" s="335"/>
      <c r="F1902" s="334"/>
      <c r="G1902" s="332"/>
      <c r="H1902" s="332"/>
      <c r="I1902" s="334"/>
      <c r="J1902" s="336"/>
      <c r="K1902" s="332"/>
      <c r="L1902" s="332"/>
      <c r="M1902" s="76"/>
      <c r="N1902" s="103" t="str">
        <f>IF(A1902="","",VLOOKUP(A1902,Stand!C:K,9,0))</f>
        <v/>
      </c>
      <c r="O1902" s="104" t="str">
        <f t="shared" si="821"/>
        <v/>
      </c>
      <c r="P1902" s="105" t="str">
        <f t="shared" si="822"/>
        <v/>
      </c>
      <c r="Q1902" s="105" t="str">
        <f t="shared" si="837"/>
        <v/>
      </c>
      <c r="R1902" s="103" t="str">
        <f t="shared" si="823"/>
        <v/>
      </c>
      <c r="S1902" s="103" t="str">
        <f t="shared" si="824"/>
        <v/>
      </c>
      <c r="T1902" s="106" t="str">
        <f t="shared" si="838"/>
        <v/>
      </c>
      <c r="U1902" s="106" t="str">
        <f t="shared" si="839"/>
        <v/>
      </c>
      <c r="V1902" s="106" t="str">
        <f t="shared" si="840"/>
        <v/>
      </c>
      <c r="W1902" s="105" t="str">
        <f t="shared" si="825"/>
        <v/>
      </c>
      <c r="X1902" s="104" t="str">
        <f t="shared" si="830"/>
        <v/>
      </c>
      <c r="Y1902" s="104" t="str">
        <f t="array" ref="Y1902">IFERROR(IF(ISNUMBER(O1902),IF(COUNT(IF(A1902=$A$2:$A$2427,IF(D1902=$D$2:$D$2427,IF($X$2:$X$2427&gt;0,1))))&gt;0,SUM(IF(A1902=$A$2:$A$2427,IF(D1902=$D$2:$D$2427,$X$2:$X$2427)))/COUNT(IF(A1902=$A$2:$A$2427,IF(D1902=$D$2:$D$2427,IF(ISNUMBER($X$2:$X$2427),1)))),0),""),0)</f>
        <v/>
      </c>
      <c r="Z1902" s="104" t="str">
        <f>IF(ISNUMBER(O1902),IF(I1902&gt;0,(10^(VLOOKUP(D1902,'Species Codes'!B:C,2,0)+VLOOKUP(D1902,'Species Codes'!B:D,3,0)*LOG(E1902)+VLOOKUP(D1902,'Species Codes'!B:E,4,0)*LOG(I1902))),0),"")</f>
        <v/>
      </c>
      <c r="AA1902" s="104" t="str">
        <f>IFERROR((VLOOKUP(D1902,'Species Codes'!B:G,6,0)*Z1902)/2000,"")</f>
        <v/>
      </c>
      <c r="AB1902" s="104" t="e">
        <f>IF(Z1902&gt;0,((IF(OR(D1902="DF",D1902="RA")=TRUE,EXP(VLOOKUP(D1902,'Species Codes'!B:I,8,0)+VLOOKUP(D1902,'Species Codes'!B:J,9,0)*(LN((E1902*2.54)))),IF(OR(D1902="PY",D1902="RC",D1902="WH",D1902="NF")=TRUE,VLOOKUP(D1902,'Species Codes'!B:I,8,0)+VLOOKUP(D1902,'Species Codes'!B:J,9,0)*((E1902*2.54)^2)*(I1902*0.3048),IF(OR(D1902="MD",D1902="BM",D1902="GA")=TRUE,((VLOOKUP(D1902,'Species Codes'!B:I,8,0)*(((((E1902*2.54)+VLOOKUP(D1902,'Species Codes'!B:J,9,0))/VLOOKUP(D1902,'Species Codes'!B:K,10,0))^VLOOKUP(D1902,'Species Codes'!B:L,11,0))*((I1902*0.3048)^VLOOKUP(D1902,'Species Codes'!B:M,12,0))))-(VLOOKUP(D1902,'Species Codes'!B:I,8,0)*((((E1902*2.54)^VLOOKUP(D1902,'Species Codes'!B:L,11,0))*((I1902*0.3048)^VLOOKUP(D1902,'Species Codes'!B:M,12,0))))))*35.3*VLOOKUP(D1902,'Species Codes'!B:G,6,0)/2.2046,VLOOKUP(D1902,'Species Codes'!B:I,8,0)+VLOOKUP(D1902,'Species Codes'!B:J,9,0)*(((E1902*2.54)/100)^2)*(I1902*0.3048)))))*0.0011023),0)</f>
        <v>#N/A</v>
      </c>
      <c r="AC1902" s="104" t="e">
        <f>IF(Z1902&gt;0,((IF(OR(D1902="RA",D1902="OA",D1902="OT",D1902="UN",D1902="PC"),EXP(VLOOKUP(D1902,'Species Codes'!B:O,14,0)+VLOOKUP(D1902,'Species Codes'!B:P,15,0)*LN((E1902*2.54)))-EXP(VLOOKUP(D1902,'Species Codes'!B:O,14,0)+VLOOKUP(D1902,'Species Codes'!B:P,15,0)*LN((E1902*2.54)))*(1/(VLOOKUP(D1902,'Species Codes'!B:Q,16,0)+VLOOKUP(D1902,'Species Codes'!B:R,17,0)*((E1902*2.54)^VLOOKUP(D1902,'Species Codes'!B:S,18,0)))),IF(OR(D1902="BM",D1902="MD",D1902="OA"),EXP(VLOOKUP(D1902,'Species Codes'!B:O,14,0)+VLOOKUP(D1902,'Species Codes'!B:P,15,0)*LN((E1902*2.54)))*(1-(1/(VLOOKUP(D1902,'Species Codes'!B:Q,16,0)+VLOOKUP(D1902,'Species Codes'!B:R,17,0)*((E1902*2.54)^VLOOKUP(D1902,'Species Codes'!B:S,18,0)))))/1000,IF(D1902="DF",EXP(VLOOKUP(D1902,'Species Codes'!B:O,14,0)+VLOOKUP(D1902,'Species Codes'!B:P,15,0)*LN((E1902*2.54))),VLOOKUP(D1902,'Species Codes'!B:O,14,0)+VLOOKUP(D1902,'Species Codes'!B:P,15,0)*(((E1902*2.54)/100)^2)*(I1902*0.3048)))))*0.0011023),0)</f>
        <v>#N/A</v>
      </c>
      <c r="AD1902" s="104" t="e">
        <f t="shared" si="841"/>
        <v>#N/A</v>
      </c>
      <c r="AE1902" s="104" t="e">
        <f t="shared" si="842"/>
        <v>#N/A</v>
      </c>
      <c r="AF1902" s="104" t="e">
        <f>IF(AND(VLOOKUP($D1902,Merchantability!$B:$C,2,0)="Yes",$E1902&gt;=VLOOKUP($D1902,Merchantability!$B:$D,3,0),$E1902&lt;=VLOOKUP($D1902,Merchantability!$B:$E,4,0)),AA1902,0)</f>
        <v>#N/A</v>
      </c>
      <c r="AG1902" s="104" t="e">
        <f>IF(AND(VLOOKUP($D1902,Merchantability!$B:$C,2,0)="Yes",$E1902&gt;=VLOOKUP($D1902,Merchantability!$B:$D,3,0),$E1902&lt;=VLOOKUP($D1902,Merchantability!$B:$E,4,0)),AB1902,0)</f>
        <v>#N/A</v>
      </c>
      <c r="AH1902" s="104" t="e">
        <f>IF(AND(VLOOKUP($D1902,Merchantability!$B:$C,2,0)="Yes",$E1902&gt;=VLOOKUP($D1902,Merchantability!$B:$D,3,0),$E1902&lt;=VLOOKUP($D1902,Merchantability!$B:$E,4,0)),AC1902,0)</f>
        <v>#N/A</v>
      </c>
      <c r="AI1902" s="104" t="e">
        <f t="shared" si="843"/>
        <v>#N/A</v>
      </c>
      <c r="AJ1902" s="104" t="e">
        <f t="shared" si="844"/>
        <v>#VALUE!</v>
      </c>
      <c r="AK1902" s="104" t="e">
        <f t="shared" si="845"/>
        <v>#N/A</v>
      </c>
      <c r="AL1902" s="104" t="e">
        <f t="shared" si="846"/>
        <v>#N/A</v>
      </c>
      <c r="AM1902" s="104" t="e">
        <f t="shared" si="847"/>
        <v>#N/A</v>
      </c>
      <c r="AN1902" s="104" t="e">
        <f t="shared" si="831"/>
        <v>#N/A</v>
      </c>
      <c r="AO1902" s="104" t="e">
        <f t="shared" si="832"/>
        <v>#N/A</v>
      </c>
      <c r="AP1902" s="104" t="e">
        <f t="shared" si="833"/>
        <v>#N/A</v>
      </c>
      <c r="AQ1902" s="104" t="e">
        <f t="shared" si="834"/>
        <v>#N/A</v>
      </c>
      <c r="AR1902" s="105" t="str">
        <f t="shared" si="826"/>
        <v/>
      </c>
      <c r="AS1902" s="105" t="str">
        <f t="shared" si="827"/>
        <v/>
      </c>
      <c r="AT1902" s="108" t="str">
        <f t="shared" si="828"/>
        <v/>
      </c>
      <c r="AU1902" s="108" t="str">
        <f t="shared" si="829"/>
        <v/>
      </c>
      <c r="AV1902" s="107" t="str">
        <f>IF(ISNUMBER(O1902),IF(VLOOKUP($A1902,Stand!C:J,8,FALSE)="Short",AT1902,AU1902),"")</f>
        <v/>
      </c>
      <c r="AW1902" s="109" t="str">
        <f t="shared" si="835"/>
        <v/>
      </c>
      <c r="AX1902" s="109" t="str">
        <f t="shared" si="836"/>
        <v/>
      </c>
      <c r="AY1902" s="112" t="str">
        <f>IF(ISNUMBER(O1902),IF(AND(VLOOKUP($D1902,Merchantability!$B:$C,2,0)="Yes",$E1902&gt;=VLOOKUP($D1902,Merchantability!$B:$D,3,0),$E1902&lt;=VLOOKUP($D1902,Merchantability!$B:$E,4,0)),(AV1902*O1902)*(1-$H1902/100),""),"")</f>
        <v/>
      </c>
      <c r="AZ1902" s="116"/>
      <c r="BA1902" s="116"/>
      <c r="BB1902" s="116"/>
      <c r="BE1902" s="62"/>
      <c r="BF1902" s="63"/>
    </row>
    <row r="1903" spans="1:58" ht="12.75" customHeight="1" x14ac:dyDescent="0.25">
      <c r="A1903" s="334"/>
      <c r="B1903" s="334"/>
      <c r="C1903" s="332"/>
      <c r="D1903" s="334"/>
      <c r="E1903" s="335"/>
      <c r="F1903" s="334"/>
      <c r="G1903" s="332"/>
      <c r="H1903" s="332"/>
      <c r="I1903" s="334"/>
      <c r="J1903" s="336"/>
      <c r="K1903" s="332"/>
      <c r="L1903" s="332"/>
      <c r="M1903" s="76"/>
      <c r="N1903" s="103" t="str">
        <f>IF(A1903="","",VLOOKUP(A1903,Stand!C:K,9,0))</f>
        <v/>
      </c>
      <c r="O1903" s="104" t="str">
        <f t="shared" si="821"/>
        <v/>
      </c>
      <c r="P1903" s="105" t="str">
        <f t="shared" si="822"/>
        <v/>
      </c>
      <c r="Q1903" s="105" t="str">
        <f t="shared" si="837"/>
        <v/>
      </c>
      <c r="R1903" s="103" t="str">
        <f t="shared" si="823"/>
        <v/>
      </c>
      <c r="S1903" s="103" t="str">
        <f t="shared" si="824"/>
        <v/>
      </c>
      <c r="T1903" s="106" t="str">
        <f t="shared" si="838"/>
        <v/>
      </c>
      <c r="U1903" s="106" t="str">
        <f t="shared" si="839"/>
        <v/>
      </c>
      <c r="V1903" s="106" t="str">
        <f t="shared" si="840"/>
        <v/>
      </c>
      <c r="W1903" s="105" t="str">
        <f t="shared" si="825"/>
        <v/>
      </c>
      <c r="X1903" s="104" t="str">
        <f t="shared" si="830"/>
        <v/>
      </c>
      <c r="Y1903" s="104" t="str">
        <f t="array" ref="Y1903">IFERROR(IF(ISNUMBER(O1903),IF(COUNT(IF(A1903=$A$2:$A$2427,IF(D1903=$D$2:$D$2427,IF($X$2:$X$2427&gt;0,1))))&gt;0,SUM(IF(A1903=$A$2:$A$2427,IF(D1903=$D$2:$D$2427,$X$2:$X$2427)))/COUNT(IF(A1903=$A$2:$A$2427,IF(D1903=$D$2:$D$2427,IF(ISNUMBER($X$2:$X$2427),1)))),0),""),0)</f>
        <v/>
      </c>
      <c r="Z1903" s="104" t="str">
        <f>IF(ISNUMBER(O1903),IF(I1903&gt;0,(10^(VLOOKUP(D1903,'Species Codes'!B:C,2,0)+VLOOKUP(D1903,'Species Codes'!B:D,3,0)*LOG(E1903)+VLOOKUP(D1903,'Species Codes'!B:E,4,0)*LOG(I1903))),0),"")</f>
        <v/>
      </c>
      <c r="AA1903" s="104" t="str">
        <f>IFERROR((VLOOKUP(D1903,'Species Codes'!B:G,6,0)*Z1903)/2000,"")</f>
        <v/>
      </c>
      <c r="AB1903" s="104" t="e">
        <f>IF(Z1903&gt;0,((IF(OR(D1903="DF",D1903="RA")=TRUE,EXP(VLOOKUP(D1903,'Species Codes'!B:I,8,0)+VLOOKUP(D1903,'Species Codes'!B:J,9,0)*(LN((E1903*2.54)))),IF(OR(D1903="PY",D1903="RC",D1903="WH",D1903="NF")=TRUE,VLOOKUP(D1903,'Species Codes'!B:I,8,0)+VLOOKUP(D1903,'Species Codes'!B:J,9,0)*((E1903*2.54)^2)*(I1903*0.3048),IF(OR(D1903="MD",D1903="BM",D1903="GA")=TRUE,((VLOOKUP(D1903,'Species Codes'!B:I,8,0)*(((((E1903*2.54)+VLOOKUP(D1903,'Species Codes'!B:J,9,0))/VLOOKUP(D1903,'Species Codes'!B:K,10,0))^VLOOKUP(D1903,'Species Codes'!B:L,11,0))*((I1903*0.3048)^VLOOKUP(D1903,'Species Codes'!B:M,12,0))))-(VLOOKUP(D1903,'Species Codes'!B:I,8,0)*((((E1903*2.54)^VLOOKUP(D1903,'Species Codes'!B:L,11,0))*((I1903*0.3048)^VLOOKUP(D1903,'Species Codes'!B:M,12,0))))))*35.3*VLOOKUP(D1903,'Species Codes'!B:G,6,0)/2.2046,VLOOKUP(D1903,'Species Codes'!B:I,8,0)+VLOOKUP(D1903,'Species Codes'!B:J,9,0)*(((E1903*2.54)/100)^2)*(I1903*0.3048)))))*0.0011023),0)</f>
        <v>#N/A</v>
      </c>
      <c r="AC1903" s="104" t="e">
        <f>IF(Z1903&gt;0,((IF(OR(D1903="RA",D1903="OA",D1903="OT",D1903="UN",D1903="PC"),EXP(VLOOKUP(D1903,'Species Codes'!B:O,14,0)+VLOOKUP(D1903,'Species Codes'!B:P,15,0)*LN((E1903*2.54)))-EXP(VLOOKUP(D1903,'Species Codes'!B:O,14,0)+VLOOKUP(D1903,'Species Codes'!B:P,15,0)*LN((E1903*2.54)))*(1/(VLOOKUP(D1903,'Species Codes'!B:Q,16,0)+VLOOKUP(D1903,'Species Codes'!B:R,17,0)*((E1903*2.54)^VLOOKUP(D1903,'Species Codes'!B:S,18,0)))),IF(OR(D1903="BM",D1903="MD",D1903="OA"),EXP(VLOOKUP(D1903,'Species Codes'!B:O,14,0)+VLOOKUP(D1903,'Species Codes'!B:P,15,0)*LN((E1903*2.54)))*(1-(1/(VLOOKUP(D1903,'Species Codes'!B:Q,16,0)+VLOOKUP(D1903,'Species Codes'!B:R,17,0)*((E1903*2.54)^VLOOKUP(D1903,'Species Codes'!B:S,18,0)))))/1000,IF(D1903="DF",EXP(VLOOKUP(D1903,'Species Codes'!B:O,14,0)+VLOOKUP(D1903,'Species Codes'!B:P,15,0)*LN((E1903*2.54))),VLOOKUP(D1903,'Species Codes'!B:O,14,0)+VLOOKUP(D1903,'Species Codes'!B:P,15,0)*(((E1903*2.54)/100)^2)*(I1903*0.3048)))))*0.0011023),0)</f>
        <v>#N/A</v>
      </c>
      <c r="AD1903" s="104" t="e">
        <f t="shared" si="841"/>
        <v>#N/A</v>
      </c>
      <c r="AE1903" s="104" t="e">
        <f t="shared" si="842"/>
        <v>#N/A</v>
      </c>
      <c r="AF1903" s="104" t="e">
        <f>IF(AND(VLOOKUP($D1903,Merchantability!$B:$C,2,0)="Yes",$E1903&gt;=VLOOKUP($D1903,Merchantability!$B:$D,3,0),$E1903&lt;=VLOOKUP($D1903,Merchantability!$B:$E,4,0)),AA1903,0)</f>
        <v>#N/A</v>
      </c>
      <c r="AG1903" s="104" t="e">
        <f>IF(AND(VLOOKUP($D1903,Merchantability!$B:$C,2,0)="Yes",$E1903&gt;=VLOOKUP($D1903,Merchantability!$B:$D,3,0),$E1903&lt;=VLOOKUP($D1903,Merchantability!$B:$E,4,0)),AB1903,0)</f>
        <v>#N/A</v>
      </c>
      <c r="AH1903" s="104" t="e">
        <f>IF(AND(VLOOKUP($D1903,Merchantability!$B:$C,2,0)="Yes",$E1903&gt;=VLOOKUP($D1903,Merchantability!$B:$D,3,0),$E1903&lt;=VLOOKUP($D1903,Merchantability!$B:$E,4,0)),AC1903,0)</f>
        <v>#N/A</v>
      </c>
      <c r="AI1903" s="104" t="e">
        <f t="shared" si="843"/>
        <v>#N/A</v>
      </c>
      <c r="AJ1903" s="104" t="e">
        <f t="shared" si="844"/>
        <v>#VALUE!</v>
      </c>
      <c r="AK1903" s="104" t="e">
        <f t="shared" si="845"/>
        <v>#N/A</v>
      </c>
      <c r="AL1903" s="104" t="e">
        <f t="shared" si="846"/>
        <v>#N/A</v>
      </c>
      <c r="AM1903" s="104" t="e">
        <f t="shared" si="847"/>
        <v>#N/A</v>
      </c>
      <c r="AN1903" s="104" t="e">
        <f t="shared" si="831"/>
        <v>#N/A</v>
      </c>
      <c r="AO1903" s="104" t="e">
        <f t="shared" si="832"/>
        <v>#N/A</v>
      </c>
      <c r="AP1903" s="104" t="e">
        <f t="shared" si="833"/>
        <v>#N/A</v>
      </c>
      <c r="AQ1903" s="104" t="e">
        <f t="shared" si="834"/>
        <v>#N/A</v>
      </c>
      <c r="AR1903" s="105" t="str">
        <f t="shared" si="826"/>
        <v/>
      </c>
      <c r="AS1903" s="105" t="str">
        <f t="shared" si="827"/>
        <v/>
      </c>
      <c r="AT1903" s="108" t="str">
        <f t="shared" si="828"/>
        <v/>
      </c>
      <c r="AU1903" s="108" t="str">
        <f t="shared" si="829"/>
        <v/>
      </c>
      <c r="AV1903" s="107" t="str">
        <f>IF(ISNUMBER(O1903),IF(VLOOKUP($A1903,Stand!C:J,8,FALSE)="Short",AT1903,AU1903),"")</f>
        <v/>
      </c>
      <c r="AW1903" s="109" t="str">
        <f t="shared" si="835"/>
        <v/>
      </c>
      <c r="AX1903" s="109" t="str">
        <f t="shared" si="836"/>
        <v/>
      </c>
      <c r="AY1903" s="112" t="str">
        <f>IF(ISNUMBER(O1903),IF(AND(VLOOKUP($D1903,Merchantability!$B:$C,2,0)="Yes",$E1903&gt;=VLOOKUP($D1903,Merchantability!$B:$D,3,0),$E1903&lt;=VLOOKUP($D1903,Merchantability!$B:$E,4,0)),(AV1903*O1903)*(1-$H1903/100),""),"")</f>
        <v/>
      </c>
      <c r="AZ1903" s="116"/>
      <c r="BA1903" s="116"/>
      <c r="BB1903" s="116"/>
      <c r="BE1903" s="62"/>
      <c r="BF1903" s="63"/>
    </row>
    <row r="1904" spans="1:58" ht="12.75" customHeight="1" x14ac:dyDescent="0.25">
      <c r="A1904" s="334"/>
      <c r="B1904" s="334"/>
      <c r="C1904" s="332"/>
      <c r="D1904" s="334"/>
      <c r="E1904" s="335"/>
      <c r="F1904" s="334"/>
      <c r="G1904" s="332"/>
      <c r="H1904" s="332"/>
      <c r="I1904" s="334"/>
      <c r="J1904" s="336"/>
      <c r="K1904" s="332"/>
      <c r="L1904" s="332"/>
      <c r="M1904" s="76"/>
      <c r="N1904" s="103" t="str">
        <f>IF(A1904="","",VLOOKUP(A1904,Stand!C:K,9,0))</f>
        <v/>
      </c>
      <c r="O1904" s="104" t="str">
        <f t="shared" si="821"/>
        <v/>
      </c>
      <c r="P1904" s="105" t="str">
        <f t="shared" si="822"/>
        <v/>
      </c>
      <c r="Q1904" s="105" t="str">
        <f t="shared" si="837"/>
        <v/>
      </c>
      <c r="R1904" s="103" t="str">
        <f t="shared" si="823"/>
        <v/>
      </c>
      <c r="S1904" s="103" t="str">
        <f t="shared" si="824"/>
        <v/>
      </c>
      <c r="T1904" s="106" t="str">
        <f t="shared" si="838"/>
        <v/>
      </c>
      <c r="U1904" s="106" t="str">
        <f t="shared" si="839"/>
        <v/>
      </c>
      <c r="V1904" s="106" t="str">
        <f t="shared" si="840"/>
        <v/>
      </c>
      <c r="W1904" s="105" t="str">
        <f t="shared" si="825"/>
        <v/>
      </c>
      <c r="X1904" s="104" t="str">
        <f t="shared" si="830"/>
        <v/>
      </c>
      <c r="Y1904" s="104" t="str">
        <f t="array" ref="Y1904">IFERROR(IF(ISNUMBER(O1904),IF(COUNT(IF(A1904=$A$2:$A$2427,IF(D1904=$D$2:$D$2427,IF($X$2:$X$2427&gt;0,1))))&gt;0,SUM(IF(A1904=$A$2:$A$2427,IF(D1904=$D$2:$D$2427,$X$2:$X$2427)))/COUNT(IF(A1904=$A$2:$A$2427,IF(D1904=$D$2:$D$2427,IF(ISNUMBER($X$2:$X$2427),1)))),0),""),0)</f>
        <v/>
      </c>
      <c r="Z1904" s="104" t="str">
        <f>IF(ISNUMBER(O1904),IF(I1904&gt;0,(10^(VLOOKUP(D1904,'Species Codes'!B:C,2,0)+VLOOKUP(D1904,'Species Codes'!B:D,3,0)*LOG(E1904)+VLOOKUP(D1904,'Species Codes'!B:E,4,0)*LOG(I1904))),0),"")</f>
        <v/>
      </c>
      <c r="AA1904" s="104" t="str">
        <f>IFERROR((VLOOKUP(D1904,'Species Codes'!B:G,6,0)*Z1904)/2000,"")</f>
        <v/>
      </c>
      <c r="AB1904" s="104" t="e">
        <f>IF(Z1904&gt;0,((IF(OR(D1904="DF",D1904="RA")=TRUE,EXP(VLOOKUP(D1904,'Species Codes'!B:I,8,0)+VLOOKUP(D1904,'Species Codes'!B:J,9,0)*(LN((E1904*2.54)))),IF(OR(D1904="PY",D1904="RC",D1904="WH",D1904="NF")=TRUE,VLOOKUP(D1904,'Species Codes'!B:I,8,0)+VLOOKUP(D1904,'Species Codes'!B:J,9,0)*((E1904*2.54)^2)*(I1904*0.3048),IF(OR(D1904="MD",D1904="BM",D1904="GA")=TRUE,((VLOOKUP(D1904,'Species Codes'!B:I,8,0)*(((((E1904*2.54)+VLOOKUP(D1904,'Species Codes'!B:J,9,0))/VLOOKUP(D1904,'Species Codes'!B:K,10,0))^VLOOKUP(D1904,'Species Codes'!B:L,11,0))*((I1904*0.3048)^VLOOKUP(D1904,'Species Codes'!B:M,12,0))))-(VLOOKUP(D1904,'Species Codes'!B:I,8,0)*((((E1904*2.54)^VLOOKUP(D1904,'Species Codes'!B:L,11,0))*((I1904*0.3048)^VLOOKUP(D1904,'Species Codes'!B:M,12,0))))))*35.3*VLOOKUP(D1904,'Species Codes'!B:G,6,0)/2.2046,VLOOKUP(D1904,'Species Codes'!B:I,8,0)+VLOOKUP(D1904,'Species Codes'!B:J,9,0)*(((E1904*2.54)/100)^2)*(I1904*0.3048)))))*0.0011023),0)</f>
        <v>#N/A</v>
      </c>
      <c r="AC1904" s="104" t="e">
        <f>IF(Z1904&gt;0,((IF(OR(D1904="RA",D1904="OA",D1904="OT",D1904="UN",D1904="PC"),EXP(VLOOKUP(D1904,'Species Codes'!B:O,14,0)+VLOOKUP(D1904,'Species Codes'!B:P,15,0)*LN((E1904*2.54)))-EXP(VLOOKUP(D1904,'Species Codes'!B:O,14,0)+VLOOKUP(D1904,'Species Codes'!B:P,15,0)*LN((E1904*2.54)))*(1/(VLOOKUP(D1904,'Species Codes'!B:Q,16,0)+VLOOKUP(D1904,'Species Codes'!B:R,17,0)*((E1904*2.54)^VLOOKUP(D1904,'Species Codes'!B:S,18,0)))),IF(OR(D1904="BM",D1904="MD",D1904="OA"),EXP(VLOOKUP(D1904,'Species Codes'!B:O,14,0)+VLOOKUP(D1904,'Species Codes'!B:P,15,0)*LN((E1904*2.54)))*(1-(1/(VLOOKUP(D1904,'Species Codes'!B:Q,16,0)+VLOOKUP(D1904,'Species Codes'!B:R,17,0)*((E1904*2.54)^VLOOKUP(D1904,'Species Codes'!B:S,18,0)))))/1000,IF(D1904="DF",EXP(VLOOKUP(D1904,'Species Codes'!B:O,14,0)+VLOOKUP(D1904,'Species Codes'!B:P,15,0)*LN((E1904*2.54))),VLOOKUP(D1904,'Species Codes'!B:O,14,0)+VLOOKUP(D1904,'Species Codes'!B:P,15,0)*(((E1904*2.54)/100)^2)*(I1904*0.3048)))))*0.0011023),0)</f>
        <v>#N/A</v>
      </c>
      <c r="AD1904" s="104" t="e">
        <f t="shared" si="841"/>
        <v>#N/A</v>
      </c>
      <c r="AE1904" s="104" t="e">
        <f t="shared" si="842"/>
        <v>#N/A</v>
      </c>
      <c r="AF1904" s="104" t="e">
        <f>IF(AND(VLOOKUP($D1904,Merchantability!$B:$C,2,0)="Yes",$E1904&gt;=VLOOKUP($D1904,Merchantability!$B:$D,3,0),$E1904&lt;=VLOOKUP($D1904,Merchantability!$B:$E,4,0)),AA1904,0)</f>
        <v>#N/A</v>
      </c>
      <c r="AG1904" s="104" t="e">
        <f>IF(AND(VLOOKUP($D1904,Merchantability!$B:$C,2,0)="Yes",$E1904&gt;=VLOOKUP($D1904,Merchantability!$B:$D,3,0),$E1904&lt;=VLOOKUP($D1904,Merchantability!$B:$E,4,0)),AB1904,0)</f>
        <v>#N/A</v>
      </c>
      <c r="AH1904" s="104" t="e">
        <f>IF(AND(VLOOKUP($D1904,Merchantability!$B:$C,2,0)="Yes",$E1904&gt;=VLOOKUP($D1904,Merchantability!$B:$D,3,0),$E1904&lt;=VLOOKUP($D1904,Merchantability!$B:$E,4,0)),AC1904,0)</f>
        <v>#N/A</v>
      </c>
      <c r="AI1904" s="104" t="e">
        <f t="shared" si="843"/>
        <v>#N/A</v>
      </c>
      <c r="AJ1904" s="104" t="e">
        <f t="shared" si="844"/>
        <v>#VALUE!</v>
      </c>
      <c r="AK1904" s="104" t="e">
        <f t="shared" si="845"/>
        <v>#N/A</v>
      </c>
      <c r="AL1904" s="104" t="e">
        <f t="shared" si="846"/>
        <v>#N/A</v>
      </c>
      <c r="AM1904" s="104" t="e">
        <f t="shared" si="847"/>
        <v>#N/A</v>
      </c>
      <c r="AN1904" s="104" t="e">
        <f t="shared" si="831"/>
        <v>#N/A</v>
      </c>
      <c r="AO1904" s="104" t="e">
        <f t="shared" si="832"/>
        <v>#N/A</v>
      </c>
      <c r="AP1904" s="104" t="e">
        <f t="shared" si="833"/>
        <v>#N/A</v>
      </c>
      <c r="AQ1904" s="104" t="e">
        <f t="shared" si="834"/>
        <v>#N/A</v>
      </c>
      <c r="AR1904" s="105" t="str">
        <f t="shared" si="826"/>
        <v/>
      </c>
      <c r="AS1904" s="105" t="str">
        <f t="shared" si="827"/>
        <v/>
      </c>
      <c r="AT1904" s="108" t="str">
        <f t="shared" si="828"/>
        <v/>
      </c>
      <c r="AU1904" s="108" t="str">
        <f t="shared" si="829"/>
        <v/>
      </c>
      <c r="AV1904" s="107" t="str">
        <f>IF(ISNUMBER(O1904),IF(VLOOKUP($A1904,Stand!C:J,8,FALSE)="Short",AT1904,AU1904),"")</f>
        <v/>
      </c>
      <c r="AW1904" s="109" t="str">
        <f t="shared" si="835"/>
        <v/>
      </c>
      <c r="AX1904" s="109" t="str">
        <f t="shared" si="836"/>
        <v/>
      </c>
      <c r="AY1904" s="112" t="str">
        <f>IF(ISNUMBER(O1904),IF(AND(VLOOKUP($D1904,Merchantability!$B:$C,2,0)="Yes",$E1904&gt;=VLOOKUP($D1904,Merchantability!$B:$D,3,0),$E1904&lt;=VLOOKUP($D1904,Merchantability!$B:$E,4,0)),(AV1904*O1904)*(1-$H1904/100),""),"")</f>
        <v/>
      </c>
      <c r="AZ1904" s="116"/>
      <c r="BA1904" s="116"/>
      <c r="BB1904" s="116"/>
      <c r="BE1904" s="62"/>
      <c r="BF1904" s="63"/>
    </row>
    <row r="1905" spans="1:58" ht="12.75" customHeight="1" x14ac:dyDescent="0.25">
      <c r="A1905" s="334"/>
      <c r="B1905" s="334"/>
      <c r="C1905" s="332"/>
      <c r="D1905" s="334"/>
      <c r="E1905" s="335"/>
      <c r="F1905" s="334"/>
      <c r="G1905" s="332"/>
      <c r="H1905" s="332"/>
      <c r="I1905" s="334"/>
      <c r="J1905" s="336"/>
      <c r="K1905" s="332"/>
      <c r="L1905" s="332"/>
      <c r="M1905" s="76"/>
      <c r="N1905" s="103" t="str">
        <f>IF(A1905="","",VLOOKUP(A1905,Stand!C:K,9,0))</f>
        <v/>
      </c>
      <c r="O1905" s="104" t="str">
        <f t="shared" si="821"/>
        <v/>
      </c>
      <c r="P1905" s="105" t="str">
        <f t="shared" si="822"/>
        <v/>
      </c>
      <c r="Q1905" s="105" t="str">
        <f t="shared" si="837"/>
        <v/>
      </c>
      <c r="R1905" s="103" t="str">
        <f t="shared" si="823"/>
        <v/>
      </c>
      <c r="S1905" s="103" t="str">
        <f t="shared" si="824"/>
        <v/>
      </c>
      <c r="T1905" s="106" t="str">
        <f t="shared" si="838"/>
        <v/>
      </c>
      <c r="U1905" s="106" t="str">
        <f t="shared" si="839"/>
        <v/>
      </c>
      <c r="V1905" s="106" t="str">
        <f t="shared" si="840"/>
        <v/>
      </c>
      <c r="W1905" s="105" t="str">
        <f t="shared" si="825"/>
        <v/>
      </c>
      <c r="X1905" s="104" t="str">
        <f t="shared" si="830"/>
        <v/>
      </c>
      <c r="Y1905" s="104" t="str">
        <f t="array" ref="Y1905">IFERROR(IF(ISNUMBER(O1905),IF(COUNT(IF(A1905=$A$2:$A$2427,IF(D1905=$D$2:$D$2427,IF($X$2:$X$2427&gt;0,1))))&gt;0,SUM(IF(A1905=$A$2:$A$2427,IF(D1905=$D$2:$D$2427,$X$2:$X$2427)))/COUNT(IF(A1905=$A$2:$A$2427,IF(D1905=$D$2:$D$2427,IF(ISNUMBER($X$2:$X$2427),1)))),0),""),0)</f>
        <v/>
      </c>
      <c r="Z1905" s="104" t="str">
        <f>IF(ISNUMBER(O1905),IF(I1905&gt;0,(10^(VLOOKUP(D1905,'Species Codes'!B:C,2,0)+VLOOKUP(D1905,'Species Codes'!B:D,3,0)*LOG(E1905)+VLOOKUP(D1905,'Species Codes'!B:E,4,0)*LOG(I1905))),0),"")</f>
        <v/>
      </c>
      <c r="AA1905" s="104" t="str">
        <f>IFERROR((VLOOKUP(D1905,'Species Codes'!B:G,6,0)*Z1905)/2000,"")</f>
        <v/>
      </c>
      <c r="AB1905" s="104" t="e">
        <f>IF(Z1905&gt;0,((IF(OR(D1905="DF",D1905="RA")=TRUE,EXP(VLOOKUP(D1905,'Species Codes'!B:I,8,0)+VLOOKUP(D1905,'Species Codes'!B:J,9,0)*(LN((E1905*2.54)))),IF(OR(D1905="PY",D1905="RC",D1905="WH",D1905="NF")=TRUE,VLOOKUP(D1905,'Species Codes'!B:I,8,0)+VLOOKUP(D1905,'Species Codes'!B:J,9,0)*((E1905*2.54)^2)*(I1905*0.3048),IF(OR(D1905="MD",D1905="BM",D1905="GA")=TRUE,((VLOOKUP(D1905,'Species Codes'!B:I,8,0)*(((((E1905*2.54)+VLOOKUP(D1905,'Species Codes'!B:J,9,0))/VLOOKUP(D1905,'Species Codes'!B:K,10,0))^VLOOKUP(D1905,'Species Codes'!B:L,11,0))*((I1905*0.3048)^VLOOKUP(D1905,'Species Codes'!B:M,12,0))))-(VLOOKUP(D1905,'Species Codes'!B:I,8,0)*((((E1905*2.54)^VLOOKUP(D1905,'Species Codes'!B:L,11,0))*((I1905*0.3048)^VLOOKUP(D1905,'Species Codes'!B:M,12,0))))))*35.3*VLOOKUP(D1905,'Species Codes'!B:G,6,0)/2.2046,VLOOKUP(D1905,'Species Codes'!B:I,8,0)+VLOOKUP(D1905,'Species Codes'!B:J,9,0)*(((E1905*2.54)/100)^2)*(I1905*0.3048)))))*0.0011023),0)</f>
        <v>#N/A</v>
      </c>
      <c r="AC1905" s="104" t="e">
        <f>IF(Z1905&gt;0,((IF(OR(D1905="RA",D1905="OA",D1905="OT",D1905="UN",D1905="PC"),EXP(VLOOKUP(D1905,'Species Codes'!B:O,14,0)+VLOOKUP(D1905,'Species Codes'!B:P,15,0)*LN((E1905*2.54)))-EXP(VLOOKUP(D1905,'Species Codes'!B:O,14,0)+VLOOKUP(D1905,'Species Codes'!B:P,15,0)*LN((E1905*2.54)))*(1/(VLOOKUP(D1905,'Species Codes'!B:Q,16,0)+VLOOKUP(D1905,'Species Codes'!B:R,17,0)*((E1905*2.54)^VLOOKUP(D1905,'Species Codes'!B:S,18,0)))),IF(OR(D1905="BM",D1905="MD",D1905="OA"),EXP(VLOOKUP(D1905,'Species Codes'!B:O,14,0)+VLOOKUP(D1905,'Species Codes'!B:P,15,0)*LN((E1905*2.54)))*(1-(1/(VLOOKUP(D1905,'Species Codes'!B:Q,16,0)+VLOOKUP(D1905,'Species Codes'!B:R,17,0)*((E1905*2.54)^VLOOKUP(D1905,'Species Codes'!B:S,18,0)))))/1000,IF(D1905="DF",EXP(VLOOKUP(D1905,'Species Codes'!B:O,14,0)+VLOOKUP(D1905,'Species Codes'!B:P,15,0)*LN((E1905*2.54))),VLOOKUP(D1905,'Species Codes'!B:O,14,0)+VLOOKUP(D1905,'Species Codes'!B:P,15,0)*(((E1905*2.54)/100)^2)*(I1905*0.3048)))))*0.0011023),0)</f>
        <v>#N/A</v>
      </c>
      <c r="AD1905" s="104" t="e">
        <f t="shared" si="841"/>
        <v>#N/A</v>
      </c>
      <c r="AE1905" s="104" t="e">
        <f t="shared" si="842"/>
        <v>#N/A</v>
      </c>
      <c r="AF1905" s="104" t="e">
        <f>IF(AND(VLOOKUP($D1905,Merchantability!$B:$C,2,0)="Yes",$E1905&gt;=VLOOKUP($D1905,Merchantability!$B:$D,3,0),$E1905&lt;=VLOOKUP($D1905,Merchantability!$B:$E,4,0)),AA1905,0)</f>
        <v>#N/A</v>
      </c>
      <c r="AG1905" s="104" t="e">
        <f>IF(AND(VLOOKUP($D1905,Merchantability!$B:$C,2,0)="Yes",$E1905&gt;=VLOOKUP($D1905,Merchantability!$B:$D,3,0),$E1905&lt;=VLOOKUP($D1905,Merchantability!$B:$E,4,0)),AB1905,0)</f>
        <v>#N/A</v>
      </c>
      <c r="AH1905" s="104" t="e">
        <f>IF(AND(VLOOKUP($D1905,Merchantability!$B:$C,2,0)="Yes",$E1905&gt;=VLOOKUP($D1905,Merchantability!$B:$D,3,0),$E1905&lt;=VLOOKUP($D1905,Merchantability!$B:$E,4,0)),AC1905,0)</f>
        <v>#N/A</v>
      </c>
      <c r="AI1905" s="104" t="e">
        <f t="shared" si="843"/>
        <v>#N/A</v>
      </c>
      <c r="AJ1905" s="104" t="e">
        <f t="shared" si="844"/>
        <v>#VALUE!</v>
      </c>
      <c r="AK1905" s="104" t="e">
        <f t="shared" si="845"/>
        <v>#N/A</v>
      </c>
      <c r="AL1905" s="104" t="e">
        <f t="shared" si="846"/>
        <v>#N/A</v>
      </c>
      <c r="AM1905" s="104" t="e">
        <f t="shared" si="847"/>
        <v>#N/A</v>
      </c>
      <c r="AN1905" s="104" t="e">
        <f t="shared" si="831"/>
        <v>#N/A</v>
      </c>
      <c r="AO1905" s="104" t="e">
        <f t="shared" si="832"/>
        <v>#N/A</v>
      </c>
      <c r="AP1905" s="104" t="e">
        <f t="shared" si="833"/>
        <v>#N/A</v>
      </c>
      <c r="AQ1905" s="104" t="e">
        <f t="shared" si="834"/>
        <v>#N/A</v>
      </c>
      <c r="AR1905" s="105" t="str">
        <f t="shared" si="826"/>
        <v/>
      </c>
      <c r="AS1905" s="105" t="str">
        <f t="shared" si="827"/>
        <v/>
      </c>
      <c r="AT1905" s="108" t="str">
        <f t="shared" si="828"/>
        <v/>
      </c>
      <c r="AU1905" s="108" t="str">
        <f t="shared" si="829"/>
        <v/>
      </c>
      <c r="AV1905" s="107" t="str">
        <f>IF(ISNUMBER(O1905),IF(VLOOKUP($A1905,Stand!C:J,8,FALSE)="Short",AT1905,AU1905),"")</f>
        <v/>
      </c>
      <c r="AW1905" s="109" t="str">
        <f t="shared" si="835"/>
        <v/>
      </c>
      <c r="AX1905" s="109" t="str">
        <f t="shared" si="836"/>
        <v/>
      </c>
      <c r="AY1905" s="112" t="str">
        <f>IF(ISNUMBER(O1905),IF(AND(VLOOKUP($D1905,Merchantability!$B:$C,2,0)="Yes",$E1905&gt;=VLOOKUP($D1905,Merchantability!$B:$D,3,0),$E1905&lt;=VLOOKUP($D1905,Merchantability!$B:$E,4,0)),(AV1905*O1905)*(1-$H1905/100),""),"")</f>
        <v/>
      </c>
      <c r="AZ1905" s="116"/>
      <c r="BA1905" s="116"/>
      <c r="BB1905" s="116"/>
      <c r="BE1905" s="62"/>
      <c r="BF1905" s="63"/>
    </row>
    <row r="1906" spans="1:58" ht="12.75" customHeight="1" x14ac:dyDescent="0.25">
      <c r="A1906" s="334"/>
      <c r="B1906" s="334"/>
      <c r="C1906" s="332"/>
      <c r="D1906" s="334"/>
      <c r="E1906" s="335"/>
      <c r="F1906" s="334"/>
      <c r="G1906" s="332"/>
      <c r="H1906" s="332"/>
      <c r="I1906" s="334"/>
      <c r="J1906" s="336"/>
      <c r="K1906" s="332"/>
      <c r="L1906" s="332"/>
      <c r="M1906" s="76"/>
      <c r="N1906" s="103" t="str">
        <f>IF(A1906="","",VLOOKUP(A1906,Stand!C:K,9,0))</f>
        <v/>
      </c>
      <c r="O1906" s="104" t="str">
        <f t="shared" si="821"/>
        <v/>
      </c>
      <c r="P1906" s="105" t="str">
        <f t="shared" si="822"/>
        <v/>
      </c>
      <c r="Q1906" s="105" t="str">
        <f t="shared" si="837"/>
        <v/>
      </c>
      <c r="R1906" s="103" t="str">
        <f t="shared" si="823"/>
        <v/>
      </c>
      <c r="S1906" s="103" t="str">
        <f t="shared" si="824"/>
        <v/>
      </c>
      <c r="T1906" s="106" t="str">
        <f t="shared" si="838"/>
        <v/>
      </c>
      <c r="U1906" s="106" t="str">
        <f t="shared" si="839"/>
        <v/>
      </c>
      <c r="V1906" s="106" t="str">
        <f t="shared" si="840"/>
        <v/>
      </c>
      <c r="W1906" s="105" t="str">
        <f t="shared" si="825"/>
        <v/>
      </c>
      <c r="X1906" s="104" t="str">
        <f t="shared" si="830"/>
        <v/>
      </c>
      <c r="Y1906" s="104" t="str">
        <f t="array" ref="Y1906">IFERROR(IF(ISNUMBER(O1906),IF(COUNT(IF(A1906=$A$2:$A$2427,IF(D1906=$D$2:$D$2427,IF($X$2:$X$2427&gt;0,1))))&gt;0,SUM(IF(A1906=$A$2:$A$2427,IF(D1906=$D$2:$D$2427,$X$2:$X$2427)))/COUNT(IF(A1906=$A$2:$A$2427,IF(D1906=$D$2:$D$2427,IF(ISNUMBER($X$2:$X$2427),1)))),0),""),0)</f>
        <v/>
      </c>
      <c r="Z1906" s="104" t="str">
        <f>IF(ISNUMBER(O1906),IF(I1906&gt;0,(10^(VLOOKUP(D1906,'Species Codes'!B:C,2,0)+VLOOKUP(D1906,'Species Codes'!B:D,3,0)*LOG(E1906)+VLOOKUP(D1906,'Species Codes'!B:E,4,0)*LOG(I1906))),0),"")</f>
        <v/>
      </c>
      <c r="AA1906" s="104" t="str">
        <f>IFERROR((VLOOKUP(D1906,'Species Codes'!B:G,6,0)*Z1906)/2000,"")</f>
        <v/>
      </c>
      <c r="AB1906" s="104" t="e">
        <f>IF(Z1906&gt;0,((IF(OR(D1906="DF",D1906="RA")=TRUE,EXP(VLOOKUP(D1906,'Species Codes'!B:I,8,0)+VLOOKUP(D1906,'Species Codes'!B:J,9,0)*(LN((E1906*2.54)))),IF(OR(D1906="PY",D1906="RC",D1906="WH",D1906="NF")=TRUE,VLOOKUP(D1906,'Species Codes'!B:I,8,0)+VLOOKUP(D1906,'Species Codes'!B:J,9,0)*((E1906*2.54)^2)*(I1906*0.3048),IF(OR(D1906="MD",D1906="BM",D1906="GA")=TRUE,((VLOOKUP(D1906,'Species Codes'!B:I,8,0)*(((((E1906*2.54)+VLOOKUP(D1906,'Species Codes'!B:J,9,0))/VLOOKUP(D1906,'Species Codes'!B:K,10,0))^VLOOKUP(D1906,'Species Codes'!B:L,11,0))*((I1906*0.3048)^VLOOKUP(D1906,'Species Codes'!B:M,12,0))))-(VLOOKUP(D1906,'Species Codes'!B:I,8,0)*((((E1906*2.54)^VLOOKUP(D1906,'Species Codes'!B:L,11,0))*((I1906*0.3048)^VLOOKUP(D1906,'Species Codes'!B:M,12,0))))))*35.3*VLOOKUP(D1906,'Species Codes'!B:G,6,0)/2.2046,VLOOKUP(D1906,'Species Codes'!B:I,8,0)+VLOOKUP(D1906,'Species Codes'!B:J,9,0)*(((E1906*2.54)/100)^2)*(I1906*0.3048)))))*0.0011023),0)</f>
        <v>#N/A</v>
      </c>
      <c r="AC1906" s="104" t="e">
        <f>IF(Z1906&gt;0,((IF(OR(D1906="RA",D1906="OA",D1906="OT",D1906="UN",D1906="PC"),EXP(VLOOKUP(D1906,'Species Codes'!B:O,14,0)+VLOOKUP(D1906,'Species Codes'!B:P,15,0)*LN((E1906*2.54)))-EXP(VLOOKUP(D1906,'Species Codes'!B:O,14,0)+VLOOKUP(D1906,'Species Codes'!B:P,15,0)*LN((E1906*2.54)))*(1/(VLOOKUP(D1906,'Species Codes'!B:Q,16,0)+VLOOKUP(D1906,'Species Codes'!B:R,17,0)*((E1906*2.54)^VLOOKUP(D1906,'Species Codes'!B:S,18,0)))),IF(OR(D1906="BM",D1906="MD",D1906="OA"),EXP(VLOOKUP(D1906,'Species Codes'!B:O,14,0)+VLOOKUP(D1906,'Species Codes'!B:P,15,0)*LN((E1906*2.54)))*(1-(1/(VLOOKUP(D1906,'Species Codes'!B:Q,16,0)+VLOOKUP(D1906,'Species Codes'!B:R,17,0)*((E1906*2.54)^VLOOKUP(D1906,'Species Codes'!B:S,18,0)))))/1000,IF(D1906="DF",EXP(VLOOKUP(D1906,'Species Codes'!B:O,14,0)+VLOOKUP(D1906,'Species Codes'!B:P,15,0)*LN((E1906*2.54))),VLOOKUP(D1906,'Species Codes'!B:O,14,0)+VLOOKUP(D1906,'Species Codes'!B:P,15,0)*(((E1906*2.54)/100)^2)*(I1906*0.3048)))))*0.0011023),0)</f>
        <v>#N/A</v>
      </c>
      <c r="AD1906" s="104" t="e">
        <f t="shared" si="841"/>
        <v>#N/A</v>
      </c>
      <c r="AE1906" s="104" t="e">
        <f t="shared" si="842"/>
        <v>#N/A</v>
      </c>
      <c r="AF1906" s="104" t="e">
        <f>IF(AND(VLOOKUP($D1906,Merchantability!$B:$C,2,0)="Yes",$E1906&gt;=VLOOKUP($D1906,Merchantability!$B:$D,3,0),$E1906&lt;=VLOOKUP($D1906,Merchantability!$B:$E,4,0)),AA1906,0)</f>
        <v>#N/A</v>
      </c>
      <c r="AG1906" s="104" t="e">
        <f>IF(AND(VLOOKUP($D1906,Merchantability!$B:$C,2,0)="Yes",$E1906&gt;=VLOOKUP($D1906,Merchantability!$B:$D,3,0),$E1906&lt;=VLOOKUP($D1906,Merchantability!$B:$E,4,0)),AB1906,0)</f>
        <v>#N/A</v>
      </c>
      <c r="AH1906" s="104" t="e">
        <f>IF(AND(VLOOKUP($D1906,Merchantability!$B:$C,2,0)="Yes",$E1906&gt;=VLOOKUP($D1906,Merchantability!$B:$D,3,0),$E1906&lt;=VLOOKUP($D1906,Merchantability!$B:$E,4,0)),AC1906,0)</f>
        <v>#N/A</v>
      </c>
      <c r="AI1906" s="104" t="e">
        <f t="shared" si="843"/>
        <v>#N/A</v>
      </c>
      <c r="AJ1906" s="104" t="e">
        <f t="shared" si="844"/>
        <v>#VALUE!</v>
      </c>
      <c r="AK1906" s="104" t="e">
        <f t="shared" si="845"/>
        <v>#N/A</v>
      </c>
      <c r="AL1906" s="104" t="e">
        <f t="shared" si="846"/>
        <v>#N/A</v>
      </c>
      <c r="AM1906" s="104" t="e">
        <f t="shared" si="847"/>
        <v>#N/A</v>
      </c>
      <c r="AN1906" s="104" t="e">
        <f t="shared" si="831"/>
        <v>#N/A</v>
      </c>
      <c r="AO1906" s="104" t="e">
        <f t="shared" si="832"/>
        <v>#N/A</v>
      </c>
      <c r="AP1906" s="104" t="e">
        <f t="shared" si="833"/>
        <v>#N/A</v>
      </c>
      <c r="AQ1906" s="104" t="e">
        <f t="shared" si="834"/>
        <v>#N/A</v>
      </c>
      <c r="AR1906" s="105" t="str">
        <f t="shared" si="826"/>
        <v/>
      </c>
      <c r="AS1906" s="105" t="str">
        <f t="shared" si="827"/>
        <v/>
      </c>
      <c r="AT1906" s="108" t="str">
        <f t="shared" si="828"/>
        <v/>
      </c>
      <c r="AU1906" s="108" t="str">
        <f t="shared" si="829"/>
        <v/>
      </c>
      <c r="AV1906" s="107" t="str">
        <f>IF(ISNUMBER(O1906),IF(VLOOKUP($A1906,Stand!C:J,8,FALSE)="Short",AT1906,AU1906),"")</f>
        <v/>
      </c>
      <c r="AW1906" s="109" t="str">
        <f t="shared" si="835"/>
        <v/>
      </c>
      <c r="AX1906" s="109" t="str">
        <f t="shared" si="836"/>
        <v/>
      </c>
      <c r="AY1906" s="112" t="str">
        <f>IF(ISNUMBER(O1906),IF(AND(VLOOKUP($D1906,Merchantability!$B:$C,2,0)="Yes",$E1906&gt;=VLOOKUP($D1906,Merchantability!$B:$D,3,0),$E1906&lt;=VLOOKUP($D1906,Merchantability!$B:$E,4,0)),(AV1906*O1906)*(1-$H1906/100),""),"")</f>
        <v/>
      </c>
      <c r="AZ1906" s="116"/>
      <c r="BA1906" s="116"/>
      <c r="BB1906" s="116"/>
      <c r="BE1906" s="62"/>
      <c r="BF1906" s="63"/>
    </row>
    <row r="1907" spans="1:58" ht="12.75" customHeight="1" x14ac:dyDescent="0.25">
      <c r="A1907" s="334"/>
      <c r="B1907" s="334"/>
      <c r="C1907" s="332"/>
      <c r="D1907" s="334"/>
      <c r="E1907" s="335"/>
      <c r="F1907" s="334"/>
      <c r="G1907" s="332"/>
      <c r="H1907" s="332"/>
      <c r="I1907" s="334"/>
      <c r="J1907" s="336"/>
      <c r="K1907" s="332"/>
      <c r="L1907" s="332"/>
      <c r="M1907" s="76"/>
      <c r="N1907" s="103" t="str">
        <f>IF(A1907="","",VLOOKUP(A1907,Stand!C:K,9,0))</f>
        <v/>
      </c>
      <c r="O1907" s="104" t="str">
        <f t="shared" si="821"/>
        <v/>
      </c>
      <c r="P1907" s="105" t="str">
        <f t="shared" si="822"/>
        <v/>
      </c>
      <c r="Q1907" s="105" t="str">
        <f t="shared" si="837"/>
        <v/>
      </c>
      <c r="R1907" s="103" t="str">
        <f t="shared" si="823"/>
        <v/>
      </c>
      <c r="S1907" s="103" t="str">
        <f t="shared" si="824"/>
        <v/>
      </c>
      <c r="T1907" s="106" t="str">
        <f t="shared" si="838"/>
        <v/>
      </c>
      <c r="U1907" s="106" t="str">
        <f t="shared" si="839"/>
        <v/>
      </c>
      <c r="V1907" s="106" t="str">
        <f t="shared" si="840"/>
        <v/>
      </c>
      <c r="W1907" s="105" t="str">
        <f t="shared" si="825"/>
        <v/>
      </c>
      <c r="X1907" s="104" t="str">
        <f t="shared" si="830"/>
        <v/>
      </c>
      <c r="Y1907" s="104" t="str">
        <f t="array" ref="Y1907">IFERROR(IF(ISNUMBER(O1907),IF(COUNT(IF(A1907=$A$2:$A$2427,IF(D1907=$D$2:$D$2427,IF($X$2:$X$2427&gt;0,1))))&gt;0,SUM(IF(A1907=$A$2:$A$2427,IF(D1907=$D$2:$D$2427,$X$2:$X$2427)))/COUNT(IF(A1907=$A$2:$A$2427,IF(D1907=$D$2:$D$2427,IF(ISNUMBER($X$2:$X$2427),1)))),0),""),0)</f>
        <v/>
      </c>
      <c r="Z1907" s="104" t="str">
        <f>IF(ISNUMBER(O1907),IF(I1907&gt;0,(10^(VLOOKUP(D1907,'Species Codes'!B:C,2,0)+VLOOKUP(D1907,'Species Codes'!B:D,3,0)*LOG(E1907)+VLOOKUP(D1907,'Species Codes'!B:E,4,0)*LOG(I1907))),0),"")</f>
        <v/>
      </c>
      <c r="AA1907" s="104" t="str">
        <f>IFERROR((VLOOKUP(D1907,'Species Codes'!B:G,6,0)*Z1907)/2000,"")</f>
        <v/>
      </c>
      <c r="AB1907" s="104" t="e">
        <f>IF(Z1907&gt;0,((IF(OR(D1907="DF",D1907="RA")=TRUE,EXP(VLOOKUP(D1907,'Species Codes'!B:I,8,0)+VLOOKUP(D1907,'Species Codes'!B:J,9,0)*(LN((E1907*2.54)))),IF(OR(D1907="PY",D1907="RC",D1907="WH",D1907="NF")=TRUE,VLOOKUP(D1907,'Species Codes'!B:I,8,0)+VLOOKUP(D1907,'Species Codes'!B:J,9,0)*((E1907*2.54)^2)*(I1907*0.3048),IF(OR(D1907="MD",D1907="BM",D1907="GA")=TRUE,((VLOOKUP(D1907,'Species Codes'!B:I,8,0)*(((((E1907*2.54)+VLOOKUP(D1907,'Species Codes'!B:J,9,0))/VLOOKUP(D1907,'Species Codes'!B:K,10,0))^VLOOKUP(D1907,'Species Codes'!B:L,11,0))*((I1907*0.3048)^VLOOKUP(D1907,'Species Codes'!B:M,12,0))))-(VLOOKUP(D1907,'Species Codes'!B:I,8,0)*((((E1907*2.54)^VLOOKUP(D1907,'Species Codes'!B:L,11,0))*((I1907*0.3048)^VLOOKUP(D1907,'Species Codes'!B:M,12,0))))))*35.3*VLOOKUP(D1907,'Species Codes'!B:G,6,0)/2.2046,VLOOKUP(D1907,'Species Codes'!B:I,8,0)+VLOOKUP(D1907,'Species Codes'!B:J,9,0)*(((E1907*2.54)/100)^2)*(I1907*0.3048)))))*0.0011023),0)</f>
        <v>#N/A</v>
      </c>
      <c r="AC1907" s="104" t="e">
        <f>IF(Z1907&gt;0,((IF(OR(D1907="RA",D1907="OA",D1907="OT",D1907="UN",D1907="PC"),EXP(VLOOKUP(D1907,'Species Codes'!B:O,14,0)+VLOOKUP(D1907,'Species Codes'!B:P,15,0)*LN((E1907*2.54)))-EXP(VLOOKUP(D1907,'Species Codes'!B:O,14,0)+VLOOKUP(D1907,'Species Codes'!B:P,15,0)*LN((E1907*2.54)))*(1/(VLOOKUP(D1907,'Species Codes'!B:Q,16,0)+VLOOKUP(D1907,'Species Codes'!B:R,17,0)*((E1907*2.54)^VLOOKUP(D1907,'Species Codes'!B:S,18,0)))),IF(OR(D1907="BM",D1907="MD",D1907="OA"),EXP(VLOOKUP(D1907,'Species Codes'!B:O,14,0)+VLOOKUP(D1907,'Species Codes'!B:P,15,0)*LN((E1907*2.54)))*(1-(1/(VLOOKUP(D1907,'Species Codes'!B:Q,16,0)+VLOOKUP(D1907,'Species Codes'!B:R,17,0)*((E1907*2.54)^VLOOKUP(D1907,'Species Codes'!B:S,18,0)))))/1000,IF(D1907="DF",EXP(VLOOKUP(D1907,'Species Codes'!B:O,14,0)+VLOOKUP(D1907,'Species Codes'!B:P,15,0)*LN((E1907*2.54))),VLOOKUP(D1907,'Species Codes'!B:O,14,0)+VLOOKUP(D1907,'Species Codes'!B:P,15,0)*(((E1907*2.54)/100)^2)*(I1907*0.3048)))))*0.0011023),0)</f>
        <v>#N/A</v>
      </c>
      <c r="AD1907" s="104" t="e">
        <f t="shared" si="841"/>
        <v>#N/A</v>
      </c>
      <c r="AE1907" s="104" t="e">
        <f t="shared" si="842"/>
        <v>#N/A</v>
      </c>
      <c r="AF1907" s="104" t="e">
        <f>IF(AND(VLOOKUP($D1907,Merchantability!$B:$C,2,0)="Yes",$E1907&gt;=VLOOKUP($D1907,Merchantability!$B:$D,3,0),$E1907&lt;=VLOOKUP($D1907,Merchantability!$B:$E,4,0)),AA1907,0)</f>
        <v>#N/A</v>
      </c>
      <c r="AG1907" s="104" t="e">
        <f>IF(AND(VLOOKUP($D1907,Merchantability!$B:$C,2,0)="Yes",$E1907&gt;=VLOOKUP($D1907,Merchantability!$B:$D,3,0),$E1907&lt;=VLOOKUP($D1907,Merchantability!$B:$E,4,0)),AB1907,0)</f>
        <v>#N/A</v>
      </c>
      <c r="AH1907" s="104" t="e">
        <f>IF(AND(VLOOKUP($D1907,Merchantability!$B:$C,2,0)="Yes",$E1907&gt;=VLOOKUP($D1907,Merchantability!$B:$D,3,0),$E1907&lt;=VLOOKUP($D1907,Merchantability!$B:$E,4,0)),AC1907,0)</f>
        <v>#N/A</v>
      </c>
      <c r="AI1907" s="104" t="e">
        <f t="shared" si="843"/>
        <v>#N/A</v>
      </c>
      <c r="AJ1907" s="104" t="e">
        <f t="shared" si="844"/>
        <v>#VALUE!</v>
      </c>
      <c r="AK1907" s="104" t="e">
        <f t="shared" si="845"/>
        <v>#N/A</v>
      </c>
      <c r="AL1907" s="104" t="e">
        <f t="shared" si="846"/>
        <v>#N/A</v>
      </c>
      <c r="AM1907" s="104" t="e">
        <f t="shared" si="847"/>
        <v>#N/A</v>
      </c>
      <c r="AN1907" s="104" t="e">
        <f t="shared" si="831"/>
        <v>#N/A</v>
      </c>
      <c r="AO1907" s="104" t="e">
        <f t="shared" si="832"/>
        <v>#N/A</v>
      </c>
      <c r="AP1907" s="104" t="e">
        <f t="shared" si="833"/>
        <v>#N/A</v>
      </c>
      <c r="AQ1907" s="104" t="e">
        <f t="shared" si="834"/>
        <v>#N/A</v>
      </c>
      <c r="AR1907" s="105" t="str">
        <f t="shared" si="826"/>
        <v/>
      </c>
      <c r="AS1907" s="105" t="str">
        <f t="shared" si="827"/>
        <v/>
      </c>
      <c r="AT1907" s="108" t="str">
        <f t="shared" si="828"/>
        <v/>
      </c>
      <c r="AU1907" s="108" t="str">
        <f t="shared" si="829"/>
        <v/>
      </c>
      <c r="AV1907" s="107" t="str">
        <f>IF(ISNUMBER(O1907),IF(VLOOKUP($A1907,Stand!C:J,8,FALSE)="Short",AT1907,AU1907),"")</f>
        <v/>
      </c>
      <c r="AW1907" s="109" t="str">
        <f t="shared" si="835"/>
        <v/>
      </c>
      <c r="AX1907" s="109" t="str">
        <f t="shared" si="836"/>
        <v/>
      </c>
      <c r="AY1907" s="112" t="str">
        <f>IF(ISNUMBER(O1907),IF(AND(VLOOKUP($D1907,Merchantability!$B:$C,2,0)="Yes",$E1907&gt;=VLOOKUP($D1907,Merchantability!$B:$D,3,0),$E1907&lt;=VLOOKUP($D1907,Merchantability!$B:$E,4,0)),(AV1907*O1907)*(1-$H1907/100),""),"")</f>
        <v/>
      </c>
      <c r="AZ1907" s="116"/>
      <c r="BA1907" s="116"/>
      <c r="BB1907" s="116"/>
      <c r="BE1907" s="62"/>
      <c r="BF1907" s="63"/>
    </row>
    <row r="1908" spans="1:58" ht="12.75" customHeight="1" x14ac:dyDescent="0.25">
      <c r="A1908" s="334"/>
      <c r="B1908" s="334"/>
      <c r="C1908" s="332"/>
      <c r="D1908" s="334"/>
      <c r="E1908" s="335"/>
      <c r="F1908" s="334"/>
      <c r="G1908" s="332"/>
      <c r="H1908" s="332"/>
      <c r="I1908" s="334"/>
      <c r="J1908" s="336"/>
      <c r="K1908" s="332"/>
      <c r="L1908" s="332"/>
      <c r="M1908" s="76"/>
      <c r="N1908" s="103" t="str">
        <f>IF(A1908="","",VLOOKUP(A1908,Stand!C:K,9,0))</f>
        <v/>
      </c>
      <c r="O1908" s="104" t="str">
        <f t="shared" si="821"/>
        <v/>
      </c>
      <c r="P1908" s="105" t="str">
        <f t="shared" si="822"/>
        <v/>
      </c>
      <c r="Q1908" s="105" t="str">
        <f t="shared" si="837"/>
        <v/>
      </c>
      <c r="R1908" s="103" t="str">
        <f t="shared" si="823"/>
        <v/>
      </c>
      <c r="S1908" s="103" t="str">
        <f t="shared" si="824"/>
        <v/>
      </c>
      <c r="T1908" s="106" t="str">
        <f t="shared" si="838"/>
        <v/>
      </c>
      <c r="U1908" s="106" t="str">
        <f t="shared" si="839"/>
        <v/>
      </c>
      <c r="V1908" s="106" t="str">
        <f t="shared" si="840"/>
        <v/>
      </c>
      <c r="W1908" s="105" t="str">
        <f t="shared" si="825"/>
        <v/>
      </c>
      <c r="X1908" s="104" t="str">
        <f t="shared" si="830"/>
        <v/>
      </c>
      <c r="Y1908" s="104" t="str">
        <f t="array" ref="Y1908">IFERROR(IF(ISNUMBER(O1908),IF(COUNT(IF(A1908=$A$2:$A$2427,IF(D1908=$D$2:$D$2427,IF($X$2:$X$2427&gt;0,1))))&gt;0,SUM(IF(A1908=$A$2:$A$2427,IF(D1908=$D$2:$D$2427,$X$2:$X$2427)))/COUNT(IF(A1908=$A$2:$A$2427,IF(D1908=$D$2:$D$2427,IF(ISNUMBER($X$2:$X$2427),1)))),0),""),0)</f>
        <v/>
      </c>
      <c r="Z1908" s="104" t="str">
        <f>IF(ISNUMBER(O1908),IF(I1908&gt;0,(10^(VLOOKUP(D1908,'Species Codes'!B:C,2,0)+VLOOKUP(D1908,'Species Codes'!B:D,3,0)*LOG(E1908)+VLOOKUP(D1908,'Species Codes'!B:E,4,0)*LOG(I1908))),0),"")</f>
        <v/>
      </c>
      <c r="AA1908" s="104" t="str">
        <f>IFERROR((VLOOKUP(D1908,'Species Codes'!B:G,6,0)*Z1908)/2000,"")</f>
        <v/>
      </c>
      <c r="AB1908" s="104" t="e">
        <f>IF(Z1908&gt;0,((IF(OR(D1908="DF",D1908="RA")=TRUE,EXP(VLOOKUP(D1908,'Species Codes'!B:I,8,0)+VLOOKUP(D1908,'Species Codes'!B:J,9,0)*(LN((E1908*2.54)))),IF(OR(D1908="PY",D1908="RC",D1908="WH",D1908="NF")=TRUE,VLOOKUP(D1908,'Species Codes'!B:I,8,0)+VLOOKUP(D1908,'Species Codes'!B:J,9,0)*((E1908*2.54)^2)*(I1908*0.3048),IF(OR(D1908="MD",D1908="BM",D1908="GA")=TRUE,((VLOOKUP(D1908,'Species Codes'!B:I,8,0)*(((((E1908*2.54)+VLOOKUP(D1908,'Species Codes'!B:J,9,0))/VLOOKUP(D1908,'Species Codes'!B:K,10,0))^VLOOKUP(D1908,'Species Codes'!B:L,11,0))*((I1908*0.3048)^VLOOKUP(D1908,'Species Codes'!B:M,12,0))))-(VLOOKUP(D1908,'Species Codes'!B:I,8,0)*((((E1908*2.54)^VLOOKUP(D1908,'Species Codes'!B:L,11,0))*((I1908*0.3048)^VLOOKUP(D1908,'Species Codes'!B:M,12,0))))))*35.3*VLOOKUP(D1908,'Species Codes'!B:G,6,0)/2.2046,VLOOKUP(D1908,'Species Codes'!B:I,8,0)+VLOOKUP(D1908,'Species Codes'!B:J,9,0)*(((E1908*2.54)/100)^2)*(I1908*0.3048)))))*0.0011023),0)</f>
        <v>#N/A</v>
      </c>
      <c r="AC1908" s="104" t="e">
        <f>IF(Z1908&gt;0,((IF(OR(D1908="RA",D1908="OA",D1908="OT",D1908="UN",D1908="PC"),EXP(VLOOKUP(D1908,'Species Codes'!B:O,14,0)+VLOOKUP(D1908,'Species Codes'!B:P,15,0)*LN((E1908*2.54)))-EXP(VLOOKUP(D1908,'Species Codes'!B:O,14,0)+VLOOKUP(D1908,'Species Codes'!B:P,15,0)*LN((E1908*2.54)))*(1/(VLOOKUP(D1908,'Species Codes'!B:Q,16,0)+VLOOKUP(D1908,'Species Codes'!B:R,17,0)*((E1908*2.54)^VLOOKUP(D1908,'Species Codes'!B:S,18,0)))),IF(OR(D1908="BM",D1908="MD",D1908="OA"),EXP(VLOOKUP(D1908,'Species Codes'!B:O,14,0)+VLOOKUP(D1908,'Species Codes'!B:P,15,0)*LN((E1908*2.54)))*(1-(1/(VLOOKUP(D1908,'Species Codes'!B:Q,16,0)+VLOOKUP(D1908,'Species Codes'!B:R,17,0)*((E1908*2.54)^VLOOKUP(D1908,'Species Codes'!B:S,18,0)))))/1000,IF(D1908="DF",EXP(VLOOKUP(D1908,'Species Codes'!B:O,14,0)+VLOOKUP(D1908,'Species Codes'!B:P,15,0)*LN((E1908*2.54))),VLOOKUP(D1908,'Species Codes'!B:O,14,0)+VLOOKUP(D1908,'Species Codes'!B:P,15,0)*(((E1908*2.54)/100)^2)*(I1908*0.3048)))))*0.0011023),0)</f>
        <v>#N/A</v>
      </c>
      <c r="AD1908" s="104" t="e">
        <f t="shared" si="841"/>
        <v>#N/A</v>
      </c>
      <c r="AE1908" s="104" t="e">
        <f t="shared" si="842"/>
        <v>#N/A</v>
      </c>
      <c r="AF1908" s="104" t="e">
        <f>IF(AND(VLOOKUP($D1908,Merchantability!$B:$C,2,0)="Yes",$E1908&gt;=VLOOKUP($D1908,Merchantability!$B:$D,3,0),$E1908&lt;=VLOOKUP($D1908,Merchantability!$B:$E,4,0)),AA1908,0)</f>
        <v>#N/A</v>
      </c>
      <c r="AG1908" s="104" t="e">
        <f>IF(AND(VLOOKUP($D1908,Merchantability!$B:$C,2,0)="Yes",$E1908&gt;=VLOOKUP($D1908,Merchantability!$B:$D,3,0),$E1908&lt;=VLOOKUP($D1908,Merchantability!$B:$E,4,0)),AB1908,0)</f>
        <v>#N/A</v>
      </c>
      <c r="AH1908" s="104" t="e">
        <f>IF(AND(VLOOKUP($D1908,Merchantability!$B:$C,2,0)="Yes",$E1908&gt;=VLOOKUP($D1908,Merchantability!$B:$D,3,0),$E1908&lt;=VLOOKUP($D1908,Merchantability!$B:$E,4,0)),AC1908,0)</f>
        <v>#N/A</v>
      </c>
      <c r="AI1908" s="104" t="e">
        <f t="shared" si="843"/>
        <v>#N/A</v>
      </c>
      <c r="AJ1908" s="104" t="e">
        <f t="shared" si="844"/>
        <v>#VALUE!</v>
      </c>
      <c r="AK1908" s="104" t="e">
        <f t="shared" si="845"/>
        <v>#N/A</v>
      </c>
      <c r="AL1908" s="104" t="e">
        <f t="shared" si="846"/>
        <v>#N/A</v>
      </c>
      <c r="AM1908" s="104" t="e">
        <f t="shared" si="847"/>
        <v>#N/A</v>
      </c>
      <c r="AN1908" s="104" t="e">
        <f t="shared" si="831"/>
        <v>#N/A</v>
      </c>
      <c r="AO1908" s="104" t="e">
        <f t="shared" si="832"/>
        <v>#N/A</v>
      </c>
      <c r="AP1908" s="104" t="e">
        <f t="shared" si="833"/>
        <v>#N/A</v>
      </c>
      <c r="AQ1908" s="104" t="e">
        <f t="shared" si="834"/>
        <v>#N/A</v>
      </c>
      <c r="AR1908" s="105" t="str">
        <f t="shared" si="826"/>
        <v/>
      </c>
      <c r="AS1908" s="105" t="str">
        <f t="shared" si="827"/>
        <v/>
      </c>
      <c r="AT1908" s="108" t="str">
        <f t="shared" si="828"/>
        <v/>
      </c>
      <c r="AU1908" s="108" t="str">
        <f t="shared" si="829"/>
        <v/>
      </c>
      <c r="AV1908" s="107" t="str">
        <f>IF(ISNUMBER(O1908),IF(VLOOKUP($A1908,Stand!C:J,8,FALSE)="Short",AT1908,AU1908),"")</f>
        <v/>
      </c>
      <c r="AW1908" s="109" t="str">
        <f t="shared" si="835"/>
        <v/>
      </c>
      <c r="AX1908" s="109" t="str">
        <f t="shared" si="836"/>
        <v/>
      </c>
      <c r="AY1908" s="112" t="str">
        <f>IF(ISNUMBER(O1908),IF(AND(VLOOKUP($D1908,Merchantability!$B:$C,2,0)="Yes",$E1908&gt;=VLOOKUP($D1908,Merchantability!$B:$D,3,0),$E1908&lt;=VLOOKUP($D1908,Merchantability!$B:$E,4,0)),(AV1908*O1908)*(1-$H1908/100),""),"")</f>
        <v/>
      </c>
      <c r="AZ1908" s="116"/>
      <c r="BA1908" s="116"/>
      <c r="BB1908" s="116"/>
      <c r="BE1908" s="62"/>
      <c r="BF1908" s="63"/>
    </row>
    <row r="1909" spans="1:58" ht="12.75" customHeight="1" x14ac:dyDescent="0.25">
      <c r="A1909" s="334"/>
      <c r="B1909" s="334"/>
      <c r="C1909" s="332"/>
      <c r="D1909" s="334"/>
      <c r="E1909" s="335"/>
      <c r="F1909" s="334"/>
      <c r="G1909" s="332"/>
      <c r="H1909" s="332"/>
      <c r="I1909" s="334"/>
      <c r="J1909" s="336"/>
      <c r="K1909" s="332"/>
      <c r="L1909" s="332"/>
      <c r="M1909" s="76"/>
      <c r="N1909" s="103" t="str">
        <f>IF(A1909="","",VLOOKUP(A1909,Stand!C:K,9,0))</f>
        <v/>
      </c>
      <c r="O1909" s="104" t="str">
        <f t="shared" si="821"/>
        <v/>
      </c>
      <c r="P1909" s="105" t="str">
        <f t="shared" si="822"/>
        <v/>
      </c>
      <c r="Q1909" s="105" t="str">
        <f t="shared" si="837"/>
        <v/>
      </c>
      <c r="R1909" s="103" t="str">
        <f t="shared" si="823"/>
        <v/>
      </c>
      <c r="S1909" s="103" t="str">
        <f t="shared" si="824"/>
        <v/>
      </c>
      <c r="T1909" s="106" t="str">
        <f t="shared" si="838"/>
        <v/>
      </c>
      <c r="U1909" s="106" t="str">
        <f t="shared" si="839"/>
        <v/>
      </c>
      <c r="V1909" s="106" t="str">
        <f t="shared" si="840"/>
        <v/>
      </c>
      <c r="W1909" s="105" t="str">
        <f t="shared" si="825"/>
        <v/>
      </c>
      <c r="X1909" s="104" t="str">
        <f t="shared" si="830"/>
        <v/>
      </c>
      <c r="Y1909" s="104" t="str">
        <f t="array" ref="Y1909">IFERROR(IF(ISNUMBER(O1909),IF(COUNT(IF(A1909=$A$2:$A$2427,IF(D1909=$D$2:$D$2427,IF($X$2:$X$2427&gt;0,1))))&gt;0,SUM(IF(A1909=$A$2:$A$2427,IF(D1909=$D$2:$D$2427,$X$2:$X$2427)))/COUNT(IF(A1909=$A$2:$A$2427,IF(D1909=$D$2:$D$2427,IF(ISNUMBER($X$2:$X$2427),1)))),0),""),0)</f>
        <v/>
      </c>
      <c r="Z1909" s="104" t="str">
        <f>IF(ISNUMBER(O1909),IF(I1909&gt;0,(10^(VLOOKUP(D1909,'Species Codes'!B:C,2,0)+VLOOKUP(D1909,'Species Codes'!B:D,3,0)*LOG(E1909)+VLOOKUP(D1909,'Species Codes'!B:E,4,0)*LOG(I1909))),0),"")</f>
        <v/>
      </c>
      <c r="AA1909" s="104" t="str">
        <f>IFERROR((VLOOKUP(D1909,'Species Codes'!B:G,6,0)*Z1909)/2000,"")</f>
        <v/>
      </c>
      <c r="AB1909" s="104" t="e">
        <f>IF(Z1909&gt;0,((IF(OR(D1909="DF",D1909="RA")=TRUE,EXP(VLOOKUP(D1909,'Species Codes'!B:I,8,0)+VLOOKUP(D1909,'Species Codes'!B:J,9,0)*(LN((E1909*2.54)))),IF(OR(D1909="PY",D1909="RC",D1909="WH",D1909="NF")=TRUE,VLOOKUP(D1909,'Species Codes'!B:I,8,0)+VLOOKUP(D1909,'Species Codes'!B:J,9,0)*((E1909*2.54)^2)*(I1909*0.3048),IF(OR(D1909="MD",D1909="BM",D1909="GA")=TRUE,((VLOOKUP(D1909,'Species Codes'!B:I,8,0)*(((((E1909*2.54)+VLOOKUP(D1909,'Species Codes'!B:J,9,0))/VLOOKUP(D1909,'Species Codes'!B:K,10,0))^VLOOKUP(D1909,'Species Codes'!B:L,11,0))*((I1909*0.3048)^VLOOKUP(D1909,'Species Codes'!B:M,12,0))))-(VLOOKUP(D1909,'Species Codes'!B:I,8,0)*((((E1909*2.54)^VLOOKUP(D1909,'Species Codes'!B:L,11,0))*((I1909*0.3048)^VLOOKUP(D1909,'Species Codes'!B:M,12,0))))))*35.3*VLOOKUP(D1909,'Species Codes'!B:G,6,0)/2.2046,VLOOKUP(D1909,'Species Codes'!B:I,8,0)+VLOOKUP(D1909,'Species Codes'!B:J,9,0)*(((E1909*2.54)/100)^2)*(I1909*0.3048)))))*0.0011023),0)</f>
        <v>#N/A</v>
      </c>
      <c r="AC1909" s="104" t="e">
        <f>IF(Z1909&gt;0,((IF(OR(D1909="RA",D1909="OA",D1909="OT",D1909="UN",D1909="PC"),EXP(VLOOKUP(D1909,'Species Codes'!B:O,14,0)+VLOOKUP(D1909,'Species Codes'!B:P,15,0)*LN((E1909*2.54)))-EXP(VLOOKUP(D1909,'Species Codes'!B:O,14,0)+VLOOKUP(D1909,'Species Codes'!B:P,15,0)*LN((E1909*2.54)))*(1/(VLOOKUP(D1909,'Species Codes'!B:Q,16,0)+VLOOKUP(D1909,'Species Codes'!B:R,17,0)*((E1909*2.54)^VLOOKUP(D1909,'Species Codes'!B:S,18,0)))),IF(OR(D1909="BM",D1909="MD",D1909="OA"),EXP(VLOOKUP(D1909,'Species Codes'!B:O,14,0)+VLOOKUP(D1909,'Species Codes'!B:P,15,0)*LN((E1909*2.54)))*(1-(1/(VLOOKUP(D1909,'Species Codes'!B:Q,16,0)+VLOOKUP(D1909,'Species Codes'!B:R,17,0)*((E1909*2.54)^VLOOKUP(D1909,'Species Codes'!B:S,18,0)))))/1000,IF(D1909="DF",EXP(VLOOKUP(D1909,'Species Codes'!B:O,14,0)+VLOOKUP(D1909,'Species Codes'!B:P,15,0)*LN((E1909*2.54))),VLOOKUP(D1909,'Species Codes'!B:O,14,0)+VLOOKUP(D1909,'Species Codes'!B:P,15,0)*(((E1909*2.54)/100)^2)*(I1909*0.3048)))))*0.0011023),0)</f>
        <v>#N/A</v>
      </c>
      <c r="AD1909" s="104" t="e">
        <f t="shared" si="841"/>
        <v>#N/A</v>
      </c>
      <c r="AE1909" s="104" t="e">
        <f t="shared" si="842"/>
        <v>#N/A</v>
      </c>
      <c r="AF1909" s="104" t="e">
        <f>IF(AND(VLOOKUP($D1909,Merchantability!$B:$C,2,0)="Yes",$E1909&gt;=VLOOKUP($D1909,Merchantability!$B:$D,3,0),$E1909&lt;=VLOOKUP($D1909,Merchantability!$B:$E,4,0)),AA1909,0)</f>
        <v>#N/A</v>
      </c>
      <c r="AG1909" s="104" t="e">
        <f>IF(AND(VLOOKUP($D1909,Merchantability!$B:$C,2,0)="Yes",$E1909&gt;=VLOOKUP($D1909,Merchantability!$B:$D,3,0),$E1909&lt;=VLOOKUP($D1909,Merchantability!$B:$E,4,0)),AB1909,0)</f>
        <v>#N/A</v>
      </c>
      <c r="AH1909" s="104" t="e">
        <f>IF(AND(VLOOKUP($D1909,Merchantability!$B:$C,2,0)="Yes",$E1909&gt;=VLOOKUP($D1909,Merchantability!$B:$D,3,0),$E1909&lt;=VLOOKUP($D1909,Merchantability!$B:$E,4,0)),AC1909,0)</f>
        <v>#N/A</v>
      </c>
      <c r="AI1909" s="104" t="e">
        <f t="shared" si="843"/>
        <v>#N/A</v>
      </c>
      <c r="AJ1909" s="104" t="e">
        <f t="shared" si="844"/>
        <v>#VALUE!</v>
      </c>
      <c r="AK1909" s="104" t="e">
        <f t="shared" si="845"/>
        <v>#N/A</v>
      </c>
      <c r="AL1909" s="104" t="e">
        <f t="shared" si="846"/>
        <v>#N/A</v>
      </c>
      <c r="AM1909" s="104" t="e">
        <f t="shared" si="847"/>
        <v>#N/A</v>
      </c>
      <c r="AN1909" s="104" t="e">
        <f t="shared" si="831"/>
        <v>#N/A</v>
      </c>
      <c r="AO1909" s="104" t="e">
        <f t="shared" si="832"/>
        <v>#N/A</v>
      </c>
      <c r="AP1909" s="104" t="e">
        <f t="shared" si="833"/>
        <v>#N/A</v>
      </c>
      <c r="AQ1909" s="104" t="e">
        <f t="shared" si="834"/>
        <v>#N/A</v>
      </c>
      <c r="AR1909" s="105" t="str">
        <f t="shared" si="826"/>
        <v/>
      </c>
      <c r="AS1909" s="105" t="str">
        <f t="shared" si="827"/>
        <v/>
      </c>
      <c r="AT1909" s="108" t="str">
        <f t="shared" si="828"/>
        <v/>
      </c>
      <c r="AU1909" s="108" t="str">
        <f t="shared" si="829"/>
        <v/>
      </c>
      <c r="AV1909" s="107" t="str">
        <f>IF(ISNUMBER(O1909),IF(VLOOKUP($A1909,Stand!C:J,8,FALSE)="Short",AT1909,AU1909),"")</f>
        <v/>
      </c>
      <c r="AW1909" s="109" t="str">
        <f t="shared" si="835"/>
        <v/>
      </c>
      <c r="AX1909" s="109" t="str">
        <f t="shared" si="836"/>
        <v/>
      </c>
      <c r="AY1909" s="112" t="str">
        <f>IF(ISNUMBER(O1909),IF(AND(VLOOKUP($D1909,Merchantability!$B:$C,2,0)="Yes",$E1909&gt;=VLOOKUP($D1909,Merchantability!$B:$D,3,0),$E1909&lt;=VLOOKUP($D1909,Merchantability!$B:$E,4,0)),(AV1909*O1909)*(1-$H1909/100),""),"")</f>
        <v/>
      </c>
      <c r="AZ1909" s="116"/>
      <c r="BA1909" s="116"/>
      <c r="BB1909" s="116"/>
      <c r="BE1909" s="62"/>
      <c r="BF1909" s="63"/>
    </row>
    <row r="1910" spans="1:58" ht="12.75" customHeight="1" x14ac:dyDescent="0.25">
      <c r="A1910" s="334"/>
      <c r="B1910" s="334"/>
      <c r="C1910" s="332"/>
      <c r="D1910" s="334"/>
      <c r="E1910" s="335"/>
      <c r="F1910" s="334"/>
      <c r="G1910" s="332"/>
      <c r="H1910" s="332"/>
      <c r="I1910" s="334"/>
      <c r="J1910" s="336"/>
      <c r="K1910" s="332"/>
      <c r="L1910" s="332"/>
      <c r="M1910" s="76"/>
      <c r="N1910" s="103" t="str">
        <f>IF(A1910="","",VLOOKUP(A1910,Stand!C:K,9,0))</f>
        <v/>
      </c>
      <c r="O1910" s="104" t="str">
        <f t="shared" si="821"/>
        <v/>
      </c>
      <c r="P1910" s="105" t="str">
        <f t="shared" si="822"/>
        <v/>
      </c>
      <c r="Q1910" s="105" t="str">
        <f t="shared" si="837"/>
        <v/>
      </c>
      <c r="R1910" s="103" t="str">
        <f t="shared" si="823"/>
        <v/>
      </c>
      <c r="S1910" s="103" t="str">
        <f t="shared" si="824"/>
        <v/>
      </c>
      <c r="T1910" s="106" t="str">
        <f t="shared" si="838"/>
        <v/>
      </c>
      <c r="U1910" s="106" t="str">
        <f t="shared" si="839"/>
        <v/>
      </c>
      <c r="V1910" s="106" t="str">
        <f t="shared" si="840"/>
        <v/>
      </c>
      <c r="W1910" s="105" t="str">
        <f t="shared" si="825"/>
        <v/>
      </c>
      <c r="X1910" s="104" t="str">
        <f t="shared" si="830"/>
        <v/>
      </c>
      <c r="Y1910" s="104" t="str">
        <f t="array" ref="Y1910">IFERROR(IF(ISNUMBER(O1910),IF(COUNT(IF(A1910=$A$2:$A$2427,IF(D1910=$D$2:$D$2427,IF($X$2:$X$2427&gt;0,1))))&gt;0,SUM(IF(A1910=$A$2:$A$2427,IF(D1910=$D$2:$D$2427,$X$2:$X$2427)))/COUNT(IF(A1910=$A$2:$A$2427,IF(D1910=$D$2:$D$2427,IF(ISNUMBER($X$2:$X$2427),1)))),0),""),0)</f>
        <v/>
      </c>
      <c r="Z1910" s="104" t="str">
        <f>IF(ISNUMBER(O1910),IF(I1910&gt;0,(10^(VLOOKUP(D1910,'Species Codes'!B:C,2,0)+VLOOKUP(D1910,'Species Codes'!B:D,3,0)*LOG(E1910)+VLOOKUP(D1910,'Species Codes'!B:E,4,0)*LOG(I1910))),0),"")</f>
        <v/>
      </c>
      <c r="AA1910" s="104" t="str">
        <f>IFERROR((VLOOKUP(D1910,'Species Codes'!B:G,6,0)*Z1910)/2000,"")</f>
        <v/>
      </c>
      <c r="AB1910" s="104" t="e">
        <f>IF(Z1910&gt;0,((IF(OR(D1910="DF",D1910="RA")=TRUE,EXP(VLOOKUP(D1910,'Species Codes'!B:I,8,0)+VLOOKUP(D1910,'Species Codes'!B:J,9,0)*(LN((E1910*2.54)))),IF(OR(D1910="PY",D1910="RC",D1910="WH",D1910="NF")=TRUE,VLOOKUP(D1910,'Species Codes'!B:I,8,0)+VLOOKUP(D1910,'Species Codes'!B:J,9,0)*((E1910*2.54)^2)*(I1910*0.3048),IF(OR(D1910="MD",D1910="BM",D1910="GA")=TRUE,((VLOOKUP(D1910,'Species Codes'!B:I,8,0)*(((((E1910*2.54)+VLOOKUP(D1910,'Species Codes'!B:J,9,0))/VLOOKUP(D1910,'Species Codes'!B:K,10,0))^VLOOKUP(D1910,'Species Codes'!B:L,11,0))*((I1910*0.3048)^VLOOKUP(D1910,'Species Codes'!B:M,12,0))))-(VLOOKUP(D1910,'Species Codes'!B:I,8,0)*((((E1910*2.54)^VLOOKUP(D1910,'Species Codes'!B:L,11,0))*((I1910*0.3048)^VLOOKUP(D1910,'Species Codes'!B:M,12,0))))))*35.3*VLOOKUP(D1910,'Species Codes'!B:G,6,0)/2.2046,VLOOKUP(D1910,'Species Codes'!B:I,8,0)+VLOOKUP(D1910,'Species Codes'!B:J,9,0)*(((E1910*2.54)/100)^2)*(I1910*0.3048)))))*0.0011023),0)</f>
        <v>#N/A</v>
      </c>
      <c r="AC1910" s="104" t="e">
        <f>IF(Z1910&gt;0,((IF(OR(D1910="RA",D1910="OA",D1910="OT",D1910="UN",D1910="PC"),EXP(VLOOKUP(D1910,'Species Codes'!B:O,14,0)+VLOOKUP(D1910,'Species Codes'!B:P,15,0)*LN((E1910*2.54)))-EXP(VLOOKUP(D1910,'Species Codes'!B:O,14,0)+VLOOKUP(D1910,'Species Codes'!B:P,15,0)*LN((E1910*2.54)))*(1/(VLOOKUP(D1910,'Species Codes'!B:Q,16,0)+VLOOKUP(D1910,'Species Codes'!B:R,17,0)*((E1910*2.54)^VLOOKUP(D1910,'Species Codes'!B:S,18,0)))),IF(OR(D1910="BM",D1910="MD",D1910="OA"),EXP(VLOOKUP(D1910,'Species Codes'!B:O,14,0)+VLOOKUP(D1910,'Species Codes'!B:P,15,0)*LN((E1910*2.54)))*(1-(1/(VLOOKUP(D1910,'Species Codes'!B:Q,16,0)+VLOOKUP(D1910,'Species Codes'!B:R,17,0)*((E1910*2.54)^VLOOKUP(D1910,'Species Codes'!B:S,18,0)))))/1000,IF(D1910="DF",EXP(VLOOKUP(D1910,'Species Codes'!B:O,14,0)+VLOOKUP(D1910,'Species Codes'!B:P,15,0)*LN((E1910*2.54))),VLOOKUP(D1910,'Species Codes'!B:O,14,0)+VLOOKUP(D1910,'Species Codes'!B:P,15,0)*(((E1910*2.54)/100)^2)*(I1910*0.3048)))))*0.0011023),0)</f>
        <v>#N/A</v>
      </c>
      <c r="AD1910" s="104" t="e">
        <f t="shared" si="841"/>
        <v>#N/A</v>
      </c>
      <c r="AE1910" s="104" t="e">
        <f t="shared" si="842"/>
        <v>#N/A</v>
      </c>
      <c r="AF1910" s="104" t="e">
        <f>IF(AND(VLOOKUP($D1910,Merchantability!$B:$C,2,0)="Yes",$E1910&gt;=VLOOKUP($D1910,Merchantability!$B:$D,3,0),$E1910&lt;=VLOOKUP($D1910,Merchantability!$B:$E,4,0)),AA1910,0)</f>
        <v>#N/A</v>
      </c>
      <c r="AG1910" s="104" t="e">
        <f>IF(AND(VLOOKUP($D1910,Merchantability!$B:$C,2,0)="Yes",$E1910&gt;=VLOOKUP($D1910,Merchantability!$B:$D,3,0),$E1910&lt;=VLOOKUP($D1910,Merchantability!$B:$E,4,0)),AB1910,0)</f>
        <v>#N/A</v>
      </c>
      <c r="AH1910" s="104" t="e">
        <f>IF(AND(VLOOKUP($D1910,Merchantability!$B:$C,2,0)="Yes",$E1910&gt;=VLOOKUP($D1910,Merchantability!$B:$D,3,0),$E1910&lt;=VLOOKUP($D1910,Merchantability!$B:$E,4,0)),AC1910,0)</f>
        <v>#N/A</v>
      </c>
      <c r="AI1910" s="104" t="e">
        <f t="shared" si="843"/>
        <v>#N/A</v>
      </c>
      <c r="AJ1910" s="104" t="e">
        <f t="shared" si="844"/>
        <v>#VALUE!</v>
      </c>
      <c r="AK1910" s="104" t="e">
        <f t="shared" si="845"/>
        <v>#N/A</v>
      </c>
      <c r="AL1910" s="104" t="e">
        <f t="shared" si="846"/>
        <v>#N/A</v>
      </c>
      <c r="AM1910" s="104" t="e">
        <f t="shared" si="847"/>
        <v>#N/A</v>
      </c>
      <c r="AN1910" s="104" t="e">
        <f t="shared" si="831"/>
        <v>#N/A</v>
      </c>
      <c r="AO1910" s="104" t="e">
        <f t="shared" si="832"/>
        <v>#N/A</v>
      </c>
      <c r="AP1910" s="104" t="e">
        <f t="shared" si="833"/>
        <v>#N/A</v>
      </c>
      <c r="AQ1910" s="104" t="e">
        <f t="shared" si="834"/>
        <v>#N/A</v>
      </c>
      <c r="AR1910" s="105" t="str">
        <f t="shared" si="826"/>
        <v/>
      </c>
      <c r="AS1910" s="105" t="str">
        <f t="shared" si="827"/>
        <v/>
      </c>
      <c r="AT1910" s="108" t="str">
        <f t="shared" si="828"/>
        <v/>
      </c>
      <c r="AU1910" s="108" t="str">
        <f t="shared" si="829"/>
        <v/>
      </c>
      <c r="AV1910" s="107" t="str">
        <f>IF(ISNUMBER(O1910),IF(VLOOKUP($A1910,Stand!C:J,8,FALSE)="Short",AT1910,AU1910),"")</f>
        <v/>
      </c>
      <c r="AW1910" s="109" t="str">
        <f t="shared" si="835"/>
        <v/>
      </c>
      <c r="AX1910" s="109" t="str">
        <f t="shared" si="836"/>
        <v/>
      </c>
      <c r="AY1910" s="112" t="str">
        <f>IF(ISNUMBER(O1910),IF(AND(VLOOKUP($D1910,Merchantability!$B:$C,2,0)="Yes",$E1910&gt;=VLOOKUP($D1910,Merchantability!$B:$D,3,0),$E1910&lt;=VLOOKUP($D1910,Merchantability!$B:$E,4,0)),(AV1910*O1910)*(1-$H1910/100),""),"")</f>
        <v/>
      </c>
      <c r="AZ1910" s="116"/>
      <c r="BA1910" s="116"/>
      <c r="BB1910" s="116"/>
      <c r="BE1910" s="62"/>
      <c r="BF1910" s="63"/>
    </row>
    <row r="1911" spans="1:58" ht="12.75" customHeight="1" x14ac:dyDescent="0.25">
      <c r="A1911" s="334"/>
      <c r="B1911" s="334"/>
      <c r="C1911" s="332"/>
      <c r="D1911" s="334"/>
      <c r="E1911" s="335"/>
      <c r="F1911" s="334"/>
      <c r="G1911" s="332"/>
      <c r="H1911" s="332"/>
      <c r="I1911" s="334"/>
      <c r="J1911" s="336"/>
      <c r="K1911" s="332"/>
      <c r="L1911" s="332"/>
      <c r="M1911" s="76"/>
      <c r="N1911" s="103" t="str">
        <f>IF(A1911="","",VLOOKUP(A1911,Stand!C:K,9,0))</f>
        <v/>
      </c>
      <c r="O1911" s="104" t="str">
        <f t="shared" si="821"/>
        <v/>
      </c>
      <c r="P1911" s="105" t="str">
        <f t="shared" si="822"/>
        <v/>
      </c>
      <c r="Q1911" s="105" t="str">
        <f t="shared" si="837"/>
        <v/>
      </c>
      <c r="R1911" s="103" t="str">
        <f t="shared" si="823"/>
        <v/>
      </c>
      <c r="S1911" s="103" t="str">
        <f t="shared" si="824"/>
        <v/>
      </c>
      <c r="T1911" s="106" t="str">
        <f t="shared" si="838"/>
        <v/>
      </c>
      <c r="U1911" s="106" t="str">
        <f t="shared" si="839"/>
        <v/>
      </c>
      <c r="V1911" s="106" t="str">
        <f t="shared" si="840"/>
        <v/>
      </c>
      <c r="W1911" s="105" t="str">
        <f t="shared" si="825"/>
        <v/>
      </c>
      <c r="X1911" s="104" t="str">
        <f t="shared" si="830"/>
        <v/>
      </c>
      <c r="Y1911" s="104" t="str">
        <f t="array" ref="Y1911">IFERROR(IF(ISNUMBER(O1911),IF(COUNT(IF(A1911=$A$2:$A$2427,IF(D1911=$D$2:$D$2427,IF($X$2:$X$2427&gt;0,1))))&gt;0,SUM(IF(A1911=$A$2:$A$2427,IF(D1911=$D$2:$D$2427,$X$2:$X$2427)))/COUNT(IF(A1911=$A$2:$A$2427,IF(D1911=$D$2:$D$2427,IF(ISNUMBER($X$2:$X$2427),1)))),0),""),0)</f>
        <v/>
      </c>
      <c r="Z1911" s="104" t="str">
        <f>IF(ISNUMBER(O1911),IF(I1911&gt;0,(10^(VLOOKUP(D1911,'Species Codes'!B:C,2,0)+VLOOKUP(D1911,'Species Codes'!B:D,3,0)*LOG(E1911)+VLOOKUP(D1911,'Species Codes'!B:E,4,0)*LOG(I1911))),0),"")</f>
        <v/>
      </c>
      <c r="AA1911" s="104" t="str">
        <f>IFERROR((VLOOKUP(D1911,'Species Codes'!B:G,6,0)*Z1911)/2000,"")</f>
        <v/>
      </c>
      <c r="AB1911" s="104" t="e">
        <f>IF(Z1911&gt;0,((IF(OR(D1911="DF",D1911="RA")=TRUE,EXP(VLOOKUP(D1911,'Species Codes'!B:I,8,0)+VLOOKUP(D1911,'Species Codes'!B:J,9,0)*(LN((E1911*2.54)))),IF(OR(D1911="PY",D1911="RC",D1911="WH",D1911="NF")=TRUE,VLOOKUP(D1911,'Species Codes'!B:I,8,0)+VLOOKUP(D1911,'Species Codes'!B:J,9,0)*((E1911*2.54)^2)*(I1911*0.3048),IF(OR(D1911="MD",D1911="BM",D1911="GA")=TRUE,((VLOOKUP(D1911,'Species Codes'!B:I,8,0)*(((((E1911*2.54)+VLOOKUP(D1911,'Species Codes'!B:J,9,0))/VLOOKUP(D1911,'Species Codes'!B:K,10,0))^VLOOKUP(D1911,'Species Codes'!B:L,11,0))*((I1911*0.3048)^VLOOKUP(D1911,'Species Codes'!B:M,12,0))))-(VLOOKUP(D1911,'Species Codes'!B:I,8,0)*((((E1911*2.54)^VLOOKUP(D1911,'Species Codes'!B:L,11,0))*((I1911*0.3048)^VLOOKUP(D1911,'Species Codes'!B:M,12,0))))))*35.3*VLOOKUP(D1911,'Species Codes'!B:G,6,0)/2.2046,VLOOKUP(D1911,'Species Codes'!B:I,8,0)+VLOOKUP(D1911,'Species Codes'!B:J,9,0)*(((E1911*2.54)/100)^2)*(I1911*0.3048)))))*0.0011023),0)</f>
        <v>#N/A</v>
      </c>
      <c r="AC1911" s="104" t="e">
        <f>IF(Z1911&gt;0,((IF(OR(D1911="RA",D1911="OA",D1911="OT",D1911="UN",D1911="PC"),EXP(VLOOKUP(D1911,'Species Codes'!B:O,14,0)+VLOOKUP(D1911,'Species Codes'!B:P,15,0)*LN((E1911*2.54)))-EXP(VLOOKUP(D1911,'Species Codes'!B:O,14,0)+VLOOKUP(D1911,'Species Codes'!B:P,15,0)*LN((E1911*2.54)))*(1/(VLOOKUP(D1911,'Species Codes'!B:Q,16,0)+VLOOKUP(D1911,'Species Codes'!B:R,17,0)*((E1911*2.54)^VLOOKUP(D1911,'Species Codes'!B:S,18,0)))),IF(OR(D1911="BM",D1911="MD",D1911="OA"),EXP(VLOOKUP(D1911,'Species Codes'!B:O,14,0)+VLOOKUP(D1911,'Species Codes'!B:P,15,0)*LN((E1911*2.54)))*(1-(1/(VLOOKUP(D1911,'Species Codes'!B:Q,16,0)+VLOOKUP(D1911,'Species Codes'!B:R,17,0)*((E1911*2.54)^VLOOKUP(D1911,'Species Codes'!B:S,18,0)))))/1000,IF(D1911="DF",EXP(VLOOKUP(D1911,'Species Codes'!B:O,14,0)+VLOOKUP(D1911,'Species Codes'!B:P,15,0)*LN((E1911*2.54))),VLOOKUP(D1911,'Species Codes'!B:O,14,0)+VLOOKUP(D1911,'Species Codes'!B:P,15,0)*(((E1911*2.54)/100)^2)*(I1911*0.3048)))))*0.0011023),0)</f>
        <v>#N/A</v>
      </c>
      <c r="AD1911" s="104" t="e">
        <f t="shared" si="841"/>
        <v>#N/A</v>
      </c>
      <c r="AE1911" s="104" t="e">
        <f t="shared" si="842"/>
        <v>#N/A</v>
      </c>
      <c r="AF1911" s="104" t="e">
        <f>IF(AND(VLOOKUP($D1911,Merchantability!$B:$C,2,0)="Yes",$E1911&gt;=VLOOKUP($D1911,Merchantability!$B:$D,3,0),$E1911&lt;=VLOOKUP($D1911,Merchantability!$B:$E,4,0)),AA1911,0)</f>
        <v>#N/A</v>
      </c>
      <c r="AG1911" s="104" t="e">
        <f>IF(AND(VLOOKUP($D1911,Merchantability!$B:$C,2,0)="Yes",$E1911&gt;=VLOOKUP($D1911,Merchantability!$B:$D,3,0),$E1911&lt;=VLOOKUP($D1911,Merchantability!$B:$E,4,0)),AB1911,0)</f>
        <v>#N/A</v>
      </c>
      <c r="AH1911" s="104" t="e">
        <f>IF(AND(VLOOKUP($D1911,Merchantability!$B:$C,2,0)="Yes",$E1911&gt;=VLOOKUP($D1911,Merchantability!$B:$D,3,0),$E1911&lt;=VLOOKUP($D1911,Merchantability!$B:$E,4,0)),AC1911,0)</f>
        <v>#N/A</v>
      </c>
      <c r="AI1911" s="104" t="e">
        <f t="shared" si="843"/>
        <v>#N/A</v>
      </c>
      <c r="AJ1911" s="104" t="e">
        <f t="shared" si="844"/>
        <v>#VALUE!</v>
      </c>
      <c r="AK1911" s="104" t="e">
        <f t="shared" si="845"/>
        <v>#N/A</v>
      </c>
      <c r="AL1911" s="104" t="e">
        <f t="shared" si="846"/>
        <v>#N/A</v>
      </c>
      <c r="AM1911" s="104" t="e">
        <f t="shared" si="847"/>
        <v>#N/A</v>
      </c>
      <c r="AN1911" s="104" t="e">
        <f t="shared" si="831"/>
        <v>#N/A</v>
      </c>
      <c r="AO1911" s="104" t="e">
        <f t="shared" si="832"/>
        <v>#N/A</v>
      </c>
      <c r="AP1911" s="104" t="e">
        <f t="shared" si="833"/>
        <v>#N/A</v>
      </c>
      <c r="AQ1911" s="104" t="e">
        <f t="shared" si="834"/>
        <v>#N/A</v>
      </c>
      <c r="AR1911" s="105" t="str">
        <f t="shared" si="826"/>
        <v/>
      </c>
      <c r="AS1911" s="105" t="str">
        <f t="shared" si="827"/>
        <v/>
      </c>
      <c r="AT1911" s="108" t="str">
        <f t="shared" si="828"/>
        <v/>
      </c>
      <c r="AU1911" s="108" t="str">
        <f t="shared" si="829"/>
        <v/>
      </c>
      <c r="AV1911" s="107" t="str">
        <f>IF(ISNUMBER(O1911),IF(VLOOKUP($A1911,Stand!C:J,8,FALSE)="Short",AT1911,AU1911),"")</f>
        <v/>
      </c>
      <c r="AW1911" s="109" t="str">
        <f t="shared" si="835"/>
        <v/>
      </c>
      <c r="AX1911" s="109" t="str">
        <f t="shared" si="836"/>
        <v/>
      </c>
      <c r="AY1911" s="112" t="str">
        <f>IF(ISNUMBER(O1911),IF(AND(VLOOKUP($D1911,Merchantability!$B:$C,2,0)="Yes",$E1911&gt;=VLOOKUP($D1911,Merchantability!$B:$D,3,0),$E1911&lt;=VLOOKUP($D1911,Merchantability!$B:$E,4,0)),(AV1911*O1911)*(1-$H1911/100),""),"")</f>
        <v/>
      </c>
      <c r="AZ1911" s="116"/>
      <c r="BA1911" s="116"/>
      <c r="BB1911" s="116"/>
      <c r="BE1911" s="62"/>
      <c r="BF1911" s="63"/>
    </row>
    <row r="1912" spans="1:58" ht="12.75" customHeight="1" x14ac:dyDescent="0.25">
      <c r="A1912" s="334"/>
      <c r="B1912" s="334"/>
      <c r="C1912" s="332"/>
      <c r="D1912" s="334"/>
      <c r="E1912" s="335"/>
      <c r="F1912" s="334"/>
      <c r="G1912" s="332"/>
      <c r="H1912" s="332"/>
      <c r="I1912" s="334"/>
      <c r="J1912" s="336"/>
      <c r="K1912" s="332"/>
      <c r="L1912" s="332"/>
      <c r="M1912" s="76"/>
      <c r="N1912" s="103" t="str">
        <f>IF(A1912="","",VLOOKUP(A1912,Stand!C:K,9,0))</f>
        <v/>
      </c>
      <c r="O1912" s="104" t="str">
        <f t="shared" si="821"/>
        <v/>
      </c>
      <c r="P1912" s="105" t="str">
        <f t="shared" si="822"/>
        <v/>
      </c>
      <c r="Q1912" s="105" t="str">
        <f t="shared" si="837"/>
        <v/>
      </c>
      <c r="R1912" s="103" t="str">
        <f t="shared" si="823"/>
        <v/>
      </c>
      <c r="S1912" s="103" t="str">
        <f t="shared" si="824"/>
        <v/>
      </c>
      <c r="T1912" s="106" t="str">
        <f t="shared" si="838"/>
        <v/>
      </c>
      <c r="U1912" s="106" t="str">
        <f t="shared" si="839"/>
        <v/>
      </c>
      <c r="V1912" s="106" t="str">
        <f t="shared" si="840"/>
        <v/>
      </c>
      <c r="W1912" s="105" t="str">
        <f t="shared" si="825"/>
        <v/>
      </c>
      <c r="X1912" s="104" t="str">
        <f t="shared" si="830"/>
        <v/>
      </c>
      <c r="Y1912" s="104" t="str">
        <f t="array" ref="Y1912">IFERROR(IF(ISNUMBER(O1912),IF(COUNT(IF(A1912=$A$2:$A$2427,IF(D1912=$D$2:$D$2427,IF($X$2:$X$2427&gt;0,1))))&gt;0,SUM(IF(A1912=$A$2:$A$2427,IF(D1912=$D$2:$D$2427,$X$2:$X$2427)))/COUNT(IF(A1912=$A$2:$A$2427,IF(D1912=$D$2:$D$2427,IF(ISNUMBER($X$2:$X$2427),1)))),0),""),0)</f>
        <v/>
      </c>
      <c r="Z1912" s="104" t="str">
        <f>IF(ISNUMBER(O1912),IF(I1912&gt;0,(10^(VLOOKUP(D1912,'Species Codes'!B:C,2,0)+VLOOKUP(D1912,'Species Codes'!B:D,3,0)*LOG(E1912)+VLOOKUP(D1912,'Species Codes'!B:E,4,0)*LOG(I1912))),0),"")</f>
        <v/>
      </c>
      <c r="AA1912" s="104" t="str">
        <f>IFERROR((VLOOKUP(D1912,'Species Codes'!B:G,6,0)*Z1912)/2000,"")</f>
        <v/>
      </c>
      <c r="AB1912" s="104" t="e">
        <f>IF(Z1912&gt;0,((IF(OR(D1912="DF",D1912="RA")=TRUE,EXP(VLOOKUP(D1912,'Species Codes'!B:I,8,0)+VLOOKUP(D1912,'Species Codes'!B:J,9,0)*(LN((E1912*2.54)))),IF(OR(D1912="PY",D1912="RC",D1912="WH",D1912="NF")=TRUE,VLOOKUP(D1912,'Species Codes'!B:I,8,0)+VLOOKUP(D1912,'Species Codes'!B:J,9,0)*((E1912*2.54)^2)*(I1912*0.3048),IF(OR(D1912="MD",D1912="BM",D1912="GA")=TRUE,((VLOOKUP(D1912,'Species Codes'!B:I,8,0)*(((((E1912*2.54)+VLOOKUP(D1912,'Species Codes'!B:J,9,0))/VLOOKUP(D1912,'Species Codes'!B:K,10,0))^VLOOKUP(D1912,'Species Codes'!B:L,11,0))*((I1912*0.3048)^VLOOKUP(D1912,'Species Codes'!B:M,12,0))))-(VLOOKUP(D1912,'Species Codes'!B:I,8,0)*((((E1912*2.54)^VLOOKUP(D1912,'Species Codes'!B:L,11,0))*((I1912*0.3048)^VLOOKUP(D1912,'Species Codes'!B:M,12,0))))))*35.3*VLOOKUP(D1912,'Species Codes'!B:G,6,0)/2.2046,VLOOKUP(D1912,'Species Codes'!B:I,8,0)+VLOOKUP(D1912,'Species Codes'!B:J,9,0)*(((E1912*2.54)/100)^2)*(I1912*0.3048)))))*0.0011023),0)</f>
        <v>#N/A</v>
      </c>
      <c r="AC1912" s="104" t="e">
        <f>IF(Z1912&gt;0,((IF(OR(D1912="RA",D1912="OA",D1912="OT",D1912="UN",D1912="PC"),EXP(VLOOKUP(D1912,'Species Codes'!B:O,14,0)+VLOOKUP(D1912,'Species Codes'!B:P,15,0)*LN((E1912*2.54)))-EXP(VLOOKUP(D1912,'Species Codes'!B:O,14,0)+VLOOKUP(D1912,'Species Codes'!B:P,15,0)*LN((E1912*2.54)))*(1/(VLOOKUP(D1912,'Species Codes'!B:Q,16,0)+VLOOKUP(D1912,'Species Codes'!B:R,17,0)*((E1912*2.54)^VLOOKUP(D1912,'Species Codes'!B:S,18,0)))),IF(OR(D1912="BM",D1912="MD",D1912="OA"),EXP(VLOOKUP(D1912,'Species Codes'!B:O,14,0)+VLOOKUP(D1912,'Species Codes'!B:P,15,0)*LN((E1912*2.54)))*(1-(1/(VLOOKUP(D1912,'Species Codes'!B:Q,16,0)+VLOOKUP(D1912,'Species Codes'!B:R,17,0)*((E1912*2.54)^VLOOKUP(D1912,'Species Codes'!B:S,18,0)))))/1000,IF(D1912="DF",EXP(VLOOKUP(D1912,'Species Codes'!B:O,14,0)+VLOOKUP(D1912,'Species Codes'!B:P,15,0)*LN((E1912*2.54))),VLOOKUP(D1912,'Species Codes'!B:O,14,0)+VLOOKUP(D1912,'Species Codes'!B:P,15,0)*(((E1912*2.54)/100)^2)*(I1912*0.3048)))))*0.0011023),0)</f>
        <v>#N/A</v>
      </c>
      <c r="AD1912" s="104" t="e">
        <f t="shared" si="841"/>
        <v>#N/A</v>
      </c>
      <c r="AE1912" s="104" t="e">
        <f t="shared" si="842"/>
        <v>#N/A</v>
      </c>
      <c r="AF1912" s="104" t="e">
        <f>IF(AND(VLOOKUP($D1912,Merchantability!$B:$C,2,0)="Yes",$E1912&gt;=VLOOKUP($D1912,Merchantability!$B:$D,3,0),$E1912&lt;=VLOOKUP($D1912,Merchantability!$B:$E,4,0)),AA1912,0)</f>
        <v>#N/A</v>
      </c>
      <c r="AG1912" s="104" t="e">
        <f>IF(AND(VLOOKUP($D1912,Merchantability!$B:$C,2,0)="Yes",$E1912&gt;=VLOOKUP($D1912,Merchantability!$B:$D,3,0),$E1912&lt;=VLOOKUP($D1912,Merchantability!$B:$E,4,0)),AB1912,0)</f>
        <v>#N/A</v>
      </c>
      <c r="AH1912" s="104" t="e">
        <f>IF(AND(VLOOKUP($D1912,Merchantability!$B:$C,2,0)="Yes",$E1912&gt;=VLOOKUP($D1912,Merchantability!$B:$D,3,0),$E1912&lt;=VLOOKUP($D1912,Merchantability!$B:$E,4,0)),AC1912,0)</f>
        <v>#N/A</v>
      </c>
      <c r="AI1912" s="104" t="e">
        <f t="shared" si="843"/>
        <v>#N/A</v>
      </c>
      <c r="AJ1912" s="104" t="e">
        <f t="shared" si="844"/>
        <v>#VALUE!</v>
      </c>
      <c r="AK1912" s="104" t="e">
        <f t="shared" si="845"/>
        <v>#N/A</v>
      </c>
      <c r="AL1912" s="104" t="e">
        <f t="shared" si="846"/>
        <v>#N/A</v>
      </c>
      <c r="AM1912" s="104" t="e">
        <f t="shared" si="847"/>
        <v>#N/A</v>
      </c>
      <c r="AN1912" s="104" t="e">
        <f t="shared" si="831"/>
        <v>#N/A</v>
      </c>
      <c r="AO1912" s="104" t="e">
        <f t="shared" si="832"/>
        <v>#N/A</v>
      </c>
      <c r="AP1912" s="104" t="e">
        <f t="shared" si="833"/>
        <v>#N/A</v>
      </c>
      <c r="AQ1912" s="104" t="e">
        <f t="shared" si="834"/>
        <v>#N/A</v>
      </c>
      <c r="AR1912" s="105" t="str">
        <f t="shared" si="826"/>
        <v/>
      </c>
      <c r="AS1912" s="105" t="str">
        <f t="shared" si="827"/>
        <v/>
      </c>
      <c r="AT1912" s="108" t="str">
        <f t="shared" si="828"/>
        <v/>
      </c>
      <c r="AU1912" s="108" t="str">
        <f t="shared" si="829"/>
        <v/>
      </c>
      <c r="AV1912" s="107" t="str">
        <f>IF(ISNUMBER(O1912),IF(VLOOKUP($A1912,Stand!C:J,8,FALSE)="Short",AT1912,AU1912),"")</f>
        <v/>
      </c>
      <c r="AW1912" s="109" t="str">
        <f t="shared" si="835"/>
        <v/>
      </c>
      <c r="AX1912" s="109" t="str">
        <f t="shared" si="836"/>
        <v/>
      </c>
      <c r="AY1912" s="112" t="str">
        <f>IF(ISNUMBER(O1912),IF(AND(VLOOKUP($D1912,Merchantability!$B:$C,2,0)="Yes",$E1912&gt;=VLOOKUP($D1912,Merchantability!$B:$D,3,0),$E1912&lt;=VLOOKUP($D1912,Merchantability!$B:$E,4,0)),(AV1912*O1912)*(1-$H1912/100),""),"")</f>
        <v/>
      </c>
      <c r="AZ1912" s="116"/>
      <c r="BA1912" s="116"/>
      <c r="BB1912" s="116"/>
      <c r="BE1912" s="62"/>
      <c r="BF1912" s="63"/>
    </row>
    <row r="1913" spans="1:58" ht="12.75" customHeight="1" x14ac:dyDescent="0.25">
      <c r="A1913" s="334"/>
      <c r="B1913" s="334"/>
      <c r="C1913" s="332"/>
      <c r="D1913" s="334"/>
      <c r="E1913" s="335"/>
      <c r="F1913" s="334"/>
      <c r="G1913" s="332"/>
      <c r="H1913" s="332"/>
      <c r="I1913" s="334"/>
      <c r="J1913" s="336"/>
      <c r="K1913" s="332"/>
      <c r="L1913" s="332"/>
      <c r="M1913" s="76"/>
      <c r="N1913" s="103" t="str">
        <f>IF(A1913="","",VLOOKUP(A1913,Stand!C:K,9,0))</f>
        <v/>
      </c>
      <c r="O1913" s="104" t="str">
        <f t="shared" si="821"/>
        <v/>
      </c>
      <c r="P1913" s="105" t="str">
        <f t="shared" si="822"/>
        <v/>
      </c>
      <c r="Q1913" s="105" t="str">
        <f t="shared" si="837"/>
        <v/>
      </c>
      <c r="R1913" s="103" t="str">
        <f t="shared" si="823"/>
        <v/>
      </c>
      <c r="S1913" s="103" t="str">
        <f t="shared" si="824"/>
        <v/>
      </c>
      <c r="T1913" s="106" t="str">
        <f t="shared" si="838"/>
        <v/>
      </c>
      <c r="U1913" s="106" t="str">
        <f t="shared" si="839"/>
        <v/>
      </c>
      <c r="V1913" s="106" t="str">
        <f t="shared" si="840"/>
        <v/>
      </c>
      <c r="W1913" s="105" t="str">
        <f t="shared" si="825"/>
        <v/>
      </c>
      <c r="X1913" s="104" t="str">
        <f t="shared" si="830"/>
        <v/>
      </c>
      <c r="Y1913" s="104" t="str">
        <f t="array" ref="Y1913">IFERROR(IF(ISNUMBER(O1913),IF(COUNT(IF(A1913=$A$2:$A$2427,IF(D1913=$D$2:$D$2427,IF($X$2:$X$2427&gt;0,1))))&gt;0,SUM(IF(A1913=$A$2:$A$2427,IF(D1913=$D$2:$D$2427,$X$2:$X$2427)))/COUNT(IF(A1913=$A$2:$A$2427,IF(D1913=$D$2:$D$2427,IF(ISNUMBER($X$2:$X$2427),1)))),0),""),0)</f>
        <v/>
      </c>
      <c r="Z1913" s="104" t="str">
        <f>IF(ISNUMBER(O1913),IF(I1913&gt;0,(10^(VLOOKUP(D1913,'Species Codes'!B:C,2,0)+VLOOKUP(D1913,'Species Codes'!B:D,3,0)*LOG(E1913)+VLOOKUP(D1913,'Species Codes'!B:E,4,0)*LOG(I1913))),0),"")</f>
        <v/>
      </c>
      <c r="AA1913" s="104" t="str">
        <f>IFERROR((VLOOKUP(D1913,'Species Codes'!B:G,6,0)*Z1913)/2000,"")</f>
        <v/>
      </c>
      <c r="AB1913" s="104" t="e">
        <f>IF(Z1913&gt;0,((IF(OR(D1913="DF",D1913="RA")=TRUE,EXP(VLOOKUP(D1913,'Species Codes'!B:I,8,0)+VLOOKUP(D1913,'Species Codes'!B:J,9,0)*(LN((E1913*2.54)))),IF(OR(D1913="PY",D1913="RC",D1913="WH",D1913="NF")=TRUE,VLOOKUP(D1913,'Species Codes'!B:I,8,0)+VLOOKUP(D1913,'Species Codes'!B:J,9,0)*((E1913*2.54)^2)*(I1913*0.3048),IF(OR(D1913="MD",D1913="BM",D1913="GA")=TRUE,((VLOOKUP(D1913,'Species Codes'!B:I,8,0)*(((((E1913*2.54)+VLOOKUP(D1913,'Species Codes'!B:J,9,0))/VLOOKUP(D1913,'Species Codes'!B:K,10,0))^VLOOKUP(D1913,'Species Codes'!B:L,11,0))*((I1913*0.3048)^VLOOKUP(D1913,'Species Codes'!B:M,12,0))))-(VLOOKUP(D1913,'Species Codes'!B:I,8,0)*((((E1913*2.54)^VLOOKUP(D1913,'Species Codes'!B:L,11,0))*((I1913*0.3048)^VLOOKUP(D1913,'Species Codes'!B:M,12,0))))))*35.3*VLOOKUP(D1913,'Species Codes'!B:G,6,0)/2.2046,VLOOKUP(D1913,'Species Codes'!B:I,8,0)+VLOOKUP(D1913,'Species Codes'!B:J,9,0)*(((E1913*2.54)/100)^2)*(I1913*0.3048)))))*0.0011023),0)</f>
        <v>#N/A</v>
      </c>
      <c r="AC1913" s="104" t="e">
        <f>IF(Z1913&gt;0,((IF(OR(D1913="RA",D1913="OA",D1913="OT",D1913="UN",D1913="PC"),EXP(VLOOKUP(D1913,'Species Codes'!B:O,14,0)+VLOOKUP(D1913,'Species Codes'!B:P,15,0)*LN((E1913*2.54)))-EXP(VLOOKUP(D1913,'Species Codes'!B:O,14,0)+VLOOKUP(D1913,'Species Codes'!B:P,15,0)*LN((E1913*2.54)))*(1/(VLOOKUP(D1913,'Species Codes'!B:Q,16,0)+VLOOKUP(D1913,'Species Codes'!B:R,17,0)*((E1913*2.54)^VLOOKUP(D1913,'Species Codes'!B:S,18,0)))),IF(OR(D1913="BM",D1913="MD",D1913="OA"),EXP(VLOOKUP(D1913,'Species Codes'!B:O,14,0)+VLOOKUP(D1913,'Species Codes'!B:P,15,0)*LN((E1913*2.54)))*(1-(1/(VLOOKUP(D1913,'Species Codes'!B:Q,16,0)+VLOOKUP(D1913,'Species Codes'!B:R,17,0)*((E1913*2.54)^VLOOKUP(D1913,'Species Codes'!B:S,18,0)))))/1000,IF(D1913="DF",EXP(VLOOKUP(D1913,'Species Codes'!B:O,14,0)+VLOOKUP(D1913,'Species Codes'!B:P,15,0)*LN((E1913*2.54))),VLOOKUP(D1913,'Species Codes'!B:O,14,0)+VLOOKUP(D1913,'Species Codes'!B:P,15,0)*(((E1913*2.54)/100)^2)*(I1913*0.3048)))))*0.0011023),0)</f>
        <v>#N/A</v>
      </c>
      <c r="AD1913" s="104" t="e">
        <f t="shared" si="841"/>
        <v>#N/A</v>
      </c>
      <c r="AE1913" s="104" t="e">
        <f t="shared" si="842"/>
        <v>#N/A</v>
      </c>
      <c r="AF1913" s="104" t="e">
        <f>IF(AND(VLOOKUP($D1913,Merchantability!$B:$C,2,0)="Yes",$E1913&gt;=VLOOKUP($D1913,Merchantability!$B:$D,3,0),$E1913&lt;=VLOOKUP($D1913,Merchantability!$B:$E,4,0)),AA1913,0)</f>
        <v>#N/A</v>
      </c>
      <c r="AG1913" s="104" t="e">
        <f>IF(AND(VLOOKUP($D1913,Merchantability!$B:$C,2,0)="Yes",$E1913&gt;=VLOOKUP($D1913,Merchantability!$B:$D,3,0),$E1913&lt;=VLOOKUP($D1913,Merchantability!$B:$E,4,0)),AB1913,0)</f>
        <v>#N/A</v>
      </c>
      <c r="AH1913" s="104" t="e">
        <f>IF(AND(VLOOKUP($D1913,Merchantability!$B:$C,2,0)="Yes",$E1913&gt;=VLOOKUP($D1913,Merchantability!$B:$D,3,0),$E1913&lt;=VLOOKUP($D1913,Merchantability!$B:$E,4,0)),AC1913,0)</f>
        <v>#N/A</v>
      </c>
      <c r="AI1913" s="104" t="e">
        <f t="shared" si="843"/>
        <v>#N/A</v>
      </c>
      <c r="AJ1913" s="104" t="e">
        <f t="shared" si="844"/>
        <v>#VALUE!</v>
      </c>
      <c r="AK1913" s="104" t="e">
        <f t="shared" si="845"/>
        <v>#N/A</v>
      </c>
      <c r="AL1913" s="104" t="e">
        <f t="shared" si="846"/>
        <v>#N/A</v>
      </c>
      <c r="AM1913" s="104" t="e">
        <f t="shared" si="847"/>
        <v>#N/A</v>
      </c>
      <c r="AN1913" s="104" t="e">
        <f t="shared" si="831"/>
        <v>#N/A</v>
      </c>
      <c r="AO1913" s="104" t="e">
        <f t="shared" si="832"/>
        <v>#N/A</v>
      </c>
      <c r="AP1913" s="104" t="e">
        <f t="shared" si="833"/>
        <v>#N/A</v>
      </c>
      <c r="AQ1913" s="104" t="e">
        <f t="shared" si="834"/>
        <v>#N/A</v>
      </c>
      <c r="AR1913" s="105" t="str">
        <f t="shared" si="826"/>
        <v/>
      </c>
      <c r="AS1913" s="105" t="str">
        <f t="shared" si="827"/>
        <v/>
      </c>
      <c r="AT1913" s="108" t="str">
        <f t="shared" si="828"/>
        <v/>
      </c>
      <c r="AU1913" s="108" t="str">
        <f t="shared" si="829"/>
        <v/>
      </c>
      <c r="AV1913" s="107" t="str">
        <f>IF(ISNUMBER(O1913),IF(VLOOKUP($A1913,Stand!C:J,8,FALSE)="Short",AT1913,AU1913),"")</f>
        <v/>
      </c>
      <c r="AW1913" s="109" t="str">
        <f t="shared" si="835"/>
        <v/>
      </c>
      <c r="AX1913" s="109" t="str">
        <f t="shared" si="836"/>
        <v/>
      </c>
      <c r="AY1913" s="112" t="str">
        <f>IF(ISNUMBER(O1913),IF(AND(VLOOKUP($D1913,Merchantability!$B:$C,2,0)="Yes",$E1913&gt;=VLOOKUP($D1913,Merchantability!$B:$D,3,0),$E1913&lt;=VLOOKUP($D1913,Merchantability!$B:$E,4,0)),(AV1913*O1913)*(1-$H1913/100),""),"")</f>
        <v/>
      </c>
      <c r="AZ1913" s="116"/>
      <c r="BA1913" s="116"/>
      <c r="BB1913" s="116"/>
      <c r="BE1913" s="62"/>
      <c r="BF1913" s="63"/>
    </row>
    <row r="1914" spans="1:58" ht="12.75" customHeight="1" x14ac:dyDescent="0.25">
      <c r="A1914" s="334"/>
      <c r="B1914" s="334"/>
      <c r="C1914" s="332"/>
      <c r="D1914" s="334"/>
      <c r="E1914" s="335"/>
      <c r="F1914" s="334"/>
      <c r="G1914" s="332"/>
      <c r="H1914" s="332"/>
      <c r="I1914" s="334"/>
      <c r="J1914" s="336"/>
      <c r="K1914" s="332"/>
      <c r="L1914" s="332"/>
      <c r="M1914" s="76"/>
      <c r="N1914" s="103" t="str">
        <f>IF(A1914="","",VLOOKUP(A1914,Stand!C:K,9,0))</f>
        <v/>
      </c>
      <c r="O1914" s="104" t="str">
        <f t="shared" si="821"/>
        <v/>
      </c>
      <c r="P1914" s="105" t="str">
        <f t="shared" si="822"/>
        <v/>
      </c>
      <c r="Q1914" s="105" t="str">
        <f t="shared" si="837"/>
        <v/>
      </c>
      <c r="R1914" s="103" t="str">
        <f t="shared" si="823"/>
        <v/>
      </c>
      <c r="S1914" s="103" t="str">
        <f t="shared" si="824"/>
        <v/>
      </c>
      <c r="T1914" s="106" t="str">
        <f t="shared" si="838"/>
        <v/>
      </c>
      <c r="U1914" s="106" t="str">
        <f t="shared" si="839"/>
        <v/>
      </c>
      <c r="V1914" s="106" t="str">
        <f t="shared" si="840"/>
        <v/>
      </c>
      <c r="W1914" s="105" t="str">
        <f t="shared" si="825"/>
        <v/>
      </c>
      <c r="X1914" s="104" t="str">
        <f t="shared" si="830"/>
        <v/>
      </c>
      <c r="Y1914" s="104" t="str">
        <f t="array" ref="Y1914">IFERROR(IF(ISNUMBER(O1914),IF(COUNT(IF(A1914=$A$2:$A$2427,IF(D1914=$D$2:$D$2427,IF($X$2:$X$2427&gt;0,1))))&gt;0,SUM(IF(A1914=$A$2:$A$2427,IF(D1914=$D$2:$D$2427,$X$2:$X$2427)))/COUNT(IF(A1914=$A$2:$A$2427,IF(D1914=$D$2:$D$2427,IF(ISNUMBER($X$2:$X$2427),1)))),0),""),0)</f>
        <v/>
      </c>
      <c r="Z1914" s="104" t="str">
        <f>IF(ISNUMBER(O1914),IF(I1914&gt;0,(10^(VLOOKUP(D1914,'Species Codes'!B:C,2,0)+VLOOKUP(D1914,'Species Codes'!B:D,3,0)*LOG(E1914)+VLOOKUP(D1914,'Species Codes'!B:E,4,0)*LOG(I1914))),0),"")</f>
        <v/>
      </c>
      <c r="AA1914" s="104" t="str">
        <f>IFERROR((VLOOKUP(D1914,'Species Codes'!B:G,6,0)*Z1914)/2000,"")</f>
        <v/>
      </c>
      <c r="AB1914" s="104" t="e">
        <f>IF(Z1914&gt;0,((IF(OR(D1914="DF",D1914="RA")=TRUE,EXP(VLOOKUP(D1914,'Species Codes'!B:I,8,0)+VLOOKUP(D1914,'Species Codes'!B:J,9,0)*(LN((E1914*2.54)))),IF(OR(D1914="PY",D1914="RC",D1914="WH",D1914="NF")=TRUE,VLOOKUP(D1914,'Species Codes'!B:I,8,0)+VLOOKUP(D1914,'Species Codes'!B:J,9,0)*((E1914*2.54)^2)*(I1914*0.3048),IF(OR(D1914="MD",D1914="BM",D1914="GA")=TRUE,((VLOOKUP(D1914,'Species Codes'!B:I,8,0)*(((((E1914*2.54)+VLOOKUP(D1914,'Species Codes'!B:J,9,0))/VLOOKUP(D1914,'Species Codes'!B:K,10,0))^VLOOKUP(D1914,'Species Codes'!B:L,11,0))*((I1914*0.3048)^VLOOKUP(D1914,'Species Codes'!B:M,12,0))))-(VLOOKUP(D1914,'Species Codes'!B:I,8,0)*((((E1914*2.54)^VLOOKUP(D1914,'Species Codes'!B:L,11,0))*((I1914*0.3048)^VLOOKUP(D1914,'Species Codes'!B:M,12,0))))))*35.3*VLOOKUP(D1914,'Species Codes'!B:G,6,0)/2.2046,VLOOKUP(D1914,'Species Codes'!B:I,8,0)+VLOOKUP(D1914,'Species Codes'!B:J,9,0)*(((E1914*2.54)/100)^2)*(I1914*0.3048)))))*0.0011023),0)</f>
        <v>#N/A</v>
      </c>
      <c r="AC1914" s="104" t="e">
        <f>IF(Z1914&gt;0,((IF(OR(D1914="RA",D1914="OA",D1914="OT",D1914="UN",D1914="PC"),EXP(VLOOKUP(D1914,'Species Codes'!B:O,14,0)+VLOOKUP(D1914,'Species Codes'!B:P,15,0)*LN((E1914*2.54)))-EXP(VLOOKUP(D1914,'Species Codes'!B:O,14,0)+VLOOKUP(D1914,'Species Codes'!B:P,15,0)*LN((E1914*2.54)))*(1/(VLOOKUP(D1914,'Species Codes'!B:Q,16,0)+VLOOKUP(D1914,'Species Codes'!B:R,17,0)*((E1914*2.54)^VLOOKUP(D1914,'Species Codes'!B:S,18,0)))),IF(OR(D1914="BM",D1914="MD",D1914="OA"),EXP(VLOOKUP(D1914,'Species Codes'!B:O,14,0)+VLOOKUP(D1914,'Species Codes'!B:P,15,0)*LN((E1914*2.54)))*(1-(1/(VLOOKUP(D1914,'Species Codes'!B:Q,16,0)+VLOOKUP(D1914,'Species Codes'!B:R,17,0)*((E1914*2.54)^VLOOKUP(D1914,'Species Codes'!B:S,18,0)))))/1000,IF(D1914="DF",EXP(VLOOKUP(D1914,'Species Codes'!B:O,14,0)+VLOOKUP(D1914,'Species Codes'!B:P,15,0)*LN((E1914*2.54))),VLOOKUP(D1914,'Species Codes'!B:O,14,0)+VLOOKUP(D1914,'Species Codes'!B:P,15,0)*(((E1914*2.54)/100)^2)*(I1914*0.3048)))))*0.0011023),0)</f>
        <v>#N/A</v>
      </c>
      <c r="AD1914" s="104" t="e">
        <f t="shared" si="841"/>
        <v>#N/A</v>
      </c>
      <c r="AE1914" s="104" t="e">
        <f t="shared" si="842"/>
        <v>#N/A</v>
      </c>
      <c r="AF1914" s="104" t="e">
        <f>IF(AND(VLOOKUP($D1914,Merchantability!$B:$C,2,0)="Yes",$E1914&gt;=VLOOKUP($D1914,Merchantability!$B:$D,3,0),$E1914&lt;=VLOOKUP($D1914,Merchantability!$B:$E,4,0)),AA1914,0)</f>
        <v>#N/A</v>
      </c>
      <c r="AG1914" s="104" t="e">
        <f>IF(AND(VLOOKUP($D1914,Merchantability!$B:$C,2,0)="Yes",$E1914&gt;=VLOOKUP($D1914,Merchantability!$B:$D,3,0),$E1914&lt;=VLOOKUP($D1914,Merchantability!$B:$E,4,0)),AB1914,0)</f>
        <v>#N/A</v>
      </c>
      <c r="AH1914" s="104" t="e">
        <f>IF(AND(VLOOKUP($D1914,Merchantability!$B:$C,2,0)="Yes",$E1914&gt;=VLOOKUP($D1914,Merchantability!$B:$D,3,0),$E1914&lt;=VLOOKUP($D1914,Merchantability!$B:$E,4,0)),AC1914,0)</f>
        <v>#N/A</v>
      </c>
      <c r="AI1914" s="104" t="e">
        <f t="shared" si="843"/>
        <v>#N/A</v>
      </c>
      <c r="AJ1914" s="104" t="e">
        <f t="shared" si="844"/>
        <v>#VALUE!</v>
      </c>
      <c r="AK1914" s="104" t="e">
        <f t="shared" si="845"/>
        <v>#N/A</v>
      </c>
      <c r="AL1914" s="104" t="e">
        <f t="shared" si="846"/>
        <v>#N/A</v>
      </c>
      <c r="AM1914" s="104" t="e">
        <f t="shared" si="847"/>
        <v>#N/A</v>
      </c>
      <c r="AN1914" s="104" t="e">
        <f t="shared" si="831"/>
        <v>#N/A</v>
      </c>
      <c r="AO1914" s="104" t="e">
        <f t="shared" si="832"/>
        <v>#N/A</v>
      </c>
      <c r="AP1914" s="104" t="e">
        <f t="shared" si="833"/>
        <v>#N/A</v>
      </c>
      <c r="AQ1914" s="104" t="e">
        <f t="shared" si="834"/>
        <v>#N/A</v>
      </c>
      <c r="AR1914" s="105" t="str">
        <f t="shared" si="826"/>
        <v/>
      </c>
      <c r="AS1914" s="105" t="str">
        <f t="shared" si="827"/>
        <v/>
      </c>
      <c r="AT1914" s="108" t="str">
        <f t="shared" si="828"/>
        <v/>
      </c>
      <c r="AU1914" s="108" t="str">
        <f t="shared" si="829"/>
        <v/>
      </c>
      <c r="AV1914" s="107" t="str">
        <f>IF(ISNUMBER(O1914),IF(VLOOKUP($A1914,Stand!C:J,8,FALSE)="Short",AT1914,AU1914),"")</f>
        <v/>
      </c>
      <c r="AW1914" s="109" t="str">
        <f t="shared" si="835"/>
        <v/>
      </c>
      <c r="AX1914" s="109" t="str">
        <f t="shared" si="836"/>
        <v/>
      </c>
      <c r="AY1914" s="112" t="str">
        <f>IF(ISNUMBER(O1914),IF(AND(VLOOKUP($D1914,Merchantability!$B:$C,2,0)="Yes",$E1914&gt;=VLOOKUP($D1914,Merchantability!$B:$D,3,0),$E1914&lt;=VLOOKUP($D1914,Merchantability!$B:$E,4,0)),(AV1914*O1914)*(1-$H1914/100),""),"")</f>
        <v/>
      </c>
      <c r="AZ1914" s="116"/>
      <c r="BA1914" s="116"/>
      <c r="BB1914" s="116"/>
      <c r="BE1914" s="62"/>
      <c r="BF1914" s="63"/>
    </row>
    <row r="1915" spans="1:58" ht="12.75" customHeight="1" x14ac:dyDescent="0.25">
      <c r="A1915" s="334"/>
      <c r="B1915" s="334"/>
      <c r="C1915" s="332"/>
      <c r="D1915" s="334"/>
      <c r="E1915" s="335"/>
      <c r="F1915" s="334"/>
      <c r="G1915" s="332"/>
      <c r="H1915" s="332"/>
      <c r="I1915" s="334"/>
      <c r="J1915" s="336"/>
      <c r="K1915" s="332"/>
      <c r="L1915" s="332"/>
      <c r="M1915" s="76"/>
      <c r="N1915" s="103" t="str">
        <f>IF(A1915="","",VLOOKUP(A1915,Stand!C:K,9,0))</f>
        <v/>
      </c>
      <c r="O1915" s="104" t="str">
        <f t="shared" si="821"/>
        <v/>
      </c>
      <c r="P1915" s="105" t="str">
        <f t="shared" si="822"/>
        <v/>
      </c>
      <c r="Q1915" s="105" t="str">
        <f t="shared" si="837"/>
        <v/>
      </c>
      <c r="R1915" s="103" t="str">
        <f t="shared" si="823"/>
        <v/>
      </c>
      <c r="S1915" s="103" t="str">
        <f t="shared" si="824"/>
        <v/>
      </c>
      <c r="T1915" s="106" t="str">
        <f t="shared" si="838"/>
        <v/>
      </c>
      <c r="U1915" s="106" t="str">
        <f t="shared" si="839"/>
        <v/>
      </c>
      <c r="V1915" s="106" t="str">
        <f t="shared" si="840"/>
        <v/>
      </c>
      <c r="W1915" s="105" t="str">
        <f t="shared" si="825"/>
        <v/>
      </c>
      <c r="X1915" s="104" t="str">
        <f t="shared" si="830"/>
        <v/>
      </c>
      <c r="Y1915" s="104" t="str">
        <f t="array" ref="Y1915">IFERROR(IF(ISNUMBER(O1915),IF(COUNT(IF(A1915=$A$2:$A$2427,IF(D1915=$D$2:$D$2427,IF($X$2:$X$2427&gt;0,1))))&gt;0,SUM(IF(A1915=$A$2:$A$2427,IF(D1915=$D$2:$D$2427,$X$2:$X$2427)))/COUNT(IF(A1915=$A$2:$A$2427,IF(D1915=$D$2:$D$2427,IF(ISNUMBER($X$2:$X$2427),1)))),0),""),0)</f>
        <v/>
      </c>
      <c r="Z1915" s="104" t="str">
        <f>IF(ISNUMBER(O1915),IF(I1915&gt;0,(10^(VLOOKUP(D1915,'Species Codes'!B:C,2,0)+VLOOKUP(D1915,'Species Codes'!B:D,3,0)*LOG(E1915)+VLOOKUP(D1915,'Species Codes'!B:E,4,0)*LOG(I1915))),0),"")</f>
        <v/>
      </c>
      <c r="AA1915" s="104" t="str">
        <f>IFERROR((VLOOKUP(D1915,'Species Codes'!B:G,6,0)*Z1915)/2000,"")</f>
        <v/>
      </c>
      <c r="AB1915" s="104" t="e">
        <f>IF(Z1915&gt;0,((IF(OR(D1915="DF",D1915="RA")=TRUE,EXP(VLOOKUP(D1915,'Species Codes'!B:I,8,0)+VLOOKUP(D1915,'Species Codes'!B:J,9,0)*(LN((E1915*2.54)))),IF(OR(D1915="PY",D1915="RC",D1915="WH",D1915="NF")=TRUE,VLOOKUP(D1915,'Species Codes'!B:I,8,0)+VLOOKUP(D1915,'Species Codes'!B:J,9,0)*((E1915*2.54)^2)*(I1915*0.3048),IF(OR(D1915="MD",D1915="BM",D1915="GA")=TRUE,((VLOOKUP(D1915,'Species Codes'!B:I,8,0)*(((((E1915*2.54)+VLOOKUP(D1915,'Species Codes'!B:J,9,0))/VLOOKUP(D1915,'Species Codes'!B:K,10,0))^VLOOKUP(D1915,'Species Codes'!B:L,11,0))*((I1915*0.3048)^VLOOKUP(D1915,'Species Codes'!B:M,12,0))))-(VLOOKUP(D1915,'Species Codes'!B:I,8,0)*((((E1915*2.54)^VLOOKUP(D1915,'Species Codes'!B:L,11,0))*((I1915*0.3048)^VLOOKUP(D1915,'Species Codes'!B:M,12,0))))))*35.3*VLOOKUP(D1915,'Species Codes'!B:G,6,0)/2.2046,VLOOKUP(D1915,'Species Codes'!B:I,8,0)+VLOOKUP(D1915,'Species Codes'!B:J,9,0)*(((E1915*2.54)/100)^2)*(I1915*0.3048)))))*0.0011023),0)</f>
        <v>#N/A</v>
      </c>
      <c r="AC1915" s="104" t="e">
        <f>IF(Z1915&gt;0,((IF(OR(D1915="RA",D1915="OA",D1915="OT",D1915="UN",D1915="PC"),EXP(VLOOKUP(D1915,'Species Codes'!B:O,14,0)+VLOOKUP(D1915,'Species Codes'!B:P,15,0)*LN((E1915*2.54)))-EXP(VLOOKUP(D1915,'Species Codes'!B:O,14,0)+VLOOKUP(D1915,'Species Codes'!B:P,15,0)*LN((E1915*2.54)))*(1/(VLOOKUP(D1915,'Species Codes'!B:Q,16,0)+VLOOKUP(D1915,'Species Codes'!B:R,17,0)*((E1915*2.54)^VLOOKUP(D1915,'Species Codes'!B:S,18,0)))),IF(OR(D1915="BM",D1915="MD",D1915="OA"),EXP(VLOOKUP(D1915,'Species Codes'!B:O,14,0)+VLOOKUP(D1915,'Species Codes'!B:P,15,0)*LN((E1915*2.54)))*(1-(1/(VLOOKUP(D1915,'Species Codes'!B:Q,16,0)+VLOOKUP(D1915,'Species Codes'!B:R,17,0)*((E1915*2.54)^VLOOKUP(D1915,'Species Codes'!B:S,18,0)))))/1000,IF(D1915="DF",EXP(VLOOKUP(D1915,'Species Codes'!B:O,14,0)+VLOOKUP(D1915,'Species Codes'!B:P,15,0)*LN((E1915*2.54))),VLOOKUP(D1915,'Species Codes'!B:O,14,0)+VLOOKUP(D1915,'Species Codes'!B:P,15,0)*(((E1915*2.54)/100)^2)*(I1915*0.3048)))))*0.0011023),0)</f>
        <v>#N/A</v>
      </c>
      <c r="AD1915" s="104" t="e">
        <f t="shared" si="841"/>
        <v>#N/A</v>
      </c>
      <c r="AE1915" s="104" t="e">
        <f t="shared" si="842"/>
        <v>#N/A</v>
      </c>
      <c r="AF1915" s="104" t="e">
        <f>IF(AND(VLOOKUP($D1915,Merchantability!$B:$C,2,0)="Yes",$E1915&gt;=VLOOKUP($D1915,Merchantability!$B:$D,3,0),$E1915&lt;=VLOOKUP($D1915,Merchantability!$B:$E,4,0)),AA1915,0)</f>
        <v>#N/A</v>
      </c>
      <c r="AG1915" s="104" t="e">
        <f>IF(AND(VLOOKUP($D1915,Merchantability!$B:$C,2,0)="Yes",$E1915&gt;=VLOOKUP($D1915,Merchantability!$B:$D,3,0),$E1915&lt;=VLOOKUP($D1915,Merchantability!$B:$E,4,0)),AB1915,0)</f>
        <v>#N/A</v>
      </c>
      <c r="AH1915" s="104" t="e">
        <f>IF(AND(VLOOKUP($D1915,Merchantability!$B:$C,2,0)="Yes",$E1915&gt;=VLOOKUP($D1915,Merchantability!$B:$D,3,0),$E1915&lt;=VLOOKUP($D1915,Merchantability!$B:$E,4,0)),AC1915,0)</f>
        <v>#N/A</v>
      </c>
      <c r="AI1915" s="104" t="e">
        <f t="shared" si="843"/>
        <v>#N/A</v>
      </c>
      <c r="AJ1915" s="104" t="e">
        <f t="shared" si="844"/>
        <v>#VALUE!</v>
      </c>
      <c r="AK1915" s="104" t="e">
        <f t="shared" si="845"/>
        <v>#N/A</v>
      </c>
      <c r="AL1915" s="104" t="e">
        <f t="shared" si="846"/>
        <v>#N/A</v>
      </c>
      <c r="AM1915" s="104" t="e">
        <f t="shared" si="847"/>
        <v>#N/A</v>
      </c>
      <c r="AN1915" s="104" t="e">
        <f t="shared" si="831"/>
        <v>#N/A</v>
      </c>
      <c r="AO1915" s="104" t="e">
        <f t="shared" si="832"/>
        <v>#N/A</v>
      </c>
      <c r="AP1915" s="104" t="e">
        <f t="shared" si="833"/>
        <v>#N/A</v>
      </c>
      <c r="AQ1915" s="104" t="e">
        <f t="shared" si="834"/>
        <v>#N/A</v>
      </c>
      <c r="AR1915" s="105" t="str">
        <f t="shared" si="826"/>
        <v/>
      </c>
      <c r="AS1915" s="105" t="str">
        <f t="shared" si="827"/>
        <v/>
      </c>
      <c r="AT1915" s="108" t="str">
        <f t="shared" si="828"/>
        <v/>
      </c>
      <c r="AU1915" s="108" t="str">
        <f t="shared" si="829"/>
        <v/>
      </c>
      <c r="AV1915" s="107" t="str">
        <f>IF(ISNUMBER(O1915),IF(VLOOKUP($A1915,Stand!C:J,8,FALSE)="Short",AT1915,AU1915),"")</f>
        <v/>
      </c>
      <c r="AW1915" s="109" t="str">
        <f t="shared" si="835"/>
        <v/>
      </c>
      <c r="AX1915" s="109" t="str">
        <f t="shared" si="836"/>
        <v/>
      </c>
      <c r="AY1915" s="112" t="str">
        <f>IF(ISNUMBER(O1915),IF(AND(VLOOKUP($D1915,Merchantability!$B:$C,2,0)="Yes",$E1915&gt;=VLOOKUP($D1915,Merchantability!$B:$D,3,0),$E1915&lt;=VLOOKUP($D1915,Merchantability!$B:$E,4,0)),(AV1915*O1915)*(1-$H1915/100),""),"")</f>
        <v/>
      </c>
      <c r="AZ1915" s="116"/>
      <c r="BA1915" s="116"/>
      <c r="BB1915" s="116"/>
      <c r="BE1915" s="62"/>
      <c r="BF1915" s="63"/>
    </row>
    <row r="1916" spans="1:58" ht="12.75" customHeight="1" x14ac:dyDescent="0.25">
      <c r="A1916" s="334"/>
      <c r="B1916" s="334"/>
      <c r="C1916" s="332"/>
      <c r="D1916" s="334"/>
      <c r="E1916" s="335"/>
      <c r="F1916" s="334"/>
      <c r="G1916" s="332"/>
      <c r="H1916" s="332"/>
      <c r="I1916" s="334"/>
      <c r="J1916" s="336"/>
      <c r="K1916" s="332"/>
      <c r="L1916" s="332"/>
      <c r="M1916" s="76"/>
      <c r="N1916" s="103" t="str">
        <f>IF(A1916="","",VLOOKUP(A1916,Stand!C:K,9,0))</f>
        <v/>
      </c>
      <c r="O1916" s="104" t="str">
        <f t="shared" si="821"/>
        <v/>
      </c>
      <c r="P1916" s="105" t="str">
        <f t="shared" si="822"/>
        <v/>
      </c>
      <c r="Q1916" s="105" t="str">
        <f t="shared" si="837"/>
        <v/>
      </c>
      <c r="R1916" s="103" t="str">
        <f t="shared" si="823"/>
        <v/>
      </c>
      <c r="S1916" s="103" t="str">
        <f t="shared" si="824"/>
        <v/>
      </c>
      <c r="T1916" s="106" t="str">
        <f t="shared" si="838"/>
        <v/>
      </c>
      <c r="U1916" s="106" t="str">
        <f t="shared" si="839"/>
        <v/>
      </c>
      <c r="V1916" s="106" t="str">
        <f t="shared" si="840"/>
        <v/>
      </c>
      <c r="W1916" s="105" t="str">
        <f t="shared" si="825"/>
        <v/>
      </c>
      <c r="X1916" s="104" t="str">
        <f t="shared" si="830"/>
        <v/>
      </c>
      <c r="Y1916" s="104" t="str">
        <f t="array" ref="Y1916">IFERROR(IF(ISNUMBER(O1916),IF(COUNT(IF(A1916=$A$2:$A$2427,IF(D1916=$D$2:$D$2427,IF($X$2:$X$2427&gt;0,1))))&gt;0,SUM(IF(A1916=$A$2:$A$2427,IF(D1916=$D$2:$D$2427,$X$2:$X$2427)))/COUNT(IF(A1916=$A$2:$A$2427,IF(D1916=$D$2:$D$2427,IF(ISNUMBER($X$2:$X$2427),1)))),0),""),0)</f>
        <v/>
      </c>
      <c r="Z1916" s="104" t="str">
        <f>IF(ISNUMBER(O1916),IF(I1916&gt;0,(10^(VLOOKUP(D1916,'Species Codes'!B:C,2,0)+VLOOKUP(D1916,'Species Codes'!B:D,3,0)*LOG(E1916)+VLOOKUP(D1916,'Species Codes'!B:E,4,0)*LOG(I1916))),0),"")</f>
        <v/>
      </c>
      <c r="AA1916" s="104" t="str">
        <f>IFERROR((VLOOKUP(D1916,'Species Codes'!B:G,6,0)*Z1916)/2000,"")</f>
        <v/>
      </c>
      <c r="AB1916" s="104" t="e">
        <f>IF(Z1916&gt;0,((IF(OR(D1916="DF",D1916="RA")=TRUE,EXP(VLOOKUP(D1916,'Species Codes'!B:I,8,0)+VLOOKUP(D1916,'Species Codes'!B:J,9,0)*(LN((E1916*2.54)))),IF(OR(D1916="PY",D1916="RC",D1916="WH",D1916="NF")=TRUE,VLOOKUP(D1916,'Species Codes'!B:I,8,0)+VLOOKUP(D1916,'Species Codes'!B:J,9,0)*((E1916*2.54)^2)*(I1916*0.3048),IF(OR(D1916="MD",D1916="BM",D1916="GA")=TRUE,((VLOOKUP(D1916,'Species Codes'!B:I,8,0)*(((((E1916*2.54)+VLOOKUP(D1916,'Species Codes'!B:J,9,0))/VLOOKUP(D1916,'Species Codes'!B:K,10,0))^VLOOKUP(D1916,'Species Codes'!B:L,11,0))*((I1916*0.3048)^VLOOKUP(D1916,'Species Codes'!B:M,12,0))))-(VLOOKUP(D1916,'Species Codes'!B:I,8,0)*((((E1916*2.54)^VLOOKUP(D1916,'Species Codes'!B:L,11,0))*((I1916*0.3048)^VLOOKUP(D1916,'Species Codes'!B:M,12,0))))))*35.3*VLOOKUP(D1916,'Species Codes'!B:G,6,0)/2.2046,VLOOKUP(D1916,'Species Codes'!B:I,8,0)+VLOOKUP(D1916,'Species Codes'!B:J,9,0)*(((E1916*2.54)/100)^2)*(I1916*0.3048)))))*0.0011023),0)</f>
        <v>#N/A</v>
      </c>
      <c r="AC1916" s="104" t="e">
        <f>IF(Z1916&gt;0,((IF(OR(D1916="RA",D1916="OA",D1916="OT",D1916="UN",D1916="PC"),EXP(VLOOKUP(D1916,'Species Codes'!B:O,14,0)+VLOOKUP(D1916,'Species Codes'!B:P,15,0)*LN((E1916*2.54)))-EXP(VLOOKUP(D1916,'Species Codes'!B:O,14,0)+VLOOKUP(D1916,'Species Codes'!B:P,15,0)*LN((E1916*2.54)))*(1/(VLOOKUP(D1916,'Species Codes'!B:Q,16,0)+VLOOKUP(D1916,'Species Codes'!B:R,17,0)*((E1916*2.54)^VLOOKUP(D1916,'Species Codes'!B:S,18,0)))),IF(OR(D1916="BM",D1916="MD",D1916="OA"),EXP(VLOOKUP(D1916,'Species Codes'!B:O,14,0)+VLOOKUP(D1916,'Species Codes'!B:P,15,0)*LN((E1916*2.54)))*(1-(1/(VLOOKUP(D1916,'Species Codes'!B:Q,16,0)+VLOOKUP(D1916,'Species Codes'!B:R,17,0)*((E1916*2.54)^VLOOKUP(D1916,'Species Codes'!B:S,18,0)))))/1000,IF(D1916="DF",EXP(VLOOKUP(D1916,'Species Codes'!B:O,14,0)+VLOOKUP(D1916,'Species Codes'!B:P,15,0)*LN((E1916*2.54))),VLOOKUP(D1916,'Species Codes'!B:O,14,0)+VLOOKUP(D1916,'Species Codes'!B:P,15,0)*(((E1916*2.54)/100)^2)*(I1916*0.3048)))))*0.0011023),0)</f>
        <v>#N/A</v>
      </c>
      <c r="AD1916" s="104" t="e">
        <f t="shared" si="841"/>
        <v>#N/A</v>
      </c>
      <c r="AE1916" s="104" t="e">
        <f t="shared" si="842"/>
        <v>#N/A</v>
      </c>
      <c r="AF1916" s="104" t="e">
        <f>IF(AND(VLOOKUP($D1916,Merchantability!$B:$C,2,0)="Yes",$E1916&gt;=VLOOKUP($D1916,Merchantability!$B:$D,3,0),$E1916&lt;=VLOOKUP($D1916,Merchantability!$B:$E,4,0)),AA1916,0)</f>
        <v>#N/A</v>
      </c>
      <c r="AG1916" s="104" t="e">
        <f>IF(AND(VLOOKUP($D1916,Merchantability!$B:$C,2,0)="Yes",$E1916&gt;=VLOOKUP($D1916,Merchantability!$B:$D,3,0),$E1916&lt;=VLOOKUP($D1916,Merchantability!$B:$E,4,0)),AB1916,0)</f>
        <v>#N/A</v>
      </c>
      <c r="AH1916" s="104" t="e">
        <f>IF(AND(VLOOKUP($D1916,Merchantability!$B:$C,2,0)="Yes",$E1916&gt;=VLOOKUP($D1916,Merchantability!$B:$D,3,0),$E1916&lt;=VLOOKUP($D1916,Merchantability!$B:$E,4,0)),AC1916,0)</f>
        <v>#N/A</v>
      </c>
      <c r="AI1916" s="104" t="e">
        <f t="shared" si="843"/>
        <v>#N/A</v>
      </c>
      <c r="AJ1916" s="104" t="e">
        <f t="shared" si="844"/>
        <v>#VALUE!</v>
      </c>
      <c r="AK1916" s="104" t="e">
        <f t="shared" si="845"/>
        <v>#N/A</v>
      </c>
      <c r="AL1916" s="104" t="e">
        <f t="shared" si="846"/>
        <v>#N/A</v>
      </c>
      <c r="AM1916" s="104" t="e">
        <f t="shared" si="847"/>
        <v>#N/A</v>
      </c>
      <c r="AN1916" s="104" t="e">
        <f t="shared" si="831"/>
        <v>#N/A</v>
      </c>
      <c r="AO1916" s="104" t="e">
        <f t="shared" si="832"/>
        <v>#N/A</v>
      </c>
      <c r="AP1916" s="104" t="e">
        <f t="shared" si="833"/>
        <v>#N/A</v>
      </c>
      <c r="AQ1916" s="104" t="e">
        <f t="shared" si="834"/>
        <v>#N/A</v>
      </c>
      <c r="AR1916" s="105" t="str">
        <f t="shared" si="826"/>
        <v/>
      </c>
      <c r="AS1916" s="105" t="str">
        <f t="shared" si="827"/>
        <v/>
      </c>
      <c r="AT1916" s="108" t="str">
        <f t="shared" si="828"/>
        <v/>
      </c>
      <c r="AU1916" s="108" t="str">
        <f t="shared" si="829"/>
        <v/>
      </c>
      <c r="AV1916" s="107" t="str">
        <f>IF(ISNUMBER(O1916),IF(VLOOKUP($A1916,Stand!C:J,8,FALSE)="Short",AT1916,AU1916),"")</f>
        <v/>
      </c>
      <c r="AW1916" s="109" t="str">
        <f t="shared" si="835"/>
        <v/>
      </c>
      <c r="AX1916" s="109" t="str">
        <f t="shared" si="836"/>
        <v/>
      </c>
      <c r="AY1916" s="112" t="str">
        <f>IF(ISNUMBER(O1916),IF(AND(VLOOKUP($D1916,Merchantability!$B:$C,2,0)="Yes",$E1916&gt;=VLOOKUP($D1916,Merchantability!$B:$D,3,0),$E1916&lt;=VLOOKUP($D1916,Merchantability!$B:$E,4,0)),(AV1916*O1916)*(1-$H1916/100),""),"")</f>
        <v/>
      </c>
      <c r="AZ1916" s="116"/>
      <c r="BA1916" s="116"/>
      <c r="BB1916" s="116"/>
      <c r="BE1916" s="62"/>
      <c r="BF1916" s="63"/>
    </row>
    <row r="1917" spans="1:58" ht="12.75" customHeight="1" x14ac:dyDescent="0.25">
      <c r="A1917" s="334"/>
      <c r="B1917" s="334"/>
      <c r="C1917" s="332"/>
      <c r="D1917" s="334"/>
      <c r="E1917" s="335"/>
      <c r="F1917" s="334"/>
      <c r="G1917" s="332"/>
      <c r="H1917" s="332"/>
      <c r="I1917" s="334"/>
      <c r="J1917" s="336"/>
      <c r="K1917" s="332"/>
      <c r="L1917" s="332"/>
      <c r="M1917" s="76"/>
      <c r="N1917" s="103" t="str">
        <f>IF(A1917="","",VLOOKUP(A1917,Stand!C:K,9,0))</f>
        <v/>
      </c>
      <c r="O1917" s="104" t="str">
        <f t="shared" si="821"/>
        <v/>
      </c>
      <c r="P1917" s="105" t="str">
        <f t="shared" si="822"/>
        <v/>
      </c>
      <c r="Q1917" s="105" t="str">
        <f t="shared" si="837"/>
        <v/>
      </c>
      <c r="R1917" s="103" t="str">
        <f t="shared" si="823"/>
        <v/>
      </c>
      <c r="S1917" s="103" t="str">
        <f t="shared" si="824"/>
        <v/>
      </c>
      <c r="T1917" s="106" t="str">
        <f t="shared" si="838"/>
        <v/>
      </c>
      <c r="U1917" s="106" t="str">
        <f t="shared" si="839"/>
        <v/>
      </c>
      <c r="V1917" s="106" t="str">
        <f t="shared" si="840"/>
        <v/>
      </c>
      <c r="W1917" s="105" t="str">
        <f t="shared" si="825"/>
        <v/>
      </c>
      <c r="X1917" s="104" t="str">
        <f t="shared" si="830"/>
        <v/>
      </c>
      <c r="Y1917" s="104" t="str">
        <f t="array" ref="Y1917">IFERROR(IF(ISNUMBER(O1917),IF(COUNT(IF(A1917=$A$2:$A$2427,IF(D1917=$D$2:$D$2427,IF($X$2:$X$2427&gt;0,1))))&gt;0,SUM(IF(A1917=$A$2:$A$2427,IF(D1917=$D$2:$D$2427,$X$2:$X$2427)))/COUNT(IF(A1917=$A$2:$A$2427,IF(D1917=$D$2:$D$2427,IF(ISNUMBER($X$2:$X$2427),1)))),0),""),0)</f>
        <v/>
      </c>
      <c r="Z1917" s="104" t="str">
        <f>IF(ISNUMBER(O1917),IF(I1917&gt;0,(10^(VLOOKUP(D1917,'Species Codes'!B:C,2,0)+VLOOKUP(D1917,'Species Codes'!B:D,3,0)*LOG(E1917)+VLOOKUP(D1917,'Species Codes'!B:E,4,0)*LOG(I1917))),0),"")</f>
        <v/>
      </c>
      <c r="AA1917" s="104" t="str">
        <f>IFERROR((VLOOKUP(D1917,'Species Codes'!B:G,6,0)*Z1917)/2000,"")</f>
        <v/>
      </c>
      <c r="AB1917" s="104" t="e">
        <f>IF(Z1917&gt;0,((IF(OR(D1917="DF",D1917="RA")=TRUE,EXP(VLOOKUP(D1917,'Species Codes'!B:I,8,0)+VLOOKUP(D1917,'Species Codes'!B:J,9,0)*(LN((E1917*2.54)))),IF(OR(D1917="PY",D1917="RC",D1917="WH",D1917="NF")=TRUE,VLOOKUP(D1917,'Species Codes'!B:I,8,0)+VLOOKUP(D1917,'Species Codes'!B:J,9,0)*((E1917*2.54)^2)*(I1917*0.3048),IF(OR(D1917="MD",D1917="BM",D1917="GA")=TRUE,((VLOOKUP(D1917,'Species Codes'!B:I,8,0)*(((((E1917*2.54)+VLOOKUP(D1917,'Species Codes'!B:J,9,0))/VLOOKUP(D1917,'Species Codes'!B:K,10,0))^VLOOKUP(D1917,'Species Codes'!B:L,11,0))*((I1917*0.3048)^VLOOKUP(D1917,'Species Codes'!B:M,12,0))))-(VLOOKUP(D1917,'Species Codes'!B:I,8,0)*((((E1917*2.54)^VLOOKUP(D1917,'Species Codes'!B:L,11,0))*((I1917*0.3048)^VLOOKUP(D1917,'Species Codes'!B:M,12,0))))))*35.3*VLOOKUP(D1917,'Species Codes'!B:G,6,0)/2.2046,VLOOKUP(D1917,'Species Codes'!B:I,8,0)+VLOOKUP(D1917,'Species Codes'!B:J,9,0)*(((E1917*2.54)/100)^2)*(I1917*0.3048)))))*0.0011023),0)</f>
        <v>#N/A</v>
      </c>
      <c r="AC1917" s="104" t="e">
        <f>IF(Z1917&gt;0,((IF(OR(D1917="RA",D1917="OA",D1917="OT",D1917="UN",D1917="PC"),EXP(VLOOKUP(D1917,'Species Codes'!B:O,14,0)+VLOOKUP(D1917,'Species Codes'!B:P,15,0)*LN((E1917*2.54)))-EXP(VLOOKUP(D1917,'Species Codes'!B:O,14,0)+VLOOKUP(D1917,'Species Codes'!B:P,15,0)*LN((E1917*2.54)))*(1/(VLOOKUP(D1917,'Species Codes'!B:Q,16,0)+VLOOKUP(D1917,'Species Codes'!B:R,17,0)*((E1917*2.54)^VLOOKUP(D1917,'Species Codes'!B:S,18,0)))),IF(OR(D1917="BM",D1917="MD",D1917="OA"),EXP(VLOOKUP(D1917,'Species Codes'!B:O,14,0)+VLOOKUP(D1917,'Species Codes'!B:P,15,0)*LN((E1917*2.54)))*(1-(1/(VLOOKUP(D1917,'Species Codes'!B:Q,16,0)+VLOOKUP(D1917,'Species Codes'!B:R,17,0)*((E1917*2.54)^VLOOKUP(D1917,'Species Codes'!B:S,18,0)))))/1000,IF(D1917="DF",EXP(VLOOKUP(D1917,'Species Codes'!B:O,14,0)+VLOOKUP(D1917,'Species Codes'!B:P,15,0)*LN((E1917*2.54))),VLOOKUP(D1917,'Species Codes'!B:O,14,0)+VLOOKUP(D1917,'Species Codes'!B:P,15,0)*(((E1917*2.54)/100)^2)*(I1917*0.3048)))))*0.0011023),0)</f>
        <v>#N/A</v>
      </c>
      <c r="AD1917" s="104" t="e">
        <f t="shared" si="841"/>
        <v>#N/A</v>
      </c>
      <c r="AE1917" s="104" t="e">
        <f t="shared" si="842"/>
        <v>#N/A</v>
      </c>
      <c r="AF1917" s="104" t="e">
        <f>IF(AND(VLOOKUP($D1917,Merchantability!$B:$C,2,0)="Yes",$E1917&gt;=VLOOKUP($D1917,Merchantability!$B:$D,3,0),$E1917&lt;=VLOOKUP($D1917,Merchantability!$B:$E,4,0)),AA1917,0)</f>
        <v>#N/A</v>
      </c>
      <c r="AG1917" s="104" t="e">
        <f>IF(AND(VLOOKUP($D1917,Merchantability!$B:$C,2,0)="Yes",$E1917&gt;=VLOOKUP($D1917,Merchantability!$B:$D,3,0),$E1917&lt;=VLOOKUP($D1917,Merchantability!$B:$E,4,0)),AB1917,0)</f>
        <v>#N/A</v>
      </c>
      <c r="AH1917" s="104" t="e">
        <f>IF(AND(VLOOKUP($D1917,Merchantability!$B:$C,2,0)="Yes",$E1917&gt;=VLOOKUP($D1917,Merchantability!$B:$D,3,0),$E1917&lt;=VLOOKUP($D1917,Merchantability!$B:$E,4,0)),AC1917,0)</f>
        <v>#N/A</v>
      </c>
      <c r="AI1917" s="104" t="e">
        <f t="shared" si="843"/>
        <v>#N/A</v>
      </c>
      <c r="AJ1917" s="104" t="e">
        <f t="shared" si="844"/>
        <v>#VALUE!</v>
      </c>
      <c r="AK1917" s="104" t="e">
        <f t="shared" si="845"/>
        <v>#N/A</v>
      </c>
      <c r="AL1917" s="104" t="e">
        <f t="shared" si="846"/>
        <v>#N/A</v>
      </c>
      <c r="AM1917" s="104" t="e">
        <f t="shared" si="847"/>
        <v>#N/A</v>
      </c>
      <c r="AN1917" s="104" t="e">
        <f t="shared" si="831"/>
        <v>#N/A</v>
      </c>
      <c r="AO1917" s="104" t="e">
        <f t="shared" si="832"/>
        <v>#N/A</v>
      </c>
      <c r="AP1917" s="104" t="e">
        <f t="shared" si="833"/>
        <v>#N/A</v>
      </c>
      <c r="AQ1917" s="104" t="e">
        <f t="shared" si="834"/>
        <v>#N/A</v>
      </c>
      <c r="AR1917" s="105" t="str">
        <f t="shared" si="826"/>
        <v/>
      </c>
      <c r="AS1917" s="105" t="str">
        <f t="shared" si="827"/>
        <v/>
      </c>
      <c r="AT1917" s="108" t="str">
        <f t="shared" si="828"/>
        <v/>
      </c>
      <c r="AU1917" s="108" t="str">
        <f t="shared" si="829"/>
        <v/>
      </c>
      <c r="AV1917" s="107" t="str">
        <f>IF(ISNUMBER(O1917),IF(VLOOKUP($A1917,Stand!C:J,8,FALSE)="Short",AT1917,AU1917),"")</f>
        <v/>
      </c>
      <c r="AW1917" s="109" t="str">
        <f t="shared" si="835"/>
        <v/>
      </c>
      <c r="AX1917" s="109" t="str">
        <f t="shared" si="836"/>
        <v/>
      </c>
      <c r="AY1917" s="112" t="str">
        <f>IF(ISNUMBER(O1917),IF(AND(VLOOKUP($D1917,Merchantability!$B:$C,2,0)="Yes",$E1917&gt;=VLOOKUP($D1917,Merchantability!$B:$D,3,0),$E1917&lt;=VLOOKUP($D1917,Merchantability!$B:$E,4,0)),(AV1917*O1917)*(1-$H1917/100),""),"")</f>
        <v/>
      </c>
      <c r="AZ1917" s="116"/>
      <c r="BA1917" s="116"/>
      <c r="BB1917" s="116"/>
      <c r="BE1917" s="62"/>
      <c r="BF1917" s="63"/>
    </row>
    <row r="1918" spans="1:58" ht="12.75" customHeight="1" x14ac:dyDescent="0.25">
      <c r="A1918" s="334"/>
      <c r="B1918" s="334"/>
      <c r="C1918" s="332"/>
      <c r="D1918" s="334"/>
      <c r="E1918" s="335"/>
      <c r="F1918" s="334"/>
      <c r="G1918" s="332"/>
      <c r="H1918" s="332"/>
      <c r="I1918" s="334"/>
      <c r="J1918" s="336"/>
      <c r="K1918" s="332"/>
      <c r="L1918" s="332"/>
      <c r="M1918" s="76"/>
      <c r="N1918" s="103" t="str">
        <f>IF(A1918="","",VLOOKUP(A1918,Stand!C:K,9,0))</f>
        <v/>
      </c>
      <c r="O1918" s="104" t="str">
        <f t="shared" si="821"/>
        <v/>
      </c>
      <c r="P1918" s="105" t="str">
        <f t="shared" si="822"/>
        <v/>
      </c>
      <c r="Q1918" s="105" t="str">
        <f t="shared" si="837"/>
        <v/>
      </c>
      <c r="R1918" s="103" t="str">
        <f t="shared" si="823"/>
        <v/>
      </c>
      <c r="S1918" s="103" t="str">
        <f t="shared" si="824"/>
        <v/>
      </c>
      <c r="T1918" s="106" t="str">
        <f t="shared" si="838"/>
        <v/>
      </c>
      <c r="U1918" s="106" t="str">
        <f t="shared" si="839"/>
        <v/>
      </c>
      <c r="V1918" s="106" t="str">
        <f t="shared" si="840"/>
        <v/>
      </c>
      <c r="W1918" s="105" t="str">
        <f t="shared" si="825"/>
        <v/>
      </c>
      <c r="X1918" s="104" t="str">
        <f t="shared" si="830"/>
        <v/>
      </c>
      <c r="Y1918" s="104" t="str">
        <f t="array" ref="Y1918">IFERROR(IF(ISNUMBER(O1918),IF(COUNT(IF(A1918=$A$2:$A$2427,IF(D1918=$D$2:$D$2427,IF($X$2:$X$2427&gt;0,1))))&gt;0,SUM(IF(A1918=$A$2:$A$2427,IF(D1918=$D$2:$D$2427,$X$2:$X$2427)))/COUNT(IF(A1918=$A$2:$A$2427,IF(D1918=$D$2:$D$2427,IF(ISNUMBER($X$2:$X$2427),1)))),0),""),0)</f>
        <v/>
      </c>
      <c r="Z1918" s="104" t="str">
        <f>IF(ISNUMBER(O1918),IF(I1918&gt;0,(10^(VLOOKUP(D1918,'Species Codes'!B:C,2,0)+VLOOKUP(D1918,'Species Codes'!B:D,3,0)*LOG(E1918)+VLOOKUP(D1918,'Species Codes'!B:E,4,0)*LOG(I1918))),0),"")</f>
        <v/>
      </c>
      <c r="AA1918" s="104" t="str">
        <f>IFERROR((VLOOKUP(D1918,'Species Codes'!B:G,6,0)*Z1918)/2000,"")</f>
        <v/>
      </c>
      <c r="AB1918" s="104" t="e">
        <f>IF(Z1918&gt;0,((IF(OR(D1918="DF",D1918="RA")=TRUE,EXP(VLOOKUP(D1918,'Species Codes'!B:I,8,0)+VLOOKUP(D1918,'Species Codes'!B:J,9,0)*(LN((E1918*2.54)))),IF(OR(D1918="PY",D1918="RC",D1918="WH",D1918="NF")=TRUE,VLOOKUP(D1918,'Species Codes'!B:I,8,0)+VLOOKUP(D1918,'Species Codes'!B:J,9,0)*((E1918*2.54)^2)*(I1918*0.3048),IF(OR(D1918="MD",D1918="BM",D1918="GA")=TRUE,((VLOOKUP(D1918,'Species Codes'!B:I,8,0)*(((((E1918*2.54)+VLOOKUP(D1918,'Species Codes'!B:J,9,0))/VLOOKUP(D1918,'Species Codes'!B:K,10,0))^VLOOKUP(D1918,'Species Codes'!B:L,11,0))*((I1918*0.3048)^VLOOKUP(D1918,'Species Codes'!B:M,12,0))))-(VLOOKUP(D1918,'Species Codes'!B:I,8,0)*((((E1918*2.54)^VLOOKUP(D1918,'Species Codes'!B:L,11,0))*((I1918*0.3048)^VLOOKUP(D1918,'Species Codes'!B:M,12,0))))))*35.3*VLOOKUP(D1918,'Species Codes'!B:G,6,0)/2.2046,VLOOKUP(D1918,'Species Codes'!B:I,8,0)+VLOOKUP(D1918,'Species Codes'!B:J,9,0)*(((E1918*2.54)/100)^2)*(I1918*0.3048)))))*0.0011023),0)</f>
        <v>#N/A</v>
      </c>
      <c r="AC1918" s="104" t="e">
        <f>IF(Z1918&gt;0,((IF(OR(D1918="RA",D1918="OA",D1918="OT",D1918="UN",D1918="PC"),EXP(VLOOKUP(D1918,'Species Codes'!B:O,14,0)+VLOOKUP(D1918,'Species Codes'!B:P,15,0)*LN((E1918*2.54)))-EXP(VLOOKUP(D1918,'Species Codes'!B:O,14,0)+VLOOKUP(D1918,'Species Codes'!B:P,15,0)*LN((E1918*2.54)))*(1/(VLOOKUP(D1918,'Species Codes'!B:Q,16,0)+VLOOKUP(D1918,'Species Codes'!B:R,17,0)*((E1918*2.54)^VLOOKUP(D1918,'Species Codes'!B:S,18,0)))),IF(OR(D1918="BM",D1918="MD",D1918="OA"),EXP(VLOOKUP(D1918,'Species Codes'!B:O,14,0)+VLOOKUP(D1918,'Species Codes'!B:P,15,0)*LN((E1918*2.54)))*(1-(1/(VLOOKUP(D1918,'Species Codes'!B:Q,16,0)+VLOOKUP(D1918,'Species Codes'!B:R,17,0)*((E1918*2.54)^VLOOKUP(D1918,'Species Codes'!B:S,18,0)))))/1000,IF(D1918="DF",EXP(VLOOKUP(D1918,'Species Codes'!B:O,14,0)+VLOOKUP(D1918,'Species Codes'!B:P,15,0)*LN((E1918*2.54))),VLOOKUP(D1918,'Species Codes'!B:O,14,0)+VLOOKUP(D1918,'Species Codes'!B:P,15,0)*(((E1918*2.54)/100)^2)*(I1918*0.3048)))))*0.0011023),0)</f>
        <v>#N/A</v>
      </c>
      <c r="AD1918" s="104" t="e">
        <f t="shared" si="841"/>
        <v>#N/A</v>
      </c>
      <c r="AE1918" s="104" t="e">
        <f t="shared" si="842"/>
        <v>#N/A</v>
      </c>
      <c r="AF1918" s="104" t="e">
        <f>IF(AND(VLOOKUP($D1918,Merchantability!$B:$C,2,0)="Yes",$E1918&gt;=VLOOKUP($D1918,Merchantability!$B:$D,3,0),$E1918&lt;=VLOOKUP($D1918,Merchantability!$B:$E,4,0)),AA1918,0)</f>
        <v>#N/A</v>
      </c>
      <c r="AG1918" s="104" t="e">
        <f>IF(AND(VLOOKUP($D1918,Merchantability!$B:$C,2,0)="Yes",$E1918&gt;=VLOOKUP($D1918,Merchantability!$B:$D,3,0),$E1918&lt;=VLOOKUP($D1918,Merchantability!$B:$E,4,0)),AB1918,0)</f>
        <v>#N/A</v>
      </c>
      <c r="AH1918" s="104" t="e">
        <f>IF(AND(VLOOKUP($D1918,Merchantability!$B:$C,2,0)="Yes",$E1918&gt;=VLOOKUP($D1918,Merchantability!$B:$D,3,0),$E1918&lt;=VLOOKUP($D1918,Merchantability!$B:$E,4,0)),AC1918,0)</f>
        <v>#N/A</v>
      </c>
      <c r="AI1918" s="104" t="e">
        <f t="shared" si="843"/>
        <v>#N/A</v>
      </c>
      <c r="AJ1918" s="104" t="e">
        <f t="shared" si="844"/>
        <v>#VALUE!</v>
      </c>
      <c r="AK1918" s="104" t="e">
        <f t="shared" si="845"/>
        <v>#N/A</v>
      </c>
      <c r="AL1918" s="104" t="e">
        <f t="shared" si="846"/>
        <v>#N/A</v>
      </c>
      <c r="AM1918" s="104" t="e">
        <f t="shared" si="847"/>
        <v>#N/A</v>
      </c>
      <c r="AN1918" s="104" t="e">
        <f t="shared" si="831"/>
        <v>#N/A</v>
      </c>
      <c r="AO1918" s="104" t="e">
        <f t="shared" si="832"/>
        <v>#N/A</v>
      </c>
      <c r="AP1918" s="104" t="e">
        <f t="shared" si="833"/>
        <v>#N/A</v>
      </c>
      <c r="AQ1918" s="104" t="e">
        <f t="shared" si="834"/>
        <v>#N/A</v>
      </c>
      <c r="AR1918" s="105" t="str">
        <f t="shared" si="826"/>
        <v/>
      </c>
      <c r="AS1918" s="105" t="str">
        <f t="shared" si="827"/>
        <v/>
      </c>
      <c r="AT1918" s="108" t="str">
        <f t="shared" si="828"/>
        <v/>
      </c>
      <c r="AU1918" s="108" t="str">
        <f t="shared" si="829"/>
        <v/>
      </c>
      <c r="AV1918" s="107" t="str">
        <f>IF(ISNUMBER(O1918),IF(VLOOKUP($A1918,Stand!C:J,8,FALSE)="Short",AT1918,AU1918),"")</f>
        <v/>
      </c>
      <c r="AW1918" s="109" t="str">
        <f t="shared" si="835"/>
        <v/>
      </c>
      <c r="AX1918" s="109" t="str">
        <f t="shared" si="836"/>
        <v/>
      </c>
      <c r="AY1918" s="112" t="str">
        <f>IF(ISNUMBER(O1918),IF(AND(VLOOKUP($D1918,Merchantability!$B:$C,2,0)="Yes",$E1918&gt;=VLOOKUP($D1918,Merchantability!$B:$D,3,0),$E1918&lt;=VLOOKUP($D1918,Merchantability!$B:$E,4,0)),(AV1918*O1918)*(1-$H1918/100),""),"")</f>
        <v/>
      </c>
      <c r="AZ1918" s="116"/>
      <c r="BA1918" s="116"/>
      <c r="BB1918" s="116"/>
      <c r="BE1918" s="62"/>
      <c r="BF1918" s="63"/>
    </row>
    <row r="1919" spans="1:58" ht="12.75" customHeight="1" x14ac:dyDescent="0.25">
      <c r="A1919" s="334"/>
      <c r="B1919" s="334"/>
      <c r="C1919" s="332"/>
      <c r="D1919" s="334"/>
      <c r="E1919" s="335"/>
      <c r="F1919" s="334"/>
      <c r="G1919" s="332"/>
      <c r="H1919" s="332"/>
      <c r="I1919" s="334"/>
      <c r="J1919" s="336"/>
      <c r="K1919" s="332"/>
      <c r="L1919" s="332"/>
      <c r="M1919" s="76"/>
      <c r="N1919" s="103" t="str">
        <f>IF(A1919="","",VLOOKUP(A1919,Stand!C:K,9,0))</f>
        <v/>
      </c>
      <c r="O1919" s="104" t="str">
        <f t="shared" si="821"/>
        <v/>
      </c>
      <c r="P1919" s="105" t="str">
        <f t="shared" si="822"/>
        <v/>
      </c>
      <c r="Q1919" s="105" t="str">
        <f t="shared" si="837"/>
        <v/>
      </c>
      <c r="R1919" s="103" t="str">
        <f t="shared" si="823"/>
        <v/>
      </c>
      <c r="S1919" s="103" t="str">
        <f t="shared" si="824"/>
        <v/>
      </c>
      <c r="T1919" s="106" t="str">
        <f t="shared" si="838"/>
        <v/>
      </c>
      <c r="U1919" s="106" t="str">
        <f t="shared" si="839"/>
        <v/>
      </c>
      <c r="V1919" s="106" t="str">
        <f t="shared" si="840"/>
        <v/>
      </c>
      <c r="W1919" s="105" t="str">
        <f t="shared" si="825"/>
        <v/>
      </c>
      <c r="X1919" s="104" t="str">
        <f t="shared" si="830"/>
        <v/>
      </c>
      <c r="Y1919" s="104" t="str">
        <f t="array" ref="Y1919">IFERROR(IF(ISNUMBER(O1919),IF(COUNT(IF(A1919=$A$2:$A$2427,IF(D1919=$D$2:$D$2427,IF($X$2:$X$2427&gt;0,1))))&gt;0,SUM(IF(A1919=$A$2:$A$2427,IF(D1919=$D$2:$D$2427,$X$2:$X$2427)))/COUNT(IF(A1919=$A$2:$A$2427,IF(D1919=$D$2:$D$2427,IF(ISNUMBER($X$2:$X$2427),1)))),0),""),0)</f>
        <v/>
      </c>
      <c r="Z1919" s="104" t="str">
        <f>IF(ISNUMBER(O1919),IF(I1919&gt;0,(10^(VLOOKUP(D1919,'Species Codes'!B:C,2,0)+VLOOKUP(D1919,'Species Codes'!B:D,3,0)*LOG(E1919)+VLOOKUP(D1919,'Species Codes'!B:E,4,0)*LOG(I1919))),0),"")</f>
        <v/>
      </c>
      <c r="AA1919" s="104" t="str">
        <f>IFERROR((VLOOKUP(D1919,'Species Codes'!B:G,6,0)*Z1919)/2000,"")</f>
        <v/>
      </c>
      <c r="AB1919" s="104" t="e">
        <f>IF(Z1919&gt;0,((IF(OR(D1919="DF",D1919="RA")=TRUE,EXP(VLOOKUP(D1919,'Species Codes'!B:I,8,0)+VLOOKUP(D1919,'Species Codes'!B:J,9,0)*(LN((E1919*2.54)))),IF(OR(D1919="PY",D1919="RC",D1919="WH",D1919="NF")=TRUE,VLOOKUP(D1919,'Species Codes'!B:I,8,0)+VLOOKUP(D1919,'Species Codes'!B:J,9,0)*((E1919*2.54)^2)*(I1919*0.3048),IF(OR(D1919="MD",D1919="BM",D1919="GA")=TRUE,((VLOOKUP(D1919,'Species Codes'!B:I,8,0)*(((((E1919*2.54)+VLOOKUP(D1919,'Species Codes'!B:J,9,0))/VLOOKUP(D1919,'Species Codes'!B:K,10,0))^VLOOKUP(D1919,'Species Codes'!B:L,11,0))*((I1919*0.3048)^VLOOKUP(D1919,'Species Codes'!B:M,12,0))))-(VLOOKUP(D1919,'Species Codes'!B:I,8,0)*((((E1919*2.54)^VLOOKUP(D1919,'Species Codes'!B:L,11,0))*((I1919*0.3048)^VLOOKUP(D1919,'Species Codes'!B:M,12,0))))))*35.3*VLOOKUP(D1919,'Species Codes'!B:G,6,0)/2.2046,VLOOKUP(D1919,'Species Codes'!B:I,8,0)+VLOOKUP(D1919,'Species Codes'!B:J,9,0)*(((E1919*2.54)/100)^2)*(I1919*0.3048)))))*0.0011023),0)</f>
        <v>#N/A</v>
      </c>
      <c r="AC1919" s="104" t="e">
        <f>IF(Z1919&gt;0,((IF(OR(D1919="RA",D1919="OA",D1919="OT",D1919="UN",D1919="PC"),EXP(VLOOKUP(D1919,'Species Codes'!B:O,14,0)+VLOOKUP(D1919,'Species Codes'!B:P,15,0)*LN((E1919*2.54)))-EXP(VLOOKUP(D1919,'Species Codes'!B:O,14,0)+VLOOKUP(D1919,'Species Codes'!B:P,15,0)*LN((E1919*2.54)))*(1/(VLOOKUP(D1919,'Species Codes'!B:Q,16,0)+VLOOKUP(D1919,'Species Codes'!B:R,17,0)*((E1919*2.54)^VLOOKUP(D1919,'Species Codes'!B:S,18,0)))),IF(OR(D1919="BM",D1919="MD",D1919="OA"),EXP(VLOOKUP(D1919,'Species Codes'!B:O,14,0)+VLOOKUP(D1919,'Species Codes'!B:P,15,0)*LN((E1919*2.54)))*(1-(1/(VLOOKUP(D1919,'Species Codes'!B:Q,16,0)+VLOOKUP(D1919,'Species Codes'!B:R,17,0)*((E1919*2.54)^VLOOKUP(D1919,'Species Codes'!B:S,18,0)))))/1000,IF(D1919="DF",EXP(VLOOKUP(D1919,'Species Codes'!B:O,14,0)+VLOOKUP(D1919,'Species Codes'!B:P,15,0)*LN((E1919*2.54))),VLOOKUP(D1919,'Species Codes'!B:O,14,0)+VLOOKUP(D1919,'Species Codes'!B:P,15,0)*(((E1919*2.54)/100)^2)*(I1919*0.3048)))))*0.0011023),0)</f>
        <v>#N/A</v>
      </c>
      <c r="AD1919" s="104" t="e">
        <f t="shared" si="841"/>
        <v>#N/A</v>
      </c>
      <c r="AE1919" s="104" t="e">
        <f t="shared" si="842"/>
        <v>#N/A</v>
      </c>
      <c r="AF1919" s="104" t="e">
        <f>IF(AND(VLOOKUP($D1919,Merchantability!$B:$C,2,0)="Yes",$E1919&gt;=VLOOKUP($D1919,Merchantability!$B:$D,3,0),$E1919&lt;=VLOOKUP($D1919,Merchantability!$B:$E,4,0)),AA1919,0)</f>
        <v>#N/A</v>
      </c>
      <c r="AG1919" s="104" t="e">
        <f>IF(AND(VLOOKUP($D1919,Merchantability!$B:$C,2,0)="Yes",$E1919&gt;=VLOOKUP($D1919,Merchantability!$B:$D,3,0),$E1919&lt;=VLOOKUP($D1919,Merchantability!$B:$E,4,0)),AB1919,0)</f>
        <v>#N/A</v>
      </c>
      <c r="AH1919" s="104" t="e">
        <f>IF(AND(VLOOKUP($D1919,Merchantability!$B:$C,2,0)="Yes",$E1919&gt;=VLOOKUP($D1919,Merchantability!$B:$D,3,0),$E1919&lt;=VLOOKUP($D1919,Merchantability!$B:$E,4,0)),AC1919,0)</f>
        <v>#N/A</v>
      </c>
      <c r="AI1919" s="104" t="e">
        <f t="shared" si="843"/>
        <v>#N/A</v>
      </c>
      <c r="AJ1919" s="104" t="e">
        <f t="shared" si="844"/>
        <v>#VALUE!</v>
      </c>
      <c r="AK1919" s="104" t="e">
        <f t="shared" si="845"/>
        <v>#N/A</v>
      </c>
      <c r="AL1919" s="104" t="e">
        <f t="shared" si="846"/>
        <v>#N/A</v>
      </c>
      <c r="AM1919" s="104" t="e">
        <f t="shared" si="847"/>
        <v>#N/A</v>
      </c>
      <c r="AN1919" s="104" t="e">
        <f t="shared" si="831"/>
        <v>#N/A</v>
      </c>
      <c r="AO1919" s="104" t="e">
        <f t="shared" si="832"/>
        <v>#N/A</v>
      </c>
      <c r="AP1919" s="104" t="e">
        <f t="shared" si="833"/>
        <v>#N/A</v>
      </c>
      <c r="AQ1919" s="104" t="e">
        <f t="shared" si="834"/>
        <v>#N/A</v>
      </c>
      <c r="AR1919" s="105" t="str">
        <f t="shared" si="826"/>
        <v/>
      </c>
      <c r="AS1919" s="105" t="str">
        <f t="shared" si="827"/>
        <v/>
      </c>
      <c r="AT1919" s="108" t="str">
        <f t="shared" si="828"/>
        <v/>
      </c>
      <c r="AU1919" s="108" t="str">
        <f t="shared" si="829"/>
        <v/>
      </c>
      <c r="AV1919" s="107" t="str">
        <f>IF(ISNUMBER(O1919),IF(VLOOKUP($A1919,Stand!C:J,8,FALSE)="Short",AT1919,AU1919),"")</f>
        <v/>
      </c>
      <c r="AW1919" s="109" t="str">
        <f t="shared" si="835"/>
        <v/>
      </c>
      <c r="AX1919" s="109" t="str">
        <f t="shared" si="836"/>
        <v/>
      </c>
      <c r="AY1919" s="112" t="str">
        <f>IF(ISNUMBER(O1919),IF(AND(VLOOKUP($D1919,Merchantability!$B:$C,2,0)="Yes",$E1919&gt;=VLOOKUP($D1919,Merchantability!$B:$D,3,0),$E1919&lt;=VLOOKUP($D1919,Merchantability!$B:$E,4,0)),(AV1919*O1919)*(1-$H1919/100),""),"")</f>
        <v/>
      </c>
      <c r="AZ1919" s="116"/>
      <c r="BA1919" s="116"/>
      <c r="BB1919" s="116"/>
      <c r="BE1919" s="62"/>
      <c r="BF1919" s="63"/>
    </row>
    <row r="1920" spans="1:58" ht="12.75" customHeight="1" x14ac:dyDescent="0.25">
      <c r="A1920" s="334"/>
      <c r="B1920" s="334"/>
      <c r="C1920" s="332"/>
      <c r="D1920" s="334"/>
      <c r="E1920" s="335"/>
      <c r="F1920" s="334"/>
      <c r="G1920" s="332"/>
      <c r="H1920" s="332"/>
      <c r="I1920" s="334"/>
      <c r="J1920" s="336"/>
      <c r="K1920" s="332"/>
      <c r="L1920" s="332"/>
      <c r="M1920" s="76"/>
      <c r="N1920" s="103" t="str">
        <f>IF(A1920="","",VLOOKUP(A1920,Stand!C:K,9,0))</f>
        <v/>
      </c>
      <c r="O1920" s="104" t="str">
        <f t="shared" si="821"/>
        <v/>
      </c>
      <c r="P1920" s="105" t="str">
        <f t="shared" si="822"/>
        <v/>
      </c>
      <c r="Q1920" s="105" t="str">
        <f t="shared" si="837"/>
        <v/>
      </c>
      <c r="R1920" s="103" t="str">
        <f t="shared" si="823"/>
        <v/>
      </c>
      <c r="S1920" s="103" t="str">
        <f t="shared" si="824"/>
        <v/>
      </c>
      <c r="T1920" s="106" t="str">
        <f t="shared" si="838"/>
        <v/>
      </c>
      <c r="U1920" s="106" t="str">
        <f t="shared" si="839"/>
        <v/>
      </c>
      <c r="V1920" s="106" t="str">
        <f t="shared" si="840"/>
        <v/>
      </c>
      <c r="W1920" s="105" t="str">
        <f t="shared" si="825"/>
        <v/>
      </c>
      <c r="X1920" s="104" t="str">
        <f t="shared" si="830"/>
        <v/>
      </c>
      <c r="Y1920" s="104" t="str">
        <f t="array" ref="Y1920">IFERROR(IF(ISNUMBER(O1920),IF(COUNT(IF(A1920=$A$2:$A$2427,IF(D1920=$D$2:$D$2427,IF($X$2:$X$2427&gt;0,1))))&gt;0,SUM(IF(A1920=$A$2:$A$2427,IF(D1920=$D$2:$D$2427,$X$2:$X$2427)))/COUNT(IF(A1920=$A$2:$A$2427,IF(D1920=$D$2:$D$2427,IF(ISNUMBER($X$2:$X$2427),1)))),0),""),0)</f>
        <v/>
      </c>
      <c r="Z1920" s="104" t="str">
        <f>IF(ISNUMBER(O1920),IF(I1920&gt;0,(10^(VLOOKUP(D1920,'Species Codes'!B:C,2,0)+VLOOKUP(D1920,'Species Codes'!B:D,3,0)*LOG(E1920)+VLOOKUP(D1920,'Species Codes'!B:E,4,0)*LOG(I1920))),0),"")</f>
        <v/>
      </c>
      <c r="AA1920" s="104" t="str">
        <f>IFERROR((VLOOKUP(D1920,'Species Codes'!B:G,6,0)*Z1920)/2000,"")</f>
        <v/>
      </c>
      <c r="AB1920" s="104" t="e">
        <f>IF(Z1920&gt;0,((IF(OR(D1920="DF",D1920="RA")=TRUE,EXP(VLOOKUP(D1920,'Species Codes'!B:I,8,0)+VLOOKUP(D1920,'Species Codes'!B:J,9,0)*(LN((E1920*2.54)))),IF(OR(D1920="PY",D1920="RC",D1920="WH",D1920="NF")=TRUE,VLOOKUP(D1920,'Species Codes'!B:I,8,0)+VLOOKUP(D1920,'Species Codes'!B:J,9,0)*((E1920*2.54)^2)*(I1920*0.3048),IF(OR(D1920="MD",D1920="BM",D1920="GA")=TRUE,((VLOOKUP(D1920,'Species Codes'!B:I,8,0)*(((((E1920*2.54)+VLOOKUP(D1920,'Species Codes'!B:J,9,0))/VLOOKUP(D1920,'Species Codes'!B:K,10,0))^VLOOKUP(D1920,'Species Codes'!B:L,11,0))*((I1920*0.3048)^VLOOKUP(D1920,'Species Codes'!B:M,12,0))))-(VLOOKUP(D1920,'Species Codes'!B:I,8,0)*((((E1920*2.54)^VLOOKUP(D1920,'Species Codes'!B:L,11,0))*((I1920*0.3048)^VLOOKUP(D1920,'Species Codes'!B:M,12,0))))))*35.3*VLOOKUP(D1920,'Species Codes'!B:G,6,0)/2.2046,VLOOKUP(D1920,'Species Codes'!B:I,8,0)+VLOOKUP(D1920,'Species Codes'!B:J,9,0)*(((E1920*2.54)/100)^2)*(I1920*0.3048)))))*0.0011023),0)</f>
        <v>#N/A</v>
      </c>
      <c r="AC1920" s="104" t="e">
        <f>IF(Z1920&gt;0,((IF(OR(D1920="RA",D1920="OA",D1920="OT",D1920="UN",D1920="PC"),EXP(VLOOKUP(D1920,'Species Codes'!B:O,14,0)+VLOOKUP(D1920,'Species Codes'!B:P,15,0)*LN((E1920*2.54)))-EXP(VLOOKUP(D1920,'Species Codes'!B:O,14,0)+VLOOKUP(D1920,'Species Codes'!B:P,15,0)*LN((E1920*2.54)))*(1/(VLOOKUP(D1920,'Species Codes'!B:Q,16,0)+VLOOKUP(D1920,'Species Codes'!B:R,17,0)*((E1920*2.54)^VLOOKUP(D1920,'Species Codes'!B:S,18,0)))),IF(OR(D1920="BM",D1920="MD",D1920="OA"),EXP(VLOOKUP(D1920,'Species Codes'!B:O,14,0)+VLOOKUP(D1920,'Species Codes'!B:P,15,0)*LN((E1920*2.54)))*(1-(1/(VLOOKUP(D1920,'Species Codes'!B:Q,16,0)+VLOOKUP(D1920,'Species Codes'!B:R,17,0)*((E1920*2.54)^VLOOKUP(D1920,'Species Codes'!B:S,18,0)))))/1000,IF(D1920="DF",EXP(VLOOKUP(D1920,'Species Codes'!B:O,14,0)+VLOOKUP(D1920,'Species Codes'!B:P,15,0)*LN((E1920*2.54))),VLOOKUP(D1920,'Species Codes'!B:O,14,0)+VLOOKUP(D1920,'Species Codes'!B:P,15,0)*(((E1920*2.54)/100)^2)*(I1920*0.3048)))))*0.0011023),0)</f>
        <v>#N/A</v>
      </c>
      <c r="AD1920" s="104" t="e">
        <f t="shared" si="841"/>
        <v>#N/A</v>
      </c>
      <c r="AE1920" s="104" t="e">
        <f t="shared" si="842"/>
        <v>#N/A</v>
      </c>
      <c r="AF1920" s="104" t="e">
        <f>IF(AND(VLOOKUP($D1920,Merchantability!$B:$C,2,0)="Yes",$E1920&gt;=VLOOKUP($D1920,Merchantability!$B:$D,3,0),$E1920&lt;=VLOOKUP($D1920,Merchantability!$B:$E,4,0)),AA1920,0)</f>
        <v>#N/A</v>
      </c>
      <c r="AG1920" s="104" t="e">
        <f>IF(AND(VLOOKUP($D1920,Merchantability!$B:$C,2,0)="Yes",$E1920&gt;=VLOOKUP($D1920,Merchantability!$B:$D,3,0),$E1920&lt;=VLOOKUP($D1920,Merchantability!$B:$E,4,0)),AB1920,0)</f>
        <v>#N/A</v>
      </c>
      <c r="AH1920" s="104" t="e">
        <f>IF(AND(VLOOKUP($D1920,Merchantability!$B:$C,2,0)="Yes",$E1920&gt;=VLOOKUP($D1920,Merchantability!$B:$D,3,0),$E1920&lt;=VLOOKUP($D1920,Merchantability!$B:$E,4,0)),AC1920,0)</f>
        <v>#N/A</v>
      </c>
      <c r="AI1920" s="104" t="e">
        <f t="shared" si="843"/>
        <v>#N/A</v>
      </c>
      <c r="AJ1920" s="104" t="e">
        <f t="shared" si="844"/>
        <v>#VALUE!</v>
      </c>
      <c r="AK1920" s="104" t="e">
        <f t="shared" si="845"/>
        <v>#N/A</v>
      </c>
      <c r="AL1920" s="104" t="e">
        <f t="shared" si="846"/>
        <v>#N/A</v>
      </c>
      <c r="AM1920" s="104" t="e">
        <f t="shared" si="847"/>
        <v>#N/A</v>
      </c>
      <c r="AN1920" s="104" t="e">
        <f t="shared" si="831"/>
        <v>#N/A</v>
      </c>
      <c r="AO1920" s="104" t="e">
        <f t="shared" si="832"/>
        <v>#N/A</v>
      </c>
      <c r="AP1920" s="104" t="e">
        <f t="shared" si="833"/>
        <v>#N/A</v>
      </c>
      <c r="AQ1920" s="104" t="e">
        <f t="shared" si="834"/>
        <v>#N/A</v>
      </c>
      <c r="AR1920" s="105" t="str">
        <f t="shared" si="826"/>
        <v/>
      </c>
      <c r="AS1920" s="105" t="str">
        <f t="shared" si="827"/>
        <v/>
      </c>
      <c r="AT1920" s="108" t="str">
        <f t="shared" si="828"/>
        <v/>
      </c>
      <c r="AU1920" s="108" t="str">
        <f t="shared" si="829"/>
        <v/>
      </c>
      <c r="AV1920" s="107" t="str">
        <f>IF(ISNUMBER(O1920),IF(VLOOKUP($A1920,Stand!C:J,8,FALSE)="Short",AT1920,AU1920),"")</f>
        <v/>
      </c>
      <c r="AW1920" s="109" t="str">
        <f t="shared" si="835"/>
        <v/>
      </c>
      <c r="AX1920" s="109" t="str">
        <f t="shared" si="836"/>
        <v/>
      </c>
      <c r="AY1920" s="112" t="str">
        <f>IF(ISNUMBER(O1920),IF(AND(VLOOKUP($D1920,Merchantability!$B:$C,2,0)="Yes",$E1920&gt;=VLOOKUP($D1920,Merchantability!$B:$D,3,0),$E1920&lt;=VLOOKUP($D1920,Merchantability!$B:$E,4,0)),(AV1920*O1920)*(1-$H1920/100),""),"")</f>
        <v/>
      </c>
      <c r="AZ1920" s="116"/>
      <c r="BA1920" s="116"/>
      <c r="BB1920" s="116"/>
      <c r="BE1920" s="62"/>
      <c r="BF1920" s="63"/>
    </row>
    <row r="1921" spans="1:58" ht="12.75" customHeight="1" x14ac:dyDescent="0.25">
      <c r="A1921" s="334"/>
      <c r="B1921" s="334"/>
      <c r="C1921" s="332"/>
      <c r="D1921" s="334"/>
      <c r="E1921" s="335"/>
      <c r="F1921" s="334"/>
      <c r="G1921" s="332"/>
      <c r="H1921" s="332"/>
      <c r="I1921" s="334"/>
      <c r="J1921" s="336"/>
      <c r="K1921" s="332"/>
      <c r="L1921" s="332"/>
      <c r="M1921" s="76"/>
      <c r="N1921" s="103" t="str">
        <f>IF(A1921="","",VLOOKUP(A1921,Stand!C:K,9,0))</f>
        <v/>
      </c>
      <c r="O1921" s="104" t="str">
        <f t="shared" si="821"/>
        <v/>
      </c>
      <c r="P1921" s="105" t="str">
        <f t="shared" si="822"/>
        <v/>
      </c>
      <c r="Q1921" s="105" t="str">
        <f t="shared" si="837"/>
        <v/>
      </c>
      <c r="R1921" s="103" t="str">
        <f t="shared" si="823"/>
        <v/>
      </c>
      <c r="S1921" s="103" t="str">
        <f t="shared" si="824"/>
        <v/>
      </c>
      <c r="T1921" s="106" t="str">
        <f t="shared" si="838"/>
        <v/>
      </c>
      <c r="U1921" s="106" t="str">
        <f t="shared" si="839"/>
        <v/>
      </c>
      <c r="V1921" s="106" t="str">
        <f t="shared" si="840"/>
        <v/>
      </c>
      <c r="W1921" s="105" t="str">
        <f t="shared" si="825"/>
        <v/>
      </c>
      <c r="X1921" s="104" t="str">
        <f t="shared" si="830"/>
        <v/>
      </c>
      <c r="Y1921" s="104" t="str">
        <f t="array" ref="Y1921">IFERROR(IF(ISNUMBER(O1921),IF(COUNT(IF(A1921=$A$2:$A$2427,IF(D1921=$D$2:$D$2427,IF($X$2:$X$2427&gt;0,1))))&gt;0,SUM(IF(A1921=$A$2:$A$2427,IF(D1921=$D$2:$D$2427,$X$2:$X$2427)))/COUNT(IF(A1921=$A$2:$A$2427,IF(D1921=$D$2:$D$2427,IF(ISNUMBER($X$2:$X$2427),1)))),0),""),0)</f>
        <v/>
      </c>
      <c r="Z1921" s="104" t="str">
        <f>IF(ISNUMBER(O1921),IF(I1921&gt;0,(10^(VLOOKUP(D1921,'Species Codes'!B:C,2,0)+VLOOKUP(D1921,'Species Codes'!B:D,3,0)*LOG(E1921)+VLOOKUP(D1921,'Species Codes'!B:E,4,0)*LOG(I1921))),0),"")</f>
        <v/>
      </c>
      <c r="AA1921" s="104" t="str">
        <f>IFERROR((VLOOKUP(D1921,'Species Codes'!B:G,6,0)*Z1921)/2000,"")</f>
        <v/>
      </c>
      <c r="AB1921" s="104" t="e">
        <f>IF(Z1921&gt;0,((IF(OR(D1921="DF",D1921="RA")=TRUE,EXP(VLOOKUP(D1921,'Species Codes'!B:I,8,0)+VLOOKUP(D1921,'Species Codes'!B:J,9,0)*(LN((E1921*2.54)))),IF(OR(D1921="PY",D1921="RC",D1921="WH",D1921="NF")=TRUE,VLOOKUP(D1921,'Species Codes'!B:I,8,0)+VLOOKUP(D1921,'Species Codes'!B:J,9,0)*((E1921*2.54)^2)*(I1921*0.3048),IF(OR(D1921="MD",D1921="BM",D1921="GA")=TRUE,((VLOOKUP(D1921,'Species Codes'!B:I,8,0)*(((((E1921*2.54)+VLOOKUP(D1921,'Species Codes'!B:J,9,0))/VLOOKUP(D1921,'Species Codes'!B:K,10,0))^VLOOKUP(D1921,'Species Codes'!B:L,11,0))*((I1921*0.3048)^VLOOKUP(D1921,'Species Codes'!B:M,12,0))))-(VLOOKUP(D1921,'Species Codes'!B:I,8,0)*((((E1921*2.54)^VLOOKUP(D1921,'Species Codes'!B:L,11,0))*((I1921*0.3048)^VLOOKUP(D1921,'Species Codes'!B:M,12,0))))))*35.3*VLOOKUP(D1921,'Species Codes'!B:G,6,0)/2.2046,VLOOKUP(D1921,'Species Codes'!B:I,8,0)+VLOOKUP(D1921,'Species Codes'!B:J,9,0)*(((E1921*2.54)/100)^2)*(I1921*0.3048)))))*0.0011023),0)</f>
        <v>#N/A</v>
      </c>
      <c r="AC1921" s="104" t="e">
        <f>IF(Z1921&gt;0,((IF(OR(D1921="RA",D1921="OA",D1921="OT",D1921="UN",D1921="PC"),EXP(VLOOKUP(D1921,'Species Codes'!B:O,14,0)+VLOOKUP(D1921,'Species Codes'!B:P,15,0)*LN((E1921*2.54)))-EXP(VLOOKUP(D1921,'Species Codes'!B:O,14,0)+VLOOKUP(D1921,'Species Codes'!B:P,15,0)*LN((E1921*2.54)))*(1/(VLOOKUP(D1921,'Species Codes'!B:Q,16,0)+VLOOKUP(D1921,'Species Codes'!B:R,17,0)*((E1921*2.54)^VLOOKUP(D1921,'Species Codes'!B:S,18,0)))),IF(OR(D1921="BM",D1921="MD",D1921="OA"),EXP(VLOOKUP(D1921,'Species Codes'!B:O,14,0)+VLOOKUP(D1921,'Species Codes'!B:P,15,0)*LN((E1921*2.54)))*(1-(1/(VLOOKUP(D1921,'Species Codes'!B:Q,16,0)+VLOOKUP(D1921,'Species Codes'!B:R,17,0)*((E1921*2.54)^VLOOKUP(D1921,'Species Codes'!B:S,18,0)))))/1000,IF(D1921="DF",EXP(VLOOKUP(D1921,'Species Codes'!B:O,14,0)+VLOOKUP(D1921,'Species Codes'!B:P,15,0)*LN((E1921*2.54))),VLOOKUP(D1921,'Species Codes'!B:O,14,0)+VLOOKUP(D1921,'Species Codes'!B:P,15,0)*(((E1921*2.54)/100)^2)*(I1921*0.3048)))))*0.0011023),0)</f>
        <v>#N/A</v>
      </c>
      <c r="AD1921" s="104" t="e">
        <f t="shared" si="841"/>
        <v>#N/A</v>
      </c>
      <c r="AE1921" s="104" t="e">
        <f t="shared" si="842"/>
        <v>#N/A</v>
      </c>
      <c r="AF1921" s="104" t="e">
        <f>IF(AND(VLOOKUP($D1921,Merchantability!$B:$C,2,0)="Yes",$E1921&gt;=VLOOKUP($D1921,Merchantability!$B:$D,3,0),$E1921&lt;=VLOOKUP($D1921,Merchantability!$B:$E,4,0)),AA1921,0)</f>
        <v>#N/A</v>
      </c>
      <c r="AG1921" s="104" t="e">
        <f>IF(AND(VLOOKUP($D1921,Merchantability!$B:$C,2,0)="Yes",$E1921&gt;=VLOOKUP($D1921,Merchantability!$B:$D,3,0),$E1921&lt;=VLOOKUP($D1921,Merchantability!$B:$E,4,0)),AB1921,0)</f>
        <v>#N/A</v>
      </c>
      <c r="AH1921" s="104" t="e">
        <f>IF(AND(VLOOKUP($D1921,Merchantability!$B:$C,2,0)="Yes",$E1921&gt;=VLOOKUP($D1921,Merchantability!$B:$D,3,0),$E1921&lt;=VLOOKUP($D1921,Merchantability!$B:$E,4,0)),AC1921,0)</f>
        <v>#N/A</v>
      </c>
      <c r="AI1921" s="104" t="e">
        <f t="shared" si="843"/>
        <v>#N/A</v>
      </c>
      <c r="AJ1921" s="104" t="e">
        <f t="shared" si="844"/>
        <v>#VALUE!</v>
      </c>
      <c r="AK1921" s="104" t="e">
        <f t="shared" si="845"/>
        <v>#N/A</v>
      </c>
      <c r="AL1921" s="104" t="e">
        <f t="shared" si="846"/>
        <v>#N/A</v>
      </c>
      <c r="AM1921" s="104" t="e">
        <f t="shared" si="847"/>
        <v>#N/A</v>
      </c>
      <c r="AN1921" s="104" t="e">
        <f t="shared" si="831"/>
        <v>#N/A</v>
      </c>
      <c r="AO1921" s="104" t="e">
        <f t="shared" si="832"/>
        <v>#N/A</v>
      </c>
      <c r="AP1921" s="104" t="e">
        <f t="shared" si="833"/>
        <v>#N/A</v>
      </c>
      <c r="AQ1921" s="104" t="e">
        <f t="shared" si="834"/>
        <v>#N/A</v>
      </c>
      <c r="AR1921" s="105" t="str">
        <f t="shared" si="826"/>
        <v/>
      </c>
      <c r="AS1921" s="105" t="str">
        <f t="shared" si="827"/>
        <v/>
      </c>
      <c r="AT1921" s="108" t="str">
        <f t="shared" si="828"/>
        <v/>
      </c>
      <c r="AU1921" s="108" t="str">
        <f t="shared" si="829"/>
        <v/>
      </c>
      <c r="AV1921" s="107" t="str">
        <f>IF(ISNUMBER(O1921),IF(VLOOKUP($A1921,Stand!C:J,8,FALSE)="Short",AT1921,AU1921),"")</f>
        <v/>
      </c>
      <c r="AW1921" s="109" t="str">
        <f t="shared" si="835"/>
        <v/>
      </c>
      <c r="AX1921" s="109" t="str">
        <f t="shared" si="836"/>
        <v/>
      </c>
      <c r="AY1921" s="112" t="str">
        <f>IF(ISNUMBER(O1921),IF(AND(VLOOKUP($D1921,Merchantability!$B:$C,2,0)="Yes",$E1921&gt;=VLOOKUP($D1921,Merchantability!$B:$D,3,0),$E1921&lt;=VLOOKUP($D1921,Merchantability!$B:$E,4,0)),(AV1921*O1921)*(1-$H1921/100),""),"")</f>
        <v/>
      </c>
      <c r="AZ1921" s="116"/>
      <c r="BA1921" s="116"/>
      <c r="BB1921" s="116"/>
      <c r="BE1921" s="62"/>
      <c r="BF1921" s="63"/>
    </row>
    <row r="1922" spans="1:58" ht="12.75" customHeight="1" x14ac:dyDescent="0.25">
      <c r="A1922" s="334"/>
      <c r="B1922" s="334"/>
      <c r="C1922" s="332"/>
      <c r="D1922" s="334"/>
      <c r="E1922" s="335"/>
      <c r="F1922" s="334"/>
      <c r="G1922" s="332"/>
      <c r="H1922" s="332"/>
      <c r="I1922" s="334"/>
      <c r="J1922" s="336"/>
      <c r="K1922" s="332"/>
      <c r="L1922" s="332"/>
      <c r="M1922" s="76"/>
      <c r="N1922" s="103" t="str">
        <f>IF(A1922="","",VLOOKUP(A1922,Stand!C:K,9,0))</f>
        <v/>
      </c>
      <c r="O1922" s="104" t="str">
        <f t="shared" ref="O1922:O1985" si="848">IF(E1922&gt;0,IF(G1922&gt;1,G1922*(43560/(N1922^2*3.14)),43560/(N1922^2*3.14)),"")</f>
        <v/>
      </c>
      <c r="P1922" s="105" t="str">
        <f t="shared" ref="P1922:P1985" si="849">IF(ISNUMBER(O1922),E1922*O1922,"")</f>
        <v/>
      </c>
      <c r="Q1922" s="105" t="str">
        <f t="shared" si="837"/>
        <v/>
      </c>
      <c r="R1922" s="103" t="str">
        <f t="shared" ref="R1922:R1985" si="850">IF(ISNUMBER(O1922),E1922^2*0.005454*O1922,"")</f>
        <v/>
      </c>
      <c r="S1922" s="103" t="str">
        <f t="shared" ref="S1922:S1985" si="851">IF(ISNUMBER(O1922),(E1922/10)^1.7*O1922,"")</f>
        <v/>
      </c>
      <c r="T1922" s="106" t="str">
        <f t="shared" si="838"/>
        <v/>
      </c>
      <c r="U1922" s="106" t="str">
        <f t="shared" si="839"/>
        <v/>
      </c>
      <c r="V1922" s="106" t="str">
        <f t="shared" si="840"/>
        <v/>
      </c>
      <c r="W1922" s="105" t="str">
        <f t="shared" ref="W1922:W1985" si="852">IF(AND(ISNUMBER(O1922),I1922&gt;0),I1922/(E1922/12),"")</f>
        <v/>
      </c>
      <c r="X1922" s="104" t="str">
        <f t="shared" si="830"/>
        <v/>
      </c>
      <c r="Y1922" s="104" t="str">
        <f t="array" ref="Y1922">IFERROR(IF(ISNUMBER(O1922),IF(COUNT(IF(A1922=$A$2:$A$2427,IF(D1922=$D$2:$D$2427,IF($X$2:$X$2427&gt;0,1))))&gt;0,SUM(IF(A1922=$A$2:$A$2427,IF(D1922=$D$2:$D$2427,$X$2:$X$2427)))/COUNT(IF(A1922=$A$2:$A$2427,IF(D1922=$D$2:$D$2427,IF(ISNUMBER($X$2:$X$2427),1)))),0),""),0)</f>
        <v/>
      </c>
      <c r="Z1922" s="104" t="str">
        <f>IF(ISNUMBER(O1922),IF(I1922&gt;0,(10^(VLOOKUP(D1922,'Species Codes'!B:C,2,0)+VLOOKUP(D1922,'Species Codes'!B:D,3,0)*LOG(E1922)+VLOOKUP(D1922,'Species Codes'!B:E,4,0)*LOG(I1922))),0),"")</f>
        <v/>
      </c>
      <c r="AA1922" s="104" t="str">
        <f>IFERROR((VLOOKUP(D1922,'Species Codes'!B:G,6,0)*Z1922)/2000,"")</f>
        <v/>
      </c>
      <c r="AB1922" s="104" t="e">
        <f>IF(Z1922&gt;0,((IF(OR(D1922="DF",D1922="RA")=TRUE,EXP(VLOOKUP(D1922,'Species Codes'!B:I,8,0)+VLOOKUP(D1922,'Species Codes'!B:J,9,0)*(LN((E1922*2.54)))),IF(OR(D1922="PY",D1922="RC",D1922="WH",D1922="NF")=TRUE,VLOOKUP(D1922,'Species Codes'!B:I,8,0)+VLOOKUP(D1922,'Species Codes'!B:J,9,0)*((E1922*2.54)^2)*(I1922*0.3048),IF(OR(D1922="MD",D1922="BM",D1922="GA")=TRUE,((VLOOKUP(D1922,'Species Codes'!B:I,8,0)*(((((E1922*2.54)+VLOOKUP(D1922,'Species Codes'!B:J,9,0))/VLOOKUP(D1922,'Species Codes'!B:K,10,0))^VLOOKUP(D1922,'Species Codes'!B:L,11,0))*((I1922*0.3048)^VLOOKUP(D1922,'Species Codes'!B:M,12,0))))-(VLOOKUP(D1922,'Species Codes'!B:I,8,0)*((((E1922*2.54)^VLOOKUP(D1922,'Species Codes'!B:L,11,0))*((I1922*0.3048)^VLOOKUP(D1922,'Species Codes'!B:M,12,0))))))*35.3*VLOOKUP(D1922,'Species Codes'!B:G,6,0)/2.2046,VLOOKUP(D1922,'Species Codes'!B:I,8,0)+VLOOKUP(D1922,'Species Codes'!B:J,9,0)*(((E1922*2.54)/100)^2)*(I1922*0.3048)))))*0.0011023),0)</f>
        <v>#N/A</v>
      </c>
      <c r="AC1922" s="104" t="e">
        <f>IF(Z1922&gt;0,((IF(OR(D1922="RA",D1922="OA",D1922="OT",D1922="UN",D1922="PC"),EXP(VLOOKUP(D1922,'Species Codes'!B:O,14,0)+VLOOKUP(D1922,'Species Codes'!B:P,15,0)*LN((E1922*2.54)))-EXP(VLOOKUP(D1922,'Species Codes'!B:O,14,0)+VLOOKUP(D1922,'Species Codes'!B:P,15,0)*LN((E1922*2.54)))*(1/(VLOOKUP(D1922,'Species Codes'!B:Q,16,0)+VLOOKUP(D1922,'Species Codes'!B:R,17,0)*((E1922*2.54)^VLOOKUP(D1922,'Species Codes'!B:S,18,0)))),IF(OR(D1922="BM",D1922="MD",D1922="OA"),EXP(VLOOKUP(D1922,'Species Codes'!B:O,14,0)+VLOOKUP(D1922,'Species Codes'!B:P,15,0)*LN((E1922*2.54)))*(1-(1/(VLOOKUP(D1922,'Species Codes'!B:Q,16,0)+VLOOKUP(D1922,'Species Codes'!B:R,17,0)*((E1922*2.54)^VLOOKUP(D1922,'Species Codes'!B:S,18,0)))))/1000,IF(D1922="DF",EXP(VLOOKUP(D1922,'Species Codes'!B:O,14,0)+VLOOKUP(D1922,'Species Codes'!B:P,15,0)*LN((E1922*2.54))),VLOOKUP(D1922,'Species Codes'!B:O,14,0)+VLOOKUP(D1922,'Species Codes'!B:P,15,0)*(((E1922*2.54)/100)^2)*(I1922*0.3048)))))*0.0011023),0)</f>
        <v>#N/A</v>
      </c>
      <c r="AD1922" s="104" t="e">
        <f t="shared" si="841"/>
        <v>#N/A</v>
      </c>
      <c r="AE1922" s="104" t="e">
        <f t="shared" si="842"/>
        <v>#N/A</v>
      </c>
      <c r="AF1922" s="104" t="e">
        <f>IF(AND(VLOOKUP($D1922,Merchantability!$B:$C,2,0)="Yes",$E1922&gt;=VLOOKUP($D1922,Merchantability!$B:$D,3,0),$E1922&lt;=VLOOKUP($D1922,Merchantability!$B:$E,4,0)),AA1922,0)</f>
        <v>#N/A</v>
      </c>
      <c r="AG1922" s="104" t="e">
        <f>IF(AND(VLOOKUP($D1922,Merchantability!$B:$C,2,0)="Yes",$E1922&gt;=VLOOKUP($D1922,Merchantability!$B:$D,3,0),$E1922&lt;=VLOOKUP($D1922,Merchantability!$B:$E,4,0)),AB1922,0)</f>
        <v>#N/A</v>
      </c>
      <c r="AH1922" s="104" t="e">
        <f>IF(AND(VLOOKUP($D1922,Merchantability!$B:$C,2,0)="Yes",$E1922&gt;=VLOOKUP($D1922,Merchantability!$B:$D,3,0),$E1922&lt;=VLOOKUP($D1922,Merchantability!$B:$E,4,0)),AC1922,0)</f>
        <v>#N/A</v>
      </c>
      <c r="AI1922" s="104" t="e">
        <f t="shared" si="843"/>
        <v>#N/A</v>
      </c>
      <c r="AJ1922" s="104" t="e">
        <f t="shared" si="844"/>
        <v>#VALUE!</v>
      </c>
      <c r="AK1922" s="104" t="e">
        <f t="shared" si="845"/>
        <v>#N/A</v>
      </c>
      <c r="AL1922" s="104" t="e">
        <f t="shared" si="846"/>
        <v>#N/A</v>
      </c>
      <c r="AM1922" s="104" t="e">
        <f t="shared" si="847"/>
        <v>#N/A</v>
      </c>
      <c r="AN1922" s="104" t="e">
        <f t="shared" si="831"/>
        <v>#N/A</v>
      </c>
      <c r="AO1922" s="104" t="e">
        <f t="shared" si="832"/>
        <v>#N/A</v>
      </c>
      <c r="AP1922" s="104" t="e">
        <f t="shared" si="833"/>
        <v>#N/A</v>
      </c>
      <c r="AQ1922" s="104" t="e">
        <f t="shared" si="834"/>
        <v>#N/A</v>
      </c>
      <c r="AR1922" s="105" t="str">
        <f t="shared" ref="AR1922:AR1985" si="853">IF(ISNUMBER(O1922),IF(Y1922&gt;0,((Y1922*(E1922^2*0.005454-0.087266))/0.912733),0),"")</f>
        <v/>
      </c>
      <c r="AS1922" s="105" t="str">
        <f t="shared" ref="AS1922:AS1985" si="854">IF(ISNUMBER(O1922),AR1922*(0.993-0.993*(0.62^(E1922-6))),"")</f>
        <v/>
      </c>
      <c r="AT1922" s="108" t="str">
        <f t="shared" ref="AT1922:AT1985" si="855">IF(ISNUMBER(O1922),IF(AS1922&gt;0,IF(Y1922&gt;0,(AS1922*10^(0.174439+0.117594*(LOG(E1922,10))*(LOG(Y1922/0.912733,10))-8.210585/E1922^2+0.236693*(LOG(Y1922/0.912733,10))-0.00001345*(Y1922/0.912733)^2-0.00001937*E1922^2)),0),0),"")</f>
        <v/>
      </c>
      <c r="AU1922" s="108" t="str">
        <f t="shared" ref="AU1922:AU1985" si="856">IF(ISNUMBER(O1922),IF(AS1922&gt;0,IF(Y1922&gt;0,AT1922*(1.001491-(6.92497/Y1922)+(0.00001351*(E1922^2))),0),0),"")</f>
        <v/>
      </c>
      <c r="AV1922" s="107" t="str">
        <f>IF(ISNUMBER(O1922),IF(VLOOKUP($A1922,Stand!C:J,8,FALSE)="Short",AT1922,AU1922),"")</f>
        <v/>
      </c>
      <c r="AW1922" s="109" t="str">
        <f t="shared" si="835"/>
        <v/>
      </c>
      <c r="AX1922" s="109" t="str">
        <f t="shared" si="836"/>
        <v/>
      </c>
      <c r="AY1922" s="112" t="str">
        <f>IF(ISNUMBER(O1922),IF(AND(VLOOKUP($D1922,Merchantability!$B:$C,2,0)="Yes",$E1922&gt;=VLOOKUP($D1922,Merchantability!$B:$D,3,0),$E1922&lt;=VLOOKUP($D1922,Merchantability!$B:$E,4,0)),(AV1922*O1922)*(1-$H1922/100),""),"")</f>
        <v/>
      </c>
      <c r="AZ1922" s="116"/>
      <c r="BA1922" s="116"/>
      <c r="BB1922" s="116"/>
      <c r="BE1922" s="62"/>
      <c r="BF1922" s="63"/>
    </row>
    <row r="1923" spans="1:58" ht="12.75" customHeight="1" x14ac:dyDescent="0.25">
      <c r="A1923" s="334"/>
      <c r="B1923" s="334"/>
      <c r="C1923" s="332"/>
      <c r="D1923" s="334"/>
      <c r="E1923" s="335"/>
      <c r="F1923" s="334"/>
      <c r="G1923" s="332"/>
      <c r="H1923" s="332"/>
      <c r="I1923" s="334"/>
      <c r="J1923" s="336"/>
      <c r="K1923" s="332"/>
      <c r="L1923" s="332"/>
      <c r="M1923" s="76"/>
      <c r="N1923" s="103" t="str">
        <f>IF(A1923="","",VLOOKUP(A1923,Stand!C:K,9,0))</f>
        <v/>
      </c>
      <c r="O1923" s="104" t="str">
        <f t="shared" si="848"/>
        <v/>
      </c>
      <c r="P1923" s="105" t="str">
        <f t="shared" si="849"/>
        <v/>
      </c>
      <c r="Q1923" s="105" t="str">
        <f t="shared" si="837"/>
        <v/>
      </c>
      <c r="R1923" s="103" t="str">
        <f t="shared" si="850"/>
        <v/>
      </c>
      <c r="S1923" s="103" t="str">
        <f t="shared" si="851"/>
        <v/>
      </c>
      <c r="T1923" s="106" t="str">
        <f t="shared" si="838"/>
        <v/>
      </c>
      <c r="U1923" s="106" t="str">
        <f t="shared" si="839"/>
        <v/>
      </c>
      <c r="V1923" s="106" t="str">
        <f t="shared" si="840"/>
        <v/>
      </c>
      <c r="W1923" s="105" t="str">
        <f t="shared" si="852"/>
        <v/>
      </c>
      <c r="X1923" s="104" t="str">
        <f t="shared" ref="X1923:X1986" si="857">IF(ISNUMBER(O1923),IF(I1923&gt;0,IF(E1923&gt;0,(0.912733*Z1923)/(1.033*(1+1.382937*EXP(-4.015292*E1923/10))*((E1923^2)*0.005454+0.087266)-0.174533),""),""),"")</f>
        <v/>
      </c>
      <c r="Y1923" s="104" t="str">
        <f t="array" ref="Y1923">IFERROR(IF(ISNUMBER(O1923),IF(COUNT(IF(A1923=$A$2:$A$2427,IF(D1923=$D$2:$D$2427,IF($X$2:$X$2427&gt;0,1))))&gt;0,SUM(IF(A1923=$A$2:$A$2427,IF(D1923=$D$2:$D$2427,$X$2:$X$2427)))/COUNT(IF(A1923=$A$2:$A$2427,IF(D1923=$D$2:$D$2427,IF(ISNUMBER($X$2:$X$2427),1)))),0),""),0)</f>
        <v/>
      </c>
      <c r="Z1923" s="104" t="str">
        <f>IF(ISNUMBER(O1923),IF(I1923&gt;0,(10^(VLOOKUP(D1923,'Species Codes'!B:C,2,0)+VLOOKUP(D1923,'Species Codes'!B:D,3,0)*LOG(E1923)+VLOOKUP(D1923,'Species Codes'!B:E,4,0)*LOG(I1923))),0),"")</f>
        <v/>
      </c>
      <c r="AA1923" s="104" t="str">
        <f>IFERROR((VLOOKUP(D1923,'Species Codes'!B:G,6,0)*Z1923)/2000,"")</f>
        <v/>
      </c>
      <c r="AB1923" s="104" t="e">
        <f>IF(Z1923&gt;0,((IF(OR(D1923="DF",D1923="RA")=TRUE,EXP(VLOOKUP(D1923,'Species Codes'!B:I,8,0)+VLOOKUP(D1923,'Species Codes'!B:J,9,0)*(LN((E1923*2.54)))),IF(OR(D1923="PY",D1923="RC",D1923="WH",D1923="NF")=TRUE,VLOOKUP(D1923,'Species Codes'!B:I,8,0)+VLOOKUP(D1923,'Species Codes'!B:J,9,0)*((E1923*2.54)^2)*(I1923*0.3048),IF(OR(D1923="MD",D1923="BM",D1923="GA")=TRUE,((VLOOKUP(D1923,'Species Codes'!B:I,8,0)*(((((E1923*2.54)+VLOOKUP(D1923,'Species Codes'!B:J,9,0))/VLOOKUP(D1923,'Species Codes'!B:K,10,0))^VLOOKUP(D1923,'Species Codes'!B:L,11,0))*((I1923*0.3048)^VLOOKUP(D1923,'Species Codes'!B:M,12,0))))-(VLOOKUP(D1923,'Species Codes'!B:I,8,0)*((((E1923*2.54)^VLOOKUP(D1923,'Species Codes'!B:L,11,0))*((I1923*0.3048)^VLOOKUP(D1923,'Species Codes'!B:M,12,0))))))*35.3*VLOOKUP(D1923,'Species Codes'!B:G,6,0)/2.2046,VLOOKUP(D1923,'Species Codes'!B:I,8,0)+VLOOKUP(D1923,'Species Codes'!B:J,9,0)*(((E1923*2.54)/100)^2)*(I1923*0.3048)))))*0.0011023),0)</f>
        <v>#N/A</v>
      </c>
      <c r="AC1923" s="104" t="e">
        <f>IF(Z1923&gt;0,((IF(OR(D1923="RA",D1923="OA",D1923="OT",D1923="UN",D1923="PC"),EXP(VLOOKUP(D1923,'Species Codes'!B:O,14,0)+VLOOKUP(D1923,'Species Codes'!B:P,15,0)*LN((E1923*2.54)))-EXP(VLOOKUP(D1923,'Species Codes'!B:O,14,0)+VLOOKUP(D1923,'Species Codes'!B:P,15,0)*LN((E1923*2.54)))*(1/(VLOOKUP(D1923,'Species Codes'!B:Q,16,0)+VLOOKUP(D1923,'Species Codes'!B:R,17,0)*((E1923*2.54)^VLOOKUP(D1923,'Species Codes'!B:S,18,0)))),IF(OR(D1923="BM",D1923="MD",D1923="OA"),EXP(VLOOKUP(D1923,'Species Codes'!B:O,14,0)+VLOOKUP(D1923,'Species Codes'!B:P,15,0)*LN((E1923*2.54)))*(1-(1/(VLOOKUP(D1923,'Species Codes'!B:Q,16,0)+VLOOKUP(D1923,'Species Codes'!B:R,17,0)*((E1923*2.54)^VLOOKUP(D1923,'Species Codes'!B:S,18,0)))))/1000,IF(D1923="DF",EXP(VLOOKUP(D1923,'Species Codes'!B:O,14,0)+VLOOKUP(D1923,'Species Codes'!B:P,15,0)*LN((E1923*2.54))),VLOOKUP(D1923,'Species Codes'!B:O,14,0)+VLOOKUP(D1923,'Species Codes'!B:P,15,0)*(((E1923*2.54)/100)^2)*(I1923*0.3048)))))*0.0011023),0)</f>
        <v>#N/A</v>
      </c>
      <c r="AD1923" s="104" t="e">
        <f t="shared" si="841"/>
        <v>#N/A</v>
      </c>
      <c r="AE1923" s="104" t="e">
        <f t="shared" si="842"/>
        <v>#N/A</v>
      </c>
      <c r="AF1923" s="104" t="e">
        <f>IF(AND(VLOOKUP($D1923,Merchantability!$B:$C,2,0)="Yes",$E1923&gt;=VLOOKUP($D1923,Merchantability!$B:$D,3,0),$E1923&lt;=VLOOKUP($D1923,Merchantability!$B:$E,4,0)),AA1923,0)</f>
        <v>#N/A</v>
      </c>
      <c r="AG1923" s="104" t="e">
        <f>IF(AND(VLOOKUP($D1923,Merchantability!$B:$C,2,0)="Yes",$E1923&gt;=VLOOKUP($D1923,Merchantability!$B:$D,3,0),$E1923&lt;=VLOOKUP($D1923,Merchantability!$B:$E,4,0)),AB1923,0)</f>
        <v>#N/A</v>
      </c>
      <c r="AH1923" s="104" t="e">
        <f>IF(AND(VLOOKUP($D1923,Merchantability!$B:$C,2,0)="Yes",$E1923&gt;=VLOOKUP($D1923,Merchantability!$B:$D,3,0),$E1923&lt;=VLOOKUP($D1923,Merchantability!$B:$E,4,0)),AC1923,0)</f>
        <v>#N/A</v>
      </c>
      <c r="AI1923" s="104" t="e">
        <f t="shared" si="843"/>
        <v>#N/A</v>
      </c>
      <c r="AJ1923" s="104" t="e">
        <f t="shared" si="844"/>
        <v>#VALUE!</v>
      </c>
      <c r="AK1923" s="104" t="e">
        <f t="shared" si="845"/>
        <v>#N/A</v>
      </c>
      <c r="AL1923" s="104" t="e">
        <f t="shared" si="846"/>
        <v>#N/A</v>
      </c>
      <c r="AM1923" s="104" t="e">
        <f t="shared" si="847"/>
        <v>#N/A</v>
      </c>
      <c r="AN1923" s="104" t="e">
        <f t="shared" ref="AN1923:AN1986" si="858">AF1923*$O1923</f>
        <v>#N/A</v>
      </c>
      <c r="AO1923" s="104" t="e">
        <f t="shared" ref="AO1923:AO1986" si="859">AG1923*$O1923</f>
        <v>#N/A</v>
      </c>
      <c r="AP1923" s="104" t="e">
        <f t="shared" ref="AP1923:AP1986" si="860">AH1923*$O1923</f>
        <v>#N/A</v>
      </c>
      <c r="AQ1923" s="104" t="e">
        <f t="shared" ref="AQ1923:AQ1986" si="861">SUM(AN1923:AP1923)</f>
        <v>#N/A</v>
      </c>
      <c r="AR1923" s="105" t="str">
        <f t="shared" si="853"/>
        <v/>
      </c>
      <c r="AS1923" s="105" t="str">
        <f t="shared" si="854"/>
        <v/>
      </c>
      <c r="AT1923" s="108" t="str">
        <f t="shared" si="855"/>
        <v/>
      </c>
      <c r="AU1923" s="108" t="str">
        <f t="shared" si="856"/>
        <v/>
      </c>
      <c r="AV1923" s="107" t="str">
        <f>IF(ISNUMBER(O1923),IF(VLOOKUP($A1923,Stand!C:J,8,FALSE)="Short",AT1923,AU1923),"")</f>
        <v/>
      </c>
      <c r="AW1923" s="109" t="str">
        <f t="shared" ref="AW1923:AW1986" si="862">IF(ISNUMBER(O1923),AV1923*O1923,"")</f>
        <v/>
      </c>
      <c r="AX1923" s="109" t="str">
        <f t="shared" ref="AX1923:AX1986" si="863">IF(ISNUMBER(O1923),AW1923*(1-$H1923/100),"")</f>
        <v/>
      </c>
      <c r="AY1923" s="112" t="str">
        <f>IF(ISNUMBER(O1923),IF(AND(VLOOKUP($D1923,Merchantability!$B:$C,2,0)="Yes",$E1923&gt;=VLOOKUP($D1923,Merchantability!$B:$D,3,0),$E1923&lt;=VLOOKUP($D1923,Merchantability!$B:$E,4,0)),(AV1923*O1923)*(1-$H1923/100),""),"")</f>
        <v/>
      </c>
      <c r="AZ1923" s="116"/>
      <c r="BA1923" s="116"/>
      <c r="BB1923" s="116"/>
      <c r="BE1923" s="62"/>
      <c r="BF1923" s="63"/>
    </row>
    <row r="1924" spans="1:58" ht="12.75" customHeight="1" x14ac:dyDescent="0.25">
      <c r="A1924" s="334"/>
      <c r="B1924" s="334"/>
      <c r="C1924" s="332"/>
      <c r="D1924" s="334"/>
      <c r="E1924" s="335"/>
      <c r="F1924" s="334"/>
      <c r="G1924" s="332"/>
      <c r="H1924" s="332"/>
      <c r="I1924" s="334"/>
      <c r="J1924" s="336"/>
      <c r="K1924" s="332"/>
      <c r="L1924" s="332"/>
      <c r="M1924" s="76"/>
      <c r="N1924" s="103" t="str">
        <f>IF(A1924="","",VLOOKUP(A1924,Stand!C:K,9,0))</f>
        <v/>
      </c>
      <c r="O1924" s="104" t="str">
        <f t="shared" si="848"/>
        <v/>
      </c>
      <c r="P1924" s="105" t="str">
        <f t="shared" si="849"/>
        <v/>
      </c>
      <c r="Q1924" s="105" t="str">
        <f t="shared" si="837"/>
        <v/>
      </c>
      <c r="R1924" s="103" t="str">
        <f t="shared" si="850"/>
        <v/>
      </c>
      <c r="S1924" s="103" t="str">
        <f t="shared" si="851"/>
        <v/>
      </c>
      <c r="T1924" s="106" t="str">
        <f t="shared" si="838"/>
        <v/>
      </c>
      <c r="U1924" s="106" t="str">
        <f t="shared" si="839"/>
        <v/>
      </c>
      <c r="V1924" s="106" t="str">
        <f t="shared" si="840"/>
        <v/>
      </c>
      <c r="W1924" s="105" t="str">
        <f t="shared" si="852"/>
        <v/>
      </c>
      <c r="X1924" s="104" t="str">
        <f t="shared" si="857"/>
        <v/>
      </c>
      <c r="Y1924" s="104" t="str">
        <f t="array" ref="Y1924">IFERROR(IF(ISNUMBER(O1924),IF(COUNT(IF(A1924=$A$2:$A$2427,IF(D1924=$D$2:$D$2427,IF($X$2:$X$2427&gt;0,1))))&gt;0,SUM(IF(A1924=$A$2:$A$2427,IF(D1924=$D$2:$D$2427,$X$2:$X$2427)))/COUNT(IF(A1924=$A$2:$A$2427,IF(D1924=$D$2:$D$2427,IF(ISNUMBER($X$2:$X$2427),1)))),0),""),0)</f>
        <v/>
      </c>
      <c r="Z1924" s="104" t="str">
        <f>IF(ISNUMBER(O1924),IF(I1924&gt;0,(10^(VLOOKUP(D1924,'Species Codes'!B:C,2,0)+VLOOKUP(D1924,'Species Codes'!B:D,3,0)*LOG(E1924)+VLOOKUP(D1924,'Species Codes'!B:E,4,0)*LOG(I1924))),0),"")</f>
        <v/>
      </c>
      <c r="AA1924" s="104" t="str">
        <f>IFERROR((VLOOKUP(D1924,'Species Codes'!B:G,6,0)*Z1924)/2000,"")</f>
        <v/>
      </c>
      <c r="AB1924" s="104" t="e">
        <f>IF(Z1924&gt;0,((IF(OR(D1924="DF",D1924="RA")=TRUE,EXP(VLOOKUP(D1924,'Species Codes'!B:I,8,0)+VLOOKUP(D1924,'Species Codes'!B:J,9,0)*(LN((E1924*2.54)))),IF(OR(D1924="PY",D1924="RC",D1924="WH",D1924="NF")=TRUE,VLOOKUP(D1924,'Species Codes'!B:I,8,0)+VLOOKUP(D1924,'Species Codes'!B:J,9,0)*((E1924*2.54)^2)*(I1924*0.3048),IF(OR(D1924="MD",D1924="BM",D1924="GA")=TRUE,((VLOOKUP(D1924,'Species Codes'!B:I,8,0)*(((((E1924*2.54)+VLOOKUP(D1924,'Species Codes'!B:J,9,0))/VLOOKUP(D1924,'Species Codes'!B:K,10,0))^VLOOKUP(D1924,'Species Codes'!B:L,11,0))*((I1924*0.3048)^VLOOKUP(D1924,'Species Codes'!B:M,12,0))))-(VLOOKUP(D1924,'Species Codes'!B:I,8,0)*((((E1924*2.54)^VLOOKUP(D1924,'Species Codes'!B:L,11,0))*((I1924*0.3048)^VLOOKUP(D1924,'Species Codes'!B:M,12,0))))))*35.3*VLOOKUP(D1924,'Species Codes'!B:G,6,0)/2.2046,VLOOKUP(D1924,'Species Codes'!B:I,8,0)+VLOOKUP(D1924,'Species Codes'!B:J,9,0)*(((E1924*2.54)/100)^2)*(I1924*0.3048)))))*0.0011023),0)</f>
        <v>#N/A</v>
      </c>
      <c r="AC1924" s="104" t="e">
        <f>IF(Z1924&gt;0,((IF(OR(D1924="RA",D1924="OA",D1924="OT",D1924="UN",D1924="PC"),EXP(VLOOKUP(D1924,'Species Codes'!B:O,14,0)+VLOOKUP(D1924,'Species Codes'!B:P,15,0)*LN((E1924*2.54)))-EXP(VLOOKUP(D1924,'Species Codes'!B:O,14,0)+VLOOKUP(D1924,'Species Codes'!B:P,15,0)*LN((E1924*2.54)))*(1/(VLOOKUP(D1924,'Species Codes'!B:Q,16,0)+VLOOKUP(D1924,'Species Codes'!B:R,17,0)*((E1924*2.54)^VLOOKUP(D1924,'Species Codes'!B:S,18,0)))),IF(OR(D1924="BM",D1924="MD",D1924="OA"),EXP(VLOOKUP(D1924,'Species Codes'!B:O,14,0)+VLOOKUP(D1924,'Species Codes'!B:P,15,0)*LN((E1924*2.54)))*(1-(1/(VLOOKUP(D1924,'Species Codes'!B:Q,16,0)+VLOOKUP(D1924,'Species Codes'!B:R,17,0)*((E1924*2.54)^VLOOKUP(D1924,'Species Codes'!B:S,18,0)))))/1000,IF(D1924="DF",EXP(VLOOKUP(D1924,'Species Codes'!B:O,14,0)+VLOOKUP(D1924,'Species Codes'!B:P,15,0)*LN((E1924*2.54))),VLOOKUP(D1924,'Species Codes'!B:O,14,0)+VLOOKUP(D1924,'Species Codes'!B:P,15,0)*(((E1924*2.54)/100)^2)*(I1924*0.3048)))))*0.0011023),0)</f>
        <v>#N/A</v>
      </c>
      <c r="AD1924" s="104" t="e">
        <f t="shared" si="841"/>
        <v>#N/A</v>
      </c>
      <c r="AE1924" s="104" t="e">
        <f t="shared" si="842"/>
        <v>#N/A</v>
      </c>
      <c r="AF1924" s="104" t="e">
        <f>IF(AND(VLOOKUP($D1924,Merchantability!$B:$C,2,0)="Yes",$E1924&gt;=VLOOKUP($D1924,Merchantability!$B:$D,3,0),$E1924&lt;=VLOOKUP($D1924,Merchantability!$B:$E,4,0)),AA1924,0)</f>
        <v>#N/A</v>
      </c>
      <c r="AG1924" s="104" t="e">
        <f>IF(AND(VLOOKUP($D1924,Merchantability!$B:$C,2,0)="Yes",$E1924&gt;=VLOOKUP($D1924,Merchantability!$B:$D,3,0),$E1924&lt;=VLOOKUP($D1924,Merchantability!$B:$E,4,0)),AB1924,0)</f>
        <v>#N/A</v>
      </c>
      <c r="AH1924" s="104" t="e">
        <f>IF(AND(VLOOKUP($D1924,Merchantability!$B:$C,2,0)="Yes",$E1924&gt;=VLOOKUP($D1924,Merchantability!$B:$D,3,0),$E1924&lt;=VLOOKUP($D1924,Merchantability!$B:$E,4,0)),AC1924,0)</f>
        <v>#N/A</v>
      </c>
      <c r="AI1924" s="104" t="e">
        <f t="shared" si="843"/>
        <v>#N/A</v>
      </c>
      <c r="AJ1924" s="104" t="e">
        <f t="shared" si="844"/>
        <v>#VALUE!</v>
      </c>
      <c r="AK1924" s="104" t="e">
        <f t="shared" si="845"/>
        <v>#N/A</v>
      </c>
      <c r="AL1924" s="104" t="e">
        <f t="shared" si="846"/>
        <v>#N/A</v>
      </c>
      <c r="AM1924" s="104" t="e">
        <f t="shared" si="847"/>
        <v>#N/A</v>
      </c>
      <c r="AN1924" s="104" t="e">
        <f t="shared" si="858"/>
        <v>#N/A</v>
      </c>
      <c r="AO1924" s="104" t="e">
        <f t="shared" si="859"/>
        <v>#N/A</v>
      </c>
      <c r="AP1924" s="104" t="e">
        <f t="shared" si="860"/>
        <v>#N/A</v>
      </c>
      <c r="AQ1924" s="104" t="e">
        <f t="shared" si="861"/>
        <v>#N/A</v>
      </c>
      <c r="AR1924" s="105" t="str">
        <f t="shared" si="853"/>
        <v/>
      </c>
      <c r="AS1924" s="105" t="str">
        <f t="shared" si="854"/>
        <v/>
      </c>
      <c r="AT1924" s="108" t="str">
        <f t="shared" si="855"/>
        <v/>
      </c>
      <c r="AU1924" s="108" t="str">
        <f t="shared" si="856"/>
        <v/>
      </c>
      <c r="AV1924" s="107" t="str">
        <f>IF(ISNUMBER(O1924),IF(VLOOKUP($A1924,Stand!C:J,8,FALSE)="Short",AT1924,AU1924),"")</f>
        <v/>
      </c>
      <c r="AW1924" s="109" t="str">
        <f t="shared" si="862"/>
        <v/>
      </c>
      <c r="AX1924" s="109" t="str">
        <f t="shared" si="863"/>
        <v/>
      </c>
      <c r="AY1924" s="112" t="str">
        <f>IF(ISNUMBER(O1924),IF(AND(VLOOKUP($D1924,Merchantability!$B:$C,2,0)="Yes",$E1924&gt;=VLOOKUP($D1924,Merchantability!$B:$D,3,0),$E1924&lt;=VLOOKUP($D1924,Merchantability!$B:$E,4,0)),(AV1924*O1924)*(1-$H1924/100),""),"")</f>
        <v/>
      </c>
      <c r="AZ1924" s="116"/>
      <c r="BA1924" s="116"/>
      <c r="BB1924" s="116"/>
      <c r="BE1924" s="62"/>
      <c r="BF1924" s="63"/>
    </row>
    <row r="1925" spans="1:58" ht="12.75" customHeight="1" x14ac:dyDescent="0.25">
      <c r="A1925" s="334"/>
      <c r="B1925" s="334"/>
      <c r="C1925" s="332"/>
      <c r="D1925" s="334"/>
      <c r="E1925" s="335"/>
      <c r="F1925" s="334"/>
      <c r="G1925" s="332"/>
      <c r="H1925" s="332"/>
      <c r="I1925" s="334"/>
      <c r="J1925" s="336"/>
      <c r="K1925" s="332"/>
      <c r="L1925" s="332"/>
      <c r="M1925" s="76"/>
      <c r="N1925" s="103" t="str">
        <f>IF(A1925="","",VLOOKUP(A1925,Stand!C:K,9,0))</f>
        <v/>
      </c>
      <c r="O1925" s="104" t="str">
        <f t="shared" si="848"/>
        <v/>
      </c>
      <c r="P1925" s="105" t="str">
        <f t="shared" si="849"/>
        <v/>
      </c>
      <c r="Q1925" s="105" t="str">
        <f t="shared" si="837"/>
        <v/>
      </c>
      <c r="R1925" s="103" t="str">
        <f t="shared" si="850"/>
        <v/>
      </c>
      <c r="S1925" s="103" t="str">
        <f t="shared" si="851"/>
        <v/>
      </c>
      <c r="T1925" s="106" t="str">
        <f t="shared" si="838"/>
        <v/>
      </c>
      <c r="U1925" s="106" t="str">
        <f t="shared" si="839"/>
        <v/>
      </c>
      <c r="V1925" s="106" t="str">
        <f t="shared" si="840"/>
        <v/>
      </c>
      <c r="W1925" s="105" t="str">
        <f t="shared" si="852"/>
        <v/>
      </c>
      <c r="X1925" s="104" t="str">
        <f t="shared" si="857"/>
        <v/>
      </c>
      <c r="Y1925" s="104" t="str">
        <f t="array" ref="Y1925">IFERROR(IF(ISNUMBER(O1925),IF(COUNT(IF(A1925=$A$2:$A$2427,IF(D1925=$D$2:$D$2427,IF($X$2:$X$2427&gt;0,1))))&gt;0,SUM(IF(A1925=$A$2:$A$2427,IF(D1925=$D$2:$D$2427,$X$2:$X$2427)))/COUNT(IF(A1925=$A$2:$A$2427,IF(D1925=$D$2:$D$2427,IF(ISNUMBER($X$2:$X$2427),1)))),0),""),0)</f>
        <v/>
      </c>
      <c r="Z1925" s="104" t="str">
        <f>IF(ISNUMBER(O1925),IF(I1925&gt;0,(10^(VLOOKUP(D1925,'Species Codes'!B:C,2,0)+VLOOKUP(D1925,'Species Codes'!B:D,3,0)*LOG(E1925)+VLOOKUP(D1925,'Species Codes'!B:E,4,0)*LOG(I1925))),0),"")</f>
        <v/>
      </c>
      <c r="AA1925" s="104" t="str">
        <f>IFERROR((VLOOKUP(D1925,'Species Codes'!B:G,6,0)*Z1925)/2000,"")</f>
        <v/>
      </c>
      <c r="AB1925" s="104" t="e">
        <f>IF(Z1925&gt;0,((IF(OR(D1925="DF",D1925="RA")=TRUE,EXP(VLOOKUP(D1925,'Species Codes'!B:I,8,0)+VLOOKUP(D1925,'Species Codes'!B:J,9,0)*(LN((E1925*2.54)))),IF(OR(D1925="PY",D1925="RC",D1925="WH",D1925="NF")=TRUE,VLOOKUP(D1925,'Species Codes'!B:I,8,0)+VLOOKUP(D1925,'Species Codes'!B:J,9,0)*((E1925*2.54)^2)*(I1925*0.3048),IF(OR(D1925="MD",D1925="BM",D1925="GA")=TRUE,((VLOOKUP(D1925,'Species Codes'!B:I,8,0)*(((((E1925*2.54)+VLOOKUP(D1925,'Species Codes'!B:J,9,0))/VLOOKUP(D1925,'Species Codes'!B:K,10,0))^VLOOKUP(D1925,'Species Codes'!B:L,11,0))*((I1925*0.3048)^VLOOKUP(D1925,'Species Codes'!B:M,12,0))))-(VLOOKUP(D1925,'Species Codes'!B:I,8,0)*((((E1925*2.54)^VLOOKUP(D1925,'Species Codes'!B:L,11,0))*((I1925*0.3048)^VLOOKUP(D1925,'Species Codes'!B:M,12,0))))))*35.3*VLOOKUP(D1925,'Species Codes'!B:G,6,0)/2.2046,VLOOKUP(D1925,'Species Codes'!B:I,8,0)+VLOOKUP(D1925,'Species Codes'!B:J,9,0)*(((E1925*2.54)/100)^2)*(I1925*0.3048)))))*0.0011023),0)</f>
        <v>#N/A</v>
      </c>
      <c r="AC1925" s="104" t="e">
        <f>IF(Z1925&gt;0,((IF(OR(D1925="RA",D1925="OA",D1925="OT",D1925="UN",D1925="PC"),EXP(VLOOKUP(D1925,'Species Codes'!B:O,14,0)+VLOOKUP(D1925,'Species Codes'!B:P,15,0)*LN((E1925*2.54)))-EXP(VLOOKUP(D1925,'Species Codes'!B:O,14,0)+VLOOKUP(D1925,'Species Codes'!B:P,15,0)*LN((E1925*2.54)))*(1/(VLOOKUP(D1925,'Species Codes'!B:Q,16,0)+VLOOKUP(D1925,'Species Codes'!B:R,17,0)*((E1925*2.54)^VLOOKUP(D1925,'Species Codes'!B:S,18,0)))),IF(OR(D1925="BM",D1925="MD",D1925="OA"),EXP(VLOOKUP(D1925,'Species Codes'!B:O,14,0)+VLOOKUP(D1925,'Species Codes'!B:P,15,0)*LN((E1925*2.54)))*(1-(1/(VLOOKUP(D1925,'Species Codes'!B:Q,16,0)+VLOOKUP(D1925,'Species Codes'!B:R,17,0)*((E1925*2.54)^VLOOKUP(D1925,'Species Codes'!B:S,18,0)))))/1000,IF(D1925="DF",EXP(VLOOKUP(D1925,'Species Codes'!B:O,14,0)+VLOOKUP(D1925,'Species Codes'!B:P,15,0)*LN((E1925*2.54))),VLOOKUP(D1925,'Species Codes'!B:O,14,0)+VLOOKUP(D1925,'Species Codes'!B:P,15,0)*(((E1925*2.54)/100)^2)*(I1925*0.3048)))))*0.0011023),0)</f>
        <v>#N/A</v>
      </c>
      <c r="AD1925" s="104" t="e">
        <f t="shared" si="841"/>
        <v>#N/A</v>
      </c>
      <c r="AE1925" s="104" t="e">
        <f t="shared" si="842"/>
        <v>#N/A</v>
      </c>
      <c r="AF1925" s="104" t="e">
        <f>IF(AND(VLOOKUP($D1925,Merchantability!$B:$C,2,0)="Yes",$E1925&gt;=VLOOKUP($D1925,Merchantability!$B:$D,3,0),$E1925&lt;=VLOOKUP($D1925,Merchantability!$B:$E,4,0)),AA1925,0)</f>
        <v>#N/A</v>
      </c>
      <c r="AG1925" s="104" t="e">
        <f>IF(AND(VLOOKUP($D1925,Merchantability!$B:$C,2,0)="Yes",$E1925&gt;=VLOOKUP($D1925,Merchantability!$B:$D,3,0),$E1925&lt;=VLOOKUP($D1925,Merchantability!$B:$E,4,0)),AB1925,0)</f>
        <v>#N/A</v>
      </c>
      <c r="AH1925" s="104" t="e">
        <f>IF(AND(VLOOKUP($D1925,Merchantability!$B:$C,2,0)="Yes",$E1925&gt;=VLOOKUP($D1925,Merchantability!$B:$D,3,0),$E1925&lt;=VLOOKUP($D1925,Merchantability!$B:$E,4,0)),AC1925,0)</f>
        <v>#N/A</v>
      </c>
      <c r="AI1925" s="104" t="e">
        <f t="shared" si="843"/>
        <v>#N/A</v>
      </c>
      <c r="AJ1925" s="104" t="e">
        <f t="shared" si="844"/>
        <v>#VALUE!</v>
      </c>
      <c r="AK1925" s="104" t="e">
        <f t="shared" si="845"/>
        <v>#N/A</v>
      </c>
      <c r="AL1925" s="104" t="e">
        <f t="shared" si="846"/>
        <v>#N/A</v>
      </c>
      <c r="AM1925" s="104" t="e">
        <f t="shared" si="847"/>
        <v>#N/A</v>
      </c>
      <c r="AN1925" s="104" t="e">
        <f t="shared" si="858"/>
        <v>#N/A</v>
      </c>
      <c r="AO1925" s="104" t="e">
        <f t="shared" si="859"/>
        <v>#N/A</v>
      </c>
      <c r="AP1925" s="104" t="e">
        <f t="shared" si="860"/>
        <v>#N/A</v>
      </c>
      <c r="AQ1925" s="104" t="e">
        <f t="shared" si="861"/>
        <v>#N/A</v>
      </c>
      <c r="AR1925" s="105" t="str">
        <f t="shared" si="853"/>
        <v/>
      </c>
      <c r="AS1925" s="105" t="str">
        <f t="shared" si="854"/>
        <v/>
      </c>
      <c r="AT1925" s="108" t="str">
        <f t="shared" si="855"/>
        <v/>
      </c>
      <c r="AU1925" s="108" t="str">
        <f t="shared" si="856"/>
        <v/>
      </c>
      <c r="AV1925" s="107" t="str">
        <f>IF(ISNUMBER(O1925),IF(VLOOKUP($A1925,Stand!C:J,8,FALSE)="Short",AT1925,AU1925),"")</f>
        <v/>
      </c>
      <c r="AW1925" s="109" t="str">
        <f t="shared" si="862"/>
        <v/>
      </c>
      <c r="AX1925" s="109" t="str">
        <f t="shared" si="863"/>
        <v/>
      </c>
      <c r="AY1925" s="112" t="str">
        <f>IF(ISNUMBER(O1925),IF(AND(VLOOKUP($D1925,Merchantability!$B:$C,2,0)="Yes",$E1925&gt;=VLOOKUP($D1925,Merchantability!$B:$D,3,0),$E1925&lt;=VLOOKUP($D1925,Merchantability!$B:$E,4,0)),(AV1925*O1925)*(1-$H1925/100),""),"")</f>
        <v/>
      </c>
      <c r="AZ1925" s="116"/>
      <c r="BA1925" s="116"/>
      <c r="BB1925" s="116"/>
      <c r="BE1925" s="62"/>
      <c r="BF1925" s="63"/>
    </row>
    <row r="1926" spans="1:58" ht="12.75" customHeight="1" x14ac:dyDescent="0.25">
      <c r="A1926" s="334"/>
      <c r="B1926" s="334"/>
      <c r="C1926" s="332"/>
      <c r="D1926" s="334"/>
      <c r="E1926" s="335"/>
      <c r="F1926" s="334"/>
      <c r="G1926" s="332"/>
      <c r="H1926" s="332"/>
      <c r="I1926" s="334"/>
      <c r="J1926" s="336"/>
      <c r="K1926" s="332"/>
      <c r="L1926" s="332"/>
      <c r="M1926" s="76"/>
      <c r="N1926" s="103" t="str">
        <f>IF(A1926="","",VLOOKUP(A1926,Stand!C:K,9,0))</f>
        <v/>
      </c>
      <c r="O1926" s="104" t="str">
        <f t="shared" si="848"/>
        <v/>
      </c>
      <c r="P1926" s="105" t="str">
        <f t="shared" si="849"/>
        <v/>
      </c>
      <c r="Q1926" s="105" t="str">
        <f t="shared" si="837"/>
        <v/>
      </c>
      <c r="R1926" s="103" t="str">
        <f t="shared" si="850"/>
        <v/>
      </c>
      <c r="S1926" s="103" t="str">
        <f t="shared" si="851"/>
        <v/>
      </c>
      <c r="T1926" s="106" t="str">
        <f t="shared" si="838"/>
        <v/>
      </c>
      <c r="U1926" s="106" t="str">
        <f t="shared" si="839"/>
        <v/>
      </c>
      <c r="V1926" s="106" t="str">
        <f t="shared" si="840"/>
        <v/>
      </c>
      <c r="W1926" s="105" t="str">
        <f t="shared" si="852"/>
        <v/>
      </c>
      <c r="X1926" s="104" t="str">
        <f t="shared" si="857"/>
        <v/>
      </c>
      <c r="Y1926" s="104" t="str">
        <f t="array" ref="Y1926">IFERROR(IF(ISNUMBER(O1926),IF(COUNT(IF(A1926=$A$2:$A$2427,IF(D1926=$D$2:$D$2427,IF($X$2:$X$2427&gt;0,1))))&gt;0,SUM(IF(A1926=$A$2:$A$2427,IF(D1926=$D$2:$D$2427,$X$2:$X$2427)))/COUNT(IF(A1926=$A$2:$A$2427,IF(D1926=$D$2:$D$2427,IF(ISNUMBER($X$2:$X$2427),1)))),0),""),0)</f>
        <v/>
      </c>
      <c r="Z1926" s="104" t="str">
        <f>IF(ISNUMBER(O1926),IF(I1926&gt;0,(10^(VLOOKUP(D1926,'Species Codes'!B:C,2,0)+VLOOKUP(D1926,'Species Codes'!B:D,3,0)*LOG(E1926)+VLOOKUP(D1926,'Species Codes'!B:E,4,0)*LOG(I1926))),0),"")</f>
        <v/>
      </c>
      <c r="AA1926" s="104" t="str">
        <f>IFERROR((VLOOKUP(D1926,'Species Codes'!B:G,6,0)*Z1926)/2000,"")</f>
        <v/>
      </c>
      <c r="AB1926" s="104" t="e">
        <f>IF(Z1926&gt;0,((IF(OR(D1926="DF",D1926="RA")=TRUE,EXP(VLOOKUP(D1926,'Species Codes'!B:I,8,0)+VLOOKUP(D1926,'Species Codes'!B:J,9,0)*(LN((E1926*2.54)))),IF(OR(D1926="PY",D1926="RC",D1926="WH",D1926="NF")=TRUE,VLOOKUP(D1926,'Species Codes'!B:I,8,0)+VLOOKUP(D1926,'Species Codes'!B:J,9,0)*((E1926*2.54)^2)*(I1926*0.3048),IF(OR(D1926="MD",D1926="BM",D1926="GA")=TRUE,((VLOOKUP(D1926,'Species Codes'!B:I,8,0)*(((((E1926*2.54)+VLOOKUP(D1926,'Species Codes'!B:J,9,0))/VLOOKUP(D1926,'Species Codes'!B:K,10,0))^VLOOKUP(D1926,'Species Codes'!B:L,11,0))*((I1926*0.3048)^VLOOKUP(D1926,'Species Codes'!B:M,12,0))))-(VLOOKUP(D1926,'Species Codes'!B:I,8,0)*((((E1926*2.54)^VLOOKUP(D1926,'Species Codes'!B:L,11,0))*((I1926*0.3048)^VLOOKUP(D1926,'Species Codes'!B:M,12,0))))))*35.3*VLOOKUP(D1926,'Species Codes'!B:G,6,0)/2.2046,VLOOKUP(D1926,'Species Codes'!B:I,8,0)+VLOOKUP(D1926,'Species Codes'!B:J,9,0)*(((E1926*2.54)/100)^2)*(I1926*0.3048)))))*0.0011023),0)</f>
        <v>#N/A</v>
      </c>
      <c r="AC1926" s="104" t="e">
        <f>IF(Z1926&gt;0,((IF(OR(D1926="RA",D1926="OA",D1926="OT",D1926="UN",D1926="PC"),EXP(VLOOKUP(D1926,'Species Codes'!B:O,14,0)+VLOOKUP(D1926,'Species Codes'!B:P,15,0)*LN((E1926*2.54)))-EXP(VLOOKUP(D1926,'Species Codes'!B:O,14,0)+VLOOKUP(D1926,'Species Codes'!B:P,15,0)*LN((E1926*2.54)))*(1/(VLOOKUP(D1926,'Species Codes'!B:Q,16,0)+VLOOKUP(D1926,'Species Codes'!B:R,17,0)*((E1926*2.54)^VLOOKUP(D1926,'Species Codes'!B:S,18,0)))),IF(OR(D1926="BM",D1926="MD",D1926="OA"),EXP(VLOOKUP(D1926,'Species Codes'!B:O,14,0)+VLOOKUP(D1926,'Species Codes'!B:P,15,0)*LN((E1926*2.54)))*(1-(1/(VLOOKUP(D1926,'Species Codes'!B:Q,16,0)+VLOOKUP(D1926,'Species Codes'!B:R,17,0)*((E1926*2.54)^VLOOKUP(D1926,'Species Codes'!B:S,18,0)))))/1000,IF(D1926="DF",EXP(VLOOKUP(D1926,'Species Codes'!B:O,14,0)+VLOOKUP(D1926,'Species Codes'!B:P,15,0)*LN((E1926*2.54))),VLOOKUP(D1926,'Species Codes'!B:O,14,0)+VLOOKUP(D1926,'Species Codes'!B:P,15,0)*(((E1926*2.54)/100)^2)*(I1926*0.3048)))))*0.0011023),0)</f>
        <v>#N/A</v>
      </c>
      <c r="AD1926" s="104" t="e">
        <f t="shared" si="841"/>
        <v>#N/A</v>
      </c>
      <c r="AE1926" s="104" t="e">
        <f t="shared" si="842"/>
        <v>#N/A</v>
      </c>
      <c r="AF1926" s="104" t="e">
        <f>IF(AND(VLOOKUP($D1926,Merchantability!$B:$C,2,0)="Yes",$E1926&gt;=VLOOKUP($D1926,Merchantability!$B:$D,3,0),$E1926&lt;=VLOOKUP($D1926,Merchantability!$B:$E,4,0)),AA1926,0)</f>
        <v>#N/A</v>
      </c>
      <c r="AG1926" s="104" t="e">
        <f>IF(AND(VLOOKUP($D1926,Merchantability!$B:$C,2,0)="Yes",$E1926&gt;=VLOOKUP($D1926,Merchantability!$B:$D,3,0),$E1926&lt;=VLOOKUP($D1926,Merchantability!$B:$E,4,0)),AB1926,0)</f>
        <v>#N/A</v>
      </c>
      <c r="AH1926" s="104" t="e">
        <f>IF(AND(VLOOKUP($D1926,Merchantability!$B:$C,2,0)="Yes",$E1926&gt;=VLOOKUP($D1926,Merchantability!$B:$D,3,0),$E1926&lt;=VLOOKUP($D1926,Merchantability!$B:$E,4,0)),AC1926,0)</f>
        <v>#N/A</v>
      </c>
      <c r="AI1926" s="104" t="e">
        <f t="shared" si="843"/>
        <v>#N/A</v>
      </c>
      <c r="AJ1926" s="104" t="e">
        <f t="shared" si="844"/>
        <v>#VALUE!</v>
      </c>
      <c r="AK1926" s="104" t="e">
        <f t="shared" si="845"/>
        <v>#N/A</v>
      </c>
      <c r="AL1926" s="104" t="e">
        <f t="shared" si="846"/>
        <v>#N/A</v>
      </c>
      <c r="AM1926" s="104" t="e">
        <f t="shared" si="847"/>
        <v>#N/A</v>
      </c>
      <c r="AN1926" s="104" t="e">
        <f t="shared" si="858"/>
        <v>#N/A</v>
      </c>
      <c r="AO1926" s="104" t="e">
        <f t="shared" si="859"/>
        <v>#N/A</v>
      </c>
      <c r="AP1926" s="104" t="e">
        <f t="shared" si="860"/>
        <v>#N/A</v>
      </c>
      <c r="AQ1926" s="104" t="e">
        <f t="shared" si="861"/>
        <v>#N/A</v>
      </c>
      <c r="AR1926" s="105" t="str">
        <f t="shared" si="853"/>
        <v/>
      </c>
      <c r="AS1926" s="105" t="str">
        <f t="shared" si="854"/>
        <v/>
      </c>
      <c r="AT1926" s="108" t="str">
        <f t="shared" si="855"/>
        <v/>
      </c>
      <c r="AU1926" s="108" t="str">
        <f t="shared" si="856"/>
        <v/>
      </c>
      <c r="AV1926" s="107" t="str">
        <f>IF(ISNUMBER(O1926),IF(VLOOKUP($A1926,Stand!C:J,8,FALSE)="Short",AT1926,AU1926),"")</f>
        <v/>
      </c>
      <c r="AW1926" s="109" t="str">
        <f t="shared" si="862"/>
        <v/>
      </c>
      <c r="AX1926" s="109" t="str">
        <f t="shared" si="863"/>
        <v/>
      </c>
      <c r="AY1926" s="112" t="str">
        <f>IF(ISNUMBER(O1926),IF(AND(VLOOKUP($D1926,Merchantability!$B:$C,2,0)="Yes",$E1926&gt;=VLOOKUP($D1926,Merchantability!$B:$D,3,0),$E1926&lt;=VLOOKUP($D1926,Merchantability!$B:$E,4,0)),(AV1926*O1926)*(1-$H1926/100),""),"")</f>
        <v/>
      </c>
      <c r="AZ1926" s="116"/>
      <c r="BA1926" s="116"/>
      <c r="BB1926" s="116"/>
      <c r="BE1926" s="62"/>
      <c r="BF1926" s="63"/>
    </row>
    <row r="1927" spans="1:58" ht="12.75" customHeight="1" x14ac:dyDescent="0.25">
      <c r="A1927" s="334"/>
      <c r="B1927" s="334"/>
      <c r="C1927" s="332"/>
      <c r="D1927" s="334"/>
      <c r="E1927" s="335"/>
      <c r="F1927" s="334"/>
      <c r="G1927" s="332"/>
      <c r="H1927" s="332"/>
      <c r="I1927" s="334"/>
      <c r="J1927" s="336"/>
      <c r="K1927" s="332"/>
      <c r="L1927" s="332"/>
      <c r="M1927" s="76"/>
      <c r="N1927" s="103" t="str">
        <f>IF(A1927="","",VLOOKUP(A1927,Stand!C:K,9,0))</f>
        <v/>
      </c>
      <c r="O1927" s="104" t="str">
        <f t="shared" si="848"/>
        <v/>
      </c>
      <c r="P1927" s="105" t="str">
        <f t="shared" si="849"/>
        <v/>
      </c>
      <c r="Q1927" s="105" t="str">
        <f t="shared" si="837"/>
        <v/>
      </c>
      <c r="R1927" s="103" t="str">
        <f t="shared" si="850"/>
        <v/>
      </c>
      <c r="S1927" s="103" t="str">
        <f t="shared" si="851"/>
        <v/>
      </c>
      <c r="T1927" s="106" t="str">
        <f t="shared" si="838"/>
        <v/>
      </c>
      <c r="U1927" s="106" t="str">
        <f t="shared" si="839"/>
        <v/>
      </c>
      <c r="V1927" s="106" t="str">
        <f t="shared" si="840"/>
        <v/>
      </c>
      <c r="W1927" s="105" t="str">
        <f t="shared" si="852"/>
        <v/>
      </c>
      <c r="X1927" s="104" t="str">
        <f t="shared" si="857"/>
        <v/>
      </c>
      <c r="Y1927" s="104" t="str">
        <f t="array" ref="Y1927">IFERROR(IF(ISNUMBER(O1927),IF(COUNT(IF(A1927=$A$2:$A$2427,IF(D1927=$D$2:$D$2427,IF($X$2:$X$2427&gt;0,1))))&gt;0,SUM(IF(A1927=$A$2:$A$2427,IF(D1927=$D$2:$D$2427,$X$2:$X$2427)))/COUNT(IF(A1927=$A$2:$A$2427,IF(D1927=$D$2:$D$2427,IF(ISNUMBER($X$2:$X$2427),1)))),0),""),0)</f>
        <v/>
      </c>
      <c r="Z1927" s="104" t="str">
        <f>IF(ISNUMBER(O1927),IF(I1927&gt;0,(10^(VLOOKUP(D1927,'Species Codes'!B:C,2,0)+VLOOKUP(D1927,'Species Codes'!B:D,3,0)*LOG(E1927)+VLOOKUP(D1927,'Species Codes'!B:E,4,0)*LOG(I1927))),0),"")</f>
        <v/>
      </c>
      <c r="AA1927" s="104" t="str">
        <f>IFERROR((VLOOKUP(D1927,'Species Codes'!B:G,6,0)*Z1927)/2000,"")</f>
        <v/>
      </c>
      <c r="AB1927" s="104" t="e">
        <f>IF(Z1927&gt;0,((IF(OR(D1927="DF",D1927="RA")=TRUE,EXP(VLOOKUP(D1927,'Species Codes'!B:I,8,0)+VLOOKUP(D1927,'Species Codes'!B:J,9,0)*(LN((E1927*2.54)))),IF(OR(D1927="PY",D1927="RC",D1927="WH",D1927="NF")=TRUE,VLOOKUP(D1927,'Species Codes'!B:I,8,0)+VLOOKUP(D1927,'Species Codes'!B:J,9,0)*((E1927*2.54)^2)*(I1927*0.3048),IF(OR(D1927="MD",D1927="BM",D1927="GA")=TRUE,((VLOOKUP(D1927,'Species Codes'!B:I,8,0)*(((((E1927*2.54)+VLOOKUP(D1927,'Species Codes'!B:J,9,0))/VLOOKUP(D1927,'Species Codes'!B:K,10,0))^VLOOKUP(D1927,'Species Codes'!B:L,11,0))*((I1927*0.3048)^VLOOKUP(D1927,'Species Codes'!B:M,12,0))))-(VLOOKUP(D1927,'Species Codes'!B:I,8,0)*((((E1927*2.54)^VLOOKUP(D1927,'Species Codes'!B:L,11,0))*((I1927*0.3048)^VLOOKUP(D1927,'Species Codes'!B:M,12,0))))))*35.3*VLOOKUP(D1927,'Species Codes'!B:G,6,0)/2.2046,VLOOKUP(D1927,'Species Codes'!B:I,8,0)+VLOOKUP(D1927,'Species Codes'!B:J,9,0)*(((E1927*2.54)/100)^2)*(I1927*0.3048)))))*0.0011023),0)</f>
        <v>#N/A</v>
      </c>
      <c r="AC1927" s="104" t="e">
        <f>IF(Z1927&gt;0,((IF(OR(D1927="RA",D1927="OA",D1927="OT",D1927="UN",D1927="PC"),EXP(VLOOKUP(D1927,'Species Codes'!B:O,14,0)+VLOOKUP(D1927,'Species Codes'!B:P,15,0)*LN((E1927*2.54)))-EXP(VLOOKUP(D1927,'Species Codes'!B:O,14,0)+VLOOKUP(D1927,'Species Codes'!B:P,15,0)*LN((E1927*2.54)))*(1/(VLOOKUP(D1927,'Species Codes'!B:Q,16,0)+VLOOKUP(D1927,'Species Codes'!B:R,17,0)*((E1927*2.54)^VLOOKUP(D1927,'Species Codes'!B:S,18,0)))),IF(OR(D1927="BM",D1927="MD",D1927="OA"),EXP(VLOOKUP(D1927,'Species Codes'!B:O,14,0)+VLOOKUP(D1927,'Species Codes'!B:P,15,0)*LN((E1927*2.54)))*(1-(1/(VLOOKUP(D1927,'Species Codes'!B:Q,16,0)+VLOOKUP(D1927,'Species Codes'!B:R,17,0)*((E1927*2.54)^VLOOKUP(D1927,'Species Codes'!B:S,18,0)))))/1000,IF(D1927="DF",EXP(VLOOKUP(D1927,'Species Codes'!B:O,14,0)+VLOOKUP(D1927,'Species Codes'!B:P,15,0)*LN((E1927*2.54))),VLOOKUP(D1927,'Species Codes'!B:O,14,0)+VLOOKUP(D1927,'Species Codes'!B:P,15,0)*(((E1927*2.54)/100)^2)*(I1927*0.3048)))))*0.0011023),0)</f>
        <v>#N/A</v>
      </c>
      <c r="AD1927" s="104" t="e">
        <f t="shared" si="841"/>
        <v>#N/A</v>
      </c>
      <c r="AE1927" s="104" t="e">
        <f t="shared" si="842"/>
        <v>#N/A</v>
      </c>
      <c r="AF1927" s="104" t="e">
        <f>IF(AND(VLOOKUP($D1927,Merchantability!$B:$C,2,0)="Yes",$E1927&gt;=VLOOKUP($D1927,Merchantability!$B:$D,3,0),$E1927&lt;=VLOOKUP($D1927,Merchantability!$B:$E,4,0)),AA1927,0)</f>
        <v>#N/A</v>
      </c>
      <c r="AG1927" s="104" t="e">
        <f>IF(AND(VLOOKUP($D1927,Merchantability!$B:$C,2,0)="Yes",$E1927&gt;=VLOOKUP($D1927,Merchantability!$B:$D,3,0),$E1927&lt;=VLOOKUP($D1927,Merchantability!$B:$E,4,0)),AB1927,0)</f>
        <v>#N/A</v>
      </c>
      <c r="AH1927" s="104" t="e">
        <f>IF(AND(VLOOKUP($D1927,Merchantability!$B:$C,2,0)="Yes",$E1927&gt;=VLOOKUP($D1927,Merchantability!$B:$D,3,0),$E1927&lt;=VLOOKUP($D1927,Merchantability!$B:$E,4,0)),AC1927,0)</f>
        <v>#N/A</v>
      </c>
      <c r="AI1927" s="104" t="e">
        <f t="shared" si="843"/>
        <v>#N/A</v>
      </c>
      <c r="AJ1927" s="104" t="e">
        <f t="shared" si="844"/>
        <v>#VALUE!</v>
      </c>
      <c r="AK1927" s="104" t="e">
        <f t="shared" si="845"/>
        <v>#N/A</v>
      </c>
      <c r="AL1927" s="104" t="e">
        <f t="shared" si="846"/>
        <v>#N/A</v>
      </c>
      <c r="AM1927" s="104" t="e">
        <f t="shared" si="847"/>
        <v>#N/A</v>
      </c>
      <c r="AN1927" s="104" t="e">
        <f t="shared" si="858"/>
        <v>#N/A</v>
      </c>
      <c r="AO1927" s="104" t="e">
        <f t="shared" si="859"/>
        <v>#N/A</v>
      </c>
      <c r="AP1927" s="104" t="e">
        <f t="shared" si="860"/>
        <v>#N/A</v>
      </c>
      <c r="AQ1927" s="104" t="e">
        <f t="shared" si="861"/>
        <v>#N/A</v>
      </c>
      <c r="AR1927" s="105" t="str">
        <f t="shared" si="853"/>
        <v/>
      </c>
      <c r="AS1927" s="105" t="str">
        <f t="shared" si="854"/>
        <v/>
      </c>
      <c r="AT1927" s="108" t="str">
        <f t="shared" si="855"/>
        <v/>
      </c>
      <c r="AU1927" s="108" t="str">
        <f t="shared" si="856"/>
        <v/>
      </c>
      <c r="AV1927" s="107" t="str">
        <f>IF(ISNUMBER(O1927),IF(VLOOKUP($A1927,Stand!C:J,8,FALSE)="Short",AT1927,AU1927),"")</f>
        <v/>
      </c>
      <c r="AW1927" s="109" t="str">
        <f t="shared" si="862"/>
        <v/>
      </c>
      <c r="AX1927" s="109" t="str">
        <f t="shared" si="863"/>
        <v/>
      </c>
      <c r="AY1927" s="112" t="str">
        <f>IF(ISNUMBER(O1927),IF(AND(VLOOKUP($D1927,Merchantability!$B:$C,2,0)="Yes",$E1927&gt;=VLOOKUP($D1927,Merchantability!$B:$D,3,0),$E1927&lt;=VLOOKUP($D1927,Merchantability!$B:$E,4,0)),(AV1927*O1927)*(1-$H1927/100),""),"")</f>
        <v/>
      </c>
      <c r="AZ1927" s="116"/>
      <c r="BA1927" s="116"/>
      <c r="BB1927" s="116"/>
      <c r="BE1927" s="62"/>
      <c r="BF1927" s="63"/>
    </row>
    <row r="1928" spans="1:58" ht="12.75" customHeight="1" x14ac:dyDescent="0.25">
      <c r="A1928" s="334"/>
      <c r="B1928" s="334"/>
      <c r="C1928" s="332"/>
      <c r="D1928" s="334"/>
      <c r="E1928" s="335"/>
      <c r="F1928" s="334"/>
      <c r="G1928" s="332"/>
      <c r="H1928" s="332"/>
      <c r="I1928" s="334"/>
      <c r="J1928" s="336"/>
      <c r="K1928" s="332"/>
      <c r="L1928" s="332"/>
      <c r="M1928" s="76"/>
      <c r="N1928" s="103" t="str">
        <f>IF(A1928="","",VLOOKUP(A1928,Stand!C:K,9,0))</f>
        <v/>
      </c>
      <c r="O1928" s="104" t="str">
        <f t="shared" si="848"/>
        <v/>
      </c>
      <c r="P1928" s="105" t="str">
        <f t="shared" si="849"/>
        <v/>
      </c>
      <c r="Q1928" s="105" t="str">
        <f t="shared" si="837"/>
        <v/>
      </c>
      <c r="R1928" s="103" t="str">
        <f t="shared" si="850"/>
        <v/>
      </c>
      <c r="S1928" s="103" t="str">
        <f t="shared" si="851"/>
        <v/>
      </c>
      <c r="T1928" s="106" t="str">
        <f t="shared" si="838"/>
        <v/>
      </c>
      <c r="U1928" s="106" t="str">
        <f t="shared" si="839"/>
        <v/>
      </c>
      <c r="V1928" s="106" t="str">
        <f t="shared" si="840"/>
        <v/>
      </c>
      <c r="W1928" s="105" t="str">
        <f t="shared" si="852"/>
        <v/>
      </c>
      <c r="X1928" s="104" t="str">
        <f t="shared" si="857"/>
        <v/>
      </c>
      <c r="Y1928" s="104" t="str">
        <f t="array" ref="Y1928">IFERROR(IF(ISNUMBER(O1928),IF(COUNT(IF(A1928=$A$2:$A$2427,IF(D1928=$D$2:$D$2427,IF($X$2:$X$2427&gt;0,1))))&gt;0,SUM(IF(A1928=$A$2:$A$2427,IF(D1928=$D$2:$D$2427,$X$2:$X$2427)))/COUNT(IF(A1928=$A$2:$A$2427,IF(D1928=$D$2:$D$2427,IF(ISNUMBER($X$2:$X$2427),1)))),0),""),0)</f>
        <v/>
      </c>
      <c r="Z1928" s="104" t="str">
        <f>IF(ISNUMBER(O1928),IF(I1928&gt;0,(10^(VLOOKUP(D1928,'Species Codes'!B:C,2,0)+VLOOKUP(D1928,'Species Codes'!B:D,3,0)*LOG(E1928)+VLOOKUP(D1928,'Species Codes'!B:E,4,0)*LOG(I1928))),0),"")</f>
        <v/>
      </c>
      <c r="AA1928" s="104" t="str">
        <f>IFERROR((VLOOKUP(D1928,'Species Codes'!B:G,6,0)*Z1928)/2000,"")</f>
        <v/>
      </c>
      <c r="AB1928" s="104" t="e">
        <f>IF(Z1928&gt;0,((IF(OR(D1928="DF",D1928="RA")=TRUE,EXP(VLOOKUP(D1928,'Species Codes'!B:I,8,0)+VLOOKUP(D1928,'Species Codes'!B:J,9,0)*(LN((E1928*2.54)))),IF(OR(D1928="PY",D1928="RC",D1928="WH",D1928="NF")=TRUE,VLOOKUP(D1928,'Species Codes'!B:I,8,0)+VLOOKUP(D1928,'Species Codes'!B:J,9,0)*((E1928*2.54)^2)*(I1928*0.3048),IF(OR(D1928="MD",D1928="BM",D1928="GA")=TRUE,((VLOOKUP(D1928,'Species Codes'!B:I,8,0)*(((((E1928*2.54)+VLOOKUP(D1928,'Species Codes'!B:J,9,0))/VLOOKUP(D1928,'Species Codes'!B:K,10,0))^VLOOKUP(D1928,'Species Codes'!B:L,11,0))*((I1928*0.3048)^VLOOKUP(D1928,'Species Codes'!B:M,12,0))))-(VLOOKUP(D1928,'Species Codes'!B:I,8,0)*((((E1928*2.54)^VLOOKUP(D1928,'Species Codes'!B:L,11,0))*((I1928*0.3048)^VLOOKUP(D1928,'Species Codes'!B:M,12,0))))))*35.3*VLOOKUP(D1928,'Species Codes'!B:G,6,0)/2.2046,VLOOKUP(D1928,'Species Codes'!B:I,8,0)+VLOOKUP(D1928,'Species Codes'!B:J,9,0)*(((E1928*2.54)/100)^2)*(I1928*0.3048)))))*0.0011023),0)</f>
        <v>#N/A</v>
      </c>
      <c r="AC1928" s="104" t="e">
        <f>IF(Z1928&gt;0,((IF(OR(D1928="RA",D1928="OA",D1928="OT",D1928="UN",D1928="PC"),EXP(VLOOKUP(D1928,'Species Codes'!B:O,14,0)+VLOOKUP(D1928,'Species Codes'!B:P,15,0)*LN((E1928*2.54)))-EXP(VLOOKUP(D1928,'Species Codes'!B:O,14,0)+VLOOKUP(D1928,'Species Codes'!B:P,15,0)*LN((E1928*2.54)))*(1/(VLOOKUP(D1928,'Species Codes'!B:Q,16,0)+VLOOKUP(D1928,'Species Codes'!B:R,17,0)*((E1928*2.54)^VLOOKUP(D1928,'Species Codes'!B:S,18,0)))),IF(OR(D1928="BM",D1928="MD",D1928="OA"),EXP(VLOOKUP(D1928,'Species Codes'!B:O,14,0)+VLOOKUP(D1928,'Species Codes'!B:P,15,0)*LN((E1928*2.54)))*(1-(1/(VLOOKUP(D1928,'Species Codes'!B:Q,16,0)+VLOOKUP(D1928,'Species Codes'!B:R,17,0)*((E1928*2.54)^VLOOKUP(D1928,'Species Codes'!B:S,18,0)))))/1000,IF(D1928="DF",EXP(VLOOKUP(D1928,'Species Codes'!B:O,14,0)+VLOOKUP(D1928,'Species Codes'!B:P,15,0)*LN((E1928*2.54))),VLOOKUP(D1928,'Species Codes'!B:O,14,0)+VLOOKUP(D1928,'Species Codes'!B:P,15,0)*(((E1928*2.54)/100)^2)*(I1928*0.3048)))))*0.0011023),0)</f>
        <v>#N/A</v>
      </c>
      <c r="AD1928" s="104" t="e">
        <f t="shared" si="841"/>
        <v>#N/A</v>
      </c>
      <c r="AE1928" s="104" t="e">
        <f t="shared" si="842"/>
        <v>#N/A</v>
      </c>
      <c r="AF1928" s="104" t="e">
        <f>IF(AND(VLOOKUP($D1928,Merchantability!$B:$C,2,0)="Yes",$E1928&gt;=VLOOKUP($D1928,Merchantability!$B:$D,3,0),$E1928&lt;=VLOOKUP($D1928,Merchantability!$B:$E,4,0)),AA1928,0)</f>
        <v>#N/A</v>
      </c>
      <c r="AG1928" s="104" t="e">
        <f>IF(AND(VLOOKUP($D1928,Merchantability!$B:$C,2,0)="Yes",$E1928&gt;=VLOOKUP($D1928,Merchantability!$B:$D,3,0),$E1928&lt;=VLOOKUP($D1928,Merchantability!$B:$E,4,0)),AB1928,0)</f>
        <v>#N/A</v>
      </c>
      <c r="AH1928" s="104" t="e">
        <f>IF(AND(VLOOKUP($D1928,Merchantability!$B:$C,2,0)="Yes",$E1928&gt;=VLOOKUP($D1928,Merchantability!$B:$D,3,0),$E1928&lt;=VLOOKUP($D1928,Merchantability!$B:$E,4,0)),AC1928,0)</f>
        <v>#N/A</v>
      </c>
      <c r="AI1928" s="104" t="e">
        <f t="shared" si="843"/>
        <v>#N/A</v>
      </c>
      <c r="AJ1928" s="104" t="e">
        <f t="shared" si="844"/>
        <v>#VALUE!</v>
      </c>
      <c r="AK1928" s="104" t="e">
        <f t="shared" si="845"/>
        <v>#N/A</v>
      </c>
      <c r="AL1928" s="104" t="e">
        <f t="shared" si="846"/>
        <v>#N/A</v>
      </c>
      <c r="AM1928" s="104" t="e">
        <f t="shared" si="847"/>
        <v>#N/A</v>
      </c>
      <c r="AN1928" s="104" t="e">
        <f t="shared" si="858"/>
        <v>#N/A</v>
      </c>
      <c r="AO1928" s="104" t="e">
        <f t="shared" si="859"/>
        <v>#N/A</v>
      </c>
      <c r="AP1928" s="104" t="e">
        <f t="shared" si="860"/>
        <v>#N/A</v>
      </c>
      <c r="AQ1928" s="104" t="e">
        <f t="shared" si="861"/>
        <v>#N/A</v>
      </c>
      <c r="AR1928" s="105" t="str">
        <f t="shared" si="853"/>
        <v/>
      </c>
      <c r="AS1928" s="105" t="str">
        <f t="shared" si="854"/>
        <v/>
      </c>
      <c r="AT1928" s="108" t="str">
        <f t="shared" si="855"/>
        <v/>
      </c>
      <c r="AU1928" s="108" t="str">
        <f t="shared" si="856"/>
        <v/>
      </c>
      <c r="AV1928" s="107" t="str">
        <f>IF(ISNUMBER(O1928),IF(VLOOKUP($A1928,Stand!C:J,8,FALSE)="Short",AT1928,AU1928),"")</f>
        <v/>
      </c>
      <c r="AW1928" s="109" t="str">
        <f t="shared" si="862"/>
        <v/>
      </c>
      <c r="AX1928" s="109" t="str">
        <f t="shared" si="863"/>
        <v/>
      </c>
      <c r="AY1928" s="112" t="str">
        <f>IF(ISNUMBER(O1928),IF(AND(VLOOKUP($D1928,Merchantability!$B:$C,2,0)="Yes",$E1928&gt;=VLOOKUP($D1928,Merchantability!$B:$D,3,0),$E1928&lt;=VLOOKUP($D1928,Merchantability!$B:$E,4,0)),(AV1928*O1928)*(1-$H1928/100),""),"")</f>
        <v/>
      </c>
      <c r="AZ1928" s="116"/>
      <c r="BA1928" s="116"/>
      <c r="BB1928" s="116"/>
      <c r="BE1928" s="62"/>
      <c r="BF1928" s="63"/>
    </row>
    <row r="1929" spans="1:58" ht="12.75" customHeight="1" x14ac:dyDescent="0.25">
      <c r="A1929" s="334"/>
      <c r="B1929" s="334"/>
      <c r="C1929" s="332"/>
      <c r="D1929" s="334"/>
      <c r="E1929" s="335"/>
      <c r="F1929" s="334"/>
      <c r="G1929" s="332"/>
      <c r="H1929" s="332"/>
      <c r="I1929" s="334"/>
      <c r="J1929" s="336"/>
      <c r="K1929" s="332"/>
      <c r="L1929" s="332"/>
      <c r="M1929" s="76"/>
      <c r="N1929" s="103" t="str">
        <f>IF(A1929="","",VLOOKUP(A1929,Stand!C:K,9,0))</f>
        <v/>
      </c>
      <c r="O1929" s="104" t="str">
        <f t="shared" si="848"/>
        <v/>
      </c>
      <c r="P1929" s="105" t="str">
        <f t="shared" si="849"/>
        <v/>
      </c>
      <c r="Q1929" s="105" t="str">
        <f t="shared" si="837"/>
        <v/>
      </c>
      <c r="R1929" s="103" t="str">
        <f t="shared" si="850"/>
        <v/>
      </c>
      <c r="S1929" s="103" t="str">
        <f t="shared" si="851"/>
        <v/>
      </c>
      <c r="T1929" s="106" t="str">
        <f t="shared" si="838"/>
        <v/>
      </c>
      <c r="U1929" s="106" t="str">
        <f t="shared" si="839"/>
        <v/>
      </c>
      <c r="V1929" s="106" t="str">
        <f t="shared" si="840"/>
        <v/>
      </c>
      <c r="W1929" s="105" t="str">
        <f t="shared" si="852"/>
        <v/>
      </c>
      <c r="X1929" s="104" t="str">
        <f t="shared" si="857"/>
        <v/>
      </c>
      <c r="Y1929" s="104" t="str">
        <f t="array" ref="Y1929">IFERROR(IF(ISNUMBER(O1929),IF(COUNT(IF(A1929=$A$2:$A$2427,IF(D1929=$D$2:$D$2427,IF($X$2:$X$2427&gt;0,1))))&gt;0,SUM(IF(A1929=$A$2:$A$2427,IF(D1929=$D$2:$D$2427,$X$2:$X$2427)))/COUNT(IF(A1929=$A$2:$A$2427,IF(D1929=$D$2:$D$2427,IF(ISNUMBER($X$2:$X$2427),1)))),0),""),0)</f>
        <v/>
      </c>
      <c r="Z1929" s="104" t="str">
        <f>IF(ISNUMBER(O1929),IF(I1929&gt;0,(10^(VLOOKUP(D1929,'Species Codes'!B:C,2,0)+VLOOKUP(D1929,'Species Codes'!B:D,3,0)*LOG(E1929)+VLOOKUP(D1929,'Species Codes'!B:E,4,0)*LOG(I1929))),0),"")</f>
        <v/>
      </c>
      <c r="AA1929" s="104" t="str">
        <f>IFERROR((VLOOKUP(D1929,'Species Codes'!B:G,6,0)*Z1929)/2000,"")</f>
        <v/>
      </c>
      <c r="AB1929" s="104" t="e">
        <f>IF(Z1929&gt;0,((IF(OR(D1929="DF",D1929="RA")=TRUE,EXP(VLOOKUP(D1929,'Species Codes'!B:I,8,0)+VLOOKUP(D1929,'Species Codes'!B:J,9,0)*(LN((E1929*2.54)))),IF(OR(D1929="PY",D1929="RC",D1929="WH",D1929="NF")=TRUE,VLOOKUP(D1929,'Species Codes'!B:I,8,0)+VLOOKUP(D1929,'Species Codes'!B:J,9,0)*((E1929*2.54)^2)*(I1929*0.3048),IF(OR(D1929="MD",D1929="BM",D1929="GA")=TRUE,((VLOOKUP(D1929,'Species Codes'!B:I,8,0)*(((((E1929*2.54)+VLOOKUP(D1929,'Species Codes'!B:J,9,0))/VLOOKUP(D1929,'Species Codes'!B:K,10,0))^VLOOKUP(D1929,'Species Codes'!B:L,11,0))*((I1929*0.3048)^VLOOKUP(D1929,'Species Codes'!B:M,12,0))))-(VLOOKUP(D1929,'Species Codes'!B:I,8,0)*((((E1929*2.54)^VLOOKUP(D1929,'Species Codes'!B:L,11,0))*((I1929*0.3048)^VLOOKUP(D1929,'Species Codes'!B:M,12,0))))))*35.3*VLOOKUP(D1929,'Species Codes'!B:G,6,0)/2.2046,VLOOKUP(D1929,'Species Codes'!B:I,8,0)+VLOOKUP(D1929,'Species Codes'!B:J,9,0)*(((E1929*2.54)/100)^2)*(I1929*0.3048)))))*0.0011023),0)</f>
        <v>#N/A</v>
      </c>
      <c r="AC1929" s="104" t="e">
        <f>IF(Z1929&gt;0,((IF(OR(D1929="RA",D1929="OA",D1929="OT",D1929="UN",D1929="PC"),EXP(VLOOKUP(D1929,'Species Codes'!B:O,14,0)+VLOOKUP(D1929,'Species Codes'!B:P,15,0)*LN((E1929*2.54)))-EXP(VLOOKUP(D1929,'Species Codes'!B:O,14,0)+VLOOKUP(D1929,'Species Codes'!B:P,15,0)*LN((E1929*2.54)))*(1/(VLOOKUP(D1929,'Species Codes'!B:Q,16,0)+VLOOKUP(D1929,'Species Codes'!B:R,17,0)*((E1929*2.54)^VLOOKUP(D1929,'Species Codes'!B:S,18,0)))),IF(OR(D1929="BM",D1929="MD",D1929="OA"),EXP(VLOOKUP(D1929,'Species Codes'!B:O,14,0)+VLOOKUP(D1929,'Species Codes'!B:P,15,0)*LN((E1929*2.54)))*(1-(1/(VLOOKUP(D1929,'Species Codes'!B:Q,16,0)+VLOOKUP(D1929,'Species Codes'!B:R,17,0)*((E1929*2.54)^VLOOKUP(D1929,'Species Codes'!B:S,18,0)))))/1000,IF(D1929="DF",EXP(VLOOKUP(D1929,'Species Codes'!B:O,14,0)+VLOOKUP(D1929,'Species Codes'!B:P,15,0)*LN((E1929*2.54))),VLOOKUP(D1929,'Species Codes'!B:O,14,0)+VLOOKUP(D1929,'Species Codes'!B:P,15,0)*(((E1929*2.54)/100)^2)*(I1929*0.3048)))))*0.0011023),0)</f>
        <v>#N/A</v>
      </c>
      <c r="AD1929" s="104" t="e">
        <f t="shared" si="841"/>
        <v>#N/A</v>
      </c>
      <c r="AE1929" s="104" t="e">
        <f t="shared" si="842"/>
        <v>#N/A</v>
      </c>
      <c r="AF1929" s="104" t="e">
        <f>IF(AND(VLOOKUP($D1929,Merchantability!$B:$C,2,0)="Yes",$E1929&gt;=VLOOKUP($D1929,Merchantability!$B:$D,3,0),$E1929&lt;=VLOOKUP($D1929,Merchantability!$B:$E,4,0)),AA1929,0)</f>
        <v>#N/A</v>
      </c>
      <c r="AG1929" s="104" t="e">
        <f>IF(AND(VLOOKUP($D1929,Merchantability!$B:$C,2,0)="Yes",$E1929&gt;=VLOOKUP($D1929,Merchantability!$B:$D,3,0),$E1929&lt;=VLOOKUP($D1929,Merchantability!$B:$E,4,0)),AB1929,0)</f>
        <v>#N/A</v>
      </c>
      <c r="AH1929" s="104" t="e">
        <f>IF(AND(VLOOKUP($D1929,Merchantability!$B:$C,2,0)="Yes",$E1929&gt;=VLOOKUP($D1929,Merchantability!$B:$D,3,0),$E1929&lt;=VLOOKUP($D1929,Merchantability!$B:$E,4,0)),AC1929,0)</f>
        <v>#N/A</v>
      </c>
      <c r="AI1929" s="104" t="e">
        <f t="shared" si="843"/>
        <v>#N/A</v>
      </c>
      <c r="AJ1929" s="104" t="e">
        <f t="shared" si="844"/>
        <v>#VALUE!</v>
      </c>
      <c r="AK1929" s="104" t="e">
        <f t="shared" si="845"/>
        <v>#N/A</v>
      </c>
      <c r="AL1929" s="104" t="e">
        <f t="shared" si="846"/>
        <v>#N/A</v>
      </c>
      <c r="AM1929" s="104" t="e">
        <f t="shared" si="847"/>
        <v>#N/A</v>
      </c>
      <c r="AN1929" s="104" t="e">
        <f t="shared" si="858"/>
        <v>#N/A</v>
      </c>
      <c r="AO1929" s="104" t="e">
        <f t="shared" si="859"/>
        <v>#N/A</v>
      </c>
      <c r="AP1929" s="104" t="e">
        <f t="shared" si="860"/>
        <v>#N/A</v>
      </c>
      <c r="AQ1929" s="104" t="e">
        <f t="shared" si="861"/>
        <v>#N/A</v>
      </c>
      <c r="AR1929" s="105" t="str">
        <f t="shared" si="853"/>
        <v/>
      </c>
      <c r="AS1929" s="105" t="str">
        <f t="shared" si="854"/>
        <v/>
      </c>
      <c r="AT1929" s="108" t="str">
        <f t="shared" si="855"/>
        <v/>
      </c>
      <c r="AU1929" s="108" t="str">
        <f t="shared" si="856"/>
        <v/>
      </c>
      <c r="AV1929" s="107" t="str">
        <f>IF(ISNUMBER(O1929),IF(VLOOKUP($A1929,Stand!C:J,8,FALSE)="Short",AT1929,AU1929),"")</f>
        <v/>
      </c>
      <c r="AW1929" s="109" t="str">
        <f t="shared" si="862"/>
        <v/>
      </c>
      <c r="AX1929" s="109" t="str">
        <f t="shared" si="863"/>
        <v/>
      </c>
      <c r="AY1929" s="112" t="str">
        <f>IF(ISNUMBER(O1929),IF(AND(VLOOKUP($D1929,Merchantability!$B:$C,2,0)="Yes",$E1929&gt;=VLOOKUP($D1929,Merchantability!$B:$D,3,0),$E1929&lt;=VLOOKUP($D1929,Merchantability!$B:$E,4,0)),(AV1929*O1929)*(1-$H1929/100),""),"")</f>
        <v/>
      </c>
      <c r="AZ1929" s="116"/>
      <c r="BA1929" s="116"/>
      <c r="BB1929" s="116"/>
      <c r="BE1929" s="62"/>
      <c r="BF1929" s="63"/>
    </row>
    <row r="1930" spans="1:58" ht="12.75" customHeight="1" x14ac:dyDescent="0.25">
      <c r="A1930" s="334"/>
      <c r="B1930" s="334"/>
      <c r="C1930" s="332"/>
      <c r="D1930" s="334"/>
      <c r="E1930" s="335"/>
      <c r="F1930" s="334"/>
      <c r="G1930" s="332"/>
      <c r="H1930" s="332"/>
      <c r="I1930" s="334"/>
      <c r="J1930" s="336"/>
      <c r="K1930" s="332"/>
      <c r="L1930" s="332"/>
      <c r="M1930" s="76"/>
      <c r="N1930" s="103" t="str">
        <f>IF(A1930="","",VLOOKUP(A1930,Stand!C:K,9,0))</f>
        <v/>
      </c>
      <c r="O1930" s="104" t="str">
        <f t="shared" si="848"/>
        <v/>
      </c>
      <c r="P1930" s="105" t="str">
        <f t="shared" si="849"/>
        <v/>
      </c>
      <c r="Q1930" s="105" t="str">
        <f t="shared" si="837"/>
        <v/>
      </c>
      <c r="R1930" s="103" t="str">
        <f t="shared" si="850"/>
        <v/>
      </c>
      <c r="S1930" s="103" t="str">
        <f t="shared" si="851"/>
        <v/>
      </c>
      <c r="T1930" s="106" t="str">
        <f t="shared" si="838"/>
        <v/>
      </c>
      <c r="U1930" s="106" t="str">
        <f t="shared" si="839"/>
        <v/>
      </c>
      <c r="V1930" s="106" t="str">
        <f t="shared" si="840"/>
        <v/>
      </c>
      <c r="W1930" s="105" t="str">
        <f t="shared" si="852"/>
        <v/>
      </c>
      <c r="X1930" s="104" t="str">
        <f t="shared" si="857"/>
        <v/>
      </c>
      <c r="Y1930" s="104" t="str">
        <f t="array" ref="Y1930">IFERROR(IF(ISNUMBER(O1930),IF(COUNT(IF(A1930=$A$2:$A$2427,IF(D1930=$D$2:$D$2427,IF($X$2:$X$2427&gt;0,1))))&gt;0,SUM(IF(A1930=$A$2:$A$2427,IF(D1930=$D$2:$D$2427,$X$2:$X$2427)))/COUNT(IF(A1930=$A$2:$A$2427,IF(D1930=$D$2:$D$2427,IF(ISNUMBER($X$2:$X$2427),1)))),0),""),0)</f>
        <v/>
      </c>
      <c r="Z1930" s="104" t="str">
        <f>IF(ISNUMBER(O1930),IF(I1930&gt;0,(10^(VLOOKUP(D1930,'Species Codes'!B:C,2,0)+VLOOKUP(D1930,'Species Codes'!B:D,3,0)*LOG(E1930)+VLOOKUP(D1930,'Species Codes'!B:E,4,0)*LOG(I1930))),0),"")</f>
        <v/>
      </c>
      <c r="AA1930" s="104" t="str">
        <f>IFERROR((VLOOKUP(D1930,'Species Codes'!B:G,6,0)*Z1930)/2000,"")</f>
        <v/>
      </c>
      <c r="AB1930" s="104" t="e">
        <f>IF(Z1930&gt;0,((IF(OR(D1930="DF",D1930="RA")=TRUE,EXP(VLOOKUP(D1930,'Species Codes'!B:I,8,0)+VLOOKUP(D1930,'Species Codes'!B:J,9,0)*(LN((E1930*2.54)))),IF(OR(D1930="PY",D1930="RC",D1930="WH",D1930="NF")=TRUE,VLOOKUP(D1930,'Species Codes'!B:I,8,0)+VLOOKUP(D1930,'Species Codes'!B:J,9,0)*((E1930*2.54)^2)*(I1930*0.3048),IF(OR(D1930="MD",D1930="BM",D1930="GA")=TRUE,((VLOOKUP(D1930,'Species Codes'!B:I,8,0)*(((((E1930*2.54)+VLOOKUP(D1930,'Species Codes'!B:J,9,0))/VLOOKUP(D1930,'Species Codes'!B:K,10,0))^VLOOKUP(D1930,'Species Codes'!B:L,11,0))*((I1930*0.3048)^VLOOKUP(D1930,'Species Codes'!B:M,12,0))))-(VLOOKUP(D1930,'Species Codes'!B:I,8,0)*((((E1930*2.54)^VLOOKUP(D1930,'Species Codes'!B:L,11,0))*((I1930*0.3048)^VLOOKUP(D1930,'Species Codes'!B:M,12,0))))))*35.3*VLOOKUP(D1930,'Species Codes'!B:G,6,0)/2.2046,VLOOKUP(D1930,'Species Codes'!B:I,8,0)+VLOOKUP(D1930,'Species Codes'!B:J,9,0)*(((E1930*2.54)/100)^2)*(I1930*0.3048)))))*0.0011023),0)</f>
        <v>#N/A</v>
      </c>
      <c r="AC1930" s="104" t="e">
        <f>IF(Z1930&gt;0,((IF(OR(D1930="RA",D1930="OA",D1930="OT",D1930="UN",D1930="PC"),EXP(VLOOKUP(D1930,'Species Codes'!B:O,14,0)+VLOOKUP(D1930,'Species Codes'!B:P,15,0)*LN((E1930*2.54)))-EXP(VLOOKUP(D1930,'Species Codes'!B:O,14,0)+VLOOKUP(D1930,'Species Codes'!B:P,15,0)*LN((E1930*2.54)))*(1/(VLOOKUP(D1930,'Species Codes'!B:Q,16,0)+VLOOKUP(D1930,'Species Codes'!B:R,17,0)*((E1930*2.54)^VLOOKUP(D1930,'Species Codes'!B:S,18,0)))),IF(OR(D1930="BM",D1930="MD",D1930="OA"),EXP(VLOOKUP(D1930,'Species Codes'!B:O,14,0)+VLOOKUP(D1930,'Species Codes'!B:P,15,0)*LN((E1930*2.54)))*(1-(1/(VLOOKUP(D1930,'Species Codes'!B:Q,16,0)+VLOOKUP(D1930,'Species Codes'!B:R,17,0)*((E1930*2.54)^VLOOKUP(D1930,'Species Codes'!B:S,18,0)))))/1000,IF(D1930="DF",EXP(VLOOKUP(D1930,'Species Codes'!B:O,14,0)+VLOOKUP(D1930,'Species Codes'!B:P,15,0)*LN((E1930*2.54))),VLOOKUP(D1930,'Species Codes'!B:O,14,0)+VLOOKUP(D1930,'Species Codes'!B:P,15,0)*(((E1930*2.54)/100)^2)*(I1930*0.3048)))))*0.0011023),0)</f>
        <v>#N/A</v>
      </c>
      <c r="AD1930" s="104" t="e">
        <f t="shared" si="841"/>
        <v>#N/A</v>
      </c>
      <c r="AE1930" s="104" t="e">
        <f t="shared" si="842"/>
        <v>#N/A</v>
      </c>
      <c r="AF1930" s="104" t="e">
        <f>IF(AND(VLOOKUP($D1930,Merchantability!$B:$C,2,0)="Yes",$E1930&gt;=VLOOKUP($D1930,Merchantability!$B:$D,3,0),$E1930&lt;=VLOOKUP($D1930,Merchantability!$B:$E,4,0)),AA1930,0)</f>
        <v>#N/A</v>
      </c>
      <c r="AG1930" s="104" t="e">
        <f>IF(AND(VLOOKUP($D1930,Merchantability!$B:$C,2,0)="Yes",$E1930&gt;=VLOOKUP($D1930,Merchantability!$B:$D,3,0),$E1930&lt;=VLOOKUP($D1930,Merchantability!$B:$E,4,0)),AB1930,0)</f>
        <v>#N/A</v>
      </c>
      <c r="AH1930" s="104" t="e">
        <f>IF(AND(VLOOKUP($D1930,Merchantability!$B:$C,2,0)="Yes",$E1930&gt;=VLOOKUP($D1930,Merchantability!$B:$D,3,0),$E1930&lt;=VLOOKUP($D1930,Merchantability!$B:$E,4,0)),AC1930,0)</f>
        <v>#N/A</v>
      </c>
      <c r="AI1930" s="104" t="e">
        <f t="shared" si="843"/>
        <v>#N/A</v>
      </c>
      <c r="AJ1930" s="104" t="e">
        <f t="shared" si="844"/>
        <v>#VALUE!</v>
      </c>
      <c r="AK1930" s="104" t="e">
        <f t="shared" si="845"/>
        <v>#N/A</v>
      </c>
      <c r="AL1930" s="104" t="e">
        <f t="shared" si="846"/>
        <v>#N/A</v>
      </c>
      <c r="AM1930" s="104" t="e">
        <f t="shared" si="847"/>
        <v>#N/A</v>
      </c>
      <c r="AN1930" s="104" t="e">
        <f t="shared" si="858"/>
        <v>#N/A</v>
      </c>
      <c r="AO1930" s="104" t="e">
        <f t="shared" si="859"/>
        <v>#N/A</v>
      </c>
      <c r="AP1930" s="104" t="e">
        <f t="shared" si="860"/>
        <v>#N/A</v>
      </c>
      <c r="AQ1930" s="104" t="e">
        <f t="shared" si="861"/>
        <v>#N/A</v>
      </c>
      <c r="AR1930" s="105" t="str">
        <f t="shared" si="853"/>
        <v/>
      </c>
      <c r="AS1930" s="105" t="str">
        <f t="shared" si="854"/>
        <v/>
      </c>
      <c r="AT1930" s="108" t="str">
        <f t="shared" si="855"/>
        <v/>
      </c>
      <c r="AU1930" s="108" t="str">
        <f t="shared" si="856"/>
        <v/>
      </c>
      <c r="AV1930" s="107" t="str">
        <f>IF(ISNUMBER(O1930),IF(VLOOKUP($A1930,Stand!C:J,8,FALSE)="Short",AT1930,AU1930),"")</f>
        <v/>
      </c>
      <c r="AW1930" s="109" t="str">
        <f t="shared" si="862"/>
        <v/>
      </c>
      <c r="AX1930" s="109" t="str">
        <f t="shared" si="863"/>
        <v/>
      </c>
      <c r="AY1930" s="112" t="str">
        <f>IF(ISNUMBER(O1930),IF(AND(VLOOKUP($D1930,Merchantability!$B:$C,2,0)="Yes",$E1930&gt;=VLOOKUP($D1930,Merchantability!$B:$D,3,0),$E1930&lt;=VLOOKUP($D1930,Merchantability!$B:$E,4,0)),(AV1930*O1930)*(1-$H1930/100),""),"")</f>
        <v/>
      </c>
      <c r="AZ1930" s="116"/>
      <c r="BA1930" s="116"/>
      <c r="BB1930" s="116"/>
      <c r="BE1930" s="62"/>
      <c r="BF1930" s="63"/>
    </row>
    <row r="1931" spans="1:58" ht="12.75" customHeight="1" x14ac:dyDescent="0.25">
      <c r="A1931" s="334"/>
      <c r="B1931" s="334"/>
      <c r="C1931" s="332"/>
      <c r="D1931" s="334"/>
      <c r="E1931" s="335"/>
      <c r="F1931" s="334"/>
      <c r="G1931" s="332"/>
      <c r="H1931" s="332"/>
      <c r="I1931" s="334"/>
      <c r="J1931" s="336"/>
      <c r="K1931" s="332"/>
      <c r="L1931" s="332"/>
      <c r="M1931" s="76"/>
      <c r="N1931" s="103" t="str">
        <f>IF(A1931="","",VLOOKUP(A1931,Stand!C:K,9,0))</f>
        <v/>
      </c>
      <c r="O1931" s="104" t="str">
        <f t="shared" si="848"/>
        <v/>
      </c>
      <c r="P1931" s="105" t="str">
        <f t="shared" si="849"/>
        <v/>
      </c>
      <c r="Q1931" s="105" t="str">
        <f t="shared" si="837"/>
        <v/>
      </c>
      <c r="R1931" s="103" t="str">
        <f t="shared" si="850"/>
        <v/>
      </c>
      <c r="S1931" s="103" t="str">
        <f t="shared" si="851"/>
        <v/>
      </c>
      <c r="T1931" s="106" t="str">
        <f t="shared" si="838"/>
        <v/>
      </c>
      <c r="U1931" s="106" t="str">
        <f t="shared" si="839"/>
        <v/>
      </c>
      <c r="V1931" s="106" t="str">
        <f t="shared" si="840"/>
        <v/>
      </c>
      <c r="W1931" s="105" t="str">
        <f t="shared" si="852"/>
        <v/>
      </c>
      <c r="X1931" s="104" t="str">
        <f t="shared" si="857"/>
        <v/>
      </c>
      <c r="Y1931" s="104" t="str">
        <f t="array" ref="Y1931">IFERROR(IF(ISNUMBER(O1931),IF(COUNT(IF(A1931=$A$2:$A$2427,IF(D1931=$D$2:$D$2427,IF($X$2:$X$2427&gt;0,1))))&gt;0,SUM(IF(A1931=$A$2:$A$2427,IF(D1931=$D$2:$D$2427,$X$2:$X$2427)))/COUNT(IF(A1931=$A$2:$A$2427,IF(D1931=$D$2:$D$2427,IF(ISNUMBER($X$2:$X$2427),1)))),0),""),0)</f>
        <v/>
      </c>
      <c r="Z1931" s="104" t="str">
        <f>IF(ISNUMBER(O1931),IF(I1931&gt;0,(10^(VLOOKUP(D1931,'Species Codes'!B:C,2,0)+VLOOKUP(D1931,'Species Codes'!B:D,3,0)*LOG(E1931)+VLOOKUP(D1931,'Species Codes'!B:E,4,0)*LOG(I1931))),0),"")</f>
        <v/>
      </c>
      <c r="AA1931" s="104" t="str">
        <f>IFERROR((VLOOKUP(D1931,'Species Codes'!B:G,6,0)*Z1931)/2000,"")</f>
        <v/>
      </c>
      <c r="AB1931" s="104" t="e">
        <f>IF(Z1931&gt;0,((IF(OR(D1931="DF",D1931="RA")=TRUE,EXP(VLOOKUP(D1931,'Species Codes'!B:I,8,0)+VLOOKUP(D1931,'Species Codes'!B:J,9,0)*(LN((E1931*2.54)))),IF(OR(D1931="PY",D1931="RC",D1931="WH",D1931="NF")=TRUE,VLOOKUP(D1931,'Species Codes'!B:I,8,0)+VLOOKUP(D1931,'Species Codes'!B:J,9,0)*((E1931*2.54)^2)*(I1931*0.3048),IF(OR(D1931="MD",D1931="BM",D1931="GA")=TRUE,((VLOOKUP(D1931,'Species Codes'!B:I,8,0)*(((((E1931*2.54)+VLOOKUP(D1931,'Species Codes'!B:J,9,0))/VLOOKUP(D1931,'Species Codes'!B:K,10,0))^VLOOKUP(D1931,'Species Codes'!B:L,11,0))*((I1931*0.3048)^VLOOKUP(D1931,'Species Codes'!B:M,12,0))))-(VLOOKUP(D1931,'Species Codes'!B:I,8,0)*((((E1931*2.54)^VLOOKUP(D1931,'Species Codes'!B:L,11,0))*((I1931*0.3048)^VLOOKUP(D1931,'Species Codes'!B:M,12,0))))))*35.3*VLOOKUP(D1931,'Species Codes'!B:G,6,0)/2.2046,VLOOKUP(D1931,'Species Codes'!B:I,8,0)+VLOOKUP(D1931,'Species Codes'!B:J,9,0)*(((E1931*2.54)/100)^2)*(I1931*0.3048)))))*0.0011023),0)</f>
        <v>#N/A</v>
      </c>
      <c r="AC1931" s="104" t="e">
        <f>IF(Z1931&gt;0,((IF(OR(D1931="RA",D1931="OA",D1931="OT",D1931="UN",D1931="PC"),EXP(VLOOKUP(D1931,'Species Codes'!B:O,14,0)+VLOOKUP(D1931,'Species Codes'!B:P,15,0)*LN((E1931*2.54)))-EXP(VLOOKUP(D1931,'Species Codes'!B:O,14,0)+VLOOKUP(D1931,'Species Codes'!B:P,15,0)*LN((E1931*2.54)))*(1/(VLOOKUP(D1931,'Species Codes'!B:Q,16,0)+VLOOKUP(D1931,'Species Codes'!B:R,17,0)*((E1931*2.54)^VLOOKUP(D1931,'Species Codes'!B:S,18,0)))),IF(OR(D1931="BM",D1931="MD",D1931="OA"),EXP(VLOOKUP(D1931,'Species Codes'!B:O,14,0)+VLOOKUP(D1931,'Species Codes'!B:P,15,0)*LN((E1931*2.54)))*(1-(1/(VLOOKUP(D1931,'Species Codes'!B:Q,16,0)+VLOOKUP(D1931,'Species Codes'!B:R,17,0)*((E1931*2.54)^VLOOKUP(D1931,'Species Codes'!B:S,18,0)))))/1000,IF(D1931="DF",EXP(VLOOKUP(D1931,'Species Codes'!B:O,14,0)+VLOOKUP(D1931,'Species Codes'!B:P,15,0)*LN((E1931*2.54))),VLOOKUP(D1931,'Species Codes'!B:O,14,0)+VLOOKUP(D1931,'Species Codes'!B:P,15,0)*(((E1931*2.54)/100)^2)*(I1931*0.3048)))))*0.0011023),0)</f>
        <v>#N/A</v>
      </c>
      <c r="AD1931" s="104" t="e">
        <f t="shared" si="841"/>
        <v>#N/A</v>
      </c>
      <c r="AE1931" s="104" t="e">
        <f t="shared" si="842"/>
        <v>#N/A</v>
      </c>
      <c r="AF1931" s="104" t="e">
        <f>IF(AND(VLOOKUP($D1931,Merchantability!$B:$C,2,0)="Yes",$E1931&gt;=VLOOKUP($D1931,Merchantability!$B:$D,3,0),$E1931&lt;=VLOOKUP($D1931,Merchantability!$B:$E,4,0)),AA1931,0)</f>
        <v>#N/A</v>
      </c>
      <c r="AG1931" s="104" t="e">
        <f>IF(AND(VLOOKUP($D1931,Merchantability!$B:$C,2,0)="Yes",$E1931&gt;=VLOOKUP($D1931,Merchantability!$B:$D,3,0),$E1931&lt;=VLOOKUP($D1931,Merchantability!$B:$E,4,0)),AB1931,0)</f>
        <v>#N/A</v>
      </c>
      <c r="AH1931" s="104" t="e">
        <f>IF(AND(VLOOKUP($D1931,Merchantability!$B:$C,2,0)="Yes",$E1931&gt;=VLOOKUP($D1931,Merchantability!$B:$D,3,0),$E1931&lt;=VLOOKUP($D1931,Merchantability!$B:$E,4,0)),AC1931,0)</f>
        <v>#N/A</v>
      </c>
      <c r="AI1931" s="104" t="e">
        <f t="shared" si="843"/>
        <v>#N/A</v>
      </c>
      <c r="AJ1931" s="104" t="e">
        <f t="shared" si="844"/>
        <v>#VALUE!</v>
      </c>
      <c r="AK1931" s="104" t="e">
        <f t="shared" si="845"/>
        <v>#N/A</v>
      </c>
      <c r="AL1931" s="104" t="e">
        <f t="shared" si="846"/>
        <v>#N/A</v>
      </c>
      <c r="AM1931" s="104" t="e">
        <f t="shared" si="847"/>
        <v>#N/A</v>
      </c>
      <c r="AN1931" s="104" t="e">
        <f t="shared" si="858"/>
        <v>#N/A</v>
      </c>
      <c r="AO1931" s="104" t="e">
        <f t="shared" si="859"/>
        <v>#N/A</v>
      </c>
      <c r="AP1931" s="104" t="e">
        <f t="shared" si="860"/>
        <v>#N/A</v>
      </c>
      <c r="AQ1931" s="104" t="e">
        <f t="shared" si="861"/>
        <v>#N/A</v>
      </c>
      <c r="AR1931" s="105" t="str">
        <f t="shared" si="853"/>
        <v/>
      </c>
      <c r="AS1931" s="105" t="str">
        <f t="shared" si="854"/>
        <v/>
      </c>
      <c r="AT1931" s="108" t="str">
        <f t="shared" si="855"/>
        <v/>
      </c>
      <c r="AU1931" s="108" t="str">
        <f t="shared" si="856"/>
        <v/>
      </c>
      <c r="AV1931" s="107" t="str">
        <f>IF(ISNUMBER(O1931),IF(VLOOKUP($A1931,Stand!C:J,8,FALSE)="Short",AT1931,AU1931),"")</f>
        <v/>
      </c>
      <c r="AW1931" s="109" t="str">
        <f t="shared" si="862"/>
        <v/>
      </c>
      <c r="AX1931" s="109" t="str">
        <f t="shared" si="863"/>
        <v/>
      </c>
      <c r="AY1931" s="112" t="str">
        <f>IF(ISNUMBER(O1931),IF(AND(VLOOKUP($D1931,Merchantability!$B:$C,2,0)="Yes",$E1931&gt;=VLOOKUP($D1931,Merchantability!$B:$D,3,0),$E1931&lt;=VLOOKUP($D1931,Merchantability!$B:$E,4,0)),(AV1931*O1931)*(1-$H1931/100),""),"")</f>
        <v/>
      </c>
      <c r="AZ1931" s="116"/>
      <c r="BA1931" s="116"/>
      <c r="BB1931" s="116"/>
      <c r="BE1931" s="62"/>
      <c r="BF1931" s="63"/>
    </row>
    <row r="1932" spans="1:58" ht="12.75" customHeight="1" x14ac:dyDescent="0.25">
      <c r="A1932" s="334"/>
      <c r="B1932" s="334"/>
      <c r="C1932" s="332"/>
      <c r="D1932" s="334"/>
      <c r="E1932" s="335"/>
      <c r="F1932" s="334"/>
      <c r="G1932" s="332"/>
      <c r="H1932" s="332"/>
      <c r="I1932" s="334"/>
      <c r="J1932" s="336"/>
      <c r="K1932" s="332"/>
      <c r="L1932" s="332"/>
      <c r="M1932" s="76"/>
      <c r="N1932" s="103" t="str">
        <f>IF(A1932="","",VLOOKUP(A1932,Stand!C:K,9,0))</f>
        <v/>
      </c>
      <c r="O1932" s="104" t="str">
        <f t="shared" si="848"/>
        <v/>
      </c>
      <c r="P1932" s="105" t="str">
        <f t="shared" si="849"/>
        <v/>
      </c>
      <c r="Q1932" s="105" t="str">
        <f t="shared" si="837"/>
        <v/>
      </c>
      <c r="R1932" s="103" t="str">
        <f t="shared" si="850"/>
        <v/>
      </c>
      <c r="S1932" s="103" t="str">
        <f t="shared" si="851"/>
        <v/>
      </c>
      <c r="T1932" s="106" t="str">
        <f t="shared" si="838"/>
        <v/>
      </c>
      <c r="U1932" s="106" t="str">
        <f t="shared" si="839"/>
        <v/>
      </c>
      <c r="V1932" s="106" t="str">
        <f t="shared" si="840"/>
        <v/>
      </c>
      <c r="W1932" s="105" t="str">
        <f t="shared" si="852"/>
        <v/>
      </c>
      <c r="X1932" s="104" t="str">
        <f t="shared" si="857"/>
        <v/>
      </c>
      <c r="Y1932" s="104" t="str">
        <f t="array" ref="Y1932">IFERROR(IF(ISNUMBER(O1932),IF(COUNT(IF(A1932=$A$2:$A$2427,IF(D1932=$D$2:$D$2427,IF($X$2:$X$2427&gt;0,1))))&gt;0,SUM(IF(A1932=$A$2:$A$2427,IF(D1932=$D$2:$D$2427,$X$2:$X$2427)))/COUNT(IF(A1932=$A$2:$A$2427,IF(D1932=$D$2:$D$2427,IF(ISNUMBER($X$2:$X$2427),1)))),0),""),0)</f>
        <v/>
      </c>
      <c r="Z1932" s="104" t="str">
        <f>IF(ISNUMBER(O1932),IF(I1932&gt;0,(10^(VLOOKUP(D1932,'Species Codes'!B:C,2,0)+VLOOKUP(D1932,'Species Codes'!B:D,3,0)*LOG(E1932)+VLOOKUP(D1932,'Species Codes'!B:E,4,0)*LOG(I1932))),0),"")</f>
        <v/>
      </c>
      <c r="AA1932" s="104" t="str">
        <f>IFERROR((VLOOKUP(D1932,'Species Codes'!B:G,6,0)*Z1932)/2000,"")</f>
        <v/>
      </c>
      <c r="AB1932" s="104" t="e">
        <f>IF(Z1932&gt;0,((IF(OR(D1932="DF",D1932="RA")=TRUE,EXP(VLOOKUP(D1932,'Species Codes'!B:I,8,0)+VLOOKUP(D1932,'Species Codes'!B:J,9,0)*(LN((E1932*2.54)))),IF(OR(D1932="PY",D1932="RC",D1932="WH",D1932="NF")=TRUE,VLOOKUP(D1932,'Species Codes'!B:I,8,0)+VLOOKUP(D1932,'Species Codes'!B:J,9,0)*((E1932*2.54)^2)*(I1932*0.3048),IF(OR(D1932="MD",D1932="BM",D1932="GA")=TRUE,((VLOOKUP(D1932,'Species Codes'!B:I,8,0)*(((((E1932*2.54)+VLOOKUP(D1932,'Species Codes'!B:J,9,0))/VLOOKUP(D1932,'Species Codes'!B:K,10,0))^VLOOKUP(D1932,'Species Codes'!B:L,11,0))*((I1932*0.3048)^VLOOKUP(D1932,'Species Codes'!B:M,12,0))))-(VLOOKUP(D1932,'Species Codes'!B:I,8,0)*((((E1932*2.54)^VLOOKUP(D1932,'Species Codes'!B:L,11,0))*((I1932*0.3048)^VLOOKUP(D1932,'Species Codes'!B:M,12,0))))))*35.3*VLOOKUP(D1932,'Species Codes'!B:G,6,0)/2.2046,VLOOKUP(D1932,'Species Codes'!B:I,8,0)+VLOOKUP(D1932,'Species Codes'!B:J,9,0)*(((E1932*2.54)/100)^2)*(I1932*0.3048)))))*0.0011023),0)</f>
        <v>#N/A</v>
      </c>
      <c r="AC1932" s="104" t="e">
        <f>IF(Z1932&gt;0,((IF(OR(D1932="RA",D1932="OA",D1932="OT",D1932="UN",D1932="PC"),EXP(VLOOKUP(D1932,'Species Codes'!B:O,14,0)+VLOOKUP(D1932,'Species Codes'!B:P,15,0)*LN((E1932*2.54)))-EXP(VLOOKUP(D1932,'Species Codes'!B:O,14,0)+VLOOKUP(D1932,'Species Codes'!B:P,15,0)*LN((E1932*2.54)))*(1/(VLOOKUP(D1932,'Species Codes'!B:Q,16,0)+VLOOKUP(D1932,'Species Codes'!B:R,17,0)*((E1932*2.54)^VLOOKUP(D1932,'Species Codes'!B:S,18,0)))),IF(OR(D1932="BM",D1932="MD",D1932="OA"),EXP(VLOOKUP(D1932,'Species Codes'!B:O,14,0)+VLOOKUP(D1932,'Species Codes'!B:P,15,0)*LN((E1932*2.54)))*(1-(1/(VLOOKUP(D1932,'Species Codes'!B:Q,16,0)+VLOOKUP(D1932,'Species Codes'!B:R,17,0)*((E1932*2.54)^VLOOKUP(D1932,'Species Codes'!B:S,18,0)))))/1000,IF(D1932="DF",EXP(VLOOKUP(D1932,'Species Codes'!B:O,14,0)+VLOOKUP(D1932,'Species Codes'!B:P,15,0)*LN((E1932*2.54))),VLOOKUP(D1932,'Species Codes'!B:O,14,0)+VLOOKUP(D1932,'Species Codes'!B:P,15,0)*(((E1932*2.54)/100)^2)*(I1932*0.3048)))))*0.0011023),0)</f>
        <v>#N/A</v>
      </c>
      <c r="AD1932" s="104" t="e">
        <f t="shared" si="841"/>
        <v>#N/A</v>
      </c>
      <c r="AE1932" s="104" t="e">
        <f t="shared" si="842"/>
        <v>#N/A</v>
      </c>
      <c r="AF1932" s="104" t="e">
        <f>IF(AND(VLOOKUP($D1932,Merchantability!$B:$C,2,0)="Yes",$E1932&gt;=VLOOKUP($D1932,Merchantability!$B:$D,3,0),$E1932&lt;=VLOOKUP($D1932,Merchantability!$B:$E,4,0)),AA1932,0)</f>
        <v>#N/A</v>
      </c>
      <c r="AG1932" s="104" t="e">
        <f>IF(AND(VLOOKUP($D1932,Merchantability!$B:$C,2,0)="Yes",$E1932&gt;=VLOOKUP($D1932,Merchantability!$B:$D,3,0),$E1932&lt;=VLOOKUP($D1932,Merchantability!$B:$E,4,0)),AB1932,0)</f>
        <v>#N/A</v>
      </c>
      <c r="AH1932" s="104" t="e">
        <f>IF(AND(VLOOKUP($D1932,Merchantability!$B:$C,2,0)="Yes",$E1932&gt;=VLOOKUP($D1932,Merchantability!$B:$D,3,0),$E1932&lt;=VLOOKUP($D1932,Merchantability!$B:$E,4,0)),AC1932,0)</f>
        <v>#N/A</v>
      </c>
      <c r="AI1932" s="104" t="e">
        <f t="shared" si="843"/>
        <v>#N/A</v>
      </c>
      <c r="AJ1932" s="104" t="e">
        <f t="shared" si="844"/>
        <v>#VALUE!</v>
      </c>
      <c r="AK1932" s="104" t="e">
        <f t="shared" si="845"/>
        <v>#N/A</v>
      </c>
      <c r="AL1932" s="104" t="e">
        <f t="shared" si="846"/>
        <v>#N/A</v>
      </c>
      <c r="AM1932" s="104" t="e">
        <f t="shared" si="847"/>
        <v>#N/A</v>
      </c>
      <c r="AN1932" s="104" t="e">
        <f t="shared" si="858"/>
        <v>#N/A</v>
      </c>
      <c r="AO1932" s="104" t="e">
        <f t="shared" si="859"/>
        <v>#N/A</v>
      </c>
      <c r="AP1932" s="104" t="e">
        <f t="shared" si="860"/>
        <v>#N/A</v>
      </c>
      <c r="AQ1932" s="104" t="e">
        <f t="shared" si="861"/>
        <v>#N/A</v>
      </c>
      <c r="AR1932" s="105" t="str">
        <f t="shared" si="853"/>
        <v/>
      </c>
      <c r="AS1932" s="105" t="str">
        <f t="shared" si="854"/>
        <v/>
      </c>
      <c r="AT1932" s="108" t="str">
        <f t="shared" si="855"/>
        <v/>
      </c>
      <c r="AU1932" s="108" t="str">
        <f t="shared" si="856"/>
        <v/>
      </c>
      <c r="AV1932" s="107" t="str">
        <f>IF(ISNUMBER(O1932),IF(VLOOKUP($A1932,Stand!C:J,8,FALSE)="Short",AT1932,AU1932),"")</f>
        <v/>
      </c>
      <c r="AW1932" s="109" t="str">
        <f t="shared" si="862"/>
        <v/>
      </c>
      <c r="AX1932" s="109" t="str">
        <f t="shared" si="863"/>
        <v/>
      </c>
      <c r="AY1932" s="112" t="str">
        <f>IF(ISNUMBER(O1932),IF(AND(VLOOKUP($D1932,Merchantability!$B:$C,2,0)="Yes",$E1932&gt;=VLOOKUP($D1932,Merchantability!$B:$D,3,0),$E1932&lt;=VLOOKUP($D1932,Merchantability!$B:$E,4,0)),(AV1932*O1932)*(1-$H1932/100),""),"")</f>
        <v/>
      </c>
      <c r="AZ1932" s="116"/>
      <c r="BA1932" s="116"/>
      <c r="BB1932" s="116"/>
      <c r="BE1932" s="62"/>
      <c r="BF1932" s="63"/>
    </row>
    <row r="1933" spans="1:58" ht="12.75" customHeight="1" x14ac:dyDescent="0.25">
      <c r="A1933" s="334"/>
      <c r="B1933" s="334"/>
      <c r="C1933" s="332"/>
      <c r="D1933" s="334"/>
      <c r="E1933" s="335"/>
      <c r="F1933" s="334"/>
      <c r="G1933" s="332"/>
      <c r="H1933" s="332"/>
      <c r="I1933" s="334"/>
      <c r="J1933" s="336"/>
      <c r="K1933" s="332"/>
      <c r="L1933" s="332"/>
      <c r="M1933" s="76"/>
      <c r="N1933" s="103" t="str">
        <f>IF(A1933="","",VLOOKUP(A1933,Stand!C:K,9,0))</f>
        <v/>
      </c>
      <c r="O1933" s="104" t="str">
        <f t="shared" si="848"/>
        <v/>
      </c>
      <c r="P1933" s="105" t="str">
        <f t="shared" si="849"/>
        <v/>
      </c>
      <c r="Q1933" s="105" t="str">
        <f t="shared" si="837"/>
        <v/>
      </c>
      <c r="R1933" s="103" t="str">
        <f t="shared" si="850"/>
        <v/>
      </c>
      <c r="S1933" s="103" t="str">
        <f t="shared" si="851"/>
        <v/>
      </c>
      <c r="T1933" s="106" t="str">
        <f t="shared" si="838"/>
        <v/>
      </c>
      <c r="U1933" s="106" t="str">
        <f t="shared" si="839"/>
        <v/>
      </c>
      <c r="V1933" s="106" t="str">
        <f t="shared" si="840"/>
        <v/>
      </c>
      <c r="W1933" s="105" t="str">
        <f t="shared" si="852"/>
        <v/>
      </c>
      <c r="X1933" s="104" t="str">
        <f t="shared" si="857"/>
        <v/>
      </c>
      <c r="Y1933" s="104" t="str">
        <f t="array" ref="Y1933">IFERROR(IF(ISNUMBER(O1933),IF(COUNT(IF(A1933=$A$2:$A$2427,IF(D1933=$D$2:$D$2427,IF($X$2:$X$2427&gt;0,1))))&gt;0,SUM(IF(A1933=$A$2:$A$2427,IF(D1933=$D$2:$D$2427,$X$2:$X$2427)))/COUNT(IF(A1933=$A$2:$A$2427,IF(D1933=$D$2:$D$2427,IF(ISNUMBER($X$2:$X$2427),1)))),0),""),0)</f>
        <v/>
      </c>
      <c r="Z1933" s="104" t="str">
        <f>IF(ISNUMBER(O1933),IF(I1933&gt;0,(10^(VLOOKUP(D1933,'Species Codes'!B:C,2,0)+VLOOKUP(D1933,'Species Codes'!B:D,3,0)*LOG(E1933)+VLOOKUP(D1933,'Species Codes'!B:E,4,0)*LOG(I1933))),0),"")</f>
        <v/>
      </c>
      <c r="AA1933" s="104" t="str">
        <f>IFERROR((VLOOKUP(D1933,'Species Codes'!B:G,6,0)*Z1933)/2000,"")</f>
        <v/>
      </c>
      <c r="AB1933" s="104" t="e">
        <f>IF(Z1933&gt;0,((IF(OR(D1933="DF",D1933="RA")=TRUE,EXP(VLOOKUP(D1933,'Species Codes'!B:I,8,0)+VLOOKUP(D1933,'Species Codes'!B:J,9,0)*(LN((E1933*2.54)))),IF(OR(D1933="PY",D1933="RC",D1933="WH",D1933="NF")=TRUE,VLOOKUP(D1933,'Species Codes'!B:I,8,0)+VLOOKUP(D1933,'Species Codes'!B:J,9,0)*((E1933*2.54)^2)*(I1933*0.3048),IF(OR(D1933="MD",D1933="BM",D1933="GA")=TRUE,((VLOOKUP(D1933,'Species Codes'!B:I,8,0)*(((((E1933*2.54)+VLOOKUP(D1933,'Species Codes'!B:J,9,0))/VLOOKUP(D1933,'Species Codes'!B:K,10,0))^VLOOKUP(D1933,'Species Codes'!B:L,11,0))*((I1933*0.3048)^VLOOKUP(D1933,'Species Codes'!B:M,12,0))))-(VLOOKUP(D1933,'Species Codes'!B:I,8,0)*((((E1933*2.54)^VLOOKUP(D1933,'Species Codes'!B:L,11,0))*((I1933*0.3048)^VLOOKUP(D1933,'Species Codes'!B:M,12,0))))))*35.3*VLOOKUP(D1933,'Species Codes'!B:G,6,0)/2.2046,VLOOKUP(D1933,'Species Codes'!B:I,8,0)+VLOOKUP(D1933,'Species Codes'!B:J,9,0)*(((E1933*2.54)/100)^2)*(I1933*0.3048)))))*0.0011023),0)</f>
        <v>#N/A</v>
      </c>
      <c r="AC1933" s="104" t="e">
        <f>IF(Z1933&gt;0,((IF(OR(D1933="RA",D1933="OA",D1933="OT",D1933="UN",D1933="PC"),EXP(VLOOKUP(D1933,'Species Codes'!B:O,14,0)+VLOOKUP(D1933,'Species Codes'!B:P,15,0)*LN((E1933*2.54)))-EXP(VLOOKUP(D1933,'Species Codes'!B:O,14,0)+VLOOKUP(D1933,'Species Codes'!B:P,15,0)*LN((E1933*2.54)))*(1/(VLOOKUP(D1933,'Species Codes'!B:Q,16,0)+VLOOKUP(D1933,'Species Codes'!B:R,17,0)*((E1933*2.54)^VLOOKUP(D1933,'Species Codes'!B:S,18,0)))),IF(OR(D1933="BM",D1933="MD",D1933="OA"),EXP(VLOOKUP(D1933,'Species Codes'!B:O,14,0)+VLOOKUP(D1933,'Species Codes'!B:P,15,0)*LN((E1933*2.54)))*(1-(1/(VLOOKUP(D1933,'Species Codes'!B:Q,16,0)+VLOOKUP(D1933,'Species Codes'!B:R,17,0)*((E1933*2.54)^VLOOKUP(D1933,'Species Codes'!B:S,18,0)))))/1000,IF(D1933="DF",EXP(VLOOKUP(D1933,'Species Codes'!B:O,14,0)+VLOOKUP(D1933,'Species Codes'!B:P,15,0)*LN((E1933*2.54))),VLOOKUP(D1933,'Species Codes'!B:O,14,0)+VLOOKUP(D1933,'Species Codes'!B:P,15,0)*(((E1933*2.54)/100)^2)*(I1933*0.3048)))))*0.0011023),0)</f>
        <v>#N/A</v>
      </c>
      <c r="AD1933" s="104" t="e">
        <f t="shared" si="841"/>
        <v>#N/A</v>
      </c>
      <c r="AE1933" s="104" t="e">
        <f t="shared" si="842"/>
        <v>#N/A</v>
      </c>
      <c r="AF1933" s="104" t="e">
        <f>IF(AND(VLOOKUP($D1933,Merchantability!$B:$C,2,0)="Yes",$E1933&gt;=VLOOKUP($D1933,Merchantability!$B:$D,3,0),$E1933&lt;=VLOOKUP($D1933,Merchantability!$B:$E,4,0)),AA1933,0)</f>
        <v>#N/A</v>
      </c>
      <c r="AG1933" s="104" t="e">
        <f>IF(AND(VLOOKUP($D1933,Merchantability!$B:$C,2,0)="Yes",$E1933&gt;=VLOOKUP($D1933,Merchantability!$B:$D,3,0),$E1933&lt;=VLOOKUP($D1933,Merchantability!$B:$E,4,0)),AB1933,0)</f>
        <v>#N/A</v>
      </c>
      <c r="AH1933" s="104" t="e">
        <f>IF(AND(VLOOKUP($D1933,Merchantability!$B:$C,2,0)="Yes",$E1933&gt;=VLOOKUP($D1933,Merchantability!$B:$D,3,0),$E1933&lt;=VLOOKUP($D1933,Merchantability!$B:$E,4,0)),AC1933,0)</f>
        <v>#N/A</v>
      </c>
      <c r="AI1933" s="104" t="e">
        <f t="shared" si="843"/>
        <v>#N/A</v>
      </c>
      <c r="AJ1933" s="104" t="e">
        <f t="shared" si="844"/>
        <v>#VALUE!</v>
      </c>
      <c r="AK1933" s="104" t="e">
        <f t="shared" si="845"/>
        <v>#N/A</v>
      </c>
      <c r="AL1933" s="104" t="e">
        <f t="shared" si="846"/>
        <v>#N/A</v>
      </c>
      <c r="AM1933" s="104" t="e">
        <f t="shared" si="847"/>
        <v>#N/A</v>
      </c>
      <c r="AN1933" s="104" t="e">
        <f t="shared" si="858"/>
        <v>#N/A</v>
      </c>
      <c r="AO1933" s="104" t="e">
        <f t="shared" si="859"/>
        <v>#N/A</v>
      </c>
      <c r="AP1933" s="104" t="e">
        <f t="shared" si="860"/>
        <v>#N/A</v>
      </c>
      <c r="AQ1933" s="104" t="e">
        <f t="shared" si="861"/>
        <v>#N/A</v>
      </c>
      <c r="AR1933" s="105" t="str">
        <f t="shared" si="853"/>
        <v/>
      </c>
      <c r="AS1933" s="105" t="str">
        <f t="shared" si="854"/>
        <v/>
      </c>
      <c r="AT1933" s="108" t="str">
        <f t="shared" si="855"/>
        <v/>
      </c>
      <c r="AU1933" s="108" t="str">
        <f t="shared" si="856"/>
        <v/>
      </c>
      <c r="AV1933" s="107" t="str">
        <f>IF(ISNUMBER(O1933),IF(VLOOKUP($A1933,Stand!C:J,8,FALSE)="Short",AT1933,AU1933),"")</f>
        <v/>
      </c>
      <c r="AW1933" s="109" t="str">
        <f t="shared" si="862"/>
        <v/>
      </c>
      <c r="AX1933" s="109" t="str">
        <f t="shared" si="863"/>
        <v/>
      </c>
      <c r="AY1933" s="112" t="str">
        <f>IF(ISNUMBER(O1933),IF(AND(VLOOKUP($D1933,Merchantability!$B:$C,2,0)="Yes",$E1933&gt;=VLOOKUP($D1933,Merchantability!$B:$D,3,0),$E1933&lt;=VLOOKUP($D1933,Merchantability!$B:$E,4,0)),(AV1933*O1933)*(1-$H1933/100),""),"")</f>
        <v/>
      </c>
      <c r="AZ1933" s="116"/>
      <c r="BA1933" s="116"/>
      <c r="BB1933" s="116"/>
      <c r="BE1933" s="62"/>
      <c r="BF1933" s="63"/>
    </row>
    <row r="1934" spans="1:58" ht="12.75" customHeight="1" x14ac:dyDescent="0.25">
      <c r="A1934" s="334"/>
      <c r="B1934" s="334"/>
      <c r="C1934" s="332"/>
      <c r="D1934" s="334"/>
      <c r="E1934" s="335"/>
      <c r="F1934" s="334"/>
      <c r="G1934" s="332"/>
      <c r="H1934" s="332"/>
      <c r="I1934" s="334"/>
      <c r="J1934" s="336"/>
      <c r="K1934" s="332"/>
      <c r="L1934" s="332"/>
      <c r="M1934" s="76"/>
      <c r="N1934" s="103" t="str">
        <f>IF(A1934="","",VLOOKUP(A1934,Stand!C:K,9,0))</f>
        <v/>
      </c>
      <c r="O1934" s="104" t="str">
        <f t="shared" si="848"/>
        <v/>
      </c>
      <c r="P1934" s="105" t="str">
        <f t="shared" si="849"/>
        <v/>
      </c>
      <c r="Q1934" s="105" t="str">
        <f t="shared" si="837"/>
        <v/>
      </c>
      <c r="R1934" s="103" t="str">
        <f t="shared" si="850"/>
        <v/>
      </c>
      <c r="S1934" s="103" t="str">
        <f t="shared" si="851"/>
        <v/>
      </c>
      <c r="T1934" s="106" t="str">
        <f t="shared" si="838"/>
        <v/>
      </c>
      <c r="U1934" s="106" t="str">
        <f t="shared" si="839"/>
        <v/>
      </c>
      <c r="V1934" s="106" t="str">
        <f t="shared" si="840"/>
        <v/>
      </c>
      <c r="W1934" s="105" t="str">
        <f t="shared" si="852"/>
        <v/>
      </c>
      <c r="X1934" s="104" t="str">
        <f t="shared" si="857"/>
        <v/>
      </c>
      <c r="Y1934" s="104" t="str">
        <f t="array" ref="Y1934">IFERROR(IF(ISNUMBER(O1934),IF(COUNT(IF(A1934=$A$2:$A$2427,IF(D1934=$D$2:$D$2427,IF($X$2:$X$2427&gt;0,1))))&gt;0,SUM(IF(A1934=$A$2:$A$2427,IF(D1934=$D$2:$D$2427,$X$2:$X$2427)))/COUNT(IF(A1934=$A$2:$A$2427,IF(D1934=$D$2:$D$2427,IF(ISNUMBER($X$2:$X$2427),1)))),0),""),0)</f>
        <v/>
      </c>
      <c r="Z1934" s="104" t="str">
        <f>IF(ISNUMBER(O1934),IF(I1934&gt;0,(10^(VLOOKUP(D1934,'Species Codes'!B:C,2,0)+VLOOKUP(D1934,'Species Codes'!B:D,3,0)*LOG(E1934)+VLOOKUP(D1934,'Species Codes'!B:E,4,0)*LOG(I1934))),0),"")</f>
        <v/>
      </c>
      <c r="AA1934" s="104" t="str">
        <f>IFERROR((VLOOKUP(D1934,'Species Codes'!B:G,6,0)*Z1934)/2000,"")</f>
        <v/>
      </c>
      <c r="AB1934" s="104" t="e">
        <f>IF(Z1934&gt;0,((IF(OR(D1934="DF",D1934="RA")=TRUE,EXP(VLOOKUP(D1934,'Species Codes'!B:I,8,0)+VLOOKUP(D1934,'Species Codes'!B:J,9,0)*(LN((E1934*2.54)))),IF(OR(D1934="PY",D1934="RC",D1934="WH",D1934="NF")=TRUE,VLOOKUP(D1934,'Species Codes'!B:I,8,0)+VLOOKUP(D1934,'Species Codes'!B:J,9,0)*((E1934*2.54)^2)*(I1934*0.3048),IF(OR(D1934="MD",D1934="BM",D1934="GA")=TRUE,((VLOOKUP(D1934,'Species Codes'!B:I,8,0)*(((((E1934*2.54)+VLOOKUP(D1934,'Species Codes'!B:J,9,0))/VLOOKUP(D1934,'Species Codes'!B:K,10,0))^VLOOKUP(D1934,'Species Codes'!B:L,11,0))*((I1934*0.3048)^VLOOKUP(D1934,'Species Codes'!B:M,12,0))))-(VLOOKUP(D1934,'Species Codes'!B:I,8,0)*((((E1934*2.54)^VLOOKUP(D1934,'Species Codes'!B:L,11,0))*((I1934*0.3048)^VLOOKUP(D1934,'Species Codes'!B:M,12,0))))))*35.3*VLOOKUP(D1934,'Species Codes'!B:G,6,0)/2.2046,VLOOKUP(D1934,'Species Codes'!B:I,8,0)+VLOOKUP(D1934,'Species Codes'!B:J,9,0)*(((E1934*2.54)/100)^2)*(I1934*0.3048)))))*0.0011023),0)</f>
        <v>#N/A</v>
      </c>
      <c r="AC1934" s="104" t="e">
        <f>IF(Z1934&gt;0,((IF(OR(D1934="RA",D1934="OA",D1934="OT",D1934="UN",D1934="PC"),EXP(VLOOKUP(D1934,'Species Codes'!B:O,14,0)+VLOOKUP(D1934,'Species Codes'!B:P,15,0)*LN((E1934*2.54)))-EXP(VLOOKUP(D1934,'Species Codes'!B:O,14,0)+VLOOKUP(D1934,'Species Codes'!B:P,15,0)*LN((E1934*2.54)))*(1/(VLOOKUP(D1934,'Species Codes'!B:Q,16,0)+VLOOKUP(D1934,'Species Codes'!B:R,17,0)*((E1934*2.54)^VLOOKUP(D1934,'Species Codes'!B:S,18,0)))),IF(OR(D1934="BM",D1934="MD",D1934="OA"),EXP(VLOOKUP(D1934,'Species Codes'!B:O,14,0)+VLOOKUP(D1934,'Species Codes'!B:P,15,0)*LN((E1934*2.54)))*(1-(1/(VLOOKUP(D1934,'Species Codes'!B:Q,16,0)+VLOOKUP(D1934,'Species Codes'!B:R,17,0)*((E1934*2.54)^VLOOKUP(D1934,'Species Codes'!B:S,18,0)))))/1000,IF(D1934="DF",EXP(VLOOKUP(D1934,'Species Codes'!B:O,14,0)+VLOOKUP(D1934,'Species Codes'!B:P,15,0)*LN((E1934*2.54))),VLOOKUP(D1934,'Species Codes'!B:O,14,0)+VLOOKUP(D1934,'Species Codes'!B:P,15,0)*(((E1934*2.54)/100)^2)*(I1934*0.3048)))))*0.0011023),0)</f>
        <v>#N/A</v>
      </c>
      <c r="AD1934" s="104" t="e">
        <f t="shared" si="841"/>
        <v>#N/A</v>
      </c>
      <c r="AE1934" s="104" t="e">
        <f t="shared" si="842"/>
        <v>#N/A</v>
      </c>
      <c r="AF1934" s="104" t="e">
        <f>IF(AND(VLOOKUP($D1934,Merchantability!$B:$C,2,0)="Yes",$E1934&gt;=VLOOKUP($D1934,Merchantability!$B:$D,3,0),$E1934&lt;=VLOOKUP($D1934,Merchantability!$B:$E,4,0)),AA1934,0)</f>
        <v>#N/A</v>
      </c>
      <c r="AG1934" s="104" t="e">
        <f>IF(AND(VLOOKUP($D1934,Merchantability!$B:$C,2,0)="Yes",$E1934&gt;=VLOOKUP($D1934,Merchantability!$B:$D,3,0),$E1934&lt;=VLOOKUP($D1934,Merchantability!$B:$E,4,0)),AB1934,0)</f>
        <v>#N/A</v>
      </c>
      <c r="AH1934" s="104" t="e">
        <f>IF(AND(VLOOKUP($D1934,Merchantability!$B:$C,2,0)="Yes",$E1934&gt;=VLOOKUP($D1934,Merchantability!$B:$D,3,0),$E1934&lt;=VLOOKUP($D1934,Merchantability!$B:$E,4,0)),AC1934,0)</f>
        <v>#N/A</v>
      </c>
      <c r="AI1934" s="104" t="e">
        <f t="shared" si="843"/>
        <v>#N/A</v>
      </c>
      <c r="AJ1934" s="104" t="e">
        <f t="shared" si="844"/>
        <v>#VALUE!</v>
      </c>
      <c r="AK1934" s="104" t="e">
        <f t="shared" si="845"/>
        <v>#N/A</v>
      </c>
      <c r="AL1934" s="104" t="e">
        <f t="shared" si="846"/>
        <v>#N/A</v>
      </c>
      <c r="AM1934" s="104" t="e">
        <f t="shared" si="847"/>
        <v>#N/A</v>
      </c>
      <c r="AN1934" s="104" t="e">
        <f t="shared" si="858"/>
        <v>#N/A</v>
      </c>
      <c r="AO1934" s="104" t="e">
        <f t="shared" si="859"/>
        <v>#N/A</v>
      </c>
      <c r="AP1934" s="104" t="e">
        <f t="shared" si="860"/>
        <v>#N/A</v>
      </c>
      <c r="AQ1934" s="104" t="e">
        <f t="shared" si="861"/>
        <v>#N/A</v>
      </c>
      <c r="AR1934" s="105" t="str">
        <f t="shared" si="853"/>
        <v/>
      </c>
      <c r="AS1934" s="105" t="str">
        <f t="shared" si="854"/>
        <v/>
      </c>
      <c r="AT1934" s="108" t="str">
        <f t="shared" si="855"/>
        <v/>
      </c>
      <c r="AU1934" s="108" t="str">
        <f t="shared" si="856"/>
        <v/>
      </c>
      <c r="AV1934" s="107" t="str">
        <f>IF(ISNUMBER(O1934),IF(VLOOKUP($A1934,Stand!C:J,8,FALSE)="Short",AT1934,AU1934),"")</f>
        <v/>
      </c>
      <c r="AW1934" s="109" t="str">
        <f t="shared" si="862"/>
        <v/>
      </c>
      <c r="AX1934" s="109" t="str">
        <f t="shared" si="863"/>
        <v/>
      </c>
      <c r="AY1934" s="112" t="str">
        <f>IF(ISNUMBER(O1934),IF(AND(VLOOKUP($D1934,Merchantability!$B:$C,2,0)="Yes",$E1934&gt;=VLOOKUP($D1934,Merchantability!$B:$D,3,0),$E1934&lt;=VLOOKUP($D1934,Merchantability!$B:$E,4,0)),(AV1934*O1934)*(1-$H1934/100),""),"")</f>
        <v/>
      </c>
      <c r="AZ1934" s="116"/>
      <c r="BA1934" s="116"/>
      <c r="BB1934" s="116"/>
      <c r="BE1934" s="62"/>
      <c r="BF1934" s="63"/>
    </row>
    <row r="1935" spans="1:58" ht="12.75" customHeight="1" x14ac:dyDescent="0.25">
      <c r="A1935" s="334"/>
      <c r="B1935" s="334"/>
      <c r="C1935" s="332"/>
      <c r="D1935" s="334"/>
      <c r="E1935" s="335"/>
      <c r="F1935" s="334"/>
      <c r="G1935" s="332"/>
      <c r="H1935" s="332"/>
      <c r="I1935" s="334"/>
      <c r="J1935" s="336"/>
      <c r="K1935" s="332"/>
      <c r="L1935" s="332"/>
      <c r="M1935" s="76"/>
      <c r="N1935" s="103" t="str">
        <f>IF(A1935="","",VLOOKUP(A1935,Stand!C:K,9,0))</f>
        <v/>
      </c>
      <c r="O1935" s="104" t="str">
        <f t="shared" si="848"/>
        <v/>
      </c>
      <c r="P1935" s="105" t="str">
        <f t="shared" si="849"/>
        <v/>
      </c>
      <c r="Q1935" s="105" t="str">
        <f t="shared" si="837"/>
        <v/>
      </c>
      <c r="R1935" s="103" t="str">
        <f t="shared" si="850"/>
        <v/>
      </c>
      <c r="S1935" s="103" t="str">
        <f t="shared" si="851"/>
        <v/>
      </c>
      <c r="T1935" s="106" t="str">
        <f t="shared" si="838"/>
        <v/>
      </c>
      <c r="U1935" s="106" t="str">
        <f t="shared" si="839"/>
        <v/>
      </c>
      <c r="V1935" s="106" t="str">
        <f t="shared" si="840"/>
        <v/>
      </c>
      <c r="W1935" s="105" t="str">
        <f t="shared" si="852"/>
        <v/>
      </c>
      <c r="X1935" s="104" t="str">
        <f t="shared" si="857"/>
        <v/>
      </c>
      <c r="Y1935" s="104" t="str">
        <f t="array" ref="Y1935">IFERROR(IF(ISNUMBER(O1935),IF(COUNT(IF(A1935=$A$2:$A$2427,IF(D1935=$D$2:$D$2427,IF($X$2:$X$2427&gt;0,1))))&gt;0,SUM(IF(A1935=$A$2:$A$2427,IF(D1935=$D$2:$D$2427,$X$2:$X$2427)))/COUNT(IF(A1935=$A$2:$A$2427,IF(D1935=$D$2:$D$2427,IF(ISNUMBER($X$2:$X$2427),1)))),0),""),0)</f>
        <v/>
      </c>
      <c r="Z1935" s="104" t="str">
        <f>IF(ISNUMBER(O1935),IF(I1935&gt;0,(10^(VLOOKUP(D1935,'Species Codes'!B:C,2,0)+VLOOKUP(D1935,'Species Codes'!B:D,3,0)*LOG(E1935)+VLOOKUP(D1935,'Species Codes'!B:E,4,0)*LOG(I1935))),0),"")</f>
        <v/>
      </c>
      <c r="AA1935" s="104" t="str">
        <f>IFERROR((VLOOKUP(D1935,'Species Codes'!B:G,6,0)*Z1935)/2000,"")</f>
        <v/>
      </c>
      <c r="AB1935" s="104" t="e">
        <f>IF(Z1935&gt;0,((IF(OR(D1935="DF",D1935="RA")=TRUE,EXP(VLOOKUP(D1935,'Species Codes'!B:I,8,0)+VLOOKUP(D1935,'Species Codes'!B:J,9,0)*(LN((E1935*2.54)))),IF(OR(D1935="PY",D1935="RC",D1935="WH",D1935="NF")=TRUE,VLOOKUP(D1935,'Species Codes'!B:I,8,0)+VLOOKUP(D1935,'Species Codes'!B:J,9,0)*((E1935*2.54)^2)*(I1935*0.3048),IF(OR(D1935="MD",D1935="BM",D1935="GA")=TRUE,((VLOOKUP(D1935,'Species Codes'!B:I,8,0)*(((((E1935*2.54)+VLOOKUP(D1935,'Species Codes'!B:J,9,0))/VLOOKUP(D1935,'Species Codes'!B:K,10,0))^VLOOKUP(D1935,'Species Codes'!B:L,11,0))*((I1935*0.3048)^VLOOKUP(D1935,'Species Codes'!B:M,12,0))))-(VLOOKUP(D1935,'Species Codes'!B:I,8,0)*((((E1935*2.54)^VLOOKUP(D1935,'Species Codes'!B:L,11,0))*((I1935*0.3048)^VLOOKUP(D1935,'Species Codes'!B:M,12,0))))))*35.3*VLOOKUP(D1935,'Species Codes'!B:G,6,0)/2.2046,VLOOKUP(D1935,'Species Codes'!B:I,8,0)+VLOOKUP(D1935,'Species Codes'!B:J,9,0)*(((E1935*2.54)/100)^2)*(I1935*0.3048)))))*0.0011023),0)</f>
        <v>#N/A</v>
      </c>
      <c r="AC1935" s="104" t="e">
        <f>IF(Z1935&gt;0,((IF(OR(D1935="RA",D1935="OA",D1935="OT",D1935="UN",D1935="PC"),EXP(VLOOKUP(D1935,'Species Codes'!B:O,14,0)+VLOOKUP(D1935,'Species Codes'!B:P,15,0)*LN((E1935*2.54)))-EXP(VLOOKUP(D1935,'Species Codes'!B:O,14,0)+VLOOKUP(D1935,'Species Codes'!B:P,15,0)*LN((E1935*2.54)))*(1/(VLOOKUP(D1935,'Species Codes'!B:Q,16,0)+VLOOKUP(D1935,'Species Codes'!B:R,17,0)*((E1935*2.54)^VLOOKUP(D1935,'Species Codes'!B:S,18,0)))),IF(OR(D1935="BM",D1935="MD",D1935="OA"),EXP(VLOOKUP(D1935,'Species Codes'!B:O,14,0)+VLOOKUP(D1935,'Species Codes'!B:P,15,0)*LN((E1935*2.54)))*(1-(1/(VLOOKUP(D1935,'Species Codes'!B:Q,16,0)+VLOOKUP(D1935,'Species Codes'!B:R,17,0)*((E1935*2.54)^VLOOKUP(D1935,'Species Codes'!B:S,18,0)))))/1000,IF(D1935="DF",EXP(VLOOKUP(D1935,'Species Codes'!B:O,14,0)+VLOOKUP(D1935,'Species Codes'!B:P,15,0)*LN((E1935*2.54))),VLOOKUP(D1935,'Species Codes'!B:O,14,0)+VLOOKUP(D1935,'Species Codes'!B:P,15,0)*(((E1935*2.54)/100)^2)*(I1935*0.3048)))))*0.0011023),0)</f>
        <v>#N/A</v>
      </c>
      <c r="AD1935" s="104" t="e">
        <f t="shared" si="841"/>
        <v>#N/A</v>
      </c>
      <c r="AE1935" s="104" t="e">
        <f t="shared" si="842"/>
        <v>#N/A</v>
      </c>
      <c r="AF1935" s="104" t="e">
        <f>IF(AND(VLOOKUP($D1935,Merchantability!$B:$C,2,0)="Yes",$E1935&gt;=VLOOKUP($D1935,Merchantability!$B:$D,3,0),$E1935&lt;=VLOOKUP($D1935,Merchantability!$B:$E,4,0)),AA1935,0)</f>
        <v>#N/A</v>
      </c>
      <c r="AG1935" s="104" t="e">
        <f>IF(AND(VLOOKUP($D1935,Merchantability!$B:$C,2,0)="Yes",$E1935&gt;=VLOOKUP($D1935,Merchantability!$B:$D,3,0),$E1935&lt;=VLOOKUP($D1935,Merchantability!$B:$E,4,0)),AB1935,0)</f>
        <v>#N/A</v>
      </c>
      <c r="AH1935" s="104" t="e">
        <f>IF(AND(VLOOKUP($D1935,Merchantability!$B:$C,2,0)="Yes",$E1935&gt;=VLOOKUP($D1935,Merchantability!$B:$D,3,0),$E1935&lt;=VLOOKUP($D1935,Merchantability!$B:$E,4,0)),AC1935,0)</f>
        <v>#N/A</v>
      </c>
      <c r="AI1935" s="104" t="e">
        <f t="shared" si="843"/>
        <v>#N/A</v>
      </c>
      <c r="AJ1935" s="104" t="e">
        <f t="shared" si="844"/>
        <v>#VALUE!</v>
      </c>
      <c r="AK1935" s="104" t="e">
        <f t="shared" si="845"/>
        <v>#N/A</v>
      </c>
      <c r="AL1935" s="104" t="e">
        <f t="shared" si="846"/>
        <v>#N/A</v>
      </c>
      <c r="AM1935" s="104" t="e">
        <f t="shared" si="847"/>
        <v>#N/A</v>
      </c>
      <c r="AN1935" s="104" t="e">
        <f t="shared" si="858"/>
        <v>#N/A</v>
      </c>
      <c r="AO1935" s="104" t="e">
        <f t="shared" si="859"/>
        <v>#N/A</v>
      </c>
      <c r="AP1935" s="104" t="e">
        <f t="shared" si="860"/>
        <v>#N/A</v>
      </c>
      <c r="AQ1935" s="104" t="e">
        <f t="shared" si="861"/>
        <v>#N/A</v>
      </c>
      <c r="AR1935" s="105" t="str">
        <f t="shared" si="853"/>
        <v/>
      </c>
      <c r="AS1935" s="105" t="str">
        <f t="shared" si="854"/>
        <v/>
      </c>
      <c r="AT1935" s="108" t="str">
        <f t="shared" si="855"/>
        <v/>
      </c>
      <c r="AU1935" s="108" t="str">
        <f t="shared" si="856"/>
        <v/>
      </c>
      <c r="AV1935" s="107" t="str">
        <f>IF(ISNUMBER(O1935),IF(VLOOKUP($A1935,Stand!C:J,8,FALSE)="Short",AT1935,AU1935),"")</f>
        <v/>
      </c>
      <c r="AW1935" s="109" t="str">
        <f t="shared" si="862"/>
        <v/>
      </c>
      <c r="AX1935" s="109" t="str">
        <f t="shared" si="863"/>
        <v/>
      </c>
      <c r="AY1935" s="112" t="str">
        <f>IF(ISNUMBER(O1935),IF(AND(VLOOKUP($D1935,Merchantability!$B:$C,2,0)="Yes",$E1935&gt;=VLOOKUP($D1935,Merchantability!$B:$D,3,0),$E1935&lt;=VLOOKUP($D1935,Merchantability!$B:$E,4,0)),(AV1935*O1935)*(1-$H1935/100),""),"")</f>
        <v/>
      </c>
      <c r="AZ1935" s="116"/>
      <c r="BA1935" s="116"/>
      <c r="BB1935" s="116"/>
      <c r="BE1935" s="62"/>
      <c r="BF1935" s="63"/>
    </row>
    <row r="1936" spans="1:58" ht="12.75" customHeight="1" x14ac:dyDescent="0.25">
      <c r="A1936" s="334"/>
      <c r="B1936" s="334"/>
      <c r="C1936" s="332"/>
      <c r="D1936" s="334"/>
      <c r="E1936" s="335"/>
      <c r="F1936" s="334"/>
      <c r="G1936" s="332"/>
      <c r="H1936" s="332"/>
      <c r="I1936" s="334"/>
      <c r="J1936" s="336"/>
      <c r="K1936" s="332"/>
      <c r="L1936" s="332"/>
      <c r="M1936" s="76"/>
      <c r="N1936" s="103" t="str">
        <f>IF(A1936="","",VLOOKUP(A1936,Stand!C:K,9,0))</f>
        <v/>
      </c>
      <c r="O1936" s="104" t="str">
        <f t="shared" si="848"/>
        <v/>
      </c>
      <c r="P1936" s="105" t="str">
        <f t="shared" si="849"/>
        <v/>
      </c>
      <c r="Q1936" s="105" t="str">
        <f t="shared" si="837"/>
        <v/>
      </c>
      <c r="R1936" s="103" t="str">
        <f t="shared" si="850"/>
        <v/>
      </c>
      <c r="S1936" s="103" t="str">
        <f t="shared" si="851"/>
        <v/>
      </c>
      <c r="T1936" s="106" t="str">
        <f t="shared" si="838"/>
        <v/>
      </c>
      <c r="U1936" s="106" t="str">
        <f t="shared" si="839"/>
        <v/>
      </c>
      <c r="V1936" s="106" t="str">
        <f t="shared" si="840"/>
        <v/>
      </c>
      <c r="W1936" s="105" t="str">
        <f t="shared" si="852"/>
        <v/>
      </c>
      <c r="X1936" s="104" t="str">
        <f t="shared" si="857"/>
        <v/>
      </c>
      <c r="Y1936" s="104" t="str">
        <f t="array" ref="Y1936">IFERROR(IF(ISNUMBER(O1936),IF(COUNT(IF(A1936=$A$2:$A$2427,IF(D1936=$D$2:$D$2427,IF($X$2:$X$2427&gt;0,1))))&gt;0,SUM(IF(A1936=$A$2:$A$2427,IF(D1936=$D$2:$D$2427,$X$2:$X$2427)))/COUNT(IF(A1936=$A$2:$A$2427,IF(D1936=$D$2:$D$2427,IF(ISNUMBER($X$2:$X$2427),1)))),0),""),0)</f>
        <v/>
      </c>
      <c r="Z1936" s="104" t="str">
        <f>IF(ISNUMBER(O1936),IF(I1936&gt;0,(10^(VLOOKUP(D1936,'Species Codes'!B:C,2,0)+VLOOKUP(D1936,'Species Codes'!B:D,3,0)*LOG(E1936)+VLOOKUP(D1936,'Species Codes'!B:E,4,0)*LOG(I1936))),0),"")</f>
        <v/>
      </c>
      <c r="AA1936" s="104" t="str">
        <f>IFERROR((VLOOKUP(D1936,'Species Codes'!B:G,6,0)*Z1936)/2000,"")</f>
        <v/>
      </c>
      <c r="AB1936" s="104" t="e">
        <f>IF(Z1936&gt;0,((IF(OR(D1936="DF",D1936="RA")=TRUE,EXP(VLOOKUP(D1936,'Species Codes'!B:I,8,0)+VLOOKUP(D1936,'Species Codes'!B:J,9,0)*(LN((E1936*2.54)))),IF(OR(D1936="PY",D1936="RC",D1936="WH",D1936="NF")=TRUE,VLOOKUP(D1936,'Species Codes'!B:I,8,0)+VLOOKUP(D1936,'Species Codes'!B:J,9,0)*((E1936*2.54)^2)*(I1936*0.3048),IF(OR(D1936="MD",D1936="BM",D1936="GA")=TRUE,((VLOOKUP(D1936,'Species Codes'!B:I,8,0)*(((((E1936*2.54)+VLOOKUP(D1936,'Species Codes'!B:J,9,0))/VLOOKUP(D1936,'Species Codes'!B:K,10,0))^VLOOKUP(D1936,'Species Codes'!B:L,11,0))*((I1936*0.3048)^VLOOKUP(D1936,'Species Codes'!B:M,12,0))))-(VLOOKUP(D1936,'Species Codes'!B:I,8,0)*((((E1936*2.54)^VLOOKUP(D1936,'Species Codes'!B:L,11,0))*((I1936*0.3048)^VLOOKUP(D1936,'Species Codes'!B:M,12,0))))))*35.3*VLOOKUP(D1936,'Species Codes'!B:G,6,0)/2.2046,VLOOKUP(D1936,'Species Codes'!B:I,8,0)+VLOOKUP(D1936,'Species Codes'!B:J,9,0)*(((E1936*2.54)/100)^2)*(I1936*0.3048)))))*0.0011023),0)</f>
        <v>#N/A</v>
      </c>
      <c r="AC1936" s="104" t="e">
        <f>IF(Z1936&gt;0,((IF(OR(D1936="RA",D1936="OA",D1936="OT",D1936="UN",D1936="PC"),EXP(VLOOKUP(D1936,'Species Codes'!B:O,14,0)+VLOOKUP(D1936,'Species Codes'!B:P,15,0)*LN((E1936*2.54)))-EXP(VLOOKUP(D1936,'Species Codes'!B:O,14,0)+VLOOKUP(D1936,'Species Codes'!B:P,15,0)*LN((E1936*2.54)))*(1/(VLOOKUP(D1936,'Species Codes'!B:Q,16,0)+VLOOKUP(D1936,'Species Codes'!B:R,17,0)*((E1936*2.54)^VLOOKUP(D1936,'Species Codes'!B:S,18,0)))),IF(OR(D1936="BM",D1936="MD",D1936="OA"),EXP(VLOOKUP(D1936,'Species Codes'!B:O,14,0)+VLOOKUP(D1936,'Species Codes'!B:P,15,0)*LN((E1936*2.54)))*(1-(1/(VLOOKUP(D1936,'Species Codes'!B:Q,16,0)+VLOOKUP(D1936,'Species Codes'!B:R,17,0)*((E1936*2.54)^VLOOKUP(D1936,'Species Codes'!B:S,18,0)))))/1000,IF(D1936="DF",EXP(VLOOKUP(D1936,'Species Codes'!B:O,14,0)+VLOOKUP(D1936,'Species Codes'!B:P,15,0)*LN((E1936*2.54))),VLOOKUP(D1936,'Species Codes'!B:O,14,0)+VLOOKUP(D1936,'Species Codes'!B:P,15,0)*(((E1936*2.54)/100)^2)*(I1936*0.3048)))))*0.0011023),0)</f>
        <v>#N/A</v>
      </c>
      <c r="AD1936" s="104" t="e">
        <f t="shared" si="841"/>
        <v>#N/A</v>
      </c>
      <c r="AE1936" s="104" t="e">
        <f t="shared" si="842"/>
        <v>#N/A</v>
      </c>
      <c r="AF1936" s="104" t="e">
        <f>IF(AND(VLOOKUP($D1936,Merchantability!$B:$C,2,0)="Yes",$E1936&gt;=VLOOKUP($D1936,Merchantability!$B:$D,3,0),$E1936&lt;=VLOOKUP($D1936,Merchantability!$B:$E,4,0)),AA1936,0)</f>
        <v>#N/A</v>
      </c>
      <c r="AG1936" s="104" t="e">
        <f>IF(AND(VLOOKUP($D1936,Merchantability!$B:$C,2,0)="Yes",$E1936&gt;=VLOOKUP($D1936,Merchantability!$B:$D,3,0),$E1936&lt;=VLOOKUP($D1936,Merchantability!$B:$E,4,0)),AB1936,0)</f>
        <v>#N/A</v>
      </c>
      <c r="AH1936" s="104" t="e">
        <f>IF(AND(VLOOKUP($D1936,Merchantability!$B:$C,2,0)="Yes",$E1936&gt;=VLOOKUP($D1936,Merchantability!$B:$D,3,0),$E1936&lt;=VLOOKUP($D1936,Merchantability!$B:$E,4,0)),AC1936,0)</f>
        <v>#N/A</v>
      </c>
      <c r="AI1936" s="104" t="e">
        <f t="shared" si="843"/>
        <v>#N/A</v>
      </c>
      <c r="AJ1936" s="104" t="e">
        <f t="shared" si="844"/>
        <v>#VALUE!</v>
      </c>
      <c r="AK1936" s="104" t="e">
        <f t="shared" si="845"/>
        <v>#N/A</v>
      </c>
      <c r="AL1936" s="104" t="e">
        <f t="shared" si="846"/>
        <v>#N/A</v>
      </c>
      <c r="AM1936" s="104" t="e">
        <f t="shared" si="847"/>
        <v>#N/A</v>
      </c>
      <c r="AN1936" s="104" t="e">
        <f t="shared" si="858"/>
        <v>#N/A</v>
      </c>
      <c r="AO1936" s="104" t="e">
        <f t="shared" si="859"/>
        <v>#N/A</v>
      </c>
      <c r="AP1936" s="104" t="e">
        <f t="shared" si="860"/>
        <v>#N/A</v>
      </c>
      <c r="AQ1936" s="104" t="e">
        <f t="shared" si="861"/>
        <v>#N/A</v>
      </c>
      <c r="AR1936" s="105" t="str">
        <f t="shared" si="853"/>
        <v/>
      </c>
      <c r="AS1936" s="105" t="str">
        <f t="shared" si="854"/>
        <v/>
      </c>
      <c r="AT1936" s="108" t="str">
        <f t="shared" si="855"/>
        <v/>
      </c>
      <c r="AU1936" s="108" t="str">
        <f t="shared" si="856"/>
        <v/>
      </c>
      <c r="AV1936" s="107" t="str">
        <f>IF(ISNUMBER(O1936),IF(VLOOKUP($A1936,Stand!C:J,8,FALSE)="Short",AT1936,AU1936),"")</f>
        <v/>
      </c>
      <c r="AW1936" s="109" t="str">
        <f t="shared" si="862"/>
        <v/>
      </c>
      <c r="AX1936" s="109" t="str">
        <f t="shared" si="863"/>
        <v/>
      </c>
      <c r="AY1936" s="112" t="str">
        <f>IF(ISNUMBER(O1936),IF(AND(VLOOKUP($D1936,Merchantability!$B:$C,2,0)="Yes",$E1936&gt;=VLOOKUP($D1936,Merchantability!$B:$D,3,0),$E1936&lt;=VLOOKUP($D1936,Merchantability!$B:$E,4,0)),(AV1936*O1936)*(1-$H1936/100),""),"")</f>
        <v/>
      </c>
      <c r="AZ1936" s="116"/>
      <c r="BA1936" s="116"/>
      <c r="BB1936" s="116"/>
      <c r="BE1936" s="62"/>
      <c r="BF1936" s="63"/>
    </row>
    <row r="1937" spans="1:58" ht="12.75" customHeight="1" x14ac:dyDescent="0.25">
      <c r="A1937" s="334"/>
      <c r="B1937" s="334"/>
      <c r="C1937" s="332"/>
      <c r="D1937" s="334"/>
      <c r="E1937" s="335"/>
      <c r="F1937" s="334"/>
      <c r="G1937" s="332"/>
      <c r="H1937" s="332"/>
      <c r="I1937" s="334"/>
      <c r="J1937" s="336"/>
      <c r="K1937" s="332"/>
      <c r="L1937" s="332"/>
      <c r="M1937" s="76"/>
      <c r="N1937" s="103" t="str">
        <f>IF(A1937="","",VLOOKUP(A1937,Stand!C:K,9,0))</f>
        <v/>
      </c>
      <c r="O1937" s="104" t="str">
        <f t="shared" si="848"/>
        <v/>
      </c>
      <c r="P1937" s="105" t="str">
        <f t="shared" si="849"/>
        <v/>
      </c>
      <c r="Q1937" s="105" t="str">
        <f t="shared" si="837"/>
        <v/>
      </c>
      <c r="R1937" s="103" t="str">
        <f t="shared" si="850"/>
        <v/>
      </c>
      <c r="S1937" s="103" t="str">
        <f t="shared" si="851"/>
        <v/>
      </c>
      <c r="T1937" s="106" t="str">
        <f t="shared" si="838"/>
        <v/>
      </c>
      <c r="U1937" s="106" t="str">
        <f t="shared" si="839"/>
        <v/>
      </c>
      <c r="V1937" s="106" t="str">
        <f t="shared" si="840"/>
        <v/>
      </c>
      <c r="W1937" s="105" t="str">
        <f t="shared" si="852"/>
        <v/>
      </c>
      <c r="X1937" s="104" t="str">
        <f t="shared" si="857"/>
        <v/>
      </c>
      <c r="Y1937" s="104" t="str">
        <f t="array" ref="Y1937">IFERROR(IF(ISNUMBER(O1937),IF(COUNT(IF(A1937=$A$2:$A$2427,IF(D1937=$D$2:$D$2427,IF($X$2:$X$2427&gt;0,1))))&gt;0,SUM(IF(A1937=$A$2:$A$2427,IF(D1937=$D$2:$D$2427,$X$2:$X$2427)))/COUNT(IF(A1937=$A$2:$A$2427,IF(D1937=$D$2:$D$2427,IF(ISNUMBER($X$2:$X$2427),1)))),0),""),0)</f>
        <v/>
      </c>
      <c r="Z1937" s="104" t="str">
        <f>IF(ISNUMBER(O1937),IF(I1937&gt;0,(10^(VLOOKUP(D1937,'Species Codes'!B:C,2,0)+VLOOKUP(D1937,'Species Codes'!B:D,3,0)*LOG(E1937)+VLOOKUP(D1937,'Species Codes'!B:E,4,0)*LOG(I1937))),0),"")</f>
        <v/>
      </c>
      <c r="AA1937" s="104" t="str">
        <f>IFERROR((VLOOKUP(D1937,'Species Codes'!B:G,6,0)*Z1937)/2000,"")</f>
        <v/>
      </c>
      <c r="AB1937" s="104" t="e">
        <f>IF(Z1937&gt;0,((IF(OR(D1937="DF",D1937="RA")=TRUE,EXP(VLOOKUP(D1937,'Species Codes'!B:I,8,0)+VLOOKUP(D1937,'Species Codes'!B:J,9,0)*(LN((E1937*2.54)))),IF(OR(D1937="PY",D1937="RC",D1937="WH",D1937="NF")=TRUE,VLOOKUP(D1937,'Species Codes'!B:I,8,0)+VLOOKUP(D1937,'Species Codes'!B:J,9,0)*((E1937*2.54)^2)*(I1937*0.3048),IF(OR(D1937="MD",D1937="BM",D1937="GA")=TRUE,((VLOOKUP(D1937,'Species Codes'!B:I,8,0)*(((((E1937*2.54)+VLOOKUP(D1937,'Species Codes'!B:J,9,0))/VLOOKUP(D1937,'Species Codes'!B:K,10,0))^VLOOKUP(D1937,'Species Codes'!B:L,11,0))*((I1937*0.3048)^VLOOKUP(D1937,'Species Codes'!B:M,12,0))))-(VLOOKUP(D1937,'Species Codes'!B:I,8,0)*((((E1937*2.54)^VLOOKUP(D1937,'Species Codes'!B:L,11,0))*((I1937*0.3048)^VLOOKUP(D1937,'Species Codes'!B:M,12,0))))))*35.3*VLOOKUP(D1937,'Species Codes'!B:G,6,0)/2.2046,VLOOKUP(D1937,'Species Codes'!B:I,8,0)+VLOOKUP(D1937,'Species Codes'!B:J,9,0)*(((E1937*2.54)/100)^2)*(I1937*0.3048)))))*0.0011023),0)</f>
        <v>#N/A</v>
      </c>
      <c r="AC1937" s="104" t="e">
        <f>IF(Z1937&gt;0,((IF(OR(D1937="RA",D1937="OA",D1937="OT",D1937="UN",D1937="PC"),EXP(VLOOKUP(D1937,'Species Codes'!B:O,14,0)+VLOOKUP(D1937,'Species Codes'!B:P,15,0)*LN((E1937*2.54)))-EXP(VLOOKUP(D1937,'Species Codes'!B:O,14,0)+VLOOKUP(D1937,'Species Codes'!B:P,15,0)*LN((E1937*2.54)))*(1/(VLOOKUP(D1937,'Species Codes'!B:Q,16,0)+VLOOKUP(D1937,'Species Codes'!B:R,17,0)*((E1937*2.54)^VLOOKUP(D1937,'Species Codes'!B:S,18,0)))),IF(OR(D1937="BM",D1937="MD",D1937="OA"),EXP(VLOOKUP(D1937,'Species Codes'!B:O,14,0)+VLOOKUP(D1937,'Species Codes'!B:P,15,0)*LN((E1937*2.54)))*(1-(1/(VLOOKUP(D1937,'Species Codes'!B:Q,16,0)+VLOOKUP(D1937,'Species Codes'!B:R,17,0)*((E1937*2.54)^VLOOKUP(D1937,'Species Codes'!B:S,18,0)))))/1000,IF(D1937="DF",EXP(VLOOKUP(D1937,'Species Codes'!B:O,14,0)+VLOOKUP(D1937,'Species Codes'!B:P,15,0)*LN((E1937*2.54))),VLOOKUP(D1937,'Species Codes'!B:O,14,0)+VLOOKUP(D1937,'Species Codes'!B:P,15,0)*(((E1937*2.54)/100)^2)*(I1937*0.3048)))))*0.0011023),0)</f>
        <v>#N/A</v>
      </c>
      <c r="AD1937" s="104" t="e">
        <f t="shared" si="841"/>
        <v>#N/A</v>
      </c>
      <c r="AE1937" s="104" t="e">
        <f t="shared" si="842"/>
        <v>#N/A</v>
      </c>
      <c r="AF1937" s="104" t="e">
        <f>IF(AND(VLOOKUP($D1937,Merchantability!$B:$C,2,0)="Yes",$E1937&gt;=VLOOKUP($D1937,Merchantability!$B:$D,3,0),$E1937&lt;=VLOOKUP($D1937,Merchantability!$B:$E,4,0)),AA1937,0)</f>
        <v>#N/A</v>
      </c>
      <c r="AG1937" s="104" t="e">
        <f>IF(AND(VLOOKUP($D1937,Merchantability!$B:$C,2,0)="Yes",$E1937&gt;=VLOOKUP($D1937,Merchantability!$B:$D,3,0),$E1937&lt;=VLOOKUP($D1937,Merchantability!$B:$E,4,0)),AB1937,0)</f>
        <v>#N/A</v>
      </c>
      <c r="AH1937" s="104" t="e">
        <f>IF(AND(VLOOKUP($D1937,Merchantability!$B:$C,2,0)="Yes",$E1937&gt;=VLOOKUP($D1937,Merchantability!$B:$D,3,0),$E1937&lt;=VLOOKUP($D1937,Merchantability!$B:$E,4,0)),AC1937,0)</f>
        <v>#N/A</v>
      </c>
      <c r="AI1937" s="104" t="e">
        <f t="shared" si="843"/>
        <v>#N/A</v>
      </c>
      <c r="AJ1937" s="104" t="e">
        <f t="shared" si="844"/>
        <v>#VALUE!</v>
      </c>
      <c r="AK1937" s="104" t="e">
        <f t="shared" si="845"/>
        <v>#N/A</v>
      </c>
      <c r="AL1937" s="104" t="e">
        <f t="shared" si="846"/>
        <v>#N/A</v>
      </c>
      <c r="AM1937" s="104" t="e">
        <f t="shared" si="847"/>
        <v>#N/A</v>
      </c>
      <c r="AN1937" s="104" t="e">
        <f t="shared" si="858"/>
        <v>#N/A</v>
      </c>
      <c r="AO1937" s="104" t="e">
        <f t="shared" si="859"/>
        <v>#N/A</v>
      </c>
      <c r="AP1937" s="104" t="e">
        <f t="shared" si="860"/>
        <v>#N/A</v>
      </c>
      <c r="AQ1937" s="104" t="e">
        <f t="shared" si="861"/>
        <v>#N/A</v>
      </c>
      <c r="AR1937" s="105" t="str">
        <f t="shared" si="853"/>
        <v/>
      </c>
      <c r="AS1937" s="105" t="str">
        <f t="shared" si="854"/>
        <v/>
      </c>
      <c r="AT1937" s="108" t="str">
        <f t="shared" si="855"/>
        <v/>
      </c>
      <c r="AU1937" s="108" t="str">
        <f t="shared" si="856"/>
        <v/>
      </c>
      <c r="AV1937" s="107" t="str">
        <f>IF(ISNUMBER(O1937),IF(VLOOKUP($A1937,Stand!C:J,8,FALSE)="Short",AT1937,AU1937),"")</f>
        <v/>
      </c>
      <c r="AW1937" s="109" t="str">
        <f t="shared" si="862"/>
        <v/>
      </c>
      <c r="AX1937" s="109" t="str">
        <f t="shared" si="863"/>
        <v/>
      </c>
      <c r="AY1937" s="112" t="str">
        <f>IF(ISNUMBER(O1937),IF(AND(VLOOKUP($D1937,Merchantability!$B:$C,2,0)="Yes",$E1937&gt;=VLOOKUP($D1937,Merchantability!$B:$D,3,0),$E1937&lt;=VLOOKUP($D1937,Merchantability!$B:$E,4,0)),(AV1937*O1937)*(1-$H1937/100),""),"")</f>
        <v/>
      </c>
      <c r="AZ1937" s="116"/>
      <c r="BA1937" s="116"/>
      <c r="BB1937" s="116"/>
      <c r="BE1937" s="62"/>
      <c r="BF1937" s="63"/>
    </row>
    <row r="1938" spans="1:58" ht="12.75" customHeight="1" x14ac:dyDescent="0.25">
      <c r="A1938" s="334"/>
      <c r="B1938" s="334"/>
      <c r="C1938" s="332"/>
      <c r="D1938" s="334"/>
      <c r="E1938" s="335"/>
      <c r="F1938" s="334"/>
      <c r="G1938" s="332"/>
      <c r="H1938" s="332"/>
      <c r="I1938" s="334"/>
      <c r="J1938" s="336"/>
      <c r="K1938" s="332"/>
      <c r="L1938" s="332"/>
      <c r="M1938" s="76"/>
      <c r="N1938" s="103" t="str">
        <f>IF(A1938="","",VLOOKUP(A1938,Stand!C:K,9,0))</f>
        <v/>
      </c>
      <c r="O1938" s="104" t="str">
        <f t="shared" si="848"/>
        <v/>
      </c>
      <c r="P1938" s="105" t="str">
        <f t="shared" si="849"/>
        <v/>
      </c>
      <c r="Q1938" s="105" t="str">
        <f t="shared" si="837"/>
        <v/>
      </c>
      <c r="R1938" s="103" t="str">
        <f t="shared" si="850"/>
        <v/>
      </c>
      <c r="S1938" s="103" t="str">
        <f t="shared" si="851"/>
        <v/>
      </c>
      <c r="T1938" s="106" t="str">
        <f t="shared" si="838"/>
        <v/>
      </c>
      <c r="U1938" s="106" t="str">
        <f t="shared" si="839"/>
        <v/>
      </c>
      <c r="V1938" s="106" t="str">
        <f t="shared" si="840"/>
        <v/>
      </c>
      <c r="W1938" s="105" t="str">
        <f t="shared" si="852"/>
        <v/>
      </c>
      <c r="X1938" s="104" t="str">
        <f t="shared" si="857"/>
        <v/>
      </c>
      <c r="Y1938" s="104" t="str">
        <f t="array" ref="Y1938">IFERROR(IF(ISNUMBER(O1938),IF(COUNT(IF(A1938=$A$2:$A$2427,IF(D1938=$D$2:$D$2427,IF($X$2:$X$2427&gt;0,1))))&gt;0,SUM(IF(A1938=$A$2:$A$2427,IF(D1938=$D$2:$D$2427,$X$2:$X$2427)))/COUNT(IF(A1938=$A$2:$A$2427,IF(D1938=$D$2:$D$2427,IF(ISNUMBER($X$2:$X$2427),1)))),0),""),0)</f>
        <v/>
      </c>
      <c r="Z1938" s="104" t="str">
        <f>IF(ISNUMBER(O1938),IF(I1938&gt;0,(10^(VLOOKUP(D1938,'Species Codes'!B:C,2,0)+VLOOKUP(D1938,'Species Codes'!B:D,3,0)*LOG(E1938)+VLOOKUP(D1938,'Species Codes'!B:E,4,0)*LOG(I1938))),0),"")</f>
        <v/>
      </c>
      <c r="AA1938" s="104" t="str">
        <f>IFERROR((VLOOKUP(D1938,'Species Codes'!B:G,6,0)*Z1938)/2000,"")</f>
        <v/>
      </c>
      <c r="AB1938" s="104" t="e">
        <f>IF(Z1938&gt;0,((IF(OR(D1938="DF",D1938="RA")=TRUE,EXP(VLOOKUP(D1938,'Species Codes'!B:I,8,0)+VLOOKUP(D1938,'Species Codes'!B:J,9,0)*(LN((E1938*2.54)))),IF(OR(D1938="PY",D1938="RC",D1938="WH",D1938="NF")=TRUE,VLOOKUP(D1938,'Species Codes'!B:I,8,0)+VLOOKUP(D1938,'Species Codes'!B:J,9,0)*((E1938*2.54)^2)*(I1938*0.3048),IF(OR(D1938="MD",D1938="BM",D1938="GA")=TRUE,((VLOOKUP(D1938,'Species Codes'!B:I,8,0)*(((((E1938*2.54)+VLOOKUP(D1938,'Species Codes'!B:J,9,0))/VLOOKUP(D1938,'Species Codes'!B:K,10,0))^VLOOKUP(D1938,'Species Codes'!B:L,11,0))*((I1938*0.3048)^VLOOKUP(D1938,'Species Codes'!B:M,12,0))))-(VLOOKUP(D1938,'Species Codes'!B:I,8,0)*((((E1938*2.54)^VLOOKUP(D1938,'Species Codes'!B:L,11,0))*((I1938*0.3048)^VLOOKUP(D1938,'Species Codes'!B:M,12,0))))))*35.3*VLOOKUP(D1938,'Species Codes'!B:G,6,0)/2.2046,VLOOKUP(D1938,'Species Codes'!B:I,8,0)+VLOOKUP(D1938,'Species Codes'!B:J,9,0)*(((E1938*2.54)/100)^2)*(I1938*0.3048)))))*0.0011023),0)</f>
        <v>#N/A</v>
      </c>
      <c r="AC1938" s="104" t="e">
        <f>IF(Z1938&gt;0,((IF(OR(D1938="RA",D1938="OA",D1938="OT",D1938="UN",D1938="PC"),EXP(VLOOKUP(D1938,'Species Codes'!B:O,14,0)+VLOOKUP(D1938,'Species Codes'!B:P,15,0)*LN((E1938*2.54)))-EXP(VLOOKUP(D1938,'Species Codes'!B:O,14,0)+VLOOKUP(D1938,'Species Codes'!B:P,15,0)*LN((E1938*2.54)))*(1/(VLOOKUP(D1938,'Species Codes'!B:Q,16,0)+VLOOKUP(D1938,'Species Codes'!B:R,17,0)*((E1938*2.54)^VLOOKUP(D1938,'Species Codes'!B:S,18,0)))),IF(OR(D1938="BM",D1938="MD",D1938="OA"),EXP(VLOOKUP(D1938,'Species Codes'!B:O,14,0)+VLOOKUP(D1938,'Species Codes'!B:P,15,0)*LN((E1938*2.54)))*(1-(1/(VLOOKUP(D1938,'Species Codes'!B:Q,16,0)+VLOOKUP(D1938,'Species Codes'!B:R,17,0)*((E1938*2.54)^VLOOKUP(D1938,'Species Codes'!B:S,18,0)))))/1000,IF(D1938="DF",EXP(VLOOKUP(D1938,'Species Codes'!B:O,14,0)+VLOOKUP(D1938,'Species Codes'!B:P,15,0)*LN((E1938*2.54))),VLOOKUP(D1938,'Species Codes'!B:O,14,0)+VLOOKUP(D1938,'Species Codes'!B:P,15,0)*(((E1938*2.54)/100)^2)*(I1938*0.3048)))))*0.0011023),0)</f>
        <v>#N/A</v>
      </c>
      <c r="AD1938" s="104" t="e">
        <f t="shared" si="841"/>
        <v>#N/A</v>
      </c>
      <c r="AE1938" s="104" t="e">
        <f t="shared" si="842"/>
        <v>#N/A</v>
      </c>
      <c r="AF1938" s="104" t="e">
        <f>IF(AND(VLOOKUP($D1938,Merchantability!$B:$C,2,0)="Yes",$E1938&gt;=VLOOKUP($D1938,Merchantability!$B:$D,3,0),$E1938&lt;=VLOOKUP($D1938,Merchantability!$B:$E,4,0)),AA1938,0)</f>
        <v>#N/A</v>
      </c>
      <c r="AG1938" s="104" t="e">
        <f>IF(AND(VLOOKUP($D1938,Merchantability!$B:$C,2,0)="Yes",$E1938&gt;=VLOOKUP($D1938,Merchantability!$B:$D,3,0),$E1938&lt;=VLOOKUP($D1938,Merchantability!$B:$E,4,0)),AB1938,0)</f>
        <v>#N/A</v>
      </c>
      <c r="AH1938" s="104" t="e">
        <f>IF(AND(VLOOKUP($D1938,Merchantability!$B:$C,2,0)="Yes",$E1938&gt;=VLOOKUP($D1938,Merchantability!$B:$D,3,0),$E1938&lt;=VLOOKUP($D1938,Merchantability!$B:$E,4,0)),AC1938,0)</f>
        <v>#N/A</v>
      </c>
      <c r="AI1938" s="104" t="e">
        <f t="shared" si="843"/>
        <v>#N/A</v>
      </c>
      <c r="AJ1938" s="104" t="e">
        <f t="shared" si="844"/>
        <v>#VALUE!</v>
      </c>
      <c r="AK1938" s="104" t="e">
        <f t="shared" si="845"/>
        <v>#N/A</v>
      </c>
      <c r="AL1938" s="104" t="e">
        <f t="shared" si="846"/>
        <v>#N/A</v>
      </c>
      <c r="AM1938" s="104" t="e">
        <f t="shared" si="847"/>
        <v>#N/A</v>
      </c>
      <c r="AN1938" s="104" t="e">
        <f t="shared" si="858"/>
        <v>#N/A</v>
      </c>
      <c r="AO1938" s="104" t="e">
        <f t="shared" si="859"/>
        <v>#N/A</v>
      </c>
      <c r="AP1938" s="104" t="e">
        <f t="shared" si="860"/>
        <v>#N/A</v>
      </c>
      <c r="AQ1938" s="104" t="e">
        <f t="shared" si="861"/>
        <v>#N/A</v>
      </c>
      <c r="AR1938" s="105" t="str">
        <f t="shared" si="853"/>
        <v/>
      </c>
      <c r="AS1938" s="105" t="str">
        <f t="shared" si="854"/>
        <v/>
      </c>
      <c r="AT1938" s="108" t="str">
        <f t="shared" si="855"/>
        <v/>
      </c>
      <c r="AU1938" s="108" t="str">
        <f t="shared" si="856"/>
        <v/>
      </c>
      <c r="AV1938" s="107" t="str">
        <f>IF(ISNUMBER(O1938),IF(VLOOKUP($A1938,Stand!C:J,8,FALSE)="Short",AT1938,AU1938),"")</f>
        <v/>
      </c>
      <c r="AW1938" s="109" t="str">
        <f t="shared" si="862"/>
        <v/>
      </c>
      <c r="AX1938" s="109" t="str">
        <f t="shared" si="863"/>
        <v/>
      </c>
      <c r="AY1938" s="112" t="str">
        <f>IF(ISNUMBER(O1938),IF(AND(VLOOKUP($D1938,Merchantability!$B:$C,2,0)="Yes",$E1938&gt;=VLOOKUP($D1938,Merchantability!$B:$D,3,0),$E1938&lt;=VLOOKUP($D1938,Merchantability!$B:$E,4,0)),(AV1938*O1938)*(1-$H1938/100),""),"")</f>
        <v/>
      </c>
      <c r="AZ1938" s="116"/>
      <c r="BA1938" s="116"/>
      <c r="BB1938" s="116"/>
      <c r="BE1938" s="62"/>
      <c r="BF1938" s="63"/>
    </row>
    <row r="1939" spans="1:58" ht="12.75" customHeight="1" x14ac:dyDescent="0.25">
      <c r="A1939" s="334"/>
      <c r="B1939" s="334"/>
      <c r="C1939" s="332"/>
      <c r="D1939" s="334"/>
      <c r="E1939" s="335"/>
      <c r="F1939" s="334"/>
      <c r="G1939" s="332"/>
      <c r="H1939" s="332"/>
      <c r="I1939" s="334"/>
      <c r="J1939" s="336"/>
      <c r="K1939" s="332"/>
      <c r="L1939" s="332"/>
      <c r="M1939" s="76"/>
      <c r="N1939" s="103" t="str">
        <f>IF(A1939="","",VLOOKUP(A1939,Stand!C:K,9,0))</f>
        <v/>
      </c>
      <c r="O1939" s="104" t="str">
        <f t="shared" si="848"/>
        <v/>
      </c>
      <c r="P1939" s="105" t="str">
        <f t="shared" si="849"/>
        <v/>
      </c>
      <c r="Q1939" s="105" t="str">
        <f t="shared" si="837"/>
        <v/>
      </c>
      <c r="R1939" s="103" t="str">
        <f t="shared" si="850"/>
        <v/>
      </c>
      <c r="S1939" s="103" t="str">
        <f t="shared" si="851"/>
        <v/>
      </c>
      <c r="T1939" s="106" t="str">
        <f t="shared" si="838"/>
        <v/>
      </c>
      <c r="U1939" s="106" t="str">
        <f t="shared" si="839"/>
        <v/>
      </c>
      <c r="V1939" s="106" t="str">
        <f t="shared" si="840"/>
        <v/>
      </c>
      <c r="W1939" s="105" t="str">
        <f t="shared" si="852"/>
        <v/>
      </c>
      <c r="X1939" s="104" t="str">
        <f t="shared" si="857"/>
        <v/>
      </c>
      <c r="Y1939" s="104" t="str">
        <f t="array" ref="Y1939">IFERROR(IF(ISNUMBER(O1939),IF(COUNT(IF(A1939=$A$2:$A$2427,IF(D1939=$D$2:$D$2427,IF($X$2:$X$2427&gt;0,1))))&gt;0,SUM(IF(A1939=$A$2:$A$2427,IF(D1939=$D$2:$D$2427,$X$2:$X$2427)))/COUNT(IF(A1939=$A$2:$A$2427,IF(D1939=$D$2:$D$2427,IF(ISNUMBER($X$2:$X$2427),1)))),0),""),0)</f>
        <v/>
      </c>
      <c r="Z1939" s="104" t="str">
        <f>IF(ISNUMBER(O1939),IF(I1939&gt;0,(10^(VLOOKUP(D1939,'Species Codes'!B:C,2,0)+VLOOKUP(D1939,'Species Codes'!B:D,3,0)*LOG(E1939)+VLOOKUP(D1939,'Species Codes'!B:E,4,0)*LOG(I1939))),0),"")</f>
        <v/>
      </c>
      <c r="AA1939" s="104" t="str">
        <f>IFERROR((VLOOKUP(D1939,'Species Codes'!B:G,6,0)*Z1939)/2000,"")</f>
        <v/>
      </c>
      <c r="AB1939" s="104" t="e">
        <f>IF(Z1939&gt;0,((IF(OR(D1939="DF",D1939="RA")=TRUE,EXP(VLOOKUP(D1939,'Species Codes'!B:I,8,0)+VLOOKUP(D1939,'Species Codes'!B:J,9,0)*(LN((E1939*2.54)))),IF(OR(D1939="PY",D1939="RC",D1939="WH",D1939="NF")=TRUE,VLOOKUP(D1939,'Species Codes'!B:I,8,0)+VLOOKUP(D1939,'Species Codes'!B:J,9,0)*((E1939*2.54)^2)*(I1939*0.3048),IF(OR(D1939="MD",D1939="BM",D1939="GA")=TRUE,((VLOOKUP(D1939,'Species Codes'!B:I,8,0)*(((((E1939*2.54)+VLOOKUP(D1939,'Species Codes'!B:J,9,0))/VLOOKUP(D1939,'Species Codes'!B:K,10,0))^VLOOKUP(D1939,'Species Codes'!B:L,11,0))*((I1939*0.3048)^VLOOKUP(D1939,'Species Codes'!B:M,12,0))))-(VLOOKUP(D1939,'Species Codes'!B:I,8,0)*((((E1939*2.54)^VLOOKUP(D1939,'Species Codes'!B:L,11,0))*((I1939*0.3048)^VLOOKUP(D1939,'Species Codes'!B:M,12,0))))))*35.3*VLOOKUP(D1939,'Species Codes'!B:G,6,0)/2.2046,VLOOKUP(D1939,'Species Codes'!B:I,8,0)+VLOOKUP(D1939,'Species Codes'!B:J,9,0)*(((E1939*2.54)/100)^2)*(I1939*0.3048)))))*0.0011023),0)</f>
        <v>#N/A</v>
      </c>
      <c r="AC1939" s="104" t="e">
        <f>IF(Z1939&gt;0,((IF(OR(D1939="RA",D1939="OA",D1939="OT",D1939="UN",D1939="PC"),EXP(VLOOKUP(D1939,'Species Codes'!B:O,14,0)+VLOOKUP(D1939,'Species Codes'!B:P,15,0)*LN((E1939*2.54)))-EXP(VLOOKUP(D1939,'Species Codes'!B:O,14,0)+VLOOKUP(D1939,'Species Codes'!B:P,15,0)*LN((E1939*2.54)))*(1/(VLOOKUP(D1939,'Species Codes'!B:Q,16,0)+VLOOKUP(D1939,'Species Codes'!B:R,17,0)*((E1939*2.54)^VLOOKUP(D1939,'Species Codes'!B:S,18,0)))),IF(OR(D1939="BM",D1939="MD",D1939="OA"),EXP(VLOOKUP(D1939,'Species Codes'!B:O,14,0)+VLOOKUP(D1939,'Species Codes'!B:P,15,0)*LN((E1939*2.54)))*(1-(1/(VLOOKUP(D1939,'Species Codes'!B:Q,16,0)+VLOOKUP(D1939,'Species Codes'!B:R,17,0)*((E1939*2.54)^VLOOKUP(D1939,'Species Codes'!B:S,18,0)))))/1000,IF(D1939="DF",EXP(VLOOKUP(D1939,'Species Codes'!B:O,14,0)+VLOOKUP(D1939,'Species Codes'!B:P,15,0)*LN((E1939*2.54))),VLOOKUP(D1939,'Species Codes'!B:O,14,0)+VLOOKUP(D1939,'Species Codes'!B:P,15,0)*(((E1939*2.54)/100)^2)*(I1939*0.3048)))))*0.0011023),0)</f>
        <v>#N/A</v>
      </c>
      <c r="AD1939" s="104" t="e">
        <f t="shared" si="841"/>
        <v>#N/A</v>
      </c>
      <c r="AE1939" s="104" t="e">
        <f t="shared" si="842"/>
        <v>#N/A</v>
      </c>
      <c r="AF1939" s="104" t="e">
        <f>IF(AND(VLOOKUP($D1939,Merchantability!$B:$C,2,0)="Yes",$E1939&gt;=VLOOKUP($D1939,Merchantability!$B:$D,3,0),$E1939&lt;=VLOOKUP($D1939,Merchantability!$B:$E,4,0)),AA1939,0)</f>
        <v>#N/A</v>
      </c>
      <c r="AG1939" s="104" t="e">
        <f>IF(AND(VLOOKUP($D1939,Merchantability!$B:$C,2,0)="Yes",$E1939&gt;=VLOOKUP($D1939,Merchantability!$B:$D,3,0),$E1939&lt;=VLOOKUP($D1939,Merchantability!$B:$E,4,0)),AB1939,0)</f>
        <v>#N/A</v>
      </c>
      <c r="AH1939" s="104" t="e">
        <f>IF(AND(VLOOKUP($D1939,Merchantability!$B:$C,2,0)="Yes",$E1939&gt;=VLOOKUP($D1939,Merchantability!$B:$D,3,0),$E1939&lt;=VLOOKUP($D1939,Merchantability!$B:$E,4,0)),AC1939,0)</f>
        <v>#N/A</v>
      </c>
      <c r="AI1939" s="104" t="e">
        <f t="shared" si="843"/>
        <v>#N/A</v>
      </c>
      <c r="AJ1939" s="104" t="e">
        <f t="shared" si="844"/>
        <v>#VALUE!</v>
      </c>
      <c r="AK1939" s="104" t="e">
        <f t="shared" si="845"/>
        <v>#N/A</v>
      </c>
      <c r="AL1939" s="104" t="e">
        <f t="shared" si="846"/>
        <v>#N/A</v>
      </c>
      <c r="AM1939" s="104" t="e">
        <f t="shared" si="847"/>
        <v>#N/A</v>
      </c>
      <c r="AN1939" s="104" t="e">
        <f t="shared" si="858"/>
        <v>#N/A</v>
      </c>
      <c r="AO1939" s="104" t="e">
        <f t="shared" si="859"/>
        <v>#N/A</v>
      </c>
      <c r="AP1939" s="104" t="e">
        <f t="shared" si="860"/>
        <v>#N/A</v>
      </c>
      <c r="AQ1939" s="104" t="e">
        <f t="shared" si="861"/>
        <v>#N/A</v>
      </c>
      <c r="AR1939" s="105" t="str">
        <f t="shared" si="853"/>
        <v/>
      </c>
      <c r="AS1939" s="105" t="str">
        <f t="shared" si="854"/>
        <v/>
      </c>
      <c r="AT1939" s="108" t="str">
        <f t="shared" si="855"/>
        <v/>
      </c>
      <c r="AU1939" s="108" t="str">
        <f t="shared" si="856"/>
        <v/>
      </c>
      <c r="AV1939" s="107" t="str">
        <f>IF(ISNUMBER(O1939),IF(VLOOKUP($A1939,Stand!C:J,8,FALSE)="Short",AT1939,AU1939),"")</f>
        <v/>
      </c>
      <c r="AW1939" s="109" t="str">
        <f t="shared" si="862"/>
        <v/>
      </c>
      <c r="AX1939" s="109" t="str">
        <f t="shared" si="863"/>
        <v/>
      </c>
      <c r="AY1939" s="112" t="str">
        <f>IF(ISNUMBER(O1939),IF(AND(VLOOKUP($D1939,Merchantability!$B:$C,2,0)="Yes",$E1939&gt;=VLOOKUP($D1939,Merchantability!$B:$D,3,0),$E1939&lt;=VLOOKUP($D1939,Merchantability!$B:$E,4,0)),(AV1939*O1939)*(1-$H1939/100),""),"")</f>
        <v/>
      </c>
      <c r="AZ1939" s="116"/>
      <c r="BA1939" s="116"/>
      <c r="BB1939" s="116"/>
      <c r="BE1939" s="62"/>
      <c r="BF1939" s="63"/>
    </row>
    <row r="1940" spans="1:58" ht="12.75" customHeight="1" x14ac:dyDescent="0.25">
      <c r="A1940" s="334"/>
      <c r="B1940" s="334"/>
      <c r="C1940" s="332"/>
      <c r="D1940" s="334"/>
      <c r="E1940" s="335"/>
      <c r="F1940" s="334"/>
      <c r="G1940" s="332"/>
      <c r="H1940" s="332"/>
      <c r="I1940" s="334"/>
      <c r="J1940" s="336"/>
      <c r="K1940" s="332"/>
      <c r="L1940" s="332"/>
      <c r="M1940" s="76"/>
      <c r="N1940" s="103" t="str">
        <f>IF(A1940="","",VLOOKUP(A1940,Stand!C:K,9,0))</f>
        <v/>
      </c>
      <c r="O1940" s="104" t="str">
        <f t="shared" si="848"/>
        <v/>
      </c>
      <c r="P1940" s="105" t="str">
        <f t="shared" si="849"/>
        <v/>
      </c>
      <c r="Q1940" s="105" t="str">
        <f t="shared" si="837"/>
        <v/>
      </c>
      <c r="R1940" s="103" t="str">
        <f t="shared" si="850"/>
        <v/>
      </c>
      <c r="S1940" s="103" t="str">
        <f t="shared" si="851"/>
        <v/>
      </c>
      <c r="T1940" s="106" t="str">
        <f t="shared" si="838"/>
        <v/>
      </c>
      <c r="U1940" s="106" t="str">
        <f t="shared" si="839"/>
        <v/>
      </c>
      <c r="V1940" s="106" t="str">
        <f t="shared" si="840"/>
        <v/>
      </c>
      <c r="W1940" s="105" t="str">
        <f t="shared" si="852"/>
        <v/>
      </c>
      <c r="X1940" s="104" t="str">
        <f t="shared" si="857"/>
        <v/>
      </c>
      <c r="Y1940" s="104" t="str">
        <f t="array" ref="Y1940">IFERROR(IF(ISNUMBER(O1940),IF(COUNT(IF(A1940=$A$2:$A$2427,IF(D1940=$D$2:$D$2427,IF($X$2:$X$2427&gt;0,1))))&gt;0,SUM(IF(A1940=$A$2:$A$2427,IF(D1940=$D$2:$D$2427,$X$2:$X$2427)))/COUNT(IF(A1940=$A$2:$A$2427,IF(D1940=$D$2:$D$2427,IF(ISNUMBER($X$2:$X$2427),1)))),0),""),0)</f>
        <v/>
      </c>
      <c r="Z1940" s="104" t="str">
        <f>IF(ISNUMBER(O1940),IF(I1940&gt;0,(10^(VLOOKUP(D1940,'Species Codes'!B:C,2,0)+VLOOKUP(D1940,'Species Codes'!B:D,3,0)*LOG(E1940)+VLOOKUP(D1940,'Species Codes'!B:E,4,0)*LOG(I1940))),0),"")</f>
        <v/>
      </c>
      <c r="AA1940" s="104" t="str">
        <f>IFERROR((VLOOKUP(D1940,'Species Codes'!B:G,6,0)*Z1940)/2000,"")</f>
        <v/>
      </c>
      <c r="AB1940" s="104" t="e">
        <f>IF(Z1940&gt;0,((IF(OR(D1940="DF",D1940="RA")=TRUE,EXP(VLOOKUP(D1940,'Species Codes'!B:I,8,0)+VLOOKUP(D1940,'Species Codes'!B:J,9,0)*(LN((E1940*2.54)))),IF(OR(D1940="PY",D1940="RC",D1940="WH",D1940="NF")=TRUE,VLOOKUP(D1940,'Species Codes'!B:I,8,0)+VLOOKUP(D1940,'Species Codes'!B:J,9,0)*((E1940*2.54)^2)*(I1940*0.3048),IF(OR(D1940="MD",D1940="BM",D1940="GA")=TRUE,((VLOOKUP(D1940,'Species Codes'!B:I,8,0)*(((((E1940*2.54)+VLOOKUP(D1940,'Species Codes'!B:J,9,0))/VLOOKUP(D1940,'Species Codes'!B:K,10,0))^VLOOKUP(D1940,'Species Codes'!B:L,11,0))*((I1940*0.3048)^VLOOKUP(D1940,'Species Codes'!B:M,12,0))))-(VLOOKUP(D1940,'Species Codes'!B:I,8,0)*((((E1940*2.54)^VLOOKUP(D1940,'Species Codes'!B:L,11,0))*((I1940*0.3048)^VLOOKUP(D1940,'Species Codes'!B:M,12,0))))))*35.3*VLOOKUP(D1940,'Species Codes'!B:G,6,0)/2.2046,VLOOKUP(D1940,'Species Codes'!B:I,8,0)+VLOOKUP(D1940,'Species Codes'!B:J,9,0)*(((E1940*2.54)/100)^2)*(I1940*0.3048)))))*0.0011023),0)</f>
        <v>#N/A</v>
      </c>
      <c r="AC1940" s="104" t="e">
        <f>IF(Z1940&gt;0,((IF(OR(D1940="RA",D1940="OA",D1940="OT",D1940="UN",D1940="PC"),EXP(VLOOKUP(D1940,'Species Codes'!B:O,14,0)+VLOOKUP(D1940,'Species Codes'!B:P,15,0)*LN((E1940*2.54)))-EXP(VLOOKUP(D1940,'Species Codes'!B:O,14,0)+VLOOKUP(D1940,'Species Codes'!B:P,15,0)*LN((E1940*2.54)))*(1/(VLOOKUP(D1940,'Species Codes'!B:Q,16,0)+VLOOKUP(D1940,'Species Codes'!B:R,17,0)*((E1940*2.54)^VLOOKUP(D1940,'Species Codes'!B:S,18,0)))),IF(OR(D1940="BM",D1940="MD",D1940="OA"),EXP(VLOOKUP(D1940,'Species Codes'!B:O,14,0)+VLOOKUP(D1940,'Species Codes'!B:P,15,0)*LN((E1940*2.54)))*(1-(1/(VLOOKUP(D1940,'Species Codes'!B:Q,16,0)+VLOOKUP(D1940,'Species Codes'!B:R,17,0)*((E1940*2.54)^VLOOKUP(D1940,'Species Codes'!B:S,18,0)))))/1000,IF(D1940="DF",EXP(VLOOKUP(D1940,'Species Codes'!B:O,14,0)+VLOOKUP(D1940,'Species Codes'!B:P,15,0)*LN((E1940*2.54))),VLOOKUP(D1940,'Species Codes'!B:O,14,0)+VLOOKUP(D1940,'Species Codes'!B:P,15,0)*(((E1940*2.54)/100)^2)*(I1940*0.3048)))))*0.0011023),0)</f>
        <v>#N/A</v>
      </c>
      <c r="AD1940" s="104" t="e">
        <f t="shared" si="841"/>
        <v>#N/A</v>
      </c>
      <c r="AE1940" s="104" t="e">
        <f t="shared" si="842"/>
        <v>#N/A</v>
      </c>
      <c r="AF1940" s="104" t="e">
        <f>IF(AND(VLOOKUP($D1940,Merchantability!$B:$C,2,0)="Yes",$E1940&gt;=VLOOKUP($D1940,Merchantability!$B:$D,3,0),$E1940&lt;=VLOOKUP($D1940,Merchantability!$B:$E,4,0)),AA1940,0)</f>
        <v>#N/A</v>
      </c>
      <c r="AG1940" s="104" t="e">
        <f>IF(AND(VLOOKUP($D1940,Merchantability!$B:$C,2,0)="Yes",$E1940&gt;=VLOOKUP($D1940,Merchantability!$B:$D,3,0),$E1940&lt;=VLOOKUP($D1940,Merchantability!$B:$E,4,0)),AB1940,0)</f>
        <v>#N/A</v>
      </c>
      <c r="AH1940" s="104" t="e">
        <f>IF(AND(VLOOKUP($D1940,Merchantability!$B:$C,2,0)="Yes",$E1940&gt;=VLOOKUP($D1940,Merchantability!$B:$D,3,0),$E1940&lt;=VLOOKUP($D1940,Merchantability!$B:$E,4,0)),AC1940,0)</f>
        <v>#N/A</v>
      </c>
      <c r="AI1940" s="104" t="e">
        <f t="shared" si="843"/>
        <v>#N/A</v>
      </c>
      <c r="AJ1940" s="104" t="e">
        <f t="shared" si="844"/>
        <v>#VALUE!</v>
      </c>
      <c r="AK1940" s="104" t="e">
        <f t="shared" si="845"/>
        <v>#N/A</v>
      </c>
      <c r="AL1940" s="104" t="e">
        <f t="shared" si="846"/>
        <v>#N/A</v>
      </c>
      <c r="AM1940" s="104" t="e">
        <f t="shared" si="847"/>
        <v>#N/A</v>
      </c>
      <c r="AN1940" s="104" t="e">
        <f t="shared" si="858"/>
        <v>#N/A</v>
      </c>
      <c r="AO1940" s="104" t="e">
        <f t="shared" si="859"/>
        <v>#N/A</v>
      </c>
      <c r="AP1940" s="104" t="e">
        <f t="shared" si="860"/>
        <v>#N/A</v>
      </c>
      <c r="AQ1940" s="104" t="e">
        <f t="shared" si="861"/>
        <v>#N/A</v>
      </c>
      <c r="AR1940" s="105" t="str">
        <f t="shared" si="853"/>
        <v/>
      </c>
      <c r="AS1940" s="105" t="str">
        <f t="shared" si="854"/>
        <v/>
      </c>
      <c r="AT1940" s="108" t="str">
        <f t="shared" si="855"/>
        <v/>
      </c>
      <c r="AU1940" s="108" t="str">
        <f t="shared" si="856"/>
        <v/>
      </c>
      <c r="AV1940" s="107" t="str">
        <f>IF(ISNUMBER(O1940),IF(VLOOKUP($A1940,Stand!C:J,8,FALSE)="Short",AT1940,AU1940),"")</f>
        <v/>
      </c>
      <c r="AW1940" s="109" t="str">
        <f t="shared" si="862"/>
        <v/>
      </c>
      <c r="AX1940" s="109" t="str">
        <f t="shared" si="863"/>
        <v/>
      </c>
      <c r="AY1940" s="112" t="str">
        <f>IF(ISNUMBER(O1940),IF(AND(VLOOKUP($D1940,Merchantability!$B:$C,2,0)="Yes",$E1940&gt;=VLOOKUP($D1940,Merchantability!$B:$D,3,0),$E1940&lt;=VLOOKUP($D1940,Merchantability!$B:$E,4,0)),(AV1940*O1940)*(1-$H1940/100),""),"")</f>
        <v/>
      </c>
      <c r="AZ1940" s="116"/>
      <c r="BA1940" s="116"/>
      <c r="BB1940" s="116"/>
      <c r="BE1940" s="62"/>
      <c r="BF1940" s="63"/>
    </row>
    <row r="1941" spans="1:58" ht="12.75" customHeight="1" x14ac:dyDescent="0.25">
      <c r="A1941" s="334"/>
      <c r="B1941" s="334"/>
      <c r="C1941" s="332"/>
      <c r="D1941" s="334"/>
      <c r="E1941" s="335"/>
      <c r="F1941" s="334"/>
      <c r="G1941" s="332"/>
      <c r="H1941" s="332"/>
      <c r="I1941" s="334"/>
      <c r="J1941" s="336"/>
      <c r="K1941" s="332"/>
      <c r="L1941" s="332"/>
      <c r="M1941" s="76"/>
      <c r="N1941" s="103" t="str">
        <f>IF(A1941="","",VLOOKUP(A1941,Stand!C:K,9,0))</f>
        <v/>
      </c>
      <c r="O1941" s="104" t="str">
        <f t="shared" si="848"/>
        <v/>
      </c>
      <c r="P1941" s="105" t="str">
        <f t="shared" si="849"/>
        <v/>
      </c>
      <c r="Q1941" s="105" t="str">
        <f t="shared" si="837"/>
        <v/>
      </c>
      <c r="R1941" s="103" t="str">
        <f t="shared" si="850"/>
        <v/>
      </c>
      <c r="S1941" s="103" t="str">
        <f t="shared" si="851"/>
        <v/>
      </c>
      <c r="T1941" s="106" t="str">
        <f t="shared" si="838"/>
        <v/>
      </c>
      <c r="U1941" s="106" t="str">
        <f t="shared" si="839"/>
        <v/>
      </c>
      <c r="V1941" s="106" t="str">
        <f t="shared" si="840"/>
        <v/>
      </c>
      <c r="W1941" s="105" t="str">
        <f t="shared" si="852"/>
        <v/>
      </c>
      <c r="X1941" s="104" t="str">
        <f t="shared" si="857"/>
        <v/>
      </c>
      <c r="Y1941" s="104" t="str">
        <f t="array" ref="Y1941">IFERROR(IF(ISNUMBER(O1941),IF(COUNT(IF(A1941=$A$2:$A$2427,IF(D1941=$D$2:$D$2427,IF($X$2:$X$2427&gt;0,1))))&gt;0,SUM(IF(A1941=$A$2:$A$2427,IF(D1941=$D$2:$D$2427,$X$2:$X$2427)))/COUNT(IF(A1941=$A$2:$A$2427,IF(D1941=$D$2:$D$2427,IF(ISNUMBER($X$2:$X$2427),1)))),0),""),0)</f>
        <v/>
      </c>
      <c r="Z1941" s="104" t="str">
        <f>IF(ISNUMBER(O1941),IF(I1941&gt;0,(10^(VLOOKUP(D1941,'Species Codes'!B:C,2,0)+VLOOKUP(D1941,'Species Codes'!B:D,3,0)*LOG(E1941)+VLOOKUP(D1941,'Species Codes'!B:E,4,0)*LOG(I1941))),0),"")</f>
        <v/>
      </c>
      <c r="AA1941" s="104" t="str">
        <f>IFERROR((VLOOKUP(D1941,'Species Codes'!B:G,6,0)*Z1941)/2000,"")</f>
        <v/>
      </c>
      <c r="AB1941" s="104" t="e">
        <f>IF(Z1941&gt;0,((IF(OR(D1941="DF",D1941="RA")=TRUE,EXP(VLOOKUP(D1941,'Species Codes'!B:I,8,0)+VLOOKUP(D1941,'Species Codes'!B:J,9,0)*(LN((E1941*2.54)))),IF(OR(D1941="PY",D1941="RC",D1941="WH",D1941="NF")=TRUE,VLOOKUP(D1941,'Species Codes'!B:I,8,0)+VLOOKUP(D1941,'Species Codes'!B:J,9,0)*((E1941*2.54)^2)*(I1941*0.3048),IF(OR(D1941="MD",D1941="BM",D1941="GA")=TRUE,((VLOOKUP(D1941,'Species Codes'!B:I,8,0)*(((((E1941*2.54)+VLOOKUP(D1941,'Species Codes'!B:J,9,0))/VLOOKUP(D1941,'Species Codes'!B:K,10,0))^VLOOKUP(D1941,'Species Codes'!B:L,11,0))*((I1941*0.3048)^VLOOKUP(D1941,'Species Codes'!B:M,12,0))))-(VLOOKUP(D1941,'Species Codes'!B:I,8,0)*((((E1941*2.54)^VLOOKUP(D1941,'Species Codes'!B:L,11,0))*((I1941*0.3048)^VLOOKUP(D1941,'Species Codes'!B:M,12,0))))))*35.3*VLOOKUP(D1941,'Species Codes'!B:G,6,0)/2.2046,VLOOKUP(D1941,'Species Codes'!B:I,8,0)+VLOOKUP(D1941,'Species Codes'!B:J,9,0)*(((E1941*2.54)/100)^2)*(I1941*0.3048)))))*0.0011023),0)</f>
        <v>#N/A</v>
      </c>
      <c r="AC1941" s="104" t="e">
        <f>IF(Z1941&gt;0,((IF(OR(D1941="RA",D1941="OA",D1941="OT",D1941="UN",D1941="PC"),EXP(VLOOKUP(D1941,'Species Codes'!B:O,14,0)+VLOOKUP(D1941,'Species Codes'!B:P,15,0)*LN((E1941*2.54)))-EXP(VLOOKUP(D1941,'Species Codes'!B:O,14,0)+VLOOKUP(D1941,'Species Codes'!B:P,15,0)*LN((E1941*2.54)))*(1/(VLOOKUP(D1941,'Species Codes'!B:Q,16,0)+VLOOKUP(D1941,'Species Codes'!B:R,17,0)*((E1941*2.54)^VLOOKUP(D1941,'Species Codes'!B:S,18,0)))),IF(OR(D1941="BM",D1941="MD",D1941="OA"),EXP(VLOOKUP(D1941,'Species Codes'!B:O,14,0)+VLOOKUP(D1941,'Species Codes'!B:P,15,0)*LN((E1941*2.54)))*(1-(1/(VLOOKUP(D1941,'Species Codes'!B:Q,16,0)+VLOOKUP(D1941,'Species Codes'!B:R,17,0)*((E1941*2.54)^VLOOKUP(D1941,'Species Codes'!B:S,18,0)))))/1000,IF(D1941="DF",EXP(VLOOKUP(D1941,'Species Codes'!B:O,14,0)+VLOOKUP(D1941,'Species Codes'!B:P,15,0)*LN((E1941*2.54))),VLOOKUP(D1941,'Species Codes'!B:O,14,0)+VLOOKUP(D1941,'Species Codes'!B:P,15,0)*(((E1941*2.54)/100)^2)*(I1941*0.3048)))))*0.0011023),0)</f>
        <v>#N/A</v>
      </c>
      <c r="AD1941" s="104" t="e">
        <f t="shared" si="841"/>
        <v>#N/A</v>
      </c>
      <c r="AE1941" s="104" t="e">
        <f t="shared" si="842"/>
        <v>#N/A</v>
      </c>
      <c r="AF1941" s="104" t="e">
        <f>IF(AND(VLOOKUP($D1941,Merchantability!$B:$C,2,0)="Yes",$E1941&gt;=VLOOKUP($D1941,Merchantability!$B:$D,3,0),$E1941&lt;=VLOOKUP($D1941,Merchantability!$B:$E,4,0)),AA1941,0)</f>
        <v>#N/A</v>
      </c>
      <c r="AG1941" s="104" t="e">
        <f>IF(AND(VLOOKUP($D1941,Merchantability!$B:$C,2,0)="Yes",$E1941&gt;=VLOOKUP($D1941,Merchantability!$B:$D,3,0),$E1941&lt;=VLOOKUP($D1941,Merchantability!$B:$E,4,0)),AB1941,0)</f>
        <v>#N/A</v>
      </c>
      <c r="AH1941" s="104" t="e">
        <f>IF(AND(VLOOKUP($D1941,Merchantability!$B:$C,2,0)="Yes",$E1941&gt;=VLOOKUP($D1941,Merchantability!$B:$D,3,0),$E1941&lt;=VLOOKUP($D1941,Merchantability!$B:$E,4,0)),AC1941,0)</f>
        <v>#N/A</v>
      </c>
      <c r="AI1941" s="104" t="e">
        <f t="shared" si="843"/>
        <v>#N/A</v>
      </c>
      <c r="AJ1941" s="104" t="e">
        <f t="shared" si="844"/>
        <v>#VALUE!</v>
      </c>
      <c r="AK1941" s="104" t="e">
        <f t="shared" si="845"/>
        <v>#N/A</v>
      </c>
      <c r="AL1941" s="104" t="e">
        <f t="shared" si="846"/>
        <v>#N/A</v>
      </c>
      <c r="AM1941" s="104" t="e">
        <f t="shared" si="847"/>
        <v>#N/A</v>
      </c>
      <c r="AN1941" s="104" t="e">
        <f t="shared" si="858"/>
        <v>#N/A</v>
      </c>
      <c r="AO1941" s="104" t="e">
        <f t="shared" si="859"/>
        <v>#N/A</v>
      </c>
      <c r="AP1941" s="104" t="e">
        <f t="shared" si="860"/>
        <v>#N/A</v>
      </c>
      <c r="AQ1941" s="104" t="e">
        <f t="shared" si="861"/>
        <v>#N/A</v>
      </c>
      <c r="AR1941" s="105" t="str">
        <f t="shared" si="853"/>
        <v/>
      </c>
      <c r="AS1941" s="105" t="str">
        <f t="shared" si="854"/>
        <v/>
      </c>
      <c r="AT1941" s="108" t="str">
        <f t="shared" si="855"/>
        <v/>
      </c>
      <c r="AU1941" s="108" t="str">
        <f t="shared" si="856"/>
        <v/>
      </c>
      <c r="AV1941" s="107" t="str">
        <f>IF(ISNUMBER(O1941),IF(VLOOKUP($A1941,Stand!C:J,8,FALSE)="Short",AT1941,AU1941),"")</f>
        <v/>
      </c>
      <c r="AW1941" s="109" t="str">
        <f t="shared" si="862"/>
        <v/>
      </c>
      <c r="AX1941" s="109" t="str">
        <f t="shared" si="863"/>
        <v/>
      </c>
      <c r="AY1941" s="112" t="str">
        <f>IF(ISNUMBER(O1941),IF(AND(VLOOKUP($D1941,Merchantability!$B:$C,2,0)="Yes",$E1941&gt;=VLOOKUP($D1941,Merchantability!$B:$D,3,0),$E1941&lt;=VLOOKUP($D1941,Merchantability!$B:$E,4,0)),(AV1941*O1941)*(1-$H1941/100),""),"")</f>
        <v/>
      </c>
      <c r="AZ1941" s="116"/>
      <c r="BA1941" s="116"/>
      <c r="BB1941" s="116"/>
      <c r="BE1941" s="62"/>
      <c r="BF1941" s="63"/>
    </row>
    <row r="1942" spans="1:58" ht="12.75" customHeight="1" x14ac:dyDescent="0.25">
      <c r="A1942" s="334"/>
      <c r="B1942" s="334"/>
      <c r="C1942" s="332"/>
      <c r="D1942" s="334"/>
      <c r="E1942" s="335"/>
      <c r="F1942" s="334"/>
      <c r="G1942" s="332"/>
      <c r="H1942" s="332"/>
      <c r="I1942" s="334"/>
      <c r="J1942" s="336"/>
      <c r="K1942" s="332"/>
      <c r="L1942" s="332"/>
      <c r="M1942" s="76"/>
      <c r="N1942" s="103" t="str">
        <f>IF(A1942="","",VLOOKUP(A1942,Stand!C:K,9,0))</f>
        <v/>
      </c>
      <c r="O1942" s="104" t="str">
        <f t="shared" si="848"/>
        <v/>
      </c>
      <c r="P1942" s="105" t="str">
        <f t="shared" si="849"/>
        <v/>
      </c>
      <c r="Q1942" s="105" t="str">
        <f t="shared" si="837"/>
        <v/>
      </c>
      <c r="R1942" s="103" t="str">
        <f t="shared" si="850"/>
        <v/>
      </c>
      <c r="S1942" s="103" t="str">
        <f t="shared" si="851"/>
        <v/>
      </c>
      <c r="T1942" s="106" t="str">
        <f t="shared" si="838"/>
        <v/>
      </c>
      <c r="U1942" s="106" t="str">
        <f t="shared" si="839"/>
        <v/>
      </c>
      <c r="V1942" s="106" t="str">
        <f t="shared" si="840"/>
        <v/>
      </c>
      <c r="W1942" s="105" t="str">
        <f t="shared" si="852"/>
        <v/>
      </c>
      <c r="X1942" s="104" t="str">
        <f t="shared" si="857"/>
        <v/>
      </c>
      <c r="Y1942" s="104" t="str">
        <f t="array" ref="Y1942">IFERROR(IF(ISNUMBER(O1942),IF(COUNT(IF(A1942=$A$2:$A$2427,IF(D1942=$D$2:$D$2427,IF($X$2:$X$2427&gt;0,1))))&gt;0,SUM(IF(A1942=$A$2:$A$2427,IF(D1942=$D$2:$D$2427,$X$2:$X$2427)))/COUNT(IF(A1942=$A$2:$A$2427,IF(D1942=$D$2:$D$2427,IF(ISNUMBER($X$2:$X$2427),1)))),0),""),0)</f>
        <v/>
      </c>
      <c r="Z1942" s="104" t="str">
        <f>IF(ISNUMBER(O1942),IF(I1942&gt;0,(10^(VLOOKUP(D1942,'Species Codes'!B:C,2,0)+VLOOKUP(D1942,'Species Codes'!B:D,3,0)*LOG(E1942)+VLOOKUP(D1942,'Species Codes'!B:E,4,0)*LOG(I1942))),0),"")</f>
        <v/>
      </c>
      <c r="AA1942" s="104" t="str">
        <f>IFERROR((VLOOKUP(D1942,'Species Codes'!B:G,6,0)*Z1942)/2000,"")</f>
        <v/>
      </c>
      <c r="AB1942" s="104" t="e">
        <f>IF(Z1942&gt;0,((IF(OR(D1942="DF",D1942="RA")=TRUE,EXP(VLOOKUP(D1942,'Species Codes'!B:I,8,0)+VLOOKUP(D1942,'Species Codes'!B:J,9,0)*(LN((E1942*2.54)))),IF(OR(D1942="PY",D1942="RC",D1942="WH",D1942="NF")=TRUE,VLOOKUP(D1942,'Species Codes'!B:I,8,0)+VLOOKUP(D1942,'Species Codes'!B:J,9,0)*((E1942*2.54)^2)*(I1942*0.3048),IF(OR(D1942="MD",D1942="BM",D1942="GA")=TRUE,((VLOOKUP(D1942,'Species Codes'!B:I,8,0)*(((((E1942*2.54)+VLOOKUP(D1942,'Species Codes'!B:J,9,0))/VLOOKUP(D1942,'Species Codes'!B:K,10,0))^VLOOKUP(D1942,'Species Codes'!B:L,11,0))*((I1942*0.3048)^VLOOKUP(D1942,'Species Codes'!B:M,12,0))))-(VLOOKUP(D1942,'Species Codes'!B:I,8,0)*((((E1942*2.54)^VLOOKUP(D1942,'Species Codes'!B:L,11,0))*((I1942*0.3048)^VLOOKUP(D1942,'Species Codes'!B:M,12,0))))))*35.3*VLOOKUP(D1942,'Species Codes'!B:G,6,0)/2.2046,VLOOKUP(D1942,'Species Codes'!B:I,8,0)+VLOOKUP(D1942,'Species Codes'!B:J,9,0)*(((E1942*2.54)/100)^2)*(I1942*0.3048)))))*0.0011023),0)</f>
        <v>#N/A</v>
      </c>
      <c r="AC1942" s="104" t="e">
        <f>IF(Z1942&gt;0,((IF(OR(D1942="RA",D1942="OA",D1942="OT",D1942="UN",D1942="PC"),EXP(VLOOKUP(D1942,'Species Codes'!B:O,14,0)+VLOOKUP(D1942,'Species Codes'!B:P,15,0)*LN((E1942*2.54)))-EXP(VLOOKUP(D1942,'Species Codes'!B:O,14,0)+VLOOKUP(D1942,'Species Codes'!B:P,15,0)*LN((E1942*2.54)))*(1/(VLOOKUP(D1942,'Species Codes'!B:Q,16,0)+VLOOKUP(D1942,'Species Codes'!B:R,17,0)*((E1942*2.54)^VLOOKUP(D1942,'Species Codes'!B:S,18,0)))),IF(OR(D1942="BM",D1942="MD",D1942="OA"),EXP(VLOOKUP(D1942,'Species Codes'!B:O,14,0)+VLOOKUP(D1942,'Species Codes'!B:P,15,0)*LN((E1942*2.54)))*(1-(1/(VLOOKUP(D1942,'Species Codes'!B:Q,16,0)+VLOOKUP(D1942,'Species Codes'!B:R,17,0)*((E1942*2.54)^VLOOKUP(D1942,'Species Codes'!B:S,18,0)))))/1000,IF(D1942="DF",EXP(VLOOKUP(D1942,'Species Codes'!B:O,14,0)+VLOOKUP(D1942,'Species Codes'!B:P,15,0)*LN((E1942*2.54))),VLOOKUP(D1942,'Species Codes'!B:O,14,0)+VLOOKUP(D1942,'Species Codes'!B:P,15,0)*(((E1942*2.54)/100)^2)*(I1942*0.3048)))))*0.0011023),0)</f>
        <v>#N/A</v>
      </c>
      <c r="AD1942" s="104" t="e">
        <f t="shared" si="841"/>
        <v>#N/A</v>
      </c>
      <c r="AE1942" s="104" t="e">
        <f t="shared" si="842"/>
        <v>#N/A</v>
      </c>
      <c r="AF1942" s="104" t="e">
        <f>IF(AND(VLOOKUP($D1942,Merchantability!$B:$C,2,0)="Yes",$E1942&gt;=VLOOKUP($D1942,Merchantability!$B:$D,3,0),$E1942&lt;=VLOOKUP($D1942,Merchantability!$B:$E,4,0)),AA1942,0)</f>
        <v>#N/A</v>
      </c>
      <c r="AG1942" s="104" t="e">
        <f>IF(AND(VLOOKUP($D1942,Merchantability!$B:$C,2,0)="Yes",$E1942&gt;=VLOOKUP($D1942,Merchantability!$B:$D,3,0),$E1942&lt;=VLOOKUP($D1942,Merchantability!$B:$E,4,0)),AB1942,0)</f>
        <v>#N/A</v>
      </c>
      <c r="AH1942" s="104" t="e">
        <f>IF(AND(VLOOKUP($D1942,Merchantability!$B:$C,2,0)="Yes",$E1942&gt;=VLOOKUP($D1942,Merchantability!$B:$D,3,0),$E1942&lt;=VLOOKUP($D1942,Merchantability!$B:$E,4,0)),AC1942,0)</f>
        <v>#N/A</v>
      </c>
      <c r="AI1942" s="104" t="e">
        <f t="shared" si="843"/>
        <v>#N/A</v>
      </c>
      <c r="AJ1942" s="104" t="e">
        <f t="shared" si="844"/>
        <v>#VALUE!</v>
      </c>
      <c r="AK1942" s="104" t="e">
        <f t="shared" si="845"/>
        <v>#N/A</v>
      </c>
      <c r="AL1942" s="104" t="e">
        <f t="shared" si="846"/>
        <v>#N/A</v>
      </c>
      <c r="AM1942" s="104" t="e">
        <f t="shared" si="847"/>
        <v>#N/A</v>
      </c>
      <c r="AN1942" s="104" t="e">
        <f t="shared" si="858"/>
        <v>#N/A</v>
      </c>
      <c r="AO1942" s="104" t="e">
        <f t="shared" si="859"/>
        <v>#N/A</v>
      </c>
      <c r="AP1942" s="104" t="e">
        <f t="shared" si="860"/>
        <v>#N/A</v>
      </c>
      <c r="AQ1942" s="104" t="e">
        <f t="shared" si="861"/>
        <v>#N/A</v>
      </c>
      <c r="AR1942" s="105" t="str">
        <f t="shared" si="853"/>
        <v/>
      </c>
      <c r="AS1942" s="105" t="str">
        <f t="shared" si="854"/>
        <v/>
      </c>
      <c r="AT1942" s="108" t="str">
        <f t="shared" si="855"/>
        <v/>
      </c>
      <c r="AU1942" s="108" t="str">
        <f t="shared" si="856"/>
        <v/>
      </c>
      <c r="AV1942" s="107" t="str">
        <f>IF(ISNUMBER(O1942),IF(VLOOKUP($A1942,Stand!C:J,8,FALSE)="Short",AT1942,AU1942),"")</f>
        <v/>
      </c>
      <c r="AW1942" s="109" t="str">
        <f t="shared" si="862"/>
        <v/>
      </c>
      <c r="AX1942" s="109" t="str">
        <f t="shared" si="863"/>
        <v/>
      </c>
      <c r="AY1942" s="112" t="str">
        <f>IF(ISNUMBER(O1942),IF(AND(VLOOKUP($D1942,Merchantability!$B:$C,2,0)="Yes",$E1942&gt;=VLOOKUP($D1942,Merchantability!$B:$D,3,0),$E1942&lt;=VLOOKUP($D1942,Merchantability!$B:$E,4,0)),(AV1942*O1942)*(1-$H1942/100),""),"")</f>
        <v/>
      </c>
      <c r="AZ1942" s="116"/>
      <c r="BA1942" s="116"/>
      <c r="BB1942" s="116"/>
      <c r="BE1942" s="62"/>
      <c r="BF1942" s="63"/>
    </row>
    <row r="1943" spans="1:58" ht="12.75" customHeight="1" x14ac:dyDescent="0.25">
      <c r="A1943" s="334"/>
      <c r="B1943" s="334"/>
      <c r="C1943" s="332"/>
      <c r="D1943" s="334"/>
      <c r="E1943" s="335"/>
      <c r="F1943" s="334"/>
      <c r="G1943" s="332"/>
      <c r="H1943" s="332"/>
      <c r="I1943" s="334"/>
      <c r="J1943" s="336"/>
      <c r="K1943" s="332"/>
      <c r="L1943" s="332"/>
      <c r="M1943" s="76"/>
      <c r="N1943" s="103" t="str">
        <f>IF(A1943="","",VLOOKUP(A1943,Stand!C:K,9,0))</f>
        <v/>
      </c>
      <c r="O1943" s="104" t="str">
        <f t="shared" si="848"/>
        <v/>
      </c>
      <c r="P1943" s="105" t="str">
        <f t="shared" si="849"/>
        <v/>
      </c>
      <c r="Q1943" s="105" t="str">
        <f t="shared" si="837"/>
        <v/>
      </c>
      <c r="R1943" s="103" t="str">
        <f t="shared" si="850"/>
        <v/>
      </c>
      <c r="S1943" s="103" t="str">
        <f t="shared" si="851"/>
        <v/>
      </c>
      <c r="T1943" s="106" t="str">
        <f t="shared" si="838"/>
        <v/>
      </c>
      <c r="U1943" s="106" t="str">
        <f t="shared" si="839"/>
        <v/>
      </c>
      <c r="V1943" s="106" t="str">
        <f t="shared" si="840"/>
        <v/>
      </c>
      <c r="W1943" s="105" t="str">
        <f t="shared" si="852"/>
        <v/>
      </c>
      <c r="X1943" s="104" t="str">
        <f t="shared" si="857"/>
        <v/>
      </c>
      <c r="Y1943" s="104" t="str">
        <f t="array" ref="Y1943">IFERROR(IF(ISNUMBER(O1943),IF(COUNT(IF(A1943=$A$2:$A$2427,IF(D1943=$D$2:$D$2427,IF($X$2:$X$2427&gt;0,1))))&gt;0,SUM(IF(A1943=$A$2:$A$2427,IF(D1943=$D$2:$D$2427,$X$2:$X$2427)))/COUNT(IF(A1943=$A$2:$A$2427,IF(D1943=$D$2:$D$2427,IF(ISNUMBER($X$2:$X$2427),1)))),0),""),0)</f>
        <v/>
      </c>
      <c r="Z1943" s="104" t="str">
        <f>IF(ISNUMBER(O1943),IF(I1943&gt;0,(10^(VLOOKUP(D1943,'Species Codes'!B:C,2,0)+VLOOKUP(D1943,'Species Codes'!B:D,3,0)*LOG(E1943)+VLOOKUP(D1943,'Species Codes'!B:E,4,0)*LOG(I1943))),0),"")</f>
        <v/>
      </c>
      <c r="AA1943" s="104" t="str">
        <f>IFERROR((VLOOKUP(D1943,'Species Codes'!B:G,6,0)*Z1943)/2000,"")</f>
        <v/>
      </c>
      <c r="AB1943" s="104" t="e">
        <f>IF(Z1943&gt;0,((IF(OR(D1943="DF",D1943="RA")=TRUE,EXP(VLOOKUP(D1943,'Species Codes'!B:I,8,0)+VLOOKUP(D1943,'Species Codes'!B:J,9,0)*(LN((E1943*2.54)))),IF(OR(D1943="PY",D1943="RC",D1943="WH",D1943="NF")=TRUE,VLOOKUP(D1943,'Species Codes'!B:I,8,0)+VLOOKUP(D1943,'Species Codes'!B:J,9,0)*((E1943*2.54)^2)*(I1943*0.3048),IF(OR(D1943="MD",D1943="BM",D1943="GA")=TRUE,((VLOOKUP(D1943,'Species Codes'!B:I,8,0)*(((((E1943*2.54)+VLOOKUP(D1943,'Species Codes'!B:J,9,0))/VLOOKUP(D1943,'Species Codes'!B:K,10,0))^VLOOKUP(D1943,'Species Codes'!B:L,11,0))*((I1943*0.3048)^VLOOKUP(D1943,'Species Codes'!B:M,12,0))))-(VLOOKUP(D1943,'Species Codes'!B:I,8,0)*((((E1943*2.54)^VLOOKUP(D1943,'Species Codes'!B:L,11,0))*((I1943*0.3048)^VLOOKUP(D1943,'Species Codes'!B:M,12,0))))))*35.3*VLOOKUP(D1943,'Species Codes'!B:G,6,0)/2.2046,VLOOKUP(D1943,'Species Codes'!B:I,8,0)+VLOOKUP(D1943,'Species Codes'!B:J,9,0)*(((E1943*2.54)/100)^2)*(I1943*0.3048)))))*0.0011023),0)</f>
        <v>#N/A</v>
      </c>
      <c r="AC1943" s="104" t="e">
        <f>IF(Z1943&gt;0,((IF(OR(D1943="RA",D1943="OA",D1943="OT",D1943="UN",D1943="PC"),EXP(VLOOKUP(D1943,'Species Codes'!B:O,14,0)+VLOOKUP(D1943,'Species Codes'!B:P,15,0)*LN((E1943*2.54)))-EXP(VLOOKUP(D1943,'Species Codes'!B:O,14,0)+VLOOKUP(D1943,'Species Codes'!B:P,15,0)*LN((E1943*2.54)))*(1/(VLOOKUP(D1943,'Species Codes'!B:Q,16,0)+VLOOKUP(D1943,'Species Codes'!B:R,17,0)*((E1943*2.54)^VLOOKUP(D1943,'Species Codes'!B:S,18,0)))),IF(OR(D1943="BM",D1943="MD",D1943="OA"),EXP(VLOOKUP(D1943,'Species Codes'!B:O,14,0)+VLOOKUP(D1943,'Species Codes'!B:P,15,0)*LN((E1943*2.54)))*(1-(1/(VLOOKUP(D1943,'Species Codes'!B:Q,16,0)+VLOOKUP(D1943,'Species Codes'!B:R,17,0)*((E1943*2.54)^VLOOKUP(D1943,'Species Codes'!B:S,18,0)))))/1000,IF(D1943="DF",EXP(VLOOKUP(D1943,'Species Codes'!B:O,14,0)+VLOOKUP(D1943,'Species Codes'!B:P,15,0)*LN((E1943*2.54))),VLOOKUP(D1943,'Species Codes'!B:O,14,0)+VLOOKUP(D1943,'Species Codes'!B:P,15,0)*(((E1943*2.54)/100)^2)*(I1943*0.3048)))))*0.0011023),0)</f>
        <v>#N/A</v>
      </c>
      <c r="AD1943" s="104" t="e">
        <f t="shared" si="841"/>
        <v>#N/A</v>
      </c>
      <c r="AE1943" s="104" t="e">
        <f t="shared" si="842"/>
        <v>#N/A</v>
      </c>
      <c r="AF1943" s="104" t="e">
        <f>IF(AND(VLOOKUP($D1943,Merchantability!$B:$C,2,0)="Yes",$E1943&gt;=VLOOKUP($D1943,Merchantability!$B:$D,3,0),$E1943&lt;=VLOOKUP($D1943,Merchantability!$B:$E,4,0)),AA1943,0)</f>
        <v>#N/A</v>
      </c>
      <c r="AG1943" s="104" t="e">
        <f>IF(AND(VLOOKUP($D1943,Merchantability!$B:$C,2,0)="Yes",$E1943&gt;=VLOOKUP($D1943,Merchantability!$B:$D,3,0),$E1943&lt;=VLOOKUP($D1943,Merchantability!$B:$E,4,0)),AB1943,0)</f>
        <v>#N/A</v>
      </c>
      <c r="AH1943" s="104" t="e">
        <f>IF(AND(VLOOKUP($D1943,Merchantability!$B:$C,2,0)="Yes",$E1943&gt;=VLOOKUP($D1943,Merchantability!$B:$D,3,0),$E1943&lt;=VLOOKUP($D1943,Merchantability!$B:$E,4,0)),AC1943,0)</f>
        <v>#N/A</v>
      </c>
      <c r="AI1943" s="104" t="e">
        <f t="shared" si="843"/>
        <v>#N/A</v>
      </c>
      <c r="AJ1943" s="104" t="e">
        <f t="shared" si="844"/>
        <v>#VALUE!</v>
      </c>
      <c r="AK1943" s="104" t="e">
        <f t="shared" si="845"/>
        <v>#N/A</v>
      </c>
      <c r="AL1943" s="104" t="e">
        <f t="shared" si="846"/>
        <v>#N/A</v>
      </c>
      <c r="AM1943" s="104" t="e">
        <f t="shared" si="847"/>
        <v>#N/A</v>
      </c>
      <c r="AN1943" s="104" t="e">
        <f t="shared" si="858"/>
        <v>#N/A</v>
      </c>
      <c r="AO1943" s="104" t="e">
        <f t="shared" si="859"/>
        <v>#N/A</v>
      </c>
      <c r="AP1943" s="104" t="e">
        <f t="shared" si="860"/>
        <v>#N/A</v>
      </c>
      <c r="AQ1943" s="104" t="e">
        <f t="shared" si="861"/>
        <v>#N/A</v>
      </c>
      <c r="AR1943" s="105" t="str">
        <f t="shared" si="853"/>
        <v/>
      </c>
      <c r="AS1943" s="105" t="str">
        <f t="shared" si="854"/>
        <v/>
      </c>
      <c r="AT1943" s="108" t="str">
        <f t="shared" si="855"/>
        <v/>
      </c>
      <c r="AU1943" s="108" t="str">
        <f t="shared" si="856"/>
        <v/>
      </c>
      <c r="AV1943" s="107" t="str">
        <f>IF(ISNUMBER(O1943),IF(VLOOKUP($A1943,Stand!C:J,8,FALSE)="Short",AT1943,AU1943),"")</f>
        <v/>
      </c>
      <c r="AW1943" s="109" t="str">
        <f t="shared" si="862"/>
        <v/>
      </c>
      <c r="AX1943" s="109" t="str">
        <f t="shared" si="863"/>
        <v/>
      </c>
      <c r="AY1943" s="112" t="str">
        <f>IF(ISNUMBER(O1943),IF(AND(VLOOKUP($D1943,Merchantability!$B:$C,2,0)="Yes",$E1943&gt;=VLOOKUP($D1943,Merchantability!$B:$D,3,0),$E1943&lt;=VLOOKUP($D1943,Merchantability!$B:$E,4,0)),(AV1943*O1943)*(1-$H1943/100),""),"")</f>
        <v/>
      </c>
      <c r="AZ1943" s="116"/>
      <c r="BA1943" s="116"/>
      <c r="BB1943" s="116"/>
      <c r="BE1943" s="62"/>
      <c r="BF1943" s="63"/>
    </row>
    <row r="1944" spans="1:58" ht="12.75" customHeight="1" x14ac:dyDescent="0.25">
      <c r="A1944" s="334"/>
      <c r="B1944" s="334"/>
      <c r="C1944" s="332"/>
      <c r="D1944" s="334"/>
      <c r="E1944" s="335"/>
      <c r="F1944" s="334"/>
      <c r="G1944" s="332"/>
      <c r="H1944" s="332"/>
      <c r="I1944" s="334"/>
      <c r="J1944" s="336"/>
      <c r="K1944" s="332"/>
      <c r="L1944" s="332"/>
      <c r="M1944" s="76"/>
      <c r="N1944" s="103" t="str">
        <f>IF(A1944="","",VLOOKUP(A1944,Stand!C:K,9,0))</f>
        <v/>
      </c>
      <c r="O1944" s="104" t="str">
        <f t="shared" si="848"/>
        <v/>
      </c>
      <c r="P1944" s="105" t="str">
        <f t="shared" si="849"/>
        <v/>
      </c>
      <c r="Q1944" s="105" t="str">
        <f t="shared" si="837"/>
        <v/>
      </c>
      <c r="R1944" s="103" t="str">
        <f t="shared" si="850"/>
        <v/>
      </c>
      <c r="S1944" s="103" t="str">
        <f t="shared" si="851"/>
        <v/>
      </c>
      <c r="T1944" s="106" t="str">
        <f t="shared" si="838"/>
        <v/>
      </c>
      <c r="U1944" s="106" t="str">
        <f t="shared" si="839"/>
        <v/>
      </c>
      <c r="V1944" s="106" t="str">
        <f t="shared" si="840"/>
        <v/>
      </c>
      <c r="W1944" s="105" t="str">
        <f t="shared" si="852"/>
        <v/>
      </c>
      <c r="X1944" s="104" t="str">
        <f t="shared" si="857"/>
        <v/>
      </c>
      <c r="Y1944" s="104" t="str">
        <f t="array" ref="Y1944">IFERROR(IF(ISNUMBER(O1944),IF(COUNT(IF(A1944=$A$2:$A$2427,IF(D1944=$D$2:$D$2427,IF($X$2:$X$2427&gt;0,1))))&gt;0,SUM(IF(A1944=$A$2:$A$2427,IF(D1944=$D$2:$D$2427,$X$2:$X$2427)))/COUNT(IF(A1944=$A$2:$A$2427,IF(D1944=$D$2:$D$2427,IF(ISNUMBER($X$2:$X$2427),1)))),0),""),0)</f>
        <v/>
      </c>
      <c r="Z1944" s="104" t="str">
        <f>IF(ISNUMBER(O1944),IF(I1944&gt;0,(10^(VLOOKUP(D1944,'Species Codes'!B:C,2,0)+VLOOKUP(D1944,'Species Codes'!B:D,3,0)*LOG(E1944)+VLOOKUP(D1944,'Species Codes'!B:E,4,0)*LOG(I1944))),0),"")</f>
        <v/>
      </c>
      <c r="AA1944" s="104" t="str">
        <f>IFERROR((VLOOKUP(D1944,'Species Codes'!B:G,6,0)*Z1944)/2000,"")</f>
        <v/>
      </c>
      <c r="AB1944" s="104" t="e">
        <f>IF(Z1944&gt;0,((IF(OR(D1944="DF",D1944="RA")=TRUE,EXP(VLOOKUP(D1944,'Species Codes'!B:I,8,0)+VLOOKUP(D1944,'Species Codes'!B:J,9,0)*(LN((E1944*2.54)))),IF(OR(D1944="PY",D1944="RC",D1944="WH",D1944="NF")=TRUE,VLOOKUP(D1944,'Species Codes'!B:I,8,0)+VLOOKUP(D1944,'Species Codes'!B:J,9,0)*((E1944*2.54)^2)*(I1944*0.3048),IF(OR(D1944="MD",D1944="BM",D1944="GA")=TRUE,((VLOOKUP(D1944,'Species Codes'!B:I,8,0)*(((((E1944*2.54)+VLOOKUP(D1944,'Species Codes'!B:J,9,0))/VLOOKUP(D1944,'Species Codes'!B:K,10,0))^VLOOKUP(D1944,'Species Codes'!B:L,11,0))*((I1944*0.3048)^VLOOKUP(D1944,'Species Codes'!B:M,12,0))))-(VLOOKUP(D1944,'Species Codes'!B:I,8,0)*((((E1944*2.54)^VLOOKUP(D1944,'Species Codes'!B:L,11,0))*((I1944*0.3048)^VLOOKUP(D1944,'Species Codes'!B:M,12,0))))))*35.3*VLOOKUP(D1944,'Species Codes'!B:G,6,0)/2.2046,VLOOKUP(D1944,'Species Codes'!B:I,8,0)+VLOOKUP(D1944,'Species Codes'!B:J,9,0)*(((E1944*2.54)/100)^2)*(I1944*0.3048)))))*0.0011023),0)</f>
        <v>#N/A</v>
      </c>
      <c r="AC1944" s="104" t="e">
        <f>IF(Z1944&gt;0,((IF(OR(D1944="RA",D1944="OA",D1944="OT",D1944="UN",D1944="PC"),EXP(VLOOKUP(D1944,'Species Codes'!B:O,14,0)+VLOOKUP(D1944,'Species Codes'!B:P,15,0)*LN((E1944*2.54)))-EXP(VLOOKUP(D1944,'Species Codes'!B:O,14,0)+VLOOKUP(D1944,'Species Codes'!B:P,15,0)*LN((E1944*2.54)))*(1/(VLOOKUP(D1944,'Species Codes'!B:Q,16,0)+VLOOKUP(D1944,'Species Codes'!B:R,17,0)*((E1944*2.54)^VLOOKUP(D1944,'Species Codes'!B:S,18,0)))),IF(OR(D1944="BM",D1944="MD",D1944="OA"),EXP(VLOOKUP(D1944,'Species Codes'!B:O,14,0)+VLOOKUP(D1944,'Species Codes'!B:P,15,0)*LN((E1944*2.54)))*(1-(1/(VLOOKUP(D1944,'Species Codes'!B:Q,16,0)+VLOOKUP(D1944,'Species Codes'!B:R,17,0)*((E1944*2.54)^VLOOKUP(D1944,'Species Codes'!B:S,18,0)))))/1000,IF(D1944="DF",EXP(VLOOKUP(D1944,'Species Codes'!B:O,14,0)+VLOOKUP(D1944,'Species Codes'!B:P,15,0)*LN((E1944*2.54))),VLOOKUP(D1944,'Species Codes'!B:O,14,0)+VLOOKUP(D1944,'Species Codes'!B:P,15,0)*(((E1944*2.54)/100)^2)*(I1944*0.3048)))))*0.0011023),0)</f>
        <v>#N/A</v>
      </c>
      <c r="AD1944" s="104" t="e">
        <f t="shared" si="841"/>
        <v>#N/A</v>
      </c>
      <c r="AE1944" s="104" t="e">
        <f t="shared" si="842"/>
        <v>#N/A</v>
      </c>
      <c r="AF1944" s="104" t="e">
        <f>IF(AND(VLOOKUP($D1944,Merchantability!$B:$C,2,0)="Yes",$E1944&gt;=VLOOKUP($D1944,Merchantability!$B:$D,3,0),$E1944&lt;=VLOOKUP($D1944,Merchantability!$B:$E,4,0)),AA1944,0)</f>
        <v>#N/A</v>
      </c>
      <c r="AG1944" s="104" t="e">
        <f>IF(AND(VLOOKUP($D1944,Merchantability!$B:$C,2,0)="Yes",$E1944&gt;=VLOOKUP($D1944,Merchantability!$B:$D,3,0),$E1944&lt;=VLOOKUP($D1944,Merchantability!$B:$E,4,0)),AB1944,0)</f>
        <v>#N/A</v>
      </c>
      <c r="AH1944" s="104" t="e">
        <f>IF(AND(VLOOKUP($D1944,Merchantability!$B:$C,2,0)="Yes",$E1944&gt;=VLOOKUP($D1944,Merchantability!$B:$D,3,0),$E1944&lt;=VLOOKUP($D1944,Merchantability!$B:$E,4,0)),AC1944,0)</f>
        <v>#N/A</v>
      </c>
      <c r="AI1944" s="104" t="e">
        <f t="shared" si="843"/>
        <v>#N/A</v>
      </c>
      <c r="AJ1944" s="104" t="e">
        <f t="shared" si="844"/>
        <v>#VALUE!</v>
      </c>
      <c r="AK1944" s="104" t="e">
        <f t="shared" si="845"/>
        <v>#N/A</v>
      </c>
      <c r="AL1944" s="104" t="e">
        <f t="shared" si="846"/>
        <v>#N/A</v>
      </c>
      <c r="AM1944" s="104" t="e">
        <f t="shared" si="847"/>
        <v>#N/A</v>
      </c>
      <c r="AN1944" s="104" t="e">
        <f t="shared" si="858"/>
        <v>#N/A</v>
      </c>
      <c r="AO1944" s="104" t="e">
        <f t="shared" si="859"/>
        <v>#N/A</v>
      </c>
      <c r="AP1944" s="104" t="e">
        <f t="shared" si="860"/>
        <v>#N/A</v>
      </c>
      <c r="AQ1944" s="104" t="e">
        <f t="shared" si="861"/>
        <v>#N/A</v>
      </c>
      <c r="AR1944" s="105" t="str">
        <f t="shared" si="853"/>
        <v/>
      </c>
      <c r="AS1944" s="105" t="str">
        <f t="shared" si="854"/>
        <v/>
      </c>
      <c r="AT1944" s="108" t="str">
        <f t="shared" si="855"/>
        <v/>
      </c>
      <c r="AU1944" s="108" t="str">
        <f t="shared" si="856"/>
        <v/>
      </c>
      <c r="AV1944" s="107" t="str">
        <f>IF(ISNUMBER(O1944),IF(VLOOKUP($A1944,Stand!C:J,8,FALSE)="Short",AT1944,AU1944),"")</f>
        <v/>
      </c>
      <c r="AW1944" s="109" t="str">
        <f t="shared" si="862"/>
        <v/>
      </c>
      <c r="AX1944" s="109" t="str">
        <f t="shared" si="863"/>
        <v/>
      </c>
      <c r="AY1944" s="112" t="str">
        <f>IF(ISNUMBER(O1944),IF(AND(VLOOKUP($D1944,Merchantability!$B:$C,2,0)="Yes",$E1944&gt;=VLOOKUP($D1944,Merchantability!$B:$D,3,0),$E1944&lt;=VLOOKUP($D1944,Merchantability!$B:$E,4,0)),(AV1944*O1944)*(1-$H1944/100),""),"")</f>
        <v/>
      </c>
      <c r="AZ1944" s="116"/>
      <c r="BA1944" s="116"/>
      <c r="BB1944" s="116"/>
      <c r="BE1944" s="62"/>
      <c r="BF1944" s="63"/>
    </row>
    <row r="1945" spans="1:58" ht="12.75" customHeight="1" x14ac:dyDescent="0.25">
      <c r="A1945" s="334"/>
      <c r="B1945" s="334"/>
      <c r="C1945" s="332"/>
      <c r="D1945" s="334"/>
      <c r="E1945" s="335"/>
      <c r="F1945" s="334"/>
      <c r="G1945" s="332"/>
      <c r="H1945" s="332"/>
      <c r="I1945" s="334"/>
      <c r="J1945" s="336"/>
      <c r="K1945" s="332"/>
      <c r="L1945" s="332"/>
      <c r="M1945" s="76"/>
      <c r="N1945" s="103" t="str">
        <f>IF(A1945="","",VLOOKUP(A1945,Stand!C:K,9,0))</f>
        <v/>
      </c>
      <c r="O1945" s="104" t="str">
        <f t="shared" si="848"/>
        <v/>
      </c>
      <c r="P1945" s="105" t="str">
        <f t="shared" si="849"/>
        <v/>
      </c>
      <c r="Q1945" s="105" t="str">
        <f t="shared" si="837"/>
        <v/>
      </c>
      <c r="R1945" s="103" t="str">
        <f t="shared" si="850"/>
        <v/>
      </c>
      <c r="S1945" s="103" t="str">
        <f t="shared" si="851"/>
        <v/>
      </c>
      <c r="T1945" s="106" t="str">
        <f t="shared" si="838"/>
        <v/>
      </c>
      <c r="U1945" s="106" t="str">
        <f t="shared" si="839"/>
        <v/>
      </c>
      <c r="V1945" s="106" t="str">
        <f t="shared" si="840"/>
        <v/>
      </c>
      <c r="W1945" s="105" t="str">
        <f t="shared" si="852"/>
        <v/>
      </c>
      <c r="X1945" s="104" t="str">
        <f t="shared" si="857"/>
        <v/>
      </c>
      <c r="Y1945" s="104" t="str">
        <f t="array" ref="Y1945">IFERROR(IF(ISNUMBER(O1945),IF(COUNT(IF(A1945=$A$2:$A$2427,IF(D1945=$D$2:$D$2427,IF($X$2:$X$2427&gt;0,1))))&gt;0,SUM(IF(A1945=$A$2:$A$2427,IF(D1945=$D$2:$D$2427,$X$2:$X$2427)))/COUNT(IF(A1945=$A$2:$A$2427,IF(D1945=$D$2:$D$2427,IF(ISNUMBER($X$2:$X$2427),1)))),0),""),0)</f>
        <v/>
      </c>
      <c r="Z1945" s="104" t="str">
        <f>IF(ISNUMBER(O1945),IF(I1945&gt;0,(10^(VLOOKUP(D1945,'Species Codes'!B:C,2,0)+VLOOKUP(D1945,'Species Codes'!B:D,3,0)*LOG(E1945)+VLOOKUP(D1945,'Species Codes'!B:E,4,0)*LOG(I1945))),0),"")</f>
        <v/>
      </c>
      <c r="AA1945" s="104" t="str">
        <f>IFERROR((VLOOKUP(D1945,'Species Codes'!B:G,6,0)*Z1945)/2000,"")</f>
        <v/>
      </c>
      <c r="AB1945" s="104" t="e">
        <f>IF(Z1945&gt;0,((IF(OR(D1945="DF",D1945="RA")=TRUE,EXP(VLOOKUP(D1945,'Species Codes'!B:I,8,0)+VLOOKUP(D1945,'Species Codes'!B:J,9,0)*(LN((E1945*2.54)))),IF(OR(D1945="PY",D1945="RC",D1945="WH",D1945="NF")=TRUE,VLOOKUP(D1945,'Species Codes'!B:I,8,0)+VLOOKUP(D1945,'Species Codes'!B:J,9,0)*((E1945*2.54)^2)*(I1945*0.3048),IF(OR(D1945="MD",D1945="BM",D1945="GA")=TRUE,((VLOOKUP(D1945,'Species Codes'!B:I,8,0)*(((((E1945*2.54)+VLOOKUP(D1945,'Species Codes'!B:J,9,0))/VLOOKUP(D1945,'Species Codes'!B:K,10,0))^VLOOKUP(D1945,'Species Codes'!B:L,11,0))*((I1945*0.3048)^VLOOKUP(D1945,'Species Codes'!B:M,12,0))))-(VLOOKUP(D1945,'Species Codes'!B:I,8,0)*((((E1945*2.54)^VLOOKUP(D1945,'Species Codes'!B:L,11,0))*((I1945*0.3048)^VLOOKUP(D1945,'Species Codes'!B:M,12,0))))))*35.3*VLOOKUP(D1945,'Species Codes'!B:G,6,0)/2.2046,VLOOKUP(D1945,'Species Codes'!B:I,8,0)+VLOOKUP(D1945,'Species Codes'!B:J,9,0)*(((E1945*2.54)/100)^2)*(I1945*0.3048)))))*0.0011023),0)</f>
        <v>#N/A</v>
      </c>
      <c r="AC1945" s="104" t="e">
        <f>IF(Z1945&gt;0,((IF(OR(D1945="RA",D1945="OA",D1945="OT",D1945="UN",D1945="PC"),EXP(VLOOKUP(D1945,'Species Codes'!B:O,14,0)+VLOOKUP(D1945,'Species Codes'!B:P,15,0)*LN((E1945*2.54)))-EXP(VLOOKUP(D1945,'Species Codes'!B:O,14,0)+VLOOKUP(D1945,'Species Codes'!B:P,15,0)*LN((E1945*2.54)))*(1/(VLOOKUP(D1945,'Species Codes'!B:Q,16,0)+VLOOKUP(D1945,'Species Codes'!B:R,17,0)*((E1945*2.54)^VLOOKUP(D1945,'Species Codes'!B:S,18,0)))),IF(OR(D1945="BM",D1945="MD",D1945="OA"),EXP(VLOOKUP(D1945,'Species Codes'!B:O,14,0)+VLOOKUP(D1945,'Species Codes'!B:P,15,0)*LN((E1945*2.54)))*(1-(1/(VLOOKUP(D1945,'Species Codes'!B:Q,16,0)+VLOOKUP(D1945,'Species Codes'!B:R,17,0)*((E1945*2.54)^VLOOKUP(D1945,'Species Codes'!B:S,18,0)))))/1000,IF(D1945="DF",EXP(VLOOKUP(D1945,'Species Codes'!B:O,14,0)+VLOOKUP(D1945,'Species Codes'!B:P,15,0)*LN((E1945*2.54))),VLOOKUP(D1945,'Species Codes'!B:O,14,0)+VLOOKUP(D1945,'Species Codes'!B:P,15,0)*(((E1945*2.54)/100)^2)*(I1945*0.3048)))))*0.0011023),0)</f>
        <v>#N/A</v>
      </c>
      <c r="AD1945" s="104" t="e">
        <f t="shared" si="841"/>
        <v>#N/A</v>
      </c>
      <c r="AE1945" s="104" t="e">
        <f t="shared" si="842"/>
        <v>#N/A</v>
      </c>
      <c r="AF1945" s="104" t="e">
        <f>IF(AND(VLOOKUP($D1945,Merchantability!$B:$C,2,0)="Yes",$E1945&gt;=VLOOKUP($D1945,Merchantability!$B:$D,3,0),$E1945&lt;=VLOOKUP($D1945,Merchantability!$B:$E,4,0)),AA1945,0)</f>
        <v>#N/A</v>
      </c>
      <c r="AG1945" s="104" t="e">
        <f>IF(AND(VLOOKUP($D1945,Merchantability!$B:$C,2,0)="Yes",$E1945&gt;=VLOOKUP($D1945,Merchantability!$B:$D,3,0),$E1945&lt;=VLOOKUP($D1945,Merchantability!$B:$E,4,0)),AB1945,0)</f>
        <v>#N/A</v>
      </c>
      <c r="AH1945" s="104" t="e">
        <f>IF(AND(VLOOKUP($D1945,Merchantability!$B:$C,2,0)="Yes",$E1945&gt;=VLOOKUP($D1945,Merchantability!$B:$D,3,0),$E1945&lt;=VLOOKUP($D1945,Merchantability!$B:$E,4,0)),AC1945,0)</f>
        <v>#N/A</v>
      </c>
      <c r="AI1945" s="104" t="e">
        <f t="shared" si="843"/>
        <v>#N/A</v>
      </c>
      <c r="AJ1945" s="104" t="e">
        <f t="shared" si="844"/>
        <v>#VALUE!</v>
      </c>
      <c r="AK1945" s="104" t="e">
        <f t="shared" si="845"/>
        <v>#N/A</v>
      </c>
      <c r="AL1945" s="104" t="e">
        <f t="shared" si="846"/>
        <v>#N/A</v>
      </c>
      <c r="AM1945" s="104" t="e">
        <f t="shared" si="847"/>
        <v>#N/A</v>
      </c>
      <c r="AN1945" s="104" t="e">
        <f t="shared" si="858"/>
        <v>#N/A</v>
      </c>
      <c r="AO1945" s="104" t="e">
        <f t="shared" si="859"/>
        <v>#N/A</v>
      </c>
      <c r="AP1945" s="104" t="e">
        <f t="shared" si="860"/>
        <v>#N/A</v>
      </c>
      <c r="AQ1945" s="104" t="e">
        <f t="shared" si="861"/>
        <v>#N/A</v>
      </c>
      <c r="AR1945" s="105" t="str">
        <f t="shared" si="853"/>
        <v/>
      </c>
      <c r="AS1945" s="105" t="str">
        <f t="shared" si="854"/>
        <v/>
      </c>
      <c r="AT1945" s="108" t="str">
        <f t="shared" si="855"/>
        <v/>
      </c>
      <c r="AU1945" s="108" t="str">
        <f t="shared" si="856"/>
        <v/>
      </c>
      <c r="AV1945" s="107" t="str">
        <f>IF(ISNUMBER(O1945),IF(VLOOKUP($A1945,Stand!C:J,8,FALSE)="Short",AT1945,AU1945),"")</f>
        <v/>
      </c>
      <c r="AW1945" s="109" t="str">
        <f t="shared" si="862"/>
        <v/>
      </c>
      <c r="AX1945" s="109" t="str">
        <f t="shared" si="863"/>
        <v/>
      </c>
      <c r="AY1945" s="112" t="str">
        <f>IF(ISNUMBER(O1945),IF(AND(VLOOKUP($D1945,Merchantability!$B:$C,2,0)="Yes",$E1945&gt;=VLOOKUP($D1945,Merchantability!$B:$D,3,0),$E1945&lt;=VLOOKUP($D1945,Merchantability!$B:$E,4,0)),(AV1945*O1945)*(1-$H1945/100),""),"")</f>
        <v/>
      </c>
      <c r="AZ1945" s="116"/>
      <c r="BA1945" s="116"/>
      <c r="BB1945" s="116"/>
      <c r="BE1945" s="62"/>
      <c r="BF1945" s="63"/>
    </row>
    <row r="1946" spans="1:58" ht="12.75" customHeight="1" x14ac:dyDescent="0.25">
      <c r="A1946" s="334"/>
      <c r="B1946" s="334"/>
      <c r="C1946" s="332"/>
      <c r="D1946" s="334"/>
      <c r="E1946" s="335"/>
      <c r="F1946" s="334"/>
      <c r="G1946" s="332"/>
      <c r="H1946" s="332"/>
      <c r="I1946" s="334"/>
      <c r="J1946" s="336"/>
      <c r="K1946" s="332"/>
      <c r="L1946" s="332"/>
      <c r="M1946" s="76"/>
      <c r="N1946" s="103" t="str">
        <f>IF(A1946="","",VLOOKUP(A1946,Stand!C:K,9,0))</f>
        <v/>
      </c>
      <c r="O1946" s="104" t="str">
        <f t="shared" si="848"/>
        <v/>
      </c>
      <c r="P1946" s="105" t="str">
        <f t="shared" si="849"/>
        <v/>
      </c>
      <c r="Q1946" s="105" t="str">
        <f t="shared" si="837"/>
        <v/>
      </c>
      <c r="R1946" s="103" t="str">
        <f t="shared" si="850"/>
        <v/>
      </c>
      <c r="S1946" s="103" t="str">
        <f t="shared" si="851"/>
        <v/>
      </c>
      <c r="T1946" s="106" t="str">
        <f t="shared" si="838"/>
        <v/>
      </c>
      <c r="U1946" s="106" t="str">
        <f t="shared" si="839"/>
        <v/>
      </c>
      <c r="V1946" s="106" t="str">
        <f t="shared" si="840"/>
        <v/>
      </c>
      <c r="W1946" s="105" t="str">
        <f t="shared" si="852"/>
        <v/>
      </c>
      <c r="X1946" s="104" t="str">
        <f t="shared" si="857"/>
        <v/>
      </c>
      <c r="Y1946" s="104" t="str">
        <f t="array" ref="Y1946">IFERROR(IF(ISNUMBER(O1946),IF(COUNT(IF(A1946=$A$2:$A$2427,IF(D1946=$D$2:$D$2427,IF($X$2:$X$2427&gt;0,1))))&gt;0,SUM(IF(A1946=$A$2:$A$2427,IF(D1946=$D$2:$D$2427,$X$2:$X$2427)))/COUNT(IF(A1946=$A$2:$A$2427,IF(D1946=$D$2:$D$2427,IF(ISNUMBER($X$2:$X$2427),1)))),0),""),0)</f>
        <v/>
      </c>
      <c r="Z1946" s="104" t="str">
        <f>IF(ISNUMBER(O1946),IF(I1946&gt;0,(10^(VLOOKUP(D1946,'Species Codes'!B:C,2,0)+VLOOKUP(D1946,'Species Codes'!B:D,3,0)*LOG(E1946)+VLOOKUP(D1946,'Species Codes'!B:E,4,0)*LOG(I1946))),0),"")</f>
        <v/>
      </c>
      <c r="AA1946" s="104" t="str">
        <f>IFERROR((VLOOKUP(D1946,'Species Codes'!B:G,6,0)*Z1946)/2000,"")</f>
        <v/>
      </c>
      <c r="AB1946" s="104" t="e">
        <f>IF(Z1946&gt;0,((IF(OR(D1946="DF",D1946="RA")=TRUE,EXP(VLOOKUP(D1946,'Species Codes'!B:I,8,0)+VLOOKUP(D1946,'Species Codes'!B:J,9,0)*(LN((E1946*2.54)))),IF(OR(D1946="PY",D1946="RC",D1946="WH",D1946="NF")=TRUE,VLOOKUP(D1946,'Species Codes'!B:I,8,0)+VLOOKUP(D1946,'Species Codes'!B:J,9,0)*((E1946*2.54)^2)*(I1946*0.3048),IF(OR(D1946="MD",D1946="BM",D1946="GA")=TRUE,((VLOOKUP(D1946,'Species Codes'!B:I,8,0)*(((((E1946*2.54)+VLOOKUP(D1946,'Species Codes'!B:J,9,0))/VLOOKUP(D1946,'Species Codes'!B:K,10,0))^VLOOKUP(D1946,'Species Codes'!B:L,11,0))*((I1946*0.3048)^VLOOKUP(D1946,'Species Codes'!B:M,12,0))))-(VLOOKUP(D1946,'Species Codes'!B:I,8,0)*((((E1946*2.54)^VLOOKUP(D1946,'Species Codes'!B:L,11,0))*((I1946*0.3048)^VLOOKUP(D1946,'Species Codes'!B:M,12,0))))))*35.3*VLOOKUP(D1946,'Species Codes'!B:G,6,0)/2.2046,VLOOKUP(D1946,'Species Codes'!B:I,8,0)+VLOOKUP(D1946,'Species Codes'!B:J,9,0)*(((E1946*2.54)/100)^2)*(I1946*0.3048)))))*0.0011023),0)</f>
        <v>#N/A</v>
      </c>
      <c r="AC1946" s="104" t="e">
        <f>IF(Z1946&gt;0,((IF(OR(D1946="RA",D1946="OA",D1946="OT",D1946="UN",D1946="PC"),EXP(VLOOKUP(D1946,'Species Codes'!B:O,14,0)+VLOOKUP(D1946,'Species Codes'!B:P,15,0)*LN((E1946*2.54)))-EXP(VLOOKUP(D1946,'Species Codes'!B:O,14,0)+VLOOKUP(D1946,'Species Codes'!B:P,15,0)*LN((E1946*2.54)))*(1/(VLOOKUP(D1946,'Species Codes'!B:Q,16,0)+VLOOKUP(D1946,'Species Codes'!B:R,17,0)*((E1946*2.54)^VLOOKUP(D1946,'Species Codes'!B:S,18,0)))),IF(OR(D1946="BM",D1946="MD",D1946="OA"),EXP(VLOOKUP(D1946,'Species Codes'!B:O,14,0)+VLOOKUP(D1946,'Species Codes'!B:P,15,0)*LN((E1946*2.54)))*(1-(1/(VLOOKUP(D1946,'Species Codes'!B:Q,16,0)+VLOOKUP(D1946,'Species Codes'!B:R,17,0)*((E1946*2.54)^VLOOKUP(D1946,'Species Codes'!B:S,18,0)))))/1000,IF(D1946="DF",EXP(VLOOKUP(D1946,'Species Codes'!B:O,14,0)+VLOOKUP(D1946,'Species Codes'!B:P,15,0)*LN((E1946*2.54))),VLOOKUP(D1946,'Species Codes'!B:O,14,0)+VLOOKUP(D1946,'Species Codes'!B:P,15,0)*(((E1946*2.54)/100)^2)*(I1946*0.3048)))))*0.0011023),0)</f>
        <v>#N/A</v>
      </c>
      <c r="AD1946" s="104" t="e">
        <f t="shared" si="841"/>
        <v>#N/A</v>
      </c>
      <c r="AE1946" s="104" t="e">
        <f t="shared" si="842"/>
        <v>#N/A</v>
      </c>
      <c r="AF1946" s="104" t="e">
        <f>IF(AND(VLOOKUP($D1946,Merchantability!$B:$C,2,0)="Yes",$E1946&gt;=VLOOKUP($D1946,Merchantability!$B:$D,3,0),$E1946&lt;=VLOOKUP($D1946,Merchantability!$B:$E,4,0)),AA1946,0)</f>
        <v>#N/A</v>
      </c>
      <c r="AG1946" s="104" t="e">
        <f>IF(AND(VLOOKUP($D1946,Merchantability!$B:$C,2,0)="Yes",$E1946&gt;=VLOOKUP($D1946,Merchantability!$B:$D,3,0),$E1946&lt;=VLOOKUP($D1946,Merchantability!$B:$E,4,0)),AB1946,0)</f>
        <v>#N/A</v>
      </c>
      <c r="AH1946" s="104" t="e">
        <f>IF(AND(VLOOKUP($D1946,Merchantability!$B:$C,2,0)="Yes",$E1946&gt;=VLOOKUP($D1946,Merchantability!$B:$D,3,0),$E1946&lt;=VLOOKUP($D1946,Merchantability!$B:$E,4,0)),AC1946,0)</f>
        <v>#N/A</v>
      </c>
      <c r="AI1946" s="104" t="e">
        <f t="shared" si="843"/>
        <v>#N/A</v>
      </c>
      <c r="AJ1946" s="104" t="e">
        <f t="shared" si="844"/>
        <v>#VALUE!</v>
      </c>
      <c r="AK1946" s="104" t="e">
        <f t="shared" si="845"/>
        <v>#N/A</v>
      </c>
      <c r="AL1946" s="104" t="e">
        <f t="shared" si="846"/>
        <v>#N/A</v>
      </c>
      <c r="AM1946" s="104" t="e">
        <f t="shared" si="847"/>
        <v>#N/A</v>
      </c>
      <c r="AN1946" s="104" t="e">
        <f t="shared" si="858"/>
        <v>#N/A</v>
      </c>
      <c r="AO1946" s="104" t="e">
        <f t="shared" si="859"/>
        <v>#N/A</v>
      </c>
      <c r="AP1946" s="104" t="e">
        <f t="shared" si="860"/>
        <v>#N/A</v>
      </c>
      <c r="AQ1946" s="104" t="e">
        <f t="shared" si="861"/>
        <v>#N/A</v>
      </c>
      <c r="AR1946" s="105" t="str">
        <f t="shared" si="853"/>
        <v/>
      </c>
      <c r="AS1946" s="105" t="str">
        <f t="shared" si="854"/>
        <v/>
      </c>
      <c r="AT1946" s="108" t="str">
        <f t="shared" si="855"/>
        <v/>
      </c>
      <c r="AU1946" s="108" t="str">
        <f t="shared" si="856"/>
        <v/>
      </c>
      <c r="AV1946" s="107" t="str">
        <f>IF(ISNUMBER(O1946),IF(VLOOKUP($A1946,Stand!C:J,8,FALSE)="Short",AT1946,AU1946),"")</f>
        <v/>
      </c>
      <c r="AW1946" s="109" t="str">
        <f t="shared" si="862"/>
        <v/>
      </c>
      <c r="AX1946" s="109" t="str">
        <f t="shared" si="863"/>
        <v/>
      </c>
      <c r="AY1946" s="112" t="str">
        <f>IF(ISNUMBER(O1946),IF(AND(VLOOKUP($D1946,Merchantability!$B:$C,2,0)="Yes",$E1946&gt;=VLOOKUP($D1946,Merchantability!$B:$D,3,0),$E1946&lt;=VLOOKUP($D1946,Merchantability!$B:$E,4,0)),(AV1946*O1946)*(1-$H1946/100),""),"")</f>
        <v/>
      </c>
      <c r="AZ1946" s="116"/>
      <c r="BA1946" s="116"/>
      <c r="BB1946" s="116"/>
      <c r="BE1946" s="62"/>
      <c r="BF1946" s="63"/>
    </row>
    <row r="1947" spans="1:58" ht="12.75" customHeight="1" x14ac:dyDescent="0.25">
      <c r="A1947" s="334"/>
      <c r="B1947" s="334"/>
      <c r="C1947" s="332"/>
      <c r="D1947" s="334"/>
      <c r="E1947" s="335"/>
      <c r="F1947" s="334"/>
      <c r="G1947" s="332"/>
      <c r="H1947" s="332"/>
      <c r="I1947" s="334"/>
      <c r="J1947" s="336"/>
      <c r="K1947" s="332"/>
      <c r="L1947" s="332"/>
      <c r="M1947" s="76"/>
      <c r="N1947" s="103" t="str">
        <f>IF(A1947="","",VLOOKUP(A1947,Stand!C:K,9,0))</f>
        <v/>
      </c>
      <c r="O1947" s="104" t="str">
        <f t="shared" si="848"/>
        <v/>
      </c>
      <c r="P1947" s="105" t="str">
        <f t="shared" si="849"/>
        <v/>
      </c>
      <c r="Q1947" s="105" t="str">
        <f t="shared" si="837"/>
        <v/>
      </c>
      <c r="R1947" s="103" t="str">
        <f t="shared" si="850"/>
        <v/>
      </c>
      <c r="S1947" s="103" t="str">
        <f t="shared" si="851"/>
        <v/>
      </c>
      <c r="T1947" s="106" t="str">
        <f t="shared" si="838"/>
        <v/>
      </c>
      <c r="U1947" s="106" t="str">
        <f t="shared" si="839"/>
        <v/>
      </c>
      <c r="V1947" s="106" t="str">
        <f t="shared" si="840"/>
        <v/>
      </c>
      <c r="W1947" s="105" t="str">
        <f t="shared" si="852"/>
        <v/>
      </c>
      <c r="X1947" s="104" t="str">
        <f t="shared" si="857"/>
        <v/>
      </c>
      <c r="Y1947" s="104" t="str">
        <f t="array" ref="Y1947">IFERROR(IF(ISNUMBER(O1947),IF(COUNT(IF(A1947=$A$2:$A$2427,IF(D1947=$D$2:$D$2427,IF($X$2:$X$2427&gt;0,1))))&gt;0,SUM(IF(A1947=$A$2:$A$2427,IF(D1947=$D$2:$D$2427,$X$2:$X$2427)))/COUNT(IF(A1947=$A$2:$A$2427,IF(D1947=$D$2:$D$2427,IF(ISNUMBER($X$2:$X$2427),1)))),0),""),0)</f>
        <v/>
      </c>
      <c r="Z1947" s="104" t="str">
        <f>IF(ISNUMBER(O1947),IF(I1947&gt;0,(10^(VLOOKUP(D1947,'Species Codes'!B:C,2,0)+VLOOKUP(D1947,'Species Codes'!B:D,3,0)*LOG(E1947)+VLOOKUP(D1947,'Species Codes'!B:E,4,0)*LOG(I1947))),0),"")</f>
        <v/>
      </c>
      <c r="AA1947" s="104" t="str">
        <f>IFERROR((VLOOKUP(D1947,'Species Codes'!B:G,6,0)*Z1947)/2000,"")</f>
        <v/>
      </c>
      <c r="AB1947" s="104" t="e">
        <f>IF(Z1947&gt;0,((IF(OR(D1947="DF",D1947="RA")=TRUE,EXP(VLOOKUP(D1947,'Species Codes'!B:I,8,0)+VLOOKUP(D1947,'Species Codes'!B:J,9,0)*(LN((E1947*2.54)))),IF(OR(D1947="PY",D1947="RC",D1947="WH",D1947="NF")=TRUE,VLOOKUP(D1947,'Species Codes'!B:I,8,0)+VLOOKUP(D1947,'Species Codes'!B:J,9,0)*((E1947*2.54)^2)*(I1947*0.3048),IF(OR(D1947="MD",D1947="BM",D1947="GA")=TRUE,((VLOOKUP(D1947,'Species Codes'!B:I,8,0)*(((((E1947*2.54)+VLOOKUP(D1947,'Species Codes'!B:J,9,0))/VLOOKUP(D1947,'Species Codes'!B:K,10,0))^VLOOKUP(D1947,'Species Codes'!B:L,11,0))*((I1947*0.3048)^VLOOKUP(D1947,'Species Codes'!B:M,12,0))))-(VLOOKUP(D1947,'Species Codes'!B:I,8,0)*((((E1947*2.54)^VLOOKUP(D1947,'Species Codes'!B:L,11,0))*((I1947*0.3048)^VLOOKUP(D1947,'Species Codes'!B:M,12,0))))))*35.3*VLOOKUP(D1947,'Species Codes'!B:G,6,0)/2.2046,VLOOKUP(D1947,'Species Codes'!B:I,8,0)+VLOOKUP(D1947,'Species Codes'!B:J,9,0)*(((E1947*2.54)/100)^2)*(I1947*0.3048)))))*0.0011023),0)</f>
        <v>#N/A</v>
      </c>
      <c r="AC1947" s="104" t="e">
        <f>IF(Z1947&gt;0,((IF(OR(D1947="RA",D1947="OA",D1947="OT",D1947="UN",D1947="PC"),EXP(VLOOKUP(D1947,'Species Codes'!B:O,14,0)+VLOOKUP(D1947,'Species Codes'!B:P,15,0)*LN((E1947*2.54)))-EXP(VLOOKUP(D1947,'Species Codes'!B:O,14,0)+VLOOKUP(D1947,'Species Codes'!B:P,15,0)*LN((E1947*2.54)))*(1/(VLOOKUP(D1947,'Species Codes'!B:Q,16,0)+VLOOKUP(D1947,'Species Codes'!B:R,17,0)*((E1947*2.54)^VLOOKUP(D1947,'Species Codes'!B:S,18,0)))),IF(OR(D1947="BM",D1947="MD",D1947="OA"),EXP(VLOOKUP(D1947,'Species Codes'!B:O,14,0)+VLOOKUP(D1947,'Species Codes'!B:P,15,0)*LN((E1947*2.54)))*(1-(1/(VLOOKUP(D1947,'Species Codes'!B:Q,16,0)+VLOOKUP(D1947,'Species Codes'!B:R,17,0)*((E1947*2.54)^VLOOKUP(D1947,'Species Codes'!B:S,18,0)))))/1000,IF(D1947="DF",EXP(VLOOKUP(D1947,'Species Codes'!B:O,14,0)+VLOOKUP(D1947,'Species Codes'!B:P,15,0)*LN((E1947*2.54))),VLOOKUP(D1947,'Species Codes'!B:O,14,0)+VLOOKUP(D1947,'Species Codes'!B:P,15,0)*(((E1947*2.54)/100)^2)*(I1947*0.3048)))))*0.0011023),0)</f>
        <v>#N/A</v>
      </c>
      <c r="AD1947" s="104" t="e">
        <f t="shared" si="841"/>
        <v>#N/A</v>
      </c>
      <c r="AE1947" s="104" t="e">
        <f t="shared" si="842"/>
        <v>#N/A</v>
      </c>
      <c r="AF1947" s="104" t="e">
        <f>IF(AND(VLOOKUP($D1947,Merchantability!$B:$C,2,0)="Yes",$E1947&gt;=VLOOKUP($D1947,Merchantability!$B:$D,3,0),$E1947&lt;=VLOOKUP($D1947,Merchantability!$B:$E,4,0)),AA1947,0)</f>
        <v>#N/A</v>
      </c>
      <c r="AG1947" s="104" t="e">
        <f>IF(AND(VLOOKUP($D1947,Merchantability!$B:$C,2,0)="Yes",$E1947&gt;=VLOOKUP($D1947,Merchantability!$B:$D,3,0),$E1947&lt;=VLOOKUP($D1947,Merchantability!$B:$E,4,0)),AB1947,0)</f>
        <v>#N/A</v>
      </c>
      <c r="AH1947" s="104" t="e">
        <f>IF(AND(VLOOKUP($D1947,Merchantability!$B:$C,2,0)="Yes",$E1947&gt;=VLOOKUP($D1947,Merchantability!$B:$D,3,0),$E1947&lt;=VLOOKUP($D1947,Merchantability!$B:$E,4,0)),AC1947,0)</f>
        <v>#N/A</v>
      </c>
      <c r="AI1947" s="104" t="e">
        <f t="shared" si="843"/>
        <v>#N/A</v>
      </c>
      <c r="AJ1947" s="104" t="e">
        <f t="shared" si="844"/>
        <v>#VALUE!</v>
      </c>
      <c r="AK1947" s="104" t="e">
        <f t="shared" si="845"/>
        <v>#N/A</v>
      </c>
      <c r="AL1947" s="104" t="e">
        <f t="shared" si="846"/>
        <v>#N/A</v>
      </c>
      <c r="AM1947" s="104" t="e">
        <f t="shared" si="847"/>
        <v>#N/A</v>
      </c>
      <c r="AN1947" s="104" t="e">
        <f t="shared" si="858"/>
        <v>#N/A</v>
      </c>
      <c r="AO1947" s="104" t="e">
        <f t="shared" si="859"/>
        <v>#N/A</v>
      </c>
      <c r="AP1947" s="104" t="e">
        <f t="shared" si="860"/>
        <v>#N/A</v>
      </c>
      <c r="AQ1947" s="104" t="e">
        <f t="shared" si="861"/>
        <v>#N/A</v>
      </c>
      <c r="AR1947" s="105" t="str">
        <f t="shared" si="853"/>
        <v/>
      </c>
      <c r="AS1947" s="105" t="str">
        <f t="shared" si="854"/>
        <v/>
      </c>
      <c r="AT1947" s="108" t="str">
        <f t="shared" si="855"/>
        <v/>
      </c>
      <c r="AU1947" s="108" t="str">
        <f t="shared" si="856"/>
        <v/>
      </c>
      <c r="AV1947" s="107" t="str">
        <f>IF(ISNUMBER(O1947),IF(VLOOKUP($A1947,Stand!C:J,8,FALSE)="Short",AT1947,AU1947),"")</f>
        <v/>
      </c>
      <c r="AW1947" s="109" t="str">
        <f t="shared" si="862"/>
        <v/>
      </c>
      <c r="AX1947" s="109" t="str">
        <f t="shared" si="863"/>
        <v/>
      </c>
      <c r="AY1947" s="112" t="str">
        <f>IF(ISNUMBER(O1947),IF(AND(VLOOKUP($D1947,Merchantability!$B:$C,2,0)="Yes",$E1947&gt;=VLOOKUP($D1947,Merchantability!$B:$D,3,0),$E1947&lt;=VLOOKUP($D1947,Merchantability!$B:$E,4,0)),(AV1947*O1947)*(1-$H1947/100),""),"")</f>
        <v/>
      </c>
      <c r="AZ1947" s="116"/>
      <c r="BA1947" s="116"/>
      <c r="BB1947" s="116"/>
      <c r="BE1947" s="62"/>
      <c r="BF1947" s="63"/>
    </row>
    <row r="1948" spans="1:58" ht="12.75" customHeight="1" x14ac:dyDescent="0.25">
      <c r="A1948" s="334"/>
      <c r="B1948" s="334"/>
      <c r="C1948" s="332"/>
      <c r="D1948" s="334"/>
      <c r="E1948" s="335"/>
      <c r="F1948" s="334"/>
      <c r="G1948" s="332"/>
      <c r="H1948" s="332"/>
      <c r="I1948" s="334"/>
      <c r="J1948" s="336"/>
      <c r="K1948" s="332"/>
      <c r="L1948" s="332"/>
      <c r="M1948" s="76"/>
      <c r="N1948" s="103" t="str">
        <f>IF(A1948="","",VLOOKUP(A1948,Stand!C:K,9,0))</f>
        <v/>
      </c>
      <c r="O1948" s="104" t="str">
        <f t="shared" si="848"/>
        <v/>
      </c>
      <c r="P1948" s="105" t="str">
        <f t="shared" si="849"/>
        <v/>
      </c>
      <c r="Q1948" s="105" t="str">
        <f t="shared" si="837"/>
        <v/>
      </c>
      <c r="R1948" s="103" t="str">
        <f t="shared" si="850"/>
        <v/>
      </c>
      <c r="S1948" s="103" t="str">
        <f t="shared" si="851"/>
        <v/>
      </c>
      <c r="T1948" s="106" t="str">
        <f t="shared" si="838"/>
        <v/>
      </c>
      <c r="U1948" s="106" t="str">
        <f t="shared" si="839"/>
        <v/>
      </c>
      <c r="V1948" s="106" t="str">
        <f t="shared" si="840"/>
        <v/>
      </c>
      <c r="W1948" s="105" t="str">
        <f t="shared" si="852"/>
        <v/>
      </c>
      <c r="X1948" s="104" t="str">
        <f t="shared" si="857"/>
        <v/>
      </c>
      <c r="Y1948" s="104" t="str">
        <f t="array" ref="Y1948">IFERROR(IF(ISNUMBER(O1948),IF(COUNT(IF(A1948=$A$2:$A$2427,IF(D1948=$D$2:$D$2427,IF($X$2:$X$2427&gt;0,1))))&gt;0,SUM(IF(A1948=$A$2:$A$2427,IF(D1948=$D$2:$D$2427,$X$2:$X$2427)))/COUNT(IF(A1948=$A$2:$A$2427,IF(D1948=$D$2:$D$2427,IF(ISNUMBER($X$2:$X$2427),1)))),0),""),0)</f>
        <v/>
      </c>
      <c r="Z1948" s="104" t="str">
        <f>IF(ISNUMBER(O1948),IF(I1948&gt;0,(10^(VLOOKUP(D1948,'Species Codes'!B:C,2,0)+VLOOKUP(D1948,'Species Codes'!B:D,3,0)*LOG(E1948)+VLOOKUP(D1948,'Species Codes'!B:E,4,0)*LOG(I1948))),0),"")</f>
        <v/>
      </c>
      <c r="AA1948" s="104" t="str">
        <f>IFERROR((VLOOKUP(D1948,'Species Codes'!B:G,6,0)*Z1948)/2000,"")</f>
        <v/>
      </c>
      <c r="AB1948" s="104" t="e">
        <f>IF(Z1948&gt;0,((IF(OR(D1948="DF",D1948="RA")=TRUE,EXP(VLOOKUP(D1948,'Species Codes'!B:I,8,0)+VLOOKUP(D1948,'Species Codes'!B:J,9,0)*(LN((E1948*2.54)))),IF(OR(D1948="PY",D1948="RC",D1948="WH",D1948="NF")=TRUE,VLOOKUP(D1948,'Species Codes'!B:I,8,0)+VLOOKUP(D1948,'Species Codes'!B:J,9,0)*((E1948*2.54)^2)*(I1948*0.3048),IF(OR(D1948="MD",D1948="BM",D1948="GA")=TRUE,((VLOOKUP(D1948,'Species Codes'!B:I,8,0)*(((((E1948*2.54)+VLOOKUP(D1948,'Species Codes'!B:J,9,0))/VLOOKUP(D1948,'Species Codes'!B:K,10,0))^VLOOKUP(D1948,'Species Codes'!B:L,11,0))*((I1948*0.3048)^VLOOKUP(D1948,'Species Codes'!B:M,12,0))))-(VLOOKUP(D1948,'Species Codes'!B:I,8,0)*((((E1948*2.54)^VLOOKUP(D1948,'Species Codes'!B:L,11,0))*((I1948*0.3048)^VLOOKUP(D1948,'Species Codes'!B:M,12,0))))))*35.3*VLOOKUP(D1948,'Species Codes'!B:G,6,0)/2.2046,VLOOKUP(D1948,'Species Codes'!B:I,8,0)+VLOOKUP(D1948,'Species Codes'!B:J,9,0)*(((E1948*2.54)/100)^2)*(I1948*0.3048)))))*0.0011023),0)</f>
        <v>#N/A</v>
      </c>
      <c r="AC1948" s="104" t="e">
        <f>IF(Z1948&gt;0,((IF(OR(D1948="RA",D1948="OA",D1948="OT",D1948="UN",D1948="PC"),EXP(VLOOKUP(D1948,'Species Codes'!B:O,14,0)+VLOOKUP(D1948,'Species Codes'!B:P,15,0)*LN((E1948*2.54)))-EXP(VLOOKUP(D1948,'Species Codes'!B:O,14,0)+VLOOKUP(D1948,'Species Codes'!B:P,15,0)*LN((E1948*2.54)))*(1/(VLOOKUP(D1948,'Species Codes'!B:Q,16,0)+VLOOKUP(D1948,'Species Codes'!B:R,17,0)*((E1948*2.54)^VLOOKUP(D1948,'Species Codes'!B:S,18,0)))),IF(OR(D1948="BM",D1948="MD",D1948="OA"),EXP(VLOOKUP(D1948,'Species Codes'!B:O,14,0)+VLOOKUP(D1948,'Species Codes'!B:P,15,0)*LN((E1948*2.54)))*(1-(1/(VLOOKUP(D1948,'Species Codes'!B:Q,16,0)+VLOOKUP(D1948,'Species Codes'!B:R,17,0)*((E1948*2.54)^VLOOKUP(D1948,'Species Codes'!B:S,18,0)))))/1000,IF(D1948="DF",EXP(VLOOKUP(D1948,'Species Codes'!B:O,14,0)+VLOOKUP(D1948,'Species Codes'!B:P,15,0)*LN((E1948*2.54))),VLOOKUP(D1948,'Species Codes'!B:O,14,0)+VLOOKUP(D1948,'Species Codes'!B:P,15,0)*(((E1948*2.54)/100)^2)*(I1948*0.3048)))))*0.0011023),0)</f>
        <v>#N/A</v>
      </c>
      <c r="AD1948" s="104" t="e">
        <f t="shared" si="841"/>
        <v>#N/A</v>
      </c>
      <c r="AE1948" s="104" t="e">
        <f t="shared" si="842"/>
        <v>#N/A</v>
      </c>
      <c r="AF1948" s="104" t="e">
        <f>IF(AND(VLOOKUP($D1948,Merchantability!$B:$C,2,0)="Yes",$E1948&gt;=VLOOKUP($D1948,Merchantability!$B:$D,3,0),$E1948&lt;=VLOOKUP($D1948,Merchantability!$B:$E,4,0)),AA1948,0)</f>
        <v>#N/A</v>
      </c>
      <c r="AG1948" s="104" t="e">
        <f>IF(AND(VLOOKUP($D1948,Merchantability!$B:$C,2,0)="Yes",$E1948&gt;=VLOOKUP($D1948,Merchantability!$B:$D,3,0),$E1948&lt;=VLOOKUP($D1948,Merchantability!$B:$E,4,0)),AB1948,0)</f>
        <v>#N/A</v>
      </c>
      <c r="AH1948" s="104" t="e">
        <f>IF(AND(VLOOKUP($D1948,Merchantability!$B:$C,2,0)="Yes",$E1948&gt;=VLOOKUP($D1948,Merchantability!$B:$D,3,0),$E1948&lt;=VLOOKUP($D1948,Merchantability!$B:$E,4,0)),AC1948,0)</f>
        <v>#N/A</v>
      </c>
      <c r="AI1948" s="104" t="e">
        <f t="shared" si="843"/>
        <v>#N/A</v>
      </c>
      <c r="AJ1948" s="104" t="e">
        <f t="shared" si="844"/>
        <v>#VALUE!</v>
      </c>
      <c r="AK1948" s="104" t="e">
        <f t="shared" si="845"/>
        <v>#N/A</v>
      </c>
      <c r="AL1948" s="104" t="e">
        <f t="shared" si="846"/>
        <v>#N/A</v>
      </c>
      <c r="AM1948" s="104" t="e">
        <f t="shared" si="847"/>
        <v>#N/A</v>
      </c>
      <c r="AN1948" s="104" t="e">
        <f t="shared" si="858"/>
        <v>#N/A</v>
      </c>
      <c r="AO1948" s="104" t="e">
        <f t="shared" si="859"/>
        <v>#N/A</v>
      </c>
      <c r="AP1948" s="104" t="e">
        <f t="shared" si="860"/>
        <v>#N/A</v>
      </c>
      <c r="AQ1948" s="104" t="e">
        <f t="shared" si="861"/>
        <v>#N/A</v>
      </c>
      <c r="AR1948" s="105" t="str">
        <f t="shared" si="853"/>
        <v/>
      </c>
      <c r="AS1948" s="105" t="str">
        <f t="shared" si="854"/>
        <v/>
      </c>
      <c r="AT1948" s="108" t="str">
        <f t="shared" si="855"/>
        <v/>
      </c>
      <c r="AU1948" s="108" t="str">
        <f t="shared" si="856"/>
        <v/>
      </c>
      <c r="AV1948" s="107" t="str">
        <f>IF(ISNUMBER(O1948),IF(VLOOKUP($A1948,Stand!C:J,8,FALSE)="Short",AT1948,AU1948),"")</f>
        <v/>
      </c>
      <c r="AW1948" s="109" t="str">
        <f t="shared" si="862"/>
        <v/>
      </c>
      <c r="AX1948" s="109" t="str">
        <f t="shared" si="863"/>
        <v/>
      </c>
      <c r="AY1948" s="112" t="str">
        <f>IF(ISNUMBER(O1948),IF(AND(VLOOKUP($D1948,Merchantability!$B:$C,2,0)="Yes",$E1948&gt;=VLOOKUP($D1948,Merchantability!$B:$D,3,0),$E1948&lt;=VLOOKUP($D1948,Merchantability!$B:$E,4,0)),(AV1948*O1948)*(1-$H1948/100),""),"")</f>
        <v/>
      </c>
      <c r="AZ1948" s="116"/>
      <c r="BA1948" s="116"/>
      <c r="BB1948" s="116"/>
      <c r="BE1948" s="62"/>
      <c r="BF1948" s="63"/>
    </row>
    <row r="1949" spans="1:58" ht="12.75" customHeight="1" x14ac:dyDescent="0.25">
      <c r="A1949" s="334"/>
      <c r="B1949" s="334"/>
      <c r="C1949" s="332"/>
      <c r="D1949" s="334"/>
      <c r="E1949" s="335"/>
      <c r="F1949" s="334"/>
      <c r="G1949" s="332"/>
      <c r="H1949" s="332"/>
      <c r="I1949" s="334"/>
      <c r="J1949" s="336"/>
      <c r="K1949" s="332"/>
      <c r="L1949" s="332"/>
      <c r="M1949" s="76"/>
      <c r="N1949" s="103" t="str">
        <f>IF(A1949="","",VLOOKUP(A1949,Stand!C:K,9,0))</f>
        <v/>
      </c>
      <c r="O1949" s="104" t="str">
        <f t="shared" si="848"/>
        <v/>
      </c>
      <c r="P1949" s="105" t="str">
        <f t="shared" si="849"/>
        <v/>
      </c>
      <c r="Q1949" s="105" t="str">
        <f t="shared" ref="Q1949:Q2012" si="864">IF(AND(ISNUMBER(O1949),I1949&gt;0),I1949*O1949,"")</f>
        <v/>
      </c>
      <c r="R1949" s="103" t="str">
        <f t="shared" si="850"/>
        <v/>
      </c>
      <c r="S1949" s="103" t="str">
        <f t="shared" si="851"/>
        <v/>
      </c>
      <c r="T1949" s="106" t="str">
        <f t="shared" ref="T1949:T2012" si="865">IF(AND(ISNUMBER(O1949),J1949&gt;0),J1949/100,"")</f>
        <v/>
      </c>
      <c r="U1949" s="106" t="str">
        <f t="shared" ref="U1949:U2012" si="866">IF(AND(ISNUMBER(O1949),J1949&gt;0),T1949*O1949,"")</f>
        <v/>
      </c>
      <c r="V1949" s="106" t="str">
        <f t="shared" ref="V1949:V2012" si="867">IF(AND(ISNUMBER(O1949),I1949&gt;0),W1949*O1949,"")</f>
        <v/>
      </c>
      <c r="W1949" s="105" t="str">
        <f t="shared" si="852"/>
        <v/>
      </c>
      <c r="X1949" s="104" t="str">
        <f t="shared" si="857"/>
        <v/>
      </c>
      <c r="Y1949" s="104" t="str">
        <f t="array" ref="Y1949">IFERROR(IF(ISNUMBER(O1949),IF(COUNT(IF(A1949=$A$2:$A$2427,IF(D1949=$D$2:$D$2427,IF($X$2:$X$2427&gt;0,1))))&gt;0,SUM(IF(A1949=$A$2:$A$2427,IF(D1949=$D$2:$D$2427,$X$2:$X$2427)))/COUNT(IF(A1949=$A$2:$A$2427,IF(D1949=$D$2:$D$2427,IF(ISNUMBER($X$2:$X$2427),1)))),0),""),0)</f>
        <v/>
      </c>
      <c r="Z1949" s="104" t="str">
        <f>IF(ISNUMBER(O1949),IF(I1949&gt;0,(10^(VLOOKUP(D1949,'Species Codes'!B:C,2,0)+VLOOKUP(D1949,'Species Codes'!B:D,3,0)*LOG(E1949)+VLOOKUP(D1949,'Species Codes'!B:E,4,0)*LOG(I1949))),0),"")</f>
        <v/>
      </c>
      <c r="AA1949" s="104" t="str">
        <f>IFERROR((VLOOKUP(D1949,'Species Codes'!B:G,6,0)*Z1949)/2000,"")</f>
        <v/>
      </c>
      <c r="AB1949" s="104" t="e">
        <f>IF(Z1949&gt;0,((IF(OR(D1949="DF",D1949="RA")=TRUE,EXP(VLOOKUP(D1949,'Species Codes'!B:I,8,0)+VLOOKUP(D1949,'Species Codes'!B:J,9,0)*(LN((E1949*2.54)))),IF(OR(D1949="PY",D1949="RC",D1949="WH",D1949="NF")=TRUE,VLOOKUP(D1949,'Species Codes'!B:I,8,0)+VLOOKUP(D1949,'Species Codes'!B:J,9,0)*((E1949*2.54)^2)*(I1949*0.3048),IF(OR(D1949="MD",D1949="BM",D1949="GA")=TRUE,((VLOOKUP(D1949,'Species Codes'!B:I,8,0)*(((((E1949*2.54)+VLOOKUP(D1949,'Species Codes'!B:J,9,0))/VLOOKUP(D1949,'Species Codes'!B:K,10,0))^VLOOKUP(D1949,'Species Codes'!B:L,11,0))*((I1949*0.3048)^VLOOKUP(D1949,'Species Codes'!B:M,12,0))))-(VLOOKUP(D1949,'Species Codes'!B:I,8,0)*((((E1949*2.54)^VLOOKUP(D1949,'Species Codes'!B:L,11,0))*((I1949*0.3048)^VLOOKUP(D1949,'Species Codes'!B:M,12,0))))))*35.3*VLOOKUP(D1949,'Species Codes'!B:G,6,0)/2.2046,VLOOKUP(D1949,'Species Codes'!B:I,8,0)+VLOOKUP(D1949,'Species Codes'!B:J,9,0)*(((E1949*2.54)/100)^2)*(I1949*0.3048)))))*0.0011023),0)</f>
        <v>#N/A</v>
      </c>
      <c r="AC1949" s="104" t="e">
        <f>IF(Z1949&gt;0,((IF(OR(D1949="RA",D1949="OA",D1949="OT",D1949="UN",D1949="PC"),EXP(VLOOKUP(D1949,'Species Codes'!B:O,14,0)+VLOOKUP(D1949,'Species Codes'!B:P,15,0)*LN((E1949*2.54)))-EXP(VLOOKUP(D1949,'Species Codes'!B:O,14,0)+VLOOKUP(D1949,'Species Codes'!B:P,15,0)*LN((E1949*2.54)))*(1/(VLOOKUP(D1949,'Species Codes'!B:Q,16,0)+VLOOKUP(D1949,'Species Codes'!B:R,17,0)*((E1949*2.54)^VLOOKUP(D1949,'Species Codes'!B:S,18,0)))),IF(OR(D1949="BM",D1949="MD",D1949="OA"),EXP(VLOOKUP(D1949,'Species Codes'!B:O,14,0)+VLOOKUP(D1949,'Species Codes'!B:P,15,0)*LN((E1949*2.54)))*(1-(1/(VLOOKUP(D1949,'Species Codes'!B:Q,16,0)+VLOOKUP(D1949,'Species Codes'!B:R,17,0)*((E1949*2.54)^VLOOKUP(D1949,'Species Codes'!B:S,18,0)))))/1000,IF(D1949="DF",EXP(VLOOKUP(D1949,'Species Codes'!B:O,14,0)+VLOOKUP(D1949,'Species Codes'!B:P,15,0)*LN((E1949*2.54))),VLOOKUP(D1949,'Species Codes'!B:O,14,0)+VLOOKUP(D1949,'Species Codes'!B:P,15,0)*(((E1949*2.54)/100)^2)*(I1949*0.3048)))))*0.0011023),0)</f>
        <v>#N/A</v>
      </c>
      <c r="AD1949" s="104" t="e">
        <f t="shared" ref="AD1949:AD2012" si="868">SUM(AA1949:AC1949)</f>
        <v>#N/A</v>
      </c>
      <c r="AE1949" s="104" t="e">
        <f t="shared" ref="AE1949:AE2012" si="869">AD1949*O1949</f>
        <v>#N/A</v>
      </c>
      <c r="AF1949" s="104" t="e">
        <f>IF(AND(VLOOKUP($D1949,Merchantability!$B:$C,2,0)="Yes",$E1949&gt;=VLOOKUP($D1949,Merchantability!$B:$D,3,0),$E1949&lt;=VLOOKUP($D1949,Merchantability!$B:$E,4,0)),AA1949,0)</f>
        <v>#N/A</v>
      </c>
      <c r="AG1949" s="104" t="e">
        <f>IF(AND(VLOOKUP($D1949,Merchantability!$B:$C,2,0)="Yes",$E1949&gt;=VLOOKUP($D1949,Merchantability!$B:$D,3,0),$E1949&lt;=VLOOKUP($D1949,Merchantability!$B:$E,4,0)),AB1949,0)</f>
        <v>#N/A</v>
      </c>
      <c r="AH1949" s="104" t="e">
        <f>IF(AND(VLOOKUP($D1949,Merchantability!$B:$C,2,0)="Yes",$E1949&gt;=VLOOKUP($D1949,Merchantability!$B:$D,3,0),$E1949&lt;=VLOOKUP($D1949,Merchantability!$B:$E,4,0)),AC1949,0)</f>
        <v>#N/A</v>
      </c>
      <c r="AI1949" s="104" t="e">
        <f t="shared" ref="AI1949:AI2012" si="870">SUM(AF1949:AH1949)</f>
        <v>#N/A</v>
      </c>
      <c r="AJ1949" s="104" t="e">
        <f t="shared" ref="AJ1949:AJ2012" si="871">AA1949*$O1949</f>
        <v>#VALUE!</v>
      </c>
      <c r="AK1949" s="104" t="e">
        <f t="shared" ref="AK1949:AK2012" si="872">AB1949*$O1949</f>
        <v>#N/A</v>
      </c>
      <c r="AL1949" s="104" t="e">
        <f t="shared" ref="AL1949:AL2012" si="873">AC1949*$O1949</f>
        <v>#N/A</v>
      </c>
      <c r="AM1949" s="104" t="e">
        <f t="shared" ref="AM1949:AM2012" si="874">AD1949*$O1949</f>
        <v>#N/A</v>
      </c>
      <c r="AN1949" s="104" t="e">
        <f t="shared" si="858"/>
        <v>#N/A</v>
      </c>
      <c r="AO1949" s="104" t="e">
        <f t="shared" si="859"/>
        <v>#N/A</v>
      </c>
      <c r="AP1949" s="104" t="e">
        <f t="shared" si="860"/>
        <v>#N/A</v>
      </c>
      <c r="AQ1949" s="104" t="e">
        <f t="shared" si="861"/>
        <v>#N/A</v>
      </c>
      <c r="AR1949" s="105" t="str">
        <f t="shared" si="853"/>
        <v/>
      </c>
      <c r="AS1949" s="105" t="str">
        <f t="shared" si="854"/>
        <v/>
      </c>
      <c r="AT1949" s="108" t="str">
        <f t="shared" si="855"/>
        <v/>
      </c>
      <c r="AU1949" s="108" t="str">
        <f t="shared" si="856"/>
        <v/>
      </c>
      <c r="AV1949" s="107" t="str">
        <f>IF(ISNUMBER(O1949),IF(VLOOKUP($A1949,Stand!C:J,8,FALSE)="Short",AT1949,AU1949),"")</f>
        <v/>
      </c>
      <c r="AW1949" s="109" t="str">
        <f t="shared" si="862"/>
        <v/>
      </c>
      <c r="AX1949" s="109" t="str">
        <f t="shared" si="863"/>
        <v/>
      </c>
      <c r="AY1949" s="112" t="str">
        <f>IF(ISNUMBER(O1949),IF(AND(VLOOKUP($D1949,Merchantability!$B:$C,2,0)="Yes",$E1949&gt;=VLOOKUP($D1949,Merchantability!$B:$D,3,0),$E1949&lt;=VLOOKUP($D1949,Merchantability!$B:$E,4,0)),(AV1949*O1949)*(1-$H1949/100),""),"")</f>
        <v/>
      </c>
      <c r="AZ1949" s="116"/>
      <c r="BA1949" s="116"/>
      <c r="BB1949" s="116"/>
      <c r="BE1949" s="62"/>
      <c r="BF1949" s="63"/>
    </row>
    <row r="1950" spans="1:58" ht="12.75" customHeight="1" x14ac:dyDescent="0.25">
      <c r="A1950" s="334"/>
      <c r="B1950" s="334"/>
      <c r="C1950" s="332"/>
      <c r="D1950" s="334"/>
      <c r="E1950" s="335"/>
      <c r="F1950" s="334"/>
      <c r="G1950" s="332"/>
      <c r="H1950" s="332"/>
      <c r="I1950" s="334"/>
      <c r="J1950" s="336"/>
      <c r="K1950" s="332"/>
      <c r="L1950" s="332"/>
      <c r="M1950" s="76"/>
      <c r="N1950" s="103" t="str">
        <f>IF(A1950="","",VLOOKUP(A1950,Stand!C:K,9,0))</f>
        <v/>
      </c>
      <c r="O1950" s="104" t="str">
        <f t="shared" si="848"/>
        <v/>
      </c>
      <c r="P1950" s="105" t="str">
        <f t="shared" si="849"/>
        <v/>
      </c>
      <c r="Q1950" s="105" t="str">
        <f t="shared" si="864"/>
        <v/>
      </c>
      <c r="R1950" s="103" t="str">
        <f t="shared" si="850"/>
        <v/>
      </c>
      <c r="S1950" s="103" t="str">
        <f t="shared" si="851"/>
        <v/>
      </c>
      <c r="T1950" s="106" t="str">
        <f t="shared" si="865"/>
        <v/>
      </c>
      <c r="U1950" s="106" t="str">
        <f t="shared" si="866"/>
        <v/>
      </c>
      <c r="V1950" s="106" t="str">
        <f t="shared" si="867"/>
        <v/>
      </c>
      <c r="W1950" s="105" t="str">
        <f t="shared" si="852"/>
        <v/>
      </c>
      <c r="X1950" s="104" t="str">
        <f t="shared" si="857"/>
        <v/>
      </c>
      <c r="Y1950" s="104" t="str">
        <f t="array" ref="Y1950">IFERROR(IF(ISNUMBER(O1950),IF(COUNT(IF(A1950=$A$2:$A$2427,IF(D1950=$D$2:$D$2427,IF($X$2:$X$2427&gt;0,1))))&gt;0,SUM(IF(A1950=$A$2:$A$2427,IF(D1950=$D$2:$D$2427,$X$2:$X$2427)))/COUNT(IF(A1950=$A$2:$A$2427,IF(D1950=$D$2:$D$2427,IF(ISNUMBER($X$2:$X$2427),1)))),0),""),0)</f>
        <v/>
      </c>
      <c r="Z1950" s="104" t="str">
        <f>IF(ISNUMBER(O1950),IF(I1950&gt;0,(10^(VLOOKUP(D1950,'Species Codes'!B:C,2,0)+VLOOKUP(D1950,'Species Codes'!B:D,3,0)*LOG(E1950)+VLOOKUP(D1950,'Species Codes'!B:E,4,0)*LOG(I1950))),0),"")</f>
        <v/>
      </c>
      <c r="AA1950" s="104" t="str">
        <f>IFERROR((VLOOKUP(D1950,'Species Codes'!B:G,6,0)*Z1950)/2000,"")</f>
        <v/>
      </c>
      <c r="AB1950" s="104" t="e">
        <f>IF(Z1950&gt;0,((IF(OR(D1950="DF",D1950="RA")=TRUE,EXP(VLOOKUP(D1950,'Species Codes'!B:I,8,0)+VLOOKUP(D1950,'Species Codes'!B:J,9,0)*(LN((E1950*2.54)))),IF(OR(D1950="PY",D1950="RC",D1950="WH",D1950="NF")=TRUE,VLOOKUP(D1950,'Species Codes'!B:I,8,0)+VLOOKUP(D1950,'Species Codes'!B:J,9,0)*((E1950*2.54)^2)*(I1950*0.3048),IF(OR(D1950="MD",D1950="BM",D1950="GA")=TRUE,((VLOOKUP(D1950,'Species Codes'!B:I,8,0)*(((((E1950*2.54)+VLOOKUP(D1950,'Species Codes'!B:J,9,0))/VLOOKUP(D1950,'Species Codes'!B:K,10,0))^VLOOKUP(D1950,'Species Codes'!B:L,11,0))*((I1950*0.3048)^VLOOKUP(D1950,'Species Codes'!B:M,12,0))))-(VLOOKUP(D1950,'Species Codes'!B:I,8,0)*((((E1950*2.54)^VLOOKUP(D1950,'Species Codes'!B:L,11,0))*((I1950*0.3048)^VLOOKUP(D1950,'Species Codes'!B:M,12,0))))))*35.3*VLOOKUP(D1950,'Species Codes'!B:G,6,0)/2.2046,VLOOKUP(D1950,'Species Codes'!B:I,8,0)+VLOOKUP(D1950,'Species Codes'!B:J,9,0)*(((E1950*2.54)/100)^2)*(I1950*0.3048)))))*0.0011023),0)</f>
        <v>#N/A</v>
      </c>
      <c r="AC1950" s="104" t="e">
        <f>IF(Z1950&gt;0,((IF(OR(D1950="RA",D1950="OA",D1950="OT",D1950="UN",D1950="PC"),EXP(VLOOKUP(D1950,'Species Codes'!B:O,14,0)+VLOOKUP(D1950,'Species Codes'!B:P,15,0)*LN((E1950*2.54)))-EXP(VLOOKUP(D1950,'Species Codes'!B:O,14,0)+VLOOKUP(D1950,'Species Codes'!B:P,15,0)*LN((E1950*2.54)))*(1/(VLOOKUP(D1950,'Species Codes'!B:Q,16,0)+VLOOKUP(D1950,'Species Codes'!B:R,17,0)*((E1950*2.54)^VLOOKUP(D1950,'Species Codes'!B:S,18,0)))),IF(OR(D1950="BM",D1950="MD",D1950="OA"),EXP(VLOOKUP(D1950,'Species Codes'!B:O,14,0)+VLOOKUP(D1950,'Species Codes'!B:P,15,0)*LN((E1950*2.54)))*(1-(1/(VLOOKUP(D1950,'Species Codes'!B:Q,16,0)+VLOOKUP(D1950,'Species Codes'!B:R,17,0)*((E1950*2.54)^VLOOKUP(D1950,'Species Codes'!B:S,18,0)))))/1000,IF(D1950="DF",EXP(VLOOKUP(D1950,'Species Codes'!B:O,14,0)+VLOOKUP(D1950,'Species Codes'!B:P,15,0)*LN((E1950*2.54))),VLOOKUP(D1950,'Species Codes'!B:O,14,0)+VLOOKUP(D1950,'Species Codes'!B:P,15,0)*(((E1950*2.54)/100)^2)*(I1950*0.3048)))))*0.0011023),0)</f>
        <v>#N/A</v>
      </c>
      <c r="AD1950" s="104" t="e">
        <f t="shared" si="868"/>
        <v>#N/A</v>
      </c>
      <c r="AE1950" s="104" t="e">
        <f t="shared" si="869"/>
        <v>#N/A</v>
      </c>
      <c r="AF1950" s="104" t="e">
        <f>IF(AND(VLOOKUP($D1950,Merchantability!$B:$C,2,0)="Yes",$E1950&gt;=VLOOKUP($D1950,Merchantability!$B:$D,3,0),$E1950&lt;=VLOOKUP($D1950,Merchantability!$B:$E,4,0)),AA1950,0)</f>
        <v>#N/A</v>
      </c>
      <c r="AG1950" s="104" t="e">
        <f>IF(AND(VLOOKUP($D1950,Merchantability!$B:$C,2,0)="Yes",$E1950&gt;=VLOOKUP($D1950,Merchantability!$B:$D,3,0),$E1950&lt;=VLOOKUP($D1950,Merchantability!$B:$E,4,0)),AB1950,0)</f>
        <v>#N/A</v>
      </c>
      <c r="AH1950" s="104" t="e">
        <f>IF(AND(VLOOKUP($D1950,Merchantability!$B:$C,2,0)="Yes",$E1950&gt;=VLOOKUP($D1950,Merchantability!$B:$D,3,0),$E1950&lt;=VLOOKUP($D1950,Merchantability!$B:$E,4,0)),AC1950,0)</f>
        <v>#N/A</v>
      </c>
      <c r="AI1950" s="104" t="e">
        <f t="shared" si="870"/>
        <v>#N/A</v>
      </c>
      <c r="AJ1950" s="104" t="e">
        <f t="shared" si="871"/>
        <v>#VALUE!</v>
      </c>
      <c r="AK1950" s="104" t="e">
        <f t="shared" si="872"/>
        <v>#N/A</v>
      </c>
      <c r="AL1950" s="104" t="e">
        <f t="shared" si="873"/>
        <v>#N/A</v>
      </c>
      <c r="AM1950" s="104" t="e">
        <f t="shared" si="874"/>
        <v>#N/A</v>
      </c>
      <c r="AN1950" s="104" t="e">
        <f t="shared" si="858"/>
        <v>#N/A</v>
      </c>
      <c r="AO1950" s="104" t="e">
        <f t="shared" si="859"/>
        <v>#N/A</v>
      </c>
      <c r="AP1950" s="104" t="e">
        <f t="shared" si="860"/>
        <v>#N/A</v>
      </c>
      <c r="AQ1950" s="104" t="e">
        <f t="shared" si="861"/>
        <v>#N/A</v>
      </c>
      <c r="AR1950" s="105" t="str">
        <f t="shared" si="853"/>
        <v/>
      </c>
      <c r="AS1950" s="105" t="str">
        <f t="shared" si="854"/>
        <v/>
      </c>
      <c r="AT1950" s="108" t="str">
        <f t="shared" si="855"/>
        <v/>
      </c>
      <c r="AU1950" s="108" t="str">
        <f t="shared" si="856"/>
        <v/>
      </c>
      <c r="AV1950" s="107" t="str">
        <f>IF(ISNUMBER(O1950),IF(VLOOKUP($A1950,Stand!C:J,8,FALSE)="Short",AT1950,AU1950),"")</f>
        <v/>
      </c>
      <c r="AW1950" s="109" t="str">
        <f t="shared" si="862"/>
        <v/>
      </c>
      <c r="AX1950" s="109" t="str">
        <f t="shared" si="863"/>
        <v/>
      </c>
      <c r="AY1950" s="112" t="str">
        <f>IF(ISNUMBER(O1950),IF(AND(VLOOKUP($D1950,Merchantability!$B:$C,2,0)="Yes",$E1950&gt;=VLOOKUP($D1950,Merchantability!$B:$D,3,0),$E1950&lt;=VLOOKUP($D1950,Merchantability!$B:$E,4,0)),(AV1950*O1950)*(1-$H1950/100),""),"")</f>
        <v/>
      </c>
      <c r="AZ1950" s="116"/>
      <c r="BA1950" s="116"/>
      <c r="BB1950" s="116"/>
      <c r="BE1950" s="62"/>
      <c r="BF1950" s="63"/>
    </row>
    <row r="1951" spans="1:58" ht="12.75" customHeight="1" x14ac:dyDescent="0.25">
      <c r="A1951" s="334"/>
      <c r="B1951" s="334"/>
      <c r="C1951" s="332"/>
      <c r="D1951" s="334"/>
      <c r="E1951" s="335"/>
      <c r="F1951" s="334"/>
      <c r="G1951" s="332"/>
      <c r="H1951" s="332"/>
      <c r="I1951" s="334"/>
      <c r="J1951" s="336"/>
      <c r="K1951" s="332"/>
      <c r="L1951" s="332"/>
      <c r="M1951" s="76"/>
      <c r="N1951" s="103" t="str">
        <f>IF(A1951="","",VLOOKUP(A1951,Stand!C:K,9,0))</f>
        <v/>
      </c>
      <c r="O1951" s="104" t="str">
        <f t="shared" si="848"/>
        <v/>
      </c>
      <c r="P1951" s="105" t="str">
        <f t="shared" si="849"/>
        <v/>
      </c>
      <c r="Q1951" s="105" t="str">
        <f t="shared" si="864"/>
        <v/>
      </c>
      <c r="R1951" s="103" t="str">
        <f t="shared" si="850"/>
        <v/>
      </c>
      <c r="S1951" s="103" t="str">
        <f t="shared" si="851"/>
        <v/>
      </c>
      <c r="T1951" s="106" t="str">
        <f t="shared" si="865"/>
        <v/>
      </c>
      <c r="U1951" s="106" t="str">
        <f t="shared" si="866"/>
        <v/>
      </c>
      <c r="V1951" s="106" t="str">
        <f t="shared" si="867"/>
        <v/>
      </c>
      <c r="W1951" s="105" t="str">
        <f t="shared" si="852"/>
        <v/>
      </c>
      <c r="X1951" s="104" t="str">
        <f t="shared" si="857"/>
        <v/>
      </c>
      <c r="Y1951" s="104" t="str">
        <f t="array" ref="Y1951">IFERROR(IF(ISNUMBER(O1951),IF(COUNT(IF(A1951=$A$2:$A$2427,IF(D1951=$D$2:$D$2427,IF($X$2:$X$2427&gt;0,1))))&gt;0,SUM(IF(A1951=$A$2:$A$2427,IF(D1951=$D$2:$D$2427,$X$2:$X$2427)))/COUNT(IF(A1951=$A$2:$A$2427,IF(D1951=$D$2:$D$2427,IF(ISNUMBER($X$2:$X$2427),1)))),0),""),0)</f>
        <v/>
      </c>
      <c r="Z1951" s="104" t="str">
        <f>IF(ISNUMBER(O1951),IF(I1951&gt;0,(10^(VLOOKUP(D1951,'Species Codes'!B:C,2,0)+VLOOKUP(D1951,'Species Codes'!B:D,3,0)*LOG(E1951)+VLOOKUP(D1951,'Species Codes'!B:E,4,0)*LOG(I1951))),0),"")</f>
        <v/>
      </c>
      <c r="AA1951" s="104" t="str">
        <f>IFERROR((VLOOKUP(D1951,'Species Codes'!B:G,6,0)*Z1951)/2000,"")</f>
        <v/>
      </c>
      <c r="AB1951" s="104" t="e">
        <f>IF(Z1951&gt;0,((IF(OR(D1951="DF",D1951="RA")=TRUE,EXP(VLOOKUP(D1951,'Species Codes'!B:I,8,0)+VLOOKUP(D1951,'Species Codes'!B:J,9,0)*(LN((E1951*2.54)))),IF(OR(D1951="PY",D1951="RC",D1951="WH",D1951="NF")=TRUE,VLOOKUP(D1951,'Species Codes'!B:I,8,0)+VLOOKUP(D1951,'Species Codes'!B:J,9,0)*((E1951*2.54)^2)*(I1951*0.3048),IF(OR(D1951="MD",D1951="BM",D1951="GA")=TRUE,((VLOOKUP(D1951,'Species Codes'!B:I,8,0)*(((((E1951*2.54)+VLOOKUP(D1951,'Species Codes'!B:J,9,0))/VLOOKUP(D1951,'Species Codes'!B:K,10,0))^VLOOKUP(D1951,'Species Codes'!B:L,11,0))*((I1951*0.3048)^VLOOKUP(D1951,'Species Codes'!B:M,12,0))))-(VLOOKUP(D1951,'Species Codes'!B:I,8,0)*((((E1951*2.54)^VLOOKUP(D1951,'Species Codes'!B:L,11,0))*((I1951*0.3048)^VLOOKUP(D1951,'Species Codes'!B:M,12,0))))))*35.3*VLOOKUP(D1951,'Species Codes'!B:G,6,0)/2.2046,VLOOKUP(D1951,'Species Codes'!B:I,8,0)+VLOOKUP(D1951,'Species Codes'!B:J,9,0)*(((E1951*2.54)/100)^2)*(I1951*0.3048)))))*0.0011023),0)</f>
        <v>#N/A</v>
      </c>
      <c r="AC1951" s="104" t="e">
        <f>IF(Z1951&gt;0,((IF(OR(D1951="RA",D1951="OA",D1951="OT",D1951="UN",D1951="PC"),EXP(VLOOKUP(D1951,'Species Codes'!B:O,14,0)+VLOOKUP(D1951,'Species Codes'!B:P,15,0)*LN((E1951*2.54)))-EXP(VLOOKUP(D1951,'Species Codes'!B:O,14,0)+VLOOKUP(D1951,'Species Codes'!B:P,15,0)*LN((E1951*2.54)))*(1/(VLOOKUP(D1951,'Species Codes'!B:Q,16,0)+VLOOKUP(D1951,'Species Codes'!B:R,17,0)*((E1951*2.54)^VLOOKUP(D1951,'Species Codes'!B:S,18,0)))),IF(OR(D1951="BM",D1951="MD",D1951="OA"),EXP(VLOOKUP(D1951,'Species Codes'!B:O,14,0)+VLOOKUP(D1951,'Species Codes'!B:P,15,0)*LN((E1951*2.54)))*(1-(1/(VLOOKUP(D1951,'Species Codes'!B:Q,16,0)+VLOOKUP(D1951,'Species Codes'!B:R,17,0)*((E1951*2.54)^VLOOKUP(D1951,'Species Codes'!B:S,18,0)))))/1000,IF(D1951="DF",EXP(VLOOKUP(D1951,'Species Codes'!B:O,14,0)+VLOOKUP(D1951,'Species Codes'!B:P,15,0)*LN((E1951*2.54))),VLOOKUP(D1951,'Species Codes'!B:O,14,0)+VLOOKUP(D1951,'Species Codes'!B:P,15,0)*(((E1951*2.54)/100)^2)*(I1951*0.3048)))))*0.0011023),0)</f>
        <v>#N/A</v>
      </c>
      <c r="AD1951" s="104" t="e">
        <f t="shared" si="868"/>
        <v>#N/A</v>
      </c>
      <c r="AE1951" s="104" t="e">
        <f t="shared" si="869"/>
        <v>#N/A</v>
      </c>
      <c r="AF1951" s="104" t="e">
        <f>IF(AND(VLOOKUP($D1951,Merchantability!$B:$C,2,0)="Yes",$E1951&gt;=VLOOKUP($D1951,Merchantability!$B:$D,3,0),$E1951&lt;=VLOOKUP($D1951,Merchantability!$B:$E,4,0)),AA1951,0)</f>
        <v>#N/A</v>
      </c>
      <c r="AG1951" s="104" t="e">
        <f>IF(AND(VLOOKUP($D1951,Merchantability!$B:$C,2,0)="Yes",$E1951&gt;=VLOOKUP($D1951,Merchantability!$B:$D,3,0),$E1951&lt;=VLOOKUP($D1951,Merchantability!$B:$E,4,0)),AB1951,0)</f>
        <v>#N/A</v>
      </c>
      <c r="AH1951" s="104" t="e">
        <f>IF(AND(VLOOKUP($D1951,Merchantability!$B:$C,2,0)="Yes",$E1951&gt;=VLOOKUP($D1951,Merchantability!$B:$D,3,0),$E1951&lt;=VLOOKUP($D1951,Merchantability!$B:$E,4,0)),AC1951,0)</f>
        <v>#N/A</v>
      </c>
      <c r="AI1951" s="104" t="e">
        <f t="shared" si="870"/>
        <v>#N/A</v>
      </c>
      <c r="AJ1951" s="104" t="e">
        <f t="shared" si="871"/>
        <v>#VALUE!</v>
      </c>
      <c r="AK1951" s="104" t="e">
        <f t="shared" si="872"/>
        <v>#N/A</v>
      </c>
      <c r="AL1951" s="104" t="e">
        <f t="shared" si="873"/>
        <v>#N/A</v>
      </c>
      <c r="AM1951" s="104" t="e">
        <f t="shared" si="874"/>
        <v>#N/A</v>
      </c>
      <c r="AN1951" s="104" t="e">
        <f t="shared" si="858"/>
        <v>#N/A</v>
      </c>
      <c r="AO1951" s="104" t="e">
        <f t="shared" si="859"/>
        <v>#N/A</v>
      </c>
      <c r="AP1951" s="104" t="e">
        <f t="shared" si="860"/>
        <v>#N/A</v>
      </c>
      <c r="AQ1951" s="104" t="e">
        <f t="shared" si="861"/>
        <v>#N/A</v>
      </c>
      <c r="AR1951" s="105" t="str">
        <f t="shared" si="853"/>
        <v/>
      </c>
      <c r="AS1951" s="105" t="str">
        <f t="shared" si="854"/>
        <v/>
      </c>
      <c r="AT1951" s="108" t="str">
        <f t="shared" si="855"/>
        <v/>
      </c>
      <c r="AU1951" s="108" t="str">
        <f t="shared" si="856"/>
        <v/>
      </c>
      <c r="AV1951" s="107" t="str">
        <f>IF(ISNUMBER(O1951),IF(VLOOKUP($A1951,Stand!C:J,8,FALSE)="Short",AT1951,AU1951),"")</f>
        <v/>
      </c>
      <c r="AW1951" s="109" t="str">
        <f t="shared" si="862"/>
        <v/>
      </c>
      <c r="AX1951" s="109" t="str">
        <f t="shared" si="863"/>
        <v/>
      </c>
      <c r="AY1951" s="112" t="str">
        <f>IF(ISNUMBER(O1951),IF(AND(VLOOKUP($D1951,Merchantability!$B:$C,2,0)="Yes",$E1951&gt;=VLOOKUP($D1951,Merchantability!$B:$D,3,0),$E1951&lt;=VLOOKUP($D1951,Merchantability!$B:$E,4,0)),(AV1951*O1951)*(1-$H1951/100),""),"")</f>
        <v/>
      </c>
      <c r="AZ1951" s="116"/>
      <c r="BA1951" s="116"/>
      <c r="BB1951" s="116"/>
      <c r="BE1951" s="62"/>
      <c r="BF1951" s="63"/>
    </row>
    <row r="1952" spans="1:58" ht="12.75" customHeight="1" x14ac:dyDescent="0.25">
      <c r="A1952" s="334"/>
      <c r="B1952" s="334"/>
      <c r="C1952" s="332"/>
      <c r="D1952" s="334"/>
      <c r="E1952" s="335"/>
      <c r="F1952" s="334"/>
      <c r="G1952" s="332"/>
      <c r="H1952" s="332"/>
      <c r="I1952" s="334"/>
      <c r="J1952" s="336"/>
      <c r="K1952" s="332"/>
      <c r="L1952" s="332"/>
      <c r="M1952" s="76"/>
      <c r="N1952" s="103" t="str">
        <f>IF(A1952="","",VLOOKUP(A1952,Stand!C:K,9,0))</f>
        <v/>
      </c>
      <c r="O1952" s="104" t="str">
        <f t="shared" si="848"/>
        <v/>
      </c>
      <c r="P1952" s="105" t="str">
        <f t="shared" si="849"/>
        <v/>
      </c>
      <c r="Q1952" s="105" t="str">
        <f t="shared" si="864"/>
        <v/>
      </c>
      <c r="R1952" s="103" t="str">
        <f t="shared" si="850"/>
        <v/>
      </c>
      <c r="S1952" s="103" t="str">
        <f t="shared" si="851"/>
        <v/>
      </c>
      <c r="T1952" s="106" t="str">
        <f t="shared" si="865"/>
        <v/>
      </c>
      <c r="U1952" s="106" t="str">
        <f t="shared" si="866"/>
        <v/>
      </c>
      <c r="V1952" s="106" t="str">
        <f t="shared" si="867"/>
        <v/>
      </c>
      <c r="W1952" s="105" t="str">
        <f t="shared" si="852"/>
        <v/>
      </c>
      <c r="X1952" s="104" t="str">
        <f t="shared" si="857"/>
        <v/>
      </c>
      <c r="Y1952" s="104" t="str">
        <f t="array" ref="Y1952">IFERROR(IF(ISNUMBER(O1952),IF(COUNT(IF(A1952=$A$2:$A$2427,IF(D1952=$D$2:$D$2427,IF($X$2:$X$2427&gt;0,1))))&gt;0,SUM(IF(A1952=$A$2:$A$2427,IF(D1952=$D$2:$D$2427,$X$2:$X$2427)))/COUNT(IF(A1952=$A$2:$A$2427,IF(D1952=$D$2:$D$2427,IF(ISNUMBER($X$2:$X$2427),1)))),0),""),0)</f>
        <v/>
      </c>
      <c r="Z1952" s="104" t="str">
        <f>IF(ISNUMBER(O1952),IF(I1952&gt;0,(10^(VLOOKUP(D1952,'Species Codes'!B:C,2,0)+VLOOKUP(D1952,'Species Codes'!B:D,3,0)*LOG(E1952)+VLOOKUP(D1952,'Species Codes'!B:E,4,0)*LOG(I1952))),0),"")</f>
        <v/>
      </c>
      <c r="AA1952" s="104" t="str">
        <f>IFERROR((VLOOKUP(D1952,'Species Codes'!B:G,6,0)*Z1952)/2000,"")</f>
        <v/>
      </c>
      <c r="AB1952" s="104" t="e">
        <f>IF(Z1952&gt;0,((IF(OR(D1952="DF",D1952="RA")=TRUE,EXP(VLOOKUP(D1952,'Species Codes'!B:I,8,0)+VLOOKUP(D1952,'Species Codes'!B:J,9,0)*(LN((E1952*2.54)))),IF(OR(D1952="PY",D1952="RC",D1952="WH",D1952="NF")=TRUE,VLOOKUP(D1952,'Species Codes'!B:I,8,0)+VLOOKUP(D1952,'Species Codes'!B:J,9,0)*((E1952*2.54)^2)*(I1952*0.3048),IF(OR(D1952="MD",D1952="BM",D1952="GA")=TRUE,((VLOOKUP(D1952,'Species Codes'!B:I,8,0)*(((((E1952*2.54)+VLOOKUP(D1952,'Species Codes'!B:J,9,0))/VLOOKUP(D1952,'Species Codes'!B:K,10,0))^VLOOKUP(D1952,'Species Codes'!B:L,11,0))*((I1952*0.3048)^VLOOKUP(D1952,'Species Codes'!B:M,12,0))))-(VLOOKUP(D1952,'Species Codes'!B:I,8,0)*((((E1952*2.54)^VLOOKUP(D1952,'Species Codes'!B:L,11,0))*((I1952*0.3048)^VLOOKUP(D1952,'Species Codes'!B:M,12,0))))))*35.3*VLOOKUP(D1952,'Species Codes'!B:G,6,0)/2.2046,VLOOKUP(D1952,'Species Codes'!B:I,8,0)+VLOOKUP(D1952,'Species Codes'!B:J,9,0)*(((E1952*2.54)/100)^2)*(I1952*0.3048)))))*0.0011023),0)</f>
        <v>#N/A</v>
      </c>
      <c r="AC1952" s="104" t="e">
        <f>IF(Z1952&gt;0,((IF(OR(D1952="RA",D1952="OA",D1952="OT",D1952="UN",D1952="PC"),EXP(VLOOKUP(D1952,'Species Codes'!B:O,14,0)+VLOOKUP(D1952,'Species Codes'!B:P,15,0)*LN((E1952*2.54)))-EXP(VLOOKUP(D1952,'Species Codes'!B:O,14,0)+VLOOKUP(D1952,'Species Codes'!B:P,15,0)*LN((E1952*2.54)))*(1/(VLOOKUP(D1952,'Species Codes'!B:Q,16,0)+VLOOKUP(D1952,'Species Codes'!B:R,17,0)*((E1952*2.54)^VLOOKUP(D1952,'Species Codes'!B:S,18,0)))),IF(OR(D1952="BM",D1952="MD",D1952="OA"),EXP(VLOOKUP(D1952,'Species Codes'!B:O,14,0)+VLOOKUP(D1952,'Species Codes'!B:P,15,0)*LN((E1952*2.54)))*(1-(1/(VLOOKUP(D1952,'Species Codes'!B:Q,16,0)+VLOOKUP(D1952,'Species Codes'!B:R,17,0)*((E1952*2.54)^VLOOKUP(D1952,'Species Codes'!B:S,18,0)))))/1000,IF(D1952="DF",EXP(VLOOKUP(D1952,'Species Codes'!B:O,14,0)+VLOOKUP(D1952,'Species Codes'!B:P,15,0)*LN((E1952*2.54))),VLOOKUP(D1952,'Species Codes'!B:O,14,0)+VLOOKUP(D1952,'Species Codes'!B:P,15,0)*(((E1952*2.54)/100)^2)*(I1952*0.3048)))))*0.0011023),0)</f>
        <v>#N/A</v>
      </c>
      <c r="AD1952" s="104" t="e">
        <f t="shared" si="868"/>
        <v>#N/A</v>
      </c>
      <c r="AE1952" s="104" t="e">
        <f t="shared" si="869"/>
        <v>#N/A</v>
      </c>
      <c r="AF1952" s="104" t="e">
        <f>IF(AND(VLOOKUP($D1952,Merchantability!$B:$C,2,0)="Yes",$E1952&gt;=VLOOKUP($D1952,Merchantability!$B:$D,3,0),$E1952&lt;=VLOOKUP($D1952,Merchantability!$B:$E,4,0)),AA1952,0)</f>
        <v>#N/A</v>
      </c>
      <c r="AG1952" s="104" t="e">
        <f>IF(AND(VLOOKUP($D1952,Merchantability!$B:$C,2,0)="Yes",$E1952&gt;=VLOOKUP($D1952,Merchantability!$B:$D,3,0),$E1952&lt;=VLOOKUP($D1952,Merchantability!$B:$E,4,0)),AB1952,0)</f>
        <v>#N/A</v>
      </c>
      <c r="AH1952" s="104" t="e">
        <f>IF(AND(VLOOKUP($D1952,Merchantability!$B:$C,2,0)="Yes",$E1952&gt;=VLOOKUP($D1952,Merchantability!$B:$D,3,0),$E1952&lt;=VLOOKUP($D1952,Merchantability!$B:$E,4,0)),AC1952,0)</f>
        <v>#N/A</v>
      </c>
      <c r="AI1952" s="104" t="e">
        <f t="shared" si="870"/>
        <v>#N/A</v>
      </c>
      <c r="AJ1952" s="104" t="e">
        <f t="shared" si="871"/>
        <v>#VALUE!</v>
      </c>
      <c r="AK1952" s="104" t="e">
        <f t="shared" si="872"/>
        <v>#N/A</v>
      </c>
      <c r="AL1952" s="104" t="e">
        <f t="shared" si="873"/>
        <v>#N/A</v>
      </c>
      <c r="AM1952" s="104" t="e">
        <f t="shared" si="874"/>
        <v>#N/A</v>
      </c>
      <c r="AN1952" s="104" t="e">
        <f t="shared" si="858"/>
        <v>#N/A</v>
      </c>
      <c r="AO1952" s="104" t="e">
        <f t="shared" si="859"/>
        <v>#N/A</v>
      </c>
      <c r="AP1952" s="104" t="e">
        <f t="shared" si="860"/>
        <v>#N/A</v>
      </c>
      <c r="AQ1952" s="104" t="e">
        <f t="shared" si="861"/>
        <v>#N/A</v>
      </c>
      <c r="AR1952" s="105" t="str">
        <f t="shared" si="853"/>
        <v/>
      </c>
      <c r="AS1952" s="105" t="str">
        <f t="shared" si="854"/>
        <v/>
      </c>
      <c r="AT1952" s="108" t="str">
        <f t="shared" si="855"/>
        <v/>
      </c>
      <c r="AU1952" s="108" t="str">
        <f t="shared" si="856"/>
        <v/>
      </c>
      <c r="AV1952" s="107" t="str">
        <f>IF(ISNUMBER(O1952),IF(VLOOKUP($A1952,Stand!C:J,8,FALSE)="Short",AT1952,AU1952),"")</f>
        <v/>
      </c>
      <c r="AW1952" s="109" t="str">
        <f t="shared" si="862"/>
        <v/>
      </c>
      <c r="AX1952" s="109" t="str">
        <f t="shared" si="863"/>
        <v/>
      </c>
      <c r="AY1952" s="112" t="str">
        <f>IF(ISNUMBER(O1952),IF(AND(VLOOKUP($D1952,Merchantability!$B:$C,2,0)="Yes",$E1952&gt;=VLOOKUP($D1952,Merchantability!$B:$D,3,0),$E1952&lt;=VLOOKUP($D1952,Merchantability!$B:$E,4,0)),(AV1952*O1952)*(1-$H1952/100),""),"")</f>
        <v/>
      </c>
      <c r="AZ1952" s="116"/>
      <c r="BA1952" s="116"/>
      <c r="BB1952" s="116"/>
      <c r="BE1952" s="62"/>
      <c r="BF1952" s="63"/>
    </row>
    <row r="1953" spans="1:58" ht="12.75" customHeight="1" x14ac:dyDescent="0.25">
      <c r="A1953" s="334"/>
      <c r="B1953" s="334"/>
      <c r="C1953" s="332"/>
      <c r="D1953" s="334"/>
      <c r="E1953" s="335"/>
      <c r="F1953" s="334"/>
      <c r="G1953" s="332"/>
      <c r="H1953" s="332"/>
      <c r="I1953" s="334"/>
      <c r="J1953" s="336"/>
      <c r="K1953" s="332"/>
      <c r="L1953" s="332"/>
      <c r="M1953" s="76"/>
      <c r="N1953" s="103" t="str">
        <f>IF(A1953="","",VLOOKUP(A1953,Stand!C:K,9,0))</f>
        <v/>
      </c>
      <c r="O1953" s="104" t="str">
        <f t="shared" si="848"/>
        <v/>
      </c>
      <c r="P1953" s="105" t="str">
        <f t="shared" si="849"/>
        <v/>
      </c>
      <c r="Q1953" s="105" t="str">
        <f t="shared" si="864"/>
        <v/>
      </c>
      <c r="R1953" s="103" t="str">
        <f t="shared" si="850"/>
        <v/>
      </c>
      <c r="S1953" s="103" t="str">
        <f t="shared" si="851"/>
        <v/>
      </c>
      <c r="T1953" s="106" t="str">
        <f t="shared" si="865"/>
        <v/>
      </c>
      <c r="U1953" s="106" t="str">
        <f t="shared" si="866"/>
        <v/>
      </c>
      <c r="V1953" s="106" t="str">
        <f t="shared" si="867"/>
        <v/>
      </c>
      <c r="W1953" s="105" t="str">
        <f t="shared" si="852"/>
        <v/>
      </c>
      <c r="X1953" s="104" t="str">
        <f t="shared" si="857"/>
        <v/>
      </c>
      <c r="Y1953" s="104" t="str">
        <f t="array" ref="Y1953">IFERROR(IF(ISNUMBER(O1953),IF(COUNT(IF(A1953=$A$2:$A$2427,IF(D1953=$D$2:$D$2427,IF($X$2:$X$2427&gt;0,1))))&gt;0,SUM(IF(A1953=$A$2:$A$2427,IF(D1953=$D$2:$D$2427,$X$2:$X$2427)))/COUNT(IF(A1953=$A$2:$A$2427,IF(D1953=$D$2:$D$2427,IF(ISNUMBER($X$2:$X$2427),1)))),0),""),0)</f>
        <v/>
      </c>
      <c r="Z1953" s="104" t="str">
        <f>IF(ISNUMBER(O1953),IF(I1953&gt;0,(10^(VLOOKUP(D1953,'Species Codes'!B:C,2,0)+VLOOKUP(D1953,'Species Codes'!B:D,3,0)*LOG(E1953)+VLOOKUP(D1953,'Species Codes'!B:E,4,0)*LOG(I1953))),0),"")</f>
        <v/>
      </c>
      <c r="AA1953" s="104" t="str">
        <f>IFERROR((VLOOKUP(D1953,'Species Codes'!B:G,6,0)*Z1953)/2000,"")</f>
        <v/>
      </c>
      <c r="AB1953" s="104" t="e">
        <f>IF(Z1953&gt;0,((IF(OR(D1953="DF",D1953="RA")=TRUE,EXP(VLOOKUP(D1953,'Species Codes'!B:I,8,0)+VLOOKUP(D1953,'Species Codes'!B:J,9,0)*(LN((E1953*2.54)))),IF(OR(D1953="PY",D1953="RC",D1953="WH",D1953="NF")=TRUE,VLOOKUP(D1953,'Species Codes'!B:I,8,0)+VLOOKUP(D1953,'Species Codes'!B:J,9,0)*((E1953*2.54)^2)*(I1953*0.3048),IF(OR(D1953="MD",D1953="BM",D1953="GA")=TRUE,((VLOOKUP(D1953,'Species Codes'!B:I,8,0)*(((((E1953*2.54)+VLOOKUP(D1953,'Species Codes'!B:J,9,0))/VLOOKUP(D1953,'Species Codes'!B:K,10,0))^VLOOKUP(D1953,'Species Codes'!B:L,11,0))*((I1953*0.3048)^VLOOKUP(D1953,'Species Codes'!B:M,12,0))))-(VLOOKUP(D1953,'Species Codes'!B:I,8,0)*((((E1953*2.54)^VLOOKUP(D1953,'Species Codes'!B:L,11,0))*((I1953*0.3048)^VLOOKUP(D1953,'Species Codes'!B:M,12,0))))))*35.3*VLOOKUP(D1953,'Species Codes'!B:G,6,0)/2.2046,VLOOKUP(D1953,'Species Codes'!B:I,8,0)+VLOOKUP(D1953,'Species Codes'!B:J,9,0)*(((E1953*2.54)/100)^2)*(I1953*0.3048)))))*0.0011023),0)</f>
        <v>#N/A</v>
      </c>
      <c r="AC1953" s="104" t="e">
        <f>IF(Z1953&gt;0,((IF(OR(D1953="RA",D1953="OA",D1953="OT",D1953="UN",D1953="PC"),EXP(VLOOKUP(D1953,'Species Codes'!B:O,14,0)+VLOOKUP(D1953,'Species Codes'!B:P,15,0)*LN((E1953*2.54)))-EXP(VLOOKUP(D1953,'Species Codes'!B:O,14,0)+VLOOKUP(D1953,'Species Codes'!B:P,15,0)*LN((E1953*2.54)))*(1/(VLOOKUP(D1953,'Species Codes'!B:Q,16,0)+VLOOKUP(D1953,'Species Codes'!B:R,17,0)*((E1953*2.54)^VLOOKUP(D1953,'Species Codes'!B:S,18,0)))),IF(OR(D1953="BM",D1953="MD",D1953="OA"),EXP(VLOOKUP(D1953,'Species Codes'!B:O,14,0)+VLOOKUP(D1953,'Species Codes'!B:P,15,0)*LN((E1953*2.54)))*(1-(1/(VLOOKUP(D1953,'Species Codes'!B:Q,16,0)+VLOOKUP(D1953,'Species Codes'!B:R,17,0)*((E1953*2.54)^VLOOKUP(D1953,'Species Codes'!B:S,18,0)))))/1000,IF(D1953="DF",EXP(VLOOKUP(D1953,'Species Codes'!B:O,14,0)+VLOOKUP(D1953,'Species Codes'!B:P,15,0)*LN((E1953*2.54))),VLOOKUP(D1953,'Species Codes'!B:O,14,0)+VLOOKUP(D1953,'Species Codes'!B:P,15,0)*(((E1953*2.54)/100)^2)*(I1953*0.3048)))))*0.0011023),0)</f>
        <v>#N/A</v>
      </c>
      <c r="AD1953" s="104" t="e">
        <f t="shared" si="868"/>
        <v>#N/A</v>
      </c>
      <c r="AE1953" s="104" t="e">
        <f t="shared" si="869"/>
        <v>#N/A</v>
      </c>
      <c r="AF1953" s="104" t="e">
        <f>IF(AND(VLOOKUP($D1953,Merchantability!$B:$C,2,0)="Yes",$E1953&gt;=VLOOKUP($D1953,Merchantability!$B:$D,3,0),$E1953&lt;=VLOOKUP($D1953,Merchantability!$B:$E,4,0)),AA1953,0)</f>
        <v>#N/A</v>
      </c>
      <c r="AG1953" s="104" t="e">
        <f>IF(AND(VLOOKUP($D1953,Merchantability!$B:$C,2,0)="Yes",$E1953&gt;=VLOOKUP($D1953,Merchantability!$B:$D,3,0),$E1953&lt;=VLOOKUP($D1953,Merchantability!$B:$E,4,0)),AB1953,0)</f>
        <v>#N/A</v>
      </c>
      <c r="AH1953" s="104" t="e">
        <f>IF(AND(VLOOKUP($D1953,Merchantability!$B:$C,2,0)="Yes",$E1953&gt;=VLOOKUP($D1953,Merchantability!$B:$D,3,0),$E1953&lt;=VLOOKUP($D1953,Merchantability!$B:$E,4,0)),AC1953,0)</f>
        <v>#N/A</v>
      </c>
      <c r="AI1953" s="104" t="e">
        <f t="shared" si="870"/>
        <v>#N/A</v>
      </c>
      <c r="AJ1953" s="104" t="e">
        <f t="shared" si="871"/>
        <v>#VALUE!</v>
      </c>
      <c r="AK1953" s="104" t="e">
        <f t="shared" si="872"/>
        <v>#N/A</v>
      </c>
      <c r="AL1953" s="104" t="e">
        <f t="shared" si="873"/>
        <v>#N/A</v>
      </c>
      <c r="AM1953" s="104" t="e">
        <f t="shared" si="874"/>
        <v>#N/A</v>
      </c>
      <c r="AN1953" s="104" t="e">
        <f t="shared" si="858"/>
        <v>#N/A</v>
      </c>
      <c r="AO1953" s="104" t="e">
        <f t="shared" si="859"/>
        <v>#N/A</v>
      </c>
      <c r="AP1953" s="104" t="e">
        <f t="shared" si="860"/>
        <v>#N/A</v>
      </c>
      <c r="AQ1953" s="104" t="e">
        <f t="shared" si="861"/>
        <v>#N/A</v>
      </c>
      <c r="AR1953" s="105" t="str">
        <f t="shared" si="853"/>
        <v/>
      </c>
      <c r="AS1953" s="105" t="str">
        <f t="shared" si="854"/>
        <v/>
      </c>
      <c r="AT1953" s="108" t="str">
        <f t="shared" si="855"/>
        <v/>
      </c>
      <c r="AU1953" s="108" t="str">
        <f t="shared" si="856"/>
        <v/>
      </c>
      <c r="AV1953" s="107" t="str">
        <f>IF(ISNUMBER(O1953),IF(VLOOKUP($A1953,Stand!C:J,8,FALSE)="Short",AT1953,AU1953),"")</f>
        <v/>
      </c>
      <c r="AW1953" s="109" t="str">
        <f t="shared" si="862"/>
        <v/>
      </c>
      <c r="AX1953" s="109" t="str">
        <f t="shared" si="863"/>
        <v/>
      </c>
      <c r="AY1953" s="112" t="str">
        <f>IF(ISNUMBER(O1953),IF(AND(VLOOKUP($D1953,Merchantability!$B:$C,2,0)="Yes",$E1953&gt;=VLOOKUP($D1953,Merchantability!$B:$D,3,0),$E1953&lt;=VLOOKUP($D1953,Merchantability!$B:$E,4,0)),(AV1953*O1953)*(1-$H1953/100),""),"")</f>
        <v/>
      </c>
      <c r="AZ1953" s="116"/>
      <c r="BA1953" s="116"/>
      <c r="BB1953" s="116"/>
      <c r="BE1953" s="62"/>
      <c r="BF1953" s="63"/>
    </row>
    <row r="1954" spans="1:58" ht="12.75" customHeight="1" x14ac:dyDescent="0.25">
      <c r="A1954" s="334"/>
      <c r="B1954" s="334"/>
      <c r="C1954" s="332"/>
      <c r="D1954" s="334"/>
      <c r="E1954" s="335"/>
      <c r="F1954" s="334"/>
      <c r="G1954" s="332"/>
      <c r="H1954" s="332"/>
      <c r="I1954" s="334"/>
      <c r="J1954" s="336"/>
      <c r="K1954" s="332"/>
      <c r="L1954" s="332"/>
      <c r="M1954" s="76"/>
      <c r="N1954" s="103" t="str">
        <f>IF(A1954="","",VLOOKUP(A1954,Stand!C:K,9,0))</f>
        <v/>
      </c>
      <c r="O1954" s="104" t="str">
        <f t="shared" si="848"/>
        <v/>
      </c>
      <c r="P1954" s="105" t="str">
        <f t="shared" si="849"/>
        <v/>
      </c>
      <c r="Q1954" s="105" t="str">
        <f t="shared" si="864"/>
        <v/>
      </c>
      <c r="R1954" s="103" t="str">
        <f t="shared" si="850"/>
        <v/>
      </c>
      <c r="S1954" s="103" t="str">
        <f t="shared" si="851"/>
        <v/>
      </c>
      <c r="T1954" s="106" t="str">
        <f t="shared" si="865"/>
        <v/>
      </c>
      <c r="U1954" s="106" t="str">
        <f t="shared" si="866"/>
        <v/>
      </c>
      <c r="V1954" s="106" t="str">
        <f t="shared" si="867"/>
        <v/>
      </c>
      <c r="W1954" s="105" t="str">
        <f t="shared" si="852"/>
        <v/>
      </c>
      <c r="X1954" s="104" t="str">
        <f t="shared" si="857"/>
        <v/>
      </c>
      <c r="Y1954" s="104" t="str">
        <f t="array" ref="Y1954">IFERROR(IF(ISNUMBER(O1954),IF(COUNT(IF(A1954=$A$2:$A$2427,IF(D1954=$D$2:$D$2427,IF($X$2:$X$2427&gt;0,1))))&gt;0,SUM(IF(A1954=$A$2:$A$2427,IF(D1954=$D$2:$D$2427,$X$2:$X$2427)))/COUNT(IF(A1954=$A$2:$A$2427,IF(D1954=$D$2:$D$2427,IF(ISNUMBER($X$2:$X$2427),1)))),0),""),0)</f>
        <v/>
      </c>
      <c r="Z1954" s="104" t="str">
        <f>IF(ISNUMBER(O1954),IF(I1954&gt;0,(10^(VLOOKUP(D1954,'Species Codes'!B:C,2,0)+VLOOKUP(D1954,'Species Codes'!B:D,3,0)*LOG(E1954)+VLOOKUP(D1954,'Species Codes'!B:E,4,0)*LOG(I1954))),0),"")</f>
        <v/>
      </c>
      <c r="AA1954" s="104" t="str">
        <f>IFERROR((VLOOKUP(D1954,'Species Codes'!B:G,6,0)*Z1954)/2000,"")</f>
        <v/>
      </c>
      <c r="AB1954" s="104" t="e">
        <f>IF(Z1954&gt;0,((IF(OR(D1954="DF",D1954="RA")=TRUE,EXP(VLOOKUP(D1954,'Species Codes'!B:I,8,0)+VLOOKUP(D1954,'Species Codes'!B:J,9,0)*(LN((E1954*2.54)))),IF(OR(D1954="PY",D1954="RC",D1954="WH",D1954="NF")=TRUE,VLOOKUP(D1954,'Species Codes'!B:I,8,0)+VLOOKUP(D1954,'Species Codes'!B:J,9,0)*((E1954*2.54)^2)*(I1954*0.3048),IF(OR(D1954="MD",D1954="BM",D1954="GA")=TRUE,((VLOOKUP(D1954,'Species Codes'!B:I,8,0)*(((((E1954*2.54)+VLOOKUP(D1954,'Species Codes'!B:J,9,0))/VLOOKUP(D1954,'Species Codes'!B:K,10,0))^VLOOKUP(D1954,'Species Codes'!B:L,11,0))*((I1954*0.3048)^VLOOKUP(D1954,'Species Codes'!B:M,12,0))))-(VLOOKUP(D1954,'Species Codes'!B:I,8,0)*((((E1954*2.54)^VLOOKUP(D1954,'Species Codes'!B:L,11,0))*((I1954*0.3048)^VLOOKUP(D1954,'Species Codes'!B:M,12,0))))))*35.3*VLOOKUP(D1954,'Species Codes'!B:G,6,0)/2.2046,VLOOKUP(D1954,'Species Codes'!B:I,8,0)+VLOOKUP(D1954,'Species Codes'!B:J,9,0)*(((E1954*2.54)/100)^2)*(I1954*0.3048)))))*0.0011023),0)</f>
        <v>#N/A</v>
      </c>
      <c r="AC1954" s="104" t="e">
        <f>IF(Z1954&gt;0,((IF(OR(D1954="RA",D1954="OA",D1954="OT",D1954="UN",D1954="PC"),EXP(VLOOKUP(D1954,'Species Codes'!B:O,14,0)+VLOOKUP(D1954,'Species Codes'!B:P,15,0)*LN((E1954*2.54)))-EXP(VLOOKUP(D1954,'Species Codes'!B:O,14,0)+VLOOKUP(D1954,'Species Codes'!B:P,15,0)*LN((E1954*2.54)))*(1/(VLOOKUP(D1954,'Species Codes'!B:Q,16,0)+VLOOKUP(D1954,'Species Codes'!B:R,17,0)*((E1954*2.54)^VLOOKUP(D1954,'Species Codes'!B:S,18,0)))),IF(OR(D1954="BM",D1954="MD",D1954="OA"),EXP(VLOOKUP(D1954,'Species Codes'!B:O,14,0)+VLOOKUP(D1954,'Species Codes'!B:P,15,0)*LN((E1954*2.54)))*(1-(1/(VLOOKUP(D1954,'Species Codes'!B:Q,16,0)+VLOOKUP(D1954,'Species Codes'!B:R,17,0)*((E1954*2.54)^VLOOKUP(D1954,'Species Codes'!B:S,18,0)))))/1000,IF(D1954="DF",EXP(VLOOKUP(D1954,'Species Codes'!B:O,14,0)+VLOOKUP(D1954,'Species Codes'!B:P,15,0)*LN((E1954*2.54))),VLOOKUP(D1954,'Species Codes'!B:O,14,0)+VLOOKUP(D1954,'Species Codes'!B:P,15,0)*(((E1954*2.54)/100)^2)*(I1954*0.3048)))))*0.0011023),0)</f>
        <v>#N/A</v>
      </c>
      <c r="AD1954" s="104" t="e">
        <f t="shared" si="868"/>
        <v>#N/A</v>
      </c>
      <c r="AE1954" s="104" t="e">
        <f t="shared" si="869"/>
        <v>#N/A</v>
      </c>
      <c r="AF1954" s="104" t="e">
        <f>IF(AND(VLOOKUP($D1954,Merchantability!$B:$C,2,0)="Yes",$E1954&gt;=VLOOKUP($D1954,Merchantability!$B:$D,3,0),$E1954&lt;=VLOOKUP($D1954,Merchantability!$B:$E,4,0)),AA1954,0)</f>
        <v>#N/A</v>
      </c>
      <c r="AG1954" s="104" t="e">
        <f>IF(AND(VLOOKUP($D1954,Merchantability!$B:$C,2,0)="Yes",$E1954&gt;=VLOOKUP($D1954,Merchantability!$B:$D,3,0),$E1954&lt;=VLOOKUP($D1954,Merchantability!$B:$E,4,0)),AB1954,0)</f>
        <v>#N/A</v>
      </c>
      <c r="AH1954" s="104" t="e">
        <f>IF(AND(VLOOKUP($D1954,Merchantability!$B:$C,2,0)="Yes",$E1954&gt;=VLOOKUP($D1954,Merchantability!$B:$D,3,0),$E1954&lt;=VLOOKUP($D1954,Merchantability!$B:$E,4,0)),AC1954,0)</f>
        <v>#N/A</v>
      </c>
      <c r="AI1954" s="104" t="e">
        <f t="shared" si="870"/>
        <v>#N/A</v>
      </c>
      <c r="AJ1954" s="104" t="e">
        <f t="shared" si="871"/>
        <v>#VALUE!</v>
      </c>
      <c r="AK1954" s="104" t="e">
        <f t="shared" si="872"/>
        <v>#N/A</v>
      </c>
      <c r="AL1954" s="104" t="e">
        <f t="shared" si="873"/>
        <v>#N/A</v>
      </c>
      <c r="AM1954" s="104" t="e">
        <f t="shared" si="874"/>
        <v>#N/A</v>
      </c>
      <c r="AN1954" s="104" t="e">
        <f t="shared" si="858"/>
        <v>#N/A</v>
      </c>
      <c r="AO1954" s="104" t="e">
        <f t="shared" si="859"/>
        <v>#N/A</v>
      </c>
      <c r="AP1954" s="104" t="e">
        <f t="shared" si="860"/>
        <v>#N/A</v>
      </c>
      <c r="AQ1954" s="104" t="e">
        <f t="shared" si="861"/>
        <v>#N/A</v>
      </c>
      <c r="AR1954" s="105" t="str">
        <f t="shared" si="853"/>
        <v/>
      </c>
      <c r="AS1954" s="105" t="str">
        <f t="shared" si="854"/>
        <v/>
      </c>
      <c r="AT1954" s="108" t="str">
        <f t="shared" si="855"/>
        <v/>
      </c>
      <c r="AU1954" s="108" t="str">
        <f t="shared" si="856"/>
        <v/>
      </c>
      <c r="AV1954" s="107" t="str">
        <f>IF(ISNUMBER(O1954),IF(VLOOKUP($A1954,Stand!C:J,8,FALSE)="Short",AT1954,AU1954),"")</f>
        <v/>
      </c>
      <c r="AW1954" s="109" t="str">
        <f t="shared" si="862"/>
        <v/>
      </c>
      <c r="AX1954" s="109" t="str">
        <f t="shared" si="863"/>
        <v/>
      </c>
      <c r="AY1954" s="112" t="str">
        <f>IF(ISNUMBER(O1954),IF(AND(VLOOKUP($D1954,Merchantability!$B:$C,2,0)="Yes",$E1954&gt;=VLOOKUP($D1954,Merchantability!$B:$D,3,0),$E1954&lt;=VLOOKUP($D1954,Merchantability!$B:$E,4,0)),(AV1954*O1954)*(1-$H1954/100),""),"")</f>
        <v/>
      </c>
      <c r="AZ1954" s="116"/>
      <c r="BA1954" s="116"/>
      <c r="BB1954" s="116"/>
      <c r="BE1954" s="62"/>
      <c r="BF1954" s="63"/>
    </row>
    <row r="1955" spans="1:58" ht="12.75" customHeight="1" x14ac:dyDescent="0.25">
      <c r="A1955" s="334"/>
      <c r="B1955" s="334"/>
      <c r="C1955" s="332"/>
      <c r="D1955" s="334"/>
      <c r="E1955" s="335"/>
      <c r="F1955" s="334"/>
      <c r="G1955" s="332"/>
      <c r="H1955" s="332"/>
      <c r="I1955" s="334"/>
      <c r="J1955" s="336"/>
      <c r="K1955" s="332"/>
      <c r="L1955" s="332"/>
      <c r="M1955" s="76"/>
      <c r="N1955" s="103" t="str">
        <f>IF(A1955="","",VLOOKUP(A1955,Stand!C:K,9,0))</f>
        <v/>
      </c>
      <c r="O1955" s="104" t="str">
        <f t="shared" si="848"/>
        <v/>
      </c>
      <c r="P1955" s="105" t="str">
        <f t="shared" si="849"/>
        <v/>
      </c>
      <c r="Q1955" s="105" t="str">
        <f t="shared" si="864"/>
        <v/>
      </c>
      <c r="R1955" s="103" t="str">
        <f t="shared" si="850"/>
        <v/>
      </c>
      <c r="S1955" s="103" t="str">
        <f t="shared" si="851"/>
        <v/>
      </c>
      <c r="T1955" s="106" t="str">
        <f t="shared" si="865"/>
        <v/>
      </c>
      <c r="U1955" s="106" t="str">
        <f t="shared" si="866"/>
        <v/>
      </c>
      <c r="V1955" s="106" t="str">
        <f t="shared" si="867"/>
        <v/>
      </c>
      <c r="W1955" s="105" t="str">
        <f t="shared" si="852"/>
        <v/>
      </c>
      <c r="X1955" s="104" t="str">
        <f t="shared" si="857"/>
        <v/>
      </c>
      <c r="Y1955" s="104" t="str">
        <f t="array" ref="Y1955">IFERROR(IF(ISNUMBER(O1955),IF(COUNT(IF(A1955=$A$2:$A$2427,IF(D1955=$D$2:$D$2427,IF($X$2:$X$2427&gt;0,1))))&gt;0,SUM(IF(A1955=$A$2:$A$2427,IF(D1955=$D$2:$D$2427,$X$2:$X$2427)))/COUNT(IF(A1955=$A$2:$A$2427,IF(D1955=$D$2:$D$2427,IF(ISNUMBER($X$2:$X$2427),1)))),0),""),0)</f>
        <v/>
      </c>
      <c r="Z1955" s="104" t="str">
        <f>IF(ISNUMBER(O1955),IF(I1955&gt;0,(10^(VLOOKUP(D1955,'Species Codes'!B:C,2,0)+VLOOKUP(D1955,'Species Codes'!B:D,3,0)*LOG(E1955)+VLOOKUP(D1955,'Species Codes'!B:E,4,0)*LOG(I1955))),0),"")</f>
        <v/>
      </c>
      <c r="AA1955" s="104" t="str">
        <f>IFERROR((VLOOKUP(D1955,'Species Codes'!B:G,6,0)*Z1955)/2000,"")</f>
        <v/>
      </c>
      <c r="AB1955" s="104" t="e">
        <f>IF(Z1955&gt;0,((IF(OR(D1955="DF",D1955="RA")=TRUE,EXP(VLOOKUP(D1955,'Species Codes'!B:I,8,0)+VLOOKUP(D1955,'Species Codes'!B:J,9,0)*(LN((E1955*2.54)))),IF(OR(D1955="PY",D1955="RC",D1955="WH",D1955="NF")=TRUE,VLOOKUP(D1955,'Species Codes'!B:I,8,0)+VLOOKUP(D1955,'Species Codes'!B:J,9,0)*((E1955*2.54)^2)*(I1955*0.3048),IF(OR(D1955="MD",D1955="BM",D1955="GA")=TRUE,((VLOOKUP(D1955,'Species Codes'!B:I,8,0)*(((((E1955*2.54)+VLOOKUP(D1955,'Species Codes'!B:J,9,0))/VLOOKUP(D1955,'Species Codes'!B:K,10,0))^VLOOKUP(D1955,'Species Codes'!B:L,11,0))*((I1955*0.3048)^VLOOKUP(D1955,'Species Codes'!B:M,12,0))))-(VLOOKUP(D1955,'Species Codes'!B:I,8,0)*((((E1955*2.54)^VLOOKUP(D1955,'Species Codes'!B:L,11,0))*((I1955*0.3048)^VLOOKUP(D1955,'Species Codes'!B:M,12,0))))))*35.3*VLOOKUP(D1955,'Species Codes'!B:G,6,0)/2.2046,VLOOKUP(D1955,'Species Codes'!B:I,8,0)+VLOOKUP(D1955,'Species Codes'!B:J,9,0)*(((E1955*2.54)/100)^2)*(I1955*0.3048)))))*0.0011023),0)</f>
        <v>#N/A</v>
      </c>
      <c r="AC1955" s="104" t="e">
        <f>IF(Z1955&gt;0,((IF(OR(D1955="RA",D1955="OA",D1955="OT",D1955="UN",D1955="PC"),EXP(VLOOKUP(D1955,'Species Codes'!B:O,14,0)+VLOOKUP(D1955,'Species Codes'!B:P,15,0)*LN((E1955*2.54)))-EXP(VLOOKUP(D1955,'Species Codes'!B:O,14,0)+VLOOKUP(D1955,'Species Codes'!B:P,15,0)*LN((E1955*2.54)))*(1/(VLOOKUP(D1955,'Species Codes'!B:Q,16,0)+VLOOKUP(D1955,'Species Codes'!B:R,17,0)*((E1955*2.54)^VLOOKUP(D1955,'Species Codes'!B:S,18,0)))),IF(OR(D1955="BM",D1955="MD",D1955="OA"),EXP(VLOOKUP(D1955,'Species Codes'!B:O,14,0)+VLOOKUP(D1955,'Species Codes'!B:P,15,0)*LN((E1955*2.54)))*(1-(1/(VLOOKUP(D1955,'Species Codes'!B:Q,16,0)+VLOOKUP(D1955,'Species Codes'!B:R,17,0)*((E1955*2.54)^VLOOKUP(D1955,'Species Codes'!B:S,18,0)))))/1000,IF(D1955="DF",EXP(VLOOKUP(D1955,'Species Codes'!B:O,14,0)+VLOOKUP(D1955,'Species Codes'!B:P,15,0)*LN((E1955*2.54))),VLOOKUP(D1955,'Species Codes'!B:O,14,0)+VLOOKUP(D1955,'Species Codes'!B:P,15,0)*(((E1955*2.54)/100)^2)*(I1955*0.3048)))))*0.0011023),0)</f>
        <v>#N/A</v>
      </c>
      <c r="AD1955" s="104" t="e">
        <f t="shared" si="868"/>
        <v>#N/A</v>
      </c>
      <c r="AE1955" s="104" t="e">
        <f t="shared" si="869"/>
        <v>#N/A</v>
      </c>
      <c r="AF1955" s="104" t="e">
        <f>IF(AND(VLOOKUP($D1955,Merchantability!$B:$C,2,0)="Yes",$E1955&gt;=VLOOKUP($D1955,Merchantability!$B:$D,3,0),$E1955&lt;=VLOOKUP($D1955,Merchantability!$B:$E,4,0)),AA1955,0)</f>
        <v>#N/A</v>
      </c>
      <c r="AG1955" s="104" t="e">
        <f>IF(AND(VLOOKUP($D1955,Merchantability!$B:$C,2,0)="Yes",$E1955&gt;=VLOOKUP($D1955,Merchantability!$B:$D,3,0),$E1955&lt;=VLOOKUP($D1955,Merchantability!$B:$E,4,0)),AB1955,0)</f>
        <v>#N/A</v>
      </c>
      <c r="AH1955" s="104" t="e">
        <f>IF(AND(VLOOKUP($D1955,Merchantability!$B:$C,2,0)="Yes",$E1955&gt;=VLOOKUP($D1955,Merchantability!$B:$D,3,0),$E1955&lt;=VLOOKUP($D1955,Merchantability!$B:$E,4,0)),AC1955,0)</f>
        <v>#N/A</v>
      </c>
      <c r="AI1955" s="104" t="e">
        <f t="shared" si="870"/>
        <v>#N/A</v>
      </c>
      <c r="AJ1955" s="104" t="e">
        <f t="shared" si="871"/>
        <v>#VALUE!</v>
      </c>
      <c r="AK1955" s="104" t="e">
        <f t="shared" si="872"/>
        <v>#N/A</v>
      </c>
      <c r="AL1955" s="104" t="e">
        <f t="shared" si="873"/>
        <v>#N/A</v>
      </c>
      <c r="AM1955" s="104" t="e">
        <f t="shared" si="874"/>
        <v>#N/A</v>
      </c>
      <c r="AN1955" s="104" t="e">
        <f t="shared" si="858"/>
        <v>#N/A</v>
      </c>
      <c r="AO1955" s="104" t="e">
        <f t="shared" si="859"/>
        <v>#N/A</v>
      </c>
      <c r="AP1955" s="104" t="e">
        <f t="shared" si="860"/>
        <v>#N/A</v>
      </c>
      <c r="AQ1955" s="104" t="e">
        <f t="shared" si="861"/>
        <v>#N/A</v>
      </c>
      <c r="AR1955" s="105" t="str">
        <f t="shared" si="853"/>
        <v/>
      </c>
      <c r="AS1955" s="105" t="str">
        <f t="shared" si="854"/>
        <v/>
      </c>
      <c r="AT1955" s="108" t="str">
        <f t="shared" si="855"/>
        <v/>
      </c>
      <c r="AU1955" s="108" t="str">
        <f t="shared" si="856"/>
        <v/>
      </c>
      <c r="AV1955" s="107" t="str">
        <f>IF(ISNUMBER(O1955),IF(VLOOKUP($A1955,Stand!C:J,8,FALSE)="Short",AT1955,AU1955),"")</f>
        <v/>
      </c>
      <c r="AW1955" s="109" t="str">
        <f t="shared" si="862"/>
        <v/>
      </c>
      <c r="AX1955" s="109" t="str">
        <f t="shared" si="863"/>
        <v/>
      </c>
      <c r="AY1955" s="112" t="str">
        <f>IF(ISNUMBER(O1955),IF(AND(VLOOKUP($D1955,Merchantability!$B:$C,2,0)="Yes",$E1955&gt;=VLOOKUP($D1955,Merchantability!$B:$D,3,0),$E1955&lt;=VLOOKUP($D1955,Merchantability!$B:$E,4,0)),(AV1955*O1955)*(1-$H1955/100),""),"")</f>
        <v/>
      </c>
      <c r="AZ1955" s="116"/>
      <c r="BA1955" s="116"/>
      <c r="BB1955" s="116"/>
      <c r="BE1955" s="62"/>
      <c r="BF1955" s="63"/>
    </row>
    <row r="1956" spans="1:58" ht="12.75" customHeight="1" x14ac:dyDescent="0.25">
      <c r="A1956" s="334"/>
      <c r="B1956" s="334"/>
      <c r="C1956" s="332"/>
      <c r="D1956" s="334"/>
      <c r="E1956" s="335"/>
      <c r="F1956" s="334"/>
      <c r="G1956" s="332"/>
      <c r="H1956" s="332"/>
      <c r="I1956" s="334"/>
      <c r="J1956" s="336"/>
      <c r="K1956" s="332"/>
      <c r="L1956" s="332"/>
      <c r="M1956" s="76"/>
      <c r="N1956" s="103" t="str">
        <f>IF(A1956="","",VLOOKUP(A1956,Stand!C:K,9,0))</f>
        <v/>
      </c>
      <c r="O1956" s="104" t="str">
        <f t="shared" si="848"/>
        <v/>
      </c>
      <c r="P1956" s="105" t="str">
        <f t="shared" si="849"/>
        <v/>
      </c>
      <c r="Q1956" s="105" t="str">
        <f t="shared" si="864"/>
        <v/>
      </c>
      <c r="R1956" s="103" t="str">
        <f t="shared" si="850"/>
        <v/>
      </c>
      <c r="S1956" s="103" t="str">
        <f t="shared" si="851"/>
        <v/>
      </c>
      <c r="T1956" s="106" t="str">
        <f t="shared" si="865"/>
        <v/>
      </c>
      <c r="U1956" s="106" t="str">
        <f t="shared" si="866"/>
        <v/>
      </c>
      <c r="V1956" s="106" t="str">
        <f t="shared" si="867"/>
        <v/>
      </c>
      <c r="W1956" s="105" t="str">
        <f t="shared" si="852"/>
        <v/>
      </c>
      <c r="X1956" s="104" t="str">
        <f t="shared" si="857"/>
        <v/>
      </c>
      <c r="Y1956" s="104" t="str">
        <f t="array" ref="Y1956">IFERROR(IF(ISNUMBER(O1956),IF(COUNT(IF(A1956=$A$2:$A$2427,IF(D1956=$D$2:$D$2427,IF($X$2:$X$2427&gt;0,1))))&gt;0,SUM(IF(A1956=$A$2:$A$2427,IF(D1956=$D$2:$D$2427,$X$2:$X$2427)))/COUNT(IF(A1956=$A$2:$A$2427,IF(D1956=$D$2:$D$2427,IF(ISNUMBER($X$2:$X$2427),1)))),0),""),0)</f>
        <v/>
      </c>
      <c r="Z1956" s="104" t="str">
        <f>IF(ISNUMBER(O1956),IF(I1956&gt;0,(10^(VLOOKUP(D1956,'Species Codes'!B:C,2,0)+VLOOKUP(D1956,'Species Codes'!B:D,3,0)*LOG(E1956)+VLOOKUP(D1956,'Species Codes'!B:E,4,0)*LOG(I1956))),0),"")</f>
        <v/>
      </c>
      <c r="AA1956" s="104" t="str">
        <f>IFERROR((VLOOKUP(D1956,'Species Codes'!B:G,6,0)*Z1956)/2000,"")</f>
        <v/>
      </c>
      <c r="AB1956" s="104" t="e">
        <f>IF(Z1956&gt;0,((IF(OR(D1956="DF",D1956="RA")=TRUE,EXP(VLOOKUP(D1956,'Species Codes'!B:I,8,0)+VLOOKUP(D1956,'Species Codes'!B:J,9,0)*(LN((E1956*2.54)))),IF(OR(D1956="PY",D1956="RC",D1956="WH",D1956="NF")=TRUE,VLOOKUP(D1956,'Species Codes'!B:I,8,0)+VLOOKUP(D1956,'Species Codes'!B:J,9,0)*((E1956*2.54)^2)*(I1956*0.3048),IF(OR(D1956="MD",D1956="BM",D1956="GA")=TRUE,((VLOOKUP(D1956,'Species Codes'!B:I,8,0)*(((((E1956*2.54)+VLOOKUP(D1956,'Species Codes'!B:J,9,0))/VLOOKUP(D1956,'Species Codes'!B:K,10,0))^VLOOKUP(D1956,'Species Codes'!B:L,11,0))*((I1956*0.3048)^VLOOKUP(D1956,'Species Codes'!B:M,12,0))))-(VLOOKUP(D1956,'Species Codes'!B:I,8,0)*((((E1956*2.54)^VLOOKUP(D1956,'Species Codes'!B:L,11,0))*((I1956*0.3048)^VLOOKUP(D1956,'Species Codes'!B:M,12,0))))))*35.3*VLOOKUP(D1956,'Species Codes'!B:G,6,0)/2.2046,VLOOKUP(D1956,'Species Codes'!B:I,8,0)+VLOOKUP(D1956,'Species Codes'!B:J,9,0)*(((E1956*2.54)/100)^2)*(I1956*0.3048)))))*0.0011023),0)</f>
        <v>#N/A</v>
      </c>
      <c r="AC1956" s="104" t="e">
        <f>IF(Z1956&gt;0,((IF(OR(D1956="RA",D1956="OA",D1956="OT",D1956="UN",D1956="PC"),EXP(VLOOKUP(D1956,'Species Codes'!B:O,14,0)+VLOOKUP(D1956,'Species Codes'!B:P,15,0)*LN((E1956*2.54)))-EXP(VLOOKUP(D1956,'Species Codes'!B:O,14,0)+VLOOKUP(D1956,'Species Codes'!B:P,15,0)*LN((E1956*2.54)))*(1/(VLOOKUP(D1956,'Species Codes'!B:Q,16,0)+VLOOKUP(D1956,'Species Codes'!B:R,17,0)*((E1956*2.54)^VLOOKUP(D1956,'Species Codes'!B:S,18,0)))),IF(OR(D1956="BM",D1956="MD",D1956="OA"),EXP(VLOOKUP(D1956,'Species Codes'!B:O,14,0)+VLOOKUP(D1956,'Species Codes'!B:P,15,0)*LN((E1956*2.54)))*(1-(1/(VLOOKUP(D1956,'Species Codes'!B:Q,16,0)+VLOOKUP(D1956,'Species Codes'!B:R,17,0)*((E1956*2.54)^VLOOKUP(D1956,'Species Codes'!B:S,18,0)))))/1000,IF(D1956="DF",EXP(VLOOKUP(D1956,'Species Codes'!B:O,14,0)+VLOOKUP(D1956,'Species Codes'!B:P,15,0)*LN((E1956*2.54))),VLOOKUP(D1956,'Species Codes'!B:O,14,0)+VLOOKUP(D1956,'Species Codes'!B:P,15,0)*(((E1956*2.54)/100)^2)*(I1956*0.3048)))))*0.0011023),0)</f>
        <v>#N/A</v>
      </c>
      <c r="AD1956" s="104" t="e">
        <f t="shared" si="868"/>
        <v>#N/A</v>
      </c>
      <c r="AE1956" s="104" t="e">
        <f t="shared" si="869"/>
        <v>#N/A</v>
      </c>
      <c r="AF1956" s="104" t="e">
        <f>IF(AND(VLOOKUP($D1956,Merchantability!$B:$C,2,0)="Yes",$E1956&gt;=VLOOKUP($D1956,Merchantability!$B:$D,3,0),$E1956&lt;=VLOOKUP($D1956,Merchantability!$B:$E,4,0)),AA1956,0)</f>
        <v>#N/A</v>
      </c>
      <c r="AG1956" s="104" t="e">
        <f>IF(AND(VLOOKUP($D1956,Merchantability!$B:$C,2,0)="Yes",$E1956&gt;=VLOOKUP($D1956,Merchantability!$B:$D,3,0),$E1956&lt;=VLOOKUP($D1956,Merchantability!$B:$E,4,0)),AB1956,0)</f>
        <v>#N/A</v>
      </c>
      <c r="AH1956" s="104" t="e">
        <f>IF(AND(VLOOKUP($D1956,Merchantability!$B:$C,2,0)="Yes",$E1956&gt;=VLOOKUP($D1956,Merchantability!$B:$D,3,0),$E1956&lt;=VLOOKUP($D1956,Merchantability!$B:$E,4,0)),AC1956,0)</f>
        <v>#N/A</v>
      </c>
      <c r="AI1956" s="104" t="e">
        <f t="shared" si="870"/>
        <v>#N/A</v>
      </c>
      <c r="AJ1956" s="104" t="e">
        <f t="shared" si="871"/>
        <v>#VALUE!</v>
      </c>
      <c r="AK1956" s="104" t="e">
        <f t="shared" si="872"/>
        <v>#N/A</v>
      </c>
      <c r="AL1956" s="104" t="e">
        <f t="shared" si="873"/>
        <v>#N/A</v>
      </c>
      <c r="AM1956" s="104" t="e">
        <f t="shared" si="874"/>
        <v>#N/A</v>
      </c>
      <c r="AN1956" s="104" t="e">
        <f t="shared" si="858"/>
        <v>#N/A</v>
      </c>
      <c r="AO1956" s="104" t="e">
        <f t="shared" si="859"/>
        <v>#N/A</v>
      </c>
      <c r="AP1956" s="104" t="e">
        <f t="shared" si="860"/>
        <v>#N/A</v>
      </c>
      <c r="AQ1956" s="104" t="e">
        <f t="shared" si="861"/>
        <v>#N/A</v>
      </c>
      <c r="AR1956" s="105" t="str">
        <f t="shared" si="853"/>
        <v/>
      </c>
      <c r="AS1956" s="105" t="str">
        <f t="shared" si="854"/>
        <v/>
      </c>
      <c r="AT1956" s="108" t="str">
        <f t="shared" si="855"/>
        <v/>
      </c>
      <c r="AU1956" s="108" t="str">
        <f t="shared" si="856"/>
        <v/>
      </c>
      <c r="AV1956" s="107" t="str">
        <f>IF(ISNUMBER(O1956),IF(VLOOKUP($A1956,Stand!C:J,8,FALSE)="Short",AT1956,AU1956),"")</f>
        <v/>
      </c>
      <c r="AW1956" s="109" t="str">
        <f t="shared" si="862"/>
        <v/>
      </c>
      <c r="AX1956" s="109" t="str">
        <f t="shared" si="863"/>
        <v/>
      </c>
      <c r="AY1956" s="112" t="str">
        <f>IF(ISNUMBER(O1956),IF(AND(VLOOKUP($D1956,Merchantability!$B:$C,2,0)="Yes",$E1956&gt;=VLOOKUP($D1956,Merchantability!$B:$D,3,0),$E1956&lt;=VLOOKUP($D1956,Merchantability!$B:$E,4,0)),(AV1956*O1956)*(1-$H1956/100),""),"")</f>
        <v/>
      </c>
      <c r="AZ1956" s="116"/>
      <c r="BA1956" s="116"/>
      <c r="BB1956" s="116"/>
      <c r="BE1956" s="62"/>
      <c r="BF1956" s="63"/>
    </row>
    <row r="1957" spans="1:58" ht="12.75" customHeight="1" x14ac:dyDescent="0.25">
      <c r="A1957" s="334"/>
      <c r="B1957" s="334"/>
      <c r="C1957" s="332"/>
      <c r="D1957" s="334"/>
      <c r="E1957" s="335"/>
      <c r="F1957" s="334"/>
      <c r="G1957" s="332"/>
      <c r="H1957" s="332"/>
      <c r="I1957" s="334"/>
      <c r="J1957" s="336"/>
      <c r="K1957" s="332"/>
      <c r="L1957" s="332"/>
      <c r="M1957" s="76"/>
      <c r="N1957" s="103" t="str">
        <f>IF(A1957="","",VLOOKUP(A1957,Stand!C:K,9,0))</f>
        <v/>
      </c>
      <c r="O1957" s="104" t="str">
        <f t="shared" si="848"/>
        <v/>
      </c>
      <c r="P1957" s="105" t="str">
        <f t="shared" si="849"/>
        <v/>
      </c>
      <c r="Q1957" s="105" t="str">
        <f t="shared" si="864"/>
        <v/>
      </c>
      <c r="R1957" s="103" t="str">
        <f t="shared" si="850"/>
        <v/>
      </c>
      <c r="S1957" s="103" t="str">
        <f t="shared" si="851"/>
        <v/>
      </c>
      <c r="T1957" s="106" t="str">
        <f t="shared" si="865"/>
        <v/>
      </c>
      <c r="U1957" s="106" t="str">
        <f t="shared" si="866"/>
        <v/>
      </c>
      <c r="V1957" s="106" t="str">
        <f t="shared" si="867"/>
        <v/>
      </c>
      <c r="W1957" s="105" t="str">
        <f t="shared" si="852"/>
        <v/>
      </c>
      <c r="X1957" s="104" t="str">
        <f t="shared" si="857"/>
        <v/>
      </c>
      <c r="Y1957" s="104" t="str">
        <f t="array" ref="Y1957">IFERROR(IF(ISNUMBER(O1957),IF(COUNT(IF(A1957=$A$2:$A$2427,IF(D1957=$D$2:$D$2427,IF($X$2:$X$2427&gt;0,1))))&gt;0,SUM(IF(A1957=$A$2:$A$2427,IF(D1957=$D$2:$D$2427,$X$2:$X$2427)))/COUNT(IF(A1957=$A$2:$A$2427,IF(D1957=$D$2:$D$2427,IF(ISNUMBER($X$2:$X$2427),1)))),0),""),0)</f>
        <v/>
      </c>
      <c r="Z1957" s="104" t="str">
        <f>IF(ISNUMBER(O1957),IF(I1957&gt;0,(10^(VLOOKUP(D1957,'Species Codes'!B:C,2,0)+VLOOKUP(D1957,'Species Codes'!B:D,3,0)*LOG(E1957)+VLOOKUP(D1957,'Species Codes'!B:E,4,0)*LOG(I1957))),0),"")</f>
        <v/>
      </c>
      <c r="AA1957" s="104" t="str">
        <f>IFERROR((VLOOKUP(D1957,'Species Codes'!B:G,6,0)*Z1957)/2000,"")</f>
        <v/>
      </c>
      <c r="AB1957" s="104" t="e">
        <f>IF(Z1957&gt;0,((IF(OR(D1957="DF",D1957="RA")=TRUE,EXP(VLOOKUP(D1957,'Species Codes'!B:I,8,0)+VLOOKUP(D1957,'Species Codes'!B:J,9,0)*(LN((E1957*2.54)))),IF(OR(D1957="PY",D1957="RC",D1957="WH",D1957="NF")=TRUE,VLOOKUP(D1957,'Species Codes'!B:I,8,0)+VLOOKUP(D1957,'Species Codes'!B:J,9,0)*((E1957*2.54)^2)*(I1957*0.3048),IF(OR(D1957="MD",D1957="BM",D1957="GA")=TRUE,((VLOOKUP(D1957,'Species Codes'!B:I,8,0)*(((((E1957*2.54)+VLOOKUP(D1957,'Species Codes'!B:J,9,0))/VLOOKUP(D1957,'Species Codes'!B:K,10,0))^VLOOKUP(D1957,'Species Codes'!B:L,11,0))*((I1957*0.3048)^VLOOKUP(D1957,'Species Codes'!B:M,12,0))))-(VLOOKUP(D1957,'Species Codes'!B:I,8,0)*((((E1957*2.54)^VLOOKUP(D1957,'Species Codes'!B:L,11,0))*((I1957*0.3048)^VLOOKUP(D1957,'Species Codes'!B:M,12,0))))))*35.3*VLOOKUP(D1957,'Species Codes'!B:G,6,0)/2.2046,VLOOKUP(D1957,'Species Codes'!B:I,8,0)+VLOOKUP(D1957,'Species Codes'!B:J,9,0)*(((E1957*2.54)/100)^2)*(I1957*0.3048)))))*0.0011023),0)</f>
        <v>#N/A</v>
      </c>
      <c r="AC1957" s="104" t="e">
        <f>IF(Z1957&gt;0,((IF(OR(D1957="RA",D1957="OA",D1957="OT",D1957="UN",D1957="PC"),EXP(VLOOKUP(D1957,'Species Codes'!B:O,14,0)+VLOOKUP(D1957,'Species Codes'!B:P,15,0)*LN((E1957*2.54)))-EXP(VLOOKUP(D1957,'Species Codes'!B:O,14,0)+VLOOKUP(D1957,'Species Codes'!B:P,15,0)*LN((E1957*2.54)))*(1/(VLOOKUP(D1957,'Species Codes'!B:Q,16,0)+VLOOKUP(D1957,'Species Codes'!B:R,17,0)*((E1957*2.54)^VLOOKUP(D1957,'Species Codes'!B:S,18,0)))),IF(OR(D1957="BM",D1957="MD",D1957="OA"),EXP(VLOOKUP(D1957,'Species Codes'!B:O,14,0)+VLOOKUP(D1957,'Species Codes'!B:P,15,0)*LN((E1957*2.54)))*(1-(1/(VLOOKUP(D1957,'Species Codes'!B:Q,16,0)+VLOOKUP(D1957,'Species Codes'!B:R,17,0)*((E1957*2.54)^VLOOKUP(D1957,'Species Codes'!B:S,18,0)))))/1000,IF(D1957="DF",EXP(VLOOKUP(D1957,'Species Codes'!B:O,14,0)+VLOOKUP(D1957,'Species Codes'!B:P,15,0)*LN((E1957*2.54))),VLOOKUP(D1957,'Species Codes'!B:O,14,0)+VLOOKUP(D1957,'Species Codes'!B:P,15,0)*(((E1957*2.54)/100)^2)*(I1957*0.3048)))))*0.0011023),0)</f>
        <v>#N/A</v>
      </c>
      <c r="AD1957" s="104" t="e">
        <f t="shared" si="868"/>
        <v>#N/A</v>
      </c>
      <c r="AE1957" s="104" t="e">
        <f t="shared" si="869"/>
        <v>#N/A</v>
      </c>
      <c r="AF1957" s="104" t="e">
        <f>IF(AND(VLOOKUP($D1957,Merchantability!$B:$C,2,0)="Yes",$E1957&gt;=VLOOKUP($D1957,Merchantability!$B:$D,3,0),$E1957&lt;=VLOOKUP($D1957,Merchantability!$B:$E,4,0)),AA1957,0)</f>
        <v>#N/A</v>
      </c>
      <c r="AG1957" s="104" t="e">
        <f>IF(AND(VLOOKUP($D1957,Merchantability!$B:$C,2,0)="Yes",$E1957&gt;=VLOOKUP($D1957,Merchantability!$B:$D,3,0),$E1957&lt;=VLOOKUP($D1957,Merchantability!$B:$E,4,0)),AB1957,0)</f>
        <v>#N/A</v>
      </c>
      <c r="AH1957" s="104" t="e">
        <f>IF(AND(VLOOKUP($D1957,Merchantability!$B:$C,2,0)="Yes",$E1957&gt;=VLOOKUP($D1957,Merchantability!$B:$D,3,0),$E1957&lt;=VLOOKUP($D1957,Merchantability!$B:$E,4,0)),AC1957,0)</f>
        <v>#N/A</v>
      </c>
      <c r="AI1957" s="104" t="e">
        <f t="shared" si="870"/>
        <v>#N/A</v>
      </c>
      <c r="AJ1957" s="104" t="e">
        <f t="shared" si="871"/>
        <v>#VALUE!</v>
      </c>
      <c r="AK1957" s="104" t="e">
        <f t="shared" si="872"/>
        <v>#N/A</v>
      </c>
      <c r="AL1957" s="104" t="e">
        <f t="shared" si="873"/>
        <v>#N/A</v>
      </c>
      <c r="AM1957" s="104" t="e">
        <f t="shared" si="874"/>
        <v>#N/A</v>
      </c>
      <c r="AN1957" s="104" t="e">
        <f t="shared" si="858"/>
        <v>#N/A</v>
      </c>
      <c r="AO1957" s="104" t="e">
        <f t="shared" si="859"/>
        <v>#N/A</v>
      </c>
      <c r="AP1957" s="104" t="e">
        <f t="shared" si="860"/>
        <v>#N/A</v>
      </c>
      <c r="AQ1957" s="104" t="e">
        <f t="shared" si="861"/>
        <v>#N/A</v>
      </c>
      <c r="AR1957" s="105" t="str">
        <f t="shared" si="853"/>
        <v/>
      </c>
      <c r="AS1957" s="105" t="str">
        <f t="shared" si="854"/>
        <v/>
      </c>
      <c r="AT1957" s="108" t="str">
        <f t="shared" si="855"/>
        <v/>
      </c>
      <c r="AU1957" s="108" t="str">
        <f t="shared" si="856"/>
        <v/>
      </c>
      <c r="AV1957" s="107" t="str">
        <f>IF(ISNUMBER(O1957),IF(VLOOKUP($A1957,Stand!C:J,8,FALSE)="Short",AT1957,AU1957),"")</f>
        <v/>
      </c>
      <c r="AW1957" s="109" t="str">
        <f t="shared" si="862"/>
        <v/>
      </c>
      <c r="AX1957" s="109" t="str">
        <f t="shared" si="863"/>
        <v/>
      </c>
      <c r="AY1957" s="112" t="str">
        <f>IF(ISNUMBER(O1957),IF(AND(VLOOKUP($D1957,Merchantability!$B:$C,2,0)="Yes",$E1957&gt;=VLOOKUP($D1957,Merchantability!$B:$D,3,0),$E1957&lt;=VLOOKUP($D1957,Merchantability!$B:$E,4,0)),(AV1957*O1957)*(1-$H1957/100),""),"")</f>
        <v/>
      </c>
      <c r="AZ1957" s="116"/>
      <c r="BA1957" s="116"/>
      <c r="BB1957" s="116"/>
      <c r="BE1957" s="62"/>
      <c r="BF1957" s="63"/>
    </row>
    <row r="1958" spans="1:58" ht="12.75" customHeight="1" x14ac:dyDescent="0.25">
      <c r="A1958" s="334"/>
      <c r="B1958" s="334"/>
      <c r="C1958" s="332"/>
      <c r="D1958" s="334"/>
      <c r="E1958" s="335"/>
      <c r="F1958" s="334"/>
      <c r="G1958" s="332"/>
      <c r="H1958" s="332"/>
      <c r="I1958" s="334"/>
      <c r="J1958" s="336"/>
      <c r="K1958" s="332"/>
      <c r="L1958" s="332"/>
      <c r="M1958" s="76"/>
      <c r="N1958" s="103" t="str">
        <f>IF(A1958="","",VLOOKUP(A1958,Stand!C:K,9,0))</f>
        <v/>
      </c>
      <c r="O1958" s="104" t="str">
        <f t="shared" si="848"/>
        <v/>
      </c>
      <c r="P1958" s="105" t="str">
        <f t="shared" si="849"/>
        <v/>
      </c>
      <c r="Q1958" s="105" t="str">
        <f t="shared" si="864"/>
        <v/>
      </c>
      <c r="R1958" s="103" t="str">
        <f t="shared" si="850"/>
        <v/>
      </c>
      <c r="S1958" s="103" t="str">
        <f t="shared" si="851"/>
        <v/>
      </c>
      <c r="T1958" s="106" t="str">
        <f t="shared" si="865"/>
        <v/>
      </c>
      <c r="U1958" s="106" t="str">
        <f t="shared" si="866"/>
        <v/>
      </c>
      <c r="V1958" s="106" t="str">
        <f t="shared" si="867"/>
        <v/>
      </c>
      <c r="W1958" s="105" t="str">
        <f t="shared" si="852"/>
        <v/>
      </c>
      <c r="X1958" s="104" t="str">
        <f t="shared" si="857"/>
        <v/>
      </c>
      <c r="Y1958" s="104" t="str">
        <f t="array" ref="Y1958">IFERROR(IF(ISNUMBER(O1958),IF(COUNT(IF(A1958=$A$2:$A$2427,IF(D1958=$D$2:$D$2427,IF($X$2:$X$2427&gt;0,1))))&gt;0,SUM(IF(A1958=$A$2:$A$2427,IF(D1958=$D$2:$D$2427,$X$2:$X$2427)))/COUNT(IF(A1958=$A$2:$A$2427,IF(D1958=$D$2:$D$2427,IF(ISNUMBER($X$2:$X$2427),1)))),0),""),0)</f>
        <v/>
      </c>
      <c r="Z1958" s="104" t="str">
        <f>IF(ISNUMBER(O1958),IF(I1958&gt;0,(10^(VLOOKUP(D1958,'Species Codes'!B:C,2,0)+VLOOKUP(D1958,'Species Codes'!B:D,3,0)*LOG(E1958)+VLOOKUP(D1958,'Species Codes'!B:E,4,0)*LOG(I1958))),0),"")</f>
        <v/>
      </c>
      <c r="AA1958" s="104" t="str">
        <f>IFERROR((VLOOKUP(D1958,'Species Codes'!B:G,6,0)*Z1958)/2000,"")</f>
        <v/>
      </c>
      <c r="AB1958" s="104" t="e">
        <f>IF(Z1958&gt;0,((IF(OR(D1958="DF",D1958="RA")=TRUE,EXP(VLOOKUP(D1958,'Species Codes'!B:I,8,0)+VLOOKUP(D1958,'Species Codes'!B:J,9,0)*(LN((E1958*2.54)))),IF(OR(D1958="PY",D1958="RC",D1958="WH",D1958="NF")=TRUE,VLOOKUP(D1958,'Species Codes'!B:I,8,0)+VLOOKUP(D1958,'Species Codes'!B:J,9,0)*((E1958*2.54)^2)*(I1958*0.3048),IF(OR(D1958="MD",D1958="BM",D1958="GA")=TRUE,((VLOOKUP(D1958,'Species Codes'!B:I,8,0)*(((((E1958*2.54)+VLOOKUP(D1958,'Species Codes'!B:J,9,0))/VLOOKUP(D1958,'Species Codes'!B:K,10,0))^VLOOKUP(D1958,'Species Codes'!B:L,11,0))*((I1958*0.3048)^VLOOKUP(D1958,'Species Codes'!B:M,12,0))))-(VLOOKUP(D1958,'Species Codes'!B:I,8,0)*((((E1958*2.54)^VLOOKUP(D1958,'Species Codes'!B:L,11,0))*((I1958*0.3048)^VLOOKUP(D1958,'Species Codes'!B:M,12,0))))))*35.3*VLOOKUP(D1958,'Species Codes'!B:G,6,0)/2.2046,VLOOKUP(D1958,'Species Codes'!B:I,8,0)+VLOOKUP(D1958,'Species Codes'!B:J,9,0)*(((E1958*2.54)/100)^2)*(I1958*0.3048)))))*0.0011023),0)</f>
        <v>#N/A</v>
      </c>
      <c r="AC1958" s="104" t="e">
        <f>IF(Z1958&gt;0,((IF(OR(D1958="RA",D1958="OA",D1958="OT",D1958="UN",D1958="PC"),EXP(VLOOKUP(D1958,'Species Codes'!B:O,14,0)+VLOOKUP(D1958,'Species Codes'!B:P,15,0)*LN((E1958*2.54)))-EXP(VLOOKUP(D1958,'Species Codes'!B:O,14,0)+VLOOKUP(D1958,'Species Codes'!B:P,15,0)*LN((E1958*2.54)))*(1/(VLOOKUP(D1958,'Species Codes'!B:Q,16,0)+VLOOKUP(D1958,'Species Codes'!B:R,17,0)*((E1958*2.54)^VLOOKUP(D1958,'Species Codes'!B:S,18,0)))),IF(OR(D1958="BM",D1958="MD",D1958="OA"),EXP(VLOOKUP(D1958,'Species Codes'!B:O,14,0)+VLOOKUP(D1958,'Species Codes'!B:P,15,0)*LN((E1958*2.54)))*(1-(1/(VLOOKUP(D1958,'Species Codes'!B:Q,16,0)+VLOOKUP(D1958,'Species Codes'!B:R,17,0)*((E1958*2.54)^VLOOKUP(D1958,'Species Codes'!B:S,18,0)))))/1000,IF(D1958="DF",EXP(VLOOKUP(D1958,'Species Codes'!B:O,14,0)+VLOOKUP(D1958,'Species Codes'!B:P,15,0)*LN((E1958*2.54))),VLOOKUP(D1958,'Species Codes'!B:O,14,0)+VLOOKUP(D1958,'Species Codes'!B:P,15,0)*(((E1958*2.54)/100)^2)*(I1958*0.3048)))))*0.0011023),0)</f>
        <v>#N/A</v>
      </c>
      <c r="AD1958" s="104" t="e">
        <f t="shared" si="868"/>
        <v>#N/A</v>
      </c>
      <c r="AE1958" s="104" t="e">
        <f t="shared" si="869"/>
        <v>#N/A</v>
      </c>
      <c r="AF1958" s="104" t="e">
        <f>IF(AND(VLOOKUP($D1958,Merchantability!$B:$C,2,0)="Yes",$E1958&gt;=VLOOKUP($D1958,Merchantability!$B:$D,3,0),$E1958&lt;=VLOOKUP($D1958,Merchantability!$B:$E,4,0)),AA1958,0)</f>
        <v>#N/A</v>
      </c>
      <c r="AG1958" s="104" t="e">
        <f>IF(AND(VLOOKUP($D1958,Merchantability!$B:$C,2,0)="Yes",$E1958&gt;=VLOOKUP($D1958,Merchantability!$B:$D,3,0),$E1958&lt;=VLOOKUP($D1958,Merchantability!$B:$E,4,0)),AB1958,0)</f>
        <v>#N/A</v>
      </c>
      <c r="AH1958" s="104" t="e">
        <f>IF(AND(VLOOKUP($D1958,Merchantability!$B:$C,2,0)="Yes",$E1958&gt;=VLOOKUP($D1958,Merchantability!$B:$D,3,0),$E1958&lt;=VLOOKUP($D1958,Merchantability!$B:$E,4,0)),AC1958,0)</f>
        <v>#N/A</v>
      </c>
      <c r="AI1958" s="104" t="e">
        <f t="shared" si="870"/>
        <v>#N/A</v>
      </c>
      <c r="AJ1958" s="104" t="e">
        <f t="shared" si="871"/>
        <v>#VALUE!</v>
      </c>
      <c r="AK1958" s="104" t="e">
        <f t="shared" si="872"/>
        <v>#N/A</v>
      </c>
      <c r="AL1958" s="104" t="e">
        <f t="shared" si="873"/>
        <v>#N/A</v>
      </c>
      <c r="AM1958" s="104" t="e">
        <f t="shared" si="874"/>
        <v>#N/A</v>
      </c>
      <c r="AN1958" s="104" t="e">
        <f t="shared" si="858"/>
        <v>#N/A</v>
      </c>
      <c r="AO1958" s="104" t="e">
        <f t="shared" si="859"/>
        <v>#N/A</v>
      </c>
      <c r="AP1958" s="104" t="e">
        <f t="shared" si="860"/>
        <v>#N/A</v>
      </c>
      <c r="AQ1958" s="104" t="e">
        <f t="shared" si="861"/>
        <v>#N/A</v>
      </c>
      <c r="AR1958" s="105" t="str">
        <f t="shared" si="853"/>
        <v/>
      </c>
      <c r="AS1958" s="105" t="str">
        <f t="shared" si="854"/>
        <v/>
      </c>
      <c r="AT1958" s="108" t="str">
        <f t="shared" si="855"/>
        <v/>
      </c>
      <c r="AU1958" s="108" t="str">
        <f t="shared" si="856"/>
        <v/>
      </c>
      <c r="AV1958" s="107" t="str">
        <f>IF(ISNUMBER(O1958),IF(VLOOKUP($A1958,Stand!C:J,8,FALSE)="Short",AT1958,AU1958),"")</f>
        <v/>
      </c>
      <c r="AW1958" s="109" t="str">
        <f t="shared" si="862"/>
        <v/>
      </c>
      <c r="AX1958" s="109" t="str">
        <f t="shared" si="863"/>
        <v/>
      </c>
      <c r="AY1958" s="112" t="str">
        <f>IF(ISNUMBER(O1958),IF(AND(VLOOKUP($D1958,Merchantability!$B:$C,2,0)="Yes",$E1958&gt;=VLOOKUP($D1958,Merchantability!$B:$D,3,0),$E1958&lt;=VLOOKUP($D1958,Merchantability!$B:$E,4,0)),(AV1958*O1958)*(1-$H1958/100),""),"")</f>
        <v/>
      </c>
      <c r="AZ1958" s="116"/>
      <c r="BA1958" s="116"/>
      <c r="BB1958" s="116"/>
      <c r="BE1958" s="62"/>
      <c r="BF1958" s="63"/>
    </row>
    <row r="1959" spans="1:58" ht="12.75" customHeight="1" x14ac:dyDescent="0.25">
      <c r="A1959" s="334"/>
      <c r="B1959" s="334"/>
      <c r="C1959" s="332"/>
      <c r="D1959" s="334"/>
      <c r="E1959" s="335"/>
      <c r="F1959" s="334"/>
      <c r="G1959" s="332"/>
      <c r="H1959" s="332"/>
      <c r="I1959" s="334"/>
      <c r="J1959" s="336"/>
      <c r="K1959" s="332"/>
      <c r="L1959" s="332"/>
      <c r="M1959" s="76"/>
      <c r="N1959" s="103" t="str">
        <f>IF(A1959="","",VLOOKUP(A1959,Stand!C:K,9,0))</f>
        <v/>
      </c>
      <c r="O1959" s="104" t="str">
        <f t="shared" si="848"/>
        <v/>
      </c>
      <c r="P1959" s="105" t="str">
        <f t="shared" si="849"/>
        <v/>
      </c>
      <c r="Q1959" s="105" t="str">
        <f t="shared" si="864"/>
        <v/>
      </c>
      <c r="R1959" s="103" t="str">
        <f t="shared" si="850"/>
        <v/>
      </c>
      <c r="S1959" s="103" t="str">
        <f t="shared" si="851"/>
        <v/>
      </c>
      <c r="T1959" s="106" t="str">
        <f t="shared" si="865"/>
        <v/>
      </c>
      <c r="U1959" s="106" t="str">
        <f t="shared" si="866"/>
        <v/>
      </c>
      <c r="V1959" s="106" t="str">
        <f t="shared" si="867"/>
        <v/>
      </c>
      <c r="W1959" s="105" t="str">
        <f t="shared" si="852"/>
        <v/>
      </c>
      <c r="X1959" s="104" t="str">
        <f t="shared" si="857"/>
        <v/>
      </c>
      <c r="Y1959" s="104" t="str">
        <f t="array" ref="Y1959">IFERROR(IF(ISNUMBER(O1959),IF(COUNT(IF(A1959=$A$2:$A$2427,IF(D1959=$D$2:$D$2427,IF($X$2:$X$2427&gt;0,1))))&gt;0,SUM(IF(A1959=$A$2:$A$2427,IF(D1959=$D$2:$D$2427,$X$2:$X$2427)))/COUNT(IF(A1959=$A$2:$A$2427,IF(D1959=$D$2:$D$2427,IF(ISNUMBER($X$2:$X$2427),1)))),0),""),0)</f>
        <v/>
      </c>
      <c r="Z1959" s="104" t="str">
        <f>IF(ISNUMBER(O1959),IF(I1959&gt;0,(10^(VLOOKUP(D1959,'Species Codes'!B:C,2,0)+VLOOKUP(D1959,'Species Codes'!B:D,3,0)*LOG(E1959)+VLOOKUP(D1959,'Species Codes'!B:E,4,0)*LOG(I1959))),0),"")</f>
        <v/>
      </c>
      <c r="AA1959" s="104" t="str">
        <f>IFERROR((VLOOKUP(D1959,'Species Codes'!B:G,6,0)*Z1959)/2000,"")</f>
        <v/>
      </c>
      <c r="AB1959" s="104" t="e">
        <f>IF(Z1959&gt;0,((IF(OR(D1959="DF",D1959="RA")=TRUE,EXP(VLOOKUP(D1959,'Species Codes'!B:I,8,0)+VLOOKUP(D1959,'Species Codes'!B:J,9,0)*(LN((E1959*2.54)))),IF(OR(D1959="PY",D1959="RC",D1959="WH",D1959="NF")=TRUE,VLOOKUP(D1959,'Species Codes'!B:I,8,0)+VLOOKUP(D1959,'Species Codes'!B:J,9,0)*((E1959*2.54)^2)*(I1959*0.3048),IF(OR(D1959="MD",D1959="BM",D1959="GA")=TRUE,((VLOOKUP(D1959,'Species Codes'!B:I,8,0)*(((((E1959*2.54)+VLOOKUP(D1959,'Species Codes'!B:J,9,0))/VLOOKUP(D1959,'Species Codes'!B:K,10,0))^VLOOKUP(D1959,'Species Codes'!B:L,11,0))*((I1959*0.3048)^VLOOKUP(D1959,'Species Codes'!B:M,12,0))))-(VLOOKUP(D1959,'Species Codes'!B:I,8,0)*((((E1959*2.54)^VLOOKUP(D1959,'Species Codes'!B:L,11,0))*((I1959*0.3048)^VLOOKUP(D1959,'Species Codes'!B:M,12,0))))))*35.3*VLOOKUP(D1959,'Species Codes'!B:G,6,0)/2.2046,VLOOKUP(D1959,'Species Codes'!B:I,8,0)+VLOOKUP(D1959,'Species Codes'!B:J,9,0)*(((E1959*2.54)/100)^2)*(I1959*0.3048)))))*0.0011023),0)</f>
        <v>#N/A</v>
      </c>
      <c r="AC1959" s="104" t="e">
        <f>IF(Z1959&gt;0,((IF(OR(D1959="RA",D1959="OA",D1959="OT",D1959="UN",D1959="PC"),EXP(VLOOKUP(D1959,'Species Codes'!B:O,14,0)+VLOOKUP(D1959,'Species Codes'!B:P,15,0)*LN((E1959*2.54)))-EXP(VLOOKUP(D1959,'Species Codes'!B:O,14,0)+VLOOKUP(D1959,'Species Codes'!B:P,15,0)*LN((E1959*2.54)))*(1/(VLOOKUP(D1959,'Species Codes'!B:Q,16,0)+VLOOKUP(D1959,'Species Codes'!B:R,17,0)*((E1959*2.54)^VLOOKUP(D1959,'Species Codes'!B:S,18,0)))),IF(OR(D1959="BM",D1959="MD",D1959="OA"),EXP(VLOOKUP(D1959,'Species Codes'!B:O,14,0)+VLOOKUP(D1959,'Species Codes'!B:P,15,0)*LN((E1959*2.54)))*(1-(1/(VLOOKUP(D1959,'Species Codes'!B:Q,16,0)+VLOOKUP(D1959,'Species Codes'!B:R,17,0)*((E1959*2.54)^VLOOKUP(D1959,'Species Codes'!B:S,18,0)))))/1000,IF(D1959="DF",EXP(VLOOKUP(D1959,'Species Codes'!B:O,14,0)+VLOOKUP(D1959,'Species Codes'!B:P,15,0)*LN((E1959*2.54))),VLOOKUP(D1959,'Species Codes'!B:O,14,0)+VLOOKUP(D1959,'Species Codes'!B:P,15,0)*(((E1959*2.54)/100)^2)*(I1959*0.3048)))))*0.0011023),0)</f>
        <v>#N/A</v>
      </c>
      <c r="AD1959" s="104" t="e">
        <f t="shared" si="868"/>
        <v>#N/A</v>
      </c>
      <c r="AE1959" s="104" t="e">
        <f t="shared" si="869"/>
        <v>#N/A</v>
      </c>
      <c r="AF1959" s="104" t="e">
        <f>IF(AND(VLOOKUP($D1959,Merchantability!$B:$C,2,0)="Yes",$E1959&gt;=VLOOKUP($D1959,Merchantability!$B:$D,3,0),$E1959&lt;=VLOOKUP($D1959,Merchantability!$B:$E,4,0)),AA1959,0)</f>
        <v>#N/A</v>
      </c>
      <c r="AG1959" s="104" t="e">
        <f>IF(AND(VLOOKUP($D1959,Merchantability!$B:$C,2,0)="Yes",$E1959&gt;=VLOOKUP($D1959,Merchantability!$B:$D,3,0),$E1959&lt;=VLOOKUP($D1959,Merchantability!$B:$E,4,0)),AB1959,0)</f>
        <v>#N/A</v>
      </c>
      <c r="AH1959" s="104" t="e">
        <f>IF(AND(VLOOKUP($D1959,Merchantability!$B:$C,2,0)="Yes",$E1959&gt;=VLOOKUP($D1959,Merchantability!$B:$D,3,0),$E1959&lt;=VLOOKUP($D1959,Merchantability!$B:$E,4,0)),AC1959,0)</f>
        <v>#N/A</v>
      </c>
      <c r="AI1959" s="104" t="e">
        <f t="shared" si="870"/>
        <v>#N/A</v>
      </c>
      <c r="AJ1959" s="104" t="e">
        <f t="shared" si="871"/>
        <v>#VALUE!</v>
      </c>
      <c r="AK1959" s="104" t="e">
        <f t="shared" si="872"/>
        <v>#N/A</v>
      </c>
      <c r="AL1959" s="104" t="e">
        <f t="shared" si="873"/>
        <v>#N/A</v>
      </c>
      <c r="AM1959" s="104" t="e">
        <f t="shared" si="874"/>
        <v>#N/A</v>
      </c>
      <c r="AN1959" s="104" t="e">
        <f t="shared" si="858"/>
        <v>#N/A</v>
      </c>
      <c r="AO1959" s="104" t="e">
        <f t="shared" si="859"/>
        <v>#N/A</v>
      </c>
      <c r="AP1959" s="104" t="e">
        <f t="shared" si="860"/>
        <v>#N/A</v>
      </c>
      <c r="AQ1959" s="104" t="e">
        <f t="shared" si="861"/>
        <v>#N/A</v>
      </c>
      <c r="AR1959" s="105" t="str">
        <f t="shared" si="853"/>
        <v/>
      </c>
      <c r="AS1959" s="105" t="str">
        <f t="shared" si="854"/>
        <v/>
      </c>
      <c r="AT1959" s="108" t="str">
        <f t="shared" si="855"/>
        <v/>
      </c>
      <c r="AU1959" s="108" t="str">
        <f t="shared" si="856"/>
        <v/>
      </c>
      <c r="AV1959" s="107" t="str">
        <f>IF(ISNUMBER(O1959),IF(VLOOKUP($A1959,Stand!C:J,8,FALSE)="Short",AT1959,AU1959),"")</f>
        <v/>
      </c>
      <c r="AW1959" s="109" t="str">
        <f t="shared" si="862"/>
        <v/>
      </c>
      <c r="AX1959" s="109" t="str">
        <f t="shared" si="863"/>
        <v/>
      </c>
      <c r="AY1959" s="112" t="str">
        <f>IF(ISNUMBER(O1959),IF(AND(VLOOKUP($D1959,Merchantability!$B:$C,2,0)="Yes",$E1959&gt;=VLOOKUP($D1959,Merchantability!$B:$D,3,0),$E1959&lt;=VLOOKUP($D1959,Merchantability!$B:$E,4,0)),(AV1959*O1959)*(1-$H1959/100),""),"")</f>
        <v/>
      </c>
      <c r="AZ1959" s="116"/>
      <c r="BA1959" s="116"/>
      <c r="BB1959" s="116"/>
      <c r="BE1959" s="62"/>
      <c r="BF1959" s="63"/>
    </row>
    <row r="1960" spans="1:58" ht="12.75" customHeight="1" x14ac:dyDescent="0.25">
      <c r="A1960" s="334"/>
      <c r="B1960" s="334"/>
      <c r="C1960" s="332"/>
      <c r="D1960" s="334"/>
      <c r="E1960" s="335"/>
      <c r="F1960" s="334"/>
      <c r="G1960" s="332"/>
      <c r="H1960" s="332"/>
      <c r="I1960" s="334"/>
      <c r="J1960" s="336"/>
      <c r="K1960" s="332"/>
      <c r="L1960" s="332"/>
      <c r="M1960" s="76"/>
      <c r="N1960" s="103" t="str">
        <f>IF(A1960="","",VLOOKUP(A1960,Stand!C:K,9,0))</f>
        <v/>
      </c>
      <c r="O1960" s="104" t="str">
        <f t="shared" si="848"/>
        <v/>
      </c>
      <c r="P1960" s="105" t="str">
        <f t="shared" si="849"/>
        <v/>
      </c>
      <c r="Q1960" s="105" t="str">
        <f t="shared" si="864"/>
        <v/>
      </c>
      <c r="R1960" s="103" t="str">
        <f t="shared" si="850"/>
        <v/>
      </c>
      <c r="S1960" s="103" t="str">
        <f t="shared" si="851"/>
        <v/>
      </c>
      <c r="T1960" s="106" t="str">
        <f t="shared" si="865"/>
        <v/>
      </c>
      <c r="U1960" s="106" t="str">
        <f t="shared" si="866"/>
        <v/>
      </c>
      <c r="V1960" s="106" t="str">
        <f t="shared" si="867"/>
        <v/>
      </c>
      <c r="W1960" s="105" t="str">
        <f t="shared" si="852"/>
        <v/>
      </c>
      <c r="X1960" s="104" t="str">
        <f t="shared" si="857"/>
        <v/>
      </c>
      <c r="Y1960" s="104" t="str">
        <f t="array" ref="Y1960">IFERROR(IF(ISNUMBER(O1960),IF(COUNT(IF(A1960=$A$2:$A$2427,IF(D1960=$D$2:$D$2427,IF($X$2:$X$2427&gt;0,1))))&gt;0,SUM(IF(A1960=$A$2:$A$2427,IF(D1960=$D$2:$D$2427,$X$2:$X$2427)))/COUNT(IF(A1960=$A$2:$A$2427,IF(D1960=$D$2:$D$2427,IF(ISNUMBER($X$2:$X$2427),1)))),0),""),0)</f>
        <v/>
      </c>
      <c r="Z1960" s="104" t="str">
        <f>IF(ISNUMBER(O1960),IF(I1960&gt;0,(10^(VLOOKUP(D1960,'Species Codes'!B:C,2,0)+VLOOKUP(D1960,'Species Codes'!B:D,3,0)*LOG(E1960)+VLOOKUP(D1960,'Species Codes'!B:E,4,0)*LOG(I1960))),0),"")</f>
        <v/>
      </c>
      <c r="AA1960" s="104" t="str">
        <f>IFERROR((VLOOKUP(D1960,'Species Codes'!B:G,6,0)*Z1960)/2000,"")</f>
        <v/>
      </c>
      <c r="AB1960" s="104" t="e">
        <f>IF(Z1960&gt;0,((IF(OR(D1960="DF",D1960="RA")=TRUE,EXP(VLOOKUP(D1960,'Species Codes'!B:I,8,0)+VLOOKUP(D1960,'Species Codes'!B:J,9,0)*(LN((E1960*2.54)))),IF(OR(D1960="PY",D1960="RC",D1960="WH",D1960="NF")=TRUE,VLOOKUP(D1960,'Species Codes'!B:I,8,0)+VLOOKUP(D1960,'Species Codes'!B:J,9,0)*((E1960*2.54)^2)*(I1960*0.3048),IF(OR(D1960="MD",D1960="BM",D1960="GA")=TRUE,((VLOOKUP(D1960,'Species Codes'!B:I,8,0)*(((((E1960*2.54)+VLOOKUP(D1960,'Species Codes'!B:J,9,0))/VLOOKUP(D1960,'Species Codes'!B:K,10,0))^VLOOKUP(D1960,'Species Codes'!B:L,11,0))*((I1960*0.3048)^VLOOKUP(D1960,'Species Codes'!B:M,12,0))))-(VLOOKUP(D1960,'Species Codes'!B:I,8,0)*((((E1960*2.54)^VLOOKUP(D1960,'Species Codes'!B:L,11,0))*((I1960*0.3048)^VLOOKUP(D1960,'Species Codes'!B:M,12,0))))))*35.3*VLOOKUP(D1960,'Species Codes'!B:G,6,0)/2.2046,VLOOKUP(D1960,'Species Codes'!B:I,8,0)+VLOOKUP(D1960,'Species Codes'!B:J,9,0)*(((E1960*2.54)/100)^2)*(I1960*0.3048)))))*0.0011023),0)</f>
        <v>#N/A</v>
      </c>
      <c r="AC1960" s="104" t="e">
        <f>IF(Z1960&gt;0,((IF(OR(D1960="RA",D1960="OA",D1960="OT",D1960="UN",D1960="PC"),EXP(VLOOKUP(D1960,'Species Codes'!B:O,14,0)+VLOOKUP(D1960,'Species Codes'!B:P,15,0)*LN((E1960*2.54)))-EXP(VLOOKUP(D1960,'Species Codes'!B:O,14,0)+VLOOKUP(D1960,'Species Codes'!B:P,15,0)*LN((E1960*2.54)))*(1/(VLOOKUP(D1960,'Species Codes'!B:Q,16,0)+VLOOKUP(D1960,'Species Codes'!B:R,17,0)*((E1960*2.54)^VLOOKUP(D1960,'Species Codes'!B:S,18,0)))),IF(OR(D1960="BM",D1960="MD",D1960="OA"),EXP(VLOOKUP(D1960,'Species Codes'!B:O,14,0)+VLOOKUP(D1960,'Species Codes'!B:P,15,0)*LN((E1960*2.54)))*(1-(1/(VLOOKUP(D1960,'Species Codes'!B:Q,16,0)+VLOOKUP(D1960,'Species Codes'!B:R,17,0)*((E1960*2.54)^VLOOKUP(D1960,'Species Codes'!B:S,18,0)))))/1000,IF(D1960="DF",EXP(VLOOKUP(D1960,'Species Codes'!B:O,14,0)+VLOOKUP(D1960,'Species Codes'!B:P,15,0)*LN((E1960*2.54))),VLOOKUP(D1960,'Species Codes'!B:O,14,0)+VLOOKUP(D1960,'Species Codes'!B:P,15,0)*(((E1960*2.54)/100)^2)*(I1960*0.3048)))))*0.0011023),0)</f>
        <v>#N/A</v>
      </c>
      <c r="AD1960" s="104" t="e">
        <f t="shared" si="868"/>
        <v>#N/A</v>
      </c>
      <c r="AE1960" s="104" t="e">
        <f t="shared" si="869"/>
        <v>#N/A</v>
      </c>
      <c r="AF1960" s="104" t="e">
        <f>IF(AND(VLOOKUP($D1960,Merchantability!$B:$C,2,0)="Yes",$E1960&gt;=VLOOKUP($D1960,Merchantability!$B:$D,3,0),$E1960&lt;=VLOOKUP($D1960,Merchantability!$B:$E,4,0)),AA1960,0)</f>
        <v>#N/A</v>
      </c>
      <c r="AG1960" s="104" t="e">
        <f>IF(AND(VLOOKUP($D1960,Merchantability!$B:$C,2,0)="Yes",$E1960&gt;=VLOOKUP($D1960,Merchantability!$B:$D,3,0),$E1960&lt;=VLOOKUP($D1960,Merchantability!$B:$E,4,0)),AB1960,0)</f>
        <v>#N/A</v>
      </c>
      <c r="AH1960" s="104" t="e">
        <f>IF(AND(VLOOKUP($D1960,Merchantability!$B:$C,2,0)="Yes",$E1960&gt;=VLOOKUP($D1960,Merchantability!$B:$D,3,0),$E1960&lt;=VLOOKUP($D1960,Merchantability!$B:$E,4,0)),AC1960,0)</f>
        <v>#N/A</v>
      </c>
      <c r="AI1960" s="104" t="e">
        <f t="shared" si="870"/>
        <v>#N/A</v>
      </c>
      <c r="AJ1960" s="104" t="e">
        <f t="shared" si="871"/>
        <v>#VALUE!</v>
      </c>
      <c r="AK1960" s="104" t="e">
        <f t="shared" si="872"/>
        <v>#N/A</v>
      </c>
      <c r="AL1960" s="104" t="e">
        <f t="shared" si="873"/>
        <v>#N/A</v>
      </c>
      <c r="AM1960" s="104" t="e">
        <f t="shared" si="874"/>
        <v>#N/A</v>
      </c>
      <c r="AN1960" s="104" t="e">
        <f t="shared" si="858"/>
        <v>#N/A</v>
      </c>
      <c r="AO1960" s="104" t="e">
        <f t="shared" si="859"/>
        <v>#N/A</v>
      </c>
      <c r="AP1960" s="104" t="e">
        <f t="shared" si="860"/>
        <v>#N/A</v>
      </c>
      <c r="AQ1960" s="104" t="e">
        <f t="shared" si="861"/>
        <v>#N/A</v>
      </c>
      <c r="AR1960" s="105" t="str">
        <f t="shared" si="853"/>
        <v/>
      </c>
      <c r="AS1960" s="105" t="str">
        <f t="shared" si="854"/>
        <v/>
      </c>
      <c r="AT1960" s="108" t="str">
        <f t="shared" si="855"/>
        <v/>
      </c>
      <c r="AU1960" s="108" t="str">
        <f t="shared" si="856"/>
        <v/>
      </c>
      <c r="AV1960" s="107" t="str">
        <f>IF(ISNUMBER(O1960),IF(VLOOKUP($A1960,Stand!C:J,8,FALSE)="Short",AT1960,AU1960),"")</f>
        <v/>
      </c>
      <c r="AW1960" s="109" t="str">
        <f t="shared" si="862"/>
        <v/>
      </c>
      <c r="AX1960" s="109" t="str">
        <f t="shared" si="863"/>
        <v/>
      </c>
      <c r="AY1960" s="112" t="str">
        <f>IF(ISNUMBER(O1960),IF(AND(VLOOKUP($D1960,Merchantability!$B:$C,2,0)="Yes",$E1960&gt;=VLOOKUP($D1960,Merchantability!$B:$D,3,0),$E1960&lt;=VLOOKUP($D1960,Merchantability!$B:$E,4,0)),(AV1960*O1960)*(1-$H1960/100),""),"")</f>
        <v/>
      </c>
      <c r="AZ1960" s="116"/>
      <c r="BA1960" s="116"/>
      <c r="BB1960" s="116"/>
      <c r="BE1960" s="62"/>
      <c r="BF1960" s="63"/>
    </row>
    <row r="1961" spans="1:58" ht="12.75" customHeight="1" x14ac:dyDescent="0.25">
      <c r="A1961" s="334"/>
      <c r="B1961" s="334"/>
      <c r="C1961" s="332"/>
      <c r="D1961" s="334"/>
      <c r="E1961" s="335"/>
      <c r="F1961" s="334"/>
      <c r="G1961" s="332"/>
      <c r="H1961" s="332"/>
      <c r="I1961" s="334"/>
      <c r="J1961" s="336"/>
      <c r="K1961" s="332"/>
      <c r="L1961" s="332"/>
      <c r="M1961" s="76"/>
      <c r="N1961" s="103" t="str">
        <f>IF(A1961="","",VLOOKUP(A1961,Stand!C:K,9,0))</f>
        <v/>
      </c>
      <c r="O1961" s="104" t="str">
        <f t="shared" si="848"/>
        <v/>
      </c>
      <c r="P1961" s="105" t="str">
        <f t="shared" si="849"/>
        <v/>
      </c>
      <c r="Q1961" s="105" t="str">
        <f t="shared" si="864"/>
        <v/>
      </c>
      <c r="R1961" s="103" t="str">
        <f t="shared" si="850"/>
        <v/>
      </c>
      <c r="S1961" s="103" t="str">
        <f t="shared" si="851"/>
        <v/>
      </c>
      <c r="T1961" s="106" t="str">
        <f t="shared" si="865"/>
        <v/>
      </c>
      <c r="U1961" s="106" t="str">
        <f t="shared" si="866"/>
        <v/>
      </c>
      <c r="V1961" s="106" t="str">
        <f t="shared" si="867"/>
        <v/>
      </c>
      <c r="W1961" s="105" t="str">
        <f t="shared" si="852"/>
        <v/>
      </c>
      <c r="X1961" s="104" t="str">
        <f t="shared" si="857"/>
        <v/>
      </c>
      <c r="Y1961" s="104" t="str">
        <f t="array" ref="Y1961">IFERROR(IF(ISNUMBER(O1961),IF(COUNT(IF(A1961=$A$2:$A$2427,IF(D1961=$D$2:$D$2427,IF($X$2:$X$2427&gt;0,1))))&gt;0,SUM(IF(A1961=$A$2:$A$2427,IF(D1961=$D$2:$D$2427,$X$2:$X$2427)))/COUNT(IF(A1961=$A$2:$A$2427,IF(D1961=$D$2:$D$2427,IF(ISNUMBER($X$2:$X$2427),1)))),0),""),0)</f>
        <v/>
      </c>
      <c r="Z1961" s="104" t="str">
        <f>IF(ISNUMBER(O1961),IF(I1961&gt;0,(10^(VLOOKUP(D1961,'Species Codes'!B:C,2,0)+VLOOKUP(D1961,'Species Codes'!B:D,3,0)*LOG(E1961)+VLOOKUP(D1961,'Species Codes'!B:E,4,0)*LOG(I1961))),0),"")</f>
        <v/>
      </c>
      <c r="AA1961" s="104" t="str">
        <f>IFERROR((VLOOKUP(D1961,'Species Codes'!B:G,6,0)*Z1961)/2000,"")</f>
        <v/>
      </c>
      <c r="AB1961" s="104" t="e">
        <f>IF(Z1961&gt;0,((IF(OR(D1961="DF",D1961="RA")=TRUE,EXP(VLOOKUP(D1961,'Species Codes'!B:I,8,0)+VLOOKUP(D1961,'Species Codes'!B:J,9,0)*(LN((E1961*2.54)))),IF(OR(D1961="PY",D1961="RC",D1961="WH",D1961="NF")=TRUE,VLOOKUP(D1961,'Species Codes'!B:I,8,0)+VLOOKUP(D1961,'Species Codes'!B:J,9,0)*((E1961*2.54)^2)*(I1961*0.3048),IF(OR(D1961="MD",D1961="BM",D1961="GA")=TRUE,((VLOOKUP(D1961,'Species Codes'!B:I,8,0)*(((((E1961*2.54)+VLOOKUP(D1961,'Species Codes'!B:J,9,0))/VLOOKUP(D1961,'Species Codes'!B:K,10,0))^VLOOKUP(D1961,'Species Codes'!B:L,11,0))*((I1961*0.3048)^VLOOKUP(D1961,'Species Codes'!B:M,12,0))))-(VLOOKUP(D1961,'Species Codes'!B:I,8,0)*((((E1961*2.54)^VLOOKUP(D1961,'Species Codes'!B:L,11,0))*((I1961*0.3048)^VLOOKUP(D1961,'Species Codes'!B:M,12,0))))))*35.3*VLOOKUP(D1961,'Species Codes'!B:G,6,0)/2.2046,VLOOKUP(D1961,'Species Codes'!B:I,8,0)+VLOOKUP(D1961,'Species Codes'!B:J,9,0)*(((E1961*2.54)/100)^2)*(I1961*0.3048)))))*0.0011023),0)</f>
        <v>#N/A</v>
      </c>
      <c r="AC1961" s="104" t="e">
        <f>IF(Z1961&gt;0,((IF(OR(D1961="RA",D1961="OA",D1961="OT",D1961="UN",D1961="PC"),EXP(VLOOKUP(D1961,'Species Codes'!B:O,14,0)+VLOOKUP(D1961,'Species Codes'!B:P,15,0)*LN((E1961*2.54)))-EXP(VLOOKUP(D1961,'Species Codes'!B:O,14,0)+VLOOKUP(D1961,'Species Codes'!B:P,15,0)*LN((E1961*2.54)))*(1/(VLOOKUP(D1961,'Species Codes'!B:Q,16,0)+VLOOKUP(D1961,'Species Codes'!B:R,17,0)*((E1961*2.54)^VLOOKUP(D1961,'Species Codes'!B:S,18,0)))),IF(OR(D1961="BM",D1961="MD",D1961="OA"),EXP(VLOOKUP(D1961,'Species Codes'!B:O,14,0)+VLOOKUP(D1961,'Species Codes'!B:P,15,0)*LN((E1961*2.54)))*(1-(1/(VLOOKUP(D1961,'Species Codes'!B:Q,16,0)+VLOOKUP(D1961,'Species Codes'!B:R,17,0)*((E1961*2.54)^VLOOKUP(D1961,'Species Codes'!B:S,18,0)))))/1000,IF(D1961="DF",EXP(VLOOKUP(D1961,'Species Codes'!B:O,14,0)+VLOOKUP(D1961,'Species Codes'!B:P,15,0)*LN((E1961*2.54))),VLOOKUP(D1961,'Species Codes'!B:O,14,0)+VLOOKUP(D1961,'Species Codes'!B:P,15,0)*(((E1961*2.54)/100)^2)*(I1961*0.3048)))))*0.0011023),0)</f>
        <v>#N/A</v>
      </c>
      <c r="AD1961" s="104" t="e">
        <f t="shared" si="868"/>
        <v>#N/A</v>
      </c>
      <c r="AE1961" s="104" t="e">
        <f t="shared" si="869"/>
        <v>#N/A</v>
      </c>
      <c r="AF1961" s="104" t="e">
        <f>IF(AND(VLOOKUP($D1961,Merchantability!$B:$C,2,0)="Yes",$E1961&gt;=VLOOKUP($D1961,Merchantability!$B:$D,3,0),$E1961&lt;=VLOOKUP($D1961,Merchantability!$B:$E,4,0)),AA1961,0)</f>
        <v>#N/A</v>
      </c>
      <c r="AG1961" s="104" t="e">
        <f>IF(AND(VLOOKUP($D1961,Merchantability!$B:$C,2,0)="Yes",$E1961&gt;=VLOOKUP($D1961,Merchantability!$B:$D,3,0),$E1961&lt;=VLOOKUP($D1961,Merchantability!$B:$E,4,0)),AB1961,0)</f>
        <v>#N/A</v>
      </c>
      <c r="AH1961" s="104" t="e">
        <f>IF(AND(VLOOKUP($D1961,Merchantability!$B:$C,2,0)="Yes",$E1961&gt;=VLOOKUP($D1961,Merchantability!$B:$D,3,0),$E1961&lt;=VLOOKUP($D1961,Merchantability!$B:$E,4,0)),AC1961,0)</f>
        <v>#N/A</v>
      </c>
      <c r="AI1961" s="104" t="e">
        <f t="shared" si="870"/>
        <v>#N/A</v>
      </c>
      <c r="AJ1961" s="104" t="e">
        <f t="shared" si="871"/>
        <v>#VALUE!</v>
      </c>
      <c r="AK1961" s="104" t="e">
        <f t="shared" si="872"/>
        <v>#N/A</v>
      </c>
      <c r="AL1961" s="104" t="e">
        <f t="shared" si="873"/>
        <v>#N/A</v>
      </c>
      <c r="AM1961" s="104" t="e">
        <f t="shared" si="874"/>
        <v>#N/A</v>
      </c>
      <c r="AN1961" s="104" t="e">
        <f t="shared" si="858"/>
        <v>#N/A</v>
      </c>
      <c r="AO1961" s="104" t="e">
        <f t="shared" si="859"/>
        <v>#N/A</v>
      </c>
      <c r="AP1961" s="104" t="e">
        <f t="shared" si="860"/>
        <v>#N/A</v>
      </c>
      <c r="AQ1961" s="104" t="e">
        <f t="shared" si="861"/>
        <v>#N/A</v>
      </c>
      <c r="AR1961" s="105" t="str">
        <f t="shared" si="853"/>
        <v/>
      </c>
      <c r="AS1961" s="105" t="str">
        <f t="shared" si="854"/>
        <v/>
      </c>
      <c r="AT1961" s="108" t="str">
        <f t="shared" si="855"/>
        <v/>
      </c>
      <c r="AU1961" s="108" t="str">
        <f t="shared" si="856"/>
        <v/>
      </c>
      <c r="AV1961" s="107" t="str">
        <f>IF(ISNUMBER(O1961),IF(VLOOKUP($A1961,Stand!C:J,8,FALSE)="Short",AT1961,AU1961),"")</f>
        <v/>
      </c>
      <c r="AW1961" s="109" t="str">
        <f t="shared" si="862"/>
        <v/>
      </c>
      <c r="AX1961" s="109" t="str">
        <f t="shared" si="863"/>
        <v/>
      </c>
      <c r="AY1961" s="112" t="str">
        <f>IF(ISNUMBER(O1961),IF(AND(VLOOKUP($D1961,Merchantability!$B:$C,2,0)="Yes",$E1961&gt;=VLOOKUP($D1961,Merchantability!$B:$D,3,0),$E1961&lt;=VLOOKUP($D1961,Merchantability!$B:$E,4,0)),(AV1961*O1961)*(1-$H1961/100),""),"")</f>
        <v/>
      </c>
      <c r="AZ1961" s="116"/>
      <c r="BA1961" s="116"/>
      <c r="BB1961" s="116"/>
      <c r="BE1961" s="62"/>
      <c r="BF1961" s="63"/>
    </row>
    <row r="1962" spans="1:58" ht="12.75" customHeight="1" x14ac:dyDescent="0.25">
      <c r="A1962" s="334"/>
      <c r="B1962" s="334"/>
      <c r="C1962" s="332"/>
      <c r="D1962" s="334"/>
      <c r="E1962" s="335"/>
      <c r="F1962" s="334"/>
      <c r="G1962" s="332"/>
      <c r="H1962" s="332"/>
      <c r="I1962" s="334"/>
      <c r="J1962" s="336"/>
      <c r="K1962" s="332"/>
      <c r="L1962" s="332"/>
      <c r="M1962" s="76"/>
      <c r="N1962" s="103" t="str">
        <f>IF(A1962="","",VLOOKUP(A1962,Stand!C:K,9,0))</f>
        <v/>
      </c>
      <c r="O1962" s="104" t="str">
        <f t="shared" si="848"/>
        <v/>
      </c>
      <c r="P1962" s="105" t="str">
        <f t="shared" si="849"/>
        <v/>
      </c>
      <c r="Q1962" s="105" t="str">
        <f t="shared" si="864"/>
        <v/>
      </c>
      <c r="R1962" s="103" t="str">
        <f t="shared" si="850"/>
        <v/>
      </c>
      <c r="S1962" s="103" t="str">
        <f t="shared" si="851"/>
        <v/>
      </c>
      <c r="T1962" s="106" t="str">
        <f t="shared" si="865"/>
        <v/>
      </c>
      <c r="U1962" s="106" t="str">
        <f t="shared" si="866"/>
        <v/>
      </c>
      <c r="V1962" s="106" t="str">
        <f t="shared" si="867"/>
        <v/>
      </c>
      <c r="W1962" s="105" t="str">
        <f t="shared" si="852"/>
        <v/>
      </c>
      <c r="X1962" s="104" t="str">
        <f t="shared" si="857"/>
        <v/>
      </c>
      <c r="Y1962" s="104" t="str">
        <f t="array" ref="Y1962">IFERROR(IF(ISNUMBER(O1962),IF(COUNT(IF(A1962=$A$2:$A$2427,IF(D1962=$D$2:$D$2427,IF($X$2:$X$2427&gt;0,1))))&gt;0,SUM(IF(A1962=$A$2:$A$2427,IF(D1962=$D$2:$D$2427,$X$2:$X$2427)))/COUNT(IF(A1962=$A$2:$A$2427,IF(D1962=$D$2:$D$2427,IF(ISNUMBER($X$2:$X$2427),1)))),0),""),0)</f>
        <v/>
      </c>
      <c r="Z1962" s="104" t="str">
        <f>IF(ISNUMBER(O1962),IF(I1962&gt;0,(10^(VLOOKUP(D1962,'Species Codes'!B:C,2,0)+VLOOKUP(D1962,'Species Codes'!B:D,3,0)*LOG(E1962)+VLOOKUP(D1962,'Species Codes'!B:E,4,0)*LOG(I1962))),0),"")</f>
        <v/>
      </c>
      <c r="AA1962" s="104" t="str">
        <f>IFERROR((VLOOKUP(D1962,'Species Codes'!B:G,6,0)*Z1962)/2000,"")</f>
        <v/>
      </c>
      <c r="AB1962" s="104" t="e">
        <f>IF(Z1962&gt;0,((IF(OR(D1962="DF",D1962="RA")=TRUE,EXP(VLOOKUP(D1962,'Species Codes'!B:I,8,0)+VLOOKUP(D1962,'Species Codes'!B:J,9,0)*(LN((E1962*2.54)))),IF(OR(D1962="PY",D1962="RC",D1962="WH",D1962="NF")=TRUE,VLOOKUP(D1962,'Species Codes'!B:I,8,0)+VLOOKUP(D1962,'Species Codes'!B:J,9,0)*((E1962*2.54)^2)*(I1962*0.3048),IF(OR(D1962="MD",D1962="BM",D1962="GA")=TRUE,((VLOOKUP(D1962,'Species Codes'!B:I,8,0)*(((((E1962*2.54)+VLOOKUP(D1962,'Species Codes'!B:J,9,0))/VLOOKUP(D1962,'Species Codes'!B:K,10,0))^VLOOKUP(D1962,'Species Codes'!B:L,11,0))*((I1962*0.3048)^VLOOKUP(D1962,'Species Codes'!B:M,12,0))))-(VLOOKUP(D1962,'Species Codes'!B:I,8,0)*((((E1962*2.54)^VLOOKUP(D1962,'Species Codes'!B:L,11,0))*((I1962*0.3048)^VLOOKUP(D1962,'Species Codes'!B:M,12,0))))))*35.3*VLOOKUP(D1962,'Species Codes'!B:G,6,0)/2.2046,VLOOKUP(D1962,'Species Codes'!B:I,8,0)+VLOOKUP(D1962,'Species Codes'!B:J,9,0)*(((E1962*2.54)/100)^2)*(I1962*0.3048)))))*0.0011023),0)</f>
        <v>#N/A</v>
      </c>
      <c r="AC1962" s="104" t="e">
        <f>IF(Z1962&gt;0,((IF(OR(D1962="RA",D1962="OA",D1962="OT",D1962="UN",D1962="PC"),EXP(VLOOKUP(D1962,'Species Codes'!B:O,14,0)+VLOOKUP(D1962,'Species Codes'!B:P,15,0)*LN((E1962*2.54)))-EXP(VLOOKUP(D1962,'Species Codes'!B:O,14,0)+VLOOKUP(D1962,'Species Codes'!B:P,15,0)*LN((E1962*2.54)))*(1/(VLOOKUP(D1962,'Species Codes'!B:Q,16,0)+VLOOKUP(D1962,'Species Codes'!B:R,17,0)*((E1962*2.54)^VLOOKUP(D1962,'Species Codes'!B:S,18,0)))),IF(OR(D1962="BM",D1962="MD",D1962="OA"),EXP(VLOOKUP(D1962,'Species Codes'!B:O,14,0)+VLOOKUP(D1962,'Species Codes'!B:P,15,0)*LN((E1962*2.54)))*(1-(1/(VLOOKUP(D1962,'Species Codes'!B:Q,16,0)+VLOOKUP(D1962,'Species Codes'!B:R,17,0)*((E1962*2.54)^VLOOKUP(D1962,'Species Codes'!B:S,18,0)))))/1000,IF(D1962="DF",EXP(VLOOKUP(D1962,'Species Codes'!B:O,14,0)+VLOOKUP(D1962,'Species Codes'!B:P,15,0)*LN((E1962*2.54))),VLOOKUP(D1962,'Species Codes'!B:O,14,0)+VLOOKUP(D1962,'Species Codes'!B:P,15,0)*(((E1962*2.54)/100)^2)*(I1962*0.3048)))))*0.0011023),0)</f>
        <v>#N/A</v>
      </c>
      <c r="AD1962" s="104" t="e">
        <f t="shared" si="868"/>
        <v>#N/A</v>
      </c>
      <c r="AE1962" s="104" t="e">
        <f t="shared" si="869"/>
        <v>#N/A</v>
      </c>
      <c r="AF1962" s="104" t="e">
        <f>IF(AND(VLOOKUP($D1962,Merchantability!$B:$C,2,0)="Yes",$E1962&gt;=VLOOKUP($D1962,Merchantability!$B:$D,3,0),$E1962&lt;=VLOOKUP($D1962,Merchantability!$B:$E,4,0)),AA1962,0)</f>
        <v>#N/A</v>
      </c>
      <c r="AG1962" s="104" t="e">
        <f>IF(AND(VLOOKUP($D1962,Merchantability!$B:$C,2,0)="Yes",$E1962&gt;=VLOOKUP($D1962,Merchantability!$B:$D,3,0),$E1962&lt;=VLOOKUP($D1962,Merchantability!$B:$E,4,0)),AB1962,0)</f>
        <v>#N/A</v>
      </c>
      <c r="AH1962" s="104" t="e">
        <f>IF(AND(VLOOKUP($D1962,Merchantability!$B:$C,2,0)="Yes",$E1962&gt;=VLOOKUP($D1962,Merchantability!$B:$D,3,0),$E1962&lt;=VLOOKUP($D1962,Merchantability!$B:$E,4,0)),AC1962,0)</f>
        <v>#N/A</v>
      </c>
      <c r="AI1962" s="104" t="e">
        <f t="shared" si="870"/>
        <v>#N/A</v>
      </c>
      <c r="AJ1962" s="104" t="e">
        <f t="shared" si="871"/>
        <v>#VALUE!</v>
      </c>
      <c r="AK1962" s="104" t="e">
        <f t="shared" si="872"/>
        <v>#N/A</v>
      </c>
      <c r="AL1962" s="104" t="e">
        <f t="shared" si="873"/>
        <v>#N/A</v>
      </c>
      <c r="AM1962" s="104" t="e">
        <f t="shared" si="874"/>
        <v>#N/A</v>
      </c>
      <c r="AN1962" s="104" t="e">
        <f t="shared" si="858"/>
        <v>#N/A</v>
      </c>
      <c r="AO1962" s="104" t="e">
        <f t="shared" si="859"/>
        <v>#N/A</v>
      </c>
      <c r="AP1962" s="104" t="e">
        <f t="shared" si="860"/>
        <v>#N/A</v>
      </c>
      <c r="AQ1962" s="104" t="e">
        <f t="shared" si="861"/>
        <v>#N/A</v>
      </c>
      <c r="AR1962" s="105" t="str">
        <f t="shared" si="853"/>
        <v/>
      </c>
      <c r="AS1962" s="105" t="str">
        <f t="shared" si="854"/>
        <v/>
      </c>
      <c r="AT1962" s="108" t="str">
        <f t="shared" si="855"/>
        <v/>
      </c>
      <c r="AU1962" s="108" t="str">
        <f t="shared" si="856"/>
        <v/>
      </c>
      <c r="AV1962" s="107" t="str">
        <f>IF(ISNUMBER(O1962),IF(VLOOKUP($A1962,Stand!C:J,8,FALSE)="Short",AT1962,AU1962),"")</f>
        <v/>
      </c>
      <c r="AW1962" s="109" t="str">
        <f t="shared" si="862"/>
        <v/>
      </c>
      <c r="AX1962" s="109" t="str">
        <f t="shared" si="863"/>
        <v/>
      </c>
      <c r="AY1962" s="112" t="str">
        <f>IF(ISNUMBER(O1962),IF(AND(VLOOKUP($D1962,Merchantability!$B:$C,2,0)="Yes",$E1962&gt;=VLOOKUP($D1962,Merchantability!$B:$D,3,0),$E1962&lt;=VLOOKUP($D1962,Merchantability!$B:$E,4,0)),(AV1962*O1962)*(1-$H1962/100),""),"")</f>
        <v/>
      </c>
      <c r="AZ1962" s="116"/>
      <c r="BA1962" s="116"/>
      <c r="BB1962" s="116"/>
      <c r="BE1962" s="62"/>
      <c r="BF1962" s="63"/>
    </row>
    <row r="1963" spans="1:58" ht="12.75" customHeight="1" x14ac:dyDescent="0.25">
      <c r="A1963" s="334"/>
      <c r="B1963" s="334"/>
      <c r="C1963" s="332"/>
      <c r="D1963" s="334"/>
      <c r="E1963" s="335"/>
      <c r="F1963" s="334"/>
      <c r="G1963" s="332"/>
      <c r="H1963" s="332"/>
      <c r="I1963" s="334"/>
      <c r="J1963" s="336"/>
      <c r="K1963" s="332"/>
      <c r="L1963" s="332"/>
      <c r="M1963" s="76"/>
      <c r="N1963" s="103" t="str">
        <f>IF(A1963="","",VLOOKUP(A1963,Stand!C:K,9,0))</f>
        <v/>
      </c>
      <c r="O1963" s="104" t="str">
        <f t="shared" si="848"/>
        <v/>
      </c>
      <c r="P1963" s="105" t="str">
        <f t="shared" si="849"/>
        <v/>
      </c>
      <c r="Q1963" s="105" t="str">
        <f t="shared" si="864"/>
        <v/>
      </c>
      <c r="R1963" s="103" t="str">
        <f t="shared" si="850"/>
        <v/>
      </c>
      <c r="S1963" s="103" t="str">
        <f t="shared" si="851"/>
        <v/>
      </c>
      <c r="T1963" s="106" t="str">
        <f t="shared" si="865"/>
        <v/>
      </c>
      <c r="U1963" s="106" t="str">
        <f t="shared" si="866"/>
        <v/>
      </c>
      <c r="V1963" s="106" t="str">
        <f t="shared" si="867"/>
        <v/>
      </c>
      <c r="W1963" s="105" t="str">
        <f t="shared" si="852"/>
        <v/>
      </c>
      <c r="X1963" s="104" t="str">
        <f t="shared" si="857"/>
        <v/>
      </c>
      <c r="Y1963" s="104" t="str">
        <f t="array" ref="Y1963">IFERROR(IF(ISNUMBER(O1963),IF(COUNT(IF(A1963=$A$2:$A$2427,IF(D1963=$D$2:$D$2427,IF($X$2:$X$2427&gt;0,1))))&gt;0,SUM(IF(A1963=$A$2:$A$2427,IF(D1963=$D$2:$D$2427,$X$2:$X$2427)))/COUNT(IF(A1963=$A$2:$A$2427,IF(D1963=$D$2:$D$2427,IF(ISNUMBER($X$2:$X$2427),1)))),0),""),0)</f>
        <v/>
      </c>
      <c r="Z1963" s="104" t="str">
        <f>IF(ISNUMBER(O1963),IF(I1963&gt;0,(10^(VLOOKUP(D1963,'Species Codes'!B:C,2,0)+VLOOKUP(D1963,'Species Codes'!B:D,3,0)*LOG(E1963)+VLOOKUP(D1963,'Species Codes'!B:E,4,0)*LOG(I1963))),0),"")</f>
        <v/>
      </c>
      <c r="AA1963" s="104" t="str">
        <f>IFERROR((VLOOKUP(D1963,'Species Codes'!B:G,6,0)*Z1963)/2000,"")</f>
        <v/>
      </c>
      <c r="AB1963" s="104" t="e">
        <f>IF(Z1963&gt;0,((IF(OR(D1963="DF",D1963="RA")=TRUE,EXP(VLOOKUP(D1963,'Species Codes'!B:I,8,0)+VLOOKUP(D1963,'Species Codes'!B:J,9,0)*(LN((E1963*2.54)))),IF(OR(D1963="PY",D1963="RC",D1963="WH",D1963="NF")=TRUE,VLOOKUP(D1963,'Species Codes'!B:I,8,0)+VLOOKUP(D1963,'Species Codes'!B:J,9,0)*((E1963*2.54)^2)*(I1963*0.3048),IF(OR(D1963="MD",D1963="BM",D1963="GA")=TRUE,((VLOOKUP(D1963,'Species Codes'!B:I,8,0)*(((((E1963*2.54)+VLOOKUP(D1963,'Species Codes'!B:J,9,0))/VLOOKUP(D1963,'Species Codes'!B:K,10,0))^VLOOKUP(D1963,'Species Codes'!B:L,11,0))*((I1963*0.3048)^VLOOKUP(D1963,'Species Codes'!B:M,12,0))))-(VLOOKUP(D1963,'Species Codes'!B:I,8,0)*((((E1963*2.54)^VLOOKUP(D1963,'Species Codes'!B:L,11,0))*((I1963*0.3048)^VLOOKUP(D1963,'Species Codes'!B:M,12,0))))))*35.3*VLOOKUP(D1963,'Species Codes'!B:G,6,0)/2.2046,VLOOKUP(D1963,'Species Codes'!B:I,8,0)+VLOOKUP(D1963,'Species Codes'!B:J,9,0)*(((E1963*2.54)/100)^2)*(I1963*0.3048)))))*0.0011023),0)</f>
        <v>#N/A</v>
      </c>
      <c r="AC1963" s="104" t="e">
        <f>IF(Z1963&gt;0,((IF(OR(D1963="RA",D1963="OA",D1963="OT",D1963="UN",D1963="PC"),EXP(VLOOKUP(D1963,'Species Codes'!B:O,14,0)+VLOOKUP(D1963,'Species Codes'!B:P,15,0)*LN((E1963*2.54)))-EXP(VLOOKUP(D1963,'Species Codes'!B:O,14,0)+VLOOKUP(D1963,'Species Codes'!B:P,15,0)*LN((E1963*2.54)))*(1/(VLOOKUP(D1963,'Species Codes'!B:Q,16,0)+VLOOKUP(D1963,'Species Codes'!B:R,17,0)*((E1963*2.54)^VLOOKUP(D1963,'Species Codes'!B:S,18,0)))),IF(OR(D1963="BM",D1963="MD",D1963="OA"),EXP(VLOOKUP(D1963,'Species Codes'!B:O,14,0)+VLOOKUP(D1963,'Species Codes'!B:P,15,0)*LN((E1963*2.54)))*(1-(1/(VLOOKUP(D1963,'Species Codes'!B:Q,16,0)+VLOOKUP(D1963,'Species Codes'!B:R,17,0)*((E1963*2.54)^VLOOKUP(D1963,'Species Codes'!B:S,18,0)))))/1000,IF(D1963="DF",EXP(VLOOKUP(D1963,'Species Codes'!B:O,14,0)+VLOOKUP(D1963,'Species Codes'!B:P,15,0)*LN((E1963*2.54))),VLOOKUP(D1963,'Species Codes'!B:O,14,0)+VLOOKUP(D1963,'Species Codes'!B:P,15,0)*(((E1963*2.54)/100)^2)*(I1963*0.3048)))))*0.0011023),0)</f>
        <v>#N/A</v>
      </c>
      <c r="AD1963" s="104" t="e">
        <f t="shared" si="868"/>
        <v>#N/A</v>
      </c>
      <c r="AE1963" s="104" t="e">
        <f t="shared" si="869"/>
        <v>#N/A</v>
      </c>
      <c r="AF1963" s="104" t="e">
        <f>IF(AND(VLOOKUP($D1963,Merchantability!$B:$C,2,0)="Yes",$E1963&gt;=VLOOKUP($D1963,Merchantability!$B:$D,3,0),$E1963&lt;=VLOOKUP($D1963,Merchantability!$B:$E,4,0)),AA1963,0)</f>
        <v>#N/A</v>
      </c>
      <c r="AG1963" s="104" t="e">
        <f>IF(AND(VLOOKUP($D1963,Merchantability!$B:$C,2,0)="Yes",$E1963&gt;=VLOOKUP($D1963,Merchantability!$B:$D,3,0),$E1963&lt;=VLOOKUP($D1963,Merchantability!$B:$E,4,0)),AB1963,0)</f>
        <v>#N/A</v>
      </c>
      <c r="AH1963" s="104" t="e">
        <f>IF(AND(VLOOKUP($D1963,Merchantability!$B:$C,2,0)="Yes",$E1963&gt;=VLOOKUP($D1963,Merchantability!$B:$D,3,0),$E1963&lt;=VLOOKUP($D1963,Merchantability!$B:$E,4,0)),AC1963,0)</f>
        <v>#N/A</v>
      </c>
      <c r="AI1963" s="104" t="e">
        <f t="shared" si="870"/>
        <v>#N/A</v>
      </c>
      <c r="AJ1963" s="104" t="e">
        <f t="shared" si="871"/>
        <v>#VALUE!</v>
      </c>
      <c r="AK1963" s="104" t="e">
        <f t="shared" si="872"/>
        <v>#N/A</v>
      </c>
      <c r="AL1963" s="104" t="e">
        <f t="shared" si="873"/>
        <v>#N/A</v>
      </c>
      <c r="AM1963" s="104" t="e">
        <f t="shared" si="874"/>
        <v>#N/A</v>
      </c>
      <c r="AN1963" s="104" t="e">
        <f t="shared" si="858"/>
        <v>#N/A</v>
      </c>
      <c r="AO1963" s="104" t="e">
        <f t="shared" si="859"/>
        <v>#N/A</v>
      </c>
      <c r="AP1963" s="104" t="e">
        <f t="shared" si="860"/>
        <v>#N/A</v>
      </c>
      <c r="AQ1963" s="104" t="e">
        <f t="shared" si="861"/>
        <v>#N/A</v>
      </c>
      <c r="AR1963" s="105" t="str">
        <f t="shared" si="853"/>
        <v/>
      </c>
      <c r="AS1963" s="105" t="str">
        <f t="shared" si="854"/>
        <v/>
      </c>
      <c r="AT1963" s="108" t="str">
        <f t="shared" si="855"/>
        <v/>
      </c>
      <c r="AU1963" s="108" t="str">
        <f t="shared" si="856"/>
        <v/>
      </c>
      <c r="AV1963" s="107" t="str">
        <f>IF(ISNUMBER(O1963),IF(VLOOKUP($A1963,Stand!C:J,8,FALSE)="Short",AT1963,AU1963),"")</f>
        <v/>
      </c>
      <c r="AW1963" s="109" t="str">
        <f t="shared" si="862"/>
        <v/>
      </c>
      <c r="AX1963" s="109" t="str">
        <f t="shared" si="863"/>
        <v/>
      </c>
      <c r="AY1963" s="112" t="str">
        <f>IF(ISNUMBER(O1963),IF(AND(VLOOKUP($D1963,Merchantability!$B:$C,2,0)="Yes",$E1963&gt;=VLOOKUP($D1963,Merchantability!$B:$D,3,0),$E1963&lt;=VLOOKUP($D1963,Merchantability!$B:$E,4,0)),(AV1963*O1963)*(1-$H1963/100),""),"")</f>
        <v/>
      </c>
      <c r="AZ1963" s="116"/>
      <c r="BA1963" s="116"/>
      <c r="BB1963" s="116"/>
      <c r="BE1963" s="62"/>
      <c r="BF1963" s="63"/>
    </row>
    <row r="1964" spans="1:58" ht="12.75" customHeight="1" x14ac:dyDescent="0.25">
      <c r="A1964" s="334"/>
      <c r="B1964" s="334"/>
      <c r="C1964" s="332"/>
      <c r="D1964" s="334"/>
      <c r="E1964" s="335"/>
      <c r="F1964" s="334"/>
      <c r="G1964" s="332"/>
      <c r="H1964" s="332"/>
      <c r="I1964" s="334"/>
      <c r="J1964" s="336"/>
      <c r="K1964" s="332"/>
      <c r="L1964" s="332"/>
      <c r="M1964" s="76"/>
      <c r="N1964" s="103" t="str">
        <f>IF(A1964="","",VLOOKUP(A1964,Stand!C:K,9,0))</f>
        <v/>
      </c>
      <c r="O1964" s="104" t="str">
        <f t="shared" si="848"/>
        <v/>
      </c>
      <c r="P1964" s="105" t="str">
        <f t="shared" si="849"/>
        <v/>
      </c>
      <c r="Q1964" s="105" t="str">
        <f t="shared" si="864"/>
        <v/>
      </c>
      <c r="R1964" s="103" t="str">
        <f t="shared" si="850"/>
        <v/>
      </c>
      <c r="S1964" s="103" t="str">
        <f t="shared" si="851"/>
        <v/>
      </c>
      <c r="T1964" s="106" t="str">
        <f t="shared" si="865"/>
        <v/>
      </c>
      <c r="U1964" s="106" t="str">
        <f t="shared" si="866"/>
        <v/>
      </c>
      <c r="V1964" s="106" t="str">
        <f t="shared" si="867"/>
        <v/>
      </c>
      <c r="W1964" s="105" t="str">
        <f t="shared" si="852"/>
        <v/>
      </c>
      <c r="X1964" s="104" t="str">
        <f t="shared" si="857"/>
        <v/>
      </c>
      <c r="Y1964" s="104" t="str">
        <f t="array" ref="Y1964">IFERROR(IF(ISNUMBER(O1964),IF(COUNT(IF(A1964=$A$2:$A$2427,IF(D1964=$D$2:$D$2427,IF($X$2:$X$2427&gt;0,1))))&gt;0,SUM(IF(A1964=$A$2:$A$2427,IF(D1964=$D$2:$D$2427,$X$2:$X$2427)))/COUNT(IF(A1964=$A$2:$A$2427,IF(D1964=$D$2:$D$2427,IF(ISNUMBER($X$2:$X$2427),1)))),0),""),0)</f>
        <v/>
      </c>
      <c r="Z1964" s="104" t="str">
        <f>IF(ISNUMBER(O1964),IF(I1964&gt;0,(10^(VLOOKUP(D1964,'Species Codes'!B:C,2,0)+VLOOKUP(D1964,'Species Codes'!B:D,3,0)*LOG(E1964)+VLOOKUP(D1964,'Species Codes'!B:E,4,0)*LOG(I1964))),0),"")</f>
        <v/>
      </c>
      <c r="AA1964" s="104" t="str">
        <f>IFERROR((VLOOKUP(D1964,'Species Codes'!B:G,6,0)*Z1964)/2000,"")</f>
        <v/>
      </c>
      <c r="AB1964" s="104" t="e">
        <f>IF(Z1964&gt;0,((IF(OR(D1964="DF",D1964="RA")=TRUE,EXP(VLOOKUP(D1964,'Species Codes'!B:I,8,0)+VLOOKUP(D1964,'Species Codes'!B:J,9,0)*(LN((E1964*2.54)))),IF(OR(D1964="PY",D1964="RC",D1964="WH",D1964="NF")=TRUE,VLOOKUP(D1964,'Species Codes'!B:I,8,0)+VLOOKUP(D1964,'Species Codes'!B:J,9,0)*((E1964*2.54)^2)*(I1964*0.3048),IF(OR(D1964="MD",D1964="BM",D1964="GA")=TRUE,((VLOOKUP(D1964,'Species Codes'!B:I,8,0)*(((((E1964*2.54)+VLOOKUP(D1964,'Species Codes'!B:J,9,0))/VLOOKUP(D1964,'Species Codes'!B:K,10,0))^VLOOKUP(D1964,'Species Codes'!B:L,11,0))*((I1964*0.3048)^VLOOKUP(D1964,'Species Codes'!B:M,12,0))))-(VLOOKUP(D1964,'Species Codes'!B:I,8,0)*((((E1964*2.54)^VLOOKUP(D1964,'Species Codes'!B:L,11,0))*((I1964*0.3048)^VLOOKUP(D1964,'Species Codes'!B:M,12,0))))))*35.3*VLOOKUP(D1964,'Species Codes'!B:G,6,0)/2.2046,VLOOKUP(D1964,'Species Codes'!B:I,8,0)+VLOOKUP(D1964,'Species Codes'!B:J,9,0)*(((E1964*2.54)/100)^2)*(I1964*0.3048)))))*0.0011023),0)</f>
        <v>#N/A</v>
      </c>
      <c r="AC1964" s="104" t="e">
        <f>IF(Z1964&gt;0,((IF(OR(D1964="RA",D1964="OA",D1964="OT",D1964="UN",D1964="PC"),EXP(VLOOKUP(D1964,'Species Codes'!B:O,14,0)+VLOOKUP(D1964,'Species Codes'!B:P,15,0)*LN((E1964*2.54)))-EXP(VLOOKUP(D1964,'Species Codes'!B:O,14,0)+VLOOKUP(D1964,'Species Codes'!B:P,15,0)*LN((E1964*2.54)))*(1/(VLOOKUP(D1964,'Species Codes'!B:Q,16,0)+VLOOKUP(D1964,'Species Codes'!B:R,17,0)*((E1964*2.54)^VLOOKUP(D1964,'Species Codes'!B:S,18,0)))),IF(OR(D1964="BM",D1964="MD",D1964="OA"),EXP(VLOOKUP(D1964,'Species Codes'!B:O,14,0)+VLOOKUP(D1964,'Species Codes'!B:P,15,0)*LN((E1964*2.54)))*(1-(1/(VLOOKUP(D1964,'Species Codes'!B:Q,16,0)+VLOOKUP(D1964,'Species Codes'!B:R,17,0)*((E1964*2.54)^VLOOKUP(D1964,'Species Codes'!B:S,18,0)))))/1000,IF(D1964="DF",EXP(VLOOKUP(D1964,'Species Codes'!B:O,14,0)+VLOOKUP(D1964,'Species Codes'!B:P,15,0)*LN((E1964*2.54))),VLOOKUP(D1964,'Species Codes'!B:O,14,0)+VLOOKUP(D1964,'Species Codes'!B:P,15,0)*(((E1964*2.54)/100)^2)*(I1964*0.3048)))))*0.0011023),0)</f>
        <v>#N/A</v>
      </c>
      <c r="AD1964" s="104" t="e">
        <f t="shared" si="868"/>
        <v>#N/A</v>
      </c>
      <c r="AE1964" s="104" t="e">
        <f t="shared" si="869"/>
        <v>#N/A</v>
      </c>
      <c r="AF1964" s="104" t="e">
        <f>IF(AND(VLOOKUP($D1964,Merchantability!$B:$C,2,0)="Yes",$E1964&gt;=VLOOKUP($D1964,Merchantability!$B:$D,3,0),$E1964&lt;=VLOOKUP($D1964,Merchantability!$B:$E,4,0)),AA1964,0)</f>
        <v>#N/A</v>
      </c>
      <c r="AG1964" s="104" t="e">
        <f>IF(AND(VLOOKUP($D1964,Merchantability!$B:$C,2,0)="Yes",$E1964&gt;=VLOOKUP($D1964,Merchantability!$B:$D,3,0),$E1964&lt;=VLOOKUP($D1964,Merchantability!$B:$E,4,0)),AB1964,0)</f>
        <v>#N/A</v>
      </c>
      <c r="AH1964" s="104" t="e">
        <f>IF(AND(VLOOKUP($D1964,Merchantability!$B:$C,2,0)="Yes",$E1964&gt;=VLOOKUP($D1964,Merchantability!$B:$D,3,0),$E1964&lt;=VLOOKUP($D1964,Merchantability!$B:$E,4,0)),AC1964,0)</f>
        <v>#N/A</v>
      </c>
      <c r="AI1964" s="104" t="e">
        <f t="shared" si="870"/>
        <v>#N/A</v>
      </c>
      <c r="AJ1964" s="104" t="e">
        <f t="shared" si="871"/>
        <v>#VALUE!</v>
      </c>
      <c r="AK1964" s="104" t="e">
        <f t="shared" si="872"/>
        <v>#N/A</v>
      </c>
      <c r="AL1964" s="104" t="e">
        <f t="shared" si="873"/>
        <v>#N/A</v>
      </c>
      <c r="AM1964" s="104" t="e">
        <f t="shared" si="874"/>
        <v>#N/A</v>
      </c>
      <c r="AN1964" s="104" t="e">
        <f t="shared" si="858"/>
        <v>#N/A</v>
      </c>
      <c r="AO1964" s="104" t="e">
        <f t="shared" si="859"/>
        <v>#N/A</v>
      </c>
      <c r="AP1964" s="104" t="e">
        <f t="shared" si="860"/>
        <v>#N/A</v>
      </c>
      <c r="AQ1964" s="104" t="e">
        <f t="shared" si="861"/>
        <v>#N/A</v>
      </c>
      <c r="AR1964" s="105" t="str">
        <f t="shared" si="853"/>
        <v/>
      </c>
      <c r="AS1964" s="105" t="str">
        <f t="shared" si="854"/>
        <v/>
      </c>
      <c r="AT1964" s="108" t="str">
        <f t="shared" si="855"/>
        <v/>
      </c>
      <c r="AU1964" s="108" t="str">
        <f t="shared" si="856"/>
        <v/>
      </c>
      <c r="AV1964" s="107" t="str">
        <f>IF(ISNUMBER(O1964),IF(VLOOKUP($A1964,Stand!C:J,8,FALSE)="Short",AT1964,AU1964),"")</f>
        <v/>
      </c>
      <c r="AW1964" s="109" t="str">
        <f t="shared" si="862"/>
        <v/>
      </c>
      <c r="AX1964" s="109" t="str">
        <f t="shared" si="863"/>
        <v/>
      </c>
      <c r="AY1964" s="112" t="str">
        <f>IF(ISNUMBER(O1964),IF(AND(VLOOKUP($D1964,Merchantability!$B:$C,2,0)="Yes",$E1964&gt;=VLOOKUP($D1964,Merchantability!$B:$D,3,0),$E1964&lt;=VLOOKUP($D1964,Merchantability!$B:$E,4,0)),(AV1964*O1964)*(1-$H1964/100),""),"")</f>
        <v/>
      </c>
      <c r="AZ1964" s="116"/>
      <c r="BA1964" s="116"/>
      <c r="BB1964" s="116"/>
      <c r="BE1964" s="62"/>
      <c r="BF1964" s="63"/>
    </row>
    <row r="1965" spans="1:58" ht="12.75" customHeight="1" x14ac:dyDescent="0.25">
      <c r="A1965" s="334"/>
      <c r="B1965" s="334"/>
      <c r="C1965" s="332"/>
      <c r="D1965" s="334"/>
      <c r="E1965" s="335"/>
      <c r="F1965" s="334"/>
      <c r="G1965" s="332"/>
      <c r="H1965" s="332"/>
      <c r="I1965" s="334"/>
      <c r="J1965" s="336"/>
      <c r="K1965" s="332"/>
      <c r="L1965" s="332"/>
      <c r="M1965" s="76"/>
      <c r="N1965" s="103" t="str">
        <f>IF(A1965="","",VLOOKUP(A1965,Stand!C:K,9,0))</f>
        <v/>
      </c>
      <c r="O1965" s="104" t="str">
        <f t="shared" si="848"/>
        <v/>
      </c>
      <c r="P1965" s="105" t="str">
        <f t="shared" si="849"/>
        <v/>
      </c>
      <c r="Q1965" s="105" t="str">
        <f t="shared" si="864"/>
        <v/>
      </c>
      <c r="R1965" s="103" t="str">
        <f t="shared" si="850"/>
        <v/>
      </c>
      <c r="S1965" s="103" t="str">
        <f t="shared" si="851"/>
        <v/>
      </c>
      <c r="T1965" s="106" t="str">
        <f t="shared" si="865"/>
        <v/>
      </c>
      <c r="U1965" s="106" t="str">
        <f t="shared" si="866"/>
        <v/>
      </c>
      <c r="V1965" s="106" t="str">
        <f t="shared" si="867"/>
        <v/>
      </c>
      <c r="W1965" s="105" t="str">
        <f t="shared" si="852"/>
        <v/>
      </c>
      <c r="X1965" s="104" t="str">
        <f t="shared" si="857"/>
        <v/>
      </c>
      <c r="Y1965" s="104" t="str">
        <f t="array" ref="Y1965">IFERROR(IF(ISNUMBER(O1965),IF(COUNT(IF(A1965=$A$2:$A$2427,IF(D1965=$D$2:$D$2427,IF($X$2:$X$2427&gt;0,1))))&gt;0,SUM(IF(A1965=$A$2:$A$2427,IF(D1965=$D$2:$D$2427,$X$2:$X$2427)))/COUNT(IF(A1965=$A$2:$A$2427,IF(D1965=$D$2:$D$2427,IF(ISNUMBER($X$2:$X$2427),1)))),0),""),0)</f>
        <v/>
      </c>
      <c r="Z1965" s="104" t="str">
        <f>IF(ISNUMBER(O1965),IF(I1965&gt;0,(10^(VLOOKUP(D1965,'Species Codes'!B:C,2,0)+VLOOKUP(D1965,'Species Codes'!B:D,3,0)*LOG(E1965)+VLOOKUP(D1965,'Species Codes'!B:E,4,0)*LOG(I1965))),0),"")</f>
        <v/>
      </c>
      <c r="AA1965" s="104" t="str">
        <f>IFERROR((VLOOKUP(D1965,'Species Codes'!B:G,6,0)*Z1965)/2000,"")</f>
        <v/>
      </c>
      <c r="AB1965" s="104" t="e">
        <f>IF(Z1965&gt;0,((IF(OR(D1965="DF",D1965="RA")=TRUE,EXP(VLOOKUP(D1965,'Species Codes'!B:I,8,0)+VLOOKUP(D1965,'Species Codes'!B:J,9,0)*(LN((E1965*2.54)))),IF(OR(D1965="PY",D1965="RC",D1965="WH",D1965="NF")=TRUE,VLOOKUP(D1965,'Species Codes'!B:I,8,0)+VLOOKUP(D1965,'Species Codes'!B:J,9,0)*((E1965*2.54)^2)*(I1965*0.3048),IF(OR(D1965="MD",D1965="BM",D1965="GA")=TRUE,((VLOOKUP(D1965,'Species Codes'!B:I,8,0)*(((((E1965*2.54)+VLOOKUP(D1965,'Species Codes'!B:J,9,0))/VLOOKUP(D1965,'Species Codes'!B:K,10,0))^VLOOKUP(D1965,'Species Codes'!B:L,11,0))*((I1965*0.3048)^VLOOKUP(D1965,'Species Codes'!B:M,12,0))))-(VLOOKUP(D1965,'Species Codes'!B:I,8,0)*((((E1965*2.54)^VLOOKUP(D1965,'Species Codes'!B:L,11,0))*((I1965*0.3048)^VLOOKUP(D1965,'Species Codes'!B:M,12,0))))))*35.3*VLOOKUP(D1965,'Species Codes'!B:G,6,0)/2.2046,VLOOKUP(D1965,'Species Codes'!B:I,8,0)+VLOOKUP(D1965,'Species Codes'!B:J,9,0)*(((E1965*2.54)/100)^2)*(I1965*0.3048)))))*0.0011023),0)</f>
        <v>#N/A</v>
      </c>
      <c r="AC1965" s="104" t="e">
        <f>IF(Z1965&gt;0,((IF(OR(D1965="RA",D1965="OA",D1965="OT",D1965="UN",D1965="PC"),EXP(VLOOKUP(D1965,'Species Codes'!B:O,14,0)+VLOOKUP(D1965,'Species Codes'!B:P,15,0)*LN((E1965*2.54)))-EXP(VLOOKUP(D1965,'Species Codes'!B:O,14,0)+VLOOKUP(D1965,'Species Codes'!B:P,15,0)*LN((E1965*2.54)))*(1/(VLOOKUP(D1965,'Species Codes'!B:Q,16,0)+VLOOKUP(D1965,'Species Codes'!B:R,17,0)*((E1965*2.54)^VLOOKUP(D1965,'Species Codes'!B:S,18,0)))),IF(OR(D1965="BM",D1965="MD",D1965="OA"),EXP(VLOOKUP(D1965,'Species Codes'!B:O,14,0)+VLOOKUP(D1965,'Species Codes'!B:P,15,0)*LN((E1965*2.54)))*(1-(1/(VLOOKUP(D1965,'Species Codes'!B:Q,16,0)+VLOOKUP(D1965,'Species Codes'!B:R,17,0)*((E1965*2.54)^VLOOKUP(D1965,'Species Codes'!B:S,18,0)))))/1000,IF(D1965="DF",EXP(VLOOKUP(D1965,'Species Codes'!B:O,14,0)+VLOOKUP(D1965,'Species Codes'!B:P,15,0)*LN((E1965*2.54))),VLOOKUP(D1965,'Species Codes'!B:O,14,0)+VLOOKUP(D1965,'Species Codes'!B:P,15,0)*(((E1965*2.54)/100)^2)*(I1965*0.3048)))))*0.0011023),0)</f>
        <v>#N/A</v>
      </c>
      <c r="AD1965" s="104" t="e">
        <f t="shared" si="868"/>
        <v>#N/A</v>
      </c>
      <c r="AE1965" s="104" t="e">
        <f t="shared" si="869"/>
        <v>#N/A</v>
      </c>
      <c r="AF1965" s="104" t="e">
        <f>IF(AND(VLOOKUP($D1965,Merchantability!$B:$C,2,0)="Yes",$E1965&gt;=VLOOKUP($D1965,Merchantability!$B:$D,3,0),$E1965&lt;=VLOOKUP($D1965,Merchantability!$B:$E,4,0)),AA1965,0)</f>
        <v>#N/A</v>
      </c>
      <c r="AG1965" s="104" t="e">
        <f>IF(AND(VLOOKUP($D1965,Merchantability!$B:$C,2,0)="Yes",$E1965&gt;=VLOOKUP($D1965,Merchantability!$B:$D,3,0),$E1965&lt;=VLOOKUP($D1965,Merchantability!$B:$E,4,0)),AB1965,0)</f>
        <v>#N/A</v>
      </c>
      <c r="AH1965" s="104" t="e">
        <f>IF(AND(VLOOKUP($D1965,Merchantability!$B:$C,2,0)="Yes",$E1965&gt;=VLOOKUP($D1965,Merchantability!$B:$D,3,0),$E1965&lt;=VLOOKUP($D1965,Merchantability!$B:$E,4,0)),AC1965,0)</f>
        <v>#N/A</v>
      </c>
      <c r="AI1965" s="104" t="e">
        <f t="shared" si="870"/>
        <v>#N/A</v>
      </c>
      <c r="AJ1965" s="104" t="e">
        <f t="shared" si="871"/>
        <v>#VALUE!</v>
      </c>
      <c r="AK1965" s="104" t="e">
        <f t="shared" si="872"/>
        <v>#N/A</v>
      </c>
      <c r="AL1965" s="104" t="e">
        <f t="shared" si="873"/>
        <v>#N/A</v>
      </c>
      <c r="AM1965" s="104" t="e">
        <f t="shared" si="874"/>
        <v>#N/A</v>
      </c>
      <c r="AN1965" s="104" t="e">
        <f t="shared" si="858"/>
        <v>#N/A</v>
      </c>
      <c r="AO1965" s="104" t="e">
        <f t="shared" si="859"/>
        <v>#N/A</v>
      </c>
      <c r="AP1965" s="104" t="e">
        <f t="shared" si="860"/>
        <v>#N/A</v>
      </c>
      <c r="AQ1965" s="104" t="e">
        <f t="shared" si="861"/>
        <v>#N/A</v>
      </c>
      <c r="AR1965" s="105" t="str">
        <f t="shared" si="853"/>
        <v/>
      </c>
      <c r="AS1965" s="105" t="str">
        <f t="shared" si="854"/>
        <v/>
      </c>
      <c r="AT1965" s="108" t="str">
        <f t="shared" si="855"/>
        <v/>
      </c>
      <c r="AU1965" s="108" t="str">
        <f t="shared" si="856"/>
        <v/>
      </c>
      <c r="AV1965" s="107" t="str">
        <f>IF(ISNUMBER(O1965),IF(VLOOKUP($A1965,Stand!C:J,8,FALSE)="Short",AT1965,AU1965),"")</f>
        <v/>
      </c>
      <c r="AW1965" s="109" t="str">
        <f t="shared" si="862"/>
        <v/>
      </c>
      <c r="AX1965" s="109" t="str">
        <f t="shared" si="863"/>
        <v/>
      </c>
      <c r="AY1965" s="112" t="str">
        <f>IF(ISNUMBER(O1965),IF(AND(VLOOKUP($D1965,Merchantability!$B:$C,2,0)="Yes",$E1965&gt;=VLOOKUP($D1965,Merchantability!$B:$D,3,0),$E1965&lt;=VLOOKUP($D1965,Merchantability!$B:$E,4,0)),(AV1965*O1965)*(1-$H1965/100),""),"")</f>
        <v/>
      </c>
      <c r="AZ1965" s="116"/>
      <c r="BA1965" s="116"/>
      <c r="BB1965" s="116"/>
      <c r="BE1965" s="62"/>
      <c r="BF1965" s="63"/>
    </row>
    <row r="1966" spans="1:58" ht="12.75" customHeight="1" x14ac:dyDescent="0.25">
      <c r="A1966" s="334"/>
      <c r="B1966" s="334"/>
      <c r="C1966" s="332"/>
      <c r="D1966" s="334"/>
      <c r="E1966" s="335"/>
      <c r="F1966" s="334"/>
      <c r="G1966" s="332"/>
      <c r="H1966" s="332"/>
      <c r="I1966" s="334"/>
      <c r="J1966" s="336"/>
      <c r="K1966" s="332"/>
      <c r="L1966" s="332"/>
      <c r="M1966" s="76"/>
      <c r="N1966" s="103" t="str">
        <f>IF(A1966="","",VLOOKUP(A1966,Stand!C:K,9,0))</f>
        <v/>
      </c>
      <c r="O1966" s="104" t="str">
        <f t="shared" si="848"/>
        <v/>
      </c>
      <c r="P1966" s="105" t="str">
        <f t="shared" si="849"/>
        <v/>
      </c>
      <c r="Q1966" s="105" t="str">
        <f t="shared" si="864"/>
        <v/>
      </c>
      <c r="R1966" s="103" t="str">
        <f t="shared" si="850"/>
        <v/>
      </c>
      <c r="S1966" s="103" t="str">
        <f t="shared" si="851"/>
        <v/>
      </c>
      <c r="T1966" s="106" t="str">
        <f t="shared" si="865"/>
        <v/>
      </c>
      <c r="U1966" s="106" t="str">
        <f t="shared" si="866"/>
        <v/>
      </c>
      <c r="V1966" s="106" t="str">
        <f t="shared" si="867"/>
        <v/>
      </c>
      <c r="W1966" s="105" t="str">
        <f t="shared" si="852"/>
        <v/>
      </c>
      <c r="X1966" s="104" t="str">
        <f t="shared" si="857"/>
        <v/>
      </c>
      <c r="Y1966" s="104" t="str">
        <f t="array" ref="Y1966">IFERROR(IF(ISNUMBER(O1966),IF(COUNT(IF(A1966=$A$2:$A$2427,IF(D1966=$D$2:$D$2427,IF($X$2:$X$2427&gt;0,1))))&gt;0,SUM(IF(A1966=$A$2:$A$2427,IF(D1966=$D$2:$D$2427,$X$2:$X$2427)))/COUNT(IF(A1966=$A$2:$A$2427,IF(D1966=$D$2:$D$2427,IF(ISNUMBER($X$2:$X$2427),1)))),0),""),0)</f>
        <v/>
      </c>
      <c r="Z1966" s="104" t="str">
        <f>IF(ISNUMBER(O1966),IF(I1966&gt;0,(10^(VLOOKUP(D1966,'Species Codes'!B:C,2,0)+VLOOKUP(D1966,'Species Codes'!B:D,3,0)*LOG(E1966)+VLOOKUP(D1966,'Species Codes'!B:E,4,0)*LOG(I1966))),0),"")</f>
        <v/>
      </c>
      <c r="AA1966" s="104" t="str">
        <f>IFERROR((VLOOKUP(D1966,'Species Codes'!B:G,6,0)*Z1966)/2000,"")</f>
        <v/>
      </c>
      <c r="AB1966" s="104" t="e">
        <f>IF(Z1966&gt;0,((IF(OR(D1966="DF",D1966="RA")=TRUE,EXP(VLOOKUP(D1966,'Species Codes'!B:I,8,0)+VLOOKUP(D1966,'Species Codes'!B:J,9,0)*(LN((E1966*2.54)))),IF(OR(D1966="PY",D1966="RC",D1966="WH",D1966="NF")=TRUE,VLOOKUP(D1966,'Species Codes'!B:I,8,0)+VLOOKUP(D1966,'Species Codes'!B:J,9,0)*((E1966*2.54)^2)*(I1966*0.3048),IF(OR(D1966="MD",D1966="BM",D1966="GA")=TRUE,((VLOOKUP(D1966,'Species Codes'!B:I,8,0)*(((((E1966*2.54)+VLOOKUP(D1966,'Species Codes'!B:J,9,0))/VLOOKUP(D1966,'Species Codes'!B:K,10,0))^VLOOKUP(D1966,'Species Codes'!B:L,11,0))*((I1966*0.3048)^VLOOKUP(D1966,'Species Codes'!B:M,12,0))))-(VLOOKUP(D1966,'Species Codes'!B:I,8,0)*((((E1966*2.54)^VLOOKUP(D1966,'Species Codes'!B:L,11,0))*((I1966*0.3048)^VLOOKUP(D1966,'Species Codes'!B:M,12,0))))))*35.3*VLOOKUP(D1966,'Species Codes'!B:G,6,0)/2.2046,VLOOKUP(D1966,'Species Codes'!B:I,8,0)+VLOOKUP(D1966,'Species Codes'!B:J,9,0)*(((E1966*2.54)/100)^2)*(I1966*0.3048)))))*0.0011023),0)</f>
        <v>#N/A</v>
      </c>
      <c r="AC1966" s="104" t="e">
        <f>IF(Z1966&gt;0,((IF(OR(D1966="RA",D1966="OA",D1966="OT",D1966="UN",D1966="PC"),EXP(VLOOKUP(D1966,'Species Codes'!B:O,14,0)+VLOOKUP(D1966,'Species Codes'!B:P,15,0)*LN((E1966*2.54)))-EXP(VLOOKUP(D1966,'Species Codes'!B:O,14,0)+VLOOKUP(D1966,'Species Codes'!B:P,15,0)*LN((E1966*2.54)))*(1/(VLOOKUP(D1966,'Species Codes'!B:Q,16,0)+VLOOKUP(D1966,'Species Codes'!B:R,17,0)*((E1966*2.54)^VLOOKUP(D1966,'Species Codes'!B:S,18,0)))),IF(OR(D1966="BM",D1966="MD",D1966="OA"),EXP(VLOOKUP(D1966,'Species Codes'!B:O,14,0)+VLOOKUP(D1966,'Species Codes'!B:P,15,0)*LN((E1966*2.54)))*(1-(1/(VLOOKUP(D1966,'Species Codes'!B:Q,16,0)+VLOOKUP(D1966,'Species Codes'!B:R,17,0)*((E1966*2.54)^VLOOKUP(D1966,'Species Codes'!B:S,18,0)))))/1000,IF(D1966="DF",EXP(VLOOKUP(D1966,'Species Codes'!B:O,14,0)+VLOOKUP(D1966,'Species Codes'!B:P,15,0)*LN((E1966*2.54))),VLOOKUP(D1966,'Species Codes'!B:O,14,0)+VLOOKUP(D1966,'Species Codes'!B:P,15,0)*(((E1966*2.54)/100)^2)*(I1966*0.3048)))))*0.0011023),0)</f>
        <v>#N/A</v>
      </c>
      <c r="AD1966" s="104" t="e">
        <f t="shared" si="868"/>
        <v>#N/A</v>
      </c>
      <c r="AE1966" s="104" t="e">
        <f t="shared" si="869"/>
        <v>#N/A</v>
      </c>
      <c r="AF1966" s="104" t="e">
        <f>IF(AND(VLOOKUP($D1966,Merchantability!$B:$C,2,0)="Yes",$E1966&gt;=VLOOKUP($D1966,Merchantability!$B:$D,3,0),$E1966&lt;=VLOOKUP($D1966,Merchantability!$B:$E,4,0)),AA1966,0)</f>
        <v>#N/A</v>
      </c>
      <c r="AG1966" s="104" t="e">
        <f>IF(AND(VLOOKUP($D1966,Merchantability!$B:$C,2,0)="Yes",$E1966&gt;=VLOOKUP($D1966,Merchantability!$B:$D,3,0),$E1966&lt;=VLOOKUP($D1966,Merchantability!$B:$E,4,0)),AB1966,0)</f>
        <v>#N/A</v>
      </c>
      <c r="AH1966" s="104" t="e">
        <f>IF(AND(VLOOKUP($D1966,Merchantability!$B:$C,2,0)="Yes",$E1966&gt;=VLOOKUP($D1966,Merchantability!$B:$D,3,0),$E1966&lt;=VLOOKUP($D1966,Merchantability!$B:$E,4,0)),AC1966,0)</f>
        <v>#N/A</v>
      </c>
      <c r="AI1966" s="104" t="e">
        <f t="shared" si="870"/>
        <v>#N/A</v>
      </c>
      <c r="AJ1966" s="104" t="e">
        <f t="shared" si="871"/>
        <v>#VALUE!</v>
      </c>
      <c r="AK1966" s="104" t="e">
        <f t="shared" si="872"/>
        <v>#N/A</v>
      </c>
      <c r="AL1966" s="104" t="e">
        <f t="shared" si="873"/>
        <v>#N/A</v>
      </c>
      <c r="AM1966" s="104" t="e">
        <f t="shared" si="874"/>
        <v>#N/A</v>
      </c>
      <c r="AN1966" s="104" t="e">
        <f t="shared" si="858"/>
        <v>#N/A</v>
      </c>
      <c r="AO1966" s="104" t="e">
        <f t="shared" si="859"/>
        <v>#N/A</v>
      </c>
      <c r="AP1966" s="104" t="e">
        <f t="shared" si="860"/>
        <v>#N/A</v>
      </c>
      <c r="AQ1966" s="104" t="e">
        <f t="shared" si="861"/>
        <v>#N/A</v>
      </c>
      <c r="AR1966" s="105" t="str">
        <f t="shared" si="853"/>
        <v/>
      </c>
      <c r="AS1966" s="105" t="str">
        <f t="shared" si="854"/>
        <v/>
      </c>
      <c r="AT1966" s="108" t="str">
        <f t="shared" si="855"/>
        <v/>
      </c>
      <c r="AU1966" s="108" t="str">
        <f t="shared" si="856"/>
        <v/>
      </c>
      <c r="AV1966" s="107" t="str">
        <f>IF(ISNUMBER(O1966),IF(VLOOKUP($A1966,Stand!C:J,8,FALSE)="Short",AT1966,AU1966),"")</f>
        <v/>
      </c>
      <c r="AW1966" s="109" t="str">
        <f t="shared" si="862"/>
        <v/>
      </c>
      <c r="AX1966" s="109" t="str">
        <f t="shared" si="863"/>
        <v/>
      </c>
      <c r="AY1966" s="112" t="str">
        <f>IF(ISNUMBER(O1966),IF(AND(VLOOKUP($D1966,Merchantability!$B:$C,2,0)="Yes",$E1966&gt;=VLOOKUP($D1966,Merchantability!$B:$D,3,0),$E1966&lt;=VLOOKUP($D1966,Merchantability!$B:$E,4,0)),(AV1966*O1966)*(1-$H1966/100),""),"")</f>
        <v/>
      </c>
      <c r="AZ1966" s="116"/>
      <c r="BA1966" s="116"/>
      <c r="BB1966" s="116"/>
      <c r="BE1966" s="62"/>
      <c r="BF1966" s="63"/>
    </row>
    <row r="1967" spans="1:58" ht="12.75" customHeight="1" x14ac:dyDescent="0.25">
      <c r="A1967" s="334"/>
      <c r="B1967" s="334"/>
      <c r="C1967" s="332"/>
      <c r="D1967" s="334"/>
      <c r="E1967" s="335"/>
      <c r="F1967" s="334"/>
      <c r="G1967" s="332"/>
      <c r="H1967" s="332"/>
      <c r="I1967" s="334"/>
      <c r="J1967" s="336"/>
      <c r="K1967" s="332"/>
      <c r="L1967" s="332"/>
      <c r="M1967" s="76"/>
      <c r="N1967" s="103" t="str">
        <f>IF(A1967="","",VLOOKUP(A1967,Stand!C:K,9,0))</f>
        <v/>
      </c>
      <c r="O1967" s="104" t="str">
        <f t="shared" si="848"/>
        <v/>
      </c>
      <c r="P1967" s="105" t="str">
        <f t="shared" si="849"/>
        <v/>
      </c>
      <c r="Q1967" s="105" t="str">
        <f t="shared" si="864"/>
        <v/>
      </c>
      <c r="R1967" s="103" t="str">
        <f t="shared" si="850"/>
        <v/>
      </c>
      <c r="S1967" s="103" t="str">
        <f t="shared" si="851"/>
        <v/>
      </c>
      <c r="T1967" s="106" t="str">
        <f t="shared" si="865"/>
        <v/>
      </c>
      <c r="U1967" s="106" t="str">
        <f t="shared" si="866"/>
        <v/>
      </c>
      <c r="V1967" s="106" t="str">
        <f t="shared" si="867"/>
        <v/>
      </c>
      <c r="W1967" s="105" t="str">
        <f t="shared" si="852"/>
        <v/>
      </c>
      <c r="X1967" s="104" t="str">
        <f t="shared" si="857"/>
        <v/>
      </c>
      <c r="Y1967" s="104" t="str">
        <f t="array" ref="Y1967">IFERROR(IF(ISNUMBER(O1967),IF(COUNT(IF(A1967=$A$2:$A$2427,IF(D1967=$D$2:$D$2427,IF($X$2:$X$2427&gt;0,1))))&gt;0,SUM(IF(A1967=$A$2:$A$2427,IF(D1967=$D$2:$D$2427,$X$2:$X$2427)))/COUNT(IF(A1967=$A$2:$A$2427,IF(D1967=$D$2:$D$2427,IF(ISNUMBER($X$2:$X$2427),1)))),0),""),0)</f>
        <v/>
      </c>
      <c r="Z1967" s="104" t="str">
        <f>IF(ISNUMBER(O1967),IF(I1967&gt;0,(10^(VLOOKUP(D1967,'Species Codes'!B:C,2,0)+VLOOKUP(D1967,'Species Codes'!B:D,3,0)*LOG(E1967)+VLOOKUP(D1967,'Species Codes'!B:E,4,0)*LOG(I1967))),0),"")</f>
        <v/>
      </c>
      <c r="AA1967" s="104" t="str">
        <f>IFERROR((VLOOKUP(D1967,'Species Codes'!B:G,6,0)*Z1967)/2000,"")</f>
        <v/>
      </c>
      <c r="AB1967" s="104" t="e">
        <f>IF(Z1967&gt;0,((IF(OR(D1967="DF",D1967="RA")=TRUE,EXP(VLOOKUP(D1967,'Species Codes'!B:I,8,0)+VLOOKUP(D1967,'Species Codes'!B:J,9,0)*(LN((E1967*2.54)))),IF(OR(D1967="PY",D1967="RC",D1967="WH",D1967="NF")=TRUE,VLOOKUP(D1967,'Species Codes'!B:I,8,0)+VLOOKUP(D1967,'Species Codes'!B:J,9,0)*((E1967*2.54)^2)*(I1967*0.3048),IF(OR(D1967="MD",D1967="BM",D1967="GA")=TRUE,((VLOOKUP(D1967,'Species Codes'!B:I,8,0)*(((((E1967*2.54)+VLOOKUP(D1967,'Species Codes'!B:J,9,0))/VLOOKUP(D1967,'Species Codes'!B:K,10,0))^VLOOKUP(D1967,'Species Codes'!B:L,11,0))*((I1967*0.3048)^VLOOKUP(D1967,'Species Codes'!B:M,12,0))))-(VLOOKUP(D1967,'Species Codes'!B:I,8,0)*((((E1967*2.54)^VLOOKUP(D1967,'Species Codes'!B:L,11,0))*((I1967*0.3048)^VLOOKUP(D1967,'Species Codes'!B:M,12,0))))))*35.3*VLOOKUP(D1967,'Species Codes'!B:G,6,0)/2.2046,VLOOKUP(D1967,'Species Codes'!B:I,8,0)+VLOOKUP(D1967,'Species Codes'!B:J,9,0)*(((E1967*2.54)/100)^2)*(I1967*0.3048)))))*0.0011023),0)</f>
        <v>#N/A</v>
      </c>
      <c r="AC1967" s="104" t="e">
        <f>IF(Z1967&gt;0,((IF(OR(D1967="RA",D1967="OA",D1967="OT",D1967="UN",D1967="PC"),EXP(VLOOKUP(D1967,'Species Codes'!B:O,14,0)+VLOOKUP(D1967,'Species Codes'!B:P,15,0)*LN((E1967*2.54)))-EXP(VLOOKUP(D1967,'Species Codes'!B:O,14,0)+VLOOKUP(D1967,'Species Codes'!B:P,15,0)*LN((E1967*2.54)))*(1/(VLOOKUP(D1967,'Species Codes'!B:Q,16,0)+VLOOKUP(D1967,'Species Codes'!B:R,17,0)*((E1967*2.54)^VLOOKUP(D1967,'Species Codes'!B:S,18,0)))),IF(OR(D1967="BM",D1967="MD",D1967="OA"),EXP(VLOOKUP(D1967,'Species Codes'!B:O,14,0)+VLOOKUP(D1967,'Species Codes'!B:P,15,0)*LN((E1967*2.54)))*(1-(1/(VLOOKUP(D1967,'Species Codes'!B:Q,16,0)+VLOOKUP(D1967,'Species Codes'!B:R,17,0)*((E1967*2.54)^VLOOKUP(D1967,'Species Codes'!B:S,18,0)))))/1000,IF(D1967="DF",EXP(VLOOKUP(D1967,'Species Codes'!B:O,14,0)+VLOOKUP(D1967,'Species Codes'!B:P,15,0)*LN((E1967*2.54))),VLOOKUP(D1967,'Species Codes'!B:O,14,0)+VLOOKUP(D1967,'Species Codes'!B:P,15,0)*(((E1967*2.54)/100)^2)*(I1967*0.3048)))))*0.0011023),0)</f>
        <v>#N/A</v>
      </c>
      <c r="AD1967" s="104" t="e">
        <f t="shared" si="868"/>
        <v>#N/A</v>
      </c>
      <c r="AE1967" s="104" t="e">
        <f t="shared" si="869"/>
        <v>#N/A</v>
      </c>
      <c r="AF1967" s="104" t="e">
        <f>IF(AND(VLOOKUP($D1967,Merchantability!$B:$C,2,0)="Yes",$E1967&gt;=VLOOKUP($D1967,Merchantability!$B:$D,3,0),$E1967&lt;=VLOOKUP($D1967,Merchantability!$B:$E,4,0)),AA1967,0)</f>
        <v>#N/A</v>
      </c>
      <c r="AG1967" s="104" t="e">
        <f>IF(AND(VLOOKUP($D1967,Merchantability!$B:$C,2,0)="Yes",$E1967&gt;=VLOOKUP($D1967,Merchantability!$B:$D,3,0),$E1967&lt;=VLOOKUP($D1967,Merchantability!$B:$E,4,0)),AB1967,0)</f>
        <v>#N/A</v>
      </c>
      <c r="AH1967" s="104" t="e">
        <f>IF(AND(VLOOKUP($D1967,Merchantability!$B:$C,2,0)="Yes",$E1967&gt;=VLOOKUP($D1967,Merchantability!$B:$D,3,0),$E1967&lt;=VLOOKUP($D1967,Merchantability!$B:$E,4,0)),AC1967,0)</f>
        <v>#N/A</v>
      </c>
      <c r="AI1967" s="104" t="e">
        <f t="shared" si="870"/>
        <v>#N/A</v>
      </c>
      <c r="AJ1967" s="104" t="e">
        <f t="shared" si="871"/>
        <v>#VALUE!</v>
      </c>
      <c r="AK1967" s="104" t="e">
        <f t="shared" si="872"/>
        <v>#N/A</v>
      </c>
      <c r="AL1967" s="104" t="e">
        <f t="shared" si="873"/>
        <v>#N/A</v>
      </c>
      <c r="AM1967" s="104" t="e">
        <f t="shared" si="874"/>
        <v>#N/A</v>
      </c>
      <c r="AN1967" s="104" t="e">
        <f t="shared" si="858"/>
        <v>#N/A</v>
      </c>
      <c r="AO1967" s="104" t="e">
        <f t="shared" si="859"/>
        <v>#N/A</v>
      </c>
      <c r="AP1967" s="104" t="e">
        <f t="shared" si="860"/>
        <v>#N/A</v>
      </c>
      <c r="AQ1967" s="104" t="e">
        <f t="shared" si="861"/>
        <v>#N/A</v>
      </c>
      <c r="AR1967" s="105" t="str">
        <f t="shared" si="853"/>
        <v/>
      </c>
      <c r="AS1967" s="105" t="str">
        <f t="shared" si="854"/>
        <v/>
      </c>
      <c r="AT1967" s="108" t="str">
        <f t="shared" si="855"/>
        <v/>
      </c>
      <c r="AU1967" s="108" t="str">
        <f t="shared" si="856"/>
        <v/>
      </c>
      <c r="AV1967" s="107" t="str">
        <f>IF(ISNUMBER(O1967),IF(VLOOKUP($A1967,Stand!C:J,8,FALSE)="Short",AT1967,AU1967),"")</f>
        <v/>
      </c>
      <c r="AW1967" s="109" t="str">
        <f t="shared" si="862"/>
        <v/>
      </c>
      <c r="AX1967" s="109" t="str">
        <f t="shared" si="863"/>
        <v/>
      </c>
      <c r="AY1967" s="112" t="str">
        <f>IF(ISNUMBER(O1967),IF(AND(VLOOKUP($D1967,Merchantability!$B:$C,2,0)="Yes",$E1967&gt;=VLOOKUP($D1967,Merchantability!$B:$D,3,0),$E1967&lt;=VLOOKUP($D1967,Merchantability!$B:$E,4,0)),(AV1967*O1967)*(1-$H1967/100),""),"")</f>
        <v/>
      </c>
      <c r="AZ1967" s="116"/>
      <c r="BA1967" s="116"/>
      <c r="BB1967" s="116"/>
      <c r="BE1967" s="62"/>
      <c r="BF1967" s="63"/>
    </row>
    <row r="1968" spans="1:58" ht="12.75" customHeight="1" x14ac:dyDescent="0.25">
      <c r="A1968" s="334"/>
      <c r="B1968" s="334"/>
      <c r="C1968" s="332"/>
      <c r="D1968" s="334"/>
      <c r="E1968" s="335"/>
      <c r="F1968" s="334"/>
      <c r="G1968" s="332"/>
      <c r="H1968" s="332"/>
      <c r="I1968" s="334"/>
      <c r="J1968" s="336"/>
      <c r="K1968" s="332"/>
      <c r="L1968" s="332"/>
      <c r="M1968" s="76"/>
      <c r="N1968" s="103" t="str">
        <f>IF(A1968="","",VLOOKUP(A1968,Stand!C:K,9,0))</f>
        <v/>
      </c>
      <c r="O1968" s="104" t="str">
        <f t="shared" si="848"/>
        <v/>
      </c>
      <c r="P1968" s="105" t="str">
        <f t="shared" si="849"/>
        <v/>
      </c>
      <c r="Q1968" s="105" t="str">
        <f t="shared" si="864"/>
        <v/>
      </c>
      <c r="R1968" s="103" t="str">
        <f t="shared" si="850"/>
        <v/>
      </c>
      <c r="S1968" s="103" t="str">
        <f t="shared" si="851"/>
        <v/>
      </c>
      <c r="T1968" s="106" t="str">
        <f t="shared" si="865"/>
        <v/>
      </c>
      <c r="U1968" s="106" t="str">
        <f t="shared" si="866"/>
        <v/>
      </c>
      <c r="V1968" s="106" t="str">
        <f t="shared" si="867"/>
        <v/>
      </c>
      <c r="W1968" s="105" t="str">
        <f t="shared" si="852"/>
        <v/>
      </c>
      <c r="X1968" s="104" t="str">
        <f t="shared" si="857"/>
        <v/>
      </c>
      <c r="Y1968" s="104" t="str">
        <f t="array" ref="Y1968">IFERROR(IF(ISNUMBER(O1968),IF(COUNT(IF(A1968=$A$2:$A$2427,IF(D1968=$D$2:$D$2427,IF($X$2:$X$2427&gt;0,1))))&gt;0,SUM(IF(A1968=$A$2:$A$2427,IF(D1968=$D$2:$D$2427,$X$2:$X$2427)))/COUNT(IF(A1968=$A$2:$A$2427,IF(D1968=$D$2:$D$2427,IF(ISNUMBER($X$2:$X$2427),1)))),0),""),0)</f>
        <v/>
      </c>
      <c r="Z1968" s="104" t="str">
        <f>IF(ISNUMBER(O1968),IF(I1968&gt;0,(10^(VLOOKUP(D1968,'Species Codes'!B:C,2,0)+VLOOKUP(D1968,'Species Codes'!B:D,3,0)*LOG(E1968)+VLOOKUP(D1968,'Species Codes'!B:E,4,0)*LOG(I1968))),0),"")</f>
        <v/>
      </c>
      <c r="AA1968" s="104" t="str">
        <f>IFERROR((VLOOKUP(D1968,'Species Codes'!B:G,6,0)*Z1968)/2000,"")</f>
        <v/>
      </c>
      <c r="AB1968" s="104" t="e">
        <f>IF(Z1968&gt;0,((IF(OR(D1968="DF",D1968="RA")=TRUE,EXP(VLOOKUP(D1968,'Species Codes'!B:I,8,0)+VLOOKUP(D1968,'Species Codes'!B:J,9,0)*(LN((E1968*2.54)))),IF(OR(D1968="PY",D1968="RC",D1968="WH",D1968="NF")=TRUE,VLOOKUP(D1968,'Species Codes'!B:I,8,0)+VLOOKUP(D1968,'Species Codes'!B:J,9,0)*((E1968*2.54)^2)*(I1968*0.3048),IF(OR(D1968="MD",D1968="BM",D1968="GA")=TRUE,((VLOOKUP(D1968,'Species Codes'!B:I,8,0)*(((((E1968*2.54)+VLOOKUP(D1968,'Species Codes'!B:J,9,0))/VLOOKUP(D1968,'Species Codes'!B:K,10,0))^VLOOKUP(D1968,'Species Codes'!B:L,11,0))*((I1968*0.3048)^VLOOKUP(D1968,'Species Codes'!B:M,12,0))))-(VLOOKUP(D1968,'Species Codes'!B:I,8,0)*((((E1968*2.54)^VLOOKUP(D1968,'Species Codes'!B:L,11,0))*((I1968*0.3048)^VLOOKUP(D1968,'Species Codes'!B:M,12,0))))))*35.3*VLOOKUP(D1968,'Species Codes'!B:G,6,0)/2.2046,VLOOKUP(D1968,'Species Codes'!B:I,8,0)+VLOOKUP(D1968,'Species Codes'!B:J,9,0)*(((E1968*2.54)/100)^2)*(I1968*0.3048)))))*0.0011023),0)</f>
        <v>#N/A</v>
      </c>
      <c r="AC1968" s="104" t="e">
        <f>IF(Z1968&gt;0,((IF(OR(D1968="RA",D1968="OA",D1968="OT",D1968="UN",D1968="PC"),EXP(VLOOKUP(D1968,'Species Codes'!B:O,14,0)+VLOOKUP(D1968,'Species Codes'!B:P,15,0)*LN((E1968*2.54)))-EXP(VLOOKUP(D1968,'Species Codes'!B:O,14,0)+VLOOKUP(D1968,'Species Codes'!B:P,15,0)*LN((E1968*2.54)))*(1/(VLOOKUP(D1968,'Species Codes'!B:Q,16,0)+VLOOKUP(D1968,'Species Codes'!B:R,17,0)*((E1968*2.54)^VLOOKUP(D1968,'Species Codes'!B:S,18,0)))),IF(OR(D1968="BM",D1968="MD",D1968="OA"),EXP(VLOOKUP(D1968,'Species Codes'!B:O,14,0)+VLOOKUP(D1968,'Species Codes'!B:P,15,0)*LN((E1968*2.54)))*(1-(1/(VLOOKUP(D1968,'Species Codes'!B:Q,16,0)+VLOOKUP(D1968,'Species Codes'!B:R,17,0)*((E1968*2.54)^VLOOKUP(D1968,'Species Codes'!B:S,18,0)))))/1000,IF(D1968="DF",EXP(VLOOKUP(D1968,'Species Codes'!B:O,14,0)+VLOOKUP(D1968,'Species Codes'!B:P,15,0)*LN((E1968*2.54))),VLOOKUP(D1968,'Species Codes'!B:O,14,0)+VLOOKUP(D1968,'Species Codes'!B:P,15,0)*(((E1968*2.54)/100)^2)*(I1968*0.3048)))))*0.0011023),0)</f>
        <v>#N/A</v>
      </c>
      <c r="AD1968" s="104" t="e">
        <f t="shared" si="868"/>
        <v>#N/A</v>
      </c>
      <c r="AE1968" s="104" t="e">
        <f t="shared" si="869"/>
        <v>#N/A</v>
      </c>
      <c r="AF1968" s="104" t="e">
        <f>IF(AND(VLOOKUP($D1968,Merchantability!$B:$C,2,0)="Yes",$E1968&gt;=VLOOKUP($D1968,Merchantability!$B:$D,3,0),$E1968&lt;=VLOOKUP($D1968,Merchantability!$B:$E,4,0)),AA1968,0)</f>
        <v>#N/A</v>
      </c>
      <c r="AG1968" s="104" t="e">
        <f>IF(AND(VLOOKUP($D1968,Merchantability!$B:$C,2,0)="Yes",$E1968&gt;=VLOOKUP($D1968,Merchantability!$B:$D,3,0),$E1968&lt;=VLOOKUP($D1968,Merchantability!$B:$E,4,0)),AB1968,0)</f>
        <v>#N/A</v>
      </c>
      <c r="AH1968" s="104" t="e">
        <f>IF(AND(VLOOKUP($D1968,Merchantability!$B:$C,2,0)="Yes",$E1968&gt;=VLOOKUP($D1968,Merchantability!$B:$D,3,0),$E1968&lt;=VLOOKUP($D1968,Merchantability!$B:$E,4,0)),AC1968,0)</f>
        <v>#N/A</v>
      </c>
      <c r="AI1968" s="104" t="e">
        <f t="shared" si="870"/>
        <v>#N/A</v>
      </c>
      <c r="AJ1968" s="104" t="e">
        <f t="shared" si="871"/>
        <v>#VALUE!</v>
      </c>
      <c r="AK1968" s="104" t="e">
        <f t="shared" si="872"/>
        <v>#N/A</v>
      </c>
      <c r="AL1968" s="104" t="e">
        <f t="shared" si="873"/>
        <v>#N/A</v>
      </c>
      <c r="AM1968" s="104" t="e">
        <f t="shared" si="874"/>
        <v>#N/A</v>
      </c>
      <c r="AN1968" s="104" t="e">
        <f t="shared" si="858"/>
        <v>#N/A</v>
      </c>
      <c r="AO1968" s="104" t="e">
        <f t="shared" si="859"/>
        <v>#N/A</v>
      </c>
      <c r="AP1968" s="104" t="e">
        <f t="shared" si="860"/>
        <v>#N/A</v>
      </c>
      <c r="AQ1968" s="104" t="e">
        <f t="shared" si="861"/>
        <v>#N/A</v>
      </c>
      <c r="AR1968" s="105" t="str">
        <f t="shared" si="853"/>
        <v/>
      </c>
      <c r="AS1968" s="105" t="str">
        <f t="shared" si="854"/>
        <v/>
      </c>
      <c r="AT1968" s="108" t="str">
        <f t="shared" si="855"/>
        <v/>
      </c>
      <c r="AU1968" s="108" t="str">
        <f t="shared" si="856"/>
        <v/>
      </c>
      <c r="AV1968" s="107" t="str">
        <f>IF(ISNUMBER(O1968),IF(VLOOKUP($A1968,Stand!C:J,8,FALSE)="Short",AT1968,AU1968),"")</f>
        <v/>
      </c>
      <c r="AW1968" s="109" t="str">
        <f t="shared" si="862"/>
        <v/>
      </c>
      <c r="AX1968" s="109" t="str">
        <f t="shared" si="863"/>
        <v/>
      </c>
      <c r="AY1968" s="112" t="str">
        <f>IF(ISNUMBER(O1968),IF(AND(VLOOKUP($D1968,Merchantability!$B:$C,2,0)="Yes",$E1968&gt;=VLOOKUP($D1968,Merchantability!$B:$D,3,0),$E1968&lt;=VLOOKUP($D1968,Merchantability!$B:$E,4,0)),(AV1968*O1968)*(1-$H1968/100),""),"")</f>
        <v/>
      </c>
      <c r="AZ1968" s="116"/>
      <c r="BA1968" s="116"/>
      <c r="BB1968" s="116"/>
      <c r="BE1968" s="62"/>
      <c r="BF1968" s="63"/>
    </row>
    <row r="1969" spans="1:58" ht="12.75" customHeight="1" x14ac:dyDescent="0.25">
      <c r="A1969" s="334"/>
      <c r="B1969" s="334"/>
      <c r="C1969" s="332"/>
      <c r="D1969" s="334"/>
      <c r="E1969" s="335"/>
      <c r="F1969" s="334"/>
      <c r="G1969" s="332"/>
      <c r="H1969" s="332"/>
      <c r="I1969" s="334"/>
      <c r="J1969" s="336"/>
      <c r="K1969" s="332"/>
      <c r="L1969" s="332"/>
      <c r="M1969" s="76"/>
      <c r="N1969" s="103" t="str">
        <f>IF(A1969="","",VLOOKUP(A1969,Stand!C:K,9,0))</f>
        <v/>
      </c>
      <c r="O1969" s="104" t="str">
        <f t="shared" si="848"/>
        <v/>
      </c>
      <c r="P1969" s="105" t="str">
        <f t="shared" si="849"/>
        <v/>
      </c>
      <c r="Q1969" s="105" t="str">
        <f t="shared" si="864"/>
        <v/>
      </c>
      <c r="R1969" s="103" t="str">
        <f t="shared" si="850"/>
        <v/>
      </c>
      <c r="S1969" s="103" t="str">
        <f t="shared" si="851"/>
        <v/>
      </c>
      <c r="T1969" s="106" t="str">
        <f t="shared" si="865"/>
        <v/>
      </c>
      <c r="U1969" s="106" t="str">
        <f t="shared" si="866"/>
        <v/>
      </c>
      <c r="V1969" s="106" t="str">
        <f t="shared" si="867"/>
        <v/>
      </c>
      <c r="W1969" s="105" t="str">
        <f t="shared" si="852"/>
        <v/>
      </c>
      <c r="X1969" s="104" t="str">
        <f t="shared" si="857"/>
        <v/>
      </c>
      <c r="Y1969" s="104" t="str">
        <f t="array" ref="Y1969">IFERROR(IF(ISNUMBER(O1969),IF(COUNT(IF(A1969=$A$2:$A$2427,IF(D1969=$D$2:$D$2427,IF($X$2:$X$2427&gt;0,1))))&gt;0,SUM(IF(A1969=$A$2:$A$2427,IF(D1969=$D$2:$D$2427,$X$2:$X$2427)))/COUNT(IF(A1969=$A$2:$A$2427,IF(D1969=$D$2:$D$2427,IF(ISNUMBER($X$2:$X$2427),1)))),0),""),0)</f>
        <v/>
      </c>
      <c r="Z1969" s="104" t="str">
        <f>IF(ISNUMBER(O1969),IF(I1969&gt;0,(10^(VLOOKUP(D1969,'Species Codes'!B:C,2,0)+VLOOKUP(D1969,'Species Codes'!B:D,3,0)*LOG(E1969)+VLOOKUP(D1969,'Species Codes'!B:E,4,0)*LOG(I1969))),0),"")</f>
        <v/>
      </c>
      <c r="AA1969" s="104" t="str">
        <f>IFERROR((VLOOKUP(D1969,'Species Codes'!B:G,6,0)*Z1969)/2000,"")</f>
        <v/>
      </c>
      <c r="AB1969" s="104" t="e">
        <f>IF(Z1969&gt;0,((IF(OR(D1969="DF",D1969="RA")=TRUE,EXP(VLOOKUP(D1969,'Species Codes'!B:I,8,0)+VLOOKUP(D1969,'Species Codes'!B:J,9,0)*(LN((E1969*2.54)))),IF(OR(D1969="PY",D1969="RC",D1969="WH",D1969="NF")=TRUE,VLOOKUP(D1969,'Species Codes'!B:I,8,0)+VLOOKUP(D1969,'Species Codes'!B:J,9,0)*((E1969*2.54)^2)*(I1969*0.3048),IF(OR(D1969="MD",D1969="BM",D1969="GA")=TRUE,((VLOOKUP(D1969,'Species Codes'!B:I,8,0)*(((((E1969*2.54)+VLOOKUP(D1969,'Species Codes'!B:J,9,0))/VLOOKUP(D1969,'Species Codes'!B:K,10,0))^VLOOKUP(D1969,'Species Codes'!B:L,11,0))*((I1969*0.3048)^VLOOKUP(D1969,'Species Codes'!B:M,12,0))))-(VLOOKUP(D1969,'Species Codes'!B:I,8,0)*((((E1969*2.54)^VLOOKUP(D1969,'Species Codes'!B:L,11,0))*((I1969*0.3048)^VLOOKUP(D1969,'Species Codes'!B:M,12,0))))))*35.3*VLOOKUP(D1969,'Species Codes'!B:G,6,0)/2.2046,VLOOKUP(D1969,'Species Codes'!B:I,8,0)+VLOOKUP(D1969,'Species Codes'!B:J,9,0)*(((E1969*2.54)/100)^2)*(I1969*0.3048)))))*0.0011023),0)</f>
        <v>#N/A</v>
      </c>
      <c r="AC1969" s="104" t="e">
        <f>IF(Z1969&gt;0,((IF(OR(D1969="RA",D1969="OA",D1969="OT",D1969="UN",D1969="PC"),EXP(VLOOKUP(D1969,'Species Codes'!B:O,14,0)+VLOOKUP(D1969,'Species Codes'!B:P,15,0)*LN((E1969*2.54)))-EXP(VLOOKUP(D1969,'Species Codes'!B:O,14,0)+VLOOKUP(D1969,'Species Codes'!B:P,15,0)*LN((E1969*2.54)))*(1/(VLOOKUP(D1969,'Species Codes'!B:Q,16,0)+VLOOKUP(D1969,'Species Codes'!B:R,17,0)*((E1969*2.54)^VLOOKUP(D1969,'Species Codes'!B:S,18,0)))),IF(OR(D1969="BM",D1969="MD",D1969="OA"),EXP(VLOOKUP(D1969,'Species Codes'!B:O,14,0)+VLOOKUP(D1969,'Species Codes'!B:P,15,0)*LN((E1969*2.54)))*(1-(1/(VLOOKUP(D1969,'Species Codes'!B:Q,16,0)+VLOOKUP(D1969,'Species Codes'!B:R,17,0)*((E1969*2.54)^VLOOKUP(D1969,'Species Codes'!B:S,18,0)))))/1000,IF(D1969="DF",EXP(VLOOKUP(D1969,'Species Codes'!B:O,14,0)+VLOOKUP(D1969,'Species Codes'!B:P,15,0)*LN((E1969*2.54))),VLOOKUP(D1969,'Species Codes'!B:O,14,0)+VLOOKUP(D1969,'Species Codes'!B:P,15,0)*(((E1969*2.54)/100)^2)*(I1969*0.3048)))))*0.0011023),0)</f>
        <v>#N/A</v>
      </c>
      <c r="AD1969" s="104" t="e">
        <f t="shared" si="868"/>
        <v>#N/A</v>
      </c>
      <c r="AE1969" s="104" t="e">
        <f t="shared" si="869"/>
        <v>#N/A</v>
      </c>
      <c r="AF1969" s="104" t="e">
        <f>IF(AND(VLOOKUP($D1969,Merchantability!$B:$C,2,0)="Yes",$E1969&gt;=VLOOKUP($D1969,Merchantability!$B:$D,3,0),$E1969&lt;=VLOOKUP($D1969,Merchantability!$B:$E,4,0)),AA1969,0)</f>
        <v>#N/A</v>
      </c>
      <c r="AG1969" s="104" t="e">
        <f>IF(AND(VLOOKUP($D1969,Merchantability!$B:$C,2,0)="Yes",$E1969&gt;=VLOOKUP($D1969,Merchantability!$B:$D,3,0),$E1969&lt;=VLOOKUP($D1969,Merchantability!$B:$E,4,0)),AB1969,0)</f>
        <v>#N/A</v>
      </c>
      <c r="AH1969" s="104" t="e">
        <f>IF(AND(VLOOKUP($D1969,Merchantability!$B:$C,2,0)="Yes",$E1969&gt;=VLOOKUP($D1969,Merchantability!$B:$D,3,0),$E1969&lt;=VLOOKUP($D1969,Merchantability!$B:$E,4,0)),AC1969,0)</f>
        <v>#N/A</v>
      </c>
      <c r="AI1969" s="104" t="e">
        <f t="shared" si="870"/>
        <v>#N/A</v>
      </c>
      <c r="AJ1969" s="104" t="e">
        <f t="shared" si="871"/>
        <v>#VALUE!</v>
      </c>
      <c r="AK1969" s="104" t="e">
        <f t="shared" si="872"/>
        <v>#N/A</v>
      </c>
      <c r="AL1969" s="104" t="e">
        <f t="shared" si="873"/>
        <v>#N/A</v>
      </c>
      <c r="AM1969" s="104" t="e">
        <f t="shared" si="874"/>
        <v>#N/A</v>
      </c>
      <c r="AN1969" s="104" t="e">
        <f t="shared" si="858"/>
        <v>#N/A</v>
      </c>
      <c r="AO1969" s="104" t="e">
        <f t="shared" si="859"/>
        <v>#N/A</v>
      </c>
      <c r="AP1969" s="104" t="e">
        <f t="shared" si="860"/>
        <v>#N/A</v>
      </c>
      <c r="AQ1969" s="104" t="e">
        <f t="shared" si="861"/>
        <v>#N/A</v>
      </c>
      <c r="AR1969" s="105" t="str">
        <f t="shared" si="853"/>
        <v/>
      </c>
      <c r="AS1969" s="105" t="str">
        <f t="shared" si="854"/>
        <v/>
      </c>
      <c r="AT1969" s="108" t="str">
        <f t="shared" si="855"/>
        <v/>
      </c>
      <c r="AU1969" s="108" t="str">
        <f t="shared" si="856"/>
        <v/>
      </c>
      <c r="AV1969" s="107" t="str">
        <f>IF(ISNUMBER(O1969),IF(VLOOKUP($A1969,Stand!C:J,8,FALSE)="Short",AT1969,AU1969),"")</f>
        <v/>
      </c>
      <c r="AW1969" s="109" t="str">
        <f t="shared" si="862"/>
        <v/>
      </c>
      <c r="AX1969" s="109" t="str">
        <f t="shared" si="863"/>
        <v/>
      </c>
      <c r="AY1969" s="112" t="str">
        <f>IF(ISNUMBER(O1969),IF(AND(VLOOKUP($D1969,Merchantability!$B:$C,2,0)="Yes",$E1969&gt;=VLOOKUP($D1969,Merchantability!$B:$D,3,0),$E1969&lt;=VLOOKUP($D1969,Merchantability!$B:$E,4,0)),(AV1969*O1969)*(1-$H1969/100),""),"")</f>
        <v/>
      </c>
      <c r="AZ1969" s="116"/>
      <c r="BA1969" s="116"/>
      <c r="BB1969" s="116"/>
      <c r="BE1969" s="62"/>
      <c r="BF1969" s="63"/>
    </row>
    <row r="1970" spans="1:58" ht="12.75" customHeight="1" x14ac:dyDescent="0.25">
      <c r="A1970" s="334"/>
      <c r="B1970" s="334"/>
      <c r="C1970" s="332"/>
      <c r="D1970" s="334"/>
      <c r="E1970" s="335"/>
      <c r="F1970" s="334"/>
      <c r="G1970" s="332"/>
      <c r="H1970" s="332"/>
      <c r="I1970" s="334"/>
      <c r="J1970" s="336"/>
      <c r="K1970" s="332"/>
      <c r="L1970" s="332"/>
      <c r="M1970" s="76"/>
      <c r="N1970" s="103" t="str">
        <f>IF(A1970="","",VLOOKUP(A1970,Stand!C:K,9,0))</f>
        <v/>
      </c>
      <c r="O1970" s="104" t="str">
        <f t="shared" si="848"/>
        <v/>
      </c>
      <c r="P1970" s="105" t="str">
        <f t="shared" si="849"/>
        <v/>
      </c>
      <c r="Q1970" s="105" t="str">
        <f t="shared" si="864"/>
        <v/>
      </c>
      <c r="R1970" s="103" t="str">
        <f t="shared" si="850"/>
        <v/>
      </c>
      <c r="S1970" s="103" t="str">
        <f t="shared" si="851"/>
        <v/>
      </c>
      <c r="T1970" s="106" t="str">
        <f t="shared" si="865"/>
        <v/>
      </c>
      <c r="U1970" s="106" t="str">
        <f t="shared" si="866"/>
        <v/>
      </c>
      <c r="V1970" s="106" t="str">
        <f t="shared" si="867"/>
        <v/>
      </c>
      <c r="W1970" s="105" t="str">
        <f t="shared" si="852"/>
        <v/>
      </c>
      <c r="X1970" s="104" t="str">
        <f t="shared" si="857"/>
        <v/>
      </c>
      <c r="Y1970" s="104" t="str">
        <f t="array" ref="Y1970">IFERROR(IF(ISNUMBER(O1970),IF(COUNT(IF(A1970=$A$2:$A$2427,IF(D1970=$D$2:$D$2427,IF($X$2:$X$2427&gt;0,1))))&gt;0,SUM(IF(A1970=$A$2:$A$2427,IF(D1970=$D$2:$D$2427,$X$2:$X$2427)))/COUNT(IF(A1970=$A$2:$A$2427,IF(D1970=$D$2:$D$2427,IF(ISNUMBER($X$2:$X$2427),1)))),0),""),0)</f>
        <v/>
      </c>
      <c r="Z1970" s="104" t="str">
        <f>IF(ISNUMBER(O1970),IF(I1970&gt;0,(10^(VLOOKUP(D1970,'Species Codes'!B:C,2,0)+VLOOKUP(D1970,'Species Codes'!B:D,3,0)*LOG(E1970)+VLOOKUP(D1970,'Species Codes'!B:E,4,0)*LOG(I1970))),0),"")</f>
        <v/>
      </c>
      <c r="AA1970" s="104" t="str">
        <f>IFERROR((VLOOKUP(D1970,'Species Codes'!B:G,6,0)*Z1970)/2000,"")</f>
        <v/>
      </c>
      <c r="AB1970" s="104" t="e">
        <f>IF(Z1970&gt;0,((IF(OR(D1970="DF",D1970="RA")=TRUE,EXP(VLOOKUP(D1970,'Species Codes'!B:I,8,0)+VLOOKUP(D1970,'Species Codes'!B:J,9,0)*(LN((E1970*2.54)))),IF(OR(D1970="PY",D1970="RC",D1970="WH",D1970="NF")=TRUE,VLOOKUP(D1970,'Species Codes'!B:I,8,0)+VLOOKUP(D1970,'Species Codes'!B:J,9,0)*((E1970*2.54)^2)*(I1970*0.3048),IF(OR(D1970="MD",D1970="BM",D1970="GA")=TRUE,((VLOOKUP(D1970,'Species Codes'!B:I,8,0)*(((((E1970*2.54)+VLOOKUP(D1970,'Species Codes'!B:J,9,0))/VLOOKUP(D1970,'Species Codes'!B:K,10,0))^VLOOKUP(D1970,'Species Codes'!B:L,11,0))*((I1970*0.3048)^VLOOKUP(D1970,'Species Codes'!B:M,12,0))))-(VLOOKUP(D1970,'Species Codes'!B:I,8,0)*((((E1970*2.54)^VLOOKUP(D1970,'Species Codes'!B:L,11,0))*((I1970*0.3048)^VLOOKUP(D1970,'Species Codes'!B:M,12,0))))))*35.3*VLOOKUP(D1970,'Species Codes'!B:G,6,0)/2.2046,VLOOKUP(D1970,'Species Codes'!B:I,8,0)+VLOOKUP(D1970,'Species Codes'!B:J,9,0)*(((E1970*2.54)/100)^2)*(I1970*0.3048)))))*0.0011023),0)</f>
        <v>#N/A</v>
      </c>
      <c r="AC1970" s="104" t="e">
        <f>IF(Z1970&gt;0,((IF(OR(D1970="RA",D1970="OA",D1970="OT",D1970="UN",D1970="PC"),EXP(VLOOKUP(D1970,'Species Codes'!B:O,14,0)+VLOOKUP(D1970,'Species Codes'!B:P,15,0)*LN((E1970*2.54)))-EXP(VLOOKUP(D1970,'Species Codes'!B:O,14,0)+VLOOKUP(D1970,'Species Codes'!B:P,15,0)*LN((E1970*2.54)))*(1/(VLOOKUP(D1970,'Species Codes'!B:Q,16,0)+VLOOKUP(D1970,'Species Codes'!B:R,17,0)*((E1970*2.54)^VLOOKUP(D1970,'Species Codes'!B:S,18,0)))),IF(OR(D1970="BM",D1970="MD",D1970="OA"),EXP(VLOOKUP(D1970,'Species Codes'!B:O,14,0)+VLOOKUP(D1970,'Species Codes'!B:P,15,0)*LN((E1970*2.54)))*(1-(1/(VLOOKUP(D1970,'Species Codes'!B:Q,16,0)+VLOOKUP(D1970,'Species Codes'!B:R,17,0)*((E1970*2.54)^VLOOKUP(D1970,'Species Codes'!B:S,18,0)))))/1000,IF(D1970="DF",EXP(VLOOKUP(D1970,'Species Codes'!B:O,14,0)+VLOOKUP(D1970,'Species Codes'!B:P,15,0)*LN((E1970*2.54))),VLOOKUP(D1970,'Species Codes'!B:O,14,0)+VLOOKUP(D1970,'Species Codes'!B:P,15,0)*(((E1970*2.54)/100)^2)*(I1970*0.3048)))))*0.0011023),0)</f>
        <v>#N/A</v>
      </c>
      <c r="AD1970" s="104" t="e">
        <f t="shared" si="868"/>
        <v>#N/A</v>
      </c>
      <c r="AE1970" s="104" t="e">
        <f t="shared" si="869"/>
        <v>#N/A</v>
      </c>
      <c r="AF1970" s="104" t="e">
        <f>IF(AND(VLOOKUP($D1970,Merchantability!$B:$C,2,0)="Yes",$E1970&gt;=VLOOKUP($D1970,Merchantability!$B:$D,3,0),$E1970&lt;=VLOOKUP($D1970,Merchantability!$B:$E,4,0)),AA1970,0)</f>
        <v>#N/A</v>
      </c>
      <c r="AG1970" s="104" t="e">
        <f>IF(AND(VLOOKUP($D1970,Merchantability!$B:$C,2,0)="Yes",$E1970&gt;=VLOOKUP($D1970,Merchantability!$B:$D,3,0),$E1970&lt;=VLOOKUP($D1970,Merchantability!$B:$E,4,0)),AB1970,0)</f>
        <v>#N/A</v>
      </c>
      <c r="AH1970" s="104" t="e">
        <f>IF(AND(VLOOKUP($D1970,Merchantability!$B:$C,2,0)="Yes",$E1970&gt;=VLOOKUP($D1970,Merchantability!$B:$D,3,0),$E1970&lt;=VLOOKUP($D1970,Merchantability!$B:$E,4,0)),AC1970,0)</f>
        <v>#N/A</v>
      </c>
      <c r="AI1970" s="104" t="e">
        <f t="shared" si="870"/>
        <v>#N/A</v>
      </c>
      <c r="AJ1970" s="104" t="e">
        <f t="shared" si="871"/>
        <v>#VALUE!</v>
      </c>
      <c r="AK1970" s="104" t="e">
        <f t="shared" si="872"/>
        <v>#N/A</v>
      </c>
      <c r="AL1970" s="104" t="e">
        <f t="shared" si="873"/>
        <v>#N/A</v>
      </c>
      <c r="AM1970" s="104" t="e">
        <f t="shared" si="874"/>
        <v>#N/A</v>
      </c>
      <c r="AN1970" s="104" t="e">
        <f t="shared" si="858"/>
        <v>#N/A</v>
      </c>
      <c r="AO1970" s="104" t="e">
        <f t="shared" si="859"/>
        <v>#N/A</v>
      </c>
      <c r="AP1970" s="104" t="e">
        <f t="shared" si="860"/>
        <v>#N/A</v>
      </c>
      <c r="AQ1970" s="104" t="e">
        <f t="shared" si="861"/>
        <v>#N/A</v>
      </c>
      <c r="AR1970" s="105" t="str">
        <f t="shared" si="853"/>
        <v/>
      </c>
      <c r="AS1970" s="105" t="str">
        <f t="shared" si="854"/>
        <v/>
      </c>
      <c r="AT1970" s="108" t="str">
        <f t="shared" si="855"/>
        <v/>
      </c>
      <c r="AU1970" s="108" t="str">
        <f t="shared" si="856"/>
        <v/>
      </c>
      <c r="AV1970" s="107" t="str">
        <f>IF(ISNUMBER(O1970),IF(VLOOKUP($A1970,Stand!C:J,8,FALSE)="Short",AT1970,AU1970),"")</f>
        <v/>
      </c>
      <c r="AW1970" s="109" t="str">
        <f t="shared" si="862"/>
        <v/>
      </c>
      <c r="AX1970" s="109" t="str">
        <f t="shared" si="863"/>
        <v/>
      </c>
      <c r="AY1970" s="112" t="str">
        <f>IF(ISNUMBER(O1970),IF(AND(VLOOKUP($D1970,Merchantability!$B:$C,2,0)="Yes",$E1970&gt;=VLOOKUP($D1970,Merchantability!$B:$D,3,0),$E1970&lt;=VLOOKUP($D1970,Merchantability!$B:$E,4,0)),(AV1970*O1970)*(1-$H1970/100),""),"")</f>
        <v/>
      </c>
      <c r="AZ1970" s="116"/>
      <c r="BA1970" s="116"/>
      <c r="BB1970" s="116"/>
      <c r="BE1970" s="62"/>
      <c r="BF1970" s="63"/>
    </row>
    <row r="1971" spans="1:58" ht="12.75" customHeight="1" x14ac:dyDescent="0.25">
      <c r="A1971" s="334"/>
      <c r="B1971" s="334"/>
      <c r="C1971" s="332"/>
      <c r="D1971" s="334"/>
      <c r="E1971" s="335"/>
      <c r="F1971" s="334"/>
      <c r="G1971" s="332"/>
      <c r="H1971" s="332"/>
      <c r="I1971" s="334"/>
      <c r="J1971" s="336"/>
      <c r="K1971" s="332"/>
      <c r="L1971" s="332"/>
      <c r="M1971" s="76"/>
      <c r="N1971" s="103" t="str">
        <f>IF(A1971="","",VLOOKUP(A1971,Stand!C:K,9,0))</f>
        <v/>
      </c>
      <c r="O1971" s="104" t="str">
        <f t="shared" si="848"/>
        <v/>
      </c>
      <c r="P1971" s="105" t="str">
        <f t="shared" si="849"/>
        <v/>
      </c>
      <c r="Q1971" s="105" t="str">
        <f t="shared" si="864"/>
        <v/>
      </c>
      <c r="R1971" s="103" t="str">
        <f t="shared" si="850"/>
        <v/>
      </c>
      <c r="S1971" s="103" t="str">
        <f t="shared" si="851"/>
        <v/>
      </c>
      <c r="T1971" s="106" t="str">
        <f t="shared" si="865"/>
        <v/>
      </c>
      <c r="U1971" s="106" t="str">
        <f t="shared" si="866"/>
        <v/>
      </c>
      <c r="V1971" s="106" t="str">
        <f t="shared" si="867"/>
        <v/>
      </c>
      <c r="W1971" s="105" t="str">
        <f t="shared" si="852"/>
        <v/>
      </c>
      <c r="X1971" s="104" t="str">
        <f t="shared" si="857"/>
        <v/>
      </c>
      <c r="Y1971" s="104" t="str">
        <f t="array" ref="Y1971">IFERROR(IF(ISNUMBER(O1971),IF(COUNT(IF(A1971=$A$2:$A$2427,IF(D1971=$D$2:$D$2427,IF($X$2:$X$2427&gt;0,1))))&gt;0,SUM(IF(A1971=$A$2:$A$2427,IF(D1971=$D$2:$D$2427,$X$2:$X$2427)))/COUNT(IF(A1971=$A$2:$A$2427,IF(D1971=$D$2:$D$2427,IF(ISNUMBER($X$2:$X$2427),1)))),0),""),0)</f>
        <v/>
      </c>
      <c r="Z1971" s="104" t="str">
        <f>IF(ISNUMBER(O1971),IF(I1971&gt;0,(10^(VLOOKUP(D1971,'Species Codes'!B:C,2,0)+VLOOKUP(D1971,'Species Codes'!B:D,3,0)*LOG(E1971)+VLOOKUP(D1971,'Species Codes'!B:E,4,0)*LOG(I1971))),0),"")</f>
        <v/>
      </c>
      <c r="AA1971" s="104" t="str">
        <f>IFERROR((VLOOKUP(D1971,'Species Codes'!B:G,6,0)*Z1971)/2000,"")</f>
        <v/>
      </c>
      <c r="AB1971" s="104" t="e">
        <f>IF(Z1971&gt;0,((IF(OR(D1971="DF",D1971="RA")=TRUE,EXP(VLOOKUP(D1971,'Species Codes'!B:I,8,0)+VLOOKUP(D1971,'Species Codes'!B:J,9,0)*(LN((E1971*2.54)))),IF(OR(D1971="PY",D1971="RC",D1971="WH",D1971="NF")=TRUE,VLOOKUP(D1971,'Species Codes'!B:I,8,0)+VLOOKUP(D1971,'Species Codes'!B:J,9,0)*((E1971*2.54)^2)*(I1971*0.3048),IF(OR(D1971="MD",D1971="BM",D1971="GA")=TRUE,((VLOOKUP(D1971,'Species Codes'!B:I,8,0)*(((((E1971*2.54)+VLOOKUP(D1971,'Species Codes'!B:J,9,0))/VLOOKUP(D1971,'Species Codes'!B:K,10,0))^VLOOKUP(D1971,'Species Codes'!B:L,11,0))*((I1971*0.3048)^VLOOKUP(D1971,'Species Codes'!B:M,12,0))))-(VLOOKUP(D1971,'Species Codes'!B:I,8,0)*((((E1971*2.54)^VLOOKUP(D1971,'Species Codes'!B:L,11,0))*((I1971*0.3048)^VLOOKUP(D1971,'Species Codes'!B:M,12,0))))))*35.3*VLOOKUP(D1971,'Species Codes'!B:G,6,0)/2.2046,VLOOKUP(D1971,'Species Codes'!B:I,8,0)+VLOOKUP(D1971,'Species Codes'!B:J,9,0)*(((E1971*2.54)/100)^2)*(I1971*0.3048)))))*0.0011023),0)</f>
        <v>#N/A</v>
      </c>
      <c r="AC1971" s="104" t="e">
        <f>IF(Z1971&gt;0,((IF(OR(D1971="RA",D1971="OA",D1971="OT",D1971="UN",D1971="PC"),EXP(VLOOKUP(D1971,'Species Codes'!B:O,14,0)+VLOOKUP(D1971,'Species Codes'!B:P,15,0)*LN((E1971*2.54)))-EXP(VLOOKUP(D1971,'Species Codes'!B:O,14,0)+VLOOKUP(D1971,'Species Codes'!B:P,15,0)*LN((E1971*2.54)))*(1/(VLOOKUP(D1971,'Species Codes'!B:Q,16,0)+VLOOKUP(D1971,'Species Codes'!B:R,17,0)*((E1971*2.54)^VLOOKUP(D1971,'Species Codes'!B:S,18,0)))),IF(OR(D1971="BM",D1971="MD",D1971="OA"),EXP(VLOOKUP(D1971,'Species Codes'!B:O,14,0)+VLOOKUP(D1971,'Species Codes'!B:P,15,0)*LN((E1971*2.54)))*(1-(1/(VLOOKUP(D1971,'Species Codes'!B:Q,16,0)+VLOOKUP(D1971,'Species Codes'!B:R,17,0)*((E1971*2.54)^VLOOKUP(D1971,'Species Codes'!B:S,18,0)))))/1000,IF(D1971="DF",EXP(VLOOKUP(D1971,'Species Codes'!B:O,14,0)+VLOOKUP(D1971,'Species Codes'!B:P,15,0)*LN((E1971*2.54))),VLOOKUP(D1971,'Species Codes'!B:O,14,0)+VLOOKUP(D1971,'Species Codes'!B:P,15,0)*(((E1971*2.54)/100)^2)*(I1971*0.3048)))))*0.0011023),0)</f>
        <v>#N/A</v>
      </c>
      <c r="AD1971" s="104" t="e">
        <f t="shared" si="868"/>
        <v>#N/A</v>
      </c>
      <c r="AE1971" s="104" t="e">
        <f t="shared" si="869"/>
        <v>#N/A</v>
      </c>
      <c r="AF1971" s="104" t="e">
        <f>IF(AND(VLOOKUP($D1971,Merchantability!$B:$C,2,0)="Yes",$E1971&gt;=VLOOKUP($D1971,Merchantability!$B:$D,3,0),$E1971&lt;=VLOOKUP($D1971,Merchantability!$B:$E,4,0)),AA1971,0)</f>
        <v>#N/A</v>
      </c>
      <c r="AG1971" s="104" t="e">
        <f>IF(AND(VLOOKUP($D1971,Merchantability!$B:$C,2,0)="Yes",$E1971&gt;=VLOOKUP($D1971,Merchantability!$B:$D,3,0),$E1971&lt;=VLOOKUP($D1971,Merchantability!$B:$E,4,0)),AB1971,0)</f>
        <v>#N/A</v>
      </c>
      <c r="AH1971" s="104" t="e">
        <f>IF(AND(VLOOKUP($D1971,Merchantability!$B:$C,2,0)="Yes",$E1971&gt;=VLOOKUP($D1971,Merchantability!$B:$D,3,0),$E1971&lt;=VLOOKUP($D1971,Merchantability!$B:$E,4,0)),AC1971,0)</f>
        <v>#N/A</v>
      </c>
      <c r="AI1971" s="104" t="e">
        <f t="shared" si="870"/>
        <v>#N/A</v>
      </c>
      <c r="AJ1971" s="104" t="e">
        <f t="shared" si="871"/>
        <v>#VALUE!</v>
      </c>
      <c r="AK1971" s="104" t="e">
        <f t="shared" si="872"/>
        <v>#N/A</v>
      </c>
      <c r="AL1971" s="104" t="e">
        <f t="shared" si="873"/>
        <v>#N/A</v>
      </c>
      <c r="AM1971" s="104" t="e">
        <f t="shared" si="874"/>
        <v>#N/A</v>
      </c>
      <c r="AN1971" s="104" t="e">
        <f t="shared" si="858"/>
        <v>#N/A</v>
      </c>
      <c r="AO1971" s="104" t="e">
        <f t="shared" si="859"/>
        <v>#N/A</v>
      </c>
      <c r="AP1971" s="104" t="e">
        <f t="shared" si="860"/>
        <v>#N/A</v>
      </c>
      <c r="AQ1971" s="104" t="e">
        <f t="shared" si="861"/>
        <v>#N/A</v>
      </c>
      <c r="AR1971" s="105" t="str">
        <f t="shared" si="853"/>
        <v/>
      </c>
      <c r="AS1971" s="105" t="str">
        <f t="shared" si="854"/>
        <v/>
      </c>
      <c r="AT1971" s="108" t="str">
        <f t="shared" si="855"/>
        <v/>
      </c>
      <c r="AU1971" s="108" t="str">
        <f t="shared" si="856"/>
        <v/>
      </c>
      <c r="AV1971" s="107" t="str">
        <f>IF(ISNUMBER(O1971),IF(VLOOKUP($A1971,Stand!C:J,8,FALSE)="Short",AT1971,AU1971),"")</f>
        <v/>
      </c>
      <c r="AW1971" s="109" t="str">
        <f t="shared" si="862"/>
        <v/>
      </c>
      <c r="AX1971" s="109" t="str">
        <f t="shared" si="863"/>
        <v/>
      </c>
      <c r="AY1971" s="112" t="str">
        <f>IF(ISNUMBER(O1971),IF(AND(VLOOKUP($D1971,Merchantability!$B:$C,2,0)="Yes",$E1971&gt;=VLOOKUP($D1971,Merchantability!$B:$D,3,0),$E1971&lt;=VLOOKUP($D1971,Merchantability!$B:$E,4,0)),(AV1971*O1971)*(1-$H1971/100),""),"")</f>
        <v/>
      </c>
      <c r="AZ1971" s="116"/>
      <c r="BA1971" s="116"/>
      <c r="BB1971" s="116"/>
      <c r="BE1971" s="62"/>
      <c r="BF1971" s="63"/>
    </row>
    <row r="1972" spans="1:58" ht="12.75" customHeight="1" x14ac:dyDescent="0.25">
      <c r="A1972" s="334"/>
      <c r="B1972" s="334"/>
      <c r="C1972" s="332"/>
      <c r="D1972" s="334"/>
      <c r="E1972" s="335"/>
      <c r="F1972" s="334"/>
      <c r="G1972" s="332"/>
      <c r="H1972" s="332"/>
      <c r="I1972" s="334"/>
      <c r="J1972" s="336"/>
      <c r="K1972" s="332"/>
      <c r="L1972" s="332"/>
      <c r="M1972" s="76"/>
      <c r="N1972" s="103" t="str">
        <f>IF(A1972="","",VLOOKUP(A1972,Stand!C:K,9,0))</f>
        <v/>
      </c>
      <c r="O1972" s="104" t="str">
        <f t="shared" si="848"/>
        <v/>
      </c>
      <c r="P1972" s="105" t="str">
        <f t="shared" si="849"/>
        <v/>
      </c>
      <c r="Q1972" s="105" t="str">
        <f t="shared" si="864"/>
        <v/>
      </c>
      <c r="R1972" s="103" t="str">
        <f t="shared" si="850"/>
        <v/>
      </c>
      <c r="S1972" s="103" t="str">
        <f t="shared" si="851"/>
        <v/>
      </c>
      <c r="T1972" s="106" t="str">
        <f t="shared" si="865"/>
        <v/>
      </c>
      <c r="U1972" s="106" t="str">
        <f t="shared" si="866"/>
        <v/>
      </c>
      <c r="V1972" s="106" t="str">
        <f t="shared" si="867"/>
        <v/>
      </c>
      <c r="W1972" s="105" t="str">
        <f t="shared" si="852"/>
        <v/>
      </c>
      <c r="X1972" s="104" t="str">
        <f t="shared" si="857"/>
        <v/>
      </c>
      <c r="Y1972" s="104" t="str">
        <f t="array" ref="Y1972">IFERROR(IF(ISNUMBER(O1972),IF(COUNT(IF(A1972=$A$2:$A$2427,IF(D1972=$D$2:$D$2427,IF($X$2:$X$2427&gt;0,1))))&gt;0,SUM(IF(A1972=$A$2:$A$2427,IF(D1972=$D$2:$D$2427,$X$2:$X$2427)))/COUNT(IF(A1972=$A$2:$A$2427,IF(D1972=$D$2:$D$2427,IF(ISNUMBER($X$2:$X$2427),1)))),0),""),0)</f>
        <v/>
      </c>
      <c r="Z1972" s="104" t="str">
        <f>IF(ISNUMBER(O1972),IF(I1972&gt;0,(10^(VLOOKUP(D1972,'Species Codes'!B:C,2,0)+VLOOKUP(D1972,'Species Codes'!B:D,3,0)*LOG(E1972)+VLOOKUP(D1972,'Species Codes'!B:E,4,0)*LOG(I1972))),0),"")</f>
        <v/>
      </c>
      <c r="AA1972" s="104" t="str">
        <f>IFERROR((VLOOKUP(D1972,'Species Codes'!B:G,6,0)*Z1972)/2000,"")</f>
        <v/>
      </c>
      <c r="AB1972" s="104" t="e">
        <f>IF(Z1972&gt;0,((IF(OR(D1972="DF",D1972="RA")=TRUE,EXP(VLOOKUP(D1972,'Species Codes'!B:I,8,0)+VLOOKUP(D1972,'Species Codes'!B:J,9,0)*(LN((E1972*2.54)))),IF(OR(D1972="PY",D1972="RC",D1972="WH",D1972="NF")=TRUE,VLOOKUP(D1972,'Species Codes'!B:I,8,0)+VLOOKUP(D1972,'Species Codes'!B:J,9,0)*((E1972*2.54)^2)*(I1972*0.3048),IF(OR(D1972="MD",D1972="BM",D1972="GA")=TRUE,((VLOOKUP(D1972,'Species Codes'!B:I,8,0)*(((((E1972*2.54)+VLOOKUP(D1972,'Species Codes'!B:J,9,0))/VLOOKUP(D1972,'Species Codes'!B:K,10,0))^VLOOKUP(D1972,'Species Codes'!B:L,11,0))*((I1972*0.3048)^VLOOKUP(D1972,'Species Codes'!B:M,12,0))))-(VLOOKUP(D1972,'Species Codes'!B:I,8,0)*((((E1972*2.54)^VLOOKUP(D1972,'Species Codes'!B:L,11,0))*((I1972*0.3048)^VLOOKUP(D1972,'Species Codes'!B:M,12,0))))))*35.3*VLOOKUP(D1972,'Species Codes'!B:G,6,0)/2.2046,VLOOKUP(D1972,'Species Codes'!B:I,8,0)+VLOOKUP(D1972,'Species Codes'!B:J,9,0)*(((E1972*2.54)/100)^2)*(I1972*0.3048)))))*0.0011023),0)</f>
        <v>#N/A</v>
      </c>
      <c r="AC1972" s="104" t="e">
        <f>IF(Z1972&gt;0,((IF(OR(D1972="RA",D1972="OA",D1972="OT",D1972="UN",D1972="PC"),EXP(VLOOKUP(D1972,'Species Codes'!B:O,14,0)+VLOOKUP(D1972,'Species Codes'!B:P,15,0)*LN((E1972*2.54)))-EXP(VLOOKUP(D1972,'Species Codes'!B:O,14,0)+VLOOKUP(D1972,'Species Codes'!B:P,15,0)*LN((E1972*2.54)))*(1/(VLOOKUP(D1972,'Species Codes'!B:Q,16,0)+VLOOKUP(D1972,'Species Codes'!B:R,17,0)*((E1972*2.54)^VLOOKUP(D1972,'Species Codes'!B:S,18,0)))),IF(OR(D1972="BM",D1972="MD",D1972="OA"),EXP(VLOOKUP(D1972,'Species Codes'!B:O,14,0)+VLOOKUP(D1972,'Species Codes'!B:P,15,0)*LN((E1972*2.54)))*(1-(1/(VLOOKUP(D1972,'Species Codes'!B:Q,16,0)+VLOOKUP(D1972,'Species Codes'!B:R,17,0)*((E1972*2.54)^VLOOKUP(D1972,'Species Codes'!B:S,18,0)))))/1000,IF(D1972="DF",EXP(VLOOKUP(D1972,'Species Codes'!B:O,14,0)+VLOOKUP(D1972,'Species Codes'!B:P,15,0)*LN((E1972*2.54))),VLOOKUP(D1972,'Species Codes'!B:O,14,0)+VLOOKUP(D1972,'Species Codes'!B:P,15,0)*(((E1972*2.54)/100)^2)*(I1972*0.3048)))))*0.0011023),0)</f>
        <v>#N/A</v>
      </c>
      <c r="AD1972" s="104" t="e">
        <f t="shared" si="868"/>
        <v>#N/A</v>
      </c>
      <c r="AE1972" s="104" t="e">
        <f t="shared" si="869"/>
        <v>#N/A</v>
      </c>
      <c r="AF1972" s="104" t="e">
        <f>IF(AND(VLOOKUP($D1972,Merchantability!$B:$C,2,0)="Yes",$E1972&gt;=VLOOKUP($D1972,Merchantability!$B:$D,3,0),$E1972&lt;=VLOOKUP($D1972,Merchantability!$B:$E,4,0)),AA1972,0)</f>
        <v>#N/A</v>
      </c>
      <c r="AG1972" s="104" t="e">
        <f>IF(AND(VLOOKUP($D1972,Merchantability!$B:$C,2,0)="Yes",$E1972&gt;=VLOOKUP($D1972,Merchantability!$B:$D,3,0),$E1972&lt;=VLOOKUP($D1972,Merchantability!$B:$E,4,0)),AB1972,0)</f>
        <v>#N/A</v>
      </c>
      <c r="AH1972" s="104" t="e">
        <f>IF(AND(VLOOKUP($D1972,Merchantability!$B:$C,2,0)="Yes",$E1972&gt;=VLOOKUP($D1972,Merchantability!$B:$D,3,0),$E1972&lt;=VLOOKUP($D1972,Merchantability!$B:$E,4,0)),AC1972,0)</f>
        <v>#N/A</v>
      </c>
      <c r="AI1972" s="104" t="e">
        <f t="shared" si="870"/>
        <v>#N/A</v>
      </c>
      <c r="AJ1972" s="104" t="e">
        <f t="shared" si="871"/>
        <v>#VALUE!</v>
      </c>
      <c r="AK1972" s="104" t="e">
        <f t="shared" si="872"/>
        <v>#N/A</v>
      </c>
      <c r="AL1972" s="104" t="e">
        <f t="shared" si="873"/>
        <v>#N/A</v>
      </c>
      <c r="AM1972" s="104" t="e">
        <f t="shared" si="874"/>
        <v>#N/A</v>
      </c>
      <c r="AN1972" s="104" t="e">
        <f t="shared" si="858"/>
        <v>#N/A</v>
      </c>
      <c r="AO1972" s="104" t="e">
        <f t="shared" si="859"/>
        <v>#N/A</v>
      </c>
      <c r="AP1972" s="104" t="e">
        <f t="shared" si="860"/>
        <v>#N/A</v>
      </c>
      <c r="AQ1972" s="104" t="e">
        <f t="shared" si="861"/>
        <v>#N/A</v>
      </c>
      <c r="AR1972" s="105" t="str">
        <f t="shared" si="853"/>
        <v/>
      </c>
      <c r="AS1972" s="105" t="str">
        <f t="shared" si="854"/>
        <v/>
      </c>
      <c r="AT1972" s="108" t="str">
        <f t="shared" si="855"/>
        <v/>
      </c>
      <c r="AU1972" s="108" t="str">
        <f t="shared" si="856"/>
        <v/>
      </c>
      <c r="AV1972" s="107" t="str">
        <f>IF(ISNUMBER(O1972),IF(VLOOKUP($A1972,Stand!C:J,8,FALSE)="Short",AT1972,AU1972),"")</f>
        <v/>
      </c>
      <c r="AW1972" s="109" t="str">
        <f t="shared" si="862"/>
        <v/>
      </c>
      <c r="AX1972" s="109" t="str">
        <f t="shared" si="863"/>
        <v/>
      </c>
      <c r="AY1972" s="112" t="str">
        <f>IF(ISNUMBER(O1972),IF(AND(VLOOKUP($D1972,Merchantability!$B:$C,2,0)="Yes",$E1972&gt;=VLOOKUP($D1972,Merchantability!$B:$D,3,0),$E1972&lt;=VLOOKUP($D1972,Merchantability!$B:$E,4,0)),(AV1972*O1972)*(1-$H1972/100),""),"")</f>
        <v/>
      </c>
      <c r="AZ1972" s="116"/>
      <c r="BA1972" s="116"/>
      <c r="BB1972" s="116"/>
      <c r="BE1972" s="62"/>
      <c r="BF1972" s="63"/>
    </row>
    <row r="1973" spans="1:58" ht="12.75" customHeight="1" x14ac:dyDescent="0.25">
      <c r="A1973" s="334"/>
      <c r="B1973" s="334"/>
      <c r="C1973" s="332"/>
      <c r="D1973" s="334"/>
      <c r="E1973" s="335"/>
      <c r="F1973" s="334"/>
      <c r="G1973" s="332"/>
      <c r="H1973" s="332"/>
      <c r="I1973" s="334"/>
      <c r="J1973" s="336"/>
      <c r="K1973" s="332"/>
      <c r="L1973" s="332"/>
      <c r="M1973" s="76"/>
      <c r="N1973" s="103" t="str">
        <f>IF(A1973="","",VLOOKUP(A1973,Stand!C:K,9,0))</f>
        <v/>
      </c>
      <c r="O1973" s="104" t="str">
        <f t="shared" si="848"/>
        <v/>
      </c>
      <c r="P1973" s="105" t="str">
        <f t="shared" si="849"/>
        <v/>
      </c>
      <c r="Q1973" s="105" t="str">
        <f t="shared" si="864"/>
        <v/>
      </c>
      <c r="R1973" s="103" t="str">
        <f t="shared" si="850"/>
        <v/>
      </c>
      <c r="S1973" s="103" t="str">
        <f t="shared" si="851"/>
        <v/>
      </c>
      <c r="T1973" s="106" t="str">
        <f t="shared" si="865"/>
        <v/>
      </c>
      <c r="U1973" s="106" t="str">
        <f t="shared" si="866"/>
        <v/>
      </c>
      <c r="V1973" s="106" t="str">
        <f t="shared" si="867"/>
        <v/>
      </c>
      <c r="W1973" s="105" t="str">
        <f t="shared" si="852"/>
        <v/>
      </c>
      <c r="X1973" s="104" t="str">
        <f t="shared" si="857"/>
        <v/>
      </c>
      <c r="Y1973" s="104" t="str">
        <f t="array" ref="Y1973">IFERROR(IF(ISNUMBER(O1973),IF(COUNT(IF(A1973=$A$2:$A$2427,IF(D1973=$D$2:$D$2427,IF($X$2:$X$2427&gt;0,1))))&gt;0,SUM(IF(A1973=$A$2:$A$2427,IF(D1973=$D$2:$D$2427,$X$2:$X$2427)))/COUNT(IF(A1973=$A$2:$A$2427,IF(D1973=$D$2:$D$2427,IF(ISNUMBER($X$2:$X$2427),1)))),0),""),0)</f>
        <v/>
      </c>
      <c r="Z1973" s="104" t="str">
        <f>IF(ISNUMBER(O1973),IF(I1973&gt;0,(10^(VLOOKUP(D1973,'Species Codes'!B:C,2,0)+VLOOKUP(D1973,'Species Codes'!B:D,3,0)*LOG(E1973)+VLOOKUP(D1973,'Species Codes'!B:E,4,0)*LOG(I1973))),0),"")</f>
        <v/>
      </c>
      <c r="AA1973" s="104" t="str">
        <f>IFERROR((VLOOKUP(D1973,'Species Codes'!B:G,6,0)*Z1973)/2000,"")</f>
        <v/>
      </c>
      <c r="AB1973" s="104" t="e">
        <f>IF(Z1973&gt;0,((IF(OR(D1973="DF",D1973="RA")=TRUE,EXP(VLOOKUP(D1973,'Species Codes'!B:I,8,0)+VLOOKUP(D1973,'Species Codes'!B:J,9,0)*(LN((E1973*2.54)))),IF(OR(D1973="PY",D1973="RC",D1973="WH",D1973="NF")=TRUE,VLOOKUP(D1973,'Species Codes'!B:I,8,0)+VLOOKUP(D1973,'Species Codes'!B:J,9,0)*((E1973*2.54)^2)*(I1973*0.3048),IF(OR(D1973="MD",D1973="BM",D1973="GA")=TRUE,((VLOOKUP(D1973,'Species Codes'!B:I,8,0)*(((((E1973*2.54)+VLOOKUP(D1973,'Species Codes'!B:J,9,0))/VLOOKUP(D1973,'Species Codes'!B:K,10,0))^VLOOKUP(D1973,'Species Codes'!B:L,11,0))*((I1973*0.3048)^VLOOKUP(D1973,'Species Codes'!B:M,12,0))))-(VLOOKUP(D1973,'Species Codes'!B:I,8,0)*((((E1973*2.54)^VLOOKUP(D1973,'Species Codes'!B:L,11,0))*((I1973*0.3048)^VLOOKUP(D1973,'Species Codes'!B:M,12,0))))))*35.3*VLOOKUP(D1973,'Species Codes'!B:G,6,0)/2.2046,VLOOKUP(D1973,'Species Codes'!B:I,8,0)+VLOOKUP(D1973,'Species Codes'!B:J,9,0)*(((E1973*2.54)/100)^2)*(I1973*0.3048)))))*0.0011023),0)</f>
        <v>#N/A</v>
      </c>
      <c r="AC1973" s="104" t="e">
        <f>IF(Z1973&gt;0,((IF(OR(D1973="RA",D1973="OA",D1973="OT",D1973="UN",D1973="PC"),EXP(VLOOKUP(D1973,'Species Codes'!B:O,14,0)+VLOOKUP(D1973,'Species Codes'!B:P,15,0)*LN((E1973*2.54)))-EXP(VLOOKUP(D1973,'Species Codes'!B:O,14,0)+VLOOKUP(D1973,'Species Codes'!B:P,15,0)*LN((E1973*2.54)))*(1/(VLOOKUP(D1973,'Species Codes'!B:Q,16,0)+VLOOKUP(D1973,'Species Codes'!B:R,17,0)*((E1973*2.54)^VLOOKUP(D1973,'Species Codes'!B:S,18,0)))),IF(OR(D1973="BM",D1973="MD",D1973="OA"),EXP(VLOOKUP(D1973,'Species Codes'!B:O,14,0)+VLOOKUP(D1973,'Species Codes'!B:P,15,0)*LN((E1973*2.54)))*(1-(1/(VLOOKUP(D1973,'Species Codes'!B:Q,16,0)+VLOOKUP(D1973,'Species Codes'!B:R,17,0)*((E1973*2.54)^VLOOKUP(D1973,'Species Codes'!B:S,18,0)))))/1000,IF(D1973="DF",EXP(VLOOKUP(D1973,'Species Codes'!B:O,14,0)+VLOOKUP(D1973,'Species Codes'!B:P,15,0)*LN((E1973*2.54))),VLOOKUP(D1973,'Species Codes'!B:O,14,0)+VLOOKUP(D1973,'Species Codes'!B:P,15,0)*(((E1973*2.54)/100)^2)*(I1973*0.3048)))))*0.0011023),0)</f>
        <v>#N/A</v>
      </c>
      <c r="AD1973" s="104" t="e">
        <f t="shared" si="868"/>
        <v>#N/A</v>
      </c>
      <c r="AE1973" s="104" t="e">
        <f t="shared" si="869"/>
        <v>#N/A</v>
      </c>
      <c r="AF1973" s="104" t="e">
        <f>IF(AND(VLOOKUP($D1973,Merchantability!$B:$C,2,0)="Yes",$E1973&gt;=VLOOKUP($D1973,Merchantability!$B:$D,3,0),$E1973&lt;=VLOOKUP($D1973,Merchantability!$B:$E,4,0)),AA1973,0)</f>
        <v>#N/A</v>
      </c>
      <c r="AG1973" s="104" t="e">
        <f>IF(AND(VLOOKUP($D1973,Merchantability!$B:$C,2,0)="Yes",$E1973&gt;=VLOOKUP($D1973,Merchantability!$B:$D,3,0),$E1973&lt;=VLOOKUP($D1973,Merchantability!$B:$E,4,0)),AB1973,0)</f>
        <v>#N/A</v>
      </c>
      <c r="AH1973" s="104" t="e">
        <f>IF(AND(VLOOKUP($D1973,Merchantability!$B:$C,2,0)="Yes",$E1973&gt;=VLOOKUP($D1973,Merchantability!$B:$D,3,0),$E1973&lt;=VLOOKUP($D1973,Merchantability!$B:$E,4,0)),AC1973,0)</f>
        <v>#N/A</v>
      </c>
      <c r="AI1973" s="104" t="e">
        <f t="shared" si="870"/>
        <v>#N/A</v>
      </c>
      <c r="AJ1973" s="104" t="e">
        <f t="shared" si="871"/>
        <v>#VALUE!</v>
      </c>
      <c r="AK1973" s="104" t="e">
        <f t="shared" si="872"/>
        <v>#N/A</v>
      </c>
      <c r="AL1973" s="104" t="e">
        <f t="shared" si="873"/>
        <v>#N/A</v>
      </c>
      <c r="AM1973" s="104" t="e">
        <f t="shared" si="874"/>
        <v>#N/A</v>
      </c>
      <c r="AN1973" s="104" t="e">
        <f t="shared" si="858"/>
        <v>#N/A</v>
      </c>
      <c r="AO1973" s="104" t="e">
        <f t="shared" si="859"/>
        <v>#N/A</v>
      </c>
      <c r="AP1973" s="104" t="e">
        <f t="shared" si="860"/>
        <v>#N/A</v>
      </c>
      <c r="AQ1973" s="104" t="e">
        <f t="shared" si="861"/>
        <v>#N/A</v>
      </c>
      <c r="AR1973" s="105" t="str">
        <f t="shared" si="853"/>
        <v/>
      </c>
      <c r="AS1973" s="105" t="str">
        <f t="shared" si="854"/>
        <v/>
      </c>
      <c r="AT1973" s="108" t="str">
        <f t="shared" si="855"/>
        <v/>
      </c>
      <c r="AU1973" s="108" t="str">
        <f t="shared" si="856"/>
        <v/>
      </c>
      <c r="AV1973" s="107" t="str">
        <f>IF(ISNUMBER(O1973),IF(VLOOKUP($A1973,Stand!C:J,8,FALSE)="Short",AT1973,AU1973),"")</f>
        <v/>
      </c>
      <c r="AW1973" s="109" t="str">
        <f t="shared" si="862"/>
        <v/>
      </c>
      <c r="AX1973" s="109" t="str">
        <f t="shared" si="863"/>
        <v/>
      </c>
      <c r="AY1973" s="112" t="str">
        <f>IF(ISNUMBER(O1973),IF(AND(VLOOKUP($D1973,Merchantability!$B:$C,2,0)="Yes",$E1973&gt;=VLOOKUP($D1973,Merchantability!$B:$D,3,0),$E1973&lt;=VLOOKUP($D1973,Merchantability!$B:$E,4,0)),(AV1973*O1973)*(1-$H1973/100),""),"")</f>
        <v/>
      </c>
      <c r="AZ1973" s="116"/>
      <c r="BA1973" s="116"/>
      <c r="BB1973" s="116"/>
      <c r="BE1973" s="62"/>
      <c r="BF1973" s="63"/>
    </row>
    <row r="1974" spans="1:58" ht="12.75" customHeight="1" x14ac:dyDescent="0.25">
      <c r="A1974" s="334"/>
      <c r="B1974" s="334"/>
      <c r="C1974" s="332"/>
      <c r="D1974" s="334"/>
      <c r="E1974" s="335"/>
      <c r="F1974" s="334"/>
      <c r="G1974" s="332"/>
      <c r="H1974" s="332"/>
      <c r="I1974" s="334"/>
      <c r="J1974" s="336"/>
      <c r="K1974" s="332"/>
      <c r="L1974" s="332"/>
      <c r="M1974" s="76"/>
      <c r="N1974" s="103" t="str">
        <f>IF(A1974="","",VLOOKUP(A1974,Stand!C:K,9,0))</f>
        <v/>
      </c>
      <c r="O1974" s="104" t="str">
        <f t="shared" si="848"/>
        <v/>
      </c>
      <c r="P1974" s="105" t="str">
        <f t="shared" si="849"/>
        <v/>
      </c>
      <c r="Q1974" s="105" t="str">
        <f t="shared" si="864"/>
        <v/>
      </c>
      <c r="R1974" s="103" t="str">
        <f t="shared" si="850"/>
        <v/>
      </c>
      <c r="S1974" s="103" t="str">
        <f t="shared" si="851"/>
        <v/>
      </c>
      <c r="T1974" s="106" t="str">
        <f t="shared" si="865"/>
        <v/>
      </c>
      <c r="U1974" s="106" t="str">
        <f t="shared" si="866"/>
        <v/>
      </c>
      <c r="V1974" s="106" t="str">
        <f t="shared" si="867"/>
        <v/>
      </c>
      <c r="W1974" s="105" t="str">
        <f t="shared" si="852"/>
        <v/>
      </c>
      <c r="X1974" s="104" t="str">
        <f t="shared" si="857"/>
        <v/>
      </c>
      <c r="Y1974" s="104" t="str">
        <f t="array" ref="Y1974">IFERROR(IF(ISNUMBER(O1974),IF(COUNT(IF(A1974=$A$2:$A$2427,IF(D1974=$D$2:$D$2427,IF($X$2:$X$2427&gt;0,1))))&gt;0,SUM(IF(A1974=$A$2:$A$2427,IF(D1974=$D$2:$D$2427,$X$2:$X$2427)))/COUNT(IF(A1974=$A$2:$A$2427,IF(D1974=$D$2:$D$2427,IF(ISNUMBER($X$2:$X$2427),1)))),0),""),0)</f>
        <v/>
      </c>
      <c r="Z1974" s="104" t="str">
        <f>IF(ISNUMBER(O1974),IF(I1974&gt;0,(10^(VLOOKUP(D1974,'Species Codes'!B:C,2,0)+VLOOKUP(D1974,'Species Codes'!B:D,3,0)*LOG(E1974)+VLOOKUP(D1974,'Species Codes'!B:E,4,0)*LOG(I1974))),0),"")</f>
        <v/>
      </c>
      <c r="AA1974" s="104" t="str">
        <f>IFERROR((VLOOKUP(D1974,'Species Codes'!B:G,6,0)*Z1974)/2000,"")</f>
        <v/>
      </c>
      <c r="AB1974" s="104" t="e">
        <f>IF(Z1974&gt;0,((IF(OR(D1974="DF",D1974="RA")=TRUE,EXP(VLOOKUP(D1974,'Species Codes'!B:I,8,0)+VLOOKUP(D1974,'Species Codes'!B:J,9,0)*(LN((E1974*2.54)))),IF(OR(D1974="PY",D1974="RC",D1974="WH",D1974="NF")=TRUE,VLOOKUP(D1974,'Species Codes'!B:I,8,0)+VLOOKUP(D1974,'Species Codes'!B:J,9,0)*((E1974*2.54)^2)*(I1974*0.3048),IF(OR(D1974="MD",D1974="BM",D1974="GA")=TRUE,((VLOOKUP(D1974,'Species Codes'!B:I,8,0)*(((((E1974*2.54)+VLOOKUP(D1974,'Species Codes'!B:J,9,0))/VLOOKUP(D1974,'Species Codes'!B:K,10,0))^VLOOKUP(D1974,'Species Codes'!B:L,11,0))*((I1974*0.3048)^VLOOKUP(D1974,'Species Codes'!B:M,12,0))))-(VLOOKUP(D1974,'Species Codes'!B:I,8,0)*((((E1974*2.54)^VLOOKUP(D1974,'Species Codes'!B:L,11,0))*((I1974*0.3048)^VLOOKUP(D1974,'Species Codes'!B:M,12,0))))))*35.3*VLOOKUP(D1974,'Species Codes'!B:G,6,0)/2.2046,VLOOKUP(D1974,'Species Codes'!B:I,8,0)+VLOOKUP(D1974,'Species Codes'!B:J,9,0)*(((E1974*2.54)/100)^2)*(I1974*0.3048)))))*0.0011023),0)</f>
        <v>#N/A</v>
      </c>
      <c r="AC1974" s="104" t="e">
        <f>IF(Z1974&gt;0,((IF(OR(D1974="RA",D1974="OA",D1974="OT",D1974="UN",D1974="PC"),EXP(VLOOKUP(D1974,'Species Codes'!B:O,14,0)+VLOOKUP(D1974,'Species Codes'!B:P,15,0)*LN((E1974*2.54)))-EXP(VLOOKUP(D1974,'Species Codes'!B:O,14,0)+VLOOKUP(D1974,'Species Codes'!B:P,15,0)*LN((E1974*2.54)))*(1/(VLOOKUP(D1974,'Species Codes'!B:Q,16,0)+VLOOKUP(D1974,'Species Codes'!B:R,17,0)*((E1974*2.54)^VLOOKUP(D1974,'Species Codes'!B:S,18,0)))),IF(OR(D1974="BM",D1974="MD",D1974="OA"),EXP(VLOOKUP(D1974,'Species Codes'!B:O,14,0)+VLOOKUP(D1974,'Species Codes'!B:P,15,0)*LN((E1974*2.54)))*(1-(1/(VLOOKUP(D1974,'Species Codes'!B:Q,16,0)+VLOOKUP(D1974,'Species Codes'!B:R,17,0)*((E1974*2.54)^VLOOKUP(D1974,'Species Codes'!B:S,18,0)))))/1000,IF(D1974="DF",EXP(VLOOKUP(D1974,'Species Codes'!B:O,14,0)+VLOOKUP(D1974,'Species Codes'!B:P,15,0)*LN((E1974*2.54))),VLOOKUP(D1974,'Species Codes'!B:O,14,0)+VLOOKUP(D1974,'Species Codes'!B:P,15,0)*(((E1974*2.54)/100)^2)*(I1974*0.3048)))))*0.0011023),0)</f>
        <v>#N/A</v>
      </c>
      <c r="AD1974" s="104" t="e">
        <f t="shared" si="868"/>
        <v>#N/A</v>
      </c>
      <c r="AE1974" s="104" t="e">
        <f t="shared" si="869"/>
        <v>#N/A</v>
      </c>
      <c r="AF1974" s="104" t="e">
        <f>IF(AND(VLOOKUP($D1974,Merchantability!$B:$C,2,0)="Yes",$E1974&gt;=VLOOKUP($D1974,Merchantability!$B:$D,3,0),$E1974&lt;=VLOOKUP($D1974,Merchantability!$B:$E,4,0)),AA1974,0)</f>
        <v>#N/A</v>
      </c>
      <c r="AG1974" s="104" t="e">
        <f>IF(AND(VLOOKUP($D1974,Merchantability!$B:$C,2,0)="Yes",$E1974&gt;=VLOOKUP($D1974,Merchantability!$B:$D,3,0),$E1974&lt;=VLOOKUP($D1974,Merchantability!$B:$E,4,0)),AB1974,0)</f>
        <v>#N/A</v>
      </c>
      <c r="AH1974" s="104" t="e">
        <f>IF(AND(VLOOKUP($D1974,Merchantability!$B:$C,2,0)="Yes",$E1974&gt;=VLOOKUP($D1974,Merchantability!$B:$D,3,0),$E1974&lt;=VLOOKUP($D1974,Merchantability!$B:$E,4,0)),AC1974,0)</f>
        <v>#N/A</v>
      </c>
      <c r="AI1974" s="104" t="e">
        <f t="shared" si="870"/>
        <v>#N/A</v>
      </c>
      <c r="AJ1974" s="104" t="e">
        <f t="shared" si="871"/>
        <v>#VALUE!</v>
      </c>
      <c r="AK1974" s="104" t="e">
        <f t="shared" si="872"/>
        <v>#N/A</v>
      </c>
      <c r="AL1974" s="104" t="e">
        <f t="shared" si="873"/>
        <v>#N/A</v>
      </c>
      <c r="AM1974" s="104" t="e">
        <f t="shared" si="874"/>
        <v>#N/A</v>
      </c>
      <c r="AN1974" s="104" t="e">
        <f t="shared" si="858"/>
        <v>#N/A</v>
      </c>
      <c r="AO1974" s="104" t="e">
        <f t="shared" si="859"/>
        <v>#N/A</v>
      </c>
      <c r="AP1974" s="104" t="e">
        <f t="shared" si="860"/>
        <v>#N/A</v>
      </c>
      <c r="AQ1974" s="104" t="e">
        <f t="shared" si="861"/>
        <v>#N/A</v>
      </c>
      <c r="AR1974" s="105" t="str">
        <f t="shared" si="853"/>
        <v/>
      </c>
      <c r="AS1974" s="105" t="str">
        <f t="shared" si="854"/>
        <v/>
      </c>
      <c r="AT1974" s="108" t="str">
        <f t="shared" si="855"/>
        <v/>
      </c>
      <c r="AU1974" s="108" t="str">
        <f t="shared" si="856"/>
        <v/>
      </c>
      <c r="AV1974" s="107" t="str">
        <f>IF(ISNUMBER(O1974),IF(VLOOKUP($A1974,Stand!C:J,8,FALSE)="Short",AT1974,AU1974),"")</f>
        <v/>
      </c>
      <c r="AW1974" s="109" t="str">
        <f t="shared" si="862"/>
        <v/>
      </c>
      <c r="AX1974" s="109" t="str">
        <f t="shared" si="863"/>
        <v/>
      </c>
      <c r="AY1974" s="112" t="str">
        <f>IF(ISNUMBER(O1974),IF(AND(VLOOKUP($D1974,Merchantability!$B:$C,2,0)="Yes",$E1974&gt;=VLOOKUP($D1974,Merchantability!$B:$D,3,0),$E1974&lt;=VLOOKUP($D1974,Merchantability!$B:$E,4,0)),(AV1974*O1974)*(1-$H1974/100),""),"")</f>
        <v/>
      </c>
      <c r="AZ1974" s="116"/>
      <c r="BA1974" s="116"/>
      <c r="BB1974" s="116"/>
      <c r="BE1974" s="62"/>
      <c r="BF1974" s="63"/>
    </row>
    <row r="1975" spans="1:58" ht="12.75" customHeight="1" x14ac:dyDescent="0.25">
      <c r="A1975" s="334"/>
      <c r="B1975" s="334"/>
      <c r="C1975" s="332"/>
      <c r="D1975" s="334"/>
      <c r="E1975" s="335"/>
      <c r="F1975" s="334"/>
      <c r="G1975" s="332"/>
      <c r="H1975" s="332"/>
      <c r="I1975" s="334"/>
      <c r="J1975" s="336"/>
      <c r="K1975" s="332"/>
      <c r="L1975" s="332"/>
      <c r="M1975" s="76"/>
      <c r="N1975" s="103" t="str">
        <f>IF(A1975="","",VLOOKUP(A1975,Stand!C:K,9,0))</f>
        <v/>
      </c>
      <c r="O1975" s="104" t="str">
        <f t="shared" si="848"/>
        <v/>
      </c>
      <c r="P1975" s="105" t="str">
        <f t="shared" si="849"/>
        <v/>
      </c>
      <c r="Q1975" s="105" t="str">
        <f t="shared" si="864"/>
        <v/>
      </c>
      <c r="R1975" s="103" t="str">
        <f t="shared" si="850"/>
        <v/>
      </c>
      <c r="S1975" s="103" t="str">
        <f t="shared" si="851"/>
        <v/>
      </c>
      <c r="T1975" s="106" t="str">
        <f t="shared" si="865"/>
        <v/>
      </c>
      <c r="U1975" s="106" t="str">
        <f t="shared" si="866"/>
        <v/>
      </c>
      <c r="V1975" s="106" t="str">
        <f t="shared" si="867"/>
        <v/>
      </c>
      <c r="W1975" s="105" t="str">
        <f t="shared" si="852"/>
        <v/>
      </c>
      <c r="X1975" s="104" t="str">
        <f t="shared" si="857"/>
        <v/>
      </c>
      <c r="Y1975" s="104" t="str">
        <f t="array" ref="Y1975">IFERROR(IF(ISNUMBER(O1975),IF(COUNT(IF(A1975=$A$2:$A$2427,IF(D1975=$D$2:$D$2427,IF($X$2:$X$2427&gt;0,1))))&gt;0,SUM(IF(A1975=$A$2:$A$2427,IF(D1975=$D$2:$D$2427,$X$2:$X$2427)))/COUNT(IF(A1975=$A$2:$A$2427,IF(D1975=$D$2:$D$2427,IF(ISNUMBER($X$2:$X$2427),1)))),0),""),0)</f>
        <v/>
      </c>
      <c r="Z1975" s="104" t="str">
        <f>IF(ISNUMBER(O1975),IF(I1975&gt;0,(10^(VLOOKUP(D1975,'Species Codes'!B:C,2,0)+VLOOKUP(D1975,'Species Codes'!B:D,3,0)*LOG(E1975)+VLOOKUP(D1975,'Species Codes'!B:E,4,0)*LOG(I1975))),0),"")</f>
        <v/>
      </c>
      <c r="AA1975" s="104" t="str">
        <f>IFERROR((VLOOKUP(D1975,'Species Codes'!B:G,6,0)*Z1975)/2000,"")</f>
        <v/>
      </c>
      <c r="AB1975" s="104" t="e">
        <f>IF(Z1975&gt;0,((IF(OR(D1975="DF",D1975="RA")=TRUE,EXP(VLOOKUP(D1975,'Species Codes'!B:I,8,0)+VLOOKUP(D1975,'Species Codes'!B:J,9,0)*(LN((E1975*2.54)))),IF(OR(D1975="PY",D1975="RC",D1975="WH",D1975="NF")=TRUE,VLOOKUP(D1975,'Species Codes'!B:I,8,0)+VLOOKUP(D1975,'Species Codes'!B:J,9,0)*((E1975*2.54)^2)*(I1975*0.3048),IF(OR(D1975="MD",D1975="BM",D1975="GA")=TRUE,((VLOOKUP(D1975,'Species Codes'!B:I,8,0)*(((((E1975*2.54)+VLOOKUP(D1975,'Species Codes'!B:J,9,0))/VLOOKUP(D1975,'Species Codes'!B:K,10,0))^VLOOKUP(D1975,'Species Codes'!B:L,11,0))*((I1975*0.3048)^VLOOKUP(D1975,'Species Codes'!B:M,12,0))))-(VLOOKUP(D1975,'Species Codes'!B:I,8,0)*((((E1975*2.54)^VLOOKUP(D1975,'Species Codes'!B:L,11,0))*((I1975*0.3048)^VLOOKUP(D1975,'Species Codes'!B:M,12,0))))))*35.3*VLOOKUP(D1975,'Species Codes'!B:G,6,0)/2.2046,VLOOKUP(D1975,'Species Codes'!B:I,8,0)+VLOOKUP(D1975,'Species Codes'!B:J,9,0)*(((E1975*2.54)/100)^2)*(I1975*0.3048)))))*0.0011023),0)</f>
        <v>#N/A</v>
      </c>
      <c r="AC1975" s="104" t="e">
        <f>IF(Z1975&gt;0,((IF(OR(D1975="RA",D1975="OA",D1975="OT",D1975="UN",D1975="PC"),EXP(VLOOKUP(D1975,'Species Codes'!B:O,14,0)+VLOOKUP(D1975,'Species Codes'!B:P,15,0)*LN((E1975*2.54)))-EXP(VLOOKUP(D1975,'Species Codes'!B:O,14,0)+VLOOKUP(D1975,'Species Codes'!B:P,15,0)*LN((E1975*2.54)))*(1/(VLOOKUP(D1975,'Species Codes'!B:Q,16,0)+VLOOKUP(D1975,'Species Codes'!B:R,17,0)*((E1975*2.54)^VLOOKUP(D1975,'Species Codes'!B:S,18,0)))),IF(OR(D1975="BM",D1975="MD",D1975="OA"),EXP(VLOOKUP(D1975,'Species Codes'!B:O,14,0)+VLOOKUP(D1975,'Species Codes'!B:P,15,0)*LN((E1975*2.54)))*(1-(1/(VLOOKUP(D1975,'Species Codes'!B:Q,16,0)+VLOOKUP(D1975,'Species Codes'!B:R,17,0)*((E1975*2.54)^VLOOKUP(D1975,'Species Codes'!B:S,18,0)))))/1000,IF(D1975="DF",EXP(VLOOKUP(D1975,'Species Codes'!B:O,14,0)+VLOOKUP(D1975,'Species Codes'!B:P,15,0)*LN((E1975*2.54))),VLOOKUP(D1975,'Species Codes'!B:O,14,0)+VLOOKUP(D1975,'Species Codes'!B:P,15,0)*(((E1975*2.54)/100)^2)*(I1975*0.3048)))))*0.0011023),0)</f>
        <v>#N/A</v>
      </c>
      <c r="AD1975" s="104" t="e">
        <f t="shared" si="868"/>
        <v>#N/A</v>
      </c>
      <c r="AE1975" s="104" t="e">
        <f t="shared" si="869"/>
        <v>#N/A</v>
      </c>
      <c r="AF1975" s="104" t="e">
        <f>IF(AND(VLOOKUP($D1975,Merchantability!$B:$C,2,0)="Yes",$E1975&gt;=VLOOKUP($D1975,Merchantability!$B:$D,3,0),$E1975&lt;=VLOOKUP($D1975,Merchantability!$B:$E,4,0)),AA1975,0)</f>
        <v>#N/A</v>
      </c>
      <c r="AG1975" s="104" t="e">
        <f>IF(AND(VLOOKUP($D1975,Merchantability!$B:$C,2,0)="Yes",$E1975&gt;=VLOOKUP($D1975,Merchantability!$B:$D,3,0),$E1975&lt;=VLOOKUP($D1975,Merchantability!$B:$E,4,0)),AB1975,0)</f>
        <v>#N/A</v>
      </c>
      <c r="AH1975" s="104" t="e">
        <f>IF(AND(VLOOKUP($D1975,Merchantability!$B:$C,2,0)="Yes",$E1975&gt;=VLOOKUP($D1975,Merchantability!$B:$D,3,0),$E1975&lt;=VLOOKUP($D1975,Merchantability!$B:$E,4,0)),AC1975,0)</f>
        <v>#N/A</v>
      </c>
      <c r="AI1975" s="104" t="e">
        <f t="shared" si="870"/>
        <v>#N/A</v>
      </c>
      <c r="AJ1975" s="104" t="e">
        <f t="shared" si="871"/>
        <v>#VALUE!</v>
      </c>
      <c r="AK1975" s="104" t="e">
        <f t="shared" si="872"/>
        <v>#N/A</v>
      </c>
      <c r="AL1975" s="104" t="e">
        <f t="shared" si="873"/>
        <v>#N/A</v>
      </c>
      <c r="AM1975" s="104" t="e">
        <f t="shared" si="874"/>
        <v>#N/A</v>
      </c>
      <c r="AN1975" s="104" t="e">
        <f t="shared" si="858"/>
        <v>#N/A</v>
      </c>
      <c r="AO1975" s="104" t="e">
        <f t="shared" si="859"/>
        <v>#N/A</v>
      </c>
      <c r="AP1975" s="104" t="e">
        <f t="shared" si="860"/>
        <v>#N/A</v>
      </c>
      <c r="AQ1975" s="104" t="e">
        <f t="shared" si="861"/>
        <v>#N/A</v>
      </c>
      <c r="AR1975" s="105" t="str">
        <f t="shared" si="853"/>
        <v/>
      </c>
      <c r="AS1975" s="105" t="str">
        <f t="shared" si="854"/>
        <v/>
      </c>
      <c r="AT1975" s="108" t="str">
        <f t="shared" si="855"/>
        <v/>
      </c>
      <c r="AU1975" s="108" t="str">
        <f t="shared" si="856"/>
        <v/>
      </c>
      <c r="AV1975" s="107" t="str">
        <f>IF(ISNUMBER(O1975),IF(VLOOKUP($A1975,Stand!C:J,8,FALSE)="Short",AT1975,AU1975),"")</f>
        <v/>
      </c>
      <c r="AW1975" s="109" t="str">
        <f t="shared" si="862"/>
        <v/>
      </c>
      <c r="AX1975" s="109" t="str">
        <f t="shared" si="863"/>
        <v/>
      </c>
      <c r="AY1975" s="112" t="str">
        <f>IF(ISNUMBER(O1975),IF(AND(VLOOKUP($D1975,Merchantability!$B:$C,2,0)="Yes",$E1975&gt;=VLOOKUP($D1975,Merchantability!$B:$D,3,0),$E1975&lt;=VLOOKUP($D1975,Merchantability!$B:$E,4,0)),(AV1975*O1975)*(1-$H1975/100),""),"")</f>
        <v/>
      </c>
      <c r="AZ1975" s="116"/>
      <c r="BA1975" s="116"/>
      <c r="BB1975" s="116"/>
      <c r="BE1975" s="62"/>
      <c r="BF1975" s="63"/>
    </row>
    <row r="1976" spans="1:58" ht="12.75" customHeight="1" x14ac:dyDescent="0.25">
      <c r="A1976" s="334"/>
      <c r="B1976" s="334"/>
      <c r="C1976" s="332"/>
      <c r="D1976" s="334"/>
      <c r="E1976" s="335"/>
      <c r="F1976" s="334"/>
      <c r="G1976" s="332"/>
      <c r="H1976" s="332"/>
      <c r="I1976" s="334"/>
      <c r="J1976" s="336"/>
      <c r="K1976" s="332"/>
      <c r="L1976" s="332"/>
      <c r="M1976" s="76"/>
      <c r="N1976" s="103" t="str">
        <f>IF(A1976="","",VLOOKUP(A1976,Stand!C:K,9,0))</f>
        <v/>
      </c>
      <c r="O1976" s="104" t="str">
        <f t="shared" si="848"/>
        <v/>
      </c>
      <c r="P1976" s="105" t="str">
        <f t="shared" si="849"/>
        <v/>
      </c>
      <c r="Q1976" s="105" t="str">
        <f t="shared" si="864"/>
        <v/>
      </c>
      <c r="R1976" s="103" t="str">
        <f t="shared" si="850"/>
        <v/>
      </c>
      <c r="S1976" s="103" t="str">
        <f t="shared" si="851"/>
        <v/>
      </c>
      <c r="T1976" s="106" t="str">
        <f t="shared" si="865"/>
        <v/>
      </c>
      <c r="U1976" s="106" t="str">
        <f t="shared" si="866"/>
        <v/>
      </c>
      <c r="V1976" s="106" t="str">
        <f t="shared" si="867"/>
        <v/>
      </c>
      <c r="W1976" s="105" t="str">
        <f t="shared" si="852"/>
        <v/>
      </c>
      <c r="X1976" s="104" t="str">
        <f t="shared" si="857"/>
        <v/>
      </c>
      <c r="Y1976" s="104" t="str">
        <f t="array" ref="Y1976">IFERROR(IF(ISNUMBER(O1976),IF(COUNT(IF(A1976=$A$2:$A$2427,IF(D1976=$D$2:$D$2427,IF($X$2:$X$2427&gt;0,1))))&gt;0,SUM(IF(A1976=$A$2:$A$2427,IF(D1976=$D$2:$D$2427,$X$2:$X$2427)))/COUNT(IF(A1976=$A$2:$A$2427,IF(D1976=$D$2:$D$2427,IF(ISNUMBER($X$2:$X$2427),1)))),0),""),0)</f>
        <v/>
      </c>
      <c r="Z1976" s="104" t="str">
        <f>IF(ISNUMBER(O1976),IF(I1976&gt;0,(10^(VLOOKUP(D1976,'Species Codes'!B:C,2,0)+VLOOKUP(D1976,'Species Codes'!B:D,3,0)*LOG(E1976)+VLOOKUP(D1976,'Species Codes'!B:E,4,0)*LOG(I1976))),0),"")</f>
        <v/>
      </c>
      <c r="AA1976" s="104" t="str">
        <f>IFERROR((VLOOKUP(D1976,'Species Codes'!B:G,6,0)*Z1976)/2000,"")</f>
        <v/>
      </c>
      <c r="AB1976" s="104" t="e">
        <f>IF(Z1976&gt;0,((IF(OR(D1976="DF",D1976="RA")=TRUE,EXP(VLOOKUP(D1976,'Species Codes'!B:I,8,0)+VLOOKUP(D1976,'Species Codes'!B:J,9,0)*(LN((E1976*2.54)))),IF(OR(D1976="PY",D1976="RC",D1976="WH",D1976="NF")=TRUE,VLOOKUP(D1976,'Species Codes'!B:I,8,0)+VLOOKUP(D1976,'Species Codes'!B:J,9,0)*((E1976*2.54)^2)*(I1976*0.3048),IF(OR(D1976="MD",D1976="BM",D1976="GA")=TRUE,((VLOOKUP(D1976,'Species Codes'!B:I,8,0)*(((((E1976*2.54)+VLOOKUP(D1976,'Species Codes'!B:J,9,0))/VLOOKUP(D1976,'Species Codes'!B:K,10,0))^VLOOKUP(D1976,'Species Codes'!B:L,11,0))*((I1976*0.3048)^VLOOKUP(D1976,'Species Codes'!B:M,12,0))))-(VLOOKUP(D1976,'Species Codes'!B:I,8,0)*((((E1976*2.54)^VLOOKUP(D1976,'Species Codes'!B:L,11,0))*((I1976*0.3048)^VLOOKUP(D1976,'Species Codes'!B:M,12,0))))))*35.3*VLOOKUP(D1976,'Species Codes'!B:G,6,0)/2.2046,VLOOKUP(D1976,'Species Codes'!B:I,8,0)+VLOOKUP(D1976,'Species Codes'!B:J,9,0)*(((E1976*2.54)/100)^2)*(I1976*0.3048)))))*0.0011023),0)</f>
        <v>#N/A</v>
      </c>
      <c r="AC1976" s="104" t="e">
        <f>IF(Z1976&gt;0,((IF(OR(D1976="RA",D1976="OA",D1976="OT",D1976="UN",D1976="PC"),EXP(VLOOKUP(D1976,'Species Codes'!B:O,14,0)+VLOOKUP(D1976,'Species Codes'!B:P,15,0)*LN((E1976*2.54)))-EXP(VLOOKUP(D1976,'Species Codes'!B:O,14,0)+VLOOKUP(D1976,'Species Codes'!B:P,15,0)*LN((E1976*2.54)))*(1/(VLOOKUP(D1976,'Species Codes'!B:Q,16,0)+VLOOKUP(D1976,'Species Codes'!B:R,17,0)*((E1976*2.54)^VLOOKUP(D1976,'Species Codes'!B:S,18,0)))),IF(OR(D1976="BM",D1976="MD",D1976="OA"),EXP(VLOOKUP(D1976,'Species Codes'!B:O,14,0)+VLOOKUP(D1976,'Species Codes'!B:P,15,0)*LN((E1976*2.54)))*(1-(1/(VLOOKUP(D1976,'Species Codes'!B:Q,16,0)+VLOOKUP(D1976,'Species Codes'!B:R,17,0)*((E1976*2.54)^VLOOKUP(D1976,'Species Codes'!B:S,18,0)))))/1000,IF(D1976="DF",EXP(VLOOKUP(D1976,'Species Codes'!B:O,14,0)+VLOOKUP(D1976,'Species Codes'!B:P,15,0)*LN((E1976*2.54))),VLOOKUP(D1976,'Species Codes'!B:O,14,0)+VLOOKUP(D1976,'Species Codes'!B:P,15,0)*(((E1976*2.54)/100)^2)*(I1976*0.3048)))))*0.0011023),0)</f>
        <v>#N/A</v>
      </c>
      <c r="AD1976" s="104" t="e">
        <f t="shared" si="868"/>
        <v>#N/A</v>
      </c>
      <c r="AE1976" s="104" t="e">
        <f t="shared" si="869"/>
        <v>#N/A</v>
      </c>
      <c r="AF1976" s="104" t="e">
        <f>IF(AND(VLOOKUP($D1976,Merchantability!$B:$C,2,0)="Yes",$E1976&gt;=VLOOKUP($D1976,Merchantability!$B:$D,3,0),$E1976&lt;=VLOOKUP($D1976,Merchantability!$B:$E,4,0)),AA1976,0)</f>
        <v>#N/A</v>
      </c>
      <c r="AG1976" s="104" t="e">
        <f>IF(AND(VLOOKUP($D1976,Merchantability!$B:$C,2,0)="Yes",$E1976&gt;=VLOOKUP($D1976,Merchantability!$B:$D,3,0),$E1976&lt;=VLOOKUP($D1976,Merchantability!$B:$E,4,0)),AB1976,0)</f>
        <v>#N/A</v>
      </c>
      <c r="AH1976" s="104" t="e">
        <f>IF(AND(VLOOKUP($D1976,Merchantability!$B:$C,2,0)="Yes",$E1976&gt;=VLOOKUP($D1976,Merchantability!$B:$D,3,0),$E1976&lt;=VLOOKUP($D1976,Merchantability!$B:$E,4,0)),AC1976,0)</f>
        <v>#N/A</v>
      </c>
      <c r="AI1976" s="104" t="e">
        <f t="shared" si="870"/>
        <v>#N/A</v>
      </c>
      <c r="AJ1976" s="104" t="e">
        <f t="shared" si="871"/>
        <v>#VALUE!</v>
      </c>
      <c r="AK1976" s="104" t="e">
        <f t="shared" si="872"/>
        <v>#N/A</v>
      </c>
      <c r="AL1976" s="104" t="e">
        <f t="shared" si="873"/>
        <v>#N/A</v>
      </c>
      <c r="AM1976" s="104" t="e">
        <f t="shared" si="874"/>
        <v>#N/A</v>
      </c>
      <c r="AN1976" s="104" t="e">
        <f t="shared" si="858"/>
        <v>#N/A</v>
      </c>
      <c r="AO1976" s="104" t="e">
        <f t="shared" si="859"/>
        <v>#N/A</v>
      </c>
      <c r="AP1976" s="104" t="e">
        <f t="shared" si="860"/>
        <v>#N/A</v>
      </c>
      <c r="AQ1976" s="104" t="e">
        <f t="shared" si="861"/>
        <v>#N/A</v>
      </c>
      <c r="AR1976" s="105" t="str">
        <f t="shared" si="853"/>
        <v/>
      </c>
      <c r="AS1976" s="105" t="str">
        <f t="shared" si="854"/>
        <v/>
      </c>
      <c r="AT1976" s="108" t="str">
        <f t="shared" si="855"/>
        <v/>
      </c>
      <c r="AU1976" s="108" t="str">
        <f t="shared" si="856"/>
        <v/>
      </c>
      <c r="AV1976" s="107" t="str">
        <f>IF(ISNUMBER(O1976),IF(VLOOKUP($A1976,Stand!C:J,8,FALSE)="Short",AT1976,AU1976),"")</f>
        <v/>
      </c>
      <c r="AW1976" s="109" t="str">
        <f t="shared" si="862"/>
        <v/>
      </c>
      <c r="AX1976" s="109" t="str">
        <f t="shared" si="863"/>
        <v/>
      </c>
      <c r="AY1976" s="112" t="str">
        <f>IF(ISNUMBER(O1976),IF(AND(VLOOKUP($D1976,Merchantability!$B:$C,2,0)="Yes",$E1976&gt;=VLOOKUP($D1976,Merchantability!$B:$D,3,0),$E1976&lt;=VLOOKUP($D1976,Merchantability!$B:$E,4,0)),(AV1976*O1976)*(1-$H1976/100),""),"")</f>
        <v/>
      </c>
      <c r="AZ1976" s="116"/>
      <c r="BA1976" s="116"/>
      <c r="BB1976" s="116"/>
      <c r="BE1976" s="62"/>
      <c r="BF1976" s="63"/>
    </row>
    <row r="1977" spans="1:58" ht="12.75" customHeight="1" x14ac:dyDescent="0.25">
      <c r="A1977" s="334"/>
      <c r="B1977" s="334"/>
      <c r="C1977" s="332"/>
      <c r="D1977" s="334"/>
      <c r="E1977" s="335"/>
      <c r="F1977" s="334"/>
      <c r="G1977" s="332"/>
      <c r="H1977" s="332"/>
      <c r="I1977" s="334"/>
      <c r="J1977" s="336"/>
      <c r="K1977" s="332"/>
      <c r="L1977" s="332"/>
      <c r="M1977" s="76"/>
      <c r="N1977" s="103" t="str">
        <f>IF(A1977="","",VLOOKUP(A1977,Stand!C:K,9,0))</f>
        <v/>
      </c>
      <c r="O1977" s="104" t="str">
        <f t="shared" si="848"/>
        <v/>
      </c>
      <c r="P1977" s="105" t="str">
        <f t="shared" si="849"/>
        <v/>
      </c>
      <c r="Q1977" s="105" t="str">
        <f t="shared" si="864"/>
        <v/>
      </c>
      <c r="R1977" s="103" t="str">
        <f t="shared" si="850"/>
        <v/>
      </c>
      <c r="S1977" s="103" t="str">
        <f t="shared" si="851"/>
        <v/>
      </c>
      <c r="T1977" s="106" t="str">
        <f t="shared" si="865"/>
        <v/>
      </c>
      <c r="U1977" s="106" t="str">
        <f t="shared" si="866"/>
        <v/>
      </c>
      <c r="V1977" s="106" t="str">
        <f t="shared" si="867"/>
        <v/>
      </c>
      <c r="W1977" s="105" t="str">
        <f t="shared" si="852"/>
        <v/>
      </c>
      <c r="X1977" s="104" t="str">
        <f t="shared" si="857"/>
        <v/>
      </c>
      <c r="Y1977" s="104" t="str">
        <f t="array" ref="Y1977">IFERROR(IF(ISNUMBER(O1977),IF(COUNT(IF(A1977=$A$2:$A$2427,IF(D1977=$D$2:$D$2427,IF($X$2:$X$2427&gt;0,1))))&gt;0,SUM(IF(A1977=$A$2:$A$2427,IF(D1977=$D$2:$D$2427,$X$2:$X$2427)))/COUNT(IF(A1977=$A$2:$A$2427,IF(D1977=$D$2:$D$2427,IF(ISNUMBER($X$2:$X$2427),1)))),0),""),0)</f>
        <v/>
      </c>
      <c r="Z1977" s="104" t="str">
        <f>IF(ISNUMBER(O1977),IF(I1977&gt;0,(10^(VLOOKUP(D1977,'Species Codes'!B:C,2,0)+VLOOKUP(D1977,'Species Codes'!B:D,3,0)*LOG(E1977)+VLOOKUP(D1977,'Species Codes'!B:E,4,0)*LOG(I1977))),0),"")</f>
        <v/>
      </c>
      <c r="AA1977" s="104" t="str">
        <f>IFERROR((VLOOKUP(D1977,'Species Codes'!B:G,6,0)*Z1977)/2000,"")</f>
        <v/>
      </c>
      <c r="AB1977" s="104" t="e">
        <f>IF(Z1977&gt;0,((IF(OR(D1977="DF",D1977="RA")=TRUE,EXP(VLOOKUP(D1977,'Species Codes'!B:I,8,0)+VLOOKUP(D1977,'Species Codes'!B:J,9,0)*(LN((E1977*2.54)))),IF(OR(D1977="PY",D1977="RC",D1977="WH",D1977="NF")=TRUE,VLOOKUP(D1977,'Species Codes'!B:I,8,0)+VLOOKUP(D1977,'Species Codes'!B:J,9,0)*((E1977*2.54)^2)*(I1977*0.3048),IF(OR(D1977="MD",D1977="BM",D1977="GA")=TRUE,((VLOOKUP(D1977,'Species Codes'!B:I,8,0)*(((((E1977*2.54)+VLOOKUP(D1977,'Species Codes'!B:J,9,0))/VLOOKUP(D1977,'Species Codes'!B:K,10,0))^VLOOKUP(D1977,'Species Codes'!B:L,11,0))*((I1977*0.3048)^VLOOKUP(D1977,'Species Codes'!B:M,12,0))))-(VLOOKUP(D1977,'Species Codes'!B:I,8,0)*((((E1977*2.54)^VLOOKUP(D1977,'Species Codes'!B:L,11,0))*((I1977*0.3048)^VLOOKUP(D1977,'Species Codes'!B:M,12,0))))))*35.3*VLOOKUP(D1977,'Species Codes'!B:G,6,0)/2.2046,VLOOKUP(D1977,'Species Codes'!B:I,8,0)+VLOOKUP(D1977,'Species Codes'!B:J,9,0)*(((E1977*2.54)/100)^2)*(I1977*0.3048)))))*0.0011023),0)</f>
        <v>#N/A</v>
      </c>
      <c r="AC1977" s="104" t="e">
        <f>IF(Z1977&gt;0,((IF(OR(D1977="RA",D1977="OA",D1977="OT",D1977="UN",D1977="PC"),EXP(VLOOKUP(D1977,'Species Codes'!B:O,14,0)+VLOOKUP(D1977,'Species Codes'!B:P,15,0)*LN((E1977*2.54)))-EXP(VLOOKUP(D1977,'Species Codes'!B:O,14,0)+VLOOKUP(D1977,'Species Codes'!B:P,15,0)*LN((E1977*2.54)))*(1/(VLOOKUP(D1977,'Species Codes'!B:Q,16,0)+VLOOKUP(D1977,'Species Codes'!B:R,17,0)*((E1977*2.54)^VLOOKUP(D1977,'Species Codes'!B:S,18,0)))),IF(OR(D1977="BM",D1977="MD",D1977="OA"),EXP(VLOOKUP(D1977,'Species Codes'!B:O,14,0)+VLOOKUP(D1977,'Species Codes'!B:P,15,0)*LN((E1977*2.54)))*(1-(1/(VLOOKUP(D1977,'Species Codes'!B:Q,16,0)+VLOOKUP(D1977,'Species Codes'!B:R,17,0)*((E1977*2.54)^VLOOKUP(D1977,'Species Codes'!B:S,18,0)))))/1000,IF(D1977="DF",EXP(VLOOKUP(D1977,'Species Codes'!B:O,14,0)+VLOOKUP(D1977,'Species Codes'!B:P,15,0)*LN((E1977*2.54))),VLOOKUP(D1977,'Species Codes'!B:O,14,0)+VLOOKUP(D1977,'Species Codes'!B:P,15,0)*(((E1977*2.54)/100)^2)*(I1977*0.3048)))))*0.0011023),0)</f>
        <v>#N/A</v>
      </c>
      <c r="AD1977" s="104" t="e">
        <f t="shared" si="868"/>
        <v>#N/A</v>
      </c>
      <c r="AE1977" s="104" t="e">
        <f t="shared" si="869"/>
        <v>#N/A</v>
      </c>
      <c r="AF1977" s="104" t="e">
        <f>IF(AND(VLOOKUP($D1977,Merchantability!$B:$C,2,0)="Yes",$E1977&gt;=VLOOKUP($D1977,Merchantability!$B:$D,3,0),$E1977&lt;=VLOOKUP($D1977,Merchantability!$B:$E,4,0)),AA1977,0)</f>
        <v>#N/A</v>
      </c>
      <c r="AG1977" s="104" t="e">
        <f>IF(AND(VLOOKUP($D1977,Merchantability!$B:$C,2,0)="Yes",$E1977&gt;=VLOOKUP($D1977,Merchantability!$B:$D,3,0),$E1977&lt;=VLOOKUP($D1977,Merchantability!$B:$E,4,0)),AB1977,0)</f>
        <v>#N/A</v>
      </c>
      <c r="AH1977" s="104" t="e">
        <f>IF(AND(VLOOKUP($D1977,Merchantability!$B:$C,2,0)="Yes",$E1977&gt;=VLOOKUP($D1977,Merchantability!$B:$D,3,0),$E1977&lt;=VLOOKUP($D1977,Merchantability!$B:$E,4,0)),AC1977,0)</f>
        <v>#N/A</v>
      </c>
      <c r="AI1977" s="104" t="e">
        <f t="shared" si="870"/>
        <v>#N/A</v>
      </c>
      <c r="AJ1977" s="104" t="e">
        <f t="shared" si="871"/>
        <v>#VALUE!</v>
      </c>
      <c r="AK1977" s="104" t="e">
        <f t="shared" si="872"/>
        <v>#N/A</v>
      </c>
      <c r="AL1977" s="104" t="e">
        <f t="shared" si="873"/>
        <v>#N/A</v>
      </c>
      <c r="AM1977" s="104" t="e">
        <f t="shared" si="874"/>
        <v>#N/A</v>
      </c>
      <c r="AN1977" s="104" t="e">
        <f t="shared" si="858"/>
        <v>#N/A</v>
      </c>
      <c r="AO1977" s="104" t="e">
        <f t="shared" si="859"/>
        <v>#N/A</v>
      </c>
      <c r="AP1977" s="104" t="e">
        <f t="shared" si="860"/>
        <v>#N/A</v>
      </c>
      <c r="AQ1977" s="104" t="e">
        <f t="shared" si="861"/>
        <v>#N/A</v>
      </c>
      <c r="AR1977" s="105" t="str">
        <f t="shared" si="853"/>
        <v/>
      </c>
      <c r="AS1977" s="105" t="str">
        <f t="shared" si="854"/>
        <v/>
      </c>
      <c r="AT1977" s="108" t="str">
        <f t="shared" si="855"/>
        <v/>
      </c>
      <c r="AU1977" s="108" t="str">
        <f t="shared" si="856"/>
        <v/>
      </c>
      <c r="AV1977" s="107" t="str">
        <f>IF(ISNUMBER(O1977),IF(VLOOKUP($A1977,Stand!C:J,8,FALSE)="Short",AT1977,AU1977),"")</f>
        <v/>
      </c>
      <c r="AW1977" s="109" t="str">
        <f t="shared" si="862"/>
        <v/>
      </c>
      <c r="AX1977" s="109" t="str">
        <f t="shared" si="863"/>
        <v/>
      </c>
      <c r="AY1977" s="112" t="str">
        <f>IF(ISNUMBER(O1977),IF(AND(VLOOKUP($D1977,Merchantability!$B:$C,2,0)="Yes",$E1977&gt;=VLOOKUP($D1977,Merchantability!$B:$D,3,0),$E1977&lt;=VLOOKUP($D1977,Merchantability!$B:$E,4,0)),(AV1977*O1977)*(1-$H1977/100),""),"")</f>
        <v/>
      </c>
      <c r="AZ1977" s="116"/>
      <c r="BA1977" s="116"/>
      <c r="BB1977" s="116"/>
      <c r="BE1977" s="62"/>
      <c r="BF1977" s="63"/>
    </row>
    <row r="1978" spans="1:58" ht="12.75" customHeight="1" x14ac:dyDescent="0.25">
      <c r="A1978" s="334"/>
      <c r="B1978" s="334"/>
      <c r="C1978" s="332"/>
      <c r="D1978" s="334"/>
      <c r="E1978" s="335"/>
      <c r="F1978" s="334"/>
      <c r="G1978" s="332"/>
      <c r="H1978" s="332"/>
      <c r="I1978" s="334"/>
      <c r="J1978" s="336"/>
      <c r="K1978" s="332"/>
      <c r="L1978" s="332"/>
      <c r="M1978" s="76"/>
      <c r="N1978" s="103" t="str">
        <f>IF(A1978="","",VLOOKUP(A1978,Stand!C:K,9,0))</f>
        <v/>
      </c>
      <c r="O1978" s="104" t="str">
        <f t="shared" si="848"/>
        <v/>
      </c>
      <c r="P1978" s="105" t="str">
        <f t="shared" si="849"/>
        <v/>
      </c>
      <c r="Q1978" s="105" t="str">
        <f t="shared" si="864"/>
        <v/>
      </c>
      <c r="R1978" s="103" t="str">
        <f t="shared" si="850"/>
        <v/>
      </c>
      <c r="S1978" s="103" t="str">
        <f t="shared" si="851"/>
        <v/>
      </c>
      <c r="T1978" s="106" t="str">
        <f t="shared" si="865"/>
        <v/>
      </c>
      <c r="U1978" s="106" t="str">
        <f t="shared" si="866"/>
        <v/>
      </c>
      <c r="V1978" s="106" t="str">
        <f t="shared" si="867"/>
        <v/>
      </c>
      <c r="W1978" s="105" t="str">
        <f t="shared" si="852"/>
        <v/>
      </c>
      <c r="X1978" s="104" t="str">
        <f t="shared" si="857"/>
        <v/>
      </c>
      <c r="Y1978" s="104" t="str">
        <f t="array" ref="Y1978">IFERROR(IF(ISNUMBER(O1978),IF(COUNT(IF(A1978=$A$2:$A$2427,IF(D1978=$D$2:$D$2427,IF($X$2:$X$2427&gt;0,1))))&gt;0,SUM(IF(A1978=$A$2:$A$2427,IF(D1978=$D$2:$D$2427,$X$2:$X$2427)))/COUNT(IF(A1978=$A$2:$A$2427,IF(D1978=$D$2:$D$2427,IF(ISNUMBER($X$2:$X$2427),1)))),0),""),0)</f>
        <v/>
      </c>
      <c r="Z1978" s="104" t="str">
        <f>IF(ISNUMBER(O1978),IF(I1978&gt;0,(10^(VLOOKUP(D1978,'Species Codes'!B:C,2,0)+VLOOKUP(D1978,'Species Codes'!B:D,3,0)*LOG(E1978)+VLOOKUP(D1978,'Species Codes'!B:E,4,0)*LOG(I1978))),0),"")</f>
        <v/>
      </c>
      <c r="AA1978" s="104" t="str">
        <f>IFERROR((VLOOKUP(D1978,'Species Codes'!B:G,6,0)*Z1978)/2000,"")</f>
        <v/>
      </c>
      <c r="AB1978" s="104" t="e">
        <f>IF(Z1978&gt;0,((IF(OR(D1978="DF",D1978="RA")=TRUE,EXP(VLOOKUP(D1978,'Species Codes'!B:I,8,0)+VLOOKUP(D1978,'Species Codes'!B:J,9,0)*(LN((E1978*2.54)))),IF(OR(D1978="PY",D1978="RC",D1978="WH",D1978="NF")=TRUE,VLOOKUP(D1978,'Species Codes'!B:I,8,0)+VLOOKUP(D1978,'Species Codes'!B:J,9,0)*((E1978*2.54)^2)*(I1978*0.3048),IF(OR(D1978="MD",D1978="BM",D1978="GA")=TRUE,((VLOOKUP(D1978,'Species Codes'!B:I,8,0)*(((((E1978*2.54)+VLOOKUP(D1978,'Species Codes'!B:J,9,0))/VLOOKUP(D1978,'Species Codes'!B:K,10,0))^VLOOKUP(D1978,'Species Codes'!B:L,11,0))*((I1978*0.3048)^VLOOKUP(D1978,'Species Codes'!B:M,12,0))))-(VLOOKUP(D1978,'Species Codes'!B:I,8,0)*((((E1978*2.54)^VLOOKUP(D1978,'Species Codes'!B:L,11,0))*((I1978*0.3048)^VLOOKUP(D1978,'Species Codes'!B:M,12,0))))))*35.3*VLOOKUP(D1978,'Species Codes'!B:G,6,0)/2.2046,VLOOKUP(D1978,'Species Codes'!B:I,8,0)+VLOOKUP(D1978,'Species Codes'!B:J,9,0)*(((E1978*2.54)/100)^2)*(I1978*0.3048)))))*0.0011023),0)</f>
        <v>#N/A</v>
      </c>
      <c r="AC1978" s="104" t="e">
        <f>IF(Z1978&gt;0,((IF(OR(D1978="RA",D1978="OA",D1978="OT",D1978="UN",D1978="PC"),EXP(VLOOKUP(D1978,'Species Codes'!B:O,14,0)+VLOOKUP(D1978,'Species Codes'!B:P,15,0)*LN((E1978*2.54)))-EXP(VLOOKUP(D1978,'Species Codes'!B:O,14,0)+VLOOKUP(D1978,'Species Codes'!B:P,15,0)*LN((E1978*2.54)))*(1/(VLOOKUP(D1978,'Species Codes'!B:Q,16,0)+VLOOKUP(D1978,'Species Codes'!B:R,17,0)*((E1978*2.54)^VLOOKUP(D1978,'Species Codes'!B:S,18,0)))),IF(OR(D1978="BM",D1978="MD",D1978="OA"),EXP(VLOOKUP(D1978,'Species Codes'!B:O,14,0)+VLOOKUP(D1978,'Species Codes'!B:P,15,0)*LN((E1978*2.54)))*(1-(1/(VLOOKUP(D1978,'Species Codes'!B:Q,16,0)+VLOOKUP(D1978,'Species Codes'!B:R,17,0)*((E1978*2.54)^VLOOKUP(D1978,'Species Codes'!B:S,18,0)))))/1000,IF(D1978="DF",EXP(VLOOKUP(D1978,'Species Codes'!B:O,14,0)+VLOOKUP(D1978,'Species Codes'!B:P,15,0)*LN((E1978*2.54))),VLOOKUP(D1978,'Species Codes'!B:O,14,0)+VLOOKUP(D1978,'Species Codes'!B:P,15,0)*(((E1978*2.54)/100)^2)*(I1978*0.3048)))))*0.0011023),0)</f>
        <v>#N/A</v>
      </c>
      <c r="AD1978" s="104" t="e">
        <f t="shared" si="868"/>
        <v>#N/A</v>
      </c>
      <c r="AE1978" s="104" t="e">
        <f t="shared" si="869"/>
        <v>#N/A</v>
      </c>
      <c r="AF1978" s="104" t="e">
        <f>IF(AND(VLOOKUP($D1978,Merchantability!$B:$C,2,0)="Yes",$E1978&gt;=VLOOKUP($D1978,Merchantability!$B:$D,3,0),$E1978&lt;=VLOOKUP($D1978,Merchantability!$B:$E,4,0)),AA1978,0)</f>
        <v>#N/A</v>
      </c>
      <c r="AG1978" s="104" t="e">
        <f>IF(AND(VLOOKUP($D1978,Merchantability!$B:$C,2,0)="Yes",$E1978&gt;=VLOOKUP($D1978,Merchantability!$B:$D,3,0),$E1978&lt;=VLOOKUP($D1978,Merchantability!$B:$E,4,0)),AB1978,0)</f>
        <v>#N/A</v>
      </c>
      <c r="AH1978" s="104" t="e">
        <f>IF(AND(VLOOKUP($D1978,Merchantability!$B:$C,2,0)="Yes",$E1978&gt;=VLOOKUP($D1978,Merchantability!$B:$D,3,0),$E1978&lt;=VLOOKUP($D1978,Merchantability!$B:$E,4,0)),AC1978,0)</f>
        <v>#N/A</v>
      </c>
      <c r="AI1978" s="104" t="e">
        <f t="shared" si="870"/>
        <v>#N/A</v>
      </c>
      <c r="AJ1978" s="104" t="e">
        <f t="shared" si="871"/>
        <v>#VALUE!</v>
      </c>
      <c r="AK1978" s="104" t="e">
        <f t="shared" si="872"/>
        <v>#N/A</v>
      </c>
      <c r="AL1978" s="104" t="e">
        <f t="shared" si="873"/>
        <v>#N/A</v>
      </c>
      <c r="AM1978" s="104" t="e">
        <f t="shared" si="874"/>
        <v>#N/A</v>
      </c>
      <c r="AN1978" s="104" t="e">
        <f t="shared" si="858"/>
        <v>#N/A</v>
      </c>
      <c r="AO1978" s="104" t="e">
        <f t="shared" si="859"/>
        <v>#N/A</v>
      </c>
      <c r="AP1978" s="104" t="e">
        <f t="shared" si="860"/>
        <v>#N/A</v>
      </c>
      <c r="AQ1978" s="104" t="e">
        <f t="shared" si="861"/>
        <v>#N/A</v>
      </c>
      <c r="AR1978" s="105" t="str">
        <f t="shared" si="853"/>
        <v/>
      </c>
      <c r="AS1978" s="105" t="str">
        <f t="shared" si="854"/>
        <v/>
      </c>
      <c r="AT1978" s="108" t="str">
        <f t="shared" si="855"/>
        <v/>
      </c>
      <c r="AU1978" s="108" t="str">
        <f t="shared" si="856"/>
        <v/>
      </c>
      <c r="AV1978" s="107" t="str">
        <f>IF(ISNUMBER(O1978),IF(VLOOKUP($A1978,Stand!C:J,8,FALSE)="Short",AT1978,AU1978),"")</f>
        <v/>
      </c>
      <c r="AW1978" s="109" t="str">
        <f t="shared" si="862"/>
        <v/>
      </c>
      <c r="AX1978" s="109" t="str">
        <f t="shared" si="863"/>
        <v/>
      </c>
      <c r="AY1978" s="112" t="str">
        <f>IF(ISNUMBER(O1978),IF(AND(VLOOKUP($D1978,Merchantability!$B:$C,2,0)="Yes",$E1978&gt;=VLOOKUP($D1978,Merchantability!$B:$D,3,0),$E1978&lt;=VLOOKUP($D1978,Merchantability!$B:$E,4,0)),(AV1978*O1978)*(1-$H1978/100),""),"")</f>
        <v/>
      </c>
      <c r="AZ1978" s="116"/>
      <c r="BA1978" s="116"/>
      <c r="BB1978" s="116"/>
      <c r="BE1978" s="62"/>
      <c r="BF1978" s="63"/>
    </row>
    <row r="1979" spans="1:58" ht="12.75" customHeight="1" x14ac:dyDescent="0.25">
      <c r="A1979" s="334"/>
      <c r="B1979" s="334"/>
      <c r="C1979" s="332"/>
      <c r="D1979" s="334"/>
      <c r="E1979" s="335"/>
      <c r="F1979" s="334"/>
      <c r="G1979" s="332"/>
      <c r="H1979" s="332"/>
      <c r="I1979" s="334"/>
      <c r="J1979" s="336"/>
      <c r="K1979" s="332"/>
      <c r="L1979" s="332"/>
      <c r="M1979" s="76"/>
      <c r="N1979" s="103" t="str">
        <f>IF(A1979="","",VLOOKUP(A1979,Stand!C:K,9,0))</f>
        <v/>
      </c>
      <c r="O1979" s="104" t="str">
        <f t="shared" si="848"/>
        <v/>
      </c>
      <c r="P1979" s="105" t="str">
        <f t="shared" si="849"/>
        <v/>
      </c>
      <c r="Q1979" s="105" t="str">
        <f t="shared" si="864"/>
        <v/>
      </c>
      <c r="R1979" s="103" t="str">
        <f t="shared" si="850"/>
        <v/>
      </c>
      <c r="S1979" s="103" t="str">
        <f t="shared" si="851"/>
        <v/>
      </c>
      <c r="T1979" s="106" t="str">
        <f t="shared" si="865"/>
        <v/>
      </c>
      <c r="U1979" s="106" t="str">
        <f t="shared" si="866"/>
        <v/>
      </c>
      <c r="V1979" s="106" t="str">
        <f t="shared" si="867"/>
        <v/>
      </c>
      <c r="W1979" s="105" t="str">
        <f t="shared" si="852"/>
        <v/>
      </c>
      <c r="X1979" s="104" t="str">
        <f t="shared" si="857"/>
        <v/>
      </c>
      <c r="Y1979" s="104" t="str">
        <f t="array" ref="Y1979">IFERROR(IF(ISNUMBER(O1979),IF(COUNT(IF(A1979=$A$2:$A$2427,IF(D1979=$D$2:$D$2427,IF($X$2:$X$2427&gt;0,1))))&gt;0,SUM(IF(A1979=$A$2:$A$2427,IF(D1979=$D$2:$D$2427,$X$2:$X$2427)))/COUNT(IF(A1979=$A$2:$A$2427,IF(D1979=$D$2:$D$2427,IF(ISNUMBER($X$2:$X$2427),1)))),0),""),0)</f>
        <v/>
      </c>
      <c r="Z1979" s="104" t="str">
        <f>IF(ISNUMBER(O1979),IF(I1979&gt;0,(10^(VLOOKUP(D1979,'Species Codes'!B:C,2,0)+VLOOKUP(D1979,'Species Codes'!B:D,3,0)*LOG(E1979)+VLOOKUP(D1979,'Species Codes'!B:E,4,0)*LOG(I1979))),0),"")</f>
        <v/>
      </c>
      <c r="AA1979" s="104" t="str">
        <f>IFERROR((VLOOKUP(D1979,'Species Codes'!B:G,6,0)*Z1979)/2000,"")</f>
        <v/>
      </c>
      <c r="AB1979" s="104" t="e">
        <f>IF(Z1979&gt;0,((IF(OR(D1979="DF",D1979="RA")=TRUE,EXP(VLOOKUP(D1979,'Species Codes'!B:I,8,0)+VLOOKUP(D1979,'Species Codes'!B:J,9,0)*(LN((E1979*2.54)))),IF(OR(D1979="PY",D1979="RC",D1979="WH",D1979="NF")=TRUE,VLOOKUP(D1979,'Species Codes'!B:I,8,0)+VLOOKUP(D1979,'Species Codes'!B:J,9,0)*((E1979*2.54)^2)*(I1979*0.3048),IF(OR(D1979="MD",D1979="BM",D1979="GA")=TRUE,((VLOOKUP(D1979,'Species Codes'!B:I,8,0)*(((((E1979*2.54)+VLOOKUP(D1979,'Species Codes'!B:J,9,0))/VLOOKUP(D1979,'Species Codes'!B:K,10,0))^VLOOKUP(D1979,'Species Codes'!B:L,11,0))*((I1979*0.3048)^VLOOKUP(D1979,'Species Codes'!B:M,12,0))))-(VLOOKUP(D1979,'Species Codes'!B:I,8,0)*((((E1979*2.54)^VLOOKUP(D1979,'Species Codes'!B:L,11,0))*((I1979*0.3048)^VLOOKUP(D1979,'Species Codes'!B:M,12,0))))))*35.3*VLOOKUP(D1979,'Species Codes'!B:G,6,0)/2.2046,VLOOKUP(D1979,'Species Codes'!B:I,8,0)+VLOOKUP(D1979,'Species Codes'!B:J,9,0)*(((E1979*2.54)/100)^2)*(I1979*0.3048)))))*0.0011023),0)</f>
        <v>#N/A</v>
      </c>
      <c r="AC1979" s="104" t="e">
        <f>IF(Z1979&gt;0,((IF(OR(D1979="RA",D1979="OA",D1979="OT",D1979="UN",D1979="PC"),EXP(VLOOKUP(D1979,'Species Codes'!B:O,14,0)+VLOOKUP(D1979,'Species Codes'!B:P,15,0)*LN((E1979*2.54)))-EXP(VLOOKUP(D1979,'Species Codes'!B:O,14,0)+VLOOKUP(D1979,'Species Codes'!B:P,15,0)*LN((E1979*2.54)))*(1/(VLOOKUP(D1979,'Species Codes'!B:Q,16,0)+VLOOKUP(D1979,'Species Codes'!B:R,17,0)*((E1979*2.54)^VLOOKUP(D1979,'Species Codes'!B:S,18,0)))),IF(OR(D1979="BM",D1979="MD",D1979="OA"),EXP(VLOOKUP(D1979,'Species Codes'!B:O,14,0)+VLOOKUP(D1979,'Species Codes'!B:P,15,0)*LN((E1979*2.54)))*(1-(1/(VLOOKUP(D1979,'Species Codes'!B:Q,16,0)+VLOOKUP(D1979,'Species Codes'!B:R,17,0)*((E1979*2.54)^VLOOKUP(D1979,'Species Codes'!B:S,18,0)))))/1000,IF(D1979="DF",EXP(VLOOKUP(D1979,'Species Codes'!B:O,14,0)+VLOOKUP(D1979,'Species Codes'!B:P,15,0)*LN((E1979*2.54))),VLOOKUP(D1979,'Species Codes'!B:O,14,0)+VLOOKUP(D1979,'Species Codes'!B:P,15,0)*(((E1979*2.54)/100)^2)*(I1979*0.3048)))))*0.0011023),0)</f>
        <v>#N/A</v>
      </c>
      <c r="AD1979" s="104" t="e">
        <f t="shared" si="868"/>
        <v>#N/A</v>
      </c>
      <c r="AE1979" s="104" t="e">
        <f t="shared" si="869"/>
        <v>#N/A</v>
      </c>
      <c r="AF1979" s="104" t="e">
        <f>IF(AND(VLOOKUP($D1979,Merchantability!$B:$C,2,0)="Yes",$E1979&gt;=VLOOKUP($D1979,Merchantability!$B:$D,3,0),$E1979&lt;=VLOOKUP($D1979,Merchantability!$B:$E,4,0)),AA1979,0)</f>
        <v>#N/A</v>
      </c>
      <c r="AG1979" s="104" t="e">
        <f>IF(AND(VLOOKUP($D1979,Merchantability!$B:$C,2,0)="Yes",$E1979&gt;=VLOOKUP($D1979,Merchantability!$B:$D,3,0),$E1979&lt;=VLOOKUP($D1979,Merchantability!$B:$E,4,0)),AB1979,0)</f>
        <v>#N/A</v>
      </c>
      <c r="AH1979" s="104" t="e">
        <f>IF(AND(VLOOKUP($D1979,Merchantability!$B:$C,2,0)="Yes",$E1979&gt;=VLOOKUP($D1979,Merchantability!$B:$D,3,0),$E1979&lt;=VLOOKUP($D1979,Merchantability!$B:$E,4,0)),AC1979,0)</f>
        <v>#N/A</v>
      </c>
      <c r="AI1979" s="104" t="e">
        <f t="shared" si="870"/>
        <v>#N/A</v>
      </c>
      <c r="AJ1979" s="104" t="e">
        <f t="shared" si="871"/>
        <v>#VALUE!</v>
      </c>
      <c r="AK1979" s="104" t="e">
        <f t="shared" si="872"/>
        <v>#N/A</v>
      </c>
      <c r="AL1979" s="104" t="e">
        <f t="shared" si="873"/>
        <v>#N/A</v>
      </c>
      <c r="AM1979" s="104" t="e">
        <f t="shared" si="874"/>
        <v>#N/A</v>
      </c>
      <c r="AN1979" s="104" t="e">
        <f t="shared" si="858"/>
        <v>#N/A</v>
      </c>
      <c r="AO1979" s="104" t="e">
        <f t="shared" si="859"/>
        <v>#N/A</v>
      </c>
      <c r="AP1979" s="104" t="e">
        <f t="shared" si="860"/>
        <v>#N/A</v>
      </c>
      <c r="AQ1979" s="104" t="e">
        <f t="shared" si="861"/>
        <v>#N/A</v>
      </c>
      <c r="AR1979" s="105" t="str">
        <f t="shared" si="853"/>
        <v/>
      </c>
      <c r="AS1979" s="105" t="str">
        <f t="shared" si="854"/>
        <v/>
      </c>
      <c r="AT1979" s="108" t="str">
        <f t="shared" si="855"/>
        <v/>
      </c>
      <c r="AU1979" s="108" t="str">
        <f t="shared" si="856"/>
        <v/>
      </c>
      <c r="AV1979" s="107" t="str">
        <f>IF(ISNUMBER(O1979),IF(VLOOKUP($A1979,Stand!C:J,8,FALSE)="Short",AT1979,AU1979),"")</f>
        <v/>
      </c>
      <c r="AW1979" s="109" t="str">
        <f t="shared" si="862"/>
        <v/>
      </c>
      <c r="AX1979" s="109" t="str">
        <f t="shared" si="863"/>
        <v/>
      </c>
      <c r="AY1979" s="112" t="str">
        <f>IF(ISNUMBER(O1979),IF(AND(VLOOKUP($D1979,Merchantability!$B:$C,2,0)="Yes",$E1979&gt;=VLOOKUP($D1979,Merchantability!$B:$D,3,0),$E1979&lt;=VLOOKUP($D1979,Merchantability!$B:$E,4,0)),(AV1979*O1979)*(1-$H1979/100),""),"")</f>
        <v/>
      </c>
      <c r="AZ1979" s="116"/>
      <c r="BA1979" s="116"/>
      <c r="BB1979" s="116"/>
      <c r="BE1979" s="62"/>
      <c r="BF1979" s="63"/>
    </row>
    <row r="1980" spans="1:58" ht="12.75" customHeight="1" x14ac:dyDescent="0.25">
      <c r="A1980" s="334"/>
      <c r="B1980" s="334"/>
      <c r="C1980" s="332"/>
      <c r="D1980" s="334"/>
      <c r="E1980" s="335"/>
      <c r="F1980" s="334"/>
      <c r="G1980" s="332"/>
      <c r="H1980" s="332"/>
      <c r="I1980" s="334"/>
      <c r="J1980" s="336"/>
      <c r="K1980" s="332"/>
      <c r="L1980" s="332"/>
      <c r="M1980" s="76"/>
      <c r="N1980" s="103" t="str">
        <f>IF(A1980="","",VLOOKUP(A1980,Stand!C:K,9,0))</f>
        <v/>
      </c>
      <c r="O1980" s="104" t="str">
        <f t="shared" si="848"/>
        <v/>
      </c>
      <c r="P1980" s="105" t="str">
        <f t="shared" si="849"/>
        <v/>
      </c>
      <c r="Q1980" s="105" t="str">
        <f t="shared" si="864"/>
        <v/>
      </c>
      <c r="R1980" s="103" t="str">
        <f t="shared" si="850"/>
        <v/>
      </c>
      <c r="S1980" s="103" t="str">
        <f t="shared" si="851"/>
        <v/>
      </c>
      <c r="T1980" s="106" t="str">
        <f t="shared" si="865"/>
        <v/>
      </c>
      <c r="U1980" s="106" t="str">
        <f t="shared" si="866"/>
        <v/>
      </c>
      <c r="V1980" s="106" t="str">
        <f t="shared" si="867"/>
        <v/>
      </c>
      <c r="W1980" s="105" t="str">
        <f t="shared" si="852"/>
        <v/>
      </c>
      <c r="X1980" s="104" t="str">
        <f t="shared" si="857"/>
        <v/>
      </c>
      <c r="Y1980" s="104" t="str">
        <f t="array" ref="Y1980">IFERROR(IF(ISNUMBER(O1980),IF(COUNT(IF(A1980=$A$2:$A$2427,IF(D1980=$D$2:$D$2427,IF($X$2:$X$2427&gt;0,1))))&gt;0,SUM(IF(A1980=$A$2:$A$2427,IF(D1980=$D$2:$D$2427,$X$2:$X$2427)))/COUNT(IF(A1980=$A$2:$A$2427,IF(D1980=$D$2:$D$2427,IF(ISNUMBER($X$2:$X$2427),1)))),0),""),0)</f>
        <v/>
      </c>
      <c r="Z1980" s="104" t="str">
        <f>IF(ISNUMBER(O1980),IF(I1980&gt;0,(10^(VLOOKUP(D1980,'Species Codes'!B:C,2,0)+VLOOKUP(D1980,'Species Codes'!B:D,3,0)*LOG(E1980)+VLOOKUP(D1980,'Species Codes'!B:E,4,0)*LOG(I1980))),0),"")</f>
        <v/>
      </c>
      <c r="AA1980" s="104" t="str">
        <f>IFERROR((VLOOKUP(D1980,'Species Codes'!B:G,6,0)*Z1980)/2000,"")</f>
        <v/>
      </c>
      <c r="AB1980" s="104" t="e">
        <f>IF(Z1980&gt;0,((IF(OR(D1980="DF",D1980="RA")=TRUE,EXP(VLOOKUP(D1980,'Species Codes'!B:I,8,0)+VLOOKUP(D1980,'Species Codes'!B:J,9,0)*(LN((E1980*2.54)))),IF(OR(D1980="PY",D1980="RC",D1980="WH",D1980="NF")=TRUE,VLOOKUP(D1980,'Species Codes'!B:I,8,0)+VLOOKUP(D1980,'Species Codes'!B:J,9,0)*((E1980*2.54)^2)*(I1980*0.3048),IF(OR(D1980="MD",D1980="BM",D1980="GA")=TRUE,((VLOOKUP(D1980,'Species Codes'!B:I,8,0)*(((((E1980*2.54)+VLOOKUP(D1980,'Species Codes'!B:J,9,0))/VLOOKUP(D1980,'Species Codes'!B:K,10,0))^VLOOKUP(D1980,'Species Codes'!B:L,11,0))*((I1980*0.3048)^VLOOKUP(D1980,'Species Codes'!B:M,12,0))))-(VLOOKUP(D1980,'Species Codes'!B:I,8,0)*((((E1980*2.54)^VLOOKUP(D1980,'Species Codes'!B:L,11,0))*((I1980*0.3048)^VLOOKUP(D1980,'Species Codes'!B:M,12,0))))))*35.3*VLOOKUP(D1980,'Species Codes'!B:G,6,0)/2.2046,VLOOKUP(D1980,'Species Codes'!B:I,8,0)+VLOOKUP(D1980,'Species Codes'!B:J,9,0)*(((E1980*2.54)/100)^2)*(I1980*0.3048)))))*0.0011023),0)</f>
        <v>#N/A</v>
      </c>
      <c r="AC1980" s="104" t="e">
        <f>IF(Z1980&gt;0,((IF(OR(D1980="RA",D1980="OA",D1980="OT",D1980="UN",D1980="PC"),EXP(VLOOKUP(D1980,'Species Codes'!B:O,14,0)+VLOOKUP(D1980,'Species Codes'!B:P,15,0)*LN((E1980*2.54)))-EXP(VLOOKUP(D1980,'Species Codes'!B:O,14,0)+VLOOKUP(D1980,'Species Codes'!B:P,15,0)*LN((E1980*2.54)))*(1/(VLOOKUP(D1980,'Species Codes'!B:Q,16,0)+VLOOKUP(D1980,'Species Codes'!B:R,17,0)*((E1980*2.54)^VLOOKUP(D1980,'Species Codes'!B:S,18,0)))),IF(OR(D1980="BM",D1980="MD",D1980="OA"),EXP(VLOOKUP(D1980,'Species Codes'!B:O,14,0)+VLOOKUP(D1980,'Species Codes'!B:P,15,0)*LN((E1980*2.54)))*(1-(1/(VLOOKUP(D1980,'Species Codes'!B:Q,16,0)+VLOOKUP(D1980,'Species Codes'!B:R,17,0)*((E1980*2.54)^VLOOKUP(D1980,'Species Codes'!B:S,18,0)))))/1000,IF(D1980="DF",EXP(VLOOKUP(D1980,'Species Codes'!B:O,14,0)+VLOOKUP(D1980,'Species Codes'!B:P,15,0)*LN((E1980*2.54))),VLOOKUP(D1980,'Species Codes'!B:O,14,0)+VLOOKUP(D1980,'Species Codes'!B:P,15,0)*(((E1980*2.54)/100)^2)*(I1980*0.3048)))))*0.0011023),0)</f>
        <v>#N/A</v>
      </c>
      <c r="AD1980" s="104" t="e">
        <f t="shared" si="868"/>
        <v>#N/A</v>
      </c>
      <c r="AE1980" s="104" t="e">
        <f t="shared" si="869"/>
        <v>#N/A</v>
      </c>
      <c r="AF1980" s="104" t="e">
        <f>IF(AND(VLOOKUP($D1980,Merchantability!$B:$C,2,0)="Yes",$E1980&gt;=VLOOKUP($D1980,Merchantability!$B:$D,3,0),$E1980&lt;=VLOOKUP($D1980,Merchantability!$B:$E,4,0)),AA1980,0)</f>
        <v>#N/A</v>
      </c>
      <c r="AG1980" s="104" t="e">
        <f>IF(AND(VLOOKUP($D1980,Merchantability!$B:$C,2,0)="Yes",$E1980&gt;=VLOOKUP($D1980,Merchantability!$B:$D,3,0),$E1980&lt;=VLOOKUP($D1980,Merchantability!$B:$E,4,0)),AB1980,0)</f>
        <v>#N/A</v>
      </c>
      <c r="AH1980" s="104" t="e">
        <f>IF(AND(VLOOKUP($D1980,Merchantability!$B:$C,2,0)="Yes",$E1980&gt;=VLOOKUP($D1980,Merchantability!$B:$D,3,0),$E1980&lt;=VLOOKUP($D1980,Merchantability!$B:$E,4,0)),AC1980,0)</f>
        <v>#N/A</v>
      </c>
      <c r="AI1980" s="104" t="e">
        <f t="shared" si="870"/>
        <v>#N/A</v>
      </c>
      <c r="AJ1980" s="104" t="e">
        <f t="shared" si="871"/>
        <v>#VALUE!</v>
      </c>
      <c r="AK1980" s="104" t="e">
        <f t="shared" si="872"/>
        <v>#N/A</v>
      </c>
      <c r="AL1980" s="104" t="e">
        <f t="shared" si="873"/>
        <v>#N/A</v>
      </c>
      <c r="AM1980" s="104" t="e">
        <f t="shared" si="874"/>
        <v>#N/A</v>
      </c>
      <c r="AN1980" s="104" t="e">
        <f t="shared" si="858"/>
        <v>#N/A</v>
      </c>
      <c r="AO1980" s="104" t="e">
        <f t="shared" si="859"/>
        <v>#N/A</v>
      </c>
      <c r="AP1980" s="104" t="e">
        <f t="shared" si="860"/>
        <v>#N/A</v>
      </c>
      <c r="AQ1980" s="104" t="e">
        <f t="shared" si="861"/>
        <v>#N/A</v>
      </c>
      <c r="AR1980" s="105" t="str">
        <f t="shared" si="853"/>
        <v/>
      </c>
      <c r="AS1980" s="105" t="str">
        <f t="shared" si="854"/>
        <v/>
      </c>
      <c r="AT1980" s="108" t="str">
        <f t="shared" si="855"/>
        <v/>
      </c>
      <c r="AU1980" s="108" t="str">
        <f t="shared" si="856"/>
        <v/>
      </c>
      <c r="AV1980" s="107" t="str">
        <f>IF(ISNUMBER(O1980),IF(VLOOKUP($A1980,Stand!C:J,8,FALSE)="Short",AT1980,AU1980),"")</f>
        <v/>
      </c>
      <c r="AW1980" s="109" t="str">
        <f t="shared" si="862"/>
        <v/>
      </c>
      <c r="AX1980" s="109" t="str">
        <f t="shared" si="863"/>
        <v/>
      </c>
      <c r="AY1980" s="112" t="str">
        <f>IF(ISNUMBER(O1980),IF(AND(VLOOKUP($D1980,Merchantability!$B:$C,2,0)="Yes",$E1980&gt;=VLOOKUP($D1980,Merchantability!$B:$D,3,0),$E1980&lt;=VLOOKUP($D1980,Merchantability!$B:$E,4,0)),(AV1980*O1980)*(1-$H1980/100),""),"")</f>
        <v/>
      </c>
      <c r="AZ1980" s="116"/>
      <c r="BA1980" s="116"/>
      <c r="BB1980" s="116"/>
      <c r="BE1980" s="62"/>
      <c r="BF1980" s="63"/>
    </row>
    <row r="1981" spans="1:58" ht="12.75" customHeight="1" x14ac:dyDescent="0.25">
      <c r="A1981" s="334"/>
      <c r="B1981" s="334"/>
      <c r="C1981" s="332"/>
      <c r="D1981" s="334"/>
      <c r="E1981" s="335"/>
      <c r="F1981" s="334"/>
      <c r="G1981" s="332"/>
      <c r="H1981" s="332"/>
      <c r="I1981" s="334"/>
      <c r="J1981" s="336"/>
      <c r="K1981" s="332"/>
      <c r="L1981" s="332"/>
      <c r="M1981" s="76"/>
      <c r="N1981" s="103" t="str">
        <f>IF(A1981="","",VLOOKUP(A1981,Stand!C:K,9,0))</f>
        <v/>
      </c>
      <c r="O1981" s="104" t="str">
        <f t="shared" si="848"/>
        <v/>
      </c>
      <c r="P1981" s="105" t="str">
        <f t="shared" si="849"/>
        <v/>
      </c>
      <c r="Q1981" s="105" t="str">
        <f t="shared" si="864"/>
        <v/>
      </c>
      <c r="R1981" s="103" t="str">
        <f t="shared" si="850"/>
        <v/>
      </c>
      <c r="S1981" s="103" t="str">
        <f t="shared" si="851"/>
        <v/>
      </c>
      <c r="T1981" s="106" t="str">
        <f t="shared" si="865"/>
        <v/>
      </c>
      <c r="U1981" s="106" t="str">
        <f t="shared" si="866"/>
        <v/>
      </c>
      <c r="V1981" s="106" t="str">
        <f t="shared" si="867"/>
        <v/>
      </c>
      <c r="W1981" s="105" t="str">
        <f t="shared" si="852"/>
        <v/>
      </c>
      <c r="X1981" s="104" t="str">
        <f t="shared" si="857"/>
        <v/>
      </c>
      <c r="Y1981" s="104" t="str">
        <f t="array" ref="Y1981">IFERROR(IF(ISNUMBER(O1981),IF(COUNT(IF(A1981=$A$2:$A$2427,IF(D1981=$D$2:$D$2427,IF($X$2:$X$2427&gt;0,1))))&gt;0,SUM(IF(A1981=$A$2:$A$2427,IF(D1981=$D$2:$D$2427,$X$2:$X$2427)))/COUNT(IF(A1981=$A$2:$A$2427,IF(D1981=$D$2:$D$2427,IF(ISNUMBER($X$2:$X$2427),1)))),0),""),0)</f>
        <v/>
      </c>
      <c r="Z1981" s="104" t="str">
        <f>IF(ISNUMBER(O1981),IF(I1981&gt;0,(10^(VLOOKUP(D1981,'Species Codes'!B:C,2,0)+VLOOKUP(D1981,'Species Codes'!B:D,3,0)*LOG(E1981)+VLOOKUP(D1981,'Species Codes'!B:E,4,0)*LOG(I1981))),0),"")</f>
        <v/>
      </c>
      <c r="AA1981" s="104" t="str">
        <f>IFERROR((VLOOKUP(D1981,'Species Codes'!B:G,6,0)*Z1981)/2000,"")</f>
        <v/>
      </c>
      <c r="AB1981" s="104" t="e">
        <f>IF(Z1981&gt;0,((IF(OR(D1981="DF",D1981="RA")=TRUE,EXP(VLOOKUP(D1981,'Species Codes'!B:I,8,0)+VLOOKUP(D1981,'Species Codes'!B:J,9,0)*(LN((E1981*2.54)))),IF(OR(D1981="PY",D1981="RC",D1981="WH",D1981="NF")=TRUE,VLOOKUP(D1981,'Species Codes'!B:I,8,0)+VLOOKUP(D1981,'Species Codes'!B:J,9,0)*((E1981*2.54)^2)*(I1981*0.3048),IF(OR(D1981="MD",D1981="BM",D1981="GA")=TRUE,((VLOOKUP(D1981,'Species Codes'!B:I,8,0)*(((((E1981*2.54)+VLOOKUP(D1981,'Species Codes'!B:J,9,0))/VLOOKUP(D1981,'Species Codes'!B:K,10,0))^VLOOKUP(D1981,'Species Codes'!B:L,11,0))*((I1981*0.3048)^VLOOKUP(D1981,'Species Codes'!B:M,12,0))))-(VLOOKUP(D1981,'Species Codes'!B:I,8,0)*((((E1981*2.54)^VLOOKUP(D1981,'Species Codes'!B:L,11,0))*((I1981*0.3048)^VLOOKUP(D1981,'Species Codes'!B:M,12,0))))))*35.3*VLOOKUP(D1981,'Species Codes'!B:G,6,0)/2.2046,VLOOKUP(D1981,'Species Codes'!B:I,8,0)+VLOOKUP(D1981,'Species Codes'!B:J,9,0)*(((E1981*2.54)/100)^2)*(I1981*0.3048)))))*0.0011023),0)</f>
        <v>#N/A</v>
      </c>
      <c r="AC1981" s="104" t="e">
        <f>IF(Z1981&gt;0,((IF(OR(D1981="RA",D1981="OA",D1981="OT",D1981="UN",D1981="PC"),EXP(VLOOKUP(D1981,'Species Codes'!B:O,14,0)+VLOOKUP(D1981,'Species Codes'!B:P,15,0)*LN((E1981*2.54)))-EXP(VLOOKUP(D1981,'Species Codes'!B:O,14,0)+VLOOKUP(D1981,'Species Codes'!B:P,15,0)*LN((E1981*2.54)))*(1/(VLOOKUP(D1981,'Species Codes'!B:Q,16,0)+VLOOKUP(D1981,'Species Codes'!B:R,17,0)*((E1981*2.54)^VLOOKUP(D1981,'Species Codes'!B:S,18,0)))),IF(OR(D1981="BM",D1981="MD",D1981="OA"),EXP(VLOOKUP(D1981,'Species Codes'!B:O,14,0)+VLOOKUP(D1981,'Species Codes'!B:P,15,0)*LN((E1981*2.54)))*(1-(1/(VLOOKUP(D1981,'Species Codes'!B:Q,16,0)+VLOOKUP(D1981,'Species Codes'!B:R,17,0)*((E1981*2.54)^VLOOKUP(D1981,'Species Codes'!B:S,18,0)))))/1000,IF(D1981="DF",EXP(VLOOKUP(D1981,'Species Codes'!B:O,14,0)+VLOOKUP(D1981,'Species Codes'!B:P,15,0)*LN((E1981*2.54))),VLOOKUP(D1981,'Species Codes'!B:O,14,0)+VLOOKUP(D1981,'Species Codes'!B:P,15,0)*(((E1981*2.54)/100)^2)*(I1981*0.3048)))))*0.0011023),0)</f>
        <v>#N/A</v>
      </c>
      <c r="AD1981" s="104" t="e">
        <f t="shared" si="868"/>
        <v>#N/A</v>
      </c>
      <c r="AE1981" s="104" t="e">
        <f t="shared" si="869"/>
        <v>#N/A</v>
      </c>
      <c r="AF1981" s="104" t="e">
        <f>IF(AND(VLOOKUP($D1981,Merchantability!$B:$C,2,0)="Yes",$E1981&gt;=VLOOKUP($D1981,Merchantability!$B:$D,3,0),$E1981&lt;=VLOOKUP($D1981,Merchantability!$B:$E,4,0)),AA1981,0)</f>
        <v>#N/A</v>
      </c>
      <c r="AG1981" s="104" t="e">
        <f>IF(AND(VLOOKUP($D1981,Merchantability!$B:$C,2,0)="Yes",$E1981&gt;=VLOOKUP($D1981,Merchantability!$B:$D,3,0),$E1981&lt;=VLOOKUP($D1981,Merchantability!$B:$E,4,0)),AB1981,0)</f>
        <v>#N/A</v>
      </c>
      <c r="AH1981" s="104" t="e">
        <f>IF(AND(VLOOKUP($D1981,Merchantability!$B:$C,2,0)="Yes",$E1981&gt;=VLOOKUP($D1981,Merchantability!$B:$D,3,0),$E1981&lt;=VLOOKUP($D1981,Merchantability!$B:$E,4,0)),AC1981,0)</f>
        <v>#N/A</v>
      </c>
      <c r="AI1981" s="104" t="e">
        <f t="shared" si="870"/>
        <v>#N/A</v>
      </c>
      <c r="AJ1981" s="104" t="e">
        <f t="shared" si="871"/>
        <v>#VALUE!</v>
      </c>
      <c r="AK1981" s="104" t="e">
        <f t="shared" si="872"/>
        <v>#N/A</v>
      </c>
      <c r="AL1981" s="104" t="e">
        <f t="shared" si="873"/>
        <v>#N/A</v>
      </c>
      <c r="AM1981" s="104" t="e">
        <f t="shared" si="874"/>
        <v>#N/A</v>
      </c>
      <c r="AN1981" s="104" t="e">
        <f t="shared" si="858"/>
        <v>#N/A</v>
      </c>
      <c r="AO1981" s="104" t="e">
        <f t="shared" si="859"/>
        <v>#N/A</v>
      </c>
      <c r="AP1981" s="104" t="e">
        <f t="shared" si="860"/>
        <v>#N/A</v>
      </c>
      <c r="AQ1981" s="104" t="e">
        <f t="shared" si="861"/>
        <v>#N/A</v>
      </c>
      <c r="AR1981" s="105" t="str">
        <f t="shared" si="853"/>
        <v/>
      </c>
      <c r="AS1981" s="105" t="str">
        <f t="shared" si="854"/>
        <v/>
      </c>
      <c r="AT1981" s="108" t="str">
        <f t="shared" si="855"/>
        <v/>
      </c>
      <c r="AU1981" s="108" t="str">
        <f t="shared" si="856"/>
        <v/>
      </c>
      <c r="AV1981" s="107" t="str">
        <f>IF(ISNUMBER(O1981),IF(VLOOKUP($A1981,Stand!C:J,8,FALSE)="Short",AT1981,AU1981),"")</f>
        <v/>
      </c>
      <c r="AW1981" s="109" t="str">
        <f t="shared" si="862"/>
        <v/>
      </c>
      <c r="AX1981" s="109" t="str">
        <f t="shared" si="863"/>
        <v/>
      </c>
      <c r="AY1981" s="112" t="str">
        <f>IF(ISNUMBER(O1981),IF(AND(VLOOKUP($D1981,Merchantability!$B:$C,2,0)="Yes",$E1981&gt;=VLOOKUP($D1981,Merchantability!$B:$D,3,0),$E1981&lt;=VLOOKUP($D1981,Merchantability!$B:$E,4,0)),(AV1981*O1981)*(1-$H1981/100),""),"")</f>
        <v/>
      </c>
      <c r="AZ1981" s="116"/>
      <c r="BA1981" s="116"/>
      <c r="BB1981" s="116"/>
      <c r="BE1981" s="62"/>
      <c r="BF1981" s="63"/>
    </row>
    <row r="1982" spans="1:58" ht="12.75" customHeight="1" x14ac:dyDescent="0.25">
      <c r="A1982" s="334"/>
      <c r="B1982" s="334"/>
      <c r="C1982" s="332"/>
      <c r="D1982" s="334"/>
      <c r="E1982" s="335"/>
      <c r="F1982" s="334"/>
      <c r="G1982" s="332"/>
      <c r="H1982" s="332"/>
      <c r="I1982" s="334"/>
      <c r="J1982" s="336"/>
      <c r="K1982" s="332"/>
      <c r="L1982" s="332"/>
      <c r="M1982" s="76"/>
      <c r="N1982" s="103" t="str">
        <f>IF(A1982="","",VLOOKUP(A1982,Stand!C:K,9,0))</f>
        <v/>
      </c>
      <c r="O1982" s="104" t="str">
        <f t="shared" si="848"/>
        <v/>
      </c>
      <c r="P1982" s="105" t="str">
        <f t="shared" si="849"/>
        <v/>
      </c>
      <c r="Q1982" s="105" t="str">
        <f t="shared" si="864"/>
        <v/>
      </c>
      <c r="R1982" s="103" t="str">
        <f t="shared" si="850"/>
        <v/>
      </c>
      <c r="S1982" s="103" t="str">
        <f t="shared" si="851"/>
        <v/>
      </c>
      <c r="T1982" s="106" t="str">
        <f t="shared" si="865"/>
        <v/>
      </c>
      <c r="U1982" s="106" t="str">
        <f t="shared" si="866"/>
        <v/>
      </c>
      <c r="V1982" s="106" t="str">
        <f t="shared" si="867"/>
        <v/>
      </c>
      <c r="W1982" s="105" t="str">
        <f t="shared" si="852"/>
        <v/>
      </c>
      <c r="X1982" s="104" t="str">
        <f t="shared" si="857"/>
        <v/>
      </c>
      <c r="Y1982" s="104" t="str">
        <f t="array" ref="Y1982">IFERROR(IF(ISNUMBER(O1982),IF(COUNT(IF(A1982=$A$2:$A$2427,IF(D1982=$D$2:$D$2427,IF($X$2:$X$2427&gt;0,1))))&gt;0,SUM(IF(A1982=$A$2:$A$2427,IF(D1982=$D$2:$D$2427,$X$2:$X$2427)))/COUNT(IF(A1982=$A$2:$A$2427,IF(D1982=$D$2:$D$2427,IF(ISNUMBER($X$2:$X$2427),1)))),0),""),0)</f>
        <v/>
      </c>
      <c r="Z1982" s="104" t="str">
        <f>IF(ISNUMBER(O1982),IF(I1982&gt;0,(10^(VLOOKUP(D1982,'Species Codes'!B:C,2,0)+VLOOKUP(D1982,'Species Codes'!B:D,3,0)*LOG(E1982)+VLOOKUP(D1982,'Species Codes'!B:E,4,0)*LOG(I1982))),0),"")</f>
        <v/>
      </c>
      <c r="AA1982" s="104" t="str">
        <f>IFERROR((VLOOKUP(D1982,'Species Codes'!B:G,6,0)*Z1982)/2000,"")</f>
        <v/>
      </c>
      <c r="AB1982" s="104" t="e">
        <f>IF(Z1982&gt;0,((IF(OR(D1982="DF",D1982="RA")=TRUE,EXP(VLOOKUP(D1982,'Species Codes'!B:I,8,0)+VLOOKUP(D1982,'Species Codes'!B:J,9,0)*(LN((E1982*2.54)))),IF(OR(D1982="PY",D1982="RC",D1982="WH",D1982="NF")=TRUE,VLOOKUP(D1982,'Species Codes'!B:I,8,0)+VLOOKUP(D1982,'Species Codes'!B:J,9,0)*((E1982*2.54)^2)*(I1982*0.3048),IF(OR(D1982="MD",D1982="BM",D1982="GA")=TRUE,((VLOOKUP(D1982,'Species Codes'!B:I,8,0)*(((((E1982*2.54)+VLOOKUP(D1982,'Species Codes'!B:J,9,0))/VLOOKUP(D1982,'Species Codes'!B:K,10,0))^VLOOKUP(D1982,'Species Codes'!B:L,11,0))*((I1982*0.3048)^VLOOKUP(D1982,'Species Codes'!B:M,12,0))))-(VLOOKUP(D1982,'Species Codes'!B:I,8,0)*((((E1982*2.54)^VLOOKUP(D1982,'Species Codes'!B:L,11,0))*((I1982*0.3048)^VLOOKUP(D1982,'Species Codes'!B:M,12,0))))))*35.3*VLOOKUP(D1982,'Species Codes'!B:G,6,0)/2.2046,VLOOKUP(D1982,'Species Codes'!B:I,8,0)+VLOOKUP(D1982,'Species Codes'!B:J,9,0)*(((E1982*2.54)/100)^2)*(I1982*0.3048)))))*0.0011023),0)</f>
        <v>#N/A</v>
      </c>
      <c r="AC1982" s="104" t="e">
        <f>IF(Z1982&gt;0,((IF(OR(D1982="RA",D1982="OA",D1982="OT",D1982="UN",D1982="PC"),EXP(VLOOKUP(D1982,'Species Codes'!B:O,14,0)+VLOOKUP(D1982,'Species Codes'!B:P,15,0)*LN((E1982*2.54)))-EXP(VLOOKUP(D1982,'Species Codes'!B:O,14,0)+VLOOKUP(D1982,'Species Codes'!B:P,15,0)*LN((E1982*2.54)))*(1/(VLOOKUP(D1982,'Species Codes'!B:Q,16,0)+VLOOKUP(D1982,'Species Codes'!B:R,17,0)*((E1982*2.54)^VLOOKUP(D1982,'Species Codes'!B:S,18,0)))),IF(OR(D1982="BM",D1982="MD",D1982="OA"),EXP(VLOOKUP(D1982,'Species Codes'!B:O,14,0)+VLOOKUP(D1982,'Species Codes'!B:P,15,0)*LN((E1982*2.54)))*(1-(1/(VLOOKUP(D1982,'Species Codes'!B:Q,16,0)+VLOOKUP(D1982,'Species Codes'!B:R,17,0)*((E1982*2.54)^VLOOKUP(D1982,'Species Codes'!B:S,18,0)))))/1000,IF(D1982="DF",EXP(VLOOKUP(D1982,'Species Codes'!B:O,14,0)+VLOOKUP(D1982,'Species Codes'!B:P,15,0)*LN((E1982*2.54))),VLOOKUP(D1982,'Species Codes'!B:O,14,0)+VLOOKUP(D1982,'Species Codes'!B:P,15,0)*(((E1982*2.54)/100)^2)*(I1982*0.3048)))))*0.0011023),0)</f>
        <v>#N/A</v>
      </c>
      <c r="AD1982" s="104" t="e">
        <f t="shared" si="868"/>
        <v>#N/A</v>
      </c>
      <c r="AE1982" s="104" t="e">
        <f t="shared" si="869"/>
        <v>#N/A</v>
      </c>
      <c r="AF1982" s="104" t="e">
        <f>IF(AND(VLOOKUP($D1982,Merchantability!$B:$C,2,0)="Yes",$E1982&gt;=VLOOKUP($D1982,Merchantability!$B:$D,3,0),$E1982&lt;=VLOOKUP($D1982,Merchantability!$B:$E,4,0)),AA1982,0)</f>
        <v>#N/A</v>
      </c>
      <c r="AG1982" s="104" t="e">
        <f>IF(AND(VLOOKUP($D1982,Merchantability!$B:$C,2,0)="Yes",$E1982&gt;=VLOOKUP($D1982,Merchantability!$B:$D,3,0),$E1982&lt;=VLOOKUP($D1982,Merchantability!$B:$E,4,0)),AB1982,0)</f>
        <v>#N/A</v>
      </c>
      <c r="AH1982" s="104" t="e">
        <f>IF(AND(VLOOKUP($D1982,Merchantability!$B:$C,2,0)="Yes",$E1982&gt;=VLOOKUP($D1982,Merchantability!$B:$D,3,0),$E1982&lt;=VLOOKUP($D1982,Merchantability!$B:$E,4,0)),AC1982,0)</f>
        <v>#N/A</v>
      </c>
      <c r="AI1982" s="104" t="e">
        <f t="shared" si="870"/>
        <v>#N/A</v>
      </c>
      <c r="AJ1982" s="104" t="e">
        <f t="shared" si="871"/>
        <v>#VALUE!</v>
      </c>
      <c r="AK1982" s="104" t="e">
        <f t="shared" si="872"/>
        <v>#N/A</v>
      </c>
      <c r="AL1982" s="104" t="e">
        <f t="shared" si="873"/>
        <v>#N/A</v>
      </c>
      <c r="AM1982" s="104" t="e">
        <f t="shared" si="874"/>
        <v>#N/A</v>
      </c>
      <c r="AN1982" s="104" t="e">
        <f t="shared" si="858"/>
        <v>#N/A</v>
      </c>
      <c r="AO1982" s="104" t="e">
        <f t="shared" si="859"/>
        <v>#N/A</v>
      </c>
      <c r="AP1982" s="104" t="e">
        <f t="shared" si="860"/>
        <v>#N/A</v>
      </c>
      <c r="AQ1982" s="104" t="e">
        <f t="shared" si="861"/>
        <v>#N/A</v>
      </c>
      <c r="AR1982" s="105" t="str">
        <f t="shared" si="853"/>
        <v/>
      </c>
      <c r="AS1982" s="105" t="str">
        <f t="shared" si="854"/>
        <v/>
      </c>
      <c r="AT1982" s="108" t="str">
        <f t="shared" si="855"/>
        <v/>
      </c>
      <c r="AU1982" s="108" t="str">
        <f t="shared" si="856"/>
        <v/>
      </c>
      <c r="AV1982" s="107" t="str">
        <f>IF(ISNUMBER(O1982),IF(VLOOKUP($A1982,Stand!C:J,8,FALSE)="Short",AT1982,AU1982),"")</f>
        <v/>
      </c>
      <c r="AW1982" s="109" t="str">
        <f t="shared" si="862"/>
        <v/>
      </c>
      <c r="AX1982" s="109" t="str">
        <f t="shared" si="863"/>
        <v/>
      </c>
      <c r="AY1982" s="112" t="str">
        <f>IF(ISNUMBER(O1982),IF(AND(VLOOKUP($D1982,Merchantability!$B:$C,2,0)="Yes",$E1982&gt;=VLOOKUP($D1982,Merchantability!$B:$D,3,0),$E1982&lt;=VLOOKUP($D1982,Merchantability!$B:$E,4,0)),(AV1982*O1982)*(1-$H1982/100),""),"")</f>
        <v/>
      </c>
      <c r="AZ1982" s="116"/>
      <c r="BA1982" s="116"/>
      <c r="BB1982" s="116"/>
      <c r="BE1982" s="62"/>
      <c r="BF1982" s="63"/>
    </row>
    <row r="1983" spans="1:58" ht="12.75" customHeight="1" x14ac:dyDescent="0.25">
      <c r="A1983" s="334"/>
      <c r="B1983" s="334"/>
      <c r="C1983" s="332"/>
      <c r="D1983" s="334"/>
      <c r="E1983" s="335"/>
      <c r="F1983" s="334"/>
      <c r="G1983" s="332"/>
      <c r="H1983" s="332"/>
      <c r="I1983" s="334"/>
      <c r="J1983" s="336"/>
      <c r="K1983" s="332"/>
      <c r="L1983" s="332"/>
      <c r="M1983" s="76"/>
      <c r="N1983" s="103" t="str">
        <f>IF(A1983="","",VLOOKUP(A1983,Stand!C:K,9,0))</f>
        <v/>
      </c>
      <c r="O1983" s="104" t="str">
        <f t="shared" si="848"/>
        <v/>
      </c>
      <c r="P1983" s="105" t="str">
        <f t="shared" si="849"/>
        <v/>
      </c>
      <c r="Q1983" s="105" t="str">
        <f t="shared" si="864"/>
        <v/>
      </c>
      <c r="R1983" s="103" t="str">
        <f t="shared" si="850"/>
        <v/>
      </c>
      <c r="S1983" s="103" t="str">
        <f t="shared" si="851"/>
        <v/>
      </c>
      <c r="T1983" s="106" t="str">
        <f t="shared" si="865"/>
        <v/>
      </c>
      <c r="U1983" s="106" t="str">
        <f t="shared" si="866"/>
        <v/>
      </c>
      <c r="V1983" s="106" t="str">
        <f t="shared" si="867"/>
        <v/>
      </c>
      <c r="W1983" s="105" t="str">
        <f t="shared" si="852"/>
        <v/>
      </c>
      <c r="X1983" s="104" t="str">
        <f t="shared" si="857"/>
        <v/>
      </c>
      <c r="Y1983" s="104" t="str">
        <f t="array" ref="Y1983">IFERROR(IF(ISNUMBER(O1983),IF(COUNT(IF(A1983=$A$2:$A$2427,IF(D1983=$D$2:$D$2427,IF($X$2:$X$2427&gt;0,1))))&gt;0,SUM(IF(A1983=$A$2:$A$2427,IF(D1983=$D$2:$D$2427,$X$2:$X$2427)))/COUNT(IF(A1983=$A$2:$A$2427,IF(D1983=$D$2:$D$2427,IF(ISNUMBER($X$2:$X$2427),1)))),0),""),0)</f>
        <v/>
      </c>
      <c r="Z1983" s="104" t="str">
        <f>IF(ISNUMBER(O1983),IF(I1983&gt;0,(10^(VLOOKUP(D1983,'Species Codes'!B:C,2,0)+VLOOKUP(D1983,'Species Codes'!B:D,3,0)*LOG(E1983)+VLOOKUP(D1983,'Species Codes'!B:E,4,0)*LOG(I1983))),0),"")</f>
        <v/>
      </c>
      <c r="AA1983" s="104" t="str">
        <f>IFERROR((VLOOKUP(D1983,'Species Codes'!B:G,6,0)*Z1983)/2000,"")</f>
        <v/>
      </c>
      <c r="AB1983" s="104" t="e">
        <f>IF(Z1983&gt;0,((IF(OR(D1983="DF",D1983="RA")=TRUE,EXP(VLOOKUP(D1983,'Species Codes'!B:I,8,0)+VLOOKUP(D1983,'Species Codes'!B:J,9,0)*(LN((E1983*2.54)))),IF(OR(D1983="PY",D1983="RC",D1983="WH",D1983="NF")=TRUE,VLOOKUP(D1983,'Species Codes'!B:I,8,0)+VLOOKUP(D1983,'Species Codes'!B:J,9,0)*((E1983*2.54)^2)*(I1983*0.3048),IF(OR(D1983="MD",D1983="BM",D1983="GA")=TRUE,((VLOOKUP(D1983,'Species Codes'!B:I,8,0)*(((((E1983*2.54)+VLOOKUP(D1983,'Species Codes'!B:J,9,0))/VLOOKUP(D1983,'Species Codes'!B:K,10,0))^VLOOKUP(D1983,'Species Codes'!B:L,11,0))*((I1983*0.3048)^VLOOKUP(D1983,'Species Codes'!B:M,12,0))))-(VLOOKUP(D1983,'Species Codes'!B:I,8,0)*((((E1983*2.54)^VLOOKUP(D1983,'Species Codes'!B:L,11,0))*((I1983*0.3048)^VLOOKUP(D1983,'Species Codes'!B:M,12,0))))))*35.3*VLOOKUP(D1983,'Species Codes'!B:G,6,0)/2.2046,VLOOKUP(D1983,'Species Codes'!B:I,8,0)+VLOOKUP(D1983,'Species Codes'!B:J,9,0)*(((E1983*2.54)/100)^2)*(I1983*0.3048)))))*0.0011023),0)</f>
        <v>#N/A</v>
      </c>
      <c r="AC1983" s="104" t="e">
        <f>IF(Z1983&gt;0,((IF(OR(D1983="RA",D1983="OA",D1983="OT",D1983="UN",D1983="PC"),EXP(VLOOKUP(D1983,'Species Codes'!B:O,14,0)+VLOOKUP(D1983,'Species Codes'!B:P,15,0)*LN((E1983*2.54)))-EXP(VLOOKUP(D1983,'Species Codes'!B:O,14,0)+VLOOKUP(D1983,'Species Codes'!B:P,15,0)*LN((E1983*2.54)))*(1/(VLOOKUP(D1983,'Species Codes'!B:Q,16,0)+VLOOKUP(D1983,'Species Codes'!B:R,17,0)*((E1983*2.54)^VLOOKUP(D1983,'Species Codes'!B:S,18,0)))),IF(OR(D1983="BM",D1983="MD",D1983="OA"),EXP(VLOOKUP(D1983,'Species Codes'!B:O,14,0)+VLOOKUP(D1983,'Species Codes'!B:P,15,0)*LN((E1983*2.54)))*(1-(1/(VLOOKUP(D1983,'Species Codes'!B:Q,16,0)+VLOOKUP(D1983,'Species Codes'!B:R,17,0)*((E1983*2.54)^VLOOKUP(D1983,'Species Codes'!B:S,18,0)))))/1000,IF(D1983="DF",EXP(VLOOKUP(D1983,'Species Codes'!B:O,14,0)+VLOOKUP(D1983,'Species Codes'!B:P,15,0)*LN((E1983*2.54))),VLOOKUP(D1983,'Species Codes'!B:O,14,0)+VLOOKUP(D1983,'Species Codes'!B:P,15,0)*(((E1983*2.54)/100)^2)*(I1983*0.3048)))))*0.0011023),0)</f>
        <v>#N/A</v>
      </c>
      <c r="AD1983" s="104" t="e">
        <f t="shared" si="868"/>
        <v>#N/A</v>
      </c>
      <c r="AE1983" s="104" t="e">
        <f t="shared" si="869"/>
        <v>#N/A</v>
      </c>
      <c r="AF1983" s="104" t="e">
        <f>IF(AND(VLOOKUP($D1983,Merchantability!$B:$C,2,0)="Yes",$E1983&gt;=VLOOKUP($D1983,Merchantability!$B:$D,3,0),$E1983&lt;=VLOOKUP($D1983,Merchantability!$B:$E,4,0)),AA1983,0)</f>
        <v>#N/A</v>
      </c>
      <c r="AG1983" s="104" t="e">
        <f>IF(AND(VLOOKUP($D1983,Merchantability!$B:$C,2,0)="Yes",$E1983&gt;=VLOOKUP($D1983,Merchantability!$B:$D,3,0),$E1983&lt;=VLOOKUP($D1983,Merchantability!$B:$E,4,0)),AB1983,0)</f>
        <v>#N/A</v>
      </c>
      <c r="AH1983" s="104" t="e">
        <f>IF(AND(VLOOKUP($D1983,Merchantability!$B:$C,2,0)="Yes",$E1983&gt;=VLOOKUP($D1983,Merchantability!$B:$D,3,0),$E1983&lt;=VLOOKUP($D1983,Merchantability!$B:$E,4,0)),AC1983,0)</f>
        <v>#N/A</v>
      </c>
      <c r="AI1983" s="104" t="e">
        <f t="shared" si="870"/>
        <v>#N/A</v>
      </c>
      <c r="AJ1983" s="104" t="e">
        <f t="shared" si="871"/>
        <v>#VALUE!</v>
      </c>
      <c r="AK1983" s="104" t="e">
        <f t="shared" si="872"/>
        <v>#N/A</v>
      </c>
      <c r="AL1983" s="104" t="e">
        <f t="shared" si="873"/>
        <v>#N/A</v>
      </c>
      <c r="AM1983" s="104" t="e">
        <f t="shared" si="874"/>
        <v>#N/A</v>
      </c>
      <c r="AN1983" s="104" t="e">
        <f t="shared" si="858"/>
        <v>#N/A</v>
      </c>
      <c r="AO1983" s="104" t="e">
        <f t="shared" si="859"/>
        <v>#N/A</v>
      </c>
      <c r="AP1983" s="104" t="e">
        <f t="shared" si="860"/>
        <v>#N/A</v>
      </c>
      <c r="AQ1983" s="104" t="e">
        <f t="shared" si="861"/>
        <v>#N/A</v>
      </c>
      <c r="AR1983" s="105" t="str">
        <f t="shared" si="853"/>
        <v/>
      </c>
      <c r="AS1983" s="105" t="str">
        <f t="shared" si="854"/>
        <v/>
      </c>
      <c r="AT1983" s="108" t="str">
        <f t="shared" si="855"/>
        <v/>
      </c>
      <c r="AU1983" s="108" t="str">
        <f t="shared" si="856"/>
        <v/>
      </c>
      <c r="AV1983" s="107" t="str">
        <f>IF(ISNUMBER(O1983),IF(VLOOKUP($A1983,Stand!C:J,8,FALSE)="Short",AT1983,AU1983),"")</f>
        <v/>
      </c>
      <c r="AW1983" s="109" t="str">
        <f t="shared" si="862"/>
        <v/>
      </c>
      <c r="AX1983" s="109" t="str">
        <f t="shared" si="863"/>
        <v/>
      </c>
      <c r="AY1983" s="112" t="str">
        <f>IF(ISNUMBER(O1983),IF(AND(VLOOKUP($D1983,Merchantability!$B:$C,2,0)="Yes",$E1983&gt;=VLOOKUP($D1983,Merchantability!$B:$D,3,0),$E1983&lt;=VLOOKUP($D1983,Merchantability!$B:$E,4,0)),(AV1983*O1983)*(1-$H1983/100),""),"")</f>
        <v/>
      </c>
      <c r="AZ1983" s="116"/>
      <c r="BA1983" s="116"/>
      <c r="BB1983" s="116"/>
      <c r="BE1983" s="62"/>
      <c r="BF1983" s="63"/>
    </row>
    <row r="1984" spans="1:58" ht="12.75" customHeight="1" x14ac:dyDescent="0.25">
      <c r="A1984" s="334"/>
      <c r="B1984" s="334"/>
      <c r="C1984" s="332"/>
      <c r="D1984" s="334"/>
      <c r="E1984" s="335"/>
      <c r="F1984" s="334"/>
      <c r="G1984" s="332"/>
      <c r="H1984" s="332"/>
      <c r="I1984" s="334"/>
      <c r="J1984" s="336"/>
      <c r="K1984" s="332"/>
      <c r="L1984" s="332"/>
      <c r="M1984" s="76"/>
      <c r="N1984" s="103" t="str">
        <f>IF(A1984="","",VLOOKUP(A1984,Stand!C:K,9,0))</f>
        <v/>
      </c>
      <c r="O1984" s="104" t="str">
        <f t="shared" si="848"/>
        <v/>
      </c>
      <c r="P1984" s="105" t="str">
        <f t="shared" si="849"/>
        <v/>
      </c>
      <c r="Q1984" s="105" t="str">
        <f t="shared" si="864"/>
        <v/>
      </c>
      <c r="R1984" s="103" t="str">
        <f t="shared" si="850"/>
        <v/>
      </c>
      <c r="S1984" s="103" t="str">
        <f t="shared" si="851"/>
        <v/>
      </c>
      <c r="T1984" s="106" t="str">
        <f t="shared" si="865"/>
        <v/>
      </c>
      <c r="U1984" s="106" t="str">
        <f t="shared" si="866"/>
        <v/>
      </c>
      <c r="V1984" s="106" t="str">
        <f t="shared" si="867"/>
        <v/>
      </c>
      <c r="W1984" s="105" t="str">
        <f t="shared" si="852"/>
        <v/>
      </c>
      <c r="X1984" s="104" t="str">
        <f t="shared" si="857"/>
        <v/>
      </c>
      <c r="Y1984" s="104" t="str">
        <f t="array" ref="Y1984">IFERROR(IF(ISNUMBER(O1984),IF(COUNT(IF(A1984=$A$2:$A$2427,IF(D1984=$D$2:$D$2427,IF($X$2:$X$2427&gt;0,1))))&gt;0,SUM(IF(A1984=$A$2:$A$2427,IF(D1984=$D$2:$D$2427,$X$2:$X$2427)))/COUNT(IF(A1984=$A$2:$A$2427,IF(D1984=$D$2:$D$2427,IF(ISNUMBER($X$2:$X$2427),1)))),0),""),0)</f>
        <v/>
      </c>
      <c r="Z1984" s="104" t="str">
        <f>IF(ISNUMBER(O1984),IF(I1984&gt;0,(10^(VLOOKUP(D1984,'Species Codes'!B:C,2,0)+VLOOKUP(D1984,'Species Codes'!B:D,3,0)*LOG(E1984)+VLOOKUP(D1984,'Species Codes'!B:E,4,0)*LOG(I1984))),0),"")</f>
        <v/>
      </c>
      <c r="AA1984" s="104" t="str">
        <f>IFERROR((VLOOKUP(D1984,'Species Codes'!B:G,6,0)*Z1984)/2000,"")</f>
        <v/>
      </c>
      <c r="AB1984" s="104" t="e">
        <f>IF(Z1984&gt;0,((IF(OR(D1984="DF",D1984="RA")=TRUE,EXP(VLOOKUP(D1984,'Species Codes'!B:I,8,0)+VLOOKUP(D1984,'Species Codes'!B:J,9,0)*(LN((E1984*2.54)))),IF(OR(D1984="PY",D1984="RC",D1984="WH",D1984="NF")=TRUE,VLOOKUP(D1984,'Species Codes'!B:I,8,0)+VLOOKUP(D1984,'Species Codes'!B:J,9,0)*((E1984*2.54)^2)*(I1984*0.3048),IF(OR(D1984="MD",D1984="BM",D1984="GA")=TRUE,((VLOOKUP(D1984,'Species Codes'!B:I,8,0)*(((((E1984*2.54)+VLOOKUP(D1984,'Species Codes'!B:J,9,0))/VLOOKUP(D1984,'Species Codes'!B:K,10,0))^VLOOKUP(D1984,'Species Codes'!B:L,11,0))*((I1984*0.3048)^VLOOKUP(D1984,'Species Codes'!B:M,12,0))))-(VLOOKUP(D1984,'Species Codes'!B:I,8,0)*((((E1984*2.54)^VLOOKUP(D1984,'Species Codes'!B:L,11,0))*((I1984*0.3048)^VLOOKUP(D1984,'Species Codes'!B:M,12,0))))))*35.3*VLOOKUP(D1984,'Species Codes'!B:G,6,0)/2.2046,VLOOKUP(D1984,'Species Codes'!B:I,8,0)+VLOOKUP(D1984,'Species Codes'!B:J,9,0)*(((E1984*2.54)/100)^2)*(I1984*0.3048)))))*0.0011023),0)</f>
        <v>#N/A</v>
      </c>
      <c r="AC1984" s="104" t="e">
        <f>IF(Z1984&gt;0,((IF(OR(D1984="RA",D1984="OA",D1984="OT",D1984="UN",D1984="PC"),EXP(VLOOKUP(D1984,'Species Codes'!B:O,14,0)+VLOOKUP(D1984,'Species Codes'!B:P,15,0)*LN((E1984*2.54)))-EXP(VLOOKUP(D1984,'Species Codes'!B:O,14,0)+VLOOKUP(D1984,'Species Codes'!B:P,15,0)*LN((E1984*2.54)))*(1/(VLOOKUP(D1984,'Species Codes'!B:Q,16,0)+VLOOKUP(D1984,'Species Codes'!B:R,17,0)*((E1984*2.54)^VLOOKUP(D1984,'Species Codes'!B:S,18,0)))),IF(OR(D1984="BM",D1984="MD",D1984="OA"),EXP(VLOOKUP(D1984,'Species Codes'!B:O,14,0)+VLOOKUP(D1984,'Species Codes'!B:P,15,0)*LN((E1984*2.54)))*(1-(1/(VLOOKUP(D1984,'Species Codes'!B:Q,16,0)+VLOOKUP(D1984,'Species Codes'!B:R,17,0)*((E1984*2.54)^VLOOKUP(D1984,'Species Codes'!B:S,18,0)))))/1000,IF(D1984="DF",EXP(VLOOKUP(D1984,'Species Codes'!B:O,14,0)+VLOOKUP(D1984,'Species Codes'!B:P,15,0)*LN((E1984*2.54))),VLOOKUP(D1984,'Species Codes'!B:O,14,0)+VLOOKUP(D1984,'Species Codes'!B:P,15,0)*(((E1984*2.54)/100)^2)*(I1984*0.3048)))))*0.0011023),0)</f>
        <v>#N/A</v>
      </c>
      <c r="AD1984" s="104" t="e">
        <f t="shared" si="868"/>
        <v>#N/A</v>
      </c>
      <c r="AE1984" s="104" t="e">
        <f t="shared" si="869"/>
        <v>#N/A</v>
      </c>
      <c r="AF1984" s="104" t="e">
        <f>IF(AND(VLOOKUP($D1984,Merchantability!$B:$C,2,0)="Yes",$E1984&gt;=VLOOKUP($D1984,Merchantability!$B:$D,3,0),$E1984&lt;=VLOOKUP($D1984,Merchantability!$B:$E,4,0)),AA1984,0)</f>
        <v>#N/A</v>
      </c>
      <c r="AG1984" s="104" t="e">
        <f>IF(AND(VLOOKUP($D1984,Merchantability!$B:$C,2,0)="Yes",$E1984&gt;=VLOOKUP($D1984,Merchantability!$B:$D,3,0),$E1984&lt;=VLOOKUP($D1984,Merchantability!$B:$E,4,0)),AB1984,0)</f>
        <v>#N/A</v>
      </c>
      <c r="AH1984" s="104" t="e">
        <f>IF(AND(VLOOKUP($D1984,Merchantability!$B:$C,2,0)="Yes",$E1984&gt;=VLOOKUP($D1984,Merchantability!$B:$D,3,0),$E1984&lt;=VLOOKUP($D1984,Merchantability!$B:$E,4,0)),AC1984,0)</f>
        <v>#N/A</v>
      </c>
      <c r="AI1984" s="104" t="e">
        <f t="shared" si="870"/>
        <v>#N/A</v>
      </c>
      <c r="AJ1984" s="104" t="e">
        <f t="shared" si="871"/>
        <v>#VALUE!</v>
      </c>
      <c r="AK1984" s="104" t="e">
        <f t="shared" si="872"/>
        <v>#N/A</v>
      </c>
      <c r="AL1984" s="104" t="e">
        <f t="shared" si="873"/>
        <v>#N/A</v>
      </c>
      <c r="AM1984" s="104" t="e">
        <f t="shared" si="874"/>
        <v>#N/A</v>
      </c>
      <c r="AN1984" s="104" t="e">
        <f t="shared" si="858"/>
        <v>#N/A</v>
      </c>
      <c r="AO1984" s="104" t="e">
        <f t="shared" si="859"/>
        <v>#N/A</v>
      </c>
      <c r="AP1984" s="104" t="e">
        <f t="shared" si="860"/>
        <v>#N/A</v>
      </c>
      <c r="AQ1984" s="104" t="e">
        <f t="shared" si="861"/>
        <v>#N/A</v>
      </c>
      <c r="AR1984" s="105" t="str">
        <f t="shared" si="853"/>
        <v/>
      </c>
      <c r="AS1984" s="105" t="str">
        <f t="shared" si="854"/>
        <v/>
      </c>
      <c r="AT1984" s="108" t="str">
        <f t="shared" si="855"/>
        <v/>
      </c>
      <c r="AU1984" s="108" t="str">
        <f t="shared" si="856"/>
        <v/>
      </c>
      <c r="AV1984" s="107" t="str">
        <f>IF(ISNUMBER(O1984),IF(VLOOKUP($A1984,Stand!C:J,8,FALSE)="Short",AT1984,AU1984),"")</f>
        <v/>
      </c>
      <c r="AW1984" s="109" t="str">
        <f t="shared" si="862"/>
        <v/>
      </c>
      <c r="AX1984" s="109" t="str">
        <f t="shared" si="863"/>
        <v/>
      </c>
      <c r="AY1984" s="112" t="str">
        <f>IF(ISNUMBER(O1984),IF(AND(VLOOKUP($D1984,Merchantability!$B:$C,2,0)="Yes",$E1984&gt;=VLOOKUP($D1984,Merchantability!$B:$D,3,0),$E1984&lt;=VLOOKUP($D1984,Merchantability!$B:$E,4,0)),(AV1984*O1984)*(1-$H1984/100),""),"")</f>
        <v/>
      </c>
      <c r="AZ1984" s="116"/>
      <c r="BA1984" s="116"/>
      <c r="BB1984" s="116"/>
      <c r="BE1984" s="62"/>
      <c r="BF1984" s="63"/>
    </row>
    <row r="1985" spans="1:58" ht="12.75" customHeight="1" x14ac:dyDescent="0.25">
      <c r="A1985" s="334"/>
      <c r="B1985" s="334"/>
      <c r="C1985" s="332"/>
      <c r="D1985" s="334"/>
      <c r="E1985" s="335"/>
      <c r="F1985" s="334"/>
      <c r="G1985" s="332"/>
      <c r="H1985" s="332"/>
      <c r="I1985" s="334"/>
      <c r="J1985" s="336"/>
      <c r="K1985" s="332"/>
      <c r="L1985" s="332"/>
      <c r="M1985" s="76"/>
      <c r="N1985" s="103" t="str">
        <f>IF(A1985="","",VLOOKUP(A1985,Stand!C:K,9,0))</f>
        <v/>
      </c>
      <c r="O1985" s="104" t="str">
        <f t="shared" si="848"/>
        <v/>
      </c>
      <c r="P1985" s="105" t="str">
        <f t="shared" si="849"/>
        <v/>
      </c>
      <c r="Q1985" s="105" t="str">
        <f t="shared" si="864"/>
        <v/>
      </c>
      <c r="R1985" s="103" t="str">
        <f t="shared" si="850"/>
        <v/>
      </c>
      <c r="S1985" s="103" t="str">
        <f t="shared" si="851"/>
        <v/>
      </c>
      <c r="T1985" s="106" t="str">
        <f t="shared" si="865"/>
        <v/>
      </c>
      <c r="U1985" s="106" t="str">
        <f t="shared" si="866"/>
        <v/>
      </c>
      <c r="V1985" s="106" t="str">
        <f t="shared" si="867"/>
        <v/>
      </c>
      <c r="W1985" s="105" t="str">
        <f t="shared" si="852"/>
        <v/>
      </c>
      <c r="X1985" s="104" t="str">
        <f t="shared" si="857"/>
        <v/>
      </c>
      <c r="Y1985" s="104" t="str">
        <f t="array" ref="Y1985">IFERROR(IF(ISNUMBER(O1985),IF(COUNT(IF(A1985=$A$2:$A$2427,IF(D1985=$D$2:$D$2427,IF($X$2:$X$2427&gt;0,1))))&gt;0,SUM(IF(A1985=$A$2:$A$2427,IF(D1985=$D$2:$D$2427,$X$2:$X$2427)))/COUNT(IF(A1985=$A$2:$A$2427,IF(D1985=$D$2:$D$2427,IF(ISNUMBER($X$2:$X$2427),1)))),0),""),0)</f>
        <v/>
      </c>
      <c r="Z1985" s="104" t="str">
        <f>IF(ISNUMBER(O1985),IF(I1985&gt;0,(10^(VLOOKUP(D1985,'Species Codes'!B:C,2,0)+VLOOKUP(D1985,'Species Codes'!B:D,3,0)*LOG(E1985)+VLOOKUP(D1985,'Species Codes'!B:E,4,0)*LOG(I1985))),0),"")</f>
        <v/>
      </c>
      <c r="AA1985" s="104" t="str">
        <f>IFERROR((VLOOKUP(D1985,'Species Codes'!B:G,6,0)*Z1985)/2000,"")</f>
        <v/>
      </c>
      <c r="AB1985" s="104" t="e">
        <f>IF(Z1985&gt;0,((IF(OR(D1985="DF",D1985="RA")=TRUE,EXP(VLOOKUP(D1985,'Species Codes'!B:I,8,0)+VLOOKUP(D1985,'Species Codes'!B:J,9,0)*(LN((E1985*2.54)))),IF(OR(D1985="PY",D1985="RC",D1985="WH",D1985="NF")=TRUE,VLOOKUP(D1985,'Species Codes'!B:I,8,0)+VLOOKUP(D1985,'Species Codes'!B:J,9,0)*((E1985*2.54)^2)*(I1985*0.3048),IF(OR(D1985="MD",D1985="BM",D1985="GA")=TRUE,((VLOOKUP(D1985,'Species Codes'!B:I,8,0)*(((((E1985*2.54)+VLOOKUP(D1985,'Species Codes'!B:J,9,0))/VLOOKUP(D1985,'Species Codes'!B:K,10,0))^VLOOKUP(D1985,'Species Codes'!B:L,11,0))*((I1985*0.3048)^VLOOKUP(D1985,'Species Codes'!B:M,12,0))))-(VLOOKUP(D1985,'Species Codes'!B:I,8,0)*((((E1985*2.54)^VLOOKUP(D1985,'Species Codes'!B:L,11,0))*((I1985*0.3048)^VLOOKUP(D1985,'Species Codes'!B:M,12,0))))))*35.3*VLOOKUP(D1985,'Species Codes'!B:G,6,0)/2.2046,VLOOKUP(D1985,'Species Codes'!B:I,8,0)+VLOOKUP(D1985,'Species Codes'!B:J,9,0)*(((E1985*2.54)/100)^2)*(I1985*0.3048)))))*0.0011023),0)</f>
        <v>#N/A</v>
      </c>
      <c r="AC1985" s="104" t="e">
        <f>IF(Z1985&gt;0,((IF(OR(D1985="RA",D1985="OA",D1985="OT",D1985="UN",D1985="PC"),EXP(VLOOKUP(D1985,'Species Codes'!B:O,14,0)+VLOOKUP(D1985,'Species Codes'!B:P,15,0)*LN((E1985*2.54)))-EXP(VLOOKUP(D1985,'Species Codes'!B:O,14,0)+VLOOKUP(D1985,'Species Codes'!B:P,15,0)*LN((E1985*2.54)))*(1/(VLOOKUP(D1985,'Species Codes'!B:Q,16,0)+VLOOKUP(D1985,'Species Codes'!B:R,17,0)*((E1985*2.54)^VLOOKUP(D1985,'Species Codes'!B:S,18,0)))),IF(OR(D1985="BM",D1985="MD",D1985="OA"),EXP(VLOOKUP(D1985,'Species Codes'!B:O,14,0)+VLOOKUP(D1985,'Species Codes'!B:P,15,0)*LN((E1985*2.54)))*(1-(1/(VLOOKUP(D1985,'Species Codes'!B:Q,16,0)+VLOOKUP(D1985,'Species Codes'!B:R,17,0)*((E1985*2.54)^VLOOKUP(D1985,'Species Codes'!B:S,18,0)))))/1000,IF(D1985="DF",EXP(VLOOKUP(D1985,'Species Codes'!B:O,14,0)+VLOOKUP(D1985,'Species Codes'!B:P,15,0)*LN((E1985*2.54))),VLOOKUP(D1985,'Species Codes'!B:O,14,0)+VLOOKUP(D1985,'Species Codes'!B:P,15,0)*(((E1985*2.54)/100)^2)*(I1985*0.3048)))))*0.0011023),0)</f>
        <v>#N/A</v>
      </c>
      <c r="AD1985" s="104" t="e">
        <f t="shared" si="868"/>
        <v>#N/A</v>
      </c>
      <c r="AE1985" s="104" t="e">
        <f t="shared" si="869"/>
        <v>#N/A</v>
      </c>
      <c r="AF1985" s="104" t="e">
        <f>IF(AND(VLOOKUP($D1985,Merchantability!$B:$C,2,0)="Yes",$E1985&gt;=VLOOKUP($D1985,Merchantability!$B:$D,3,0),$E1985&lt;=VLOOKUP($D1985,Merchantability!$B:$E,4,0)),AA1985,0)</f>
        <v>#N/A</v>
      </c>
      <c r="AG1985" s="104" t="e">
        <f>IF(AND(VLOOKUP($D1985,Merchantability!$B:$C,2,0)="Yes",$E1985&gt;=VLOOKUP($D1985,Merchantability!$B:$D,3,0),$E1985&lt;=VLOOKUP($D1985,Merchantability!$B:$E,4,0)),AB1985,0)</f>
        <v>#N/A</v>
      </c>
      <c r="AH1985" s="104" t="e">
        <f>IF(AND(VLOOKUP($D1985,Merchantability!$B:$C,2,0)="Yes",$E1985&gt;=VLOOKUP($D1985,Merchantability!$B:$D,3,0),$E1985&lt;=VLOOKUP($D1985,Merchantability!$B:$E,4,0)),AC1985,0)</f>
        <v>#N/A</v>
      </c>
      <c r="AI1985" s="104" t="e">
        <f t="shared" si="870"/>
        <v>#N/A</v>
      </c>
      <c r="AJ1985" s="104" t="e">
        <f t="shared" si="871"/>
        <v>#VALUE!</v>
      </c>
      <c r="AK1985" s="104" t="e">
        <f t="shared" si="872"/>
        <v>#N/A</v>
      </c>
      <c r="AL1985" s="104" t="e">
        <f t="shared" si="873"/>
        <v>#N/A</v>
      </c>
      <c r="AM1985" s="104" t="e">
        <f t="shared" si="874"/>
        <v>#N/A</v>
      </c>
      <c r="AN1985" s="104" t="e">
        <f t="shared" si="858"/>
        <v>#N/A</v>
      </c>
      <c r="AO1985" s="104" t="e">
        <f t="shared" si="859"/>
        <v>#N/A</v>
      </c>
      <c r="AP1985" s="104" t="e">
        <f t="shared" si="860"/>
        <v>#N/A</v>
      </c>
      <c r="AQ1985" s="104" t="e">
        <f t="shared" si="861"/>
        <v>#N/A</v>
      </c>
      <c r="AR1985" s="105" t="str">
        <f t="shared" si="853"/>
        <v/>
      </c>
      <c r="AS1985" s="105" t="str">
        <f t="shared" si="854"/>
        <v/>
      </c>
      <c r="AT1985" s="108" t="str">
        <f t="shared" si="855"/>
        <v/>
      </c>
      <c r="AU1985" s="108" t="str">
        <f t="shared" si="856"/>
        <v/>
      </c>
      <c r="AV1985" s="107" t="str">
        <f>IF(ISNUMBER(O1985),IF(VLOOKUP($A1985,Stand!C:J,8,FALSE)="Short",AT1985,AU1985),"")</f>
        <v/>
      </c>
      <c r="AW1985" s="109" t="str">
        <f t="shared" si="862"/>
        <v/>
      </c>
      <c r="AX1985" s="109" t="str">
        <f t="shared" si="863"/>
        <v/>
      </c>
      <c r="AY1985" s="112" t="str">
        <f>IF(ISNUMBER(O1985),IF(AND(VLOOKUP($D1985,Merchantability!$B:$C,2,0)="Yes",$E1985&gt;=VLOOKUP($D1985,Merchantability!$B:$D,3,0),$E1985&lt;=VLOOKUP($D1985,Merchantability!$B:$E,4,0)),(AV1985*O1985)*(1-$H1985/100),""),"")</f>
        <v/>
      </c>
      <c r="AZ1985" s="116"/>
      <c r="BA1985" s="116"/>
      <c r="BB1985" s="116"/>
      <c r="BE1985" s="62"/>
      <c r="BF1985" s="63"/>
    </row>
    <row r="1986" spans="1:58" ht="12.75" customHeight="1" x14ac:dyDescent="0.25">
      <c r="A1986" s="334"/>
      <c r="B1986" s="334"/>
      <c r="C1986" s="332"/>
      <c r="D1986" s="334"/>
      <c r="E1986" s="335"/>
      <c r="F1986" s="334"/>
      <c r="G1986" s="332"/>
      <c r="H1986" s="332"/>
      <c r="I1986" s="334"/>
      <c r="J1986" s="336"/>
      <c r="K1986" s="332"/>
      <c r="L1986" s="332"/>
      <c r="M1986" s="76"/>
      <c r="N1986" s="103" t="str">
        <f>IF(A1986="","",VLOOKUP(A1986,Stand!C:K,9,0))</f>
        <v/>
      </c>
      <c r="O1986" s="104" t="str">
        <f t="shared" ref="O1986:O2049" si="875">IF(E1986&gt;0,IF(G1986&gt;1,G1986*(43560/(N1986^2*3.14)),43560/(N1986^2*3.14)),"")</f>
        <v/>
      </c>
      <c r="P1986" s="105" t="str">
        <f t="shared" ref="P1986:P2049" si="876">IF(ISNUMBER(O1986),E1986*O1986,"")</f>
        <v/>
      </c>
      <c r="Q1986" s="105" t="str">
        <f t="shared" si="864"/>
        <v/>
      </c>
      <c r="R1986" s="103" t="str">
        <f t="shared" ref="R1986:R2049" si="877">IF(ISNUMBER(O1986),E1986^2*0.005454*O1986,"")</f>
        <v/>
      </c>
      <c r="S1986" s="103" t="str">
        <f t="shared" ref="S1986:S2049" si="878">IF(ISNUMBER(O1986),(E1986/10)^1.7*O1986,"")</f>
        <v/>
      </c>
      <c r="T1986" s="106" t="str">
        <f t="shared" si="865"/>
        <v/>
      </c>
      <c r="U1986" s="106" t="str">
        <f t="shared" si="866"/>
        <v/>
      </c>
      <c r="V1986" s="106" t="str">
        <f t="shared" si="867"/>
        <v/>
      </c>
      <c r="W1986" s="105" t="str">
        <f t="shared" ref="W1986:W2049" si="879">IF(AND(ISNUMBER(O1986),I1986&gt;0),I1986/(E1986/12),"")</f>
        <v/>
      </c>
      <c r="X1986" s="104" t="str">
        <f t="shared" si="857"/>
        <v/>
      </c>
      <c r="Y1986" s="104" t="str">
        <f t="array" ref="Y1986">IFERROR(IF(ISNUMBER(O1986),IF(COUNT(IF(A1986=$A$2:$A$2427,IF(D1986=$D$2:$D$2427,IF($X$2:$X$2427&gt;0,1))))&gt;0,SUM(IF(A1986=$A$2:$A$2427,IF(D1986=$D$2:$D$2427,$X$2:$X$2427)))/COUNT(IF(A1986=$A$2:$A$2427,IF(D1986=$D$2:$D$2427,IF(ISNUMBER($X$2:$X$2427),1)))),0),""),0)</f>
        <v/>
      </c>
      <c r="Z1986" s="104" t="str">
        <f>IF(ISNUMBER(O1986),IF(I1986&gt;0,(10^(VLOOKUP(D1986,'Species Codes'!B:C,2,0)+VLOOKUP(D1986,'Species Codes'!B:D,3,0)*LOG(E1986)+VLOOKUP(D1986,'Species Codes'!B:E,4,0)*LOG(I1986))),0),"")</f>
        <v/>
      </c>
      <c r="AA1986" s="104" t="str">
        <f>IFERROR((VLOOKUP(D1986,'Species Codes'!B:G,6,0)*Z1986)/2000,"")</f>
        <v/>
      </c>
      <c r="AB1986" s="104" t="e">
        <f>IF(Z1986&gt;0,((IF(OR(D1986="DF",D1986="RA")=TRUE,EXP(VLOOKUP(D1986,'Species Codes'!B:I,8,0)+VLOOKUP(D1986,'Species Codes'!B:J,9,0)*(LN((E1986*2.54)))),IF(OR(D1986="PY",D1986="RC",D1986="WH",D1986="NF")=TRUE,VLOOKUP(D1986,'Species Codes'!B:I,8,0)+VLOOKUP(D1986,'Species Codes'!B:J,9,0)*((E1986*2.54)^2)*(I1986*0.3048),IF(OR(D1986="MD",D1986="BM",D1986="GA")=TRUE,((VLOOKUP(D1986,'Species Codes'!B:I,8,0)*(((((E1986*2.54)+VLOOKUP(D1986,'Species Codes'!B:J,9,0))/VLOOKUP(D1986,'Species Codes'!B:K,10,0))^VLOOKUP(D1986,'Species Codes'!B:L,11,0))*((I1986*0.3048)^VLOOKUP(D1986,'Species Codes'!B:M,12,0))))-(VLOOKUP(D1986,'Species Codes'!B:I,8,0)*((((E1986*2.54)^VLOOKUP(D1986,'Species Codes'!B:L,11,0))*((I1986*0.3048)^VLOOKUP(D1986,'Species Codes'!B:M,12,0))))))*35.3*VLOOKUP(D1986,'Species Codes'!B:G,6,0)/2.2046,VLOOKUP(D1986,'Species Codes'!B:I,8,0)+VLOOKUP(D1986,'Species Codes'!B:J,9,0)*(((E1986*2.54)/100)^2)*(I1986*0.3048)))))*0.0011023),0)</f>
        <v>#N/A</v>
      </c>
      <c r="AC1986" s="104" t="e">
        <f>IF(Z1986&gt;0,((IF(OR(D1986="RA",D1986="OA",D1986="OT",D1986="UN",D1986="PC"),EXP(VLOOKUP(D1986,'Species Codes'!B:O,14,0)+VLOOKUP(D1986,'Species Codes'!B:P,15,0)*LN((E1986*2.54)))-EXP(VLOOKUP(D1986,'Species Codes'!B:O,14,0)+VLOOKUP(D1986,'Species Codes'!B:P,15,0)*LN((E1986*2.54)))*(1/(VLOOKUP(D1986,'Species Codes'!B:Q,16,0)+VLOOKUP(D1986,'Species Codes'!B:R,17,0)*((E1986*2.54)^VLOOKUP(D1986,'Species Codes'!B:S,18,0)))),IF(OR(D1986="BM",D1986="MD",D1986="OA"),EXP(VLOOKUP(D1986,'Species Codes'!B:O,14,0)+VLOOKUP(D1986,'Species Codes'!B:P,15,0)*LN((E1986*2.54)))*(1-(1/(VLOOKUP(D1986,'Species Codes'!B:Q,16,0)+VLOOKUP(D1986,'Species Codes'!B:R,17,0)*((E1986*2.54)^VLOOKUP(D1986,'Species Codes'!B:S,18,0)))))/1000,IF(D1986="DF",EXP(VLOOKUP(D1986,'Species Codes'!B:O,14,0)+VLOOKUP(D1986,'Species Codes'!B:P,15,0)*LN((E1986*2.54))),VLOOKUP(D1986,'Species Codes'!B:O,14,0)+VLOOKUP(D1986,'Species Codes'!B:P,15,0)*(((E1986*2.54)/100)^2)*(I1986*0.3048)))))*0.0011023),0)</f>
        <v>#N/A</v>
      </c>
      <c r="AD1986" s="104" t="e">
        <f t="shared" si="868"/>
        <v>#N/A</v>
      </c>
      <c r="AE1986" s="104" t="e">
        <f t="shared" si="869"/>
        <v>#N/A</v>
      </c>
      <c r="AF1986" s="104" t="e">
        <f>IF(AND(VLOOKUP($D1986,Merchantability!$B:$C,2,0)="Yes",$E1986&gt;=VLOOKUP($D1986,Merchantability!$B:$D,3,0),$E1986&lt;=VLOOKUP($D1986,Merchantability!$B:$E,4,0)),AA1986,0)</f>
        <v>#N/A</v>
      </c>
      <c r="AG1986" s="104" t="e">
        <f>IF(AND(VLOOKUP($D1986,Merchantability!$B:$C,2,0)="Yes",$E1986&gt;=VLOOKUP($D1986,Merchantability!$B:$D,3,0),$E1986&lt;=VLOOKUP($D1986,Merchantability!$B:$E,4,0)),AB1986,0)</f>
        <v>#N/A</v>
      </c>
      <c r="AH1986" s="104" t="e">
        <f>IF(AND(VLOOKUP($D1986,Merchantability!$B:$C,2,0)="Yes",$E1986&gt;=VLOOKUP($D1986,Merchantability!$B:$D,3,0),$E1986&lt;=VLOOKUP($D1986,Merchantability!$B:$E,4,0)),AC1986,0)</f>
        <v>#N/A</v>
      </c>
      <c r="AI1986" s="104" t="e">
        <f t="shared" si="870"/>
        <v>#N/A</v>
      </c>
      <c r="AJ1986" s="104" t="e">
        <f t="shared" si="871"/>
        <v>#VALUE!</v>
      </c>
      <c r="AK1986" s="104" t="e">
        <f t="shared" si="872"/>
        <v>#N/A</v>
      </c>
      <c r="AL1986" s="104" t="e">
        <f t="shared" si="873"/>
        <v>#N/A</v>
      </c>
      <c r="AM1986" s="104" t="e">
        <f t="shared" si="874"/>
        <v>#N/A</v>
      </c>
      <c r="AN1986" s="104" t="e">
        <f t="shared" si="858"/>
        <v>#N/A</v>
      </c>
      <c r="AO1986" s="104" t="e">
        <f t="shared" si="859"/>
        <v>#N/A</v>
      </c>
      <c r="AP1986" s="104" t="e">
        <f t="shared" si="860"/>
        <v>#N/A</v>
      </c>
      <c r="AQ1986" s="104" t="e">
        <f t="shared" si="861"/>
        <v>#N/A</v>
      </c>
      <c r="AR1986" s="105" t="str">
        <f t="shared" ref="AR1986:AR2049" si="880">IF(ISNUMBER(O1986),IF(Y1986&gt;0,((Y1986*(E1986^2*0.005454-0.087266))/0.912733),0),"")</f>
        <v/>
      </c>
      <c r="AS1986" s="105" t="str">
        <f t="shared" ref="AS1986:AS2049" si="881">IF(ISNUMBER(O1986),AR1986*(0.993-0.993*(0.62^(E1986-6))),"")</f>
        <v/>
      </c>
      <c r="AT1986" s="108" t="str">
        <f t="shared" ref="AT1986:AT2049" si="882">IF(ISNUMBER(O1986),IF(AS1986&gt;0,IF(Y1986&gt;0,(AS1986*10^(0.174439+0.117594*(LOG(E1986,10))*(LOG(Y1986/0.912733,10))-8.210585/E1986^2+0.236693*(LOG(Y1986/0.912733,10))-0.00001345*(Y1986/0.912733)^2-0.00001937*E1986^2)),0),0),"")</f>
        <v/>
      </c>
      <c r="AU1986" s="108" t="str">
        <f t="shared" ref="AU1986:AU2049" si="883">IF(ISNUMBER(O1986),IF(AS1986&gt;0,IF(Y1986&gt;0,AT1986*(1.001491-(6.92497/Y1986)+(0.00001351*(E1986^2))),0),0),"")</f>
        <v/>
      </c>
      <c r="AV1986" s="107" t="str">
        <f>IF(ISNUMBER(O1986),IF(VLOOKUP($A1986,Stand!C:J,8,FALSE)="Short",AT1986,AU1986),"")</f>
        <v/>
      </c>
      <c r="AW1986" s="109" t="str">
        <f t="shared" si="862"/>
        <v/>
      </c>
      <c r="AX1986" s="109" t="str">
        <f t="shared" si="863"/>
        <v/>
      </c>
      <c r="AY1986" s="112" t="str">
        <f>IF(ISNUMBER(O1986),IF(AND(VLOOKUP($D1986,Merchantability!$B:$C,2,0)="Yes",$E1986&gt;=VLOOKUP($D1986,Merchantability!$B:$D,3,0),$E1986&lt;=VLOOKUP($D1986,Merchantability!$B:$E,4,0)),(AV1986*O1986)*(1-$H1986/100),""),"")</f>
        <v/>
      </c>
      <c r="AZ1986" s="116"/>
      <c r="BA1986" s="116"/>
      <c r="BB1986" s="116"/>
      <c r="BE1986" s="62"/>
      <c r="BF1986" s="63"/>
    </row>
    <row r="1987" spans="1:58" ht="12.75" customHeight="1" x14ac:dyDescent="0.25">
      <c r="A1987" s="334"/>
      <c r="B1987" s="334"/>
      <c r="C1987" s="332"/>
      <c r="D1987" s="334"/>
      <c r="E1987" s="335"/>
      <c r="F1987" s="334"/>
      <c r="G1987" s="332"/>
      <c r="H1987" s="332"/>
      <c r="I1987" s="334"/>
      <c r="J1987" s="336"/>
      <c r="K1987" s="332"/>
      <c r="L1987" s="332"/>
      <c r="M1987" s="76"/>
      <c r="N1987" s="103" t="str">
        <f>IF(A1987="","",VLOOKUP(A1987,Stand!C:K,9,0))</f>
        <v/>
      </c>
      <c r="O1987" s="104" t="str">
        <f t="shared" si="875"/>
        <v/>
      </c>
      <c r="P1987" s="105" t="str">
        <f t="shared" si="876"/>
        <v/>
      </c>
      <c r="Q1987" s="105" t="str">
        <f t="shared" si="864"/>
        <v/>
      </c>
      <c r="R1987" s="103" t="str">
        <f t="shared" si="877"/>
        <v/>
      </c>
      <c r="S1987" s="103" t="str">
        <f t="shared" si="878"/>
        <v/>
      </c>
      <c r="T1987" s="106" t="str">
        <f t="shared" si="865"/>
        <v/>
      </c>
      <c r="U1987" s="106" t="str">
        <f t="shared" si="866"/>
        <v/>
      </c>
      <c r="V1987" s="106" t="str">
        <f t="shared" si="867"/>
        <v/>
      </c>
      <c r="W1987" s="105" t="str">
        <f t="shared" si="879"/>
        <v/>
      </c>
      <c r="X1987" s="104" t="str">
        <f t="shared" ref="X1987:X2050" si="884">IF(ISNUMBER(O1987),IF(I1987&gt;0,IF(E1987&gt;0,(0.912733*Z1987)/(1.033*(1+1.382937*EXP(-4.015292*E1987/10))*((E1987^2)*0.005454+0.087266)-0.174533),""),""),"")</f>
        <v/>
      </c>
      <c r="Y1987" s="104" t="str">
        <f t="array" ref="Y1987">IFERROR(IF(ISNUMBER(O1987),IF(COUNT(IF(A1987=$A$2:$A$2427,IF(D1987=$D$2:$D$2427,IF($X$2:$X$2427&gt;0,1))))&gt;0,SUM(IF(A1987=$A$2:$A$2427,IF(D1987=$D$2:$D$2427,$X$2:$X$2427)))/COUNT(IF(A1987=$A$2:$A$2427,IF(D1987=$D$2:$D$2427,IF(ISNUMBER($X$2:$X$2427),1)))),0),""),0)</f>
        <v/>
      </c>
      <c r="Z1987" s="104" t="str">
        <f>IF(ISNUMBER(O1987),IF(I1987&gt;0,(10^(VLOOKUP(D1987,'Species Codes'!B:C,2,0)+VLOOKUP(D1987,'Species Codes'!B:D,3,0)*LOG(E1987)+VLOOKUP(D1987,'Species Codes'!B:E,4,0)*LOG(I1987))),0),"")</f>
        <v/>
      </c>
      <c r="AA1987" s="104" t="str">
        <f>IFERROR((VLOOKUP(D1987,'Species Codes'!B:G,6,0)*Z1987)/2000,"")</f>
        <v/>
      </c>
      <c r="AB1987" s="104" t="e">
        <f>IF(Z1987&gt;0,((IF(OR(D1987="DF",D1987="RA")=TRUE,EXP(VLOOKUP(D1987,'Species Codes'!B:I,8,0)+VLOOKUP(D1987,'Species Codes'!B:J,9,0)*(LN((E1987*2.54)))),IF(OR(D1987="PY",D1987="RC",D1987="WH",D1987="NF")=TRUE,VLOOKUP(D1987,'Species Codes'!B:I,8,0)+VLOOKUP(D1987,'Species Codes'!B:J,9,0)*((E1987*2.54)^2)*(I1987*0.3048),IF(OR(D1987="MD",D1987="BM",D1987="GA")=TRUE,((VLOOKUP(D1987,'Species Codes'!B:I,8,0)*(((((E1987*2.54)+VLOOKUP(D1987,'Species Codes'!B:J,9,0))/VLOOKUP(D1987,'Species Codes'!B:K,10,0))^VLOOKUP(D1987,'Species Codes'!B:L,11,0))*((I1987*0.3048)^VLOOKUP(D1987,'Species Codes'!B:M,12,0))))-(VLOOKUP(D1987,'Species Codes'!B:I,8,0)*((((E1987*2.54)^VLOOKUP(D1987,'Species Codes'!B:L,11,0))*((I1987*0.3048)^VLOOKUP(D1987,'Species Codes'!B:M,12,0))))))*35.3*VLOOKUP(D1987,'Species Codes'!B:G,6,0)/2.2046,VLOOKUP(D1987,'Species Codes'!B:I,8,0)+VLOOKUP(D1987,'Species Codes'!B:J,9,0)*(((E1987*2.54)/100)^2)*(I1987*0.3048)))))*0.0011023),0)</f>
        <v>#N/A</v>
      </c>
      <c r="AC1987" s="104" t="e">
        <f>IF(Z1987&gt;0,((IF(OR(D1987="RA",D1987="OA",D1987="OT",D1987="UN",D1987="PC"),EXP(VLOOKUP(D1987,'Species Codes'!B:O,14,0)+VLOOKUP(D1987,'Species Codes'!B:P,15,0)*LN((E1987*2.54)))-EXP(VLOOKUP(D1987,'Species Codes'!B:O,14,0)+VLOOKUP(D1987,'Species Codes'!B:P,15,0)*LN((E1987*2.54)))*(1/(VLOOKUP(D1987,'Species Codes'!B:Q,16,0)+VLOOKUP(D1987,'Species Codes'!B:R,17,0)*((E1987*2.54)^VLOOKUP(D1987,'Species Codes'!B:S,18,0)))),IF(OR(D1987="BM",D1987="MD",D1987="OA"),EXP(VLOOKUP(D1987,'Species Codes'!B:O,14,0)+VLOOKUP(D1987,'Species Codes'!B:P,15,0)*LN((E1987*2.54)))*(1-(1/(VLOOKUP(D1987,'Species Codes'!B:Q,16,0)+VLOOKUP(D1987,'Species Codes'!B:R,17,0)*((E1987*2.54)^VLOOKUP(D1987,'Species Codes'!B:S,18,0)))))/1000,IF(D1987="DF",EXP(VLOOKUP(D1987,'Species Codes'!B:O,14,0)+VLOOKUP(D1987,'Species Codes'!B:P,15,0)*LN((E1987*2.54))),VLOOKUP(D1987,'Species Codes'!B:O,14,0)+VLOOKUP(D1987,'Species Codes'!B:P,15,0)*(((E1987*2.54)/100)^2)*(I1987*0.3048)))))*0.0011023),0)</f>
        <v>#N/A</v>
      </c>
      <c r="AD1987" s="104" t="e">
        <f t="shared" si="868"/>
        <v>#N/A</v>
      </c>
      <c r="AE1987" s="104" t="e">
        <f t="shared" si="869"/>
        <v>#N/A</v>
      </c>
      <c r="AF1987" s="104" t="e">
        <f>IF(AND(VLOOKUP($D1987,Merchantability!$B:$C,2,0)="Yes",$E1987&gt;=VLOOKUP($D1987,Merchantability!$B:$D,3,0),$E1987&lt;=VLOOKUP($D1987,Merchantability!$B:$E,4,0)),AA1987,0)</f>
        <v>#N/A</v>
      </c>
      <c r="AG1987" s="104" t="e">
        <f>IF(AND(VLOOKUP($D1987,Merchantability!$B:$C,2,0)="Yes",$E1987&gt;=VLOOKUP($D1987,Merchantability!$B:$D,3,0),$E1987&lt;=VLOOKUP($D1987,Merchantability!$B:$E,4,0)),AB1987,0)</f>
        <v>#N/A</v>
      </c>
      <c r="AH1987" s="104" t="e">
        <f>IF(AND(VLOOKUP($D1987,Merchantability!$B:$C,2,0)="Yes",$E1987&gt;=VLOOKUP($D1987,Merchantability!$B:$D,3,0),$E1987&lt;=VLOOKUP($D1987,Merchantability!$B:$E,4,0)),AC1987,0)</f>
        <v>#N/A</v>
      </c>
      <c r="AI1987" s="104" t="e">
        <f t="shared" si="870"/>
        <v>#N/A</v>
      </c>
      <c r="AJ1987" s="104" t="e">
        <f t="shared" si="871"/>
        <v>#VALUE!</v>
      </c>
      <c r="AK1987" s="104" t="e">
        <f t="shared" si="872"/>
        <v>#N/A</v>
      </c>
      <c r="AL1987" s="104" t="e">
        <f t="shared" si="873"/>
        <v>#N/A</v>
      </c>
      <c r="AM1987" s="104" t="e">
        <f t="shared" si="874"/>
        <v>#N/A</v>
      </c>
      <c r="AN1987" s="104" t="e">
        <f t="shared" ref="AN1987:AN2050" si="885">AF1987*$O1987</f>
        <v>#N/A</v>
      </c>
      <c r="AO1987" s="104" t="e">
        <f t="shared" ref="AO1987:AO2050" si="886">AG1987*$O1987</f>
        <v>#N/A</v>
      </c>
      <c r="AP1987" s="104" t="e">
        <f t="shared" ref="AP1987:AP2050" si="887">AH1987*$O1987</f>
        <v>#N/A</v>
      </c>
      <c r="AQ1987" s="104" t="e">
        <f t="shared" ref="AQ1987:AQ2050" si="888">SUM(AN1987:AP1987)</f>
        <v>#N/A</v>
      </c>
      <c r="AR1987" s="105" t="str">
        <f t="shared" si="880"/>
        <v/>
      </c>
      <c r="AS1987" s="105" t="str">
        <f t="shared" si="881"/>
        <v/>
      </c>
      <c r="AT1987" s="108" t="str">
        <f t="shared" si="882"/>
        <v/>
      </c>
      <c r="AU1987" s="108" t="str">
        <f t="shared" si="883"/>
        <v/>
      </c>
      <c r="AV1987" s="107" t="str">
        <f>IF(ISNUMBER(O1987),IF(VLOOKUP($A1987,Stand!C:J,8,FALSE)="Short",AT1987,AU1987),"")</f>
        <v/>
      </c>
      <c r="AW1987" s="109" t="str">
        <f t="shared" ref="AW1987:AW2050" si="889">IF(ISNUMBER(O1987),AV1987*O1987,"")</f>
        <v/>
      </c>
      <c r="AX1987" s="109" t="str">
        <f t="shared" ref="AX1987:AX2050" si="890">IF(ISNUMBER(O1987),AW1987*(1-$H1987/100),"")</f>
        <v/>
      </c>
      <c r="AY1987" s="112" t="str">
        <f>IF(ISNUMBER(O1987),IF(AND(VLOOKUP($D1987,Merchantability!$B:$C,2,0)="Yes",$E1987&gt;=VLOOKUP($D1987,Merchantability!$B:$D,3,0),$E1987&lt;=VLOOKUP($D1987,Merchantability!$B:$E,4,0)),(AV1987*O1987)*(1-$H1987/100),""),"")</f>
        <v/>
      </c>
      <c r="AZ1987" s="116"/>
      <c r="BA1987" s="116"/>
      <c r="BB1987" s="116"/>
      <c r="BE1987" s="62"/>
      <c r="BF1987" s="63"/>
    </row>
    <row r="1988" spans="1:58" ht="12.75" customHeight="1" x14ac:dyDescent="0.25">
      <c r="A1988" s="334"/>
      <c r="B1988" s="334"/>
      <c r="C1988" s="332"/>
      <c r="D1988" s="334"/>
      <c r="E1988" s="335"/>
      <c r="F1988" s="334"/>
      <c r="G1988" s="332"/>
      <c r="H1988" s="332"/>
      <c r="I1988" s="334"/>
      <c r="J1988" s="336"/>
      <c r="K1988" s="332"/>
      <c r="L1988" s="332"/>
      <c r="M1988" s="76"/>
      <c r="N1988" s="103" t="str">
        <f>IF(A1988="","",VLOOKUP(A1988,Stand!C:K,9,0))</f>
        <v/>
      </c>
      <c r="O1988" s="104" t="str">
        <f t="shared" si="875"/>
        <v/>
      </c>
      <c r="P1988" s="105" t="str">
        <f t="shared" si="876"/>
        <v/>
      </c>
      <c r="Q1988" s="105" t="str">
        <f t="shared" si="864"/>
        <v/>
      </c>
      <c r="R1988" s="103" t="str">
        <f t="shared" si="877"/>
        <v/>
      </c>
      <c r="S1988" s="103" t="str">
        <f t="shared" si="878"/>
        <v/>
      </c>
      <c r="T1988" s="106" t="str">
        <f t="shared" si="865"/>
        <v/>
      </c>
      <c r="U1988" s="106" t="str">
        <f t="shared" si="866"/>
        <v/>
      </c>
      <c r="V1988" s="106" t="str">
        <f t="shared" si="867"/>
        <v/>
      </c>
      <c r="W1988" s="105" t="str">
        <f t="shared" si="879"/>
        <v/>
      </c>
      <c r="X1988" s="104" t="str">
        <f t="shared" si="884"/>
        <v/>
      </c>
      <c r="Y1988" s="104" t="str">
        <f t="array" ref="Y1988">IFERROR(IF(ISNUMBER(O1988),IF(COUNT(IF(A1988=$A$2:$A$2427,IF(D1988=$D$2:$D$2427,IF($X$2:$X$2427&gt;0,1))))&gt;0,SUM(IF(A1988=$A$2:$A$2427,IF(D1988=$D$2:$D$2427,$X$2:$X$2427)))/COUNT(IF(A1988=$A$2:$A$2427,IF(D1988=$D$2:$D$2427,IF(ISNUMBER($X$2:$X$2427),1)))),0),""),0)</f>
        <v/>
      </c>
      <c r="Z1988" s="104" t="str">
        <f>IF(ISNUMBER(O1988),IF(I1988&gt;0,(10^(VLOOKUP(D1988,'Species Codes'!B:C,2,0)+VLOOKUP(D1988,'Species Codes'!B:D,3,0)*LOG(E1988)+VLOOKUP(D1988,'Species Codes'!B:E,4,0)*LOG(I1988))),0),"")</f>
        <v/>
      </c>
      <c r="AA1988" s="104" t="str">
        <f>IFERROR((VLOOKUP(D1988,'Species Codes'!B:G,6,0)*Z1988)/2000,"")</f>
        <v/>
      </c>
      <c r="AB1988" s="104" t="e">
        <f>IF(Z1988&gt;0,((IF(OR(D1988="DF",D1988="RA")=TRUE,EXP(VLOOKUP(D1988,'Species Codes'!B:I,8,0)+VLOOKUP(D1988,'Species Codes'!B:J,9,0)*(LN((E1988*2.54)))),IF(OR(D1988="PY",D1988="RC",D1988="WH",D1988="NF")=TRUE,VLOOKUP(D1988,'Species Codes'!B:I,8,0)+VLOOKUP(D1988,'Species Codes'!B:J,9,0)*((E1988*2.54)^2)*(I1988*0.3048),IF(OR(D1988="MD",D1988="BM",D1988="GA")=TRUE,((VLOOKUP(D1988,'Species Codes'!B:I,8,0)*(((((E1988*2.54)+VLOOKUP(D1988,'Species Codes'!B:J,9,0))/VLOOKUP(D1988,'Species Codes'!B:K,10,0))^VLOOKUP(D1988,'Species Codes'!B:L,11,0))*((I1988*0.3048)^VLOOKUP(D1988,'Species Codes'!B:M,12,0))))-(VLOOKUP(D1988,'Species Codes'!B:I,8,0)*((((E1988*2.54)^VLOOKUP(D1988,'Species Codes'!B:L,11,0))*((I1988*0.3048)^VLOOKUP(D1988,'Species Codes'!B:M,12,0))))))*35.3*VLOOKUP(D1988,'Species Codes'!B:G,6,0)/2.2046,VLOOKUP(D1988,'Species Codes'!B:I,8,0)+VLOOKUP(D1988,'Species Codes'!B:J,9,0)*(((E1988*2.54)/100)^2)*(I1988*0.3048)))))*0.0011023),0)</f>
        <v>#N/A</v>
      </c>
      <c r="AC1988" s="104" t="e">
        <f>IF(Z1988&gt;0,((IF(OR(D1988="RA",D1988="OA",D1988="OT",D1988="UN",D1988="PC"),EXP(VLOOKUP(D1988,'Species Codes'!B:O,14,0)+VLOOKUP(D1988,'Species Codes'!B:P,15,0)*LN((E1988*2.54)))-EXP(VLOOKUP(D1988,'Species Codes'!B:O,14,0)+VLOOKUP(D1988,'Species Codes'!B:P,15,0)*LN((E1988*2.54)))*(1/(VLOOKUP(D1988,'Species Codes'!B:Q,16,0)+VLOOKUP(D1988,'Species Codes'!B:R,17,0)*((E1988*2.54)^VLOOKUP(D1988,'Species Codes'!B:S,18,0)))),IF(OR(D1988="BM",D1988="MD",D1988="OA"),EXP(VLOOKUP(D1988,'Species Codes'!B:O,14,0)+VLOOKUP(D1988,'Species Codes'!B:P,15,0)*LN((E1988*2.54)))*(1-(1/(VLOOKUP(D1988,'Species Codes'!B:Q,16,0)+VLOOKUP(D1988,'Species Codes'!B:R,17,0)*((E1988*2.54)^VLOOKUP(D1988,'Species Codes'!B:S,18,0)))))/1000,IF(D1988="DF",EXP(VLOOKUP(D1988,'Species Codes'!B:O,14,0)+VLOOKUP(D1988,'Species Codes'!B:P,15,0)*LN((E1988*2.54))),VLOOKUP(D1988,'Species Codes'!B:O,14,0)+VLOOKUP(D1988,'Species Codes'!B:P,15,0)*(((E1988*2.54)/100)^2)*(I1988*0.3048)))))*0.0011023),0)</f>
        <v>#N/A</v>
      </c>
      <c r="AD1988" s="104" t="e">
        <f t="shared" si="868"/>
        <v>#N/A</v>
      </c>
      <c r="AE1988" s="104" t="e">
        <f t="shared" si="869"/>
        <v>#N/A</v>
      </c>
      <c r="AF1988" s="104" t="e">
        <f>IF(AND(VLOOKUP($D1988,Merchantability!$B:$C,2,0)="Yes",$E1988&gt;=VLOOKUP($D1988,Merchantability!$B:$D,3,0),$E1988&lt;=VLOOKUP($D1988,Merchantability!$B:$E,4,0)),AA1988,0)</f>
        <v>#N/A</v>
      </c>
      <c r="AG1988" s="104" t="e">
        <f>IF(AND(VLOOKUP($D1988,Merchantability!$B:$C,2,0)="Yes",$E1988&gt;=VLOOKUP($D1988,Merchantability!$B:$D,3,0),$E1988&lt;=VLOOKUP($D1988,Merchantability!$B:$E,4,0)),AB1988,0)</f>
        <v>#N/A</v>
      </c>
      <c r="AH1988" s="104" t="e">
        <f>IF(AND(VLOOKUP($D1988,Merchantability!$B:$C,2,0)="Yes",$E1988&gt;=VLOOKUP($D1988,Merchantability!$B:$D,3,0),$E1988&lt;=VLOOKUP($D1988,Merchantability!$B:$E,4,0)),AC1988,0)</f>
        <v>#N/A</v>
      </c>
      <c r="AI1988" s="104" t="e">
        <f t="shared" si="870"/>
        <v>#N/A</v>
      </c>
      <c r="AJ1988" s="104" t="e">
        <f t="shared" si="871"/>
        <v>#VALUE!</v>
      </c>
      <c r="AK1988" s="104" t="e">
        <f t="shared" si="872"/>
        <v>#N/A</v>
      </c>
      <c r="AL1988" s="104" t="e">
        <f t="shared" si="873"/>
        <v>#N/A</v>
      </c>
      <c r="AM1988" s="104" t="e">
        <f t="shared" si="874"/>
        <v>#N/A</v>
      </c>
      <c r="AN1988" s="104" t="e">
        <f t="shared" si="885"/>
        <v>#N/A</v>
      </c>
      <c r="AO1988" s="104" t="e">
        <f t="shared" si="886"/>
        <v>#N/A</v>
      </c>
      <c r="AP1988" s="104" t="e">
        <f t="shared" si="887"/>
        <v>#N/A</v>
      </c>
      <c r="AQ1988" s="104" t="e">
        <f t="shared" si="888"/>
        <v>#N/A</v>
      </c>
      <c r="AR1988" s="105" t="str">
        <f t="shared" si="880"/>
        <v/>
      </c>
      <c r="AS1988" s="105" t="str">
        <f t="shared" si="881"/>
        <v/>
      </c>
      <c r="AT1988" s="108" t="str">
        <f t="shared" si="882"/>
        <v/>
      </c>
      <c r="AU1988" s="108" t="str">
        <f t="shared" si="883"/>
        <v/>
      </c>
      <c r="AV1988" s="107" t="str">
        <f>IF(ISNUMBER(O1988),IF(VLOOKUP($A1988,Stand!C:J,8,FALSE)="Short",AT1988,AU1988),"")</f>
        <v/>
      </c>
      <c r="AW1988" s="109" t="str">
        <f t="shared" si="889"/>
        <v/>
      </c>
      <c r="AX1988" s="109" t="str">
        <f t="shared" si="890"/>
        <v/>
      </c>
      <c r="AY1988" s="112" t="str">
        <f>IF(ISNUMBER(O1988),IF(AND(VLOOKUP($D1988,Merchantability!$B:$C,2,0)="Yes",$E1988&gt;=VLOOKUP($D1988,Merchantability!$B:$D,3,0),$E1988&lt;=VLOOKUP($D1988,Merchantability!$B:$E,4,0)),(AV1988*O1988)*(1-$H1988/100),""),"")</f>
        <v/>
      </c>
      <c r="AZ1988" s="116"/>
      <c r="BA1988" s="116"/>
      <c r="BB1988" s="116"/>
      <c r="BE1988" s="62"/>
      <c r="BF1988" s="63"/>
    </row>
    <row r="1989" spans="1:58" ht="12.75" customHeight="1" x14ac:dyDescent="0.25">
      <c r="A1989" s="334"/>
      <c r="B1989" s="334"/>
      <c r="C1989" s="332"/>
      <c r="D1989" s="334"/>
      <c r="E1989" s="335"/>
      <c r="F1989" s="334"/>
      <c r="G1989" s="332"/>
      <c r="H1989" s="332"/>
      <c r="I1989" s="334"/>
      <c r="J1989" s="336"/>
      <c r="K1989" s="332"/>
      <c r="L1989" s="332"/>
      <c r="M1989" s="76"/>
      <c r="N1989" s="103" t="str">
        <f>IF(A1989="","",VLOOKUP(A1989,Stand!C:K,9,0))</f>
        <v/>
      </c>
      <c r="O1989" s="104" t="str">
        <f t="shared" si="875"/>
        <v/>
      </c>
      <c r="P1989" s="105" t="str">
        <f t="shared" si="876"/>
        <v/>
      </c>
      <c r="Q1989" s="105" t="str">
        <f t="shared" si="864"/>
        <v/>
      </c>
      <c r="R1989" s="103" t="str">
        <f t="shared" si="877"/>
        <v/>
      </c>
      <c r="S1989" s="103" t="str">
        <f t="shared" si="878"/>
        <v/>
      </c>
      <c r="T1989" s="106" t="str">
        <f t="shared" si="865"/>
        <v/>
      </c>
      <c r="U1989" s="106" t="str">
        <f t="shared" si="866"/>
        <v/>
      </c>
      <c r="V1989" s="106" t="str">
        <f t="shared" si="867"/>
        <v/>
      </c>
      <c r="W1989" s="105" t="str">
        <f t="shared" si="879"/>
        <v/>
      </c>
      <c r="X1989" s="104" t="str">
        <f t="shared" si="884"/>
        <v/>
      </c>
      <c r="Y1989" s="104" t="str">
        <f t="array" ref="Y1989">IFERROR(IF(ISNUMBER(O1989),IF(COUNT(IF(A1989=$A$2:$A$2427,IF(D1989=$D$2:$D$2427,IF($X$2:$X$2427&gt;0,1))))&gt;0,SUM(IF(A1989=$A$2:$A$2427,IF(D1989=$D$2:$D$2427,$X$2:$X$2427)))/COUNT(IF(A1989=$A$2:$A$2427,IF(D1989=$D$2:$D$2427,IF(ISNUMBER($X$2:$X$2427),1)))),0),""),0)</f>
        <v/>
      </c>
      <c r="Z1989" s="104" t="str">
        <f>IF(ISNUMBER(O1989),IF(I1989&gt;0,(10^(VLOOKUP(D1989,'Species Codes'!B:C,2,0)+VLOOKUP(D1989,'Species Codes'!B:D,3,0)*LOG(E1989)+VLOOKUP(D1989,'Species Codes'!B:E,4,0)*LOG(I1989))),0),"")</f>
        <v/>
      </c>
      <c r="AA1989" s="104" t="str">
        <f>IFERROR((VLOOKUP(D1989,'Species Codes'!B:G,6,0)*Z1989)/2000,"")</f>
        <v/>
      </c>
      <c r="AB1989" s="104" t="e">
        <f>IF(Z1989&gt;0,((IF(OR(D1989="DF",D1989="RA")=TRUE,EXP(VLOOKUP(D1989,'Species Codes'!B:I,8,0)+VLOOKUP(D1989,'Species Codes'!B:J,9,0)*(LN((E1989*2.54)))),IF(OR(D1989="PY",D1989="RC",D1989="WH",D1989="NF")=TRUE,VLOOKUP(D1989,'Species Codes'!B:I,8,0)+VLOOKUP(D1989,'Species Codes'!B:J,9,0)*((E1989*2.54)^2)*(I1989*0.3048),IF(OR(D1989="MD",D1989="BM",D1989="GA")=TRUE,((VLOOKUP(D1989,'Species Codes'!B:I,8,0)*(((((E1989*2.54)+VLOOKUP(D1989,'Species Codes'!B:J,9,0))/VLOOKUP(D1989,'Species Codes'!B:K,10,0))^VLOOKUP(D1989,'Species Codes'!B:L,11,0))*((I1989*0.3048)^VLOOKUP(D1989,'Species Codes'!B:M,12,0))))-(VLOOKUP(D1989,'Species Codes'!B:I,8,0)*((((E1989*2.54)^VLOOKUP(D1989,'Species Codes'!B:L,11,0))*((I1989*0.3048)^VLOOKUP(D1989,'Species Codes'!B:M,12,0))))))*35.3*VLOOKUP(D1989,'Species Codes'!B:G,6,0)/2.2046,VLOOKUP(D1989,'Species Codes'!B:I,8,0)+VLOOKUP(D1989,'Species Codes'!B:J,9,0)*(((E1989*2.54)/100)^2)*(I1989*0.3048)))))*0.0011023),0)</f>
        <v>#N/A</v>
      </c>
      <c r="AC1989" s="104" t="e">
        <f>IF(Z1989&gt;0,((IF(OR(D1989="RA",D1989="OA",D1989="OT",D1989="UN",D1989="PC"),EXP(VLOOKUP(D1989,'Species Codes'!B:O,14,0)+VLOOKUP(D1989,'Species Codes'!B:P,15,0)*LN((E1989*2.54)))-EXP(VLOOKUP(D1989,'Species Codes'!B:O,14,0)+VLOOKUP(D1989,'Species Codes'!B:P,15,0)*LN((E1989*2.54)))*(1/(VLOOKUP(D1989,'Species Codes'!B:Q,16,0)+VLOOKUP(D1989,'Species Codes'!B:R,17,0)*((E1989*2.54)^VLOOKUP(D1989,'Species Codes'!B:S,18,0)))),IF(OR(D1989="BM",D1989="MD",D1989="OA"),EXP(VLOOKUP(D1989,'Species Codes'!B:O,14,0)+VLOOKUP(D1989,'Species Codes'!B:P,15,0)*LN((E1989*2.54)))*(1-(1/(VLOOKUP(D1989,'Species Codes'!B:Q,16,0)+VLOOKUP(D1989,'Species Codes'!B:R,17,0)*((E1989*2.54)^VLOOKUP(D1989,'Species Codes'!B:S,18,0)))))/1000,IF(D1989="DF",EXP(VLOOKUP(D1989,'Species Codes'!B:O,14,0)+VLOOKUP(D1989,'Species Codes'!B:P,15,0)*LN((E1989*2.54))),VLOOKUP(D1989,'Species Codes'!B:O,14,0)+VLOOKUP(D1989,'Species Codes'!B:P,15,0)*(((E1989*2.54)/100)^2)*(I1989*0.3048)))))*0.0011023),0)</f>
        <v>#N/A</v>
      </c>
      <c r="AD1989" s="104" t="e">
        <f t="shared" si="868"/>
        <v>#N/A</v>
      </c>
      <c r="AE1989" s="104" t="e">
        <f t="shared" si="869"/>
        <v>#N/A</v>
      </c>
      <c r="AF1989" s="104" t="e">
        <f>IF(AND(VLOOKUP($D1989,Merchantability!$B:$C,2,0)="Yes",$E1989&gt;=VLOOKUP($D1989,Merchantability!$B:$D,3,0),$E1989&lt;=VLOOKUP($D1989,Merchantability!$B:$E,4,0)),AA1989,0)</f>
        <v>#N/A</v>
      </c>
      <c r="AG1989" s="104" t="e">
        <f>IF(AND(VLOOKUP($D1989,Merchantability!$B:$C,2,0)="Yes",$E1989&gt;=VLOOKUP($D1989,Merchantability!$B:$D,3,0),$E1989&lt;=VLOOKUP($D1989,Merchantability!$B:$E,4,0)),AB1989,0)</f>
        <v>#N/A</v>
      </c>
      <c r="AH1989" s="104" t="e">
        <f>IF(AND(VLOOKUP($D1989,Merchantability!$B:$C,2,0)="Yes",$E1989&gt;=VLOOKUP($D1989,Merchantability!$B:$D,3,0),$E1989&lt;=VLOOKUP($D1989,Merchantability!$B:$E,4,0)),AC1989,0)</f>
        <v>#N/A</v>
      </c>
      <c r="AI1989" s="104" t="e">
        <f t="shared" si="870"/>
        <v>#N/A</v>
      </c>
      <c r="AJ1989" s="104" t="e">
        <f t="shared" si="871"/>
        <v>#VALUE!</v>
      </c>
      <c r="AK1989" s="104" t="e">
        <f t="shared" si="872"/>
        <v>#N/A</v>
      </c>
      <c r="AL1989" s="104" t="e">
        <f t="shared" si="873"/>
        <v>#N/A</v>
      </c>
      <c r="AM1989" s="104" t="e">
        <f t="shared" si="874"/>
        <v>#N/A</v>
      </c>
      <c r="AN1989" s="104" t="e">
        <f t="shared" si="885"/>
        <v>#N/A</v>
      </c>
      <c r="AO1989" s="104" t="e">
        <f t="shared" si="886"/>
        <v>#N/A</v>
      </c>
      <c r="AP1989" s="104" t="e">
        <f t="shared" si="887"/>
        <v>#N/A</v>
      </c>
      <c r="AQ1989" s="104" t="e">
        <f t="shared" si="888"/>
        <v>#N/A</v>
      </c>
      <c r="AR1989" s="105" t="str">
        <f t="shared" si="880"/>
        <v/>
      </c>
      <c r="AS1989" s="105" t="str">
        <f t="shared" si="881"/>
        <v/>
      </c>
      <c r="AT1989" s="108" t="str">
        <f t="shared" si="882"/>
        <v/>
      </c>
      <c r="AU1989" s="108" t="str">
        <f t="shared" si="883"/>
        <v/>
      </c>
      <c r="AV1989" s="107" t="str">
        <f>IF(ISNUMBER(O1989),IF(VLOOKUP($A1989,Stand!C:J,8,FALSE)="Short",AT1989,AU1989),"")</f>
        <v/>
      </c>
      <c r="AW1989" s="109" t="str">
        <f t="shared" si="889"/>
        <v/>
      </c>
      <c r="AX1989" s="109" t="str">
        <f t="shared" si="890"/>
        <v/>
      </c>
      <c r="AY1989" s="112" t="str">
        <f>IF(ISNUMBER(O1989),IF(AND(VLOOKUP($D1989,Merchantability!$B:$C,2,0)="Yes",$E1989&gt;=VLOOKUP($D1989,Merchantability!$B:$D,3,0),$E1989&lt;=VLOOKUP($D1989,Merchantability!$B:$E,4,0)),(AV1989*O1989)*(1-$H1989/100),""),"")</f>
        <v/>
      </c>
      <c r="AZ1989" s="116"/>
      <c r="BA1989" s="116"/>
      <c r="BB1989" s="116"/>
      <c r="BE1989" s="62"/>
      <c r="BF1989" s="63"/>
    </row>
    <row r="1990" spans="1:58" ht="12.75" customHeight="1" x14ac:dyDescent="0.25">
      <c r="A1990" s="334"/>
      <c r="B1990" s="334"/>
      <c r="C1990" s="332"/>
      <c r="D1990" s="334"/>
      <c r="E1990" s="335"/>
      <c r="F1990" s="334"/>
      <c r="G1990" s="332"/>
      <c r="H1990" s="332"/>
      <c r="I1990" s="334"/>
      <c r="J1990" s="336"/>
      <c r="K1990" s="332"/>
      <c r="L1990" s="332"/>
      <c r="M1990" s="76"/>
      <c r="N1990" s="103" t="str">
        <f>IF(A1990="","",VLOOKUP(A1990,Stand!C:K,9,0))</f>
        <v/>
      </c>
      <c r="O1990" s="104" t="str">
        <f t="shared" si="875"/>
        <v/>
      </c>
      <c r="P1990" s="105" t="str">
        <f t="shared" si="876"/>
        <v/>
      </c>
      <c r="Q1990" s="105" t="str">
        <f t="shared" si="864"/>
        <v/>
      </c>
      <c r="R1990" s="103" t="str">
        <f t="shared" si="877"/>
        <v/>
      </c>
      <c r="S1990" s="103" t="str">
        <f t="shared" si="878"/>
        <v/>
      </c>
      <c r="T1990" s="106" t="str">
        <f t="shared" si="865"/>
        <v/>
      </c>
      <c r="U1990" s="106" t="str">
        <f t="shared" si="866"/>
        <v/>
      </c>
      <c r="V1990" s="106" t="str">
        <f t="shared" si="867"/>
        <v/>
      </c>
      <c r="W1990" s="105" t="str">
        <f t="shared" si="879"/>
        <v/>
      </c>
      <c r="X1990" s="104" t="str">
        <f t="shared" si="884"/>
        <v/>
      </c>
      <c r="Y1990" s="104" t="str">
        <f t="array" ref="Y1990">IFERROR(IF(ISNUMBER(O1990),IF(COUNT(IF(A1990=$A$2:$A$2427,IF(D1990=$D$2:$D$2427,IF($X$2:$X$2427&gt;0,1))))&gt;0,SUM(IF(A1990=$A$2:$A$2427,IF(D1990=$D$2:$D$2427,$X$2:$X$2427)))/COUNT(IF(A1990=$A$2:$A$2427,IF(D1990=$D$2:$D$2427,IF(ISNUMBER($X$2:$X$2427),1)))),0),""),0)</f>
        <v/>
      </c>
      <c r="Z1990" s="104" t="str">
        <f>IF(ISNUMBER(O1990),IF(I1990&gt;0,(10^(VLOOKUP(D1990,'Species Codes'!B:C,2,0)+VLOOKUP(D1990,'Species Codes'!B:D,3,0)*LOG(E1990)+VLOOKUP(D1990,'Species Codes'!B:E,4,0)*LOG(I1990))),0),"")</f>
        <v/>
      </c>
      <c r="AA1990" s="104" t="str">
        <f>IFERROR((VLOOKUP(D1990,'Species Codes'!B:G,6,0)*Z1990)/2000,"")</f>
        <v/>
      </c>
      <c r="AB1990" s="104" t="e">
        <f>IF(Z1990&gt;0,((IF(OR(D1990="DF",D1990="RA")=TRUE,EXP(VLOOKUP(D1990,'Species Codes'!B:I,8,0)+VLOOKUP(D1990,'Species Codes'!B:J,9,0)*(LN((E1990*2.54)))),IF(OR(D1990="PY",D1990="RC",D1990="WH",D1990="NF")=TRUE,VLOOKUP(D1990,'Species Codes'!B:I,8,0)+VLOOKUP(D1990,'Species Codes'!B:J,9,0)*((E1990*2.54)^2)*(I1990*0.3048),IF(OR(D1990="MD",D1990="BM",D1990="GA")=TRUE,((VLOOKUP(D1990,'Species Codes'!B:I,8,0)*(((((E1990*2.54)+VLOOKUP(D1990,'Species Codes'!B:J,9,0))/VLOOKUP(D1990,'Species Codes'!B:K,10,0))^VLOOKUP(D1990,'Species Codes'!B:L,11,0))*((I1990*0.3048)^VLOOKUP(D1990,'Species Codes'!B:M,12,0))))-(VLOOKUP(D1990,'Species Codes'!B:I,8,0)*((((E1990*2.54)^VLOOKUP(D1990,'Species Codes'!B:L,11,0))*((I1990*0.3048)^VLOOKUP(D1990,'Species Codes'!B:M,12,0))))))*35.3*VLOOKUP(D1990,'Species Codes'!B:G,6,0)/2.2046,VLOOKUP(D1990,'Species Codes'!B:I,8,0)+VLOOKUP(D1990,'Species Codes'!B:J,9,0)*(((E1990*2.54)/100)^2)*(I1990*0.3048)))))*0.0011023),0)</f>
        <v>#N/A</v>
      </c>
      <c r="AC1990" s="104" t="e">
        <f>IF(Z1990&gt;0,((IF(OR(D1990="RA",D1990="OA",D1990="OT",D1990="UN",D1990="PC"),EXP(VLOOKUP(D1990,'Species Codes'!B:O,14,0)+VLOOKUP(D1990,'Species Codes'!B:P,15,0)*LN((E1990*2.54)))-EXP(VLOOKUP(D1990,'Species Codes'!B:O,14,0)+VLOOKUP(D1990,'Species Codes'!B:P,15,0)*LN((E1990*2.54)))*(1/(VLOOKUP(D1990,'Species Codes'!B:Q,16,0)+VLOOKUP(D1990,'Species Codes'!B:R,17,0)*((E1990*2.54)^VLOOKUP(D1990,'Species Codes'!B:S,18,0)))),IF(OR(D1990="BM",D1990="MD",D1990="OA"),EXP(VLOOKUP(D1990,'Species Codes'!B:O,14,0)+VLOOKUP(D1990,'Species Codes'!B:P,15,0)*LN((E1990*2.54)))*(1-(1/(VLOOKUP(D1990,'Species Codes'!B:Q,16,0)+VLOOKUP(D1990,'Species Codes'!B:R,17,0)*((E1990*2.54)^VLOOKUP(D1990,'Species Codes'!B:S,18,0)))))/1000,IF(D1990="DF",EXP(VLOOKUP(D1990,'Species Codes'!B:O,14,0)+VLOOKUP(D1990,'Species Codes'!B:P,15,0)*LN((E1990*2.54))),VLOOKUP(D1990,'Species Codes'!B:O,14,0)+VLOOKUP(D1990,'Species Codes'!B:P,15,0)*(((E1990*2.54)/100)^2)*(I1990*0.3048)))))*0.0011023),0)</f>
        <v>#N/A</v>
      </c>
      <c r="AD1990" s="104" t="e">
        <f t="shared" si="868"/>
        <v>#N/A</v>
      </c>
      <c r="AE1990" s="104" t="e">
        <f t="shared" si="869"/>
        <v>#N/A</v>
      </c>
      <c r="AF1990" s="104" t="e">
        <f>IF(AND(VLOOKUP($D1990,Merchantability!$B:$C,2,0)="Yes",$E1990&gt;=VLOOKUP($D1990,Merchantability!$B:$D,3,0),$E1990&lt;=VLOOKUP($D1990,Merchantability!$B:$E,4,0)),AA1990,0)</f>
        <v>#N/A</v>
      </c>
      <c r="AG1990" s="104" t="e">
        <f>IF(AND(VLOOKUP($D1990,Merchantability!$B:$C,2,0)="Yes",$E1990&gt;=VLOOKUP($D1990,Merchantability!$B:$D,3,0),$E1990&lt;=VLOOKUP($D1990,Merchantability!$B:$E,4,0)),AB1990,0)</f>
        <v>#N/A</v>
      </c>
      <c r="AH1990" s="104" t="e">
        <f>IF(AND(VLOOKUP($D1990,Merchantability!$B:$C,2,0)="Yes",$E1990&gt;=VLOOKUP($D1990,Merchantability!$B:$D,3,0),$E1990&lt;=VLOOKUP($D1990,Merchantability!$B:$E,4,0)),AC1990,0)</f>
        <v>#N/A</v>
      </c>
      <c r="AI1990" s="104" t="e">
        <f t="shared" si="870"/>
        <v>#N/A</v>
      </c>
      <c r="AJ1990" s="104" t="e">
        <f t="shared" si="871"/>
        <v>#VALUE!</v>
      </c>
      <c r="AK1990" s="104" t="e">
        <f t="shared" si="872"/>
        <v>#N/A</v>
      </c>
      <c r="AL1990" s="104" t="e">
        <f t="shared" si="873"/>
        <v>#N/A</v>
      </c>
      <c r="AM1990" s="104" t="e">
        <f t="shared" si="874"/>
        <v>#N/A</v>
      </c>
      <c r="AN1990" s="104" t="e">
        <f t="shared" si="885"/>
        <v>#N/A</v>
      </c>
      <c r="AO1990" s="104" t="e">
        <f t="shared" si="886"/>
        <v>#N/A</v>
      </c>
      <c r="AP1990" s="104" t="e">
        <f t="shared" si="887"/>
        <v>#N/A</v>
      </c>
      <c r="AQ1990" s="104" t="e">
        <f t="shared" si="888"/>
        <v>#N/A</v>
      </c>
      <c r="AR1990" s="105" t="str">
        <f t="shared" si="880"/>
        <v/>
      </c>
      <c r="AS1990" s="105" t="str">
        <f t="shared" si="881"/>
        <v/>
      </c>
      <c r="AT1990" s="108" t="str">
        <f t="shared" si="882"/>
        <v/>
      </c>
      <c r="AU1990" s="108" t="str">
        <f t="shared" si="883"/>
        <v/>
      </c>
      <c r="AV1990" s="107" t="str">
        <f>IF(ISNUMBER(O1990),IF(VLOOKUP($A1990,Stand!C:J,8,FALSE)="Short",AT1990,AU1990),"")</f>
        <v/>
      </c>
      <c r="AW1990" s="109" t="str">
        <f t="shared" si="889"/>
        <v/>
      </c>
      <c r="AX1990" s="109" t="str">
        <f t="shared" si="890"/>
        <v/>
      </c>
      <c r="AY1990" s="112" t="str">
        <f>IF(ISNUMBER(O1990),IF(AND(VLOOKUP($D1990,Merchantability!$B:$C,2,0)="Yes",$E1990&gt;=VLOOKUP($D1990,Merchantability!$B:$D,3,0),$E1990&lt;=VLOOKUP($D1990,Merchantability!$B:$E,4,0)),(AV1990*O1990)*(1-$H1990/100),""),"")</f>
        <v/>
      </c>
      <c r="AZ1990" s="116"/>
      <c r="BA1990" s="116"/>
      <c r="BB1990" s="116"/>
      <c r="BE1990" s="62"/>
      <c r="BF1990" s="63"/>
    </row>
    <row r="1991" spans="1:58" ht="12.75" customHeight="1" x14ac:dyDescent="0.25">
      <c r="A1991" s="334"/>
      <c r="B1991" s="334"/>
      <c r="C1991" s="332"/>
      <c r="D1991" s="334"/>
      <c r="E1991" s="335"/>
      <c r="F1991" s="334"/>
      <c r="G1991" s="332"/>
      <c r="H1991" s="332"/>
      <c r="I1991" s="334"/>
      <c r="J1991" s="336"/>
      <c r="K1991" s="332"/>
      <c r="L1991" s="332"/>
      <c r="M1991" s="76"/>
      <c r="N1991" s="103" t="str">
        <f>IF(A1991="","",VLOOKUP(A1991,Stand!C:K,9,0))</f>
        <v/>
      </c>
      <c r="O1991" s="104" t="str">
        <f t="shared" si="875"/>
        <v/>
      </c>
      <c r="P1991" s="105" t="str">
        <f t="shared" si="876"/>
        <v/>
      </c>
      <c r="Q1991" s="105" t="str">
        <f t="shared" si="864"/>
        <v/>
      </c>
      <c r="R1991" s="103" t="str">
        <f t="shared" si="877"/>
        <v/>
      </c>
      <c r="S1991" s="103" t="str">
        <f t="shared" si="878"/>
        <v/>
      </c>
      <c r="T1991" s="106" t="str">
        <f t="shared" si="865"/>
        <v/>
      </c>
      <c r="U1991" s="106" t="str">
        <f t="shared" si="866"/>
        <v/>
      </c>
      <c r="V1991" s="106" t="str">
        <f t="shared" si="867"/>
        <v/>
      </c>
      <c r="W1991" s="105" t="str">
        <f t="shared" si="879"/>
        <v/>
      </c>
      <c r="X1991" s="104" t="str">
        <f t="shared" si="884"/>
        <v/>
      </c>
      <c r="Y1991" s="104" t="str">
        <f t="array" ref="Y1991">IFERROR(IF(ISNUMBER(O1991),IF(COUNT(IF(A1991=$A$2:$A$2427,IF(D1991=$D$2:$D$2427,IF($X$2:$X$2427&gt;0,1))))&gt;0,SUM(IF(A1991=$A$2:$A$2427,IF(D1991=$D$2:$D$2427,$X$2:$X$2427)))/COUNT(IF(A1991=$A$2:$A$2427,IF(D1991=$D$2:$D$2427,IF(ISNUMBER($X$2:$X$2427),1)))),0),""),0)</f>
        <v/>
      </c>
      <c r="Z1991" s="104" t="str">
        <f>IF(ISNUMBER(O1991),IF(I1991&gt;0,(10^(VLOOKUP(D1991,'Species Codes'!B:C,2,0)+VLOOKUP(D1991,'Species Codes'!B:D,3,0)*LOG(E1991)+VLOOKUP(D1991,'Species Codes'!B:E,4,0)*LOG(I1991))),0),"")</f>
        <v/>
      </c>
      <c r="AA1991" s="104" t="str">
        <f>IFERROR((VLOOKUP(D1991,'Species Codes'!B:G,6,0)*Z1991)/2000,"")</f>
        <v/>
      </c>
      <c r="AB1991" s="104" t="e">
        <f>IF(Z1991&gt;0,((IF(OR(D1991="DF",D1991="RA")=TRUE,EXP(VLOOKUP(D1991,'Species Codes'!B:I,8,0)+VLOOKUP(D1991,'Species Codes'!B:J,9,0)*(LN((E1991*2.54)))),IF(OR(D1991="PY",D1991="RC",D1991="WH",D1991="NF")=TRUE,VLOOKUP(D1991,'Species Codes'!B:I,8,0)+VLOOKUP(D1991,'Species Codes'!B:J,9,0)*((E1991*2.54)^2)*(I1991*0.3048),IF(OR(D1991="MD",D1991="BM",D1991="GA")=TRUE,((VLOOKUP(D1991,'Species Codes'!B:I,8,0)*(((((E1991*2.54)+VLOOKUP(D1991,'Species Codes'!B:J,9,0))/VLOOKUP(D1991,'Species Codes'!B:K,10,0))^VLOOKUP(D1991,'Species Codes'!B:L,11,0))*((I1991*0.3048)^VLOOKUP(D1991,'Species Codes'!B:M,12,0))))-(VLOOKUP(D1991,'Species Codes'!B:I,8,0)*((((E1991*2.54)^VLOOKUP(D1991,'Species Codes'!B:L,11,0))*((I1991*0.3048)^VLOOKUP(D1991,'Species Codes'!B:M,12,0))))))*35.3*VLOOKUP(D1991,'Species Codes'!B:G,6,0)/2.2046,VLOOKUP(D1991,'Species Codes'!B:I,8,0)+VLOOKUP(D1991,'Species Codes'!B:J,9,0)*(((E1991*2.54)/100)^2)*(I1991*0.3048)))))*0.0011023),0)</f>
        <v>#N/A</v>
      </c>
      <c r="AC1991" s="104" t="e">
        <f>IF(Z1991&gt;0,((IF(OR(D1991="RA",D1991="OA",D1991="OT",D1991="UN",D1991="PC"),EXP(VLOOKUP(D1991,'Species Codes'!B:O,14,0)+VLOOKUP(D1991,'Species Codes'!B:P,15,0)*LN((E1991*2.54)))-EXP(VLOOKUP(D1991,'Species Codes'!B:O,14,0)+VLOOKUP(D1991,'Species Codes'!B:P,15,0)*LN((E1991*2.54)))*(1/(VLOOKUP(D1991,'Species Codes'!B:Q,16,0)+VLOOKUP(D1991,'Species Codes'!B:R,17,0)*((E1991*2.54)^VLOOKUP(D1991,'Species Codes'!B:S,18,0)))),IF(OR(D1991="BM",D1991="MD",D1991="OA"),EXP(VLOOKUP(D1991,'Species Codes'!B:O,14,0)+VLOOKUP(D1991,'Species Codes'!B:P,15,0)*LN((E1991*2.54)))*(1-(1/(VLOOKUP(D1991,'Species Codes'!B:Q,16,0)+VLOOKUP(D1991,'Species Codes'!B:R,17,0)*((E1991*2.54)^VLOOKUP(D1991,'Species Codes'!B:S,18,0)))))/1000,IF(D1991="DF",EXP(VLOOKUP(D1991,'Species Codes'!B:O,14,0)+VLOOKUP(D1991,'Species Codes'!B:P,15,0)*LN((E1991*2.54))),VLOOKUP(D1991,'Species Codes'!B:O,14,0)+VLOOKUP(D1991,'Species Codes'!B:P,15,0)*(((E1991*2.54)/100)^2)*(I1991*0.3048)))))*0.0011023),0)</f>
        <v>#N/A</v>
      </c>
      <c r="AD1991" s="104" t="e">
        <f t="shared" si="868"/>
        <v>#N/A</v>
      </c>
      <c r="AE1991" s="104" t="e">
        <f t="shared" si="869"/>
        <v>#N/A</v>
      </c>
      <c r="AF1991" s="104" t="e">
        <f>IF(AND(VLOOKUP($D1991,Merchantability!$B:$C,2,0)="Yes",$E1991&gt;=VLOOKUP($D1991,Merchantability!$B:$D,3,0),$E1991&lt;=VLOOKUP($D1991,Merchantability!$B:$E,4,0)),AA1991,0)</f>
        <v>#N/A</v>
      </c>
      <c r="AG1991" s="104" t="e">
        <f>IF(AND(VLOOKUP($D1991,Merchantability!$B:$C,2,0)="Yes",$E1991&gt;=VLOOKUP($D1991,Merchantability!$B:$D,3,0),$E1991&lt;=VLOOKUP($D1991,Merchantability!$B:$E,4,0)),AB1991,0)</f>
        <v>#N/A</v>
      </c>
      <c r="AH1991" s="104" t="e">
        <f>IF(AND(VLOOKUP($D1991,Merchantability!$B:$C,2,0)="Yes",$E1991&gt;=VLOOKUP($D1991,Merchantability!$B:$D,3,0),$E1991&lt;=VLOOKUP($D1991,Merchantability!$B:$E,4,0)),AC1991,0)</f>
        <v>#N/A</v>
      </c>
      <c r="AI1991" s="104" t="e">
        <f t="shared" si="870"/>
        <v>#N/A</v>
      </c>
      <c r="AJ1991" s="104" t="e">
        <f t="shared" si="871"/>
        <v>#VALUE!</v>
      </c>
      <c r="AK1991" s="104" t="e">
        <f t="shared" si="872"/>
        <v>#N/A</v>
      </c>
      <c r="AL1991" s="104" t="e">
        <f t="shared" si="873"/>
        <v>#N/A</v>
      </c>
      <c r="AM1991" s="104" t="e">
        <f t="shared" si="874"/>
        <v>#N/A</v>
      </c>
      <c r="AN1991" s="104" t="e">
        <f t="shared" si="885"/>
        <v>#N/A</v>
      </c>
      <c r="AO1991" s="104" t="e">
        <f t="shared" si="886"/>
        <v>#N/A</v>
      </c>
      <c r="AP1991" s="104" t="e">
        <f t="shared" si="887"/>
        <v>#N/A</v>
      </c>
      <c r="AQ1991" s="104" t="e">
        <f t="shared" si="888"/>
        <v>#N/A</v>
      </c>
      <c r="AR1991" s="105" t="str">
        <f t="shared" si="880"/>
        <v/>
      </c>
      <c r="AS1991" s="105" t="str">
        <f t="shared" si="881"/>
        <v/>
      </c>
      <c r="AT1991" s="108" t="str">
        <f t="shared" si="882"/>
        <v/>
      </c>
      <c r="AU1991" s="108" t="str">
        <f t="shared" si="883"/>
        <v/>
      </c>
      <c r="AV1991" s="107" t="str">
        <f>IF(ISNUMBER(O1991),IF(VLOOKUP($A1991,Stand!C:J,8,FALSE)="Short",AT1991,AU1991),"")</f>
        <v/>
      </c>
      <c r="AW1991" s="109" t="str">
        <f t="shared" si="889"/>
        <v/>
      </c>
      <c r="AX1991" s="109" t="str">
        <f t="shared" si="890"/>
        <v/>
      </c>
      <c r="AY1991" s="112" t="str">
        <f>IF(ISNUMBER(O1991),IF(AND(VLOOKUP($D1991,Merchantability!$B:$C,2,0)="Yes",$E1991&gt;=VLOOKUP($D1991,Merchantability!$B:$D,3,0),$E1991&lt;=VLOOKUP($D1991,Merchantability!$B:$E,4,0)),(AV1991*O1991)*(1-$H1991/100),""),"")</f>
        <v/>
      </c>
      <c r="AZ1991" s="116"/>
      <c r="BA1991" s="116"/>
      <c r="BB1991" s="116"/>
      <c r="BE1991" s="62"/>
      <c r="BF1991" s="63"/>
    </row>
    <row r="1992" spans="1:58" ht="12.75" customHeight="1" x14ac:dyDescent="0.25">
      <c r="A1992" s="334"/>
      <c r="B1992" s="334"/>
      <c r="C1992" s="332"/>
      <c r="D1992" s="334"/>
      <c r="E1992" s="335"/>
      <c r="F1992" s="334"/>
      <c r="G1992" s="332"/>
      <c r="H1992" s="332"/>
      <c r="I1992" s="334"/>
      <c r="J1992" s="336"/>
      <c r="K1992" s="332"/>
      <c r="L1992" s="332"/>
      <c r="M1992" s="76"/>
      <c r="N1992" s="103" t="str">
        <f>IF(A1992="","",VLOOKUP(A1992,Stand!C:K,9,0))</f>
        <v/>
      </c>
      <c r="O1992" s="104" t="str">
        <f t="shared" si="875"/>
        <v/>
      </c>
      <c r="P1992" s="105" t="str">
        <f t="shared" si="876"/>
        <v/>
      </c>
      <c r="Q1992" s="105" t="str">
        <f t="shared" si="864"/>
        <v/>
      </c>
      <c r="R1992" s="103" t="str">
        <f t="shared" si="877"/>
        <v/>
      </c>
      <c r="S1992" s="103" t="str">
        <f t="shared" si="878"/>
        <v/>
      </c>
      <c r="T1992" s="106" t="str">
        <f t="shared" si="865"/>
        <v/>
      </c>
      <c r="U1992" s="106" t="str">
        <f t="shared" si="866"/>
        <v/>
      </c>
      <c r="V1992" s="106" t="str">
        <f t="shared" si="867"/>
        <v/>
      </c>
      <c r="W1992" s="105" t="str">
        <f t="shared" si="879"/>
        <v/>
      </c>
      <c r="X1992" s="104" t="str">
        <f t="shared" si="884"/>
        <v/>
      </c>
      <c r="Y1992" s="104" t="str">
        <f t="array" ref="Y1992">IFERROR(IF(ISNUMBER(O1992),IF(COUNT(IF(A1992=$A$2:$A$2427,IF(D1992=$D$2:$D$2427,IF($X$2:$X$2427&gt;0,1))))&gt;0,SUM(IF(A1992=$A$2:$A$2427,IF(D1992=$D$2:$D$2427,$X$2:$X$2427)))/COUNT(IF(A1992=$A$2:$A$2427,IF(D1992=$D$2:$D$2427,IF(ISNUMBER($X$2:$X$2427),1)))),0),""),0)</f>
        <v/>
      </c>
      <c r="Z1992" s="104" t="str">
        <f>IF(ISNUMBER(O1992),IF(I1992&gt;0,(10^(VLOOKUP(D1992,'Species Codes'!B:C,2,0)+VLOOKUP(D1992,'Species Codes'!B:D,3,0)*LOG(E1992)+VLOOKUP(D1992,'Species Codes'!B:E,4,0)*LOG(I1992))),0),"")</f>
        <v/>
      </c>
      <c r="AA1992" s="104" t="str">
        <f>IFERROR((VLOOKUP(D1992,'Species Codes'!B:G,6,0)*Z1992)/2000,"")</f>
        <v/>
      </c>
      <c r="AB1992" s="104" t="e">
        <f>IF(Z1992&gt;0,((IF(OR(D1992="DF",D1992="RA")=TRUE,EXP(VLOOKUP(D1992,'Species Codes'!B:I,8,0)+VLOOKUP(D1992,'Species Codes'!B:J,9,0)*(LN((E1992*2.54)))),IF(OR(D1992="PY",D1992="RC",D1992="WH",D1992="NF")=TRUE,VLOOKUP(D1992,'Species Codes'!B:I,8,0)+VLOOKUP(D1992,'Species Codes'!B:J,9,0)*((E1992*2.54)^2)*(I1992*0.3048),IF(OR(D1992="MD",D1992="BM",D1992="GA")=TRUE,((VLOOKUP(D1992,'Species Codes'!B:I,8,0)*(((((E1992*2.54)+VLOOKUP(D1992,'Species Codes'!B:J,9,0))/VLOOKUP(D1992,'Species Codes'!B:K,10,0))^VLOOKUP(D1992,'Species Codes'!B:L,11,0))*((I1992*0.3048)^VLOOKUP(D1992,'Species Codes'!B:M,12,0))))-(VLOOKUP(D1992,'Species Codes'!B:I,8,0)*((((E1992*2.54)^VLOOKUP(D1992,'Species Codes'!B:L,11,0))*((I1992*0.3048)^VLOOKUP(D1992,'Species Codes'!B:M,12,0))))))*35.3*VLOOKUP(D1992,'Species Codes'!B:G,6,0)/2.2046,VLOOKUP(D1992,'Species Codes'!B:I,8,0)+VLOOKUP(D1992,'Species Codes'!B:J,9,0)*(((E1992*2.54)/100)^2)*(I1992*0.3048)))))*0.0011023),0)</f>
        <v>#N/A</v>
      </c>
      <c r="AC1992" s="104" t="e">
        <f>IF(Z1992&gt;0,((IF(OR(D1992="RA",D1992="OA",D1992="OT",D1992="UN",D1992="PC"),EXP(VLOOKUP(D1992,'Species Codes'!B:O,14,0)+VLOOKUP(D1992,'Species Codes'!B:P,15,0)*LN((E1992*2.54)))-EXP(VLOOKUP(D1992,'Species Codes'!B:O,14,0)+VLOOKUP(D1992,'Species Codes'!B:P,15,0)*LN((E1992*2.54)))*(1/(VLOOKUP(D1992,'Species Codes'!B:Q,16,0)+VLOOKUP(D1992,'Species Codes'!B:R,17,0)*((E1992*2.54)^VLOOKUP(D1992,'Species Codes'!B:S,18,0)))),IF(OR(D1992="BM",D1992="MD",D1992="OA"),EXP(VLOOKUP(D1992,'Species Codes'!B:O,14,0)+VLOOKUP(D1992,'Species Codes'!B:P,15,0)*LN((E1992*2.54)))*(1-(1/(VLOOKUP(D1992,'Species Codes'!B:Q,16,0)+VLOOKUP(D1992,'Species Codes'!B:R,17,0)*((E1992*2.54)^VLOOKUP(D1992,'Species Codes'!B:S,18,0)))))/1000,IF(D1992="DF",EXP(VLOOKUP(D1992,'Species Codes'!B:O,14,0)+VLOOKUP(D1992,'Species Codes'!B:P,15,0)*LN((E1992*2.54))),VLOOKUP(D1992,'Species Codes'!B:O,14,0)+VLOOKUP(D1992,'Species Codes'!B:P,15,0)*(((E1992*2.54)/100)^2)*(I1992*0.3048)))))*0.0011023),0)</f>
        <v>#N/A</v>
      </c>
      <c r="AD1992" s="104" t="e">
        <f t="shared" si="868"/>
        <v>#N/A</v>
      </c>
      <c r="AE1992" s="104" t="e">
        <f t="shared" si="869"/>
        <v>#N/A</v>
      </c>
      <c r="AF1992" s="104" t="e">
        <f>IF(AND(VLOOKUP($D1992,Merchantability!$B:$C,2,0)="Yes",$E1992&gt;=VLOOKUP($D1992,Merchantability!$B:$D,3,0),$E1992&lt;=VLOOKUP($D1992,Merchantability!$B:$E,4,0)),AA1992,0)</f>
        <v>#N/A</v>
      </c>
      <c r="AG1992" s="104" t="e">
        <f>IF(AND(VLOOKUP($D1992,Merchantability!$B:$C,2,0)="Yes",$E1992&gt;=VLOOKUP($D1992,Merchantability!$B:$D,3,0),$E1992&lt;=VLOOKUP($D1992,Merchantability!$B:$E,4,0)),AB1992,0)</f>
        <v>#N/A</v>
      </c>
      <c r="AH1992" s="104" t="e">
        <f>IF(AND(VLOOKUP($D1992,Merchantability!$B:$C,2,0)="Yes",$E1992&gt;=VLOOKUP($D1992,Merchantability!$B:$D,3,0),$E1992&lt;=VLOOKUP($D1992,Merchantability!$B:$E,4,0)),AC1992,0)</f>
        <v>#N/A</v>
      </c>
      <c r="AI1992" s="104" t="e">
        <f t="shared" si="870"/>
        <v>#N/A</v>
      </c>
      <c r="AJ1992" s="104" t="e">
        <f t="shared" si="871"/>
        <v>#VALUE!</v>
      </c>
      <c r="AK1992" s="104" t="e">
        <f t="shared" si="872"/>
        <v>#N/A</v>
      </c>
      <c r="AL1992" s="104" t="e">
        <f t="shared" si="873"/>
        <v>#N/A</v>
      </c>
      <c r="AM1992" s="104" t="e">
        <f t="shared" si="874"/>
        <v>#N/A</v>
      </c>
      <c r="AN1992" s="104" t="e">
        <f t="shared" si="885"/>
        <v>#N/A</v>
      </c>
      <c r="AO1992" s="104" t="e">
        <f t="shared" si="886"/>
        <v>#N/A</v>
      </c>
      <c r="AP1992" s="104" t="e">
        <f t="shared" si="887"/>
        <v>#N/A</v>
      </c>
      <c r="AQ1992" s="104" t="e">
        <f t="shared" si="888"/>
        <v>#N/A</v>
      </c>
      <c r="AR1992" s="105" t="str">
        <f t="shared" si="880"/>
        <v/>
      </c>
      <c r="AS1992" s="105" t="str">
        <f t="shared" si="881"/>
        <v/>
      </c>
      <c r="AT1992" s="108" t="str">
        <f t="shared" si="882"/>
        <v/>
      </c>
      <c r="AU1992" s="108" t="str">
        <f t="shared" si="883"/>
        <v/>
      </c>
      <c r="AV1992" s="107" t="str">
        <f>IF(ISNUMBER(O1992),IF(VLOOKUP($A1992,Stand!C:J,8,FALSE)="Short",AT1992,AU1992),"")</f>
        <v/>
      </c>
      <c r="AW1992" s="109" t="str">
        <f t="shared" si="889"/>
        <v/>
      </c>
      <c r="AX1992" s="109" t="str">
        <f t="shared" si="890"/>
        <v/>
      </c>
      <c r="AY1992" s="112" t="str">
        <f>IF(ISNUMBER(O1992),IF(AND(VLOOKUP($D1992,Merchantability!$B:$C,2,0)="Yes",$E1992&gt;=VLOOKUP($D1992,Merchantability!$B:$D,3,0),$E1992&lt;=VLOOKUP($D1992,Merchantability!$B:$E,4,0)),(AV1992*O1992)*(1-$H1992/100),""),"")</f>
        <v/>
      </c>
      <c r="AZ1992" s="116"/>
      <c r="BA1992" s="116"/>
      <c r="BB1992" s="116"/>
      <c r="BE1992" s="62"/>
      <c r="BF1992" s="63"/>
    </row>
    <row r="1993" spans="1:58" ht="12.75" customHeight="1" x14ac:dyDescent="0.25">
      <c r="A1993" s="334"/>
      <c r="B1993" s="334"/>
      <c r="C1993" s="332"/>
      <c r="D1993" s="334"/>
      <c r="E1993" s="335"/>
      <c r="F1993" s="334"/>
      <c r="G1993" s="332"/>
      <c r="H1993" s="332"/>
      <c r="I1993" s="334"/>
      <c r="J1993" s="336"/>
      <c r="K1993" s="332"/>
      <c r="L1993" s="332"/>
      <c r="M1993" s="76"/>
      <c r="N1993" s="103" t="str">
        <f>IF(A1993="","",VLOOKUP(A1993,Stand!C:K,9,0))</f>
        <v/>
      </c>
      <c r="O1993" s="104" t="str">
        <f t="shared" si="875"/>
        <v/>
      </c>
      <c r="P1993" s="105" t="str">
        <f t="shared" si="876"/>
        <v/>
      </c>
      <c r="Q1993" s="105" t="str">
        <f t="shared" si="864"/>
        <v/>
      </c>
      <c r="R1993" s="103" t="str">
        <f t="shared" si="877"/>
        <v/>
      </c>
      <c r="S1993" s="103" t="str">
        <f t="shared" si="878"/>
        <v/>
      </c>
      <c r="T1993" s="106" t="str">
        <f t="shared" si="865"/>
        <v/>
      </c>
      <c r="U1993" s="106" t="str">
        <f t="shared" si="866"/>
        <v/>
      </c>
      <c r="V1993" s="106" t="str">
        <f t="shared" si="867"/>
        <v/>
      </c>
      <c r="W1993" s="105" t="str">
        <f t="shared" si="879"/>
        <v/>
      </c>
      <c r="X1993" s="104" t="str">
        <f t="shared" si="884"/>
        <v/>
      </c>
      <c r="Y1993" s="104" t="str">
        <f t="array" ref="Y1993">IFERROR(IF(ISNUMBER(O1993),IF(COUNT(IF(A1993=$A$2:$A$2427,IF(D1993=$D$2:$D$2427,IF($X$2:$X$2427&gt;0,1))))&gt;0,SUM(IF(A1993=$A$2:$A$2427,IF(D1993=$D$2:$D$2427,$X$2:$X$2427)))/COUNT(IF(A1993=$A$2:$A$2427,IF(D1993=$D$2:$D$2427,IF(ISNUMBER($X$2:$X$2427),1)))),0),""),0)</f>
        <v/>
      </c>
      <c r="Z1993" s="104" t="str">
        <f>IF(ISNUMBER(O1993),IF(I1993&gt;0,(10^(VLOOKUP(D1993,'Species Codes'!B:C,2,0)+VLOOKUP(D1993,'Species Codes'!B:D,3,0)*LOG(E1993)+VLOOKUP(D1993,'Species Codes'!B:E,4,0)*LOG(I1993))),0),"")</f>
        <v/>
      </c>
      <c r="AA1993" s="104" t="str">
        <f>IFERROR((VLOOKUP(D1993,'Species Codes'!B:G,6,0)*Z1993)/2000,"")</f>
        <v/>
      </c>
      <c r="AB1993" s="104" t="e">
        <f>IF(Z1993&gt;0,((IF(OR(D1993="DF",D1993="RA")=TRUE,EXP(VLOOKUP(D1993,'Species Codes'!B:I,8,0)+VLOOKUP(D1993,'Species Codes'!B:J,9,0)*(LN((E1993*2.54)))),IF(OR(D1993="PY",D1993="RC",D1993="WH",D1993="NF")=TRUE,VLOOKUP(D1993,'Species Codes'!B:I,8,0)+VLOOKUP(D1993,'Species Codes'!B:J,9,0)*((E1993*2.54)^2)*(I1993*0.3048),IF(OR(D1993="MD",D1993="BM",D1993="GA")=TRUE,((VLOOKUP(D1993,'Species Codes'!B:I,8,0)*(((((E1993*2.54)+VLOOKUP(D1993,'Species Codes'!B:J,9,0))/VLOOKUP(D1993,'Species Codes'!B:K,10,0))^VLOOKUP(D1993,'Species Codes'!B:L,11,0))*((I1993*0.3048)^VLOOKUP(D1993,'Species Codes'!B:M,12,0))))-(VLOOKUP(D1993,'Species Codes'!B:I,8,0)*((((E1993*2.54)^VLOOKUP(D1993,'Species Codes'!B:L,11,0))*((I1993*0.3048)^VLOOKUP(D1993,'Species Codes'!B:M,12,0))))))*35.3*VLOOKUP(D1993,'Species Codes'!B:G,6,0)/2.2046,VLOOKUP(D1993,'Species Codes'!B:I,8,0)+VLOOKUP(D1993,'Species Codes'!B:J,9,0)*(((E1993*2.54)/100)^2)*(I1993*0.3048)))))*0.0011023),0)</f>
        <v>#N/A</v>
      </c>
      <c r="AC1993" s="104" t="e">
        <f>IF(Z1993&gt;0,((IF(OR(D1993="RA",D1993="OA",D1993="OT",D1993="UN",D1993="PC"),EXP(VLOOKUP(D1993,'Species Codes'!B:O,14,0)+VLOOKUP(D1993,'Species Codes'!B:P,15,0)*LN((E1993*2.54)))-EXP(VLOOKUP(D1993,'Species Codes'!B:O,14,0)+VLOOKUP(D1993,'Species Codes'!B:P,15,0)*LN((E1993*2.54)))*(1/(VLOOKUP(D1993,'Species Codes'!B:Q,16,0)+VLOOKUP(D1993,'Species Codes'!B:R,17,0)*((E1993*2.54)^VLOOKUP(D1993,'Species Codes'!B:S,18,0)))),IF(OR(D1993="BM",D1993="MD",D1993="OA"),EXP(VLOOKUP(D1993,'Species Codes'!B:O,14,0)+VLOOKUP(D1993,'Species Codes'!B:P,15,0)*LN((E1993*2.54)))*(1-(1/(VLOOKUP(D1993,'Species Codes'!B:Q,16,0)+VLOOKUP(D1993,'Species Codes'!B:R,17,0)*((E1993*2.54)^VLOOKUP(D1993,'Species Codes'!B:S,18,0)))))/1000,IF(D1993="DF",EXP(VLOOKUP(D1993,'Species Codes'!B:O,14,0)+VLOOKUP(D1993,'Species Codes'!B:P,15,0)*LN((E1993*2.54))),VLOOKUP(D1993,'Species Codes'!B:O,14,0)+VLOOKUP(D1993,'Species Codes'!B:P,15,0)*(((E1993*2.54)/100)^2)*(I1993*0.3048)))))*0.0011023),0)</f>
        <v>#N/A</v>
      </c>
      <c r="AD1993" s="104" t="e">
        <f t="shared" si="868"/>
        <v>#N/A</v>
      </c>
      <c r="AE1993" s="104" t="e">
        <f t="shared" si="869"/>
        <v>#N/A</v>
      </c>
      <c r="AF1993" s="104" t="e">
        <f>IF(AND(VLOOKUP($D1993,Merchantability!$B:$C,2,0)="Yes",$E1993&gt;=VLOOKUP($D1993,Merchantability!$B:$D,3,0),$E1993&lt;=VLOOKUP($D1993,Merchantability!$B:$E,4,0)),AA1993,0)</f>
        <v>#N/A</v>
      </c>
      <c r="AG1993" s="104" t="e">
        <f>IF(AND(VLOOKUP($D1993,Merchantability!$B:$C,2,0)="Yes",$E1993&gt;=VLOOKUP($D1993,Merchantability!$B:$D,3,0),$E1993&lt;=VLOOKUP($D1993,Merchantability!$B:$E,4,0)),AB1993,0)</f>
        <v>#N/A</v>
      </c>
      <c r="AH1993" s="104" t="e">
        <f>IF(AND(VLOOKUP($D1993,Merchantability!$B:$C,2,0)="Yes",$E1993&gt;=VLOOKUP($D1993,Merchantability!$B:$D,3,0),$E1993&lt;=VLOOKUP($D1993,Merchantability!$B:$E,4,0)),AC1993,0)</f>
        <v>#N/A</v>
      </c>
      <c r="AI1993" s="104" t="e">
        <f t="shared" si="870"/>
        <v>#N/A</v>
      </c>
      <c r="AJ1993" s="104" t="e">
        <f t="shared" si="871"/>
        <v>#VALUE!</v>
      </c>
      <c r="AK1993" s="104" t="e">
        <f t="shared" si="872"/>
        <v>#N/A</v>
      </c>
      <c r="AL1993" s="104" t="e">
        <f t="shared" si="873"/>
        <v>#N/A</v>
      </c>
      <c r="AM1993" s="104" t="e">
        <f t="shared" si="874"/>
        <v>#N/A</v>
      </c>
      <c r="AN1993" s="104" t="e">
        <f t="shared" si="885"/>
        <v>#N/A</v>
      </c>
      <c r="AO1993" s="104" t="e">
        <f t="shared" si="886"/>
        <v>#N/A</v>
      </c>
      <c r="AP1993" s="104" t="e">
        <f t="shared" si="887"/>
        <v>#N/A</v>
      </c>
      <c r="AQ1993" s="104" t="e">
        <f t="shared" si="888"/>
        <v>#N/A</v>
      </c>
      <c r="AR1993" s="105" t="str">
        <f t="shared" si="880"/>
        <v/>
      </c>
      <c r="AS1993" s="105" t="str">
        <f t="shared" si="881"/>
        <v/>
      </c>
      <c r="AT1993" s="108" t="str">
        <f t="shared" si="882"/>
        <v/>
      </c>
      <c r="AU1993" s="108" t="str">
        <f t="shared" si="883"/>
        <v/>
      </c>
      <c r="AV1993" s="107" t="str">
        <f>IF(ISNUMBER(O1993),IF(VLOOKUP($A1993,Stand!C:J,8,FALSE)="Short",AT1993,AU1993),"")</f>
        <v/>
      </c>
      <c r="AW1993" s="109" t="str">
        <f t="shared" si="889"/>
        <v/>
      </c>
      <c r="AX1993" s="109" t="str">
        <f t="shared" si="890"/>
        <v/>
      </c>
      <c r="AY1993" s="112" t="str">
        <f>IF(ISNUMBER(O1993),IF(AND(VLOOKUP($D1993,Merchantability!$B:$C,2,0)="Yes",$E1993&gt;=VLOOKUP($D1993,Merchantability!$B:$D,3,0),$E1993&lt;=VLOOKUP($D1993,Merchantability!$B:$E,4,0)),(AV1993*O1993)*(1-$H1993/100),""),"")</f>
        <v/>
      </c>
      <c r="AZ1993" s="116"/>
      <c r="BA1993" s="116"/>
      <c r="BB1993" s="116"/>
      <c r="BE1993" s="62"/>
      <c r="BF1993" s="63"/>
    </row>
    <row r="1994" spans="1:58" ht="12.75" customHeight="1" x14ac:dyDescent="0.25">
      <c r="A1994" s="334"/>
      <c r="B1994" s="334"/>
      <c r="C1994" s="332"/>
      <c r="D1994" s="334"/>
      <c r="E1994" s="335"/>
      <c r="F1994" s="334"/>
      <c r="G1994" s="332"/>
      <c r="H1994" s="332"/>
      <c r="I1994" s="334"/>
      <c r="J1994" s="336"/>
      <c r="K1994" s="332"/>
      <c r="L1994" s="332"/>
      <c r="M1994" s="76"/>
      <c r="N1994" s="103" t="str">
        <f>IF(A1994="","",VLOOKUP(A1994,Stand!C:K,9,0))</f>
        <v/>
      </c>
      <c r="O1994" s="104" t="str">
        <f t="shared" si="875"/>
        <v/>
      </c>
      <c r="P1994" s="105" t="str">
        <f t="shared" si="876"/>
        <v/>
      </c>
      <c r="Q1994" s="105" t="str">
        <f t="shared" si="864"/>
        <v/>
      </c>
      <c r="R1994" s="103" t="str">
        <f t="shared" si="877"/>
        <v/>
      </c>
      <c r="S1994" s="103" t="str">
        <f t="shared" si="878"/>
        <v/>
      </c>
      <c r="T1994" s="106" t="str">
        <f t="shared" si="865"/>
        <v/>
      </c>
      <c r="U1994" s="106" t="str">
        <f t="shared" si="866"/>
        <v/>
      </c>
      <c r="V1994" s="106" t="str">
        <f t="shared" si="867"/>
        <v/>
      </c>
      <c r="W1994" s="105" t="str">
        <f t="shared" si="879"/>
        <v/>
      </c>
      <c r="X1994" s="104" t="str">
        <f t="shared" si="884"/>
        <v/>
      </c>
      <c r="Y1994" s="104" t="str">
        <f t="array" ref="Y1994">IFERROR(IF(ISNUMBER(O1994),IF(COUNT(IF(A1994=$A$2:$A$2427,IF(D1994=$D$2:$D$2427,IF($X$2:$X$2427&gt;0,1))))&gt;0,SUM(IF(A1994=$A$2:$A$2427,IF(D1994=$D$2:$D$2427,$X$2:$X$2427)))/COUNT(IF(A1994=$A$2:$A$2427,IF(D1994=$D$2:$D$2427,IF(ISNUMBER($X$2:$X$2427),1)))),0),""),0)</f>
        <v/>
      </c>
      <c r="Z1994" s="104" t="str">
        <f>IF(ISNUMBER(O1994),IF(I1994&gt;0,(10^(VLOOKUP(D1994,'Species Codes'!B:C,2,0)+VLOOKUP(D1994,'Species Codes'!B:D,3,0)*LOG(E1994)+VLOOKUP(D1994,'Species Codes'!B:E,4,0)*LOG(I1994))),0),"")</f>
        <v/>
      </c>
      <c r="AA1994" s="104" t="str">
        <f>IFERROR((VLOOKUP(D1994,'Species Codes'!B:G,6,0)*Z1994)/2000,"")</f>
        <v/>
      </c>
      <c r="AB1994" s="104" t="e">
        <f>IF(Z1994&gt;0,((IF(OR(D1994="DF",D1994="RA")=TRUE,EXP(VLOOKUP(D1994,'Species Codes'!B:I,8,0)+VLOOKUP(D1994,'Species Codes'!B:J,9,0)*(LN((E1994*2.54)))),IF(OR(D1994="PY",D1994="RC",D1994="WH",D1994="NF")=TRUE,VLOOKUP(D1994,'Species Codes'!B:I,8,0)+VLOOKUP(D1994,'Species Codes'!B:J,9,0)*((E1994*2.54)^2)*(I1994*0.3048),IF(OR(D1994="MD",D1994="BM",D1994="GA")=TRUE,((VLOOKUP(D1994,'Species Codes'!B:I,8,0)*(((((E1994*2.54)+VLOOKUP(D1994,'Species Codes'!B:J,9,0))/VLOOKUP(D1994,'Species Codes'!B:K,10,0))^VLOOKUP(D1994,'Species Codes'!B:L,11,0))*((I1994*0.3048)^VLOOKUP(D1994,'Species Codes'!B:M,12,0))))-(VLOOKUP(D1994,'Species Codes'!B:I,8,0)*((((E1994*2.54)^VLOOKUP(D1994,'Species Codes'!B:L,11,0))*((I1994*0.3048)^VLOOKUP(D1994,'Species Codes'!B:M,12,0))))))*35.3*VLOOKUP(D1994,'Species Codes'!B:G,6,0)/2.2046,VLOOKUP(D1994,'Species Codes'!B:I,8,0)+VLOOKUP(D1994,'Species Codes'!B:J,9,0)*(((E1994*2.54)/100)^2)*(I1994*0.3048)))))*0.0011023),0)</f>
        <v>#N/A</v>
      </c>
      <c r="AC1994" s="104" t="e">
        <f>IF(Z1994&gt;0,((IF(OR(D1994="RA",D1994="OA",D1994="OT",D1994="UN",D1994="PC"),EXP(VLOOKUP(D1994,'Species Codes'!B:O,14,0)+VLOOKUP(D1994,'Species Codes'!B:P,15,0)*LN((E1994*2.54)))-EXP(VLOOKUP(D1994,'Species Codes'!B:O,14,0)+VLOOKUP(D1994,'Species Codes'!B:P,15,0)*LN((E1994*2.54)))*(1/(VLOOKUP(D1994,'Species Codes'!B:Q,16,0)+VLOOKUP(D1994,'Species Codes'!B:R,17,0)*((E1994*2.54)^VLOOKUP(D1994,'Species Codes'!B:S,18,0)))),IF(OR(D1994="BM",D1994="MD",D1994="OA"),EXP(VLOOKUP(D1994,'Species Codes'!B:O,14,0)+VLOOKUP(D1994,'Species Codes'!B:P,15,0)*LN((E1994*2.54)))*(1-(1/(VLOOKUP(D1994,'Species Codes'!B:Q,16,0)+VLOOKUP(D1994,'Species Codes'!B:R,17,0)*((E1994*2.54)^VLOOKUP(D1994,'Species Codes'!B:S,18,0)))))/1000,IF(D1994="DF",EXP(VLOOKUP(D1994,'Species Codes'!B:O,14,0)+VLOOKUP(D1994,'Species Codes'!B:P,15,0)*LN((E1994*2.54))),VLOOKUP(D1994,'Species Codes'!B:O,14,0)+VLOOKUP(D1994,'Species Codes'!B:P,15,0)*(((E1994*2.54)/100)^2)*(I1994*0.3048)))))*0.0011023),0)</f>
        <v>#N/A</v>
      </c>
      <c r="AD1994" s="104" t="e">
        <f t="shared" si="868"/>
        <v>#N/A</v>
      </c>
      <c r="AE1994" s="104" t="e">
        <f t="shared" si="869"/>
        <v>#N/A</v>
      </c>
      <c r="AF1994" s="104" t="e">
        <f>IF(AND(VLOOKUP($D1994,Merchantability!$B:$C,2,0)="Yes",$E1994&gt;=VLOOKUP($D1994,Merchantability!$B:$D,3,0),$E1994&lt;=VLOOKUP($D1994,Merchantability!$B:$E,4,0)),AA1994,0)</f>
        <v>#N/A</v>
      </c>
      <c r="AG1994" s="104" t="e">
        <f>IF(AND(VLOOKUP($D1994,Merchantability!$B:$C,2,0)="Yes",$E1994&gt;=VLOOKUP($D1994,Merchantability!$B:$D,3,0),$E1994&lt;=VLOOKUP($D1994,Merchantability!$B:$E,4,0)),AB1994,0)</f>
        <v>#N/A</v>
      </c>
      <c r="AH1994" s="104" t="e">
        <f>IF(AND(VLOOKUP($D1994,Merchantability!$B:$C,2,0)="Yes",$E1994&gt;=VLOOKUP($D1994,Merchantability!$B:$D,3,0),$E1994&lt;=VLOOKUP($D1994,Merchantability!$B:$E,4,0)),AC1994,0)</f>
        <v>#N/A</v>
      </c>
      <c r="AI1994" s="104" t="e">
        <f t="shared" si="870"/>
        <v>#N/A</v>
      </c>
      <c r="AJ1994" s="104" t="e">
        <f t="shared" si="871"/>
        <v>#VALUE!</v>
      </c>
      <c r="AK1994" s="104" t="e">
        <f t="shared" si="872"/>
        <v>#N/A</v>
      </c>
      <c r="AL1994" s="104" t="e">
        <f t="shared" si="873"/>
        <v>#N/A</v>
      </c>
      <c r="AM1994" s="104" t="e">
        <f t="shared" si="874"/>
        <v>#N/A</v>
      </c>
      <c r="AN1994" s="104" t="e">
        <f t="shared" si="885"/>
        <v>#N/A</v>
      </c>
      <c r="AO1994" s="104" t="e">
        <f t="shared" si="886"/>
        <v>#N/A</v>
      </c>
      <c r="AP1994" s="104" t="e">
        <f t="shared" si="887"/>
        <v>#N/A</v>
      </c>
      <c r="AQ1994" s="104" t="e">
        <f t="shared" si="888"/>
        <v>#N/A</v>
      </c>
      <c r="AR1994" s="105" t="str">
        <f t="shared" si="880"/>
        <v/>
      </c>
      <c r="AS1994" s="105" t="str">
        <f t="shared" si="881"/>
        <v/>
      </c>
      <c r="AT1994" s="108" t="str">
        <f t="shared" si="882"/>
        <v/>
      </c>
      <c r="AU1994" s="108" t="str">
        <f t="shared" si="883"/>
        <v/>
      </c>
      <c r="AV1994" s="107" t="str">
        <f>IF(ISNUMBER(O1994),IF(VLOOKUP($A1994,Stand!C:J,8,FALSE)="Short",AT1994,AU1994),"")</f>
        <v/>
      </c>
      <c r="AW1994" s="109" t="str">
        <f t="shared" si="889"/>
        <v/>
      </c>
      <c r="AX1994" s="109" t="str">
        <f t="shared" si="890"/>
        <v/>
      </c>
      <c r="AY1994" s="112" t="str">
        <f>IF(ISNUMBER(O1994),IF(AND(VLOOKUP($D1994,Merchantability!$B:$C,2,0)="Yes",$E1994&gt;=VLOOKUP($D1994,Merchantability!$B:$D,3,0),$E1994&lt;=VLOOKUP($D1994,Merchantability!$B:$E,4,0)),(AV1994*O1994)*(1-$H1994/100),""),"")</f>
        <v/>
      </c>
      <c r="AZ1994" s="116"/>
      <c r="BA1994" s="116"/>
      <c r="BB1994" s="116"/>
      <c r="BE1994" s="62"/>
      <c r="BF1994" s="63"/>
    </row>
    <row r="1995" spans="1:58" ht="12.75" customHeight="1" x14ac:dyDescent="0.25">
      <c r="A1995" s="334"/>
      <c r="B1995" s="334"/>
      <c r="C1995" s="332"/>
      <c r="D1995" s="334"/>
      <c r="E1995" s="335"/>
      <c r="F1995" s="334"/>
      <c r="G1995" s="332"/>
      <c r="H1995" s="332"/>
      <c r="I1995" s="334"/>
      <c r="J1995" s="336"/>
      <c r="K1995" s="332"/>
      <c r="L1995" s="332"/>
      <c r="M1995" s="76"/>
      <c r="N1995" s="103" t="str">
        <f>IF(A1995="","",VLOOKUP(A1995,Stand!C:K,9,0))</f>
        <v/>
      </c>
      <c r="O1995" s="104" t="str">
        <f t="shared" si="875"/>
        <v/>
      </c>
      <c r="P1995" s="105" t="str">
        <f t="shared" si="876"/>
        <v/>
      </c>
      <c r="Q1995" s="105" t="str">
        <f t="shared" si="864"/>
        <v/>
      </c>
      <c r="R1995" s="103" t="str">
        <f t="shared" si="877"/>
        <v/>
      </c>
      <c r="S1995" s="103" t="str">
        <f t="shared" si="878"/>
        <v/>
      </c>
      <c r="T1995" s="106" t="str">
        <f t="shared" si="865"/>
        <v/>
      </c>
      <c r="U1995" s="106" t="str">
        <f t="shared" si="866"/>
        <v/>
      </c>
      <c r="V1995" s="106" t="str">
        <f t="shared" si="867"/>
        <v/>
      </c>
      <c r="W1995" s="105" t="str">
        <f t="shared" si="879"/>
        <v/>
      </c>
      <c r="X1995" s="104" t="str">
        <f t="shared" si="884"/>
        <v/>
      </c>
      <c r="Y1995" s="104" t="str">
        <f t="array" ref="Y1995">IFERROR(IF(ISNUMBER(O1995),IF(COUNT(IF(A1995=$A$2:$A$2427,IF(D1995=$D$2:$D$2427,IF($X$2:$X$2427&gt;0,1))))&gt;0,SUM(IF(A1995=$A$2:$A$2427,IF(D1995=$D$2:$D$2427,$X$2:$X$2427)))/COUNT(IF(A1995=$A$2:$A$2427,IF(D1995=$D$2:$D$2427,IF(ISNUMBER($X$2:$X$2427),1)))),0),""),0)</f>
        <v/>
      </c>
      <c r="Z1995" s="104" t="str">
        <f>IF(ISNUMBER(O1995),IF(I1995&gt;0,(10^(VLOOKUP(D1995,'Species Codes'!B:C,2,0)+VLOOKUP(D1995,'Species Codes'!B:D,3,0)*LOG(E1995)+VLOOKUP(D1995,'Species Codes'!B:E,4,0)*LOG(I1995))),0),"")</f>
        <v/>
      </c>
      <c r="AA1995" s="104" t="str">
        <f>IFERROR((VLOOKUP(D1995,'Species Codes'!B:G,6,0)*Z1995)/2000,"")</f>
        <v/>
      </c>
      <c r="AB1995" s="104" t="e">
        <f>IF(Z1995&gt;0,((IF(OR(D1995="DF",D1995="RA")=TRUE,EXP(VLOOKUP(D1995,'Species Codes'!B:I,8,0)+VLOOKUP(D1995,'Species Codes'!B:J,9,0)*(LN((E1995*2.54)))),IF(OR(D1995="PY",D1995="RC",D1995="WH",D1995="NF")=TRUE,VLOOKUP(D1995,'Species Codes'!B:I,8,0)+VLOOKUP(D1995,'Species Codes'!B:J,9,0)*((E1995*2.54)^2)*(I1995*0.3048),IF(OR(D1995="MD",D1995="BM",D1995="GA")=TRUE,((VLOOKUP(D1995,'Species Codes'!B:I,8,0)*(((((E1995*2.54)+VLOOKUP(D1995,'Species Codes'!B:J,9,0))/VLOOKUP(D1995,'Species Codes'!B:K,10,0))^VLOOKUP(D1995,'Species Codes'!B:L,11,0))*((I1995*0.3048)^VLOOKUP(D1995,'Species Codes'!B:M,12,0))))-(VLOOKUP(D1995,'Species Codes'!B:I,8,0)*((((E1995*2.54)^VLOOKUP(D1995,'Species Codes'!B:L,11,0))*((I1995*0.3048)^VLOOKUP(D1995,'Species Codes'!B:M,12,0))))))*35.3*VLOOKUP(D1995,'Species Codes'!B:G,6,0)/2.2046,VLOOKUP(D1995,'Species Codes'!B:I,8,0)+VLOOKUP(D1995,'Species Codes'!B:J,9,0)*(((E1995*2.54)/100)^2)*(I1995*0.3048)))))*0.0011023),0)</f>
        <v>#N/A</v>
      </c>
      <c r="AC1995" s="104" t="e">
        <f>IF(Z1995&gt;0,((IF(OR(D1995="RA",D1995="OA",D1995="OT",D1995="UN",D1995="PC"),EXP(VLOOKUP(D1995,'Species Codes'!B:O,14,0)+VLOOKUP(D1995,'Species Codes'!B:P,15,0)*LN((E1995*2.54)))-EXP(VLOOKUP(D1995,'Species Codes'!B:O,14,0)+VLOOKUP(D1995,'Species Codes'!B:P,15,0)*LN((E1995*2.54)))*(1/(VLOOKUP(D1995,'Species Codes'!B:Q,16,0)+VLOOKUP(D1995,'Species Codes'!B:R,17,0)*((E1995*2.54)^VLOOKUP(D1995,'Species Codes'!B:S,18,0)))),IF(OR(D1995="BM",D1995="MD",D1995="OA"),EXP(VLOOKUP(D1995,'Species Codes'!B:O,14,0)+VLOOKUP(D1995,'Species Codes'!B:P,15,0)*LN((E1995*2.54)))*(1-(1/(VLOOKUP(D1995,'Species Codes'!B:Q,16,0)+VLOOKUP(D1995,'Species Codes'!B:R,17,0)*((E1995*2.54)^VLOOKUP(D1995,'Species Codes'!B:S,18,0)))))/1000,IF(D1995="DF",EXP(VLOOKUP(D1995,'Species Codes'!B:O,14,0)+VLOOKUP(D1995,'Species Codes'!B:P,15,0)*LN((E1995*2.54))),VLOOKUP(D1995,'Species Codes'!B:O,14,0)+VLOOKUP(D1995,'Species Codes'!B:P,15,0)*(((E1995*2.54)/100)^2)*(I1995*0.3048)))))*0.0011023),0)</f>
        <v>#N/A</v>
      </c>
      <c r="AD1995" s="104" t="e">
        <f t="shared" si="868"/>
        <v>#N/A</v>
      </c>
      <c r="AE1995" s="104" t="e">
        <f t="shared" si="869"/>
        <v>#N/A</v>
      </c>
      <c r="AF1995" s="104" t="e">
        <f>IF(AND(VLOOKUP($D1995,Merchantability!$B:$C,2,0)="Yes",$E1995&gt;=VLOOKUP($D1995,Merchantability!$B:$D,3,0),$E1995&lt;=VLOOKUP($D1995,Merchantability!$B:$E,4,0)),AA1995,0)</f>
        <v>#N/A</v>
      </c>
      <c r="AG1995" s="104" t="e">
        <f>IF(AND(VLOOKUP($D1995,Merchantability!$B:$C,2,0)="Yes",$E1995&gt;=VLOOKUP($D1995,Merchantability!$B:$D,3,0),$E1995&lt;=VLOOKUP($D1995,Merchantability!$B:$E,4,0)),AB1995,0)</f>
        <v>#N/A</v>
      </c>
      <c r="AH1995" s="104" t="e">
        <f>IF(AND(VLOOKUP($D1995,Merchantability!$B:$C,2,0)="Yes",$E1995&gt;=VLOOKUP($D1995,Merchantability!$B:$D,3,0),$E1995&lt;=VLOOKUP($D1995,Merchantability!$B:$E,4,0)),AC1995,0)</f>
        <v>#N/A</v>
      </c>
      <c r="AI1995" s="104" t="e">
        <f t="shared" si="870"/>
        <v>#N/A</v>
      </c>
      <c r="AJ1995" s="104" t="e">
        <f t="shared" si="871"/>
        <v>#VALUE!</v>
      </c>
      <c r="AK1995" s="104" t="e">
        <f t="shared" si="872"/>
        <v>#N/A</v>
      </c>
      <c r="AL1995" s="104" t="e">
        <f t="shared" si="873"/>
        <v>#N/A</v>
      </c>
      <c r="AM1995" s="104" t="e">
        <f t="shared" si="874"/>
        <v>#N/A</v>
      </c>
      <c r="AN1995" s="104" t="e">
        <f t="shared" si="885"/>
        <v>#N/A</v>
      </c>
      <c r="AO1995" s="104" t="e">
        <f t="shared" si="886"/>
        <v>#N/A</v>
      </c>
      <c r="AP1995" s="104" t="e">
        <f t="shared" si="887"/>
        <v>#N/A</v>
      </c>
      <c r="AQ1995" s="104" t="e">
        <f t="shared" si="888"/>
        <v>#N/A</v>
      </c>
      <c r="AR1995" s="105" t="str">
        <f t="shared" si="880"/>
        <v/>
      </c>
      <c r="AS1995" s="105" t="str">
        <f t="shared" si="881"/>
        <v/>
      </c>
      <c r="AT1995" s="108" t="str">
        <f t="shared" si="882"/>
        <v/>
      </c>
      <c r="AU1995" s="108" t="str">
        <f t="shared" si="883"/>
        <v/>
      </c>
      <c r="AV1995" s="107" t="str">
        <f>IF(ISNUMBER(O1995),IF(VLOOKUP($A1995,Stand!C:J,8,FALSE)="Short",AT1995,AU1995),"")</f>
        <v/>
      </c>
      <c r="AW1995" s="109" t="str">
        <f t="shared" si="889"/>
        <v/>
      </c>
      <c r="AX1995" s="109" t="str">
        <f t="shared" si="890"/>
        <v/>
      </c>
      <c r="AY1995" s="112" t="str">
        <f>IF(ISNUMBER(O1995),IF(AND(VLOOKUP($D1995,Merchantability!$B:$C,2,0)="Yes",$E1995&gt;=VLOOKUP($D1995,Merchantability!$B:$D,3,0),$E1995&lt;=VLOOKUP($D1995,Merchantability!$B:$E,4,0)),(AV1995*O1995)*(1-$H1995/100),""),"")</f>
        <v/>
      </c>
      <c r="AZ1995" s="116"/>
      <c r="BA1995" s="116"/>
      <c r="BB1995" s="116"/>
      <c r="BE1995" s="62"/>
      <c r="BF1995" s="63"/>
    </row>
    <row r="1996" spans="1:58" ht="12.75" customHeight="1" x14ac:dyDescent="0.25">
      <c r="A1996" s="334"/>
      <c r="B1996" s="334"/>
      <c r="C1996" s="332"/>
      <c r="D1996" s="334"/>
      <c r="E1996" s="335"/>
      <c r="F1996" s="334"/>
      <c r="G1996" s="332"/>
      <c r="H1996" s="332"/>
      <c r="I1996" s="334"/>
      <c r="J1996" s="336"/>
      <c r="K1996" s="332"/>
      <c r="L1996" s="332"/>
      <c r="M1996" s="76"/>
      <c r="N1996" s="103" t="str">
        <f>IF(A1996="","",VLOOKUP(A1996,Stand!C:K,9,0))</f>
        <v/>
      </c>
      <c r="O1996" s="104" t="str">
        <f t="shared" si="875"/>
        <v/>
      </c>
      <c r="P1996" s="105" t="str">
        <f t="shared" si="876"/>
        <v/>
      </c>
      <c r="Q1996" s="105" t="str">
        <f t="shared" si="864"/>
        <v/>
      </c>
      <c r="R1996" s="103" t="str">
        <f t="shared" si="877"/>
        <v/>
      </c>
      <c r="S1996" s="103" t="str">
        <f t="shared" si="878"/>
        <v/>
      </c>
      <c r="T1996" s="106" t="str">
        <f t="shared" si="865"/>
        <v/>
      </c>
      <c r="U1996" s="106" t="str">
        <f t="shared" si="866"/>
        <v/>
      </c>
      <c r="V1996" s="106" t="str">
        <f t="shared" si="867"/>
        <v/>
      </c>
      <c r="W1996" s="105" t="str">
        <f t="shared" si="879"/>
        <v/>
      </c>
      <c r="X1996" s="104" t="str">
        <f t="shared" si="884"/>
        <v/>
      </c>
      <c r="Y1996" s="104" t="str">
        <f t="array" ref="Y1996">IFERROR(IF(ISNUMBER(O1996),IF(COUNT(IF(A1996=$A$2:$A$2427,IF(D1996=$D$2:$D$2427,IF($X$2:$X$2427&gt;0,1))))&gt;0,SUM(IF(A1996=$A$2:$A$2427,IF(D1996=$D$2:$D$2427,$X$2:$X$2427)))/COUNT(IF(A1996=$A$2:$A$2427,IF(D1996=$D$2:$D$2427,IF(ISNUMBER($X$2:$X$2427),1)))),0),""),0)</f>
        <v/>
      </c>
      <c r="Z1996" s="104" t="str">
        <f>IF(ISNUMBER(O1996),IF(I1996&gt;0,(10^(VLOOKUP(D1996,'Species Codes'!B:C,2,0)+VLOOKUP(D1996,'Species Codes'!B:D,3,0)*LOG(E1996)+VLOOKUP(D1996,'Species Codes'!B:E,4,0)*LOG(I1996))),0),"")</f>
        <v/>
      </c>
      <c r="AA1996" s="104" t="str">
        <f>IFERROR((VLOOKUP(D1996,'Species Codes'!B:G,6,0)*Z1996)/2000,"")</f>
        <v/>
      </c>
      <c r="AB1996" s="104" t="e">
        <f>IF(Z1996&gt;0,((IF(OR(D1996="DF",D1996="RA")=TRUE,EXP(VLOOKUP(D1996,'Species Codes'!B:I,8,0)+VLOOKUP(D1996,'Species Codes'!B:J,9,0)*(LN((E1996*2.54)))),IF(OR(D1996="PY",D1996="RC",D1996="WH",D1996="NF")=TRUE,VLOOKUP(D1996,'Species Codes'!B:I,8,0)+VLOOKUP(D1996,'Species Codes'!B:J,9,0)*((E1996*2.54)^2)*(I1996*0.3048),IF(OR(D1996="MD",D1996="BM",D1996="GA")=TRUE,((VLOOKUP(D1996,'Species Codes'!B:I,8,0)*(((((E1996*2.54)+VLOOKUP(D1996,'Species Codes'!B:J,9,0))/VLOOKUP(D1996,'Species Codes'!B:K,10,0))^VLOOKUP(D1996,'Species Codes'!B:L,11,0))*((I1996*0.3048)^VLOOKUP(D1996,'Species Codes'!B:M,12,0))))-(VLOOKUP(D1996,'Species Codes'!B:I,8,0)*((((E1996*2.54)^VLOOKUP(D1996,'Species Codes'!B:L,11,0))*((I1996*0.3048)^VLOOKUP(D1996,'Species Codes'!B:M,12,0))))))*35.3*VLOOKUP(D1996,'Species Codes'!B:G,6,0)/2.2046,VLOOKUP(D1996,'Species Codes'!B:I,8,0)+VLOOKUP(D1996,'Species Codes'!B:J,9,0)*(((E1996*2.54)/100)^2)*(I1996*0.3048)))))*0.0011023),0)</f>
        <v>#N/A</v>
      </c>
      <c r="AC1996" s="104" t="e">
        <f>IF(Z1996&gt;0,((IF(OR(D1996="RA",D1996="OA",D1996="OT",D1996="UN",D1996="PC"),EXP(VLOOKUP(D1996,'Species Codes'!B:O,14,0)+VLOOKUP(D1996,'Species Codes'!B:P,15,0)*LN((E1996*2.54)))-EXP(VLOOKUP(D1996,'Species Codes'!B:O,14,0)+VLOOKUP(D1996,'Species Codes'!B:P,15,0)*LN((E1996*2.54)))*(1/(VLOOKUP(D1996,'Species Codes'!B:Q,16,0)+VLOOKUP(D1996,'Species Codes'!B:R,17,0)*((E1996*2.54)^VLOOKUP(D1996,'Species Codes'!B:S,18,0)))),IF(OR(D1996="BM",D1996="MD",D1996="OA"),EXP(VLOOKUP(D1996,'Species Codes'!B:O,14,0)+VLOOKUP(D1996,'Species Codes'!B:P,15,0)*LN((E1996*2.54)))*(1-(1/(VLOOKUP(D1996,'Species Codes'!B:Q,16,0)+VLOOKUP(D1996,'Species Codes'!B:R,17,0)*((E1996*2.54)^VLOOKUP(D1996,'Species Codes'!B:S,18,0)))))/1000,IF(D1996="DF",EXP(VLOOKUP(D1996,'Species Codes'!B:O,14,0)+VLOOKUP(D1996,'Species Codes'!B:P,15,0)*LN((E1996*2.54))),VLOOKUP(D1996,'Species Codes'!B:O,14,0)+VLOOKUP(D1996,'Species Codes'!B:P,15,0)*(((E1996*2.54)/100)^2)*(I1996*0.3048)))))*0.0011023),0)</f>
        <v>#N/A</v>
      </c>
      <c r="AD1996" s="104" t="e">
        <f t="shared" si="868"/>
        <v>#N/A</v>
      </c>
      <c r="AE1996" s="104" t="e">
        <f t="shared" si="869"/>
        <v>#N/A</v>
      </c>
      <c r="AF1996" s="104" t="e">
        <f>IF(AND(VLOOKUP($D1996,Merchantability!$B:$C,2,0)="Yes",$E1996&gt;=VLOOKUP($D1996,Merchantability!$B:$D,3,0),$E1996&lt;=VLOOKUP($D1996,Merchantability!$B:$E,4,0)),AA1996,0)</f>
        <v>#N/A</v>
      </c>
      <c r="AG1996" s="104" t="e">
        <f>IF(AND(VLOOKUP($D1996,Merchantability!$B:$C,2,0)="Yes",$E1996&gt;=VLOOKUP($D1996,Merchantability!$B:$D,3,0),$E1996&lt;=VLOOKUP($D1996,Merchantability!$B:$E,4,0)),AB1996,0)</f>
        <v>#N/A</v>
      </c>
      <c r="AH1996" s="104" t="e">
        <f>IF(AND(VLOOKUP($D1996,Merchantability!$B:$C,2,0)="Yes",$E1996&gt;=VLOOKUP($D1996,Merchantability!$B:$D,3,0),$E1996&lt;=VLOOKUP($D1996,Merchantability!$B:$E,4,0)),AC1996,0)</f>
        <v>#N/A</v>
      </c>
      <c r="AI1996" s="104" t="e">
        <f t="shared" si="870"/>
        <v>#N/A</v>
      </c>
      <c r="AJ1996" s="104" t="e">
        <f t="shared" si="871"/>
        <v>#VALUE!</v>
      </c>
      <c r="AK1996" s="104" t="e">
        <f t="shared" si="872"/>
        <v>#N/A</v>
      </c>
      <c r="AL1996" s="104" t="e">
        <f t="shared" si="873"/>
        <v>#N/A</v>
      </c>
      <c r="AM1996" s="104" t="e">
        <f t="shared" si="874"/>
        <v>#N/A</v>
      </c>
      <c r="AN1996" s="104" t="e">
        <f t="shared" si="885"/>
        <v>#N/A</v>
      </c>
      <c r="AO1996" s="104" t="e">
        <f t="shared" si="886"/>
        <v>#N/A</v>
      </c>
      <c r="AP1996" s="104" t="e">
        <f t="shared" si="887"/>
        <v>#N/A</v>
      </c>
      <c r="AQ1996" s="104" t="e">
        <f t="shared" si="888"/>
        <v>#N/A</v>
      </c>
      <c r="AR1996" s="105" t="str">
        <f t="shared" si="880"/>
        <v/>
      </c>
      <c r="AS1996" s="105" t="str">
        <f t="shared" si="881"/>
        <v/>
      </c>
      <c r="AT1996" s="108" t="str">
        <f t="shared" si="882"/>
        <v/>
      </c>
      <c r="AU1996" s="108" t="str">
        <f t="shared" si="883"/>
        <v/>
      </c>
      <c r="AV1996" s="107" t="str">
        <f>IF(ISNUMBER(O1996),IF(VLOOKUP($A1996,Stand!C:J,8,FALSE)="Short",AT1996,AU1996),"")</f>
        <v/>
      </c>
      <c r="AW1996" s="109" t="str">
        <f t="shared" si="889"/>
        <v/>
      </c>
      <c r="AX1996" s="109" t="str">
        <f t="shared" si="890"/>
        <v/>
      </c>
      <c r="AY1996" s="112" t="str">
        <f>IF(ISNUMBER(O1996),IF(AND(VLOOKUP($D1996,Merchantability!$B:$C,2,0)="Yes",$E1996&gt;=VLOOKUP($D1996,Merchantability!$B:$D,3,0),$E1996&lt;=VLOOKUP($D1996,Merchantability!$B:$E,4,0)),(AV1996*O1996)*(1-$H1996/100),""),"")</f>
        <v/>
      </c>
      <c r="AZ1996" s="116"/>
      <c r="BA1996" s="116"/>
      <c r="BB1996" s="116"/>
      <c r="BE1996" s="62"/>
      <c r="BF1996" s="63"/>
    </row>
    <row r="1997" spans="1:58" ht="12.75" customHeight="1" x14ac:dyDescent="0.25">
      <c r="A1997" s="334"/>
      <c r="B1997" s="334"/>
      <c r="C1997" s="332"/>
      <c r="D1997" s="334"/>
      <c r="E1997" s="335"/>
      <c r="F1997" s="334"/>
      <c r="G1997" s="332"/>
      <c r="H1997" s="332"/>
      <c r="I1997" s="334"/>
      <c r="J1997" s="336"/>
      <c r="K1997" s="332"/>
      <c r="L1997" s="332"/>
      <c r="M1997" s="76"/>
      <c r="N1997" s="103" t="str">
        <f>IF(A1997="","",VLOOKUP(A1997,Stand!C:K,9,0))</f>
        <v/>
      </c>
      <c r="O1997" s="104" t="str">
        <f t="shared" si="875"/>
        <v/>
      </c>
      <c r="P1997" s="105" t="str">
        <f t="shared" si="876"/>
        <v/>
      </c>
      <c r="Q1997" s="105" t="str">
        <f t="shared" si="864"/>
        <v/>
      </c>
      <c r="R1997" s="103" t="str">
        <f t="shared" si="877"/>
        <v/>
      </c>
      <c r="S1997" s="103" t="str">
        <f t="shared" si="878"/>
        <v/>
      </c>
      <c r="T1997" s="106" t="str">
        <f t="shared" si="865"/>
        <v/>
      </c>
      <c r="U1997" s="106" t="str">
        <f t="shared" si="866"/>
        <v/>
      </c>
      <c r="V1997" s="106" t="str">
        <f t="shared" si="867"/>
        <v/>
      </c>
      <c r="W1997" s="105" t="str">
        <f t="shared" si="879"/>
        <v/>
      </c>
      <c r="X1997" s="104" t="str">
        <f t="shared" si="884"/>
        <v/>
      </c>
      <c r="Y1997" s="104" t="str">
        <f t="array" ref="Y1997">IFERROR(IF(ISNUMBER(O1997),IF(COUNT(IF(A1997=$A$2:$A$2427,IF(D1997=$D$2:$D$2427,IF($X$2:$X$2427&gt;0,1))))&gt;0,SUM(IF(A1997=$A$2:$A$2427,IF(D1997=$D$2:$D$2427,$X$2:$X$2427)))/COUNT(IF(A1997=$A$2:$A$2427,IF(D1997=$D$2:$D$2427,IF(ISNUMBER($X$2:$X$2427),1)))),0),""),0)</f>
        <v/>
      </c>
      <c r="Z1997" s="104" t="str">
        <f>IF(ISNUMBER(O1997),IF(I1997&gt;0,(10^(VLOOKUP(D1997,'Species Codes'!B:C,2,0)+VLOOKUP(D1997,'Species Codes'!B:D,3,0)*LOG(E1997)+VLOOKUP(D1997,'Species Codes'!B:E,4,0)*LOG(I1997))),0),"")</f>
        <v/>
      </c>
      <c r="AA1997" s="104" t="str">
        <f>IFERROR((VLOOKUP(D1997,'Species Codes'!B:G,6,0)*Z1997)/2000,"")</f>
        <v/>
      </c>
      <c r="AB1997" s="104" t="e">
        <f>IF(Z1997&gt;0,((IF(OR(D1997="DF",D1997="RA")=TRUE,EXP(VLOOKUP(D1997,'Species Codes'!B:I,8,0)+VLOOKUP(D1997,'Species Codes'!B:J,9,0)*(LN((E1997*2.54)))),IF(OR(D1997="PY",D1997="RC",D1997="WH",D1997="NF")=TRUE,VLOOKUP(D1997,'Species Codes'!B:I,8,0)+VLOOKUP(D1997,'Species Codes'!B:J,9,0)*((E1997*2.54)^2)*(I1997*0.3048),IF(OR(D1997="MD",D1997="BM",D1997="GA")=TRUE,((VLOOKUP(D1997,'Species Codes'!B:I,8,0)*(((((E1997*2.54)+VLOOKUP(D1997,'Species Codes'!B:J,9,0))/VLOOKUP(D1997,'Species Codes'!B:K,10,0))^VLOOKUP(D1997,'Species Codes'!B:L,11,0))*((I1997*0.3048)^VLOOKUP(D1997,'Species Codes'!B:M,12,0))))-(VLOOKUP(D1997,'Species Codes'!B:I,8,0)*((((E1997*2.54)^VLOOKUP(D1997,'Species Codes'!B:L,11,0))*((I1997*0.3048)^VLOOKUP(D1997,'Species Codes'!B:M,12,0))))))*35.3*VLOOKUP(D1997,'Species Codes'!B:G,6,0)/2.2046,VLOOKUP(D1997,'Species Codes'!B:I,8,0)+VLOOKUP(D1997,'Species Codes'!B:J,9,0)*(((E1997*2.54)/100)^2)*(I1997*0.3048)))))*0.0011023),0)</f>
        <v>#N/A</v>
      </c>
      <c r="AC1997" s="104" t="e">
        <f>IF(Z1997&gt;0,((IF(OR(D1997="RA",D1997="OA",D1997="OT",D1997="UN",D1997="PC"),EXP(VLOOKUP(D1997,'Species Codes'!B:O,14,0)+VLOOKUP(D1997,'Species Codes'!B:P,15,0)*LN((E1997*2.54)))-EXP(VLOOKUP(D1997,'Species Codes'!B:O,14,0)+VLOOKUP(D1997,'Species Codes'!B:P,15,0)*LN((E1997*2.54)))*(1/(VLOOKUP(D1997,'Species Codes'!B:Q,16,0)+VLOOKUP(D1997,'Species Codes'!B:R,17,0)*((E1997*2.54)^VLOOKUP(D1997,'Species Codes'!B:S,18,0)))),IF(OR(D1997="BM",D1997="MD",D1997="OA"),EXP(VLOOKUP(D1997,'Species Codes'!B:O,14,0)+VLOOKUP(D1997,'Species Codes'!B:P,15,0)*LN((E1997*2.54)))*(1-(1/(VLOOKUP(D1997,'Species Codes'!B:Q,16,0)+VLOOKUP(D1997,'Species Codes'!B:R,17,0)*((E1997*2.54)^VLOOKUP(D1997,'Species Codes'!B:S,18,0)))))/1000,IF(D1997="DF",EXP(VLOOKUP(D1997,'Species Codes'!B:O,14,0)+VLOOKUP(D1997,'Species Codes'!B:P,15,0)*LN((E1997*2.54))),VLOOKUP(D1997,'Species Codes'!B:O,14,0)+VLOOKUP(D1997,'Species Codes'!B:P,15,0)*(((E1997*2.54)/100)^2)*(I1997*0.3048)))))*0.0011023),0)</f>
        <v>#N/A</v>
      </c>
      <c r="AD1997" s="104" t="e">
        <f t="shared" si="868"/>
        <v>#N/A</v>
      </c>
      <c r="AE1997" s="104" t="e">
        <f t="shared" si="869"/>
        <v>#N/A</v>
      </c>
      <c r="AF1997" s="104" t="e">
        <f>IF(AND(VLOOKUP($D1997,Merchantability!$B:$C,2,0)="Yes",$E1997&gt;=VLOOKUP($D1997,Merchantability!$B:$D,3,0),$E1997&lt;=VLOOKUP($D1997,Merchantability!$B:$E,4,0)),AA1997,0)</f>
        <v>#N/A</v>
      </c>
      <c r="AG1997" s="104" t="e">
        <f>IF(AND(VLOOKUP($D1997,Merchantability!$B:$C,2,0)="Yes",$E1997&gt;=VLOOKUP($D1997,Merchantability!$B:$D,3,0),$E1997&lt;=VLOOKUP($D1997,Merchantability!$B:$E,4,0)),AB1997,0)</f>
        <v>#N/A</v>
      </c>
      <c r="AH1997" s="104" t="e">
        <f>IF(AND(VLOOKUP($D1997,Merchantability!$B:$C,2,0)="Yes",$E1997&gt;=VLOOKUP($D1997,Merchantability!$B:$D,3,0),$E1997&lt;=VLOOKUP($D1997,Merchantability!$B:$E,4,0)),AC1997,0)</f>
        <v>#N/A</v>
      </c>
      <c r="AI1997" s="104" t="e">
        <f t="shared" si="870"/>
        <v>#N/A</v>
      </c>
      <c r="AJ1997" s="104" t="e">
        <f t="shared" si="871"/>
        <v>#VALUE!</v>
      </c>
      <c r="AK1997" s="104" t="e">
        <f t="shared" si="872"/>
        <v>#N/A</v>
      </c>
      <c r="AL1997" s="104" t="e">
        <f t="shared" si="873"/>
        <v>#N/A</v>
      </c>
      <c r="AM1997" s="104" t="e">
        <f t="shared" si="874"/>
        <v>#N/A</v>
      </c>
      <c r="AN1997" s="104" t="e">
        <f t="shared" si="885"/>
        <v>#N/A</v>
      </c>
      <c r="AO1997" s="104" t="e">
        <f t="shared" si="886"/>
        <v>#N/A</v>
      </c>
      <c r="AP1997" s="104" t="e">
        <f t="shared" si="887"/>
        <v>#N/A</v>
      </c>
      <c r="AQ1997" s="104" t="e">
        <f t="shared" si="888"/>
        <v>#N/A</v>
      </c>
      <c r="AR1997" s="105" t="str">
        <f t="shared" si="880"/>
        <v/>
      </c>
      <c r="AS1997" s="105" t="str">
        <f t="shared" si="881"/>
        <v/>
      </c>
      <c r="AT1997" s="108" t="str">
        <f t="shared" si="882"/>
        <v/>
      </c>
      <c r="AU1997" s="108" t="str">
        <f t="shared" si="883"/>
        <v/>
      </c>
      <c r="AV1997" s="107" t="str">
        <f>IF(ISNUMBER(O1997),IF(VLOOKUP($A1997,Stand!C:J,8,FALSE)="Short",AT1997,AU1997),"")</f>
        <v/>
      </c>
      <c r="AW1997" s="109" t="str">
        <f t="shared" si="889"/>
        <v/>
      </c>
      <c r="AX1997" s="109" t="str">
        <f t="shared" si="890"/>
        <v/>
      </c>
      <c r="AY1997" s="112" t="str">
        <f>IF(ISNUMBER(O1997),IF(AND(VLOOKUP($D1997,Merchantability!$B:$C,2,0)="Yes",$E1997&gt;=VLOOKUP($D1997,Merchantability!$B:$D,3,0),$E1997&lt;=VLOOKUP($D1997,Merchantability!$B:$E,4,0)),(AV1997*O1997)*(1-$H1997/100),""),"")</f>
        <v/>
      </c>
      <c r="AZ1997" s="116"/>
      <c r="BA1997" s="116"/>
      <c r="BB1997" s="116"/>
      <c r="BE1997" s="62"/>
      <c r="BF1997" s="63"/>
    </row>
    <row r="1998" spans="1:58" ht="12.75" customHeight="1" x14ac:dyDescent="0.25">
      <c r="A1998" s="334"/>
      <c r="B1998" s="334"/>
      <c r="C1998" s="332"/>
      <c r="D1998" s="334"/>
      <c r="E1998" s="335"/>
      <c r="F1998" s="334"/>
      <c r="G1998" s="332"/>
      <c r="H1998" s="332"/>
      <c r="I1998" s="334"/>
      <c r="J1998" s="336"/>
      <c r="K1998" s="332"/>
      <c r="L1998" s="332"/>
      <c r="M1998" s="76"/>
      <c r="N1998" s="103" t="str">
        <f>IF(A1998="","",VLOOKUP(A1998,Stand!C:K,9,0))</f>
        <v/>
      </c>
      <c r="O1998" s="104" t="str">
        <f t="shared" si="875"/>
        <v/>
      </c>
      <c r="P1998" s="105" t="str">
        <f t="shared" si="876"/>
        <v/>
      </c>
      <c r="Q1998" s="105" t="str">
        <f t="shared" si="864"/>
        <v/>
      </c>
      <c r="R1998" s="103" t="str">
        <f t="shared" si="877"/>
        <v/>
      </c>
      <c r="S1998" s="103" t="str">
        <f t="shared" si="878"/>
        <v/>
      </c>
      <c r="T1998" s="106" t="str">
        <f t="shared" si="865"/>
        <v/>
      </c>
      <c r="U1998" s="106" t="str">
        <f t="shared" si="866"/>
        <v/>
      </c>
      <c r="V1998" s="106" t="str">
        <f t="shared" si="867"/>
        <v/>
      </c>
      <c r="W1998" s="105" t="str">
        <f t="shared" si="879"/>
        <v/>
      </c>
      <c r="X1998" s="104" t="str">
        <f t="shared" si="884"/>
        <v/>
      </c>
      <c r="Y1998" s="104" t="str">
        <f t="array" ref="Y1998">IFERROR(IF(ISNUMBER(O1998),IF(COUNT(IF(A1998=$A$2:$A$2427,IF(D1998=$D$2:$D$2427,IF($X$2:$X$2427&gt;0,1))))&gt;0,SUM(IF(A1998=$A$2:$A$2427,IF(D1998=$D$2:$D$2427,$X$2:$X$2427)))/COUNT(IF(A1998=$A$2:$A$2427,IF(D1998=$D$2:$D$2427,IF(ISNUMBER($X$2:$X$2427),1)))),0),""),0)</f>
        <v/>
      </c>
      <c r="Z1998" s="104" t="str">
        <f>IF(ISNUMBER(O1998),IF(I1998&gt;0,(10^(VLOOKUP(D1998,'Species Codes'!B:C,2,0)+VLOOKUP(D1998,'Species Codes'!B:D,3,0)*LOG(E1998)+VLOOKUP(D1998,'Species Codes'!B:E,4,0)*LOG(I1998))),0),"")</f>
        <v/>
      </c>
      <c r="AA1998" s="104" t="str">
        <f>IFERROR((VLOOKUP(D1998,'Species Codes'!B:G,6,0)*Z1998)/2000,"")</f>
        <v/>
      </c>
      <c r="AB1998" s="104" t="e">
        <f>IF(Z1998&gt;0,((IF(OR(D1998="DF",D1998="RA")=TRUE,EXP(VLOOKUP(D1998,'Species Codes'!B:I,8,0)+VLOOKUP(D1998,'Species Codes'!B:J,9,0)*(LN((E1998*2.54)))),IF(OR(D1998="PY",D1998="RC",D1998="WH",D1998="NF")=TRUE,VLOOKUP(D1998,'Species Codes'!B:I,8,0)+VLOOKUP(D1998,'Species Codes'!B:J,9,0)*((E1998*2.54)^2)*(I1998*0.3048),IF(OR(D1998="MD",D1998="BM",D1998="GA")=TRUE,((VLOOKUP(D1998,'Species Codes'!B:I,8,0)*(((((E1998*2.54)+VLOOKUP(D1998,'Species Codes'!B:J,9,0))/VLOOKUP(D1998,'Species Codes'!B:K,10,0))^VLOOKUP(D1998,'Species Codes'!B:L,11,0))*((I1998*0.3048)^VLOOKUP(D1998,'Species Codes'!B:M,12,0))))-(VLOOKUP(D1998,'Species Codes'!B:I,8,0)*((((E1998*2.54)^VLOOKUP(D1998,'Species Codes'!B:L,11,0))*((I1998*0.3048)^VLOOKUP(D1998,'Species Codes'!B:M,12,0))))))*35.3*VLOOKUP(D1998,'Species Codes'!B:G,6,0)/2.2046,VLOOKUP(D1998,'Species Codes'!B:I,8,0)+VLOOKUP(D1998,'Species Codes'!B:J,9,0)*(((E1998*2.54)/100)^2)*(I1998*0.3048)))))*0.0011023),0)</f>
        <v>#N/A</v>
      </c>
      <c r="AC1998" s="104" t="e">
        <f>IF(Z1998&gt;0,((IF(OR(D1998="RA",D1998="OA",D1998="OT",D1998="UN",D1998="PC"),EXP(VLOOKUP(D1998,'Species Codes'!B:O,14,0)+VLOOKUP(D1998,'Species Codes'!B:P,15,0)*LN((E1998*2.54)))-EXP(VLOOKUP(D1998,'Species Codes'!B:O,14,0)+VLOOKUP(D1998,'Species Codes'!B:P,15,0)*LN((E1998*2.54)))*(1/(VLOOKUP(D1998,'Species Codes'!B:Q,16,0)+VLOOKUP(D1998,'Species Codes'!B:R,17,0)*((E1998*2.54)^VLOOKUP(D1998,'Species Codes'!B:S,18,0)))),IF(OR(D1998="BM",D1998="MD",D1998="OA"),EXP(VLOOKUP(D1998,'Species Codes'!B:O,14,0)+VLOOKUP(D1998,'Species Codes'!B:P,15,0)*LN((E1998*2.54)))*(1-(1/(VLOOKUP(D1998,'Species Codes'!B:Q,16,0)+VLOOKUP(D1998,'Species Codes'!B:R,17,0)*((E1998*2.54)^VLOOKUP(D1998,'Species Codes'!B:S,18,0)))))/1000,IF(D1998="DF",EXP(VLOOKUP(D1998,'Species Codes'!B:O,14,0)+VLOOKUP(D1998,'Species Codes'!B:P,15,0)*LN((E1998*2.54))),VLOOKUP(D1998,'Species Codes'!B:O,14,0)+VLOOKUP(D1998,'Species Codes'!B:P,15,0)*(((E1998*2.54)/100)^2)*(I1998*0.3048)))))*0.0011023),0)</f>
        <v>#N/A</v>
      </c>
      <c r="AD1998" s="104" t="e">
        <f t="shared" si="868"/>
        <v>#N/A</v>
      </c>
      <c r="AE1998" s="104" t="e">
        <f t="shared" si="869"/>
        <v>#N/A</v>
      </c>
      <c r="AF1998" s="104" t="e">
        <f>IF(AND(VLOOKUP($D1998,Merchantability!$B:$C,2,0)="Yes",$E1998&gt;=VLOOKUP($D1998,Merchantability!$B:$D,3,0),$E1998&lt;=VLOOKUP($D1998,Merchantability!$B:$E,4,0)),AA1998,0)</f>
        <v>#N/A</v>
      </c>
      <c r="AG1998" s="104" t="e">
        <f>IF(AND(VLOOKUP($D1998,Merchantability!$B:$C,2,0)="Yes",$E1998&gt;=VLOOKUP($D1998,Merchantability!$B:$D,3,0),$E1998&lt;=VLOOKUP($D1998,Merchantability!$B:$E,4,0)),AB1998,0)</f>
        <v>#N/A</v>
      </c>
      <c r="AH1998" s="104" t="e">
        <f>IF(AND(VLOOKUP($D1998,Merchantability!$B:$C,2,0)="Yes",$E1998&gt;=VLOOKUP($D1998,Merchantability!$B:$D,3,0),$E1998&lt;=VLOOKUP($D1998,Merchantability!$B:$E,4,0)),AC1998,0)</f>
        <v>#N/A</v>
      </c>
      <c r="AI1998" s="104" t="e">
        <f t="shared" si="870"/>
        <v>#N/A</v>
      </c>
      <c r="AJ1998" s="104" t="e">
        <f t="shared" si="871"/>
        <v>#VALUE!</v>
      </c>
      <c r="AK1998" s="104" t="e">
        <f t="shared" si="872"/>
        <v>#N/A</v>
      </c>
      <c r="AL1998" s="104" t="e">
        <f t="shared" si="873"/>
        <v>#N/A</v>
      </c>
      <c r="AM1998" s="104" t="e">
        <f t="shared" si="874"/>
        <v>#N/A</v>
      </c>
      <c r="AN1998" s="104" t="e">
        <f t="shared" si="885"/>
        <v>#N/A</v>
      </c>
      <c r="AO1998" s="104" t="e">
        <f t="shared" si="886"/>
        <v>#N/A</v>
      </c>
      <c r="AP1998" s="104" t="e">
        <f t="shared" si="887"/>
        <v>#N/A</v>
      </c>
      <c r="AQ1998" s="104" t="e">
        <f t="shared" si="888"/>
        <v>#N/A</v>
      </c>
      <c r="AR1998" s="105" t="str">
        <f t="shared" si="880"/>
        <v/>
      </c>
      <c r="AS1998" s="105" t="str">
        <f t="shared" si="881"/>
        <v/>
      </c>
      <c r="AT1998" s="108" t="str">
        <f t="shared" si="882"/>
        <v/>
      </c>
      <c r="AU1998" s="108" t="str">
        <f t="shared" si="883"/>
        <v/>
      </c>
      <c r="AV1998" s="107" t="str">
        <f>IF(ISNUMBER(O1998),IF(VLOOKUP($A1998,Stand!C:J,8,FALSE)="Short",AT1998,AU1998),"")</f>
        <v/>
      </c>
      <c r="AW1998" s="109" t="str">
        <f t="shared" si="889"/>
        <v/>
      </c>
      <c r="AX1998" s="109" t="str">
        <f t="shared" si="890"/>
        <v/>
      </c>
      <c r="AY1998" s="112" t="str">
        <f>IF(ISNUMBER(O1998),IF(AND(VLOOKUP($D1998,Merchantability!$B:$C,2,0)="Yes",$E1998&gt;=VLOOKUP($D1998,Merchantability!$B:$D,3,0),$E1998&lt;=VLOOKUP($D1998,Merchantability!$B:$E,4,0)),(AV1998*O1998)*(1-$H1998/100),""),"")</f>
        <v/>
      </c>
      <c r="AZ1998" s="116"/>
      <c r="BA1998" s="116"/>
      <c r="BB1998" s="116"/>
      <c r="BE1998" s="62"/>
      <c r="BF1998" s="63"/>
    </row>
    <row r="1999" spans="1:58" ht="12.75" customHeight="1" x14ac:dyDescent="0.25">
      <c r="A1999" s="334"/>
      <c r="B1999" s="334"/>
      <c r="C1999" s="332"/>
      <c r="D1999" s="334"/>
      <c r="E1999" s="335"/>
      <c r="F1999" s="334"/>
      <c r="G1999" s="332"/>
      <c r="H1999" s="332"/>
      <c r="I1999" s="334"/>
      <c r="J1999" s="336"/>
      <c r="K1999" s="332"/>
      <c r="L1999" s="332"/>
      <c r="M1999" s="76"/>
      <c r="N1999" s="103" t="str">
        <f>IF(A1999="","",VLOOKUP(A1999,Stand!C:K,9,0))</f>
        <v/>
      </c>
      <c r="O1999" s="104" t="str">
        <f t="shared" si="875"/>
        <v/>
      </c>
      <c r="P1999" s="105" t="str">
        <f t="shared" si="876"/>
        <v/>
      </c>
      <c r="Q1999" s="105" t="str">
        <f t="shared" si="864"/>
        <v/>
      </c>
      <c r="R1999" s="103" t="str">
        <f t="shared" si="877"/>
        <v/>
      </c>
      <c r="S1999" s="103" t="str">
        <f t="shared" si="878"/>
        <v/>
      </c>
      <c r="T1999" s="106" t="str">
        <f t="shared" si="865"/>
        <v/>
      </c>
      <c r="U1999" s="106" t="str">
        <f t="shared" si="866"/>
        <v/>
      </c>
      <c r="V1999" s="106" t="str">
        <f t="shared" si="867"/>
        <v/>
      </c>
      <c r="W1999" s="105" t="str">
        <f t="shared" si="879"/>
        <v/>
      </c>
      <c r="X1999" s="104" t="str">
        <f t="shared" si="884"/>
        <v/>
      </c>
      <c r="Y1999" s="104" t="str">
        <f t="array" ref="Y1999">IFERROR(IF(ISNUMBER(O1999),IF(COUNT(IF(A1999=$A$2:$A$2427,IF(D1999=$D$2:$D$2427,IF($X$2:$X$2427&gt;0,1))))&gt;0,SUM(IF(A1999=$A$2:$A$2427,IF(D1999=$D$2:$D$2427,$X$2:$X$2427)))/COUNT(IF(A1999=$A$2:$A$2427,IF(D1999=$D$2:$D$2427,IF(ISNUMBER($X$2:$X$2427),1)))),0),""),0)</f>
        <v/>
      </c>
      <c r="Z1999" s="104" t="str">
        <f>IF(ISNUMBER(O1999),IF(I1999&gt;0,(10^(VLOOKUP(D1999,'Species Codes'!B:C,2,0)+VLOOKUP(D1999,'Species Codes'!B:D,3,0)*LOG(E1999)+VLOOKUP(D1999,'Species Codes'!B:E,4,0)*LOG(I1999))),0),"")</f>
        <v/>
      </c>
      <c r="AA1999" s="104" t="str">
        <f>IFERROR((VLOOKUP(D1999,'Species Codes'!B:G,6,0)*Z1999)/2000,"")</f>
        <v/>
      </c>
      <c r="AB1999" s="104" t="e">
        <f>IF(Z1999&gt;0,((IF(OR(D1999="DF",D1999="RA")=TRUE,EXP(VLOOKUP(D1999,'Species Codes'!B:I,8,0)+VLOOKUP(D1999,'Species Codes'!B:J,9,0)*(LN((E1999*2.54)))),IF(OR(D1999="PY",D1999="RC",D1999="WH",D1999="NF")=TRUE,VLOOKUP(D1999,'Species Codes'!B:I,8,0)+VLOOKUP(D1999,'Species Codes'!B:J,9,0)*((E1999*2.54)^2)*(I1999*0.3048),IF(OR(D1999="MD",D1999="BM",D1999="GA")=TRUE,((VLOOKUP(D1999,'Species Codes'!B:I,8,0)*(((((E1999*2.54)+VLOOKUP(D1999,'Species Codes'!B:J,9,0))/VLOOKUP(D1999,'Species Codes'!B:K,10,0))^VLOOKUP(D1999,'Species Codes'!B:L,11,0))*((I1999*0.3048)^VLOOKUP(D1999,'Species Codes'!B:M,12,0))))-(VLOOKUP(D1999,'Species Codes'!B:I,8,0)*((((E1999*2.54)^VLOOKUP(D1999,'Species Codes'!B:L,11,0))*((I1999*0.3048)^VLOOKUP(D1999,'Species Codes'!B:M,12,0))))))*35.3*VLOOKUP(D1999,'Species Codes'!B:G,6,0)/2.2046,VLOOKUP(D1999,'Species Codes'!B:I,8,0)+VLOOKUP(D1999,'Species Codes'!B:J,9,0)*(((E1999*2.54)/100)^2)*(I1999*0.3048)))))*0.0011023),0)</f>
        <v>#N/A</v>
      </c>
      <c r="AC1999" s="104" t="e">
        <f>IF(Z1999&gt;0,((IF(OR(D1999="RA",D1999="OA",D1999="OT",D1999="UN",D1999="PC"),EXP(VLOOKUP(D1999,'Species Codes'!B:O,14,0)+VLOOKUP(D1999,'Species Codes'!B:P,15,0)*LN((E1999*2.54)))-EXP(VLOOKUP(D1999,'Species Codes'!B:O,14,0)+VLOOKUP(D1999,'Species Codes'!B:P,15,0)*LN((E1999*2.54)))*(1/(VLOOKUP(D1999,'Species Codes'!B:Q,16,0)+VLOOKUP(D1999,'Species Codes'!B:R,17,0)*((E1999*2.54)^VLOOKUP(D1999,'Species Codes'!B:S,18,0)))),IF(OR(D1999="BM",D1999="MD",D1999="OA"),EXP(VLOOKUP(D1999,'Species Codes'!B:O,14,0)+VLOOKUP(D1999,'Species Codes'!B:P,15,0)*LN((E1999*2.54)))*(1-(1/(VLOOKUP(D1999,'Species Codes'!B:Q,16,0)+VLOOKUP(D1999,'Species Codes'!B:R,17,0)*((E1999*2.54)^VLOOKUP(D1999,'Species Codes'!B:S,18,0)))))/1000,IF(D1999="DF",EXP(VLOOKUP(D1999,'Species Codes'!B:O,14,0)+VLOOKUP(D1999,'Species Codes'!B:P,15,0)*LN((E1999*2.54))),VLOOKUP(D1999,'Species Codes'!B:O,14,0)+VLOOKUP(D1999,'Species Codes'!B:P,15,0)*(((E1999*2.54)/100)^2)*(I1999*0.3048)))))*0.0011023),0)</f>
        <v>#N/A</v>
      </c>
      <c r="AD1999" s="104" t="e">
        <f t="shared" si="868"/>
        <v>#N/A</v>
      </c>
      <c r="AE1999" s="104" t="e">
        <f t="shared" si="869"/>
        <v>#N/A</v>
      </c>
      <c r="AF1999" s="104" t="e">
        <f>IF(AND(VLOOKUP($D1999,Merchantability!$B:$C,2,0)="Yes",$E1999&gt;=VLOOKUP($D1999,Merchantability!$B:$D,3,0),$E1999&lt;=VLOOKUP($D1999,Merchantability!$B:$E,4,0)),AA1999,0)</f>
        <v>#N/A</v>
      </c>
      <c r="AG1999" s="104" t="e">
        <f>IF(AND(VLOOKUP($D1999,Merchantability!$B:$C,2,0)="Yes",$E1999&gt;=VLOOKUP($D1999,Merchantability!$B:$D,3,0),$E1999&lt;=VLOOKUP($D1999,Merchantability!$B:$E,4,0)),AB1999,0)</f>
        <v>#N/A</v>
      </c>
      <c r="AH1999" s="104" t="e">
        <f>IF(AND(VLOOKUP($D1999,Merchantability!$B:$C,2,0)="Yes",$E1999&gt;=VLOOKUP($D1999,Merchantability!$B:$D,3,0),$E1999&lt;=VLOOKUP($D1999,Merchantability!$B:$E,4,0)),AC1999,0)</f>
        <v>#N/A</v>
      </c>
      <c r="AI1999" s="104" t="e">
        <f t="shared" si="870"/>
        <v>#N/A</v>
      </c>
      <c r="AJ1999" s="104" t="e">
        <f t="shared" si="871"/>
        <v>#VALUE!</v>
      </c>
      <c r="AK1999" s="104" t="e">
        <f t="shared" si="872"/>
        <v>#N/A</v>
      </c>
      <c r="AL1999" s="104" t="e">
        <f t="shared" si="873"/>
        <v>#N/A</v>
      </c>
      <c r="AM1999" s="104" t="e">
        <f t="shared" si="874"/>
        <v>#N/A</v>
      </c>
      <c r="AN1999" s="104" t="e">
        <f t="shared" si="885"/>
        <v>#N/A</v>
      </c>
      <c r="AO1999" s="104" t="e">
        <f t="shared" si="886"/>
        <v>#N/A</v>
      </c>
      <c r="AP1999" s="104" t="e">
        <f t="shared" si="887"/>
        <v>#N/A</v>
      </c>
      <c r="AQ1999" s="104" t="e">
        <f t="shared" si="888"/>
        <v>#N/A</v>
      </c>
      <c r="AR1999" s="105" t="str">
        <f t="shared" si="880"/>
        <v/>
      </c>
      <c r="AS1999" s="105" t="str">
        <f t="shared" si="881"/>
        <v/>
      </c>
      <c r="AT1999" s="108" t="str">
        <f t="shared" si="882"/>
        <v/>
      </c>
      <c r="AU1999" s="108" t="str">
        <f t="shared" si="883"/>
        <v/>
      </c>
      <c r="AV1999" s="107" t="str">
        <f>IF(ISNUMBER(O1999),IF(VLOOKUP($A1999,Stand!C:J,8,FALSE)="Short",AT1999,AU1999),"")</f>
        <v/>
      </c>
      <c r="AW1999" s="109" t="str">
        <f t="shared" si="889"/>
        <v/>
      </c>
      <c r="AX1999" s="109" t="str">
        <f t="shared" si="890"/>
        <v/>
      </c>
      <c r="AY1999" s="112" t="str">
        <f>IF(ISNUMBER(O1999),IF(AND(VLOOKUP($D1999,Merchantability!$B:$C,2,0)="Yes",$E1999&gt;=VLOOKUP($D1999,Merchantability!$B:$D,3,0),$E1999&lt;=VLOOKUP($D1999,Merchantability!$B:$E,4,0)),(AV1999*O1999)*(1-$H1999/100),""),"")</f>
        <v/>
      </c>
      <c r="AZ1999" s="116"/>
      <c r="BA1999" s="116"/>
      <c r="BB1999" s="116"/>
      <c r="BE1999" s="62"/>
      <c r="BF1999" s="63"/>
    </row>
    <row r="2000" spans="1:58" ht="12.75" customHeight="1" x14ac:dyDescent="0.25">
      <c r="A2000" s="334"/>
      <c r="B2000" s="334"/>
      <c r="C2000" s="332"/>
      <c r="D2000" s="334"/>
      <c r="E2000" s="335"/>
      <c r="F2000" s="334"/>
      <c r="G2000" s="332"/>
      <c r="H2000" s="332"/>
      <c r="I2000" s="334"/>
      <c r="J2000" s="336"/>
      <c r="K2000" s="332"/>
      <c r="L2000" s="332"/>
      <c r="M2000" s="76"/>
      <c r="N2000" s="103" t="str">
        <f>IF(A2000="","",VLOOKUP(A2000,Stand!C:K,9,0))</f>
        <v/>
      </c>
      <c r="O2000" s="104" t="str">
        <f t="shared" si="875"/>
        <v/>
      </c>
      <c r="P2000" s="105" t="str">
        <f t="shared" si="876"/>
        <v/>
      </c>
      <c r="Q2000" s="105" t="str">
        <f t="shared" si="864"/>
        <v/>
      </c>
      <c r="R2000" s="103" t="str">
        <f t="shared" si="877"/>
        <v/>
      </c>
      <c r="S2000" s="103" t="str">
        <f t="shared" si="878"/>
        <v/>
      </c>
      <c r="T2000" s="106" t="str">
        <f t="shared" si="865"/>
        <v/>
      </c>
      <c r="U2000" s="106" t="str">
        <f t="shared" si="866"/>
        <v/>
      </c>
      <c r="V2000" s="106" t="str">
        <f t="shared" si="867"/>
        <v/>
      </c>
      <c r="W2000" s="105" t="str">
        <f t="shared" si="879"/>
        <v/>
      </c>
      <c r="X2000" s="104" t="str">
        <f t="shared" si="884"/>
        <v/>
      </c>
      <c r="Y2000" s="104" t="str">
        <f t="array" ref="Y2000">IFERROR(IF(ISNUMBER(O2000),IF(COUNT(IF(A2000=$A$2:$A$2427,IF(D2000=$D$2:$D$2427,IF($X$2:$X$2427&gt;0,1))))&gt;0,SUM(IF(A2000=$A$2:$A$2427,IF(D2000=$D$2:$D$2427,$X$2:$X$2427)))/COUNT(IF(A2000=$A$2:$A$2427,IF(D2000=$D$2:$D$2427,IF(ISNUMBER($X$2:$X$2427),1)))),0),""),0)</f>
        <v/>
      </c>
      <c r="Z2000" s="104" t="str">
        <f>IF(ISNUMBER(O2000),IF(I2000&gt;0,(10^(VLOOKUP(D2000,'Species Codes'!B:C,2,0)+VLOOKUP(D2000,'Species Codes'!B:D,3,0)*LOG(E2000)+VLOOKUP(D2000,'Species Codes'!B:E,4,0)*LOG(I2000))),0),"")</f>
        <v/>
      </c>
      <c r="AA2000" s="104" t="str">
        <f>IFERROR((VLOOKUP(D2000,'Species Codes'!B:G,6,0)*Z2000)/2000,"")</f>
        <v/>
      </c>
      <c r="AB2000" s="104" t="e">
        <f>IF(Z2000&gt;0,((IF(OR(D2000="DF",D2000="RA")=TRUE,EXP(VLOOKUP(D2000,'Species Codes'!B:I,8,0)+VLOOKUP(D2000,'Species Codes'!B:J,9,0)*(LN((E2000*2.54)))),IF(OR(D2000="PY",D2000="RC",D2000="WH",D2000="NF")=TRUE,VLOOKUP(D2000,'Species Codes'!B:I,8,0)+VLOOKUP(D2000,'Species Codes'!B:J,9,0)*((E2000*2.54)^2)*(I2000*0.3048),IF(OR(D2000="MD",D2000="BM",D2000="GA")=TRUE,((VLOOKUP(D2000,'Species Codes'!B:I,8,0)*(((((E2000*2.54)+VLOOKUP(D2000,'Species Codes'!B:J,9,0))/VLOOKUP(D2000,'Species Codes'!B:K,10,0))^VLOOKUP(D2000,'Species Codes'!B:L,11,0))*((I2000*0.3048)^VLOOKUP(D2000,'Species Codes'!B:M,12,0))))-(VLOOKUP(D2000,'Species Codes'!B:I,8,0)*((((E2000*2.54)^VLOOKUP(D2000,'Species Codes'!B:L,11,0))*((I2000*0.3048)^VLOOKUP(D2000,'Species Codes'!B:M,12,0))))))*35.3*VLOOKUP(D2000,'Species Codes'!B:G,6,0)/2.2046,VLOOKUP(D2000,'Species Codes'!B:I,8,0)+VLOOKUP(D2000,'Species Codes'!B:J,9,0)*(((E2000*2.54)/100)^2)*(I2000*0.3048)))))*0.0011023),0)</f>
        <v>#N/A</v>
      </c>
      <c r="AC2000" s="104" t="e">
        <f>IF(Z2000&gt;0,((IF(OR(D2000="RA",D2000="OA",D2000="OT",D2000="UN",D2000="PC"),EXP(VLOOKUP(D2000,'Species Codes'!B:O,14,0)+VLOOKUP(D2000,'Species Codes'!B:P,15,0)*LN((E2000*2.54)))-EXP(VLOOKUP(D2000,'Species Codes'!B:O,14,0)+VLOOKUP(D2000,'Species Codes'!B:P,15,0)*LN((E2000*2.54)))*(1/(VLOOKUP(D2000,'Species Codes'!B:Q,16,0)+VLOOKUP(D2000,'Species Codes'!B:R,17,0)*((E2000*2.54)^VLOOKUP(D2000,'Species Codes'!B:S,18,0)))),IF(OR(D2000="BM",D2000="MD",D2000="OA"),EXP(VLOOKUP(D2000,'Species Codes'!B:O,14,0)+VLOOKUP(D2000,'Species Codes'!B:P,15,0)*LN((E2000*2.54)))*(1-(1/(VLOOKUP(D2000,'Species Codes'!B:Q,16,0)+VLOOKUP(D2000,'Species Codes'!B:R,17,0)*((E2000*2.54)^VLOOKUP(D2000,'Species Codes'!B:S,18,0)))))/1000,IF(D2000="DF",EXP(VLOOKUP(D2000,'Species Codes'!B:O,14,0)+VLOOKUP(D2000,'Species Codes'!B:P,15,0)*LN((E2000*2.54))),VLOOKUP(D2000,'Species Codes'!B:O,14,0)+VLOOKUP(D2000,'Species Codes'!B:P,15,0)*(((E2000*2.54)/100)^2)*(I2000*0.3048)))))*0.0011023),0)</f>
        <v>#N/A</v>
      </c>
      <c r="AD2000" s="104" t="e">
        <f t="shared" si="868"/>
        <v>#N/A</v>
      </c>
      <c r="AE2000" s="104" t="e">
        <f t="shared" si="869"/>
        <v>#N/A</v>
      </c>
      <c r="AF2000" s="104" t="e">
        <f>IF(AND(VLOOKUP($D2000,Merchantability!$B:$C,2,0)="Yes",$E2000&gt;=VLOOKUP($D2000,Merchantability!$B:$D,3,0),$E2000&lt;=VLOOKUP($D2000,Merchantability!$B:$E,4,0)),AA2000,0)</f>
        <v>#N/A</v>
      </c>
      <c r="AG2000" s="104" t="e">
        <f>IF(AND(VLOOKUP($D2000,Merchantability!$B:$C,2,0)="Yes",$E2000&gt;=VLOOKUP($D2000,Merchantability!$B:$D,3,0),$E2000&lt;=VLOOKUP($D2000,Merchantability!$B:$E,4,0)),AB2000,0)</f>
        <v>#N/A</v>
      </c>
      <c r="AH2000" s="104" t="e">
        <f>IF(AND(VLOOKUP($D2000,Merchantability!$B:$C,2,0)="Yes",$E2000&gt;=VLOOKUP($D2000,Merchantability!$B:$D,3,0),$E2000&lt;=VLOOKUP($D2000,Merchantability!$B:$E,4,0)),AC2000,0)</f>
        <v>#N/A</v>
      </c>
      <c r="AI2000" s="104" t="e">
        <f t="shared" si="870"/>
        <v>#N/A</v>
      </c>
      <c r="AJ2000" s="104" t="e">
        <f t="shared" si="871"/>
        <v>#VALUE!</v>
      </c>
      <c r="AK2000" s="104" t="e">
        <f t="shared" si="872"/>
        <v>#N/A</v>
      </c>
      <c r="AL2000" s="104" t="e">
        <f t="shared" si="873"/>
        <v>#N/A</v>
      </c>
      <c r="AM2000" s="104" t="e">
        <f t="shared" si="874"/>
        <v>#N/A</v>
      </c>
      <c r="AN2000" s="104" t="e">
        <f t="shared" si="885"/>
        <v>#N/A</v>
      </c>
      <c r="AO2000" s="104" t="e">
        <f t="shared" si="886"/>
        <v>#N/A</v>
      </c>
      <c r="AP2000" s="104" t="e">
        <f t="shared" si="887"/>
        <v>#N/A</v>
      </c>
      <c r="AQ2000" s="104" t="e">
        <f t="shared" si="888"/>
        <v>#N/A</v>
      </c>
      <c r="AR2000" s="105" t="str">
        <f t="shared" si="880"/>
        <v/>
      </c>
      <c r="AS2000" s="105" t="str">
        <f t="shared" si="881"/>
        <v/>
      </c>
      <c r="AT2000" s="108" t="str">
        <f t="shared" si="882"/>
        <v/>
      </c>
      <c r="AU2000" s="108" t="str">
        <f t="shared" si="883"/>
        <v/>
      </c>
      <c r="AV2000" s="107" t="str">
        <f>IF(ISNUMBER(O2000),IF(VLOOKUP($A2000,Stand!C:J,8,FALSE)="Short",AT2000,AU2000),"")</f>
        <v/>
      </c>
      <c r="AW2000" s="109" t="str">
        <f t="shared" si="889"/>
        <v/>
      </c>
      <c r="AX2000" s="109" t="str">
        <f t="shared" si="890"/>
        <v/>
      </c>
      <c r="AY2000" s="112" t="str">
        <f>IF(ISNUMBER(O2000),IF(AND(VLOOKUP($D2000,Merchantability!$B:$C,2,0)="Yes",$E2000&gt;=VLOOKUP($D2000,Merchantability!$B:$D,3,0),$E2000&lt;=VLOOKUP($D2000,Merchantability!$B:$E,4,0)),(AV2000*O2000)*(1-$H2000/100),""),"")</f>
        <v/>
      </c>
      <c r="AZ2000" s="116"/>
      <c r="BA2000" s="116"/>
      <c r="BB2000" s="116"/>
      <c r="BE2000" s="62"/>
      <c r="BF2000" s="63"/>
    </row>
    <row r="2001" spans="1:58" ht="12.75" customHeight="1" x14ac:dyDescent="0.25">
      <c r="A2001" s="334"/>
      <c r="B2001" s="334"/>
      <c r="C2001" s="332"/>
      <c r="D2001" s="334"/>
      <c r="E2001" s="335"/>
      <c r="F2001" s="334"/>
      <c r="G2001" s="332"/>
      <c r="H2001" s="332"/>
      <c r="I2001" s="334"/>
      <c r="J2001" s="336"/>
      <c r="K2001" s="332"/>
      <c r="L2001" s="332"/>
      <c r="M2001" s="76"/>
      <c r="N2001" s="103" t="str">
        <f>IF(A2001="","",VLOOKUP(A2001,Stand!C:K,9,0))</f>
        <v/>
      </c>
      <c r="O2001" s="104" t="str">
        <f t="shared" si="875"/>
        <v/>
      </c>
      <c r="P2001" s="105" t="str">
        <f t="shared" si="876"/>
        <v/>
      </c>
      <c r="Q2001" s="105" t="str">
        <f t="shared" si="864"/>
        <v/>
      </c>
      <c r="R2001" s="103" t="str">
        <f t="shared" si="877"/>
        <v/>
      </c>
      <c r="S2001" s="103" t="str">
        <f t="shared" si="878"/>
        <v/>
      </c>
      <c r="T2001" s="106" t="str">
        <f t="shared" si="865"/>
        <v/>
      </c>
      <c r="U2001" s="106" t="str">
        <f t="shared" si="866"/>
        <v/>
      </c>
      <c r="V2001" s="106" t="str">
        <f t="shared" si="867"/>
        <v/>
      </c>
      <c r="W2001" s="105" t="str">
        <f t="shared" si="879"/>
        <v/>
      </c>
      <c r="X2001" s="104" t="str">
        <f t="shared" si="884"/>
        <v/>
      </c>
      <c r="Y2001" s="104" t="str">
        <f t="array" ref="Y2001">IFERROR(IF(ISNUMBER(O2001),IF(COUNT(IF(A2001=$A$2:$A$2427,IF(D2001=$D$2:$D$2427,IF($X$2:$X$2427&gt;0,1))))&gt;0,SUM(IF(A2001=$A$2:$A$2427,IF(D2001=$D$2:$D$2427,$X$2:$X$2427)))/COUNT(IF(A2001=$A$2:$A$2427,IF(D2001=$D$2:$D$2427,IF(ISNUMBER($X$2:$X$2427),1)))),0),""),0)</f>
        <v/>
      </c>
      <c r="Z2001" s="104" t="str">
        <f>IF(ISNUMBER(O2001),IF(I2001&gt;0,(10^(VLOOKUP(D2001,'Species Codes'!B:C,2,0)+VLOOKUP(D2001,'Species Codes'!B:D,3,0)*LOG(E2001)+VLOOKUP(D2001,'Species Codes'!B:E,4,0)*LOG(I2001))),0),"")</f>
        <v/>
      </c>
      <c r="AA2001" s="104" t="str">
        <f>IFERROR((VLOOKUP(D2001,'Species Codes'!B:G,6,0)*Z2001)/2000,"")</f>
        <v/>
      </c>
      <c r="AB2001" s="104" t="e">
        <f>IF(Z2001&gt;0,((IF(OR(D2001="DF",D2001="RA")=TRUE,EXP(VLOOKUP(D2001,'Species Codes'!B:I,8,0)+VLOOKUP(D2001,'Species Codes'!B:J,9,0)*(LN((E2001*2.54)))),IF(OR(D2001="PY",D2001="RC",D2001="WH",D2001="NF")=TRUE,VLOOKUP(D2001,'Species Codes'!B:I,8,0)+VLOOKUP(D2001,'Species Codes'!B:J,9,0)*((E2001*2.54)^2)*(I2001*0.3048),IF(OR(D2001="MD",D2001="BM",D2001="GA")=TRUE,((VLOOKUP(D2001,'Species Codes'!B:I,8,0)*(((((E2001*2.54)+VLOOKUP(D2001,'Species Codes'!B:J,9,0))/VLOOKUP(D2001,'Species Codes'!B:K,10,0))^VLOOKUP(D2001,'Species Codes'!B:L,11,0))*((I2001*0.3048)^VLOOKUP(D2001,'Species Codes'!B:M,12,0))))-(VLOOKUP(D2001,'Species Codes'!B:I,8,0)*((((E2001*2.54)^VLOOKUP(D2001,'Species Codes'!B:L,11,0))*((I2001*0.3048)^VLOOKUP(D2001,'Species Codes'!B:M,12,0))))))*35.3*VLOOKUP(D2001,'Species Codes'!B:G,6,0)/2.2046,VLOOKUP(D2001,'Species Codes'!B:I,8,0)+VLOOKUP(D2001,'Species Codes'!B:J,9,0)*(((E2001*2.54)/100)^2)*(I2001*0.3048)))))*0.0011023),0)</f>
        <v>#N/A</v>
      </c>
      <c r="AC2001" s="104" t="e">
        <f>IF(Z2001&gt;0,((IF(OR(D2001="RA",D2001="OA",D2001="OT",D2001="UN",D2001="PC"),EXP(VLOOKUP(D2001,'Species Codes'!B:O,14,0)+VLOOKUP(D2001,'Species Codes'!B:P,15,0)*LN((E2001*2.54)))-EXP(VLOOKUP(D2001,'Species Codes'!B:O,14,0)+VLOOKUP(D2001,'Species Codes'!B:P,15,0)*LN((E2001*2.54)))*(1/(VLOOKUP(D2001,'Species Codes'!B:Q,16,0)+VLOOKUP(D2001,'Species Codes'!B:R,17,0)*((E2001*2.54)^VLOOKUP(D2001,'Species Codes'!B:S,18,0)))),IF(OR(D2001="BM",D2001="MD",D2001="OA"),EXP(VLOOKUP(D2001,'Species Codes'!B:O,14,0)+VLOOKUP(D2001,'Species Codes'!B:P,15,0)*LN((E2001*2.54)))*(1-(1/(VLOOKUP(D2001,'Species Codes'!B:Q,16,0)+VLOOKUP(D2001,'Species Codes'!B:R,17,0)*((E2001*2.54)^VLOOKUP(D2001,'Species Codes'!B:S,18,0)))))/1000,IF(D2001="DF",EXP(VLOOKUP(D2001,'Species Codes'!B:O,14,0)+VLOOKUP(D2001,'Species Codes'!B:P,15,0)*LN((E2001*2.54))),VLOOKUP(D2001,'Species Codes'!B:O,14,0)+VLOOKUP(D2001,'Species Codes'!B:P,15,0)*(((E2001*2.54)/100)^2)*(I2001*0.3048)))))*0.0011023),0)</f>
        <v>#N/A</v>
      </c>
      <c r="AD2001" s="104" t="e">
        <f t="shared" si="868"/>
        <v>#N/A</v>
      </c>
      <c r="AE2001" s="104" t="e">
        <f t="shared" si="869"/>
        <v>#N/A</v>
      </c>
      <c r="AF2001" s="104" t="e">
        <f>IF(AND(VLOOKUP($D2001,Merchantability!$B:$C,2,0)="Yes",$E2001&gt;=VLOOKUP($D2001,Merchantability!$B:$D,3,0),$E2001&lt;=VLOOKUP($D2001,Merchantability!$B:$E,4,0)),AA2001,0)</f>
        <v>#N/A</v>
      </c>
      <c r="AG2001" s="104" t="e">
        <f>IF(AND(VLOOKUP($D2001,Merchantability!$B:$C,2,0)="Yes",$E2001&gt;=VLOOKUP($D2001,Merchantability!$B:$D,3,0),$E2001&lt;=VLOOKUP($D2001,Merchantability!$B:$E,4,0)),AB2001,0)</f>
        <v>#N/A</v>
      </c>
      <c r="AH2001" s="104" t="e">
        <f>IF(AND(VLOOKUP($D2001,Merchantability!$B:$C,2,0)="Yes",$E2001&gt;=VLOOKUP($D2001,Merchantability!$B:$D,3,0),$E2001&lt;=VLOOKUP($D2001,Merchantability!$B:$E,4,0)),AC2001,0)</f>
        <v>#N/A</v>
      </c>
      <c r="AI2001" s="104" t="e">
        <f t="shared" si="870"/>
        <v>#N/A</v>
      </c>
      <c r="AJ2001" s="104" t="e">
        <f t="shared" si="871"/>
        <v>#VALUE!</v>
      </c>
      <c r="AK2001" s="104" t="e">
        <f t="shared" si="872"/>
        <v>#N/A</v>
      </c>
      <c r="AL2001" s="104" t="e">
        <f t="shared" si="873"/>
        <v>#N/A</v>
      </c>
      <c r="AM2001" s="104" t="e">
        <f t="shared" si="874"/>
        <v>#N/A</v>
      </c>
      <c r="AN2001" s="104" t="e">
        <f t="shared" si="885"/>
        <v>#N/A</v>
      </c>
      <c r="AO2001" s="104" t="e">
        <f t="shared" si="886"/>
        <v>#N/A</v>
      </c>
      <c r="AP2001" s="104" t="e">
        <f t="shared" si="887"/>
        <v>#N/A</v>
      </c>
      <c r="AQ2001" s="104" t="e">
        <f t="shared" si="888"/>
        <v>#N/A</v>
      </c>
      <c r="AR2001" s="105" t="str">
        <f t="shared" si="880"/>
        <v/>
      </c>
      <c r="AS2001" s="105" t="str">
        <f t="shared" si="881"/>
        <v/>
      </c>
      <c r="AT2001" s="108" t="str">
        <f t="shared" si="882"/>
        <v/>
      </c>
      <c r="AU2001" s="108" t="str">
        <f t="shared" si="883"/>
        <v/>
      </c>
      <c r="AV2001" s="107" t="str">
        <f>IF(ISNUMBER(O2001),IF(VLOOKUP($A2001,Stand!C:J,8,FALSE)="Short",AT2001,AU2001),"")</f>
        <v/>
      </c>
      <c r="AW2001" s="109" t="str">
        <f t="shared" si="889"/>
        <v/>
      </c>
      <c r="AX2001" s="109" t="str">
        <f t="shared" si="890"/>
        <v/>
      </c>
      <c r="AY2001" s="112" t="str">
        <f>IF(ISNUMBER(O2001),IF(AND(VLOOKUP($D2001,Merchantability!$B:$C,2,0)="Yes",$E2001&gt;=VLOOKUP($D2001,Merchantability!$B:$D,3,0),$E2001&lt;=VLOOKUP($D2001,Merchantability!$B:$E,4,0)),(AV2001*O2001)*(1-$H2001/100),""),"")</f>
        <v/>
      </c>
      <c r="AZ2001" s="116"/>
      <c r="BA2001" s="116"/>
      <c r="BB2001" s="116"/>
      <c r="BE2001" s="62"/>
      <c r="BF2001" s="63"/>
    </row>
    <row r="2002" spans="1:58" ht="12.75" customHeight="1" x14ac:dyDescent="0.25">
      <c r="A2002" s="334"/>
      <c r="B2002" s="334"/>
      <c r="C2002" s="332"/>
      <c r="D2002" s="334"/>
      <c r="E2002" s="335"/>
      <c r="F2002" s="334"/>
      <c r="G2002" s="332"/>
      <c r="H2002" s="332"/>
      <c r="I2002" s="334"/>
      <c r="J2002" s="336"/>
      <c r="K2002" s="332"/>
      <c r="L2002" s="332"/>
      <c r="M2002" s="76"/>
      <c r="N2002" s="103" t="str">
        <f>IF(A2002="","",VLOOKUP(A2002,Stand!C:K,9,0))</f>
        <v/>
      </c>
      <c r="O2002" s="104" t="str">
        <f t="shared" si="875"/>
        <v/>
      </c>
      <c r="P2002" s="105" t="str">
        <f t="shared" si="876"/>
        <v/>
      </c>
      <c r="Q2002" s="105" t="str">
        <f t="shared" si="864"/>
        <v/>
      </c>
      <c r="R2002" s="103" t="str">
        <f t="shared" si="877"/>
        <v/>
      </c>
      <c r="S2002" s="103" t="str">
        <f t="shared" si="878"/>
        <v/>
      </c>
      <c r="T2002" s="106" t="str">
        <f t="shared" si="865"/>
        <v/>
      </c>
      <c r="U2002" s="106" t="str">
        <f t="shared" si="866"/>
        <v/>
      </c>
      <c r="V2002" s="106" t="str">
        <f t="shared" si="867"/>
        <v/>
      </c>
      <c r="W2002" s="105" t="str">
        <f t="shared" si="879"/>
        <v/>
      </c>
      <c r="X2002" s="104" t="str">
        <f t="shared" si="884"/>
        <v/>
      </c>
      <c r="Y2002" s="104" t="str">
        <f t="array" ref="Y2002">IFERROR(IF(ISNUMBER(O2002),IF(COUNT(IF(A2002=$A$2:$A$2427,IF(D2002=$D$2:$D$2427,IF($X$2:$X$2427&gt;0,1))))&gt;0,SUM(IF(A2002=$A$2:$A$2427,IF(D2002=$D$2:$D$2427,$X$2:$X$2427)))/COUNT(IF(A2002=$A$2:$A$2427,IF(D2002=$D$2:$D$2427,IF(ISNUMBER($X$2:$X$2427),1)))),0),""),0)</f>
        <v/>
      </c>
      <c r="Z2002" s="104" t="str">
        <f>IF(ISNUMBER(O2002),IF(I2002&gt;0,(10^(VLOOKUP(D2002,'Species Codes'!B:C,2,0)+VLOOKUP(D2002,'Species Codes'!B:D,3,0)*LOG(E2002)+VLOOKUP(D2002,'Species Codes'!B:E,4,0)*LOG(I2002))),0),"")</f>
        <v/>
      </c>
      <c r="AA2002" s="104" t="str">
        <f>IFERROR((VLOOKUP(D2002,'Species Codes'!B:G,6,0)*Z2002)/2000,"")</f>
        <v/>
      </c>
      <c r="AB2002" s="104" t="e">
        <f>IF(Z2002&gt;0,((IF(OR(D2002="DF",D2002="RA")=TRUE,EXP(VLOOKUP(D2002,'Species Codes'!B:I,8,0)+VLOOKUP(D2002,'Species Codes'!B:J,9,0)*(LN((E2002*2.54)))),IF(OR(D2002="PY",D2002="RC",D2002="WH",D2002="NF")=TRUE,VLOOKUP(D2002,'Species Codes'!B:I,8,0)+VLOOKUP(D2002,'Species Codes'!B:J,9,0)*((E2002*2.54)^2)*(I2002*0.3048),IF(OR(D2002="MD",D2002="BM",D2002="GA")=TRUE,((VLOOKUP(D2002,'Species Codes'!B:I,8,0)*(((((E2002*2.54)+VLOOKUP(D2002,'Species Codes'!B:J,9,0))/VLOOKUP(D2002,'Species Codes'!B:K,10,0))^VLOOKUP(D2002,'Species Codes'!B:L,11,0))*((I2002*0.3048)^VLOOKUP(D2002,'Species Codes'!B:M,12,0))))-(VLOOKUP(D2002,'Species Codes'!B:I,8,0)*((((E2002*2.54)^VLOOKUP(D2002,'Species Codes'!B:L,11,0))*((I2002*0.3048)^VLOOKUP(D2002,'Species Codes'!B:M,12,0))))))*35.3*VLOOKUP(D2002,'Species Codes'!B:G,6,0)/2.2046,VLOOKUP(D2002,'Species Codes'!B:I,8,0)+VLOOKUP(D2002,'Species Codes'!B:J,9,0)*(((E2002*2.54)/100)^2)*(I2002*0.3048)))))*0.0011023),0)</f>
        <v>#N/A</v>
      </c>
      <c r="AC2002" s="104" t="e">
        <f>IF(Z2002&gt;0,((IF(OR(D2002="RA",D2002="OA",D2002="OT",D2002="UN",D2002="PC"),EXP(VLOOKUP(D2002,'Species Codes'!B:O,14,0)+VLOOKUP(D2002,'Species Codes'!B:P,15,0)*LN((E2002*2.54)))-EXP(VLOOKUP(D2002,'Species Codes'!B:O,14,0)+VLOOKUP(D2002,'Species Codes'!B:P,15,0)*LN((E2002*2.54)))*(1/(VLOOKUP(D2002,'Species Codes'!B:Q,16,0)+VLOOKUP(D2002,'Species Codes'!B:R,17,0)*((E2002*2.54)^VLOOKUP(D2002,'Species Codes'!B:S,18,0)))),IF(OR(D2002="BM",D2002="MD",D2002="OA"),EXP(VLOOKUP(D2002,'Species Codes'!B:O,14,0)+VLOOKUP(D2002,'Species Codes'!B:P,15,0)*LN((E2002*2.54)))*(1-(1/(VLOOKUP(D2002,'Species Codes'!B:Q,16,0)+VLOOKUP(D2002,'Species Codes'!B:R,17,0)*((E2002*2.54)^VLOOKUP(D2002,'Species Codes'!B:S,18,0)))))/1000,IF(D2002="DF",EXP(VLOOKUP(D2002,'Species Codes'!B:O,14,0)+VLOOKUP(D2002,'Species Codes'!B:P,15,0)*LN((E2002*2.54))),VLOOKUP(D2002,'Species Codes'!B:O,14,0)+VLOOKUP(D2002,'Species Codes'!B:P,15,0)*(((E2002*2.54)/100)^2)*(I2002*0.3048)))))*0.0011023),0)</f>
        <v>#N/A</v>
      </c>
      <c r="AD2002" s="104" t="e">
        <f t="shared" si="868"/>
        <v>#N/A</v>
      </c>
      <c r="AE2002" s="104" t="e">
        <f t="shared" si="869"/>
        <v>#N/A</v>
      </c>
      <c r="AF2002" s="104" t="e">
        <f>IF(AND(VLOOKUP($D2002,Merchantability!$B:$C,2,0)="Yes",$E2002&gt;=VLOOKUP($D2002,Merchantability!$B:$D,3,0),$E2002&lt;=VLOOKUP($D2002,Merchantability!$B:$E,4,0)),AA2002,0)</f>
        <v>#N/A</v>
      </c>
      <c r="AG2002" s="104" t="e">
        <f>IF(AND(VLOOKUP($D2002,Merchantability!$B:$C,2,0)="Yes",$E2002&gt;=VLOOKUP($D2002,Merchantability!$B:$D,3,0),$E2002&lt;=VLOOKUP($D2002,Merchantability!$B:$E,4,0)),AB2002,0)</f>
        <v>#N/A</v>
      </c>
      <c r="AH2002" s="104" t="e">
        <f>IF(AND(VLOOKUP($D2002,Merchantability!$B:$C,2,0)="Yes",$E2002&gt;=VLOOKUP($D2002,Merchantability!$B:$D,3,0),$E2002&lt;=VLOOKUP($D2002,Merchantability!$B:$E,4,0)),AC2002,0)</f>
        <v>#N/A</v>
      </c>
      <c r="AI2002" s="104" t="e">
        <f t="shared" si="870"/>
        <v>#N/A</v>
      </c>
      <c r="AJ2002" s="104" t="e">
        <f t="shared" si="871"/>
        <v>#VALUE!</v>
      </c>
      <c r="AK2002" s="104" t="e">
        <f t="shared" si="872"/>
        <v>#N/A</v>
      </c>
      <c r="AL2002" s="104" t="e">
        <f t="shared" si="873"/>
        <v>#N/A</v>
      </c>
      <c r="AM2002" s="104" t="e">
        <f t="shared" si="874"/>
        <v>#N/A</v>
      </c>
      <c r="AN2002" s="104" t="e">
        <f t="shared" si="885"/>
        <v>#N/A</v>
      </c>
      <c r="AO2002" s="104" t="e">
        <f t="shared" si="886"/>
        <v>#N/A</v>
      </c>
      <c r="AP2002" s="104" t="e">
        <f t="shared" si="887"/>
        <v>#N/A</v>
      </c>
      <c r="AQ2002" s="104" t="e">
        <f t="shared" si="888"/>
        <v>#N/A</v>
      </c>
      <c r="AR2002" s="105" t="str">
        <f t="shared" si="880"/>
        <v/>
      </c>
      <c r="AS2002" s="105" t="str">
        <f t="shared" si="881"/>
        <v/>
      </c>
      <c r="AT2002" s="108" t="str">
        <f t="shared" si="882"/>
        <v/>
      </c>
      <c r="AU2002" s="108" t="str">
        <f t="shared" si="883"/>
        <v/>
      </c>
      <c r="AV2002" s="107" t="str">
        <f>IF(ISNUMBER(O2002),IF(VLOOKUP($A2002,Stand!C:J,8,FALSE)="Short",AT2002,AU2002),"")</f>
        <v/>
      </c>
      <c r="AW2002" s="109" t="str">
        <f t="shared" si="889"/>
        <v/>
      </c>
      <c r="AX2002" s="109" t="str">
        <f t="shared" si="890"/>
        <v/>
      </c>
      <c r="AY2002" s="112" t="str">
        <f>IF(ISNUMBER(O2002),IF(AND(VLOOKUP($D2002,Merchantability!$B:$C,2,0)="Yes",$E2002&gt;=VLOOKUP($D2002,Merchantability!$B:$D,3,0),$E2002&lt;=VLOOKUP($D2002,Merchantability!$B:$E,4,0)),(AV2002*O2002)*(1-$H2002/100),""),"")</f>
        <v/>
      </c>
      <c r="AZ2002" s="116"/>
      <c r="BA2002" s="116"/>
      <c r="BB2002" s="116"/>
      <c r="BE2002" s="62"/>
      <c r="BF2002" s="63"/>
    </row>
    <row r="2003" spans="1:58" ht="12.75" customHeight="1" x14ac:dyDescent="0.25">
      <c r="A2003" s="334"/>
      <c r="B2003" s="334"/>
      <c r="C2003" s="332"/>
      <c r="D2003" s="334"/>
      <c r="E2003" s="335"/>
      <c r="F2003" s="334"/>
      <c r="G2003" s="332"/>
      <c r="H2003" s="332"/>
      <c r="I2003" s="334"/>
      <c r="J2003" s="336"/>
      <c r="K2003" s="332"/>
      <c r="L2003" s="332"/>
      <c r="M2003" s="76"/>
      <c r="N2003" s="103" t="str">
        <f>IF(A2003="","",VLOOKUP(A2003,Stand!C:K,9,0))</f>
        <v/>
      </c>
      <c r="O2003" s="104" t="str">
        <f t="shared" si="875"/>
        <v/>
      </c>
      <c r="P2003" s="105" t="str">
        <f t="shared" si="876"/>
        <v/>
      </c>
      <c r="Q2003" s="105" t="str">
        <f t="shared" si="864"/>
        <v/>
      </c>
      <c r="R2003" s="103" t="str">
        <f t="shared" si="877"/>
        <v/>
      </c>
      <c r="S2003" s="103" t="str">
        <f t="shared" si="878"/>
        <v/>
      </c>
      <c r="T2003" s="106" t="str">
        <f t="shared" si="865"/>
        <v/>
      </c>
      <c r="U2003" s="106" t="str">
        <f t="shared" si="866"/>
        <v/>
      </c>
      <c r="V2003" s="106" t="str">
        <f t="shared" si="867"/>
        <v/>
      </c>
      <c r="W2003" s="105" t="str">
        <f t="shared" si="879"/>
        <v/>
      </c>
      <c r="X2003" s="104" t="str">
        <f t="shared" si="884"/>
        <v/>
      </c>
      <c r="Y2003" s="104" t="str">
        <f t="array" ref="Y2003">IFERROR(IF(ISNUMBER(O2003),IF(COUNT(IF(A2003=$A$2:$A$2427,IF(D2003=$D$2:$D$2427,IF($X$2:$X$2427&gt;0,1))))&gt;0,SUM(IF(A2003=$A$2:$A$2427,IF(D2003=$D$2:$D$2427,$X$2:$X$2427)))/COUNT(IF(A2003=$A$2:$A$2427,IF(D2003=$D$2:$D$2427,IF(ISNUMBER($X$2:$X$2427),1)))),0),""),0)</f>
        <v/>
      </c>
      <c r="Z2003" s="104" t="str">
        <f>IF(ISNUMBER(O2003),IF(I2003&gt;0,(10^(VLOOKUP(D2003,'Species Codes'!B:C,2,0)+VLOOKUP(D2003,'Species Codes'!B:D,3,0)*LOG(E2003)+VLOOKUP(D2003,'Species Codes'!B:E,4,0)*LOG(I2003))),0),"")</f>
        <v/>
      </c>
      <c r="AA2003" s="104" t="str">
        <f>IFERROR((VLOOKUP(D2003,'Species Codes'!B:G,6,0)*Z2003)/2000,"")</f>
        <v/>
      </c>
      <c r="AB2003" s="104" t="e">
        <f>IF(Z2003&gt;0,((IF(OR(D2003="DF",D2003="RA")=TRUE,EXP(VLOOKUP(D2003,'Species Codes'!B:I,8,0)+VLOOKUP(D2003,'Species Codes'!B:J,9,0)*(LN((E2003*2.54)))),IF(OR(D2003="PY",D2003="RC",D2003="WH",D2003="NF")=TRUE,VLOOKUP(D2003,'Species Codes'!B:I,8,0)+VLOOKUP(D2003,'Species Codes'!B:J,9,0)*((E2003*2.54)^2)*(I2003*0.3048),IF(OR(D2003="MD",D2003="BM",D2003="GA")=TRUE,((VLOOKUP(D2003,'Species Codes'!B:I,8,0)*(((((E2003*2.54)+VLOOKUP(D2003,'Species Codes'!B:J,9,0))/VLOOKUP(D2003,'Species Codes'!B:K,10,0))^VLOOKUP(D2003,'Species Codes'!B:L,11,0))*((I2003*0.3048)^VLOOKUP(D2003,'Species Codes'!B:M,12,0))))-(VLOOKUP(D2003,'Species Codes'!B:I,8,0)*((((E2003*2.54)^VLOOKUP(D2003,'Species Codes'!B:L,11,0))*((I2003*0.3048)^VLOOKUP(D2003,'Species Codes'!B:M,12,0))))))*35.3*VLOOKUP(D2003,'Species Codes'!B:G,6,0)/2.2046,VLOOKUP(D2003,'Species Codes'!B:I,8,0)+VLOOKUP(D2003,'Species Codes'!B:J,9,0)*(((E2003*2.54)/100)^2)*(I2003*0.3048)))))*0.0011023),0)</f>
        <v>#N/A</v>
      </c>
      <c r="AC2003" s="104" t="e">
        <f>IF(Z2003&gt;0,((IF(OR(D2003="RA",D2003="OA",D2003="OT",D2003="UN",D2003="PC"),EXP(VLOOKUP(D2003,'Species Codes'!B:O,14,0)+VLOOKUP(D2003,'Species Codes'!B:P,15,0)*LN((E2003*2.54)))-EXP(VLOOKUP(D2003,'Species Codes'!B:O,14,0)+VLOOKUP(D2003,'Species Codes'!B:P,15,0)*LN((E2003*2.54)))*(1/(VLOOKUP(D2003,'Species Codes'!B:Q,16,0)+VLOOKUP(D2003,'Species Codes'!B:R,17,0)*((E2003*2.54)^VLOOKUP(D2003,'Species Codes'!B:S,18,0)))),IF(OR(D2003="BM",D2003="MD",D2003="OA"),EXP(VLOOKUP(D2003,'Species Codes'!B:O,14,0)+VLOOKUP(D2003,'Species Codes'!B:P,15,0)*LN((E2003*2.54)))*(1-(1/(VLOOKUP(D2003,'Species Codes'!B:Q,16,0)+VLOOKUP(D2003,'Species Codes'!B:R,17,0)*((E2003*2.54)^VLOOKUP(D2003,'Species Codes'!B:S,18,0)))))/1000,IF(D2003="DF",EXP(VLOOKUP(D2003,'Species Codes'!B:O,14,0)+VLOOKUP(D2003,'Species Codes'!B:P,15,0)*LN((E2003*2.54))),VLOOKUP(D2003,'Species Codes'!B:O,14,0)+VLOOKUP(D2003,'Species Codes'!B:P,15,0)*(((E2003*2.54)/100)^2)*(I2003*0.3048)))))*0.0011023),0)</f>
        <v>#N/A</v>
      </c>
      <c r="AD2003" s="104" t="e">
        <f t="shared" si="868"/>
        <v>#N/A</v>
      </c>
      <c r="AE2003" s="104" t="e">
        <f t="shared" si="869"/>
        <v>#N/A</v>
      </c>
      <c r="AF2003" s="104" t="e">
        <f>IF(AND(VLOOKUP($D2003,Merchantability!$B:$C,2,0)="Yes",$E2003&gt;=VLOOKUP($D2003,Merchantability!$B:$D,3,0),$E2003&lt;=VLOOKUP($D2003,Merchantability!$B:$E,4,0)),AA2003,0)</f>
        <v>#N/A</v>
      </c>
      <c r="AG2003" s="104" t="e">
        <f>IF(AND(VLOOKUP($D2003,Merchantability!$B:$C,2,0)="Yes",$E2003&gt;=VLOOKUP($D2003,Merchantability!$B:$D,3,0),$E2003&lt;=VLOOKUP($D2003,Merchantability!$B:$E,4,0)),AB2003,0)</f>
        <v>#N/A</v>
      </c>
      <c r="AH2003" s="104" t="e">
        <f>IF(AND(VLOOKUP($D2003,Merchantability!$B:$C,2,0)="Yes",$E2003&gt;=VLOOKUP($D2003,Merchantability!$B:$D,3,0),$E2003&lt;=VLOOKUP($D2003,Merchantability!$B:$E,4,0)),AC2003,0)</f>
        <v>#N/A</v>
      </c>
      <c r="AI2003" s="104" t="e">
        <f t="shared" si="870"/>
        <v>#N/A</v>
      </c>
      <c r="AJ2003" s="104" t="e">
        <f t="shared" si="871"/>
        <v>#VALUE!</v>
      </c>
      <c r="AK2003" s="104" t="e">
        <f t="shared" si="872"/>
        <v>#N/A</v>
      </c>
      <c r="AL2003" s="104" t="e">
        <f t="shared" si="873"/>
        <v>#N/A</v>
      </c>
      <c r="AM2003" s="104" t="e">
        <f t="shared" si="874"/>
        <v>#N/A</v>
      </c>
      <c r="AN2003" s="104" t="e">
        <f t="shared" si="885"/>
        <v>#N/A</v>
      </c>
      <c r="AO2003" s="104" t="e">
        <f t="shared" si="886"/>
        <v>#N/A</v>
      </c>
      <c r="AP2003" s="104" t="e">
        <f t="shared" si="887"/>
        <v>#N/A</v>
      </c>
      <c r="AQ2003" s="104" t="e">
        <f t="shared" si="888"/>
        <v>#N/A</v>
      </c>
      <c r="AR2003" s="105" t="str">
        <f t="shared" si="880"/>
        <v/>
      </c>
      <c r="AS2003" s="105" t="str">
        <f t="shared" si="881"/>
        <v/>
      </c>
      <c r="AT2003" s="108" t="str">
        <f t="shared" si="882"/>
        <v/>
      </c>
      <c r="AU2003" s="108" t="str">
        <f t="shared" si="883"/>
        <v/>
      </c>
      <c r="AV2003" s="107" t="str">
        <f>IF(ISNUMBER(O2003),IF(VLOOKUP($A2003,Stand!C:J,8,FALSE)="Short",AT2003,AU2003),"")</f>
        <v/>
      </c>
      <c r="AW2003" s="109" t="str">
        <f t="shared" si="889"/>
        <v/>
      </c>
      <c r="AX2003" s="109" t="str">
        <f t="shared" si="890"/>
        <v/>
      </c>
      <c r="AY2003" s="112" t="str">
        <f>IF(ISNUMBER(O2003),IF(AND(VLOOKUP($D2003,Merchantability!$B:$C,2,0)="Yes",$E2003&gt;=VLOOKUP($D2003,Merchantability!$B:$D,3,0),$E2003&lt;=VLOOKUP($D2003,Merchantability!$B:$E,4,0)),(AV2003*O2003)*(1-$H2003/100),""),"")</f>
        <v/>
      </c>
      <c r="AZ2003" s="116"/>
      <c r="BA2003" s="116"/>
      <c r="BB2003" s="116"/>
      <c r="BE2003" s="62"/>
      <c r="BF2003" s="63"/>
    </row>
    <row r="2004" spans="1:58" ht="12.75" customHeight="1" x14ac:dyDescent="0.25">
      <c r="A2004" s="334"/>
      <c r="B2004" s="334"/>
      <c r="C2004" s="332"/>
      <c r="D2004" s="334"/>
      <c r="E2004" s="335"/>
      <c r="F2004" s="334"/>
      <c r="G2004" s="332"/>
      <c r="H2004" s="332"/>
      <c r="I2004" s="334"/>
      <c r="J2004" s="336"/>
      <c r="K2004" s="332"/>
      <c r="L2004" s="332"/>
      <c r="M2004" s="76"/>
      <c r="N2004" s="103" t="str">
        <f>IF(A2004="","",VLOOKUP(A2004,Stand!C:K,9,0))</f>
        <v/>
      </c>
      <c r="O2004" s="104" t="str">
        <f t="shared" si="875"/>
        <v/>
      </c>
      <c r="P2004" s="105" t="str">
        <f t="shared" si="876"/>
        <v/>
      </c>
      <c r="Q2004" s="105" t="str">
        <f t="shared" si="864"/>
        <v/>
      </c>
      <c r="R2004" s="103" t="str">
        <f t="shared" si="877"/>
        <v/>
      </c>
      <c r="S2004" s="103" t="str">
        <f t="shared" si="878"/>
        <v/>
      </c>
      <c r="T2004" s="106" t="str">
        <f t="shared" si="865"/>
        <v/>
      </c>
      <c r="U2004" s="106" t="str">
        <f t="shared" si="866"/>
        <v/>
      </c>
      <c r="V2004" s="106" t="str">
        <f t="shared" si="867"/>
        <v/>
      </c>
      <c r="W2004" s="105" t="str">
        <f t="shared" si="879"/>
        <v/>
      </c>
      <c r="X2004" s="104" t="str">
        <f t="shared" si="884"/>
        <v/>
      </c>
      <c r="Y2004" s="104" t="str">
        <f t="array" ref="Y2004">IFERROR(IF(ISNUMBER(O2004),IF(COUNT(IF(A2004=$A$2:$A$2427,IF(D2004=$D$2:$D$2427,IF($X$2:$X$2427&gt;0,1))))&gt;0,SUM(IF(A2004=$A$2:$A$2427,IF(D2004=$D$2:$D$2427,$X$2:$X$2427)))/COUNT(IF(A2004=$A$2:$A$2427,IF(D2004=$D$2:$D$2427,IF(ISNUMBER($X$2:$X$2427),1)))),0),""),0)</f>
        <v/>
      </c>
      <c r="Z2004" s="104" t="str">
        <f>IF(ISNUMBER(O2004),IF(I2004&gt;0,(10^(VLOOKUP(D2004,'Species Codes'!B:C,2,0)+VLOOKUP(D2004,'Species Codes'!B:D,3,0)*LOG(E2004)+VLOOKUP(D2004,'Species Codes'!B:E,4,0)*LOG(I2004))),0),"")</f>
        <v/>
      </c>
      <c r="AA2004" s="104" t="str">
        <f>IFERROR((VLOOKUP(D2004,'Species Codes'!B:G,6,0)*Z2004)/2000,"")</f>
        <v/>
      </c>
      <c r="AB2004" s="104" t="e">
        <f>IF(Z2004&gt;0,((IF(OR(D2004="DF",D2004="RA")=TRUE,EXP(VLOOKUP(D2004,'Species Codes'!B:I,8,0)+VLOOKUP(D2004,'Species Codes'!B:J,9,0)*(LN((E2004*2.54)))),IF(OR(D2004="PY",D2004="RC",D2004="WH",D2004="NF")=TRUE,VLOOKUP(D2004,'Species Codes'!B:I,8,0)+VLOOKUP(D2004,'Species Codes'!B:J,9,0)*((E2004*2.54)^2)*(I2004*0.3048),IF(OR(D2004="MD",D2004="BM",D2004="GA")=TRUE,((VLOOKUP(D2004,'Species Codes'!B:I,8,0)*(((((E2004*2.54)+VLOOKUP(D2004,'Species Codes'!B:J,9,0))/VLOOKUP(D2004,'Species Codes'!B:K,10,0))^VLOOKUP(D2004,'Species Codes'!B:L,11,0))*((I2004*0.3048)^VLOOKUP(D2004,'Species Codes'!B:M,12,0))))-(VLOOKUP(D2004,'Species Codes'!B:I,8,0)*((((E2004*2.54)^VLOOKUP(D2004,'Species Codes'!B:L,11,0))*((I2004*0.3048)^VLOOKUP(D2004,'Species Codes'!B:M,12,0))))))*35.3*VLOOKUP(D2004,'Species Codes'!B:G,6,0)/2.2046,VLOOKUP(D2004,'Species Codes'!B:I,8,0)+VLOOKUP(D2004,'Species Codes'!B:J,9,0)*(((E2004*2.54)/100)^2)*(I2004*0.3048)))))*0.0011023),0)</f>
        <v>#N/A</v>
      </c>
      <c r="AC2004" s="104" t="e">
        <f>IF(Z2004&gt;0,((IF(OR(D2004="RA",D2004="OA",D2004="OT",D2004="UN",D2004="PC"),EXP(VLOOKUP(D2004,'Species Codes'!B:O,14,0)+VLOOKUP(D2004,'Species Codes'!B:P,15,0)*LN((E2004*2.54)))-EXP(VLOOKUP(D2004,'Species Codes'!B:O,14,0)+VLOOKUP(D2004,'Species Codes'!B:P,15,0)*LN((E2004*2.54)))*(1/(VLOOKUP(D2004,'Species Codes'!B:Q,16,0)+VLOOKUP(D2004,'Species Codes'!B:R,17,0)*((E2004*2.54)^VLOOKUP(D2004,'Species Codes'!B:S,18,0)))),IF(OR(D2004="BM",D2004="MD",D2004="OA"),EXP(VLOOKUP(D2004,'Species Codes'!B:O,14,0)+VLOOKUP(D2004,'Species Codes'!B:P,15,0)*LN((E2004*2.54)))*(1-(1/(VLOOKUP(D2004,'Species Codes'!B:Q,16,0)+VLOOKUP(D2004,'Species Codes'!B:R,17,0)*((E2004*2.54)^VLOOKUP(D2004,'Species Codes'!B:S,18,0)))))/1000,IF(D2004="DF",EXP(VLOOKUP(D2004,'Species Codes'!B:O,14,0)+VLOOKUP(D2004,'Species Codes'!B:P,15,0)*LN((E2004*2.54))),VLOOKUP(D2004,'Species Codes'!B:O,14,0)+VLOOKUP(D2004,'Species Codes'!B:P,15,0)*(((E2004*2.54)/100)^2)*(I2004*0.3048)))))*0.0011023),0)</f>
        <v>#N/A</v>
      </c>
      <c r="AD2004" s="104" t="e">
        <f t="shared" si="868"/>
        <v>#N/A</v>
      </c>
      <c r="AE2004" s="104" t="e">
        <f t="shared" si="869"/>
        <v>#N/A</v>
      </c>
      <c r="AF2004" s="104" t="e">
        <f>IF(AND(VLOOKUP($D2004,Merchantability!$B:$C,2,0)="Yes",$E2004&gt;=VLOOKUP($D2004,Merchantability!$B:$D,3,0),$E2004&lt;=VLOOKUP($D2004,Merchantability!$B:$E,4,0)),AA2004,0)</f>
        <v>#N/A</v>
      </c>
      <c r="AG2004" s="104" t="e">
        <f>IF(AND(VLOOKUP($D2004,Merchantability!$B:$C,2,0)="Yes",$E2004&gt;=VLOOKUP($D2004,Merchantability!$B:$D,3,0),$E2004&lt;=VLOOKUP($D2004,Merchantability!$B:$E,4,0)),AB2004,0)</f>
        <v>#N/A</v>
      </c>
      <c r="AH2004" s="104" t="e">
        <f>IF(AND(VLOOKUP($D2004,Merchantability!$B:$C,2,0)="Yes",$E2004&gt;=VLOOKUP($D2004,Merchantability!$B:$D,3,0),$E2004&lt;=VLOOKUP($D2004,Merchantability!$B:$E,4,0)),AC2004,0)</f>
        <v>#N/A</v>
      </c>
      <c r="AI2004" s="104" t="e">
        <f t="shared" si="870"/>
        <v>#N/A</v>
      </c>
      <c r="AJ2004" s="104" t="e">
        <f t="shared" si="871"/>
        <v>#VALUE!</v>
      </c>
      <c r="AK2004" s="104" t="e">
        <f t="shared" si="872"/>
        <v>#N/A</v>
      </c>
      <c r="AL2004" s="104" t="e">
        <f t="shared" si="873"/>
        <v>#N/A</v>
      </c>
      <c r="AM2004" s="104" t="e">
        <f t="shared" si="874"/>
        <v>#N/A</v>
      </c>
      <c r="AN2004" s="104" t="e">
        <f t="shared" si="885"/>
        <v>#N/A</v>
      </c>
      <c r="AO2004" s="104" t="e">
        <f t="shared" si="886"/>
        <v>#N/A</v>
      </c>
      <c r="AP2004" s="104" t="e">
        <f t="shared" si="887"/>
        <v>#N/A</v>
      </c>
      <c r="AQ2004" s="104" t="e">
        <f t="shared" si="888"/>
        <v>#N/A</v>
      </c>
      <c r="AR2004" s="105" t="str">
        <f t="shared" si="880"/>
        <v/>
      </c>
      <c r="AS2004" s="105" t="str">
        <f t="shared" si="881"/>
        <v/>
      </c>
      <c r="AT2004" s="108" t="str">
        <f t="shared" si="882"/>
        <v/>
      </c>
      <c r="AU2004" s="108" t="str">
        <f t="shared" si="883"/>
        <v/>
      </c>
      <c r="AV2004" s="107" t="str">
        <f>IF(ISNUMBER(O2004),IF(VLOOKUP($A2004,Stand!C:J,8,FALSE)="Short",AT2004,AU2004),"")</f>
        <v/>
      </c>
      <c r="AW2004" s="109" t="str">
        <f t="shared" si="889"/>
        <v/>
      </c>
      <c r="AX2004" s="109" t="str">
        <f t="shared" si="890"/>
        <v/>
      </c>
      <c r="AY2004" s="112" t="str">
        <f>IF(ISNUMBER(O2004),IF(AND(VLOOKUP($D2004,Merchantability!$B:$C,2,0)="Yes",$E2004&gt;=VLOOKUP($D2004,Merchantability!$B:$D,3,0),$E2004&lt;=VLOOKUP($D2004,Merchantability!$B:$E,4,0)),(AV2004*O2004)*(1-$H2004/100),""),"")</f>
        <v/>
      </c>
      <c r="AZ2004" s="116"/>
      <c r="BA2004" s="116"/>
      <c r="BB2004" s="116"/>
      <c r="BE2004" s="62"/>
      <c r="BF2004" s="63"/>
    </row>
    <row r="2005" spans="1:58" ht="12.75" customHeight="1" x14ac:dyDescent="0.25">
      <c r="A2005" s="334"/>
      <c r="B2005" s="334"/>
      <c r="C2005" s="332"/>
      <c r="D2005" s="334"/>
      <c r="E2005" s="335"/>
      <c r="F2005" s="334"/>
      <c r="G2005" s="332"/>
      <c r="H2005" s="332"/>
      <c r="I2005" s="334"/>
      <c r="J2005" s="336"/>
      <c r="K2005" s="332"/>
      <c r="L2005" s="332"/>
      <c r="M2005" s="76"/>
      <c r="N2005" s="103" t="str">
        <f>IF(A2005="","",VLOOKUP(A2005,Stand!C:K,9,0))</f>
        <v/>
      </c>
      <c r="O2005" s="104" t="str">
        <f t="shared" si="875"/>
        <v/>
      </c>
      <c r="P2005" s="105" t="str">
        <f t="shared" si="876"/>
        <v/>
      </c>
      <c r="Q2005" s="105" t="str">
        <f t="shared" si="864"/>
        <v/>
      </c>
      <c r="R2005" s="103" t="str">
        <f t="shared" si="877"/>
        <v/>
      </c>
      <c r="S2005" s="103" t="str">
        <f t="shared" si="878"/>
        <v/>
      </c>
      <c r="T2005" s="106" t="str">
        <f t="shared" si="865"/>
        <v/>
      </c>
      <c r="U2005" s="106" t="str">
        <f t="shared" si="866"/>
        <v/>
      </c>
      <c r="V2005" s="106" t="str">
        <f t="shared" si="867"/>
        <v/>
      </c>
      <c r="W2005" s="105" t="str">
        <f t="shared" si="879"/>
        <v/>
      </c>
      <c r="X2005" s="104" t="str">
        <f t="shared" si="884"/>
        <v/>
      </c>
      <c r="Y2005" s="104" t="str">
        <f t="array" ref="Y2005">IFERROR(IF(ISNUMBER(O2005),IF(COUNT(IF(A2005=$A$2:$A$2427,IF(D2005=$D$2:$D$2427,IF($X$2:$X$2427&gt;0,1))))&gt;0,SUM(IF(A2005=$A$2:$A$2427,IF(D2005=$D$2:$D$2427,$X$2:$X$2427)))/COUNT(IF(A2005=$A$2:$A$2427,IF(D2005=$D$2:$D$2427,IF(ISNUMBER($X$2:$X$2427),1)))),0),""),0)</f>
        <v/>
      </c>
      <c r="Z2005" s="104" t="str">
        <f>IF(ISNUMBER(O2005),IF(I2005&gt;0,(10^(VLOOKUP(D2005,'Species Codes'!B:C,2,0)+VLOOKUP(D2005,'Species Codes'!B:D,3,0)*LOG(E2005)+VLOOKUP(D2005,'Species Codes'!B:E,4,0)*LOG(I2005))),0),"")</f>
        <v/>
      </c>
      <c r="AA2005" s="104" t="str">
        <f>IFERROR((VLOOKUP(D2005,'Species Codes'!B:G,6,0)*Z2005)/2000,"")</f>
        <v/>
      </c>
      <c r="AB2005" s="104" t="e">
        <f>IF(Z2005&gt;0,((IF(OR(D2005="DF",D2005="RA")=TRUE,EXP(VLOOKUP(D2005,'Species Codes'!B:I,8,0)+VLOOKUP(D2005,'Species Codes'!B:J,9,0)*(LN((E2005*2.54)))),IF(OR(D2005="PY",D2005="RC",D2005="WH",D2005="NF")=TRUE,VLOOKUP(D2005,'Species Codes'!B:I,8,0)+VLOOKUP(D2005,'Species Codes'!B:J,9,0)*((E2005*2.54)^2)*(I2005*0.3048),IF(OR(D2005="MD",D2005="BM",D2005="GA")=TRUE,((VLOOKUP(D2005,'Species Codes'!B:I,8,0)*(((((E2005*2.54)+VLOOKUP(D2005,'Species Codes'!B:J,9,0))/VLOOKUP(D2005,'Species Codes'!B:K,10,0))^VLOOKUP(D2005,'Species Codes'!B:L,11,0))*((I2005*0.3048)^VLOOKUP(D2005,'Species Codes'!B:M,12,0))))-(VLOOKUP(D2005,'Species Codes'!B:I,8,0)*((((E2005*2.54)^VLOOKUP(D2005,'Species Codes'!B:L,11,0))*((I2005*0.3048)^VLOOKUP(D2005,'Species Codes'!B:M,12,0))))))*35.3*VLOOKUP(D2005,'Species Codes'!B:G,6,0)/2.2046,VLOOKUP(D2005,'Species Codes'!B:I,8,0)+VLOOKUP(D2005,'Species Codes'!B:J,9,0)*(((E2005*2.54)/100)^2)*(I2005*0.3048)))))*0.0011023),0)</f>
        <v>#N/A</v>
      </c>
      <c r="AC2005" s="104" t="e">
        <f>IF(Z2005&gt;0,((IF(OR(D2005="RA",D2005="OA",D2005="OT",D2005="UN",D2005="PC"),EXP(VLOOKUP(D2005,'Species Codes'!B:O,14,0)+VLOOKUP(D2005,'Species Codes'!B:P,15,0)*LN((E2005*2.54)))-EXP(VLOOKUP(D2005,'Species Codes'!B:O,14,0)+VLOOKUP(D2005,'Species Codes'!B:P,15,0)*LN((E2005*2.54)))*(1/(VLOOKUP(D2005,'Species Codes'!B:Q,16,0)+VLOOKUP(D2005,'Species Codes'!B:R,17,0)*((E2005*2.54)^VLOOKUP(D2005,'Species Codes'!B:S,18,0)))),IF(OR(D2005="BM",D2005="MD",D2005="OA"),EXP(VLOOKUP(D2005,'Species Codes'!B:O,14,0)+VLOOKUP(D2005,'Species Codes'!B:P,15,0)*LN((E2005*2.54)))*(1-(1/(VLOOKUP(D2005,'Species Codes'!B:Q,16,0)+VLOOKUP(D2005,'Species Codes'!B:R,17,0)*((E2005*2.54)^VLOOKUP(D2005,'Species Codes'!B:S,18,0)))))/1000,IF(D2005="DF",EXP(VLOOKUP(D2005,'Species Codes'!B:O,14,0)+VLOOKUP(D2005,'Species Codes'!B:P,15,0)*LN((E2005*2.54))),VLOOKUP(D2005,'Species Codes'!B:O,14,0)+VLOOKUP(D2005,'Species Codes'!B:P,15,0)*(((E2005*2.54)/100)^2)*(I2005*0.3048)))))*0.0011023),0)</f>
        <v>#N/A</v>
      </c>
      <c r="AD2005" s="104" t="e">
        <f t="shared" si="868"/>
        <v>#N/A</v>
      </c>
      <c r="AE2005" s="104" t="e">
        <f t="shared" si="869"/>
        <v>#N/A</v>
      </c>
      <c r="AF2005" s="104" t="e">
        <f>IF(AND(VLOOKUP($D2005,Merchantability!$B:$C,2,0)="Yes",$E2005&gt;=VLOOKUP($D2005,Merchantability!$B:$D,3,0),$E2005&lt;=VLOOKUP($D2005,Merchantability!$B:$E,4,0)),AA2005,0)</f>
        <v>#N/A</v>
      </c>
      <c r="AG2005" s="104" t="e">
        <f>IF(AND(VLOOKUP($D2005,Merchantability!$B:$C,2,0)="Yes",$E2005&gt;=VLOOKUP($D2005,Merchantability!$B:$D,3,0),$E2005&lt;=VLOOKUP($D2005,Merchantability!$B:$E,4,0)),AB2005,0)</f>
        <v>#N/A</v>
      </c>
      <c r="AH2005" s="104" t="e">
        <f>IF(AND(VLOOKUP($D2005,Merchantability!$B:$C,2,0)="Yes",$E2005&gt;=VLOOKUP($D2005,Merchantability!$B:$D,3,0),$E2005&lt;=VLOOKUP($D2005,Merchantability!$B:$E,4,0)),AC2005,0)</f>
        <v>#N/A</v>
      </c>
      <c r="AI2005" s="104" t="e">
        <f t="shared" si="870"/>
        <v>#N/A</v>
      </c>
      <c r="AJ2005" s="104" t="e">
        <f t="shared" si="871"/>
        <v>#VALUE!</v>
      </c>
      <c r="AK2005" s="104" t="e">
        <f t="shared" si="872"/>
        <v>#N/A</v>
      </c>
      <c r="AL2005" s="104" t="e">
        <f t="shared" si="873"/>
        <v>#N/A</v>
      </c>
      <c r="AM2005" s="104" t="e">
        <f t="shared" si="874"/>
        <v>#N/A</v>
      </c>
      <c r="AN2005" s="104" t="e">
        <f t="shared" si="885"/>
        <v>#N/A</v>
      </c>
      <c r="AO2005" s="104" t="e">
        <f t="shared" si="886"/>
        <v>#N/A</v>
      </c>
      <c r="AP2005" s="104" t="e">
        <f t="shared" si="887"/>
        <v>#N/A</v>
      </c>
      <c r="AQ2005" s="104" t="e">
        <f t="shared" si="888"/>
        <v>#N/A</v>
      </c>
      <c r="AR2005" s="105" t="str">
        <f t="shared" si="880"/>
        <v/>
      </c>
      <c r="AS2005" s="105" t="str">
        <f t="shared" si="881"/>
        <v/>
      </c>
      <c r="AT2005" s="108" t="str">
        <f t="shared" si="882"/>
        <v/>
      </c>
      <c r="AU2005" s="108" t="str">
        <f t="shared" si="883"/>
        <v/>
      </c>
      <c r="AV2005" s="107" t="str">
        <f>IF(ISNUMBER(O2005),IF(VLOOKUP($A2005,Stand!C:J,8,FALSE)="Short",AT2005,AU2005),"")</f>
        <v/>
      </c>
      <c r="AW2005" s="109" t="str">
        <f t="shared" si="889"/>
        <v/>
      </c>
      <c r="AX2005" s="109" t="str">
        <f t="shared" si="890"/>
        <v/>
      </c>
      <c r="AY2005" s="112" t="str">
        <f>IF(ISNUMBER(O2005),IF(AND(VLOOKUP($D2005,Merchantability!$B:$C,2,0)="Yes",$E2005&gt;=VLOOKUP($D2005,Merchantability!$B:$D,3,0),$E2005&lt;=VLOOKUP($D2005,Merchantability!$B:$E,4,0)),(AV2005*O2005)*(1-$H2005/100),""),"")</f>
        <v/>
      </c>
      <c r="AZ2005" s="116"/>
      <c r="BA2005" s="116"/>
      <c r="BB2005" s="116"/>
      <c r="BE2005" s="62"/>
      <c r="BF2005" s="63"/>
    </row>
    <row r="2006" spans="1:58" ht="12.75" customHeight="1" x14ac:dyDescent="0.25">
      <c r="A2006" s="334"/>
      <c r="B2006" s="334"/>
      <c r="C2006" s="332"/>
      <c r="D2006" s="334"/>
      <c r="E2006" s="335"/>
      <c r="F2006" s="334"/>
      <c r="G2006" s="332"/>
      <c r="H2006" s="332"/>
      <c r="I2006" s="334"/>
      <c r="J2006" s="336"/>
      <c r="K2006" s="332"/>
      <c r="L2006" s="332"/>
      <c r="M2006" s="76"/>
      <c r="N2006" s="103" t="str">
        <f>IF(A2006="","",VLOOKUP(A2006,Stand!C:K,9,0))</f>
        <v/>
      </c>
      <c r="O2006" s="104" t="str">
        <f t="shared" si="875"/>
        <v/>
      </c>
      <c r="P2006" s="105" t="str">
        <f t="shared" si="876"/>
        <v/>
      </c>
      <c r="Q2006" s="105" t="str">
        <f t="shared" si="864"/>
        <v/>
      </c>
      <c r="R2006" s="103" t="str">
        <f t="shared" si="877"/>
        <v/>
      </c>
      <c r="S2006" s="103" t="str">
        <f t="shared" si="878"/>
        <v/>
      </c>
      <c r="T2006" s="106" t="str">
        <f t="shared" si="865"/>
        <v/>
      </c>
      <c r="U2006" s="106" t="str">
        <f t="shared" si="866"/>
        <v/>
      </c>
      <c r="V2006" s="106" t="str">
        <f t="shared" si="867"/>
        <v/>
      </c>
      <c r="W2006" s="105" t="str">
        <f t="shared" si="879"/>
        <v/>
      </c>
      <c r="X2006" s="104" t="str">
        <f t="shared" si="884"/>
        <v/>
      </c>
      <c r="Y2006" s="104" t="str">
        <f t="array" ref="Y2006">IFERROR(IF(ISNUMBER(O2006),IF(COUNT(IF(A2006=$A$2:$A$2427,IF(D2006=$D$2:$D$2427,IF($X$2:$X$2427&gt;0,1))))&gt;0,SUM(IF(A2006=$A$2:$A$2427,IF(D2006=$D$2:$D$2427,$X$2:$X$2427)))/COUNT(IF(A2006=$A$2:$A$2427,IF(D2006=$D$2:$D$2427,IF(ISNUMBER($X$2:$X$2427),1)))),0),""),0)</f>
        <v/>
      </c>
      <c r="Z2006" s="104" t="str">
        <f>IF(ISNUMBER(O2006),IF(I2006&gt;0,(10^(VLOOKUP(D2006,'Species Codes'!B:C,2,0)+VLOOKUP(D2006,'Species Codes'!B:D,3,0)*LOG(E2006)+VLOOKUP(D2006,'Species Codes'!B:E,4,0)*LOG(I2006))),0),"")</f>
        <v/>
      </c>
      <c r="AA2006" s="104" t="str">
        <f>IFERROR((VLOOKUP(D2006,'Species Codes'!B:G,6,0)*Z2006)/2000,"")</f>
        <v/>
      </c>
      <c r="AB2006" s="104" t="e">
        <f>IF(Z2006&gt;0,((IF(OR(D2006="DF",D2006="RA")=TRUE,EXP(VLOOKUP(D2006,'Species Codes'!B:I,8,0)+VLOOKUP(D2006,'Species Codes'!B:J,9,0)*(LN((E2006*2.54)))),IF(OR(D2006="PY",D2006="RC",D2006="WH",D2006="NF")=TRUE,VLOOKUP(D2006,'Species Codes'!B:I,8,0)+VLOOKUP(D2006,'Species Codes'!B:J,9,0)*((E2006*2.54)^2)*(I2006*0.3048),IF(OR(D2006="MD",D2006="BM",D2006="GA")=TRUE,((VLOOKUP(D2006,'Species Codes'!B:I,8,0)*(((((E2006*2.54)+VLOOKUP(D2006,'Species Codes'!B:J,9,0))/VLOOKUP(D2006,'Species Codes'!B:K,10,0))^VLOOKUP(D2006,'Species Codes'!B:L,11,0))*((I2006*0.3048)^VLOOKUP(D2006,'Species Codes'!B:M,12,0))))-(VLOOKUP(D2006,'Species Codes'!B:I,8,0)*((((E2006*2.54)^VLOOKUP(D2006,'Species Codes'!B:L,11,0))*((I2006*0.3048)^VLOOKUP(D2006,'Species Codes'!B:M,12,0))))))*35.3*VLOOKUP(D2006,'Species Codes'!B:G,6,0)/2.2046,VLOOKUP(D2006,'Species Codes'!B:I,8,0)+VLOOKUP(D2006,'Species Codes'!B:J,9,0)*(((E2006*2.54)/100)^2)*(I2006*0.3048)))))*0.0011023),0)</f>
        <v>#N/A</v>
      </c>
      <c r="AC2006" s="104" t="e">
        <f>IF(Z2006&gt;0,((IF(OR(D2006="RA",D2006="OA",D2006="OT",D2006="UN",D2006="PC"),EXP(VLOOKUP(D2006,'Species Codes'!B:O,14,0)+VLOOKUP(D2006,'Species Codes'!B:P,15,0)*LN((E2006*2.54)))-EXP(VLOOKUP(D2006,'Species Codes'!B:O,14,0)+VLOOKUP(D2006,'Species Codes'!B:P,15,0)*LN((E2006*2.54)))*(1/(VLOOKUP(D2006,'Species Codes'!B:Q,16,0)+VLOOKUP(D2006,'Species Codes'!B:R,17,0)*((E2006*2.54)^VLOOKUP(D2006,'Species Codes'!B:S,18,0)))),IF(OR(D2006="BM",D2006="MD",D2006="OA"),EXP(VLOOKUP(D2006,'Species Codes'!B:O,14,0)+VLOOKUP(D2006,'Species Codes'!B:P,15,0)*LN((E2006*2.54)))*(1-(1/(VLOOKUP(D2006,'Species Codes'!B:Q,16,0)+VLOOKUP(D2006,'Species Codes'!B:R,17,0)*((E2006*2.54)^VLOOKUP(D2006,'Species Codes'!B:S,18,0)))))/1000,IF(D2006="DF",EXP(VLOOKUP(D2006,'Species Codes'!B:O,14,0)+VLOOKUP(D2006,'Species Codes'!B:P,15,0)*LN((E2006*2.54))),VLOOKUP(D2006,'Species Codes'!B:O,14,0)+VLOOKUP(D2006,'Species Codes'!B:P,15,0)*(((E2006*2.54)/100)^2)*(I2006*0.3048)))))*0.0011023),0)</f>
        <v>#N/A</v>
      </c>
      <c r="AD2006" s="104" t="e">
        <f t="shared" si="868"/>
        <v>#N/A</v>
      </c>
      <c r="AE2006" s="104" t="e">
        <f t="shared" si="869"/>
        <v>#N/A</v>
      </c>
      <c r="AF2006" s="104" t="e">
        <f>IF(AND(VLOOKUP($D2006,Merchantability!$B:$C,2,0)="Yes",$E2006&gt;=VLOOKUP($D2006,Merchantability!$B:$D,3,0),$E2006&lt;=VLOOKUP($D2006,Merchantability!$B:$E,4,0)),AA2006,0)</f>
        <v>#N/A</v>
      </c>
      <c r="AG2006" s="104" t="e">
        <f>IF(AND(VLOOKUP($D2006,Merchantability!$B:$C,2,0)="Yes",$E2006&gt;=VLOOKUP($D2006,Merchantability!$B:$D,3,0),$E2006&lt;=VLOOKUP($D2006,Merchantability!$B:$E,4,0)),AB2006,0)</f>
        <v>#N/A</v>
      </c>
      <c r="AH2006" s="104" t="e">
        <f>IF(AND(VLOOKUP($D2006,Merchantability!$B:$C,2,0)="Yes",$E2006&gt;=VLOOKUP($D2006,Merchantability!$B:$D,3,0),$E2006&lt;=VLOOKUP($D2006,Merchantability!$B:$E,4,0)),AC2006,0)</f>
        <v>#N/A</v>
      </c>
      <c r="AI2006" s="104" t="e">
        <f t="shared" si="870"/>
        <v>#N/A</v>
      </c>
      <c r="AJ2006" s="104" t="e">
        <f t="shared" si="871"/>
        <v>#VALUE!</v>
      </c>
      <c r="AK2006" s="104" t="e">
        <f t="shared" si="872"/>
        <v>#N/A</v>
      </c>
      <c r="AL2006" s="104" t="e">
        <f t="shared" si="873"/>
        <v>#N/A</v>
      </c>
      <c r="AM2006" s="104" t="e">
        <f t="shared" si="874"/>
        <v>#N/A</v>
      </c>
      <c r="AN2006" s="104" t="e">
        <f t="shared" si="885"/>
        <v>#N/A</v>
      </c>
      <c r="AO2006" s="104" t="e">
        <f t="shared" si="886"/>
        <v>#N/A</v>
      </c>
      <c r="AP2006" s="104" t="e">
        <f t="shared" si="887"/>
        <v>#N/A</v>
      </c>
      <c r="AQ2006" s="104" t="e">
        <f t="shared" si="888"/>
        <v>#N/A</v>
      </c>
      <c r="AR2006" s="105" t="str">
        <f t="shared" si="880"/>
        <v/>
      </c>
      <c r="AS2006" s="105" t="str">
        <f t="shared" si="881"/>
        <v/>
      </c>
      <c r="AT2006" s="108" t="str">
        <f t="shared" si="882"/>
        <v/>
      </c>
      <c r="AU2006" s="108" t="str">
        <f t="shared" si="883"/>
        <v/>
      </c>
      <c r="AV2006" s="107" t="str">
        <f>IF(ISNUMBER(O2006),IF(VLOOKUP($A2006,Stand!C:J,8,FALSE)="Short",AT2006,AU2006),"")</f>
        <v/>
      </c>
      <c r="AW2006" s="109" t="str">
        <f t="shared" si="889"/>
        <v/>
      </c>
      <c r="AX2006" s="109" t="str">
        <f t="shared" si="890"/>
        <v/>
      </c>
      <c r="AY2006" s="112" t="str">
        <f>IF(ISNUMBER(O2006),IF(AND(VLOOKUP($D2006,Merchantability!$B:$C,2,0)="Yes",$E2006&gt;=VLOOKUP($D2006,Merchantability!$B:$D,3,0),$E2006&lt;=VLOOKUP($D2006,Merchantability!$B:$E,4,0)),(AV2006*O2006)*(1-$H2006/100),""),"")</f>
        <v/>
      </c>
      <c r="AZ2006" s="116"/>
      <c r="BA2006" s="116"/>
      <c r="BB2006" s="116"/>
      <c r="BE2006" s="62"/>
      <c r="BF2006" s="63"/>
    </row>
    <row r="2007" spans="1:58" ht="12.75" customHeight="1" x14ac:dyDescent="0.25">
      <c r="A2007" s="334"/>
      <c r="B2007" s="334"/>
      <c r="C2007" s="332"/>
      <c r="D2007" s="334"/>
      <c r="E2007" s="335"/>
      <c r="F2007" s="334"/>
      <c r="G2007" s="332"/>
      <c r="H2007" s="332"/>
      <c r="I2007" s="334"/>
      <c r="J2007" s="336"/>
      <c r="K2007" s="332"/>
      <c r="L2007" s="332"/>
      <c r="M2007" s="76"/>
      <c r="N2007" s="103" t="str">
        <f>IF(A2007="","",VLOOKUP(A2007,Stand!C:K,9,0))</f>
        <v/>
      </c>
      <c r="O2007" s="104" t="str">
        <f t="shared" si="875"/>
        <v/>
      </c>
      <c r="P2007" s="105" t="str">
        <f t="shared" si="876"/>
        <v/>
      </c>
      <c r="Q2007" s="105" t="str">
        <f t="shared" si="864"/>
        <v/>
      </c>
      <c r="R2007" s="103" t="str">
        <f t="shared" si="877"/>
        <v/>
      </c>
      <c r="S2007" s="103" t="str">
        <f t="shared" si="878"/>
        <v/>
      </c>
      <c r="T2007" s="106" t="str">
        <f t="shared" si="865"/>
        <v/>
      </c>
      <c r="U2007" s="106" t="str">
        <f t="shared" si="866"/>
        <v/>
      </c>
      <c r="V2007" s="106" t="str">
        <f t="shared" si="867"/>
        <v/>
      </c>
      <c r="W2007" s="105" t="str">
        <f t="shared" si="879"/>
        <v/>
      </c>
      <c r="X2007" s="104" t="str">
        <f t="shared" si="884"/>
        <v/>
      </c>
      <c r="Y2007" s="104" t="str">
        <f t="array" ref="Y2007">IFERROR(IF(ISNUMBER(O2007),IF(COUNT(IF(A2007=$A$2:$A$2427,IF(D2007=$D$2:$D$2427,IF($X$2:$X$2427&gt;0,1))))&gt;0,SUM(IF(A2007=$A$2:$A$2427,IF(D2007=$D$2:$D$2427,$X$2:$X$2427)))/COUNT(IF(A2007=$A$2:$A$2427,IF(D2007=$D$2:$D$2427,IF(ISNUMBER($X$2:$X$2427),1)))),0),""),0)</f>
        <v/>
      </c>
      <c r="Z2007" s="104" t="str">
        <f>IF(ISNUMBER(O2007),IF(I2007&gt;0,(10^(VLOOKUP(D2007,'Species Codes'!B:C,2,0)+VLOOKUP(D2007,'Species Codes'!B:D,3,0)*LOG(E2007)+VLOOKUP(D2007,'Species Codes'!B:E,4,0)*LOG(I2007))),0),"")</f>
        <v/>
      </c>
      <c r="AA2007" s="104" t="str">
        <f>IFERROR((VLOOKUP(D2007,'Species Codes'!B:G,6,0)*Z2007)/2000,"")</f>
        <v/>
      </c>
      <c r="AB2007" s="104" t="e">
        <f>IF(Z2007&gt;0,((IF(OR(D2007="DF",D2007="RA")=TRUE,EXP(VLOOKUP(D2007,'Species Codes'!B:I,8,0)+VLOOKUP(D2007,'Species Codes'!B:J,9,0)*(LN((E2007*2.54)))),IF(OR(D2007="PY",D2007="RC",D2007="WH",D2007="NF")=TRUE,VLOOKUP(D2007,'Species Codes'!B:I,8,0)+VLOOKUP(D2007,'Species Codes'!B:J,9,0)*((E2007*2.54)^2)*(I2007*0.3048),IF(OR(D2007="MD",D2007="BM",D2007="GA")=TRUE,((VLOOKUP(D2007,'Species Codes'!B:I,8,0)*(((((E2007*2.54)+VLOOKUP(D2007,'Species Codes'!B:J,9,0))/VLOOKUP(D2007,'Species Codes'!B:K,10,0))^VLOOKUP(D2007,'Species Codes'!B:L,11,0))*((I2007*0.3048)^VLOOKUP(D2007,'Species Codes'!B:M,12,0))))-(VLOOKUP(D2007,'Species Codes'!B:I,8,0)*((((E2007*2.54)^VLOOKUP(D2007,'Species Codes'!B:L,11,0))*((I2007*0.3048)^VLOOKUP(D2007,'Species Codes'!B:M,12,0))))))*35.3*VLOOKUP(D2007,'Species Codes'!B:G,6,0)/2.2046,VLOOKUP(D2007,'Species Codes'!B:I,8,0)+VLOOKUP(D2007,'Species Codes'!B:J,9,0)*(((E2007*2.54)/100)^2)*(I2007*0.3048)))))*0.0011023),0)</f>
        <v>#N/A</v>
      </c>
      <c r="AC2007" s="104" t="e">
        <f>IF(Z2007&gt;0,((IF(OR(D2007="RA",D2007="OA",D2007="OT",D2007="UN",D2007="PC"),EXP(VLOOKUP(D2007,'Species Codes'!B:O,14,0)+VLOOKUP(D2007,'Species Codes'!B:P,15,0)*LN((E2007*2.54)))-EXP(VLOOKUP(D2007,'Species Codes'!B:O,14,0)+VLOOKUP(D2007,'Species Codes'!B:P,15,0)*LN((E2007*2.54)))*(1/(VLOOKUP(D2007,'Species Codes'!B:Q,16,0)+VLOOKUP(D2007,'Species Codes'!B:R,17,0)*((E2007*2.54)^VLOOKUP(D2007,'Species Codes'!B:S,18,0)))),IF(OR(D2007="BM",D2007="MD",D2007="OA"),EXP(VLOOKUP(D2007,'Species Codes'!B:O,14,0)+VLOOKUP(D2007,'Species Codes'!B:P,15,0)*LN((E2007*2.54)))*(1-(1/(VLOOKUP(D2007,'Species Codes'!B:Q,16,0)+VLOOKUP(D2007,'Species Codes'!B:R,17,0)*((E2007*2.54)^VLOOKUP(D2007,'Species Codes'!B:S,18,0)))))/1000,IF(D2007="DF",EXP(VLOOKUP(D2007,'Species Codes'!B:O,14,0)+VLOOKUP(D2007,'Species Codes'!B:P,15,0)*LN((E2007*2.54))),VLOOKUP(D2007,'Species Codes'!B:O,14,0)+VLOOKUP(D2007,'Species Codes'!B:P,15,0)*(((E2007*2.54)/100)^2)*(I2007*0.3048)))))*0.0011023),0)</f>
        <v>#N/A</v>
      </c>
      <c r="AD2007" s="104" t="e">
        <f t="shared" si="868"/>
        <v>#N/A</v>
      </c>
      <c r="AE2007" s="104" t="e">
        <f t="shared" si="869"/>
        <v>#N/A</v>
      </c>
      <c r="AF2007" s="104" t="e">
        <f>IF(AND(VLOOKUP($D2007,Merchantability!$B:$C,2,0)="Yes",$E2007&gt;=VLOOKUP($D2007,Merchantability!$B:$D,3,0),$E2007&lt;=VLOOKUP($D2007,Merchantability!$B:$E,4,0)),AA2007,0)</f>
        <v>#N/A</v>
      </c>
      <c r="AG2007" s="104" t="e">
        <f>IF(AND(VLOOKUP($D2007,Merchantability!$B:$C,2,0)="Yes",$E2007&gt;=VLOOKUP($D2007,Merchantability!$B:$D,3,0),$E2007&lt;=VLOOKUP($D2007,Merchantability!$B:$E,4,0)),AB2007,0)</f>
        <v>#N/A</v>
      </c>
      <c r="AH2007" s="104" t="e">
        <f>IF(AND(VLOOKUP($D2007,Merchantability!$B:$C,2,0)="Yes",$E2007&gt;=VLOOKUP($D2007,Merchantability!$B:$D,3,0),$E2007&lt;=VLOOKUP($D2007,Merchantability!$B:$E,4,0)),AC2007,0)</f>
        <v>#N/A</v>
      </c>
      <c r="AI2007" s="104" t="e">
        <f t="shared" si="870"/>
        <v>#N/A</v>
      </c>
      <c r="AJ2007" s="104" t="e">
        <f t="shared" si="871"/>
        <v>#VALUE!</v>
      </c>
      <c r="AK2007" s="104" t="e">
        <f t="shared" si="872"/>
        <v>#N/A</v>
      </c>
      <c r="AL2007" s="104" t="e">
        <f t="shared" si="873"/>
        <v>#N/A</v>
      </c>
      <c r="AM2007" s="104" t="e">
        <f t="shared" si="874"/>
        <v>#N/A</v>
      </c>
      <c r="AN2007" s="104" t="e">
        <f t="shared" si="885"/>
        <v>#N/A</v>
      </c>
      <c r="AO2007" s="104" t="e">
        <f t="shared" si="886"/>
        <v>#N/A</v>
      </c>
      <c r="AP2007" s="104" t="e">
        <f t="shared" si="887"/>
        <v>#N/A</v>
      </c>
      <c r="AQ2007" s="104" t="e">
        <f t="shared" si="888"/>
        <v>#N/A</v>
      </c>
      <c r="AR2007" s="105" t="str">
        <f t="shared" si="880"/>
        <v/>
      </c>
      <c r="AS2007" s="105" t="str">
        <f t="shared" si="881"/>
        <v/>
      </c>
      <c r="AT2007" s="108" t="str">
        <f t="shared" si="882"/>
        <v/>
      </c>
      <c r="AU2007" s="108" t="str">
        <f t="shared" si="883"/>
        <v/>
      </c>
      <c r="AV2007" s="107" t="str">
        <f>IF(ISNUMBER(O2007),IF(VLOOKUP($A2007,Stand!C:J,8,FALSE)="Short",AT2007,AU2007),"")</f>
        <v/>
      </c>
      <c r="AW2007" s="109" t="str">
        <f t="shared" si="889"/>
        <v/>
      </c>
      <c r="AX2007" s="109" t="str">
        <f t="shared" si="890"/>
        <v/>
      </c>
      <c r="AY2007" s="112" t="str">
        <f>IF(ISNUMBER(O2007),IF(AND(VLOOKUP($D2007,Merchantability!$B:$C,2,0)="Yes",$E2007&gt;=VLOOKUP($D2007,Merchantability!$B:$D,3,0),$E2007&lt;=VLOOKUP($D2007,Merchantability!$B:$E,4,0)),(AV2007*O2007)*(1-$H2007/100),""),"")</f>
        <v/>
      </c>
      <c r="AZ2007" s="116"/>
      <c r="BA2007" s="116"/>
      <c r="BB2007" s="116"/>
      <c r="BE2007" s="62"/>
      <c r="BF2007" s="63"/>
    </row>
    <row r="2008" spans="1:58" ht="12.75" customHeight="1" x14ac:dyDescent="0.25">
      <c r="A2008" s="334"/>
      <c r="B2008" s="334"/>
      <c r="C2008" s="332"/>
      <c r="D2008" s="334"/>
      <c r="E2008" s="335"/>
      <c r="F2008" s="334"/>
      <c r="G2008" s="332"/>
      <c r="H2008" s="332"/>
      <c r="I2008" s="334"/>
      <c r="J2008" s="336"/>
      <c r="K2008" s="332"/>
      <c r="L2008" s="332"/>
      <c r="M2008" s="76"/>
      <c r="N2008" s="103" t="str">
        <f>IF(A2008="","",VLOOKUP(A2008,Stand!C:K,9,0))</f>
        <v/>
      </c>
      <c r="O2008" s="104" t="str">
        <f t="shared" si="875"/>
        <v/>
      </c>
      <c r="P2008" s="105" t="str">
        <f t="shared" si="876"/>
        <v/>
      </c>
      <c r="Q2008" s="105" t="str">
        <f t="shared" si="864"/>
        <v/>
      </c>
      <c r="R2008" s="103" t="str">
        <f t="shared" si="877"/>
        <v/>
      </c>
      <c r="S2008" s="103" t="str">
        <f t="shared" si="878"/>
        <v/>
      </c>
      <c r="T2008" s="106" t="str">
        <f t="shared" si="865"/>
        <v/>
      </c>
      <c r="U2008" s="106" t="str">
        <f t="shared" si="866"/>
        <v/>
      </c>
      <c r="V2008" s="106" t="str">
        <f t="shared" si="867"/>
        <v/>
      </c>
      <c r="W2008" s="105" t="str">
        <f t="shared" si="879"/>
        <v/>
      </c>
      <c r="X2008" s="104" t="str">
        <f t="shared" si="884"/>
        <v/>
      </c>
      <c r="Y2008" s="104" t="str">
        <f t="array" ref="Y2008">IFERROR(IF(ISNUMBER(O2008),IF(COUNT(IF(A2008=$A$2:$A$2427,IF(D2008=$D$2:$D$2427,IF($X$2:$X$2427&gt;0,1))))&gt;0,SUM(IF(A2008=$A$2:$A$2427,IF(D2008=$D$2:$D$2427,$X$2:$X$2427)))/COUNT(IF(A2008=$A$2:$A$2427,IF(D2008=$D$2:$D$2427,IF(ISNUMBER($X$2:$X$2427),1)))),0),""),0)</f>
        <v/>
      </c>
      <c r="Z2008" s="104" t="str">
        <f>IF(ISNUMBER(O2008),IF(I2008&gt;0,(10^(VLOOKUP(D2008,'Species Codes'!B:C,2,0)+VLOOKUP(D2008,'Species Codes'!B:D,3,0)*LOG(E2008)+VLOOKUP(D2008,'Species Codes'!B:E,4,0)*LOG(I2008))),0),"")</f>
        <v/>
      </c>
      <c r="AA2008" s="104" t="str">
        <f>IFERROR((VLOOKUP(D2008,'Species Codes'!B:G,6,0)*Z2008)/2000,"")</f>
        <v/>
      </c>
      <c r="AB2008" s="104" t="e">
        <f>IF(Z2008&gt;0,((IF(OR(D2008="DF",D2008="RA")=TRUE,EXP(VLOOKUP(D2008,'Species Codes'!B:I,8,0)+VLOOKUP(D2008,'Species Codes'!B:J,9,0)*(LN((E2008*2.54)))),IF(OR(D2008="PY",D2008="RC",D2008="WH",D2008="NF")=TRUE,VLOOKUP(D2008,'Species Codes'!B:I,8,0)+VLOOKUP(D2008,'Species Codes'!B:J,9,0)*((E2008*2.54)^2)*(I2008*0.3048),IF(OR(D2008="MD",D2008="BM",D2008="GA")=TRUE,((VLOOKUP(D2008,'Species Codes'!B:I,8,0)*(((((E2008*2.54)+VLOOKUP(D2008,'Species Codes'!B:J,9,0))/VLOOKUP(D2008,'Species Codes'!B:K,10,0))^VLOOKUP(D2008,'Species Codes'!B:L,11,0))*((I2008*0.3048)^VLOOKUP(D2008,'Species Codes'!B:M,12,0))))-(VLOOKUP(D2008,'Species Codes'!B:I,8,0)*((((E2008*2.54)^VLOOKUP(D2008,'Species Codes'!B:L,11,0))*((I2008*0.3048)^VLOOKUP(D2008,'Species Codes'!B:M,12,0))))))*35.3*VLOOKUP(D2008,'Species Codes'!B:G,6,0)/2.2046,VLOOKUP(D2008,'Species Codes'!B:I,8,0)+VLOOKUP(D2008,'Species Codes'!B:J,9,0)*(((E2008*2.54)/100)^2)*(I2008*0.3048)))))*0.0011023),0)</f>
        <v>#N/A</v>
      </c>
      <c r="AC2008" s="104" t="e">
        <f>IF(Z2008&gt;0,((IF(OR(D2008="RA",D2008="OA",D2008="OT",D2008="UN",D2008="PC"),EXP(VLOOKUP(D2008,'Species Codes'!B:O,14,0)+VLOOKUP(D2008,'Species Codes'!B:P,15,0)*LN((E2008*2.54)))-EXP(VLOOKUP(D2008,'Species Codes'!B:O,14,0)+VLOOKUP(D2008,'Species Codes'!B:P,15,0)*LN((E2008*2.54)))*(1/(VLOOKUP(D2008,'Species Codes'!B:Q,16,0)+VLOOKUP(D2008,'Species Codes'!B:R,17,0)*((E2008*2.54)^VLOOKUP(D2008,'Species Codes'!B:S,18,0)))),IF(OR(D2008="BM",D2008="MD",D2008="OA"),EXP(VLOOKUP(D2008,'Species Codes'!B:O,14,0)+VLOOKUP(D2008,'Species Codes'!B:P,15,0)*LN((E2008*2.54)))*(1-(1/(VLOOKUP(D2008,'Species Codes'!B:Q,16,0)+VLOOKUP(D2008,'Species Codes'!B:R,17,0)*((E2008*2.54)^VLOOKUP(D2008,'Species Codes'!B:S,18,0)))))/1000,IF(D2008="DF",EXP(VLOOKUP(D2008,'Species Codes'!B:O,14,0)+VLOOKUP(D2008,'Species Codes'!B:P,15,0)*LN((E2008*2.54))),VLOOKUP(D2008,'Species Codes'!B:O,14,0)+VLOOKUP(D2008,'Species Codes'!B:P,15,0)*(((E2008*2.54)/100)^2)*(I2008*0.3048)))))*0.0011023),0)</f>
        <v>#N/A</v>
      </c>
      <c r="AD2008" s="104" t="e">
        <f t="shared" si="868"/>
        <v>#N/A</v>
      </c>
      <c r="AE2008" s="104" t="e">
        <f t="shared" si="869"/>
        <v>#N/A</v>
      </c>
      <c r="AF2008" s="104" t="e">
        <f>IF(AND(VLOOKUP($D2008,Merchantability!$B:$C,2,0)="Yes",$E2008&gt;=VLOOKUP($D2008,Merchantability!$B:$D,3,0),$E2008&lt;=VLOOKUP($D2008,Merchantability!$B:$E,4,0)),AA2008,0)</f>
        <v>#N/A</v>
      </c>
      <c r="AG2008" s="104" t="e">
        <f>IF(AND(VLOOKUP($D2008,Merchantability!$B:$C,2,0)="Yes",$E2008&gt;=VLOOKUP($D2008,Merchantability!$B:$D,3,0),$E2008&lt;=VLOOKUP($D2008,Merchantability!$B:$E,4,0)),AB2008,0)</f>
        <v>#N/A</v>
      </c>
      <c r="AH2008" s="104" t="e">
        <f>IF(AND(VLOOKUP($D2008,Merchantability!$B:$C,2,0)="Yes",$E2008&gt;=VLOOKUP($D2008,Merchantability!$B:$D,3,0),$E2008&lt;=VLOOKUP($D2008,Merchantability!$B:$E,4,0)),AC2008,0)</f>
        <v>#N/A</v>
      </c>
      <c r="AI2008" s="104" t="e">
        <f t="shared" si="870"/>
        <v>#N/A</v>
      </c>
      <c r="AJ2008" s="104" t="e">
        <f t="shared" si="871"/>
        <v>#VALUE!</v>
      </c>
      <c r="AK2008" s="104" t="e">
        <f t="shared" si="872"/>
        <v>#N/A</v>
      </c>
      <c r="AL2008" s="104" t="e">
        <f t="shared" si="873"/>
        <v>#N/A</v>
      </c>
      <c r="AM2008" s="104" t="e">
        <f t="shared" si="874"/>
        <v>#N/A</v>
      </c>
      <c r="AN2008" s="104" t="e">
        <f t="shared" si="885"/>
        <v>#N/A</v>
      </c>
      <c r="AO2008" s="104" t="e">
        <f t="shared" si="886"/>
        <v>#N/A</v>
      </c>
      <c r="AP2008" s="104" t="e">
        <f t="shared" si="887"/>
        <v>#N/A</v>
      </c>
      <c r="AQ2008" s="104" t="e">
        <f t="shared" si="888"/>
        <v>#N/A</v>
      </c>
      <c r="AR2008" s="105" t="str">
        <f t="shared" si="880"/>
        <v/>
      </c>
      <c r="AS2008" s="105" t="str">
        <f t="shared" si="881"/>
        <v/>
      </c>
      <c r="AT2008" s="108" t="str">
        <f t="shared" si="882"/>
        <v/>
      </c>
      <c r="AU2008" s="108" t="str">
        <f t="shared" si="883"/>
        <v/>
      </c>
      <c r="AV2008" s="107" t="str">
        <f>IF(ISNUMBER(O2008),IF(VLOOKUP($A2008,Stand!C:J,8,FALSE)="Short",AT2008,AU2008),"")</f>
        <v/>
      </c>
      <c r="AW2008" s="109" t="str">
        <f t="shared" si="889"/>
        <v/>
      </c>
      <c r="AX2008" s="109" t="str">
        <f t="shared" si="890"/>
        <v/>
      </c>
      <c r="AY2008" s="112" t="str">
        <f>IF(ISNUMBER(O2008),IF(AND(VLOOKUP($D2008,Merchantability!$B:$C,2,0)="Yes",$E2008&gt;=VLOOKUP($D2008,Merchantability!$B:$D,3,0),$E2008&lt;=VLOOKUP($D2008,Merchantability!$B:$E,4,0)),(AV2008*O2008)*(1-$H2008/100),""),"")</f>
        <v/>
      </c>
      <c r="AZ2008" s="116"/>
      <c r="BA2008" s="116"/>
      <c r="BB2008" s="116"/>
      <c r="BE2008" s="62"/>
      <c r="BF2008" s="63"/>
    </row>
    <row r="2009" spans="1:58" ht="12.75" customHeight="1" x14ac:dyDescent="0.25">
      <c r="A2009" s="334"/>
      <c r="B2009" s="334"/>
      <c r="C2009" s="332"/>
      <c r="D2009" s="334"/>
      <c r="E2009" s="335"/>
      <c r="F2009" s="334"/>
      <c r="G2009" s="332"/>
      <c r="H2009" s="332"/>
      <c r="I2009" s="334"/>
      <c r="J2009" s="336"/>
      <c r="K2009" s="332"/>
      <c r="L2009" s="332"/>
      <c r="M2009" s="76"/>
      <c r="N2009" s="103" t="str">
        <f>IF(A2009="","",VLOOKUP(A2009,Stand!C:K,9,0))</f>
        <v/>
      </c>
      <c r="O2009" s="104" t="str">
        <f t="shared" si="875"/>
        <v/>
      </c>
      <c r="P2009" s="105" t="str">
        <f t="shared" si="876"/>
        <v/>
      </c>
      <c r="Q2009" s="105" t="str">
        <f t="shared" si="864"/>
        <v/>
      </c>
      <c r="R2009" s="103" t="str">
        <f t="shared" si="877"/>
        <v/>
      </c>
      <c r="S2009" s="103" t="str">
        <f t="shared" si="878"/>
        <v/>
      </c>
      <c r="T2009" s="106" t="str">
        <f t="shared" si="865"/>
        <v/>
      </c>
      <c r="U2009" s="106" t="str">
        <f t="shared" si="866"/>
        <v/>
      </c>
      <c r="V2009" s="106" t="str">
        <f t="shared" si="867"/>
        <v/>
      </c>
      <c r="W2009" s="105" t="str">
        <f t="shared" si="879"/>
        <v/>
      </c>
      <c r="X2009" s="104" t="str">
        <f t="shared" si="884"/>
        <v/>
      </c>
      <c r="Y2009" s="104" t="str">
        <f t="array" ref="Y2009">IFERROR(IF(ISNUMBER(O2009),IF(COUNT(IF(A2009=$A$2:$A$2427,IF(D2009=$D$2:$D$2427,IF($X$2:$X$2427&gt;0,1))))&gt;0,SUM(IF(A2009=$A$2:$A$2427,IF(D2009=$D$2:$D$2427,$X$2:$X$2427)))/COUNT(IF(A2009=$A$2:$A$2427,IF(D2009=$D$2:$D$2427,IF(ISNUMBER($X$2:$X$2427),1)))),0),""),0)</f>
        <v/>
      </c>
      <c r="Z2009" s="104" t="str">
        <f>IF(ISNUMBER(O2009),IF(I2009&gt;0,(10^(VLOOKUP(D2009,'Species Codes'!B:C,2,0)+VLOOKUP(D2009,'Species Codes'!B:D,3,0)*LOG(E2009)+VLOOKUP(D2009,'Species Codes'!B:E,4,0)*LOG(I2009))),0),"")</f>
        <v/>
      </c>
      <c r="AA2009" s="104" t="str">
        <f>IFERROR((VLOOKUP(D2009,'Species Codes'!B:G,6,0)*Z2009)/2000,"")</f>
        <v/>
      </c>
      <c r="AB2009" s="104" t="e">
        <f>IF(Z2009&gt;0,((IF(OR(D2009="DF",D2009="RA")=TRUE,EXP(VLOOKUP(D2009,'Species Codes'!B:I,8,0)+VLOOKUP(D2009,'Species Codes'!B:J,9,0)*(LN((E2009*2.54)))),IF(OR(D2009="PY",D2009="RC",D2009="WH",D2009="NF")=TRUE,VLOOKUP(D2009,'Species Codes'!B:I,8,0)+VLOOKUP(D2009,'Species Codes'!B:J,9,0)*((E2009*2.54)^2)*(I2009*0.3048),IF(OR(D2009="MD",D2009="BM",D2009="GA")=TRUE,((VLOOKUP(D2009,'Species Codes'!B:I,8,0)*(((((E2009*2.54)+VLOOKUP(D2009,'Species Codes'!B:J,9,0))/VLOOKUP(D2009,'Species Codes'!B:K,10,0))^VLOOKUP(D2009,'Species Codes'!B:L,11,0))*((I2009*0.3048)^VLOOKUP(D2009,'Species Codes'!B:M,12,0))))-(VLOOKUP(D2009,'Species Codes'!B:I,8,0)*((((E2009*2.54)^VLOOKUP(D2009,'Species Codes'!B:L,11,0))*((I2009*0.3048)^VLOOKUP(D2009,'Species Codes'!B:M,12,0))))))*35.3*VLOOKUP(D2009,'Species Codes'!B:G,6,0)/2.2046,VLOOKUP(D2009,'Species Codes'!B:I,8,0)+VLOOKUP(D2009,'Species Codes'!B:J,9,0)*(((E2009*2.54)/100)^2)*(I2009*0.3048)))))*0.0011023),0)</f>
        <v>#N/A</v>
      </c>
      <c r="AC2009" s="104" t="e">
        <f>IF(Z2009&gt;0,((IF(OR(D2009="RA",D2009="OA",D2009="OT",D2009="UN",D2009="PC"),EXP(VLOOKUP(D2009,'Species Codes'!B:O,14,0)+VLOOKUP(D2009,'Species Codes'!B:P,15,0)*LN((E2009*2.54)))-EXP(VLOOKUP(D2009,'Species Codes'!B:O,14,0)+VLOOKUP(D2009,'Species Codes'!B:P,15,0)*LN((E2009*2.54)))*(1/(VLOOKUP(D2009,'Species Codes'!B:Q,16,0)+VLOOKUP(D2009,'Species Codes'!B:R,17,0)*((E2009*2.54)^VLOOKUP(D2009,'Species Codes'!B:S,18,0)))),IF(OR(D2009="BM",D2009="MD",D2009="OA"),EXP(VLOOKUP(D2009,'Species Codes'!B:O,14,0)+VLOOKUP(D2009,'Species Codes'!B:P,15,0)*LN((E2009*2.54)))*(1-(1/(VLOOKUP(D2009,'Species Codes'!B:Q,16,0)+VLOOKUP(D2009,'Species Codes'!B:R,17,0)*((E2009*2.54)^VLOOKUP(D2009,'Species Codes'!B:S,18,0)))))/1000,IF(D2009="DF",EXP(VLOOKUP(D2009,'Species Codes'!B:O,14,0)+VLOOKUP(D2009,'Species Codes'!B:P,15,0)*LN((E2009*2.54))),VLOOKUP(D2009,'Species Codes'!B:O,14,0)+VLOOKUP(D2009,'Species Codes'!B:P,15,0)*(((E2009*2.54)/100)^2)*(I2009*0.3048)))))*0.0011023),0)</f>
        <v>#N/A</v>
      </c>
      <c r="AD2009" s="104" t="e">
        <f t="shared" si="868"/>
        <v>#N/A</v>
      </c>
      <c r="AE2009" s="104" t="e">
        <f t="shared" si="869"/>
        <v>#N/A</v>
      </c>
      <c r="AF2009" s="104" t="e">
        <f>IF(AND(VLOOKUP($D2009,Merchantability!$B:$C,2,0)="Yes",$E2009&gt;=VLOOKUP($D2009,Merchantability!$B:$D,3,0),$E2009&lt;=VLOOKUP($D2009,Merchantability!$B:$E,4,0)),AA2009,0)</f>
        <v>#N/A</v>
      </c>
      <c r="AG2009" s="104" t="e">
        <f>IF(AND(VLOOKUP($D2009,Merchantability!$B:$C,2,0)="Yes",$E2009&gt;=VLOOKUP($D2009,Merchantability!$B:$D,3,0),$E2009&lt;=VLOOKUP($D2009,Merchantability!$B:$E,4,0)),AB2009,0)</f>
        <v>#N/A</v>
      </c>
      <c r="AH2009" s="104" t="e">
        <f>IF(AND(VLOOKUP($D2009,Merchantability!$B:$C,2,0)="Yes",$E2009&gt;=VLOOKUP($D2009,Merchantability!$B:$D,3,0),$E2009&lt;=VLOOKUP($D2009,Merchantability!$B:$E,4,0)),AC2009,0)</f>
        <v>#N/A</v>
      </c>
      <c r="AI2009" s="104" t="e">
        <f t="shared" si="870"/>
        <v>#N/A</v>
      </c>
      <c r="AJ2009" s="104" t="e">
        <f t="shared" si="871"/>
        <v>#VALUE!</v>
      </c>
      <c r="AK2009" s="104" t="e">
        <f t="shared" si="872"/>
        <v>#N/A</v>
      </c>
      <c r="AL2009" s="104" t="e">
        <f t="shared" si="873"/>
        <v>#N/A</v>
      </c>
      <c r="AM2009" s="104" t="e">
        <f t="shared" si="874"/>
        <v>#N/A</v>
      </c>
      <c r="AN2009" s="104" t="e">
        <f t="shared" si="885"/>
        <v>#N/A</v>
      </c>
      <c r="AO2009" s="104" t="e">
        <f t="shared" si="886"/>
        <v>#N/A</v>
      </c>
      <c r="AP2009" s="104" t="e">
        <f t="shared" si="887"/>
        <v>#N/A</v>
      </c>
      <c r="AQ2009" s="104" t="e">
        <f t="shared" si="888"/>
        <v>#N/A</v>
      </c>
      <c r="AR2009" s="105" t="str">
        <f t="shared" si="880"/>
        <v/>
      </c>
      <c r="AS2009" s="105" t="str">
        <f t="shared" si="881"/>
        <v/>
      </c>
      <c r="AT2009" s="108" t="str">
        <f t="shared" si="882"/>
        <v/>
      </c>
      <c r="AU2009" s="108" t="str">
        <f t="shared" si="883"/>
        <v/>
      </c>
      <c r="AV2009" s="107" t="str">
        <f>IF(ISNUMBER(O2009),IF(VLOOKUP($A2009,Stand!C:J,8,FALSE)="Short",AT2009,AU2009),"")</f>
        <v/>
      </c>
      <c r="AW2009" s="109" t="str">
        <f t="shared" si="889"/>
        <v/>
      </c>
      <c r="AX2009" s="109" t="str">
        <f t="shared" si="890"/>
        <v/>
      </c>
      <c r="AY2009" s="112" t="str">
        <f>IF(ISNUMBER(O2009),IF(AND(VLOOKUP($D2009,Merchantability!$B:$C,2,0)="Yes",$E2009&gt;=VLOOKUP($D2009,Merchantability!$B:$D,3,0),$E2009&lt;=VLOOKUP($D2009,Merchantability!$B:$E,4,0)),(AV2009*O2009)*(1-$H2009/100),""),"")</f>
        <v/>
      </c>
      <c r="AZ2009" s="116"/>
      <c r="BA2009" s="116"/>
      <c r="BB2009" s="116"/>
      <c r="BE2009" s="62"/>
      <c r="BF2009" s="63"/>
    </row>
    <row r="2010" spans="1:58" ht="12.75" customHeight="1" x14ac:dyDescent="0.25">
      <c r="A2010" s="334"/>
      <c r="B2010" s="334"/>
      <c r="C2010" s="332"/>
      <c r="D2010" s="334"/>
      <c r="E2010" s="335"/>
      <c r="F2010" s="334"/>
      <c r="G2010" s="332"/>
      <c r="H2010" s="332"/>
      <c r="I2010" s="334"/>
      <c r="J2010" s="336"/>
      <c r="K2010" s="332"/>
      <c r="L2010" s="332"/>
      <c r="M2010" s="76"/>
      <c r="N2010" s="103" t="str">
        <f>IF(A2010="","",VLOOKUP(A2010,Stand!C:K,9,0))</f>
        <v/>
      </c>
      <c r="O2010" s="104" t="str">
        <f t="shared" si="875"/>
        <v/>
      </c>
      <c r="P2010" s="105" t="str">
        <f t="shared" si="876"/>
        <v/>
      </c>
      <c r="Q2010" s="105" t="str">
        <f t="shared" si="864"/>
        <v/>
      </c>
      <c r="R2010" s="103" t="str">
        <f t="shared" si="877"/>
        <v/>
      </c>
      <c r="S2010" s="103" t="str">
        <f t="shared" si="878"/>
        <v/>
      </c>
      <c r="T2010" s="106" t="str">
        <f t="shared" si="865"/>
        <v/>
      </c>
      <c r="U2010" s="106" t="str">
        <f t="shared" si="866"/>
        <v/>
      </c>
      <c r="V2010" s="106" t="str">
        <f t="shared" si="867"/>
        <v/>
      </c>
      <c r="W2010" s="105" t="str">
        <f t="shared" si="879"/>
        <v/>
      </c>
      <c r="X2010" s="104" t="str">
        <f t="shared" si="884"/>
        <v/>
      </c>
      <c r="Y2010" s="104" t="str">
        <f t="array" ref="Y2010">IFERROR(IF(ISNUMBER(O2010),IF(COUNT(IF(A2010=$A$2:$A$2427,IF(D2010=$D$2:$D$2427,IF($X$2:$X$2427&gt;0,1))))&gt;0,SUM(IF(A2010=$A$2:$A$2427,IF(D2010=$D$2:$D$2427,$X$2:$X$2427)))/COUNT(IF(A2010=$A$2:$A$2427,IF(D2010=$D$2:$D$2427,IF(ISNUMBER($X$2:$X$2427),1)))),0),""),0)</f>
        <v/>
      </c>
      <c r="Z2010" s="104" t="str">
        <f>IF(ISNUMBER(O2010),IF(I2010&gt;0,(10^(VLOOKUP(D2010,'Species Codes'!B:C,2,0)+VLOOKUP(D2010,'Species Codes'!B:D,3,0)*LOG(E2010)+VLOOKUP(D2010,'Species Codes'!B:E,4,0)*LOG(I2010))),0),"")</f>
        <v/>
      </c>
      <c r="AA2010" s="104" t="str">
        <f>IFERROR((VLOOKUP(D2010,'Species Codes'!B:G,6,0)*Z2010)/2000,"")</f>
        <v/>
      </c>
      <c r="AB2010" s="104" t="e">
        <f>IF(Z2010&gt;0,((IF(OR(D2010="DF",D2010="RA")=TRUE,EXP(VLOOKUP(D2010,'Species Codes'!B:I,8,0)+VLOOKUP(D2010,'Species Codes'!B:J,9,0)*(LN((E2010*2.54)))),IF(OR(D2010="PY",D2010="RC",D2010="WH",D2010="NF")=TRUE,VLOOKUP(D2010,'Species Codes'!B:I,8,0)+VLOOKUP(D2010,'Species Codes'!B:J,9,0)*((E2010*2.54)^2)*(I2010*0.3048),IF(OR(D2010="MD",D2010="BM",D2010="GA")=TRUE,((VLOOKUP(D2010,'Species Codes'!B:I,8,0)*(((((E2010*2.54)+VLOOKUP(D2010,'Species Codes'!B:J,9,0))/VLOOKUP(D2010,'Species Codes'!B:K,10,0))^VLOOKUP(D2010,'Species Codes'!B:L,11,0))*((I2010*0.3048)^VLOOKUP(D2010,'Species Codes'!B:M,12,0))))-(VLOOKUP(D2010,'Species Codes'!B:I,8,0)*((((E2010*2.54)^VLOOKUP(D2010,'Species Codes'!B:L,11,0))*((I2010*0.3048)^VLOOKUP(D2010,'Species Codes'!B:M,12,0))))))*35.3*VLOOKUP(D2010,'Species Codes'!B:G,6,0)/2.2046,VLOOKUP(D2010,'Species Codes'!B:I,8,0)+VLOOKUP(D2010,'Species Codes'!B:J,9,0)*(((E2010*2.54)/100)^2)*(I2010*0.3048)))))*0.0011023),0)</f>
        <v>#N/A</v>
      </c>
      <c r="AC2010" s="104" t="e">
        <f>IF(Z2010&gt;0,((IF(OR(D2010="RA",D2010="OA",D2010="OT",D2010="UN",D2010="PC"),EXP(VLOOKUP(D2010,'Species Codes'!B:O,14,0)+VLOOKUP(D2010,'Species Codes'!B:P,15,0)*LN((E2010*2.54)))-EXP(VLOOKUP(D2010,'Species Codes'!B:O,14,0)+VLOOKUP(D2010,'Species Codes'!B:P,15,0)*LN((E2010*2.54)))*(1/(VLOOKUP(D2010,'Species Codes'!B:Q,16,0)+VLOOKUP(D2010,'Species Codes'!B:R,17,0)*((E2010*2.54)^VLOOKUP(D2010,'Species Codes'!B:S,18,0)))),IF(OR(D2010="BM",D2010="MD",D2010="OA"),EXP(VLOOKUP(D2010,'Species Codes'!B:O,14,0)+VLOOKUP(D2010,'Species Codes'!B:P,15,0)*LN((E2010*2.54)))*(1-(1/(VLOOKUP(D2010,'Species Codes'!B:Q,16,0)+VLOOKUP(D2010,'Species Codes'!B:R,17,0)*((E2010*2.54)^VLOOKUP(D2010,'Species Codes'!B:S,18,0)))))/1000,IF(D2010="DF",EXP(VLOOKUP(D2010,'Species Codes'!B:O,14,0)+VLOOKUP(D2010,'Species Codes'!B:P,15,0)*LN((E2010*2.54))),VLOOKUP(D2010,'Species Codes'!B:O,14,0)+VLOOKUP(D2010,'Species Codes'!B:P,15,0)*(((E2010*2.54)/100)^2)*(I2010*0.3048)))))*0.0011023),0)</f>
        <v>#N/A</v>
      </c>
      <c r="AD2010" s="104" t="e">
        <f t="shared" si="868"/>
        <v>#N/A</v>
      </c>
      <c r="AE2010" s="104" t="e">
        <f t="shared" si="869"/>
        <v>#N/A</v>
      </c>
      <c r="AF2010" s="104" t="e">
        <f>IF(AND(VLOOKUP($D2010,Merchantability!$B:$C,2,0)="Yes",$E2010&gt;=VLOOKUP($D2010,Merchantability!$B:$D,3,0),$E2010&lt;=VLOOKUP($D2010,Merchantability!$B:$E,4,0)),AA2010,0)</f>
        <v>#N/A</v>
      </c>
      <c r="AG2010" s="104" t="e">
        <f>IF(AND(VLOOKUP($D2010,Merchantability!$B:$C,2,0)="Yes",$E2010&gt;=VLOOKUP($D2010,Merchantability!$B:$D,3,0),$E2010&lt;=VLOOKUP($D2010,Merchantability!$B:$E,4,0)),AB2010,0)</f>
        <v>#N/A</v>
      </c>
      <c r="AH2010" s="104" t="e">
        <f>IF(AND(VLOOKUP($D2010,Merchantability!$B:$C,2,0)="Yes",$E2010&gt;=VLOOKUP($D2010,Merchantability!$B:$D,3,0),$E2010&lt;=VLOOKUP($D2010,Merchantability!$B:$E,4,0)),AC2010,0)</f>
        <v>#N/A</v>
      </c>
      <c r="AI2010" s="104" t="e">
        <f t="shared" si="870"/>
        <v>#N/A</v>
      </c>
      <c r="AJ2010" s="104" t="e">
        <f t="shared" si="871"/>
        <v>#VALUE!</v>
      </c>
      <c r="AK2010" s="104" t="e">
        <f t="shared" si="872"/>
        <v>#N/A</v>
      </c>
      <c r="AL2010" s="104" t="e">
        <f t="shared" si="873"/>
        <v>#N/A</v>
      </c>
      <c r="AM2010" s="104" t="e">
        <f t="shared" si="874"/>
        <v>#N/A</v>
      </c>
      <c r="AN2010" s="104" t="e">
        <f t="shared" si="885"/>
        <v>#N/A</v>
      </c>
      <c r="AO2010" s="104" t="e">
        <f t="shared" si="886"/>
        <v>#N/A</v>
      </c>
      <c r="AP2010" s="104" t="e">
        <f t="shared" si="887"/>
        <v>#N/A</v>
      </c>
      <c r="AQ2010" s="104" t="e">
        <f t="shared" si="888"/>
        <v>#N/A</v>
      </c>
      <c r="AR2010" s="105" t="str">
        <f t="shared" si="880"/>
        <v/>
      </c>
      <c r="AS2010" s="105" t="str">
        <f t="shared" si="881"/>
        <v/>
      </c>
      <c r="AT2010" s="108" t="str">
        <f t="shared" si="882"/>
        <v/>
      </c>
      <c r="AU2010" s="108" t="str">
        <f t="shared" si="883"/>
        <v/>
      </c>
      <c r="AV2010" s="107" t="str">
        <f>IF(ISNUMBER(O2010),IF(VLOOKUP($A2010,Stand!C:J,8,FALSE)="Short",AT2010,AU2010),"")</f>
        <v/>
      </c>
      <c r="AW2010" s="109" t="str">
        <f t="shared" si="889"/>
        <v/>
      </c>
      <c r="AX2010" s="109" t="str">
        <f t="shared" si="890"/>
        <v/>
      </c>
      <c r="AY2010" s="112" t="str">
        <f>IF(ISNUMBER(O2010),IF(AND(VLOOKUP($D2010,Merchantability!$B:$C,2,0)="Yes",$E2010&gt;=VLOOKUP($D2010,Merchantability!$B:$D,3,0),$E2010&lt;=VLOOKUP($D2010,Merchantability!$B:$E,4,0)),(AV2010*O2010)*(1-$H2010/100),""),"")</f>
        <v/>
      </c>
      <c r="AZ2010" s="116"/>
      <c r="BA2010" s="116"/>
      <c r="BB2010" s="116"/>
      <c r="BE2010" s="62"/>
      <c r="BF2010" s="63"/>
    </row>
    <row r="2011" spans="1:58" ht="12.75" customHeight="1" x14ac:dyDescent="0.25">
      <c r="A2011" s="334"/>
      <c r="B2011" s="334"/>
      <c r="C2011" s="332"/>
      <c r="D2011" s="334"/>
      <c r="E2011" s="335"/>
      <c r="F2011" s="334"/>
      <c r="G2011" s="332"/>
      <c r="H2011" s="332"/>
      <c r="I2011" s="334"/>
      <c r="J2011" s="336"/>
      <c r="K2011" s="332"/>
      <c r="L2011" s="332"/>
      <c r="M2011" s="76"/>
      <c r="N2011" s="103" t="str">
        <f>IF(A2011="","",VLOOKUP(A2011,Stand!C:K,9,0))</f>
        <v/>
      </c>
      <c r="O2011" s="104" t="str">
        <f t="shared" si="875"/>
        <v/>
      </c>
      <c r="P2011" s="105" t="str">
        <f t="shared" si="876"/>
        <v/>
      </c>
      <c r="Q2011" s="105" t="str">
        <f t="shared" si="864"/>
        <v/>
      </c>
      <c r="R2011" s="103" t="str">
        <f t="shared" si="877"/>
        <v/>
      </c>
      <c r="S2011" s="103" t="str">
        <f t="shared" si="878"/>
        <v/>
      </c>
      <c r="T2011" s="106" t="str">
        <f t="shared" si="865"/>
        <v/>
      </c>
      <c r="U2011" s="106" t="str">
        <f t="shared" si="866"/>
        <v/>
      </c>
      <c r="V2011" s="106" t="str">
        <f t="shared" si="867"/>
        <v/>
      </c>
      <c r="W2011" s="105" t="str">
        <f t="shared" si="879"/>
        <v/>
      </c>
      <c r="X2011" s="104" t="str">
        <f t="shared" si="884"/>
        <v/>
      </c>
      <c r="Y2011" s="104" t="str">
        <f t="array" ref="Y2011">IFERROR(IF(ISNUMBER(O2011),IF(COUNT(IF(A2011=$A$2:$A$2427,IF(D2011=$D$2:$D$2427,IF($X$2:$X$2427&gt;0,1))))&gt;0,SUM(IF(A2011=$A$2:$A$2427,IF(D2011=$D$2:$D$2427,$X$2:$X$2427)))/COUNT(IF(A2011=$A$2:$A$2427,IF(D2011=$D$2:$D$2427,IF(ISNUMBER($X$2:$X$2427),1)))),0),""),0)</f>
        <v/>
      </c>
      <c r="Z2011" s="104" t="str">
        <f>IF(ISNUMBER(O2011),IF(I2011&gt;0,(10^(VLOOKUP(D2011,'Species Codes'!B:C,2,0)+VLOOKUP(D2011,'Species Codes'!B:D,3,0)*LOG(E2011)+VLOOKUP(D2011,'Species Codes'!B:E,4,0)*LOG(I2011))),0),"")</f>
        <v/>
      </c>
      <c r="AA2011" s="104" t="str">
        <f>IFERROR((VLOOKUP(D2011,'Species Codes'!B:G,6,0)*Z2011)/2000,"")</f>
        <v/>
      </c>
      <c r="AB2011" s="104" t="e">
        <f>IF(Z2011&gt;0,((IF(OR(D2011="DF",D2011="RA")=TRUE,EXP(VLOOKUP(D2011,'Species Codes'!B:I,8,0)+VLOOKUP(D2011,'Species Codes'!B:J,9,0)*(LN((E2011*2.54)))),IF(OR(D2011="PY",D2011="RC",D2011="WH",D2011="NF")=TRUE,VLOOKUP(D2011,'Species Codes'!B:I,8,0)+VLOOKUP(D2011,'Species Codes'!B:J,9,0)*((E2011*2.54)^2)*(I2011*0.3048),IF(OR(D2011="MD",D2011="BM",D2011="GA")=TRUE,((VLOOKUP(D2011,'Species Codes'!B:I,8,0)*(((((E2011*2.54)+VLOOKUP(D2011,'Species Codes'!B:J,9,0))/VLOOKUP(D2011,'Species Codes'!B:K,10,0))^VLOOKUP(D2011,'Species Codes'!B:L,11,0))*((I2011*0.3048)^VLOOKUP(D2011,'Species Codes'!B:M,12,0))))-(VLOOKUP(D2011,'Species Codes'!B:I,8,0)*((((E2011*2.54)^VLOOKUP(D2011,'Species Codes'!B:L,11,0))*((I2011*0.3048)^VLOOKUP(D2011,'Species Codes'!B:M,12,0))))))*35.3*VLOOKUP(D2011,'Species Codes'!B:G,6,0)/2.2046,VLOOKUP(D2011,'Species Codes'!B:I,8,0)+VLOOKUP(D2011,'Species Codes'!B:J,9,0)*(((E2011*2.54)/100)^2)*(I2011*0.3048)))))*0.0011023),0)</f>
        <v>#N/A</v>
      </c>
      <c r="AC2011" s="104" t="e">
        <f>IF(Z2011&gt;0,((IF(OR(D2011="RA",D2011="OA",D2011="OT",D2011="UN",D2011="PC"),EXP(VLOOKUP(D2011,'Species Codes'!B:O,14,0)+VLOOKUP(D2011,'Species Codes'!B:P,15,0)*LN((E2011*2.54)))-EXP(VLOOKUP(D2011,'Species Codes'!B:O,14,0)+VLOOKUP(D2011,'Species Codes'!B:P,15,0)*LN((E2011*2.54)))*(1/(VLOOKUP(D2011,'Species Codes'!B:Q,16,0)+VLOOKUP(D2011,'Species Codes'!B:R,17,0)*((E2011*2.54)^VLOOKUP(D2011,'Species Codes'!B:S,18,0)))),IF(OR(D2011="BM",D2011="MD",D2011="OA"),EXP(VLOOKUP(D2011,'Species Codes'!B:O,14,0)+VLOOKUP(D2011,'Species Codes'!B:P,15,0)*LN((E2011*2.54)))*(1-(1/(VLOOKUP(D2011,'Species Codes'!B:Q,16,0)+VLOOKUP(D2011,'Species Codes'!B:R,17,0)*((E2011*2.54)^VLOOKUP(D2011,'Species Codes'!B:S,18,0)))))/1000,IF(D2011="DF",EXP(VLOOKUP(D2011,'Species Codes'!B:O,14,0)+VLOOKUP(D2011,'Species Codes'!B:P,15,0)*LN((E2011*2.54))),VLOOKUP(D2011,'Species Codes'!B:O,14,0)+VLOOKUP(D2011,'Species Codes'!B:P,15,0)*(((E2011*2.54)/100)^2)*(I2011*0.3048)))))*0.0011023),0)</f>
        <v>#N/A</v>
      </c>
      <c r="AD2011" s="104" t="e">
        <f t="shared" si="868"/>
        <v>#N/A</v>
      </c>
      <c r="AE2011" s="104" t="e">
        <f t="shared" si="869"/>
        <v>#N/A</v>
      </c>
      <c r="AF2011" s="104" t="e">
        <f>IF(AND(VLOOKUP($D2011,Merchantability!$B:$C,2,0)="Yes",$E2011&gt;=VLOOKUP($D2011,Merchantability!$B:$D,3,0),$E2011&lt;=VLOOKUP($D2011,Merchantability!$B:$E,4,0)),AA2011,0)</f>
        <v>#N/A</v>
      </c>
      <c r="AG2011" s="104" t="e">
        <f>IF(AND(VLOOKUP($D2011,Merchantability!$B:$C,2,0)="Yes",$E2011&gt;=VLOOKUP($D2011,Merchantability!$B:$D,3,0),$E2011&lt;=VLOOKUP($D2011,Merchantability!$B:$E,4,0)),AB2011,0)</f>
        <v>#N/A</v>
      </c>
      <c r="AH2011" s="104" t="e">
        <f>IF(AND(VLOOKUP($D2011,Merchantability!$B:$C,2,0)="Yes",$E2011&gt;=VLOOKUP($D2011,Merchantability!$B:$D,3,0),$E2011&lt;=VLOOKUP($D2011,Merchantability!$B:$E,4,0)),AC2011,0)</f>
        <v>#N/A</v>
      </c>
      <c r="AI2011" s="104" t="e">
        <f t="shared" si="870"/>
        <v>#N/A</v>
      </c>
      <c r="AJ2011" s="104" t="e">
        <f t="shared" si="871"/>
        <v>#VALUE!</v>
      </c>
      <c r="AK2011" s="104" t="e">
        <f t="shared" si="872"/>
        <v>#N/A</v>
      </c>
      <c r="AL2011" s="104" t="e">
        <f t="shared" si="873"/>
        <v>#N/A</v>
      </c>
      <c r="AM2011" s="104" t="e">
        <f t="shared" si="874"/>
        <v>#N/A</v>
      </c>
      <c r="AN2011" s="104" t="e">
        <f t="shared" si="885"/>
        <v>#N/A</v>
      </c>
      <c r="AO2011" s="104" t="e">
        <f t="shared" si="886"/>
        <v>#N/A</v>
      </c>
      <c r="AP2011" s="104" t="e">
        <f t="shared" si="887"/>
        <v>#N/A</v>
      </c>
      <c r="AQ2011" s="104" t="e">
        <f t="shared" si="888"/>
        <v>#N/A</v>
      </c>
      <c r="AR2011" s="105" t="str">
        <f t="shared" si="880"/>
        <v/>
      </c>
      <c r="AS2011" s="105" t="str">
        <f t="shared" si="881"/>
        <v/>
      </c>
      <c r="AT2011" s="108" t="str">
        <f t="shared" si="882"/>
        <v/>
      </c>
      <c r="AU2011" s="108" t="str">
        <f t="shared" si="883"/>
        <v/>
      </c>
      <c r="AV2011" s="107" t="str">
        <f>IF(ISNUMBER(O2011),IF(VLOOKUP($A2011,Stand!C:J,8,FALSE)="Short",AT2011,AU2011),"")</f>
        <v/>
      </c>
      <c r="AW2011" s="109" t="str">
        <f t="shared" si="889"/>
        <v/>
      </c>
      <c r="AX2011" s="109" t="str">
        <f t="shared" si="890"/>
        <v/>
      </c>
      <c r="AY2011" s="112" t="str">
        <f>IF(ISNUMBER(O2011),IF(AND(VLOOKUP($D2011,Merchantability!$B:$C,2,0)="Yes",$E2011&gt;=VLOOKUP($D2011,Merchantability!$B:$D,3,0),$E2011&lt;=VLOOKUP($D2011,Merchantability!$B:$E,4,0)),(AV2011*O2011)*(1-$H2011/100),""),"")</f>
        <v/>
      </c>
      <c r="AZ2011" s="116"/>
      <c r="BA2011" s="116"/>
      <c r="BB2011" s="116"/>
      <c r="BE2011" s="62"/>
      <c r="BF2011" s="63"/>
    </row>
    <row r="2012" spans="1:58" ht="12.75" customHeight="1" x14ac:dyDescent="0.25">
      <c r="A2012" s="334"/>
      <c r="B2012" s="334"/>
      <c r="C2012" s="332"/>
      <c r="D2012" s="334"/>
      <c r="E2012" s="335"/>
      <c r="F2012" s="334"/>
      <c r="G2012" s="332"/>
      <c r="H2012" s="332"/>
      <c r="I2012" s="334"/>
      <c r="J2012" s="336"/>
      <c r="K2012" s="332"/>
      <c r="L2012" s="332"/>
      <c r="M2012" s="76"/>
      <c r="N2012" s="103" t="str">
        <f>IF(A2012="","",VLOOKUP(A2012,Stand!C:K,9,0))</f>
        <v/>
      </c>
      <c r="O2012" s="104" t="str">
        <f t="shared" si="875"/>
        <v/>
      </c>
      <c r="P2012" s="105" t="str">
        <f t="shared" si="876"/>
        <v/>
      </c>
      <c r="Q2012" s="105" t="str">
        <f t="shared" si="864"/>
        <v/>
      </c>
      <c r="R2012" s="103" t="str">
        <f t="shared" si="877"/>
        <v/>
      </c>
      <c r="S2012" s="103" t="str">
        <f t="shared" si="878"/>
        <v/>
      </c>
      <c r="T2012" s="106" t="str">
        <f t="shared" si="865"/>
        <v/>
      </c>
      <c r="U2012" s="106" t="str">
        <f t="shared" si="866"/>
        <v/>
      </c>
      <c r="V2012" s="106" t="str">
        <f t="shared" si="867"/>
        <v/>
      </c>
      <c r="W2012" s="105" t="str">
        <f t="shared" si="879"/>
        <v/>
      </c>
      <c r="X2012" s="104" t="str">
        <f t="shared" si="884"/>
        <v/>
      </c>
      <c r="Y2012" s="104" t="str">
        <f t="array" ref="Y2012">IFERROR(IF(ISNUMBER(O2012),IF(COUNT(IF(A2012=$A$2:$A$2427,IF(D2012=$D$2:$D$2427,IF($X$2:$X$2427&gt;0,1))))&gt;0,SUM(IF(A2012=$A$2:$A$2427,IF(D2012=$D$2:$D$2427,$X$2:$X$2427)))/COUNT(IF(A2012=$A$2:$A$2427,IF(D2012=$D$2:$D$2427,IF(ISNUMBER($X$2:$X$2427),1)))),0),""),0)</f>
        <v/>
      </c>
      <c r="Z2012" s="104" t="str">
        <f>IF(ISNUMBER(O2012),IF(I2012&gt;0,(10^(VLOOKUP(D2012,'Species Codes'!B:C,2,0)+VLOOKUP(D2012,'Species Codes'!B:D,3,0)*LOG(E2012)+VLOOKUP(D2012,'Species Codes'!B:E,4,0)*LOG(I2012))),0),"")</f>
        <v/>
      </c>
      <c r="AA2012" s="104" t="str">
        <f>IFERROR((VLOOKUP(D2012,'Species Codes'!B:G,6,0)*Z2012)/2000,"")</f>
        <v/>
      </c>
      <c r="AB2012" s="104" t="e">
        <f>IF(Z2012&gt;0,((IF(OR(D2012="DF",D2012="RA")=TRUE,EXP(VLOOKUP(D2012,'Species Codes'!B:I,8,0)+VLOOKUP(D2012,'Species Codes'!B:J,9,0)*(LN((E2012*2.54)))),IF(OR(D2012="PY",D2012="RC",D2012="WH",D2012="NF")=TRUE,VLOOKUP(D2012,'Species Codes'!B:I,8,0)+VLOOKUP(D2012,'Species Codes'!B:J,9,0)*((E2012*2.54)^2)*(I2012*0.3048),IF(OR(D2012="MD",D2012="BM",D2012="GA")=TRUE,((VLOOKUP(D2012,'Species Codes'!B:I,8,0)*(((((E2012*2.54)+VLOOKUP(D2012,'Species Codes'!B:J,9,0))/VLOOKUP(D2012,'Species Codes'!B:K,10,0))^VLOOKUP(D2012,'Species Codes'!B:L,11,0))*((I2012*0.3048)^VLOOKUP(D2012,'Species Codes'!B:M,12,0))))-(VLOOKUP(D2012,'Species Codes'!B:I,8,0)*((((E2012*2.54)^VLOOKUP(D2012,'Species Codes'!B:L,11,0))*((I2012*0.3048)^VLOOKUP(D2012,'Species Codes'!B:M,12,0))))))*35.3*VLOOKUP(D2012,'Species Codes'!B:G,6,0)/2.2046,VLOOKUP(D2012,'Species Codes'!B:I,8,0)+VLOOKUP(D2012,'Species Codes'!B:J,9,0)*(((E2012*2.54)/100)^2)*(I2012*0.3048)))))*0.0011023),0)</f>
        <v>#N/A</v>
      </c>
      <c r="AC2012" s="104" t="e">
        <f>IF(Z2012&gt;0,((IF(OR(D2012="RA",D2012="OA",D2012="OT",D2012="UN",D2012="PC"),EXP(VLOOKUP(D2012,'Species Codes'!B:O,14,0)+VLOOKUP(D2012,'Species Codes'!B:P,15,0)*LN((E2012*2.54)))-EXP(VLOOKUP(D2012,'Species Codes'!B:O,14,0)+VLOOKUP(D2012,'Species Codes'!B:P,15,0)*LN((E2012*2.54)))*(1/(VLOOKUP(D2012,'Species Codes'!B:Q,16,0)+VLOOKUP(D2012,'Species Codes'!B:R,17,0)*((E2012*2.54)^VLOOKUP(D2012,'Species Codes'!B:S,18,0)))),IF(OR(D2012="BM",D2012="MD",D2012="OA"),EXP(VLOOKUP(D2012,'Species Codes'!B:O,14,0)+VLOOKUP(D2012,'Species Codes'!B:P,15,0)*LN((E2012*2.54)))*(1-(1/(VLOOKUP(D2012,'Species Codes'!B:Q,16,0)+VLOOKUP(D2012,'Species Codes'!B:R,17,0)*((E2012*2.54)^VLOOKUP(D2012,'Species Codes'!B:S,18,0)))))/1000,IF(D2012="DF",EXP(VLOOKUP(D2012,'Species Codes'!B:O,14,0)+VLOOKUP(D2012,'Species Codes'!B:P,15,0)*LN((E2012*2.54))),VLOOKUP(D2012,'Species Codes'!B:O,14,0)+VLOOKUP(D2012,'Species Codes'!B:P,15,0)*(((E2012*2.54)/100)^2)*(I2012*0.3048)))))*0.0011023),0)</f>
        <v>#N/A</v>
      </c>
      <c r="AD2012" s="104" t="e">
        <f t="shared" si="868"/>
        <v>#N/A</v>
      </c>
      <c r="AE2012" s="104" t="e">
        <f t="shared" si="869"/>
        <v>#N/A</v>
      </c>
      <c r="AF2012" s="104" t="e">
        <f>IF(AND(VLOOKUP($D2012,Merchantability!$B:$C,2,0)="Yes",$E2012&gt;=VLOOKUP($D2012,Merchantability!$B:$D,3,0),$E2012&lt;=VLOOKUP($D2012,Merchantability!$B:$E,4,0)),AA2012,0)</f>
        <v>#N/A</v>
      </c>
      <c r="AG2012" s="104" t="e">
        <f>IF(AND(VLOOKUP($D2012,Merchantability!$B:$C,2,0)="Yes",$E2012&gt;=VLOOKUP($D2012,Merchantability!$B:$D,3,0),$E2012&lt;=VLOOKUP($D2012,Merchantability!$B:$E,4,0)),AB2012,0)</f>
        <v>#N/A</v>
      </c>
      <c r="AH2012" s="104" t="e">
        <f>IF(AND(VLOOKUP($D2012,Merchantability!$B:$C,2,0)="Yes",$E2012&gt;=VLOOKUP($D2012,Merchantability!$B:$D,3,0),$E2012&lt;=VLOOKUP($D2012,Merchantability!$B:$E,4,0)),AC2012,0)</f>
        <v>#N/A</v>
      </c>
      <c r="AI2012" s="104" t="e">
        <f t="shared" si="870"/>
        <v>#N/A</v>
      </c>
      <c r="AJ2012" s="104" t="e">
        <f t="shared" si="871"/>
        <v>#VALUE!</v>
      </c>
      <c r="AK2012" s="104" t="e">
        <f t="shared" si="872"/>
        <v>#N/A</v>
      </c>
      <c r="AL2012" s="104" t="e">
        <f t="shared" si="873"/>
        <v>#N/A</v>
      </c>
      <c r="AM2012" s="104" t="e">
        <f t="shared" si="874"/>
        <v>#N/A</v>
      </c>
      <c r="AN2012" s="104" t="e">
        <f t="shared" si="885"/>
        <v>#N/A</v>
      </c>
      <c r="AO2012" s="104" t="e">
        <f t="shared" si="886"/>
        <v>#N/A</v>
      </c>
      <c r="AP2012" s="104" t="e">
        <f t="shared" si="887"/>
        <v>#N/A</v>
      </c>
      <c r="AQ2012" s="104" t="e">
        <f t="shared" si="888"/>
        <v>#N/A</v>
      </c>
      <c r="AR2012" s="105" t="str">
        <f t="shared" si="880"/>
        <v/>
      </c>
      <c r="AS2012" s="105" t="str">
        <f t="shared" si="881"/>
        <v/>
      </c>
      <c r="AT2012" s="108" t="str">
        <f t="shared" si="882"/>
        <v/>
      </c>
      <c r="AU2012" s="108" t="str">
        <f t="shared" si="883"/>
        <v/>
      </c>
      <c r="AV2012" s="107" t="str">
        <f>IF(ISNUMBER(O2012),IF(VLOOKUP($A2012,Stand!C:J,8,FALSE)="Short",AT2012,AU2012),"")</f>
        <v/>
      </c>
      <c r="AW2012" s="109" t="str">
        <f t="shared" si="889"/>
        <v/>
      </c>
      <c r="AX2012" s="109" t="str">
        <f t="shared" si="890"/>
        <v/>
      </c>
      <c r="AY2012" s="112" t="str">
        <f>IF(ISNUMBER(O2012),IF(AND(VLOOKUP($D2012,Merchantability!$B:$C,2,0)="Yes",$E2012&gt;=VLOOKUP($D2012,Merchantability!$B:$D,3,0),$E2012&lt;=VLOOKUP($D2012,Merchantability!$B:$E,4,0)),(AV2012*O2012)*(1-$H2012/100),""),"")</f>
        <v/>
      </c>
      <c r="AZ2012" s="116"/>
      <c r="BA2012" s="116"/>
      <c r="BB2012" s="116"/>
      <c r="BE2012" s="62"/>
      <c r="BF2012" s="63"/>
    </row>
    <row r="2013" spans="1:58" ht="12.75" customHeight="1" x14ac:dyDescent="0.25">
      <c r="A2013" s="334"/>
      <c r="B2013" s="334"/>
      <c r="C2013" s="332"/>
      <c r="D2013" s="334"/>
      <c r="E2013" s="335"/>
      <c r="F2013" s="334"/>
      <c r="G2013" s="332"/>
      <c r="H2013" s="332"/>
      <c r="I2013" s="334"/>
      <c r="J2013" s="336"/>
      <c r="K2013" s="332"/>
      <c r="L2013" s="332"/>
      <c r="M2013" s="76"/>
      <c r="N2013" s="103" t="str">
        <f>IF(A2013="","",VLOOKUP(A2013,Stand!C:K,9,0))</f>
        <v/>
      </c>
      <c r="O2013" s="104" t="str">
        <f t="shared" si="875"/>
        <v/>
      </c>
      <c r="P2013" s="105" t="str">
        <f t="shared" si="876"/>
        <v/>
      </c>
      <c r="Q2013" s="105" t="str">
        <f t="shared" ref="Q2013:Q2076" si="891">IF(AND(ISNUMBER(O2013),I2013&gt;0),I2013*O2013,"")</f>
        <v/>
      </c>
      <c r="R2013" s="103" t="str">
        <f t="shared" si="877"/>
        <v/>
      </c>
      <c r="S2013" s="103" t="str">
        <f t="shared" si="878"/>
        <v/>
      </c>
      <c r="T2013" s="106" t="str">
        <f t="shared" ref="T2013:T2076" si="892">IF(AND(ISNUMBER(O2013),J2013&gt;0),J2013/100,"")</f>
        <v/>
      </c>
      <c r="U2013" s="106" t="str">
        <f t="shared" ref="U2013:U2076" si="893">IF(AND(ISNUMBER(O2013),J2013&gt;0),T2013*O2013,"")</f>
        <v/>
      </c>
      <c r="V2013" s="106" t="str">
        <f t="shared" ref="V2013:V2076" si="894">IF(AND(ISNUMBER(O2013),I2013&gt;0),W2013*O2013,"")</f>
        <v/>
      </c>
      <c r="W2013" s="105" t="str">
        <f t="shared" si="879"/>
        <v/>
      </c>
      <c r="X2013" s="104" t="str">
        <f t="shared" si="884"/>
        <v/>
      </c>
      <c r="Y2013" s="104" t="str">
        <f t="array" ref="Y2013">IFERROR(IF(ISNUMBER(O2013),IF(COUNT(IF(A2013=$A$2:$A$2427,IF(D2013=$D$2:$D$2427,IF($X$2:$X$2427&gt;0,1))))&gt;0,SUM(IF(A2013=$A$2:$A$2427,IF(D2013=$D$2:$D$2427,$X$2:$X$2427)))/COUNT(IF(A2013=$A$2:$A$2427,IF(D2013=$D$2:$D$2427,IF(ISNUMBER($X$2:$X$2427),1)))),0),""),0)</f>
        <v/>
      </c>
      <c r="Z2013" s="104" t="str">
        <f>IF(ISNUMBER(O2013),IF(I2013&gt;0,(10^(VLOOKUP(D2013,'Species Codes'!B:C,2,0)+VLOOKUP(D2013,'Species Codes'!B:D,3,0)*LOG(E2013)+VLOOKUP(D2013,'Species Codes'!B:E,4,0)*LOG(I2013))),0),"")</f>
        <v/>
      </c>
      <c r="AA2013" s="104" t="str">
        <f>IFERROR((VLOOKUP(D2013,'Species Codes'!B:G,6,0)*Z2013)/2000,"")</f>
        <v/>
      </c>
      <c r="AB2013" s="104" t="e">
        <f>IF(Z2013&gt;0,((IF(OR(D2013="DF",D2013="RA")=TRUE,EXP(VLOOKUP(D2013,'Species Codes'!B:I,8,0)+VLOOKUP(D2013,'Species Codes'!B:J,9,0)*(LN((E2013*2.54)))),IF(OR(D2013="PY",D2013="RC",D2013="WH",D2013="NF")=TRUE,VLOOKUP(D2013,'Species Codes'!B:I,8,0)+VLOOKUP(D2013,'Species Codes'!B:J,9,0)*((E2013*2.54)^2)*(I2013*0.3048),IF(OR(D2013="MD",D2013="BM",D2013="GA")=TRUE,((VLOOKUP(D2013,'Species Codes'!B:I,8,0)*(((((E2013*2.54)+VLOOKUP(D2013,'Species Codes'!B:J,9,0))/VLOOKUP(D2013,'Species Codes'!B:K,10,0))^VLOOKUP(D2013,'Species Codes'!B:L,11,0))*((I2013*0.3048)^VLOOKUP(D2013,'Species Codes'!B:M,12,0))))-(VLOOKUP(D2013,'Species Codes'!B:I,8,0)*((((E2013*2.54)^VLOOKUP(D2013,'Species Codes'!B:L,11,0))*((I2013*0.3048)^VLOOKUP(D2013,'Species Codes'!B:M,12,0))))))*35.3*VLOOKUP(D2013,'Species Codes'!B:G,6,0)/2.2046,VLOOKUP(D2013,'Species Codes'!B:I,8,0)+VLOOKUP(D2013,'Species Codes'!B:J,9,0)*(((E2013*2.54)/100)^2)*(I2013*0.3048)))))*0.0011023),0)</f>
        <v>#N/A</v>
      </c>
      <c r="AC2013" s="104" t="e">
        <f>IF(Z2013&gt;0,((IF(OR(D2013="RA",D2013="OA",D2013="OT",D2013="UN",D2013="PC"),EXP(VLOOKUP(D2013,'Species Codes'!B:O,14,0)+VLOOKUP(D2013,'Species Codes'!B:P,15,0)*LN((E2013*2.54)))-EXP(VLOOKUP(D2013,'Species Codes'!B:O,14,0)+VLOOKUP(D2013,'Species Codes'!B:P,15,0)*LN((E2013*2.54)))*(1/(VLOOKUP(D2013,'Species Codes'!B:Q,16,0)+VLOOKUP(D2013,'Species Codes'!B:R,17,0)*((E2013*2.54)^VLOOKUP(D2013,'Species Codes'!B:S,18,0)))),IF(OR(D2013="BM",D2013="MD",D2013="OA"),EXP(VLOOKUP(D2013,'Species Codes'!B:O,14,0)+VLOOKUP(D2013,'Species Codes'!B:P,15,0)*LN((E2013*2.54)))*(1-(1/(VLOOKUP(D2013,'Species Codes'!B:Q,16,0)+VLOOKUP(D2013,'Species Codes'!B:R,17,0)*((E2013*2.54)^VLOOKUP(D2013,'Species Codes'!B:S,18,0)))))/1000,IF(D2013="DF",EXP(VLOOKUP(D2013,'Species Codes'!B:O,14,0)+VLOOKUP(D2013,'Species Codes'!B:P,15,0)*LN((E2013*2.54))),VLOOKUP(D2013,'Species Codes'!B:O,14,0)+VLOOKUP(D2013,'Species Codes'!B:P,15,0)*(((E2013*2.54)/100)^2)*(I2013*0.3048)))))*0.0011023),0)</f>
        <v>#N/A</v>
      </c>
      <c r="AD2013" s="104" t="e">
        <f t="shared" ref="AD2013:AD2076" si="895">SUM(AA2013:AC2013)</f>
        <v>#N/A</v>
      </c>
      <c r="AE2013" s="104" t="e">
        <f t="shared" ref="AE2013:AE2076" si="896">AD2013*O2013</f>
        <v>#N/A</v>
      </c>
      <c r="AF2013" s="104" t="e">
        <f>IF(AND(VLOOKUP($D2013,Merchantability!$B:$C,2,0)="Yes",$E2013&gt;=VLOOKUP($D2013,Merchantability!$B:$D,3,0),$E2013&lt;=VLOOKUP($D2013,Merchantability!$B:$E,4,0)),AA2013,0)</f>
        <v>#N/A</v>
      </c>
      <c r="AG2013" s="104" t="e">
        <f>IF(AND(VLOOKUP($D2013,Merchantability!$B:$C,2,0)="Yes",$E2013&gt;=VLOOKUP($D2013,Merchantability!$B:$D,3,0),$E2013&lt;=VLOOKUP($D2013,Merchantability!$B:$E,4,0)),AB2013,0)</f>
        <v>#N/A</v>
      </c>
      <c r="AH2013" s="104" t="e">
        <f>IF(AND(VLOOKUP($D2013,Merchantability!$B:$C,2,0)="Yes",$E2013&gt;=VLOOKUP($D2013,Merchantability!$B:$D,3,0),$E2013&lt;=VLOOKUP($D2013,Merchantability!$B:$E,4,0)),AC2013,0)</f>
        <v>#N/A</v>
      </c>
      <c r="AI2013" s="104" t="e">
        <f t="shared" ref="AI2013:AI2076" si="897">SUM(AF2013:AH2013)</f>
        <v>#N/A</v>
      </c>
      <c r="AJ2013" s="104" t="e">
        <f t="shared" ref="AJ2013:AJ2076" si="898">AA2013*$O2013</f>
        <v>#VALUE!</v>
      </c>
      <c r="AK2013" s="104" t="e">
        <f t="shared" ref="AK2013:AK2076" si="899">AB2013*$O2013</f>
        <v>#N/A</v>
      </c>
      <c r="AL2013" s="104" t="e">
        <f t="shared" ref="AL2013:AL2076" si="900">AC2013*$O2013</f>
        <v>#N/A</v>
      </c>
      <c r="AM2013" s="104" t="e">
        <f t="shared" ref="AM2013:AM2076" si="901">AD2013*$O2013</f>
        <v>#N/A</v>
      </c>
      <c r="AN2013" s="104" t="e">
        <f t="shared" si="885"/>
        <v>#N/A</v>
      </c>
      <c r="AO2013" s="104" t="e">
        <f t="shared" si="886"/>
        <v>#N/A</v>
      </c>
      <c r="AP2013" s="104" t="e">
        <f t="shared" si="887"/>
        <v>#N/A</v>
      </c>
      <c r="AQ2013" s="104" t="e">
        <f t="shared" si="888"/>
        <v>#N/A</v>
      </c>
      <c r="AR2013" s="105" t="str">
        <f t="shared" si="880"/>
        <v/>
      </c>
      <c r="AS2013" s="105" t="str">
        <f t="shared" si="881"/>
        <v/>
      </c>
      <c r="AT2013" s="108" t="str">
        <f t="shared" si="882"/>
        <v/>
      </c>
      <c r="AU2013" s="108" t="str">
        <f t="shared" si="883"/>
        <v/>
      </c>
      <c r="AV2013" s="107" t="str">
        <f>IF(ISNUMBER(O2013),IF(VLOOKUP($A2013,Stand!C:J,8,FALSE)="Short",AT2013,AU2013),"")</f>
        <v/>
      </c>
      <c r="AW2013" s="109" t="str">
        <f t="shared" si="889"/>
        <v/>
      </c>
      <c r="AX2013" s="109" t="str">
        <f t="shared" si="890"/>
        <v/>
      </c>
      <c r="AY2013" s="112" t="str">
        <f>IF(ISNUMBER(O2013),IF(AND(VLOOKUP($D2013,Merchantability!$B:$C,2,0)="Yes",$E2013&gt;=VLOOKUP($D2013,Merchantability!$B:$D,3,0),$E2013&lt;=VLOOKUP($D2013,Merchantability!$B:$E,4,0)),(AV2013*O2013)*(1-$H2013/100),""),"")</f>
        <v/>
      </c>
      <c r="AZ2013" s="116"/>
      <c r="BA2013" s="116"/>
      <c r="BB2013" s="116"/>
      <c r="BE2013" s="62"/>
      <c r="BF2013" s="63"/>
    </row>
    <row r="2014" spans="1:58" ht="12.75" customHeight="1" x14ac:dyDescent="0.25">
      <c r="A2014" s="334"/>
      <c r="B2014" s="334"/>
      <c r="C2014" s="332"/>
      <c r="D2014" s="334"/>
      <c r="E2014" s="335"/>
      <c r="F2014" s="334"/>
      <c r="G2014" s="332"/>
      <c r="H2014" s="332"/>
      <c r="I2014" s="334"/>
      <c r="J2014" s="336"/>
      <c r="K2014" s="332"/>
      <c r="L2014" s="332"/>
      <c r="M2014" s="76"/>
      <c r="N2014" s="103" t="str">
        <f>IF(A2014="","",VLOOKUP(A2014,Stand!C:K,9,0))</f>
        <v/>
      </c>
      <c r="O2014" s="104" t="str">
        <f t="shared" si="875"/>
        <v/>
      </c>
      <c r="P2014" s="105" t="str">
        <f t="shared" si="876"/>
        <v/>
      </c>
      <c r="Q2014" s="105" t="str">
        <f t="shared" si="891"/>
        <v/>
      </c>
      <c r="R2014" s="103" t="str">
        <f t="shared" si="877"/>
        <v/>
      </c>
      <c r="S2014" s="103" t="str">
        <f t="shared" si="878"/>
        <v/>
      </c>
      <c r="T2014" s="106" t="str">
        <f t="shared" si="892"/>
        <v/>
      </c>
      <c r="U2014" s="106" t="str">
        <f t="shared" si="893"/>
        <v/>
      </c>
      <c r="V2014" s="106" t="str">
        <f t="shared" si="894"/>
        <v/>
      </c>
      <c r="W2014" s="105" t="str">
        <f t="shared" si="879"/>
        <v/>
      </c>
      <c r="X2014" s="104" t="str">
        <f t="shared" si="884"/>
        <v/>
      </c>
      <c r="Y2014" s="104" t="str">
        <f t="array" ref="Y2014">IFERROR(IF(ISNUMBER(O2014),IF(COUNT(IF(A2014=$A$2:$A$2427,IF(D2014=$D$2:$D$2427,IF($X$2:$X$2427&gt;0,1))))&gt;0,SUM(IF(A2014=$A$2:$A$2427,IF(D2014=$D$2:$D$2427,$X$2:$X$2427)))/COUNT(IF(A2014=$A$2:$A$2427,IF(D2014=$D$2:$D$2427,IF(ISNUMBER($X$2:$X$2427),1)))),0),""),0)</f>
        <v/>
      </c>
      <c r="Z2014" s="104" t="str">
        <f>IF(ISNUMBER(O2014),IF(I2014&gt;0,(10^(VLOOKUP(D2014,'Species Codes'!B:C,2,0)+VLOOKUP(D2014,'Species Codes'!B:D,3,0)*LOG(E2014)+VLOOKUP(D2014,'Species Codes'!B:E,4,0)*LOG(I2014))),0),"")</f>
        <v/>
      </c>
      <c r="AA2014" s="104" t="str">
        <f>IFERROR((VLOOKUP(D2014,'Species Codes'!B:G,6,0)*Z2014)/2000,"")</f>
        <v/>
      </c>
      <c r="AB2014" s="104" t="e">
        <f>IF(Z2014&gt;0,((IF(OR(D2014="DF",D2014="RA")=TRUE,EXP(VLOOKUP(D2014,'Species Codes'!B:I,8,0)+VLOOKUP(D2014,'Species Codes'!B:J,9,0)*(LN((E2014*2.54)))),IF(OR(D2014="PY",D2014="RC",D2014="WH",D2014="NF")=TRUE,VLOOKUP(D2014,'Species Codes'!B:I,8,0)+VLOOKUP(D2014,'Species Codes'!B:J,9,0)*((E2014*2.54)^2)*(I2014*0.3048),IF(OR(D2014="MD",D2014="BM",D2014="GA")=TRUE,((VLOOKUP(D2014,'Species Codes'!B:I,8,0)*(((((E2014*2.54)+VLOOKUP(D2014,'Species Codes'!B:J,9,0))/VLOOKUP(D2014,'Species Codes'!B:K,10,0))^VLOOKUP(D2014,'Species Codes'!B:L,11,0))*((I2014*0.3048)^VLOOKUP(D2014,'Species Codes'!B:M,12,0))))-(VLOOKUP(D2014,'Species Codes'!B:I,8,0)*((((E2014*2.54)^VLOOKUP(D2014,'Species Codes'!B:L,11,0))*((I2014*0.3048)^VLOOKUP(D2014,'Species Codes'!B:M,12,0))))))*35.3*VLOOKUP(D2014,'Species Codes'!B:G,6,0)/2.2046,VLOOKUP(D2014,'Species Codes'!B:I,8,0)+VLOOKUP(D2014,'Species Codes'!B:J,9,0)*(((E2014*2.54)/100)^2)*(I2014*0.3048)))))*0.0011023),0)</f>
        <v>#N/A</v>
      </c>
      <c r="AC2014" s="104" t="e">
        <f>IF(Z2014&gt;0,((IF(OR(D2014="RA",D2014="OA",D2014="OT",D2014="UN",D2014="PC"),EXP(VLOOKUP(D2014,'Species Codes'!B:O,14,0)+VLOOKUP(D2014,'Species Codes'!B:P,15,0)*LN((E2014*2.54)))-EXP(VLOOKUP(D2014,'Species Codes'!B:O,14,0)+VLOOKUP(D2014,'Species Codes'!B:P,15,0)*LN((E2014*2.54)))*(1/(VLOOKUP(D2014,'Species Codes'!B:Q,16,0)+VLOOKUP(D2014,'Species Codes'!B:R,17,0)*((E2014*2.54)^VLOOKUP(D2014,'Species Codes'!B:S,18,0)))),IF(OR(D2014="BM",D2014="MD",D2014="OA"),EXP(VLOOKUP(D2014,'Species Codes'!B:O,14,0)+VLOOKUP(D2014,'Species Codes'!B:P,15,0)*LN((E2014*2.54)))*(1-(1/(VLOOKUP(D2014,'Species Codes'!B:Q,16,0)+VLOOKUP(D2014,'Species Codes'!B:R,17,0)*((E2014*2.54)^VLOOKUP(D2014,'Species Codes'!B:S,18,0)))))/1000,IF(D2014="DF",EXP(VLOOKUP(D2014,'Species Codes'!B:O,14,0)+VLOOKUP(D2014,'Species Codes'!B:P,15,0)*LN((E2014*2.54))),VLOOKUP(D2014,'Species Codes'!B:O,14,0)+VLOOKUP(D2014,'Species Codes'!B:P,15,0)*(((E2014*2.54)/100)^2)*(I2014*0.3048)))))*0.0011023),0)</f>
        <v>#N/A</v>
      </c>
      <c r="AD2014" s="104" t="e">
        <f t="shared" si="895"/>
        <v>#N/A</v>
      </c>
      <c r="AE2014" s="104" t="e">
        <f t="shared" si="896"/>
        <v>#N/A</v>
      </c>
      <c r="AF2014" s="104" t="e">
        <f>IF(AND(VLOOKUP($D2014,Merchantability!$B:$C,2,0)="Yes",$E2014&gt;=VLOOKUP($D2014,Merchantability!$B:$D,3,0),$E2014&lt;=VLOOKUP($D2014,Merchantability!$B:$E,4,0)),AA2014,0)</f>
        <v>#N/A</v>
      </c>
      <c r="AG2014" s="104" t="e">
        <f>IF(AND(VLOOKUP($D2014,Merchantability!$B:$C,2,0)="Yes",$E2014&gt;=VLOOKUP($D2014,Merchantability!$B:$D,3,0),$E2014&lt;=VLOOKUP($D2014,Merchantability!$B:$E,4,0)),AB2014,0)</f>
        <v>#N/A</v>
      </c>
      <c r="AH2014" s="104" t="e">
        <f>IF(AND(VLOOKUP($D2014,Merchantability!$B:$C,2,0)="Yes",$E2014&gt;=VLOOKUP($D2014,Merchantability!$B:$D,3,0),$E2014&lt;=VLOOKUP($D2014,Merchantability!$B:$E,4,0)),AC2014,0)</f>
        <v>#N/A</v>
      </c>
      <c r="AI2014" s="104" t="e">
        <f t="shared" si="897"/>
        <v>#N/A</v>
      </c>
      <c r="AJ2014" s="104" t="e">
        <f t="shared" si="898"/>
        <v>#VALUE!</v>
      </c>
      <c r="AK2014" s="104" t="e">
        <f t="shared" si="899"/>
        <v>#N/A</v>
      </c>
      <c r="AL2014" s="104" t="e">
        <f t="shared" si="900"/>
        <v>#N/A</v>
      </c>
      <c r="AM2014" s="104" t="e">
        <f t="shared" si="901"/>
        <v>#N/A</v>
      </c>
      <c r="AN2014" s="104" t="e">
        <f t="shared" si="885"/>
        <v>#N/A</v>
      </c>
      <c r="AO2014" s="104" t="e">
        <f t="shared" si="886"/>
        <v>#N/A</v>
      </c>
      <c r="AP2014" s="104" t="e">
        <f t="shared" si="887"/>
        <v>#N/A</v>
      </c>
      <c r="AQ2014" s="104" t="e">
        <f t="shared" si="888"/>
        <v>#N/A</v>
      </c>
      <c r="AR2014" s="105" t="str">
        <f t="shared" si="880"/>
        <v/>
      </c>
      <c r="AS2014" s="105" t="str">
        <f t="shared" si="881"/>
        <v/>
      </c>
      <c r="AT2014" s="108" t="str">
        <f t="shared" si="882"/>
        <v/>
      </c>
      <c r="AU2014" s="108" t="str">
        <f t="shared" si="883"/>
        <v/>
      </c>
      <c r="AV2014" s="107" t="str">
        <f>IF(ISNUMBER(O2014),IF(VLOOKUP($A2014,Stand!C:J,8,FALSE)="Short",AT2014,AU2014),"")</f>
        <v/>
      </c>
      <c r="AW2014" s="109" t="str">
        <f t="shared" si="889"/>
        <v/>
      </c>
      <c r="AX2014" s="109" t="str">
        <f t="shared" si="890"/>
        <v/>
      </c>
      <c r="AY2014" s="112" t="str">
        <f>IF(ISNUMBER(O2014),IF(AND(VLOOKUP($D2014,Merchantability!$B:$C,2,0)="Yes",$E2014&gt;=VLOOKUP($D2014,Merchantability!$B:$D,3,0),$E2014&lt;=VLOOKUP($D2014,Merchantability!$B:$E,4,0)),(AV2014*O2014)*(1-$H2014/100),""),"")</f>
        <v/>
      </c>
      <c r="AZ2014" s="116"/>
      <c r="BA2014" s="116"/>
      <c r="BB2014" s="116"/>
      <c r="BE2014" s="62"/>
      <c r="BF2014" s="63"/>
    </row>
    <row r="2015" spans="1:58" ht="12.75" customHeight="1" x14ac:dyDescent="0.25">
      <c r="A2015" s="334"/>
      <c r="B2015" s="334"/>
      <c r="C2015" s="332"/>
      <c r="D2015" s="334"/>
      <c r="E2015" s="335"/>
      <c r="F2015" s="334"/>
      <c r="G2015" s="332"/>
      <c r="H2015" s="332"/>
      <c r="I2015" s="334"/>
      <c r="J2015" s="336"/>
      <c r="K2015" s="332"/>
      <c r="L2015" s="332"/>
      <c r="M2015" s="76"/>
      <c r="N2015" s="103" t="str">
        <f>IF(A2015="","",VLOOKUP(A2015,Stand!C:K,9,0))</f>
        <v/>
      </c>
      <c r="O2015" s="104" t="str">
        <f t="shared" si="875"/>
        <v/>
      </c>
      <c r="P2015" s="105" t="str">
        <f t="shared" si="876"/>
        <v/>
      </c>
      <c r="Q2015" s="105" t="str">
        <f t="shared" si="891"/>
        <v/>
      </c>
      <c r="R2015" s="103" t="str">
        <f t="shared" si="877"/>
        <v/>
      </c>
      <c r="S2015" s="103" t="str">
        <f t="shared" si="878"/>
        <v/>
      </c>
      <c r="T2015" s="106" t="str">
        <f t="shared" si="892"/>
        <v/>
      </c>
      <c r="U2015" s="106" t="str">
        <f t="shared" si="893"/>
        <v/>
      </c>
      <c r="V2015" s="106" t="str">
        <f t="shared" si="894"/>
        <v/>
      </c>
      <c r="W2015" s="105" t="str">
        <f t="shared" si="879"/>
        <v/>
      </c>
      <c r="X2015" s="104" t="str">
        <f t="shared" si="884"/>
        <v/>
      </c>
      <c r="Y2015" s="104" t="str">
        <f t="array" ref="Y2015">IFERROR(IF(ISNUMBER(O2015),IF(COUNT(IF(A2015=$A$2:$A$2427,IF(D2015=$D$2:$D$2427,IF($X$2:$X$2427&gt;0,1))))&gt;0,SUM(IF(A2015=$A$2:$A$2427,IF(D2015=$D$2:$D$2427,$X$2:$X$2427)))/COUNT(IF(A2015=$A$2:$A$2427,IF(D2015=$D$2:$D$2427,IF(ISNUMBER($X$2:$X$2427),1)))),0),""),0)</f>
        <v/>
      </c>
      <c r="Z2015" s="104" t="str">
        <f>IF(ISNUMBER(O2015),IF(I2015&gt;0,(10^(VLOOKUP(D2015,'Species Codes'!B:C,2,0)+VLOOKUP(D2015,'Species Codes'!B:D,3,0)*LOG(E2015)+VLOOKUP(D2015,'Species Codes'!B:E,4,0)*LOG(I2015))),0),"")</f>
        <v/>
      </c>
      <c r="AA2015" s="104" t="str">
        <f>IFERROR((VLOOKUP(D2015,'Species Codes'!B:G,6,0)*Z2015)/2000,"")</f>
        <v/>
      </c>
      <c r="AB2015" s="104" t="e">
        <f>IF(Z2015&gt;0,((IF(OR(D2015="DF",D2015="RA")=TRUE,EXP(VLOOKUP(D2015,'Species Codes'!B:I,8,0)+VLOOKUP(D2015,'Species Codes'!B:J,9,0)*(LN((E2015*2.54)))),IF(OR(D2015="PY",D2015="RC",D2015="WH",D2015="NF")=TRUE,VLOOKUP(D2015,'Species Codes'!B:I,8,0)+VLOOKUP(D2015,'Species Codes'!B:J,9,0)*((E2015*2.54)^2)*(I2015*0.3048),IF(OR(D2015="MD",D2015="BM",D2015="GA")=TRUE,((VLOOKUP(D2015,'Species Codes'!B:I,8,0)*(((((E2015*2.54)+VLOOKUP(D2015,'Species Codes'!B:J,9,0))/VLOOKUP(D2015,'Species Codes'!B:K,10,0))^VLOOKUP(D2015,'Species Codes'!B:L,11,0))*((I2015*0.3048)^VLOOKUP(D2015,'Species Codes'!B:M,12,0))))-(VLOOKUP(D2015,'Species Codes'!B:I,8,0)*((((E2015*2.54)^VLOOKUP(D2015,'Species Codes'!B:L,11,0))*((I2015*0.3048)^VLOOKUP(D2015,'Species Codes'!B:M,12,0))))))*35.3*VLOOKUP(D2015,'Species Codes'!B:G,6,0)/2.2046,VLOOKUP(D2015,'Species Codes'!B:I,8,0)+VLOOKUP(D2015,'Species Codes'!B:J,9,0)*(((E2015*2.54)/100)^2)*(I2015*0.3048)))))*0.0011023),0)</f>
        <v>#N/A</v>
      </c>
      <c r="AC2015" s="104" t="e">
        <f>IF(Z2015&gt;0,((IF(OR(D2015="RA",D2015="OA",D2015="OT",D2015="UN",D2015="PC"),EXP(VLOOKUP(D2015,'Species Codes'!B:O,14,0)+VLOOKUP(D2015,'Species Codes'!B:P,15,0)*LN((E2015*2.54)))-EXP(VLOOKUP(D2015,'Species Codes'!B:O,14,0)+VLOOKUP(D2015,'Species Codes'!B:P,15,0)*LN((E2015*2.54)))*(1/(VLOOKUP(D2015,'Species Codes'!B:Q,16,0)+VLOOKUP(D2015,'Species Codes'!B:R,17,0)*((E2015*2.54)^VLOOKUP(D2015,'Species Codes'!B:S,18,0)))),IF(OR(D2015="BM",D2015="MD",D2015="OA"),EXP(VLOOKUP(D2015,'Species Codes'!B:O,14,0)+VLOOKUP(D2015,'Species Codes'!B:P,15,0)*LN((E2015*2.54)))*(1-(1/(VLOOKUP(D2015,'Species Codes'!B:Q,16,0)+VLOOKUP(D2015,'Species Codes'!B:R,17,0)*((E2015*2.54)^VLOOKUP(D2015,'Species Codes'!B:S,18,0)))))/1000,IF(D2015="DF",EXP(VLOOKUP(D2015,'Species Codes'!B:O,14,0)+VLOOKUP(D2015,'Species Codes'!B:P,15,0)*LN((E2015*2.54))),VLOOKUP(D2015,'Species Codes'!B:O,14,0)+VLOOKUP(D2015,'Species Codes'!B:P,15,0)*(((E2015*2.54)/100)^2)*(I2015*0.3048)))))*0.0011023),0)</f>
        <v>#N/A</v>
      </c>
      <c r="AD2015" s="104" t="e">
        <f t="shared" si="895"/>
        <v>#N/A</v>
      </c>
      <c r="AE2015" s="104" t="e">
        <f t="shared" si="896"/>
        <v>#N/A</v>
      </c>
      <c r="AF2015" s="104" t="e">
        <f>IF(AND(VLOOKUP($D2015,Merchantability!$B:$C,2,0)="Yes",$E2015&gt;=VLOOKUP($D2015,Merchantability!$B:$D,3,0),$E2015&lt;=VLOOKUP($D2015,Merchantability!$B:$E,4,0)),AA2015,0)</f>
        <v>#N/A</v>
      </c>
      <c r="AG2015" s="104" t="e">
        <f>IF(AND(VLOOKUP($D2015,Merchantability!$B:$C,2,0)="Yes",$E2015&gt;=VLOOKUP($D2015,Merchantability!$B:$D,3,0),$E2015&lt;=VLOOKUP($D2015,Merchantability!$B:$E,4,0)),AB2015,0)</f>
        <v>#N/A</v>
      </c>
      <c r="AH2015" s="104" t="e">
        <f>IF(AND(VLOOKUP($D2015,Merchantability!$B:$C,2,0)="Yes",$E2015&gt;=VLOOKUP($D2015,Merchantability!$B:$D,3,0),$E2015&lt;=VLOOKUP($D2015,Merchantability!$B:$E,4,0)),AC2015,0)</f>
        <v>#N/A</v>
      </c>
      <c r="AI2015" s="104" t="e">
        <f t="shared" si="897"/>
        <v>#N/A</v>
      </c>
      <c r="AJ2015" s="104" t="e">
        <f t="shared" si="898"/>
        <v>#VALUE!</v>
      </c>
      <c r="AK2015" s="104" t="e">
        <f t="shared" si="899"/>
        <v>#N/A</v>
      </c>
      <c r="AL2015" s="104" t="e">
        <f t="shared" si="900"/>
        <v>#N/A</v>
      </c>
      <c r="AM2015" s="104" t="e">
        <f t="shared" si="901"/>
        <v>#N/A</v>
      </c>
      <c r="AN2015" s="104" t="e">
        <f t="shared" si="885"/>
        <v>#N/A</v>
      </c>
      <c r="AO2015" s="104" t="e">
        <f t="shared" si="886"/>
        <v>#N/A</v>
      </c>
      <c r="AP2015" s="104" t="e">
        <f t="shared" si="887"/>
        <v>#N/A</v>
      </c>
      <c r="AQ2015" s="104" t="e">
        <f t="shared" si="888"/>
        <v>#N/A</v>
      </c>
      <c r="AR2015" s="105" t="str">
        <f t="shared" si="880"/>
        <v/>
      </c>
      <c r="AS2015" s="105" t="str">
        <f t="shared" si="881"/>
        <v/>
      </c>
      <c r="AT2015" s="108" t="str">
        <f t="shared" si="882"/>
        <v/>
      </c>
      <c r="AU2015" s="108" t="str">
        <f t="shared" si="883"/>
        <v/>
      </c>
      <c r="AV2015" s="107" t="str">
        <f>IF(ISNUMBER(O2015),IF(VLOOKUP($A2015,Stand!C:J,8,FALSE)="Short",AT2015,AU2015),"")</f>
        <v/>
      </c>
      <c r="AW2015" s="109" t="str">
        <f t="shared" si="889"/>
        <v/>
      </c>
      <c r="AX2015" s="109" t="str">
        <f t="shared" si="890"/>
        <v/>
      </c>
      <c r="AY2015" s="112" t="str">
        <f>IF(ISNUMBER(O2015),IF(AND(VLOOKUP($D2015,Merchantability!$B:$C,2,0)="Yes",$E2015&gt;=VLOOKUP($D2015,Merchantability!$B:$D,3,0),$E2015&lt;=VLOOKUP($D2015,Merchantability!$B:$E,4,0)),(AV2015*O2015)*(1-$H2015/100),""),"")</f>
        <v/>
      </c>
      <c r="AZ2015" s="116"/>
      <c r="BA2015" s="116"/>
      <c r="BB2015" s="116"/>
      <c r="BE2015" s="62"/>
      <c r="BF2015" s="63"/>
    </row>
    <row r="2016" spans="1:58" ht="12.75" customHeight="1" x14ac:dyDescent="0.25">
      <c r="A2016" s="334"/>
      <c r="B2016" s="334"/>
      <c r="C2016" s="332"/>
      <c r="D2016" s="334"/>
      <c r="E2016" s="335"/>
      <c r="F2016" s="334"/>
      <c r="G2016" s="332"/>
      <c r="H2016" s="332"/>
      <c r="I2016" s="334"/>
      <c r="J2016" s="336"/>
      <c r="K2016" s="332"/>
      <c r="L2016" s="332"/>
      <c r="M2016" s="76"/>
      <c r="N2016" s="103" t="str">
        <f>IF(A2016="","",VLOOKUP(A2016,Stand!C:K,9,0))</f>
        <v/>
      </c>
      <c r="O2016" s="104" t="str">
        <f t="shared" si="875"/>
        <v/>
      </c>
      <c r="P2016" s="105" t="str">
        <f t="shared" si="876"/>
        <v/>
      </c>
      <c r="Q2016" s="105" t="str">
        <f t="shared" si="891"/>
        <v/>
      </c>
      <c r="R2016" s="103" t="str">
        <f t="shared" si="877"/>
        <v/>
      </c>
      <c r="S2016" s="103" t="str">
        <f t="shared" si="878"/>
        <v/>
      </c>
      <c r="T2016" s="106" t="str">
        <f t="shared" si="892"/>
        <v/>
      </c>
      <c r="U2016" s="106" t="str">
        <f t="shared" si="893"/>
        <v/>
      </c>
      <c r="V2016" s="106" t="str">
        <f t="shared" si="894"/>
        <v/>
      </c>
      <c r="W2016" s="105" t="str">
        <f t="shared" si="879"/>
        <v/>
      </c>
      <c r="X2016" s="104" t="str">
        <f t="shared" si="884"/>
        <v/>
      </c>
      <c r="Y2016" s="104" t="str">
        <f t="array" ref="Y2016">IFERROR(IF(ISNUMBER(O2016),IF(COUNT(IF(A2016=$A$2:$A$2427,IF(D2016=$D$2:$D$2427,IF($X$2:$X$2427&gt;0,1))))&gt;0,SUM(IF(A2016=$A$2:$A$2427,IF(D2016=$D$2:$D$2427,$X$2:$X$2427)))/COUNT(IF(A2016=$A$2:$A$2427,IF(D2016=$D$2:$D$2427,IF(ISNUMBER($X$2:$X$2427),1)))),0),""),0)</f>
        <v/>
      </c>
      <c r="Z2016" s="104" t="str">
        <f>IF(ISNUMBER(O2016),IF(I2016&gt;0,(10^(VLOOKUP(D2016,'Species Codes'!B:C,2,0)+VLOOKUP(D2016,'Species Codes'!B:D,3,0)*LOG(E2016)+VLOOKUP(D2016,'Species Codes'!B:E,4,0)*LOG(I2016))),0),"")</f>
        <v/>
      </c>
      <c r="AA2016" s="104" t="str">
        <f>IFERROR((VLOOKUP(D2016,'Species Codes'!B:G,6,0)*Z2016)/2000,"")</f>
        <v/>
      </c>
      <c r="AB2016" s="104" t="e">
        <f>IF(Z2016&gt;0,((IF(OR(D2016="DF",D2016="RA")=TRUE,EXP(VLOOKUP(D2016,'Species Codes'!B:I,8,0)+VLOOKUP(D2016,'Species Codes'!B:J,9,0)*(LN((E2016*2.54)))),IF(OR(D2016="PY",D2016="RC",D2016="WH",D2016="NF")=TRUE,VLOOKUP(D2016,'Species Codes'!B:I,8,0)+VLOOKUP(D2016,'Species Codes'!B:J,9,0)*((E2016*2.54)^2)*(I2016*0.3048),IF(OR(D2016="MD",D2016="BM",D2016="GA")=TRUE,((VLOOKUP(D2016,'Species Codes'!B:I,8,0)*(((((E2016*2.54)+VLOOKUP(D2016,'Species Codes'!B:J,9,0))/VLOOKUP(D2016,'Species Codes'!B:K,10,0))^VLOOKUP(D2016,'Species Codes'!B:L,11,0))*((I2016*0.3048)^VLOOKUP(D2016,'Species Codes'!B:M,12,0))))-(VLOOKUP(D2016,'Species Codes'!B:I,8,0)*((((E2016*2.54)^VLOOKUP(D2016,'Species Codes'!B:L,11,0))*((I2016*0.3048)^VLOOKUP(D2016,'Species Codes'!B:M,12,0))))))*35.3*VLOOKUP(D2016,'Species Codes'!B:G,6,0)/2.2046,VLOOKUP(D2016,'Species Codes'!B:I,8,0)+VLOOKUP(D2016,'Species Codes'!B:J,9,0)*(((E2016*2.54)/100)^2)*(I2016*0.3048)))))*0.0011023),0)</f>
        <v>#N/A</v>
      </c>
      <c r="AC2016" s="104" t="e">
        <f>IF(Z2016&gt;0,((IF(OR(D2016="RA",D2016="OA",D2016="OT",D2016="UN",D2016="PC"),EXP(VLOOKUP(D2016,'Species Codes'!B:O,14,0)+VLOOKUP(D2016,'Species Codes'!B:P,15,0)*LN((E2016*2.54)))-EXP(VLOOKUP(D2016,'Species Codes'!B:O,14,0)+VLOOKUP(D2016,'Species Codes'!B:P,15,0)*LN((E2016*2.54)))*(1/(VLOOKUP(D2016,'Species Codes'!B:Q,16,0)+VLOOKUP(D2016,'Species Codes'!B:R,17,0)*((E2016*2.54)^VLOOKUP(D2016,'Species Codes'!B:S,18,0)))),IF(OR(D2016="BM",D2016="MD",D2016="OA"),EXP(VLOOKUP(D2016,'Species Codes'!B:O,14,0)+VLOOKUP(D2016,'Species Codes'!B:P,15,0)*LN((E2016*2.54)))*(1-(1/(VLOOKUP(D2016,'Species Codes'!B:Q,16,0)+VLOOKUP(D2016,'Species Codes'!B:R,17,0)*((E2016*2.54)^VLOOKUP(D2016,'Species Codes'!B:S,18,0)))))/1000,IF(D2016="DF",EXP(VLOOKUP(D2016,'Species Codes'!B:O,14,0)+VLOOKUP(D2016,'Species Codes'!B:P,15,0)*LN((E2016*2.54))),VLOOKUP(D2016,'Species Codes'!B:O,14,0)+VLOOKUP(D2016,'Species Codes'!B:P,15,0)*(((E2016*2.54)/100)^2)*(I2016*0.3048)))))*0.0011023),0)</f>
        <v>#N/A</v>
      </c>
      <c r="AD2016" s="104" t="e">
        <f t="shared" si="895"/>
        <v>#N/A</v>
      </c>
      <c r="AE2016" s="104" t="e">
        <f t="shared" si="896"/>
        <v>#N/A</v>
      </c>
      <c r="AF2016" s="104" t="e">
        <f>IF(AND(VLOOKUP($D2016,Merchantability!$B:$C,2,0)="Yes",$E2016&gt;=VLOOKUP($D2016,Merchantability!$B:$D,3,0),$E2016&lt;=VLOOKUP($D2016,Merchantability!$B:$E,4,0)),AA2016,0)</f>
        <v>#N/A</v>
      </c>
      <c r="AG2016" s="104" t="e">
        <f>IF(AND(VLOOKUP($D2016,Merchantability!$B:$C,2,0)="Yes",$E2016&gt;=VLOOKUP($D2016,Merchantability!$B:$D,3,0),$E2016&lt;=VLOOKUP($D2016,Merchantability!$B:$E,4,0)),AB2016,0)</f>
        <v>#N/A</v>
      </c>
      <c r="AH2016" s="104" t="e">
        <f>IF(AND(VLOOKUP($D2016,Merchantability!$B:$C,2,0)="Yes",$E2016&gt;=VLOOKUP($D2016,Merchantability!$B:$D,3,0),$E2016&lt;=VLOOKUP($D2016,Merchantability!$B:$E,4,0)),AC2016,0)</f>
        <v>#N/A</v>
      </c>
      <c r="AI2016" s="104" t="e">
        <f t="shared" si="897"/>
        <v>#N/A</v>
      </c>
      <c r="AJ2016" s="104" t="e">
        <f t="shared" si="898"/>
        <v>#VALUE!</v>
      </c>
      <c r="AK2016" s="104" t="e">
        <f t="shared" si="899"/>
        <v>#N/A</v>
      </c>
      <c r="AL2016" s="104" t="e">
        <f t="shared" si="900"/>
        <v>#N/A</v>
      </c>
      <c r="AM2016" s="104" t="e">
        <f t="shared" si="901"/>
        <v>#N/A</v>
      </c>
      <c r="AN2016" s="104" t="e">
        <f t="shared" si="885"/>
        <v>#N/A</v>
      </c>
      <c r="AO2016" s="104" t="e">
        <f t="shared" si="886"/>
        <v>#N/A</v>
      </c>
      <c r="AP2016" s="104" t="e">
        <f t="shared" si="887"/>
        <v>#N/A</v>
      </c>
      <c r="AQ2016" s="104" t="e">
        <f t="shared" si="888"/>
        <v>#N/A</v>
      </c>
      <c r="AR2016" s="105" t="str">
        <f t="shared" si="880"/>
        <v/>
      </c>
      <c r="AS2016" s="105" t="str">
        <f t="shared" si="881"/>
        <v/>
      </c>
      <c r="AT2016" s="108" t="str">
        <f t="shared" si="882"/>
        <v/>
      </c>
      <c r="AU2016" s="108" t="str">
        <f t="shared" si="883"/>
        <v/>
      </c>
      <c r="AV2016" s="107" t="str">
        <f>IF(ISNUMBER(O2016),IF(VLOOKUP($A2016,Stand!C:J,8,FALSE)="Short",AT2016,AU2016),"")</f>
        <v/>
      </c>
      <c r="AW2016" s="109" t="str">
        <f t="shared" si="889"/>
        <v/>
      </c>
      <c r="AX2016" s="109" t="str">
        <f t="shared" si="890"/>
        <v/>
      </c>
      <c r="AY2016" s="112" t="str">
        <f>IF(ISNUMBER(O2016),IF(AND(VLOOKUP($D2016,Merchantability!$B:$C,2,0)="Yes",$E2016&gt;=VLOOKUP($D2016,Merchantability!$B:$D,3,0),$E2016&lt;=VLOOKUP($D2016,Merchantability!$B:$E,4,0)),(AV2016*O2016)*(1-$H2016/100),""),"")</f>
        <v/>
      </c>
      <c r="AZ2016" s="116"/>
      <c r="BA2016" s="116"/>
      <c r="BB2016" s="116"/>
      <c r="BE2016" s="62"/>
      <c r="BF2016" s="63"/>
    </row>
    <row r="2017" spans="1:58" ht="12.75" customHeight="1" x14ac:dyDescent="0.25">
      <c r="A2017" s="334"/>
      <c r="B2017" s="334"/>
      <c r="C2017" s="332"/>
      <c r="D2017" s="334"/>
      <c r="E2017" s="335"/>
      <c r="F2017" s="334"/>
      <c r="G2017" s="332"/>
      <c r="H2017" s="332"/>
      <c r="I2017" s="334"/>
      <c r="J2017" s="336"/>
      <c r="K2017" s="332"/>
      <c r="L2017" s="332"/>
      <c r="M2017" s="76"/>
      <c r="N2017" s="103" t="str">
        <f>IF(A2017="","",VLOOKUP(A2017,Stand!C:K,9,0))</f>
        <v/>
      </c>
      <c r="O2017" s="104" t="str">
        <f t="shared" si="875"/>
        <v/>
      </c>
      <c r="P2017" s="105" t="str">
        <f t="shared" si="876"/>
        <v/>
      </c>
      <c r="Q2017" s="105" t="str">
        <f t="shared" si="891"/>
        <v/>
      </c>
      <c r="R2017" s="103" t="str">
        <f t="shared" si="877"/>
        <v/>
      </c>
      <c r="S2017" s="103" t="str">
        <f t="shared" si="878"/>
        <v/>
      </c>
      <c r="T2017" s="106" t="str">
        <f t="shared" si="892"/>
        <v/>
      </c>
      <c r="U2017" s="106" t="str">
        <f t="shared" si="893"/>
        <v/>
      </c>
      <c r="V2017" s="106" t="str">
        <f t="shared" si="894"/>
        <v/>
      </c>
      <c r="W2017" s="105" t="str">
        <f t="shared" si="879"/>
        <v/>
      </c>
      <c r="X2017" s="104" t="str">
        <f t="shared" si="884"/>
        <v/>
      </c>
      <c r="Y2017" s="104" t="str">
        <f t="array" ref="Y2017">IFERROR(IF(ISNUMBER(O2017),IF(COUNT(IF(A2017=$A$2:$A$2427,IF(D2017=$D$2:$D$2427,IF($X$2:$X$2427&gt;0,1))))&gt;0,SUM(IF(A2017=$A$2:$A$2427,IF(D2017=$D$2:$D$2427,$X$2:$X$2427)))/COUNT(IF(A2017=$A$2:$A$2427,IF(D2017=$D$2:$D$2427,IF(ISNUMBER($X$2:$X$2427),1)))),0),""),0)</f>
        <v/>
      </c>
      <c r="Z2017" s="104" t="str">
        <f>IF(ISNUMBER(O2017),IF(I2017&gt;0,(10^(VLOOKUP(D2017,'Species Codes'!B:C,2,0)+VLOOKUP(D2017,'Species Codes'!B:D,3,0)*LOG(E2017)+VLOOKUP(D2017,'Species Codes'!B:E,4,0)*LOG(I2017))),0),"")</f>
        <v/>
      </c>
      <c r="AA2017" s="104" t="str">
        <f>IFERROR((VLOOKUP(D2017,'Species Codes'!B:G,6,0)*Z2017)/2000,"")</f>
        <v/>
      </c>
      <c r="AB2017" s="104" t="e">
        <f>IF(Z2017&gt;0,((IF(OR(D2017="DF",D2017="RA")=TRUE,EXP(VLOOKUP(D2017,'Species Codes'!B:I,8,0)+VLOOKUP(D2017,'Species Codes'!B:J,9,0)*(LN((E2017*2.54)))),IF(OR(D2017="PY",D2017="RC",D2017="WH",D2017="NF")=TRUE,VLOOKUP(D2017,'Species Codes'!B:I,8,0)+VLOOKUP(D2017,'Species Codes'!B:J,9,0)*((E2017*2.54)^2)*(I2017*0.3048),IF(OR(D2017="MD",D2017="BM",D2017="GA")=TRUE,((VLOOKUP(D2017,'Species Codes'!B:I,8,0)*(((((E2017*2.54)+VLOOKUP(D2017,'Species Codes'!B:J,9,0))/VLOOKUP(D2017,'Species Codes'!B:K,10,0))^VLOOKUP(D2017,'Species Codes'!B:L,11,0))*((I2017*0.3048)^VLOOKUP(D2017,'Species Codes'!B:M,12,0))))-(VLOOKUP(D2017,'Species Codes'!B:I,8,0)*((((E2017*2.54)^VLOOKUP(D2017,'Species Codes'!B:L,11,0))*((I2017*0.3048)^VLOOKUP(D2017,'Species Codes'!B:M,12,0))))))*35.3*VLOOKUP(D2017,'Species Codes'!B:G,6,0)/2.2046,VLOOKUP(D2017,'Species Codes'!B:I,8,0)+VLOOKUP(D2017,'Species Codes'!B:J,9,0)*(((E2017*2.54)/100)^2)*(I2017*0.3048)))))*0.0011023),0)</f>
        <v>#N/A</v>
      </c>
      <c r="AC2017" s="104" t="e">
        <f>IF(Z2017&gt;0,((IF(OR(D2017="RA",D2017="OA",D2017="OT",D2017="UN",D2017="PC"),EXP(VLOOKUP(D2017,'Species Codes'!B:O,14,0)+VLOOKUP(D2017,'Species Codes'!B:P,15,0)*LN((E2017*2.54)))-EXP(VLOOKUP(D2017,'Species Codes'!B:O,14,0)+VLOOKUP(D2017,'Species Codes'!B:P,15,0)*LN((E2017*2.54)))*(1/(VLOOKUP(D2017,'Species Codes'!B:Q,16,0)+VLOOKUP(D2017,'Species Codes'!B:R,17,0)*((E2017*2.54)^VLOOKUP(D2017,'Species Codes'!B:S,18,0)))),IF(OR(D2017="BM",D2017="MD",D2017="OA"),EXP(VLOOKUP(D2017,'Species Codes'!B:O,14,0)+VLOOKUP(D2017,'Species Codes'!B:P,15,0)*LN((E2017*2.54)))*(1-(1/(VLOOKUP(D2017,'Species Codes'!B:Q,16,0)+VLOOKUP(D2017,'Species Codes'!B:R,17,0)*((E2017*2.54)^VLOOKUP(D2017,'Species Codes'!B:S,18,0)))))/1000,IF(D2017="DF",EXP(VLOOKUP(D2017,'Species Codes'!B:O,14,0)+VLOOKUP(D2017,'Species Codes'!B:P,15,0)*LN((E2017*2.54))),VLOOKUP(D2017,'Species Codes'!B:O,14,0)+VLOOKUP(D2017,'Species Codes'!B:P,15,0)*(((E2017*2.54)/100)^2)*(I2017*0.3048)))))*0.0011023),0)</f>
        <v>#N/A</v>
      </c>
      <c r="AD2017" s="104" t="e">
        <f t="shared" si="895"/>
        <v>#N/A</v>
      </c>
      <c r="AE2017" s="104" t="e">
        <f t="shared" si="896"/>
        <v>#N/A</v>
      </c>
      <c r="AF2017" s="104" t="e">
        <f>IF(AND(VLOOKUP($D2017,Merchantability!$B:$C,2,0)="Yes",$E2017&gt;=VLOOKUP($D2017,Merchantability!$B:$D,3,0),$E2017&lt;=VLOOKUP($D2017,Merchantability!$B:$E,4,0)),AA2017,0)</f>
        <v>#N/A</v>
      </c>
      <c r="AG2017" s="104" t="e">
        <f>IF(AND(VLOOKUP($D2017,Merchantability!$B:$C,2,0)="Yes",$E2017&gt;=VLOOKUP($D2017,Merchantability!$B:$D,3,0),$E2017&lt;=VLOOKUP($D2017,Merchantability!$B:$E,4,0)),AB2017,0)</f>
        <v>#N/A</v>
      </c>
      <c r="AH2017" s="104" t="e">
        <f>IF(AND(VLOOKUP($D2017,Merchantability!$B:$C,2,0)="Yes",$E2017&gt;=VLOOKUP($D2017,Merchantability!$B:$D,3,0),$E2017&lt;=VLOOKUP($D2017,Merchantability!$B:$E,4,0)),AC2017,0)</f>
        <v>#N/A</v>
      </c>
      <c r="AI2017" s="104" t="e">
        <f t="shared" si="897"/>
        <v>#N/A</v>
      </c>
      <c r="AJ2017" s="104" t="e">
        <f t="shared" si="898"/>
        <v>#VALUE!</v>
      </c>
      <c r="AK2017" s="104" t="e">
        <f t="shared" si="899"/>
        <v>#N/A</v>
      </c>
      <c r="AL2017" s="104" t="e">
        <f t="shared" si="900"/>
        <v>#N/A</v>
      </c>
      <c r="AM2017" s="104" t="e">
        <f t="shared" si="901"/>
        <v>#N/A</v>
      </c>
      <c r="AN2017" s="104" t="e">
        <f t="shared" si="885"/>
        <v>#N/A</v>
      </c>
      <c r="AO2017" s="104" t="e">
        <f t="shared" si="886"/>
        <v>#N/A</v>
      </c>
      <c r="AP2017" s="104" t="e">
        <f t="shared" si="887"/>
        <v>#N/A</v>
      </c>
      <c r="AQ2017" s="104" t="e">
        <f t="shared" si="888"/>
        <v>#N/A</v>
      </c>
      <c r="AR2017" s="105" t="str">
        <f t="shared" si="880"/>
        <v/>
      </c>
      <c r="AS2017" s="105" t="str">
        <f t="shared" si="881"/>
        <v/>
      </c>
      <c r="AT2017" s="108" t="str">
        <f t="shared" si="882"/>
        <v/>
      </c>
      <c r="AU2017" s="108" t="str">
        <f t="shared" si="883"/>
        <v/>
      </c>
      <c r="AV2017" s="107" t="str">
        <f>IF(ISNUMBER(O2017),IF(VLOOKUP($A2017,Stand!C:J,8,FALSE)="Short",AT2017,AU2017),"")</f>
        <v/>
      </c>
      <c r="AW2017" s="109" t="str">
        <f t="shared" si="889"/>
        <v/>
      </c>
      <c r="AX2017" s="109" t="str">
        <f t="shared" si="890"/>
        <v/>
      </c>
      <c r="AY2017" s="112" t="str">
        <f>IF(ISNUMBER(O2017),IF(AND(VLOOKUP($D2017,Merchantability!$B:$C,2,0)="Yes",$E2017&gt;=VLOOKUP($D2017,Merchantability!$B:$D,3,0),$E2017&lt;=VLOOKUP($D2017,Merchantability!$B:$E,4,0)),(AV2017*O2017)*(1-$H2017/100),""),"")</f>
        <v/>
      </c>
      <c r="AZ2017" s="116"/>
      <c r="BA2017" s="116"/>
      <c r="BB2017" s="116"/>
      <c r="BE2017" s="62"/>
      <c r="BF2017" s="63"/>
    </row>
    <row r="2018" spans="1:58" ht="12.75" customHeight="1" x14ac:dyDescent="0.25">
      <c r="A2018" s="334"/>
      <c r="B2018" s="334"/>
      <c r="C2018" s="332"/>
      <c r="D2018" s="334"/>
      <c r="E2018" s="335"/>
      <c r="F2018" s="334"/>
      <c r="G2018" s="332"/>
      <c r="H2018" s="332"/>
      <c r="I2018" s="334"/>
      <c r="J2018" s="336"/>
      <c r="K2018" s="332"/>
      <c r="L2018" s="332"/>
      <c r="M2018" s="76"/>
      <c r="N2018" s="103" t="str">
        <f>IF(A2018="","",VLOOKUP(A2018,Stand!C:K,9,0))</f>
        <v/>
      </c>
      <c r="O2018" s="104" t="str">
        <f t="shared" si="875"/>
        <v/>
      </c>
      <c r="P2018" s="105" t="str">
        <f t="shared" si="876"/>
        <v/>
      </c>
      <c r="Q2018" s="105" t="str">
        <f t="shared" si="891"/>
        <v/>
      </c>
      <c r="R2018" s="103" t="str">
        <f t="shared" si="877"/>
        <v/>
      </c>
      <c r="S2018" s="103" t="str">
        <f t="shared" si="878"/>
        <v/>
      </c>
      <c r="T2018" s="106" t="str">
        <f t="shared" si="892"/>
        <v/>
      </c>
      <c r="U2018" s="106" t="str">
        <f t="shared" si="893"/>
        <v/>
      </c>
      <c r="V2018" s="106" t="str">
        <f t="shared" si="894"/>
        <v/>
      </c>
      <c r="W2018" s="105" t="str">
        <f t="shared" si="879"/>
        <v/>
      </c>
      <c r="X2018" s="104" t="str">
        <f t="shared" si="884"/>
        <v/>
      </c>
      <c r="Y2018" s="104" t="str">
        <f t="array" ref="Y2018">IFERROR(IF(ISNUMBER(O2018),IF(COUNT(IF(A2018=$A$2:$A$2427,IF(D2018=$D$2:$D$2427,IF($X$2:$X$2427&gt;0,1))))&gt;0,SUM(IF(A2018=$A$2:$A$2427,IF(D2018=$D$2:$D$2427,$X$2:$X$2427)))/COUNT(IF(A2018=$A$2:$A$2427,IF(D2018=$D$2:$D$2427,IF(ISNUMBER($X$2:$X$2427),1)))),0),""),0)</f>
        <v/>
      </c>
      <c r="Z2018" s="104" t="str">
        <f>IF(ISNUMBER(O2018),IF(I2018&gt;0,(10^(VLOOKUP(D2018,'Species Codes'!B:C,2,0)+VLOOKUP(D2018,'Species Codes'!B:D,3,0)*LOG(E2018)+VLOOKUP(D2018,'Species Codes'!B:E,4,0)*LOG(I2018))),0),"")</f>
        <v/>
      </c>
      <c r="AA2018" s="104" t="str">
        <f>IFERROR((VLOOKUP(D2018,'Species Codes'!B:G,6,0)*Z2018)/2000,"")</f>
        <v/>
      </c>
      <c r="AB2018" s="104" t="e">
        <f>IF(Z2018&gt;0,((IF(OR(D2018="DF",D2018="RA")=TRUE,EXP(VLOOKUP(D2018,'Species Codes'!B:I,8,0)+VLOOKUP(D2018,'Species Codes'!B:J,9,0)*(LN((E2018*2.54)))),IF(OR(D2018="PY",D2018="RC",D2018="WH",D2018="NF")=TRUE,VLOOKUP(D2018,'Species Codes'!B:I,8,0)+VLOOKUP(D2018,'Species Codes'!B:J,9,0)*((E2018*2.54)^2)*(I2018*0.3048),IF(OR(D2018="MD",D2018="BM",D2018="GA")=TRUE,((VLOOKUP(D2018,'Species Codes'!B:I,8,0)*(((((E2018*2.54)+VLOOKUP(D2018,'Species Codes'!B:J,9,0))/VLOOKUP(D2018,'Species Codes'!B:K,10,0))^VLOOKUP(D2018,'Species Codes'!B:L,11,0))*((I2018*0.3048)^VLOOKUP(D2018,'Species Codes'!B:M,12,0))))-(VLOOKUP(D2018,'Species Codes'!B:I,8,0)*((((E2018*2.54)^VLOOKUP(D2018,'Species Codes'!B:L,11,0))*((I2018*0.3048)^VLOOKUP(D2018,'Species Codes'!B:M,12,0))))))*35.3*VLOOKUP(D2018,'Species Codes'!B:G,6,0)/2.2046,VLOOKUP(D2018,'Species Codes'!B:I,8,0)+VLOOKUP(D2018,'Species Codes'!B:J,9,0)*(((E2018*2.54)/100)^2)*(I2018*0.3048)))))*0.0011023),0)</f>
        <v>#N/A</v>
      </c>
      <c r="AC2018" s="104" t="e">
        <f>IF(Z2018&gt;0,((IF(OR(D2018="RA",D2018="OA",D2018="OT",D2018="UN",D2018="PC"),EXP(VLOOKUP(D2018,'Species Codes'!B:O,14,0)+VLOOKUP(D2018,'Species Codes'!B:P,15,0)*LN((E2018*2.54)))-EXP(VLOOKUP(D2018,'Species Codes'!B:O,14,0)+VLOOKUP(D2018,'Species Codes'!B:P,15,0)*LN((E2018*2.54)))*(1/(VLOOKUP(D2018,'Species Codes'!B:Q,16,0)+VLOOKUP(D2018,'Species Codes'!B:R,17,0)*((E2018*2.54)^VLOOKUP(D2018,'Species Codes'!B:S,18,0)))),IF(OR(D2018="BM",D2018="MD",D2018="OA"),EXP(VLOOKUP(D2018,'Species Codes'!B:O,14,0)+VLOOKUP(D2018,'Species Codes'!B:P,15,0)*LN((E2018*2.54)))*(1-(1/(VLOOKUP(D2018,'Species Codes'!B:Q,16,0)+VLOOKUP(D2018,'Species Codes'!B:R,17,0)*((E2018*2.54)^VLOOKUP(D2018,'Species Codes'!B:S,18,0)))))/1000,IF(D2018="DF",EXP(VLOOKUP(D2018,'Species Codes'!B:O,14,0)+VLOOKUP(D2018,'Species Codes'!B:P,15,0)*LN((E2018*2.54))),VLOOKUP(D2018,'Species Codes'!B:O,14,0)+VLOOKUP(D2018,'Species Codes'!B:P,15,0)*(((E2018*2.54)/100)^2)*(I2018*0.3048)))))*0.0011023),0)</f>
        <v>#N/A</v>
      </c>
      <c r="AD2018" s="104" t="e">
        <f t="shared" si="895"/>
        <v>#N/A</v>
      </c>
      <c r="AE2018" s="104" t="e">
        <f t="shared" si="896"/>
        <v>#N/A</v>
      </c>
      <c r="AF2018" s="104" t="e">
        <f>IF(AND(VLOOKUP($D2018,Merchantability!$B:$C,2,0)="Yes",$E2018&gt;=VLOOKUP($D2018,Merchantability!$B:$D,3,0),$E2018&lt;=VLOOKUP($D2018,Merchantability!$B:$E,4,0)),AA2018,0)</f>
        <v>#N/A</v>
      </c>
      <c r="AG2018" s="104" t="e">
        <f>IF(AND(VLOOKUP($D2018,Merchantability!$B:$C,2,0)="Yes",$E2018&gt;=VLOOKUP($D2018,Merchantability!$B:$D,3,0),$E2018&lt;=VLOOKUP($D2018,Merchantability!$B:$E,4,0)),AB2018,0)</f>
        <v>#N/A</v>
      </c>
      <c r="AH2018" s="104" t="e">
        <f>IF(AND(VLOOKUP($D2018,Merchantability!$B:$C,2,0)="Yes",$E2018&gt;=VLOOKUP($D2018,Merchantability!$B:$D,3,0),$E2018&lt;=VLOOKUP($D2018,Merchantability!$B:$E,4,0)),AC2018,0)</f>
        <v>#N/A</v>
      </c>
      <c r="AI2018" s="104" t="e">
        <f t="shared" si="897"/>
        <v>#N/A</v>
      </c>
      <c r="AJ2018" s="104" t="e">
        <f t="shared" si="898"/>
        <v>#VALUE!</v>
      </c>
      <c r="AK2018" s="104" t="e">
        <f t="shared" si="899"/>
        <v>#N/A</v>
      </c>
      <c r="AL2018" s="104" t="e">
        <f t="shared" si="900"/>
        <v>#N/A</v>
      </c>
      <c r="AM2018" s="104" t="e">
        <f t="shared" si="901"/>
        <v>#N/A</v>
      </c>
      <c r="AN2018" s="104" t="e">
        <f t="shared" si="885"/>
        <v>#N/A</v>
      </c>
      <c r="AO2018" s="104" t="e">
        <f t="shared" si="886"/>
        <v>#N/A</v>
      </c>
      <c r="AP2018" s="104" t="e">
        <f t="shared" si="887"/>
        <v>#N/A</v>
      </c>
      <c r="AQ2018" s="104" t="e">
        <f t="shared" si="888"/>
        <v>#N/A</v>
      </c>
      <c r="AR2018" s="105" t="str">
        <f t="shared" si="880"/>
        <v/>
      </c>
      <c r="AS2018" s="105" t="str">
        <f t="shared" si="881"/>
        <v/>
      </c>
      <c r="AT2018" s="108" t="str">
        <f t="shared" si="882"/>
        <v/>
      </c>
      <c r="AU2018" s="108" t="str">
        <f t="shared" si="883"/>
        <v/>
      </c>
      <c r="AV2018" s="107" t="str">
        <f>IF(ISNUMBER(O2018),IF(VLOOKUP($A2018,Stand!C:J,8,FALSE)="Short",AT2018,AU2018),"")</f>
        <v/>
      </c>
      <c r="AW2018" s="109" t="str">
        <f t="shared" si="889"/>
        <v/>
      </c>
      <c r="AX2018" s="109" t="str">
        <f t="shared" si="890"/>
        <v/>
      </c>
      <c r="AY2018" s="112" t="str">
        <f>IF(ISNUMBER(O2018),IF(AND(VLOOKUP($D2018,Merchantability!$B:$C,2,0)="Yes",$E2018&gt;=VLOOKUP($D2018,Merchantability!$B:$D,3,0),$E2018&lt;=VLOOKUP($D2018,Merchantability!$B:$E,4,0)),(AV2018*O2018)*(1-$H2018/100),""),"")</f>
        <v/>
      </c>
      <c r="AZ2018" s="116"/>
      <c r="BA2018" s="116"/>
      <c r="BB2018" s="116"/>
      <c r="BE2018" s="62"/>
      <c r="BF2018" s="63"/>
    </row>
    <row r="2019" spans="1:58" ht="12.75" customHeight="1" x14ac:dyDescent="0.25">
      <c r="A2019" s="334"/>
      <c r="B2019" s="334"/>
      <c r="C2019" s="332"/>
      <c r="D2019" s="334"/>
      <c r="E2019" s="335"/>
      <c r="F2019" s="334"/>
      <c r="G2019" s="332"/>
      <c r="H2019" s="332"/>
      <c r="I2019" s="334"/>
      <c r="J2019" s="336"/>
      <c r="K2019" s="332"/>
      <c r="L2019" s="332"/>
      <c r="M2019" s="76"/>
      <c r="N2019" s="103" t="str">
        <f>IF(A2019="","",VLOOKUP(A2019,Stand!C:K,9,0))</f>
        <v/>
      </c>
      <c r="O2019" s="104" t="str">
        <f t="shared" si="875"/>
        <v/>
      </c>
      <c r="P2019" s="105" t="str">
        <f t="shared" si="876"/>
        <v/>
      </c>
      <c r="Q2019" s="105" t="str">
        <f t="shared" si="891"/>
        <v/>
      </c>
      <c r="R2019" s="103" t="str">
        <f t="shared" si="877"/>
        <v/>
      </c>
      <c r="S2019" s="103" t="str">
        <f t="shared" si="878"/>
        <v/>
      </c>
      <c r="T2019" s="106" t="str">
        <f t="shared" si="892"/>
        <v/>
      </c>
      <c r="U2019" s="106" t="str">
        <f t="shared" si="893"/>
        <v/>
      </c>
      <c r="V2019" s="106" t="str">
        <f t="shared" si="894"/>
        <v/>
      </c>
      <c r="W2019" s="105" t="str">
        <f t="shared" si="879"/>
        <v/>
      </c>
      <c r="X2019" s="104" t="str">
        <f t="shared" si="884"/>
        <v/>
      </c>
      <c r="Y2019" s="104" t="str">
        <f t="array" ref="Y2019">IFERROR(IF(ISNUMBER(O2019),IF(COUNT(IF(A2019=$A$2:$A$2427,IF(D2019=$D$2:$D$2427,IF($X$2:$X$2427&gt;0,1))))&gt;0,SUM(IF(A2019=$A$2:$A$2427,IF(D2019=$D$2:$D$2427,$X$2:$X$2427)))/COUNT(IF(A2019=$A$2:$A$2427,IF(D2019=$D$2:$D$2427,IF(ISNUMBER($X$2:$X$2427),1)))),0),""),0)</f>
        <v/>
      </c>
      <c r="Z2019" s="104" t="str">
        <f>IF(ISNUMBER(O2019),IF(I2019&gt;0,(10^(VLOOKUP(D2019,'Species Codes'!B:C,2,0)+VLOOKUP(D2019,'Species Codes'!B:D,3,0)*LOG(E2019)+VLOOKUP(D2019,'Species Codes'!B:E,4,0)*LOG(I2019))),0),"")</f>
        <v/>
      </c>
      <c r="AA2019" s="104" t="str">
        <f>IFERROR((VLOOKUP(D2019,'Species Codes'!B:G,6,0)*Z2019)/2000,"")</f>
        <v/>
      </c>
      <c r="AB2019" s="104" t="e">
        <f>IF(Z2019&gt;0,((IF(OR(D2019="DF",D2019="RA")=TRUE,EXP(VLOOKUP(D2019,'Species Codes'!B:I,8,0)+VLOOKUP(D2019,'Species Codes'!B:J,9,0)*(LN((E2019*2.54)))),IF(OR(D2019="PY",D2019="RC",D2019="WH",D2019="NF")=TRUE,VLOOKUP(D2019,'Species Codes'!B:I,8,0)+VLOOKUP(D2019,'Species Codes'!B:J,9,0)*((E2019*2.54)^2)*(I2019*0.3048),IF(OR(D2019="MD",D2019="BM",D2019="GA")=TRUE,((VLOOKUP(D2019,'Species Codes'!B:I,8,0)*(((((E2019*2.54)+VLOOKUP(D2019,'Species Codes'!B:J,9,0))/VLOOKUP(D2019,'Species Codes'!B:K,10,0))^VLOOKUP(D2019,'Species Codes'!B:L,11,0))*((I2019*0.3048)^VLOOKUP(D2019,'Species Codes'!B:M,12,0))))-(VLOOKUP(D2019,'Species Codes'!B:I,8,0)*((((E2019*2.54)^VLOOKUP(D2019,'Species Codes'!B:L,11,0))*((I2019*0.3048)^VLOOKUP(D2019,'Species Codes'!B:M,12,0))))))*35.3*VLOOKUP(D2019,'Species Codes'!B:G,6,0)/2.2046,VLOOKUP(D2019,'Species Codes'!B:I,8,0)+VLOOKUP(D2019,'Species Codes'!B:J,9,0)*(((E2019*2.54)/100)^2)*(I2019*0.3048)))))*0.0011023),0)</f>
        <v>#N/A</v>
      </c>
      <c r="AC2019" s="104" t="e">
        <f>IF(Z2019&gt;0,((IF(OR(D2019="RA",D2019="OA",D2019="OT",D2019="UN",D2019="PC"),EXP(VLOOKUP(D2019,'Species Codes'!B:O,14,0)+VLOOKUP(D2019,'Species Codes'!B:P,15,0)*LN((E2019*2.54)))-EXP(VLOOKUP(D2019,'Species Codes'!B:O,14,0)+VLOOKUP(D2019,'Species Codes'!B:P,15,0)*LN((E2019*2.54)))*(1/(VLOOKUP(D2019,'Species Codes'!B:Q,16,0)+VLOOKUP(D2019,'Species Codes'!B:R,17,0)*((E2019*2.54)^VLOOKUP(D2019,'Species Codes'!B:S,18,0)))),IF(OR(D2019="BM",D2019="MD",D2019="OA"),EXP(VLOOKUP(D2019,'Species Codes'!B:O,14,0)+VLOOKUP(D2019,'Species Codes'!B:P,15,0)*LN((E2019*2.54)))*(1-(1/(VLOOKUP(D2019,'Species Codes'!B:Q,16,0)+VLOOKUP(D2019,'Species Codes'!B:R,17,0)*((E2019*2.54)^VLOOKUP(D2019,'Species Codes'!B:S,18,0)))))/1000,IF(D2019="DF",EXP(VLOOKUP(D2019,'Species Codes'!B:O,14,0)+VLOOKUP(D2019,'Species Codes'!B:P,15,0)*LN((E2019*2.54))),VLOOKUP(D2019,'Species Codes'!B:O,14,0)+VLOOKUP(D2019,'Species Codes'!B:P,15,0)*(((E2019*2.54)/100)^2)*(I2019*0.3048)))))*0.0011023),0)</f>
        <v>#N/A</v>
      </c>
      <c r="AD2019" s="104" t="e">
        <f t="shared" si="895"/>
        <v>#N/A</v>
      </c>
      <c r="AE2019" s="104" t="e">
        <f t="shared" si="896"/>
        <v>#N/A</v>
      </c>
      <c r="AF2019" s="104" t="e">
        <f>IF(AND(VLOOKUP($D2019,Merchantability!$B:$C,2,0)="Yes",$E2019&gt;=VLOOKUP($D2019,Merchantability!$B:$D,3,0),$E2019&lt;=VLOOKUP($D2019,Merchantability!$B:$E,4,0)),AA2019,0)</f>
        <v>#N/A</v>
      </c>
      <c r="AG2019" s="104" t="e">
        <f>IF(AND(VLOOKUP($D2019,Merchantability!$B:$C,2,0)="Yes",$E2019&gt;=VLOOKUP($D2019,Merchantability!$B:$D,3,0),$E2019&lt;=VLOOKUP($D2019,Merchantability!$B:$E,4,0)),AB2019,0)</f>
        <v>#N/A</v>
      </c>
      <c r="AH2019" s="104" t="e">
        <f>IF(AND(VLOOKUP($D2019,Merchantability!$B:$C,2,0)="Yes",$E2019&gt;=VLOOKUP($D2019,Merchantability!$B:$D,3,0),$E2019&lt;=VLOOKUP($D2019,Merchantability!$B:$E,4,0)),AC2019,0)</f>
        <v>#N/A</v>
      </c>
      <c r="AI2019" s="104" t="e">
        <f t="shared" si="897"/>
        <v>#N/A</v>
      </c>
      <c r="AJ2019" s="104" t="e">
        <f t="shared" si="898"/>
        <v>#VALUE!</v>
      </c>
      <c r="AK2019" s="104" t="e">
        <f t="shared" si="899"/>
        <v>#N/A</v>
      </c>
      <c r="AL2019" s="104" t="e">
        <f t="shared" si="900"/>
        <v>#N/A</v>
      </c>
      <c r="AM2019" s="104" t="e">
        <f t="shared" si="901"/>
        <v>#N/A</v>
      </c>
      <c r="AN2019" s="104" t="e">
        <f t="shared" si="885"/>
        <v>#N/A</v>
      </c>
      <c r="AO2019" s="104" t="e">
        <f t="shared" si="886"/>
        <v>#N/A</v>
      </c>
      <c r="AP2019" s="104" t="e">
        <f t="shared" si="887"/>
        <v>#N/A</v>
      </c>
      <c r="AQ2019" s="104" t="e">
        <f t="shared" si="888"/>
        <v>#N/A</v>
      </c>
      <c r="AR2019" s="105" t="str">
        <f t="shared" si="880"/>
        <v/>
      </c>
      <c r="AS2019" s="105" t="str">
        <f t="shared" si="881"/>
        <v/>
      </c>
      <c r="AT2019" s="108" t="str">
        <f t="shared" si="882"/>
        <v/>
      </c>
      <c r="AU2019" s="108" t="str">
        <f t="shared" si="883"/>
        <v/>
      </c>
      <c r="AV2019" s="107" t="str">
        <f>IF(ISNUMBER(O2019),IF(VLOOKUP($A2019,Stand!C:J,8,FALSE)="Short",AT2019,AU2019),"")</f>
        <v/>
      </c>
      <c r="AW2019" s="109" t="str">
        <f t="shared" si="889"/>
        <v/>
      </c>
      <c r="AX2019" s="109" t="str">
        <f t="shared" si="890"/>
        <v/>
      </c>
      <c r="AY2019" s="112" t="str">
        <f>IF(ISNUMBER(O2019),IF(AND(VLOOKUP($D2019,Merchantability!$B:$C,2,0)="Yes",$E2019&gt;=VLOOKUP($D2019,Merchantability!$B:$D,3,0),$E2019&lt;=VLOOKUP($D2019,Merchantability!$B:$E,4,0)),(AV2019*O2019)*(1-$H2019/100),""),"")</f>
        <v/>
      </c>
      <c r="AZ2019" s="116"/>
      <c r="BA2019" s="116"/>
      <c r="BB2019" s="116"/>
      <c r="BE2019" s="62"/>
      <c r="BF2019" s="63"/>
    </row>
    <row r="2020" spans="1:58" ht="12.75" customHeight="1" x14ac:dyDescent="0.25">
      <c r="A2020" s="334"/>
      <c r="B2020" s="334"/>
      <c r="C2020" s="332"/>
      <c r="D2020" s="334"/>
      <c r="E2020" s="335"/>
      <c r="F2020" s="334"/>
      <c r="G2020" s="332"/>
      <c r="H2020" s="332"/>
      <c r="I2020" s="334"/>
      <c r="J2020" s="336"/>
      <c r="K2020" s="332"/>
      <c r="L2020" s="332"/>
      <c r="M2020" s="76"/>
      <c r="N2020" s="103" t="str">
        <f>IF(A2020="","",VLOOKUP(A2020,Stand!C:K,9,0))</f>
        <v/>
      </c>
      <c r="O2020" s="104" t="str">
        <f t="shared" si="875"/>
        <v/>
      </c>
      <c r="P2020" s="105" t="str">
        <f t="shared" si="876"/>
        <v/>
      </c>
      <c r="Q2020" s="105" t="str">
        <f t="shared" si="891"/>
        <v/>
      </c>
      <c r="R2020" s="103" t="str">
        <f t="shared" si="877"/>
        <v/>
      </c>
      <c r="S2020" s="103" t="str">
        <f t="shared" si="878"/>
        <v/>
      </c>
      <c r="T2020" s="106" t="str">
        <f t="shared" si="892"/>
        <v/>
      </c>
      <c r="U2020" s="106" t="str">
        <f t="shared" si="893"/>
        <v/>
      </c>
      <c r="V2020" s="106" t="str">
        <f t="shared" si="894"/>
        <v/>
      </c>
      <c r="W2020" s="105" t="str">
        <f t="shared" si="879"/>
        <v/>
      </c>
      <c r="X2020" s="104" t="str">
        <f t="shared" si="884"/>
        <v/>
      </c>
      <c r="Y2020" s="104" t="str">
        <f t="array" ref="Y2020">IFERROR(IF(ISNUMBER(O2020),IF(COUNT(IF(A2020=$A$2:$A$2427,IF(D2020=$D$2:$D$2427,IF($X$2:$X$2427&gt;0,1))))&gt;0,SUM(IF(A2020=$A$2:$A$2427,IF(D2020=$D$2:$D$2427,$X$2:$X$2427)))/COUNT(IF(A2020=$A$2:$A$2427,IF(D2020=$D$2:$D$2427,IF(ISNUMBER($X$2:$X$2427),1)))),0),""),0)</f>
        <v/>
      </c>
      <c r="Z2020" s="104" t="str">
        <f>IF(ISNUMBER(O2020),IF(I2020&gt;0,(10^(VLOOKUP(D2020,'Species Codes'!B:C,2,0)+VLOOKUP(D2020,'Species Codes'!B:D,3,0)*LOG(E2020)+VLOOKUP(D2020,'Species Codes'!B:E,4,0)*LOG(I2020))),0),"")</f>
        <v/>
      </c>
      <c r="AA2020" s="104" t="str">
        <f>IFERROR((VLOOKUP(D2020,'Species Codes'!B:G,6,0)*Z2020)/2000,"")</f>
        <v/>
      </c>
      <c r="AB2020" s="104" t="e">
        <f>IF(Z2020&gt;0,((IF(OR(D2020="DF",D2020="RA")=TRUE,EXP(VLOOKUP(D2020,'Species Codes'!B:I,8,0)+VLOOKUP(D2020,'Species Codes'!B:J,9,0)*(LN((E2020*2.54)))),IF(OR(D2020="PY",D2020="RC",D2020="WH",D2020="NF")=TRUE,VLOOKUP(D2020,'Species Codes'!B:I,8,0)+VLOOKUP(D2020,'Species Codes'!B:J,9,0)*((E2020*2.54)^2)*(I2020*0.3048),IF(OR(D2020="MD",D2020="BM",D2020="GA")=TRUE,((VLOOKUP(D2020,'Species Codes'!B:I,8,0)*(((((E2020*2.54)+VLOOKUP(D2020,'Species Codes'!B:J,9,0))/VLOOKUP(D2020,'Species Codes'!B:K,10,0))^VLOOKUP(D2020,'Species Codes'!B:L,11,0))*((I2020*0.3048)^VLOOKUP(D2020,'Species Codes'!B:M,12,0))))-(VLOOKUP(D2020,'Species Codes'!B:I,8,0)*((((E2020*2.54)^VLOOKUP(D2020,'Species Codes'!B:L,11,0))*((I2020*0.3048)^VLOOKUP(D2020,'Species Codes'!B:M,12,0))))))*35.3*VLOOKUP(D2020,'Species Codes'!B:G,6,0)/2.2046,VLOOKUP(D2020,'Species Codes'!B:I,8,0)+VLOOKUP(D2020,'Species Codes'!B:J,9,0)*(((E2020*2.54)/100)^2)*(I2020*0.3048)))))*0.0011023),0)</f>
        <v>#N/A</v>
      </c>
      <c r="AC2020" s="104" t="e">
        <f>IF(Z2020&gt;0,((IF(OR(D2020="RA",D2020="OA",D2020="OT",D2020="UN",D2020="PC"),EXP(VLOOKUP(D2020,'Species Codes'!B:O,14,0)+VLOOKUP(D2020,'Species Codes'!B:P,15,0)*LN((E2020*2.54)))-EXP(VLOOKUP(D2020,'Species Codes'!B:O,14,0)+VLOOKUP(D2020,'Species Codes'!B:P,15,0)*LN((E2020*2.54)))*(1/(VLOOKUP(D2020,'Species Codes'!B:Q,16,0)+VLOOKUP(D2020,'Species Codes'!B:R,17,0)*((E2020*2.54)^VLOOKUP(D2020,'Species Codes'!B:S,18,0)))),IF(OR(D2020="BM",D2020="MD",D2020="OA"),EXP(VLOOKUP(D2020,'Species Codes'!B:O,14,0)+VLOOKUP(D2020,'Species Codes'!B:P,15,0)*LN((E2020*2.54)))*(1-(1/(VLOOKUP(D2020,'Species Codes'!B:Q,16,0)+VLOOKUP(D2020,'Species Codes'!B:R,17,0)*((E2020*2.54)^VLOOKUP(D2020,'Species Codes'!B:S,18,0)))))/1000,IF(D2020="DF",EXP(VLOOKUP(D2020,'Species Codes'!B:O,14,0)+VLOOKUP(D2020,'Species Codes'!B:P,15,0)*LN((E2020*2.54))),VLOOKUP(D2020,'Species Codes'!B:O,14,0)+VLOOKUP(D2020,'Species Codes'!B:P,15,0)*(((E2020*2.54)/100)^2)*(I2020*0.3048)))))*0.0011023),0)</f>
        <v>#N/A</v>
      </c>
      <c r="AD2020" s="104" t="e">
        <f t="shared" si="895"/>
        <v>#N/A</v>
      </c>
      <c r="AE2020" s="104" t="e">
        <f t="shared" si="896"/>
        <v>#N/A</v>
      </c>
      <c r="AF2020" s="104" t="e">
        <f>IF(AND(VLOOKUP($D2020,Merchantability!$B:$C,2,0)="Yes",$E2020&gt;=VLOOKUP($D2020,Merchantability!$B:$D,3,0),$E2020&lt;=VLOOKUP($D2020,Merchantability!$B:$E,4,0)),AA2020,0)</f>
        <v>#N/A</v>
      </c>
      <c r="AG2020" s="104" t="e">
        <f>IF(AND(VLOOKUP($D2020,Merchantability!$B:$C,2,0)="Yes",$E2020&gt;=VLOOKUP($D2020,Merchantability!$B:$D,3,0),$E2020&lt;=VLOOKUP($D2020,Merchantability!$B:$E,4,0)),AB2020,0)</f>
        <v>#N/A</v>
      </c>
      <c r="AH2020" s="104" t="e">
        <f>IF(AND(VLOOKUP($D2020,Merchantability!$B:$C,2,0)="Yes",$E2020&gt;=VLOOKUP($D2020,Merchantability!$B:$D,3,0),$E2020&lt;=VLOOKUP($D2020,Merchantability!$B:$E,4,0)),AC2020,0)</f>
        <v>#N/A</v>
      </c>
      <c r="AI2020" s="104" t="e">
        <f t="shared" si="897"/>
        <v>#N/A</v>
      </c>
      <c r="AJ2020" s="104" t="e">
        <f t="shared" si="898"/>
        <v>#VALUE!</v>
      </c>
      <c r="AK2020" s="104" t="e">
        <f t="shared" si="899"/>
        <v>#N/A</v>
      </c>
      <c r="AL2020" s="104" t="e">
        <f t="shared" si="900"/>
        <v>#N/A</v>
      </c>
      <c r="AM2020" s="104" t="e">
        <f t="shared" si="901"/>
        <v>#N/A</v>
      </c>
      <c r="AN2020" s="104" t="e">
        <f t="shared" si="885"/>
        <v>#N/A</v>
      </c>
      <c r="AO2020" s="104" t="e">
        <f t="shared" si="886"/>
        <v>#N/A</v>
      </c>
      <c r="AP2020" s="104" t="e">
        <f t="shared" si="887"/>
        <v>#N/A</v>
      </c>
      <c r="AQ2020" s="104" t="e">
        <f t="shared" si="888"/>
        <v>#N/A</v>
      </c>
      <c r="AR2020" s="105" t="str">
        <f t="shared" si="880"/>
        <v/>
      </c>
      <c r="AS2020" s="105" t="str">
        <f t="shared" si="881"/>
        <v/>
      </c>
      <c r="AT2020" s="108" t="str">
        <f t="shared" si="882"/>
        <v/>
      </c>
      <c r="AU2020" s="108" t="str">
        <f t="shared" si="883"/>
        <v/>
      </c>
      <c r="AV2020" s="107" t="str">
        <f>IF(ISNUMBER(O2020),IF(VLOOKUP($A2020,Stand!C:J,8,FALSE)="Short",AT2020,AU2020),"")</f>
        <v/>
      </c>
      <c r="AW2020" s="109" t="str">
        <f t="shared" si="889"/>
        <v/>
      </c>
      <c r="AX2020" s="109" t="str">
        <f t="shared" si="890"/>
        <v/>
      </c>
      <c r="AY2020" s="112" t="str">
        <f>IF(ISNUMBER(O2020),IF(AND(VLOOKUP($D2020,Merchantability!$B:$C,2,0)="Yes",$E2020&gt;=VLOOKUP($D2020,Merchantability!$B:$D,3,0),$E2020&lt;=VLOOKUP($D2020,Merchantability!$B:$E,4,0)),(AV2020*O2020)*(1-$H2020/100),""),"")</f>
        <v/>
      </c>
      <c r="AZ2020" s="116"/>
      <c r="BA2020" s="116"/>
      <c r="BB2020" s="116"/>
      <c r="BE2020" s="62"/>
      <c r="BF2020" s="63"/>
    </row>
    <row r="2021" spans="1:58" ht="12.75" customHeight="1" x14ac:dyDescent="0.25">
      <c r="A2021" s="334"/>
      <c r="B2021" s="334"/>
      <c r="C2021" s="332"/>
      <c r="D2021" s="334"/>
      <c r="E2021" s="335"/>
      <c r="F2021" s="334"/>
      <c r="G2021" s="332"/>
      <c r="H2021" s="332"/>
      <c r="I2021" s="334"/>
      <c r="J2021" s="336"/>
      <c r="K2021" s="332"/>
      <c r="L2021" s="332"/>
      <c r="M2021" s="76"/>
      <c r="N2021" s="103" t="str">
        <f>IF(A2021="","",VLOOKUP(A2021,Stand!C:K,9,0))</f>
        <v/>
      </c>
      <c r="O2021" s="104" t="str">
        <f t="shared" si="875"/>
        <v/>
      </c>
      <c r="P2021" s="105" t="str">
        <f t="shared" si="876"/>
        <v/>
      </c>
      <c r="Q2021" s="105" t="str">
        <f t="shared" si="891"/>
        <v/>
      </c>
      <c r="R2021" s="103" t="str">
        <f t="shared" si="877"/>
        <v/>
      </c>
      <c r="S2021" s="103" t="str">
        <f t="shared" si="878"/>
        <v/>
      </c>
      <c r="T2021" s="106" t="str">
        <f t="shared" si="892"/>
        <v/>
      </c>
      <c r="U2021" s="106" t="str">
        <f t="shared" si="893"/>
        <v/>
      </c>
      <c r="V2021" s="106" t="str">
        <f t="shared" si="894"/>
        <v/>
      </c>
      <c r="W2021" s="105" t="str">
        <f t="shared" si="879"/>
        <v/>
      </c>
      <c r="X2021" s="104" t="str">
        <f t="shared" si="884"/>
        <v/>
      </c>
      <c r="Y2021" s="104" t="str">
        <f t="array" ref="Y2021">IFERROR(IF(ISNUMBER(O2021),IF(COUNT(IF(A2021=$A$2:$A$2427,IF(D2021=$D$2:$D$2427,IF($X$2:$X$2427&gt;0,1))))&gt;0,SUM(IF(A2021=$A$2:$A$2427,IF(D2021=$D$2:$D$2427,$X$2:$X$2427)))/COUNT(IF(A2021=$A$2:$A$2427,IF(D2021=$D$2:$D$2427,IF(ISNUMBER($X$2:$X$2427),1)))),0),""),0)</f>
        <v/>
      </c>
      <c r="Z2021" s="104" t="str">
        <f>IF(ISNUMBER(O2021),IF(I2021&gt;0,(10^(VLOOKUP(D2021,'Species Codes'!B:C,2,0)+VLOOKUP(D2021,'Species Codes'!B:D,3,0)*LOG(E2021)+VLOOKUP(D2021,'Species Codes'!B:E,4,0)*LOG(I2021))),0),"")</f>
        <v/>
      </c>
      <c r="AA2021" s="104" t="str">
        <f>IFERROR((VLOOKUP(D2021,'Species Codes'!B:G,6,0)*Z2021)/2000,"")</f>
        <v/>
      </c>
      <c r="AB2021" s="104" t="e">
        <f>IF(Z2021&gt;0,((IF(OR(D2021="DF",D2021="RA")=TRUE,EXP(VLOOKUP(D2021,'Species Codes'!B:I,8,0)+VLOOKUP(D2021,'Species Codes'!B:J,9,0)*(LN((E2021*2.54)))),IF(OR(D2021="PY",D2021="RC",D2021="WH",D2021="NF")=TRUE,VLOOKUP(D2021,'Species Codes'!B:I,8,0)+VLOOKUP(D2021,'Species Codes'!B:J,9,0)*((E2021*2.54)^2)*(I2021*0.3048),IF(OR(D2021="MD",D2021="BM",D2021="GA")=TRUE,((VLOOKUP(D2021,'Species Codes'!B:I,8,0)*(((((E2021*2.54)+VLOOKUP(D2021,'Species Codes'!B:J,9,0))/VLOOKUP(D2021,'Species Codes'!B:K,10,0))^VLOOKUP(D2021,'Species Codes'!B:L,11,0))*((I2021*0.3048)^VLOOKUP(D2021,'Species Codes'!B:M,12,0))))-(VLOOKUP(D2021,'Species Codes'!B:I,8,0)*((((E2021*2.54)^VLOOKUP(D2021,'Species Codes'!B:L,11,0))*((I2021*0.3048)^VLOOKUP(D2021,'Species Codes'!B:M,12,0))))))*35.3*VLOOKUP(D2021,'Species Codes'!B:G,6,0)/2.2046,VLOOKUP(D2021,'Species Codes'!B:I,8,0)+VLOOKUP(D2021,'Species Codes'!B:J,9,0)*(((E2021*2.54)/100)^2)*(I2021*0.3048)))))*0.0011023),0)</f>
        <v>#N/A</v>
      </c>
      <c r="AC2021" s="104" t="e">
        <f>IF(Z2021&gt;0,((IF(OR(D2021="RA",D2021="OA",D2021="OT",D2021="UN",D2021="PC"),EXP(VLOOKUP(D2021,'Species Codes'!B:O,14,0)+VLOOKUP(D2021,'Species Codes'!B:P,15,0)*LN((E2021*2.54)))-EXP(VLOOKUP(D2021,'Species Codes'!B:O,14,0)+VLOOKUP(D2021,'Species Codes'!B:P,15,0)*LN((E2021*2.54)))*(1/(VLOOKUP(D2021,'Species Codes'!B:Q,16,0)+VLOOKUP(D2021,'Species Codes'!B:R,17,0)*((E2021*2.54)^VLOOKUP(D2021,'Species Codes'!B:S,18,0)))),IF(OR(D2021="BM",D2021="MD",D2021="OA"),EXP(VLOOKUP(D2021,'Species Codes'!B:O,14,0)+VLOOKUP(D2021,'Species Codes'!B:P,15,0)*LN((E2021*2.54)))*(1-(1/(VLOOKUP(D2021,'Species Codes'!B:Q,16,0)+VLOOKUP(D2021,'Species Codes'!B:R,17,0)*((E2021*2.54)^VLOOKUP(D2021,'Species Codes'!B:S,18,0)))))/1000,IF(D2021="DF",EXP(VLOOKUP(D2021,'Species Codes'!B:O,14,0)+VLOOKUP(D2021,'Species Codes'!B:P,15,0)*LN((E2021*2.54))),VLOOKUP(D2021,'Species Codes'!B:O,14,0)+VLOOKUP(D2021,'Species Codes'!B:P,15,0)*(((E2021*2.54)/100)^2)*(I2021*0.3048)))))*0.0011023),0)</f>
        <v>#N/A</v>
      </c>
      <c r="AD2021" s="104" t="e">
        <f t="shared" si="895"/>
        <v>#N/A</v>
      </c>
      <c r="AE2021" s="104" t="e">
        <f t="shared" si="896"/>
        <v>#N/A</v>
      </c>
      <c r="AF2021" s="104" t="e">
        <f>IF(AND(VLOOKUP($D2021,Merchantability!$B:$C,2,0)="Yes",$E2021&gt;=VLOOKUP($D2021,Merchantability!$B:$D,3,0),$E2021&lt;=VLOOKUP($D2021,Merchantability!$B:$E,4,0)),AA2021,0)</f>
        <v>#N/A</v>
      </c>
      <c r="AG2021" s="104" t="e">
        <f>IF(AND(VLOOKUP($D2021,Merchantability!$B:$C,2,0)="Yes",$E2021&gt;=VLOOKUP($D2021,Merchantability!$B:$D,3,0),$E2021&lt;=VLOOKUP($D2021,Merchantability!$B:$E,4,0)),AB2021,0)</f>
        <v>#N/A</v>
      </c>
      <c r="AH2021" s="104" t="e">
        <f>IF(AND(VLOOKUP($D2021,Merchantability!$B:$C,2,0)="Yes",$E2021&gt;=VLOOKUP($D2021,Merchantability!$B:$D,3,0),$E2021&lt;=VLOOKUP($D2021,Merchantability!$B:$E,4,0)),AC2021,0)</f>
        <v>#N/A</v>
      </c>
      <c r="AI2021" s="104" t="e">
        <f t="shared" si="897"/>
        <v>#N/A</v>
      </c>
      <c r="AJ2021" s="104" t="e">
        <f t="shared" si="898"/>
        <v>#VALUE!</v>
      </c>
      <c r="AK2021" s="104" t="e">
        <f t="shared" si="899"/>
        <v>#N/A</v>
      </c>
      <c r="AL2021" s="104" t="e">
        <f t="shared" si="900"/>
        <v>#N/A</v>
      </c>
      <c r="AM2021" s="104" t="e">
        <f t="shared" si="901"/>
        <v>#N/A</v>
      </c>
      <c r="AN2021" s="104" t="e">
        <f t="shared" si="885"/>
        <v>#N/A</v>
      </c>
      <c r="AO2021" s="104" t="e">
        <f t="shared" si="886"/>
        <v>#N/A</v>
      </c>
      <c r="AP2021" s="104" t="e">
        <f t="shared" si="887"/>
        <v>#N/A</v>
      </c>
      <c r="AQ2021" s="104" t="e">
        <f t="shared" si="888"/>
        <v>#N/A</v>
      </c>
      <c r="AR2021" s="105" t="str">
        <f t="shared" si="880"/>
        <v/>
      </c>
      <c r="AS2021" s="105" t="str">
        <f t="shared" si="881"/>
        <v/>
      </c>
      <c r="AT2021" s="108" t="str">
        <f t="shared" si="882"/>
        <v/>
      </c>
      <c r="AU2021" s="108" t="str">
        <f t="shared" si="883"/>
        <v/>
      </c>
      <c r="AV2021" s="107" t="str">
        <f>IF(ISNUMBER(O2021),IF(VLOOKUP($A2021,Stand!C:J,8,FALSE)="Short",AT2021,AU2021),"")</f>
        <v/>
      </c>
      <c r="AW2021" s="109" t="str">
        <f t="shared" si="889"/>
        <v/>
      </c>
      <c r="AX2021" s="109" t="str">
        <f t="shared" si="890"/>
        <v/>
      </c>
      <c r="AY2021" s="112" t="str">
        <f>IF(ISNUMBER(O2021),IF(AND(VLOOKUP($D2021,Merchantability!$B:$C,2,0)="Yes",$E2021&gt;=VLOOKUP($D2021,Merchantability!$B:$D,3,0),$E2021&lt;=VLOOKUP($D2021,Merchantability!$B:$E,4,0)),(AV2021*O2021)*(1-$H2021/100),""),"")</f>
        <v/>
      </c>
      <c r="AZ2021" s="116"/>
      <c r="BA2021" s="116"/>
      <c r="BB2021" s="116"/>
      <c r="BE2021" s="62"/>
      <c r="BF2021" s="63"/>
    </row>
    <row r="2022" spans="1:58" ht="12.75" customHeight="1" x14ac:dyDescent="0.25">
      <c r="A2022" s="334"/>
      <c r="B2022" s="334"/>
      <c r="C2022" s="332"/>
      <c r="D2022" s="334"/>
      <c r="E2022" s="335"/>
      <c r="F2022" s="334"/>
      <c r="G2022" s="332"/>
      <c r="H2022" s="332"/>
      <c r="I2022" s="334"/>
      <c r="J2022" s="336"/>
      <c r="K2022" s="332"/>
      <c r="L2022" s="332"/>
      <c r="M2022" s="76"/>
      <c r="N2022" s="103" t="str">
        <f>IF(A2022="","",VLOOKUP(A2022,Stand!C:K,9,0))</f>
        <v/>
      </c>
      <c r="O2022" s="104" t="str">
        <f t="shared" si="875"/>
        <v/>
      </c>
      <c r="P2022" s="105" t="str">
        <f t="shared" si="876"/>
        <v/>
      </c>
      <c r="Q2022" s="105" t="str">
        <f t="shared" si="891"/>
        <v/>
      </c>
      <c r="R2022" s="103" t="str">
        <f t="shared" si="877"/>
        <v/>
      </c>
      <c r="S2022" s="103" t="str">
        <f t="shared" si="878"/>
        <v/>
      </c>
      <c r="T2022" s="106" t="str">
        <f t="shared" si="892"/>
        <v/>
      </c>
      <c r="U2022" s="106" t="str">
        <f t="shared" si="893"/>
        <v/>
      </c>
      <c r="V2022" s="106" t="str">
        <f t="shared" si="894"/>
        <v/>
      </c>
      <c r="W2022" s="105" t="str">
        <f t="shared" si="879"/>
        <v/>
      </c>
      <c r="X2022" s="104" t="str">
        <f t="shared" si="884"/>
        <v/>
      </c>
      <c r="Y2022" s="104" t="str">
        <f t="array" ref="Y2022">IFERROR(IF(ISNUMBER(O2022),IF(COUNT(IF(A2022=$A$2:$A$2427,IF(D2022=$D$2:$D$2427,IF($X$2:$X$2427&gt;0,1))))&gt;0,SUM(IF(A2022=$A$2:$A$2427,IF(D2022=$D$2:$D$2427,$X$2:$X$2427)))/COUNT(IF(A2022=$A$2:$A$2427,IF(D2022=$D$2:$D$2427,IF(ISNUMBER($X$2:$X$2427),1)))),0),""),0)</f>
        <v/>
      </c>
      <c r="Z2022" s="104" t="str">
        <f>IF(ISNUMBER(O2022),IF(I2022&gt;0,(10^(VLOOKUP(D2022,'Species Codes'!B:C,2,0)+VLOOKUP(D2022,'Species Codes'!B:D,3,0)*LOG(E2022)+VLOOKUP(D2022,'Species Codes'!B:E,4,0)*LOG(I2022))),0),"")</f>
        <v/>
      </c>
      <c r="AA2022" s="104" t="str">
        <f>IFERROR((VLOOKUP(D2022,'Species Codes'!B:G,6,0)*Z2022)/2000,"")</f>
        <v/>
      </c>
      <c r="AB2022" s="104" t="e">
        <f>IF(Z2022&gt;0,((IF(OR(D2022="DF",D2022="RA")=TRUE,EXP(VLOOKUP(D2022,'Species Codes'!B:I,8,0)+VLOOKUP(D2022,'Species Codes'!B:J,9,0)*(LN((E2022*2.54)))),IF(OR(D2022="PY",D2022="RC",D2022="WH",D2022="NF")=TRUE,VLOOKUP(D2022,'Species Codes'!B:I,8,0)+VLOOKUP(D2022,'Species Codes'!B:J,9,0)*((E2022*2.54)^2)*(I2022*0.3048),IF(OR(D2022="MD",D2022="BM",D2022="GA")=TRUE,((VLOOKUP(D2022,'Species Codes'!B:I,8,0)*(((((E2022*2.54)+VLOOKUP(D2022,'Species Codes'!B:J,9,0))/VLOOKUP(D2022,'Species Codes'!B:K,10,0))^VLOOKUP(D2022,'Species Codes'!B:L,11,0))*((I2022*0.3048)^VLOOKUP(D2022,'Species Codes'!B:M,12,0))))-(VLOOKUP(D2022,'Species Codes'!B:I,8,0)*((((E2022*2.54)^VLOOKUP(D2022,'Species Codes'!B:L,11,0))*((I2022*0.3048)^VLOOKUP(D2022,'Species Codes'!B:M,12,0))))))*35.3*VLOOKUP(D2022,'Species Codes'!B:G,6,0)/2.2046,VLOOKUP(D2022,'Species Codes'!B:I,8,0)+VLOOKUP(D2022,'Species Codes'!B:J,9,0)*(((E2022*2.54)/100)^2)*(I2022*0.3048)))))*0.0011023),0)</f>
        <v>#N/A</v>
      </c>
      <c r="AC2022" s="104" t="e">
        <f>IF(Z2022&gt;0,((IF(OR(D2022="RA",D2022="OA",D2022="OT",D2022="UN",D2022="PC"),EXP(VLOOKUP(D2022,'Species Codes'!B:O,14,0)+VLOOKUP(D2022,'Species Codes'!B:P,15,0)*LN((E2022*2.54)))-EXP(VLOOKUP(D2022,'Species Codes'!B:O,14,0)+VLOOKUP(D2022,'Species Codes'!B:P,15,0)*LN((E2022*2.54)))*(1/(VLOOKUP(D2022,'Species Codes'!B:Q,16,0)+VLOOKUP(D2022,'Species Codes'!B:R,17,0)*((E2022*2.54)^VLOOKUP(D2022,'Species Codes'!B:S,18,0)))),IF(OR(D2022="BM",D2022="MD",D2022="OA"),EXP(VLOOKUP(D2022,'Species Codes'!B:O,14,0)+VLOOKUP(D2022,'Species Codes'!B:P,15,0)*LN((E2022*2.54)))*(1-(1/(VLOOKUP(D2022,'Species Codes'!B:Q,16,0)+VLOOKUP(D2022,'Species Codes'!B:R,17,0)*((E2022*2.54)^VLOOKUP(D2022,'Species Codes'!B:S,18,0)))))/1000,IF(D2022="DF",EXP(VLOOKUP(D2022,'Species Codes'!B:O,14,0)+VLOOKUP(D2022,'Species Codes'!B:P,15,0)*LN((E2022*2.54))),VLOOKUP(D2022,'Species Codes'!B:O,14,0)+VLOOKUP(D2022,'Species Codes'!B:P,15,0)*(((E2022*2.54)/100)^2)*(I2022*0.3048)))))*0.0011023),0)</f>
        <v>#N/A</v>
      </c>
      <c r="AD2022" s="104" t="e">
        <f t="shared" si="895"/>
        <v>#N/A</v>
      </c>
      <c r="AE2022" s="104" t="e">
        <f t="shared" si="896"/>
        <v>#N/A</v>
      </c>
      <c r="AF2022" s="104" t="e">
        <f>IF(AND(VLOOKUP($D2022,Merchantability!$B:$C,2,0)="Yes",$E2022&gt;=VLOOKUP($D2022,Merchantability!$B:$D,3,0),$E2022&lt;=VLOOKUP($D2022,Merchantability!$B:$E,4,0)),AA2022,0)</f>
        <v>#N/A</v>
      </c>
      <c r="AG2022" s="104" t="e">
        <f>IF(AND(VLOOKUP($D2022,Merchantability!$B:$C,2,0)="Yes",$E2022&gt;=VLOOKUP($D2022,Merchantability!$B:$D,3,0),$E2022&lt;=VLOOKUP($D2022,Merchantability!$B:$E,4,0)),AB2022,0)</f>
        <v>#N/A</v>
      </c>
      <c r="AH2022" s="104" t="e">
        <f>IF(AND(VLOOKUP($D2022,Merchantability!$B:$C,2,0)="Yes",$E2022&gt;=VLOOKUP($D2022,Merchantability!$B:$D,3,0),$E2022&lt;=VLOOKUP($D2022,Merchantability!$B:$E,4,0)),AC2022,0)</f>
        <v>#N/A</v>
      </c>
      <c r="AI2022" s="104" t="e">
        <f t="shared" si="897"/>
        <v>#N/A</v>
      </c>
      <c r="AJ2022" s="104" t="e">
        <f t="shared" si="898"/>
        <v>#VALUE!</v>
      </c>
      <c r="AK2022" s="104" t="e">
        <f t="shared" si="899"/>
        <v>#N/A</v>
      </c>
      <c r="AL2022" s="104" t="e">
        <f t="shared" si="900"/>
        <v>#N/A</v>
      </c>
      <c r="AM2022" s="104" t="e">
        <f t="shared" si="901"/>
        <v>#N/A</v>
      </c>
      <c r="AN2022" s="104" t="e">
        <f t="shared" si="885"/>
        <v>#N/A</v>
      </c>
      <c r="AO2022" s="104" t="e">
        <f t="shared" si="886"/>
        <v>#N/A</v>
      </c>
      <c r="AP2022" s="104" t="e">
        <f t="shared" si="887"/>
        <v>#N/A</v>
      </c>
      <c r="AQ2022" s="104" t="e">
        <f t="shared" si="888"/>
        <v>#N/A</v>
      </c>
      <c r="AR2022" s="105" t="str">
        <f t="shared" si="880"/>
        <v/>
      </c>
      <c r="AS2022" s="105" t="str">
        <f t="shared" si="881"/>
        <v/>
      </c>
      <c r="AT2022" s="108" t="str">
        <f t="shared" si="882"/>
        <v/>
      </c>
      <c r="AU2022" s="108" t="str">
        <f t="shared" si="883"/>
        <v/>
      </c>
      <c r="AV2022" s="107" t="str">
        <f>IF(ISNUMBER(O2022),IF(VLOOKUP($A2022,Stand!C:J,8,FALSE)="Short",AT2022,AU2022),"")</f>
        <v/>
      </c>
      <c r="AW2022" s="109" t="str">
        <f t="shared" si="889"/>
        <v/>
      </c>
      <c r="AX2022" s="109" t="str">
        <f t="shared" si="890"/>
        <v/>
      </c>
      <c r="AY2022" s="112" t="str">
        <f>IF(ISNUMBER(O2022),IF(AND(VLOOKUP($D2022,Merchantability!$B:$C,2,0)="Yes",$E2022&gt;=VLOOKUP($D2022,Merchantability!$B:$D,3,0),$E2022&lt;=VLOOKUP($D2022,Merchantability!$B:$E,4,0)),(AV2022*O2022)*(1-$H2022/100),""),"")</f>
        <v/>
      </c>
      <c r="AZ2022" s="116"/>
      <c r="BA2022" s="116"/>
      <c r="BB2022" s="116"/>
      <c r="BE2022" s="62"/>
      <c r="BF2022" s="63"/>
    </row>
    <row r="2023" spans="1:58" ht="12.75" customHeight="1" x14ac:dyDescent="0.25">
      <c r="A2023" s="334"/>
      <c r="B2023" s="334"/>
      <c r="C2023" s="332"/>
      <c r="D2023" s="334"/>
      <c r="E2023" s="335"/>
      <c r="F2023" s="334"/>
      <c r="G2023" s="332"/>
      <c r="H2023" s="332"/>
      <c r="I2023" s="334"/>
      <c r="J2023" s="336"/>
      <c r="K2023" s="332"/>
      <c r="L2023" s="332"/>
      <c r="M2023" s="76"/>
      <c r="N2023" s="103" t="str">
        <f>IF(A2023="","",VLOOKUP(A2023,Stand!C:K,9,0))</f>
        <v/>
      </c>
      <c r="O2023" s="104" t="str">
        <f t="shared" si="875"/>
        <v/>
      </c>
      <c r="P2023" s="105" t="str">
        <f t="shared" si="876"/>
        <v/>
      </c>
      <c r="Q2023" s="105" t="str">
        <f t="shared" si="891"/>
        <v/>
      </c>
      <c r="R2023" s="103" t="str">
        <f t="shared" si="877"/>
        <v/>
      </c>
      <c r="S2023" s="103" t="str">
        <f t="shared" si="878"/>
        <v/>
      </c>
      <c r="T2023" s="106" t="str">
        <f t="shared" si="892"/>
        <v/>
      </c>
      <c r="U2023" s="106" t="str">
        <f t="shared" si="893"/>
        <v/>
      </c>
      <c r="V2023" s="106" t="str">
        <f t="shared" si="894"/>
        <v/>
      </c>
      <c r="W2023" s="105" t="str">
        <f t="shared" si="879"/>
        <v/>
      </c>
      <c r="X2023" s="104" t="str">
        <f t="shared" si="884"/>
        <v/>
      </c>
      <c r="Y2023" s="104" t="str">
        <f t="array" ref="Y2023">IFERROR(IF(ISNUMBER(O2023),IF(COUNT(IF(A2023=$A$2:$A$2427,IF(D2023=$D$2:$D$2427,IF($X$2:$X$2427&gt;0,1))))&gt;0,SUM(IF(A2023=$A$2:$A$2427,IF(D2023=$D$2:$D$2427,$X$2:$X$2427)))/COUNT(IF(A2023=$A$2:$A$2427,IF(D2023=$D$2:$D$2427,IF(ISNUMBER($X$2:$X$2427),1)))),0),""),0)</f>
        <v/>
      </c>
      <c r="Z2023" s="104" t="str">
        <f>IF(ISNUMBER(O2023),IF(I2023&gt;0,(10^(VLOOKUP(D2023,'Species Codes'!B:C,2,0)+VLOOKUP(D2023,'Species Codes'!B:D,3,0)*LOG(E2023)+VLOOKUP(D2023,'Species Codes'!B:E,4,0)*LOG(I2023))),0),"")</f>
        <v/>
      </c>
      <c r="AA2023" s="104" t="str">
        <f>IFERROR((VLOOKUP(D2023,'Species Codes'!B:G,6,0)*Z2023)/2000,"")</f>
        <v/>
      </c>
      <c r="AB2023" s="104" t="e">
        <f>IF(Z2023&gt;0,((IF(OR(D2023="DF",D2023="RA")=TRUE,EXP(VLOOKUP(D2023,'Species Codes'!B:I,8,0)+VLOOKUP(D2023,'Species Codes'!B:J,9,0)*(LN((E2023*2.54)))),IF(OR(D2023="PY",D2023="RC",D2023="WH",D2023="NF")=TRUE,VLOOKUP(D2023,'Species Codes'!B:I,8,0)+VLOOKUP(D2023,'Species Codes'!B:J,9,0)*((E2023*2.54)^2)*(I2023*0.3048),IF(OR(D2023="MD",D2023="BM",D2023="GA")=TRUE,((VLOOKUP(D2023,'Species Codes'!B:I,8,0)*(((((E2023*2.54)+VLOOKUP(D2023,'Species Codes'!B:J,9,0))/VLOOKUP(D2023,'Species Codes'!B:K,10,0))^VLOOKUP(D2023,'Species Codes'!B:L,11,0))*((I2023*0.3048)^VLOOKUP(D2023,'Species Codes'!B:M,12,0))))-(VLOOKUP(D2023,'Species Codes'!B:I,8,0)*((((E2023*2.54)^VLOOKUP(D2023,'Species Codes'!B:L,11,0))*((I2023*0.3048)^VLOOKUP(D2023,'Species Codes'!B:M,12,0))))))*35.3*VLOOKUP(D2023,'Species Codes'!B:G,6,0)/2.2046,VLOOKUP(D2023,'Species Codes'!B:I,8,0)+VLOOKUP(D2023,'Species Codes'!B:J,9,0)*(((E2023*2.54)/100)^2)*(I2023*0.3048)))))*0.0011023),0)</f>
        <v>#N/A</v>
      </c>
      <c r="AC2023" s="104" t="e">
        <f>IF(Z2023&gt;0,((IF(OR(D2023="RA",D2023="OA",D2023="OT",D2023="UN",D2023="PC"),EXP(VLOOKUP(D2023,'Species Codes'!B:O,14,0)+VLOOKUP(D2023,'Species Codes'!B:P,15,0)*LN((E2023*2.54)))-EXP(VLOOKUP(D2023,'Species Codes'!B:O,14,0)+VLOOKUP(D2023,'Species Codes'!B:P,15,0)*LN((E2023*2.54)))*(1/(VLOOKUP(D2023,'Species Codes'!B:Q,16,0)+VLOOKUP(D2023,'Species Codes'!B:R,17,0)*((E2023*2.54)^VLOOKUP(D2023,'Species Codes'!B:S,18,0)))),IF(OR(D2023="BM",D2023="MD",D2023="OA"),EXP(VLOOKUP(D2023,'Species Codes'!B:O,14,0)+VLOOKUP(D2023,'Species Codes'!B:P,15,0)*LN((E2023*2.54)))*(1-(1/(VLOOKUP(D2023,'Species Codes'!B:Q,16,0)+VLOOKUP(D2023,'Species Codes'!B:R,17,0)*((E2023*2.54)^VLOOKUP(D2023,'Species Codes'!B:S,18,0)))))/1000,IF(D2023="DF",EXP(VLOOKUP(D2023,'Species Codes'!B:O,14,0)+VLOOKUP(D2023,'Species Codes'!B:P,15,0)*LN((E2023*2.54))),VLOOKUP(D2023,'Species Codes'!B:O,14,0)+VLOOKUP(D2023,'Species Codes'!B:P,15,0)*(((E2023*2.54)/100)^2)*(I2023*0.3048)))))*0.0011023),0)</f>
        <v>#N/A</v>
      </c>
      <c r="AD2023" s="104" t="e">
        <f t="shared" si="895"/>
        <v>#N/A</v>
      </c>
      <c r="AE2023" s="104" t="e">
        <f t="shared" si="896"/>
        <v>#N/A</v>
      </c>
      <c r="AF2023" s="104" t="e">
        <f>IF(AND(VLOOKUP($D2023,Merchantability!$B:$C,2,0)="Yes",$E2023&gt;=VLOOKUP($D2023,Merchantability!$B:$D,3,0),$E2023&lt;=VLOOKUP($D2023,Merchantability!$B:$E,4,0)),AA2023,0)</f>
        <v>#N/A</v>
      </c>
      <c r="AG2023" s="104" t="e">
        <f>IF(AND(VLOOKUP($D2023,Merchantability!$B:$C,2,0)="Yes",$E2023&gt;=VLOOKUP($D2023,Merchantability!$B:$D,3,0),$E2023&lt;=VLOOKUP($D2023,Merchantability!$B:$E,4,0)),AB2023,0)</f>
        <v>#N/A</v>
      </c>
      <c r="AH2023" s="104" t="e">
        <f>IF(AND(VLOOKUP($D2023,Merchantability!$B:$C,2,0)="Yes",$E2023&gt;=VLOOKUP($D2023,Merchantability!$B:$D,3,0),$E2023&lt;=VLOOKUP($D2023,Merchantability!$B:$E,4,0)),AC2023,0)</f>
        <v>#N/A</v>
      </c>
      <c r="AI2023" s="104" t="e">
        <f t="shared" si="897"/>
        <v>#N/A</v>
      </c>
      <c r="AJ2023" s="104" t="e">
        <f t="shared" si="898"/>
        <v>#VALUE!</v>
      </c>
      <c r="AK2023" s="104" t="e">
        <f t="shared" si="899"/>
        <v>#N/A</v>
      </c>
      <c r="AL2023" s="104" t="e">
        <f t="shared" si="900"/>
        <v>#N/A</v>
      </c>
      <c r="AM2023" s="104" t="e">
        <f t="shared" si="901"/>
        <v>#N/A</v>
      </c>
      <c r="AN2023" s="104" t="e">
        <f t="shared" si="885"/>
        <v>#N/A</v>
      </c>
      <c r="AO2023" s="104" t="e">
        <f t="shared" si="886"/>
        <v>#N/A</v>
      </c>
      <c r="AP2023" s="104" t="e">
        <f t="shared" si="887"/>
        <v>#N/A</v>
      </c>
      <c r="AQ2023" s="104" t="e">
        <f t="shared" si="888"/>
        <v>#N/A</v>
      </c>
      <c r="AR2023" s="105" t="str">
        <f t="shared" si="880"/>
        <v/>
      </c>
      <c r="AS2023" s="105" t="str">
        <f t="shared" si="881"/>
        <v/>
      </c>
      <c r="AT2023" s="108" t="str">
        <f t="shared" si="882"/>
        <v/>
      </c>
      <c r="AU2023" s="108" t="str">
        <f t="shared" si="883"/>
        <v/>
      </c>
      <c r="AV2023" s="107" t="str">
        <f>IF(ISNUMBER(O2023),IF(VLOOKUP($A2023,Stand!C:J,8,FALSE)="Short",AT2023,AU2023),"")</f>
        <v/>
      </c>
      <c r="AW2023" s="109" t="str">
        <f t="shared" si="889"/>
        <v/>
      </c>
      <c r="AX2023" s="109" t="str">
        <f t="shared" si="890"/>
        <v/>
      </c>
      <c r="AY2023" s="112" t="str">
        <f>IF(ISNUMBER(O2023),IF(AND(VLOOKUP($D2023,Merchantability!$B:$C,2,0)="Yes",$E2023&gt;=VLOOKUP($D2023,Merchantability!$B:$D,3,0),$E2023&lt;=VLOOKUP($D2023,Merchantability!$B:$E,4,0)),(AV2023*O2023)*(1-$H2023/100),""),"")</f>
        <v/>
      </c>
      <c r="AZ2023" s="116"/>
      <c r="BA2023" s="116"/>
      <c r="BB2023" s="116"/>
      <c r="BE2023" s="62"/>
      <c r="BF2023" s="63"/>
    </row>
    <row r="2024" spans="1:58" ht="12.75" customHeight="1" x14ac:dyDescent="0.25">
      <c r="A2024" s="334"/>
      <c r="B2024" s="334"/>
      <c r="C2024" s="332"/>
      <c r="D2024" s="334"/>
      <c r="E2024" s="335"/>
      <c r="F2024" s="334"/>
      <c r="G2024" s="332"/>
      <c r="H2024" s="332"/>
      <c r="I2024" s="334"/>
      <c r="J2024" s="336"/>
      <c r="K2024" s="332"/>
      <c r="L2024" s="332"/>
      <c r="M2024" s="76"/>
      <c r="N2024" s="103" t="str">
        <f>IF(A2024="","",VLOOKUP(A2024,Stand!C:K,9,0))</f>
        <v/>
      </c>
      <c r="O2024" s="104" t="str">
        <f t="shared" si="875"/>
        <v/>
      </c>
      <c r="P2024" s="105" t="str">
        <f t="shared" si="876"/>
        <v/>
      </c>
      <c r="Q2024" s="105" t="str">
        <f t="shared" si="891"/>
        <v/>
      </c>
      <c r="R2024" s="103" t="str">
        <f t="shared" si="877"/>
        <v/>
      </c>
      <c r="S2024" s="103" t="str">
        <f t="shared" si="878"/>
        <v/>
      </c>
      <c r="T2024" s="106" t="str">
        <f t="shared" si="892"/>
        <v/>
      </c>
      <c r="U2024" s="106" t="str">
        <f t="shared" si="893"/>
        <v/>
      </c>
      <c r="V2024" s="106" t="str">
        <f t="shared" si="894"/>
        <v/>
      </c>
      <c r="W2024" s="105" t="str">
        <f t="shared" si="879"/>
        <v/>
      </c>
      <c r="X2024" s="104" t="str">
        <f t="shared" si="884"/>
        <v/>
      </c>
      <c r="Y2024" s="104" t="str">
        <f t="array" ref="Y2024">IFERROR(IF(ISNUMBER(O2024),IF(COUNT(IF(A2024=$A$2:$A$2427,IF(D2024=$D$2:$D$2427,IF($X$2:$X$2427&gt;0,1))))&gt;0,SUM(IF(A2024=$A$2:$A$2427,IF(D2024=$D$2:$D$2427,$X$2:$X$2427)))/COUNT(IF(A2024=$A$2:$A$2427,IF(D2024=$D$2:$D$2427,IF(ISNUMBER($X$2:$X$2427),1)))),0),""),0)</f>
        <v/>
      </c>
      <c r="Z2024" s="104" t="str">
        <f>IF(ISNUMBER(O2024),IF(I2024&gt;0,(10^(VLOOKUP(D2024,'Species Codes'!B:C,2,0)+VLOOKUP(D2024,'Species Codes'!B:D,3,0)*LOG(E2024)+VLOOKUP(D2024,'Species Codes'!B:E,4,0)*LOG(I2024))),0),"")</f>
        <v/>
      </c>
      <c r="AA2024" s="104" t="str">
        <f>IFERROR((VLOOKUP(D2024,'Species Codes'!B:G,6,0)*Z2024)/2000,"")</f>
        <v/>
      </c>
      <c r="AB2024" s="104" t="e">
        <f>IF(Z2024&gt;0,((IF(OR(D2024="DF",D2024="RA")=TRUE,EXP(VLOOKUP(D2024,'Species Codes'!B:I,8,0)+VLOOKUP(D2024,'Species Codes'!B:J,9,0)*(LN((E2024*2.54)))),IF(OR(D2024="PY",D2024="RC",D2024="WH",D2024="NF")=TRUE,VLOOKUP(D2024,'Species Codes'!B:I,8,0)+VLOOKUP(D2024,'Species Codes'!B:J,9,0)*((E2024*2.54)^2)*(I2024*0.3048),IF(OR(D2024="MD",D2024="BM",D2024="GA")=TRUE,((VLOOKUP(D2024,'Species Codes'!B:I,8,0)*(((((E2024*2.54)+VLOOKUP(D2024,'Species Codes'!B:J,9,0))/VLOOKUP(D2024,'Species Codes'!B:K,10,0))^VLOOKUP(D2024,'Species Codes'!B:L,11,0))*((I2024*0.3048)^VLOOKUP(D2024,'Species Codes'!B:M,12,0))))-(VLOOKUP(D2024,'Species Codes'!B:I,8,0)*((((E2024*2.54)^VLOOKUP(D2024,'Species Codes'!B:L,11,0))*((I2024*0.3048)^VLOOKUP(D2024,'Species Codes'!B:M,12,0))))))*35.3*VLOOKUP(D2024,'Species Codes'!B:G,6,0)/2.2046,VLOOKUP(D2024,'Species Codes'!B:I,8,0)+VLOOKUP(D2024,'Species Codes'!B:J,9,0)*(((E2024*2.54)/100)^2)*(I2024*0.3048)))))*0.0011023),0)</f>
        <v>#N/A</v>
      </c>
      <c r="AC2024" s="104" t="e">
        <f>IF(Z2024&gt;0,((IF(OR(D2024="RA",D2024="OA",D2024="OT",D2024="UN",D2024="PC"),EXP(VLOOKUP(D2024,'Species Codes'!B:O,14,0)+VLOOKUP(D2024,'Species Codes'!B:P,15,0)*LN((E2024*2.54)))-EXP(VLOOKUP(D2024,'Species Codes'!B:O,14,0)+VLOOKUP(D2024,'Species Codes'!B:P,15,0)*LN((E2024*2.54)))*(1/(VLOOKUP(D2024,'Species Codes'!B:Q,16,0)+VLOOKUP(D2024,'Species Codes'!B:R,17,0)*((E2024*2.54)^VLOOKUP(D2024,'Species Codes'!B:S,18,0)))),IF(OR(D2024="BM",D2024="MD",D2024="OA"),EXP(VLOOKUP(D2024,'Species Codes'!B:O,14,0)+VLOOKUP(D2024,'Species Codes'!B:P,15,0)*LN((E2024*2.54)))*(1-(1/(VLOOKUP(D2024,'Species Codes'!B:Q,16,0)+VLOOKUP(D2024,'Species Codes'!B:R,17,0)*((E2024*2.54)^VLOOKUP(D2024,'Species Codes'!B:S,18,0)))))/1000,IF(D2024="DF",EXP(VLOOKUP(D2024,'Species Codes'!B:O,14,0)+VLOOKUP(D2024,'Species Codes'!B:P,15,0)*LN((E2024*2.54))),VLOOKUP(D2024,'Species Codes'!B:O,14,0)+VLOOKUP(D2024,'Species Codes'!B:P,15,0)*(((E2024*2.54)/100)^2)*(I2024*0.3048)))))*0.0011023),0)</f>
        <v>#N/A</v>
      </c>
      <c r="AD2024" s="104" t="e">
        <f t="shared" si="895"/>
        <v>#N/A</v>
      </c>
      <c r="AE2024" s="104" t="e">
        <f t="shared" si="896"/>
        <v>#N/A</v>
      </c>
      <c r="AF2024" s="104" t="e">
        <f>IF(AND(VLOOKUP($D2024,Merchantability!$B:$C,2,0)="Yes",$E2024&gt;=VLOOKUP($D2024,Merchantability!$B:$D,3,0),$E2024&lt;=VLOOKUP($D2024,Merchantability!$B:$E,4,0)),AA2024,0)</f>
        <v>#N/A</v>
      </c>
      <c r="AG2024" s="104" t="e">
        <f>IF(AND(VLOOKUP($D2024,Merchantability!$B:$C,2,0)="Yes",$E2024&gt;=VLOOKUP($D2024,Merchantability!$B:$D,3,0),$E2024&lt;=VLOOKUP($D2024,Merchantability!$B:$E,4,0)),AB2024,0)</f>
        <v>#N/A</v>
      </c>
      <c r="AH2024" s="104" t="e">
        <f>IF(AND(VLOOKUP($D2024,Merchantability!$B:$C,2,0)="Yes",$E2024&gt;=VLOOKUP($D2024,Merchantability!$B:$D,3,0),$E2024&lt;=VLOOKUP($D2024,Merchantability!$B:$E,4,0)),AC2024,0)</f>
        <v>#N/A</v>
      </c>
      <c r="AI2024" s="104" t="e">
        <f t="shared" si="897"/>
        <v>#N/A</v>
      </c>
      <c r="AJ2024" s="104" t="e">
        <f t="shared" si="898"/>
        <v>#VALUE!</v>
      </c>
      <c r="AK2024" s="104" t="e">
        <f t="shared" si="899"/>
        <v>#N/A</v>
      </c>
      <c r="AL2024" s="104" t="e">
        <f t="shared" si="900"/>
        <v>#N/A</v>
      </c>
      <c r="AM2024" s="104" t="e">
        <f t="shared" si="901"/>
        <v>#N/A</v>
      </c>
      <c r="AN2024" s="104" t="e">
        <f t="shared" si="885"/>
        <v>#N/A</v>
      </c>
      <c r="AO2024" s="104" t="e">
        <f t="shared" si="886"/>
        <v>#N/A</v>
      </c>
      <c r="AP2024" s="104" t="e">
        <f t="shared" si="887"/>
        <v>#N/A</v>
      </c>
      <c r="AQ2024" s="104" t="e">
        <f t="shared" si="888"/>
        <v>#N/A</v>
      </c>
      <c r="AR2024" s="105" t="str">
        <f t="shared" si="880"/>
        <v/>
      </c>
      <c r="AS2024" s="105" t="str">
        <f t="shared" si="881"/>
        <v/>
      </c>
      <c r="AT2024" s="108" t="str">
        <f t="shared" si="882"/>
        <v/>
      </c>
      <c r="AU2024" s="108" t="str">
        <f t="shared" si="883"/>
        <v/>
      </c>
      <c r="AV2024" s="107" t="str">
        <f>IF(ISNUMBER(O2024),IF(VLOOKUP($A2024,Stand!C:J,8,FALSE)="Short",AT2024,AU2024),"")</f>
        <v/>
      </c>
      <c r="AW2024" s="109" t="str">
        <f t="shared" si="889"/>
        <v/>
      </c>
      <c r="AX2024" s="109" t="str">
        <f t="shared" si="890"/>
        <v/>
      </c>
      <c r="AY2024" s="112" t="str">
        <f>IF(ISNUMBER(O2024),IF(AND(VLOOKUP($D2024,Merchantability!$B:$C,2,0)="Yes",$E2024&gt;=VLOOKUP($D2024,Merchantability!$B:$D,3,0),$E2024&lt;=VLOOKUP($D2024,Merchantability!$B:$E,4,0)),(AV2024*O2024)*(1-$H2024/100),""),"")</f>
        <v/>
      </c>
      <c r="AZ2024" s="116"/>
      <c r="BA2024" s="116"/>
      <c r="BB2024" s="116"/>
      <c r="BE2024" s="62"/>
      <c r="BF2024" s="63"/>
    </row>
    <row r="2025" spans="1:58" ht="12.75" customHeight="1" x14ac:dyDescent="0.25">
      <c r="A2025" s="334"/>
      <c r="B2025" s="334"/>
      <c r="C2025" s="332"/>
      <c r="D2025" s="334"/>
      <c r="E2025" s="335"/>
      <c r="F2025" s="334"/>
      <c r="G2025" s="332"/>
      <c r="H2025" s="332"/>
      <c r="I2025" s="334"/>
      <c r="J2025" s="336"/>
      <c r="K2025" s="332"/>
      <c r="L2025" s="332"/>
      <c r="M2025" s="76"/>
      <c r="N2025" s="103" t="str">
        <f>IF(A2025="","",VLOOKUP(A2025,Stand!C:K,9,0))</f>
        <v/>
      </c>
      <c r="O2025" s="104" t="str">
        <f t="shared" si="875"/>
        <v/>
      </c>
      <c r="P2025" s="105" t="str">
        <f t="shared" si="876"/>
        <v/>
      </c>
      <c r="Q2025" s="105" t="str">
        <f t="shared" si="891"/>
        <v/>
      </c>
      <c r="R2025" s="103" t="str">
        <f t="shared" si="877"/>
        <v/>
      </c>
      <c r="S2025" s="103" t="str">
        <f t="shared" si="878"/>
        <v/>
      </c>
      <c r="T2025" s="106" t="str">
        <f t="shared" si="892"/>
        <v/>
      </c>
      <c r="U2025" s="106" t="str">
        <f t="shared" si="893"/>
        <v/>
      </c>
      <c r="V2025" s="106" t="str">
        <f t="shared" si="894"/>
        <v/>
      </c>
      <c r="W2025" s="105" t="str">
        <f t="shared" si="879"/>
        <v/>
      </c>
      <c r="X2025" s="104" t="str">
        <f t="shared" si="884"/>
        <v/>
      </c>
      <c r="Y2025" s="104" t="str">
        <f t="array" ref="Y2025">IFERROR(IF(ISNUMBER(O2025),IF(COUNT(IF(A2025=$A$2:$A$2427,IF(D2025=$D$2:$D$2427,IF($X$2:$X$2427&gt;0,1))))&gt;0,SUM(IF(A2025=$A$2:$A$2427,IF(D2025=$D$2:$D$2427,$X$2:$X$2427)))/COUNT(IF(A2025=$A$2:$A$2427,IF(D2025=$D$2:$D$2427,IF(ISNUMBER($X$2:$X$2427),1)))),0),""),0)</f>
        <v/>
      </c>
      <c r="Z2025" s="104" t="str">
        <f>IF(ISNUMBER(O2025),IF(I2025&gt;0,(10^(VLOOKUP(D2025,'Species Codes'!B:C,2,0)+VLOOKUP(D2025,'Species Codes'!B:D,3,0)*LOG(E2025)+VLOOKUP(D2025,'Species Codes'!B:E,4,0)*LOG(I2025))),0),"")</f>
        <v/>
      </c>
      <c r="AA2025" s="104" t="str">
        <f>IFERROR((VLOOKUP(D2025,'Species Codes'!B:G,6,0)*Z2025)/2000,"")</f>
        <v/>
      </c>
      <c r="AB2025" s="104" t="e">
        <f>IF(Z2025&gt;0,((IF(OR(D2025="DF",D2025="RA")=TRUE,EXP(VLOOKUP(D2025,'Species Codes'!B:I,8,0)+VLOOKUP(D2025,'Species Codes'!B:J,9,0)*(LN((E2025*2.54)))),IF(OR(D2025="PY",D2025="RC",D2025="WH",D2025="NF")=TRUE,VLOOKUP(D2025,'Species Codes'!B:I,8,0)+VLOOKUP(D2025,'Species Codes'!B:J,9,0)*((E2025*2.54)^2)*(I2025*0.3048),IF(OR(D2025="MD",D2025="BM",D2025="GA")=TRUE,((VLOOKUP(D2025,'Species Codes'!B:I,8,0)*(((((E2025*2.54)+VLOOKUP(D2025,'Species Codes'!B:J,9,0))/VLOOKUP(D2025,'Species Codes'!B:K,10,0))^VLOOKUP(D2025,'Species Codes'!B:L,11,0))*((I2025*0.3048)^VLOOKUP(D2025,'Species Codes'!B:M,12,0))))-(VLOOKUP(D2025,'Species Codes'!B:I,8,0)*((((E2025*2.54)^VLOOKUP(D2025,'Species Codes'!B:L,11,0))*((I2025*0.3048)^VLOOKUP(D2025,'Species Codes'!B:M,12,0))))))*35.3*VLOOKUP(D2025,'Species Codes'!B:G,6,0)/2.2046,VLOOKUP(D2025,'Species Codes'!B:I,8,0)+VLOOKUP(D2025,'Species Codes'!B:J,9,0)*(((E2025*2.54)/100)^2)*(I2025*0.3048)))))*0.0011023),0)</f>
        <v>#N/A</v>
      </c>
      <c r="AC2025" s="104" t="e">
        <f>IF(Z2025&gt;0,((IF(OR(D2025="RA",D2025="OA",D2025="OT",D2025="UN",D2025="PC"),EXP(VLOOKUP(D2025,'Species Codes'!B:O,14,0)+VLOOKUP(D2025,'Species Codes'!B:P,15,0)*LN((E2025*2.54)))-EXP(VLOOKUP(D2025,'Species Codes'!B:O,14,0)+VLOOKUP(D2025,'Species Codes'!B:P,15,0)*LN((E2025*2.54)))*(1/(VLOOKUP(D2025,'Species Codes'!B:Q,16,0)+VLOOKUP(D2025,'Species Codes'!B:R,17,0)*((E2025*2.54)^VLOOKUP(D2025,'Species Codes'!B:S,18,0)))),IF(OR(D2025="BM",D2025="MD",D2025="OA"),EXP(VLOOKUP(D2025,'Species Codes'!B:O,14,0)+VLOOKUP(D2025,'Species Codes'!B:P,15,0)*LN((E2025*2.54)))*(1-(1/(VLOOKUP(D2025,'Species Codes'!B:Q,16,0)+VLOOKUP(D2025,'Species Codes'!B:R,17,0)*((E2025*2.54)^VLOOKUP(D2025,'Species Codes'!B:S,18,0)))))/1000,IF(D2025="DF",EXP(VLOOKUP(D2025,'Species Codes'!B:O,14,0)+VLOOKUP(D2025,'Species Codes'!B:P,15,0)*LN((E2025*2.54))),VLOOKUP(D2025,'Species Codes'!B:O,14,0)+VLOOKUP(D2025,'Species Codes'!B:P,15,0)*(((E2025*2.54)/100)^2)*(I2025*0.3048)))))*0.0011023),0)</f>
        <v>#N/A</v>
      </c>
      <c r="AD2025" s="104" t="e">
        <f t="shared" si="895"/>
        <v>#N/A</v>
      </c>
      <c r="AE2025" s="104" t="e">
        <f t="shared" si="896"/>
        <v>#N/A</v>
      </c>
      <c r="AF2025" s="104" t="e">
        <f>IF(AND(VLOOKUP($D2025,Merchantability!$B:$C,2,0)="Yes",$E2025&gt;=VLOOKUP($D2025,Merchantability!$B:$D,3,0),$E2025&lt;=VLOOKUP($D2025,Merchantability!$B:$E,4,0)),AA2025,0)</f>
        <v>#N/A</v>
      </c>
      <c r="AG2025" s="104" t="e">
        <f>IF(AND(VLOOKUP($D2025,Merchantability!$B:$C,2,0)="Yes",$E2025&gt;=VLOOKUP($D2025,Merchantability!$B:$D,3,0),$E2025&lt;=VLOOKUP($D2025,Merchantability!$B:$E,4,0)),AB2025,0)</f>
        <v>#N/A</v>
      </c>
      <c r="AH2025" s="104" t="e">
        <f>IF(AND(VLOOKUP($D2025,Merchantability!$B:$C,2,0)="Yes",$E2025&gt;=VLOOKUP($D2025,Merchantability!$B:$D,3,0),$E2025&lt;=VLOOKUP($D2025,Merchantability!$B:$E,4,0)),AC2025,0)</f>
        <v>#N/A</v>
      </c>
      <c r="AI2025" s="104" t="e">
        <f t="shared" si="897"/>
        <v>#N/A</v>
      </c>
      <c r="AJ2025" s="104" t="e">
        <f t="shared" si="898"/>
        <v>#VALUE!</v>
      </c>
      <c r="AK2025" s="104" t="e">
        <f t="shared" si="899"/>
        <v>#N/A</v>
      </c>
      <c r="AL2025" s="104" t="e">
        <f t="shared" si="900"/>
        <v>#N/A</v>
      </c>
      <c r="AM2025" s="104" t="e">
        <f t="shared" si="901"/>
        <v>#N/A</v>
      </c>
      <c r="AN2025" s="104" t="e">
        <f t="shared" si="885"/>
        <v>#N/A</v>
      </c>
      <c r="AO2025" s="104" t="e">
        <f t="shared" si="886"/>
        <v>#N/A</v>
      </c>
      <c r="AP2025" s="104" t="e">
        <f t="shared" si="887"/>
        <v>#N/A</v>
      </c>
      <c r="AQ2025" s="104" t="e">
        <f t="shared" si="888"/>
        <v>#N/A</v>
      </c>
      <c r="AR2025" s="105" t="str">
        <f t="shared" si="880"/>
        <v/>
      </c>
      <c r="AS2025" s="105" t="str">
        <f t="shared" si="881"/>
        <v/>
      </c>
      <c r="AT2025" s="108" t="str">
        <f t="shared" si="882"/>
        <v/>
      </c>
      <c r="AU2025" s="108" t="str">
        <f t="shared" si="883"/>
        <v/>
      </c>
      <c r="AV2025" s="107" t="str">
        <f>IF(ISNUMBER(O2025),IF(VLOOKUP($A2025,Stand!C:J,8,FALSE)="Short",AT2025,AU2025),"")</f>
        <v/>
      </c>
      <c r="AW2025" s="109" t="str">
        <f t="shared" si="889"/>
        <v/>
      </c>
      <c r="AX2025" s="109" t="str">
        <f t="shared" si="890"/>
        <v/>
      </c>
      <c r="AY2025" s="112" t="str">
        <f>IF(ISNUMBER(O2025),IF(AND(VLOOKUP($D2025,Merchantability!$B:$C,2,0)="Yes",$E2025&gt;=VLOOKUP($D2025,Merchantability!$B:$D,3,0),$E2025&lt;=VLOOKUP($D2025,Merchantability!$B:$E,4,0)),(AV2025*O2025)*(1-$H2025/100),""),"")</f>
        <v/>
      </c>
      <c r="AZ2025" s="116"/>
      <c r="BA2025" s="116"/>
      <c r="BB2025" s="116"/>
      <c r="BE2025" s="62"/>
      <c r="BF2025" s="63"/>
    </row>
    <row r="2026" spans="1:58" ht="12.75" customHeight="1" x14ac:dyDescent="0.25">
      <c r="A2026" s="334"/>
      <c r="B2026" s="334"/>
      <c r="C2026" s="332"/>
      <c r="D2026" s="334"/>
      <c r="E2026" s="335"/>
      <c r="F2026" s="334"/>
      <c r="G2026" s="332"/>
      <c r="H2026" s="332"/>
      <c r="I2026" s="334"/>
      <c r="J2026" s="336"/>
      <c r="K2026" s="332"/>
      <c r="L2026" s="332"/>
      <c r="M2026" s="76"/>
      <c r="N2026" s="103" t="str">
        <f>IF(A2026="","",VLOOKUP(A2026,Stand!C:K,9,0))</f>
        <v/>
      </c>
      <c r="O2026" s="104" t="str">
        <f t="shared" si="875"/>
        <v/>
      </c>
      <c r="P2026" s="105" t="str">
        <f t="shared" si="876"/>
        <v/>
      </c>
      <c r="Q2026" s="105" t="str">
        <f t="shared" si="891"/>
        <v/>
      </c>
      <c r="R2026" s="103" t="str">
        <f t="shared" si="877"/>
        <v/>
      </c>
      <c r="S2026" s="103" t="str">
        <f t="shared" si="878"/>
        <v/>
      </c>
      <c r="T2026" s="106" t="str">
        <f t="shared" si="892"/>
        <v/>
      </c>
      <c r="U2026" s="106" t="str">
        <f t="shared" si="893"/>
        <v/>
      </c>
      <c r="V2026" s="106" t="str">
        <f t="shared" si="894"/>
        <v/>
      </c>
      <c r="W2026" s="105" t="str">
        <f t="shared" si="879"/>
        <v/>
      </c>
      <c r="X2026" s="104" t="str">
        <f t="shared" si="884"/>
        <v/>
      </c>
      <c r="Y2026" s="104" t="str">
        <f t="array" ref="Y2026">IFERROR(IF(ISNUMBER(O2026),IF(COUNT(IF(A2026=$A$2:$A$2427,IF(D2026=$D$2:$D$2427,IF($X$2:$X$2427&gt;0,1))))&gt;0,SUM(IF(A2026=$A$2:$A$2427,IF(D2026=$D$2:$D$2427,$X$2:$X$2427)))/COUNT(IF(A2026=$A$2:$A$2427,IF(D2026=$D$2:$D$2427,IF(ISNUMBER($X$2:$X$2427),1)))),0),""),0)</f>
        <v/>
      </c>
      <c r="Z2026" s="104" t="str">
        <f>IF(ISNUMBER(O2026),IF(I2026&gt;0,(10^(VLOOKUP(D2026,'Species Codes'!B:C,2,0)+VLOOKUP(D2026,'Species Codes'!B:D,3,0)*LOG(E2026)+VLOOKUP(D2026,'Species Codes'!B:E,4,0)*LOG(I2026))),0),"")</f>
        <v/>
      </c>
      <c r="AA2026" s="104" t="str">
        <f>IFERROR((VLOOKUP(D2026,'Species Codes'!B:G,6,0)*Z2026)/2000,"")</f>
        <v/>
      </c>
      <c r="AB2026" s="104" t="e">
        <f>IF(Z2026&gt;0,((IF(OR(D2026="DF",D2026="RA")=TRUE,EXP(VLOOKUP(D2026,'Species Codes'!B:I,8,0)+VLOOKUP(D2026,'Species Codes'!B:J,9,0)*(LN((E2026*2.54)))),IF(OR(D2026="PY",D2026="RC",D2026="WH",D2026="NF")=TRUE,VLOOKUP(D2026,'Species Codes'!B:I,8,0)+VLOOKUP(D2026,'Species Codes'!B:J,9,0)*((E2026*2.54)^2)*(I2026*0.3048),IF(OR(D2026="MD",D2026="BM",D2026="GA")=TRUE,((VLOOKUP(D2026,'Species Codes'!B:I,8,0)*(((((E2026*2.54)+VLOOKUP(D2026,'Species Codes'!B:J,9,0))/VLOOKUP(D2026,'Species Codes'!B:K,10,0))^VLOOKUP(D2026,'Species Codes'!B:L,11,0))*((I2026*0.3048)^VLOOKUP(D2026,'Species Codes'!B:M,12,0))))-(VLOOKUP(D2026,'Species Codes'!B:I,8,0)*((((E2026*2.54)^VLOOKUP(D2026,'Species Codes'!B:L,11,0))*((I2026*0.3048)^VLOOKUP(D2026,'Species Codes'!B:M,12,0))))))*35.3*VLOOKUP(D2026,'Species Codes'!B:G,6,0)/2.2046,VLOOKUP(D2026,'Species Codes'!B:I,8,0)+VLOOKUP(D2026,'Species Codes'!B:J,9,0)*(((E2026*2.54)/100)^2)*(I2026*0.3048)))))*0.0011023),0)</f>
        <v>#N/A</v>
      </c>
      <c r="AC2026" s="104" t="e">
        <f>IF(Z2026&gt;0,((IF(OR(D2026="RA",D2026="OA",D2026="OT",D2026="UN",D2026="PC"),EXP(VLOOKUP(D2026,'Species Codes'!B:O,14,0)+VLOOKUP(D2026,'Species Codes'!B:P,15,0)*LN((E2026*2.54)))-EXP(VLOOKUP(D2026,'Species Codes'!B:O,14,0)+VLOOKUP(D2026,'Species Codes'!B:P,15,0)*LN((E2026*2.54)))*(1/(VLOOKUP(D2026,'Species Codes'!B:Q,16,0)+VLOOKUP(D2026,'Species Codes'!B:R,17,0)*((E2026*2.54)^VLOOKUP(D2026,'Species Codes'!B:S,18,0)))),IF(OR(D2026="BM",D2026="MD",D2026="OA"),EXP(VLOOKUP(D2026,'Species Codes'!B:O,14,0)+VLOOKUP(D2026,'Species Codes'!B:P,15,0)*LN((E2026*2.54)))*(1-(1/(VLOOKUP(D2026,'Species Codes'!B:Q,16,0)+VLOOKUP(D2026,'Species Codes'!B:R,17,0)*((E2026*2.54)^VLOOKUP(D2026,'Species Codes'!B:S,18,0)))))/1000,IF(D2026="DF",EXP(VLOOKUP(D2026,'Species Codes'!B:O,14,0)+VLOOKUP(D2026,'Species Codes'!B:P,15,0)*LN((E2026*2.54))),VLOOKUP(D2026,'Species Codes'!B:O,14,0)+VLOOKUP(D2026,'Species Codes'!B:P,15,0)*(((E2026*2.54)/100)^2)*(I2026*0.3048)))))*0.0011023),0)</f>
        <v>#N/A</v>
      </c>
      <c r="AD2026" s="104" t="e">
        <f t="shared" si="895"/>
        <v>#N/A</v>
      </c>
      <c r="AE2026" s="104" t="e">
        <f t="shared" si="896"/>
        <v>#N/A</v>
      </c>
      <c r="AF2026" s="104" t="e">
        <f>IF(AND(VLOOKUP($D2026,Merchantability!$B:$C,2,0)="Yes",$E2026&gt;=VLOOKUP($D2026,Merchantability!$B:$D,3,0),$E2026&lt;=VLOOKUP($D2026,Merchantability!$B:$E,4,0)),AA2026,0)</f>
        <v>#N/A</v>
      </c>
      <c r="AG2026" s="104" t="e">
        <f>IF(AND(VLOOKUP($D2026,Merchantability!$B:$C,2,0)="Yes",$E2026&gt;=VLOOKUP($D2026,Merchantability!$B:$D,3,0),$E2026&lt;=VLOOKUP($D2026,Merchantability!$B:$E,4,0)),AB2026,0)</f>
        <v>#N/A</v>
      </c>
      <c r="AH2026" s="104" t="e">
        <f>IF(AND(VLOOKUP($D2026,Merchantability!$B:$C,2,0)="Yes",$E2026&gt;=VLOOKUP($D2026,Merchantability!$B:$D,3,0),$E2026&lt;=VLOOKUP($D2026,Merchantability!$B:$E,4,0)),AC2026,0)</f>
        <v>#N/A</v>
      </c>
      <c r="AI2026" s="104" t="e">
        <f t="shared" si="897"/>
        <v>#N/A</v>
      </c>
      <c r="AJ2026" s="104" t="e">
        <f t="shared" si="898"/>
        <v>#VALUE!</v>
      </c>
      <c r="AK2026" s="104" t="e">
        <f t="shared" si="899"/>
        <v>#N/A</v>
      </c>
      <c r="AL2026" s="104" t="e">
        <f t="shared" si="900"/>
        <v>#N/A</v>
      </c>
      <c r="AM2026" s="104" t="e">
        <f t="shared" si="901"/>
        <v>#N/A</v>
      </c>
      <c r="AN2026" s="104" t="e">
        <f t="shared" si="885"/>
        <v>#N/A</v>
      </c>
      <c r="AO2026" s="104" t="e">
        <f t="shared" si="886"/>
        <v>#N/A</v>
      </c>
      <c r="AP2026" s="104" t="e">
        <f t="shared" si="887"/>
        <v>#N/A</v>
      </c>
      <c r="AQ2026" s="104" t="e">
        <f t="shared" si="888"/>
        <v>#N/A</v>
      </c>
      <c r="AR2026" s="105" t="str">
        <f t="shared" si="880"/>
        <v/>
      </c>
      <c r="AS2026" s="105" t="str">
        <f t="shared" si="881"/>
        <v/>
      </c>
      <c r="AT2026" s="108" t="str">
        <f t="shared" si="882"/>
        <v/>
      </c>
      <c r="AU2026" s="108" t="str">
        <f t="shared" si="883"/>
        <v/>
      </c>
      <c r="AV2026" s="107" t="str">
        <f>IF(ISNUMBER(O2026),IF(VLOOKUP($A2026,Stand!C:J,8,FALSE)="Short",AT2026,AU2026),"")</f>
        <v/>
      </c>
      <c r="AW2026" s="109" t="str">
        <f t="shared" si="889"/>
        <v/>
      </c>
      <c r="AX2026" s="109" t="str">
        <f t="shared" si="890"/>
        <v/>
      </c>
      <c r="AY2026" s="112" t="str">
        <f>IF(ISNUMBER(O2026),IF(AND(VLOOKUP($D2026,Merchantability!$B:$C,2,0)="Yes",$E2026&gt;=VLOOKUP($D2026,Merchantability!$B:$D,3,0),$E2026&lt;=VLOOKUP($D2026,Merchantability!$B:$E,4,0)),(AV2026*O2026)*(1-$H2026/100),""),"")</f>
        <v/>
      </c>
      <c r="AZ2026" s="116"/>
      <c r="BA2026" s="116"/>
      <c r="BB2026" s="116"/>
      <c r="BE2026" s="62"/>
      <c r="BF2026" s="63"/>
    </row>
    <row r="2027" spans="1:58" ht="12.75" customHeight="1" x14ac:dyDescent="0.25">
      <c r="A2027" s="334"/>
      <c r="B2027" s="334"/>
      <c r="C2027" s="332"/>
      <c r="D2027" s="334"/>
      <c r="E2027" s="335"/>
      <c r="F2027" s="334"/>
      <c r="G2027" s="332"/>
      <c r="H2027" s="332"/>
      <c r="I2027" s="334"/>
      <c r="J2027" s="336"/>
      <c r="K2027" s="332"/>
      <c r="L2027" s="332"/>
      <c r="M2027" s="76"/>
      <c r="N2027" s="103" t="str">
        <f>IF(A2027="","",VLOOKUP(A2027,Stand!C:K,9,0))</f>
        <v/>
      </c>
      <c r="O2027" s="104" t="str">
        <f t="shared" si="875"/>
        <v/>
      </c>
      <c r="P2027" s="105" t="str">
        <f t="shared" si="876"/>
        <v/>
      </c>
      <c r="Q2027" s="105" t="str">
        <f t="shared" si="891"/>
        <v/>
      </c>
      <c r="R2027" s="103" t="str">
        <f t="shared" si="877"/>
        <v/>
      </c>
      <c r="S2027" s="103" t="str">
        <f t="shared" si="878"/>
        <v/>
      </c>
      <c r="T2027" s="106" t="str">
        <f t="shared" si="892"/>
        <v/>
      </c>
      <c r="U2027" s="106" t="str">
        <f t="shared" si="893"/>
        <v/>
      </c>
      <c r="V2027" s="106" t="str">
        <f t="shared" si="894"/>
        <v/>
      </c>
      <c r="W2027" s="105" t="str">
        <f t="shared" si="879"/>
        <v/>
      </c>
      <c r="X2027" s="104" t="str">
        <f t="shared" si="884"/>
        <v/>
      </c>
      <c r="Y2027" s="104" t="str">
        <f t="array" ref="Y2027">IFERROR(IF(ISNUMBER(O2027),IF(COUNT(IF(A2027=$A$2:$A$2427,IF(D2027=$D$2:$D$2427,IF($X$2:$X$2427&gt;0,1))))&gt;0,SUM(IF(A2027=$A$2:$A$2427,IF(D2027=$D$2:$D$2427,$X$2:$X$2427)))/COUNT(IF(A2027=$A$2:$A$2427,IF(D2027=$D$2:$D$2427,IF(ISNUMBER($X$2:$X$2427),1)))),0),""),0)</f>
        <v/>
      </c>
      <c r="Z2027" s="104" t="str">
        <f>IF(ISNUMBER(O2027),IF(I2027&gt;0,(10^(VLOOKUP(D2027,'Species Codes'!B:C,2,0)+VLOOKUP(D2027,'Species Codes'!B:D,3,0)*LOG(E2027)+VLOOKUP(D2027,'Species Codes'!B:E,4,0)*LOG(I2027))),0),"")</f>
        <v/>
      </c>
      <c r="AA2027" s="104" t="str">
        <f>IFERROR((VLOOKUP(D2027,'Species Codes'!B:G,6,0)*Z2027)/2000,"")</f>
        <v/>
      </c>
      <c r="AB2027" s="104" t="e">
        <f>IF(Z2027&gt;0,((IF(OR(D2027="DF",D2027="RA")=TRUE,EXP(VLOOKUP(D2027,'Species Codes'!B:I,8,0)+VLOOKUP(D2027,'Species Codes'!B:J,9,0)*(LN((E2027*2.54)))),IF(OR(D2027="PY",D2027="RC",D2027="WH",D2027="NF")=TRUE,VLOOKUP(D2027,'Species Codes'!B:I,8,0)+VLOOKUP(D2027,'Species Codes'!B:J,9,0)*((E2027*2.54)^2)*(I2027*0.3048),IF(OR(D2027="MD",D2027="BM",D2027="GA")=TRUE,((VLOOKUP(D2027,'Species Codes'!B:I,8,0)*(((((E2027*2.54)+VLOOKUP(D2027,'Species Codes'!B:J,9,0))/VLOOKUP(D2027,'Species Codes'!B:K,10,0))^VLOOKUP(D2027,'Species Codes'!B:L,11,0))*((I2027*0.3048)^VLOOKUP(D2027,'Species Codes'!B:M,12,0))))-(VLOOKUP(D2027,'Species Codes'!B:I,8,0)*((((E2027*2.54)^VLOOKUP(D2027,'Species Codes'!B:L,11,0))*((I2027*0.3048)^VLOOKUP(D2027,'Species Codes'!B:M,12,0))))))*35.3*VLOOKUP(D2027,'Species Codes'!B:G,6,0)/2.2046,VLOOKUP(D2027,'Species Codes'!B:I,8,0)+VLOOKUP(D2027,'Species Codes'!B:J,9,0)*(((E2027*2.54)/100)^2)*(I2027*0.3048)))))*0.0011023),0)</f>
        <v>#N/A</v>
      </c>
      <c r="AC2027" s="104" t="e">
        <f>IF(Z2027&gt;0,((IF(OR(D2027="RA",D2027="OA",D2027="OT",D2027="UN",D2027="PC"),EXP(VLOOKUP(D2027,'Species Codes'!B:O,14,0)+VLOOKUP(D2027,'Species Codes'!B:P,15,0)*LN((E2027*2.54)))-EXP(VLOOKUP(D2027,'Species Codes'!B:O,14,0)+VLOOKUP(D2027,'Species Codes'!B:P,15,0)*LN((E2027*2.54)))*(1/(VLOOKUP(D2027,'Species Codes'!B:Q,16,0)+VLOOKUP(D2027,'Species Codes'!B:R,17,0)*((E2027*2.54)^VLOOKUP(D2027,'Species Codes'!B:S,18,0)))),IF(OR(D2027="BM",D2027="MD",D2027="OA"),EXP(VLOOKUP(D2027,'Species Codes'!B:O,14,0)+VLOOKUP(D2027,'Species Codes'!B:P,15,0)*LN((E2027*2.54)))*(1-(1/(VLOOKUP(D2027,'Species Codes'!B:Q,16,0)+VLOOKUP(D2027,'Species Codes'!B:R,17,0)*((E2027*2.54)^VLOOKUP(D2027,'Species Codes'!B:S,18,0)))))/1000,IF(D2027="DF",EXP(VLOOKUP(D2027,'Species Codes'!B:O,14,0)+VLOOKUP(D2027,'Species Codes'!B:P,15,0)*LN((E2027*2.54))),VLOOKUP(D2027,'Species Codes'!B:O,14,0)+VLOOKUP(D2027,'Species Codes'!B:P,15,0)*(((E2027*2.54)/100)^2)*(I2027*0.3048)))))*0.0011023),0)</f>
        <v>#N/A</v>
      </c>
      <c r="AD2027" s="104" t="e">
        <f t="shared" si="895"/>
        <v>#N/A</v>
      </c>
      <c r="AE2027" s="104" t="e">
        <f t="shared" si="896"/>
        <v>#N/A</v>
      </c>
      <c r="AF2027" s="104" t="e">
        <f>IF(AND(VLOOKUP($D2027,Merchantability!$B:$C,2,0)="Yes",$E2027&gt;=VLOOKUP($D2027,Merchantability!$B:$D,3,0),$E2027&lt;=VLOOKUP($D2027,Merchantability!$B:$E,4,0)),AA2027,0)</f>
        <v>#N/A</v>
      </c>
      <c r="AG2027" s="104" t="e">
        <f>IF(AND(VLOOKUP($D2027,Merchantability!$B:$C,2,0)="Yes",$E2027&gt;=VLOOKUP($D2027,Merchantability!$B:$D,3,0),$E2027&lt;=VLOOKUP($D2027,Merchantability!$B:$E,4,0)),AB2027,0)</f>
        <v>#N/A</v>
      </c>
      <c r="AH2027" s="104" t="e">
        <f>IF(AND(VLOOKUP($D2027,Merchantability!$B:$C,2,0)="Yes",$E2027&gt;=VLOOKUP($D2027,Merchantability!$B:$D,3,0),$E2027&lt;=VLOOKUP($D2027,Merchantability!$B:$E,4,0)),AC2027,0)</f>
        <v>#N/A</v>
      </c>
      <c r="AI2027" s="104" t="e">
        <f t="shared" si="897"/>
        <v>#N/A</v>
      </c>
      <c r="AJ2027" s="104" t="e">
        <f t="shared" si="898"/>
        <v>#VALUE!</v>
      </c>
      <c r="AK2027" s="104" t="e">
        <f t="shared" si="899"/>
        <v>#N/A</v>
      </c>
      <c r="AL2027" s="104" t="e">
        <f t="shared" si="900"/>
        <v>#N/A</v>
      </c>
      <c r="AM2027" s="104" t="e">
        <f t="shared" si="901"/>
        <v>#N/A</v>
      </c>
      <c r="AN2027" s="104" t="e">
        <f t="shared" si="885"/>
        <v>#N/A</v>
      </c>
      <c r="AO2027" s="104" t="e">
        <f t="shared" si="886"/>
        <v>#N/A</v>
      </c>
      <c r="AP2027" s="104" t="e">
        <f t="shared" si="887"/>
        <v>#N/A</v>
      </c>
      <c r="AQ2027" s="104" t="e">
        <f t="shared" si="888"/>
        <v>#N/A</v>
      </c>
      <c r="AR2027" s="105" t="str">
        <f t="shared" si="880"/>
        <v/>
      </c>
      <c r="AS2027" s="105" t="str">
        <f t="shared" si="881"/>
        <v/>
      </c>
      <c r="AT2027" s="108" t="str">
        <f t="shared" si="882"/>
        <v/>
      </c>
      <c r="AU2027" s="108" t="str">
        <f t="shared" si="883"/>
        <v/>
      </c>
      <c r="AV2027" s="107" t="str">
        <f>IF(ISNUMBER(O2027),IF(VLOOKUP($A2027,Stand!C:J,8,FALSE)="Short",AT2027,AU2027),"")</f>
        <v/>
      </c>
      <c r="AW2027" s="109" t="str">
        <f t="shared" si="889"/>
        <v/>
      </c>
      <c r="AX2027" s="109" t="str">
        <f t="shared" si="890"/>
        <v/>
      </c>
      <c r="AY2027" s="112" t="str">
        <f>IF(ISNUMBER(O2027),IF(AND(VLOOKUP($D2027,Merchantability!$B:$C,2,0)="Yes",$E2027&gt;=VLOOKUP($D2027,Merchantability!$B:$D,3,0),$E2027&lt;=VLOOKUP($D2027,Merchantability!$B:$E,4,0)),(AV2027*O2027)*(1-$H2027/100),""),"")</f>
        <v/>
      </c>
      <c r="AZ2027" s="116"/>
      <c r="BA2027" s="116"/>
      <c r="BB2027" s="116"/>
      <c r="BE2027" s="62"/>
      <c r="BF2027" s="63"/>
    </row>
    <row r="2028" spans="1:58" ht="12.75" customHeight="1" x14ac:dyDescent="0.25">
      <c r="A2028" s="334"/>
      <c r="B2028" s="334"/>
      <c r="C2028" s="332"/>
      <c r="D2028" s="334"/>
      <c r="E2028" s="335"/>
      <c r="F2028" s="334"/>
      <c r="G2028" s="332"/>
      <c r="H2028" s="332"/>
      <c r="I2028" s="334"/>
      <c r="J2028" s="336"/>
      <c r="K2028" s="332"/>
      <c r="L2028" s="332"/>
      <c r="M2028" s="76"/>
      <c r="N2028" s="103" t="str">
        <f>IF(A2028="","",VLOOKUP(A2028,Stand!C:K,9,0))</f>
        <v/>
      </c>
      <c r="O2028" s="104" t="str">
        <f t="shared" si="875"/>
        <v/>
      </c>
      <c r="P2028" s="105" t="str">
        <f t="shared" si="876"/>
        <v/>
      </c>
      <c r="Q2028" s="105" t="str">
        <f t="shared" si="891"/>
        <v/>
      </c>
      <c r="R2028" s="103" t="str">
        <f t="shared" si="877"/>
        <v/>
      </c>
      <c r="S2028" s="103" t="str">
        <f t="shared" si="878"/>
        <v/>
      </c>
      <c r="T2028" s="106" t="str">
        <f t="shared" si="892"/>
        <v/>
      </c>
      <c r="U2028" s="106" t="str">
        <f t="shared" si="893"/>
        <v/>
      </c>
      <c r="V2028" s="106" t="str">
        <f t="shared" si="894"/>
        <v/>
      </c>
      <c r="W2028" s="105" t="str">
        <f t="shared" si="879"/>
        <v/>
      </c>
      <c r="X2028" s="104" t="str">
        <f t="shared" si="884"/>
        <v/>
      </c>
      <c r="Y2028" s="104" t="str">
        <f t="array" ref="Y2028">IFERROR(IF(ISNUMBER(O2028),IF(COUNT(IF(A2028=$A$2:$A$2427,IF(D2028=$D$2:$D$2427,IF($X$2:$X$2427&gt;0,1))))&gt;0,SUM(IF(A2028=$A$2:$A$2427,IF(D2028=$D$2:$D$2427,$X$2:$X$2427)))/COUNT(IF(A2028=$A$2:$A$2427,IF(D2028=$D$2:$D$2427,IF(ISNUMBER($X$2:$X$2427),1)))),0),""),0)</f>
        <v/>
      </c>
      <c r="Z2028" s="104" t="str">
        <f>IF(ISNUMBER(O2028),IF(I2028&gt;0,(10^(VLOOKUP(D2028,'Species Codes'!B:C,2,0)+VLOOKUP(D2028,'Species Codes'!B:D,3,0)*LOG(E2028)+VLOOKUP(D2028,'Species Codes'!B:E,4,0)*LOG(I2028))),0),"")</f>
        <v/>
      </c>
      <c r="AA2028" s="104" t="str">
        <f>IFERROR((VLOOKUP(D2028,'Species Codes'!B:G,6,0)*Z2028)/2000,"")</f>
        <v/>
      </c>
      <c r="AB2028" s="104" t="e">
        <f>IF(Z2028&gt;0,((IF(OR(D2028="DF",D2028="RA")=TRUE,EXP(VLOOKUP(D2028,'Species Codes'!B:I,8,0)+VLOOKUP(D2028,'Species Codes'!B:J,9,0)*(LN((E2028*2.54)))),IF(OR(D2028="PY",D2028="RC",D2028="WH",D2028="NF")=TRUE,VLOOKUP(D2028,'Species Codes'!B:I,8,0)+VLOOKUP(D2028,'Species Codes'!B:J,9,0)*((E2028*2.54)^2)*(I2028*0.3048),IF(OR(D2028="MD",D2028="BM",D2028="GA")=TRUE,((VLOOKUP(D2028,'Species Codes'!B:I,8,0)*(((((E2028*2.54)+VLOOKUP(D2028,'Species Codes'!B:J,9,0))/VLOOKUP(D2028,'Species Codes'!B:K,10,0))^VLOOKUP(D2028,'Species Codes'!B:L,11,0))*((I2028*0.3048)^VLOOKUP(D2028,'Species Codes'!B:M,12,0))))-(VLOOKUP(D2028,'Species Codes'!B:I,8,0)*((((E2028*2.54)^VLOOKUP(D2028,'Species Codes'!B:L,11,0))*((I2028*0.3048)^VLOOKUP(D2028,'Species Codes'!B:M,12,0))))))*35.3*VLOOKUP(D2028,'Species Codes'!B:G,6,0)/2.2046,VLOOKUP(D2028,'Species Codes'!B:I,8,0)+VLOOKUP(D2028,'Species Codes'!B:J,9,0)*(((E2028*2.54)/100)^2)*(I2028*0.3048)))))*0.0011023),0)</f>
        <v>#N/A</v>
      </c>
      <c r="AC2028" s="104" t="e">
        <f>IF(Z2028&gt;0,((IF(OR(D2028="RA",D2028="OA",D2028="OT",D2028="UN",D2028="PC"),EXP(VLOOKUP(D2028,'Species Codes'!B:O,14,0)+VLOOKUP(D2028,'Species Codes'!B:P,15,0)*LN((E2028*2.54)))-EXP(VLOOKUP(D2028,'Species Codes'!B:O,14,0)+VLOOKUP(D2028,'Species Codes'!B:P,15,0)*LN((E2028*2.54)))*(1/(VLOOKUP(D2028,'Species Codes'!B:Q,16,0)+VLOOKUP(D2028,'Species Codes'!B:R,17,0)*((E2028*2.54)^VLOOKUP(D2028,'Species Codes'!B:S,18,0)))),IF(OR(D2028="BM",D2028="MD",D2028="OA"),EXP(VLOOKUP(D2028,'Species Codes'!B:O,14,0)+VLOOKUP(D2028,'Species Codes'!B:P,15,0)*LN((E2028*2.54)))*(1-(1/(VLOOKUP(D2028,'Species Codes'!B:Q,16,0)+VLOOKUP(D2028,'Species Codes'!B:R,17,0)*((E2028*2.54)^VLOOKUP(D2028,'Species Codes'!B:S,18,0)))))/1000,IF(D2028="DF",EXP(VLOOKUP(D2028,'Species Codes'!B:O,14,0)+VLOOKUP(D2028,'Species Codes'!B:P,15,0)*LN((E2028*2.54))),VLOOKUP(D2028,'Species Codes'!B:O,14,0)+VLOOKUP(D2028,'Species Codes'!B:P,15,0)*(((E2028*2.54)/100)^2)*(I2028*0.3048)))))*0.0011023),0)</f>
        <v>#N/A</v>
      </c>
      <c r="AD2028" s="104" t="e">
        <f t="shared" si="895"/>
        <v>#N/A</v>
      </c>
      <c r="AE2028" s="104" t="e">
        <f t="shared" si="896"/>
        <v>#N/A</v>
      </c>
      <c r="AF2028" s="104" t="e">
        <f>IF(AND(VLOOKUP($D2028,Merchantability!$B:$C,2,0)="Yes",$E2028&gt;=VLOOKUP($D2028,Merchantability!$B:$D,3,0),$E2028&lt;=VLOOKUP($D2028,Merchantability!$B:$E,4,0)),AA2028,0)</f>
        <v>#N/A</v>
      </c>
      <c r="AG2028" s="104" t="e">
        <f>IF(AND(VLOOKUP($D2028,Merchantability!$B:$C,2,0)="Yes",$E2028&gt;=VLOOKUP($D2028,Merchantability!$B:$D,3,0),$E2028&lt;=VLOOKUP($D2028,Merchantability!$B:$E,4,0)),AB2028,0)</f>
        <v>#N/A</v>
      </c>
      <c r="AH2028" s="104" t="e">
        <f>IF(AND(VLOOKUP($D2028,Merchantability!$B:$C,2,0)="Yes",$E2028&gt;=VLOOKUP($D2028,Merchantability!$B:$D,3,0),$E2028&lt;=VLOOKUP($D2028,Merchantability!$B:$E,4,0)),AC2028,0)</f>
        <v>#N/A</v>
      </c>
      <c r="AI2028" s="104" t="e">
        <f t="shared" si="897"/>
        <v>#N/A</v>
      </c>
      <c r="AJ2028" s="104" t="e">
        <f t="shared" si="898"/>
        <v>#VALUE!</v>
      </c>
      <c r="AK2028" s="104" t="e">
        <f t="shared" si="899"/>
        <v>#N/A</v>
      </c>
      <c r="AL2028" s="104" t="e">
        <f t="shared" si="900"/>
        <v>#N/A</v>
      </c>
      <c r="AM2028" s="104" t="e">
        <f t="shared" si="901"/>
        <v>#N/A</v>
      </c>
      <c r="AN2028" s="104" t="e">
        <f t="shared" si="885"/>
        <v>#N/A</v>
      </c>
      <c r="AO2028" s="104" t="e">
        <f t="shared" si="886"/>
        <v>#N/A</v>
      </c>
      <c r="AP2028" s="104" t="e">
        <f t="shared" si="887"/>
        <v>#N/A</v>
      </c>
      <c r="AQ2028" s="104" t="e">
        <f t="shared" si="888"/>
        <v>#N/A</v>
      </c>
      <c r="AR2028" s="105" t="str">
        <f t="shared" si="880"/>
        <v/>
      </c>
      <c r="AS2028" s="105" t="str">
        <f t="shared" si="881"/>
        <v/>
      </c>
      <c r="AT2028" s="108" t="str">
        <f t="shared" si="882"/>
        <v/>
      </c>
      <c r="AU2028" s="108" t="str">
        <f t="shared" si="883"/>
        <v/>
      </c>
      <c r="AV2028" s="107" t="str">
        <f>IF(ISNUMBER(O2028),IF(VLOOKUP($A2028,Stand!C:J,8,FALSE)="Short",AT2028,AU2028),"")</f>
        <v/>
      </c>
      <c r="AW2028" s="109" t="str">
        <f t="shared" si="889"/>
        <v/>
      </c>
      <c r="AX2028" s="109" t="str">
        <f t="shared" si="890"/>
        <v/>
      </c>
      <c r="AY2028" s="112" t="str">
        <f>IF(ISNUMBER(O2028),IF(AND(VLOOKUP($D2028,Merchantability!$B:$C,2,0)="Yes",$E2028&gt;=VLOOKUP($D2028,Merchantability!$B:$D,3,0),$E2028&lt;=VLOOKUP($D2028,Merchantability!$B:$E,4,0)),(AV2028*O2028)*(1-$H2028/100),""),"")</f>
        <v/>
      </c>
      <c r="AZ2028" s="116"/>
      <c r="BA2028" s="116"/>
      <c r="BB2028" s="116"/>
      <c r="BE2028" s="62"/>
      <c r="BF2028" s="63"/>
    </row>
    <row r="2029" spans="1:58" ht="12.75" customHeight="1" x14ac:dyDescent="0.25">
      <c r="A2029" s="334"/>
      <c r="B2029" s="334"/>
      <c r="C2029" s="332"/>
      <c r="D2029" s="334"/>
      <c r="E2029" s="335"/>
      <c r="F2029" s="334"/>
      <c r="G2029" s="332"/>
      <c r="H2029" s="332"/>
      <c r="I2029" s="334"/>
      <c r="J2029" s="336"/>
      <c r="K2029" s="332"/>
      <c r="L2029" s="332"/>
      <c r="M2029" s="76"/>
      <c r="N2029" s="103" t="str">
        <f>IF(A2029="","",VLOOKUP(A2029,Stand!C:K,9,0))</f>
        <v/>
      </c>
      <c r="O2029" s="104" t="str">
        <f t="shared" si="875"/>
        <v/>
      </c>
      <c r="P2029" s="105" t="str">
        <f t="shared" si="876"/>
        <v/>
      </c>
      <c r="Q2029" s="105" t="str">
        <f t="shared" si="891"/>
        <v/>
      </c>
      <c r="R2029" s="103" t="str">
        <f t="shared" si="877"/>
        <v/>
      </c>
      <c r="S2029" s="103" t="str">
        <f t="shared" si="878"/>
        <v/>
      </c>
      <c r="T2029" s="106" t="str">
        <f t="shared" si="892"/>
        <v/>
      </c>
      <c r="U2029" s="106" t="str">
        <f t="shared" si="893"/>
        <v/>
      </c>
      <c r="V2029" s="106" t="str">
        <f t="shared" si="894"/>
        <v/>
      </c>
      <c r="W2029" s="105" t="str">
        <f t="shared" si="879"/>
        <v/>
      </c>
      <c r="X2029" s="104" t="str">
        <f t="shared" si="884"/>
        <v/>
      </c>
      <c r="Y2029" s="104" t="str">
        <f t="array" ref="Y2029">IFERROR(IF(ISNUMBER(O2029),IF(COUNT(IF(A2029=$A$2:$A$2427,IF(D2029=$D$2:$D$2427,IF($X$2:$X$2427&gt;0,1))))&gt;0,SUM(IF(A2029=$A$2:$A$2427,IF(D2029=$D$2:$D$2427,$X$2:$X$2427)))/COUNT(IF(A2029=$A$2:$A$2427,IF(D2029=$D$2:$D$2427,IF(ISNUMBER($X$2:$X$2427),1)))),0),""),0)</f>
        <v/>
      </c>
      <c r="Z2029" s="104" t="str">
        <f>IF(ISNUMBER(O2029),IF(I2029&gt;0,(10^(VLOOKUP(D2029,'Species Codes'!B:C,2,0)+VLOOKUP(D2029,'Species Codes'!B:D,3,0)*LOG(E2029)+VLOOKUP(D2029,'Species Codes'!B:E,4,0)*LOG(I2029))),0),"")</f>
        <v/>
      </c>
      <c r="AA2029" s="104" t="str">
        <f>IFERROR((VLOOKUP(D2029,'Species Codes'!B:G,6,0)*Z2029)/2000,"")</f>
        <v/>
      </c>
      <c r="AB2029" s="104" t="e">
        <f>IF(Z2029&gt;0,((IF(OR(D2029="DF",D2029="RA")=TRUE,EXP(VLOOKUP(D2029,'Species Codes'!B:I,8,0)+VLOOKUP(D2029,'Species Codes'!B:J,9,0)*(LN((E2029*2.54)))),IF(OR(D2029="PY",D2029="RC",D2029="WH",D2029="NF")=TRUE,VLOOKUP(D2029,'Species Codes'!B:I,8,0)+VLOOKUP(D2029,'Species Codes'!B:J,9,0)*((E2029*2.54)^2)*(I2029*0.3048),IF(OR(D2029="MD",D2029="BM",D2029="GA")=TRUE,((VLOOKUP(D2029,'Species Codes'!B:I,8,0)*(((((E2029*2.54)+VLOOKUP(D2029,'Species Codes'!B:J,9,0))/VLOOKUP(D2029,'Species Codes'!B:K,10,0))^VLOOKUP(D2029,'Species Codes'!B:L,11,0))*((I2029*0.3048)^VLOOKUP(D2029,'Species Codes'!B:M,12,0))))-(VLOOKUP(D2029,'Species Codes'!B:I,8,0)*((((E2029*2.54)^VLOOKUP(D2029,'Species Codes'!B:L,11,0))*((I2029*0.3048)^VLOOKUP(D2029,'Species Codes'!B:M,12,0))))))*35.3*VLOOKUP(D2029,'Species Codes'!B:G,6,0)/2.2046,VLOOKUP(D2029,'Species Codes'!B:I,8,0)+VLOOKUP(D2029,'Species Codes'!B:J,9,0)*(((E2029*2.54)/100)^2)*(I2029*0.3048)))))*0.0011023),0)</f>
        <v>#N/A</v>
      </c>
      <c r="AC2029" s="104" t="e">
        <f>IF(Z2029&gt;0,((IF(OR(D2029="RA",D2029="OA",D2029="OT",D2029="UN",D2029="PC"),EXP(VLOOKUP(D2029,'Species Codes'!B:O,14,0)+VLOOKUP(D2029,'Species Codes'!B:P,15,0)*LN((E2029*2.54)))-EXP(VLOOKUP(D2029,'Species Codes'!B:O,14,0)+VLOOKUP(D2029,'Species Codes'!B:P,15,0)*LN((E2029*2.54)))*(1/(VLOOKUP(D2029,'Species Codes'!B:Q,16,0)+VLOOKUP(D2029,'Species Codes'!B:R,17,0)*((E2029*2.54)^VLOOKUP(D2029,'Species Codes'!B:S,18,0)))),IF(OR(D2029="BM",D2029="MD",D2029="OA"),EXP(VLOOKUP(D2029,'Species Codes'!B:O,14,0)+VLOOKUP(D2029,'Species Codes'!B:P,15,0)*LN((E2029*2.54)))*(1-(1/(VLOOKUP(D2029,'Species Codes'!B:Q,16,0)+VLOOKUP(D2029,'Species Codes'!B:R,17,0)*((E2029*2.54)^VLOOKUP(D2029,'Species Codes'!B:S,18,0)))))/1000,IF(D2029="DF",EXP(VLOOKUP(D2029,'Species Codes'!B:O,14,0)+VLOOKUP(D2029,'Species Codes'!B:P,15,0)*LN((E2029*2.54))),VLOOKUP(D2029,'Species Codes'!B:O,14,0)+VLOOKUP(D2029,'Species Codes'!B:P,15,0)*(((E2029*2.54)/100)^2)*(I2029*0.3048)))))*0.0011023),0)</f>
        <v>#N/A</v>
      </c>
      <c r="AD2029" s="104" t="e">
        <f t="shared" si="895"/>
        <v>#N/A</v>
      </c>
      <c r="AE2029" s="104" t="e">
        <f t="shared" si="896"/>
        <v>#N/A</v>
      </c>
      <c r="AF2029" s="104" t="e">
        <f>IF(AND(VLOOKUP($D2029,Merchantability!$B:$C,2,0)="Yes",$E2029&gt;=VLOOKUP($D2029,Merchantability!$B:$D,3,0),$E2029&lt;=VLOOKUP($D2029,Merchantability!$B:$E,4,0)),AA2029,0)</f>
        <v>#N/A</v>
      </c>
      <c r="AG2029" s="104" t="e">
        <f>IF(AND(VLOOKUP($D2029,Merchantability!$B:$C,2,0)="Yes",$E2029&gt;=VLOOKUP($D2029,Merchantability!$B:$D,3,0),$E2029&lt;=VLOOKUP($D2029,Merchantability!$B:$E,4,0)),AB2029,0)</f>
        <v>#N/A</v>
      </c>
      <c r="AH2029" s="104" t="e">
        <f>IF(AND(VLOOKUP($D2029,Merchantability!$B:$C,2,0)="Yes",$E2029&gt;=VLOOKUP($D2029,Merchantability!$B:$D,3,0),$E2029&lt;=VLOOKUP($D2029,Merchantability!$B:$E,4,0)),AC2029,0)</f>
        <v>#N/A</v>
      </c>
      <c r="AI2029" s="104" t="e">
        <f t="shared" si="897"/>
        <v>#N/A</v>
      </c>
      <c r="AJ2029" s="104" t="e">
        <f t="shared" si="898"/>
        <v>#VALUE!</v>
      </c>
      <c r="AK2029" s="104" t="e">
        <f t="shared" si="899"/>
        <v>#N/A</v>
      </c>
      <c r="AL2029" s="104" t="e">
        <f t="shared" si="900"/>
        <v>#N/A</v>
      </c>
      <c r="AM2029" s="104" t="e">
        <f t="shared" si="901"/>
        <v>#N/A</v>
      </c>
      <c r="AN2029" s="104" t="e">
        <f t="shared" si="885"/>
        <v>#N/A</v>
      </c>
      <c r="AO2029" s="104" t="e">
        <f t="shared" si="886"/>
        <v>#N/A</v>
      </c>
      <c r="AP2029" s="104" t="e">
        <f t="shared" si="887"/>
        <v>#N/A</v>
      </c>
      <c r="AQ2029" s="104" t="e">
        <f t="shared" si="888"/>
        <v>#N/A</v>
      </c>
      <c r="AR2029" s="105" t="str">
        <f t="shared" si="880"/>
        <v/>
      </c>
      <c r="AS2029" s="105" t="str">
        <f t="shared" si="881"/>
        <v/>
      </c>
      <c r="AT2029" s="108" t="str">
        <f t="shared" si="882"/>
        <v/>
      </c>
      <c r="AU2029" s="108" t="str">
        <f t="shared" si="883"/>
        <v/>
      </c>
      <c r="AV2029" s="107" t="str">
        <f>IF(ISNUMBER(O2029),IF(VLOOKUP($A2029,Stand!C:J,8,FALSE)="Short",AT2029,AU2029),"")</f>
        <v/>
      </c>
      <c r="AW2029" s="109" t="str">
        <f t="shared" si="889"/>
        <v/>
      </c>
      <c r="AX2029" s="109" t="str">
        <f t="shared" si="890"/>
        <v/>
      </c>
      <c r="AY2029" s="112" t="str">
        <f>IF(ISNUMBER(O2029),IF(AND(VLOOKUP($D2029,Merchantability!$B:$C,2,0)="Yes",$E2029&gt;=VLOOKUP($D2029,Merchantability!$B:$D,3,0),$E2029&lt;=VLOOKUP($D2029,Merchantability!$B:$E,4,0)),(AV2029*O2029)*(1-$H2029/100),""),"")</f>
        <v/>
      </c>
      <c r="AZ2029" s="116"/>
      <c r="BA2029" s="116"/>
      <c r="BB2029" s="116"/>
      <c r="BE2029" s="62"/>
      <c r="BF2029" s="63"/>
    </row>
    <row r="2030" spans="1:58" ht="12.75" customHeight="1" x14ac:dyDescent="0.25">
      <c r="A2030" s="334"/>
      <c r="B2030" s="334"/>
      <c r="C2030" s="332"/>
      <c r="D2030" s="334"/>
      <c r="E2030" s="335"/>
      <c r="F2030" s="334"/>
      <c r="G2030" s="332"/>
      <c r="H2030" s="332"/>
      <c r="I2030" s="334"/>
      <c r="J2030" s="336"/>
      <c r="K2030" s="332"/>
      <c r="L2030" s="332"/>
      <c r="M2030" s="76"/>
      <c r="N2030" s="103" t="str">
        <f>IF(A2030="","",VLOOKUP(A2030,Stand!C:K,9,0))</f>
        <v/>
      </c>
      <c r="O2030" s="104" t="str">
        <f t="shared" si="875"/>
        <v/>
      </c>
      <c r="P2030" s="105" t="str">
        <f t="shared" si="876"/>
        <v/>
      </c>
      <c r="Q2030" s="105" t="str">
        <f t="shared" si="891"/>
        <v/>
      </c>
      <c r="R2030" s="103" t="str">
        <f t="shared" si="877"/>
        <v/>
      </c>
      <c r="S2030" s="103" t="str">
        <f t="shared" si="878"/>
        <v/>
      </c>
      <c r="T2030" s="106" t="str">
        <f t="shared" si="892"/>
        <v/>
      </c>
      <c r="U2030" s="106" t="str">
        <f t="shared" si="893"/>
        <v/>
      </c>
      <c r="V2030" s="106" t="str">
        <f t="shared" si="894"/>
        <v/>
      </c>
      <c r="W2030" s="105" t="str">
        <f t="shared" si="879"/>
        <v/>
      </c>
      <c r="X2030" s="104" t="str">
        <f t="shared" si="884"/>
        <v/>
      </c>
      <c r="Y2030" s="104" t="str">
        <f t="array" ref="Y2030">IFERROR(IF(ISNUMBER(O2030),IF(COUNT(IF(A2030=$A$2:$A$2427,IF(D2030=$D$2:$D$2427,IF($X$2:$X$2427&gt;0,1))))&gt;0,SUM(IF(A2030=$A$2:$A$2427,IF(D2030=$D$2:$D$2427,$X$2:$X$2427)))/COUNT(IF(A2030=$A$2:$A$2427,IF(D2030=$D$2:$D$2427,IF(ISNUMBER($X$2:$X$2427),1)))),0),""),0)</f>
        <v/>
      </c>
      <c r="Z2030" s="104" t="str">
        <f>IF(ISNUMBER(O2030),IF(I2030&gt;0,(10^(VLOOKUP(D2030,'Species Codes'!B:C,2,0)+VLOOKUP(D2030,'Species Codes'!B:D,3,0)*LOG(E2030)+VLOOKUP(D2030,'Species Codes'!B:E,4,0)*LOG(I2030))),0),"")</f>
        <v/>
      </c>
      <c r="AA2030" s="104" t="str">
        <f>IFERROR((VLOOKUP(D2030,'Species Codes'!B:G,6,0)*Z2030)/2000,"")</f>
        <v/>
      </c>
      <c r="AB2030" s="104" t="e">
        <f>IF(Z2030&gt;0,((IF(OR(D2030="DF",D2030="RA")=TRUE,EXP(VLOOKUP(D2030,'Species Codes'!B:I,8,0)+VLOOKUP(D2030,'Species Codes'!B:J,9,0)*(LN((E2030*2.54)))),IF(OR(D2030="PY",D2030="RC",D2030="WH",D2030="NF")=TRUE,VLOOKUP(D2030,'Species Codes'!B:I,8,0)+VLOOKUP(D2030,'Species Codes'!B:J,9,0)*((E2030*2.54)^2)*(I2030*0.3048),IF(OR(D2030="MD",D2030="BM",D2030="GA")=TRUE,((VLOOKUP(D2030,'Species Codes'!B:I,8,0)*(((((E2030*2.54)+VLOOKUP(D2030,'Species Codes'!B:J,9,0))/VLOOKUP(D2030,'Species Codes'!B:K,10,0))^VLOOKUP(D2030,'Species Codes'!B:L,11,0))*((I2030*0.3048)^VLOOKUP(D2030,'Species Codes'!B:M,12,0))))-(VLOOKUP(D2030,'Species Codes'!B:I,8,0)*((((E2030*2.54)^VLOOKUP(D2030,'Species Codes'!B:L,11,0))*((I2030*0.3048)^VLOOKUP(D2030,'Species Codes'!B:M,12,0))))))*35.3*VLOOKUP(D2030,'Species Codes'!B:G,6,0)/2.2046,VLOOKUP(D2030,'Species Codes'!B:I,8,0)+VLOOKUP(D2030,'Species Codes'!B:J,9,0)*(((E2030*2.54)/100)^2)*(I2030*0.3048)))))*0.0011023),0)</f>
        <v>#N/A</v>
      </c>
      <c r="AC2030" s="104" t="e">
        <f>IF(Z2030&gt;0,((IF(OR(D2030="RA",D2030="OA",D2030="OT",D2030="UN",D2030="PC"),EXP(VLOOKUP(D2030,'Species Codes'!B:O,14,0)+VLOOKUP(D2030,'Species Codes'!B:P,15,0)*LN((E2030*2.54)))-EXP(VLOOKUP(D2030,'Species Codes'!B:O,14,0)+VLOOKUP(D2030,'Species Codes'!B:P,15,0)*LN((E2030*2.54)))*(1/(VLOOKUP(D2030,'Species Codes'!B:Q,16,0)+VLOOKUP(D2030,'Species Codes'!B:R,17,0)*((E2030*2.54)^VLOOKUP(D2030,'Species Codes'!B:S,18,0)))),IF(OR(D2030="BM",D2030="MD",D2030="OA"),EXP(VLOOKUP(D2030,'Species Codes'!B:O,14,0)+VLOOKUP(D2030,'Species Codes'!B:P,15,0)*LN((E2030*2.54)))*(1-(1/(VLOOKUP(D2030,'Species Codes'!B:Q,16,0)+VLOOKUP(D2030,'Species Codes'!B:R,17,0)*((E2030*2.54)^VLOOKUP(D2030,'Species Codes'!B:S,18,0)))))/1000,IF(D2030="DF",EXP(VLOOKUP(D2030,'Species Codes'!B:O,14,0)+VLOOKUP(D2030,'Species Codes'!B:P,15,0)*LN((E2030*2.54))),VLOOKUP(D2030,'Species Codes'!B:O,14,0)+VLOOKUP(D2030,'Species Codes'!B:P,15,0)*(((E2030*2.54)/100)^2)*(I2030*0.3048)))))*0.0011023),0)</f>
        <v>#N/A</v>
      </c>
      <c r="AD2030" s="104" t="e">
        <f t="shared" si="895"/>
        <v>#N/A</v>
      </c>
      <c r="AE2030" s="104" t="e">
        <f t="shared" si="896"/>
        <v>#N/A</v>
      </c>
      <c r="AF2030" s="104" t="e">
        <f>IF(AND(VLOOKUP($D2030,Merchantability!$B:$C,2,0)="Yes",$E2030&gt;=VLOOKUP($D2030,Merchantability!$B:$D,3,0),$E2030&lt;=VLOOKUP($D2030,Merchantability!$B:$E,4,0)),AA2030,0)</f>
        <v>#N/A</v>
      </c>
      <c r="AG2030" s="104" t="e">
        <f>IF(AND(VLOOKUP($D2030,Merchantability!$B:$C,2,0)="Yes",$E2030&gt;=VLOOKUP($D2030,Merchantability!$B:$D,3,0),$E2030&lt;=VLOOKUP($D2030,Merchantability!$B:$E,4,0)),AB2030,0)</f>
        <v>#N/A</v>
      </c>
      <c r="AH2030" s="104" t="e">
        <f>IF(AND(VLOOKUP($D2030,Merchantability!$B:$C,2,0)="Yes",$E2030&gt;=VLOOKUP($D2030,Merchantability!$B:$D,3,0),$E2030&lt;=VLOOKUP($D2030,Merchantability!$B:$E,4,0)),AC2030,0)</f>
        <v>#N/A</v>
      </c>
      <c r="AI2030" s="104" t="e">
        <f t="shared" si="897"/>
        <v>#N/A</v>
      </c>
      <c r="AJ2030" s="104" t="e">
        <f t="shared" si="898"/>
        <v>#VALUE!</v>
      </c>
      <c r="AK2030" s="104" t="e">
        <f t="shared" si="899"/>
        <v>#N/A</v>
      </c>
      <c r="AL2030" s="104" t="e">
        <f t="shared" si="900"/>
        <v>#N/A</v>
      </c>
      <c r="AM2030" s="104" t="e">
        <f t="shared" si="901"/>
        <v>#N/A</v>
      </c>
      <c r="AN2030" s="104" t="e">
        <f t="shared" si="885"/>
        <v>#N/A</v>
      </c>
      <c r="AO2030" s="104" t="e">
        <f t="shared" si="886"/>
        <v>#N/A</v>
      </c>
      <c r="AP2030" s="104" t="e">
        <f t="shared" si="887"/>
        <v>#N/A</v>
      </c>
      <c r="AQ2030" s="104" t="e">
        <f t="shared" si="888"/>
        <v>#N/A</v>
      </c>
      <c r="AR2030" s="105" t="str">
        <f t="shared" si="880"/>
        <v/>
      </c>
      <c r="AS2030" s="105" t="str">
        <f t="shared" si="881"/>
        <v/>
      </c>
      <c r="AT2030" s="108" t="str">
        <f t="shared" si="882"/>
        <v/>
      </c>
      <c r="AU2030" s="108" t="str">
        <f t="shared" si="883"/>
        <v/>
      </c>
      <c r="AV2030" s="107" t="str">
        <f>IF(ISNUMBER(O2030),IF(VLOOKUP($A2030,Stand!C:J,8,FALSE)="Short",AT2030,AU2030),"")</f>
        <v/>
      </c>
      <c r="AW2030" s="109" t="str">
        <f t="shared" si="889"/>
        <v/>
      </c>
      <c r="AX2030" s="109" t="str">
        <f t="shared" si="890"/>
        <v/>
      </c>
      <c r="AY2030" s="112" t="str">
        <f>IF(ISNUMBER(O2030),IF(AND(VLOOKUP($D2030,Merchantability!$B:$C,2,0)="Yes",$E2030&gt;=VLOOKUP($D2030,Merchantability!$B:$D,3,0),$E2030&lt;=VLOOKUP($D2030,Merchantability!$B:$E,4,0)),(AV2030*O2030)*(1-$H2030/100),""),"")</f>
        <v/>
      </c>
      <c r="AZ2030" s="116"/>
      <c r="BA2030" s="116"/>
      <c r="BB2030" s="116"/>
      <c r="BE2030" s="62"/>
      <c r="BF2030" s="63"/>
    </row>
    <row r="2031" spans="1:58" ht="12.75" customHeight="1" x14ac:dyDescent="0.25">
      <c r="A2031" s="334"/>
      <c r="B2031" s="334"/>
      <c r="C2031" s="332"/>
      <c r="D2031" s="334"/>
      <c r="E2031" s="335"/>
      <c r="F2031" s="334"/>
      <c r="G2031" s="332"/>
      <c r="H2031" s="332"/>
      <c r="I2031" s="334"/>
      <c r="J2031" s="336"/>
      <c r="K2031" s="332"/>
      <c r="L2031" s="332"/>
      <c r="M2031" s="76"/>
      <c r="N2031" s="103" t="str">
        <f>IF(A2031="","",VLOOKUP(A2031,Stand!C:K,9,0))</f>
        <v/>
      </c>
      <c r="O2031" s="104" t="str">
        <f t="shared" si="875"/>
        <v/>
      </c>
      <c r="P2031" s="105" t="str">
        <f t="shared" si="876"/>
        <v/>
      </c>
      <c r="Q2031" s="105" t="str">
        <f t="shared" si="891"/>
        <v/>
      </c>
      <c r="R2031" s="103" t="str">
        <f t="shared" si="877"/>
        <v/>
      </c>
      <c r="S2031" s="103" t="str">
        <f t="shared" si="878"/>
        <v/>
      </c>
      <c r="T2031" s="106" t="str">
        <f t="shared" si="892"/>
        <v/>
      </c>
      <c r="U2031" s="106" t="str">
        <f t="shared" si="893"/>
        <v/>
      </c>
      <c r="V2031" s="106" t="str">
        <f t="shared" si="894"/>
        <v/>
      </c>
      <c r="W2031" s="105" t="str">
        <f t="shared" si="879"/>
        <v/>
      </c>
      <c r="X2031" s="104" t="str">
        <f t="shared" si="884"/>
        <v/>
      </c>
      <c r="Y2031" s="104" t="str">
        <f t="array" ref="Y2031">IFERROR(IF(ISNUMBER(O2031),IF(COUNT(IF(A2031=$A$2:$A$2427,IF(D2031=$D$2:$D$2427,IF($X$2:$X$2427&gt;0,1))))&gt;0,SUM(IF(A2031=$A$2:$A$2427,IF(D2031=$D$2:$D$2427,$X$2:$X$2427)))/COUNT(IF(A2031=$A$2:$A$2427,IF(D2031=$D$2:$D$2427,IF(ISNUMBER($X$2:$X$2427),1)))),0),""),0)</f>
        <v/>
      </c>
      <c r="Z2031" s="104" t="str">
        <f>IF(ISNUMBER(O2031),IF(I2031&gt;0,(10^(VLOOKUP(D2031,'Species Codes'!B:C,2,0)+VLOOKUP(D2031,'Species Codes'!B:D,3,0)*LOG(E2031)+VLOOKUP(D2031,'Species Codes'!B:E,4,0)*LOG(I2031))),0),"")</f>
        <v/>
      </c>
      <c r="AA2031" s="104" t="str">
        <f>IFERROR((VLOOKUP(D2031,'Species Codes'!B:G,6,0)*Z2031)/2000,"")</f>
        <v/>
      </c>
      <c r="AB2031" s="104" t="e">
        <f>IF(Z2031&gt;0,((IF(OR(D2031="DF",D2031="RA")=TRUE,EXP(VLOOKUP(D2031,'Species Codes'!B:I,8,0)+VLOOKUP(D2031,'Species Codes'!B:J,9,0)*(LN((E2031*2.54)))),IF(OR(D2031="PY",D2031="RC",D2031="WH",D2031="NF")=TRUE,VLOOKUP(D2031,'Species Codes'!B:I,8,0)+VLOOKUP(D2031,'Species Codes'!B:J,9,0)*((E2031*2.54)^2)*(I2031*0.3048),IF(OR(D2031="MD",D2031="BM",D2031="GA")=TRUE,((VLOOKUP(D2031,'Species Codes'!B:I,8,0)*(((((E2031*2.54)+VLOOKUP(D2031,'Species Codes'!B:J,9,0))/VLOOKUP(D2031,'Species Codes'!B:K,10,0))^VLOOKUP(D2031,'Species Codes'!B:L,11,0))*((I2031*0.3048)^VLOOKUP(D2031,'Species Codes'!B:M,12,0))))-(VLOOKUP(D2031,'Species Codes'!B:I,8,0)*((((E2031*2.54)^VLOOKUP(D2031,'Species Codes'!B:L,11,0))*((I2031*0.3048)^VLOOKUP(D2031,'Species Codes'!B:M,12,0))))))*35.3*VLOOKUP(D2031,'Species Codes'!B:G,6,0)/2.2046,VLOOKUP(D2031,'Species Codes'!B:I,8,0)+VLOOKUP(D2031,'Species Codes'!B:J,9,0)*(((E2031*2.54)/100)^2)*(I2031*0.3048)))))*0.0011023),0)</f>
        <v>#N/A</v>
      </c>
      <c r="AC2031" s="104" t="e">
        <f>IF(Z2031&gt;0,((IF(OR(D2031="RA",D2031="OA",D2031="OT",D2031="UN",D2031="PC"),EXP(VLOOKUP(D2031,'Species Codes'!B:O,14,0)+VLOOKUP(D2031,'Species Codes'!B:P,15,0)*LN((E2031*2.54)))-EXP(VLOOKUP(D2031,'Species Codes'!B:O,14,0)+VLOOKUP(D2031,'Species Codes'!B:P,15,0)*LN((E2031*2.54)))*(1/(VLOOKUP(D2031,'Species Codes'!B:Q,16,0)+VLOOKUP(D2031,'Species Codes'!B:R,17,0)*((E2031*2.54)^VLOOKUP(D2031,'Species Codes'!B:S,18,0)))),IF(OR(D2031="BM",D2031="MD",D2031="OA"),EXP(VLOOKUP(D2031,'Species Codes'!B:O,14,0)+VLOOKUP(D2031,'Species Codes'!B:P,15,0)*LN((E2031*2.54)))*(1-(1/(VLOOKUP(D2031,'Species Codes'!B:Q,16,0)+VLOOKUP(D2031,'Species Codes'!B:R,17,0)*((E2031*2.54)^VLOOKUP(D2031,'Species Codes'!B:S,18,0)))))/1000,IF(D2031="DF",EXP(VLOOKUP(D2031,'Species Codes'!B:O,14,0)+VLOOKUP(D2031,'Species Codes'!B:P,15,0)*LN((E2031*2.54))),VLOOKUP(D2031,'Species Codes'!B:O,14,0)+VLOOKUP(D2031,'Species Codes'!B:P,15,0)*(((E2031*2.54)/100)^2)*(I2031*0.3048)))))*0.0011023),0)</f>
        <v>#N/A</v>
      </c>
      <c r="AD2031" s="104" t="e">
        <f t="shared" si="895"/>
        <v>#N/A</v>
      </c>
      <c r="AE2031" s="104" t="e">
        <f t="shared" si="896"/>
        <v>#N/A</v>
      </c>
      <c r="AF2031" s="104" t="e">
        <f>IF(AND(VLOOKUP($D2031,Merchantability!$B:$C,2,0)="Yes",$E2031&gt;=VLOOKUP($D2031,Merchantability!$B:$D,3,0),$E2031&lt;=VLOOKUP($D2031,Merchantability!$B:$E,4,0)),AA2031,0)</f>
        <v>#N/A</v>
      </c>
      <c r="AG2031" s="104" t="e">
        <f>IF(AND(VLOOKUP($D2031,Merchantability!$B:$C,2,0)="Yes",$E2031&gt;=VLOOKUP($D2031,Merchantability!$B:$D,3,0),$E2031&lt;=VLOOKUP($D2031,Merchantability!$B:$E,4,0)),AB2031,0)</f>
        <v>#N/A</v>
      </c>
      <c r="AH2031" s="104" t="e">
        <f>IF(AND(VLOOKUP($D2031,Merchantability!$B:$C,2,0)="Yes",$E2031&gt;=VLOOKUP($D2031,Merchantability!$B:$D,3,0),$E2031&lt;=VLOOKUP($D2031,Merchantability!$B:$E,4,0)),AC2031,0)</f>
        <v>#N/A</v>
      </c>
      <c r="AI2031" s="104" t="e">
        <f t="shared" si="897"/>
        <v>#N/A</v>
      </c>
      <c r="AJ2031" s="104" t="e">
        <f t="shared" si="898"/>
        <v>#VALUE!</v>
      </c>
      <c r="AK2031" s="104" t="e">
        <f t="shared" si="899"/>
        <v>#N/A</v>
      </c>
      <c r="AL2031" s="104" t="e">
        <f t="shared" si="900"/>
        <v>#N/A</v>
      </c>
      <c r="AM2031" s="104" t="e">
        <f t="shared" si="901"/>
        <v>#N/A</v>
      </c>
      <c r="AN2031" s="104" t="e">
        <f t="shared" si="885"/>
        <v>#N/A</v>
      </c>
      <c r="AO2031" s="104" t="e">
        <f t="shared" si="886"/>
        <v>#N/A</v>
      </c>
      <c r="AP2031" s="104" t="e">
        <f t="shared" si="887"/>
        <v>#N/A</v>
      </c>
      <c r="AQ2031" s="104" t="e">
        <f t="shared" si="888"/>
        <v>#N/A</v>
      </c>
      <c r="AR2031" s="105" t="str">
        <f t="shared" si="880"/>
        <v/>
      </c>
      <c r="AS2031" s="105" t="str">
        <f t="shared" si="881"/>
        <v/>
      </c>
      <c r="AT2031" s="108" t="str">
        <f t="shared" si="882"/>
        <v/>
      </c>
      <c r="AU2031" s="108" t="str">
        <f t="shared" si="883"/>
        <v/>
      </c>
      <c r="AV2031" s="107" t="str">
        <f>IF(ISNUMBER(O2031),IF(VLOOKUP($A2031,Stand!C:J,8,FALSE)="Short",AT2031,AU2031),"")</f>
        <v/>
      </c>
      <c r="AW2031" s="109" t="str">
        <f t="shared" si="889"/>
        <v/>
      </c>
      <c r="AX2031" s="109" t="str">
        <f t="shared" si="890"/>
        <v/>
      </c>
      <c r="AY2031" s="112" t="str">
        <f>IF(ISNUMBER(O2031),IF(AND(VLOOKUP($D2031,Merchantability!$B:$C,2,0)="Yes",$E2031&gt;=VLOOKUP($D2031,Merchantability!$B:$D,3,0),$E2031&lt;=VLOOKUP($D2031,Merchantability!$B:$E,4,0)),(AV2031*O2031)*(1-$H2031/100),""),"")</f>
        <v/>
      </c>
      <c r="AZ2031" s="116"/>
      <c r="BA2031" s="116"/>
      <c r="BB2031" s="116"/>
      <c r="BE2031" s="62"/>
      <c r="BF2031" s="63"/>
    </row>
    <row r="2032" spans="1:58" ht="12.75" customHeight="1" x14ac:dyDescent="0.25">
      <c r="A2032" s="334"/>
      <c r="B2032" s="334"/>
      <c r="C2032" s="332"/>
      <c r="D2032" s="334"/>
      <c r="E2032" s="335"/>
      <c r="F2032" s="334"/>
      <c r="G2032" s="332"/>
      <c r="H2032" s="332"/>
      <c r="I2032" s="334"/>
      <c r="J2032" s="336"/>
      <c r="K2032" s="332"/>
      <c r="L2032" s="332"/>
      <c r="M2032" s="76"/>
      <c r="N2032" s="103" t="str">
        <f>IF(A2032="","",VLOOKUP(A2032,Stand!C:K,9,0))</f>
        <v/>
      </c>
      <c r="O2032" s="104" t="str">
        <f t="shared" si="875"/>
        <v/>
      </c>
      <c r="P2032" s="105" t="str">
        <f t="shared" si="876"/>
        <v/>
      </c>
      <c r="Q2032" s="105" t="str">
        <f t="shared" si="891"/>
        <v/>
      </c>
      <c r="R2032" s="103" t="str">
        <f t="shared" si="877"/>
        <v/>
      </c>
      <c r="S2032" s="103" t="str">
        <f t="shared" si="878"/>
        <v/>
      </c>
      <c r="T2032" s="106" t="str">
        <f t="shared" si="892"/>
        <v/>
      </c>
      <c r="U2032" s="106" t="str">
        <f t="shared" si="893"/>
        <v/>
      </c>
      <c r="V2032" s="106" t="str">
        <f t="shared" si="894"/>
        <v/>
      </c>
      <c r="W2032" s="105" t="str">
        <f t="shared" si="879"/>
        <v/>
      </c>
      <c r="X2032" s="104" t="str">
        <f t="shared" si="884"/>
        <v/>
      </c>
      <c r="Y2032" s="104" t="str">
        <f t="array" ref="Y2032">IFERROR(IF(ISNUMBER(O2032),IF(COUNT(IF(A2032=$A$2:$A$2427,IF(D2032=$D$2:$D$2427,IF($X$2:$X$2427&gt;0,1))))&gt;0,SUM(IF(A2032=$A$2:$A$2427,IF(D2032=$D$2:$D$2427,$X$2:$X$2427)))/COUNT(IF(A2032=$A$2:$A$2427,IF(D2032=$D$2:$D$2427,IF(ISNUMBER($X$2:$X$2427),1)))),0),""),0)</f>
        <v/>
      </c>
      <c r="Z2032" s="104" t="str">
        <f>IF(ISNUMBER(O2032),IF(I2032&gt;0,(10^(VLOOKUP(D2032,'Species Codes'!B:C,2,0)+VLOOKUP(D2032,'Species Codes'!B:D,3,0)*LOG(E2032)+VLOOKUP(D2032,'Species Codes'!B:E,4,0)*LOG(I2032))),0),"")</f>
        <v/>
      </c>
      <c r="AA2032" s="104" t="str">
        <f>IFERROR((VLOOKUP(D2032,'Species Codes'!B:G,6,0)*Z2032)/2000,"")</f>
        <v/>
      </c>
      <c r="AB2032" s="104" t="e">
        <f>IF(Z2032&gt;0,((IF(OR(D2032="DF",D2032="RA")=TRUE,EXP(VLOOKUP(D2032,'Species Codes'!B:I,8,0)+VLOOKUP(D2032,'Species Codes'!B:J,9,0)*(LN((E2032*2.54)))),IF(OR(D2032="PY",D2032="RC",D2032="WH",D2032="NF")=TRUE,VLOOKUP(D2032,'Species Codes'!B:I,8,0)+VLOOKUP(D2032,'Species Codes'!B:J,9,0)*((E2032*2.54)^2)*(I2032*0.3048),IF(OR(D2032="MD",D2032="BM",D2032="GA")=TRUE,((VLOOKUP(D2032,'Species Codes'!B:I,8,0)*(((((E2032*2.54)+VLOOKUP(D2032,'Species Codes'!B:J,9,0))/VLOOKUP(D2032,'Species Codes'!B:K,10,0))^VLOOKUP(D2032,'Species Codes'!B:L,11,0))*((I2032*0.3048)^VLOOKUP(D2032,'Species Codes'!B:M,12,0))))-(VLOOKUP(D2032,'Species Codes'!B:I,8,0)*((((E2032*2.54)^VLOOKUP(D2032,'Species Codes'!B:L,11,0))*((I2032*0.3048)^VLOOKUP(D2032,'Species Codes'!B:M,12,0))))))*35.3*VLOOKUP(D2032,'Species Codes'!B:G,6,0)/2.2046,VLOOKUP(D2032,'Species Codes'!B:I,8,0)+VLOOKUP(D2032,'Species Codes'!B:J,9,0)*(((E2032*2.54)/100)^2)*(I2032*0.3048)))))*0.0011023),0)</f>
        <v>#N/A</v>
      </c>
      <c r="AC2032" s="104" t="e">
        <f>IF(Z2032&gt;0,((IF(OR(D2032="RA",D2032="OA",D2032="OT",D2032="UN",D2032="PC"),EXP(VLOOKUP(D2032,'Species Codes'!B:O,14,0)+VLOOKUP(D2032,'Species Codes'!B:P,15,0)*LN((E2032*2.54)))-EXP(VLOOKUP(D2032,'Species Codes'!B:O,14,0)+VLOOKUP(D2032,'Species Codes'!B:P,15,0)*LN((E2032*2.54)))*(1/(VLOOKUP(D2032,'Species Codes'!B:Q,16,0)+VLOOKUP(D2032,'Species Codes'!B:R,17,0)*((E2032*2.54)^VLOOKUP(D2032,'Species Codes'!B:S,18,0)))),IF(OR(D2032="BM",D2032="MD",D2032="OA"),EXP(VLOOKUP(D2032,'Species Codes'!B:O,14,0)+VLOOKUP(D2032,'Species Codes'!B:P,15,0)*LN((E2032*2.54)))*(1-(1/(VLOOKUP(D2032,'Species Codes'!B:Q,16,0)+VLOOKUP(D2032,'Species Codes'!B:R,17,0)*((E2032*2.54)^VLOOKUP(D2032,'Species Codes'!B:S,18,0)))))/1000,IF(D2032="DF",EXP(VLOOKUP(D2032,'Species Codes'!B:O,14,0)+VLOOKUP(D2032,'Species Codes'!B:P,15,0)*LN((E2032*2.54))),VLOOKUP(D2032,'Species Codes'!B:O,14,0)+VLOOKUP(D2032,'Species Codes'!B:P,15,0)*(((E2032*2.54)/100)^2)*(I2032*0.3048)))))*0.0011023),0)</f>
        <v>#N/A</v>
      </c>
      <c r="AD2032" s="104" t="e">
        <f t="shared" si="895"/>
        <v>#N/A</v>
      </c>
      <c r="AE2032" s="104" t="e">
        <f t="shared" si="896"/>
        <v>#N/A</v>
      </c>
      <c r="AF2032" s="104" t="e">
        <f>IF(AND(VLOOKUP($D2032,Merchantability!$B:$C,2,0)="Yes",$E2032&gt;=VLOOKUP($D2032,Merchantability!$B:$D,3,0),$E2032&lt;=VLOOKUP($D2032,Merchantability!$B:$E,4,0)),AA2032,0)</f>
        <v>#N/A</v>
      </c>
      <c r="AG2032" s="104" t="e">
        <f>IF(AND(VLOOKUP($D2032,Merchantability!$B:$C,2,0)="Yes",$E2032&gt;=VLOOKUP($D2032,Merchantability!$B:$D,3,0),$E2032&lt;=VLOOKUP($D2032,Merchantability!$B:$E,4,0)),AB2032,0)</f>
        <v>#N/A</v>
      </c>
      <c r="AH2032" s="104" t="e">
        <f>IF(AND(VLOOKUP($D2032,Merchantability!$B:$C,2,0)="Yes",$E2032&gt;=VLOOKUP($D2032,Merchantability!$B:$D,3,0),$E2032&lt;=VLOOKUP($D2032,Merchantability!$B:$E,4,0)),AC2032,0)</f>
        <v>#N/A</v>
      </c>
      <c r="AI2032" s="104" t="e">
        <f t="shared" si="897"/>
        <v>#N/A</v>
      </c>
      <c r="AJ2032" s="104" t="e">
        <f t="shared" si="898"/>
        <v>#VALUE!</v>
      </c>
      <c r="AK2032" s="104" t="e">
        <f t="shared" si="899"/>
        <v>#N/A</v>
      </c>
      <c r="AL2032" s="104" t="e">
        <f t="shared" si="900"/>
        <v>#N/A</v>
      </c>
      <c r="AM2032" s="104" t="e">
        <f t="shared" si="901"/>
        <v>#N/A</v>
      </c>
      <c r="AN2032" s="104" t="e">
        <f t="shared" si="885"/>
        <v>#N/A</v>
      </c>
      <c r="AO2032" s="104" t="e">
        <f t="shared" si="886"/>
        <v>#N/A</v>
      </c>
      <c r="AP2032" s="104" t="e">
        <f t="shared" si="887"/>
        <v>#N/A</v>
      </c>
      <c r="AQ2032" s="104" t="e">
        <f t="shared" si="888"/>
        <v>#N/A</v>
      </c>
      <c r="AR2032" s="105" t="str">
        <f t="shared" si="880"/>
        <v/>
      </c>
      <c r="AS2032" s="105" t="str">
        <f t="shared" si="881"/>
        <v/>
      </c>
      <c r="AT2032" s="108" t="str">
        <f t="shared" si="882"/>
        <v/>
      </c>
      <c r="AU2032" s="108" t="str">
        <f t="shared" si="883"/>
        <v/>
      </c>
      <c r="AV2032" s="107" t="str">
        <f>IF(ISNUMBER(O2032),IF(VLOOKUP($A2032,Stand!C:J,8,FALSE)="Short",AT2032,AU2032),"")</f>
        <v/>
      </c>
      <c r="AW2032" s="109" t="str">
        <f t="shared" si="889"/>
        <v/>
      </c>
      <c r="AX2032" s="109" t="str">
        <f t="shared" si="890"/>
        <v/>
      </c>
      <c r="AY2032" s="112" t="str">
        <f>IF(ISNUMBER(O2032),IF(AND(VLOOKUP($D2032,Merchantability!$B:$C,2,0)="Yes",$E2032&gt;=VLOOKUP($D2032,Merchantability!$B:$D,3,0),$E2032&lt;=VLOOKUP($D2032,Merchantability!$B:$E,4,0)),(AV2032*O2032)*(1-$H2032/100),""),"")</f>
        <v/>
      </c>
      <c r="AZ2032" s="116"/>
      <c r="BA2032" s="116"/>
      <c r="BB2032" s="116"/>
      <c r="BE2032" s="62"/>
      <c r="BF2032" s="63"/>
    </row>
    <row r="2033" spans="1:58" ht="12.75" customHeight="1" x14ac:dyDescent="0.25">
      <c r="A2033" s="334"/>
      <c r="B2033" s="334"/>
      <c r="C2033" s="332"/>
      <c r="D2033" s="334"/>
      <c r="E2033" s="335"/>
      <c r="F2033" s="334"/>
      <c r="G2033" s="332"/>
      <c r="H2033" s="332"/>
      <c r="I2033" s="334"/>
      <c r="J2033" s="336"/>
      <c r="K2033" s="332"/>
      <c r="L2033" s="332"/>
      <c r="M2033" s="76"/>
      <c r="N2033" s="103" t="str">
        <f>IF(A2033="","",VLOOKUP(A2033,Stand!C:K,9,0))</f>
        <v/>
      </c>
      <c r="O2033" s="104" t="str">
        <f t="shared" si="875"/>
        <v/>
      </c>
      <c r="P2033" s="105" t="str">
        <f t="shared" si="876"/>
        <v/>
      </c>
      <c r="Q2033" s="105" t="str">
        <f t="shared" si="891"/>
        <v/>
      </c>
      <c r="R2033" s="103" t="str">
        <f t="shared" si="877"/>
        <v/>
      </c>
      <c r="S2033" s="103" t="str">
        <f t="shared" si="878"/>
        <v/>
      </c>
      <c r="T2033" s="106" t="str">
        <f t="shared" si="892"/>
        <v/>
      </c>
      <c r="U2033" s="106" t="str">
        <f t="shared" si="893"/>
        <v/>
      </c>
      <c r="V2033" s="106" t="str">
        <f t="shared" si="894"/>
        <v/>
      </c>
      <c r="W2033" s="105" t="str">
        <f t="shared" si="879"/>
        <v/>
      </c>
      <c r="X2033" s="104" t="str">
        <f t="shared" si="884"/>
        <v/>
      </c>
      <c r="Y2033" s="104" t="str">
        <f t="array" ref="Y2033">IFERROR(IF(ISNUMBER(O2033),IF(COUNT(IF(A2033=$A$2:$A$2427,IF(D2033=$D$2:$D$2427,IF($X$2:$X$2427&gt;0,1))))&gt;0,SUM(IF(A2033=$A$2:$A$2427,IF(D2033=$D$2:$D$2427,$X$2:$X$2427)))/COUNT(IF(A2033=$A$2:$A$2427,IF(D2033=$D$2:$D$2427,IF(ISNUMBER($X$2:$X$2427),1)))),0),""),0)</f>
        <v/>
      </c>
      <c r="Z2033" s="104" t="str">
        <f>IF(ISNUMBER(O2033),IF(I2033&gt;0,(10^(VLOOKUP(D2033,'Species Codes'!B:C,2,0)+VLOOKUP(D2033,'Species Codes'!B:D,3,0)*LOG(E2033)+VLOOKUP(D2033,'Species Codes'!B:E,4,0)*LOG(I2033))),0),"")</f>
        <v/>
      </c>
      <c r="AA2033" s="104" t="str">
        <f>IFERROR((VLOOKUP(D2033,'Species Codes'!B:G,6,0)*Z2033)/2000,"")</f>
        <v/>
      </c>
      <c r="AB2033" s="104" t="e">
        <f>IF(Z2033&gt;0,((IF(OR(D2033="DF",D2033="RA")=TRUE,EXP(VLOOKUP(D2033,'Species Codes'!B:I,8,0)+VLOOKUP(D2033,'Species Codes'!B:J,9,0)*(LN((E2033*2.54)))),IF(OR(D2033="PY",D2033="RC",D2033="WH",D2033="NF")=TRUE,VLOOKUP(D2033,'Species Codes'!B:I,8,0)+VLOOKUP(D2033,'Species Codes'!B:J,9,0)*((E2033*2.54)^2)*(I2033*0.3048),IF(OR(D2033="MD",D2033="BM",D2033="GA")=TRUE,((VLOOKUP(D2033,'Species Codes'!B:I,8,0)*(((((E2033*2.54)+VLOOKUP(D2033,'Species Codes'!B:J,9,0))/VLOOKUP(D2033,'Species Codes'!B:K,10,0))^VLOOKUP(D2033,'Species Codes'!B:L,11,0))*((I2033*0.3048)^VLOOKUP(D2033,'Species Codes'!B:M,12,0))))-(VLOOKUP(D2033,'Species Codes'!B:I,8,0)*((((E2033*2.54)^VLOOKUP(D2033,'Species Codes'!B:L,11,0))*((I2033*0.3048)^VLOOKUP(D2033,'Species Codes'!B:M,12,0))))))*35.3*VLOOKUP(D2033,'Species Codes'!B:G,6,0)/2.2046,VLOOKUP(D2033,'Species Codes'!B:I,8,0)+VLOOKUP(D2033,'Species Codes'!B:J,9,0)*(((E2033*2.54)/100)^2)*(I2033*0.3048)))))*0.0011023),0)</f>
        <v>#N/A</v>
      </c>
      <c r="AC2033" s="104" t="e">
        <f>IF(Z2033&gt;0,((IF(OR(D2033="RA",D2033="OA",D2033="OT",D2033="UN",D2033="PC"),EXP(VLOOKUP(D2033,'Species Codes'!B:O,14,0)+VLOOKUP(D2033,'Species Codes'!B:P,15,0)*LN((E2033*2.54)))-EXP(VLOOKUP(D2033,'Species Codes'!B:O,14,0)+VLOOKUP(D2033,'Species Codes'!B:P,15,0)*LN((E2033*2.54)))*(1/(VLOOKUP(D2033,'Species Codes'!B:Q,16,0)+VLOOKUP(D2033,'Species Codes'!B:R,17,0)*((E2033*2.54)^VLOOKUP(D2033,'Species Codes'!B:S,18,0)))),IF(OR(D2033="BM",D2033="MD",D2033="OA"),EXP(VLOOKUP(D2033,'Species Codes'!B:O,14,0)+VLOOKUP(D2033,'Species Codes'!B:P,15,0)*LN((E2033*2.54)))*(1-(1/(VLOOKUP(D2033,'Species Codes'!B:Q,16,0)+VLOOKUP(D2033,'Species Codes'!B:R,17,0)*((E2033*2.54)^VLOOKUP(D2033,'Species Codes'!B:S,18,0)))))/1000,IF(D2033="DF",EXP(VLOOKUP(D2033,'Species Codes'!B:O,14,0)+VLOOKUP(D2033,'Species Codes'!B:P,15,0)*LN((E2033*2.54))),VLOOKUP(D2033,'Species Codes'!B:O,14,0)+VLOOKUP(D2033,'Species Codes'!B:P,15,0)*(((E2033*2.54)/100)^2)*(I2033*0.3048)))))*0.0011023),0)</f>
        <v>#N/A</v>
      </c>
      <c r="AD2033" s="104" t="e">
        <f t="shared" si="895"/>
        <v>#N/A</v>
      </c>
      <c r="AE2033" s="104" t="e">
        <f t="shared" si="896"/>
        <v>#N/A</v>
      </c>
      <c r="AF2033" s="104" t="e">
        <f>IF(AND(VLOOKUP($D2033,Merchantability!$B:$C,2,0)="Yes",$E2033&gt;=VLOOKUP($D2033,Merchantability!$B:$D,3,0),$E2033&lt;=VLOOKUP($D2033,Merchantability!$B:$E,4,0)),AA2033,0)</f>
        <v>#N/A</v>
      </c>
      <c r="AG2033" s="104" t="e">
        <f>IF(AND(VLOOKUP($D2033,Merchantability!$B:$C,2,0)="Yes",$E2033&gt;=VLOOKUP($D2033,Merchantability!$B:$D,3,0),$E2033&lt;=VLOOKUP($D2033,Merchantability!$B:$E,4,0)),AB2033,0)</f>
        <v>#N/A</v>
      </c>
      <c r="AH2033" s="104" t="e">
        <f>IF(AND(VLOOKUP($D2033,Merchantability!$B:$C,2,0)="Yes",$E2033&gt;=VLOOKUP($D2033,Merchantability!$B:$D,3,0),$E2033&lt;=VLOOKUP($D2033,Merchantability!$B:$E,4,0)),AC2033,0)</f>
        <v>#N/A</v>
      </c>
      <c r="AI2033" s="104" t="e">
        <f t="shared" si="897"/>
        <v>#N/A</v>
      </c>
      <c r="AJ2033" s="104" t="e">
        <f t="shared" si="898"/>
        <v>#VALUE!</v>
      </c>
      <c r="AK2033" s="104" t="e">
        <f t="shared" si="899"/>
        <v>#N/A</v>
      </c>
      <c r="AL2033" s="104" t="e">
        <f t="shared" si="900"/>
        <v>#N/A</v>
      </c>
      <c r="AM2033" s="104" t="e">
        <f t="shared" si="901"/>
        <v>#N/A</v>
      </c>
      <c r="AN2033" s="104" t="e">
        <f t="shared" si="885"/>
        <v>#N/A</v>
      </c>
      <c r="AO2033" s="104" t="e">
        <f t="shared" si="886"/>
        <v>#N/A</v>
      </c>
      <c r="AP2033" s="104" t="e">
        <f t="shared" si="887"/>
        <v>#N/A</v>
      </c>
      <c r="AQ2033" s="104" t="e">
        <f t="shared" si="888"/>
        <v>#N/A</v>
      </c>
      <c r="AR2033" s="105" t="str">
        <f t="shared" si="880"/>
        <v/>
      </c>
      <c r="AS2033" s="105" t="str">
        <f t="shared" si="881"/>
        <v/>
      </c>
      <c r="AT2033" s="108" t="str">
        <f t="shared" si="882"/>
        <v/>
      </c>
      <c r="AU2033" s="108" t="str">
        <f t="shared" si="883"/>
        <v/>
      </c>
      <c r="AV2033" s="107" t="str">
        <f>IF(ISNUMBER(O2033),IF(VLOOKUP($A2033,Stand!C:J,8,FALSE)="Short",AT2033,AU2033),"")</f>
        <v/>
      </c>
      <c r="AW2033" s="109" t="str">
        <f t="shared" si="889"/>
        <v/>
      </c>
      <c r="AX2033" s="109" t="str">
        <f t="shared" si="890"/>
        <v/>
      </c>
      <c r="AY2033" s="112" t="str">
        <f>IF(ISNUMBER(O2033),IF(AND(VLOOKUP($D2033,Merchantability!$B:$C,2,0)="Yes",$E2033&gt;=VLOOKUP($D2033,Merchantability!$B:$D,3,0),$E2033&lt;=VLOOKUP($D2033,Merchantability!$B:$E,4,0)),(AV2033*O2033)*(1-$H2033/100),""),"")</f>
        <v/>
      </c>
      <c r="AZ2033" s="116"/>
      <c r="BA2033" s="116"/>
      <c r="BB2033" s="116"/>
      <c r="BE2033" s="62"/>
      <c r="BF2033" s="63"/>
    </row>
    <row r="2034" spans="1:58" ht="12.75" customHeight="1" x14ac:dyDescent="0.25">
      <c r="A2034" s="334"/>
      <c r="B2034" s="334"/>
      <c r="C2034" s="332"/>
      <c r="D2034" s="334"/>
      <c r="E2034" s="335"/>
      <c r="F2034" s="334"/>
      <c r="G2034" s="332"/>
      <c r="H2034" s="332"/>
      <c r="I2034" s="334"/>
      <c r="J2034" s="336"/>
      <c r="K2034" s="332"/>
      <c r="L2034" s="332"/>
      <c r="M2034" s="76"/>
      <c r="N2034" s="103" t="str">
        <f>IF(A2034="","",VLOOKUP(A2034,Stand!C:K,9,0))</f>
        <v/>
      </c>
      <c r="O2034" s="104" t="str">
        <f t="shared" si="875"/>
        <v/>
      </c>
      <c r="P2034" s="105" t="str">
        <f t="shared" si="876"/>
        <v/>
      </c>
      <c r="Q2034" s="105" t="str">
        <f t="shared" si="891"/>
        <v/>
      </c>
      <c r="R2034" s="103" t="str">
        <f t="shared" si="877"/>
        <v/>
      </c>
      <c r="S2034" s="103" t="str">
        <f t="shared" si="878"/>
        <v/>
      </c>
      <c r="T2034" s="106" t="str">
        <f t="shared" si="892"/>
        <v/>
      </c>
      <c r="U2034" s="106" t="str">
        <f t="shared" si="893"/>
        <v/>
      </c>
      <c r="V2034" s="106" t="str">
        <f t="shared" si="894"/>
        <v/>
      </c>
      <c r="W2034" s="105" t="str">
        <f t="shared" si="879"/>
        <v/>
      </c>
      <c r="X2034" s="104" t="str">
        <f t="shared" si="884"/>
        <v/>
      </c>
      <c r="Y2034" s="104" t="str">
        <f t="array" ref="Y2034">IFERROR(IF(ISNUMBER(O2034),IF(COUNT(IF(A2034=$A$2:$A$2427,IF(D2034=$D$2:$D$2427,IF($X$2:$X$2427&gt;0,1))))&gt;0,SUM(IF(A2034=$A$2:$A$2427,IF(D2034=$D$2:$D$2427,$X$2:$X$2427)))/COUNT(IF(A2034=$A$2:$A$2427,IF(D2034=$D$2:$D$2427,IF(ISNUMBER($X$2:$X$2427),1)))),0),""),0)</f>
        <v/>
      </c>
      <c r="Z2034" s="104" t="str">
        <f>IF(ISNUMBER(O2034),IF(I2034&gt;0,(10^(VLOOKUP(D2034,'Species Codes'!B:C,2,0)+VLOOKUP(D2034,'Species Codes'!B:D,3,0)*LOG(E2034)+VLOOKUP(D2034,'Species Codes'!B:E,4,0)*LOG(I2034))),0),"")</f>
        <v/>
      </c>
      <c r="AA2034" s="104" t="str">
        <f>IFERROR((VLOOKUP(D2034,'Species Codes'!B:G,6,0)*Z2034)/2000,"")</f>
        <v/>
      </c>
      <c r="AB2034" s="104" t="e">
        <f>IF(Z2034&gt;0,((IF(OR(D2034="DF",D2034="RA")=TRUE,EXP(VLOOKUP(D2034,'Species Codes'!B:I,8,0)+VLOOKUP(D2034,'Species Codes'!B:J,9,0)*(LN((E2034*2.54)))),IF(OR(D2034="PY",D2034="RC",D2034="WH",D2034="NF")=TRUE,VLOOKUP(D2034,'Species Codes'!B:I,8,0)+VLOOKUP(D2034,'Species Codes'!B:J,9,0)*((E2034*2.54)^2)*(I2034*0.3048),IF(OR(D2034="MD",D2034="BM",D2034="GA")=TRUE,((VLOOKUP(D2034,'Species Codes'!B:I,8,0)*(((((E2034*2.54)+VLOOKUP(D2034,'Species Codes'!B:J,9,0))/VLOOKUP(D2034,'Species Codes'!B:K,10,0))^VLOOKUP(D2034,'Species Codes'!B:L,11,0))*((I2034*0.3048)^VLOOKUP(D2034,'Species Codes'!B:M,12,0))))-(VLOOKUP(D2034,'Species Codes'!B:I,8,0)*((((E2034*2.54)^VLOOKUP(D2034,'Species Codes'!B:L,11,0))*((I2034*0.3048)^VLOOKUP(D2034,'Species Codes'!B:M,12,0))))))*35.3*VLOOKUP(D2034,'Species Codes'!B:G,6,0)/2.2046,VLOOKUP(D2034,'Species Codes'!B:I,8,0)+VLOOKUP(D2034,'Species Codes'!B:J,9,0)*(((E2034*2.54)/100)^2)*(I2034*0.3048)))))*0.0011023),0)</f>
        <v>#N/A</v>
      </c>
      <c r="AC2034" s="104" t="e">
        <f>IF(Z2034&gt;0,((IF(OR(D2034="RA",D2034="OA",D2034="OT",D2034="UN",D2034="PC"),EXP(VLOOKUP(D2034,'Species Codes'!B:O,14,0)+VLOOKUP(D2034,'Species Codes'!B:P,15,0)*LN((E2034*2.54)))-EXP(VLOOKUP(D2034,'Species Codes'!B:O,14,0)+VLOOKUP(D2034,'Species Codes'!B:P,15,0)*LN((E2034*2.54)))*(1/(VLOOKUP(D2034,'Species Codes'!B:Q,16,0)+VLOOKUP(D2034,'Species Codes'!B:R,17,0)*((E2034*2.54)^VLOOKUP(D2034,'Species Codes'!B:S,18,0)))),IF(OR(D2034="BM",D2034="MD",D2034="OA"),EXP(VLOOKUP(D2034,'Species Codes'!B:O,14,0)+VLOOKUP(D2034,'Species Codes'!B:P,15,0)*LN((E2034*2.54)))*(1-(1/(VLOOKUP(D2034,'Species Codes'!B:Q,16,0)+VLOOKUP(D2034,'Species Codes'!B:R,17,0)*((E2034*2.54)^VLOOKUP(D2034,'Species Codes'!B:S,18,0)))))/1000,IF(D2034="DF",EXP(VLOOKUP(D2034,'Species Codes'!B:O,14,0)+VLOOKUP(D2034,'Species Codes'!B:P,15,0)*LN((E2034*2.54))),VLOOKUP(D2034,'Species Codes'!B:O,14,0)+VLOOKUP(D2034,'Species Codes'!B:P,15,0)*(((E2034*2.54)/100)^2)*(I2034*0.3048)))))*0.0011023),0)</f>
        <v>#N/A</v>
      </c>
      <c r="AD2034" s="104" t="e">
        <f t="shared" si="895"/>
        <v>#N/A</v>
      </c>
      <c r="AE2034" s="104" t="e">
        <f t="shared" si="896"/>
        <v>#N/A</v>
      </c>
      <c r="AF2034" s="104" t="e">
        <f>IF(AND(VLOOKUP($D2034,Merchantability!$B:$C,2,0)="Yes",$E2034&gt;=VLOOKUP($D2034,Merchantability!$B:$D,3,0),$E2034&lt;=VLOOKUP($D2034,Merchantability!$B:$E,4,0)),AA2034,0)</f>
        <v>#N/A</v>
      </c>
      <c r="AG2034" s="104" t="e">
        <f>IF(AND(VLOOKUP($D2034,Merchantability!$B:$C,2,0)="Yes",$E2034&gt;=VLOOKUP($D2034,Merchantability!$B:$D,3,0),$E2034&lt;=VLOOKUP($D2034,Merchantability!$B:$E,4,0)),AB2034,0)</f>
        <v>#N/A</v>
      </c>
      <c r="AH2034" s="104" t="e">
        <f>IF(AND(VLOOKUP($D2034,Merchantability!$B:$C,2,0)="Yes",$E2034&gt;=VLOOKUP($D2034,Merchantability!$B:$D,3,0),$E2034&lt;=VLOOKUP($D2034,Merchantability!$B:$E,4,0)),AC2034,0)</f>
        <v>#N/A</v>
      </c>
      <c r="AI2034" s="104" t="e">
        <f t="shared" si="897"/>
        <v>#N/A</v>
      </c>
      <c r="AJ2034" s="104" t="e">
        <f t="shared" si="898"/>
        <v>#VALUE!</v>
      </c>
      <c r="AK2034" s="104" t="e">
        <f t="shared" si="899"/>
        <v>#N/A</v>
      </c>
      <c r="AL2034" s="104" t="e">
        <f t="shared" si="900"/>
        <v>#N/A</v>
      </c>
      <c r="AM2034" s="104" t="e">
        <f t="shared" si="901"/>
        <v>#N/A</v>
      </c>
      <c r="AN2034" s="104" t="e">
        <f t="shared" si="885"/>
        <v>#N/A</v>
      </c>
      <c r="AO2034" s="104" t="e">
        <f t="shared" si="886"/>
        <v>#N/A</v>
      </c>
      <c r="AP2034" s="104" t="e">
        <f t="shared" si="887"/>
        <v>#N/A</v>
      </c>
      <c r="AQ2034" s="104" t="e">
        <f t="shared" si="888"/>
        <v>#N/A</v>
      </c>
      <c r="AR2034" s="105" t="str">
        <f t="shared" si="880"/>
        <v/>
      </c>
      <c r="AS2034" s="105" t="str">
        <f t="shared" si="881"/>
        <v/>
      </c>
      <c r="AT2034" s="108" t="str">
        <f t="shared" si="882"/>
        <v/>
      </c>
      <c r="AU2034" s="108" t="str">
        <f t="shared" si="883"/>
        <v/>
      </c>
      <c r="AV2034" s="107" t="str">
        <f>IF(ISNUMBER(O2034),IF(VLOOKUP($A2034,Stand!C:J,8,FALSE)="Short",AT2034,AU2034),"")</f>
        <v/>
      </c>
      <c r="AW2034" s="109" t="str">
        <f t="shared" si="889"/>
        <v/>
      </c>
      <c r="AX2034" s="109" t="str">
        <f t="shared" si="890"/>
        <v/>
      </c>
      <c r="AY2034" s="112" t="str">
        <f>IF(ISNUMBER(O2034),IF(AND(VLOOKUP($D2034,Merchantability!$B:$C,2,0)="Yes",$E2034&gt;=VLOOKUP($D2034,Merchantability!$B:$D,3,0),$E2034&lt;=VLOOKUP($D2034,Merchantability!$B:$E,4,0)),(AV2034*O2034)*(1-$H2034/100),""),"")</f>
        <v/>
      </c>
      <c r="AZ2034" s="116"/>
      <c r="BA2034" s="116"/>
      <c r="BB2034" s="116"/>
      <c r="BE2034" s="62"/>
      <c r="BF2034" s="63"/>
    </row>
    <row r="2035" spans="1:58" ht="12.75" customHeight="1" x14ac:dyDescent="0.25">
      <c r="A2035" s="334"/>
      <c r="B2035" s="334"/>
      <c r="C2035" s="332"/>
      <c r="D2035" s="334"/>
      <c r="E2035" s="335"/>
      <c r="F2035" s="334"/>
      <c r="G2035" s="332"/>
      <c r="H2035" s="332"/>
      <c r="I2035" s="334"/>
      <c r="J2035" s="336"/>
      <c r="K2035" s="332"/>
      <c r="L2035" s="332"/>
      <c r="M2035" s="76"/>
      <c r="N2035" s="103" t="str">
        <f>IF(A2035="","",VLOOKUP(A2035,Stand!C:K,9,0))</f>
        <v/>
      </c>
      <c r="O2035" s="104" t="str">
        <f t="shared" si="875"/>
        <v/>
      </c>
      <c r="P2035" s="105" t="str">
        <f t="shared" si="876"/>
        <v/>
      </c>
      <c r="Q2035" s="105" t="str">
        <f t="shared" si="891"/>
        <v/>
      </c>
      <c r="R2035" s="103" t="str">
        <f t="shared" si="877"/>
        <v/>
      </c>
      <c r="S2035" s="103" t="str">
        <f t="shared" si="878"/>
        <v/>
      </c>
      <c r="T2035" s="106" t="str">
        <f t="shared" si="892"/>
        <v/>
      </c>
      <c r="U2035" s="106" t="str">
        <f t="shared" si="893"/>
        <v/>
      </c>
      <c r="V2035" s="106" t="str">
        <f t="shared" si="894"/>
        <v/>
      </c>
      <c r="W2035" s="105" t="str">
        <f t="shared" si="879"/>
        <v/>
      </c>
      <c r="X2035" s="104" t="str">
        <f t="shared" si="884"/>
        <v/>
      </c>
      <c r="Y2035" s="104" t="str">
        <f t="array" ref="Y2035">IFERROR(IF(ISNUMBER(O2035),IF(COUNT(IF(A2035=$A$2:$A$2427,IF(D2035=$D$2:$D$2427,IF($X$2:$X$2427&gt;0,1))))&gt;0,SUM(IF(A2035=$A$2:$A$2427,IF(D2035=$D$2:$D$2427,$X$2:$X$2427)))/COUNT(IF(A2035=$A$2:$A$2427,IF(D2035=$D$2:$D$2427,IF(ISNUMBER($X$2:$X$2427),1)))),0),""),0)</f>
        <v/>
      </c>
      <c r="Z2035" s="104" t="str">
        <f>IF(ISNUMBER(O2035),IF(I2035&gt;0,(10^(VLOOKUP(D2035,'Species Codes'!B:C,2,0)+VLOOKUP(D2035,'Species Codes'!B:D,3,0)*LOG(E2035)+VLOOKUP(D2035,'Species Codes'!B:E,4,0)*LOG(I2035))),0),"")</f>
        <v/>
      </c>
      <c r="AA2035" s="104" t="str">
        <f>IFERROR((VLOOKUP(D2035,'Species Codes'!B:G,6,0)*Z2035)/2000,"")</f>
        <v/>
      </c>
      <c r="AB2035" s="104" t="e">
        <f>IF(Z2035&gt;0,((IF(OR(D2035="DF",D2035="RA")=TRUE,EXP(VLOOKUP(D2035,'Species Codes'!B:I,8,0)+VLOOKUP(D2035,'Species Codes'!B:J,9,0)*(LN((E2035*2.54)))),IF(OR(D2035="PY",D2035="RC",D2035="WH",D2035="NF")=TRUE,VLOOKUP(D2035,'Species Codes'!B:I,8,0)+VLOOKUP(D2035,'Species Codes'!B:J,9,0)*((E2035*2.54)^2)*(I2035*0.3048),IF(OR(D2035="MD",D2035="BM",D2035="GA")=TRUE,((VLOOKUP(D2035,'Species Codes'!B:I,8,0)*(((((E2035*2.54)+VLOOKUP(D2035,'Species Codes'!B:J,9,0))/VLOOKUP(D2035,'Species Codes'!B:K,10,0))^VLOOKUP(D2035,'Species Codes'!B:L,11,0))*((I2035*0.3048)^VLOOKUP(D2035,'Species Codes'!B:M,12,0))))-(VLOOKUP(D2035,'Species Codes'!B:I,8,0)*((((E2035*2.54)^VLOOKUP(D2035,'Species Codes'!B:L,11,0))*((I2035*0.3048)^VLOOKUP(D2035,'Species Codes'!B:M,12,0))))))*35.3*VLOOKUP(D2035,'Species Codes'!B:G,6,0)/2.2046,VLOOKUP(D2035,'Species Codes'!B:I,8,0)+VLOOKUP(D2035,'Species Codes'!B:J,9,0)*(((E2035*2.54)/100)^2)*(I2035*0.3048)))))*0.0011023),0)</f>
        <v>#N/A</v>
      </c>
      <c r="AC2035" s="104" t="e">
        <f>IF(Z2035&gt;0,((IF(OR(D2035="RA",D2035="OA",D2035="OT",D2035="UN",D2035="PC"),EXP(VLOOKUP(D2035,'Species Codes'!B:O,14,0)+VLOOKUP(D2035,'Species Codes'!B:P,15,0)*LN((E2035*2.54)))-EXP(VLOOKUP(D2035,'Species Codes'!B:O,14,0)+VLOOKUP(D2035,'Species Codes'!B:P,15,0)*LN((E2035*2.54)))*(1/(VLOOKUP(D2035,'Species Codes'!B:Q,16,0)+VLOOKUP(D2035,'Species Codes'!B:R,17,0)*((E2035*2.54)^VLOOKUP(D2035,'Species Codes'!B:S,18,0)))),IF(OR(D2035="BM",D2035="MD",D2035="OA"),EXP(VLOOKUP(D2035,'Species Codes'!B:O,14,0)+VLOOKUP(D2035,'Species Codes'!B:P,15,0)*LN((E2035*2.54)))*(1-(1/(VLOOKUP(D2035,'Species Codes'!B:Q,16,0)+VLOOKUP(D2035,'Species Codes'!B:R,17,0)*((E2035*2.54)^VLOOKUP(D2035,'Species Codes'!B:S,18,0)))))/1000,IF(D2035="DF",EXP(VLOOKUP(D2035,'Species Codes'!B:O,14,0)+VLOOKUP(D2035,'Species Codes'!B:P,15,0)*LN((E2035*2.54))),VLOOKUP(D2035,'Species Codes'!B:O,14,0)+VLOOKUP(D2035,'Species Codes'!B:P,15,0)*(((E2035*2.54)/100)^2)*(I2035*0.3048)))))*0.0011023),0)</f>
        <v>#N/A</v>
      </c>
      <c r="AD2035" s="104" t="e">
        <f t="shared" si="895"/>
        <v>#N/A</v>
      </c>
      <c r="AE2035" s="104" t="e">
        <f t="shared" si="896"/>
        <v>#N/A</v>
      </c>
      <c r="AF2035" s="104" t="e">
        <f>IF(AND(VLOOKUP($D2035,Merchantability!$B:$C,2,0)="Yes",$E2035&gt;=VLOOKUP($D2035,Merchantability!$B:$D,3,0),$E2035&lt;=VLOOKUP($D2035,Merchantability!$B:$E,4,0)),AA2035,0)</f>
        <v>#N/A</v>
      </c>
      <c r="AG2035" s="104" t="e">
        <f>IF(AND(VLOOKUP($D2035,Merchantability!$B:$C,2,0)="Yes",$E2035&gt;=VLOOKUP($D2035,Merchantability!$B:$D,3,0),$E2035&lt;=VLOOKUP($D2035,Merchantability!$B:$E,4,0)),AB2035,0)</f>
        <v>#N/A</v>
      </c>
      <c r="AH2035" s="104" t="e">
        <f>IF(AND(VLOOKUP($D2035,Merchantability!$B:$C,2,0)="Yes",$E2035&gt;=VLOOKUP($D2035,Merchantability!$B:$D,3,0),$E2035&lt;=VLOOKUP($D2035,Merchantability!$B:$E,4,0)),AC2035,0)</f>
        <v>#N/A</v>
      </c>
      <c r="AI2035" s="104" t="e">
        <f t="shared" si="897"/>
        <v>#N/A</v>
      </c>
      <c r="AJ2035" s="104" t="e">
        <f t="shared" si="898"/>
        <v>#VALUE!</v>
      </c>
      <c r="AK2035" s="104" t="e">
        <f t="shared" si="899"/>
        <v>#N/A</v>
      </c>
      <c r="AL2035" s="104" t="e">
        <f t="shared" si="900"/>
        <v>#N/A</v>
      </c>
      <c r="AM2035" s="104" t="e">
        <f t="shared" si="901"/>
        <v>#N/A</v>
      </c>
      <c r="AN2035" s="104" t="e">
        <f t="shared" si="885"/>
        <v>#N/A</v>
      </c>
      <c r="AO2035" s="104" t="e">
        <f t="shared" si="886"/>
        <v>#N/A</v>
      </c>
      <c r="AP2035" s="104" t="e">
        <f t="shared" si="887"/>
        <v>#N/A</v>
      </c>
      <c r="AQ2035" s="104" t="e">
        <f t="shared" si="888"/>
        <v>#N/A</v>
      </c>
      <c r="AR2035" s="105" t="str">
        <f t="shared" si="880"/>
        <v/>
      </c>
      <c r="AS2035" s="105" t="str">
        <f t="shared" si="881"/>
        <v/>
      </c>
      <c r="AT2035" s="108" t="str">
        <f t="shared" si="882"/>
        <v/>
      </c>
      <c r="AU2035" s="108" t="str">
        <f t="shared" si="883"/>
        <v/>
      </c>
      <c r="AV2035" s="107" t="str">
        <f>IF(ISNUMBER(O2035),IF(VLOOKUP($A2035,Stand!C:J,8,FALSE)="Short",AT2035,AU2035),"")</f>
        <v/>
      </c>
      <c r="AW2035" s="109" t="str">
        <f t="shared" si="889"/>
        <v/>
      </c>
      <c r="AX2035" s="109" t="str">
        <f t="shared" si="890"/>
        <v/>
      </c>
      <c r="AY2035" s="112" t="str">
        <f>IF(ISNUMBER(O2035),IF(AND(VLOOKUP($D2035,Merchantability!$B:$C,2,0)="Yes",$E2035&gt;=VLOOKUP($D2035,Merchantability!$B:$D,3,0),$E2035&lt;=VLOOKUP($D2035,Merchantability!$B:$E,4,0)),(AV2035*O2035)*(1-$H2035/100),""),"")</f>
        <v/>
      </c>
      <c r="AZ2035" s="116"/>
      <c r="BA2035" s="116"/>
      <c r="BB2035" s="116"/>
      <c r="BE2035" s="62"/>
      <c r="BF2035" s="63"/>
    </row>
    <row r="2036" spans="1:58" ht="12.75" customHeight="1" x14ac:dyDescent="0.25">
      <c r="A2036" s="334"/>
      <c r="B2036" s="334"/>
      <c r="C2036" s="332"/>
      <c r="D2036" s="334"/>
      <c r="E2036" s="335"/>
      <c r="F2036" s="334"/>
      <c r="G2036" s="332"/>
      <c r="H2036" s="332"/>
      <c r="I2036" s="334"/>
      <c r="J2036" s="336"/>
      <c r="K2036" s="332"/>
      <c r="L2036" s="332"/>
      <c r="M2036" s="76"/>
      <c r="N2036" s="103" t="str">
        <f>IF(A2036="","",VLOOKUP(A2036,Stand!C:K,9,0))</f>
        <v/>
      </c>
      <c r="O2036" s="104" t="str">
        <f t="shared" si="875"/>
        <v/>
      </c>
      <c r="P2036" s="105" t="str">
        <f t="shared" si="876"/>
        <v/>
      </c>
      <c r="Q2036" s="105" t="str">
        <f t="shared" si="891"/>
        <v/>
      </c>
      <c r="R2036" s="103" t="str">
        <f t="shared" si="877"/>
        <v/>
      </c>
      <c r="S2036" s="103" t="str">
        <f t="shared" si="878"/>
        <v/>
      </c>
      <c r="T2036" s="106" t="str">
        <f t="shared" si="892"/>
        <v/>
      </c>
      <c r="U2036" s="106" t="str">
        <f t="shared" si="893"/>
        <v/>
      </c>
      <c r="V2036" s="106" t="str">
        <f t="shared" si="894"/>
        <v/>
      </c>
      <c r="W2036" s="105" t="str">
        <f t="shared" si="879"/>
        <v/>
      </c>
      <c r="X2036" s="104" t="str">
        <f t="shared" si="884"/>
        <v/>
      </c>
      <c r="Y2036" s="104" t="str">
        <f t="array" ref="Y2036">IFERROR(IF(ISNUMBER(O2036),IF(COUNT(IF(A2036=$A$2:$A$2427,IF(D2036=$D$2:$D$2427,IF($X$2:$X$2427&gt;0,1))))&gt;0,SUM(IF(A2036=$A$2:$A$2427,IF(D2036=$D$2:$D$2427,$X$2:$X$2427)))/COUNT(IF(A2036=$A$2:$A$2427,IF(D2036=$D$2:$D$2427,IF(ISNUMBER($X$2:$X$2427),1)))),0),""),0)</f>
        <v/>
      </c>
      <c r="Z2036" s="104" t="str">
        <f>IF(ISNUMBER(O2036),IF(I2036&gt;0,(10^(VLOOKUP(D2036,'Species Codes'!B:C,2,0)+VLOOKUP(D2036,'Species Codes'!B:D,3,0)*LOG(E2036)+VLOOKUP(D2036,'Species Codes'!B:E,4,0)*LOG(I2036))),0),"")</f>
        <v/>
      </c>
      <c r="AA2036" s="104" t="str">
        <f>IFERROR((VLOOKUP(D2036,'Species Codes'!B:G,6,0)*Z2036)/2000,"")</f>
        <v/>
      </c>
      <c r="AB2036" s="104" t="e">
        <f>IF(Z2036&gt;0,((IF(OR(D2036="DF",D2036="RA")=TRUE,EXP(VLOOKUP(D2036,'Species Codes'!B:I,8,0)+VLOOKUP(D2036,'Species Codes'!B:J,9,0)*(LN((E2036*2.54)))),IF(OR(D2036="PY",D2036="RC",D2036="WH",D2036="NF")=TRUE,VLOOKUP(D2036,'Species Codes'!B:I,8,0)+VLOOKUP(D2036,'Species Codes'!B:J,9,0)*((E2036*2.54)^2)*(I2036*0.3048),IF(OR(D2036="MD",D2036="BM",D2036="GA")=TRUE,((VLOOKUP(D2036,'Species Codes'!B:I,8,0)*(((((E2036*2.54)+VLOOKUP(D2036,'Species Codes'!B:J,9,0))/VLOOKUP(D2036,'Species Codes'!B:K,10,0))^VLOOKUP(D2036,'Species Codes'!B:L,11,0))*((I2036*0.3048)^VLOOKUP(D2036,'Species Codes'!B:M,12,0))))-(VLOOKUP(D2036,'Species Codes'!B:I,8,0)*((((E2036*2.54)^VLOOKUP(D2036,'Species Codes'!B:L,11,0))*((I2036*0.3048)^VLOOKUP(D2036,'Species Codes'!B:M,12,0))))))*35.3*VLOOKUP(D2036,'Species Codes'!B:G,6,0)/2.2046,VLOOKUP(D2036,'Species Codes'!B:I,8,0)+VLOOKUP(D2036,'Species Codes'!B:J,9,0)*(((E2036*2.54)/100)^2)*(I2036*0.3048)))))*0.0011023),0)</f>
        <v>#N/A</v>
      </c>
      <c r="AC2036" s="104" t="e">
        <f>IF(Z2036&gt;0,((IF(OR(D2036="RA",D2036="OA",D2036="OT",D2036="UN",D2036="PC"),EXP(VLOOKUP(D2036,'Species Codes'!B:O,14,0)+VLOOKUP(D2036,'Species Codes'!B:P,15,0)*LN((E2036*2.54)))-EXP(VLOOKUP(D2036,'Species Codes'!B:O,14,0)+VLOOKUP(D2036,'Species Codes'!B:P,15,0)*LN((E2036*2.54)))*(1/(VLOOKUP(D2036,'Species Codes'!B:Q,16,0)+VLOOKUP(D2036,'Species Codes'!B:R,17,0)*((E2036*2.54)^VLOOKUP(D2036,'Species Codes'!B:S,18,0)))),IF(OR(D2036="BM",D2036="MD",D2036="OA"),EXP(VLOOKUP(D2036,'Species Codes'!B:O,14,0)+VLOOKUP(D2036,'Species Codes'!B:P,15,0)*LN((E2036*2.54)))*(1-(1/(VLOOKUP(D2036,'Species Codes'!B:Q,16,0)+VLOOKUP(D2036,'Species Codes'!B:R,17,0)*((E2036*2.54)^VLOOKUP(D2036,'Species Codes'!B:S,18,0)))))/1000,IF(D2036="DF",EXP(VLOOKUP(D2036,'Species Codes'!B:O,14,0)+VLOOKUP(D2036,'Species Codes'!B:P,15,0)*LN((E2036*2.54))),VLOOKUP(D2036,'Species Codes'!B:O,14,0)+VLOOKUP(D2036,'Species Codes'!B:P,15,0)*(((E2036*2.54)/100)^2)*(I2036*0.3048)))))*0.0011023),0)</f>
        <v>#N/A</v>
      </c>
      <c r="AD2036" s="104" t="e">
        <f t="shared" si="895"/>
        <v>#N/A</v>
      </c>
      <c r="AE2036" s="104" t="e">
        <f t="shared" si="896"/>
        <v>#N/A</v>
      </c>
      <c r="AF2036" s="104" t="e">
        <f>IF(AND(VLOOKUP($D2036,Merchantability!$B:$C,2,0)="Yes",$E2036&gt;=VLOOKUP($D2036,Merchantability!$B:$D,3,0),$E2036&lt;=VLOOKUP($D2036,Merchantability!$B:$E,4,0)),AA2036,0)</f>
        <v>#N/A</v>
      </c>
      <c r="AG2036" s="104" t="e">
        <f>IF(AND(VLOOKUP($D2036,Merchantability!$B:$C,2,0)="Yes",$E2036&gt;=VLOOKUP($D2036,Merchantability!$B:$D,3,0),$E2036&lt;=VLOOKUP($D2036,Merchantability!$B:$E,4,0)),AB2036,0)</f>
        <v>#N/A</v>
      </c>
      <c r="AH2036" s="104" t="e">
        <f>IF(AND(VLOOKUP($D2036,Merchantability!$B:$C,2,0)="Yes",$E2036&gt;=VLOOKUP($D2036,Merchantability!$B:$D,3,0),$E2036&lt;=VLOOKUP($D2036,Merchantability!$B:$E,4,0)),AC2036,0)</f>
        <v>#N/A</v>
      </c>
      <c r="AI2036" s="104" t="e">
        <f t="shared" si="897"/>
        <v>#N/A</v>
      </c>
      <c r="AJ2036" s="104" t="e">
        <f t="shared" si="898"/>
        <v>#VALUE!</v>
      </c>
      <c r="AK2036" s="104" t="e">
        <f t="shared" si="899"/>
        <v>#N/A</v>
      </c>
      <c r="AL2036" s="104" t="e">
        <f t="shared" si="900"/>
        <v>#N/A</v>
      </c>
      <c r="AM2036" s="104" t="e">
        <f t="shared" si="901"/>
        <v>#N/A</v>
      </c>
      <c r="AN2036" s="104" t="e">
        <f t="shared" si="885"/>
        <v>#N/A</v>
      </c>
      <c r="AO2036" s="104" t="e">
        <f t="shared" si="886"/>
        <v>#N/A</v>
      </c>
      <c r="AP2036" s="104" t="e">
        <f t="shared" si="887"/>
        <v>#N/A</v>
      </c>
      <c r="AQ2036" s="104" t="e">
        <f t="shared" si="888"/>
        <v>#N/A</v>
      </c>
      <c r="AR2036" s="105" t="str">
        <f t="shared" si="880"/>
        <v/>
      </c>
      <c r="AS2036" s="105" t="str">
        <f t="shared" si="881"/>
        <v/>
      </c>
      <c r="AT2036" s="108" t="str">
        <f t="shared" si="882"/>
        <v/>
      </c>
      <c r="AU2036" s="108" t="str">
        <f t="shared" si="883"/>
        <v/>
      </c>
      <c r="AV2036" s="107" t="str">
        <f>IF(ISNUMBER(O2036),IF(VLOOKUP($A2036,Stand!C:J,8,FALSE)="Short",AT2036,AU2036),"")</f>
        <v/>
      </c>
      <c r="AW2036" s="109" t="str">
        <f t="shared" si="889"/>
        <v/>
      </c>
      <c r="AX2036" s="109" t="str">
        <f t="shared" si="890"/>
        <v/>
      </c>
      <c r="AY2036" s="112" t="str">
        <f>IF(ISNUMBER(O2036),IF(AND(VLOOKUP($D2036,Merchantability!$B:$C,2,0)="Yes",$E2036&gt;=VLOOKUP($D2036,Merchantability!$B:$D,3,0),$E2036&lt;=VLOOKUP($D2036,Merchantability!$B:$E,4,0)),(AV2036*O2036)*(1-$H2036/100),""),"")</f>
        <v/>
      </c>
      <c r="AZ2036" s="116"/>
      <c r="BA2036" s="116"/>
      <c r="BB2036" s="116"/>
      <c r="BE2036" s="62"/>
      <c r="BF2036" s="63"/>
    </row>
    <row r="2037" spans="1:58" ht="12.75" customHeight="1" x14ac:dyDescent="0.25">
      <c r="A2037" s="334"/>
      <c r="B2037" s="334"/>
      <c r="C2037" s="332"/>
      <c r="D2037" s="334"/>
      <c r="E2037" s="335"/>
      <c r="F2037" s="334"/>
      <c r="G2037" s="332"/>
      <c r="H2037" s="332"/>
      <c r="I2037" s="334"/>
      <c r="J2037" s="336"/>
      <c r="K2037" s="332"/>
      <c r="L2037" s="332"/>
      <c r="M2037" s="76"/>
      <c r="N2037" s="103" t="str">
        <f>IF(A2037="","",VLOOKUP(A2037,Stand!C:K,9,0))</f>
        <v/>
      </c>
      <c r="O2037" s="104" t="str">
        <f t="shared" si="875"/>
        <v/>
      </c>
      <c r="P2037" s="105" t="str">
        <f t="shared" si="876"/>
        <v/>
      </c>
      <c r="Q2037" s="105" t="str">
        <f t="shared" si="891"/>
        <v/>
      </c>
      <c r="R2037" s="103" t="str">
        <f t="shared" si="877"/>
        <v/>
      </c>
      <c r="S2037" s="103" t="str">
        <f t="shared" si="878"/>
        <v/>
      </c>
      <c r="T2037" s="106" t="str">
        <f t="shared" si="892"/>
        <v/>
      </c>
      <c r="U2037" s="106" t="str">
        <f t="shared" si="893"/>
        <v/>
      </c>
      <c r="V2037" s="106" t="str">
        <f t="shared" si="894"/>
        <v/>
      </c>
      <c r="W2037" s="105" t="str">
        <f t="shared" si="879"/>
        <v/>
      </c>
      <c r="X2037" s="104" t="str">
        <f t="shared" si="884"/>
        <v/>
      </c>
      <c r="Y2037" s="104" t="str">
        <f t="array" ref="Y2037">IFERROR(IF(ISNUMBER(O2037),IF(COUNT(IF(A2037=$A$2:$A$2427,IF(D2037=$D$2:$D$2427,IF($X$2:$X$2427&gt;0,1))))&gt;0,SUM(IF(A2037=$A$2:$A$2427,IF(D2037=$D$2:$D$2427,$X$2:$X$2427)))/COUNT(IF(A2037=$A$2:$A$2427,IF(D2037=$D$2:$D$2427,IF(ISNUMBER($X$2:$X$2427),1)))),0),""),0)</f>
        <v/>
      </c>
      <c r="Z2037" s="104" t="str">
        <f>IF(ISNUMBER(O2037),IF(I2037&gt;0,(10^(VLOOKUP(D2037,'Species Codes'!B:C,2,0)+VLOOKUP(D2037,'Species Codes'!B:D,3,0)*LOG(E2037)+VLOOKUP(D2037,'Species Codes'!B:E,4,0)*LOG(I2037))),0),"")</f>
        <v/>
      </c>
      <c r="AA2037" s="104" t="str">
        <f>IFERROR((VLOOKUP(D2037,'Species Codes'!B:G,6,0)*Z2037)/2000,"")</f>
        <v/>
      </c>
      <c r="AB2037" s="104" t="e">
        <f>IF(Z2037&gt;0,((IF(OR(D2037="DF",D2037="RA")=TRUE,EXP(VLOOKUP(D2037,'Species Codes'!B:I,8,0)+VLOOKUP(D2037,'Species Codes'!B:J,9,0)*(LN((E2037*2.54)))),IF(OR(D2037="PY",D2037="RC",D2037="WH",D2037="NF")=TRUE,VLOOKUP(D2037,'Species Codes'!B:I,8,0)+VLOOKUP(D2037,'Species Codes'!B:J,9,0)*((E2037*2.54)^2)*(I2037*0.3048),IF(OR(D2037="MD",D2037="BM",D2037="GA")=TRUE,((VLOOKUP(D2037,'Species Codes'!B:I,8,0)*(((((E2037*2.54)+VLOOKUP(D2037,'Species Codes'!B:J,9,0))/VLOOKUP(D2037,'Species Codes'!B:K,10,0))^VLOOKUP(D2037,'Species Codes'!B:L,11,0))*((I2037*0.3048)^VLOOKUP(D2037,'Species Codes'!B:M,12,0))))-(VLOOKUP(D2037,'Species Codes'!B:I,8,0)*((((E2037*2.54)^VLOOKUP(D2037,'Species Codes'!B:L,11,0))*((I2037*0.3048)^VLOOKUP(D2037,'Species Codes'!B:M,12,0))))))*35.3*VLOOKUP(D2037,'Species Codes'!B:G,6,0)/2.2046,VLOOKUP(D2037,'Species Codes'!B:I,8,0)+VLOOKUP(D2037,'Species Codes'!B:J,9,0)*(((E2037*2.54)/100)^2)*(I2037*0.3048)))))*0.0011023),0)</f>
        <v>#N/A</v>
      </c>
      <c r="AC2037" s="104" t="e">
        <f>IF(Z2037&gt;0,((IF(OR(D2037="RA",D2037="OA",D2037="OT",D2037="UN",D2037="PC"),EXP(VLOOKUP(D2037,'Species Codes'!B:O,14,0)+VLOOKUP(D2037,'Species Codes'!B:P,15,0)*LN((E2037*2.54)))-EXP(VLOOKUP(D2037,'Species Codes'!B:O,14,0)+VLOOKUP(D2037,'Species Codes'!B:P,15,0)*LN((E2037*2.54)))*(1/(VLOOKUP(D2037,'Species Codes'!B:Q,16,0)+VLOOKUP(D2037,'Species Codes'!B:R,17,0)*((E2037*2.54)^VLOOKUP(D2037,'Species Codes'!B:S,18,0)))),IF(OR(D2037="BM",D2037="MD",D2037="OA"),EXP(VLOOKUP(D2037,'Species Codes'!B:O,14,0)+VLOOKUP(D2037,'Species Codes'!B:P,15,0)*LN((E2037*2.54)))*(1-(1/(VLOOKUP(D2037,'Species Codes'!B:Q,16,0)+VLOOKUP(D2037,'Species Codes'!B:R,17,0)*((E2037*2.54)^VLOOKUP(D2037,'Species Codes'!B:S,18,0)))))/1000,IF(D2037="DF",EXP(VLOOKUP(D2037,'Species Codes'!B:O,14,0)+VLOOKUP(D2037,'Species Codes'!B:P,15,0)*LN((E2037*2.54))),VLOOKUP(D2037,'Species Codes'!B:O,14,0)+VLOOKUP(D2037,'Species Codes'!B:P,15,0)*(((E2037*2.54)/100)^2)*(I2037*0.3048)))))*0.0011023),0)</f>
        <v>#N/A</v>
      </c>
      <c r="AD2037" s="104" t="e">
        <f t="shared" si="895"/>
        <v>#N/A</v>
      </c>
      <c r="AE2037" s="104" t="e">
        <f t="shared" si="896"/>
        <v>#N/A</v>
      </c>
      <c r="AF2037" s="104" t="e">
        <f>IF(AND(VLOOKUP($D2037,Merchantability!$B:$C,2,0)="Yes",$E2037&gt;=VLOOKUP($D2037,Merchantability!$B:$D,3,0),$E2037&lt;=VLOOKUP($D2037,Merchantability!$B:$E,4,0)),AA2037,0)</f>
        <v>#N/A</v>
      </c>
      <c r="AG2037" s="104" t="e">
        <f>IF(AND(VLOOKUP($D2037,Merchantability!$B:$C,2,0)="Yes",$E2037&gt;=VLOOKUP($D2037,Merchantability!$B:$D,3,0),$E2037&lt;=VLOOKUP($D2037,Merchantability!$B:$E,4,0)),AB2037,0)</f>
        <v>#N/A</v>
      </c>
      <c r="AH2037" s="104" t="e">
        <f>IF(AND(VLOOKUP($D2037,Merchantability!$B:$C,2,0)="Yes",$E2037&gt;=VLOOKUP($D2037,Merchantability!$B:$D,3,0),$E2037&lt;=VLOOKUP($D2037,Merchantability!$B:$E,4,0)),AC2037,0)</f>
        <v>#N/A</v>
      </c>
      <c r="AI2037" s="104" t="e">
        <f t="shared" si="897"/>
        <v>#N/A</v>
      </c>
      <c r="AJ2037" s="104" t="e">
        <f t="shared" si="898"/>
        <v>#VALUE!</v>
      </c>
      <c r="AK2037" s="104" t="e">
        <f t="shared" si="899"/>
        <v>#N/A</v>
      </c>
      <c r="AL2037" s="104" t="e">
        <f t="shared" si="900"/>
        <v>#N/A</v>
      </c>
      <c r="AM2037" s="104" t="e">
        <f t="shared" si="901"/>
        <v>#N/A</v>
      </c>
      <c r="AN2037" s="104" t="e">
        <f t="shared" si="885"/>
        <v>#N/A</v>
      </c>
      <c r="AO2037" s="104" t="e">
        <f t="shared" si="886"/>
        <v>#N/A</v>
      </c>
      <c r="AP2037" s="104" t="e">
        <f t="shared" si="887"/>
        <v>#N/A</v>
      </c>
      <c r="AQ2037" s="104" t="e">
        <f t="shared" si="888"/>
        <v>#N/A</v>
      </c>
      <c r="AR2037" s="105" t="str">
        <f t="shared" si="880"/>
        <v/>
      </c>
      <c r="AS2037" s="105" t="str">
        <f t="shared" si="881"/>
        <v/>
      </c>
      <c r="AT2037" s="108" t="str">
        <f t="shared" si="882"/>
        <v/>
      </c>
      <c r="AU2037" s="108" t="str">
        <f t="shared" si="883"/>
        <v/>
      </c>
      <c r="AV2037" s="107" t="str">
        <f>IF(ISNUMBER(O2037),IF(VLOOKUP($A2037,Stand!C:J,8,FALSE)="Short",AT2037,AU2037),"")</f>
        <v/>
      </c>
      <c r="AW2037" s="109" t="str">
        <f t="shared" si="889"/>
        <v/>
      </c>
      <c r="AX2037" s="109" t="str">
        <f t="shared" si="890"/>
        <v/>
      </c>
      <c r="AY2037" s="112" t="str">
        <f>IF(ISNUMBER(O2037),IF(AND(VLOOKUP($D2037,Merchantability!$B:$C,2,0)="Yes",$E2037&gt;=VLOOKUP($D2037,Merchantability!$B:$D,3,0),$E2037&lt;=VLOOKUP($D2037,Merchantability!$B:$E,4,0)),(AV2037*O2037)*(1-$H2037/100),""),"")</f>
        <v/>
      </c>
      <c r="AZ2037" s="116"/>
      <c r="BA2037" s="116"/>
      <c r="BB2037" s="116"/>
      <c r="BE2037" s="62"/>
      <c r="BF2037" s="63"/>
    </row>
    <row r="2038" spans="1:58" ht="12.75" customHeight="1" x14ac:dyDescent="0.25">
      <c r="A2038" s="334"/>
      <c r="B2038" s="334"/>
      <c r="C2038" s="332"/>
      <c r="D2038" s="334"/>
      <c r="E2038" s="335"/>
      <c r="F2038" s="334"/>
      <c r="G2038" s="332"/>
      <c r="H2038" s="332"/>
      <c r="I2038" s="334"/>
      <c r="J2038" s="336"/>
      <c r="K2038" s="332"/>
      <c r="L2038" s="332"/>
      <c r="M2038" s="76"/>
      <c r="N2038" s="103" t="str">
        <f>IF(A2038="","",VLOOKUP(A2038,Stand!C:K,9,0))</f>
        <v/>
      </c>
      <c r="O2038" s="104" t="str">
        <f t="shared" si="875"/>
        <v/>
      </c>
      <c r="P2038" s="105" t="str">
        <f t="shared" si="876"/>
        <v/>
      </c>
      <c r="Q2038" s="105" t="str">
        <f t="shared" si="891"/>
        <v/>
      </c>
      <c r="R2038" s="103" t="str">
        <f t="shared" si="877"/>
        <v/>
      </c>
      <c r="S2038" s="103" t="str">
        <f t="shared" si="878"/>
        <v/>
      </c>
      <c r="T2038" s="106" t="str">
        <f t="shared" si="892"/>
        <v/>
      </c>
      <c r="U2038" s="106" t="str">
        <f t="shared" si="893"/>
        <v/>
      </c>
      <c r="V2038" s="106" t="str">
        <f t="shared" si="894"/>
        <v/>
      </c>
      <c r="W2038" s="105" t="str">
        <f t="shared" si="879"/>
        <v/>
      </c>
      <c r="X2038" s="104" t="str">
        <f t="shared" si="884"/>
        <v/>
      </c>
      <c r="Y2038" s="104" t="str">
        <f t="array" ref="Y2038">IFERROR(IF(ISNUMBER(O2038),IF(COUNT(IF(A2038=$A$2:$A$2427,IF(D2038=$D$2:$D$2427,IF($X$2:$X$2427&gt;0,1))))&gt;0,SUM(IF(A2038=$A$2:$A$2427,IF(D2038=$D$2:$D$2427,$X$2:$X$2427)))/COUNT(IF(A2038=$A$2:$A$2427,IF(D2038=$D$2:$D$2427,IF(ISNUMBER($X$2:$X$2427),1)))),0),""),0)</f>
        <v/>
      </c>
      <c r="Z2038" s="104" t="str">
        <f>IF(ISNUMBER(O2038),IF(I2038&gt;0,(10^(VLOOKUP(D2038,'Species Codes'!B:C,2,0)+VLOOKUP(D2038,'Species Codes'!B:D,3,0)*LOG(E2038)+VLOOKUP(D2038,'Species Codes'!B:E,4,0)*LOG(I2038))),0),"")</f>
        <v/>
      </c>
      <c r="AA2038" s="104" t="str">
        <f>IFERROR((VLOOKUP(D2038,'Species Codes'!B:G,6,0)*Z2038)/2000,"")</f>
        <v/>
      </c>
      <c r="AB2038" s="104" t="e">
        <f>IF(Z2038&gt;0,((IF(OR(D2038="DF",D2038="RA")=TRUE,EXP(VLOOKUP(D2038,'Species Codes'!B:I,8,0)+VLOOKUP(D2038,'Species Codes'!B:J,9,0)*(LN((E2038*2.54)))),IF(OR(D2038="PY",D2038="RC",D2038="WH",D2038="NF")=TRUE,VLOOKUP(D2038,'Species Codes'!B:I,8,0)+VLOOKUP(D2038,'Species Codes'!B:J,9,0)*((E2038*2.54)^2)*(I2038*0.3048),IF(OR(D2038="MD",D2038="BM",D2038="GA")=TRUE,((VLOOKUP(D2038,'Species Codes'!B:I,8,0)*(((((E2038*2.54)+VLOOKUP(D2038,'Species Codes'!B:J,9,0))/VLOOKUP(D2038,'Species Codes'!B:K,10,0))^VLOOKUP(D2038,'Species Codes'!B:L,11,0))*((I2038*0.3048)^VLOOKUP(D2038,'Species Codes'!B:M,12,0))))-(VLOOKUP(D2038,'Species Codes'!B:I,8,0)*((((E2038*2.54)^VLOOKUP(D2038,'Species Codes'!B:L,11,0))*((I2038*0.3048)^VLOOKUP(D2038,'Species Codes'!B:M,12,0))))))*35.3*VLOOKUP(D2038,'Species Codes'!B:G,6,0)/2.2046,VLOOKUP(D2038,'Species Codes'!B:I,8,0)+VLOOKUP(D2038,'Species Codes'!B:J,9,0)*(((E2038*2.54)/100)^2)*(I2038*0.3048)))))*0.0011023),0)</f>
        <v>#N/A</v>
      </c>
      <c r="AC2038" s="104" t="e">
        <f>IF(Z2038&gt;0,((IF(OR(D2038="RA",D2038="OA",D2038="OT",D2038="UN",D2038="PC"),EXP(VLOOKUP(D2038,'Species Codes'!B:O,14,0)+VLOOKUP(D2038,'Species Codes'!B:P,15,0)*LN((E2038*2.54)))-EXP(VLOOKUP(D2038,'Species Codes'!B:O,14,0)+VLOOKUP(D2038,'Species Codes'!B:P,15,0)*LN((E2038*2.54)))*(1/(VLOOKUP(D2038,'Species Codes'!B:Q,16,0)+VLOOKUP(D2038,'Species Codes'!B:R,17,0)*((E2038*2.54)^VLOOKUP(D2038,'Species Codes'!B:S,18,0)))),IF(OR(D2038="BM",D2038="MD",D2038="OA"),EXP(VLOOKUP(D2038,'Species Codes'!B:O,14,0)+VLOOKUP(D2038,'Species Codes'!B:P,15,0)*LN((E2038*2.54)))*(1-(1/(VLOOKUP(D2038,'Species Codes'!B:Q,16,0)+VLOOKUP(D2038,'Species Codes'!B:R,17,0)*((E2038*2.54)^VLOOKUP(D2038,'Species Codes'!B:S,18,0)))))/1000,IF(D2038="DF",EXP(VLOOKUP(D2038,'Species Codes'!B:O,14,0)+VLOOKUP(D2038,'Species Codes'!B:P,15,0)*LN((E2038*2.54))),VLOOKUP(D2038,'Species Codes'!B:O,14,0)+VLOOKUP(D2038,'Species Codes'!B:P,15,0)*(((E2038*2.54)/100)^2)*(I2038*0.3048)))))*0.0011023),0)</f>
        <v>#N/A</v>
      </c>
      <c r="AD2038" s="104" t="e">
        <f t="shared" si="895"/>
        <v>#N/A</v>
      </c>
      <c r="AE2038" s="104" t="e">
        <f t="shared" si="896"/>
        <v>#N/A</v>
      </c>
      <c r="AF2038" s="104" t="e">
        <f>IF(AND(VLOOKUP($D2038,Merchantability!$B:$C,2,0)="Yes",$E2038&gt;=VLOOKUP($D2038,Merchantability!$B:$D,3,0),$E2038&lt;=VLOOKUP($D2038,Merchantability!$B:$E,4,0)),AA2038,0)</f>
        <v>#N/A</v>
      </c>
      <c r="AG2038" s="104" t="e">
        <f>IF(AND(VLOOKUP($D2038,Merchantability!$B:$C,2,0)="Yes",$E2038&gt;=VLOOKUP($D2038,Merchantability!$B:$D,3,0),$E2038&lt;=VLOOKUP($D2038,Merchantability!$B:$E,4,0)),AB2038,0)</f>
        <v>#N/A</v>
      </c>
      <c r="AH2038" s="104" t="e">
        <f>IF(AND(VLOOKUP($D2038,Merchantability!$B:$C,2,0)="Yes",$E2038&gt;=VLOOKUP($D2038,Merchantability!$B:$D,3,0),$E2038&lt;=VLOOKUP($D2038,Merchantability!$B:$E,4,0)),AC2038,0)</f>
        <v>#N/A</v>
      </c>
      <c r="AI2038" s="104" t="e">
        <f t="shared" si="897"/>
        <v>#N/A</v>
      </c>
      <c r="AJ2038" s="104" t="e">
        <f t="shared" si="898"/>
        <v>#VALUE!</v>
      </c>
      <c r="AK2038" s="104" t="e">
        <f t="shared" si="899"/>
        <v>#N/A</v>
      </c>
      <c r="AL2038" s="104" t="e">
        <f t="shared" si="900"/>
        <v>#N/A</v>
      </c>
      <c r="AM2038" s="104" t="e">
        <f t="shared" si="901"/>
        <v>#N/A</v>
      </c>
      <c r="AN2038" s="104" t="e">
        <f t="shared" si="885"/>
        <v>#N/A</v>
      </c>
      <c r="AO2038" s="104" t="e">
        <f t="shared" si="886"/>
        <v>#N/A</v>
      </c>
      <c r="AP2038" s="104" t="e">
        <f t="shared" si="887"/>
        <v>#N/A</v>
      </c>
      <c r="AQ2038" s="104" t="e">
        <f t="shared" si="888"/>
        <v>#N/A</v>
      </c>
      <c r="AR2038" s="105" t="str">
        <f t="shared" si="880"/>
        <v/>
      </c>
      <c r="AS2038" s="105" t="str">
        <f t="shared" si="881"/>
        <v/>
      </c>
      <c r="AT2038" s="108" t="str">
        <f t="shared" si="882"/>
        <v/>
      </c>
      <c r="AU2038" s="108" t="str">
        <f t="shared" si="883"/>
        <v/>
      </c>
      <c r="AV2038" s="107" t="str">
        <f>IF(ISNUMBER(O2038),IF(VLOOKUP($A2038,Stand!C:J,8,FALSE)="Short",AT2038,AU2038),"")</f>
        <v/>
      </c>
      <c r="AW2038" s="109" t="str">
        <f t="shared" si="889"/>
        <v/>
      </c>
      <c r="AX2038" s="109" t="str">
        <f t="shared" si="890"/>
        <v/>
      </c>
      <c r="AY2038" s="112" t="str">
        <f>IF(ISNUMBER(O2038),IF(AND(VLOOKUP($D2038,Merchantability!$B:$C,2,0)="Yes",$E2038&gt;=VLOOKUP($D2038,Merchantability!$B:$D,3,0),$E2038&lt;=VLOOKUP($D2038,Merchantability!$B:$E,4,0)),(AV2038*O2038)*(1-$H2038/100),""),"")</f>
        <v/>
      </c>
      <c r="AZ2038" s="116"/>
      <c r="BA2038" s="116"/>
      <c r="BB2038" s="116"/>
      <c r="BE2038" s="62"/>
      <c r="BF2038" s="63"/>
    </row>
    <row r="2039" spans="1:58" ht="12.75" customHeight="1" x14ac:dyDescent="0.25">
      <c r="A2039" s="334"/>
      <c r="B2039" s="334"/>
      <c r="C2039" s="332"/>
      <c r="D2039" s="334"/>
      <c r="E2039" s="335"/>
      <c r="F2039" s="334"/>
      <c r="G2039" s="332"/>
      <c r="H2039" s="332"/>
      <c r="I2039" s="334"/>
      <c r="J2039" s="336"/>
      <c r="K2039" s="332"/>
      <c r="L2039" s="332"/>
      <c r="M2039" s="76"/>
      <c r="N2039" s="103" t="str">
        <f>IF(A2039="","",VLOOKUP(A2039,Stand!C:K,9,0))</f>
        <v/>
      </c>
      <c r="O2039" s="104" t="str">
        <f t="shared" si="875"/>
        <v/>
      </c>
      <c r="P2039" s="105" t="str">
        <f t="shared" si="876"/>
        <v/>
      </c>
      <c r="Q2039" s="105" t="str">
        <f t="shared" si="891"/>
        <v/>
      </c>
      <c r="R2039" s="103" t="str">
        <f t="shared" si="877"/>
        <v/>
      </c>
      <c r="S2039" s="103" t="str">
        <f t="shared" si="878"/>
        <v/>
      </c>
      <c r="T2039" s="106" t="str">
        <f t="shared" si="892"/>
        <v/>
      </c>
      <c r="U2039" s="106" t="str">
        <f t="shared" si="893"/>
        <v/>
      </c>
      <c r="V2039" s="106" t="str">
        <f t="shared" si="894"/>
        <v/>
      </c>
      <c r="W2039" s="105" t="str">
        <f t="shared" si="879"/>
        <v/>
      </c>
      <c r="X2039" s="104" t="str">
        <f t="shared" si="884"/>
        <v/>
      </c>
      <c r="Y2039" s="104" t="str">
        <f t="array" ref="Y2039">IFERROR(IF(ISNUMBER(O2039),IF(COUNT(IF(A2039=$A$2:$A$2427,IF(D2039=$D$2:$D$2427,IF($X$2:$X$2427&gt;0,1))))&gt;0,SUM(IF(A2039=$A$2:$A$2427,IF(D2039=$D$2:$D$2427,$X$2:$X$2427)))/COUNT(IF(A2039=$A$2:$A$2427,IF(D2039=$D$2:$D$2427,IF(ISNUMBER($X$2:$X$2427),1)))),0),""),0)</f>
        <v/>
      </c>
      <c r="Z2039" s="104" t="str">
        <f>IF(ISNUMBER(O2039),IF(I2039&gt;0,(10^(VLOOKUP(D2039,'Species Codes'!B:C,2,0)+VLOOKUP(D2039,'Species Codes'!B:D,3,0)*LOG(E2039)+VLOOKUP(D2039,'Species Codes'!B:E,4,0)*LOG(I2039))),0),"")</f>
        <v/>
      </c>
      <c r="AA2039" s="104" t="str">
        <f>IFERROR((VLOOKUP(D2039,'Species Codes'!B:G,6,0)*Z2039)/2000,"")</f>
        <v/>
      </c>
      <c r="AB2039" s="104" t="e">
        <f>IF(Z2039&gt;0,((IF(OR(D2039="DF",D2039="RA")=TRUE,EXP(VLOOKUP(D2039,'Species Codes'!B:I,8,0)+VLOOKUP(D2039,'Species Codes'!B:J,9,0)*(LN((E2039*2.54)))),IF(OR(D2039="PY",D2039="RC",D2039="WH",D2039="NF")=TRUE,VLOOKUP(D2039,'Species Codes'!B:I,8,0)+VLOOKUP(D2039,'Species Codes'!B:J,9,0)*((E2039*2.54)^2)*(I2039*0.3048),IF(OR(D2039="MD",D2039="BM",D2039="GA")=TRUE,((VLOOKUP(D2039,'Species Codes'!B:I,8,0)*(((((E2039*2.54)+VLOOKUP(D2039,'Species Codes'!B:J,9,0))/VLOOKUP(D2039,'Species Codes'!B:K,10,0))^VLOOKUP(D2039,'Species Codes'!B:L,11,0))*((I2039*0.3048)^VLOOKUP(D2039,'Species Codes'!B:M,12,0))))-(VLOOKUP(D2039,'Species Codes'!B:I,8,0)*((((E2039*2.54)^VLOOKUP(D2039,'Species Codes'!B:L,11,0))*((I2039*0.3048)^VLOOKUP(D2039,'Species Codes'!B:M,12,0))))))*35.3*VLOOKUP(D2039,'Species Codes'!B:G,6,0)/2.2046,VLOOKUP(D2039,'Species Codes'!B:I,8,0)+VLOOKUP(D2039,'Species Codes'!B:J,9,0)*(((E2039*2.54)/100)^2)*(I2039*0.3048)))))*0.0011023),0)</f>
        <v>#N/A</v>
      </c>
      <c r="AC2039" s="104" t="e">
        <f>IF(Z2039&gt;0,((IF(OR(D2039="RA",D2039="OA",D2039="OT",D2039="UN",D2039="PC"),EXP(VLOOKUP(D2039,'Species Codes'!B:O,14,0)+VLOOKUP(D2039,'Species Codes'!B:P,15,0)*LN((E2039*2.54)))-EXP(VLOOKUP(D2039,'Species Codes'!B:O,14,0)+VLOOKUP(D2039,'Species Codes'!B:P,15,0)*LN((E2039*2.54)))*(1/(VLOOKUP(D2039,'Species Codes'!B:Q,16,0)+VLOOKUP(D2039,'Species Codes'!B:R,17,0)*((E2039*2.54)^VLOOKUP(D2039,'Species Codes'!B:S,18,0)))),IF(OR(D2039="BM",D2039="MD",D2039="OA"),EXP(VLOOKUP(D2039,'Species Codes'!B:O,14,0)+VLOOKUP(D2039,'Species Codes'!B:P,15,0)*LN((E2039*2.54)))*(1-(1/(VLOOKUP(D2039,'Species Codes'!B:Q,16,0)+VLOOKUP(D2039,'Species Codes'!B:R,17,0)*((E2039*2.54)^VLOOKUP(D2039,'Species Codes'!B:S,18,0)))))/1000,IF(D2039="DF",EXP(VLOOKUP(D2039,'Species Codes'!B:O,14,0)+VLOOKUP(D2039,'Species Codes'!B:P,15,0)*LN((E2039*2.54))),VLOOKUP(D2039,'Species Codes'!B:O,14,0)+VLOOKUP(D2039,'Species Codes'!B:P,15,0)*(((E2039*2.54)/100)^2)*(I2039*0.3048)))))*0.0011023),0)</f>
        <v>#N/A</v>
      </c>
      <c r="AD2039" s="104" t="e">
        <f t="shared" si="895"/>
        <v>#N/A</v>
      </c>
      <c r="AE2039" s="104" t="e">
        <f t="shared" si="896"/>
        <v>#N/A</v>
      </c>
      <c r="AF2039" s="104" t="e">
        <f>IF(AND(VLOOKUP($D2039,Merchantability!$B:$C,2,0)="Yes",$E2039&gt;=VLOOKUP($D2039,Merchantability!$B:$D,3,0),$E2039&lt;=VLOOKUP($D2039,Merchantability!$B:$E,4,0)),AA2039,0)</f>
        <v>#N/A</v>
      </c>
      <c r="AG2039" s="104" t="e">
        <f>IF(AND(VLOOKUP($D2039,Merchantability!$B:$C,2,0)="Yes",$E2039&gt;=VLOOKUP($D2039,Merchantability!$B:$D,3,0),$E2039&lt;=VLOOKUP($D2039,Merchantability!$B:$E,4,0)),AB2039,0)</f>
        <v>#N/A</v>
      </c>
      <c r="AH2039" s="104" t="e">
        <f>IF(AND(VLOOKUP($D2039,Merchantability!$B:$C,2,0)="Yes",$E2039&gt;=VLOOKUP($D2039,Merchantability!$B:$D,3,0),$E2039&lt;=VLOOKUP($D2039,Merchantability!$B:$E,4,0)),AC2039,0)</f>
        <v>#N/A</v>
      </c>
      <c r="AI2039" s="104" t="e">
        <f t="shared" si="897"/>
        <v>#N/A</v>
      </c>
      <c r="AJ2039" s="104" t="e">
        <f t="shared" si="898"/>
        <v>#VALUE!</v>
      </c>
      <c r="AK2039" s="104" t="e">
        <f t="shared" si="899"/>
        <v>#N/A</v>
      </c>
      <c r="AL2039" s="104" t="e">
        <f t="shared" si="900"/>
        <v>#N/A</v>
      </c>
      <c r="AM2039" s="104" t="e">
        <f t="shared" si="901"/>
        <v>#N/A</v>
      </c>
      <c r="AN2039" s="104" t="e">
        <f t="shared" si="885"/>
        <v>#N/A</v>
      </c>
      <c r="AO2039" s="104" t="e">
        <f t="shared" si="886"/>
        <v>#N/A</v>
      </c>
      <c r="AP2039" s="104" t="e">
        <f t="shared" si="887"/>
        <v>#N/A</v>
      </c>
      <c r="AQ2039" s="104" t="e">
        <f t="shared" si="888"/>
        <v>#N/A</v>
      </c>
      <c r="AR2039" s="105" t="str">
        <f t="shared" si="880"/>
        <v/>
      </c>
      <c r="AS2039" s="105" t="str">
        <f t="shared" si="881"/>
        <v/>
      </c>
      <c r="AT2039" s="108" t="str">
        <f t="shared" si="882"/>
        <v/>
      </c>
      <c r="AU2039" s="108" t="str">
        <f t="shared" si="883"/>
        <v/>
      </c>
      <c r="AV2039" s="107" t="str">
        <f>IF(ISNUMBER(O2039),IF(VLOOKUP($A2039,Stand!C:J,8,FALSE)="Short",AT2039,AU2039),"")</f>
        <v/>
      </c>
      <c r="AW2039" s="109" t="str">
        <f t="shared" si="889"/>
        <v/>
      </c>
      <c r="AX2039" s="109" t="str">
        <f t="shared" si="890"/>
        <v/>
      </c>
      <c r="AY2039" s="112" t="str">
        <f>IF(ISNUMBER(O2039),IF(AND(VLOOKUP($D2039,Merchantability!$B:$C,2,0)="Yes",$E2039&gt;=VLOOKUP($D2039,Merchantability!$B:$D,3,0),$E2039&lt;=VLOOKUP($D2039,Merchantability!$B:$E,4,0)),(AV2039*O2039)*(1-$H2039/100),""),"")</f>
        <v/>
      </c>
      <c r="AZ2039" s="116"/>
      <c r="BA2039" s="116"/>
      <c r="BB2039" s="116"/>
      <c r="BE2039" s="62"/>
      <c r="BF2039" s="63"/>
    </row>
    <row r="2040" spans="1:58" ht="12.75" customHeight="1" x14ac:dyDescent="0.25">
      <c r="A2040" s="334"/>
      <c r="B2040" s="334"/>
      <c r="C2040" s="332"/>
      <c r="D2040" s="334"/>
      <c r="E2040" s="335"/>
      <c r="F2040" s="334"/>
      <c r="G2040" s="332"/>
      <c r="H2040" s="332"/>
      <c r="I2040" s="334"/>
      <c r="J2040" s="336"/>
      <c r="K2040" s="332"/>
      <c r="L2040" s="332"/>
      <c r="M2040" s="76"/>
      <c r="N2040" s="103" t="str">
        <f>IF(A2040="","",VLOOKUP(A2040,Stand!C:K,9,0))</f>
        <v/>
      </c>
      <c r="O2040" s="104" t="str">
        <f t="shared" si="875"/>
        <v/>
      </c>
      <c r="P2040" s="105" t="str">
        <f t="shared" si="876"/>
        <v/>
      </c>
      <c r="Q2040" s="105" t="str">
        <f t="shared" si="891"/>
        <v/>
      </c>
      <c r="R2040" s="103" t="str">
        <f t="shared" si="877"/>
        <v/>
      </c>
      <c r="S2040" s="103" t="str">
        <f t="shared" si="878"/>
        <v/>
      </c>
      <c r="T2040" s="106" t="str">
        <f t="shared" si="892"/>
        <v/>
      </c>
      <c r="U2040" s="106" t="str">
        <f t="shared" si="893"/>
        <v/>
      </c>
      <c r="V2040" s="106" t="str">
        <f t="shared" si="894"/>
        <v/>
      </c>
      <c r="W2040" s="105" t="str">
        <f t="shared" si="879"/>
        <v/>
      </c>
      <c r="X2040" s="104" t="str">
        <f t="shared" si="884"/>
        <v/>
      </c>
      <c r="Y2040" s="104" t="str">
        <f t="array" ref="Y2040">IFERROR(IF(ISNUMBER(O2040),IF(COUNT(IF(A2040=$A$2:$A$2427,IF(D2040=$D$2:$D$2427,IF($X$2:$X$2427&gt;0,1))))&gt;0,SUM(IF(A2040=$A$2:$A$2427,IF(D2040=$D$2:$D$2427,$X$2:$X$2427)))/COUNT(IF(A2040=$A$2:$A$2427,IF(D2040=$D$2:$D$2427,IF(ISNUMBER($X$2:$X$2427),1)))),0),""),0)</f>
        <v/>
      </c>
      <c r="Z2040" s="104" t="str">
        <f>IF(ISNUMBER(O2040),IF(I2040&gt;0,(10^(VLOOKUP(D2040,'Species Codes'!B:C,2,0)+VLOOKUP(D2040,'Species Codes'!B:D,3,0)*LOG(E2040)+VLOOKUP(D2040,'Species Codes'!B:E,4,0)*LOG(I2040))),0),"")</f>
        <v/>
      </c>
      <c r="AA2040" s="104" t="str">
        <f>IFERROR((VLOOKUP(D2040,'Species Codes'!B:G,6,0)*Z2040)/2000,"")</f>
        <v/>
      </c>
      <c r="AB2040" s="104" t="e">
        <f>IF(Z2040&gt;0,((IF(OR(D2040="DF",D2040="RA")=TRUE,EXP(VLOOKUP(D2040,'Species Codes'!B:I,8,0)+VLOOKUP(D2040,'Species Codes'!B:J,9,0)*(LN((E2040*2.54)))),IF(OR(D2040="PY",D2040="RC",D2040="WH",D2040="NF")=TRUE,VLOOKUP(D2040,'Species Codes'!B:I,8,0)+VLOOKUP(D2040,'Species Codes'!B:J,9,0)*((E2040*2.54)^2)*(I2040*0.3048),IF(OR(D2040="MD",D2040="BM",D2040="GA")=TRUE,((VLOOKUP(D2040,'Species Codes'!B:I,8,0)*(((((E2040*2.54)+VLOOKUP(D2040,'Species Codes'!B:J,9,0))/VLOOKUP(D2040,'Species Codes'!B:K,10,0))^VLOOKUP(D2040,'Species Codes'!B:L,11,0))*((I2040*0.3048)^VLOOKUP(D2040,'Species Codes'!B:M,12,0))))-(VLOOKUP(D2040,'Species Codes'!B:I,8,0)*((((E2040*2.54)^VLOOKUP(D2040,'Species Codes'!B:L,11,0))*((I2040*0.3048)^VLOOKUP(D2040,'Species Codes'!B:M,12,0))))))*35.3*VLOOKUP(D2040,'Species Codes'!B:G,6,0)/2.2046,VLOOKUP(D2040,'Species Codes'!B:I,8,0)+VLOOKUP(D2040,'Species Codes'!B:J,9,0)*(((E2040*2.54)/100)^2)*(I2040*0.3048)))))*0.0011023),0)</f>
        <v>#N/A</v>
      </c>
      <c r="AC2040" s="104" t="e">
        <f>IF(Z2040&gt;0,((IF(OR(D2040="RA",D2040="OA",D2040="OT",D2040="UN",D2040="PC"),EXP(VLOOKUP(D2040,'Species Codes'!B:O,14,0)+VLOOKUP(D2040,'Species Codes'!B:P,15,0)*LN((E2040*2.54)))-EXP(VLOOKUP(D2040,'Species Codes'!B:O,14,0)+VLOOKUP(D2040,'Species Codes'!B:P,15,0)*LN((E2040*2.54)))*(1/(VLOOKUP(D2040,'Species Codes'!B:Q,16,0)+VLOOKUP(D2040,'Species Codes'!B:R,17,0)*((E2040*2.54)^VLOOKUP(D2040,'Species Codes'!B:S,18,0)))),IF(OR(D2040="BM",D2040="MD",D2040="OA"),EXP(VLOOKUP(D2040,'Species Codes'!B:O,14,0)+VLOOKUP(D2040,'Species Codes'!B:P,15,0)*LN((E2040*2.54)))*(1-(1/(VLOOKUP(D2040,'Species Codes'!B:Q,16,0)+VLOOKUP(D2040,'Species Codes'!B:R,17,0)*((E2040*2.54)^VLOOKUP(D2040,'Species Codes'!B:S,18,0)))))/1000,IF(D2040="DF",EXP(VLOOKUP(D2040,'Species Codes'!B:O,14,0)+VLOOKUP(D2040,'Species Codes'!B:P,15,0)*LN((E2040*2.54))),VLOOKUP(D2040,'Species Codes'!B:O,14,0)+VLOOKUP(D2040,'Species Codes'!B:P,15,0)*(((E2040*2.54)/100)^2)*(I2040*0.3048)))))*0.0011023),0)</f>
        <v>#N/A</v>
      </c>
      <c r="AD2040" s="104" t="e">
        <f t="shared" si="895"/>
        <v>#N/A</v>
      </c>
      <c r="AE2040" s="104" t="e">
        <f t="shared" si="896"/>
        <v>#N/A</v>
      </c>
      <c r="AF2040" s="104" t="e">
        <f>IF(AND(VLOOKUP($D2040,Merchantability!$B:$C,2,0)="Yes",$E2040&gt;=VLOOKUP($D2040,Merchantability!$B:$D,3,0),$E2040&lt;=VLOOKUP($D2040,Merchantability!$B:$E,4,0)),AA2040,0)</f>
        <v>#N/A</v>
      </c>
      <c r="AG2040" s="104" t="e">
        <f>IF(AND(VLOOKUP($D2040,Merchantability!$B:$C,2,0)="Yes",$E2040&gt;=VLOOKUP($D2040,Merchantability!$B:$D,3,0),$E2040&lt;=VLOOKUP($D2040,Merchantability!$B:$E,4,0)),AB2040,0)</f>
        <v>#N/A</v>
      </c>
      <c r="AH2040" s="104" t="e">
        <f>IF(AND(VLOOKUP($D2040,Merchantability!$B:$C,2,0)="Yes",$E2040&gt;=VLOOKUP($D2040,Merchantability!$B:$D,3,0),$E2040&lt;=VLOOKUP($D2040,Merchantability!$B:$E,4,0)),AC2040,0)</f>
        <v>#N/A</v>
      </c>
      <c r="AI2040" s="104" t="e">
        <f t="shared" si="897"/>
        <v>#N/A</v>
      </c>
      <c r="AJ2040" s="104" t="e">
        <f t="shared" si="898"/>
        <v>#VALUE!</v>
      </c>
      <c r="AK2040" s="104" t="e">
        <f t="shared" si="899"/>
        <v>#N/A</v>
      </c>
      <c r="AL2040" s="104" t="e">
        <f t="shared" si="900"/>
        <v>#N/A</v>
      </c>
      <c r="AM2040" s="104" t="e">
        <f t="shared" si="901"/>
        <v>#N/A</v>
      </c>
      <c r="AN2040" s="104" t="e">
        <f t="shared" si="885"/>
        <v>#N/A</v>
      </c>
      <c r="AO2040" s="104" t="e">
        <f t="shared" si="886"/>
        <v>#N/A</v>
      </c>
      <c r="AP2040" s="104" t="e">
        <f t="shared" si="887"/>
        <v>#N/A</v>
      </c>
      <c r="AQ2040" s="104" t="e">
        <f t="shared" si="888"/>
        <v>#N/A</v>
      </c>
      <c r="AR2040" s="105" t="str">
        <f t="shared" si="880"/>
        <v/>
      </c>
      <c r="AS2040" s="105" t="str">
        <f t="shared" si="881"/>
        <v/>
      </c>
      <c r="AT2040" s="108" t="str">
        <f t="shared" si="882"/>
        <v/>
      </c>
      <c r="AU2040" s="108" t="str">
        <f t="shared" si="883"/>
        <v/>
      </c>
      <c r="AV2040" s="107" t="str">
        <f>IF(ISNUMBER(O2040),IF(VLOOKUP($A2040,Stand!C:J,8,FALSE)="Short",AT2040,AU2040),"")</f>
        <v/>
      </c>
      <c r="AW2040" s="109" t="str">
        <f t="shared" si="889"/>
        <v/>
      </c>
      <c r="AX2040" s="109" t="str">
        <f t="shared" si="890"/>
        <v/>
      </c>
      <c r="AY2040" s="112" t="str">
        <f>IF(ISNUMBER(O2040),IF(AND(VLOOKUP($D2040,Merchantability!$B:$C,2,0)="Yes",$E2040&gt;=VLOOKUP($D2040,Merchantability!$B:$D,3,0),$E2040&lt;=VLOOKUP($D2040,Merchantability!$B:$E,4,0)),(AV2040*O2040)*(1-$H2040/100),""),"")</f>
        <v/>
      </c>
      <c r="AZ2040" s="116"/>
      <c r="BA2040" s="116"/>
      <c r="BB2040" s="116"/>
      <c r="BE2040" s="62"/>
      <c r="BF2040" s="63"/>
    </row>
    <row r="2041" spans="1:58" ht="12.75" customHeight="1" x14ac:dyDescent="0.25">
      <c r="A2041" s="334"/>
      <c r="B2041" s="334"/>
      <c r="C2041" s="332"/>
      <c r="D2041" s="334"/>
      <c r="E2041" s="335"/>
      <c r="F2041" s="334"/>
      <c r="G2041" s="332"/>
      <c r="H2041" s="332"/>
      <c r="I2041" s="334"/>
      <c r="J2041" s="336"/>
      <c r="K2041" s="332"/>
      <c r="L2041" s="332"/>
      <c r="M2041" s="76"/>
      <c r="N2041" s="103" t="str">
        <f>IF(A2041="","",VLOOKUP(A2041,Stand!C:K,9,0))</f>
        <v/>
      </c>
      <c r="O2041" s="104" t="str">
        <f t="shared" si="875"/>
        <v/>
      </c>
      <c r="P2041" s="105" t="str">
        <f t="shared" si="876"/>
        <v/>
      </c>
      <c r="Q2041" s="105" t="str">
        <f t="shared" si="891"/>
        <v/>
      </c>
      <c r="R2041" s="103" t="str">
        <f t="shared" si="877"/>
        <v/>
      </c>
      <c r="S2041" s="103" t="str">
        <f t="shared" si="878"/>
        <v/>
      </c>
      <c r="T2041" s="106" t="str">
        <f t="shared" si="892"/>
        <v/>
      </c>
      <c r="U2041" s="106" t="str">
        <f t="shared" si="893"/>
        <v/>
      </c>
      <c r="V2041" s="106" t="str">
        <f t="shared" si="894"/>
        <v/>
      </c>
      <c r="W2041" s="105" t="str">
        <f t="shared" si="879"/>
        <v/>
      </c>
      <c r="X2041" s="104" t="str">
        <f t="shared" si="884"/>
        <v/>
      </c>
      <c r="Y2041" s="104" t="str">
        <f t="array" ref="Y2041">IFERROR(IF(ISNUMBER(O2041),IF(COUNT(IF(A2041=$A$2:$A$2427,IF(D2041=$D$2:$D$2427,IF($X$2:$X$2427&gt;0,1))))&gt;0,SUM(IF(A2041=$A$2:$A$2427,IF(D2041=$D$2:$D$2427,$X$2:$X$2427)))/COUNT(IF(A2041=$A$2:$A$2427,IF(D2041=$D$2:$D$2427,IF(ISNUMBER($X$2:$X$2427),1)))),0),""),0)</f>
        <v/>
      </c>
      <c r="Z2041" s="104" t="str">
        <f>IF(ISNUMBER(O2041),IF(I2041&gt;0,(10^(VLOOKUP(D2041,'Species Codes'!B:C,2,0)+VLOOKUP(D2041,'Species Codes'!B:D,3,0)*LOG(E2041)+VLOOKUP(D2041,'Species Codes'!B:E,4,0)*LOG(I2041))),0),"")</f>
        <v/>
      </c>
      <c r="AA2041" s="104" t="str">
        <f>IFERROR((VLOOKUP(D2041,'Species Codes'!B:G,6,0)*Z2041)/2000,"")</f>
        <v/>
      </c>
      <c r="AB2041" s="104" t="e">
        <f>IF(Z2041&gt;0,((IF(OR(D2041="DF",D2041="RA")=TRUE,EXP(VLOOKUP(D2041,'Species Codes'!B:I,8,0)+VLOOKUP(D2041,'Species Codes'!B:J,9,0)*(LN((E2041*2.54)))),IF(OR(D2041="PY",D2041="RC",D2041="WH",D2041="NF")=TRUE,VLOOKUP(D2041,'Species Codes'!B:I,8,0)+VLOOKUP(D2041,'Species Codes'!B:J,9,0)*((E2041*2.54)^2)*(I2041*0.3048),IF(OR(D2041="MD",D2041="BM",D2041="GA")=TRUE,((VLOOKUP(D2041,'Species Codes'!B:I,8,0)*(((((E2041*2.54)+VLOOKUP(D2041,'Species Codes'!B:J,9,0))/VLOOKUP(D2041,'Species Codes'!B:K,10,0))^VLOOKUP(D2041,'Species Codes'!B:L,11,0))*((I2041*0.3048)^VLOOKUP(D2041,'Species Codes'!B:M,12,0))))-(VLOOKUP(D2041,'Species Codes'!B:I,8,0)*((((E2041*2.54)^VLOOKUP(D2041,'Species Codes'!B:L,11,0))*((I2041*0.3048)^VLOOKUP(D2041,'Species Codes'!B:M,12,0))))))*35.3*VLOOKUP(D2041,'Species Codes'!B:G,6,0)/2.2046,VLOOKUP(D2041,'Species Codes'!B:I,8,0)+VLOOKUP(D2041,'Species Codes'!B:J,9,0)*(((E2041*2.54)/100)^2)*(I2041*0.3048)))))*0.0011023),0)</f>
        <v>#N/A</v>
      </c>
      <c r="AC2041" s="104" t="e">
        <f>IF(Z2041&gt;0,((IF(OR(D2041="RA",D2041="OA",D2041="OT",D2041="UN",D2041="PC"),EXP(VLOOKUP(D2041,'Species Codes'!B:O,14,0)+VLOOKUP(D2041,'Species Codes'!B:P,15,0)*LN((E2041*2.54)))-EXP(VLOOKUP(D2041,'Species Codes'!B:O,14,0)+VLOOKUP(D2041,'Species Codes'!B:P,15,0)*LN((E2041*2.54)))*(1/(VLOOKUP(D2041,'Species Codes'!B:Q,16,0)+VLOOKUP(D2041,'Species Codes'!B:R,17,0)*((E2041*2.54)^VLOOKUP(D2041,'Species Codes'!B:S,18,0)))),IF(OR(D2041="BM",D2041="MD",D2041="OA"),EXP(VLOOKUP(D2041,'Species Codes'!B:O,14,0)+VLOOKUP(D2041,'Species Codes'!B:P,15,0)*LN((E2041*2.54)))*(1-(1/(VLOOKUP(D2041,'Species Codes'!B:Q,16,0)+VLOOKUP(D2041,'Species Codes'!B:R,17,0)*((E2041*2.54)^VLOOKUP(D2041,'Species Codes'!B:S,18,0)))))/1000,IF(D2041="DF",EXP(VLOOKUP(D2041,'Species Codes'!B:O,14,0)+VLOOKUP(D2041,'Species Codes'!B:P,15,0)*LN((E2041*2.54))),VLOOKUP(D2041,'Species Codes'!B:O,14,0)+VLOOKUP(D2041,'Species Codes'!B:P,15,0)*(((E2041*2.54)/100)^2)*(I2041*0.3048)))))*0.0011023),0)</f>
        <v>#N/A</v>
      </c>
      <c r="AD2041" s="104" t="e">
        <f t="shared" si="895"/>
        <v>#N/A</v>
      </c>
      <c r="AE2041" s="104" t="e">
        <f t="shared" si="896"/>
        <v>#N/A</v>
      </c>
      <c r="AF2041" s="104" t="e">
        <f>IF(AND(VLOOKUP($D2041,Merchantability!$B:$C,2,0)="Yes",$E2041&gt;=VLOOKUP($D2041,Merchantability!$B:$D,3,0),$E2041&lt;=VLOOKUP($D2041,Merchantability!$B:$E,4,0)),AA2041,0)</f>
        <v>#N/A</v>
      </c>
      <c r="AG2041" s="104" t="e">
        <f>IF(AND(VLOOKUP($D2041,Merchantability!$B:$C,2,0)="Yes",$E2041&gt;=VLOOKUP($D2041,Merchantability!$B:$D,3,0),$E2041&lt;=VLOOKUP($D2041,Merchantability!$B:$E,4,0)),AB2041,0)</f>
        <v>#N/A</v>
      </c>
      <c r="AH2041" s="104" t="e">
        <f>IF(AND(VLOOKUP($D2041,Merchantability!$B:$C,2,0)="Yes",$E2041&gt;=VLOOKUP($D2041,Merchantability!$B:$D,3,0),$E2041&lt;=VLOOKUP($D2041,Merchantability!$B:$E,4,0)),AC2041,0)</f>
        <v>#N/A</v>
      </c>
      <c r="AI2041" s="104" t="e">
        <f t="shared" si="897"/>
        <v>#N/A</v>
      </c>
      <c r="AJ2041" s="104" t="e">
        <f t="shared" si="898"/>
        <v>#VALUE!</v>
      </c>
      <c r="AK2041" s="104" t="e">
        <f t="shared" si="899"/>
        <v>#N/A</v>
      </c>
      <c r="AL2041" s="104" t="e">
        <f t="shared" si="900"/>
        <v>#N/A</v>
      </c>
      <c r="AM2041" s="104" t="e">
        <f t="shared" si="901"/>
        <v>#N/A</v>
      </c>
      <c r="AN2041" s="104" t="e">
        <f t="shared" si="885"/>
        <v>#N/A</v>
      </c>
      <c r="AO2041" s="104" t="e">
        <f t="shared" si="886"/>
        <v>#N/A</v>
      </c>
      <c r="AP2041" s="104" t="e">
        <f t="shared" si="887"/>
        <v>#N/A</v>
      </c>
      <c r="AQ2041" s="104" t="e">
        <f t="shared" si="888"/>
        <v>#N/A</v>
      </c>
      <c r="AR2041" s="105" t="str">
        <f t="shared" si="880"/>
        <v/>
      </c>
      <c r="AS2041" s="105" t="str">
        <f t="shared" si="881"/>
        <v/>
      </c>
      <c r="AT2041" s="108" t="str">
        <f t="shared" si="882"/>
        <v/>
      </c>
      <c r="AU2041" s="108" t="str">
        <f t="shared" si="883"/>
        <v/>
      </c>
      <c r="AV2041" s="107" t="str">
        <f>IF(ISNUMBER(O2041),IF(VLOOKUP($A2041,Stand!C:J,8,FALSE)="Short",AT2041,AU2041),"")</f>
        <v/>
      </c>
      <c r="AW2041" s="109" t="str">
        <f t="shared" si="889"/>
        <v/>
      </c>
      <c r="AX2041" s="109" t="str">
        <f t="shared" si="890"/>
        <v/>
      </c>
      <c r="AY2041" s="112" t="str">
        <f>IF(ISNUMBER(O2041),IF(AND(VLOOKUP($D2041,Merchantability!$B:$C,2,0)="Yes",$E2041&gt;=VLOOKUP($D2041,Merchantability!$B:$D,3,0),$E2041&lt;=VLOOKUP($D2041,Merchantability!$B:$E,4,0)),(AV2041*O2041)*(1-$H2041/100),""),"")</f>
        <v/>
      </c>
      <c r="AZ2041" s="116"/>
      <c r="BA2041" s="116"/>
      <c r="BB2041" s="116"/>
      <c r="BE2041" s="62"/>
      <c r="BF2041" s="63"/>
    </row>
    <row r="2042" spans="1:58" ht="12.75" customHeight="1" x14ac:dyDescent="0.25">
      <c r="A2042" s="334"/>
      <c r="B2042" s="334"/>
      <c r="C2042" s="332"/>
      <c r="D2042" s="334"/>
      <c r="E2042" s="335"/>
      <c r="F2042" s="334"/>
      <c r="G2042" s="332"/>
      <c r="H2042" s="332"/>
      <c r="I2042" s="334"/>
      <c r="J2042" s="336"/>
      <c r="K2042" s="332"/>
      <c r="L2042" s="332"/>
      <c r="M2042" s="76"/>
      <c r="N2042" s="103" t="str">
        <f>IF(A2042="","",VLOOKUP(A2042,Stand!C:K,9,0))</f>
        <v/>
      </c>
      <c r="O2042" s="104" t="str">
        <f t="shared" si="875"/>
        <v/>
      </c>
      <c r="P2042" s="105" t="str">
        <f t="shared" si="876"/>
        <v/>
      </c>
      <c r="Q2042" s="105" t="str">
        <f t="shared" si="891"/>
        <v/>
      </c>
      <c r="R2042" s="103" t="str">
        <f t="shared" si="877"/>
        <v/>
      </c>
      <c r="S2042" s="103" t="str">
        <f t="shared" si="878"/>
        <v/>
      </c>
      <c r="T2042" s="106" t="str">
        <f t="shared" si="892"/>
        <v/>
      </c>
      <c r="U2042" s="106" t="str">
        <f t="shared" si="893"/>
        <v/>
      </c>
      <c r="V2042" s="106" t="str">
        <f t="shared" si="894"/>
        <v/>
      </c>
      <c r="W2042" s="105" t="str">
        <f t="shared" si="879"/>
        <v/>
      </c>
      <c r="X2042" s="104" t="str">
        <f t="shared" si="884"/>
        <v/>
      </c>
      <c r="Y2042" s="104" t="str">
        <f t="array" ref="Y2042">IFERROR(IF(ISNUMBER(O2042),IF(COUNT(IF(A2042=$A$2:$A$2427,IF(D2042=$D$2:$D$2427,IF($X$2:$X$2427&gt;0,1))))&gt;0,SUM(IF(A2042=$A$2:$A$2427,IF(D2042=$D$2:$D$2427,$X$2:$X$2427)))/COUNT(IF(A2042=$A$2:$A$2427,IF(D2042=$D$2:$D$2427,IF(ISNUMBER($X$2:$X$2427),1)))),0),""),0)</f>
        <v/>
      </c>
      <c r="Z2042" s="104" t="str">
        <f>IF(ISNUMBER(O2042),IF(I2042&gt;0,(10^(VLOOKUP(D2042,'Species Codes'!B:C,2,0)+VLOOKUP(D2042,'Species Codes'!B:D,3,0)*LOG(E2042)+VLOOKUP(D2042,'Species Codes'!B:E,4,0)*LOG(I2042))),0),"")</f>
        <v/>
      </c>
      <c r="AA2042" s="104" t="str">
        <f>IFERROR((VLOOKUP(D2042,'Species Codes'!B:G,6,0)*Z2042)/2000,"")</f>
        <v/>
      </c>
      <c r="AB2042" s="104" t="e">
        <f>IF(Z2042&gt;0,((IF(OR(D2042="DF",D2042="RA")=TRUE,EXP(VLOOKUP(D2042,'Species Codes'!B:I,8,0)+VLOOKUP(D2042,'Species Codes'!B:J,9,0)*(LN((E2042*2.54)))),IF(OR(D2042="PY",D2042="RC",D2042="WH",D2042="NF")=TRUE,VLOOKUP(D2042,'Species Codes'!B:I,8,0)+VLOOKUP(D2042,'Species Codes'!B:J,9,0)*((E2042*2.54)^2)*(I2042*0.3048),IF(OR(D2042="MD",D2042="BM",D2042="GA")=TRUE,((VLOOKUP(D2042,'Species Codes'!B:I,8,0)*(((((E2042*2.54)+VLOOKUP(D2042,'Species Codes'!B:J,9,0))/VLOOKUP(D2042,'Species Codes'!B:K,10,0))^VLOOKUP(D2042,'Species Codes'!B:L,11,0))*((I2042*0.3048)^VLOOKUP(D2042,'Species Codes'!B:M,12,0))))-(VLOOKUP(D2042,'Species Codes'!B:I,8,0)*((((E2042*2.54)^VLOOKUP(D2042,'Species Codes'!B:L,11,0))*((I2042*0.3048)^VLOOKUP(D2042,'Species Codes'!B:M,12,0))))))*35.3*VLOOKUP(D2042,'Species Codes'!B:G,6,0)/2.2046,VLOOKUP(D2042,'Species Codes'!B:I,8,0)+VLOOKUP(D2042,'Species Codes'!B:J,9,0)*(((E2042*2.54)/100)^2)*(I2042*0.3048)))))*0.0011023),0)</f>
        <v>#N/A</v>
      </c>
      <c r="AC2042" s="104" t="e">
        <f>IF(Z2042&gt;0,((IF(OR(D2042="RA",D2042="OA",D2042="OT",D2042="UN",D2042="PC"),EXP(VLOOKUP(D2042,'Species Codes'!B:O,14,0)+VLOOKUP(D2042,'Species Codes'!B:P,15,0)*LN((E2042*2.54)))-EXP(VLOOKUP(D2042,'Species Codes'!B:O,14,0)+VLOOKUP(D2042,'Species Codes'!B:P,15,0)*LN((E2042*2.54)))*(1/(VLOOKUP(D2042,'Species Codes'!B:Q,16,0)+VLOOKUP(D2042,'Species Codes'!B:R,17,0)*((E2042*2.54)^VLOOKUP(D2042,'Species Codes'!B:S,18,0)))),IF(OR(D2042="BM",D2042="MD",D2042="OA"),EXP(VLOOKUP(D2042,'Species Codes'!B:O,14,0)+VLOOKUP(D2042,'Species Codes'!B:P,15,0)*LN((E2042*2.54)))*(1-(1/(VLOOKUP(D2042,'Species Codes'!B:Q,16,0)+VLOOKUP(D2042,'Species Codes'!B:R,17,0)*((E2042*2.54)^VLOOKUP(D2042,'Species Codes'!B:S,18,0)))))/1000,IF(D2042="DF",EXP(VLOOKUP(D2042,'Species Codes'!B:O,14,0)+VLOOKUP(D2042,'Species Codes'!B:P,15,0)*LN((E2042*2.54))),VLOOKUP(D2042,'Species Codes'!B:O,14,0)+VLOOKUP(D2042,'Species Codes'!B:P,15,0)*(((E2042*2.54)/100)^2)*(I2042*0.3048)))))*0.0011023),0)</f>
        <v>#N/A</v>
      </c>
      <c r="AD2042" s="104" t="e">
        <f t="shared" si="895"/>
        <v>#N/A</v>
      </c>
      <c r="AE2042" s="104" t="e">
        <f t="shared" si="896"/>
        <v>#N/A</v>
      </c>
      <c r="AF2042" s="104" t="e">
        <f>IF(AND(VLOOKUP($D2042,Merchantability!$B:$C,2,0)="Yes",$E2042&gt;=VLOOKUP($D2042,Merchantability!$B:$D,3,0),$E2042&lt;=VLOOKUP($D2042,Merchantability!$B:$E,4,0)),AA2042,0)</f>
        <v>#N/A</v>
      </c>
      <c r="AG2042" s="104" t="e">
        <f>IF(AND(VLOOKUP($D2042,Merchantability!$B:$C,2,0)="Yes",$E2042&gt;=VLOOKUP($D2042,Merchantability!$B:$D,3,0),$E2042&lt;=VLOOKUP($D2042,Merchantability!$B:$E,4,0)),AB2042,0)</f>
        <v>#N/A</v>
      </c>
      <c r="AH2042" s="104" t="e">
        <f>IF(AND(VLOOKUP($D2042,Merchantability!$B:$C,2,0)="Yes",$E2042&gt;=VLOOKUP($D2042,Merchantability!$B:$D,3,0),$E2042&lt;=VLOOKUP($D2042,Merchantability!$B:$E,4,0)),AC2042,0)</f>
        <v>#N/A</v>
      </c>
      <c r="AI2042" s="104" t="e">
        <f t="shared" si="897"/>
        <v>#N/A</v>
      </c>
      <c r="AJ2042" s="104" t="e">
        <f t="shared" si="898"/>
        <v>#VALUE!</v>
      </c>
      <c r="AK2042" s="104" t="e">
        <f t="shared" si="899"/>
        <v>#N/A</v>
      </c>
      <c r="AL2042" s="104" t="e">
        <f t="shared" si="900"/>
        <v>#N/A</v>
      </c>
      <c r="AM2042" s="104" t="e">
        <f t="shared" si="901"/>
        <v>#N/A</v>
      </c>
      <c r="AN2042" s="104" t="e">
        <f t="shared" si="885"/>
        <v>#N/A</v>
      </c>
      <c r="AO2042" s="104" t="e">
        <f t="shared" si="886"/>
        <v>#N/A</v>
      </c>
      <c r="AP2042" s="104" t="e">
        <f t="shared" si="887"/>
        <v>#N/A</v>
      </c>
      <c r="AQ2042" s="104" t="e">
        <f t="shared" si="888"/>
        <v>#N/A</v>
      </c>
      <c r="AR2042" s="105" t="str">
        <f t="shared" si="880"/>
        <v/>
      </c>
      <c r="AS2042" s="105" t="str">
        <f t="shared" si="881"/>
        <v/>
      </c>
      <c r="AT2042" s="108" t="str">
        <f t="shared" si="882"/>
        <v/>
      </c>
      <c r="AU2042" s="108" t="str">
        <f t="shared" si="883"/>
        <v/>
      </c>
      <c r="AV2042" s="107" t="str">
        <f>IF(ISNUMBER(O2042),IF(VLOOKUP($A2042,Stand!C:J,8,FALSE)="Short",AT2042,AU2042),"")</f>
        <v/>
      </c>
      <c r="AW2042" s="109" t="str">
        <f t="shared" si="889"/>
        <v/>
      </c>
      <c r="AX2042" s="109" t="str">
        <f t="shared" si="890"/>
        <v/>
      </c>
      <c r="AY2042" s="112" t="str">
        <f>IF(ISNUMBER(O2042),IF(AND(VLOOKUP($D2042,Merchantability!$B:$C,2,0)="Yes",$E2042&gt;=VLOOKUP($D2042,Merchantability!$B:$D,3,0),$E2042&lt;=VLOOKUP($D2042,Merchantability!$B:$E,4,0)),(AV2042*O2042)*(1-$H2042/100),""),"")</f>
        <v/>
      </c>
      <c r="AZ2042" s="116"/>
      <c r="BA2042" s="116"/>
      <c r="BB2042" s="116"/>
      <c r="BE2042" s="62"/>
      <c r="BF2042" s="63"/>
    </row>
    <row r="2043" spans="1:58" ht="12.75" customHeight="1" x14ac:dyDescent="0.25">
      <c r="A2043" s="334"/>
      <c r="B2043" s="334"/>
      <c r="C2043" s="332"/>
      <c r="D2043" s="334"/>
      <c r="E2043" s="335"/>
      <c r="F2043" s="334"/>
      <c r="G2043" s="332"/>
      <c r="H2043" s="332"/>
      <c r="I2043" s="334"/>
      <c r="J2043" s="336"/>
      <c r="K2043" s="332"/>
      <c r="L2043" s="332"/>
      <c r="M2043" s="76"/>
      <c r="N2043" s="103" t="str">
        <f>IF(A2043="","",VLOOKUP(A2043,Stand!C:K,9,0))</f>
        <v/>
      </c>
      <c r="O2043" s="104" t="str">
        <f t="shared" si="875"/>
        <v/>
      </c>
      <c r="P2043" s="105" t="str">
        <f t="shared" si="876"/>
        <v/>
      </c>
      <c r="Q2043" s="105" t="str">
        <f t="shared" si="891"/>
        <v/>
      </c>
      <c r="R2043" s="103" t="str">
        <f t="shared" si="877"/>
        <v/>
      </c>
      <c r="S2043" s="103" t="str">
        <f t="shared" si="878"/>
        <v/>
      </c>
      <c r="T2043" s="106" t="str">
        <f t="shared" si="892"/>
        <v/>
      </c>
      <c r="U2043" s="106" t="str">
        <f t="shared" si="893"/>
        <v/>
      </c>
      <c r="V2043" s="106" t="str">
        <f t="shared" si="894"/>
        <v/>
      </c>
      <c r="W2043" s="105" t="str">
        <f t="shared" si="879"/>
        <v/>
      </c>
      <c r="X2043" s="104" t="str">
        <f t="shared" si="884"/>
        <v/>
      </c>
      <c r="Y2043" s="104" t="str">
        <f t="array" ref="Y2043">IFERROR(IF(ISNUMBER(O2043),IF(COUNT(IF(A2043=$A$2:$A$2427,IF(D2043=$D$2:$D$2427,IF($X$2:$X$2427&gt;0,1))))&gt;0,SUM(IF(A2043=$A$2:$A$2427,IF(D2043=$D$2:$D$2427,$X$2:$X$2427)))/COUNT(IF(A2043=$A$2:$A$2427,IF(D2043=$D$2:$D$2427,IF(ISNUMBER($X$2:$X$2427),1)))),0),""),0)</f>
        <v/>
      </c>
      <c r="Z2043" s="104" t="str">
        <f>IF(ISNUMBER(O2043),IF(I2043&gt;0,(10^(VLOOKUP(D2043,'Species Codes'!B:C,2,0)+VLOOKUP(D2043,'Species Codes'!B:D,3,0)*LOG(E2043)+VLOOKUP(D2043,'Species Codes'!B:E,4,0)*LOG(I2043))),0),"")</f>
        <v/>
      </c>
      <c r="AA2043" s="104" t="str">
        <f>IFERROR((VLOOKUP(D2043,'Species Codes'!B:G,6,0)*Z2043)/2000,"")</f>
        <v/>
      </c>
      <c r="AB2043" s="104" t="e">
        <f>IF(Z2043&gt;0,((IF(OR(D2043="DF",D2043="RA")=TRUE,EXP(VLOOKUP(D2043,'Species Codes'!B:I,8,0)+VLOOKUP(D2043,'Species Codes'!B:J,9,0)*(LN((E2043*2.54)))),IF(OR(D2043="PY",D2043="RC",D2043="WH",D2043="NF")=TRUE,VLOOKUP(D2043,'Species Codes'!B:I,8,0)+VLOOKUP(D2043,'Species Codes'!B:J,9,0)*((E2043*2.54)^2)*(I2043*0.3048),IF(OR(D2043="MD",D2043="BM",D2043="GA")=TRUE,((VLOOKUP(D2043,'Species Codes'!B:I,8,0)*(((((E2043*2.54)+VLOOKUP(D2043,'Species Codes'!B:J,9,0))/VLOOKUP(D2043,'Species Codes'!B:K,10,0))^VLOOKUP(D2043,'Species Codes'!B:L,11,0))*((I2043*0.3048)^VLOOKUP(D2043,'Species Codes'!B:M,12,0))))-(VLOOKUP(D2043,'Species Codes'!B:I,8,0)*((((E2043*2.54)^VLOOKUP(D2043,'Species Codes'!B:L,11,0))*((I2043*0.3048)^VLOOKUP(D2043,'Species Codes'!B:M,12,0))))))*35.3*VLOOKUP(D2043,'Species Codes'!B:G,6,0)/2.2046,VLOOKUP(D2043,'Species Codes'!B:I,8,0)+VLOOKUP(D2043,'Species Codes'!B:J,9,0)*(((E2043*2.54)/100)^2)*(I2043*0.3048)))))*0.0011023),0)</f>
        <v>#N/A</v>
      </c>
      <c r="AC2043" s="104" t="e">
        <f>IF(Z2043&gt;0,((IF(OR(D2043="RA",D2043="OA",D2043="OT",D2043="UN",D2043="PC"),EXP(VLOOKUP(D2043,'Species Codes'!B:O,14,0)+VLOOKUP(D2043,'Species Codes'!B:P,15,0)*LN((E2043*2.54)))-EXP(VLOOKUP(D2043,'Species Codes'!B:O,14,0)+VLOOKUP(D2043,'Species Codes'!B:P,15,0)*LN((E2043*2.54)))*(1/(VLOOKUP(D2043,'Species Codes'!B:Q,16,0)+VLOOKUP(D2043,'Species Codes'!B:R,17,0)*((E2043*2.54)^VLOOKUP(D2043,'Species Codes'!B:S,18,0)))),IF(OR(D2043="BM",D2043="MD",D2043="OA"),EXP(VLOOKUP(D2043,'Species Codes'!B:O,14,0)+VLOOKUP(D2043,'Species Codes'!B:P,15,0)*LN((E2043*2.54)))*(1-(1/(VLOOKUP(D2043,'Species Codes'!B:Q,16,0)+VLOOKUP(D2043,'Species Codes'!B:R,17,0)*((E2043*2.54)^VLOOKUP(D2043,'Species Codes'!B:S,18,0)))))/1000,IF(D2043="DF",EXP(VLOOKUP(D2043,'Species Codes'!B:O,14,0)+VLOOKUP(D2043,'Species Codes'!B:P,15,0)*LN((E2043*2.54))),VLOOKUP(D2043,'Species Codes'!B:O,14,0)+VLOOKUP(D2043,'Species Codes'!B:P,15,0)*(((E2043*2.54)/100)^2)*(I2043*0.3048)))))*0.0011023),0)</f>
        <v>#N/A</v>
      </c>
      <c r="AD2043" s="104" t="e">
        <f t="shared" si="895"/>
        <v>#N/A</v>
      </c>
      <c r="AE2043" s="104" t="e">
        <f t="shared" si="896"/>
        <v>#N/A</v>
      </c>
      <c r="AF2043" s="104" t="e">
        <f>IF(AND(VLOOKUP($D2043,Merchantability!$B:$C,2,0)="Yes",$E2043&gt;=VLOOKUP($D2043,Merchantability!$B:$D,3,0),$E2043&lt;=VLOOKUP($D2043,Merchantability!$B:$E,4,0)),AA2043,0)</f>
        <v>#N/A</v>
      </c>
      <c r="AG2043" s="104" t="e">
        <f>IF(AND(VLOOKUP($D2043,Merchantability!$B:$C,2,0)="Yes",$E2043&gt;=VLOOKUP($D2043,Merchantability!$B:$D,3,0),$E2043&lt;=VLOOKUP($D2043,Merchantability!$B:$E,4,0)),AB2043,0)</f>
        <v>#N/A</v>
      </c>
      <c r="AH2043" s="104" t="e">
        <f>IF(AND(VLOOKUP($D2043,Merchantability!$B:$C,2,0)="Yes",$E2043&gt;=VLOOKUP($D2043,Merchantability!$B:$D,3,0),$E2043&lt;=VLOOKUP($D2043,Merchantability!$B:$E,4,0)),AC2043,0)</f>
        <v>#N/A</v>
      </c>
      <c r="AI2043" s="104" t="e">
        <f t="shared" si="897"/>
        <v>#N/A</v>
      </c>
      <c r="AJ2043" s="104" t="e">
        <f t="shared" si="898"/>
        <v>#VALUE!</v>
      </c>
      <c r="AK2043" s="104" t="e">
        <f t="shared" si="899"/>
        <v>#N/A</v>
      </c>
      <c r="AL2043" s="104" t="e">
        <f t="shared" si="900"/>
        <v>#N/A</v>
      </c>
      <c r="AM2043" s="104" t="e">
        <f t="shared" si="901"/>
        <v>#N/A</v>
      </c>
      <c r="AN2043" s="104" t="e">
        <f t="shared" si="885"/>
        <v>#N/A</v>
      </c>
      <c r="AO2043" s="104" t="e">
        <f t="shared" si="886"/>
        <v>#N/A</v>
      </c>
      <c r="AP2043" s="104" t="e">
        <f t="shared" si="887"/>
        <v>#N/A</v>
      </c>
      <c r="AQ2043" s="104" t="e">
        <f t="shared" si="888"/>
        <v>#N/A</v>
      </c>
      <c r="AR2043" s="105" t="str">
        <f t="shared" si="880"/>
        <v/>
      </c>
      <c r="AS2043" s="105" t="str">
        <f t="shared" si="881"/>
        <v/>
      </c>
      <c r="AT2043" s="108" t="str">
        <f t="shared" si="882"/>
        <v/>
      </c>
      <c r="AU2043" s="108" t="str">
        <f t="shared" si="883"/>
        <v/>
      </c>
      <c r="AV2043" s="107" t="str">
        <f>IF(ISNUMBER(O2043),IF(VLOOKUP($A2043,Stand!C:J,8,FALSE)="Short",AT2043,AU2043),"")</f>
        <v/>
      </c>
      <c r="AW2043" s="109" t="str">
        <f t="shared" si="889"/>
        <v/>
      </c>
      <c r="AX2043" s="109" t="str">
        <f t="shared" si="890"/>
        <v/>
      </c>
      <c r="AY2043" s="112" t="str">
        <f>IF(ISNUMBER(O2043),IF(AND(VLOOKUP($D2043,Merchantability!$B:$C,2,0)="Yes",$E2043&gt;=VLOOKUP($D2043,Merchantability!$B:$D,3,0),$E2043&lt;=VLOOKUP($D2043,Merchantability!$B:$E,4,0)),(AV2043*O2043)*(1-$H2043/100),""),"")</f>
        <v/>
      </c>
      <c r="AZ2043" s="116"/>
      <c r="BA2043" s="116"/>
      <c r="BB2043" s="116"/>
      <c r="BE2043" s="62"/>
      <c r="BF2043" s="63"/>
    </row>
    <row r="2044" spans="1:58" ht="12.75" customHeight="1" x14ac:dyDescent="0.25">
      <c r="A2044" s="334"/>
      <c r="B2044" s="334"/>
      <c r="C2044" s="332"/>
      <c r="D2044" s="334"/>
      <c r="E2044" s="335"/>
      <c r="F2044" s="334"/>
      <c r="G2044" s="332"/>
      <c r="H2044" s="332"/>
      <c r="I2044" s="334"/>
      <c r="J2044" s="336"/>
      <c r="K2044" s="332"/>
      <c r="L2044" s="332"/>
      <c r="M2044" s="76"/>
      <c r="N2044" s="103" t="str">
        <f>IF(A2044="","",VLOOKUP(A2044,Stand!C:K,9,0))</f>
        <v/>
      </c>
      <c r="O2044" s="104" t="str">
        <f t="shared" si="875"/>
        <v/>
      </c>
      <c r="P2044" s="105" t="str">
        <f t="shared" si="876"/>
        <v/>
      </c>
      <c r="Q2044" s="105" t="str">
        <f t="shared" si="891"/>
        <v/>
      </c>
      <c r="R2044" s="103" t="str">
        <f t="shared" si="877"/>
        <v/>
      </c>
      <c r="S2044" s="103" t="str">
        <f t="shared" si="878"/>
        <v/>
      </c>
      <c r="T2044" s="106" t="str">
        <f t="shared" si="892"/>
        <v/>
      </c>
      <c r="U2044" s="106" t="str">
        <f t="shared" si="893"/>
        <v/>
      </c>
      <c r="V2044" s="106" t="str">
        <f t="shared" si="894"/>
        <v/>
      </c>
      <c r="W2044" s="105" t="str">
        <f t="shared" si="879"/>
        <v/>
      </c>
      <c r="X2044" s="104" t="str">
        <f t="shared" si="884"/>
        <v/>
      </c>
      <c r="Y2044" s="104" t="str">
        <f t="array" ref="Y2044">IFERROR(IF(ISNUMBER(O2044),IF(COUNT(IF(A2044=$A$2:$A$2427,IF(D2044=$D$2:$D$2427,IF($X$2:$X$2427&gt;0,1))))&gt;0,SUM(IF(A2044=$A$2:$A$2427,IF(D2044=$D$2:$D$2427,$X$2:$X$2427)))/COUNT(IF(A2044=$A$2:$A$2427,IF(D2044=$D$2:$D$2427,IF(ISNUMBER($X$2:$X$2427),1)))),0),""),0)</f>
        <v/>
      </c>
      <c r="Z2044" s="104" t="str">
        <f>IF(ISNUMBER(O2044),IF(I2044&gt;0,(10^(VLOOKUP(D2044,'Species Codes'!B:C,2,0)+VLOOKUP(D2044,'Species Codes'!B:D,3,0)*LOG(E2044)+VLOOKUP(D2044,'Species Codes'!B:E,4,0)*LOG(I2044))),0),"")</f>
        <v/>
      </c>
      <c r="AA2044" s="104" t="str">
        <f>IFERROR((VLOOKUP(D2044,'Species Codes'!B:G,6,0)*Z2044)/2000,"")</f>
        <v/>
      </c>
      <c r="AB2044" s="104" t="e">
        <f>IF(Z2044&gt;0,((IF(OR(D2044="DF",D2044="RA")=TRUE,EXP(VLOOKUP(D2044,'Species Codes'!B:I,8,0)+VLOOKUP(D2044,'Species Codes'!B:J,9,0)*(LN((E2044*2.54)))),IF(OR(D2044="PY",D2044="RC",D2044="WH",D2044="NF")=TRUE,VLOOKUP(D2044,'Species Codes'!B:I,8,0)+VLOOKUP(D2044,'Species Codes'!B:J,9,0)*((E2044*2.54)^2)*(I2044*0.3048),IF(OR(D2044="MD",D2044="BM",D2044="GA")=TRUE,((VLOOKUP(D2044,'Species Codes'!B:I,8,0)*(((((E2044*2.54)+VLOOKUP(D2044,'Species Codes'!B:J,9,0))/VLOOKUP(D2044,'Species Codes'!B:K,10,0))^VLOOKUP(D2044,'Species Codes'!B:L,11,0))*((I2044*0.3048)^VLOOKUP(D2044,'Species Codes'!B:M,12,0))))-(VLOOKUP(D2044,'Species Codes'!B:I,8,0)*((((E2044*2.54)^VLOOKUP(D2044,'Species Codes'!B:L,11,0))*((I2044*0.3048)^VLOOKUP(D2044,'Species Codes'!B:M,12,0))))))*35.3*VLOOKUP(D2044,'Species Codes'!B:G,6,0)/2.2046,VLOOKUP(D2044,'Species Codes'!B:I,8,0)+VLOOKUP(D2044,'Species Codes'!B:J,9,0)*(((E2044*2.54)/100)^2)*(I2044*0.3048)))))*0.0011023),0)</f>
        <v>#N/A</v>
      </c>
      <c r="AC2044" s="104" t="e">
        <f>IF(Z2044&gt;0,((IF(OR(D2044="RA",D2044="OA",D2044="OT",D2044="UN",D2044="PC"),EXP(VLOOKUP(D2044,'Species Codes'!B:O,14,0)+VLOOKUP(D2044,'Species Codes'!B:P,15,0)*LN((E2044*2.54)))-EXP(VLOOKUP(D2044,'Species Codes'!B:O,14,0)+VLOOKUP(D2044,'Species Codes'!B:P,15,0)*LN((E2044*2.54)))*(1/(VLOOKUP(D2044,'Species Codes'!B:Q,16,0)+VLOOKUP(D2044,'Species Codes'!B:R,17,0)*((E2044*2.54)^VLOOKUP(D2044,'Species Codes'!B:S,18,0)))),IF(OR(D2044="BM",D2044="MD",D2044="OA"),EXP(VLOOKUP(D2044,'Species Codes'!B:O,14,0)+VLOOKUP(D2044,'Species Codes'!B:P,15,0)*LN((E2044*2.54)))*(1-(1/(VLOOKUP(D2044,'Species Codes'!B:Q,16,0)+VLOOKUP(D2044,'Species Codes'!B:R,17,0)*((E2044*2.54)^VLOOKUP(D2044,'Species Codes'!B:S,18,0)))))/1000,IF(D2044="DF",EXP(VLOOKUP(D2044,'Species Codes'!B:O,14,0)+VLOOKUP(D2044,'Species Codes'!B:P,15,0)*LN((E2044*2.54))),VLOOKUP(D2044,'Species Codes'!B:O,14,0)+VLOOKUP(D2044,'Species Codes'!B:P,15,0)*(((E2044*2.54)/100)^2)*(I2044*0.3048)))))*0.0011023),0)</f>
        <v>#N/A</v>
      </c>
      <c r="AD2044" s="104" t="e">
        <f t="shared" si="895"/>
        <v>#N/A</v>
      </c>
      <c r="AE2044" s="104" t="e">
        <f t="shared" si="896"/>
        <v>#N/A</v>
      </c>
      <c r="AF2044" s="104" t="e">
        <f>IF(AND(VLOOKUP($D2044,Merchantability!$B:$C,2,0)="Yes",$E2044&gt;=VLOOKUP($D2044,Merchantability!$B:$D,3,0),$E2044&lt;=VLOOKUP($D2044,Merchantability!$B:$E,4,0)),AA2044,0)</f>
        <v>#N/A</v>
      </c>
      <c r="AG2044" s="104" t="e">
        <f>IF(AND(VLOOKUP($D2044,Merchantability!$B:$C,2,0)="Yes",$E2044&gt;=VLOOKUP($D2044,Merchantability!$B:$D,3,0),$E2044&lt;=VLOOKUP($D2044,Merchantability!$B:$E,4,0)),AB2044,0)</f>
        <v>#N/A</v>
      </c>
      <c r="AH2044" s="104" t="e">
        <f>IF(AND(VLOOKUP($D2044,Merchantability!$B:$C,2,0)="Yes",$E2044&gt;=VLOOKUP($D2044,Merchantability!$B:$D,3,0),$E2044&lt;=VLOOKUP($D2044,Merchantability!$B:$E,4,0)),AC2044,0)</f>
        <v>#N/A</v>
      </c>
      <c r="AI2044" s="104" t="e">
        <f t="shared" si="897"/>
        <v>#N/A</v>
      </c>
      <c r="AJ2044" s="104" t="e">
        <f t="shared" si="898"/>
        <v>#VALUE!</v>
      </c>
      <c r="AK2044" s="104" t="e">
        <f t="shared" si="899"/>
        <v>#N/A</v>
      </c>
      <c r="AL2044" s="104" t="e">
        <f t="shared" si="900"/>
        <v>#N/A</v>
      </c>
      <c r="AM2044" s="104" t="e">
        <f t="shared" si="901"/>
        <v>#N/A</v>
      </c>
      <c r="AN2044" s="104" t="e">
        <f t="shared" si="885"/>
        <v>#N/A</v>
      </c>
      <c r="AO2044" s="104" t="e">
        <f t="shared" si="886"/>
        <v>#N/A</v>
      </c>
      <c r="AP2044" s="104" t="e">
        <f t="shared" si="887"/>
        <v>#N/A</v>
      </c>
      <c r="AQ2044" s="104" t="e">
        <f t="shared" si="888"/>
        <v>#N/A</v>
      </c>
      <c r="AR2044" s="105" t="str">
        <f t="shared" si="880"/>
        <v/>
      </c>
      <c r="AS2044" s="105" t="str">
        <f t="shared" si="881"/>
        <v/>
      </c>
      <c r="AT2044" s="108" t="str">
        <f t="shared" si="882"/>
        <v/>
      </c>
      <c r="AU2044" s="108" t="str">
        <f t="shared" si="883"/>
        <v/>
      </c>
      <c r="AV2044" s="107" t="str">
        <f>IF(ISNUMBER(O2044),IF(VLOOKUP($A2044,Stand!C:J,8,FALSE)="Short",AT2044,AU2044),"")</f>
        <v/>
      </c>
      <c r="AW2044" s="109" t="str">
        <f t="shared" si="889"/>
        <v/>
      </c>
      <c r="AX2044" s="109" t="str">
        <f t="shared" si="890"/>
        <v/>
      </c>
      <c r="AY2044" s="112" t="str">
        <f>IF(ISNUMBER(O2044),IF(AND(VLOOKUP($D2044,Merchantability!$B:$C,2,0)="Yes",$E2044&gt;=VLOOKUP($D2044,Merchantability!$B:$D,3,0),$E2044&lt;=VLOOKUP($D2044,Merchantability!$B:$E,4,0)),(AV2044*O2044)*(1-$H2044/100),""),"")</f>
        <v/>
      </c>
      <c r="AZ2044" s="116"/>
      <c r="BA2044" s="116"/>
      <c r="BB2044" s="116"/>
      <c r="BE2044" s="62"/>
      <c r="BF2044" s="63"/>
    </row>
    <row r="2045" spans="1:58" ht="12.75" customHeight="1" x14ac:dyDescent="0.25">
      <c r="A2045" s="334"/>
      <c r="B2045" s="334"/>
      <c r="C2045" s="332"/>
      <c r="D2045" s="334"/>
      <c r="E2045" s="335"/>
      <c r="F2045" s="334"/>
      <c r="G2045" s="332"/>
      <c r="H2045" s="332"/>
      <c r="I2045" s="334"/>
      <c r="J2045" s="336"/>
      <c r="K2045" s="332"/>
      <c r="L2045" s="332"/>
      <c r="M2045" s="76"/>
      <c r="N2045" s="103" t="str">
        <f>IF(A2045="","",VLOOKUP(A2045,Stand!C:K,9,0))</f>
        <v/>
      </c>
      <c r="O2045" s="104" t="str">
        <f t="shared" si="875"/>
        <v/>
      </c>
      <c r="P2045" s="105" t="str">
        <f t="shared" si="876"/>
        <v/>
      </c>
      <c r="Q2045" s="105" t="str">
        <f t="shared" si="891"/>
        <v/>
      </c>
      <c r="R2045" s="103" t="str">
        <f t="shared" si="877"/>
        <v/>
      </c>
      <c r="S2045" s="103" t="str">
        <f t="shared" si="878"/>
        <v/>
      </c>
      <c r="T2045" s="106" t="str">
        <f t="shared" si="892"/>
        <v/>
      </c>
      <c r="U2045" s="106" t="str">
        <f t="shared" si="893"/>
        <v/>
      </c>
      <c r="V2045" s="106" t="str">
        <f t="shared" si="894"/>
        <v/>
      </c>
      <c r="W2045" s="105" t="str">
        <f t="shared" si="879"/>
        <v/>
      </c>
      <c r="X2045" s="104" t="str">
        <f t="shared" si="884"/>
        <v/>
      </c>
      <c r="Y2045" s="104" t="str">
        <f t="array" ref="Y2045">IFERROR(IF(ISNUMBER(O2045),IF(COUNT(IF(A2045=$A$2:$A$2427,IF(D2045=$D$2:$D$2427,IF($X$2:$X$2427&gt;0,1))))&gt;0,SUM(IF(A2045=$A$2:$A$2427,IF(D2045=$D$2:$D$2427,$X$2:$X$2427)))/COUNT(IF(A2045=$A$2:$A$2427,IF(D2045=$D$2:$D$2427,IF(ISNUMBER($X$2:$X$2427),1)))),0),""),0)</f>
        <v/>
      </c>
      <c r="Z2045" s="104" t="str">
        <f>IF(ISNUMBER(O2045),IF(I2045&gt;0,(10^(VLOOKUP(D2045,'Species Codes'!B:C,2,0)+VLOOKUP(D2045,'Species Codes'!B:D,3,0)*LOG(E2045)+VLOOKUP(D2045,'Species Codes'!B:E,4,0)*LOG(I2045))),0),"")</f>
        <v/>
      </c>
      <c r="AA2045" s="104" t="str">
        <f>IFERROR((VLOOKUP(D2045,'Species Codes'!B:G,6,0)*Z2045)/2000,"")</f>
        <v/>
      </c>
      <c r="AB2045" s="104" t="e">
        <f>IF(Z2045&gt;0,((IF(OR(D2045="DF",D2045="RA")=TRUE,EXP(VLOOKUP(D2045,'Species Codes'!B:I,8,0)+VLOOKUP(D2045,'Species Codes'!B:J,9,0)*(LN((E2045*2.54)))),IF(OR(D2045="PY",D2045="RC",D2045="WH",D2045="NF")=TRUE,VLOOKUP(D2045,'Species Codes'!B:I,8,0)+VLOOKUP(D2045,'Species Codes'!B:J,9,0)*((E2045*2.54)^2)*(I2045*0.3048),IF(OR(D2045="MD",D2045="BM",D2045="GA")=TRUE,((VLOOKUP(D2045,'Species Codes'!B:I,8,0)*(((((E2045*2.54)+VLOOKUP(D2045,'Species Codes'!B:J,9,0))/VLOOKUP(D2045,'Species Codes'!B:K,10,0))^VLOOKUP(D2045,'Species Codes'!B:L,11,0))*((I2045*0.3048)^VLOOKUP(D2045,'Species Codes'!B:M,12,0))))-(VLOOKUP(D2045,'Species Codes'!B:I,8,0)*((((E2045*2.54)^VLOOKUP(D2045,'Species Codes'!B:L,11,0))*((I2045*0.3048)^VLOOKUP(D2045,'Species Codes'!B:M,12,0))))))*35.3*VLOOKUP(D2045,'Species Codes'!B:G,6,0)/2.2046,VLOOKUP(D2045,'Species Codes'!B:I,8,0)+VLOOKUP(D2045,'Species Codes'!B:J,9,0)*(((E2045*2.54)/100)^2)*(I2045*0.3048)))))*0.0011023),0)</f>
        <v>#N/A</v>
      </c>
      <c r="AC2045" s="104" t="e">
        <f>IF(Z2045&gt;0,((IF(OR(D2045="RA",D2045="OA",D2045="OT",D2045="UN",D2045="PC"),EXP(VLOOKUP(D2045,'Species Codes'!B:O,14,0)+VLOOKUP(D2045,'Species Codes'!B:P,15,0)*LN((E2045*2.54)))-EXP(VLOOKUP(D2045,'Species Codes'!B:O,14,0)+VLOOKUP(D2045,'Species Codes'!B:P,15,0)*LN((E2045*2.54)))*(1/(VLOOKUP(D2045,'Species Codes'!B:Q,16,0)+VLOOKUP(D2045,'Species Codes'!B:R,17,0)*((E2045*2.54)^VLOOKUP(D2045,'Species Codes'!B:S,18,0)))),IF(OR(D2045="BM",D2045="MD",D2045="OA"),EXP(VLOOKUP(D2045,'Species Codes'!B:O,14,0)+VLOOKUP(D2045,'Species Codes'!B:P,15,0)*LN((E2045*2.54)))*(1-(1/(VLOOKUP(D2045,'Species Codes'!B:Q,16,0)+VLOOKUP(D2045,'Species Codes'!B:R,17,0)*((E2045*2.54)^VLOOKUP(D2045,'Species Codes'!B:S,18,0)))))/1000,IF(D2045="DF",EXP(VLOOKUP(D2045,'Species Codes'!B:O,14,0)+VLOOKUP(D2045,'Species Codes'!B:P,15,0)*LN((E2045*2.54))),VLOOKUP(D2045,'Species Codes'!B:O,14,0)+VLOOKUP(D2045,'Species Codes'!B:P,15,0)*(((E2045*2.54)/100)^2)*(I2045*0.3048)))))*0.0011023),0)</f>
        <v>#N/A</v>
      </c>
      <c r="AD2045" s="104" t="e">
        <f t="shared" si="895"/>
        <v>#N/A</v>
      </c>
      <c r="AE2045" s="104" t="e">
        <f t="shared" si="896"/>
        <v>#N/A</v>
      </c>
      <c r="AF2045" s="104" t="e">
        <f>IF(AND(VLOOKUP($D2045,Merchantability!$B:$C,2,0)="Yes",$E2045&gt;=VLOOKUP($D2045,Merchantability!$B:$D,3,0),$E2045&lt;=VLOOKUP($D2045,Merchantability!$B:$E,4,0)),AA2045,0)</f>
        <v>#N/A</v>
      </c>
      <c r="AG2045" s="104" t="e">
        <f>IF(AND(VLOOKUP($D2045,Merchantability!$B:$C,2,0)="Yes",$E2045&gt;=VLOOKUP($D2045,Merchantability!$B:$D,3,0),$E2045&lt;=VLOOKUP($D2045,Merchantability!$B:$E,4,0)),AB2045,0)</f>
        <v>#N/A</v>
      </c>
      <c r="AH2045" s="104" t="e">
        <f>IF(AND(VLOOKUP($D2045,Merchantability!$B:$C,2,0)="Yes",$E2045&gt;=VLOOKUP($D2045,Merchantability!$B:$D,3,0),$E2045&lt;=VLOOKUP($D2045,Merchantability!$B:$E,4,0)),AC2045,0)</f>
        <v>#N/A</v>
      </c>
      <c r="AI2045" s="104" t="e">
        <f t="shared" si="897"/>
        <v>#N/A</v>
      </c>
      <c r="AJ2045" s="104" t="e">
        <f t="shared" si="898"/>
        <v>#VALUE!</v>
      </c>
      <c r="AK2045" s="104" t="e">
        <f t="shared" si="899"/>
        <v>#N/A</v>
      </c>
      <c r="AL2045" s="104" t="e">
        <f t="shared" si="900"/>
        <v>#N/A</v>
      </c>
      <c r="AM2045" s="104" t="e">
        <f t="shared" si="901"/>
        <v>#N/A</v>
      </c>
      <c r="AN2045" s="104" t="e">
        <f t="shared" si="885"/>
        <v>#N/A</v>
      </c>
      <c r="AO2045" s="104" t="e">
        <f t="shared" si="886"/>
        <v>#N/A</v>
      </c>
      <c r="AP2045" s="104" t="e">
        <f t="shared" si="887"/>
        <v>#N/A</v>
      </c>
      <c r="AQ2045" s="104" t="e">
        <f t="shared" si="888"/>
        <v>#N/A</v>
      </c>
      <c r="AR2045" s="105" t="str">
        <f t="shared" si="880"/>
        <v/>
      </c>
      <c r="AS2045" s="105" t="str">
        <f t="shared" si="881"/>
        <v/>
      </c>
      <c r="AT2045" s="108" t="str">
        <f t="shared" si="882"/>
        <v/>
      </c>
      <c r="AU2045" s="108" t="str">
        <f t="shared" si="883"/>
        <v/>
      </c>
      <c r="AV2045" s="107" t="str">
        <f>IF(ISNUMBER(O2045),IF(VLOOKUP($A2045,Stand!C:J,8,FALSE)="Short",AT2045,AU2045),"")</f>
        <v/>
      </c>
      <c r="AW2045" s="109" t="str">
        <f t="shared" si="889"/>
        <v/>
      </c>
      <c r="AX2045" s="109" t="str">
        <f t="shared" si="890"/>
        <v/>
      </c>
      <c r="AY2045" s="112" t="str">
        <f>IF(ISNUMBER(O2045),IF(AND(VLOOKUP($D2045,Merchantability!$B:$C,2,0)="Yes",$E2045&gt;=VLOOKUP($D2045,Merchantability!$B:$D,3,0),$E2045&lt;=VLOOKUP($D2045,Merchantability!$B:$E,4,0)),(AV2045*O2045)*(1-$H2045/100),""),"")</f>
        <v/>
      </c>
      <c r="AZ2045" s="116"/>
      <c r="BA2045" s="116"/>
      <c r="BB2045" s="116"/>
      <c r="BE2045" s="62"/>
      <c r="BF2045" s="63"/>
    </row>
    <row r="2046" spans="1:58" ht="12.75" customHeight="1" x14ac:dyDescent="0.25">
      <c r="A2046" s="334"/>
      <c r="B2046" s="334"/>
      <c r="C2046" s="332"/>
      <c r="D2046" s="334"/>
      <c r="E2046" s="335"/>
      <c r="F2046" s="334"/>
      <c r="G2046" s="332"/>
      <c r="H2046" s="332"/>
      <c r="I2046" s="334"/>
      <c r="J2046" s="336"/>
      <c r="K2046" s="332"/>
      <c r="L2046" s="332"/>
      <c r="M2046" s="76"/>
      <c r="N2046" s="103" t="str">
        <f>IF(A2046="","",VLOOKUP(A2046,Stand!C:K,9,0))</f>
        <v/>
      </c>
      <c r="O2046" s="104" t="str">
        <f t="shared" si="875"/>
        <v/>
      </c>
      <c r="P2046" s="105" t="str">
        <f t="shared" si="876"/>
        <v/>
      </c>
      <c r="Q2046" s="105" t="str">
        <f t="shared" si="891"/>
        <v/>
      </c>
      <c r="R2046" s="103" t="str">
        <f t="shared" si="877"/>
        <v/>
      </c>
      <c r="S2046" s="103" t="str">
        <f t="shared" si="878"/>
        <v/>
      </c>
      <c r="T2046" s="106" t="str">
        <f t="shared" si="892"/>
        <v/>
      </c>
      <c r="U2046" s="106" t="str">
        <f t="shared" si="893"/>
        <v/>
      </c>
      <c r="V2046" s="106" t="str">
        <f t="shared" si="894"/>
        <v/>
      </c>
      <c r="W2046" s="105" t="str">
        <f t="shared" si="879"/>
        <v/>
      </c>
      <c r="X2046" s="104" t="str">
        <f t="shared" si="884"/>
        <v/>
      </c>
      <c r="Y2046" s="104" t="str">
        <f t="array" ref="Y2046">IFERROR(IF(ISNUMBER(O2046),IF(COUNT(IF(A2046=$A$2:$A$2427,IF(D2046=$D$2:$D$2427,IF($X$2:$X$2427&gt;0,1))))&gt;0,SUM(IF(A2046=$A$2:$A$2427,IF(D2046=$D$2:$D$2427,$X$2:$X$2427)))/COUNT(IF(A2046=$A$2:$A$2427,IF(D2046=$D$2:$D$2427,IF(ISNUMBER($X$2:$X$2427),1)))),0),""),0)</f>
        <v/>
      </c>
      <c r="Z2046" s="104" t="str">
        <f>IF(ISNUMBER(O2046),IF(I2046&gt;0,(10^(VLOOKUP(D2046,'Species Codes'!B:C,2,0)+VLOOKUP(D2046,'Species Codes'!B:D,3,0)*LOG(E2046)+VLOOKUP(D2046,'Species Codes'!B:E,4,0)*LOG(I2046))),0),"")</f>
        <v/>
      </c>
      <c r="AA2046" s="104" t="str">
        <f>IFERROR((VLOOKUP(D2046,'Species Codes'!B:G,6,0)*Z2046)/2000,"")</f>
        <v/>
      </c>
      <c r="AB2046" s="104" t="e">
        <f>IF(Z2046&gt;0,((IF(OR(D2046="DF",D2046="RA")=TRUE,EXP(VLOOKUP(D2046,'Species Codes'!B:I,8,0)+VLOOKUP(D2046,'Species Codes'!B:J,9,0)*(LN((E2046*2.54)))),IF(OR(D2046="PY",D2046="RC",D2046="WH",D2046="NF")=TRUE,VLOOKUP(D2046,'Species Codes'!B:I,8,0)+VLOOKUP(D2046,'Species Codes'!B:J,9,0)*((E2046*2.54)^2)*(I2046*0.3048),IF(OR(D2046="MD",D2046="BM",D2046="GA")=TRUE,((VLOOKUP(D2046,'Species Codes'!B:I,8,0)*(((((E2046*2.54)+VLOOKUP(D2046,'Species Codes'!B:J,9,0))/VLOOKUP(D2046,'Species Codes'!B:K,10,0))^VLOOKUP(D2046,'Species Codes'!B:L,11,0))*((I2046*0.3048)^VLOOKUP(D2046,'Species Codes'!B:M,12,0))))-(VLOOKUP(D2046,'Species Codes'!B:I,8,0)*((((E2046*2.54)^VLOOKUP(D2046,'Species Codes'!B:L,11,0))*((I2046*0.3048)^VLOOKUP(D2046,'Species Codes'!B:M,12,0))))))*35.3*VLOOKUP(D2046,'Species Codes'!B:G,6,0)/2.2046,VLOOKUP(D2046,'Species Codes'!B:I,8,0)+VLOOKUP(D2046,'Species Codes'!B:J,9,0)*(((E2046*2.54)/100)^2)*(I2046*0.3048)))))*0.0011023),0)</f>
        <v>#N/A</v>
      </c>
      <c r="AC2046" s="104" t="e">
        <f>IF(Z2046&gt;0,((IF(OR(D2046="RA",D2046="OA",D2046="OT",D2046="UN",D2046="PC"),EXP(VLOOKUP(D2046,'Species Codes'!B:O,14,0)+VLOOKUP(D2046,'Species Codes'!B:P,15,0)*LN((E2046*2.54)))-EXP(VLOOKUP(D2046,'Species Codes'!B:O,14,0)+VLOOKUP(D2046,'Species Codes'!B:P,15,0)*LN((E2046*2.54)))*(1/(VLOOKUP(D2046,'Species Codes'!B:Q,16,0)+VLOOKUP(D2046,'Species Codes'!B:R,17,0)*((E2046*2.54)^VLOOKUP(D2046,'Species Codes'!B:S,18,0)))),IF(OR(D2046="BM",D2046="MD",D2046="OA"),EXP(VLOOKUP(D2046,'Species Codes'!B:O,14,0)+VLOOKUP(D2046,'Species Codes'!B:P,15,0)*LN((E2046*2.54)))*(1-(1/(VLOOKUP(D2046,'Species Codes'!B:Q,16,0)+VLOOKUP(D2046,'Species Codes'!B:R,17,0)*((E2046*2.54)^VLOOKUP(D2046,'Species Codes'!B:S,18,0)))))/1000,IF(D2046="DF",EXP(VLOOKUP(D2046,'Species Codes'!B:O,14,0)+VLOOKUP(D2046,'Species Codes'!B:P,15,0)*LN((E2046*2.54))),VLOOKUP(D2046,'Species Codes'!B:O,14,0)+VLOOKUP(D2046,'Species Codes'!B:P,15,0)*(((E2046*2.54)/100)^2)*(I2046*0.3048)))))*0.0011023),0)</f>
        <v>#N/A</v>
      </c>
      <c r="AD2046" s="104" t="e">
        <f t="shared" si="895"/>
        <v>#N/A</v>
      </c>
      <c r="AE2046" s="104" t="e">
        <f t="shared" si="896"/>
        <v>#N/A</v>
      </c>
      <c r="AF2046" s="104" t="e">
        <f>IF(AND(VLOOKUP($D2046,Merchantability!$B:$C,2,0)="Yes",$E2046&gt;=VLOOKUP($D2046,Merchantability!$B:$D,3,0),$E2046&lt;=VLOOKUP($D2046,Merchantability!$B:$E,4,0)),AA2046,0)</f>
        <v>#N/A</v>
      </c>
      <c r="AG2046" s="104" t="e">
        <f>IF(AND(VLOOKUP($D2046,Merchantability!$B:$C,2,0)="Yes",$E2046&gt;=VLOOKUP($D2046,Merchantability!$B:$D,3,0),$E2046&lt;=VLOOKUP($D2046,Merchantability!$B:$E,4,0)),AB2046,0)</f>
        <v>#N/A</v>
      </c>
      <c r="AH2046" s="104" t="e">
        <f>IF(AND(VLOOKUP($D2046,Merchantability!$B:$C,2,0)="Yes",$E2046&gt;=VLOOKUP($D2046,Merchantability!$B:$D,3,0),$E2046&lt;=VLOOKUP($D2046,Merchantability!$B:$E,4,0)),AC2046,0)</f>
        <v>#N/A</v>
      </c>
      <c r="AI2046" s="104" t="e">
        <f t="shared" si="897"/>
        <v>#N/A</v>
      </c>
      <c r="AJ2046" s="104" t="e">
        <f t="shared" si="898"/>
        <v>#VALUE!</v>
      </c>
      <c r="AK2046" s="104" t="e">
        <f t="shared" si="899"/>
        <v>#N/A</v>
      </c>
      <c r="AL2046" s="104" t="e">
        <f t="shared" si="900"/>
        <v>#N/A</v>
      </c>
      <c r="AM2046" s="104" t="e">
        <f t="shared" si="901"/>
        <v>#N/A</v>
      </c>
      <c r="AN2046" s="104" t="e">
        <f t="shared" si="885"/>
        <v>#N/A</v>
      </c>
      <c r="AO2046" s="104" t="e">
        <f t="shared" si="886"/>
        <v>#N/A</v>
      </c>
      <c r="AP2046" s="104" t="e">
        <f t="shared" si="887"/>
        <v>#N/A</v>
      </c>
      <c r="AQ2046" s="104" t="e">
        <f t="shared" si="888"/>
        <v>#N/A</v>
      </c>
      <c r="AR2046" s="105" t="str">
        <f t="shared" si="880"/>
        <v/>
      </c>
      <c r="AS2046" s="105" t="str">
        <f t="shared" si="881"/>
        <v/>
      </c>
      <c r="AT2046" s="108" t="str">
        <f t="shared" si="882"/>
        <v/>
      </c>
      <c r="AU2046" s="108" t="str">
        <f t="shared" si="883"/>
        <v/>
      </c>
      <c r="AV2046" s="107" t="str">
        <f>IF(ISNUMBER(O2046),IF(VLOOKUP($A2046,Stand!C:J,8,FALSE)="Short",AT2046,AU2046),"")</f>
        <v/>
      </c>
      <c r="AW2046" s="109" t="str">
        <f t="shared" si="889"/>
        <v/>
      </c>
      <c r="AX2046" s="109" t="str">
        <f t="shared" si="890"/>
        <v/>
      </c>
      <c r="AY2046" s="112" t="str">
        <f>IF(ISNUMBER(O2046),IF(AND(VLOOKUP($D2046,Merchantability!$B:$C,2,0)="Yes",$E2046&gt;=VLOOKUP($D2046,Merchantability!$B:$D,3,0),$E2046&lt;=VLOOKUP($D2046,Merchantability!$B:$E,4,0)),(AV2046*O2046)*(1-$H2046/100),""),"")</f>
        <v/>
      </c>
      <c r="AZ2046" s="116"/>
      <c r="BA2046" s="116"/>
      <c r="BB2046" s="116"/>
      <c r="BE2046" s="62"/>
      <c r="BF2046" s="63"/>
    </row>
    <row r="2047" spans="1:58" ht="12.75" customHeight="1" x14ac:dyDescent="0.25">
      <c r="A2047" s="334"/>
      <c r="B2047" s="334"/>
      <c r="C2047" s="332"/>
      <c r="D2047" s="334"/>
      <c r="E2047" s="335"/>
      <c r="F2047" s="334"/>
      <c r="G2047" s="332"/>
      <c r="H2047" s="332"/>
      <c r="I2047" s="334"/>
      <c r="J2047" s="336"/>
      <c r="K2047" s="332"/>
      <c r="L2047" s="332"/>
      <c r="M2047" s="76"/>
      <c r="N2047" s="103" t="str">
        <f>IF(A2047="","",VLOOKUP(A2047,Stand!C:K,9,0))</f>
        <v/>
      </c>
      <c r="O2047" s="104" t="str">
        <f t="shared" si="875"/>
        <v/>
      </c>
      <c r="P2047" s="105" t="str">
        <f t="shared" si="876"/>
        <v/>
      </c>
      <c r="Q2047" s="105" t="str">
        <f t="shared" si="891"/>
        <v/>
      </c>
      <c r="R2047" s="103" t="str">
        <f t="shared" si="877"/>
        <v/>
      </c>
      <c r="S2047" s="103" t="str">
        <f t="shared" si="878"/>
        <v/>
      </c>
      <c r="T2047" s="106" t="str">
        <f t="shared" si="892"/>
        <v/>
      </c>
      <c r="U2047" s="106" t="str">
        <f t="shared" si="893"/>
        <v/>
      </c>
      <c r="V2047" s="106" t="str">
        <f t="shared" si="894"/>
        <v/>
      </c>
      <c r="W2047" s="105" t="str">
        <f t="shared" si="879"/>
        <v/>
      </c>
      <c r="X2047" s="104" t="str">
        <f t="shared" si="884"/>
        <v/>
      </c>
      <c r="Y2047" s="104" t="str">
        <f t="array" ref="Y2047">IFERROR(IF(ISNUMBER(O2047),IF(COUNT(IF(A2047=$A$2:$A$2427,IF(D2047=$D$2:$D$2427,IF($X$2:$X$2427&gt;0,1))))&gt;0,SUM(IF(A2047=$A$2:$A$2427,IF(D2047=$D$2:$D$2427,$X$2:$X$2427)))/COUNT(IF(A2047=$A$2:$A$2427,IF(D2047=$D$2:$D$2427,IF(ISNUMBER($X$2:$X$2427),1)))),0),""),0)</f>
        <v/>
      </c>
      <c r="Z2047" s="104" t="str">
        <f>IF(ISNUMBER(O2047),IF(I2047&gt;0,(10^(VLOOKUP(D2047,'Species Codes'!B:C,2,0)+VLOOKUP(D2047,'Species Codes'!B:D,3,0)*LOG(E2047)+VLOOKUP(D2047,'Species Codes'!B:E,4,0)*LOG(I2047))),0),"")</f>
        <v/>
      </c>
      <c r="AA2047" s="104" t="str">
        <f>IFERROR((VLOOKUP(D2047,'Species Codes'!B:G,6,0)*Z2047)/2000,"")</f>
        <v/>
      </c>
      <c r="AB2047" s="104" t="e">
        <f>IF(Z2047&gt;0,((IF(OR(D2047="DF",D2047="RA")=TRUE,EXP(VLOOKUP(D2047,'Species Codes'!B:I,8,0)+VLOOKUP(D2047,'Species Codes'!B:J,9,0)*(LN((E2047*2.54)))),IF(OR(D2047="PY",D2047="RC",D2047="WH",D2047="NF")=TRUE,VLOOKUP(D2047,'Species Codes'!B:I,8,0)+VLOOKUP(D2047,'Species Codes'!B:J,9,0)*((E2047*2.54)^2)*(I2047*0.3048),IF(OR(D2047="MD",D2047="BM",D2047="GA")=TRUE,((VLOOKUP(D2047,'Species Codes'!B:I,8,0)*(((((E2047*2.54)+VLOOKUP(D2047,'Species Codes'!B:J,9,0))/VLOOKUP(D2047,'Species Codes'!B:K,10,0))^VLOOKUP(D2047,'Species Codes'!B:L,11,0))*((I2047*0.3048)^VLOOKUP(D2047,'Species Codes'!B:M,12,0))))-(VLOOKUP(D2047,'Species Codes'!B:I,8,0)*((((E2047*2.54)^VLOOKUP(D2047,'Species Codes'!B:L,11,0))*((I2047*0.3048)^VLOOKUP(D2047,'Species Codes'!B:M,12,0))))))*35.3*VLOOKUP(D2047,'Species Codes'!B:G,6,0)/2.2046,VLOOKUP(D2047,'Species Codes'!B:I,8,0)+VLOOKUP(D2047,'Species Codes'!B:J,9,0)*(((E2047*2.54)/100)^2)*(I2047*0.3048)))))*0.0011023),0)</f>
        <v>#N/A</v>
      </c>
      <c r="AC2047" s="104" t="e">
        <f>IF(Z2047&gt;0,((IF(OR(D2047="RA",D2047="OA",D2047="OT",D2047="UN",D2047="PC"),EXP(VLOOKUP(D2047,'Species Codes'!B:O,14,0)+VLOOKUP(D2047,'Species Codes'!B:P,15,0)*LN((E2047*2.54)))-EXP(VLOOKUP(D2047,'Species Codes'!B:O,14,0)+VLOOKUP(D2047,'Species Codes'!B:P,15,0)*LN((E2047*2.54)))*(1/(VLOOKUP(D2047,'Species Codes'!B:Q,16,0)+VLOOKUP(D2047,'Species Codes'!B:R,17,0)*((E2047*2.54)^VLOOKUP(D2047,'Species Codes'!B:S,18,0)))),IF(OR(D2047="BM",D2047="MD",D2047="OA"),EXP(VLOOKUP(D2047,'Species Codes'!B:O,14,0)+VLOOKUP(D2047,'Species Codes'!B:P,15,0)*LN((E2047*2.54)))*(1-(1/(VLOOKUP(D2047,'Species Codes'!B:Q,16,0)+VLOOKUP(D2047,'Species Codes'!B:R,17,0)*((E2047*2.54)^VLOOKUP(D2047,'Species Codes'!B:S,18,0)))))/1000,IF(D2047="DF",EXP(VLOOKUP(D2047,'Species Codes'!B:O,14,0)+VLOOKUP(D2047,'Species Codes'!B:P,15,0)*LN((E2047*2.54))),VLOOKUP(D2047,'Species Codes'!B:O,14,0)+VLOOKUP(D2047,'Species Codes'!B:P,15,0)*(((E2047*2.54)/100)^2)*(I2047*0.3048)))))*0.0011023),0)</f>
        <v>#N/A</v>
      </c>
      <c r="AD2047" s="104" t="e">
        <f t="shared" si="895"/>
        <v>#N/A</v>
      </c>
      <c r="AE2047" s="104" t="e">
        <f t="shared" si="896"/>
        <v>#N/A</v>
      </c>
      <c r="AF2047" s="104" t="e">
        <f>IF(AND(VLOOKUP($D2047,Merchantability!$B:$C,2,0)="Yes",$E2047&gt;=VLOOKUP($D2047,Merchantability!$B:$D,3,0),$E2047&lt;=VLOOKUP($D2047,Merchantability!$B:$E,4,0)),AA2047,0)</f>
        <v>#N/A</v>
      </c>
      <c r="AG2047" s="104" t="e">
        <f>IF(AND(VLOOKUP($D2047,Merchantability!$B:$C,2,0)="Yes",$E2047&gt;=VLOOKUP($D2047,Merchantability!$B:$D,3,0),$E2047&lt;=VLOOKUP($D2047,Merchantability!$B:$E,4,0)),AB2047,0)</f>
        <v>#N/A</v>
      </c>
      <c r="AH2047" s="104" t="e">
        <f>IF(AND(VLOOKUP($D2047,Merchantability!$B:$C,2,0)="Yes",$E2047&gt;=VLOOKUP($D2047,Merchantability!$B:$D,3,0),$E2047&lt;=VLOOKUP($D2047,Merchantability!$B:$E,4,0)),AC2047,0)</f>
        <v>#N/A</v>
      </c>
      <c r="AI2047" s="104" t="e">
        <f t="shared" si="897"/>
        <v>#N/A</v>
      </c>
      <c r="AJ2047" s="104" t="e">
        <f t="shared" si="898"/>
        <v>#VALUE!</v>
      </c>
      <c r="AK2047" s="104" t="e">
        <f t="shared" si="899"/>
        <v>#N/A</v>
      </c>
      <c r="AL2047" s="104" t="e">
        <f t="shared" si="900"/>
        <v>#N/A</v>
      </c>
      <c r="AM2047" s="104" t="e">
        <f t="shared" si="901"/>
        <v>#N/A</v>
      </c>
      <c r="AN2047" s="104" t="e">
        <f t="shared" si="885"/>
        <v>#N/A</v>
      </c>
      <c r="AO2047" s="104" t="e">
        <f t="shared" si="886"/>
        <v>#N/A</v>
      </c>
      <c r="AP2047" s="104" t="e">
        <f t="shared" si="887"/>
        <v>#N/A</v>
      </c>
      <c r="AQ2047" s="104" t="e">
        <f t="shared" si="888"/>
        <v>#N/A</v>
      </c>
      <c r="AR2047" s="105" t="str">
        <f t="shared" si="880"/>
        <v/>
      </c>
      <c r="AS2047" s="105" t="str">
        <f t="shared" si="881"/>
        <v/>
      </c>
      <c r="AT2047" s="108" t="str">
        <f t="shared" si="882"/>
        <v/>
      </c>
      <c r="AU2047" s="108" t="str">
        <f t="shared" si="883"/>
        <v/>
      </c>
      <c r="AV2047" s="107" t="str">
        <f>IF(ISNUMBER(O2047),IF(VLOOKUP($A2047,Stand!C:J,8,FALSE)="Short",AT2047,AU2047),"")</f>
        <v/>
      </c>
      <c r="AW2047" s="109" t="str">
        <f t="shared" si="889"/>
        <v/>
      </c>
      <c r="AX2047" s="109" t="str">
        <f t="shared" si="890"/>
        <v/>
      </c>
      <c r="AY2047" s="112" t="str">
        <f>IF(ISNUMBER(O2047),IF(AND(VLOOKUP($D2047,Merchantability!$B:$C,2,0)="Yes",$E2047&gt;=VLOOKUP($D2047,Merchantability!$B:$D,3,0),$E2047&lt;=VLOOKUP($D2047,Merchantability!$B:$E,4,0)),(AV2047*O2047)*(1-$H2047/100),""),"")</f>
        <v/>
      </c>
      <c r="AZ2047" s="116"/>
      <c r="BA2047" s="116"/>
      <c r="BB2047" s="116"/>
      <c r="BE2047" s="62"/>
      <c r="BF2047" s="63"/>
    </row>
    <row r="2048" spans="1:58" ht="12.75" customHeight="1" x14ac:dyDescent="0.25">
      <c r="A2048" s="334"/>
      <c r="B2048" s="334"/>
      <c r="C2048" s="332"/>
      <c r="D2048" s="334"/>
      <c r="E2048" s="335"/>
      <c r="F2048" s="334"/>
      <c r="G2048" s="332"/>
      <c r="H2048" s="332"/>
      <c r="I2048" s="334"/>
      <c r="J2048" s="336"/>
      <c r="K2048" s="332"/>
      <c r="L2048" s="332"/>
      <c r="M2048" s="76"/>
      <c r="N2048" s="103" t="str">
        <f>IF(A2048="","",VLOOKUP(A2048,Stand!C:K,9,0))</f>
        <v/>
      </c>
      <c r="O2048" s="104" t="str">
        <f t="shared" si="875"/>
        <v/>
      </c>
      <c r="P2048" s="105" t="str">
        <f t="shared" si="876"/>
        <v/>
      </c>
      <c r="Q2048" s="105" t="str">
        <f t="shared" si="891"/>
        <v/>
      </c>
      <c r="R2048" s="103" t="str">
        <f t="shared" si="877"/>
        <v/>
      </c>
      <c r="S2048" s="103" t="str">
        <f t="shared" si="878"/>
        <v/>
      </c>
      <c r="T2048" s="106" t="str">
        <f t="shared" si="892"/>
        <v/>
      </c>
      <c r="U2048" s="106" t="str">
        <f t="shared" si="893"/>
        <v/>
      </c>
      <c r="V2048" s="106" t="str">
        <f t="shared" si="894"/>
        <v/>
      </c>
      <c r="W2048" s="105" t="str">
        <f t="shared" si="879"/>
        <v/>
      </c>
      <c r="X2048" s="104" t="str">
        <f t="shared" si="884"/>
        <v/>
      </c>
      <c r="Y2048" s="104" t="str">
        <f t="array" ref="Y2048">IFERROR(IF(ISNUMBER(O2048),IF(COUNT(IF(A2048=$A$2:$A$2427,IF(D2048=$D$2:$D$2427,IF($X$2:$X$2427&gt;0,1))))&gt;0,SUM(IF(A2048=$A$2:$A$2427,IF(D2048=$D$2:$D$2427,$X$2:$X$2427)))/COUNT(IF(A2048=$A$2:$A$2427,IF(D2048=$D$2:$D$2427,IF(ISNUMBER($X$2:$X$2427),1)))),0),""),0)</f>
        <v/>
      </c>
      <c r="Z2048" s="104" t="str">
        <f>IF(ISNUMBER(O2048),IF(I2048&gt;0,(10^(VLOOKUP(D2048,'Species Codes'!B:C,2,0)+VLOOKUP(D2048,'Species Codes'!B:D,3,0)*LOG(E2048)+VLOOKUP(D2048,'Species Codes'!B:E,4,0)*LOG(I2048))),0),"")</f>
        <v/>
      </c>
      <c r="AA2048" s="104" t="str">
        <f>IFERROR((VLOOKUP(D2048,'Species Codes'!B:G,6,0)*Z2048)/2000,"")</f>
        <v/>
      </c>
      <c r="AB2048" s="104" t="e">
        <f>IF(Z2048&gt;0,((IF(OR(D2048="DF",D2048="RA")=TRUE,EXP(VLOOKUP(D2048,'Species Codes'!B:I,8,0)+VLOOKUP(D2048,'Species Codes'!B:J,9,0)*(LN((E2048*2.54)))),IF(OR(D2048="PY",D2048="RC",D2048="WH",D2048="NF")=TRUE,VLOOKUP(D2048,'Species Codes'!B:I,8,0)+VLOOKUP(D2048,'Species Codes'!B:J,9,0)*((E2048*2.54)^2)*(I2048*0.3048),IF(OR(D2048="MD",D2048="BM",D2048="GA")=TRUE,((VLOOKUP(D2048,'Species Codes'!B:I,8,0)*(((((E2048*2.54)+VLOOKUP(D2048,'Species Codes'!B:J,9,0))/VLOOKUP(D2048,'Species Codes'!B:K,10,0))^VLOOKUP(D2048,'Species Codes'!B:L,11,0))*((I2048*0.3048)^VLOOKUP(D2048,'Species Codes'!B:M,12,0))))-(VLOOKUP(D2048,'Species Codes'!B:I,8,0)*((((E2048*2.54)^VLOOKUP(D2048,'Species Codes'!B:L,11,0))*((I2048*0.3048)^VLOOKUP(D2048,'Species Codes'!B:M,12,0))))))*35.3*VLOOKUP(D2048,'Species Codes'!B:G,6,0)/2.2046,VLOOKUP(D2048,'Species Codes'!B:I,8,0)+VLOOKUP(D2048,'Species Codes'!B:J,9,0)*(((E2048*2.54)/100)^2)*(I2048*0.3048)))))*0.0011023),0)</f>
        <v>#N/A</v>
      </c>
      <c r="AC2048" s="104" t="e">
        <f>IF(Z2048&gt;0,((IF(OR(D2048="RA",D2048="OA",D2048="OT",D2048="UN",D2048="PC"),EXP(VLOOKUP(D2048,'Species Codes'!B:O,14,0)+VLOOKUP(D2048,'Species Codes'!B:P,15,0)*LN((E2048*2.54)))-EXP(VLOOKUP(D2048,'Species Codes'!B:O,14,0)+VLOOKUP(D2048,'Species Codes'!B:P,15,0)*LN((E2048*2.54)))*(1/(VLOOKUP(D2048,'Species Codes'!B:Q,16,0)+VLOOKUP(D2048,'Species Codes'!B:R,17,0)*((E2048*2.54)^VLOOKUP(D2048,'Species Codes'!B:S,18,0)))),IF(OR(D2048="BM",D2048="MD",D2048="OA"),EXP(VLOOKUP(D2048,'Species Codes'!B:O,14,0)+VLOOKUP(D2048,'Species Codes'!B:P,15,0)*LN((E2048*2.54)))*(1-(1/(VLOOKUP(D2048,'Species Codes'!B:Q,16,0)+VLOOKUP(D2048,'Species Codes'!B:R,17,0)*((E2048*2.54)^VLOOKUP(D2048,'Species Codes'!B:S,18,0)))))/1000,IF(D2048="DF",EXP(VLOOKUP(D2048,'Species Codes'!B:O,14,0)+VLOOKUP(D2048,'Species Codes'!B:P,15,0)*LN((E2048*2.54))),VLOOKUP(D2048,'Species Codes'!B:O,14,0)+VLOOKUP(D2048,'Species Codes'!B:P,15,0)*(((E2048*2.54)/100)^2)*(I2048*0.3048)))))*0.0011023),0)</f>
        <v>#N/A</v>
      </c>
      <c r="AD2048" s="104" t="e">
        <f t="shared" si="895"/>
        <v>#N/A</v>
      </c>
      <c r="AE2048" s="104" t="e">
        <f t="shared" si="896"/>
        <v>#N/A</v>
      </c>
      <c r="AF2048" s="104" t="e">
        <f>IF(AND(VLOOKUP($D2048,Merchantability!$B:$C,2,0)="Yes",$E2048&gt;=VLOOKUP($D2048,Merchantability!$B:$D,3,0),$E2048&lt;=VLOOKUP($D2048,Merchantability!$B:$E,4,0)),AA2048,0)</f>
        <v>#N/A</v>
      </c>
      <c r="AG2048" s="104" t="e">
        <f>IF(AND(VLOOKUP($D2048,Merchantability!$B:$C,2,0)="Yes",$E2048&gt;=VLOOKUP($D2048,Merchantability!$B:$D,3,0),$E2048&lt;=VLOOKUP($D2048,Merchantability!$B:$E,4,0)),AB2048,0)</f>
        <v>#N/A</v>
      </c>
      <c r="AH2048" s="104" t="e">
        <f>IF(AND(VLOOKUP($D2048,Merchantability!$B:$C,2,0)="Yes",$E2048&gt;=VLOOKUP($D2048,Merchantability!$B:$D,3,0),$E2048&lt;=VLOOKUP($D2048,Merchantability!$B:$E,4,0)),AC2048,0)</f>
        <v>#N/A</v>
      </c>
      <c r="AI2048" s="104" t="e">
        <f t="shared" si="897"/>
        <v>#N/A</v>
      </c>
      <c r="AJ2048" s="104" t="e">
        <f t="shared" si="898"/>
        <v>#VALUE!</v>
      </c>
      <c r="AK2048" s="104" t="e">
        <f t="shared" si="899"/>
        <v>#N/A</v>
      </c>
      <c r="AL2048" s="104" t="e">
        <f t="shared" si="900"/>
        <v>#N/A</v>
      </c>
      <c r="AM2048" s="104" t="e">
        <f t="shared" si="901"/>
        <v>#N/A</v>
      </c>
      <c r="AN2048" s="104" t="e">
        <f t="shared" si="885"/>
        <v>#N/A</v>
      </c>
      <c r="AO2048" s="104" t="e">
        <f t="shared" si="886"/>
        <v>#N/A</v>
      </c>
      <c r="AP2048" s="104" t="e">
        <f t="shared" si="887"/>
        <v>#N/A</v>
      </c>
      <c r="AQ2048" s="104" t="e">
        <f t="shared" si="888"/>
        <v>#N/A</v>
      </c>
      <c r="AR2048" s="105" t="str">
        <f t="shared" si="880"/>
        <v/>
      </c>
      <c r="AS2048" s="105" t="str">
        <f t="shared" si="881"/>
        <v/>
      </c>
      <c r="AT2048" s="108" t="str">
        <f t="shared" si="882"/>
        <v/>
      </c>
      <c r="AU2048" s="108" t="str">
        <f t="shared" si="883"/>
        <v/>
      </c>
      <c r="AV2048" s="107" t="str">
        <f>IF(ISNUMBER(O2048),IF(VLOOKUP($A2048,Stand!C:J,8,FALSE)="Short",AT2048,AU2048),"")</f>
        <v/>
      </c>
      <c r="AW2048" s="109" t="str">
        <f t="shared" si="889"/>
        <v/>
      </c>
      <c r="AX2048" s="109" t="str">
        <f t="shared" si="890"/>
        <v/>
      </c>
      <c r="AY2048" s="112" t="str">
        <f>IF(ISNUMBER(O2048),IF(AND(VLOOKUP($D2048,Merchantability!$B:$C,2,0)="Yes",$E2048&gt;=VLOOKUP($D2048,Merchantability!$B:$D,3,0),$E2048&lt;=VLOOKUP($D2048,Merchantability!$B:$E,4,0)),(AV2048*O2048)*(1-$H2048/100),""),"")</f>
        <v/>
      </c>
      <c r="AZ2048" s="116"/>
      <c r="BA2048" s="116"/>
      <c r="BB2048" s="116"/>
      <c r="BE2048" s="62"/>
      <c r="BF2048" s="63"/>
    </row>
    <row r="2049" spans="1:58" ht="12.75" customHeight="1" x14ac:dyDescent="0.25">
      <c r="A2049" s="334"/>
      <c r="B2049" s="334"/>
      <c r="C2049" s="332"/>
      <c r="D2049" s="334"/>
      <c r="E2049" s="335"/>
      <c r="F2049" s="334"/>
      <c r="G2049" s="332"/>
      <c r="H2049" s="332"/>
      <c r="I2049" s="334"/>
      <c r="J2049" s="336"/>
      <c r="K2049" s="332"/>
      <c r="L2049" s="332"/>
      <c r="M2049" s="76"/>
      <c r="N2049" s="103" t="str">
        <f>IF(A2049="","",VLOOKUP(A2049,Stand!C:K,9,0))</f>
        <v/>
      </c>
      <c r="O2049" s="104" t="str">
        <f t="shared" si="875"/>
        <v/>
      </c>
      <c r="P2049" s="105" t="str">
        <f t="shared" si="876"/>
        <v/>
      </c>
      <c r="Q2049" s="105" t="str">
        <f t="shared" si="891"/>
        <v/>
      </c>
      <c r="R2049" s="103" t="str">
        <f t="shared" si="877"/>
        <v/>
      </c>
      <c r="S2049" s="103" t="str">
        <f t="shared" si="878"/>
        <v/>
      </c>
      <c r="T2049" s="106" t="str">
        <f t="shared" si="892"/>
        <v/>
      </c>
      <c r="U2049" s="106" t="str">
        <f t="shared" si="893"/>
        <v/>
      </c>
      <c r="V2049" s="106" t="str">
        <f t="shared" si="894"/>
        <v/>
      </c>
      <c r="W2049" s="105" t="str">
        <f t="shared" si="879"/>
        <v/>
      </c>
      <c r="X2049" s="104" t="str">
        <f t="shared" si="884"/>
        <v/>
      </c>
      <c r="Y2049" s="104" t="str">
        <f t="array" ref="Y2049">IFERROR(IF(ISNUMBER(O2049),IF(COUNT(IF(A2049=$A$2:$A$2427,IF(D2049=$D$2:$D$2427,IF($X$2:$X$2427&gt;0,1))))&gt;0,SUM(IF(A2049=$A$2:$A$2427,IF(D2049=$D$2:$D$2427,$X$2:$X$2427)))/COUNT(IF(A2049=$A$2:$A$2427,IF(D2049=$D$2:$D$2427,IF(ISNUMBER($X$2:$X$2427),1)))),0),""),0)</f>
        <v/>
      </c>
      <c r="Z2049" s="104" t="str">
        <f>IF(ISNUMBER(O2049),IF(I2049&gt;0,(10^(VLOOKUP(D2049,'Species Codes'!B:C,2,0)+VLOOKUP(D2049,'Species Codes'!B:D,3,0)*LOG(E2049)+VLOOKUP(D2049,'Species Codes'!B:E,4,0)*LOG(I2049))),0),"")</f>
        <v/>
      </c>
      <c r="AA2049" s="104" t="str">
        <f>IFERROR((VLOOKUP(D2049,'Species Codes'!B:G,6,0)*Z2049)/2000,"")</f>
        <v/>
      </c>
      <c r="AB2049" s="104" t="e">
        <f>IF(Z2049&gt;0,((IF(OR(D2049="DF",D2049="RA")=TRUE,EXP(VLOOKUP(D2049,'Species Codes'!B:I,8,0)+VLOOKUP(D2049,'Species Codes'!B:J,9,0)*(LN((E2049*2.54)))),IF(OR(D2049="PY",D2049="RC",D2049="WH",D2049="NF")=TRUE,VLOOKUP(D2049,'Species Codes'!B:I,8,0)+VLOOKUP(D2049,'Species Codes'!B:J,9,0)*((E2049*2.54)^2)*(I2049*0.3048),IF(OR(D2049="MD",D2049="BM",D2049="GA")=TRUE,((VLOOKUP(D2049,'Species Codes'!B:I,8,0)*(((((E2049*2.54)+VLOOKUP(D2049,'Species Codes'!B:J,9,0))/VLOOKUP(D2049,'Species Codes'!B:K,10,0))^VLOOKUP(D2049,'Species Codes'!B:L,11,0))*((I2049*0.3048)^VLOOKUP(D2049,'Species Codes'!B:M,12,0))))-(VLOOKUP(D2049,'Species Codes'!B:I,8,0)*((((E2049*2.54)^VLOOKUP(D2049,'Species Codes'!B:L,11,0))*((I2049*0.3048)^VLOOKUP(D2049,'Species Codes'!B:M,12,0))))))*35.3*VLOOKUP(D2049,'Species Codes'!B:G,6,0)/2.2046,VLOOKUP(D2049,'Species Codes'!B:I,8,0)+VLOOKUP(D2049,'Species Codes'!B:J,9,0)*(((E2049*2.54)/100)^2)*(I2049*0.3048)))))*0.0011023),0)</f>
        <v>#N/A</v>
      </c>
      <c r="AC2049" s="104" t="e">
        <f>IF(Z2049&gt;0,((IF(OR(D2049="RA",D2049="OA",D2049="OT",D2049="UN",D2049="PC"),EXP(VLOOKUP(D2049,'Species Codes'!B:O,14,0)+VLOOKUP(D2049,'Species Codes'!B:P,15,0)*LN((E2049*2.54)))-EXP(VLOOKUP(D2049,'Species Codes'!B:O,14,0)+VLOOKUP(D2049,'Species Codes'!B:P,15,0)*LN((E2049*2.54)))*(1/(VLOOKUP(D2049,'Species Codes'!B:Q,16,0)+VLOOKUP(D2049,'Species Codes'!B:R,17,0)*((E2049*2.54)^VLOOKUP(D2049,'Species Codes'!B:S,18,0)))),IF(OR(D2049="BM",D2049="MD",D2049="OA"),EXP(VLOOKUP(D2049,'Species Codes'!B:O,14,0)+VLOOKUP(D2049,'Species Codes'!B:P,15,0)*LN((E2049*2.54)))*(1-(1/(VLOOKUP(D2049,'Species Codes'!B:Q,16,0)+VLOOKUP(D2049,'Species Codes'!B:R,17,0)*((E2049*2.54)^VLOOKUP(D2049,'Species Codes'!B:S,18,0)))))/1000,IF(D2049="DF",EXP(VLOOKUP(D2049,'Species Codes'!B:O,14,0)+VLOOKUP(D2049,'Species Codes'!B:P,15,0)*LN((E2049*2.54))),VLOOKUP(D2049,'Species Codes'!B:O,14,0)+VLOOKUP(D2049,'Species Codes'!B:P,15,0)*(((E2049*2.54)/100)^2)*(I2049*0.3048)))))*0.0011023),0)</f>
        <v>#N/A</v>
      </c>
      <c r="AD2049" s="104" t="e">
        <f t="shared" si="895"/>
        <v>#N/A</v>
      </c>
      <c r="AE2049" s="104" t="e">
        <f t="shared" si="896"/>
        <v>#N/A</v>
      </c>
      <c r="AF2049" s="104" t="e">
        <f>IF(AND(VLOOKUP($D2049,Merchantability!$B:$C,2,0)="Yes",$E2049&gt;=VLOOKUP($D2049,Merchantability!$B:$D,3,0),$E2049&lt;=VLOOKUP($D2049,Merchantability!$B:$E,4,0)),AA2049,0)</f>
        <v>#N/A</v>
      </c>
      <c r="AG2049" s="104" t="e">
        <f>IF(AND(VLOOKUP($D2049,Merchantability!$B:$C,2,0)="Yes",$E2049&gt;=VLOOKUP($D2049,Merchantability!$B:$D,3,0),$E2049&lt;=VLOOKUP($D2049,Merchantability!$B:$E,4,0)),AB2049,0)</f>
        <v>#N/A</v>
      </c>
      <c r="AH2049" s="104" t="e">
        <f>IF(AND(VLOOKUP($D2049,Merchantability!$B:$C,2,0)="Yes",$E2049&gt;=VLOOKUP($D2049,Merchantability!$B:$D,3,0),$E2049&lt;=VLOOKUP($D2049,Merchantability!$B:$E,4,0)),AC2049,0)</f>
        <v>#N/A</v>
      </c>
      <c r="AI2049" s="104" t="e">
        <f t="shared" si="897"/>
        <v>#N/A</v>
      </c>
      <c r="AJ2049" s="104" t="e">
        <f t="shared" si="898"/>
        <v>#VALUE!</v>
      </c>
      <c r="AK2049" s="104" t="e">
        <f t="shared" si="899"/>
        <v>#N/A</v>
      </c>
      <c r="AL2049" s="104" t="e">
        <f t="shared" si="900"/>
        <v>#N/A</v>
      </c>
      <c r="AM2049" s="104" t="e">
        <f t="shared" si="901"/>
        <v>#N/A</v>
      </c>
      <c r="AN2049" s="104" t="e">
        <f t="shared" si="885"/>
        <v>#N/A</v>
      </c>
      <c r="AO2049" s="104" t="e">
        <f t="shared" si="886"/>
        <v>#N/A</v>
      </c>
      <c r="AP2049" s="104" t="e">
        <f t="shared" si="887"/>
        <v>#N/A</v>
      </c>
      <c r="AQ2049" s="104" t="e">
        <f t="shared" si="888"/>
        <v>#N/A</v>
      </c>
      <c r="AR2049" s="105" t="str">
        <f t="shared" si="880"/>
        <v/>
      </c>
      <c r="AS2049" s="105" t="str">
        <f t="shared" si="881"/>
        <v/>
      </c>
      <c r="AT2049" s="108" t="str">
        <f t="shared" si="882"/>
        <v/>
      </c>
      <c r="AU2049" s="108" t="str">
        <f t="shared" si="883"/>
        <v/>
      </c>
      <c r="AV2049" s="107" t="str">
        <f>IF(ISNUMBER(O2049),IF(VLOOKUP($A2049,Stand!C:J,8,FALSE)="Short",AT2049,AU2049),"")</f>
        <v/>
      </c>
      <c r="AW2049" s="109" t="str">
        <f t="shared" si="889"/>
        <v/>
      </c>
      <c r="AX2049" s="109" t="str">
        <f t="shared" si="890"/>
        <v/>
      </c>
      <c r="AY2049" s="112" t="str">
        <f>IF(ISNUMBER(O2049),IF(AND(VLOOKUP($D2049,Merchantability!$B:$C,2,0)="Yes",$E2049&gt;=VLOOKUP($D2049,Merchantability!$B:$D,3,0),$E2049&lt;=VLOOKUP($D2049,Merchantability!$B:$E,4,0)),(AV2049*O2049)*(1-$H2049/100),""),"")</f>
        <v/>
      </c>
      <c r="AZ2049" s="116"/>
      <c r="BA2049" s="116"/>
      <c r="BB2049" s="116"/>
      <c r="BE2049" s="62"/>
      <c r="BF2049" s="63"/>
    </row>
    <row r="2050" spans="1:58" ht="12.75" customHeight="1" x14ac:dyDescent="0.25">
      <c r="A2050" s="334"/>
      <c r="B2050" s="334"/>
      <c r="C2050" s="332"/>
      <c r="D2050" s="334"/>
      <c r="E2050" s="335"/>
      <c r="F2050" s="334"/>
      <c r="G2050" s="332"/>
      <c r="H2050" s="332"/>
      <c r="I2050" s="334"/>
      <c r="J2050" s="336"/>
      <c r="K2050" s="332"/>
      <c r="L2050" s="332"/>
      <c r="M2050" s="76"/>
      <c r="N2050" s="103" t="str">
        <f>IF(A2050="","",VLOOKUP(A2050,Stand!C:K,9,0))</f>
        <v/>
      </c>
      <c r="O2050" s="104" t="str">
        <f t="shared" ref="O2050:O2113" si="902">IF(E2050&gt;0,IF(G2050&gt;1,G2050*(43560/(N2050^2*3.14)),43560/(N2050^2*3.14)),"")</f>
        <v/>
      </c>
      <c r="P2050" s="105" t="str">
        <f t="shared" ref="P2050:P2113" si="903">IF(ISNUMBER(O2050),E2050*O2050,"")</f>
        <v/>
      </c>
      <c r="Q2050" s="105" t="str">
        <f t="shared" si="891"/>
        <v/>
      </c>
      <c r="R2050" s="103" t="str">
        <f t="shared" ref="R2050:R2113" si="904">IF(ISNUMBER(O2050),E2050^2*0.005454*O2050,"")</f>
        <v/>
      </c>
      <c r="S2050" s="103" t="str">
        <f t="shared" ref="S2050:S2113" si="905">IF(ISNUMBER(O2050),(E2050/10)^1.7*O2050,"")</f>
        <v/>
      </c>
      <c r="T2050" s="106" t="str">
        <f t="shared" si="892"/>
        <v/>
      </c>
      <c r="U2050" s="106" t="str">
        <f t="shared" si="893"/>
        <v/>
      </c>
      <c r="V2050" s="106" t="str">
        <f t="shared" si="894"/>
        <v/>
      </c>
      <c r="W2050" s="105" t="str">
        <f t="shared" ref="W2050:W2113" si="906">IF(AND(ISNUMBER(O2050),I2050&gt;0),I2050/(E2050/12),"")</f>
        <v/>
      </c>
      <c r="X2050" s="104" t="str">
        <f t="shared" si="884"/>
        <v/>
      </c>
      <c r="Y2050" s="104" t="str">
        <f t="array" ref="Y2050">IFERROR(IF(ISNUMBER(O2050),IF(COUNT(IF(A2050=$A$2:$A$2427,IF(D2050=$D$2:$D$2427,IF($X$2:$X$2427&gt;0,1))))&gt;0,SUM(IF(A2050=$A$2:$A$2427,IF(D2050=$D$2:$D$2427,$X$2:$X$2427)))/COUNT(IF(A2050=$A$2:$A$2427,IF(D2050=$D$2:$D$2427,IF(ISNUMBER($X$2:$X$2427),1)))),0),""),0)</f>
        <v/>
      </c>
      <c r="Z2050" s="104" t="str">
        <f>IF(ISNUMBER(O2050),IF(I2050&gt;0,(10^(VLOOKUP(D2050,'Species Codes'!B:C,2,0)+VLOOKUP(D2050,'Species Codes'!B:D,3,0)*LOG(E2050)+VLOOKUP(D2050,'Species Codes'!B:E,4,0)*LOG(I2050))),0),"")</f>
        <v/>
      </c>
      <c r="AA2050" s="104" t="str">
        <f>IFERROR((VLOOKUP(D2050,'Species Codes'!B:G,6,0)*Z2050)/2000,"")</f>
        <v/>
      </c>
      <c r="AB2050" s="104" t="e">
        <f>IF(Z2050&gt;0,((IF(OR(D2050="DF",D2050="RA")=TRUE,EXP(VLOOKUP(D2050,'Species Codes'!B:I,8,0)+VLOOKUP(D2050,'Species Codes'!B:J,9,0)*(LN((E2050*2.54)))),IF(OR(D2050="PY",D2050="RC",D2050="WH",D2050="NF")=TRUE,VLOOKUP(D2050,'Species Codes'!B:I,8,0)+VLOOKUP(D2050,'Species Codes'!B:J,9,0)*((E2050*2.54)^2)*(I2050*0.3048),IF(OR(D2050="MD",D2050="BM",D2050="GA")=TRUE,((VLOOKUP(D2050,'Species Codes'!B:I,8,0)*(((((E2050*2.54)+VLOOKUP(D2050,'Species Codes'!B:J,9,0))/VLOOKUP(D2050,'Species Codes'!B:K,10,0))^VLOOKUP(D2050,'Species Codes'!B:L,11,0))*((I2050*0.3048)^VLOOKUP(D2050,'Species Codes'!B:M,12,0))))-(VLOOKUP(D2050,'Species Codes'!B:I,8,0)*((((E2050*2.54)^VLOOKUP(D2050,'Species Codes'!B:L,11,0))*((I2050*0.3048)^VLOOKUP(D2050,'Species Codes'!B:M,12,0))))))*35.3*VLOOKUP(D2050,'Species Codes'!B:G,6,0)/2.2046,VLOOKUP(D2050,'Species Codes'!B:I,8,0)+VLOOKUP(D2050,'Species Codes'!B:J,9,0)*(((E2050*2.54)/100)^2)*(I2050*0.3048)))))*0.0011023),0)</f>
        <v>#N/A</v>
      </c>
      <c r="AC2050" s="104" t="e">
        <f>IF(Z2050&gt;0,((IF(OR(D2050="RA",D2050="OA",D2050="OT",D2050="UN",D2050="PC"),EXP(VLOOKUP(D2050,'Species Codes'!B:O,14,0)+VLOOKUP(D2050,'Species Codes'!B:P,15,0)*LN((E2050*2.54)))-EXP(VLOOKUP(D2050,'Species Codes'!B:O,14,0)+VLOOKUP(D2050,'Species Codes'!B:P,15,0)*LN((E2050*2.54)))*(1/(VLOOKUP(D2050,'Species Codes'!B:Q,16,0)+VLOOKUP(D2050,'Species Codes'!B:R,17,0)*((E2050*2.54)^VLOOKUP(D2050,'Species Codes'!B:S,18,0)))),IF(OR(D2050="BM",D2050="MD",D2050="OA"),EXP(VLOOKUP(D2050,'Species Codes'!B:O,14,0)+VLOOKUP(D2050,'Species Codes'!B:P,15,0)*LN((E2050*2.54)))*(1-(1/(VLOOKUP(D2050,'Species Codes'!B:Q,16,0)+VLOOKUP(D2050,'Species Codes'!B:R,17,0)*((E2050*2.54)^VLOOKUP(D2050,'Species Codes'!B:S,18,0)))))/1000,IF(D2050="DF",EXP(VLOOKUP(D2050,'Species Codes'!B:O,14,0)+VLOOKUP(D2050,'Species Codes'!B:P,15,0)*LN((E2050*2.54))),VLOOKUP(D2050,'Species Codes'!B:O,14,0)+VLOOKUP(D2050,'Species Codes'!B:P,15,0)*(((E2050*2.54)/100)^2)*(I2050*0.3048)))))*0.0011023),0)</f>
        <v>#N/A</v>
      </c>
      <c r="AD2050" s="104" t="e">
        <f t="shared" si="895"/>
        <v>#N/A</v>
      </c>
      <c r="AE2050" s="104" t="e">
        <f t="shared" si="896"/>
        <v>#N/A</v>
      </c>
      <c r="AF2050" s="104" t="e">
        <f>IF(AND(VLOOKUP($D2050,Merchantability!$B:$C,2,0)="Yes",$E2050&gt;=VLOOKUP($D2050,Merchantability!$B:$D,3,0),$E2050&lt;=VLOOKUP($D2050,Merchantability!$B:$E,4,0)),AA2050,0)</f>
        <v>#N/A</v>
      </c>
      <c r="AG2050" s="104" t="e">
        <f>IF(AND(VLOOKUP($D2050,Merchantability!$B:$C,2,0)="Yes",$E2050&gt;=VLOOKUP($D2050,Merchantability!$B:$D,3,0),$E2050&lt;=VLOOKUP($D2050,Merchantability!$B:$E,4,0)),AB2050,0)</f>
        <v>#N/A</v>
      </c>
      <c r="AH2050" s="104" t="e">
        <f>IF(AND(VLOOKUP($D2050,Merchantability!$B:$C,2,0)="Yes",$E2050&gt;=VLOOKUP($D2050,Merchantability!$B:$D,3,0),$E2050&lt;=VLOOKUP($D2050,Merchantability!$B:$E,4,0)),AC2050,0)</f>
        <v>#N/A</v>
      </c>
      <c r="AI2050" s="104" t="e">
        <f t="shared" si="897"/>
        <v>#N/A</v>
      </c>
      <c r="AJ2050" s="104" t="e">
        <f t="shared" si="898"/>
        <v>#VALUE!</v>
      </c>
      <c r="AK2050" s="104" t="e">
        <f t="shared" si="899"/>
        <v>#N/A</v>
      </c>
      <c r="AL2050" s="104" t="e">
        <f t="shared" si="900"/>
        <v>#N/A</v>
      </c>
      <c r="AM2050" s="104" t="e">
        <f t="shared" si="901"/>
        <v>#N/A</v>
      </c>
      <c r="AN2050" s="104" t="e">
        <f t="shared" si="885"/>
        <v>#N/A</v>
      </c>
      <c r="AO2050" s="104" t="e">
        <f t="shared" si="886"/>
        <v>#N/A</v>
      </c>
      <c r="AP2050" s="104" t="e">
        <f t="shared" si="887"/>
        <v>#N/A</v>
      </c>
      <c r="AQ2050" s="104" t="e">
        <f t="shared" si="888"/>
        <v>#N/A</v>
      </c>
      <c r="AR2050" s="105" t="str">
        <f t="shared" ref="AR2050:AR2113" si="907">IF(ISNUMBER(O2050),IF(Y2050&gt;0,((Y2050*(E2050^2*0.005454-0.087266))/0.912733),0),"")</f>
        <v/>
      </c>
      <c r="AS2050" s="105" t="str">
        <f t="shared" ref="AS2050:AS2113" si="908">IF(ISNUMBER(O2050),AR2050*(0.993-0.993*(0.62^(E2050-6))),"")</f>
        <v/>
      </c>
      <c r="AT2050" s="108" t="str">
        <f t="shared" ref="AT2050:AT2113" si="909">IF(ISNUMBER(O2050),IF(AS2050&gt;0,IF(Y2050&gt;0,(AS2050*10^(0.174439+0.117594*(LOG(E2050,10))*(LOG(Y2050/0.912733,10))-8.210585/E2050^2+0.236693*(LOG(Y2050/0.912733,10))-0.00001345*(Y2050/0.912733)^2-0.00001937*E2050^2)),0),0),"")</f>
        <v/>
      </c>
      <c r="AU2050" s="108" t="str">
        <f t="shared" ref="AU2050:AU2113" si="910">IF(ISNUMBER(O2050),IF(AS2050&gt;0,IF(Y2050&gt;0,AT2050*(1.001491-(6.92497/Y2050)+(0.00001351*(E2050^2))),0),0),"")</f>
        <v/>
      </c>
      <c r="AV2050" s="107" t="str">
        <f>IF(ISNUMBER(O2050),IF(VLOOKUP($A2050,Stand!C:J,8,FALSE)="Short",AT2050,AU2050),"")</f>
        <v/>
      </c>
      <c r="AW2050" s="109" t="str">
        <f t="shared" si="889"/>
        <v/>
      </c>
      <c r="AX2050" s="109" t="str">
        <f t="shared" si="890"/>
        <v/>
      </c>
      <c r="AY2050" s="112" t="str">
        <f>IF(ISNUMBER(O2050),IF(AND(VLOOKUP($D2050,Merchantability!$B:$C,2,0)="Yes",$E2050&gt;=VLOOKUP($D2050,Merchantability!$B:$D,3,0),$E2050&lt;=VLOOKUP($D2050,Merchantability!$B:$E,4,0)),(AV2050*O2050)*(1-$H2050/100),""),"")</f>
        <v/>
      </c>
      <c r="AZ2050" s="116"/>
      <c r="BA2050" s="116"/>
      <c r="BB2050" s="116"/>
      <c r="BE2050" s="62"/>
      <c r="BF2050" s="63"/>
    </row>
    <row r="2051" spans="1:58" ht="12.75" customHeight="1" x14ac:dyDescent="0.25">
      <c r="A2051" s="334"/>
      <c r="B2051" s="334"/>
      <c r="C2051" s="332"/>
      <c r="D2051" s="334"/>
      <c r="E2051" s="335"/>
      <c r="F2051" s="334"/>
      <c r="G2051" s="332"/>
      <c r="H2051" s="332"/>
      <c r="I2051" s="334"/>
      <c r="J2051" s="336"/>
      <c r="K2051" s="332"/>
      <c r="L2051" s="332"/>
      <c r="M2051" s="76"/>
      <c r="N2051" s="103" t="str">
        <f>IF(A2051="","",VLOOKUP(A2051,Stand!C:K,9,0))</f>
        <v/>
      </c>
      <c r="O2051" s="104" t="str">
        <f t="shared" si="902"/>
        <v/>
      </c>
      <c r="P2051" s="105" t="str">
        <f t="shared" si="903"/>
        <v/>
      </c>
      <c r="Q2051" s="105" t="str">
        <f t="shared" si="891"/>
        <v/>
      </c>
      <c r="R2051" s="103" t="str">
        <f t="shared" si="904"/>
        <v/>
      </c>
      <c r="S2051" s="103" t="str">
        <f t="shared" si="905"/>
        <v/>
      </c>
      <c r="T2051" s="106" t="str">
        <f t="shared" si="892"/>
        <v/>
      </c>
      <c r="U2051" s="106" t="str">
        <f t="shared" si="893"/>
        <v/>
      </c>
      <c r="V2051" s="106" t="str">
        <f t="shared" si="894"/>
        <v/>
      </c>
      <c r="W2051" s="105" t="str">
        <f t="shared" si="906"/>
        <v/>
      </c>
      <c r="X2051" s="104" t="str">
        <f t="shared" ref="X2051:X2114" si="911">IF(ISNUMBER(O2051),IF(I2051&gt;0,IF(E2051&gt;0,(0.912733*Z2051)/(1.033*(1+1.382937*EXP(-4.015292*E2051/10))*((E2051^2)*0.005454+0.087266)-0.174533),""),""),"")</f>
        <v/>
      </c>
      <c r="Y2051" s="104" t="str">
        <f t="array" ref="Y2051">IFERROR(IF(ISNUMBER(O2051),IF(COUNT(IF(A2051=$A$2:$A$2427,IF(D2051=$D$2:$D$2427,IF($X$2:$X$2427&gt;0,1))))&gt;0,SUM(IF(A2051=$A$2:$A$2427,IF(D2051=$D$2:$D$2427,$X$2:$X$2427)))/COUNT(IF(A2051=$A$2:$A$2427,IF(D2051=$D$2:$D$2427,IF(ISNUMBER($X$2:$X$2427),1)))),0),""),0)</f>
        <v/>
      </c>
      <c r="Z2051" s="104" t="str">
        <f>IF(ISNUMBER(O2051),IF(I2051&gt;0,(10^(VLOOKUP(D2051,'Species Codes'!B:C,2,0)+VLOOKUP(D2051,'Species Codes'!B:D,3,0)*LOG(E2051)+VLOOKUP(D2051,'Species Codes'!B:E,4,0)*LOG(I2051))),0),"")</f>
        <v/>
      </c>
      <c r="AA2051" s="104" t="str">
        <f>IFERROR((VLOOKUP(D2051,'Species Codes'!B:G,6,0)*Z2051)/2000,"")</f>
        <v/>
      </c>
      <c r="AB2051" s="104" t="e">
        <f>IF(Z2051&gt;0,((IF(OR(D2051="DF",D2051="RA")=TRUE,EXP(VLOOKUP(D2051,'Species Codes'!B:I,8,0)+VLOOKUP(D2051,'Species Codes'!B:J,9,0)*(LN((E2051*2.54)))),IF(OR(D2051="PY",D2051="RC",D2051="WH",D2051="NF")=TRUE,VLOOKUP(D2051,'Species Codes'!B:I,8,0)+VLOOKUP(D2051,'Species Codes'!B:J,9,0)*((E2051*2.54)^2)*(I2051*0.3048),IF(OR(D2051="MD",D2051="BM",D2051="GA")=TRUE,((VLOOKUP(D2051,'Species Codes'!B:I,8,0)*(((((E2051*2.54)+VLOOKUP(D2051,'Species Codes'!B:J,9,0))/VLOOKUP(D2051,'Species Codes'!B:K,10,0))^VLOOKUP(D2051,'Species Codes'!B:L,11,0))*((I2051*0.3048)^VLOOKUP(D2051,'Species Codes'!B:M,12,0))))-(VLOOKUP(D2051,'Species Codes'!B:I,8,0)*((((E2051*2.54)^VLOOKUP(D2051,'Species Codes'!B:L,11,0))*((I2051*0.3048)^VLOOKUP(D2051,'Species Codes'!B:M,12,0))))))*35.3*VLOOKUP(D2051,'Species Codes'!B:G,6,0)/2.2046,VLOOKUP(D2051,'Species Codes'!B:I,8,0)+VLOOKUP(D2051,'Species Codes'!B:J,9,0)*(((E2051*2.54)/100)^2)*(I2051*0.3048)))))*0.0011023),0)</f>
        <v>#N/A</v>
      </c>
      <c r="AC2051" s="104" t="e">
        <f>IF(Z2051&gt;0,((IF(OR(D2051="RA",D2051="OA",D2051="OT",D2051="UN",D2051="PC"),EXP(VLOOKUP(D2051,'Species Codes'!B:O,14,0)+VLOOKUP(D2051,'Species Codes'!B:P,15,0)*LN((E2051*2.54)))-EXP(VLOOKUP(D2051,'Species Codes'!B:O,14,0)+VLOOKUP(D2051,'Species Codes'!B:P,15,0)*LN((E2051*2.54)))*(1/(VLOOKUP(D2051,'Species Codes'!B:Q,16,0)+VLOOKUP(D2051,'Species Codes'!B:R,17,0)*((E2051*2.54)^VLOOKUP(D2051,'Species Codes'!B:S,18,0)))),IF(OR(D2051="BM",D2051="MD",D2051="OA"),EXP(VLOOKUP(D2051,'Species Codes'!B:O,14,0)+VLOOKUP(D2051,'Species Codes'!B:P,15,0)*LN((E2051*2.54)))*(1-(1/(VLOOKUP(D2051,'Species Codes'!B:Q,16,0)+VLOOKUP(D2051,'Species Codes'!B:R,17,0)*((E2051*2.54)^VLOOKUP(D2051,'Species Codes'!B:S,18,0)))))/1000,IF(D2051="DF",EXP(VLOOKUP(D2051,'Species Codes'!B:O,14,0)+VLOOKUP(D2051,'Species Codes'!B:P,15,0)*LN((E2051*2.54))),VLOOKUP(D2051,'Species Codes'!B:O,14,0)+VLOOKUP(D2051,'Species Codes'!B:P,15,0)*(((E2051*2.54)/100)^2)*(I2051*0.3048)))))*0.0011023),0)</f>
        <v>#N/A</v>
      </c>
      <c r="AD2051" s="104" t="e">
        <f t="shared" si="895"/>
        <v>#N/A</v>
      </c>
      <c r="AE2051" s="104" t="e">
        <f t="shared" si="896"/>
        <v>#N/A</v>
      </c>
      <c r="AF2051" s="104" t="e">
        <f>IF(AND(VLOOKUP($D2051,Merchantability!$B:$C,2,0)="Yes",$E2051&gt;=VLOOKUP($D2051,Merchantability!$B:$D,3,0),$E2051&lt;=VLOOKUP($D2051,Merchantability!$B:$E,4,0)),AA2051,0)</f>
        <v>#N/A</v>
      </c>
      <c r="AG2051" s="104" t="e">
        <f>IF(AND(VLOOKUP($D2051,Merchantability!$B:$C,2,0)="Yes",$E2051&gt;=VLOOKUP($D2051,Merchantability!$B:$D,3,0),$E2051&lt;=VLOOKUP($D2051,Merchantability!$B:$E,4,0)),AB2051,0)</f>
        <v>#N/A</v>
      </c>
      <c r="AH2051" s="104" t="e">
        <f>IF(AND(VLOOKUP($D2051,Merchantability!$B:$C,2,0)="Yes",$E2051&gt;=VLOOKUP($D2051,Merchantability!$B:$D,3,0),$E2051&lt;=VLOOKUP($D2051,Merchantability!$B:$E,4,0)),AC2051,0)</f>
        <v>#N/A</v>
      </c>
      <c r="AI2051" s="104" t="e">
        <f t="shared" si="897"/>
        <v>#N/A</v>
      </c>
      <c r="AJ2051" s="104" t="e">
        <f t="shared" si="898"/>
        <v>#VALUE!</v>
      </c>
      <c r="AK2051" s="104" t="e">
        <f t="shared" si="899"/>
        <v>#N/A</v>
      </c>
      <c r="AL2051" s="104" t="e">
        <f t="shared" si="900"/>
        <v>#N/A</v>
      </c>
      <c r="AM2051" s="104" t="e">
        <f t="shared" si="901"/>
        <v>#N/A</v>
      </c>
      <c r="AN2051" s="104" t="e">
        <f t="shared" ref="AN2051:AN2114" si="912">AF2051*$O2051</f>
        <v>#N/A</v>
      </c>
      <c r="AO2051" s="104" t="e">
        <f t="shared" ref="AO2051:AO2114" si="913">AG2051*$O2051</f>
        <v>#N/A</v>
      </c>
      <c r="AP2051" s="104" t="e">
        <f t="shared" ref="AP2051:AP2114" si="914">AH2051*$O2051</f>
        <v>#N/A</v>
      </c>
      <c r="AQ2051" s="104" t="e">
        <f t="shared" ref="AQ2051:AQ2114" si="915">SUM(AN2051:AP2051)</f>
        <v>#N/A</v>
      </c>
      <c r="AR2051" s="105" t="str">
        <f t="shared" si="907"/>
        <v/>
      </c>
      <c r="AS2051" s="105" t="str">
        <f t="shared" si="908"/>
        <v/>
      </c>
      <c r="AT2051" s="108" t="str">
        <f t="shared" si="909"/>
        <v/>
      </c>
      <c r="AU2051" s="108" t="str">
        <f t="shared" si="910"/>
        <v/>
      </c>
      <c r="AV2051" s="107" t="str">
        <f>IF(ISNUMBER(O2051),IF(VLOOKUP($A2051,Stand!C:J,8,FALSE)="Short",AT2051,AU2051),"")</f>
        <v/>
      </c>
      <c r="AW2051" s="109" t="str">
        <f t="shared" ref="AW2051:AW2114" si="916">IF(ISNUMBER(O2051),AV2051*O2051,"")</f>
        <v/>
      </c>
      <c r="AX2051" s="109" t="str">
        <f t="shared" ref="AX2051:AX2114" si="917">IF(ISNUMBER(O2051),AW2051*(1-$H2051/100),"")</f>
        <v/>
      </c>
      <c r="AY2051" s="112" t="str">
        <f>IF(ISNUMBER(O2051),IF(AND(VLOOKUP($D2051,Merchantability!$B:$C,2,0)="Yes",$E2051&gt;=VLOOKUP($D2051,Merchantability!$B:$D,3,0),$E2051&lt;=VLOOKUP($D2051,Merchantability!$B:$E,4,0)),(AV2051*O2051)*(1-$H2051/100),""),"")</f>
        <v/>
      </c>
      <c r="AZ2051" s="116"/>
      <c r="BA2051" s="116"/>
      <c r="BB2051" s="116"/>
      <c r="BE2051" s="62"/>
      <c r="BF2051" s="63"/>
    </row>
    <row r="2052" spans="1:58" ht="12.75" customHeight="1" x14ac:dyDescent="0.25">
      <c r="A2052" s="334"/>
      <c r="B2052" s="334"/>
      <c r="C2052" s="332"/>
      <c r="D2052" s="334"/>
      <c r="E2052" s="335"/>
      <c r="F2052" s="334"/>
      <c r="G2052" s="332"/>
      <c r="H2052" s="332"/>
      <c r="I2052" s="334"/>
      <c r="J2052" s="336"/>
      <c r="K2052" s="332"/>
      <c r="L2052" s="332"/>
      <c r="M2052" s="76"/>
      <c r="N2052" s="103" t="str">
        <f>IF(A2052="","",VLOOKUP(A2052,Stand!C:K,9,0))</f>
        <v/>
      </c>
      <c r="O2052" s="104" t="str">
        <f t="shared" si="902"/>
        <v/>
      </c>
      <c r="P2052" s="105" t="str">
        <f t="shared" si="903"/>
        <v/>
      </c>
      <c r="Q2052" s="105" t="str">
        <f t="shared" si="891"/>
        <v/>
      </c>
      <c r="R2052" s="103" t="str">
        <f t="shared" si="904"/>
        <v/>
      </c>
      <c r="S2052" s="103" t="str">
        <f t="shared" si="905"/>
        <v/>
      </c>
      <c r="T2052" s="106" t="str">
        <f t="shared" si="892"/>
        <v/>
      </c>
      <c r="U2052" s="106" t="str">
        <f t="shared" si="893"/>
        <v/>
      </c>
      <c r="V2052" s="106" t="str">
        <f t="shared" si="894"/>
        <v/>
      </c>
      <c r="W2052" s="105" t="str">
        <f t="shared" si="906"/>
        <v/>
      </c>
      <c r="X2052" s="104" t="str">
        <f t="shared" si="911"/>
        <v/>
      </c>
      <c r="Y2052" s="104" t="str">
        <f t="array" ref="Y2052">IFERROR(IF(ISNUMBER(O2052),IF(COUNT(IF(A2052=$A$2:$A$2427,IF(D2052=$D$2:$D$2427,IF($X$2:$X$2427&gt;0,1))))&gt;0,SUM(IF(A2052=$A$2:$A$2427,IF(D2052=$D$2:$D$2427,$X$2:$X$2427)))/COUNT(IF(A2052=$A$2:$A$2427,IF(D2052=$D$2:$D$2427,IF(ISNUMBER($X$2:$X$2427),1)))),0),""),0)</f>
        <v/>
      </c>
      <c r="Z2052" s="104" t="str">
        <f>IF(ISNUMBER(O2052),IF(I2052&gt;0,(10^(VLOOKUP(D2052,'Species Codes'!B:C,2,0)+VLOOKUP(D2052,'Species Codes'!B:D,3,0)*LOG(E2052)+VLOOKUP(D2052,'Species Codes'!B:E,4,0)*LOG(I2052))),0),"")</f>
        <v/>
      </c>
      <c r="AA2052" s="104" t="str">
        <f>IFERROR((VLOOKUP(D2052,'Species Codes'!B:G,6,0)*Z2052)/2000,"")</f>
        <v/>
      </c>
      <c r="AB2052" s="104" t="e">
        <f>IF(Z2052&gt;0,((IF(OR(D2052="DF",D2052="RA")=TRUE,EXP(VLOOKUP(D2052,'Species Codes'!B:I,8,0)+VLOOKUP(D2052,'Species Codes'!B:J,9,0)*(LN((E2052*2.54)))),IF(OR(D2052="PY",D2052="RC",D2052="WH",D2052="NF")=TRUE,VLOOKUP(D2052,'Species Codes'!B:I,8,0)+VLOOKUP(D2052,'Species Codes'!B:J,9,0)*((E2052*2.54)^2)*(I2052*0.3048),IF(OR(D2052="MD",D2052="BM",D2052="GA")=TRUE,((VLOOKUP(D2052,'Species Codes'!B:I,8,0)*(((((E2052*2.54)+VLOOKUP(D2052,'Species Codes'!B:J,9,0))/VLOOKUP(D2052,'Species Codes'!B:K,10,0))^VLOOKUP(D2052,'Species Codes'!B:L,11,0))*((I2052*0.3048)^VLOOKUP(D2052,'Species Codes'!B:M,12,0))))-(VLOOKUP(D2052,'Species Codes'!B:I,8,0)*((((E2052*2.54)^VLOOKUP(D2052,'Species Codes'!B:L,11,0))*((I2052*0.3048)^VLOOKUP(D2052,'Species Codes'!B:M,12,0))))))*35.3*VLOOKUP(D2052,'Species Codes'!B:G,6,0)/2.2046,VLOOKUP(D2052,'Species Codes'!B:I,8,0)+VLOOKUP(D2052,'Species Codes'!B:J,9,0)*(((E2052*2.54)/100)^2)*(I2052*0.3048)))))*0.0011023),0)</f>
        <v>#N/A</v>
      </c>
      <c r="AC2052" s="104" t="e">
        <f>IF(Z2052&gt;0,((IF(OR(D2052="RA",D2052="OA",D2052="OT",D2052="UN",D2052="PC"),EXP(VLOOKUP(D2052,'Species Codes'!B:O,14,0)+VLOOKUP(D2052,'Species Codes'!B:P,15,0)*LN((E2052*2.54)))-EXP(VLOOKUP(D2052,'Species Codes'!B:O,14,0)+VLOOKUP(D2052,'Species Codes'!B:P,15,0)*LN((E2052*2.54)))*(1/(VLOOKUP(D2052,'Species Codes'!B:Q,16,0)+VLOOKUP(D2052,'Species Codes'!B:R,17,0)*((E2052*2.54)^VLOOKUP(D2052,'Species Codes'!B:S,18,0)))),IF(OR(D2052="BM",D2052="MD",D2052="OA"),EXP(VLOOKUP(D2052,'Species Codes'!B:O,14,0)+VLOOKUP(D2052,'Species Codes'!B:P,15,0)*LN((E2052*2.54)))*(1-(1/(VLOOKUP(D2052,'Species Codes'!B:Q,16,0)+VLOOKUP(D2052,'Species Codes'!B:R,17,0)*((E2052*2.54)^VLOOKUP(D2052,'Species Codes'!B:S,18,0)))))/1000,IF(D2052="DF",EXP(VLOOKUP(D2052,'Species Codes'!B:O,14,0)+VLOOKUP(D2052,'Species Codes'!B:P,15,0)*LN((E2052*2.54))),VLOOKUP(D2052,'Species Codes'!B:O,14,0)+VLOOKUP(D2052,'Species Codes'!B:P,15,0)*(((E2052*2.54)/100)^2)*(I2052*0.3048)))))*0.0011023),0)</f>
        <v>#N/A</v>
      </c>
      <c r="AD2052" s="104" t="e">
        <f t="shared" si="895"/>
        <v>#N/A</v>
      </c>
      <c r="AE2052" s="104" t="e">
        <f t="shared" si="896"/>
        <v>#N/A</v>
      </c>
      <c r="AF2052" s="104" t="e">
        <f>IF(AND(VLOOKUP($D2052,Merchantability!$B:$C,2,0)="Yes",$E2052&gt;=VLOOKUP($D2052,Merchantability!$B:$D,3,0),$E2052&lt;=VLOOKUP($D2052,Merchantability!$B:$E,4,0)),AA2052,0)</f>
        <v>#N/A</v>
      </c>
      <c r="AG2052" s="104" t="e">
        <f>IF(AND(VLOOKUP($D2052,Merchantability!$B:$C,2,0)="Yes",$E2052&gt;=VLOOKUP($D2052,Merchantability!$B:$D,3,0),$E2052&lt;=VLOOKUP($D2052,Merchantability!$B:$E,4,0)),AB2052,0)</f>
        <v>#N/A</v>
      </c>
      <c r="AH2052" s="104" t="e">
        <f>IF(AND(VLOOKUP($D2052,Merchantability!$B:$C,2,0)="Yes",$E2052&gt;=VLOOKUP($D2052,Merchantability!$B:$D,3,0),$E2052&lt;=VLOOKUP($D2052,Merchantability!$B:$E,4,0)),AC2052,0)</f>
        <v>#N/A</v>
      </c>
      <c r="AI2052" s="104" t="e">
        <f t="shared" si="897"/>
        <v>#N/A</v>
      </c>
      <c r="AJ2052" s="104" t="e">
        <f t="shared" si="898"/>
        <v>#VALUE!</v>
      </c>
      <c r="AK2052" s="104" t="e">
        <f t="shared" si="899"/>
        <v>#N/A</v>
      </c>
      <c r="AL2052" s="104" t="e">
        <f t="shared" si="900"/>
        <v>#N/A</v>
      </c>
      <c r="AM2052" s="104" t="e">
        <f t="shared" si="901"/>
        <v>#N/A</v>
      </c>
      <c r="AN2052" s="104" t="e">
        <f t="shared" si="912"/>
        <v>#N/A</v>
      </c>
      <c r="AO2052" s="104" t="e">
        <f t="shared" si="913"/>
        <v>#N/A</v>
      </c>
      <c r="AP2052" s="104" t="e">
        <f t="shared" si="914"/>
        <v>#N/A</v>
      </c>
      <c r="AQ2052" s="104" t="e">
        <f t="shared" si="915"/>
        <v>#N/A</v>
      </c>
      <c r="AR2052" s="105" t="str">
        <f t="shared" si="907"/>
        <v/>
      </c>
      <c r="AS2052" s="105" t="str">
        <f t="shared" si="908"/>
        <v/>
      </c>
      <c r="AT2052" s="108" t="str">
        <f t="shared" si="909"/>
        <v/>
      </c>
      <c r="AU2052" s="108" t="str">
        <f t="shared" si="910"/>
        <v/>
      </c>
      <c r="AV2052" s="107" t="str">
        <f>IF(ISNUMBER(O2052),IF(VLOOKUP($A2052,Stand!C:J,8,FALSE)="Short",AT2052,AU2052),"")</f>
        <v/>
      </c>
      <c r="AW2052" s="109" t="str">
        <f t="shared" si="916"/>
        <v/>
      </c>
      <c r="AX2052" s="109" t="str">
        <f t="shared" si="917"/>
        <v/>
      </c>
      <c r="AY2052" s="112" t="str">
        <f>IF(ISNUMBER(O2052),IF(AND(VLOOKUP($D2052,Merchantability!$B:$C,2,0)="Yes",$E2052&gt;=VLOOKUP($D2052,Merchantability!$B:$D,3,0),$E2052&lt;=VLOOKUP($D2052,Merchantability!$B:$E,4,0)),(AV2052*O2052)*(1-$H2052/100),""),"")</f>
        <v/>
      </c>
      <c r="AZ2052" s="116"/>
      <c r="BA2052" s="116"/>
      <c r="BB2052" s="116"/>
      <c r="BE2052" s="62"/>
      <c r="BF2052" s="63"/>
    </row>
    <row r="2053" spans="1:58" ht="12.75" customHeight="1" x14ac:dyDescent="0.25">
      <c r="A2053" s="334"/>
      <c r="B2053" s="334"/>
      <c r="C2053" s="332"/>
      <c r="D2053" s="334"/>
      <c r="E2053" s="335"/>
      <c r="F2053" s="334"/>
      <c r="G2053" s="332"/>
      <c r="H2053" s="332"/>
      <c r="I2053" s="334"/>
      <c r="J2053" s="336"/>
      <c r="K2053" s="332"/>
      <c r="L2053" s="332"/>
      <c r="M2053" s="76"/>
      <c r="N2053" s="103" t="str">
        <f>IF(A2053="","",VLOOKUP(A2053,Stand!C:K,9,0))</f>
        <v/>
      </c>
      <c r="O2053" s="104" t="str">
        <f t="shared" si="902"/>
        <v/>
      </c>
      <c r="P2053" s="105" t="str">
        <f t="shared" si="903"/>
        <v/>
      </c>
      <c r="Q2053" s="105" t="str">
        <f t="shared" si="891"/>
        <v/>
      </c>
      <c r="R2053" s="103" t="str">
        <f t="shared" si="904"/>
        <v/>
      </c>
      <c r="S2053" s="103" t="str">
        <f t="shared" si="905"/>
        <v/>
      </c>
      <c r="T2053" s="106" t="str">
        <f t="shared" si="892"/>
        <v/>
      </c>
      <c r="U2053" s="106" t="str">
        <f t="shared" si="893"/>
        <v/>
      </c>
      <c r="V2053" s="106" t="str">
        <f t="shared" si="894"/>
        <v/>
      </c>
      <c r="W2053" s="105" t="str">
        <f t="shared" si="906"/>
        <v/>
      </c>
      <c r="X2053" s="104" t="str">
        <f t="shared" si="911"/>
        <v/>
      </c>
      <c r="Y2053" s="104" t="str">
        <f t="array" ref="Y2053">IFERROR(IF(ISNUMBER(O2053),IF(COUNT(IF(A2053=$A$2:$A$2427,IF(D2053=$D$2:$D$2427,IF($X$2:$X$2427&gt;0,1))))&gt;0,SUM(IF(A2053=$A$2:$A$2427,IF(D2053=$D$2:$D$2427,$X$2:$X$2427)))/COUNT(IF(A2053=$A$2:$A$2427,IF(D2053=$D$2:$D$2427,IF(ISNUMBER($X$2:$X$2427),1)))),0),""),0)</f>
        <v/>
      </c>
      <c r="Z2053" s="104" t="str">
        <f>IF(ISNUMBER(O2053),IF(I2053&gt;0,(10^(VLOOKUP(D2053,'Species Codes'!B:C,2,0)+VLOOKUP(D2053,'Species Codes'!B:D,3,0)*LOG(E2053)+VLOOKUP(D2053,'Species Codes'!B:E,4,0)*LOG(I2053))),0),"")</f>
        <v/>
      </c>
      <c r="AA2053" s="104" t="str">
        <f>IFERROR((VLOOKUP(D2053,'Species Codes'!B:G,6,0)*Z2053)/2000,"")</f>
        <v/>
      </c>
      <c r="AB2053" s="104" t="e">
        <f>IF(Z2053&gt;0,((IF(OR(D2053="DF",D2053="RA")=TRUE,EXP(VLOOKUP(D2053,'Species Codes'!B:I,8,0)+VLOOKUP(D2053,'Species Codes'!B:J,9,0)*(LN((E2053*2.54)))),IF(OR(D2053="PY",D2053="RC",D2053="WH",D2053="NF")=TRUE,VLOOKUP(D2053,'Species Codes'!B:I,8,0)+VLOOKUP(D2053,'Species Codes'!B:J,9,0)*((E2053*2.54)^2)*(I2053*0.3048),IF(OR(D2053="MD",D2053="BM",D2053="GA")=TRUE,((VLOOKUP(D2053,'Species Codes'!B:I,8,0)*(((((E2053*2.54)+VLOOKUP(D2053,'Species Codes'!B:J,9,0))/VLOOKUP(D2053,'Species Codes'!B:K,10,0))^VLOOKUP(D2053,'Species Codes'!B:L,11,0))*((I2053*0.3048)^VLOOKUP(D2053,'Species Codes'!B:M,12,0))))-(VLOOKUP(D2053,'Species Codes'!B:I,8,0)*((((E2053*2.54)^VLOOKUP(D2053,'Species Codes'!B:L,11,0))*((I2053*0.3048)^VLOOKUP(D2053,'Species Codes'!B:M,12,0))))))*35.3*VLOOKUP(D2053,'Species Codes'!B:G,6,0)/2.2046,VLOOKUP(D2053,'Species Codes'!B:I,8,0)+VLOOKUP(D2053,'Species Codes'!B:J,9,0)*(((E2053*2.54)/100)^2)*(I2053*0.3048)))))*0.0011023),0)</f>
        <v>#N/A</v>
      </c>
      <c r="AC2053" s="104" t="e">
        <f>IF(Z2053&gt;0,((IF(OR(D2053="RA",D2053="OA",D2053="OT",D2053="UN",D2053="PC"),EXP(VLOOKUP(D2053,'Species Codes'!B:O,14,0)+VLOOKUP(D2053,'Species Codes'!B:P,15,0)*LN((E2053*2.54)))-EXP(VLOOKUP(D2053,'Species Codes'!B:O,14,0)+VLOOKUP(D2053,'Species Codes'!B:P,15,0)*LN((E2053*2.54)))*(1/(VLOOKUP(D2053,'Species Codes'!B:Q,16,0)+VLOOKUP(D2053,'Species Codes'!B:R,17,0)*((E2053*2.54)^VLOOKUP(D2053,'Species Codes'!B:S,18,0)))),IF(OR(D2053="BM",D2053="MD",D2053="OA"),EXP(VLOOKUP(D2053,'Species Codes'!B:O,14,0)+VLOOKUP(D2053,'Species Codes'!B:P,15,0)*LN((E2053*2.54)))*(1-(1/(VLOOKUP(D2053,'Species Codes'!B:Q,16,0)+VLOOKUP(D2053,'Species Codes'!B:R,17,0)*((E2053*2.54)^VLOOKUP(D2053,'Species Codes'!B:S,18,0)))))/1000,IF(D2053="DF",EXP(VLOOKUP(D2053,'Species Codes'!B:O,14,0)+VLOOKUP(D2053,'Species Codes'!B:P,15,0)*LN((E2053*2.54))),VLOOKUP(D2053,'Species Codes'!B:O,14,0)+VLOOKUP(D2053,'Species Codes'!B:P,15,0)*(((E2053*2.54)/100)^2)*(I2053*0.3048)))))*0.0011023),0)</f>
        <v>#N/A</v>
      </c>
      <c r="AD2053" s="104" t="e">
        <f t="shared" si="895"/>
        <v>#N/A</v>
      </c>
      <c r="AE2053" s="104" t="e">
        <f t="shared" si="896"/>
        <v>#N/A</v>
      </c>
      <c r="AF2053" s="104" t="e">
        <f>IF(AND(VLOOKUP($D2053,Merchantability!$B:$C,2,0)="Yes",$E2053&gt;=VLOOKUP($D2053,Merchantability!$B:$D,3,0),$E2053&lt;=VLOOKUP($D2053,Merchantability!$B:$E,4,0)),AA2053,0)</f>
        <v>#N/A</v>
      </c>
      <c r="AG2053" s="104" t="e">
        <f>IF(AND(VLOOKUP($D2053,Merchantability!$B:$C,2,0)="Yes",$E2053&gt;=VLOOKUP($D2053,Merchantability!$B:$D,3,0),$E2053&lt;=VLOOKUP($D2053,Merchantability!$B:$E,4,0)),AB2053,0)</f>
        <v>#N/A</v>
      </c>
      <c r="AH2053" s="104" t="e">
        <f>IF(AND(VLOOKUP($D2053,Merchantability!$B:$C,2,0)="Yes",$E2053&gt;=VLOOKUP($D2053,Merchantability!$B:$D,3,0),$E2053&lt;=VLOOKUP($D2053,Merchantability!$B:$E,4,0)),AC2053,0)</f>
        <v>#N/A</v>
      </c>
      <c r="AI2053" s="104" t="e">
        <f t="shared" si="897"/>
        <v>#N/A</v>
      </c>
      <c r="AJ2053" s="104" t="e">
        <f t="shared" si="898"/>
        <v>#VALUE!</v>
      </c>
      <c r="AK2053" s="104" t="e">
        <f t="shared" si="899"/>
        <v>#N/A</v>
      </c>
      <c r="AL2053" s="104" t="e">
        <f t="shared" si="900"/>
        <v>#N/A</v>
      </c>
      <c r="AM2053" s="104" t="e">
        <f t="shared" si="901"/>
        <v>#N/A</v>
      </c>
      <c r="AN2053" s="104" t="e">
        <f t="shared" si="912"/>
        <v>#N/A</v>
      </c>
      <c r="AO2053" s="104" t="e">
        <f t="shared" si="913"/>
        <v>#N/A</v>
      </c>
      <c r="AP2053" s="104" t="e">
        <f t="shared" si="914"/>
        <v>#N/A</v>
      </c>
      <c r="AQ2053" s="104" t="e">
        <f t="shared" si="915"/>
        <v>#N/A</v>
      </c>
      <c r="AR2053" s="105" t="str">
        <f t="shared" si="907"/>
        <v/>
      </c>
      <c r="AS2053" s="105" t="str">
        <f t="shared" si="908"/>
        <v/>
      </c>
      <c r="AT2053" s="108" t="str">
        <f t="shared" si="909"/>
        <v/>
      </c>
      <c r="AU2053" s="108" t="str">
        <f t="shared" si="910"/>
        <v/>
      </c>
      <c r="AV2053" s="107" t="str">
        <f>IF(ISNUMBER(O2053),IF(VLOOKUP($A2053,Stand!C:J,8,FALSE)="Short",AT2053,AU2053),"")</f>
        <v/>
      </c>
      <c r="AW2053" s="109" t="str">
        <f t="shared" si="916"/>
        <v/>
      </c>
      <c r="AX2053" s="109" t="str">
        <f t="shared" si="917"/>
        <v/>
      </c>
      <c r="AY2053" s="112" t="str">
        <f>IF(ISNUMBER(O2053),IF(AND(VLOOKUP($D2053,Merchantability!$B:$C,2,0)="Yes",$E2053&gt;=VLOOKUP($D2053,Merchantability!$B:$D,3,0),$E2053&lt;=VLOOKUP($D2053,Merchantability!$B:$E,4,0)),(AV2053*O2053)*(1-$H2053/100),""),"")</f>
        <v/>
      </c>
      <c r="AZ2053" s="116"/>
      <c r="BA2053" s="116"/>
      <c r="BB2053" s="116"/>
      <c r="BE2053" s="62"/>
      <c r="BF2053" s="63"/>
    </row>
    <row r="2054" spans="1:58" ht="12.75" customHeight="1" x14ac:dyDescent="0.25">
      <c r="A2054" s="334"/>
      <c r="B2054" s="334"/>
      <c r="C2054" s="332"/>
      <c r="D2054" s="334"/>
      <c r="E2054" s="335"/>
      <c r="F2054" s="334"/>
      <c r="G2054" s="332"/>
      <c r="H2054" s="332"/>
      <c r="I2054" s="334"/>
      <c r="J2054" s="336"/>
      <c r="K2054" s="332"/>
      <c r="L2054" s="332"/>
      <c r="M2054" s="76"/>
      <c r="N2054" s="103" t="str">
        <f>IF(A2054="","",VLOOKUP(A2054,Stand!C:K,9,0))</f>
        <v/>
      </c>
      <c r="O2054" s="104" t="str">
        <f t="shared" si="902"/>
        <v/>
      </c>
      <c r="P2054" s="105" t="str">
        <f t="shared" si="903"/>
        <v/>
      </c>
      <c r="Q2054" s="105" t="str">
        <f t="shared" si="891"/>
        <v/>
      </c>
      <c r="R2054" s="103" t="str">
        <f t="shared" si="904"/>
        <v/>
      </c>
      <c r="S2054" s="103" t="str">
        <f t="shared" si="905"/>
        <v/>
      </c>
      <c r="T2054" s="106" t="str">
        <f t="shared" si="892"/>
        <v/>
      </c>
      <c r="U2054" s="106" t="str">
        <f t="shared" si="893"/>
        <v/>
      </c>
      <c r="V2054" s="106" t="str">
        <f t="shared" si="894"/>
        <v/>
      </c>
      <c r="W2054" s="105" t="str">
        <f t="shared" si="906"/>
        <v/>
      </c>
      <c r="X2054" s="104" t="str">
        <f t="shared" si="911"/>
        <v/>
      </c>
      <c r="Y2054" s="104" t="str">
        <f t="array" ref="Y2054">IFERROR(IF(ISNUMBER(O2054),IF(COUNT(IF(A2054=$A$2:$A$2427,IF(D2054=$D$2:$D$2427,IF($X$2:$X$2427&gt;0,1))))&gt;0,SUM(IF(A2054=$A$2:$A$2427,IF(D2054=$D$2:$D$2427,$X$2:$X$2427)))/COUNT(IF(A2054=$A$2:$A$2427,IF(D2054=$D$2:$D$2427,IF(ISNUMBER($X$2:$X$2427),1)))),0),""),0)</f>
        <v/>
      </c>
      <c r="Z2054" s="104" t="str">
        <f>IF(ISNUMBER(O2054),IF(I2054&gt;0,(10^(VLOOKUP(D2054,'Species Codes'!B:C,2,0)+VLOOKUP(D2054,'Species Codes'!B:D,3,0)*LOG(E2054)+VLOOKUP(D2054,'Species Codes'!B:E,4,0)*LOG(I2054))),0),"")</f>
        <v/>
      </c>
      <c r="AA2054" s="104" t="str">
        <f>IFERROR((VLOOKUP(D2054,'Species Codes'!B:G,6,0)*Z2054)/2000,"")</f>
        <v/>
      </c>
      <c r="AB2054" s="104" t="e">
        <f>IF(Z2054&gt;0,((IF(OR(D2054="DF",D2054="RA")=TRUE,EXP(VLOOKUP(D2054,'Species Codes'!B:I,8,0)+VLOOKUP(D2054,'Species Codes'!B:J,9,0)*(LN((E2054*2.54)))),IF(OR(D2054="PY",D2054="RC",D2054="WH",D2054="NF")=TRUE,VLOOKUP(D2054,'Species Codes'!B:I,8,0)+VLOOKUP(D2054,'Species Codes'!B:J,9,0)*((E2054*2.54)^2)*(I2054*0.3048),IF(OR(D2054="MD",D2054="BM",D2054="GA")=TRUE,((VLOOKUP(D2054,'Species Codes'!B:I,8,0)*(((((E2054*2.54)+VLOOKUP(D2054,'Species Codes'!B:J,9,0))/VLOOKUP(D2054,'Species Codes'!B:K,10,0))^VLOOKUP(D2054,'Species Codes'!B:L,11,0))*((I2054*0.3048)^VLOOKUP(D2054,'Species Codes'!B:M,12,0))))-(VLOOKUP(D2054,'Species Codes'!B:I,8,0)*((((E2054*2.54)^VLOOKUP(D2054,'Species Codes'!B:L,11,0))*((I2054*0.3048)^VLOOKUP(D2054,'Species Codes'!B:M,12,0))))))*35.3*VLOOKUP(D2054,'Species Codes'!B:G,6,0)/2.2046,VLOOKUP(D2054,'Species Codes'!B:I,8,0)+VLOOKUP(D2054,'Species Codes'!B:J,9,0)*(((E2054*2.54)/100)^2)*(I2054*0.3048)))))*0.0011023),0)</f>
        <v>#N/A</v>
      </c>
      <c r="AC2054" s="104" t="e">
        <f>IF(Z2054&gt;0,((IF(OR(D2054="RA",D2054="OA",D2054="OT",D2054="UN",D2054="PC"),EXP(VLOOKUP(D2054,'Species Codes'!B:O,14,0)+VLOOKUP(D2054,'Species Codes'!B:P,15,0)*LN((E2054*2.54)))-EXP(VLOOKUP(D2054,'Species Codes'!B:O,14,0)+VLOOKUP(D2054,'Species Codes'!B:P,15,0)*LN((E2054*2.54)))*(1/(VLOOKUP(D2054,'Species Codes'!B:Q,16,0)+VLOOKUP(D2054,'Species Codes'!B:R,17,0)*((E2054*2.54)^VLOOKUP(D2054,'Species Codes'!B:S,18,0)))),IF(OR(D2054="BM",D2054="MD",D2054="OA"),EXP(VLOOKUP(D2054,'Species Codes'!B:O,14,0)+VLOOKUP(D2054,'Species Codes'!B:P,15,0)*LN((E2054*2.54)))*(1-(1/(VLOOKUP(D2054,'Species Codes'!B:Q,16,0)+VLOOKUP(D2054,'Species Codes'!B:R,17,0)*((E2054*2.54)^VLOOKUP(D2054,'Species Codes'!B:S,18,0)))))/1000,IF(D2054="DF",EXP(VLOOKUP(D2054,'Species Codes'!B:O,14,0)+VLOOKUP(D2054,'Species Codes'!B:P,15,0)*LN((E2054*2.54))),VLOOKUP(D2054,'Species Codes'!B:O,14,0)+VLOOKUP(D2054,'Species Codes'!B:P,15,0)*(((E2054*2.54)/100)^2)*(I2054*0.3048)))))*0.0011023),0)</f>
        <v>#N/A</v>
      </c>
      <c r="AD2054" s="104" t="e">
        <f t="shared" si="895"/>
        <v>#N/A</v>
      </c>
      <c r="AE2054" s="104" t="e">
        <f t="shared" si="896"/>
        <v>#N/A</v>
      </c>
      <c r="AF2054" s="104" t="e">
        <f>IF(AND(VLOOKUP($D2054,Merchantability!$B:$C,2,0)="Yes",$E2054&gt;=VLOOKUP($D2054,Merchantability!$B:$D,3,0),$E2054&lt;=VLOOKUP($D2054,Merchantability!$B:$E,4,0)),AA2054,0)</f>
        <v>#N/A</v>
      </c>
      <c r="AG2054" s="104" t="e">
        <f>IF(AND(VLOOKUP($D2054,Merchantability!$B:$C,2,0)="Yes",$E2054&gt;=VLOOKUP($D2054,Merchantability!$B:$D,3,0),$E2054&lt;=VLOOKUP($D2054,Merchantability!$B:$E,4,0)),AB2054,0)</f>
        <v>#N/A</v>
      </c>
      <c r="AH2054" s="104" t="e">
        <f>IF(AND(VLOOKUP($D2054,Merchantability!$B:$C,2,0)="Yes",$E2054&gt;=VLOOKUP($D2054,Merchantability!$B:$D,3,0),$E2054&lt;=VLOOKUP($D2054,Merchantability!$B:$E,4,0)),AC2054,0)</f>
        <v>#N/A</v>
      </c>
      <c r="AI2054" s="104" t="e">
        <f t="shared" si="897"/>
        <v>#N/A</v>
      </c>
      <c r="AJ2054" s="104" t="e">
        <f t="shared" si="898"/>
        <v>#VALUE!</v>
      </c>
      <c r="AK2054" s="104" t="e">
        <f t="shared" si="899"/>
        <v>#N/A</v>
      </c>
      <c r="AL2054" s="104" t="e">
        <f t="shared" si="900"/>
        <v>#N/A</v>
      </c>
      <c r="AM2054" s="104" t="e">
        <f t="shared" si="901"/>
        <v>#N/A</v>
      </c>
      <c r="AN2054" s="104" t="e">
        <f t="shared" si="912"/>
        <v>#N/A</v>
      </c>
      <c r="AO2054" s="104" t="e">
        <f t="shared" si="913"/>
        <v>#N/A</v>
      </c>
      <c r="AP2054" s="104" t="e">
        <f t="shared" si="914"/>
        <v>#N/A</v>
      </c>
      <c r="AQ2054" s="104" t="e">
        <f t="shared" si="915"/>
        <v>#N/A</v>
      </c>
      <c r="AR2054" s="105" t="str">
        <f t="shared" si="907"/>
        <v/>
      </c>
      <c r="AS2054" s="105" t="str">
        <f t="shared" si="908"/>
        <v/>
      </c>
      <c r="AT2054" s="108" t="str">
        <f t="shared" si="909"/>
        <v/>
      </c>
      <c r="AU2054" s="108" t="str">
        <f t="shared" si="910"/>
        <v/>
      </c>
      <c r="AV2054" s="107" t="str">
        <f>IF(ISNUMBER(O2054),IF(VLOOKUP($A2054,Stand!C:J,8,FALSE)="Short",AT2054,AU2054),"")</f>
        <v/>
      </c>
      <c r="AW2054" s="109" t="str">
        <f t="shared" si="916"/>
        <v/>
      </c>
      <c r="AX2054" s="109" t="str">
        <f t="shared" si="917"/>
        <v/>
      </c>
      <c r="AY2054" s="112" t="str">
        <f>IF(ISNUMBER(O2054),IF(AND(VLOOKUP($D2054,Merchantability!$B:$C,2,0)="Yes",$E2054&gt;=VLOOKUP($D2054,Merchantability!$B:$D,3,0),$E2054&lt;=VLOOKUP($D2054,Merchantability!$B:$E,4,0)),(AV2054*O2054)*(1-$H2054/100),""),"")</f>
        <v/>
      </c>
      <c r="AZ2054" s="116"/>
      <c r="BA2054" s="116"/>
      <c r="BB2054" s="116"/>
      <c r="BE2054" s="62"/>
      <c r="BF2054" s="63"/>
    </row>
    <row r="2055" spans="1:58" ht="12.75" customHeight="1" x14ac:dyDescent="0.25">
      <c r="A2055" s="334"/>
      <c r="B2055" s="334"/>
      <c r="C2055" s="332"/>
      <c r="D2055" s="334"/>
      <c r="E2055" s="335"/>
      <c r="F2055" s="334"/>
      <c r="G2055" s="332"/>
      <c r="H2055" s="332"/>
      <c r="I2055" s="334"/>
      <c r="J2055" s="336"/>
      <c r="K2055" s="332"/>
      <c r="L2055" s="332"/>
      <c r="M2055" s="76"/>
      <c r="N2055" s="103" t="str">
        <f>IF(A2055="","",VLOOKUP(A2055,Stand!C:K,9,0))</f>
        <v/>
      </c>
      <c r="O2055" s="104" t="str">
        <f t="shared" si="902"/>
        <v/>
      </c>
      <c r="P2055" s="105" t="str">
        <f t="shared" si="903"/>
        <v/>
      </c>
      <c r="Q2055" s="105" t="str">
        <f t="shared" si="891"/>
        <v/>
      </c>
      <c r="R2055" s="103" t="str">
        <f t="shared" si="904"/>
        <v/>
      </c>
      <c r="S2055" s="103" t="str">
        <f t="shared" si="905"/>
        <v/>
      </c>
      <c r="T2055" s="106" t="str">
        <f t="shared" si="892"/>
        <v/>
      </c>
      <c r="U2055" s="106" t="str">
        <f t="shared" si="893"/>
        <v/>
      </c>
      <c r="V2055" s="106" t="str">
        <f t="shared" si="894"/>
        <v/>
      </c>
      <c r="W2055" s="105" t="str">
        <f t="shared" si="906"/>
        <v/>
      </c>
      <c r="X2055" s="104" t="str">
        <f t="shared" si="911"/>
        <v/>
      </c>
      <c r="Y2055" s="104" t="str">
        <f t="array" ref="Y2055">IFERROR(IF(ISNUMBER(O2055),IF(COUNT(IF(A2055=$A$2:$A$2427,IF(D2055=$D$2:$D$2427,IF($X$2:$X$2427&gt;0,1))))&gt;0,SUM(IF(A2055=$A$2:$A$2427,IF(D2055=$D$2:$D$2427,$X$2:$X$2427)))/COUNT(IF(A2055=$A$2:$A$2427,IF(D2055=$D$2:$D$2427,IF(ISNUMBER($X$2:$X$2427),1)))),0),""),0)</f>
        <v/>
      </c>
      <c r="Z2055" s="104" t="str">
        <f>IF(ISNUMBER(O2055),IF(I2055&gt;0,(10^(VLOOKUP(D2055,'Species Codes'!B:C,2,0)+VLOOKUP(D2055,'Species Codes'!B:D,3,0)*LOG(E2055)+VLOOKUP(D2055,'Species Codes'!B:E,4,0)*LOG(I2055))),0),"")</f>
        <v/>
      </c>
      <c r="AA2055" s="104" t="str">
        <f>IFERROR((VLOOKUP(D2055,'Species Codes'!B:G,6,0)*Z2055)/2000,"")</f>
        <v/>
      </c>
      <c r="AB2055" s="104" t="e">
        <f>IF(Z2055&gt;0,((IF(OR(D2055="DF",D2055="RA")=TRUE,EXP(VLOOKUP(D2055,'Species Codes'!B:I,8,0)+VLOOKUP(D2055,'Species Codes'!B:J,9,0)*(LN((E2055*2.54)))),IF(OR(D2055="PY",D2055="RC",D2055="WH",D2055="NF")=TRUE,VLOOKUP(D2055,'Species Codes'!B:I,8,0)+VLOOKUP(D2055,'Species Codes'!B:J,9,0)*((E2055*2.54)^2)*(I2055*0.3048),IF(OR(D2055="MD",D2055="BM",D2055="GA")=TRUE,((VLOOKUP(D2055,'Species Codes'!B:I,8,0)*(((((E2055*2.54)+VLOOKUP(D2055,'Species Codes'!B:J,9,0))/VLOOKUP(D2055,'Species Codes'!B:K,10,0))^VLOOKUP(D2055,'Species Codes'!B:L,11,0))*((I2055*0.3048)^VLOOKUP(D2055,'Species Codes'!B:M,12,0))))-(VLOOKUP(D2055,'Species Codes'!B:I,8,0)*((((E2055*2.54)^VLOOKUP(D2055,'Species Codes'!B:L,11,0))*((I2055*0.3048)^VLOOKUP(D2055,'Species Codes'!B:M,12,0))))))*35.3*VLOOKUP(D2055,'Species Codes'!B:G,6,0)/2.2046,VLOOKUP(D2055,'Species Codes'!B:I,8,0)+VLOOKUP(D2055,'Species Codes'!B:J,9,0)*(((E2055*2.54)/100)^2)*(I2055*0.3048)))))*0.0011023),0)</f>
        <v>#N/A</v>
      </c>
      <c r="AC2055" s="104" t="e">
        <f>IF(Z2055&gt;0,((IF(OR(D2055="RA",D2055="OA",D2055="OT",D2055="UN",D2055="PC"),EXP(VLOOKUP(D2055,'Species Codes'!B:O,14,0)+VLOOKUP(D2055,'Species Codes'!B:P,15,0)*LN((E2055*2.54)))-EXP(VLOOKUP(D2055,'Species Codes'!B:O,14,0)+VLOOKUP(D2055,'Species Codes'!B:P,15,0)*LN((E2055*2.54)))*(1/(VLOOKUP(D2055,'Species Codes'!B:Q,16,0)+VLOOKUP(D2055,'Species Codes'!B:R,17,0)*((E2055*2.54)^VLOOKUP(D2055,'Species Codes'!B:S,18,0)))),IF(OR(D2055="BM",D2055="MD",D2055="OA"),EXP(VLOOKUP(D2055,'Species Codes'!B:O,14,0)+VLOOKUP(D2055,'Species Codes'!B:P,15,0)*LN((E2055*2.54)))*(1-(1/(VLOOKUP(D2055,'Species Codes'!B:Q,16,0)+VLOOKUP(D2055,'Species Codes'!B:R,17,0)*((E2055*2.54)^VLOOKUP(D2055,'Species Codes'!B:S,18,0)))))/1000,IF(D2055="DF",EXP(VLOOKUP(D2055,'Species Codes'!B:O,14,0)+VLOOKUP(D2055,'Species Codes'!B:P,15,0)*LN((E2055*2.54))),VLOOKUP(D2055,'Species Codes'!B:O,14,0)+VLOOKUP(D2055,'Species Codes'!B:P,15,0)*(((E2055*2.54)/100)^2)*(I2055*0.3048)))))*0.0011023),0)</f>
        <v>#N/A</v>
      </c>
      <c r="AD2055" s="104" t="e">
        <f t="shared" si="895"/>
        <v>#N/A</v>
      </c>
      <c r="AE2055" s="104" t="e">
        <f t="shared" si="896"/>
        <v>#N/A</v>
      </c>
      <c r="AF2055" s="104" t="e">
        <f>IF(AND(VLOOKUP($D2055,Merchantability!$B:$C,2,0)="Yes",$E2055&gt;=VLOOKUP($D2055,Merchantability!$B:$D,3,0),$E2055&lt;=VLOOKUP($D2055,Merchantability!$B:$E,4,0)),AA2055,0)</f>
        <v>#N/A</v>
      </c>
      <c r="AG2055" s="104" t="e">
        <f>IF(AND(VLOOKUP($D2055,Merchantability!$B:$C,2,0)="Yes",$E2055&gt;=VLOOKUP($D2055,Merchantability!$B:$D,3,0),$E2055&lt;=VLOOKUP($D2055,Merchantability!$B:$E,4,0)),AB2055,0)</f>
        <v>#N/A</v>
      </c>
      <c r="AH2055" s="104" t="e">
        <f>IF(AND(VLOOKUP($D2055,Merchantability!$B:$C,2,0)="Yes",$E2055&gt;=VLOOKUP($D2055,Merchantability!$B:$D,3,0),$E2055&lt;=VLOOKUP($D2055,Merchantability!$B:$E,4,0)),AC2055,0)</f>
        <v>#N/A</v>
      </c>
      <c r="AI2055" s="104" t="e">
        <f t="shared" si="897"/>
        <v>#N/A</v>
      </c>
      <c r="AJ2055" s="104" t="e">
        <f t="shared" si="898"/>
        <v>#VALUE!</v>
      </c>
      <c r="AK2055" s="104" t="e">
        <f t="shared" si="899"/>
        <v>#N/A</v>
      </c>
      <c r="AL2055" s="104" t="e">
        <f t="shared" si="900"/>
        <v>#N/A</v>
      </c>
      <c r="AM2055" s="104" t="e">
        <f t="shared" si="901"/>
        <v>#N/A</v>
      </c>
      <c r="AN2055" s="104" t="e">
        <f t="shared" si="912"/>
        <v>#N/A</v>
      </c>
      <c r="AO2055" s="104" t="e">
        <f t="shared" si="913"/>
        <v>#N/A</v>
      </c>
      <c r="AP2055" s="104" t="e">
        <f t="shared" si="914"/>
        <v>#N/A</v>
      </c>
      <c r="AQ2055" s="104" t="e">
        <f t="shared" si="915"/>
        <v>#N/A</v>
      </c>
      <c r="AR2055" s="105" t="str">
        <f t="shared" si="907"/>
        <v/>
      </c>
      <c r="AS2055" s="105" t="str">
        <f t="shared" si="908"/>
        <v/>
      </c>
      <c r="AT2055" s="108" t="str">
        <f t="shared" si="909"/>
        <v/>
      </c>
      <c r="AU2055" s="108" t="str">
        <f t="shared" si="910"/>
        <v/>
      </c>
      <c r="AV2055" s="107" t="str">
        <f>IF(ISNUMBER(O2055),IF(VLOOKUP($A2055,Stand!C:J,8,FALSE)="Short",AT2055,AU2055),"")</f>
        <v/>
      </c>
      <c r="AW2055" s="109" t="str">
        <f t="shared" si="916"/>
        <v/>
      </c>
      <c r="AX2055" s="109" t="str">
        <f t="shared" si="917"/>
        <v/>
      </c>
      <c r="AY2055" s="112" t="str">
        <f>IF(ISNUMBER(O2055),IF(AND(VLOOKUP($D2055,Merchantability!$B:$C,2,0)="Yes",$E2055&gt;=VLOOKUP($D2055,Merchantability!$B:$D,3,0),$E2055&lt;=VLOOKUP($D2055,Merchantability!$B:$E,4,0)),(AV2055*O2055)*(1-$H2055/100),""),"")</f>
        <v/>
      </c>
      <c r="AZ2055" s="116"/>
      <c r="BA2055" s="116"/>
      <c r="BB2055" s="116"/>
      <c r="BE2055" s="62"/>
      <c r="BF2055" s="63"/>
    </row>
    <row r="2056" spans="1:58" ht="12.75" customHeight="1" x14ac:dyDescent="0.25">
      <c r="A2056" s="334"/>
      <c r="B2056" s="334"/>
      <c r="C2056" s="332"/>
      <c r="D2056" s="334"/>
      <c r="E2056" s="335"/>
      <c r="F2056" s="334"/>
      <c r="G2056" s="332"/>
      <c r="H2056" s="332"/>
      <c r="I2056" s="334"/>
      <c r="J2056" s="336"/>
      <c r="K2056" s="332"/>
      <c r="L2056" s="332"/>
      <c r="M2056" s="76"/>
      <c r="N2056" s="103" t="str">
        <f>IF(A2056="","",VLOOKUP(A2056,Stand!C:K,9,0))</f>
        <v/>
      </c>
      <c r="O2056" s="104" t="str">
        <f t="shared" si="902"/>
        <v/>
      </c>
      <c r="P2056" s="105" t="str">
        <f t="shared" si="903"/>
        <v/>
      </c>
      <c r="Q2056" s="105" t="str">
        <f t="shared" si="891"/>
        <v/>
      </c>
      <c r="R2056" s="103" t="str">
        <f t="shared" si="904"/>
        <v/>
      </c>
      <c r="S2056" s="103" t="str">
        <f t="shared" si="905"/>
        <v/>
      </c>
      <c r="T2056" s="106" t="str">
        <f t="shared" si="892"/>
        <v/>
      </c>
      <c r="U2056" s="106" t="str">
        <f t="shared" si="893"/>
        <v/>
      </c>
      <c r="V2056" s="106" t="str">
        <f t="shared" si="894"/>
        <v/>
      </c>
      <c r="W2056" s="105" t="str">
        <f t="shared" si="906"/>
        <v/>
      </c>
      <c r="X2056" s="104" t="str">
        <f t="shared" si="911"/>
        <v/>
      </c>
      <c r="Y2056" s="104" t="str">
        <f t="array" ref="Y2056">IFERROR(IF(ISNUMBER(O2056),IF(COUNT(IF(A2056=$A$2:$A$2427,IF(D2056=$D$2:$D$2427,IF($X$2:$X$2427&gt;0,1))))&gt;0,SUM(IF(A2056=$A$2:$A$2427,IF(D2056=$D$2:$D$2427,$X$2:$X$2427)))/COUNT(IF(A2056=$A$2:$A$2427,IF(D2056=$D$2:$D$2427,IF(ISNUMBER($X$2:$X$2427),1)))),0),""),0)</f>
        <v/>
      </c>
      <c r="Z2056" s="104" t="str">
        <f>IF(ISNUMBER(O2056),IF(I2056&gt;0,(10^(VLOOKUP(D2056,'Species Codes'!B:C,2,0)+VLOOKUP(D2056,'Species Codes'!B:D,3,0)*LOG(E2056)+VLOOKUP(D2056,'Species Codes'!B:E,4,0)*LOG(I2056))),0),"")</f>
        <v/>
      </c>
      <c r="AA2056" s="104" t="str">
        <f>IFERROR((VLOOKUP(D2056,'Species Codes'!B:G,6,0)*Z2056)/2000,"")</f>
        <v/>
      </c>
      <c r="AB2056" s="104" t="e">
        <f>IF(Z2056&gt;0,((IF(OR(D2056="DF",D2056="RA")=TRUE,EXP(VLOOKUP(D2056,'Species Codes'!B:I,8,0)+VLOOKUP(D2056,'Species Codes'!B:J,9,0)*(LN((E2056*2.54)))),IF(OR(D2056="PY",D2056="RC",D2056="WH",D2056="NF")=TRUE,VLOOKUP(D2056,'Species Codes'!B:I,8,0)+VLOOKUP(D2056,'Species Codes'!B:J,9,0)*((E2056*2.54)^2)*(I2056*0.3048),IF(OR(D2056="MD",D2056="BM",D2056="GA")=TRUE,((VLOOKUP(D2056,'Species Codes'!B:I,8,0)*(((((E2056*2.54)+VLOOKUP(D2056,'Species Codes'!B:J,9,0))/VLOOKUP(D2056,'Species Codes'!B:K,10,0))^VLOOKUP(D2056,'Species Codes'!B:L,11,0))*((I2056*0.3048)^VLOOKUP(D2056,'Species Codes'!B:M,12,0))))-(VLOOKUP(D2056,'Species Codes'!B:I,8,0)*((((E2056*2.54)^VLOOKUP(D2056,'Species Codes'!B:L,11,0))*((I2056*0.3048)^VLOOKUP(D2056,'Species Codes'!B:M,12,0))))))*35.3*VLOOKUP(D2056,'Species Codes'!B:G,6,0)/2.2046,VLOOKUP(D2056,'Species Codes'!B:I,8,0)+VLOOKUP(D2056,'Species Codes'!B:J,9,0)*(((E2056*2.54)/100)^2)*(I2056*0.3048)))))*0.0011023),0)</f>
        <v>#N/A</v>
      </c>
      <c r="AC2056" s="104" t="e">
        <f>IF(Z2056&gt;0,((IF(OR(D2056="RA",D2056="OA",D2056="OT",D2056="UN",D2056="PC"),EXP(VLOOKUP(D2056,'Species Codes'!B:O,14,0)+VLOOKUP(D2056,'Species Codes'!B:P,15,0)*LN((E2056*2.54)))-EXP(VLOOKUP(D2056,'Species Codes'!B:O,14,0)+VLOOKUP(D2056,'Species Codes'!B:P,15,0)*LN((E2056*2.54)))*(1/(VLOOKUP(D2056,'Species Codes'!B:Q,16,0)+VLOOKUP(D2056,'Species Codes'!B:R,17,0)*((E2056*2.54)^VLOOKUP(D2056,'Species Codes'!B:S,18,0)))),IF(OR(D2056="BM",D2056="MD",D2056="OA"),EXP(VLOOKUP(D2056,'Species Codes'!B:O,14,0)+VLOOKUP(D2056,'Species Codes'!B:P,15,0)*LN((E2056*2.54)))*(1-(1/(VLOOKUP(D2056,'Species Codes'!B:Q,16,0)+VLOOKUP(D2056,'Species Codes'!B:R,17,0)*((E2056*2.54)^VLOOKUP(D2056,'Species Codes'!B:S,18,0)))))/1000,IF(D2056="DF",EXP(VLOOKUP(D2056,'Species Codes'!B:O,14,0)+VLOOKUP(D2056,'Species Codes'!B:P,15,0)*LN((E2056*2.54))),VLOOKUP(D2056,'Species Codes'!B:O,14,0)+VLOOKUP(D2056,'Species Codes'!B:P,15,0)*(((E2056*2.54)/100)^2)*(I2056*0.3048)))))*0.0011023),0)</f>
        <v>#N/A</v>
      </c>
      <c r="AD2056" s="104" t="e">
        <f t="shared" si="895"/>
        <v>#N/A</v>
      </c>
      <c r="AE2056" s="104" t="e">
        <f t="shared" si="896"/>
        <v>#N/A</v>
      </c>
      <c r="AF2056" s="104" t="e">
        <f>IF(AND(VLOOKUP($D2056,Merchantability!$B:$C,2,0)="Yes",$E2056&gt;=VLOOKUP($D2056,Merchantability!$B:$D,3,0),$E2056&lt;=VLOOKUP($D2056,Merchantability!$B:$E,4,0)),AA2056,0)</f>
        <v>#N/A</v>
      </c>
      <c r="AG2056" s="104" t="e">
        <f>IF(AND(VLOOKUP($D2056,Merchantability!$B:$C,2,0)="Yes",$E2056&gt;=VLOOKUP($D2056,Merchantability!$B:$D,3,0),$E2056&lt;=VLOOKUP($D2056,Merchantability!$B:$E,4,0)),AB2056,0)</f>
        <v>#N/A</v>
      </c>
      <c r="AH2056" s="104" t="e">
        <f>IF(AND(VLOOKUP($D2056,Merchantability!$B:$C,2,0)="Yes",$E2056&gt;=VLOOKUP($D2056,Merchantability!$B:$D,3,0),$E2056&lt;=VLOOKUP($D2056,Merchantability!$B:$E,4,0)),AC2056,0)</f>
        <v>#N/A</v>
      </c>
      <c r="AI2056" s="104" t="e">
        <f t="shared" si="897"/>
        <v>#N/A</v>
      </c>
      <c r="AJ2056" s="104" t="e">
        <f t="shared" si="898"/>
        <v>#VALUE!</v>
      </c>
      <c r="AK2056" s="104" t="e">
        <f t="shared" si="899"/>
        <v>#N/A</v>
      </c>
      <c r="AL2056" s="104" t="e">
        <f t="shared" si="900"/>
        <v>#N/A</v>
      </c>
      <c r="AM2056" s="104" t="e">
        <f t="shared" si="901"/>
        <v>#N/A</v>
      </c>
      <c r="AN2056" s="104" t="e">
        <f t="shared" si="912"/>
        <v>#N/A</v>
      </c>
      <c r="AO2056" s="104" t="e">
        <f t="shared" si="913"/>
        <v>#N/A</v>
      </c>
      <c r="AP2056" s="104" t="e">
        <f t="shared" si="914"/>
        <v>#N/A</v>
      </c>
      <c r="AQ2056" s="104" t="e">
        <f t="shared" si="915"/>
        <v>#N/A</v>
      </c>
      <c r="AR2056" s="105" t="str">
        <f t="shared" si="907"/>
        <v/>
      </c>
      <c r="AS2056" s="105" t="str">
        <f t="shared" si="908"/>
        <v/>
      </c>
      <c r="AT2056" s="108" t="str">
        <f t="shared" si="909"/>
        <v/>
      </c>
      <c r="AU2056" s="108" t="str">
        <f t="shared" si="910"/>
        <v/>
      </c>
      <c r="AV2056" s="107" t="str">
        <f>IF(ISNUMBER(O2056),IF(VLOOKUP($A2056,Stand!C:J,8,FALSE)="Short",AT2056,AU2056),"")</f>
        <v/>
      </c>
      <c r="AW2056" s="109" t="str">
        <f t="shared" si="916"/>
        <v/>
      </c>
      <c r="AX2056" s="109" t="str">
        <f t="shared" si="917"/>
        <v/>
      </c>
      <c r="AY2056" s="112" t="str">
        <f>IF(ISNUMBER(O2056),IF(AND(VLOOKUP($D2056,Merchantability!$B:$C,2,0)="Yes",$E2056&gt;=VLOOKUP($D2056,Merchantability!$B:$D,3,0),$E2056&lt;=VLOOKUP($D2056,Merchantability!$B:$E,4,0)),(AV2056*O2056)*(1-$H2056/100),""),"")</f>
        <v/>
      </c>
      <c r="AZ2056" s="116"/>
      <c r="BA2056" s="116"/>
      <c r="BB2056" s="116"/>
      <c r="BE2056" s="62"/>
      <c r="BF2056" s="63"/>
    </row>
    <row r="2057" spans="1:58" ht="12.75" customHeight="1" x14ac:dyDescent="0.25">
      <c r="A2057" s="334"/>
      <c r="B2057" s="334"/>
      <c r="C2057" s="332"/>
      <c r="D2057" s="334"/>
      <c r="E2057" s="335"/>
      <c r="F2057" s="334"/>
      <c r="G2057" s="332"/>
      <c r="H2057" s="332"/>
      <c r="I2057" s="334"/>
      <c r="J2057" s="336"/>
      <c r="K2057" s="332"/>
      <c r="L2057" s="332"/>
      <c r="M2057" s="76"/>
      <c r="N2057" s="103" t="str">
        <f>IF(A2057="","",VLOOKUP(A2057,Stand!C:K,9,0))</f>
        <v/>
      </c>
      <c r="O2057" s="104" t="str">
        <f t="shared" si="902"/>
        <v/>
      </c>
      <c r="P2057" s="105" t="str">
        <f t="shared" si="903"/>
        <v/>
      </c>
      <c r="Q2057" s="105" t="str">
        <f t="shared" si="891"/>
        <v/>
      </c>
      <c r="R2057" s="103" t="str">
        <f t="shared" si="904"/>
        <v/>
      </c>
      <c r="S2057" s="103" t="str">
        <f t="shared" si="905"/>
        <v/>
      </c>
      <c r="T2057" s="106" t="str">
        <f t="shared" si="892"/>
        <v/>
      </c>
      <c r="U2057" s="106" t="str">
        <f t="shared" si="893"/>
        <v/>
      </c>
      <c r="V2057" s="106" t="str">
        <f t="shared" si="894"/>
        <v/>
      </c>
      <c r="W2057" s="105" t="str">
        <f t="shared" si="906"/>
        <v/>
      </c>
      <c r="X2057" s="104" t="str">
        <f t="shared" si="911"/>
        <v/>
      </c>
      <c r="Y2057" s="104" t="str">
        <f t="array" ref="Y2057">IFERROR(IF(ISNUMBER(O2057),IF(COUNT(IF(A2057=$A$2:$A$2427,IF(D2057=$D$2:$D$2427,IF($X$2:$X$2427&gt;0,1))))&gt;0,SUM(IF(A2057=$A$2:$A$2427,IF(D2057=$D$2:$D$2427,$X$2:$X$2427)))/COUNT(IF(A2057=$A$2:$A$2427,IF(D2057=$D$2:$D$2427,IF(ISNUMBER($X$2:$X$2427),1)))),0),""),0)</f>
        <v/>
      </c>
      <c r="Z2057" s="104" t="str">
        <f>IF(ISNUMBER(O2057),IF(I2057&gt;0,(10^(VLOOKUP(D2057,'Species Codes'!B:C,2,0)+VLOOKUP(D2057,'Species Codes'!B:D,3,0)*LOG(E2057)+VLOOKUP(D2057,'Species Codes'!B:E,4,0)*LOG(I2057))),0),"")</f>
        <v/>
      </c>
      <c r="AA2057" s="104" t="str">
        <f>IFERROR((VLOOKUP(D2057,'Species Codes'!B:G,6,0)*Z2057)/2000,"")</f>
        <v/>
      </c>
      <c r="AB2057" s="104" t="e">
        <f>IF(Z2057&gt;0,((IF(OR(D2057="DF",D2057="RA")=TRUE,EXP(VLOOKUP(D2057,'Species Codes'!B:I,8,0)+VLOOKUP(D2057,'Species Codes'!B:J,9,0)*(LN((E2057*2.54)))),IF(OR(D2057="PY",D2057="RC",D2057="WH",D2057="NF")=TRUE,VLOOKUP(D2057,'Species Codes'!B:I,8,0)+VLOOKUP(D2057,'Species Codes'!B:J,9,0)*((E2057*2.54)^2)*(I2057*0.3048),IF(OR(D2057="MD",D2057="BM",D2057="GA")=TRUE,((VLOOKUP(D2057,'Species Codes'!B:I,8,0)*(((((E2057*2.54)+VLOOKUP(D2057,'Species Codes'!B:J,9,0))/VLOOKUP(D2057,'Species Codes'!B:K,10,0))^VLOOKUP(D2057,'Species Codes'!B:L,11,0))*((I2057*0.3048)^VLOOKUP(D2057,'Species Codes'!B:M,12,0))))-(VLOOKUP(D2057,'Species Codes'!B:I,8,0)*((((E2057*2.54)^VLOOKUP(D2057,'Species Codes'!B:L,11,0))*((I2057*0.3048)^VLOOKUP(D2057,'Species Codes'!B:M,12,0))))))*35.3*VLOOKUP(D2057,'Species Codes'!B:G,6,0)/2.2046,VLOOKUP(D2057,'Species Codes'!B:I,8,0)+VLOOKUP(D2057,'Species Codes'!B:J,9,0)*(((E2057*2.54)/100)^2)*(I2057*0.3048)))))*0.0011023),0)</f>
        <v>#N/A</v>
      </c>
      <c r="AC2057" s="104" t="e">
        <f>IF(Z2057&gt;0,((IF(OR(D2057="RA",D2057="OA",D2057="OT",D2057="UN",D2057="PC"),EXP(VLOOKUP(D2057,'Species Codes'!B:O,14,0)+VLOOKUP(D2057,'Species Codes'!B:P,15,0)*LN((E2057*2.54)))-EXP(VLOOKUP(D2057,'Species Codes'!B:O,14,0)+VLOOKUP(D2057,'Species Codes'!B:P,15,0)*LN((E2057*2.54)))*(1/(VLOOKUP(D2057,'Species Codes'!B:Q,16,0)+VLOOKUP(D2057,'Species Codes'!B:R,17,0)*((E2057*2.54)^VLOOKUP(D2057,'Species Codes'!B:S,18,0)))),IF(OR(D2057="BM",D2057="MD",D2057="OA"),EXP(VLOOKUP(D2057,'Species Codes'!B:O,14,0)+VLOOKUP(D2057,'Species Codes'!B:P,15,0)*LN((E2057*2.54)))*(1-(1/(VLOOKUP(D2057,'Species Codes'!B:Q,16,0)+VLOOKUP(D2057,'Species Codes'!B:R,17,0)*((E2057*2.54)^VLOOKUP(D2057,'Species Codes'!B:S,18,0)))))/1000,IF(D2057="DF",EXP(VLOOKUP(D2057,'Species Codes'!B:O,14,0)+VLOOKUP(D2057,'Species Codes'!B:P,15,0)*LN((E2057*2.54))),VLOOKUP(D2057,'Species Codes'!B:O,14,0)+VLOOKUP(D2057,'Species Codes'!B:P,15,0)*(((E2057*2.54)/100)^2)*(I2057*0.3048)))))*0.0011023),0)</f>
        <v>#N/A</v>
      </c>
      <c r="AD2057" s="104" t="e">
        <f t="shared" si="895"/>
        <v>#N/A</v>
      </c>
      <c r="AE2057" s="104" t="e">
        <f t="shared" si="896"/>
        <v>#N/A</v>
      </c>
      <c r="AF2057" s="104" t="e">
        <f>IF(AND(VLOOKUP($D2057,Merchantability!$B:$C,2,0)="Yes",$E2057&gt;=VLOOKUP($D2057,Merchantability!$B:$D,3,0),$E2057&lt;=VLOOKUP($D2057,Merchantability!$B:$E,4,0)),AA2057,0)</f>
        <v>#N/A</v>
      </c>
      <c r="AG2057" s="104" t="e">
        <f>IF(AND(VLOOKUP($D2057,Merchantability!$B:$C,2,0)="Yes",$E2057&gt;=VLOOKUP($D2057,Merchantability!$B:$D,3,0),$E2057&lt;=VLOOKUP($D2057,Merchantability!$B:$E,4,0)),AB2057,0)</f>
        <v>#N/A</v>
      </c>
      <c r="AH2057" s="104" t="e">
        <f>IF(AND(VLOOKUP($D2057,Merchantability!$B:$C,2,0)="Yes",$E2057&gt;=VLOOKUP($D2057,Merchantability!$B:$D,3,0),$E2057&lt;=VLOOKUP($D2057,Merchantability!$B:$E,4,0)),AC2057,0)</f>
        <v>#N/A</v>
      </c>
      <c r="AI2057" s="104" t="e">
        <f t="shared" si="897"/>
        <v>#N/A</v>
      </c>
      <c r="AJ2057" s="104" t="e">
        <f t="shared" si="898"/>
        <v>#VALUE!</v>
      </c>
      <c r="AK2057" s="104" t="e">
        <f t="shared" si="899"/>
        <v>#N/A</v>
      </c>
      <c r="AL2057" s="104" t="e">
        <f t="shared" si="900"/>
        <v>#N/A</v>
      </c>
      <c r="AM2057" s="104" t="e">
        <f t="shared" si="901"/>
        <v>#N/A</v>
      </c>
      <c r="AN2057" s="104" t="e">
        <f t="shared" si="912"/>
        <v>#N/A</v>
      </c>
      <c r="AO2057" s="104" t="e">
        <f t="shared" si="913"/>
        <v>#N/A</v>
      </c>
      <c r="AP2057" s="104" t="e">
        <f t="shared" si="914"/>
        <v>#N/A</v>
      </c>
      <c r="AQ2057" s="104" t="e">
        <f t="shared" si="915"/>
        <v>#N/A</v>
      </c>
      <c r="AR2057" s="105" t="str">
        <f t="shared" si="907"/>
        <v/>
      </c>
      <c r="AS2057" s="105" t="str">
        <f t="shared" si="908"/>
        <v/>
      </c>
      <c r="AT2057" s="108" t="str">
        <f t="shared" si="909"/>
        <v/>
      </c>
      <c r="AU2057" s="108" t="str">
        <f t="shared" si="910"/>
        <v/>
      </c>
      <c r="AV2057" s="107" t="str">
        <f>IF(ISNUMBER(O2057),IF(VLOOKUP($A2057,Stand!C:J,8,FALSE)="Short",AT2057,AU2057),"")</f>
        <v/>
      </c>
      <c r="AW2057" s="109" t="str">
        <f t="shared" si="916"/>
        <v/>
      </c>
      <c r="AX2057" s="109" t="str">
        <f t="shared" si="917"/>
        <v/>
      </c>
      <c r="AY2057" s="112" t="str">
        <f>IF(ISNUMBER(O2057),IF(AND(VLOOKUP($D2057,Merchantability!$B:$C,2,0)="Yes",$E2057&gt;=VLOOKUP($D2057,Merchantability!$B:$D,3,0),$E2057&lt;=VLOOKUP($D2057,Merchantability!$B:$E,4,0)),(AV2057*O2057)*(1-$H2057/100),""),"")</f>
        <v/>
      </c>
      <c r="AZ2057" s="116"/>
      <c r="BA2057" s="116"/>
      <c r="BB2057" s="116"/>
      <c r="BE2057" s="62"/>
      <c r="BF2057" s="63"/>
    </row>
    <row r="2058" spans="1:58" ht="12.75" customHeight="1" x14ac:dyDescent="0.25">
      <c r="A2058" s="334"/>
      <c r="B2058" s="334"/>
      <c r="C2058" s="332"/>
      <c r="D2058" s="334"/>
      <c r="E2058" s="335"/>
      <c r="F2058" s="334"/>
      <c r="G2058" s="332"/>
      <c r="H2058" s="332"/>
      <c r="I2058" s="334"/>
      <c r="J2058" s="336"/>
      <c r="K2058" s="332"/>
      <c r="L2058" s="332"/>
      <c r="M2058" s="76"/>
      <c r="N2058" s="103" t="str">
        <f>IF(A2058="","",VLOOKUP(A2058,Stand!C:K,9,0))</f>
        <v/>
      </c>
      <c r="O2058" s="104" t="str">
        <f t="shared" si="902"/>
        <v/>
      </c>
      <c r="P2058" s="105" t="str">
        <f t="shared" si="903"/>
        <v/>
      </c>
      <c r="Q2058" s="105" t="str">
        <f t="shared" si="891"/>
        <v/>
      </c>
      <c r="R2058" s="103" t="str">
        <f t="shared" si="904"/>
        <v/>
      </c>
      <c r="S2058" s="103" t="str">
        <f t="shared" si="905"/>
        <v/>
      </c>
      <c r="T2058" s="106" t="str">
        <f t="shared" si="892"/>
        <v/>
      </c>
      <c r="U2058" s="106" t="str">
        <f t="shared" si="893"/>
        <v/>
      </c>
      <c r="V2058" s="106" t="str">
        <f t="shared" si="894"/>
        <v/>
      </c>
      <c r="W2058" s="105" t="str">
        <f t="shared" si="906"/>
        <v/>
      </c>
      <c r="X2058" s="104" t="str">
        <f t="shared" si="911"/>
        <v/>
      </c>
      <c r="Y2058" s="104" t="str">
        <f t="array" ref="Y2058">IFERROR(IF(ISNUMBER(O2058),IF(COUNT(IF(A2058=$A$2:$A$2427,IF(D2058=$D$2:$D$2427,IF($X$2:$X$2427&gt;0,1))))&gt;0,SUM(IF(A2058=$A$2:$A$2427,IF(D2058=$D$2:$D$2427,$X$2:$X$2427)))/COUNT(IF(A2058=$A$2:$A$2427,IF(D2058=$D$2:$D$2427,IF(ISNUMBER($X$2:$X$2427),1)))),0),""),0)</f>
        <v/>
      </c>
      <c r="Z2058" s="104" t="str">
        <f>IF(ISNUMBER(O2058),IF(I2058&gt;0,(10^(VLOOKUP(D2058,'Species Codes'!B:C,2,0)+VLOOKUP(D2058,'Species Codes'!B:D,3,0)*LOG(E2058)+VLOOKUP(D2058,'Species Codes'!B:E,4,0)*LOG(I2058))),0),"")</f>
        <v/>
      </c>
      <c r="AA2058" s="104" t="str">
        <f>IFERROR((VLOOKUP(D2058,'Species Codes'!B:G,6,0)*Z2058)/2000,"")</f>
        <v/>
      </c>
      <c r="AB2058" s="104" t="e">
        <f>IF(Z2058&gt;0,((IF(OR(D2058="DF",D2058="RA")=TRUE,EXP(VLOOKUP(D2058,'Species Codes'!B:I,8,0)+VLOOKUP(D2058,'Species Codes'!B:J,9,0)*(LN((E2058*2.54)))),IF(OR(D2058="PY",D2058="RC",D2058="WH",D2058="NF")=TRUE,VLOOKUP(D2058,'Species Codes'!B:I,8,0)+VLOOKUP(D2058,'Species Codes'!B:J,9,0)*((E2058*2.54)^2)*(I2058*0.3048),IF(OR(D2058="MD",D2058="BM",D2058="GA")=TRUE,((VLOOKUP(D2058,'Species Codes'!B:I,8,0)*(((((E2058*2.54)+VLOOKUP(D2058,'Species Codes'!B:J,9,0))/VLOOKUP(D2058,'Species Codes'!B:K,10,0))^VLOOKUP(D2058,'Species Codes'!B:L,11,0))*((I2058*0.3048)^VLOOKUP(D2058,'Species Codes'!B:M,12,0))))-(VLOOKUP(D2058,'Species Codes'!B:I,8,0)*((((E2058*2.54)^VLOOKUP(D2058,'Species Codes'!B:L,11,0))*((I2058*0.3048)^VLOOKUP(D2058,'Species Codes'!B:M,12,0))))))*35.3*VLOOKUP(D2058,'Species Codes'!B:G,6,0)/2.2046,VLOOKUP(D2058,'Species Codes'!B:I,8,0)+VLOOKUP(D2058,'Species Codes'!B:J,9,0)*(((E2058*2.54)/100)^2)*(I2058*0.3048)))))*0.0011023),0)</f>
        <v>#N/A</v>
      </c>
      <c r="AC2058" s="104" t="e">
        <f>IF(Z2058&gt;0,((IF(OR(D2058="RA",D2058="OA",D2058="OT",D2058="UN",D2058="PC"),EXP(VLOOKUP(D2058,'Species Codes'!B:O,14,0)+VLOOKUP(D2058,'Species Codes'!B:P,15,0)*LN((E2058*2.54)))-EXP(VLOOKUP(D2058,'Species Codes'!B:O,14,0)+VLOOKUP(D2058,'Species Codes'!B:P,15,0)*LN((E2058*2.54)))*(1/(VLOOKUP(D2058,'Species Codes'!B:Q,16,0)+VLOOKUP(D2058,'Species Codes'!B:R,17,0)*((E2058*2.54)^VLOOKUP(D2058,'Species Codes'!B:S,18,0)))),IF(OR(D2058="BM",D2058="MD",D2058="OA"),EXP(VLOOKUP(D2058,'Species Codes'!B:O,14,0)+VLOOKUP(D2058,'Species Codes'!B:P,15,0)*LN((E2058*2.54)))*(1-(1/(VLOOKUP(D2058,'Species Codes'!B:Q,16,0)+VLOOKUP(D2058,'Species Codes'!B:R,17,0)*((E2058*2.54)^VLOOKUP(D2058,'Species Codes'!B:S,18,0)))))/1000,IF(D2058="DF",EXP(VLOOKUP(D2058,'Species Codes'!B:O,14,0)+VLOOKUP(D2058,'Species Codes'!B:P,15,0)*LN((E2058*2.54))),VLOOKUP(D2058,'Species Codes'!B:O,14,0)+VLOOKUP(D2058,'Species Codes'!B:P,15,0)*(((E2058*2.54)/100)^2)*(I2058*0.3048)))))*0.0011023),0)</f>
        <v>#N/A</v>
      </c>
      <c r="AD2058" s="104" t="e">
        <f t="shared" si="895"/>
        <v>#N/A</v>
      </c>
      <c r="AE2058" s="104" t="e">
        <f t="shared" si="896"/>
        <v>#N/A</v>
      </c>
      <c r="AF2058" s="104" t="e">
        <f>IF(AND(VLOOKUP($D2058,Merchantability!$B:$C,2,0)="Yes",$E2058&gt;=VLOOKUP($D2058,Merchantability!$B:$D,3,0),$E2058&lt;=VLOOKUP($D2058,Merchantability!$B:$E,4,0)),AA2058,0)</f>
        <v>#N/A</v>
      </c>
      <c r="AG2058" s="104" t="e">
        <f>IF(AND(VLOOKUP($D2058,Merchantability!$B:$C,2,0)="Yes",$E2058&gt;=VLOOKUP($D2058,Merchantability!$B:$D,3,0),$E2058&lt;=VLOOKUP($D2058,Merchantability!$B:$E,4,0)),AB2058,0)</f>
        <v>#N/A</v>
      </c>
      <c r="AH2058" s="104" t="e">
        <f>IF(AND(VLOOKUP($D2058,Merchantability!$B:$C,2,0)="Yes",$E2058&gt;=VLOOKUP($D2058,Merchantability!$B:$D,3,0),$E2058&lt;=VLOOKUP($D2058,Merchantability!$B:$E,4,0)),AC2058,0)</f>
        <v>#N/A</v>
      </c>
      <c r="AI2058" s="104" t="e">
        <f t="shared" si="897"/>
        <v>#N/A</v>
      </c>
      <c r="AJ2058" s="104" t="e">
        <f t="shared" si="898"/>
        <v>#VALUE!</v>
      </c>
      <c r="AK2058" s="104" t="e">
        <f t="shared" si="899"/>
        <v>#N/A</v>
      </c>
      <c r="AL2058" s="104" t="e">
        <f t="shared" si="900"/>
        <v>#N/A</v>
      </c>
      <c r="AM2058" s="104" t="e">
        <f t="shared" si="901"/>
        <v>#N/A</v>
      </c>
      <c r="AN2058" s="104" t="e">
        <f t="shared" si="912"/>
        <v>#N/A</v>
      </c>
      <c r="AO2058" s="104" t="e">
        <f t="shared" si="913"/>
        <v>#N/A</v>
      </c>
      <c r="AP2058" s="104" t="e">
        <f t="shared" si="914"/>
        <v>#N/A</v>
      </c>
      <c r="AQ2058" s="104" t="e">
        <f t="shared" si="915"/>
        <v>#N/A</v>
      </c>
      <c r="AR2058" s="105" t="str">
        <f t="shared" si="907"/>
        <v/>
      </c>
      <c r="AS2058" s="105" t="str">
        <f t="shared" si="908"/>
        <v/>
      </c>
      <c r="AT2058" s="108" t="str">
        <f t="shared" si="909"/>
        <v/>
      </c>
      <c r="AU2058" s="108" t="str">
        <f t="shared" si="910"/>
        <v/>
      </c>
      <c r="AV2058" s="107" t="str">
        <f>IF(ISNUMBER(O2058),IF(VLOOKUP($A2058,Stand!C:J,8,FALSE)="Short",AT2058,AU2058),"")</f>
        <v/>
      </c>
      <c r="AW2058" s="109" t="str">
        <f t="shared" si="916"/>
        <v/>
      </c>
      <c r="AX2058" s="109" t="str">
        <f t="shared" si="917"/>
        <v/>
      </c>
      <c r="AY2058" s="112" t="str">
        <f>IF(ISNUMBER(O2058),IF(AND(VLOOKUP($D2058,Merchantability!$B:$C,2,0)="Yes",$E2058&gt;=VLOOKUP($D2058,Merchantability!$B:$D,3,0),$E2058&lt;=VLOOKUP($D2058,Merchantability!$B:$E,4,0)),(AV2058*O2058)*(1-$H2058/100),""),"")</f>
        <v/>
      </c>
      <c r="AZ2058" s="116"/>
      <c r="BA2058" s="116"/>
      <c r="BB2058" s="116"/>
      <c r="BE2058" s="62"/>
      <c r="BF2058" s="63"/>
    </row>
    <row r="2059" spans="1:58" ht="12.75" customHeight="1" x14ac:dyDescent="0.25">
      <c r="A2059" s="334"/>
      <c r="B2059" s="334"/>
      <c r="C2059" s="332"/>
      <c r="D2059" s="334"/>
      <c r="E2059" s="335"/>
      <c r="F2059" s="334"/>
      <c r="G2059" s="332"/>
      <c r="H2059" s="332"/>
      <c r="I2059" s="334"/>
      <c r="J2059" s="336"/>
      <c r="K2059" s="332"/>
      <c r="L2059" s="332"/>
      <c r="M2059" s="76"/>
      <c r="N2059" s="103" t="str">
        <f>IF(A2059="","",VLOOKUP(A2059,Stand!C:K,9,0))</f>
        <v/>
      </c>
      <c r="O2059" s="104" t="str">
        <f t="shared" si="902"/>
        <v/>
      </c>
      <c r="P2059" s="105" t="str">
        <f t="shared" si="903"/>
        <v/>
      </c>
      <c r="Q2059" s="105" t="str">
        <f t="shared" si="891"/>
        <v/>
      </c>
      <c r="R2059" s="103" t="str">
        <f t="shared" si="904"/>
        <v/>
      </c>
      <c r="S2059" s="103" t="str">
        <f t="shared" si="905"/>
        <v/>
      </c>
      <c r="T2059" s="106" t="str">
        <f t="shared" si="892"/>
        <v/>
      </c>
      <c r="U2059" s="106" t="str">
        <f t="shared" si="893"/>
        <v/>
      </c>
      <c r="V2059" s="106" t="str">
        <f t="shared" si="894"/>
        <v/>
      </c>
      <c r="W2059" s="105" t="str">
        <f t="shared" si="906"/>
        <v/>
      </c>
      <c r="X2059" s="104" t="str">
        <f t="shared" si="911"/>
        <v/>
      </c>
      <c r="Y2059" s="104" t="str">
        <f t="array" ref="Y2059">IFERROR(IF(ISNUMBER(O2059),IF(COUNT(IF(A2059=$A$2:$A$2427,IF(D2059=$D$2:$D$2427,IF($X$2:$X$2427&gt;0,1))))&gt;0,SUM(IF(A2059=$A$2:$A$2427,IF(D2059=$D$2:$D$2427,$X$2:$X$2427)))/COUNT(IF(A2059=$A$2:$A$2427,IF(D2059=$D$2:$D$2427,IF(ISNUMBER($X$2:$X$2427),1)))),0),""),0)</f>
        <v/>
      </c>
      <c r="Z2059" s="104" t="str">
        <f>IF(ISNUMBER(O2059),IF(I2059&gt;0,(10^(VLOOKUP(D2059,'Species Codes'!B:C,2,0)+VLOOKUP(D2059,'Species Codes'!B:D,3,0)*LOG(E2059)+VLOOKUP(D2059,'Species Codes'!B:E,4,0)*LOG(I2059))),0),"")</f>
        <v/>
      </c>
      <c r="AA2059" s="104" t="str">
        <f>IFERROR((VLOOKUP(D2059,'Species Codes'!B:G,6,0)*Z2059)/2000,"")</f>
        <v/>
      </c>
      <c r="AB2059" s="104" t="e">
        <f>IF(Z2059&gt;0,((IF(OR(D2059="DF",D2059="RA")=TRUE,EXP(VLOOKUP(D2059,'Species Codes'!B:I,8,0)+VLOOKUP(D2059,'Species Codes'!B:J,9,0)*(LN((E2059*2.54)))),IF(OR(D2059="PY",D2059="RC",D2059="WH",D2059="NF")=TRUE,VLOOKUP(D2059,'Species Codes'!B:I,8,0)+VLOOKUP(D2059,'Species Codes'!B:J,9,0)*((E2059*2.54)^2)*(I2059*0.3048),IF(OR(D2059="MD",D2059="BM",D2059="GA")=TRUE,((VLOOKUP(D2059,'Species Codes'!B:I,8,0)*(((((E2059*2.54)+VLOOKUP(D2059,'Species Codes'!B:J,9,0))/VLOOKUP(D2059,'Species Codes'!B:K,10,0))^VLOOKUP(D2059,'Species Codes'!B:L,11,0))*((I2059*0.3048)^VLOOKUP(D2059,'Species Codes'!B:M,12,0))))-(VLOOKUP(D2059,'Species Codes'!B:I,8,0)*((((E2059*2.54)^VLOOKUP(D2059,'Species Codes'!B:L,11,0))*((I2059*0.3048)^VLOOKUP(D2059,'Species Codes'!B:M,12,0))))))*35.3*VLOOKUP(D2059,'Species Codes'!B:G,6,0)/2.2046,VLOOKUP(D2059,'Species Codes'!B:I,8,0)+VLOOKUP(D2059,'Species Codes'!B:J,9,0)*(((E2059*2.54)/100)^2)*(I2059*0.3048)))))*0.0011023),0)</f>
        <v>#N/A</v>
      </c>
      <c r="AC2059" s="104" t="e">
        <f>IF(Z2059&gt;0,((IF(OR(D2059="RA",D2059="OA",D2059="OT",D2059="UN",D2059="PC"),EXP(VLOOKUP(D2059,'Species Codes'!B:O,14,0)+VLOOKUP(D2059,'Species Codes'!B:P,15,0)*LN((E2059*2.54)))-EXP(VLOOKUP(D2059,'Species Codes'!B:O,14,0)+VLOOKUP(D2059,'Species Codes'!B:P,15,0)*LN((E2059*2.54)))*(1/(VLOOKUP(D2059,'Species Codes'!B:Q,16,0)+VLOOKUP(D2059,'Species Codes'!B:R,17,0)*((E2059*2.54)^VLOOKUP(D2059,'Species Codes'!B:S,18,0)))),IF(OR(D2059="BM",D2059="MD",D2059="OA"),EXP(VLOOKUP(D2059,'Species Codes'!B:O,14,0)+VLOOKUP(D2059,'Species Codes'!B:P,15,0)*LN((E2059*2.54)))*(1-(1/(VLOOKUP(D2059,'Species Codes'!B:Q,16,0)+VLOOKUP(D2059,'Species Codes'!B:R,17,0)*((E2059*2.54)^VLOOKUP(D2059,'Species Codes'!B:S,18,0)))))/1000,IF(D2059="DF",EXP(VLOOKUP(D2059,'Species Codes'!B:O,14,0)+VLOOKUP(D2059,'Species Codes'!B:P,15,0)*LN((E2059*2.54))),VLOOKUP(D2059,'Species Codes'!B:O,14,0)+VLOOKUP(D2059,'Species Codes'!B:P,15,0)*(((E2059*2.54)/100)^2)*(I2059*0.3048)))))*0.0011023),0)</f>
        <v>#N/A</v>
      </c>
      <c r="AD2059" s="104" t="e">
        <f t="shared" si="895"/>
        <v>#N/A</v>
      </c>
      <c r="AE2059" s="104" t="e">
        <f t="shared" si="896"/>
        <v>#N/A</v>
      </c>
      <c r="AF2059" s="104" t="e">
        <f>IF(AND(VLOOKUP($D2059,Merchantability!$B:$C,2,0)="Yes",$E2059&gt;=VLOOKUP($D2059,Merchantability!$B:$D,3,0),$E2059&lt;=VLOOKUP($D2059,Merchantability!$B:$E,4,0)),AA2059,0)</f>
        <v>#N/A</v>
      </c>
      <c r="AG2059" s="104" t="e">
        <f>IF(AND(VLOOKUP($D2059,Merchantability!$B:$C,2,0)="Yes",$E2059&gt;=VLOOKUP($D2059,Merchantability!$B:$D,3,0),$E2059&lt;=VLOOKUP($D2059,Merchantability!$B:$E,4,0)),AB2059,0)</f>
        <v>#N/A</v>
      </c>
      <c r="AH2059" s="104" t="e">
        <f>IF(AND(VLOOKUP($D2059,Merchantability!$B:$C,2,0)="Yes",$E2059&gt;=VLOOKUP($D2059,Merchantability!$B:$D,3,0),$E2059&lt;=VLOOKUP($D2059,Merchantability!$B:$E,4,0)),AC2059,0)</f>
        <v>#N/A</v>
      </c>
      <c r="AI2059" s="104" t="e">
        <f t="shared" si="897"/>
        <v>#N/A</v>
      </c>
      <c r="AJ2059" s="104" t="e">
        <f t="shared" si="898"/>
        <v>#VALUE!</v>
      </c>
      <c r="AK2059" s="104" t="e">
        <f t="shared" si="899"/>
        <v>#N/A</v>
      </c>
      <c r="AL2059" s="104" t="e">
        <f t="shared" si="900"/>
        <v>#N/A</v>
      </c>
      <c r="AM2059" s="104" t="e">
        <f t="shared" si="901"/>
        <v>#N/A</v>
      </c>
      <c r="AN2059" s="104" t="e">
        <f t="shared" si="912"/>
        <v>#N/A</v>
      </c>
      <c r="AO2059" s="104" t="e">
        <f t="shared" si="913"/>
        <v>#N/A</v>
      </c>
      <c r="AP2059" s="104" t="e">
        <f t="shared" si="914"/>
        <v>#N/A</v>
      </c>
      <c r="AQ2059" s="104" t="e">
        <f t="shared" si="915"/>
        <v>#N/A</v>
      </c>
      <c r="AR2059" s="105" t="str">
        <f t="shared" si="907"/>
        <v/>
      </c>
      <c r="AS2059" s="105" t="str">
        <f t="shared" si="908"/>
        <v/>
      </c>
      <c r="AT2059" s="108" t="str">
        <f t="shared" si="909"/>
        <v/>
      </c>
      <c r="AU2059" s="108" t="str">
        <f t="shared" si="910"/>
        <v/>
      </c>
      <c r="AV2059" s="107" t="str">
        <f>IF(ISNUMBER(O2059),IF(VLOOKUP($A2059,Stand!C:J,8,FALSE)="Short",AT2059,AU2059),"")</f>
        <v/>
      </c>
      <c r="AW2059" s="109" t="str">
        <f t="shared" si="916"/>
        <v/>
      </c>
      <c r="AX2059" s="109" t="str">
        <f t="shared" si="917"/>
        <v/>
      </c>
      <c r="AY2059" s="112" t="str">
        <f>IF(ISNUMBER(O2059),IF(AND(VLOOKUP($D2059,Merchantability!$B:$C,2,0)="Yes",$E2059&gt;=VLOOKUP($D2059,Merchantability!$B:$D,3,0),$E2059&lt;=VLOOKUP($D2059,Merchantability!$B:$E,4,0)),(AV2059*O2059)*(1-$H2059/100),""),"")</f>
        <v/>
      </c>
      <c r="AZ2059" s="116"/>
      <c r="BA2059" s="116"/>
      <c r="BB2059" s="116"/>
      <c r="BE2059" s="62"/>
      <c r="BF2059" s="63"/>
    </row>
    <row r="2060" spans="1:58" ht="12.75" customHeight="1" x14ac:dyDescent="0.25">
      <c r="A2060" s="334"/>
      <c r="B2060" s="334"/>
      <c r="C2060" s="332"/>
      <c r="D2060" s="334"/>
      <c r="E2060" s="335"/>
      <c r="F2060" s="334"/>
      <c r="G2060" s="332"/>
      <c r="H2060" s="332"/>
      <c r="I2060" s="334"/>
      <c r="J2060" s="336"/>
      <c r="K2060" s="332"/>
      <c r="L2060" s="332"/>
      <c r="M2060" s="76"/>
      <c r="N2060" s="103" t="str">
        <f>IF(A2060="","",VLOOKUP(A2060,Stand!C:K,9,0))</f>
        <v/>
      </c>
      <c r="O2060" s="104" t="str">
        <f t="shared" si="902"/>
        <v/>
      </c>
      <c r="P2060" s="105" t="str">
        <f t="shared" si="903"/>
        <v/>
      </c>
      <c r="Q2060" s="105" t="str">
        <f t="shared" si="891"/>
        <v/>
      </c>
      <c r="R2060" s="103" t="str">
        <f t="shared" si="904"/>
        <v/>
      </c>
      <c r="S2060" s="103" t="str">
        <f t="shared" si="905"/>
        <v/>
      </c>
      <c r="T2060" s="106" t="str">
        <f t="shared" si="892"/>
        <v/>
      </c>
      <c r="U2060" s="106" t="str">
        <f t="shared" si="893"/>
        <v/>
      </c>
      <c r="V2060" s="106" t="str">
        <f t="shared" si="894"/>
        <v/>
      </c>
      <c r="W2060" s="105" t="str">
        <f t="shared" si="906"/>
        <v/>
      </c>
      <c r="X2060" s="104" t="str">
        <f t="shared" si="911"/>
        <v/>
      </c>
      <c r="Y2060" s="104" t="str">
        <f t="array" ref="Y2060">IFERROR(IF(ISNUMBER(O2060),IF(COUNT(IF(A2060=$A$2:$A$2427,IF(D2060=$D$2:$D$2427,IF($X$2:$X$2427&gt;0,1))))&gt;0,SUM(IF(A2060=$A$2:$A$2427,IF(D2060=$D$2:$D$2427,$X$2:$X$2427)))/COUNT(IF(A2060=$A$2:$A$2427,IF(D2060=$D$2:$D$2427,IF(ISNUMBER($X$2:$X$2427),1)))),0),""),0)</f>
        <v/>
      </c>
      <c r="Z2060" s="104" t="str">
        <f>IF(ISNUMBER(O2060),IF(I2060&gt;0,(10^(VLOOKUP(D2060,'Species Codes'!B:C,2,0)+VLOOKUP(D2060,'Species Codes'!B:D,3,0)*LOG(E2060)+VLOOKUP(D2060,'Species Codes'!B:E,4,0)*LOG(I2060))),0),"")</f>
        <v/>
      </c>
      <c r="AA2060" s="104" t="str">
        <f>IFERROR((VLOOKUP(D2060,'Species Codes'!B:G,6,0)*Z2060)/2000,"")</f>
        <v/>
      </c>
      <c r="AB2060" s="104" t="e">
        <f>IF(Z2060&gt;0,((IF(OR(D2060="DF",D2060="RA")=TRUE,EXP(VLOOKUP(D2060,'Species Codes'!B:I,8,0)+VLOOKUP(D2060,'Species Codes'!B:J,9,0)*(LN((E2060*2.54)))),IF(OR(D2060="PY",D2060="RC",D2060="WH",D2060="NF")=TRUE,VLOOKUP(D2060,'Species Codes'!B:I,8,0)+VLOOKUP(D2060,'Species Codes'!B:J,9,0)*((E2060*2.54)^2)*(I2060*0.3048),IF(OR(D2060="MD",D2060="BM",D2060="GA")=TRUE,((VLOOKUP(D2060,'Species Codes'!B:I,8,0)*(((((E2060*2.54)+VLOOKUP(D2060,'Species Codes'!B:J,9,0))/VLOOKUP(D2060,'Species Codes'!B:K,10,0))^VLOOKUP(D2060,'Species Codes'!B:L,11,0))*((I2060*0.3048)^VLOOKUP(D2060,'Species Codes'!B:M,12,0))))-(VLOOKUP(D2060,'Species Codes'!B:I,8,0)*((((E2060*2.54)^VLOOKUP(D2060,'Species Codes'!B:L,11,0))*((I2060*0.3048)^VLOOKUP(D2060,'Species Codes'!B:M,12,0))))))*35.3*VLOOKUP(D2060,'Species Codes'!B:G,6,0)/2.2046,VLOOKUP(D2060,'Species Codes'!B:I,8,0)+VLOOKUP(D2060,'Species Codes'!B:J,9,0)*(((E2060*2.54)/100)^2)*(I2060*0.3048)))))*0.0011023),0)</f>
        <v>#N/A</v>
      </c>
      <c r="AC2060" s="104" t="e">
        <f>IF(Z2060&gt;0,((IF(OR(D2060="RA",D2060="OA",D2060="OT",D2060="UN",D2060="PC"),EXP(VLOOKUP(D2060,'Species Codes'!B:O,14,0)+VLOOKUP(D2060,'Species Codes'!B:P,15,0)*LN((E2060*2.54)))-EXP(VLOOKUP(D2060,'Species Codes'!B:O,14,0)+VLOOKUP(D2060,'Species Codes'!B:P,15,0)*LN((E2060*2.54)))*(1/(VLOOKUP(D2060,'Species Codes'!B:Q,16,0)+VLOOKUP(D2060,'Species Codes'!B:R,17,0)*((E2060*2.54)^VLOOKUP(D2060,'Species Codes'!B:S,18,0)))),IF(OR(D2060="BM",D2060="MD",D2060="OA"),EXP(VLOOKUP(D2060,'Species Codes'!B:O,14,0)+VLOOKUP(D2060,'Species Codes'!B:P,15,0)*LN((E2060*2.54)))*(1-(1/(VLOOKUP(D2060,'Species Codes'!B:Q,16,0)+VLOOKUP(D2060,'Species Codes'!B:R,17,0)*((E2060*2.54)^VLOOKUP(D2060,'Species Codes'!B:S,18,0)))))/1000,IF(D2060="DF",EXP(VLOOKUP(D2060,'Species Codes'!B:O,14,0)+VLOOKUP(D2060,'Species Codes'!B:P,15,0)*LN((E2060*2.54))),VLOOKUP(D2060,'Species Codes'!B:O,14,0)+VLOOKUP(D2060,'Species Codes'!B:P,15,0)*(((E2060*2.54)/100)^2)*(I2060*0.3048)))))*0.0011023),0)</f>
        <v>#N/A</v>
      </c>
      <c r="AD2060" s="104" t="e">
        <f t="shared" si="895"/>
        <v>#N/A</v>
      </c>
      <c r="AE2060" s="104" t="e">
        <f t="shared" si="896"/>
        <v>#N/A</v>
      </c>
      <c r="AF2060" s="104" t="e">
        <f>IF(AND(VLOOKUP($D2060,Merchantability!$B:$C,2,0)="Yes",$E2060&gt;=VLOOKUP($D2060,Merchantability!$B:$D,3,0),$E2060&lt;=VLOOKUP($D2060,Merchantability!$B:$E,4,0)),AA2060,0)</f>
        <v>#N/A</v>
      </c>
      <c r="AG2060" s="104" t="e">
        <f>IF(AND(VLOOKUP($D2060,Merchantability!$B:$C,2,0)="Yes",$E2060&gt;=VLOOKUP($D2060,Merchantability!$B:$D,3,0),$E2060&lt;=VLOOKUP($D2060,Merchantability!$B:$E,4,0)),AB2060,0)</f>
        <v>#N/A</v>
      </c>
      <c r="AH2060" s="104" t="e">
        <f>IF(AND(VLOOKUP($D2060,Merchantability!$B:$C,2,0)="Yes",$E2060&gt;=VLOOKUP($D2060,Merchantability!$B:$D,3,0),$E2060&lt;=VLOOKUP($D2060,Merchantability!$B:$E,4,0)),AC2060,0)</f>
        <v>#N/A</v>
      </c>
      <c r="AI2060" s="104" t="e">
        <f t="shared" si="897"/>
        <v>#N/A</v>
      </c>
      <c r="AJ2060" s="104" t="e">
        <f t="shared" si="898"/>
        <v>#VALUE!</v>
      </c>
      <c r="AK2060" s="104" t="e">
        <f t="shared" si="899"/>
        <v>#N/A</v>
      </c>
      <c r="AL2060" s="104" t="e">
        <f t="shared" si="900"/>
        <v>#N/A</v>
      </c>
      <c r="AM2060" s="104" t="e">
        <f t="shared" si="901"/>
        <v>#N/A</v>
      </c>
      <c r="AN2060" s="104" t="e">
        <f t="shared" si="912"/>
        <v>#N/A</v>
      </c>
      <c r="AO2060" s="104" t="e">
        <f t="shared" si="913"/>
        <v>#N/A</v>
      </c>
      <c r="AP2060" s="104" t="e">
        <f t="shared" si="914"/>
        <v>#N/A</v>
      </c>
      <c r="AQ2060" s="104" t="e">
        <f t="shared" si="915"/>
        <v>#N/A</v>
      </c>
      <c r="AR2060" s="105" t="str">
        <f t="shared" si="907"/>
        <v/>
      </c>
      <c r="AS2060" s="105" t="str">
        <f t="shared" si="908"/>
        <v/>
      </c>
      <c r="AT2060" s="108" t="str">
        <f t="shared" si="909"/>
        <v/>
      </c>
      <c r="AU2060" s="108" t="str">
        <f t="shared" si="910"/>
        <v/>
      </c>
      <c r="AV2060" s="107" t="str">
        <f>IF(ISNUMBER(O2060),IF(VLOOKUP($A2060,Stand!C:J,8,FALSE)="Short",AT2060,AU2060),"")</f>
        <v/>
      </c>
      <c r="AW2060" s="109" t="str">
        <f t="shared" si="916"/>
        <v/>
      </c>
      <c r="AX2060" s="109" t="str">
        <f t="shared" si="917"/>
        <v/>
      </c>
      <c r="AY2060" s="112" t="str">
        <f>IF(ISNUMBER(O2060),IF(AND(VLOOKUP($D2060,Merchantability!$B:$C,2,0)="Yes",$E2060&gt;=VLOOKUP($D2060,Merchantability!$B:$D,3,0),$E2060&lt;=VLOOKUP($D2060,Merchantability!$B:$E,4,0)),(AV2060*O2060)*(1-$H2060/100),""),"")</f>
        <v/>
      </c>
      <c r="AZ2060" s="116"/>
      <c r="BA2060" s="116"/>
      <c r="BB2060" s="116"/>
      <c r="BE2060" s="62"/>
      <c r="BF2060" s="63"/>
    </row>
    <row r="2061" spans="1:58" ht="12.75" customHeight="1" x14ac:dyDescent="0.25">
      <c r="A2061" s="334"/>
      <c r="B2061" s="334"/>
      <c r="C2061" s="332"/>
      <c r="D2061" s="334"/>
      <c r="E2061" s="335"/>
      <c r="F2061" s="334"/>
      <c r="G2061" s="332"/>
      <c r="H2061" s="332"/>
      <c r="I2061" s="334"/>
      <c r="J2061" s="336"/>
      <c r="K2061" s="332"/>
      <c r="L2061" s="332"/>
      <c r="M2061" s="76"/>
      <c r="N2061" s="103" t="str">
        <f>IF(A2061="","",VLOOKUP(A2061,Stand!C:K,9,0))</f>
        <v/>
      </c>
      <c r="O2061" s="104" t="str">
        <f t="shared" si="902"/>
        <v/>
      </c>
      <c r="P2061" s="105" t="str">
        <f t="shared" si="903"/>
        <v/>
      </c>
      <c r="Q2061" s="105" t="str">
        <f t="shared" si="891"/>
        <v/>
      </c>
      <c r="R2061" s="103" t="str">
        <f t="shared" si="904"/>
        <v/>
      </c>
      <c r="S2061" s="103" t="str">
        <f t="shared" si="905"/>
        <v/>
      </c>
      <c r="T2061" s="106" t="str">
        <f t="shared" si="892"/>
        <v/>
      </c>
      <c r="U2061" s="106" t="str">
        <f t="shared" si="893"/>
        <v/>
      </c>
      <c r="V2061" s="106" t="str">
        <f t="shared" si="894"/>
        <v/>
      </c>
      <c r="W2061" s="105" t="str">
        <f t="shared" si="906"/>
        <v/>
      </c>
      <c r="X2061" s="104" t="str">
        <f t="shared" si="911"/>
        <v/>
      </c>
      <c r="Y2061" s="104" t="str">
        <f t="array" ref="Y2061">IFERROR(IF(ISNUMBER(O2061),IF(COUNT(IF(A2061=$A$2:$A$2427,IF(D2061=$D$2:$D$2427,IF($X$2:$X$2427&gt;0,1))))&gt;0,SUM(IF(A2061=$A$2:$A$2427,IF(D2061=$D$2:$D$2427,$X$2:$X$2427)))/COUNT(IF(A2061=$A$2:$A$2427,IF(D2061=$D$2:$D$2427,IF(ISNUMBER($X$2:$X$2427),1)))),0),""),0)</f>
        <v/>
      </c>
      <c r="Z2061" s="104" t="str">
        <f>IF(ISNUMBER(O2061),IF(I2061&gt;0,(10^(VLOOKUP(D2061,'Species Codes'!B:C,2,0)+VLOOKUP(D2061,'Species Codes'!B:D,3,0)*LOG(E2061)+VLOOKUP(D2061,'Species Codes'!B:E,4,0)*LOG(I2061))),0),"")</f>
        <v/>
      </c>
      <c r="AA2061" s="104" t="str">
        <f>IFERROR((VLOOKUP(D2061,'Species Codes'!B:G,6,0)*Z2061)/2000,"")</f>
        <v/>
      </c>
      <c r="AB2061" s="104" t="e">
        <f>IF(Z2061&gt;0,((IF(OR(D2061="DF",D2061="RA")=TRUE,EXP(VLOOKUP(D2061,'Species Codes'!B:I,8,0)+VLOOKUP(D2061,'Species Codes'!B:J,9,0)*(LN((E2061*2.54)))),IF(OR(D2061="PY",D2061="RC",D2061="WH",D2061="NF")=TRUE,VLOOKUP(D2061,'Species Codes'!B:I,8,0)+VLOOKUP(D2061,'Species Codes'!B:J,9,0)*((E2061*2.54)^2)*(I2061*0.3048),IF(OR(D2061="MD",D2061="BM",D2061="GA")=TRUE,((VLOOKUP(D2061,'Species Codes'!B:I,8,0)*(((((E2061*2.54)+VLOOKUP(D2061,'Species Codes'!B:J,9,0))/VLOOKUP(D2061,'Species Codes'!B:K,10,0))^VLOOKUP(D2061,'Species Codes'!B:L,11,0))*((I2061*0.3048)^VLOOKUP(D2061,'Species Codes'!B:M,12,0))))-(VLOOKUP(D2061,'Species Codes'!B:I,8,0)*((((E2061*2.54)^VLOOKUP(D2061,'Species Codes'!B:L,11,0))*((I2061*0.3048)^VLOOKUP(D2061,'Species Codes'!B:M,12,0))))))*35.3*VLOOKUP(D2061,'Species Codes'!B:G,6,0)/2.2046,VLOOKUP(D2061,'Species Codes'!B:I,8,0)+VLOOKUP(D2061,'Species Codes'!B:J,9,0)*(((E2061*2.54)/100)^2)*(I2061*0.3048)))))*0.0011023),0)</f>
        <v>#N/A</v>
      </c>
      <c r="AC2061" s="104" t="e">
        <f>IF(Z2061&gt;0,((IF(OR(D2061="RA",D2061="OA",D2061="OT",D2061="UN",D2061="PC"),EXP(VLOOKUP(D2061,'Species Codes'!B:O,14,0)+VLOOKUP(D2061,'Species Codes'!B:P,15,0)*LN((E2061*2.54)))-EXP(VLOOKUP(D2061,'Species Codes'!B:O,14,0)+VLOOKUP(D2061,'Species Codes'!B:P,15,0)*LN((E2061*2.54)))*(1/(VLOOKUP(D2061,'Species Codes'!B:Q,16,0)+VLOOKUP(D2061,'Species Codes'!B:R,17,0)*((E2061*2.54)^VLOOKUP(D2061,'Species Codes'!B:S,18,0)))),IF(OR(D2061="BM",D2061="MD",D2061="OA"),EXP(VLOOKUP(D2061,'Species Codes'!B:O,14,0)+VLOOKUP(D2061,'Species Codes'!B:P,15,0)*LN((E2061*2.54)))*(1-(1/(VLOOKUP(D2061,'Species Codes'!B:Q,16,0)+VLOOKUP(D2061,'Species Codes'!B:R,17,0)*((E2061*2.54)^VLOOKUP(D2061,'Species Codes'!B:S,18,0)))))/1000,IF(D2061="DF",EXP(VLOOKUP(D2061,'Species Codes'!B:O,14,0)+VLOOKUP(D2061,'Species Codes'!B:P,15,0)*LN((E2061*2.54))),VLOOKUP(D2061,'Species Codes'!B:O,14,0)+VLOOKUP(D2061,'Species Codes'!B:P,15,0)*(((E2061*2.54)/100)^2)*(I2061*0.3048)))))*0.0011023),0)</f>
        <v>#N/A</v>
      </c>
      <c r="AD2061" s="104" t="e">
        <f t="shared" si="895"/>
        <v>#N/A</v>
      </c>
      <c r="AE2061" s="104" t="e">
        <f t="shared" si="896"/>
        <v>#N/A</v>
      </c>
      <c r="AF2061" s="104" t="e">
        <f>IF(AND(VLOOKUP($D2061,Merchantability!$B:$C,2,0)="Yes",$E2061&gt;=VLOOKUP($D2061,Merchantability!$B:$D,3,0),$E2061&lt;=VLOOKUP($D2061,Merchantability!$B:$E,4,0)),AA2061,0)</f>
        <v>#N/A</v>
      </c>
      <c r="AG2061" s="104" t="e">
        <f>IF(AND(VLOOKUP($D2061,Merchantability!$B:$C,2,0)="Yes",$E2061&gt;=VLOOKUP($D2061,Merchantability!$B:$D,3,0),$E2061&lt;=VLOOKUP($D2061,Merchantability!$B:$E,4,0)),AB2061,0)</f>
        <v>#N/A</v>
      </c>
      <c r="AH2061" s="104" t="e">
        <f>IF(AND(VLOOKUP($D2061,Merchantability!$B:$C,2,0)="Yes",$E2061&gt;=VLOOKUP($D2061,Merchantability!$B:$D,3,0),$E2061&lt;=VLOOKUP($D2061,Merchantability!$B:$E,4,0)),AC2061,0)</f>
        <v>#N/A</v>
      </c>
      <c r="AI2061" s="104" t="e">
        <f t="shared" si="897"/>
        <v>#N/A</v>
      </c>
      <c r="AJ2061" s="104" t="e">
        <f t="shared" si="898"/>
        <v>#VALUE!</v>
      </c>
      <c r="AK2061" s="104" t="e">
        <f t="shared" si="899"/>
        <v>#N/A</v>
      </c>
      <c r="AL2061" s="104" t="e">
        <f t="shared" si="900"/>
        <v>#N/A</v>
      </c>
      <c r="AM2061" s="104" t="e">
        <f t="shared" si="901"/>
        <v>#N/A</v>
      </c>
      <c r="AN2061" s="104" t="e">
        <f t="shared" si="912"/>
        <v>#N/A</v>
      </c>
      <c r="AO2061" s="104" t="e">
        <f t="shared" si="913"/>
        <v>#N/A</v>
      </c>
      <c r="AP2061" s="104" t="e">
        <f t="shared" si="914"/>
        <v>#N/A</v>
      </c>
      <c r="AQ2061" s="104" t="e">
        <f t="shared" si="915"/>
        <v>#N/A</v>
      </c>
      <c r="AR2061" s="105" t="str">
        <f t="shared" si="907"/>
        <v/>
      </c>
      <c r="AS2061" s="105" t="str">
        <f t="shared" si="908"/>
        <v/>
      </c>
      <c r="AT2061" s="108" t="str">
        <f t="shared" si="909"/>
        <v/>
      </c>
      <c r="AU2061" s="108" t="str">
        <f t="shared" si="910"/>
        <v/>
      </c>
      <c r="AV2061" s="107" t="str">
        <f>IF(ISNUMBER(O2061),IF(VLOOKUP($A2061,Stand!C:J,8,FALSE)="Short",AT2061,AU2061),"")</f>
        <v/>
      </c>
      <c r="AW2061" s="109" t="str">
        <f t="shared" si="916"/>
        <v/>
      </c>
      <c r="AX2061" s="109" t="str">
        <f t="shared" si="917"/>
        <v/>
      </c>
      <c r="AY2061" s="112" t="str">
        <f>IF(ISNUMBER(O2061),IF(AND(VLOOKUP($D2061,Merchantability!$B:$C,2,0)="Yes",$E2061&gt;=VLOOKUP($D2061,Merchantability!$B:$D,3,0),$E2061&lt;=VLOOKUP($D2061,Merchantability!$B:$E,4,0)),(AV2061*O2061)*(1-$H2061/100),""),"")</f>
        <v/>
      </c>
      <c r="AZ2061" s="116"/>
      <c r="BA2061" s="116"/>
      <c r="BB2061" s="116"/>
      <c r="BE2061" s="62"/>
      <c r="BF2061" s="63"/>
    </row>
    <row r="2062" spans="1:58" ht="12.75" customHeight="1" x14ac:dyDescent="0.25">
      <c r="A2062" s="334"/>
      <c r="B2062" s="334"/>
      <c r="C2062" s="332"/>
      <c r="D2062" s="334"/>
      <c r="E2062" s="335"/>
      <c r="F2062" s="334"/>
      <c r="G2062" s="332"/>
      <c r="H2062" s="332"/>
      <c r="I2062" s="334"/>
      <c r="J2062" s="336"/>
      <c r="K2062" s="332"/>
      <c r="L2062" s="332"/>
      <c r="M2062" s="76"/>
      <c r="N2062" s="103" t="str">
        <f>IF(A2062="","",VLOOKUP(A2062,Stand!C:K,9,0))</f>
        <v/>
      </c>
      <c r="O2062" s="104" t="str">
        <f t="shared" si="902"/>
        <v/>
      </c>
      <c r="P2062" s="105" t="str">
        <f t="shared" si="903"/>
        <v/>
      </c>
      <c r="Q2062" s="105" t="str">
        <f t="shared" si="891"/>
        <v/>
      </c>
      <c r="R2062" s="103" t="str">
        <f t="shared" si="904"/>
        <v/>
      </c>
      <c r="S2062" s="103" t="str">
        <f t="shared" si="905"/>
        <v/>
      </c>
      <c r="T2062" s="106" t="str">
        <f t="shared" si="892"/>
        <v/>
      </c>
      <c r="U2062" s="106" t="str">
        <f t="shared" si="893"/>
        <v/>
      </c>
      <c r="V2062" s="106" t="str">
        <f t="shared" si="894"/>
        <v/>
      </c>
      <c r="W2062" s="105" t="str">
        <f t="shared" si="906"/>
        <v/>
      </c>
      <c r="X2062" s="104" t="str">
        <f t="shared" si="911"/>
        <v/>
      </c>
      <c r="Y2062" s="104" t="str">
        <f t="array" ref="Y2062">IFERROR(IF(ISNUMBER(O2062),IF(COUNT(IF(A2062=$A$2:$A$2427,IF(D2062=$D$2:$D$2427,IF($X$2:$X$2427&gt;0,1))))&gt;0,SUM(IF(A2062=$A$2:$A$2427,IF(D2062=$D$2:$D$2427,$X$2:$X$2427)))/COUNT(IF(A2062=$A$2:$A$2427,IF(D2062=$D$2:$D$2427,IF(ISNUMBER($X$2:$X$2427),1)))),0),""),0)</f>
        <v/>
      </c>
      <c r="Z2062" s="104" t="str">
        <f>IF(ISNUMBER(O2062),IF(I2062&gt;0,(10^(VLOOKUP(D2062,'Species Codes'!B:C,2,0)+VLOOKUP(D2062,'Species Codes'!B:D,3,0)*LOG(E2062)+VLOOKUP(D2062,'Species Codes'!B:E,4,0)*LOG(I2062))),0),"")</f>
        <v/>
      </c>
      <c r="AA2062" s="104" t="str">
        <f>IFERROR((VLOOKUP(D2062,'Species Codes'!B:G,6,0)*Z2062)/2000,"")</f>
        <v/>
      </c>
      <c r="AB2062" s="104" t="e">
        <f>IF(Z2062&gt;0,((IF(OR(D2062="DF",D2062="RA")=TRUE,EXP(VLOOKUP(D2062,'Species Codes'!B:I,8,0)+VLOOKUP(D2062,'Species Codes'!B:J,9,0)*(LN((E2062*2.54)))),IF(OR(D2062="PY",D2062="RC",D2062="WH",D2062="NF")=TRUE,VLOOKUP(D2062,'Species Codes'!B:I,8,0)+VLOOKUP(D2062,'Species Codes'!B:J,9,0)*((E2062*2.54)^2)*(I2062*0.3048),IF(OR(D2062="MD",D2062="BM",D2062="GA")=TRUE,((VLOOKUP(D2062,'Species Codes'!B:I,8,0)*(((((E2062*2.54)+VLOOKUP(D2062,'Species Codes'!B:J,9,0))/VLOOKUP(D2062,'Species Codes'!B:K,10,0))^VLOOKUP(D2062,'Species Codes'!B:L,11,0))*((I2062*0.3048)^VLOOKUP(D2062,'Species Codes'!B:M,12,0))))-(VLOOKUP(D2062,'Species Codes'!B:I,8,0)*((((E2062*2.54)^VLOOKUP(D2062,'Species Codes'!B:L,11,0))*((I2062*0.3048)^VLOOKUP(D2062,'Species Codes'!B:M,12,0))))))*35.3*VLOOKUP(D2062,'Species Codes'!B:G,6,0)/2.2046,VLOOKUP(D2062,'Species Codes'!B:I,8,0)+VLOOKUP(D2062,'Species Codes'!B:J,9,0)*(((E2062*2.54)/100)^2)*(I2062*0.3048)))))*0.0011023),0)</f>
        <v>#N/A</v>
      </c>
      <c r="AC2062" s="104" t="e">
        <f>IF(Z2062&gt;0,((IF(OR(D2062="RA",D2062="OA",D2062="OT",D2062="UN",D2062="PC"),EXP(VLOOKUP(D2062,'Species Codes'!B:O,14,0)+VLOOKUP(D2062,'Species Codes'!B:P,15,0)*LN((E2062*2.54)))-EXP(VLOOKUP(D2062,'Species Codes'!B:O,14,0)+VLOOKUP(D2062,'Species Codes'!B:P,15,0)*LN((E2062*2.54)))*(1/(VLOOKUP(D2062,'Species Codes'!B:Q,16,0)+VLOOKUP(D2062,'Species Codes'!B:R,17,0)*((E2062*2.54)^VLOOKUP(D2062,'Species Codes'!B:S,18,0)))),IF(OR(D2062="BM",D2062="MD",D2062="OA"),EXP(VLOOKUP(D2062,'Species Codes'!B:O,14,0)+VLOOKUP(D2062,'Species Codes'!B:P,15,0)*LN((E2062*2.54)))*(1-(1/(VLOOKUP(D2062,'Species Codes'!B:Q,16,0)+VLOOKUP(D2062,'Species Codes'!B:R,17,0)*((E2062*2.54)^VLOOKUP(D2062,'Species Codes'!B:S,18,0)))))/1000,IF(D2062="DF",EXP(VLOOKUP(D2062,'Species Codes'!B:O,14,0)+VLOOKUP(D2062,'Species Codes'!B:P,15,0)*LN((E2062*2.54))),VLOOKUP(D2062,'Species Codes'!B:O,14,0)+VLOOKUP(D2062,'Species Codes'!B:P,15,0)*(((E2062*2.54)/100)^2)*(I2062*0.3048)))))*0.0011023),0)</f>
        <v>#N/A</v>
      </c>
      <c r="AD2062" s="104" t="e">
        <f t="shared" si="895"/>
        <v>#N/A</v>
      </c>
      <c r="AE2062" s="104" t="e">
        <f t="shared" si="896"/>
        <v>#N/A</v>
      </c>
      <c r="AF2062" s="104" t="e">
        <f>IF(AND(VLOOKUP($D2062,Merchantability!$B:$C,2,0)="Yes",$E2062&gt;=VLOOKUP($D2062,Merchantability!$B:$D,3,0),$E2062&lt;=VLOOKUP($D2062,Merchantability!$B:$E,4,0)),AA2062,0)</f>
        <v>#N/A</v>
      </c>
      <c r="AG2062" s="104" t="e">
        <f>IF(AND(VLOOKUP($D2062,Merchantability!$B:$C,2,0)="Yes",$E2062&gt;=VLOOKUP($D2062,Merchantability!$B:$D,3,0),$E2062&lt;=VLOOKUP($D2062,Merchantability!$B:$E,4,0)),AB2062,0)</f>
        <v>#N/A</v>
      </c>
      <c r="AH2062" s="104" t="e">
        <f>IF(AND(VLOOKUP($D2062,Merchantability!$B:$C,2,0)="Yes",$E2062&gt;=VLOOKUP($D2062,Merchantability!$B:$D,3,0),$E2062&lt;=VLOOKUP($D2062,Merchantability!$B:$E,4,0)),AC2062,0)</f>
        <v>#N/A</v>
      </c>
      <c r="AI2062" s="104" t="e">
        <f t="shared" si="897"/>
        <v>#N/A</v>
      </c>
      <c r="AJ2062" s="104" t="e">
        <f t="shared" si="898"/>
        <v>#VALUE!</v>
      </c>
      <c r="AK2062" s="104" t="e">
        <f t="shared" si="899"/>
        <v>#N/A</v>
      </c>
      <c r="AL2062" s="104" t="e">
        <f t="shared" si="900"/>
        <v>#N/A</v>
      </c>
      <c r="AM2062" s="104" t="e">
        <f t="shared" si="901"/>
        <v>#N/A</v>
      </c>
      <c r="AN2062" s="104" t="e">
        <f t="shared" si="912"/>
        <v>#N/A</v>
      </c>
      <c r="AO2062" s="104" t="e">
        <f t="shared" si="913"/>
        <v>#N/A</v>
      </c>
      <c r="AP2062" s="104" t="e">
        <f t="shared" si="914"/>
        <v>#N/A</v>
      </c>
      <c r="AQ2062" s="104" t="e">
        <f t="shared" si="915"/>
        <v>#N/A</v>
      </c>
      <c r="AR2062" s="105" t="str">
        <f t="shared" si="907"/>
        <v/>
      </c>
      <c r="AS2062" s="105" t="str">
        <f t="shared" si="908"/>
        <v/>
      </c>
      <c r="AT2062" s="108" t="str">
        <f t="shared" si="909"/>
        <v/>
      </c>
      <c r="AU2062" s="108" t="str">
        <f t="shared" si="910"/>
        <v/>
      </c>
      <c r="AV2062" s="107" t="str">
        <f>IF(ISNUMBER(O2062),IF(VLOOKUP($A2062,Stand!C:J,8,FALSE)="Short",AT2062,AU2062),"")</f>
        <v/>
      </c>
      <c r="AW2062" s="109" t="str">
        <f t="shared" si="916"/>
        <v/>
      </c>
      <c r="AX2062" s="109" t="str">
        <f t="shared" si="917"/>
        <v/>
      </c>
      <c r="AY2062" s="112" t="str">
        <f>IF(ISNUMBER(O2062),IF(AND(VLOOKUP($D2062,Merchantability!$B:$C,2,0)="Yes",$E2062&gt;=VLOOKUP($D2062,Merchantability!$B:$D,3,0),$E2062&lt;=VLOOKUP($D2062,Merchantability!$B:$E,4,0)),(AV2062*O2062)*(1-$H2062/100),""),"")</f>
        <v/>
      </c>
      <c r="AZ2062" s="116"/>
      <c r="BA2062" s="116"/>
      <c r="BB2062" s="116"/>
      <c r="BE2062" s="62"/>
      <c r="BF2062" s="63"/>
    </row>
    <row r="2063" spans="1:58" ht="12.75" customHeight="1" x14ac:dyDescent="0.25">
      <c r="A2063" s="334"/>
      <c r="B2063" s="334"/>
      <c r="C2063" s="332"/>
      <c r="D2063" s="334"/>
      <c r="E2063" s="335"/>
      <c r="F2063" s="334"/>
      <c r="G2063" s="332"/>
      <c r="H2063" s="332"/>
      <c r="I2063" s="334"/>
      <c r="J2063" s="336"/>
      <c r="K2063" s="332"/>
      <c r="L2063" s="332"/>
      <c r="M2063" s="76"/>
      <c r="N2063" s="103" t="str">
        <f>IF(A2063="","",VLOOKUP(A2063,Stand!C:K,9,0))</f>
        <v/>
      </c>
      <c r="O2063" s="104" t="str">
        <f t="shared" si="902"/>
        <v/>
      </c>
      <c r="P2063" s="105" t="str">
        <f t="shared" si="903"/>
        <v/>
      </c>
      <c r="Q2063" s="105" t="str">
        <f t="shared" si="891"/>
        <v/>
      </c>
      <c r="R2063" s="103" t="str">
        <f t="shared" si="904"/>
        <v/>
      </c>
      <c r="S2063" s="103" t="str">
        <f t="shared" si="905"/>
        <v/>
      </c>
      <c r="T2063" s="106" t="str">
        <f t="shared" si="892"/>
        <v/>
      </c>
      <c r="U2063" s="106" t="str">
        <f t="shared" si="893"/>
        <v/>
      </c>
      <c r="V2063" s="106" t="str">
        <f t="shared" si="894"/>
        <v/>
      </c>
      <c r="W2063" s="105" t="str">
        <f t="shared" si="906"/>
        <v/>
      </c>
      <c r="X2063" s="104" t="str">
        <f t="shared" si="911"/>
        <v/>
      </c>
      <c r="Y2063" s="104" t="str">
        <f t="array" ref="Y2063">IFERROR(IF(ISNUMBER(O2063),IF(COUNT(IF(A2063=$A$2:$A$2427,IF(D2063=$D$2:$D$2427,IF($X$2:$X$2427&gt;0,1))))&gt;0,SUM(IF(A2063=$A$2:$A$2427,IF(D2063=$D$2:$D$2427,$X$2:$X$2427)))/COUNT(IF(A2063=$A$2:$A$2427,IF(D2063=$D$2:$D$2427,IF(ISNUMBER($X$2:$X$2427),1)))),0),""),0)</f>
        <v/>
      </c>
      <c r="Z2063" s="104" t="str">
        <f>IF(ISNUMBER(O2063),IF(I2063&gt;0,(10^(VLOOKUP(D2063,'Species Codes'!B:C,2,0)+VLOOKUP(D2063,'Species Codes'!B:D,3,0)*LOG(E2063)+VLOOKUP(D2063,'Species Codes'!B:E,4,0)*LOG(I2063))),0),"")</f>
        <v/>
      </c>
      <c r="AA2063" s="104" t="str">
        <f>IFERROR((VLOOKUP(D2063,'Species Codes'!B:G,6,0)*Z2063)/2000,"")</f>
        <v/>
      </c>
      <c r="AB2063" s="104" t="e">
        <f>IF(Z2063&gt;0,((IF(OR(D2063="DF",D2063="RA")=TRUE,EXP(VLOOKUP(D2063,'Species Codes'!B:I,8,0)+VLOOKUP(D2063,'Species Codes'!B:J,9,0)*(LN((E2063*2.54)))),IF(OR(D2063="PY",D2063="RC",D2063="WH",D2063="NF")=TRUE,VLOOKUP(D2063,'Species Codes'!B:I,8,0)+VLOOKUP(D2063,'Species Codes'!B:J,9,0)*((E2063*2.54)^2)*(I2063*0.3048),IF(OR(D2063="MD",D2063="BM",D2063="GA")=TRUE,((VLOOKUP(D2063,'Species Codes'!B:I,8,0)*(((((E2063*2.54)+VLOOKUP(D2063,'Species Codes'!B:J,9,0))/VLOOKUP(D2063,'Species Codes'!B:K,10,0))^VLOOKUP(D2063,'Species Codes'!B:L,11,0))*((I2063*0.3048)^VLOOKUP(D2063,'Species Codes'!B:M,12,0))))-(VLOOKUP(D2063,'Species Codes'!B:I,8,0)*((((E2063*2.54)^VLOOKUP(D2063,'Species Codes'!B:L,11,0))*((I2063*0.3048)^VLOOKUP(D2063,'Species Codes'!B:M,12,0))))))*35.3*VLOOKUP(D2063,'Species Codes'!B:G,6,0)/2.2046,VLOOKUP(D2063,'Species Codes'!B:I,8,0)+VLOOKUP(D2063,'Species Codes'!B:J,9,0)*(((E2063*2.54)/100)^2)*(I2063*0.3048)))))*0.0011023),0)</f>
        <v>#N/A</v>
      </c>
      <c r="AC2063" s="104" t="e">
        <f>IF(Z2063&gt;0,((IF(OR(D2063="RA",D2063="OA",D2063="OT",D2063="UN",D2063="PC"),EXP(VLOOKUP(D2063,'Species Codes'!B:O,14,0)+VLOOKUP(D2063,'Species Codes'!B:P,15,0)*LN((E2063*2.54)))-EXP(VLOOKUP(D2063,'Species Codes'!B:O,14,0)+VLOOKUP(D2063,'Species Codes'!B:P,15,0)*LN((E2063*2.54)))*(1/(VLOOKUP(D2063,'Species Codes'!B:Q,16,0)+VLOOKUP(D2063,'Species Codes'!B:R,17,0)*((E2063*2.54)^VLOOKUP(D2063,'Species Codes'!B:S,18,0)))),IF(OR(D2063="BM",D2063="MD",D2063="OA"),EXP(VLOOKUP(D2063,'Species Codes'!B:O,14,0)+VLOOKUP(D2063,'Species Codes'!B:P,15,0)*LN((E2063*2.54)))*(1-(1/(VLOOKUP(D2063,'Species Codes'!B:Q,16,0)+VLOOKUP(D2063,'Species Codes'!B:R,17,0)*((E2063*2.54)^VLOOKUP(D2063,'Species Codes'!B:S,18,0)))))/1000,IF(D2063="DF",EXP(VLOOKUP(D2063,'Species Codes'!B:O,14,0)+VLOOKUP(D2063,'Species Codes'!B:P,15,0)*LN((E2063*2.54))),VLOOKUP(D2063,'Species Codes'!B:O,14,0)+VLOOKUP(D2063,'Species Codes'!B:P,15,0)*(((E2063*2.54)/100)^2)*(I2063*0.3048)))))*0.0011023),0)</f>
        <v>#N/A</v>
      </c>
      <c r="AD2063" s="104" t="e">
        <f t="shared" si="895"/>
        <v>#N/A</v>
      </c>
      <c r="AE2063" s="104" t="e">
        <f t="shared" si="896"/>
        <v>#N/A</v>
      </c>
      <c r="AF2063" s="104" t="e">
        <f>IF(AND(VLOOKUP($D2063,Merchantability!$B:$C,2,0)="Yes",$E2063&gt;=VLOOKUP($D2063,Merchantability!$B:$D,3,0),$E2063&lt;=VLOOKUP($D2063,Merchantability!$B:$E,4,0)),AA2063,0)</f>
        <v>#N/A</v>
      </c>
      <c r="AG2063" s="104" t="e">
        <f>IF(AND(VLOOKUP($D2063,Merchantability!$B:$C,2,0)="Yes",$E2063&gt;=VLOOKUP($D2063,Merchantability!$B:$D,3,0),$E2063&lt;=VLOOKUP($D2063,Merchantability!$B:$E,4,0)),AB2063,0)</f>
        <v>#N/A</v>
      </c>
      <c r="AH2063" s="104" t="e">
        <f>IF(AND(VLOOKUP($D2063,Merchantability!$B:$C,2,0)="Yes",$E2063&gt;=VLOOKUP($D2063,Merchantability!$B:$D,3,0),$E2063&lt;=VLOOKUP($D2063,Merchantability!$B:$E,4,0)),AC2063,0)</f>
        <v>#N/A</v>
      </c>
      <c r="AI2063" s="104" t="e">
        <f t="shared" si="897"/>
        <v>#N/A</v>
      </c>
      <c r="AJ2063" s="104" t="e">
        <f t="shared" si="898"/>
        <v>#VALUE!</v>
      </c>
      <c r="AK2063" s="104" t="e">
        <f t="shared" si="899"/>
        <v>#N/A</v>
      </c>
      <c r="AL2063" s="104" t="e">
        <f t="shared" si="900"/>
        <v>#N/A</v>
      </c>
      <c r="AM2063" s="104" t="e">
        <f t="shared" si="901"/>
        <v>#N/A</v>
      </c>
      <c r="AN2063" s="104" t="e">
        <f t="shared" si="912"/>
        <v>#N/A</v>
      </c>
      <c r="AO2063" s="104" t="e">
        <f t="shared" si="913"/>
        <v>#N/A</v>
      </c>
      <c r="AP2063" s="104" t="e">
        <f t="shared" si="914"/>
        <v>#N/A</v>
      </c>
      <c r="AQ2063" s="104" t="e">
        <f t="shared" si="915"/>
        <v>#N/A</v>
      </c>
      <c r="AR2063" s="105" t="str">
        <f t="shared" si="907"/>
        <v/>
      </c>
      <c r="AS2063" s="105" t="str">
        <f t="shared" si="908"/>
        <v/>
      </c>
      <c r="AT2063" s="108" t="str">
        <f t="shared" si="909"/>
        <v/>
      </c>
      <c r="AU2063" s="108" t="str">
        <f t="shared" si="910"/>
        <v/>
      </c>
      <c r="AV2063" s="107" t="str">
        <f>IF(ISNUMBER(O2063),IF(VLOOKUP($A2063,Stand!C:J,8,FALSE)="Short",AT2063,AU2063),"")</f>
        <v/>
      </c>
      <c r="AW2063" s="109" t="str">
        <f t="shared" si="916"/>
        <v/>
      </c>
      <c r="AX2063" s="109" t="str">
        <f t="shared" si="917"/>
        <v/>
      </c>
      <c r="AY2063" s="112" t="str">
        <f>IF(ISNUMBER(O2063),IF(AND(VLOOKUP($D2063,Merchantability!$B:$C,2,0)="Yes",$E2063&gt;=VLOOKUP($D2063,Merchantability!$B:$D,3,0),$E2063&lt;=VLOOKUP($D2063,Merchantability!$B:$E,4,0)),(AV2063*O2063)*(1-$H2063/100),""),"")</f>
        <v/>
      </c>
      <c r="AZ2063" s="116"/>
      <c r="BA2063" s="116"/>
      <c r="BB2063" s="116"/>
      <c r="BE2063" s="62"/>
      <c r="BF2063" s="63"/>
    </row>
    <row r="2064" spans="1:58" ht="12.75" customHeight="1" x14ac:dyDescent="0.25">
      <c r="A2064" s="334"/>
      <c r="B2064" s="334"/>
      <c r="C2064" s="332"/>
      <c r="D2064" s="334"/>
      <c r="E2064" s="335"/>
      <c r="F2064" s="334"/>
      <c r="G2064" s="332"/>
      <c r="H2064" s="332"/>
      <c r="I2064" s="334"/>
      <c r="J2064" s="336"/>
      <c r="K2064" s="332"/>
      <c r="L2064" s="332"/>
      <c r="M2064" s="76"/>
      <c r="N2064" s="103" t="str">
        <f>IF(A2064="","",VLOOKUP(A2064,Stand!C:K,9,0))</f>
        <v/>
      </c>
      <c r="O2064" s="104" t="str">
        <f t="shared" si="902"/>
        <v/>
      </c>
      <c r="P2064" s="105" t="str">
        <f t="shared" si="903"/>
        <v/>
      </c>
      <c r="Q2064" s="105" t="str">
        <f t="shared" si="891"/>
        <v/>
      </c>
      <c r="R2064" s="103" t="str">
        <f t="shared" si="904"/>
        <v/>
      </c>
      <c r="S2064" s="103" t="str">
        <f t="shared" si="905"/>
        <v/>
      </c>
      <c r="T2064" s="106" t="str">
        <f t="shared" si="892"/>
        <v/>
      </c>
      <c r="U2064" s="106" t="str">
        <f t="shared" si="893"/>
        <v/>
      </c>
      <c r="V2064" s="106" t="str">
        <f t="shared" si="894"/>
        <v/>
      </c>
      <c r="W2064" s="105" t="str">
        <f t="shared" si="906"/>
        <v/>
      </c>
      <c r="X2064" s="104" t="str">
        <f t="shared" si="911"/>
        <v/>
      </c>
      <c r="Y2064" s="104" t="str">
        <f t="array" ref="Y2064">IFERROR(IF(ISNUMBER(O2064),IF(COUNT(IF(A2064=$A$2:$A$2427,IF(D2064=$D$2:$D$2427,IF($X$2:$X$2427&gt;0,1))))&gt;0,SUM(IF(A2064=$A$2:$A$2427,IF(D2064=$D$2:$D$2427,$X$2:$X$2427)))/COUNT(IF(A2064=$A$2:$A$2427,IF(D2064=$D$2:$D$2427,IF(ISNUMBER($X$2:$X$2427),1)))),0),""),0)</f>
        <v/>
      </c>
      <c r="Z2064" s="104" t="str">
        <f>IF(ISNUMBER(O2064),IF(I2064&gt;0,(10^(VLOOKUP(D2064,'Species Codes'!B:C,2,0)+VLOOKUP(D2064,'Species Codes'!B:D,3,0)*LOG(E2064)+VLOOKUP(D2064,'Species Codes'!B:E,4,0)*LOG(I2064))),0),"")</f>
        <v/>
      </c>
      <c r="AA2064" s="104" t="str">
        <f>IFERROR((VLOOKUP(D2064,'Species Codes'!B:G,6,0)*Z2064)/2000,"")</f>
        <v/>
      </c>
      <c r="AB2064" s="104" t="e">
        <f>IF(Z2064&gt;0,((IF(OR(D2064="DF",D2064="RA")=TRUE,EXP(VLOOKUP(D2064,'Species Codes'!B:I,8,0)+VLOOKUP(D2064,'Species Codes'!B:J,9,0)*(LN((E2064*2.54)))),IF(OR(D2064="PY",D2064="RC",D2064="WH",D2064="NF")=TRUE,VLOOKUP(D2064,'Species Codes'!B:I,8,0)+VLOOKUP(D2064,'Species Codes'!B:J,9,0)*((E2064*2.54)^2)*(I2064*0.3048),IF(OR(D2064="MD",D2064="BM",D2064="GA")=TRUE,((VLOOKUP(D2064,'Species Codes'!B:I,8,0)*(((((E2064*2.54)+VLOOKUP(D2064,'Species Codes'!B:J,9,0))/VLOOKUP(D2064,'Species Codes'!B:K,10,0))^VLOOKUP(D2064,'Species Codes'!B:L,11,0))*((I2064*0.3048)^VLOOKUP(D2064,'Species Codes'!B:M,12,0))))-(VLOOKUP(D2064,'Species Codes'!B:I,8,0)*((((E2064*2.54)^VLOOKUP(D2064,'Species Codes'!B:L,11,0))*((I2064*0.3048)^VLOOKUP(D2064,'Species Codes'!B:M,12,0))))))*35.3*VLOOKUP(D2064,'Species Codes'!B:G,6,0)/2.2046,VLOOKUP(D2064,'Species Codes'!B:I,8,0)+VLOOKUP(D2064,'Species Codes'!B:J,9,0)*(((E2064*2.54)/100)^2)*(I2064*0.3048)))))*0.0011023),0)</f>
        <v>#N/A</v>
      </c>
      <c r="AC2064" s="104" t="e">
        <f>IF(Z2064&gt;0,((IF(OR(D2064="RA",D2064="OA",D2064="OT",D2064="UN",D2064="PC"),EXP(VLOOKUP(D2064,'Species Codes'!B:O,14,0)+VLOOKUP(D2064,'Species Codes'!B:P,15,0)*LN((E2064*2.54)))-EXP(VLOOKUP(D2064,'Species Codes'!B:O,14,0)+VLOOKUP(D2064,'Species Codes'!B:P,15,0)*LN((E2064*2.54)))*(1/(VLOOKUP(D2064,'Species Codes'!B:Q,16,0)+VLOOKUP(D2064,'Species Codes'!B:R,17,0)*((E2064*2.54)^VLOOKUP(D2064,'Species Codes'!B:S,18,0)))),IF(OR(D2064="BM",D2064="MD",D2064="OA"),EXP(VLOOKUP(D2064,'Species Codes'!B:O,14,0)+VLOOKUP(D2064,'Species Codes'!B:P,15,0)*LN((E2064*2.54)))*(1-(1/(VLOOKUP(D2064,'Species Codes'!B:Q,16,0)+VLOOKUP(D2064,'Species Codes'!B:R,17,0)*((E2064*2.54)^VLOOKUP(D2064,'Species Codes'!B:S,18,0)))))/1000,IF(D2064="DF",EXP(VLOOKUP(D2064,'Species Codes'!B:O,14,0)+VLOOKUP(D2064,'Species Codes'!B:P,15,0)*LN((E2064*2.54))),VLOOKUP(D2064,'Species Codes'!B:O,14,0)+VLOOKUP(D2064,'Species Codes'!B:P,15,0)*(((E2064*2.54)/100)^2)*(I2064*0.3048)))))*0.0011023),0)</f>
        <v>#N/A</v>
      </c>
      <c r="AD2064" s="104" t="e">
        <f t="shared" si="895"/>
        <v>#N/A</v>
      </c>
      <c r="AE2064" s="104" t="e">
        <f t="shared" si="896"/>
        <v>#N/A</v>
      </c>
      <c r="AF2064" s="104" t="e">
        <f>IF(AND(VLOOKUP($D2064,Merchantability!$B:$C,2,0)="Yes",$E2064&gt;=VLOOKUP($D2064,Merchantability!$B:$D,3,0),$E2064&lt;=VLOOKUP($D2064,Merchantability!$B:$E,4,0)),AA2064,0)</f>
        <v>#N/A</v>
      </c>
      <c r="AG2064" s="104" t="e">
        <f>IF(AND(VLOOKUP($D2064,Merchantability!$B:$C,2,0)="Yes",$E2064&gt;=VLOOKUP($D2064,Merchantability!$B:$D,3,0),$E2064&lt;=VLOOKUP($D2064,Merchantability!$B:$E,4,0)),AB2064,0)</f>
        <v>#N/A</v>
      </c>
      <c r="AH2064" s="104" t="e">
        <f>IF(AND(VLOOKUP($D2064,Merchantability!$B:$C,2,0)="Yes",$E2064&gt;=VLOOKUP($D2064,Merchantability!$B:$D,3,0),$E2064&lt;=VLOOKUP($D2064,Merchantability!$B:$E,4,0)),AC2064,0)</f>
        <v>#N/A</v>
      </c>
      <c r="AI2064" s="104" t="e">
        <f t="shared" si="897"/>
        <v>#N/A</v>
      </c>
      <c r="AJ2064" s="104" t="e">
        <f t="shared" si="898"/>
        <v>#VALUE!</v>
      </c>
      <c r="AK2064" s="104" t="e">
        <f t="shared" si="899"/>
        <v>#N/A</v>
      </c>
      <c r="AL2064" s="104" t="e">
        <f t="shared" si="900"/>
        <v>#N/A</v>
      </c>
      <c r="AM2064" s="104" t="e">
        <f t="shared" si="901"/>
        <v>#N/A</v>
      </c>
      <c r="AN2064" s="104" t="e">
        <f t="shared" si="912"/>
        <v>#N/A</v>
      </c>
      <c r="AO2064" s="104" t="e">
        <f t="shared" si="913"/>
        <v>#N/A</v>
      </c>
      <c r="AP2064" s="104" t="e">
        <f t="shared" si="914"/>
        <v>#N/A</v>
      </c>
      <c r="AQ2064" s="104" t="e">
        <f t="shared" si="915"/>
        <v>#N/A</v>
      </c>
      <c r="AR2064" s="105" t="str">
        <f t="shared" si="907"/>
        <v/>
      </c>
      <c r="AS2064" s="105" t="str">
        <f t="shared" si="908"/>
        <v/>
      </c>
      <c r="AT2064" s="108" t="str">
        <f t="shared" si="909"/>
        <v/>
      </c>
      <c r="AU2064" s="108" t="str">
        <f t="shared" si="910"/>
        <v/>
      </c>
      <c r="AV2064" s="107" t="str">
        <f>IF(ISNUMBER(O2064),IF(VLOOKUP($A2064,Stand!C:J,8,FALSE)="Short",AT2064,AU2064),"")</f>
        <v/>
      </c>
      <c r="AW2064" s="109" t="str">
        <f t="shared" si="916"/>
        <v/>
      </c>
      <c r="AX2064" s="109" t="str">
        <f t="shared" si="917"/>
        <v/>
      </c>
      <c r="AY2064" s="112" t="str">
        <f>IF(ISNUMBER(O2064),IF(AND(VLOOKUP($D2064,Merchantability!$B:$C,2,0)="Yes",$E2064&gt;=VLOOKUP($D2064,Merchantability!$B:$D,3,0),$E2064&lt;=VLOOKUP($D2064,Merchantability!$B:$E,4,0)),(AV2064*O2064)*(1-$H2064/100),""),"")</f>
        <v/>
      </c>
      <c r="AZ2064" s="116"/>
      <c r="BA2064" s="116"/>
      <c r="BB2064" s="116"/>
      <c r="BE2064" s="62"/>
      <c r="BF2064" s="63"/>
    </row>
    <row r="2065" spans="1:58" ht="12.75" customHeight="1" x14ac:dyDescent="0.25">
      <c r="A2065" s="334"/>
      <c r="B2065" s="334"/>
      <c r="C2065" s="332"/>
      <c r="D2065" s="334"/>
      <c r="E2065" s="335"/>
      <c r="F2065" s="334"/>
      <c r="G2065" s="332"/>
      <c r="H2065" s="332"/>
      <c r="I2065" s="334"/>
      <c r="J2065" s="336"/>
      <c r="K2065" s="332"/>
      <c r="L2065" s="332"/>
      <c r="M2065" s="76"/>
      <c r="N2065" s="103" t="str">
        <f>IF(A2065="","",VLOOKUP(A2065,Stand!C:K,9,0))</f>
        <v/>
      </c>
      <c r="O2065" s="104" t="str">
        <f t="shared" si="902"/>
        <v/>
      </c>
      <c r="P2065" s="105" t="str">
        <f t="shared" si="903"/>
        <v/>
      </c>
      <c r="Q2065" s="105" t="str">
        <f t="shared" si="891"/>
        <v/>
      </c>
      <c r="R2065" s="103" t="str">
        <f t="shared" si="904"/>
        <v/>
      </c>
      <c r="S2065" s="103" t="str">
        <f t="shared" si="905"/>
        <v/>
      </c>
      <c r="T2065" s="106" t="str">
        <f t="shared" si="892"/>
        <v/>
      </c>
      <c r="U2065" s="106" t="str">
        <f t="shared" si="893"/>
        <v/>
      </c>
      <c r="V2065" s="106" t="str">
        <f t="shared" si="894"/>
        <v/>
      </c>
      <c r="W2065" s="105" t="str">
        <f t="shared" si="906"/>
        <v/>
      </c>
      <c r="X2065" s="104" t="str">
        <f t="shared" si="911"/>
        <v/>
      </c>
      <c r="Y2065" s="104" t="str">
        <f t="array" ref="Y2065">IFERROR(IF(ISNUMBER(O2065),IF(COUNT(IF(A2065=$A$2:$A$2427,IF(D2065=$D$2:$D$2427,IF($X$2:$X$2427&gt;0,1))))&gt;0,SUM(IF(A2065=$A$2:$A$2427,IF(D2065=$D$2:$D$2427,$X$2:$X$2427)))/COUNT(IF(A2065=$A$2:$A$2427,IF(D2065=$D$2:$D$2427,IF(ISNUMBER($X$2:$X$2427),1)))),0),""),0)</f>
        <v/>
      </c>
      <c r="Z2065" s="104" t="str">
        <f>IF(ISNUMBER(O2065),IF(I2065&gt;0,(10^(VLOOKUP(D2065,'Species Codes'!B:C,2,0)+VLOOKUP(D2065,'Species Codes'!B:D,3,0)*LOG(E2065)+VLOOKUP(D2065,'Species Codes'!B:E,4,0)*LOG(I2065))),0),"")</f>
        <v/>
      </c>
      <c r="AA2065" s="104" t="str">
        <f>IFERROR((VLOOKUP(D2065,'Species Codes'!B:G,6,0)*Z2065)/2000,"")</f>
        <v/>
      </c>
      <c r="AB2065" s="104" t="e">
        <f>IF(Z2065&gt;0,((IF(OR(D2065="DF",D2065="RA")=TRUE,EXP(VLOOKUP(D2065,'Species Codes'!B:I,8,0)+VLOOKUP(D2065,'Species Codes'!B:J,9,0)*(LN((E2065*2.54)))),IF(OR(D2065="PY",D2065="RC",D2065="WH",D2065="NF")=TRUE,VLOOKUP(D2065,'Species Codes'!B:I,8,0)+VLOOKUP(D2065,'Species Codes'!B:J,9,0)*((E2065*2.54)^2)*(I2065*0.3048),IF(OR(D2065="MD",D2065="BM",D2065="GA")=TRUE,((VLOOKUP(D2065,'Species Codes'!B:I,8,0)*(((((E2065*2.54)+VLOOKUP(D2065,'Species Codes'!B:J,9,0))/VLOOKUP(D2065,'Species Codes'!B:K,10,0))^VLOOKUP(D2065,'Species Codes'!B:L,11,0))*((I2065*0.3048)^VLOOKUP(D2065,'Species Codes'!B:M,12,0))))-(VLOOKUP(D2065,'Species Codes'!B:I,8,0)*((((E2065*2.54)^VLOOKUP(D2065,'Species Codes'!B:L,11,0))*((I2065*0.3048)^VLOOKUP(D2065,'Species Codes'!B:M,12,0))))))*35.3*VLOOKUP(D2065,'Species Codes'!B:G,6,0)/2.2046,VLOOKUP(D2065,'Species Codes'!B:I,8,0)+VLOOKUP(D2065,'Species Codes'!B:J,9,0)*(((E2065*2.54)/100)^2)*(I2065*0.3048)))))*0.0011023),0)</f>
        <v>#N/A</v>
      </c>
      <c r="AC2065" s="104" t="e">
        <f>IF(Z2065&gt;0,((IF(OR(D2065="RA",D2065="OA",D2065="OT",D2065="UN",D2065="PC"),EXP(VLOOKUP(D2065,'Species Codes'!B:O,14,0)+VLOOKUP(D2065,'Species Codes'!B:P,15,0)*LN((E2065*2.54)))-EXP(VLOOKUP(D2065,'Species Codes'!B:O,14,0)+VLOOKUP(D2065,'Species Codes'!B:P,15,0)*LN((E2065*2.54)))*(1/(VLOOKUP(D2065,'Species Codes'!B:Q,16,0)+VLOOKUP(D2065,'Species Codes'!B:R,17,0)*((E2065*2.54)^VLOOKUP(D2065,'Species Codes'!B:S,18,0)))),IF(OR(D2065="BM",D2065="MD",D2065="OA"),EXP(VLOOKUP(D2065,'Species Codes'!B:O,14,0)+VLOOKUP(D2065,'Species Codes'!B:P,15,0)*LN((E2065*2.54)))*(1-(1/(VLOOKUP(D2065,'Species Codes'!B:Q,16,0)+VLOOKUP(D2065,'Species Codes'!B:R,17,0)*((E2065*2.54)^VLOOKUP(D2065,'Species Codes'!B:S,18,0)))))/1000,IF(D2065="DF",EXP(VLOOKUP(D2065,'Species Codes'!B:O,14,0)+VLOOKUP(D2065,'Species Codes'!B:P,15,0)*LN((E2065*2.54))),VLOOKUP(D2065,'Species Codes'!B:O,14,0)+VLOOKUP(D2065,'Species Codes'!B:P,15,0)*(((E2065*2.54)/100)^2)*(I2065*0.3048)))))*0.0011023),0)</f>
        <v>#N/A</v>
      </c>
      <c r="AD2065" s="104" t="e">
        <f t="shared" si="895"/>
        <v>#N/A</v>
      </c>
      <c r="AE2065" s="104" t="e">
        <f t="shared" si="896"/>
        <v>#N/A</v>
      </c>
      <c r="AF2065" s="104" t="e">
        <f>IF(AND(VLOOKUP($D2065,Merchantability!$B:$C,2,0)="Yes",$E2065&gt;=VLOOKUP($D2065,Merchantability!$B:$D,3,0),$E2065&lt;=VLOOKUP($D2065,Merchantability!$B:$E,4,0)),AA2065,0)</f>
        <v>#N/A</v>
      </c>
      <c r="AG2065" s="104" t="e">
        <f>IF(AND(VLOOKUP($D2065,Merchantability!$B:$C,2,0)="Yes",$E2065&gt;=VLOOKUP($D2065,Merchantability!$B:$D,3,0),$E2065&lt;=VLOOKUP($D2065,Merchantability!$B:$E,4,0)),AB2065,0)</f>
        <v>#N/A</v>
      </c>
      <c r="AH2065" s="104" t="e">
        <f>IF(AND(VLOOKUP($D2065,Merchantability!$B:$C,2,0)="Yes",$E2065&gt;=VLOOKUP($D2065,Merchantability!$B:$D,3,0),$E2065&lt;=VLOOKUP($D2065,Merchantability!$B:$E,4,0)),AC2065,0)</f>
        <v>#N/A</v>
      </c>
      <c r="AI2065" s="104" t="e">
        <f t="shared" si="897"/>
        <v>#N/A</v>
      </c>
      <c r="AJ2065" s="104" t="e">
        <f t="shared" si="898"/>
        <v>#VALUE!</v>
      </c>
      <c r="AK2065" s="104" t="e">
        <f t="shared" si="899"/>
        <v>#N/A</v>
      </c>
      <c r="AL2065" s="104" t="e">
        <f t="shared" si="900"/>
        <v>#N/A</v>
      </c>
      <c r="AM2065" s="104" t="e">
        <f t="shared" si="901"/>
        <v>#N/A</v>
      </c>
      <c r="AN2065" s="104" t="e">
        <f t="shared" si="912"/>
        <v>#N/A</v>
      </c>
      <c r="AO2065" s="104" t="e">
        <f t="shared" si="913"/>
        <v>#N/A</v>
      </c>
      <c r="AP2065" s="104" t="e">
        <f t="shared" si="914"/>
        <v>#N/A</v>
      </c>
      <c r="AQ2065" s="104" t="e">
        <f t="shared" si="915"/>
        <v>#N/A</v>
      </c>
      <c r="AR2065" s="105" t="str">
        <f t="shared" si="907"/>
        <v/>
      </c>
      <c r="AS2065" s="105" t="str">
        <f t="shared" si="908"/>
        <v/>
      </c>
      <c r="AT2065" s="108" t="str">
        <f t="shared" si="909"/>
        <v/>
      </c>
      <c r="AU2065" s="108" t="str">
        <f t="shared" si="910"/>
        <v/>
      </c>
      <c r="AV2065" s="107" t="str">
        <f>IF(ISNUMBER(O2065),IF(VLOOKUP($A2065,Stand!C:J,8,FALSE)="Short",AT2065,AU2065),"")</f>
        <v/>
      </c>
      <c r="AW2065" s="109" t="str">
        <f t="shared" si="916"/>
        <v/>
      </c>
      <c r="AX2065" s="109" t="str">
        <f t="shared" si="917"/>
        <v/>
      </c>
      <c r="AY2065" s="112" t="str">
        <f>IF(ISNUMBER(O2065),IF(AND(VLOOKUP($D2065,Merchantability!$B:$C,2,0)="Yes",$E2065&gt;=VLOOKUP($D2065,Merchantability!$B:$D,3,0),$E2065&lt;=VLOOKUP($D2065,Merchantability!$B:$E,4,0)),(AV2065*O2065)*(1-$H2065/100),""),"")</f>
        <v/>
      </c>
      <c r="AZ2065" s="116"/>
      <c r="BA2065" s="116"/>
      <c r="BB2065" s="116"/>
      <c r="BE2065" s="62"/>
      <c r="BF2065" s="63"/>
    </row>
    <row r="2066" spans="1:58" ht="12.75" customHeight="1" x14ac:dyDescent="0.25">
      <c r="A2066" s="334"/>
      <c r="B2066" s="334"/>
      <c r="C2066" s="332"/>
      <c r="D2066" s="334"/>
      <c r="E2066" s="335"/>
      <c r="F2066" s="334"/>
      <c r="G2066" s="332"/>
      <c r="H2066" s="332"/>
      <c r="I2066" s="334"/>
      <c r="J2066" s="336"/>
      <c r="K2066" s="332"/>
      <c r="L2066" s="332"/>
      <c r="M2066" s="76"/>
      <c r="N2066" s="103" t="str">
        <f>IF(A2066="","",VLOOKUP(A2066,Stand!C:K,9,0))</f>
        <v/>
      </c>
      <c r="O2066" s="104" t="str">
        <f t="shared" si="902"/>
        <v/>
      </c>
      <c r="P2066" s="105" t="str">
        <f t="shared" si="903"/>
        <v/>
      </c>
      <c r="Q2066" s="105" t="str">
        <f t="shared" si="891"/>
        <v/>
      </c>
      <c r="R2066" s="103" t="str">
        <f t="shared" si="904"/>
        <v/>
      </c>
      <c r="S2066" s="103" t="str">
        <f t="shared" si="905"/>
        <v/>
      </c>
      <c r="T2066" s="106" t="str">
        <f t="shared" si="892"/>
        <v/>
      </c>
      <c r="U2066" s="106" t="str">
        <f t="shared" si="893"/>
        <v/>
      </c>
      <c r="V2066" s="106" t="str">
        <f t="shared" si="894"/>
        <v/>
      </c>
      <c r="W2066" s="105" t="str">
        <f t="shared" si="906"/>
        <v/>
      </c>
      <c r="X2066" s="104" t="str">
        <f t="shared" si="911"/>
        <v/>
      </c>
      <c r="Y2066" s="104" t="str">
        <f t="array" ref="Y2066">IFERROR(IF(ISNUMBER(O2066),IF(COUNT(IF(A2066=$A$2:$A$2427,IF(D2066=$D$2:$D$2427,IF($X$2:$X$2427&gt;0,1))))&gt;0,SUM(IF(A2066=$A$2:$A$2427,IF(D2066=$D$2:$D$2427,$X$2:$X$2427)))/COUNT(IF(A2066=$A$2:$A$2427,IF(D2066=$D$2:$D$2427,IF(ISNUMBER($X$2:$X$2427),1)))),0),""),0)</f>
        <v/>
      </c>
      <c r="Z2066" s="104" t="str">
        <f>IF(ISNUMBER(O2066),IF(I2066&gt;0,(10^(VLOOKUP(D2066,'Species Codes'!B:C,2,0)+VLOOKUP(D2066,'Species Codes'!B:D,3,0)*LOG(E2066)+VLOOKUP(D2066,'Species Codes'!B:E,4,0)*LOG(I2066))),0),"")</f>
        <v/>
      </c>
      <c r="AA2066" s="104" t="str">
        <f>IFERROR((VLOOKUP(D2066,'Species Codes'!B:G,6,0)*Z2066)/2000,"")</f>
        <v/>
      </c>
      <c r="AB2066" s="104" t="e">
        <f>IF(Z2066&gt;0,((IF(OR(D2066="DF",D2066="RA")=TRUE,EXP(VLOOKUP(D2066,'Species Codes'!B:I,8,0)+VLOOKUP(D2066,'Species Codes'!B:J,9,0)*(LN((E2066*2.54)))),IF(OR(D2066="PY",D2066="RC",D2066="WH",D2066="NF")=TRUE,VLOOKUP(D2066,'Species Codes'!B:I,8,0)+VLOOKUP(D2066,'Species Codes'!B:J,9,0)*((E2066*2.54)^2)*(I2066*0.3048),IF(OR(D2066="MD",D2066="BM",D2066="GA")=TRUE,((VLOOKUP(D2066,'Species Codes'!B:I,8,0)*(((((E2066*2.54)+VLOOKUP(D2066,'Species Codes'!B:J,9,0))/VLOOKUP(D2066,'Species Codes'!B:K,10,0))^VLOOKUP(D2066,'Species Codes'!B:L,11,0))*((I2066*0.3048)^VLOOKUP(D2066,'Species Codes'!B:M,12,0))))-(VLOOKUP(D2066,'Species Codes'!B:I,8,0)*((((E2066*2.54)^VLOOKUP(D2066,'Species Codes'!B:L,11,0))*((I2066*0.3048)^VLOOKUP(D2066,'Species Codes'!B:M,12,0))))))*35.3*VLOOKUP(D2066,'Species Codes'!B:G,6,0)/2.2046,VLOOKUP(D2066,'Species Codes'!B:I,8,0)+VLOOKUP(D2066,'Species Codes'!B:J,9,0)*(((E2066*2.54)/100)^2)*(I2066*0.3048)))))*0.0011023),0)</f>
        <v>#N/A</v>
      </c>
      <c r="AC2066" s="104" t="e">
        <f>IF(Z2066&gt;0,((IF(OR(D2066="RA",D2066="OA",D2066="OT",D2066="UN",D2066="PC"),EXP(VLOOKUP(D2066,'Species Codes'!B:O,14,0)+VLOOKUP(D2066,'Species Codes'!B:P,15,0)*LN((E2066*2.54)))-EXP(VLOOKUP(D2066,'Species Codes'!B:O,14,0)+VLOOKUP(D2066,'Species Codes'!B:P,15,0)*LN((E2066*2.54)))*(1/(VLOOKUP(D2066,'Species Codes'!B:Q,16,0)+VLOOKUP(D2066,'Species Codes'!B:R,17,0)*((E2066*2.54)^VLOOKUP(D2066,'Species Codes'!B:S,18,0)))),IF(OR(D2066="BM",D2066="MD",D2066="OA"),EXP(VLOOKUP(D2066,'Species Codes'!B:O,14,0)+VLOOKUP(D2066,'Species Codes'!B:P,15,0)*LN((E2066*2.54)))*(1-(1/(VLOOKUP(D2066,'Species Codes'!B:Q,16,0)+VLOOKUP(D2066,'Species Codes'!B:R,17,0)*((E2066*2.54)^VLOOKUP(D2066,'Species Codes'!B:S,18,0)))))/1000,IF(D2066="DF",EXP(VLOOKUP(D2066,'Species Codes'!B:O,14,0)+VLOOKUP(D2066,'Species Codes'!B:P,15,0)*LN((E2066*2.54))),VLOOKUP(D2066,'Species Codes'!B:O,14,0)+VLOOKUP(D2066,'Species Codes'!B:P,15,0)*(((E2066*2.54)/100)^2)*(I2066*0.3048)))))*0.0011023),0)</f>
        <v>#N/A</v>
      </c>
      <c r="AD2066" s="104" t="e">
        <f t="shared" si="895"/>
        <v>#N/A</v>
      </c>
      <c r="AE2066" s="104" t="e">
        <f t="shared" si="896"/>
        <v>#N/A</v>
      </c>
      <c r="AF2066" s="104" t="e">
        <f>IF(AND(VLOOKUP($D2066,Merchantability!$B:$C,2,0)="Yes",$E2066&gt;=VLOOKUP($D2066,Merchantability!$B:$D,3,0),$E2066&lt;=VLOOKUP($D2066,Merchantability!$B:$E,4,0)),AA2066,0)</f>
        <v>#N/A</v>
      </c>
      <c r="AG2066" s="104" t="e">
        <f>IF(AND(VLOOKUP($D2066,Merchantability!$B:$C,2,0)="Yes",$E2066&gt;=VLOOKUP($D2066,Merchantability!$B:$D,3,0),$E2066&lt;=VLOOKUP($D2066,Merchantability!$B:$E,4,0)),AB2066,0)</f>
        <v>#N/A</v>
      </c>
      <c r="AH2066" s="104" t="e">
        <f>IF(AND(VLOOKUP($D2066,Merchantability!$B:$C,2,0)="Yes",$E2066&gt;=VLOOKUP($D2066,Merchantability!$B:$D,3,0),$E2066&lt;=VLOOKUP($D2066,Merchantability!$B:$E,4,0)),AC2066,0)</f>
        <v>#N/A</v>
      </c>
      <c r="AI2066" s="104" t="e">
        <f t="shared" si="897"/>
        <v>#N/A</v>
      </c>
      <c r="AJ2066" s="104" t="e">
        <f t="shared" si="898"/>
        <v>#VALUE!</v>
      </c>
      <c r="AK2066" s="104" t="e">
        <f t="shared" si="899"/>
        <v>#N/A</v>
      </c>
      <c r="AL2066" s="104" t="e">
        <f t="shared" si="900"/>
        <v>#N/A</v>
      </c>
      <c r="AM2066" s="104" t="e">
        <f t="shared" si="901"/>
        <v>#N/A</v>
      </c>
      <c r="AN2066" s="104" t="e">
        <f t="shared" si="912"/>
        <v>#N/A</v>
      </c>
      <c r="AO2066" s="104" t="e">
        <f t="shared" si="913"/>
        <v>#N/A</v>
      </c>
      <c r="AP2066" s="104" t="e">
        <f t="shared" si="914"/>
        <v>#N/A</v>
      </c>
      <c r="AQ2066" s="104" t="e">
        <f t="shared" si="915"/>
        <v>#N/A</v>
      </c>
      <c r="AR2066" s="105" t="str">
        <f t="shared" si="907"/>
        <v/>
      </c>
      <c r="AS2066" s="105" t="str">
        <f t="shared" si="908"/>
        <v/>
      </c>
      <c r="AT2066" s="108" t="str">
        <f t="shared" si="909"/>
        <v/>
      </c>
      <c r="AU2066" s="108" t="str">
        <f t="shared" si="910"/>
        <v/>
      </c>
      <c r="AV2066" s="107" t="str">
        <f>IF(ISNUMBER(O2066),IF(VLOOKUP($A2066,Stand!C:J,8,FALSE)="Short",AT2066,AU2066),"")</f>
        <v/>
      </c>
      <c r="AW2066" s="109" t="str">
        <f t="shared" si="916"/>
        <v/>
      </c>
      <c r="AX2066" s="109" t="str">
        <f t="shared" si="917"/>
        <v/>
      </c>
      <c r="AY2066" s="112" t="str">
        <f>IF(ISNUMBER(O2066),IF(AND(VLOOKUP($D2066,Merchantability!$B:$C,2,0)="Yes",$E2066&gt;=VLOOKUP($D2066,Merchantability!$B:$D,3,0),$E2066&lt;=VLOOKUP($D2066,Merchantability!$B:$E,4,0)),(AV2066*O2066)*(1-$H2066/100),""),"")</f>
        <v/>
      </c>
      <c r="AZ2066" s="116"/>
      <c r="BA2066" s="116"/>
      <c r="BB2066" s="116"/>
      <c r="BE2066" s="62"/>
      <c r="BF2066" s="63"/>
    </row>
    <row r="2067" spans="1:58" ht="12.75" customHeight="1" x14ac:dyDescent="0.25">
      <c r="A2067" s="334"/>
      <c r="B2067" s="334"/>
      <c r="C2067" s="332"/>
      <c r="D2067" s="334"/>
      <c r="E2067" s="335"/>
      <c r="F2067" s="334"/>
      <c r="G2067" s="332"/>
      <c r="H2067" s="332"/>
      <c r="I2067" s="334"/>
      <c r="J2067" s="336"/>
      <c r="K2067" s="332"/>
      <c r="L2067" s="332"/>
      <c r="M2067" s="76"/>
      <c r="N2067" s="103" t="str">
        <f>IF(A2067="","",VLOOKUP(A2067,Stand!C:K,9,0))</f>
        <v/>
      </c>
      <c r="O2067" s="104" t="str">
        <f t="shared" si="902"/>
        <v/>
      </c>
      <c r="P2067" s="105" t="str">
        <f t="shared" si="903"/>
        <v/>
      </c>
      <c r="Q2067" s="105" t="str">
        <f t="shared" si="891"/>
        <v/>
      </c>
      <c r="R2067" s="103" t="str">
        <f t="shared" si="904"/>
        <v/>
      </c>
      <c r="S2067" s="103" t="str">
        <f t="shared" si="905"/>
        <v/>
      </c>
      <c r="T2067" s="106" t="str">
        <f t="shared" si="892"/>
        <v/>
      </c>
      <c r="U2067" s="106" t="str">
        <f t="shared" si="893"/>
        <v/>
      </c>
      <c r="V2067" s="106" t="str">
        <f t="shared" si="894"/>
        <v/>
      </c>
      <c r="W2067" s="105" t="str">
        <f t="shared" si="906"/>
        <v/>
      </c>
      <c r="X2067" s="104" t="str">
        <f t="shared" si="911"/>
        <v/>
      </c>
      <c r="Y2067" s="104" t="str">
        <f t="array" ref="Y2067">IFERROR(IF(ISNUMBER(O2067),IF(COUNT(IF(A2067=$A$2:$A$2427,IF(D2067=$D$2:$D$2427,IF($X$2:$X$2427&gt;0,1))))&gt;0,SUM(IF(A2067=$A$2:$A$2427,IF(D2067=$D$2:$D$2427,$X$2:$X$2427)))/COUNT(IF(A2067=$A$2:$A$2427,IF(D2067=$D$2:$D$2427,IF(ISNUMBER($X$2:$X$2427),1)))),0),""),0)</f>
        <v/>
      </c>
      <c r="Z2067" s="104" t="str">
        <f>IF(ISNUMBER(O2067),IF(I2067&gt;0,(10^(VLOOKUP(D2067,'Species Codes'!B:C,2,0)+VLOOKUP(D2067,'Species Codes'!B:D,3,0)*LOG(E2067)+VLOOKUP(D2067,'Species Codes'!B:E,4,0)*LOG(I2067))),0),"")</f>
        <v/>
      </c>
      <c r="AA2067" s="104" t="str">
        <f>IFERROR((VLOOKUP(D2067,'Species Codes'!B:G,6,0)*Z2067)/2000,"")</f>
        <v/>
      </c>
      <c r="AB2067" s="104" t="e">
        <f>IF(Z2067&gt;0,((IF(OR(D2067="DF",D2067="RA")=TRUE,EXP(VLOOKUP(D2067,'Species Codes'!B:I,8,0)+VLOOKUP(D2067,'Species Codes'!B:J,9,0)*(LN((E2067*2.54)))),IF(OR(D2067="PY",D2067="RC",D2067="WH",D2067="NF")=TRUE,VLOOKUP(D2067,'Species Codes'!B:I,8,0)+VLOOKUP(D2067,'Species Codes'!B:J,9,0)*((E2067*2.54)^2)*(I2067*0.3048),IF(OR(D2067="MD",D2067="BM",D2067="GA")=TRUE,((VLOOKUP(D2067,'Species Codes'!B:I,8,0)*(((((E2067*2.54)+VLOOKUP(D2067,'Species Codes'!B:J,9,0))/VLOOKUP(D2067,'Species Codes'!B:K,10,0))^VLOOKUP(D2067,'Species Codes'!B:L,11,0))*((I2067*0.3048)^VLOOKUP(D2067,'Species Codes'!B:M,12,0))))-(VLOOKUP(D2067,'Species Codes'!B:I,8,0)*((((E2067*2.54)^VLOOKUP(D2067,'Species Codes'!B:L,11,0))*((I2067*0.3048)^VLOOKUP(D2067,'Species Codes'!B:M,12,0))))))*35.3*VLOOKUP(D2067,'Species Codes'!B:G,6,0)/2.2046,VLOOKUP(D2067,'Species Codes'!B:I,8,0)+VLOOKUP(D2067,'Species Codes'!B:J,9,0)*(((E2067*2.54)/100)^2)*(I2067*0.3048)))))*0.0011023),0)</f>
        <v>#N/A</v>
      </c>
      <c r="AC2067" s="104" t="e">
        <f>IF(Z2067&gt;0,((IF(OR(D2067="RA",D2067="OA",D2067="OT",D2067="UN",D2067="PC"),EXP(VLOOKUP(D2067,'Species Codes'!B:O,14,0)+VLOOKUP(D2067,'Species Codes'!B:P,15,0)*LN((E2067*2.54)))-EXP(VLOOKUP(D2067,'Species Codes'!B:O,14,0)+VLOOKUP(D2067,'Species Codes'!B:P,15,0)*LN((E2067*2.54)))*(1/(VLOOKUP(D2067,'Species Codes'!B:Q,16,0)+VLOOKUP(D2067,'Species Codes'!B:R,17,0)*((E2067*2.54)^VLOOKUP(D2067,'Species Codes'!B:S,18,0)))),IF(OR(D2067="BM",D2067="MD",D2067="OA"),EXP(VLOOKUP(D2067,'Species Codes'!B:O,14,0)+VLOOKUP(D2067,'Species Codes'!B:P,15,0)*LN((E2067*2.54)))*(1-(1/(VLOOKUP(D2067,'Species Codes'!B:Q,16,0)+VLOOKUP(D2067,'Species Codes'!B:R,17,0)*((E2067*2.54)^VLOOKUP(D2067,'Species Codes'!B:S,18,0)))))/1000,IF(D2067="DF",EXP(VLOOKUP(D2067,'Species Codes'!B:O,14,0)+VLOOKUP(D2067,'Species Codes'!B:P,15,0)*LN((E2067*2.54))),VLOOKUP(D2067,'Species Codes'!B:O,14,0)+VLOOKUP(D2067,'Species Codes'!B:P,15,0)*(((E2067*2.54)/100)^2)*(I2067*0.3048)))))*0.0011023),0)</f>
        <v>#N/A</v>
      </c>
      <c r="AD2067" s="104" t="e">
        <f t="shared" si="895"/>
        <v>#N/A</v>
      </c>
      <c r="AE2067" s="104" t="e">
        <f t="shared" si="896"/>
        <v>#N/A</v>
      </c>
      <c r="AF2067" s="104" t="e">
        <f>IF(AND(VLOOKUP($D2067,Merchantability!$B:$C,2,0)="Yes",$E2067&gt;=VLOOKUP($D2067,Merchantability!$B:$D,3,0),$E2067&lt;=VLOOKUP($D2067,Merchantability!$B:$E,4,0)),AA2067,0)</f>
        <v>#N/A</v>
      </c>
      <c r="AG2067" s="104" t="e">
        <f>IF(AND(VLOOKUP($D2067,Merchantability!$B:$C,2,0)="Yes",$E2067&gt;=VLOOKUP($D2067,Merchantability!$B:$D,3,0),$E2067&lt;=VLOOKUP($D2067,Merchantability!$B:$E,4,0)),AB2067,0)</f>
        <v>#N/A</v>
      </c>
      <c r="AH2067" s="104" t="e">
        <f>IF(AND(VLOOKUP($D2067,Merchantability!$B:$C,2,0)="Yes",$E2067&gt;=VLOOKUP($D2067,Merchantability!$B:$D,3,0),$E2067&lt;=VLOOKUP($D2067,Merchantability!$B:$E,4,0)),AC2067,0)</f>
        <v>#N/A</v>
      </c>
      <c r="AI2067" s="104" t="e">
        <f t="shared" si="897"/>
        <v>#N/A</v>
      </c>
      <c r="AJ2067" s="104" t="e">
        <f t="shared" si="898"/>
        <v>#VALUE!</v>
      </c>
      <c r="AK2067" s="104" t="e">
        <f t="shared" si="899"/>
        <v>#N/A</v>
      </c>
      <c r="AL2067" s="104" t="e">
        <f t="shared" si="900"/>
        <v>#N/A</v>
      </c>
      <c r="AM2067" s="104" t="e">
        <f t="shared" si="901"/>
        <v>#N/A</v>
      </c>
      <c r="AN2067" s="104" t="e">
        <f t="shared" si="912"/>
        <v>#N/A</v>
      </c>
      <c r="AO2067" s="104" t="e">
        <f t="shared" si="913"/>
        <v>#N/A</v>
      </c>
      <c r="AP2067" s="104" t="e">
        <f t="shared" si="914"/>
        <v>#N/A</v>
      </c>
      <c r="AQ2067" s="104" t="e">
        <f t="shared" si="915"/>
        <v>#N/A</v>
      </c>
      <c r="AR2067" s="105" t="str">
        <f t="shared" si="907"/>
        <v/>
      </c>
      <c r="AS2067" s="105" t="str">
        <f t="shared" si="908"/>
        <v/>
      </c>
      <c r="AT2067" s="108" t="str">
        <f t="shared" si="909"/>
        <v/>
      </c>
      <c r="AU2067" s="108" t="str">
        <f t="shared" si="910"/>
        <v/>
      </c>
      <c r="AV2067" s="107" t="str">
        <f>IF(ISNUMBER(O2067),IF(VLOOKUP($A2067,Stand!C:J,8,FALSE)="Short",AT2067,AU2067),"")</f>
        <v/>
      </c>
      <c r="AW2067" s="109" t="str">
        <f t="shared" si="916"/>
        <v/>
      </c>
      <c r="AX2067" s="109" t="str">
        <f t="shared" si="917"/>
        <v/>
      </c>
      <c r="AY2067" s="112" t="str">
        <f>IF(ISNUMBER(O2067),IF(AND(VLOOKUP($D2067,Merchantability!$B:$C,2,0)="Yes",$E2067&gt;=VLOOKUP($D2067,Merchantability!$B:$D,3,0),$E2067&lt;=VLOOKUP($D2067,Merchantability!$B:$E,4,0)),(AV2067*O2067)*(1-$H2067/100),""),"")</f>
        <v/>
      </c>
      <c r="AZ2067" s="116"/>
      <c r="BA2067" s="116"/>
      <c r="BB2067" s="116"/>
      <c r="BE2067" s="62"/>
      <c r="BF2067" s="63"/>
    </row>
    <row r="2068" spans="1:58" ht="12.75" customHeight="1" x14ac:dyDescent="0.25">
      <c r="A2068" s="334"/>
      <c r="B2068" s="334"/>
      <c r="C2068" s="332"/>
      <c r="D2068" s="334"/>
      <c r="E2068" s="335"/>
      <c r="F2068" s="334"/>
      <c r="G2068" s="332"/>
      <c r="H2068" s="332"/>
      <c r="I2068" s="334"/>
      <c r="J2068" s="336"/>
      <c r="K2068" s="332"/>
      <c r="L2068" s="332"/>
      <c r="M2068" s="76"/>
      <c r="N2068" s="103" t="str">
        <f>IF(A2068="","",VLOOKUP(A2068,Stand!C:K,9,0))</f>
        <v/>
      </c>
      <c r="O2068" s="104" t="str">
        <f t="shared" si="902"/>
        <v/>
      </c>
      <c r="P2068" s="105" t="str">
        <f t="shared" si="903"/>
        <v/>
      </c>
      <c r="Q2068" s="105" t="str">
        <f t="shared" si="891"/>
        <v/>
      </c>
      <c r="R2068" s="103" t="str">
        <f t="shared" si="904"/>
        <v/>
      </c>
      <c r="S2068" s="103" t="str">
        <f t="shared" si="905"/>
        <v/>
      </c>
      <c r="T2068" s="106" t="str">
        <f t="shared" si="892"/>
        <v/>
      </c>
      <c r="U2068" s="106" t="str">
        <f t="shared" si="893"/>
        <v/>
      </c>
      <c r="V2068" s="106" t="str">
        <f t="shared" si="894"/>
        <v/>
      </c>
      <c r="W2068" s="105" t="str">
        <f t="shared" si="906"/>
        <v/>
      </c>
      <c r="X2068" s="104" t="str">
        <f t="shared" si="911"/>
        <v/>
      </c>
      <c r="Y2068" s="104" t="str">
        <f t="array" ref="Y2068">IFERROR(IF(ISNUMBER(O2068),IF(COUNT(IF(A2068=$A$2:$A$2427,IF(D2068=$D$2:$D$2427,IF($X$2:$X$2427&gt;0,1))))&gt;0,SUM(IF(A2068=$A$2:$A$2427,IF(D2068=$D$2:$D$2427,$X$2:$X$2427)))/COUNT(IF(A2068=$A$2:$A$2427,IF(D2068=$D$2:$D$2427,IF(ISNUMBER($X$2:$X$2427),1)))),0),""),0)</f>
        <v/>
      </c>
      <c r="Z2068" s="104" t="str">
        <f>IF(ISNUMBER(O2068),IF(I2068&gt;0,(10^(VLOOKUP(D2068,'Species Codes'!B:C,2,0)+VLOOKUP(D2068,'Species Codes'!B:D,3,0)*LOG(E2068)+VLOOKUP(D2068,'Species Codes'!B:E,4,0)*LOG(I2068))),0),"")</f>
        <v/>
      </c>
      <c r="AA2068" s="104" t="str">
        <f>IFERROR((VLOOKUP(D2068,'Species Codes'!B:G,6,0)*Z2068)/2000,"")</f>
        <v/>
      </c>
      <c r="AB2068" s="104" t="e">
        <f>IF(Z2068&gt;0,((IF(OR(D2068="DF",D2068="RA")=TRUE,EXP(VLOOKUP(D2068,'Species Codes'!B:I,8,0)+VLOOKUP(D2068,'Species Codes'!B:J,9,0)*(LN((E2068*2.54)))),IF(OR(D2068="PY",D2068="RC",D2068="WH",D2068="NF")=TRUE,VLOOKUP(D2068,'Species Codes'!B:I,8,0)+VLOOKUP(D2068,'Species Codes'!B:J,9,0)*((E2068*2.54)^2)*(I2068*0.3048),IF(OR(D2068="MD",D2068="BM",D2068="GA")=TRUE,((VLOOKUP(D2068,'Species Codes'!B:I,8,0)*(((((E2068*2.54)+VLOOKUP(D2068,'Species Codes'!B:J,9,0))/VLOOKUP(D2068,'Species Codes'!B:K,10,0))^VLOOKUP(D2068,'Species Codes'!B:L,11,0))*((I2068*0.3048)^VLOOKUP(D2068,'Species Codes'!B:M,12,0))))-(VLOOKUP(D2068,'Species Codes'!B:I,8,0)*((((E2068*2.54)^VLOOKUP(D2068,'Species Codes'!B:L,11,0))*((I2068*0.3048)^VLOOKUP(D2068,'Species Codes'!B:M,12,0))))))*35.3*VLOOKUP(D2068,'Species Codes'!B:G,6,0)/2.2046,VLOOKUP(D2068,'Species Codes'!B:I,8,0)+VLOOKUP(D2068,'Species Codes'!B:J,9,0)*(((E2068*2.54)/100)^2)*(I2068*0.3048)))))*0.0011023),0)</f>
        <v>#N/A</v>
      </c>
      <c r="AC2068" s="104" t="e">
        <f>IF(Z2068&gt;0,((IF(OR(D2068="RA",D2068="OA",D2068="OT",D2068="UN",D2068="PC"),EXP(VLOOKUP(D2068,'Species Codes'!B:O,14,0)+VLOOKUP(D2068,'Species Codes'!B:P,15,0)*LN((E2068*2.54)))-EXP(VLOOKUP(D2068,'Species Codes'!B:O,14,0)+VLOOKUP(D2068,'Species Codes'!B:P,15,0)*LN((E2068*2.54)))*(1/(VLOOKUP(D2068,'Species Codes'!B:Q,16,0)+VLOOKUP(D2068,'Species Codes'!B:R,17,0)*((E2068*2.54)^VLOOKUP(D2068,'Species Codes'!B:S,18,0)))),IF(OR(D2068="BM",D2068="MD",D2068="OA"),EXP(VLOOKUP(D2068,'Species Codes'!B:O,14,0)+VLOOKUP(D2068,'Species Codes'!B:P,15,0)*LN((E2068*2.54)))*(1-(1/(VLOOKUP(D2068,'Species Codes'!B:Q,16,0)+VLOOKUP(D2068,'Species Codes'!B:R,17,0)*((E2068*2.54)^VLOOKUP(D2068,'Species Codes'!B:S,18,0)))))/1000,IF(D2068="DF",EXP(VLOOKUP(D2068,'Species Codes'!B:O,14,0)+VLOOKUP(D2068,'Species Codes'!B:P,15,0)*LN((E2068*2.54))),VLOOKUP(D2068,'Species Codes'!B:O,14,0)+VLOOKUP(D2068,'Species Codes'!B:P,15,0)*(((E2068*2.54)/100)^2)*(I2068*0.3048)))))*0.0011023),0)</f>
        <v>#N/A</v>
      </c>
      <c r="AD2068" s="104" t="e">
        <f t="shared" si="895"/>
        <v>#N/A</v>
      </c>
      <c r="AE2068" s="104" t="e">
        <f t="shared" si="896"/>
        <v>#N/A</v>
      </c>
      <c r="AF2068" s="104" t="e">
        <f>IF(AND(VLOOKUP($D2068,Merchantability!$B:$C,2,0)="Yes",$E2068&gt;=VLOOKUP($D2068,Merchantability!$B:$D,3,0),$E2068&lt;=VLOOKUP($D2068,Merchantability!$B:$E,4,0)),AA2068,0)</f>
        <v>#N/A</v>
      </c>
      <c r="AG2068" s="104" t="e">
        <f>IF(AND(VLOOKUP($D2068,Merchantability!$B:$C,2,0)="Yes",$E2068&gt;=VLOOKUP($D2068,Merchantability!$B:$D,3,0),$E2068&lt;=VLOOKUP($D2068,Merchantability!$B:$E,4,0)),AB2068,0)</f>
        <v>#N/A</v>
      </c>
      <c r="AH2068" s="104" t="e">
        <f>IF(AND(VLOOKUP($D2068,Merchantability!$B:$C,2,0)="Yes",$E2068&gt;=VLOOKUP($D2068,Merchantability!$B:$D,3,0),$E2068&lt;=VLOOKUP($D2068,Merchantability!$B:$E,4,0)),AC2068,0)</f>
        <v>#N/A</v>
      </c>
      <c r="AI2068" s="104" t="e">
        <f t="shared" si="897"/>
        <v>#N/A</v>
      </c>
      <c r="AJ2068" s="104" t="e">
        <f t="shared" si="898"/>
        <v>#VALUE!</v>
      </c>
      <c r="AK2068" s="104" t="e">
        <f t="shared" si="899"/>
        <v>#N/A</v>
      </c>
      <c r="AL2068" s="104" t="e">
        <f t="shared" si="900"/>
        <v>#N/A</v>
      </c>
      <c r="AM2068" s="104" t="e">
        <f t="shared" si="901"/>
        <v>#N/A</v>
      </c>
      <c r="AN2068" s="104" t="e">
        <f t="shared" si="912"/>
        <v>#N/A</v>
      </c>
      <c r="AO2068" s="104" t="e">
        <f t="shared" si="913"/>
        <v>#N/A</v>
      </c>
      <c r="AP2068" s="104" t="e">
        <f t="shared" si="914"/>
        <v>#N/A</v>
      </c>
      <c r="AQ2068" s="104" t="e">
        <f t="shared" si="915"/>
        <v>#N/A</v>
      </c>
      <c r="AR2068" s="105" t="str">
        <f t="shared" si="907"/>
        <v/>
      </c>
      <c r="AS2068" s="105" t="str">
        <f t="shared" si="908"/>
        <v/>
      </c>
      <c r="AT2068" s="108" t="str">
        <f t="shared" si="909"/>
        <v/>
      </c>
      <c r="AU2068" s="108" t="str">
        <f t="shared" si="910"/>
        <v/>
      </c>
      <c r="AV2068" s="107" t="str">
        <f>IF(ISNUMBER(O2068),IF(VLOOKUP($A2068,Stand!C:J,8,FALSE)="Short",AT2068,AU2068),"")</f>
        <v/>
      </c>
      <c r="AW2068" s="109" t="str">
        <f t="shared" si="916"/>
        <v/>
      </c>
      <c r="AX2068" s="109" t="str">
        <f t="shared" si="917"/>
        <v/>
      </c>
      <c r="AY2068" s="112" t="str">
        <f>IF(ISNUMBER(O2068),IF(AND(VLOOKUP($D2068,Merchantability!$B:$C,2,0)="Yes",$E2068&gt;=VLOOKUP($D2068,Merchantability!$B:$D,3,0),$E2068&lt;=VLOOKUP($D2068,Merchantability!$B:$E,4,0)),(AV2068*O2068)*(1-$H2068/100),""),"")</f>
        <v/>
      </c>
      <c r="AZ2068" s="116"/>
      <c r="BA2068" s="116"/>
      <c r="BB2068" s="116"/>
      <c r="BE2068" s="62"/>
      <c r="BF2068" s="63"/>
    </row>
    <row r="2069" spans="1:58" ht="12.75" customHeight="1" x14ac:dyDescent="0.25">
      <c r="A2069" s="334"/>
      <c r="B2069" s="334"/>
      <c r="C2069" s="332"/>
      <c r="D2069" s="334"/>
      <c r="E2069" s="335"/>
      <c r="F2069" s="334"/>
      <c r="G2069" s="332"/>
      <c r="H2069" s="332"/>
      <c r="I2069" s="334"/>
      <c r="J2069" s="336"/>
      <c r="K2069" s="332"/>
      <c r="L2069" s="332"/>
      <c r="M2069" s="76"/>
      <c r="N2069" s="103" t="str">
        <f>IF(A2069="","",VLOOKUP(A2069,Stand!C:K,9,0))</f>
        <v/>
      </c>
      <c r="O2069" s="104" t="str">
        <f t="shared" si="902"/>
        <v/>
      </c>
      <c r="P2069" s="105" t="str">
        <f t="shared" si="903"/>
        <v/>
      </c>
      <c r="Q2069" s="105" t="str">
        <f t="shared" si="891"/>
        <v/>
      </c>
      <c r="R2069" s="103" t="str">
        <f t="shared" si="904"/>
        <v/>
      </c>
      <c r="S2069" s="103" t="str">
        <f t="shared" si="905"/>
        <v/>
      </c>
      <c r="T2069" s="106" t="str">
        <f t="shared" si="892"/>
        <v/>
      </c>
      <c r="U2069" s="106" t="str">
        <f t="shared" si="893"/>
        <v/>
      </c>
      <c r="V2069" s="106" t="str">
        <f t="shared" si="894"/>
        <v/>
      </c>
      <c r="W2069" s="105" t="str">
        <f t="shared" si="906"/>
        <v/>
      </c>
      <c r="X2069" s="104" t="str">
        <f t="shared" si="911"/>
        <v/>
      </c>
      <c r="Y2069" s="104" t="str">
        <f t="array" ref="Y2069">IFERROR(IF(ISNUMBER(O2069),IF(COUNT(IF(A2069=$A$2:$A$2427,IF(D2069=$D$2:$D$2427,IF($X$2:$X$2427&gt;0,1))))&gt;0,SUM(IF(A2069=$A$2:$A$2427,IF(D2069=$D$2:$D$2427,$X$2:$X$2427)))/COUNT(IF(A2069=$A$2:$A$2427,IF(D2069=$D$2:$D$2427,IF(ISNUMBER($X$2:$X$2427),1)))),0),""),0)</f>
        <v/>
      </c>
      <c r="Z2069" s="104" t="str">
        <f>IF(ISNUMBER(O2069),IF(I2069&gt;0,(10^(VLOOKUP(D2069,'Species Codes'!B:C,2,0)+VLOOKUP(D2069,'Species Codes'!B:D,3,0)*LOG(E2069)+VLOOKUP(D2069,'Species Codes'!B:E,4,0)*LOG(I2069))),0),"")</f>
        <v/>
      </c>
      <c r="AA2069" s="104" t="str">
        <f>IFERROR((VLOOKUP(D2069,'Species Codes'!B:G,6,0)*Z2069)/2000,"")</f>
        <v/>
      </c>
      <c r="AB2069" s="104" t="e">
        <f>IF(Z2069&gt;0,((IF(OR(D2069="DF",D2069="RA")=TRUE,EXP(VLOOKUP(D2069,'Species Codes'!B:I,8,0)+VLOOKUP(D2069,'Species Codes'!B:J,9,0)*(LN((E2069*2.54)))),IF(OR(D2069="PY",D2069="RC",D2069="WH",D2069="NF")=TRUE,VLOOKUP(D2069,'Species Codes'!B:I,8,0)+VLOOKUP(D2069,'Species Codes'!B:J,9,0)*((E2069*2.54)^2)*(I2069*0.3048),IF(OR(D2069="MD",D2069="BM",D2069="GA")=TRUE,((VLOOKUP(D2069,'Species Codes'!B:I,8,0)*(((((E2069*2.54)+VLOOKUP(D2069,'Species Codes'!B:J,9,0))/VLOOKUP(D2069,'Species Codes'!B:K,10,0))^VLOOKUP(D2069,'Species Codes'!B:L,11,0))*((I2069*0.3048)^VLOOKUP(D2069,'Species Codes'!B:M,12,0))))-(VLOOKUP(D2069,'Species Codes'!B:I,8,0)*((((E2069*2.54)^VLOOKUP(D2069,'Species Codes'!B:L,11,0))*((I2069*0.3048)^VLOOKUP(D2069,'Species Codes'!B:M,12,0))))))*35.3*VLOOKUP(D2069,'Species Codes'!B:G,6,0)/2.2046,VLOOKUP(D2069,'Species Codes'!B:I,8,0)+VLOOKUP(D2069,'Species Codes'!B:J,9,0)*(((E2069*2.54)/100)^2)*(I2069*0.3048)))))*0.0011023),0)</f>
        <v>#N/A</v>
      </c>
      <c r="AC2069" s="104" t="e">
        <f>IF(Z2069&gt;0,((IF(OR(D2069="RA",D2069="OA",D2069="OT",D2069="UN",D2069="PC"),EXP(VLOOKUP(D2069,'Species Codes'!B:O,14,0)+VLOOKUP(D2069,'Species Codes'!B:P,15,0)*LN((E2069*2.54)))-EXP(VLOOKUP(D2069,'Species Codes'!B:O,14,0)+VLOOKUP(D2069,'Species Codes'!B:P,15,0)*LN((E2069*2.54)))*(1/(VLOOKUP(D2069,'Species Codes'!B:Q,16,0)+VLOOKUP(D2069,'Species Codes'!B:R,17,0)*((E2069*2.54)^VLOOKUP(D2069,'Species Codes'!B:S,18,0)))),IF(OR(D2069="BM",D2069="MD",D2069="OA"),EXP(VLOOKUP(D2069,'Species Codes'!B:O,14,0)+VLOOKUP(D2069,'Species Codes'!B:P,15,0)*LN((E2069*2.54)))*(1-(1/(VLOOKUP(D2069,'Species Codes'!B:Q,16,0)+VLOOKUP(D2069,'Species Codes'!B:R,17,0)*((E2069*2.54)^VLOOKUP(D2069,'Species Codes'!B:S,18,0)))))/1000,IF(D2069="DF",EXP(VLOOKUP(D2069,'Species Codes'!B:O,14,0)+VLOOKUP(D2069,'Species Codes'!B:P,15,0)*LN((E2069*2.54))),VLOOKUP(D2069,'Species Codes'!B:O,14,0)+VLOOKUP(D2069,'Species Codes'!B:P,15,0)*(((E2069*2.54)/100)^2)*(I2069*0.3048)))))*0.0011023),0)</f>
        <v>#N/A</v>
      </c>
      <c r="AD2069" s="104" t="e">
        <f t="shared" si="895"/>
        <v>#N/A</v>
      </c>
      <c r="AE2069" s="104" t="e">
        <f t="shared" si="896"/>
        <v>#N/A</v>
      </c>
      <c r="AF2069" s="104" t="e">
        <f>IF(AND(VLOOKUP($D2069,Merchantability!$B:$C,2,0)="Yes",$E2069&gt;=VLOOKUP($D2069,Merchantability!$B:$D,3,0),$E2069&lt;=VLOOKUP($D2069,Merchantability!$B:$E,4,0)),AA2069,0)</f>
        <v>#N/A</v>
      </c>
      <c r="AG2069" s="104" t="e">
        <f>IF(AND(VLOOKUP($D2069,Merchantability!$B:$C,2,0)="Yes",$E2069&gt;=VLOOKUP($D2069,Merchantability!$B:$D,3,0),$E2069&lt;=VLOOKUP($D2069,Merchantability!$B:$E,4,0)),AB2069,0)</f>
        <v>#N/A</v>
      </c>
      <c r="AH2069" s="104" t="e">
        <f>IF(AND(VLOOKUP($D2069,Merchantability!$B:$C,2,0)="Yes",$E2069&gt;=VLOOKUP($D2069,Merchantability!$B:$D,3,0),$E2069&lt;=VLOOKUP($D2069,Merchantability!$B:$E,4,0)),AC2069,0)</f>
        <v>#N/A</v>
      </c>
      <c r="AI2069" s="104" t="e">
        <f t="shared" si="897"/>
        <v>#N/A</v>
      </c>
      <c r="AJ2069" s="104" t="e">
        <f t="shared" si="898"/>
        <v>#VALUE!</v>
      </c>
      <c r="AK2069" s="104" t="e">
        <f t="shared" si="899"/>
        <v>#N/A</v>
      </c>
      <c r="AL2069" s="104" t="e">
        <f t="shared" si="900"/>
        <v>#N/A</v>
      </c>
      <c r="AM2069" s="104" t="e">
        <f t="shared" si="901"/>
        <v>#N/A</v>
      </c>
      <c r="AN2069" s="104" t="e">
        <f t="shared" si="912"/>
        <v>#N/A</v>
      </c>
      <c r="AO2069" s="104" t="e">
        <f t="shared" si="913"/>
        <v>#N/A</v>
      </c>
      <c r="AP2069" s="104" t="e">
        <f t="shared" si="914"/>
        <v>#N/A</v>
      </c>
      <c r="AQ2069" s="104" t="e">
        <f t="shared" si="915"/>
        <v>#N/A</v>
      </c>
      <c r="AR2069" s="105" t="str">
        <f t="shared" si="907"/>
        <v/>
      </c>
      <c r="AS2069" s="105" t="str">
        <f t="shared" si="908"/>
        <v/>
      </c>
      <c r="AT2069" s="108" t="str">
        <f t="shared" si="909"/>
        <v/>
      </c>
      <c r="AU2069" s="108" t="str">
        <f t="shared" si="910"/>
        <v/>
      </c>
      <c r="AV2069" s="107" t="str">
        <f>IF(ISNUMBER(O2069),IF(VLOOKUP($A2069,Stand!C:J,8,FALSE)="Short",AT2069,AU2069),"")</f>
        <v/>
      </c>
      <c r="AW2069" s="109" t="str">
        <f t="shared" si="916"/>
        <v/>
      </c>
      <c r="AX2069" s="109" t="str">
        <f t="shared" si="917"/>
        <v/>
      </c>
      <c r="AY2069" s="112" t="str">
        <f>IF(ISNUMBER(O2069),IF(AND(VLOOKUP($D2069,Merchantability!$B:$C,2,0)="Yes",$E2069&gt;=VLOOKUP($D2069,Merchantability!$B:$D,3,0),$E2069&lt;=VLOOKUP($D2069,Merchantability!$B:$E,4,0)),(AV2069*O2069)*(1-$H2069/100),""),"")</f>
        <v/>
      </c>
      <c r="AZ2069" s="116"/>
      <c r="BA2069" s="116"/>
      <c r="BB2069" s="116"/>
      <c r="BE2069" s="62"/>
      <c r="BF2069" s="63"/>
    </row>
    <row r="2070" spans="1:58" ht="12.75" customHeight="1" x14ac:dyDescent="0.25">
      <c r="A2070" s="334"/>
      <c r="B2070" s="334"/>
      <c r="C2070" s="332"/>
      <c r="D2070" s="334"/>
      <c r="E2070" s="335"/>
      <c r="F2070" s="334"/>
      <c r="G2070" s="332"/>
      <c r="H2070" s="332"/>
      <c r="I2070" s="334"/>
      <c r="J2070" s="336"/>
      <c r="K2070" s="332"/>
      <c r="L2070" s="332"/>
      <c r="M2070" s="76"/>
      <c r="N2070" s="103" t="str">
        <f>IF(A2070="","",VLOOKUP(A2070,Stand!C:K,9,0))</f>
        <v/>
      </c>
      <c r="O2070" s="104" t="str">
        <f t="shared" si="902"/>
        <v/>
      </c>
      <c r="P2070" s="105" t="str">
        <f t="shared" si="903"/>
        <v/>
      </c>
      <c r="Q2070" s="105" t="str">
        <f t="shared" si="891"/>
        <v/>
      </c>
      <c r="R2070" s="103" t="str">
        <f t="shared" si="904"/>
        <v/>
      </c>
      <c r="S2070" s="103" t="str">
        <f t="shared" si="905"/>
        <v/>
      </c>
      <c r="T2070" s="106" t="str">
        <f t="shared" si="892"/>
        <v/>
      </c>
      <c r="U2070" s="106" t="str">
        <f t="shared" si="893"/>
        <v/>
      </c>
      <c r="V2070" s="106" t="str">
        <f t="shared" si="894"/>
        <v/>
      </c>
      <c r="W2070" s="105" t="str">
        <f t="shared" si="906"/>
        <v/>
      </c>
      <c r="X2070" s="104" t="str">
        <f t="shared" si="911"/>
        <v/>
      </c>
      <c r="Y2070" s="104" t="str">
        <f t="array" ref="Y2070">IFERROR(IF(ISNUMBER(O2070),IF(COUNT(IF(A2070=$A$2:$A$2427,IF(D2070=$D$2:$D$2427,IF($X$2:$X$2427&gt;0,1))))&gt;0,SUM(IF(A2070=$A$2:$A$2427,IF(D2070=$D$2:$D$2427,$X$2:$X$2427)))/COUNT(IF(A2070=$A$2:$A$2427,IF(D2070=$D$2:$D$2427,IF(ISNUMBER($X$2:$X$2427),1)))),0),""),0)</f>
        <v/>
      </c>
      <c r="Z2070" s="104" t="str">
        <f>IF(ISNUMBER(O2070),IF(I2070&gt;0,(10^(VLOOKUP(D2070,'Species Codes'!B:C,2,0)+VLOOKUP(D2070,'Species Codes'!B:D,3,0)*LOG(E2070)+VLOOKUP(D2070,'Species Codes'!B:E,4,0)*LOG(I2070))),0),"")</f>
        <v/>
      </c>
      <c r="AA2070" s="104" t="str">
        <f>IFERROR((VLOOKUP(D2070,'Species Codes'!B:G,6,0)*Z2070)/2000,"")</f>
        <v/>
      </c>
      <c r="AB2070" s="104" t="e">
        <f>IF(Z2070&gt;0,((IF(OR(D2070="DF",D2070="RA")=TRUE,EXP(VLOOKUP(D2070,'Species Codes'!B:I,8,0)+VLOOKUP(D2070,'Species Codes'!B:J,9,0)*(LN((E2070*2.54)))),IF(OR(D2070="PY",D2070="RC",D2070="WH",D2070="NF")=TRUE,VLOOKUP(D2070,'Species Codes'!B:I,8,0)+VLOOKUP(D2070,'Species Codes'!B:J,9,0)*((E2070*2.54)^2)*(I2070*0.3048),IF(OR(D2070="MD",D2070="BM",D2070="GA")=TRUE,((VLOOKUP(D2070,'Species Codes'!B:I,8,0)*(((((E2070*2.54)+VLOOKUP(D2070,'Species Codes'!B:J,9,0))/VLOOKUP(D2070,'Species Codes'!B:K,10,0))^VLOOKUP(D2070,'Species Codes'!B:L,11,0))*((I2070*0.3048)^VLOOKUP(D2070,'Species Codes'!B:M,12,0))))-(VLOOKUP(D2070,'Species Codes'!B:I,8,0)*((((E2070*2.54)^VLOOKUP(D2070,'Species Codes'!B:L,11,0))*((I2070*0.3048)^VLOOKUP(D2070,'Species Codes'!B:M,12,0))))))*35.3*VLOOKUP(D2070,'Species Codes'!B:G,6,0)/2.2046,VLOOKUP(D2070,'Species Codes'!B:I,8,0)+VLOOKUP(D2070,'Species Codes'!B:J,9,0)*(((E2070*2.54)/100)^2)*(I2070*0.3048)))))*0.0011023),0)</f>
        <v>#N/A</v>
      </c>
      <c r="AC2070" s="104" t="e">
        <f>IF(Z2070&gt;0,((IF(OR(D2070="RA",D2070="OA",D2070="OT",D2070="UN",D2070="PC"),EXP(VLOOKUP(D2070,'Species Codes'!B:O,14,0)+VLOOKUP(D2070,'Species Codes'!B:P,15,0)*LN((E2070*2.54)))-EXP(VLOOKUP(D2070,'Species Codes'!B:O,14,0)+VLOOKUP(D2070,'Species Codes'!B:P,15,0)*LN((E2070*2.54)))*(1/(VLOOKUP(D2070,'Species Codes'!B:Q,16,0)+VLOOKUP(D2070,'Species Codes'!B:R,17,0)*((E2070*2.54)^VLOOKUP(D2070,'Species Codes'!B:S,18,0)))),IF(OR(D2070="BM",D2070="MD",D2070="OA"),EXP(VLOOKUP(D2070,'Species Codes'!B:O,14,0)+VLOOKUP(D2070,'Species Codes'!B:P,15,0)*LN((E2070*2.54)))*(1-(1/(VLOOKUP(D2070,'Species Codes'!B:Q,16,0)+VLOOKUP(D2070,'Species Codes'!B:R,17,0)*((E2070*2.54)^VLOOKUP(D2070,'Species Codes'!B:S,18,0)))))/1000,IF(D2070="DF",EXP(VLOOKUP(D2070,'Species Codes'!B:O,14,0)+VLOOKUP(D2070,'Species Codes'!B:P,15,0)*LN((E2070*2.54))),VLOOKUP(D2070,'Species Codes'!B:O,14,0)+VLOOKUP(D2070,'Species Codes'!B:P,15,0)*(((E2070*2.54)/100)^2)*(I2070*0.3048)))))*0.0011023),0)</f>
        <v>#N/A</v>
      </c>
      <c r="AD2070" s="104" t="e">
        <f t="shared" si="895"/>
        <v>#N/A</v>
      </c>
      <c r="AE2070" s="104" t="e">
        <f t="shared" si="896"/>
        <v>#N/A</v>
      </c>
      <c r="AF2070" s="104" t="e">
        <f>IF(AND(VLOOKUP($D2070,Merchantability!$B:$C,2,0)="Yes",$E2070&gt;=VLOOKUP($D2070,Merchantability!$B:$D,3,0),$E2070&lt;=VLOOKUP($D2070,Merchantability!$B:$E,4,0)),AA2070,0)</f>
        <v>#N/A</v>
      </c>
      <c r="AG2070" s="104" t="e">
        <f>IF(AND(VLOOKUP($D2070,Merchantability!$B:$C,2,0)="Yes",$E2070&gt;=VLOOKUP($D2070,Merchantability!$B:$D,3,0),$E2070&lt;=VLOOKUP($D2070,Merchantability!$B:$E,4,0)),AB2070,0)</f>
        <v>#N/A</v>
      </c>
      <c r="AH2070" s="104" t="e">
        <f>IF(AND(VLOOKUP($D2070,Merchantability!$B:$C,2,0)="Yes",$E2070&gt;=VLOOKUP($D2070,Merchantability!$B:$D,3,0),$E2070&lt;=VLOOKUP($D2070,Merchantability!$B:$E,4,0)),AC2070,0)</f>
        <v>#N/A</v>
      </c>
      <c r="AI2070" s="104" t="e">
        <f t="shared" si="897"/>
        <v>#N/A</v>
      </c>
      <c r="AJ2070" s="104" t="e">
        <f t="shared" si="898"/>
        <v>#VALUE!</v>
      </c>
      <c r="AK2070" s="104" t="e">
        <f t="shared" si="899"/>
        <v>#N/A</v>
      </c>
      <c r="AL2070" s="104" t="e">
        <f t="shared" si="900"/>
        <v>#N/A</v>
      </c>
      <c r="AM2070" s="104" t="e">
        <f t="shared" si="901"/>
        <v>#N/A</v>
      </c>
      <c r="AN2070" s="104" t="e">
        <f t="shared" si="912"/>
        <v>#N/A</v>
      </c>
      <c r="AO2070" s="104" t="e">
        <f t="shared" si="913"/>
        <v>#N/A</v>
      </c>
      <c r="AP2070" s="104" t="e">
        <f t="shared" si="914"/>
        <v>#N/A</v>
      </c>
      <c r="AQ2070" s="104" t="e">
        <f t="shared" si="915"/>
        <v>#N/A</v>
      </c>
      <c r="AR2070" s="105" t="str">
        <f t="shared" si="907"/>
        <v/>
      </c>
      <c r="AS2070" s="105" t="str">
        <f t="shared" si="908"/>
        <v/>
      </c>
      <c r="AT2070" s="108" t="str">
        <f t="shared" si="909"/>
        <v/>
      </c>
      <c r="AU2070" s="108" t="str">
        <f t="shared" si="910"/>
        <v/>
      </c>
      <c r="AV2070" s="107" t="str">
        <f>IF(ISNUMBER(O2070),IF(VLOOKUP($A2070,Stand!C:J,8,FALSE)="Short",AT2070,AU2070),"")</f>
        <v/>
      </c>
      <c r="AW2070" s="109" t="str">
        <f t="shared" si="916"/>
        <v/>
      </c>
      <c r="AX2070" s="109" t="str">
        <f t="shared" si="917"/>
        <v/>
      </c>
      <c r="AY2070" s="112" t="str">
        <f>IF(ISNUMBER(O2070),IF(AND(VLOOKUP($D2070,Merchantability!$B:$C,2,0)="Yes",$E2070&gt;=VLOOKUP($D2070,Merchantability!$B:$D,3,0),$E2070&lt;=VLOOKUP($D2070,Merchantability!$B:$E,4,0)),(AV2070*O2070)*(1-$H2070/100),""),"")</f>
        <v/>
      </c>
      <c r="AZ2070" s="116"/>
      <c r="BA2070" s="116"/>
      <c r="BB2070" s="116"/>
      <c r="BE2070" s="62"/>
      <c r="BF2070" s="63"/>
    </row>
    <row r="2071" spans="1:58" ht="12.75" customHeight="1" x14ac:dyDescent="0.25">
      <c r="A2071" s="334"/>
      <c r="B2071" s="334"/>
      <c r="C2071" s="332"/>
      <c r="D2071" s="334"/>
      <c r="E2071" s="335"/>
      <c r="F2071" s="334"/>
      <c r="G2071" s="332"/>
      <c r="H2071" s="332"/>
      <c r="I2071" s="334"/>
      <c r="J2071" s="336"/>
      <c r="K2071" s="332"/>
      <c r="L2071" s="332"/>
      <c r="M2071" s="76"/>
      <c r="N2071" s="103" t="str">
        <f>IF(A2071="","",VLOOKUP(A2071,Stand!C:K,9,0))</f>
        <v/>
      </c>
      <c r="O2071" s="104" t="str">
        <f t="shared" si="902"/>
        <v/>
      </c>
      <c r="P2071" s="105" t="str">
        <f t="shared" si="903"/>
        <v/>
      </c>
      <c r="Q2071" s="105" t="str">
        <f t="shared" si="891"/>
        <v/>
      </c>
      <c r="R2071" s="103" t="str">
        <f t="shared" si="904"/>
        <v/>
      </c>
      <c r="S2071" s="103" t="str">
        <f t="shared" si="905"/>
        <v/>
      </c>
      <c r="T2071" s="106" t="str">
        <f t="shared" si="892"/>
        <v/>
      </c>
      <c r="U2071" s="106" t="str">
        <f t="shared" si="893"/>
        <v/>
      </c>
      <c r="V2071" s="106" t="str">
        <f t="shared" si="894"/>
        <v/>
      </c>
      <c r="W2071" s="105" t="str">
        <f t="shared" si="906"/>
        <v/>
      </c>
      <c r="X2071" s="104" t="str">
        <f t="shared" si="911"/>
        <v/>
      </c>
      <c r="Y2071" s="104" t="str">
        <f t="array" ref="Y2071">IFERROR(IF(ISNUMBER(O2071),IF(COUNT(IF(A2071=$A$2:$A$2427,IF(D2071=$D$2:$D$2427,IF($X$2:$X$2427&gt;0,1))))&gt;0,SUM(IF(A2071=$A$2:$A$2427,IF(D2071=$D$2:$D$2427,$X$2:$X$2427)))/COUNT(IF(A2071=$A$2:$A$2427,IF(D2071=$D$2:$D$2427,IF(ISNUMBER($X$2:$X$2427),1)))),0),""),0)</f>
        <v/>
      </c>
      <c r="Z2071" s="104" t="str">
        <f>IF(ISNUMBER(O2071),IF(I2071&gt;0,(10^(VLOOKUP(D2071,'Species Codes'!B:C,2,0)+VLOOKUP(D2071,'Species Codes'!B:D,3,0)*LOG(E2071)+VLOOKUP(D2071,'Species Codes'!B:E,4,0)*LOG(I2071))),0),"")</f>
        <v/>
      </c>
      <c r="AA2071" s="104" t="str">
        <f>IFERROR((VLOOKUP(D2071,'Species Codes'!B:G,6,0)*Z2071)/2000,"")</f>
        <v/>
      </c>
      <c r="AB2071" s="104" t="e">
        <f>IF(Z2071&gt;0,((IF(OR(D2071="DF",D2071="RA")=TRUE,EXP(VLOOKUP(D2071,'Species Codes'!B:I,8,0)+VLOOKUP(D2071,'Species Codes'!B:J,9,0)*(LN((E2071*2.54)))),IF(OR(D2071="PY",D2071="RC",D2071="WH",D2071="NF")=TRUE,VLOOKUP(D2071,'Species Codes'!B:I,8,0)+VLOOKUP(D2071,'Species Codes'!B:J,9,0)*((E2071*2.54)^2)*(I2071*0.3048),IF(OR(D2071="MD",D2071="BM",D2071="GA")=TRUE,((VLOOKUP(D2071,'Species Codes'!B:I,8,0)*(((((E2071*2.54)+VLOOKUP(D2071,'Species Codes'!B:J,9,0))/VLOOKUP(D2071,'Species Codes'!B:K,10,0))^VLOOKUP(D2071,'Species Codes'!B:L,11,0))*((I2071*0.3048)^VLOOKUP(D2071,'Species Codes'!B:M,12,0))))-(VLOOKUP(D2071,'Species Codes'!B:I,8,0)*((((E2071*2.54)^VLOOKUP(D2071,'Species Codes'!B:L,11,0))*((I2071*0.3048)^VLOOKUP(D2071,'Species Codes'!B:M,12,0))))))*35.3*VLOOKUP(D2071,'Species Codes'!B:G,6,0)/2.2046,VLOOKUP(D2071,'Species Codes'!B:I,8,0)+VLOOKUP(D2071,'Species Codes'!B:J,9,0)*(((E2071*2.54)/100)^2)*(I2071*0.3048)))))*0.0011023),0)</f>
        <v>#N/A</v>
      </c>
      <c r="AC2071" s="104" t="e">
        <f>IF(Z2071&gt;0,((IF(OR(D2071="RA",D2071="OA",D2071="OT",D2071="UN",D2071="PC"),EXP(VLOOKUP(D2071,'Species Codes'!B:O,14,0)+VLOOKUP(D2071,'Species Codes'!B:P,15,0)*LN((E2071*2.54)))-EXP(VLOOKUP(D2071,'Species Codes'!B:O,14,0)+VLOOKUP(D2071,'Species Codes'!B:P,15,0)*LN((E2071*2.54)))*(1/(VLOOKUP(D2071,'Species Codes'!B:Q,16,0)+VLOOKUP(D2071,'Species Codes'!B:R,17,0)*((E2071*2.54)^VLOOKUP(D2071,'Species Codes'!B:S,18,0)))),IF(OR(D2071="BM",D2071="MD",D2071="OA"),EXP(VLOOKUP(D2071,'Species Codes'!B:O,14,0)+VLOOKUP(D2071,'Species Codes'!B:P,15,0)*LN((E2071*2.54)))*(1-(1/(VLOOKUP(D2071,'Species Codes'!B:Q,16,0)+VLOOKUP(D2071,'Species Codes'!B:R,17,0)*((E2071*2.54)^VLOOKUP(D2071,'Species Codes'!B:S,18,0)))))/1000,IF(D2071="DF",EXP(VLOOKUP(D2071,'Species Codes'!B:O,14,0)+VLOOKUP(D2071,'Species Codes'!B:P,15,0)*LN((E2071*2.54))),VLOOKUP(D2071,'Species Codes'!B:O,14,0)+VLOOKUP(D2071,'Species Codes'!B:P,15,0)*(((E2071*2.54)/100)^2)*(I2071*0.3048)))))*0.0011023),0)</f>
        <v>#N/A</v>
      </c>
      <c r="AD2071" s="104" t="e">
        <f t="shared" si="895"/>
        <v>#N/A</v>
      </c>
      <c r="AE2071" s="104" t="e">
        <f t="shared" si="896"/>
        <v>#N/A</v>
      </c>
      <c r="AF2071" s="104" t="e">
        <f>IF(AND(VLOOKUP($D2071,Merchantability!$B:$C,2,0)="Yes",$E2071&gt;=VLOOKUP($D2071,Merchantability!$B:$D,3,0),$E2071&lt;=VLOOKUP($D2071,Merchantability!$B:$E,4,0)),AA2071,0)</f>
        <v>#N/A</v>
      </c>
      <c r="AG2071" s="104" t="e">
        <f>IF(AND(VLOOKUP($D2071,Merchantability!$B:$C,2,0)="Yes",$E2071&gt;=VLOOKUP($D2071,Merchantability!$B:$D,3,0),$E2071&lt;=VLOOKUP($D2071,Merchantability!$B:$E,4,0)),AB2071,0)</f>
        <v>#N/A</v>
      </c>
      <c r="AH2071" s="104" t="e">
        <f>IF(AND(VLOOKUP($D2071,Merchantability!$B:$C,2,0)="Yes",$E2071&gt;=VLOOKUP($D2071,Merchantability!$B:$D,3,0),$E2071&lt;=VLOOKUP($D2071,Merchantability!$B:$E,4,0)),AC2071,0)</f>
        <v>#N/A</v>
      </c>
      <c r="AI2071" s="104" t="e">
        <f t="shared" si="897"/>
        <v>#N/A</v>
      </c>
      <c r="AJ2071" s="104" t="e">
        <f t="shared" si="898"/>
        <v>#VALUE!</v>
      </c>
      <c r="AK2071" s="104" t="e">
        <f t="shared" si="899"/>
        <v>#N/A</v>
      </c>
      <c r="AL2071" s="104" t="e">
        <f t="shared" si="900"/>
        <v>#N/A</v>
      </c>
      <c r="AM2071" s="104" t="e">
        <f t="shared" si="901"/>
        <v>#N/A</v>
      </c>
      <c r="AN2071" s="104" t="e">
        <f t="shared" si="912"/>
        <v>#N/A</v>
      </c>
      <c r="AO2071" s="104" t="e">
        <f t="shared" si="913"/>
        <v>#N/A</v>
      </c>
      <c r="AP2071" s="104" t="e">
        <f t="shared" si="914"/>
        <v>#N/A</v>
      </c>
      <c r="AQ2071" s="104" t="e">
        <f t="shared" si="915"/>
        <v>#N/A</v>
      </c>
      <c r="AR2071" s="105" t="str">
        <f t="shared" si="907"/>
        <v/>
      </c>
      <c r="AS2071" s="105" t="str">
        <f t="shared" si="908"/>
        <v/>
      </c>
      <c r="AT2071" s="108" t="str">
        <f t="shared" si="909"/>
        <v/>
      </c>
      <c r="AU2071" s="108" t="str">
        <f t="shared" si="910"/>
        <v/>
      </c>
      <c r="AV2071" s="107" t="str">
        <f>IF(ISNUMBER(O2071),IF(VLOOKUP($A2071,Stand!C:J,8,FALSE)="Short",AT2071,AU2071),"")</f>
        <v/>
      </c>
      <c r="AW2071" s="109" t="str">
        <f t="shared" si="916"/>
        <v/>
      </c>
      <c r="AX2071" s="109" t="str">
        <f t="shared" si="917"/>
        <v/>
      </c>
      <c r="AY2071" s="112" t="str">
        <f>IF(ISNUMBER(O2071),IF(AND(VLOOKUP($D2071,Merchantability!$B:$C,2,0)="Yes",$E2071&gt;=VLOOKUP($D2071,Merchantability!$B:$D,3,0),$E2071&lt;=VLOOKUP($D2071,Merchantability!$B:$E,4,0)),(AV2071*O2071)*(1-$H2071/100),""),"")</f>
        <v/>
      </c>
      <c r="AZ2071" s="116"/>
      <c r="BA2071" s="116"/>
      <c r="BB2071" s="116"/>
      <c r="BE2071" s="62"/>
      <c r="BF2071" s="63"/>
    </row>
    <row r="2072" spans="1:58" ht="12.75" customHeight="1" x14ac:dyDescent="0.25">
      <c r="A2072" s="334"/>
      <c r="B2072" s="334"/>
      <c r="C2072" s="332"/>
      <c r="D2072" s="334"/>
      <c r="E2072" s="335"/>
      <c r="F2072" s="334"/>
      <c r="G2072" s="332"/>
      <c r="H2072" s="332"/>
      <c r="I2072" s="334"/>
      <c r="J2072" s="336"/>
      <c r="K2072" s="332"/>
      <c r="L2072" s="332"/>
      <c r="M2072" s="76"/>
      <c r="N2072" s="103" t="str">
        <f>IF(A2072="","",VLOOKUP(A2072,Stand!C:K,9,0))</f>
        <v/>
      </c>
      <c r="O2072" s="104" t="str">
        <f t="shared" si="902"/>
        <v/>
      </c>
      <c r="P2072" s="105" t="str">
        <f t="shared" si="903"/>
        <v/>
      </c>
      <c r="Q2072" s="105" t="str">
        <f t="shared" si="891"/>
        <v/>
      </c>
      <c r="R2072" s="103" t="str">
        <f t="shared" si="904"/>
        <v/>
      </c>
      <c r="S2072" s="103" t="str">
        <f t="shared" si="905"/>
        <v/>
      </c>
      <c r="T2072" s="106" t="str">
        <f t="shared" si="892"/>
        <v/>
      </c>
      <c r="U2072" s="106" t="str">
        <f t="shared" si="893"/>
        <v/>
      </c>
      <c r="V2072" s="106" t="str">
        <f t="shared" si="894"/>
        <v/>
      </c>
      <c r="W2072" s="105" t="str">
        <f t="shared" si="906"/>
        <v/>
      </c>
      <c r="X2072" s="104" t="str">
        <f t="shared" si="911"/>
        <v/>
      </c>
      <c r="Y2072" s="104" t="str">
        <f t="array" ref="Y2072">IFERROR(IF(ISNUMBER(O2072),IF(COUNT(IF(A2072=$A$2:$A$2427,IF(D2072=$D$2:$D$2427,IF($X$2:$X$2427&gt;0,1))))&gt;0,SUM(IF(A2072=$A$2:$A$2427,IF(D2072=$D$2:$D$2427,$X$2:$X$2427)))/COUNT(IF(A2072=$A$2:$A$2427,IF(D2072=$D$2:$D$2427,IF(ISNUMBER($X$2:$X$2427),1)))),0),""),0)</f>
        <v/>
      </c>
      <c r="Z2072" s="104" t="str">
        <f>IF(ISNUMBER(O2072),IF(I2072&gt;0,(10^(VLOOKUP(D2072,'Species Codes'!B:C,2,0)+VLOOKUP(D2072,'Species Codes'!B:D,3,0)*LOG(E2072)+VLOOKUP(D2072,'Species Codes'!B:E,4,0)*LOG(I2072))),0),"")</f>
        <v/>
      </c>
      <c r="AA2072" s="104" t="str">
        <f>IFERROR((VLOOKUP(D2072,'Species Codes'!B:G,6,0)*Z2072)/2000,"")</f>
        <v/>
      </c>
      <c r="AB2072" s="104" t="e">
        <f>IF(Z2072&gt;0,((IF(OR(D2072="DF",D2072="RA")=TRUE,EXP(VLOOKUP(D2072,'Species Codes'!B:I,8,0)+VLOOKUP(D2072,'Species Codes'!B:J,9,0)*(LN((E2072*2.54)))),IF(OR(D2072="PY",D2072="RC",D2072="WH",D2072="NF")=TRUE,VLOOKUP(D2072,'Species Codes'!B:I,8,0)+VLOOKUP(D2072,'Species Codes'!B:J,9,0)*((E2072*2.54)^2)*(I2072*0.3048),IF(OR(D2072="MD",D2072="BM",D2072="GA")=TRUE,((VLOOKUP(D2072,'Species Codes'!B:I,8,0)*(((((E2072*2.54)+VLOOKUP(D2072,'Species Codes'!B:J,9,0))/VLOOKUP(D2072,'Species Codes'!B:K,10,0))^VLOOKUP(D2072,'Species Codes'!B:L,11,0))*((I2072*0.3048)^VLOOKUP(D2072,'Species Codes'!B:M,12,0))))-(VLOOKUP(D2072,'Species Codes'!B:I,8,0)*((((E2072*2.54)^VLOOKUP(D2072,'Species Codes'!B:L,11,0))*((I2072*0.3048)^VLOOKUP(D2072,'Species Codes'!B:M,12,0))))))*35.3*VLOOKUP(D2072,'Species Codes'!B:G,6,0)/2.2046,VLOOKUP(D2072,'Species Codes'!B:I,8,0)+VLOOKUP(D2072,'Species Codes'!B:J,9,0)*(((E2072*2.54)/100)^2)*(I2072*0.3048)))))*0.0011023),0)</f>
        <v>#N/A</v>
      </c>
      <c r="AC2072" s="104" t="e">
        <f>IF(Z2072&gt;0,((IF(OR(D2072="RA",D2072="OA",D2072="OT",D2072="UN",D2072="PC"),EXP(VLOOKUP(D2072,'Species Codes'!B:O,14,0)+VLOOKUP(D2072,'Species Codes'!B:P,15,0)*LN((E2072*2.54)))-EXP(VLOOKUP(D2072,'Species Codes'!B:O,14,0)+VLOOKUP(D2072,'Species Codes'!B:P,15,0)*LN((E2072*2.54)))*(1/(VLOOKUP(D2072,'Species Codes'!B:Q,16,0)+VLOOKUP(D2072,'Species Codes'!B:R,17,0)*((E2072*2.54)^VLOOKUP(D2072,'Species Codes'!B:S,18,0)))),IF(OR(D2072="BM",D2072="MD",D2072="OA"),EXP(VLOOKUP(D2072,'Species Codes'!B:O,14,0)+VLOOKUP(D2072,'Species Codes'!B:P,15,0)*LN((E2072*2.54)))*(1-(1/(VLOOKUP(D2072,'Species Codes'!B:Q,16,0)+VLOOKUP(D2072,'Species Codes'!B:R,17,0)*((E2072*2.54)^VLOOKUP(D2072,'Species Codes'!B:S,18,0)))))/1000,IF(D2072="DF",EXP(VLOOKUP(D2072,'Species Codes'!B:O,14,0)+VLOOKUP(D2072,'Species Codes'!B:P,15,0)*LN((E2072*2.54))),VLOOKUP(D2072,'Species Codes'!B:O,14,0)+VLOOKUP(D2072,'Species Codes'!B:P,15,0)*(((E2072*2.54)/100)^2)*(I2072*0.3048)))))*0.0011023),0)</f>
        <v>#N/A</v>
      </c>
      <c r="AD2072" s="104" t="e">
        <f t="shared" si="895"/>
        <v>#N/A</v>
      </c>
      <c r="AE2072" s="104" t="e">
        <f t="shared" si="896"/>
        <v>#N/A</v>
      </c>
      <c r="AF2072" s="104" t="e">
        <f>IF(AND(VLOOKUP($D2072,Merchantability!$B:$C,2,0)="Yes",$E2072&gt;=VLOOKUP($D2072,Merchantability!$B:$D,3,0),$E2072&lt;=VLOOKUP($D2072,Merchantability!$B:$E,4,0)),AA2072,0)</f>
        <v>#N/A</v>
      </c>
      <c r="AG2072" s="104" t="e">
        <f>IF(AND(VLOOKUP($D2072,Merchantability!$B:$C,2,0)="Yes",$E2072&gt;=VLOOKUP($D2072,Merchantability!$B:$D,3,0),$E2072&lt;=VLOOKUP($D2072,Merchantability!$B:$E,4,0)),AB2072,0)</f>
        <v>#N/A</v>
      </c>
      <c r="AH2072" s="104" t="e">
        <f>IF(AND(VLOOKUP($D2072,Merchantability!$B:$C,2,0)="Yes",$E2072&gt;=VLOOKUP($D2072,Merchantability!$B:$D,3,0),$E2072&lt;=VLOOKUP($D2072,Merchantability!$B:$E,4,0)),AC2072,0)</f>
        <v>#N/A</v>
      </c>
      <c r="AI2072" s="104" t="e">
        <f t="shared" si="897"/>
        <v>#N/A</v>
      </c>
      <c r="AJ2072" s="104" t="e">
        <f t="shared" si="898"/>
        <v>#VALUE!</v>
      </c>
      <c r="AK2072" s="104" t="e">
        <f t="shared" si="899"/>
        <v>#N/A</v>
      </c>
      <c r="AL2072" s="104" t="e">
        <f t="shared" si="900"/>
        <v>#N/A</v>
      </c>
      <c r="AM2072" s="104" t="e">
        <f t="shared" si="901"/>
        <v>#N/A</v>
      </c>
      <c r="AN2072" s="104" t="e">
        <f t="shared" si="912"/>
        <v>#N/A</v>
      </c>
      <c r="AO2072" s="104" t="e">
        <f t="shared" si="913"/>
        <v>#N/A</v>
      </c>
      <c r="AP2072" s="104" t="e">
        <f t="shared" si="914"/>
        <v>#N/A</v>
      </c>
      <c r="AQ2072" s="104" t="e">
        <f t="shared" si="915"/>
        <v>#N/A</v>
      </c>
      <c r="AR2072" s="105" t="str">
        <f t="shared" si="907"/>
        <v/>
      </c>
      <c r="AS2072" s="105" t="str">
        <f t="shared" si="908"/>
        <v/>
      </c>
      <c r="AT2072" s="108" t="str">
        <f t="shared" si="909"/>
        <v/>
      </c>
      <c r="AU2072" s="108" t="str">
        <f t="shared" si="910"/>
        <v/>
      </c>
      <c r="AV2072" s="107" t="str">
        <f>IF(ISNUMBER(O2072),IF(VLOOKUP($A2072,Stand!C:J,8,FALSE)="Short",AT2072,AU2072),"")</f>
        <v/>
      </c>
      <c r="AW2072" s="109" t="str">
        <f t="shared" si="916"/>
        <v/>
      </c>
      <c r="AX2072" s="109" t="str">
        <f t="shared" si="917"/>
        <v/>
      </c>
      <c r="AY2072" s="112" t="str">
        <f>IF(ISNUMBER(O2072),IF(AND(VLOOKUP($D2072,Merchantability!$B:$C,2,0)="Yes",$E2072&gt;=VLOOKUP($D2072,Merchantability!$B:$D,3,0),$E2072&lt;=VLOOKUP($D2072,Merchantability!$B:$E,4,0)),(AV2072*O2072)*(1-$H2072/100),""),"")</f>
        <v/>
      </c>
      <c r="AZ2072" s="116"/>
      <c r="BA2072" s="116"/>
      <c r="BB2072" s="116"/>
      <c r="BE2072" s="62"/>
      <c r="BF2072" s="63"/>
    </row>
    <row r="2073" spans="1:58" ht="12.75" customHeight="1" x14ac:dyDescent="0.25">
      <c r="A2073" s="334"/>
      <c r="B2073" s="334"/>
      <c r="C2073" s="332"/>
      <c r="D2073" s="334"/>
      <c r="E2073" s="335"/>
      <c r="F2073" s="334"/>
      <c r="G2073" s="332"/>
      <c r="H2073" s="332"/>
      <c r="I2073" s="334"/>
      <c r="J2073" s="336"/>
      <c r="K2073" s="332"/>
      <c r="L2073" s="332"/>
      <c r="M2073" s="76"/>
      <c r="N2073" s="103" t="str">
        <f>IF(A2073="","",VLOOKUP(A2073,Stand!C:K,9,0))</f>
        <v/>
      </c>
      <c r="O2073" s="104" t="str">
        <f t="shared" si="902"/>
        <v/>
      </c>
      <c r="P2073" s="105" t="str">
        <f t="shared" si="903"/>
        <v/>
      </c>
      <c r="Q2073" s="105" t="str">
        <f t="shared" si="891"/>
        <v/>
      </c>
      <c r="R2073" s="103" t="str">
        <f t="shared" si="904"/>
        <v/>
      </c>
      <c r="S2073" s="103" t="str">
        <f t="shared" si="905"/>
        <v/>
      </c>
      <c r="T2073" s="106" t="str">
        <f t="shared" si="892"/>
        <v/>
      </c>
      <c r="U2073" s="106" t="str">
        <f t="shared" si="893"/>
        <v/>
      </c>
      <c r="V2073" s="106" t="str">
        <f t="shared" si="894"/>
        <v/>
      </c>
      <c r="W2073" s="105" t="str">
        <f t="shared" si="906"/>
        <v/>
      </c>
      <c r="X2073" s="104" t="str">
        <f t="shared" si="911"/>
        <v/>
      </c>
      <c r="Y2073" s="104" t="str">
        <f t="array" ref="Y2073">IFERROR(IF(ISNUMBER(O2073),IF(COUNT(IF(A2073=$A$2:$A$2427,IF(D2073=$D$2:$D$2427,IF($X$2:$X$2427&gt;0,1))))&gt;0,SUM(IF(A2073=$A$2:$A$2427,IF(D2073=$D$2:$D$2427,$X$2:$X$2427)))/COUNT(IF(A2073=$A$2:$A$2427,IF(D2073=$D$2:$D$2427,IF(ISNUMBER($X$2:$X$2427),1)))),0),""),0)</f>
        <v/>
      </c>
      <c r="Z2073" s="104" t="str">
        <f>IF(ISNUMBER(O2073),IF(I2073&gt;0,(10^(VLOOKUP(D2073,'Species Codes'!B:C,2,0)+VLOOKUP(D2073,'Species Codes'!B:D,3,0)*LOG(E2073)+VLOOKUP(D2073,'Species Codes'!B:E,4,0)*LOG(I2073))),0),"")</f>
        <v/>
      </c>
      <c r="AA2073" s="104" t="str">
        <f>IFERROR((VLOOKUP(D2073,'Species Codes'!B:G,6,0)*Z2073)/2000,"")</f>
        <v/>
      </c>
      <c r="AB2073" s="104" t="e">
        <f>IF(Z2073&gt;0,((IF(OR(D2073="DF",D2073="RA")=TRUE,EXP(VLOOKUP(D2073,'Species Codes'!B:I,8,0)+VLOOKUP(D2073,'Species Codes'!B:J,9,0)*(LN((E2073*2.54)))),IF(OR(D2073="PY",D2073="RC",D2073="WH",D2073="NF")=TRUE,VLOOKUP(D2073,'Species Codes'!B:I,8,0)+VLOOKUP(D2073,'Species Codes'!B:J,9,0)*((E2073*2.54)^2)*(I2073*0.3048),IF(OR(D2073="MD",D2073="BM",D2073="GA")=TRUE,((VLOOKUP(D2073,'Species Codes'!B:I,8,0)*(((((E2073*2.54)+VLOOKUP(D2073,'Species Codes'!B:J,9,0))/VLOOKUP(D2073,'Species Codes'!B:K,10,0))^VLOOKUP(D2073,'Species Codes'!B:L,11,0))*((I2073*0.3048)^VLOOKUP(D2073,'Species Codes'!B:M,12,0))))-(VLOOKUP(D2073,'Species Codes'!B:I,8,0)*((((E2073*2.54)^VLOOKUP(D2073,'Species Codes'!B:L,11,0))*((I2073*0.3048)^VLOOKUP(D2073,'Species Codes'!B:M,12,0))))))*35.3*VLOOKUP(D2073,'Species Codes'!B:G,6,0)/2.2046,VLOOKUP(D2073,'Species Codes'!B:I,8,0)+VLOOKUP(D2073,'Species Codes'!B:J,9,0)*(((E2073*2.54)/100)^2)*(I2073*0.3048)))))*0.0011023),0)</f>
        <v>#N/A</v>
      </c>
      <c r="AC2073" s="104" t="e">
        <f>IF(Z2073&gt;0,((IF(OR(D2073="RA",D2073="OA",D2073="OT",D2073="UN",D2073="PC"),EXP(VLOOKUP(D2073,'Species Codes'!B:O,14,0)+VLOOKUP(D2073,'Species Codes'!B:P,15,0)*LN((E2073*2.54)))-EXP(VLOOKUP(D2073,'Species Codes'!B:O,14,0)+VLOOKUP(D2073,'Species Codes'!B:P,15,0)*LN((E2073*2.54)))*(1/(VLOOKUP(D2073,'Species Codes'!B:Q,16,0)+VLOOKUP(D2073,'Species Codes'!B:R,17,0)*((E2073*2.54)^VLOOKUP(D2073,'Species Codes'!B:S,18,0)))),IF(OR(D2073="BM",D2073="MD",D2073="OA"),EXP(VLOOKUP(D2073,'Species Codes'!B:O,14,0)+VLOOKUP(D2073,'Species Codes'!B:P,15,0)*LN((E2073*2.54)))*(1-(1/(VLOOKUP(D2073,'Species Codes'!B:Q,16,0)+VLOOKUP(D2073,'Species Codes'!B:R,17,0)*((E2073*2.54)^VLOOKUP(D2073,'Species Codes'!B:S,18,0)))))/1000,IF(D2073="DF",EXP(VLOOKUP(D2073,'Species Codes'!B:O,14,0)+VLOOKUP(D2073,'Species Codes'!B:P,15,0)*LN((E2073*2.54))),VLOOKUP(D2073,'Species Codes'!B:O,14,0)+VLOOKUP(D2073,'Species Codes'!B:P,15,0)*(((E2073*2.54)/100)^2)*(I2073*0.3048)))))*0.0011023),0)</f>
        <v>#N/A</v>
      </c>
      <c r="AD2073" s="104" t="e">
        <f t="shared" si="895"/>
        <v>#N/A</v>
      </c>
      <c r="AE2073" s="104" t="e">
        <f t="shared" si="896"/>
        <v>#N/A</v>
      </c>
      <c r="AF2073" s="104" t="e">
        <f>IF(AND(VLOOKUP($D2073,Merchantability!$B:$C,2,0)="Yes",$E2073&gt;=VLOOKUP($D2073,Merchantability!$B:$D,3,0),$E2073&lt;=VLOOKUP($D2073,Merchantability!$B:$E,4,0)),AA2073,0)</f>
        <v>#N/A</v>
      </c>
      <c r="AG2073" s="104" t="e">
        <f>IF(AND(VLOOKUP($D2073,Merchantability!$B:$C,2,0)="Yes",$E2073&gt;=VLOOKUP($D2073,Merchantability!$B:$D,3,0),$E2073&lt;=VLOOKUP($D2073,Merchantability!$B:$E,4,0)),AB2073,0)</f>
        <v>#N/A</v>
      </c>
      <c r="AH2073" s="104" t="e">
        <f>IF(AND(VLOOKUP($D2073,Merchantability!$B:$C,2,0)="Yes",$E2073&gt;=VLOOKUP($D2073,Merchantability!$B:$D,3,0),$E2073&lt;=VLOOKUP($D2073,Merchantability!$B:$E,4,0)),AC2073,0)</f>
        <v>#N/A</v>
      </c>
      <c r="AI2073" s="104" t="e">
        <f t="shared" si="897"/>
        <v>#N/A</v>
      </c>
      <c r="AJ2073" s="104" t="e">
        <f t="shared" si="898"/>
        <v>#VALUE!</v>
      </c>
      <c r="AK2073" s="104" t="e">
        <f t="shared" si="899"/>
        <v>#N/A</v>
      </c>
      <c r="AL2073" s="104" t="e">
        <f t="shared" si="900"/>
        <v>#N/A</v>
      </c>
      <c r="AM2073" s="104" t="e">
        <f t="shared" si="901"/>
        <v>#N/A</v>
      </c>
      <c r="AN2073" s="104" t="e">
        <f t="shared" si="912"/>
        <v>#N/A</v>
      </c>
      <c r="AO2073" s="104" t="e">
        <f t="shared" si="913"/>
        <v>#N/A</v>
      </c>
      <c r="AP2073" s="104" t="e">
        <f t="shared" si="914"/>
        <v>#N/A</v>
      </c>
      <c r="AQ2073" s="104" t="e">
        <f t="shared" si="915"/>
        <v>#N/A</v>
      </c>
      <c r="AR2073" s="105" t="str">
        <f t="shared" si="907"/>
        <v/>
      </c>
      <c r="AS2073" s="105" t="str">
        <f t="shared" si="908"/>
        <v/>
      </c>
      <c r="AT2073" s="108" t="str">
        <f t="shared" si="909"/>
        <v/>
      </c>
      <c r="AU2073" s="108" t="str">
        <f t="shared" si="910"/>
        <v/>
      </c>
      <c r="AV2073" s="107" t="str">
        <f>IF(ISNUMBER(O2073),IF(VLOOKUP($A2073,Stand!C:J,8,FALSE)="Short",AT2073,AU2073),"")</f>
        <v/>
      </c>
      <c r="AW2073" s="109" t="str">
        <f t="shared" si="916"/>
        <v/>
      </c>
      <c r="AX2073" s="109" t="str">
        <f t="shared" si="917"/>
        <v/>
      </c>
      <c r="AY2073" s="112" t="str">
        <f>IF(ISNUMBER(O2073),IF(AND(VLOOKUP($D2073,Merchantability!$B:$C,2,0)="Yes",$E2073&gt;=VLOOKUP($D2073,Merchantability!$B:$D,3,0),$E2073&lt;=VLOOKUP($D2073,Merchantability!$B:$E,4,0)),(AV2073*O2073)*(1-$H2073/100),""),"")</f>
        <v/>
      </c>
      <c r="AZ2073" s="116"/>
      <c r="BA2073" s="116"/>
      <c r="BB2073" s="116"/>
      <c r="BE2073" s="62"/>
      <c r="BF2073" s="63"/>
    </row>
    <row r="2074" spans="1:58" ht="12.75" customHeight="1" x14ac:dyDescent="0.25">
      <c r="A2074" s="334"/>
      <c r="B2074" s="334"/>
      <c r="C2074" s="332"/>
      <c r="D2074" s="334"/>
      <c r="E2074" s="335"/>
      <c r="F2074" s="334"/>
      <c r="G2074" s="332"/>
      <c r="H2074" s="332"/>
      <c r="I2074" s="334"/>
      <c r="J2074" s="336"/>
      <c r="K2074" s="332"/>
      <c r="L2074" s="332"/>
      <c r="M2074" s="76"/>
      <c r="N2074" s="103" t="str">
        <f>IF(A2074="","",VLOOKUP(A2074,Stand!C:K,9,0))</f>
        <v/>
      </c>
      <c r="O2074" s="104" t="str">
        <f t="shared" si="902"/>
        <v/>
      </c>
      <c r="P2074" s="105" t="str">
        <f t="shared" si="903"/>
        <v/>
      </c>
      <c r="Q2074" s="105" t="str">
        <f t="shared" si="891"/>
        <v/>
      </c>
      <c r="R2074" s="103" t="str">
        <f t="shared" si="904"/>
        <v/>
      </c>
      <c r="S2074" s="103" t="str">
        <f t="shared" si="905"/>
        <v/>
      </c>
      <c r="T2074" s="106" t="str">
        <f t="shared" si="892"/>
        <v/>
      </c>
      <c r="U2074" s="106" t="str">
        <f t="shared" si="893"/>
        <v/>
      </c>
      <c r="V2074" s="106" t="str">
        <f t="shared" si="894"/>
        <v/>
      </c>
      <c r="W2074" s="105" t="str">
        <f t="shared" si="906"/>
        <v/>
      </c>
      <c r="X2074" s="104" t="str">
        <f t="shared" si="911"/>
        <v/>
      </c>
      <c r="Y2074" s="104" t="str">
        <f t="array" ref="Y2074">IFERROR(IF(ISNUMBER(O2074),IF(COUNT(IF(A2074=$A$2:$A$2427,IF(D2074=$D$2:$D$2427,IF($X$2:$X$2427&gt;0,1))))&gt;0,SUM(IF(A2074=$A$2:$A$2427,IF(D2074=$D$2:$D$2427,$X$2:$X$2427)))/COUNT(IF(A2074=$A$2:$A$2427,IF(D2074=$D$2:$D$2427,IF(ISNUMBER($X$2:$X$2427),1)))),0),""),0)</f>
        <v/>
      </c>
      <c r="Z2074" s="104" t="str">
        <f>IF(ISNUMBER(O2074),IF(I2074&gt;0,(10^(VLOOKUP(D2074,'Species Codes'!B:C,2,0)+VLOOKUP(D2074,'Species Codes'!B:D,3,0)*LOG(E2074)+VLOOKUP(D2074,'Species Codes'!B:E,4,0)*LOG(I2074))),0),"")</f>
        <v/>
      </c>
      <c r="AA2074" s="104" t="str">
        <f>IFERROR((VLOOKUP(D2074,'Species Codes'!B:G,6,0)*Z2074)/2000,"")</f>
        <v/>
      </c>
      <c r="AB2074" s="104" t="e">
        <f>IF(Z2074&gt;0,((IF(OR(D2074="DF",D2074="RA")=TRUE,EXP(VLOOKUP(D2074,'Species Codes'!B:I,8,0)+VLOOKUP(D2074,'Species Codes'!B:J,9,0)*(LN((E2074*2.54)))),IF(OR(D2074="PY",D2074="RC",D2074="WH",D2074="NF")=TRUE,VLOOKUP(D2074,'Species Codes'!B:I,8,0)+VLOOKUP(D2074,'Species Codes'!B:J,9,0)*((E2074*2.54)^2)*(I2074*0.3048),IF(OR(D2074="MD",D2074="BM",D2074="GA")=TRUE,((VLOOKUP(D2074,'Species Codes'!B:I,8,0)*(((((E2074*2.54)+VLOOKUP(D2074,'Species Codes'!B:J,9,0))/VLOOKUP(D2074,'Species Codes'!B:K,10,0))^VLOOKUP(D2074,'Species Codes'!B:L,11,0))*((I2074*0.3048)^VLOOKUP(D2074,'Species Codes'!B:M,12,0))))-(VLOOKUP(D2074,'Species Codes'!B:I,8,0)*((((E2074*2.54)^VLOOKUP(D2074,'Species Codes'!B:L,11,0))*((I2074*0.3048)^VLOOKUP(D2074,'Species Codes'!B:M,12,0))))))*35.3*VLOOKUP(D2074,'Species Codes'!B:G,6,0)/2.2046,VLOOKUP(D2074,'Species Codes'!B:I,8,0)+VLOOKUP(D2074,'Species Codes'!B:J,9,0)*(((E2074*2.54)/100)^2)*(I2074*0.3048)))))*0.0011023),0)</f>
        <v>#N/A</v>
      </c>
      <c r="AC2074" s="104" t="e">
        <f>IF(Z2074&gt;0,((IF(OR(D2074="RA",D2074="OA",D2074="OT",D2074="UN",D2074="PC"),EXP(VLOOKUP(D2074,'Species Codes'!B:O,14,0)+VLOOKUP(D2074,'Species Codes'!B:P,15,0)*LN((E2074*2.54)))-EXP(VLOOKUP(D2074,'Species Codes'!B:O,14,0)+VLOOKUP(D2074,'Species Codes'!B:P,15,0)*LN((E2074*2.54)))*(1/(VLOOKUP(D2074,'Species Codes'!B:Q,16,0)+VLOOKUP(D2074,'Species Codes'!B:R,17,0)*((E2074*2.54)^VLOOKUP(D2074,'Species Codes'!B:S,18,0)))),IF(OR(D2074="BM",D2074="MD",D2074="OA"),EXP(VLOOKUP(D2074,'Species Codes'!B:O,14,0)+VLOOKUP(D2074,'Species Codes'!B:P,15,0)*LN((E2074*2.54)))*(1-(1/(VLOOKUP(D2074,'Species Codes'!B:Q,16,0)+VLOOKUP(D2074,'Species Codes'!B:R,17,0)*((E2074*2.54)^VLOOKUP(D2074,'Species Codes'!B:S,18,0)))))/1000,IF(D2074="DF",EXP(VLOOKUP(D2074,'Species Codes'!B:O,14,0)+VLOOKUP(D2074,'Species Codes'!B:P,15,0)*LN((E2074*2.54))),VLOOKUP(D2074,'Species Codes'!B:O,14,0)+VLOOKUP(D2074,'Species Codes'!B:P,15,0)*(((E2074*2.54)/100)^2)*(I2074*0.3048)))))*0.0011023),0)</f>
        <v>#N/A</v>
      </c>
      <c r="AD2074" s="104" t="e">
        <f t="shared" si="895"/>
        <v>#N/A</v>
      </c>
      <c r="AE2074" s="104" t="e">
        <f t="shared" si="896"/>
        <v>#N/A</v>
      </c>
      <c r="AF2074" s="104" t="e">
        <f>IF(AND(VLOOKUP($D2074,Merchantability!$B:$C,2,0)="Yes",$E2074&gt;=VLOOKUP($D2074,Merchantability!$B:$D,3,0),$E2074&lt;=VLOOKUP($D2074,Merchantability!$B:$E,4,0)),AA2074,0)</f>
        <v>#N/A</v>
      </c>
      <c r="AG2074" s="104" t="e">
        <f>IF(AND(VLOOKUP($D2074,Merchantability!$B:$C,2,0)="Yes",$E2074&gt;=VLOOKUP($D2074,Merchantability!$B:$D,3,0),$E2074&lt;=VLOOKUP($D2074,Merchantability!$B:$E,4,0)),AB2074,0)</f>
        <v>#N/A</v>
      </c>
      <c r="AH2074" s="104" t="e">
        <f>IF(AND(VLOOKUP($D2074,Merchantability!$B:$C,2,0)="Yes",$E2074&gt;=VLOOKUP($D2074,Merchantability!$B:$D,3,0),$E2074&lt;=VLOOKUP($D2074,Merchantability!$B:$E,4,0)),AC2074,0)</f>
        <v>#N/A</v>
      </c>
      <c r="AI2074" s="104" t="e">
        <f t="shared" si="897"/>
        <v>#N/A</v>
      </c>
      <c r="AJ2074" s="104" t="e">
        <f t="shared" si="898"/>
        <v>#VALUE!</v>
      </c>
      <c r="AK2074" s="104" t="e">
        <f t="shared" si="899"/>
        <v>#N/A</v>
      </c>
      <c r="AL2074" s="104" t="e">
        <f t="shared" si="900"/>
        <v>#N/A</v>
      </c>
      <c r="AM2074" s="104" t="e">
        <f t="shared" si="901"/>
        <v>#N/A</v>
      </c>
      <c r="AN2074" s="104" t="e">
        <f t="shared" si="912"/>
        <v>#N/A</v>
      </c>
      <c r="AO2074" s="104" t="e">
        <f t="shared" si="913"/>
        <v>#N/A</v>
      </c>
      <c r="AP2074" s="104" t="e">
        <f t="shared" si="914"/>
        <v>#N/A</v>
      </c>
      <c r="AQ2074" s="104" t="e">
        <f t="shared" si="915"/>
        <v>#N/A</v>
      </c>
      <c r="AR2074" s="105" t="str">
        <f t="shared" si="907"/>
        <v/>
      </c>
      <c r="AS2074" s="105" t="str">
        <f t="shared" si="908"/>
        <v/>
      </c>
      <c r="AT2074" s="108" t="str">
        <f t="shared" si="909"/>
        <v/>
      </c>
      <c r="AU2074" s="108" t="str">
        <f t="shared" si="910"/>
        <v/>
      </c>
      <c r="AV2074" s="107" t="str">
        <f>IF(ISNUMBER(O2074),IF(VLOOKUP($A2074,Stand!C:J,8,FALSE)="Short",AT2074,AU2074),"")</f>
        <v/>
      </c>
      <c r="AW2074" s="109" t="str">
        <f t="shared" si="916"/>
        <v/>
      </c>
      <c r="AX2074" s="109" t="str">
        <f t="shared" si="917"/>
        <v/>
      </c>
      <c r="AY2074" s="112" t="str">
        <f>IF(ISNUMBER(O2074),IF(AND(VLOOKUP($D2074,Merchantability!$B:$C,2,0)="Yes",$E2074&gt;=VLOOKUP($D2074,Merchantability!$B:$D,3,0),$E2074&lt;=VLOOKUP($D2074,Merchantability!$B:$E,4,0)),(AV2074*O2074)*(1-$H2074/100),""),"")</f>
        <v/>
      </c>
      <c r="AZ2074" s="116"/>
      <c r="BA2074" s="116"/>
      <c r="BB2074" s="116"/>
      <c r="BE2074" s="62"/>
      <c r="BF2074" s="63"/>
    </row>
    <row r="2075" spans="1:58" ht="12.75" customHeight="1" x14ac:dyDescent="0.25">
      <c r="A2075" s="334"/>
      <c r="B2075" s="334"/>
      <c r="C2075" s="332"/>
      <c r="D2075" s="334"/>
      <c r="E2075" s="335"/>
      <c r="F2075" s="334"/>
      <c r="G2075" s="332"/>
      <c r="H2075" s="332"/>
      <c r="I2075" s="334"/>
      <c r="J2075" s="336"/>
      <c r="K2075" s="332"/>
      <c r="L2075" s="332"/>
      <c r="M2075" s="76"/>
      <c r="N2075" s="103" t="str">
        <f>IF(A2075="","",VLOOKUP(A2075,Stand!C:K,9,0))</f>
        <v/>
      </c>
      <c r="O2075" s="104" t="str">
        <f t="shared" si="902"/>
        <v/>
      </c>
      <c r="P2075" s="105" t="str">
        <f t="shared" si="903"/>
        <v/>
      </c>
      <c r="Q2075" s="105" t="str">
        <f t="shared" si="891"/>
        <v/>
      </c>
      <c r="R2075" s="103" t="str">
        <f t="shared" si="904"/>
        <v/>
      </c>
      <c r="S2075" s="103" t="str">
        <f t="shared" si="905"/>
        <v/>
      </c>
      <c r="T2075" s="106" t="str">
        <f t="shared" si="892"/>
        <v/>
      </c>
      <c r="U2075" s="106" t="str">
        <f t="shared" si="893"/>
        <v/>
      </c>
      <c r="V2075" s="106" t="str">
        <f t="shared" si="894"/>
        <v/>
      </c>
      <c r="W2075" s="105" t="str">
        <f t="shared" si="906"/>
        <v/>
      </c>
      <c r="X2075" s="104" t="str">
        <f t="shared" si="911"/>
        <v/>
      </c>
      <c r="Y2075" s="104" t="str">
        <f t="array" ref="Y2075">IFERROR(IF(ISNUMBER(O2075),IF(COUNT(IF(A2075=$A$2:$A$2427,IF(D2075=$D$2:$D$2427,IF($X$2:$X$2427&gt;0,1))))&gt;0,SUM(IF(A2075=$A$2:$A$2427,IF(D2075=$D$2:$D$2427,$X$2:$X$2427)))/COUNT(IF(A2075=$A$2:$A$2427,IF(D2075=$D$2:$D$2427,IF(ISNUMBER($X$2:$X$2427),1)))),0),""),0)</f>
        <v/>
      </c>
      <c r="Z2075" s="104" t="str">
        <f>IF(ISNUMBER(O2075),IF(I2075&gt;0,(10^(VLOOKUP(D2075,'Species Codes'!B:C,2,0)+VLOOKUP(D2075,'Species Codes'!B:D,3,0)*LOG(E2075)+VLOOKUP(D2075,'Species Codes'!B:E,4,0)*LOG(I2075))),0),"")</f>
        <v/>
      </c>
      <c r="AA2075" s="104" t="str">
        <f>IFERROR((VLOOKUP(D2075,'Species Codes'!B:G,6,0)*Z2075)/2000,"")</f>
        <v/>
      </c>
      <c r="AB2075" s="104" t="e">
        <f>IF(Z2075&gt;0,((IF(OR(D2075="DF",D2075="RA")=TRUE,EXP(VLOOKUP(D2075,'Species Codes'!B:I,8,0)+VLOOKUP(D2075,'Species Codes'!B:J,9,0)*(LN((E2075*2.54)))),IF(OR(D2075="PY",D2075="RC",D2075="WH",D2075="NF")=TRUE,VLOOKUP(D2075,'Species Codes'!B:I,8,0)+VLOOKUP(D2075,'Species Codes'!B:J,9,0)*((E2075*2.54)^2)*(I2075*0.3048),IF(OR(D2075="MD",D2075="BM",D2075="GA")=TRUE,((VLOOKUP(D2075,'Species Codes'!B:I,8,0)*(((((E2075*2.54)+VLOOKUP(D2075,'Species Codes'!B:J,9,0))/VLOOKUP(D2075,'Species Codes'!B:K,10,0))^VLOOKUP(D2075,'Species Codes'!B:L,11,0))*((I2075*0.3048)^VLOOKUP(D2075,'Species Codes'!B:M,12,0))))-(VLOOKUP(D2075,'Species Codes'!B:I,8,0)*((((E2075*2.54)^VLOOKUP(D2075,'Species Codes'!B:L,11,0))*((I2075*0.3048)^VLOOKUP(D2075,'Species Codes'!B:M,12,0))))))*35.3*VLOOKUP(D2075,'Species Codes'!B:G,6,0)/2.2046,VLOOKUP(D2075,'Species Codes'!B:I,8,0)+VLOOKUP(D2075,'Species Codes'!B:J,9,0)*(((E2075*2.54)/100)^2)*(I2075*0.3048)))))*0.0011023),0)</f>
        <v>#N/A</v>
      </c>
      <c r="AC2075" s="104" t="e">
        <f>IF(Z2075&gt;0,((IF(OR(D2075="RA",D2075="OA",D2075="OT",D2075="UN",D2075="PC"),EXP(VLOOKUP(D2075,'Species Codes'!B:O,14,0)+VLOOKUP(D2075,'Species Codes'!B:P,15,0)*LN((E2075*2.54)))-EXP(VLOOKUP(D2075,'Species Codes'!B:O,14,0)+VLOOKUP(D2075,'Species Codes'!B:P,15,0)*LN((E2075*2.54)))*(1/(VLOOKUP(D2075,'Species Codes'!B:Q,16,0)+VLOOKUP(D2075,'Species Codes'!B:R,17,0)*((E2075*2.54)^VLOOKUP(D2075,'Species Codes'!B:S,18,0)))),IF(OR(D2075="BM",D2075="MD",D2075="OA"),EXP(VLOOKUP(D2075,'Species Codes'!B:O,14,0)+VLOOKUP(D2075,'Species Codes'!B:P,15,0)*LN((E2075*2.54)))*(1-(1/(VLOOKUP(D2075,'Species Codes'!B:Q,16,0)+VLOOKUP(D2075,'Species Codes'!B:R,17,0)*((E2075*2.54)^VLOOKUP(D2075,'Species Codes'!B:S,18,0)))))/1000,IF(D2075="DF",EXP(VLOOKUP(D2075,'Species Codes'!B:O,14,0)+VLOOKUP(D2075,'Species Codes'!B:P,15,0)*LN((E2075*2.54))),VLOOKUP(D2075,'Species Codes'!B:O,14,0)+VLOOKUP(D2075,'Species Codes'!B:P,15,0)*(((E2075*2.54)/100)^2)*(I2075*0.3048)))))*0.0011023),0)</f>
        <v>#N/A</v>
      </c>
      <c r="AD2075" s="104" t="e">
        <f t="shared" si="895"/>
        <v>#N/A</v>
      </c>
      <c r="AE2075" s="104" t="e">
        <f t="shared" si="896"/>
        <v>#N/A</v>
      </c>
      <c r="AF2075" s="104" t="e">
        <f>IF(AND(VLOOKUP($D2075,Merchantability!$B:$C,2,0)="Yes",$E2075&gt;=VLOOKUP($D2075,Merchantability!$B:$D,3,0),$E2075&lt;=VLOOKUP($D2075,Merchantability!$B:$E,4,0)),AA2075,0)</f>
        <v>#N/A</v>
      </c>
      <c r="AG2075" s="104" t="e">
        <f>IF(AND(VLOOKUP($D2075,Merchantability!$B:$C,2,0)="Yes",$E2075&gt;=VLOOKUP($D2075,Merchantability!$B:$D,3,0),$E2075&lt;=VLOOKUP($D2075,Merchantability!$B:$E,4,0)),AB2075,0)</f>
        <v>#N/A</v>
      </c>
      <c r="AH2075" s="104" t="e">
        <f>IF(AND(VLOOKUP($D2075,Merchantability!$B:$C,2,0)="Yes",$E2075&gt;=VLOOKUP($D2075,Merchantability!$B:$D,3,0),$E2075&lt;=VLOOKUP($D2075,Merchantability!$B:$E,4,0)),AC2075,0)</f>
        <v>#N/A</v>
      </c>
      <c r="AI2075" s="104" t="e">
        <f t="shared" si="897"/>
        <v>#N/A</v>
      </c>
      <c r="AJ2075" s="104" t="e">
        <f t="shared" si="898"/>
        <v>#VALUE!</v>
      </c>
      <c r="AK2075" s="104" t="e">
        <f t="shared" si="899"/>
        <v>#N/A</v>
      </c>
      <c r="AL2075" s="104" t="e">
        <f t="shared" si="900"/>
        <v>#N/A</v>
      </c>
      <c r="AM2075" s="104" t="e">
        <f t="shared" si="901"/>
        <v>#N/A</v>
      </c>
      <c r="AN2075" s="104" t="e">
        <f t="shared" si="912"/>
        <v>#N/A</v>
      </c>
      <c r="AO2075" s="104" t="e">
        <f t="shared" si="913"/>
        <v>#N/A</v>
      </c>
      <c r="AP2075" s="104" t="e">
        <f t="shared" si="914"/>
        <v>#N/A</v>
      </c>
      <c r="AQ2075" s="104" t="e">
        <f t="shared" si="915"/>
        <v>#N/A</v>
      </c>
      <c r="AR2075" s="105" t="str">
        <f t="shared" si="907"/>
        <v/>
      </c>
      <c r="AS2075" s="105" t="str">
        <f t="shared" si="908"/>
        <v/>
      </c>
      <c r="AT2075" s="108" t="str">
        <f t="shared" si="909"/>
        <v/>
      </c>
      <c r="AU2075" s="108" t="str">
        <f t="shared" si="910"/>
        <v/>
      </c>
      <c r="AV2075" s="107" t="str">
        <f>IF(ISNUMBER(O2075),IF(VLOOKUP($A2075,Stand!C:J,8,FALSE)="Short",AT2075,AU2075),"")</f>
        <v/>
      </c>
      <c r="AW2075" s="109" t="str">
        <f t="shared" si="916"/>
        <v/>
      </c>
      <c r="AX2075" s="109" t="str">
        <f t="shared" si="917"/>
        <v/>
      </c>
      <c r="AY2075" s="112" t="str">
        <f>IF(ISNUMBER(O2075),IF(AND(VLOOKUP($D2075,Merchantability!$B:$C,2,0)="Yes",$E2075&gt;=VLOOKUP($D2075,Merchantability!$B:$D,3,0),$E2075&lt;=VLOOKUP($D2075,Merchantability!$B:$E,4,0)),(AV2075*O2075)*(1-$H2075/100),""),"")</f>
        <v/>
      </c>
      <c r="AZ2075" s="116"/>
      <c r="BA2075" s="116"/>
      <c r="BB2075" s="116"/>
      <c r="BE2075" s="62"/>
      <c r="BF2075" s="63"/>
    </row>
    <row r="2076" spans="1:58" ht="12.75" customHeight="1" x14ac:dyDescent="0.25">
      <c r="A2076" s="334"/>
      <c r="B2076" s="334"/>
      <c r="C2076" s="332"/>
      <c r="D2076" s="334"/>
      <c r="E2076" s="335"/>
      <c r="F2076" s="334"/>
      <c r="G2076" s="332"/>
      <c r="H2076" s="332"/>
      <c r="I2076" s="334"/>
      <c r="J2076" s="336"/>
      <c r="K2076" s="332"/>
      <c r="L2076" s="332"/>
      <c r="M2076" s="76"/>
      <c r="N2076" s="103" t="str">
        <f>IF(A2076="","",VLOOKUP(A2076,Stand!C:K,9,0))</f>
        <v/>
      </c>
      <c r="O2076" s="104" t="str">
        <f t="shared" si="902"/>
        <v/>
      </c>
      <c r="P2076" s="105" t="str">
        <f t="shared" si="903"/>
        <v/>
      </c>
      <c r="Q2076" s="105" t="str">
        <f t="shared" si="891"/>
        <v/>
      </c>
      <c r="R2076" s="103" t="str">
        <f t="shared" si="904"/>
        <v/>
      </c>
      <c r="S2076" s="103" t="str">
        <f t="shared" si="905"/>
        <v/>
      </c>
      <c r="T2076" s="106" t="str">
        <f t="shared" si="892"/>
        <v/>
      </c>
      <c r="U2076" s="106" t="str">
        <f t="shared" si="893"/>
        <v/>
      </c>
      <c r="V2076" s="106" t="str">
        <f t="shared" si="894"/>
        <v/>
      </c>
      <c r="W2076" s="105" t="str">
        <f t="shared" si="906"/>
        <v/>
      </c>
      <c r="X2076" s="104" t="str">
        <f t="shared" si="911"/>
        <v/>
      </c>
      <c r="Y2076" s="104" t="str">
        <f t="array" ref="Y2076">IFERROR(IF(ISNUMBER(O2076),IF(COUNT(IF(A2076=$A$2:$A$2427,IF(D2076=$D$2:$D$2427,IF($X$2:$X$2427&gt;0,1))))&gt;0,SUM(IF(A2076=$A$2:$A$2427,IF(D2076=$D$2:$D$2427,$X$2:$X$2427)))/COUNT(IF(A2076=$A$2:$A$2427,IF(D2076=$D$2:$D$2427,IF(ISNUMBER($X$2:$X$2427),1)))),0),""),0)</f>
        <v/>
      </c>
      <c r="Z2076" s="104" t="str">
        <f>IF(ISNUMBER(O2076),IF(I2076&gt;0,(10^(VLOOKUP(D2076,'Species Codes'!B:C,2,0)+VLOOKUP(D2076,'Species Codes'!B:D,3,0)*LOG(E2076)+VLOOKUP(D2076,'Species Codes'!B:E,4,0)*LOG(I2076))),0),"")</f>
        <v/>
      </c>
      <c r="AA2076" s="104" t="str">
        <f>IFERROR((VLOOKUP(D2076,'Species Codes'!B:G,6,0)*Z2076)/2000,"")</f>
        <v/>
      </c>
      <c r="AB2076" s="104" t="e">
        <f>IF(Z2076&gt;0,((IF(OR(D2076="DF",D2076="RA")=TRUE,EXP(VLOOKUP(D2076,'Species Codes'!B:I,8,0)+VLOOKUP(D2076,'Species Codes'!B:J,9,0)*(LN((E2076*2.54)))),IF(OR(D2076="PY",D2076="RC",D2076="WH",D2076="NF")=TRUE,VLOOKUP(D2076,'Species Codes'!B:I,8,0)+VLOOKUP(D2076,'Species Codes'!B:J,9,0)*((E2076*2.54)^2)*(I2076*0.3048),IF(OR(D2076="MD",D2076="BM",D2076="GA")=TRUE,((VLOOKUP(D2076,'Species Codes'!B:I,8,0)*(((((E2076*2.54)+VLOOKUP(D2076,'Species Codes'!B:J,9,0))/VLOOKUP(D2076,'Species Codes'!B:K,10,0))^VLOOKUP(D2076,'Species Codes'!B:L,11,0))*((I2076*0.3048)^VLOOKUP(D2076,'Species Codes'!B:M,12,0))))-(VLOOKUP(D2076,'Species Codes'!B:I,8,0)*((((E2076*2.54)^VLOOKUP(D2076,'Species Codes'!B:L,11,0))*((I2076*0.3048)^VLOOKUP(D2076,'Species Codes'!B:M,12,0))))))*35.3*VLOOKUP(D2076,'Species Codes'!B:G,6,0)/2.2046,VLOOKUP(D2076,'Species Codes'!B:I,8,0)+VLOOKUP(D2076,'Species Codes'!B:J,9,0)*(((E2076*2.54)/100)^2)*(I2076*0.3048)))))*0.0011023),0)</f>
        <v>#N/A</v>
      </c>
      <c r="AC2076" s="104" t="e">
        <f>IF(Z2076&gt;0,((IF(OR(D2076="RA",D2076="OA",D2076="OT",D2076="UN",D2076="PC"),EXP(VLOOKUP(D2076,'Species Codes'!B:O,14,0)+VLOOKUP(D2076,'Species Codes'!B:P,15,0)*LN((E2076*2.54)))-EXP(VLOOKUP(D2076,'Species Codes'!B:O,14,0)+VLOOKUP(D2076,'Species Codes'!B:P,15,0)*LN((E2076*2.54)))*(1/(VLOOKUP(D2076,'Species Codes'!B:Q,16,0)+VLOOKUP(D2076,'Species Codes'!B:R,17,0)*((E2076*2.54)^VLOOKUP(D2076,'Species Codes'!B:S,18,0)))),IF(OR(D2076="BM",D2076="MD",D2076="OA"),EXP(VLOOKUP(D2076,'Species Codes'!B:O,14,0)+VLOOKUP(D2076,'Species Codes'!B:P,15,0)*LN((E2076*2.54)))*(1-(1/(VLOOKUP(D2076,'Species Codes'!B:Q,16,0)+VLOOKUP(D2076,'Species Codes'!B:R,17,0)*((E2076*2.54)^VLOOKUP(D2076,'Species Codes'!B:S,18,0)))))/1000,IF(D2076="DF",EXP(VLOOKUP(D2076,'Species Codes'!B:O,14,0)+VLOOKUP(D2076,'Species Codes'!B:P,15,0)*LN((E2076*2.54))),VLOOKUP(D2076,'Species Codes'!B:O,14,0)+VLOOKUP(D2076,'Species Codes'!B:P,15,0)*(((E2076*2.54)/100)^2)*(I2076*0.3048)))))*0.0011023),0)</f>
        <v>#N/A</v>
      </c>
      <c r="AD2076" s="104" t="e">
        <f t="shared" si="895"/>
        <v>#N/A</v>
      </c>
      <c r="AE2076" s="104" t="e">
        <f t="shared" si="896"/>
        <v>#N/A</v>
      </c>
      <c r="AF2076" s="104" t="e">
        <f>IF(AND(VLOOKUP($D2076,Merchantability!$B:$C,2,0)="Yes",$E2076&gt;=VLOOKUP($D2076,Merchantability!$B:$D,3,0),$E2076&lt;=VLOOKUP($D2076,Merchantability!$B:$E,4,0)),AA2076,0)</f>
        <v>#N/A</v>
      </c>
      <c r="AG2076" s="104" t="e">
        <f>IF(AND(VLOOKUP($D2076,Merchantability!$B:$C,2,0)="Yes",$E2076&gt;=VLOOKUP($D2076,Merchantability!$B:$D,3,0),$E2076&lt;=VLOOKUP($D2076,Merchantability!$B:$E,4,0)),AB2076,0)</f>
        <v>#N/A</v>
      </c>
      <c r="AH2076" s="104" t="e">
        <f>IF(AND(VLOOKUP($D2076,Merchantability!$B:$C,2,0)="Yes",$E2076&gt;=VLOOKUP($D2076,Merchantability!$B:$D,3,0),$E2076&lt;=VLOOKUP($D2076,Merchantability!$B:$E,4,0)),AC2076,0)</f>
        <v>#N/A</v>
      </c>
      <c r="AI2076" s="104" t="e">
        <f t="shared" si="897"/>
        <v>#N/A</v>
      </c>
      <c r="AJ2076" s="104" t="e">
        <f t="shared" si="898"/>
        <v>#VALUE!</v>
      </c>
      <c r="AK2076" s="104" t="e">
        <f t="shared" si="899"/>
        <v>#N/A</v>
      </c>
      <c r="AL2076" s="104" t="e">
        <f t="shared" si="900"/>
        <v>#N/A</v>
      </c>
      <c r="AM2076" s="104" t="e">
        <f t="shared" si="901"/>
        <v>#N/A</v>
      </c>
      <c r="AN2076" s="104" t="e">
        <f t="shared" si="912"/>
        <v>#N/A</v>
      </c>
      <c r="AO2076" s="104" t="e">
        <f t="shared" si="913"/>
        <v>#N/A</v>
      </c>
      <c r="AP2076" s="104" t="e">
        <f t="shared" si="914"/>
        <v>#N/A</v>
      </c>
      <c r="AQ2076" s="104" t="e">
        <f t="shared" si="915"/>
        <v>#N/A</v>
      </c>
      <c r="AR2076" s="105" t="str">
        <f t="shared" si="907"/>
        <v/>
      </c>
      <c r="AS2076" s="105" t="str">
        <f t="shared" si="908"/>
        <v/>
      </c>
      <c r="AT2076" s="108" t="str">
        <f t="shared" si="909"/>
        <v/>
      </c>
      <c r="AU2076" s="108" t="str">
        <f t="shared" si="910"/>
        <v/>
      </c>
      <c r="AV2076" s="107" t="str">
        <f>IF(ISNUMBER(O2076),IF(VLOOKUP($A2076,Stand!C:J,8,FALSE)="Short",AT2076,AU2076),"")</f>
        <v/>
      </c>
      <c r="AW2076" s="109" t="str">
        <f t="shared" si="916"/>
        <v/>
      </c>
      <c r="AX2076" s="109" t="str">
        <f t="shared" si="917"/>
        <v/>
      </c>
      <c r="AY2076" s="112" t="str">
        <f>IF(ISNUMBER(O2076),IF(AND(VLOOKUP($D2076,Merchantability!$B:$C,2,0)="Yes",$E2076&gt;=VLOOKUP($D2076,Merchantability!$B:$D,3,0),$E2076&lt;=VLOOKUP($D2076,Merchantability!$B:$E,4,0)),(AV2076*O2076)*(1-$H2076/100),""),"")</f>
        <v/>
      </c>
      <c r="AZ2076" s="116"/>
      <c r="BA2076" s="116"/>
      <c r="BB2076" s="116"/>
      <c r="BE2076" s="62"/>
      <c r="BF2076" s="63"/>
    </row>
    <row r="2077" spans="1:58" ht="12.75" customHeight="1" x14ac:dyDescent="0.25">
      <c r="A2077" s="334"/>
      <c r="B2077" s="334"/>
      <c r="C2077" s="332"/>
      <c r="D2077" s="334"/>
      <c r="E2077" s="335"/>
      <c r="F2077" s="334"/>
      <c r="G2077" s="332"/>
      <c r="H2077" s="332"/>
      <c r="I2077" s="334"/>
      <c r="J2077" s="336"/>
      <c r="K2077" s="332"/>
      <c r="L2077" s="332"/>
      <c r="M2077" s="76"/>
      <c r="N2077" s="103" t="str">
        <f>IF(A2077="","",VLOOKUP(A2077,Stand!C:K,9,0))</f>
        <v/>
      </c>
      <c r="O2077" s="104" t="str">
        <f t="shared" si="902"/>
        <v/>
      </c>
      <c r="P2077" s="105" t="str">
        <f t="shared" si="903"/>
        <v/>
      </c>
      <c r="Q2077" s="105" t="str">
        <f t="shared" ref="Q2077:Q2140" si="918">IF(AND(ISNUMBER(O2077),I2077&gt;0),I2077*O2077,"")</f>
        <v/>
      </c>
      <c r="R2077" s="103" t="str">
        <f t="shared" si="904"/>
        <v/>
      </c>
      <c r="S2077" s="103" t="str">
        <f t="shared" si="905"/>
        <v/>
      </c>
      <c r="T2077" s="106" t="str">
        <f t="shared" ref="T2077:T2140" si="919">IF(AND(ISNUMBER(O2077),J2077&gt;0),J2077/100,"")</f>
        <v/>
      </c>
      <c r="U2077" s="106" t="str">
        <f t="shared" ref="U2077:U2140" si="920">IF(AND(ISNUMBER(O2077),J2077&gt;0),T2077*O2077,"")</f>
        <v/>
      </c>
      <c r="V2077" s="106" t="str">
        <f t="shared" ref="V2077:V2140" si="921">IF(AND(ISNUMBER(O2077),I2077&gt;0),W2077*O2077,"")</f>
        <v/>
      </c>
      <c r="W2077" s="105" t="str">
        <f t="shared" si="906"/>
        <v/>
      </c>
      <c r="X2077" s="104" t="str">
        <f t="shared" si="911"/>
        <v/>
      </c>
      <c r="Y2077" s="104" t="str">
        <f t="array" ref="Y2077">IFERROR(IF(ISNUMBER(O2077),IF(COUNT(IF(A2077=$A$2:$A$2427,IF(D2077=$D$2:$D$2427,IF($X$2:$X$2427&gt;0,1))))&gt;0,SUM(IF(A2077=$A$2:$A$2427,IF(D2077=$D$2:$D$2427,$X$2:$X$2427)))/COUNT(IF(A2077=$A$2:$A$2427,IF(D2077=$D$2:$D$2427,IF(ISNUMBER($X$2:$X$2427),1)))),0),""),0)</f>
        <v/>
      </c>
      <c r="Z2077" s="104" t="str">
        <f>IF(ISNUMBER(O2077),IF(I2077&gt;0,(10^(VLOOKUP(D2077,'Species Codes'!B:C,2,0)+VLOOKUP(D2077,'Species Codes'!B:D,3,0)*LOG(E2077)+VLOOKUP(D2077,'Species Codes'!B:E,4,0)*LOG(I2077))),0),"")</f>
        <v/>
      </c>
      <c r="AA2077" s="104" t="str">
        <f>IFERROR((VLOOKUP(D2077,'Species Codes'!B:G,6,0)*Z2077)/2000,"")</f>
        <v/>
      </c>
      <c r="AB2077" s="104" t="e">
        <f>IF(Z2077&gt;0,((IF(OR(D2077="DF",D2077="RA")=TRUE,EXP(VLOOKUP(D2077,'Species Codes'!B:I,8,0)+VLOOKUP(D2077,'Species Codes'!B:J,9,0)*(LN((E2077*2.54)))),IF(OR(D2077="PY",D2077="RC",D2077="WH",D2077="NF")=TRUE,VLOOKUP(D2077,'Species Codes'!B:I,8,0)+VLOOKUP(D2077,'Species Codes'!B:J,9,0)*((E2077*2.54)^2)*(I2077*0.3048),IF(OR(D2077="MD",D2077="BM",D2077="GA")=TRUE,((VLOOKUP(D2077,'Species Codes'!B:I,8,0)*(((((E2077*2.54)+VLOOKUP(D2077,'Species Codes'!B:J,9,0))/VLOOKUP(D2077,'Species Codes'!B:K,10,0))^VLOOKUP(D2077,'Species Codes'!B:L,11,0))*((I2077*0.3048)^VLOOKUP(D2077,'Species Codes'!B:M,12,0))))-(VLOOKUP(D2077,'Species Codes'!B:I,8,0)*((((E2077*2.54)^VLOOKUP(D2077,'Species Codes'!B:L,11,0))*((I2077*0.3048)^VLOOKUP(D2077,'Species Codes'!B:M,12,0))))))*35.3*VLOOKUP(D2077,'Species Codes'!B:G,6,0)/2.2046,VLOOKUP(D2077,'Species Codes'!B:I,8,0)+VLOOKUP(D2077,'Species Codes'!B:J,9,0)*(((E2077*2.54)/100)^2)*(I2077*0.3048)))))*0.0011023),0)</f>
        <v>#N/A</v>
      </c>
      <c r="AC2077" s="104" t="e">
        <f>IF(Z2077&gt;0,((IF(OR(D2077="RA",D2077="OA",D2077="OT",D2077="UN",D2077="PC"),EXP(VLOOKUP(D2077,'Species Codes'!B:O,14,0)+VLOOKUP(D2077,'Species Codes'!B:P,15,0)*LN((E2077*2.54)))-EXP(VLOOKUP(D2077,'Species Codes'!B:O,14,0)+VLOOKUP(D2077,'Species Codes'!B:P,15,0)*LN((E2077*2.54)))*(1/(VLOOKUP(D2077,'Species Codes'!B:Q,16,0)+VLOOKUP(D2077,'Species Codes'!B:R,17,0)*((E2077*2.54)^VLOOKUP(D2077,'Species Codes'!B:S,18,0)))),IF(OR(D2077="BM",D2077="MD",D2077="OA"),EXP(VLOOKUP(D2077,'Species Codes'!B:O,14,0)+VLOOKUP(D2077,'Species Codes'!B:P,15,0)*LN((E2077*2.54)))*(1-(1/(VLOOKUP(D2077,'Species Codes'!B:Q,16,0)+VLOOKUP(D2077,'Species Codes'!B:R,17,0)*((E2077*2.54)^VLOOKUP(D2077,'Species Codes'!B:S,18,0)))))/1000,IF(D2077="DF",EXP(VLOOKUP(D2077,'Species Codes'!B:O,14,0)+VLOOKUP(D2077,'Species Codes'!B:P,15,0)*LN((E2077*2.54))),VLOOKUP(D2077,'Species Codes'!B:O,14,0)+VLOOKUP(D2077,'Species Codes'!B:P,15,0)*(((E2077*2.54)/100)^2)*(I2077*0.3048)))))*0.0011023),0)</f>
        <v>#N/A</v>
      </c>
      <c r="AD2077" s="104" t="e">
        <f t="shared" ref="AD2077:AD2140" si="922">SUM(AA2077:AC2077)</f>
        <v>#N/A</v>
      </c>
      <c r="AE2077" s="104" t="e">
        <f t="shared" ref="AE2077:AE2140" si="923">AD2077*O2077</f>
        <v>#N/A</v>
      </c>
      <c r="AF2077" s="104" t="e">
        <f>IF(AND(VLOOKUP($D2077,Merchantability!$B:$C,2,0)="Yes",$E2077&gt;=VLOOKUP($D2077,Merchantability!$B:$D,3,0),$E2077&lt;=VLOOKUP($D2077,Merchantability!$B:$E,4,0)),AA2077,0)</f>
        <v>#N/A</v>
      </c>
      <c r="AG2077" s="104" t="e">
        <f>IF(AND(VLOOKUP($D2077,Merchantability!$B:$C,2,0)="Yes",$E2077&gt;=VLOOKUP($D2077,Merchantability!$B:$D,3,0),$E2077&lt;=VLOOKUP($D2077,Merchantability!$B:$E,4,0)),AB2077,0)</f>
        <v>#N/A</v>
      </c>
      <c r="AH2077" s="104" t="e">
        <f>IF(AND(VLOOKUP($D2077,Merchantability!$B:$C,2,0)="Yes",$E2077&gt;=VLOOKUP($D2077,Merchantability!$B:$D,3,0),$E2077&lt;=VLOOKUP($D2077,Merchantability!$B:$E,4,0)),AC2077,0)</f>
        <v>#N/A</v>
      </c>
      <c r="AI2077" s="104" t="e">
        <f t="shared" ref="AI2077:AI2140" si="924">SUM(AF2077:AH2077)</f>
        <v>#N/A</v>
      </c>
      <c r="AJ2077" s="104" t="e">
        <f t="shared" ref="AJ2077:AJ2140" si="925">AA2077*$O2077</f>
        <v>#VALUE!</v>
      </c>
      <c r="AK2077" s="104" t="e">
        <f t="shared" ref="AK2077:AK2140" si="926">AB2077*$O2077</f>
        <v>#N/A</v>
      </c>
      <c r="AL2077" s="104" t="e">
        <f t="shared" ref="AL2077:AL2140" si="927">AC2077*$O2077</f>
        <v>#N/A</v>
      </c>
      <c r="AM2077" s="104" t="e">
        <f t="shared" ref="AM2077:AM2140" si="928">AD2077*$O2077</f>
        <v>#N/A</v>
      </c>
      <c r="AN2077" s="104" t="e">
        <f t="shared" si="912"/>
        <v>#N/A</v>
      </c>
      <c r="AO2077" s="104" t="e">
        <f t="shared" si="913"/>
        <v>#N/A</v>
      </c>
      <c r="AP2077" s="104" t="e">
        <f t="shared" si="914"/>
        <v>#N/A</v>
      </c>
      <c r="AQ2077" s="104" t="e">
        <f t="shared" si="915"/>
        <v>#N/A</v>
      </c>
      <c r="AR2077" s="105" t="str">
        <f t="shared" si="907"/>
        <v/>
      </c>
      <c r="AS2077" s="105" t="str">
        <f t="shared" si="908"/>
        <v/>
      </c>
      <c r="AT2077" s="108" t="str">
        <f t="shared" si="909"/>
        <v/>
      </c>
      <c r="AU2077" s="108" t="str">
        <f t="shared" si="910"/>
        <v/>
      </c>
      <c r="AV2077" s="107" t="str">
        <f>IF(ISNUMBER(O2077),IF(VLOOKUP($A2077,Stand!C:J,8,FALSE)="Short",AT2077,AU2077),"")</f>
        <v/>
      </c>
      <c r="AW2077" s="109" t="str">
        <f t="shared" si="916"/>
        <v/>
      </c>
      <c r="AX2077" s="109" t="str">
        <f t="shared" si="917"/>
        <v/>
      </c>
      <c r="AY2077" s="112" t="str">
        <f>IF(ISNUMBER(O2077),IF(AND(VLOOKUP($D2077,Merchantability!$B:$C,2,0)="Yes",$E2077&gt;=VLOOKUP($D2077,Merchantability!$B:$D,3,0),$E2077&lt;=VLOOKUP($D2077,Merchantability!$B:$E,4,0)),(AV2077*O2077)*(1-$H2077/100),""),"")</f>
        <v/>
      </c>
      <c r="AZ2077" s="116"/>
      <c r="BA2077" s="116"/>
      <c r="BB2077" s="116"/>
      <c r="BE2077" s="62"/>
      <c r="BF2077" s="63"/>
    </row>
    <row r="2078" spans="1:58" ht="12.75" customHeight="1" x14ac:dyDescent="0.25">
      <c r="A2078" s="334"/>
      <c r="B2078" s="334"/>
      <c r="C2078" s="332"/>
      <c r="D2078" s="334"/>
      <c r="E2078" s="335"/>
      <c r="F2078" s="334"/>
      <c r="G2078" s="332"/>
      <c r="H2078" s="332"/>
      <c r="I2078" s="334"/>
      <c r="J2078" s="336"/>
      <c r="K2078" s="332"/>
      <c r="L2078" s="332"/>
      <c r="M2078" s="76"/>
      <c r="N2078" s="103" t="str">
        <f>IF(A2078="","",VLOOKUP(A2078,Stand!C:K,9,0))</f>
        <v/>
      </c>
      <c r="O2078" s="104" t="str">
        <f t="shared" si="902"/>
        <v/>
      </c>
      <c r="P2078" s="105" t="str">
        <f t="shared" si="903"/>
        <v/>
      </c>
      <c r="Q2078" s="105" t="str">
        <f t="shared" si="918"/>
        <v/>
      </c>
      <c r="R2078" s="103" t="str">
        <f t="shared" si="904"/>
        <v/>
      </c>
      <c r="S2078" s="103" t="str">
        <f t="shared" si="905"/>
        <v/>
      </c>
      <c r="T2078" s="106" t="str">
        <f t="shared" si="919"/>
        <v/>
      </c>
      <c r="U2078" s="106" t="str">
        <f t="shared" si="920"/>
        <v/>
      </c>
      <c r="V2078" s="106" t="str">
        <f t="shared" si="921"/>
        <v/>
      </c>
      <c r="W2078" s="105" t="str">
        <f t="shared" si="906"/>
        <v/>
      </c>
      <c r="X2078" s="104" t="str">
        <f t="shared" si="911"/>
        <v/>
      </c>
      <c r="Y2078" s="104" t="str">
        <f t="array" ref="Y2078">IFERROR(IF(ISNUMBER(O2078),IF(COUNT(IF(A2078=$A$2:$A$2427,IF(D2078=$D$2:$D$2427,IF($X$2:$X$2427&gt;0,1))))&gt;0,SUM(IF(A2078=$A$2:$A$2427,IF(D2078=$D$2:$D$2427,$X$2:$X$2427)))/COUNT(IF(A2078=$A$2:$A$2427,IF(D2078=$D$2:$D$2427,IF(ISNUMBER($X$2:$X$2427),1)))),0),""),0)</f>
        <v/>
      </c>
      <c r="Z2078" s="104" t="str">
        <f>IF(ISNUMBER(O2078),IF(I2078&gt;0,(10^(VLOOKUP(D2078,'Species Codes'!B:C,2,0)+VLOOKUP(D2078,'Species Codes'!B:D,3,0)*LOG(E2078)+VLOOKUP(D2078,'Species Codes'!B:E,4,0)*LOG(I2078))),0),"")</f>
        <v/>
      </c>
      <c r="AA2078" s="104" t="str">
        <f>IFERROR((VLOOKUP(D2078,'Species Codes'!B:G,6,0)*Z2078)/2000,"")</f>
        <v/>
      </c>
      <c r="AB2078" s="104" t="e">
        <f>IF(Z2078&gt;0,((IF(OR(D2078="DF",D2078="RA")=TRUE,EXP(VLOOKUP(D2078,'Species Codes'!B:I,8,0)+VLOOKUP(D2078,'Species Codes'!B:J,9,0)*(LN((E2078*2.54)))),IF(OR(D2078="PY",D2078="RC",D2078="WH",D2078="NF")=TRUE,VLOOKUP(D2078,'Species Codes'!B:I,8,0)+VLOOKUP(D2078,'Species Codes'!B:J,9,0)*((E2078*2.54)^2)*(I2078*0.3048),IF(OR(D2078="MD",D2078="BM",D2078="GA")=TRUE,((VLOOKUP(D2078,'Species Codes'!B:I,8,0)*(((((E2078*2.54)+VLOOKUP(D2078,'Species Codes'!B:J,9,0))/VLOOKUP(D2078,'Species Codes'!B:K,10,0))^VLOOKUP(D2078,'Species Codes'!B:L,11,0))*((I2078*0.3048)^VLOOKUP(D2078,'Species Codes'!B:M,12,0))))-(VLOOKUP(D2078,'Species Codes'!B:I,8,0)*((((E2078*2.54)^VLOOKUP(D2078,'Species Codes'!B:L,11,0))*((I2078*0.3048)^VLOOKUP(D2078,'Species Codes'!B:M,12,0))))))*35.3*VLOOKUP(D2078,'Species Codes'!B:G,6,0)/2.2046,VLOOKUP(D2078,'Species Codes'!B:I,8,0)+VLOOKUP(D2078,'Species Codes'!B:J,9,0)*(((E2078*2.54)/100)^2)*(I2078*0.3048)))))*0.0011023),0)</f>
        <v>#N/A</v>
      </c>
      <c r="AC2078" s="104" t="e">
        <f>IF(Z2078&gt;0,((IF(OR(D2078="RA",D2078="OA",D2078="OT",D2078="UN",D2078="PC"),EXP(VLOOKUP(D2078,'Species Codes'!B:O,14,0)+VLOOKUP(D2078,'Species Codes'!B:P,15,0)*LN((E2078*2.54)))-EXP(VLOOKUP(D2078,'Species Codes'!B:O,14,0)+VLOOKUP(D2078,'Species Codes'!B:P,15,0)*LN((E2078*2.54)))*(1/(VLOOKUP(D2078,'Species Codes'!B:Q,16,0)+VLOOKUP(D2078,'Species Codes'!B:R,17,0)*((E2078*2.54)^VLOOKUP(D2078,'Species Codes'!B:S,18,0)))),IF(OR(D2078="BM",D2078="MD",D2078="OA"),EXP(VLOOKUP(D2078,'Species Codes'!B:O,14,0)+VLOOKUP(D2078,'Species Codes'!B:P,15,0)*LN((E2078*2.54)))*(1-(1/(VLOOKUP(D2078,'Species Codes'!B:Q,16,0)+VLOOKUP(D2078,'Species Codes'!B:R,17,0)*((E2078*2.54)^VLOOKUP(D2078,'Species Codes'!B:S,18,0)))))/1000,IF(D2078="DF",EXP(VLOOKUP(D2078,'Species Codes'!B:O,14,0)+VLOOKUP(D2078,'Species Codes'!B:P,15,0)*LN((E2078*2.54))),VLOOKUP(D2078,'Species Codes'!B:O,14,0)+VLOOKUP(D2078,'Species Codes'!B:P,15,0)*(((E2078*2.54)/100)^2)*(I2078*0.3048)))))*0.0011023),0)</f>
        <v>#N/A</v>
      </c>
      <c r="AD2078" s="104" t="e">
        <f t="shared" si="922"/>
        <v>#N/A</v>
      </c>
      <c r="AE2078" s="104" t="e">
        <f t="shared" si="923"/>
        <v>#N/A</v>
      </c>
      <c r="AF2078" s="104" t="e">
        <f>IF(AND(VLOOKUP($D2078,Merchantability!$B:$C,2,0)="Yes",$E2078&gt;=VLOOKUP($D2078,Merchantability!$B:$D,3,0),$E2078&lt;=VLOOKUP($D2078,Merchantability!$B:$E,4,0)),AA2078,0)</f>
        <v>#N/A</v>
      </c>
      <c r="AG2078" s="104" t="e">
        <f>IF(AND(VLOOKUP($D2078,Merchantability!$B:$C,2,0)="Yes",$E2078&gt;=VLOOKUP($D2078,Merchantability!$B:$D,3,0),$E2078&lt;=VLOOKUP($D2078,Merchantability!$B:$E,4,0)),AB2078,0)</f>
        <v>#N/A</v>
      </c>
      <c r="AH2078" s="104" t="e">
        <f>IF(AND(VLOOKUP($D2078,Merchantability!$B:$C,2,0)="Yes",$E2078&gt;=VLOOKUP($D2078,Merchantability!$B:$D,3,0),$E2078&lt;=VLOOKUP($D2078,Merchantability!$B:$E,4,0)),AC2078,0)</f>
        <v>#N/A</v>
      </c>
      <c r="AI2078" s="104" t="e">
        <f t="shared" si="924"/>
        <v>#N/A</v>
      </c>
      <c r="AJ2078" s="104" t="e">
        <f t="shared" si="925"/>
        <v>#VALUE!</v>
      </c>
      <c r="AK2078" s="104" t="e">
        <f t="shared" si="926"/>
        <v>#N/A</v>
      </c>
      <c r="AL2078" s="104" t="e">
        <f t="shared" si="927"/>
        <v>#N/A</v>
      </c>
      <c r="AM2078" s="104" t="e">
        <f t="shared" si="928"/>
        <v>#N/A</v>
      </c>
      <c r="AN2078" s="104" t="e">
        <f t="shared" si="912"/>
        <v>#N/A</v>
      </c>
      <c r="AO2078" s="104" t="e">
        <f t="shared" si="913"/>
        <v>#N/A</v>
      </c>
      <c r="AP2078" s="104" t="e">
        <f t="shared" si="914"/>
        <v>#N/A</v>
      </c>
      <c r="AQ2078" s="104" t="e">
        <f t="shared" si="915"/>
        <v>#N/A</v>
      </c>
      <c r="AR2078" s="105" t="str">
        <f t="shared" si="907"/>
        <v/>
      </c>
      <c r="AS2078" s="105" t="str">
        <f t="shared" si="908"/>
        <v/>
      </c>
      <c r="AT2078" s="108" t="str">
        <f t="shared" si="909"/>
        <v/>
      </c>
      <c r="AU2078" s="108" t="str">
        <f t="shared" si="910"/>
        <v/>
      </c>
      <c r="AV2078" s="107" t="str">
        <f>IF(ISNUMBER(O2078),IF(VLOOKUP($A2078,Stand!C:J,8,FALSE)="Short",AT2078,AU2078),"")</f>
        <v/>
      </c>
      <c r="AW2078" s="109" t="str">
        <f t="shared" si="916"/>
        <v/>
      </c>
      <c r="AX2078" s="109" t="str">
        <f t="shared" si="917"/>
        <v/>
      </c>
      <c r="AY2078" s="112" t="str">
        <f>IF(ISNUMBER(O2078),IF(AND(VLOOKUP($D2078,Merchantability!$B:$C,2,0)="Yes",$E2078&gt;=VLOOKUP($D2078,Merchantability!$B:$D,3,0),$E2078&lt;=VLOOKUP($D2078,Merchantability!$B:$E,4,0)),(AV2078*O2078)*(1-$H2078/100),""),"")</f>
        <v/>
      </c>
      <c r="AZ2078" s="116"/>
      <c r="BA2078" s="116"/>
      <c r="BB2078" s="116"/>
      <c r="BE2078" s="62"/>
      <c r="BF2078" s="63"/>
    </row>
    <row r="2079" spans="1:58" ht="12.75" customHeight="1" x14ac:dyDescent="0.25">
      <c r="A2079" s="334"/>
      <c r="B2079" s="334"/>
      <c r="C2079" s="332"/>
      <c r="D2079" s="334"/>
      <c r="E2079" s="335"/>
      <c r="F2079" s="334"/>
      <c r="G2079" s="332"/>
      <c r="H2079" s="332"/>
      <c r="I2079" s="334"/>
      <c r="J2079" s="336"/>
      <c r="K2079" s="332"/>
      <c r="L2079" s="332"/>
      <c r="M2079" s="76"/>
      <c r="N2079" s="103" t="str">
        <f>IF(A2079="","",VLOOKUP(A2079,Stand!C:K,9,0))</f>
        <v/>
      </c>
      <c r="O2079" s="104" t="str">
        <f t="shared" si="902"/>
        <v/>
      </c>
      <c r="P2079" s="105" t="str">
        <f t="shared" si="903"/>
        <v/>
      </c>
      <c r="Q2079" s="105" t="str">
        <f t="shared" si="918"/>
        <v/>
      </c>
      <c r="R2079" s="103" t="str">
        <f t="shared" si="904"/>
        <v/>
      </c>
      <c r="S2079" s="103" t="str">
        <f t="shared" si="905"/>
        <v/>
      </c>
      <c r="T2079" s="106" t="str">
        <f t="shared" si="919"/>
        <v/>
      </c>
      <c r="U2079" s="106" t="str">
        <f t="shared" si="920"/>
        <v/>
      </c>
      <c r="V2079" s="106" t="str">
        <f t="shared" si="921"/>
        <v/>
      </c>
      <c r="W2079" s="105" t="str">
        <f t="shared" si="906"/>
        <v/>
      </c>
      <c r="X2079" s="104" t="str">
        <f t="shared" si="911"/>
        <v/>
      </c>
      <c r="Y2079" s="104" t="str">
        <f t="array" ref="Y2079">IFERROR(IF(ISNUMBER(O2079),IF(COUNT(IF(A2079=$A$2:$A$2427,IF(D2079=$D$2:$D$2427,IF($X$2:$X$2427&gt;0,1))))&gt;0,SUM(IF(A2079=$A$2:$A$2427,IF(D2079=$D$2:$D$2427,$X$2:$X$2427)))/COUNT(IF(A2079=$A$2:$A$2427,IF(D2079=$D$2:$D$2427,IF(ISNUMBER($X$2:$X$2427),1)))),0),""),0)</f>
        <v/>
      </c>
      <c r="Z2079" s="104" t="str">
        <f>IF(ISNUMBER(O2079),IF(I2079&gt;0,(10^(VLOOKUP(D2079,'Species Codes'!B:C,2,0)+VLOOKUP(D2079,'Species Codes'!B:D,3,0)*LOG(E2079)+VLOOKUP(D2079,'Species Codes'!B:E,4,0)*LOG(I2079))),0),"")</f>
        <v/>
      </c>
      <c r="AA2079" s="104" t="str">
        <f>IFERROR((VLOOKUP(D2079,'Species Codes'!B:G,6,0)*Z2079)/2000,"")</f>
        <v/>
      </c>
      <c r="AB2079" s="104" t="e">
        <f>IF(Z2079&gt;0,((IF(OR(D2079="DF",D2079="RA")=TRUE,EXP(VLOOKUP(D2079,'Species Codes'!B:I,8,0)+VLOOKUP(D2079,'Species Codes'!B:J,9,0)*(LN((E2079*2.54)))),IF(OR(D2079="PY",D2079="RC",D2079="WH",D2079="NF")=TRUE,VLOOKUP(D2079,'Species Codes'!B:I,8,0)+VLOOKUP(D2079,'Species Codes'!B:J,9,0)*((E2079*2.54)^2)*(I2079*0.3048),IF(OR(D2079="MD",D2079="BM",D2079="GA")=TRUE,((VLOOKUP(D2079,'Species Codes'!B:I,8,0)*(((((E2079*2.54)+VLOOKUP(D2079,'Species Codes'!B:J,9,0))/VLOOKUP(D2079,'Species Codes'!B:K,10,0))^VLOOKUP(D2079,'Species Codes'!B:L,11,0))*((I2079*0.3048)^VLOOKUP(D2079,'Species Codes'!B:M,12,0))))-(VLOOKUP(D2079,'Species Codes'!B:I,8,0)*((((E2079*2.54)^VLOOKUP(D2079,'Species Codes'!B:L,11,0))*((I2079*0.3048)^VLOOKUP(D2079,'Species Codes'!B:M,12,0))))))*35.3*VLOOKUP(D2079,'Species Codes'!B:G,6,0)/2.2046,VLOOKUP(D2079,'Species Codes'!B:I,8,0)+VLOOKUP(D2079,'Species Codes'!B:J,9,0)*(((E2079*2.54)/100)^2)*(I2079*0.3048)))))*0.0011023),0)</f>
        <v>#N/A</v>
      </c>
      <c r="AC2079" s="104" t="e">
        <f>IF(Z2079&gt;0,((IF(OR(D2079="RA",D2079="OA",D2079="OT",D2079="UN",D2079="PC"),EXP(VLOOKUP(D2079,'Species Codes'!B:O,14,0)+VLOOKUP(D2079,'Species Codes'!B:P,15,0)*LN((E2079*2.54)))-EXP(VLOOKUP(D2079,'Species Codes'!B:O,14,0)+VLOOKUP(D2079,'Species Codes'!B:P,15,0)*LN((E2079*2.54)))*(1/(VLOOKUP(D2079,'Species Codes'!B:Q,16,0)+VLOOKUP(D2079,'Species Codes'!B:R,17,0)*((E2079*2.54)^VLOOKUP(D2079,'Species Codes'!B:S,18,0)))),IF(OR(D2079="BM",D2079="MD",D2079="OA"),EXP(VLOOKUP(D2079,'Species Codes'!B:O,14,0)+VLOOKUP(D2079,'Species Codes'!B:P,15,0)*LN((E2079*2.54)))*(1-(1/(VLOOKUP(D2079,'Species Codes'!B:Q,16,0)+VLOOKUP(D2079,'Species Codes'!B:R,17,0)*((E2079*2.54)^VLOOKUP(D2079,'Species Codes'!B:S,18,0)))))/1000,IF(D2079="DF",EXP(VLOOKUP(D2079,'Species Codes'!B:O,14,0)+VLOOKUP(D2079,'Species Codes'!B:P,15,0)*LN((E2079*2.54))),VLOOKUP(D2079,'Species Codes'!B:O,14,0)+VLOOKUP(D2079,'Species Codes'!B:P,15,0)*(((E2079*2.54)/100)^2)*(I2079*0.3048)))))*0.0011023),0)</f>
        <v>#N/A</v>
      </c>
      <c r="AD2079" s="104" t="e">
        <f t="shared" si="922"/>
        <v>#N/A</v>
      </c>
      <c r="AE2079" s="104" t="e">
        <f t="shared" si="923"/>
        <v>#N/A</v>
      </c>
      <c r="AF2079" s="104" t="e">
        <f>IF(AND(VLOOKUP($D2079,Merchantability!$B:$C,2,0)="Yes",$E2079&gt;=VLOOKUP($D2079,Merchantability!$B:$D,3,0),$E2079&lt;=VLOOKUP($D2079,Merchantability!$B:$E,4,0)),AA2079,0)</f>
        <v>#N/A</v>
      </c>
      <c r="AG2079" s="104" t="e">
        <f>IF(AND(VLOOKUP($D2079,Merchantability!$B:$C,2,0)="Yes",$E2079&gt;=VLOOKUP($D2079,Merchantability!$B:$D,3,0),$E2079&lt;=VLOOKUP($D2079,Merchantability!$B:$E,4,0)),AB2079,0)</f>
        <v>#N/A</v>
      </c>
      <c r="AH2079" s="104" t="e">
        <f>IF(AND(VLOOKUP($D2079,Merchantability!$B:$C,2,0)="Yes",$E2079&gt;=VLOOKUP($D2079,Merchantability!$B:$D,3,0),$E2079&lt;=VLOOKUP($D2079,Merchantability!$B:$E,4,0)),AC2079,0)</f>
        <v>#N/A</v>
      </c>
      <c r="AI2079" s="104" t="e">
        <f t="shared" si="924"/>
        <v>#N/A</v>
      </c>
      <c r="AJ2079" s="104" t="e">
        <f t="shared" si="925"/>
        <v>#VALUE!</v>
      </c>
      <c r="AK2079" s="104" t="e">
        <f t="shared" si="926"/>
        <v>#N/A</v>
      </c>
      <c r="AL2079" s="104" t="e">
        <f t="shared" si="927"/>
        <v>#N/A</v>
      </c>
      <c r="AM2079" s="104" t="e">
        <f t="shared" si="928"/>
        <v>#N/A</v>
      </c>
      <c r="AN2079" s="104" t="e">
        <f t="shared" si="912"/>
        <v>#N/A</v>
      </c>
      <c r="AO2079" s="104" t="e">
        <f t="shared" si="913"/>
        <v>#N/A</v>
      </c>
      <c r="AP2079" s="104" t="e">
        <f t="shared" si="914"/>
        <v>#N/A</v>
      </c>
      <c r="AQ2079" s="104" t="e">
        <f t="shared" si="915"/>
        <v>#N/A</v>
      </c>
      <c r="AR2079" s="105" t="str">
        <f t="shared" si="907"/>
        <v/>
      </c>
      <c r="AS2079" s="105" t="str">
        <f t="shared" si="908"/>
        <v/>
      </c>
      <c r="AT2079" s="108" t="str">
        <f t="shared" si="909"/>
        <v/>
      </c>
      <c r="AU2079" s="108" t="str">
        <f t="shared" si="910"/>
        <v/>
      </c>
      <c r="AV2079" s="107" t="str">
        <f>IF(ISNUMBER(O2079),IF(VLOOKUP($A2079,Stand!C:J,8,FALSE)="Short",AT2079,AU2079),"")</f>
        <v/>
      </c>
      <c r="AW2079" s="109" t="str">
        <f t="shared" si="916"/>
        <v/>
      </c>
      <c r="AX2079" s="109" t="str">
        <f t="shared" si="917"/>
        <v/>
      </c>
      <c r="AY2079" s="112" t="str">
        <f>IF(ISNUMBER(O2079),IF(AND(VLOOKUP($D2079,Merchantability!$B:$C,2,0)="Yes",$E2079&gt;=VLOOKUP($D2079,Merchantability!$B:$D,3,0),$E2079&lt;=VLOOKUP($D2079,Merchantability!$B:$E,4,0)),(AV2079*O2079)*(1-$H2079/100),""),"")</f>
        <v/>
      </c>
      <c r="AZ2079" s="116"/>
      <c r="BA2079" s="116"/>
      <c r="BB2079" s="116"/>
      <c r="BE2079" s="62"/>
      <c r="BF2079" s="63"/>
    </row>
    <row r="2080" spans="1:58" ht="12.75" customHeight="1" x14ac:dyDescent="0.25">
      <c r="A2080" s="334"/>
      <c r="B2080" s="334"/>
      <c r="C2080" s="332"/>
      <c r="D2080" s="334"/>
      <c r="E2080" s="335"/>
      <c r="F2080" s="334"/>
      <c r="G2080" s="332"/>
      <c r="H2080" s="332"/>
      <c r="I2080" s="334"/>
      <c r="J2080" s="336"/>
      <c r="K2080" s="332"/>
      <c r="L2080" s="332"/>
      <c r="M2080" s="76"/>
      <c r="N2080" s="103" t="str">
        <f>IF(A2080="","",VLOOKUP(A2080,Stand!C:K,9,0))</f>
        <v/>
      </c>
      <c r="O2080" s="104" t="str">
        <f t="shared" si="902"/>
        <v/>
      </c>
      <c r="P2080" s="105" t="str">
        <f t="shared" si="903"/>
        <v/>
      </c>
      <c r="Q2080" s="105" t="str">
        <f t="shared" si="918"/>
        <v/>
      </c>
      <c r="R2080" s="103" t="str">
        <f t="shared" si="904"/>
        <v/>
      </c>
      <c r="S2080" s="103" t="str">
        <f t="shared" si="905"/>
        <v/>
      </c>
      <c r="T2080" s="106" t="str">
        <f t="shared" si="919"/>
        <v/>
      </c>
      <c r="U2080" s="106" t="str">
        <f t="shared" si="920"/>
        <v/>
      </c>
      <c r="V2080" s="106" t="str">
        <f t="shared" si="921"/>
        <v/>
      </c>
      <c r="W2080" s="105" t="str">
        <f t="shared" si="906"/>
        <v/>
      </c>
      <c r="X2080" s="104" t="str">
        <f t="shared" si="911"/>
        <v/>
      </c>
      <c r="Y2080" s="104" t="str">
        <f t="array" ref="Y2080">IFERROR(IF(ISNUMBER(O2080),IF(COUNT(IF(A2080=$A$2:$A$2427,IF(D2080=$D$2:$D$2427,IF($X$2:$X$2427&gt;0,1))))&gt;0,SUM(IF(A2080=$A$2:$A$2427,IF(D2080=$D$2:$D$2427,$X$2:$X$2427)))/COUNT(IF(A2080=$A$2:$A$2427,IF(D2080=$D$2:$D$2427,IF(ISNUMBER($X$2:$X$2427),1)))),0),""),0)</f>
        <v/>
      </c>
      <c r="Z2080" s="104" t="str">
        <f>IF(ISNUMBER(O2080),IF(I2080&gt;0,(10^(VLOOKUP(D2080,'Species Codes'!B:C,2,0)+VLOOKUP(D2080,'Species Codes'!B:D,3,0)*LOG(E2080)+VLOOKUP(D2080,'Species Codes'!B:E,4,0)*LOG(I2080))),0),"")</f>
        <v/>
      </c>
      <c r="AA2080" s="104" t="str">
        <f>IFERROR((VLOOKUP(D2080,'Species Codes'!B:G,6,0)*Z2080)/2000,"")</f>
        <v/>
      </c>
      <c r="AB2080" s="104" t="e">
        <f>IF(Z2080&gt;0,((IF(OR(D2080="DF",D2080="RA")=TRUE,EXP(VLOOKUP(D2080,'Species Codes'!B:I,8,0)+VLOOKUP(D2080,'Species Codes'!B:J,9,0)*(LN((E2080*2.54)))),IF(OR(D2080="PY",D2080="RC",D2080="WH",D2080="NF")=TRUE,VLOOKUP(D2080,'Species Codes'!B:I,8,0)+VLOOKUP(D2080,'Species Codes'!B:J,9,0)*((E2080*2.54)^2)*(I2080*0.3048),IF(OR(D2080="MD",D2080="BM",D2080="GA")=TRUE,((VLOOKUP(D2080,'Species Codes'!B:I,8,0)*(((((E2080*2.54)+VLOOKUP(D2080,'Species Codes'!B:J,9,0))/VLOOKUP(D2080,'Species Codes'!B:K,10,0))^VLOOKUP(D2080,'Species Codes'!B:L,11,0))*((I2080*0.3048)^VLOOKUP(D2080,'Species Codes'!B:M,12,0))))-(VLOOKUP(D2080,'Species Codes'!B:I,8,0)*((((E2080*2.54)^VLOOKUP(D2080,'Species Codes'!B:L,11,0))*((I2080*0.3048)^VLOOKUP(D2080,'Species Codes'!B:M,12,0))))))*35.3*VLOOKUP(D2080,'Species Codes'!B:G,6,0)/2.2046,VLOOKUP(D2080,'Species Codes'!B:I,8,0)+VLOOKUP(D2080,'Species Codes'!B:J,9,0)*(((E2080*2.54)/100)^2)*(I2080*0.3048)))))*0.0011023),0)</f>
        <v>#N/A</v>
      </c>
      <c r="AC2080" s="104" t="e">
        <f>IF(Z2080&gt;0,((IF(OR(D2080="RA",D2080="OA",D2080="OT",D2080="UN",D2080="PC"),EXP(VLOOKUP(D2080,'Species Codes'!B:O,14,0)+VLOOKUP(D2080,'Species Codes'!B:P,15,0)*LN((E2080*2.54)))-EXP(VLOOKUP(D2080,'Species Codes'!B:O,14,0)+VLOOKUP(D2080,'Species Codes'!B:P,15,0)*LN((E2080*2.54)))*(1/(VLOOKUP(D2080,'Species Codes'!B:Q,16,0)+VLOOKUP(D2080,'Species Codes'!B:R,17,0)*((E2080*2.54)^VLOOKUP(D2080,'Species Codes'!B:S,18,0)))),IF(OR(D2080="BM",D2080="MD",D2080="OA"),EXP(VLOOKUP(D2080,'Species Codes'!B:O,14,0)+VLOOKUP(D2080,'Species Codes'!B:P,15,0)*LN((E2080*2.54)))*(1-(1/(VLOOKUP(D2080,'Species Codes'!B:Q,16,0)+VLOOKUP(D2080,'Species Codes'!B:R,17,0)*((E2080*2.54)^VLOOKUP(D2080,'Species Codes'!B:S,18,0)))))/1000,IF(D2080="DF",EXP(VLOOKUP(D2080,'Species Codes'!B:O,14,0)+VLOOKUP(D2080,'Species Codes'!B:P,15,0)*LN((E2080*2.54))),VLOOKUP(D2080,'Species Codes'!B:O,14,0)+VLOOKUP(D2080,'Species Codes'!B:P,15,0)*(((E2080*2.54)/100)^2)*(I2080*0.3048)))))*0.0011023),0)</f>
        <v>#N/A</v>
      </c>
      <c r="AD2080" s="104" t="e">
        <f t="shared" si="922"/>
        <v>#N/A</v>
      </c>
      <c r="AE2080" s="104" t="e">
        <f t="shared" si="923"/>
        <v>#N/A</v>
      </c>
      <c r="AF2080" s="104" t="e">
        <f>IF(AND(VLOOKUP($D2080,Merchantability!$B:$C,2,0)="Yes",$E2080&gt;=VLOOKUP($D2080,Merchantability!$B:$D,3,0),$E2080&lt;=VLOOKUP($D2080,Merchantability!$B:$E,4,0)),AA2080,0)</f>
        <v>#N/A</v>
      </c>
      <c r="AG2080" s="104" t="e">
        <f>IF(AND(VLOOKUP($D2080,Merchantability!$B:$C,2,0)="Yes",$E2080&gt;=VLOOKUP($D2080,Merchantability!$B:$D,3,0),$E2080&lt;=VLOOKUP($D2080,Merchantability!$B:$E,4,0)),AB2080,0)</f>
        <v>#N/A</v>
      </c>
      <c r="AH2080" s="104" t="e">
        <f>IF(AND(VLOOKUP($D2080,Merchantability!$B:$C,2,0)="Yes",$E2080&gt;=VLOOKUP($D2080,Merchantability!$B:$D,3,0),$E2080&lt;=VLOOKUP($D2080,Merchantability!$B:$E,4,0)),AC2080,0)</f>
        <v>#N/A</v>
      </c>
      <c r="AI2080" s="104" t="e">
        <f t="shared" si="924"/>
        <v>#N/A</v>
      </c>
      <c r="AJ2080" s="104" t="e">
        <f t="shared" si="925"/>
        <v>#VALUE!</v>
      </c>
      <c r="AK2080" s="104" t="e">
        <f t="shared" si="926"/>
        <v>#N/A</v>
      </c>
      <c r="AL2080" s="104" t="e">
        <f t="shared" si="927"/>
        <v>#N/A</v>
      </c>
      <c r="AM2080" s="104" t="e">
        <f t="shared" si="928"/>
        <v>#N/A</v>
      </c>
      <c r="AN2080" s="104" t="e">
        <f t="shared" si="912"/>
        <v>#N/A</v>
      </c>
      <c r="AO2080" s="104" t="e">
        <f t="shared" si="913"/>
        <v>#N/A</v>
      </c>
      <c r="AP2080" s="104" t="e">
        <f t="shared" si="914"/>
        <v>#N/A</v>
      </c>
      <c r="AQ2080" s="104" t="e">
        <f t="shared" si="915"/>
        <v>#N/A</v>
      </c>
      <c r="AR2080" s="105" t="str">
        <f t="shared" si="907"/>
        <v/>
      </c>
      <c r="AS2080" s="105" t="str">
        <f t="shared" si="908"/>
        <v/>
      </c>
      <c r="AT2080" s="108" t="str">
        <f t="shared" si="909"/>
        <v/>
      </c>
      <c r="AU2080" s="108" t="str">
        <f t="shared" si="910"/>
        <v/>
      </c>
      <c r="AV2080" s="107" t="str">
        <f>IF(ISNUMBER(O2080),IF(VLOOKUP($A2080,Stand!C:J,8,FALSE)="Short",AT2080,AU2080),"")</f>
        <v/>
      </c>
      <c r="AW2080" s="109" t="str">
        <f t="shared" si="916"/>
        <v/>
      </c>
      <c r="AX2080" s="109" t="str">
        <f t="shared" si="917"/>
        <v/>
      </c>
      <c r="AY2080" s="112" t="str">
        <f>IF(ISNUMBER(O2080),IF(AND(VLOOKUP($D2080,Merchantability!$B:$C,2,0)="Yes",$E2080&gt;=VLOOKUP($D2080,Merchantability!$B:$D,3,0),$E2080&lt;=VLOOKUP($D2080,Merchantability!$B:$E,4,0)),(AV2080*O2080)*(1-$H2080/100),""),"")</f>
        <v/>
      </c>
      <c r="AZ2080" s="116"/>
      <c r="BA2080" s="116"/>
      <c r="BB2080" s="116"/>
      <c r="BE2080" s="62"/>
      <c r="BF2080" s="63"/>
    </row>
    <row r="2081" spans="1:58" ht="12.75" customHeight="1" x14ac:dyDescent="0.25">
      <c r="A2081" s="334"/>
      <c r="B2081" s="334"/>
      <c r="C2081" s="332"/>
      <c r="D2081" s="334"/>
      <c r="E2081" s="335"/>
      <c r="F2081" s="334"/>
      <c r="G2081" s="332"/>
      <c r="H2081" s="332"/>
      <c r="I2081" s="334"/>
      <c r="J2081" s="336"/>
      <c r="K2081" s="332"/>
      <c r="L2081" s="332"/>
      <c r="M2081" s="76"/>
      <c r="N2081" s="103" t="str">
        <f>IF(A2081="","",VLOOKUP(A2081,Stand!C:K,9,0))</f>
        <v/>
      </c>
      <c r="O2081" s="104" t="str">
        <f t="shared" si="902"/>
        <v/>
      </c>
      <c r="P2081" s="105" t="str">
        <f t="shared" si="903"/>
        <v/>
      </c>
      <c r="Q2081" s="105" t="str">
        <f t="shared" si="918"/>
        <v/>
      </c>
      <c r="R2081" s="103" t="str">
        <f t="shared" si="904"/>
        <v/>
      </c>
      <c r="S2081" s="103" t="str">
        <f t="shared" si="905"/>
        <v/>
      </c>
      <c r="T2081" s="106" t="str">
        <f t="shared" si="919"/>
        <v/>
      </c>
      <c r="U2081" s="106" t="str">
        <f t="shared" si="920"/>
        <v/>
      </c>
      <c r="V2081" s="106" t="str">
        <f t="shared" si="921"/>
        <v/>
      </c>
      <c r="W2081" s="105" t="str">
        <f t="shared" si="906"/>
        <v/>
      </c>
      <c r="X2081" s="104" t="str">
        <f t="shared" si="911"/>
        <v/>
      </c>
      <c r="Y2081" s="104" t="str">
        <f t="array" ref="Y2081">IFERROR(IF(ISNUMBER(O2081),IF(COUNT(IF(A2081=$A$2:$A$2427,IF(D2081=$D$2:$D$2427,IF($X$2:$X$2427&gt;0,1))))&gt;0,SUM(IF(A2081=$A$2:$A$2427,IF(D2081=$D$2:$D$2427,$X$2:$X$2427)))/COUNT(IF(A2081=$A$2:$A$2427,IF(D2081=$D$2:$D$2427,IF(ISNUMBER($X$2:$X$2427),1)))),0),""),0)</f>
        <v/>
      </c>
      <c r="Z2081" s="104" t="str">
        <f>IF(ISNUMBER(O2081),IF(I2081&gt;0,(10^(VLOOKUP(D2081,'Species Codes'!B:C,2,0)+VLOOKUP(D2081,'Species Codes'!B:D,3,0)*LOG(E2081)+VLOOKUP(D2081,'Species Codes'!B:E,4,0)*LOG(I2081))),0),"")</f>
        <v/>
      </c>
      <c r="AA2081" s="104" t="str">
        <f>IFERROR((VLOOKUP(D2081,'Species Codes'!B:G,6,0)*Z2081)/2000,"")</f>
        <v/>
      </c>
      <c r="AB2081" s="104" t="e">
        <f>IF(Z2081&gt;0,((IF(OR(D2081="DF",D2081="RA")=TRUE,EXP(VLOOKUP(D2081,'Species Codes'!B:I,8,0)+VLOOKUP(D2081,'Species Codes'!B:J,9,0)*(LN((E2081*2.54)))),IF(OR(D2081="PY",D2081="RC",D2081="WH",D2081="NF")=TRUE,VLOOKUP(D2081,'Species Codes'!B:I,8,0)+VLOOKUP(D2081,'Species Codes'!B:J,9,0)*((E2081*2.54)^2)*(I2081*0.3048),IF(OR(D2081="MD",D2081="BM",D2081="GA")=TRUE,((VLOOKUP(D2081,'Species Codes'!B:I,8,0)*(((((E2081*2.54)+VLOOKUP(D2081,'Species Codes'!B:J,9,0))/VLOOKUP(D2081,'Species Codes'!B:K,10,0))^VLOOKUP(D2081,'Species Codes'!B:L,11,0))*((I2081*0.3048)^VLOOKUP(D2081,'Species Codes'!B:M,12,0))))-(VLOOKUP(D2081,'Species Codes'!B:I,8,0)*((((E2081*2.54)^VLOOKUP(D2081,'Species Codes'!B:L,11,0))*((I2081*0.3048)^VLOOKUP(D2081,'Species Codes'!B:M,12,0))))))*35.3*VLOOKUP(D2081,'Species Codes'!B:G,6,0)/2.2046,VLOOKUP(D2081,'Species Codes'!B:I,8,0)+VLOOKUP(D2081,'Species Codes'!B:J,9,0)*(((E2081*2.54)/100)^2)*(I2081*0.3048)))))*0.0011023),0)</f>
        <v>#N/A</v>
      </c>
      <c r="AC2081" s="104" t="e">
        <f>IF(Z2081&gt;0,((IF(OR(D2081="RA",D2081="OA",D2081="OT",D2081="UN",D2081="PC"),EXP(VLOOKUP(D2081,'Species Codes'!B:O,14,0)+VLOOKUP(D2081,'Species Codes'!B:P,15,0)*LN((E2081*2.54)))-EXP(VLOOKUP(D2081,'Species Codes'!B:O,14,0)+VLOOKUP(D2081,'Species Codes'!B:P,15,0)*LN((E2081*2.54)))*(1/(VLOOKUP(D2081,'Species Codes'!B:Q,16,0)+VLOOKUP(D2081,'Species Codes'!B:R,17,0)*((E2081*2.54)^VLOOKUP(D2081,'Species Codes'!B:S,18,0)))),IF(OR(D2081="BM",D2081="MD",D2081="OA"),EXP(VLOOKUP(D2081,'Species Codes'!B:O,14,0)+VLOOKUP(D2081,'Species Codes'!B:P,15,0)*LN((E2081*2.54)))*(1-(1/(VLOOKUP(D2081,'Species Codes'!B:Q,16,0)+VLOOKUP(D2081,'Species Codes'!B:R,17,0)*((E2081*2.54)^VLOOKUP(D2081,'Species Codes'!B:S,18,0)))))/1000,IF(D2081="DF",EXP(VLOOKUP(D2081,'Species Codes'!B:O,14,0)+VLOOKUP(D2081,'Species Codes'!B:P,15,0)*LN((E2081*2.54))),VLOOKUP(D2081,'Species Codes'!B:O,14,0)+VLOOKUP(D2081,'Species Codes'!B:P,15,0)*(((E2081*2.54)/100)^2)*(I2081*0.3048)))))*0.0011023),0)</f>
        <v>#N/A</v>
      </c>
      <c r="AD2081" s="104" t="e">
        <f t="shared" si="922"/>
        <v>#N/A</v>
      </c>
      <c r="AE2081" s="104" t="e">
        <f t="shared" si="923"/>
        <v>#N/A</v>
      </c>
      <c r="AF2081" s="104" t="e">
        <f>IF(AND(VLOOKUP($D2081,Merchantability!$B:$C,2,0)="Yes",$E2081&gt;=VLOOKUP($D2081,Merchantability!$B:$D,3,0),$E2081&lt;=VLOOKUP($D2081,Merchantability!$B:$E,4,0)),AA2081,0)</f>
        <v>#N/A</v>
      </c>
      <c r="AG2081" s="104" t="e">
        <f>IF(AND(VLOOKUP($D2081,Merchantability!$B:$C,2,0)="Yes",$E2081&gt;=VLOOKUP($D2081,Merchantability!$B:$D,3,0),$E2081&lt;=VLOOKUP($D2081,Merchantability!$B:$E,4,0)),AB2081,0)</f>
        <v>#N/A</v>
      </c>
      <c r="AH2081" s="104" t="e">
        <f>IF(AND(VLOOKUP($D2081,Merchantability!$B:$C,2,0)="Yes",$E2081&gt;=VLOOKUP($D2081,Merchantability!$B:$D,3,0),$E2081&lt;=VLOOKUP($D2081,Merchantability!$B:$E,4,0)),AC2081,0)</f>
        <v>#N/A</v>
      </c>
      <c r="AI2081" s="104" t="e">
        <f t="shared" si="924"/>
        <v>#N/A</v>
      </c>
      <c r="AJ2081" s="104" t="e">
        <f t="shared" si="925"/>
        <v>#VALUE!</v>
      </c>
      <c r="AK2081" s="104" t="e">
        <f t="shared" si="926"/>
        <v>#N/A</v>
      </c>
      <c r="AL2081" s="104" t="e">
        <f t="shared" si="927"/>
        <v>#N/A</v>
      </c>
      <c r="AM2081" s="104" t="e">
        <f t="shared" si="928"/>
        <v>#N/A</v>
      </c>
      <c r="AN2081" s="104" t="e">
        <f t="shared" si="912"/>
        <v>#N/A</v>
      </c>
      <c r="AO2081" s="104" t="e">
        <f t="shared" si="913"/>
        <v>#N/A</v>
      </c>
      <c r="AP2081" s="104" t="e">
        <f t="shared" si="914"/>
        <v>#N/A</v>
      </c>
      <c r="AQ2081" s="104" t="e">
        <f t="shared" si="915"/>
        <v>#N/A</v>
      </c>
      <c r="AR2081" s="105" t="str">
        <f t="shared" si="907"/>
        <v/>
      </c>
      <c r="AS2081" s="105" t="str">
        <f t="shared" si="908"/>
        <v/>
      </c>
      <c r="AT2081" s="108" t="str">
        <f t="shared" si="909"/>
        <v/>
      </c>
      <c r="AU2081" s="108" t="str">
        <f t="shared" si="910"/>
        <v/>
      </c>
      <c r="AV2081" s="107" t="str">
        <f>IF(ISNUMBER(O2081),IF(VLOOKUP($A2081,Stand!C:J,8,FALSE)="Short",AT2081,AU2081),"")</f>
        <v/>
      </c>
      <c r="AW2081" s="109" t="str">
        <f t="shared" si="916"/>
        <v/>
      </c>
      <c r="AX2081" s="109" t="str">
        <f t="shared" si="917"/>
        <v/>
      </c>
      <c r="AY2081" s="112" t="str">
        <f>IF(ISNUMBER(O2081),IF(AND(VLOOKUP($D2081,Merchantability!$B:$C,2,0)="Yes",$E2081&gt;=VLOOKUP($D2081,Merchantability!$B:$D,3,0),$E2081&lt;=VLOOKUP($D2081,Merchantability!$B:$E,4,0)),(AV2081*O2081)*(1-$H2081/100),""),"")</f>
        <v/>
      </c>
      <c r="AZ2081" s="116"/>
      <c r="BA2081" s="116"/>
      <c r="BB2081" s="116"/>
      <c r="BE2081" s="62"/>
      <c r="BF2081" s="63"/>
    </row>
    <row r="2082" spans="1:58" ht="12.75" customHeight="1" x14ac:dyDescent="0.25">
      <c r="A2082" s="334"/>
      <c r="B2082" s="334"/>
      <c r="C2082" s="332"/>
      <c r="D2082" s="334"/>
      <c r="E2082" s="335"/>
      <c r="F2082" s="334"/>
      <c r="G2082" s="332"/>
      <c r="H2082" s="332"/>
      <c r="I2082" s="334"/>
      <c r="J2082" s="336"/>
      <c r="K2082" s="332"/>
      <c r="L2082" s="332"/>
      <c r="M2082" s="76"/>
      <c r="N2082" s="103" t="str">
        <f>IF(A2082="","",VLOOKUP(A2082,Stand!C:K,9,0))</f>
        <v/>
      </c>
      <c r="O2082" s="104" t="str">
        <f t="shared" si="902"/>
        <v/>
      </c>
      <c r="P2082" s="105" t="str">
        <f t="shared" si="903"/>
        <v/>
      </c>
      <c r="Q2082" s="105" t="str">
        <f t="shared" si="918"/>
        <v/>
      </c>
      <c r="R2082" s="103" t="str">
        <f t="shared" si="904"/>
        <v/>
      </c>
      <c r="S2082" s="103" t="str">
        <f t="shared" si="905"/>
        <v/>
      </c>
      <c r="T2082" s="106" t="str">
        <f t="shared" si="919"/>
        <v/>
      </c>
      <c r="U2082" s="106" t="str">
        <f t="shared" si="920"/>
        <v/>
      </c>
      <c r="V2082" s="106" t="str">
        <f t="shared" si="921"/>
        <v/>
      </c>
      <c r="W2082" s="105" t="str">
        <f t="shared" si="906"/>
        <v/>
      </c>
      <c r="X2082" s="104" t="str">
        <f t="shared" si="911"/>
        <v/>
      </c>
      <c r="Y2082" s="104" t="str">
        <f t="array" ref="Y2082">IFERROR(IF(ISNUMBER(O2082),IF(COUNT(IF(A2082=$A$2:$A$2427,IF(D2082=$D$2:$D$2427,IF($X$2:$X$2427&gt;0,1))))&gt;0,SUM(IF(A2082=$A$2:$A$2427,IF(D2082=$D$2:$D$2427,$X$2:$X$2427)))/COUNT(IF(A2082=$A$2:$A$2427,IF(D2082=$D$2:$D$2427,IF(ISNUMBER($X$2:$X$2427),1)))),0),""),0)</f>
        <v/>
      </c>
      <c r="Z2082" s="104" t="str">
        <f>IF(ISNUMBER(O2082),IF(I2082&gt;0,(10^(VLOOKUP(D2082,'Species Codes'!B:C,2,0)+VLOOKUP(D2082,'Species Codes'!B:D,3,0)*LOG(E2082)+VLOOKUP(D2082,'Species Codes'!B:E,4,0)*LOG(I2082))),0),"")</f>
        <v/>
      </c>
      <c r="AA2082" s="104" t="str">
        <f>IFERROR((VLOOKUP(D2082,'Species Codes'!B:G,6,0)*Z2082)/2000,"")</f>
        <v/>
      </c>
      <c r="AB2082" s="104" t="e">
        <f>IF(Z2082&gt;0,((IF(OR(D2082="DF",D2082="RA")=TRUE,EXP(VLOOKUP(D2082,'Species Codes'!B:I,8,0)+VLOOKUP(D2082,'Species Codes'!B:J,9,0)*(LN((E2082*2.54)))),IF(OR(D2082="PY",D2082="RC",D2082="WH",D2082="NF")=TRUE,VLOOKUP(D2082,'Species Codes'!B:I,8,0)+VLOOKUP(D2082,'Species Codes'!B:J,9,0)*((E2082*2.54)^2)*(I2082*0.3048),IF(OR(D2082="MD",D2082="BM",D2082="GA")=TRUE,((VLOOKUP(D2082,'Species Codes'!B:I,8,0)*(((((E2082*2.54)+VLOOKUP(D2082,'Species Codes'!B:J,9,0))/VLOOKUP(D2082,'Species Codes'!B:K,10,0))^VLOOKUP(D2082,'Species Codes'!B:L,11,0))*((I2082*0.3048)^VLOOKUP(D2082,'Species Codes'!B:M,12,0))))-(VLOOKUP(D2082,'Species Codes'!B:I,8,0)*((((E2082*2.54)^VLOOKUP(D2082,'Species Codes'!B:L,11,0))*((I2082*0.3048)^VLOOKUP(D2082,'Species Codes'!B:M,12,0))))))*35.3*VLOOKUP(D2082,'Species Codes'!B:G,6,0)/2.2046,VLOOKUP(D2082,'Species Codes'!B:I,8,0)+VLOOKUP(D2082,'Species Codes'!B:J,9,0)*(((E2082*2.54)/100)^2)*(I2082*0.3048)))))*0.0011023),0)</f>
        <v>#N/A</v>
      </c>
      <c r="AC2082" s="104" t="e">
        <f>IF(Z2082&gt;0,((IF(OR(D2082="RA",D2082="OA",D2082="OT",D2082="UN",D2082="PC"),EXP(VLOOKUP(D2082,'Species Codes'!B:O,14,0)+VLOOKUP(D2082,'Species Codes'!B:P,15,0)*LN((E2082*2.54)))-EXP(VLOOKUP(D2082,'Species Codes'!B:O,14,0)+VLOOKUP(D2082,'Species Codes'!B:P,15,0)*LN((E2082*2.54)))*(1/(VLOOKUP(D2082,'Species Codes'!B:Q,16,0)+VLOOKUP(D2082,'Species Codes'!B:R,17,0)*((E2082*2.54)^VLOOKUP(D2082,'Species Codes'!B:S,18,0)))),IF(OR(D2082="BM",D2082="MD",D2082="OA"),EXP(VLOOKUP(D2082,'Species Codes'!B:O,14,0)+VLOOKUP(D2082,'Species Codes'!B:P,15,0)*LN((E2082*2.54)))*(1-(1/(VLOOKUP(D2082,'Species Codes'!B:Q,16,0)+VLOOKUP(D2082,'Species Codes'!B:R,17,0)*((E2082*2.54)^VLOOKUP(D2082,'Species Codes'!B:S,18,0)))))/1000,IF(D2082="DF",EXP(VLOOKUP(D2082,'Species Codes'!B:O,14,0)+VLOOKUP(D2082,'Species Codes'!B:P,15,0)*LN((E2082*2.54))),VLOOKUP(D2082,'Species Codes'!B:O,14,0)+VLOOKUP(D2082,'Species Codes'!B:P,15,0)*(((E2082*2.54)/100)^2)*(I2082*0.3048)))))*0.0011023),0)</f>
        <v>#N/A</v>
      </c>
      <c r="AD2082" s="104" t="e">
        <f t="shared" si="922"/>
        <v>#N/A</v>
      </c>
      <c r="AE2082" s="104" t="e">
        <f t="shared" si="923"/>
        <v>#N/A</v>
      </c>
      <c r="AF2082" s="104" t="e">
        <f>IF(AND(VLOOKUP($D2082,Merchantability!$B:$C,2,0)="Yes",$E2082&gt;=VLOOKUP($D2082,Merchantability!$B:$D,3,0),$E2082&lt;=VLOOKUP($D2082,Merchantability!$B:$E,4,0)),AA2082,0)</f>
        <v>#N/A</v>
      </c>
      <c r="AG2082" s="104" t="e">
        <f>IF(AND(VLOOKUP($D2082,Merchantability!$B:$C,2,0)="Yes",$E2082&gt;=VLOOKUP($D2082,Merchantability!$B:$D,3,0),$E2082&lt;=VLOOKUP($D2082,Merchantability!$B:$E,4,0)),AB2082,0)</f>
        <v>#N/A</v>
      </c>
      <c r="AH2082" s="104" t="e">
        <f>IF(AND(VLOOKUP($D2082,Merchantability!$B:$C,2,0)="Yes",$E2082&gt;=VLOOKUP($D2082,Merchantability!$B:$D,3,0),$E2082&lt;=VLOOKUP($D2082,Merchantability!$B:$E,4,0)),AC2082,0)</f>
        <v>#N/A</v>
      </c>
      <c r="AI2082" s="104" t="e">
        <f t="shared" si="924"/>
        <v>#N/A</v>
      </c>
      <c r="AJ2082" s="104" t="e">
        <f t="shared" si="925"/>
        <v>#VALUE!</v>
      </c>
      <c r="AK2082" s="104" t="e">
        <f t="shared" si="926"/>
        <v>#N/A</v>
      </c>
      <c r="AL2082" s="104" t="e">
        <f t="shared" si="927"/>
        <v>#N/A</v>
      </c>
      <c r="AM2082" s="104" t="e">
        <f t="shared" si="928"/>
        <v>#N/A</v>
      </c>
      <c r="AN2082" s="104" t="e">
        <f t="shared" si="912"/>
        <v>#N/A</v>
      </c>
      <c r="AO2082" s="104" t="e">
        <f t="shared" si="913"/>
        <v>#N/A</v>
      </c>
      <c r="AP2082" s="104" t="e">
        <f t="shared" si="914"/>
        <v>#N/A</v>
      </c>
      <c r="AQ2082" s="104" t="e">
        <f t="shared" si="915"/>
        <v>#N/A</v>
      </c>
      <c r="AR2082" s="105" t="str">
        <f t="shared" si="907"/>
        <v/>
      </c>
      <c r="AS2082" s="105" t="str">
        <f t="shared" si="908"/>
        <v/>
      </c>
      <c r="AT2082" s="108" t="str">
        <f t="shared" si="909"/>
        <v/>
      </c>
      <c r="AU2082" s="108" t="str">
        <f t="shared" si="910"/>
        <v/>
      </c>
      <c r="AV2082" s="107" t="str">
        <f>IF(ISNUMBER(O2082),IF(VLOOKUP($A2082,Stand!C:J,8,FALSE)="Short",AT2082,AU2082),"")</f>
        <v/>
      </c>
      <c r="AW2082" s="109" t="str">
        <f t="shared" si="916"/>
        <v/>
      </c>
      <c r="AX2082" s="109" t="str">
        <f t="shared" si="917"/>
        <v/>
      </c>
      <c r="AY2082" s="112" t="str">
        <f>IF(ISNUMBER(O2082),IF(AND(VLOOKUP($D2082,Merchantability!$B:$C,2,0)="Yes",$E2082&gt;=VLOOKUP($D2082,Merchantability!$B:$D,3,0),$E2082&lt;=VLOOKUP($D2082,Merchantability!$B:$E,4,0)),(AV2082*O2082)*(1-$H2082/100),""),"")</f>
        <v/>
      </c>
      <c r="AZ2082" s="116"/>
      <c r="BA2082" s="116"/>
      <c r="BB2082" s="116"/>
      <c r="BE2082" s="62"/>
      <c r="BF2082" s="63"/>
    </row>
    <row r="2083" spans="1:58" ht="12.75" customHeight="1" x14ac:dyDescent="0.25">
      <c r="A2083" s="334"/>
      <c r="B2083" s="334"/>
      <c r="C2083" s="332"/>
      <c r="D2083" s="334"/>
      <c r="E2083" s="335"/>
      <c r="F2083" s="334"/>
      <c r="G2083" s="332"/>
      <c r="H2083" s="332"/>
      <c r="I2083" s="334"/>
      <c r="J2083" s="336"/>
      <c r="K2083" s="332"/>
      <c r="L2083" s="332"/>
      <c r="M2083" s="76"/>
      <c r="N2083" s="103" t="str">
        <f>IF(A2083="","",VLOOKUP(A2083,Stand!C:K,9,0))</f>
        <v/>
      </c>
      <c r="O2083" s="104" t="str">
        <f t="shared" si="902"/>
        <v/>
      </c>
      <c r="P2083" s="105" t="str">
        <f t="shared" si="903"/>
        <v/>
      </c>
      <c r="Q2083" s="105" t="str">
        <f t="shared" si="918"/>
        <v/>
      </c>
      <c r="R2083" s="103" t="str">
        <f t="shared" si="904"/>
        <v/>
      </c>
      <c r="S2083" s="103" t="str">
        <f t="shared" si="905"/>
        <v/>
      </c>
      <c r="T2083" s="106" t="str">
        <f t="shared" si="919"/>
        <v/>
      </c>
      <c r="U2083" s="106" t="str">
        <f t="shared" si="920"/>
        <v/>
      </c>
      <c r="V2083" s="106" t="str">
        <f t="shared" si="921"/>
        <v/>
      </c>
      <c r="W2083" s="105" t="str">
        <f t="shared" si="906"/>
        <v/>
      </c>
      <c r="X2083" s="104" t="str">
        <f t="shared" si="911"/>
        <v/>
      </c>
      <c r="Y2083" s="104" t="str">
        <f t="array" ref="Y2083">IFERROR(IF(ISNUMBER(O2083),IF(COUNT(IF(A2083=$A$2:$A$2427,IF(D2083=$D$2:$D$2427,IF($X$2:$X$2427&gt;0,1))))&gt;0,SUM(IF(A2083=$A$2:$A$2427,IF(D2083=$D$2:$D$2427,$X$2:$X$2427)))/COUNT(IF(A2083=$A$2:$A$2427,IF(D2083=$D$2:$D$2427,IF(ISNUMBER($X$2:$X$2427),1)))),0),""),0)</f>
        <v/>
      </c>
      <c r="Z2083" s="104" t="str">
        <f>IF(ISNUMBER(O2083),IF(I2083&gt;0,(10^(VLOOKUP(D2083,'Species Codes'!B:C,2,0)+VLOOKUP(D2083,'Species Codes'!B:D,3,0)*LOG(E2083)+VLOOKUP(D2083,'Species Codes'!B:E,4,0)*LOG(I2083))),0),"")</f>
        <v/>
      </c>
      <c r="AA2083" s="104" t="str">
        <f>IFERROR((VLOOKUP(D2083,'Species Codes'!B:G,6,0)*Z2083)/2000,"")</f>
        <v/>
      </c>
      <c r="AB2083" s="104" t="e">
        <f>IF(Z2083&gt;0,((IF(OR(D2083="DF",D2083="RA")=TRUE,EXP(VLOOKUP(D2083,'Species Codes'!B:I,8,0)+VLOOKUP(D2083,'Species Codes'!B:J,9,0)*(LN((E2083*2.54)))),IF(OR(D2083="PY",D2083="RC",D2083="WH",D2083="NF")=TRUE,VLOOKUP(D2083,'Species Codes'!B:I,8,0)+VLOOKUP(D2083,'Species Codes'!B:J,9,0)*((E2083*2.54)^2)*(I2083*0.3048),IF(OR(D2083="MD",D2083="BM",D2083="GA")=TRUE,((VLOOKUP(D2083,'Species Codes'!B:I,8,0)*(((((E2083*2.54)+VLOOKUP(D2083,'Species Codes'!B:J,9,0))/VLOOKUP(D2083,'Species Codes'!B:K,10,0))^VLOOKUP(D2083,'Species Codes'!B:L,11,0))*((I2083*0.3048)^VLOOKUP(D2083,'Species Codes'!B:M,12,0))))-(VLOOKUP(D2083,'Species Codes'!B:I,8,0)*((((E2083*2.54)^VLOOKUP(D2083,'Species Codes'!B:L,11,0))*((I2083*0.3048)^VLOOKUP(D2083,'Species Codes'!B:M,12,0))))))*35.3*VLOOKUP(D2083,'Species Codes'!B:G,6,0)/2.2046,VLOOKUP(D2083,'Species Codes'!B:I,8,0)+VLOOKUP(D2083,'Species Codes'!B:J,9,0)*(((E2083*2.54)/100)^2)*(I2083*0.3048)))))*0.0011023),0)</f>
        <v>#N/A</v>
      </c>
      <c r="AC2083" s="104" t="e">
        <f>IF(Z2083&gt;0,((IF(OR(D2083="RA",D2083="OA",D2083="OT",D2083="UN",D2083="PC"),EXP(VLOOKUP(D2083,'Species Codes'!B:O,14,0)+VLOOKUP(D2083,'Species Codes'!B:P,15,0)*LN((E2083*2.54)))-EXP(VLOOKUP(D2083,'Species Codes'!B:O,14,0)+VLOOKUP(D2083,'Species Codes'!B:P,15,0)*LN((E2083*2.54)))*(1/(VLOOKUP(D2083,'Species Codes'!B:Q,16,0)+VLOOKUP(D2083,'Species Codes'!B:R,17,0)*((E2083*2.54)^VLOOKUP(D2083,'Species Codes'!B:S,18,0)))),IF(OR(D2083="BM",D2083="MD",D2083="OA"),EXP(VLOOKUP(D2083,'Species Codes'!B:O,14,0)+VLOOKUP(D2083,'Species Codes'!B:P,15,0)*LN((E2083*2.54)))*(1-(1/(VLOOKUP(D2083,'Species Codes'!B:Q,16,0)+VLOOKUP(D2083,'Species Codes'!B:R,17,0)*((E2083*2.54)^VLOOKUP(D2083,'Species Codes'!B:S,18,0)))))/1000,IF(D2083="DF",EXP(VLOOKUP(D2083,'Species Codes'!B:O,14,0)+VLOOKUP(D2083,'Species Codes'!B:P,15,0)*LN((E2083*2.54))),VLOOKUP(D2083,'Species Codes'!B:O,14,0)+VLOOKUP(D2083,'Species Codes'!B:P,15,0)*(((E2083*2.54)/100)^2)*(I2083*0.3048)))))*0.0011023),0)</f>
        <v>#N/A</v>
      </c>
      <c r="AD2083" s="104" t="e">
        <f t="shared" si="922"/>
        <v>#N/A</v>
      </c>
      <c r="AE2083" s="104" t="e">
        <f t="shared" si="923"/>
        <v>#N/A</v>
      </c>
      <c r="AF2083" s="104" t="e">
        <f>IF(AND(VLOOKUP($D2083,Merchantability!$B:$C,2,0)="Yes",$E2083&gt;=VLOOKUP($D2083,Merchantability!$B:$D,3,0),$E2083&lt;=VLOOKUP($D2083,Merchantability!$B:$E,4,0)),AA2083,0)</f>
        <v>#N/A</v>
      </c>
      <c r="AG2083" s="104" t="e">
        <f>IF(AND(VLOOKUP($D2083,Merchantability!$B:$C,2,0)="Yes",$E2083&gt;=VLOOKUP($D2083,Merchantability!$B:$D,3,0),$E2083&lt;=VLOOKUP($D2083,Merchantability!$B:$E,4,0)),AB2083,0)</f>
        <v>#N/A</v>
      </c>
      <c r="AH2083" s="104" t="e">
        <f>IF(AND(VLOOKUP($D2083,Merchantability!$B:$C,2,0)="Yes",$E2083&gt;=VLOOKUP($D2083,Merchantability!$B:$D,3,0),$E2083&lt;=VLOOKUP($D2083,Merchantability!$B:$E,4,0)),AC2083,0)</f>
        <v>#N/A</v>
      </c>
      <c r="AI2083" s="104" t="e">
        <f t="shared" si="924"/>
        <v>#N/A</v>
      </c>
      <c r="AJ2083" s="104" t="e">
        <f t="shared" si="925"/>
        <v>#VALUE!</v>
      </c>
      <c r="AK2083" s="104" t="e">
        <f t="shared" si="926"/>
        <v>#N/A</v>
      </c>
      <c r="AL2083" s="104" t="e">
        <f t="shared" si="927"/>
        <v>#N/A</v>
      </c>
      <c r="AM2083" s="104" t="e">
        <f t="shared" si="928"/>
        <v>#N/A</v>
      </c>
      <c r="AN2083" s="104" t="e">
        <f t="shared" si="912"/>
        <v>#N/A</v>
      </c>
      <c r="AO2083" s="104" t="e">
        <f t="shared" si="913"/>
        <v>#N/A</v>
      </c>
      <c r="AP2083" s="104" t="e">
        <f t="shared" si="914"/>
        <v>#N/A</v>
      </c>
      <c r="AQ2083" s="104" t="e">
        <f t="shared" si="915"/>
        <v>#N/A</v>
      </c>
      <c r="AR2083" s="105" t="str">
        <f t="shared" si="907"/>
        <v/>
      </c>
      <c r="AS2083" s="105" t="str">
        <f t="shared" si="908"/>
        <v/>
      </c>
      <c r="AT2083" s="108" t="str">
        <f t="shared" si="909"/>
        <v/>
      </c>
      <c r="AU2083" s="108" t="str">
        <f t="shared" si="910"/>
        <v/>
      </c>
      <c r="AV2083" s="107" t="str">
        <f>IF(ISNUMBER(O2083),IF(VLOOKUP($A2083,Stand!C:J,8,FALSE)="Short",AT2083,AU2083),"")</f>
        <v/>
      </c>
      <c r="AW2083" s="109" t="str">
        <f t="shared" si="916"/>
        <v/>
      </c>
      <c r="AX2083" s="109" t="str">
        <f t="shared" si="917"/>
        <v/>
      </c>
      <c r="AY2083" s="112" t="str">
        <f>IF(ISNUMBER(O2083),IF(AND(VLOOKUP($D2083,Merchantability!$B:$C,2,0)="Yes",$E2083&gt;=VLOOKUP($D2083,Merchantability!$B:$D,3,0),$E2083&lt;=VLOOKUP($D2083,Merchantability!$B:$E,4,0)),(AV2083*O2083)*(1-$H2083/100),""),"")</f>
        <v/>
      </c>
      <c r="AZ2083" s="116"/>
      <c r="BA2083" s="116"/>
      <c r="BB2083" s="116"/>
      <c r="BE2083" s="62"/>
      <c r="BF2083" s="63"/>
    </row>
    <row r="2084" spans="1:58" ht="12.75" customHeight="1" x14ac:dyDescent="0.25">
      <c r="A2084" s="334"/>
      <c r="B2084" s="334"/>
      <c r="C2084" s="332"/>
      <c r="D2084" s="334"/>
      <c r="E2084" s="335"/>
      <c r="F2084" s="334"/>
      <c r="G2084" s="332"/>
      <c r="H2084" s="332"/>
      <c r="I2084" s="334"/>
      <c r="J2084" s="336"/>
      <c r="K2084" s="332"/>
      <c r="L2084" s="332"/>
      <c r="M2084" s="76"/>
      <c r="N2084" s="103" t="str">
        <f>IF(A2084="","",VLOOKUP(A2084,Stand!C:K,9,0))</f>
        <v/>
      </c>
      <c r="O2084" s="104" t="str">
        <f t="shared" si="902"/>
        <v/>
      </c>
      <c r="P2084" s="105" t="str">
        <f t="shared" si="903"/>
        <v/>
      </c>
      <c r="Q2084" s="105" t="str">
        <f t="shared" si="918"/>
        <v/>
      </c>
      <c r="R2084" s="103" t="str">
        <f t="shared" si="904"/>
        <v/>
      </c>
      <c r="S2084" s="103" t="str">
        <f t="shared" si="905"/>
        <v/>
      </c>
      <c r="T2084" s="106" t="str">
        <f t="shared" si="919"/>
        <v/>
      </c>
      <c r="U2084" s="106" t="str">
        <f t="shared" si="920"/>
        <v/>
      </c>
      <c r="V2084" s="106" t="str">
        <f t="shared" si="921"/>
        <v/>
      </c>
      <c r="W2084" s="105" t="str">
        <f t="shared" si="906"/>
        <v/>
      </c>
      <c r="X2084" s="104" t="str">
        <f t="shared" si="911"/>
        <v/>
      </c>
      <c r="Y2084" s="104" t="str">
        <f t="array" ref="Y2084">IFERROR(IF(ISNUMBER(O2084),IF(COUNT(IF(A2084=$A$2:$A$2427,IF(D2084=$D$2:$D$2427,IF($X$2:$X$2427&gt;0,1))))&gt;0,SUM(IF(A2084=$A$2:$A$2427,IF(D2084=$D$2:$D$2427,$X$2:$X$2427)))/COUNT(IF(A2084=$A$2:$A$2427,IF(D2084=$D$2:$D$2427,IF(ISNUMBER($X$2:$X$2427),1)))),0),""),0)</f>
        <v/>
      </c>
      <c r="Z2084" s="104" t="str">
        <f>IF(ISNUMBER(O2084),IF(I2084&gt;0,(10^(VLOOKUP(D2084,'Species Codes'!B:C,2,0)+VLOOKUP(D2084,'Species Codes'!B:D,3,0)*LOG(E2084)+VLOOKUP(D2084,'Species Codes'!B:E,4,0)*LOG(I2084))),0),"")</f>
        <v/>
      </c>
      <c r="AA2084" s="104" t="str">
        <f>IFERROR((VLOOKUP(D2084,'Species Codes'!B:G,6,0)*Z2084)/2000,"")</f>
        <v/>
      </c>
      <c r="AB2084" s="104" t="e">
        <f>IF(Z2084&gt;0,((IF(OR(D2084="DF",D2084="RA")=TRUE,EXP(VLOOKUP(D2084,'Species Codes'!B:I,8,0)+VLOOKUP(D2084,'Species Codes'!B:J,9,0)*(LN((E2084*2.54)))),IF(OR(D2084="PY",D2084="RC",D2084="WH",D2084="NF")=TRUE,VLOOKUP(D2084,'Species Codes'!B:I,8,0)+VLOOKUP(D2084,'Species Codes'!B:J,9,0)*((E2084*2.54)^2)*(I2084*0.3048),IF(OR(D2084="MD",D2084="BM",D2084="GA")=TRUE,((VLOOKUP(D2084,'Species Codes'!B:I,8,0)*(((((E2084*2.54)+VLOOKUP(D2084,'Species Codes'!B:J,9,0))/VLOOKUP(D2084,'Species Codes'!B:K,10,0))^VLOOKUP(D2084,'Species Codes'!B:L,11,0))*((I2084*0.3048)^VLOOKUP(D2084,'Species Codes'!B:M,12,0))))-(VLOOKUP(D2084,'Species Codes'!B:I,8,0)*((((E2084*2.54)^VLOOKUP(D2084,'Species Codes'!B:L,11,0))*((I2084*0.3048)^VLOOKUP(D2084,'Species Codes'!B:M,12,0))))))*35.3*VLOOKUP(D2084,'Species Codes'!B:G,6,0)/2.2046,VLOOKUP(D2084,'Species Codes'!B:I,8,0)+VLOOKUP(D2084,'Species Codes'!B:J,9,0)*(((E2084*2.54)/100)^2)*(I2084*0.3048)))))*0.0011023),0)</f>
        <v>#N/A</v>
      </c>
      <c r="AC2084" s="104" t="e">
        <f>IF(Z2084&gt;0,((IF(OR(D2084="RA",D2084="OA",D2084="OT",D2084="UN",D2084="PC"),EXP(VLOOKUP(D2084,'Species Codes'!B:O,14,0)+VLOOKUP(D2084,'Species Codes'!B:P,15,0)*LN((E2084*2.54)))-EXP(VLOOKUP(D2084,'Species Codes'!B:O,14,0)+VLOOKUP(D2084,'Species Codes'!B:P,15,0)*LN((E2084*2.54)))*(1/(VLOOKUP(D2084,'Species Codes'!B:Q,16,0)+VLOOKUP(D2084,'Species Codes'!B:R,17,0)*((E2084*2.54)^VLOOKUP(D2084,'Species Codes'!B:S,18,0)))),IF(OR(D2084="BM",D2084="MD",D2084="OA"),EXP(VLOOKUP(D2084,'Species Codes'!B:O,14,0)+VLOOKUP(D2084,'Species Codes'!B:P,15,0)*LN((E2084*2.54)))*(1-(1/(VLOOKUP(D2084,'Species Codes'!B:Q,16,0)+VLOOKUP(D2084,'Species Codes'!B:R,17,0)*((E2084*2.54)^VLOOKUP(D2084,'Species Codes'!B:S,18,0)))))/1000,IF(D2084="DF",EXP(VLOOKUP(D2084,'Species Codes'!B:O,14,0)+VLOOKUP(D2084,'Species Codes'!B:P,15,0)*LN((E2084*2.54))),VLOOKUP(D2084,'Species Codes'!B:O,14,0)+VLOOKUP(D2084,'Species Codes'!B:P,15,0)*(((E2084*2.54)/100)^2)*(I2084*0.3048)))))*0.0011023),0)</f>
        <v>#N/A</v>
      </c>
      <c r="AD2084" s="104" t="e">
        <f t="shared" si="922"/>
        <v>#N/A</v>
      </c>
      <c r="AE2084" s="104" t="e">
        <f t="shared" si="923"/>
        <v>#N/A</v>
      </c>
      <c r="AF2084" s="104" t="e">
        <f>IF(AND(VLOOKUP($D2084,Merchantability!$B:$C,2,0)="Yes",$E2084&gt;=VLOOKUP($D2084,Merchantability!$B:$D,3,0),$E2084&lt;=VLOOKUP($D2084,Merchantability!$B:$E,4,0)),AA2084,0)</f>
        <v>#N/A</v>
      </c>
      <c r="AG2084" s="104" t="e">
        <f>IF(AND(VLOOKUP($D2084,Merchantability!$B:$C,2,0)="Yes",$E2084&gt;=VLOOKUP($D2084,Merchantability!$B:$D,3,0),$E2084&lt;=VLOOKUP($D2084,Merchantability!$B:$E,4,0)),AB2084,0)</f>
        <v>#N/A</v>
      </c>
      <c r="AH2084" s="104" t="e">
        <f>IF(AND(VLOOKUP($D2084,Merchantability!$B:$C,2,0)="Yes",$E2084&gt;=VLOOKUP($D2084,Merchantability!$B:$D,3,0),$E2084&lt;=VLOOKUP($D2084,Merchantability!$B:$E,4,0)),AC2084,0)</f>
        <v>#N/A</v>
      </c>
      <c r="AI2084" s="104" t="e">
        <f t="shared" si="924"/>
        <v>#N/A</v>
      </c>
      <c r="AJ2084" s="104" t="e">
        <f t="shared" si="925"/>
        <v>#VALUE!</v>
      </c>
      <c r="AK2084" s="104" t="e">
        <f t="shared" si="926"/>
        <v>#N/A</v>
      </c>
      <c r="AL2084" s="104" t="e">
        <f t="shared" si="927"/>
        <v>#N/A</v>
      </c>
      <c r="AM2084" s="104" t="e">
        <f t="shared" si="928"/>
        <v>#N/A</v>
      </c>
      <c r="AN2084" s="104" t="e">
        <f t="shared" si="912"/>
        <v>#N/A</v>
      </c>
      <c r="AO2084" s="104" t="e">
        <f t="shared" si="913"/>
        <v>#N/A</v>
      </c>
      <c r="AP2084" s="104" t="e">
        <f t="shared" si="914"/>
        <v>#N/A</v>
      </c>
      <c r="AQ2084" s="104" t="e">
        <f t="shared" si="915"/>
        <v>#N/A</v>
      </c>
      <c r="AR2084" s="105" t="str">
        <f t="shared" si="907"/>
        <v/>
      </c>
      <c r="AS2084" s="105" t="str">
        <f t="shared" si="908"/>
        <v/>
      </c>
      <c r="AT2084" s="108" t="str">
        <f t="shared" si="909"/>
        <v/>
      </c>
      <c r="AU2084" s="108" t="str">
        <f t="shared" si="910"/>
        <v/>
      </c>
      <c r="AV2084" s="107" t="str">
        <f>IF(ISNUMBER(O2084),IF(VLOOKUP($A2084,Stand!C:J,8,FALSE)="Short",AT2084,AU2084),"")</f>
        <v/>
      </c>
      <c r="AW2084" s="109" t="str">
        <f t="shared" si="916"/>
        <v/>
      </c>
      <c r="AX2084" s="109" t="str">
        <f t="shared" si="917"/>
        <v/>
      </c>
      <c r="AY2084" s="112" t="str">
        <f>IF(ISNUMBER(O2084),IF(AND(VLOOKUP($D2084,Merchantability!$B:$C,2,0)="Yes",$E2084&gt;=VLOOKUP($D2084,Merchantability!$B:$D,3,0),$E2084&lt;=VLOOKUP($D2084,Merchantability!$B:$E,4,0)),(AV2084*O2084)*(1-$H2084/100),""),"")</f>
        <v/>
      </c>
      <c r="AZ2084" s="116"/>
      <c r="BA2084" s="116"/>
      <c r="BB2084" s="116"/>
      <c r="BE2084" s="62"/>
      <c r="BF2084" s="63"/>
    </row>
    <row r="2085" spans="1:58" ht="12.75" customHeight="1" x14ac:dyDescent="0.25">
      <c r="A2085" s="334"/>
      <c r="B2085" s="334"/>
      <c r="C2085" s="332"/>
      <c r="D2085" s="334"/>
      <c r="E2085" s="335"/>
      <c r="F2085" s="334"/>
      <c r="G2085" s="332"/>
      <c r="H2085" s="332"/>
      <c r="I2085" s="334"/>
      <c r="J2085" s="336"/>
      <c r="K2085" s="332"/>
      <c r="L2085" s="332"/>
      <c r="M2085" s="76"/>
      <c r="N2085" s="103" t="str">
        <f>IF(A2085="","",VLOOKUP(A2085,Stand!C:K,9,0))</f>
        <v/>
      </c>
      <c r="O2085" s="104" t="str">
        <f t="shared" si="902"/>
        <v/>
      </c>
      <c r="P2085" s="105" t="str">
        <f t="shared" si="903"/>
        <v/>
      </c>
      <c r="Q2085" s="105" t="str">
        <f t="shared" si="918"/>
        <v/>
      </c>
      <c r="R2085" s="103" t="str">
        <f t="shared" si="904"/>
        <v/>
      </c>
      <c r="S2085" s="103" t="str">
        <f t="shared" si="905"/>
        <v/>
      </c>
      <c r="T2085" s="106" t="str">
        <f t="shared" si="919"/>
        <v/>
      </c>
      <c r="U2085" s="106" t="str">
        <f t="shared" si="920"/>
        <v/>
      </c>
      <c r="V2085" s="106" t="str">
        <f t="shared" si="921"/>
        <v/>
      </c>
      <c r="W2085" s="105" t="str">
        <f t="shared" si="906"/>
        <v/>
      </c>
      <c r="X2085" s="104" t="str">
        <f t="shared" si="911"/>
        <v/>
      </c>
      <c r="Y2085" s="104" t="str">
        <f t="array" ref="Y2085">IFERROR(IF(ISNUMBER(O2085),IF(COUNT(IF(A2085=$A$2:$A$2427,IF(D2085=$D$2:$D$2427,IF($X$2:$X$2427&gt;0,1))))&gt;0,SUM(IF(A2085=$A$2:$A$2427,IF(D2085=$D$2:$D$2427,$X$2:$X$2427)))/COUNT(IF(A2085=$A$2:$A$2427,IF(D2085=$D$2:$D$2427,IF(ISNUMBER($X$2:$X$2427),1)))),0),""),0)</f>
        <v/>
      </c>
      <c r="Z2085" s="104" t="str">
        <f>IF(ISNUMBER(O2085),IF(I2085&gt;0,(10^(VLOOKUP(D2085,'Species Codes'!B:C,2,0)+VLOOKUP(D2085,'Species Codes'!B:D,3,0)*LOG(E2085)+VLOOKUP(D2085,'Species Codes'!B:E,4,0)*LOG(I2085))),0),"")</f>
        <v/>
      </c>
      <c r="AA2085" s="104" t="str">
        <f>IFERROR((VLOOKUP(D2085,'Species Codes'!B:G,6,0)*Z2085)/2000,"")</f>
        <v/>
      </c>
      <c r="AB2085" s="104" t="e">
        <f>IF(Z2085&gt;0,((IF(OR(D2085="DF",D2085="RA")=TRUE,EXP(VLOOKUP(D2085,'Species Codes'!B:I,8,0)+VLOOKUP(D2085,'Species Codes'!B:J,9,0)*(LN((E2085*2.54)))),IF(OR(D2085="PY",D2085="RC",D2085="WH",D2085="NF")=TRUE,VLOOKUP(D2085,'Species Codes'!B:I,8,0)+VLOOKUP(D2085,'Species Codes'!B:J,9,0)*((E2085*2.54)^2)*(I2085*0.3048),IF(OR(D2085="MD",D2085="BM",D2085="GA")=TRUE,((VLOOKUP(D2085,'Species Codes'!B:I,8,0)*(((((E2085*2.54)+VLOOKUP(D2085,'Species Codes'!B:J,9,0))/VLOOKUP(D2085,'Species Codes'!B:K,10,0))^VLOOKUP(D2085,'Species Codes'!B:L,11,0))*((I2085*0.3048)^VLOOKUP(D2085,'Species Codes'!B:M,12,0))))-(VLOOKUP(D2085,'Species Codes'!B:I,8,0)*((((E2085*2.54)^VLOOKUP(D2085,'Species Codes'!B:L,11,0))*((I2085*0.3048)^VLOOKUP(D2085,'Species Codes'!B:M,12,0))))))*35.3*VLOOKUP(D2085,'Species Codes'!B:G,6,0)/2.2046,VLOOKUP(D2085,'Species Codes'!B:I,8,0)+VLOOKUP(D2085,'Species Codes'!B:J,9,0)*(((E2085*2.54)/100)^2)*(I2085*0.3048)))))*0.0011023),0)</f>
        <v>#N/A</v>
      </c>
      <c r="AC2085" s="104" t="e">
        <f>IF(Z2085&gt;0,((IF(OR(D2085="RA",D2085="OA",D2085="OT",D2085="UN",D2085="PC"),EXP(VLOOKUP(D2085,'Species Codes'!B:O,14,0)+VLOOKUP(D2085,'Species Codes'!B:P,15,0)*LN((E2085*2.54)))-EXP(VLOOKUP(D2085,'Species Codes'!B:O,14,0)+VLOOKUP(D2085,'Species Codes'!B:P,15,0)*LN((E2085*2.54)))*(1/(VLOOKUP(D2085,'Species Codes'!B:Q,16,0)+VLOOKUP(D2085,'Species Codes'!B:R,17,0)*((E2085*2.54)^VLOOKUP(D2085,'Species Codes'!B:S,18,0)))),IF(OR(D2085="BM",D2085="MD",D2085="OA"),EXP(VLOOKUP(D2085,'Species Codes'!B:O,14,0)+VLOOKUP(D2085,'Species Codes'!B:P,15,0)*LN((E2085*2.54)))*(1-(1/(VLOOKUP(D2085,'Species Codes'!B:Q,16,0)+VLOOKUP(D2085,'Species Codes'!B:R,17,0)*((E2085*2.54)^VLOOKUP(D2085,'Species Codes'!B:S,18,0)))))/1000,IF(D2085="DF",EXP(VLOOKUP(D2085,'Species Codes'!B:O,14,0)+VLOOKUP(D2085,'Species Codes'!B:P,15,0)*LN((E2085*2.54))),VLOOKUP(D2085,'Species Codes'!B:O,14,0)+VLOOKUP(D2085,'Species Codes'!B:P,15,0)*(((E2085*2.54)/100)^2)*(I2085*0.3048)))))*0.0011023),0)</f>
        <v>#N/A</v>
      </c>
      <c r="AD2085" s="104" t="e">
        <f t="shared" si="922"/>
        <v>#N/A</v>
      </c>
      <c r="AE2085" s="104" t="e">
        <f t="shared" si="923"/>
        <v>#N/A</v>
      </c>
      <c r="AF2085" s="104" t="e">
        <f>IF(AND(VLOOKUP($D2085,Merchantability!$B:$C,2,0)="Yes",$E2085&gt;=VLOOKUP($D2085,Merchantability!$B:$D,3,0),$E2085&lt;=VLOOKUP($D2085,Merchantability!$B:$E,4,0)),AA2085,0)</f>
        <v>#N/A</v>
      </c>
      <c r="AG2085" s="104" t="e">
        <f>IF(AND(VLOOKUP($D2085,Merchantability!$B:$C,2,0)="Yes",$E2085&gt;=VLOOKUP($D2085,Merchantability!$B:$D,3,0),$E2085&lt;=VLOOKUP($D2085,Merchantability!$B:$E,4,0)),AB2085,0)</f>
        <v>#N/A</v>
      </c>
      <c r="AH2085" s="104" t="e">
        <f>IF(AND(VLOOKUP($D2085,Merchantability!$B:$C,2,0)="Yes",$E2085&gt;=VLOOKUP($D2085,Merchantability!$B:$D,3,0),$E2085&lt;=VLOOKUP($D2085,Merchantability!$B:$E,4,0)),AC2085,0)</f>
        <v>#N/A</v>
      </c>
      <c r="AI2085" s="104" t="e">
        <f t="shared" si="924"/>
        <v>#N/A</v>
      </c>
      <c r="AJ2085" s="104" t="e">
        <f t="shared" si="925"/>
        <v>#VALUE!</v>
      </c>
      <c r="AK2085" s="104" t="e">
        <f t="shared" si="926"/>
        <v>#N/A</v>
      </c>
      <c r="AL2085" s="104" t="e">
        <f t="shared" si="927"/>
        <v>#N/A</v>
      </c>
      <c r="AM2085" s="104" t="e">
        <f t="shared" si="928"/>
        <v>#N/A</v>
      </c>
      <c r="AN2085" s="104" t="e">
        <f t="shared" si="912"/>
        <v>#N/A</v>
      </c>
      <c r="AO2085" s="104" t="e">
        <f t="shared" si="913"/>
        <v>#N/A</v>
      </c>
      <c r="AP2085" s="104" t="e">
        <f t="shared" si="914"/>
        <v>#N/A</v>
      </c>
      <c r="AQ2085" s="104" t="e">
        <f t="shared" si="915"/>
        <v>#N/A</v>
      </c>
      <c r="AR2085" s="105" t="str">
        <f t="shared" si="907"/>
        <v/>
      </c>
      <c r="AS2085" s="105" t="str">
        <f t="shared" si="908"/>
        <v/>
      </c>
      <c r="AT2085" s="108" t="str">
        <f t="shared" si="909"/>
        <v/>
      </c>
      <c r="AU2085" s="108" t="str">
        <f t="shared" si="910"/>
        <v/>
      </c>
      <c r="AV2085" s="107" t="str">
        <f>IF(ISNUMBER(O2085),IF(VLOOKUP($A2085,Stand!C:J,8,FALSE)="Short",AT2085,AU2085),"")</f>
        <v/>
      </c>
      <c r="AW2085" s="109" t="str">
        <f t="shared" si="916"/>
        <v/>
      </c>
      <c r="AX2085" s="109" t="str">
        <f t="shared" si="917"/>
        <v/>
      </c>
      <c r="AY2085" s="112" t="str">
        <f>IF(ISNUMBER(O2085),IF(AND(VLOOKUP($D2085,Merchantability!$B:$C,2,0)="Yes",$E2085&gt;=VLOOKUP($D2085,Merchantability!$B:$D,3,0),$E2085&lt;=VLOOKUP($D2085,Merchantability!$B:$E,4,0)),(AV2085*O2085)*(1-$H2085/100),""),"")</f>
        <v/>
      </c>
      <c r="AZ2085" s="116"/>
      <c r="BA2085" s="116"/>
      <c r="BB2085" s="116"/>
      <c r="BE2085" s="62"/>
      <c r="BF2085" s="63"/>
    </row>
    <row r="2086" spans="1:58" ht="12.75" customHeight="1" x14ac:dyDescent="0.25">
      <c r="A2086" s="334"/>
      <c r="B2086" s="334"/>
      <c r="C2086" s="332"/>
      <c r="D2086" s="334"/>
      <c r="E2086" s="335"/>
      <c r="F2086" s="334"/>
      <c r="G2086" s="332"/>
      <c r="H2086" s="332"/>
      <c r="I2086" s="334"/>
      <c r="J2086" s="336"/>
      <c r="K2086" s="332"/>
      <c r="L2086" s="332"/>
      <c r="M2086" s="76"/>
      <c r="N2086" s="103" t="str">
        <f>IF(A2086="","",VLOOKUP(A2086,Stand!C:K,9,0))</f>
        <v/>
      </c>
      <c r="O2086" s="104" t="str">
        <f t="shared" si="902"/>
        <v/>
      </c>
      <c r="P2086" s="105" t="str">
        <f t="shared" si="903"/>
        <v/>
      </c>
      <c r="Q2086" s="105" t="str">
        <f t="shared" si="918"/>
        <v/>
      </c>
      <c r="R2086" s="103" t="str">
        <f t="shared" si="904"/>
        <v/>
      </c>
      <c r="S2086" s="103" t="str">
        <f t="shared" si="905"/>
        <v/>
      </c>
      <c r="T2086" s="106" t="str">
        <f t="shared" si="919"/>
        <v/>
      </c>
      <c r="U2086" s="106" t="str">
        <f t="shared" si="920"/>
        <v/>
      </c>
      <c r="V2086" s="106" t="str">
        <f t="shared" si="921"/>
        <v/>
      </c>
      <c r="W2086" s="105" t="str">
        <f t="shared" si="906"/>
        <v/>
      </c>
      <c r="X2086" s="104" t="str">
        <f t="shared" si="911"/>
        <v/>
      </c>
      <c r="Y2086" s="104" t="str">
        <f t="array" ref="Y2086">IFERROR(IF(ISNUMBER(O2086),IF(COUNT(IF(A2086=$A$2:$A$2427,IF(D2086=$D$2:$D$2427,IF($X$2:$X$2427&gt;0,1))))&gt;0,SUM(IF(A2086=$A$2:$A$2427,IF(D2086=$D$2:$D$2427,$X$2:$X$2427)))/COUNT(IF(A2086=$A$2:$A$2427,IF(D2086=$D$2:$D$2427,IF(ISNUMBER($X$2:$X$2427),1)))),0),""),0)</f>
        <v/>
      </c>
      <c r="Z2086" s="104" t="str">
        <f>IF(ISNUMBER(O2086),IF(I2086&gt;0,(10^(VLOOKUP(D2086,'Species Codes'!B:C,2,0)+VLOOKUP(D2086,'Species Codes'!B:D,3,0)*LOG(E2086)+VLOOKUP(D2086,'Species Codes'!B:E,4,0)*LOG(I2086))),0),"")</f>
        <v/>
      </c>
      <c r="AA2086" s="104" t="str">
        <f>IFERROR((VLOOKUP(D2086,'Species Codes'!B:G,6,0)*Z2086)/2000,"")</f>
        <v/>
      </c>
      <c r="AB2086" s="104" t="e">
        <f>IF(Z2086&gt;0,((IF(OR(D2086="DF",D2086="RA")=TRUE,EXP(VLOOKUP(D2086,'Species Codes'!B:I,8,0)+VLOOKUP(D2086,'Species Codes'!B:J,9,0)*(LN((E2086*2.54)))),IF(OR(D2086="PY",D2086="RC",D2086="WH",D2086="NF")=TRUE,VLOOKUP(D2086,'Species Codes'!B:I,8,0)+VLOOKUP(D2086,'Species Codes'!B:J,9,0)*((E2086*2.54)^2)*(I2086*0.3048),IF(OR(D2086="MD",D2086="BM",D2086="GA")=TRUE,((VLOOKUP(D2086,'Species Codes'!B:I,8,0)*(((((E2086*2.54)+VLOOKUP(D2086,'Species Codes'!B:J,9,0))/VLOOKUP(D2086,'Species Codes'!B:K,10,0))^VLOOKUP(D2086,'Species Codes'!B:L,11,0))*((I2086*0.3048)^VLOOKUP(D2086,'Species Codes'!B:M,12,0))))-(VLOOKUP(D2086,'Species Codes'!B:I,8,0)*((((E2086*2.54)^VLOOKUP(D2086,'Species Codes'!B:L,11,0))*((I2086*0.3048)^VLOOKUP(D2086,'Species Codes'!B:M,12,0))))))*35.3*VLOOKUP(D2086,'Species Codes'!B:G,6,0)/2.2046,VLOOKUP(D2086,'Species Codes'!B:I,8,0)+VLOOKUP(D2086,'Species Codes'!B:J,9,0)*(((E2086*2.54)/100)^2)*(I2086*0.3048)))))*0.0011023),0)</f>
        <v>#N/A</v>
      </c>
      <c r="AC2086" s="104" t="e">
        <f>IF(Z2086&gt;0,((IF(OR(D2086="RA",D2086="OA",D2086="OT",D2086="UN",D2086="PC"),EXP(VLOOKUP(D2086,'Species Codes'!B:O,14,0)+VLOOKUP(D2086,'Species Codes'!B:P,15,0)*LN((E2086*2.54)))-EXP(VLOOKUP(D2086,'Species Codes'!B:O,14,0)+VLOOKUP(D2086,'Species Codes'!B:P,15,0)*LN((E2086*2.54)))*(1/(VLOOKUP(D2086,'Species Codes'!B:Q,16,0)+VLOOKUP(D2086,'Species Codes'!B:R,17,0)*((E2086*2.54)^VLOOKUP(D2086,'Species Codes'!B:S,18,0)))),IF(OR(D2086="BM",D2086="MD",D2086="OA"),EXP(VLOOKUP(D2086,'Species Codes'!B:O,14,0)+VLOOKUP(D2086,'Species Codes'!B:P,15,0)*LN((E2086*2.54)))*(1-(1/(VLOOKUP(D2086,'Species Codes'!B:Q,16,0)+VLOOKUP(D2086,'Species Codes'!B:R,17,0)*((E2086*2.54)^VLOOKUP(D2086,'Species Codes'!B:S,18,0)))))/1000,IF(D2086="DF",EXP(VLOOKUP(D2086,'Species Codes'!B:O,14,0)+VLOOKUP(D2086,'Species Codes'!B:P,15,0)*LN((E2086*2.54))),VLOOKUP(D2086,'Species Codes'!B:O,14,0)+VLOOKUP(D2086,'Species Codes'!B:P,15,0)*(((E2086*2.54)/100)^2)*(I2086*0.3048)))))*0.0011023),0)</f>
        <v>#N/A</v>
      </c>
      <c r="AD2086" s="104" t="e">
        <f t="shared" si="922"/>
        <v>#N/A</v>
      </c>
      <c r="AE2086" s="104" t="e">
        <f t="shared" si="923"/>
        <v>#N/A</v>
      </c>
      <c r="AF2086" s="104" t="e">
        <f>IF(AND(VLOOKUP($D2086,Merchantability!$B:$C,2,0)="Yes",$E2086&gt;=VLOOKUP($D2086,Merchantability!$B:$D,3,0),$E2086&lt;=VLOOKUP($D2086,Merchantability!$B:$E,4,0)),AA2086,0)</f>
        <v>#N/A</v>
      </c>
      <c r="AG2086" s="104" t="e">
        <f>IF(AND(VLOOKUP($D2086,Merchantability!$B:$C,2,0)="Yes",$E2086&gt;=VLOOKUP($D2086,Merchantability!$B:$D,3,0),$E2086&lt;=VLOOKUP($D2086,Merchantability!$B:$E,4,0)),AB2086,0)</f>
        <v>#N/A</v>
      </c>
      <c r="AH2086" s="104" t="e">
        <f>IF(AND(VLOOKUP($D2086,Merchantability!$B:$C,2,0)="Yes",$E2086&gt;=VLOOKUP($D2086,Merchantability!$B:$D,3,0),$E2086&lt;=VLOOKUP($D2086,Merchantability!$B:$E,4,0)),AC2086,0)</f>
        <v>#N/A</v>
      </c>
      <c r="AI2086" s="104" t="e">
        <f t="shared" si="924"/>
        <v>#N/A</v>
      </c>
      <c r="AJ2086" s="104" t="e">
        <f t="shared" si="925"/>
        <v>#VALUE!</v>
      </c>
      <c r="AK2086" s="104" t="e">
        <f t="shared" si="926"/>
        <v>#N/A</v>
      </c>
      <c r="AL2086" s="104" t="e">
        <f t="shared" si="927"/>
        <v>#N/A</v>
      </c>
      <c r="AM2086" s="104" t="e">
        <f t="shared" si="928"/>
        <v>#N/A</v>
      </c>
      <c r="AN2086" s="104" t="e">
        <f t="shared" si="912"/>
        <v>#N/A</v>
      </c>
      <c r="AO2086" s="104" t="e">
        <f t="shared" si="913"/>
        <v>#N/A</v>
      </c>
      <c r="AP2086" s="104" t="e">
        <f t="shared" si="914"/>
        <v>#N/A</v>
      </c>
      <c r="AQ2086" s="104" t="e">
        <f t="shared" si="915"/>
        <v>#N/A</v>
      </c>
      <c r="AR2086" s="105" t="str">
        <f t="shared" si="907"/>
        <v/>
      </c>
      <c r="AS2086" s="105" t="str">
        <f t="shared" si="908"/>
        <v/>
      </c>
      <c r="AT2086" s="108" t="str">
        <f t="shared" si="909"/>
        <v/>
      </c>
      <c r="AU2086" s="108" t="str">
        <f t="shared" si="910"/>
        <v/>
      </c>
      <c r="AV2086" s="107" t="str">
        <f>IF(ISNUMBER(O2086),IF(VLOOKUP($A2086,Stand!C:J,8,FALSE)="Short",AT2086,AU2086),"")</f>
        <v/>
      </c>
      <c r="AW2086" s="109" t="str">
        <f t="shared" si="916"/>
        <v/>
      </c>
      <c r="AX2086" s="109" t="str">
        <f t="shared" si="917"/>
        <v/>
      </c>
      <c r="AY2086" s="112" t="str">
        <f>IF(ISNUMBER(O2086),IF(AND(VLOOKUP($D2086,Merchantability!$B:$C,2,0)="Yes",$E2086&gt;=VLOOKUP($D2086,Merchantability!$B:$D,3,0),$E2086&lt;=VLOOKUP($D2086,Merchantability!$B:$E,4,0)),(AV2086*O2086)*(1-$H2086/100),""),"")</f>
        <v/>
      </c>
      <c r="AZ2086" s="116"/>
      <c r="BA2086" s="116"/>
      <c r="BB2086" s="116"/>
      <c r="BE2086" s="62"/>
      <c r="BF2086" s="63"/>
    </row>
    <row r="2087" spans="1:58" ht="12.75" customHeight="1" x14ac:dyDescent="0.25">
      <c r="A2087" s="334"/>
      <c r="B2087" s="334"/>
      <c r="C2087" s="332"/>
      <c r="D2087" s="334"/>
      <c r="E2087" s="335"/>
      <c r="F2087" s="334"/>
      <c r="G2087" s="332"/>
      <c r="H2087" s="332"/>
      <c r="I2087" s="334"/>
      <c r="J2087" s="336"/>
      <c r="K2087" s="332"/>
      <c r="L2087" s="332"/>
      <c r="M2087" s="76"/>
      <c r="N2087" s="103" t="str">
        <f>IF(A2087="","",VLOOKUP(A2087,Stand!C:K,9,0))</f>
        <v/>
      </c>
      <c r="O2087" s="104" t="str">
        <f t="shared" si="902"/>
        <v/>
      </c>
      <c r="P2087" s="105" t="str">
        <f t="shared" si="903"/>
        <v/>
      </c>
      <c r="Q2087" s="105" t="str">
        <f t="shared" si="918"/>
        <v/>
      </c>
      <c r="R2087" s="103" t="str">
        <f t="shared" si="904"/>
        <v/>
      </c>
      <c r="S2087" s="103" t="str">
        <f t="shared" si="905"/>
        <v/>
      </c>
      <c r="T2087" s="106" t="str">
        <f t="shared" si="919"/>
        <v/>
      </c>
      <c r="U2087" s="106" t="str">
        <f t="shared" si="920"/>
        <v/>
      </c>
      <c r="V2087" s="106" t="str">
        <f t="shared" si="921"/>
        <v/>
      </c>
      <c r="W2087" s="105" t="str">
        <f t="shared" si="906"/>
        <v/>
      </c>
      <c r="X2087" s="104" t="str">
        <f t="shared" si="911"/>
        <v/>
      </c>
      <c r="Y2087" s="104" t="str">
        <f t="array" ref="Y2087">IFERROR(IF(ISNUMBER(O2087),IF(COUNT(IF(A2087=$A$2:$A$2427,IF(D2087=$D$2:$D$2427,IF($X$2:$X$2427&gt;0,1))))&gt;0,SUM(IF(A2087=$A$2:$A$2427,IF(D2087=$D$2:$D$2427,$X$2:$X$2427)))/COUNT(IF(A2087=$A$2:$A$2427,IF(D2087=$D$2:$D$2427,IF(ISNUMBER($X$2:$X$2427),1)))),0),""),0)</f>
        <v/>
      </c>
      <c r="Z2087" s="104" t="str">
        <f>IF(ISNUMBER(O2087),IF(I2087&gt;0,(10^(VLOOKUP(D2087,'Species Codes'!B:C,2,0)+VLOOKUP(D2087,'Species Codes'!B:D,3,0)*LOG(E2087)+VLOOKUP(D2087,'Species Codes'!B:E,4,0)*LOG(I2087))),0),"")</f>
        <v/>
      </c>
      <c r="AA2087" s="104" t="str">
        <f>IFERROR((VLOOKUP(D2087,'Species Codes'!B:G,6,0)*Z2087)/2000,"")</f>
        <v/>
      </c>
      <c r="AB2087" s="104" t="e">
        <f>IF(Z2087&gt;0,((IF(OR(D2087="DF",D2087="RA")=TRUE,EXP(VLOOKUP(D2087,'Species Codes'!B:I,8,0)+VLOOKUP(D2087,'Species Codes'!B:J,9,0)*(LN((E2087*2.54)))),IF(OR(D2087="PY",D2087="RC",D2087="WH",D2087="NF")=TRUE,VLOOKUP(D2087,'Species Codes'!B:I,8,0)+VLOOKUP(D2087,'Species Codes'!B:J,9,0)*((E2087*2.54)^2)*(I2087*0.3048),IF(OR(D2087="MD",D2087="BM",D2087="GA")=TRUE,((VLOOKUP(D2087,'Species Codes'!B:I,8,0)*(((((E2087*2.54)+VLOOKUP(D2087,'Species Codes'!B:J,9,0))/VLOOKUP(D2087,'Species Codes'!B:K,10,0))^VLOOKUP(D2087,'Species Codes'!B:L,11,0))*((I2087*0.3048)^VLOOKUP(D2087,'Species Codes'!B:M,12,0))))-(VLOOKUP(D2087,'Species Codes'!B:I,8,0)*((((E2087*2.54)^VLOOKUP(D2087,'Species Codes'!B:L,11,0))*((I2087*0.3048)^VLOOKUP(D2087,'Species Codes'!B:M,12,0))))))*35.3*VLOOKUP(D2087,'Species Codes'!B:G,6,0)/2.2046,VLOOKUP(D2087,'Species Codes'!B:I,8,0)+VLOOKUP(D2087,'Species Codes'!B:J,9,0)*(((E2087*2.54)/100)^2)*(I2087*0.3048)))))*0.0011023),0)</f>
        <v>#N/A</v>
      </c>
      <c r="AC2087" s="104" t="e">
        <f>IF(Z2087&gt;0,((IF(OR(D2087="RA",D2087="OA",D2087="OT",D2087="UN",D2087="PC"),EXP(VLOOKUP(D2087,'Species Codes'!B:O,14,0)+VLOOKUP(D2087,'Species Codes'!B:P,15,0)*LN((E2087*2.54)))-EXP(VLOOKUP(D2087,'Species Codes'!B:O,14,0)+VLOOKUP(D2087,'Species Codes'!B:P,15,0)*LN((E2087*2.54)))*(1/(VLOOKUP(D2087,'Species Codes'!B:Q,16,0)+VLOOKUP(D2087,'Species Codes'!B:R,17,0)*((E2087*2.54)^VLOOKUP(D2087,'Species Codes'!B:S,18,0)))),IF(OR(D2087="BM",D2087="MD",D2087="OA"),EXP(VLOOKUP(D2087,'Species Codes'!B:O,14,0)+VLOOKUP(D2087,'Species Codes'!B:P,15,0)*LN((E2087*2.54)))*(1-(1/(VLOOKUP(D2087,'Species Codes'!B:Q,16,0)+VLOOKUP(D2087,'Species Codes'!B:R,17,0)*((E2087*2.54)^VLOOKUP(D2087,'Species Codes'!B:S,18,0)))))/1000,IF(D2087="DF",EXP(VLOOKUP(D2087,'Species Codes'!B:O,14,0)+VLOOKUP(D2087,'Species Codes'!B:P,15,0)*LN((E2087*2.54))),VLOOKUP(D2087,'Species Codes'!B:O,14,0)+VLOOKUP(D2087,'Species Codes'!B:P,15,0)*(((E2087*2.54)/100)^2)*(I2087*0.3048)))))*0.0011023),0)</f>
        <v>#N/A</v>
      </c>
      <c r="AD2087" s="104" t="e">
        <f t="shared" si="922"/>
        <v>#N/A</v>
      </c>
      <c r="AE2087" s="104" t="e">
        <f t="shared" si="923"/>
        <v>#N/A</v>
      </c>
      <c r="AF2087" s="104" t="e">
        <f>IF(AND(VLOOKUP($D2087,Merchantability!$B:$C,2,0)="Yes",$E2087&gt;=VLOOKUP($D2087,Merchantability!$B:$D,3,0),$E2087&lt;=VLOOKUP($D2087,Merchantability!$B:$E,4,0)),AA2087,0)</f>
        <v>#N/A</v>
      </c>
      <c r="AG2087" s="104" t="e">
        <f>IF(AND(VLOOKUP($D2087,Merchantability!$B:$C,2,0)="Yes",$E2087&gt;=VLOOKUP($D2087,Merchantability!$B:$D,3,0),$E2087&lt;=VLOOKUP($D2087,Merchantability!$B:$E,4,0)),AB2087,0)</f>
        <v>#N/A</v>
      </c>
      <c r="AH2087" s="104" t="e">
        <f>IF(AND(VLOOKUP($D2087,Merchantability!$B:$C,2,0)="Yes",$E2087&gt;=VLOOKUP($D2087,Merchantability!$B:$D,3,0),$E2087&lt;=VLOOKUP($D2087,Merchantability!$B:$E,4,0)),AC2087,0)</f>
        <v>#N/A</v>
      </c>
      <c r="AI2087" s="104" t="e">
        <f t="shared" si="924"/>
        <v>#N/A</v>
      </c>
      <c r="AJ2087" s="104" t="e">
        <f t="shared" si="925"/>
        <v>#VALUE!</v>
      </c>
      <c r="AK2087" s="104" t="e">
        <f t="shared" si="926"/>
        <v>#N/A</v>
      </c>
      <c r="AL2087" s="104" t="e">
        <f t="shared" si="927"/>
        <v>#N/A</v>
      </c>
      <c r="AM2087" s="104" t="e">
        <f t="shared" si="928"/>
        <v>#N/A</v>
      </c>
      <c r="AN2087" s="104" t="e">
        <f t="shared" si="912"/>
        <v>#N/A</v>
      </c>
      <c r="AO2087" s="104" t="e">
        <f t="shared" si="913"/>
        <v>#N/A</v>
      </c>
      <c r="AP2087" s="104" t="e">
        <f t="shared" si="914"/>
        <v>#N/A</v>
      </c>
      <c r="AQ2087" s="104" t="e">
        <f t="shared" si="915"/>
        <v>#N/A</v>
      </c>
      <c r="AR2087" s="105" t="str">
        <f t="shared" si="907"/>
        <v/>
      </c>
      <c r="AS2087" s="105" t="str">
        <f t="shared" si="908"/>
        <v/>
      </c>
      <c r="AT2087" s="108" t="str">
        <f t="shared" si="909"/>
        <v/>
      </c>
      <c r="AU2087" s="108" t="str">
        <f t="shared" si="910"/>
        <v/>
      </c>
      <c r="AV2087" s="107" t="str">
        <f>IF(ISNUMBER(O2087),IF(VLOOKUP($A2087,Stand!C:J,8,FALSE)="Short",AT2087,AU2087),"")</f>
        <v/>
      </c>
      <c r="AW2087" s="109" t="str">
        <f t="shared" si="916"/>
        <v/>
      </c>
      <c r="AX2087" s="109" t="str">
        <f t="shared" si="917"/>
        <v/>
      </c>
      <c r="AY2087" s="112" t="str">
        <f>IF(ISNUMBER(O2087),IF(AND(VLOOKUP($D2087,Merchantability!$B:$C,2,0)="Yes",$E2087&gt;=VLOOKUP($D2087,Merchantability!$B:$D,3,0),$E2087&lt;=VLOOKUP($D2087,Merchantability!$B:$E,4,0)),(AV2087*O2087)*(1-$H2087/100),""),"")</f>
        <v/>
      </c>
      <c r="AZ2087" s="116"/>
      <c r="BA2087" s="116"/>
      <c r="BB2087" s="116"/>
      <c r="BE2087" s="62"/>
      <c r="BF2087" s="63"/>
    </row>
    <row r="2088" spans="1:58" ht="12.75" customHeight="1" x14ac:dyDescent="0.25">
      <c r="A2088" s="334"/>
      <c r="B2088" s="334"/>
      <c r="C2088" s="332"/>
      <c r="D2088" s="334"/>
      <c r="E2088" s="335"/>
      <c r="F2088" s="334"/>
      <c r="G2088" s="332"/>
      <c r="H2088" s="332"/>
      <c r="I2088" s="334"/>
      <c r="J2088" s="336"/>
      <c r="K2088" s="332"/>
      <c r="L2088" s="332"/>
      <c r="M2088" s="76"/>
      <c r="N2088" s="103" t="str">
        <f>IF(A2088="","",VLOOKUP(A2088,Stand!C:K,9,0))</f>
        <v/>
      </c>
      <c r="O2088" s="104" t="str">
        <f t="shared" si="902"/>
        <v/>
      </c>
      <c r="P2088" s="105" t="str">
        <f t="shared" si="903"/>
        <v/>
      </c>
      <c r="Q2088" s="105" t="str">
        <f t="shared" si="918"/>
        <v/>
      </c>
      <c r="R2088" s="103" t="str">
        <f t="shared" si="904"/>
        <v/>
      </c>
      <c r="S2088" s="103" t="str">
        <f t="shared" si="905"/>
        <v/>
      </c>
      <c r="T2088" s="106" t="str">
        <f t="shared" si="919"/>
        <v/>
      </c>
      <c r="U2088" s="106" t="str">
        <f t="shared" si="920"/>
        <v/>
      </c>
      <c r="V2088" s="106" t="str">
        <f t="shared" si="921"/>
        <v/>
      </c>
      <c r="W2088" s="105" t="str">
        <f t="shared" si="906"/>
        <v/>
      </c>
      <c r="X2088" s="104" t="str">
        <f t="shared" si="911"/>
        <v/>
      </c>
      <c r="Y2088" s="104" t="str">
        <f t="array" ref="Y2088">IFERROR(IF(ISNUMBER(O2088),IF(COUNT(IF(A2088=$A$2:$A$2427,IF(D2088=$D$2:$D$2427,IF($X$2:$X$2427&gt;0,1))))&gt;0,SUM(IF(A2088=$A$2:$A$2427,IF(D2088=$D$2:$D$2427,$X$2:$X$2427)))/COUNT(IF(A2088=$A$2:$A$2427,IF(D2088=$D$2:$D$2427,IF(ISNUMBER($X$2:$X$2427),1)))),0),""),0)</f>
        <v/>
      </c>
      <c r="Z2088" s="104" t="str">
        <f>IF(ISNUMBER(O2088),IF(I2088&gt;0,(10^(VLOOKUP(D2088,'Species Codes'!B:C,2,0)+VLOOKUP(D2088,'Species Codes'!B:D,3,0)*LOG(E2088)+VLOOKUP(D2088,'Species Codes'!B:E,4,0)*LOG(I2088))),0),"")</f>
        <v/>
      </c>
      <c r="AA2088" s="104" t="str">
        <f>IFERROR((VLOOKUP(D2088,'Species Codes'!B:G,6,0)*Z2088)/2000,"")</f>
        <v/>
      </c>
      <c r="AB2088" s="104" t="e">
        <f>IF(Z2088&gt;0,((IF(OR(D2088="DF",D2088="RA")=TRUE,EXP(VLOOKUP(D2088,'Species Codes'!B:I,8,0)+VLOOKUP(D2088,'Species Codes'!B:J,9,0)*(LN((E2088*2.54)))),IF(OR(D2088="PY",D2088="RC",D2088="WH",D2088="NF")=TRUE,VLOOKUP(D2088,'Species Codes'!B:I,8,0)+VLOOKUP(D2088,'Species Codes'!B:J,9,0)*((E2088*2.54)^2)*(I2088*0.3048),IF(OR(D2088="MD",D2088="BM",D2088="GA")=TRUE,((VLOOKUP(D2088,'Species Codes'!B:I,8,0)*(((((E2088*2.54)+VLOOKUP(D2088,'Species Codes'!B:J,9,0))/VLOOKUP(D2088,'Species Codes'!B:K,10,0))^VLOOKUP(D2088,'Species Codes'!B:L,11,0))*((I2088*0.3048)^VLOOKUP(D2088,'Species Codes'!B:M,12,0))))-(VLOOKUP(D2088,'Species Codes'!B:I,8,0)*((((E2088*2.54)^VLOOKUP(D2088,'Species Codes'!B:L,11,0))*((I2088*0.3048)^VLOOKUP(D2088,'Species Codes'!B:M,12,0))))))*35.3*VLOOKUP(D2088,'Species Codes'!B:G,6,0)/2.2046,VLOOKUP(D2088,'Species Codes'!B:I,8,0)+VLOOKUP(D2088,'Species Codes'!B:J,9,0)*(((E2088*2.54)/100)^2)*(I2088*0.3048)))))*0.0011023),0)</f>
        <v>#N/A</v>
      </c>
      <c r="AC2088" s="104" t="e">
        <f>IF(Z2088&gt;0,((IF(OR(D2088="RA",D2088="OA",D2088="OT",D2088="UN",D2088="PC"),EXP(VLOOKUP(D2088,'Species Codes'!B:O,14,0)+VLOOKUP(D2088,'Species Codes'!B:P,15,0)*LN((E2088*2.54)))-EXP(VLOOKUP(D2088,'Species Codes'!B:O,14,0)+VLOOKUP(D2088,'Species Codes'!B:P,15,0)*LN((E2088*2.54)))*(1/(VLOOKUP(D2088,'Species Codes'!B:Q,16,0)+VLOOKUP(D2088,'Species Codes'!B:R,17,0)*((E2088*2.54)^VLOOKUP(D2088,'Species Codes'!B:S,18,0)))),IF(OR(D2088="BM",D2088="MD",D2088="OA"),EXP(VLOOKUP(D2088,'Species Codes'!B:O,14,0)+VLOOKUP(D2088,'Species Codes'!B:P,15,0)*LN((E2088*2.54)))*(1-(1/(VLOOKUP(D2088,'Species Codes'!B:Q,16,0)+VLOOKUP(D2088,'Species Codes'!B:R,17,0)*((E2088*2.54)^VLOOKUP(D2088,'Species Codes'!B:S,18,0)))))/1000,IF(D2088="DF",EXP(VLOOKUP(D2088,'Species Codes'!B:O,14,0)+VLOOKUP(D2088,'Species Codes'!B:P,15,0)*LN((E2088*2.54))),VLOOKUP(D2088,'Species Codes'!B:O,14,0)+VLOOKUP(D2088,'Species Codes'!B:P,15,0)*(((E2088*2.54)/100)^2)*(I2088*0.3048)))))*0.0011023),0)</f>
        <v>#N/A</v>
      </c>
      <c r="AD2088" s="104" t="e">
        <f t="shared" si="922"/>
        <v>#N/A</v>
      </c>
      <c r="AE2088" s="104" t="e">
        <f t="shared" si="923"/>
        <v>#N/A</v>
      </c>
      <c r="AF2088" s="104" t="e">
        <f>IF(AND(VLOOKUP($D2088,Merchantability!$B:$C,2,0)="Yes",$E2088&gt;=VLOOKUP($D2088,Merchantability!$B:$D,3,0),$E2088&lt;=VLOOKUP($D2088,Merchantability!$B:$E,4,0)),AA2088,0)</f>
        <v>#N/A</v>
      </c>
      <c r="AG2088" s="104" t="e">
        <f>IF(AND(VLOOKUP($D2088,Merchantability!$B:$C,2,0)="Yes",$E2088&gt;=VLOOKUP($D2088,Merchantability!$B:$D,3,0),$E2088&lt;=VLOOKUP($D2088,Merchantability!$B:$E,4,0)),AB2088,0)</f>
        <v>#N/A</v>
      </c>
      <c r="AH2088" s="104" t="e">
        <f>IF(AND(VLOOKUP($D2088,Merchantability!$B:$C,2,0)="Yes",$E2088&gt;=VLOOKUP($D2088,Merchantability!$B:$D,3,0),$E2088&lt;=VLOOKUP($D2088,Merchantability!$B:$E,4,0)),AC2088,0)</f>
        <v>#N/A</v>
      </c>
      <c r="AI2088" s="104" t="e">
        <f t="shared" si="924"/>
        <v>#N/A</v>
      </c>
      <c r="AJ2088" s="104" t="e">
        <f t="shared" si="925"/>
        <v>#VALUE!</v>
      </c>
      <c r="AK2088" s="104" t="e">
        <f t="shared" si="926"/>
        <v>#N/A</v>
      </c>
      <c r="AL2088" s="104" t="e">
        <f t="shared" si="927"/>
        <v>#N/A</v>
      </c>
      <c r="AM2088" s="104" t="e">
        <f t="shared" si="928"/>
        <v>#N/A</v>
      </c>
      <c r="AN2088" s="104" t="e">
        <f t="shared" si="912"/>
        <v>#N/A</v>
      </c>
      <c r="AO2088" s="104" t="e">
        <f t="shared" si="913"/>
        <v>#N/A</v>
      </c>
      <c r="AP2088" s="104" t="e">
        <f t="shared" si="914"/>
        <v>#N/A</v>
      </c>
      <c r="AQ2088" s="104" t="e">
        <f t="shared" si="915"/>
        <v>#N/A</v>
      </c>
      <c r="AR2088" s="105" t="str">
        <f t="shared" si="907"/>
        <v/>
      </c>
      <c r="AS2088" s="105" t="str">
        <f t="shared" si="908"/>
        <v/>
      </c>
      <c r="AT2088" s="108" t="str">
        <f t="shared" si="909"/>
        <v/>
      </c>
      <c r="AU2088" s="108" t="str">
        <f t="shared" si="910"/>
        <v/>
      </c>
      <c r="AV2088" s="107" t="str">
        <f>IF(ISNUMBER(O2088),IF(VLOOKUP($A2088,Stand!C:J,8,FALSE)="Short",AT2088,AU2088),"")</f>
        <v/>
      </c>
      <c r="AW2088" s="109" t="str">
        <f t="shared" si="916"/>
        <v/>
      </c>
      <c r="AX2088" s="109" t="str">
        <f t="shared" si="917"/>
        <v/>
      </c>
      <c r="AY2088" s="112" t="str">
        <f>IF(ISNUMBER(O2088),IF(AND(VLOOKUP($D2088,Merchantability!$B:$C,2,0)="Yes",$E2088&gt;=VLOOKUP($D2088,Merchantability!$B:$D,3,0),$E2088&lt;=VLOOKUP($D2088,Merchantability!$B:$E,4,0)),(AV2088*O2088)*(1-$H2088/100),""),"")</f>
        <v/>
      </c>
      <c r="AZ2088" s="116"/>
      <c r="BA2088" s="116"/>
      <c r="BB2088" s="116"/>
      <c r="BE2088" s="62"/>
      <c r="BF2088" s="63"/>
    </row>
    <row r="2089" spans="1:58" ht="12.75" customHeight="1" x14ac:dyDescent="0.25">
      <c r="A2089" s="334"/>
      <c r="B2089" s="334"/>
      <c r="C2089" s="332"/>
      <c r="D2089" s="334"/>
      <c r="E2089" s="335"/>
      <c r="F2089" s="334"/>
      <c r="G2089" s="332"/>
      <c r="H2089" s="332"/>
      <c r="I2089" s="334"/>
      <c r="J2089" s="336"/>
      <c r="K2089" s="332"/>
      <c r="L2089" s="332"/>
      <c r="M2089" s="76"/>
      <c r="N2089" s="103" t="str">
        <f>IF(A2089="","",VLOOKUP(A2089,Stand!C:K,9,0))</f>
        <v/>
      </c>
      <c r="O2089" s="104" t="str">
        <f t="shared" si="902"/>
        <v/>
      </c>
      <c r="P2089" s="105" t="str">
        <f t="shared" si="903"/>
        <v/>
      </c>
      <c r="Q2089" s="105" t="str">
        <f t="shared" si="918"/>
        <v/>
      </c>
      <c r="R2089" s="103" t="str">
        <f t="shared" si="904"/>
        <v/>
      </c>
      <c r="S2089" s="103" t="str">
        <f t="shared" si="905"/>
        <v/>
      </c>
      <c r="T2089" s="106" t="str">
        <f t="shared" si="919"/>
        <v/>
      </c>
      <c r="U2089" s="106" t="str">
        <f t="shared" si="920"/>
        <v/>
      </c>
      <c r="V2089" s="106" t="str">
        <f t="shared" si="921"/>
        <v/>
      </c>
      <c r="W2089" s="105" t="str">
        <f t="shared" si="906"/>
        <v/>
      </c>
      <c r="X2089" s="104" t="str">
        <f t="shared" si="911"/>
        <v/>
      </c>
      <c r="Y2089" s="104" t="str">
        <f t="array" ref="Y2089">IFERROR(IF(ISNUMBER(O2089),IF(COUNT(IF(A2089=$A$2:$A$2427,IF(D2089=$D$2:$D$2427,IF($X$2:$X$2427&gt;0,1))))&gt;0,SUM(IF(A2089=$A$2:$A$2427,IF(D2089=$D$2:$D$2427,$X$2:$X$2427)))/COUNT(IF(A2089=$A$2:$A$2427,IF(D2089=$D$2:$D$2427,IF(ISNUMBER($X$2:$X$2427),1)))),0),""),0)</f>
        <v/>
      </c>
      <c r="Z2089" s="104" t="str">
        <f>IF(ISNUMBER(O2089),IF(I2089&gt;0,(10^(VLOOKUP(D2089,'Species Codes'!B:C,2,0)+VLOOKUP(D2089,'Species Codes'!B:D,3,0)*LOG(E2089)+VLOOKUP(D2089,'Species Codes'!B:E,4,0)*LOG(I2089))),0),"")</f>
        <v/>
      </c>
      <c r="AA2089" s="104" t="str">
        <f>IFERROR((VLOOKUP(D2089,'Species Codes'!B:G,6,0)*Z2089)/2000,"")</f>
        <v/>
      </c>
      <c r="AB2089" s="104" t="e">
        <f>IF(Z2089&gt;0,((IF(OR(D2089="DF",D2089="RA")=TRUE,EXP(VLOOKUP(D2089,'Species Codes'!B:I,8,0)+VLOOKUP(D2089,'Species Codes'!B:J,9,0)*(LN((E2089*2.54)))),IF(OR(D2089="PY",D2089="RC",D2089="WH",D2089="NF")=TRUE,VLOOKUP(D2089,'Species Codes'!B:I,8,0)+VLOOKUP(D2089,'Species Codes'!B:J,9,0)*((E2089*2.54)^2)*(I2089*0.3048),IF(OR(D2089="MD",D2089="BM",D2089="GA")=TRUE,((VLOOKUP(D2089,'Species Codes'!B:I,8,0)*(((((E2089*2.54)+VLOOKUP(D2089,'Species Codes'!B:J,9,0))/VLOOKUP(D2089,'Species Codes'!B:K,10,0))^VLOOKUP(D2089,'Species Codes'!B:L,11,0))*((I2089*0.3048)^VLOOKUP(D2089,'Species Codes'!B:M,12,0))))-(VLOOKUP(D2089,'Species Codes'!B:I,8,0)*((((E2089*2.54)^VLOOKUP(D2089,'Species Codes'!B:L,11,0))*((I2089*0.3048)^VLOOKUP(D2089,'Species Codes'!B:M,12,0))))))*35.3*VLOOKUP(D2089,'Species Codes'!B:G,6,0)/2.2046,VLOOKUP(D2089,'Species Codes'!B:I,8,0)+VLOOKUP(D2089,'Species Codes'!B:J,9,0)*(((E2089*2.54)/100)^2)*(I2089*0.3048)))))*0.0011023),0)</f>
        <v>#N/A</v>
      </c>
      <c r="AC2089" s="104" t="e">
        <f>IF(Z2089&gt;0,((IF(OR(D2089="RA",D2089="OA",D2089="OT",D2089="UN",D2089="PC"),EXP(VLOOKUP(D2089,'Species Codes'!B:O,14,0)+VLOOKUP(D2089,'Species Codes'!B:P,15,0)*LN((E2089*2.54)))-EXP(VLOOKUP(D2089,'Species Codes'!B:O,14,0)+VLOOKUP(D2089,'Species Codes'!B:P,15,0)*LN((E2089*2.54)))*(1/(VLOOKUP(D2089,'Species Codes'!B:Q,16,0)+VLOOKUP(D2089,'Species Codes'!B:R,17,0)*((E2089*2.54)^VLOOKUP(D2089,'Species Codes'!B:S,18,0)))),IF(OR(D2089="BM",D2089="MD",D2089="OA"),EXP(VLOOKUP(D2089,'Species Codes'!B:O,14,0)+VLOOKUP(D2089,'Species Codes'!B:P,15,0)*LN((E2089*2.54)))*(1-(1/(VLOOKUP(D2089,'Species Codes'!B:Q,16,0)+VLOOKUP(D2089,'Species Codes'!B:R,17,0)*((E2089*2.54)^VLOOKUP(D2089,'Species Codes'!B:S,18,0)))))/1000,IF(D2089="DF",EXP(VLOOKUP(D2089,'Species Codes'!B:O,14,0)+VLOOKUP(D2089,'Species Codes'!B:P,15,0)*LN((E2089*2.54))),VLOOKUP(D2089,'Species Codes'!B:O,14,0)+VLOOKUP(D2089,'Species Codes'!B:P,15,0)*(((E2089*2.54)/100)^2)*(I2089*0.3048)))))*0.0011023),0)</f>
        <v>#N/A</v>
      </c>
      <c r="AD2089" s="104" t="e">
        <f t="shared" si="922"/>
        <v>#N/A</v>
      </c>
      <c r="AE2089" s="104" t="e">
        <f t="shared" si="923"/>
        <v>#N/A</v>
      </c>
      <c r="AF2089" s="104" t="e">
        <f>IF(AND(VLOOKUP($D2089,Merchantability!$B:$C,2,0)="Yes",$E2089&gt;=VLOOKUP($D2089,Merchantability!$B:$D,3,0),$E2089&lt;=VLOOKUP($D2089,Merchantability!$B:$E,4,0)),AA2089,0)</f>
        <v>#N/A</v>
      </c>
      <c r="AG2089" s="104" t="e">
        <f>IF(AND(VLOOKUP($D2089,Merchantability!$B:$C,2,0)="Yes",$E2089&gt;=VLOOKUP($D2089,Merchantability!$B:$D,3,0),$E2089&lt;=VLOOKUP($D2089,Merchantability!$B:$E,4,0)),AB2089,0)</f>
        <v>#N/A</v>
      </c>
      <c r="AH2089" s="104" t="e">
        <f>IF(AND(VLOOKUP($D2089,Merchantability!$B:$C,2,0)="Yes",$E2089&gt;=VLOOKUP($D2089,Merchantability!$B:$D,3,0),$E2089&lt;=VLOOKUP($D2089,Merchantability!$B:$E,4,0)),AC2089,0)</f>
        <v>#N/A</v>
      </c>
      <c r="AI2089" s="104" t="e">
        <f t="shared" si="924"/>
        <v>#N/A</v>
      </c>
      <c r="AJ2089" s="104" t="e">
        <f t="shared" si="925"/>
        <v>#VALUE!</v>
      </c>
      <c r="AK2089" s="104" t="e">
        <f t="shared" si="926"/>
        <v>#N/A</v>
      </c>
      <c r="AL2089" s="104" t="e">
        <f t="shared" si="927"/>
        <v>#N/A</v>
      </c>
      <c r="AM2089" s="104" t="e">
        <f t="shared" si="928"/>
        <v>#N/A</v>
      </c>
      <c r="AN2089" s="104" t="e">
        <f t="shared" si="912"/>
        <v>#N/A</v>
      </c>
      <c r="AO2089" s="104" t="e">
        <f t="shared" si="913"/>
        <v>#N/A</v>
      </c>
      <c r="AP2089" s="104" t="e">
        <f t="shared" si="914"/>
        <v>#N/A</v>
      </c>
      <c r="AQ2089" s="104" t="e">
        <f t="shared" si="915"/>
        <v>#N/A</v>
      </c>
      <c r="AR2089" s="105" t="str">
        <f t="shared" si="907"/>
        <v/>
      </c>
      <c r="AS2089" s="105" t="str">
        <f t="shared" si="908"/>
        <v/>
      </c>
      <c r="AT2089" s="108" t="str">
        <f t="shared" si="909"/>
        <v/>
      </c>
      <c r="AU2089" s="108" t="str">
        <f t="shared" si="910"/>
        <v/>
      </c>
      <c r="AV2089" s="107" t="str">
        <f>IF(ISNUMBER(O2089),IF(VLOOKUP($A2089,Stand!C:J,8,FALSE)="Short",AT2089,AU2089),"")</f>
        <v/>
      </c>
      <c r="AW2089" s="109" t="str">
        <f t="shared" si="916"/>
        <v/>
      </c>
      <c r="AX2089" s="109" t="str">
        <f t="shared" si="917"/>
        <v/>
      </c>
      <c r="AY2089" s="112" t="str">
        <f>IF(ISNUMBER(O2089),IF(AND(VLOOKUP($D2089,Merchantability!$B:$C,2,0)="Yes",$E2089&gt;=VLOOKUP($D2089,Merchantability!$B:$D,3,0),$E2089&lt;=VLOOKUP($D2089,Merchantability!$B:$E,4,0)),(AV2089*O2089)*(1-$H2089/100),""),"")</f>
        <v/>
      </c>
      <c r="AZ2089" s="116"/>
      <c r="BA2089" s="116"/>
      <c r="BB2089" s="116"/>
      <c r="BE2089" s="62"/>
      <c r="BF2089" s="63"/>
    </row>
    <row r="2090" spans="1:58" ht="12.75" customHeight="1" x14ac:dyDescent="0.25">
      <c r="A2090" s="334"/>
      <c r="B2090" s="334"/>
      <c r="C2090" s="332"/>
      <c r="D2090" s="334"/>
      <c r="E2090" s="335"/>
      <c r="F2090" s="334"/>
      <c r="G2090" s="332"/>
      <c r="H2090" s="332"/>
      <c r="I2090" s="334"/>
      <c r="J2090" s="336"/>
      <c r="K2090" s="332"/>
      <c r="L2090" s="332"/>
      <c r="M2090" s="76"/>
      <c r="N2090" s="103" t="str">
        <f>IF(A2090="","",VLOOKUP(A2090,Stand!C:K,9,0))</f>
        <v/>
      </c>
      <c r="O2090" s="104" t="str">
        <f t="shared" si="902"/>
        <v/>
      </c>
      <c r="P2090" s="105" t="str">
        <f t="shared" si="903"/>
        <v/>
      </c>
      <c r="Q2090" s="105" t="str">
        <f t="shared" si="918"/>
        <v/>
      </c>
      <c r="R2090" s="103" t="str">
        <f t="shared" si="904"/>
        <v/>
      </c>
      <c r="S2090" s="103" t="str">
        <f t="shared" si="905"/>
        <v/>
      </c>
      <c r="T2090" s="106" t="str">
        <f t="shared" si="919"/>
        <v/>
      </c>
      <c r="U2090" s="106" t="str">
        <f t="shared" si="920"/>
        <v/>
      </c>
      <c r="V2090" s="106" t="str">
        <f t="shared" si="921"/>
        <v/>
      </c>
      <c r="W2090" s="105" t="str">
        <f t="shared" si="906"/>
        <v/>
      </c>
      <c r="X2090" s="104" t="str">
        <f t="shared" si="911"/>
        <v/>
      </c>
      <c r="Y2090" s="104" t="str">
        <f t="array" ref="Y2090">IFERROR(IF(ISNUMBER(O2090),IF(COUNT(IF(A2090=$A$2:$A$2427,IF(D2090=$D$2:$D$2427,IF($X$2:$X$2427&gt;0,1))))&gt;0,SUM(IF(A2090=$A$2:$A$2427,IF(D2090=$D$2:$D$2427,$X$2:$X$2427)))/COUNT(IF(A2090=$A$2:$A$2427,IF(D2090=$D$2:$D$2427,IF(ISNUMBER($X$2:$X$2427),1)))),0),""),0)</f>
        <v/>
      </c>
      <c r="Z2090" s="104" t="str">
        <f>IF(ISNUMBER(O2090),IF(I2090&gt;0,(10^(VLOOKUP(D2090,'Species Codes'!B:C,2,0)+VLOOKUP(D2090,'Species Codes'!B:D,3,0)*LOG(E2090)+VLOOKUP(D2090,'Species Codes'!B:E,4,0)*LOG(I2090))),0),"")</f>
        <v/>
      </c>
      <c r="AA2090" s="104" t="str">
        <f>IFERROR((VLOOKUP(D2090,'Species Codes'!B:G,6,0)*Z2090)/2000,"")</f>
        <v/>
      </c>
      <c r="AB2090" s="104" t="e">
        <f>IF(Z2090&gt;0,((IF(OR(D2090="DF",D2090="RA")=TRUE,EXP(VLOOKUP(D2090,'Species Codes'!B:I,8,0)+VLOOKUP(D2090,'Species Codes'!B:J,9,0)*(LN((E2090*2.54)))),IF(OR(D2090="PY",D2090="RC",D2090="WH",D2090="NF")=TRUE,VLOOKUP(D2090,'Species Codes'!B:I,8,0)+VLOOKUP(D2090,'Species Codes'!B:J,9,0)*((E2090*2.54)^2)*(I2090*0.3048),IF(OR(D2090="MD",D2090="BM",D2090="GA")=TRUE,((VLOOKUP(D2090,'Species Codes'!B:I,8,0)*(((((E2090*2.54)+VLOOKUP(D2090,'Species Codes'!B:J,9,0))/VLOOKUP(D2090,'Species Codes'!B:K,10,0))^VLOOKUP(D2090,'Species Codes'!B:L,11,0))*((I2090*0.3048)^VLOOKUP(D2090,'Species Codes'!B:M,12,0))))-(VLOOKUP(D2090,'Species Codes'!B:I,8,0)*((((E2090*2.54)^VLOOKUP(D2090,'Species Codes'!B:L,11,0))*((I2090*0.3048)^VLOOKUP(D2090,'Species Codes'!B:M,12,0))))))*35.3*VLOOKUP(D2090,'Species Codes'!B:G,6,0)/2.2046,VLOOKUP(D2090,'Species Codes'!B:I,8,0)+VLOOKUP(D2090,'Species Codes'!B:J,9,0)*(((E2090*2.54)/100)^2)*(I2090*0.3048)))))*0.0011023),0)</f>
        <v>#N/A</v>
      </c>
      <c r="AC2090" s="104" t="e">
        <f>IF(Z2090&gt;0,((IF(OR(D2090="RA",D2090="OA",D2090="OT",D2090="UN",D2090="PC"),EXP(VLOOKUP(D2090,'Species Codes'!B:O,14,0)+VLOOKUP(D2090,'Species Codes'!B:P,15,0)*LN((E2090*2.54)))-EXP(VLOOKUP(D2090,'Species Codes'!B:O,14,0)+VLOOKUP(D2090,'Species Codes'!B:P,15,0)*LN((E2090*2.54)))*(1/(VLOOKUP(D2090,'Species Codes'!B:Q,16,0)+VLOOKUP(D2090,'Species Codes'!B:R,17,0)*((E2090*2.54)^VLOOKUP(D2090,'Species Codes'!B:S,18,0)))),IF(OR(D2090="BM",D2090="MD",D2090="OA"),EXP(VLOOKUP(D2090,'Species Codes'!B:O,14,0)+VLOOKUP(D2090,'Species Codes'!B:P,15,0)*LN((E2090*2.54)))*(1-(1/(VLOOKUP(D2090,'Species Codes'!B:Q,16,0)+VLOOKUP(D2090,'Species Codes'!B:R,17,0)*((E2090*2.54)^VLOOKUP(D2090,'Species Codes'!B:S,18,0)))))/1000,IF(D2090="DF",EXP(VLOOKUP(D2090,'Species Codes'!B:O,14,0)+VLOOKUP(D2090,'Species Codes'!B:P,15,0)*LN((E2090*2.54))),VLOOKUP(D2090,'Species Codes'!B:O,14,0)+VLOOKUP(D2090,'Species Codes'!B:P,15,0)*(((E2090*2.54)/100)^2)*(I2090*0.3048)))))*0.0011023),0)</f>
        <v>#N/A</v>
      </c>
      <c r="AD2090" s="104" t="e">
        <f t="shared" si="922"/>
        <v>#N/A</v>
      </c>
      <c r="AE2090" s="104" t="e">
        <f t="shared" si="923"/>
        <v>#N/A</v>
      </c>
      <c r="AF2090" s="104" t="e">
        <f>IF(AND(VLOOKUP($D2090,Merchantability!$B:$C,2,0)="Yes",$E2090&gt;=VLOOKUP($D2090,Merchantability!$B:$D,3,0),$E2090&lt;=VLOOKUP($D2090,Merchantability!$B:$E,4,0)),AA2090,0)</f>
        <v>#N/A</v>
      </c>
      <c r="AG2090" s="104" t="e">
        <f>IF(AND(VLOOKUP($D2090,Merchantability!$B:$C,2,0)="Yes",$E2090&gt;=VLOOKUP($D2090,Merchantability!$B:$D,3,0),$E2090&lt;=VLOOKUP($D2090,Merchantability!$B:$E,4,0)),AB2090,0)</f>
        <v>#N/A</v>
      </c>
      <c r="AH2090" s="104" t="e">
        <f>IF(AND(VLOOKUP($D2090,Merchantability!$B:$C,2,0)="Yes",$E2090&gt;=VLOOKUP($D2090,Merchantability!$B:$D,3,0),$E2090&lt;=VLOOKUP($D2090,Merchantability!$B:$E,4,0)),AC2090,0)</f>
        <v>#N/A</v>
      </c>
      <c r="AI2090" s="104" t="e">
        <f t="shared" si="924"/>
        <v>#N/A</v>
      </c>
      <c r="AJ2090" s="104" t="e">
        <f t="shared" si="925"/>
        <v>#VALUE!</v>
      </c>
      <c r="AK2090" s="104" t="e">
        <f t="shared" si="926"/>
        <v>#N/A</v>
      </c>
      <c r="AL2090" s="104" t="e">
        <f t="shared" si="927"/>
        <v>#N/A</v>
      </c>
      <c r="AM2090" s="104" t="e">
        <f t="shared" si="928"/>
        <v>#N/A</v>
      </c>
      <c r="AN2090" s="104" t="e">
        <f t="shared" si="912"/>
        <v>#N/A</v>
      </c>
      <c r="AO2090" s="104" t="e">
        <f t="shared" si="913"/>
        <v>#N/A</v>
      </c>
      <c r="AP2090" s="104" t="e">
        <f t="shared" si="914"/>
        <v>#N/A</v>
      </c>
      <c r="AQ2090" s="104" t="e">
        <f t="shared" si="915"/>
        <v>#N/A</v>
      </c>
      <c r="AR2090" s="105" t="str">
        <f t="shared" si="907"/>
        <v/>
      </c>
      <c r="AS2090" s="105" t="str">
        <f t="shared" si="908"/>
        <v/>
      </c>
      <c r="AT2090" s="108" t="str">
        <f t="shared" si="909"/>
        <v/>
      </c>
      <c r="AU2090" s="108" t="str">
        <f t="shared" si="910"/>
        <v/>
      </c>
      <c r="AV2090" s="107" t="str">
        <f>IF(ISNUMBER(O2090),IF(VLOOKUP($A2090,Stand!C:J,8,FALSE)="Short",AT2090,AU2090),"")</f>
        <v/>
      </c>
      <c r="AW2090" s="109" t="str">
        <f t="shared" si="916"/>
        <v/>
      </c>
      <c r="AX2090" s="109" t="str">
        <f t="shared" si="917"/>
        <v/>
      </c>
      <c r="AY2090" s="112" t="str">
        <f>IF(ISNUMBER(O2090),IF(AND(VLOOKUP($D2090,Merchantability!$B:$C,2,0)="Yes",$E2090&gt;=VLOOKUP($D2090,Merchantability!$B:$D,3,0),$E2090&lt;=VLOOKUP($D2090,Merchantability!$B:$E,4,0)),(AV2090*O2090)*(1-$H2090/100),""),"")</f>
        <v/>
      </c>
      <c r="AZ2090" s="116"/>
      <c r="BA2090" s="116"/>
      <c r="BB2090" s="116"/>
      <c r="BE2090" s="62"/>
      <c r="BF2090" s="63"/>
    </row>
    <row r="2091" spans="1:58" ht="12.75" customHeight="1" x14ac:dyDescent="0.25">
      <c r="A2091" s="334"/>
      <c r="B2091" s="334"/>
      <c r="C2091" s="332"/>
      <c r="D2091" s="334"/>
      <c r="E2091" s="335"/>
      <c r="F2091" s="334"/>
      <c r="G2091" s="332"/>
      <c r="H2091" s="332"/>
      <c r="I2091" s="334"/>
      <c r="J2091" s="336"/>
      <c r="K2091" s="332"/>
      <c r="L2091" s="332"/>
      <c r="M2091" s="76"/>
      <c r="N2091" s="103" t="str">
        <f>IF(A2091="","",VLOOKUP(A2091,Stand!C:K,9,0))</f>
        <v/>
      </c>
      <c r="O2091" s="104" t="str">
        <f t="shared" si="902"/>
        <v/>
      </c>
      <c r="P2091" s="105" t="str">
        <f t="shared" si="903"/>
        <v/>
      </c>
      <c r="Q2091" s="105" t="str">
        <f t="shared" si="918"/>
        <v/>
      </c>
      <c r="R2091" s="103" t="str">
        <f t="shared" si="904"/>
        <v/>
      </c>
      <c r="S2091" s="103" t="str">
        <f t="shared" si="905"/>
        <v/>
      </c>
      <c r="T2091" s="106" t="str">
        <f t="shared" si="919"/>
        <v/>
      </c>
      <c r="U2091" s="106" t="str">
        <f t="shared" si="920"/>
        <v/>
      </c>
      <c r="V2091" s="106" t="str">
        <f t="shared" si="921"/>
        <v/>
      </c>
      <c r="W2091" s="105" t="str">
        <f t="shared" si="906"/>
        <v/>
      </c>
      <c r="X2091" s="104" t="str">
        <f t="shared" si="911"/>
        <v/>
      </c>
      <c r="Y2091" s="104" t="str">
        <f t="array" ref="Y2091">IFERROR(IF(ISNUMBER(O2091),IF(COUNT(IF(A2091=$A$2:$A$2427,IF(D2091=$D$2:$D$2427,IF($X$2:$X$2427&gt;0,1))))&gt;0,SUM(IF(A2091=$A$2:$A$2427,IF(D2091=$D$2:$D$2427,$X$2:$X$2427)))/COUNT(IF(A2091=$A$2:$A$2427,IF(D2091=$D$2:$D$2427,IF(ISNUMBER($X$2:$X$2427),1)))),0),""),0)</f>
        <v/>
      </c>
      <c r="Z2091" s="104" t="str">
        <f>IF(ISNUMBER(O2091),IF(I2091&gt;0,(10^(VLOOKUP(D2091,'Species Codes'!B:C,2,0)+VLOOKUP(D2091,'Species Codes'!B:D,3,0)*LOG(E2091)+VLOOKUP(D2091,'Species Codes'!B:E,4,0)*LOG(I2091))),0),"")</f>
        <v/>
      </c>
      <c r="AA2091" s="104" t="str">
        <f>IFERROR((VLOOKUP(D2091,'Species Codes'!B:G,6,0)*Z2091)/2000,"")</f>
        <v/>
      </c>
      <c r="AB2091" s="104" t="e">
        <f>IF(Z2091&gt;0,((IF(OR(D2091="DF",D2091="RA")=TRUE,EXP(VLOOKUP(D2091,'Species Codes'!B:I,8,0)+VLOOKUP(D2091,'Species Codes'!B:J,9,0)*(LN((E2091*2.54)))),IF(OR(D2091="PY",D2091="RC",D2091="WH",D2091="NF")=TRUE,VLOOKUP(D2091,'Species Codes'!B:I,8,0)+VLOOKUP(D2091,'Species Codes'!B:J,9,0)*((E2091*2.54)^2)*(I2091*0.3048),IF(OR(D2091="MD",D2091="BM",D2091="GA")=TRUE,((VLOOKUP(D2091,'Species Codes'!B:I,8,0)*(((((E2091*2.54)+VLOOKUP(D2091,'Species Codes'!B:J,9,0))/VLOOKUP(D2091,'Species Codes'!B:K,10,0))^VLOOKUP(D2091,'Species Codes'!B:L,11,0))*((I2091*0.3048)^VLOOKUP(D2091,'Species Codes'!B:M,12,0))))-(VLOOKUP(D2091,'Species Codes'!B:I,8,0)*((((E2091*2.54)^VLOOKUP(D2091,'Species Codes'!B:L,11,0))*((I2091*0.3048)^VLOOKUP(D2091,'Species Codes'!B:M,12,0))))))*35.3*VLOOKUP(D2091,'Species Codes'!B:G,6,0)/2.2046,VLOOKUP(D2091,'Species Codes'!B:I,8,0)+VLOOKUP(D2091,'Species Codes'!B:J,9,0)*(((E2091*2.54)/100)^2)*(I2091*0.3048)))))*0.0011023),0)</f>
        <v>#N/A</v>
      </c>
      <c r="AC2091" s="104" t="e">
        <f>IF(Z2091&gt;0,((IF(OR(D2091="RA",D2091="OA",D2091="OT",D2091="UN",D2091="PC"),EXP(VLOOKUP(D2091,'Species Codes'!B:O,14,0)+VLOOKUP(D2091,'Species Codes'!B:P,15,0)*LN((E2091*2.54)))-EXP(VLOOKUP(D2091,'Species Codes'!B:O,14,0)+VLOOKUP(D2091,'Species Codes'!B:P,15,0)*LN((E2091*2.54)))*(1/(VLOOKUP(D2091,'Species Codes'!B:Q,16,0)+VLOOKUP(D2091,'Species Codes'!B:R,17,0)*((E2091*2.54)^VLOOKUP(D2091,'Species Codes'!B:S,18,0)))),IF(OR(D2091="BM",D2091="MD",D2091="OA"),EXP(VLOOKUP(D2091,'Species Codes'!B:O,14,0)+VLOOKUP(D2091,'Species Codes'!B:P,15,0)*LN((E2091*2.54)))*(1-(1/(VLOOKUP(D2091,'Species Codes'!B:Q,16,0)+VLOOKUP(D2091,'Species Codes'!B:R,17,0)*((E2091*2.54)^VLOOKUP(D2091,'Species Codes'!B:S,18,0)))))/1000,IF(D2091="DF",EXP(VLOOKUP(D2091,'Species Codes'!B:O,14,0)+VLOOKUP(D2091,'Species Codes'!B:P,15,0)*LN((E2091*2.54))),VLOOKUP(D2091,'Species Codes'!B:O,14,0)+VLOOKUP(D2091,'Species Codes'!B:P,15,0)*(((E2091*2.54)/100)^2)*(I2091*0.3048)))))*0.0011023),0)</f>
        <v>#N/A</v>
      </c>
      <c r="AD2091" s="104" t="e">
        <f t="shared" si="922"/>
        <v>#N/A</v>
      </c>
      <c r="AE2091" s="104" t="e">
        <f t="shared" si="923"/>
        <v>#N/A</v>
      </c>
      <c r="AF2091" s="104" t="e">
        <f>IF(AND(VLOOKUP($D2091,Merchantability!$B:$C,2,0)="Yes",$E2091&gt;=VLOOKUP($D2091,Merchantability!$B:$D,3,0),$E2091&lt;=VLOOKUP($D2091,Merchantability!$B:$E,4,0)),AA2091,0)</f>
        <v>#N/A</v>
      </c>
      <c r="AG2091" s="104" t="e">
        <f>IF(AND(VLOOKUP($D2091,Merchantability!$B:$C,2,0)="Yes",$E2091&gt;=VLOOKUP($D2091,Merchantability!$B:$D,3,0),$E2091&lt;=VLOOKUP($D2091,Merchantability!$B:$E,4,0)),AB2091,0)</f>
        <v>#N/A</v>
      </c>
      <c r="AH2091" s="104" t="e">
        <f>IF(AND(VLOOKUP($D2091,Merchantability!$B:$C,2,0)="Yes",$E2091&gt;=VLOOKUP($D2091,Merchantability!$B:$D,3,0),$E2091&lt;=VLOOKUP($D2091,Merchantability!$B:$E,4,0)),AC2091,0)</f>
        <v>#N/A</v>
      </c>
      <c r="AI2091" s="104" t="e">
        <f t="shared" si="924"/>
        <v>#N/A</v>
      </c>
      <c r="AJ2091" s="104" t="e">
        <f t="shared" si="925"/>
        <v>#VALUE!</v>
      </c>
      <c r="AK2091" s="104" t="e">
        <f t="shared" si="926"/>
        <v>#N/A</v>
      </c>
      <c r="AL2091" s="104" t="e">
        <f t="shared" si="927"/>
        <v>#N/A</v>
      </c>
      <c r="AM2091" s="104" t="e">
        <f t="shared" si="928"/>
        <v>#N/A</v>
      </c>
      <c r="AN2091" s="104" t="e">
        <f t="shared" si="912"/>
        <v>#N/A</v>
      </c>
      <c r="AO2091" s="104" t="e">
        <f t="shared" si="913"/>
        <v>#N/A</v>
      </c>
      <c r="AP2091" s="104" t="e">
        <f t="shared" si="914"/>
        <v>#N/A</v>
      </c>
      <c r="AQ2091" s="104" t="e">
        <f t="shared" si="915"/>
        <v>#N/A</v>
      </c>
      <c r="AR2091" s="105" t="str">
        <f t="shared" si="907"/>
        <v/>
      </c>
      <c r="AS2091" s="105" t="str">
        <f t="shared" si="908"/>
        <v/>
      </c>
      <c r="AT2091" s="108" t="str">
        <f t="shared" si="909"/>
        <v/>
      </c>
      <c r="AU2091" s="108" t="str">
        <f t="shared" si="910"/>
        <v/>
      </c>
      <c r="AV2091" s="107" t="str">
        <f>IF(ISNUMBER(O2091),IF(VLOOKUP($A2091,Stand!C:J,8,FALSE)="Short",AT2091,AU2091),"")</f>
        <v/>
      </c>
      <c r="AW2091" s="109" t="str">
        <f t="shared" si="916"/>
        <v/>
      </c>
      <c r="AX2091" s="109" t="str">
        <f t="shared" si="917"/>
        <v/>
      </c>
      <c r="AY2091" s="112" t="str">
        <f>IF(ISNUMBER(O2091),IF(AND(VLOOKUP($D2091,Merchantability!$B:$C,2,0)="Yes",$E2091&gt;=VLOOKUP($D2091,Merchantability!$B:$D,3,0),$E2091&lt;=VLOOKUP($D2091,Merchantability!$B:$E,4,0)),(AV2091*O2091)*(1-$H2091/100),""),"")</f>
        <v/>
      </c>
      <c r="AZ2091" s="116"/>
      <c r="BA2091" s="116"/>
      <c r="BB2091" s="116"/>
      <c r="BE2091" s="62"/>
      <c r="BF2091" s="63"/>
    </row>
    <row r="2092" spans="1:58" ht="12.75" customHeight="1" x14ac:dyDescent="0.25">
      <c r="A2092" s="334"/>
      <c r="B2092" s="334"/>
      <c r="C2092" s="332"/>
      <c r="D2092" s="334"/>
      <c r="E2092" s="335"/>
      <c r="F2092" s="334"/>
      <c r="G2092" s="332"/>
      <c r="H2092" s="332"/>
      <c r="I2092" s="334"/>
      <c r="J2092" s="336"/>
      <c r="K2092" s="332"/>
      <c r="L2092" s="332"/>
      <c r="M2092" s="76"/>
      <c r="N2092" s="103" t="str">
        <f>IF(A2092="","",VLOOKUP(A2092,Stand!C:K,9,0))</f>
        <v/>
      </c>
      <c r="O2092" s="104" t="str">
        <f t="shared" si="902"/>
        <v/>
      </c>
      <c r="P2092" s="105" t="str">
        <f t="shared" si="903"/>
        <v/>
      </c>
      <c r="Q2092" s="105" t="str">
        <f t="shared" si="918"/>
        <v/>
      </c>
      <c r="R2092" s="103" t="str">
        <f t="shared" si="904"/>
        <v/>
      </c>
      <c r="S2092" s="103" t="str">
        <f t="shared" si="905"/>
        <v/>
      </c>
      <c r="T2092" s="106" t="str">
        <f t="shared" si="919"/>
        <v/>
      </c>
      <c r="U2092" s="106" t="str">
        <f t="shared" si="920"/>
        <v/>
      </c>
      <c r="V2092" s="106" t="str">
        <f t="shared" si="921"/>
        <v/>
      </c>
      <c r="W2092" s="105" t="str">
        <f t="shared" si="906"/>
        <v/>
      </c>
      <c r="X2092" s="104" t="str">
        <f t="shared" si="911"/>
        <v/>
      </c>
      <c r="Y2092" s="104" t="str">
        <f t="array" ref="Y2092">IFERROR(IF(ISNUMBER(O2092),IF(COUNT(IF(A2092=$A$2:$A$2427,IF(D2092=$D$2:$D$2427,IF($X$2:$X$2427&gt;0,1))))&gt;0,SUM(IF(A2092=$A$2:$A$2427,IF(D2092=$D$2:$D$2427,$X$2:$X$2427)))/COUNT(IF(A2092=$A$2:$A$2427,IF(D2092=$D$2:$D$2427,IF(ISNUMBER($X$2:$X$2427),1)))),0),""),0)</f>
        <v/>
      </c>
      <c r="Z2092" s="104" t="str">
        <f>IF(ISNUMBER(O2092),IF(I2092&gt;0,(10^(VLOOKUP(D2092,'Species Codes'!B:C,2,0)+VLOOKUP(D2092,'Species Codes'!B:D,3,0)*LOG(E2092)+VLOOKUP(D2092,'Species Codes'!B:E,4,0)*LOG(I2092))),0),"")</f>
        <v/>
      </c>
      <c r="AA2092" s="104" t="str">
        <f>IFERROR((VLOOKUP(D2092,'Species Codes'!B:G,6,0)*Z2092)/2000,"")</f>
        <v/>
      </c>
      <c r="AB2092" s="104" t="e">
        <f>IF(Z2092&gt;0,((IF(OR(D2092="DF",D2092="RA")=TRUE,EXP(VLOOKUP(D2092,'Species Codes'!B:I,8,0)+VLOOKUP(D2092,'Species Codes'!B:J,9,0)*(LN((E2092*2.54)))),IF(OR(D2092="PY",D2092="RC",D2092="WH",D2092="NF")=TRUE,VLOOKUP(D2092,'Species Codes'!B:I,8,0)+VLOOKUP(D2092,'Species Codes'!B:J,9,0)*((E2092*2.54)^2)*(I2092*0.3048),IF(OR(D2092="MD",D2092="BM",D2092="GA")=TRUE,((VLOOKUP(D2092,'Species Codes'!B:I,8,0)*(((((E2092*2.54)+VLOOKUP(D2092,'Species Codes'!B:J,9,0))/VLOOKUP(D2092,'Species Codes'!B:K,10,0))^VLOOKUP(D2092,'Species Codes'!B:L,11,0))*((I2092*0.3048)^VLOOKUP(D2092,'Species Codes'!B:M,12,0))))-(VLOOKUP(D2092,'Species Codes'!B:I,8,0)*((((E2092*2.54)^VLOOKUP(D2092,'Species Codes'!B:L,11,0))*((I2092*0.3048)^VLOOKUP(D2092,'Species Codes'!B:M,12,0))))))*35.3*VLOOKUP(D2092,'Species Codes'!B:G,6,0)/2.2046,VLOOKUP(D2092,'Species Codes'!B:I,8,0)+VLOOKUP(D2092,'Species Codes'!B:J,9,0)*(((E2092*2.54)/100)^2)*(I2092*0.3048)))))*0.0011023),0)</f>
        <v>#N/A</v>
      </c>
      <c r="AC2092" s="104" t="e">
        <f>IF(Z2092&gt;0,((IF(OR(D2092="RA",D2092="OA",D2092="OT",D2092="UN",D2092="PC"),EXP(VLOOKUP(D2092,'Species Codes'!B:O,14,0)+VLOOKUP(D2092,'Species Codes'!B:P,15,0)*LN((E2092*2.54)))-EXP(VLOOKUP(D2092,'Species Codes'!B:O,14,0)+VLOOKUP(D2092,'Species Codes'!B:P,15,0)*LN((E2092*2.54)))*(1/(VLOOKUP(D2092,'Species Codes'!B:Q,16,0)+VLOOKUP(D2092,'Species Codes'!B:R,17,0)*((E2092*2.54)^VLOOKUP(D2092,'Species Codes'!B:S,18,0)))),IF(OR(D2092="BM",D2092="MD",D2092="OA"),EXP(VLOOKUP(D2092,'Species Codes'!B:O,14,0)+VLOOKUP(D2092,'Species Codes'!B:P,15,0)*LN((E2092*2.54)))*(1-(1/(VLOOKUP(D2092,'Species Codes'!B:Q,16,0)+VLOOKUP(D2092,'Species Codes'!B:R,17,0)*((E2092*2.54)^VLOOKUP(D2092,'Species Codes'!B:S,18,0)))))/1000,IF(D2092="DF",EXP(VLOOKUP(D2092,'Species Codes'!B:O,14,0)+VLOOKUP(D2092,'Species Codes'!B:P,15,0)*LN((E2092*2.54))),VLOOKUP(D2092,'Species Codes'!B:O,14,0)+VLOOKUP(D2092,'Species Codes'!B:P,15,0)*(((E2092*2.54)/100)^2)*(I2092*0.3048)))))*0.0011023),0)</f>
        <v>#N/A</v>
      </c>
      <c r="AD2092" s="104" t="e">
        <f t="shared" si="922"/>
        <v>#N/A</v>
      </c>
      <c r="AE2092" s="104" t="e">
        <f t="shared" si="923"/>
        <v>#N/A</v>
      </c>
      <c r="AF2092" s="104" t="e">
        <f>IF(AND(VLOOKUP($D2092,Merchantability!$B:$C,2,0)="Yes",$E2092&gt;=VLOOKUP($D2092,Merchantability!$B:$D,3,0),$E2092&lt;=VLOOKUP($D2092,Merchantability!$B:$E,4,0)),AA2092,0)</f>
        <v>#N/A</v>
      </c>
      <c r="AG2092" s="104" t="e">
        <f>IF(AND(VLOOKUP($D2092,Merchantability!$B:$C,2,0)="Yes",$E2092&gt;=VLOOKUP($D2092,Merchantability!$B:$D,3,0),$E2092&lt;=VLOOKUP($D2092,Merchantability!$B:$E,4,0)),AB2092,0)</f>
        <v>#N/A</v>
      </c>
      <c r="AH2092" s="104" t="e">
        <f>IF(AND(VLOOKUP($D2092,Merchantability!$B:$C,2,0)="Yes",$E2092&gt;=VLOOKUP($D2092,Merchantability!$B:$D,3,0),$E2092&lt;=VLOOKUP($D2092,Merchantability!$B:$E,4,0)),AC2092,0)</f>
        <v>#N/A</v>
      </c>
      <c r="AI2092" s="104" t="e">
        <f t="shared" si="924"/>
        <v>#N/A</v>
      </c>
      <c r="AJ2092" s="104" t="e">
        <f t="shared" si="925"/>
        <v>#VALUE!</v>
      </c>
      <c r="AK2092" s="104" t="e">
        <f t="shared" si="926"/>
        <v>#N/A</v>
      </c>
      <c r="AL2092" s="104" t="e">
        <f t="shared" si="927"/>
        <v>#N/A</v>
      </c>
      <c r="AM2092" s="104" t="e">
        <f t="shared" si="928"/>
        <v>#N/A</v>
      </c>
      <c r="AN2092" s="104" t="e">
        <f t="shared" si="912"/>
        <v>#N/A</v>
      </c>
      <c r="AO2092" s="104" t="e">
        <f t="shared" si="913"/>
        <v>#N/A</v>
      </c>
      <c r="AP2092" s="104" t="e">
        <f t="shared" si="914"/>
        <v>#N/A</v>
      </c>
      <c r="AQ2092" s="104" t="e">
        <f t="shared" si="915"/>
        <v>#N/A</v>
      </c>
      <c r="AR2092" s="105" t="str">
        <f t="shared" si="907"/>
        <v/>
      </c>
      <c r="AS2092" s="105" t="str">
        <f t="shared" si="908"/>
        <v/>
      </c>
      <c r="AT2092" s="108" t="str">
        <f t="shared" si="909"/>
        <v/>
      </c>
      <c r="AU2092" s="108" t="str">
        <f t="shared" si="910"/>
        <v/>
      </c>
      <c r="AV2092" s="107" t="str">
        <f>IF(ISNUMBER(O2092),IF(VLOOKUP($A2092,Stand!C:J,8,FALSE)="Short",AT2092,AU2092),"")</f>
        <v/>
      </c>
      <c r="AW2092" s="109" t="str">
        <f t="shared" si="916"/>
        <v/>
      </c>
      <c r="AX2092" s="109" t="str">
        <f t="shared" si="917"/>
        <v/>
      </c>
      <c r="AY2092" s="112" t="str">
        <f>IF(ISNUMBER(O2092),IF(AND(VLOOKUP($D2092,Merchantability!$B:$C,2,0)="Yes",$E2092&gt;=VLOOKUP($D2092,Merchantability!$B:$D,3,0),$E2092&lt;=VLOOKUP($D2092,Merchantability!$B:$E,4,0)),(AV2092*O2092)*(1-$H2092/100),""),"")</f>
        <v/>
      </c>
      <c r="AZ2092" s="116"/>
      <c r="BA2092" s="116"/>
      <c r="BB2092" s="116"/>
      <c r="BE2092" s="62"/>
      <c r="BF2092" s="63"/>
    </row>
    <row r="2093" spans="1:58" ht="12.75" customHeight="1" x14ac:dyDescent="0.25">
      <c r="A2093" s="334"/>
      <c r="B2093" s="334"/>
      <c r="C2093" s="332"/>
      <c r="D2093" s="334"/>
      <c r="E2093" s="335"/>
      <c r="F2093" s="334"/>
      <c r="G2093" s="332"/>
      <c r="H2093" s="332"/>
      <c r="I2093" s="334"/>
      <c r="J2093" s="336"/>
      <c r="K2093" s="332"/>
      <c r="L2093" s="332"/>
      <c r="M2093" s="76"/>
      <c r="N2093" s="103" t="str">
        <f>IF(A2093="","",VLOOKUP(A2093,Stand!C:K,9,0))</f>
        <v/>
      </c>
      <c r="O2093" s="104" t="str">
        <f t="shared" si="902"/>
        <v/>
      </c>
      <c r="P2093" s="105" t="str">
        <f t="shared" si="903"/>
        <v/>
      </c>
      <c r="Q2093" s="105" t="str">
        <f t="shared" si="918"/>
        <v/>
      </c>
      <c r="R2093" s="103" t="str">
        <f t="shared" si="904"/>
        <v/>
      </c>
      <c r="S2093" s="103" t="str">
        <f t="shared" si="905"/>
        <v/>
      </c>
      <c r="T2093" s="106" t="str">
        <f t="shared" si="919"/>
        <v/>
      </c>
      <c r="U2093" s="106" t="str">
        <f t="shared" si="920"/>
        <v/>
      </c>
      <c r="V2093" s="106" t="str">
        <f t="shared" si="921"/>
        <v/>
      </c>
      <c r="W2093" s="105" t="str">
        <f t="shared" si="906"/>
        <v/>
      </c>
      <c r="X2093" s="104" t="str">
        <f t="shared" si="911"/>
        <v/>
      </c>
      <c r="Y2093" s="104" t="str">
        <f t="array" ref="Y2093">IFERROR(IF(ISNUMBER(O2093),IF(COUNT(IF(A2093=$A$2:$A$2427,IF(D2093=$D$2:$D$2427,IF($X$2:$X$2427&gt;0,1))))&gt;0,SUM(IF(A2093=$A$2:$A$2427,IF(D2093=$D$2:$D$2427,$X$2:$X$2427)))/COUNT(IF(A2093=$A$2:$A$2427,IF(D2093=$D$2:$D$2427,IF(ISNUMBER($X$2:$X$2427),1)))),0),""),0)</f>
        <v/>
      </c>
      <c r="Z2093" s="104" t="str">
        <f>IF(ISNUMBER(O2093),IF(I2093&gt;0,(10^(VLOOKUP(D2093,'Species Codes'!B:C,2,0)+VLOOKUP(D2093,'Species Codes'!B:D,3,0)*LOG(E2093)+VLOOKUP(D2093,'Species Codes'!B:E,4,0)*LOG(I2093))),0),"")</f>
        <v/>
      </c>
      <c r="AA2093" s="104" t="str">
        <f>IFERROR((VLOOKUP(D2093,'Species Codes'!B:G,6,0)*Z2093)/2000,"")</f>
        <v/>
      </c>
      <c r="AB2093" s="104" t="e">
        <f>IF(Z2093&gt;0,((IF(OR(D2093="DF",D2093="RA")=TRUE,EXP(VLOOKUP(D2093,'Species Codes'!B:I,8,0)+VLOOKUP(D2093,'Species Codes'!B:J,9,0)*(LN((E2093*2.54)))),IF(OR(D2093="PY",D2093="RC",D2093="WH",D2093="NF")=TRUE,VLOOKUP(D2093,'Species Codes'!B:I,8,0)+VLOOKUP(D2093,'Species Codes'!B:J,9,0)*((E2093*2.54)^2)*(I2093*0.3048),IF(OR(D2093="MD",D2093="BM",D2093="GA")=TRUE,((VLOOKUP(D2093,'Species Codes'!B:I,8,0)*(((((E2093*2.54)+VLOOKUP(D2093,'Species Codes'!B:J,9,0))/VLOOKUP(D2093,'Species Codes'!B:K,10,0))^VLOOKUP(D2093,'Species Codes'!B:L,11,0))*((I2093*0.3048)^VLOOKUP(D2093,'Species Codes'!B:M,12,0))))-(VLOOKUP(D2093,'Species Codes'!B:I,8,0)*((((E2093*2.54)^VLOOKUP(D2093,'Species Codes'!B:L,11,0))*((I2093*0.3048)^VLOOKUP(D2093,'Species Codes'!B:M,12,0))))))*35.3*VLOOKUP(D2093,'Species Codes'!B:G,6,0)/2.2046,VLOOKUP(D2093,'Species Codes'!B:I,8,0)+VLOOKUP(D2093,'Species Codes'!B:J,9,0)*(((E2093*2.54)/100)^2)*(I2093*0.3048)))))*0.0011023),0)</f>
        <v>#N/A</v>
      </c>
      <c r="AC2093" s="104" t="e">
        <f>IF(Z2093&gt;0,((IF(OR(D2093="RA",D2093="OA",D2093="OT",D2093="UN",D2093="PC"),EXP(VLOOKUP(D2093,'Species Codes'!B:O,14,0)+VLOOKUP(D2093,'Species Codes'!B:P,15,0)*LN((E2093*2.54)))-EXP(VLOOKUP(D2093,'Species Codes'!B:O,14,0)+VLOOKUP(D2093,'Species Codes'!B:P,15,0)*LN((E2093*2.54)))*(1/(VLOOKUP(D2093,'Species Codes'!B:Q,16,0)+VLOOKUP(D2093,'Species Codes'!B:R,17,0)*((E2093*2.54)^VLOOKUP(D2093,'Species Codes'!B:S,18,0)))),IF(OR(D2093="BM",D2093="MD",D2093="OA"),EXP(VLOOKUP(D2093,'Species Codes'!B:O,14,0)+VLOOKUP(D2093,'Species Codes'!B:P,15,0)*LN((E2093*2.54)))*(1-(1/(VLOOKUP(D2093,'Species Codes'!B:Q,16,0)+VLOOKUP(D2093,'Species Codes'!B:R,17,0)*((E2093*2.54)^VLOOKUP(D2093,'Species Codes'!B:S,18,0)))))/1000,IF(D2093="DF",EXP(VLOOKUP(D2093,'Species Codes'!B:O,14,0)+VLOOKUP(D2093,'Species Codes'!B:P,15,0)*LN((E2093*2.54))),VLOOKUP(D2093,'Species Codes'!B:O,14,0)+VLOOKUP(D2093,'Species Codes'!B:P,15,0)*(((E2093*2.54)/100)^2)*(I2093*0.3048)))))*0.0011023),0)</f>
        <v>#N/A</v>
      </c>
      <c r="AD2093" s="104" t="e">
        <f t="shared" si="922"/>
        <v>#N/A</v>
      </c>
      <c r="AE2093" s="104" t="e">
        <f t="shared" si="923"/>
        <v>#N/A</v>
      </c>
      <c r="AF2093" s="104" t="e">
        <f>IF(AND(VLOOKUP($D2093,Merchantability!$B:$C,2,0)="Yes",$E2093&gt;=VLOOKUP($D2093,Merchantability!$B:$D,3,0),$E2093&lt;=VLOOKUP($D2093,Merchantability!$B:$E,4,0)),AA2093,0)</f>
        <v>#N/A</v>
      </c>
      <c r="AG2093" s="104" t="e">
        <f>IF(AND(VLOOKUP($D2093,Merchantability!$B:$C,2,0)="Yes",$E2093&gt;=VLOOKUP($D2093,Merchantability!$B:$D,3,0),$E2093&lt;=VLOOKUP($D2093,Merchantability!$B:$E,4,0)),AB2093,0)</f>
        <v>#N/A</v>
      </c>
      <c r="AH2093" s="104" t="e">
        <f>IF(AND(VLOOKUP($D2093,Merchantability!$B:$C,2,0)="Yes",$E2093&gt;=VLOOKUP($D2093,Merchantability!$B:$D,3,0),$E2093&lt;=VLOOKUP($D2093,Merchantability!$B:$E,4,0)),AC2093,0)</f>
        <v>#N/A</v>
      </c>
      <c r="AI2093" s="104" t="e">
        <f t="shared" si="924"/>
        <v>#N/A</v>
      </c>
      <c r="AJ2093" s="104" t="e">
        <f t="shared" si="925"/>
        <v>#VALUE!</v>
      </c>
      <c r="AK2093" s="104" t="e">
        <f t="shared" si="926"/>
        <v>#N/A</v>
      </c>
      <c r="AL2093" s="104" t="e">
        <f t="shared" si="927"/>
        <v>#N/A</v>
      </c>
      <c r="AM2093" s="104" t="e">
        <f t="shared" si="928"/>
        <v>#N/A</v>
      </c>
      <c r="AN2093" s="104" t="e">
        <f t="shared" si="912"/>
        <v>#N/A</v>
      </c>
      <c r="AO2093" s="104" t="e">
        <f t="shared" si="913"/>
        <v>#N/A</v>
      </c>
      <c r="AP2093" s="104" t="e">
        <f t="shared" si="914"/>
        <v>#N/A</v>
      </c>
      <c r="AQ2093" s="104" t="e">
        <f t="shared" si="915"/>
        <v>#N/A</v>
      </c>
      <c r="AR2093" s="105" t="str">
        <f t="shared" si="907"/>
        <v/>
      </c>
      <c r="AS2093" s="105" t="str">
        <f t="shared" si="908"/>
        <v/>
      </c>
      <c r="AT2093" s="108" t="str">
        <f t="shared" si="909"/>
        <v/>
      </c>
      <c r="AU2093" s="108" t="str">
        <f t="shared" si="910"/>
        <v/>
      </c>
      <c r="AV2093" s="107" t="str">
        <f>IF(ISNUMBER(O2093),IF(VLOOKUP($A2093,Stand!C:J,8,FALSE)="Short",AT2093,AU2093),"")</f>
        <v/>
      </c>
      <c r="AW2093" s="109" t="str">
        <f t="shared" si="916"/>
        <v/>
      </c>
      <c r="AX2093" s="109" t="str">
        <f t="shared" si="917"/>
        <v/>
      </c>
      <c r="AY2093" s="112" t="str">
        <f>IF(ISNUMBER(O2093),IF(AND(VLOOKUP($D2093,Merchantability!$B:$C,2,0)="Yes",$E2093&gt;=VLOOKUP($D2093,Merchantability!$B:$D,3,0),$E2093&lt;=VLOOKUP($D2093,Merchantability!$B:$E,4,0)),(AV2093*O2093)*(1-$H2093/100),""),"")</f>
        <v/>
      </c>
      <c r="AZ2093" s="116"/>
      <c r="BA2093" s="116"/>
      <c r="BB2093" s="116"/>
      <c r="BE2093" s="62"/>
      <c r="BF2093" s="63"/>
    </row>
    <row r="2094" spans="1:58" ht="12.75" customHeight="1" x14ac:dyDescent="0.25">
      <c r="A2094" s="334"/>
      <c r="B2094" s="334"/>
      <c r="C2094" s="332"/>
      <c r="D2094" s="334"/>
      <c r="E2094" s="335"/>
      <c r="F2094" s="334"/>
      <c r="G2094" s="332"/>
      <c r="H2094" s="332"/>
      <c r="I2094" s="334"/>
      <c r="J2094" s="336"/>
      <c r="K2094" s="332"/>
      <c r="L2094" s="332"/>
      <c r="M2094" s="76"/>
      <c r="N2094" s="103" t="str">
        <f>IF(A2094="","",VLOOKUP(A2094,Stand!C:K,9,0))</f>
        <v/>
      </c>
      <c r="O2094" s="104" t="str">
        <f t="shared" si="902"/>
        <v/>
      </c>
      <c r="P2094" s="105" t="str">
        <f t="shared" si="903"/>
        <v/>
      </c>
      <c r="Q2094" s="105" t="str">
        <f t="shared" si="918"/>
        <v/>
      </c>
      <c r="R2094" s="103" t="str">
        <f t="shared" si="904"/>
        <v/>
      </c>
      <c r="S2094" s="103" t="str">
        <f t="shared" si="905"/>
        <v/>
      </c>
      <c r="T2094" s="106" t="str">
        <f t="shared" si="919"/>
        <v/>
      </c>
      <c r="U2094" s="106" t="str">
        <f t="shared" si="920"/>
        <v/>
      </c>
      <c r="V2094" s="106" t="str">
        <f t="shared" si="921"/>
        <v/>
      </c>
      <c r="W2094" s="105" t="str">
        <f t="shared" si="906"/>
        <v/>
      </c>
      <c r="X2094" s="104" t="str">
        <f t="shared" si="911"/>
        <v/>
      </c>
      <c r="Y2094" s="104" t="str">
        <f t="array" ref="Y2094">IFERROR(IF(ISNUMBER(O2094),IF(COUNT(IF(A2094=$A$2:$A$2427,IF(D2094=$D$2:$D$2427,IF($X$2:$X$2427&gt;0,1))))&gt;0,SUM(IF(A2094=$A$2:$A$2427,IF(D2094=$D$2:$D$2427,$X$2:$X$2427)))/COUNT(IF(A2094=$A$2:$A$2427,IF(D2094=$D$2:$D$2427,IF(ISNUMBER($X$2:$X$2427),1)))),0),""),0)</f>
        <v/>
      </c>
      <c r="Z2094" s="104" t="str">
        <f>IF(ISNUMBER(O2094),IF(I2094&gt;0,(10^(VLOOKUP(D2094,'Species Codes'!B:C,2,0)+VLOOKUP(D2094,'Species Codes'!B:D,3,0)*LOG(E2094)+VLOOKUP(D2094,'Species Codes'!B:E,4,0)*LOG(I2094))),0),"")</f>
        <v/>
      </c>
      <c r="AA2094" s="104" t="str">
        <f>IFERROR((VLOOKUP(D2094,'Species Codes'!B:G,6,0)*Z2094)/2000,"")</f>
        <v/>
      </c>
      <c r="AB2094" s="104" t="e">
        <f>IF(Z2094&gt;0,((IF(OR(D2094="DF",D2094="RA")=TRUE,EXP(VLOOKUP(D2094,'Species Codes'!B:I,8,0)+VLOOKUP(D2094,'Species Codes'!B:J,9,0)*(LN((E2094*2.54)))),IF(OR(D2094="PY",D2094="RC",D2094="WH",D2094="NF")=TRUE,VLOOKUP(D2094,'Species Codes'!B:I,8,0)+VLOOKUP(D2094,'Species Codes'!B:J,9,0)*((E2094*2.54)^2)*(I2094*0.3048),IF(OR(D2094="MD",D2094="BM",D2094="GA")=TRUE,((VLOOKUP(D2094,'Species Codes'!B:I,8,0)*(((((E2094*2.54)+VLOOKUP(D2094,'Species Codes'!B:J,9,0))/VLOOKUP(D2094,'Species Codes'!B:K,10,0))^VLOOKUP(D2094,'Species Codes'!B:L,11,0))*((I2094*0.3048)^VLOOKUP(D2094,'Species Codes'!B:M,12,0))))-(VLOOKUP(D2094,'Species Codes'!B:I,8,0)*((((E2094*2.54)^VLOOKUP(D2094,'Species Codes'!B:L,11,0))*((I2094*0.3048)^VLOOKUP(D2094,'Species Codes'!B:M,12,0))))))*35.3*VLOOKUP(D2094,'Species Codes'!B:G,6,0)/2.2046,VLOOKUP(D2094,'Species Codes'!B:I,8,0)+VLOOKUP(D2094,'Species Codes'!B:J,9,0)*(((E2094*2.54)/100)^2)*(I2094*0.3048)))))*0.0011023),0)</f>
        <v>#N/A</v>
      </c>
      <c r="AC2094" s="104" t="e">
        <f>IF(Z2094&gt;0,((IF(OR(D2094="RA",D2094="OA",D2094="OT",D2094="UN",D2094="PC"),EXP(VLOOKUP(D2094,'Species Codes'!B:O,14,0)+VLOOKUP(D2094,'Species Codes'!B:P,15,0)*LN((E2094*2.54)))-EXP(VLOOKUP(D2094,'Species Codes'!B:O,14,0)+VLOOKUP(D2094,'Species Codes'!B:P,15,0)*LN((E2094*2.54)))*(1/(VLOOKUP(D2094,'Species Codes'!B:Q,16,0)+VLOOKUP(D2094,'Species Codes'!B:R,17,0)*((E2094*2.54)^VLOOKUP(D2094,'Species Codes'!B:S,18,0)))),IF(OR(D2094="BM",D2094="MD",D2094="OA"),EXP(VLOOKUP(D2094,'Species Codes'!B:O,14,0)+VLOOKUP(D2094,'Species Codes'!B:P,15,0)*LN((E2094*2.54)))*(1-(1/(VLOOKUP(D2094,'Species Codes'!B:Q,16,0)+VLOOKUP(D2094,'Species Codes'!B:R,17,0)*((E2094*2.54)^VLOOKUP(D2094,'Species Codes'!B:S,18,0)))))/1000,IF(D2094="DF",EXP(VLOOKUP(D2094,'Species Codes'!B:O,14,0)+VLOOKUP(D2094,'Species Codes'!B:P,15,0)*LN((E2094*2.54))),VLOOKUP(D2094,'Species Codes'!B:O,14,0)+VLOOKUP(D2094,'Species Codes'!B:P,15,0)*(((E2094*2.54)/100)^2)*(I2094*0.3048)))))*0.0011023),0)</f>
        <v>#N/A</v>
      </c>
      <c r="AD2094" s="104" t="e">
        <f t="shared" si="922"/>
        <v>#N/A</v>
      </c>
      <c r="AE2094" s="104" t="e">
        <f t="shared" si="923"/>
        <v>#N/A</v>
      </c>
      <c r="AF2094" s="104" t="e">
        <f>IF(AND(VLOOKUP($D2094,Merchantability!$B:$C,2,0)="Yes",$E2094&gt;=VLOOKUP($D2094,Merchantability!$B:$D,3,0),$E2094&lt;=VLOOKUP($D2094,Merchantability!$B:$E,4,0)),AA2094,0)</f>
        <v>#N/A</v>
      </c>
      <c r="AG2094" s="104" t="e">
        <f>IF(AND(VLOOKUP($D2094,Merchantability!$B:$C,2,0)="Yes",$E2094&gt;=VLOOKUP($D2094,Merchantability!$B:$D,3,0),$E2094&lt;=VLOOKUP($D2094,Merchantability!$B:$E,4,0)),AB2094,0)</f>
        <v>#N/A</v>
      </c>
      <c r="AH2094" s="104" t="e">
        <f>IF(AND(VLOOKUP($D2094,Merchantability!$B:$C,2,0)="Yes",$E2094&gt;=VLOOKUP($D2094,Merchantability!$B:$D,3,0),$E2094&lt;=VLOOKUP($D2094,Merchantability!$B:$E,4,0)),AC2094,0)</f>
        <v>#N/A</v>
      </c>
      <c r="AI2094" s="104" t="e">
        <f t="shared" si="924"/>
        <v>#N/A</v>
      </c>
      <c r="AJ2094" s="104" t="e">
        <f t="shared" si="925"/>
        <v>#VALUE!</v>
      </c>
      <c r="AK2094" s="104" t="e">
        <f t="shared" si="926"/>
        <v>#N/A</v>
      </c>
      <c r="AL2094" s="104" t="e">
        <f t="shared" si="927"/>
        <v>#N/A</v>
      </c>
      <c r="AM2094" s="104" t="e">
        <f t="shared" si="928"/>
        <v>#N/A</v>
      </c>
      <c r="AN2094" s="104" t="e">
        <f t="shared" si="912"/>
        <v>#N/A</v>
      </c>
      <c r="AO2094" s="104" t="e">
        <f t="shared" si="913"/>
        <v>#N/A</v>
      </c>
      <c r="AP2094" s="104" t="e">
        <f t="shared" si="914"/>
        <v>#N/A</v>
      </c>
      <c r="AQ2094" s="104" t="e">
        <f t="shared" si="915"/>
        <v>#N/A</v>
      </c>
      <c r="AR2094" s="105" t="str">
        <f t="shared" si="907"/>
        <v/>
      </c>
      <c r="AS2094" s="105" t="str">
        <f t="shared" si="908"/>
        <v/>
      </c>
      <c r="AT2094" s="108" t="str">
        <f t="shared" si="909"/>
        <v/>
      </c>
      <c r="AU2094" s="108" t="str">
        <f t="shared" si="910"/>
        <v/>
      </c>
      <c r="AV2094" s="107" t="str">
        <f>IF(ISNUMBER(O2094),IF(VLOOKUP($A2094,Stand!C:J,8,FALSE)="Short",AT2094,AU2094),"")</f>
        <v/>
      </c>
      <c r="AW2094" s="109" t="str">
        <f t="shared" si="916"/>
        <v/>
      </c>
      <c r="AX2094" s="109" t="str">
        <f t="shared" si="917"/>
        <v/>
      </c>
      <c r="AY2094" s="112" t="str">
        <f>IF(ISNUMBER(O2094),IF(AND(VLOOKUP($D2094,Merchantability!$B:$C,2,0)="Yes",$E2094&gt;=VLOOKUP($D2094,Merchantability!$B:$D,3,0),$E2094&lt;=VLOOKUP($D2094,Merchantability!$B:$E,4,0)),(AV2094*O2094)*(1-$H2094/100),""),"")</f>
        <v/>
      </c>
      <c r="AZ2094" s="116"/>
      <c r="BA2094" s="116"/>
      <c r="BB2094" s="116"/>
      <c r="BE2094" s="62"/>
      <c r="BF2094" s="63"/>
    </row>
    <row r="2095" spans="1:58" ht="12.75" customHeight="1" x14ac:dyDescent="0.25">
      <c r="A2095" s="334"/>
      <c r="B2095" s="334"/>
      <c r="C2095" s="332"/>
      <c r="D2095" s="334"/>
      <c r="E2095" s="335"/>
      <c r="F2095" s="334"/>
      <c r="G2095" s="332"/>
      <c r="H2095" s="332"/>
      <c r="I2095" s="334"/>
      <c r="J2095" s="336"/>
      <c r="K2095" s="332"/>
      <c r="L2095" s="332"/>
      <c r="M2095" s="76"/>
      <c r="N2095" s="103" t="str">
        <f>IF(A2095="","",VLOOKUP(A2095,Stand!C:K,9,0))</f>
        <v/>
      </c>
      <c r="O2095" s="104" t="str">
        <f t="shared" si="902"/>
        <v/>
      </c>
      <c r="P2095" s="105" t="str">
        <f t="shared" si="903"/>
        <v/>
      </c>
      <c r="Q2095" s="105" t="str">
        <f t="shared" si="918"/>
        <v/>
      </c>
      <c r="R2095" s="103" t="str">
        <f t="shared" si="904"/>
        <v/>
      </c>
      <c r="S2095" s="103" t="str">
        <f t="shared" si="905"/>
        <v/>
      </c>
      <c r="T2095" s="106" t="str">
        <f t="shared" si="919"/>
        <v/>
      </c>
      <c r="U2095" s="106" t="str">
        <f t="shared" si="920"/>
        <v/>
      </c>
      <c r="V2095" s="106" t="str">
        <f t="shared" si="921"/>
        <v/>
      </c>
      <c r="W2095" s="105" t="str">
        <f t="shared" si="906"/>
        <v/>
      </c>
      <c r="X2095" s="104" t="str">
        <f t="shared" si="911"/>
        <v/>
      </c>
      <c r="Y2095" s="104" t="str">
        <f t="array" ref="Y2095">IFERROR(IF(ISNUMBER(O2095),IF(COUNT(IF(A2095=$A$2:$A$2427,IF(D2095=$D$2:$D$2427,IF($X$2:$X$2427&gt;0,1))))&gt;0,SUM(IF(A2095=$A$2:$A$2427,IF(D2095=$D$2:$D$2427,$X$2:$X$2427)))/COUNT(IF(A2095=$A$2:$A$2427,IF(D2095=$D$2:$D$2427,IF(ISNUMBER($X$2:$X$2427),1)))),0),""),0)</f>
        <v/>
      </c>
      <c r="Z2095" s="104" t="str">
        <f>IF(ISNUMBER(O2095),IF(I2095&gt;0,(10^(VLOOKUP(D2095,'Species Codes'!B:C,2,0)+VLOOKUP(D2095,'Species Codes'!B:D,3,0)*LOG(E2095)+VLOOKUP(D2095,'Species Codes'!B:E,4,0)*LOG(I2095))),0),"")</f>
        <v/>
      </c>
      <c r="AA2095" s="104" t="str">
        <f>IFERROR((VLOOKUP(D2095,'Species Codes'!B:G,6,0)*Z2095)/2000,"")</f>
        <v/>
      </c>
      <c r="AB2095" s="104" t="e">
        <f>IF(Z2095&gt;0,((IF(OR(D2095="DF",D2095="RA")=TRUE,EXP(VLOOKUP(D2095,'Species Codes'!B:I,8,0)+VLOOKUP(D2095,'Species Codes'!B:J,9,0)*(LN((E2095*2.54)))),IF(OR(D2095="PY",D2095="RC",D2095="WH",D2095="NF")=TRUE,VLOOKUP(D2095,'Species Codes'!B:I,8,0)+VLOOKUP(D2095,'Species Codes'!B:J,9,0)*((E2095*2.54)^2)*(I2095*0.3048),IF(OR(D2095="MD",D2095="BM",D2095="GA")=TRUE,((VLOOKUP(D2095,'Species Codes'!B:I,8,0)*(((((E2095*2.54)+VLOOKUP(D2095,'Species Codes'!B:J,9,0))/VLOOKUP(D2095,'Species Codes'!B:K,10,0))^VLOOKUP(D2095,'Species Codes'!B:L,11,0))*((I2095*0.3048)^VLOOKUP(D2095,'Species Codes'!B:M,12,0))))-(VLOOKUP(D2095,'Species Codes'!B:I,8,0)*((((E2095*2.54)^VLOOKUP(D2095,'Species Codes'!B:L,11,0))*((I2095*0.3048)^VLOOKUP(D2095,'Species Codes'!B:M,12,0))))))*35.3*VLOOKUP(D2095,'Species Codes'!B:G,6,0)/2.2046,VLOOKUP(D2095,'Species Codes'!B:I,8,0)+VLOOKUP(D2095,'Species Codes'!B:J,9,0)*(((E2095*2.54)/100)^2)*(I2095*0.3048)))))*0.0011023),0)</f>
        <v>#N/A</v>
      </c>
      <c r="AC2095" s="104" t="e">
        <f>IF(Z2095&gt;0,((IF(OR(D2095="RA",D2095="OA",D2095="OT",D2095="UN",D2095="PC"),EXP(VLOOKUP(D2095,'Species Codes'!B:O,14,0)+VLOOKUP(D2095,'Species Codes'!B:P,15,0)*LN((E2095*2.54)))-EXP(VLOOKUP(D2095,'Species Codes'!B:O,14,0)+VLOOKUP(D2095,'Species Codes'!B:P,15,0)*LN((E2095*2.54)))*(1/(VLOOKUP(D2095,'Species Codes'!B:Q,16,0)+VLOOKUP(D2095,'Species Codes'!B:R,17,0)*((E2095*2.54)^VLOOKUP(D2095,'Species Codes'!B:S,18,0)))),IF(OR(D2095="BM",D2095="MD",D2095="OA"),EXP(VLOOKUP(D2095,'Species Codes'!B:O,14,0)+VLOOKUP(D2095,'Species Codes'!B:P,15,0)*LN((E2095*2.54)))*(1-(1/(VLOOKUP(D2095,'Species Codes'!B:Q,16,0)+VLOOKUP(D2095,'Species Codes'!B:R,17,0)*((E2095*2.54)^VLOOKUP(D2095,'Species Codes'!B:S,18,0)))))/1000,IF(D2095="DF",EXP(VLOOKUP(D2095,'Species Codes'!B:O,14,0)+VLOOKUP(D2095,'Species Codes'!B:P,15,0)*LN((E2095*2.54))),VLOOKUP(D2095,'Species Codes'!B:O,14,0)+VLOOKUP(D2095,'Species Codes'!B:P,15,0)*(((E2095*2.54)/100)^2)*(I2095*0.3048)))))*0.0011023),0)</f>
        <v>#N/A</v>
      </c>
      <c r="AD2095" s="104" t="e">
        <f t="shared" si="922"/>
        <v>#N/A</v>
      </c>
      <c r="AE2095" s="104" t="e">
        <f t="shared" si="923"/>
        <v>#N/A</v>
      </c>
      <c r="AF2095" s="104" t="e">
        <f>IF(AND(VLOOKUP($D2095,Merchantability!$B:$C,2,0)="Yes",$E2095&gt;=VLOOKUP($D2095,Merchantability!$B:$D,3,0),$E2095&lt;=VLOOKUP($D2095,Merchantability!$B:$E,4,0)),AA2095,0)</f>
        <v>#N/A</v>
      </c>
      <c r="AG2095" s="104" t="e">
        <f>IF(AND(VLOOKUP($D2095,Merchantability!$B:$C,2,0)="Yes",$E2095&gt;=VLOOKUP($D2095,Merchantability!$B:$D,3,0),$E2095&lt;=VLOOKUP($D2095,Merchantability!$B:$E,4,0)),AB2095,0)</f>
        <v>#N/A</v>
      </c>
      <c r="AH2095" s="104" t="e">
        <f>IF(AND(VLOOKUP($D2095,Merchantability!$B:$C,2,0)="Yes",$E2095&gt;=VLOOKUP($D2095,Merchantability!$B:$D,3,0),$E2095&lt;=VLOOKUP($D2095,Merchantability!$B:$E,4,0)),AC2095,0)</f>
        <v>#N/A</v>
      </c>
      <c r="AI2095" s="104" t="e">
        <f t="shared" si="924"/>
        <v>#N/A</v>
      </c>
      <c r="AJ2095" s="104" t="e">
        <f t="shared" si="925"/>
        <v>#VALUE!</v>
      </c>
      <c r="AK2095" s="104" t="e">
        <f t="shared" si="926"/>
        <v>#N/A</v>
      </c>
      <c r="AL2095" s="104" t="e">
        <f t="shared" si="927"/>
        <v>#N/A</v>
      </c>
      <c r="AM2095" s="104" t="e">
        <f t="shared" si="928"/>
        <v>#N/A</v>
      </c>
      <c r="AN2095" s="104" t="e">
        <f t="shared" si="912"/>
        <v>#N/A</v>
      </c>
      <c r="AO2095" s="104" t="e">
        <f t="shared" si="913"/>
        <v>#N/A</v>
      </c>
      <c r="AP2095" s="104" t="e">
        <f t="shared" si="914"/>
        <v>#N/A</v>
      </c>
      <c r="AQ2095" s="104" t="e">
        <f t="shared" si="915"/>
        <v>#N/A</v>
      </c>
      <c r="AR2095" s="105" t="str">
        <f t="shared" si="907"/>
        <v/>
      </c>
      <c r="AS2095" s="105" t="str">
        <f t="shared" si="908"/>
        <v/>
      </c>
      <c r="AT2095" s="108" t="str">
        <f t="shared" si="909"/>
        <v/>
      </c>
      <c r="AU2095" s="108" t="str">
        <f t="shared" si="910"/>
        <v/>
      </c>
      <c r="AV2095" s="107" t="str">
        <f>IF(ISNUMBER(O2095),IF(VLOOKUP($A2095,Stand!C:J,8,FALSE)="Short",AT2095,AU2095),"")</f>
        <v/>
      </c>
      <c r="AW2095" s="109" t="str">
        <f t="shared" si="916"/>
        <v/>
      </c>
      <c r="AX2095" s="109" t="str">
        <f t="shared" si="917"/>
        <v/>
      </c>
      <c r="AY2095" s="112" t="str">
        <f>IF(ISNUMBER(O2095),IF(AND(VLOOKUP($D2095,Merchantability!$B:$C,2,0)="Yes",$E2095&gt;=VLOOKUP($D2095,Merchantability!$B:$D,3,0),$E2095&lt;=VLOOKUP($D2095,Merchantability!$B:$E,4,0)),(AV2095*O2095)*(1-$H2095/100),""),"")</f>
        <v/>
      </c>
      <c r="AZ2095" s="116"/>
      <c r="BA2095" s="116"/>
      <c r="BB2095" s="116"/>
      <c r="BE2095" s="62"/>
      <c r="BF2095" s="63"/>
    </row>
    <row r="2096" spans="1:58" ht="12.75" customHeight="1" x14ac:dyDescent="0.25">
      <c r="A2096" s="334"/>
      <c r="B2096" s="334"/>
      <c r="C2096" s="332"/>
      <c r="D2096" s="334"/>
      <c r="E2096" s="335"/>
      <c r="F2096" s="334"/>
      <c r="G2096" s="332"/>
      <c r="H2096" s="332"/>
      <c r="I2096" s="334"/>
      <c r="J2096" s="336"/>
      <c r="K2096" s="332"/>
      <c r="L2096" s="332"/>
      <c r="M2096" s="76"/>
      <c r="N2096" s="103" t="str">
        <f>IF(A2096="","",VLOOKUP(A2096,Stand!C:K,9,0))</f>
        <v/>
      </c>
      <c r="O2096" s="104" t="str">
        <f t="shared" si="902"/>
        <v/>
      </c>
      <c r="P2096" s="105" t="str">
        <f t="shared" si="903"/>
        <v/>
      </c>
      <c r="Q2096" s="105" t="str">
        <f t="shared" si="918"/>
        <v/>
      </c>
      <c r="R2096" s="103" t="str">
        <f t="shared" si="904"/>
        <v/>
      </c>
      <c r="S2096" s="103" t="str">
        <f t="shared" si="905"/>
        <v/>
      </c>
      <c r="T2096" s="106" t="str">
        <f t="shared" si="919"/>
        <v/>
      </c>
      <c r="U2096" s="106" t="str">
        <f t="shared" si="920"/>
        <v/>
      </c>
      <c r="V2096" s="106" t="str">
        <f t="shared" si="921"/>
        <v/>
      </c>
      <c r="W2096" s="105" t="str">
        <f t="shared" si="906"/>
        <v/>
      </c>
      <c r="X2096" s="104" t="str">
        <f t="shared" si="911"/>
        <v/>
      </c>
      <c r="Y2096" s="104" t="str">
        <f t="array" ref="Y2096">IFERROR(IF(ISNUMBER(O2096),IF(COUNT(IF(A2096=$A$2:$A$2427,IF(D2096=$D$2:$D$2427,IF($X$2:$X$2427&gt;0,1))))&gt;0,SUM(IF(A2096=$A$2:$A$2427,IF(D2096=$D$2:$D$2427,$X$2:$X$2427)))/COUNT(IF(A2096=$A$2:$A$2427,IF(D2096=$D$2:$D$2427,IF(ISNUMBER($X$2:$X$2427),1)))),0),""),0)</f>
        <v/>
      </c>
      <c r="Z2096" s="104" t="str">
        <f>IF(ISNUMBER(O2096),IF(I2096&gt;0,(10^(VLOOKUP(D2096,'Species Codes'!B:C,2,0)+VLOOKUP(D2096,'Species Codes'!B:D,3,0)*LOG(E2096)+VLOOKUP(D2096,'Species Codes'!B:E,4,0)*LOG(I2096))),0),"")</f>
        <v/>
      </c>
      <c r="AA2096" s="104" t="str">
        <f>IFERROR((VLOOKUP(D2096,'Species Codes'!B:G,6,0)*Z2096)/2000,"")</f>
        <v/>
      </c>
      <c r="AB2096" s="104" t="e">
        <f>IF(Z2096&gt;0,((IF(OR(D2096="DF",D2096="RA")=TRUE,EXP(VLOOKUP(D2096,'Species Codes'!B:I,8,0)+VLOOKUP(D2096,'Species Codes'!B:J,9,0)*(LN((E2096*2.54)))),IF(OR(D2096="PY",D2096="RC",D2096="WH",D2096="NF")=TRUE,VLOOKUP(D2096,'Species Codes'!B:I,8,0)+VLOOKUP(D2096,'Species Codes'!B:J,9,0)*((E2096*2.54)^2)*(I2096*0.3048),IF(OR(D2096="MD",D2096="BM",D2096="GA")=TRUE,((VLOOKUP(D2096,'Species Codes'!B:I,8,0)*(((((E2096*2.54)+VLOOKUP(D2096,'Species Codes'!B:J,9,0))/VLOOKUP(D2096,'Species Codes'!B:K,10,0))^VLOOKUP(D2096,'Species Codes'!B:L,11,0))*((I2096*0.3048)^VLOOKUP(D2096,'Species Codes'!B:M,12,0))))-(VLOOKUP(D2096,'Species Codes'!B:I,8,0)*((((E2096*2.54)^VLOOKUP(D2096,'Species Codes'!B:L,11,0))*((I2096*0.3048)^VLOOKUP(D2096,'Species Codes'!B:M,12,0))))))*35.3*VLOOKUP(D2096,'Species Codes'!B:G,6,0)/2.2046,VLOOKUP(D2096,'Species Codes'!B:I,8,0)+VLOOKUP(D2096,'Species Codes'!B:J,9,0)*(((E2096*2.54)/100)^2)*(I2096*0.3048)))))*0.0011023),0)</f>
        <v>#N/A</v>
      </c>
      <c r="AC2096" s="104" t="e">
        <f>IF(Z2096&gt;0,((IF(OR(D2096="RA",D2096="OA",D2096="OT",D2096="UN",D2096="PC"),EXP(VLOOKUP(D2096,'Species Codes'!B:O,14,0)+VLOOKUP(D2096,'Species Codes'!B:P,15,0)*LN((E2096*2.54)))-EXP(VLOOKUP(D2096,'Species Codes'!B:O,14,0)+VLOOKUP(D2096,'Species Codes'!B:P,15,0)*LN((E2096*2.54)))*(1/(VLOOKUP(D2096,'Species Codes'!B:Q,16,0)+VLOOKUP(D2096,'Species Codes'!B:R,17,0)*((E2096*2.54)^VLOOKUP(D2096,'Species Codes'!B:S,18,0)))),IF(OR(D2096="BM",D2096="MD",D2096="OA"),EXP(VLOOKUP(D2096,'Species Codes'!B:O,14,0)+VLOOKUP(D2096,'Species Codes'!B:P,15,0)*LN((E2096*2.54)))*(1-(1/(VLOOKUP(D2096,'Species Codes'!B:Q,16,0)+VLOOKUP(D2096,'Species Codes'!B:R,17,0)*((E2096*2.54)^VLOOKUP(D2096,'Species Codes'!B:S,18,0)))))/1000,IF(D2096="DF",EXP(VLOOKUP(D2096,'Species Codes'!B:O,14,0)+VLOOKUP(D2096,'Species Codes'!B:P,15,0)*LN((E2096*2.54))),VLOOKUP(D2096,'Species Codes'!B:O,14,0)+VLOOKUP(D2096,'Species Codes'!B:P,15,0)*(((E2096*2.54)/100)^2)*(I2096*0.3048)))))*0.0011023),0)</f>
        <v>#N/A</v>
      </c>
      <c r="AD2096" s="104" t="e">
        <f t="shared" si="922"/>
        <v>#N/A</v>
      </c>
      <c r="AE2096" s="104" t="e">
        <f t="shared" si="923"/>
        <v>#N/A</v>
      </c>
      <c r="AF2096" s="104" t="e">
        <f>IF(AND(VLOOKUP($D2096,Merchantability!$B:$C,2,0)="Yes",$E2096&gt;=VLOOKUP($D2096,Merchantability!$B:$D,3,0),$E2096&lt;=VLOOKUP($D2096,Merchantability!$B:$E,4,0)),AA2096,0)</f>
        <v>#N/A</v>
      </c>
      <c r="AG2096" s="104" t="e">
        <f>IF(AND(VLOOKUP($D2096,Merchantability!$B:$C,2,0)="Yes",$E2096&gt;=VLOOKUP($D2096,Merchantability!$B:$D,3,0),$E2096&lt;=VLOOKUP($D2096,Merchantability!$B:$E,4,0)),AB2096,0)</f>
        <v>#N/A</v>
      </c>
      <c r="AH2096" s="104" t="e">
        <f>IF(AND(VLOOKUP($D2096,Merchantability!$B:$C,2,0)="Yes",$E2096&gt;=VLOOKUP($D2096,Merchantability!$B:$D,3,0),$E2096&lt;=VLOOKUP($D2096,Merchantability!$B:$E,4,0)),AC2096,0)</f>
        <v>#N/A</v>
      </c>
      <c r="AI2096" s="104" t="e">
        <f t="shared" si="924"/>
        <v>#N/A</v>
      </c>
      <c r="AJ2096" s="104" t="e">
        <f t="shared" si="925"/>
        <v>#VALUE!</v>
      </c>
      <c r="AK2096" s="104" t="e">
        <f t="shared" si="926"/>
        <v>#N/A</v>
      </c>
      <c r="AL2096" s="104" t="e">
        <f t="shared" si="927"/>
        <v>#N/A</v>
      </c>
      <c r="AM2096" s="104" t="e">
        <f t="shared" si="928"/>
        <v>#N/A</v>
      </c>
      <c r="AN2096" s="104" t="e">
        <f t="shared" si="912"/>
        <v>#N/A</v>
      </c>
      <c r="AO2096" s="104" t="e">
        <f t="shared" si="913"/>
        <v>#N/A</v>
      </c>
      <c r="AP2096" s="104" t="e">
        <f t="shared" si="914"/>
        <v>#N/A</v>
      </c>
      <c r="AQ2096" s="104" t="e">
        <f t="shared" si="915"/>
        <v>#N/A</v>
      </c>
      <c r="AR2096" s="105" t="str">
        <f t="shared" si="907"/>
        <v/>
      </c>
      <c r="AS2096" s="105" t="str">
        <f t="shared" si="908"/>
        <v/>
      </c>
      <c r="AT2096" s="108" t="str">
        <f t="shared" si="909"/>
        <v/>
      </c>
      <c r="AU2096" s="108" t="str">
        <f t="shared" si="910"/>
        <v/>
      </c>
      <c r="AV2096" s="107" t="str">
        <f>IF(ISNUMBER(O2096),IF(VLOOKUP($A2096,Stand!C:J,8,FALSE)="Short",AT2096,AU2096),"")</f>
        <v/>
      </c>
      <c r="AW2096" s="109" t="str">
        <f t="shared" si="916"/>
        <v/>
      </c>
      <c r="AX2096" s="109" t="str">
        <f t="shared" si="917"/>
        <v/>
      </c>
      <c r="AY2096" s="112" t="str">
        <f>IF(ISNUMBER(O2096),IF(AND(VLOOKUP($D2096,Merchantability!$B:$C,2,0)="Yes",$E2096&gt;=VLOOKUP($D2096,Merchantability!$B:$D,3,0),$E2096&lt;=VLOOKUP($D2096,Merchantability!$B:$E,4,0)),(AV2096*O2096)*(1-$H2096/100),""),"")</f>
        <v/>
      </c>
      <c r="AZ2096" s="116"/>
      <c r="BA2096" s="116"/>
      <c r="BB2096" s="116"/>
      <c r="BE2096" s="62"/>
      <c r="BF2096" s="63"/>
    </row>
    <row r="2097" spans="1:58" ht="12.75" customHeight="1" x14ac:dyDescent="0.25">
      <c r="A2097" s="334"/>
      <c r="B2097" s="334"/>
      <c r="C2097" s="332"/>
      <c r="D2097" s="334"/>
      <c r="E2097" s="335"/>
      <c r="F2097" s="334"/>
      <c r="G2097" s="332"/>
      <c r="H2097" s="332"/>
      <c r="I2097" s="334"/>
      <c r="J2097" s="336"/>
      <c r="K2097" s="332"/>
      <c r="L2097" s="332"/>
      <c r="M2097" s="76"/>
      <c r="N2097" s="103" t="str">
        <f>IF(A2097="","",VLOOKUP(A2097,Stand!C:K,9,0))</f>
        <v/>
      </c>
      <c r="O2097" s="104" t="str">
        <f t="shared" si="902"/>
        <v/>
      </c>
      <c r="P2097" s="105" t="str">
        <f t="shared" si="903"/>
        <v/>
      </c>
      <c r="Q2097" s="105" t="str">
        <f t="shared" si="918"/>
        <v/>
      </c>
      <c r="R2097" s="103" t="str">
        <f t="shared" si="904"/>
        <v/>
      </c>
      <c r="S2097" s="103" t="str">
        <f t="shared" si="905"/>
        <v/>
      </c>
      <c r="T2097" s="106" t="str">
        <f t="shared" si="919"/>
        <v/>
      </c>
      <c r="U2097" s="106" t="str">
        <f t="shared" si="920"/>
        <v/>
      </c>
      <c r="V2097" s="106" t="str">
        <f t="shared" si="921"/>
        <v/>
      </c>
      <c r="W2097" s="105" t="str">
        <f t="shared" si="906"/>
        <v/>
      </c>
      <c r="X2097" s="104" t="str">
        <f t="shared" si="911"/>
        <v/>
      </c>
      <c r="Y2097" s="104" t="str">
        <f t="array" ref="Y2097">IFERROR(IF(ISNUMBER(O2097),IF(COUNT(IF(A2097=$A$2:$A$2427,IF(D2097=$D$2:$D$2427,IF($X$2:$X$2427&gt;0,1))))&gt;0,SUM(IF(A2097=$A$2:$A$2427,IF(D2097=$D$2:$D$2427,$X$2:$X$2427)))/COUNT(IF(A2097=$A$2:$A$2427,IF(D2097=$D$2:$D$2427,IF(ISNUMBER($X$2:$X$2427),1)))),0),""),0)</f>
        <v/>
      </c>
      <c r="Z2097" s="104" t="str">
        <f>IF(ISNUMBER(O2097),IF(I2097&gt;0,(10^(VLOOKUP(D2097,'Species Codes'!B:C,2,0)+VLOOKUP(D2097,'Species Codes'!B:D,3,0)*LOG(E2097)+VLOOKUP(D2097,'Species Codes'!B:E,4,0)*LOG(I2097))),0),"")</f>
        <v/>
      </c>
      <c r="AA2097" s="104" t="str">
        <f>IFERROR((VLOOKUP(D2097,'Species Codes'!B:G,6,0)*Z2097)/2000,"")</f>
        <v/>
      </c>
      <c r="AB2097" s="104" t="e">
        <f>IF(Z2097&gt;0,((IF(OR(D2097="DF",D2097="RA")=TRUE,EXP(VLOOKUP(D2097,'Species Codes'!B:I,8,0)+VLOOKUP(D2097,'Species Codes'!B:J,9,0)*(LN((E2097*2.54)))),IF(OR(D2097="PY",D2097="RC",D2097="WH",D2097="NF")=TRUE,VLOOKUP(D2097,'Species Codes'!B:I,8,0)+VLOOKUP(D2097,'Species Codes'!B:J,9,0)*((E2097*2.54)^2)*(I2097*0.3048),IF(OR(D2097="MD",D2097="BM",D2097="GA")=TRUE,((VLOOKUP(D2097,'Species Codes'!B:I,8,0)*(((((E2097*2.54)+VLOOKUP(D2097,'Species Codes'!B:J,9,0))/VLOOKUP(D2097,'Species Codes'!B:K,10,0))^VLOOKUP(D2097,'Species Codes'!B:L,11,0))*((I2097*0.3048)^VLOOKUP(D2097,'Species Codes'!B:M,12,0))))-(VLOOKUP(D2097,'Species Codes'!B:I,8,0)*((((E2097*2.54)^VLOOKUP(D2097,'Species Codes'!B:L,11,0))*((I2097*0.3048)^VLOOKUP(D2097,'Species Codes'!B:M,12,0))))))*35.3*VLOOKUP(D2097,'Species Codes'!B:G,6,0)/2.2046,VLOOKUP(D2097,'Species Codes'!B:I,8,0)+VLOOKUP(D2097,'Species Codes'!B:J,9,0)*(((E2097*2.54)/100)^2)*(I2097*0.3048)))))*0.0011023),0)</f>
        <v>#N/A</v>
      </c>
      <c r="AC2097" s="104" t="e">
        <f>IF(Z2097&gt;0,((IF(OR(D2097="RA",D2097="OA",D2097="OT",D2097="UN",D2097="PC"),EXP(VLOOKUP(D2097,'Species Codes'!B:O,14,0)+VLOOKUP(D2097,'Species Codes'!B:P,15,0)*LN((E2097*2.54)))-EXP(VLOOKUP(D2097,'Species Codes'!B:O,14,0)+VLOOKUP(D2097,'Species Codes'!B:P,15,0)*LN((E2097*2.54)))*(1/(VLOOKUP(D2097,'Species Codes'!B:Q,16,0)+VLOOKUP(D2097,'Species Codes'!B:R,17,0)*((E2097*2.54)^VLOOKUP(D2097,'Species Codes'!B:S,18,0)))),IF(OR(D2097="BM",D2097="MD",D2097="OA"),EXP(VLOOKUP(D2097,'Species Codes'!B:O,14,0)+VLOOKUP(D2097,'Species Codes'!B:P,15,0)*LN((E2097*2.54)))*(1-(1/(VLOOKUP(D2097,'Species Codes'!B:Q,16,0)+VLOOKUP(D2097,'Species Codes'!B:R,17,0)*((E2097*2.54)^VLOOKUP(D2097,'Species Codes'!B:S,18,0)))))/1000,IF(D2097="DF",EXP(VLOOKUP(D2097,'Species Codes'!B:O,14,0)+VLOOKUP(D2097,'Species Codes'!B:P,15,0)*LN((E2097*2.54))),VLOOKUP(D2097,'Species Codes'!B:O,14,0)+VLOOKUP(D2097,'Species Codes'!B:P,15,0)*(((E2097*2.54)/100)^2)*(I2097*0.3048)))))*0.0011023),0)</f>
        <v>#N/A</v>
      </c>
      <c r="AD2097" s="104" t="e">
        <f t="shared" si="922"/>
        <v>#N/A</v>
      </c>
      <c r="AE2097" s="104" t="e">
        <f t="shared" si="923"/>
        <v>#N/A</v>
      </c>
      <c r="AF2097" s="104" t="e">
        <f>IF(AND(VLOOKUP($D2097,Merchantability!$B:$C,2,0)="Yes",$E2097&gt;=VLOOKUP($D2097,Merchantability!$B:$D,3,0),$E2097&lt;=VLOOKUP($D2097,Merchantability!$B:$E,4,0)),AA2097,0)</f>
        <v>#N/A</v>
      </c>
      <c r="AG2097" s="104" t="e">
        <f>IF(AND(VLOOKUP($D2097,Merchantability!$B:$C,2,0)="Yes",$E2097&gt;=VLOOKUP($D2097,Merchantability!$B:$D,3,0),$E2097&lt;=VLOOKUP($D2097,Merchantability!$B:$E,4,0)),AB2097,0)</f>
        <v>#N/A</v>
      </c>
      <c r="AH2097" s="104" t="e">
        <f>IF(AND(VLOOKUP($D2097,Merchantability!$B:$C,2,0)="Yes",$E2097&gt;=VLOOKUP($D2097,Merchantability!$B:$D,3,0),$E2097&lt;=VLOOKUP($D2097,Merchantability!$B:$E,4,0)),AC2097,0)</f>
        <v>#N/A</v>
      </c>
      <c r="AI2097" s="104" t="e">
        <f t="shared" si="924"/>
        <v>#N/A</v>
      </c>
      <c r="AJ2097" s="104" t="e">
        <f t="shared" si="925"/>
        <v>#VALUE!</v>
      </c>
      <c r="AK2097" s="104" t="e">
        <f t="shared" si="926"/>
        <v>#N/A</v>
      </c>
      <c r="AL2097" s="104" t="e">
        <f t="shared" si="927"/>
        <v>#N/A</v>
      </c>
      <c r="AM2097" s="104" t="e">
        <f t="shared" si="928"/>
        <v>#N/A</v>
      </c>
      <c r="AN2097" s="104" t="e">
        <f t="shared" si="912"/>
        <v>#N/A</v>
      </c>
      <c r="AO2097" s="104" t="e">
        <f t="shared" si="913"/>
        <v>#N/A</v>
      </c>
      <c r="AP2097" s="104" t="e">
        <f t="shared" si="914"/>
        <v>#N/A</v>
      </c>
      <c r="AQ2097" s="104" t="e">
        <f t="shared" si="915"/>
        <v>#N/A</v>
      </c>
      <c r="AR2097" s="105" t="str">
        <f t="shared" si="907"/>
        <v/>
      </c>
      <c r="AS2097" s="105" t="str">
        <f t="shared" si="908"/>
        <v/>
      </c>
      <c r="AT2097" s="108" t="str">
        <f t="shared" si="909"/>
        <v/>
      </c>
      <c r="AU2097" s="108" t="str">
        <f t="shared" si="910"/>
        <v/>
      </c>
      <c r="AV2097" s="107" t="str">
        <f>IF(ISNUMBER(O2097),IF(VLOOKUP($A2097,Stand!C:J,8,FALSE)="Short",AT2097,AU2097),"")</f>
        <v/>
      </c>
      <c r="AW2097" s="109" t="str">
        <f t="shared" si="916"/>
        <v/>
      </c>
      <c r="AX2097" s="109" t="str">
        <f t="shared" si="917"/>
        <v/>
      </c>
      <c r="AY2097" s="112" t="str">
        <f>IF(ISNUMBER(O2097),IF(AND(VLOOKUP($D2097,Merchantability!$B:$C,2,0)="Yes",$E2097&gt;=VLOOKUP($D2097,Merchantability!$B:$D,3,0),$E2097&lt;=VLOOKUP($D2097,Merchantability!$B:$E,4,0)),(AV2097*O2097)*(1-$H2097/100),""),"")</f>
        <v/>
      </c>
      <c r="AZ2097" s="116"/>
      <c r="BA2097" s="116"/>
      <c r="BB2097" s="116"/>
      <c r="BE2097" s="62"/>
      <c r="BF2097" s="63"/>
    </row>
    <row r="2098" spans="1:58" ht="12.75" customHeight="1" x14ac:dyDescent="0.25">
      <c r="A2098" s="334"/>
      <c r="B2098" s="334"/>
      <c r="C2098" s="332"/>
      <c r="D2098" s="334"/>
      <c r="E2098" s="335"/>
      <c r="F2098" s="334"/>
      <c r="G2098" s="332"/>
      <c r="H2098" s="332"/>
      <c r="I2098" s="334"/>
      <c r="J2098" s="336"/>
      <c r="K2098" s="332"/>
      <c r="L2098" s="332"/>
      <c r="M2098" s="76"/>
      <c r="N2098" s="103" t="str">
        <f>IF(A2098="","",VLOOKUP(A2098,Stand!C:K,9,0))</f>
        <v/>
      </c>
      <c r="O2098" s="104" t="str">
        <f t="shared" si="902"/>
        <v/>
      </c>
      <c r="P2098" s="105" t="str">
        <f t="shared" si="903"/>
        <v/>
      </c>
      <c r="Q2098" s="105" t="str">
        <f t="shared" si="918"/>
        <v/>
      </c>
      <c r="R2098" s="103" t="str">
        <f t="shared" si="904"/>
        <v/>
      </c>
      <c r="S2098" s="103" t="str">
        <f t="shared" si="905"/>
        <v/>
      </c>
      <c r="T2098" s="106" t="str">
        <f t="shared" si="919"/>
        <v/>
      </c>
      <c r="U2098" s="106" t="str">
        <f t="shared" si="920"/>
        <v/>
      </c>
      <c r="V2098" s="106" t="str">
        <f t="shared" si="921"/>
        <v/>
      </c>
      <c r="W2098" s="105" t="str">
        <f t="shared" si="906"/>
        <v/>
      </c>
      <c r="X2098" s="104" t="str">
        <f t="shared" si="911"/>
        <v/>
      </c>
      <c r="Y2098" s="104" t="str">
        <f t="array" ref="Y2098">IFERROR(IF(ISNUMBER(O2098),IF(COUNT(IF(A2098=$A$2:$A$2427,IF(D2098=$D$2:$D$2427,IF($X$2:$X$2427&gt;0,1))))&gt;0,SUM(IF(A2098=$A$2:$A$2427,IF(D2098=$D$2:$D$2427,$X$2:$X$2427)))/COUNT(IF(A2098=$A$2:$A$2427,IF(D2098=$D$2:$D$2427,IF(ISNUMBER($X$2:$X$2427),1)))),0),""),0)</f>
        <v/>
      </c>
      <c r="Z2098" s="104" t="str">
        <f>IF(ISNUMBER(O2098),IF(I2098&gt;0,(10^(VLOOKUP(D2098,'Species Codes'!B:C,2,0)+VLOOKUP(D2098,'Species Codes'!B:D,3,0)*LOG(E2098)+VLOOKUP(D2098,'Species Codes'!B:E,4,0)*LOG(I2098))),0),"")</f>
        <v/>
      </c>
      <c r="AA2098" s="104" t="str">
        <f>IFERROR((VLOOKUP(D2098,'Species Codes'!B:G,6,0)*Z2098)/2000,"")</f>
        <v/>
      </c>
      <c r="AB2098" s="104" t="e">
        <f>IF(Z2098&gt;0,((IF(OR(D2098="DF",D2098="RA")=TRUE,EXP(VLOOKUP(D2098,'Species Codes'!B:I,8,0)+VLOOKUP(D2098,'Species Codes'!B:J,9,0)*(LN((E2098*2.54)))),IF(OR(D2098="PY",D2098="RC",D2098="WH",D2098="NF")=TRUE,VLOOKUP(D2098,'Species Codes'!B:I,8,0)+VLOOKUP(D2098,'Species Codes'!B:J,9,0)*((E2098*2.54)^2)*(I2098*0.3048),IF(OR(D2098="MD",D2098="BM",D2098="GA")=TRUE,((VLOOKUP(D2098,'Species Codes'!B:I,8,0)*(((((E2098*2.54)+VLOOKUP(D2098,'Species Codes'!B:J,9,0))/VLOOKUP(D2098,'Species Codes'!B:K,10,0))^VLOOKUP(D2098,'Species Codes'!B:L,11,0))*((I2098*0.3048)^VLOOKUP(D2098,'Species Codes'!B:M,12,0))))-(VLOOKUP(D2098,'Species Codes'!B:I,8,0)*((((E2098*2.54)^VLOOKUP(D2098,'Species Codes'!B:L,11,0))*((I2098*0.3048)^VLOOKUP(D2098,'Species Codes'!B:M,12,0))))))*35.3*VLOOKUP(D2098,'Species Codes'!B:G,6,0)/2.2046,VLOOKUP(D2098,'Species Codes'!B:I,8,0)+VLOOKUP(D2098,'Species Codes'!B:J,9,0)*(((E2098*2.54)/100)^2)*(I2098*0.3048)))))*0.0011023),0)</f>
        <v>#N/A</v>
      </c>
      <c r="AC2098" s="104" t="e">
        <f>IF(Z2098&gt;0,((IF(OR(D2098="RA",D2098="OA",D2098="OT",D2098="UN",D2098="PC"),EXP(VLOOKUP(D2098,'Species Codes'!B:O,14,0)+VLOOKUP(D2098,'Species Codes'!B:P,15,0)*LN((E2098*2.54)))-EXP(VLOOKUP(D2098,'Species Codes'!B:O,14,0)+VLOOKUP(D2098,'Species Codes'!B:P,15,0)*LN((E2098*2.54)))*(1/(VLOOKUP(D2098,'Species Codes'!B:Q,16,0)+VLOOKUP(D2098,'Species Codes'!B:R,17,0)*((E2098*2.54)^VLOOKUP(D2098,'Species Codes'!B:S,18,0)))),IF(OR(D2098="BM",D2098="MD",D2098="OA"),EXP(VLOOKUP(D2098,'Species Codes'!B:O,14,0)+VLOOKUP(D2098,'Species Codes'!B:P,15,0)*LN((E2098*2.54)))*(1-(1/(VLOOKUP(D2098,'Species Codes'!B:Q,16,0)+VLOOKUP(D2098,'Species Codes'!B:R,17,0)*((E2098*2.54)^VLOOKUP(D2098,'Species Codes'!B:S,18,0)))))/1000,IF(D2098="DF",EXP(VLOOKUP(D2098,'Species Codes'!B:O,14,0)+VLOOKUP(D2098,'Species Codes'!B:P,15,0)*LN((E2098*2.54))),VLOOKUP(D2098,'Species Codes'!B:O,14,0)+VLOOKUP(D2098,'Species Codes'!B:P,15,0)*(((E2098*2.54)/100)^2)*(I2098*0.3048)))))*0.0011023),0)</f>
        <v>#N/A</v>
      </c>
      <c r="AD2098" s="104" t="e">
        <f t="shared" si="922"/>
        <v>#N/A</v>
      </c>
      <c r="AE2098" s="104" t="e">
        <f t="shared" si="923"/>
        <v>#N/A</v>
      </c>
      <c r="AF2098" s="104" t="e">
        <f>IF(AND(VLOOKUP($D2098,Merchantability!$B:$C,2,0)="Yes",$E2098&gt;=VLOOKUP($D2098,Merchantability!$B:$D,3,0),$E2098&lt;=VLOOKUP($D2098,Merchantability!$B:$E,4,0)),AA2098,0)</f>
        <v>#N/A</v>
      </c>
      <c r="AG2098" s="104" t="e">
        <f>IF(AND(VLOOKUP($D2098,Merchantability!$B:$C,2,0)="Yes",$E2098&gt;=VLOOKUP($D2098,Merchantability!$B:$D,3,0),$E2098&lt;=VLOOKUP($D2098,Merchantability!$B:$E,4,0)),AB2098,0)</f>
        <v>#N/A</v>
      </c>
      <c r="AH2098" s="104" t="e">
        <f>IF(AND(VLOOKUP($D2098,Merchantability!$B:$C,2,0)="Yes",$E2098&gt;=VLOOKUP($D2098,Merchantability!$B:$D,3,0),$E2098&lt;=VLOOKUP($D2098,Merchantability!$B:$E,4,0)),AC2098,0)</f>
        <v>#N/A</v>
      </c>
      <c r="AI2098" s="104" t="e">
        <f t="shared" si="924"/>
        <v>#N/A</v>
      </c>
      <c r="AJ2098" s="104" t="e">
        <f t="shared" si="925"/>
        <v>#VALUE!</v>
      </c>
      <c r="AK2098" s="104" t="e">
        <f t="shared" si="926"/>
        <v>#N/A</v>
      </c>
      <c r="AL2098" s="104" t="e">
        <f t="shared" si="927"/>
        <v>#N/A</v>
      </c>
      <c r="AM2098" s="104" t="e">
        <f t="shared" si="928"/>
        <v>#N/A</v>
      </c>
      <c r="AN2098" s="104" t="e">
        <f t="shared" si="912"/>
        <v>#N/A</v>
      </c>
      <c r="AO2098" s="104" t="e">
        <f t="shared" si="913"/>
        <v>#N/A</v>
      </c>
      <c r="AP2098" s="104" t="e">
        <f t="shared" si="914"/>
        <v>#N/A</v>
      </c>
      <c r="AQ2098" s="104" t="e">
        <f t="shared" si="915"/>
        <v>#N/A</v>
      </c>
      <c r="AR2098" s="105" t="str">
        <f t="shared" si="907"/>
        <v/>
      </c>
      <c r="AS2098" s="105" t="str">
        <f t="shared" si="908"/>
        <v/>
      </c>
      <c r="AT2098" s="108" t="str">
        <f t="shared" si="909"/>
        <v/>
      </c>
      <c r="AU2098" s="108" t="str">
        <f t="shared" si="910"/>
        <v/>
      </c>
      <c r="AV2098" s="107" t="str">
        <f>IF(ISNUMBER(O2098),IF(VLOOKUP($A2098,Stand!C:J,8,FALSE)="Short",AT2098,AU2098),"")</f>
        <v/>
      </c>
      <c r="AW2098" s="109" t="str">
        <f t="shared" si="916"/>
        <v/>
      </c>
      <c r="AX2098" s="109" t="str">
        <f t="shared" si="917"/>
        <v/>
      </c>
      <c r="AY2098" s="112" t="str">
        <f>IF(ISNUMBER(O2098),IF(AND(VLOOKUP($D2098,Merchantability!$B:$C,2,0)="Yes",$E2098&gt;=VLOOKUP($D2098,Merchantability!$B:$D,3,0),$E2098&lt;=VLOOKUP($D2098,Merchantability!$B:$E,4,0)),(AV2098*O2098)*(1-$H2098/100),""),"")</f>
        <v/>
      </c>
      <c r="AZ2098" s="116"/>
      <c r="BA2098" s="116"/>
      <c r="BB2098" s="116"/>
      <c r="BE2098" s="62"/>
      <c r="BF2098" s="63"/>
    </row>
    <row r="2099" spans="1:58" ht="12.75" customHeight="1" x14ac:dyDescent="0.25">
      <c r="A2099" s="334"/>
      <c r="B2099" s="334"/>
      <c r="C2099" s="332"/>
      <c r="D2099" s="334"/>
      <c r="E2099" s="335"/>
      <c r="F2099" s="334"/>
      <c r="G2099" s="332"/>
      <c r="H2099" s="332"/>
      <c r="I2099" s="334"/>
      <c r="J2099" s="336"/>
      <c r="K2099" s="332"/>
      <c r="L2099" s="332"/>
      <c r="M2099" s="76"/>
      <c r="N2099" s="103" t="str">
        <f>IF(A2099="","",VLOOKUP(A2099,Stand!C:K,9,0))</f>
        <v/>
      </c>
      <c r="O2099" s="104" t="str">
        <f t="shared" si="902"/>
        <v/>
      </c>
      <c r="P2099" s="105" t="str">
        <f t="shared" si="903"/>
        <v/>
      </c>
      <c r="Q2099" s="105" t="str">
        <f t="shared" si="918"/>
        <v/>
      </c>
      <c r="R2099" s="103" t="str">
        <f t="shared" si="904"/>
        <v/>
      </c>
      <c r="S2099" s="103" t="str">
        <f t="shared" si="905"/>
        <v/>
      </c>
      <c r="T2099" s="106" t="str">
        <f t="shared" si="919"/>
        <v/>
      </c>
      <c r="U2099" s="106" t="str">
        <f t="shared" si="920"/>
        <v/>
      </c>
      <c r="V2099" s="106" t="str">
        <f t="shared" si="921"/>
        <v/>
      </c>
      <c r="W2099" s="105" t="str">
        <f t="shared" si="906"/>
        <v/>
      </c>
      <c r="X2099" s="104" t="str">
        <f t="shared" si="911"/>
        <v/>
      </c>
      <c r="Y2099" s="104" t="str">
        <f t="array" ref="Y2099">IFERROR(IF(ISNUMBER(O2099),IF(COUNT(IF(A2099=$A$2:$A$2427,IF(D2099=$D$2:$D$2427,IF($X$2:$X$2427&gt;0,1))))&gt;0,SUM(IF(A2099=$A$2:$A$2427,IF(D2099=$D$2:$D$2427,$X$2:$X$2427)))/COUNT(IF(A2099=$A$2:$A$2427,IF(D2099=$D$2:$D$2427,IF(ISNUMBER($X$2:$X$2427),1)))),0),""),0)</f>
        <v/>
      </c>
      <c r="Z2099" s="104" t="str">
        <f>IF(ISNUMBER(O2099),IF(I2099&gt;0,(10^(VLOOKUP(D2099,'Species Codes'!B:C,2,0)+VLOOKUP(D2099,'Species Codes'!B:D,3,0)*LOG(E2099)+VLOOKUP(D2099,'Species Codes'!B:E,4,0)*LOG(I2099))),0),"")</f>
        <v/>
      </c>
      <c r="AA2099" s="104" t="str">
        <f>IFERROR((VLOOKUP(D2099,'Species Codes'!B:G,6,0)*Z2099)/2000,"")</f>
        <v/>
      </c>
      <c r="AB2099" s="104" t="e">
        <f>IF(Z2099&gt;0,((IF(OR(D2099="DF",D2099="RA")=TRUE,EXP(VLOOKUP(D2099,'Species Codes'!B:I,8,0)+VLOOKUP(D2099,'Species Codes'!B:J,9,0)*(LN((E2099*2.54)))),IF(OR(D2099="PY",D2099="RC",D2099="WH",D2099="NF")=TRUE,VLOOKUP(D2099,'Species Codes'!B:I,8,0)+VLOOKUP(D2099,'Species Codes'!B:J,9,0)*((E2099*2.54)^2)*(I2099*0.3048),IF(OR(D2099="MD",D2099="BM",D2099="GA")=TRUE,((VLOOKUP(D2099,'Species Codes'!B:I,8,0)*(((((E2099*2.54)+VLOOKUP(D2099,'Species Codes'!B:J,9,0))/VLOOKUP(D2099,'Species Codes'!B:K,10,0))^VLOOKUP(D2099,'Species Codes'!B:L,11,0))*((I2099*0.3048)^VLOOKUP(D2099,'Species Codes'!B:M,12,0))))-(VLOOKUP(D2099,'Species Codes'!B:I,8,0)*((((E2099*2.54)^VLOOKUP(D2099,'Species Codes'!B:L,11,0))*((I2099*0.3048)^VLOOKUP(D2099,'Species Codes'!B:M,12,0))))))*35.3*VLOOKUP(D2099,'Species Codes'!B:G,6,0)/2.2046,VLOOKUP(D2099,'Species Codes'!B:I,8,0)+VLOOKUP(D2099,'Species Codes'!B:J,9,0)*(((E2099*2.54)/100)^2)*(I2099*0.3048)))))*0.0011023),0)</f>
        <v>#N/A</v>
      </c>
      <c r="AC2099" s="104" t="e">
        <f>IF(Z2099&gt;0,((IF(OR(D2099="RA",D2099="OA",D2099="OT",D2099="UN",D2099="PC"),EXP(VLOOKUP(D2099,'Species Codes'!B:O,14,0)+VLOOKUP(D2099,'Species Codes'!B:P,15,0)*LN((E2099*2.54)))-EXP(VLOOKUP(D2099,'Species Codes'!B:O,14,0)+VLOOKUP(D2099,'Species Codes'!B:P,15,0)*LN((E2099*2.54)))*(1/(VLOOKUP(D2099,'Species Codes'!B:Q,16,0)+VLOOKUP(D2099,'Species Codes'!B:R,17,0)*((E2099*2.54)^VLOOKUP(D2099,'Species Codes'!B:S,18,0)))),IF(OR(D2099="BM",D2099="MD",D2099="OA"),EXP(VLOOKUP(D2099,'Species Codes'!B:O,14,0)+VLOOKUP(D2099,'Species Codes'!B:P,15,0)*LN((E2099*2.54)))*(1-(1/(VLOOKUP(D2099,'Species Codes'!B:Q,16,0)+VLOOKUP(D2099,'Species Codes'!B:R,17,0)*((E2099*2.54)^VLOOKUP(D2099,'Species Codes'!B:S,18,0)))))/1000,IF(D2099="DF",EXP(VLOOKUP(D2099,'Species Codes'!B:O,14,0)+VLOOKUP(D2099,'Species Codes'!B:P,15,0)*LN((E2099*2.54))),VLOOKUP(D2099,'Species Codes'!B:O,14,0)+VLOOKUP(D2099,'Species Codes'!B:P,15,0)*(((E2099*2.54)/100)^2)*(I2099*0.3048)))))*0.0011023),0)</f>
        <v>#N/A</v>
      </c>
      <c r="AD2099" s="104" t="e">
        <f t="shared" si="922"/>
        <v>#N/A</v>
      </c>
      <c r="AE2099" s="104" t="e">
        <f t="shared" si="923"/>
        <v>#N/A</v>
      </c>
      <c r="AF2099" s="104" t="e">
        <f>IF(AND(VLOOKUP($D2099,Merchantability!$B:$C,2,0)="Yes",$E2099&gt;=VLOOKUP($D2099,Merchantability!$B:$D,3,0),$E2099&lt;=VLOOKUP($D2099,Merchantability!$B:$E,4,0)),AA2099,0)</f>
        <v>#N/A</v>
      </c>
      <c r="AG2099" s="104" t="e">
        <f>IF(AND(VLOOKUP($D2099,Merchantability!$B:$C,2,0)="Yes",$E2099&gt;=VLOOKUP($D2099,Merchantability!$B:$D,3,0),$E2099&lt;=VLOOKUP($D2099,Merchantability!$B:$E,4,0)),AB2099,0)</f>
        <v>#N/A</v>
      </c>
      <c r="AH2099" s="104" t="e">
        <f>IF(AND(VLOOKUP($D2099,Merchantability!$B:$C,2,0)="Yes",$E2099&gt;=VLOOKUP($D2099,Merchantability!$B:$D,3,0),$E2099&lt;=VLOOKUP($D2099,Merchantability!$B:$E,4,0)),AC2099,0)</f>
        <v>#N/A</v>
      </c>
      <c r="AI2099" s="104" t="e">
        <f t="shared" si="924"/>
        <v>#N/A</v>
      </c>
      <c r="AJ2099" s="104" t="e">
        <f t="shared" si="925"/>
        <v>#VALUE!</v>
      </c>
      <c r="AK2099" s="104" t="e">
        <f t="shared" si="926"/>
        <v>#N/A</v>
      </c>
      <c r="AL2099" s="104" t="e">
        <f t="shared" si="927"/>
        <v>#N/A</v>
      </c>
      <c r="AM2099" s="104" t="e">
        <f t="shared" si="928"/>
        <v>#N/A</v>
      </c>
      <c r="AN2099" s="104" t="e">
        <f t="shared" si="912"/>
        <v>#N/A</v>
      </c>
      <c r="AO2099" s="104" t="e">
        <f t="shared" si="913"/>
        <v>#N/A</v>
      </c>
      <c r="AP2099" s="104" t="e">
        <f t="shared" si="914"/>
        <v>#N/A</v>
      </c>
      <c r="AQ2099" s="104" t="e">
        <f t="shared" si="915"/>
        <v>#N/A</v>
      </c>
      <c r="AR2099" s="105" t="str">
        <f t="shared" si="907"/>
        <v/>
      </c>
      <c r="AS2099" s="105" t="str">
        <f t="shared" si="908"/>
        <v/>
      </c>
      <c r="AT2099" s="108" t="str">
        <f t="shared" si="909"/>
        <v/>
      </c>
      <c r="AU2099" s="108" t="str">
        <f t="shared" si="910"/>
        <v/>
      </c>
      <c r="AV2099" s="107" t="str">
        <f>IF(ISNUMBER(O2099),IF(VLOOKUP($A2099,Stand!C:J,8,FALSE)="Short",AT2099,AU2099),"")</f>
        <v/>
      </c>
      <c r="AW2099" s="109" t="str">
        <f t="shared" si="916"/>
        <v/>
      </c>
      <c r="AX2099" s="109" t="str">
        <f t="shared" si="917"/>
        <v/>
      </c>
      <c r="AY2099" s="112" t="str">
        <f>IF(ISNUMBER(O2099),IF(AND(VLOOKUP($D2099,Merchantability!$B:$C,2,0)="Yes",$E2099&gt;=VLOOKUP($D2099,Merchantability!$B:$D,3,0),$E2099&lt;=VLOOKUP($D2099,Merchantability!$B:$E,4,0)),(AV2099*O2099)*(1-$H2099/100),""),"")</f>
        <v/>
      </c>
      <c r="AZ2099" s="116"/>
      <c r="BA2099" s="116"/>
      <c r="BB2099" s="116"/>
      <c r="BE2099" s="62"/>
      <c r="BF2099" s="63"/>
    </row>
    <row r="2100" spans="1:58" ht="12.75" customHeight="1" x14ac:dyDescent="0.25">
      <c r="A2100" s="334"/>
      <c r="B2100" s="334"/>
      <c r="C2100" s="332"/>
      <c r="D2100" s="334"/>
      <c r="E2100" s="335"/>
      <c r="F2100" s="334"/>
      <c r="G2100" s="332"/>
      <c r="H2100" s="332"/>
      <c r="I2100" s="334"/>
      <c r="J2100" s="336"/>
      <c r="K2100" s="332"/>
      <c r="L2100" s="332"/>
      <c r="M2100" s="76"/>
      <c r="N2100" s="103" t="str">
        <f>IF(A2100="","",VLOOKUP(A2100,Stand!C:K,9,0))</f>
        <v/>
      </c>
      <c r="O2100" s="104" t="str">
        <f t="shared" si="902"/>
        <v/>
      </c>
      <c r="P2100" s="105" t="str">
        <f t="shared" si="903"/>
        <v/>
      </c>
      <c r="Q2100" s="105" t="str">
        <f t="shared" si="918"/>
        <v/>
      </c>
      <c r="R2100" s="103" t="str">
        <f t="shared" si="904"/>
        <v/>
      </c>
      <c r="S2100" s="103" t="str">
        <f t="shared" si="905"/>
        <v/>
      </c>
      <c r="T2100" s="106" t="str">
        <f t="shared" si="919"/>
        <v/>
      </c>
      <c r="U2100" s="106" t="str">
        <f t="shared" si="920"/>
        <v/>
      </c>
      <c r="V2100" s="106" t="str">
        <f t="shared" si="921"/>
        <v/>
      </c>
      <c r="W2100" s="105" t="str">
        <f t="shared" si="906"/>
        <v/>
      </c>
      <c r="X2100" s="104" t="str">
        <f t="shared" si="911"/>
        <v/>
      </c>
      <c r="Y2100" s="104" t="str">
        <f t="array" ref="Y2100">IFERROR(IF(ISNUMBER(O2100),IF(COUNT(IF(A2100=$A$2:$A$2427,IF(D2100=$D$2:$D$2427,IF($X$2:$X$2427&gt;0,1))))&gt;0,SUM(IF(A2100=$A$2:$A$2427,IF(D2100=$D$2:$D$2427,$X$2:$X$2427)))/COUNT(IF(A2100=$A$2:$A$2427,IF(D2100=$D$2:$D$2427,IF(ISNUMBER($X$2:$X$2427),1)))),0),""),0)</f>
        <v/>
      </c>
      <c r="Z2100" s="104" t="str">
        <f>IF(ISNUMBER(O2100),IF(I2100&gt;0,(10^(VLOOKUP(D2100,'Species Codes'!B:C,2,0)+VLOOKUP(D2100,'Species Codes'!B:D,3,0)*LOG(E2100)+VLOOKUP(D2100,'Species Codes'!B:E,4,0)*LOG(I2100))),0),"")</f>
        <v/>
      </c>
      <c r="AA2100" s="104" t="str">
        <f>IFERROR((VLOOKUP(D2100,'Species Codes'!B:G,6,0)*Z2100)/2000,"")</f>
        <v/>
      </c>
      <c r="AB2100" s="104" t="e">
        <f>IF(Z2100&gt;0,((IF(OR(D2100="DF",D2100="RA")=TRUE,EXP(VLOOKUP(D2100,'Species Codes'!B:I,8,0)+VLOOKUP(D2100,'Species Codes'!B:J,9,0)*(LN((E2100*2.54)))),IF(OR(D2100="PY",D2100="RC",D2100="WH",D2100="NF")=TRUE,VLOOKUP(D2100,'Species Codes'!B:I,8,0)+VLOOKUP(D2100,'Species Codes'!B:J,9,0)*((E2100*2.54)^2)*(I2100*0.3048),IF(OR(D2100="MD",D2100="BM",D2100="GA")=TRUE,((VLOOKUP(D2100,'Species Codes'!B:I,8,0)*(((((E2100*2.54)+VLOOKUP(D2100,'Species Codes'!B:J,9,0))/VLOOKUP(D2100,'Species Codes'!B:K,10,0))^VLOOKUP(D2100,'Species Codes'!B:L,11,0))*((I2100*0.3048)^VLOOKUP(D2100,'Species Codes'!B:M,12,0))))-(VLOOKUP(D2100,'Species Codes'!B:I,8,0)*((((E2100*2.54)^VLOOKUP(D2100,'Species Codes'!B:L,11,0))*((I2100*0.3048)^VLOOKUP(D2100,'Species Codes'!B:M,12,0))))))*35.3*VLOOKUP(D2100,'Species Codes'!B:G,6,0)/2.2046,VLOOKUP(D2100,'Species Codes'!B:I,8,0)+VLOOKUP(D2100,'Species Codes'!B:J,9,0)*(((E2100*2.54)/100)^2)*(I2100*0.3048)))))*0.0011023),0)</f>
        <v>#N/A</v>
      </c>
      <c r="AC2100" s="104" t="e">
        <f>IF(Z2100&gt;0,((IF(OR(D2100="RA",D2100="OA",D2100="OT",D2100="UN",D2100="PC"),EXP(VLOOKUP(D2100,'Species Codes'!B:O,14,0)+VLOOKUP(D2100,'Species Codes'!B:P,15,0)*LN((E2100*2.54)))-EXP(VLOOKUP(D2100,'Species Codes'!B:O,14,0)+VLOOKUP(D2100,'Species Codes'!B:P,15,0)*LN((E2100*2.54)))*(1/(VLOOKUP(D2100,'Species Codes'!B:Q,16,0)+VLOOKUP(D2100,'Species Codes'!B:R,17,0)*((E2100*2.54)^VLOOKUP(D2100,'Species Codes'!B:S,18,0)))),IF(OR(D2100="BM",D2100="MD",D2100="OA"),EXP(VLOOKUP(D2100,'Species Codes'!B:O,14,0)+VLOOKUP(D2100,'Species Codes'!B:P,15,0)*LN((E2100*2.54)))*(1-(1/(VLOOKUP(D2100,'Species Codes'!B:Q,16,0)+VLOOKUP(D2100,'Species Codes'!B:R,17,0)*((E2100*2.54)^VLOOKUP(D2100,'Species Codes'!B:S,18,0)))))/1000,IF(D2100="DF",EXP(VLOOKUP(D2100,'Species Codes'!B:O,14,0)+VLOOKUP(D2100,'Species Codes'!B:P,15,0)*LN((E2100*2.54))),VLOOKUP(D2100,'Species Codes'!B:O,14,0)+VLOOKUP(D2100,'Species Codes'!B:P,15,0)*(((E2100*2.54)/100)^2)*(I2100*0.3048)))))*0.0011023),0)</f>
        <v>#N/A</v>
      </c>
      <c r="AD2100" s="104" t="e">
        <f t="shared" si="922"/>
        <v>#N/A</v>
      </c>
      <c r="AE2100" s="104" t="e">
        <f t="shared" si="923"/>
        <v>#N/A</v>
      </c>
      <c r="AF2100" s="104" t="e">
        <f>IF(AND(VLOOKUP($D2100,Merchantability!$B:$C,2,0)="Yes",$E2100&gt;=VLOOKUP($D2100,Merchantability!$B:$D,3,0),$E2100&lt;=VLOOKUP($D2100,Merchantability!$B:$E,4,0)),AA2100,0)</f>
        <v>#N/A</v>
      </c>
      <c r="AG2100" s="104" t="e">
        <f>IF(AND(VLOOKUP($D2100,Merchantability!$B:$C,2,0)="Yes",$E2100&gt;=VLOOKUP($D2100,Merchantability!$B:$D,3,0),$E2100&lt;=VLOOKUP($D2100,Merchantability!$B:$E,4,0)),AB2100,0)</f>
        <v>#N/A</v>
      </c>
      <c r="AH2100" s="104" t="e">
        <f>IF(AND(VLOOKUP($D2100,Merchantability!$B:$C,2,0)="Yes",$E2100&gt;=VLOOKUP($D2100,Merchantability!$B:$D,3,0),$E2100&lt;=VLOOKUP($D2100,Merchantability!$B:$E,4,0)),AC2100,0)</f>
        <v>#N/A</v>
      </c>
      <c r="AI2100" s="104" t="e">
        <f t="shared" si="924"/>
        <v>#N/A</v>
      </c>
      <c r="AJ2100" s="104" t="e">
        <f t="shared" si="925"/>
        <v>#VALUE!</v>
      </c>
      <c r="AK2100" s="104" t="e">
        <f t="shared" si="926"/>
        <v>#N/A</v>
      </c>
      <c r="AL2100" s="104" t="e">
        <f t="shared" si="927"/>
        <v>#N/A</v>
      </c>
      <c r="AM2100" s="104" t="e">
        <f t="shared" si="928"/>
        <v>#N/A</v>
      </c>
      <c r="AN2100" s="104" t="e">
        <f t="shared" si="912"/>
        <v>#N/A</v>
      </c>
      <c r="AO2100" s="104" t="e">
        <f t="shared" si="913"/>
        <v>#N/A</v>
      </c>
      <c r="AP2100" s="104" t="e">
        <f t="shared" si="914"/>
        <v>#N/A</v>
      </c>
      <c r="AQ2100" s="104" t="e">
        <f t="shared" si="915"/>
        <v>#N/A</v>
      </c>
      <c r="AR2100" s="105" t="str">
        <f t="shared" si="907"/>
        <v/>
      </c>
      <c r="AS2100" s="105" t="str">
        <f t="shared" si="908"/>
        <v/>
      </c>
      <c r="AT2100" s="108" t="str">
        <f t="shared" si="909"/>
        <v/>
      </c>
      <c r="AU2100" s="108" t="str">
        <f t="shared" si="910"/>
        <v/>
      </c>
      <c r="AV2100" s="107" t="str">
        <f>IF(ISNUMBER(O2100),IF(VLOOKUP($A2100,Stand!C:J,8,FALSE)="Short",AT2100,AU2100),"")</f>
        <v/>
      </c>
      <c r="AW2100" s="109" t="str">
        <f t="shared" si="916"/>
        <v/>
      </c>
      <c r="AX2100" s="109" t="str">
        <f t="shared" si="917"/>
        <v/>
      </c>
      <c r="AY2100" s="112" t="str">
        <f>IF(ISNUMBER(O2100),IF(AND(VLOOKUP($D2100,Merchantability!$B:$C,2,0)="Yes",$E2100&gt;=VLOOKUP($D2100,Merchantability!$B:$D,3,0),$E2100&lt;=VLOOKUP($D2100,Merchantability!$B:$E,4,0)),(AV2100*O2100)*(1-$H2100/100),""),"")</f>
        <v/>
      </c>
      <c r="AZ2100" s="116"/>
      <c r="BA2100" s="116"/>
      <c r="BB2100" s="116"/>
      <c r="BE2100" s="62"/>
      <c r="BF2100" s="63"/>
    </row>
    <row r="2101" spans="1:58" ht="12.75" customHeight="1" x14ac:dyDescent="0.25">
      <c r="A2101" s="334"/>
      <c r="B2101" s="334"/>
      <c r="C2101" s="332"/>
      <c r="D2101" s="334"/>
      <c r="E2101" s="335"/>
      <c r="F2101" s="334"/>
      <c r="G2101" s="332"/>
      <c r="H2101" s="332"/>
      <c r="I2101" s="334"/>
      <c r="J2101" s="336"/>
      <c r="K2101" s="332"/>
      <c r="L2101" s="332"/>
      <c r="M2101" s="76"/>
      <c r="N2101" s="103" t="str">
        <f>IF(A2101="","",VLOOKUP(A2101,Stand!C:K,9,0))</f>
        <v/>
      </c>
      <c r="O2101" s="104" t="str">
        <f t="shared" si="902"/>
        <v/>
      </c>
      <c r="P2101" s="105" t="str">
        <f t="shared" si="903"/>
        <v/>
      </c>
      <c r="Q2101" s="105" t="str">
        <f t="shared" si="918"/>
        <v/>
      </c>
      <c r="R2101" s="103" t="str">
        <f t="shared" si="904"/>
        <v/>
      </c>
      <c r="S2101" s="103" t="str">
        <f t="shared" si="905"/>
        <v/>
      </c>
      <c r="T2101" s="106" t="str">
        <f t="shared" si="919"/>
        <v/>
      </c>
      <c r="U2101" s="106" t="str">
        <f t="shared" si="920"/>
        <v/>
      </c>
      <c r="V2101" s="106" t="str">
        <f t="shared" si="921"/>
        <v/>
      </c>
      <c r="W2101" s="105" t="str">
        <f t="shared" si="906"/>
        <v/>
      </c>
      <c r="X2101" s="104" t="str">
        <f t="shared" si="911"/>
        <v/>
      </c>
      <c r="Y2101" s="104" t="str">
        <f t="array" ref="Y2101">IFERROR(IF(ISNUMBER(O2101),IF(COUNT(IF(A2101=$A$2:$A$2427,IF(D2101=$D$2:$D$2427,IF($X$2:$X$2427&gt;0,1))))&gt;0,SUM(IF(A2101=$A$2:$A$2427,IF(D2101=$D$2:$D$2427,$X$2:$X$2427)))/COUNT(IF(A2101=$A$2:$A$2427,IF(D2101=$D$2:$D$2427,IF(ISNUMBER($X$2:$X$2427),1)))),0),""),0)</f>
        <v/>
      </c>
      <c r="Z2101" s="104" t="str">
        <f>IF(ISNUMBER(O2101),IF(I2101&gt;0,(10^(VLOOKUP(D2101,'Species Codes'!B:C,2,0)+VLOOKUP(D2101,'Species Codes'!B:D,3,0)*LOG(E2101)+VLOOKUP(D2101,'Species Codes'!B:E,4,0)*LOG(I2101))),0),"")</f>
        <v/>
      </c>
      <c r="AA2101" s="104" t="str">
        <f>IFERROR((VLOOKUP(D2101,'Species Codes'!B:G,6,0)*Z2101)/2000,"")</f>
        <v/>
      </c>
      <c r="AB2101" s="104" t="e">
        <f>IF(Z2101&gt;0,((IF(OR(D2101="DF",D2101="RA")=TRUE,EXP(VLOOKUP(D2101,'Species Codes'!B:I,8,0)+VLOOKUP(D2101,'Species Codes'!B:J,9,0)*(LN((E2101*2.54)))),IF(OR(D2101="PY",D2101="RC",D2101="WH",D2101="NF")=TRUE,VLOOKUP(D2101,'Species Codes'!B:I,8,0)+VLOOKUP(D2101,'Species Codes'!B:J,9,0)*((E2101*2.54)^2)*(I2101*0.3048),IF(OR(D2101="MD",D2101="BM",D2101="GA")=TRUE,((VLOOKUP(D2101,'Species Codes'!B:I,8,0)*(((((E2101*2.54)+VLOOKUP(D2101,'Species Codes'!B:J,9,0))/VLOOKUP(D2101,'Species Codes'!B:K,10,0))^VLOOKUP(D2101,'Species Codes'!B:L,11,0))*((I2101*0.3048)^VLOOKUP(D2101,'Species Codes'!B:M,12,0))))-(VLOOKUP(D2101,'Species Codes'!B:I,8,0)*((((E2101*2.54)^VLOOKUP(D2101,'Species Codes'!B:L,11,0))*((I2101*0.3048)^VLOOKUP(D2101,'Species Codes'!B:M,12,0))))))*35.3*VLOOKUP(D2101,'Species Codes'!B:G,6,0)/2.2046,VLOOKUP(D2101,'Species Codes'!B:I,8,0)+VLOOKUP(D2101,'Species Codes'!B:J,9,0)*(((E2101*2.54)/100)^2)*(I2101*0.3048)))))*0.0011023),0)</f>
        <v>#N/A</v>
      </c>
      <c r="AC2101" s="104" t="e">
        <f>IF(Z2101&gt;0,((IF(OR(D2101="RA",D2101="OA",D2101="OT",D2101="UN",D2101="PC"),EXP(VLOOKUP(D2101,'Species Codes'!B:O,14,0)+VLOOKUP(D2101,'Species Codes'!B:P,15,0)*LN((E2101*2.54)))-EXP(VLOOKUP(D2101,'Species Codes'!B:O,14,0)+VLOOKUP(D2101,'Species Codes'!B:P,15,0)*LN((E2101*2.54)))*(1/(VLOOKUP(D2101,'Species Codes'!B:Q,16,0)+VLOOKUP(D2101,'Species Codes'!B:R,17,0)*((E2101*2.54)^VLOOKUP(D2101,'Species Codes'!B:S,18,0)))),IF(OR(D2101="BM",D2101="MD",D2101="OA"),EXP(VLOOKUP(D2101,'Species Codes'!B:O,14,0)+VLOOKUP(D2101,'Species Codes'!B:P,15,0)*LN((E2101*2.54)))*(1-(1/(VLOOKUP(D2101,'Species Codes'!B:Q,16,0)+VLOOKUP(D2101,'Species Codes'!B:R,17,0)*((E2101*2.54)^VLOOKUP(D2101,'Species Codes'!B:S,18,0)))))/1000,IF(D2101="DF",EXP(VLOOKUP(D2101,'Species Codes'!B:O,14,0)+VLOOKUP(D2101,'Species Codes'!B:P,15,0)*LN((E2101*2.54))),VLOOKUP(D2101,'Species Codes'!B:O,14,0)+VLOOKUP(D2101,'Species Codes'!B:P,15,0)*(((E2101*2.54)/100)^2)*(I2101*0.3048)))))*0.0011023),0)</f>
        <v>#N/A</v>
      </c>
      <c r="AD2101" s="104" t="e">
        <f t="shared" si="922"/>
        <v>#N/A</v>
      </c>
      <c r="AE2101" s="104" t="e">
        <f t="shared" si="923"/>
        <v>#N/A</v>
      </c>
      <c r="AF2101" s="104" t="e">
        <f>IF(AND(VLOOKUP($D2101,Merchantability!$B:$C,2,0)="Yes",$E2101&gt;=VLOOKUP($D2101,Merchantability!$B:$D,3,0),$E2101&lt;=VLOOKUP($D2101,Merchantability!$B:$E,4,0)),AA2101,0)</f>
        <v>#N/A</v>
      </c>
      <c r="AG2101" s="104" t="e">
        <f>IF(AND(VLOOKUP($D2101,Merchantability!$B:$C,2,0)="Yes",$E2101&gt;=VLOOKUP($D2101,Merchantability!$B:$D,3,0),$E2101&lt;=VLOOKUP($D2101,Merchantability!$B:$E,4,0)),AB2101,0)</f>
        <v>#N/A</v>
      </c>
      <c r="AH2101" s="104" t="e">
        <f>IF(AND(VLOOKUP($D2101,Merchantability!$B:$C,2,0)="Yes",$E2101&gt;=VLOOKUP($D2101,Merchantability!$B:$D,3,0),$E2101&lt;=VLOOKUP($D2101,Merchantability!$B:$E,4,0)),AC2101,0)</f>
        <v>#N/A</v>
      </c>
      <c r="AI2101" s="104" t="e">
        <f t="shared" si="924"/>
        <v>#N/A</v>
      </c>
      <c r="AJ2101" s="104" t="e">
        <f t="shared" si="925"/>
        <v>#VALUE!</v>
      </c>
      <c r="AK2101" s="104" t="e">
        <f t="shared" si="926"/>
        <v>#N/A</v>
      </c>
      <c r="AL2101" s="104" t="e">
        <f t="shared" si="927"/>
        <v>#N/A</v>
      </c>
      <c r="AM2101" s="104" t="e">
        <f t="shared" si="928"/>
        <v>#N/A</v>
      </c>
      <c r="AN2101" s="104" t="e">
        <f t="shared" si="912"/>
        <v>#N/A</v>
      </c>
      <c r="AO2101" s="104" t="e">
        <f t="shared" si="913"/>
        <v>#N/A</v>
      </c>
      <c r="AP2101" s="104" t="e">
        <f t="shared" si="914"/>
        <v>#N/A</v>
      </c>
      <c r="AQ2101" s="104" t="e">
        <f t="shared" si="915"/>
        <v>#N/A</v>
      </c>
      <c r="AR2101" s="105" t="str">
        <f t="shared" si="907"/>
        <v/>
      </c>
      <c r="AS2101" s="105" t="str">
        <f t="shared" si="908"/>
        <v/>
      </c>
      <c r="AT2101" s="108" t="str">
        <f t="shared" si="909"/>
        <v/>
      </c>
      <c r="AU2101" s="108" t="str">
        <f t="shared" si="910"/>
        <v/>
      </c>
      <c r="AV2101" s="107" t="str">
        <f>IF(ISNUMBER(O2101),IF(VLOOKUP($A2101,Stand!C:J,8,FALSE)="Short",AT2101,AU2101),"")</f>
        <v/>
      </c>
      <c r="AW2101" s="109" t="str">
        <f t="shared" si="916"/>
        <v/>
      </c>
      <c r="AX2101" s="109" t="str">
        <f t="shared" si="917"/>
        <v/>
      </c>
      <c r="AY2101" s="112" t="str">
        <f>IF(ISNUMBER(O2101),IF(AND(VLOOKUP($D2101,Merchantability!$B:$C,2,0)="Yes",$E2101&gt;=VLOOKUP($D2101,Merchantability!$B:$D,3,0),$E2101&lt;=VLOOKUP($D2101,Merchantability!$B:$E,4,0)),(AV2101*O2101)*(1-$H2101/100),""),"")</f>
        <v/>
      </c>
      <c r="AZ2101" s="116"/>
      <c r="BA2101" s="116"/>
      <c r="BB2101" s="116"/>
      <c r="BE2101" s="62"/>
      <c r="BF2101" s="63"/>
    </row>
    <row r="2102" spans="1:58" ht="12.75" customHeight="1" x14ac:dyDescent="0.25">
      <c r="A2102" s="334"/>
      <c r="B2102" s="334"/>
      <c r="C2102" s="332"/>
      <c r="D2102" s="334"/>
      <c r="E2102" s="335"/>
      <c r="F2102" s="334"/>
      <c r="G2102" s="332"/>
      <c r="H2102" s="332"/>
      <c r="I2102" s="334"/>
      <c r="J2102" s="336"/>
      <c r="K2102" s="332"/>
      <c r="L2102" s="332"/>
      <c r="M2102" s="76"/>
      <c r="N2102" s="103" t="str">
        <f>IF(A2102="","",VLOOKUP(A2102,Stand!C:K,9,0))</f>
        <v/>
      </c>
      <c r="O2102" s="104" t="str">
        <f t="shared" si="902"/>
        <v/>
      </c>
      <c r="P2102" s="105" t="str">
        <f t="shared" si="903"/>
        <v/>
      </c>
      <c r="Q2102" s="105" t="str">
        <f t="shared" si="918"/>
        <v/>
      </c>
      <c r="R2102" s="103" t="str">
        <f t="shared" si="904"/>
        <v/>
      </c>
      <c r="S2102" s="103" t="str">
        <f t="shared" si="905"/>
        <v/>
      </c>
      <c r="T2102" s="106" t="str">
        <f t="shared" si="919"/>
        <v/>
      </c>
      <c r="U2102" s="106" t="str">
        <f t="shared" si="920"/>
        <v/>
      </c>
      <c r="V2102" s="106" t="str">
        <f t="shared" si="921"/>
        <v/>
      </c>
      <c r="W2102" s="105" t="str">
        <f t="shared" si="906"/>
        <v/>
      </c>
      <c r="X2102" s="104" t="str">
        <f t="shared" si="911"/>
        <v/>
      </c>
      <c r="Y2102" s="104" t="str">
        <f t="array" ref="Y2102">IFERROR(IF(ISNUMBER(O2102),IF(COUNT(IF(A2102=$A$2:$A$2427,IF(D2102=$D$2:$D$2427,IF($X$2:$X$2427&gt;0,1))))&gt;0,SUM(IF(A2102=$A$2:$A$2427,IF(D2102=$D$2:$D$2427,$X$2:$X$2427)))/COUNT(IF(A2102=$A$2:$A$2427,IF(D2102=$D$2:$D$2427,IF(ISNUMBER($X$2:$X$2427),1)))),0),""),0)</f>
        <v/>
      </c>
      <c r="Z2102" s="104" t="str">
        <f>IF(ISNUMBER(O2102),IF(I2102&gt;0,(10^(VLOOKUP(D2102,'Species Codes'!B:C,2,0)+VLOOKUP(D2102,'Species Codes'!B:D,3,0)*LOG(E2102)+VLOOKUP(D2102,'Species Codes'!B:E,4,0)*LOG(I2102))),0),"")</f>
        <v/>
      </c>
      <c r="AA2102" s="104" t="str">
        <f>IFERROR((VLOOKUP(D2102,'Species Codes'!B:G,6,0)*Z2102)/2000,"")</f>
        <v/>
      </c>
      <c r="AB2102" s="104" t="e">
        <f>IF(Z2102&gt;0,((IF(OR(D2102="DF",D2102="RA")=TRUE,EXP(VLOOKUP(D2102,'Species Codes'!B:I,8,0)+VLOOKUP(D2102,'Species Codes'!B:J,9,0)*(LN((E2102*2.54)))),IF(OR(D2102="PY",D2102="RC",D2102="WH",D2102="NF")=TRUE,VLOOKUP(D2102,'Species Codes'!B:I,8,0)+VLOOKUP(D2102,'Species Codes'!B:J,9,0)*((E2102*2.54)^2)*(I2102*0.3048),IF(OR(D2102="MD",D2102="BM",D2102="GA")=TRUE,((VLOOKUP(D2102,'Species Codes'!B:I,8,0)*(((((E2102*2.54)+VLOOKUP(D2102,'Species Codes'!B:J,9,0))/VLOOKUP(D2102,'Species Codes'!B:K,10,0))^VLOOKUP(D2102,'Species Codes'!B:L,11,0))*((I2102*0.3048)^VLOOKUP(D2102,'Species Codes'!B:M,12,0))))-(VLOOKUP(D2102,'Species Codes'!B:I,8,0)*((((E2102*2.54)^VLOOKUP(D2102,'Species Codes'!B:L,11,0))*((I2102*0.3048)^VLOOKUP(D2102,'Species Codes'!B:M,12,0))))))*35.3*VLOOKUP(D2102,'Species Codes'!B:G,6,0)/2.2046,VLOOKUP(D2102,'Species Codes'!B:I,8,0)+VLOOKUP(D2102,'Species Codes'!B:J,9,0)*(((E2102*2.54)/100)^2)*(I2102*0.3048)))))*0.0011023),0)</f>
        <v>#N/A</v>
      </c>
      <c r="AC2102" s="104" t="e">
        <f>IF(Z2102&gt;0,((IF(OR(D2102="RA",D2102="OA",D2102="OT",D2102="UN",D2102="PC"),EXP(VLOOKUP(D2102,'Species Codes'!B:O,14,0)+VLOOKUP(D2102,'Species Codes'!B:P,15,0)*LN((E2102*2.54)))-EXP(VLOOKUP(D2102,'Species Codes'!B:O,14,0)+VLOOKUP(D2102,'Species Codes'!B:P,15,0)*LN((E2102*2.54)))*(1/(VLOOKUP(D2102,'Species Codes'!B:Q,16,0)+VLOOKUP(D2102,'Species Codes'!B:R,17,0)*((E2102*2.54)^VLOOKUP(D2102,'Species Codes'!B:S,18,0)))),IF(OR(D2102="BM",D2102="MD",D2102="OA"),EXP(VLOOKUP(D2102,'Species Codes'!B:O,14,0)+VLOOKUP(D2102,'Species Codes'!B:P,15,0)*LN((E2102*2.54)))*(1-(1/(VLOOKUP(D2102,'Species Codes'!B:Q,16,0)+VLOOKUP(D2102,'Species Codes'!B:R,17,0)*((E2102*2.54)^VLOOKUP(D2102,'Species Codes'!B:S,18,0)))))/1000,IF(D2102="DF",EXP(VLOOKUP(D2102,'Species Codes'!B:O,14,0)+VLOOKUP(D2102,'Species Codes'!B:P,15,0)*LN((E2102*2.54))),VLOOKUP(D2102,'Species Codes'!B:O,14,0)+VLOOKUP(D2102,'Species Codes'!B:P,15,0)*(((E2102*2.54)/100)^2)*(I2102*0.3048)))))*0.0011023),0)</f>
        <v>#N/A</v>
      </c>
      <c r="AD2102" s="104" t="e">
        <f t="shared" si="922"/>
        <v>#N/A</v>
      </c>
      <c r="AE2102" s="104" t="e">
        <f t="shared" si="923"/>
        <v>#N/A</v>
      </c>
      <c r="AF2102" s="104" t="e">
        <f>IF(AND(VLOOKUP($D2102,Merchantability!$B:$C,2,0)="Yes",$E2102&gt;=VLOOKUP($D2102,Merchantability!$B:$D,3,0),$E2102&lt;=VLOOKUP($D2102,Merchantability!$B:$E,4,0)),AA2102,0)</f>
        <v>#N/A</v>
      </c>
      <c r="AG2102" s="104" t="e">
        <f>IF(AND(VLOOKUP($D2102,Merchantability!$B:$C,2,0)="Yes",$E2102&gt;=VLOOKUP($D2102,Merchantability!$B:$D,3,0),$E2102&lt;=VLOOKUP($D2102,Merchantability!$B:$E,4,0)),AB2102,0)</f>
        <v>#N/A</v>
      </c>
      <c r="AH2102" s="104" t="e">
        <f>IF(AND(VLOOKUP($D2102,Merchantability!$B:$C,2,0)="Yes",$E2102&gt;=VLOOKUP($D2102,Merchantability!$B:$D,3,0),$E2102&lt;=VLOOKUP($D2102,Merchantability!$B:$E,4,0)),AC2102,0)</f>
        <v>#N/A</v>
      </c>
      <c r="AI2102" s="104" t="e">
        <f t="shared" si="924"/>
        <v>#N/A</v>
      </c>
      <c r="AJ2102" s="104" t="e">
        <f t="shared" si="925"/>
        <v>#VALUE!</v>
      </c>
      <c r="AK2102" s="104" t="e">
        <f t="shared" si="926"/>
        <v>#N/A</v>
      </c>
      <c r="AL2102" s="104" t="e">
        <f t="shared" si="927"/>
        <v>#N/A</v>
      </c>
      <c r="AM2102" s="104" t="e">
        <f t="shared" si="928"/>
        <v>#N/A</v>
      </c>
      <c r="AN2102" s="104" t="e">
        <f t="shared" si="912"/>
        <v>#N/A</v>
      </c>
      <c r="AO2102" s="104" t="e">
        <f t="shared" si="913"/>
        <v>#N/A</v>
      </c>
      <c r="AP2102" s="104" t="e">
        <f t="shared" si="914"/>
        <v>#N/A</v>
      </c>
      <c r="AQ2102" s="104" t="e">
        <f t="shared" si="915"/>
        <v>#N/A</v>
      </c>
      <c r="AR2102" s="105" t="str">
        <f t="shared" si="907"/>
        <v/>
      </c>
      <c r="AS2102" s="105" t="str">
        <f t="shared" si="908"/>
        <v/>
      </c>
      <c r="AT2102" s="108" t="str">
        <f t="shared" si="909"/>
        <v/>
      </c>
      <c r="AU2102" s="108" t="str">
        <f t="shared" si="910"/>
        <v/>
      </c>
      <c r="AV2102" s="107" t="str">
        <f>IF(ISNUMBER(O2102),IF(VLOOKUP($A2102,Stand!C:J,8,FALSE)="Short",AT2102,AU2102),"")</f>
        <v/>
      </c>
      <c r="AW2102" s="109" t="str">
        <f t="shared" si="916"/>
        <v/>
      </c>
      <c r="AX2102" s="109" t="str">
        <f t="shared" si="917"/>
        <v/>
      </c>
      <c r="AY2102" s="112" t="str">
        <f>IF(ISNUMBER(O2102),IF(AND(VLOOKUP($D2102,Merchantability!$B:$C,2,0)="Yes",$E2102&gt;=VLOOKUP($D2102,Merchantability!$B:$D,3,0),$E2102&lt;=VLOOKUP($D2102,Merchantability!$B:$E,4,0)),(AV2102*O2102)*(1-$H2102/100),""),"")</f>
        <v/>
      </c>
      <c r="AZ2102" s="116"/>
      <c r="BA2102" s="116"/>
      <c r="BB2102" s="116"/>
      <c r="BE2102" s="62"/>
      <c r="BF2102" s="63"/>
    </row>
    <row r="2103" spans="1:58" ht="12.75" customHeight="1" x14ac:dyDescent="0.25">
      <c r="A2103" s="334"/>
      <c r="B2103" s="334"/>
      <c r="C2103" s="332"/>
      <c r="D2103" s="334"/>
      <c r="E2103" s="335"/>
      <c r="F2103" s="334"/>
      <c r="G2103" s="332"/>
      <c r="H2103" s="332"/>
      <c r="I2103" s="334"/>
      <c r="J2103" s="336"/>
      <c r="K2103" s="332"/>
      <c r="L2103" s="332"/>
      <c r="M2103" s="76"/>
      <c r="N2103" s="103" t="str">
        <f>IF(A2103="","",VLOOKUP(A2103,Stand!C:K,9,0))</f>
        <v/>
      </c>
      <c r="O2103" s="104" t="str">
        <f t="shared" si="902"/>
        <v/>
      </c>
      <c r="P2103" s="105" t="str">
        <f t="shared" si="903"/>
        <v/>
      </c>
      <c r="Q2103" s="105" t="str">
        <f t="shared" si="918"/>
        <v/>
      </c>
      <c r="R2103" s="103" t="str">
        <f t="shared" si="904"/>
        <v/>
      </c>
      <c r="S2103" s="103" t="str">
        <f t="shared" si="905"/>
        <v/>
      </c>
      <c r="T2103" s="106" t="str">
        <f t="shared" si="919"/>
        <v/>
      </c>
      <c r="U2103" s="106" t="str">
        <f t="shared" si="920"/>
        <v/>
      </c>
      <c r="V2103" s="106" t="str">
        <f t="shared" si="921"/>
        <v/>
      </c>
      <c r="W2103" s="105" t="str">
        <f t="shared" si="906"/>
        <v/>
      </c>
      <c r="X2103" s="104" t="str">
        <f t="shared" si="911"/>
        <v/>
      </c>
      <c r="Y2103" s="104" t="str">
        <f t="array" ref="Y2103">IFERROR(IF(ISNUMBER(O2103),IF(COUNT(IF(A2103=$A$2:$A$2427,IF(D2103=$D$2:$D$2427,IF($X$2:$X$2427&gt;0,1))))&gt;0,SUM(IF(A2103=$A$2:$A$2427,IF(D2103=$D$2:$D$2427,$X$2:$X$2427)))/COUNT(IF(A2103=$A$2:$A$2427,IF(D2103=$D$2:$D$2427,IF(ISNUMBER($X$2:$X$2427),1)))),0),""),0)</f>
        <v/>
      </c>
      <c r="Z2103" s="104" t="str">
        <f>IF(ISNUMBER(O2103),IF(I2103&gt;0,(10^(VLOOKUP(D2103,'Species Codes'!B:C,2,0)+VLOOKUP(D2103,'Species Codes'!B:D,3,0)*LOG(E2103)+VLOOKUP(D2103,'Species Codes'!B:E,4,0)*LOG(I2103))),0),"")</f>
        <v/>
      </c>
      <c r="AA2103" s="104" t="str">
        <f>IFERROR((VLOOKUP(D2103,'Species Codes'!B:G,6,0)*Z2103)/2000,"")</f>
        <v/>
      </c>
      <c r="AB2103" s="104" t="e">
        <f>IF(Z2103&gt;0,((IF(OR(D2103="DF",D2103="RA")=TRUE,EXP(VLOOKUP(D2103,'Species Codes'!B:I,8,0)+VLOOKUP(D2103,'Species Codes'!B:J,9,0)*(LN((E2103*2.54)))),IF(OR(D2103="PY",D2103="RC",D2103="WH",D2103="NF")=TRUE,VLOOKUP(D2103,'Species Codes'!B:I,8,0)+VLOOKUP(D2103,'Species Codes'!B:J,9,0)*((E2103*2.54)^2)*(I2103*0.3048),IF(OR(D2103="MD",D2103="BM",D2103="GA")=TRUE,((VLOOKUP(D2103,'Species Codes'!B:I,8,0)*(((((E2103*2.54)+VLOOKUP(D2103,'Species Codes'!B:J,9,0))/VLOOKUP(D2103,'Species Codes'!B:K,10,0))^VLOOKUP(D2103,'Species Codes'!B:L,11,0))*((I2103*0.3048)^VLOOKUP(D2103,'Species Codes'!B:M,12,0))))-(VLOOKUP(D2103,'Species Codes'!B:I,8,0)*((((E2103*2.54)^VLOOKUP(D2103,'Species Codes'!B:L,11,0))*((I2103*0.3048)^VLOOKUP(D2103,'Species Codes'!B:M,12,0))))))*35.3*VLOOKUP(D2103,'Species Codes'!B:G,6,0)/2.2046,VLOOKUP(D2103,'Species Codes'!B:I,8,0)+VLOOKUP(D2103,'Species Codes'!B:J,9,0)*(((E2103*2.54)/100)^2)*(I2103*0.3048)))))*0.0011023),0)</f>
        <v>#N/A</v>
      </c>
      <c r="AC2103" s="104" t="e">
        <f>IF(Z2103&gt;0,((IF(OR(D2103="RA",D2103="OA",D2103="OT",D2103="UN",D2103="PC"),EXP(VLOOKUP(D2103,'Species Codes'!B:O,14,0)+VLOOKUP(D2103,'Species Codes'!B:P,15,0)*LN((E2103*2.54)))-EXP(VLOOKUP(D2103,'Species Codes'!B:O,14,0)+VLOOKUP(D2103,'Species Codes'!B:P,15,0)*LN((E2103*2.54)))*(1/(VLOOKUP(D2103,'Species Codes'!B:Q,16,0)+VLOOKUP(D2103,'Species Codes'!B:R,17,0)*((E2103*2.54)^VLOOKUP(D2103,'Species Codes'!B:S,18,0)))),IF(OR(D2103="BM",D2103="MD",D2103="OA"),EXP(VLOOKUP(D2103,'Species Codes'!B:O,14,0)+VLOOKUP(D2103,'Species Codes'!B:P,15,0)*LN((E2103*2.54)))*(1-(1/(VLOOKUP(D2103,'Species Codes'!B:Q,16,0)+VLOOKUP(D2103,'Species Codes'!B:R,17,0)*((E2103*2.54)^VLOOKUP(D2103,'Species Codes'!B:S,18,0)))))/1000,IF(D2103="DF",EXP(VLOOKUP(D2103,'Species Codes'!B:O,14,0)+VLOOKUP(D2103,'Species Codes'!B:P,15,0)*LN((E2103*2.54))),VLOOKUP(D2103,'Species Codes'!B:O,14,0)+VLOOKUP(D2103,'Species Codes'!B:P,15,0)*(((E2103*2.54)/100)^2)*(I2103*0.3048)))))*0.0011023),0)</f>
        <v>#N/A</v>
      </c>
      <c r="AD2103" s="104" t="e">
        <f t="shared" si="922"/>
        <v>#N/A</v>
      </c>
      <c r="AE2103" s="104" t="e">
        <f t="shared" si="923"/>
        <v>#N/A</v>
      </c>
      <c r="AF2103" s="104" t="e">
        <f>IF(AND(VLOOKUP($D2103,Merchantability!$B:$C,2,0)="Yes",$E2103&gt;=VLOOKUP($D2103,Merchantability!$B:$D,3,0),$E2103&lt;=VLOOKUP($D2103,Merchantability!$B:$E,4,0)),AA2103,0)</f>
        <v>#N/A</v>
      </c>
      <c r="AG2103" s="104" t="e">
        <f>IF(AND(VLOOKUP($D2103,Merchantability!$B:$C,2,0)="Yes",$E2103&gt;=VLOOKUP($D2103,Merchantability!$B:$D,3,0),$E2103&lt;=VLOOKUP($D2103,Merchantability!$B:$E,4,0)),AB2103,0)</f>
        <v>#N/A</v>
      </c>
      <c r="AH2103" s="104" t="e">
        <f>IF(AND(VLOOKUP($D2103,Merchantability!$B:$C,2,0)="Yes",$E2103&gt;=VLOOKUP($D2103,Merchantability!$B:$D,3,0),$E2103&lt;=VLOOKUP($D2103,Merchantability!$B:$E,4,0)),AC2103,0)</f>
        <v>#N/A</v>
      </c>
      <c r="AI2103" s="104" t="e">
        <f t="shared" si="924"/>
        <v>#N/A</v>
      </c>
      <c r="AJ2103" s="104" t="e">
        <f t="shared" si="925"/>
        <v>#VALUE!</v>
      </c>
      <c r="AK2103" s="104" t="e">
        <f t="shared" si="926"/>
        <v>#N/A</v>
      </c>
      <c r="AL2103" s="104" t="e">
        <f t="shared" si="927"/>
        <v>#N/A</v>
      </c>
      <c r="AM2103" s="104" t="e">
        <f t="shared" si="928"/>
        <v>#N/A</v>
      </c>
      <c r="AN2103" s="104" t="e">
        <f t="shared" si="912"/>
        <v>#N/A</v>
      </c>
      <c r="AO2103" s="104" t="e">
        <f t="shared" si="913"/>
        <v>#N/A</v>
      </c>
      <c r="AP2103" s="104" t="e">
        <f t="shared" si="914"/>
        <v>#N/A</v>
      </c>
      <c r="AQ2103" s="104" t="e">
        <f t="shared" si="915"/>
        <v>#N/A</v>
      </c>
      <c r="AR2103" s="105" t="str">
        <f t="shared" si="907"/>
        <v/>
      </c>
      <c r="AS2103" s="105" t="str">
        <f t="shared" si="908"/>
        <v/>
      </c>
      <c r="AT2103" s="108" t="str">
        <f t="shared" si="909"/>
        <v/>
      </c>
      <c r="AU2103" s="108" t="str">
        <f t="shared" si="910"/>
        <v/>
      </c>
      <c r="AV2103" s="107" t="str">
        <f>IF(ISNUMBER(O2103),IF(VLOOKUP($A2103,Stand!C:J,8,FALSE)="Short",AT2103,AU2103),"")</f>
        <v/>
      </c>
      <c r="AW2103" s="109" t="str">
        <f t="shared" si="916"/>
        <v/>
      </c>
      <c r="AX2103" s="109" t="str">
        <f t="shared" si="917"/>
        <v/>
      </c>
      <c r="AY2103" s="112" t="str">
        <f>IF(ISNUMBER(O2103),IF(AND(VLOOKUP($D2103,Merchantability!$B:$C,2,0)="Yes",$E2103&gt;=VLOOKUP($D2103,Merchantability!$B:$D,3,0),$E2103&lt;=VLOOKUP($D2103,Merchantability!$B:$E,4,0)),(AV2103*O2103)*(1-$H2103/100),""),"")</f>
        <v/>
      </c>
      <c r="AZ2103" s="116"/>
      <c r="BA2103" s="116"/>
      <c r="BB2103" s="116"/>
      <c r="BE2103" s="62"/>
      <c r="BF2103" s="63"/>
    </row>
    <row r="2104" spans="1:58" ht="12.75" customHeight="1" x14ac:dyDescent="0.25">
      <c r="A2104" s="334"/>
      <c r="B2104" s="334"/>
      <c r="C2104" s="332"/>
      <c r="D2104" s="334"/>
      <c r="E2104" s="335"/>
      <c r="F2104" s="334"/>
      <c r="G2104" s="332"/>
      <c r="H2104" s="332"/>
      <c r="I2104" s="334"/>
      <c r="J2104" s="336"/>
      <c r="K2104" s="332"/>
      <c r="L2104" s="332"/>
      <c r="M2104" s="76"/>
      <c r="N2104" s="103" t="str">
        <f>IF(A2104="","",VLOOKUP(A2104,Stand!C:K,9,0))</f>
        <v/>
      </c>
      <c r="O2104" s="104" t="str">
        <f t="shared" si="902"/>
        <v/>
      </c>
      <c r="P2104" s="105" t="str">
        <f t="shared" si="903"/>
        <v/>
      </c>
      <c r="Q2104" s="105" t="str">
        <f t="shared" si="918"/>
        <v/>
      </c>
      <c r="R2104" s="103" t="str">
        <f t="shared" si="904"/>
        <v/>
      </c>
      <c r="S2104" s="103" t="str">
        <f t="shared" si="905"/>
        <v/>
      </c>
      <c r="T2104" s="106" t="str">
        <f t="shared" si="919"/>
        <v/>
      </c>
      <c r="U2104" s="106" t="str">
        <f t="shared" si="920"/>
        <v/>
      </c>
      <c r="V2104" s="106" t="str">
        <f t="shared" si="921"/>
        <v/>
      </c>
      <c r="W2104" s="105" t="str">
        <f t="shared" si="906"/>
        <v/>
      </c>
      <c r="X2104" s="104" t="str">
        <f t="shared" si="911"/>
        <v/>
      </c>
      <c r="Y2104" s="104" t="str">
        <f t="array" ref="Y2104">IFERROR(IF(ISNUMBER(O2104),IF(COUNT(IF(A2104=$A$2:$A$2427,IF(D2104=$D$2:$D$2427,IF($X$2:$X$2427&gt;0,1))))&gt;0,SUM(IF(A2104=$A$2:$A$2427,IF(D2104=$D$2:$D$2427,$X$2:$X$2427)))/COUNT(IF(A2104=$A$2:$A$2427,IF(D2104=$D$2:$D$2427,IF(ISNUMBER($X$2:$X$2427),1)))),0),""),0)</f>
        <v/>
      </c>
      <c r="Z2104" s="104" t="str">
        <f>IF(ISNUMBER(O2104),IF(I2104&gt;0,(10^(VLOOKUP(D2104,'Species Codes'!B:C,2,0)+VLOOKUP(D2104,'Species Codes'!B:D,3,0)*LOG(E2104)+VLOOKUP(D2104,'Species Codes'!B:E,4,0)*LOG(I2104))),0),"")</f>
        <v/>
      </c>
      <c r="AA2104" s="104" t="str">
        <f>IFERROR((VLOOKUP(D2104,'Species Codes'!B:G,6,0)*Z2104)/2000,"")</f>
        <v/>
      </c>
      <c r="AB2104" s="104" t="e">
        <f>IF(Z2104&gt;0,((IF(OR(D2104="DF",D2104="RA")=TRUE,EXP(VLOOKUP(D2104,'Species Codes'!B:I,8,0)+VLOOKUP(D2104,'Species Codes'!B:J,9,0)*(LN((E2104*2.54)))),IF(OR(D2104="PY",D2104="RC",D2104="WH",D2104="NF")=TRUE,VLOOKUP(D2104,'Species Codes'!B:I,8,0)+VLOOKUP(D2104,'Species Codes'!B:J,9,0)*((E2104*2.54)^2)*(I2104*0.3048),IF(OR(D2104="MD",D2104="BM",D2104="GA")=TRUE,((VLOOKUP(D2104,'Species Codes'!B:I,8,0)*(((((E2104*2.54)+VLOOKUP(D2104,'Species Codes'!B:J,9,0))/VLOOKUP(D2104,'Species Codes'!B:K,10,0))^VLOOKUP(D2104,'Species Codes'!B:L,11,0))*((I2104*0.3048)^VLOOKUP(D2104,'Species Codes'!B:M,12,0))))-(VLOOKUP(D2104,'Species Codes'!B:I,8,0)*((((E2104*2.54)^VLOOKUP(D2104,'Species Codes'!B:L,11,0))*((I2104*0.3048)^VLOOKUP(D2104,'Species Codes'!B:M,12,0))))))*35.3*VLOOKUP(D2104,'Species Codes'!B:G,6,0)/2.2046,VLOOKUP(D2104,'Species Codes'!B:I,8,0)+VLOOKUP(D2104,'Species Codes'!B:J,9,0)*(((E2104*2.54)/100)^2)*(I2104*0.3048)))))*0.0011023),0)</f>
        <v>#N/A</v>
      </c>
      <c r="AC2104" s="104" t="e">
        <f>IF(Z2104&gt;0,((IF(OR(D2104="RA",D2104="OA",D2104="OT",D2104="UN",D2104="PC"),EXP(VLOOKUP(D2104,'Species Codes'!B:O,14,0)+VLOOKUP(D2104,'Species Codes'!B:P,15,0)*LN((E2104*2.54)))-EXP(VLOOKUP(D2104,'Species Codes'!B:O,14,0)+VLOOKUP(D2104,'Species Codes'!B:P,15,0)*LN((E2104*2.54)))*(1/(VLOOKUP(D2104,'Species Codes'!B:Q,16,0)+VLOOKUP(D2104,'Species Codes'!B:R,17,0)*((E2104*2.54)^VLOOKUP(D2104,'Species Codes'!B:S,18,0)))),IF(OR(D2104="BM",D2104="MD",D2104="OA"),EXP(VLOOKUP(D2104,'Species Codes'!B:O,14,0)+VLOOKUP(D2104,'Species Codes'!B:P,15,0)*LN((E2104*2.54)))*(1-(1/(VLOOKUP(D2104,'Species Codes'!B:Q,16,0)+VLOOKUP(D2104,'Species Codes'!B:R,17,0)*((E2104*2.54)^VLOOKUP(D2104,'Species Codes'!B:S,18,0)))))/1000,IF(D2104="DF",EXP(VLOOKUP(D2104,'Species Codes'!B:O,14,0)+VLOOKUP(D2104,'Species Codes'!B:P,15,0)*LN((E2104*2.54))),VLOOKUP(D2104,'Species Codes'!B:O,14,0)+VLOOKUP(D2104,'Species Codes'!B:P,15,0)*(((E2104*2.54)/100)^2)*(I2104*0.3048)))))*0.0011023),0)</f>
        <v>#N/A</v>
      </c>
      <c r="AD2104" s="104" t="e">
        <f t="shared" si="922"/>
        <v>#N/A</v>
      </c>
      <c r="AE2104" s="104" t="e">
        <f t="shared" si="923"/>
        <v>#N/A</v>
      </c>
      <c r="AF2104" s="104" t="e">
        <f>IF(AND(VLOOKUP($D2104,Merchantability!$B:$C,2,0)="Yes",$E2104&gt;=VLOOKUP($D2104,Merchantability!$B:$D,3,0),$E2104&lt;=VLOOKUP($D2104,Merchantability!$B:$E,4,0)),AA2104,0)</f>
        <v>#N/A</v>
      </c>
      <c r="AG2104" s="104" t="e">
        <f>IF(AND(VLOOKUP($D2104,Merchantability!$B:$C,2,0)="Yes",$E2104&gt;=VLOOKUP($D2104,Merchantability!$B:$D,3,0),$E2104&lt;=VLOOKUP($D2104,Merchantability!$B:$E,4,0)),AB2104,0)</f>
        <v>#N/A</v>
      </c>
      <c r="AH2104" s="104" t="e">
        <f>IF(AND(VLOOKUP($D2104,Merchantability!$B:$C,2,0)="Yes",$E2104&gt;=VLOOKUP($D2104,Merchantability!$B:$D,3,0),$E2104&lt;=VLOOKUP($D2104,Merchantability!$B:$E,4,0)),AC2104,0)</f>
        <v>#N/A</v>
      </c>
      <c r="AI2104" s="104" t="e">
        <f t="shared" si="924"/>
        <v>#N/A</v>
      </c>
      <c r="AJ2104" s="104" t="e">
        <f t="shared" si="925"/>
        <v>#VALUE!</v>
      </c>
      <c r="AK2104" s="104" t="e">
        <f t="shared" si="926"/>
        <v>#N/A</v>
      </c>
      <c r="AL2104" s="104" t="e">
        <f t="shared" si="927"/>
        <v>#N/A</v>
      </c>
      <c r="AM2104" s="104" t="e">
        <f t="shared" si="928"/>
        <v>#N/A</v>
      </c>
      <c r="AN2104" s="104" t="e">
        <f t="shared" si="912"/>
        <v>#N/A</v>
      </c>
      <c r="AO2104" s="104" t="e">
        <f t="shared" si="913"/>
        <v>#N/A</v>
      </c>
      <c r="AP2104" s="104" t="e">
        <f t="shared" si="914"/>
        <v>#N/A</v>
      </c>
      <c r="AQ2104" s="104" t="e">
        <f t="shared" si="915"/>
        <v>#N/A</v>
      </c>
      <c r="AR2104" s="105" t="str">
        <f t="shared" si="907"/>
        <v/>
      </c>
      <c r="AS2104" s="105" t="str">
        <f t="shared" si="908"/>
        <v/>
      </c>
      <c r="AT2104" s="108" t="str">
        <f t="shared" si="909"/>
        <v/>
      </c>
      <c r="AU2104" s="108" t="str">
        <f t="shared" si="910"/>
        <v/>
      </c>
      <c r="AV2104" s="107" t="str">
        <f>IF(ISNUMBER(O2104),IF(VLOOKUP($A2104,Stand!C:J,8,FALSE)="Short",AT2104,AU2104),"")</f>
        <v/>
      </c>
      <c r="AW2104" s="109" t="str">
        <f t="shared" si="916"/>
        <v/>
      </c>
      <c r="AX2104" s="109" t="str">
        <f t="shared" si="917"/>
        <v/>
      </c>
      <c r="AY2104" s="112" t="str">
        <f>IF(ISNUMBER(O2104),IF(AND(VLOOKUP($D2104,Merchantability!$B:$C,2,0)="Yes",$E2104&gt;=VLOOKUP($D2104,Merchantability!$B:$D,3,0),$E2104&lt;=VLOOKUP($D2104,Merchantability!$B:$E,4,0)),(AV2104*O2104)*(1-$H2104/100),""),"")</f>
        <v/>
      </c>
      <c r="AZ2104" s="116"/>
      <c r="BA2104" s="116"/>
      <c r="BB2104" s="116"/>
      <c r="BE2104" s="62"/>
      <c r="BF2104" s="63"/>
    </row>
    <row r="2105" spans="1:58" ht="12.75" customHeight="1" x14ac:dyDescent="0.25">
      <c r="A2105" s="334"/>
      <c r="B2105" s="334"/>
      <c r="C2105" s="332"/>
      <c r="D2105" s="334"/>
      <c r="E2105" s="335"/>
      <c r="F2105" s="334"/>
      <c r="G2105" s="332"/>
      <c r="H2105" s="332"/>
      <c r="I2105" s="334"/>
      <c r="J2105" s="336"/>
      <c r="K2105" s="332"/>
      <c r="L2105" s="332"/>
      <c r="M2105" s="76"/>
      <c r="N2105" s="103" t="str">
        <f>IF(A2105="","",VLOOKUP(A2105,Stand!C:K,9,0))</f>
        <v/>
      </c>
      <c r="O2105" s="104" t="str">
        <f t="shared" si="902"/>
        <v/>
      </c>
      <c r="P2105" s="105" t="str">
        <f t="shared" si="903"/>
        <v/>
      </c>
      <c r="Q2105" s="105" t="str">
        <f t="shared" si="918"/>
        <v/>
      </c>
      <c r="R2105" s="103" t="str">
        <f t="shared" si="904"/>
        <v/>
      </c>
      <c r="S2105" s="103" t="str">
        <f t="shared" si="905"/>
        <v/>
      </c>
      <c r="T2105" s="106" t="str">
        <f t="shared" si="919"/>
        <v/>
      </c>
      <c r="U2105" s="106" t="str">
        <f t="shared" si="920"/>
        <v/>
      </c>
      <c r="V2105" s="106" t="str">
        <f t="shared" si="921"/>
        <v/>
      </c>
      <c r="W2105" s="105" t="str">
        <f t="shared" si="906"/>
        <v/>
      </c>
      <c r="X2105" s="104" t="str">
        <f t="shared" si="911"/>
        <v/>
      </c>
      <c r="Y2105" s="104" t="str">
        <f t="array" ref="Y2105">IFERROR(IF(ISNUMBER(O2105),IF(COUNT(IF(A2105=$A$2:$A$2427,IF(D2105=$D$2:$D$2427,IF($X$2:$X$2427&gt;0,1))))&gt;0,SUM(IF(A2105=$A$2:$A$2427,IF(D2105=$D$2:$D$2427,$X$2:$X$2427)))/COUNT(IF(A2105=$A$2:$A$2427,IF(D2105=$D$2:$D$2427,IF(ISNUMBER($X$2:$X$2427),1)))),0),""),0)</f>
        <v/>
      </c>
      <c r="Z2105" s="104" t="str">
        <f>IF(ISNUMBER(O2105),IF(I2105&gt;0,(10^(VLOOKUP(D2105,'Species Codes'!B:C,2,0)+VLOOKUP(D2105,'Species Codes'!B:D,3,0)*LOG(E2105)+VLOOKUP(D2105,'Species Codes'!B:E,4,0)*LOG(I2105))),0),"")</f>
        <v/>
      </c>
      <c r="AA2105" s="104" t="str">
        <f>IFERROR((VLOOKUP(D2105,'Species Codes'!B:G,6,0)*Z2105)/2000,"")</f>
        <v/>
      </c>
      <c r="AB2105" s="104" t="e">
        <f>IF(Z2105&gt;0,((IF(OR(D2105="DF",D2105="RA")=TRUE,EXP(VLOOKUP(D2105,'Species Codes'!B:I,8,0)+VLOOKUP(D2105,'Species Codes'!B:J,9,0)*(LN((E2105*2.54)))),IF(OR(D2105="PY",D2105="RC",D2105="WH",D2105="NF")=TRUE,VLOOKUP(D2105,'Species Codes'!B:I,8,0)+VLOOKUP(D2105,'Species Codes'!B:J,9,0)*((E2105*2.54)^2)*(I2105*0.3048),IF(OR(D2105="MD",D2105="BM",D2105="GA")=TRUE,((VLOOKUP(D2105,'Species Codes'!B:I,8,0)*(((((E2105*2.54)+VLOOKUP(D2105,'Species Codes'!B:J,9,0))/VLOOKUP(D2105,'Species Codes'!B:K,10,0))^VLOOKUP(D2105,'Species Codes'!B:L,11,0))*((I2105*0.3048)^VLOOKUP(D2105,'Species Codes'!B:M,12,0))))-(VLOOKUP(D2105,'Species Codes'!B:I,8,0)*((((E2105*2.54)^VLOOKUP(D2105,'Species Codes'!B:L,11,0))*((I2105*0.3048)^VLOOKUP(D2105,'Species Codes'!B:M,12,0))))))*35.3*VLOOKUP(D2105,'Species Codes'!B:G,6,0)/2.2046,VLOOKUP(D2105,'Species Codes'!B:I,8,0)+VLOOKUP(D2105,'Species Codes'!B:J,9,0)*(((E2105*2.54)/100)^2)*(I2105*0.3048)))))*0.0011023),0)</f>
        <v>#N/A</v>
      </c>
      <c r="AC2105" s="104" t="e">
        <f>IF(Z2105&gt;0,((IF(OR(D2105="RA",D2105="OA",D2105="OT",D2105="UN",D2105="PC"),EXP(VLOOKUP(D2105,'Species Codes'!B:O,14,0)+VLOOKUP(D2105,'Species Codes'!B:P,15,0)*LN((E2105*2.54)))-EXP(VLOOKUP(D2105,'Species Codes'!B:O,14,0)+VLOOKUP(D2105,'Species Codes'!B:P,15,0)*LN((E2105*2.54)))*(1/(VLOOKUP(D2105,'Species Codes'!B:Q,16,0)+VLOOKUP(D2105,'Species Codes'!B:R,17,0)*((E2105*2.54)^VLOOKUP(D2105,'Species Codes'!B:S,18,0)))),IF(OR(D2105="BM",D2105="MD",D2105="OA"),EXP(VLOOKUP(D2105,'Species Codes'!B:O,14,0)+VLOOKUP(D2105,'Species Codes'!B:P,15,0)*LN((E2105*2.54)))*(1-(1/(VLOOKUP(D2105,'Species Codes'!B:Q,16,0)+VLOOKUP(D2105,'Species Codes'!B:R,17,0)*((E2105*2.54)^VLOOKUP(D2105,'Species Codes'!B:S,18,0)))))/1000,IF(D2105="DF",EXP(VLOOKUP(D2105,'Species Codes'!B:O,14,0)+VLOOKUP(D2105,'Species Codes'!B:P,15,0)*LN((E2105*2.54))),VLOOKUP(D2105,'Species Codes'!B:O,14,0)+VLOOKUP(D2105,'Species Codes'!B:P,15,0)*(((E2105*2.54)/100)^2)*(I2105*0.3048)))))*0.0011023),0)</f>
        <v>#N/A</v>
      </c>
      <c r="AD2105" s="104" t="e">
        <f t="shared" si="922"/>
        <v>#N/A</v>
      </c>
      <c r="AE2105" s="104" t="e">
        <f t="shared" si="923"/>
        <v>#N/A</v>
      </c>
      <c r="AF2105" s="104" t="e">
        <f>IF(AND(VLOOKUP($D2105,Merchantability!$B:$C,2,0)="Yes",$E2105&gt;=VLOOKUP($D2105,Merchantability!$B:$D,3,0),$E2105&lt;=VLOOKUP($D2105,Merchantability!$B:$E,4,0)),AA2105,0)</f>
        <v>#N/A</v>
      </c>
      <c r="AG2105" s="104" t="e">
        <f>IF(AND(VLOOKUP($D2105,Merchantability!$B:$C,2,0)="Yes",$E2105&gt;=VLOOKUP($D2105,Merchantability!$B:$D,3,0),$E2105&lt;=VLOOKUP($D2105,Merchantability!$B:$E,4,0)),AB2105,0)</f>
        <v>#N/A</v>
      </c>
      <c r="AH2105" s="104" t="e">
        <f>IF(AND(VLOOKUP($D2105,Merchantability!$B:$C,2,0)="Yes",$E2105&gt;=VLOOKUP($D2105,Merchantability!$B:$D,3,0),$E2105&lt;=VLOOKUP($D2105,Merchantability!$B:$E,4,0)),AC2105,0)</f>
        <v>#N/A</v>
      </c>
      <c r="AI2105" s="104" t="e">
        <f t="shared" si="924"/>
        <v>#N/A</v>
      </c>
      <c r="AJ2105" s="104" t="e">
        <f t="shared" si="925"/>
        <v>#VALUE!</v>
      </c>
      <c r="AK2105" s="104" t="e">
        <f t="shared" si="926"/>
        <v>#N/A</v>
      </c>
      <c r="AL2105" s="104" t="e">
        <f t="shared" si="927"/>
        <v>#N/A</v>
      </c>
      <c r="AM2105" s="104" t="e">
        <f t="shared" si="928"/>
        <v>#N/A</v>
      </c>
      <c r="AN2105" s="104" t="e">
        <f t="shared" si="912"/>
        <v>#N/A</v>
      </c>
      <c r="AO2105" s="104" t="e">
        <f t="shared" si="913"/>
        <v>#N/A</v>
      </c>
      <c r="AP2105" s="104" t="e">
        <f t="shared" si="914"/>
        <v>#N/A</v>
      </c>
      <c r="AQ2105" s="104" t="e">
        <f t="shared" si="915"/>
        <v>#N/A</v>
      </c>
      <c r="AR2105" s="105" t="str">
        <f t="shared" si="907"/>
        <v/>
      </c>
      <c r="AS2105" s="105" t="str">
        <f t="shared" si="908"/>
        <v/>
      </c>
      <c r="AT2105" s="108" t="str">
        <f t="shared" si="909"/>
        <v/>
      </c>
      <c r="AU2105" s="108" t="str">
        <f t="shared" si="910"/>
        <v/>
      </c>
      <c r="AV2105" s="107" t="str">
        <f>IF(ISNUMBER(O2105),IF(VLOOKUP($A2105,Stand!C:J,8,FALSE)="Short",AT2105,AU2105),"")</f>
        <v/>
      </c>
      <c r="AW2105" s="109" t="str">
        <f t="shared" si="916"/>
        <v/>
      </c>
      <c r="AX2105" s="109" t="str">
        <f t="shared" si="917"/>
        <v/>
      </c>
      <c r="AY2105" s="112" t="str">
        <f>IF(ISNUMBER(O2105),IF(AND(VLOOKUP($D2105,Merchantability!$B:$C,2,0)="Yes",$E2105&gt;=VLOOKUP($D2105,Merchantability!$B:$D,3,0),$E2105&lt;=VLOOKUP($D2105,Merchantability!$B:$E,4,0)),(AV2105*O2105)*(1-$H2105/100),""),"")</f>
        <v/>
      </c>
      <c r="AZ2105" s="116"/>
      <c r="BA2105" s="116"/>
      <c r="BB2105" s="116"/>
      <c r="BE2105" s="62"/>
      <c r="BF2105" s="63"/>
    </row>
    <row r="2106" spans="1:58" ht="12.75" customHeight="1" x14ac:dyDescent="0.25">
      <c r="A2106" s="334"/>
      <c r="B2106" s="334"/>
      <c r="C2106" s="332"/>
      <c r="D2106" s="334"/>
      <c r="E2106" s="335"/>
      <c r="F2106" s="334"/>
      <c r="G2106" s="332"/>
      <c r="H2106" s="332"/>
      <c r="I2106" s="334"/>
      <c r="J2106" s="336"/>
      <c r="K2106" s="332"/>
      <c r="L2106" s="332"/>
      <c r="M2106" s="76"/>
      <c r="N2106" s="103" t="str">
        <f>IF(A2106="","",VLOOKUP(A2106,Stand!C:K,9,0))</f>
        <v/>
      </c>
      <c r="O2106" s="104" t="str">
        <f t="shared" si="902"/>
        <v/>
      </c>
      <c r="P2106" s="105" t="str">
        <f t="shared" si="903"/>
        <v/>
      </c>
      <c r="Q2106" s="105" t="str">
        <f t="shared" si="918"/>
        <v/>
      </c>
      <c r="R2106" s="103" t="str">
        <f t="shared" si="904"/>
        <v/>
      </c>
      <c r="S2106" s="103" t="str">
        <f t="shared" si="905"/>
        <v/>
      </c>
      <c r="T2106" s="106" t="str">
        <f t="shared" si="919"/>
        <v/>
      </c>
      <c r="U2106" s="106" t="str">
        <f t="shared" si="920"/>
        <v/>
      </c>
      <c r="V2106" s="106" t="str">
        <f t="shared" si="921"/>
        <v/>
      </c>
      <c r="W2106" s="105" t="str">
        <f t="shared" si="906"/>
        <v/>
      </c>
      <c r="X2106" s="104" t="str">
        <f t="shared" si="911"/>
        <v/>
      </c>
      <c r="Y2106" s="104" t="str">
        <f t="array" ref="Y2106">IFERROR(IF(ISNUMBER(O2106),IF(COUNT(IF(A2106=$A$2:$A$2427,IF(D2106=$D$2:$D$2427,IF($X$2:$X$2427&gt;0,1))))&gt;0,SUM(IF(A2106=$A$2:$A$2427,IF(D2106=$D$2:$D$2427,$X$2:$X$2427)))/COUNT(IF(A2106=$A$2:$A$2427,IF(D2106=$D$2:$D$2427,IF(ISNUMBER($X$2:$X$2427),1)))),0),""),0)</f>
        <v/>
      </c>
      <c r="Z2106" s="104" t="str">
        <f>IF(ISNUMBER(O2106),IF(I2106&gt;0,(10^(VLOOKUP(D2106,'Species Codes'!B:C,2,0)+VLOOKUP(D2106,'Species Codes'!B:D,3,0)*LOG(E2106)+VLOOKUP(D2106,'Species Codes'!B:E,4,0)*LOG(I2106))),0),"")</f>
        <v/>
      </c>
      <c r="AA2106" s="104" t="str">
        <f>IFERROR((VLOOKUP(D2106,'Species Codes'!B:G,6,0)*Z2106)/2000,"")</f>
        <v/>
      </c>
      <c r="AB2106" s="104" t="e">
        <f>IF(Z2106&gt;0,((IF(OR(D2106="DF",D2106="RA")=TRUE,EXP(VLOOKUP(D2106,'Species Codes'!B:I,8,0)+VLOOKUP(D2106,'Species Codes'!B:J,9,0)*(LN((E2106*2.54)))),IF(OR(D2106="PY",D2106="RC",D2106="WH",D2106="NF")=TRUE,VLOOKUP(D2106,'Species Codes'!B:I,8,0)+VLOOKUP(D2106,'Species Codes'!B:J,9,0)*((E2106*2.54)^2)*(I2106*0.3048),IF(OR(D2106="MD",D2106="BM",D2106="GA")=TRUE,((VLOOKUP(D2106,'Species Codes'!B:I,8,0)*(((((E2106*2.54)+VLOOKUP(D2106,'Species Codes'!B:J,9,0))/VLOOKUP(D2106,'Species Codes'!B:K,10,0))^VLOOKUP(D2106,'Species Codes'!B:L,11,0))*((I2106*0.3048)^VLOOKUP(D2106,'Species Codes'!B:M,12,0))))-(VLOOKUP(D2106,'Species Codes'!B:I,8,0)*((((E2106*2.54)^VLOOKUP(D2106,'Species Codes'!B:L,11,0))*((I2106*0.3048)^VLOOKUP(D2106,'Species Codes'!B:M,12,0))))))*35.3*VLOOKUP(D2106,'Species Codes'!B:G,6,0)/2.2046,VLOOKUP(D2106,'Species Codes'!B:I,8,0)+VLOOKUP(D2106,'Species Codes'!B:J,9,0)*(((E2106*2.54)/100)^2)*(I2106*0.3048)))))*0.0011023),0)</f>
        <v>#N/A</v>
      </c>
      <c r="AC2106" s="104" t="e">
        <f>IF(Z2106&gt;0,((IF(OR(D2106="RA",D2106="OA",D2106="OT",D2106="UN",D2106="PC"),EXP(VLOOKUP(D2106,'Species Codes'!B:O,14,0)+VLOOKUP(D2106,'Species Codes'!B:P,15,0)*LN((E2106*2.54)))-EXP(VLOOKUP(D2106,'Species Codes'!B:O,14,0)+VLOOKUP(D2106,'Species Codes'!B:P,15,0)*LN((E2106*2.54)))*(1/(VLOOKUP(D2106,'Species Codes'!B:Q,16,0)+VLOOKUP(D2106,'Species Codes'!B:R,17,0)*((E2106*2.54)^VLOOKUP(D2106,'Species Codes'!B:S,18,0)))),IF(OR(D2106="BM",D2106="MD",D2106="OA"),EXP(VLOOKUP(D2106,'Species Codes'!B:O,14,0)+VLOOKUP(D2106,'Species Codes'!B:P,15,0)*LN((E2106*2.54)))*(1-(1/(VLOOKUP(D2106,'Species Codes'!B:Q,16,0)+VLOOKUP(D2106,'Species Codes'!B:R,17,0)*((E2106*2.54)^VLOOKUP(D2106,'Species Codes'!B:S,18,0)))))/1000,IF(D2106="DF",EXP(VLOOKUP(D2106,'Species Codes'!B:O,14,0)+VLOOKUP(D2106,'Species Codes'!B:P,15,0)*LN((E2106*2.54))),VLOOKUP(D2106,'Species Codes'!B:O,14,0)+VLOOKUP(D2106,'Species Codes'!B:P,15,0)*(((E2106*2.54)/100)^2)*(I2106*0.3048)))))*0.0011023),0)</f>
        <v>#N/A</v>
      </c>
      <c r="AD2106" s="104" t="e">
        <f t="shared" si="922"/>
        <v>#N/A</v>
      </c>
      <c r="AE2106" s="104" t="e">
        <f t="shared" si="923"/>
        <v>#N/A</v>
      </c>
      <c r="AF2106" s="104" t="e">
        <f>IF(AND(VLOOKUP($D2106,Merchantability!$B:$C,2,0)="Yes",$E2106&gt;=VLOOKUP($D2106,Merchantability!$B:$D,3,0),$E2106&lt;=VLOOKUP($D2106,Merchantability!$B:$E,4,0)),AA2106,0)</f>
        <v>#N/A</v>
      </c>
      <c r="AG2106" s="104" t="e">
        <f>IF(AND(VLOOKUP($D2106,Merchantability!$B:$C,2,0)="Yes",$E2106&gt;=VLOOKUP($D2106,Merchantability!$B:$D,3,0),$E2106&lt;=VLOOKUP($D2106,Merchantability!$B:$E,4,0)),AB2106,0)</f>
        <v>#N/A</v>
      </c>
      <c r="AH2106" s="104" t="e">
        <f>IF(AND(VLOOKUP($D2106,Merchantability!$B:$C,2,0)="Yes",$E2106&gt;=VLOOKUP($D2106,Merchantability!$B:$D,3,0),$E2106&lt;=VLOOKUP($D2106,Merchantability!$B:$E,4,0)),AC2106,0)</f>
        <v>#N/A</v>
      </c>
      <c r="AI2106" s="104" t="e">
        <f t="shared" si="924"/>
        <v>#N/A</v>
      </c>
      <c r="AJ2106" s="104" t="e">
        <f t="shared" si="925"/>
        <v>#VALUE!</v>
      </c>
      <c r="AK2106" s="104" t="e">
        <f t="shared" si="926"/>
        <v>#N/A</v>
      </c>
      <c r="AL2106" s="104" t="e">
        <f t="shared" si="927"/>
        <v>#N/A</v>
      </c>
      <c r="AM2106" s="104" t="e">
        <f t="shared" si="928"/>
        <v>#N/A</v>
      </c>
      <c r="AN2106" s="104" t="e">
        <f t="shared" si="912"/>
        <v>#N/A</v>
      </c>
      <c r="AO2106" s="104" t="e">
        <f t="shared" si="913"/>
        <v>#N/A</v>
      </c>
      <c r="AP2106" s="104" t="e">
        <f t="shared" si="914"/>
        <v>#N/A</v>
      </c>
      <c r="AQ2106" s="104" t="e">
        <f t="shared" si="915"/>
        <v>#N/A</v>
      </c>
      <c r="AR2106" s="105" t="str">
        <f t="shared" si="907"/>
        <v/>
      </c>
      <c r="AS2106" s="105" t="str">
        <f t="shared" si="908"/>
        <v/>
      </c>
      <c r="AT2106" s="108" t="str">
        <f t="shared" si="909"/>
        <v/>
      </c>
      <c r="AU2106" s="108" t="str">
        <f t="shared" si="910"/>
        <v/>
      </c>
      <c r="AV2106" s="107" t="str">
        <f>IF(ISNUMBER(O2106),IF(VLOOKUP($A2106,Stand!C:J,8,FALSE)="Short",AT2106,AU2106),"")</f>
        <v/>
      </c>
      <c r="AW2106" s="109" t="str">
        <f t="shared" si="916"/>
        <v/>
      </c>
      <c r="AX2106" s="109" t="str">
        <f t="shared" si="917"/>
        <v/>
      </c>
      <c r="AY2106" s="112" t="str">
        <f>IF(ISNUMBER(O2106),IF(AND(VLOOKUP($D2106,Merchantability!$B:$C,2,0)="Yes",$E2106&gt;=VLOOKUP($D2106,Merchantability!$B:$D,3,0),$E2106&lt;=VLOOKUP($D2106,Merchantability!$B:$E,4,0)),(AV2106*O2106)*(1-$H2106/100),""),"")</f>
        <v/>
      </c>
      <c r="AZ2106" s="116"/>
      <c r="BA2106" s="116"/>
      <c r="BB2106" s="116"/>
      <c r="BE2106" s="62"/>
      <c r="BF2106" s="63"/>
    </row>
    <row r="2107" spans="1:58" ht="12.75" customHeight="1" x14ac:dyDescent="0.25">
      <c r="A2107" s="334"/>
      <c r="B2107" s="334"/>
      <c r="C2107" s="332"/>
      <c r="D2107" s="334"/>
      <c r="E2107" s="335"/>
      <c r="F2107" s="334"/>
      <c r="G2107" s="332"/>
      <c r="H2107" s="332"/>
      <c r="I2107" s="334"/>
      <c r="J2107" s="336"/>
      <c r="K2107" s="332"/>
      <c r="L2107" s="332"/>
      <c r="M2107" s="76"/>
      <c r="N2107" s="103" t="str">
        <f>IF(A2107="","",VLOOKUP(A2107,Stand!C:K,9,0))</f>
        <v/>
      </c>
      <c r="O2107" s="104" t="str">
        <f t="shared" si="902"/>
        <v/>
      </c>
      <c r="P2107" s="105" t="str">
        <f t="shared" si="903"/>
        <v/>
      </c>
      <c r="Q2107" s="105" t="str">
        <f t="shared" si="918"/>
        <v/>
      </c>
      <c r="R2107" s="103" t="str">
        <f t="shared" si="904"/>
        <v/>
      </c>
      <c r="S2107" s="103" t="str">
        <f t="shared" si="905"/>
        <v/>
      </c>
      <c r="T2107" s="106" t="str">
        <f t="shared" si="919"/>
        <v/>
      </c>
      <c r="U2107" s="106" t="str">
        <f t="shared" si="920"/>
        <v/>
      </c>
      <c r="V2107" s="106" t="str">
        <f t="shared" si="921"/>
        <v/>
      </c>
      <c r="W2107" s="105" t="str">
        <f t="shared" si="906"/>
        <v/>
      </c>
      <c r="X2107" s="104" t="str">
        <f t="shared" si="911"/>
        <v/>
      </c>
      <c r="Y2107" s="104" t="str">
        <f t="array" ref="Y2107">IFERROR(IF(ISNUMBER(O2107),IF(COUNT(IF(A2107=$A$2:$A$2427,IF(D2107=$D$2:$D$2427,IF($X$2:$X$2427&gt;0,1))))&gt;0,SUM(IF(A2107=$A$2:$A$2427,IF(D2107=$D$2:$D$2427,$X$2:$X$2427)))/COUNT(IF(A2107=$A$2:$A$2427,IF(D2107=$D$2:$D$2427,IF(ISNUMBER($X$2:$X$2427),1)))),0),""),0)</f>
        <v/>
      </c>
      <c r="Z2107" s="104" t="str">
        <f>IF(ISNUMBER(O2107),IF(I2107&gt;0,(10^(VLOOKUP(D2107,'Species Codes'!B:C,2,0)+VLOOKUP(D2107,'Species Codes'!B:D,3,0)*LOG(E2107)+VLOOKUP(D2107,'Species Codes'!B:E,4,0)*LOG(I2107))),0),"")</f>
        <v/>
      </c>
      <c r="AA2107" s="104" t="str">
        <f>IFERROR((VLOOKUP(D2107,'Species Codes'!B:G,6,0)*Z2107)/2000,"")</f>
        <v/>
      </c>
      <c r="AB2107" s="104" t="e">
        <f>IF(Z2107&gt;0,((IF(OR(D2107="DF",D2107="RA")=TRUE,EXP(VLOOKUP(D2107,'Species Codes'!B:I,8,0)+VLOOKUP(D2107,'Species Codes'!B:J,9,0)*(LN((E2107*2.54)))),IF(OR(D2107="PY",D2107="RC",D2107="WH",D2107="NF")=TRUE,VLOOKUP(D2107,'Species Codes'!B:I,8,0)+VLOOKUP(D2107,'Species Codes'!B:J,9,0)*((E2107*2.54)^2)*(I2107*0.3048),IF(OR(D2107="MD",D2107="BM",D2107="GA")=TRUE,((VLOOKUP(D2107,'Species Codes'!B:I,8,0)*(((((E2107*2.54)+VLOOKUP(D2107,'Species Codes'!B:J,9,0))/VLOOKUP(D2107,'Species Codes'!B:K,10,0))^VLOOKUP(D2107,'Species Codes'!B:L,11,0))*((I2107*0.3048)^VLOOKUP(D2107,'Species Codes'!B:M,12,0))))-(VLOOKUP(D2107,'Species Codes'!B:I,8,0)*((((E2107*2.54)^VLOOKUP(D2107,'Species Codes'!B:L,11,0))*((I2107*0.3048)^VLOOKUP(D2107,'Species Codes'!B:M,12,0))))))*35.3*VLOOKUP(D2107,'Species Codes'!B:G,6,0)/2.2046,VLOOKUP(D2107,'Species Codes'!B:I,8,0)+VLOOKUP(D2107,'Species Codes'!B:J,9,0)*(((E2107*2.54)/100)^2)*(I2107*0.3048)))))*0.0011023),0)</f>
        <v>#N/A</v>
      </c>
      <c r="AC2107" s="104" t="e">
        <f>IF(Z2107&gt;0,((IF(OR(D2107="RA",D2107="OA",D2107="OT",D2107="UN",D2107="PC"),EXP(VLOOKUP(D2107,'Species Codes'!B:O,14,0)+VLOOKUP(D2107,'Species Codes'!B:P,15,0)*LN((E2107*2.54)))-EXP(VLOOKUP(D2107,'Species Codes'!B:O,14,0)+VLOOKUP(D2107,'Species Codes'!B:P,15,0)*LN((E2107*2.54)))*(1/(VLOOKUP(D2107,'Species Codes'!B:Q,16,0)+VLOOKUP(D2107,'Species Codes'!B:R,17,0)*((E2107*2.54)^VLOOKUP(D2107,'Species Codes'!B:S,18,0)))),IF(OR(D2107="BM",D2107="MD",D2107="OA"),EXP(VLOOKUP(D2107,'Species Codes'!B:O,14,0)+VLOOKUP(D2107,'Species Codes'!B:P,15,0)*LN((E2107*2.54)))*(1-(1/(VLOOKUP(D2107,'Species Codes'!B:Q,16,0)+VLOOKUP(D2107,'Species Codes'!B:R,17,0)*((E2107*2.54)^VLOOKUP(D2107,'Species Codes'!B:S,18,0)))))/1000,IF(D2107="DF",EXP(VLOOKUP(D2107,'Species Codes'!B:O,14,0)+VLOOKUP(D2107,'Species Codes'!B:P,15,0)*LN((E2107*2.54))),VLOOKUP(D2107,'Species Codes'!B:O,14,0)+VLOOKUP(D2107,'Species Codes'!B:P,15,0)*(((E2107*2.54)/100)^2)*(I2107*0.3048)))))*0.0011023),0)</f>
        <v>#N/A</v>
      </c>
      <c r="AD2107" s="104" t="e">
        <f t="shared" si="922"/>
        <v>#N/A</v>
      </c>
      <c r="AE2107" s="104" t="e">
        <f t="shared" si="923"/>
        <v>#N/A</v>
      </c>
      <c r="AF2107" s="104" t="e">
        <f>IF(AND(VLOOKUP($D2107,Merchantability!$B:$C,2,0)="Yes",$E2107&gt;=VLOOKUP($D2107,Merchantability!$B:$D,3,0),$E2107&lt;=VLOOKUP($D2107,Merchantability!$B:$E,4,0)),AA2107,0)</f>
        <v>#N/A</v>
      </c>
      <c r="AG2107" s="104" t="e">
        <f>IF(AND(VLOOKUP($D2107,Merchantability!$B:$C,2,0)="Yes",$E2107&gt;=VLOOKUP($D2107,Merchantability!$B:$D,3,0),$E2107&lt;=VLOOKUP($D2107,Merchantability!$B:$E,4,0)),AB2107,0)</f>
        <v>#N/A</v>
      </c>
      <c r="AH2107" s="104" t="e">
        <f>IF(AND(VLOOKUP($D2107,Merchantability!$B:$C,2,0)="Yes",$E2107&gt;=VLOOKUP($D2107,Merchantability!$B:$D,3,0),$E2107&lt;=VLOOKUP($D2107,Merchantability!$B:$E,4,0)),AC2107,0)</f>
        <v>#N/A</v>
      </c>
      <c r="AI2107" s="104" t="e">
        <f t="shared" si="924"/>
        <v>#N/A</v>
      </c>
      <c r="AJ2107" s="104" t="e">
        <f t="shared" si="925"/>
        <v>#VALUE!</v>
      </c>
      <c r="AK2107" s="104" t="e">
        <f t="shared" si="926"/>
        <v>#N/A</v>
      </c>
      <c r="AL2107" s="104" t="e">
        <f t="shared" si="927"/>
        <v>#N/A</v>
      </c>
      <c r="AM2107" s="104" t="e">
        <f t="shared" si="928"/>
        <v>#N/A</v>
      </c>
      <c r="AN2107" s="104" t="e">
        <f t="shared" si="912"/>
        <v>#N/A</v>
      </c>
      <c r="AO2107" s="104" t="e">
        <f t="shared" si="913"/>
        <v>#N/A</v>
      </c>
      <c r="AP2107" s="104" t="e">
        <f t="shared" si="914"/>
        <v>#N/A</v>
      </c>
      <c r="AQ2107" s="104" t="e">
        <f t="shared" si="915"/>
        <v>#N/A</v>
      </c>
      <c r="AR2107" s="105" t="str">
        <f t="shared" si="907"/>
        <v/>
      </c>
      <c r="AS2107" s="105" t="str">
        <f t="shared" si="908"/>
        <v/>
      </c>
      <c r="AT2107" s="108" t="str">
        <f t="shared" si="909"/>
        <v/>
      </c>
      <c r="AU2107" s="108" t="str">
        <f t="shared" si="910"/>
        <v/>
      </c>
      <c r="AV2107" s="107" t="str">
        <f>IF(ISNUMBER(O2107),IF(VLOOKUP($A2107,Stand!C:J,8,FALSE)="Short",AT2107,AU2107),"")</f>
        <v/>
      </c>
      <c r="AW2107" s="109" t="str">
        <f t="shared" si="916"/>
        <v/>
      </c>
      <c r="AX2107" s="109" t="str">
        <f t="shared" si="917"/>
        <v/>
      </c>
      <c r="AY2107" s="112" t="str">
        <f>IF(ISNUMBER(O2107),IF(AND(VLOOKUP($D2107,Merchantability!$B:$C,2,0)="Yes",$E2107&gt;=VLOOKUP($D2107,Merchantability!$B:$D,3,0),$E2107&lt;=VLOOKUP($D2107,Merchantability!$B:$E,4,0)),(AV2107*O2107)*(1-$H2107/100),""),"")</f>
        <v/>
      </c>
      <c r="AZ2107" s="116"/>
      <c r="BA2107" s="116"/>
      <c r="BB2107" s="116"/>
      <c r="BE2107" s="62"/>
      <c r="BF2107" s="63"/>
    </row>
    <row r="2108" spans="1:58" ht="12.75" customHeight="1" x14ac:dyDescent="0.25">
      <c r="A2108" s="334"/>
      <c r="B2108" s="334"/>
      <c r="C2108" s="332"/>
      <c r="D2108" s="334"/>
      <c r="E2108" s="335"/>
      <c r="F2108" s="334"/>
      <c r="G2108" s="332"/>
      <c r="H2108" s="332"/>
      <c r="I2108" s="334"/>
      <c r="J2108" s="336"/>
      <c r="K2108" s="332"/>
      <c r="L2108" s="332"/>
      <c r="M2108" s="76"/>
      <c r="N2108" s="103" t="str">
        <f>IF(A2108="","",VLOOKUP(A2108,Stand!C:K,9,0))</f>
        <v/>
      </c>
      <c r="O2108" s="104" t="str">
        <f t="shared" si="902"/>
        <v/>
      </c>
      <c r="P2108" s="105" t="str">
        <f t="shared" si="903"/>
        <v/>
      </c>
      <c r="Q2108" s="105" t="str">
        <f t="shared" si="918"/>
        <v/>
      </c>
      <c r="R2108" s="103" t="str">
        <f t="shared" si="904"/>
        <v/>
      </c>
      <c r="S2108" s="103" t="str">
        <f t="shared" si="905"/>
        <v/>
      </c>
      <c r="T2108" s="106" t="str">
        <f t="shared" si="919"/>
        <v/>
      </c>
      <c r="U2108" s="106" t="str">
        <f t="shared" si="920"/>
        <v/>
      </c>
      <c r="V2108" s="106" t="str">
        <f t="shared" si="921"/>
        <v/>
      </c>
      <c r="W2108" s="105" t="str">
        <f t="shared" si="906"/>
        <v/>
      </c>
      <c r="X2108" s="104" t="str">
        <f t="shared" si="911"/>
        <v/>
      </c>
      <c r="Y2108" s="104" t="str">
        <f t="array" ref="Y2108">IFERROR(IF(ISNUMBER(O2108),IF(COUNT(IF(A2108=$A$2:$A$2427,IF(D2108=$D$2:$D$2427,IF($X$2:$X$2427&gt;0,1))))&gt;0,SUM(IF(A2108=$A$2:$A$2427,IF(D2108=$D$2:$D$2427,$X$2:$X$2427)))/COUNT(IF(A2108=$A$2:$A$2427,IF(D2108=$D$2:$D$2427,IF(ISNUMBER($X$2:$X$2427),1)))),0),""),0)</f>
        <v/>
      </c>
      <c r="Z2108" s="104" t="str">
        <f>IF(ISNUMBER(O2108),IF(I2108&gt;0,(10^(VLOOKUP(D2108,'Species Codes'!B:C,2,0)+VLOOKUP(D2108,'Species Codes'!B:D,3,0)*LOG(E2108)+VLOOKUP(D2108,'Species Codes'!B:E,4,0)*LOG(I2108))),0),"")</f>
        <v/>
      </c>
      <c r="AA2108" s="104" t="str">
        <f>IFERROR((VLOOKUP(D2108,'Species Codes'!B:G,6,0)*Z2108)/2000,"")</f>
        <v/>
      </c>
      <c r="AB2108" s="104" t="e">
        <f>IF(Z2108&gt;0,((IF(OR(D2108="DF",D2108="RA")=TRUE,EXP(VLOOKUP(D2108,'Species Codes'!B:I,8,0)+VLOOKUP(D2108,'Species Codes'!B:J,9,0)*(LN((E2108*2.54)))),IF(OR(D2108="PY",D2108="RC",D2108="WH",D2108="NF")=TRUE,VLOOKUP(D2108,'Species Codes'!B:I,8,0)+VLOOKUP(D2108,'Species Codes'!B:J,9,0)*((E2108*2.54)^2)*(I2108*0.3048),IF(OR(D2108="MD",D2108="BM",D2108="GA")=TRUE,((VLOOKUP(D2108,'Species Codes'!B:I,8,0)*(((((E2108*2.54)+VLOOKUP(D2108,'Species Codes'!B:J,9,0))/VLOOKUP(D2108,'Species Codes'!B:K,10,0))^VLOOKUP(D2108,'Species Codes'!B:L,11,0))*((I2108*0.3048)^VLOOKUP(D2108,'Species Codes'!B:M,12,0))))-(VLOOKUP(D2108,'Species Codes'!B:I,8,0)*((((E2108*2.54)^VLOOKUP(D2108,'Species Codes'!B:L,11,0))*((I2108*0.3048)^VLOOKUP(D2108,'Species Codes'!B:M,12,0))))))*35.3*VLOOKUP(D2108,'Species Codes'!B:G,6,0)/2.2046,VLOOKUP(D2108,'Species Codes'!B:I,8,0)+VLOOKUP(D2108,'Species Codes'!B:J,9,0)*(((E2108*2.54)/100)^2)*(I2108*0.3048)))))*0.0011023),0)</f>
        <v>#N/A</v>
      </c>
      <c r="AC2108" s="104" t="e">
        <f>IF(Z2108&gt;0,((IF(OR(D2108="RA",D2108="OA",D2108="OT",D2108="UN",D2108="PC"),EXP(VLOOKUP(D2108,'Species Codes'!B:O,14,0)+VLOOKUP(D2108,'Species Codes'!B:P,15,0)*LN((E2108*2.54)))-EXP(VLOOKUP(D2108,'Species Codes'!B:O,14,0)+VLOOKUP(D2108,'Species Codes'!B:P,15,0)*LN((E2108*2.54)))*(1/(VLOOKUP(D2108,'Species Codes'!B:Q,16,0)+VLOOKUP(D2108,'Species Codes'!B:R,17,0)*((E2108*2.54)^VLOOKUP(D2108,'Species Codes'!B:S,18,0)))),IF(OR(D2108="BM",D2108="MD",D2108="OA"),EXP(VLOOKUP(D2108,'Species Codes'!B:O,14,0)+VLOOKUP(D2108,'Species Codes'!B:P,15,0)*LN((E2108*2.54)))*(1-(1/(VLOOKUP(D2108,'Species Codes'!B:Q,16,0)+VLOOKUP(D2108,'Species Codes'!B:R,17,0)*((E2108*2.54)^VLOOKUP(D2108,'Species Codes'!B:S,18,0)))))/1000,IF(D2108="DF",EXP(VLOOKUP(D2108,'Species Codes'!B:O,14,0)+VLOOKUP(D2108,'Species Codes'!B:P,15,0)*LN((E2108*2.54))),VLOOKUP(D2108,'Species Codes'!B:O,14,0)+VLOOKUP(D2108,'Species Codes'!B:P,15,0)*(((E2108*2.54)/100)^2)*(I2108*0.3048)))))*0.0011023),0)</f>
        <v>#N/A</v>
      </c>
      <c r="AD2108" s="104" t="e">
        <f t="shared" si="922"/>
        <v>#N/A</v>
      </c>
      <c r="AE2108" s="104" t="e">
        <f t="shared" si="923"/>
        <v>#N/A</v>
      </c>
      <c r="AF2108" s="104" t="e">
        <f>IF(AND(VLOOKUP($D2108,Merchantability!$B:$C,2,0)="Yes",$E2108&gt;=VLOOKUP($D2108,Merchantability!$B:$D,3,0),$E2108&lt;=VLOOKUP($D2108,Merchantability!$B:$E,4,0)),AA2108,0)</f>
        <v>#N/A</v>
      </c>
      <c r="AG2108" s="104" t="e">
        <f>IF(AND(VLOOKUP($D2108,Merchantability!$B:$C,2,0)="Yes",$E2108&gt;=VLOOKUP($D2108,Merchantability!$B:$D,3,0),$E2108&lt;=VLOOKUP($D2108,Merchantability!$B:$E,4,0)),AB2108,0)</f>
        <v>#N/A</v>
      </c>
      <c r="AH2108" s="104" t="e">
        <f>IF(AND(VLOOKUP($D2108,Merchantability!$B:$C,2,0)="Yes",$E2108&gt;=VLOOKUP($D2108,Merchantability!$B:$D,3,0),$E2108&lt;=VLOOKUP($D2108,Merchantability!$B:$E,4,0)),AC2108,0)</f>
        <v>#N/A</v>
      </c>
      <c r="AI2108" s="104" t="e">
        <f t="shared" si="924"/>
        <v>#N/A</v>
      </c>
      <c r="AJ2108" s="104" t="e">
        <f t="shared" si="925"/>
        <v>#VALUE!</v>
      </c>
      <c r="AK2108" s="104" t="e">
        <f t="shared" si="926"/>
        <v>#N/A</v>
      </c>
      <c r="AL2108" s="104" t="e">
        <f t="shared" si="927"/>
        <v>#N/A</v>
      </c>
      <c r="AM2108" s="104" t="e">
        <f t="shared" si="928"/>
        <v>#N/A</v>
      </c>
      <c r="AN2108" s="104" t="e">
        <f t="shared" si="912"/>
        <v>#N/A</v>
      </c>
      <c r="AO2108" s="104" t="e">
        <f t="shared" si="913"/>
        <v>#N/A</v>
      </c>
      <c r="AP2108" s="104" t="e">
        <f t="shared" si="914"/>
        <v>#N/A</v>
      </c>
      <c r="AQ2108" s="104" t="e">
        <f t="shared" si="915"/>
        <v>#N/A</v>
      </c>
      <c r="AR2108" s="105" t="str">
        <f t="shared" si="907"/>
        <v/>
      </c>
      <c r="AS2108" s="105" t="str">
        <f t="shared" si="908"/>
        <v/>
      </c>
      <c r="AT2108" s="108" t="str">
        <f t="shared" si="909"/>
        <v/>
      </c>
      <c r="AU2108" s="108" t="str">
        <f t="shared" si="910"/>
        <v/>
      </c>
      <c r="AV2108" s="107" t="str">
        <f>IF(ISNUMBER(O2108),IF(VLOOKUP($A2108,Stand!C:J,8,FALSE)="Short",AT2108,AU2108),"")</f>
        <v/>
      </c>
      <c r="AW2108" s="109" t="str">
        <f t="shared" si="916"/>
        <v/>
      </c>
      <c r="AX2108" s="109" t="str">
        <f t="shared" si="917"/>
        <v/>
      </c>
      <c r="AY2108" s="112" t="str">
        <f>IF(ISNUMBER(O2108),IF(AND(VLOOKUP($D2108,Merchantability!$B:$C,2,0)="Yes",$E2108&gt;=VLOOKUP($D2108,Merchantability!$B:$D,3,0),$E2108&lt;=VLOOKUP($D2108,Merchantability!$B:$E,4,0)),(AV2108*O2108)*(1-$H2108/100),""),"")</f>
        <v/>
      </c>
      <c r="AZ2108" s="116"/>
      <c r="BA2108" s="116"/>
      <c r="BB2108" s="116"/>
      <c r="BE2108" s="62"/>
      <c r="BF2108" s="63"/>
    </row>
    <row r="2109" spans="1:58" ht="12.75" customHeight="1" x14ac:dyDescent="0.25">
      <c r="A2109" s="334"/>
      <c r="B2109" s="334"/>
      <c r="C2109" s="332"/>
      <c r="D2109" s="334"/>
      <c r="E2109" s="335"/>
      <c r="F2109" s="334"/>
      <c r="G2109" s="332"/>
      <c r="H2109" s="332"/>
      <c r="I2109" s="334"/>
      <c r="J2109" s="336"/>
      <c r="K2109" s="332"/>
      <c r="L2109" s="332"/>
      <c r="M2109" s="76"/>
      <c r="N2109" s="103" t="str">
        <f>IF(A2109="","",VLOOKUP(A2109,Stand!C:K,9,0))</f>
        <v/>
      </c>
      <c r="O2109" s="104" t="str">
        <f t="shared" si="902"/>
        <v/>
      </c>
      <c r="P2109" s="105" t="str">
        <f t="shared" si="903"/>
        <v/>
      </c>
      <c r="Q2109" s="105" t="str">
        <f t="shared" si="918"/>
        <v/>
      </c>
      <c r="R2109" s="103" t="str">
        <f t="shared" si="904"/>
        <v/>
      </c>
      <c r="S2109" s="103" t="str">
        <f t="shared" si="905"/>
        <v/>
      </c>
      <c r="T2109" s="106" t="str">
        <f t="shared" si="919"/>
        <v/>
      </c>
      <c r="U2109" s="106" t="str">
        <f t="shared" si="920"/>
        <v/>
      </c>
      <c r="V2109" s="106" t="str">
        <f t="shared" si="921"/>
        <v/>
      </c>
      <c r="W2109" s="105" t="str">
        <f t="shared" si="906"/>
        <v/>
      </c>
      <c r="X2109" s="104" t="str">
        <f t="shared" si="911"/>
        <v/>
      </c>
      <c r="Y2109" s="104" t="str">
        <f t="array" ref="Y2109">IFERROR(IF(ISNUMBER(O2109),IF(COUNT(IF(A2109=$A$2:$A$2427,IF(D2109=$D$2:$D$2427,IF($X$2:$X$2427&gt;0,1))))&gt;0,SUM(IF(A2109=$A$2:$A$2427,IF(D2109=$D$2:$D$2427,$X$2:$X$2427)))/COUNT(IF(A2109=$A$2:$A$2427,IF(D2109=$D$2:$D$2427,IF(ISNUMBER($X$2:$X$2427),1)))),0),""),0)</f>
        <v/>
      </c>
      <c r="Z2109" s="104" t="str">
        <f>IF(ISNUMBER(O2109),IF(I2109&gt;0,(10^(VLOOKUP(D2109,'Species Codes'!B:C,2,0)+VLOOKUP(D2109,'Species Codes'!B:D,3,0)*LOG(E2109)+VLOOKUP(D2109,'Species Codes'!B:E,4,0)*LOG(I2109))),0),"")</f>
        <v/>
      </c>
      <c r="AA2109" s="104" t="str">
        <f>IFERROR((VLOOKUP(D2109,'Species Codes'!B:G,6,0)*Z2109)/2000,"")</f>
        <v/>
      </c>
      <c r="AB2109" s="104" t="e">
        <f>IF(Z2109&gt;0,((IF(OR(D2109="DF",D2109="RA")=TRUE,EXP(VLOOKUP(D2109,'Species Codes'!B:I,8,0)+VLOOKUP(D2109,'Species Codes'!B:J,9,0)*(LN((E2109*2.54)))),IF(OR(D2109="PY",D2109="RC",D2109="WH",D2109="NF")=TRUE,VLOOKUP(D2109,'Species Codes'!B:I,8,0)+VLOOKUP(D2109,'Species Codes'!B:J,9,0)*((E2109*2.54)^2)*(I2109*0.3048),IF(OR(D2109="MD",D2109="BM",D2109="GA")=TRUE,((VLOOKUP(D2109,'Species Codes'!B:I,8,0)*(((((E2109*2.54)+VLOOKUP(D2109,'Species Codes'!B:J,9,0))/VLOOKUP(D2109,'Species Codes'!B:K,10,0))^VLOOKUP(D2109,'Species Codes'!B:L,11,0))*((I2109*0.3048)^VLOOKUP(D2109,'Species Codes'!B:M,12,0))))-(VLOOKUP(D2109,'Species Codes'!B:I,8,0)*((((E2109*2.54)^VLOOKUP(D2109,'Species Codes'!B:L,11,0))*((I2109*0.3048)^VLOOKUP(D2109,'Species Codes'!B:M,12,0))))))*35.3*VLOOKUP(D2109,'Species Codes'!B:G,6,0)/2.2046,VLOOKUP(D2109,'Species Codes'!B:I,8,0)+VLOOKUP(D2109,'Species Codes'!B:J,9,0)*(((E2109*2.54)/100)^2)*(I2109*0.3048)))))*0.0011023),0)</f>
        <v>#N/A</v>
      </c>
      <c r="AC2109" s="104" t="e">
        <f>IF(Z2109&gt;0,((IF(OR(D2109="RA",D2109="OA",D2109="OT",D2109="UN",D2109="PC"),EXP(VLOOKUP(D2109,'Species Codes'!B:O,14,0)+VLOOKUP(D2109,'Species Codes'!B:P,15,0)*LN((E2109*2.54)))-EXP(VLOOKUP(D2109,'Species Codes'!B:O,14,0)+VLOOKUP(D2109,'Species Codes'!B:P,15,0)*LN((E2109*2.54)))*(1/(VLOOKUP(D2109,'Species Codes'!B:Q,16,0)+VLOOKUP(D2109,'Species Codes'!B:R,17,0)*((E2109*2.54)^VLOOKUP(D2109,'Species Codes'!B:S,18,0)))),IF(OR(D2109="BM",D2109="MD",D2109="OA"),EXP(VLOOKUP(D2109,'Species Codes'!B:O,14,0)+VLOOKUP(D2109,'Species Codes'!B:P,15,0)*LN((E2109*2.54)))*(1-(1/(VLOOKUP(D2109,'Species Codes'!B:Q,16,0)+VLOOKUP(D2109,'Species Codes'!B:R,17,0)*((E2109*2.54)^VLOOKUP(D2109,'Species Codes'!B:S,18,0)))))/1000,IF(D2109="DF",EXP(VLOOKUP(D2109,'Species Codes'!B:O,14,0)+VLOOKUP(D2109,'Species Codes'!B:P,15,0)*LN((E2109*2.54))),VLOOKUP(D2109,'Species Codes'!B:O,14,0)+VLOOKUP(D2109,'Species Codes'!B:P,15,0)*(((E2109*2.54)/100)^2)*(I2109*0.3048)))))*0.0011023),0)</f>
        <v>#N/A</v>
      </c>
      <c r="AD2109" s="104" t="e">
        <f t="shared" si="922"/>
        <v>#N/A</v>
      </c>
      <c r="AE2109" s="104" t="e">
        <f t="shared" si="923"/>
        <v>#N/A</v>
      </c>
      <c r="AF2109" s="104" t="e">
        <f>IF(AND(VLOOKUP($D2109,Merchantability!$B:$C,2,0)="Yes",$E2109&gt;=VLOOKUP($D2109,Merchantability!$B:$D,3,0),$E2109&lt;=VLOOKUP($D2109,Merchantability!$B:$E,4,0)),AA2109,0)</f>
        <v>#N/A</v>
      </c>
      <c r="AG2109" s="104" t="e">
        <f>IF(AND(VLOOKUP($D2109,Merchantability!$B:$C,2,0)="Yes",$E2109&gt;=VLOOKUP($D2109,Merchantability!$B:$D,3,0),$E2109&lt;=VLOOKUP($D2109,Merchantability!$B:$E,4,0)),AB2109,0)</f>
        <v>#N/A</v>
      </c>
      <c r="AH2109" s="104" t="e">
        <f>IF(AND(VLOOKUP($D2109,Merchantability!$B:$C,2,0)="Yes",$E2109&gt;=VLOOKUP($D2109,Merchantability!$B:$D,3,0),$E2109&lt;=VLOOKUP($D2109,Merchantability!$B:$E,4,0)),AC2109,0)</f>
        <v>#N/A</v>
      </c>
      <c r="AI2109" s="104" t="e">
        <f t="shared" si="924"/>
        <v>#N/A</v>
      </c>
      <c r="AJ2109" s="104" t="e">
        <f t="shared" si="925"/>
        <v>#VALUE!</v>
      </c>
      <c r="AK2109" s="104" t="e">
        <f t="shared" si="926"/>
        <v>#N/A</v>
      </c>
      <c r="AL2109" s="104" t="e">
        <f t="shared" si="927"/>
        <v>#N/A</v>
      </c>
      <c r="AM2109" s="104" t="e">
        <f t="shared" si="928"/>
        <v>#N/A</v>
      </c>
      <c r="AN2109" s="104" t="e">
        <f t="shared" si="912"/>
        <v>#N/A</v>
      </c>
      <c r="AO2109" s="104" t="e">
        <f t="shared" si="913"/>
        <v>#N/A</v>
      </c>
      <c r="AP2109" s="104" t="e">
        <f t="shared" si="914"/>
        <v>#N/A</v>
      </c>
      <c r="AQ2109" s="104" t="e">
        <f t="shared" si="915"/>
        <v>#N/A</v>
      </c>
      <c r="AR2109" s="105" t="str">
        <f t="shared" si="907"/>
        <v/>
      </c>
      <c r="AS2109" s="105" t="str">
        <f t="shared" si="908"/>
        <v/>
      </c>
      <c r="AT2109" s="108" t="str">
        <f t="shared" si="909"/>
        <v/>
      </c>
      <c r="AU2109" s="108" t="str">
        <f t="shared" si="910"/>
        <v/>
      </c>
      <c r="AV2109" s="107" t="str">
        <f>IF(ISNUMBER(O2109),IF(VLOOKUP($A2109,Stand!C:J,8,FALSE)="Short",AT2109,AU2109),"")</f>
        <v/>
      </c>
      <c r="AW2109" s="109" t="str">
        <f t="shared" si="916"/>
        <v/>
      </c>
      <c r="AX2109" s="109" t="str">
        <f t="shared" si="917"/>
        <v/>
      </c>
      <c r="AY2109" s="112" t="str">
        <f>IF(ISNUMBER(O2109),IF(AND(VLOOKUP($D2109,Merchantability!$B:$C,2,0)="Yes",$E2109&gt;=VLOOKUP($D2109,Merchantability!$B:$D,3,0),$E2109&lt;=VLOOKUP($D2109,Merchantability!$B:$E,4,0)),(AV2109*O2109)*(1-$H2109/100),""),"")</f>
        <v/>
      </c>
      <c r="AZ2109" s="116"/>
      <c r="BA2109" s="116"/>
      <c r="BB2109" s="116"/>
      <c r="BE2109" s="62"/>
      <c r="BF2109" s="63"/>
    </row>
    <row r="2110" spans="1:58" ht="12.75" customHeight="1" x14ac:dyDescent="0.25">
      <c r="A2110" s="334"/>
      <c r="B2110" s="334"/>
      <c r="C2110" s="332"/>
      <c r="D2110" s="334"/>
      <c r="E2110" s="335"/>
      <c r="F2110" s="334"/>
      <c r="G2110" s="332"/>
      <c r="H2110" s="332"/>
      <c r="I2110" s="334"/>
      <c r="J2110" s="336"/>
      <c r="K2110" s="332"/>
      <c r="L2110" s="332"/>
      <c r="M2110" s="76"/>
      <c r="N2110" s="103" t="str">
        <f>IF(A2110="","",VLOOKUP(A2110,Stand!C:K,9,0))</f>
        <v/>
      </c>
      <c r="O2110" s="104" t="str">
        <f t="shared" si="902"/>
        <v/>
      </c>
      <c r="P2110" s="105" t="str">
        <f t="shared" si="903"/>
        <v/>
      </c>
      <c r="Q2110" s="105" t="str">
        <f t="shared" si="918"/>
        <v/>
      </c>
      <c r="R2110" s="103" t="str">
        <f t="shared" si="904"/>
        <v/>
      </c>
      <c r="S2110" s="103" t="str">
        <f t="shared" si="905"/>
        <v/>
      </c>
      <c r="T2110" s="106" t="str">
        <f t="shared" si="919"/>
        <v/>
      </c>
      <c r="U2110" s="106" t="str">
        <f t="shared" si="920"/>
        <v/>
      </c>
      <c r="V2110" s="106" t="str">
        <f t="shared" si="921"/>
        <v/>
      </c>
      <c r="W2110" s="105" t="str">
        <f t="shared" si="906"/>
        <v/>
      </c>
      <c r="X2110" s="104" t="str">
        <f t="shared" si="911"/>
        <v/>
      </c>
      <c r="Y2110" s="104" t="str">
        <f t="array" ref="Y2110">IFERROR(IF(ISNUMBER(O2110),IF(COUNT(IF(A2110=$A$2:$A$2427,IF(D2110=$D$2:$D$2427,IF($X$2:$X$2427&gt;0,1))))&gt;0,SUM(IF(A2110=$A$2:$A$2427,IF(D2110=$D$2:$D$2427,$X$2:$X$2427)))/COUNT(IF(A2110=$A$2:$A$2427,IF(D2110=$D$2:$D$2427,IF(ISNUMBER($X$2:$X$2427),1)))),0),""),0)</f>
        <v/>
      </c>
      <c r="Z2110" s="104" t="str">
        <f>IF(ISNUMBER(O2110),IF(I2110&gt;0,(10^(VLOOKUP(D2110,'Species Codes'!B:C,2,0)+VLOOKUP(D2110,'Species Codes'!B:D,3,0)*LOG(E2110)+VLOOKUP(D2110,'Species Codes'!B:E,4,0)*LOG(I2110))),0),"")</f>
        <v/>
      </c>
      <c r="AA2110" s="104" t="str">
        <f>IFERROR((VLOOKUP(D2110,'Species Codes'!B:G,6,0)*Z2110)/2000,"")</f>
        <v/>
      </c>
      <c r="AB2110" s="104" t="e">
        <f>IF(Z2110&gt;0,((IF(OR(D2110="DF",D2110="RA")=TRUE,EXP(VLOOKUP(D2110,'Species Codes'!B:I,8,0)+VLOOKUP(D2110,'Species Codes'!B:J,9,0)*(LN((E2110*2.54)))),IF(OR(D2110="PY",D2110="RC",D2110="WH",D2110="NF")=TRUE,VLOOKUP(D2110,'Species Codes'!B:I,8,0)+VLOOKUP(D2110,'Species Codes'!B:J,9,0)*((E2110*2.54)^2)*(I2110*0.3048),IF(OR(D2110="MD",D2110="BM",D2110="GA")=TRUE,((VLOOKUP(D2110,'Species Codes'!B:I,8,0)*(((((E2110*2.54)+VLOOKUP(D2110,'Species Codes'!B:J,9,0))/VLOOKUP(D2110,'Species Codes'!B:K,10,0))^VLOOKUP(D2110,'Species Codes'!B:L,11,0))*((I2110*0.3048)^VLOOKUP(D2110,'Species Codes'!B:M,12,0))))-(VLOOKUP(D2110,'Species Codes'!B:I,8,0)*((((E2110*2.54)^VLOOKUP(D2110,'Species Codes'!B:L,11,0))*((I2110*0.3048)^VLOOKUP(D2110,'Species Codes'!B:M,12,0))))))*35.3*VLOOKUP(D2110,'Species Codes'!B:G,6,0)/2.2046,VLOOKUP(D2110,'Species Codes'!B:I,8,0)+VLOOKUP(D2110,'Species Codes'!B:J,9,0)*(((E2110*2.54)/100)^2)*(I2110*0.3048)))))*0.0011023),0)</f>
        <v>#N/A</v>
      </c>
      <c r="AC2110" s="104" t="e">
        <f>IF(Z2110&gt;0,((IF(OR(D2110="RA",D2110="OA",D2110="OT",D2110="UN",D2110="PC"),EXP(VLOOKUP(D2110,'Species Codes'!B:O,14,0)+VLOOKUP(D2110,'Species Codes'!B:P,15,0)*LN((E2110*2.54)))-EXP(VLOOKUP(D2110,'Species Codes'!B:O,14,0)+VLOOKUP(D2110,'Species Codes'!B:P,15,0)*LN((E2110*2.54)))*(1/(VLOOKUP(D2110,'Species Codes'!B:Q,16,0)+VLOOKUP(D2110,'Species Codes'!B:R,17,0)*((E2110*2.54)^VLOOKUP(D2110,'Species Codes'!B:S,18,0)))),IF(OR(D2110="BM",D2110="MD",D2110="OA"),EXP(VLOOKUP(D2110,'Species Codes'!B:O,14,0)+VLOOKUP(D2110,'Species Codes'!B:P,15,0)*LN((E2110*2.54)))*(1-(1/(VLOOKUP(D2110,'Species Codes'!B:Q,16,0)+VLOOKUP(D2110,'Species Codes'!B:R,17,0)*((E2110*2.54)^VLOOKUP(D2110,'Species Codes'!B:S,18,0)))))/1000,IF(D2110="DF",EXP(VLOOKUP(D2110,'Species Codes'!B:O,14,0)+VLOOKUP(D2110,'Species Codes'!B:P,15,0)*LN((E2110*2.54))),VLOOKUP(D2110,'Species Codes'!B:O,14,0)+VLOOKUP(D2110,'Species Codes'!B:P,15,0)*(((E2110*2.54)/100)^2)*(I2110*0.3048)))))*0.0011023),0)</f>
        <v>#N/A</v>
      </c>
      <c r="AD2110" s="104" t="e">
        <f t="shared" si="922"/>
        <v>#N/A</v>
      </c>
      <c r="AE2110" s="104" t="e">
        <f t="shared" si="923"/>
        <v>#N/A</v>
      </c>
      <c r="AF2110" s="104" t="e">
        <f>IF(AND(VLOOKUP($D2110,Merchantability!$B:$C,2,0)="Yes",$E2110&gt;=VLOOKUP($D2110,Merchantability!$B:$D,3,0),$E2110&lt;=VLOOKUP($D2110,Merchantability!$B:$E,4,0)),AA2110,0)</f>
        <v>#N/A</v>
      </c>
      <c r="AG2110" s="104" t="e">
        <f>IF(AND(VLOOKUP($D2110,Merchantability!$B:$C,2,0)="Yes",$E2110&gt;=VLOOKUP($D2110,Merchantability!$B:$D,3,0),$E2110&lt;=VLOOKUP($D2110,Merchantability!$B:$E,4,0)),AB2110,0)</f>
        <v>#N/A</v>
      </c>
      <c r="AH2110" s="104" t="e">
        <f>IF(AND(VLOOKUP($D2110,Merchantability!$B:$C,2,0)="Yes",$E2110&gt;=VLOOKUP($D2110,Merchantability!$B:$D,3,0),$E2110&lt;=VLOOKUP($D2110,Merchantability!$B:$E,4,0)),AC2110,0)</f>
        <v>#N/A</v>
      </c>
      <c r="AI2110" s="104" t="e">
        <f t="shared" si="924"/>
        <v>#N/A</v>
      </c>
      <c r="AJ2110" s="104" t="e">
        <f t="shared" si="925"/>
        <v>#VALUE!</v>
      </c>
      <c r="AK2110" s="104" t="e">
        <f t="shared" si="926"/>
        <v>#N/A</v>
      </c>
      <c r="AL2110" s="104" t="e">
        <f t="shared" si="927"/>
        <v>#N/A</v>
      </c>
      <c r="AM2110" s="104" t="e">
        <f t="shared" si="928"/>
        <v>#N/A</v>
      </c>
      <c r="AN2110" s="104" t="e">
        <f t="shared" si="912"/>
        <v>#N/A</v>
      </c>
      <c r="AO2110" s="104" t="e">
        <f t="shared" si="913"/>
        <v>#N/A</v>
      </c>
      <c r="AP2110" s="104" t="e">
        <f t="shared" si="914"/>
        <v>#N/A</v>
      </c>
      <c r="AQ2110" s="104" t="e">
        <f t="shared" si="915"/>
        <v>#N/A</v>
      </c>
      <c r="AR2110" s="105" t="str">
        <f t="shared" si="907"/>
        <v/>
      </c>
      <c r="AS2110" s="105" t="str">
        <f t="shared" si="908"/>
        <v/>
      </c>
      <c r="AT2110" s="108" t="str">
        <f t="shared" si="909"/>
        <v/>
      </c>
      <c r="AU2110" s="108" t="str">
        <f t="shared" si="910"/>
        <v/>
      </c>
      <c r="AV2110" s="107" t="str">
        <f>IF(ISNUMBER(O2110),IF(VLOOKUP($A2110,Stand!C:J,8,FALSE)="Short",AT2110,AU2110),"")</f>
        <v/>
      </c>
      <c r="AW2110" s="109" t="str">
        <f t="shared" si="916"/>
        <v/>
      </c>
      <c r="AX2110" s="109" t="str">
        <f t="shared" si="917"/>
        <v/>
      </c>
      <c r="AY2110" s="112" t="str">
        <f>IF(ISNUMBER(O2110),IF(AND(VLOOKUP($D2110,Merchantability!$B:$C,2,0)="Yes",$E2110&gt;=VLOOKUP($D2110,Merchantability!$B:$D,3,0),$E2110&lt;=VLOOKUP($D2110,Merchantability!$B:$E,4,0)),(AV2110*O2110)*(1-$H2110/100),""),"")</f>
        <v/>
      </c>
      <c r="AZ2110" s="116"/>
      <c r="BA2110" s="116"/>
      <c r="BB2110" s="116"/>
      <c r="BE2110" s="62"/>
      <c r="BF2110" s="63"/>
    </row>
    <row r="2111" spans="1:58" ht="12.75" customHeight="1" x14ac:dyDescent="0.25">
      <c r="A2111" s="334"/>
      <c r="B2111" s="334"/>
      <c r="C2111" s="332"/>
      <c r="D2111" s="334"/>
      <c r="E2111" s="335"/>
      <c r="F2111" s="334"/>
      <c r="G2111" s="332"/>
      <c r="H2111" s="332"/>
      <c r="I2111" s="334"/>
      <c r="J2111" s="336"/>
      <c r="K2111" s="332"/>
      <c r="L2111" s="332"/>
      <c r="M2111" s="76"/>
      <c r="N2111" s="103" t="str">
        <f>IF(A2111="","",VLOOKUP(A2111,Stand!C:K,9,0))</f>
        <v/>
      </c>
      <c r="O2111" s="104" t="str">
        <f t="shared" si="902"/>
        <v/>
      </c>
      <c r="P2111" s="105" t="str">
        <f t="shared" si="903"/>
        <v/>
      </c>
      <c r="Q2111" s="105" t="str">
        <f t="shared" si="918"/>
        <v/>
      </c>
      <c r="R2111" s="103" t="str">
        <f t="shared" si="904"/>
        <v/>
      </c>
      <c r="S2111" s="103" t="str">
        <f t="shared" si="905"/>
        <v/>
      </c>
      <c r="T2111" s="106" t="str">
        <f t="shared" si="919"/>
        <v/>
      </c>
      <c r="U2111" s="106" t="str">
        <f t="shared" si="920"/>
        <v/>
      </c>
      <c r="V2111" s="106" t="str">
        <f t="shared" si="921"/>
        <v/>
      </c>
      <c r="W2111" s="105" t="str">
        <f t="shared" si="906"/>
        <v/>
      </c>
      <c r="X2111" s="104" t="str">
        <f t="shared" si="911"/>
        <v/>
      </c>
      <c r="Y2111" s="104" t="str">
        <f t="array" ref="Y2111">IFERROR(IF(ISNUMBER(O2111),IF(COUNT(IF(A2111=$A$2:$A$2427,IF(D2111=$D$2:$D$2427,IF($X$2:$X$2427&gt;0,1))))&gt;0,SUM(IF(A2111=$A$2:$A$2427,IF(D2111=$D$2:$D$2427,$X$2:$X$2427)))/COUNT(IF(A2111=$A$2:$A$2427,IF(D2111=$D$2:$D$2427,IF(ISNUMBER($X$2:$X$2427),1)))),0),""),0)</f>
        <v/>
      </c>
      <c r="Z2111" s="104" t="str">
        <f>IF(ISNUMBER(O2111),IF(I2111&gt;0,(10^(VLOOKUP(D2111,'Species Codes'!B:C,2,0)+VLOOKUP(D2111,'Species Codes'!B:D,3,0)*LOG(E2111)+VLOOKUP(D2111,'Species Codes'!B:E,4,0)*LOG(I2111))),0),"")</f>
        <v/>
      </c>
      <c r="AA2111" s="104" t="str">
        <f>IFERROR((VLOOKUP(D2111,'Species Codes'!B:G,6,0)*Z2111)/2000,"")</f>
        <v/>
      </c>
      <c r="AB2111" s="104" t="e">
        <f>IF(Z2111&gt;0,((IF(OR(D2111="DF",D2111="RA")=TRUE,EXP(VLOOKUP(D2111,'Species Codes'!B:I,8,0)+VLOOKUP(D2111,'Species Codes'!B:J,9,0)*(LN((E2111*2.54)))),IF(OR(D2111="PY",D2111="RC",D2111="WH",D2111="NF")=TRUE,VLOOKUP(D2111,'Species Codes'!B:I,8,0)+VLOOKUP(D2111,'Species Codes'!B:J,9,0)*((E2111*2.54)^2)*(I2111*0.3048),IF(OR(D2111="MD",D2111="BM",D2111="GA")=TRUE,((VLOOKUP(D2111,'Species Codes'!B:I,8,0)*(((((E2111*2.54)+VLOOKUP(D2111,'Species Codes'!B:J,9,0))/VLOOKUP(D2111,'Species Codes'!B:K,10,0))^VLOOKUP(D2111,'Species Codes'!B:L,11,0))*((I2111*0.3048)^VLOOKUP(D2111,'Species Codes'!B:M,12,0))))-(VLOOKUP(D2111,'Species Codes'!B:I,8,0)*((((E2111*2.54)^VLOOKUP(D2111,'Species Codes'!B:L,11,0))*((I2111*0.3048)^VLOOKUP(D2111,'Species Codes'!B:M,12,0))))))*35.3*VLOOKUP(D2111,'Species Codes'!B:G,6,0)/2.2046,VLOOKUP(D2111,'Species Codes'!B:I,8,0)+VLOOKUP(D2111,'Species Codes'!B:J,9,0)*(((E2111*2.54)/100)^2)*(I2111*0.3048)))))*0.0011023),0)</f>
        <v>#N/A</v>
      </c>
      <c r="AC2111" s="104" t="e">
        <f>IF(Z2111&gt;0,((IF(OR(D2111="RA",D2111="OA",D2111="OT",D2111="UN",D2111="PC"),EXP(VLOOKUP(D2111,'Species Codes'!B:O,14,0)+VLOOKUP(D2111,'Species Codes'!B:P,15,0)*LN((E2111*2.54)))-EXP(VLOOKUP(D2111,'Species Codes'!B:O,14,0)+VLOOKUP(D2111,'Species Codes'!B:P,15,0)*LN((E2111*2.54)))*(1/(VLOOKUP(D2111,'Species Codes'!B:Q,16,0)+VLOOKUP(D2111,'Species Codes'!B:R,17,0)*((E2111*2.54)^VLOOKUP(D2111,'Species Codes'!B:S,18,0)))),IF(OR(D2111="BM",D2111="MD",D2111="OA"),EXP(VLOOKUP(D2111,'Species Codes'!B:O,14,0)+VLOOKUP(D2111,'Species Codes'!B:P,15,0)*LN((E2111*2.54)))*(1-(1/(VLOOKUP(D2111,'Species Codes'!B:Q,16,0)+VLOOKUP(D2111,'Species Codes'!B:R,17,0)*((E2111*2.54)^VLOOKUP(D2111,'Species Codes'!B:S,18,0)))))/1000,IF(D2111="DF",EXP(VLOOKUP(D2111,'Species Codes'!B:O,14,0)+VLOOKUP(D2111,'Species Codes'!B:P,15,0)*LN((E2111*2.54))),VLOOKUP(D2111,'Species Codes'!B:O,14,0)+VLOOKUP(D2111,'Species Codes'!B:P,15,0)*(((E2111*2.54)/100)^2)*(I2111*0.3048)))))*0.0011023),0)</f>
        <v>#N/A</v>
      </c>
      <c r="AD2111" s="104" t="e">
        <f t="shared" si="922"/>
        <v>#N/A</v>
      </c>
      <c r="AE2111" s="104" t="e">
        <f t="shared" si="923"/>
        <v>#N/A</v>
      </c>
      <c r="AF2111" s="104" t="e">
        <f>IF(AND(VLOOKUP($D2111,Merchantability!$B:$C,2,0)="Yes",$E2111&gt;=VLOOKUP($D2111,Merchantability!$B:$D,3,0),$E2111&lt;=VLOOKUP($D2111,Merchantability!$B:$E,4,0)),AA2111,0)</f>
        <v>#N/A</v>
      </c>
      <c r="AG2111" s="104" t="e">
        <f>IF(AND(VLOOKUP($D2111,Merchantability!$B:$C,2,0)="Yes",$E2111&gt;=VLOOKUP($D2111,Merchantability!$B:$D,3,0),$E2111&lt;=VLOOKUP($D2111,Merchantability!$B:$E,4,0)),AB2111,0)</f>
        <v>#N/A</v>
      </c>
      <c r="AH2111" s="104" t="e">
        <f>IF(AND(VLOOKUP($D2111,Merchantability!$B:$C,2,0)="Yes",$E2111&gt;=VLOOKUP($D2111,Merchantability!$B:$D,3,0),$E2111&lt;=VLOOKUP($D2111,Merchantability!$B:$E,4,0)),AC2111,0)</f>
        <v>#N/A</v>
      </c>
      <c r="AI2111" s="104" t="e">
        <f t="shared" si="924"/>
        <v>#N/A</v>
      </c>
      <c r="AJ2111" s="104" t="e">
        <f t="shared" si="925"/>
        <v>#VALUE!</v>
      </c>
      <c r="AK2111" s="104" t="e">
        <f t="shared" si="926"/>
        <v>#N/A</v>
      </c>
      <c r="AL2111" s="104" t="e">
        <f t="shared" si="927"/>
        <v>#N/A</v>
      </c>
      <c r="AM2111" s="104" t="e">
        <f t="shared" si="928"/>
        <v>#N/A</v>
      </c>
      <c r="AN2111" s="104" t="e">
        <f t="shared" si="912"/>
        <v>#N/A</v>
      </c>
      <c r="AO2111" s="104" t="e">
        <f t="shared" si="913"/>
        <v>#N/A</v>
      </c>
      <c r="AP2111" s="104" t="e">
        <f t="shared" si="914"/>
        <v>#N/A</v>
      </c>
      <c r="AQ2111" s="104" t="e">
        <f t="shared" si="915"/>
        <v>#N/A</v>
      </c>
      <c r="AR2111" s="105" t="str">
        <f t="shared" si="907"/>
        <v/>
      </c>
      <c r="AS2111" s="105" t="str">
        <f t="shared" si="908"/>
        <v/>
      </c>
      <c r="AT2111" s="108" t="str">
        <f t="shared" si="909"/>
        <v/>
      </c>
      <c r="AU2111" s="108" t="str">
        <f t="shared" si="910"/>
        <v/>
      </c>
      <c r="AV2111" s="107" t="str">
        <f>IF(ISNUMBER(O2111),IF(VLOOKUP($A2111,Stand!C:J,8,FALSE)="Short",AT2111,AU2111),"")</f>
        <v/>
      </c>
      <c r="AW2111" s="109" t="str">
        <f t="shared" si="916"/>
        <v/>
      </c>
      <c r="AX2111" s="109" t="str">
        <f t="shared" si="917"/>
        <v/>
      </c>
      <c r="AY2111" s="112" t="str">
        <f>IF(ISNUMBER(O2111),IF(AND(VLOOKUP($D2111,Merchantability!$B:$C,2,0)="Yes",$E2111&gt;=VLOOKUP($D2111,Merchantability!$B:$D,3,0),$E2111&lt;=VLOOKUP($D2111,Merchantability!$B:$E,4,0)),(AV2111*O2111)*(1-$H2111/100),""),"")</f>
        <v/>
      </c>
      <c r="AZ2111" s="116"/>
      <c r="BA2111" s="116"/>
      <c r="BB2111" s="116"/>
      <c r="BE2111" s="62"/>
      <c r="BF2111" s="63"/>
    </row>
    <row r="2112" spans="1:58" ht="12.75" customHeight="1" x14ac:dyDescent="0.25">
      <c r="A2112" s="334"/>
      <c r="B2112" s="334"/>
      <c r="C2112" s="332"/>
      <c r="D2112" s="334"/>
      <c r="E2112" s="335"/>
      <c r="F2112" s="334"/>
      <c r="G2112" s="332"/>
      <c r="H2112" s="332"/>
      <c r="I2112" s="334"/>
      <c r="J2112" s="336"/>
      <c r="K2112" s="332"/>
      <c r="L2112" s="332"/>
      <c r="M2112" s="76"/>
      <c r="N2112" s="103" t="str">
        <f>IF(A2112="","",VLOOKUP(A2112,Stand!C:K,9,0))</f>
        <v/>
      </c>
      <c r="O2112" s="104" t="str">
        <f t="shared" si="902"/>
        <v/>
      </c>
      <c r="P2112" s="105" t="str">
        <f t="shared" si="903"/>
        <v/>
      </c>
      <c r="Q2112" s="105" t="str">
        <f t="shared" si="918"/>
        <v/>
      </c>
      <c r="R2112" s="103" t="str">
        <f t="shared" si="904"/>
        <v/>
      </c>
      <c r="S2112" s="103" t="str">
        <f t="shared" si="905"/>
        <v/>
      </c>
      <c r="T2112" s="106" t="str">
        <f t="shared" si="919"/>
        <v/>
      </c>
      <c r="U2112" s="106" t="str">
        <f t="shared" si="920"/>
        <v/>
      </c>
      <c r="V2112" s="106" t="str">
        <f t="shared" si="921"/>
        <v/>
      </c>
      <c r="W2112" s="105" t="str">
        <f t="shared" si="906"/>
        <v/>
      </c>
      <c r="X2112" s="104" t="str">
        <f t="shared" si="911"/>
        <v/>
      </c>
      <c r="Y2112" s="104" t="str">
        <f t="array" ref="Y2112">IFERROR(IF(ISNUMBER(O2112),IF(COUNT(IF(A2112=$A$2:$A$2427,IF(D2112=$D$2:$D$2427,IF($X$2:$X$2427&gt;0,1))))&gt;0,SUM(IF(A2112=$A$2:$A$2427,IF(D2112=$D$2:$D$2427,$X$2:$X$2427)))/COUNT(IF(A2112=$A$2:$A$2427,IF(D2112=$D$2:$D$2427,IF(ISNUMBER($X$2:$X$2427),1)))),0),""),0)</f>
        <v/>
      </c>
      <c r="Z2112" s="104" t="str">
        <f>IF(ISNUMBER(O2112),IF(I2112&gt;0,(10^(VLOOKUP(D2112,'Species Codes'!B:C,2,0)+VLOOKUP(D2112,'Species Codes'!B:D,3,0)*LOG(E2112)+VLOOKUP(D2112,'Species Codes'!B:E,4,0)*LOG(I2112))),0),"")</f>
        <v/>
      </c>
      <c r="AA2112" s="104" t="str">
        <f>IFERROR((VLOOKUP(D2112,'Species Codes'!B:G,6,0)*Z2112)/2000,"")</f>
        <v/>
      </c>
      <c r="AB2112" s="104" t="e">
        <f>IF(Z2112&gt;0,((IF(OR(D2112="DF",D2112="RA")=TRUE,EXP(VLOOKUP(D2112,'Species Codes'!B:I,8,0)+VLOOKUP(D2112,'Species Codes'!B:J,9,0)*(LN((E2112*2.54)))),IF(OR(D2112="PY",D2112="RC",D2112="WH",D2112="NF")=TRUE,VLOOKUP(D2112,'Species Codes'!B:I,8,0)+VLOOKUP(D2112,'Species Codes'!B:J,9,0)*((E2112*2.54)^2)*(I2112*0.3048),IF(OR(D2112="MD",D2112="BM",D2112="GA")=TRUE,((VLOOKUP(D2112,'Species Codes'!B:I,8,0)*(((((E2112*2.54)+VLOOKUP(D2112,'Species Codes'!B:J,9,0))/VLOOKUP(D2112,'Species Codes'!B:K,10,0))^VLOOKUP(D2112,'Species Codes'!B:L,11,0))*((I2112*0.3048)^VLOOKUP(D2112,'Species Codes'!B:M,12,0))))-(VLOOKUP(D2112,'Species Codes'!B:I,8,0)*((((E2112*2.54)^VLOOKUP(D2112,'Species Codes'!B:L,11,0))*((I2112*0.3048)^VLOOKUP(D2112,'Species Codes'!B:M,12,0))))))*35.3*VLOOKUP(D2112,'Species Codes'!B:G,6,0)/2.2046,VLOOKUP(D2112,'Species Codes'!B:I,8,0)+VLOOKUP(D2112,'Species Codes'!B:J,9,0)*(((E2112*2.54)/100)^2)*(I2112*0.3048)))))*0.0011023),0)</f>
        <v>#N/A</v>
      </c>
      <c r="AC2112" s="104" t="e">
        <f>IF(Z2112&gt;0,((IF(OR(D2112="RA",D2112="OA",D2112="OT",D2112="UN",D2112="PC"),EXP(VLOOKUP(D2112,'Species Codes'!B:O,14,0)+VLOOKUP(D2112,'Species Codes'!B:P,15,0)*LN((E2112*2.54)))-EXP(VLOOKUP(D2112,'Species Codes'!B:O,14,0)+VLOOKUP(D2112,'Species Codes'!B:P,15,0)*LN((E2112*2.54)))*(1/(VLOOKUP(D2112,'Species Codes'!B:Q,16,0)+VLOOKUP(D2112,'Species Codes'!B:R,17,0)*((E2112*2.54)^VLOOKUP(D2112,'Species Codes'!B:S,18,0)))),IF(OR(D2112="BM",D2112="MD",D2112="OA"),EXP(VLOOKUP(D2112,'Species Codes'!B:O,14,0)+VLOOKUP(D2112,'Species Codes'!B:P,15,0)*LN((E2112*2.54)))*(1-(1/(VLOOKUP(D2112,'Species Codes'!B:Q,16,0)+VLOOKUP(D2112,'Species Codes'!B:R,17,0)*((E2112*2.54)^VLOOKUP(D2112,'Species Codes'!B:S,18,0)))))/1000,IF(D2112="DF",EXP(VLOOKUP(D2112,'Species Codes'!B:O,14,0)+VLOOKUP(D2112,'Species Codes'!B:P,15,0)*LN((E2112*2.54))),VLOOKUP(D2112,'Species Codes'!B:O,14,0)+VLOOKUP(D2112,'Species Codes'!B:P,15,0)*(((E2112*2.54)/100)^2)*(I2112*0.3048)))))*0.0011023),0)</f>
        <v>#N/A</v>
      </c>
      <c r="AD2112" s="104" t="e">
        <f t="shared" si="922"/>
        <v>#N/A</v>
      </c>
      <c r="AE2112" s="104" t="e">
        <f t="shared" si="923"/>
        <v>#N/A</v>
      </c>
      <c r="AF2112" s="104" t="e">
        <f>IF(AND(VLOOKUP($D2112,Merchantability!$B:$C,2,0)="Yes",$E2112&gt;=VLOOKUP($D2112,Merchantability!$B:$D,3,0),$E2112&lt;=VLOOKUP($D2112,Merchantability!$B:$E,4,0)),AA2112,0)</f>
        <v>#N/A</v>
      </c>
      <c r="AG2112" s="104" t="e">
        <f>IF(AND(VLOOKUP($D2112,Merchantability!$B:$C,2,0)="Yes",$E2112&gt;=VLOOKUP($D2112,Merchantability!$B:$D,3,0),$E2112&lt;=VLOOKUP($D2112,Merchantability!$B:$E,4,0)),AB2112,0)</f>
        <v>#N/A</v>
      </c>
      <c r="AH2112" s="104" t="e">
        <f>IF(AND(VLOOKUP($D2112,Merchantability!$B:$C,2,0)="Yes",$E2112&gt;=VLOOKUP($D2112,Merchantability!$B:$D,3,0),$E2112&lt;=VLOOKUP($D2112,Merchantability!$B:$E,4,0)),AC2112,0)</f>
        <v>#N/A</v>
      </c>
      <c r="AI2112" s="104" t="e">
        <f t="shared" si="924"/>
        <v>#N/A</v>
      </c>
      <c r="AJ2112" s="104" t="e">
        <f t="shared" si="925"/>
        <v>#VALUE!</v>
      </c>
      <c r="AK2112" s="104" t="e">
        <f t="shared" si="926"/>
        <v>#N/A</v>
      </c>
      <c r="AL2112" s="104" t="e">
        <f t="shared" si="927"/>
        <v>#N/A</v>
      </c>
      <c r="AM2112" s="104" t="e">
        <f t="shared" si="928"/>
        <v>#N/A</v>
      </c>
      <c r="AN2112" s="104" t="e">
        <f t="shared" si="912"/>
        <v>#N/A</v>
      </c>
      <c r="AO2112" s="104" t="e">
        <f t="shared" si="913"/>
        <v>#N/A</v>
      </c>
      <c r="AP2112" s="104" t="e">
        <f t="shared" si="914"/>
        <v>#N/A</v>
      </c>
      <c r="AQ2112" s="104" t="e">
        <f t="shared" si="915"/>
        <v>#N/A</v>
      </c>
      <c r="AR2112" s="105" t="str">
        <f t="shared" si="907"/>
        <v/>
      </c>
      <c r="AS2112" s="105" t="str">
        <f t="shared" si="908"/>
        <v/>
      </c>
      <c r="AT2112" s="108" t="str">
        <f t="shared" si="909"/>
        <v/>
      </c>
      <c r="AU2112" s="108" t="str">
        <f t="shared" si="910"/>
        <v/>
      </c>
      <c r="AV2112" s="107" t="str">
        <f>IF(ISNUMBER(O2112),IF(VLOOKUP($A2112,Stand!C:J,8,FALSE)="Short",AT2112,AU2112),"")</f>
        <v/>
      </c>
      <c r="AW2112" s="109" t="str">
        <f t="shared" si="916"/>
        <v/>
      </c>
      <c r="AX2112" s="109" t="str">
        <f t="shared" si="917"/>
        <v/>
      </c>
      <c r="AY2112" s="112" t="str">
        <f>IF(ISNUMBER(O2112),IF(AND(VLOOKUP($D2112,Merchantability!$B:$C,2,0)="Yes",$E2112&gt;=VLOOKUP($D2112,Merchantability!$B:$D,3,0),$E2112&lt;=VLOOKUP($D2112,Merchantability!$B:$E,4,0)),(AV2112*O2112)*(1-$H2112/100),""),"")</f>
        <v/>
      </c>
      <c r="AZ2112" s="116"/>
      <c r="BA2112" s="116"/>
      <c r="BB2112" s="116"/>
      <c r="BE2112" s="62"/>
      <c r="BF2112" s="63"/>
    </row>
    <row r="2113" spans="1:58" ht="12.75" customHeight="1" x14ac:dyDescent="0.25">
      <c r="A2113" s="334"/>
      <c r="B2113" s="334"/>
      <c r="C2113" s="332"/>
      <c r="D2113" s="334"/>
      <c r="E2113" s="335"/>
      <c r="F2113" s="334"/>
      <c r="G2113" s="332"/>
      <c r="H2113" s="332"/>
      <c r="I2113" s="334"/>
      <c r="J2113" s="336"/>
      <c r="K2113" s="332"/>
      <c r="L2113" s="332"/>
      <c r="M2113" s="76"/>
      <c r="N2113" s="103" t="str">
        <f>IF(A2113="","",VLOOKUP(A2113,Stand!C:K,9,0))</f>
        <v/>
      </c>
      <c r="O2113" s="104" t="str">
        <f t="shared" si="902"/>
        <v/>
      </c>
      <c r="P2113" s="105" t="str">
        <f t="shared" si="903"/>
        <v/>
      </c>
      <c r="Q2113" s="105" t="str">
        <f t="shared" si="918"/>
        <v/>
      </c>
      <c r="R2113" s="103" t="str">
        <f t="shared" si="904"/>
        <v/>
      </c>
      <c r="S2113" s="103" t="str">
        <f t="shared" si="905"/>
        <v/>
      </c>
      <c r="T2113" s="106" t="str">
        <f t="shared" si="919"/>
        <v/>
      </c>
      <c r="U2113" s="106" t="str">
        <f t="shared" si="920"/>
        <v/>
      </c>
      <c r="V2113" s="106" t="str">
        <f t="shared" si="921"/>
        <v/>
      </c>
      <c r="W2113" s="105" t="str">
        <f t="shared" si="906"/>
        <v/>
      </c>
      <c r="X2113" s="104" t="str">
        <f t="shared" si="911"/>
        <v/>
      </c>
      <c r="Y2113" s="104" t="str">
        <f t="array" ref="Y2113">IFERROR(IF(ISNUMBER(O2113),IF(COUNT(IF(A2113=$A$2:$A$2427,IF(D2113=$D$2:$D$2427,IF($X$2:$X$2427&gt;0,1))))&gt;0,SUM(IF(A2113=$A$2:$A$2427,IF(D2113=$D$2:$D$2427,$X$2:$X$2427)))/COUNT(IF(A2113=$A$2:$A$2427,IF(D2113=$D$2:$D$2427,IF(ISNUMBER($X$2:$X$2427),1)))),0),""),0)</f>
        <v/>
      </c>
      <c r="Z2113" s="104" t="str">
        <f>IF(ISNUMBER(O2113),IF(I2113&gt;0,(10^(VLOOKUP(D2113,'Species Codes'!B:C,2,0)+VLOOKUP(D2113,'Species Codes'!B:D,3,0)*LOG(E2113)+VLOOKUP(D2113,'Species Codes'!B:E,4,0)*LOG(I2113))),0),"")</f>
        <v/>
      </c>
      <c r="AA2113" s="104" t="str">
        <f>IFERROR((VLOOKUP(D2113,'Species Codes'!B:G,6,0)*Z2113)/2000,"")</f>
        <v/>
      </c>
      <c r="AB2113" s="104" t="e">
        <f>IF(Z2113&gt;0,((IF(OR(D2113="DF",D2113="RA")=TRUE,EXP(VLOOKUP(D2113,'Species Codes'!B:I,8,0)+VLOOKUP(D2113,'Species Codes'!B:J,9,0)*(LN((E2113*2.54)))),IF(OR(D2113="PY",D2113="RC",D2113="WH",D2113="NF")=TRUE,VLOOKUP(D2113,'Species Codes'!B:I,8,0)+VLOOKUP(D2113,'Species Codes'!B:J,9,0)*((E2113*2.54)^2)*(I2113*0.3048),IF(OR(D2113="MD",D2113="BM",D2113="GA")=TRUE,((VLOOKUP(D2113,'Species Codes'!B:I,8,0)*(((((E2113*2.54)+VLOOKUP(D2113,'Species Codes'!B:J,9,0))/VLOOKUP(D2113,'Species Codes'!B:K,10,0))^VLOOKUP(D2113,'Species Codes'!B:L,11,0))*((I2113*0.3048)^VLOOKUP(D2113,'Species Codes'!B:M,12,0))))-(VLOOKUP(D2113,'Species Codes'!B:I,8,0)*((((E2113*2.54)^VLOOKUP(D2113,'Species Codes'!B:L,11,0))*((I2113*0.3048)^VLOOKUP(D2113,'Species Codes'!B:M,12,0))))))*35.3*VLOOKUP(D2113,'Species Codes'!B:G,6,0)/2.2046,VLOOKUP(D2113,'Species Codes'!B:I,8,0)+VLOOKUP(D2113,'Species Codes'!B:J,9,0)*(((E2113*2.54)/100)^2)*(I2113*0.3048)))))*0.0011023),0)</f>
        <v>#N/A</v>
      </c>
      <c r="AC2113" s="104" t="e">
        <f>IF(Z2113&gt;0,((IF(OR(D2113="RA",D2113="OA",D2113="OT",D2113="UN",D2113="PC"),EXP(VLOOKUP(D2113,'Species Codes'!B:O,14,0)+VLOOKUP(D2113,'Species Codes'!B:P,15,0)*LN((E2113*2.54)))-EXP(VLOOKUP(D2113,'Species Codes'!B:O,14,0)+VLOOKUP(D2113,'Species Codes'!B:P,15,0)*LN((E2113*2.54)))*(1/(VLOOKUP(D2113,'Species Codes'!B:Q,16,0)+VLOOKUP(D2113,'Species Codes'!B:R,17,0)*((E2113*2.54)^VLOOKUP(D2113,'Species Codes'!B:S,18,0)))),IF(OR(D2113="BM",D2113="MD",D2113="OA"),EXP(VLOOKUP(D2113,'Species Codes'!B:O,14,0)+VLOOKUP(D2113,'Species Codes'!B:P,15,0)*LN((E2113*2.54)))*(1-(1/(VLOOKUP(D2113,'Species Codes'!B:Q,16,0)+VLOOKUP(D2113,'Species Codes'!B:R,17,0)*((E2113*2.54)^VLOOKUP(D2113,'Species Codes'!B:S,18,0)))))/1000,IF(D2113="DF",EXP(VLOOKUP(D2113,'Species Codes'!B:O,14,0)+VLOOKUP(D2113,'Species Codes'!B:P,15,0)*LN((E2113*2.54))),VLOOKUP(D2113,'Species Codes'!B:O,14,0)+VLOOKUP(D2113,'Species Codes'!B:P,15,0)*(((E2113*2.54)/100)^2)*(I2113*0.3048)))))*0.0011023),0)</f>
        <v>#N/A</v>
      </c>
      <c r="AD2113" s="104" t="e">
        <f t="shared" si="922"/>
        <v>#N/A</v>
      </c>
      <c r="AE2113" s="104" t="e">
        <f t="shared" si="923"/>
        <v>#N/A</v>
      </c>
      <c r="AF2113" s="104" t="e">
        <f>IF(AND(VLOOKUP($D2113,Merchantability!$B:$C,2,0)="Yes",$E2113&gt;=VLOOKUP($D2113,Merchantability!$B:$D,3,0),$E2113&lt;=VLOOKUP($D2113,Merchantability!$B:$E,4,0)),AA2113,0)</f>
        <v>#N/A</v>
      </c>
      <c r="AG2113" s="104" t="e">
        <f>IF(AND(VLOOKUP($D2113,Merchantability!$B:$C,2,0)="Yes",$E2113&gt;=VLOOKUP($D2113,Merchantability!$B:$D,3,0),$E2113&lt;=VLOOKUP($D2113,Merchantability!$B:$E,4,0)),AB2113,0)</f>
        <v>#N/A</v>
      </c>
      <c r="AH2113" s="104" t="e">
        <f>IF(AND(VLOOKUP($D2113,Merchantability!$B:$C,2,0)="Yes",$E2113&gt;=VLOOKUP($D2113,Merchantability!$B:$D,3,0),$E2113&lt;=VLOOKUP($D2113,Merchantability!$B:$E,4,0)),AC2113,0)</f>
        <v>#N/A</v>
      </c>
      <c r="AI2113" s="104" t="e">
        <f t="shared" si="924"/>
        <v>#N/A</v>
      </c>
      <c r="AJ2113" s="104" t="e">
        <f t="shared" si="925"/>
        <v>#VALUE!</v>
      </c>
      <c r="AK2113" s="104" t="e">
        <f t="shared" si="926"/>
        <v>#N/A</v>
      </c>
      <c r="AL2113" s="104" t="e">
        <f t="shared" si="927"/>
        <v>#N/A</v>
      </c>
      <c r="AM2113" s="104" t="e">
        <f t="shared" si="928"/>
        <v>#N/A</v>
      </c>
      <c r="AN2113" s="104" t="e">
        <f t="shared" si="912"/>
        <v>#N/A</v>
      </c>
      <c r="AO2113" s="104" t="e">
        <f t="shared" si="913"/>
        <v>#N/A</v>
      </c>
      <c r="AP2113" s="104" t="e">
        <f t="shared" si="914"/>
        <v>#N/A</v>
      </c>
      <c r="AQ2113" s="104" t="e">
        <f t="shared" si="915"/>
        <v>#N/A</v>
      </c>
      <c r="AR2113" s="105" t="str">
        <f t="shared" si="907"/>
        <v/>
      </c>
      <c r="AS2113" s="105" t="str">
        <f t="shared" si="908"/>
        <v/>
      </c>
      <c r="AT2113" s="108" t="str">
        <f t="shared" si="909"/>
        <v/>
      </c>
      <c r="AU2113" s="108" t="str">
        <f t="shared" si="910"/>
        <v/>
      </c>
      <c r="AV2113" s="107" t="str">
        <f>IF(ISNUMBER(O2113),IF(VLOOKUP($A2113,Stand!C:J,8,FALSE)="Short",AT2113,AU2113),"")</f>
        <v/>
      </c>
      <c r="AW2113" s="109" t="str">
        <f t="shared" si="916"/>
        <v/>
      </c>
      <c r="AX2113" s="109" t="str">
        <f t="shared" si="917"/>
        <v/>
      </c>
      <c r="AY2113" s="112" t="str">
        <f>IF(ISNUMBER(O2113),IF(AND(VLOOKUP($D2113,Merchantability!$B:$C,2,0)="Yes",$E2113&gt;=VLOOKUP($D2113,Merchantability!$B:$D,3,0),$E2113&lt;=VLOOKUP($D2113,Merchantability!$B:$E,4,0)),(AV2113*O2113)*(1-$H2113/100),""),"")</f>
        <v/>
      </c>
      <c r="AZ2113" s="116"/>
      <c r="BA2113" s="116"/>
      <c r="BB2113" s="116"/>
      <c r="BE2113" s="62"/>
      <c r="BF2113" s="63"/>
    </row>
    <row r="2114" spans="1:58" ht="12.75" customHeight="1" x14ac:dyDescent="0.25">
      <c r="A2114" s="334"/>
      <c r="B2114" s="334"/>
      <c r="C2114" s="332"/>
      <c r="D2114" s="334"/>
      <c r="E2114" s="335"/>
      <c r="F2114" s="334"/>
      <c r="G2114" s="332"/>
      <c r="H2114" s="332"/>
      <c r="I2114" s="334"/>
      <c r="J2114" s="336"/>
      <c r="K2114" s="332"/>
      <c r="L2114" s="332"/>
      <c r="M2114" s="76"/>
      <c r="N2114" s="103" t="str">
        <f>IF(A2114="","",VLOOKUP(A2114,Stand!C:K,9,0))</f>
        <v/>
      </c>
      <c r="O2114" s="104" t="str">
        <f t="shared" ref="O2114:O2177" si="929">IF(E2114&gt;0,IF(G2114&gt;1,G2114*(43560/(N2114^2*3.14)),43560/(N2114^2*3.14)),"")</f>
        <v/>
      </c>
      <c r="P2114" s="105" t="str">
        <f t="shared" ref="P2114:P2177" si="930">IF(ISNUMBER(O2114),E2114*O2114,"")</f>
        <v/>
      </c>
      <c r="Q2114" s="105" t="str">
        <f t="shared" si="918"/>
        <v/>
      </c>
      <c r="R2114" s="103" t="str">
        <f t="shared" ref="R2114:R2177" si="931">IF(ISNUMBER(O2114),E2114^2*0.005454*O2114,"")</f>
        <v/>
      </c>
      <c r="S2114" s="103" t="str">
        <f t="shared" ref="S2114:S2177" si="932">IF(ISNUMBER(O2114),(E2114/10)^1.7*O2114,"")</f>
        <v/>
      </c>
      <c r="T2114" s="106" t="str">
        <f t="shared" si="919"/>
        <v/>
      </c>
      <c r="U2114" s="106" t="str">
        <f t="shared" si="920"/>
        <v/>
      </c>
      <c r="V2114" s="106" t="str">
        <f t="shared" si="921"/>
        <v/>
      </c>
      <c r="W2114" s="105" t="str">
        <f t="shared" ref="W2114:W2177" si="933">IF(AND(ISNUMBER(O2114),I2114&gt;0),I2114/(E2114/12),"")</f>
        <v/>
      </c>
      <c r="X2114" s="104" t="str">
        <f t="shared" si="911"/>
        <v/>
      </c>
      <c r="Y2114" s="104" t="str">
        <f t="array" ref="Y2114">IFERROR(IF(ISNUMBER(O2114),IF(COUNT(IF(A2114=$A$2:$A$2427,IF(D2114=$D$2:$D$2427,IF($X$2:$X$2427&gt;0,1))))&gt;0,SUM(IF(A2114=$A$2:$A$2427,IF(D2114=$D$2:$D$2427,$X$2:$X$2427)))/COUNT(IF(A2114=$A$2:$A$2427,IF(D2114=$D$2:$D$2427,IF(ISNUMBER($X$2:$X$2427),1)))),0),""),0)</f>
        <v/>
      </c>
      <c r="Z2114" s="104" t="str">
        <f>IF(ISNUMBER(O2114),IF(I2114&gt;0,(10^(VLOOKUP(D2114,'Species Codes'!B:C,2,0)+VLOOKUP(D2114,'Species Codes'!B:D,3,0)*LOG(E2114)+VLOOKUP(D2114,'Species Codes'!B:E,4,0)*LOG(I2114))),0),"")</f>
        <v/>
      </c>
      <c r="AA2114" s="104" t="str">
        <f>IFERROR((VLOOKUP(D2114,'Species Codes'!B:G,6,0)*Z2114)/2000,"")</f>
        <v/>
      </c>
      <c r="AB2114" s="104" t="e">
        <f>IF(Z2114&gt;0,((IF(OR(D2114="DF",D2114="RA")=TRUE,EXP(VLOOKUP(D2114,'Species Codes'!B:I,8,0)+VLOOKUP(D2114,'Species Codes'!B:J,9,0)*(LN((E2114*2.54)))),IF(OR(D2114="PY",D2114="RC",D2114="WH",D2114="NF")=TRUE,VLOOKUP(D2114,'Species Codes'!B:I,8,0)+VLOOKUP(D2114,'Species Codes'!B:J,9,0)*((E2114*2.54)^2)*(I2114*0.3048),IF(OR(D2114="MD",D2114="BM",D2114="GA")=TRUE,((VLOOKUP(D2114,'Species Codes'!B:I,8,0)*(((((E2114*2.54)+VLOOKUP(D2114,'Species Codes'!B:J,9,0))/VLOOKUP(D2114,'Species Codes'!B:K,10,0))^VLOOKUP(D2114,'Species Codes'!B:L,11,0))*((I2114*0.3048)^VLOOKUP(D2114,'Species Codes'!B:M,12,0))))-(VLOOKUP(D2114,'Species Codes'!B:I,8,0)*((((E2114*2.54)^VLOOKUP(D2114,'Species Codes'!B:L,11,0))*((I2114*0.3048)^VLOOKUP(D2114,'Species Codes'!B:M,12,0))))))*35.3*VLOOKUP(D2114,'Species Codes'!B:G,6,0)/2.2046,VLOOKUP(D2114,'Species Codes'!B:I,8,0)+VLOOKUP(D2114,'Species Codes'!B:J,9,0)*(((E2114*2.54)/100)^2)*(I2114*0.3048)))))*0.0011023),0)</f>
        <v>#N/A</v>
      </c>
      <c r="AC2114" s="104" t="e">
        <f>IF(Z2114&gt;0,((IF(OR(D2114="RA",D2114="OA",D2114="OT",D2114="UN",D2114="PC"),EXP(VLOOKUP(D2114,'Species Codes'!B:O,14,0)+VLOOKUP(D2114,'Species Codes'!B:P,15,0)*LN((E2114*2.54)))-EXP(VLOOKUP(D2114,'Species Codes'!B:O,14,0)+VLOOKUP(D2114,'Species Codes'!B:P,15,0)*LN((E2114*2.54)))*(1/(VLOOKUP(D2114,'Species Codes'!B:Q,16,0)+VLOOKUP(D2114,'Species Codes'!B:R,17,0)*((E2114*2.54)^VLOOKUP(D2114,'Species Codes'!B:S,18,0)))),IF(OR(D2114="BM",D2114="MD",D2114="OA"),EXP(VLOOKUP(D2114,'Species Codes'!B:O,14,0)+VLOOKUP(D2114,'Species Codes'!B:P,15,0)*LN((E2114*2.54)))*(1-(1/(VLOOKUP(D2114,'Species Codes'!B:Q,16,0)+VLOOKUP(D2114,'Species Codes'!B:R,17,0)*((E2114*2.54)^VLOOKUP(D2114,'Species Codes'!B:S,18,0)))))/1000,IF(D2114="DF",EXP(VLOOKUP(D2114,'Species Codes'!B:O,14,0)+VLOOKUP(D2114,'Species Codes'!B:P,15,0)*LN((E2114*2.54))),VLOOKUP(D2114,'Species Codes'!B:O,14,0)+VLOOKUP(D2114,'Species Codes'!B:P,15,0)*(((E2114*2.54)/100)^2)*(I2114*0.3048)))))*0.0011023),0)</f>
        <v>#N/A</v>
      </c>
      <c r="AD2114" s="104" t="e">
        <f t="shared" si="922"/>
        <v>#N/A</v>
      </c>
      <c r="AE2114" s="104" t="e">
        <f t="shared" si="923"/>
        <v>#N/A</v>
      </c>
      <c r="AF2114" s="104" t="e">
        <f>IF(AND(VLOOKUP($D2114,Merchantability!$B:$C,2,0)="Yes",$E2114&gt;=VLOOKUP($D2114,Merchantability!$B:$D,3,0),$E2114&lt;=VLOOKUP($D2114,Merchantability!$B:$E,4,0)),AA2114,0)</f>
        <v>#N/A</v>
      </c>
      <c r="AG2114" s="104" t="e">
        <f>IF(AND(VLOOKUP($D2114,Merchantability!$B:$C,2,0)="Yes",$E2114&gt;=VLOOKUP($D2114,Merchantability!$B:$D,3,0),$E2114&lt;=VLOOKUP($D2114,Merchantability!$B:$E,4,0)),AB2114,0)</f>
        <v>#N/A</v>
      </c>
      <c r="AH2114" s="104" t="e">
        <f>IF(AND(VLOOKUP($D2114,Merchantability!$B:$C,2,0)="Yes",$E2114&gt;=VLOOKUP($D2114,Merchantability!$B:$D,3,0),$E2114&lt;=VLOOKUP($D2114,Merchantability!$B:$E,4,0)),AC2114,0)</f>
        <v>#N/A</v>
      </c>
      <c r="AI2114" s="104" t="e">
        <f t="shared" si="924"/>
        <v>#N/A</v>
      </c>
      <c r="AJ2114" s="104" t="e">
        <f t="shared" si="925"/>
        <v>#VALUE!</v>
      </c>
      <c r="AK2114" s="104" t="e">
        <f t="shared" si="926"/>
        <v>#N/A</v>
      </c>
      <c r="AL2114" s="104" t="e">
        <f t="shared" si="927"/>
        <v>#N/A</v>
      </c>
      <c r="AM2114" s="104" t="e">
        <f t="shared" si="928"/>
        <v>#N/A</v>
      </c>
      <c r="AN2114" s="104" t="e">
        <f t="shared" si="912"/>
        <v>#N/A</v>
      </c>
      <c r="AO2114" s="104" t="e">
        <f t="shared" si="913"/>
        <v>#N/A</v>
      </c>
      <c r="AP2114" s="104" t="e">
        <f t="shared" si="914"/>
        <v>#N/A</v>
      </c>
      <c r="AQ2114" s="104" t="e">
        <f t="shared" si="915"/>
        <v>#N/A</v>
      </c>
      <c r="AR2114" s="105" t="str">
        <f t="shared" ref="AR2114:AR2177" si="934">IF(ISNUMBER(O2114),IF(Y2114&gt;0,((Y2114*(E2114^2*0.005454-0.087266))/0.912733),0),"")</f>
        <v/>
      </c>
      <c r="AS2114" s="105" t="str">
        <f t="shared" ref="AS2114:AS2177" si="935">IF(ISNUMBER(O2114),AR2114*(0.993-0.993*(0.62^(E2114-6))),"")</f>
        <v/>
      </c>
      <c r="AT2114" s="108" t="str">
        <f t="shared" ref="AT2114:AT2177" si="936">IF(ISNUMBER(O2114),IF(AS2114&gt;0,IF(Y2114&gt;0,(AS2114*10^(0.174439+0.117594*(LOG(E2114,10))*(LOG(Y2114/0.912733,10))-8.210585/E2114^2+0.236693*(LOG(Y2114/0.912733,10))-0.00001345*(Y2114/0.912733)^2-0.00001937*E2114^2)),0),0),"")</f>
        <v/>
      </c>
      <c r="AU2114" s="108" t="str">
        <f t="shared" ref="AU2114:AU2177" si="937">IF(ISNUMBER(O2114),IF(AS2114&gt;0,IF(Y2114&gt;0,AT2114*(1.001491-(6.92497/Y2114)+(0.00001351*(E2114^2))),0),0),"")</f>
        <v/>
      </c>
      <c r="AV2114" s="107" t="str">
        <f>IF(ISNUMBER(O2114),IF(VLOOKUP($A2114,Stand!C:J,8,FALSE)="Short",AT2114,AU2114),"")</f>
        <v/>
      </c>
      <c r="AW2114" s="109" t="str">
        <f t="shared" si="916"/>
        <v/>
      </c>
      <c r="AX2114" s="109" t="str">
        <f t="shared" si="917"/>
        <v/>
      </c>
      <c r="AY2114" s="112" t="str">
        <f>IF(ISNUMBER(O2114),IF(AND(VLOOKUP($D2114,Merchantability!$B:$C,2,0)="Yes",$E2114&gt;=VLOOKUP($D2114,Merchantability!$B:$D,3,0),$E2114&lt;=VLOOKUP($D2114,Merchantability!$B:$E,4,0)),(AV2114*O2114)*(1-$H2114/100),""),"")</f>
        <v/>
      </c>
      <c r="AZ2114" s="116"/>
      <c r="BA2114" s="116"/>
      <c r="BB2114" s="116"/>
      <c r="BE2114" s="62"/>
      <c r="BF2114" s="63"/>
    </row>
    <row r="2115" spans="1:58" ht="12.75" customHeight="1" x14ac:dyDescent="0.25">
      <c r="A2115" s="334"/>
      <c r="B2115" s="334"/>
      <c r="C2115" s="332"/>
      <c r="D2115" s="334"/>
      <c r="E2115" s="335"/>
      <c r="F2115" s="334"/>
      <c r="G2115" s="332"/>
      <c r="H2115" s="332"/>
      <c r="I2115" s="334"/>
      <c r="J2115" s="336"/>
      <c r="K2115" s="332"/>
      <c r="L2115" s="332"/>
      <c r="M2115" s="76"/>
      <c r="N2115" s="103" t="str">
        <f>IF(A2115="","",VLOOKUP(A2115,Stand!C:K,9,0))</f>
        <v/>
      </c>
      <c r="O2115" s="104" t="str">
        <f t="shared" si="929"/>
        <v/>
      </c>
      <c r="P2115" s="105" t="str">
        <f t="shared" si="930"/>
        <v/>
      </c>
      <c r="Q2115" s="105" t="str">
        <f t="shared" si="918"/>
        <v/>
      </c>
      <c r="R2115" s="103" t="str">
        <f t="shared" si="931"/>
        <v/>
      </c>
      <c r="S2115" s="103" t="str">
        <f t="shared" si="932"/>
        <v/>
      </c>
      <c r="T2115" s="106" t="str">
        <f t="shared" si="919"/>
        <v/>
      </c>
      <c r="U2115" s="106" t="str">
        <f t="shared" si="920"/>
        <v/>
      </c>
      <c r="V2115" s="106" t="str">
        <f t="shared" si="921"/>
        <v/>
      </c>
      <c r="W2115" s="105" t="str">
        <f t="shared" si="933"/>
        <v/>
      </c>
      <c r="X2115" s="104" t="str">
        <f t="shared" ref="X2115:X2178" si="938">IF(ISNUMBER(O2115),IF(I2115&gt;0,IF(E2115&gt;0,(0.912733*Z2115)/(1.033*(1+1.382937*EXP(-4.015292*E2115/10))*((E2115^2)*0.005454+0.087266)-0.174533),""),""),"")</f>
        <v/>
      </c>
      <c r="Y2115" s="104" t="str">
        <f t="array" ref="Y2115">IFERROR(IF(ISNUMBER(O2115),IF(COUNT(IF(A2115=$A$2:$A$2427,IF(D2115=$D$2:$D$2427,IF($X$2:$X$2427&gt;0,1))))&gt;0,SUM(IF(A2115=$A$2:$A$2427,IF(D2115=$D$2:$D$2427,$X$2:$X$2427)))/COUNT(IF(A2115=$A$2:$A$2427,IF(D2115=$D$2:$D$2427,IF(ISNUMBER($X$2:$X$2427),1)))),0),""),0)</f>
        <v/>
      </c>
      <c r="Z2115" s="104" t="str">
        <f>IF(ISNUMBER(O2115),IF(I2115&gt;0,(10^(VLOOKUP(D2115,'Species Codes'!B:C,2,0)+VLOOKUP(D2115,'Species Codes'!B:D,3,0)*LOG(E2115)+VLOOKUP(D2115,'Species Codes'!B:E,4,0)*LOG(I2115))),0),"")</f>
        <v/>
      </c>
      <c r="AA2115" s="104" t="str">
        <f>IFERROR((VLOOKUP(D2115,'Species Codes'!B:G,6,0)*Z2115)/2000,"")</f>
        <v/>
      </c>
      <c r="AB2115" s="104" t="e">
        <f>IF(Z2115&gt;0,((IF(OR(D2115="DF",D2115="RA")=TRUE,EXP(VLOOKUP(D2115,'Species Codes'!B:I,8,0)+VLOOKUP(D2115,'Species Codes'!B:J,9,0)*(LN((E2115*2.54)))),IF(OR(D2115="PY",D2115="RC",D2115="WH",D2115="NF")=TRUE,VLOOKUP(D2115,'Species Codes'!B:I,8,0)+VLOOKUP(D2115,'Species Codes'!B:J,9,0)*((E2115*2.54)^2)*(I2115*0.3048),IF(OR(D2115="MD",D2115="BM",D2115="GA")=TRUE,((VLOOKUP(D2115,'Species Codes'!B:I,8,0)*(((((E2115*2.54)+VLOOKUP(D2115,'Species Codes'!B:J,9,0))/VLOOKUP(D2115,'Species Codes'!B:K,10,0))^VLOOKUP(D2115,'Species Codes'!B:L,11,0))*((I2115*0.3048)^VLOOKUP(D2115,'Species Codes'!B:M,12,0))))-(VLOOKUP(D2115,'Species Codes'!B:I,8,0)*((((E2115*2.54)^VLOOKUP(D2115,'Species Codes'!B:L,11,0))*((I2115*0.3048)^VLOOKUP(D2115,'Species Codes'!B:M,12,0))))))*35.3*VLOOKUP(D2115,'Species Codes'!B:G,6,0)/2.2046,VLOOKUP(D2115,'Species Codes'!B:I,8,0)+VLOOKUP(D2115,'Species Codes'!B:J,9,0)*(((E2115*2.54)/100)^2)*(I2115*0.3048)))))*0.0011023),0)</f>
        <v>#N/A</v>
      </c>
      <c r="AC2115" s="104" t="e">
        <f>IF(Z2115&gt;0,((IF(OR(D2115="RA",D2115="OA",D2115="OT",D2115="UN",D2115="PC"),EXP(VLOOKUP(D2115,'Species Codes'!B:O,14,0)+VLOOKUP(D2115,'Species Codes'!B:P,15,0)*LN((E2115*2.54)))-EXP(VLOOKUP(D2115,'Species Codes'!B:O,14,0)+VLOOKUP(D2115,'Species Codes'!B:P,15,0)*LN((E2115*2.54)))*(1/(VLOOKUP(D2115,'Species Codes'!B:Q,16,0)+VLOOKUP(D2115,'Species Codes'!B:R,17,0)*((E2115*2.54)^VLOOKUP(D2115,'Species Codes'!B:S,18,0)))),IF(OR(D2115="BM",D2115="MD",D2115="OA"),EXP(VLOOKUP(D2115,'Species Codes'!B:O,14,0)+VLOOKUP(D2115,'Species Codes'!B:P,15,0)*LN((E2115*2.54)))*(1-(1/(VLOOKUP(D2115,'Species Codes'!B:Q,16,0)+VLOOKUP(D2115,'Species Codes'!B:R,17,0)*((E2115*2.54)^VLOOKUP(D2115,'Species Codes'!B:S,18,0)))))/1000,IF(D2115="DF",EXP(VLOOKUP(D2115,'Species Codes'!B:O,14,0)+VLOOKUP(D2115,'Species Codes'!B:P,15,0)*LN((E2115*2.54))),VLOOKUP(D2115,'Species Codes'!B:O,14,0)+VLOOKUP(D2115,'Species Codes'!B:P,15,0)*(((E2115*2.54)/100)^2)*(I2115*0.3048)))))*0.0011023),0)</f>
        <v>#N/A</v>
      </c>
      <c r="AD2115" s="104" t="e">
        <f t="shared" si="922"/>
        <v>#N/A</v>
      </c>
      <c r="AE2115" s="104" t="e">
        <f t="shared" si="923"/>
        <v>#N/A</v>
      </c>
      <c r="AF2115" s="104" t="e">
        <f>IF(AND(VLOOKUP($D2115,Merchantability!$B:$C,2,0)="Yes",$E2115&gt;=VLOOKUP($D2115,Merchantability!$B:$D,3,0),$E2115&lt;=VLOOKUP($D2115,Merchantability!$B:$E,4,0)),AA2115,0)</f>
        <v>#N/A</v>
      </c>
      <c r="AG2115" s="104" t="e">
        <f>IF(AND(VLOOKUP($D2115,Merchantability!$B:$C,2,0)="Yes",$E2115&gt;=VLOOKUP($D2115,Merchantability!$B:$D,3,0),$E2115&lt;=VLOOKUP($D2115,Merchantability!$B:$E,4,0)),AB2115,0)</f>
        <v>#N/A</v>
      </c>
      <c r="AH2115" s="104" t="e">
        <f>IF(AND(VLOOKUP($D2115,Merchantability!$B:$C,2,0)="Yes",$E2115&gt;=VLOOKUP($D2115,Merchantability!$B:$D,3,0),$E2115&lt;=VLOOKUP($D2115,Merchantability!$B:$E,4,0)),AC2115,0)</f>
        <v>#N/A</v>
      </c>
      <c r="AI2115" s="104" t="e">
        <f t="shared" si="924"/>
        <v>#N/A</v>
      </c>
      <c r="AJ2115" s="104" t="e">
        <f t="shared" si="925"/>
        <v>#VALUE!</v>
      </c>
      <c r="AK2115" s="104" t="e">
        <f t="shared" si="926"/>
        <v>#N/A</v>
      </c>
      <c r="AL2115" s="104" t="e">
        <f t="shared" si="927"/>
        <v>#N/A</v>
      </c>
      <c r="AM2115" s="104" t="e">
        <f t="shared" si="928"/>
        <v>#N/A</v>
      </c>
      <c r="AN2115" s="104" t="e">
        <f t="shared" ref="AN2115:AN2178" si="939">AF2115*$O2115</f>
        <v>#N/A</v>
      </c>
      <c r="AO2115" s="104" t="e">
        <f t="shared" ref="AO2115:AO2178" si="940">AG2115*$O2115</f>
        <v>#N/A</v>
      </c>
      <c r="AP2115" s="104" t="e">
        <f t="shared" ref="AP2115:AP2178" si="941">AH2115*$O2115</f>
        <v>#N/A</v>
      </c>
      <c r="AQ2115" s="104" t="e">
        <f t="shared" ref="AQ2115:AQ2178" si="942">SUM(AN2115:AP2115)</f>
        <v>#N/A</v>
      </c>
      <c r="AR2115" s="105" t="str">
        <f t="shared" si="934"/>
        <v/>
      </c>
      <c r="AS2115" s="105" t="str">
        <f t="shared" si="935"/>
        <v/>
      </c>
      <c r="AT2115" s="108" t="str">
        <f t="shared" si="936"/>
        <v/>
      </c>
      <c r="AU2115" s="108" t="str">
        <f t="shared" si="937"/>
        <v/>
      </c>
      <c r="AV2115" s="107" t="str">
        <f>IF(ISNUMBER(O2115),IF(VLOOKUP($A2115,Stand!C:J,8,FALSE)="Short",AT2115,AU2115),"")</f>
        <v/>
      </c>
      <c r="AW2115" s="109" t="str">
        <f t="shared" ref="AW2115:AW2178" si="943">IF(ISNUMBER(O2115),AV2115*O2115,"")</f>
        <v/>
      </c>
      <c r="AX2115" s="109" t="str">
        <f t="shared" ref="AX2115:AX2178" si="944">IF(ISNUMBER(O2115),AW2115*(1-$H2115/100),"")</f>
        <v/>
      </c>
      <c r="AY2115" s="112" t="str">
        <f>IF(ISNUMBER(O2115),IF(AND(VLOOKUP($D2115,Merchantability!$B:$C,2,0)="Yes",$E2115&gt;=VLOOKUP($D2115,Merchantability!$B:$D,3,0),$E2115&lt;=VLOOKUP($D2115,Merchantability!$B:$E,4,0)),(AV2115*O2115)*(1-$H2115/100),""),"")</f>
        <v/>
      </c>
      <c r="AZ2115" s="116"/>
      <c r="BA2115" s="116"/>
      <c r="BB2115" s="116"/>
      <c r="BE2115" s="62"/>
      <c r="BF2115" s="63"/>
    </row>
    <row r="2116" spans="1:58" ht="12.75" customHeight="1" x14ac:dyDescent="0.25">
      <c r="A2116" s="334"/>
      <c r="B2116" s="334"/>
      <c r="C2116" s="332"/>
      <c r="D2116" s="334"/>
      <c r="E2116" s="335"/>
      <c r="F2116" s="334"/>
      <c r="G2116" s="332"/>
      <c r="H2116" s="332"/>
      <c r="I2116" s="334"/>
      <c r="J2116" s="336"/>
      <c r="K2116" s="332"/>
      <c r="L2116" s="332"/>
      <c r="M2116" s="76"/>
      <c r="N2116" s="103" t="str">
        <f>IF(A2116="","",VLOOKUP(A2116,Stand!C:K,9,0))</f>
        <v/>
      </c>
      <c r="O2116" s="104" t="str">
        <f t="shared" si="929"/>
        <v/>
      </c>
      <c r="P2116" s="105" t="str">
        <f t="shared" si="930"/>
        <v/>
      </c>
      <c r="Q2116" s="105" t="str">
        <f t="shared" si="918"/>
        <v/>
      </c>
      <c r="R2116" s="103" t="str">
        <f t="shared" si="931"/>
        <v/>
      </c>
      <c r="S2116" s="103" t="str">
        <f t="shared" si="932"/>
        <v/>
      </c>
      <c r="T2116" s="106" t="str">
        <f t="shared" si="919"/>
        <v/>
      </c>
      <c r="U2116" s="106" t="str">
        <f t="shared" si="920"/>
        <v/>
      </c>
      <c r="V2116" s="106" t="str">
        <f t="shared" si="921"/>
        <v/>
      </c>
      <c r="W2116" s="105" t="str">
        <f t="shared" si="933"/>
        <v/>
      </c>
      <c r="X2116" s="104" t="str">
        <f t="shared" si="938"/>
        <v/>
      </c>
      <c r="Y2116" s="104" t="str">
        <f t="array" ref="Y2116">IFERROR(IF(ISNUMBER(O2116),IF(COUNT(IF(A2116=$A$2:$A$2427,IF(D2116=$D$2:$D$2427,IF($X$2:$X$2427&gt;0,1))))&gt;0,SUM(IF(A2116=$A$2:$A$2427,IF(D2116=$D$2:$D$2427,$X$2:$X$2427)))/COUNT(IF(A2116=$A$2:$A$2427,IF(D2116=$D$2:$D$2427,IF(ISNUMBER($X$2:$X$2427),1)))),0),""),0)</f>
        <v/>
      </c>
      <c r="Z2116" s="104" t="str">
        <f>IF(ISNUMBER(O2116),IF(I2116&gt;0,(10^(VLOOKUP(D2116,'Species Codes'!B:C,2,0)+VLOOKUP(D2116,'Species Codes'!B:D,3,0)*LOG(E2116)+VLOOKUP(D2116,'Species Codes'!B:E,4,0)*LOG(I2116))),0),"")</f>
        <v/>
      </c>
      <c r="AA2116" s="104" t="str">
        <f>IFERROR((VLOOKUP(D2116,'Species Codes'!B:G,6,0)*Z2116)/2000,"")</f>
        <v/>
      </c>
      <c r="AB2116" s="104" t="e">
        <f>IF(Z2116&gt;0,((IF(OR(D2116="DF",D2116="RA")=TRUE,EXP(VLOOKUP(D2116,'Species Codes'!B:I,8,0)+VLOOKUP(D2116,'Species Codes'!B:J,9,0)*(LN((E2116*2.54)))),IF(OR(D2116="PY",D2116="RC",D2116="WH",D2116="NF")=TRUE,VLOOKUP(D2116,'Species Codes'!B:I,8,0)+VLOOKUP(D2116,'Species Codes'!B:J,9,0)*((E2116*2.54)^2)*(I2116*0.3048),IF(OR(D2116="MD",D2116="BM",D2116="GA")=TRUE,((VLOOKUP(D2116,'Species Codes'!B:I,8,0)*(((((E2116*2.54)+VLOOKUP(D2116,'Species Codes'!B:J,9,0))/VLOOKUP(D2116,'Species Codes'!B:K,10,0))^VLOOKUP(D2116,'Species Codes'!B:L,11,0))*((I2116*0.3048)^VLOOKUP(D2116,'Species Codes'!B:M,12,0))))-(VLOOKUP(D2116,'Species Codes'!B:I,8,0)*((((E2116*2.54)^VLOOKUP(D2116,'Species Codes'!B:L,11,0))*((I2116*0.3048)^VLOOKUP(D2116,'Species Codes'!B:M,12,0))))))*35.3*VLOOKUP(D2116,'Species Codes'!B:G,6,0)/2.2046,VLOOKUP(D2116,'Species Codes'!B:I,8,0)+VLOOKUP(D2116,'Species Codes'!B:J,9,0)*(((E2116*2.54)/100)^2)*(I2116*0.3048)))))*0.0011023),0)</f>
        <v>#N/A</v>
      </c>
      <c r="AC2116" s="104" t="e">
        <f>IF(Z2116&gt;0,((IF(OR(D2116="RA",D2116="OA",D2116="OT",D2116="UN",D2116="PC"),EXP(VLOOKUP(D2116,'Species Codes'!B:O,14,0)+VLOOKUP(D2116,'Species Codes'!B:P,15,0)*LN((E2116*2.54)))-EXP(VLOOKUP(D2116,'Species Codes'!B:O,14,0)+VLOOKUP(D2116,'Species Codes'!B:P,15,0)*LN((E2116*2.54)))*(1/(VLOOKUP(D2116,'Species Codes'!B:Q,16,0)+VLOOKUP(D2116,'Species Codes'!B:R,17,0)*((E2116*2.54)^VLOOKUP(D2116,'Species Codes'!B:S,18,0)))),IF(OR(D2116="BM",D2116="MD",D2116="OA"),EXP(VLOOKUP(D2116,'Species Codes'!B:O,14,0)+VLOOKUP(D2116,'Species Codes'!B:P,15,0)*LN((E2116*2.54)))*(1-(1/(VLOOKUP(D2116,'Species Codes'!B:Q,16,0)+VLOOKUP(D2116,'Species Codes'!B:R,17,0)*((E2116*2.54)^VLOOKUP(D2116,'Species Codes'!B:S,18,0)))))/1000,IF(D2116="DF",EXP(VLOOKUP(D2116,'Species Codes'!B:O,14,0)+VLOOKUP(D2116,'Species Codes'!B:P,15,0)*LN((E2116*2.54))),VLOOKUP(D2116,'Species Codes'!B:O,14,0)+VLOOKUP(D2116,'Species Codes'!B:P,15,0)*(((E2116*2.54)/100)^2)*(I2116*0.3048)))))*0.0011023),0)</f>
        <v>#N/A</v>
      </c>
      <c r="AD2116" s="104" t="e">
        <f t="shared" si="922"/>
        <v>#N/A</v>
      </c>
      <c r="AE2116" s="104" t="e">
        <f t="shared" si="923"/>
        <v>#N/A</v>
      </c>
      <c r="AF2116" s="104" t="e">
        <f>IF(AND(VLOOKUP($D2116,Merchantability!$B:$C,2,0)="Yes",$E2116&gt;=VLOOKUP($D2116,Merchantability!$B:$D,3,0),$E2116&lt;=VLOOKUP($D2116,Merchantability!$B:$E,4,0)),AA2116,0)</f>
        <v>#N/A</v>
      </c>
      <c r="AG2116" s="104" t="e">
        <f>IF(AND(VLOOKUP($D2116,Merchantability!$B:$C,2,0)="Yes",$E2116&gt;=VLOOKUP($D2116,Merchantability!$B:$D,3,0),$E2116&lt;=VLOOKUP($D2116,Merchantability!$B:$E,4,0)),AB2116,0)</f>
        <v>#N/A</v>
      </c>
      <c r="AH2116" s="104" t="e">
        <f>IF(AND(VLOOKUP($D2116,Merchantability!$B:$C,2,0)="Yes",$E2116&gt;=VLOOKUP($D2116,Merchantability!$B:$D,3,0),$E2116&lt;=VLOOKUP($D2116,Merchantability!$B:$E,4,0)),AC2116,0)</f>
        <v>#N/A</v>
      </c>
      <c r="AI2116" s="104" t="e">
        <f t="shared" si="924"/>
        <v>#N/A</v>
      </c>
      <c r="AJ2116" s="104" t="e">
        <f t="shared" si="925"/>
        <v>#VALUE!</v>
      </c>
      <c r="AK2116" s="104" t="e">
        <f t="shared" si="926"/>
        <v>#N/A</v>
      </c>
      <c r="AL2116" s="104" t="e">
        <f t="shared" si="927"/>
        <v>#N/A</v>
      </c>
      <c r="AM2116" s="104" t="e">
        <f t="shared" si="928"/>
        <v>#N/A</v>
      </c>
      <c r="AN2116" s="104" t="e">
        <f t="shared" si="939"/>
        <v>#N/A</v>
      </c>
      <c r="AO2116" s="104" t="e">
        <f t="shared" si="940"/>
        <v>#N/A</v>
      </c>
      <c r="AP2116" s="104" t="e">
        <f t="shared" si="941"/>
        <v>#N/A</v>
      </c>
      <c r="AQ2116" s="104" t="e">
        <f t="shared" si="942"/>
        <v>#N/A</v>
      </c>
      <c r="AR2116" s="105" t="str">
        <f t="shared" si="934"/>
        <v/>
      </c>
      <c r="AS2116" s="105" t="str">
        <f t="shared" si="935"/>
        <v/>
      </c>
      <c r="AT2116" s="108" t="str">
        <f t="shared" si="936"/>
        <v/>
      </c>
      <c r="AU2116" s="108" t="str">
        <f t="shared" si="937"/>
        <v/>
      </c>
      <c r="AV2116" s="107" t="str">
        <f>IF(ISNUMBER(O2116),IF(VLOOKUP($A2116,Stand!C:J,8,FALSE)="Short",AT2116,AU2116),"")</f>
        <v/>
      </c>
      <c r="AW2116" s="109" t="str">
        <f t="shared" si="943"/>
        <v/>
      </c>
      <c r="AX2116" s="109" t="str">
        <f t="shared" si="944"/>
        <v/>
      </c>
      <c r="AY2116" s="112" t="str">
        <f>IF(ISNUMBER(O2116),IF(AND(VLOOKUP($D2116,Merchantability!$B:$C,2,0)="Yes",$E2116&gt;=VLOOKUP($D2116,Merchantability!$B:$D,3,0),$E2116&lt;=VLOOKUP($D2116,Merchantability!$B:$E,4,0)),(AV2116*O2116)*(1-$H2116/100),""),"")</f>
        <v/>
      </c>
      <c r="AZ2116" s="116"/>
      <c r="BA2116" s="116"/>
      <c r="BB2116" s="116"/>
      <c r="BE2116" s="62"/>
      <c r="BF2116" s="63"/>
    </row>
    <row r="2117" spans="1:58" ht="12.75" customHeight="1" x14ac:dyDescent="0.25">
      <c r="A2117" s="334"/>
      <c r="B2117" s="334"/>
      <c r="C2117" s="332"/>
      <c r="D2117" s="334"/>
      <c r="E2117" s="335"/>
      <c r="F2117" s="334"/>
      <c r="G2117" s="332"/>
      <c r="H2117" s="332"/>
      <c r="I2117" s="334"/>
      <c r="J2117" s="336"/>
      <c r="K2117" s="332"/>
      <c r="L2117" s="332"/>
      <c r="M2117" s="76"/>
      <c r="N2117" s="103" t="str">
        <f>IF(A2117="","",VLOOKUP(A2117,Stand!C:K,9,0))</f>
        <v/>
      </c>
      <c r="O2117" s="104" t="str">
        <f t="shared" si="929"/>
        <v/>
      </c>
      <c r="P2117" s="105" t="str">
        <f t="shared" si="930"/>
        <v/>
      </c>
      <c r="Q2117" s="105" t="str">
        <f t="shared" si="918"/>
        <v/>
      </c>
      <c r="R2117" s="103" t="str">
        <f t="shared" si="931"/>
        <v/>
      </c>
      <c r="S2117" s="103" t="str">
        <f t="shared" si="932"/>
        <v/>
      </c>
      <c r="T2117" s="106" t="str">
        <f t="shared" si="919"/>
        <v/>
      </c>
      <c r="U2117" s="106" t="str">
        <f t="shared" si="920"/>
        <v/>
      </c>
      <c r="V2117" s="106" t="str">
        <f t="shared" si="921"/>
        <v/>
      </c>
      <c r="W2117" s="105" t="str">
        <f t="shared" si="933"/>
        <v/>
      </c>
      <c r="X2117" s="104" t="str">
        <f t="shared" si="938"/>
        <v/>
      </c>
      <c r="Y2117" s="104" t="str">
        <f t="array" ref="Y2117">IFERROR(IF(ISNUMBER(O2117),IF(COUNT(IF(A2117=$A$2:$A$2427,IF(D2117=$D$2:$D$2427,IF($X$2:$X$2427&gt;0,1))))&gt;0,SUM(IF(A2117=$A$2:$A$2427,IF(D2117=$D$2:$D$2427,$X$2:$X$2427)))/COUNT(IF(A2117=$A$2:$A$2427,IF(D2117=$D$2:$D$2427,IF(ISNUMBER($X$2:$X$2427),1)))),0),""),0)</f>
        <v/>
      </c>
      <c r="Z2117" s="104" t="str">
        <f>IF(ISNUMBER(O2117),IF(I2117&gt;0,(10^(VLOOKUP(D2117,'Species Codes'!B:C,2,0)+VLOOKUP(D2117,'Species Codes'!B:D,3,0)*LOG(E2117)+VLOOKUP(D2117,'Species Codes'!B:E,4,0)*LOG(I2117))),0),"")</f>
        <v/>
      </c>
      <c r="AA2117" s="104" t="str">
        <f>IFERROR((VLOOKUP(D2117,'Species Codes'!B:G,6,0)*Z2117)/2000,"")</f>
        <v/>
      </c>
      <c r="AB2117" s="104" t="e">
        <f>IF(Z2117&gt;0,((IF(OR(D2117="DF",D2117="RA")=TRUE,EXP(VLOOKUP(D2117,'Species Codes'!B:I,8,0)+VLOOKUP(D2117,'Species Codes'!B:J,9,0)*(LN((E2117*2.54)))),IF(OR(D2117="PY",D2117="RC",D2117="WH",D2117="NF")=TRUE,VLOOKUP(D2117,'Species Codes'!B:I,8,0)+VLOOKUP(D2117,'Species Codes'!B:J,9,0)*((E2117*2.54)^2)*(I2117*0.3048),IF(OR(D2117="MD",D2117="BM",D2117="GA")=TRUE,((VLOOKUP(D2117,'Species Codes'!B:I,8,0)*(((((E2117*2.54)+VLOOKUP(D2117,'Species Codes'!B:J,9,0))/VLOOKUP(D2117,'Species Codes'!B:K,10,0))^VLOOKUP(D2117,'Species Codes'!B:L,11,0))*((I2117*0.3048)^VLOOKUP(D2117,'Species Codes'!B:M,12,0))))-(VLOOKUP(D2117,'Species Codes'!B:I,8,0)*((((E2117*2.54)^VLOOKUP(D2117,'Species Codes'!B:L,11,0))*((I2117*0.3048)^VLOOKUP(D2117,'Species Codes'!B:M,12,0))))))*35.3*VLOOKUP(D2117,'Species Codes'!B:G,6,0)/2.2046,VLOOKUP(D2117,'Species Codes'!B:I,8,0)+VLOOKUP(D2117,'Species Codes'!B:J,9,0)*(((E2117*2.54)/100)^2)*(I2117*0.3048)))))*0.0011023),0)</f>
        <v>#N/A</v>
      </c>
      <c r="AC2117" s="104" t="e">
        <f>IF(Z2117&gt;0,((IF(OR(D2117="RA",D2117="OA",D2117="OT",D2117="UN",D2117="PC"),EXP(VLOOKUP(D2117,'Species Codes'!B:O,14,0)+VLOOKUP(D2117,'Species Codes'!B:P,15,0)*LN((E2117*2.54)))-EXP(VLOOKUP(D2117,'Species Codes'!B:O,14,0)+VLOOKUP(D2117,'Species Codes'!B:P,15,0)*LN((E2117*2.54)))*(1/(VLOOKUP(D2117,'Species Codes'!B:Q,16,0)+VLOOKUP(D2117,'Species Codes'!B:R,17,0)*((E2117*2.54)^VLOOKUP(D2117,'Species Codes'!B:S,18,0)))),IF(OR(D2117="BM",D2117="MD",D2117="OA"),EXP(VLOOKUP(D2117,'Species Codes'!B:O,14,0)+VLOOKUP(D2117,'Species Codes'!B:P,15,0)*LN((E2117*2.54)))*(1-(1/(VLOOKUP(D2117,'Species Codes'!B:Q,16,0)+VLOOKUP(D2117,'Species Codes'!B:R,17,0)*((E2117*2.54)^VLOOKUP(D2117,'Species Codes'!B:S,18,0)))))/1000,IF(D2117="DF",EXP(VLOOKUP(D2117,'Species Codes'!B:O,14,0)+VLOOKUP(D2117,'Species Codes'!B:P,15,0)*LN((E2117*2.54))),VLOOKUP(D2117,'Species Codes'!B:O,14,0)+VLOOKUP(D2117,'Species Codes'!B:P,15,0)*(((E2117*2.54)/100)^2)*(I2117*0.3048)))))*0.0011023),0)</f>
        <v>#N/A</v>
      </c>
      <c r="AD2117" s="104" t="e">
        <f t="shared" si="922"/>
        <v>#N/A</v>
      </c>
      <c r="AE2117" s="104" t="e">
        <f t="shared" si="923"/>
        <v>#N/A</v>
      </c>
      <c r="AF2117" s="104" t="e">
        <f>IF(AND(VLOOKUP($D2117,Merchantability!$B:$C,2,0)="Yes",$E2117&gt;=VLOOKUP($D2117,Merchantability!$B:$D,3,0),$E2117&lt;=VLOOKUP($D2117,Merchantability!$B:$E,4,0)),AA2117,0)</f>
        <v>#N/A</v>
      </c>
      <c r="AG2117" s="104" t="e">
        <f>IF(AND(VLOOKUP($D2117,Merchantability!$B:$C,2,0)="Yes",$E2117&gt;=VLOOKUP($D2117,Merchantability!$B:$D,3,0),$E2117&lt;=VLOOKUP($D2117,Merchantability!$B:$E,4,0)),AB2117,0)</f>
        <v>#N/A</v>
      </c>
      <c r="AH2117" s="104" t="e">
        <f>IF(AND(VLOOKUP($D2117,Merchantability!$B:$C,2,0)="Yes",$E2117&gt;=VLOOKUP($D2117,Merchantability!$B:$D,3,0),$E2117&lt;=VLOOKUP($D2117,Merchantability!$B:$E,4,0)),AC2117,0)</f>
        <v>#N/A</v>
      </c>
      <c r="AI2117" s="104" t="e">
        <f t="shared" si="924"/>
        <v>#N/A</v>
      </c>
      <c r="AJ2117" s="104" t="e">
        <f t="shared" si="925"/>
        <v>#VALUE!</v>
      </c>
      <c r="AK2117" s="104" t="e">
        <f t="shared" si="926"/>
        <v>#N/A</v>
      </c>
      <c r="AL2117" s="104" t="e">
        <f t="shared" si="927"/>
        <v>#N/A</v>
      </c>
      <c r="AM2117" s="104" t="e">
        <f t="shared" si="928"/>
        <v>#N/A</v>
      </c>
      <c r="AN2117" s="104" t="e">
        <f t="shared" si="939"/>
        <v>#N/A</v>
      </c>
      <c r="AO2117" s="104" t="e">
        <f t="shared" si="940"/>
        <v>#N/A</v>
      </c>
      <c r="AP2117" s="104" t="e">
        <f t="shared" si="941"/>
        <v>#N/A</v>
      </c>
      <c r="AQ2117" s="104" t="e">
        <f t="shared" si="942"/>
        <v>#N/A</v>
      </c>
      <c r="AR2117" s="105" t="str">
        <f t="shared" si="934"/>
        <v/>
      </c>
      <c r="AS2117" s="105" t="str">
        <f t="shared" si="935"/>
        <v/>
      </c>
      <c r="AT2117" s="108" t="str">
        <f t="shared" si="936"/>
        <v/>
      </c>
      <c r="AU2117" s="108" t="str">
        <f t="shared" si="937"/>
        <v/>
      </c>
      <c r="AV2117" s="107" t="str">
        <f>IF(ISNUMBER(O2117),IF(VLOOKUP($A2117,Stand!C:J,8,FALSE)="Short",AT2117,AU2117),"")</f>
        <v/>
      </c>
      <c r="AW2117" s="109" t="str">
        <f t="shared" si="943"/>
        <v/>
      </c>
      <c r="AX2117" s="109" t="str">
        <f t="shared" si="944"/>
        <v/>
      </c>
      <c r="AY2117" s="112" t="str">
        <f>IF(ISNUMBER(O2117),IF(AND(VLOOKUP($D2117,Merchantability!$B:$C,2,0)="Yes",$E2117&gt;=VLOOKUP($D2117,Merchantability!$B:$D,3,0),$E2117&lt;=VLOOKUP($D2117,Merchantability!$B:$E,4,0)),(AV2117*O2117)*(1-$H2117/100),""),"")</f>
        <v/>
      </c>
      <c r="AZ2117" s="116"/>
      <c r="BA2117" s="116"/>
      <c r="BB2117" s="116"/>
      <c r="BE2117" s="62"/>
      <c r="BF2117" s="63"/>
    </row>
    <row r="2118" spans="1:58" ht="12.75" customHeight="1" x14ac:dyDescent="0.25">
      <c r="A2118" s="334"/>
      <c r="B2118" s="334"/>
      <c r="C2118" s="332"/>
      <c r="D2118" s="334"/>
      <c r="E2118" s="335"/>
      <c r="F2118" s="334"/>
      <c r="G2118" s="332"/>
      <c r="H2118" s="332"/>
      <c r="I2118" s="334"/>
      <c r="J2118" s="336"/>
      <c r="K2118" s="332"/>
      <c r="L2118" s="332"/>
      <c r="M2118" s="76"/>
      <c r="N2118" s="103" t="str">
        <f>IF(A2118="","",VLOOKUP(A2118,Stand!C:K,9,0))</f>
        <v/>
      </c>
      <c r="O2118" s="104" t="str">
        <f t="shared" si="929"/>
        <v/>
      </c>
      <c r="P2118" s="105" t="str">
        <f t="shared" si="930"/>
        <v/>
      </c>
      <c r="Q2118" s="105" t="str">
        <f t="shared" si="918"/>
        <v/>
      </c>
      <c r="R2118" s="103" t="str">
        <f t="shared" si="931"/>
        <v/>
      </c>
      <c r="S2118" s="103" t="str">
        <f t="shared" si="932"/>
        <v/>
      </c>
      <c r="T2118" s="106" t="str">
        <f t="shared" si="919"/>
        <v/>
      </c>
      <c r="U2118" s="106" t="str">
        <f t="shared" si="920"/>
        <v/>
      </c>
      <c r="V2118" s="106" t="str">
        <f t="shared" si="921"/>
        <v/>
      </c>
      <c r="W2118" s="105" t="str">
        <f t="shared" si="933"/>
        <v/>
      </c>
      <c r="X2118" s="104" t="str">
        <f t="shared" si="938"/>
        <v/>
      </c>
      <c r="Y2118" s="104" t="str">
        <f t="array" ref="Y2118">IFERROR(IF(ISNUMBER(O2118),IF(COUNT(IF(A2118=$A$2:$A$2427,IF(D2118=$D$2:$D$2427,IF($X$2:$X$2427&gt;0,1))))&gt;0,SUM(IF(A2118=$A$2:$A$2427,IF(D2118=$D$2:$D$2427,$X$2:$X$2427)))/COUNT(IF(A2118=$A$2:$A$2427,IF(D2118=$D$2:$D$2427,IF(ISNUMBER($X$2:$X$2427),1)))),0),""),0)</f>
        <v/>
      </c>
      <c r="Z2118" s="104" t="str">
        <f>IF(ISNUMBER(O2118),IF(I2118&gt;0,(10^(VLOOKUP(D2118,'Species Codes'!B:C,2,0)+VLOOKUP(D2118,'Species Codes'!B:D,3,0)*LOG(E2118)+VLOOKUP(D2118,'Species Codes'!B:E,4,0)*LOG(I2118))),0),"")</f>
        <v/>
      </c>
      <c r="AA2118" s="104" t="str">
        <f>IFERROR((VLOOKUP(D2118,'Species Codes'!B:G,6,0)*Z2118)/2000,"")</f>
        <v/>
      </c>
      <c r="AB2118" s="104" t="e">
        <f>IF(Z2118&gt;0,((IF(OR(D2118="DF",D2118="RA")=TRUE,EXP(VLOOKUP(D2118,'Species Codes'!B:I,8,0)+VLOOKUP(D2118,'Species Codes'!B:J,9,0)*(LN((E2118*2.54)))),IF(OR(D2118="PY",D2118="RC",D2118="WH",D2118="NF")=TRUE,VLOOKUP(D2118,'Species Codes'!B:I,8,0)+VLOOKUP(D2118,'Species Codes'!B:J,9,0)*((E2118*2.54)^2)*(I2118*0.3048),IF(OR(D2118="MD",D2118="BM",D2118="GA")=TRUE,((VLOOKUP(D2118,'Species Codes'!B:I,8,0)*(((((E2118*2.54)+VLOOKUP(D2118,'Species Codes'!B:J,9,0))/VLOOKUP(D2118,'Species Codes'!B:K,10,0))^VLOOKUP(D2118,'Species Codes'!B:L,11,0))*((I2118*0.3048)^VLOOKUP(D2118,'Species Codes'!B:M,12,0))))-(VLOOKUP(D2118,'Species Codes'!B:I,8,0)*((((E2118*2.54)^VLOOKUP(D2118,'Species Codes'!B:L,11,0))*((I2118*0.3048)^VLOOKUP(D2118,'Species Codes'!B:M,12,0))))))*35.3*VLOOKUP(D2118,'Species Codes'!B:G,6,0)/2.2046,VLOOKUP(D2118,'Species Codes'!B:I,8,0)+VLOOKUP(D2118,'Species Codes'!B:J,9,0)*(((E2118*2.54)/100)^2)*(I2118*0.3048)))))*0.0011023),0)</f>
        <v>#N/A</v>
      </c>
      <c r="AC2118" s="104" t="e">
        <f>IF(Z2118&gt;0,((IF(OR(D2118="RA",D2118="OA",D2118="OT",D2118="UN",D2118="PC"),EXP(VLOOKUP(D2118,'Species Codes'!B:O,14,0)+VLOOKUP(D2118,'Species Codes'!B:P,15,0)*LN((E2118*2.54)))-EXP(VLOOKUP(D2118,'Species Codes'!B:O,14,0)+VLOOKUP(D2118,'Species Codes'!B:P,15,0)*LN((E2118*2.54)))*(1/(VLOOKUP(D2118,'Species Codes'!B:Q,16,0)+VLOOKUP(D2118,'Species Codes'!B:R,17,0)*((E2118*2.54)^VLOOKUP(D2118,'Species Codes'!B:S,18,0)))),IF(OR(D2118="BM",D2118="MD",D2118="OA"),EXP(VLOOKUP(D2118,'Species Codes'!B:O,14,0)+VLOOKUP(D2118,'Species Codes'!B:P,15,0)*LN((E2118*2.54)))*(1-(1/(VLOOKUP(D2118,'Species Codes'!B:Q,16,0)+VLOOKUP(D2118,'Species Codes'!B:R,17,0)*((E2118*2.54)^VLOOKUP(D2118,'Species Codes'!B:S,18,0)))))/1000,IF(D2118="DF",EXP(VLOOKUP(D2118,'Species Codes'!B:O,14,0)+VLOOKUP(D2118,'Species Codes'!B:P,15,0)*LN((E2118*2.54))),VLOOKUP(D2118,'Species Codes'!B:O,14,0)+VLOOKUP(D2118,'Species Codes'!B:P,15,0)*(((E2118*2.54)/100)^2)*(I2118*0.3048)))))*0.0011023),0)</f>
        <v>#N/A</v>
      </c>
      <c r="AD2118" s="104" t="e">
        <f t="shared" si="922"/>
        <v>#N/A</v>
      </c>
      <c r="AE2118" s="104" t="e">
        <f t="shared" si="923"/>
        <v>#N/A</v>
      </c>
      <c r="AF2118" s="104" t="e">
        <f>IF(AND(VLOOKUP($D2118,Merchantability!$B:$C,2,0)="Yes",$E2118&gt;=VLOOKUP($D2118,Merchantability!$B:$D,3,0),$E2118&lt;=VLOOKUP($D2118,Merchantability!$B:$E,4,0)),AA2118,0)</f>
        <v>#N/A</v>
      </c>
      <c r="AG2118" s="104" t="e">
        <f>IF(AND(VLOOKUP($D2118,Merchantability!$B:$C,2,0)="Yes",$E2118&gt;=VLOOKUP($D2118,Merchantability!$B:$D,3,0),$E2118&lt;=VLOOKUP($D2118,Merchantability!$B:$E,4,0)),AB2118,0)</f>
        <v>#N/A</v>
      </c>
      <c r="AH2118" s="104" t="e">
        <f>IF(AND(VLOOKUP($D2118,Merchantability!$B:$C,2,0)="Yes",$E2118&gt;=VLOOKUP($D2118,Merchantability!$B:$D,3,0),$E2118&lt;=VLOOKUP($D2118,Merchantability!$B:$E,4,0)),AC2118,0)</f>
        <v>#N/A</v>
      </c>
      <c r="AI2118" s="104" t="e">
        <f t="shared" si="924"/>
        <v>#N/A</v>
      </c>
      <c r="AJ2118" s="104" t="e">
        <f t="shared" si="925"/>
        <v>#VALUE!</v>
      </c>
      <c r="AK2118" s="104" t="e">
        <f t="shared" si="926"/>
        <v>#N/A</v>
      </c>
      <c r="AL2118" s="104" t="e">
        <f t="shared" si="927"/>
        <v>#N/A</v>
      </c>
      <c r="AM2118" s="104" t="e">
        <f t="shared" si="928"/>
        <v>#N/A</v>
      </c>
      <c r="AN2118" s="104" t="e">
        <f t="shared" si="939"/>
        <v>#N/A</v>
      </c>
      <c r="AO2118" s="104" t="e">
        <f t="shared" si="940"/>
        <v>#N/A</v>
      </c>
      <c r="AP2118" s="104" t="e">
        <f t="shared" si="941"/>
        <v>#N/A</v>
      </c>
      <c r="AQ2118" s="104" t="e">
        <f t="shared" si="942"/>
        <v>#N/A</v>
      </c>
      <c r="AR2118" s="105" t="str">
        <f t="shared" si="934"/>
        <v/>
      </c>
      <c r="AS2118" s="105" t="str">
        <f t="shared" si="935"/>
        <v/>
      </c>
      <c r="AT2118" s="108" t="str">
        <f t="shared" si="936"/>
        <v/>
      </c>
      <c r="AU2118" s="108" t="str">
        <f t="shared" si="937"/>
        <v/>
      </c>
      <c r="AV2118" s="107" t="str">
        <f>IF(ISNUMBER(O2118),IF(VLOOKUP($A2118,Stand!C:J,8,FALSE)="Short",AT2118,AU2118),"")</f>
        <v/>
      </c>
      <c r="AW2118" s="109" t="str">
        <f t="shared" si="943"/>
        <v/>
      </c>
      <c r="AX2118" s="109" t="str">
        <f t="shared" si="944"/>
        <v/>
      </c>
      <c r="AY2118" s="112" t="str">
        <f>IF(ISNUMBER(O2118),IF(AND(VLOOKUP($D2118,Merchantability!$B:$C,2,0)="Yes",$E2118&gt;=VLOOKUP($D2118,Merchantability!$B:$D,3,0),$E2118&lt;=VLOOKUP($D2118,Merchantability!$B:$E,4,0)),(AV2118*O2118)*(1-$H2118/100),""),"")</f>
        <v/>
      </c>
      <c r="AZ2118" s="116"/>
      <c r="BA2118" s="116"/>
      <c r="BB2118" s="116"/>
      <c r="BE2118" s="62"/>
      <c r="BF2118" s="63"/>
    </row>
    <row r="2119" spans="1:58" ht="12.75" customHeight="1" x14ac:dyDescent="0.25">
      <c r="A2119" s="334"/>
      <c r="B2119" s="334"/>
      <c r="C2119" s="332"/>
      <c r="D2119" s="334"/>
      <c r="E2119" s="335"/>
      <c r="F2119" s="334"/>
      <c r="G2119" s="332"/>
      <c r="H2119" s="332"/>
      <c r="I2119" s="334"/>
      <c r="J2119" s="336"/>
      <c r="K2119" s="332"/>
      <c r="L2119" s="332"/>
      <c r="M2119" s="76"/>
      <c r="N2119" s="103" t="str">
        <f>IF(A2119="","",VLOOKUP(A2119,Stand!C:K,9,0))</f>
        <v/>
      </c>
      <c r="O2119" s="104" t="str">
        <f t="shared" si="929"/>
        <v/>
      </c>
      <c r="P2119" s="105" t="str">
        <f t="shared" si="930"/>
        <v/>
      </c>
      <c r="Q2119" s="105" t="str">
        <f t="shared" si="918"/>
        <v/>
      </c>
      <c r="R2119" s="103" t="str">
        <f t="shared" si="931"/>
        <v/>
      </c>
      <c r="S2119" s="103" t="str">
        <f t="shared" si="932"/>
        <v/>
      </c>
      <c r="T2119" s="106" t="str">
        <f t="shared" si="919"/>
        <v/>
      </c>
      <c r="U2119" s="106" t="str">
        <f t="shared" si="920"/>
        <v/>
      </c>
      <c r="V2119" s="106" t="str">
        <f t="shared" si="921"/>
        <v/>
      </c>
      <c r="W2119" s="105" t="str">
        <f t="shared" si="933"/>
        <v/>
      </c>
      <c r="X2119" s="104" t="str">
        <f t="shared" si="938"/>
        <v/>
      </c>
      <c r="Y2119" s="104" t="str">
        <f t="array" ref="Y2119">IFERROR(IF(ISNUMBER(O2119),IF(COUNT(IF(A2119=$A$2:$A$2427,IF(D2119=$D$2:$D$2427,IF($X$2:$X$2427&gt;0,1))))&gt;0,SUM(IF(A2119=$A$2:$A$2427,IF(D2119=$D$2:$D$2427,$X$2:$X$2427)))/COUNT(IF(A2119=$A$2:$A$2427,IF(D2119=$D$2:$D$2427,IF(ISNUMBER($X$2:$X$2427),1)))),0),""),0)</f>
        <v/>
      </c>
      <c r="Z2119" s="104" t="str">
        <f>IF(ISNUMBER(O2119),IF(I2119&gt;0,(10^(VLOOKUP(D2119,'Species Codes'!B:C,2,0)+VLOOKUP(D2119,'Species Codes'!B:D,3,0)*LOG(E2119)+VLOOKUP(D2119,'Species Codes'!B:E,4,0)*LOG(I2119))),0),"")</f>
        <v/>
      </c>
      <c r="AA2119" s="104" t="str">
        <f>IFERROR((VLOOKUP(D2119,'Species Codes'!B:G,6,0)*Z2119)/2000,"")</f>
        <v/>
      </c>
      <c r="AB2119" s="104" t="e">
        <f>IF(Z2119&gt;0,((IF(OR(D2119="DF",D2119="RA")=TRUE,EXP(VLOOKUP(D2119,'Species Codes'!B:I,8,0)+VLOOKUP(D2119,'Species Codes'!B:J,9,0)*(LN((E2119*2.54)))),IF(OR(D2119="PY",D2119="RC",D2119="WH",D2119="NF")=TRUE,VLOOKUP(D2119,'Species Codes'!B:I,8,0)+VLOOKUP(D2119,'Species Codes'!B:J,9,0)*((E2119*2.54)^2)*(I2119*0.3048),IF(OR(D2119="MD",D2119="BM",D2119="GA")=TRUE,((VLOOKUP(D2119,'Species Codes'!B:I,8,0)*(((((E2119*2.54)+VLOOKUP(D2119,'Species Codes'!B:J,9,0))/VLOOKUP(D2119,'Species Codes'!B:K,10,0))^VLOOKUP(D2119,'Species Codes'!B:L,11,0))*((I2119*0.3048)^VLOOKUP(D2119,'Species Codes'!B:M,12,0))))-(VLOOKUP(D2119,'Species Codes'!B:I,8,0)*((((E2119*2.54)^VLOOKUP(D2119,'Species Codes'!B:L,11,0))*((I2119*0.3048)^VLOOKUP(D2119,'Species Codes'!B:M,12,0))))))*35.3*VLOOKUP(D2119,'Species Codes'!B:G,6,0)/2.2046,VLOOKUP(D2119,'Species Codes'!B:I,8,0)+VLOOKUP(D2119,'Species Codes'!B:J,9,0)*(((E2119*2.54)/100)^2)*(I2119*0.3048)))))*0.0011023),0)</f>
        <v>#N/A</v>
      </c>
      <c r="AC2119" s="104" t="e">
        <f>IF(Z2119&gt;0,((IF(OR(D2119="RA",D2119="OA",D2119="OT",D2119="UN",D2119="PC"),EXP(VLOOKUP(D2119,'Species Codes'!B:O,14,0)+VLOOKUP(D2119,'Species Codes'!B:P,15,0)*LN((E2119*2.54)))-EXP(VLOOKUP(D2119,'Species Codes'!B:O,14,0)+VLOOKUP(D2119,'Species Codes'!B:P,15,0)*LN((E2119*2.54)))*(1/(VLOOKUP(D2119,'Species Codes'!B:Q,16,0)+VLOOKUP(D2119,'Species Codes'!B:R,17,0)*((E2119*2.54)^VLOOKUP(D2119,'Species Codes'!B:S,18,0)))),IF(OR(D2119="BM",D2119="MD",D2119="OA"),EXP(VLOOKUP(D2119,'Species Codes'!B:O,14,0)+VLOOKUP(D2119,'Species Codes'!B:P,15,0)*LN((E2119*2.54)))*(1-(1/(VLOOKUP(D2119,'Species Codes'!B:Q,16,0)+VLOOKUP(D2119,'Species Codes'!B:R,17,0)*((E2119*2.54)^VLOOKUP(D2119,'Species Codes'!B:S,18,0)))))/1000,IF(D2119="DF",EXP(VLOOKUP(D2119,'Species Codes'!B:O,14,0)+VLOOKUP(D2119,'Species Codes'!B:P,15,0)*LN((E2119*2.54))),VLOOKUP(D2119,'Species Codes'!B:O,14,0)+VLOOKUP(D2119,'Species Codes'!B:P,15,0)*(((E2119*2.54)/100)^2)*(I2119*0.3048)))))*0.0011023),0)</f>
        <v>#N/A</v>
      </c>
      <c r="AD2119" s="104" t="e">
        <f t="shared" si="922"/>
        <v>#N/A</v>
      </c>
      <c r="AE2119" s="104" t="e">
        <f t="shared" si="923"/>
        <v>#N/A</v>
      </c>
      <c r="AF2119" s="104" t="e">
        <f>IF(AND(VLOOKUP($D2119,Merchantability!$B:$C,2,0)="Yes",$E2119&gt;=VLOOKUP($D2119,Merchantability!$B:$D,3,0),$E2119&lt;=VLOOKUP($D2119,Merchantability!$B:$E,4,0)),AA2119,0)</f>
        <v>#N/A</v>
      </c>
      <c r="AG2119" s="104" t="e">
        <f>IF(AND(VLOOKUP($D2119,Merchantability!$B:$C,2,0)="Yes",$E2119&gt;=VLOOKUP($D2119,Merchantability!$B:$D,3,0),$E2119&lt;=VLOOKUP($D2119,Merchantability!$B:$E,4,0)),AB2119,0)</f>
        <v>#N/A</v>
      </c>
      <c r="AH2119" s="104" t="e">
        <f>IF(AND(VLOOKUP($D2119,Merchantability!$B:$C,2,0)="Yes",$E2119&gt;=VLOOKUP($D2119,Merchantability!$B:$D,3,0),$E2119&lt;=VLOOKUP($D2119,Merchantability!$B:$E,4,0)),AC2119,0)</f>
        <v>#N/A</v>
      </c>
      <c r="AI2119" s="104" t="e">
        <f t="shared" si="924"/>
        <v>#N/A</v>
      </c>
      <c r="AJ2119" s="104" t="e">
        <f t="shared" si="925"/>
        <v>#VALUE!</v>
      </c>
      <c r="AK2119" s="104" t="e">
        <f t="shared" si="926"/>
        <v>#N/A</v>
      </c>
      <c r="AL2119" s="104" t="e">
        <f t="shared" si="927"/>
        <v>#N/A</v>
      </c>
      <c r="AM2119" s="104" t="e">
        <f t="shared" si="928"/>
        <v>#N/A</v>
      </c>
      <c r="AN2119" s="104" t="e">
        <f t="shared" si="939"/>
        <v>#N/A</v>
      </c>
      <c r="AO2119" s="104" t="e">
        <f t="shared" si="940"/>
        <v>#N/A</v>
      </c>
      <c r="AP2119" s="104" t="e">
        <f t="shared" si="941"/>
        <v>#N/A</v>
      </c>
      <c r="AQ2119" s="104" t="e">
        <f t="shared" si="942"/>
        <v>#N/A</v>
      </c>
      <c r="AR2119" s="105" t="str">
        <f t="shared" si="934"/>
        <v/>
      </c>
      <c r="AS2119" s="105" t="str">
        <f t="shared" si="935"/>
        <v/>
      </c>
      <c r="AT2119" s="108" t="str">
        <f t="shared" si="936"/>
        <v/>
      </c>
      <c r="AU2119" s="108" t="str">
        <f t="shared" si="937"/>
        <v/>
      </c>
      <c r="AV2119" s="107" t="str">
        <f>IF(ISNUMBER(O2119),IF(VLOOKUP($A2119,Stand!C:J,8,FALSE)="Short",AT2119,AU2119),"")</f>
        <v/>
      </c>
      <c r="AW2119" s="109" t="str">
        <f t="shared" si="943"/>
        <v/>
      </c>
      <c r="AX2119" s="109" t="str">
        <f t="shared" si="944"/>
        <v/>
      </c>
      <c r="AY2119" s="112" t="str">
        <f>IF(ISNUMBER(O2119),IF(AND(VLOOKUP($D2119,Merchantability!$B:$C,2,0)="Yes",$E2119&gt;=VLOOKUP($D2119,Merchantability!$B:$D,3,0),$E2119&lt;=VLOOKUP($D2119,Merchantability!$B:$E,4,0)),(AV2119*O2119)*(1-$H2119/100),""),"")</f>
        <v/>
      </c>
      <c r="AZ2119" s="116"/>
      <c r="BA2119" s="116"/>
      <c r="BB2119" s="116"/>
      <c r="BE2119" s="62"/>
      <c r="BF2119" s="63"/>
    </row>
    <row r="2120" spans="1:58" ht="12.75" customHeight="1" x14ac:dyDescent="0.25">
      <c r="A2120" s="334"/>
      <c r="B2120" s="334"/>
      <c r="C2120" s="332"/>
      <c r="D2120" s="334"/>
      <c r="E2120" s="335"/>
      <c r="F2120" s="334"/>
      <c r="G2120" s="332"/>
      <c r="H2120" s="332"/>
      <c r="I2120" s="334"/>
      <c r="J2120" s="336"/>
      <c r="K2120" s="332"/>
      <c r="L2120" s="332"/>
      <c r="M2120" s="76"/>
      <c r="N2120" s="103" t="str">
        <f>IF(A2120="","",VLOOKUP(A2120,Stand!C:K,9,0))</f>
        <v/>
      </c>
      <c r="O2120" s="104" t="str">
        <f t="shared" si="929"/>
        <v/>
      </c>
      <c r="P2120" s="105" t="str">
        <f t="shared" si="930"/>
        <v/>
      </c>
      <c r="Q2120" s="105" t="str">
        <f t="shared" si="918"/>
        <v/>
      </c>
      <c r="R2120" s="103" t="str">
        <f t="shared" si="931"/>
        <v/>
      </c>
      <c r="S2120" s="103" t="str">
        <f t="shared" si="932"/>
        <v/>
      </c>
      <c r="T2120" s="106" t="str">
        <f t="shared" si="919"/>
        <v/>
      </c>
      <c r="U2120" s="106" t="str">
        <f t="shared" si="920"/>
        <v/>
      </c>
      <c r="V2120" s="106" t="str">
        <f t="shared" si="921"/>
        <v/>
      </c>
      <c r="W2120" s="105" t="str">
        <f t="shared" si="933"/>
        <v/>
      </c>
      <c r="X2120" s="104" t="str">
        <f t="shared" si="938"/>
        <v/>
      </c>
      <c r="Y2120" s="104" t="str">
        <f t="array" ref="Y2120">IFERROR(IF(ISNUMBER(O2120),IF(COUNT(IF(A2120=$A$2:$A$2427,IF(D2120=$D$2:$D$2427,IF($X$2:$X$2427&gt;0,1))))&gt;0,SUM(IF(A2120=$A$2:$A$2427,IF(D2120=$D$2:$D$2427,$X$2:$X$2427)))/COUNT(IF(A2120=$A$2:$A$2427,IF(D2120=$D$2:$D$2427,IF(ISNUMBER($X$2:$X$2427),1)))),0),""),0)</f>
        <v/>
      </c>
      <c r="Z2120" s="104" t="str">
        <f>IF(ISNUMBER(O2120),IF(I2120&gt;0,(10^(VLOOKUP(D2120,'Species Codes'!B:C,2,0)+VLOOKUP(D2120,'Species Codes'!B:D,3,0)*LOG(E2120)+VLOOKUP(D2120,'Species Codes'!B:E,4,0)*LOG(I2120))),0),"")</f>
        <v/>
      </c>
      <c r="AA2120" s="104" t="str">
        <f>IFERROR((VLOOKUP(D2120,'Species Codes'!B:G,6,0)*Z2120)/2000,"")</f>
        <v/>
      </c>
      <c r="AB2120" s="104" t="e">
        <f>IF(Z2120&gt;0,((IF(OR(D2120="DF",D2120="RA")=TRUE,EXP(VLOOKUP(D2120,'Species Codes'!B:I,8,0)+VLOOKUP(D2120,'Species Codes'!B:J,9,0)*(LN((E2120*2.54)))),IF(OR(D2120="PY",D2120="RC",D2120="WH",D2120="NF")=TRUE,VLOOKUP(D2120,'Species Codes'!B:I,8,0)+VLOOKUP(D2120,'Species Codes'!B:J,9,0)*((E2120*2.54)^2)*(I2120*0.3048),IF(OR(D2120="MD",D2120="BM",D2120="GA")=TRUE,((VLOOKUP(D2120,'Species Codes'!B:I,8,0)*(((((E2120*2.54)+VLOOKUP(D2120,'Species Codes'!B:J,9,0))/VLOOKUP(D2120,'Species Codes'!B:K,10,0))^VLOOKUP(D2120,'Species Codes'!B:L,11,0))*((I2120*0.3048)^VLOOKUP(D2120,'Species Codes'!B:M,12,0))))-(VLOOKUP(D2120,'Species Codes'!B:I,8,0)*((((E2120*2.54)^VLOOKUP(D2120,'Species Codes'!B:L,11,0))*((I2120*0.3048)^VLOOKUP(D2120,'Species Codes'!B:M,12,0))))))*35.3*VLOOKUP(D2120,'Species Codes'!B:G,6,0)/2.2046,VLOOKUP(D2120,'Species Codes'!B:I,8,0)+VLOOKUP(D2120,'Species Codes'!B:J,9,0)*(((E2120*2.54)/100)^2)*(I2120*0.3048)))))*0.0011023),0)</f>
        <v>#N/A</v>
      </c>
      <c r="AC2120" s="104" t="e">
        <f>IF(Z2120&gt;0,((IF(OR(D2120="RA",D2120="OA",D2120="OT",D2120="UN",D2120="PC"),EXP(VLOOKUP(D2120,'Species Codes'!B:O,14,0)+VLOOKUP(D2120,'Species Codes'!B:P,15,0)*LN((E2120*2.54)))-EXP(VLOOKUP(D2120,'Species Codes'!B:O,14,0)+VLOOKUP(D2120,'Species Codes'!B:P,15,0)*LN((E2120*2.54)))*(1/(VLOOKUP(D2120,'Species Codes'!B:Q,16,0)+VLOOKUP(D2120,'Species Codes'!B:R,17,0)*((E2120*2.54)^VLOOKUP(D2120,'Species Codes'!B:S,18,0)))),IF(OR(D2120="BM",D2120="MD",D2120="OA"),EXP(VLOOKUP(D2120,'Species Codes'!B:O,14,0)+VLOOKUP(D2120,'Species Codes'!B:P,15,0)*LN((E2120*2.54)))*(1-(1/(VLOOKUP(D2120,'Species Codes'!B:Q,16,0)+VLOOKUP(D2120,'Species Codes'!B:R,17,0)*((E2120*2.54)^VLOOKUP(D2120,'Species Codes'!B:S,18,0)))))/1000,IF(D2120="DF",EXP(VLOOKUP(D2120,'Species Codes'!B:O,14,0)+VLOOKUP(D2120,'Species Codes'!B:P,15,0)*LN((E2120*2.54))),VLOOKUP(D2120,'Species Codes'!B:O,14,0)+VLOOKUP(D2120,'Species Codes'!B:P,15,0)*(((E2120*2.54)/100)^2)*(I2120*0.3048)))))*0.0011023),0)</f>
        <v>#N/A</v>
      </c>
      <c r="AD2120" s="104" t="e">
        <f t="shared" si="922"/>
        <v>#N/A</v>
      </c>
      <c r="AE2120" s="104" t="e">
        <f t="shared" si="923"/>
        <v>#N/A</v>
      </c>
      <c r="AF2120" s="104" t="e">
        <f>IF(AND(VLOOKUP($D2120,Merchantability!$B:$C,2,0)="Yes",$E2120&gt;=VLOOKUP($D2120,Merchantability!$B:$D,3,0),$E2120&lt;=VLOOKUP($D2120,Merchantability!$B:$E,4,0)),AA2120,0)</f>
        <v>#N/A</v>
      </c>
      <c r="AG2120" s="104" t="e">
        <f>IF(AND(VLOOKUP($D2120,Merchantability!$B:$C,2,0)="Yes",$E2120&gt;=VLOOKUP($D2120,Merchantability!$B:$D,3,0),$E2120&lt;=VLOOKUP($D2120,Merchantability!$B:$E,4,0)),AB2120,0)</f>
        <v>#N/A</v>
      </c>
      <c r="AH2120" s="104" t="e">
        <f>IF(AND(VLOOKUP($D2120,Merchantability!$B:$C,2,0)="Yes",$E2120&gt;=VLOOKUP($D2120,Merchantability!$B:$D,3,0),$E2120&lt;=VLOOKUP($D2120,Merchantability!$B:$E,4,0)),AC2120,0)</f>
        <v>#N/A</v>
      </c>
      <c r="AI2120" s="104" t="e">
        <f t="shared" si="924"/>
        <v>#N/A</v>
      </c>
      <c r="AJ2120" s="104" t="e">
        <f t="shared" si="925"/>
        <v>#VALUE!</v>
      </c>
      <c r="AK2120" s="104" t="e">
        <f t="shared" si="926"/>
        <v>#N/A</v>
      </c>
      <c r="AL2120" s="104" t="e">
        <f t="shared" si="927"/>
        <v>#N/A</v>
      </c>
      <c r="AM2120" s="104" t="e">
        <f t="shared" si="928"/>
        <v>#N/A</v>
      </c>
      <c r="AN2120" s="104" t="e">
        <f t="shared" si="939"/>
        <v>#N/A</v>
      </c>
      <c r="AO2120" s="104" t="e">
        <f t="shared" si="940"/>
        <v>#N/A</v>
      </c>
      <c r="AP2120" s="104" t="e">
        <f t="shared" si="941"/>
        <v>#N/A</v>
      </c>
      <c r="AQ2120" s="104" t="e">
        <f t="shared" si="942"/>
        <v>#N/A</v>
      </c>
      <c r="AR2120" s="105" t="str">
        <f t="shared" si="934"/>
        <v/>
      </c>
      <c r="AS2120" s="105" t="str">
        <f t="shared" si="935"/>
        <v/>
      </c>
      <c r="AT2120" s="108" t="str">
        <f t="shared" si="936"/>
        <v/>
      </c>
      <c r="AU2120" s="108" t="str">
        <f t="shared" si="937"/>
        <v/>
      </c>
      <c r="AV2120" s="107" t="str">
        <f>IF(ISNUMBER(O2120),IF(VLOOKUP($A2120,Stand!C:J,8,FALSE)="Short",AT2120,AU2120),"")</f>
        <v/>
      </c>
      <c r="AW2120" s="109" t="str">
        <f t="shared" si="943"/>
        <v/>
      </c>
      <c r="AX2120" s="109" t="str">
        <f t="shared" si="944"/>
        <v/>
      </c>
      <c r="AY2120" s="112" t="str">
        <f>IF(ISNUMBER(O2120),IF(AND(VLOOKUP($D2120,Merchantability!$B:$C,2,0)="Yes",$E2120&gt;=VLOOKUP($D2120,Merchantability!$B:$D,3,0),$E2120&lt;=VLOOKUP($D2120,Merchantability!$B:$E,4,0)),(AV2120*O2120)*(1-$H2120/100),""),"")</f>
        <v/>
      </c>
      <c r="AZ2120" s="116"/>
      <c r="BA2120" s="116"/>
      <c r="BB2120" s="116"/>
      <c r="BE2120" s="62"/>
      <c r="BF2120" s="63"/>
    </row>
    <row r="2121" spans="1:58" ht="12.75" customHeight="1" x14ac:dyDescent="0.25">
      <c r="A2121" s="334"/>
      <c r="B2121" s="334"/>
      <c r="C2121" s="332"/>
      <c r="D2121" s="334"/>
      <c r="E2121" s="335"/>
      <c r="F2121" s="334"/>
      <c r="G2121" s="332"/>
      <c r="H2121" s="332"/>
      <c r="I2121" s="334"/>
      <c r="J2121" s="336"/>
      <c r="K2121" s="332"/>
      <c r="L2121" s="332"/>
      <c r="M2121" s="76"/>
      <c r="N2121" s="103" t="str">
        <f>IF(A2121="","",VLOOKUP(A2121,Stand!C:K,9,0))</f>
        <v/>
      </c>
      <c r="O2121" s="104" t="str">
        <f t="shared" si="929"/>
        <v/>
      </c>
      <c r="P2121" s="105" t="str">
        <f t="shared" si="930"/>
        <v/>
      </c>
      <c r="Q2121" s="105" t="str">
        <f t="shared" si="918"/>
        <v/>
      </c>
      <c r="R2121" s="103" t="str">
        <f t="shared" si="931"/>
        <v/>
      </c>
      <c r="S2121" s="103" t="str">
        <f t="shared" si="932"/>
        <v/>
      </c>
      <c r="T2121" s="106" t="str">
        <f t="shared" si="919"/>
        <v/>
      </c>
      <c r="U2121" s="106" t="str">
        <f t="shared" si="920"/>
        <v/>
      </c>
      <c r="V2121" s="106" t="str">
        <f t="shared" si="921"/>
        <v/>
      </c>
      <c r="W2121" s="105" t="str">
        <f t="shared" si="933"/>
        <v/>
      </c>
      <c r="X2121" s="104" t="str">
        <f t="shared" si="938"/>
        <v/>
      </c>
      <c r="Y2121" s="104" t="str">
        <f t="array" ref="Y2121">IFERROR(IF(ISNUMBER(O2121),IF(COUNT(IF(A2121=$A$2:$A$2427,IF(D2121=$D$2:$D$2427,IF($X$2:$X$2427&gt;0,1))))&gt;0,SUM(IF(A2121=$A$2:$A$2427,IF(D2121=$D$2:$D$2427,$X$2:$X$2427)))/COUNT(IF(A2121=$A$2:$A$2427,IF(D2121=$D$2:$D$2427,IF(ISNUMBER($X$2:$X$2427),1)))),0),""),0)</f>
        <v/>
      </c>
      <c r="Z2121" s="104" t="str">
        <f>IF(ISNUMBER(O2121),IF(I2121&gt;0,(10^(VLOOKUP(D2121,'Species Codes'!B:C,2,0)+VLOOKUP(D2121,'Species Codes'!B:D,3,0)*LOG(E2121)+VLOOKUP(D2121,'Species Codes'!B:E,4,0)*LOG(I2121))),0),"")</f>
        <v/>
      </c>
      <c r="AA2121" s="104" t="str">
        <f>IFERROR((VLOOKUP(D2121,'Species Codes'!B:G,6,0)*Z2121)/2000,"")</f>
        <v/>
      </c>
      <c r="AB2121" s="104" t="e">
        <f>IF(Z2121&gt;0,((IF(OR(D2121="DF",D2121="RA")=TRUE,EXP(VLOOKUP(D2121,'Species Codes'!B:I,8,0)+VLOOKUP(D2121,'Species Codes'!B:J,9,0)*(LN((E2121*2.54)))),IF(OR(D2121="PY",D2121="RC",D2121="WH",D2121="NF")=TRUE,VLOOKUP(D2121,'Species Codes'!B:I,8,0)+VLOOKUP(D2121,'Species Codes'!B:J,9,0)*((E2121*2.54)^2)*(I2121*0.3048),IF(OR(D2121="MD",D2121="BM",D2121="GA")=TRUE,((VLOOKUP(D2121,'Species Codes'!B:I,8,0)*(((((E2121*2.54)+VLOOKUP(D2121,'Species Codes'!B:J,9,0))/VLOOKUP(D2121,'Species Codes'!B:K,10,0))^VLOOKUP(D2121,'Species Codes'!B:L,11,0))*((I2121*0.3048)^VLOOKUP(D2121,'Species Codes'!B:M,12,0))))-(VLOOKUP(D2121,'Species Codes'!B:I,8,0)*((((E2121*2.54)^VLOOKUP(D2121,'Species Codes'!B:L,11,0))*((I2121*0.3048)^VLOOKUP(D2121,'Species Codes'!B:M,12,0))))))*35.3*VLOOKUP(D2121,'Species Codes'!B:G,6,0)/2.2046,VLOOKUP(D2121,'Species Codes'!B:I,8,0)+VLOOKUP(D2121,'Species Codes'!B:J,9,0)*(((E2121*2.54)/100)^2)*(I2121*0.3048)))))*0.0011023),0)</f>
        <v>#N/A</v>
      </c>
      <c r="AC2121" s="104" t="e">
        <f>IF(Z2121&gt;0,((IF(OR(D2121="RA",D2121="OA",D2121="OT",D2121="UN",D2121="PC"),EXP(VLOOKUP(D2121,'Species Codes'!B:O,14,0)+VLOOKUP(D2121,'Species Codes'!B:P,15,0)*LN((E2121*2.54)))-EXP(VLOOKUP(D2121,'Species Codes'!B:O,14,0)+VLOOKUP(D2121,'Species Codes'!B:P,15,0)*LN((E2121*2.54)))*(1/(VLOOKUP(D2121,'Species Codes'!B:Q,16,0)+VLOOKUP(D2121,'Species Codes'!B:R,17,0)*((E2121*2.54)^VLOOKUP(D2121,'Species Codes'!B:S,18,0)))),IF(OR(D2121="BM",D2121="MD",D2121="OA"),EXP(VLOOKUP(D2121,'Species Codes'!B:O,14,0)+VLOOKUP(D2121,'Species Codes'!B:P,15,0)*LN((E2121*2.54)))*(1-(1/(VLOOKUP(D2121,'Species Codes'!B:Q,16,0)+VLOOKUP(D2121,'Species Codes'!B:R,17,0)*((E2121*2.54)^VLOOKUP(D2121,'Species Codes'!B:S,18,0)))))/1000,IF(D2121="DF",EXP(VLOOKUP(D2121,'Species Codes'!B:O,14,0)+VLOOKUP(D2121,'Species Codes'!B:P,15,0)*LN((E2121*2.54))),VLOOKUP(D2121,'Species Codes'!B:O,14,0)+VLOOKUP(D2121,'Species Codes'!B:P,15,0)*(((E2121*2.54)/100)^2)*(I2121*0.3048)))))*0.0011023),0)</f>
        <v>#N/A</v>
      </c>
      <c r="AD2121" s="104" t="e">
        <f t="shared" si="922"/>
        <v>#N/A</v>
      </c>
      <c r="AE2121" s="104" t="e">
        <f t="shared" si="923"/>
        <v>#N/A</v>
      </c>
      <c r="AF2121" s="104" t="e">
        <f>IF(AND(VLOOKUP($D2121,Merchantability!$B:$C,2,0)="Yes",$E2121&gt;=VLOOKUP($D2121,Merchantability!$B:$D,3,0),$E2121&lt;=VLOOKUP($D2121,Merchantability!$B:$E,4,0)),AA2121,0)</f>
        <v>#N/A</v>
      </c>
      <c r="AG2121" s="104" t="e">
        <f>IF(AND(VLOOKUP($D2121,Merchantability!$B:$C,2,0)="Yes",$E2121&gt;=VLOOKUP($D2121,Merchantability!$B:$D,3,0),$E2121&lt;=VLOOKUP($D2121,Merchantability!$B:$E,4,0)),AB2121,0)</f>
        <v>#N/A</v>
      </c>
      <c r="AH2121" s="104" t="e">
        <f>IF(AND(VLOOKUP($D2121,Merchantability!$B:$C,2,0)="Yes",$E2121&gt;=VLOOKUP($D2121,Merchantability!$B:$D,3,0),$E2121&lt;=VLOOKUP($D2121,Merchantability!$B:$E,4,0)),AC2121,0)</f>
        <v>#N/A</v>
      </c>
      <c r="AI2121" s="104" t="e">
        <f t="shared" si="924"/>
        <v>#N/A</v>
      </c>
      <c r="AJ2121" s="104" t="e">
        <f t="shared" si="925"/>
        <v>#VALUE!</v>
      </c>
      <c r="AK2121" s="104" t="e">
        <f t="shared" si="926"/>
        <v>#N/A</v>
      </c>
      <c r="AL2121" s="104" t="e">
        <f t="shared" si="927"/>
        <v>#N/A</v>
      </c>
      <c r="AM2121" s="104" t="e">
        <f t="shared" si="928"/>
        <v>#N/A</v>
      </c>
      <c r="AN2121" s="104" t="e">
        <f t="shared" si="939"/>
        <v>#N/A</v>
      </c>
      <c r="AO2121" s="104" t="e">
        <f t="shared" si="940"/>
        <v>#N/A</v>
      </c>
      <c r="AP2121" s="104" t="e">
        <f t="shared" si="941"/>
        <v>#N/A</v>
      </c>
      <c r="AQ2121" s="104" t="e">
        <f t="shared" si="942"/>
        <v>#N/A</v>
      </c>
      <c r="AR2121" s="105" t="str">
        <f t="shared" si="934"/>
        <v/>
      </c>
      <c r="AS2121" s="105" t="str">
        <f t="shared" si="935"/>
        <v/>
      </c>
      <c r="AT2121" s="108" t="str">
        <f t="shared" si="936"/>
        <v/>
      </c>
      <c r="AU2121" s="108" t="str">
        <f t="shared" si="937"/>
        <v/>
      </c>
      <c r="AV2121" s="107" t="str">
        <f>IF(ISNUMBER(O2121),IF(VLOOKUP($A2121,Stand!C:J,8,FALSE)="Short",AT2121,AU2121),"")</f>
        <v/>
      </c>
      <c r="AW2121" s="109" t="str">
        <f t="shared" si="943"/>
        <v/>
      </c>
      <c r="AX2121" s="109" t="str">
        <f t="shared" si="944"/>
        <v/>
      </c>
      <c r="AY2121" s="112" t="str">
        <f>IF(ISNUMBER(O2121),IF(AND(VLOOKUP($D2121,Merchantability!$B:$C,2,0)="Yes",$E2121&gt;=VLOOKUP($D2121,Merchantability!$B:$D,3,0),$E2121&lt;=VLOOKUP($D2121,Merchantability!$B:$E,4,0)),(AV2121*O2121)*(1-$H2121/100),""),"")</f>
        <v/>
      </c>
      <c r="AZ2121" s="116"/>
      <c r="BA2121" s="116"/>
      <c r="BB2121" s="116"/>
      <c r="BE2121" s="62"/>
      <c r="BF2121" s="63"/>
    </row>
    <row r="2122" spans="1:58" ht="12.75" customHeight="1" x14ac:dyDescent="0.25">
      <c r="A2122" s="334"/>
      <c r="B2122" s="334"/>
      <c r="C2122" s="332"/>
      <c r="D2122" s="334"/>
      <c r="E2122" s="335"/>
      <c r="F2122" s="334"/>
      <c r="G2122" s="332"/>
      <c r="H2122" s="332"/>
      <c r="I2122" s="334"/>
      <c r="J2122" s="336"/>
      <c r="K2122" s="332"/>
      <c r="L2122" s="332"/>
      <c r="M2122" s="76"/>
      <c r="N2122" s="103" t="str">
        <f>IF(A2122="","",VLOOKUP(A2122,Stand!C:K,9,0))</f>
        <v/>
      </c>
      <c r="O2122" s="104" t="str">
        <f t="shared" si="929"/>
        <v/>
      </c>
      <c r="P2122" s="105" t="str">
        <f t="shared" si="930"/>
        <v/>
      </c>
      <c r="Q2122" s="105" t="str">
        <f t="shared" si="918"/>
        <v/>
      </c>
      <c r="R2122" s="103" t="str">
        <f t="shared" si="931"/>
        <v/>
      </c>
      <c r="S2122" s="103" t="str">
        <f t="shared" si="932"/>
        <v/>
      </c>
      <c r="T2122" s="106" t="str">
        <f t="shared" si="919"/>
        <v/>
      </c>
      <c r="U2122" s="106" t="str">
        <f t="shared" si="920"/>
        <v/>
      </c>
      <c r="V2122" s="106" t="str">
        <f t="shared" si="921"/>
        <v/>
      </c>
      <c r="W2122" s="105" t="str">
        <f t="shared" si="933"/>
        <v/>
      </c>
      <c r="X2122" s="104" t="str">
        <f t="shared" si="938"/>
        <v/>
      </c>
      <c r="Y2122" s="104" t="str">
        <f t="array" ref="Y2122">IFERROR(IF(ISNUMBER(O2122),IF(COUNT(IF(A2122=$A$2:$A$2427,IF(D2122=$D$2:$D$2427,IF($X$2:$X$2427&gt;0,1))))&gt;0,SUM(IF(A2122=$A$2:$A$2427,IF(D2122=$D$2:$D$2427,$X$2:$X$2427)))/COUNT(IF(A2122=$A$2:$A$2427,IF(D2122=$D$2:$D$2427,IF(ISNUMBER($X$2:$X$2427),1)))),0),""),0)</f>
        <v/>
      </c>
      <c r="Z2122" s="104" t="str">
        <f>IF(ISNUMBER(O2122),IF(I2122&gt;0,(10^(VLOOKUP(D2122,'Species Codes'!B:C,2,0)+VLOOKUP(D2122,'Species Codes'!B:D,3,0)*LOG(E2122)+VLOOKUP(D2122,'Species Codes'!B:E,4,0)*LOG(I2122))),0),"")</f>
        <v/>
      </c>
      <c r="AA2122" s="104" t="str">
        <f>IFERROR((VLOOKUP(D2122,'Species Codes'!B:G,6,0)*Z2122)/2000,"")</f>
        <v/>
      </c>
      <c r="AB2122" s="104" t="e">
        <f>IF(Z2122&gt;0,((IF(OR(D2122="DF",D2122="RA")=TRUE,EXP(VLOOKUP(D2122,'Species Codes'!B:I,8,0)+VLOOKUP(D2122,'Species Codes'!B:J,9,0)*(LN((E2122*2.54)))),IF(OR(D2122="PY",D2122="RC",D2122="WH",D2122="NF")=TRUE,VLOOKUP(D2122,'Species Codes'!B:I,8,0)+VLOOKUP(D2122,'Species Codes'!B:J,9,0)*((E2122*2.54)^2)*(I2122*0.3048),IF(OR(D2122="MD",D2122="BM",D2122="GA")=TRUE,((VLOOKUP(D2122,'Species Codes'!B:I,8,0)*(((((E2122*2.54)+VLOOKUP(D2122,'Species Codes'!B:J,9,0))/VLOOKUP(D2122,'Species Codes'!B:K,10,0))^VLOOKUP(D2122,'Species Codes'!B:L,11,0))*((I2122*0.3048)^VLOOKUP(D2122,'Species Codes'!B:M,12,0))))-(VLOOKUP(D2122,'Species Codes'!B:I,8,0)*((((E2122*2.54)^VLOOKUP(D2122,'Species Codes'!B:L,11,0))*((I2122*0.3048)^VLOOKUP(D2122,'Species Codes'!B:M,12,0))))))*35.3*VLOOKUP(D2122,'Species Codes'!B:G,6,0)/2.2046,VLOOKUP(D2122,'Species Codes'!B:I,8,0)+VLOOKUP(D2122,'Species Codes'!B:J,9,0)*(((E2122*2.54)/100)^2)*(I2122*0.3048)))))*0.0011023),0)</f>
        <v>#N/A</v>
      </c>
      <c r="AC2122" s="104" t="e">
        <f>IF(Z2122&gt;0,((IF(OR(D2122="RA",D2122="OA",D2122="OT",D2122="UN",D2122="PC"),EXP(VLOOKUP(D2122,'Species Codes'!B:O,14,0)+VLOOKUP(D2122,'Species Codes'!B:P,15,0)*LN((E2122*2.54)))-EXP(VLOOKUP(D2122,'Species Codes'!B:O,14,0)+VLOOKUP(D2122,'Species Codes'!B:P,15,0)*LN((E2122*2.54)))*(1/(VLOOKUP(D2122,'Species Codes'!B:Q,16,0)+VLOOKUP(D2122,'Species Codes'!B:R,17,0)*((E2122*2.54)^VLOOKUP(D2122,'Species Codes'!B:S,18,0)))),IF(OR(D2122="BM",D2122="MD",D2122="OA"),EXP(VLOOKUP(D2122,'Species Codes'!B:O,14,0)+VLOOKUP(D2122,'Species Codes'!B:P,15,0)*LN((E2122*2.54)))*(1-(1/(VLOOKUP(D2122,'Species Codes'!B:Q,16,0)+VLOOKUP(D2122,'Species Codes'!B:R,17,0)*((E2122*2.54)^VLOOKUP(D2122,'Species Codes'!B:S,18,0)))))/1000,IF(D2122="DF",EXP(VLOOKUP(D2122,'Species Codes'!B:O,14,0)+VLOOKUP(D2122,'Species Codes'!B:P,15,0)*LN((E2122*2.54))),VLOOKUP(D2122,'Species Codes'!B:O,14,0)+VLOOKUP(D2122,'Species Codes'!B:P,15,0)*(((E2122*2.54)/100)^2)*(I2122*0.3048)))))*0.0011023),0)</f>
        <v>#N/A</v>
      </c>
      <c r="AD2122" s="104" t="e">
        <f t="shared" si="922"/>
        <v>#N/A</v>
      </c>
      <c r="AE2122" s="104" t="e">
        <f t="shared" si="923"/>
        <v>#N/A</v>
      </c>
      <c r="AF2122" s="104" t="e">
        <f>IF(AND(VLOOKUP($D2122,Merchantability!$B:$C,2,0)="Yes",$E2122&gt;=VLOOKUP($D2122,Merchantability!$B:$D,3,0),$E2122&lt;=VLOOKUP($D2122,Merchantability!$B:$E,4,0)),AA2122,0)</f>
        <v>#N/A</v>
      </c>
      <c r="AG2122" s="104" t="e">
        <f>IF(AND(VLOOKUP($D2122,Merchantability!$B:$C,2,0)="Yes",$E2122&gt;=VLOOKUP($D2122,Merchantability!$B:$D,3,0),$E2122&lt;=VLOOKUP($D2122,Merchantability!$B:$E,4,0)),AB2122,0)</f>
        <v>#N/A</v>
      </c>
      <c r="AH2122" s="104" t="e">
        <f>IF(AND(VLOOKUP($D2122,Merchantability!$B:$C,2,0)="Yes",$E2122&gt;=VLOOKUP($D2122,Merchantability!$B:$D,3,0),$E2122&lt;=VLOOKUP($D2122,Merchantability!$B:$E,4,0)),AC2122,0)</f>
        <v>#N/A</v>
      </c>
      <c r="AI2122" s="104" t="e">
        <f t="shared" si="924"/>
        <v>#N/A</v>
      </c>
      <c r="AJ2122" s="104" t="e">
        <f t="shared" si="925"/>
        <v>#VALUE!</v>
      </c>
      <c r="AK2122" s="104" t="e">
        <f t="shared" si="926"/>
        <v>#N/A</v>
      </c>
      <c r="AL2122" s="104" t="e">
        <f t="shared" si="927"/>
        <v>#N/A</v>
      </c>
      <c r="AM2122" s="104" t="e">
        <f t="shared" si="928"/>
        <v>#N/A</v>
      </c>
      <c r="AN2122" s="104" t="e">
        <f t="shared" si="939"/>
        <v>#N/A</v>
      </c>
      <c r="AO2122" s="104" t="e">
        <f t="shared" si="940"/>
        <v>#N/A</v>
      </c>
      <c r="AP2122" s="104" t="e">
        <f t="shared" si="941"/>
        <v>#N/A</v>
      </c>
      <c r="AQ2122" s="104" t="e">
        <f t="shared" si="942"/>
        <v>#N/A</v>
      </c>
      <c r="AR2122" s="105" t="str">
        <f t="shared" si="934"/>
        <v/>
      </c>
      <c r="AS2122" s="105" t="str">
        <f t="shared" si="935"/>
        <v/>
      </c>
      <c r="AT2122" s="108" t="str">
        <f t="shared" si="936"/>
        <v/>
      </c>
      <c r="AU2122" s="108" t="str">
        <f t="shared" si="937"/>
        <v/>
      </c>
      <c r="AV2122" s="107" t="str">
        <f>IF(ISNUMBER(O2122),IF(VLOOKUP($A2122,Stand!C:J,8,FALSE)="Short",AT2122,AU2122),"")</f>
        <v/>
      </c>
      <c r="AW2122" s="109" t="str">
        <f t="shared" si="943"/>
        <v/>
      </c>
      <c r="AX2122" s="109" t="str">
        <f t="shared" si="944"/>
        <v/>
      </c>
      <c r="AY2122" s="112" t="str">
        <f>IF(ISNUMBER(O2122),IF(AND(VLOOKUP($D2122,Merchantability!$B:$C,2,0)="Yes",$E2122&gt;=VLOOKUP($D2122,Merchantability!$B:$D,3,0),$E2122&lt;=VLOOKUP($D2122,Merchantability!$B:$E,4,0)),(AV2122*O2122)*(1-$H2122/100),""),"")</f>
        <v/>
      </c>
      <c r="AZ2122" s="116"/>
      <c r="BA2122" s="116"/>
      <c r="BB2122" s="116"/>
      <c r="BE2122" s="62"/>
      <c r="BF2122" s="63"/>
    </row>
    <row r="2123" spans="1:58" ht="12.75" customHeight="1" x14ac:dyDescent="0.25">
      <c r="A2123" s="334"/>
      <c r="B2123" s="334"/>
      <c r="C2123" s="332"/>
      <c r="D2123" s="334"/>
      <c r="E2123" s="335"/>
      <c r="F2123" s="334"/>
      <c r="G2123" s="332"/>
      <c r="H2123" s="332"/>
      <c r="I2123" s="334"/>
      <c r="J2123" s="336"/>
      <c r="K2123" s="332"/>
      <c r="L2123" s="332"/>
      <c r="M2123" s="76"/>
      <c r="N2123" s="103" t="str">
        <f>IF(A2123="","",VLOOKUP(A2123,Stand!C:K,9,0))</f>
        <v/>
      </c>
      <c r="O2123" s="104" t="str">
        <f t="shared" si="929"/>
        <v/>
      </c>
      <c r="P2123" s="105" t="str">
        <f t="shared" si="930"/>
        <v/>
      </c>
      <c r="Q2123" s="105" t="str">
        <f t="shared" si="918"/>
        <v/>
      </c>
      <c r="R2123" s="103" t="str">
        <f t="shared" si="931"/>
        <v/>
      </c>
      <c r="S2123" s="103" t="str">
        <f t="shared" si="932"/>
        <v/>
      </c>
      <c r="T2123" s="106" t="str">
        <f t="shared" si="919"/>
        <v/>
      </c>
      <c r="U2123" s="106" t="str">
        <f t="shared" si="920"/>
        <v/>
      </c>
      <c r="V2123" s="106" t="str">
        <f t="shared" si="921"/>
        <v/>
      </c>
      <c r="W2123" s="105" t="str">
        <f t="shared" si="933"/>
        <v/>
      </c>
      <c r="X2123" s="104" t="str">
        <f t="shared" si="938"/>
        <v/>
      </c>
      <c r="Y2123" s="104" t="str">
        <f t="array" ref="Y2123">IFERROR(IF(ISNUMBER(O2123),IF(COUNT(IF(A2123=$A$2:$A$2427,IF(D2123=$D$2:$D$2427,IF($X$2:$X$2427&gt;0,1))))&gt;0,SUM(IF(A2123=$A$2:$A$2427,IF(D2123=$D$2:$D$2427,$X$2:$X$2427)))/COUNT(IF(A2123=$A$2:$A$2427,IF(D2123=$D$2:$D$2427,IF(ISNUMBER($X$2:$X$2427),1)))),0),""),0)</f>
        <v/>
      </c>
      <c r="Z2123" s="104" t="str">
        <f>IF(ISNUMBER(O2123),IF(I2123&gt;0,(10^(VLOOKUP(D2123,'Species Codes'!B:C,2,0)+VLOOKUP(D2123,'Species Codes'!B:D,3,0)*LOG(E2123)+VLOOKUP(D2123,'Species Codes'!B:E,4,0)*LOG(I2123))),0),"")</f>
        <v/>
      </c>
      <c r="AA2123" s="104" t="str">
        <f>IFERROR((VLOOKUP(D2123,'Species Codes'!B:G,6,0)*Z2123)/2000,"")</f>
        <v/>
      </c>
      <c r="AB2123" s="104" t="e">
        <f>IF(Z2123&gt;0,((IF(OR(D2123="DF",D2123="RA")=TRUE,EXP(VLOOKUP(D2123,'Species Codes'!B:I,8,0)+VLOOKUP(D2123,'Species Codes'!B:J,9,0)*(LN((E2123*2.54)))),IF(OR(D2123="PY",D2123="RC",D2123="WH",D2123="NF")=TRUE,VLOOKUP(D2123,'Species Codes'!B:I,8,0)+VLOOKUP(D2123,'Species Codes'!B:J,9,0)*((E2123*2.54)^2)*(I2123*0.3048),IF(OR(D2123="MD",D2123="BM",D2123="GA")=TRUE,((VLOOKUP(D2123,'Species Codes'!B:I,8,0)*(((((E2123*2.54)+VLOOKUP(D2123,'Species Codes'!B:J,9,0))/VLOOKUP(D2123,'Species Codes'!B:K,10,0))^VLOOKUP(D2123,'Species Codes'!B:L,11,0))*((I2123*0.3048)^VLOOKUP(D2123,'Species Codes'!B:M,12,0))))-(VLOOKUP(D2123,'Species Codes'!B:I,8,0)*((((E2123*2.54)^VLOOKUP(D2123,'Species Codes'!B:L,11,0))*((I2123*0.3048)^VLOOKUP(D2123,'Species Codes'!B:M,12,0))))))*35.3*VLOOKUP(D2123,'Species Codes'!B:G,6,0)/2.2046,VLOOKUP(D2123,'Species Codes'!B:I,8,0)+VLOOKUP(D2123,'Species Codes'!B:J,9,0)*(((E2123*2.54)/100)^2)*(I2123*0.3048)))))*0.0011023),0)</f>
        <v>#N/A</v>
      </c>
      <c r="AC2123" s="104" t="e">
        <f>IF(Z2123&gt;0,((IF(OR(D2123="RA",D2123="OA",D2123="OT",D2123="UN",D2123="PC"),EXP(VLOOKUP(D2123,'Species Codes'!B:O,14,0)+VLOOKUP(D2123,'Species Codes'!B:P,15,0)*LN((E2123*2.54)))-EXP(VLOOKUP(D2123,'Species Codes'!B:O,14,0)+VLOOKUP(D2123,'Species Codes'!B:P,15,0)*LN((E2123*2.54)))*(1/(VLOOKUP(D2123,'Species Codes'!B:Q,16,0)+VLOOKUP(D2123,'Species Codes'!B:R,17,0)*((E2123*2.54)^VLOOKUP(D2123,'Species Codes'!B:S,18,0)))),IF(OR(D2123="BM",D2123="MD",D2123="OA"),EXP(VLOOKUP(D2123,'Species Codes'!B:O,14,0)+VLOOKUP(D2123,'Species Codes'!B:P,15,0)*LN((E2123*2.54)))*(1-(1/(VLOOKUP(D2123,'Species Codes'!B:Q,16,0)+VLOOKUP(D2123,'Species Codes'!B:R,17,0)*((E2123*2.54)^VLOOKUP(D2123,'Species Codes'!B:S,18,0)))))/1000,IF(D2123="DF",EXP(VLOOKUP(D2123,'Species Codes'!B:O,14,0)+VLOOKUP(D2123,'Species Codes'!B:P,15,0)*LN((E2123*2.54))),VLOOKUP(D2123,'Species Codes'!B:O,14,0)+VLOOKUP(D2123,'Species Codes'!B:P,15,0)*(((E2123*2.54)/100)^2)*(I2123*0.3048)))))*0.0011023),0)</f>
        <v>#N/A</v>
      </c>
      <c r="AD2123" s="104" t="e">
        <f t="shared" si="922"/>
        <v>#N/A</v>
      </c>
      <c r="AE2123" s="104" t="e">
        <f t="shared" si="923"/>
        <v>#N/A</v>
      </c>
      <c r="AF2123" s="104" t="e">
        <f>IF(AND(VLOOKUP($D2123,Merchantability!$B:$C,2,0)="Yes",$E2123&gt;=VLOOKUP($D2123,Merchantability!$B:$D,3,0),$E2123&lt;=VLOOKUP($D2123,Merchantability!$B:$E,4,0)),AA2123,0)</f>
        <v>#N/A</v>
      </c>
      <c r="AG2123" s="104" t="e">
        <f>IF(AND(VLOOKUP($D2123,Merchantability!$B:$C,2,0)="Yes",$E2123&gt;=VLOOKUP($D2123,Merchantability!$B:$D,3,0),$E2123&lt;=VLOOKUP($D2123,Merchantability!$B:$E,4,0)),AB2123,0)</f>
        <v>#N/A</v>
      </c>
      <c r="AH2123" s="104" t="e">
        <f>IF(AND(VLOOKUP($D2123,Merchantability!$B:$C,2,0)="Yes",$E2123&gt;=VLOOKUP($D2123,Merchantability!$B:$D,3,0),$E2123&lt;=VLOOKUP($D2123,Merchantability!$B:$E,4,0)),AC2123,0)</f>
        <v>#N/A</v>
      </c>
      <c r="AI2123" s="104" t="e">
        <f t="shared" si="924"/>
        <v>#N/A</v>
      </c>
      <c r="AJ2123" s="104" t="e">
        <f t="shared" si="925"/>
        <v>#VALUE!</v>
      </c>
      <c r="AK2123" s="104" t="e">
        <f t="shared" si="926"/>
        <v>#N/A</v>
      </c>
      <c r="AL2123" s="104" t="e">
        <f t="shared" si="927"/>
        <v>#N/A</v>
      </c>
      <c r="AM2123" s="104" t="e">
        <f t="shared" si="928"/>
        <v>#N/A</v>
      </c>
      <c r="AN2123" s="104" t="e">
        <f t="shared" si="939"/>
        <v>#N/A</v>
      </c>
      <c r="AO2123" s="104" t="e">
        <f t="shared" si="940"/>
        <v>#N/A</v>
      </c>
      <c r="AP2123" s="104" t="e">
        <f t="shared" si="941"/>
        <v>#N/A</v>
      </c>
      <c r="AQ2123" s="104" t="e">
        <f t="shared" si="942"/>
        <v>#N/A</v>
      </c>
      <c r="AR2123" s="105" t="str">
        <f t="shared" si="934"/>
        <v/>
      </c>
      <c r="AS2123" s="105" t="str">
        <f t="shared" si="935"/>
        <v/>
      </c>
      <c r="AT2123" s="108" t="str">
        <f t="shared" si="936"/>
        <v/>
      </c>
      <c r="AU2123" s="108" t="str">
        <f t="shared" si="937"/>
        <v/>
      </c>
      <c r="AV2123" s="107" t="str">
        <f>IF(ISNUMBER(O2123),IF(VLOOKUP($A2123,Stand!C:J,8,FALSE)="Short",AT2123,AU2123),"")</f>
        <v/>
      </c>
      <c r="AW2123" s="109" t="str">
        <f t="shared" si="943"/>
        <v/>
      </c>
      <c r="AX2123" s="109" t="str">
        <f t="shared" si="944"/>
        <v/>
      </c>
      <c r="AY2123" s="112" t="str">
        <f>IF(ISNUMBER(O2123),IF(AND(VLOOKUP($D2123,Merchantability!$B:$C,2,0)="Yes",$E2123&gt;=VLOOKUP($D2123,Merchantability!$B:$D,3,0),$E2123&lt;=VLOOKUP($D2123,Merchantability!$B:$E,4,0)),(AV2123*O2123)*(1-$H2123/100),""),"")</f>
        <v/>
      </c>
      <c r="AZ2123" s="116"/>
      <c r="BA2123" s="116"/>
      <c r="BB2123" s="116"/>
      <c r="BE2123" s="62"/>
      <c r="BF2123" s="63"/>
    </row>
    <row r="2124" spans="1:58" ht="12.75" customHeight="1" x14ac:dyDescent="0.25">
      <c r="A2124" s="334"/>
      <c r="B2124" s="334"/>
      <c r="C2124" s="332"/>
      <c r="D2124" s="334"/>
      <c r="E2124" s="335"/>
      <c r="F2124" s="334"/>
      <c r="G2124" s="332"/>
      <c r="H2124" s="332"/>
      <c r="I2124" s="334"/>
      <c r="J2124" s="336"/>
      <c r="K2124" s="332"/>
      <c r="L2124" s="332"/>
      <c r="M2124" s="76"/>
      <c r="N2124" s="103" t="str">
        <f>IF(A2124="","",VLOOKUP(A2124,Stand!C:K,9,0))</f>
        <v/>
      </c>
      <c r="O2124" s="104" t="str">
        <f t="shared" si="929"/>
        <v/>
      </c>
      <c r="P2124" s="105" t="str">
        <f t="shared" si="930"/>
        <v/>
      </c>
      <c r="Q2124" s="105" t="str">
        <f t="shared" si="918"/>
        <v/>
      </c>
      <c r="R2124" s="103" t="str">
        <f t="shared" si="931"/>
        <v/>
      </c>
      <c r="S2124" s="103" t="str">
        <f t="shared" si="932"/>
        <v/>
      </c>
      <c r="T2124" s="106" t="str">
        <f t="shared" si="919"/>
        <v/>
      </c>
      <c r="U2124" s="106" t="str">
        <f t="shared" si="920"/>
        <v/>
      </c>
      <c r="V2124" s="106" t="str">
        <f t="shared" si="921"/>
        <v/>
      </c>
      <c r="W2124" s="105" t="str">
        <f t="shared" si="933"/>
        <v/>
      </c>
      <c r="X2124" s="104" t="str">
        <f t="shared" si="938"/>
        <v/>
      </c>
      <c r="Y2124" s="104" t="str">
        <f t="array" ref="Y2124">IFERROR(IF(ISNUMBER(O2124),IF(COUNT(IF(A2124=$A$2:$A$2427,IF(D2124=$D$2:$D$2427,IF($X$2:$X$2427&gt;0,1))))&gt;0,SUM(IF(A2124=$A$2:$A$2427,IF(D2124=$D$2:$D$2427,$X$2:$X$2427)))/COUNT(IF(A2124=$A$2:$A$2427,IF(D2124=$D$2:$D$2427,IF(ISNUMBER($X$2:$X$2427),1)))),0),""),0)</f>
        <v/>
      </c>
      <c r="Z2124" s="104" t="str">
        <f>IF(ISNUMBER(O2124),IF(I2124&gt;0,(10^(VLOOKUP(D2124,'Species Codes'!B:C,2,0)+VLOOKUP(D2124,'Species Codes'!B:D,3,0)*LOG(E2124)+VLOOKUP(D2124,'Species Codes'!B:E,4,0)*LOG(I2124))),0),"")</f>
        <v/>
      </c>
      <c r="AA2124" s="104" t="str">
        <f>IFERROR((VLOOKUP(D2124,'Species Codes'!B:G,6,0)*Z2124)/2000,"")</f>
        <v/>
      </c>
      <c r="AB2124" s="104" t="e">
        <f>IF(Z2124&gt;0,((IF(OR(D2124="DF",D2124="RA")=TRUE,EXP(VLOOKUP(D2124,'Species Codes'!B:I,8,0)+VLOOKUP(D2124,'Species Codes'!B:J,9,0)*(LN((E2124*2.54)))),IF(OR(D2124="PY",D2124="RC",D2124="WH",D2124="NF")=TRUE,VLOOKUP(D2124,'Species Codes'!B:I,8,0)+VLOOKUP(D2124,'Species Codes'!B:J,9,0)*((E2124*2.54)^2)*(I2124*0.3048),IF(OR(D2124="MD",D2124="BM",D2124="GA")=TRUE,((VLOOKUP(D2124,'Species Codes'!B:I,8,0)*(((((E2124*2.54)+VLOOKUP(D2124,'Species Codes'!B:J,9,0))/VLOOKUP(D2124,'Species Codes'!B:K,10,0))^VLOOKUP(D2124,'Species Codes'!B:L,11,0))*((I2124*0.3048)^VLOOKUP(D2124,'Species Codes'!B:M,12,0))))-(VLOOKUP(D2124,'Species Codes'!B:I,8,0)*((((E2124*2.54)^VLOOKUP(D2124,'Species Codes'!B:L,11,0))*((I2124*0.3048)^VLOOKUP(D2124,'Species Codes'!B:M,12,0))))))*35.3*VLOOKUP(D2124,'Species Codes'!B:G,6,0)/2.2046,VLOOKUP(D2124,'Species Codes'!B:I,8,0)+VLOOKUP(D2124,'Species Codes'!B:J,9,0)*(((E2124*2.54)/100)^2)*(I2124*0.3048)))))*0.0011023),0)</f>
        <v>#N/A</v>
      </c>
      <c r="AC2124" s="104" t="e">
        <f>IF(Z2124&gt;0,((IF(OR(D2124="RA",D2124="OA",D2124="OT",D2124="UN",D2124="PC"),EXP(VLOOKUP(D2124,'Species Codes'!B:O,14,0)+VLOOKUP(D2124,'Species Codes'!B:P,15,0)*LN((E2124*2.54)))-EXP(VLOOKUP(D2124,'Species Codes'!B:O,14,0)+VLOOKUP(D2124,'Species Codes'!B:P,15,0)*LN((E2124*2.54)))*(1/(VLOOKUP(D2124,'Species Codes'!B:Q,16,0)+VLOOKUP(D2124,'Species Codes'!B:R,17,0)*((E2124*2.54)^VLOOKUP(D2124,'Species Codes'!B:S,18,0)))),IF(OR(D2124="BM",D2124="MD",D2124="OA"),EXP(VLOOKUP(D2124,'Species Codes'!B:O,14,0)+VLOOKUP(D2124,'Species Codes'!B:P,15,0)*LN((E2124*2.54)))*(1-(1/(VLOOKUP(D2124,'Species Codes'!B:Q,16,0)+VLOOKUP(D2124,'Species Codes'!B:R,17,0)*((E2124*2.54)^VLOOKUP(D2124,'Species Codes'!B:S,18,0)))))/1000,IF(D2124="DF",EXP(VLOOKUP(D2124,'Species Codes'!B:O,14,0)+VLOOKUP(D2124,'Species Codes'!B:P,15,0)*LN((E2124*2.54))),VLOOKUP(D2124,'Species Codes'!B:O,14,0)+VLOOKUP(D2124,'Species Codes'!B:P,15,0)*(((E2124*2.54)/100)^2)*(I2124*0.3048)))))*0.0011023),0)</f>
        <v>#N/A</v>
      </c>
      <c r="AD2124" s="104" t="e">
        <f t="shared" si="922"/>
        <v>#N/A</v>
      </c>
      <c r="AE2124" s="104" t="e">
        <f t="shared" si="923"/>
        <v>#N/A</v>
      </c>
      <c r="AF2124" s="104" t="e">
        <f>IF(AND(VLOOKUP($D2124,Merchantability!$B:$C,2,0)="Yes",$E2124&gt;=VLOOKUP($D2124,Merchantability!$B:$D,3,0),$E2124&lt;=VLOOKUP($D2124,Merchantability!$B:$E,4,0)),AA2124,0)</f>
        <v>#N/A</v>
      </c>
      <c r="AG2124" s="104" t="e">
        <f>IF(AND(VLOOKUP($D2124,Merchantability!$B:$C,2,0)="Yes",$E2124&gt;=VLOOKUP($D2124,Merchantability!$B:$D,3,0),$E2124&lt;=VLOOKUP($D2124,Merchantability!$B:$E,4,0)),AB2124,0)</f>
        <v>#N/A</v>
      </c>
      <c r="AH2124" s="104" t="e">
        <f>IF(AND(VLOOKUP($D2124,Merchantability!$B:$C,2,0)="Yes",$E2124&gt;=VLOOKUP($D2124,Merchantability!$B:$D,3,0),$E2124&lt;=VLOOKUP($D2124,Merchantability!$B:$E,4,0)),AC2124,0)</f>
        <v>#N/A</v>
      </c>
      <c r="AI2124" s="104" t="e">
        <f t="shared" si="924"/>
        <v>#N/A</v>
      </c>
      <c r="AJ2124" s="104" t="e">
        <f t="shared" si="925"/>
        <v>#VALUE!</v>
      </c>
      <c r="AK2124" s="104" t="e">
        <f t="shared" si="926"/>
        <v>#N/A</v>
      </c>
      <c r="AL2124" s="104" t="e">
        <f t="shared" si="927"/>
        <v>#N/A</v>
      </c>
      <c r="AM2124" s="104" t="e">
        <f t="shared" si="928"/>
        <v>#N/A</v>
      </c>
      <c r="AN2124" s="104" t="e">
        <f t="shared" si="939"/>
        <v>#N/A</v>
      </c>
      <c r="AO2124" s="104" t="e">
        <f t="shared" si="940"/>
        <v>#N/A</v>
      </c>
      <c r="AP2124" s="104" t="e">
        <f t="shared" si="941"/>
        <v>#N/A</v>
      </c>
      <c r="AQ2124" s="104" t="e">
        <f t="shared" si="942"/>
        <v>#N/A</v>
      </c>
      <c r="AR2124" s="105" t="str">
        <f t="shared" si="934"/>
        <v/>
      </c>
      <c r="AS2124" s="105" t="str">
        <f t="shared" si="935"/>
        <v/>
      </c>
      <c r="AT2124" s="108" t="str">
        <f t="shared" si="936"/>
        <v/>
      </c>
      <c r="AU2124" s="108" t="str">
        <f t="shared" si="937"/>
        <v/>
      </c>
      <c r="AV2124" s="107" t="str">
        <f>IF(ISNUMBER(O2124),IF(VLOOKUP($A2124,Stand!C:J,8,FALSE)="Short",AT2124,AU2124),"")</f>
        <v/>
      </c>
      <c r="AW2124" s="109" t="str">
        <f t="shared" si="943"/>
        <v/>
      </c>
      <c r="AX2124" s="109" t="str">
        <f t="shared" si="944"/>
        <v/>
      </c>
      <c r="AY2124" s="112" t="str">
        <f>IF(ISNUMBER(O2124),IF(AND(VLOOKUP($D2124,Merchantability!$B:$C,2,0)="Yes",$E2124&gt;=VLOOKUP($D2124,Merchantability!$B:$D,3,0),$E2124&lt;=VLOOKUP($D2124,Merchantability!$B:$E,4,0)),(AV2124*O2124)*(1-$H2124/100),""),"")</f>
        <v/>
      </c>
      <c r="AZ2124" s="116"/>
      <c r="BA2124" s="116"/>
      <c r="BB2124" s="116"/>
      <c r="BE2124" s="62"/>
      <c r="BF2124" s="63"/>
    </row>
    <row r="2125" spans="1:58" ht="12.75" customHeight="1" x14ac:dyDescent="0.25">
      <c r="A2125" s="334"/>
      <c r="B2125" s="334"/>
      <c r="C2125" s="332"/>
      <c r="D2125" s="334"/>
      <c r="E2125" s="335"/>
      <c r="F2125" s="334"/>
      <c r="G2125" s="332"/>
      <c r="H2125" s="332"/>
      <c r="I2125" s="334"/>
      <c r="J2125" s="336"/>
      <c r="K2125" s="332"/>
      <c r="L2125" s="332"/>
      <c r="M2125" s="76"/>
      <c r="N2125" s="103" t="str">
        <f>IF(A2125="","",VLOOKUP(A2125,Stand!C:K,9,0))</f>
        <v/>
      </c>
      <c r="O2125" s="104" t="str">
        <f t="shared" si="929"/>
        <v/>
      </c>
      <c r="P2125" s="105" t="str">
        <f t="shared" si="930"/>
        <v/>
      </c>
      <c r="Q2125" s="105" t="str">
        <f t="shared" si="918"/>
        <v/>
      </c>
      <c r="R2125" s="103" t="str">
        <f t="shared" si="931"/>
        <v/>
      </c>
      <c r="S2125" s="103" t="str">
        <f t="shared" si="932"/>
        <v/>
      </c>
      <c r="T2125" s="106" t="str">
        <f t="shared" si="919"/>
        <v/>
      </c>
      <c r="U2125" s="106" t="str">
        <f t="shared" si="920"/>
        <v/>
      </c>
      <c r="V2125" s="106" t="str">
        <f t="shared" si="921"/>
        <v/>
      </c>
      <c r="W2125" s="105" t="str">
        <f t="shared" si="933"/>
        <v/>
      </c>
      <c r="X2125" s="104" t="str">
        <f t="shared" si="938"/>
        <v/>
      </c>
      <c r="Y2125" s="104" t="str">
        <f t="array" ref="Y2125">IFERROR(IF(ISNUMBER(O2125),IF(COUNT(IF(A2125=$A$2:$A$2427,IF(D2125=$D$2:$D$2427,IF($X$2:$X$2427&gt;0,1))))&gt;0,SUM(IF(A2125=$A$2:$A$2427,IF(D2125=$D$2:$D$2427,$X$2:$X$2427)))/COUNT(IF(A2125=$A$2:$A$2427,IF(D2125=$D$2:$D$2427,IF(ISNUMBER($X$2:$X$2427),1)))),0),""),0)</f>
        <v/>
      </c>
      <c r="Z2125" s="104" t="str">
        <f>IF(ISNUMBER(O2125),IF(I2125&gt;0,(10^(VLOOKUP(D2125,'Species Codes'!B:C,2,0)+VLOOKUP(D2125,'Species Codes'!B:D,3,0)*LOG(E2125)+VLOOKUP(D2125,'Species Codes'!B:E,4,0)*LOG(I2125))),0),"")</f>
        <v/>
      </c>
      <c r="AA2125" s="104" t="str">
        <f>IFERROR((VLOOKUP(D2125,'Species Codes'!B:G,6,0)*Z2125)/2000,"")</f>
        <v/>
      </c>
      <c r="AB2125" s="104" t="e">
        <f>IF(Z2125&gt;0,((IF(OR(D2125="DF",D2125="RA")=TRUE,EXP(VLOOKUP(D2125,'Species Codes'!B:I,8,0)+VLOOKUP(D2125,'Species Codes'!B:J,9,0)*(LN((E2125*2.54)))),IF(OR(D2125="PY",D2125="RC",D2125="WH",D2125="NF")=TRUE,VLOOKUP(D2125,'Species Codes'!B:I,8,0)+VLOOKUP(D2125,'Species Codes'!B:J,9,0)*((E2125*2.54)^2)*(I2125*0.3048),IF(OR(D2125="MD",D2125="BM",D2125="GA")=TRUE,((VLOOKUP(D2125,'Species Codes'!B:I,8,0)*(((((E2125*2.54)+VLOOKUP(D2125,'Species Codes'!B:J,9,0))/VLOOKUP(D2125,'Species Codes'!B:K,10,0))^VLOOKUP(D2125,'Species Codes'!B:L,11,0))*((I2125*0.3048)^VLOOKUP(D2125,'Species Codes'!B:M,12,0))))-(VLOOKUP(D2125,'Species Codes'!B:I,8,0)*((((E2125*2.54)^VLOOKUP(D2125,'Species Codes'!B:L,11,0))*((I2125*0.3048)^VLOOKUP(D2125,'Species Codes'!B:M,12,0))))))*35.3*VLOOKUP(D2125,'Species Codes'!B:G,6,0)/2.2046,VLOOKUP(D2125,'Species Codes'!B:I,8,0)+VLOOKUP(D2125,'Species Codes'!B:J,9,0)*(((E2125*2.54)/100)^2)*(I2125*0.3048)))))*0.0011023),0)</f>
        <v>#N/A</v>
      </c>
      <c r="AC2125" s="104" t="e">
        <f>IF(Z2125&gt;0,((IF(OR(D2125="RA",D2125="OA",D2125="OT",D2125="UN",D2125="PC"),EXP(VLOOKUP(D2125,'Species Codes'!B:O,14,0)+VLOOKUP(D2125,'Species Codes'!B:P,15,0)*LN((E2125*2.54)))-EXP(VLOOKUP(D2125,'Species Codes'!B:O,14,0)+VLOOKUP(D2125,'Species Codes'!B:P,15,0)*LN((E2125*2.54)))*(1/(VLOOKUP(D2125,'Species Codes'!B:Q,16,0)+VLOOKUP(D2125,'Species Codes'!B:R,17,0)*((E2125*2.54)^VLOOKUP(D2125,'Species Codes'!B:S,18,0)))),IF(OR(D2125="BM",D2125="MD",D2125="OA"),EXP(VLOOKUP(D2125,'Species Codes'!B:O,14,0)+VLOOKUP(D2125,'Species Codes'!B:P,15,0)*LN((E2125*2.54)))*(1-(1/(VLOOKUP(D2125,'Species Codes'!B:Q,16,0)+VLOOKUP(D2125,'Species Codes'!B:R,17,0)*((E2125*2.54)^VLOOKUP(D2125,'Species Codes'!B:S,18,0)))))/1000,IF(D2125="DF",EXP(VLOOKUP(D2125,'Species Codes'!B:O,14,0)+VLOOKUP(D2125,'Species Codes'!B:P,15,0)*LN((E2125*2.54))),VLOOKUP(D2125,'Species Codes'!B:O,14,0)+VLOOKUP(D2125,'Species Codes'!B:P,15,0)*(((E2125*2.54)/100)^2)*(I2125*0.3048)))))*0.0011023),0)</f>
        <v>#N/A</v>
      </c>
      <c r="AD2125" s="104" t="e">
        <f t="shared" si="922"/>
        <v>#N/A</v>
      </c>
      <c r="AE2125" s="104" t="e">
        <f t="shared" si="923"/>
        <v>#N/A</v>
      </c>
      <c r="AF2125" s="104" t="e">
        <f>IF(AND(VLOOKUP($D2125,Merchantability!$B:$C,2,0)="Yes",$E2125&gt;=VLOOKUP($D2125,Merchantability!$B:$D,3,0),$E2125&lt;=VLOOKUP($D2125,Merchantability!$B:$E,4,0)),AA2125,0)</f>
        <v>#N/A</v>
      </c>
      <c r="AG2125" s="104" t="e">
        <f>IF(AND(VLOOKUP($D2125,Merchantability!$B:$C,2,0)="Yes",$E2125&gt;=VLOOKUP($D2125,Merchantability!$B:$D,3,0),$E2125&lt;=VLOOKUP($D2125,Merchantability!$B:$E,4,0)),AB2125,0)</f>
        <v>#N/A</v>
      </c>
      <c r="AH2125" s="104" t="e">
        <f>IF(AND(VLOOKUP($D2125,Merchantability!$B:$C,2,0)="Yes",$E2125&gt;=VLOOKUP($D2125,Merchantability!$B:$D,3,0),$E2125&lt;=VLOOKUP($D2125,Merchantability!$B:$E,4,0)),AC2125,0)</f>
        <v>#N/A</v>
      </c>
      <c r="AI2125" s="104" t="e">
        <f t="shared" si="924"/>
        <v>#N/A</v>
      </c>
      <c r="AJ2125" s="104" t="e">
        <f t="shared" si="925"/>
        <v>#VALUE!</v>
      </c>
      <c r="AK2125" s="104" t="e">
        <f t="shared" si="926"/>
        <v>#N/A</v>
      </c>
      <c r="AL2125" s="104" t="e">
        <f t="shared" si="927"/>
        <v>#N/A</v>
      </c>
      <c r="AM2125" s="104" t="e">
        <f t="shared" si="928"/>
        <v>#N/A</v>
      </c>
      <c r="AN2125" s="104" t="e">
        <f t="shared" si="939"/>
        <v>#N/A</v>
      </c>
      <c r="AO2125" s="104" t="e">
        <f t="shared" si="940"/>
        <v>#N/A</v>
      </c>
      <c r="AP2125" s="104" t="e">
        <f t="shared" si="941"/>
        <v>#N/A</v>
      </c>
      <c r="AQ2125" s="104" t="e">
        <f t="shared" si="942"/>
        <v>#N/A</v>
      </c>
      <c r="AR2125" s="105" t="str">
        <f t="shared" si="934"/>
        <v/>
      </c>
      <c r="AS2125" s="105" t="str">
        <f t="shared" si="935"/>
        <v/>
      </c>
      <c r="AT2125" s="108" t="str">
        <f t="shared" si="936"/>
        <v/>
      </c>
      <c r="AU2125" s="108" t="str">
        <f t="shared" si="937"/>
        <v/>
      </c>
      <c r="AV2125" s="107" t="str">
        <f>IF(ISNUMBER(O2125),IF(VLOOKUP($A2125,Stand!C:J,8,FALSE)="Short",AT2125,AU2125),"")</f>
        <v/>
      </c>
      <c r="AW2125" s="109" t="str">
        <f t="shared" si="943"/>
        <v/>
      </c>
      <c r="AX2125" s="109" t="str">
        <f t="shared" si="944"/>
        <v/>
      </c>
      <c r="AY2125" s="112" t="str">
        <f>IF(ISNUMBER(O2125),IF(AND(VLOOKUP($D2125,Merchantability!$B:$C,2,0)="Yes",$E2125&gt;=VLOOKUP($D2125,Merchantability!$B:$D,3,0),$E2125&lt;=VLOOKUP($D2125,Merchantability!$B:$E,4,0)),(AV2125*O2125)*(1-$H2125/100),""),"")</f>
        <v/>
      </c>
      <c r="AZ2125" s="116"/>
      <c r="BA2125" s="116"/>
      <c r="BB2125" s="116"/>
      <c r="BE2125" s="62"/>
      <c r="BF2125" s="63"/>
    </row>
    <row r="2126" spans="1:58" ht="12.75" customHeight="1" x14ac:dyDescent="0.25">
      <c r="A2126" s="334"/>
      <c r="B2126" s="334"/>
      <c r="C2126" s="332"/>
      <c r="D2126" s="334"/>
      <c r="E2126" s="335"/>
      <c r="F2126" s="334"/>
      <c r="G2126" s="332"/>
      <c r="H2126" s="332"/>
      <c r="I2126" s="334"/>
      <c r="J2126" s="336"/>
      <c r="K2126" s="332"/>
      <c r="L2126" s="332"/>
      <c r="M2126" s="76"/>
      <c r="N2126" s="103" t="str">
        <f>IF(A2126="","",VLOOKUP(A2126,Stand!C:K,9,0))</f>
        <v/>
      </c>
      <c r="O2126" s="104" t="str">
        <f t="shared" si="929"/>
        <v/>
      </c>
      <c r="P2126" s="105" t="str">
        <f t="shared" si="930"/>
        <v/>
      </c>
      <c r="Q2126" s="105" t="str">
        <f t="shared" si="918"/>
        <v/>
      </c>
      <c r="R2126" s="103" t="str">
        <f t="shared" si="931"/>
        <v/>
      </c>
      <c r="S2126" s="103" t="str">
        <f t="shared" si="932"/>
        <v/>
      </c>
      <c r="T2126" s="106" t="str">
        <f t="shared" si="919"/>
        <v/>
      </c>
      <c r="U2126" s="106" t="str">
        <f t="shared" si="920"/>
        <v/>
      </c>
      <c r="V2126" s="106" t="str">
        <f t="shared" si="921"/>
        <v/>
      </c>
      <c r="W2126" s="105" t="str">
        <f t="shared" si="933"/>
        <v/>
      </c>
      <c r="X2126" s="104" t="str">
        <f t="shared" si="938"/>
        <v/>
      </c>
      <c r="Y2126" s="104" t="str">
        <f t="array" ref="Y2126">IFERROR(IF(ISNUMBER(O2126),IF(COUNT(IF(A2126=$A$2:$A$2427,IF(D2126=$D$2:$D$2427,IF($X$2:$X$2427&gt;0,1))))&gt;0,SUM(IF(A2126=$A$2:$A$2427,IF(D2126=$D$2:$D$2427,$X$2:$X$2427)))/COUNT(IF(A2126=$A$2:$A$2427,IF(D2126=$D$2:$D$2427,IF(ISNUMBER($X$2:$X$2427),1)))),0),""),0)</f>
        <v/>
      </c>
      <c r="Z2126" s="104" t="str">
        <f>IF(ISNUMBER(O2126),IF(I2126&gt;0,(10^(VLOOKUP(D2126,'Species Codes'!B:C,2,0)+VLOOKUP(D2126,'Species Codes'!B:D,3,0)*LOG(E2126)+VLOOKUP(D2126,'Species Codes'!B:E,4,0)*LOG(I2126))),0),"")</f>
        <v/>
      </c>
      <c r="AA2126" s="104" t="str">
        <f>IFERROR((VLOOKUP(D2126,'Species Codes'!B:G,6,0)*Z2126)/2000,"")</f>
        <v/>
      </c>
      <c r="AB2126" s="104" t="e">
        <f>IF(Z2126&gt;0,((IF(OR(D2126="DF",D2126="RA")=TRUE,EXP(VLOOKUP(D2126,'Species Codes'!B:I,8,0)+VLOOKUP(D2126,'Species Codes'!B:J,9,0)*(LN((E2126*2.54)))),IF(OR(D2126="PY",D2126="RC",D2126="WH",D2126="NF")=TRUE,VLOOKUP(D2126,'Species Codes'!B:I,8,0)+VLOOKUP(D2126,'Species Codes'!B:J,9,0)*((E2126*2.54)^2)*(I2126*0.3048),IF(OR(D2126="MD",D2126="BM",D2126="GA")=TRUE,((VLOOKUP(D2126,'Species Codes'!B:I,8,0)*(((((E2126*2.54)+VLOOKUP(D2126,'Species Codes'!B:J,9,0))/VLOOKUP(D2126,'Species Codes'!B:K,10,0))^VLOOKUP(D2126,'Species Codes'!B:L,11,0))*((I2126*0.3048)^VLOOKUP(D2126,'Species Codes'!B:M,12,0))))-(VLOOKUP(D2126,'Species Codes'!B:I,8,0)*((((E2126*2.54)^VLOOKUP(D2126,'Species Codes'!B:L,11,0))*((I2126*0.3048)^VLOOKUP(D2126,'Species Codes'!B:M,12,0))))))*35.3*VLOOKUP(D2126,'Species Codes'!B:G,6,0)/2.2046,VLOOKUP(D2126,'Species Codes'!B:I,8,0)+VLOOKUP(D2126,'Species Codes'!B:J,9,0)*(((E2126*2.54)/100)^2)*(I2126*0.3048)))))*0.0011023),0)</f>
        <v>#N/A</v>
      </c>
      <c r="AC2126" s="104" t="e">
        <f>IF(Z2126&gt;0,((IF(OR(D2126="RA",D2126="OA",D2126="OT",D2126="UN",D2126="PC"),EXP(VLOOKUP(D2126,'Species Codes'!B:O,14,0)+VLOOKUP(D2126,'Species Codes'!B:P,15,0)*LN((E2126*2.54)))-EXP(VLOOKUP(D2126,'Species Codes'!B:O,14,0)+VLOOKUP(D2126,'Species Codes'!B:P,15,0)*LN((E2126*2.54)))*(1/(VLOOKUP(D2126,'Species Codes'!B:Q,16,0)+VLOOKUP(D2126,'Species Codes'!B:R,17,0)*((E2126*2.54)^VLOOKUP(D2126,'Species Codes'!B:S,18,0)))),IF(OR(D2126="BM",D2126="MD",D2126="OA"),EXP(VLOOKUP(D2126,'Species Codes'!B:O,14,0)+VLOOKUP(D2126,'Species Codes'!B:P,15,0)*LN((E2126*2.54)))*(1-(1/(VLOOKUP(D2126,'Species Codes'!B:Q,16,0)+VLOOKUP(D2126,'Species Codes'!B:R,17,0)*((E2126*2.54)^VLOOKUP(D2126,'Species Codes'!B:S,18,0)))))/1000,IF(D2126="DF",EXP(VLOOKUP(D2126,'Species Codes'!B:O,14,0)+VLOOKUP(D2126,'Species Codes'!B:P,15,0)*LN((E2126*2.54))),VLOOKUP(D2126,'Species Codes'!B:O,14,0)+VLOOKUP(D2126,'Species Codes'!B:P,15,0)*(((E2126*2.54)/100)^2)*(I2126*0.3048)))))*0.0011023),0)</f>
        <v>#N/A</v>
      </c>
      <c r="AD2126" s="104" t="e">
        <f t="shared" si="922"/>
        <v>#N/A</v>
      </c>
      <c r="AE2126" s="104" t="e">
        <f t="shared" si="923"/>
        <v>#N/A</v>
      </c>
      <c r="AF2126" s="104" t="e">
        <f>IF(AND(VLOOKUP($D2126,Merchantability!$B:$C,2,0)="Yes",$E2126&gt;=VLOOKUP($D2126,Merchantability!$B:$D,3,0),$E2126&lt;=VLOOKUP($D2126,Merchantability!$B:$E,4,0)),AA2126,0)</f>
        <v>#N/A</v>
      </c>
      <c r="AG2126" s="104" t="e">
        <f>IF(AND(VLOOKUP($D2126,Merchantability!$B:$C,2,0)="Yes",$E2126&gt;=VLOOKUP($D2126,Merchantability!$B:$D,3,0),$E2126&lt;=VLOOKUP($D2126,Merchantability!$B:$E,4,0)),AB2126,0)</f>
        <v>#N/A</v>
      </c>
      <c r="AH2126" s="104" t="e">
        <f>IF(AND(VLOOKUP($D2126,Merchantability!$B:$C,2,0)="Yes",$E2126&gt;=VLOOKUP($D2126,Merchantability!$B:$D,3,0),$E2126&lt;=VLOOKUP($D2126,Merchantability!$B:$E,4,0)),AC2126,0)</f>
        <v>#N/A</v>
      </c>
      <c r="AI2126" s="104" t="e">
        <f t="shared" si="924"/>
        <v>#N/A</v>
      </c>
      <c r="AJ2126" s="104" t="e">
        <f t="shared" si="925"/>
        <v>#VALUE!</v>
      </c>
      <c r="AK2126" s="104" t="e">
        <f t="shared" si="926"/>
        <v>#N/A</v>
      </c>
      <c r="AL2126" s="104" t="e">
        <f t="shared" si="927"/>
        <v>#N/A</v>
      </c>
      <c r="AM2126" s="104" t="e">
        <f t="shared" si="928"/>
        <v>#N/A</v>
      </c>
      <c r="AN2126" s="104" t="e">
        <f t="shared" si="939"/>
        <v>#N/A</v>
      </c>
      <c r="AO2126" s="104" t="e">
        <f t="shared" si="940"/>
        <v>#N/A</v>
      </c>
      <c r="AP2126" s="104" t="e">
        <f t="shared" si="941"/>
        <v>#N/A</v>
      </c>
      <c r="AQ2126" s="104" t="e">
        <f t="shared" si="942"/>
        <v>#N/A</v>
      </c>
      <c r="AR2126" s="105" t="str">
        <f t="shared" si="934"/>
        <v/>
      </c>
      <c r="AS2126" s="105" t="str">
        <f t="shared" si="935"/>
        <v/>
      </c>
      <c r="AT2126" s="108" t="str">
        <f t="shared" si="936"/>
        <v/>
      </c>
      <c r="AU2126" s="108" t="str">
        <f t="shared" si="937"/>
        <v/>
      </c>
      <c r="AV2126" s="107" t="str">
        <f>IF(ISNUMBER(O2126),IF(VLOOKUP($A2126,Stand!C:J,8,FALSE)="Short",AT2126,AU2126),"")</f>
        <v/>
      </c>
      <c r="AW2126" s="109" t="str">
        <f t="shared" si="943"/>
        <v/>
      </c>
      <c r="AX2126" s="109" t="str">
        <f t="shared" si="944"/>
        <v/>
      </c>
      <c r="AY2126" s="112" t="str">
        <f>IF(ISNUMBER(O2126),IF(AND(VLOOKUP($D2126,Merchantability!$B:$C,2,0)="Yes",$E2126&gt;=VLOOKUP($D2126,Merchantability!$B:$D,3,0),$E2126&lt;=VLOOKUP($D2126,Merchantability!$B:$E,4,0)),(AV2126*O2126)*(1-$H2126/100),""),"")</f>
        <v/>
      </c>
      <c r="AZ2126" s="116"/>
      <c r="BA2126" s="116"/>
      <c r="BB2126" s="116"/>
      <c r="BE2126" s="62"/>
      <c r="BF2126" s="63"/>
    </row>
    <row r="2127" spans="1:58" ht="12.75" customHeight="1" x14ac:dyDescent="0.25">
      <c r="A2127" s="334"/>
      <c r="B2127" s="334"/>
      <c r="C2127" s="332"/>
      <c r="D2127" s="334"/>
      <c r="E2127" s="335"/>
      <c r="F2127" s="334"/>
      <c r="G2127" s="332"/>
      <c r="H2127" s="332"/>
      <c r="I2127" s="334"/>
      <c r="J2127" s="336"/>
      <c r="K2127" s="332"/>
      <c r="L2127" s="332"/>
      <c r="M2127" s="76"/>
      <c r="N2127" s="103" t="str">
        <f>IF(A2127="","",VLOOKUP(A2127,Stand!C:K,9,0))</f>
        <v/>
      </c>
      <c r="O2127" s="104" t="str">
        <f t="shared" si="929"/>
        <v/>
      </c>
      <c r="P2127" s="105" t="str">
        <f t="shared" si="930"/>
        <v/>
      </c>
      <c r="Q2127" s="105" t="str">
        <f t="shared" si="918"/>
        <v/>
      </c>
      <c r="R2127" s="103" t="str">
        <f t="shared" si="931"/>
        <v/>
      </c>
      <c r="S2127" s="103" t="str">
        <f t="shared" si="932"/>
        <v/>
      </c>
      <c r="T2127" s="106" t="str">
        <f t="shared" si="919"/>
        <v/>
      </c>
      <c r="U2127" s="106" t="str">
        <f t="shared" si="920"/>
        <v/>
      </c>
      <c r="V2127" s="106" t="str">
        <f t="shared" si="921"/>
        <v/>
      </c>
      <c r="W2127" s="105" t="str">
        <f t="shared" si="933"/>
        <v/>
      </c>
      <c r="X2127" s="104" t="str">
        <f t="shared" si="938"/>
        <v/>
      </c>
      <c r="Y2127" s="104" t="str">
        <f t="array" ref="Y2127">IFERROR(IF(ISNUMBER(O2127),IF(COUNT(IF(A2127=$A$2:$A$2427,IF(D2127=$D$2:$D$2427,IF($X$2:$X$2427&gt;0,1))))&gt;0,SUM(IF(A2127=$A$2:$A$2427,IF(D2127=$D$2:$D$2427,$X$2:$X$2427)))/COUNT(IF(A2127=$A$2:$A$2427,IF(D2127=$D$2:$D$2427,IF(ISNUMBER($X$2:$X$2427),1)))),0),""),0)</f>
        <v/>
      </c>
      <c r="Z2127" s="104" t="str">
        <f>IF(ISNUMBER(O2127),IF(I2127&gt;0,(10^(VLOOKUP(D2127,'Species Codes'!B:C,2,0)+VLOOKUP(D2127,'Species Codes'!B:D,3,0)*LOG(E2127)+VLOOKUP(D2127,'Species Codes'!B:E,4,0)*LOG(I2127))),0),"")</f>
        <v/>
      </c>
      <c r="AA2127" s="104" t="str">
        <f>IFERROR((VLOOKUP(D2127,'Species Codes'!B:G,6,0)*Z2127)/2000,"")</f>
        <v/>
      </c>
      <c r="AB2127" s="104" t="e">
        <f>IF(Z2127&gt;0,((IF(OR(D2127="DF",D2127="RA")=TRUE,EXP(VLOOKUP(D2127,'Species Codes'!B:I,8,0)+VLOOKUP(D2127,'Species Codes'!B:J,9,0)*(LN((E2127*2.54)))),IF(OR(D2127="PY",D2127="RC",D2127="WH",D2127="NF")=TRUE,VLOOKUP(D2127,'Species Codes'!B:I,8,0)+VLOOKUP(D2127,'Species Codes'!B:J,9,0)*((E2127*2.54)^2)*(I2127*0.3048),IF(OR(D2127="MD",D2127="BM",D2127="GA")=TRUE,((VLOOKUP(D2127,'Species Codes'!B:I,8,0)*(((((E2127*2.54)+VLOOKUP(D2127,'Species Codes'!B:J,9,0))/VLOOKUP(D2127,'Species Codes'!B:K,10,0))^VLOOKUP(D2127,'Species Codes'!B:L,11,0))*((I2127*0.3048)^VLOOKUP(D2127,'Species Codes'!B:M,12,0))))-(VLOOKUP(D2127,'Species Codes'!B:I,8,0)*((((E2127*2.54)^VLOOKUP(D2127,'Species Codes'!B:L,11,0))*((I2127*0.3048)^VLOOKUP(D2127,'Species Codes'!B:M,12,0))))))*35.3*VLOOKUP(D2127,'Species Codes'!B:G,6,0)/2.2046,VLOOKUP(D2127,'Species Codes'!B:I,8,0)+VLOOKUP(D2127,'Species Codes'!B:J,9,0)*(((E2127*2.54)/100)^2)*(I2127*0.3048)))))*0.0011023),0)</f>
        <v>#N/A</v>
      </c>
      <c r="AC2127" s="104" t="e">
        <f>IF(Z2127&gt;0,((IF(OR(D2127="RA",D2127="OA",D2127="OT",D2127="UN",D2127="PC"),EXP(VLOOKUP(D2127,'Species Codes'!B:O,14,0)+VLOOKUP(D2127,'Species Codes'!B:P,15,0)*LN((E2127*2.54)))-EXP(VLOOKUP(D2127,'Species Codes'!B:O,14,0)+VLOOKUP(D2127,'Species Codes'!B:P,15,0)*LN((E2127*2.54)))*(1/(VLOOKUP(D2127,'Species Codes'!B:Q,16,0)+VLOOKUP(D2127,'Species Codes'!B:R,17,0)*((E2127*2.54)^VLOOKUP(D2127,'Species Codes'!B:S,18,0)))),IF(OR(D2127="BM",D2127="MD",D2127="OA"),EXP(VLOOKUP(D2127,'Species Codes'!B:O,14,0)+VLOOKUP(D2127,'Species Codes'!B:P,15,0)*LN((E2127*2.54)))*(1-(1/(VLOOKUP(D2127,'Species Codes'!B:Q,16,0)+VLOOKUP(D2127,'Species Codes'!B:R,17,0)*((E2127*2.54)^VLOOKUP(D2127,'Species Codes'!B:S,18,0)))))/1000,IF(D2127="DF",EXP(VLOOKUP(D2127,'Species Codes'!B:O,14,0)+VLOOKUP(D2127,'Species Codes'!B:P,15,0)*LN((E2127*2.54))),VLOOKUP(D2127,'Species Codes'!B:O,14,0)+VLOOKUP(D2127,'Species Codes'!B:P,15,0)*(((E2127*2.54)/100)^2)*(I2127*0.3048)))))*0.0011023),0)</f>
        <v>#N/A</v>
      </c>
      <c r="AD2127" s="104" t="e">
        <f t="shared" si="922"/>
        <v>#N/A</v>
      </c>
      <c r="AE2127" s="104" t="e">
        <f t="shared" si="923"/>
        <v>#N/A</v>
      </c>
      <c r="AF2127" s="104" t="e">
        <f>IF(AND(VLOOKUP($D2127,Merchantability!$B:$C,2,0)="Yes",$E2127&gt;=VLOOKUP($D2127,Merchantability!$B:$D,3,0),$E2127&lt;=VLOOKUP($D2127,Merchantability!$B:$E,4,0)),AA2127,0)</f>
        <v>#N/A</v>
      </c>
      <c r="AG2127" s="104" t="e">
        <f>IF(AND(VLOOKUP($D2127,Merchantability!$B:$C,2,0)="Yes",$E2127&gt;=VLOOKUP($D2127,Merchantability!$B:$D,3,0),$E2127&lt;=VLOOKUP($D2127,Merchantability!$B:$E,4,0)),AB2127,0)</f>
        <v>#N/A</v>
      </c>
      <c r="AH2127" s="104" t="e">
        <f>IF(AND(VLOOKUP($D2127,Merchantability!$B:$C,2,0)="Yes",$E2127&gt;=VLOOKUP($D2127,Merchantability!$B:$D,3,0),$E2127&lt;=VLOOKUP($D2127,Merchantability!$B:$E,4,0)),AC2127,0)</f>
        <v>#N/A</v>
      </c>
      <c r="AI2127" s="104" t="e">
        <f t="shared" si="924"/>
        <v>#N/A</v>
      </c>
      <c r="AJ2127" s="104" t="e">
        <f t="shared" si="925"/>
        <v>#VALUE!</v>
      </c>
      <c r="AK2127" s="104" t="e">
        <f t="shared" si="926"/>
        <v>#N/A</v>
      </c>
      <c r="AL2127" s="104" t="e">
        <f t="shared" si="927"/>
        <v>#N/A</v>
      </c>
      <c r="AM2127" s="104" t="e">
        <f t="shared" si="928"/>
        <v>#N/A</v>
      </c>
      <c r="AN2127" s="104" t="e">
        <f t="shared" si="939"/>
        <v>#N/A</v>
      </c>
      <c r="AO2127" s="104" t="e">
        <f t="shared" si="940"/>
        <v>#N/A</v>
      </c>
      <c r="AP2127" s="104" t="e">
        <f t="shared" si="941"/>
        <v>#N/A</v>
      </c>
      <c r="AQ2127" s="104" t="e">
        <f t="shared" si="942"/>
        <v>#N/A</v>
      </c>
      <c r="AR2127" s="105" t="str">
        <f t="shared" si="934"/>
        <v/>
      </c>
      <c r="AS2127" s="105" t="str">
        <f t="shared" si="935"/>
        <v/>
      </c>
      <c r="AT2127" s="108" t="str">
        <f t="shared" si="936"/>
        <v/>
      </c>
      <c r="AU2127" s="108" t="str">
        <f t="shared" si="937"/>
        <v/>
      </c>
      <c r="AV2127" s="107" t="str">
        <f>IF(ISNUMBER(O2127),IF(VLOOKUP($A2127,Stand!C:J,8,FALSE)="Short",AT2127,AU2127),"")</f>
        <v/>
      </c>
      <c r="AW2127" s="109" t="str">
        <f t="shared" si="943"/>
        <v/>
      </c>
      <c r="AX2127" s="109" t="str">
        <f t="shared" si="944"/>
        <v/>
      </c>
      <c r="AY2127" s="112" t="str">
        <f>IF(ISNUMBER(O2127),IF(AND(VLOOKUP($D2127,Merchantability!$B:$C,2,0)="Yes",$E2127&gt;=VLOOKUP($D2127,Merchantability!$B:$D,3,0),$E2127&lt;=VLOOKUP($D2127,Merchantability!$B:$E,4,0)),(AV2127*O2127)*(1-$H2127/100),""),"")</f>
        <v/>
      </c>
      <c r="AZ2127" s="116"/>
      <c r="BA2127" s="116"/>
      <c r="BB2127" s="116"/>
      <c r="BE2127" s="62"/>
      <c r="BF2127" s="63"/>
    </row>
    <row r="2128" spans="1:58" ht="12.75" customHeight="1" x14ac:dyDescent="0.25">
      <c r="A2128" s="334"/>
      <c r="B2128" s="334"/>
      <c r="C2128" s="332"/>
      <c r="D2128" s="334"/>
      <c r="E2128" s="335"/>
      <c r="F2128" s="334"/>
      <c r="G2128" s="332"/>
      <c r="H2128" s="332"/>
      <c r="I2128" s="334"/>
      <c r="J2128" s="336"/>
      <c r="K2128" s="332"/>
      <c r="L2128" s="332"/>
      <c r="M2128" s="76"/>
      <c r="N2128" s="103" t="str">
        <f>IF(A2128="","",VLOOKUP(A2128,Stand!C:K,9,0))</f>
        <v/>
      </c>
      <c r="O2128" s="104" t="str">
        <f t="shared" si="929"/>
        <v/>
      </c>
      <c r="P2128" s="105" t="str">
        <f t="shared" si="930"/>
        <v/>
      </c>
      <c r="Q2128" s="105" t="str">
        <f t="shared" si="918"/>
        <v/>
      </c>
      <c r="R2128" s="103" t="str">
        <f t="shared" si="931"/>
        <v/>
      </c>
      <c r="S2128" s="103" t="str">
        <f t="shared" si="932"/>
        <v/>
      </c>
      <c r="T2128" s="106" t="str">
        <f t="shared" si="919"/>
        <v/>
      </c>
      <c r="U2128" s="106" t="str">
        <f t="shared" si="920"/>
        <v/>
      </c>
      <c r="V2128" s="106" t="str">
        <f t="shared" si="921"/>
        <v/>
      </c>
      <c r="W2128" s="105" t="str">
        <f t="shared" si="933"/>
        <v/>
      </c>
      <c r="X2128" s="104" t="str">
        <f t="shared" si="938"/>
        <v/>
      </c>
      <c r="Y2128" s="104" t="str">
        <f t="array" ref="Y2128">IFERROR(IF(ISNUMBER(O2128),IF(COUNT(IF(A2128=$A$2:$A$2427,IF(D2128=$D$2:$D$2427,IF($X$2:$X$2427&gt;0,1))))&gt;0,SUM(IF(A2128=$A$2:$A$2427,IF(D2128=$D$2:$D$2427,$X$2:$X$2427)))/COUNT(IF(A2128=$A$2:$A$2427,IF(D2128=$D$2:$D$2427,IF(ISNUMBER($X$2:$X$2427),1)))),0),""),0)</f>
        <v/>
      </c>
      <c r="Z2128" s="104" t="str">
        <f>IF(ISNUMBER(O2128),IF(I2128&gt;0,(10^(VLOOKUP(D2128,'Species Codes'!B:C,2,0)+VLOOKUP(D2128,'Species Codes'!B:D,3,0)*LOG(E2128)+VLOOKUP(D2128,'Species Codes'!B:E,4,0)*LOG(I2128))),0),"")</f>
        <v/>
      </c>
      <c r="AA2128" s="104" t="str">
        <f>IFERROR((VLOOKUP(D2128,'Species Codes'!B:G,6,0)*Z2128)/2000,"")</f>
        <v/>
      </c>
      <c r="AB2128" s="104" t="e">
        <f>IF(Z2128&gt;0,((IF(OR(D2128="DF",D2128="RA")=TRUE,EXP(VLOOKUP(D2128,'Species Codes'!B:I,8,0)+VLOOKUP(D2128,'Species Codes'!B:J,9,0)*(LN((E2128*2.54)))),IF(OR(D2128="PY",D2128="RC",D2128="WH",D2128="NF")=TRUE,VLOOKUP(D2128,'Species Codes'!B:I,8,0)+VLOOKUP(D2128,'Species Codes'!B:J,9,0)*((E2128*2.54)^2)*(I2128*0.3048),IF(OR(D2128="MD",D2128="BM",D2128="GA")=TRUE,((VLOOKUP(D2128,'Species Codes'!B:I,8,0)*(((((E2128*2.54)+VLOOKUP(D2128,'Species Codes'!B:J,9,0))/VLOOKUP(D2128,'Species Codes'!B:K,10,0))^VLOOKUP(D2128,'Species Codes'!B:L,11,0))*((I2128*0.3048)^VLOOKUP(D2128,'Species Codes'!B:M,12,0))))-(VLOOKUP(D2128,'Species Codes'!B:I,8,0)*((((E2128*2.54)^VLOOKUP(D2128,'Species Codes'!B:L,11,0))*((I2128*0.3048)^VLOOKUP(D2128,'Species Codes'!B:M,12,0))))))*35.3*VLOOKUP(D2128,'Species Codes'!B:G,6,0)/2.2046,VLOOKUP(D2128,'Species Codes'!B:I,8,0)+VLOOKUP(D2128,'Species Codes'!B:J,9,0)*(((E2128*2.54)/100)^2)*(I2128*0.3048)))))*0.0011023),0)</f>
        <v>#N/A</v>
      </c>
      <c r="AC2128" s="104" t="e">
        <f>IF(Z2128&gt;0,((IF(OR(D2128="RA",D2128="OA",D2128="OT",D2128="UN",D2128="PC"),EXP(VLOOKUP(D2128,'Species Codes'!B:O,14,0)+VLOOKUP(D2128,'Species Codes'!B:P,15,0)*LN((E2128*2.54)))-EXP(VLOOKUP(D2128,'Species Codes'!B:O,14,0)+VLOOKUP(D2128,'Species Codes'!B:P,15,0)*LN((E2128*2.54)))*(1/(VLOOKUP(D2128,'Species Codes'!B:Q,16,0)+VLOOKUP(D2128,'Species Codes'!B:R,17,0)*((E2128*2.54)^VLOOKUP(D2128,'Species Codes'!B:S,18,0)))),IF(OR(D2128="BM",D2128="MD",D2128="OA"),EXP(VLOOKUP(D2128,'Species Codes'!B:O,14,0)+VLOOKUP(D2128,'Species Codes'!B:P,15,0)*LN((E2128*2.54)))*(1-(1/(VLOOKUP(D2128,'Species Codes'!B:Q,16,0)+VLOOKUP(D2128,'Species Codes'!B:R,17,0)*((E2128*2.54)^VLOOKUP(D2128,'Species Codes'!B:S,18,0)))))/1000,IF(D2128="DF",EXP(VLOOKUP(D2128,'Species Codes'!B:O,14,0)+VLOOKUP(D2128,'Species Codes'!B:P,15,0)*LN((E2128*2.54))),VLOOKUP(D2128,'Species Codes'!B:O,14,0)+VLOOKUP(D2128,'Species Codes'!B:P,15,0)*(((E2128*2.54)/100)^2)*(I2128*0.3048)))))*0.0011023),0)</f>
        <v>#N/A</v>
      </c>
      <c r="AD2128" s="104" t="e">
        <f t="shared" si="922"/>
        <v>#N/A</v>
      </c>
      <c r="AE2128" s="104" t="e">
        <f t="shared" si="923"/>
        <v>#N/A</v>
      </c>
      <c r="AF2128" s="104" t="e">
        <f>IF(AND(VLOOKUP($D2128,Merchantability!$B:$C,2,0)="Yes",$E2128&gt;=VLOOKUP($D2128,Merchantability!$B:$D,3,0),$E2128&lt;=VLOOKUP($D2128,Merchantability!$B:$E,4,0)),AA2128,0)</f>
        <v>#N/A</v>
      </c>
      <c r="AG2128" s="104" t="e">
        <f>IF(AND(VLOOKUP($D2128,Merchantability!$B:$C,2,0)="Yes",$E2128&gt;=VLOOKUP($D2128,Merchantability!$B:$D,3,0),$E2128&lt;=VLOOKUP($D2128,Merchantability!$B:$E,4,0)),AB2128,0)</f>
        <v>#N/A</v>
      </c>
      <c r="AH2128" s="104" t="e">
        <f>IF(AND(VLOOKUP($D2128,Merchantability!$B:$C,2,0)="Yes",$E2128&gt;=VLOOKUP($D2128,Merchantability!$B:$D,3,0),$E2128&lt;=VLOOKUP($D2128,Merchantability!$B:$E,4,0)),AC2128,0)</f>
        <v>#N/A</v>
      </c>
      <c r="AI2128" s="104" t="e">
        <f t="shared" si="924"/>
        <v>#N/A</v>
      </c>
      <c r="AJ2128" s="104" t="e">
        <f t="shared" si="925"/>
        <v>#VALUE!</v>
      </c>
      <c r="AK2128" s="104" t="e">
        <f t="shared" si="926"/>
        <v>#N/A</v>
      </c>
      <c r="AL2128" s="104" t="e">
        <f t="shared" si="927"/>
        <v>#N/A</v>
      </c>
      <c r="AM2128" s="104" t="e">
        <f t="shared" si="928"/>
        <v>#N/A</v>
      </c>
      <c r="AN2128" s="104" t="e">
        <f t="shared" si="939"/>
        <v>#N/A</v>
      </c>
      <c r="AO2128" s="104" t="e">
        <f t="shared" si="940"/>
        <v>#N/A</v>
      </c>
      <c r="AP2128" s="104" t="e">
        <f t="shared" si="941"/>
        <v>#N/A</v>
      </c>
      <c r="AQ2128" s="104" t="e">
        <f t="shared" si="942"/>
        <v>#N/A</v>
      </c>
      <c r="AR2128" s="105" t="str">
        <f t="shared" si="934"/>
        <v/>
      </c>
      <c r="AS2128" s="105" t="str">
        <f t="shared" si="935"/>
        <v/>
      </c>
      <c r="AT2128" s="108" t="str">
        <f t="shared" si="936"/>
        <v/>
      </c>
      <c r="AU2128" s="108" t="str">
        <f t="shared" si="937"/>
        <v/>
      </c>
      <c r="AV2128" s="107" t="str">
        <f>IF(ISNUMBER(O2128),IF(VLOOKUP($A2128,Stand!C:J,8,FALSE)="Short",AT2128,AU2128),"")</f>
        <v/>
      </c>
      <c r="AW2128" s="109" t="str">
        <f t="shared" si="943"/>
        <v/>
      </c>
      <c r="AX2128" s="109" t="str">
        <f t="shared" si="944"/>
        <v/>
      </c>
      <c r="AY2128" s="112" t="str">
        <f>IF(ISNUMBER(O2128),IF(AND(VLOOKUP($D2128,Merchantability!$B:$C,2,0)="Yes",$E2128&gt;=VLOOKUP($D2128,Merchantability!$B:$D,3,0),$E2128&lt;=VLOOKUP($D2128,Merchantability!$B:$E,4,0)),(AV2128*O2128)*(1-$H2128/100),""),"")</f>
        <v/>
      </c>
      <c r="AZ2128" s="116"/>
      <c r="BA2128" s="116"/>
      <c r="BB2128" s="116"/>
      <c r="BE2128" s="62"/>
      <c r="BF2128" s="63"/>
    </row>
    <row r="2129" spans="1:58" ht="12.75" customHeight="1" x14ac:dyDescent="0.25">
      <c r="A2129" s="334"/>
      <c r="B2129" s="334"/>
      <c r="C2129" s="332"/>
      <c r="D2129" s="334"/>
      <c r="E2129" s="335"/>
      <c r="F2129" s="334"/>
      <c r="G2129" s="332"/>
      <c r="H2129" s="332"/>
      <c r="I2129" s="334"/>
      <c r="J2129" s="336"/>
      <c r="K2129" s="332"/>
      <c r="L2129" s="332"/>
      <c r="M2129" s="76"/>
      <c r="N2129" s="103" t="str">
        <f>IF(A2129="","",VLOOKUP(A2129,Stand!C:K,9,0))</f>
        <v/>
      </c>
      <c r="O2129" s="104" t="str">
        <f t="shared" si="929"/>
        <v/>
      </c>
      <c r="P2129" s="105" t="str">
        <f t="shared" si="930"/>
        <v/>
      </c>
      <c r="Q2129" s="105" t="str">
        <f t="shared" si="918"/>
        <v/>
      </c>
      <c r="R2129" s="103" t="str">
        <f t="shared" si="931"/>
        <v/>
      </c>
      <c r="S2129" s="103" t="str">
        <f t="shared" si="932"/>
        <v/>
      </c>
      <c r="T2129" s="106" t="str">
        <f t="shared" si="919"/>
        <v/>
      </c>
      <c r="U2129" s="106" t="str">
        <f t="shared" si="920"/>
        <v/>
      </c>
      <c r="V2129" s="106" t="str">
        <f t="shared" si="921"/>
        <v/>
      </c>
      <c r="W2129" s="105" t="str">
        <f t="shared" si="933"/>
        <v/>
      </c>
      <c r="X2129" s="104" t="str">
        <f t="shared" si="938"/>
        <v/>
      </c>
      <c r="Y2129" s="104" t="str">
        <f t="array" ref="Y2129">IFERROR(IF(ISNUMBER(O2129),IF(COUNT(IF(A2129=$A$2:$A$2427,IF(D2129=$D$2:$D$2427,IF($X$2:$X$2427&gt;0,1))))&gt;0,SUM(IF(A2129=$A$2:$A$2427,IF(D2129=$D$2:$D$2427,$X$2:$X$2427)))/COUNT(IF(A2129=$A$2:$A$2427,IF(D2129=$D$2:$D$2427,IF(ISNUMBER($X$2:$X$2427),1)))),0),""),0)</f>
        <v/>
      </c>
      <c r="Z2129" s="104" t="str">
        <f>IF(ISNUMBER(O2129),IF(I2129&gt;0,(10^(VLOOKUP(D2129,'Species Codes'!B:C,2,0)+VLOOKUP(D2129,'Species Codes'!B:D,3,0)*LOG(E2129)+VLOOKUP(D2129,'Species Codes'!B:E,4,0)*LOG(I2129))),0),"")</f>
        <v/>
      </c>
      <c r="AA2129" s="104" t="str">
        <f>IFERROR((VLOOKUP(D2129,'Species Codes'!B:G,6,0)*Z2129)/2000,"")</f>
        <v/>
      </c>
      <c r="AB2129" s="104" t="e">
        <f>IF(Z2129&gt;0,((IF(OR(D2129="DF",D2129="RA")=TRUE,EXP(VLOOKUP(D2129,'Species Codes'!B:I,8,0)+VLOOKUP(D2129,'Species Codes'!B:J,9,0)*(LN((E2129*2.54)))),IF(OR(D2129="PY",D2129="RC",D2129="WH",D2129="NF")=TRUE,VLOOKUP(D2129,'Species Codes'!B:I,8,0)+VLOOKUP(D2129,'Species Codes'!B:J,9,0)*((E2129*2.54)^2)*(I2129*0.3048),IF(OR(D2129="MD",D2129="BM",D2129="GA")=TRUE,((VLOOKUP(D2129,'Species Codes'!B:I,8,0)*(((((E2129*2.54)+VLOOKUP(D2129,'Species Codes'!B:J,9,0))/VLOOKUP(D2129,'Species Codes'!B:K,10,0))^VLOOKUP(D2129,'Species Codes'!B:L,11,0))*((I2129*0.3048)^VLOOKUP(D2129,'Species Codes'!B:M,12,0))))-(VLOOKUP(D2129,'Species Codes'!B:I,8,0)*((((E2129*2.54)^VLOOKUP(D2129,'Species Codes'!B:L,11,0))*((I2129*0.3048)^VLOOKUP(D2129,'Species Codes'!B:M,12,0))))))*35.3*VLOOKUP(D2129,'Species Codes'!B:G,6,0)/2.2046,VLOOKUP(D2129,'Species Codes'!B:I,8,0)+VLOOKUP(D2129,'Species Codes'!B:J,9,0)*(((E2129*2.54)/100)^2)*(I2129*0.3048)))))*0.0011023),0)</f>
        <v>#N/A</v>
      </c>
      <c r="AC2129" s="104" t="e">
        <f>IF(Z2129&gt;0,((IF(OR(D2129="RA",D2129="OA",D2129="OT",D2129="UN",D2129="PC"),EXP(VLOOKUP(D2129,'Species Codes'!B:O,14,0)+VLOOKUP(D2129,'Species Codes'!B:P,15,0)*LN((E2129*2.54)))-EXP(VLOOKUP(D2129,'Species Codes'!B:O,14,0)+VLOOKUP(D2129,'Species Codes'!B:P,15,0)*LN((E2129*2.54)))*(1/(VLOOKUP(D2129,'Species Codes'!B:Q,16,0)+VLOOKUP(D2129,'Species Codes'!B:R,17,0)*((E2129*2.54)^VLOOKUP(D2129,'Species Codes'!B:S,18,0)))),IF(OR(D2129="BM",D2129="MD",D2129="OA"),EXP(VLOOKUP(D2129,'Species Codes'!B:O,14,0)+VLOOKUP(D2129,'Species Codes'!B:P,15,0)*LN((E2129*2.54)))*(1-(1/(VLOOKUP(D2129,'Species Codes'!B:Q,16,0)+VLOOKUP(D2129,'Species Codes'!B:R,17,0)*((E2129*2.54)^VLOOKUP(D2129,'Species Codes'!B:S,18,0)))))/1000,IF(D2129="DF",EXP(VLOOKUP(D2129,'Species Codes'!B:O,14,0)+VLOOKUP(D2129,'Species Codes'!B:P,15,0)*LN((E2129*2.54))),VLOOKUP(D2129,'Species Codes'!B:O,14,0)+VLOOKUP(D2129,'Species Codes'!B:P,15,0)*(((E2129*2.54)/100)^2)*(I2129*0.3048)))))*0.0011023),0)</f>
        <v>#N/A</v>
      </c>
      <c r="AD2129" s="104" t="e">
        <f t="shared" si="922"/>
        <v>#N/A</v>
      </c>
      <c r="AE2129" s="104" t="e">
        <f t="shared" si="923"/>
        <v>#N/A</v>
      </c>
      <c r="AF2129" s="104" t="e">
        <f>IF(AND(VLOOKUP($D2129,Merchantability!$B:$C,2,0)="Yes",$E2129&gt;=VLOOKUP($D2129,Merchantability!$B:$D,3,0),$E2129&lt;=VLOOKUP($D2129,Merchantability!$B:$E,4,0)),AA2129,0)</f>
        <v>#N/A</v>
      </c>
      <c r="AG2129" s="104" t="e">
        <f>IF(AND(VLOOKUP($D2129,Merchantability!$B:$C,2,0)="Yes",$E2129&gt;=VLOOKUP($D2129,Merchantability!$B:$D,3,0),$E2129&lt;=VLOOKUP($D2129,Merchantability!$B:$E,4,0)),AB2129,0)</f>
        <v>#N/A</v>
      </c>
      <c r="AH2129" s="104" t="e">
        <f>IF(AND(VLOOKUP($D2129,Merchantability!$B:$C,2,0)="Yes",$E2129&gt;=VLOOKUP($D2129,Merchantability!$B:$D,3,0),$E2129&lt;=VLOOKUP($D2129,Merchantability!$B:$E,4,0)),AC2129,0)</f>
        <v>#N/A</v>
      </c>
      <c r="AI2129" s="104" t="e">
        <f t="shared" si="924"/>
        <v>#N/A</v>
      </c>
      <c r="AJ2129" s="104" t="e">
        <f t="shared" si="925"/>
        <v>#VALUE!</v>
      </c>
      <c r="AK2129" s="104" t="e">
        <f t="shared" si="926"/>
        <v>#N/A</v>
      </c>
      <c r="AL2129" s="104" t="e">
        <f t="shared" si="927"/>
        <v>#N/A</v>
      </c>
      <c r="AM2129" s="104" t="e">
        <f t="shared" si="928"/>
        <v>#N/A</v>
      </c>
      <c r="AN2129" s="104" t="e">
        <f t="shared" si="939"/>
        <v>#N/A</v>
      </c>
      <c r="AO2129" s="104" t="e">
        <f t="shared" si="940"/>
        <v>#N/A</v>
      </c>
      <c r="AP2129" s="104" t="e">
        <f t="shared" si="941"/>
        <v>#N/A</v>
      </c>
      <c r="AQ2129" s="104" t="e">
        <f t="shared" si="942"/>
        <v>#N/A</v>
      </c>
      <c r="AR2129" s="105" t="str">
        <f t="shared" si="934"/>
        <v/>
      </c>
      <c r="AS2129" s="105" t="str">
        <f t="shared" si="935"/>
        <v/>
      </c>
      <c r="AT2129" s="108" t="str">
        <f t="shared" si="936"/>
        <v/>
      </c>
      <c r="AU2129" s="108" t="str">
        <f t="shared" si="937"/>
        <v/>
      </c>
      <c r="AV2129" s="107" t="str">
        <f>IF(ISNUMBER(O2129),IF(VLOOKUP($A2129,Stand!C:J,8,FALSE)="Short",AT2129,AU2129),"")</f>
        <v/>
      </c>
      <c r="AW2129" s="109" t="str">
        <f t="shared" si="943"/>
        <v/>
      </c>
      <c r="AX2129" s="109" t="str">
        <f t="shared" si="944"/>
        <v/>
      </c>
      <c r="AY2129" s="112" t="str">
        <f>IF(ISNUMBER(O2129),IF(AND(VLOOKUP($D2129,Merchantability!$B:$C,2,0)="Yes",$E2129&gt;=VLOOKUP($D2129,Merchantability!$B:$D,3,0),$E2129&lt;=VLOOKUP($D2129,Merchantability!$B:$E,4,0)),(AV2129*O2129)*(1-$H2129/100),""),"")</f>
        <v/>
      </c>
      <c r="AZ2129" s="116"/>
      <c r="BA2129" s="116"/>
      <c r="BB2129" s="116"/>
      <c r="BE2129" s="62"/>
      <c r="BF2129" s="63"/>
    </row>
    <row r="2130" spans="1:58" ht="12.75" customHeight="1" x14ac:dyDescent="0.25">
      <c r="A2130" s="334"/>
      <c r="B2130" s="334"/>
      <c r="C2130" s="332"/>
      <c r="D2130" s="334"/>
      <c r="E2130" s="335"/>
      <c r="F2130" s="334"/>
      <c r="G2130" s="332"/>
      <c r="H2130" s="332"/>
      <c r="I2130" s="334"/>
      <c r="J2130" s="336"/>
      <c r="K2130" s="332"/>
      <c r="L2130" s="332"/>
      <c r="M2130" s="76"/>
      <c r="N2130" s="103" t="str">
        <f>IF(A2130="","",VLOOKUP(A2130,Stand!C:K,9,0))</f>
        <v/>
      </c>
      <c r="O2130" s="104" t="str">
        <f t="shared" si="929"/>
        <v/>
      </c>
      <c r="P2130" s="105" t="str">
        <f t="shared" si="930"/>
        <v/>
      </c>
      <c r="Q2130" s="105" t="str">
        <f t="shared" si="918"/>
        <v/>
      </c>
      <c r="R2130" s="103" t="str">
        <f t="shared" si="931"/>
        <v/>
      </c>
      <c r="S2130" s="103" t="str">
        <f t="shared" si="932"/>
        <v/>
      </c>
      <c r="T2130" s="106" t="str">
        <f t="shared" si="919"/>
        <v/>
      </c>
      <c r="U2130" s="106" t="str">
        <f t="shared" si="920"/>
        <v/>
      </c>
      <c r="V2130" s="106" t="str">
        <f t="shared" si="921"/>
        <v/>
      </c>
      <c r="W2130" s="105" t="str">
        <f t="shared" si="933"/>
        <v/>
      </c>
      <c r="X2130" s="104" t="str">
        <f t="shared" si="938"/>
        <v/>
      </c>
      <c r="Y2130" s="104" t="str">
        <f t="array" ref="Y2130">IFERROR(IF(ISNUMBER(O2130),IF(COUNT(IF(A2130=$A$2:$A$2427,IF(D2130=$D$2:$D$2427,IF($X$2:$X$2427&gt;0,1))))&gt;0,SUM(IF(A2130=$A$2:$A$2427,IF(D2130=$D$2:$D$2427,$X$2:$X$2427)))/COUNT(IF(A2130=$A$2:$A$2427,IF(D2130=$D$2:$D$2427,IF(ISNUMBER($X$2:$X$2427),1)))),0),""),0)</f>
        <v/>
      </c>
      <c r="Z2130" s="104" t="str">
        <f>IF(ISNUMBER(O2130),IF(I2130&gt;0,(10^(VLOOKUP(D2130,'Species Codes'!B:C,2,0)+VLOOKUP(D2130,'Species Codes'!B:D,3,0)*LOG(E2130)+VLOOKUP(D2130,'Species Codes'!B:E,4,0)*LOG(I2130))),0),"")</f>
        <v/>
      </c>
      <c r="AA2130" s="104" t="str">
        <f>IFERROR((VLOOKUP(D2130,'Species Codes'!B:G,6,0)*Z2130)/2000,"")</f>
        <v/>
      </c>
      <c r="AB2130" s="104" t="e">
        <f>IF(Z2130&gt;0,((IF(OR(D2130="DF",D2130="RA")=TRUE,EXP(VLOOKUP(D2130,'Species Codes'!B:I,8,0)+VLOOKUP(D2130,'Species Codes'!B:J,9,0)*(LN((E2130*2.54)))),IF(OR(D2130="PY",D2130="RC",D2130="WH",D2130="NF")=TRUE,VLOOKUP(D2130,'Species Codes'!B:I,8,0)+VLOOKUP(D2130,'Species Codes'!B:J,9,0)*((E2130*2.54)^2)*(I2130*0.3048),IF(OR(D2130="MD",D2130="BM",D2130="GA")=TRUE,((VLOOKUP(D2130,'Species Codes'!B:I,8,0)*(((((E2130*2.54)+VLOOKUP(D2130,'Species Codes'!B:J,9,0))/VLOOKUP(D2130,'Species Codes'!B:K,10,0))^VLOOKUP(D2130,'Species Codes'!B:L,11,0))*((I2130*0.3048)^VLOOKUP(D2130,'Species Codes'!B:M,12,0))))-(VLOOKUP(D2130,'Species Codes'!B:I,8,0)*((((E2130*2.54)^VLOOKUP(D2130,'Species Codes'!B:L,11,0))*((I2130*0.3048)^VLOOKUP(D2130,'Species Codes'!B:M,12,0))))))*35.3*VLOOKUP(D2130,'Species Codes'!B:G,6,0)/2.2046,VLOOKUP(D2130,'Species Codes'!B:I,8,0)+VLOOKUP(D2130,'Species Codes'!B:J,9,0)*(((E2130*2.54)/100)^2)*(I2130*0.3048)))))*0.0011023),0)</f>
        <v>#N/A</v>
      </c>
      <c r="AC2130" s="104" t="e">
        <f>IF(Z2130&gt;0,((IF(OR(D2130="RA",D2130="OA",D2130="OT",D2130="UN",D2130="PC"),EXP(VLOOKUP(D2130,'Species Codes'!B:O,14,0)+VLOOKUP(D2130,'Species Codes'!B:P,15,0)*LN((E2130*2.54)))-EXP(VLOOKUP(D2130,'Species Codes'!B:O,14,0)+VLOOKUP(D2130,'Species Codes'!B:P,15,0)*LN((E2130*2.54)))*(1/(VLOOKUP(D2130,'Species Codes'!B:Q,16,0)+VLOOKUP(D2130,'Species Codes'!B:R,17,0)*((E2130*2.54)^VLOOKUP(D2130,'Species Codes'!B:S,18,0)))),IF(OR(D2130="BM",D2130="MD",D2130="OA"),EXP(VLOOKUP(D2130,'Species Codes'!B:O,14,0)+VLOOKUP(D2130,'Species Codes'!B:P,15,0)*LN((E2130*2.54)))*(1-(1/(VLOOKUP(D2130,'Species Codes'!B:Q,16,0)+VLOOKUP(D2130,'Species Codes'!B:R,17,0)*((E2130*2.54)^VLOOKUP(D2130,'Species Codes'!B:S,18,0)))))/1000,IF(D2130="DF",EXP(VLOOKUP(D2130,'Species Codes'!B:O,14,0)+VLOOKUP(D2130,'Species Codes'!B:P,15,0)*LN((E2130*2.54))),VLOOKUP(D2130,'Species Codes'!B:O,14,0)+VLOOKUP(D2130,'Species Codes'!B:P,15,0)*(((E2130*2.54)/100)^2)*(I2130*0.3048)))))*0.0011023),0)</f>
        <v>#N/A</v>
      </c>
      <c r="AD2130" s="104" t="e">
        <f t="shared" si="922"/>
        <v>#N/A</v>
      </c>
      <c r="AE2130" s="104" t="e">
        <f t="shared" si="923"/>
        <v>#N/A</v>
      </c>
      <c r="AF2130" s="104" t="e">
        <f>IF(AND(VLOOKUP($D2130,Merchantability!$B:$C,2,0)="Yes",$E2130&gt;=VLOOKUP($D2130,Merchantability!$B:$D,3,0),$E2130&lt;=VLOOKUP($D2130,Merchantability!$B:$E,4,0)),AA2130,0)</f>
        <v>#N/A</v>
      </c>
      <c r="AG2130" s="104" t="e">
        <f>IF(AND(VLOOKUP($D2130,Merchantability!$B:$C,2,0)="Yes",$E2130&gt;=VLOOKUP($D2130,Merchantability!$B:$D,3,0),$E2130&lt;=VLOOKUP($D2130,Merchantability!$B:$E,4,0)),AB2130,0)</f>
        <v>#N/A</v>
      </c>
      <c r="AH2130" s="104" t="e">
        <f>IF(AND(VLOOKUP($D2130,Merchantability!$B:$C,2,0)="Yes",$E2130&gt;=VLOOKUP($D2130,Merchantability!$B:$D,3,0),$E2130&lt;=VLOOKUP($D2130,Merchantability!$B:$E,4,0)),AC2130,0)</f>
        <v>#N/A</v>
      </c>
      <c r="AI2130" s="104" t="e">
        <f t="shared" si="924"/>
        <v>#N/A</v>
      </c>
      <c r="AJ2130" s="104" t="e">
        <f t="shared" si="925"/>
        <v>#VALUE!</v>
      </c>
      <c r="AK2130" s="104" t="e">
        <f t="shared" si="926"/>
        <v>#N/A</v>
      </c>
      <c r="AL2130" s="104" t="e">
        <f t="shared" si="927"/>
        <v>#N/A</v>
      </c>
      <c r="AM2130" s="104" t="e">
        <f t="shared" si="928"/>
        <v>#N/A</v>
      </c>
      <c r="AN2130" s="104" t="e">
        <f t="shared" si="939"/>
        <v>#N/A</v>
      </c>
      <c r="AO2130" s="104" t="e">
        <f t="shared" si="940"/>
        <v>#N/A</v>
      </c>
      <c r="AP2130" s="104" t="e">
        <f t="shared" si="941"/>
        <v>#N/A</v>
      </c>
      <c r="AQ2130" s="104" t="e">
        <f t="shared" si="942"/>
        <v>#N/A</v>
      </c>
      <c r="AR2130" s="105" t="str">
        <f t="shared" si="934"/>
        <v/>
      </c>
      <c r="AS2130" s="105" t="str">
        <f t="shared" si="935"/>
        <v/>
      </c>
      <c r="AT2130" s="108" t="str">
        <f t="shared" si="936"/>
        <v/>
      </c>
      <c r="AU2130" s="108" t="str">
        <f t="shared" si="937"/>
        <v/>
      </c>
      <c r="AV2130" s="107" t="str">
        <f>IF(ISNUMBER(O2130),IF(VLOOKUP($A2130,Stand!C:J,8,FALSE)="Short",AT2130,AU2130),"")</f>
        <v/>
      </c>
      <c r="AW2130" s="109" t="str">
        <f t="shared" si="943"/>
        <v/>
      </c>
      <c r="AX2130" s="109" t="str">
        <f t="shared" si="944"/>
        <v/>
      </c>
      <c r="AY2130" s="112" t="str">
        <f>IF(ISNUMBER(O2130),IF(AND(VLOOKUP($D2130,Merchantability!$B:$C,2,0)="Yes",$E2130&gt;=VLOOKUP($D2130,Merchantability!$B:$D,3,0),$E2130&lt;=VLOOKUP($D2130,Merchantability!$B:$E,4,0)),(AV2130*O2130)*(1-$H2130/100),""),"")</f>
        <v/>
      </c>
      <c r="AZ2130" s="116"/>
      <c r="BA2130" s="116"/>
      <c r="BB2130" s="116"/>
      <c r="BE2130" s="62"/>
      <c r="BF2130" s="63"/>
    </row>
    <row r="2131" spans="1:58" ht="12.75" customHeight="1" x14ac:dyDescent="0.25">
      <c r="A2131" s="334"/>
      <c r="B2131" s="334"/>
      <c r="C2131" s="332"/>
      <c r="D2131" s="334"/>
      <c r="E2131" s="335"/>
      <c r="F2131" s="334"/>
      <c r="G2131" s="332"/>
      <c r="H2131" s="332"/>
      <c r="I2131" s="334"/>
      <c r="J2131" s="336"/>
      <c r="K2131" s="332"/>
      <c r="L2131" s="332"/>
      <c r="M2131" s="76"/>
      <c r="N2131" s="103" t="str">
        <f>IF(A2131="","",VLOOKUP(A2131,Stand!C:K,9,0))</f>
        <v/>
      </c>
      <c r="O2131" s="104" t="str">
        <f t="shared" si="929"/>
        <v/>
      </c>
      <c r="P2131" s="105" t="str">
        <f t="shared" si="930"/>
        <v/>
      </c>
      <c r="Q2131" s="105" t="str">
        <f t="shared" si="918"/>
        <v/>
      </c>
      <c r="R2131" s="103" t="str">
        <f t="shared" si="931"/>
        <v/>
      </c>
      <c r="S2131" s="103" t="str">
        <f t="shared" si="932"/>
        <v/>
      </c>
      <c r="T2131" s="106" t="str">
        <f t="shared" si="919"/>
        <v/>
      </c>
      <c r="U2131" s="106" t="str">
        <f t="shared" si="920"/>
        <v/>
      </c>
      <c r="V2131" s="106" t="str">
        <f t="shared" si="921"/>
        <v/>
      </c>
      <c r="W2131" s="105" t="str">
        <f t="shared" si="933"/>
        <v/>
      </c>
      <c r="X2131" s="104" t="str">
        <f t="shared" si="938"/>
        <v/>
      </c>
      <c r="Y2131" s="104" t="str">
        <f t="array" ref="Y2131">IFERROR(IF(ISNUMBER(O2131),IF(COUNT(IF(A2131=$A$2:$A$2427,IF(D2131=$D$2:$D$2427,IF($X$2:$X$2427&gt;0,1))))&gt;0,SUM(IF(A2131=$A$2:$A$2427,IF(D2131=$D$2:$D$2427,$X$2:$X$2427)))/COUNT(IF(A2131=$A$2:$A$2427,IF(D2131=$D$2:$D$2427,IF(ISNUMBER($X$2:$X$2427),1)))),0),""),0)</f>
        <v/>
      </c>
      <c r="Z2131" s="104" t="str">
        <f>IF(ISNUMBER(O2131),IF(I2131&gt;0,(10^(VLOOKUP(D2131,'Species Codes'!B:C,2,0)+VLOOKUP(D2131,'Species Codes'!B:D,3,0)*LOG(E2131)+VLOOKUP(D2131,'Species Codes'!B:E,4,0)*LOG(I2131))),0),"")</f>
        <v/>
      </c>
      <c r="AA2131" s="104" t="str">
        <f>IFERROR((VLOOKUP(D2131,'Species Codes'!B:G,6,0)*Z2131)/2000,"")</f>
        <v/>
      </c>
      <c r="AB2131" s="104" t="e">
        <f>IF(Z2131&gt;0,((IF(OR(D2131="DF",D2131="RA")=TRUE,EXP(VLOOKUP(D2131,'Species Codes'!B:I,8,0)+VLOOKUP(D2131,'Species Codes'!B:J,9,0)*(LN((E2131*2.54)))),IF(OR(D2131="PY",D2131="RC",D2131="WH",D2131="NF")=TRUE,VLOOKUP(D2131,'Species Codes'!B:I,8,0)+VLOOKUP(D2131,'Species Codes'!B:J,9,0)*((E2131*2.54)^2)*(I2131*0.3048),IF(OR(D2131="MD",D2131="BM",D2131="GA")=TRUE,((VLOOKUP(D2131,'Species Codes'!B:I,8,0)*(((((E2131*2.54)+VLOOKUP(D2131,'Species Codes'!B:J,9,0))/VLOOKUP(D2131,'Species Codes'!B:K,10,0))^VLOOKUP(D2131,'Species Codes'!B:L,11,0))*((I2131*0.3048)^VLOOKUP(D2131,'Species Codes'!B:M,12,0))))-(VLOOKUP(D2131,'Species Codes'!B:I,8,0)*((((E2131*2.54)^VLOOKUP(D2131,'Species Codes'!B:L,11,0))*((I2131*0.3048)^VLOOKUP(D2131,'Species Codes'!B:M,12,0))))))*35.3*VLOOKUP(D2131,'Species Codes'!B:G,6,0)/2.2046,VLOOKUP(D2131,'Species Codes'!B:I,8,0)+VLOOKUP(D2131,'Species Codes'!B:J,9,0)*(((E2131*2.54)/100)^2)*(I2131*0.3048)))))*0.0011023),0)</f>
        <v>#N/A</v>
      </c>
      <c r="AC2131" s="104" t="e">
        <f>IF(Z2131&gt;0,((IF(OR(D2131="RA",D2131="OA",D2131="OT",D2131="UN",D2131="PC"),EXP(VLOOKUP(D2131,'Species Codes'!B:O,14,0)+VLOOKUP(D2131,'Species Codes'!B:P,15,0)*LN((E2131*2.54)))-EXP(VLOOKUP(D2131,'Species Codes'!B:O,14,0)+VLOOKUP(D2131,'Species Codes'!B:P,15,0)*LN((E2131*2.54)))*(1/(VLOOKUP(D2131,'Species Codes'!B:Q,16,0)+VLOOKUP(D2131,'Species Codes'!B:R,17,0)*((E2131*2.54)^VLOOKUP(D2131,'Species Codes'!B:S,18,0)))),IF(OR(D2131="BM",D2131="MD",D2131="OA"),EXP(VLOOKUP(D2131,'Species Codes'!B:O,14,0)+VLOOKUP(D2131,'Species Codes'!B:P,15,0)*LN((E2131*2.54)))*(1-(1/(VLOOKUP(D2131,'Species Codes'!B:Q,16,0)+VLOOKUP(D2131,'Species Codes'!B:R,17,0)*((E2131*2.54)^VLOOKUP(D2131,'Species Codes'!B:S,18,0)))))/1000,IF(D2131="DF",EXP(VLOOKUP(D2131,'Species Codes'!B:O,14,0)+VLOOKUP(D2131,'Species Codes'!B:P,15,0)*LN((E2131*2.54))),VLOOKUP(D2131,'Species Codes'!B:O,14,0)+VLOOKUP(D2131,'Species Codes'!B:P,15,0)*(((E2131*2.54)/100)^2)*(I2131*0.3048)))))*0.0011023),0)</f>
        <v>#N/A</v>
      </c>
      <c r="AD2131" s="104" t="e">
        <f t="shared" si="922"/>
        <v>#N/A</v>
      </c>
      <c r="AE2131" s="104" t="e">
        <f t="shared" si="923"/>
        <v>#N/A</v>
      </c>
      <c r="AF2131" s="104" t="e">
        <f>IF(AND(VLOOKUP($D2131,Merchantability!$B:$C,2,0)="Yes",$E2131&gt;=VLOOKUP($D2131,Merchantability!$B:$D,3,0),$E2131&lt;=VLOOKUP($D2131,Merchantability!$B:$E,4,0)),AA2131,0)</f>
        <v>#N/A</v>
      </c>
      <c r="AG2131" s="104" t="e">
        <f>IF(AND(VLOOKUP($D2131,Merchantability!$B:$C,2,0)="Yes",$E2131&gt;=VLOOKUP($D2131,Merchantability!$B:$D,3,0),$E2131&lt;=VLOOKUP($D2131,Merchantability!$B:$E,4,0)),AB2131,0)</f>
        <v>#N/A</v>
      </c>
      <c r="AH2131" s="104" t="e">
        <f>IF(AND(VLOOKUP($D2131,Merchantability!$B:$C,2,0)="Yes",$E2131&gt;=VLOOKUP($D2131,Merchantability!$B:$D,3,0),$E2131&lt;=VLOOKUP($D2131,Merchantability!$B:$E,4,0)),AC2131,0)</f>
        <v>#N/A</v>
      </c>
      <c r="AI2131" s="104" t="e">
        <f t="shared" si="924"/>
        <v>#N/A</v>
      </c>
      <c r="AJ2131" s="104" t="e">
        <f t="shared" si="925"/>
        <v>#VALUE!</v>
      </c>
      <c r="AK2131" s="104" t="e">
        <f t="shared" si="926"/>
        <v>#N/A</v>
      </c>
      <c r="AL2131" s="104" t="e">
        <f t="shared" si="927"/>
        <v>#N/A</v>
      </c>
      <c r="AM2131" s="104" t="e">
        <f t="shared" si="928"/>
        <v>#N/A</v>
      </c>
      <c r="AN2131" s="104" t="e">
        <f t="shared" si="939"/>
        <v>#N/A</v>
      </c>
      <c r="AO2131" s="104" t="e">
        <f t="shared" si="940"/>
        <v>#N/A</v>
      </c>
      <c r="AP2131" s="104" t="e">
        <f t="shared" si="941"/>
        <v>#N/A</v>
      </c>
      <c r="AQ2131" s="104" t="e">
        <f t="shared" si="942"/>
        <v>#N/A</v>
      </c>
      <c r="AR2131" s="105" t="str">
        <f t="shared" si="934"/>
        <v/>
      </c>
      <c r="AS2131" s="105" t="str">
        <f t="shared" si="935"/>
        <v/>
      </c>
      <c r="AT2131" s="108" t="str">
        <f t="shared" si="936"/>
        <v/>
      </c>
      <c r="AU2131" s="108" t="str">
        <f t="shared" si="937"/>
        <v/>
      </c>
      <c r="AV2131" s="107" t="str">
        <f>IF(ISNUMBER(O2131),IF(VLOOKUP($A2131,Stand!C:J,8,FALSE)="Short",AT2131,AU2131),"")</f>
        <v/>
      </c>
      <c r="AW2131" s="109" t="str">
        <f t="shared" si="943"/>
        <v/>
      </c>
      <c r="AX2131" s="109" t="str">
        <f t="shared" si="944"/>
        <v/>
      </c>
      <c r="AY2131" s="112" t="str">
        <f>IF(ISNUMBER(O2131),IF(AND(VLOOKUP($D2131,Merchantability!$B:$C,2,0)="Yes",$E2131&gt;=VLOOKUP($D2131,Merchantability!$B:$D,3,0),$E2131&lt;=VLOOKUP($D2131,Merchantability!$B:$E,4,0)),(AV2131*O2131)*(1-$H2131/100),""),"")</f>
        <v/>
      </c>
      <c r="AZ2131" s="116"/>
      <c r="BA2131" s="116"/>
      <c r="BB2131" s="116"/>
      <c r="BE2131" s="62"/>
      <c r="BF2131" s="63"/>
    </row>
    <row r="2132" spans="1:58" ht="12.75" customHeight="1" x14ac:dyDescent="0.25">
      <c r="A2132" s="334"/>
      <c r="B2132" s="334"/>
      <c r="C2132" s="332"/>
      <c r="D2132" s="334"/>
      <c r="E2132" s="335"/>
      <c r="F2132" s="334"/>
      <c r="G2132" s="332"/>
      <c r="H2132" s="332"/>
      <c r="I2132" s="334"/>
      <c r="J2132" s="336"/>
      <c r="K2132" s="332"/>
      <c r="L2132" s="332"/>
      <c r="M2132" s="76"/>
      <c r="N2132" s="103" t="str">
        <f>IF(A2132="","",VLOOKUP(A2132,Stand!C:K,9,0))</f>
        <v/>
      </c>
      <c r="O2132" s="104" t="str">
        <f t="shared" si="929"/>
        <v/>
      </c>
      <c r="P2132" s="105" t="str">
        <f t="shared" si="930"/>
        <v/>
      </c>
      <c r="Q2132" s="105" t="str">
        <f t="shared" si="918"/>
        <v/>
      </c>
      <c r="R2132" s="103" t="str">
        <f t="shared" si="931"/>
        <v/>
      </c>
      <c r="S2132" s="103" t="str">
        <f t="shared" si="932"/>
        <v/>
      </c>
      <c r="T2132" s="106" t="str">
        <f t="shared" si="919"/>
        <v/>
      </c>
      <c r="U2132" s="106" t="str">
        <f t="shared" si="920"/>
        <v/>
      </c>
      <c r="V2132" s="106" t="str">
        <f t="shared" si="921"/>
        <v/>
      </c>
      <c r="W2132" s="105" t="str">
        <f t="shared" si="933"/>
        <v/>
      </c>
      <c r="X2132" s="104" t="str">
        <f t="shared" si="938"/>
        <v/>
      </c>
      <c r="Y2132" s="104" t="str">
        <f t="array" ref="Y2132">IFERROR(IF(ISNUMBER(O2132),IF(COUNT(IF(A2132=$A$2:$A$2427,IF(D2132=$D$2:$D$2427,IF($X$2:$X$2427&gt;0,1))))&gt;0,SUM(IF(A2132=$A$2:$A$2427,IF(D2132=$D$2:$D$2427,$X$2:$X$2427)))/COUNT(IF(A2132=$A$2:$A$2427,IF(D2132=$D$2:$D$2427,IF(ISNUMBER($X$2:$X$2427),1)))),0),""),0)</f>
        <v/>
      </c>
      <c r="Z2132" s="104" t="str">
        <f>IF(ISNUMBER(O2132),IF(I2132&gt;0,(10^(VLOOKUP(D2132,'Species Codes'!B:C,2,0)+VLOOKUP(D2132,'Species Codes'!B:D,3,0)*LOG(E2132)+VLOOKUP(D2132,'Species Codes'!B:E,4,0)*LOG(I2132))),0),"")</f>
        <v/>
      </c>
      <c r="AA2132" s="104" t="str">
        <f>IFERROR((VLOOKUP(D2132,'Species Codes'!B:G,6,0)*Z2132)/2000,"")</f>
        <v/>
      </c>
      <c r="AB2132" s="104" t="e">
        <f>IF(Z2132&gt;0,((IF(OR(D2132="DF",D2132="RA")=TRUE,EXP(VLOOKUP(D2132,'Species Codes'!B:I,8,0)+VLOOKUP(D2132,'Species Codes'!B:J,9,0)*(LN((E2132*2.54)))),IF(OR(D2132="PY",D2132="RC",D2132="WH",D2132="NF")=TRUE,VLOOKUP(D2132,'Species Codes'!B:I,8,0)+VLOOKUP(D2132,'Species Codes'!B:J,9,0)*((E2132*2.54)^2)*(I2132*0.3048),IF(OR(D2132="MD",D2132="BM",D2132="GA")=TRUE,((VLOOKUP(D2132,'Species Codes'!B:I,8,0)*(((((E2132*2.54)+VLOOKUP(D2132,'Species Codes'!B:J,9,0))/VLOOKUP(D2132,'Species Codes'!B:K,10,0))^VLOOKUP(D2132,'Species Codes'!B:L,11,0))*((I2132*0.3048)^VLOOKUP(D2132,'Species Codes'!B:M,12,0))))-(VLOOKUP(D2132,'Species Codes'!B:I,8,0)*((((E2132*2.54)^VLOOKUP(D2132,'Species Codes'!B:L,11,0))*((I2132*0.3048)^VLOOKUP(D2132,'Species Codes'!B:M,12,0))))))*35.3*VLOOKUP(D2132,'Species Codes'!B:G,6,0)/2.2046,VLOOKUP(D2132,'Species Codes'!B:I,8,0)+VLOOKUP(D2132,'Species Codes'!B:J,9,0)*(((E2132*2.54)/100)^2)*(I2132*0.3048)))))*0.0011023),0)</f>
        <v>#N/A</v>
      </c>
      <c r="AC2132" s="104" t="e">
        <f>IF(Z2132&gt;0,((IF(OR(D2132="RA",D2132="OA",D2132="OT",D2132="UN",D2132="PC"),EXP(VLOOKUP(D2132,'Species Codes'!B:O,14,0)+VLOOKUP(D2132,'Species Codes'!B:P,15,0)*LN((E2132*2.54)))-EXP(VLOOKUP(D2132,'Species Codes'!B:O,14,0)+VLOOKUP(D2132,'Species Codes'!B:P,15,0)*LN((E2132*2.54)))*(1/(VLOOKUP(D2132,'Species Codes'!B:Q,16,0)+VLOOKUP(D2132,'Species Codes'!B:R,17,0)*((E2132*2.54)^VLOOKUP(D2132,'Species Codes'!B:S,18,0)))),IF(OR(D2132="BM",D2132="MD",D2132="OA"),EXP(VLOOKUP(D2132,'Species Codes'!B:O,14,0)+VLOOKUP(D2132,'Species Codes'!B:P,15,0)*LN((E2132*2.54)))*(1-(1/(VLOOKUP(D2132,'Species Codes'!B:Q,16,0)+VLOOKUP(D2132,'Species Codes'!B:R,17,0)*((E2132*2.54)^VLOOKUP(D2132,'Species Codes'!B:S,18,0)))))/1000,IF(D2132="DF",EXP(VLOOKUP(D2132,'Species Codes'!B:O,14,0)+VLOOKUP(D2132,'Species Codes'!B:P,15,0)*LN((E2132*2.54))),VLOOKUP(D2132,'Species Codes'!B:O,14,0)+VLOOKUP(D2132,'Species Codes'!B:P,15,0)*(((E2132*2.54)/100)^2)*(I2132*0.3048)))))*0.0011023),0)</f>
        <v>#N/A</v>
      </c>
      <c r="AD2132" s="104" t="e">
        <f t="shared" si="922"/>
        <v>#N/A</v>
      </c>
      <c r="AE2132" s="104" t="e">
        <f t="shared" si="923"/>
        <v>#N/A</v>
      </c>
      <c r="AF2132" s="104" t="e">
        <f>IF(AND(VLOOKUP($D2132,Merchantability!$B:$C,2,0)="Yes",$E2132&gt;=VLOOKUP($D2132,Merchantability!$B:$D,3,0),$E2132&lt;=VLOOKUP($D2132,Merchantability!$B:$E,4,0)),AA2132,0)</f>
        <v>#N/A</v>
      </c>
      <c r="AG2132" s="104" t="e">
        <f>IF(AND(VLOOKUP($D2132,Merchantability!$B:$C,2,0)="Yes",$E2132&gt;=VLOOKUP($D2132,Merchantability!$B:$D,3,0),$E2132&lt;=VLOOKUP($D2132,Merchantability!$B:$E,4,0)),AB2132,0)</f>
        <v>#N/A</v>
      </c>
      <c r="AH2132" s="104" t="e">
        <f>IF(AND(VLOOKUP($D2132,Merchantability!$B:$C,2,0)="Yes",$E2132&gt;=VLOOKUP($D2132,Merchantability!$B:$D,3,0),$E2132&lt;=VLOOKUP($D2132,Merchantability!$B:$E,4,0)),AC2132,0)</f>
        <v>#N/A</v>
      </c>
      <c r="AI2132" s="104" t="e">
        <f t="shared" si="924"/>
        <v>#N/A</v>
      </c>
      <c r="AJ2132" s="104" t="e">
        <f t="shared" si="925"/>
        <v>#VALUE!</v>
      </c>
      <c r="AK2132" s="104" t="e">
        <f t="shared" si="926"/>
        <v>#N/A</v>
      </c>
      <c r="AL2132" s="104" t="e">
        <f t="shared" si="927"/>
        <v>#N/A</v>
      </c>
      <c r="AM2132" s="104" t="e">
        <f t="shared" si="928"/>
        <v>#N/A</v>
      </c>
      <c r="AN2132" s="104" t="e">
        <f t="shared" si="939"/>
        <v>#N/A</v>
      </c>
      <c r="AO2132" s="104" t="e">
        <f t="shared" si="940"/>
        <v>#N/A</v>
      </c>
      <c r="AP2132" s="104" t="e">
        <f t="shared" si="941"/>
        <v>#N/A</v>
      </c>
      <c r="AQ2132" s="104" t="e">
        <f t="shared" si="942"/>
        <v>#N/A</v>
      </c>
      <c r="AR2132" s="105" t="str">
        <f t="shared" si="934"/>
        <v/>
      </c>
      <c r="AS2132" s="105" t="str">
        <f t="shared" si="935"/>
        <v/>
      </c>
      <c r="AT2132" s="108" t="str">
        <f t="shared" si="936"/>
        <v/>
      </c>
      <c r="AU2132" s="108" t="str">
        <f t="shared" si="937"/>
        <v/>
      </c>
      <c r="AV2132" s="107" t="str">
        <f>IF(ISNUMBER(O2132),IF(VLOOKUP($A2132,Stand!C:J,8,FALSE)="Short",AT2132,AU2132),"")</f>
        <v/>
      </c>
      <c r="AW2132" s="109" t="str">
        <f t="shared" si="943"/>
        <v/>
      </c>
      <c r="AX2132" s="109" t="str">
        <f t="shared" si="944"/>
        <v/>
      </c>
      <c r="AY2132" s="112" t="str">
        <f>IF(ISNUMBER(O2132),IF(AND(VLOOKUP($D2132,Merchantability!$B:$C,2,0)="Yes",$E2132&gt;=VLOOKUP($D2132,Merchantability!$B:$D,3,0),$E2132&lt;=VLOOKUP($D2132,Merchantability!$B:$E,4,0)),(AV2132*O2132)*(1-$H2132/100),""),"")</f>
        <v/>
      </c>
      <c r="AZ2132" s="116"/>
      <c r="BA2132" s="116"/>
      <c r="BB2132" s="116"/>
      <c r="BE2132" s="62"/>
      <c r="BF2132" s="63"/>
    </row>
    <row r="2133" spans="1:58" ht="12.75" customHeight="1" x14ac:dyDescent="0.25">
      <c r="A2133" s="334"/>
      <c r="B2133" s="334"/>
      <c r="C2133" s="332"/>
      <c r="D2133" s="334"/>
      <c r="E2133" s="335"/>
      <c r="F2133" s="334"/>
      <c r="G2133" s="332"/>
      <c r="H2133" s="332"/>
      <c r="I2133" s="334"/>
      <c r="J2133" s="336"/>
      <c r="K2133" s="332"/>
      <c r="L2133" s="332"/>
      <c r="M2133" s="76"/>
      <c r="N2133" s="103" t="str">
        <f>IF(A2133="","",VLOOKUP(A2133,Stand!C:K,9,0))</f>
        <v/>
      </c>
      <c r="O2133" s="104" t="str">
        <f t="shared" si="929"/>
        <v/>
      </c>
      <c r="P2133" s="105" t="str">
        <f t="shared" si="930"/>
        <v/>
      </c>
      <c r="Q2133" s="105" t="str">
        <f t="shared" si="918"/>
        <v/>
      </c>
      <c r="R2133" s="103" t="str">
        <f t="shared" si="931"/>
        <v/>
      </c>
      <c r="S2133" s="103" t="str">
        <f t="shared" si="932"/>
        <v/>
      </c>
      <c r="T2133" s="106" t="str">
        <f t="shared" si="919"/>
        <v/>
      </c>
      <c r="U2133" s="106" t="str">
        <f t="shared" si="920"/>
        <v/>
      </c>
      <c r="V2133" s="106" t="str">
        <f t="shared" si="921"/>
        <v/>
      </c>
      <c r="W2133" s="105" t="str">
        <f t="shared" si="933"/>
        <v/>
      </c>
      <c r="X2133" s="104" t="str">
        <f t="shared" si="938"/>
        <v/>
      </c>
      <c r="Y2133" s="104" t="str">
        <f t="array" ref="Y2133">IFERROR(IF(ISNUMBER(O2133),IF(COUNT(IF(A2133=$A$2:$A$2427,IF(D2133=$D$2:$D$2427,IF($X$2:$X$2427&gt;0,1))))&gt;0,SUM(IF(A2133=$A$2:$A$2427,IF(D2133=$D$2:$D$2427,$X$2:$X$2427)))/COUNT(IF(A2133=$A$2:$A$2427,IF(D2133=$D$2:$D$2427,IF(ISNUMBER($X$2:$X$2427),1)))),0),""),0)</f>
        <v/>
      </c>
      <c r="Z2133" s="104" t="str">
        <f>IF(ISNUMBER(O2133),IF(I2133&gt;0,(10^(VLOOKUP(D2133,'Species Codes'!B:C,2,0)+VLOOKUP(D2133,'Species Codes'!B:D,3,0)*LOG(E2133)+VLOOKUP(D2133,'Species Codes'!B:E,4,0)*LOG(I2133))),0),"")</f>
        <v/>
      </c>
      <c r="AA2133" s="104" t="str">
        <f>IFERROR((VLOOKUP(D2133,'Species Codes'!B:G,6,0)*Z2133)/2000,"")</f>
        <v/>
      </c>
      <c r="AB2133" s="104" t="e">
        <f>IF(Z2133&gt;0,((IF(OR(D2133="DF",D2133="RA")=TRUE,EXP(VLOOKUP(D2133,'Species Codes'!B:I,8,0)+VLOOKUP(D2133,'Species Codes'!B:J,9,0)*(LN((E2133*2.54)))),IF(OR(D2133="PY",D2133="RC",D2133="WH",D2133="NF")=TRUE,VLOOKUP(D2133,'Species Codes'!B:I,8,0)+VLOOKUP(D2133,'Species Codes'!B:J,9,0)*((E2133*2.54)^2)*(I2133*0.3048),IF(OR(D2133="MD",D2133="BM",D2133="GA")=TRUE,((VLOOKUP(D2133,'Species Codes'!B:I,8,0)*(((((E2133*2.54)+VLOOKUP(D2133,'Species Codes'!B:J,9,0))/VLOOKUP(D2133,'Species Codes'!B:K,10,0))^VLOOKUP(D2133,'Species Codes'!B:L,11,0))*((I2133*0.3048)^VLOOKUP(D2133,'Species Codes'!B:M,12,0))))-(VLOOKUP(D2133,'Species Codes'!B:I,8,0)*((((E2133*2.54)^VLOOKUP(D2133,'Species Codes'!B:L,11,0))*((I2133*0.3048)^VLOOKUP(D2133,'Species Codes'!B:M,12,0))))))*35.3*VLOOKUP(D2133,'Species Codes'!B:G,6,0)/2.2046,VLOOKUP(D2133,'Species Codes'!B:I,8,0)+VLOOKUP(D2133,'Species Codes'!B:J,9,0)*(((E2133*2.54)/100)^2)*(I2133*0.3048)))))*0.0011023),0)</f>
        <v>#N/A</v>
      </c>
      <c r="AC2133" s="104" t="e">
        <f>IF(Z2133&gt;0,((IF(OR(D2133="RA",D2133="OA",D2133="OT",D2133="UN",D2133="PC"),EXP(VLOOKUP(D2133,'Species Codes'!B:O,14,0)+VLOOKUP(D2133,'Species Codes'!B:P,15,0)*LN((E2133*2.54)))-EXP(VLOOKUP(D2133,'Species Codes'!B:O,14,0)+VLOOKUP(D2133,'Species Codes'!B:P,15,0)*LN((E2133*2.54)))*(1/(VLOOKUP(D2133,'Species Codes'!B:Q,16,0)+VLOOKUP(D2133,'Species Codes'!B:R,17,0)*((E2133*2.54)^VLOOKUP(D2133,'Species Codes'!B:S,18,0)))),IF(OR(D2133="BM",D2133="MD",D2133="OA"),EXP(VLOOKUP(D2133,'Species Codes'!B:O,14,0)+VLOOKUP(D2133,'Species Codes'!B:P,15,0)*LN((E2133*2.54)))*(1-(1/(VLOOKUP(D2133,'Species Codes'!B:Q,16,0)+VLOOKUP(D2133,'Species Codes'!B:R,17,0)*((E2133*2.54)^VLOOKUP(D2133,'Species Codes'!B:S,18,0)))))/1000,IF(D2133="DF",EXP(VLOOKUP(D2133,'Species Codes'!B:O,14,0)+VLOOKUP(D2133,'Species Codes'!B:P,15,0)*LN((E2133*2.54))),VLOOKUP(D2133,'Species Codes'!B:O,14,0)+VLOOKUP(D2133,'Species Codes'!B:P,15,0)*(((E2133*2.54)/100)^2)*(I2133*0.3048)))))*0.0011023),0)</f>
        <v>#N/A</v>
      </c>
      <c r="AD2133" s="104" t="e">
        <f t="shared" si="922"/>
        <v>#N/A</v>
      </c>
      <c r="AE2133" s="104" t="e">
        <f t="shared" si="923"/>
        <v>#N/A</v>
      </c>
      <c r="AF2133" s="104" t="e">
        <f>IF(AND(VLOOKUP($D2133,Merchantability!$B:$C,2,0)="Yes",$E2133&gt;=VLOOKUP($D2133,Merchantability!$B:$D,3,0),$E2133&lt;=VLOOKUP($D2133,Merchantability!$B:$E,4,0)),AA2133,0)</f>
        <v>#N/A</v>
      </c>
      <c r="AG2133" s="104" t="e">
        <f>IF(AND(VLOOKUP($D2133,Merchantability!$B:$C,2,0)="Yes",$E2133&gt;=VLOOKUP($D2133,Merchantability!$B:$D,3,0),$E2133&lt;=VLOOKUP($D2133,Merchantability!$B:$E,4,0)),AB2133,0)</f>
        <v>#N/A</v>
      </c>
      <c r="AH2133" s="104" t="e">
        <f>IF(AND(VLOOKUP($D2133,Merchantability!$B:$C,2,0)="Yes",$E2133&gt;=VLOOKUP($D2133,Merchantability!$B:$D,3,0),$E2133&lt;=VLOOKUP($D2133,Merchantability!$B:$E,4,0)),AC2133,0)</f>
        <v>#N/A</v>
      </c>
      <c r="AI2133" s="104" t="e">
        <f t="shared" si="924"/>
        <v>#N/A</v>
      </c>
      <c r="AJ2133" s="104" t="e">
        <f t="shared" si="925"/>
        <v>#VALUE!</v>
      </c>
      <c r="AK2133" s="104" t="e">
        <f t="shared" si="926"/>
        <v>#N/A</v>
      </c>
      <c r="AL2133" s="104" t="e">
        <f t="shared" si="927"/>
        <v>#N/A</v>
      </c>
      <c r="AM2133" s="104" t="e">
        <f t="shared" si="928"/>
        <v>#N/A</v>
      </c>
      <c r="AN2133" s="104" t="e">
        <f t="shared" si="939"/>
        <v>#N/A</v>
      </c>
      <c r="AO2133" s="104" t="e">
        <f t="shared" si="940"/>
        <v>#N/A</v>
      </c>
      <c r="AP2133" s="104" t="e">
        <f t="shared" si="941"/>
        <v>#N/A</v>
      </c>
      <c r="AQ2133" s="104" t="e">
        <f t="shared" si="942"/>
        <v>#N/A</v>
      </c>
      <c r="AR2133" s="105" t="str">
        <f t="shared" si="934"/>
        <v/>
      </c>
      <c r="AS2133" s="105" t="str">
        <f t="shared" si="935"/>
        <v/>
      </c>
      <c r="AT2133" s="108" t="str">
        <f t="shared" si="936"/>
        <v/>
      </c>
      <c r="AU2133" s="108" t="str">
        <f t="shared" si="937"/>
        <v/>
      </c>
      <c r="AV2133" s="107" t="str">
        <f>IF(ISNUMBER(O2133),IF(VLOOKUP($A2133,Stand!C:J,8,FALSE)="Short",AT2133,AU2133),"")</f>
        <v/>
      </c>
      <c r="AW2133" s="109" t="str">
        <f t="shared" si="943"/>
        <v/>
      </c>
      <c r="AX2133" s="109" t="str">
        <f t="shared" si="944"/>
        <v/>
      </c>
      <c r="AY2133" s="112" t="str">
        <f>IF(ISNUMBER(O2133),IF(AND(VLOOKUP($D2133,Merchantability!$B:$C,2,0)="Yes",$E2133&gt;=VLOOKUP($D2133,Merchantability!$B:$D,3,0),$E2133&lt;=VLOOKUP($D2133,Merchantability!$B:$E,4,0)),(AV2133*O2133)*(1-$H2133/100),""),"")</f>
        <v/>
      </c>
      <c r="AZ2133" s="116"/>
      <c r="BA2133" s="116"/>
      <c r="BB2133" s="116"/>
      <c r="BE2133" s="62"/>
      <c r="BF2133" s="63"/>
    </row>
    <row r="2134" spans="1:58" ht="12.75" customHeight="1" x14ac:dyDescent="0.25">
      <c r="A2134" s="334"/>
      <c r="B2134" s="334"/>
      <c r="C2134" s="332"/>
      <c r="D2134" s="334"/>
      <c r="E2134" s="335"/>
      <c r="F2134" s="334"/>
      <c r="G2134" s="332"/>
      <c r="H2134" s="332"/>
      <c r="I2134" s="334"/>
      <c r="J2134" s="336"/>
      <c r="K2134" s="332"/>
      <c r="L2134" s="332"/>
      <c r="M2134" s="76"/>
      <c r="N2134" s="103" t="str">
        <f>IF(A2134="","",VLOOKUP(A2134,Stand!C:K,9,0))</f>
        <v/>
      </c>
      <c r="O2134" s="104" t="str">
        <f t="shared" si="929"/>
        <v/>
      </c>
      <c r="P2134" s="105" t="str">
        <f t="shared" si="930"/>
        <v/>
      </c>
      <c r="Q2134" s="105" t="str">
        <f t="shared" si="918"/>
        <v/>
      </c>
      <c r="R2134" s="103" t="str">
        <f t="shared" si="931"/>
        <v/>
      </c>
      <c r="S2134" s="103" t="str">
        <f t="shared" si="932"/>
        <v/>
      </c>
      <c r="T2134" s="106" t="str">
        <f t="shared" si="919"/>
        <v/>
      </c>
      <c r="U2134" s="106" t="str">
        <f t="shared" si="920"/>
        <v/>
      </c>
      <c r="V2134" s="106" t="str">
        <f t="shared" si="921"/>
        <v/>
      </c>
      <c r="W2134" s="105" t="str">
        <f t="shared" si="933"/>
        <v/>
      </c>
      <c r="X2134" s="104" t="str">
        <f t="shared" si="938"/>
        <v/>
      </c>
      <c r="Y2134" s="104" t="str">
        <f t="array" ref="Y2134">IFERROR(IF(ISNUMBER(O2134),IF(COUNT(IF(A2134=$A$2:$A$2427,IF(D2134=$D$2:$D$2427,IF($X$2:$X$2427&gt;0,1))))&gt;0,SUM(IF(A2134=$A$2:$A$2427,IF(D2134=$D$2:$D$2427,$X$2:$X$2427)))/COUNT(IF(A2134=$A$2:$A$2427,IF(D2134=$D$2:$D$2427,IF(ISNUMBER($X$2:$X$2427),1)))),0),""),0)</f>
        <v/>
      </c>
      <c r="Z2134" s="104" t="str">
        <f>IF(ISNUMBER(O2134),IF(I2134&gt;0,(10^(VLOOKUP(D2134,'Species Codes'!B:C,2,0)+VLOOKUP(D2134,'Species Codes'!B:D,3,0)*LOG(E2134)+VLOOKUP(D2134,'Species Codes'!B:E,4,0)*LOG(I2134))),0),"")</f>
        <v/>
      </c>
      <c r="AA2134" s="104" t="str">
        <f>IFERROR((VLOOKUP(D2134,'Species Codes'!B:G,6,0)*Z2134)/2000,"")</f>
        <v/>
      </c>
      <c r="AB2134" s="104" t="e">
        <f>IF(Z2134&gt;0,((IF(OR(D2134="DF",D2134="RA")=TRUE,EXP(VLOOKUP(D2134,'Species Codes'!B:I,8,0)+VLOOKUP(D2134,'Species Codes'!B:J,9,0)*(LN((E2134*2.54)))),IF(OR(D2134="PY",D2134="RC",D2134="WH",D2134="NF")=TRUE,VLOOKUP(D2134,'Species Codes'!B:I,8,0)+VLOOKUP(D2134,'Species Codes'!B:J,9,0)*((E2134*2.54)^2)*(I2134*0.3048),IF(OR(D2134="MD",D2134="BM",D2134="GA")=TRUE,((VLOOKUP(D2134,'Species Codes'!B:I,8,0)*(((((E2134*2.54)+VLOOKUP(D2134,'Species Codes'!B:J,9,0))/VLOOKUP(D2134,'Species Codes'!B:K,10,0))^VLOOKUP(D2134,'Species Codes'!B:L,11,0))*((I2134*0.3048)^VLOOKUP(D2134,'Species Codes'!B:M,12,0))))-(VLOOKUP(D2134,'Species Codes'!B:I,8,0)*((((E2134*2.54)^VLOOKUP(D2134,'Species Codes'!B:L,11,0))*((I2134*0.3048)^VLOOKUP(D2134,'Species Codes'!B:M,12,0))))))*35.3*VLOOKUP(D2134,'Species Codes'!B:G,6,0)/2.2046,VLOOKUP(D2134,'Species Codes'!B:I,8,0)+VLOOKUP(D2134,'Species Codes'!B:J,9,0)*(((E2134*2.54)/100)^2)*(I2134*0.3048)))))*0.0011023),0)</f>
        <v>#N/A</v>
      </c>
      <c r="AC2134" s="104" t="e">
        <f>IF(Z2134&gt;0,((IF(OR(D2134="RA",D2134="OA",D2134="OT",D2134="UN",D2134="PC"),EXP(VLOOKUP(D2134,'Species Codes'!B:O,14,0)+VLOOKUP(D2134,'Species Codes'!B:P,15,0)*LN((E2134*2.54)))-EXP(VLOOKUP(D2134,'Species Codes'!B:O,14,0)+VLOOKUP(D2134,'Species Codes'!B:P,15,0)*LN((E2134*2.54)))*(1/(VLOOKUP(D2134,'Species Codes'!B:Q,16,0)+VLOOKUP(D2134,'Species Codes'!B:R,17,0)*((E2134*2.54)^VLOOKUP(D2134,'Species Codes'!B:S,18,0)))),IF(OR(D2134="BM",D2134="MD",D2134="OA"),EXP(VLOOKUP(D2134,'Species Codes'!B:O,14,0)+VLOOKUP(D2134,'Species Codes'!B:P,15,0)*LN((E2134*2.54)))*(1-(1/(VLOOKUP(D2134,'Species Codes'!B:Q,16,0)+VLOOKUP(D2134,'Species Codes'!B:R,17,0)*((E2134*2.54)^VLOOKUP(D2134,'Species Codes'!B:S,18,0)))))/1000,IF(D2134="DF",EXP(VLOOKUP(D2134,'Species Codes'!B:O,14,0)+VLOOKUP(D2134,'Species Codes'!B:P,15,0)*LN((E2134*2.54))),VLOOKUP(D2134,'Species Codes'!B:O,14,0)+VLOOKUP(D2134,'Species Codes'!B:P,15,0)*(((E2134*2.54)/100)^2)*(I2134*0.3048)))))*0.0011023),0)</f>
        <v>#N/A</v>
      </c>
      <c r="AD2134" s="104" t="e">
        <f t="shared" si="922"/>
        <v>#N/A</v>
      </c>
      <c r="AE2134" s="104" t="e">
        <f t="shared" si="923"/>
        <v>#N/A</v>
      </c>
      <c r="AF2134" s="104" t="e">
        <f>IF(AND(VLOOKUP($D2134,Merchantability!$B:$C,2,0)="Yes",$E2134&gt;=VLOOKUP($D2134,Merchantability!$B:$D,3,0),$E2134&lt;=VLOOKUP($D2134,Merchantability!$B:$E,4,0)),AA2134,0)</f>
        <v>#N/A</v>
      </c>
      <c r="AG2134" s="104" t="e">
        <f>IF(AND(VLOOKUP($D2134,Merchantability!$B:$C,2,0)="Yes",$E2134&gt;=VLOOKUP($D2134,Merchantability!$B:$D,3,0),$E2134&lt;=VLOOKUP($D2134,Merchantability!$B:$E,4,0)),AB2134,0)</f>
        <v>#N/A</v>
      </c>
      <c r="AH2134" s="104" t="e">
        <f>IF(AND(VLOOKUP($D2134,Merchantability!$B:$C,2,0)="Yes",$E2134&gt;=VLOOKUP($D2134,Merchantability!$B:$D,3,0),$E2134&lt;=VLOOKUP($D2134,Merchantability!$B:$E,4,0)),AC2134,0)</f>
        <v>#N/A</v>
      </c>
      <c r="AI2134" s="104" t="e">
        <f t="shared" si="924"/>
        <v>#N/A</v>
      </c>
      <c r="AJ2134" s="104" t="e">
        <f t="shared" si="925"/>
        <v>#VALUE!</v>
      </c>
      <c r="AK2134" s="104" t="e">
        <f t="shared" si="926"/>
        <v>#N/A</v>
      </c>
      <c r="AL2134" s="104" t="e">
        <f t="shared" si="927"/>
        <v>#N/A</v>
      </c>
      <c r="AM2134" s="104" t="e">
        <f t="shared" si="928"/>
        <v>#N/A</v>
      </c>
      <c r="AN2134" s="104" t="e">
        <f t="shared" si="939"/>
        <v>#N/A</v>
      </c>
      <c r="AO2134" s="104" t="e">
        <f t="shared" si="940"/>
        <v>#N/A</v>
      </c>
      <c r="AP2134" s="104" t="e">
        <f t="shared" si="941"/>
        <v>#N/A</v>
      </c>
      <c r="AQ2134" s="104" t="e">
        <f t="shared" si="942"/>
        <v>#N/A</v>
      </c>
      <c r="AR2134" s="105" t="str">
        <f t="shared" si="934"/>
        <v/>
      </c>
      <c r="AS2134" s="105" t="str">
        <f t="shared" si="935"/>
        <v/>
      </c>
      <c r="AT2134" s="108" t="str">
        <f t="shared" si="936"/>
        <v/>
      </c>
      <c r="AU2134" s="108" t="str">
        <f t="shared" si="937"/>
        <v/>
      </c>
      <c r="AV2134" s="107" t="str">
        <f>IF(ISNUMBER(O2134),IF(VLOOKUP($A2134,Stand!C:J,8,FALSE)="Short",AT2134,AU2134),"")</f>
        <v/>
      </c>
      <c r="AW2134" s="109" t="str">
        <f t="shared" si="943"/>
        <v/>
      </c>
      <c r="AX2134" s="109" t="str">
        <f t="shared" si="944"/>
        <v/>
      </c>
      <c r="AY2134" s="112" t="str">
        <f>IF(ISNUMBER(O2134),IF(AND(VLOOKUP($D2134,Merchantability!$B:$C,2,0)="Yes",$E2134&gt;=VLOOKUP($D2134,Merchantability!$B:$D,3,0),$E2134&lt;=VLOOKUP($D2134,Merchantability!$B:$E,4,0)),(AV2134*O2134)*(1-$H2134/100),""),"")</f>
        <v/>
      </c>
      <c r="AZ2134" s="116"/>
      <c r="BA2134" s="116"/>
      <c r="BB2134" s="116"/>
      <c r="BE2134" s="62"/>
      <c r="BF2134" s="63"/>
    </row>
    <row r="2135" spans="1:58" ht="12.75" customHeight="1" x14ac:dyDescent="0.25">
      <c r="A2135" s="334"/>
      <c r="B2135" s="334"/>
      <c r="C2135" s="332"/>
      <c r="D2135" s="334"/>
      <c r="E2135" s="335"/>
      <c r="F2135" s="334"/>
      <c r="G2135" s="332"/>
      <c r="H2135" s="332"/>
      <c r="I2135" s="334"/>
      <c r="J2135" s="336"/>
      <c r="K2135" s="332"/>
      <c r="L2135" s="332"/>
      <c r="M2135" s="76"/>
      <c r="N2135" s="103" t="str">
        <f>IF(A2135="","",VLOOKUP(A2135,Stand!C:K,9,0))</f>
        <v/>
      </c>
      <c r="O2135" s="104" t="str">
        <f t="shared" si="929"/>
        <v/>
      </c>
      <c r="P2135" s="105" t="str">
        <f t="shared" si="930"/>
        <v/>
      </c>
      <c r="Q2135" s="105" t="str">
        <f t="shared" si="918"/>
        <v/>
      </c>
      <c r="R2135" s="103" t="str">
        <f t="shared" si="931"/>
        <v/>
      </c>
      <c r="S2135" s="103" t="str">
        <f t="shared" si="932"/>
        <v/>
      </c>
      <c r="T2135" s="106" t="str">
        <f t="shared" si="919"/>
        <v/>
      </c>
      <c r="U2135" s="106" t="str">
        <f t="shared" si="920"/>
        <v/>
      </c>
      <c r="V2135" s="106" t="str">
        <f t="shared" si="921"/>
        <v/>
      </c>
      <c r="W2135" s="105" t="str">
        <f t="shared" si="933"/>
        <v/>
      </c>
      <c r="X2135" s="104" t="str">
        <f t="shared" si="938"/>
        <v/>
      </c>
      <c r="Y2135" s="104" t="str">
        <f t="array" ref="Y2135">IFERROR(IF(ISNUMBER(O2135),IF(COUNT(IF(A2135=$A$2:$A$2427,IF(D2135=$D$2:$D$2427,IF($X$2:$X$2427&gt;0,1))))&gt;0,SUM(IF(A2135=$A$2:$A$2427,IF(D2135=$D$2:$D$2427,$X$2:$X$2427)))/COUNT(IF(A2135=$A$2:$A$2427,IF(D2135=$D$2:$D$2427,IF(ISNUMBER($X$2:$X$2427),1)))),0),""),0)</f>
        <v/>
      </c>
      <c r="Z2135" s="104" t="str">
        <f>IF(ISNUMBER(O2135),IF(I2135&gt;0,(10^(VLOOKUP(D2135,'Species Codes'!B:C,2,0)+VLOOKUP(D2135,'Species Codes'!B:D,3,0)*LOG(E2135)+VLOOKUP(D2135,'Species Codes'!B:E,4,0)*LOG(I2135))),0),"")</f>
        <v/>
      </c>
      <c r="AA2135" s="104" t="str">
        <f>IFERROR((VLOOKUP(D2135,'Species Codes'!B:G,6,0)*Z2135)/2000,"")</f>
        <v/>
      </c>
      <c r="AB2135" s="104" t="e">
        <f>IF(Z2135&gt;0,((IF(OR(D2135="DF",D2135="RA")=TRUE,EXP(VLOOKUP(D2135,'Species Codes'!B:I,8,0)+VLOOKUP(D2135,'Species Codes'!B:J,9,0)*(LN((E2135*2.54)))),IF(OR(D2135="PY",D2135="RC",D2135="WH",D2135="NF")=TRUE,VLOOKUP(D2135,'Species Codes'!B:I,8,0)+VLOOKUP(D2135,'Species Codes'!B:J,9,0)*((E2135*2.54)^2)*(I2135*0.3048),IF(OR(D2135="MD",D2135="BM",D2135="GA")=TRUE,((VLOOKUP(D2135,'Species Codes'!B:I,8,0)*(((((E2135*2.54)+VLOOKUP(D2135,'Species Codes'!B:J,9,0))/VLOOKUP(D2135,'Species Codes'!B:K,10,0))^VLOOKUP(D2135,'Species Codes'!B:L,11,0))*((I2135*0.3048)^VLOOKUP(D2135,'Species Codes'!B:M,12,0))))-(VLOOKUP(D2135,'Species Codes'!B:I,8,0)*((((E2135*2.54)^VLOOKUP(D2135,'Species Codes'!B:L,11,0))*((I2135*0.3048)^VLOOKUP(D2135,'Species Codes'!B:M,12,0))))))*35.3*VLOOKUP(D2135,'Species Codes'!B:G,6,0)/2.2046,VLOOKUP(D2135,'Species Codes'!B:I,8,0)+VLOOKUP(D2135,'Species Codes'!B:J,9,0)*(((E2135*2.54)/100)^2)*(I2135*0.3048)))))*0.0011023),0)</f>
        <v>#N/A</v>
      </c>
      <c r="AC2135" s="104" t="e">
        <f>IF(Z2135&gt;0,((IF(OR(D2135="RA",D2135="OA",D2135="OT",D2135="UN",D2135="PC"),EXP(VLOOKUP(D2135,'Species Codes'!B:O,14,0)+VLOOKUP(D2135,'Species Codes'!B:P,15,0)*LN((E2135*2.54)))-EXP(VLOOKUP(D2135,'Species Codes'!B:O,14,0)+VLOOKUP(D2135,'Species Codes'!B:P,15,0)*LN((E2135*2.54)))*(1/(VLOOKUP(D2135,'Species Codes'!B:Q,16,0)+VLOOKUP(D2135,'Species Codes'!B:R,17,0)*((E2135*2.54)^VLOOKUP(D2135,'Species Codes'!B:S,18,0)))),IF(OR(D2135="BM",D2135="MD",D2135="OA"),EXP(VLOOKUP(D2135,'Species Codes'!B:O,14,0)+VLOOKUP(D2135,'Species Codes'!B:P,15,0)*LN((E2135*2.54)))*(1-(1/(VLOOKUP(D2135,'Species Codes'!B:Q,16,0)+VLOOKUP(D2135,'Species Codes'!B:R,17,0)*((E2135*2.54)^VLOOKUP(D2135,'Species Codes'!B:S,18,0)))))/1000,IF(D2135="DF",EXP(VLOOKUP(D2135,'Species Codes'!B:O,14,0)+VLOOKUP(D2135,'Species Codes'!B:P,15,0)*LN((E2135*2.54))),VLOOKUP(D2135,'Species Codes'!B:O,14,0)+VLOOKUP(D2135,'Species Codes'!B:P,15,0)*(((E2135*2.54)/100)^2)*(I2135*0.3048)))))*0.0011023),0)</f>
        <v>#N/A</v>
      </c>
      <c r="AD2135" s="104" t="e">
        <f t="shared" si="922"/>
        <v>#N/A</v>
      </c>
      <c r="AE2135" s="104" t="e">
        <f t="shared" si="923"/>
        <v>#N/A</v>
      </c>
      <c r="AF2135" s="104" t="e">
        <f>IF(AND(VLOOKUP($D2135,Merchantability!$B:$C,2,0)="Yes",$E2135&gt;=VLOOKUP($D2135,Merchantability!$B:$D,3,0),$E2135&lt;=VLOOKUP($D2135,Merchantability!$B:$E,4,0)),AA2135,0)</f>
        <v>#N/A</v>
      </c>
      <c r="AG2135" s="104" t="e">
        <f>IF(AND(VLOOKUP($D2135,Merchantability!$B:$C,2,0)="Yes",$E2135&gt;=VLOOKUP($D2135,Merchantability!$B:$D,3,0),$E2135&lt;=VLOOKUP($D2135,Merchantability!$B:$E,4,0)),AB2135,0)</f>
        <v>#N/A</v>
      </c>
      <c r="AH2135" s="104" t="e">
        <f>IF(AND(VLOOKUP($D2135,Merchantability!$B:$C,2,0)="Yes",$E2135&gt;=VLOOKUP($D2135,Merchantability!$B:$D,3,0),$E2135&lt;=VLOOKUP($D2135,Merchantability!$B:$E,4,0)),AC2135,0)</f>
        <v>#N/A</v>
      </c>
      <c r="AI2135" s="104" t="e">
        <f t="shared" si="924"/>
        <v>#N/A</v>
      </c>
      <c r="AJ2135" s="104" t="e">
        <f t="shared" si="925"/>
        <v>#VALUE!</v>
      </c>
      <c r="AK2135" s="104" t="e">
        <f t="shared" si="926"/>
        <v>#N/A</v>
      </c>
      <c r="AL2135" s="104" t="e">
        <f t="shared" si="927"/>
        <v>#N/A</v>
      </c>
      <c r="AM2135" s="104" t="e">
        <f t="shared" si="928"/>
        <v>#N/A</v>
      </c>
      <c r="AN2135" s="104" t="e">
        <f t="shared" si="939"/>
        <v>#N/A</v>
      </c>
      <c r="AO2135" s="104" t="e">
        <f t="shared" si="940"/>
        <v>#N/A</v>
      </c>
      <c r="AP2135" s="104" t="e">
        <f t="shared" si="941"/>
        <v>#N/A</v>
      </c>
      <c r="AQ2135" s="104" t="e">
        <f t="shared" si="942"/>
        <v>#N/A</v>
      </c>
      <c r="AR2135" s="105" t="str">
        <f t="shared" si="934"/>
        <v/>
      </c>
      <c r="AS2135" s="105" t="str">
        <f t="shared" si="935"/>
        <v/>
      </c>
      <c r="AT2135" s="108" t="str">
        <f t="shared" si="936"/>
        <v/>
      </c>
      <c r="AU2135" s="108" t="str">
        <f t="shared" si="937"/>
        <v/>
      </c>
      <c r="AV2135" s="107" t="str">
        <f>IF(ISNUMBER(O2135),IF(VLOOKUP($A2135,Stand!C:J,8,FALSE)="Short",AT2135,AU2135),"")</f>
        <v/>
      </c>
      <c r="AW2135" s="109" t="str">
        <f t="shared" si="943"/>
        <v/>
      </c>
      <c r="AX2135" s="109" t="str">
        <f t="shared" si="944"/>
        <v/>
      </c>
      <c r="AY2135" s="112" t="str">
        <f>IF(ISNUMBER(O2135),IF(AND(VLOOKUP($D2135,Merchantability!$B:$C,2,0)="Yes",$E2135&gt;=VLOOKUP($D2135,Merchantability!$B:$D,3,0),$E2135&lt;=VLOOKUP($D2135,Merchantability!$B:$E,4,0)),(AV2135*O2135)*(1-$H2135/100),""),"")</f>
        <v/>
      </c>
      <c r="AZ2135" s="116"/>
      <c r="BA2135" s="116"/>
      <c r="BB2135" s="116"/>
      <c r="BE2135" s="62"/>
      <c r="BF2135" s="63"/>
    </row>
    <row r="2136" spans="1:58" ht="12.75" customHeight="1" x14ac:dyDescent="0.25">
      <c r="A2136" s="334"/>
      <c r="B2136" s="334"/>
      <c r="C2136" s="332"/>
      <c r="D2136" s="334"/>
      <c r="E2136" s="335"/>
      <c r="F2136" s="334"/>
      <c r="G2136" s="332"/>
      <c r="H2136" s="332"/>
      <c r="I2136" s="334"/>
      <c r="J2136" s="336"/>
      <c r="K2136" s="332"/>
      <c r="L2136" s="332"/>
      <c r="M2136" s="76"/>
      <c r="N2136" s="103" t="str">
        <f>IF(A2136="","",VLOOKUP(A2136,Stand!C:K,9,0))</f>
        <v/>
      </c>
      <c r="O2136" s="104" t="str">
        <f t="shared" si="929"/>
        <v/>
      </c>
      <c r="P2136" s="105" t="str">
        <f t="shared" si="930"/>
        <v/>
      </c>
      <c r="Q2136" s="105" t="str">
        <f t="shared" si="918"/>
        <v/>
      </c>
      <c r="R2136" s="103" t="str">
        <f t="shared" si="931"/>
        <v/>
      </c>
      <c r="S2136" s="103" t="str">
        <f t="shared" si="932"/>
        <v/>
      </c>
      <c r="T2136" s="106" t="str">
        <f t="shared" si="919"/>
        <v/>
      </c>
      <c r="U2136" s="106" t="str">
        <f t="shared" si="920"/>
        <v/>
      </c>
      <c r="V2136" s="106" t="str">
        <f t="shared" si="921"/>
        <v/>
      </c>
      <c r="W2136" s="105" t="str">
        <f t="shared" si="933"/>
        <v/>
      </c>
      <c r="X2136" s="104" t="str">
        <f t="shared" si="938"/>
        <v/>
      </c>
      <c r="Y2136" s="104" t="str">
        <f t="array" ref="Y2136">IFERROR(IF(ISNUMBER(O2136),IF(COUNT(IF(A2136=$A$2:$A$2427,IF(D2136=$D$2:$D$2427,IF($X$2:$X$2427&gt;0,1))))&gt;0,SUM(IF(A2136=$A$2:$A$2427,IF(D2136=$D$2:$D$2427,$X$2:$X$2427)))/COUNT(IF(A2136=$A$2:$A$2427,IF(D2136=$D$2:$D$2427,IF(ISNUMBER($X$2:$X$2427),1)))),0),""),0)</f>
        <v/>
      </c>
      <c r="Z2136" s="104" t="str">
        <f>IF(ISNUMBER(O2136),IF(I2136&gt;0,(10^(VLOOKUP(D2136,'Species Codes'!B:C,2,0)+VLOOKUP(D2136,'Species Codes'!B:D,3,0)*LOG(E2136)+VLOOKUP(D2136,'Species Codes'!B:E,4,0)*LOG(I2136))),0),"")</f>
        <v/>
      </c>
      <c r="AA2136" s="104" t="str">
        <f>IFERROR((VLOOKUP(D2136,'Species Codes'!B:G,6,0)*Z2136)/2000,"")</f>
        <v/>
      </c>
      <c r="AB2136" s="104" t="e">
        <f>IF(Z2136&gt;0,((IF(OR(D2136="DF",D2136="RA")=TRUE,EXP(VLOOKUP(D2136,'Species Codes'!B:I,8,0)+VLOOKUP(D2136,'Species Codes'!B:J,9,0)*(LN((E2136*2.54)))),IF(OR(D2136="PY",D2136="RC",D2136="WH",D2136="NF")=TRUE,VLOOKUP(D2136,'Species Codes'!B:I,8,0)+VLOOKUP(D2136,'Species Codes'!B:J,9,0)*((E2136*2.54)^2)*(I2136*0.3048),IF(OR(D2136="MD",D2136="BM",D2136="GA")=TRUE,((VLOOKUP(D2136,'Species Codes'!B:I,8,0)*(((((E2136*2.54)+VLOOKUP(D2136,'Species Codes'!B:J,9,0))/VLOOKUP(D2136,'Species Codes'!B:K,10,0))^VLOOKUP(D2136,'Species Codes'!B:L,11,0))*((I2136*0.3048)^VLOOKUP(D2136,'Species Codes'!B:M,12,0))))-(VLOOKUP(D2136,'Species Codes'!B:I,8,0)*((((E2136*2.54)^VLOOKUP(D2136,'Species Codes'!B:L,11,0))*((I2136*0.3048)^VLOOKUP(D2136,'Species Codes'!B:M,12,0))))))*35.3*VLOOKUP(D2136,'Species Codes'!B:G,6,0)/2.2046,VLOOKUP(D2136,'Species Codes'!B:I,8,0)+VLOOKUP(D2136,'Species Codes'!B:J,9,0)*(((E2136*2.54)/100)^2)*(I2136*0.3048)))))*0.0011023),0)</f>
        <v>#N/A</v>
      </c>
      <c r="AC2136" s="104" t="e">
        <f>IF(Z2136&gt;0,((IF(OR(D2136="RA",D2136="OA",D2136="OT",D2136="UN",D2136="PC"),EXP(VLOOKUP(D2136,'Species Codes'!B:O,14,0)+VLOOKUP(D2136,'Species Codes'!B:P,15,0)*LN((E2136*2.54)))-EXP(VLOOKUP(D2136,'Species Codes'!B:O,14,0)+VLOOKUP(D2136,'Species Codes'!B:P,15,0)*LN((E2136*2.54)))*(1/(VLOOKUP(D2136,'Species Codes'!B:Q,16,0)+VLOOKUP(D2136,'Species Codes'!B:R,17,0)*((E2136*2.54)^VLOOKUP(D2136,'Species Codes'!B:S,18,0)))),IF(OR(D2136="BM",D2136="MD",D2136="OA"),EXP(VLOOKUP(D2136,'Species Codes'!B:O,14,0)+VLOOKUP(D2136,'Species Codes'!B:P,15,0)*LN((E2136*2.54)))*(1-(1/(VLOOKUP(D2136,'Species Codes'!B:Q,16,0)+VLOOKUP(D2136,'Species Codes'!B:R,17,0)*((E2136*2.54)^VLOOKUP(D2136,'Species Codes'!B:S,18,0)))))/1000,IF(D2136="DF",EXP(VLOOKUP(D2136,'Species Codes'!B:O,14,0)+VLOOKUP(D2136,'Species Codes'!B:P,15,0)*LN((E2136*2.54))),VLOOKUP(D2136,'Species Codes'!B:O,14,0)+VLOOKUP(D2136,'Species Codes'!B:P,15,0)*(((E2136*2.54)/100)^2)*(I2136*0.3048)))))*0.0011023),0)</f>
        <v>#N/A</v>
      </c>
      <c r="AD2136" s="104" t="e">
        <f t="shared" si="922"/>
        <v>#N/A</v>
      </c>
      <c r="AE2136" s="104" t="e">
        <f t="shared" si="923"/>
        <v>#N/A</v>
      </c>
      <c r="AF2136" s="104" t="e">
        <f>IF(AND(VLOOKUP($D2136,Merchantability!$B:$C,2,0)="Yes",$E2136&gt;=VLOOKUP($D2136,Merchantability!$B:$D,3,0),$E2136&lt;=VLOOKUP($D2136,Merchantability!$B:$E,4,0)),AA2136,0)</f>
        <v>#N/A</v>
      </c>
      <c r="AG2136" s="104" t="e">
        <f>IF(AND(VLOOKUP($D2136,Merchantability!$B:$C,2,0)="Yes",$E2136&gt;=VLOOKUP($D2136,Merchantability!$B:$D,3,0),$E2136&lt;=VLOOKUP($D2136,Merchantability!$B:$E,4,0)),AB2136,0)</f>
        <v>#N/A</v>
      </c>
      <c r="AH2136" s="104" t="e">
        <f>IF(AND(VLOOKUP($D2136,Merchantability!$B:$C,2,0)="Yes",$E2136&gt;=VLOOKUP($D2136,Merchantability!$B:$D,3,0),$E2136&lt;=VLOOKUP($D2136,Merchantability!$B:$E,4,0)),AC2136,0)</f>
        <v>#N/A</v>
      </c>
      <c r="AI2136" s="104" t="e">
        <f t="shared" si="924"/>
        <v>#N/A</v>
      </c>
      <c r="AJ2136" s="104" t="e">
        <f t="shared" si="925"/>
        <v>#VALUE!</v>
      </c>
      <c r="AK2136" s="104" t="e">
        <f t="shared" si="926"/>
        <v>#N/A</v>
      </c>
      <c r="AL2136" s="104" t="e">
        <f t="shared" si="927"/>
        <v>#N/A</v>
      </c>
      <c r="AM2136" s="104" t="e">
        <f t="shared" si="928"/>
        <v>#N/A</v>
      </c>
      <c r="AN2136" s="104" t="e">
        <f t="shared" si="939"/>
        <v>#N/A</v>
      </c>
      <c r="AO2136" s="104" t="e">
        <f t="shared" si="940"/>
        <v>#N/A</v>
      </c>
      <c r="AP2136" s="104" t="e">
        <f t="shared" si="941"/>
        <v>#N/A</v>
      </c>
      <c r="AQ2136" s="104" t="e">
        <f t="shared" si="942"/>
        <v>#N/A</v>
      </c>
      <c r="AR2136" s="105" t="str">
        <f t="shared" si="934"/>
        <v/>
      </c>
      <c r="AS2136" s="105" t="str">
        <f t="shared" si="935"/>
        <v/>
      </c>
      <c r="AT2136" s="108" t="str">
        <f t="shared" si="936"/>
        <v/>
      </c>
      <c r="AU2136" s="108" t="str">
        <f t="shared" si="937"/>
        <v/>
      </c>
      <c r="AV2136" s="107" t="str">
        <f>IF(ISNUMBER(O2136),IF(VLOOKUP($A2136,Stand!C:J,8,FALSE)="Short",AT2136,AU2136),"")</f>
        <v/>
      </c>
      <c r="AW2136" s="109" t="str">
        <f t="shared" si="943"/>
        <v/>
      </c>
      <c r="AX2136" s="109" t="str">
        <f t="shared" si="944"/>
        <v/>
      </c>
      <c r="AY2136" s="112" t="str">
        <f>IF(ISNUMBER(O2136),IF(AND(VLOOKUP($D2136,Merchantability!$B:$C,2,0)="Yes",$E2136&gt;=VLOOKUP($D2136,Merchantability!$B:$D,3,0),$E2136&lt;=VLOOKUP($D2136,Merchantability!$B:$E,4,0)),(AV2136*O2136)*(1-$H2136/100),""),"")</f>
        <v/>
      </c>
      <c r="AZ2136" s="116"/>
      <c r="BA2136" s="116"/>
      <c r="BB2136" s="116"/>
      <c r="BE2136" s="62"/>
      <c r="BF2136" s="63"/>
    </row>
    <row r="2137" spans="1:58" ht="12.75" customHeight="1" x14ac:dyDescent="0.25">
      <c r="A2137" s="334"/>
      <c r="B2137" s="334"/>
      <c r="C2137" s="332"/>
      <c r="D2137" s="334"/>
      <c r="E2137" s="335"/>
      <c r="F2137" s="334"/>
      <c r="G2137" s="332"/>
      <c r="H2137" s="332"/>
      <c r="I2137" s="334"/>
      <c r="J2137" s="336"/>
      <c r="K2137" s="332"/>
      <c r="L2137" s="332"/>
      <c r="M2137" s="76"/>
      <c r="N2137" s="103" t="str">
        <f>IF(A2137="","",VLOOKUP(A2137,Stand!C:K,9,0))</f>
        <v/>
      </c>
      <c r="O2137" s="104" t="str">
        <f t="shared" si="929"/>
        <v/>
      </c>
      <c r="P2137" s="105" t="str">
        <f t="shared" si="930"/>
        <v/>
      </c>
      <c r="Q2137" s="105" t="str">
        <f t="shared" si="918"/>
        <v/>
      </c>
      <c r="R2137" s="103" t="str">
        <f t="shared" si="931"/>
        <v/>
      </c>
      <c r="S2137" s="103" t="str">
        <f t="shared" si="932"/>
        <v/>
      </c>
      <c r="T2137" s="106" t="str">
        <f t="shared" si="919"/>
        <v/>
      </c>
      <c r="U2137" s="106" t="str">
        <f t="shared" si="920"/>
        <v/>
      </c>
      <c r="V2137" s="106" t="str">
        <f t="shared" si="921"/>
        <v/>
      </c>
      <c r="W2137" s="105" t="str">
        <f t="shared" si="933"/>
        <v/>
      </c>
      <c r="X2137" s="104" t="str">
        <f t="shared" si="938"/>
        <v/>
      </c>
      <c r="Y2137" s="104" t="str">
        <f t="array" ref="Y2137">IFERROR(IF(ISNUMBER(O2137),IF(COUNT(IF(A2137=$A$2:$A$2427,IF(D2137=$D$2:$D$2427,IF($X$2:$X$2427&gt;0,1))))&gt;0,SUM(IF(A2137=$A$2:$A$2427,IF(D2137=$D$2:$D$2427,$X$2:$X$2427)))/COUNT(IF(A2137=$A$2:$A$2427,IF(D2137=$D$2:$D$2427,IF(ISNUMBER($X$2:$X$2427),1)))),0),""),0)</f>
        <v/>
      </c>
      <c r="Z2137" s="104" t="str">
        <f>IF(ISNUMBER(O2137),IF(I2137&gt;0,(10^(VLOOKUP(D2137,'Species Codes'!B:C,2,0)+VLOOKUP(D2137,'Species Codes'!B:D,3,0)*LOG(E2137)+VLOOKUP(D2137,'Species Codes'!B:E,4,0)*LOG(I2137))),0),"")</f>
        <v/>
      </c>
      <c r="AA2137" s="104" t="str">
        <f>IFERROR((VLOOKUP(D2137,'Species Codes'!B:G,6,0)*Z2137)/2000,"")</f>
        <v/>
      </c>
      <c r="AB2137" s="104" t="e">
        <f>IF(Z2137&gt;0,((IF(OR(D2137="DF",D2137="RA")=TRUE,EXP(VLOOKUP(D2137,'Species Codes'!B:I,8,0)+VLOOKUP(D2137,'Species Codes'!B:J,9,0)*(LN((E2137*2.54)))),IF(OR(D2137="PY",D2137="RC",D2137="WH",D2137="NF")=TRUE,VLOOKUP(D2137,'Species Codes'!B:I,8,0)+VLOOKUP(D2137,'Species Codes'!B:J,9,0)*((E2137*2.54)^2)*(I2137*0.3048),IF(OR(D2137="MD",D2137="BM",D2137="GA")=TRUE,((VLOOKUP(D2137,'Species Codes'!B:I,8,0)*(((((E2137*2.54)+VLOOKUP(D2137,'Species Codes'!B:J,9,0))/VLOOKUP(D2137,'Species Codes'!B:K,10,0))^VLOOKUP(D2137,'Species Codes'!B:L,11,0))*((I2137*0.3048)^VLOOKUP(D2137,'Species Codes'!B:M,12,0))))-(VLOOKUP(D2137,'Species Codes'!B:I,8,0)*((((E2137*2.54)^VLOOKUP(D2137,'Species Codes'!B:L,11,0))*((I2137*0.3048)^VLOOKUP(D2137,'Species Codes'!B:M,12,0))))))*35.3*VLOOKUP(D2137,'Species Codes'!B:G,6,0)/2.2046,VLOOKUP(D2137,'Species Codes'!B:I,8,0)+VLOOKUP(D2137,'Species Codes'!B:J,9,0)*(((E2137*2.54)/100)^2)*(I2137*0.3048)))))*0.0011023),0)</f>
        <v>#N/A</v>
      </c>
      <c r="AC2137" s="104" t="e">
        <f>IF(Z2137&gt;0,((IF(OR(D2137="RA",D2137="OA",D2137="OT",D2137="UN",D2137="PC"),EXP(VLOOKUP(D2137,'Species Codes'!B:O,14,0)+VLOOKUP(D2137,'Species Codes'!B:P,15,0)*LN((E2137*2.54)))-EXP(VLOOKUP(D2137,'Species Codes'!B:O,14,0)+VLOOKUP(D2137,'Species Codes'!B:P,15,0)*LN((E2137*2.54)))*(1/(VLOOKUP(D2137,'Species Codes'!B:Q,16,0)+VLOOKUP(D2137,'Species Codes'!B:R,17,0)*((E2137*2.54)^VLOOKUP(D2137,'Species Codes'!B:S,18,0)))),IF(OR(D2137="BM",D2137="MD",D2137="OA"),EXP(VLOOKUP(D2137,'Species Codes'!B:O,14,0)+VLOOKUP(D2137,'Species Codes'!B:P,15,0)*LN((E2137*2.54)))*(1-(1/(VLOOKUP(D2137,'Species Codes'!B:Q,16,0)+VLOOKUP(D2137,'Species Codes'!B:R,17,0)*((E2137*2.54)^VLOOKUP(D2137,'Species Codes'!B:S,18,0)))))/1000,IF(D2137="DF",EXP(VLOOKUP(D2137,'Species Codes'!B:O,14,0)+VLOOKUP(D2137,'Species Codes'!B:P,15,0)*LN((E2137*2.54))),VLOOKUP(D2137,'Species Codes'!B:O,14,0)+VLOOKUP(D2137,'Species Codes'!B:P,15,0)*(((E2137*2.54)/100)^2)*(I2137*0.3048)))))*0.0011023),0)</f>
        <v>#N/A</v>
      </c>
      <c r="AD2137" s="104" t="e">
        <f t="shared" si="922"/>
        <v>#N/A</v>
      </c>
      <c r="AE2137" s="104" t="e">
        <f t="shared" si="923"/>
        <v>#N/A</v>
      </c>
      <c r="AF2137" s="104" t="e">
        <f>IF(AND(VLOOKUP($D2137,Merchantability!$B:$C,2,0)="Yes",$E2137&gt;=VLOOKUP($D2137,Merchantability!$B:$D,3,0),$E2137&lt;=VLOOKUP($D2137,Merchantability!$B:$E,4,0)),AA2137,0)</f>
        <v>#N/A</v>
      </c>
      <c r="AG2137" s="104" t="e">
        <f>IF(AND(VLOOKUP($D2137,Merchantability!$B:$C,2,0)="Yes",$E2137&gt;=VLOOKUP($D2137,Merchantability!$B:$D,3,0),$E2137&lt;=VLOOKUP($D2137,Merchantability!$B:$E,4,0)),AB2137,0)</f>
        <v>#N/A</v>
      </c>
      <c r="AH2137" s="104" t="e">
        <f>IF(AND(VLOOKUP($D2137,Merchantability!$B:$C,2,0)="Yes",$E2137&gt;=VLOOKUP($D2137,Merchantability!$B:$D,3,0),$E2137&lt;=VLOOKUP($D2137,Merchantability!$B:$E,4,0)),AC2137,0)</f>
        <v>#N/A</v>
      </c>
      <c r="AI2137" s="104" t="e">
        <f t="shared" si="924"/>
        <v>#N/A</v>
      </c>
      <c r="AJ2137" s="104" t="e">
        <f t="shared" si="925"/>
        <v>#VALUE!</v>
      </c>
      <c r="AK2137" s="104" t="e">
        <f t="shared" si="926"/>
        <v>#N/A</v>
      </c>
      <c r="AL2137" s="104" t="e">
        <f t="shared" si="927"/>
        <v>#N/A</v>
      </c>
      <c r="AM2137" s="104" t="e">
        <f t="shared" si="928"/>
        <v>#N/A</v>
      </c>
      <c r="AN2137" s="104" t="e">
        <f t="shared" si="939"/>
        <v>#N/A</v>
      </c>
      <c r="AO2137" s="104" t="e">
        <f t="shared" si="940"/>
        <v>#N/A</v>
      </c>
      <c r="AP2137" s="104" t="e">
        <f t="shared" si="941"/>
        <v>#N/A</v>
      </c>
      <c r="AQ2137" s="104" t="e">
        <f t="shared" si="942"/>
        <v>#N/A</v>
      </c>
      <c r="AR2137" s="105" t="str">
        <f t="shared" si="934"/>
        <v/>
      </c>
      <c r="AS2137" s="105" t="str">
        <f t="shared" si="935"/>
        <v/>
      </c>
      <c r="AT2137" s="108" t="str">
        <f t="shared" si="936"/>
        <v/>
      </c>
      <c r="AU2137" s="108" t="str">
        <f t="shared" si="937"/>
        <v/>
      </c>
      <c r="AV2137" s="107" t="str">
        <f>IF(ISNUMBER(O2137),IF(VLOOKUP($A2137,Stand!C:J,8,FALSE)="Short",AT2137,AU2137),"")</f>
        <v/>
      </c>
      <c r="AW2137" s="109" t="str">
        <f t="shared" si="943"/>
        <v/>
      </c>
      <c r="AX2137" s="109" t="str">
        <f t="shared" si="944"/>
        <v/>
      </c>
      <c r="AY2137" s="112" t="str">
        <f>IF(ISNUMBER(O2137),IF(AND(VLOOKUP($D2137,Merchantability!$B:$C,2,0)="Yes",$E2137&gt;=VLOOKUP($D2137,Merchantability!$B:$D,3,0),$E2137&lt;=VLOOKUP($D2137,Merchantability!$B:$E,4,0)),(AV2137*O2137)*(1-$H2137/100),""),"")</f>
        <v/>
      </c>
      <c r="AZ2137" s="116"/>
      <c r="BA2137" s="116"/>
      <c r="BB2137" s="116"/>
      <c r="BE2137" s="62"/>
      <c r="BF2137" s="63"/>
    </row>
    <row r="2138" spans="1:58" ht="12.75" customHeight="1" x14ac:dyDescent="0.25">
      <c r="A2138" s="334"/>
      <c r="B2138" s="334"/>
      <c r="C2138" s="332"/>
      <c r="D2138" s="334"/>
      <c r="E2138" s="335"/>
      <c r="F2138" s="334"/>
      <c r="G2138" s="332"/>
      <c r="H2138" s="332"/>
      <c r="I2138" s="334"/>
      <c r="J2138" s="336"/>
      <c r="K2138" s="332"/>
      <c r="L2138" s="332"/>
      <c r="M2138" s="76"/>
      <c r="N2138" s="103" t="str">
        <f>IF(A2138="","",VLOOKUP(A2138,Stand!C:K,9,0))</f>
        <v/>
      </c>
      <c r="O2138" s="104" t="str">
        <f t="shared" si="929"/>
        <v/>
      </c>
      <c r="P2138" s="105" t="str">
        <f t="shared" si="930"/>
        <v/>
      </c>
      <c r="Q2138" s="105" t="str">
        <f t="shared" si="918"/>
        <v/>
      </c>
      <c r="R2138" s="103" t="str">
        <f t="shared" si="931"/>
        <v/>
      </c>
      <c r="S2138" s="103" t="str">
        <f t="shared" si="932"/>
        <v/>
      </c>
      <c r="T2138" s="106" t="str">
        <f t="shared" si="919"/>
        <v/>
      </c>
      <c r="U2138" s="106" t="str">
        <f t="shared" si="920"/>
        <v/>
      </c>
      <c r="V2138" s="106" t="str">
        <f t="shared" si="921"/>
        <v/>
      </c>
      <c r="W2138" s="105" t="str">
        <f t="shared" si="933"/>
        <v/>
      </c>
      <c r="X2138" s="104" t="str">
        <f t="shared" si="938"/>
        <v/>
      </c>
      <c r="Y2138" s="104" t="str">
        <f t="array" ref="Y2138">IFERROR(IF(ISNUMBER(O2138),IF(COUNT(IF(A2138=$A$2:$A$2427,IF(D2138=$D$2:$D$2427,IF($X$2:$X$2427&gt;0,1))))&gt;0,SUM(IF(A2138=$A$2:$A$2427,IF(D2138=$D$2:$D$2427,$X$2:$X$2427)))/COUNT(IF(A2138=$A$2:$A$2427,IF(D2138=$D$2:$D$2427,IF(ISNUMBER($X$2:$X$2427),1)))),0),""),0)</f>
        <v/>
      </c>
      <c r="Z2138" s="104" t="str">
        <f>IF(ISNUMBER(O2138),IF(I2138&gt;0,(10^(VLOOKUP(D2138,'Species Codes'!B:C,2,0)+VLOOKUP(D2138,'Species Codes'!B:D,3,0)*LOG(E2138)+VLOOKUP(D2138,'Species Codes'!B:E,4,0)*LOG(I2138))),0),"")</f>
        <v/>
      </c>
      <c r="AA2138" s="104" t="str">
        <f>IFERROR((VLOOKUP(D2138,'Species Codes'!B:G,6,0)*Z2138)/2000,"")</f>
        <v/>
      </c>
      <c r="AB2138" s="104" t="e">
        <f>IF(Z2138&gt;0,((IF(OR(D2138="DF",D2138="RA")=TRUE,EXP(VLOOKUP(D2138,'Species Codes'!B:I,8,0)+VLOOKUP(D2138,'Species Codes'!B:J,9,0)*(LN((E2138*2.54)))),IF(OR(D2138="PY",D2138="RC",D2138="WH",D2138="NF")=TRUE,VLOOKUP(D2138,'Species Codes'!B:I,8,0)+VLOOKUP(D2138,'Species Codes'!B:J,9,0)*((E2138*2.54)^2)*(I2138*0.3048),IF(OR(D2138="MD",D2138="BM",D2138="GA")=TRUE,((VLOOKUP(D2138,'Species Codes'!B:I,8,0)*(((((E2138*2.54)+VLOOKUP(D2138,'Species Codes'!B:J,9,0))/VLOOKUP(D2138,'Species Codes'!B:K,10,0))^VLOOKUP(D2138,'Species Codes'!B:L,11,0))*((I2138*0.3048)^VLOOKUP(D2138,'Species Codes'!B:M,12,0))))-(VLOOKUP(D2138,'Species Codes'!B:I,8,0)*((((E2138*2.54)^VLOOKUP(D2138,'Species Codes'!B:L,11,0))*((I2138*0.3048)^VLOOKUP(D2138,'Species Codes'!B:M,12,0))))))*35.3*VLOOKUP(D2138,'Species Codes'!B:G,6,0)/2.2046,VLOOKUP(D2138,'Species Codes'!B:I,8,0)+VLOOKUP(D2138,'Species Codes'!B:J,9,0)*(((E2138*2.54)/100)^2)*(I2138*0.3048)))))*0.0011023),0)</f>
        <v>#N/A</v>
      </c>
      <c r="AC2138" s="104" t="e">
        <f>IF(Z2138&gt;0,((IF(OR(D2138="RA",D2138="OA",D2138="OT",D2138="UN",D2138="PC"),EXP(VLOOKUP(D2138,'Species Codes'!B:O,14,0)+VLOOKUP(D2138,'Species Codes'!B:P,15,0)*LN((E2138*2.54)))-EXP(VLOOKUP(D2138,'Species Codes'!B:O,14,0)+VLOOKUP(D2138,'Species Codes'!B:P,15,0)*LN((E2138*2.54)))*(1/(VLOOKUP(D2138,'Species Codes'!B:Q,16,0)+VLOOKUP(D2138,'Species Codes'!B:R,17,0)*((E2138*2.54)^VLOOKUP(D2138,'Species Codes'!B:S,18,0)))),IF(OR(D2138="BM",D2138="MD",D2138="OA"),EXP(VLOOKUP(D2138,'Species Codes'!B:O,14,0)+VLOOKUP(D2138,'Species Codes'!B:P,15,0)*LN((E2138*2.54)))*(1-(1/(VLOOKUP(D2138,'Species Codes'!B:Q,16,0)+VLOOKUP(D2138,'Species Codes'!B:R,17,0)*((E2138*2.54)^VLOOKUP(D2138,'Species Codes'!B:S,18,0)))))/1000,IF(D2138="DF",EXP(VLOOKUP(D2138,'Species Codes'!B:O,14,0)+VLOOKUP(D2138,'Species Codes'!B:P,15,0)*LN((E2138*2.54))),VLOOKUP(D2138,'Species Codes'!B:O,14,0)+VLOOKUP(D2138,'Species Codes'!B:P,15,0)*(((E2138*2.54)/100)^2)*(I2138*0.3048)))))*0.0011023),0)</f>
        <v>#N/A</v>
      </c>
      <c r="AD2138" s="104" t="e">
        <f t="shared" si="922"/>
        <v>#N/A</v>
      </c>
      <c r="AE2138" s="104" t="e">
        <f t="shared" si="923"/>
        <v>#N/A</v>
      </c>
      <c r="AF2138" s="104" t="e">
        <f>IF(AND(VLOOKUP($D2138,Merchantability!$B:$C,2,0)="Yes",$E2138&gt;=VLOOKUP($D2138,Merchantability!$B:$D,3,0),$E2138&lt;=VLOOKUP($D2138,Merchantability!$B:$E,4,0)),AA2138,0)</f>
        <v>#N/A</v>
      </c>
      <c r="AG2138" s="104" t="e">
        <f>IF(AND(VLOOKUP($D2138,Merchantability!$B:$C,2,0)="Yes",$E2138&gt;=VLOOKUP($D2138,Merchantability!$B:$D,3,0),$E2138&lt;=VLOOKUP($D2138,Merchantability!$B:$E,4,0)),AB2138,0)</f>
        <v>#N/A</v>
      </c>
      <c r="AH2138" s="104" t="e">
        <f>IF(AND(VLOOKUP($D2138,Merchantability!$B:$C,2,0)="Yes",$E2138&gt;=VLOOKUP($D2138,Merchantability!$B:$D,3,0),$E2138&lt;=VLOOKUP($D2138,Merchantability!$B:$E,4,0)),AC2138,0)</f>
        <v>#N/A</v>
      </c>
      <c r="AI2138" s="104" t="e">
        <f t="shared" si="924"/>
        <v>#N/A</v>
      </c>
      <c r="AJ2138" s="104" t="e">
        <f t="shared" si="925"/>
        <v>#VALUE!</v>
      </c>
      <c r="AK2138" s="104" t="e">
        <f t="shared" si="926"/>
        <v>#N/A</v>
      </c>
      <c r="AL2138" s="104" t="e">
        <f t="shared" si="927"/>
        <v>#N/A</v>
      </c>
      <c r="AM2138" s="104" t="e">
        <f t="shared" si="928"/>
        <v>#N/A</v>
      </c>
      <c r="AN2138" s="104" t="e">
        <f t="shared" si="939"/>
        <v>#N/A</v>
      </c>
      <c r="AO2138" s="104" t="e">
        <f t="shared" si="940"/>
        <v>#N/A</v>
      </c>
      <c r="AP2138" s="104" t="e">
        <f t="shared" si="941"/>
        <v>#N/A</v>
      </c>
      <c r="AQ2138" s="104" t="e">
        <f t="shared" si="942"/>
        <v>#N/A</v>
      </c>
      <c r="AR2138" s="105" t="str">
        <f t="shared" si="934"/>
        <v/>
      </c>
      <c r="AS2138" s="105" t="str">
        <f t="shared" si="935"/>
        <v/>
      </c>
      <c r="AT2138" s="108" t="str">
        <f t="shared" si="936"/>
        <v/>
      </c>
      <c r="AU2138" s="108" t="str">
        <f t="shared" si="937"/>
        <v/>
      </c>
      <c r="AV2138" s="107" t="str">
        <f>IF(ISNUMBER(O2138),IF(VLOOKUP($A2138,Stand!C:J,8,FALSE)="Short",AT2138,AU2138),"")</f>
        <v/>
      </c>
      <c r="AW2138" s="109" t="str">
        <f t="shared" si="943"/>
        <v/>
      </c>
      <c r="AX2138" s="109" t="str">
        <f t="shared" si="944"/>
        <v/>
      </c>
      <c r="AY2138" s="112" t="str">
        <f>IF(ISNUMBER(O2138),IF(AND(VLOOKUP($D2138,Merchantability!$B:$C,2,0)="Yes",$E2138&gt;=VLOOKUP($D2138,Merchantability!$B:$D,3,0),$E2138&lt;=VLOOKUP($D2138,Merchantability!$B:$E,4,0)),(AV2138*O2138)*(1-$H2138/100),""),"")</f>
        <v/>
      </c>
      <c r="AZ2138" s="116"/>
      <c r="BA2138" s="116"/>
      <c r="BB2138" s="116"/>
      <c r="BE2138" s="62"/>
      <c r="BF2138" s="63"/>
    </row>
    <row r="2139" spans="1:58" ht="12.75" customHeight="1" x14ac:dyDescent="0.25">
      <c r="A2139" s="334"/>
      <c r="B2139" s="334"/>
      <c r="C2139" s="332"/>
      <c r="D2139" s="334"/>
      <c r="E2139" s="335"/>
      <c r="F2139" s="334"/>
      <c r="G2139" s="332"/>
      <c r="H2139" s="332"/>
      <c r="I2139" s="334"/>
      <c r="J2139" s="336"/>
      <c r="K2139" s="332"/>
      <c r="L2139" s="332"/>
      <c r="M2139" s="76"/>
      <c r="N2139" s="103" t="str">
        <f>IF(A2139="","",VLOOKUP(A2139,Stand!C:K,9,0))</f>
        <v/>
      </c>
      <c r="O2139" s="104" t="str">
        <f t="shared" si="929"/>
        <v/>
      </c>
      <c r="P2139" s="105" t="str">
        <f t="shared" si="930"/>
        <v/>
      </c>
      <c r="Q2139" s="105" t="str">
        <f t="shared" si="918"/>
        <v/>
      </c>
      <c r="R2139" s="103" t="str">
        <f t="shared" si="931"/>
        <v/>
      </c>
      <c r="S2139" s="103" t="str">
        <f t="shared" si="932"/>
        <v/>
      </c>
      <c r="T2139" s="106" t="str">
        <f t="shared" si="919"/>
        <v/>
      </c>
      <c r="U2139" s="106" t="str">
        <f t="shared" si="920"/>
        <v/>
      </c>
      <c r="V2139" s="106" t="str">
        <f t="shared" si="921"/>
        <v/>
      </c>
      <c r="W2139" s="105" t="str">
        <f t="shared" si="933"/>
        <v/>
      </c>
      <c r="X2139" s="104" t="str">
        <f t="shared" si="938"/>
        <v/>
      </c>
      <c r="Y2139" s="104" t="str">
        <f t="array" ref="Y2139">IFERROR(IF(ISNUMBER(O2139),IF(COUNT(IF(A2139=$A$2:$A$2427,IF(D2139=$D$2:$D$2427,IF($X$2:$X$2427&gt;0,1))))&gt;0,SUM(IF(A2139=$A$2:$A$2427,IF(D2139=$D$2:$D$2427,$X$2:$X$2427)))/COUNT(IF(A2139=$A$2:$A$2427,IF(D2139=$D$2:$D$2427,IF(ISNUMBER($X$2:$X$2427),1)))),0),""),0)</f>
        <v/>
      </c>
      <c r="Z2139" s="104" t="str">
        <f>IF(ISNUMBER(O2139),IF(I2139&gt;0,(10^(VLOOKUP(D2139,'Species Codes'!B:C,2,0)+VLOOKUP(D2139,'Species Codes'!B:D,3,0)*LOG(E2139)+VLOOKUP(D2139,'Species Codes'!B:E,4,0)*LOG(I2139))),0),"")</f>
        <v/>
      </c>
      <c r="AA2139" s="104" t="str">
        <f>IFERROR((VLOOKUP(D2139,'Species Codes'!B:G,6,0)*Z2139)/2000,"")</f>
        <v/>
      </c>
      <c r="AB2139" s="104" t="e">
        <f>IF(Z2139&gt;0,((IF(OR(D2139="DF",D2139="RA")=TRUE,EXP(VLOOKUP(D2139,'Species Codes'!B:I,8,0)+VLOOKUP(D2139,'Species Codes'!B:J,9,0)*(LN((E2139*2.54)))),IF(OR(D2139="PY",D2139="RC",D2139="WH",D2139="NF")=TRUE,VLOOKUP(D2139,'Species Codes'!B:I,8,0)+VLOOKUP(D2139,'Species Codes'!B:J,9,0)*((E2139*2.54)^2)*(I2139*0.3048),IF(OR(D2139="MD",D2139="BM",D2139="GA")=TRUE,((VLOOKUP(D2139,'Species Codes'!B:I,8,0)*(((((E2139*2.54)+VLOOKUP(D2139,'Species Codes'!B:J,9,0))/VLOOKUP(D2139,'Species Codes'!B:K,10,0))^VLOOKUP(D2139,'Species Codes'!B:L,11,0))*((I2139*0.3048)^VLOOKUP(D2139,'Species Codes'!B:M,12,0))))-(VLOOKUP(D2139,'Species Codes'!B:I,8,0)*((((E2139*2.54)^VLOOKUP(D2139,'Species Codes'!B:L,11,0))*((I2139*0.3048)^VLOOKUP(D2139,'Species Codes'!B:M,12,0))))))*35.3*VLOOKUP(D2139,'Species Codes'!B:G,6,0)/2.2046,VLOOKUP(D2139,'Species Codes'!B:I,8,0)+VLOOKUP(D2139,'Species Codes'!B:J,9,0)*(((E2139*2.54)/100)^2)*(I2139*0.3048)))))*0.0011023),0)</f>
        <v>#N/A</v>
      </c>
      <c r="AC2139" s="104" t="e">
        <f>IF(Z2139&gt;0,((IF(OR(D2139="RA",D2139="OA",D2139="OT",D2139="UN",D2139="PC"),EXP(VLOOKUP(D2139,'Species Codes'!B:O,14,0)+VLOOKUP(D2139,'Species Codes'!B:P,15,0)*LN((E2139*2.54)))-EXP(VLOOKUP(D2139,'Species Codes'!B:O,14,0)+VLOOKUP(D2139,'Species Codes'!B:P,15,0)*LN((E2139*2.54)))*(1/(VLOOKUP(D2139,'Species Codes'!B:Q,16,0)+VLOOKUP(D2139,'Species Codes'!B:R,17,0)*((E2139*2.54)^VLOOKUP(D2139,'Species Codes'!B:S,18,0)))),IF(OR(D2139="BM",D2139="MD",D2139="OA"),EXP(VLOOKUP(D2139,'Species Codes'!B:O,14,0)+VLOOKUP(D2139,'Species Codes'!B:P,15,0)*LN((E2139*2.54)))*(1-(1/(VLOOKUP(D2139,'Species Codes'!B:Q,16,0)+VLOOKUP(D2139,'Species Codes'!B:R,17,0)*((E2139*2.54)^VLOOKUP(D2139,'Species Codes'!B:S,18,0)))))/1000,IF(D2139="DF",EXP(VLOOKUP(D2139,'Species Codes'!B:O,14,0)+VLOOKUP(D2139,'Species Codes'!B:P,15,0)*LN((E2139*2.54))),VLOOKUP(D2139,'Species Codes'!B:O,14,0)+VLOOKUP(D2139,'Species Codes'!B:P,15,0)*(((E2139*2.54)/100)^2)*(I2139*0.3048)))))*0.0011023),0)</f>
        <v>#N/A</v>
      </c>
      <c r="AD2139" s="104" t="e">
        <f t="shared" si="922"/>
        <v>#N/A</v>
      </c>
      <c r="AE2139" s="104" t="e">
        <f t="shared" si="923"/>
        <v>#N/A</v>
      </c>
      <c r="AF2139" s="104" t="e">
        <f>IF(AND(VLOOKUP($D2139,Merchantability!$B:$C,2,0)="Yes",$E2139&gt;=VLOOKUP($D2139,Merchantability!$B:$D,3,0),$E2139&lt;=VLOOKUP($D2139,Merchantability!$B:$E,4,0)),AA2139,0)</f>
        <v>#N/A</v>
      </c>
      <c r="AG2139" s="104" t="e">
        <f>IF(AND(VLOOKUP($D2139,Merchantability!$B:$C,2,0)="Yes",$E2139&gt;=VLOOKUP($D2139,Merchantability!$B:$D,3,0),$E2139&lt;=VLOOKUP($D2139,Merchantability!$B:$E,4,0)),AB2139,0)</f>
        <v>#N/A</v>
      </c>
      <c r="AH2139" s="104" t="e">
        <f>IF(AND(VLOOKUP($D2139,Merchantability!$B:$C,2,0)="Yes",$E2139&gt;=VLOOKUP($D2139,Merchantability!$B:$D,3,0),$E2139&lt;=VLOOKUP($D2139,Merchantability!$B:$E,4,0)),AC2139,0)</f>
        <v>#N/A</v>
      </c>
      <c r="AI2139" s="104" t="e">
        <f t="shared" si="924"/>
        <v>#N/A</v>
      </c>
      <c r="AJ2139" s="104" t="e">
        <f t="shared" si="925"/>
        <v>#VALUE!</v>
      </c>
      <c r="AK2139" s="104" t="e">
        <f t="shared" si="926"/>
        <v>#N/A</v>
      </c>
      <c r="AL2139" s="104" t="e">
        <f t="shared" si="927"/>
        <v>#N/A</v>
      </c>
      <c r="AM2139" s="104" t="e">
        <f t="shared" si="928"/>
        <v>#N/A</v>
      </c>
      <c r="AN2139" s="104" t="e">
        <f t="shared" si="939"/>
        <v>#N/A</v>
      </c>
      <c r="AO2139" s="104" t="e">
        <f t="shared" si="940"/>
        <v>#N/A</v>
      </c>
      <c r="AP2139" s="104" t="e">
        <f t="shared" si="941"/>
        <v>#N/A</v>
      </c>
      <c r="AQ2139" s="104" t="e">
        <f t="shared" si="942"/>
        <v>#N/A</v>
      </c>
      <c r="AR2139" s="105" t="str">
        <f t="shared" si="934"/>
        <v/>
      </c>
      <c r="AS2139" s="105" t="str">
        <f t="shared" si="935"/>
        <v/>
      </c>
      <c r="AT2139" s="108" t="str">
        <f t="shared" si="936"/>
        <v/>
      </c>
      <c r="AU2139" s="108" t="str">
        <f t="shared" si="937"/>
        <v/>
      </c>
      <c r="AV2139" s="107" t="str">
        <f>IF(ISNUMBER(O2139),IF(VLOOKUP($A2139,Stand!C:J,8,FALSE)="Short",AT2139,AU2139),"")</f>
        <v/>
      </c>
      <c r="AW2139" s="109" t="str">
        <f t="shared" si="943"/>
        <v/>
      </c>
      <c r="AX2139" s="109" t="str">
        <f t="shared" si="944"/>
        <v/>
      </c>
      <c r="AY2139" s="112" t="str">
        <f>IF(ISNUMBER(O2139),IF(AND(VLOOKUP($D2139,Merchantability!$B:$C,2,0)="Yes",$E2139&gt;=VLOOKUP($D2139,Merchantability!$B:$D,3,0),$E2139&lt;=VLOOKUP($D2139,Merchantability!$B:$E,4,0)),(AV2139*O2139)*(1-$H2139/100),""),"")</f>
        <v/>
      </c>
      <c r="AZ2139" s="116"/>
      <c r="BA2139" s="116"/>
      <c r="BB2139" s="116"/>
      <c r="BE2139" s="62"/>
      <c r="BF2139" s="63"/>
    </row>
    <row r="2140" spans="1:58" ht="12.75" customHeight="1" x14ac:dyDescent="0.25">
      <c r="A2140" s="334"/>
      <c r="B2140" s="334"/>
      <c r="C2140" s="332"/>
      <c r="D2140" s="334"/>
      <c r="E2140" s="335"/>
      <c r="F2140" s="334"/>
      <c r="G2140" s="332"/>
      <c r="H2140" s="332"/>
      <c r="I2140" s="334"/>
      <c r="J2140" s="336"/>
      <c r="K2140" s="332"/>
      <c r="L2140" s="332"/>
      <c r="M2140" s="76"/>
      <c r="N2140" s="103" t="str">
        <f>IF(A2140="","",VLOOKUP(A2140,Stand!C:K,9,0))</f>
        <v/>
      </c>
      <c r="O2140" s="104" t="str">
        <f t="shared" si="929"/>
        <v/>
      </c>
      <c r="P2140" s="105" t="str">
        <f t="shared" si="930"/>
        <v/>
      </c>
      <c r="Q2140" s="105" t="str">
        <f t="shared" si="918"/>
        <v/>
      </c>
      <c r="R2140" s="103" t="str">
        <f t="shared" si="931"/>
        <v/>
      </c>
      <c r="S2140" s="103" t="str">
        <f t="shared" si="932"/>
        <v/>
      </c>
      <c r="T2140" s="106" t="str">
        <f t="shared" si="919"/>
        <v/>
      </c>
      <c r="U2140" s="106" t="str">
        <f t="shared" si="920"/>
        <v/>
      </c>
      <c r="V2140" s="106" t="str">
        <f t="shared" si="921"/>
        <v/>
      </c>
      <c r="W2140" s="105" t="str">
        <f t="shared" si="933"/>
        <v/>
      </c>
      <c r="X2140" s="104" t="str">
        <f t="shared" si="938"/>
        <v/>
      </c>
      <c r="Y2140" s="104" t="str">
        <f t="array" ref="Y2140">IFERROR(IF(ISNUMBER(O2140),IF(COUNT(IF(A2140=$A$2:$A$2427,IF(D2140=$D$2:$D$2427,IF($X$2:$X$2427&gt;0,1))))&gt;0,SUM(IF(A2140=$A$2:$A$2427,IF(D2140=$D$2:$D$2427,$X$2:$X$2427)))/COUNT(IF(A2140=$A$2:$A$2427,IF(D2140=$D$2:$D$2427,IF(ISNUMBER($X$2:$X$2427),1)))),0),""),0)</f>
        <v/>
      </c>
      <c r="Z2140" s="104" t="str">
        <f>IF(ISNUMBER(O2140),IF(I2140&gt;0,(10^(VLOOKUP(D2140,'Species Codes'!B:C,2,0)+VLOOKUP(D2140,'Species Codes'!B:D,3,0)*LOG(E2140)+VLOOKUP(D2140,'Species Codes'!B:E,4,0)*LOG(I2140))),0),"")</f>
        <v/>
      </c>
      <c r="AA2140" s="104" t="str">
        <f>IFERROR((VLOOKUP(D2140,'Species Codes'!B:G,6,0)*Z2140)/2000,"")</f>
        <v/>
      </c>
      <c r="AB2140" s="104" t="e">
        <f>IF(Z2140&gt;0,((IF(OR(D2140="DF",D2140="RA")=TRUE,EXP(VLOOKUP(D2140,'Species Codes'!B:I,8,0)+VLOOKUP(D2140,'Species Codes'!B:J,9,0)*(LN((E2140*2.54)))),IF(OR(D2140="PY",D2140="RC",D2140="WH",D2140="NF")=TRUE,VLOOKUP(D2140,'Species Codes'!B:I,8,0)+VLOOKUP(D2140,'Species Codes'!B:J,9,0)*((E2140*2.54)^2)*(I2140*0.3048),IF(OR(D2140="MD",D2140="BM",D2140="GA")=TRUE,((VLOOKUP(D2140,'Species Codes'!B:I,8,0)*(((((E2140*2.54)+VLOOKUP(D2140,'Species Codes'!B:J,9,0))/VLOOKUP(D2140,'Species Codes'!B:K,10,0))^VLOOKUP(D2140,'Species Codes'!B:L,11,0))*((I2140*0.3048)^VLOOKUP(D2140,'Species Codes'!B:M,12,0))))-(VLOOKUP(D2140,'Species Codes'!B:I,8,0)*((((E2140*2.54)^VLOOKUP(D2140,'Species Codes'!B:L,11,0))*((I2140*0.3048)^VLOOKUP(D2140,'Species Codes'!B:M,12,0))))))*35.3*VLOOKUP(D2140,'Species Codes'!B:G,6,0)/2.2046,VLOOKUP(D2140,'Species Codes'!B:I,8,0)+VLOOKUP(D2140,'Species Codes'!B:J,9,0)*(((E2140*2.54)/100)^2)*(I2140*0.3048)))))*0.0011023),0)</f>
        <v>#N/A</v>
      </c>
      <c r="AC2140" s="104" t="e">
        <f>IF(Z2140&gt;0,((IF(OR(D2140="RA",D2140="OA",D2140="OT",D2140="UN",D2140="PC"),EXP(VLOOKUP(D2140,'Species Codes'!B:O,14,0)+VLOOKUP(D2140,'Species Codes'!B:P,15,0)*LN((E2140*2.54)))-EXP(VLOOKUP(D2140,'Species Codes'!B:O,14,0)+VLOOKUP(D2140,'Species Codes'!B:P,15,0)*LN((E2140*2.54)))*(1/(VLOOKUP(D2140,'Species Codes'!B:Q,16,0)+VLOOKUP(D2140,'Species Codes'!B:R,17,0)*((E2140*2.54)^VLOOKUP(D2140,'Species Codes'!B:S,18,0)))),IF(OR(D2140="BM",D2140="MD",D2140="OA"),EXP(VLOOKUP(D2140,'Species Codes'!B:O,14,0)+VLOOKUP(D2140,'Species Codes'!B:P,15,0)*LN((E2140*2.54)))*(1-(1/(VLOOKUP(D2140,'Species Codes'!B:Q,16,0)+VLOOKUP(D2140,'Species Codes'!B:R,17,0)*((E2140*2.54)^VLOOKUP(D2140,'Species Codes'!B:S,18,0)))))/1000,IF(D2140="DF",EXP(VLOOKUP(D2140,'Species Codes'!B:O,14,0)+VLOOKUP(D2140,'Species Codes'!B:P,15,0)*LN((E2140*2.54))),VLOOKUP(D2140,'Species Codes'!B:O,14,0)+VLOOKUP(D2140,'Species Codes'!B:P,15,0)*(((E2140*2.54)/100)^2)*(I2140*0.3048)))))*0.0011023),0)</f>
        <v>#N/A</v>
      </c>
      <c r="AD2140" s="104" t="e">
        <f t="shared" si="922"/>
        <v>#N/A</v>
      </c>
      <c r="AE2140" s="104" t="e">
        <f t="shared" si="923"/>
        <v>#N/A</v>
      </c>
      <c r="AF2140" s="104" t="e">
        <f>IF(AND(VLOOKUP($D2140,Merchantability!$B:$C,2,0)="Yes",$E2140&gt;=VLOOKUP($D2140,Merchantability!$B:$D,3,0),$E2140&lt;=VLOOKUP($D2140,Merchantability!$B:$E,4,0)),AA2140,0)</f>
        <v>#N/A</v>
      </c>
      <c r="AG2140" s="104" t="e">
        <f>IF(AND(VLOOKUP($D2140,Merchantability!$B:$C,2,0)="Yes",$E2140&gt;=VLOOKUP($D2140,Merchantability!$B:$D,3,0),$E2140&lt;=VLOOKUP($D2140,Merchantability!$B:$E,4,0)),AB2140,0)</f>
        <v>#N/A</v>
      </c>
      <c r="AH2140" s="104" t="e">
        <f>IF(AND(VLOOKUP($D2140,Merchantability!$B:$C,2,0)="Yes",$E2140&gt;=VLOOKUP($D2140,Merchantability!$B:$D,3,0),$E2140&lt;=VLOOKUP($D2140,Merchantability!$B:$E,4,0)),AC2140,0)</f>
        <v>#N/A</v>
      </c>
      <c r="AI2140" s="104" t="e">
        <f t="shared" si="924"/>
        <v>#N/A</v>
      </c>
      <c r="AJ2140" s="104" t="e">
        <f t="shared" si="925"/>
        <v>#VALUE!</v>
      </c>
      <c r="AK2140" s="104" t="e">
        <f t="shared" si="926"/>
        <v>#N/A</v>
      </c>
      <c r="AL2140" s="104" t="e">
        <f t="shared" si="927"/>
        <v>#N/A</v>
      </c>
      <c r="AM2140" s="104" t="e">
        <f t="shared" si="928"/>
        <v>#N/A</v>
      </c>
      <c r="AN2140" s="104" t="e">
        <f t="shared" si="939"/>
        <v>#N/A</v>
      </c>
      <c r="AO2140" s="104" t="e">
        <f t="shared" si="940"/>
        <v>#N/A</v>
      </c>
      <c r="AP2140" s="104" t="e">
        <f t="shared" si="941"/>
        <v>#N/A</v>
      </c>
      <c r="AQ2140" s="104" t="e">
        <f t="shared" si="942"/>
        <v>#N/A</v>
      </c>
      <c r="AR2140" s="105" t="str">
        <f t="shared" si="934"/>
        <v/>
      </c>
      <c r="AS2140" s="105" t="str">
        <f t="shared" si="935"/>
        <v/>
      </c>
      <c r="AT2140" s="108" t="str">
        <f t="shared" si="936"/>
        <v/>
      </c>
      <c r="AU2140" s="108" t="str">
        <f t="shared" si="937"/>
        <v/>
      </c>
      <c r="AV2140" s="107" t="str">
        <f>IF(ISNUMBER(O2140),IF(VLOOKUP($A2140,Stand!C:J,8,FALSE)="Short",AT2140,AU2140),"")</f>
        <v/>
      </c>
      <c r="AW2140" s="109" t="str">
        <f t="shared" si="943"/>
        <v/>
      </c>
      <c r="AX2140" s="109" t="str">
        <f t="shared" si="944"/>
        <v/>
      </c>
      <c r="AY2140" s="112" t="str">
        <f>IF(ISNUMBER(O2140),IF(AND(VLOOKUP($D2140,Merchantability!$B:$C,2,0)="Yes",$E2140&gt;=VLOOKUP($D2140,Merchantability!$B:$D,3,0),$E2140&lt;=VLOOKUP($D2140,Merchantability!$B:$E,4,0)),(AV2140*O2140)*(1-$H2140/100),""),"")</f>
        <v/>
      </c>
      <c r="AZ2140" s="116"/>
      <c r="BA2140" s="116"/>
      <c r="BB2140" s="116"/>
      <c r="BE2140" s="62"/>
      <c r="BF2140" s="63"/>
    </row>
    <row r="2141" spans="1:58" ht="12.75" customHeight="1" x14ac:dyDescent="0.25">
      <c r="A2141" s="334"/>
      <c r="B2141" s="334"/>
      <c r="C2141" s="332"/>
      <c r="D2141" s="334"/>
      <c r="E2141" s="335"/>
      <c r="F2141" s="334"/>
      <c r="G2141" s="332"/>
      <c r="H2141" s="332"/>
      <c r="I2141" s="334"/>
      <c r="J2141" s="336"/>
      <c r="K2141" s="332"/>
      <c r="L2141" s="332"/>
      <c r="M2141" s="76"/>
      <c r="N2141" s="103" t="str">
        <f>IF(A2141="","",VLOOKUP(A2141,Stand!C:K,9,0))</f>
        <v/>
      </c>
      <c r="O2141" s="104" t="str">
        <f t="shared" si="929"/>
        <v/>
      </c>
      <c r="P2141" s="105" t="str">
        <f t="shared" si="930"/>
        <v/>
      </c>
      <c r="Q2141" s="105" t="str">
        <f t="shared" ref="Q2141:Q2204" si="945">IF(AND(ISNUMBER(O2141),I2141&gt;0),I2141*O2141,"")</f>
        <v/>
      </c>
      <c r="R2141" s="103" t="str">
        <f t="shared" si="931"/>
        <v/>
      </c>
      <c r="S2141" s="103" t="str">
        <f t="shared" si="932"/>
        <v/>
      </c>
      <c r="T2141" s="106" t="str">
        <f t="shared" ref="T2141:T2204" si="946">IF(AND(ISNUMBER(O2141),J2141&gt;0),J2141/100,"")</f>
        <v/>
      </c>
      <c r="U2141" s="106" t="str">
        <f t="shared" ref="U2141:U2204" si="947">IF(AND(ISNUMBER(O2141),J2141&gt;0),T2141*O2141,"")</f>
        <v/>
      </c>
      <c r="V2141" s="106" t="str">
        <f t="shared" ref="V2141:V2204" si="948">IF(AND(ISNUMBER(O2141),I2141&gt;0),W2141*O2141,"")</f>
        <v/>
      </c>
      <c r="W2141" s="105" t="str">
        <f t="shared" si="933"/>
        <v/>
      </c>
      <c r="X2141" s="104" t="str">
        <f t="shared" si="938"/>
        <v/>
      </c>
      <c r="Y2141" s="104" t="str">
        <f t="array" ref="Y2141">IFERROR(IF(ISNUMBER(O2141),IF(COUNT(IF(A2141=$A$2:$A$2427,IF(D2141=$D$2:$D$2427,IF($X$2:$X$2427&gt;0,1))))&gt;0,SUM(IF(A2141=$A$2:$A$2427,IF(D2141=$D$2:$D$2427,$X$2:$X$2427)))/COUNT(IF(A2141=$A$2:$A$2427,IF(D2141=$D$2:$D$2427,IF(ISNUMBER($X$2:$X$2427),1)))),0),""),0)</f>
        <v/>
      </c>
      <c r="Z2141" s="104" t="str">
        <f>IF(ISNUMBER(O2141),IF(I2141&gt;0,(10^(VLOOKUP(D2141,'Species Codes'!B:C,2,0)+VLOOKUP(D2141,'Species Codes'!B:D,3,0)*LOG(E2141)+VLOOKUP(D2141,'Species Codes'!B:E,4,0)*LOG(I2141))),0),"")</f>
        <v/>
      </c>
      <c r="AA2141" s="104" t="str">
        <f>IFERROR((VLOOKUP(D2141,'Species Codes'!B:G,6,0)*Z2141)/2000,"")</f>
        <v/>
      </c>
      <c r="AB2141" s="104" t="e">
        <f>IF(Z2141&gt;0,((IF(OR(D2141="DF",D2141="RA")=TRUE,EXP(VLOOKUP(D2141,'Species Codes'!B:I,8,0)+VLOOKUP(D2141,'Species Codes'!B:J,9,0)*(LN((E2141*2.54)))),IF(OR(D2141="PY",D2141="RC",D2141="WH",D2141="NF")=TRUE,VLOOKUP(D2141,'Species Codes'!B:I,8,0)+VLOOKUP(D2141,'Species Codes'!B:J,9,0)*((E2141*2.54)^2)*(I2141*0.3048),IF(OR(D2141="MD",D2141="BM",D2141="GA")=TRUE,((VLOOKUP(D2141,'Species Codes'!B:I,8,0)*(((((E2141*2.54)+VLOOKUP(D2141,'Species Codes'!B:J,9,0))/VLOOKUP(D2141,'Species Codes'!B:K,10,0))^VLOOKUP(D2141,'Species Codes'!B:L,11,0))*((I2141*0.3048)^VLOOKUP(D2141,'Species Codes'!B:M,12,0))))-(VLOOKUP(D2141,'Species Codes'!B:I,8,0)*((((E2141*2.54)^VLOOKUP(D2141,'Species Codes'!B:L,11,0))*((I2141*0.3048)^VLOOKUP(D2141,'Species Codes'!B:M,12,0))))))*35.3*VLOOKUP(D2141,'Species Codes'!B:G,6,0)/2.2046,VLOOKUP(D2141,'Species Codes'!B:I,8,0)+VLOOKUP(D2141,'Species Codes'!B:J,9,0)*(((E2141*2.54)/100)^2)*(I2141*0.3048)))))*0.0011023),0)</f>
        <v>#N/A</v>
      </c>
      <c r="AC2141" s="104" t="e">
        <f>IF(Z2141&gt;0,((IF(OR(D2141="RA",D2141="OA",D2141="OT",D2141="UN",D2141="PC"),EXP(VLOOKUP(D2141,'Species Codes'!B:O,14,0)+VLOOKUP(D2141,'Species Codes'!B:P,15,0)*LN((E2141*2.54)))-EXP(VLOOKUP(D2141,'Species Codes'!B:O,14,0)+VLOOKUP(D2141,'Species Codes'!B:P,15,0)*LN((E2141*2.54)))*(1/(VLOOKUP(D2141,'Species Codes'!B:Q,16,0)+VLOOKUP(D2141,'Species Codes'!B:R,17,0)*((E2141*2.54)^VLOOKUP(D2141,'Species Codes'!B:S,18,0)))),IF(OR(D2141="BM",D2141="MD",D2141="OA"),EXP(VLOOKUP(D2141,'Species Codes'!B:O,14,0)+VLOOKUP(D2141,'Species Codes'!B:P,15,0)*LN((E2141*2.54)))*(1-(1/(VLOOKUP(D2141,'Species Codes'!B:Q,16,0)+VLOOKUP(D2141,'Species Codes'!B:R,17,0)*((E2141*2.54)^VLOOKUP(D2141,'Species Codes'!B:S,18,0)))))/1000,IF(D2141="DF",EXP(VLOOKUP(D2141,'Species Codes'!B:O,14,0)+VLOOKUP(D2141,'Species Codes'!B:P,15,0)*LN((E2141*2.54))),VLOOKUP(D2141,'Species Codes'!B:O,14,0)+VLOOKUP(D2141,'Species Codes'!B:P,15,0)*(((E2141*2.54)/100)^2)*(I2141*0.3048)))))*0.0011023),0)</f>
        <v>#N/A</v>
      </c>
      <c r="AD2141" s="104" t="e">
        <f t="shared" ref="AD2141:AD2204" si="949">SUM(AA2141:AC2141)</f>
        <v>#N/A</v>
      </c>
      <c r="AE2141" s="104" t="e">
        <f t="shared" ref="AE2141:AE2204" si="950">AD2141*O2141</f>
        <v>#N/A</v>
      </c>
      <c r="AF2141" s="104" t="e">
        <f>IF(AND(VLOOKUP($D2141,Merchantability!$B:$C,2,0)="Yes",$E2141&gt;=VLOOKUP($D2141,Merchantability!$B:$D,3,0),$E2141&lt;=VLOOKUP($D2141,Merchantability!$B:$E,4,0)),AA2141,0)</f>
        <v>#N/A</v>
      </c>
      <c r="AG2141" s="104" t="e">
        <f>IF(AND(VLOOKUP($D2141,Merchantability!$B:$C,2,0)="Yes",$E2141&gt;=VLOOKUP($D2141,Merchantability!$B:$D,3,0),$E2141&lt;=VLOOKUP($D2141,Merchantability!$B:$E,4,0)),AB2141,0)</f>
        <v>#N/A</v>
      </c>
      <c r="AH2141" s="104" t="e">
        <f>IF(AND(VLOOKUP($D2141,Merchantability!$B:$C,2,0)="Yes",$E2141&gt;=VLOOKUP($D2141,Merchantability!$B:$D,3,0),$E2141&lt;=VLOOKUP($D2141,Merchantability!$B:$E,4,0)),AC2141,0)</f>
        <v>#N/A</v>
      </c>
      <c r="AI2141" s="104" t="e">
        <f t="shared" ref="AI2141:AI2204" si="951">SUM(AF2141:AH2141)</f>
        <v>#N/A</v>
      </c>
      <c r="AJ2141" s="104" t="e">
        <f t="shared" ref="AJ2141:AJ2204" si="952">AA2141*$O2141</f>
        <v>#VALUE!</v>
      </c>
      <c r="AK2141" s="104" t="e">
        <f t="shared" ref="AK2141:AK2204" si="953">AB2141*$O2141</f>
        <v>#N/A</v>
      </c>
      <c r="AL2141" s="104" t="e">
        <f t="shared" ref="AL2141:AL2204" si="954">AC2141*$O2141</f>
        <v>#N/A</v>
      </c>
      <c r="AM2141" s="104" t="e">
        <f t="shared" ref="AM2141:AM2204" si="955">AD2141*$O2141</f>
        <v>#N/A</v>
      </c>
      <c r="AN2141" s="104" t="e">
        <f t="shared" si="939"/>
        <v>#N/A</v>
      </c>
      <c r="AO2141" s="104" t="e">
        <f t="shared" si="940"/>
        <v>#N/A</v>
      </c>
      <c r="AP2141" s="104" t="e">
        <f t="shared" si="941"/>
        <v>#N/A</v>
      </c>
      <c r="AQ2141" s="104" t="e">
        <f t="shared" si="942"/>
        <v>#N/A</v>
      </c>
      <c r="AR2141" s="105" t="str">
        <f t="shared" si="934"/>
        <v/>
      </c>
      <c r="AS2141" s="105" t="str">
        <f t="shared" si="935"/>
        <v/>
      </c>
      <c r="AT2141" s="108" t="str">
        <f t="shared" si="936"/>
        <v/>
      </c>
      <c r="AU2141" s="108" t="str">
        <f t="shared" si="937"/>
        <v/>
      </c>
      <c r="AV2141" s="107" t="str">
        <f>IF(ISNUMBER(O2141),IF(VLOOKUP($A2141,Stand!C:J,8,FALSE)="Short",AT2141,AU2141),"")</f>
        <v/>
      </c>
      <c r="AW2141" s="109" t="str">
        <f t="shared" si="943"/>
        <v/>
      </c>
      <c r="AX2141" s="109" t="str">
        <f t="shared" si="944"/>
        <v/>
      </c>
      <c r="AY2141" s="112" t="str">
        <f>IF(ISNUMBER(O2141),IF(AND(VLOOKUP($D2141,Merchantability!$B:$C,2,0)="Yes",$E2141&gt;=VLOOKUP($D2141,Merchantability!$B:$D,3,0),$E2141&lt;=VLOOKUP($D2141,Merchantability!$B:$E,4,0)),(AV2141*O2141)*(1-$H2141/100),""),"")</f>
        <v/>
      </c>
      <c r="AZ2141" s="116"/>
      <c r="BA2141" s="116"/>
      <c r="BB2141" s="116"/>
      <c r="BE2141" s="62"/>
      <c r="BF2141" s="63"/>
    </row>
    <row r="2142" spans="1:58" ht="12.75" customHeight="1" x14ac:dyDescent="0.25">
      <c r="A2142" s="334"/>
      <c r="B2142" s="334"/>
      <c r="C2142" s="332"/>
      <c r="D2142" s="334"/>
      <c r="E2142" s="335"/>
      <c r="F2142" s="334"/>
      <c r="G2142" s="332"/>
      <c r="H2142" s="332"/>
      <c r="I2142" s="334"/>
      <c r="J2142" s="336"/>
      <c r="K2142" s="332"/>
      <c r="L2142" s="332"/>
      <c r="M2142" s="76"/>
      <c r="N2142" s="103" t="str">
        <f>IF(A2142="","",VLOOKUP(A2142,Stand!C:K,9,0))</f>
        <v/>
      </c>
      <c r="O2142" s="104" t="str">
        <f t="shared" si="929"/>
        <v/>
      </c>
      <c r="P2142" s="105" t="str">
        <f t="shared" si="930"/>
        <v/>
      </c>
      <c r="Q2142" s="105" t="str">
        <f t="shared" si="945"/>
        <v/>
      </c>
      <c r="R2142" s="103" t="str">
        <f t="shared" si="931"/>
        <v/>
      </c>
      <c r="S2142" s="103" t="str">
        <f t="shared" si="932"/>
        <v/>
      </c>
      <c r="T2142" s="106" t="str">
        <f t="shared" si="946"/>
        <v/>
      </c>
      <c r="U2142" s="106" t="str">
        <f t="shared" si="947"/>
        <v/>
      </c>
      <c r="V2142" s="106" t="str">
        <f t="shared" si="948"/>
        <v/>
      </c>
      <c r="W2142" s="105" t="str">
        <f t="shared" si="933"/>
        <v/>
      </c>
      <c r="X2142" s="104" t="str">
        <f t="shared" si="938"/>
        <v/>
      </c>
      <c r="Y2142" s="104" t="str">
        <f t="array" ref="Y2142">IFERROR(IF(ISNUMBER(O2142),IF(COUNT(IF(A2142=$A$2:$A$2427,IF(D2142=$D$2:$D$2427,IF($X$2:$X$2427&gt;0,1))))&gt;0,SUM(IF(A2142=$A$2:$A$2427,IF(D2142=$D$2:$D$2427,$X$2:$X$2427)))/COUNT(IF(A2142=$A$2:$A$2427,IF(D2142=$D$2:$D$2427,IF(ISNUMBER($X$2:$X$2427),1)))),0),""),0)</f>
        <v/>
      </c>
      <c r="Z2142" s="104" t="str">
        <f>IF(ISNUMBER(O2142),IF(I2142&gt;0,(10^(VLOOKUP(D2142,'Species Codes'!B:C,2,0)+VLOOKUP(D2142,'Species Codes'!B:D,3,0)*LOG(E2142)+VLOOKUP(D2142,'Species Codes'!B:E,4,0)*LOG(I2142))),0),"")</f>
        <v/>
      </c>
      <c r="AA2142" s="104" t="str">
        <f>IFERROR((VLOOKUP(D2142,'Species Codes'!B:G,6,0)*Z2142)/2000,"")</f>
        <v/>
      </c>
      <c r="AB2142" s="104" t="e">
        <f>IF(Z2142&gt;0,((IF(OR(D2142="DF",D2142="RA")=TRUE,EXP(VLOOKUP(D2142,'Species Codes'!B:I,8,0)+VLOOKUP(D2142,'Species Codes'!B:J,9,0)*(LN((E2142*2.54)))),IF(OR(D2142="PY",D2142="RC",D2142="WH",D2142="NF")=TRUE,VLOOKUP(D2142,'Species Codes'!B:I,8,0)+VLOOKUP(D2142,'Species Codes'!B:J,9,0)*((E2142*2.54)^2)*(I2142*0.3048),IF(OR(D2142="MD",D2142="BM",D2142="GA")=TRUE,((VLOOKUP(D2142,'Species Codes'!B:I,8,0)*(((((E2142*2.54)+VLOOKUP(D2142,'Species Codes'!B:J,9,0))/VLOOKUP(D2142,'Species Codes'!B:K,10,0))^VLOOKUP(D2142,'Species Codes'!B:L,11,0))*((I2142*0.3048)^VLOOKUP(D2142,'Species Codes'!B:M,12,0))))-(VLOOKUP(D2142,'Species Codes'!B:I,8,0)*((((E2142*2.54)^VLOOKUP(D2142,'Species Codes'!B:L,11,0))*((I2142*0.3048)^VLOOKUP(D2142,'Species Codes'!B:M,12,0))))))*35.3*VLOOKUP(D2142,'Species Codes'!B:G,6,0)/2.2046,VLOOKUP(D2142,'Species Codes'!B:I,8,0)+VLOOKUP(D2142,'Species Codes'!B:J,9,0)*(((E2142*2.54)/100)^2)*(I2142*0.3048)))))*0.0011023),0)</f>
        <v>#N/A</v>
      </c>
      <c r="AC2142" s="104" t="e">
        <f>IF(Z2142&gt;0,((IF(OR(D2142="RA",D2142="OA",D2142="OT",D2142="UN",D2142="PC"),EXP(VLOOKUP(D2142,'Species Codes'!B:O,14,0)+VLOOKUP(D2142,'Species Codes'!B:P,15,0)*LN((E2142*2.54)))-EXP(VLOOKUP(D2142,'Species Codes'!B:O,14,0)+VLOOKUP(D2142,'Species Codes'!B:P,15,0)*LN((E2142*2.54)))*(1/(VLOOKUP(D2142,'Species Codes'!B:Q,16,0)+VLOOKUP(D2142,'Species Codes'!B:R,17,0)*((E2142*2.54)^VLOOKUP(D2142,'Species Codes'!B:S,18,0)))),IF(OR(D2142="BM",D2142="MD",D2142="OA"),EXP(VLOOKUP(D2142,'Species Codes'!B:O,14,0)+VLOOKUP(D2142,'Species Codes'!B:P,15,0)*LN((E2142*2.54)))*(1-(1/(VLOOKUP(D2142,'Species Codes'!B:Q,16,0)+VLOOKUP(D2142,'Species Codes'!B:R,17,0)*((E2142*2.54)^VLOOKUP(D2142,'Species Codes'!B:S,18,0)))))/1000,IF(D2142="DF",EXP(VLOOKUP(D2142,'Species Codes'!B:O,14,0)+VLOOKUP(D2142,'Species Codes'!B:P,15,0)*LN((E2142*2.54))),VLOOKUP(D2142,'Species Codes'!B:O,14,0)+VLOOKUP(D2142,'Species Codes'!B:P,15,0)*(((E2142*2.54)/100)^2)*(I2142*0.3048)))))*0.0011023),0)</f>
        <v>#N/A</v>
      </c>
      <c r="AD2142" s="104" t="e">
        <f t="shared" si="949"/>
        <v>#N/A</v>
      </c>
      <c r="AE2142" s="104" t="e">
        <f t="shared" si="950"/>
        <v>#N/A</v>
      </c>
      <c r="AF2142" s="104" t="e">
        <f>IF(AND(VLOOKUP($D2142,Merchantability!$B:$C,2,0)="Yes",$E2142&gt;=VLOOKUP($D2142,Merchantability!$B:$D,3,0),$E2142&lt;=VLOOKUP($D2142,Merchantability!$B:$E,4,0)),AA2142,0)</f>
        <v>#N/A</v>
      </c>
      <c r="AG2142" s="104" t="e">
        <f>IF(AND(VLOOKUP($D2142,Merchantability!$B:$C,2,0)="Yes",$E2142&gt;=VLOOKUP($D2142,Merchantability!$B:$D,3,0),$E2142&lt;=VLOOKUP($D2142,Merchantability!$B:$E,4,0)),AB2142,0)</f>
        <v>#N/A</v>
      </c>
      <c r="AH2142" s="104" t="e">
        <f>IF(AND(VLOOKUP($D2142,Merchantability!$B:$C,2,0)="Yes",$E2142&gt;=VLOOKUP($D2142,Merchantability!$B:$D,3,0),$E2142&lt;=VLOOKUP($D2142,Merchantability!$B:$E,4,0)),AC2142,0)</f>
        <v>#N/A</v>
      </c>
      <c r="AI2142" s="104" t="e">
        <f t="shared" si="951"/>
        <v>#N/A</v>
      </c>
      <c r="AJ2142" s="104" t="e">
        <f t="shared" si="952"/>
        <v>#VALUE!</v>
      </c>
      <c r="AK2142" s="104" t="e">
        <f t="shared" si="953"/>
        <v>#N/A</v>
      </c>
      <c r="AL2142" s="104" t="e">
        <f t="shared" si="954"/>
        <v>#N/A</v>
      </c>
      <c r="AM2142" s="104" t="e">
        <f t="shared" si="955"/>
        <v>#N/A</v>
      </c>
      <c r="AN2142" s="104" t="e">
        <f t="shared" si="939"/>
        <v>#N/A</v>
      </c>
      <c r="AO2142" s="104" t="e">
        <f t="shared" si="940"/>
        <v>#N/A</v>
      </c>
      <c r="AP2142" s="104" t="e">
        <f t="shared" si="941"/>
        <v>#N/A</v>
      </c>
      <c r="AQ2142" s="104" t="e">
        <f t="shared" si="942"/>
        <v>#N/A</v>
      </c>
      <c r="AR2142" s="105" t="str">
        <f t="shared" si="934"/>
        <v/>
      </c>
      <c r="AS2142" s="105" t="str">
        <f t="shared" si="935"/>
        <v/>
      </c>
      <c r="AT2142" s="108" t="str">
        <f t="shared" si="936"/>
        <v/>
      </c>
      <c r="AU2142" s="108" t="str">
        <f t="shared" si="937"/>
        <v/>
      </c>
      <c r="AV2142" s="107" t="str">
        <f>IF(ISNUMBER(O2142),IF(VLOOKUP($A2142,Stand!C:J,8,FALSE)="Short",AT2142,AU2142),"")</f>
        <v/>
      </c>
      <c r="AW2142" s="109" t="str">
        <f t="shared" si="943"/>
        <v/>
      </c>
      <c r="AX2142" s="109" t="str">
        <f t="shared" si="944"/>
        <v/>
      </c>
      <c r="AY2142" s="112" t="str">
        <f>IF(ISNUMBER(O2142),IF(AND(VLOOKUP($D2142,Merchantability!$B:$C,2,0)="Yes",$E2142&gt;=VLOOKUP($D2142,Merchantability!$B:$D,3,0),$E2142&lt;=VLOOKUP($D2142,Merchantability!$B:$E,4,0)),(AV2142*O2142)*(1-$H2142/100),""),"")</f>
        <v/>
      </c>
      <c r="AZ2142" s="116"/>
      <c r="BA2142" s="116"/>
      <c r="BB2142" s="116"/>
      <c r="BE2142" s="62"/>
      <c r="BF2142" s="63"/>
    </row>
    <row r="2143" spans="1:58" ht="12.75" customHeight="1" x14ac:dyDescent="0.25">
      <c r="A2143" s="334"/>
      <c r="B2143" s="334"/>
      <c r="C2143" s="332"/>
      <c r="D2143" s="334"/>
      <c r="E2143" s="335"/>
      <c r="F2143" s="334"/>
      <c r="G2143" s="332"/>
      <c r="H2143" s="332"/>
      <c r="I2143" s="334"/>
      <c r="J2143" s="336"/>
      <c r="K2143" s="332"/>
      <c r="L2143" s="332"/>
      <c r="M2143" s="76"/>
      <c r="N2143" s="103" t="str">
        <f>IF(A2143="","",VLOOKUP(A2143,Stand!C:K,9,0))</f>
        <v/>
      </c>
      <c r="O2143" s="104" t="str">
        <f t="shared" si="929"/>
        <v/>
      </c>
      <c r="P2143" s="105" t="str">
        <f t="shared" si="930"/>
        <v/>
      </c>
      <c r="Q2143" s="105" t="str">
        <f t="shared" si="945"/>
        <v/>
      </c>
      <c r="R2143" s="103" t="str">
        <f t="shared" si="931"/>
        <v/>
      </c>
      <c r="S2143" s="103" t="str">
        <f t="shared" si="932"/>
        <v/>
      </c>
      <c r="T2143" s="106" t="str">
        <f t="shared" si="946"/>
        <v/>
      </c>
      <c r="U2143" s="106" t="str">
        <f t="shared" si="947"/>
        <v/>
      </c>
      <c r="V2143" s="106" t="str">
        <f t="shared" si="948"/>
        <v/>
      </c>
      <c r="W2143" s="105" t="str">
        <f t="shared" si="933"/>
        <v/>
      </c>
      <c r="X2143" s="104" t="str">
        <f t="shared" si="938"/>
        <v/>
      </c>
      <c r="Y2143" s="104" t="str">
        <f t="array" ref="Y2143">IFERROR(IF(ISNUMBER(O2143),IF(COUNT(IF(A2143=$A$2:$A$2427,IF(D2143=$D$2:$D$2427,IF($X$2:$X$2427&gt;0,1))))&gt;0,SUM(IF(A2143=$A$2:$A$2427,IF(D2143=$D$2:$D$2427,$X$2:$X$2427)))/COUNT(IF(A2143=$A$2:$A$2427,IF(D2143=$D$2:$D$2427,IF(ISNUMBER($X$2:$X$2427),1)))),0),""),0)</f>
        <v/>
      </c>
      <c r="Z2143" s="104" t="str">
        <f>IF(ISNUMBER(O2143),IF(I2143&gt;0,(10^(VLOOKUP(D2143,'Species Codes'!B:C,2,0)+VLOOKUP(D2143,'Species Codes'!B:D,3,0)*LOG(E2143)+VLOOKUP(D2143,'Species Codes'!B:E,4,0)*LOG(I2143))),0),"")</f>
        <v/>
      </c>
      <c r="AA2143" s="104" t="str">
        <f>IFERROR((VLOOKUP(D2143,'Species Codes'!B:G,6,0)*Z2143)/2000,"")</f>
        <v/>
      </c>
      <c r="AB2143" s="104" t="e">
        <f>IF(Z2143&gt;0,((IF(OR(D2143="DF",D2143="RA")=TRUE,EXP(VLOOKUP(D2143,'Species Codes'!B:I,8,0)+VLOOKUP(D2143,'Species Codes'!B:J,9,0)*(LN((E2143*2.54)))),IF(OR(D2143="PY",D2143="RC",D2143="WH",D2143="NF")=TRUE,VLOOKUP(D2143,'Species Codes'!B:I,8,0)+VLOOKUP(D2143,'Species Codes'!B:J,9,0)*((E2143*2.54)^2)*(I2143*0.3048),IF(OR(D2143="MD",D2143="BM",D2143="GA")=TRUE,((VLOOKUP(D2143,'Species Codes'!B:I,8,0)*(((((E2143*2.54)+VLOOKUP(D2143,'Species Codes'!B:J,9,0))/VLOOKUP(D2143,'Species Codes'!B:K,10,0))^VLOOKUP(D2143,'Species Codes'!B:L,11,0))*((I2143*0.3048)^VLOOKUP(D2143,'Species Codes'!B:M,12,0))))-(VLOOKUP(D2143,'Species Codes'!B:I,8,0)*((((E2143*2.54)^VLOOKUP(D2143,'Species Codes'!B:L,11,0))*((I2143*0.3048)^VLOOKUP(D2143,'Species Codes'!B:M,12,0))))))*35.3*VLOOKUP(D2143,'Species Codes'!B:G,6,0)/2.2046,VLOOKUP(D2143,'Species Codes'!B:I,8,0)+VLOOKUP(D2143,'Species Codes'!B:J,9,0)*(((E2143*2.54)/100)^2)*(I2143*0.3048)))))*0.0011023),0)</f>
        <v>#N/A</v>
      </c>
      <c r="AC2143" s="104" t="e">
        <f>IF(Z2143&gt;0,((IF(OR(D2143="RA",D2143="OA",D2143="OT",D2143="UN",D2143="PC"),EXP(VLOOKUP(D2143,'Species Codes'!B:O,14,0)+VLOOKUP(D2143,'Species Codes'!B:P,15,0)*LN((E2143*2.54)))-EXP(VLOOKUP(D2143,'Species Codes'!B:O,14,0)+VLOOKUP(D2143,'Species Codes'!B:P,15,0)*LN((E2143*2.54)))*(1/(VLOOKUP(D2143,'Species Codes'!B:Q,16,0)+VLOOKUP(D2143,'Species Codes'!B:R,17,0)*((E2143*2.54)^VLOOKUP(D2143,'Species Codes'!B:S,18,0)))),IF(OR(D2143="BM",D2143="MD",D2143="OA"),EXP(VLOOKUP(D2143,'Species Codes'!B:O,14,0)+VLOOKUP(D2143,'Species Codes'!B:P,15,0)*LN((E2143*2.54)))*(1-(1/(VLOOKUP(D2143,'Species Codes'!B:Q,16,0)+VLOOKUP(D2143,'Species Codes'!B:R,17,0)*((E2143*2.54)^VLOOKUP(D2143,'Species Codes'!B:S,18,0)))))/1000,IF(D2143="DF",EXP(VLOOKUP(D2143,'Species Codes'!B:O,14,0)+VLOOKUP(D2143,'Species Codes'!B:P,15,0)*LN((E2143*2.54))),VLOOKUP(D2143,'Species Codes'!B:O,14,0)+VLOOKUP(D2143,'Species Codes'!B:P,15,0)*(((E2143*2.54)/100)^2)*(I2143*0.3048)))))*0.0011023),0)</f>
        <v>#N/A</v>
      </c>
      <c r="AD2143" s="104" t="e">
        <f t="shared" si="949"/>
        <v>#N/A</v>
      </c>
      <c r="AE2143" s="104" t="e">
        <f t="shared" si="950"/>
        <v>#N/A</v>
      </c>
      <c r="AF2143" s="104" t="e">
        <f>IF(AND(VLOOKUP($D2143,Merchantability!$B:$C,2,0)="Yes",$E2143&gt;=VLOOKUP($D2143,Merchantability!$B:$D,3,0),$E2143&lt;=VLOOKUP($D2143,Merchantability!$B:$E,4,0)),AA2143,0)</f>
        <v>#N/A</v>
      </c>
      <c r="AG2143" s="104" t="e">
        <f>IF(AND(VLOOKUP($D2143,Merchantability!$B:$C,2,0)="Yes",$E2143&gt;=VLOOKUP($D2143,Merchantability!$B:$D,3,0),$E2143&lt;=VLOOKUP($D2143,Merchantability!$B:$E,4,0)),AB2143,0)</f>
        <v>#N/A</v>
      </c>
      <c r="AH2143" s="104" t="e">
        <f>IF(AND(VLOOKUP($D2143,Merchantability!$B:$C,2,0)="Yes",$E2143&gt;=VLOOKUP($D2143,Merchantability!$B:$D,3,0),$E2143&lt;=VLOOKUP($D2143,Merchantability!$B:$E,4,0)),AC2143,0)</f>
        <v>#N/A</v>
      </c>
      <c r="AI2143" s="104" t="e">
        <f t="shared" si="951"/>
        <v>#N/A</v>
      </c>
      <c r="AJ2143" s="104" t="e">
        <f t="shared" si="952"/>
        <v>#VALUE!</v>
      </c>
      <c r="AK2143" s="104" t="e">
        <f t="shared" si="953"/>
        <v>#N/A</v>
      </c>
      <c r="AL2143" s="104" t="e">
        <f t="shared" si="954"/>
        <v>#N/A</v>
      </c>
      <c r="AM2143" s="104" t="e">
        <f t="shared" si="955"/>
        <v>#N/A</v>
      </c>
      <c r="AN2143" s="104" t="e">
        <f t="shared" si="939"/>
        <v>#N/A</v>
      </c>
      <c r="AO2143" s="104" t="e">
        <f t="shared" si="940"/>
        <v>#N/A</v>
      </c>
      <c r="AP2143" s="104" t="e">
        <f t="shared" si="941"/>
        <v>#N/A</v>
      </c>
      <c r="AQ2143" s="104" t="e">
        <f t="shared" si="942"/>
        <v>#N/A</v>
      </c>
      <c r="AR2143" s="105" t="str">
        <f t="shared" si="934"/>
        <v/>
      </c>
      <c r="AS2143" s="105" t="str">
        <f t="shared" si="935"/>
        <v/>
      </c>
      <c r="AT2143" s="108" t="str">
        <f t="shared" si="936"/>
        <v/>
      </c>
      <c r="AU2143" s="108" t="str">
        <f t="shared" si="937"/>
        <v/>
      </c>
      <c r="AV2143" s="107" t="str">
        <f>IF(ISNUMBER(O2143),IF(VLOOKUP($A2143,Stand!C:J,8,FALSE)="Short",AT2143,AU2143),"")</f>
        <v/>
      </c>
      <c r="AW2143" s="109" t="str">
        <f t="shared" si="943"/>
        <v/>
      </c>
      <c r="AX2143" s="109" t="str">
        <f t="shared" si="944"/>
        <v/>
      </c>
      <c r="AY2143" s="112" t="str">
        <f>IF(ISNUMBER(O2143),IF(AND(VLOOKUP($D2143,Merchantability!$B:$C,2,0)="Yes",$E2143&gt;=VLOOKUP($D2143,Merchantability!$B:$D,3,0),$E2143&lt;=VLOOKUP($D2143,Merchantability!$B:$E,4,0)),(AV2143*O2143)*(1-$H2143/100),""),"")</f>
        <v/>
      </c>
      <c r="AZ2143" s="116"/>
      <c r="BA2143" s="116"/>
      <c r="BB2143" s="116"/>
      <c r="BE2143" s="62"/>
      <c r="BF2143" s="63"/>
    </row>
    <row r="2144" spans="1:58" ht="12.75" customHeight="1" x14ac:dyDescent="0.25">
      <c r="A2144" s="334"/>
      <c r="B2144" s="334"/>
      <c r="C2144" s="332"/>
      <c r="D2144" s="334"/>
      <c r="E2144" s="335"/>
      <c r="F2144" s="334"/>
      <c r="G2144" s="332"/>
      <c r="H2144" s="332"/>
      <c r="I2144" s="334"/>
      <c r="J2144" s="336"/>
      <c r="K2144" s="332"/>
      <c r="L2144" s="332"/>
      <c r="M2144" s="76"/>
      <c r="N2144" s="103" t="str">
        <f>IF(A2144="","",VLOOKUP(A2144,Stand!C:K,9,0))</f>
        <v/>
      </c>
      <c r="O2144" s="104" t="str">
        <f t="shared" si="929"/>
        <v/>
      </c>
      <c r="P2144" s="105" t="str">
        <f t="shared" si="930"/>
        <v/>
      </c>
      <c r="Q2144" s="105" t="str">
        <f t="shared" si="945"/>
        <v/>
      </c>
      <c r="R2144" s="103" t="str">
        <f t="shared" si="931"/>
        <v/>
      </c>
      <c r="S2144" s="103" t="str">
        <f t="shared" si="932"/>
        <v/>
      </c>
      <c r="T2144" s="106" t="str">
        <f t="shared" si="946"/>
        <v/>
      </c>
      <c r="U2144" s="106" t="str">
        <f t="shared" si="947"/>
        <v/>
      </c>
      <c r="V2144" s="106" t="str">
        <f t="shared" si="948"/>
        <v/>
      </c>
      <c r="W2144" s="105" t="str">
        <f t="shared" si="933"/>
        <v/>
      </c>
      <c r="X2144" s="104" t="str">
        <f t="shared" si="938"/>
        <v/>
      </c>
      <c r="Y2144" s="104" t="str">
        <f t="array" ref="Y2144">IFERROR(IF(ISNUMBER(O2144),IF(COUNT(IF(A2144=$A$2:$A$2427,IF(D2144=$D$2:$D$2427,IF($X$2:$X$2427&gt;0,1))))&gt;0,SUM(IF(A2144=$A$2:$A$2427,IF(D2144=$D$2:$D$2427,$X$2:$X$2427)))/COUNT(IF(A2144=$A$2:$A$2427,IF(D2144=$D$2:$D$2427,IF(ISNUMBER($X$2:$X$2427),1)))),0),""),0)</f>
        <v/>
      </c>
      <c r="Z2144" s="104" t="str">
        <f>IF(ISNUMBER(O2144),IF(I2144&gt;0,(10^(VLOOKUP(D2144,'Species Codes'!B:C,2,0)+VLOOKUP(D2144,'Species Codes'!B:D,3,0)*LOG(E2144)+VLOOKUP(D2144,'Species Codes'!B:E,4,0)*LOG(I2144))),0),"")</f>
        <v/>
      </c>
      <c r="AA2144" s="104" t="str">
        <f>IFERROR((VLOOKUP(D2144,'Species Codes'!B:G,6,0)*Z2144)/2000,"")</f>
        <v/>
      </c>
      <c r="AB2144" s="104" t="e">
        <f>IF(Z2144&gt;0,((IF(OR(D2144="DF",D2144="RA")=TRUE,EXP(VLOOKUP(D2144,'Species Codes'!B:I,8,0)+VLOOKUP(D2144,'Species Codes'!B:J,9,0)*(LN((E2144*2.54)))),IF(OR(D2144="PY",D2144="RC",D2144="WH",D2144="NF")=TRUE,VLOOKUP(D2144,'Species Codes'!B:I,8,0)+VLOOKUP(D2144,'Species Codes'!B:J,9,0)*((E2144*2.54)^2)*(I2144*0.3048),IF(OR(D2144="MD",D2144="BM",D2144="GA")=TRUE,((VLOOKUP(D2144,'Species Codes'!B:I,8,0)*(((((E2144*2.54)+VLOOKUP(D2144,'Species Codes'!B:J,9,0))/VLOOKUP(D2144,'Species Codes'!B:K,10,0))^VLOOKUP(D2144,'Species Codes'!B:L,11,0))*((I2144*0.3048)^VLOOKUP(D2144,'Species Codes'!B:M,12,0))))-(VLOOKUP(D2144,'Species Codes'!B:I,8,0)*((((E2144*2.54)^VLOOKUP(D2144,'Species Codes'!B:L,11,0))*((I2144*0.3048)^VLOOKUP(D2144,'Species Codes'!B:M,12,0))))))*35.3*VLOOKUP(D2144,'Species Codes'!B:G,6,0)/2.2046,VLOOKUP(D2144,'Species Codes'!B:I,8,0)+VLOOKUP(D2144,'Species Codes'!B:J,9,0)*(((E2144*2.54)/100)^2)*(I2144*0.3048)))))*0.0011023),0)</f>
        <v>#N/A</v>
      </c>
      <c r="AC2144" s="104" t="e">
        <f>IF(Z2144&gt;0,((IF(OR(D2144="RA",D2144="OA",D2144="OT",D2144="UN",D2144="PC"),EXP(VLOOKUP(D2144,'Species Codes'!B:O,14,0)+VLOOKUP(D2144,'Species Codes'!B:P,15,0)*LN((E2144*2.54)))-EXP(VLOOKUP(D2144,'Species Codes'!B:O,14,0)+VLOOKUP(D2144,'Species Codes'!B:P,15,0)*LN((E2144*2.54)))*(1/(VLOOKUP(D2144,'Species Codes'!B:Q,16,0)+VLOOKUP(D2144,'Species Codes'!B:R,17,0)*((E2144*2.54)^VLOOKUP(D2144,'Species Codes'!B:S,18,0)))),IF(OR(D2144="BM",D2144="MD",D2144="OA"),EXP(VLOOKUP(D2144,'Species Codes'!B:O,14,0)+VLOOKUP(D2144,'Species Codes'!B:P,15,0)*LN((E2144*2.54)))*(1-(1/(VLOOKUP(D2144,'Species Codes'!B:Q,16,0)+VLOOKUP(D2144,'Species Codes'!B:R,17,0)*((E2144*2.54)^VLOOKUP(D2144,'Species Codes'!B:S,18,0)))))/1000,IF(D2144="DF",EXP(VLOOKUP(D2144,'Species Codes'!B:O,14,0)+VLOOKUP(D2144,'Species Codes'!B:P,15,0)*LN((E2144*2.54))),VLOOKUP(D2144,'Species Codes'!B:O,14,0)+VLOOKUP(D2144,'Species Codes'!B:P,15,0)*(((E2144*2.54)/100)^2)*(I2144*0.3048)))))*0.0011023),0)</f>
        <v>#N/A</v>
      </c>
      <c r="AD2144" s="104" t="e">
        <f t="shared" si="949"/>
        <v>#N/A</v>
      </c>
      <c r="AE2144" s="104" t="e">
        <f t="shared" si="950"/>
        <v>#N/A</v>
      </c>
      <c r="AF2144" s="104" t="e">
        <f>IF(AND(VLOOKUP($D2144,Merchantability!$B:$C,2,0)="Yes",$E2144&gt;=VLOOKUP($D2144,Merchantability!$B:$D,3,0),$E2144&lt;=VLOOKUP($D2144,Merchantability!$B:$E,4,0)),AA2144,0)</f>
        <v>#N/A</v>
      </c>
      <c r="AG2144" s="104" t="e">
        <f>IF(AND(VLOOKUP($D2144,Merchantability!$B:$C,2,0)="Yes",$E2144&gt;=VLOOKUP($D2144,Merchantability!$B:$D,3,0),$E2144&lt;=VLOOKUP($D2144,Merchantability!$B:$E,4,0)),AB2144,0)</f>
        <v>#N/A</v>
      </c>
      <c r="AH2144" s="104" t="e">
        <f>IF(AND(VLOOKUP($D2144,Merchantability!$B:$C,2,0)="Yes",$E2144&gt;=VLOOKUP($D2144,Merchantability!$B:$D,3,0),$E2144&lt;=VLOOKUP($D2144,Merchantability!$B:$E,4,0)),AC2144,0)</f>
        <v>#N/A</v>
      </c>
      <c r="AI2144" s="104" t="e">
        <f t="shared" si="951"/>
        <v>#N/A</v>
      </c>
      <c r="AJ2144" s="104" t="e">
        <f t="shared" si="952"/>
        <v>#VALUE!</v>
      </c>
      <c r="AK2144" s="104" t="e">
        <f t="shared" si="953"/>
        <v>#N/A</v>
      </c>
      <c r="AL2144" s="104" t="e">
        <f t="shared" si="954"/>
        <v>#N/A</v>
      </c>
      <c r="AM2144" s="104" t="e">
        <f t="shared" si="955"/>
        <v>#N/A</v>
      </c>
      <c r="AN2144" s="104" t="e">
        <f t="shared" si="939"/>
        <v>#N/A</v>
      </c>
      <c r="AO2144" s="104" t="e">
        <f t="shared" si="940"/>
        <v>#N/A</v>
      </c>
      <c r="AP2144" s="104" t="e">
        <f t="shared" si="941"/>
        <v>#N/A</v>
      </c>
      <c r="AQ2144" s="104" t="e">
        <f t="shared" si="942"/>
        <v>#N/A</v>
      </c>
      <c r="AR2144" s="105" t="str">
        <f t="shared" si="934"/>
        <v/>
      </c>
      <c r="AS2144" s="105" t="str">
        <f t="shared" si="935"/>
        <v/>
      </c>
      <c r="AT2144" s="108" t="str">
        <f t="shared" si="936"/>
        <v/>
      </c>
      <c r="AU2144" s="108" t="str">
        <f t="shared" si="937"/>
        <v/>
      </c>
      <c r="AV2144" s="107" t="str">
        <f>IF(ISNUMBER(O2144),IF(VLOOKUP($A2144,Stand!C:J,8,FALSE)="Short",AT2144,AU2144),"")</f>
        <v/>
      </c>
      <c r="AW2144" s="109" t="str">
        <f t="shared" si="943"/>
        <v/>
      </c>
      <c r="AX2144" s="109" t="str">
        <f t="shared" si="944"/>
        <v/>
      </c>
      <c r="AY2144" s="112" t="str">
        <f>IF(ISNUMBER(O2144),IF(AND(VLOOKUP($D2144,Merchantability!$B:$C,2,0)="Yes",$E2144&gt;=VLOOKUP($D2144,Merchantability!$B:$D,3,0),$E2144&lt;=VLOOKUP($D2144,Merchantability!$B:$E,4,0)),(AV2144*O2144)*(1-$H2144/100),""),"")</f>
        <v/>
      </c>
      <c r="AZ2144" s="116"/>
      <c r="BA2144" s="116"/>
      <c r="BB2144" s="116"/>
      <c r="BE2144" s="62"/>
      <c r="BF2144" s="63"/>
    </row>
    <row r="2145" spans="1:58" ht="12.75" customHeight="1" x14ac:dyDescent="0.25">
      <c r="A2145" s="334"/>
      <c r="B2145" s="334"/>
      <c r="C2145" s="332"/>
      <c r="D2145" s="334"/>
      <c r="E2145" s="335"/>
      <c r="F2145" s="334"/>
      <c r="G2145" s="332"/>
      <c r="H2145" s="332"/>
      <c r="I2145" s="334"/>
      <c r="J2145" s="336"/>
      <c r="K2145" s="332"/>
      <c r="L2145" s="332"/>
      <c r="M2145" s="76"/>
      <c r="N2145" s="103" t="str">
        <f>IF(A2145="","",VLOOKUP(A2145,Stand!C:K,9,0))</f>
        <v/>
      </c>
      <c r="O2145" s="104" t="str">
        <f t="shared" si="929"/>
        <v/>
      </c>
      <c r="P2145" s="105" t="str">
        <f t="shared" si="930"/>
        <v/>
      </c>
      <c r="Q2145" s="105" t="str">
        <f t="shared" si="945"/>
        <v/>
      </c>
      <c r="R2145" s="103" t="str">
        <f t="shared" si="931"/>
        <v/>
      </c>
      <c r="S2145" s="103" t="str">
        <f t="shared" si="932"/>
        <v/>
      </c>
      <c r="T2145" s="106" t="str">
        <f t="shared" si="946"/>
        <v/>
      </c>
      <c r="U2145" s="106" t="str">
        <f t="shared" si="947"/>
        <v/>
      </c>
      <c r="V2145" s="106" t="str">
        <f t="shared" si="948"/>
        <v/>
      </c>
      <c r="W2145" s="105" t="str">
        <f t="shared" si="933"/>
        <v/>
      </c>
      <c r="X2145" s="104" t="str">
        <f t="shared" si="938"/>
        <v/>
      </c>
      <c r="Y2145" s="104" t="str">
        <f t="array" ref="Y2145">IFERROR(IF(ISNUMBER(O2145),IF(COUNT(IF(A2145=$A$2:$A$2427,IF(D2145=$D$2:$D$2427,IF($X$2:$X$2427&gt;0,1))))&gt;0,SUM(IF(A2145=$A$2:$A$2427,IF(D2145=$D$2:$D$2427,$X$2:$X$2427)))/COUNT(IF(A2145=$A$2:$A$2427,IF(D2145=$D$2:$D$2427,IF(ISNUMBER($X$2:$X$2427),1)))),0),""),0)</f>
        <v/>
      </c>
      <c r="Z2145" s="104" t="str">
        <f>IF(ISNUMBER(O2145),IF(I2145&gt;0,(10^(VLOOKUP(D2145,'Species Codes'!B:C,2,0)+VLOOKUP(D2145,'Species Codes'!B:D,3,0)*LOG(E2145)+VLOOKUP(D2145,'Species Codes'!B:E,4,0)*LOG(I2145))),0),"")</f>
        <v/>
      </c>
      <c r="AA2145" s="104" t="str">
        <f>IFERROR((VLOOKUP(D2145,'Species Codes'!B:G,6,0)*Z2145)/2000,"")</f>
        <v/>
      </c>
      <c r="AB2145" s="104" t="e">
        <f>IF(Z2145&gt;0,((IF(OR(D2145="DF",D2145="RA")=TRUE,EXP(VLOOKUP(D2145,'Species Codes'!B:I,8,0)+VLOOKUP(D2145,'Species Codes'!B:J,9,0)*(LN((E2145*2.54)))),IF(OR(D2145="PY",D2145="RC",D2145="WH",D2145="NF")=TRUE,VLOOKUP(D2145,'Species Codes'!B:I,8,0)+VLOOKUP(D2145,'Species Codes'!B:J,9,0)*((E2145*2.54)^2)*(I2145*0.3048),IF(OR(D2145="MD",D2145="BM",D2145="GA")=TRUE,((VLOOKUP(D2145,'Species Codes'!B:I,8,0)*(((((E2145*2.54)+VLOOKUP(D2145,'Species Codes'!B:J,9,0))/VLOOKUP(D2145,'Species Codes'!B:K,10,0))^VLOOKUP(D2145,'Species Codes'!B:L,11,0))*((I2145*0.3048)^VLOOKUP(D2145,'Species Codes'!B:M,12,0))))-(VLOOKUP(D2145,'Species Codes'!B:I,8,0)*((((E2145*2.54)^VLOOKUP(D2145,'Species Codes'!B:L,11,0))*((I2145*0.3048)^VLOOKUP(D2145,'Species Codes'!B:M,12,0))))))*35.3*VLOOKUP(D2145,'Species Codes'!B:G,6,0)/2.2046,VLOOKUP(D2145,'Species Codes'!B:I,8,0)+VLOOKUP(D2145,'Species Codes'!B:J,9,0)*(((E2145*2.54)/100)^2)*(I2145*0.3048)))))*0.0011023),0)</f>
        <v>#N/A</v>
      </c>
      <c r="AC2145" s="104" t="e">
        <f>IF(Z2145&gt;0,((IF(OR(D2145="RA",D2145="OA",D2145="OT",D2145="UN",D2145="PC"),EXP(VLOOKUP(D2145,'Species Codes'!B:O,14,0)+VLOOKUP(D2145,'Species Codes'!B:P,15,0)*LN((E2145*2.54)))-EXP(VLOOKUP(D2145,'Species Codes'!B:O,14,0)+VLOOKUP(D2145,'Species Codes'!B:P,15,0)*LN((E2145*2.54)))*(1/(VLOOKUP(D2145,'Species Codes'!B:Q,16,0)+VLOOKUP(D2145,'Species Codes'!B:R,17,0)*((E2145*2.54)^VLOOKUP(D2145,'Species Codes'!B:S,18,0)))),IF(OR(D2145="BM",D2145="MD",D2145="OA"),EXP(VLOOKUP(D2145,'Species Codes'!B:O,14,0)+VLOOKUP(D2145,'Species Codes'!B:P,15,0)*LN((E2145*2.54)))*(1-(1/(VLOOKUP(D2145,'Species Codes'!B:Q,16,0)+VLOOKUP(D2145,'Species Codes'!B:R,17,0)*((E2145*2.54)^VLOOKUP(D2145,'Species Codes'!B:S,18,0)))))/1000,IF(D2145="DF",EXP(VLOOKUP(D2145,'Species Codes'!B:O,14,0)+VLOOKUP(D2145,'Species Codes'!B:P,15,0)*LN((E2145*2.54))),VLOOKUP(D2145,'Species Codes'!B:O,14,0)+VLOOKUP(D2145,'Species Codes'!B:P,15,0)*(((E2145*2.54)/100)^2)*(I2145*0.3048)))))*0.0011023),0)</f>
        <v>#N/A</v>
      </c>
      <c r="AD2145" s="104" t="e">
        <f t="shared" si="949"/>
        <v>#N/A</v>
      </c>
      <c r="AE2145" s="104" t="e">
        <f t="shared" si="950"/>
        <v>#N/A</v>
      </c>
      <c r="AF2145" s="104" t="e">
        <f>IF(AND(VLOOKUP($D2145,Merchantability!$B:$C,2,0)="Yes",$E2145&gt;=VLOOKUP($D2145,Merchantability!$B:$D,3,0),$E2145&lt;=VLOOKUP($D2145,Merchantability!$B:$E,4,0)),AA2145,0)</f>
        <v>#N/A</v>
      </c>
      <c r="AG2145" s="104" t="e">
        <f>IF(AND(VLOOKUP($D2145,Merchantability!$B:$C,2,0)="Yes",$E2145&gt;=VLOOKUP($D2145,Merchantability!$B:$D,3,0),$E2145&lt;=VLOOKUP($D2145,Merchantability!$B:$E,4,0)),AB2145,0)</f>
        <v>#N/A</v>
      </c>
      <c r="AH2145" s="104" t="e">
        <f>IF(AND(VLOOKUP($D2145,Merchantability!$B:$C,2,0)="Yes",$E2145&gt;=VLOOKUP($D2145,Merchantability!$B:$D,3,0),$E2145&lt;=VLOOKUP($D2145,Merchantability!$B:$E,4,0)),AC2145,0)</f>
        <v>#N/A</v>
      </c>
      <c r="AI2145" s="104" t="e">
        <f t="shared" si="951"/>
        <v>#N/A</v>
      </c>
      <c r="AJ2145" s="104" t="e">
        <f t="shared" si="952"/>
        <v>#VALUE!</v>
      </c>
      <c r="AK2145" s="104" t="e">
        <f t="shared" si="953"/>
        <v>#N/A</v>
      </c>
      <c r="AL2145" s="104" t="e">
        <f t="shared" si="954"/>
        <v>#N/A</v>
      </c>
      <c r="AM2145" s="104" t="e">
        <f t="shared" si="955"/>
        <v>#N/A</v>
      </c>
      <c r="AN2145" s="104" t="e">
        <f t="shared" si="939"/>
        <v>#N/A</v>
      </c>
      <c r="AO2145" s="104" t="e">
        <f t="shared" si="940"/>
        <v>#N/A</v>
      </c>
      <c r="AP2145" s="104" t="e">
        <f t="shared" si="941"/>
        <v>#N/A</v>
      </c>
      <c r="AQ2145" s="104" t="e">
        <f t="shared" si="942"/>
        <v>#N/A</v>
      </c>
      <c r="AR2145" s="105" t="str">
        <f t="shared" si="934"/>
        <v/>
      </c>
      <c r="AS2145" s="105" t="str">
        <f t="shared" si="935"/>
        <v/>
      </c>
      <c r="AT2145" s="108" t="str">
        <f t="shared" si="936"/>
        <v/>
      </c>
      <c r="AU2145" s="108" t="str">
        <f t="shared" si="937"/>
        <v/>
      </c>
      <c r="AV2145" s="107" t="str">
        <f>IF(ISNUMBER(O2145),IF(VLOOKUP($A2145,Stand!C:J,8,FALSE)="Short",AT2145,AU2145),"")</f>
        <v/>
      </c>
      <c r="AW2145" s="109" t="str">
        <f t="shared" si="943"/>
        <v/>
      </c>
      <c r="AX2145" s="109" t="str">
        <f t="shared" si="944"/>
        <v/>
      </c>
      <c r="AY2145" s="112" t="str">
        <f>IF(ISNUMBER(O2145),IF(AND(VLOOKUP($D2145,Merchantability!$B:$C,2,0)="Yes",$E2145&gt;=VLOOKUP($D2145,Merchantability!$B:$D,3,0),$E2145&lt;=VLOOKUP($D2145,Merchantability!$B:$E,4,0)),(AV2145*O2145)*(1-$H2145/100),""),"")</f>
        <v/>
      </c>
      <c r="AZ2145" s="116"/>
      <c r="BA2145" s="116"/>
      <c r="BB2145" s="116"/>
      <c r="BE2145" s="62"/>
      <c r="BF2145" s="63"/>
    </row>
    <row r="2146" spans="1:58" ht="12.75" customHeight="1" x14ac:dyDescent="0.25">
      <c r="A2146" s="334"/>
      <c r="B2146" s="334"/>
      <c r="C2146" s="332"/>
      <c r="D2146" s="334"/>
      <c r="E2146" s="335"/>
      <c r="F2146" s="334"/>
      <c r="G2146" s="332"/>
      <c r="H2146" s="332"/>
      <c r="I2146" s="334"/>
      <c r="J2146" s="336"/>
      <c r="K2146" s="332"/>
      <c r="L2146" s="332"/>
      <c r="M2146" s="76"/>
      <c r="N2146" s="103" t="str">
        <f>IF(A2146="","",VLOOKUP(A2146,Stand!C:K,9,0))</f>
        <v/>
      </c>
      <c r="O2146" s="104" t="str">
        <f t="shared" si="929"/>
        <v/>
      </c>
      <c r="P2146" s="105" t="str">
        <f t="shared" si="930"/>
        <v/>
      </c>
      <c r="Q2146" s="105" t="str">
        <f t="shared" si="945"/>
        <v/>
      </c>
      <c r="R2146" s="103" t="str">
        <f t="shared" si="931"/>
        <v/>
      </c>
      <c r="S2146" s="103" t="str">
        <f t="shared" si="932"/>
        <v/>
      </c>
      <c r="T2146" s="106" t="str">
        <f t="shared" si="946"/>
        <v/>
      </c>
      <c r="U2146" s="106" t="str">
        <f t="shared" si="947"/>
        <v/>
      </c>
      <c r="V2146" s="106" t="str">
        <f t="shared" si="948"/>
        <v/>
      </c>
      <c r="W2146" s="105" t="str">
        <f t="shared" si="933"/>
        <v/>
      </c>
      <c r="X2146" s="104" t="str">
        <f t="shared" si="938"/>
        <v/>
      </c>
      <c r="Y2146" s="104" t="str">
        <f t="array" ref="Y2146">IFERROR(IF(ISNUMBER(O2146),IF(COUNT(IF(A2146=$A$2:$A$2427,IF(D2146=$D$2:$D$2427,IF($X$2:$X$2427&gt;0,1))))&gt;0,SUM(IF(A2146=$A$2:$A$2427,IF(D2146=$D$2:$D$2427,$X$2:$X$2427)))/COUNT(IF(A2146=$A$2:$A$2427,IF(D2146=$D$2:$D$2427,IF(ISNUMBER($X$2:$X$2427),1)))),0),""),0)</f>
        <v/>
      </c>
      <c r="Z2146" s="104" t="str">
        <f>IF(ISNUMBER(O2146),IF(I2146&gt;0,(10^(VLOOKUP(D2146,'Species Codes'!B:C,2,0)+VLOOKUP(D2146,'Species Codes'!B:D,3,0)*LOG(E2146)+VLOOKUP(D2146,'Species Codes'!B:E,4,0)*LOG(I2146))),0),"")</f>
        <v/>
      </c>
      <c r="AA2146" s="104" t="str">
        <f>IFERROR((VLOOKUP(D2146,'Species Codes'!B:G,6,0)*Z2146)/2000,"")</f>
        <v/>
      </c>
      <c r="AB2146" s="104" t="e">
        <f>IF(Z2146&gt;0,((IF(OR(D2146="DF",D2146="RA")=TRUE,EXP(VLOOKUP(D2146,'Species Codes'!B:I,8,0)+VLOOKUP(D2146,'Species Codes'!B:J,9,0)*(LN((E2146*2.54)))),IF(OR(D2146="PY",D2146="RC",D2146="WH",D2146="NF")=TRUE,VLOOKUP(D2146,'Species Codes'!B:I,8,0)+VLOOKUP(D2146,'Species Codes'!B:J,9,0)*((E2146*2.54)^2)*(I2146*0.3048),IF(OR(D2146="MD",D2146="BM",D2146="GA")=TRUE,((VLOOKUP(D2146,'Species Codes'!B:I,8,0)*(((((E2146*2.54)+VLOOKUP(D2146,'Species Codes'!B:J,9,0))/VLOOKUP(D2146,'Species Codes'!B:K,10,0))^VLOOKUP(D2146,'Species Codes'!B:L,11,0))*((I2146*0.3048)^VLOOKUP(D2146,'Species Codes'!B:M,12,0))))-(VLOOKUP(D2146,'Species Codes'!B:I,8,0)*((((E2146*2.54)^VLOOKUP(D2146,'Species Codes'!B:L,11,0))*((I2146*0.3048)^VLOOKUP(D2146,'Species Codes'!B:M,12,0))))))*35.3*VLOOKUP(D2146,'Species Codes'!B:G,6,0)/2.2046,VLOOKUP(D2146,'Species Codes'!B:I,8,0)+VLOOKUP(D2146,'Species Codes'!B:J,9,0)*(((E2146*2.54)/100)^2)*(I2146*0.3048)))))*0.0011023),0)</f>
        <v>#N/A</v>
      </c>
      <c r="AC2146" s="104" t="e">
        <f>IF(Z2146&gt;0,((IF(OR(D2146="RA",D2146="OA",D2146="OT",D2146="UN",D2146="PC"),EXP(VLOOKUP(D2146,'Species Codes'!B:O,14,0)+VLOOKUP(D2146,'Species Codes'!B:P,15,0)*LN((E2146*2.54)))-EXP(VLOOKUP(D2146,'Species Codes'!B:O,14,0)+VLOOKUP(D2146,'Species Codes'!B:P,15,0)*LN((E2146*2.54)))*(1/(VLOOKUP(D2146,'Species Codes'!B:Q,16,0)+VLOOKUP(D2146,'Species Codes'!B:R,17,0)*((E2146*2.54)^VLOOKUP(D2146,'Species Codes'!B:S,18,0)))),IF(OR(D2146="BM",D2146="MD",D2146="OA"),EXP(VLOOKUP(D2146,'Species Codes'!B:O,14,0)+VLOOKUP(D2146,'Species Codes'!B:P,15,0)*LN((E2146*2.54)))*(1-(1/(VLOOKUP(D2146,'Species Codes'!B:Q,16,0)+VLOOKUP(D2146,'Species Codes'!B:R,17,0)*((E2146*2.54)^VLOOKUP(D2146,'Species Codes'!B:S,18,0)))))/1000,IF(D2146="DF",EXP(VLOOKUP(D2146,'Species Codes'!B:O,14,0)+VLOOKUP(D2146,'Species Codes'!B:P,15,0)*LN((E2146*2.54))),VLOOKUP(D2146,'Species Codes'!B:O,14,0)+VLOOKUP(D2146,'Species Codes'!B:P,15,0)*(((E2146*2.54)/100)^2)*(I2146*0.3048)))))*0.0011023),0)</f>
        <v>#N/A</v>
      </c>
      <c r="AD2146" s="104" t="e">
        <f t="shared" si="949"/>
        <v>#N/A</v>
      </c>
      <c r="AE2146" s="104" t="e">
        <f t="shared" si="950"/>
        <v>#N/A</v>
      </c>
      <c r="AF2146" s="104" t="e">
        <f>IF(AND(VLOOKUP($D2146,Merchantability!$B:$C,2,0)="Yes",$E2146&gt;=VLOOKUP($D2146,Merchantability!$B:$D,3,0),$E2146&lt;=VLOOKUP($D2146,Merchantability!$B:$E,4,0)),AA2146,0)</f>
        <v>#N/A</v>
      </c>
      <c r="AG2146" s="104" t="e">
        <f>IF(AND(VLOOKUP($D2146,Merchantability!$B:$C,2,0)="Yes",$E2146&gt;=VLOOKUP($D2146,Merchantability!$B:$D,3,0),$E2146&lt;=VLOOKUP($D2146,Merchantability!$B:$E,4,0)),AB2146,0)</f>
        <v>#N/A</v>
      </c>
      <c r="AH2146" s="104" t="e">
        <f>IF(AND(VLOOKUP($D2146,Merchantability!$B:$C,2,0)="Yes",$E2146&gt;=VLOOKUP($D2146,Merchantability!$B:$D,3,0),$E2146&lt;=VLOOKUP($D2146,Merchantability!$B:$E,4,0)),AC2146,0)</f>
        <v>#N/A</v>
      </c>
      <c r="AI2146" s="104" t="e">
        <f t="shared" si="951"/>
        <v>#N/A</v>
      </c>
      <c r="AJ2146" s="104" t="e">
        <f t="shared" si="952"/>
        <v>#VALUE!</v>
      </c>
      <c r="AK2146" s="104" t="e">
        <f t="shared" si="953"/>
        <v>#N/A</v>
      </c>
      <c r="AL2146" s="104" t="e">
        <f t="shared" si="954"/>
        <v>#N/A</v>
      </c>
      <c r="AM2146" s="104" t="e">
        <f t="shared" si="955"/>
        <v>#N/A</v>
      </c>
      <c r="AN2146" s="104" t="e">
        <f t="shared" si="939"/>
        <v>#N/A</v>
      </c>
      <c r="AO2146" s="104" t="e">
        <f t="shared" si="940"/>
        <v>#N/A</v>
      </c>
      <c r="AP2146" s="104" t="e">
        <f t="shared" si="941"/>
        <v>#N/A</v>
      </c>
      <c r="AQ2146" s="104" t="e">
        <f t="shared" si="942"/>
        <v>#N/A</v>
      </c>
      <c r="AR2146" s="105" t="str">
        <f t="shared" si="934"/>
        <v/>
      </c>
      <c r="AS2146" s="105" t="str">
        <f t="shared" si="935"/>
        <v/>
      </c>
      <c r="AT2146" s="108" t="str">
        <f t="shared" si="936"/>
        <v/>
      </c>
      <c r="AU2146" s="108" t="str">
        <f t="shared" si="937"/>
        <v/>
      </c>
      <c r="AV2146" s="107" t="str">
        <f>IF(ISNUMBER(O2146),IF(VLOOKUP($A2146,Stand!C:J,8,FALSE)="Short",AT2146,AU2146),"")</f>
        <v/>
      </c>
      <c r="AW2146" s="109" t="str">
        <f t="shared" si="943"/>
        <v/>
      </c>
      <c r="AX2146" s="109" t="str">
        <f t="shared" si="944"/>
        <v/>
      </c>
      <c r="AY2146" s="112" t="str">
        <f>IF(ISNUMBER(O2146),IF(AND(VLOOKUP($D2146,Merchantability!$B:$C,2,0)="Yes",$E2146&gt;=VLOOKUP($D2146,Merchantability!$B:$D,3,0),$E2146&lt;=VLOOKUP($D2146,Merchantability!$B:$E,4,0)),(AV2146*O2146)*(1-$H2146/100),""),"")</f>
        <v/>
      </c>
      <c r="AZ2146" s="116"/>
      <c r="BA2146" s="116"/>
      <c r="BB2146" s="116"/>
      <c r="BE2146" s="62"/>
      <c r="BF2146" s="63"/>
    </row>
    <row r="2147" spans="1:58" ht="12.75" customHeight="1" x14ac:dyDescent="0.25">
      <c r="A2147" s="334"/>
      <c r="B2147" s="334"/>
      <c r="C2147" s="332"/>
      <c r="D2147" s="334"/>
      <c r="E2147" s="335"/>
      <c r="F2147" s="334"/>
      <c r="G2147" s="332"/>
      <c r="H2147" s="332"/>
      <c r="I2147" s="334"/>
      <c r="J2147" s="336"/>
      <c r="K2147" s="332"/>
      <c r="L2147" s="332"/>
      <c r="M2147" s="76"/>
      <c r="N2147" s="103" t="str">
        <f>IF(A2147="","",VLOOKUP(A2147,Stand!C:K,9,0))</f>
        <v/>
      </c>
      <c r="O2147" s="104" t="str">
        <f t="shared" si="929"/>
        <v/>
      </c>
      <c r="P2147" s="105" t="str">
        <f t="shared" si="930"/>
        <v/>
      </c>
      <c r="Q2147" s="105" t="str">
        <f t="shared" si="945"/>
        <v/>
      </c>
      <c r="R2147" s="103" t="str">
        <f t="shared" si="931"/>
        <v/>
      </c>
      <c r="S2147" s="103" t="str">
        <f t="shared" si="932"/>
        <v/>
      </c>
      <c r="T2147" s="106" t="str">
        <f t="shared" si="946"/>
        <v/>
      </c>
      <c r="U2147" s="106" t="str">
        <f t="shared" si="947"/>
        <v/>
      </c>
      <c r="V2147" s="106" t="str">
        <f t="shared" si="948"/>
        <v/>
      </c>
      <c r="W2147" s="105" t="str">
        <f t="shared" si="933"/>
        <v/>
      </c>
      <c r="X2147" s="104" t="str">
        <f t="shared" si="938"/>
        <v/>
      </c>
      <c r="Y2147" s="104" t="str">
        <f t="array" ref="Y2147">IFERROR(IF(ISNUMBER(O2147),IF(COUNT(IF(A2147=$A$2:$A$2427,IF(D2147=$D$2:$D$2427,IF($X$2:$X$2427&gt;0,1))))&gt;0,SUM(IF(A2147=$A$2:$A$2427,IF(D2147=$D$2:$D$2427,$X$2:$X$2427)))/COUNT(IF(A2147=$A$2:$A$2427,IF(D2147=$D$2:$D$2427,IF(ISNUMBER($X$2:$X$2427),1)))),0),""),0)</f>
        <v/>
      </c>
      <c r="Z2147" s="104" t="str">
        <f>IF(ISNUMBER(O2147),IF(I2147&gt;0,(10^(VLOOKUP(D2147,'Species Codes'!B:C,2,0)+VLOOKUP(D2147,'Species Codes'!B:D,3,0)*LOG(E2147)+VLOOKUP(D2147,'Species Codes'!B:E,4,0)*LOG(I2147))),0),"")</f>
        <v/>
      </c>
      <c r="AA2147" s="104" t="str">
        <f>IFERROR((VLOOKUP(D2147,'Species Codes'!B:G,6,0)*Z2147)/2000,"")</f>
        <v/>
      </c>
      <c r="AB2147" s="104" t="e">
        <f>IF(Z2147&gt;0,((IF(OR(D2147="DF",D2147="RA")=TRUE,EXP(VLOOKUP(D2147,'Species Codes'!B:I,8,0)+VLOOKUP(D2147,'Species Codes'!B:J,9,0)*(LN((E2147*2.54)))),IF(OR(D2147="PY",D2147="RC",D2147="WH",D2147="NF")=TRUE,VLOOKUP(D2147,'Species Codes'!B:I,8,0)+VLOOKUP(D2147,'Species Codes'!B:J,9,0)*((E2147*2.54)^2)*(I2147*0.3048),IF(OR(D2147="MD",D2147="BM",D2147="GA")=TRUE,((VLOOKUP(D2147,'Species Codes'!B:I,8,0)*(((((E2147*2.54)+VLOOKUP(D2147,'Species Codes'!B:J,9,0))/VLOOKUP(D2147,'Species Codes'!B:K,10,0))^VLOOKUP(D2147,'Species Codes'!B:L,11,0))*((I2147*0.3048)^VLOOKUP(D2147,'Species Codes'!B:M,12,0))))-(VLOOKUP(D2147,'Species Codes'!B:I,8,0)*((((E2147*2.54)^VLOOKUP(D2147,'Species Codes'!B:L,11,0))*((I2147*0.3048)^VLOOKUP(D2147,'Species Codes'!B:M,12,0))))))*35.3*VLOOKUP(D2147,'Species Codes'!B:G,6,0)/2.2046,VLOOKUP(D2147,'Species Codes'!B:I,8,0)+VLOOKUP(D2147,'Species Codes'!B:J,9,0)*(((E2147*2.54)/100)^2)*(I2147*0.3048)))))*0.0011023),0)</f>
        <v>#N/A</v>
      </c>
      <c r="AC2147" s="104" t="e">
        <f>IF(Z2147&gt;0,((IF(OR(D2147="RA",D2147="OA",D2147="OT",D2147="UN",D2147="PC"),EXP(VLOOKUP(D2147,'Species Codes'!B:O,14,0)+VLOOKUP(D2147,'Species Codes'!B:P,15,0)*LN((E2147*2.54)))-EXP(VLOOKUP(D2147,'Species Codes'!B:O,14,0)+VLOOKUP(D2147,'Species Codes'!B:P,15,0)*LN((E2147*2.54)))*(1/(VLOOKUP(D2147,'Species Codes'!B:Q,16,0)+VLOOKUP(D2147,'Species Codes'!B:R,17,0)*((E2147*2.54)^VLOOKUP(D2147,'Species Codes'!B:S,18,0)))),IF(OR(D2147="BM",D2147="MD",D2147="OA"),EXP(VLOOKUP(D2147,'Species Codes'!B:O,14,0)+VLOOKUP(D2147,'Species Codes'!B:P,15,0)*LN((E2147*2.54)))*(1-(1/(VLOOKUP(D2147,'Species Codes'!B:Q,16,0)+VLOOKUP(D2147,'Species Codes'!B:R,17,0)*((E2147*2.54)^VLOOKUP(D2147,'Species Codes'!B:S,18,0)))))/1000,IF(D2147="DF",EXP(VLOOKUP(D2147,'Species Codes'!B:O,14,0)+VLOOKUP(D2147,'Species Codes'!B:P,15,0)*LN((E2147*2.54))),VLOOKUP(D2147,'Species Codes'!B:O,14,0)+VLOOKUP(D2147,'Species Codes'!B:P,15,0)*(((E2147*2.54)/100)^2)*(I2147*0.3048)))))*0.0011023),0)</f>
        <v>#N/A</v>
      </c>
      <c r="AD2147" s="104" t="e">
        <f t="shared" si="949"/>
        <v>#N/A</v>
      </c>
      <c r="AE2147" s="104" t="e">
        <f t="shared" si="950"/>
        <v>#N/A</v>
      </c>
      <c r="AF2147" s="104" t="e">
        <f>IF(AND(VLOOKUP($D2147,Merchantability!$B:$C,2,0)="Yes",$E2147&gt;=VLOOKUP($D2147,Merchantability!$B:$D,3,0),$E2147&lt;=VLOOKUP($D2147,Merchantability!$B:$E,4,0)),AA2147,0)</f>
        <v>#N/A</v>
      </c>
      <c r="AG2147" s="104" t="e">
        <f>IF(AND(VLOOKUP($D2147,Merchantability!$B:$C,2,0)="Yes",$E2147&gt;=VLOOKUP($D2147,Merchantability!$B:$D,3,0),$E2147&lt;=VLOOKUP($D2147,Merchantability!$B:$E,4,0)),AB2147,0)</f>
        <v>#N/A</v>
      </c>
      <c r="AH2147" s="104" t="e">
        <f>IF(AND(VLOOKUP($D2147,Merchantability!$B:$C,2,0)="Yes",$E2147&gt;=VLOOKUP($D2147,Merchantability!$B:$D,3,0),$E2147&lt;=VLOOKUP($D2147,Merchantability!$B:$E,4,0)),AC2147,0)</f>
        <v>#N/A</v>
      </c>
      <c r="AI2147" s="104" t="e">
        <f t="shared" si="951"/>
        <v>#N/A</v>
      </c>
      <c r="AJ2147" s="104" t="e">
        <f t="shared" si="952"/>
        <v>#VALUE!</v>
      </c>
      <c r="AK2147" s="104" t="e">
        <f t="shared" si="953"/>
        <v>#N/A</v>
      </c>
      <c r="AL2147" s="104" t="e">
        <f t="shared" si="954"/>
        <v>#N/A</v>
      </c>
      <c r="AM2147" s="104" t="e">
        <f t="shared" si="955"/>
        <v>#N/A</v>
      </c>
      <c r="AN2147" s="104" t="e">
        <f t="shared" si="939"/>
        <v>#N/A</v>
      </c>
      <c r="AO2147" s="104" t="e">
        <f t="shared" si="940"/>
        <v>#N/A</v>
      </c>
      <c r="AP2147" s="104" t="e">
        <f t="shared" si="941"/>
        <v>#N/A</v>
      </c>
      <c r="AQ2147" s="104" t="e">
        <f t="shared" si="942"/>
        <v>#N/A</v>
      </c>
      <c r="AR2147" s="105" t="str">
        <f t="shared" si="934"/>
        <v/>
      </c>
      <c r="AS2147" s="105" t="str">
        <f t="shared" si="935"/>
        <v/>
      </c>
      <c r="AT2147" s="108" t="str">
        <f t="shared" si="936"/>
        <v/>
      </c>
      <c r="AU2147" s="108" t="str">
        <f t="shared" si="937"/>
        <v/>
      </c>
      <c r="AV2147" s="107" t="str">
        <f>IF(ISNUMBER(O2147),IF(VLOOKUP($A2147,Stand!C:J,8,FALSE)="Short",AT2147,AU2147),"")</f>
        <v/>
      </c>
      <c r="AW2147" s="109" t="str">
        <f t="shared" si="943"/>
        <v/>
      </c>
      <c r="AX2147" s="109" t="str">
        <f t="shared" si="944"/>
        <v/>
      </c>
      <c r="AY2147" s="112" t="str">
        <f>IF(ISNUMBER(O2147),IF(AND(VLOOKUP($D2147,Merchantability!$B:$C,2,0)="Yes",$E2147&gt;=VLOOKUP($D2147,Merchantability!$B:$D,3,0),$E2147&lt;=VLOOKUP($D2147,Merchantability!$B:$E,4,0)),(AV2147*O2147)*(1-$H2147/100),""),"")</f>
        <v/>
      </c>
      <c r="AZ2147" s="116"/>
      <c r="BA2147" s="116"/>
      <c r="BB2147" s="116"/>
      <c r="BE2147" s="62"/>
      <c r="BF2147" s="63"/>
    </row>
    <row r="2148" spans="1:58" ht="12.75" customHeight="1" x14ac:dyDescent="0.25">
      <c r="A2148" s="334"/>
      <c r="B2148" s="334"/>
      <c r="C2148" s="332"/>
      <c r="D2148" s="334"/>
      <c r="E2148" s="335"/>
      <c r="F2148" s="334"/>
      <c r="G2148" s="332"/>
      <c r="H2148" s="332"/>
      <c r="I2148" s="334"/>
      <c r="J2148" s="336"/>
      <c r="K2148" s="332"/>
      <c r="L2148" s="332"/>
      <c r="M2148" s="76"/>
      <c r="N2148" s="103" t="str">
        <f>IF(A2148="","",VLOOKUP(A2148,Stand!C:K,9,0))</f>
        <v/>
      </c>
      <c r="O2148" s="104" t="str">
        <f t="shared" si="929"/>
        <v/>
      </c>
      <c r="P2148" s="105" t="str">
        <f t="shared" si="930"/>
        <v/>
      </c>
      <c r="Q2148" s="105" t="str">
        <f t="shared" si="945"/>
        <v/>
      </c>
      <c r="R2148" s="103" t="str">
        <f t="shared" si="931"/>
        <v/>
      </c>
      <c r="S2148" s="103" t="str">
        <f t="shared" si="932"/>
        <v/>
      </c>
      <c r="T2148" s="106" t="str">
        <f t="shared" si="946"/>
        <v/>
      </c>
      <c r="U2148" s="106" t="str">
        <f t="shared" si="947"/>
        <v/>
      </c>
      <c r="V2148" s="106" t="str">
        <f t="shared" si="948"/>
        <v/>
      </c>
      <c r="W2148" s="105" t="str">
        <f t="shared" si="933"/>
        <v/>
      </c>
      <c r="X2148" s="104" t="str">
        <f t="shared" si="938"/>
        <v/>
      </c>
      <c r="Y2148" s="104" t="str">
        <f t="array" ref="Y2148">IFERROR(IF(ISNUMBER(O2148),IF(COUNT(IF(A2148=$A$2:$A$2427,IF(D2148=$D$2:$D$2427,IF($X$2:$X$2427&gt;0,1))))&gt;0,SUM(IF(A2148=$A$2:$A$2427,IF(D2148=$D$2:$D$2427,$X$2:$X$2427)))/COUNT(IF(A2148=$A$2:$A$2427,IF(D2148=$D$2:$D$2427,IF(ISNUMBER($X$2:$X$2427),1)))),0),""),0)</f>
        <v/>
      </c>
      <c r="Z2148" s="104" t="str">
        <f>IF(ISNUMBER(O2148),IF(I2148&gt;0,(10^(VLOOKUP(D2148,'Species Codes'!B:C,2,0)+VLOOKUP(D2148,'Species Codes'!B:D,3,0)*LOG(E2148)+VLOOKUP(D2148,'Species Codes'!B:E,4,0)*LOG(I2148))),0),"")</f>
        <v/>
      </c>
      <c r="AA2148" s="104" t="str">
        <f>IFERROR((VLOOKUP(D2148,'Species Codes'!B:G,6,0)*Z2148)/2000,"")</f>
        <v/>
      </c>
      <c r="AB2148" s="104" t="e">
        <f>IF(Z2148&gt;0,((IF(OR(D2148="DF",D2148="RA")=TRUE,EXP(VLOOKUP(D2148,'Species Codes'!B:I,8,0)+VLOOKUP(D2148,'Species Codes'!B:J,9,0)*(LN((E2148*2.54)))),IF(OR(D2148="PY",D2148="RC",D2148="WH",D2148="NF")=TRUE,VLOOKUP(D2148,'Species Codes'!B:I,8,0)+VLOOKUP(D2148,'Species Codes'!B:J,9,0)*((E2148*2.54)^2)*(I2148*0.3048),IF(OR(D2148="MD",D2148="BM",D2148="GA")=TRUE,((VLOOKUP(D2148,'Species Codes'!B:I,8,0)*(((((E2148*2.54)+VLOOKUP(D2148,'Species Codes'!B:J,9,0))/VLOOKUP(D2148,'Species Codes'!B:K,10,0))^VLOOKUP(D2148,'Species Codes'!B:L,11,0))*((I2148*0.3048)^VLOOKUP(D2148,'Species Codes'!B:M,12,0))))-(VLOOKUP(D2148,'Species Codes'!B:I,8,0)*((((E2148*2.54)^VLOOKUP(D2148,'Species Codes'!B:L,11,0))*((I2148*0.3048)^VLOOKUP(D2148,'Species Codes'!B:M,12,0))))))*35.3*VLOOKUP(D2148,'Species Codes'!B:G,6,0)/2.2046,VLOOKUP(D2148,'Species Codes'!B:I,8,0)+VLOOKUP(D2148,'Species Codes'!B:J,9,0)*(((E2148*2.54)/100)^2)*(I2148*0.3048)))))*0.0011023),0)</f>
        <v>#N/A</v>
      </c>
      <c r="AC2148" s="104" t="e">
        <f>IF(Z2148&gt;0,((IF(OR(D2148="RA",D2148="OA",D2148="OT",D2148="UN",D2148="PC"),EXP(VLOOKUP(D2148,'Species Codes'!B:O,14,0)+VLOOKUP(D2148,'Species Codes'!B:P,15,0)*LN((E2148*2.54)))-EXP(VLOOKUP(D2148,'Species Codes'!B:O,14,0)+VLOOKUP(D2148,'Species Codes'!B:P,15,0)*LN((E2148*2.54)))*(1/(VLOOKUP(D2148,'Species Codes'!B:Q,16,0)+VLOOKUP(D2148,'Species Codes'!B:R,17,0)*((E2148*2.54)^VLOOKUP(D2148,'Species Codes'!B:S,18,0)))),IF(OR(D2148="BM",D2148="MD",D2148="OA"),EXP(VLOOKUP(D2148,'Species Codes'!B:O,14,0)+VLOOKUP(D2148,'Species Codes'!B:P,15,0)*LN((E2148*2.54)))*(1-(1/(VLOOKUP(D2148,'Species Codes'!B:Q,16,0)+VLOOKUP(D2148,'Species Codes'!B:R,17,0)*((E2148*2.54)^VLOOKUP(D2148,'Species Codes'!B:S,18,0)))))/1000,IF(D2148="DF",EXP(VLOOKUP(D2148,'Species Codes'!B:O,14,0)+VLOOKUP(D2148,'Species Codes'!B:P,15,0)*LN((E2148*2.54))),VLOOKUP(D2148,'Species Codes'!B:O,14,0)+VLOOKUP(D2148,'Species Codes'!B:P,15,0)*(((E2148*2.54)/100)^2)*(I2148*0.3048)))))*0.0011023),0)</f>
        <v>#N/A</v>
      </c>
      <c r="AD2148" s="104" t="e">
        <f t="shared" si="949"/>
        <v>#N/A</v>
      </c>
      <c r="AE2148" s="104" t="e">
        <f t="shared" si="950"/>
        <v>#N/A</v>
      </c>
      <c r="AF2148" s="104" t="e">
        <f>IF(AND(VLOOKUP($D2148,Merchantability!$B:$C,2,0)="Yes",$E2148&gt;=VLOOKUP($D2148,Merchantability!$B:$D,3,0),$E2148&lt;=VLOOKUP($D2148,Merchantability!$B:$E,4,0)),AA2148,0)</f>
        <v>#N/A</v>
      </c>
      <c r="AG2148" s="104" t="e">
        <f>IF(AND(VLOOKUP($D2148,Merchantability!$B:$C,2,0)="Yes",$E2148&gt;=VLOOKUP($D2148,Merchantability!$B:$D,3,0),$E2148&lt;=VLOOKUP($D2148,Merchantability!$B:$E,4,0)),AB2148,0)</f>
        <v>#N/A</v>
      </c>
      <c r="AH2148" s="104" t="e">
        <f>IF(AND(VLOOKUP($D2148,Merchantability!$B:$C,2,0)="Yes",$E2148&gt;=VLOOKUP($D2148,Merchantability!$B:$D,3,0),$E2148&lt;=VLOOKUP($D2148,Merchantability!$B:$E,4,0)),AC2148,0)</f>
        <v>#N/A</v>
      </c>
      <c r="AI2148" s="104" t="e">
        <f t="shared" si="951"/>
        <v>#N/A</v>
      </c>
      <c r="AJ2148" s="104" t="e">
        <f t="shared" si="952"/>
        <v>#VALUE!</v>
      </c>
      <c r="AK2148" s="104" t="e">
        <f t="shared" si="953"/>
        <v>#N/A</v>
      </c>
      <c r="AL2148" s="104" t="e">
        <f t="shared" si="954"/>
        <v>#N/A</v>
      </c>
      <c r="AM2148" s="104" t="e">
        <f t="shared" si="955"/>
        <v>#N/A</v>
      </c>
      <c r="AN2148" s="104" t="e">
        <f t="shared" si="939"/>
        <v>#N/A</v>
      </c>
      <c r="AO2148" s="104" t="e">
        <f t="shared" si="940"/>
        <v>#N/A</v>
      </c>
      <c r="AP2148" s="104" t="e">
        <f t="shared" si="941"/>
        <v>#N/A</v>
      </c>
      <c r="AQ2148" s="104" t="e">
        <f t="shared" si="942"/>
        <v>#N/A</v>
      </c>
      <c r="AR2148" s="105" t="str">
        <f t="shared" si="934"/>
        <v/>
      </c>
      <c r="AS2148" s="105" t="str">
        <f t="shared" si="935"/>
        <v/>
      </c>
      <c r="AT2148" s="108" t="str">
        <f t="shared" si="936"/>
        <v/>
      </c>
      <c r="AU2148" s="108" t="str">
        <f t="shared" si="937"/>
        <v/>
      </c>
      <c r="AV2148" s="107" t="str">
        <f>IF(ISNUMBER(O2148),IF(VLOOKUP($A2148,Stand!C:J,8,FALSE)="Short",AT2148,AU2148),"")</f>
        <v/>
      </c>
      <c r="AW2148" s="109" t="str">
        <f t="shared" si="943"/>
        <v/>
      </c>
      <c r="AX2148" s="109" t="str">
        <f t="shared" si="944"/>
        <v/>
      </c>
      <c r="AY2148" s="112" t="str">
        <f>IF(ISNUMBER(O2148),IF(AND(VLOOKUP($D2148,Merchantability!$B:$C,2,0)="Yes",$E2148&gt;=VLOOKUP($D2148,Merchantability!$B:$D,3,0),$E2148&lt;=VLOOKUP($D2148,Merchantability!$B:$E,4,0)),(AV2148*O2148)*(1-$H2148/100),""),"")</f>
        <v/>
      </c>
      <c r="AZ2148" s="116"/>
      <c r="BA2148" s="116"/>
      <c r="BB2148" s="116"/>
      <c r="BE2148" s="62"/>
      <c r="BF2148" s="63"/>
    </row>
    <row r="2149" spans="1:58" ht="12.75" customHeight="1" x14ac:dyDescent="0.25">
      <c r="A2149" s="334"/>
      <c r="B2149" s="334"/>
      <c r="C2149" s="332"/>
      <c r="D2149" s="334"/>
      <c r="E2149" s="335"/>
      <c r="F2149" s="334"/>
      <c r="G2149" s="332"/>
      <c r="H2149" s="332"/>
      <c r="I2149" s="334"/>
      <c r="J2149" s="336"/>
      <c r="K2149" s="332"/>
      <c r="L2149" s="332"/>
      <c r="M2149" s="76"/>
      <c r="N2149" s="103" t="str">
        <f>IF(A2149="","",VLOOKUP(A2149,Stand!C:K,9,0))</f>
        <v/>
      </c>
      <c r="O2149" s="104" t="str">
        <f t="shared" si="929"/>
        <v/>
      </c>
      <c r="P2149" s="105" t="str">
        <f t="shared" si="930"/>
        <v/>
      </c>
      <c r="Q2149" s="105" t="str">
        <f t="shared" si="945"/>
        <v/>
      </c>
      <c r="R2149" s="103" t="str">
        <f t="shared" si="931"/>
        <v/>
      </c>
      <c r="S2149" s="103" t="str">
        <f t="shared" si="932"/>
        <v/>
      </c>
      <c r="T2149" s="106" t="str">
        <f t="shared" si="946"/>
        <v/>
      </c>
      <c r="U2149" s="106" t="str">
        <f t="shared" si="947"/>
        <v/>
      </c>
      <c r="V2149" s="106" t="str">
        <f t="shared" si="948"/>
        <v/>
      </c>
      <c r="W2149" s="105" t="str">
        <f t="shared" si="933"/>
        <v/>
      </c>
      <c r="X2149" s="104" t="str">
        <f t="shared" si="938"/>
        <v/>
      </c>
      <c r="Y2149" s="104" t="str">
        <f t="array" ref="Y2149">IFERROR(IF(ISNUMBER(O2149),IF(COUNT(IF(A2149=$A$2:$A$2427,IF(D2149=$D$2:$D$2427,IF($X$2:$X$2427&gt;0,1))))&gt;0,SUM(IF(A2149=$A$2:$A$2427,IF(D2149=$D$2:$D$2427,$X$2:$X$2427)))/COUNT(IF(A2149=$A$2:$A$2427,IF(D2149=$D$2:$D$2427,IF(ISNUMBER($X$2:$X$2427),1)))),0),""),0)</f>
        <v/>
      </c>
      <c r="Z2149" s="104" t="str">
        <f>IF(ISNUMBER(O2149),IF(I2149&gt;0,(10^(VLOOKUP(D2149,'Species Codes'!B:C,2,0)+VLOOKUP(D2149,'Species Codes'!B:D,3,0)*LOG(E2149)+VLOOKUP(D2149,'Species Codes'!B:E,4,0)*LOG(I2149))),0),"")</f>
        <v/>
      </c>
      <c r="AA2149" s="104" t="str">
        <f>IFERROR((VLOOKUP(D2149,'Species Codes'!B:G,6,0)*Z2149)/2000,"")</f>
        <v/>
      </c>
      <c r="AB2149" s="104" t="e">
        <f>IF(Z2149&gt;0,((IF(OR(D2149="DF",D2149="RA")=TRUE,EXP(VLOOKUP(D2149,'Species Codes'!B:I,8,0)+VLOOKUP(D2149,'Species Codes'!B:J,9,0)*(LN((E2149*2.54)))),IF(OR(D2149="PY",D2149="RC",D2149="WH",D2149="NF")=TRUE,VLOOKUP(D2149,'Species Codes'!B:I,8,0)+VLOOKUP(D2149,'Species Codes'!B:J,9,0)*((E2149*2.54)^2)*(I2149*0.3048),IF(OR(D2149="MD",D2149="BM",D2149="GA")=TRUE,((VLOOKUP(D2149,'Species Codes'!B:I,8,0)*(((((E2149*2.54)+VLOOKUP(D2149,'Species Codes'!B:J,9,0))/VLOOKUP(D2149,'Species Codes'!B:K,10,0))^VLOOKUP(D2149,'Species Codes'!B:L,11,0))*((I2149*0.3048)^VLOOKUP(D2149,'Species Codes'!B:M,12,0))))-(VLOOKUP(D2149,'Species Codes'!B:I,8,0)*((((E2149*2.54)^VLOOKUP(D2149,'Species Codes'!B:L,11,0))*((I2149*0.3048)^VLOOKUP(D2149,'Species Codes'!B:M,12,0))))))*35.3*VLOOKUP(D2149,'Species Codes'!B:G,6,0)/2.2046,VLOOKUP(D2149,'Species Codes'!B:I,8,0)+VLOOKUP(D2149,'Species Codes'!B:J,9,0)*(((E2149*2.54)/100)^2)*(I2149*0.3048)))))*0.0011023),0)</f>
        <v>#N/A</v>
      </c>
      <c r="AC2149" s="104" t="e">
        <f>IF(Z2149&gt;0,((IF(OR(D2149="RA",D2149="OA",D2149="OT",D2149="UN",D2149="PC"),EXP(VLOOKUP(D2149,'Species Codes'!B:O,14,0)+VLOOKUP(D2149,'Species Codes'!B:P,15,0)*LN((E2149*2.54)))-EXP(VLOOKUP(D2149,'Species Codes'!B:O,14,0)+VLOOKUP(D2149,'Species Codes'!B:P,15,0)*LN((E2149*2.54)))*(1/(VLOOKUP(D2149,'Species Codes'!B:Q,16,0)+VLOOKUP(D2149,'Species Codes'!B:R,17,0)*((E2149*2.54)^VLOOKUP(D2149,'Species Codes'!B:S,18,0)))),IF(OR(D2149="BM",D2149="MD",D2149="OA"),EXP(VLOOKUP(D2149,'Species Codes'!B:O,14,0)+VLOOKUP(D2149,'Species Codes'!B:P,15,0)*LN((E2149*2.54)))*(1-(1/(VLOOKUP(D2149,'Species Codes'!B:Q,16,0)+VLOOKUP(D2149,'Species Codes'!B:R,17,0)*((E2149*2.54)^VLOOKUP(D2149,'Species Codes'!B:S,18,0)))))/1000,IF(D2149="DF",EXP(VLOOKUP(D2149,'Species Codes'!B:O,14,0)+VLOOKUP(D2149,'Species Codes'!B:P,15,0)*LN((E2149*2.54))),VLOOKUP(D2149,'Species Codes'!B:O,14,0)+VLOOKUP(D2149,'Species Codes'!B:P,15,0)*(((E2149*2.54)/100)^2)*(I2149*0.3048)))))*0.0011023),0)</f>
        <v>#N/A</v>
      </c>
      <c r="AD2149" s="104" t="e">
        <f t="shared" si="949"/>
        <v>#N/A</v>
      </c>
      <c r="AE2149" s="104" t="e">
        <f t="shared" si="950"/>
        <v>#N/A</v>
      </c>
      <c r="AF2149" s="104" t="e">
        <f>IF(AND(VLOOKUP($D2149,Merchantability!$B:$C,2,0)="Yes",$E2149&gt;=VLOOKUP($D2149,Merchantability!$B:$D,3,0),$E2149&lt;=VLOOKUP($D2149,Merchantability!$B:$E,4,0)),AA2149,0)</f>
        <v>#N/A</v>
      </c>
      <c r="AG2149" s="104" t="e">
        <f>IF(AND(VLOOKUP($D2149,Merchantability!$B:$C,2,0)="Yes",$E2149&gt;=VLOOKUP($D2149,Merchantability!$B:$D,3,0),$E2149&lt;=VLOOKUP($D2149,Merchantability!$B:$E,4,0)),AB2149,0)</f>
        <v>#N/A</v>
      </c>
      <c r="AH2149" s="104" t="e">
        <f>IF(AND(VLOOKUP($D2149,Merchantability!$B:$C,2,0)="Yes",$E2149&gt;=VLOOKUP($D2149,Merchantability!$B:$D,3,0),$E2149&lt;=VLOOKUP($D2149,Merchantability!$B:$E,4,0)),AC2149,0)</f>
        <v>#N/A</v>
      </c>
      <c r="AI2149" s="104" t="e">
        <f t="shared" si="951"/>
        <v>#N/A</v>
      </c>
      <c r="AJ2149" s="104" t="e">
        <f t="shared" si="952"/>
        <v>#VALUE!</v>
      </c>
      <c r="AK2149" s="104" t="e">
        <f t="shared" si="953"/>
        <v>#N/A</v>
      </c>
      <c r="AL2149" s="104" t="e">
        <f t="shared" si="954"/>
        <v>#N/A</v>
      </c>
      <c r="AM2149" s="104" t="e">
        <f t="shared" si="955"/>
        <v>#N/A</v>
      </c>
      <c r="AN2149" s="104" t="e">
        <f t="shared" si="939"/>
        <v>#N/A</v>
      </c>
      <c r="AO2149" s="104" t="e">
        <f t="shared" si="940"/>
        <v>#N/A</v>
      </c>
      <c r="AP2149" s="104" t="e">
        <f t="shared" si="941"/>
        <v>#N/A</v>
      </c>
      <c r="AQ2149" s="104" t="e">
        <f t="shared" si="942"/>
        <v>#N/A</v>
      </c>
      <c r="AR2149" s="105" t="str">
        <f t="shared" si="934"/>
        <v/>
      </c>
      <c r="AS2149" s="105" t="str">
        <f t="shared" si="935"/>
        <v/>
      </c>
      <c r="AT2149" s="108" t="str">
        <f t="shared" si="936"/>
        <v/>
      </c>
      <c r="AU2149" s="108" t="str">
        <f t="shared" si="937"/>
        <v/>
      </c>
      <c r="AV2149" s="107" t="str">
        <f>IF(ISNUMBER(O2149),IF(VLOOKUP($A2149,Stand!C:J,8,FALSE)="Short",AT2149,AU2149),"")</f>
        <v/>
      </c>
      <c r="AW2149" s="109" t="str">
        <f t="shared" si="943"/>
        <v/>
      </c>
      <c r="AX2149" s="109" t="str">
        <f t="shared" si="944"/>
        <v/>
      </c>
      <c r="AY2149" s="112" t="str">
        <f>IF(ISNUMBER(O2149),IF(AND(VLOOKUP($D2149,Merchantability!$B:$C,2,0)="Yes",$E2149&gt;=VLOOKUP($D2149,Merchantability!$B:$D,3,0),$E2149&lt;=VLOOKUP($D2149,Merchantability!$B:$E,4,0)),(AV2149*O2149)*(1-$H2149/100),""),"")</f>
        <v/>
      </c>
      <c r="AZ2149" s="116"/>
      <c r="BA2149" s="116"/>
      <c r="BB2149" s="116"/>
      <c r="BE2149" s="62"/>
      <c r="BF2149" s="63"/>
    </row>
    <row r="2150" spans="1:58" ht="12.75" customHeight="1" x14ac:dyDescent="0.25">
      <c r="A2150" s="334"/>
      <c r="B2150" s="334"/>
      <c r="C2150" s="332"/>
      <c r="D2150" s="334"/>
      <c r="E2150" s="335"/>
      <c r="F2150" s="334"/>
      <c r="G2150" s="332"/>
      <c r="H2150" s="332"/>
      <c r="I2150" s="334"/>
      <c r="J2150" s="336"/>
      <c r="K2150" s="332"/>
      <c r="L2150" s="332"/>
      <c r="M2150" s="76"/>
      <c r="N2150" s="103" t="str">
        <f>IF(A2150="","",VLOOKUP(A2150,Stand!C:K,9,0))</f>
        <v/>
      </c>
      <c r="O2150" s="104" t="str">
        <f t="shared" si="929"/>
        <v/>
      </c>
      <c r="P2150" s="105" t="str">
        <f t="shared" si="930"/>
        <v/>
      </c>
      <c r="Q2150" s="105" t="str">
        <f t="shared" si="945"/>
        <v/>
      </c>
      <c r="R2150" s="103" t="str">
        <f t="shared" si="931"/>
        <v/>
      </c>
      <c r="S2150" s="103" t="str">
        <f t="shared" si="932"/>
        <v/>
      </c>
      <c r="T2150" s="106" t="str">
        <f t="shared" si="946"/>
        <v/>
      </c>
      <c r="U2150" s="106" t="str">
        <f t="shared" si="947"/>
        <v/>
      </c>
      <c r="V2150" s="106" t="str">
        <f t="shared" si="948"/>
        <v/>
      </c>
      <c r="W2150" s="105" t="str">
        <f t="shared" si="933"/>
        <v/>
      </c>
      <c r="X2150" s="104" t="str">
        <f t="shared" si="938"/>
        <v/>
      </c>
      <c r="Y2150" s="104" t="str">
        <f t="array" ref="Y2150">IFERROR(IF(ISNUMBER(O2150),IF(COUNT(IF(A2150=$A$2:$A$2427,IF(D2150=$D$2:$D$2427,IF($X$2:$X$2427&gt;0,1))))&gt;0,SUM(IF(A2150=$A$2:$A$2427,IF(D2150=$D$2:$D$2427,$X$2:$X$2427)))/COUNT(IF(A2150=$A$2:$A$2427,IF(D2150=$D$2:$D$2427,IF(ISNUMBER($X$2:$X$2427),1)))),0),""),0)</f>
        <v/>
      </c>
      <c r="Z2150" s="104" t="str">
        <f>IF(ISNUMBER(O2150),IF(I2150&gt;0,(10^(VLOOKUP(D2150,'Species Codes'!B:C,2,0)+VLOOKUP(D2150,'Species Codes'!B:D,3,0)*LOG(E2150)+VLOOKUP(D2150,'Species Codes'!B:E,4,0)*LOG(I2150))),0),"")</f>
        <v/>
      </c>
      <c r="AA2150" s="104" t="str">
        <f>IFERROR((VLOOKUP(D2150,'Species Codes'!B:G,6,0)*Z2150)/2000,"")</f>
        <v/>
      </c>
      <c r="AB2150" s="104" t="e">
        <f>IF(Z2150&gt;0,((IF(OR(D2150="DF",D2150="RA")=TRUE,EXP(VLOOKUP(D2150,'Species Codes'!B:I,8,0)+VLOOKUP(D2150,'Species Codes'!B:J,9,0)*(LN((E2150*2.54)))),IF(OR(D2150="PY",D2150="RC",D2150="WH",D2150="NF")=TRUE,VLOOKUP(D2150,'Species Codes'!B:I,8,0)+VLOOKUP(D2150,'Species Codes'!B:J,9,0)*((E2150*2.54)^2)*(I2150*0.3048),IF(OR(D2150="MD",D2150="BM",D2150="GA")=TRUE,((VLOOKUP(D2150,'Species Codes'!B:I,8,0)*(((((E2150*2.54)+VLOOKUP(D2150,'Species Codes'!B:J,9,0))/VLOOKUP(D2150,'Species Codes'!B:K,10,0))^VLOOKUP(D2150,'Species Codes'!B:L,11,0))*((I2150*0.3048)^VLOOKUP(D2150,'Species Codes'!B:M,12,0))))-(VLOOKUP(D2150,'Species Codes'!B:I,8,0)*((((E2150*2.54)^VLOOKUP(D2150,'Species Codes'!B:L,11,0))*((I2150*0.3048)^VLOOKUP(D2150,'Species Codes'!B:M,12,0))))))*35.3*VLOOKUP(D2150,'Species Codes'!B:G,6,0)/2.2046,VLOOKUP(D2150,'Species Codes'!B:I,8,0)+VLOOKUP(D2150,'Species Codes'!B:J,9,0)*(((E2150*2.54)/100)^2)*(I2150*0.3048)))))*0.0011023),0)</f>
        <v>#N/A</v>
      </c>
      <c r="AC2150" s="104" t="e">
        <f>IF(Z2150&gt;0,((IF(OR(D2150="RA",D2150="OA",D2150="OT",D2150="UN",D2150="PC"),EXP(VLOOKUP(D2150,'Species Codes'!B:O,14,0)+VLOOKUP(D2150,'Species Codes'!B:P,15,0)*LN((E2150*2.54)))-EXP(VLOOKUP(D2150,'Species Codes'!B:O,14,0)+VLOOKUP(D2150,'Species Codes'!B:P,15,0)*LN((E2150*2.54)))*(1/(VLOOKUP(D2150,'Species Codes'!B:Q,16,0)+VLOOKUP(D2150,'Species Codes'!B:R,17,0)*((E2150*2.54)^VLOOKUP(D2150,'Species Codes'!B:S,18,0)))),IF(OR(D2150="BM",D2150="MD",D2150="OA"),EXP(VLOOKUP(D2150,'Species Codes'!B:O,14,0)+VLOOKUP(D2150,'Species Codes'!B:P,15,0)*LN((E2150*2.54)))*(1-(1/(VLOOKUP(D2150,'Species Codes'!B:Q,16,0)+VLOOKUP(D2150,'Species Codes'!B:R,17,0)*((E2150*2.54)^VLOOKUP(D2150,'Species Codes'!B:S,18,0)))))/1000,IF(D2150="DF",EXP(VLOOKUP(D2150,'Species Codes'!B:O,14,0)+VLOOKUP(D2150,'Species Codes'!B:P,15,0)*LN((E2150*2.54))),VLOOKUP(D2150,'Species Codes'!B:O,14,0)+VLOOKUP(D2150,'Species Codes'!B:P,15,0)*(((E2150*2.54)/100)^2)*(I2150*0.3048)))))*0.0011023),0)</f>
        <v>#N/A</v>
      </c>
      <c r="AD2150" s="104" t="e">
        <f t="shared" si="949"/>
        <v>#N/A</v>
      </c>
      <c r="AE2150" s="104" t="e">
        <f t="shared" si="950"/>
        <v>#N/A</v>
      </c>
      <c r="AF2150" s="104" t="e">
        <f>IF(AND(VLOOKUP($D2150,Merchantability!$B:$C,2,0)="Yes",$E2150&gt;=VLOOKUP($D2150,Merchantability!$B:$D,3,0),$E2150&lt;=VLOOKUP($D2150,Merchantability!$B:$E,4,0)),AA2150,0)</f>
        <v>#N/A</v>
      </c>
      <c r="AG2150" s="104" t="e">
        <f>IF(AND(VLOOKUP($D2150,Merchantability!$B:$C,2,0)="Yes",$E2150&gt;=VLOOKUP($D2150,Merchantability!$B:$D,3,0),$E2150&lt;=VLOOKUP($D2150,Merchantability!$B:$E,4,0)),AB2150,0)</f>
        <v>#N/A</v>
      </c>
      <c r="AH2150" s="104" t="e">
        <f>IF(AND(VLOOKUP($D2150,Merchantability!$B:$C,2,0)="Yes",$E2150&gt;=VLOOKUP($D2150,Merchantability!$B:$D,3,0),$E2150&lt;=VLOOKUP($D2150,Merchantability!$B:$E,4,0)),AC2150,0)</f>
        <v>#N/A</v>
      </c>
      <c r="AI2150" s="104" t="e">
        <f t="shared" si="951"/>
        <v>#N/A</v>
      </c>
      <c r="AJ2150" s="104" t="e">
        <f t="shared" si="952"/>
        <v>#VALUE!</v>
      </c>
      <c r="AK2150" s="104" t="e">
        <f t="shared" si="953"/>
        <v>#N/A</v>
      </c>
      <c r="AL2150" s="104" t="e">
        <f t="shared" si="954"/>
        <v>#N/A</v>
      </c>
      <c r="AM2150" s="104" t="e">
        <f t="shared" si="955"/>
        <v>#N/A</v>
      </c>
      <c r="AN2150" s="104" t="e">
        <f t="shared" si="939"/>
        <v>#N/A</v>
      </c>
      <c r="AO2150" s="104" t="e">
        <f t="shared" si="940"/>
        <v>#N/A</v>
      </c>
      <c r="AP2150" s="104" t="e">
        <f t="shared" si="941"/>
        <v>#N/A</v>
      </c>
      <c r="AQ2150" s="104" t="e">
        <f t="shared" si="942"/>
        <v>#N/A</v>
      </c>
      <c r="AR2150" s="105" t="str">
        <f t="shared" si="934"/>
        <v/>
      </c>
      <c r="AS2150" s="105" t="str">
        <f t="shared" si="935"/>
        <v/>
      </c>
      <c r="AT2150" s="108" t="str">
        <f t="shared" si="936"/>
        <v/>
      </c>
      <c r="AU2150" s="108" t="str">
        <f t="shared" si="937"/>
        <v/>
      </c>
      <c r="AV2150" s="107" t="str">
        <f>IF(ISNUMBER(O2150),IF(VLOOKUP($A2150,Stand!C:J,8,FALSE)="Short",AT2150,AU2150),"")</f>
        <v/>
      </c>
      <c r="AW2150" s="109" t="str">
        <f t="shared" si="943"/>
        <v/>
      </c>
      <c r="AX2150" s="109" t="str">
        <f t="shared" si="944"/>
        <v/>
      </c>
      <c r="AY2150" s="112" t="str">
        <f>IF(ISNUMBER(O2150),IF(AND(VLOOKUP($D2150,Merchantability!$B:$C,2,0)="Yes",$E2150&gt;=VLOOKUP($D2150,Merchantability!$B:$D,3,0),$E2150&lt;=VLOOKUP($D2150,Merchantability!$B:$E,4,0)),(AV2150*O2150)*(1-$H2150/100),""),"")</f>
        <v/>
      </c>
      <c r="AZ2150" s="116"/>
      <c r="BA2150" s="116"/>
      <c r="BB2150" s="116"/>
      <c r="BE2150" s="62"/>
      <c r="BF2150" s="63"/>
    </row>
    <row r="2151" spans="1:58" ht="12.75" customHeight="1" x14ac:dyDescent="0.25">
      <c r="A2151" s="334"/>
      <c r="B2151" s="334"/>
      <c r="C2151" s="332"/>
      <c r="D2151" s="334"/>
      <c r="E2151" s="335"/>
      <c r="F2151" s="334"/>
      <c r="G2151" s="332"/>
      <c r="H2151" s="332"/>
      <c r="I2151" s="334"/>
      <c r="J2151" s="336"/>
      <c r="K2151" s="332"/>
      <c r="L2151" s="332"/>
      <c r="M2151" s="76"/>
      <c r="N2151" s="103" t="str">
        <f>IF(A2151="","",VLOOKUP(A2151,Stand!C:K,9,0))</f>
        <v/>
      </c>
      <c r="O2151" s="104" t="str">
        <f t="shared" si="929"/>
        <v/>
      </c>
      <c r="P2151" s="105" t="str">
        <f t="shared" si="930"/>
        <v/>
      </c>
      <c r="Q2151" s="105" t="str">
        <f t="shared" si="945"/>
        <v/>
      </c>
      <c r="R2151" s="103" t="str">
        <f t="shared" si="931"/>
        <v/>
      </c>
      <c r="S2151" s="103" t="str">
        <f t="shared" si="932"/>
        <v/>
      </c>
      <c r="T2151" s="106" t="str">
        <f t="shared" si="946"/>
        <v/>
      </c>
      <c r="U2151" s="106" t="str">
        <f t="shared" si="947"/>
        <v/>
      </c>
      <c r="V2151" s="106" t="str">
        <f t="shared" si="948"/>
        <v/>
      </c>
      <c r="W2151" s="105" t="str">
        <f t="shared" si="933"/>
        <v/>
      </c>
      <c r="X2151" s="104" t="str">
        <f t="shared" si="938"/>
        <v/>
      </c>
      <c r="Y2151" s="104" t="str">
        <f t="array" ref="Y2151">IFERROR(IF(ISNUMBER(O2151),IF(COUNT(IF(A2151=$A$2:$A$2427,IF(D2151=$D$2:$D$2427,IF($X$2:$X$2427&gt;0,1))))&gt;0,SUM(IF(A2151=$A$2:$A$2427,IF(D2151=$D$2:$D$2427,$X$2:$X$2427)))/COUNT(IF(A2151=$A$2:$A$2427,IF(D2151=$D$2:$D$2427,IF(ISNUMBER($X$2:$X$2427),1)))),0),""),0)</f>
        <v/>
      </c>
      <c r="Z2151" s="104" t="str">
        <f>IF(ISNUMBER(O2151),IF(I2151&gt;0,(10^(VLOOKUP(D2151,'Species Codes'!B:C,2,0)+VLOOKUP(D2151,'Species Codes'!B:D,3,0)*LOG(E2151)+VLOOKUP(D2151,'Species Codes'!B:E,4,0)*LOG(I2151))),0),"")</f>
        <v/>
      </c>
      <c r="AA2151" s="104" t="str">
        <f>IFERROR((VLOOKUP(D2151,'Species Codes'!B:G,6,0)*Z2151)/2000,"")</f>
        <v/>
      </c>
      <c r="AB2151" s="104" t="e">
        <f>IF(Z2151&gt;0,((IF(OR(D2151="DF",D2151="RA")=TRUE,EXP(VLOOKUP(D2151,'Species Codes'!B:I,8,0)+VLOOKUP(D2151,'Species Codes'!B:J,9,0)*(LN((E2151*2.54)))),IF(OR(D2151="PY",D2151="RC",D2151="WH",D2151="NF")=TRUE,VLOOKUP(D2151,'Species Codes'!B:I,8,0)+VLOOKUP(D2151,'Species Codes'!B:J,9,0)*((E2151*2.54)^2)*(I2151*0.3048),IF(OR(D2151="MD",D2151="BM",D2151="GA")=TRUE,((VLOOKUP(D2151,'Species Codes'!B:I,8,0)*(((((E2151*2.54)+VLOOKUP(D2151,'Species Codes'!B:J,9,0))/VLOOKUP(D2151,'Species Codes'!B:K,10,0))^VLOOKUP(D2151,'Species Codes'!B:L,11,0))*((I2151*0.3048)^VLOOKUP(D2151,'Species Codes'!B:M,12,0))))-(VLOOKUP(D2151,'Species Codes'!B:I,8,0)*((((E2151*2.54)^VLOOKUP(D2151,'Species Codes'!B:L,11,0))*((I2151*0.3048)^VLOOKUP(D2151,'Species Codes'!B:M,12,0))))))*35.3*VLOOKUP(D2151,'Species Codes'!B:G,6,0)/2.2046,VLOOKUP(D2151,'Species Codes'!B:I,8,0)+VLOOKUP(D2151,'Species Codes'!B:J,9,0)*(((E2151*2.54)/100)^2)*(I2151*0.3048)))))*0.0011023),0)</f>
        <v>#N/A</v>
      </c>
      <c r="AC2151" s="104" t="e">
        <f>IF(Z2151&gt;0,((IF(OR(D2151="RA",D2151="OA",D2151="OT",D2151="UN",D2151="PC"),EXP(VLOOKUP(D2151,'Species Codes'!B:O,14,0)+VLOOKUP(D2151,'Species Codes'!B:P,15,0)*LN((E2151*2.54)))-EXP(VLOOKUP(D2151,'Species Codes'!B:O,14,0)+VLOOKUP(D2151,'Species Codes'!B:P,15,0)*LN((E2151*2.54)))*(1/(VLOOKUP(D2151,'Species Codes'!B:Q,16,0)+VLOOKUP(D2151,'Species Codes'!B:R,17,0)*((E2151*2.54)^VLOOKUP(D2151,'Species Codes'!B:S,18,0)))),IF(OR(D2151="BM",D2151="MD",D2151="OA"),EXP(VLOOKUP(D2151,'Species Codes'!B:O,14,0)+VLOOKUP(D2151,'Species Codes'!B:P,15,0)*LN((E2151*2.54)))*(1-(1/(VLOOKUP(D2151,'Species Codes'!B:Q,16,0)+VLOOKUP(D2151,'Species Codes'!B:R,17,0)*((E2151*2.54)^VLOOKUP(D2151,'Species Codes'!B:S,18,0)))))/1000,IF(D2151="DF",EXP(VLOOKUP(D2151,'Species Codes'!B:O,14,0)+VLOOKUP(D2151,'Species Codes'!B:P,15,0)*LN((E2151*2.54))),VLOOKUP(D2151,'Species Codes'!B:O,14,0)+VLOOKUP(D2151,'Species Codes'!B:P,15,0)*(((E2151*2.54)/100)^2)*(I2151*0.3048)))))*0.0011023),0)</f>
        <v>#N/A</v>
      </c>
      <c r="AD2151" s="104" t="e">
        <f t="shared" si="949"/>
        <v>#N/A</v>
      </c>
      <c r="AE2151" s="104" t="e">
        <f t="shared" si="950"/>
        <v>#N/A</v>
      </c>
      <c r="AF2151" s="104" t="e">
        <f>IF(AND(VLOOKUP($D2151,Merchantability!$B:$C,2,0)="Yes",$E2151&gt;=VLOOKUP($D2151,Merchantability!$B:$D,3,0),$E2151&lt;=VLOOKUP($D2151,Merchantability!$B:$E,4,0)),AA2151,0)</f>
        <v>#N/A</v>
      </c>
      <c r="AG2151" s="104" t="e">
        <f>IF(AND(VLOOKUP($D2151,Merchantability!$B:$C,2,0)="Yes",$E2151&gt;=VLOOKUP($D2151,Merchantability!$B:$D,3,0),$E2151&lt;=VLOOKUP($D2151,Merchantability!$B:$E,4,0)),AB2151,0)</f>
        <v>#N/A</v>
      </c>
      <c r="AH2151" s="104" t="e">
        <f>IF(AND(VLOOKUP($D2151,Merchantability!$B:$C,2,0)="Yes",$E2151&gt;=VLOOKUP($D2151,Merchantability!$B:$D,3,0),$E2151&lt;=VLOOKUP($D2151,Merchantability!$B:$E,4,0)),AC2151,0)</f>
        <v>#N/A</v>
      </c>
      <c r="AI2151" s="104" t="e">
        <f t="shared" si="951"/>
        <v>#N/A</v>
      </c>
      <c r="AJ2151" s="104" t="e">
        <f t="shared" si="952"/>
        <v>#VALUE!</v>
      </c>
      <c r="AK2151" s="104" t="e">
        <f t="shared" si="953"/>
        <v>#N/A</v>
      </c>
      <c r="AL2151" s="104" t="e">
        <f t="shared" si="954"/>
        <v>#N/A</v>
      </c>
      <c r="AM2151" s="104" t="e">
        <f t="shared" si="955"/>
        <v>#N/A</v>
      </c>
      <c r="AN2151" s="104" t="e">
        <f t="shared" si="939"/>
        <v>#N/A</v>
      </c>
      <c r="AO2151" s="104" t="e">
        <f t="shared" si="940"/>
        <v>#N/A</v>
      </c>
      <c r="AP2151" s="104" t="e">
        <f t="shared" si="941"/>
        <v>#N/A</v>
      </c>
      <c r="AQ2151" s="104" t="e">
        <f t="shared" si="942"/>
        <v>#N/A</v>
      </c>
      <c r="AR2151" s="105" t="str">
        <f t="shared" si="934"/>
        <v/>
      </c>
      <c r="AS2151" s="105" t="str">
        <f t="shared" si="935"/>
        <v/>
      </c>
      <c r="AT2151" s="108" t="str">
        <f t="shared" si="936"/>
        <v/>
      </c>
      <c r="AU2151" s="108" t="str">
        <f t="shared" si="937"/>
        <v/>
      </c>
      <c r="AV2151" s="107" t="str">
        <f>IF(ISNUMBER(O2151),IF(VLOOKUP($A2151,Stand!C:J,8,FALSE)="Short",AT2151,AU2151),"")</f>
        <v/>
      </c>
      <c r="AW2151" s="109" t="str">
        <f t="shared" si="943"/>
        <v/>
      </c>
      <c r="AX2151" s="109" t="str">
        <f t="shared" si="944"/>
        <v/>
      </c>
      <c r="AY2151" s="112" t="str">
        <f>IF(ISNUMBER(O2151),IF(AND(VLOOKUP($D2151,Merchantability!$B:$C,2,0)="Yes",$E2151&gt;=VLOOKUP($D2151,Merchantability!$B:$D,3,0),$E2151&lt;=VLOOKUP($D2151,Merchantability!$B:$E,4,0)),(AV2151*O2151)*(1-$H2151/100),""),"")</f>
        <v/>
      </c>
      <c r="AZ2151" s="116"/>
      <c r="BA2151" s="116"/>
      <c r="BB2151" s="116"/>
      <c r="BE2151" s="62"/>
      <c r="BF2151" s="63"/>
    </row>
    <row r="2152" spans="1:58" ht="12.75" customHeight="1" x14ac:dyDescent="0.25">
      <c r="A2152" s="334"/>
      <c r="B2152" s="334"/>
      <c r="C2152" s="332"/>
      <c r="D2152" s="334"/>
      <c r="E2152" s="335"/>
      <c r="F2152" s="334"/>
      <c r="G2152" s="332"/>
      <c r="H2152" s="332"/>
      <c r="I2152" s="334"/>
      <c r="J2152" s="336"/>
      <c r="K2152" s="332"/>
      <c r="L2152" s="332"/>
      <c r="M2152" s="76"/>
      <c r="N2152" s="103" t="str">
        <f>IF(A2152="","",VLOOKUP(A2152,Stand!C:K,9,0))</f>
        <v/>
      </c>
      <c r="O2152" s="104" t="str">
        <f t="shared" si="929"/>
        <v/>
      </c>
      <c r="P2152" s="105" t="str">
        <f t="shared" si="930"/>
        <v/>
      </c>
      <c r="Q2152" s="105" t="str">
        <f t="shared" si="945"/>
        <v/>
      </c>
      <c r="R2152" s="103" t="str">
        <f t="shared" si="931"/>
        <v/>
      </c>
      <c r="S2152" s="103" t="str">
        <f t="shared" si="932"/>
        <v/>
      </c>
      <c r="T2152" s="106" t="str">
        <f t="shared" si="946"/>
        <v/>
      </c>
      <c r="U2152" s="106" t="str">
        <f t="shared" si="947"/>
        <v/>
      </c>
      <c r="V2152" s="106" t="str">
        <f t="shared" si="948"/>
        <v/>
      </c>
      <c r="W2152" s="105" t="str">
        <f t="shared" si="933"/>
        <v/>
      </c>
      <c r="X2152" s="104" t="str">
        <f t="shared" si="938"/>
        <v/>
      </c>
      <c r="Y2152" s="104" t="str">
        <f t="array" ref="Y2152">IFERROR(IF(ISNUMBER(O2152),IF(COUNT(IF(A2152=$A$2:$A$2427,IF(D2152=$D$2:$D$2427,IF($X$2:$X$2427&gt;0,1))))&gt;0,SUM(IF(A2152=$A$2:$A$2427,IF(D2152=$D$2:$D$2427,$X$2:$X$2427)))/COUNT(IF(A2152=$A$2:$A$2427,IF(D2152=$D$2:$D$2427,IF(ISNUMBER($X$2:$X$2427),1)))),0),""),0)</f>
        <v/>
      </c>
      <c r="Z2152" s="104" t="str">
        <f>IF(ISNUMBER(O2152),IF(I2152&gt;0,(10^(VLOOKUP(D2152,'Species Codes'!B:C,2,0)+VLOOKUP(D2152,'Species Codes'!B:D,3,0)*LOG(E2152)+VLOOKUP(D2152,'Species Codes'!B:E,4,0)*LOG(I2152))),0),"")</f>
        <v/>
      </c>
      <c r="AA2152" s="104" t="str">
        <f>IFERROR((VLOOKUP(D2152,'Species Codes'!B:G,6,0)*Z2152)/2000,"")</f>
        <v/>
      </c>
      <c r="AB2152" s="104" t="e">
        <f>IF(Z2152&gt;0,((IF(OR(D2152="DF",D2152="RA")=TRUE,EXP(VLOOKUP(D2152,'Species Codes'!B:I,8,0)+VLOOKUP(D2152,'Species Codes'!B:J,9,0)*(LN((E2152*2.54)))),IF(OR(D2152="PY",D2152="RC",D2152="WH",D2152="NF")=TRUE,VLOOKUP(D2152,'Species Codes'!B:I,8,0)+VLOOKUP(D2152,'Species Codes'!B:J,9,0)*((E2152*2.54)^2)*(I2152*0.3048),IF(OR(D2152="MD",D2152="BM",D2152="GA")=TRUE,((VLOOKUP(D2152,'Species Codes'!B:I,8,0)*(((((E2152*2.54)+VLOOKUP(D2152,'Species Codes'!B:J,9,0))/VLOOKUP(D2152,'Species Codes'!B:K,10,0))^VLOOKUP(D2152,'Species Codes'!B:L,11,0))*((I2152*0.3048)^VLOOKUP(D2152,'Species Codes'!B:M,12,0))))-(VLOOKUP(D2152,'Species Codes'!B:I,8,0)*((((E2152*2.54)^VLOOKUP(D2152,'Species Codes'!B:L,11,0))*((I2152*0.3048)^VLOOKUP(D2152,'Species Codes'!B:M,12,0))))))*35.3*VLOOKUP(D2152,'Species Codes'!B:G,6,0)/2.2046,VLOOKUP(D2152,'Species Codes'!B:I,8,0)+VLOOKUP(D2152,'Species Codes'!B:J,9,0)*(((E2152*2.54)/100)^2)*(I2152*0.3048)))))*0.0011023),0)</f>
        <v>#N/A</v>
      </c>
      <c r="AC2152" s="104" t="e">
        <f>IF(Z2152&gt;0,((IF(OR(D2152="RA",D2152="OA",D2152="OT",D2152="UN",D2152="PC"),EXP(VLOOKUP(D2152,'Species Codes'!B:O,14,0)+VLOOKUP(D2152,'Species Codes'!B:P,15,0)*LN((E2152*2.54)))-EXP(VLOOKUP(D2152,'Species Codes'!B:O,14,0)+VLOOKUP(D2152,'Species Codes'!B:P,15,0)*LN((E2152*2.54)))*(1/(VLOOKUP(D2152,'Species Codes'!B:Q,16,0)+VLOOKUP(D2152,'Species Codes'!B:R,17,0)*((E2152*2.54)^VLOOKUP(D2152,'Species Codes'!B:S,18,0)))),IF(OR(D2152="BM",D2152="MD",D2152="OA"),EXP(VLOOKUP(D2152,'Species Codes'!B:O,14,0)+VLOOKUP(D2152,'Species Codes'!B:P,15,0)*LN((E2152*2.54)))*(1-(1/(VLOOKUP(D2152,'Species Codes'!B:Q,16,0)+VLOOKUP(D2152,'Species Codes'!B:R,17,0)*((E2152*2.54)^VLOOKUP(D2152,'Species Codes'!B:S,18,0)))))/1000,IF(D2152="DF",EXP(VLOOKUP(D2152,'Species Codes'!B:O,14,0)+VLOOKUP(D2152,'Species Codes'!B:P,15,0)*LN((E2152*2.54))),VLOOKUP(D2152,'Species Codes'!B:O,14,0)+VLOOKUP(D2152,'Species Codes'!B:P,15,0)*(((E2152*2.54)/100)^2)*(I2152*0.3048)))))*0.0011023),0)</f>
        <v>#N/A</v>
      </c>
      <c r="AD2152" s="104" t="e">
        <f t="shared" si="949"/>
        <v>#N/A</v>
      </c>
      <c r="AE2152" s="104" t="e">
        <f t="shared" si="950"/>
        <v>#N/A</v>
      </c>
      <c r="AF2152" s="104" t="e">
        <f>IF(AND(VLOOKUP($D2152,Merchantability!$B:$C,2,0)="Yes",$E2152&gt;=VLOOKUP($D2152,Merchantability!$B:$D,3,0),$E2152&lt;=VLOOKUP($D2152,Merchantability!$B:$E,4,0)),AA2152,0)</f>
        <v>#N/A</v>
      </c>
      <c r="AG2152" s="104" t="e">
        <f>IF(AND(VLOOKUP($D2152,Merchantability!$B:$C,2,0)="Yes",$E2152&gt;=VLOOKUP($D2152,Merchantability!$B:$D,3,0),$E2152&lt;=VLOOKUP($D2152,Merchantability!$B:$E,4,0)),AB2152,0)</f>
        <v>#N/A</v>
      </c>
      <c r="AH2152" s="104" t="e">
        <f>IF(AND(VLOOKUP($D2152,Merchantability!$B:$C,2,0)="Yes",$E2152&gt;=VLOOKUP($D2152,Merchantability!$B:$D,3,0),$E2152&lt;=VLOOKUP($D2152,Merchantability!$B:$E,4,0)),AC2152,0)</f>
        <v>#N/A</v>
      </c>
      <c r="AI2152" s="104" t="e">
        <f t="shared" si="951"/>
        <v>#N/A</v>
      </c>
      <c r="AJ2152" s="104" t="e">
        <f t="shared" si="952"/>
        <v>#VALUE!</v>
      </c>
      <c r="AK2152" s="104" t="e">
        <f t="shared" si="953"/>
        <v>#N/A</v>
      </c>
      <c r="AL2152" s="104" t="e">
        <f t="shared" si="954"/>
        <v>#N/A</v>
      </c>
      <c r="AM2152" s="104" t="e">
        <f t="shared" si="955"/>
        <v>#N/A</v>
      </c>
      <c r="AN2152" s="104" t="e">
        <f t="shared" si="939"/>
        <v>#N/A</v>
      </c>
      <c r="AO2152" s="104" t="e">
        <f t="shared" si="940"/>
        <v>#N/A</v>
      </c>
      <c r="AP2152" s="104" t="e">
        <f t="shared" si="941"/>
        <v>#N/A</v>
      </c>
      <c r="AQ2152" s="104" t="e">
        <f t="shared" si="942"/>
        <v>#N/A</v>
      </c>
      <c r="AR2152" s="105" t="str">
        <f t="shared" si="934"/>
        <v/>
      </c>
      <c r="AS2152" s="105" t="str">
        <f t="shared" si="935"/>
        <v/>
      </c>
      <c r="AT2152" s="108" t="str">
        <f t="shared" si="936"/>
        <v/>
      </c>
      <c r="AU2152" s="108" t="str">
        <f t="shared" si="937"/>
        <v/>
      </c>
      <c r="AV2152" s="107" t="str">
        <f>IF(ISNUMBER(O2152),IF(VLOOKUP($A2152,Stand!C:J,8,FALSE)="Short",AT2152,AU2152),"")</f>
        <v/>
      </c>
      <c r="AW2152" s="109" t="str">
        <f t="shared" si="943"/>
        <v/>
      </c>
      <c r="AX2152" s="109" t="str">
        <f t="shared" si="944"/>
        <v/>
      </c>
      <c r="AY2152" s="112" t="str">
        <f>IF(ISNUMBER(O2152),IF(AND(VLOOKUP($D2152,Merchantability!$B:$C,2,0)="Yes",$E2152&gt;=VLOOKUP($D2152,Merchantability!$B:$D,3,0),$E2152&lt;=VLOOKUP($D2152,Merchantability!$B:$E,4,0)),(AV2152*O2152)*(1-$H2152/100),""),"")</f>
        <v/>
      </c>
      <c r="AZ2152" s="116"/>
      <c r="BA2152" s="116"/>
      <c r="BB2152" s="116"/>
      <c r="BE2152" s="62"/>
      <c r="BF2152" s="63"/>
    </row>
    <row r="2153" spans="1:58" ht="12.75" customHeight="1" x14ac:dyDescent="0.25">
      <c r="A2153" s="334"/>
      <c r="B2153" s="334"/>
      <c r="C2153" s="332"/>
      <c r="D2153" s="334"/>
      <c r="E2153" s="335"/>
      <c r="F2153" s="334"/>
      <c r="G2153" s="332"/>
      <c r="H2153" s="332"/>
      <c r="I2153" s="334"/>
      <c r="J2153" s="336"/>
      <c r="K2153" s="332"/>
      <c r="L2153" s="332"/>
      <c r="M2153" s="76"/>
      <c r="N2153" s="103" t="str">
        <f>IF(A2153="","",VLOOKUP(A2153,Stand!C:K,9,0))</f>
        <v/>
      </c>
      <c r="O2153" s="104" t="str">
        <f t="shared" si="929"/>
        <v/>
      </c>
      <c r="P2153" s="105" t="str">
        <f t="shared" si="930"/>
        <v/>
      </c>
      <c r="Q2153" s="105" t="str">
        <f t="shared" si="945"/>
        <v/>
      </c>
      <c r="R2153" s="103" t="str">
        <f t="shared" si="931"/>
        <v/>
      </c>
      <c r="S2153" s="103" t="str">
        <f t="shared" si="932"/>
        <v/>
      </c>
      <c r="T2153" s="106" t="str">
        <f t="shared" si="946"/>
        <v/>
      </c>
      <c r="U2153" s="106" t="str">
        <f t="shared" si="947"/>
        <v/>
      </c>
      <c r="V2153" s="106" t="str">
        <f t="shared" si="948"/>
        <v/>
      </c>
      <c r="W2153" s="105" t="str">
        <f t="shared" si="933"/>
        <v/>
      </c>
      <c r="X2153" s="104" t="str">
        <f t="shared" si="938"/>
        <v/>
      </c>
      <c r="Y2153" s="104" t="str">
        <f t="array" ref="Y2153">IFERROR(IF(ISNUMBER(O2153),IF(COUNT(IF(A2153=$A$2:$A$2427,IF(D2153=$D$2:$D$2427,IF($X$2:$X$2427&gt;0,1))))&gt;0,SUM(IF(A2153=$A$2:$A$2427,IF(D2153=$D$2:$D$2427,$X$2:$X$2427)))/COUNT(IF(A2153=$A$2:$A$2427,IF(D2153=$D$2:$D$2427,IF(ISNUMBER($X$2:$X$2427),1)))),0),""),0)</f>
        <v/>
      </c>
      <c r="Z2153" s="104" t="str">
        <f>IF(ISNUMBER(O2153),IF(I2153&gt;0,(10^(VLOOKUP(D2153,'Species Codes'!B:C,2,0)+VLOOKUP(D2153,'Species Codes'!B:D,3,0)*LOG(E2153)+VLOOKUP(D2153,'Species Codes'!B:E,4,0)*LOG(I2153))),0),"")</f>
        <v/>
      </c>
      <c r="AA2153" s="104" t="str">
        <f>IFERROR((VLOOKUP(D2153,'Species Codes'!B:G,6,0)*Z2153)/2000,"")</f>
        <v/>
      </c>
      <c r="AB2153" s="104" t="e">
        <f>IF(Z2153&gt;0,((IF(OR(D2153="DF",D2153="RA")=TRUE,EXP(VLOOKUP(D2153,'Species Codes'!B:I,8,0)+VLOOKUP(D2153,'Species Codes'!B:J,9,0)*(LN((E2153*2.54)))),IF(OR(D2153="PY",D2153="RC",D2153="WH",D2153="NF")=TRUE,VLOOKUP(D2153,'Species Codes'!B:I,8,0)+VLOOKUP(D2153,'Species Codes'!B:J,9,0)*((E2153*2.54)^2)*(I2153*0.3048),IF(OR(D2153="MD",D2153="BM",D2153="GA")=TRUE,((VLOOKUP(D2153,'Species Codes'!B:I,8,0)*(((((E2153*2.54)+VLOOKUP(D2153,'Species Codes'!B:J,9,0))/VLOOKUP(D2153,'Species Codes'!B:K,10,0))^VLOOKUP(D2153,'Species Codes'!B:L,11,0))*((I2153*0.3048)^VLOOKUP(D2153,'Species Codes'!B:M,12,0))))-(VLOOKUP(D2153,'Species Codes'!B:I,8,0)*((((E2153*2.54)^VLOOKUP(D2153,'Species Codes'!B:L,11,0))*((I2153*0.3048)^VLOOKUP(D2153,'Species Codes'!B:M,12,0))))))*35.3*VLOOKUP(D2153,'Species Codes'!B:G,6,0)/2.2046,VLOOKUP(D2153,'Species Codes'!B:I,8,0)+VLOOKUP(D2153,'Species Codes'!B:J,9,0)*(((E2153*2.54)/100)^2)*(I2153*0.3048)))))*0.0011023),0)</f>
        <v>#N/A</v>
      </c>
      <c r="AC2153" s="104" t="e">
        <f>IF(Z2153&gt;0,((IF(OR(D2153="RA",D2153="OA",D2153="OT",D2153="UN",D2153="PC"),EXP(VLOOKUP(D2153,'Species Codes'!B:O,14,0)+VLOOKUP(D2153,'Species Codes'!B:P,15,0)*LN((E2153*2.54)))-EXP(VLOOKUP(D2153,'Species Codes'!B:O,14,0)+VLOOKUP(D2153,'Species Codes'!B:P,15,0)*LN((E2153*2.54)))*(1/(VLOOKUP(D2153,'Species Codes'!B:Q,16,0)+VLOOKUP(D2153,'Species Codes'!B:R,17,0)*((E2153*2.54)^VLOOKUP(D2153,'Species Codes'!B:S,18,0)))),IF(OR(D2153="BM",D2153="MD",D2153="OA"),EXP(VLOOKUP(D2153,'Species Codes'!B:O,14,0)+VLOOKUP(D2153,'Species Codes'!B:P,15,0)*LN((E2153*2.54)))*(1-(1/(VLOOKUP(D2153,'Species Codes'!B:Q,16,0)+VLOOKUP(D2153,'Species Codes'!B:R,17,0)*((E2153*2.54)^VLOOKUP(D2153,'Species Codes'!B:S,18,0)))))/1000,IF(D2153="DF",EXP(VLOOKUP(D2153,'Species Codes'!B:O,14,0)+VLOOKUP(D2153,'Species Codes'!B:P,15,0)*LN((E2153*2.54))),VLOOKUP(D2153,'Species Codes'!B:O,14,0)+VLOOKUP(D2153,'Species Codes'!B:P,15,0)*(((E2153*2.54)/100)^2)*(I2153*0.3048)))))*0.0011023),0)</f>
        <v>#N/A</v>
      </c>
      <c r="AD2153" s="104" t="e">
        <f t="shared" si="949"/>
        <v>#N/A</v>
      </c>
      <c r="AE2153" s="104" t="e">
        <f t="shared" si="950"/>
        <v>#N/A</v>
      </c>
      <c r="AF2153" s="104" t="e">
        <f>IF(AND(VLOOKUP($D2153,Merchantability!$B:$C,2,0)="Yes",$E2153&gt;=VLOOKUP($D2153,Merchantability!$B:$D,3,0),$E2153&lt;=VLOOKUP($D2153,Merchantability!$B:$E,4,0)),AA2153,0)</f>
        <v>#N/A</v>
      </c>
      <c r="AG2153" s="104" t="e">
        <f>IF(AND(VLOOKUP($D2153,Merchantability!$B:$C,2,0)="Yes",$E2153&gt;=VLOOKUP($D2153,Merchantability!$B:$D,3,0),$E2153&lt;=VLOOKUP($D2153,Merchantability!$B:$E,4,0)),AB2153,0)</f>
        <v>#N/A</v>
      </c>
      <c r="AH2153" s="104" t="e">
        <f>IF(AND(VLOOKUP($D2153,Merchantability!$B:$C,2,0)="Yes",$E2153&gt;=VLOOKUP($D2153,Merchantability!$B:$D,3,0),$E2153&lt;=VLOOKUP($D2153,Merchantability!$B:$E,4,0)),AC2153,0)</f>
        <v>#N/A</v>
      </c>
      <c r="AI2153" s="104" t="e">
        <f t="shared" si="951"/>
        <v>#N/A</v>
      </c>
      <c r="AJ2153" s="104" t="e">
        <f t="shared" si="952"/>
        <v>#VALUE!</v>
      </c>
      <c r="AK2153" s="104" t="e">
        <f t="shared" si="953"/>
        <v>#N/A</v>
      </c>
      <c r="AL2153" s="104" t="e">
        <f t="shared" si="954"/>
        <v>#N/A</v>
      </c>
      <c r="AM2153" s="104" t="e">
        <f t="shared" si="955"/>
        <v>#N/A</v>
      </c>
      <c r="AN2153" s="104" t="e">
        <f t="shared" si="939"/>
        <v>#N/A</v>
      </c>
      <c r="AO2153" s="104" t="e">
        <f t="shared" si="940"/>
        <v>#N/A</v>
      </c>
      <c r="AP2153" s="104" t="e">
        <f t="shared" si="941"/>
        <v>#N/A</v>
      </c>
      <c r="AQ2153" s="104" t="e">
        <f t="shared" si="942"/>
        <v>#N/A</v>
      </c>
      <c r="AR2153" s="105" t="str">
        <f t="shared" si="934"/>
        <v/>
      </c>
      <c r="AS2153" s="105" t="str">
        <f t="shared" si="935"/>
        <v/>
      </c>
      <c r="AT2153" s="108" t="str">
        <f t="shared" si="936"/>
        <v/>
      </c>
      <c r="AU2153" s="108" t="str">
        <f t="shared" si="937"/>
        <v/>
      </c>
      <c r="AV2153" s="107" t="str">
        <f>IF(ISNUMBER(O2153),IF(VLOOKUP($A2153,Stand!C:J,8,FALSE)="Short",AT2153,AU2153),"")</f>
        <v/>
      </c>
      <c r="AW2153" s="109" t="str">
        <f t="shared" si="943"/>
        <v/>
      </c>
      <c r="AX2153" s="109" t="str">
        <f t="shared" si="944"/>
        <v/>
      </c>
      <c r="AY2153" s="112" t="str">
        <f>IF(ISNUMBER(O2153),IF(AND(VLOOKUP($D2153,Merchantability!$B:$C,2,0)="Yes",$E2153&gt;=VLOOKUP($D2153,Merchantability!$B:$D,3,0),$E2153&lt;=VLOOKUP($D2153,Merchantability!$B:$E,4,0)),(AV2153*O2153)*(1-$H2153/100),""),"")</f>
        <v/>
      </c>
      <c r="AZ2153" s="116"/>
      <c r="BA2153" s="116"/>
      <c r="BB2153" s="116"/>
      <c r="BE2153" s="62"/>
      <c r="BF2153" s="63"/>
    </row>
    <row r="2154" spans="1:58" ht="12.75" customHeight="1" x14ac:dyDescent="0.25">
      <c r="A2154" s="334"/>
      <c r="B2154" s="334"/>
      <c r="C2154" s="332"/>
      <c r="D2154" s="334"/>
      <c r="E2154" s="335"/>
      <c r="F2154" s="334"/>
      <c r="G2154" s="332"/>
      <c r="H2154" s="332"/>
      <c r="I2154" s="334"/>
      <c r="J2154" s="336"/>
      <c r="K2154" s="332"/>
      <c r="L2154" s="332"/>
      <c r="M2154" s="76"/>
      <c r="N2154" s="103" t="str">
        <f>IF(A2154="","",VLOOKUP(A2154,Stand!C:K,9,0))</f>
        <v/>
      </c>
      <c r="O2154" s="104" t="str">
        <f t="shared" si="929"/>
        <v/>
      </c>
      <c r="P2154" s="105" t="str">
        <f t="shared" si="930"/>
        <v/>
      </c>
      <c r="Q2154" s="105" t="str">
        <f t="shared" si="945"/>
        <v/>
      </c>
      <c r="R2154" s="103" t="str">
        <f t="shared" si="931"/>
        <v/>
      </c>
      <c r="S2154" s="103" t="str">
        <f t="shared" si="932"/>
        <v/>
      </c>
      <c r="T2154" s="106" t="str">
        <f t="shared" si="946"/>
        <v/>
      </c>
      <c r="U2154" s="106" t="str">
        <f t="shared" si="947"/>
        <v/>
      </c>
      <c r="V2154" s="106" t="str">
        <f t="shared" si="948"/>
        <v/>
      </c>
      <c r="W2154" s="105" t="str">
        <f t="shared" si="933"/>
        <v/>
      </c>
      <c r="X2154" s="104" t="str">
        <f t="shared" si="938"/>
        <v/>
      </c>
      <c r="Y2154" s="104" t="str">
        <f t="array" ref="Y2154">IFERROR(IF(ISNUMBER(O2154),IF(COUNT(IF(A2154=$A$2:$A$2427,IF(D2154=$D$2:$D$2427,IF($X$2:$X$2427&gt;0,1))))&gt;0,SUM(IF(A2154=$A$2:$A$2427,IF(D2154=$D$2:$D$2427,$X$2:$X$2427)))/COUNT(IF(A2154=$A$2:$A$2427,IF(D2154=$D$2:$D$2427,IF(ISNUMBER($X$2:$X$2427),1)))),0),""),0)</f>
        <v/>
      </c>
      <c r="Z2154" s="104" t="str">
        <f>IF(ISNUMBER(O2154),IF(I2154&gt;0,(10^(VLOOKUP(D2154,'Species Codes'!B:C,2,0)+VLOOKUP(D2154,'Species Codes'!B:D,3,0)*LOG(E2154)+VLOOKUP(D2154,'Species Codes'!B:E,4,0)*LOG(I2154))),0),"")</f>
        <v/>
      </c>
      <c r="AA2154" s="104" t="str">
        <f>IFERROR((VLOOKUP(D2154,'Species Codes'!B:G,6,0)*Z2154)/2000,"")</f>
        <v/>
      </c>
      <c r="AB2154" s="104" t="e">
        <f>IF(Z2154&gt;0,((IF(OR(D2154="DF",D2154="RA")=TRUE,EXP(VLOOKUP(D2154,'Species Codes'!B:I,8,0)+VLOOKUP(D2154,'Species Codes'!B:J,9,0)*(LN((E2154*2.54)))),IF(OR(D2154="PY",D2154="RC",D2154="WH",D2154="NF")=TRUE,VLOOKUP(D2154,'Species Codes'!B:I,8,0)+VLOOKUP(D2154,'Species Codes'!B:J,9,0)*((E2154*2.54)^2)*(I2154*0.3048),IF(OR(D2154="MD",D2154="BM",D2154="GA")=TRUE,((VLOOKUP(D2154,'Species Codes'!B:I,8,0)*(((((E2154*2.54)+VLOOKUP(D2154,'Species Codes'!B:J,9,0))/VLOOKUP(D2154,'Species Codes'!B:K,10,0))^VLOOKUP(D2154,'Species Codes'!B:L,11,0))*((I2154*0.3048)^VLOOKUP(D2154,'Species Codes'!B:M,12,0))))-(VLOOKUP(D2154,'Species Codes'!B:I,8,0)*((((E2154*2.54)^VLOOKUP(D2154,'Species Codes'!B:L,11,0))*((I2154*0.3048)^VLOOKUP(D2154,'Species Codes'!B:M,12,0))))))*35.3*VLOOKUP(D2154,'Species Codes'!B:G,6,0)/2.2046,VLOOKUP(D2154,'Species Codes'!B:I,8,0)+VLOOKUP(D2154,'Species Codes'!B:J,9,0)*(((E2154*2.54)/100)^2)*(I2154*0.3048)))))*0.0011023),0)</f>
        <v>#N/A</v>
      </c>
      <c r="AC2154" s="104" t="e">
        <f>IF(Z2154&gt;0,((IF(OR(D2154="RA",D2154="OA",D2154="OT",D2154="UN",D2154="PC"),EXP(VLOOKUP(D2154,'Species Codes'!B:O,14,0)+VLOOKUP(D2154,'Species Codes'!B:P,15,0)*LN((E2154*2.54)))-EXP(VLOOKUP(D2154,'Species Codes'!B:O,14,0)+VLOOKUP(D2154,'Species Codes'!B:P,15,0)*LN((E2154*2.54)))*(1/(VLOOKUP(D2154,'Species Codes'!B:Q,16,0)+VLOOKUP(D2154,'Species Codes'!B:R,17,0)*((E2154*2.54)^VLOOKUP(D2154,'Species Codes'!B:S,18,0)))),IF(OR(D2154="BM",D2154="MD",D2154="OA"),EXP(VLOOKUP(D2154,'Species Codes'!B:O,14,0)+VLOOKUP(D2154,'Species Codes'!B:P,15,0)*LN((E2154*2.54)))*(1-(1/(VLOOKUP(D2154,'Species Codes'!B:Q,16,0)+VLOOKUP(D2154,'Species Codes'!B:R,17,0)*((E2154*2.54)^VLOOKUP(D2154,'Species Codes'!B:S,18,0)))))/1000,IF(D2154="DF",EXP(VLOOKUP(D2154,'Species Codes'!B:O,14,0)+VLOOKUP(D2154,'Species Codes'!B:P,15,0)*LN((E2154*2.54))),VLOOKUP(D2154,'Species Codes'!B:O,14,0)+VLOOKUP(D2154,'Species Codes'!B:P,15,0)*(((E2154*2.54)/100)^2)*(I2154*0.3048)))))*0.0011023),0)</f>
        <v>#N/A</v>
      </c>
      <c r="AD2154" s="104" t="e">
        <f t="shared" si="949"/>
        <v>#N/A</v>
      </c>
      <c r="AE2154" s="104" t="e">
        <f t="shared" si="950"/>
        <v>#N/A</v>
      </c>
      <c r="AF2154" s="104" t="e">
        <f>IF(AND(VLOOKUP($D2154,Merchantability!$B:$C,2,0)="Yes",$E2154&gt;=VLOOKUP($D2154,Merchantability!$B:$D,3,0),$E2154&lt;=VLOOKUP($D2154,Merchantability!$B:$E,4,0)),AA2154,0)</f>
        <v>#N/A</v>
      </c>
      <c r="AG2154" s="104" t="e">
        <f>IF(AND(VLOOKUP($D2154,Merchantability!$B:$C,2,0)="Yes",$E2154&gt;=VLOOKUP($D2154,Merchantability!$B:$D,3,0),$E2154&lt;=VLOOKUP($D2154,Merchantability!$B:$E,4,0)),AB2154,0)</f>
        <v>#N/A</v>
      </c>
      <c r="AH2154" s="104" t="e">
        <f>IF(AND(VLOOKUP($D2154,Merchantability!$B:$C,2,0)="Yes",$E2154&gt;=VLOOKUP($D2154,Merchantability!$B:$D,3,0),$E2154&lt;=VLOOKUP($D2154,Merchantability!$B:$E,4,0)),AC2154,0)</f>
        <v>#N/A</v>
      </c>
      <c r="AI2154" s="104" t="e">
        <f t="shared" si="951"/>
        <v>#N/A</v>
      </c>
      <c r="AJ2154" s="104" t="e">
        <f t="shared" si="952"/>
        <v>#VALUE!</v>
      </c>
      <c r="AK2154" s="104" t="e">
        <f t="shared" si="953"/>
        <v>#N/A</v>
      </c>
      <c r="AL2154" s="104" t="e">
        <f t="shared" si="954"/>
        <v>#N/A</v>
      </c>
      <c r="AM2154" s="104" t="e">
        <f t="shared" si="955"/>
        <v>#N/A</v>
      </c>
      <c r="AN2154" s="104" t="e">
        <f t="shared" si="939"/>
        <v>#N/A</v>
      </c>
      <c r="AO2154" s="104" t="e">
        <f t="shared" si="940"/>
        <v>#N/A</v>
      </c>
      <c r="AP2154" s="104" t="e">
        <f t="shared" si="941"/>
        <v>#N/A</v>
      </c>
      <c r="AQ2154" s="104" t="e">
        <f t="shared" si="942"/>
        <v>#N/A</v>
      </c>
      <c r="AR2154" s="105" t="str">
        <f t="shared" si="934"/>
        <v/>
      </c>
      <c r="AS2154" s="105" t="str">
        <f t="shared" si="935"/>
        <v/>
      </c>
      <c r="AT2154" s="108" t="str">
        <f t="shared" si="936"/>
        <v/>
      </c>
      <c r="AU2154" s="108" t="str">
        <f t="shared" si="937"/>
        <v/>
      </c>
      <c r="AV2154" s="107" t="str">
        <f>IF(ISNUMBER(O2154),IF(VLOOKUP($A2154,Stand!C:J,8,FALSE)="Short",AT2154,AU2154),"")</f>
        <v/>
      </c>
      <c r="AW2154" s="109" t="str">
        <f t="shared" si="943"/>
        <v/>
      </c>
      <c r="AX2154" s="109" t="str">
        <f t="shared" si="944"/>
        <v/>
      </c>
      <c r="AY2154" s="112" t="str">
        <f>IF(ISNUMBER(O2154),IF(AND(VLOOKUP($D2154,Merchantability!$B:$C,2,0)="Yes",$E2154&gt;=VLOOKUP($D2154,Merchantability!$B:$D,3,0),$E2154&lt;=VLOOKUP($D2154,Merchantability!$B:$E,4,0)),(AV2154*O2154)*(1-$H2154/100),""),"")</f>
        <v/>
      </c>
      <c r="AZ2154" s="116"/>
      <c r="BA2154" s="116"/>
      <c r="BB2154" s="116"/>
      <c r="BE2154" s="62"/>
      <c r="BF2154" s="63"/>
    </row>
    <row r="2155" spans="1:58" ht="12.75" customHeight="1" x14ac:dyDescent="0.25">
      <c r="A2155" s="334"/>
      <c r="B2155" s="334"/>
      <c r="C2155" s="332"/>
      <c r="D2155" s="334"/>
      <c r="E2155" s="335"/>
      <c r="F2155" s="334"/>
      <c r="G2155" s="332"/>
      <c r="H2155" s="332"/>
      <c r="I2155" s="334"/>
      <c r="J2155" s="336"/>
      <c r="K2155" s="332"/>
      <c r="L2155" s="332"/>
      <c r="M2155" s="76"/>
      <c r="N2155" s="103" t="str">
        <f>IF(A2155="","",VLOOKUP(A2155,Stand!C:K,9,0))</f>
        <v/>
      </c>
      <c r="O2155" s="104" t="str">
        <f t="shared" si="929"/>
        <v/>
      </c>
      <c r="P2155" s="105" t="str">
        <f t="shared" si="930"/>
        <v/>
      </c>
      <c r="Q2155" s="105" t="str">
        <f t="shared" si="945"/>
        <v/>
      </c>
      <c r="R2155" s="103" t="str">
        <f t="shared" si="931"/>
        <v/>
      </c>
      <c r="S2155" s="103" t="str">
        <f t="shared" si="932"/>
        <v/>
      </c>
      <c r="T2155" s="106" t="str">
        <f t="shared" si="946"/>
        <v/>
      </c>
      <c r="U2155" s="106" t="str">
        <f t="shared" si="947"/>
        <v/>
      </c>
      <c r="V2155" s="106" t="str">
        <f t="shared" si="948"/>
        <v/>
      </c>
      <c r="W2155" s="105" t="str">
        <f t="shared" si="933"/>
        <v/>
      </c>
      <c r="X2155" s="104" t="str">
        <f t="shared" si="938"/>
        <v/>
      </c>
      <c r="Y2155" s="104" t="str">
        <f t="array" ref="Y2155">IFERROR(IF(ISNUMBER(O2155),IF(COUNT(IF(A2155=$A$2:$A$2427,IF(D2155=$D$2:$D$2427,IF($X$2:$X$2427&gt;0,1))))&gt;0,SUM(IF(A2155=$A$2:$A$2427,IF(D2155=$D$2:$D$2427,$X$2:$X$2427)))/COUNT(IF(A2155=$A$2:$A$2427,IF(D2155=$D$2:$D$2427,IF(ISNUMBER($X$2:$X$2427),1)))),0),""),0)</f>
        <v/>
      </c>
      <c r="Z2155" s="104" t="str">
        <f>IF(ISNUMBER(O2155),IF(I2155&gt;0,(10^(VLOOKUP(D2155,'Species Codes'!B:C,2,0)+VLOOKUP(D2155,'Species Codes'!B:D,3,0)*LOG(E2155)+VLOOKUP(D2155,'Species Codes'!B:E,4,0)*LOG(I2155))),0),"")</f>
        <v/>
      </c>
      <c r="AA2155" s="104" t="str">
        <f>IFERROR((VLOOKUP(D2155,'Species Codes'!B:G,6,0)*Z2155)/2000,"")</f>
        <v/>
      </c>
      <c r="AB2155" s="104" t="e">
        <f>IF(Z2155&gt;0,((IF(OR(D2155="DF",D2155="RA")=TRUE,EXP(VLOOKUP(D2155,'Species Codes'!B:I,8,0)+VLOOKUP(D2155,'Species Codes'!B:J,9,0)*(LN((E2155*2.54)))),IF(OR(D2155="PY",D2155="RC",D2155="WH",D2155="NF")=TRUE,VLOOKUP(D2155,'Species Codes'!B:I,8,0)+VLOOKUP(D2155,'Species Codes'!B:J,9,0)*((E2155*2.54)^2)*(I2155*0.3048),IF(OR(D2155="MD",D2155="BM",D2155="GA")=TRUE,((VLOOKUP(D2155,'Species Codes'!B:I,8,0)*(((((E2155*2.54)+VLOOKUP(D2155,'Species Codes'!B:J,9,0))/VLOOKUP(D2155,'Species Codes'!B:K,10,0))^VLOOKUP(D2155,'Species Codes'!B:L,11,0))*((I2155*0.3048)^VLOOKUP(D2155,'Species Codes'!B:M,12,0))))-(VLOOKUP(D2155,'Species Codes'!B:I,8,0)*((((E2155*2.54)^VLOOKUP(D2155,'Species Codes'!B:L,11,0))*((I2155*0.3048)^VLOOKUP(D2155,'Species Codes'!B:M,12,0))))))*35.3*VLOOKUP(D2155,'Species Codes'!B:G,6,0)/2.2046,VLOOKUP(D2155,'Species Codes'!B:I,8,0)+VLOOKUP(D2155,'Species Codes'!B:J,9,0)*(((E2155*2.54)/100)^2)*(I2155*0.3048)))))*0.0011023),0)</f>
        <v>#N/A</v>
      </c>
      <c r="AC2155" s="104" t="e">
        <f>IF(Z2155&gt;0,((IF(OR(D2155="RA",D2155="OA",D2155="OT",D2155="UN",D2155="PC"),EXP(VLOOKUP(D2155,'Species Codes'!B:O,14,0)+VLOOKUP(D2155,'Species Codes'!B:P,15,0)*LN((E2155*2.54)))-EXP(VLOOKUP(D2155,'Species Codes'!B:O,14,0)+VLOOKUP(D2155,'Species Codes'!B:P,15,0)*LN((E2155*2.54)))*(1/(VLOOKUP(D2155,'Species Codes'!B:Q,16,0)+VLOOKUP(D2155,'Species Codes'!B:R,17,0)*((E2155*2.54)^VLOOKUP(D2155,'Species Codes'!B:S,18,0)))),IF(OR(D2155="BM",D2155="MD",D2155="OA"),EXP(VLOOKUP(D2155,'Species Codes'!B:O,14,0)+VLOOKUP(D2155,'Species Codes'!B:P,15,0)*LN((E2155*2.54)))*(1-(1/(VLOOKUP(D2155,'Species Codes'!B:Q,16,0)+VLOOKUP(D2155,'Species Codes'!B:R,17,0)*((E2155*2.54)^VLOOKUP(D2155,'Species Codes'!B:S,18,0)))))/1000,IF(D2155="DF",EXP(VLOOKUP(D2155,'Species Codes'!B:O,14,0)+VLOOKUP(D2155,'Species Codes'!B:P,15,0)*LN((E2155*2.54))),VLOOKUP(D2155,'Species Codes'!B:O,14,0)+VLOOKUP(D2155,'Species Codes'!B:P,15,0)*(((E2155*2.54)/100)^2)*(I2155*0.3048)))))*0.0011023),0)</f>
        <v>#N/A</v>
      </c>
      <c r="AD2155" s="104" t="e">
        <f t="shared" si="949"/>
        <v>#N/A</v>
      </c>
      <c r="AE2155" s="104" t="e">
        <f t="shared" si="950"/>
        <v>#N/A</v>
      </c>
      <c r="AF2155" s="104" t="e">
        <f>IF(AND(VLOOKUP($D2155,Merchantability!$B:$C,2,0)="Yes",$E2155&gt;=VLOOKUP($D2155,Merchantability!$B:$D,3,0),$E2155&lt;=VLOOKUP($D2155,Merchantability!$B:$E,4,0)),AA2155,0)</f>
        <v>#N/A</v>
      </c>
      <c r="AG2155" s="104" t="e">
        <f>IF(AND(VLOOKUP($D2155,Merchantability!$B:$C,2,0)="Yes",$E2155&gt;=VLOOKUP($D2155,Merchantability!$B:$D,3,0),$E2155&lt;=VLOOKUP($D2155,Merchantability!$B:$E,4,0)),AB2155,0)</f>
        <v>#N/A</v>
      </c>
      <c r="AH2155" s="104" t="e">
        <f>IF(AND(VLOOKUP($D2155,Merchantability!$B:$C,2,0)="Yes",$E2155&gt;=VLOOKUP($D2155,Merchantability!$B:$D,3,0),$E2155&lt;=VLOOKUP($D2155,Merchantability!$B:$E,4,0)),AC2155,0)</f>
        <v>#N/A</v>
      </c>
      <c r="AI2155" s="104" t="e">
        <f t="shared" si="951"/>
        <v>#N/A</v>
      </c>
      <c r="AJ2155" s="104" t="e">
        <f t="shared" si="952"/>
        <v>#VALUE!</v>
      </c>
      <c r="AK2155" s="104" t="e">
        <f t="shared" si="953"/>
        <v>#N/A</v>
      </c>
      <c r="AL2155" s="104" t="e">
        <f t="shared" si="954"/>
        <v>#N/A</v>
      </c>
      <c r="AM2155" s="104" t="e">
        <f t="shared" si="955"/>
        <v>#N/A</v>
      </c>
      <c r="AN2155" s="104" t="e">
        <f t="shared" si="939"/>
        <v>#N/A</v>
      </c>
      <c r="AO2155" s="104" t="e">
        <f t="shared" si="940"/>
        <v>#N/A</v>
      </c>
      <c r="AP2155" s="104" t="e">
        <f t="shared" si="941"/>
        <v>#N/A</v>
      </c>
      <c r="AQ2155" s="104" t="e">
        <f t="shared" si="942"/>
        <v>#N/A</v>
      </c>
      <c r="AR2155" s="105" t="str">
        <f t="shared" si="934"/>
        <v/>
      </c>
      <c r="AS2155" s="105" t="str">
        <f t="shared" si="935"/>
        <v/>
      </c>
      <c r="AT2155" s="108" t="str">
        <f t="shared" si="936"/>
        <v/>
      </c>
      <c r="AU2155" s="108" t="str">
        <f t="shared" si="937"/>
        <v/>
      </c>
      <c r="AV2155" s="107" t="str">
        <f>IF(ISNUMBER(O2155),IF(VLOOKUP($A2155,Stand!C:J,8,FALSE)="Short",AT2155,AU2155),"")</f>
        <v/>
      </c>
      <c r="AW2155" s="109" t="str">
        <f t="shared" si="943"/>
        <v/>
      </c>
      <c r="AX2155" s="109" t="str">
        <f t="shared" si="944"/>
        <v/>
      </c>
      <c r="AY2155" s="112" t="str">
        <f>IF(ISNUMBER(O2155),IF(AND(VLOOKUP($D2155,Merchantability!$B:$C,2,0)="Yes",$E2155&gt;=VLOOKUP($D2155,Merchantability!$B:$D,3,0),$E2155&lt;=VLOOKUP($D2155,Merchantability!$B:$E,4,0)),(AV2155*O2155)*(1-$H2155/100),""),"")</f>
        <v/>
      </c>
      <c r="AZ2155" s="116"/>
      <c r="BA2155" s="116"/>
      <c r="BB2155" s="116"/>
      <c r="BE2155" s="62"/>
      <c r="BF2155" s="63"/>
    </row>
    <row r="2156" spans="1:58" ht="12.75" customHeight="1" x14ac:dyDescent="0.25">
      <c r="A2156" s="334"/>
      <c r="B2156" s="334"/>
      <c r="C2156" s="332"/>
      <c r="D2156" s="334"/>
      <c r="E2156" s="335"/>
      <c r="F2156" s="334"/>
      <c r="G2156" s="332"/>
      <c r="H2156" s="332"/>
      <c r="I2156" s="334"/>
      <c r="J2156" s="336"/>
      <c r="K2156" s="332"/>
      <c r="L2156" s="332"/>
      <c r="M2156" s="76"/>
      <c r="N2156" s="103" t="str">
        <f>IF(A2156="","",VLOOKUP(A2156,Stand!C:K,9,0))</f>
        <v/>
      </c>
      <c r="O2156" s="104" t="str">
        <f t="shared" si="929"/>
        <v/>
      </c>
      <c r="P2156" s="105" t="str">
        <f t="shared" si="930"/>
        <v/>
      </c>
      <c r="Q2156" s="105" t="str">
        <f t="shared" si="945"/>
        <v/>
      </c>
      <c r="R2156" s="103" t="str">
        <f t="shared" si="931"/>
        <v/>
      </c>
      <c r="S2156" s="103" t="str">
        <f t="shared" si="932"/>
        <v/>
      </c>
      <c r="T2156" s="106" t="str">
        <f t="shared" si="946"/>
        <v/>
      </c>
      <c r="U2156" s="106" t="str">
        <f t="shared" si="947"/>
        <v/>
      </c>
      <c r="V2156" s="106" t="str">
        <f t="shared" si="948"/>
        <v/>
      </c>
      <c r="W2156" s="105" t="str">
        <f t="shared" si="933"/>
        <v/>
      </c>
      <c r="X2156" s="104" t="str">
        <f t="shared" si="938"/>
        <v/>
      </c>
      <c r="Y2156" s="104" t="str">
        <f t="array" ref="Y2156">IFERROR(IF(ISNUMBER(O2156),IF(COUNT(IF(A2156=$A$2:$A$2427,IF(D2156=$D$2:$D$2427,IF($X$2:$X$2427&gt;0,1))))&gt;0,SUM(IF(A2156=$A$2:$A$2427,IF(D2156=$D$2:$D$2427,$X$2:$X$2427)))/COUNT(IF(A2156=$A$2:$A$2427,IF(D2156=$D$2:$D$2427,IF(ISNUMBER($X$2:$X$2427),1)))),0),""),0)</f>
        <v/>
      </c>
      <c r="Z2156" s="104" t="str">
        <f>IF(ISNUMBER(O2156),IF(I2156&gt;0,(10^(VLOOKUP(D2156,'Species Codes'!B:C,2,0)+VLOOKUP(D2156,'Species Codes'!B:D,3,0)*LOG(E2156)+VLOOKUP(D2156,'Species Codes'!B:E,4,0)*LOG(I2156))),0),"")</f>
        <v/>
      </c>
      <c r="AA2156" s="104" t="str">
        <f>IFERROR((VLOOKUP(D2156,'Species Codes'!B:G,6,0)*Z2156)/2000,"")</f>
        <v/>
      </c>
      <c r="AB2156" s="104" t="e">
        <f>IF(Z2156&gt;0,((IF(OR(D2156="DF",D2156="RA")=TRUE,EXP(VLOOKUP(D2156,'Species Codes'!B:I,8,0)+VLOOKUP(D2156,'Species Codes'!B:J,9,0)*(LN((E2156*2.54)))),IF(OR(D2156="PY",D2156="RC",D2156="WH",D2156="NF")=TRUE,VLOOKUP(D2156,'Species Codes'!B:I,8,0)+VLOOKUP(D2156,'Species Codes'!B:J,9,0)*((E2156*2.54)^2)*(I2156*0.3048),IF(OR(D2156="MD",D2156="BM",D2156="GA")=TRUE,((VLOOKUP(D2156,'Species Codes'!B:I,8,0)*(((((E2156*2.54)+VLOOKUP(D2156,'Species Codes'!B:J,9,0))/VLOOKUP(D2156,'Species Codes'!B:K,10,0))^VLOOKUP(D2156,'Species Codes'!B:L,11,0))*((I2156*0.3048)^VLOOKUP(D2156,'Species Codes'!B:M,12,0))))-(VLOOKUP(D2156,'Species Codes'!B:I,8,0)*((((E2156*2.54)^VLOOKUP(D2156,'Species Codes'!B:L,11,0))*((I2156*0.3048)^VLOOKUP(D2156,'Species Codes'!B:M,12,0))))))*35.3*VLOOKUP(D2156,'Species Codes'!B:G,6,0)/2.2046,VLOOKUP(D2156,'Species Codes'!B:I,8,0)+VLOOKUP(D2156,'Species Codes'!B:J,9,0)*(((E2156*2.54)/100)^2)*(I2156*0.3048)))))*0.0011023),0)</f>
        <v>#N/A</v>
      </c>
      <c r="AC2156" s="104" t="e">
        <f>IF(Z2156&gt;0,((IF(OR(D2156="RA",D2156="OA",D2156="OT",D2156="UN",D2156="PC"),EXP(VLOOKUP(D2156,'Species Codes'!B:O,14,0)+VLOOKUP(D2156,'Species Codes'!B:P,15,0)*LN((E2156*2.54)))-EXP(VLOOKUP(D2156,'Species Codes'!B:O,14,0)+VLOOKUP(D2156,'Species Codes'!B:P,15,0)*LN((E2156*2.54)))*(1/(VLOOKUP(D2156,'Species Codes'!B:Q,16,0)+VLOOKUP(D2156,'Species Codes'!B:R,17,0)*((E2156*2.54)^VLOOKUP(D2156,'Species Codes'!B:S,18,0)))),IF(OR(D2156="BM",D2156="MD",D2156="OA"),EXP(VLOOKUP(D2156,'Species Codes'!B:O,14,0)+VLOOKUP(D2156,'Species Codes'!B:P,15,0)*LN((E2156*2.54)))*(1-(1/(VLOOKUP(D2156,'Species Codes'!B:Q,16,0)+VLOOKUP(D2156,'Species Codes'!B:R,17,0)*((E2156*2.54)^VLOOKUP(D2156,'Species Codes'!B:S,18,0)))))/1000,IF(D2156="DF",EXP(VLOOKUP(D2156,'Species Codes'!B:O,14,0)+VLOOKUP(D2156,'Species Codes'!B:P,15,0)*LN((E2156*2.54))),VLOOKUP(D2156,'Species Codes'!B:O,14,0)+VLOOKUP(D2156,'Species Codes'!B:P,15,0)*(((E2156*2.54)/100)^2)*(I2156*0.3048)))))*0.0011023),0)</f>
        <v>#N/A</v>
      </c>
      <c r="AD2156" s="104" t="e">
        <f t="shared" si="949"/>
        <v>#N/A</v>
      </c>
      <c r="AE2156" s="104" t="e">
        <f t="shared" si="950"/>
        <v>#N/A</v>
      </c>
      <c r="AF2156" s="104" t="e">
        <f>IF(AND(VLOOKUP($D2156,Merchantability!$B:$C,2,0)="Yes",$E2156&gt;=VLOOKUP($D2156,Merchantability!$B:$D,3,0),$E2156&lt;=VLOOKUP($D2156,Merchantability!$B:$E,4,0)),AA2156,0)</f>
        <v>#N/A</v>
      </c>
      <c r="AG2156" s="104" t="e">
        <f>IF(AND(VLOOKUP($D2156,Merchantability!$B:$C,2,0)="Yes",$E2156&gt;=VLOOKUP($D2156,Merchantability!$B:$D,3,0),$E2156&lt;=VLOOKUP($D2156,Merchantability!$B:$E,4,0)),AB2156,0)</f>
        <v>#N/A</v>
      </c>
      <c r="AH2156" s="104" t="e">
        <f>IF(AND(VLOOKUP($D2156,Merchantability!$B:$C,2,0)="Yes",$E2156&gt;=VLOOKUP($D2156,Merchantability!$B:$D,3,0),$E2156&lt;=VLOOKUP($D2156,Merchantability!$B:$E,4,0)),AC2156,0)</f>
        <v>#N/A</v>
      </c>
      <c r="AI2156" s="104" t="e">
        <f t="shared" si="951"/>
        <v>#N/A</v>
      </c>
      <c r="AJ2156" s="104" t="e">
        <f t="shared" si="952"/>
        <v>#VALUE!</v>
      </c>
      <c r="AK2156" s="104" t="e">
        <f t="shared" si="953"/>
        <v>#N/A</v>
      </c>
      <c r="AL2156" s="104" t="e">
        <f t="shared" si="954"/>
        <v>#N/A</v>
      </c>
      <c r="AM2156" s="104" t="e">
        <f t="shared" si="955"/>
        <v>#N/A</v>
      </c>
      <c r="AN2156" s="104" t="e">
        <f t="shared" si="939"/>
        <v>#N/A</v>
      </c>
      <c r="AO2156" s="104" t="e">
        <f t="shared" si="940"/>
        <v>#N/A</v>
      </c>
      <c r="AP2156" s="104" t="e">
        <f t="shared" si="941"/>
        <v>#N/A</v>
      </c>
      <c r="AQ2156" s="104" t="e">
        <f t="shared" si="942"/>
        <v>#N/A</v>
      </c>
      <c r="AR2156" s="105" t="str">
        <f t="shared" si="934"/>
        <v/>
      </c>
      <c r="AS2156" s="105" t="str">
        <f t="shared" si="935"/>
        <v/>
      </c>
      <c r="AT2156" s="108" t="str">
        <f t="shared" si="936"/>
        <v/>
      </c>
      <c r="AU2156" s="108" t="str">
        <f t="shared" si="937"/>
        <v/>
      </c>
      <c r="AV2156" s="107" t="str">
        <f>IF(ISNUMBER(O2156),IF(VLOOKUP($A2156,Stand!C:J,8,FALSE)="Short",AT2156,AU2156),"")</f>
        <v/>
      </c>
      <c r="AW2156" s="109" t="str">
        <f t="shared" si="943"/>
        <v/>
      </c>
      <c r="AX2156" s="109" t="str">
        <f t="shared" si="944"/>
        <v/>
      </c>
      <c r="AY2156" s="112" t="str">
        <f>IF(ISNUMBER(O2156),IF(AND(VLOOKUP($D2156,Merchantability!$B:$C,2,0)="Yes",$E2156&gt;=VLOOKUP($D2156,Merchantability!$B:$D,3,0),$E2156&lt;=VLOOKUP($D2156,Merchantability!$B:$E,4,0)),(AV2156*O2156)*(1-$H2156/100),""),"")</f>
        <v/>
      </c>
      <c r="AZ2156" s="116"/>
      <c r="BA2156" s="116"/>
      <c r="BB2156" s="116"/>
      <c r="BE2156" s="62"/>
      <c r="BF2156" s="63"/>
    </row>
    <row r="2157" spans="1:58" ht="12.75" customHeight="1" x14ac:dyDescent="0.25">
      <c r="A2157" s="334"/>
      <c r="B2157" s="334"/>
      <c r="C2157" s="332"/>
      <c r="D2157" s="334"/>
      <c r="E2157" s="335"/>
      <c r="F2157" s="334"/>
      <c r="G2157" s="332"/>
      <c r="H2157" s="332"/>
      <c r="I2157" s="334"/>
      <c r="J2157" s="336"/>
      <c r="K2157" s="332"/>
      <c r="L2157" s="332"/>
      <c r="M2157" s="76"/>
      <c r="N2157" s="103" t="str">
        <f>IF(A2157="","",VLOOKUP(A2157,Stand!C:K,9,0))</f>
        <v/>
      </c>
      <c r="O2157" s="104" t="str">
        <f t="shared" si="929"/>
        <v/>
      </c>
      <c r="P2157" s="105" t="str">
        <f t="shared" si="930"/>
        <v/>
      </c>
      <c r="Q2157" s="105" t="str">
        <f t="shared" si="945"/>
        <v/>
      </c>
      <c r="R2157" s="103" t="str">
        <f t="shared" si="931"/>
        <v/>
      </c>
      <c r="S2157" s="103" t="str">
        <f t="shared" si="932"/>
        <v/>
      </c>
      <c r="T2157" s="106" t="str">
        <f t="shared" si="946"/>
        <v/>
      </c>
      <c r="U2157" s="106" t="str">
        <f t="shared" si="947"/>
        <v/>
      </c>
      <c r="V2157" s="106" t="str">
        <f t="shared" si="948"/>
        <v/>
      </c>
      <c r="W2157" s="105" t="str">
        <f t="shared" si="933"/>
        <v/>
      </c>
      <c r="X2157" s="104" t="str">
        <f t="shared" si="938"/>
        <v/>
      </c>
      <c r="Y2157" s="104" t="str">
        <f t="array" ref="Y2157">IFERROR(IF(ISNUMBER(O2157),IF(COUNT(IF(A2157=$A$2:$A$2427,IF(D2157=$D$2:$D$2427,IF($X$2:$X$2427&gt;0,1))))&gt;0,SUM(IF(A2157=$A$2:$A$2427,IF(D2157=$D$2:$D$2427,$X$2:$X$2427)))/COUNT(IF(A2157=$A$2:$A$2427,IF(D2157=$D$2:$D$2427,IF(ISNUMBER($X$2:$X$2427),1)))),0),""),0)</f>
        <v/>
      </c>
      <c r="Z2157" s="104" t="str">
        <f>IF(ISNUMBER(O2157),IF(I2157&gt;0,(10^(VLOOKUP(D2157,'Species Codes'!B:C,2,0)+VLOOKUP(D2157,'Species Codes'!B:D,3,0)*LOG(E2157)+VLOOKUP(D2157,'Species Codes'!B:E,4,0)*LOG(I2157))),0),"")</f>
        <v/>
      </c>
      <c r="AA2157" s="104" t="str">
        <f>IFERROR((VLOOKUP(D2157,'Species Codes'!B:G,6,0)*Z2157)/2000,"")</f>
        <v/>
      </c>
      <c r="AB2157" s="104" t="e">
        <f>IF(Z2157&gt;0,((IF(OR(D2157="DF",D2157="RA")=TRUE,EXP(VLOOKUP(D2157,'Species Codes'!B:I,8,0)+VLOOKUP(D2157,'Species Codes'!B:J,9,0)*(LN((E2157*2.54)))),IF(OR(D2157="PY",D2157="RC",D2157="WH",D2157="NF")=TRUE,VLOOKUP(D2157,'Species Codes'!B:I,8,0)+VLOOKUP(D2157,'Species Codes'!B:J,9,0)*((E2157*2.54)^2)*(I2157*0.3048),IF(OR(D2157="MD",D2157="BM",D2157="GA")=TRUE,((VLOOKUP(D2157,'Species Codes'!B:I,8,0)*(((((E2157*2.54)+VLOOKUP(D2157,'Species Codes'!B:J,9,0))/VLOOKUP(D2157,'Species Codes'!B:K,10,0))^VLOOKUP(D2157,'Species Codes'!B:L,11,0))*((I2157*0.3048)^VLOOKUP(D2157,'Species Codes'!B:M,12,0))))-(VLOOKUP(D2157,'Species Codes'!B:I,8,0)*((((E2157*2.54)^VLOOKUP(D2157,'Species Codes'!B:L,11,0))*((I2157*0.3048)^VLOOKUP(D2157,'Species Codes'!B:M,12,0))))))*35.3*VLOOKUP(D2157,'Species Codes'!B:G,6,0)/2.2046,VLOOKUP(D2157,'Species Codes'!B:I,8,0)+VLOOKUP(D2157,'Species Codes'!B:J,9,0)*(((E2157*2.54)/100)^2)*(I2157*0.3048)))))*0.0011023),0)</f>
        <v>#N/A</v>
      </c>
      <c r="AC2157" s="104" t="e">
        <f>IF(Z2157&gt;0,((IF(OR(D2157="RA",D2157="OA",D2157="OT",D2157="UN",D2157="PC"),EXP(VLOOKUP(D2157,'Species Codes'!B:O,14,0)+VLOOKUP(D2157,'Species Codes'!B:P,15,0)*LN((E2157*2.54)))-EXP(VLOOKUP(D2157,'Species Codes'!B:O,14,0)+VLOOKUP(D2157,'Species Codes'!B:P,15,0)*LN((E2157*2.54)))*(1/(VLOOKUP(D2157,'Species Codes'!B:Q,16,0)+VLOOKUP(D2157,'Species Codes'!B:R,17,0)*((E2157*2.54)^VLOOKUP(D2157,'Species Codes'!B:S,18,0)))),IF(OR(D2157="BM",D2157="MD",D2157="OA"),EXP(VLOOKUP(D2157,'Species Codes'!B:O,14,0)+VLOOKUP(D2157,'Species Codes'!B:P,15,0)*LN((E2157*2.54)))*(1-(1/(VLOOKUP(D2157,'Species Codes'!B:Q,16,0)+VLOOKUP(D2157,'Species Codes'!B:R,17,0)*((E2157*2.54)^VLOOKUP(D2157,'Species Codes'!B:S,18,0)))))/1000,IF(D2157="DF",EXP(VLOOKUP(D2157,'Species Codes'!B:O,14,0)+VLOOKUP(D2157,'Species Codes'!B:P,15,0)*LN((E2157*2.54))),VLOOKUP(D2157,'Species Codes'!B:O,14,0)+VLOOKUP(D2157,'Species Codes'!B:P,15,0)*(((E2157*2.54)/100)^2)*(I2157*0.3048)))))*0.0011023),0)</f>
        <v>#N/A</v>
      </c>
      <c r="AD2157" s="104" t="e">
        <f t="shared" si="949"/>
        <v>#N/A</v>
      </c>
      <c r="AE2157" s="104" t="e">
        <f t="shared" si="950"/>
        <v>#N/A</v>
      </c>
      <c r="AF2157" s="104" t="e">
        <f>IF(AND(VLOOKUP($D2157,Merchantability!$B:$C,2,0)="Yes",$E2157&gt;=VLOOKUP($D2157,Merchantability!$B:$D,3,0),$E2157&lt;=VLOOKUP($D2157,Merchantability!$B:$E,4,0)),AA2157,0)</f>
        <v>#N/A</v>
      </c>
      <c r="AG2157" s="104" t="e">
        <f>IF(AND(VLOOKUP($D2157,Merchantability!$B:$C,2,0)="Yes",$E2157&gt;=VLOOKUP($D2157,Merchantability!$B:$D,3,0),$E2157&lt;=VLOOKUP($D2157,Merchantability!$B:$E,4,0)),AB2157,0)</f>
        <v>#N/A</v>
      </c>
      <c r="AH2157" s="104" t="e">
        <f>IF(AND(VLOOKUP($D2157,Merchantability!$B:$C,2,0)="Yes",$E2157&gt;=VLOOKUP($D2157,Merchantability!$B:$D,3,0),$E2157&lt;=VLOOKUP($D2157,Merchantability!$B:$E,4,0)),AC2157,0)</f>
        <v>#N/A</v>
      </c>
      <c r="AI2157" s="104" t="e">
        <f t="shared" si="951"/>
        <v>#N/A</v>
      </c>
      <c r="AJ2157" s="104" t="e">
        <f t="shared" si="952"/>
        <v>#VALUE!</v>
      </c>
      <c r="AK2157" s="104" t="e">
        <f t="shared" si="953"/>
        <v>#N/A</v>
      </c>
      <c r="AL2157" s="104" t="e">
        <f t="shared" si="954"/>
        <v>#N/A</v>
      </c>
      <c r="AM2157" s="104" t="e">
        <f t="shared" si="955"/>
        <v>#N/A</v>
      </c>
      <c r="AN2157" s="104" t="e">
        <f t="shared" si="939"/>
        <v>#N/A</v>
      </c>
      <c r="AO2157" s="104" t="e">
        <f t="shared" si="940"/>
        <v>#N/A</v>
      </c>
      <c r="AP2157" s="104" t="e">
        <f t="shared" si="941"/>
        <v>#N/A</v>
      </c>
      <c r="AQ2157" s="104" t="e">
        <f t="shared" si="942"/>
        <v>#N/A</v>
      </c>
      <c r="AR2157" s="105" t="str">
        <f t="shared" si="934"/>
        <v/>
      </c>
      <c r="AS2157" s="105" t="str">
        <f t="shared" si="935"/>
        <v/>
      </c>
      <c r="AT2157" s="108" t="str">
        <f t="shared" si="936"/>
        <v/>
      </c>
      <c r="AU2157" s="108" t="str">
        <f t="shared" si="937"/>
        <v/>
      </c>
      <c r="AV2157" s="107" t="str">
        <f>IF(ISNUMBER(O2157),IF(VLOOKUP($A2157,Stand!C:J,8,FALSE)="Short",AT2157,AU2157),"")</f>
        <v/>
      </c>
      <c r="AW2157" s="109" t="str">
        <f t="shared" si="943"/>
        <v/>
      </c>
      <c r="AX2157" s="109" t="str">
        <f t="shared" si="944"/>
        <v/>
      </c>
      <c r="AY2157" s="112" t="str">
        <f>IF(ISNUMBER(O2157),IF(AND(VLOOKUP($D2157,Merchantability!$B:$C,2,0)="Yes",$E2157&gt;=VLOOKUP($D2157,Merchantability!$B:$D,3,0),$E2157&lt;=VLOOKUP($D2157,Merchantability!$B:$E,4,0)),(AV2157*O2157)*(1-$H2157/100),""),"")</f>
        <v/>
      </c>
      <c r="AZ2157" s="116"/>
      <c r="BA2157" s="116"/>
      <c r="BB2157" s="116"/>
      <c r="BE2157" s="62"/>
      <c r="BF2157" s="63"/>
    </row>
    <row r="2158" spans="1:58" ht="12.75" customHeight="1" x14ac:dyDescent="0.25">
      <c r="A2158" s="334"/>
      <c r="B2158" s="334"/>
      <c r="C2158" s="332"/>
      <c r="D2158" s="334"/>
      <c r="E2158" s="335"/>
      <c r="F2158" s="334"/>
      <c r="G2158" s="332"/>
      <c r="H2158" s="332"/>
      <c r="I2158" s="334"/>
      <c r="J2158" s="336"/>
      <c r="K2158" s="332"/>
      <c r="L2158" s="332"/>
      <c r="M2158" s="76"/>
      <c r="N2158" s="103" t="str">
        <f>IF(A2158="","",VLOOKUP(A2158,Stand!C:K,9,0))</f>
        <v/>
      </c>
      <c r="O2158" s="104" t="str">
        <f t="shared" si="929"/>
        <v/>
      </c>
      <c r="P2158" s="105" t="str">
        <f t="shared" si="930"/>
        <v/>
      </c>
      <c r="Q2158" s="105" t="str">
        <f t="shared" si="945"/>
        <v/>
      </c>
      <c r="R2158" s="103" t="str">
        <f t="shared" si="931"/>
        <v/>
      </c>
      <c r="S2158" s="103" t="str">
        <f t="shared" si="932"/>
        <v/>
      </c>
      <c r="T2158" s="106" t="str">
        <f t="shared" si="946"/>
        <v/>
      </c>
      <c r="U2158" s="106" t="str">
        <f t="shared" si="947"/>
        <v/>
      </c>
      <c r="V2158" s="106" t="str">
        <f t="shared" si="948"/>
        <v/>
      </c>
      <c r="W2158" s="105" t="str">
        <f t="shared" si="933"/>
        <v/>
      </c>
      <c r="X2158" s="104" t="str">
        <f t="shared" si="938"/>
        <v/>
      </c>
      <c r="Y2158" s="104" t="str">
        <f t="array" ref="Y2158">IFERROR(IF(ISNUMBER(O2158),IF(COUNT(IF(A2158=$A$2:$A$2427,IF(D2158=$D$2:$D$2427,IF($X$2:$X$2427&gt;0,1))))&gt;0,SUM(IF(A2158=$A$2:$A$2427,IF(D2158=$D$2:$D$2427,$X$2:$X$2427)))/COUNT(IF(A2158=$A$2:$A$2427,IF(D2158=$D$2:$D$2427,IF(ISNUMBER($X$2:$X$2427),1)))),0),""),0)</f>
        <v/>
      </c>
      <c r="Z2158" s="104" t="str">
        <f>IF(ISNUMBER(O2158),IF(I2158&gt;0,(10^(VLOOKUP(D2158,'Species Codes'!B:C,2,0)+VLOOKUP(D2158,'Species Codes'!B:D,3,0)*LOG(E2158)+VLOOKUP(D2158,'Species Codes'!B:E,4,0)*LOG(I2158))),0),"")</f>
        <v/>
      </c>
      <c r="AA2158" s="104" t="str">
        <f>IFERROR((VLOOKUP(D2158,'Species Codes'!B:G,6,0)*Z2158)/2000,"")</f>
        <v/>
      </c>
      <c r="AB2158" s="104" t="e">
        <f>IF(Z2158&gt;0,((IF(OR(D2158="DF",D2158="RA")=TRUE,EXP(VLOOKUP(D2158,'Species Codes'!B:I,8,0)+VLOOKUP(D2158,'Species Codes'!B:J,9,0)*(LN((E2158*2.54)))),IF(OR(D2158="PY",D2158="RC",D2158="WH",D2158="NF")=TRUE,VLOOKUP(D2158,'Species Codes'!B:I,8,0)+VLOOKUP(D2158,'Species Codes'!B:J,9,0)*((E2158*2.54)^2)*(I2158*0.3048),IF(OR(D2158="MD",D2158="BM",D2158="GA")=TRUE,((VLOOKUP(D2158,'Species Codes'!B:I,8,0)*(((((E2158*2.54)+VLOOKUP(D2158,'Species Codes'!B:J,9,0))/VLOOKUP(D2158,'Species Codes'!B:K,10,0))^VLOOKUP(D2158,'Species Codes'!B:L,11,0))*((I2158*0.3048)^VLOOKUP(D2158,'Species Codes'!B:M,12,0))))-(VLOOKUP(D2158,'Species Codes'!B:I,8,0)*((((E2158*2.54)^VLOOKUP(D2158,'Species Codes'!B:L,11,0))*((I2158*0.3048)^VLOOKUP(D2158,'Species Codes'!B:M,12,0))))))*35.3*VLOOKUP(D2158,'Species Codes'!B:G,6,0)/2.2046,VLOOKUP(D2158,'Species Codes'!B:I,8,0)+VLOOKUP(D2158,'Species Codes'!B:J,9,0)*(((E2158*2.54)/100)^2)*(I2158*0.3048)))))*0.0011023),0)</f>
        <v>#N/A</v>
      </c>
      <c r="AC2158" s="104" t="e">
        <f>IF(Z2158&gt;0,((IF(OR(D2158="RA",D2158="OA",D2158="OT",D2158="UN",D2158="PC"),EXP(VLOOKUP(D2158,'Species Codes'!B:O,14,0)+VLOOKUP(D2158,'Species Codes'!B:P,15,0)*LN((E2158*2.54)))-EXP(VLOOKUP(D2158,'Species Codes'!B:O,14,0)+VLOOKUP(D2158,'Species Codes'!B:P,15,0)*LN((E2158*2.54)))*(1/(VLOOKUP(D2158,'Species Codes'!B:Q,16,0)+VLOOKUP(D2158,'Species Codes'!B:R,17,0)*((E2158*2.54)^VLOOKUP(D2158,'Species Codes'!B:S,18,0)))),IF(OR(D2158="BM",D2158="MD",D2158="OA"),EXP(VLOOKUP(D2158,'Species Codes'!B:O,14,0)+VLOOKUP(D2158,'Species Codes'!B:P,15,0)*LN((E2158*2.54)))*(1-(1/(VLOOKUP(D2158,'Species Codes'!B:Q,16,0)+VLOOKUP(D2158,'Species Codes'!B:R,17,0)*((E2158*2.54)^VLOOKUP(D2158,'Species Codes'!B:S,18,0)))))/1000,IF(D2158="DF",EXP(VLOOKUP(D2158,'Species Codes'!B:O,14,0)+VLOOKUP(D2158,'Species Codes'!B:P,15,0)*LN((E2158*2.54))),VLOOKUP(D2158,'Species Codes'!B:O,14,0)+VLOOKUP(D2158,'Species Codes'!B:P,15,0)*(((E2158*2.54)/100)^2)*(I2158*0.3048)))))*0.0011023),0)</f>
        <v>#N/A</v>
      </c>
      <c r="AD2158" s="104" t="e">
        <f t="shared" si="949"/>
        <v>#N/A</v>
      </c>
      <c r="AE2158" s="104" t="e">
        <f t="shared" si="950"/>
        <v>#N/A</v>
      </c>
      <c r="AF2158" s="104" t="e">
        <f>IF(AND(VLOOKUP($D2158,Merchantability!$B:$C,2,0)="Yes",$E2158&gt;=VLOOKUP($D2158,Merchantability!$B:$D,3,0),$E2158&lt;=VLOOKUP($D2158,Merchantability!$B:$E,4,0)),AA2158,0)</f>
        <v>#N/A</v>
      </c>
      <c r="AG2158" s="104" t="e">
        <f>IF(AND(VLOOKUP($D2158,Merchantability!$B:$C,2,0)="Yes",$E2158&gt;=VLOOKUP($D2158,Merchantability!$B:$D,3,0),$E2158&lt;=VLOOKUP($D2158,Merchantability!$B:$E,4,0)),AB2158,0)</f>
        <v>#N/A</v>
      </c>
      <c r="AH2158" s="104" t="e">
        <f>IF(AND(VLOOKUP($D2158,Merchantability!$B:$C,2,0)="Yes",$E2158&gt;=VLOOKUP($D2158,Merchantability!$B:$D,3,0),$E2158&lt;=VLOOKUP($D2158,Merchantability!$B:$E,4,0)),AC2158,0)</f>
        <v>#N/A</v>
      </c>
      <c r="AI2158" s="104" t="e">
        <f t="shared" si="951"/>
        <v>#N/A</v>
      </c>
      <c r="AJ2158" s="104" t="e">
        <f t="shared" si="952"/>
        <v>#VALUE!</v>
      </c>
      <c r="AK2158" s="104" t="e">
        <f t="shared" si="953"/>
        <v>#N/A</v>
      </c>
      <c r="AL2158" s="104" t="e">
        <f t="shared" si="954"/>
        <v>#N/A</v>
      </c>
      <c r="AM2158" s="104" t="e">
        <f t="shared" si="955"/>
        <v>#N/A</v>
      </c>
      <c r="AN2158" s="104" t="e">
        <f t="shared" si="939"/>
        <v>#N/A</v>
      </c>
      <c r="AO2158" s="104" t="e">
        <f t="shared" si="940"/>
        <v>#N/A</v>
      </c>
      <c r="AP2158" s="104" t="e">
        <f t="shared" si="941"/>
        <v>#N/A</v>
      </c>
      <c r="AQ2158" s="104" t="e">
        <f t="shared" si="942"/>
        <v>#N/A</v>
      </c>
      <c r="AR2158" s="105" t="str">
        <f t="shared" si="934"/>
        <v/>
      </c>
      <c r="AS2158" s="105" t="str">
        <f t="shared" si="935"/>
        <v/>
      </c>
      <c r="AT2158" s="108" t="str">
        <f t="shared" si="936"/>
        <v/>
      </c>
      <c r="AU2158" s="108" t="str">
        <f t="shared" si="937"/>
        <v/>
      </c>
      <c r="AV2158" s="107" t="str">
        <f>IF(ISNUMBER(O2158),IF(VLOOKUP($A2158,Stand!C:J,8,FALSE)="Short",AT2158,AU2158),"")</f>
        <v/>
      </c>
      <c r="AW2158" s="109" t="str">
        <f t="shared" si="943"/>
        <v/>
      </c>
      <c r="AX2158" s="109" t="str">
        <f t="shared" si="944"/>
        <v/>
      </c>
      <c r="AY2158" s="112" t="str">
        <f>IF(ISNUMBER(O2158),IF(AND(VLOOKUP($D2158,Merchantability!$B:$C,2,0)="Yes",$E2158&gt;=VLOOKUP($D2158,Merchantability!$B:$D,3,0),$E2158&lt;=VLOOKUP($D2158,Merchantability!$B:$E,4,0)),(AV2158*O2158)*(1-$H2158/100),""),"")</f>
        <v/>
      </c>
      <c r="AZ2158" s="116"/>
      <c r="BA2158" s="116"/>
      <c r="BB2158" s="116"/>
      <c r="BE2158" s="62"/>
      <c r="BF2158" s="63"/>
    </row>
    <row r="2159" spans="1:58" ht="12.75" customHeight="1" x14ac:dyDescent="0.25">
      <c r="A2159" s="334"/>
      <c r="B2159" s="334"/>
      <c r="C2159" s="332"/>
      <c r="D2159" s="334"/>
      <c r="E2159" s="335"/>
      <c r="F2159" s="334"/>
      <c r="G2159" s="332"/>
      <c r="H2159" s="332"/>
      <c r="I2159" s="334"/>
      <c r="J2159" s="336"/>
      <c r="K2159" s="332"/>
      <c r="L2159" s="332"/>
      <c r="M2159" s="76"/>
      <c r="N2159" s="103" t="str">
        <f>IF(A2159="","",VLOOKUP(A2159,Stand!C:K,9,0))</f>
        <v/>
      </c>
      <c r="O2159" s="104" t="str">
        <f t="shared" si="929"/>
        <v/>
      </c>
      <c r="P2159" s="105" t="str">
        <f t="shared" si="930"/>
        <v/>
      </c>
      <c r="Q2159" s="105" t="str">
        <f t="shared" si="945"/>
        <v/>
      </c>
      <c r="R2159" s="103" t="str">
        <f t="shared" si="931"/>
        <v/>
      </c>
      <c r="S2159" s="103" t="str">
        <f t="shared" si="932"/>
        <v/>
      </c>
      <c r="T2159" s="106" t="str">
        <f t="shared" si="946"/>
        <v/>
      </c>
      <c r="U2159" s="106" t="str">
        <f t="shared" si="947"/>
        <v/>
      </c>
      <c r="V2159" s="106" t="str">
        <f t="shared" si="948"/>
        <v/>
      </c>
      <c r="W2159" s="105" t="str">
        <f t="shared" si="933"/>
        <v/>
      </c>
      <c r="X2159" s="104" t="str">
        <f t="shared" si="938"/>
        <v/>
      </c>
      <c r="Y2159" s="104" t="str">
        <f t="array" ref="Y2159">IFERROR(IF(ISNUMBER(O2159),IF(COUNT(IF(A2159=$A$2:$A$2427,IF(D2159=$D$2:$D$2427,IF($X$2:$X$2427&gt;0,1))))&gt;0,SUM(IF(A2159=$A$2:$A$2427,IF(D2159=$D$2:$D$2427,$X$2:$X$2427)))/COUNT(IF(A2159=$A$2:$A$2427,IF(D2159=$D$2:$D$2427,IF(ISNUMBER($X$2:$X$2427),1)))),0),""),0)</f>
        <v/>
      </c>
      <c r="Z2159" s="104" t="str">
        <f>IF(ISNUMBER(O2159),IF(I2159&gt;0,(10^(VLOOKUP(D2159,'Species Codes'!B:C,2,0)+VLOOKUP(D2159,'Species Codes'!B:D,3,0)*LOG(E2159)+VLOOKUP(D2159,'Species Codes'!B:E,4,0)*LOG(I2159))),0),"")</f>
        <v/>
      </c>
      <c r="AA2159" s="104" t="str">
        <f>IFERROR((VLOOKUP(D2159,'Species Codes'!B:G,6,0)*Z2159)/2000,"")</f>
        <v/>
      </c>
      <c r="AB2159" s="104" t="e">
        <f>IF(Z2159&gt;0,((IF(OR(D2159="DF",D2159="RA")=TRUE,EXP(VLOOKUP(D2159,'Species Codes'!B:I,8,0)+VLOOKUP(D2159,'Species Codes'!B:J,9,0)*(LN((E2159*2.54)))),IF(OR(D2159="PY",D2159="RC",D2159="WH",D2159="NF")=TRUE,VLOOKUP(D2159,'Species Codes'!B:I,8,0)+VLOOKUP(D2159,'Species Codes'!B:J,9,0)*((E2159*2.54)^2)*(I2159*0.3048),IF(OR(D2159="MD",D2159="BM",D2159="GA")=TRUE,((VLOOKUP(D2159,'Species Codes'!B:I,8,0)*(((((E2159*2.54)+VLOOKUP(D2159,'Species Codes'!B:J,9,0))/VLOOKUP(D2159,'Species Codes'!B:K,10,0))^VLOOKUP(D2159,'Species Codes'!B:L,11,0))*((I2159*0.3048)^VLOOKUP(D2159,'Species Codes'!B:M,12,0))))-(VLOOKUP(D2159,'Species Codes'!B:I,8,0)*((((E2159*2.54)^VLOOKUP(D2159,'Species Codes'!B:L,11,0))*((I2159*0.3048)^VLOOKUP(D2159,'Species Codes'!B:M,12,0))))))*35.3*VLOOKUP(D2159,'Species Codes'!B:G,6,0)/2.2046,VLOOKUP(D2159,'Species Codes'!B:I,8,0)+VLOOKUP(D2159,'Species Codes'!B:J,9,0)*(((E2159*2.54)/100)^2)*(I2159*0.3048)))))*0.0011023),0)</f>
        <v>#N/A</v>
      </c>
      <c r="AC2159" s="104" t="e">
        <f>IF(Z2159&gt;0,((IF(OR(D2159="RA",D2159="OA",D2159="OT",D2159="UN",D2159="PC"),EXP(VLOOKUP(D2159,'Species Codes'!B:O,14,0)+VLOOKUP(D2159,'Species Codes'!B:P,15,0)*LN((E2159*2.54)))-EXP(VLOOKUP(D2159,'Species Codes'!B:O,14,0)+VLOOKUP(D2159,'Species Codes'!B:P,15,0)*LN((E2159*2.54)))*(1/(VLOOKUP(D2159,'Species Codes'!B:Q,16,0)+VLOOKUP(D2159,'Species Codes'!B:R,17,0)*((E2159*2.54)^VLOOKUP(D2159,'Species Codes'!B:S,18,0)))),IF(OR(D2159="BM",D2159="MD",D2159="OA"),EXP(VLOOKUP(D2159,'Species Codes'!B:O,14,0)+VLOOKUP(D2159,'Species Codes'!B:P,15,0)*LN((E2159*2.54)))*(1-(1/(VLOOKUP(D2159,'Species Codes'!B:Q,16,0)+VLOOKUP(D2159,'Species Codes'!B:R,17,0)*((E2159*2.54)^VLOOKUP(D2159,'Species Codes'!B:S,18,0)))))/1000,IF(D2159="DF",EXP(VLOOKUP(D2159,'Species Codes'!B:O,14,0)+VLOOKUP(D2159,'Species Codes'!B:P,15,0)*LN((E2159*2.54))),VLOOKUP(D2159,'Species Codes'!B:O,14,0)+VLOOKUP(D2159,'Species Codes'!B:P,15,0)*(((E2159*2.54)/100)^2)*(I2159*0.3048)))))*0.0011023),0)</f>
        <v>#N/A</v>
      </c>
      <c r="AD2159" s="104" t="e">
        <f t="shared" si="949"/>
        <v>#N/A</v>
      </c>
      <c r="AE2159" s="104" t="e">
        <f t="shared" si="950"/>
        <v>#N/A</v>
      </c>
      <c r="AF2159" s="104" t="e">
        <f>IF(AND(VLOOKUP($D2159,Merchantability!$B:$C,2,0)="Yes",$E2159&gt;=VLOOKUP($D2159,Merchantability!$B:$D,3,0),$E2159&lt;=VLOOKUP($D2159,Merchantability!$B:$E,4,0)),AA2159,0)</f>
        <v>#N/A</v>
      </c>
      <c r="AG2159" s="104" t="e">
        <f>IF(AND(VLOOKUP($D2159,Merchantability!$B:$C,2,0)="Yes",$E2159&gt;=VLOOKUP($D2159,Merchantability!$B:$D,3,0),$E2159&lt;=VLOOKUP($D2159,Merchantability!$B:$E,4,0)),AB2159,0)</f>
        <v>#N/A</v>
      </c>
      <c r="AH2159" s="104" t="e">
        <f>IF(AND(VLOOKUP($D2159,Merchantability!$B:$C,2,0)="Yes",$E2159&gt;=VLOOKUP($D2159,Merchantability!$B:$D,3,0),$E2159&lt;=VLOOKUP($D2159,Merchantability!$B:$E,4,0)),AC2159,0)</f>
        <v>#N/A</v>
      </c>
      <c r="AI2159" s="104" t="e">
        <f t="shared" si="951"/>
        <v>#N/A</v>
      </c>
      <c r="AJ2159" s="104" t="e">
        <f t="shared" si="952"/>
        <v>#VALUE!</v>
      </c>
      <c r="AK2159" s="104" t="e">
        <f t="shared" si="953"/>
        <v>#N/A</v>
      </c>
      <c r="AL2159" s="104" t="e">
        <f t="shared" si="954"/>
        <v>#N/A</v>
      </c>
      <c r="AM2159" s="104" t="e">
        <f t="shared" si="955"/>
        <v>#N/A</v>
      </c>
      <c r="AN2159" s="104" t="e">
        <f t="shared" si="939"/>
        <v>#N/A</v>
      </c>
      <c r="AO2159" s="104" t="e">
        <f t="shared" si="940"/>
        <v>#N/A</v>
      </c>
      <c r="AP2159" s="104" t="e">
        <f t="shared" si="941"/>
        <v>#N/A</v>
      </c>
      <c r="AQ2159" s="104" t="e">
        <f t="shared" si="942"/>
        <v>#N/A</v>
      </c>
      <c r="AR2159" s="105" t="str">
        <f t="shared" si="934"/>
        <v/>
      </c>
      <c r="AS2159" s="105" t="str">
        <f t="shared" si="935"/>
        <v/>
      </c>
      <c r="AT2159" s="108" t="str">
        <f t="shared" si="936"/>
        <v/>
      </c>
      <c r="AU2159" s="108" t="str">
        <f t="shared" si="937"/>
        <v/>
      </c>
      <c r="AV2159" s="107" t="str">
        <f>IF(ISNUMBER(O2159),IF(VLOOKUP($A2159,Stand!C:J,8,FALSE)="Short",AT2159,AU2159),"")</f>
        <v/>
      </c>
      <c r="AW2159" s="109" t="str">
        <f t="shared" si="943"/>
        <v/>
      </c>
      <c r="AX2159" s="109" t="str">
        <f t="shared" si="944"/>
        <v/>
      </c>
      <c r="AY2159" s="112" t="str">
        <f>IF(ISNUMBER(O2159),IF(AND(VLOOKUP($D2159,Merchantability!$B:$C,2,0)="Yes",$E2159&gt;=VLOOKUP($D2159,Merchantability!$B:$D,3,0),$E2159&lt;=VLOOKUP($D2159,Merchantability!$B:$E,4,0)),(AV2159*O2159)*(1-$H2159/100),""),"")</f>
        <v/>
      </c>
      <c r="AZ2159" s="116"/>
      <c r="BA2159" s="116"/>
      <c r="BB2159" s="116"/>
      <c r="BE2159" s="62"/>
      <c r="BF2159" s="63"/>
    </row>
    <row r="2160" spans="1:58" ht="12.75" customHeight="1" x14ac:dyDescent="0.25">
      <c r="A2160" s="334"/>
      <c r="B2160" s="334"/>
      <c r="C2160" s="332"/>
      <c r="D2160" s="334"/>
      <c r="E2160" s="335"/>
      <c r="F2160" s="334"/>
      <c r="G2160" s="332"/>
      <c r="H2160" s="332"/>
      <c r="I2160" s="334"/>
      <c r="J2160" s="336"/>
      <c r="K2160" s="332"/>
      <c r="L2160" s="332"/>
      <c r="M2160" s="76"/>
      <c r="N2160" s="103" t="str">
        <f>IF(A2160="","",VLOOKUP(A2160,Stand!C:K,9,0))</f>
        <v/>
      </c>
      <c r="O2160" s="104" t="str">
        <f t="shared" si="929"/>
        <v/>
      </c>
      <c r="P2160" s="105" t="str">
        <f t="shared" si="930"/>
        <v/>
      </c>
      <c r="Q2160" s="105" t="str">
        <f t="shared" si="945"/>
        <v/>
      </c>
      <c r="R2160" s="103" t="str">
        <f t="shared" si="931"/>
        <v/>
      </c>
      <c r="S2160" s="103" t="str">
        <f t="shared" si="932"/>
        <v/>
      </c>
      <c r="T2160" s="106" t="str">
        <f t="shared" si="946"/>
        <v/>
      </c>
      <c r="U2160" s="106" t="str">
        <f t="shared" si="947"/>
        <v/>
      </c>
      <c r="V2160" s="106" t="str">
        <f t="shared" si="948"/>
        <v/>
      </c>
      <c r="W2160" s="105" t="str">
        <f t="shared" si="933"/>
        <v/>
      </c>
      <c r="X2160" s="104" t="str">
        <f t="shared" si="938"/>
        <v/>
      </c>
      <c r="Y2160" s="104" t="str">
        <f t="array" ref="Y2160">IFERROR(IF(ISNUMBER(O2160),IF(COUNT(IF(A2160=$A$2:$A$2427,IF(D2160=$D$2:$D$2427,IF($X$2:$X$2427&gt;0,1))))&gt;0,SUM(IF(A2160=$A$2:$A$2427,IF(D2160=$D$2:$D$2427,$X$2:$X$2427)))/COUNT(IF(A2160=$A$2:$A$2427,IF(D2160=$D$2:$D$2427,IF(ISNUMBER($X$2:$X$2427),1)))),0),""),0)</f>
        <v/>
      </c>
      <c r="Z2160" s="104" t="str">
        <f>IF(ISNUMBER(O2160),IF(I2160&gt;0,(10^(VLOOKUP(D2160,'Species Codes'!B:C,2,0)+VLOOKUP(D2160,'Species Codes'!B:D,3,0)*LOG(E2160)+VLOOKUP(D2160,'Species Codes'!B:E,4,0)*LOG(I2160))),0),"")</f>
        <v/>
      </c>
      <c r="AA2160" s="104" t="str">
        <f>IFERROR((VLOOKUP(D2160,'Species Codes'!B:G,6,0)*Z2160)/2000,"")</f>
        <v/>
      </c>
      <c r="AB2160" s="104" t="e">
        <f>IF(Z2160&gt;0,((IF(OR(D2160="DF",D2160="RA")=TRUE,EXP(VLOOKUP(D2160,'Species Codes'!B:I,8,0)+VLOOKUP(D2160,'Species Codes'!B:J,9,0)*(LN((E2160*2.54)))),IF(OR(D2160="PY",D2160="RC",D2160="WH",D2160="NF")=TRUE,VLOOKUP(D2160,'Species Codes'!B:I,8,0)+VLOOKUP(D2160,'Species Codes'!B:J,9,0)*((E2160*2.54)^2)*(I2160*0.3048),IF(OR(D2160="MD",D2160="BM",D2160="GA")=TRUE,((VLOOKUP(D2160,'Species Codes'!B:I,8,0)*(((((E2160*2.54)+VLOOKUP(D2160,'Species Codes'!B:J,9,0))/VLOOKUP(D2160,'Species Codes'!B:K,10,0))^VLOOKUP(D2160,'Species Codes'!B:L,11,0))*((I2160*0.3048)^VLOOKUP(D2160,'Species Codes'!B:M,12,0))))-(VLOOKUP(D2160,'Species Codes'!B:I,8,0)*((((E2160*2.54)^VLOOKUP(D2160,'Species Codes'!B:L,11,0))*((I2160*0.3048)^VLOOKUP(D2160,'Species Codes'!B:M,12,0))))))*35.3*VLOOKUP(D2160,'Species Codes'!B:G,6,0)/2.2046,VLOOKUP(D2160,'Species Codes'!B:I,8,0)+VLOOKUP(D2160,'Species Codes'!B:J,9,0)*(((E2160*2.54)/100)^2)*(I2160*0.3048)))))*0.0011023),0)</f>
        <v>#N/A</v>
      </c>
      <c r="AC2160" s="104" t="e">
        <f>IF(Z2160&gt;0,((IF(OR(D2160="RA",D2160="OA",D2160="OT",D2160="UN",D2160="PC"),EXP(VLOOKUP(D2160,'Species Codes'!B:O,14,0)+VLOOKUP(D2160,'Species Codes'!B:P,15,0)*LN((E2160*2.54)))-EXP(VLOOKUP(D2160,'Species Codes'!B:O,14,0)+VLOOKUP(D2160,'Species Codes'!B:P,15,0)*LN((E2160*2.54)))*(1/(VLOOKUP(D2160,'Species Codes'!B:Q,16,0)+VLOOKUP(D2160,'Species Codes'!B:R,17,0)*((E2160*2.54)^VLOOKUP(D2160,'Species Codes'!B:S,18,0)))),IF(OR(D2160="BM",D2160="MD",D2160="OA"),EXP(VLOOKUP(D2160,'Species Codes'!B:O,14,0)+VLOOKUP(D2160,'Species Codes'!B:P,15,0)*LN((E2160*2.54)))*(1-(1/(VLOOKUP(D2160,'Species Codes'!B:Q,16,0)+VLOOKUP(D2160,'Species Codes'!B:R,17,0)*((E2160*2.54)^VLOOKUP(D2160,'Species Codes'!B:S,18,0)))))/1000,IF(D2160="DF",EXP(VLOOKUP(D2160,'Species Codes'!B:O,14,0)+VLOOKUP(D2160,'Species Codes'!B:P,15,0)*LN((E2160*2.54))),VLOOKUP(D2160,'Species Codes'!B:O,14,0)+VLOOKUP(D2160,'Species Codes'!B:P,15,0)*(((E2160*2.54)/100)^2)*(I2160*0.3048)))))*0.0011023),0)</f>
        <v>#N/A</v>
      </c>
      <c r="AD2160" s="104" t="e">
        <f t="shared" si="949"/>
        <v>#N/A</v>
      </c>
      <c r="AE2160" s="104" t="e">
        <f t="shared" si="950"/>
        <v>#N/A</v>
      </c>
      <c r="AF2160" s="104" t="e">
        <f>IF(AND(VLOOKUP($D2160,Merchantability!$B:$C,2,0)="Yes",$E2160&gt;=VLOOKUP($D2160,Merchantability!$B:$D,3,0),$E2160&lt;=VLOOKUP($D2160,Merchantability!$B:$E,4,0)),AA2160,0)</f>
        <v>#N/A</v>
      </c>
      <c r="AG2160" s="104" t="e">
        <f>IF(AND(VLOOKUP($D2160,Merchantability!$B:$C,2,0)="Yes",$E2160&gt;=VLOOKUP($D2160,Merchantability!$B:$D,3,0),$E2160&lt;=VLOOKUP($D2160,Merchantability!$B:$E,4,0)),AB2160,0)</f>
        <v>#N/A</v>
      </c>
      <c r="AH2160" s="104" t="e">
        <f>IF(AND(VLOOKUP($D2160,Merchantability!$B:$C,2,0)="Yes",$E2160&gt;=VLOOKUP($D2160,Merchantability!$B:$D,3,0),$E2160&lt;=VLOOKUP($D2160,Merchantability!$B:$E,4,0)),AC2160,0)</f>
        <v>#N/A</v>
      </c>
      <c r="AI2160" s="104" t="e">
        <f t="shared" si="951"/>
        <v>#N/A</v>
      </c>
      <c r="AJ2160" s="104" t="e">
        <f t="shared" si="952"/>
        <v>#VALUE!</v>
      </c>
      <c r="AK2160" s="104" t="e">
        <f t="shared" si="953"/>
        <v>#N/A</v>
      </c>
      <c r="AL2160" s="104" t="e">
        <f t="shared" si="954"/>
        <v>#N/A</v>
      </c>
      <c r="AM2160" s="104" t="e">
        <f t="shared" si="955"/>
        <v>#N/A</v>
      </c>
      <c r="AN2160" s="104" t="e">
        <f t="shared" si="939"/>
        <v>#N/A</v>
      </c>
      <c r="AO2160" s="104" t="e">
        <f t="shared" si="940"/>
        <v>#N/A</v>
      </c>
      <c r="AP2160" s="104" t="e">
        <f t="shared" si="941"/>
        <v>#N/A</v>
      </c>
      <c r="AQ2160" s="104" t="e">
        <f t="shared" si="942"/>
        <v>#N/A</v>
      </c>
      <c r="AR2160" s="105" t="str">
        <f t="shared" si="934"/>
        <v/>
      </c>
      <c r="AS2160" s="105" t="str">
        <f t="shared" si="935"/>
        <v/>
      </c>
      <c r="AT2160" s="108" t="str">
        <f t="shared" si="936"/>
        <v/>
      </c>
      <c r="AU2160" s="108" t="str">
        <f t="shared" si="937"/>
        <v/>
      </c>
      <c r="AV2160" s="107" t="str">
        <f>IF(ISNUMBER(O2160),IF(VLOOKUP($A2160,Stand!C:J,8,FALSE)="Short",AT2160,AU2160),"")</f>
        <v/>
      </c>
      <c r="AW2160" s="109" t="str">
        <f t="shared" si="943"/>
        <v/>
      </c>
      <c r="AX2160" s="109" t="str">
        <f t="shared" si="944"/>
        <v/>
      </c>
      <c r="AY2160" s="112" t="str">
        <f>IF(ISNUMBER(O2160),IF(AND(VLOOKUP($D2160,Merchantability!$B:$C,2,0)="Yes",$E2160&gt;=VLOOKUP($D2160,Merchantability!$B:$D,3,0),$E2160&lt;=VLOOKUP($D2160,Merchantability!$B:$E,4,0)),(AV2160*O2160)*(1-$H2160/100),""),"")</f>
        <v/>
      </c>
      <c r="AZ2160" s="116"/>
      <c r="BA2160" s="116"/>
      <c r="BB2160" s="116"/>
      <c r="BE2160" s="62"/>
      <c r="BF2160" s="63"/>
    </row>
    <row r="2161" spans="1:58" ht="12.75" customHeight="1" x14ac:dyDescent="0.25">
      <c r="A2161" s="334"/>
      <c r="B2161" s="334"/>
      <c r="C2161" s="332"/>
      <c r="D2161" s="334"/>
      <c r="E2161" s="335"/>
      <c r="F2161" s="334"/>
      <c r="G2161" s="332"/>
      <c r="H2161" s="332"/>
      <c r="I2161" s="334"/>
      <c r="J2161" s="336"/>
      <c r="K2161" s="332"/>
      <c r="L2161" s="332"/>
      <c r="M2161" s="76"/>
      <c r="N2161" s="103" t="str">
        <f>IF(A2161="","",VLOOKUP(A2161,Stand!C:K,9,0))</f>
        <v/>
      </c>
      <c r="O2161" s="104" t="str">
        <f t="shared" si="929"/>
        <v/>
      </c>
      <c r="P2161" s="105" t="str">
        <f t="shared" si="930"/>
        <v/>
      </c>
      <c r="Q2161" s="105" t="str">
        <f t="shared" si="945"/>
        <v/>
      </c>
      <c r="R2161" s="103" t="str">
        <f t="shared" si="931"/>
        <v/>
      </c>
      <c r="S2161" s="103" t="str">
        <f t="shared" si="932"/>
        <v/>
      </c>
      <c r="T2161" s="106" t="str">
        <f t="shared" si="946"/>
        <v/>
      </c>
      <c r="U2161" s="106" t="str">
        <f t="shared" si="947"/>
        <v/>
      </c>
      <c r="V2161" s="106" t="str">
        <f t="shared" si="948"/>
        <v/>
      </c>
      <c r="W2161" s="105" t="str">
        <f t="shared" si="933"/>
        <v/>
      </c>
      <c r="X2161" s="104" t="str">
        <f t="shared" si="938"/>
        <v/>
      </c>
      <c r="Y2161" s="104" t="str">
        <f t="array" ref="Y2161">IFERROR(IF(ISNUMBER(O2161),IF(COUNT(IF(A2161=$A$2:$A$2427,IF(D2161=$D$2:$D$2427,IF($X$2:$X$2427&gt;0,1))))&gt;0,SUM(IF(A2161=$A$2:$A$2427,IF(D2161=$D$2:$D$2427,$X$2:$X$2427)))/COUNT(IF(A2161=$A$2:$A$2427,IF(D2161=$D$2:$D$2427,IF(ISNUMBER($X$2:$X$2427),1)))),0),""),0)</f>
        <v/>
      </c>
      <c r="Z2161" s="104" t="str">
        <f>IF(ISNUMBER(O2161),IF(I2161&gt;0,(10^(VLOOKUP(D2161,'Species Codes'!B:C,2,0)+VLOOKUP(D2161,'Species Codes'!B:D,3,0)*LOG(E2161)+VLOOKUP(D2161,'Species Codes'!B:E,4,0)*LOG(I2161))),0),"")</f>
        <v/>
      </c>
      <c r="AA2161" s="104" t="str">
        <f>IFERROR((VLOOKUP(D2161,'Species Codes'!B:G,6,0)*Z2161)/2000,"")</f>
        <v/>
      </c>
      <c r="AB2161" s="104" t="e">
        <f>IF(Z2161&gt;0,((IF(OR(D2161="DF",D2161="RA")=TRUE,EXP(VLOOKUP(D2161,'Species Codes'!B:I,8,0)+VLOOKUP(D2161,'Species Codes'!B:J,9,0)*(LN((E2161*2.54)))),IF(OR(D2161="PY",D2161="RC",D2161="WH",D2161="NF")=TRUE,VLOOKUP(D2161,'Species Codes'!B:I,8,0)+VLOOKUP(D2161,'Species Codes'!B:J,9,0)*((E2161*2.54)^2)*(I2161*0.3048),IF(OR(D2161="MD",D2161="BM",D2161="GA")=TRUE,((VLOOKUP(D2161,'Species Codes'!B:I,8,0)*(((((E2161*2.54)+VLOOKUP(D2161,'Species Codes'!B:J,9,0))/VLOOKUP(D2161,'Species Codes'!B:K,10,0))^VLOOKUP(D2161,'Species Codes'!B:L,11,0))*((I2161*0.3048)^VLOOKUP(D2161,'Species Codes'!B:M,12,0))))-(VLOOKUP(D2161,'Species Codes'!B:I,8,0)*((((E2161*2.54)^VLOOKUP(D2161,'Species Codes'!B:L,11,0))*((I2161*0.3048)^VLOOKUP(D2161,'Species Codes'!B:M,12,0))))))*35.3*VLOOKUP(D2161,'Species Codes'!B:G,6,0)/2.2046,VLOOKUP(D2161,'Species Codes'!B:I,8,0)+VLOOKUP(D2161,'Species Codes'!B:J,9,0)*(((E2161*2.54)/100)^2)*(I2161*0.3048)))))*0.0011023),0)</f>
        <v>#N/A</v>
      </c>
      <c r="AC2161" s="104" t="e">
        <f>IF(Z2161&gt;0,((IF(OR(D2161="RA",D2161="OA",D2161="OT",D2161="UN",D2161="PC"),EXP(VLOOKUP(D2161,'Species Codes'!B:O,14,0)+VLOOKUP(D2161,'Species Codes'!B:P,15,0)*LN((E2161*2.54)))-EXP(VLOOKUP(D2161,'Species Codes'!B:O,14,0)+VLOOKUP(D2161,'Species Codes'!B:P,15,0)*LN((E2161*2.54)))*(1/(VLOOKUP(D2161,'Species Codes'!B:Q,16,0)+VLOOKUP(D2161,'Species Codes'!B:R,17,0)*((E2161*2.54)^VLOOKUP(D2161,'Species Codes'!B:S,18,0)))),IF(OR(D2161="BM",D2161="MD",D2161="OA"),EXP(VLOOKUP(D2161,'Species Codes'!B:O,14,0)+VLOOKUP(D2161,'Species Codes'!B:P,15,0)*LN((E2161*2.54)))*(1-(1/(VLOOKUP(D2161,'Species Codes'!B:Q,16,0)+VLOOKUP(D2161,'Species Codes'!B:R,17,0)*((E2161*2.54)^VLOOKUP(D2161,'Species Codes'!B:S,18,0)))))/1000,IF(D2161="DF",EXP(VLOOKUP(D2161,'Species Codes'!B:O,14,0)+VLOOKUP(D2161,'Species Codes'!B:P,15,0)*LN((E2161*2.54))),VLOOKUP(D2161,'Species Codes'!B:O,14,0)+VLOOKUP(D2161,'Species Codes'!B:P,15,0)*(((E2161*2.54)/100)^2)*(I2161*0.3048)))))*0.0011023),0)</f>
        <v>#N/A</v>
      </c>
      <c r="AD2161" s="104" t="e">
        <f t="shared" si="949"/>
        <v>#N/A</v>
      </c>
      <c r="AE2161" s="104" t="e">
        <f t="shared" si="950"/>
        <v>#N/A</v>
      </c>
      <c r="AF2161" s="104" t="e">
        <f>IF(AND(VLOOKUP($D2161,Merchantability!$B:$C,2,0)="Yes",$E2161&gt;=VLOOKUP($D2161,Merchantability!$B:$D,3,0),$E2161&lt;=VLOOKUP($D2161,Merchantability!$B:$E,4,0)),AA2161,0)</f>
        <v>#N/A</v>
      </c>
      <c r="AG2161" s="104" t="e">
        <f>IF(AND(VLOOKUP($D2161,Merchantability!$B:$C,2,0)="Yes",$E2161&gt;=VLOOKUP($D2161,Merchantability!$B:$D,3,0),$E2161&lt;=VLOOKUP($D2161,Merchantability!$B:$E,4,0)),AB2161,0)</f>
        <v>#N/A</v>
      </c>
      <c r="AH2161" s="104" t="e">
        <f>IF(AND(VLOOKUP($D2161,Merchantability!$B:$C,2,0)="Yes",$E2161&gt;=VLOOKUP($D2161,Merchantability!$B:$D,3,0),$E2161&lt;=VLOOKUP($D2161,Merchantability!$B:$E,4,0)),AC2161,0)</f>
        <v>#N/A</v>
      </c>
      <c r="AI2161" s="104" t="e">
        <f t="shared" si="951"/>
        <v>#N/A</v>
      </c>
      <c r="AJ2161" s="104" t="e">
        <f t="shared" si="952"/>
        <v>#VALUE!</v>
      </c>
      <c r="AK2161" s="104" t="e">
        <f t="shared" si="953"/>
        <v>#N/A</v>
      </c>
      <c r="AL2161" s="104" t="e">
        <f t="shared" si="954"/>
        <v>#N/A</v>
      </c>
      <c r="AM2161" s="104" t="e">
        <f t="shared" si="955"/>
        <v>#N/A</v>
      </c>
      <c r="AN2161" s="104" t="e">
        <f t="shared" si="939"/>
        <v>#N/A</v>
      </c>
      <c r="AO2161" s="104" t="e">
        <f t="shared" si="940"/>
        <v>#N/A</v>
      </c>
      <c r="AP2161" s="104" t="e">
        <f t="shared" si="941"/>
        <v>#N/A</v>
      </c>
      <c r="AQ2161" s="104" t="e">
        <f t="shared" si="942"/>
        <v>#N/A</v>
      </c>
      <c r="AR2161" s="105" t="str">
        <f t="shared" si="934"/>
        <v/>
      </c>
      <c r="AS2161" s="105" t="str">
        <f t="shared" si="935"/>
        <v/>
      </c>
      <c r="AT2161" s="108" t="str">
        <f t="shared" si="936"/>
        <v/>
      </c>
      <c r="AU2161" s="108" t="str">
        <f t="shared" si="937"/>
        <v/>
      </c>
      <c r="AV2161" s="107" t="str">
        <f>IF(ISNUMBER(O2161),IF(VLOOKUP($A2161,Stand!C:J,8,FALSE)="Short",AT2161,AU2161),"")</f>
        <v/>
      </c>
      <c r="AW2161" s="109" t="str">
        <f t="shared" si="943"/>
        <v/>
      </c>
      <c r="AX2161" s="109" t="str">
        <f t="shared" si="944"/>
        <v/>
      </c>
      <c r="AY2161" s="112" t="str">
        <f>IF(ISNUMBER(O2161),IF(AND(VLOOKUP($D2161,Merchantability!$B:$C,2,0)="Yes",$E2161&gt;=VLOOKUP($D2161,Merchantability!$B:$D,3,0),$E2161&lt;=VLOOKUP($D2161,Merchantability!$B:$E,4,0)),(AV2161*O2161)*(1-$H2161/100),""),"")</f>
        <v/>
      </c>
      <c r="AZ2161" s="116"/>
      <c r="BA2161" s="116"/>
      <c r="BB2161" s="116"/>
      <c r="BE2161" s="62"/>
      <c r="BF2161" s="63"/>
    </row>
    <row r="2162" spans="1:58" ht="12.75" customHeight="1" x14ac:dyDescent="0.25">
      <c r="A2162" s="334"/>
      <c r="B2162" s="334"/>
      <c r="C2162" s="332"/>
      <c r="D2162" s="334"/>
      <c r="E2162" s="335"/>
      <c r="F2162" s="334"/>
      <c r="G2162" s="332"/>
      <c r="H2162" s="332"/>
      <c r="I2162" s="334"/>
      <c r="J2162" s="336"/>
      <c r="K2162" s="332"/>
      <c r="L2162" s="332"/>
      <c r="M2162" s="76"/>
      <c r="N2162" s="103" t="str">
        <f>IF(A2162="","",VLOOKUP(A2162,Stand!C:K,9,0))</f>
        <v/>
      </c>
      <c r="O2162" s="104" t="str">
        <f t="shared" si="929"/>
        <v/>
      </c>
      <c r="P2162" s="105" t="str">
        <f t="shared" si="930"/>
        <v/>
      </c>
      <c r="Q2162" s="105" t="str">
        <f t="shared" si="945"/>
        <v/>
      </c>
      <c r="R2162" s="103" t="str">
        <f t="shared" si="931"/>
        <v/>
      </c>
      <c r="S2162" s="103" t="str">
        <f t="shared" si="932"/>
        <v/>
      </c>
      <c r="T2162" s="106" t="str">
        <f t="shared" si="946"/>
        <v/>
      </c>
      <c r="U2162" s="106" t="str">
        <f t="shared" si="947"/>
        <v/>
      </c>
      <c r="V2162" s="106" t="str">
        <f t="shared" si="948"/>
        <v/>
      </c>
      <c r="W2162" s="105" t="str">
        <f t="shared" si="933"/>
        <v/>
      </c>
      <c r="X2162" s="104" t="str">
        <f t="shared" si="938"/>
        <v/>
      </c>
      <c r="Y2162" s="104" t="str">
        <f t="array" ref="Y2162">IFERROR(IF(ISNUMBER(O2162),IF(COUNT(IF(A2162=$A$2:$A$2427,IF(D2162=$D$2:$D$2427,IF($X$2:$X$2427&gt;0,1))))&gt;0,SUM(IF(A2162=$A$2:$A$2427,IF(D2162=$D$2:$D$2427,$X$2:$X$2427)))/COUNT(IF(A2162=$A$2:$A$2427,IF(D2162=$D$2:$D$2427,IF(ISNUMBER($X$2:$X$2427),1)))),0),""),0)</f>
        <v/>
      </c>
      <c r="Z2162" s="104" t="str">
        <f>IF(ISNUMBER(O2162),IF(I2162&gt;0,(10^(VLOOKUP(D2162,'Species Codes'!B:C,2,0)+VLOOKUP(D2162,'Species Codes'!B:D,3,0)*LOG(E2162)+VLOOKUP(D2162,'Species Codes'!B:E,4,0)*LOG(I2162))),0),"")</f>
        <v/>
      </c>
      <c r="AA2162" s="104" t="str">
        <f>IFERROR((VLOOKUP(D2162,'Species Codes'!B:G,6,0)*Z2162)/2000,"")</f>
        <v/>
      </c>
      <c r="AB2162" s="104" t="e">
        <f>IF(Z2162&gt;0,((IF(OR(D2162="DF",D2162="RA")=TRUE,EXP(VLOOKUP(D2162,'Species Codes'!B:I,8,0)+VLOOKUP(D2162,'Species Codes'!B:J,9,0)*(LN((E2162*2.54)))),IF(OR(D2162="PY",D2162="RC",D2162="WH",D2162="NF")=TRUE,VLOOKUP(D2162,'Species Codes'!B:I,8,0)+VLOOKUP(D2162,'Species Codes'!B:J,9,0)*((E2162*2.54)^2)*(I2162*0.3048),IF(OR(D2162="MD",D2162="BM",D2162="GA")=TRUE,((VLOOKUP(D2162,'Species Codes'!B:I,8,0)*(((((E2162*2.54)+VLOOKUP(D2162,'Species Codes'!B:J,9,0))/VLOOKUP(D2162,'Species Codes'!B:K,10,0))^VLOOKUP(D2162,'Species Codes'!B:L,11,0))*((I2162*0.3048)^VLOOKUP(D2162,'Species Codes'!B:M,12,0))))-(VLOOKUP(D2162,'Species Codes'!B:I,8,0)*((((E2162*2.54)^VLOOKUP(D2162,'Species Codes'!B:L,11,0))*((I2162*0.3048)^VLOOKUP(D2162,'Species Codes'!B:M,12,0))))))*35.3*VLOOKUP(D2162,'Species Codes'!B:G,6,0)/2.2046,VLOOKUP(D2162,'Species Codes'!B:I,8,0)+VLOOKUP(D2162,'Species Codes'!B:J,9,0)*(((E2162*2.54)/100)^2)*(I2162*0.3048)))))*0.0011023),0)</f>
        <v>#N/A</v>
      </c>
      <c r="AC2162" s="104" t="e">
        <f>IF(Z2162&gt;0,((IF(OR(D2162="RA",D2162="OA",D2162="OT",D2162="UN",D2162="PC"),EXP(VLOOKUP(D2162,'Species Codes'!B:O,14,0)+VLOOKUP(D2162,'Species Codes'!B:P,15,0)*LN((E2162*2.54)))-EXP(VLOOKUP(D2162,'Species Codes'!B:O,14,0)+VLOOKUP(D2162,'Species Codes'!B:P,15,0)*LN((E2162*2.54)))*(1/(VLOOKUP(D2162,'Species Codes'!B:Q,16,0)+VLOOKUP(D2162,'Species Codes'!B:R,17,0)*((E2162*2.54)^VLOOKUP(D2162,'Species Codes'!B:S,18,0)))),IF(OR(D2162="BM",D2162="MD",D2162="OA"),EXP(VLOOKUP(D2162,'Species Codes'!B:O,14,0)+VLOOKUP(D2162,'Species Codes'!B:P,15,0)*LN((E2162*2.54)))*(1-(1/(VLOOKUP(D2162,'Species Codes'!B:Q,16,0)+VLOOKUP(D2162,'Species Codes'!B:R,17,0)*((E2162*2.54)^VLOOKUP(D2162,'Species Codes'!B:S,18,0)))))/1000,IF(D2162="DF",EXP(VLOOKUP(D2162,'Species Codes'!B:O,14,0)+VLOOKUP(D2162,'Species Codes'!B:P,15,0)*LN((E2162*2.54))),VLOOKUP(D2162,'Species Codes'!B:O,14,0)+VLOOKUP(D2162,'Species Codes'!B:P,15,0)*(((E2162*2.54)/100)^2)*(I2162*0.3048)))))*0.0011023),0)</f>
        <v>#N/A</v>
      </c>
      <c r="AD2162" s="104" t="e">
        <f t="shared" si="949"/>
        <v>#N/A</v>
      </c>
      <c r="AE2162" s="104" t="e">
        <f t="shared" si="950"/>
        <v>#N/A</v>
      </c>
      <c r="AF2162" s="104" t="e">
        <f>IF(AND(VLOOKUP($D2162,Merchantability!$B:$C,2,0)="Yes",$E2162&gt;=VLOOKUP($D2162,Merchantability!$B:$D,3,0),$E2162&lt;=VLOOKUP($D2162,Merchantability!$B:$E,4,0)),AA2162,0)</f>
        <v>#N/A</v>
      </c>
      <c r="AG2162" s="104" t="e">
        <f>IF(AND(VLOOKUP($D2162,Merchantability!$B:$C,2,0)="Yes",$E2162&gt;=VLOOKUP($D2162,Merchantability!$B:$D,3,0),$E2162&lt;=VLOOKUP($D2162,Merchantability!$B:$E,4,0)),AB2162,0)</f>
        <v>#N/A</v>
      </c>
      <c r="AH2162" s="104" t="e">
        <f>IF(AND(VLOOKUP($D2162,Merchantability!$B:$C,2,0)="Yes",$E2162&gt;=VLOOKUP($D2162,Merchantability!$B:$D,3,0),$E2162&lt;=VLOOKUP($D2162,Merchantability!$B:$E,4,0)),AC2162,0)</f>
        <v>#N/A</v>
      </c>
      <c r="AI2162" s="104" t="e">
        <f t="shared" si="951"/>
        <v>#N/A</v>
      </c>
      <c r="AJ2162" s="104" t="e">
        <f t="shared" si="952"/>
        <v>#VALUE!</v>
      </c>
      <c r="AK2162" s="104" t="e">
        <f t="shared" si="953"/>
        <v>#N/A</v>
      </c>
      <c r="AL2162" s="104" t="e">
        <f t="shared" si="954"/>
        <v>#N/A</v>
      </c>
      <c r="AM2162" s="104" t="e">
        <f t="shared" si="955"/>
        <v>#N/A</v>
      </c>
      <c r="AN2162" s="104" t="e">
        <f t="shared" si="939"/>
        <v>#N/A</v>
      </c>
      <c r="AO2162" s="104" t="e">
        <f t="shared" si="940"/>
        <v>#N/A</v>
      </c>
      <c r="AP2162" s="104" t="e">
        <f t="shared" si="941"/>
        <v>#N/A</v>
      </c>
      <c r="AQ2162" s="104" t="e">
        <f t="shared" si="942"/>
        <v>#N/A</v>
      </c>
      <c r="AR2162" s="105" t="str">
        <f t="shared" si="934"/>
        <v/>
      </c>
      <c r="AS2162" s="105" t="str">
        <f t="shared" si="935"/>
        <v/>
      </c>
      <c r="AT2162" s="108" t="str">
        <f t="shared" si="936"/>
        <v/>
      </c>
      <c r="AU2162" s="108" t="str">
        <f t="shared" si="937"/>
        <v/>
      </c>
      <c r="AV2162" s="107" t="str">
        <f>IF(ISNUMBER(O2162),IF(VLOOKUP($A2162,Stand!C:J,8,FALSE)="Short",AT2162,AU2162),"")</f>
        <v/>
      </c>
      <c r="AW2162" s="109" t="str">
        <f t="shared" si="943"/>
        <v/>
      </c>
      <c r="AX2162" s="109" t="str">
        <f t="shared" si="944"/>
        <v/>
      </c>
      <c r="AY2162" s="112" t="str">
        <f>IF(ISNUMBER(O2162),IF(AND(VLOOKUP($D2162,Merchantability!$B:$C,2,0)="Yes",$E2162&gt;=VLOOKUP($D2162,Merchantability!$B:$D,3,0),$E2162&lt;=VLOOKUP($D2162,Merchantability!$B:$E,4,0)),(AV2162*O2162)*(1-$H2162/100),""),"")</f>
        <v/>
      </c>
      <c r="AZ2162" s="116"/>
      <c r="BA2162" s="116"/>
      <c r="BB2162" s="116"/>
      <c r="BE2162" s="62"/>
      <c r="BF2162" s="63"/>
    </row>
    <row r="2163" spans="1:58" ht="12.75" customHeight="1" x14ac:dyDescent="0.25">
      <c r="A2163" s="334"/>
      <c r="B2163" s="334"/>
      <c r="C2163" s="332"/>
      <c r="D2163" s="334"/>
      <c r="E2163" s="335"/>
      <c r="F2163" s="334"/>
      <c r="G2163" s="332"/>
      <c r="H2163" s="332"/>
      <c r="I2163" s="334"/>
      <c r="J2163" s="336"/>
      <c r="K2163" s="332"/>
      <c r="L2163" s="332"/>
      <c r="M2163" s="76"/>
      <c r="N2163" s="103" t="str">
        <f>IF(A2163="","",VLOOKUP(A2163,Stand!C:K,9,0))</f>
        <v/>
      </c>
      <c r="O2163" s="104" t="str">
        <f t="shared" si="929"/>
        <v/>
      </c>
      <c r="P2163" s="105" t="str">
        <f t="shared" si="930"/>
        <v/>
      </c>
      <c r="Q2163" s="105" t="str">
        <f t="shared" si="945"/>
        <v/>
      </c>
      <c r="R2163" s="103" t="str">
        <f t="shared" si="931"/>
        <v/>
      </c>
      <c r="S2163" s="103" t="str">
        <f t="shared" si="932"/>
        <v/>
      </c>
      <c r="T2163" s="106" t="str">
        <f t="shared" si="946"/>
        <v/>
      </c>
      <c r="U2163" s="106" t="str">
        <f t="shared" si="947"/>
        <v/>
      </c>
      <c r="V2163" s="106" t="str">
        <f t="shared" si="948"/>
        <v/>
      </c>
      <c r="W2163" s="105" t="str">
        <f t="shared" si="933"/>
        <v/>
      </c>
      <c r="X2163" s="104" t="str">
        <f t="shared" si="938"/>
        <v/>
      </c>
      <c r="Y2163" s="104" t="str">
        <f t="array" ref="Y2163">IFERROR(IF(ISNUMBER(O2163),IF(COUNT(IF(A2163=$A$2:$A$2427,IF(D2163=$D$2:$D$2427,IF($X$2:$X$2427&gt;0,1))))&gt;0,SUM(IF(A2163=$A$2:$A$2427,IF(D2163=$D$2:$D$2427,$X$2:$X$2427)))/COUNT(IF(A2163=$A$2:$A$2427,IF(D2163=$D$2:$D$2427,IF(ISNUMBER($X$2:$X$2427),1)))),0),""),0)</f>
        <v/>
      </c>
      <c r="Z2163" s="104" t="str">
        <f>IF(ISNUMBER(O2163),IF(I2163&gt;0,(10^(VLOOKUP(D2163,'Species Codes'!B:C,2,0)+VLOOKUP(D2163,'Species Codes'!B:D,3,0)*LOG(E2163)+VLOOKUP(D2163,'Species Codes'!B:E,4,0)*LOG(I2163))),0),"")</f>
        <v/>
      </c>
      <c r="AA2163" s="104" t="str">
        <f>IFERROR((VLOOKUP(D2163,'Species Codes'!B:G,6,0)*Z2163)/2000,"")</f>
        <v/>
      </c>
      <c r="AB2163" s="104" t="e">
        <f>IF(Z2163&gt;0,((IF(OR(D2163="DF",D2163="RA")=TRUE,EXP(VLOOKUP(D2163,'Species Codes'!B:I,8,0)+VLOOKUP(D2163,'Species Codes'!B:J,9,0)*(LN((E2163*2.54)))),IF(OR(D2163="PY",D2163="RC",D2163="WH",D2163="NF")=TRUE,VLOOKUP(D2163,'Species Codes'!B:I,8,0)+VLOOKUP(D2163,'Species Codes'!B:J,9,0)*((E2163*2.54)^2)*(I2163*0.3048),IF(OR(D2163="MD",D2163="BM",D2163="GA")=TRUE,((VLOOKUP(D2163,'Species Codes'!B:I,8,0)*(((((E2163*2.54)+VLOOKUP(D2163,'Species Codes'!B:J,9,0))/VLOOKUP(D2163,'Species Codes'!B:K,10,0))^VLOOKUP(D2163,'Species Codes'!B:L,11,0))*((I2163*0.3048)^VLOOKUP(D2163,'Species Codes'!B:M,12,0))))-(VLOOKUP(D2163,'Species Codes'!B:I,8,0)*((((E2163*2.54)^VLOOKUP(D2163,'Species Codes'!B:L,11,0))*((I2163*0.3048)^VLOOKUP(D2163,'Species Codes'!B:M,12,0))))))*35.3*VLOOKUP(D2163,'Species Codes'!B:G,6,0)/2.2046,VLOOKUP(D2163,'Species Codes'!B:I,8,0)+VLOOKUP(D2163,'Species Codes'!B:J,9,0)*(((E2163*2.54)/100)^2)*(I2163*0.3048)))))*0.0011023),0)</f>
        <v>#N/A</v>
      </c>
      <c r="AC2163" s="104" t="e">
        <f>IF(Z2163&gt;0,((IF(OR(D2163="RA",D2163="OA",D2163="OT",D2163="UN",D2163="PC"),EXP(VLOOKUP(D2163,'Species Codes'!B:O,14,0)+VLOOKUP(D2163,'Species Codes'!B:P,15,0)*LN((E2163*2.54)))-EXP(VLOOKUP(D2163,'Species Codes'!B:O,14,0)+VLOOKUP(D2163,'Species Codes'!B:P,15,0)*LN((E2163*2.54)))*(1/(VLOOKUP(D2163,'Species Codes'!B:Q,16,0)+VLOOKUP(D2163,'Species Codes'!B:R,17,0)*((E2163*2.54)^VLOOKUP(D2163,'Species Codes'!B:S,18,0)))),IF(OR(D2163="BM",D2163="MD",D2163="OA"),EXP(VLOOKUP(D2163,'Species Codes'!B:O,14,0)+VLOOKUP(D2163,'Species Codes'!B:P,15,0)*LN((E2163*2.54)))*(1-(1/(VLOOKUP(D2163,'Species Codes'!B:Q,16,0)+VLOOKUP(D2163,'Species Codes'!B:R,17,0)*((E2163*2.54)^VLOOKUP(D2163,'Species Codes'!B:S,18,0)))))/1000,IF(D2163="DF",EXP(VLOOKUP(D2163,'Species Codes'!B:O,14,0)+VLOOKUP(D2163,'Species Codes'!B:P,15,0)*LN((E2163*2.54))),VLOOKUP(D2163,'Species Codes'!B:O,14,0)+VLOOKUP(D2163,'Species Codes'!B:P,15,0)*(((E2163*2.54)/100)^2)*(I2163*0.3048)))))*0.0011023),0)</f>
        <v>#N/A</v>
      </c>
      <c r="AD2163" s="104" t="e">
        <f t="shared" si="949"/>
        <v>#N/A</v>
      </c>
      <c r="AE2163" s="104" t="e">
        <f t="shared" si="950"/>
        <v>#N/A</v>
      </c>
      <c r="AF2163" s="104" t="e">
        <f>IF(AND(VLOOKUP($D2163,Merchantability!$B:$C,2,0)="Yes",$E2163&gt;=VLOOKUP($D2163,Merchantability!$B:$D,3,0),$E2163&lt;=VLOOKUP($D2163,Merchantability!$B:$E,4,0)),AA2163,0)</f>
        <v>#N/A</v>
      </c>
      <c r="AG2163" s="104" t="e">
        <f>IF(AND(VLOOKUP($D2163,Merchantability!$B:$C,2,0)="Yes",$E2163&gt;=VLOOKUP($D2163,Merchantability!$B:$D,3,0),$E2163&lt;=VLOOKUP($D2163,Merchantability!$B:$E,4,0)),AB2163,0)</f>
        <v>#N/A</v>
      </c>
      <c r="AH2163" s="104" t="e">
        <f>IF(AND(VLOOKUP($D2163,Merchantability!$B:$C,2,0)="Yes",$E2163&gt;=VLOOKUP($D2163,Merchantability!$B:$D,3,0),$E2163&lt;=VLOOKUP($D2163,Merchantability!$B:$E,4,0)),AC2163,0)</f>
        <v>#N/A</v>
      </c>
      <c r="AI2163" s="104" t="e">
        <f t="shared" si="951"/>
        <v>#N/A</v>
      </c>
      <c r="AJ2163" s="104" t="e">
        <f t="shared" si="952"/>
        <v>#VALUE!</v>
      </c>
      <c r="AK2163" s="104" t="e">
        <f t="shared" si="953"/>
        <v>#N/A</v>
      </c>
      <c r="AL2163" s="104" t="e">
        <f t="shared" si="954"/>
        <v>#N/A</v>
      </c>
      <c r="AM2163" s="104" t="e">
        <f t="shared" si="955"/>
        <v>#N/A</v>
      </c>
      <c r="AN2163" s="104" t="e">
        <f t="shared" si="939"/>
        <v>#N/A</v>
      </c>
      <c r="AO2163" s="104" t="e">
        <f t="shared" si="940"/>
        <v>#N/A</v>
      </c>
      <c r="AP2163" s="104" t="e">
        <f t="shared" si="941"/>
        <v>#N/A</v>
      </c>
      <c r="AQ2163" s="104" t="e">
        <f t="shared" si="942"/>
        <v>#N/A</v>
      </c>
      <c r="AR2163" s="105" t="str">
        <f t="shared" si="934"/>
        <v/>
      </c>
      <c r="AS2163" s="105" t="str">
        <f t="shared" si="935"/>
        <v/>
      </c>
      <c r="AT2163" s="108" t="str">
        <f t="shared" si="936"/>
        <v/>
      </c>
      <c r="AU2163" s="108" t="str">
        <f t="shared" si="937"/>
        <v/>
      </c>
      <c r="AV2163" s="107" t="str">
        <f>IF(ISNUMBER(O2163),IF(VLOOKUP($A2163,Stand!C:J,8,FALSE)="Short",AT2163,AU2163),"")</f>
        <v/>
      </c>
      <c r="AW2163" s="109" t="str">
        <f t="shared" si="943"/>
        <v/>
      </c>
      <c r="AX2163" s="109" t="str">
        <f t="shared" si="944"/>
        <v/>
      </c>
      <c r="AY2163" s="112" t="str">
        <f>IF(ISNUMBER(O2163),IF(AND(VLOOKUP($D2163,Merchantability!$B:$C,2,0)="Yes",$E2163&gt;=VLOOKUP($D2163,Merchantability!$B:$D,3,0),$E2163&lt;=VLOOKUP($D2163,Merchantability!$B:$E,4,0)),(AV2163*O2163)*(1-$H2163/100),""),"")</f>
        <v/>
      </c>
      <c r="AZ2163" s="116"/>
      <c r="BA2163" s="116"/>
      <c r="BB2163" s="116"/>
      <c r="BE2163" s="62"/>
      <c r="BF2163" s="63"/>
    </row>
    <row r="2164" spans="1:58" ht="12.75" customHeight="1" x14ac:dyDescent="0.25">
      <c r="A2164" s="334"/>
      <c r="B2164" s="334"/>
      <c r="C2164" s="332"/>
      <c r="D2164" s="334"/>
      <c r="E2164" s="335"/>
      <c r="F2164" s="334"/>
      <c r="G2164" s="332"/>
      <c r="H2164" s="332"/>
      <c r="I2164" s="334"/>
      <c r="J2164" s="336"/>
      <c r="K2164" s="332"/>
      <c r="L2164" s="332"/>
      <c r="M2164" s="76"/>
      <c r="N2164" s="103" t="str">
        <f>IF(A2164="","",VLOOKUP(A2164,Stand!C:K,9,0))</f>
        <v/>
      </c>
      <c r="O2164" s="104" t="str">
        <f t="shared" si="929"/>
        <v/>
      </c>
      <c r="P2164" s="105" t="str">
        <f t="shared" si="930"/>
        <v/>
      </c>
      <c r="Q2164" s="105" t="str">
        <f t="shared" si="945"/>
        <v/>
      </c>
      <c r="R2164" s="103" t="str">
        <f t="shared" si="931"/>
        <v/>
      </c>
      <c r="S2164" s="103" t="str">
        <f t="shared" si="932"/>
        <v/>
      </c>
      <c r="T2164" s="106" t="str">
        <f t="shared" si="946"/>
        <v/>
      </c>
      <c r="U2164" s="106" t="str">
        <f t="shared" si="947"/>
        <v/>
      </c>
      <c r="V2164" s="106" t="str">
        <f t="shared" si="948"/>
        <v/>
      </c>
      <c r="W2164" s="105" t="str">
        <f t="shared" si="933"/>
        <v/>
      </c>
      <c r="X2164" s="104" t="str">
        <f t="shared" si="938"/>
        <v/>
      </c>
      <c r="Y2164" s="104" t="str">
        <f t="array" ref="Y2164">IFERROR(IF(ISNUMBER(O2164),IF(COUNT(IF(A2164=$A$2:$A$2427,IF(D2164=$D$2:$D$2427,IF($X$2:$X$2427&gt;0,1))))&gt;0,SUM(IF(A2164=$A$2:$A$2427,IF(D2164=$D$2:$D$2427,$X$2:$X$2427)))/COUNT(IF(A2164=$A$2:$A$2427,IF(D2164=$D$2:$D$2427,IF(ISNUMBER($X$2:$X$2427),1)))),0),""),0)</f>
        <v/>
      </c>
      <c r="Z2164" s="104" t="str">
        <f>IF(ISNUMBER(O2164),IF(I2164&gt;0,(10^(VLOOKUP(D2164,'Species Codes'!B:C,2,0)+VLOOKUP(D2164,'Species Codes'!B:D,3,0)*LOG(E2164)+VLOOKUP(D2164,'Species Codes'!B:E,4,0)*LOG(I2164))),0),"")</f>
        <v/>
      </c>
      <c r="AA2164" s="104" t="str">
        <f>IFERROR((VLOOKUP(D2164,'Species Codes'!B:G,6,0)*Z2164)/2000,"")</f>
        <v/>
      </c>
      <c r="AB2164" s="104" t="e">
        <f>IF(Z2164&gt;0,((IF(OR(D2164="DF",D2164="RA")=TRUE,EXP(VLOOKUP(D2164,'Species Codes'!B:I,8,0)+VLOOKUP(D2164,'Species Codes'!B:J,9,0)*(LN((E2164*2.54)))),IF(OR(D2164="PY",D2164="RC",D2164="WH",D2164="NF")=TRUE,VLOOKUP(D2164,'Species Codes'!B:I,8,0)+VLOOKUP(D2164,'Species Codes'!B:J,9,0)*((E2164*2.54)^2)*(I2164*0.3048),IF(OR(D2164="MD",D2164="BM",D2164="GA")=TRUE,((VLOOKUP(D2164,'Species Codes'!B:I,8,0)*(((((E2164*2.54)+VLOOKUP(D2164,'Species Codes'!B:J,9,0))/VLOOKUP(D2164,'Species Codes'!B:K,10,0))^VLOOKUP(D2164,'Species Codes'!B:L,11,0))*((I2164*0.3048)^VLOOKUP(D2164,'Species Codes'!B:M,12,0))))-(VLOOKUP(D2164,'Species Codes'!B:I,8,0)*((((E2164*2.54)^VLOOKUP(D2164,'Species Codes'!B:L,11,0))*((I2164*0.3048)^VLOOKUP(D2164,'Species Codes'!B:M,12,0))))))*35.3*VLOOKUP(D2164,'Species Codes'!B:G,6,0)/2.2046,VLOOKUP(D2164,'Species Codes'!B:I,8,0)+VLOOKUP(D2164,'Species Codes'!B:J,9,0)*(((E2164*2.54)/100)^2)*(I2164*0.3048)))))*0.0011023),0)</f>
        <v>#N/A</v>
      </c>
      <c r="AC2164" s="104" t="e">
        <f>IF(Z2164&gt;0,((IF(OR(D2164="RA",D2164="OA",D2164="OT",D2164="UN",D2164="PC"),EXP(VLOOKUP(D2164,'Species Codes'!B:O,14,0)+VLOOKUP(D2164,'Species Codes'!B:P,15,0)*LN((E2164*2.54)))-EXP(VLOOKUP(D2164,'Species Codes'!B:O,14,0)+VLOOKUP(D2164,'Species Codes'!B:P,15,0)*LN((E2164*2.54)))*(1/(VLOOKUP(D2164,'Species Codes'!B:Q,16,0)+VLOOKUP(D2164,'Species Codes'!B:R,17,0)*((E2164*2.54)^VLOOKUP(D2164,'Species Codes'!B:S,18,0)))),IF(OR(D2164="BM",D2164="MD",D2164="OA"),EXP(VLOOKUP(D2164,'Species Codes'!B:O,14,0)+VLOOKUP(D2164,'Species Codes'!B:P,15,0)*LN((E2164*2.54)))*(1-(1/(VLOOKUP(D2164,'Species Codes'!B:Q,16,0)+VLOOKUP(D2164,'Species Codes'!B:R,17,0)*((E2164*2.54)^VLOOKUP(D2164,'Species Codes'!B:S,18,0)))))/1000,IF(D2164="DF",EXP(VLOOKUP(D2164,'Species Codes'!B:O,14,0)+VLOOKUP(D2164,'Species Codes'!B:P,15,0)*LN((E2164*2.54))),VLOOKUP(D2164,'Species Codes'!B:O,14,0)+VLOOKUP(D2164,'Species Codes'!B:P,15,0)*(((E2164*2.54)/100)^2)*(I2164*0.3048)))))*0.0011023),0)</f>
        <v>#N/A</v>
      </c>
      <c r="AD2164" s="104" t="e">
        <f t="shared" si="949"/>
        <v>#N/A</v>
      </c>
      <c r="AE2164" s="104" t="e">
        <f t="shared" si="950"/>
        <v>#N/A</v>
      </c>
      <c r="AF2164" s="104" t="e">
        <f>IF(AND(VLOOKUP($D2164,Merchantability!$B:$C,2,0)="Yes",$E2164&gt;=VLOOKUP($D2164,Merchantability!$B:$D,3,0),$E2164&lt;=VLOOKUP($D2164,Merchantability!$B:$E,4,0)),AA2164,0)</f>
        <v>#N/A</v>
      </c>
      <c r="AG2164" s="104" t="e">
        <f>IF(AND(VLOOKUP($D2164,Merchantability!$B:$C,2,0)="Yes",$E2164&gt;=VLOOKUP($D2164,Merchantability!$B:$D,3,0),$E2164&lt;=VLOOKUP($D2164,Merchantability!$B:$E,4,0)),AB2164,0)</f>
        <v>#N/A</v>
      </c>
      <c r="AH2164" s="104" t="e">
        <f>IF(AND(VLOOKUP($D2164,Merchantability!$B:$C,2,0)="Yes",$E2164&gt;=VLOOKUP($D2164,Merchantability!$B:$D,3,0),$E2164&lt;=VLOOKUP($D2164,Merchantability!$B:$E,4,0)),AC2164,0)</f>
        <v>#N/A</v>
      </c>
      <c r="AI2164" s="104" t="e">
        <f t="shared" si="951"/>
        <v>#N/A</v>
      </c>
      <c r="AJ2164" s="104" t="e">
        <f t="shared" si="952"/>
        <v>#VALUE!</v>
      </c>
      <c r="AK2164" s="104" t="e">
        <f t="shared" si="953"/>
        <v>#N/A</v>
      </c>
      <c r="AL2164" s="104" t="e">
        <f t="shared" si="954"/>
        <v>#N/A</v>
      </c>
      <c r="AM2164" s="104" t="e">
        <f t="shared" si="955"/>
        <v>#N/A</v>
      </c>
      <c r="AN2164" s="104" t="e">
        <f t="shared" si="939"/>
        <v>#N/A</v>
      </c>
      <c r="AO2164" s="104" t="e">
        <f t="shared" si="940"/>
        <v>#N/A</v>
      </c>
      <c r="AP2164" s="104" t="e">
        <f t="shared" si="941"/>
        <v>#N/A</v>
      </c>
      <c r="AQ2164" s="104" t="e">
        <f t="shared" si="942"/>
        <v>#N/A</v>
      </c>
      <c r="AR2164" s="105" t="str">
        <f t="shared" si="934"/>
        <v/>
      </c>
      <c r="AS2164" s="105" t="str">
        <f t="shared" si="935"/>
        <v/>
      </c>
      <c r="AT2164" s="108" t="str">
        <f t="shared" si="936"/>
        <v/>
      </c>
      <c r="AU2164" s="108" t="str">
        <f t="shared" si="937"/>
        <v/>
      </c>
      <c r="AV2164" s="107" t="str">
        <f>IF(ISNUMBER(O2164),IF(VLOOKUP($A2164,Stand!C:J,8,FALSE)="Short",AT2164,AU2164),"")</f>
        <v/>
      </c>
      <c r="AW2164" s="109" t="str">
        <f t="shared" si="943"/>
        <v/>
      </c>
      <c r="AX2164" s="109" t="str">
        <f t="shared" si="944"/>
        <v/>
      </c>
      <c r="AY2164" s="112" t="str">
        <f>IF(ISNUMBER(O2164),IF(AND(VLOOKUP($D2164,Merchantability!$B:$C,2,0)="Yes",$E2164&gt;=VLOOKUP($D2164,Merchantability!$B:$D,3,0),$E2164&lt;=VLOOKUP($D2164,Merchantability!$B:$E,4,0)),(AV2164*O2164)*(1-$H2164/100),""),"")</f>
        <v/>
      </c>
      <c r="AZ2164" s="116"/>
      <c r="BA2164" s="116"/>
      <c r="BB2164" s="116"/>
      <c r="BE2164" s="62"/>
      <c r="BF2164" s="63"/>
    </row>
    <row r="2165" spans="1:58" ht="12.75" customHeight="1" x14ac:dyDescent="0.25">
      <c r="A2165" s="334"/>
      <c r="B2165" s="334"/>
      <c r="C2165" s="332"/>
      <c r="D2165" s="334"/>
      <c r="E2165" s="335"/>
      <c r="F2165" s="334"/>
      <c r="G2165" s="332"/>
      <c r="H2165" s="332"/>
      <c r="I2165" s="334"/>
      <c r="J2165" s="336"/>
      <c r="K2165" s="332"/>
      <c r="L2165" s="332"/>
      <c r="M2165" s="76"/>
      <c r="N2165" s="103" t="str">
        <f>IF(A2165="","",VLOOKUP(A2165,Stand!C:K,9,0))</f>
        <v/>
      </c>
      <c r="O2165" s="104" t="str">
        <f t="shared" si="929"/>
        <v/>
      </c>
      <c r="P2165" s="105" t="str">
        <f t="shared" si="930"/>
        <v/>
      </c>
      <c r="Q2165" s="105" t="str">
        <f t="shared" si="945"/>
        <v/>
      </c>
      <c r="R2165" s="103" t="str">
        <f t="shared" si="931"/>
        <v/>
      </c>
      <c r="S2165" s="103" t="str">
        <f t="shared" si="932"/>
        <v/>
      </c>
      <c r="T2165" s="106" t="str">
        <f t="shared" si="946"/>
        <v/>
      </c>
      <c r="U2165" s="106" t="str">
        <f t="shared" si="947"/>
        <v/>
      </c>
      <c r="V2165" s="106" t="str">
        <f t="shared" si="948"/>
        <v/>
      </c>
      <c r="W2165" s="105" t="str">
        <f t="shared" si="933"/>
        <v/>
      </c>
      <c r="X2165" s="104" t="str">
        <f t="shared" si="938"/>
        <v/>
      </c>
      <c r="Y2165" s="104" t="str">
        <f t="array" ref="Y2165">IFERROR(IF(ISNUMBER(O2165),IF(COUNT(IF(A2165=$A$2:$A$2427,IF(D2165=$D$2:$D$2427,IF($X$2:$X$2427&gt;0,1))))&gt;0,SUM(IF(A2165=$A$2:$A$2427,IF(D2165=$D$2:$D$2427,$X$2:$X$2427)))/COUNT(IF(A2165=$A$2:$A$2427,IF(D2165=$D$2:$D$2427,IF(ISNUMBER($X$2:$X$2427),1)))),0),""),0)</f>
        <v/>
      </c>
      <c r="Z2165" s="104" t="str">
        <f>IF(ISNUMBER(O2165),IF(I2165&gt;0,(10^(VLOOKUP(D2165,'Species Codes'!B:C,2,0)+VLOOKUP(D2165,'Species Codes'!B:D,3,0)*LOG(E2165)+VLOOKUP(D2165,'Species Codes'!B:E,4,0)*LOG(I2165))),0),"")</f>
        <v/>
      </c>
      <c r="AA2165" s="104" t="str">
        <f>IFERROR((VLOOKUP(D2165,'Species Codes'!B:G,6,0)*Z2165)/2000,"")</f>
        <v/>
      </c>
      <c r="AB2165" s="104" t="e">
        <f>IF(Z2165&gt;0,((IF(OR(D2165="DF",D2165="RA")=TRUE,EXP(VLOOKUP(D2165,'Species Codes'!B:I,8,0)+VLOOKUP(D2165,'Species Codes'!B:J,9,0)*(LN((E2165*2.54)))),IF(OR(D2165="PY",D2165="RC",D2165="WH",D2165="NF")=TRUE,VLOOKUP(D2165,'Species Codes'!B:I,8,0)+VLOOKUP(D2165,'Species Codes'!B:J,9,0)*((E2165*2.54)^2)*(I2165*0.3048),IF(OR(D2165="MD",D2165="BM",D2165="GA")=TRUE,((VLOOKUP(D2165,'Species Codes'!B:I,8,0)*(((((E2165*2.54)+VLOOKUP(D2165,'Species Codes'!B:J,9,0))/VLOOKUP(D2165,'Species Codes'!B:K,10,0))^VLOOKUP(D2165,'Species Codes'!B:L,11,0))*((I2165*0.3048)^VLOOKUP(D2165,'Species Codes'!B:M,12,0))))-(VLOOKUP(D2165,'Species Codes'!B:I,8,0)*((((E2165*2.54)^VLOOKUP(D2165,'Species Codes'!B:L,11,0))*((I2165*0.3048)^VLOOKUP(D2165,'Species Codes'!B:M,12,0))))))*35.3*VLOOKUP(D2165,'Species Codes'!B:G,6,0)/2.2046,VLOOKUP(D2165,'Species Codes'!B:I,8,0)+VLOOKUP(D2165,'Species Codes'!B:J,9,0)*(((E2165*2.54)/100)^2)*(I2165*0.3048)))))*0.0011023),0)</f>
        <v>#N/A</v>
      </c>
      <c r="AC2165" s="104" t="e">
        <f>IF(Z2165&gt;0,((IF(OR(D2165="RA",D2165="OA",D2165="OT",D2165="UN",D2165="PC"),EXP(VLOOKUP(D2165,'Species Codes'!B:O,14,0)+VLOOKUP(D2165,'Species Codes'!B:P,15,0)*LN((E2165*2.54)))-EXP(VLOOKUP(D2165,'Species Codes'!B:O,14,0)+VLOOKUP(D2165,'Species Codes'!B:P,15,0)*LN((E2165*2.54)))*(1/(VLOOKUP(D2165,'Species Codes'!B:Q,16,0)+VLOOKUP(D2165,'Species Codes'!B:R,17,0)*((E2165*2.54)^VLOOKUP(D2165,'Species Codes'!B:S,18,0)))),IF(OR(D2165="BM",D2165="MD",D2165="OA"),EXP(VLOOKUP(D2165,'Species Codes'!B:O,14,0)+VLOOKUP(D2165,'Species Codes'!B:P,15,0)*LN((E2165*2.54)))*(1-(1/(VLOOKUP(D2165,'Species Codes'!B:Q,16,0)+VLOOKUP(D2165,'Species Codes'!B:R,17,0)*((E2165*2.54)^VLOOKUP(D2165,'Species Codes'!B:S,18,0)))))/1000,IF(D2165="DF",EXP(VLOOKUP(D2165,'Species Codes'!B:O,14,0)+VLOOKUP(D2165,'Species Codes'!B:P,15,0)*LN((E2165*2.54))),VLOOKUP(D2165,'Species Codes'!B:O,14,0)+VLOOKUP(D2165,'Species Codes'!B:P,15,0)*(((E2165*2.54)/100)^2)*(I2165*0.3048)))))*0.0011023),0)</f>
        <v>#N/A</v>
      </c>
      <c r="AD2165" s="104" t="e">
        <f t="shared" si="949"/>
        <v>#N/A</v>
      </c>
      <c r="AE2165" s="104" t="e">
        <f t="shared" si="950"/>
        <v>#N/A</v>
      </c>
      <c r="AF2165" s="104" t="e">
        <f>IF(AND(VLOOKUP($D2165,Merchantability!$B:$C,2,0)="Yes",$E2165&gt;=VLOOKUP($D2165,Merchantability!$B:$D,3,0),$E2165&lt;=VLOOKUP($D2165,Merchantability!$B:$E,4,0)),AA2165,0)</f>
        <v>#N/A</v>
      </c>
      <c r="AG2165" s="104" t="e">
        <f>IF(AND(VLOOKUP($D2165,Merchantability!$B:$C,2,0)="Yes",$E2165&gt;=VLOOKUP($D2165,Merchantability!$B:$D,3,0),$E2165&lt;=VLOOKUP($D2165,Merchantability!$B:$E,4,0)),AB2165,0)</f>
        <v>#N/A</v>
      </c>
      <c r="AH2165" s="104" t="e">
        <f>IF(AND(VLOOKUP($D2165,Merchantability!$B:$C,2,0)="Yes",$E2165&gt;=VLOOKUP($D2165,Merchantability!$B:$D,3,0),$E2165&lt;=VLOOKUP($D2165,Merchantability!$B:$E,4,0)),AC2165,0)</f>
        <v>#N/A</v>
      </c>
      <c r="AI2165" s="104" t="e">
        <f t="shared" si="951"/>
        <v>#N/A</v>
      </c>
      <c r="AJ2165" s="104" t="e">
        <f t="shared" si="952"/>
        <v>#VALUE!</v>
      </c>
      <c r="AK2165" s="104" t="e">
        <f t="shared" si="953"/>
        <v>#N/A</v>
      </c>
      <c r="AL2165" s="104" t="e">
        <f t="shared" si="954"/>
        <v>#N/A</v>
      </c>
      <c r="AM2165" s="104" t="e">
        <f t="shared" si="955"/>
        <v>#N/A</v>
      </c>
      <c r="AN2165" s="104" t="e">
        <f t="shared" si="939"/>
        <v>#N/A</v>
      </c>
      <c r="AO2165" s="104" t="e">
        <f t="shared" si="940"/>
        <v>#N/A</v>
      </c>
      <c r="AP2165" s="104" t="e">
        <f t="shared" si="941"/>
        <v>#N/A</v>
      </c>
      <c r="AQ2165" s="104" t="e">
        <f t="shared" si="942"/>
        <v>#N/A</v>
      </c>
      <c r="AR2165" s="105" t="str">
        <f t="shared" si="934"/>
        <v/>
      </c>
      <c r="AS2165" s="105" t="str">
        <f t="shared" si="935"/>
        <v/>
      </c>
      <c r="AT2165" s="108" t="str">
        <f t="shared" si="936"/>
        <v/>
      </c>
      <c r="AU2165" s="108" t="str">
        <f t="shared" si="937"/>
        <v/>
      </c>
      <c r="AV2165" s="107" t="str">
        <f>IF(ISNUMBER(O2165),IF(VLOOKUP($A2165,Stand!C:J,8,FALSE)="Short",AT2165,AU2165),"")</f>
        <v/>
      </c>
      <c r="AW2165" s="109" t="str">
        <f t="shared" si="943"/>
        <v/>
      </c>
      <c r="AX2165" s="109" t="str">
        <f t="shared" si="944"/>
        <v/>
      </c>
      <c r="AY2165" s="112" t="str">
        <f>IF(ISNUMBER(O2165),IF(AND(VLOOKUP($D2165,Merchantability!$B:$C,2,0)="Yes",$E2165&gt;=VLOOKUP($D2165,Merchantability!$B:$D,3,0),$E2165&lt;=VLOOKUP($D2165,Merchantability!$B:$E,4,0)),(AV2165*O2165)*(1-$H2165/100),""),"")</f>
        <v/>
      </c>
      <c r="AZ2165" s="116"/>
      <c r="BA2165" s="116"/>
      <c r="BB2165" s="116"/>
      <c r="BE2165" s="62"/>
      <c r="BF2165" s="63"/>
    </row>
    <row r="2166" spans="1:58" ht="12.75" customHeight="1" x14ac:dyDescent="0.25">
      <c r="A2166" s="334"/>
      <c r="B2166" s="334"/>
      <c r="C2166" s="332"/>
      <c r="D2166" s="334"/>
      <c r="E2166" s="335"/>
      <c r="F2166" s="334"/>
      <c r="G2166" s="332"/>
      <c r="H2166" s="332"/>
      <c r="I2166" s="334"/>
      <c r="J2166" s="336"/>
      <c r="K2166" s="332"/>
      <c r="L2166" s="332"/>
      <c r="M2166" s="76"/>
      <c r="N2166" s="103" t="str">
        <f>IF(A2166="","",VLOOKUP(A2166,Stand!C:K,9,0))</f>
        <v/>
      </c>
      <c r="O2166" s="104" t="str">
        <f t="shared" si="929"/>
        <v/>
      </c>
      <c r="P2166" s="105" t="str">
        <f t="shared" si="930"/>
        <v/>
      </c>
      <c r="Q2166" s="105" t="str">
        <f t="shared" si="945"/>
        <v/>
      </c>
      <c r="R2166" s="103" t="str">
        <f t="shared" si="931"/>
        <v/>
      </c>
      <c r="S2166" s="103" t="str">
        <f t="shared" si="932"/>
        <v/>
      </c>
      <c r="T2166" s="106" t="str">
        <f t="shared" si="946"/>
        <v/>
      </c>
      <c r="U2166" s="106" t="str">
        <f t="shared" si="947"/>
        <v/>
      </c>
      <c r="V2166" s="106" t="str">
        <f t="shared" si="948"/>
        <v/>
      </c>
      <c r="W2166" s="105" t="str">
        <f t="shared" si="933"/>
        <v/>
      </c>
      <c r="X2166" s="104" t="str">
        <f t="shared" si="938"/>
        <v/>
      </c>
      <c r="Y2166" s="104" t="str">
        <f t="array" ref="Y2166">IFERROR(IF(ISNUMBER(O2166),IF(COUNT(IF(A2166=$A$2:$A$2427,IF(D2166=$D$2:$D$2427,IF($X$2:$X$2427&gt;0,1))))&gt;0,SUM(IF(A2166=$A$2:$A$2427,IF(D2166=$D$2:$D$2427,$X$2:$X$2427)))/COUNT(IF(A2166=$A$2:$A$2427,IF(D2166=$D$2:$D$2427,IF(ISNUMBER($X$2:$X$2427),1)))),0),""),0)</f>
        <v/>
      </c>
      <c r="Z2166" s="104" t="str">
        <f>IF(ISNUMBER(O2166),IF(I2166&gt;0,(10^(VLOOKUP(D2166,'Species Codes'!B:C,2,0)+VLOOKUP(D2166,'Species Codes'!B:D,3,0)*LOG(E2166)+VLOOKUP(D2166,'Species Codes'!B:E,4,0)*LOG(I2166))),0),"")</f>
        <v/>
      </c>
      <c r="AA2166" s="104" t="str">
        <f>IFERROR((VLOOKUP(D2166,'Species Codes'!B:G,6,0)*Z2166)/2000,"")</f>
        <v/>
      </c>
      <c r="AB2166" s="104" t="e">
        <f>IF(Z2166&gt;0,((IF(OR(D2166="DF",D2166="RA")=TRUE,EXP(VLOOKUP(D2166,'Species Codes'!B:I,8,0)+VLOOKUP(D2166,'Species Codes'!B:J,9,0)*(LN((E2166*2.54)))),IF(OR(D2166="PY",D2166="RC",D2166="WH",D2166="NF")=TRUE,VLOOKUP(D2166,'Species Codes'!B:I,8,0)+VLOOKUP(D2166,'Species Codes'!B:J,9,0)*((E2166*2.54)^2)*(I2166*0.3048),IF(OR(D2166="MD",D2166="BM",D2166="GA")=TRUE,((VLOOKUP(D2166,'Species Codes'!B:I,8,0)*(((((E2166*2.54)+VLOOKUP(D2166,'Species Codes'!B:J,9,0))/VLOOKUP(D2166,'Species Codes'!B:K,10,0))^VLOOKUP(D2166,'Species Codes'!B:L,11,0))*((I2166*0.3048)^VLOOKUP(D2166,'Species Codes'!B:M,12,0))))-(VLOOKUP(D2166,'Species Codes'!B:I,8,0)*((((E2166*2.54)^VLOOKUP(D2166,'Species Codes'!B:L,11,0))*((I2166*0.3048)^VLOOKUP(D2166,'Species Codes'!B:M,12,0))))))*35.3*VLOOKUP(D2166,'Species Codes'!B:G,6,0)/2.2046,VLOOKUP(D2166,'Species Codes'!B:I,8,0)+VLOOKUP(D2166,'Species Codes'!B:J,9,0)*(((E2166*2.54)/100)^2)*(I2166*0.3048)))))*0.0011023),0)</f>
        <v>#N/A</v>
      </c>
      <c r="AC2166" s="104" t="e">
        <f>IF(Z2166&gt;0,((IF(OR(D2166="RA",D2166="OA",D2166="OT",D2166="UN",D2166="PC"),EXP(VLOOKUP(D2166,'Species Codes'!B:O,14,0)+VLOOKUP(D2166,'Species Codes'!B:P,15,0)*LN((E2166*2.54)))-EXP(VLOOKUP(D2166,'Species Codes'!B:O,14,0)+VLOOKUP(D2166,'Species Codes'!B:P,15,0)*LN((E2166*2.54)))*(1/(VLOOKUP(D2166,'Species Codes'!B:Q,16,0)+VLOOKUP(D2166,'Species Codes'!B:R,17,0)*((E2166*2.54)^VLOOKUP(D2166,'Species Codes'!B:S,18,0)))),IF(OR(D2166="BM",D2166="MD",D2166="OA"),EXP(VLOOKUP(D2166,'Species Codes'!B:O,14,0)+VLOOKUP(D2166,'Species Codes'!B:P,15,0)*LN((E2166*2.54)))*(1-(1/(VLOOKUP(D2166,'Species Codes'!B:Q,16,0)+VLOOKUP(D2166,'Species Codes'!B:R,17,0)*((E2166*2.54)^VLOOKUP(D2166,'Species Codes'!B:S,18,0)))))/1000,IF(D2166="DF",EXP(VLOOKUP(D2166,'Species Codes'!B:O,14,0)+VLOOKUP(D2166,'Species Codes'!B:P,15,0)*LN((E2166*2.54))),VLOOKUP(D2166,'Species Codes'!B:O,14,0)+VLOOKUP(D2166,'Species Codes'!B:P,15,0)*(((E2166*2.54)/100)^2)*(I2166*0.3048)))))*0.0011023),0)</f>
        <v>#N/A</v>
      </c>
      <c r="AD2166" s="104" t="e">
        <f t="shared" si="949"/>
        <v>#N/A</v>
      </c>
      <c r="AE2166" s="104" t="e">
        <f t="shared" si="950"/>
        <v>#N/A</v>
      </c>
      <c r="AF2166" s="104" t="e">
        <f>IF(AND(VLOOKUP($D2166,Merchantability!$B:$C,2,0)="Yes",$E2166&gt;=VLOOKUP($D2166,Merchantability!$B:$D,3,0),$E2166&lt;=VLOOKUP($D2166,Merchantability!$B:$E,4,0)),AA2166,0)</f>
        <v>#N/A</v>
      </c>
      <c r="AG2166" s="104" t="e">
        <f>IF(AND(VLOOKUP($D2166,Merchantability!$B:$C,2,0)="Yes",$E2166&gt;=VLOOKUP($D2166,Merchantability!$B:$D,3,0),$E2166&lt;=VLOOKUP($D2166,Merchantability!$B:$E,4,0)),AB2166,0)</f>
        <v>#N/A</v>
      </c>
      <c r="AH2166" s="104" t="e">
        <f>IF(AND(VLOOKUP($D2166,Merchantability!$B:$C,2,0)="Yes",$E2166&gt;=VLOOKUP($D2166,Merchantability!$B:$D,3,0),$E2166&lt;=VLOOKUP($D2166,Merchantability!$B:$E,4,0)),AC2166,0)</f>
        <v>#N/A</v>
      </c>
      <c r="AI2166" s="104" t="e">
        <f t="shared" si="951"/>
        <v>#N/A</v>
      </c>
      <c r="AJ2166" s="104" t="e">
        <f t="shared" si="952"/>
        <v>#VALUE!</v>
      </c>
      <c r="AK2166" s="104" t="e">
        <f t="shared" si="953"/>
        <v>#N/A</v>
      </c>
      <c r="AL2166" s="104" t="e">
        <f t="shared" si="954"/>
        <v>#N/A</v>
      </c>
      <c r="AM2166" s="104" t="e">
        <f t="shared" si="955"/>
        <v>#N/A</v>
      </c>
      <c r="AN2166" s="104" t="e">
        <f t="shared" si="939"/>
        <v>#N/A</v>
      </c>
      <c r="AO2166" s="104" t="e">
        <f t="shared" si="940"/>
        <v>#N/A</v>
      </c>
      <c r="AP2166" s="104" t="e">
        <f t="shared" si="941"/>
        <v>#N/A</v>
      </c>
      <c r="AQ2166" s="104" t="e">
        <f t="shared" si="942"/>
        <v>#N/A</v>
      </c>
      <c r="AR2166" s="105" t="str">
        <f t="shared" si="934"/>
        <v/>
      </c>
      <c r="AS2166" s="105" t="str">
        <f t="shared" si="935"/>
        <v/>
      </c>
      <c r="AT2166" s="108" t="str">
        <f t="shared" si="936"/>
        <v/>
      </c>
      <c r="AU2166" s="108" t="str">
        <f t="shared" si="937"/>
        <v/>
      </c>
      <c r="AV2166" s="107" t="str">
        <f>IF(ISNUMBER(O2166),IF(VLOOKUP($A2166,Stand!C:J,8,FALSE)="Short",AT2166,AU2166),"")</f>
        <v/>
      </c>
      <c r="AW2166" s="109" t="str">
        <f t="shared" si="943"/>
        <v/>
      </c>
      <c r="AX2166" s="109" t="str">
        <f t="shared" si="944"/>
        <v/>
      </c>
      <c r="AY2166" s="112" t="str">
        <f>IF(ISNUMBER(O2166),IF(AND(VLOOKUP($D2166,Merchantability!$B:$C,2,0)="Yes",$E2166&gt;=VLOOKUP($D2166,Merchantability!$B:$D,3,0),$E2166&lt;=VLOOKUP($D2166,Merchantability!$B:$E,4,0)),(AV2166*O2166)*(1-$H2166/100),""),"")</f>
        <v/>
      </c>
      <c r="AZ2166" s="116"/>
      <c r="BA2166" s="116"/>
      <c r="BB2166" s="116"/>
      <c r="BE2166" s="62"/>
      <c r="BF2166" s="63"/>
    </row>
    <row r="2167" spans="1:58" ht="12.75" customHeight="1" x14ac:dyDescent="0.25">
      <c r="A2167" s="334"/>
      <c r="B2167" s="334"/>
      <c r="C2167" s="332"/>
      <c r="D2167" s="334"/>
      <c r="E2167" s="335"/>
      <c r="F2167" s="334"/>
      <c r="G2167" s="332"/>
      <c r="H2167" s="332"/>
      <c r="I2167" s="334"/>
      <c r="J2167" s="336"/>
      <c r="K2167" s="332"/>
      <c r="L2167" s="332"/>
      <c r="M2167" s="76"/>
      <c r="N2167" s="103" t="str">
        <f>IF(A2167="","",VLOOKUP(A2167,Stand!C:K,9,0))</f>
        <v/>
      </c>
      <c r="O2167" s="104" t="str">
        <f t="shared" si="929"/>
        <v/>
      </c>
      <c r="P2167" s="105" t="str">
        <f t="shared" si="930"/>
        <v/>
      </c>
      <c r="Q2167" s="105" t="str">
        <f t="shared" si="945"/>
        <v/>
      </c>
      <c r="R2167" s="103" t="str">
        <f t="shared" si="931"/>
        <v/>
      </c>
      <c r="S2167" s="103" t="str">
        <f t="shared" si="932"/>
        <v/>
      </c>
      <c r="T2167" s="106" t="str">
        <f t="shared" si="946"/>
        <v/>
      </c>
      <c r="U2167" s="106" t="str">
        <f t="shared" si="947"/>
        <v/>
      </c>
      <c r="V2167" s="106" t="str">
        <f t="shared" si="948"/>
        <v/>
      </c>
      <c r="W2167" s="105" t="str">
        <f t="shared" si="933"/>
        <v/>
      </c>
      <c r="X2167" s="104" t="str">
        <f t="shared" si="938"/>
        <v/>
      </c>
      <c r="Y2167" s="104" t="str">
        <f t="array" ref="Y2167">IFERROR(IF(ISNUMBER(O2167),IF(COUNT(IF(A2167=$A$2:$A$2427,IF(D2167=$D$2:$D$2427,IF($X$2:$X$2427&gt;0,1))))&gt;0,SUM(IF(A2167=$A$2:$A$2427,IF(D2167=$D$2:$D$2427,$X$2:$X$2427)))/COUNT(IF(A2167=$A$2:$A$2427,IF(D2167=$D$2:$D$2427,IF(ISNUMBER($X$2:$X$2427),1)))),0),""),0)</f>
        <v/>
      </c>
      <c r="Z2167" s="104" t="str">
        <f>IF(ISNUMBER(O2167),IF(I2167&gt;0,(10^(VLOOKUP(D2167,'Species Codes'!B:C,2,0)+VLOOKUP(D2167,'Species Codes'!B:D,3,0)*LOG(E2167)+VLOOKUP(D2167,'Species Codes'!B:E,4,0)*LOG(I2167))),0),"")</f>
        <v/>
      </c>
      <c r="AA2167" s="104" t="str">
        <f>IFERROR((VLOOKUP(D2167,'Species Codes'!B:G,6,0)*Z2167)/2000,"")</f>
        <v/>
      </c>
      <c r="AB2167" s="104" t="e">
        <f>IF(Z2167&gt;0,((IF(OR(D2167="DF",D2167="RA")=TRUE,EXP(VLOOKUP(D2167,'Species Codes'!B:I,8,0)+VLOOKUP(D2167,'Species Codes'!B:J,9,0)*(LN((E2167*2.54)))),IF(OR(D2167="PY",D2167="RC",D2167="WH",D2167="NF")=TRUE,VLOOKUP(D2167,'Species Codes'!B:I,8,0)+VLOOKUP(D2167,'Species Codes'!B:J,9,0)*((E2167*2.54)^2)*(I2167*0.3048),IF(OR(D2167="MD",D2167="BM",D2167="GA")=TRUE,((VLOOKUP(D2167,'Species Codes'!B:I,8,0)*(((((E2167*2.54)+VLOOKUP(D2167,'Species Codes'!B:J,9,0))/VLOOKUP(D2167,'Species Codes'!B:K,10,0))^VLOOKUP(D2167,'Species Codes'!B:L,11,0))*((I2167*0.3048)^VLOOKUP(D2167,'Species Codes'!B:M,12,0))))-(VLOOKUP(D2167,'Species Codes'!B:I,8,0)*((((E2167*2.54)^VLOOKUP(D2167,'Species Codes'!B:L,11,0))*((I2167*0.3048)^VLOOKUP(D2167,'Species Codes'!B:M,12,0))))))*35.3*VLOOKUP(D2167,'Species Codes'!B:G,6,0)/2.2046,VLOOKUP(D2167,'Species Codes'!B:I,8,0)+VLOOKUP(D2167,'Species Codes'!B:J,9,0)*(((E2167*2.54)/100)^2)*(I2167*0.3048)))))*0.0011023),0)</f>
        <v>#N/A</v>
      </c>
      <c r="AC2167" s="104" t="e">
        <f>IF(Z2167&gt;0,((IF(OR(D2167="RA",D2167="OA",D2167="OT",D2167="UN",D2167="PC"),EXP(VLOOKUP(D2167,'Species Codes'!B:O,14,0)+VLOOKUP(D2167,'Species Codes'!B:P,15,0)*LN((E2167*2.54)))-EXP(VLOOKUP(D2167,'Species Codes'!B:O,14,0)+VLOOKUP(D2167,'Species Codes'!B:P,15,0)*LN((E2167*2.54)))*(1/(VLOOKUP(D2167,'Species Codes'!B:Q,16,0)+VLOOKUP(D2167,'Species Codes'!B:R,17,0)*((E2167*2.54)^VLOOKUP(D2167,'Species Codes'!B:S,18,0)))),IF(OR(D2167="BM",D2167="MD",D2167="OA"),EXP(VLOOKUP(D2167,'Species Codes'!B:O,14,0)+VLOOKUP(D2167,'Species Codes'!B:P,15,0)*LN((E2167*2.54)))*(1-(1/(VLOOKUP(D2167,'Species Codes'!B:Q,16,0)+VLOOKUP(D2167,'Species Codes'!B:R,17,0)*((E2167*2.54)^VLOOKUP(D2167,'Species Codes'!B:S,18,0)))))/1000,IF(D2167="DF",EXP(VLOOKUP(D2167,'Species Codes'!B:O,14,0)+VLOOKUP(D2167,'Species Codes'!B:P,15,0)*LN((E2167*2.54))),VLOOKUP(D2167,'Species Codes'!B:O,14,0)+VLOOKUP(D2167,'Species Codes'!B:P,15,0)*(((E2167*2.54)/100)^2)*(I2167*0.3048)))))*0.0011023),0)</f>
        <v>#N/A</v>
      </c>
      <c r="AD2167" s="104" t="e">
        <f t="shared" si="949"/>
        <v>#N/A</v>
      </c>
      <c r="AE2167" s="104" t="e">
        <f t="shared" si="950"/>
        <v>#N/A</v>
      </c>
      <c r="AF2167" s="104" t="e">
        <f>IF(AND(VLOOKUP($D2167,Merchantability!$B:$C,2,0)="Yes",$E2167&gt;=VLOOKUP($D2167,Merchantability!$B:$D,3,0),$E2167&lt;=VLOOKUP($D2167,Merchantability!$B:$E,4,0)),AA2167,0)</f>
        <v>#N/A</v>
      </c>
      <c r="AG2167" s="104" t="e">
        <f>IF(AND(VLOOKUP($D2167,Merchantability!$B:$C,2,0)="Yes",$E2167&gt;=VLOOKUP($D2167,Merchantability!$B:$D,3,0),$E2167&lt;=VLOOKUP($D2167,Merchantability!$B:$E,4,0)),AB2167,0)</f>
        <v>#N/A</v>
      </c>
      <c r="AH2167" s="104" t="e">
        <f>IF(AND(VLOOKUP($D2167,Merchantability!$B:$C,2,0)="Yes",$E2167&gt;=VLOOKUP($D2167,Merchantability!$B:$D,3,0),$E2167&lt;=VLOOKUP($D2167,Merchantability!$B:$E,4,0)),AC2167,0)</f>
        <v>#N/A</v>
      </c>
      <c r="AI2167" s="104" t="e">
        <f t="shared" si="951"/>
        <v>#N/A</v>
      </c>
      <c r="AJ2167" s="104" t="e">
        <f t="shared" si="952"/>
        <v>#VALUE!</v>
      </c>
      <c r="AK2167" s="104" t="e">
        <f t="shared" si="953"/>
        <v>#N/A</v>
      </c>
      <c r="AL2167" s="104" t="e">
        <f t="shared" si="954"/>
        <v>#N/A</v>
      </c>
      <c r="AM2167" s="104" t="e">
        <f t="shared" si="955"/>
        <v>#N/A</v>
      </c>
      <c r="AN2167" s="104" t="e">
        <f t="shared" si="939"/>
        <v>#N/A</v>
      </c>
      <c r="AO2167" s="104" t="e">
        <f t="shared" si="940"/>
        <v>#N/A</v>
      </c>
      <c r="AP2167" s="104" t="e">
        <f t="shared" si="941"/>
        <v>#N/A</v>
      </c>
      <c r="AQ2167" s="104" t="e">
        <f t="shared" si="942"/>
        <v>#N/A</v>
      </c>
      <c r="AR2167" s="105" t="str">
        <f t="shared" si="934"/>
        <v/>
      </c>
      <c r="AS2167" s="105" t="str">
        <f t="shared" si="935"/>
        <v/>
      </c>
      <c r="AT2167" s="108" t="str">
        <f t="shared" si="936"/>
        <v/>
      </c>
      <c r="AU2167" s="108" t="str">
        <f t="shared" si="937"/>
        <v/>
      </c>
      <c r="AV2167" s="107" t="str">
        <f>IF(ISNUMBER(O2167),IF(VLOOKUP($A2167,Stand!C:J,8,FALSE)="Short",AT2167,AU2167),"")</f>
        <v/>
      </c>
      <c r="AW2167" s="109" t="str">
        <f t="shared" si="943"/>
        <v/>
      </c>
      <c r="AX2167" s="109" t="str">
        <f t="shared" si="944"/>
        <v/>
      </c>
      <c r="AY2167" s="112" t="str">
        <f>IF(ISNUMBER(O2167),IF(AND(VLOOKUP($D2167,Merchantability!$B:$C,2,0)="Yes",$E2167&gt;=VLOOKUP($D2167,Merchantability!$B:$D,3,0),$E2167&lt;=VLOOKUP($D2167,Merchantability!$B:$E,4,0)),(AV2167*O2167)*(1-$H2167/100),""),"")</f>
        <v/>
      </c>
      <c r="AZ2167" s="116"/>
      <c r="BA2167" s="116"/>
      <c r="BB2167" s="116"/>
      <c r="BE2167" s="62"/>
      <c r="BF2167" s="63"/>
    </row>
    <row r="2168" spans="1:58" ht="12.75" customHeight="1" x14ac:dyDescent="0.25">
      <c r="A2168" s="334"/>
      <c r="B2168" s="334"/>
      <c r="C2168" s="332"/>
      <c r="D2168" s="334"/>
      <c r="E2168" s="335"/>
      <c r="F2168" s="334"/>
      <c r="G2168" s="332"/>
      <c r="H2168" s="332"/>
      <c r="I2168" s="334"/>
      <c r="J2168" s="336"/>
      <c r="K2168" s="332"/>
      <c r="L2168" s="332"/>
      <c r="M2168" s="76"/>
      <c r="N2168" s="103" t="str">
        <f>IF(A2168="","",VLOOKUP(A2168,Stand!C:K,9,0))</f>
        <v/>
      </c>
      <c r="O2168" s="104" t="str">
        <f t="shared" si="929"/>
        <v/>
      </c>
      <c r="P2168" s="105" t="str">
        <f t="shared" si="930"/>
        <v/>
      </c>
      <c r="Q2168" s="105" t="str">
        <f t="shared" si="945"/>
        <v/>
      </c>
      <c r="R2168" s="103" t="str">
        <f t="shared" si="931"/>
        <v/>
      </c>
      <c r="S2168" s="103" t="str">
        <f t="shared" si="932"/>
        <v/>
      </c>
      <c r="T2168" s="106" t="str">
        <f t="shared" si="946"/>
        <v/>
      </c>
      <c r="U2168" s="106" t="str">
        <f t="shared" si="947"/>
        <v/>
      </c>
      <c r="V2168" s="106" t="str">
        <f t="shared" si="948"/>
        <v/>
      </c>
      <c r="W2168" s="105" t="str">
        <f t="shared" si="933"/>
        <v/>
      </c>
      <c r="X2168" s="104" t="str">
        <f t="shared" si="938"/>
        <v/>
      </c>
      <c r="Y2168" s="104" t="str">
        <f t="array" ref="Y2168">IFERROR(IF(ISNUMBER(O2168),IF(COUNT(IF(A2168=$A$2:$A$2427,IF(D2168=$D$2:$D$2427,IF($X$2:$X$2427&gt;0,1))))&gt;0,SUM(IF(A2168=$A$2:$A$2427,IF(D2168=$D$2:$D$2427,$X$2:$X$2427)))/COUNT(IF(A2168=$A$2:$A$2427,IF(D2168=$D$2:$D$2427,IF(ISNUMBER($X$2:$X$2427),1)))),0),""),0)</f>
        <v/>
      </c>
      <c r="Z2168" s="104" t="str">
        <f>IF(ISNUMBER(O2168),IF(I2168&gt;0,(10^(VLOOKUP(D2168,'Species Codes'!B:C,2,0)+VLOOKUP(D2168,'Species Codes'!B:D,3,0)*LOG(E2168)+VLOOKUP(D2168,'Species Codes'!B:E,4,0)*LOG(I2168))),0),"")</f>
        <v/>
      </c>
      <c r="AA2168" s="104" t="str">
        <f>IFERROR((VLOOKUP(D2168,'Species Codes'!B:G,6,0)*Z2168)/2000,"")</f>
        <v/>
      </c>
      <c r="AB2168" s="104" t="e">
        <f>IF(Z2168&gt;0,((IF(OR(D2168="DF",D2168="RA")=TRUE,EXP(VLOOKUP(D2168,'Species Codes'!B:I,8,0)+VLOOKUP(D2168,'Species Codes'!B:J,9,0)*(LN((E2168*2.54)))),IF(OR(D2168="PY",D2168="RC",D2168="WH",D2168="NF")=TRUE,VLOOKUP(D2168,'Species Codes'!B:I,8,0)+VLOOKUP(D2168,'Species Codes'!B:J,9,0)*((E2168*2.54)^2)*(I2168*0.3048),IF(OR(D2168="MD",D2168="BM",D2168="GA")=TRUE,((VLOOKUP(D2168,'Species Codes'!B:I,8,0)*(((((E2168*2.54)+VLOOKUP(D2168,'Species Codes'!B:J,9,0))/VLOOKUP(D2168,'Species Codes'!B:K,10,0))^VLOOKUP(D2168,'Species Codes'!B:L,11,0))*((I2168*0.3048)^VLOOKUP(D2168,'Species Codes'!B:M,12,0))))-(VLOOKUP(D2168,'Species Codes'!B:I,8,0)*((((E2168*2.54)^VLOOKUP(D2168,'Species Codes'!B:L,11,0))*((I2168*0.3048)^VLOOKUP(D2168,'Species Codes'!B:M,12,0))))))*35.3*VLOOKUP(D2168,'Species Codes'!B:G,6,0)/2.2046,VLOOKUP(D2168,'Species Codes'!B:I,8,0)+VLOOKUP(D2168,'Species Codes'!B:J,9,0)*(((E2168*2.54)/100)^2)*(I2168*0.3048)))))*0.0011023),0)</f>
        <v>#N/A</v>
      </c>
      <c r="AC2168" s="104" t="e">
        <f>IF(Z2168&gt;0,((IF(OR(D2168="RA",D2168="OA",D2168="OT",D2168="UN",D2168="PC"),EXP(VLOOKUP(D2168,'Species Codes'!B:O,14,0)+VLOOKUP(D2168,'Species Codes'!B:P,15,0)*LN((E2168*2.54)))-EXP(VLOOKUP(D2168,'Species Codes'!B:O,14,0)+VLOOKUP(D2168,'Species Codes'!B:P,15,0)*LN((E2168*2.54)))*(1/(VLOOKUP(D2168,'Species Codes'!B:Q,16,0)+VLOOKUP(D2168,'Species Codes'!B:R,17,0)*((E2168*2.54)^VLOOKUP(D2168,'Species Codes'!B:S,18,0)))),IF(OR(D2168="BM",D2168="MD",D2168="OA"),EXP(VLOOKUP(D2168,'Species Codes'!B:O,14,0)+VLOOKUP(D2168,'Species Codes'!B:P,15,0)*LN((E2168*2.54)))*(1-(1/(VLOOKUP(D2168,'Species Codes'!B:Q,16,0)+VLOOKUP(D2168,'Species Codes'!B:R,17,0)*((E2168*2.54)^VLOOKUP(D2168,'Species Codes'!B:S,18,0)))))/1000,IF(D2168="DF",EXP(VLOOKUP(D2168,'Species Codes'!B:O,14,0)+VLOOKUP(D2168,'Species Codes'!B:P,15,0)*LN((E2168*2.54))),VLOOKUP(D2168,'Species Codes'!B:O,14,0)+VLOOKUP(D2168,'Species Codes'!B:P,15,0)*(((E2168*2.54)/100)^2)*(I2168*0.3048)))))*0.0011023),0)</f>
        <v>#N/A</v>
      </c>
      <c r="AD2168" s="104" t="e">
        <f t="shared" si="949"/>
        <v>#N/A</v>
      </c>
      <c r="AE2168" s="104" t="e">
        <f t="shared" si="950"/>
        <v>#N/A</v>
      </c>
      <c r="AF2168" s="104" t="e">
        <f>IF(AND(VLOOKUP($D2168,Merchantability!$B:$C,2,0)="Yes",$E2168&gt;=VLOOKUP($D2168,Merchantability!$B:$D,3,0),$E2168&lt;=VLOOKUP($D2168,Merchantability!$B:$E,4,0)),AA2168,0)</f>
        <v>#N/A</v>
      </c>
      <c r="AG2168" s="104" t="e">
        <f>IF(AND(VLOOKUP($D2168,Merchantability!$B:$C,2,0)="Yes",$E2168&gt;=VLOOKUP($D2168,Merchantability!$B:$D,3,0),$E2168&lt;=VLOOKUP($D2168,Merchantability!$B:$E,4,0)),AB2168,0)</f>
        <v>#N/A</v>
      </c>
      <c r="AH2168" s="104" t="e">
        <f>IF(AND(VLOOKUP($D2168,Merchantability!$B:$C,2,0)="Yes",$E2168&gt;=VLOOKUP($D2168,Merchantability!$B:$D,3,0),$E2168&lt;=VLOOKUP($D2168,Merchantability!$B:$E,4,0)),AC2168,0)</f>
        <v>#N/A</v>
      </c>
      <c r="AI2168" s="104" t="e">
        <f t="shared" si="951"/>
        <v>#N/A</v>
      </c>
      <c r="AJ2168" s="104" t="e">
        <f t="shared" si="952"/>
        <v>#VALUE!</v>
      </c>
      <c r="AK2168" s="104" t="e">
        <f t="shared" si="953"/>
        <v>#N/A</v>
      </c>
      <c r="AL2168" s="104" t="e">
        <f t="shared" si="954"/>
        <v>#N/A</v>
      </c>
      <c r="AM2168" s="104" t="e">
        <f t="shared" si="955"/>
        <v>#N/A</v>
      </c>
      <c r="AN2168" s="104" t="e">
        <f t="shared" si="939"/>
        <v>#N/A</v>
      </c>
      <c r="AO2168" s="104" t="e">
        <f t="shared" si="940"/>
        <v>#N/A</v>
      </c>
      <c r="AP2168" s="104" t="e">
        <f t="shared" si="941"/>
        <v>#N/A</v>
      </c>
      <c r="AQ2168" s="104" t="e">
        <f t="shared" si="942"/>
        <v>#N/A</v>
      </c>
      <c r="AR2168" s="105" t="str">
        <f t="shared" si="934"/>
        <v/>
      </c>
      <c r="AS2168" s="105" t="str">
        <f t="shared" si="935"/>
        <v/>
      </c>
      <c r="AT2168" s="108" t="str">
        <f t="shared" si="936"/>
        <v/>
      </c>
      <c r="AU2168" s="108" t="str">
        <f t="shared" si="937"/>
        <v/>
      </c>
      <c r="AV2168" s="107" t="str">
        <f>IF(ISNUMBER(O2168),IF(VLOOKUP($A2168,Stand!C:J,8,FALSE)="Short",AT2168,AU2168),"")</f>
        <v/>
      </c>
      <c r="AW2168" s="109" t="str">
        <f t="shared" si="943"/>
        <v/>
      </c>
      <c r="AX2168" s="109" t="str">
        <f t="shared" si="944"/>
        <v/>
      </c>
      <c r="AY2168" s="112" t="str">
        <f>IF(ISNUMBER(O2168),IF(AND(VLOOKUP($D2168,Merchantability!$B:$C,2,0)="Yes",$E2168&gt;=VLOOKUP($D2168,Merchantability!$B:$D,3,0),$E2168&lt;=VLOOKUP($D2168,Merchantability!$B:$E,4,0)),(AV2168*O2168)*(1-$H2168/100),""),"")</f>
        <v/>
      </c>
      <c r="AZ2168" s="116"/>
      <c r="BA2168" s="116"/>
      <c r="BB2168" s="116"/>
      <c r="BE2168" s="62"/>
      <c r="BF2168" s="63"/>
    </row>
    <row r="2169" spans="1:58" ht="12.75" customHeight="1" x14ac:dyDescent="0.25">
      <c r="A2169" s="334"/>
      <c r="B2169" s="334"/>
      <c r="C2169" s="332"/>
      <c r="D2169" s="334"/>
      <c r="E2169" s="335"/>
      <c r="F2169" s="334"/>
      <c r="G2169" s="332"/>
      <c r="H2169" s="332"/>
      <c r="I2169" s="334"/>
      <c r="J2169" s="336"/>
      <c r="K2169" s="332"/>
      <c r="L2169" s="332"/>
      <c r="M2169" s="76"/>
      <c r="N2169" s="103" t="str">
        <f>IF(A2169="","",VLOOKUP(A2169,Stand!C:K,9,0))</f>
        <v/>
      </c>
      <c r="O2169" s="104" t="str">
        <f t="shared" si="929"/>
        <v/>
      </c>
      <c r="P2169" s="105" t="str">
        <f t="shared" si="930"/>
        <v/>
      </c>
      <c r="Q2169" s="105" t="str">
        <f t="shared" si="945"/>
        <v/>
      </c>
      <c r="R2169" s="103" t="str">
        <f t="shared" si="931"/>
        <v/>
      </c>
      <c r="S2169" s="103" t="str">
        <f t="shared" si="932"/>
        <v/>
      </c>
      <c r="T2169" s="106" t="str">
        <f t="shared" si="946"/>
        <v/>
      </c>
      <c r="U2169" s="106" t="str">
        <f t="shared" si="947"/>
        <v/>
      </c>
      <c r="V2169" s="106" t="str">
        <f t="shared" si="948"/>
        <v/>
      </c>
      <c r="W2169" s="105" t="str">
        <f t="shared" si="933"/>
        <v/>
      </c>
      <c r="X2169" s="104" t="str">
        <f t="shared" si="938"/>
        <v/>
      </c>
      <c r="Y2169" s="104" t="str">
        <f t="array" ref="Y2169">IFERROR(IF(ISNUMBER(O2169),IF(COUNT(IF(A2169=$A$2:$A$2427,IF(D2169=$D$2:$D$2427,IF($X$2:$X$2427&gt;0,1))))&gt;0,SUM(IF(A2169=$A$2:$A$2427,IF(D2169=$D$2:$D$2427,$X$2:$X$2427)))/COUNT(IF(A2169=$A$2:$A$2427,IF(D2169=$D$2:$D$2427,IF(ISNUMBER($X$2:$X$2427),1)))),0),""),0)</f>
        <v/>
      </c>
      <c r="Z2169" s="104" t="str">
        <f>IF(ISNUMBER(O2169),IF(I2169&gt;0,(10^(VLOOKUP(D2169,'Species Codes'!B:C,2,0)+VLOOKUP(D2169,'Species Codes'!B:D,3,0)*LOG(E2169)+VLOOKUP(D2169,'Species Codes'!B:E,4,0)*LOG(I2169))),0),"")</f>
        <v/>
      </c>
      <c r="AA2169" s="104" t="str">
        <f>IFERROR((VLOOKUP(D2169,'Species Codes'!B:G,6,0)*Z2169)/2000,"")</f>
        <v/>
      </c>
      <c r="AB2169" s="104" t="e">
        <f>IF(Z2169&gt;0,((IF(OR(D2169="DF",D2169="RA")=TRUE,EXP(VLOOKUP(D2169,'Species Codes'!B:I,8,0)+VLOOKUP(D2169,'Species Codes'!B:J,9,0)*(LN((E2169*2.54)))),IF(OR(D2169="PY",D2169="RC",D2169="WH",D2169="NF")=TRUE,VLOOKUP(D2169,'Species Codes'!B:I,8,0)+VLOOKUP(D2169,'Species Codes'!B:J,9,0)*((E2169*2.54)^2)*(I2169*0.3048),IF(OR(D2169="MD",D2169="BM",D2169="GA")=TRUE,((VLOOKUP(D2169,'Species Codes'!B:I,8,0)*(((((E2169*2.54)+VLOOKUP(D2169,'Species Codes'!B:J,9,0))/VLOOKUP(D2169,'Species Codes'!B:K,10,0))^VLOOKUP(D2169,'Species Codes'!B:L,11,0))*((I2169*0.3048)^VLOOKUP(D2169,'Species Codes'!B:M,12,0))))-(VLOOKUP(D2169,'Species Codes'!B:I,8,0)*((((E2169*2.54)^VLOOKUP(D2169,'Species Codes'!B:L,11,0))*((I2169*0.3048)^VLOOKUP(D2169,'Species Codes'!B:M,12,0))))))*35.3*VLOOKUP(D2169,'Species Codes'!B:G,6,0)/2.2046,VLOOKUP(D2169,'Species Codes'!B:I,8,0)+VLOOKUP(D2169,'Species Codes'!B:J,9,0)*(((E2169*2.54)/100)^2)*(I2169*0.3048)))))*0.0011023),0)</f>
        <v>#N/A</v>
      </c>
      <c r="AC2169" s="104" t="e">
        <f>IF(Z2169&gt;0,((IF(OR(D2169="RA",D2169="OA",D2169="OT",D2169="UN",D2169="PC"),EXP(VLOOKUP(D2169,'Species Codes'!B:O,14,0)+VLOOKUP(D2169,'Species Codes'!B:P,15,0)*LN((E2169*2.54)))-EXP(VLOOKUP(D2169,'Species Codes'!B:O,14,0)+VLOOKUP(D2169,'Species Codes'!B:P,15,0)*LN((E2169*2.54)))*(1/(VLOOKUP(D2169,'Species Codes'!B:Q,16,0)+VLOOKUP(D2169,'Species Codes'!B:R,17,0)*((E2169*2.54)^VLOOKUP(D2169,'Species Codes'!B:S,18,0)))),IF(OR(D2169="BM",D2169="MD",D2169="OA"),EXP(VLOOKUP(D2169,'Species Codes'!B:O,14,0)+VLOOKUP(D2169,'Species Codes'!B:P,15,0)*LN((E2169*2.54)))*(1-(1/(VLOOKUP(D2169,'Species Codes'!B:Q,16,0)+VLOOKUP(D2169,'Species Codes'!B:R,17,0)*((E2169*2.54)^VLOOKUP(D2169,'Species Codes'!B:S,18,0)))))/1000,IF(D2169="DF",EXP(VLOOKUP(D2169,'Species Codes'!B:O,14,0)+VLOOKUP(D2169,'Species Codes'!B:P,15,0)*LN((E2169*2.54))),VLOOKUP(D2169,'Species Codes'!B:O,14,0)+VLOOKUP(D2169,'Species Codes'!B:P,15,0)*(((E2169*2.54)/100)^2)*(I2169*0.3048)))))*0.0011023),0)</f>
        <v>#N/A</v>
      </c>
      <c r="AD2169" s="104" t="e">
        <f t="shared" si="949"/>
        <v>#N/A</v>
      </c>
      <c r="AE2169" s="104" t="e">
        <f t="shared" si="950"/>
        <v>#N/A</v>
      </c>
      <c r="AF2169" s="104" t="e">
        <f>IF(AND(VLOOKUP($D2169,Merchantability!$B:$C,2,0)="Yes",$E2169&gt;=VLOOKUP($D2169,Merchantability!$B:$D,3,0),$E2169&lt;=VLOOKUP($D2169,Merchantability!$B:$E,4,0)),AA2169,0)</f>
        <v>#N/A</v>
      </c>
      <c r="AG2169" s="104" t="e">
        <f>IF(AND(VLOOKUP($D2169,Merchantability!$B:$C,2,0)="Yes",$E2169&gt;=VLOOKUP($D2169,Merchantability!$B:$D,3,0),$E2169&lt;=VLOOKUP($D2169,Merchantability!$B:$E,4,0)),AB2169,0)</f>
        <v>#N/A</v>
      </c>
      <c r="AH2169" s="104" t="e">
        <f>IF(AND(VLOOKUP($D2169,Merchantability!$B:$C,2,0)="Yes",$E2169&gt;=VLOOKUP($D2169,Merchantability!$B:$D,3,0),$E2169&lt;=VLOOKUP($D2169,Merchantability!$B:$E,4,0)),AC2169,0)</f>
        <v>#N/A</v>
      </c>
      <c r="AI2169" s="104" t="e">
        <f t="shared" si="951"/>
        <v>#N/A</v>
      </c>
      <c r="AJ2169" s="104" t="e">
        <f t="shared" si="952"/>
        <v>#VALUE!</v>
      </c>
      <c r="AK2169" s="104" t="e">
        <f t="shared" si="953"/>
        <v>#N/A</v>
      </c>
      <c r="AL2169" s="104" t="e">
        <f t="shared" si="954"/>
        <v>#N/A</v>
      </c>
      <c r="AM2169" s="104" t="e">
        <f t="shared" si="955"/>
        <v>#N/A</v>
      </c>
      <c r="AN2169" s="104" t="e">
        <f t="shared" si="939"/>
        <v>#N/A</v>
      </c>
      <c r="AO2169" s="104" t="e">
        <f t="shared" si="940"/>
        <v>#N/A</v>
      </c>
      <c r="AP2169" s="104" t="e">
        <f t="shared" si="941"/>
        <v>#N/A</v>
      </c>
      <c r="AQ2169" s="104" t="e">
        <f t="shared" si="942"/>
        <v>#N/A</v>
      </c>
      <c r="AR2169" s="105" t="str">
        <f t="shared" si="934"/>
        <v/>
      </c>
      <c r="AS2169" s="105" t="str">
        <f t="shared" si="935"/>
        <v/>
      </c>
      <c r="AT2169" s="108" t="str">
        <f t="shared" si="936"/>
        <v/>
      </c>
      <c r="AU2169" s="108" t="str">
        <f t="shared" si="937"/>
        <v/>
      </c>
      <c r="AV2169" s="107" t="str">
        <f>IF(ISNUMBER(O2169),IF(VLOOKUP($A2169,Stand!C:J,8,FALSE)="Short",AT2169,AU2169),"")</f>
        <v/>
      </c>
      <c r="AW2169" s="109" t="str">
        <f t="shared" si="943"/>
        <v/>
      </c>
      <c r="AX2169" s="109" t="str">
        <f t="shared" si="944"/>
        <v/>
      </c>
      <c r="AY2169" s="112" t="str">
        <f>IF(ISNUMBER(O2169),IF(AND(VLOOKUP($D2169,Merchantability!$B:$C,2,0)="Yes",$E2169&gt;=VLOOKUP($D2169,Merchantability!$B:$D,3,0),$E2169&lt;=VLOOKUP($D2169,Merchantability!$B:$E,4,0)),(AV2169*O2169)*(1-$H2169/100),""),"")</f>
        <v/>
      </c>
      <c r="AZ2169" s="116"/>
      <c r="BA2169" s="116"/>
      <c r="BB2169" s="116"/>
      <c r="BE2169" s="62"/>
      <c r="BF2169" s="63"/>
    </row>
    <row r="2170" spans="1:58" ht="12.75" customHeight="1" x14ac:dyDescent="0.25">
      <c r="A2170" s="334"/>
      <c r="B2170" s="334"/>
      <c r="C2170" s="332"/>
      <c r="D2170" s="334"/>
      <c r="E2170" s="335"/>
      <c r="F2170" s="334"/>
      <c r="G2170" s="332"/>
      <c r="H2170" s="332"/>
      <c r="I2170" s="334"/>
      <c r="J2170" s="336"/>
      <c r="K2170" s="332"/>
      <c r="L2170" s="332"/>
      <c r="M2170" s="76"/>
      <c r="N2170" s="103" t="str">
        <f>IF(A2170="","",VLOOKUP(A2170,Stand!C:K,9,0))</f>
        <v/>
      </c>
      <c r="O2170" s="104" t="str">
        <f t="shared" si="929"/>
        <v/>
      </c>
      <c r="P2170" s="105" t="str">
        <f t="shared" si="930"/>
        <v/>
      </c>
      <c r="Q2170" s="105" t="str">
        <f t="shared" si="945"/>
        <v/>
      </c>
      <c r="R2170" s="103" t="str">
        <f t="shared" si="931"/>
        <v/>
      </c>
      <c r="S2170" s="103" t="str">
        <f t="shared" si="932"/>
        <v/>
      </c>
      <c r="T2170" s="106" t="str">
        <f t="shared" si="946"/>
        <v/>
      </c>
      <c r="U2170" s="106" t="str">
        <f t="shared" si="947"/>
        <v/>
      </c>
      <c r="V2170" s="106" t="str">
        <f t="shared" si="948"/>
        <v/>
      </c>
      <c r="W2170" s="105" t="str">
        <f t="shared" si="933"/>
        <v/>
      </c>
      <c r="X2170" s="104" t="str">
        <f t="shared" si="938"/>
        <v/>
      </c>
      <c r="Y2170" s="104" t="str">
        <f t="array" ref="Y2170">IFERROR(IF(ISNUMBER(O2170),IF(COUNT(IF(A2170=$A$2:$A$2427,IF(D2170=$D$2:$D$2427,IF($X$2:$X$2427&gt;0,1))))&gt;0,SUM(IF(A2170=$A$2:$A$2427,IF(D2170=$D$2:$D$2427,$X$2:$X$2427)))/COUNT(IF(A2170=$A$2:$A$2427,IF(D2170=$D$2:$D$2427,IF(ISNUMBER($X$2:$X$2427),1)))),0),""),0)</f>
        <v/>
      </c>
      <c r="Z2170" s="104" t="str">
        <f>IF(ISNUMBER(O2170),IF(I2170&gt;0,(10^(VLOOKUP(D2170,'Species Codes'!B:C,2,0)+VLOOKUP(D2170,'Species Codes'!B:D,3,0)*LOG(E2170)+VLOOKUP(D2170,'Species Codes'!B:E,4,0)*LOG(I2170))),0),"")</f>
        <v/>
      </c>
      <c r="AA2170" s="104" t="str">
        <f>IFERROR((VLOOKUP(D2170,'Species Codes'!B:G,6,0)*Z2170)/2000,"")</f>
        <v/>
      </c>
      <c r="AB2170" s="104" t="e">
        <f>IF(Z2170&gt;0,((IF(OR(D2170="DF",D2170="RA")=TRUE,EXP(VLOOKUP(D2170,'Species Codes'!B:I,8,0)+VLOOKUP(D2170,'Species Codes'!B:J,9,0)*(LN((E2170*2.54)))),IF(OR(D2170="PY",D2170="RC",D2170="WH",D2170="NF")=TRUE,VLOOKUP(D2170,'Species Codes'!B:I,8,0)+VLOOKUP(D2170,'Species Codes'!B:J,9,0)*((E2170*2.54)^2)*(I2170*0.3048),IF(OR(D2170="MD",D2170="BM",D2170="GA")=TRUE,((VLOOKUP(D2170,'Species Codes'!B:I,8,0)*(((((E2170*2.54)+VLOOKUP(D2170,'Species Codes'!B:J,9,0))/VLOOKUP(D2170,'Species Codes'!B:K,10,0))^VLOOKUP(D2170,'Species Codes'!B:L,11,0))*((I2170*0.3048)^VLOOKUP(D2170,'Species Codes'!B:M,12,0))))-(VLOOKUP(D2170,'Species Codes'!B:I,8,0)*((((E2170*2.54)^VLOOKUP(D2170,'Species Codes'!B:L,11,0))*((I2170*0.3048)^VLOOKUP(D2170,'Species Codes'!B:M,12,0))))))*35.3*VLOOKUP(D2170,'Species Codes'!B:G,6,0)/2.2046,VLOOKUP(D2170,'Species Codes'!B:I,8,0)+VLOOKUP(D2170,'Species Codes'!B:J,9,0)*(((E2170*2.54)/100)^2)*(I2170*0.3048)))))*0.0011023),0)</f>
        <v>#N/A</v>
      </c>
      <c r="AC2170" s="104" t="e">
        <f>IF(Z2170&gt;0,((IF(OR(D2170="RA",D2170="OA",D2170="OT",D2170="UN",D2170="PC"),EXP(VLOOKUP(D2170,'Species Codes'!B:O,14,0)+VLOOKUP(D2170,'Species Codes'!B:P,15,0)*LN((E2170*2.54)))-EXP(VLOOKUP(D2170,'Species Codes'!B:O,14,0)+VLOOKUP(D2170,'Species Codes'!B:P,15,0)*LN((E2170*2.54)))*(1/(VLOOKUP(D2170,'Species Codes'!B:Q,16,0)+VLOOKUP(D2170,'Species Codes'!B:R,17,0)*((E2170*2.54)^VLOOKUP(D2170,'Species Codes'!B:S,18,0)))),IF(OR(D2170="BM",D2170="MD",D2170="OA"),EXP(VLOOKUP(D2170,'Species Codes'!B:O,14,0)+VLOOKUP(D2170,'Species Codes'!B:P,15,0)*LN((E2170*2.54)))*(1-(1/(VLOOKUP(D2170,'Species Codes'!B:Q,16,0)+VLOOKUP(D2170,'Species Codes'!B:R,17,0)*((E2170*2.54)^VLOOKUP(D2170,'Species Codes'!B:S,18,0)))))/1000,IF(D2170="DF",EXP(VLOOKUP(D2170,'Species Codes'!B:O,14,0)+VLOOKUP(D2170,'Species Codes'!B:P,15,0)*LN((E2170*2.54))),VLOOKUP(D2170,'Species Codes'!B:O,14,0)+VLOOKUP(D2170,'Species Codes'!B:P,15,0)*(((E2170*2.54)/100)^2)*(I2170*0.3048)))))*0.0011023),0)</f>
        <v>#N/A</v>
      </c>
      <c r="AD2170" s="104" t="e">
        <f t="shared" si="949"/>
        <v>#N/A</v>
      </c>
      <c r="AE2170" s="104" t="e">
        <f t="shared" si="950"/>
        <v>#N/A</v>
      </c>
      <c r="AF2170" s="104" t="e">
        <f>IF(AND(VLOOKUP($D2170,Merchantability!$B:$C,2,0)="Yes",$E2170&gt;=VLOOKUP($D2170,Merchantability!$B:$D,3,0),$E2170&lt;=VLOOKUP($D2170,Merchantability!$B:$E,4,0)),AA2170,0)</f>
        <v>#N/A</v>
      </c>
      <c r="AG2170" s="104" t="e">
        <f>IF(AND(VLOOKUP($D2170,Merchantability!$B:$C,2,0)="Yes",$E2170&gt;=VLOOKUP($D2170,Merchantability!$B:$D,3,0),$E2170&lt;=VLOOKUP($D2170,Merchantability!$B:$E,4,0)),AB2170,0)</f>
        <v>#N/A</v>
      </c>
      <c r="AH2170" s="104" t="e">
        <f>IF(AND(VLOOKUP($D2170,Merchantability!$B:$C,2,0)="Yes",$E2170&gt;=VLOOKUP($D2170,Merchantability!$B:$D,3,0),$E2170&lt;=VLOOKUP($D2170,Merchantability!$B:$E,4,0)),AC2170,0)</f>
        <v>#N/A</v>
      </c>
      <c r="AI2170" s="104" t="e">
        <f t="shared" si="951"/>
        <v>#N/A</v>
      </c>
      <c r="AJ2170" s="104" t="e">
        <f t="shared" si="952"/>
        <v>#VALUE!</v>
      </c>
      <c r="AK2170" s="104" t="e">
        <f t="shared" si="953"/>
        <v>#N/A</v>
      </c>
      <c r="AL2170" s="104" t="e">
        <f t="shared" si="954"/>
        <v>#N/A</v>
      </c>
      <c r="AM2170" s="104" t="e">
        <f t="shared" si="955"/>
        <v>#N/A</v>
      </c>
      <c r="AN2170" s="104" t="e">
        <f t="shared" si="939"/>
        <v>#N/A</v>
      </c>
      <c r="AO2170" s="104" t="e">
        <f t="shared" si="940"/>
        <v>#N/A</v>
      </c>
      <c r="AP2170" s="104" t="e">
        <f t="shared" si="941"/>
        <v>#N/A</v>
      </c>
      <c r="AQ2170" s="104" t="e">
        <f t="shared" si="942"/>
        <v>#N/A</v>
      </c>
      <c r="AR2170" s="105" t="str">
        <f t="shared" si="934"/>
        <v/>
      </c>
      <c r="AS2170" s="105" t="str">
        <f t="shared" si="935"/>
        <v/>
      </c>
      <c r="AT2170" s="108" t="str">
        <f t="shared" si="936"/>
        <v/>
      </c>
      <c r="AU2170" s="108" t="str">
        <f t="shared" si="937"/>
        <v/>
      </c>
      <c r="AV2170" s="107" t="str">
        <f>IF(ISNUMBER(O2170),IF(VLOOKUP($A2170,Stand!C:J,8,FALSE)="Short",AT2170,AU2170),"")</f>
        <v/>
      </c>
      <c r="AW2170" s="109" t="str">
        <f t="shared" si="943"/>
        <v/>
      </c>
      <c r="AX2170" s="109" t="str">
        <f t="shared" si="944"/>
        <v/>
      </c>
      <c r="AY2170" s="112" t="str">
        <f>IF(ISNUMBER(O2170),IF(AND(VLOOKUP($D2170,Merchantability!$B:$C,2,0)="Yes",$E2170&gt;=VLOOKUP($D2170,Merchantability!$B:$D,3,0),$E2170&lt;=VLOOKUP($D2170,Merchantability!$B:$E,4,0)),(AV2170*O2170)*(1-$H2170/100),""),"")</f>
        <v/>
      </c>
      <c r="AZ2170" s="116"/>
      <c r="BA2170" s="116"/>
      <c r="BB2170" s="116"/>
      <c r="BE2170" s="62"/>
      <c r="BF2170" s="63"/>
    </row>
    <row r="2171" spans="1:58" ht="12.75" customHeight="1" x14ac:dyDescent="0.25">
      <c r="A2171" s="334"/>
      <c r="B2171" s="334"/>
      <c r="C2171" s="332"/>
      <c r="D2171" s="334"/>
      <c r="E2171" s="335"/>
      <c r="F2171" s="334"/>
      <c r="G2171" s="332"/>
      <c r="H2171" s="332"/>
      <c r="I2171" s="334"/>
      <c r="J2171" s="336"/>
      <c r="K2171" s="332"/>
      <c r="L2171" s="332"/>
      <c r="M2171" s="76"/>
      <c r="N2171" s="103" t="str">
        <f>IF(A2171="","",VLOOKUP(A2171,Stand!C:K,9,0))</f>
        <v/>
      </c>
      <c r="O2171" s="104" t="str">
        <f t="shared" si="929"/>
        <v/>
      </c>
      <c r="P2171" s="105" t="str">
        <f t="shared" si="930"/>
        <v/>
      </c>
      <c r="Q2171" s="105" t="str">
        <f t="shared" si="945"/>
        <v/>
      </c>
      <c r="R2171" s="103" t="str">
        <f t="shared" si="931"/>
        <v/>
      </c>
      <c r="S2171" s="103" t="str">
        <f t="shared" si="932"/>
        <v/>
      </c>
      <c r="T2171" s="106" t="str">
        <f t="shared" si="946"/>
        <v/>
      </c>
      <c r="U2171" s="106" t="str">
        <f t="shared" si="947"/>
        <v/>
      </c>
      <c r="V2171" s="106" t="str">
        <f t="shared" si="948"/>
        <v/>
      </c>
      <c r="W2171" s="105" t="str">
        <f t="shared" si="933"/>
        <v/>
      </c>
      <c r="X2171" s="104" t="str">
        <f t="shared" si="938"/>
        <v/>
      </c>
      <c r="Y2171" s="104" t="str">
        <f t="array" ref="Y2171">IFERROR(IF(ISNUMBER(O2171),IF(COUNT(IF(A2171=$A$2:$A$2427,IF(D2171=$D$2:$D$2427,IF($X$2:$X$2427&gt;0,1))))&gt;0,SUM(IF(A2171=$A$2:$A$2427,IF(D2171=$D$2:$D$2427,$X$2:$X$2427)))/COUNT(IF(A2171=$A$2:$A$2427,IF(D2171=$D$2:$D$2427,IF(ISNUMBER($X$2:$X$2427),1)))),0),""),0)</f>
        <v/>
      </c>
      <c r="Z2171" s="104" t="str">
        <f>IF(ISNUMBER(O2171),IF(I2171&gt;0,(10^(VLOOKUP(D2171,'Species Codes'!B:C,2,0)+VLOOKUP(D2171,'Species Codes'!B:D,3,0)*LOG(E2171)+VLOOKUP(D2171,'Species Codes'!B:E,4,0)*LOG(I2171))),0),"")</f>
        <v/>
      </c>
      <c r="AA2171" s="104" t="str">
        <f>IFERROR((VLOOKUP(D2171,'Species Codes'!B:G,6,0)*Z2171)/2000,"")</f>
        <v/>
      </c>
      <c r="AB2171" s="104" t="e">
        <f>IF(Z2171&gt;0,((IF(OR(D2171="DF",D2171="RA")=TRUE,EXP(VLOOKUP(D2171,'Species Codes'!B:I,8,0)+VLOOKUP(D2171,'Species Codes'!B:J,9,0)*(LN((E2171*2.54)))),IF(OR(D2171="PY",D2171="RC",D2171="WH",D2171="NF")=TRUE,VLOOKUP(D2171,'Species Codes'!B:I,8,0)+VLOOKUP(D2171,'Species Codes'!B:J,9,0)*((E2171*2.54)^2)*(I2171*0.3048),IF(OR(D2171="MD",D2171="BM",D2171="GA")=TRUE,((VLOOKUP(D2171,'Species Codes'!B:I,8,0)*(((((E2171*2.54)+VLOOKUP(D2171,'Species Codes'!B:J,9,0))/VLOOKUP(D2171,'Species Codes'!B:K,10,0))^VLOOKUP(D2171,'Species Codes'!B:L,11,0))*((I2171*0.3048)^VLOOKUP(D2171,'Species Codes'!B:M,12,0))))-(VLOOKUP(D2171,'Species Codes'!B:I,8,0)*((((E2171*2.54)^VLOOKUP(D2171,'Species Codes'!B:L,11,0))*((I2171*0.3048)^VLOOKUP(D2171,'Species Codes'!B:M,12,0))))))*35.3*VLOOKUP(D2171,'Species Codes'!B:G,6,0)/2.2046,VLOOKUP(D2171,'Species Codes'!B:I,8,0)+VLOOKUP(D2171,'Species Codes'!B:J,9,0)*(((E2171*2.54)/100)^2)*(I2171*0.3048)))))*0.0011023),0)</f>
        <v>#N/A</v>
      </c>
      <c r="AC2171" s="104" t="e">
        <f>IF(Z2171&gt;0,((IF(OR(D2171="RA",D2171="OA",D2171="OT",D2171="UN",D2171="PC"),EXP(VLOOKUP(D2171,'Species Codes'!B:O,14,0)+VLOOKUP(D2171,'Species Codes'!B:P,15,0)*LN((E2171*2.54)))-EXP(VLOOKUP(D2171,'Species Codes'!B:O,14,0)+VLOOKUP(D2171,'Species Codes'!B:P,15,0)*LN((E2171*2.54)))*(1/(VLOOKUP(D2171,'Species Codes'!B:Q,16,0)+VLOOKUP(D2171,'Species Codes'!B:R,17,0)*((E2171*2.54)^VLOOKUP(D2171,'Species Codes'!B:S,18,0)))),IF(OR(D2171="BM",D2171="MD",D2171="OA"),EXP(VLOOKUP(D2171,'Species Codes'!B:O,14,0)+VLOOKUP(D2171,'Species Codes'!B:P,15,0)*LN((E2171*2.54)))*(1-(1/(VLOOKUP(D2171,'Species Codes'!B:Q,16,0)+VLOOKUP(D2171,'Species Codes'!B:R,17,0)*((E2171*2.54)^VLOOKUP(D2171,'Species Codes'!B:S,18,0)))))/1000,IF(D2171="DF",EXP(VLOOKUP(D2171,'Species Codes'!B:O,14,0)+VLOOKUP(D2171,'Species Codes'!B:P,15,0)*LN((E2171*2.54))),VLOOKUP(D2171,'Species Codes'!B:O,14,0)+VLOOKUP(D2171,'Species Codes'!B:P,15,0)*(((E2171*2.54)/100)^2)*(I2171*0.3048)))))*0.0011023),0)</f>
        <v>#N/A</v>
      </c>
      <c r="AD2171" s="104" t="e">
        <f t="shared" si="949"/>
        <v>#N/A</v>
      </c>
      <c r="AE2171" s="104" t="e">
        <f t="shared" si="950"/>
        <v>#N/A</v>
      </c>
      <c r="AF2171" s="104" t="e">
        <f>IF(AND(VLOOKUP($D2171,Merchantability!$B:$C,2,0)="Yes",$E2171&gt;=VLOOKUP($D2171,Merchantability!$B:$D,3,0),$E2171&lt;=VLOOKUP($D2171,Merchantability!$B:$E,4,0)),AA2171,0)</f>
        <v>#N/A</v>
      </c>
      <c r="AG2171" s="104" t="e">
        <f>IF(AND(VLOOKUP($D2171,Merchantability!$B:$C,2,0)="Yes",$E2171&gt;=VLOOKUP($D2171,Merchantability!$B:$D,3,0),$E2171&lt;=VLOOKUP($D2171,Merchantability!$B:$E,4,0)),AB2171,0)</f>
        <v>#N/A</v>
      </c>
      <c r="AH2171" s="104" t="e">
        <f>IF(AND(VLOOKUP($D2171,Merchantability!$B:$C,2,0)="Yes",$E2171&gt;=VLOOKUP($D2171,Merchantability!$B:$D,3,0),$E2171&lt;=VLOOKUP($D2171,Merchantability!$B:$E,4,0)),AC2171,0)</f>
        <v>#N/A</v>
      </c>
      <c r="AI2171" s="104" t="e">
        <f t="shared" si="951"/>
        <v>#N/A</v>
      </c>
      <c r="AJ2171" s="104" t="e">
        <f t="shared" si="952"/>
        <v>#VALUE!</v>
      </c>
      <c r="AK2171" s="104" t="e">
        <f t="shared" si="953"/>
        <v>#N/A</v>
      </c>
      <c r="AL2171" s="104" t="e">
        <f t="shared" si="954"/>
        <v>#N/A</v>
      </c>
      <c r="AM2171" s="104" t="e">
        <f t="shared" si="955"/>
        <v>#N/A</v>
      </c>
      <c r="AN2171" s="104" t="e">
        <f t="shared" si="939"/>
        <v>#N/A</v>
      </c>
      <c r="AO2171" s="104" t="e">
        <f t="shared" si="940"/>
        <v>#N/A</v>
      </c>
      <c r="AP2171" s="104" t="e">
        <f t="shared" si="941"/>
        <v>#N/A</v>
      </c>
      <c r="AQ2171" s="104" t="e">
        <f t="shared" si="942"/>
        <v>#N/A</v>
      </c>
      <c r="AR2171" s="105" t="str">
        <f t="shared" si="934"/>
        <v/>
      </c>
      <c r="AS2171" s="105" t="str">
        <f t="shared" si="935"/>
        <v/>
      </c>
      <c r="AT2171" s="108" t="str">
        <f t="shared" si="936"/>
        <v/>
      </c>
      <c r="AU2171" s="108" t="str">
        <f t="shared" si="937"/>
        <v/>
      </c>
      <c r="AV2171" s="107" t="str">
        <f>IF(ISNUMBER(O2171),IF(VLOOKUP($A2171,Stand!C:J,8,FALSE)="Short",AT2171,AU2171),"")</f>
        <v/>
      </c>
      <c r="AW2171" s="109" t="str">
        <f t="shared" si="943"/>
        <v/>
      </c>
      <c r="AX2171" s="109" t="str">
        <f t="shared" si="944"/>
        <v/>
      </c>
      <c r="AY2171" s="112" t="str">
        <f>IF(ISNUMBER(O2171),IF(AND(VLOOKUP($D2171,Merchantability!$B:$C,2,0)="Yes",$E2171&gt;=VLOOKUP($D2171,Merchantability!$B:$D,3,0),$E2171&lt;=VLOOKUP($D2171,Merchantability!$B:$E,4,0)),(AV2171*O2171)*(1-$H2171/100),""),"")</f>
        <v/>
      </c>
      <c r="AZ2171" s="116"/>
      <c r="BA2171" s="116"/>
      <c r="BB2171" s="116"/>
      <c r="BE2171" s="62"/>
      <c r="BF2171" s="63"/>
    </row>
    <row r="2172" spans="1:58" ht="12.75" customHeight="1" x14ac:dyDescent="0.25">
      <c r="A2172" s="334"/>
      <c r="B2172" s="334"/>
      <c r="C2172" s="332"/>
      <c r="D2172" s="334"/>
      <c r="E2172" s="335"/>
      <c r="F2172" s="334"/>
      <c r="G2172" s="332"/>
      <c r="H2172" s="332"/>
      <c r="I2172" s="334"/>
      <c r="J2172" s="336"/>
      <c r="K2172" s="332"/>
      <c r="L2172" s="332"/>
      <c r="M2172" s="76"/>
      <c r="N2172" s="103" t="str">
        <f>IF(A2172="","",VLOOKUP(A2172,Stand!C:K,9,0))</f>
        <v/>
      </c>
      <c r="O2172" s="104" t="str">
        <f t="shared" si="929"/>
        <v/>
      </c>
      <c r="P2172" s="105" t="str">
        <f t="shared" si="930"/>
        <v/>
      </c>
      <c r="Q2172" s="105" t="str">
        <f t="shared" si="945"/>
        <v/>
      </c>
      <c r="R2172" s="103" t="str">
        <f t="shared" si="931"/>
        <v/>
      </c>
      <c r="S2172" s="103" t="str">
        <f t="shared" si="932"/>
        <v/>
      </c>
      <c r="T2172" s="106" t="str">
        <f t="shared" si="946"/>
        <v/>
      </c>
      <c r="U2172" s="106" t="str">
        <f t="shared" si="947"/>
        <v/>
      </c>
      <c r="V2172" s="106" t="str">
        <f t="shared" si="948"/>
        <v/>
      </c>
      <c r="W2172" s="105" t="str">
        <f t="shared" si="933"/>
        <v/>
      </c>
      <c r="X2172" s="104" t="str">
        <f t="shared" si="938"/>
        <v/>
      </c>
      <c r="Y2172" s="104" t="str">
        <f t="array" ref="Y2172">IFERROR(IF(ISNUMBER(O2172),IF(COUNT(IF(A2172=$A$2:$A$2427,IF(D2172=$D$2:$D$2427,IF($X$2:$X$2427&gt;0,1))))&gt;0,SUM(IF(A2172=$A$2:$A$2427,IF(D2172=$D$2:$D$2427,$X$2:$X$2427)))/COUNT(IF(A2172=$A$2:$A$2427,IF(D2172=$D$2:$D$2427,IF(ISNUMBER($X$2:$X$2427),1)))),0),""),0)</f>
        <v/>
      </c>
      <c r="Z2172" s="104" t="str">
        <f>IF(ISNUMBER(O2172),IF(I2172&gt;0,(10^(VLOOKUP(D2172,'Species Codes'!B:C,2,0)+VLOOKUP(D2172,'Species Codes'!B:D,3,0)*LOG(E2172)+VLOOKUP(D2172,'Species Codes'!B:E,4,0)*LOG(I2172))),0),"")</f>
        <v/>
      </c>
      <c r="AA2172" s="104" t="str">
        <f>IFERROR((VLOOKUP(D2172,'Species Codes'!B:G,6,0)*Z2172)/2000,"")</f>
        <v/>
      </c>
      <c r="AB2172" s="104" t="e">
        <f>IF(Z2172&gt;0,((IF(OR(D2172="DF",D2172="RA")=TRUE,EXP(VLOOKUP(D2172,'Species Codes'!B:I,8,0)+VLOOKUP(D2172,'Species Codes'!B:J,9,0)*(LN((E2172*2.54)))),IF(OR(D2172="PY",D2172="RC",D2172="WH",D2172="NF")=TRUE,VLOOKUP(D2172,'Species Codes'!B:I,8,0)+VLOOKUP(D2172,'Species Codes'!B:J,9,0)*((E2172*2.54)^2)*(I2172*0.3048),IF(OR(D2172="MD",D2172="BM",D2172="GA")=TRUE,((VLOOKUP(D2172,'Species Codes'!B:I,8,0)*(((((E2172*2.54)+VLOOKUP(D2172,'Species Codes'!B:J,9,0))/VLOOKUP(D2172,'Species Codes'!B:K,10,0))^VLOOKUP(D2172,'Species Codes'!B:L,11,0))*((I2172*0.3048)^VLOOKUP(D2172,'Species Codes'!B:M,12,0))))-(VLOOKUP(D2172,'Species Codes'!B:I,8,0)*((((E2172*2.54)^VLOOKUP(D2172,'Species Codes'!B:L,11,0))*((I2172*0.3048)^VLOOKUP(D2172,'Species Codes'!B:M,12,0))))))*35.3*VLOOKUP(D2172,'Species Codes'!B:G,6,0)/2.2046,VLOOKUP(D2172,'Species Codes'!B:I,8,0)+VLOOKUP(D2172,'Species Codes'!B:J,9,0)*(((E2172*2.54)/100)^2)*(I2172*0.3048)))))*0.0011023),0)</f>
        <v>#N/A</v>
      </c>
      <c r="AC2172" s="104" t="e">
        <f>IF(Z2172&gt;0,((IF(OR(D2172="RA",D2172="OA",D2172="OT",D2172="UN",D2172="PC"),EXP(VLOOKUP(D2172,'Species Codes'!B:O,14,0)+VLOOKUP(D2172,'Species Codes'!B:P,15,0)*LN((E2172*2.54)))-EXP(VLOOKUP(D2172,'Species Codes'!B:O,14,0)+VLOOKUP(D2172,'Species Codes'!B:P,15,0)*LN((E2172*2.54)))*(1/(VLOOKUP(D2172,'Species Codes'!B:Q,16,0)+VLOOKUP(D2172,'Species Codes'!B:R,17,0)*((E2172*2.54)^VLOOKUP(D2172,'Species Codes'!B:S,18,0)))),IF(OR(D2172="BM",D2172="MD",D2172="OA"),EXP(VLOOKUP(D2172,'Species Codes'!B:O,14,0)+VLOOKUP(D2172,'Species Codes'!B:P,15,0)*LN((E2172*2.54)))*(1-(1/(VLOOKUP(D2172,'Species Codes'!B:Q,16,0)+VLOOKUP(D2172,'Species Codes'!B:R,17,0)*((E2172*2.54)^VLOOKUP(D2172,'Species Codes'!B:S,18,0)))))/1000,IF(D2172="DF",EXP(VLOOKUP(D2172,'Species Codes'!B:O,14,0)+VLOOKUP(D2172,'Species Codes'!B:P,15,0)*LN((E2172*2.54))),VLOOKUP(D2172,'Species Codes'!B:O,14,0)+VLOOKUP(D2172,'Species Codes'!B:P,15,0)*(((E2172*2.54)/100)^2)*(I2172*0.3048)))))*0.0011023),0)</f>
        <v>#N/A</v>
      </c>
      <c r="AD2172" s="104" t="e">
        <f t="shared" si="949"/>
        <v>#N/A</v>
      </c>
      <c r="AE2172" s="104" t="e">
        <f t="shared" si="950"/>
        <v>#N/A</v>
      </c>
      <c r="AF2172" s="104" t="e">
        <f>IF(AND(VLOOKUP($D2172,Merchantability!$B:$C,2,0)="Yes",$E2172&gt;=VLOOKUP($D2172,Merchantability!$B:$D,3,0),$E2172&lt;=VLOOKUP($D2172,Merchantability!$B:$E,4,0)),AA2172,0)</f>
        <v>#N/A</v>
      </c>
      <c r="AG2172" s="104" t="e">
        <f>IF(AND(VLOOKUP($D2172,Merchantability!$B:$C,2,0)="Yes",$E2172&gt;=VLOOKUP($D2172,Merchantability!$B:$D,3,0),$E2172&lt;=VLOOKUP($D2172,Merchantability!$B:$E,4,0)),AB2172,0)</f>
        <v>#N/A</v>
      </c>
      <c r="AH2172" s="104" t="e">
        <f>IF(AND(VLOOKUP($D2172,Merchantability!$B:$C,2,0)="Yes",$E2172&gt;=VLOOKUP($D2172,Merchantability!$B:$D,3,0),$E2172&lt;=VLOOKUP($D2172,Merchantability!$B:$E,4,0)),AC2172,0)</f>
        <v>#N/A</v>
      </c>
      <c r="AI2172" s="104" t="e">
        <f t="shared" si="951"/>
        <v>#N/A</v>
      </c>
      <c r="AJ2172" s="104" t="e">
        <f t="shared" si="952"/>
        <v>#VALUE!</v>
      </c>
      <c r="AK2172" s="104" t="e">
        <f t="shared" si="953"/>
        <v>#N/A</v>
      </c>
      <c r="AL2172" s="104" t="e">
        <f t="shared" si="954"/>
        <v>#N/A</v>
      </c>
      <c r="AM2172" s="104" t="e">
        <f t="shared" si="955"/>
        <v>#N/A</v>
      </c>
      <c r="AN2172" s="104" t="e">
        <f t="shared" si="939"/>
        <v>#N/A</v>
      </c>
      <c r="AO2172" s="104" t="e">
        <f t="shared" si="940"/>
        <v>#N/A</v>
      </c>
      <c r="AP2172" s="104" t="e">
        <f t="shared" si="941"/>
        <v>#N/A</v>
      </c>
      <c r="AQ2172" s="104" t="e">
        <f t="shared" si="942"/>
        <v>#N/A</v>
      </c>
      <c r="AR2172" s="105" t="str">
        <f t="shared" si="934"/>
        <v/>
      </c>
      <c r="AS2172" s="105" t="str">
        <f t="shared" si="935"/>
        <v/>
      </c>
      <c r="AT2172" s="108" t="str">
        <f t="shared" si="936"/>
        <v/>
      </c>
      <c r="AU2172" s="108" t="str">
        <f t="shared" si="937"/>
        <v/>
      </c>
      <c r="AV2172" s="107" t="str">
        <f>IF(ISNUMBER(O2172),IF(VLOOKUP($A2172,Stand!C:J,8,FALSE)="Short",AT2172,AU2172),"")</f>
        <v/>
      </c>
      <c r="AW2172" s="109" t="str">
        <f t="shared" si="943"/>
        <v/>
      </c>
      <c r="AX2172" s="109" t="str">
        <f t="shared" si="944"/>
        <v/>
      </c>
      <c r="AY2172" s="112" t="str">
        <f>IF(ISNUMBER(O2172),IF(AND(VLOOKUP($D2172,Merchantability!$B:$C,2,0)="Yes",$E2172&gt;=VLOOKUP($D2172,Merchantability!$B:$D,3,0),$E2172&lt;=VLOOKUP($D2172,Merchantability!$B:$E,4,0)),(AV2172*O2172)*(1-$H2172/100),""),"")</f>
        <v/>
      </c>
      <c r="AZ2172" s="116"/>
      <c r="BA2172" s="116"/>
      <c r="BB2172" s="116"/>
      <c r="BE2172" s="62"/>
      <c r="BF2172" s="63"/>
    </row>
    <row r="2173" spans="1:58" ht="12.75" customHeight="1" x14ac:dyDescent="0.25">
      <c r="A2173" s="334"/>
      <c r="B2173" s="334"/>
      <c r="C2173" s="332"/>
      <c r="D2173" s="334"/>
      <c r="E2173" s="335"/>
      <c r="F2173" s="334"/>
      <c r="G2173" s="332"/>
      <c r="H2173" s="332"/>
      <c r="I2173" s="334"/>
      <c r="J2173" s="336"/>
      <c r="K2173" s="332"/>
      <c r="L2173" s="332"/>
      <c r="M2173" s="76"/>
      <c r="N2173" s="103" t="str">
        <f>IF(A2173="","",VLOOKUP(A2173,Stand!C:K,9,0))</f>
        <v/>
      </c>
      <c r="O2173" s="104" t="str">
        <f t="shared" si="929"/>
        <v/>
      </c>
      <c r="P2173" s="105" t="str">
        <f t="shared" si="930"/>
        <v/>
      </c>
      <c r="Q2173" s="105" t="str">
        <f t="shared" si="945"/>
        <v/>
      </c>
      <c r="R2173" s="103" t="str">
        <f t="shared" si="931"/>
        <v/>
      </c>
      <c r="S2173" s="103" t="str">
        <f t="shared" si="932"/>
        <v/>
      </c>
      <c r="T2173" s="106" t="str">
        <f t="shared" si="946"/>
        <v/>
      </c>
      <c r="U2173" s="106" t="str">
        <f t="shared" si="947"/>
        <v/>
      </c>
      <c r="V2173" s="106" t="str">
        <f t="shared" si="948"/>
        <v/>
      </c>
      <c r="W2173" s="105" t="str">
        <f t="shared" si="933"/>
        <v/>
      </c>
      <c r="X2173" s="104" t="str">
        <f t="shared" si="938"/>
        <v/>
      </c>
      <c r="Y2173" s="104" t="str">
        <f t="array" ref="Y2173">IFERROR(IF(ISNUMBER(O2173),IF(COUNT(IF(A2173=$A$2:$A$2427,IF(D2173=$D$2:$D$2427,IF($X$2:$X$2427&gt;0,1))))&gt;0,SUM(IF(A2173=$A$2:$A$2427,IF(D2173=$D$2:$D$2427,$X$2:$X$2427)))/COUNT(IF(A2173=$A$2:$A$2427,IF(D2173=$D$2:$D$2427,IF(ISNUMBER($X$2:$X$2427),1)))),0),""),0)</f>
        <v/>
      </c>
      <c r="Z2173" s="104" t="str">
        <f>IF(ISNUMBER(O2173),IF(I2173&gt;0,(10^(VLOOKUP(D2173,'Species Codes'!B:C,2,0)+VLOOKUP(D2173,'Species Codes'!B:D,3,0)*LOG(E2173)+VLOOKUP(D2173,'Species Codes'!B:E,4,0)*LOG(I2173))),0),"")</f>
        <v/>
      </c>
      <c r="AA2173" s="104" t="str">
        <f>IFERROR((VLOOKUP(D2173,'Species Codes'!B:G,6,0)*Z2173)/2000,"")</f>
        <v/>
      </c>
      <c r="AB2173" s="104" t="e">
        <f>IF(Z2173&gt;0,((IF(OR(D2173="DF",D2173="RA")=TRUE,EXP(VLOOKUP(D2173,'Species Codes'!B:I,8,0)+VLOOKUP(D2173,'Species Codes'!B:J,9,0)*(LN((E2173*2.54)))),IF(OR(D2173="PY",D2173="RC",D2173="WH",D2173="NF")=TRUE,VLOOKUP(D2173,'Species Codes'!B:I,8,0)+VLOOKUP(D2173,'Species Codes'!B:J,9,0)*((E2173*2.54)^2)*(I2173*0.3048),IF(OR(D2173="MD",D2173="BM",D2173="GA")=TRUE,((VLOOKUP(D2173,'Species Codes'!B:I,8,0)*(((((E2173*2.54)+VLOOKUP(D2173,'Species Codes'!B:J,9,0))/VLOOKUP(D2173,'Species Codes'!B:K,10,0))^VLOOKUP(D2173,'Species Codes'!B:L,11,0))*((I2173*0.3048)^VLOOKUP(D2173,'Species Codes'!B:M,12,0))))-(VLOOKUP(D2173,'Species Codes'!B:I,8,0)*((((E2173*2.54)^VLOOKUP(D2173,'Species Codes'!B:L,11,0))*((I2173*0.3048)^VLOOKUP(D2173,'Species Codes'!B:M,12,0))))))*35.3*VLOOKUP(D2173,'Species Codes'!B:G,6,0)/2.2046,VLOOKUP(D2173,'Species Codes'!B:I,8,0)+VLOOKUP(D2173,'Species Codes'!B:J,9,0)*(((E2173*2.54)/100)^2)*(I2173*0.3048)))))*0.0011023),0)</f>
        <v>#N/A</v>
      </c>
      <c r="AC2173" s="104" t="e">
        <f>IF(Z2173&gt;0,((IF(OR(D2173="RA",D2173="OA",D2173="OT",D2173="UN",D2173="PC"),EXP(VLOOKUP(D2173,'Species Codes'!B:O,14,0)+VLOOKUP(D2173,'Species Codes'!B:P,15,0)*LN((E2173*2.54)))-EXP(VLOOKUP(D2173,'Species Codes'!B:O,14,0)+VLOOKUP(D2173,'Species Codes'!B:P,15,0)*LN((E2173*2.54)))*(1/(VLOOKUP(D2173,'Species Codes'!B:Q,16,0)+VLOOKUP(D2173,'Species Codes'!B:R,17,0)*((E2173*2.54)^VLOOKUP(D2173,'Species Codes'!B:S,18,0)))),IF(OR(D2173="BM",D2173="MD",D2173="OA"),EXP(VLOOKUP(D2173,'Species Codes'!B:O,14,0)+VLOOKUP(D2173,'Species Codes'!B:P,15,0)*LN((E2173*2.54)))*(1-(1/(VLOOKUP(D2173,'Species Codes'!B:Q,16,0)+VLOOKUP(D2173,'Species Codes'!B:R,17,0)*((E2173*2.54)^VLOOKUP(D2173,'Species Codes'!B:S,18,0)))))/1000,IF(D2173="DF",EXP(VLOOKUP(D2173,'Species Codes'!B:O,14,0)+VLOOKUP(D2173,'Species Codes'!B:P,15,0)*LN((E2173*2.54))),VLOOKUP(D2173,'Species Codes'!B:O,14,0)+VLOOKUP(D2173,'Species Codes'!B:P,15,0)*(((E2173*2.54)/100)^2)*(I2173*0.3048)))))*0.0011023),0)</f>
        <v>#N/A</v>
      </c>
      <c r="AD2173" s="104" t="e">
        <f t="shared" si="949"/>
        <v>#N/A</v>
      </c>
      <c r="AE2173" s="104" t="e">
        <f t="shared" si="950"/>
        <v>#N/A</v>
      </c>
      <c r="AF2173" s="104" t="e">
        <f>IF(AND(VLOOKUP($D2173,Merchantability!$B:$C,2,0)="Yes",$E2173&gt;=VLOOKUP($D2173,Merchantability!$B:$D,3,0),$E2173&lt;=VLOOKUP($D2173,Merchantability!$B:$E,4,0)),AA2173,0)</f>
        <v>#N/A</v>
      </c>
      <c r="AG2173" s="104" t="e">
        <f>IF(AND(VLOOKUP($D2173,Merchantability!$B:$C,2,0)="Yes",$E2173&gt;=VLOOKUP($D2173,Merchantability!$B:$D,3,0),$E2173&lt;=VLOOKUP($D2173,Merchantability!$B:$E,4,0)),AB2173,0)</f>
        <v>#N/A</v>
      </c>
      <c r="AH2173" s="104" t="e">
        <f>IF(AND(VLOOKUP($D2173,Merchantability!$B:$C,2,0)="Yes",$E2173&gt;=VLOOKUP($D2173,Merchantability!$B:$D,3,0),$E2173&lt;=VLOOKUP($D2173,Merchantability!$B:$E,4,0)),AC2173,0)</f>
        <v>#N/A</v>
      </c>
      <c r="AI2173" s="104" t="e">
        <f t="shared" si="951"/>
        <v>#N/A</v>
      </c>
      <c r="AJ2173" s="104" t="e">
        <f t="shared" si="952"/>
        <v>#VALUE!</v>
      </c>
      <c r="AK2173" s="104" t="e">
        <f t="shared" si="953"/>
        <v>#N/A</v>
      </c>
      <c r="AL2173" s="104" t="e">
        <f t="shared" si="954"/>
        <v>#N/A</v>
      </c>
      <c r="AM2173" s="104" t="e">
        <f t="shared" si="955"/>
        <v>#N/A</v>
      </c>
      <c r="AN2173" s="104" t="e">
        <f t="shared" si="939"/>
        <v>#N/A</v>
      </c>
      <c r="AO2173" s="104" t="e">
        <f t="shared" si="940"/>
        <v>#N/A</v>
      </c>
      <c r="AP2173" s="104" t="e">
        <f t="shared" si="941"/>
        <v>#N/A</v>
      </c>
      <c r="AQ2173" s="104" t="e">
        <f t="shared" si="942"/>
        <v>#N/A</v>
      </c>
      <c r="AR2173" s="105" t="str">
        <f t="shared" si="934"/>
        <v/>
      </c>
      <c r="AS2173" s="105" t="str">
        <f t="shared" si="935"/>
        <v/>
      </c>
      <c r="AT2173" s="108" t="str">
        <f t="shared" si="936"/>
        <v/>
      </c>
      <c r="AU2173" s="108" t="str">
        <f t="shared" si="937"/>
        <v/>
      </c>
      <c r="AV2173" s="107" t="str">
        <f>IF(ISNUMBER(O2173),IF(VLOOKUP($A2173,Stand!C:J,8,FALSE)="Short",AT2173,AU2173),"")</f>
        <v/>
      </c>
      <c r="AW2173" s="109" t="str">
        <f t="shared" si="943"/>
        <v/>
      </c>
      <c r="AX2173" s="109" t="str">
        <f t="shared" si="944"/>
        <v/>
      </c>
      <c r="AY2173" s="112" t="str">
        <f>IF(ISNUMBER(O2173),IF(AND(VLOOKUP($D2173,Merchantability!$B:$C,2,0)="Yes",$E2173&gt;=VLOOKUP($D2173,Merchantability!$B:$D,3,0),$E2173&lt;=VLOOKUP($D2173,Merchantability!$B:$E,4,0)),(AV2173*O2173)*(1-$H2173/100),""),"")</f>
        <v/>
      </c>
      <c r="AZ2173" s="116"/>
      <c r="BA2173" s="116"/>
      <c r="BB2173" s="116"/>
      <c r="BE2173" s="62"/>
      <c r="BF2173" s="63"/>
    </row>
    <row r="2174" spans="1:58" ht="12.75" customHeight="1" x14ac:dyDescent="0.25">
      <c r="A2174" s="334"/>
      <c r="B2174" s="334"/>
      <c r="C2174" s="332"/>
      <c r="D2174" s="334"/>
      <c r="E2174" s="335"/>
      <c r="F2174" s="334"/>
      <c r="G2174" s="332"/>
      <c r="H2174" s="332"/>
      <c r="I2174" s="334"/>
      <c r="J2174" s="336"/>
      <c r="K2174" s="332"/>
      <c r="L2174" s="332"/>
      <c r="M2174" s="76"/>
      <c r="N2174" s="103" t="str">
        <f>IF(A2174="","",VLOOKUP(A2174,Stand!C:K,9,0))</f>
        <v/>
      </c>
      <c r="O2174" s="104" t="str">
        <f t="shared" si="929"/>
        <v/>
      </c>
      <c r="P2174" s="105" t="str">
        <f t="shared" si="930"/>
        <v/>
      </c>
      <c r="Q2174" s="105" t="str">
        <f t="shared" si="945"/>
        <v/>
      </c>
      <c r="R2174" s="103" t="str">
        <f t="shared" si="931"/>
        <v/>
      </c>
      <c r="S2174" s="103" t="str">
        <f t="shared" si="932"/>
        <v/>
      </c>
      <c r="T2174" s="106" t="str">
        <f t="shared" si="946"/>
        <v/>
      </c>
      <c r="U2174" s="106" t="str">
        <f t="shared" si="947"/>
        <v/>
      </c>
      <c r="V2174" s="106" t="str">
        <f t="shared" si="948"/>
        <v/>
      </c>
      <c r="W2174" s="105" t="str">
        <f t="shared" si="933"/>
        <v/>
      </c>
      <c r="X2174" s="104" t="str">
        <f t="shared" si="938"/>
        <v/>
      </c>
      <c r="Y2174" s="104" t="str">
        <f t="array" ref="Y2174">IFERROR(IF(ISNUMBER(O2174),IF(COUNT(IF(A2174=$A$2:$A$2427,IF(D2174=$D$2:$D$2427,IF($X$2:$X$2427&gt;0,1))))&gt;0,SUM(IF(A2174=$A$2:$A$2427,IF(D2174=$D$2:$D$2427,$X$2:$X$2427)))/COUNT(IF(A2174=$A$2:$A$2427,IF(D2174=$D$2:$D$2427,IF(ISNUMBER($X$2:$X$2427),1)))),0),""),0)</f>
        <v/>
      </c>
      <c r="Z2174" s="104" t="str">
        <f>IF(ISNUMBER(O2174),IF(I2174&gt;0,(10^(VLOOKUP(D2174,'Species Codes'!B:C,2,0)+VLOOKUP(D2174,'Species Codes'!B:D,3,0)*LOG(E2174)+VLOOKUP(D2174,'Species Codes'!B:E,4,0)*LOG(I2174))),0),"")</f>
        <v/>
      </c>
      <c r="AA2174" s="104" t="str">
        <f>IFERROR((VLOOKUP(D2174,'Species Codes'!B:G,6,0)*Z2174)/2000,"")</f>
        <v/>
      </c>
      <c r="AB2174" s="104" t="e">
        <f>IF(Z2174&gt;0,((IF(OR(D2174="DF",D2174="RA")=TRUE,EXP(VLOOKUP(D2174,'Species Codes'!B:I,8,0)+VLOOKUP(D2174,'Species Codes'!B:J,9,0)*(LN((E2174*2.54)))),IF(OR(D2174="PY",D2174="RC",D2174="WH",D2174="NF")=TRUE,VLOOKUP(D2174,'Species Codes'!B:I,8,0)+VLOOKUP(D2174,'Species Codes'!B:J,9,0)*((E2174*2.54)^2)*(I2174*0.3048),IF(OR(D2174="MD",D2174="BM",D2174="GA")=TRUE,((VLOOKUP(D2174,'Species Codes'!B:I,8,0)*(((((E2174*2.54)+VLOOKUP(D2174,'Species Codes'!B:J,9,0))/VLOOKUP(D2174,'Species Codes'!B:K,10,0))^VLOOKUP(D2174,'Species Codes'!B:L,11,0))*((I2174*0.3048)^VLOOKUP(D2174,'Species Codes'!B:M,12,0))))-(VLOOKUP(D2174,'Species Codes'!B:I,8,0)*((((E2174*2.54)^VLOOKUP(D2174,'Species Codes'!B:L,11,0))*((I2174*0.3048)^VLOOKUP(D2174,'Species Codes'!B:M,12,0))))))*35.3*VLOOKUP(D2174,'Species Codes'!B:G,6,0)/2.2046,VLOOKUP(D2174,'Species Codes'!B:I,8,0)+VLOOKUP(D2174,'Species Codes'!B:J,9,0)*(((E2174*2.54)/100)^2)*(I2174*0.3048)))))*0.0011023),0)</f>
        <v>#N/A</v>
      </c>
      <c r="AC2174" s="104" t="e">
        <f>IF(Z2174&gt;0,((IF(OR(D2174="RA",D2174="OA",D2174="OT",D2174="UN",D2174="PC"),EXP(VLOOKUP(D2174,'Species Codes'!B:O,14,0)+VLOOKUP(D2174,'Species Codes'!B:P,15,0)*LN((E2174*2.54)))-EXP(VLOOKUP(D2174,'Species Codes'!B:O,14,0)+VLOOKUP(D2174,'Species Codes'!B:P,15,0)*LN((E2174*2.54)))*(1/(VLOOKUP(D2174,'Species Codes'!B:Q,16,0)+VLOOKUP(D2174,'Species Codes'!B:R,17,0)*((E2174*2.54)^VLOOKUP(D2174,'Species Codes'!B:S,18,0)))),IF(OR(D2174="BM",D2174="MD",D2174="OA"),EXP(VLOOKUP(D2174,'Species Codes'!B:O,14,0)+VLOOKUP(D2174,'Species Codes'!B:P,15,0)*LN((E2174*2.54)))*(1-(1/(VLOOKUP(D2174,'Species Codes'!B:Q,16,0)+VLOOKUP(D2174,'Species Codes'!B:R,17,0)*((E2174*2.54)^VLOOKUP(D2174,'Species Codes'!B:S,18,0)))))/1000,IF(D2174="DF",EXP(VLOOKUP(D2174,'Species Codes'!B:O,14,0)+VLOOKUP(D2174,'Species Codes'!B:P,15,0)*LN((E2174*2.54))),VLOOKUP(D2174,'Species Codes'!B:O,14,0)+VLOOKUP(D2174,'Species Codes'!B:P,15,0)*(((E2174*2.54)/100)^2)*(I2174*0.3048)))))*0.0011023),0)</f>
        <v>#N/A</v>
      </c>
      <c r="AD2174" s="104" t="e">
        <f t="shared" si="949"/>
        <v>#N/A</v>
      </c>
      <c r="AE2174" s="104" t="e">
        <f t="shared" si="950"/>
        <v>#N/A</v>
      </c>
      <c r="AF2174" s="104" t="e">
        <f>IF(AND(VLOOKUP($D2174,Merchantability!$B:$C,2,0)="Yes",$E2174&gt;=VLOOKUP($D2174,Merchantability!$B:$D,3,0),$E2174&lt;=VLOOKUP($D2174,Merchantability!$B:$E,4,0)),AA2174,0)</f>
        <v>#N/A</v>
      </c>
      <c r="AG2174" s="104" t="e">
        <f>IF(AND(VLOOKUP($D2174,Merchantability!$B:$C,2,0)="Yes",$E2174&gt;=VLOOKUP($D2174,Merchantability!$B:$D,3,0),$E2174&lt;=VLOOKUP($D2174,Merchantability!$B:$E,4,0)),AB2174,0)</f>
        <v>#N/A</v>
      </c>
      <c r="AH2174" s="104" t="e">
        <f>IF(AND(VLOOKUP($D2174,Merchantability!$B:$C,2,0)="Yes",$E2174&gt;=VLOOKUP($D2174,Merchantability!$B:$D,3,0),$E2174&lt;=VLOOKUP($D2174,Merchantability!$B:$E,4,0)),AC2174,0)</f>
        <v>#N/A</v>
      </c>
      <c r="AI2174" s="104" t="e">
        <f t="shared" si="951"/>
        <v>#N/A</v>
      </c>
      <c r="AJ2174" s="104" t="e">
        <f t="shared" si="952"/>
        <v>#VALUE!</v>
      </c>
      <c r="AK2174" s="104" t="e">
        <f t="shared" si="953"/>
        <v>#N/A</v>
      </c>
      <c r="AL2174" s="104" t="e">
        <f t="shared" si="954"/>
        <v>#N/A</v>
      </c>
      <c r="AM2174" s="104" t="e">
        <f t="shared" si="955"/>
        <v>#N/A</v>
      </c>
      <c r="AN2174" s="104" t="e">
        <f t="shared" si="939"/>
        <v>#N/A</v>
      </c>
      <c r="AO2174" s="104" t="e">
        <f t="shared" si="940"/>
        <v>#N/A</v>
      </c>
      <c r="AP2174" s="104" t="e">
        <f t="shared" si="941"/>
        <v>#N/A</v>
      </c>
      <c r="AQ2174" s="104" t="e">
        <f t="shared" si="942"/>
        <v>#N/A</v>
      </c>
      <c r="AR2174" s="105" t="str">
        <f t="shared" si="934"/>
        <v/>
      </c>
      <c r="AS2174" s="105" t="str">
        <f t="shared" si="935"/>
        <v/>
      </c>
      <c r="AT2174" s="108" t="str">
        <f t="shared" si="936"/>
        <v/>
      </c>
      <c r="AU2174" s="108" t="str">
        <f t="shared" si="937"/>
        <v/>
      </c>
      <c r="AV2174" s="107" t="str">
        <f>IF(ISNUMBER(O2174),IF(VLOOKUP($A2174,Stand!C:J,8,FALSE)="Short",AT2174,AU2174),"")</f>
        <v/>
      </c>
      <c r="AW2174" s="109" t="str">
        <f t="shared" si="943"/>
        <v/>
      </c>
      <c r="AX2174" s="109" t="str">
        <f t="shared" si="944"/>
        <v/>
      </c>
      <c r="AY2174" s="112" t="str">
        <f>IF(ISNUMBER(O2174),IF(AND(VLOOKUP($D2174,Merchantability!$B:$C,2,0)="Yes",$E2174&gt;=VLOOKUP($D2174,Merchantability!$B:$D,3,0),$E2174&lt;=VLOOKUP($D2174,Merchantability!$B:$E,4,0)),(AV2174*O2174)*(1-$H2174/100),""),"")</f>
        <v/>
      </c>
      <c r="AZ2174" s="116"/>
      <c r="BA2174" s="116"/>
      <c r="BB2174" s="116"/>
      <c r="BE2174" s="62"/>
      <c r="BF2174" s="63"/>
    </row>
    <row r="2175" spans="1:58" ht="12.75" customHeight="1" x14ac:dyDescent="0.25">
      <c r="A2175" s="334"/>
      <c r="B2175" s="334"/>
      <c r="C2175" s="332"/>
      <c r="D2175" s="334"/>
      <c r="E2175" s="335"/>
      <c r="F2175" s="334"/>
      <c r="G2175" s="332"/>
      <c r="H2175" s="332"/>
      <c r="I2175" s="334"/>
      <c r="J2175" s="336"/>
      <c r="K2175" s="332"/>
      <c r="L2175" s="332"/>
      <c r="M2175" s="76"/>
      <c r="N2175" s="103" t="str">
        <f>IF(A2175="","",VLOOKUP(A2175,Stand!C:K,9,0))</f>
        <v/>
      </c>
      <c r="O2175" s="104" t="str">
        <f t="shared" si="929"/>
        <v/>
      </c>
      <c r="P2175" s="105" t="str">
        <f t="shared" si="930"/>
        <v/>
      </c>
      <c r="Q2175" s="105" t="str">
        <f t="shared" si="945"/>
        <v/>
      </c>
      <c r="R2175" s="103" t="str">
        <f t="shared" si="931"/>
        <v/>
      </c>
      <c r="S2175" s="103" t="str">
        <f t="shared" si="932"/>
        <v/>
      </c>
      <c r="T2175" s="106" t="str">
        <f t="shared" si="946"/>
        <v/>
      </c>
      <c r="U2175" s="106" t="str">
        <f t="shared" si="947"/>
        <v/>
      </c>
      <c r="V2175" s="106" t="str">
        <f t="shared" si="948"/>
        <v/>
      </c>
      <c r="W2175" s="105" t="str">
        <f t="shared" si="933"/>
        <v/>
      </c>
      <c r="X2175" s="104" t="str">
        <f t="shared" si="938"/>
        <v/>
      </c>
      <c r="Y2175" s="104" t="str">
        <f t="array" ref="Y2175">IFERROR(IF(ISNUMBER(O2175),IF(COUNT(IF(A2175=$A$2:$A$2427,IF(D2175=$D$2:$D$2427,IF($X$2:$X$2427&gt;0,1))))&gt;0,SUM(IF(A2175=$A$2:$A$2427,IF(D2175=$D$2:$D$2427,$X$2:$X$2427)))/COUNT(IF(A2175=$A$2:$A$2427,IF(D2175=$D$2:$D$2427,IF(ISNUMBER($X$2:$X$2427),1)))),0),""),0)</f>
        <v/>
      </c>
      <c r="Z2175" s="104" t="str">
        <f>IF(ISNUMBER(O2175),IF(I2175&gt;0,(10^(VLOOKUP(D2175,'Species Codes'!B:C,2,0)+VLOOKUP(D2175,'Species Codes'!B:D,3,0)*LOG(E2175)+VLOOKUP(D2175,'Species Codes'!B:E,4,0)*LOG(I2175))),0),"")</f>
        <v/>
      </c>
      <c r="AA2175" s="104" t="str">
        <f>IFERROR((VLOOKUP(D2175,'Species Codes'!B:G,6,0)*Z2175)/2000,"")</f>
        <v/>
      </c>
      <c r="AB2175" s="104" t="e">
        <f>IF(Z2175&gt;0,((IF(OR(D2175="DF",D2175="RA")=TRUE,EXP(VLOOKUP(D2175,'Species Codes'!B:I,8,0)+VLOOKUP(D2175,'Species Codes'!B:J,9,0)*(LN((E2175*2.54)))),IF(OR(D2175="PY",D2175="RC",D2175="WH",D2175="NF")=TRUE,VLOOKUP(D2175,'Species Codes'!B:I,8,0)+VLOOKUP(D2175,'Species Codes'!B:J,9,0)*((E2175*2.54)^2)*(I2175*0.3048),IF(OR(D2175="MD",D2175="BM",D2175="GA")=TRUE,((VLOOKUP(D2175,'Species Codes'!B:I,8,0)*(((((E2175*2.54)+VLOOKUP(D2175,'Species Codes'!B:J,9,0))/VLOOKUP(D2175,'Species Codes'!B:K,10,0))^VLOOKUP(D2175,'Species Codes'!B:L,11,0))*((I2175*0.3048)^VLOOKUP(D2175,'Species Codes'!B:M,12,0))))-(VLOOKUP(D2175,'Species Codes'!B:I,8,0)*((((E2175*2.54)^VLOOKUP(D2175,'Species Codes'!B:L,11,0))*((I2175*0.3048)^VLOOKUP(D2175,'Species Codes'!B:M,12,0))))))*35.3*VLOOKUP(D2175,'Species Codes'!B:G,6,0)/2.2046,VLOOKUP(D2175,'Species Codes'!B:I,8,0)+VLOOKUP(D2175,'Species Codes'!B:J,9,0)*(((E2175*2.54)/100)^2)*(I2175*0.3048)))))*0.0011023),0)</f>
        <v>#N/A</v>
      </c>
      <c r="AC2175" s="104" t="e">
        <f>IF(Z2175&gt;0,((IF(OR(D2175="RA",D2175="OA",D2175="OT",D2175="UN",D2175="PC"),EXP(VLOOKUP(D2175,'Species Codes'!B:O,14,0)+VLOOKUP(D2175,'Species Codes'!B:P,15,0)*LN((E2175*2.54)))-EXP(VLOOKUP(D2175,'Species Codes'!B:O,14,0)+VLOOKUP(D2175,'Species Codes'!B:P,15,0)*LN((E2175*2.54)))*(1/(VLOOKUP(D2175,'Species Codes'!B:Q,16,0)+VLOOKUP(D2175,'Species Codes'!B:R,17,0)*((E2175*2.54)^VLOOKUP(D2175,'Species Codes'!B:S,18,0)))),IF(OR(D2175="BM",D2175="MD",D2175="OA"),EXP(VLOOKUP(D2175,'Species Codes'!B:O,14,0)+VLOOKUP(D2175,'Species Codes'!B:P,15,0)*LN((E2175*2.54)))*(1-(1/(VLOOKUP(D2175,'Species Codes'!B:Q,16,0)+VLOOKUP(D2175,'Species Codes'!B:R,17,0)*((E2175*2.54)^VLOOKUP(D2175,'Species Codes'!B:S,18,0)))))/1000,IF(D2175="DF",EXP(VLOOKUP(D2175,'Species Codes'!B:O,14,0)+VLOOKUP(D2175,'Species Codes'!B:P,15,0)*LN((E2175*2.54))),VLOOKUP(D2175,'Species Codes'!B:O,14,0)+VLOOKUP(D2175,'Species Codes'!B:P,15,0)*(((E2175*2.54)/100)^2)*(I2175*0.3048)))))*0.0011023),0)</f>
        <v>#N/A</v>
      </c>
      <c r="AD2175" s="104" t="e">
        <f t="shared" si="949"/>
        <v>#N/A</v>
      </c>
      <c r="AE2175" s="104" t="e">
        <f t="shared" si="950"/>
        <v>#N/A</v>
      </c>
      <c r="AF2175" s="104" t="e">
        <f>IF(AND(VLOOKUP($D2175,Merchantability!$B:$C,2,0)="Yes",$E2175&gt;=VLOOKUP($D2175,Merchantability!$B:$D,3,0),$E2175&lt;=VLOOKUP($D2175,Merchantability!$B:$E,4,0)),AA2175,0)</f>
        <v>#N/A</v>
      </c>
      <c r="AG2175" s="104" t="e">
        <f>IF(AND(VLOOKUP($D2175,Merchantability!$B:$C,2,0)="Yes",$E2175&gt;=VLOOKUP($D2175,Merchantability!$B:$D,3,0),$E2175&lt;=VLOOKUP($D2175,Merchantability!$B:$E,4,0)),AB2175,0)</f>
        <v>#N/A</v>
      </c>
      <c r="AH2175" s="104" t="e">
        <f>IF(AND(VLOOKUP($D2175,Merchantability!$B:$C,2,0)="Yes",$E2175&gt;=VLOOKUP($D2175,Merchantability!$B:$D,3,0),$E2175&lt;=VLOOKUP($D2175,Merchantability!$B:$E,4,0)),AC2175,0)</f>
        <v>#N/A</v>
      </c>
      <c r="AI2175" s="104" t="e">
        <f t="shared" si="951"/>
        <v>#N/A</v>
      </c>
      <c r="AJ2175" s="104" t="e">
        <f t="shared" si="952"/>
        <v>#VALUE!</v>
      </c>
      <c r="AK2175" s="104" t="e">
        <f t="shared" si="953"/>
        <v>#N/A</v>
      </c>
      <c r="AL2175" s="104" t="e">
        <f t="shared" si="954"/>
        <v>#N/A</v>
      </c>
      <c r="AM2175" s="104" t="e">
        <f t="shared" si="955"/>
        <v>#N/A</v>
      </c>
      <c r="AN2175" s="104" t="e">
        <f t="shared" si="939"/>
        <v>#N/A</v>
      </c>
      <c r="AO2175" s="104" t="e">
        <f t="shared" si="940"/>
        <v>#N/A</v>
      </c>
      <c r="AP2175" s="104" t="e">
        <f t="shared" si="941"/>
        <v>#N/A</v>
      </c>
      <c r="AQ2175" s="104" t="e">
        <f t="shared" si="942"/>
        <v>#N/A</v>
      </c>
      <c r="AR2175" s="105" t="str">
        <f t="shared" si="934"/>
        <v/>
      </c>
      <c r="AS2175" s="105" t="str">
        <f t="shared" si="935"/>
        <v/>
      </c>
      <c r="AT2175" s="108" t="str">
        <f t="shared" si="936"/>
        <v/>
      </c>
      <c r="AU2175" s="108" t="str">
        <f t="shared" si="937"/>
        <v/>
      </c>
      <c r="AV2175" s="107" t="str">
        <f>IF(ISNUMBER(O2175),IF(VLOOKUP($A2175,Stand!C:J,8,FALSE)="Short",AT2175,AU2175),"")</f>
        <v/>
      </c>
      <c r="AW2175" s="109" t="str">
        <f t="shared" si="943"/>
        <v/>
      </c>
      <c r="AX2175" s="109" t="str">
        <f t="shared" si="944"/>
        <v/>
      </c>
      <c r="AY2175" s="112" t="str">
        <f>IF(ISNUMBER(O2175),IF(AND(VLOOKUP($D2175,Merchantability!$B:$C,2,0)="Yes",$E2175&gt;=VLOOKUP($D2175,Merchantability!$B:$D,3,0),$E2175&lt;=VLOOKUP($D2175,Merchantability!$B:$E,4,0)),(AV2175*O2175)*(1-$H2175/100),""),"")</f>
        <v/>
      </c>
      <c r="AZ2175" s="116"/>
      <c r="BA2175" s="116"/>
      <c r="BB2175" s="116"/>
      <c r="BE2175" s="62"/>
      <c r="BF2175" s="63"/>
    </row>
    <row r="2176" spans="1:58" ht="12.75" customHeight="1" x14ac:dyDescent="0.25">
      <c r="A2176" s="334"/>
      <c r="B2176" s="334"/>
      <c r="C2176" s="332"/>
      <c r="D2176" s="334"/>
      <c r="E2176" s="335"/>
      <c r="F2176" s="334"/>
      <c r="G2176" s="332"/>
      <c r="H2176" s="332"/>
      <c r="I2176" s="334"/>
      <c r="J2176" s="336"/>
      <c r="K2176" s="332"/>
      <c r="L2176" s="332"/>
      <c r="M2176" s="76"/>
      <c r="N2176" s="103" t="str">
        <f>IF(A2176="","",VLOOKUP(A2176,Stand!C:K,9,0))</f>
        <v/>
      </c>
      <c r="O2176" s="104" t="str">
        <f t="shared" si="929"/>
        <v/>
      </c>
      <c r="P2176" s="105" t="str">
        <f t="shared" si="930"/>
        <v/>
      </c>
      <c r="Q2176" s="105" t="str">
        <f t="shared" si="945"/>
        <v/>
      </c>
      <c r="R2176" s="103" t="str">
        <f t="shared" si="931"/>
        <v/>
      </c>
      <c r="S2176" s="103" t="str">
        <f t="shared" si="932"/>
        <v/>
      </c>
      <c r="T2176" s="106" t="str">
        <f t="shared" si="946"/>
        <v/>
      </c>
      <c r="U2176" s="106" t="str">
        <f t="shared" si="947"/>
        <v/>
      </c>
      <c r="V2176" s="106" t="str">
        <f t="shared" si="948"/>
        <v/>
      </c>
      <c r="W2176" s="105" t="str">
        <f t="shared" si="933"/>
        <v/>
      </c>
      <c r="X2176" s="104" t="str">
        <f t="shared" si="938"/>
        <v/>
      </c>
      <c r="Y2176" s="104" t="str">
        <f t="array" ref="Y2176">IFERROR(IF(ISNUMBER(O2176),IF(COUNT(IF(A2176=$A$2:$A$2427,IF(D2176=$D$2:$D$2427,IF($X$2:$X$2427&gt;0,1))))&gt;0,SUM(IF(A2176=$A$2:$A$2427,IF(D2176=$D$2:$D$2427,$X$2:$X$2427)))/COUNT(IF(A2176=$A$2:$A$2427,IF(D2176=$D$2:$D$2427,IF(ISNUMBER($X$2:$X$2427),1)))),0),""),0)</f>
        <v/>
      </c>
      <c r="Z2176" s="104" t="str">
        <f>IF(ISNUMBER(O2176),IF(I2176&gt;0,(10^(VLOOKUP(D2176,'Species Codes'!B:C,2,0)+VLOOKUP(D2176,'Species Codes'!B:D,3,0)*LOG(E2176)+VLOOKUP(D2176,'Species Codes'!B:E,4,0)*LOG(I2176))),0),"")</f>
        <v/>
      </c>
      <c r="AA2176" s="104" t="str">
        <f>IFERROR((VLOOKUP(D2176,'Species Codes'!B:G,6,0)*Z2176)/2000,"")</f>
        <v/>
      </c>
      <c r="AB2176" s="104" t="e">
        <f>IF(Z2176&gt;0,((IF(OR(D2176="DF",D2176="RA")=TRUE,EXP(VLOOKUP(D2176,'Species Codes'!B:I,8,0)+VLOOKUP(D2176,'Species Codes'!B:J,9,0)*(LN((E2176*2.54)))),IF(OR(D2176="PY",D2176="RC",D2176="WH",D2176="NF")=TRUE,VLOOKUP(D2176,'Species Codes'!B:I,8,0)+VLOOKUP(D2176,'Species Codes'!B:J,9,0)*((E2176*2.54)^2)*(I2176*0.3048),IF(OR(D2176="MD",D2176="BM",D2176="GA")=TRUE,((VLOOKUP(D2176,'Species Codes'!B:I,8,0)*(((((E2176*2.54)+VLOOKUP(D2176,'Species Codes'!B:J,9,0))/VLOOKUP(D2176,'Species Codes'!B:K,10,0))^VLOOKUP(D2176,'Species Codes'!B:L,11,0))*((I2176*0.3048)^VLOOKUP(D2176,'Species Codes'!B:M,12,0))))-(VLOOKUP(D2176,'Species Codes'!B:I,8,0)*((((E2176*2.54)^VLOOKUP(D2176,'Species Codes'!B:L,11,0))*((I2176*0.3048)^VLOOKUP(D2176,'Species Codes'!B:M,12,0))))))*35.3*VLOOKUP(D2176,'Species Codes'!B:G,6,0)/2.2046,VLOOKUP(D2176,'Species Codes'!B:I,8,0)+VLOOKUP(D2176,'Species Codes'!B:J,9,0)*(((E2176*2.54)/100)^2)*(I2176*0.3048)))))*0.0011023),0)</f>
        <v>#N/A</v>
      </c>
      <c r="AC2176" s="104" t="e">
        <f>IF(Z2176&gt;0,((IF(OR(D2176="RA",D2176="OA",D2176="OT",D2176="UN",D2176="PC"),EXP(VLOOKUP(D2176,'Species Codes'!B:O,14,0)+VLOOKUP(D2176,'Species Codes'!B:P,15,0)*LN((E2176*2.54)))-EXP(VLOOKUP(D2176,'Species Codes'!B:O,14,0)+VLOOKUP(D2176,'Species Codes'!B:P,15,0)*LN((E2176*2.54)))*(1/(VLOOKUP(D2176,'Species Codes'!B:Q,16,0)+VLOOKUP(D2176,'Species Codes'!B:R,17,0)*((E2176*2.54)^VLOOKUP(D2176,'Species Codes'!B:S,18,0)))),IF(OR(D2176="BM",D2176="MD",D2176="OA"),EXP(VLOOKUP(D2176,'Species Codes'!B:O,14,0)+VLOOKUP(D2176,'Species Codes'!B:P,15,0)*LN((E2176*2.54)))*(1-(1/(VLOOKUP(D2176,'Species Codes'!B:Q,16,0)+VLOOKUP(D2176,'Species Codes'!B:R,17,0)*((E2176*2.54)^VLOOKUP(D2176,'Species Codes'!B:S,18,0)))))/1000,IF(D2176="DF",EXP(VLOOKUP(D2176,'Species Codes'!B:O,14,0)+VLOOKUP(D2176,'Species Codes'!B:P,15,0)*LN((E2176*2.54))),VLOOKUP(D2176,'Species Codes'!B:O,14,0)+VLOOKUP(D2176,'Species Codes'!B:P,15,0)*(((E2176*2.54)/100)^2)*(I2176*0.3048)))))*0.0011023),0)</f>
        <v>#N/A</v>
      </c>
      <c r="AD2176" s="104" t="e">
        <f t="shared" si="949"/>
        <v>#N/A</v>
      </c>
      <c r="AE2176" s="104" t="e">
        <f t="shared" si="950"/>
        <v>#N/A</v>
      </c>
      <c r="AF2176" s="104" t="e">
        <f>IF(AND(VLOOKUP($D2176,Merchantability!$B:$C,2,0)="Yes",$E2176&gt;=VLOOKUP($D2176,Merchantability!$B:$D,3,0),$E2176&lt;=VLOOKUP($D2176,Merchantability!$B:$E,4,0)),AA2176,0)</f>
        <v>#N/A</v>
      </c>
      <c r="AG2176" s="104" t="e">
        <f>IF(AND(VLOOKUP($D2176,Merchantability!$B:$C,2,0)="Yes",$E2176&gt;=VLOOKUP($D2176,Merchantability!$B:$D,3,0),$E2176&lt;=VLOOKUP($D2176,Merchantability!$B:$E,4,0)),AB2176,0)</f>
        <v>#N/A</v>
      </c>
      <c r="AH2176" s="104" t="e">
        <f>IF(AND(VLOOKUP($D2176,Merchantability!$B:$C,2,0)="Yes",$E2176&gt;=VLOOKUP($D2176,Merchantability!$B:$D,3,0),$E2176&lt;=VLOOKUP($D2176,Merchantability!$B:$E,4,0)),AC2176,0)</f>
        <v>#N/A</v>
      </c>
      <c r="AI2176" s="104" t="e">
        <f t="shared" si="951"/>
        <v>#N/A</v>
      </c>
      <c r="AJ2176" s="104" t="e">
        <f t="shared" si="952"/>
        <v>#VALUE!</v>
      </c>
      <c r="AK2176" s="104" t="e">
        <f t="shared" si="953"/>
        <v>#N/A</v>
      </c>
      <c r="AL2176" s="104" t="e">
        <f t="shared" si="954"/>
        <v>#N/A</v>
      </c>
      <c r="AM2176" s="104" t="e">
        <f t="shared" si="955"/>
        <v>#N/A</v>
      </c>
      <c r="AN2176" s="104" t="e">
        <f t="shared" si="939"/>
        <v>#N/A</v>
      </c>
      <c r="AO2176" s="104" t="e">
        <f t="shared" si="940"/>
        <v>#N/A</v>
      </c>
      <c r="AP2176" s="104" t="e">
        <f t="shared" si="941"/>
        <v>#N/A</v>
      </c>
      <c r="AQ2176" s="104" t="e">
        <f t="shared" si="942"/>
        <v>#N/A</v>
      </c>
      <c r="AR2176" s="105" t="str">
        <f t="shared" si="934"/>
        <v/>
      </c>
      <c r="AS2176" s="105" t="str">
        <f t="shared" si="935"/>
        <v/>
      </c>
      <c r="AT2176" s="108" t="str">
        <f t="shared" si="936"/>
        <v/>
      </c>
      <c r="AU2176" s="108" t="str">
        <f t="shared" si="937"/>
        <v/>
      </c>
      <c r="AV2176" s="107" t="str">
        <f>IF(ISNUMBER(O2176),IF(VLOOKUP($A2176,Stand!C:J,8,FALSE)="Short",AT2176,AU2176),"")</f>
        <v/>
      </c>
      <c r="AW2176" s="109" t="str">
        <f t="shared" si="943"/>
        <v/>
      </c>
      <c r="AX2176" s="109" t="str">
        <f t="shared" si="944"/>
        <v/>
      </c>
      <c r="AY2176" s="112" t="str">
        <f>IF(ISNUMBER(O2176),IF(AND(VLOOKUP($D2176,Merchantability!$B:$C,2,0)="Yes",$E2176&gt;=VLOOKUP($D2176,Merchantability!$B:$D,3,0),$E2176&lt;=VLOOKUP($D2176,Merchantability!$B:$E,4,0)),(AV2176*O2176)*(1-$H2176/100),""),"")</f>
        <v/>
      </c>
      <c r="AZ2176" s="116"/>
      <c r="BA2176" s="116"/>
      <c r="BB2176" s="116"/>
      <c r="BE2176" s="62"/>
      <c r="BF2176" s="63"/>
    </row>
    <row r="2177" spans="1:58" ht="12.75" customHeight="1" x14ac:dyDescent="0.25">
      <c r="A2177" s="334"/>
      <c r="B2177" s="334"/>
      <c r="C2177" s="332"/>
      <c r="D2177" s="334"/>
      <c r="E2177" s="335"/>
      <c r="F2177" s="334"/>
      <c r="G2177" s="332"/>
      <c r="H2177" s="332"/>
      <c r="I2177" s="334"/>
      <c r="J2177" s="336"/>
      <c r="K2177" s="332"/>
      <c r="L2177" s="332"/>
      <c r="M2177" s="76"/>
      <c r="N2177" s="103" t="str">
        <f>IF(A2177="","",VLOOKUP(A2177,Stand!C:K,9,0))</f>
        <v/>
      </c>
      <c r="O2177" s="104" t="str">
        <f t="shared" si="929"/>
        <v/>
      </c>
      <c r="P2177" s="105" t="str">
        <f t="shared" si="930"/>
        <v/>
      </c>
      <c r="Q2177" s="105" t="str">
        <f t="shared" si="945"/>
        <v/>
      </c>
      <c r="R2177" s="103" t="str">
        <f t="shared" si="931"/>
        <v/>
      </c>
      <c r="S2177" s="103" t="str">
        <f t="shared" si="932"/>
        <v/>
      </c>
      <c r="T2177" s="106" t="str">
        <f t="shared" si="946"/>
        <v/>
      </c>
      <c r="U2177" s="106" t="str">
        <f t="shared" si="947"/>
        <v/>
      </c>
      <c r="V2177" s="106" t="str">
        <f t="shared" si="948"/>
        <v/>
      </c>
      <c r="W2177" s="105" t="str">
        <f t="shared" si="933"/>
        <v/>
      </c>
      <c r="X2177" s="104" t="str">
        <f t="shared" si="938"/>
        <v/>
      </c>
      <c r="Y2177" s="104" t="str">
        <f t="array" ref="Y2177">IFERROR(IF(ISNUMBER(O2177),IF(COUNT(IF(A2177=$A$2:$A$2427,IF(D2177=$D$2:$D$2427,IF($X$2:$X$2427&gt;0,1))))&gt;0,SUM(IF(A2177=$A$2:$A$2427,IF(D2177=$D$2:$D$2427,$X$2:$X$2427)))/COUNT(IF(A2177=$A$2:$A$2427,IF(D2177=$D$2:$D$2427,IF(ISNUMBER($X$2:$X$2427),1)))),0),""),0)</f>
        <v/>
      </c>
      <c r="Z2177" s="104" t="str">
        <f>IF(ISNUMBER(O2177),IF(I2177&gt;0,(10^(VLOOKUP(D2177,'Species Codes'!B:C,2,0)+VLOOKUP(D2177,'Species Codes'!B:D,3,0)*LOG(E2177)+VLOOKUP(D2177,'Species Codes'!B:E,4,0)*LOG(I2177))),0),"")</f>
        <v/>
      </c>
      <c r="AA2177" s="104" t="str">
        <f>IFERROR((VLOOKUP(D2177,'Species Codes'!B:G,6,0)*Z2177)/2000,"")</f>
        <v/>
      </c>
      <c r="AB2177" s="104" t="e">
        <f>IF(Z2177&gt;0,((IF(OR(D2177="DF",D2177="RA")=TRUE,EXP(VLOOKUP(D2177,'Species Codes'!B:I,8,0)+VLOOKUP(D2177,'Species Codes'!B:J,9,0)*(LN((E2177*2.54)))),IF(OR(D2177="PY",D2177="RC",D2177="WH",D2177="NF")=TRUE,VLOOKUP(D2177,'Species Codes'!B:I,8,0)+VLOOKUP(D2177,'Species Codes'!B:J,9,0)*((E2177*2.54)^2)*(I2177*0.3048),IF(OR(D2177="MD",D2177="BM",D2177="GA")=TRUE,((VLOOKUP(D2177,'Species Codes'!B:I,8,0)*(((((E2177*2.54)+VLOOKUP(D2177,'Species Codes'!B:J,9,0))/VLOOKUP(D2177,'Species Codes'!B:K,10,0))^VLOOKUP(D2177,'Species Codes'!B:L,11,0))*((I2177*0.3048)^VLOOKUP(D2177,'Species Codes'!B:M,12,0))))-(VLOOKUP(D2177,'Species Codes'!B:I,8,0)*((((E2177*2.54)^VLOOKUP(D2177,'Species Codes'!B:L,11,0))*((I2177*0.3048)^VLOOKUP(D2177,'Species Codes'!B:M,12,0))))))*35.3*VLOOKUP(D2177,'Species Codes'!B:G,6,0)/2.2046,VLOOKUP(D2177,'Species Codes'!B:I,8,0)+VLOOKUP(D2177,'Species Codes'!B:J,9,0)*(((E2177*2.54)/100)^2)*(I2177*0.3048)))))*0.0011023),0)</f>
        <v>#N/A</v>
      </c>
      <c r="AC2177" s="104" t="e">
        <f>IF(Z2177&gt;0,((IF(OR(D2177="RA",D2177="OA",D2177="OT",D2177="UN",D2177="PC"),EXP(VLOOKUP(D2177,'Species Codes'!B:O,14,0)+VLOOKUP(D2177,'Species Codes'!B:P,15,0)*LN((E2177*2.54)))-EXP(VLOOKUP(D2177,'Species Codes'!B:O,14,0)+VLOOKUP(D2177,'Species Codes'!B:P,15,0)*LN((E2177*2.54)))*(1/(VLOOKUP(D2177,'Species Codes'!B:Q,16,0)+VLOOKUP(D2177,'Species Codes'!B:R,17,0)*((E2177*2.54)^VLOOKUP(D2177,'Species Codes'!B:S,18,0)))),IF(OR(D2177="BM",D2177="MD",D2177="OA"),EXP(VLOOKUP(D2177,'Species Codes'!B:O,14,0)+VLOOKUP(D2177,'Species Codes'!B:P,15,0)*LN((E2177*2.54)))*(1-(1/(VLOOKUP(D2177,'Species Codes'!B:Q,16,0)+VLOOKUP(D2177,'Species Codes'!B:R,17,0)*((E2177*2.54)^VLOOKUP(D2177,'Species Codes'!B:S,18,0)))))/1000,IF(D2177="DF",EXP(VLOOKUP(D2177,'Species Codes'!B:O,14,0)+VLOOKUP(D2177,'Species Codes'!B:P,15,0)*LN((E2177*2.54))),VLOOKUP(D2177,'Species Codes'!B:O,14,0)+VLOOKUP(D2177,'Species Codes'!B:P,15,0)*(((E2177*2.54)/100)^2)*(I2177*0.3048)))))*0.0011023),0)</f>
        <v>#N/A</v>
      </c>
      <c r="AD2177" s="104" t="e">
        <f t="shared" si="949"/>
        <v>#N/A</v>
      </c>
      <c r="AE2177" s="104" t="e">
        <f t="shared" si="950"/>
        <v>#N/A</v>
      </c>
      <c r="AF2177" s="104" t="e">
        <f>IF(AND(VLOOKUP($D2177,Merchantability!$B:$C,2,0)="Yes",$E2177&gt;=VLOOKUP($D2177,Merchantability!$B:$D,3,0),$E2177&lt;=VLOOKUP($D2177,Merchantability!$B:$E,4,0)),AA2177,0)</f>
        <v>#N/A</v>
      </c>
      <c r="AG2177" s="104" t="e">
        <f>IF(AND(VLOOKUP($D2177,Merchantability!$B:$C,2,0)="Yes",$E2177&gt;=VLOOKUP($D2177,Merchantability!$B:$D,3,0),$E2177&lt;=VLOOKUP($D2177,Merchantability!$B:$E,4,0)),AB2177,0)</f>
        <v>#N/A</v>
      </c>
      <c r="AH2177" s="104" t="e">
        <f>IF(AND(VLOOKUP($D2177,Merchantability!$B:$C,2,0)="Yes",$E2177&gt;=VLOOKUP($D2177,Merchantability!$B:$D,3,0),$E2177&lt;=VLOOKUP($D2177,Merchantability!$B:$E,4,0)),AC2177,0)</f>
        <v>#N/A</v>
      </c>
      <c r="AI2177" s="104" t="e">
        <f t="shared" si="951"/>
        <v>#N/A</v>
      </c>
      <c r="AJ2177" s="104" t="e">
        <f t="shared" si="952"/>
        <v>#VALUE!</v>
      </c>
      <c r="AK2177" s="104" t="e">
        <f t="shared" si="953"/>
        <v>#N/A</v>
      </c>
      <c r="AL2177" s="104" t="e">
        <f t="shared" si="954"/>
        <v>#N/A</v>
      </c>
      <c r="AM2177" s="104" t="e">
        <f t="shared" si="955"/>
        <v>#N/A</v>
      </c>
      <c r="AN2177" s="104" t="e">
        <f t="shared" si="939"/>
        <v>#N/A</v>
      </c>
      <c r="AO2177" s="104" t="e">
        <f t="shared" si="940"/>
        <v>#N/A</v>
      </c>
      <c r="AP2177" s="104" t="e">
        <f t="shared" si="941"/>
        <v>#N/A</v>
      </c>
      <c r="AQ2177" s="104" t="e">
        <f t="shared" si="942"/>
        <v>#N/A</v>
      </c>
      <c r="AR2177" s="105" t="str">
        <f t="shared" si="934"/>
        <v/>
      </c>
      <c r="AS2177" s="105" t="str">
        <f t="shared" si="935"/>
        <v/>
      </c>
      <c r="AT2177" s="108" t="str">
        <f t="shared" si="936"/>
        <v/>
      </c>
      <c r="AU2177" s="108" t="str">
        <f t="shared" si="937"/>
        <v/>
      </c>
      <c r="AV2177" s="107" t="str">
        <f>IF(ISNUMBER(O2177),IF(VLOOKUP($A2177,Stand!C:J,8,FALSE)="Short",AT2177,AU2177),"")</f>
        <v/>
      </c>
      <c r="AW2177" s="109" t="str">
        <f t="shared" si="943"/>
        <v/>
      </c>
      <c r="AX2177" s="109" t="str">
        <f t="shared" si="944"/>
        <v/>
      </c>
      <c r="AY2177" s="112" t="str">
        <f>IF(ISNUMBER(O2177),IF(AND(VLOOKUP($D2177,Merchantability!$B:$C,2,0)="Yes",$E2177&gt;=VLOOKUP($D2177,Merchantability!$B:$D,3,0),$E2177&lt;=VLOOKUP($D2177,Merchantability!$B:$E,4,0)),(AV2177*O2177)*(1-$H2177/100),""),"")</f>
        <v/>
      </c>
      <c r="AZ2177" s="116"/>
      <c r="BA2177" s="116"/>
      <c r="BB2177" s="116"/>
      <c r="BE2177" s="62"/>
      <c r="BF2177" s="63"/>
    </row>
    <row r="2178" spans="1:58" ht="12.75" customHeight="1" x14ac:dyDescent="0.25">
      <c r="A2178" s="334"/>
      <c r="B2178" s="334"/>
      <c r="C2178" s="332"/>
      <c r="D2178" s="334"/>
      <c r="E2178" s="335"/>
      <c r="F2178" s="334"/>
      <c r="G2178" s="332"/>
      <c r="H2178" s="332"/>
      <c r="I2178" s="334"/>
      <c r="J2178" s="336"/>
      <c r="K2178" s="332"/>
      <c r="L2178" s="332"/>
      <c r="M2178" s="76"/>
      <c r="N2178" s="103" t="str">
        <f>IF(A2178="","",VLOOKUP(A2178,Stand!C:K,9,0))</f>
        <v/>
      </c>
      <c r="O2178" s="104" t="str">
        <f t="shared" ref="O2178:O2241" si="956">IF(E2178&gt;0,IF(G2178&gt;1,G2178*(43560/(N2178^2*3.14)),43560/(N2178^2*3.14)),"")</f>
        <v/>
      </c>
      <c r="P2178" s="105" t="str">
        <f t="shared" ref="P2178:P2241" si="957">IF(ISNUMBER(O2178),E2178*O2178,"")</f>
        <v/>
      </c>
      <c r="Q2178" s="105" t="str">
        <f t="shared" si="945"/>
        <v/>
      </c>
      <c r="R2178" s="103" t="str">
        <f t="shared" ref="R2178:R2241" si="958">IF(ISNUMBER(O2178),E2178^2*0.005454*O2178,"")</f>
        <v/>
      </c>
      <c r="S2178" s="103" t="str">
        <f t="shared" ref="S2178:S2241" si="959">IF(ISNUMBER(O2178),(E2178/10)^1.7*O2178,"")</f>
        <v/>
      </c>
      <c r="T2178" s="106" t="str">
        <f t="shared" si="946"/>
        <v/>
      </c>
      <c r="U2178" s="106" t="str">
        <f t="shared" si="947"/>
        <v/>
      </c>
      <c r="V2178" s="106" t="str">
        <f t="shared" si="948"/>
        <v/>
      </c>
      <c r="W2178" s="105" t="str">
        <f t="shared" ref="W2178:W2241" si="960">IF(AND(ISNUMBER(O2178),I2178&gt;0),I2178/(E2178/12),"")</f>
        <v/>
      </c>
      <c r="X2178" s="104" t="str">
        <f t="shared" si="938"/>
        <v/>
      </c>
      <c r="Y2178" s="104" t="str">
        <f t="array" ref="Y2178">IFERROR(IF(ISNUMBER(O2178),IF(COUNT(IF(A2178=$A$2:$A$2427,IF(D2178=$D$2:$D$2427,IF($X$2:$X$2427&gt;0,1))))&gt;0,SUM(IF(A2178=$A$2:$A$2427,IF(D2178=$D$2:$D$2427,$X$2:$X$2427)))/COUNT(IF(A2178=$A$2:$A$2427,IF(D2178=$D$2:$D$2427,IF(ISNUMBER($X$2:$X$2427),1)))),0),""),0)</f>
        <v/>
      </c>
      <c r="Z2178" s="104" t="str">
        <f>IF(ISNUMBER(O2178),IF(I2178&gt;0,(10^(VLOOKUP(D2178,'Species Codes'!B:C,2,0)+VLOOKUP(D2178,'Species Codes'!B:D,3,0)*LOG(E2178)+VLOOKUP(D2178,'Species Codes'!B:E,4,0)*LOG(I2178))),0),"")</f>
        <v/>
      </c>
      <c r="AA2178" s="104" t="str">
        <f>IFERROR((VLOOKUP(D2178,'Species Codes'!B:G,6,0)*Z2178)/2000,"")</f>
        <v/>
      </c>
      <c r="AB2178" s="104" t="e">
        <f>IF(Z2178&gt;0,((IF(OR(D2178="DF",D2178="RA")=TRUE,EXP(VLOOKUP(D2178,'Species Codes'!B:I,8,0)+VLOOKUP(D2178,'Species Codes'!B:J,9,0)*(LN((E2178*2.54)))),IF(OR(D2178="PY",D2178="RC",D2178="WH",D2178="NF")=TRUE,VLOOKUP(D2178,'Species Codes'!B:I,8,0)+VLOOKUP(D2178,'Species Codes'!B:J,9,0)*((E2178*2.54)^2)*(I2178*0.3048),IF(OR(D2178="MD",D2178="BM",D2178="GA")=TRUE,((VLOOKUP(D2178,'Species Codes'!B:I,8,0)*(((((E2178*2.54)+VLOOKUP(D2178,'Species Codes'!B:J,9,0))/VLOOKUP(D2178,'Species Codes'!B:K,10,0))^VLOOKUP(D2178,'Species Codes'!B:L,11,0))*((I2178*0.3048)^VLOOKUP(D2178,'Species Codes'!B:M,12,0))))-(VLOOKUP(D2178,'Species Codes'!B:I,8,0)*((((E2178*2.54)^VLOOKUP(D2178,'Species Codes'!B:L,11,0))*((I2178*0.3048)^VLOOKUP(D2178,'Species Codes'!B:M,12,0))))))*35.3*VLOOKUP(D2178,'Species Codes'!B:G,6,0)/2.2046,VLOOKUP(D2178,'Species Codes'!B:I,8,0)+VLOOKUP(D2178,'Species Codes'!B:J,9,0)*(((E2178*2.54)/100)^2)*(I2178*0.3048)))))*0.0011023),0)</f>
        <v>#N/A</v>
      </c>
      <c r="AC2178" s="104" t="e">
        <f>IF(Z2178&gt;0,((IF(OR(D2178="RA",D2178="OA",D2178="OT",D2178="UN",D2178="PC"),EXP(VLOOKUP(D2178,'Species Codes'!B:O,14,0)+VLOOKUP(D2178,'Species Codes'!B:P,15,0)*LN((E2178*2.54)))-EXP(VLOOKUP(D2178,'Species Codes'!B:O,14,0)+VLOOKUP(D2178,'Species Codes'!B:P,15,0)*LN((E2178*2.54)))*(1/(VLOOKUP(D2178,'Species Codes'!B:Q,16,0)+VLOOKUP(D2178,'Species Codes'!B:R,17,0)*((E2178*2.54)^VLOOKUP(D2178,'Species Codes'!B:S,18,0)))),IF(OR(D2178="BM",D2178="MD",D2178="OA"),EXP(VLOOKUP(D2178,'Species Codes'!B:O,14,0)+VLOOKUP(D2178,'Species Codes'!B:P,15,0)*LN((E2178*2.54)))*(1-(1/(VLOOKUP(D2178,'Species Codes'!B:Q,16,0)+VLOOKUP(D2178,'Species Codes'!B:R,17,0)*((E2178*2.54)^VLOOKUP(D2178,'Species Codes'!B:S,18,0)))))/1000,IF(D2178="DF",EXP(VLOOKUP(D2178,'Species Codes'!B:O,14,0)+VLOOKUP(D2178,'Species Codes'!B:P,15,0)*LN((E2178*2.54))),VLOOKUP(D2178,'Species Codes'!B:O,14,0)+VLOOKUP(D2178,'Species Codes'!B:P,15,0)*(((E2178*2.54)/100)^2)*(I2178*0.3048)))))*0.0011023),0)</f>
        <v>#N/A</v>
      </c>
      <c r="AD2178" s="104" t="e">
        <f t="shared" si="949"/>
        <v>#N/A</v>
      </c>
      <c r="AE2178" s="104" t="e">
        <f t="shared" si="950"/>
        <v>#N/A</v>
      </c>
      <c r="AF2178" s="104" t="e">
        <f>IF(AND(VLOOKUP($D2178,Merchantability!$B:$C,2,0)="Yes",$E2178&gt;=VLOOKUP($D2178,Merchantability!$B:$D,3,0),$E2178&lt;=VLOOKUP($D2178,Merchantability!$B:$E,4,0)),AA2178,0)</f>
        <v>#N/A</v>
      </c>
      <c r="AG2178" s="104" t="e">
        <f>IF(AND(VLOOKUP($D2178,Merchantability!$B:$C,2,0)="Yes",$E2178&gt;=VLOOKUP($D2178,Merchantability!$B:$D,3,0),$E2178&lt;=VLOOKUP($D2178,Merchantability!$B:$E,4,0)),AB2178,0)</f>
        <v>#N/A</v>
      </c>
      <c r="AH2178" s="104" t="e">
        <f>IF(AND(VLOOKUP($D2178,Merchantability!$B:$C,2,0)="Yes",$E2178&gt;=VLOOKUP($D2178,Merchantability!$B:$D,3,0),$E2178&lt;=VLOOKUP($D2178,Merchantability!$B:$E,4,0)),AC2178,0)</f>
        <v>#N/A</v>
      </c>
      <c r="AI2178" s="104" t="e">
        <f t="shared" si="951"/>
        <v>#N/A</v>
      </c>
      <c r="AJ2178" s="104" t="e">
        <f t="shared" si="952"/>
        <v>#VALUE!</v>
      </c>
      <c r="AK2178" s="104" t="e">
        <f t="shared" si="953"/>
        <v>#N/A</v>
      </c>
      <c r="AL2178" s="104" t="e">
        <f t="shared" si="954"/>
        <v>#N/A</v>
      </c>
      <c r="AM2178" s="104" t="e">
        <f t="shared" si="955"/>
        <v>#N/A</v>
      </c>
      <c r="AN2178" s="104" t="e">
        <f t="shared" si="939"/>
        <v>#N/A</v>
      </c>
      <c r="AO2178" s="104" t="e">
        <f t="shared" si="940"/>
        <v>#N/A</v>
      </c>
      <c r="AP2178" s="104" t="e">
        <f t="shared" si="941"/>
        <v>#N/A</v>
      </c>
      <c r="AQ2178" s="104" t="e">
        <f t="shared" si="942"/>
        <v>#N/A</v>
      </c>
      <c r="AR2178" s="105" t="str">
        <f t="shared" ref="AR2178:AR2241" si="961">IF(ISNUMBER(O2178),IF(Y2178&gt;0,((Y2178*(E2178^2*0.005454-0.087266))/0.912733),0),"")</f>
        <v/>
      </c>
      <c r="AS2178" s="105" t="str">
        <f t="shared" ref="AS2178:AS2241" si="962">IF(ISNUMBER(O2178),AR2178*(0.993-0.993*(0.62^(E2178-6))),"")</f>
        <v/>
      </c>
      <c r="AT2178" s="108" t="str">
        <f t="shared" ref="AT2178:AT2241" si="963">IF(ISNUMBER(O2178),IF(AS2178&gt;0,IF(Y2178&gt;0,(AS2178*10^(0.174439+0.117594*(LOG(E2178,10))*(LOG(Y2178/0.912733,10))-8.210585/E2178^2+0.236693*(LOG(Y2178/0.912733,10))-0.00001345*(Y2178/0.912733)^2-0.00001937*E2178^2)),0),0),"")</f>
        <v/>
      </c>
      <c r="AU2178" s="108" t="str">
        <f t="shared" ref="AU2178:AU2241" si="964">IF(ISNUMBER(O2178),IF(AS2178&gt;0,IF(Y2178&gt;0,AT2178*(1.001491-(6.92497/Y2178)+(0.00001351*(E2178^2))),0),0),"")</f>
        <v/>
      </c>
      <c r="AV2178" s="107" t="str">
        <f>IF(ISNUMBER(O2178),IF(VLOOKUP($A2178,Stand!C:J,8,FALSE)="Short",AT2178,AU2178),"")</f>
        <v/>
      </c>
      <c r="AW2178" s="109" t="str">
        <f t="shared" si="943"/>
        <v/>
      </c>
      <c r="AX2178" s="109" t="str">
        <f t="shared" si="944"/>
        <v/>
      </c>
      <c r="AY2178" s="112" t="str">
        <f>IF(ISNUMBER(O2178),IF(AND(VLOOKUP($D2178,Merchantability!$B:$C,2,0)="Yes",$E2178&gt;=VLOOKUP($D2178,Merchantability!$B:$D,3,0),$E2178&lt;=VLOOKUP($D2178,Merchantability!$B:$E,4,0)),(AV2178*O2178)*(1-$H2178/100),""),"")</f>
        <v/>
      </c>
      <c r="AZ2178" s="116"/>
      <c r="BA2178" s="116"/>
      <c r="BB2178" s="116"/>
      <c r="BE2178" s="62"/>
      <c r="BF2178" s="63"/>
    </row>
    <row r="2179" spans="1:58" ht="12.75" customHeight="1" x14ac:dyDescent="0.25">
      <c r="A2179" s="334"/>
      <c r="B2179" s="334"/>
      <c r="C2179" s="332"/>
      <c r="D2179" s="334"/>
      <c r="E2179" s="335"/>
      <c r="F2179" s="334"/>
      <c r="G2179" s="332"/>
      <c r="H2179" s="332"/>
      <c r="I2179" s="334"/>
      <c r="J2179" s="336"/>
      <c r="K2179" s="332"/>
      <c r="L2179" s="332"/>
      <c r="M2179" s="76"/>
      <c r="N2179" s="103" t="str">
        <f>IF(A2179="","",VLOOKUP(A2179,Stand!C:K,9,0))</f>
        <v/>
      </c>
      <c r="O2179" s="104" t="str">
        <f t="shared" si="956"/>
        <v/>
      </c>
      <c r="P2179" s="105" t="str">
        <f t="shared" si="957"/>
        <v/>
      </c>
      <c r="Q2179" s="105" t="str">
        <f t="shared" si="945"/>
        <v/>
      </c>
      <c r="R2179" s="103" t="str">
        <f t="shared" si="958"/>
        <v/>
      </c>
      <c r="S2179" s="103" t="str">
        <f t="shared" si="959"/>
        <v/>
      </c>
      <c r="T2179" s="106" t="str">
        <f t="shared" si="946"/>
        <v/>
      </c>
      <c r="U2179" s="106" t="str">
        <f t="shared" si="947"/>
        <v/>
      </c>
      <c r="V2179" s="106" t="str">
        <f t="shared" si="948"/>
        <v/>
      </c>
      <c r="W2179" s="105" t="str">
        <f t="shared" si="960"/>
        <v/>
      </c>
      <c r="X2179" s="104" t="str">
        <f t="shared" ref="X2179:X2242" si="965">IF(ISNUMBER(O2179),IF(I2179&gt;0,IF(E2179&gt;0,(0.912733*Z2179)/(1.033*(1+1.382937*EXP(-4.015292*E2179/10))*((E2179^2)*0.005454+0.087266)-0.174533),""),""),"")</f>
        <v/>
      </c>
      <c r="Y2179" s="104" t="str">
        <f t="array" ref="Y2179">IFERROR(IF(ISNUMBER(O2179),IF(COUNT(IF(A2179=$A$2:$A$2427,IF(D2179=$D$2:$D$2427,IF($X$2:$X$2427&gt;0,1))))&gt;0,SUM(IF(A2179=$A$2:$A$2427,IF(D2179=$D$2:$D$2427,$X$2:$X$2427)))/COUNT(IF(A2179=$A$2:$A$2427,IF(D2179=$D$2:$D$2427,IF(ISNUMBER($X$2:$X$2427),1)))),0),""),0)</f>
        <v/>
      </c>
      <c r="Z2179" s="104" t="str">
        <f>IF(ISNUMBER(O2179),IF(I2179&gt;0,(10^(VLOOKUP(D2179,'Species Codes'!B:C,2,0)+VLOOKUP(D2179,'Species Codes'!B:D,3,0)*LOG(E2179)+VLOOKUP(D2179,'Species Codes'!B:E,4,0)*LOG(I2179))),0),"")</f>
        <v/>
      </c>
      <c r="AA2179" s="104" t="str">
        <f>IFERROR((VLOOKUP(D2179,'Species Codes'!B:G,6,0)*Z2179)/2000,"")</f>
        <v/>
      </c>
      <c r="AB2179" s="104" t="e">
        <f>IF(Z2179&gt;0,((IF(OR(D2179="DF",D2179="RA")=TRUE,EXP(VLOOKUP(D2179,'Species Codes'!B:I,8,0)+VLOOKUP(D2179,'Species Codes'!B:J,9,0)*(LN((E2179*2.54)))),IF(OR(D2179="PY",D2179="RC",D2179="WH",D2179="NF")=TRUE,VLOOKUP(D2179,'Species Codes'!B:I,8,0)+VLOOKUP(D2179,'Species Codes'!B:J,9,0)*((E2179*2.54)^2)*(I2179*0.3048),IF(OR(D2179="MD",D2179="BM",D2179="GA")=TRUE,((VLOOKUP(D2179,'Species Codes'!B:I,8,0)*(((((E2179*2.54)+VLOOKUP(D2179,'Species Codes'!B:J,9,0))/VLOOKUP(D2179,'Species Codes'!B:K,10,0))^VLOOKUP(D2179,'Species Codes'!B:L,11,0))*((I2179*0.3048)^VLOOKUP(D2179,'Species Codes'!B:M,12,0))))-(VLOOKUP(D2179,'Species Codes'!B:I,8,0)*((((E2179*2.54)^VLOOKUP(D2179,'Species Codes'!B:L,11,0))*((I2179*0.3048)^VLOOKUP(D2179,'Species Codes'!B:M,12,0))))))*35.3*VLOOKUP(D2179,'Species Codes'!B:G,6,0)/2.2046,VLOOKUP(D2179,'Species Codes'!B:I,8,0)+VLOOKUP(D2179,'Species Codes'!B:J,9,0)*(((E2179*2.54)/100)^2)*(I2179*0.3048)))))*0.0011023),0)</f>
        <v>#N/A</v>
      </c>
      <c r="AC2179" s="104" t="e">
        <f>IF(Z2179&gt;0,((IF(OR(D2179="RA",D2179="OA",D2179="OT",D2179="UN",D2179="PC"),EXP(VLOOKUP(D2179,'Species Codes'!B:O,14,0)+VLOOKUP(D2179,'Species Codes'!B:P,15,0)*LN((E2179*2.54)))-EXP(VLOOKUP(D2179,'Species Codes'!B:O,14,0)+VLOOKUP(D2179,'Species Codes'!B:P,15,0)*LN((E2179*2.54)))*(1/(VLOOKUP(D2179,'Species Codes'!B:Q,16,0)+VLOOKUP(D2179,'Species Codes'!B:R,17,0)*((E2179*2.54)^VLOOKUP(D2179,'Species Codes'!B:S,18,0)))),IF(OR(D2179="BM",D2179="MD",D2179="OA"),EXP(VLOOKUP(D2179,'Species Codes'!B:O,14,0)+VLOOKUP(D2179,'Species Codes'!B:P,15,0)*LN((E2179*2.54)))*(1-(1/(VLOOKUP(D2179,'Species Codes'!B:Q,16,0)+VLOOKUP(D2179,'Species Codes'!B:R,17,0)*((E2179*2.54)^VLOOKUP(D2179,'Species Codes'!B:S,18,0)))))/1000,IF(D2179="DF",EXP(VLOOKUP(D2179,'Species Codes'!B:O,14,0)+VLOOKUP(D2179,'Species Codes'!B:P,15,0)*LN((E2179*2.54))),VLOOKUP(D2179,'Species Codes'!B:O,14,0)+VLOOKUP(D2179,'Species Codes'!B:P,15,0)*(((E2179*2.54)/100)^2)*(I2179*0.3048)))))*0.0011023),0)</f>
        <v>#N/A</v>
      </c>
      <c r="AD2179" s="104" t="e">
        <f t="shared" si="949"/>
        <v>#N/A</v>
      </c>
      <c r="AE2179" s="104" t="e">
        <f t="shared" si="950"/>
        <v>#N/A</v>
      </c>
      <c r="AF2179" s="104" t="e">
        <f>IF(AND(VLOOKUP($D2179,Merchantability!$B:$C,2,0)="Yes",$E2179&gt;=VLOOKUP($D2179,Merchantability!$B:$D,3,0),$E2179&lt;=VLOOKUP($D2179,Merchantability!$B:$E,4,0)),AA2179,0)</f>
        <v>#N/A</v>
      </c>
      <c r="AG2179" s="104" t="e">
        <f>IF(AND(VLOOKUP($D2179,Merchantability!$B:$C,2,0)="Yes",$E2179&gt;=VLOOKUP($D2179,Merchantability!$B:$D,3,0),$E2179&lt;=VLOOKUP($D2179,Merchantability!$B:$E,4,0)),AB2179,0)</f>
        <v>#N/A</v>
      </c>
      <c r="AH2179" s="104" t="e">
        <f>IF(AND(VLOOKUP($D2179,Merchantability!$B:$C,2,0)="Yes",$E2179&gt;=VLOOKUP($D2179,Merchantability!$B:$D,3,0),$E2179&lt;=VLOOKUP($D2179,Merchantability!$B:$E,4,0)),AC2179,0)</f>
        <v>#N/A</v>
      </c>
      <c r="AI2179" s="104" t="e">
        <f t="shared" si="951"/>
        <v>#N/A</v>
      </c>
      <c r="AJ2179" s="104" t="e">
        <f t="shared" si="952"/>
        <v>#VALUE!</v>
      </c>
      <c r="AK2179" s="104" t="e">
        <f t="shared" si="953"/>
        <v>#N/A</v>
      </c>
      <c r="AL2179" s="104" t="e">
        <f t="shared" si="954"/>
        <v>#N/A</v>
      </c>
      <c r="AM2179" s="104" t="e">
        <f t="shared" si="955"/>
        <v>#N/A</v>
      </c>
      <c r="AN2179" s="104" t="e">
        <f t="shared" ref="AN2179:AN2242" si="966">AF2179*$O2179</f>
        <v>#N/A</v>
      </c>
      <c r="AO2179" s="104" t="e">
        <f t="shared" ref="AO2179:AO2242" si="967">AG2179*$O2179</f>
        <v>#N/A</v>
      </c>
      <c r="AP2179" s="104" t="e">
        <f t="shared" ref="AP2179:AP2242" si="968">AH2179*$O2179</f>
        <v>#N/A</v>
      </c>
      <c r="AQ2179" s="104" t="e">
        <f t="shared" ref="AQ2179:AQ2242" si="969">SUM(AN2179:AP2179)</f>
        <v>#N/A</v>
      </c>
      <c r="AR2179" s="105" t="str">
        <f t="shared" si="961"/>
        <v/>
      </c>
      <c r="AS2179" s="105" t="str">
        <f t="shared" si="962"/>
        <v/>
      </c>
      <c r="AT2179" s="108" t="str">
        <f t="shared" si="963"/>
        <v/>
      </c>
      <c r="AU2179" s="108" t="str">
        <f t="shared" si="964"/>
        <v/>
      </c>
      <c r="AV2179" s="107" t="str">
        <f>IF(ISNUMBER(O2179),IF(VLOOKUP($A2179,Stand!C:J,8,FALSE)="Short",AT2179,AU2179),"")</f>
        <v/>
      </c>
      <c r="AW2179" s="109" t="str">
        <f t="shared" ref="AW2179:AW2242" si="970">IF(ISNUMBER(O2179),AV2179*O2179,"")</f>
        <v/>
      </c>
      <c r="AX2179" s="109" t="str">
        <f t="shared" ref="AX2179:AX2242" si="971">IF(ISNUMBER(O2179),AW2179*(1-$H2179/100),"")</f>
        <v/>
      </c>
      <c r="AY2179" s="112" t="str">
        <f>IF(ISNUMBER(O2179),IF(AND(VLOOKUP($D2179,Merchantability!$B:$C,2,0)="Yes",$E2179&gt;=VLOOKUP($D2179,Merchantability!$B:$D,3,0),$E2179&lt;=VLOOKUP($D2179,Merchantability!$B:$E,4,0)),(AV2179*O2179)*(1-$H2179/100),""),"")</f>
        <v/>
      </c>
      <c r="AZ2179" s="116"/>
      <c r="BA2179" s="116"/>
      <c r="BB2179" s="116"/>
      <c r="BE2179" s="62"/>
      <c r="BF2179" s="63"/>
    </row>
    <row r="2180" spans="1:58" ht="12.75" customHeight="1" x14ac:dyDescent="0.25">
      <c r="A2180" s="334"/>
      <c r="B2180" s="334"/>
      <c r="C2180" s="332"/>
      <c r="D2180" s="334"/>
      <c r="E2180" s="335"/>
      <c r="F2180" s="334"/>
      <c r="G2180" s="332"/>
      <c r="H2180" s="332"/>
      <c r="I2180" s="334"/>
      <c r="J2180" s="336"/>
      <c r="K2180" s="332"/>
      <c r="L2180" s="332"/>
      <c r="M2180" s="76"/>
      <c r="N2180" s="103" t="str">
        <f>IF(A2180="","",VLOOKUP(A2180,Stand!C:K,9,0))</f>
        <v/>
      </c>
      <c r="O2180" s="104" t="str">
        <f t="shared" si="956"/>
        <v/>
      </c>
      <c r="P2180" s="105" t="str">
        <f t="shared" si="957"/>
        <v/>
      </c>
      <c r="Q2180" s="105" t="str">
        <f t="shared" si="945"/>
        <v/>
      </c>
      <c r="R2180" s="103" t="str">
        <f t="shared" si="958"/>
        <v/>
      </c>
      <c r="S2180" s="103" t="str">
        <f t="shared" si="959"/>
        <v/>
      </c>
      <c r="T2180" s="106" t="str">
        <f t="shared" si="946"/>
        <v/>
      </c>
      <c r="U2180" s="106" t="str">
        <f t="shared" si="947"/>
        <v/>
      </c>
      <c r="V2180" s="106" t="str">
        <f t="shared" si="948"/>
        <v/>
      </c>
      <c r="W2180" s="105" t="str">
        <f t="shared" si="960"/>
        <v/>
      </c>
      <c r="X2180" s="104" t="str">
        <f t="shared" si="965"/>
        <v/>
      </c>
      <c r="Y2180" s="104" t="str">
        <f t="array" ref="Y2180">IFERROR(IF(ISNUMBER(O2180),IF(COUNT(IF(A2180=$A$2:$A$2427,IF(D2180=$D$2:$D$2427,IF($X$2:$X$2427&gt;0,1))))&gt;0,SUM(IF(A2180=$A$2:$A$2427,IF(D2180=$D$2:$D$2427,$X$2:$X$2427)))/COUNT(IF(A2180=$A$2:$A$2427,IF(D2180=$D$2:$D$2427,IF(ISNUMBER($X$2:$X$2427),1)))),0),""),0)</f>
        <v/>
      </c>
      <c r="Z2180" s="104" t="str">
        <f>IF(ISNUMBER(O2180),IF(I2180&gt;0,(10^(VLOOKUP(D2180,'Species Codes'!B:C,2,0)+VLOOKUP(D2180,'Species Codes'!B:D,3,0)*LOG(E2180)+VLOOKUP(D2180,'Species Codes'!B:E,4,0)*LOG(I2180))),0),"")</f>
        <v/>
      </c>
      <c r="AA2180" s="104" t="str">
        <f>IFERROR((VLOOKUP(D2180,'Species Codes'!B:G,6,0)*Z2180)/2000,"")</f>
        <v/>
      </c>
      <c r="AB2180" s="104" t="e">
        <f>IF(Z2180&gt;0,((IF(OR(D2180="DF",D2180="RA")=TRUE,EXP(VLOOKUP(D2180,'Species Codes'!B:I,8,0)+VLOOKUP(D2180,'Species Codes'!B:J,9,0)*(LN((E2180*2.54)))),IF(OR(D2180="PY",D2180="RC",D2180="WH",D2180="NF")=TRUE,VLOOKUP(D2180,'Species Codes'!B:I,8,0)+VLOOKUP(D2180,'Species Codes'!B:J,9,0)*((E2180*2.54)^2)*(I2180*0.3048),IF(OR(D2180="MD",D2180="BM",D2180="GA")=TRUE,((VLOOKUP(D2180,'Species Codes'!B:I,8,0)*(((((E2180*2.54)+VLOOKUP(D2180,'Species Codes'!B:J,9,0))/VLOOKUP(D2180,'Species Codes'!B:K,10,0))^VLOOKUP(D2180,'Species Codes'!B:L,11,0))*((I2180*0.3048)^VLOOKUP(D2180,'Species Codes'!B:M,12,0))))-(VLOOKUP(D2180,'Species Codes'!B:I,8,0)*((((E2180*2.54)^VLOOKUP(D2180,'Species Codes'!B:L,11,0))*((I2180*0.3048)^VLOOKUP(D2180,'Species Codes'!B:M,12,0))))))*35.3*VLOOKUP(D2180,'Species Codes'!B:G,6,0)/2.2046,VLOOKUP(D2180,'Species Codes'!B:I,8,0)+VLOOKUP(D2180,'Species Codes'!B:J,9,0)*(((E2180*2.54)/100)^2)*(I2180*0.3048)))))*0.0011023),0)</f>
        <v>#N/A</v>
      </c>
      <c r="AC2180" s="104" t="e">
        <f>IF(Z2180&gt;0,((IF(OR(D2180="RA",D2180="OA",D2180="OT",D2180="UN",D2180="PC"),EXP(VLOOKUP(D2180,'Species Codes'!B:O,14,0)+VLOOKUP(D2180,'Species Codes'!B:P,15,0)*LN((E2180*2.54)))-EXP(VLOOKUP(D2180,'Species Codes'!B:O,14,0)+VLOOKUP(D2180,'Species Codes'!B:P,15,0)*LN((E2180*2.54)))*(1/(VLOOKUP(D2180,'Species Codes'!B:Q,16,0)+VLOOKUP(D2180,'Species Codes'!B:R,17,0)*((E2180*2.54)^VLOOKUP(D2180,'Species Codes'!B:S,18,0)))),IF(OR(D2180="BM",D2180="MD",D2180="OA"),EXP(VLOOKUP(D2180,'Species Codes'!B:O,14,0)+VLOOKUP(D2180,'Species Codes'!B:P,15,0)*LN((E2180*2.54)))*(1-(1/(VLOOKUP(D2180,'Species Codes'!B:Q,16,0)+VLOOKUP(D2180,'Species Codes'!B:R,17,0)*((E2180*2.54)^VLOOKUP(D2180,'Species Codes'!B:S,18,0)))))/1000,IF(D2180="DF",EXP(VLOOKUP(D2180,'Species Codes'!B:O,14,0)+VLOOKUP(D2180,'Species Codes'!B:P,15,0)*LN((E2180*2.54))),VLOOKUP(D2180,'Species Codes'!B:O,14,0)+VLOOKUP(D2180,'Species Codes'!B:P,15,0)*(((E2180*2.54)/100)^2)*(I2180*0.3048)))))*0.0011023),0)</f>
        <v>#N/A</v>
      </c>
      <c r="AD2180" s="104" t="e">
        <f t="shared" si="949"/>
        <v>#N/A</v>
      </c>
      <c r="AE2180" s="104" t="e">
        <f t="shared" si="950"/>
        <v>#N/A</v>
      </c>
      <c r="AF2180" s="104" t="e">
        <f>IF(AND(VLOOKUP($D2180,Merchantability!$B:$C,2,0)="Yes",$E2180&gt;=VLOOKUP($D2180,Merchantability!$B:$D,3,0),$E2180&lt;=VLOOKUP($D2180,Merchantability!$B:$E,4,0)),AA2180,0)</f>
        <v>#N/A</v>
      </c>
      <c r="AG2180" s="104" t="e">
        <f>IF(AND(VLOOKUP($D2180,Merchantability!$B:$C,2,0)="Yes",$E2180&gt;=VLOOKUP($D2180,Merchantability!$B:$D,3,0),$E2180&lt;=VLOOKUP($D2180,Merchantability!$B:$E,4,0)),AB2180,0)</f>
        <v>#N/A</v>
      </c>
      <c r="AH2180" s="104" t="e">
        <f>IF(AND(VLOOKUP($D2180,Merchantability!$B:$C,2,0)="Yes",$E2180&gt;=VLOOKUP($D2180,Merchantability!$B:$D,3,0),$E2180&lt;=VLOOKUP($D2180,Merchantability!$B:$E,4,0)),AC2180,0)</f>
        <v>#N/A</v>
      </c>
      <c r="AI2180" s="104" t="e">
        <f t="shared" si="951"/>
        <v>#N/A</v>
      </c>
      <c r="AJ2180" s="104" t="e">
        <f t="shared" si="952"/>
        <v>#VALUE!</v>
      </c>
      <c r="AK2180" s="104" t="e">
        <f t="shared" si="953"/>
        <v>#N/A</v>
      </c>
      <c r="AL2180" s="104" t="e">
        <f t="shared" si="954"/>
        <v>#N/A</v>
      </c>
      <c r="AM2180" s="104" t="e">
        <f t="shared" si="955"/>
        <v>#N/A</v>
      </c>
      <c r="AN2180" s="104" t="e">
        <f t="shared" si="966"/>
        <v>#N/A</v>
      </c>
      <c r="AO2180" s="104" t="e">
        <f t="shared" si="967"/>
        <v>#N/A</v>
      </c>
      <c r="AP2180" s="104" t="e">
        <f t="shared" si="968"/>
        <v>#N/A</v>
      </c>
      <c r="AQ2180" s="104" t="e">
        <f t="shared" si="969"/>
        <v>#N/A</v>
      </c>
      <c r="AR2180" s="105" t="str">
        <f t="shared" si="961"/>
        <v/>
      </c>
      <c r="AS2180" s="105" t="str">
        <f t="shared" si="962"/>
        <v/>
      </c>
      <c r="AT2180" s="108" t="str">
        <f t="shared" si="963"/>
        <v/>
      </c>
      <c r="AU2180" s="108" t="str">
        <f t="shared" si="964"/>
        <v/>
      </c>
      <c r="AV2180" s="107" t="str">
        <f>IF(ISNUMBER(O2180),IF(VLOOKUP($A2180,Stand!C:J,8,FALSE)="Short",AT2180,AU2180),"")</f>
        <v/>
      </c>
      <c r="AW2180" s="109" t="str">
        <f t="shared" si="970"/>
        <v/>
      </c>
      <c r="AX2180" s="109" t="str">
        <f t="shared" si="971"/>
        <v/>
      </c>
      <c r="AY2180" s="112" t="str">
        <f>IF(ISNUMBER(O2180),IF(AND(VLOOKUP($D2180,Merchantability!$B:$C,2,0)="Yes",$E2180&gt;=VLOOKUP($D2180,Merchantability!$B:$D,3,0),$E2180&lt;=VLOOKUP($D2180,Merchantability!$B:$E,4,0)),(AV2180*O2180)*(1-$H2180/100),""),"")</f>
        <v/>
      </c>
      <c r="AZ2180" s="116"/>
      <c r="BA2180" s="116"/>
      <c r="BB2180" s="116"/>
      <c r="BE2180" s="62"/>
      <c r="BF2180" s="63"/>
    </row>
    <row r="2181" spans="1:58" ht="12.75" customHeight="1" x14ac:dyDescent="0.25">
      <c r="A2181" s="334"/>
      <c r="B2181" s="334"/>
      <c r="C2181" s="332"/>
      <c r="D2181" s="334"/>
      <c r="E2181" s="335"/>
      <c r="F2181" s="334"/>
      <c r="G2181" s="332"/>
      <c r="H2181" s="332"/>
      <c r="I2181" s="334"/>
      <c r="J2181" s="336"/>
      <c r="K2181" s="332"/>
      <c r="L2181" s="332"/>
      <c r="M2181" s="76"/>
      <c r="N2181" s="103" t="str">
        <f>IF(A2181="","",VLOOKUP(A2181,Stand!C:K,9,0))</f>
        <v/>
      </c>
      <c r="O2181" s="104" t="str">
        <f t="shared" si="956"/>
        <v/>
      </c>
      <c r="P2181" s="105" t="str">
        <f t="shared" si="957"/>
        <v/>
      </c>
      <c r="Q2181" s="105" t="str">
        <f t="shared" si="945"/>
        <v/>
      </c>
      <c r="R2181" s="103" t="str">
        <f t="shared" si="958"/>
        <v/>
      </c>
      <c r="S2181" s="103" t="str">
        <f t="shared" si="959"/>
        <v/>
      </c>
      <c r="T2181" s="106" t="str">
        <f t="shared" si="946"/>
        <v/>
      </c>
      <c r="U2181" s="106" t="str">
        <f t="shared" si="947"/>
        <v/>
      </c>
      <c r="V2181" s="106" t="str">
        <f t="shared" si="948"/>
        <v/>
      </c>
      <c r="W2181" s="105" t="str">
        <f t="shared" si="960"/>
        <v/>
      </c>
      <c r="X2181" s="104" t="str">
        <f t="shared" si="965"/>
        <v/>
      </c>
      <c r="Y2181" s="104" t="str">
        <f t="array" ref="Y2181">IFERROR(IF(ISNUMBER(O2181),IF(COUNT(IF(A2181=$A$2:$A$2427,IF(D2181=$D$2:$D$2427,IF($X$2:$X$2427&gt;0,1))))&gt;0,SUM(IF(A2181=$A$2:$A$2427,IF(D2181=$D$2:$D$2427,$X$2:$X$2427)))/COUNT(IF(A2181=$A$2:$A$2427,IF(D2181=$D$2:$D$2427,IF(ISNUMBER($X$2:$X$2427),1)))),0),""),0)</f>
        <v/>
      </c>
      <c r="Z2181" s="104" t="str">
        <f>IF(ISNUMBER(O2181),IF(I2181&gt;0,(10^(VLOOKUP(D2181,'Species Codes'!B:C,2,0)+VLOOKUP(D2181,'Species Codes'!B:D,3,0)*LOG(E2181)+VLOOKUP(D2181,'Species Codes'!B:E,4,0)*LOG(I2181))),0),"")</f>
        <v/>
      </c>
      <c r="AA2181" s="104" t="str">
        <f>IFERROR((VLOOKUP(D2181,'Species Codes'!B:G,6,0)*Z2181)/2000,"")</f>
        <v/>
      </c>
      <c r="AB2181" s="104" t="e">
        <f>IF(Z2181&gt;0,((IF(OR(D2181="DF",D2181="RA")=TRUE,EXP(VLOOKUP(D2181,'Species Codes'!B:I,8,0)+VLOOKUP(D2181,'Species Codes'!B:J,9,0)*(LN((E2181*2.54)))),IF(OR(D2181="PY",D2181="RC",D2181="WH",D2181="NF")=TRUE,VLOOKUP(D2181,'Species Codes'!B:I,8,0)+VLOOKUP(D2181,'Species Codes'!B:J,9,0)*((E2181*2.54)^2)*(I2181*0.3048),IF(OR(D2181="MD",D2181="BM",D2181="GA")=TRUE,((VLOOKUP(D2181,'Species Codes'!B:I,8,0)*(((((E2181*2.54)+VLOOKUP(D2181,'Species Codes'!B:J,9,0))/VLOOKUP(D2181,'Species Codes'!B:K,10,0))^VLOOKUP(D2181,'Species Codes'!B:L,11,0))*((I2181*0.3048)^VLOOKUP(D2181,'Species Codes'!B:M,12,0))))-(VLOOKUP(D2181,'Species Codes'!B:I,8,0)*((((E2181*2.54)^VLOOKUP(D2181,'Species Codes'!B:L,11,0))*((I2181*0.3048)^VLOOKUP(D2181,'Species Codes'!B:M,12,0))))))*35.3*VLOOKUP(D2181,'Species Codes'!B:G,6,0)/2.2046,VLOOKUP(D2181,'Species Codes'!B:I,8,0)+VLOOKUP(D2181,'Species Codes'!B:J,9,0)*(((E2181*2.54)/100)^2)*(I2181*0.3048)))))*0.0011023),0)</f>
        <v>#N/A</v>
      </c>
      <c r="AC2181" s="104" t="e">
        <f>IF(Z2181&gt;0,((IF(OR(D2181="RA",D2181="OA",D2181="OT",D2181="UN",D2181="PC"),EXP(VLOOKUP(D2181,'Species Codes'!B:O,14,0)+VLOOKUP(D2181,'Species Codes'!B:P,15,0)*LN((E2181*2.54)))-EXP(VLOOKUP(D2181,'Species Codes'!B:O,14,0)+VLOOKUP(D2181,'Species Codes'!B:P,15,0)*LN((E2181*2.54)))*(1/(VLOOKUP(D2181,'Species Codes'!B:Q,16,0)+VLOOKUP(D2181,'Species Codes'!B:R,17,0)*((E2181*2.54)^VLOOKUP(D2181,'Species Codes'!B:S,18,0)))),IF(OR(D2181="BM",D2181="MD",D2181="OA"),EXP(VLOOKUP(D2181,'Species Codes'!B:O,14,0)+VLOOKUP(D2181,'Species Codes'!B:P,15,0)*LN((E2181*2.54)))*(1-(1/(VLOOKUP(D2181,'Species Codes'!B:Q,16,0)+VLOOKUP(D2181,'Species Codes'!B:R,17,0)*((E2181*2.54)^VLOOKUP(D2181,'Species Codes'!B:S,18,0)))))/1000,IF(D2181="DF",EXP(VLOOKUP(D2181,'Species Codes'!B:O,14,0)+VLOOKUP(D2181,'Species Codes'!B:P,15,0)*LN((E2181*2.54))),VLOOKUP(D2181,'Species Codes'!B:O,14,0)+VLOOKUP(D2181,'Species Codes'!B:P,15,0)*(((E2181*2.54)/100)^2)*(I2181*0.3048)))))*0.0011023),0)</f>
        <v>#N/A</v>
      </c>
      <c r="AD2181" s="104" t="e">
        <f t="shared" si="949"/>
        <v>#N/A</v>
      </c>
      <c r="AE2181" s="104" t="e">
        <f t="shared" si="950"/>
        <v>#N/A</v>
      </c>
      <c r="AF2181" s="104" t="e">
        <f>IF(AND(VLOOKUP($D2181,Merchantability!$B:$C,2,0)="Yes",$E2181&gt;=VLOOKUP($D2181,Merchantability!$B:$D,3,0),$E2181&lt;=VLOOKUP($D2181,Merchantability!$B:$E,4,0)),AA2181,0)</f>
        <v>#N/A</v>
      </c>
      <c r="AG2181" s="104" t="e">
        <f>IF(AND(VLOOKUP($D2181,Merchantability!$B:$C,2,0)="Yes",$E2181&gt;=VLOOKUP($D2181,Merchantability!$B:$D,3,0),$E2181&lt;=VLOOKUP($D2181,Merchantability!$B:$E,4,0)),AB2181,0)</f>
        <v>#N/A</v>
      </c>
      <c r="AH2181" s="104" t="e">
        <f>IF(AND(VLOOKUP($D2181,Merchantability!$B:$C,2,0)="Yes",$E2181&gt;=VLOOKUP($D2181,Merchantability!$B:$D,3,0),$E2181&lt;=VLOOKUP($D2181,Merchantability!$B:$E,4,0)),AC2181,0)</f>
        <v>#N/A</v>
      </c>
      <c r="AI2181" s="104" t="e">
        <f t="shared" si="951"/>
        <v>#N/A</v>
      </c>
      <c r="AJ2181" s="104" t="e">
        <f t="shared" si="952"/>
        <v>#VALUE!</v>
      </c>
      <c r="AK2181" s="104" t="e">
        <f t="shared" si="953"/>
        <v>#N/A</v>
      </c>
      <c r="AL2181" s="104" t="e">
        <f t="shared" si="954"/>
        <v>#N/A</v>
      </c>
      <c r="AM2181" s="104" t="e">
        <f t="shared" si="955"/>
        <v>#N/A</v>
      </c>
      <c r="AN2181" s="104" t="e">
        <f t="shared" si="966"/>
        <v>#N/A</v>
      </c>
      <c r="AO2181" s="104" t="e">
        <f t="shared" si="967"/>
        <v>#N/A</v>
      </c>
      <c r="AP2181" s="104" t="e">
        <f t="shared" si="968"/>
        <v>#N/A</v>
      </c>
      <c r="AQ2181" s="104" t="e">
        <f t="shared" si="969"/>
        <v>#N/A</v>
      </c>
      <c r="AR2181" s="105" t="str">
        <f t="shared" si="961"/>
        <v/>
      </c>
      <c r="AS2181" s="105" t="str">
        <f t="shared" si="962"/>
        <v/>
      </c>
      <c r="AT2181" s="108" t="str">
        <f t="shared" si="963"/>
        <v/>
      </c>
      <c r="AU2181" s="108" t="str">
        <f t="shared" si="964"/>
        <v/>
      </c>
      <c r="AV2181" s="107" t="str">
        <f>IF(ISNUMBER(O2181),IF(VLOOKUP($A2181,Stand!C:J,8,FALSE)="Short",AT2181,AU2181),"")</f>
        <v/>
      </c>
      <c r="AW2181" s="109" t="str">
        <f t="shared" si="970"/>
        <v/>
      </c>
      <c r="AX2181" s="109" t="str">
        <f t="shared" si="971"/>
        <v/>
      </c>
      <c r="AY2181" s="112" t="str">
        <f>IF(ISNUMBER(O2181),IF(AND(VLOOKUP($D2181,Merchantability!$B:$C,2,0)="Yes",$E2181&gt;=VLOOKUP($D2181,Merchantability!$B:$D,3,0),$E2181&lt;=VLOOKUP($D2181,Merchantability!$B:$E,4,0)),(AV2181*O2181)*(1-$H2181/100),""),"")</f>
        <v/>
      </c>
      <c r="AZ2181" s="116"/>
      <c r="BA2181" s="116"/>
      <c r="BB2181" s="116"/>
      <c r="BE2181" s="62"/>
      <c r="BF2181" s="63"/>
    </row>
    <row r="2182" spans="1:58" ht="12.75" customHeight="1" x14ac:dyDescent="0.25">
      <c r="A2182" s="334"/>
      <c r="B2182" s="334"/>
      <c r="C2182" s="332"/>
      <c r="D2182" s="334"/>
      <c r="E2182" s="335"/>
      <c r="F2182" s="334"/>
      <c r="G2182" s="332"/>
      <c r="H2182" s="332"/>
      <c r="I2182" s="334"/>
      <c r="J2182" s="336"/>
      <c r="K2182" s="332"/>
      <c r="L2182" s="332"/>
      <c r="M2182" s="76"/>
      <c r="N2182" s="103" t="str">
        <f>IF(A2182="","",VLOOKUP(A2182,Stand!C:K,9,0))</f>
        <v/>
      </c>
      <c r="O2182" s="104" t="str">
        <f t="shared" si="956"/>
        <v/>
      </c>
      <c r="P2182" s="105" t="str">
        <f t="shared" si="957"/>
        <v/>
      </c>
      <c r="Q2182" s="105" t="str">
        <f t="shared" si="945"/>
        <v/>
      </c>
      <c r="R2182" s="103" t="str">
        <f t="shared" si="958"/>
        <v/>
      </c>
      <c r="S2182" s="103" t="str">
        <f t="shared" si="959"/>
        <v/>
      </c>
      <c r="T2182" s="106" t="str">
        <f t="shared" si="946"/>
        <v/>
      </c>
      <c r="U2182" s="106" t="str">
        <f t="shared" si="947"/>
        <v/>
      </c>
      <c r="V2182" s="106" t="str">
        <f t="shared" si="948"/>
        <v/>
      </c>
      <c r="W2182" s="105" t="str">
        <f t="shared" si="960"/>
        <v/>
      </c>
      <c r="X2182" s="104" t="str">
        <f t="shared" si="965"/>
        <v/>
      </c>
      <c r="Y2182" s="104" t="str">
        <f t="array" ref="Y2182">IFERROR(IF(ISNUMBER(O2182),IF(COUNT(IF(A2182=$A$2:$A$2427,IF(D2182=$D$2:$D$2427,IF($X$2:$X$2427&gt;0,1))))&gt;0,SUM(IF(A2182=$A$2:$A$2427,IF(D2182=$D$2:$D$2427,$X$2:$X$2427)))/COUNT(IF(A2182=$A$2:$A$2427,IF(D2182=$D$2:$D$2427,IF(ISNUMBER($X$2:$X$2427),1)))),0),""),0)</f>
        <v/>
      </c>
      <c r="Z2182" s="104" t="str">
        <f>IF(ISNUMBER(O2182),IF(I2182&gt;0,(10^(VLOOKUP(D2182,'Species Codes'!B:C,2,0)+VLOOKUP(D2182,'Species Codes'!B:D,3,0)*LOG(E2182)+VLOOKUP(D2182,'Species Codes'!B:E,4,0)*LOG(I2182))),0),"")</f>
        <v/>
      </c>
      <c r="AA2182" s="104" t="str">
        <f>IFERROR((VLOOKUP(D2182,'Species Codes'!B:G,6,0)*Z2182)/2000,"")</f>
        <v/>
      </c>
      <c r="AB2182" s="104" t="e">
        <f>IF(Z2182&gt;0,((IF(OR(D2182="DF",D2182="RA")=TRUE,EXP(VLOOKUP(D2182,'Species Codes'!B:I,8,0)+VLOOKUP(D2182,'Species Codes'!B:J,9,0)*(LN((E2182*2.54)))),IF(OR(D2182="PY",D2182="RC",D2182="WH",D2182="NF")=TRUE,VLOOKUP(D2182,'Species Codes'!B:I,8,0)+VLOOKUP(D2182,'Species Codes'!B:J,9,0)*((E2182*2.54)^2)*(I2182*0.3048),IF(OR(D2182="MD",D2182="BM",D2182="GA")=TRUE,((VLOOKUP(D2182,'Species Codes'!B:I,8,0)*(((((E2182*2.54)+VLOOKUP(D2182,'Species Codes'!B:J,9,0))/VLOOKUP(D2182,'Species Codes'!B:K,10,0))^VLOOKUP(D2182,'Species Codes'!B:L,11,0))*((I2182*0.3048)^VLOOKUP(D2182,'Species Codes'!B:M,12,0))))-(VLOOKUP(D2182,'Species Codes'!B:I,8,0)*((((E2182*2.54)^VLOOKUP(D2182,'Species Codes'!B:L,11,0))*((I2182*0.3048)^VLOOKUP(D2182,'Species Codes'!B:M,12,0))))))*35.3*VLOOKUP(D2182,'Species Codes'!B:G,6,0)/2.2046,VLOOKUP(D2182,'Species Codes'!B:I,8,0)+VLOOKUP(D2182,'Species Codes'!B:J,9,0)*(((E2182*2.54)/100)^2)*(I2182*0.3048)))))*0.0011023),0)</f>
        <v>#N/A</v>
      </c>
      <c r="AC2182" s="104" t="e">
        <f>IF(Z2182&gt;0,((IF(OR(D2182="RA",D2182="OA",D2182="OT",D2182="UN",D2182="PC"),EXP(VLOOKUP(D2182,'Species Codes'!B:O,14,0)+VLOOKUP(D2182,'Species Codes'!B:P,15,0)*LN((E2182*2.54)))-EXP(VLOOKUP(D2182,'Species Codes'!B:O,14,0)+VLOOKUP(D2182,'Species Codes'!B:P,15,0)*LN((E2182*2.54)))*(1/(VLOOKUP(D2182,'Species Codes'!B:Q,16,0)+VLOOKUP(D2182,'Species Codes'!B:R,17,0)*((E2182*2.54)^VLOOKUP(D2182,'Species Codes'!B:S,18,0)))),IF(OR(D2182="BM",D2182="MD",D2182="OA"),EXP(VLOOKUP(D2182,'Species Codes'!B:O,14,0)+VLOOKUP(D2182,'Species Codes'!B:P,15,0)*LN((E2182*2.54)))*(1-(1/(VLOOKUP(D2182,'Species Codes'!B:Q,16,0)+VLOOKUP(D2182,'Species Codes'!B:R,17,0)*((E2182*2.54)^VLOOKUP(D2182,'Species Codes'!B:S,18,0)))))/1000,IF(D2182="DF",EXP(VLOOKUP(D2182,'Species Codes'!B:O,14,0)+VLOOKUP(D2182,'Species Codes'!B:P,15,0)*LN((E2182*2.54))),VLOOKUP(D2182,'Species Codes'!B:O,14,0)+VLOOKUP(D2182,'Species Codes'!B:P,15,0)*(((E2182*2.54)/100)^2)*(I2182*0.3048)))))*0.0011023),0)</f>
        <v>#N/A</v>
      </c>
      <c r="AD2182" s="104" t="e">
        <f t="shared" si="949"/>
        <v>#N/A</v>
      </c>
      <c r="AE2182" s="104" t="e">
        <f t="shared" si="950"/>
        <v>#N/A</v>
      </c>
      <c r="AF2182" s="104" t="e">
        <f>IF(AND(VLOOKUP($D2182,Merchantability!$B:$C,2,0)="Yes",$E2182&gt;=VLOOKUP($D2182,Merchantability!$B:$D,3,0),$E2182&lt;=VLOOKUP($D2182,Merchantability!$B:$E,4,0)),AA2182,0)</f>
        <v>#N/A</v>
      </c>
      <c r="AG2182" s="104" t="e">
        <f>IF(AND(VLOOKUP($D2182,Merchantability!$B:$C,2,0)="Yes",$E2182&gt;=VLOOKUP($D2182,Merchantability!$B:$D,3,0),$E2182&lt;=VLOOKUP($D2182,Merchantability!$B:$E,4,0)),AB2182,0)</f>
        <v>#N/A</v>
      </c>
      <c r="AH2182" s="104" t="e">
        <f>IF(AND(VLOOKUP($D2182,Merchantability!$B:$C,2,0)="Yes",$E2182&gt;=VLOOKUP($D2182,Merchantability!$B:$D,3,0),$E2182&lt;=VLOOKUP($D2182,Merchantability!$B:$E,4,0)),AC2182,0)</f>
        <v>#N/A</v>
      </c>
      <c r="AI2182" s="104" t="e">
        <f t="shared" si="951"/>
        <v>#N/A</v>
      </c>
      <c r="AJ2182" s="104" t="e">
        <f t="shared" si="952"/>
        <v>#VALUE!</v>
      </c>
      <c r="AK2182" s="104" t="e">
        <f t="shared" si="953"/>
        <v>#N/A</v>
      </c>
      <c r="AL2182" s="104" t="e">
        <f t="shared" si="954"/>
        <v>#N/A</v>
      </c>
      <c r="AM2182" s="104" t="e">
        <f t="shared" si="955"/>
        <v>#N/A</v>
      </c>
      <c r="AN2182" s="104" t="e">
        <f t="shared" si="966"/>
        <v>#N/A</v>
      </c>
      <c r="AO2182" s="104" t="e">
        <f t="shared" si="967"/>
        <v>#N/A</v>
      </c>
      <c r="AP2182" s="104" t="e">
        <f t="shared" si="968"/>
        <v>#N/A</v>
      </c>
      <c r="AQ2182" s="104" t="e">
        <f t="shared" si="969"/>
        <v>#N/A</v>
      </c>
      <c r="AR2182" s="105" t="str">
        <f t="shared" si="961"/>
        <v/>
      </c>
      <c r="AS2182" s="105" t="str">
        <f t="shared" si="962"/>
        <v/>
      </c>
      <c r="AT2182" s="108" t="str">
        <f t="shared" si="963"/>
        <v/>
      </c>
      <c r="AU2182" s="108" t="str">
        <f t="shared" si="964"/>
        <v/>
      </c>
      <c r="AV2182" s="107" t="str">
        <f>IF(ISNUMBER(O2182),IF(VLOOKUP($A2182,Stand!C:J,8,FALSE)="Short",AT2182,AU2182),"")</f>
        <v/>
      </c>
      <c r="AW2182" s="109" t="str">
        <f t="shared" si="970"/>
        <v/>
      </c>
      <c r="AX2182" s="109" t="str">
        <f t="shared" si="971"/>
        <v/>
      </c>
      <c r="AY2182" s="112" t="str">
        <f>IF(ISNUMBER(O2182),IF(AND(VLOOKUP($D2182,Merchantability!$B:$C,2,0)="Yes",$E2182&gt;=VLOOKUP($D2182,Merchantability!$B:$D,3,0),$E2182&lt;=VLOOKUP($D2182,Merchantability!$B:$E,4,0)),(AV2182*O2182)*(1-$H2182/100),""),"")</f>
        <v/>
      </c>
      <c r="AZ2182" s="116"/>
      <c r="BA2182" s="116"/>
      <c r="BB2182" s="116"/>
      <c r="BE2182" s="62"/>
      <c r="BF2182" s="63"/>
    </row>
    <row r="2183" spans="1:58" ht="12.75" customHeight="1" x14ac:dyDescent="0.25">
      <c r="A2183" s="334"/>
      <c r="B2183" s="334"/>
      <c r="C2183" s="332"/>
      <c r="D2183" s="334"/>
      <c r="E2183" s="335"/>
      <c r="F2183" s="334"/>
      <c r="G2183" s="332"/>
      <c r="H2183" s="332"/>
      <c r="I2183" s="334"/>
      <c r="J2183" s="336"/>
      <c r="K2183" s="332"/>
      <c r="L2183" s="332"/>
      <c r="M2183" s="76"/>
      <c r="N2183" s="103" t="str">
        <f>IF(A2183="","",VLOOKUP(A2183,Stand!C:K,9,0))</f>
        <v/>
      </c>
      <c r="O2183" s="104" t="str">
        <f t="shared" si="956"/>
        <v/>
      </c>
      <c r="P2183" s="105" t="str">
        <f t="shared" si="957"/>
        <v/>
      </c>
      <c r="Q2183" s="105" t="str">
        <f t="shared" si="945"/>
        <v/>
      </c>
      <c r="R2183" s="103" t="str">
        <f t="shared" si="958"/>
        <v/>
      </c>
      <c r="S2183" s="103" t="str">
        <f t="shared" si="959"/>
        <v/>
      </c>
      <c r="T2183" s="106" t="str">
        <f t="shared" si="946"/>
        <v/>
      </c>
      <c r="U2183" s="106" t="str">
        <f t="shared" si="947"/>
        <v/>
      </c>
      <c r="V2183" s="106" t="str">
        <f t="shared" si="948"/>
        <v/>
      </c>
      <c r="W2183" s="105" t="str">
        <f t="shared" si="960"/>
        <v/>
      </c>
      <c r="X2183" s="104" t="str">
        <f t="shared" si="965"/>
        <v/>
      </c>
      <c r="Y2183" s="104" t="str">
        <f t="array" ref="Y2183">IFERROR(IF(ISNUMBER(O2183),IF(COUNT(IF(A2183=$A$2:$A$2427,IF(D2183=$D$2:$D$2427,IF($X$2:$X$2427&gt;0,1))))&gt;0,SUM(IF(A2183=$A$2:$A$2427,IF(D2183=$D$2:$D$2427,$X$2:$X$2427)))/COUNT(IF(A2183=$A$2:$A$2427,IF(D2183=$D$2:$D$2427,IF(ISNUMBER($X$2:$X$2427),1)))),0),""),0)</f>
        <v/>
      </c>
      <c r="Z2183" s="104" t="str">
        <f>IF(ISNUMBER(O2183),IF(I2183&gt;0,(10^(VLOOKUP(D2183,'Species Codes'!B:C,2,0)+VLOOKUP(D2183,'Species Codes'!B:D,3,0)*LOG(E2183)+VLOOKUP(D2183,'Species Codes'!B:E,4,0)*LOG(I2183))),0),"")</f>
        <v/>
      </c>
      <c r="AA2183" s="104" t="str">
        <f>IFERROR((VLOOKUP(D2183,'Species Codes'!B:G,6,0)*Z2183)/2000,"")</f>
        <v/>
      </c>
      <c r="AB2183" s="104" t="e">
        <f>IF(Z2183&gt;0,((IF(OR(D2183="DF",D2183="RA")=TRUE,EXP(VLOOKUP(D2183,'Species Codes'!B:I,8,0)+VLOOKUP(D2183,'Species Codes'!B:J,9,0)*(LN((E2183*2.54)))),IF(OR(D2183="PY",D2183="RC",D2183="WH",D2183="NF")=TRUE,VLOOKUP(D2183,'Species Codes'!B:I,8,0)+VLOOKUP(D2183,'Species Codes'!B:J,9,0)*((E2183*2.54)^2)*(I2183*0.3048),IF(OR(D2183="MD",D2183="BM",D2183="GA")=TRUE,((VLOOKUP(D2183,'Species Codes'!B:I,8,0)*(((((E2183*2.54)+VLOOKUP(D2183,'Species Codes'!B:J,9,0))/VLOOKUP(D2183,'Species Codes'!B:K,10,0))^VLOOKUP(D2183,'Species Codes'!B:L,11,0))*((I2183*0.3048)^VLOOKUP(D2183,'Species Codes'!B:M,12,0))))-(VLOOKUP(D2183,'Species Codes'!B:I,8,0)*((((E2183*2.54)^VLOOKUP(D2183,'Species Codes'!B:L,11,0))*((I2183*0.3048)^VLOOKUP(D2183,'Species Codes'!B:M,12,0))))))*35.3*VLOOKUP(D2183,'Species Codes'!B:G,6,0)/2.2046,VLOOKUP(D2183,'Species Codes'!B:I,8,0)+VLOOKUP(D2183,'Species Codes'!B:J,9,0)*(((E2183*2.54)/100)^2)*(I2183*0.3048)))))*0.0011023),0)</f>
        <v>#N/A</v>
      </c>
      <c r="AC2183" s="104" t="e">
        <f>IF(Z2183&gt;0,((IF(OR(D2183="RA",D2183="OA",D2183="OT",D2183="UN",D2183="PC"),EXP(VLOOKUP(D2183,'Species Codes'!B:O,14,0)+VLOOKUP(D2183,'Species Codes'!B:P,15,0)*LN((E2183*2.54)))-EXP(VLOOKUP(D2183,'Species Codes'!B:O,14,0)+VLOOKUP(D2183,'Species Codes'!B:P,15,0)*LN((E2183*2.54)))*(1/(VLOOKUP(D2183,'Species Codes'!B:Q,16,0)+VLOOKUP(D2183,'Species Codes'!B:R,17,0)*((E2183*2.54)^VLOOKUP(D2183,'Species Codes'!B:S,18,0)))),IF(OR(D2183="BM",D2183="MD",D2183="OA"),EXP(VLOOKUP(D2183,'Species Codes'!B:O,14,0)+VLOOKUP(D2183,'Species Codes'!B:P,15,0)*LN((E2183*2.54)))*(1-(1/(VLOOKUP(D2183,'Species Codes'!B:Q,16,0)+VLOOKUP(D2183,'Species Codes'!B:R,17,0)*((E2183*2.54)^VLOOKUP(D2183,'Species Codes'!B:S,18,0)))))/1000,IF(D2183="DF",EXP(VLOOKUP(D2183,'Species Codes'!B:O,14,0)+VLOOKUP(D2183,'Species Codes'!B:P,15,0)*LN((E2183*2.54))),VLOOKUP(D2183,'Species Codes'!B:O,14,0)+VLOOKUP(D2183,'Species Codes'!B:P,15,0)*(((E2183*2.54)/100)^2)*(I2183*0.3048)))))*0.0011023),0)</f>
        <v>#N/A</v>
      </c>
      <c r="AD2183" s="104" t="e">
        <f t="shared" si="949"/>
        <v>#N/A</v>
      </c>
      <c r="AE2183" s="104" t="e">
        <f t="shared" si="950"/>
        <v>#N/A</v>
      </c>
      <c r="AF2183" s="104" t="e">
        <f>IF(AND(VLOOKUP($D2183,Merchantability!$B:$C,2,0)="Yes",$E2183&gt;=VLOOKUP($D2183,Merchantability!$B:$D,3,0),$E2183&lt;=VLOOKUP($D2183,Merchantability!$B:$E,4,0)),AA2183,0)</f>
        <v>#N/A</v>
      </c>
      <c r="AG2183" s="104" t="e">
        <f>IF(AND(VLOOKUP($D2183,Merchantability!$B:$C,2,0)="Yes",$E2183&gt;=VLOOKUP($D2183,Merchantability!$B:$D,3,0),$E2183&lt;=VLOOKUP($D2183,Merchantability!$B:$E,4,0)),AB2183,0)</f>
        <v>#N/A</v>
      </c>
      <c r="AH2183" s="104" t="e">
        <f>IF(AND(VLOOKUP($D2183,Merchantability!$B:$C,2,0)="Yes",$E2183&gt;=VLOOKUP($D2183,Merchantability!$B:$D,3,0),$E2183&lt;=VLOOKUP($D2183,Merchantability!$B:$E,4,0)),AC2183,0)</f>
        <v>#N/A</v>
      </c>
      <c r="AI2183" s="104" t="e">
        <f t="shared" si="951"/>
        <v>#N/A</v>
      </c>
      <c r="AJ2183" s="104" t="e">
        <f t="shared" si="952"/>
        <v>#VALUE!</v>
      </c>
      <c r="AK2183" s="104" t="e">
        <f t="shared" si="953"/>
        <v>#N/A</v>
      </c>
      <c r="AL2183" s="104" t="e">
        <f t="shared" si="954"/>
        <v>#N/A</v>
      </c>
      <c r="AM2183" s="104" t="e">
        <f t="shared" si="955"/>
        <v>#N/A</v>
      </c>
      <c r="AN2183" s="104" t="e">
        <f t="shared" si="966"/>
        <v>#N/A</v>
      </c>
      <c r="AO2183" s="104" t="e">
        <f t="shared" si="967"/>
        <v>#N/A</v>
      </c>
      <c r="AP2183" s="104" t="e">
        <f t="shared" si="968"/>
        <v>#N/A</v>
      </c>
      <c r="AQ2183" s="104" t="e">
        <f t="shared" si="969"/>
        <v>#N/A</v>
      </c>
      <c r="AR2183" s="105" t="str">
        <f t="shared" si="961"/>
        <v/>
      </c>
      <c r="AS2183" s="105" t="str">
        <f t="shared" si="962"/>
        <v/>
      </c>
      <c r="AT2183" s="108" t="str">
        <f t="shared" si="963"/>
        <v/>
      </c>
      <c r="AU2183" s="108" t="str">
        <f t="shared" si="964"/>
        <v/>
      </c>
      <c r="AV2183" s="107" t="str">
        <f>IF(ISNUMBER(O2183),IF(VLOOKUP($A2183,Stand!C:J,8,FALSE)="Short",AT2183,AU2183),"")</f>
        <v/>
      </c>
      <c r="AW2183" s="109" t="str">
        <f t="shared" si="970"/>
        <v/>
      </c>
      <c r="AX2183" s="109" t="str">
        <f t="shared" si="971"/>
        <v/>
      </c>
      <c r="AY2183" s="112" t="str">
        <f>IF(ISNUMBER(O2183),IF(AND(VLOOKUP($D2183,Merchantability!$B:$C,2,0)="Yes",$E2183&gt;=VLOOKUP($D2183,Merchantability!$B:$D,3,0),$E2183&lt;=VLOOKUP($D2183,Merchantability!$B:$E,4,0)),(AV2183*O2183)*(1-$H2183/100),""),"")</f>
        <v/>
      </c>
      <c r="AZ2183" s="116"/>
      <c r="BA2183" s="116"/>
      <c r="BB2183" s="116"/>
      <c r="BE2183" s="62"/>
      <c r="BF2183" s="63"/>
    </row>
    <row r="2184" spans="1:58" ht="12.75" customHeight="1" x14ac:dyDescent="0.25">
      <c r="A2184" s="334"/>
      <c r="B2184" s="334"/>
      <c r="C2184" s="332"/>
      <c r="D2184" s="334"/>
      <c r="E2184" s="335"/>
      <c r="F2184" s="334"/>
      <c r="G2184" s="332"/>
      <c r="H2184" s="332"/>
      <c r="I2184" s="334"/>
      <c r="J2184" s="336"/>
      <c r="K2184" s="332"/>
      <c r="L2184" s="332"/>
      <c r="M2184" s="76"/>
      <c r="N2184" s="103" t="str">
        <f>IF(A2184="","",VLOOKUP(A2184,Stand!C:K,9,0))</f>
        <v/>
      </c>
      <c r="O2184" s="104" t="str">
        <f t="shared" si="956"/>
        <v/>
      </c>
      <c r="P2184" s="105" t="str">
        <f t="shared" si="957"/>
        <v/>
      </c>
      <c r="Q2184" s="105" t="str">
        <f t="shared" si="945"/>
        <v/>
      </c>
      <c r="R2184" s="103" t="str">
        <f t="shared" si="958"/>
        <v/>
      </c>
      <c r="S2184" s="103" t="str">
        <f t="shared" si="959"/>
        <v/>
      </c>
      <c r="T2184" s="106" t="str">
        <f t="shared" si="946"/>
        <v/>
      </c>
      <c r="U2184" s="106" t="str">
        <f t="shared" si="947"/>
        <v/>
      </c>
      <c r="V2184" s="106" t="str">
        <f t="shared" si="948"/>
        <v/>
      </c>
      <c r="W2184" s="105" t="str">
        <f t="shared" si="960"/>
        <v/>
      </c>
      <c r="X2184" s="104" t="str">
        <f t="shared" si="965"/>
        <v/>
      </c>
      <c r="Y2184" s="104" t="str">
        <f t="array" ref="Y2184">IFERROR(IF(ISNUMBER(O2184),IF(COUNT(IF(A2184=$A$2:$A$2427,IF(D2184=$D$2:$D$2427,IF($X$2:$X$2427&gt;0,1))))&gt;0,SUM(IF(A2184=$A$2:$A$2427,IF(D2184=$D$2:$D$2427,$X$2:$X$2427)))/COUNT(IF(A2184=$A$2:$A$2427,IF(D2184=$D$2:$D$2427,IF(ISNUMBER($X$2:$X$2427),1)))),0),""),0)</f>
        <v/>
      </c>
      <c r="Z2184" s="104" t="str">
        <f>IF(ISNUMBER(O2184),IF(I2184&gt;0,(10^(VLOOKUP(D2184,'Species Codes'!B:C,2,0)+VLOOKUP(D2184,'Species Codes'!B:D,3,0)*LOG(E2184)+VLOOKUP(D2184,'Species Codes'!B:E,4,0)*LOG(I2184))),0),"")</f>
        <v/>
      </c>
      <c r="AA2184" s="104" t="str">
        <f>IFERROR((VLOOKUP(D2184,'Species Codes'!B:G,6,0)*Z2184)/2000,"")</f>
        <v/>
      </c>
      <c r="AB2184" s="104" t="e">
        <f>IF(Z2184&gt;0,((IF(OR(D2184="DF",D2184="RA")=TRUE,EXP(VLOOKUP(D2184,'Species Codes'!B:I,8,0)+VLOOKUP(D2184,'Species Codes'!B:J,9,0)*(LN((E2184*2.54)))),IF(OR(D2184="PY",D2184="RC",D2184="WH",D2184="NF")=TRUE,VLOOKUP(D2184,'Species Codes'!B:I,8,0)+VLOOKUP(D2184,'Species Codes'!B:J,9,0)*((E2184*2.54)^2)*(I2184*0.3048),IF(OR(D2184="MD",D2184="BM",D2184="GA")=TRUE,((VLOOKUP(D2184,'Species Codes'!B:I,8,0)*(((((E2184*2.54)+VLOOKUP(D2184,'Species Codes'!B:J,9,0))/VLOOKUP(D2184,'Species Codes'!B:K,10,0))^VLOOKUP(D2184,'Species Codes'!B:L,11,0))*((I2184*0.3048)^VLOOKUP(D2184,'Species Codes'!B:M,12,0))))-(VLOOKUP(D2184,'Species Codes'!B:I,8,0)*((((E2184*2.54)^VLOOKUP(D2184,'Species Codes'!B:L,11,0))*((I2184*0.3048)^VLOOKUP(D2184,'Species Codes'!B:M,12,0))))))*35.3*VLOOKUP(D2184,'Species Codes'!B:G,6,0)/2.2046,VLOOKUP(D2184,'Species Codes'!B:I,8,0)+VLOOKUP(D2184,'Species Codes'!B:J,9,0)*(((E2184*2.54)/100)^2)*(I2184*0.3048)))))*0.0011023),0)</f>
        <v>#N/A</v>
      </c>
      <c r="AC2184" s="104" t="e">
        <f>IF(Z2184&gt;0,((IF(OR(D2184="RA",D2184="OA",D2184="OT",D2184="UN",D2184="PC"),EXP(VLOOKUP(D2184,'Species Codes'!B:O,14,0)+VLOOKUP(D2184,'Species Codes'!B:P,15,0)*LN((E2184*2.54)))-EXP(VLOOKUP(D2184,'Species Codes'!B:O,14,0)+VLOOKUP(D2184,'Species Codes'!B:P,15,0)*LN((E2184*2.54)))*(1/(VLOOKUP(D2184,'Species Codes'!B:Q,16,0)+VLOOKUP(D2184,'Species Codes'!B:R,17,0)*((E2184*2.54)^VLOOKUP(D2184,'Species Codes'!B:S,18,0)))),IF(OR(D2184="BM",D2184="MD",D2184="OA"),EXP(VLOOKUP(D2184,'Species Codes'!B:O,14,0)+VLOOKUP(D2184,'Species Codes'!B:P,15,0)*LN((E2184*2.54)))*(1-(1/(VLOOKUP(D2184,'Species Codes'!B:Q,16,0)+VLOOKUP(D2184,'Species Codes'!B:R,17,0)*((E2184*2.54)^VLOOKUP(D2184,'Species Codes'!B:S,18,0)))))/1000,IF(D2184="DF",EXP(VLOOKUP(D2184,'Species Codes'!B:O,14,0)+VLOOKUP(D2184,'Species Codes'!B:P,15,0)*LN((E2184*2.54))),VLOOKUP(D2184,'Species Codes'!B:O,14,0)+VLOOKUP(D2184,'Species Codes'!B:P,15,0)*(((E2184*2.54)/100)^2)*(I2184*0.3048)))))*0.0011023),0)</f>
        <v>#N/A</v>
      </c>
      <c r="AD2184" s="104" t="e">
        <f t="shared" si="949"/>
        <v>#N/A</v>
      </c>
      <c r="AE2184" s="104" t="e">
        <f t="shared" si="950"/>
        <v>#N/A</v>
      </c>
      <c r="AF2184" s="104" t="e">
        <f>IF(AND(VLOOKUP($D2184,Merchantability!$B:$C,2,0)="Yes",$E2184&gt;=VLOOKUP($D2184,Merchantability!$B:$D,3,0),$E2184&lt;=VLOOKUP($D2184,Merchantability!$B:$E,4,0)),AA2184,0)</f>
        <v>#N/A</v>
      </c>
      <c r="AG2184" s="104" t="e">
        <f>IF(AND(VLOOKUP($D2184,Merchantability!$B:$C,2,0)="Yes",$E2184&gt;=VLOOKUP($D2184,Merchantability!$B:$D,3,0),$E2184&lt;=VLOOKUP($D2184,Merchantability!$B:$E,4,0)),AB2184,0)</f>
        <v>#N/A</v>
      </c>
      <c r="AH2184" s="104" t="e">
        <f>IF(AND(VLOOKUP($D2184,Merchantability!$B:$C,2,0)="Yes",$E2184&gt;=VLOOKUP($D2184,Merchantability!$B:$D,3,0),$E2184&lt;=VLOOKUP($D2184,Merchantability!$B:$E,4,0)),AC2184,0)</f>
        <v>#N/A</v>
      </c>
      <c r="AI2184" s="104" t="e">
        <f t="shared" si="951"/>
        <v>#N/A</v>
      </c>
      <c r="AJ2184" s="104" t="e">
        <f t="shared" si="952"/>
        <v>#VALUE!</v>
      </c>
      <c r="AK2184" s="104" t="e">
        <f t="shared" si="953"/>
        <v>#N/A</v>
      </c>
      <c r="AL2184" s="104" t="e">
        <f t="shared" si="954"/>
        <v>#N/A</v>
      </c>
      <c r="AM2184" s="104" t="e">
        <f t="shared" si="955"/>
        <v>#N/A</v>
      </c>
      <c r="AN2184" s="104" t="e">
        <f t="shared" si="966"/>
        <v>#N/A</v>
      </c>
      <c r="AO2184" s="104" t="e">
        <f t="shared" si="967"/>
        <v>#N/A</v>
      </c>
      <c r="AP2184" s="104" t="e">
        <f t="shared" si="968"/>
        <v>#N/A</v>
      </c>
      <c r="AQ2184" s="104" t="e">
        <f t="shared" si="969"/>
        <v>#N/A</v>
      </c>
      <c r="AR2184" s="105" t="str">
        <f t="shared" si="961"/>
        <v/>
      </c>
      <c r="AS2184" s="105" t="str">
        <f t="shared" si="962"/>
        <v/>
      </c>
      <c r="AT2184" s="108" t="str">
        <f t="shared" si="963"/>
        <v/>
      </c>
      <c r="AU2184" s="108" t="str">
        <f t="shared" si="964"/>
        <v/>
      </c>
      <c r="AV2184" s="107" t="str">
        <f>IF(ISNUMBER(O2184),IF(VLOOKUP($A2184,Stand!C:J,8,FALSE)="Short",AT2184,AU2184),"")</f>
        <v/>
      </c>
      <c r="AW2184" s="109" t="str">
        <f t="shared" si="970"/>
        <v/>
      </c>
      <c r="AX2184" s="109" t="str">
        <f t="shared" si="971"/>
        <v/>
      </c>
      <c r="AY2184" s="112" t="str">
        <f>IF(ISNUMBER(O2184),IF(AND(VLOOKUP($D2184,Merchantability!$B:$C,2,0)="Yes",$E2184&gt;=VLOOKUP($D2184,Merchantability!$B:$D,3,0),$E2184&lt;=VLOOKUP($D2184,Merchantability!$B:$E,4,0)),(AV2184*O2184)*(1-$H2184/100),""),"")</f>
        <v/>
      </c>
      <c r="AZ2184" s="116"/>
      <c r="BA2184" s="116"/>
      <c r="BB2184" s="116"/>
      <c r="BE2184" s="62"/>
      <c r="BF2184" s="63"/>
    </row>
    <row r="2185" spans="1:58" ht="12.75" customHeight="1" x14ac:dyDescent="0.25">
      <c r="A2185" s="334"/>
      <c r="B2185" s="334"/>
      <c r="C2185" s="332"/>
      <c r="D2185" s="334"/>
      <c r="E2185" s="335"/>
      <c r="F2185" s="334"/>
      <c r="G2185" s="332"/>
      <c r="H2185" s="332"/>
      <c r="I2185" s="334"/>
      <c r="J2185" s="336"/>
      <c r="K2185" s="332"/>
      <c r="L2185" s="332"/>
      <c r="M2185" s="76"/>
      <c r="N2185" s="103" t="str">
        <f>IF(A2185="","",VLOOKUP(A2185,Stand!C:K,9,0))</f>
        <v/>
      </c>
      <c r="O2185" s="104" t="str">
        <f t="shared" si="956"/>
        <v/>
      </c>
      <c r="P2185" s="105" t="str">
        <f t="shared" si="957"/>
        <v/>
      </c>
      <c r="Q2185" s="105" t="str">
        <f t="shared" si="945"/>
        <v/>
      </c>
      <c r="R2185" s="103" t="str">
        <f t="shared" si="958"/>
        <v/>
      </c>
      <c r="S2185" s="103" t="str">
        <f t="shared" si="959"/>
        <v/>
      </c>
      <c r="T2185" s="106" t="str">
        <f t="shared" si="946"/>
        <v/>
      </c>
      <c r="U2185" s="106" t="str">
        <f t="shared" si="947"/>
        <v/>
      </c>
      <c r="V2185" s="106" t="str">
        <f t="shared" si="948"/>
        <v/>
      </c>
      <c r="W2185" s="105" t="str">
        <f t="shared" si="960"/>
        <v/>
      </c>
      <c r="X2185" s="104" t="str">
        <f t="shared" si="965"/>
        <v/>
      </c>
      <c r="Y2185" s="104" t="str">
        <f t="array" ref="Y2185">IFERROR(IF(ISNUMBER(O2185),IF(COUNT(IF(A2185=$A$2:$A$2427,IF(D2185=$D$2:$D$2427,IF($X$2:$X$2427&gt;0,1))))&gt;0,SUM(IF(A2185=$A$2:$A$2427,IF(D2185=$D$2:$D$2427,$X$2:$X$2427)))/COUNT(IF(A2185=$A$2:$A$2427,IF(D2185=$D$2:$D$2427,IF(ISNUMBER($X$2:$X$2427),1)))),0),""),0)</f>
        <v/>
      </c>
      <c r="Z2185" s="104" t="str">
        <f>IF(ISNUMBER(O2185),IF(I2185&gt;0,(10^(VLOOKUP(D2185,'Species Codes'!B:C,2,0)+VLOOKUP(D2185,'Species Codes'!B:D,3,0)*LOG(E2185)+VLOOKUP(D2185,'Species Codes'!B:E,4,0)*LOG(I2185))),0),"")</f>
        <v/>
      </c>
      <c r="AA2185" s="104" t="str">
        <f>IFERROR((VLOOKUP(D2185,'Species Codes'!B:G,6,0)*Z2185)/2000,"")</f>
        <v/>
      </c>
      <c r="AB2185" s="104" t="e">
        <f>IF(Z2185&gt;0,((IF(OR(D2185="DF",D2185="RA")=TRUE,EXP(VLOOKUP(D2185,'Species Codes'!B:I,8,0)+VLOOKUP(D2185,'Species Codes'!B:J,9,0)*(LN((E2185*2.54)))),IF(OR(D2185="PY",D2185="RC",D2185="WH",D2185="NF")=TRUE,VLOOKUP(D2185,'Species Codes'!B:I,8,0)+VLOOKUP(D2185,'Species Codes'!B:J,9,0)*((E2185*2.54)^2)*(I2185*0.3048),IF(OR(D2185="MD",D2185="BM",D2185="GA")=TRUE,((VLOOKUP(D2185,'Species Codes'!B:I,8,0)*(((((E2185*2.54)+VLOOKUP(D2185,'Species Codes'!B:J,9,0))/VLOOKUP(D2185,'Species Codes'!B:K,10,0))^VLOOKUP(D2185,'Species Codes'!B:L,11,0))*((I2185*0.3048)^VLOOKUP(D2185,'Species Codes'!B:M,12,0))))-(VLOOKUP(D2185,'Species Codes'!B:I,8,0)*((((E2185*2.54)^VLOOKUP(D2185,'Species Codes'!B:L,11,0))*((I2185*0.3048)^VLOOKUP(D2185,'Species Codes'!B:M,12,0))))))*35.3*VLOOKUP(D2185,'Species Codes'!B:G,6,0)/2.2046,VLOOKUP(D2185,'Species Codes'!B:I,8,0)+VLOOKUP(D2185,'Species Codes'!B:J,9,0)*(((E2185*2.54)/100)^2)*(I2185*0.3048)))))*0.0011023),0)</f>
        <v>#N/A</v>
      </c>
      <c r="AC2185" s="104" t="e">
        <f>IF(Z2185&gt;0,((IF(OR(D2185="RA",D2185="OA",D2185="OT",D2185="UN",D2185="PC"),EXP(VLOOKUP(D2185,'Species Codes'!B:O,14,0)+VLOOKUP(D2185,'Species Codes'!B:P,15,0)*LN((E2185*2.54)))-EXP(VLOOKUP(D2185,'Species Codes'!B:O,14,0)+VLOOKUP(D2185,'Species Codes'!B:P,15,0)*LN((E2185*2.54)))*(1/(VLOOKUP(D2185,'Species Codes'!B:Q,16,0)+VLOOKUP(D2185,'Species Codes'!B:R,17,0)*((E2185*2.54)^VLOOKUP(D2185,'Species Codes'!B:S,18,0)))),IF(OR(D2185="BM",D2185="MD",D2185="OA"),EXP(VLOOKUP(D2185,'Species Codes'!B:O,14,0)+VLOOKUP(D2185,'Species Codes'!B:P,15,0)*LN((E2185*2.54)))*(1-(1/(VLOOKUP(D2185,'Species Codes'!B:Q,16,0)+VLOOKUP(D2185,'Species Codes'!B:R,17,0)*((E2185*2.54)^VLOOKUP(D2185,'Species Codes'!B:S,18,0)))))/1000,IF(D2185="DF",EXP(VLOOKUP(D2185,'Species Codes'!B:O,14,0)+VLOOKUP(D2185,'Species Codes'!B:P,15,0)*LN((E2185*2.54))),VLOOKUP(D2185,'Species Codes'!B:O,14,0)+VLOOKUP(D2185,'Species Codes'!B:P,15,0)*(((E2185*2.54)/100)^2)*(I2185*0.3048)))))*0.0011023),0)</f>
        <v>#N/A</v>
      </c>
      <c r="AD2185" s="104" t="e">
        <f t="shared" si="949"/>
        <v>#N/A</v>
      </c>
      <c r="AE2185" s="104" t="e">
        <f t="shared" si="950"/>
        <v>#N/A</v>
      </c>
      <c r="AF2185" s="104" t="e">
        <f>IF(AND(VLOOKUP($D2185,Merchantability!$B:$C,2,0)="Yes",$E2185&gt;=VLOOKUP($D2185,Merchantability!$B:$D,3,0),$E2185&lt;=VLOOKUP($D2185,Merchantability!$B:$E,4,0)),AA2185,0)</f>
        <v>#N/A</v>
      </c>
      <c r="AG2185" s="104" t="e">
        <f>IF(AND(VLOOKUP($D2185,Merchantability!$B:$C,2,0)="Yes",$E2185&gt;=VLOOKUP($D2185,Merchantability!$B:$D,3,0),$E2185&lt;=VLOOKUP($D2185,Merchantability!$B:$E,4,0)),AB2185,0)</f>
        <v>#N/A</v>
      </c>
      <c r="AH2185" s="104" t="e">
        <f>IF(AND(VLOOKUP($D2185,Merchantability!$B:$C,2,0)="Yes",$E2185&gt;=VLOOKUP($D2185,Merchantability!$B:$D,3,0),$E2185&lt;=VLOOKUP($D2185,Merchantability!$B:$E,4,0)),AC2185,0)</f>
        <v>#N/A</v>
      </c>
      <c r="AI2185" s="104" t="e">
        <f t="shared" si="951"/>
        <v>#N/A</v>
      </c>
      <c r="AJ2185" s="104" t="e">
        <f t="shared" si="952"/>
        <v>#VALUE!</v>
      </c>
      <c r="AK2185" s="104" t="e">
        <f t="shared" si="953"/>
        <v>#N/A</v>
      </c>
      <c r="AL2185" s="104" t="e">
        <f t="shared" si="954"/>
        <v>#N/A</v>
      </c>
      <c r="AM2185" s="104" t="e">
        <f t="shared" si="955"/>
        <v>#N/A</v>
      </c>
      <c r="AN2185" s="104" t="e">
        <f t="shared" si="966"/>
        <v>#N/A</v>
      </c>
      <c r="AO2185" s="104" t="e">
        <f t="shared" si="967"/>
        <v>#N/A</v>
      </c>
      <c r="AP2185" s="104" t="e">
        <f t="shared" si="968"/>
        <v>#N/A</v>
      </c>
      <c r="AQ2185" s="104" t="e">
        <f t="shared" si="969"/>
        <v>#N/A</v>
      </c>
      <c r="AR2185" s="105" t="str">
        <f t="shared" si="961"/>
        <v/>
      </c>
      <c r="AS2185" s="105" t="str">
        <f t="shared" si="962"/>
        <v/>
      </c>
      <c r="AT2185" s="108" t="str">
        <f t="shared" si="963"/>
        <v/>
      </c>
      <c r="AU2185" s="108" t="str">
        <f t="shared" si="964"/>
        <v/>
      </c>
      <c r="AV2185" s="107" t="str">
        <f>IF(ISNUMBER(O2185),IF(VLOOKUP($A2185,Stand!C:J,8,FALSE)="Short",AT2185,AU2185),"")</f>
        <v/>
      </c>
      <c r="AW2185" s="109" t="str">
        <f t="shared" si="970"/>
        <v/>
      </c>
      <c r="AX2185" s="109" t="str">
        <f t="shared" si="971"/>
        <v/>
      </c>
      <c r="AY2185" s="112" t="str">
        <f>IF(ISNUMBER(O2185),IF(AND(VLOOKUP($D2185,Merchantability!$B:$C,2,0)="Yes",$E2185&gt;=VLOOKUP($D2185,Merchantability!$B:$D,3,0),$E2185&lt;=VLOOKUP($D2185,Merchantability!$B:$E,4,0)),(AV2185*O2185)*(1-$H2185/100),""),"")</f>
        <v/>
      </c>
      <c r="AZ2185" s="116"/>
      <c r="BA2185" s="116"/>
      <c r="BB2185" s="116"/>
      <c r="BE2185" s="62"/>
      <c r="BF2185" s="63"/>
    </row>
    <row r="2186" spans="1:58" ht="12.75" customHeight="1" x14ac:dyDescent="0.25">
      <c r="A2186" s="334"/>
      <c r="B2186" s="334"/>
      <c r="C2186" s="332"/>
      <c r="D2186" s="334"/>
      <c r="E2186" s="335"/>
      <c r="F2186" s="334"/>
      <c r="G2186" s="332"/>
      <c r="H2186" s="332"/>
      <c r="I2186" s="334"/>
      <c r="J2186" s="336"/>
      <c r="K2186" s="332"/>
      <c r="L2186" s="332"/>
      <c r="M2186" s="76"/>
      <c r="N2186" s="103" t="str">
        <f>IF(A2186="","",VLOOKUP(A2186,Stand!C:K,9,0))</f>
        <v/>
      </c>
      <c r="O2186" s="104" t="str">
        <f t="shared" si="956"/>
        <v/>
      </c>
      <c r="P2186" s="105" t="str">
        <f t="shared" si="957"/>
        <v/>
      </c>
      <c r="Q2186" s="105" t="str">
        <f t="shared" si="945"/>
        <v/>
      </c>
      <c r="R2186" s="103" t="str">
        <f t="shared" si="958"/>
        <v/>
      </c>
      <c r="S2186" s="103" t="str">
        <f t="shared" si="959"/>
        <v/>
      </c>
      <c r="T2186" s="106" t="str">
        <f t="shared" si="946"/>
        <v/>
      </c>
      <c r="U2186" s="106" t="str">
        <f t="shared" si="947"/>
        <v/>
      </c>
      <c r="V2186" s="106" t="str">
        <f t="shared" si="948"/>
        <v/>
      </c>
      <c r="W2186" s="105" t="str">
        <f t="shared" si="960"/>
        <v/>
      </c>
      <c r="X2186" s="104" t="str">
        <f t="shared" si="965"/>
        <v/>
      </c>
      <c r="Y2186" s="104" t="str">
        <f t="array" ref="Y2186">IFERROR(IF(ISNUMBER(O2186),IF(COUNT(IF(A2186=$A$2:$A$2427,IF(D2186=$D$2:$D$2427,IF($X$2:$X$2427&gt;0,1))))&gt;0,SUM(IF(A2186=$A$2:$A$2427,IF(D2186=$D$2:$D$2427,$X$2:$X$2427)))/COUNT(IF(A2186=$A$2:$A$2427,IF(D2186=$D$2:$D$2427,IF(ISNUMBER($X$2:$X$2427),1)))),0),""),0)</f>
        <v/>
      </c>
      <c r="Z2186" s="104" t="str">
        <f>IF(ISNUMBER(O2186),IF(I2186&gt;0,(10^(VLOOKUP(D2186,'Species Codes'!B:C,2,0)+VLOOKUP(D2186,'Species Codes'!B:D,3,0)*LOG(E2186)+VLOOKUP(D2186,'Species Codes'!B:E,4,0)*LOG(I2186))),0),"")</f>
        <v/>
      </c>
      <c r="AA2186" s="104" t="str">
        <f>IFERROR((VLOOKUP(D2186,'Species Codes'!B:G,6,0)*Z2186)/2000,"")</f>
        <v/>
      </c>
      <c r="AB2186" s="104" t="e">
        <f>IF(Z2186&gt;0,((IF(OR(D2186="DF",D2186="RA")=TRUE,EXP(VLOOKUP(D2186,'Species Codes'!B:I,8,0)+VLOOKUP(D2186,'Species Codes'!B:J,9,0)*(LN((E2186*2.54)))),IF(OR(D2186="PY",D2186="RC",D2186="WH",D2186="NF")=TRUE,VLOOKUP(D2186,'Species Codes'!B:I,8,0)+VLOOKUP(D2186,'Species Codes'!B:J,9,0)*((E2186*2.54)^2)*(I2186*0.3048),IF(OR(D2186="MD",D2186="BM",D2186="GA")=TRUE,((VLOOKUP(D2186,'Species Codes'!B:I,8,0)*(((((E2186*2.54)+VLOOKUP(D2186,'Species Codes'!B:J,9,0))/VLOOKUP(D2186,'Species Codes'!B:K,10,0))^VLOOKUP(D2186,'Species Codes'!B:L,11,0))*((I2186*0.3048)^VLOOKUP(D2186,'Species Codes'!B:M,12,0))))-(VLOOKUP(D2186,'Species Codes'!B:I,8,0)*((((E2186*2.54)^VLOOKUP(D2186,'Species Codes'!B:L,11,0))*((I2186*0.3048)^VLOOKUP(D2186,'Species Codes'!B:M,12,0))))))*35.3*VLOOKUP(D2186,'Species Codes'!B:G,6,0)/2.2046,VLOOKUP(D2186,'Species Codes'!B:I,8,0)+VLOOKUP(D2186,'Species Codes'!B:J,9,0)*(((E2186*2.54)/100)^2)*(I2186*0.3048)))))*0.0011023),0)</f>
        <v>#N/A</v>
      </c>
      <c r="AC2186" s="104" t="e">
        <f>IF(Z2186&gt;0,((IF(OR(D2186="RA",D2186="OA",D2186="OT",D2186="UN",D2186="PC"),EXP(VLOOKUP(D2186,'Species Codes'!B:O,14,0)+VLOOKUP(D2186,'Species Codes'!B:P,15,0)*LN((E2186*2.54)))-EXP(VLOOKUP(D2186,'Species Codes'!B:O,14,0)+VLOOKUP(D2186,'Species Codes'!B:P,15,0)*LN((E2186*2.54)))*(1/(VLOOKUP(D2186,'Species Codes'!B:Q,16,0)+VLOOKUP(D2186,'Species Codes'!B:R,17,0)*((E2186*2.54)^VLOOKUP(D2186,'Species Codes'!B:S,18,0)))),IF(OR(D2186="BM",D2186="MD",D2186="OA"),EXP(VLOOKUP(D2186,'Species Codes'!B:O,14,0)+VLOOKUP(D2186,'Species Codes'!B:P,15,0)*LN((E2186*2.54)))*(1-(1/(VLOOKUP(D2186,'Species Codes'!B:Q,16,0)+VLOOKUP(D2186,'Species Codes'!B:R,17,0)*((E2186*2.54)^VLOOKUP(D2186,'Species Codes'!B:S,18,0)))))/1000,IF(D2186="DF",EXP(VLOOKUP(D2186,'Species Codes'!B:O,14,0)+VLOOKUP(D2186,'Species Codes'!B:P,15,0)*LN((E2186*2.54))),VLOOKUP(D2186,'Species Codes'!B:O,14,0)+VLOOKUP(D2186,'Species Codes'!B:P,15,0)*(((E2186*2.54)/100)^2)*(I2186*0.3048)))))*0.0011023),0)</f>
        <v>#N/A</v>
      </c>
      <c r="AD2186" s="104" t="e">
        <f t="shared" si="949"/>
        <v>#N/A</v>
      </c>
      <c r="AE2186" s="104" t="e">
        <f t="shared" si="950"/>
        <v>#N/A</v>
      </c>
      <c r="AF2186" s="104" t="e">
        <f>IF(AND(VLOOKUP($D2186,Merchantability!$B:$C,2,0)="Yes",$E2186&gt;=VLOOKUP($D2186,Merchantability!$B:$D,3,0),$E2186&lt;=VLOOKUP($D2186,Merchantability!$B:$E,4,0)),AA2186,0)</f>
        <v>#N/A</v>
      </c>
      <c r="AG2186" s="104" t="e">
        <f>IF(AND(VLOOKUP($D2186,Merchantability!$B:$C,2,0)="Yes",$E2186&gt;=VLOOKUP($D2186,Merchantability!$B:$D,3,0),$E2186&lt;=VLOOKUP($D2186,Merchantability!$B:$E,4,0)),AB2186,0)</f>
        <v>#N/A</v>
      </c>
      <c r="AH2186" s="104" t="e">
        <f>IF(AND(VLOOKUP($D2186,Merchantability!$B:$C,2,0)="Yes",$E2186&gt;=VLOOKUP($D2186,Merchantability!$B:$D,3,0),$E2186&lt;=VLOOKUP($D2186,Merchantability!$B:$E,4,0)),AC2186,0)</f>
        <v>#N/A</v>
      </c>
      <c r="AI2186" s="104" t="e">
        <f t="shared" si="951"/>
        <v>#N/A</v>
      </c>
      <c r="AJ2186" s="104" t="e">
        <f t="shared" si="952"/>
        <v>#VALUE!</v>
      </c>
      <c r="AK2186" s="104" t="e">
        <f t="shared" si="953"/>
        <v>#N/A</v>
      </c>
      <c r="AL2186" s="104" t="e">
        <f t="shared" si="954"/>
        <v>#N/A</v>
      </c>
      <c r="AM2186" s="104" t="e">
        <f t="shared" si="955"/>
        <v>#N/A</v>
      </c>
      <c r="AN2186" s="104" t="e">
        <f t="shared" si="966"/>
        <v>#N/A</v>
      </c>
      <c r="AO2186" s="104" t="e">
        <f t="shared" si="967"/>
        <v>#N/A</v>
      </c>
      <c r="AP2186" s="104" t="e">
        <f t="shared" si="968"/>
        <v>#N/A</v>
      </c>
      <c r="AQ2186" s="104" t="e">
        <f t="shared" si="969"/>
        <v>#N/A</v>
      </c>
      <c r="AR2186" s="105" t="str">
        <f t="shared" si="961"/>
        <v/>
      </c>
      <c r="AS2186" s="105" t="str">
        <f t="shared" si="962"/>
        <v/>
      </c>
      <c r="AT2186" s="108" t="str">
        <f t="shared" si="963"/>
        <v/>
      </c>
      <c r="AU2186" s="108" t="str">
        <f t="shared" si="964"/>
        <v/>
      </c>
      <c r="AV2186" s="107" t="str">
        <f>IF(ISNUMBER(O2186),IF(VLOOKUP($A2186,Stand!C:J,8,FALSE)="Short",AT2186,AU2186),"")</f>
        <v/>
      </c>
      <c r="AW2186" s="109" t="str">
        <f t="shared" si="970"/>
        <v/>
      </c>
      <c r="AX2186" s="109" t="str">
        <f t="shared" si="971"/>
        <v/>
      </c>
      <c r="AY2186" s="112" t="str">
        <f>IF(ISNUMBER(O2186),IF(AND(VLOOKUP($D2186,Merchantability!$B:$C,2,0)="Yes",$E2186&gt;=VLOOKUP($D2186,Merchantability!$B:$D,3,0),$E2186&lt;=VLOOKUP($D2186,Merchantability!$B:$E,4,0)),(AV2186*O2186)*(1-$H2186/100),""),"")</f>
        <v/>
      </c>
      <c r="AZ2186" s="116"/>
      <c r="BA2186" s="116"/>
      <c r="BB2186" s="116"/>
      <c r="BE2186" s="62"/>
      <c r="BF2186" s="63"/>
    </row>
    <row r="2187" spans="1:58" ht="12.75" customHeight="1" x14ac:dyDescent="0.25">
      <c r="A2187" s="334"/>
      <c r="B2187" s="334"/>
      <c r="C2187" s="332"/>
      <c r="D2187" s="334"/>
      <c r="E2187" s="335"/>
      <c r="F2187" s="334"/>
      <c r="G2187" s="332"/>
      <c r="H2187" s="332"/>
      <c r="I2187" s="334"/>
      <c r="J2187" s="336"/>
      <c r="K2187" s="332"/>
      <c r="L2187" s="332"/>
      <c r="M2187" s="76"/>
      <c r="N2187" s="103" t="str">
        <f>IF(A2187="","",VLOOKUP(A2187,Stand!C:K,9,0))</f>
        <v/>
      </c>
      <c r="O2187" s="104" t="str">
        <f t="shared" si="956"/>
        <v/>
      </c>
      <c r="P2187" s="105" t="str">
        <f t="shared" si="957"/>
        <v/>
      </c>
      <c r="Q2187" s="105" t="str">
        <f t="shared" si="945"/>
        <v/>
      </c>
      <c r="R2187" s="103" t="str">
        <f t="shared" si="958"/>
        <v/>
      </c>
      <c r="S2187" s="103" t="str">
        <f t="shared" si="959"/>
        <v/>
      </c>
      <c r="T2187" s="106" t="str">
        <f t="shared" si="946"/>
        <v/>
      </c>
      <c r="U2187" s="106" t="str">
        <f t="shared" si="947"/>
        <v/>
      </c>
      <c r="V2187" s="106" t="str">
        <f t="shared" si="948"/>
        <v/>
      </c>
      <c r="W2187" s="105" t="str">
        <f t="shared" si="960"/>
        <v/>
      </c>
      <c r="X2187" s="104" t="str">
        <f t="shared" si="965"/>
        <v/>
      </c>
      <c r="Y2187" s="104" t="str">
        <f t="array" ref="Y2187">IFERROR(IF(ISNUMBER(O2187),IF(COUNT(IF(A2187=$A$2:$A$2427,IF(D2187=$D$2:$D$2427,IF($X$2:$X$2427&gt;0,1))))&gt;0,SUM(IF(A2187=$A$2:$A$2427,IF(D2187=$D$2:$D$2427,$X$2:$X$2427)))/COUNT(IF(A2187=$A$2:$A$2427,IF(D2187=$D$2:$D$2427,IF(ISNUMBER($X$2:$X$2427),1)))),0),""),0)</f>
        <v/>
      </c>
      <c r="Z2187" s="104" t="str">
        <f>IF(ISNUMBER(O2187),IF(I2187&gt;0,(10^(VLOOKUP(D2187,'Species Codes'!B:C,2,0)+VLOOKUP(D2187,'Species Codes'!B:D,3,0)*LOG(E2187)+VLOOKUP(D2187,'Species Codes'!B:E,4,0)*LOG(I2187))),0),"")</f>
        <v/>
      </c>
      <c r="AA2187" s="104" t="str">
        <f>IFERROR((VLOOKUP(D2187,'Species Codes'!B:G,6,0)*Z2187)/2000,"")</f>
        <v/>
      </c>
      <c r="AB2187" s="104" t="e">
        <f>IF(Z2187&gt;0,((IF(OR(D2187="DF",D2187="RA")=TRUE,EXP(VLOOKUP(D2187,'Species Codes'!B:I,8,0)+VLOOKUP(D2187,'Species Codes'!B:J,9,0)*(LN((E2187*2.54)))),IF(OR(D2187="PY",D2187="RC",D2187="WH",D2187="NF")=TRUE,VLOOKUP(D2187,'Species Codes'!B:I,8,0)+VLOOKUP(D2187,'Species Codes'!B:J,9,0)*((E2187*2.54)^2)*(I2187*0.3048),IF(OR(D2187="MD",D2187="BM",D2187="GA")=TRUE,((VLOOKUP(D2187,'Species Codes'!B:I,8,0)*(((((E2187*2.54)+VLOOKUP(D2187,'Species Codes'!B:J,9,0))/VLOOKUP(D2187,'Species Codes'!B:K,10,0))^VLOOKUP(D2187,'Species Codes'!B:L,11,0))*((I2187*0.3048)^VLOOKUP(D2187,'Species Codes'!B:M,12,0))))-(VLOOKUP(D2187,'Species Codes'!B:I,8,0)*((((E2187*2.54)^VLOOKUP(D2187,'Species Codes'!B:L,11,0))*((I2187*0.3048)^VLOOKUP(D2187,'Species Codes'!B:M,12,0))))))*35.3*VLOOKUP(D2187,'Species Codes'!B:G,6,0)/2.2046,VLOOKUP(D2187,'Species Codes'!B:I,8,0)+VLOOKUP(D2187,'Species Codes'!B:J,9,0)*(((E2187*2.54)/100)^2)*(I2187*0.3048)))))*0.0011023),0)</f>
        <v>#N/A</v>
      </c>
      <c r="AC2187" s="104" t="e">
        <f>IF(Z2187&gt;0,((IF(OR(D2187="RA",D2187="OA",D2187="OT",D2187="UN",D2187="PC"),EXP(VLOOKUP(D2187,'Species Codes'!B:O,14,0)+VLOOKUP(D2187,'Species Codes'!B:P,15,0)*LN((E2187*2.54)))-EXP(VLOOKUP(D2187,'Species Codes'!B:O,14,0)+VLOOKUP(D2187,'Species Codes'!B:P,15,0)*LN((E2187*2.54)))*(1/(VLOOKUP(D2187,'Species Codes'!B:Q,16,0)+VLOOKUP(D2187,'Species Codes'!B:R,17,0)*((E2187*2.54)^VLOOKUP(D2187,'Species Codes'!B:S,18,0)))),IF(OR(D2187="BM",D2187="MD",D2187="OA"),EXP(VLOOKUP(D2187,'Species Codes'!B:O,14,0)+VLOOKUP(D2187,'Species Codes'!B:P,15,0)*LN((E2187*2.54)))*(1-(1/(VLOOKUP(D2187,'Species Codes'!B:Q,16,0)+VLOOKUP(D2187,'Species Codes'!B:R,17,0)*((E2187*2.54)^VLOOKUP(D2187,'Species Codes'!B:S,18,0)))))/1000,IF(D2187="DF",EXP(VLOOKUP(D2187,'Species Codes'!B:O,14,0)+VLOOKUP(D2187,'Species Codes'!B:P,15,0)*LN((E2187*2.54))),VLOOKUP(D2187,'Species Codes'!B:O,14,0)+VLOOKUP(D2187,'Species Codes'!B:P,15,0)*(((E2187*2.54)/100)^2)*(I2187*0.3048)))))*0.0011023),0)</f>
        <v>#N/A</v>
      </c>
      <c r="AD2187" s="104" t="e">
        <f t="shared" si="949"/>
        <v>#N/A</v>
      </c>
      <c r="AE2187" s="104" t="e">
        <f t="shared" si="950"/>
        <v>#N/A</v>
      </c>
      <c r="AF2187" s="104" t="e">
        <f>IF(AND(VLOOKUP($D2187,Merchantability!$B:$C,2,0)="Yes",$E2187&gt;=VLOOKUP($D2187,Merchantability!$B:$D,3,0),$E2187&lt;=VLOOKUP($D2187,Merchantability!$B:$E,4,0)),AA2187,0)</f>
        <v>#N/A</v>
      </c>
      <c r="AG2187" s="104" t="e">
        <f>IF(AND(VLOOKUP($D2187,Merchantability!$B:$C,2,0)="Yes",$E2187&gt;=VLOOKUP($D2187,Merchantability!$B:$D,3,0),$E2187&lt;=VLOOKUP($D2187,Merchantability!$B:$E,4,0)),AB2187,0)</f>
        <v>#N/A</v>
      </c>
      <c r="AH2187" s="104" t="e">
        <f>IF(AND(VLOOKUP($D2187,Merchantability!$B:$C,2,0)="Yes",$E2187&gt;=VLOOKUP($D2187,Merchantability!$B:$D,3,0),$E2187&lt;=VLOOKUP($D2187,Merchantability!$B:$E,4,0)),AC2187,0)</f>
        <v>#N/A</v>
      </c>
      <c r="AI2187" s="104" t="e">
        <f t="shared" si="951"/>
        <v>#N/A</v>
      </c>
      <c r="AJ2187" s="104" t="e">
        <f t="shared" si="952"/>
        <v>#VALUE!</v>
      </c>
      <c r="AK2187" s="104" t="e">
        <f t="shared" si="953"/>
        <v>#N/A</v>
      </c>
      <c r="AL2187" s="104" t="e">
        <f t="shared" si="954"/>
        <v>#N/A</v>
      </c>
      <c r="AM2187" s="104" t="e">
        <f t="shared" si="955"/>
        <v>#N/A</v>
      </c>
      <c r="AN2187" s="104" t="e">
        <f t="shared" si="966"/>
        <v>#N/A</v>
      </c>
      <c r="AO2187" s="104" t="e">
        <f t="shared" si="967"/>
        <v>#N/A</v>
      </c>
      <c r="AP2187" s="104" t="e">
        <f t="shared" si="968"/>
        <v>#N/A</v>
      </c>
      <c r="AQ2187" s="104" t="e">
        <f t="shared" si="969"/>
        <v>#N/A</v>
      </c>
      <c r="AR2187" s="105" t="str">
        <f t="shared" si="961"/>
        <v/>
      </c>
      <c r="AS2187" s="105" t="str">
        <f t="shared" si="962"/>
        <v/>
      </c>
      <c r="AT2187" s="108" t="str">
        <f t="shared" si="963"/>
        <v/>
      </c>
      <c r="AU2187" s="108" t="str">
        <f t="shared" si="964"/>
        <v/>
      </c>
      <c r="AV2187" s="107" t="str">
        <f>IF(ISNUMBER(O2187),IF(VLOOKUP($A2187,Stand!C:J,8,FALSE)="Short",AT2187,AU2187),"")</f>
        <v/>
      </c>
      <c r="AW2187" s="109" t="str">
        <f t="shared" si="970"/>
        <v/>
      </c>
      <c r="AX2187" s="109" t="str">
        <f t="shared" si="971"/>
        <v/>
      </c>
      <c r="AY2187" s="112" t="str">
        <f>IF(ISNUMBER(O2187),IF(AND(VLOOKUP($D2187,Merchantability!$B:$C,2,0)="Yes",$E2187&gt;=VLOOKUP($D2187,Merchantability!$B:$D,3,0),$E2187&lt;=VLOOKUP($D2187,Merchantability!$B:$E,4,0)),(AV2187*O2187)*(1-$H2187/100),""),"")</f>
        <v/>
      </c>
      <c r="AZ2187" s="116"/>
      <c r="BA2187" s="116"/>
      <c r="BB2187" s="116"/>
      <c r="BE2187" s="62"/>
      <c r="BF2187" s="63"/>
    </row>
    <row r="2188" spans="1:58" ht="12.75" customHeight="1" x14ac:dyDescent="0.25">
      <c r="A2188" s="334"/>
      <c r="B2188" s="334"/>
      <c r="C2188" s="332"/>
      <c r="D2188" s="334"/>
      <c r="E2188" s="335"/>
      <c r="F2188" s="334"/>
      <c r="G2188" s="332"/>
      <c r="H2188" s="332"/>
      <c r="I2188" s="334"/>
      <c r="J2188" s="336"/>
      <c r="K2188" s="332"/>
      <c r="L2188" s="332"/>
      <c r="M2188" s="76"/>
      <c r="N2188" s="103" t="str">
        <f>IF(A2188="","",VLOOKUP(A2188,Stand!C:K,9,0))</f>
        <v/>
      </c>
      <c r="O2188" s="104" t="str">
        <f t="shared" si="956"/>
        <v/>
      </c>
      <c r="P2188" s="105" t="str">
        <f t="shared" si="957"/>
        <v/>
      </c>
      <c r="Q2188" s="105" t="str">
        <f t="shared" si="945"/>
        <v/>
      </c>
      <c r="R2188" s="103" t="str">
        <f t="shared" si="958"/>
        <v/>
      </c>
      <c r="S2188" s="103" t="str">
        <f t="shared" si="959"/>
        <v/>
      </c>
      <c r="T2188" s="106" t="str">
        <f t="shared" si="946"/>
        <v/>
      </c>
      <c r="U2188" s="106" t="str">
        <f t="shared" si="947"/>
        <v/>
      </c>
      <c r="V2188" s="106" t="str">
        <f t="shared" si="948"/>
        <v/>
      </c>
      <c r="W2188" s="105" t="str">
        <f t="shared" si="960"/>
        <v/>
      </c>
      <c r="X2188" s="104" t="str">
        <f t="shared" si="965"/>
        <v/>
      </c>
      <c r="Y2188" s="104" t="str">
        <f t="array" ref="Y2188">IFERROR(IF(ISNUMBER(O2188),IF(COUNT(IF(A2188=$A$2:$A$2427,IF(D2188=$D$2:$D$2427,IF($X$2:$X$2427&gt;0,1))))&gt;0,SUM(IF(A2188=$A$2:$A$2427,IF(D2188=$D$2:$D$2427,$X$2:$X$2427)))/COUNT(IF(A2188=$A$2:$A$2427,IF(D2188=$D$2:$D$2427,IF(ISNUMBER($X$2:$X$2427),1)))),0),""),0)</f>
        <v/>
      </c>
      <c r="Z2188" s="104" t="str">
        <f>IF(ISNUMBER(O2188),IF(I2188&gt;0,(10^(VLOOKUP(D2188,'Species Codes'!B:C,2,0)+VLOOKUP(D2188,'Species Codes'!B:D,3,0)*LOG(E2188)+VLOOKUP(D2188,'Species Codes'!B:E,4,0)*LOG(I2188))),0),"")</f>
        <v/>
      </c>
      <c r="AA2188" s="104" t="str">
        <f>IFERROR((VLOOKUP(D2188,'Species Codes'!B:G,6,0)*Z2188)/2000,"")</f>
        <v/>
      </c>
      <c r="AB2188" s="104" t="e">
        <f>IF(Z2188&gt;0,((IF(OR(D2188="DF",D2188="RA")=TRUE,EXP(VLOOKUP(D2188,'Species Codes'!B:I,8,0)+VLOOKUP(D2188,'Species Codes'!B:J,9,0)*(LN((E2188*2.54)))),IF(OR(D2188="PY",D2188="RC",D2188="WH",D2188="NF")=TRUE,VLOOKUP(D2188,'Species Codes'!B:I,8,0)+VLOOKUP(D2188,'Species Codes'!B:J,9,0)*((E2188*2.54)^2)*(I2188*0.3048),IF(OR(D2188="MD",D2188="BM",D2188="GA")=TRUE,((VLOOKUP(D2188,'Species Codes'!B:I,8,0)*(((((E2188*2.54)+VLOOKUP(D2188,'Species Codes'!B:J,9,0))/VLOOKUP(D2188,'Species Codes'!B:K,10,0))^VLOOKUP(D2188,'Species Codes'!B:L,11,0))*((I2188*0.3048)^VLOOKUP(D2188,'Species Codes'!B:M,12,0))))-(VLOOKUP(D2188,'Species Codes'!B:I,8,0)*((((E2188*2.54)^VLOOKUP(D2188,'Species Codes'!B:L,11,0))*((I2188*0.3048)^VLOOKUP(D2188,'Species Codes'!B:M,12,0))))))*35.3*VLOOKUP(D2188,'Species Codes'!B:G,6,0)/2.2046,VLOOKUP(D2188,'Species Codes'!B:I,8,0)+VLOOKUP(D2188,'Species Codes'!B:J,9,0)*(((E2188*2.54)/100)^2)*(I2188*0.3048)))))*0.0011023),0)</f>
        <v>#N/A</v>
      </c>
      <c r="AC2188" s="104" t="e">
        <f>IF(Z2188&gt;0,((IF(OR(D2188="RA",D2188="OA",D2188="OT",D2188="UN",D2188="PC"),EXP(VLOOKUP(D2188,'Species Codes'!B:O,14,0)+VLOOKUP(D2188,'Species Codes'!B:P,15,0)*LN((E2188*2.54)))-EXP(VLOOKUP(D2188,'Species Codes'!B:O,14,0)+VLOOKUP(D2188,'Species Codes'!B:P,15,0)*LN((E2188*2.54)))*(1/(VLOOKUP(D2188,'Species Codes'!B:Q,16,0)+VLOOKUP(D2188,'Species Codes'!B:R,17,0)*((E2188*2.54)^VLOOKUP(D2188,'Species Codes'!B:S,18,0)))),IF(OR(D2188="BM",D2188="MD",D2188="OA"),EXP(VLOOKUP(D2188,'Species Codes'!B:O,14,0)+VLOOKUP(D2188,'Species Codes'!B:P,15,0)*LN((E2188*2.54)))*(1-(1/(VLOOKUP(D2188,'Species Codes'!B:Q,16,0)+VLOOKUP(D2188,'Species Codes'!B:R,17,0)*((E2188*2.54)^VLOOKUP(D2188,'Species Codes'!B:S,18,0)))))/1000,IF(D2188="DF",EXP(VLOOKUP(D2188,'Species Codes'!B:O,14,0)+VLOOKUP(D2188,'Species Codes'!B:P,15,0)*LN((E2188*2.54))),VLOOKUP(D2188,'Species Codes'!B:O,14,0)+VLOOKUP(D2188,'Species Codes'!B:P,15,0)*(((E2188*2.54)/100)^2)*(I2188*0.3048)))))*0.0011023),0)</f>
        <v>#N/A</v>
      </c>
      <c r="AD2188" s="104" t="e">
        <f t="shared" si="949"/>
        <v>#N/A</v>
      </c>
      <c r="AE2188" s="104" t="e">
        <f t="shared" si="950"/>
        <v>#N/A</v>
      </c>
      <c r="AF2188" s="104" t="e">
        <f>IF(AND(VLOOKUP($D2188,Merchantability!$B:$C,2,0)="Yes",$E2188&gt;=VLOOKUP($D2188,Merchantability!$B:$D,3,0),$E2188&lt;=VLOOKUP($D2188,Merchantability!$B:$E,4,0)),AA2188,0)</f>
        <v>#N/A</v>
      </c>
      <c r="AG2188" s="104" t="e">
        <f>IF(AND(VLOOKUP($D2188,Merchantability!$B:$C,2,0)="Yes",$E2188&gt;=VLOOKUP($D2188,Merchantability!$B:$D,3,0),$E2188&lt;=VLOOKUP($D2188,Merchantability!$B:$E,4,0)),AB2188,0)</f>
        <v>#N/A</v>
      </c>
      <c r="AH2188" s="104" t="e">
        <f>IF(AND(VLOOKUP($D2188,Merchantability!$B:$C,2,0)="Yes",$E2188&gt;=VLOOKUP($D2188,Merchantability!$B:$D,3,0),$E2188&lt;=VLOOKUP($D2188,Merchantability!$B:$E,4,0)),AC2188,0)</f>
        <v>#N/A</v>
      </c>
      <c r="AI2188" s="104" t="e">
        <f t="shared" si="951"/>
        <v>#N/A</v>
      </c>
      <c r="AJ2188" s="104" t="e">
        <f t="shared" si="952"/>
        <v>#VALUE!</v>
      </c>
      <c r="AK2188" s="104" t="e">
        <f t="shared" si="953"/>
        <v>#N/A</v>
      </c>
      <c r="AL2188" s="104" t="e">
        <f t="shared" si="954"/>
        <v>#N/A</v>
      </c>
      <c r="AM2188" s="104" t="e">
        <f t="shared" si="955"/>
        <v>#N/A</v>
      </c>
      <c r="AN2188" s="104" t="e">
        <f t="shared" si="966"/>
        <v>#N/A</v>
      </c>
      <c r="AO2188" s="104" t="e">
        <f t="shared" si="967"/>
        <v>#N/A</v>
      </c>
      <c r="AP2188" s="104" t="e">
        <f t="shared" si="968"/>
        <v>#N/A</v>
      </c>
      <c r="AQ2188" s="104" t="e">
        <f t="shared" si="969"/>
        <v>#N/A</v>
      </c>
      <c r="AR2188" s="105" t="str">
        <f t="shared" si="961"/>
        <v/>
      </c>
      <c r="AS2188" s="105" t="str">
        <f t="shared" si="962"/>
        <v/>
      </c>
      <c r="AT2188" s="108" t="str">
        <f t="shared" si="963"/>
        <v/>
      </c>
      <c r="AU2188" s="108" t="str">
        <f t="shared" si="964"/>
        <v/>
      </c>
      <c r="AV2188" s="107" t="str">
        <f>IF(ISNUMBER(O2188),IF(VLOOKUP($A2188,Stand!C:J,8,FALSE)="Short",AT2188,AU2188),"")</f>
        <v/>
      </c>
      <c r="AW2188" s="109" t="str">
        <f t="shared" si="970"/>
        <v/>
      </c>
      <c r="AX2188" s="109" t="str">
        <f t="shared" si="971"/>
        <v/>
      </c>
      <c r="AY2188" s="112" t="str">
        <f>IF(ISNUMBER(O2188),IF(AND(VLOOKUP($D2188,Merchantability!$B:$C,2,0)="Yes",$E2188&gt;=VLOOKUP($D2188,Merchantability!$B:$D,3,0),$E2188&lt;=VLOOKUP($D2188,Merchantability!$B:$E,4,0)),(AV2188*O2188)*(1-$H2188/100),""),"")</f>
        <v/>
      </c>
      <c r="AZ2188" s="116"/>
      <c r="BA2188" s="116"/>
      <c r="BB2188" s="116"/>
      <c r="BE2188" s="62"/>
      <c r="BF2188" s="63"/>
    </row>
    <row r="2189" spans="1:58" ht="12.75" customHeight="1" x14ac:dyDescent="0.25">
      <c r="A2189" s="334"/>
      <c r="B2189" s="334"/>
      <c r="C2189" s="332"/>
      <c r="D2189" s="334"/>
      <c r="E2189" s="335"/>
      <c r="F2189" s="334"/>
      <c r="G2189" s="332"/>
      <c r="H2189" s="332"/>
      <c r="I2189" s="334"/>
      <c r="J2189" s="336"/>
      <c r="K2189" s="332"/>
      <c r="L2189" s="332"/>
      <c r="M2189" s="76"/>
      <c r="N2189" s="103" t="str">
        <f>IF(A2189="","",VLOOKUP(A2189,Stand!C:K,9,0))</f>
        <v/>
      </c>
      <c r="O2189" s="104" t="str">
        <f t="shared" si="956"/>
        <v/>
      </c>
      <c r="P2189" s="105" t="str">
        <f t="shared" si="957"/>
        <v/>
      </c>
      <c r="Q2189" s="105" t="str">
        <f t="shared" si="945"/>
        <v/>
      </c>
      <c r="R2189" s="103" t="str">
        <f t="shared" si="958"/>
        <v/>
      </c>
      <c r="S2189" s="103" t="str">
        <f t="shared" si="959"/>
        <v/>
      </c>
      <c r="T2189" s="106" t="str">
        <f t="shared" si="946"/>
        <v/>
      </c>
      <c r="U2189" s="106" t="str">
        <f t="shared" si="947"/>
        <v/>
      </c>
      <c r="V2189" s="106" t="str">
        <f t="shared" si="948"/>
        <v/>
      </c>
      <c r="W2189" s="105" t="str">
        <f t="shared" si="960"/>
        <v/>
      </c>
      <c r="X2189" s="104" t="str">
        <f t="shared" si="965"/>
        <v/>
      </c>
      <c r="Y2189" s="104" t="str">
        <f t="array" ref="Y2189">IFERROR(IF(ISNUMBER(O2189),IF(COUNT(IF(A2189=$A$2:$A$2427,IF(D2189=$D$2:$D$2427,IF($X$2:$X$2427&gt;0,1))))&gt;0,SUM(IF(A2189=$A$2:$A$2427,IF(D2189=$D$2:$D$2427,$X$2:$X$2427)))/COUNT(IF(A2189=$A$2:$A$2427,IF(D2189=$D$2:$D$2427,IF(ISNUMBER($X$2:$X$2427),1)))),0),""),0)</f>
        <v/>
      </c>
      <c r="Z2189" s="104" t="str">
        <f>IF(ISNUMBER(O2189),IF(I2189&gt;0,(10^(VLOOKUP(D2189,'Species Codes'!B:C,2,0)+VLOOKUP(D2189,'Species Codes'!B:D,3,0)*LOG(E2189)+VLOOKUP(D2189,'Species Codes'!B:E,4,0)*LOG(I2189))),0),"")</f>
        <v/>
      </c>
      <c r="AA2189" s="104" t="str">
        <f>IFERROR((VLOOKUP(D2189,'Species Codes'!B:G,6,0)*Z2189)/2000,"")</f>
        <v/>
      </c>
      <c r="AB2189" s="104" t="e">
        <f>IF(Z2189&gt;0,((IF(OR(D2189="DF",D2189="RA")=TRUE,EXP(VLOOKUP(D2189,'Species Codes'!B:I,8,0)+VLOOKUP(D2189,'Species Codes'!B:J,9,0)*(LN((E2189*2.54)))),IF(OR(D2189="PY",D2189="RC",D2189="WH",D2189="NF")=TRUE,VLOOKUP(D2189,'Species Codes'!B:I,8,0)+VLOOKUP(D2189,'Species Codes'!B:J,9,0)*((E2189*2.54)^2)*(I2189*0.3048),IF(OR(D2189="MD",D2189="BM",D2189="GA")=TRUE,((VLOOKUP(D2189,'Species Codes'!B:I,8,0)*(((((E2189*2.54)+VLOOKUP(D2189,'Species Codes'!B:J,9,0))/VLOOKUP(D2189,'Species Codes'!B:K,10,0))^VLOOKUP(D2189,'Species Codes'!B:L,11,0))*((I2189*0.3048)^VLOOKUP(D2189,'Species Codes'!B:M,12,0))))-(VLOOKUP(D2189,'Species Codes'!B:I,8,0)*((((E2189*2.54)^VLOOKUP(D2189,'Species Codes'!B:L,11,0))*((I2189*0.3048)^VLOOKUP(D2189,'Species Codes'!B:M,12,0))))))*35.3*VLOOKUP(D2189,'Species Codes'!B:G,6,0)/2.2046,VLOOKUP(D2189,'Species Codes'!B:I,8,0)+VLOOKUP(D2189,'Species Codes'!B:J,9,0)*(((E2189*2.54)/100)^2)*(I2189*0.3048)))))*0.0011023),0)</f>
        <v>#N/A</v>
      </c>
      <c r="AC2189" s="104" t="e">
        <f>IF(Z2189&gt;0,((IF(OR(D2189="RA",D2189="OA",D2189="OT",D2189="UN",D2189="PC"),EXP(VLOOKUP(D2189,'Species Codes'!B:O,14,0)+VLOOKUP(D2189,'Species Codes'!B:P,15,0)*LN((E2189*2.54)))-EXP(VLOOKUP(D2189,'Species Codes'!B:O,14,0)+VLOOKUP(D2189,'Species Codes'!B:P,15,0)*LN((E2189*2.54)))*(1/(VLOOKUP(D2189,'Species Codes'!B:Q,16,0)+VLOOKUP(D2189,'Species Codes'!B:R,17,0)*((E2189*2.54)^VLOOKUP(D2189,'Species Codes'!B:S,18,0)))),IF(OR(D2189="BM",D2189="MD",D2189="OA"),EXP(VLOOKUP(D2189,'Species Codes'!B:O,14,0)+VLOOKUP(D2189,'Species Codes'!B:P,15,0)*LN((E2189*2.54)))*(1-(1/(VLOOKUP(D2189,'Species Codes'!B:Q,16,0)+VLOOKUP(D2189,'Species Codes'!B:R,17,0)*((E2189*2.54)^VLOOKUP(D2189,'Species Codes'!B:S,18,0)))))/1000,IF(D2189="DF",EXP(VLOOKUP(D2189,'Species Codes'!B:O,14,0)+VLOOKUP(D2189,'Species Codes'!B:P,15,0)*LN((E2189*2.54))),VLOOKUP(D2189,'Species Codes'!B:O,14,0)+VLOOKUP(D2189,'Species Codes'!B:P,15,0)*(((E2189*2.54)/100)^2)*(I2189*0.3048)))))*0.0011023),0)</f>
        <v>#N/A</v>
      </c>
      <c r="AD2189" s="104" t="e">
        <f t="shared" si="949"/>
        <v>#N/A</v>
      </c>
      <c r="AE2189" s="104" t="e">
        <f t="shared" si="950"/>
        <v>#N/A</v>
      </c>
      <c r="AF2189" s="104" t="e">
        <f>IF(AND(VLOOKUP($D2189,Merchantability!$B:$C,2,0)="Yes",$E2189&gt;=VLOOKUP($D2189,Merchantability!$B:$D,3,0),$E2189&lt;=VLOOKUP($D2189,Merchantability!$B:$E,4,0)),AA2189,0)</f>
        <v>#N/A</v>
      </c>
      <c r="AG2189" s="104" t="e">
        <f>IF(AND(VLOOKUP($D2189,Merchantability!$B:$C,2,0)="Yes",$E2189&gt;=VLOOKUP($D2189,Merchantability!$B:$D,3,0),$E2189&lt;=VLOOKUP($D2189,Merchantability!$B:$E,4,0)),AB2189,0)</f>
        <v>#N/A</v>
      </c>
      <c r="AH2189" s="104" t="e">
        <f>IF(AND(VLOOKUP($D2189,Merchantability!$B:$C,2,0)="Yes",$E2189&gt;=VLOOKUP($D2189,Merchantability!$B:$D,3,0),$E2189&lt;=VLOOKUP($D2189,Merchantability!$B:$E,4,0)),AC2189,0)</f>
        <v>#N/A</v>
      </c>
      <c r="AI2189" s="104" t="e">
        <f t="shared" si="951"/>
        <v>#N/A</v>
      </c>
      <c r="AJ2189" s="104" t="e">
        <f t="shared" si="952"/>
        <v>#VALUE!</v>
      </c>
      <c r="AK2189" s="104" t="e">
        <f t="shared" si="953"/>
        <v>#N/A</v>
      </c>
      <c r="AL2189" s="104" t="e">
        <f t="shared" si="954"/>
        <v>#N/A</v>
      </c>
      <c r="AM2189" s="104" t="e">
        <f t="shared" si="955"/>
        <v>#N/A</v>
      </c>
      <c r="AN2189" s="104" t="e">
        <f t="shared" si="966"/>
        <v>#N/A</v>
      </c>
      <c r="AO2189" s="104" t="e">
        <f t="shared" si="967"/>
        <v>#N/A</v>
      </c>
      <c r="AP2189" s="104" t="e">
        <f t="shared" si="968"/>
        <v>#N/A</v>
      </c>
      <c r="AQ2189" s="104" t="e">
        <f t="shared" si="969"/>
        <v>#N/A</v>
      </c>
      <c r="AR2189" s="105" t="str">
        <f t="shared" si="961"/>
        <v/>
      </c>
      <c r="AS2189" s="105" t="str">
        <f t="shared" si="962"/>
        <v/>
      </c>
      <c r="AT2189" s="108" t="str">
        <f t="shared" si="963"/>
        <v/>
      </c>
      <c r="AU2189" s="108" t="str">
        <f t="shared" si="964"/>
        <v/>
      </c>
      <c r="AV2189" s="107" t="str">
        <f>IF(ISNUMBER(O2189),IF(VLOOKUP($A2189,Stand!C:J,8,FALSE)="Short",AT2189,AU2189),"")</f>
        <v/>
      </c>
      <c r="AW2189" s="109" t="str">
        <f t="shared" si="970"/>
        <v/>
      </c>
      <c r="AX2189" s="109" t="str">
        <f t="shared" si="971"/>
        <v/>
      </c>
      <c r="AY2189" s="112" t="str">
        <f>IF(ISNUMBER(O2189),IF(AND(VLOOKUP($D2189,Merchantability!$B:$C,2,0)="Yes",$E2189&gt;=VLOOKUP($D2189,Merchantability!$B:$D,3,0),$E2189&lt;=VLOOKUP($D2189,Merchantability!$B:$E,4,0)),(AV2189*O2189)*(1-$H2189/100),""),"")</f>
        <v/>
      </c>
      <c r="AZ2189" s="116"/>
      <c r="BA2189" s="116"/>
      <c r="BB2189" s="116"/>
      <c r="BE2189" s="62"/>
      <c r="BF2189" s="63"/>
    </row>
    <row r="2190" spans="1:58" ht="12.75" customHeight="1" x14ac:dyDescent="0.25">
      <c r="A2190" s="334"/>
      <c r="B2190" s="334"/>
      <c r="C2190" s="332"/>
      <c r="D2190" s="334"/>
      <c r="E2190" s="335"/>
      <c r="F2190" s="334"/>
      <c r="G2190" s="332"/>
      <c r="H2190" s="332"/>
      <c r="I2190" s="334"/>
      <c r="J2190" s="336"/>
      <c r="K2190" s="332"/>
      <c r="L2190" s="332"/>
      <c r="M2190" s="76"/>
      <c r="N2190" s="103" t="str">
        <f>IF(A2190="","",VLOOKUP(A2190,Stand!C:K,9,0))</f>
        <v/>
      </c>
      <c r="O2190" s="104" t="str">
        <f t="shared" si="956"/>
        <v/>
      </c>
      <c r="P2190" s="105" t="str">
        <f t="shared" si="957"/>
        <v/>
      </c>
      <c r="Q2190" s="105" t="str">
        <f t="shared" si="945"/>
        <v/>
      </c>
      <c r="R2190" s="103" t="str">
        <f t="shared" si="958"/>
        <v/>
      </c>
      <c r="S2190" s="103" t="str">
        <f t="shared" si="959"/>
        <v/>
      </c>
      <c r="T2190" s="106" t="str">
        <f t="shared" si="946"/>
        <v/>
      </c>
      <c r="U2190" s="106" t="str">
        <f t="shared" si="947"/>
        <v/>
      </c>
      <c r="V2190" s="106" t="str">
        <f t="shared" si="948"/>
        <v/>
      </c>
      <c r="W2190" s="105" t="str">
        <f t="shared" si="960"/>
        <v/>
      </c>
      <c r="X2190" s="104" t="str">
        <f t="shared" si="965"/>
        <v/>
      </c>
      <c r="Y2190" s="104" t="str">
        <f t="array" ref="Y2190">IFERROR(IF(ISNUMBER(O2190),IF(COUNT(IF(A2190=$A$2:$A$2427,IF(D2190=$D$2:$D$2427,IF($X$2:$X$2427&gt;0,1))))&gt;0,SUM(IF(A2190=$A$2:$A$2427,IF(D2190=$D$2:$D$2427,$X$2:$X$2427)))/COUNT(IF(A2190=$A$2:$A$2427,IF(D2190=$D$2:$D$2427,IF(ISNUMBER($X$2:$X$2427),1)))),0),""),0)</f>
        <v/>
      </c>
      <c r="Z2190" s="104" t="str">
        <f>IF(ISNUMBER(O2190),IF(I2190&gt;0,(10^(VLOOKUP(D2190,'Species Codes'!B:C,2,0)+VLOOKUP(D2190,'Species Codes'!B:D,3,0)*LOG(E2190)+VLOOKUP(D2190,'Species Codes'!B:E,4,0)*LOG(I2190))),0),"")</f>
        <v/>
      </c>
      <c r="AA2190" s="104" t="str">
        <f>IFERROR((VLOOKUP(D2190,'Species Codes'!B:G,6,0)*Z2190)/2000,"")</f>
        <v/>
      </c>
      <c r="AB2190" s="104" t="e">
        <f>IF(Z2190&gt;0,((IF(OR(D2190="DF",D2190="RA")=TRUE,EXP(VLOOKUP(D2190,'Species Codes'!B:I,8,0)+VLOOKUP(D2190,'Species Codes'!B:J,9,0)*(LN((E2190*2.54)))),IF(OR(D2190="PY",D2190="RC",D2190="WH",D2190="NF")=TRUE,VLOOKUP(D2190,'Species Codes'!B:I,8,0)+VLOOKUP(D2190,'Species Codes'!B:J,9,0)*((E2190*2.54)^2)*(I2190*0.3048),IF(OR(D2190="MD",D2190="BM",D2190="GA")=TRUE,((VLOOKUP(D2190,'Species Codes'!B:I,8,0)*(((((E2190*2.54)+VLOOKUP(D2190,'Species Codes'!B:J,9,0))/VLOOKUP(D2190,'Species Codes'!B:K,10,0))^VLOOKUP(D2190,'Species Codes'!B:L,11,0))*((I2190*0.3048)^VLOOKUP(D2190,'Species Codes'!B:M,12,0))))-(VLOOKUP(D2190,'Species Codes'!B:I,8,0)*((((E2190*2.54)^VLOOKUP(D2190,'Species Codes'!B:L,11,0))*((I2190*0.3048)^VLOOKUP(D2190,'Species Codes'!B:M,12,0))))))*35.3*VLOOKUP(D2190,'Species Codes'!B:G,6,0)/2.2046,VLOOKUP(D2190,'Species Codes'!B:I,8,0)+VLOOKUP(D2190,'Species Codes'!B:J,9,0)*(((E2190*2.54)/100)^2)*(I2190*0.3048)))))*0.0011023),0)</f>
        <v>#N/A</v>
      </c>
      <c r="AC2190" s="104" t="e">
        <f>IF(Z2190&gt;0,((IF(OR(D2190="RA",D2190="OA",D2190="OT",D2190="UN",D2190="PC"),EXP(VLOOKUP(D2190,'Species Codes'!B:O,14,0)+VLOOKUP(D2190,'Species Codes'!B:P,15,0)*LN((E2190*2.54)))-EXP(VLOOKUP(D2190,'Species Codes'!B:O,14,0)+VLOOKUP(D2190,'Species Codes'!B:P,15,0)*LN((E2190*2.54)))*(1/(VLOOKUP(D2190,'Species Codes'!B:Q,16,0)+VLOOKUP(D2190,'Species Codes'!B:R,17,0)*((E2190*2.54)^VLOOKUP(D2190,'Species Codes'!B:S,18,0)))),IF(OR(D2190="BM",D2190="MD",D2190="OA"),EXP(VLOOKUP(D2190,'Species Codes'!B:O,14,0)+VLOOKUP(D2190,'Species Codes'!B:P,15,0)*LN((E2190*2.54)))*(1-(1/(VLOOKUP(D2190,'Species Codes'!B:Q,16,0)+VLOOKUP(D2190,'Species Codes'!B:R,17,0)*((E2190*2.54)^VLOOKUP(D2190,'Species Codes'!B:S,18,0)))))/1000,IF(D2190="DF",EXP(VLOOKUP(D2190,'Species Codes'!B:O,14,0)+VLOOKUP(D2190,'Species Codes'!B:P,15,0)*LN((E2190*2.54))),VLOOKUP(D2190,'Species Codes'!B:O,14,0)+VLOOKUP(D2190,'Species Codes'!B:P,15,0)*(((E2190*2.54)/100)^2)*(I2190*0.3048)))))*0.0011023),0)</f>
        <v>#N/A</v>
      </c>
      <c r="AD2190" s="104" t="e">
        <f t="shared" si="949"/>
        <v>#N/A</v>
      </c>
      <c r="AE2190" s="104" t="e">
        <f t="shared" si="950"/>
        <v>#N/A</v>
      </c>
      <c r="AF2190" s="104" t="e">
        <f>IF(AND(VLOOKUP($D2190,Merchantability!$B:$C,2,0)="Yes",$E2190&gt;=VLOOKUP($D2190,Merchantability!$B:$D,3,0),$E2190&lt;=VLOOKUP($D2190,Merchantability!$B:$E,4,0)),AA2190,0)</f>
        <v>#N/A</v>
      </c>
      <c r="AG2190" s="104" t="e">
        <f>IF(AND(VLOOKUP($D2190,Merchantability!$B:$C,2,0)="Yes",$E2190&gt;=VLOOKUP($D2190,Merchantability!$B:$D,3,0),$E2190&lt;=VLOOKUP($D2190,Merchantability!$B:$E,4,0)),AB2190,0)</f>
        <v>#N/A</v>
      </c>
      <c r="AH2190" s="104" t="e">
        <f>IF(AND(VLOOKUP($D2190,Merchantability!$B:$C,2,0)="Yes",$E2190&gt;=VLOOKUP($D2190,Merchantability!$B:$D,3,0),$E2190&lt;=VLOOKUP($D2190,Merchantability!$B:$E,4,0)),AC2190,0)</f>
        <v>#N/A</v>
      </c>
      <c r="AI2190" s="104" t="e">
        <f t="shared" si="951"/>
        <v>#N/A</v>
      </c>
      <c r="AJ2190" s="104" t="e">
        <f t="shared" si="952"/>
        <v>#VALUE!</v>
      </c>
      <c r="AK2190" s="104" t="e">
        <f t="shared" si="953"/>
        <v>#N/A</v>
      </c>
      <c r="AL2190" s="104" t="e">
        <f t="shared" si="954"/>
        <v>#N/A</v>
      </c>
      <c r="AM2190" s="104" t="e">
        <f t="shared" si="955"/>
        <v>#N/A</v>
      </c>
      <c r="AN2190" s="104" t="e">
        <f t="shared" si="966"/>
        <v>#N/A</v>
      </c>
      <c r="AO2190" s="104" t="e">
        <f t="shared" si="967"/>
        <v>#N/A</v>
      </c>
      <c r="AP2190" s="104" t="e">
        <f t="shared" si="968"/>
        <v>#N/A</v>
      </c>
      <c r="AQ2190" s="104" t="e">
        <f t="shared" si="969"/>
        <v>#N/A</v>
      </c>
      <c r="AR2190" s="105" t="str">
        <f t="shared" si="961"/>
        <v/>
      </c>
      <c r="AS2190" s="105" t="str">
        <f t="shared" si="962"/>
        <v/>
      </c>
      <c r="AT2190" s="108" t="str">
        <f t="shared" si="963"/>
        <v/>
      </c>
      <c r="AU2190" s="108" t="str">
        <f t="shared" si="964"/>
        <v/>
      </c>
      <c r="AV2190" s="107" t="str">
        <f>IF(ISNUMBER(O2190),IF(VLOOKUP($A2190,Stand!C:J,8,FALSE)="Short",AT2190,AU2190),"")</f>
        <v/>
      </c>
      <c r="AW2190" s="109" t="str">
        <f t="shared" si="970"/>
        <v/>
      </c>
      <c r="AX2190" s="109" t="str">
        <f t="shared" si="971"/>
        <v/>
      </c>
      <c r="AY2190" s="112" t="str">
        <f>IF(ISNUMBER(O2190),IF(AND(VLOOKUP($D2190,Merchantability!$B:$C,2,0)="Yes",$E2190&gt;=VLOOKUP($D2190,Merchantability!$B:$D,3,0),$E2190&lt;=VLOOKUP($D2190,Merchantability!$B:$E,4,0)),(AV2190*O2190)*(1-$H2190/100),""),"")</f>
        <v/>
      </c>
      <c r="AZ2190" s="116"/>
      <c r="BA2190" s="116"/>
      <c r="BB2190" s="116"/>
      <c r="BE2190" s="62"/>
      <c r="BF2190" s="63"/>
    </row>
    <row r="2191" spans="1:58" ht="12.75" customHeight="1" x14ac:dyDescent="0.25">
      <c r="A2191" s="334"/>
      <c r="B2191" s="334"/>
      <c r="C2191" s="332"/>
      <c r="D2191" s="334"/>
      <c r="E2191" s="335"/>
      <c r="F2191" s="334"/>
      <c r="G2191" s="332"/>
      <c r="H2191" s="332"/>
      <c r="I2191" s="334"/>
      <c r="J2191" s="336"/>
      <c r="K2191" s="332"/>
      <c r="L2191" s="332"/>
      <c r="M2191" s="76"/>
      <c r="N2191" s="103" t="str">
        <f>IF(A2191="","",VLOOKUP(A2191,Stand!C:K,9,0))</f>
        <v/>
      </c>
      <c r="O2191" s="104" t="str">
        <f t="shared" si="956"/>
        <v/>
      </c>
      <c r="P2191" s="105" t="str">
        <f t="shared" si="957"/>
        <v/>
      </c>
      <c r="Q2191" s="105" t="str">
        <f t="shared" si="945"/>
        <v/>
      </c>
      <c r="R2191" s="103" t="str">
        <f t="shared" si="958"/>
        <v/>
      </c>
      <c r="S2191" s="103" t="str">
        <f t="shared" si="959"/>
        <v/>
      </c>
      <c r="T2191" s="106" t="str">
        <f t="shared" si="946"/>
        <v/>
      </c>
      <c r="U2191" s="106" t="str">
        <f t="shared" si="947"/>
        <v/>
      </c>
      <c r="V2191" s="106" t="str">
        <f t="shared" si="948"/>
        <v/>
      </c>
      <c r="W2191" s="105" t="str">
        <f t="shared" si="960"/>
        <v/>
      </c>
      <c r="X2191" s="104" t="str">
        <f t="shared" si="965"/>
        <v/>
      </c>
      <c r="Y2191" s="104" t="str">
        <f t="array" ref="Y2191">IFERROR(IF(ISNUMBER(O2191),IF(COUNT(IF(A2191=$A$2:$A$2427,IF(D2191=$D$2:$D$2427,IF($X$2:$X$2427&gt;0,1))))&gt;0,SUM(IF(A2191=$A$2:$A$2427,IF(D2191=$D$2:$D$2427,$X$2:$X$2427)))/COUNT(IF(A2191=$A$2:$A$2427,IF(D2191=$D$2:$D$2427,IF(ISNUMBER($X$2:$X$2427),1)))),0),""),0)</f>
        <v/>
      </c>
      <c r="Z2191" s="104" t="str">
        <f>IF(ISNUMBER(O2191),IF(I2191&gt;0,(10^(VLOOKUP(D2191,'Species Codes'!B:C,2,0)+VLOOKUP(D2191,'Species Codes'!B:D,3,0)*LOG(E2191)+VLOOKUP(D2191,'Species Codes'!B:E,4,0)*LOG(I2191))),0),"")</f>
        <v/>
      </c>
      <c r="AA2191" s="104" t="str">
        <f>IFERROR((VLOOKUP(D2191,'Species Codes'!B:G,6,0)*Z2191)/2000,"")</f>
        <v/>
      </c>
      <c r="AB2191" s="104" t="e">
        <f>IF(Z2191&gt;0,((IF(OR(D2191="DF",D2191="RA")=TRUE,EXP(VLOOKUP(D2191,'Species Codes'!B:I,8,0)+VLOOKUP(D2191,'Species Codes'!B:J,9,0)*(LN((E2191*2.54)))),IF(OR(D2191="PY",D2191="RC",D2191="WH",D2191="NF")=TRUE,VLOOKUP(D2191,'Species Codes'!B:I,8,0)+VLOOKUP(D2191,'Species Codes'!B:J,9,0)*((E2191*2.54)^2)*(I2191*0.3048),IF(OR(D2191="MD",D2191="BM",D2191="GA")=TRUE,((VLOOKUP(D2191,'Species Codes'!B:I,8,0)*(((((E2191*2.54)+VLOOKUP(D2191,'Species Codes'!B:J,9,0))/VLOOKUP(D2191,'Species Codes'!B:K,10,0))^VLOOKUP(D2191,'Species Codes'!B:L,11,0))*((I2191*0.3048)^VLOOKUP(D2191,'Species Codes'!B:M,12,0))))-(VLOOKUP(D2191,'Species Codes'!B:I,8,0)*((((E2191*2.54)^VLOOKUP(D2191,'Species Codes'!B:L,11,0))*((I2191*0.3048)^VLOOKUP(D2191,'Species Codes'!B:M,12,0))))))*35.3*VLOOKUP(D2191,'Species Codes'!B:G,6,0)/2.2046,VLOOKUP(D2191,'Species Codes'!B:I,8,0)+VLOOKUP(D2191,'Species Codes'!B:J,9,0)*(((E2191*2.54)/100)^2)*(I2191*0.3048)))))*0.0011023),0)</f>
        <v>#N/A</v>
      </c>
      <c r="AC2191" s="104" t="e">
        <f>IF(Z2191&gt;0,((IF(OR(D2191="RA",D2191="OA",D2191="OT",D2191="UN",D2191="PC"),EXP(VLOOKUP(D2191,'Species Codes'!B:O,14,0)+VLOOKUP(D2191,'Species Codes'!B:P,15,0)*LN((E2191*2.54)))-EXP(VLOOKUP(D2191,'Species Codes'!B:O,14,0)+VLOOKUP(D2191,'Species Codes'!B:P,15,0)*LN((E2191*2.54)))*(1/(VLOOKUP(D2191,'Species Codes'!B:Q,16,0)+VLOOKUP(D2191,'Species Codes'!B:R,17,0)*((E2191*2.54)^VLOOKUP(D2191,'Species Codes'!B:S,18,0)))),IF(OR(D2191="BM",D2191="MD",D2191="OA"),EXP(VLOOKUP(D2191,'Species Codes'!B:O,14,0)+VLOOKUP(D2191,'Species Codes'!B:P,15,0)*LN((E2191*2.54)))*(1-(1/(VLOOKUP(D2191,'Species Codes'!B:Q,16,0)+VLOOKUP(D2191,'Species Codes'!B:R,17,0)*((E2191*2.54)^VLOOKUP(D2191,'Species Codes'!B:S,18,0)))))/1000,IF(D2191="DF",EXP(VLOOKUP(D2191,'Species Codes'!B:O,14,0)+VLOOKUP(D2191,'Species Codes'!B:P,15,0)*LN((E2191*2.54))),VLOOKUP(D2191,'Species Codes'!B:O,14,0)+VLOOKUP(D2191,'Species Codes'!B:P,15,0)*(((E2191*2.54)/100)^2)*(I2191*0.3048)))))*0.0011023),0)</f>
        <v>#N/A</v>
      </c>
      <c r="AD2191" s="104" t="e">
        <f t="shared" si="949"/>
        <v>#N/A</v>
      </c>
      <c r="AE2191" s="104" t="e">
        <f t="shared" si="950"/>
        <v>#N/A</v>
      </c>
      <c r="AF2191" s="104" t="e">
        <f>IF(AND(VLOOKUP($D2191,Merchantability!$B:$C,2,0)="Yes",$E2191&gt;=VLOOKUP($D2191,Merchantability!$B:$D,3,0),$E2191&lt;=VLOOKUP($D2191,Merchantability!$B:$E,4,0)),AA2191,0)</f>
        <v>#N/A</v>
      </c>
      <c r="AG2191" s="104" t="e">
        <f>IF(AND(VLOOKUP($D2191,Merchantability!$B:$C,2,0)="Yes",$E2191&gt;=VLOOKUP($D2191,Merchantability!$B:$D,3,0),$E2191&lt;=VLOOKUP($D2191,Merchantability!$B:$E,4,0)),AB2191,0)</f>
        <v>#N/A</v>
      </c>
      <c r="AH2191" s="104" t="e">
        <f>IF(AND(VLOOKUP($D2191,Merchantability!$B:$C,2,0)="Yes",$E2191&gt;=VLOOKUP($D2191,Merchantability!$B:$D,3,0),$E2191&lt;=VLOOKUP($D2191,Merchantability!$B:$E,4,0)),AC2191,0)</f>
        <v>#N/A</v>
      </c>
      <c r="AI2191" s="104" t="e">
        <f t="shared" si="951"/>
        <v>#N/A</v>
      </c>
      <c r="AJ2191" s="104" t="e">
        <f t="shared" si="952"/>
        <v>#VALUE!</v>
      </c>
      <c r="AK2191" s="104" t="e">
        <f t="shared" si="953"/>
        <v>#N/A</v>
      </c>
      <c r="AL2191" s="104" t="e">
        <f t="shared" si="954"/>
        <v>#N/A</v>
      </c>
      <c r="AM2191" s="104" t="e">
        <f t="shared" si="955"/>
        <v>#N/A</v>
      </c>
      <c r="AN2191" s="104" t="e">
        <f t="shared" si="966"/>
        <v>#N/A</v>
      </c>
      <c r="AO2191" s="104" t="e">
        <f t="shared" si="967"/>
        <v>#N/A</v>
      </c>
      <c r="AP2191" s="104" t="e">
        <f t="shared" si="968"/>
        <v>#N/A</v>
      </c>
      <c r="AQ2191" s="104" t="e">
        <f t="shared" si="969"/>
        <v>#N/A</v>
      </c>
      <c r="AR2191" s="105" t="str">
        <f t="shared" si="961"/>
        <v/>
      </c>
      <c r="AS2191" s="105" t="str">
        <f t="shared" si="962"/>
        <v/>
      </c>
      <c r="AT2191" s="108" t="str">
        <f t="shared" si="963"/>
        <v/>
      </c>
      <c r="AU2191" s="108" t="str">
        <f t="shared" si="964"/>
        <v/>
      </c>
      <c r="AV2191" s="107" t="str">
        <f>IF(ISNUMBER(O2191),IF(VLOOKUP($A2191,Stand!C:J,8,FALSE)="Short",AT2191,AU2191),"")</f>
        <v/>
      </c>
      <c r="AW2191" s="109" t="str">
        <f t="shared" si="970"/>
        <v/>
      </c>
      <c r="AX2191" s="109" t="str">
        <f t="shared" si="971"/>
        <v/>
      </c>
      <c r="AY2191" s="112" t="str">
        <f>IF(ISNUMBER(O2191),IF(AND(VLOOKUP($D2191,Merchantability!$B:$C,2,0)="Yes",$E2191&gt;=VLOOKUP($D2191,Merchantability!$B:$D,3,0),$E2191&lt;=VLOOKUP($D2191,Merchantability!$B:$E,4,0)),(AV2191*O2191)*(1-$H2191/100),""),"")</f>
        <v/>
      </c>
      <c r="AZ2191" s="116"/>
      <c r="BA2191" s="116"/>
      <c r="BB2191" s="116"/>
      <c r="BE2191" s="62"/>
      <c r="BF2191" s="63"/>
    </row>
    <row r="2192" spans="1:58" ht="12.75" customHeight="1" x14ac:dyDescent="0.25">
      <c r="A2192" s="334"/>
      <c r="B2192" s="334"/>
      <c r="C2192" s="332"/>
      <c r="D2192" s="334"/>
      <c r="E2192" s="335"/>
      <c r="F2192" s="334"/>
      <c r="G2192" s="332"/>
      <c r="H2192" s="332"/>
      <c r="I2192" s="334"/>
      <c r="J2192" s="336"/>
      <c r="K2192" s="332"/>
      <c r="L2192" s="332"/>
      <c r="M2192" s="76"/>
      <c r="N2192" s="103" t="str">
        <f>IF(A2192="","",VLOOKUP(A2192,Stand!C:K,9,0))</f>
        <v/>
      </c>
      <c r="O2192" s="104" t="str">
        <f t="shared" si="956"/>
        <v/>
      </c>
      <c r="P2192" s="105" t="str">
        <f t="shared" si="957"/>
        <v/>
      </c>
      <c r="Q2192" s="105" t="str">
        <f t="shared" si="945"/>
        <v/>
      </c>
      <c r="R2192" s="103" t="str">
        <f t="shared" si="958"/>
        <v/>
      </c>
      <c r="S2192" s="103" t="str">
        <f t="shared" si="959"/>
        <v/>
      </c>
      <c r="T2192" s="106" t="str">
        <f t="shared" si="946"/>
        <v/>
      </c>
      <c r="U2192" s="106" t="str">
        <f t="shared" si="947"/>
        <v/>
      </c>
      <c r="V2192" s="106" t="str">
        <f t="shared" si="948"/>
        <v/>
      </c>
      <c r="W2192" s="105" t="str">
        <f t="shared" si="960"/>
        <v/>
      </c>
      <c r="X2192" s="104" t="str">
        <f t="shared" si="965"/>
        <v/>
      </c>
      <c r="Y2192" s="104" t="str">
        <f t="array" ref="Y2192">IFERROR(IF(ISNUMBER(O2192),IF(COUNT(IF(A2192=$A$2:$A$2427,IF(D2192=$D$2:$D$2427,IF($X$2:$X$2427&gt;0,1))))&gt;0,SUM(IF(A2192=$A$2:$A$2427,IF(D2192=$D$2:$D$2427,$X$2:$X$2427)))/COUNT(IF(A2192=$A$2:$A$2427,IF(D2192=$D$2:$D$2427,IF(ISNUMBER($X$2:$X$2427),1)))),0),""),0)</f>
        <v/>
      </c>
      <c r="Z2192" s="104" t="str">
        <f>IF(ISNUMBER(O2192),IF(I2192&gt;0,(10^(VLOOKUP(D2192,'Species Codes'!B:C,2,0)+VLOOKUP(D2192,'Species Codes'!B:D,3,0)*LOG(E2192)+VLOOKUP(D2192,'Species Codes'!B:E,4,0)*LOG(I2192))),0),"")</f>
        <v/>
      </c>
      <c r="AA2192" s="104" t="str">
        <f>IFERROR((VLOOKUP(D2192,'Species Codes'!B:G,6,0)*Z2192)/2000,"")</f>
        <v/>
      </c>
      <c r="AB2192" s="104" t="e">
        <f>IF(Z2192&gt;0,((IF(OR(D2192="DF",D2192="RA")=TRUE,EXP(VLOOKUP(D2192,'Species Codes'!B:I,8,0)+VLOOKUP(D2192,'Species Codes'!B:J,9,0)*(LN((E2192*2.54)))),IF(OR(D2192="PY",D2192="RC",D2192="WH",D2192="NF")=TRUE,VLOOKUP(D2192,'Species Codes'!B:I,8,0)+VLOOKUP(D2192,'Species Codes'!B:J,9,0)*((E2192*2.54)^2)*(I2192*0.3048),IF(OR(D2192="MD",D2192="BM",D2192="GA")=TRUE,((VLOOKUP(D2192,'Species Codes'!B:I,8,0)*(((((E2192*2.54)+VLOOKUP(D2192,'Species Codes'!B:J,9,0))/VLOOKUP(D2192,'Species Codes'!B:K,10,0))^VLOOKUP(D2192,'Species Codes'!B:L,11,0))*((I2192*0.3048)^VLOOKUP(D2192,'Species Codes'!B:M,12,0))))-(VLOOKUP(D2192,'Species Codes'!B:I,8,0)*((((E2192*2.54)^VLOOKUP(D2192,'Species Codes'!B:L,11,0))*((I2192*0.3048)^VLOOKUP(D2192,'Species Codes'!B:M,12,0))))))*35.3*VLOOKUP(D2192,'Species Codes'!B:G,6,0)/2.2046,VLOOKUP(D2192,'Species Codes'!B:I,8,0)+VLOOKUP(D2192,'Species Codes'!B:J,9,0)*(((E2192*2.54)/100)^2)*(I2192*0.3048)))))*0.0011023),0)</f>
        <v>#N/A</v>
      </c>
      <c r="AC2192" s="104" t="e">
        <f>IF(Z2192&gt;0,((IF(OR(D2192="RA",D2192="OA",D2192="OT",D2192="UN",D2192="PC"),EXP(VLOOKUP(D2192,'Species Codes'!B:O,14,0)+VLOOKUP(D2192,'Species Codes'!B:P,15,0)*LN((E2192*2.54)))-EXP(VLOOKUP(D2192,'Species Codes'!B:O,14,0)+VLOOKUP(D2192,'Species Codes'!B:P,15,0)*LN((E2192*2.54)))*(1/(VLOOKUP(D2192,'Species Codes'!B:Q,16,0)+VLOOKUP(D2192,'Species Codes'!B:R,17,0)*((E2192*2.54)^VLOOKUP(D2192,'Species Codes'!B:S,18,0)))),IF(OR(D2192="BM",D2192="MD",D2192="OA"),EXP(VLOOKUP(D2192,'Species Codes'!B:O,14,0)+VLOOKUP(D2192,'Species Codes'!B:P,15,0)*LN((E2192*2.54)))*(1-(1/(VLOOKUP(D2192,'Species Codes'!B:Q,16,0)+VLOOKUP(D2192,'Species Codes'!B:R,17,0)*((E2192*2.54)^VLOOKUP(D2192,'Species Codes'!B:S,18,0)))))/1000,IF(D2192="DF",EXP(VLOOKUP(D2192,'Species Codes'!B:O,14,0)+VLOOKUP(D2192,'Species Codes'!B:P,15,0)*LN((E2192*2.54))),VLOOKUP(D2192,'Species Codes'!B:O,14,0)+VLOOKUP(D2192,'Species Codes'!B:P,15,0)*(((E2192*2.54)/100)^2)*(I2192*0.3048)))))*0.0011023),0)</f>
        <v>#N/A</v>
      </c>
      <c r="AD2192" s="104" t="e">
        <f t="shared" si="949"/>
        <v>#N/A</v>
      </c>
      <c r="AE2192" s="104" t="e">
        <f t="shared" si="950"/>
        <v>#N/A</v>
      </c>
      <c r="AF2192" s="104" t="e">
        <f>IF(AND(VLOOKUP($D2192,Merchantability!$B:$C,2,0)="Yes",$E2192&gt;=VLOOKUP($D2192,Merchantability!$B:$D,3,0),$E2192&lt;=VLOOKUP($D2192,Merchantability!$B:$E,4,0)),AA2192,0)</f>
        <v>#N/A</v>
      </c>
      <c r="AG2192" s="104" t="e">
        <f>IF(AND(VLOOKUP($D2192,Merchantability!$B:$C,2,0)="Yes",$E2192&gt;=VLOOKUP($D2192,Merchantability!$B:$D,3,0),$E2192&lt;=VLOOKUP($D2192,Merchantability!$B:$E,4,0)),AB2192,0)</f>
        <v>#N/A</v>
      </c>
      <c r="AH2192" s="104" t="e">
        <f>IF(AND(VLOOKUP($D2192,Merchantability!$B:$C,2,0)="Yes",$E2192&gt;=VLOOKUP($D2192,Merchantability!$B:$D,3,0),$E2192&lt;=VLOOKUP($D2192,Merchantability!$B:$E,4,0)),AC2192,0)</f>
        <v>#N/A</v>
      </c>
      <c r="AI2192" s="104" t="e">
        <f t="shared" si="951"/>
        <v>#N/A</v>
      </c>
      <c r="AJ2192" s="104" t="e">
        <f t="shared" si="952"/>
        <v>#VALUE!</v>
      </c>
      <c r="AK2192" s="104" t="e">
        <f t="shared" si="953"/>
        <v>#N/A</v>
      </c>
      <c r="AL2192" s="104" t="e">
        <f t="shared" si="954"/>
        <v>#N/A</v>
      </c>
      <c r="AM2192" s="104" t="e">
        <f t="shared" si="955"/>
        <v>#N/A</v>
      </c>
      <c r="AN2192" s="104" t="e">
        <f t="shared" si="966"/>
        <v>#N/A</v>
      </c>
      <c r="AO2192" s="104" t="e">
        <f t="shared" si="967"/>
        <v>#N/A</v>
      </c>
      <c r="AP2192" s="104" t="e">
        <f t="shared" si="968"/>
        <v>#N/A</v>
      </c>
      <c r="AQ2192" s="104" t="e">
        <f t="shared" si="969"/>
        <v>#N/A</v>
      </c>
      <c r="AR2192" s="105" t="str">
        <f t="shared" si="961"/>
        <v/>
      </c>
      <c r="AS2192" s="105" t="str">
        <f t="shared" si="962"/>
        <v/>
      </c>
      <c r="AT2192" s="108" t="str">
        <f t="shared" si="963"/>
        <v/>
      </c>
      <c r="AU2192" s="108" t="str">
        <f t="shared" si="964"/>
        <v/>
      </c>
      <c r="AV2192" s="107" t="str">
        <f>IF(ISNUMBER(O2192),IF(VLOOKUP($A2192,Stand!C:J,8,FALSE)="Short",AT2192,AU2192),"")</f>
        <v/>
      </c>
      <c r="AW2192" s="109" t="str">
        <f t="shared" si="970"/>
        <v/>
      </c>
      <c r="AX2192" s="109" t="str">
        <f t="shared" si="971"/>
        <v/>
      </c>
      <c r="AY2192" s="112" t="str">
        <f>IF(ISNUMBER(O2192),IF(AND(VLOOKUP($D2192,Merchantability!$B:$C,2,0)="Yes",$E2192&gt;=VLOOKUP($D2192,Merchantability!$B:$D,3,0),$E2192&lt;=VLOOKUP($D2192,Merchantability!$B:$E,4,0)),(AV2192*O2192)*(1-$H2192/100),""),"")</f>
        <v/>
      </c>
      <c r="AZ2192" s="116"/>
      <c r="BA2192" s="116"/>
      <c r="BB2192" s="116"/>
      <c r="BE2192" s="62"/>
      <c r="BF2192" s="63"/>
    </row>
    <row r="2193" spans="1:58" ht="12.75" customHeight="1" x14ac:dyDescent="0.25">
      <c r="A2193" s="334"/>
      <c r="B2193" s="334"/>
      <c r="C2193" s="332"/>
      <c r="D2193" s="334"/>
      <c r="E2193" s="335"/>
      <c r="F2193" s="334"/>
      <c r="G2193" s="332"/>
      <c r="H2193" s="332"/>
      <c r="I2193" s="334"/>
      <c r="J2193" s="336"/>
      <c r="K2193" s="332"/>
      <c r="L2193" s="332"/>
      <c r="M2193" s="76"/>
      <c r="N2193" s="103" t="str">
        <f>IF(A2193="","",VLOOKUP(A2193,Stand!C:K,9,0))</f>
        <v/>
      </c>
      <c r="O2193" s="104" t="str">
        <f t="shared" si="956"/>
        <v/>
      </c>
      <c r="P2193" s="105" t="str">
        <f t="shared" si="957"/>
        <v/>
      </c>
      <c r="Q2193" s="105" t="str">
        <f t="shared" si="945"/>
        <v/>
      </c>
      <c r="R2193" s="103" t="str">
        <f t="shared" si="958"/>
        <v/>
      </c>
      <c r="S2193" s="103" t="str">
        <f t="shared" si="959"/>
        <v/>
      </c>
      <c r="T2193" s="106" t="str">
        <f t="shared" si="946"/>
        <v/>
      </c>
      <c r="U2193" s="106" t="str">
        <f t="shared" si="947"/>
        <v/>
      </c>
      <c r="V2193" s="106" t="str">
        <f t="shared" si="948"/>
        <v/>
      </c>
      <c r="W2193" s="105" t="str">
        <f t="shared" si="960"/>
        <v/>
      </c>
      <c r="X2193" s="104" t="str">
        <f t="shared" si="965"/>
        <v/>
      </c>
      <c r="Y2193" s="104" t="str">
        <f t="array" ref="Y2193">IFERROR(IF(ISNUMBER(O2193),IF(COUNT(IF(A2193=$A$2:$A$2427,IF(D2193=$D$2:$D$2427,IF($X$2:$X$2427&gt;0,1))))&gt;0,SUM(IF(A2193=$A$2:$A$2427,IF(D2193=$D$2:$D$2427,$X$2:$X$2427)))/COUNT(IF(A2193=$A$2:$A$2427,IF(D2193=$D$2:$D$2427,IF(ISNUMBER($X$2:$X$2427),1)))),0),""),0)</f>
        <v/>
      </c>
      <c r="Z2193" s="104" t="str">
        <f>IF(ISNUMBER(O2193),IF(I2193&gt;0,(10^(VLOOKUP(D2193,'Species Codes'!B:C,2,0)+VLOOKUP(D2193,'Species Codes'!B:D,3,0)*LOG(E2193)+VLOOKUP(D2193,'Species Codes'!B:E,4,0)*LOG(I2193))),0),"")</f>
        <v/>
      </c>
      <c r="AA2193" s="104" t="str">
        <f>IFERROR((VLOOKUP(D2193,'Species Codes'!B:G,6,0)*Z2193)/2000,"")</f>
        <v/>
      </c>
      <c r="AB2193" s="104" t="e">
        <f>IF(Z2193&gt;0,((IF(OR(D2193="DF",D2193="RA")=TRUE,EXP(VLOOKUP(D2193,'Species Codes'!B:I,8,0)+VLOOKUP(D2193,'Species Codes'!B:J,9,0)*(LN((E2193*2.54)))),IF(OR(D2193="PY",D2193="RC",D2193="WH",D2193="NF")=TRUE,VLOOKUP(D2193,'Species Codes'!B:I,8,0)+VLOOKUP(D2193,'Species Codes'!B:J,9,0)*((E2193*2.54)^2)*(I2193*0.3048),IF(OR(D2193="MD",D2193="BM",D2193="GA")=TRUE,((VLOOKUP(D2193,'Species Codes'!B:I,8,0)*(((((E2193*2.54)+VLOOKUP(D2193,'Species Codes'!B:J,9,0))/VLOOKUP(D2193,'Species Codes'!B:K,10,0))^VLOOKUP(D2193,'Species Codes'!B:L,11,0))*((I2193*0.3048)^VLOOKUP(D2193,'Species Codes'!B:M,12,0))))-(VLOOKUP(D2193,'Species Codes'!B:I,8,0)*((((E2193*2.54)^VLOOKUP(D2193,'Species Codes'!B:L,11,0))*((I2193*0.3048)^VLOOKUP(D2193,'Species Codes'!B:M,12,0))))))*35.3*VLOOKUP(D2193,'Species Codes'!B:G,6,0)/2.2046,VLOOKUP(D2193,'Species Codes'!B:I,8,0)+VLOOKUP(D2193,'Species Codes'!B:J,9,0)*(((E2193*2.54)/100)^2)*(I2193*0.3048)))))*0.0011023),0)</f>
        <v>#N/A</v>
      </c>
      <c r="AC2193" s="104" t="e">
        <f>IF(Z2193&gt;0,((IF(OR(D2193="RA",D2193="OA",D2193="OT",D2193="UN",D2193="PC"),EXP(VLOOKUP(D2193,'Species Codes'!B:O,14,0)+VLOOKUP(D2193,'Species Codes'!B:P,15,0)*LN((E2193*2.54)))-EXP(VLOOKUP(D2193,'Species Codes'!B:O,14,0)+VLOOKUP(D2193,'Species Codes'!B:P,15,0)*LN((E2193*2.54)))*(1/(VLOOKUP(D2193,'Species Codes'!B:Q,16,0)+VLOOKUP(D2193,'Species Codes'!B:R,17,0)*((E2193*2.54)^VLOOKUP(D2193,'Species Codes'!B:S,18,0)))),IF(OR(D2193="BM",D2193="MD",D2193="OA"),EXP(VLOOKUP(D2193,'Species Codes'!B:O,14,0)+VLOOKUP(D2193,'Species Codes'!B:P,15,0)*LN((E2193*2.54)))*(1-(1/(VLOOKUP(D2193,'Species Codes'!B:Q,16,0)+VLOOKUP(D2193,'Species Codes'!B:R,17,0)*((E2193*2.54)^VLOOKUP(D2193,'Species Codes'!B:S,18,0)))))/1000,IF(D2193="DF",EXP(VLOOKUP(D2193,'Species Codes'!B:O,14,0)+VLOOKUP(D2193,'Species Codes'!B:P,15,0)*LN((E2193*2.54))),VLOOKUP(D2193,'Species Codes'!B:O,14,0)+VLOOKUP(D2193,'Species Codes'!B:P,15,0)*(((E2193*2.54)/100)^2)*(I2193*0.3048)))))*0.0011023),0)</f>
        <v>#N/A</v>
      </c>
      <c r="AD2193" s="104" t="e">
        <f t="shared" si="949"/>
        <v>#N/A</v>
      </c>
      <c r="AE2193" s="104" t="e">
        <f t="shared" si="950"/>
        <v>#N/A</v>
      </c>
      <c r="AF2193" s="104" t="e">
        <f>IF(AND(VLOOKUP($D2193,Merchantability!$B:$C,2,0)="Yes",$E2193&gt;=VLOOKUP($D2193,Merchantability!$B:$D,3,0),$E2193&lt;=VLOOKUP($D2193,Merchantability!$B:$E,4,0)),AA2193,0)</f>
        <v>#N/A</v>
      </c>
      <c r="AG2193" s="104" t="e">
        <f>IF(AND(VLOOKUP($D2193,Merchantability!$B:$C,2,0)="Yes",$E2193&gt;=VLOOKUP($D2193,Merchantability!$B:$D,3,0),$E2193&lt;=VLOOKUP($D2193,Merchantability!$B:$E,4,0)),AB2193,0)</f>
        <v>#N/A</v>
      </c>
      <c r="AH2193" s="104" t="e">
        <f>IF(AND(VLOOKUP($D2193,Merchantability!$B:$C,2,0)="Yes",$E2193&gt;=VLOOKUP($D2193,Merchantability!$B:$D,3,0),$E2193&lt;=VLOOKUP($D2193,Merchantability!$B:$E,4,0)),AC2193,0)</f>
        <v>#N/A</v>
      </c>
      <c r="AI2193" s="104" t="e">
        <f t="shared" si="951"/>
        <v>#N/A</v>
      </c>
      <c r="AJ2193" s="104" t="e">
        <f t="shared" si="952"/>
        <v>#VALUE!</v>
      </c>
      <c r="AK2193" s="104" t="e">
        <f t="shared" si="953"/>
        <v>#N/A</v>
      </c>
      <c r="AL2193" s="104" t="e">
        <f t="shared" si="954"/>
        <v>#N/A</v>
      </c>
      <c r="AM2193" s="104" t="e">
        <f t="shared" si="955"/>
        <v>#N/A</v>
      </c>
      <c r="AN2193" s="104" t="e">
        <f t="shared" si="966"/>
        <v>#N/A</v>
      </c>
      <c r="AO2193" s="104" t="e">
        <f t="shared" si="967"/>
        <v>#N/A</v>
      </c>
      <c r="AP2193" s="104" t="e">
        <f t="shared" si="968"/>
        <v>#N/A</v>
      </c>
      <c r="AQ2193" s="104" t="e">
        <f t="shared" si="969"/>
        <v>#N/A</v>
      </c>
      <c r="AR2193" s="105" t="str">
        <f t="shared" si="961"/>
        <v/>
      </c>
      <c r="AS2193" s="105" t="str">
        <f t="shared" si="962"/>
        <v/>
      </c>
      <c r="AT2193" s="108" t="str">
        <f t="shared" si="963"/>
        <v/>
      </c>
      <c r="AU2193" s="108" t="str">
        <f t="shared" si="964"/>
        <v/>
      </c>
      <c r="AV2193" s="107" t="str">
        <f>IF(ISNUMBER(O2193),IF(VLOOKUP($A2193,Stand!C:J,8,FALSE)="Short",AT2193,AU2193),"")</f>
        <v/>
      </c>
      <c r="AW2193" s="109" t="str">
        <f t="shared" si="970"/>
        <v/>
      </c>
      <c r="AX2193" s="109" t="str">
        <f t="shared" si="971"/>
        <v/>
      </c>
      <c r="AY2193" s="112" t="str">
        <f>IF(ISNUMBER(O2193),IF(AND(VLOOKUP($D2193,Merchantability!$B:$C,2,0)="Yes",$E2193&gt;=VLOOKUP($D2193,Merchantability!$B:$D,3,0),$E2193&lt;=VLOOKUP($D2193,Merchantability!$B:$E,4,0)),(AV2193*O2193)*(1-$H2193/100),""),"")</f>
        <v/>
      </c>
      <c r="AZ2193" s="116"/>
      <c r="BA2193" s="116"/>
      <c r="BB2193" s="116"/>
      <c r="BE2193" s="62"/>
      <c r="BF2193" s="63"/>
    </row>
    <row r="2194" spans="1:58" ht="12.75" customHeight="1" x14ac:dyDescent="0.25">
      <c r="A2194" s="334"/>
      <c r="B2194" s="334"/>
      <c r="C2194" s="332"/>
      <c r="D2194" s="334"/>
      <c r="E2194" s="335"/>
      <c r="F2194" s="334"/>
      <c r="G2194" s="332"/>
      <c r="H2194" s="332"/>
      <c r="I2194" s="334"/>
      <c r="J2194" s="336"/>
      <c r="K2194" s="332"/>
      <c r="L2194" s="332"/>
      <c r="M2194" s="76"/>
      <c r="N2194" s="103" t="str">
        <f>IF(A2194="","",VLOOKUP(A2194,Stand!C:K,9,0))</f>
        <v/>
      </c>
      <c r="O2194" s="104" t="str">
        <f t="shared" si="956"/>
        <v/>
      </c>
      <c r="P2194" s="105" t="str">
        <f t="shared" si="957"/>
        <v/>
      </c>
      <c r="Q2194" s="105" t="str">
        <f t="shared" si="945"/>
        <v/>
      </c>
      <c r="R2194" s="103" t="str">
        <f t="shared" si="958"/>
        <v/>
      </c>
      <c r="S2194" s="103" t="str">
        <f t="shared" si="959"/>
        <v/>
      </c>
      <c r="T2194" s="106" t="str">
        <f t="shared" si="946"/>
        <v/>
      </c>
      <c r="U2194" s="106" t="str">
        <f t="shared" si="947"/>
        <v/>
      </c>
      <c r="V2194" s="106" t="str">
        <f t="shared" si="948"/>
        <v/>
      </c>
      <c r="W2194" s="105" t="str">
        <f t="shared" si="960"/>
        <v/>
      </c>
      <c r="X2194" s="104" t="str">
        <f t="shared" si="965"/>
        <v/>
      </c>
      <c r="Y2194" s="104" t="str">
        <f t="array" ref="Y2194">IFERROR(IF(ISNUMBER(O2194),IF(COUNT(IF(A2194=$A$2:$A$2427,IF(D2194=$D$2:$D$2427,IF($X$2:$X$2427&gt;0,1))))&gt;0,SUM(IF(A2194=$A$2:$A$2427,IF(D2194=$D$2:$D$2427,$X$2:$X$2427)))/COUNT(IF(A2194=$A$2:$A$2427,IF(D2194=$D$2:$D$2427,IF(ISNUMBER($X$2:$X$2427),1)))),0),""),0)</f>
        <v/>
      </c>
      <c r="Z2194" s="104" t="str">
        <f>IF(ISNUMBER(O2194),IF(I2194&gt;0,(10^(VLOOKUP(D2194,'Species Codes'!B:C,2,0)+VLOOKUP(D2194,'Species Codes'!B:D,3,0)*LOG(E2194)+VLOOKUP(D2194,'Species Codes'!B:E,4,0)*LOG(I2194))),0),"")</f>
        <v/>
      </c>
      <c r="AA2194" s="104" t="str">
        <f>IFERROR((VLOOKUP(D2194,'Species Codes'!B:G,6,0)*Z2194)/2000,"")</f>
        <v/>
      </c>
      <c r="AB2194" s="104" t="e">
        <f>IF(Z2194&gt;0,((IF(OR(D2194="DF",D2194="RA")=TRUE,EXP(VLOOKUP(D2194,'Species Codes'!B:I,8,0)+VLOOKUP(D2194,'Species Codes'!B:J,9,0)*(LN((E2194*2.54)))),IF(OR(D2194="PY",D2194="RC",D2194="WH",D2194="NF")=TRUE,VLOOKUP(D2194,'Species Codes'!B:I,8,0)+VLOOKUP(D2194,'Species Codes'!B:J,9,0)*((E2194*2.54)^2)*(I2194*0.3048),IF(OR(D2194="MD",D2194="BM",D2194="GA")=TRUE,((VLOOKUP(D2194,'Species Codes'!B:I,8,0)*(((((E2194*2.54)+VLOOKUP(D2194,'Species Codes'!B:J,9,0))/VLOOKUP(D2194,'Species Codes'!B:K,10,0))^VLOOKUP(D2194,'Species Codes'!B:L,11,0))*((I2194*0.3048)^VLOOKUP(D2194,'Species Codes'!B:M,12,0))))-(VLOOKUP(D2194,'Species Codes'!B:I,8,0)*((((E2194*2.54)^VLOOKUP(D2194,'Species Codes'!B:L,11,0))*((I2194*0.3048)^VLOOKUP(D2194,'Species Codes'!B:M,12,0))))))*35.3*VLOOKUP(D2194,'Species Codes'!B:G,6,0)/2.2046,VLOOKUP(D2194,'Species Codes'!B:I,8,0)+VLOOKUP(D2194,'Species Codes'!B:J,9,0)*(((E2194*2.54)/100)^2)*(I2194*0.3048)))))*0.0011023),0)</f>
        <v>#N/A</v>
      </c>
      <c r="AC2194" s="104" t="e">
        <f>IF(Z2194&gt;0,((IF(OR(D2194="RA",D2194="OA",D2194="OT",D2194="UN",D2194="PC"),EXP(VLOOKUP(D2194,'Species Codes'!B:O,14,0)+VLOOKUP(D2194,'Species Codes'!B:P,15,0)*LN((E2194*2.54)))-EXP(VLOOKUP(D2194,'Species Codes'!B:O,14,0)+VLOOKUP(D2194,'Species Codes'!B:P,15,0)*LN((E2194*2.54)))*(1/(VLOOKUP(D2194,'Species Codes'!B:Q,16,0)+VLOOKUP(D2194,'Species Codes'!B:R,17,0)*((E2194*2.54)^VLOOKUP(D2194,'Species Codes'!B:S,18,0)))),IF(OR(D2194="BM",D2194="MD",D2194="OA"),EXP(VLOOKUP(D2194,'Species Codes'!B:O,14,0)+VLOOKUP(D2194,'Species Codes'!B:P,15,0)*LN((E2194*2.54)))*(1-(1/(VLOOKUP(D2194,'Species Codes'!B:Q,16,0)+VLOOKUP(D2194,'Species Codes'!B:R,17,0)*((E2194*2.54)^VLOOKUP(D2194,'Species Codes'!B:S,18,0)))))/1000,IF(D2194="DF",EXP(VLOOKUP(D2194,'Species Codes'!B:O,14,0)+VLOOKUP(D2194,'Species Codes'!B:P,15,0)*LN((E2194*2.54))),VLOOKUP(D2194,'Species Codes'!B:O,14,0)+VLOOKUP(D2194,'Species Codes'!B:P,15,0)*(((E2194*2.54)/100)^2)*(I2194*0.3048)))))*0.0011023),0)</f>
        <v>#N/A</v>
      </c>
      <c r="AD2194" s="104" t="e">
        <f t="shared" si="949"/>
        <v>#N/A</v>
      </c>
      <c r="AE2194" s="104" t="e">
        <f t="shared" si="950"/>
        <v>#N/A</v>
      </c>
      <c r="AF2194" s="104" t="e">
        <f>IF(AND(VLOOKUP($D2194,Merchantability!$B:$C,2,0)="Yes",$E2194&gt;=VLOOKUP($D2194,Merchantability!$B:$D,3,0),$E2194&lt;=VLOOKUP($D2194,Merchantability!$B:$E,4,0)),AA2194,0)</f>
        <v>#N/A</v>
      </c>
      <c r="AG2194" s="104" t="e">
        <f>IF(AND(VLOOKUP($D2194,Merchantability!$B:$C,2,0)="Yes",$E2194&gt;=VLOOKUP($D2194,Merchantability!$B:$D,3,0),$E2194&lt;=VLOOKUP($D2194,Merchantability!$B:$E,4,0)),AB2194,0)</f>
        <v>#N/A</v>
      </c>
      <c r="AH2194" s="104" t="e">
        <f>IF(AND(VLOOKUP($D2194,Merchantability!$B:$C,2,0)="Yes",$E2194&gt;=VLOOKUP($D2194,Merchantability!$B:$D,3,0),$E2194&lt;=VLOOKUP($D2194,Merchantability!$B:$E,4,0)),AC2194,0)</f>
        <v>#N/A</v>
      </c>
      <c r="AI2194" s="104" t="e">
        <f t="shared" si="951"/>
        <v>#N/A</v>
      </c>
      <c r="AJ2194" s="104" t="e">
        <f t="shared" si="952"/>
        <v>#VALUE!</v>
      </c>
      <c r="AK2194" s="104" t="e">
        <f t="shared" si="953"/>
        <v>#N/A</v>
      </c>
      <c r="AL2194" s="104" t="e">
        <f t="shared" si="954"/>
        <v>#N/A</v>
      </c>
      <c r="AM2194" s="104" t="e">
        <f t="shared" si="955"/>
        <v>#N/A</v>
      </c>
      <c r="AN2194" s="104" t="e">
        <f t="shared" si="966"/>
        <v>#N/A</v>
      </c>
      <c r="AO2194" s="104" t="e">
        <f t="shared" si="967"/>
        <v>#N/A</v>
      </c>
      <c r="AP2194" s="104" t="e">
        <f t="shared" si="968"/>
        <v>#N/A</v>
      </c>
      <c r="AQ2194" s="104" t="e">
        <f t="shared" si="969"/>
        <v>#N/A</v>
      </c>
      <c r="AR2194" s="105" t="str">
        <f t="shared" si="961"/>
        <v/>
      </c>
      <c r="AS2194" s="105" t="str">
        <f t="shared" si="962"/>
        <v/>
      </c>
      <c r="AT2194" s="108" t="str">
        <f t="shared" si="963"/>
        <v/>
      </c>
      <c r="AU2194" s="108" t="str">
        <f t="shared" si="964"/>
        <v/>
      </c>
      <c r="AV2194" s="107" t="str">
        <f>IF(ISNUMBER(O2194),IF(VLOOKUP($A2194,Stand!C:J,8,FALSE)="Short",AT2194,AU2194),"")</f>
        <v/>
      </c>
      <c r="AW2194" s="109" t="str">
        <f t="shared" si="970"/>
        <v/>
      </c>
      <c r="AX2194" s="109" t="str">
        <f t="shared" si="971"/>
        <v/>
      </c>
      <c r="AY2194" s="112" t="str">
        <f>IF(ISNUMBER(O2194),IF(AND(VLOOKUP($D2194,Merchantability!$B:$C,2,0)="Yes",$E2194&gt;=VLOOKUP($D2194,Merchantability!$B:$D,3,0),$E2194&lt;=VLOOKUP($D2194,Merchantability!$B:$E,4,0)),(AV2194*O2194)*(1-$H2194/100),""),"")</f>
        <v/>
      </c>
      <c r="AZ2194" s="116"/>
      <c r="BA2194" s="116"/>
      <c r="BB2194" s="116"/>
      <c r="BE2194" s="62"/>
      <c r="BF2194" s="63"/>
    </row>
    <row r="2195" spans="1:58" ht="12.75" customHeight="1" x14ac:dyDescent="0.25">
      <c r="A2195" s="334"/>
      <c r="B2195" s="334"/>
      <c r="C2195" s="332"/>
      <c r="D2195" s="334"/>
      <c r="E2195" s="335"/>
      <c r="F2195" s="334"/>
      <c r="G2195" s="332"/>
      <c r="H2195" s="332"/>
      <c r="I2195" s="334"/>
      <c r="J2195" s="336"/>
      <c r="K2195" s="332"/>
      <c r="L2195" s="332"/>
      <c r="M2195" s="76"/>
      <c r="N2195" s="103" t="str">
        <f>IF(A2195="","",VLOOKUP(A2195,Stand!C:K,9,0))</f>
        <v/>
      </c>
      <c r="O2195" s="104" t="str">
        <f t="shared" si="956"/>
        <v/>
      </c>
      <c r="P2195" s="105" t="str">
        <f t="shared" si="957"/>
        <v/>
      </c>
      <c r="Q2195" s="105" t="str">
        <f t="shared" si="945"/>
        <v/>
      </c>
      <c r="R2195" s="103" t="str">
        <f t="shared" si="958"/>
        <v/>
      </c>
      <c r="S2195" s="103" t="str">
        <f t="shared" si="959"/>
        <v/>
      </c>
      <c r="T2195" s="106" t="str">
        <f t="shared" si="946"/>
        <v/>
      </c>
      <c r="U2195" s="106" t="str">
        <f t="shared" si="947"/>
        <v/>
      </c>
      <c r="V2195" s="106" t="str">
        <f t="shared" si="948"/>
        <v/>
      </c>
      <c r="W2195" s="105" t="str">
        <f t="shared" si="960"/>
        <v/>
      </c>
      <c r="X2195" s="104" t="str">
        <f t="shared" si="965"/>
        <v/>
      </c>
      <c r="Y2195" s="104" t="str">
        <f t="array" ref="Y2195">IFERROR(IF(ISNUMBER(O2195),IF(COUNT(IF(A2195=$A$2:$A$2427,IF(D2195=$D$2:$D$2427,IF($X$2:$X$2427&gt;0,1))))&gt;0,SUM(IF(A2195=$A$2:$A$2427,IF(D2195=$D$2:$D$2427,$X$2:$X$2427)))/COUNT(IF(A2195=$A$2:$A$2427,IF(D2195=$D$2:$D$2427,IF(ISNUMBER($X$2:$X$2427),1)))),0),""),0)</f>
        <v/>
      </c>
      <c r="Z2195" s="104" t="str">
        <f>IF(ISNUMBER(O2195),IF(I2195&gt;0,(10^(VLOOKUP(D2195,'Species Codes'!B:C,2,0)+VLOOKUP(D2195,'Species Codes'!B:D,3,0)*LOG(E2195)+VLOOKUP(D2195,'Species Codes'!B:E,4,0)*LOG(I2195))),0),"")</f>
        <v/>
      </c>
      <c r="AA2195" s="104" t="str">
        <f>IFERROR((VLOOKUP(D2195,'Species Codes'!B:G,6,0)*Z2195)/2000,"")</f>
        <v/>
      </c>
      <c r="AB2195" s="104" t="e">
        <f>IF(Z2195&gt;0,((IF(OR(D2195="DF",D2195="RA")=TRUE,EXP(VLOOKUP(D2195,'Species Codes'!B:I,8,0)+VLOOKUP(D2195,'Species Codes'!B:J,9,0)*(LN((E2195*2.54)))),IF(OR(D2195="PY",D2195="RC",D2195="WH",D2195="NF")=TRUE,VLOOKUP(D2195,'Species Codes'!B:I,8,0)+VLOOKUP(D2195,'Species Codes'!B:J,9,0)*((E2195*2.54)^2)*(I2195*0.3048),IF(OR(D2195="MD",D2195="BM",D2195="GA")=TRUE,((VLOOKUP(D2195,'Species Codes'!B:I,8,0)*(((((E2195*2.54)+VLOOKUP(D2195,'Species Codes'!B:J,9,0))/VLOOKUP(D2195,'Species Codes'!B:K,10,0))^VLOOKUP(D2195,'Species Codes'!B:L,11,0))*((I2195*0.3048)^VLOOKUP(D2195,'Species Codes'!B:M,12,0))))-(VLOOKUP(D2195,'Species Codes'!B:I,8,0)*((((E2195*2.54)^VLOOKUP(D2195,'Species Codes'!B:L,11,0))*((I2195*0.3048)^VLOOKUP(D2195,'Species Codes'!B:M,12,0))))))*35.3*VLOOKUP(D2195,'Species Codes'!B:G,6,0)/2.2046,VLOOKUP(D2195,'Species Codes'!B:I,8,0)+VLOOKUP(D2195,'Species Codes'!B:J,9,0)*(((E2195*2.54)/100)^2)*(I2195*0.3048)))))*0.0011023),0)</f>
        <v>#N/A</v>
      </c>
      <c r="AC2195" s="104" t="e">
        <f>IF(Z2195&gt;0,((IF(OR(D2195="RA",D2195="OA",D2195="OT",D2195="UN",D2195="PC"),EXP(VLOOKUP(D2195,'Species Codes'!B:O,14,0)+VLOOKUP(D2195,'Species Codes'!B:P,15,0)*LN((E2195*2.54)))-EXP(VLOOKUP(D2195,'Species Codes'!B:O,14,0)+VLOOKUP(D2195,'Species Codes'!B:P,15,0)*LN((E2195*2.54)))*(1/(VLOOKUP(D2195,'Species Codes'!B:Q,16,0)+VLOOKUP(D2195,'Species Codes'!B:R,17,0)*((E2195*2.54)^VLOOKUP(D2195,'Species Codes'!B:S,18,0)))),IF(OR(D2195="BM",D2195="MD",D2195="OA"),EXP(VLOOKUP(D2195,'Species Codes'!B:O,14,0)+VLOOKUP(D2195,'Species Codes'!B:P,15,0)*LN((E2195*2.54)))*(1-(1/(VLOOKUP(D2195,'Species Codes'!B:Q,16,0)+VLOOKUP(D2195,'Species Codes'!B:R,17,0)*((E2195*2.54)^VLOOKUP(D2195,'Species Codes'!B:S,18,0)))))/1000,IF(D2195="DF",EXP(VLOOKUP(D2195,'Species Codes'!B:O,14,0)+VLOOKUP(D2195,'Species Codes'!B:P,15,0)*LN((E2195*2.54))),VLOOKUP(D2195,'Species Codes'!B:O,14,0)+VLOOKUP(D2195,'Species Codes'!B:P,15,0)*(((E2195*2.54)/100)^2)*(I2195*0.3048)))))*0.0011023),0)</f>
        <v>#N/A</v>
      </c>
      <c r="AD2195" s="104" t="e">
        <f t="shared" si="949"/>
        <v>#N/A</v>
      </c>
      <c r="AE2195" s="104" t="e">
        <f t="shared" si="950"/>
        <v>#N/A</v>
      </c>
      <c r="AF2195" s="104" t="e">
        <f>IF(AND(VLOOKUP($D2195,Merchantability!$B:$C,2,0)="Yes",$E2195&gt;=VLOOKUP($D2195,Merchantability!$B:$D,3,0),$E2195&lt;=VLOOKUP($D2195,Merchantability!$B:$E,4,0)),AA2195,0)</f>
        <v>#N/A</v>
      </c>
      <c r="AG2195" s="104" t="e">
        <f>IF(AND(VLOOKUP($D2195,Merchantability!$B:$C,2,0)="Yes",$E2195&gt;=VLOOKUP($D2195,Merchantability!$B:$D,3,0),$E2195&lt;=VLOOKUP($D2195,Merchantability!$B:$E,4,0)),AB2195,0)</f>
        <v>#N/A</v>
      </c>
      <c r="AH2195" s="104" t="e">
        <f>IF(AND(VLOOKUP($D2195,Merchantability!$B:$C,2,0)="Yes",$E2195&gt;=VLOOKUP($D2195,Merchantability!$B:$D,3,0),$E2195&lt;=VLOOKUP($D2195,Merchantability!$B:$E,4,0)),AC2195,0)</f>
        <v>#N/A</v>
      </c>
      <c r="AI2195" s="104" t="e">
        <f t="shared" si="951"/>
        <v>#N/A</v>
      </c>
      <c r="AJ2195" s="104" t="e">
        <f t="shared" si="952"/>
        <v>#VALUE!</v>
      </c>
      <c r="AK2195" s="104" t="e">
        <f t="shared" si="953"/>
        <v>#N/A</v>
      </c>
      <c r="AL2195" s="104" t="e">
        <f t="shared" si="954"/>
        <v>#N/A</v>
      </c>
      <c r="AM2195" s="104" t="e">
        <f t="shared" si="955"/>
        <v>#N/A</v>
      </c>
      <c r="AN2195" s="104" t="e">
        <f t="shared" si="966"/>
        <v>#N/A</v>
      </c>
      <c r="AO2195" s="104" t="e">
        <f t="shared" si="967"/>
        <v>#N/A</v>
      </c>
      <c r="AP2195" s="104" t="e">
        <f t="shared" si="968"/>
        <v>#N/A</v>
      </c>
      <c r="AQ2195" s="104" t="e">
        <f t="shared" si="969"/>
        <v>#N/A</v>
      </c>
      <c r="AR2195" s="105" t="str">
        <f t="shared" si="961"/>
        <v/>
      </c>
      <c r="AS2195" s="105" t="str">
        <f t="shared" si="962"/>
        <v/>
      </c>
      <c r="AT2195" s="108" t="str">
        <f t="shared" si="963"/>
        <v/>
      </c>
      <c r="AU2195" s="108" t="str">
        <f t="shared" si="964"/>
        <v/>
      </c>
      <c r="AV2195" s="107" t="str">
        <f>IF(ISNUMBER(O2195),IF(VLOOKUP($A2195,Stand!C:J,8,FALSE)="Short",AT2195,AU2195),"")</f>
        <v/>
      </c>
      <c r="AW2195" s="109" t="str">
        <f t="shared" si="970"/>
        <v/>
      </c>
      <c r="AX2195" s="109" t="str">
        <f t="shared" si="971"/>
        <v/>
      </c>
      <c r="AY2195" s="112" t="str">
        <f>IF(ISNUMBER(O2195),IF(AND(VLOOKUP($D2195,Merchantability!$B:$C,2,0)="Yes",$E2195&gt;=VLOOKUP($D2195,Merchantability!$B:$D,3,0),$E2195&lt;=VLOOKUP($D2195,Merchantability!$B:$E,4,0)),(AV2195*O2195)*(1-$H2195/100),""),"")</f>
        <v/>
      </c>
      <c r="AZ2195" s="116"/>
      <c r="BA2195" s="116"/>
      <c r="BB2195" s="116"/>
      <c r="BE2195" s="62"/>
      <c r="BF2195" s="63"/>
    </row>
    <row r="2196" spans="1:58" ht="12.75" customHeight="1" x14ac:dyDescent="0.25">
      <c r="A2196" s="334"/>
      <c r="B2196" s="334"/>
      <c r="C2196" s="332"/>
      <c r="D2196" s="334"/>
      <c r="E2196" s="335"/>
      <c r="F2196" s="334"/>
      <c r="G2196" s="332"/>
      <c r="H2196" s="332"/>
      <c r="I2196" s="334"/>
      <c r="J2196" s="336"/>
      <c r="K2196" s="332"/>
      <c r="L2196" s="332"/>
      <c r="M2196" s="76"/>
      <c r="N2196" s="103" t="str">
        <f>IF(A2196="","",VLOOKUP(A2196,Stand!C:K,9,0))</f>
        <v/>
      </c>
      <c r="O2196" s="104" t="str">
        <f t="shared" si="956"/>
        <v/>
      </c>
      <c r="P2196" s="105" t="str">
        <f t="shared" si="957"/>
        <v/>
      </c>
      <c r="Q2196" s="105" t="str">
        <f t="shared" si="945"/>
        <v/>
      </c>
      <c r="R2196" s="103" t="str">
        <f t="shared" si="958"/>
        <v/>
      </c>
      <c r="S2196" s="103" t="str">
        <f t="shared" si="959"/>
        <v/>
      </c>
      <c r="T2196" s="106" t="str">
        <f t="shared" si="946"/>
        <v/>
      </c>
      <c r="U2196" s="106" t="str">
        <f t="shared" si="947"/>
        <v/>
      </c>
      <c r="V2196" s="106" t="str">
        <f t="shared" si="948"/>
        <v/>
      </c>
      <c r="W2196" s="105" t="str">
        <f t="shared" si="960"/>
        <v/>
      </c>
      <c r="X2196" s="104" t="str">
        <f t="shared" si="965"/>
        <v/>
      </c>
      <c r="Y2196" s="104" t="str">
        <f t="array" ref="Y2196">IFERROR(IF(ISNUMBER(O2196),IF(COUNT(IF(A2196=$A$2:$A$2427,IF(D2196=$D$2:$D$2427,IF($X$2:$X$2427&gt;0,1))))&gt;0,SUM(IF(A2196=$A$2:$A$2427,IF(D2196=$D$2:$D$2427,$X$2:$X$2427)))/COUNT(IF(A2196=$A$2:$A$2427,IF(D2196=$D$2:$D$2427,IF(ISNUMBER($X$2:$X$2427),1)))),0),""),0)</f>
        <v/>
      </c>
      <c r="Z2196" s="104" t="str">
        <f>IF(ISNUMBER(O2196),IF(I2196&gt;0,(10^(VLOOKUP(D2196,'Species Codes'!B:C,2,0)+VLOOKUP(D2196,'Species Codes'!B:D,3,0)*LOG(E2196)+VLOOKUP(D2196,'Species Codes'!B:E,4,0)*LOG(I2196))),0),"")</f>
        <v/>
      </c>
      <c r="AA2196" s="104" t="str">
        <f>IFERROR((VLOOKUP(D2196,'Species Codes'!B:G,6,0)*Z2196)/2000,"")</f>
        <v/>
      </c>
      <c r="AB2196" s="104" t="e">
        <f>IF(Z2196&gt;0,((IF(OR(D2196="DF",D2196="RA")=TRUE,EXP(VLOOKUP(D2196,'Species Codes'!B:I,8,0)+VLOOKUP(D2196,'Species Codes'!B:J,9,0)*(LN((E2196*2.54)))),IF(OR(D2196="PY",D2196="RC",D2196="WH",D2196="NF")=TRUE,VLOOKUP(D2196,'Species Codes'!B:I,8,0)+VLOOKUP(D2196,'Species Codes'!B:J,9,0)*((E2196*2.54)^2)*(I2196*0.3048),IF(OR(D2196="MD",D2196="BM",D2196="GA")=TRUE,((VLOOKUP(D2196,'Species Codes'!B:I,8,0)*(((((E2196*2.54)+VLOOKUP(D2196,'Species Codes'!B:J,9,0))/VLOOKUP(D2196,'Species Codes'!B:K,10,0))^VLOOKUP(D2196,'Species Codes'!B:L,11,0))*((I2196*0.3048)^VLOOKUP(D2196,'Species Codes'!B:M,12,0))))-(VLOOKUP(D2196,'Species Codes'!B:I,8,0)*((((E2196*2.54)^VLOOKUP(D2196,'Species Codes'!B:L,11,0))*((I2196*0.3048)^VLOOKUP(D2196,'Species Codes'!B:M,12,0))))))*35.3*VLOOKUP(D2196,'Species Codes'!B:G,6,0)/2.2046,VLOOKUP(D2196,'Species Codes'!B:I,8,0)+VLOOKUP(D2196,'Species Codes'!B:J,9,0)*(((E2196*2.54)/100)^2)*(I2196*0.3048)))))*0.0011023),0)</f>
        <v>#N/A</v>
      </c>
      <c r="AC2196" s="104" t="e">
        <f>IF(Z2196&gt;0,((IF(OR(D2196="RA",D2196="OA",D2196="OT",D2196="UN",D2196="PC"),EXP(VLOOKUP(D2196,'Species Codes'!B:O,14,0)+VLOOKUP(D2196,'Species Codes'!B:P,15,0)*LN((E2196*2.54)))-EXP(VLOOKUP(D2196,'Species Codes'!B:O,14,0)+VLOOKUP(D2196,'Species Codes'!B:P,15,0)*LN((E2196*2.54)))*(1/(VLOOKUP(D2196,'Species Codes'!B:Q,16,0)+VLOOKUP(D2196,'Species Codes'!B:R,17,0)*((E2196*2.54)^VLOOKUP(D2196,'Species Codes'!B:S,18,0)))),IF(OR(D2196="BM",D2196="MD",D2196="OA"),EXP(VLOOKUP(D2196,'Species Codes'!B:O,14,0)+VLOOKUP(D2196,'Species Codes'!B:P,15,0)*LN((E2196*2.54)))*(1-(1/(VLOOKUP(D2196,'Species Codes'!B:Q,16,0)+VLOOKUP(D2196,'Species Codes'!B:R,17,0)*((E2196*2.54)^VLOOKUP(D2196,'Species Codes'!B:S,18,0)))))/1000,IF(D2196="DF",EXP(VLOOKUP(D2196,'Species Codes'!B:O,14,0)+VLOOKUP(D2196,'Species Codes'!B:P,15,0)*LN((E2196*2.54))),VLOOKUP(D2196,'Species Codes'!B:O,14,0)+VLOOKUP(D2196,'Species Codes'!B:P,15,0)*(((E2196*2.54)/100)^2)*(I2196*0.3048)))))*0.0011023),0)</f>
        <v>#N/A</v>
      </c>
      <c r="AD2196" s="104" t="e">
        <f t="shared" si="949"/>
        <v>#N/A</v>
      </c>
      <c r="AE2196" s="104" t="e">
        <f t="shared" si="950"/>
        <v>#N/A</v>
      </c>
      <c r="AF2196" s="104" t="e">
        <f>IF(AND(VLOOKUP($D2196,Merchantability!$B:$C,2,0)="Yes",$E2196&gt;=VLOOKUP($D2196,Merchantability!$B:$D,3,0),$E2196&lt;=VLOOKUP($D2196,Merchantability!$B:$E,4,0)),AA2196,0)</f>
        <v>#N/A</v>
      </c>
      <c r="AG2196" s="104" t="e">
        <f>IF(AND(VLOOKUP($D2196,Merchantability!$B:$C,2,0)="Yes",$E2196&gt;=VLOOKUP($D2196,Merchantability!$B:$D,3,0),$E2196&lt;=VLOOKUP($D2196,Merchantability!$B:$E,4,0)),AB2196,0)</f>
        <v>#N/A</v>
      </c>
      <c r="AH2196" s="104" t="e">
        <f>IF(AND(VLOOKUP($D2196,Merchantability!$B:$C,2,0)="Yes",$E2196&gt;=VLOOKUP($D2196,Merchantability!$B:$D,3,0),$E2196&lt;=VLOOKUP($D2196,Merchantability!$B:$E,4,0)),AC2196,0)</f>
        <v>#N/A</v>
      </c>
      <c r="AI2196" s="104" t="e">
        <f t="shared" si="951"/>
        <v>#N/A</v>
      </c>
      <c r="AJ2196" s="104" t="e">
        <f t="shared" si="952"/>
        <v>#VALUE!</v>
      </c>
      <c r="AK2196" s="104" t="e">
        <f t="shared" si="953"/>
        <v>#N/A</v>
      </c>
      <c r="AL2196" s="104" t="e">
        <f t="shared" si="954"/>
        <v>#N/A</v>
      </c>
      <c r="AM2196" s="104" t="e">
        <f t="shared" si="955"/>
        <v>#N/A</v>
      </c>
      <c r="AN2196" s="104" t="e">
        <f t="shared" si="966"/>
        <v>#N/A</v>
      </c>
      <c r="AO2196" s="104" t="e">
        <f t="shared" si="967"/>
        <v>#N/A</v>
      </c>
      <c r="AP2196" s="104" t="e">
        <f t="shared" si="968"/>
        <v>#N/A</v>
      </c>
      <c r="AQ2196" s="104" t="e">
        <f t="shared" si="969"/>
        <v>#N/A</v>
      </c>
      <c r="AR2196" s="105" t="str">
        <f t="shared" si="961"/>
        <v/>
      </c>
      <c r="AS2196" s="105" t="str">
        <f t="shared" si="962"/>
        <v/>
      </c>
      <c r="AT2196" s="108" t="str">
        <f t="shared" si="963"/>
        <v/>
      </c>
      <c r="AU2196" s="108" t="str">
        <f t="shared" si="964"/>
        <v/>
      </c>
      <c r="AV2196" s="107" t="str">
        <f>IF(ISNUMBER(O2196),IF(VLOOKUP($A2196,Stand!C:J,8,FALSE)="Short",AT2196,AU2196),"")</f>
        <v/>
      </c>
      <c r="AW2196" s="109" t="str">
        <f t="shared" si="970"/>
        <v/>
      </c>
      <c r="AX2196" s="109" t="str">
        <f t="shared" si="971"/>
        <v/>
      </c>
      <c r="AY2196" s="112" t="str">
        <f>IF(ISNUMBER(O2196),IF(AND(VLOOKUP($D2196,Merchantability!$B:$C,2,0)="Yes",$E2196&gt;=VLOOKUP($D2196,Merchantability!$B:$D,3,0),$E2196&lt;=VLOOKUP($D2196,Merchantability!$B:$E,4,0)),(AV2196*O2196)*(1-$H2196/100),""),"")</f>
        <v/>
      </c>
      <c r="AZ2196" s="116"/>
      <c r="BA2196" s="116"/>
      <c r="BB2196" s="116"/>
      <c r="BE2196" s="62"/>
      <c r="BF2196" s="63"/>
    </row>
    <row r="2197" spans="1:58" ht="12.75" customHeight="1" x14ac:dyDescent="0.25">
      <c r="A2197" s="334"/>
      <c r="B2197" s="334"/>
      <c r="C2197" s="332"/>
      <c r="D2197" s="334"/>
      <c r="E2197" s="335"/>
      <c r="F2197" s="334"/>
      <c r="G2197" s="332"/>
      <c r="H2197" s="332"/>
      <c r="I2197" s="334"/>
      <c r="J2197" s="336"/>
      <c r="K2197" s="332"/>
      <c r="L2197" s="332"/>
      <c r="M2197" s="76"/>
      <c r="N2197" s="103" t="str">
        <f>IF(A2197="","",VLOOKUP(A2197,Stand!C:K,9,0))</f>
        <v/>
      </c>
      <c r="O2197" s="104" t="str">
        <f t="shared" si="956"/>
        <v/>
      </c>
      <c r="P2197" s="105" t="str">
        <f t="shared" si="957"/>
        <v/>
      </c>
      <c r="Q2197" s="105" t="str">
        <f t="shared" si="945"/>
        <v/>
      </c>
      <c r="R2197" s="103" t="str">
        <f t="shared" si="958"/>
        <v/>
      </c>
      <c r="S2197" s="103" t="str">
        <f t="shared" si="959"/>
        <v/>
      </c>
      <c r="T2197" s="106" t="str">
        <f t="shared" si="946"/>
        <v/>
      </c>
      <c r="U2197" s="106" t="str">
        <f t="shared" si="947"/>
        <v/>
      </c>
      <c r="V2197" s="106" t="str">
        <f t="shared" si="948"/>
        <v/>
      </c>
      <c r="W2197" s="105" t="str">
        <f t="shared" si="960"/>
        <v/>
      </c>
      <c r="X2197" s="104" t="str">
        <f t="shared" si="965"/>
        <v/>
      </c>
      <c r="Y2197" s="104" t="str">
        <f t="array" ref="Y2197">IFERROR(IF(ISNUMBER(O2197),IF(COUNT(IF(A2197=$A$2:$A$2427,IF(D2197=$D$2:$D$2427,IF($X$2:$X$2427&gt;0,1))))&gt;0,SUM(IF(A2197=$A$2:$A$2427,IF(D2197=$D$2:$D$2427,$X$2:$X$2427)))/COUNT(IF(A2197=$A$2:$A$2427,IF(D2197=$D$2:$D$2427,IF(ISNUMBER($X$2:$X$2427),1)))),0),""),0)</f>
        <v/>
      </c>
      <c r="Z2197" s="104" t="str">
        <f>IF(ISNUMBER(O2197),IF(I2197&gt;0,(10^(VLOOKUP(D2197,'Species Codes'!B:C,2,0)+VLOOKUP(D2197,'Species Codes'!B:D,3,0)*LOG(E2197)+VLOOKUP(D2197,'Species Codes'!B:E,4,0)*LOG(I2197))),0),"")</f>
        <v/>
      </c>
      <c r="AA2197" s="104" t="str">
        <f>IFERROR((VLOOKUP(D2197,'Species Codes'!B:G,6,0)*Z2197)/2000,"")</f>
        <v/>
      </c>
      <c r="AB2197" s="104" t="e">
        <f>IF(Z2197&gt;0,((IF(OR(D2197="DF",D2197="RA")=TRUE,EXP(VLOOKUP(D2197,'Species Codes'!B:I,8,0)+VLOOKUP(D2197,'Species Codes'!B:J,9,0)*(LN((E2197*2.54)))),IF(OR(D2197="PY",D2197="RC",D2197="WH",D2197="NF")=TRUE,VLOOKUP(D2197,'Species Codes'!B:I,8,0)+VLOOKUP(D2197,'Species Codes'!B:J,9,0)*((E2197*2.54)^2)*(I2197*0.3048),IF(OR(D2197="MD",D2197="BM",D2197="GA")=TRUE,((VLOOKUP(D2197,'Species Codes'!B:I,8,0)*(((((E2197*2.54)+VLOOKUP(D2197,'Species Codes'!B:J,9,0))/VLOOKUP(D2197,'Species Codes'!B:K,10,0))^VLOOKUP(D2197,'Species Codes'!B:L,11,0))*((I2197*0.3048)^VLOOKUP(D2197,'Species Codes'!B:M,12,0))))-(VLOOKUP(D2197,'Species Codes'!B:I,8,0)*((((E2197*2.54)^VLOOKUP(D2197,'Species Codes'!B:L,11,0))*((I2197*0.3048)^VLOOKUP(D2197,'Species Codes'!B:M,12,0))))))*35.3*VLOOKUP(D2197,'Species Codes'!B:G,6,0)/2.2046,VLOOKUP(D2197,'Species Codes'!B:I,8,0)+VLOOKUP(D2197,'Species Codes'!B:J,9,0)*(((E2197*2.54)/100)^2)*(I2197*0.3048)))))*0.0011023),0)</f>
        <v>#N/A</v>
      </c>
      <c r="AC2197" s="104" t="e">
        <f>IF(Z2197&gt;0,((IF(OR(D2197="RA",D2197="OA",D2197="OT",D2197="UN",D2197="PC"),EXP(VLOOKUP(D2197,'Species Codes'!B:O,14,0)+VLOOKUP(D2197,'Species Codes'!B:P,15,0)*LN((E2197*2.54)))-EXP(VLOOKUP(D2197,'Species Codes'!B:O,14,0)+VLOOKUP(D2197,'Species Codes'!B:P,15,0)*LN((E2197*2.54)))*(1/(VLOOKUP(D2197,'Species Codes'!B:Q,16,0)+VLOOKUP(D2197,'Species Codes'!B:R,17,0)*((E2197*2.54)^VLOOKUP(D2197,'Species Codes'!B:S,18,0)))),IF(OR(D2197="BM",D2197="MD",D2197="OA"),EXP(VLOOKUP(D2197,'Species Codes'!B:O,14,0)+VLOOKUP(D2197,'Species Codes'!B:P,15,0)*LN((E2197*2.54)))*(1-(1/(VLOOKUP(D2197,'Species Codes'!B:Q,16,0)+VLOOKUP(D2197,'Species Codes'!B:R,17,0)*((E2197*2.54)^VLOOKUP(D2197,'Species Codes'!B:S,18,0)))))/1000,IF(D2197="DF",EXP(VLOOKUP(D2197,'Species Codes'!B:O,14,0)+VLOOKUP(D2197,'Species Codes'!B:P,15,0)*LN((E2197*2.54))),VLOOKUP(D2197,'Species Codes'!B:O,14,0)+VLOOKUP(D2197,'Species Codes'!B:P,15,0)*(((E2197*2.54)/100)^2)*(I2197*0.3048)))))*0.0011023),0)</f>
        <v>#N/A</v>
      </c>
      <c r="AD2197" s="104" t="e">
        <f t="shared" si="949"/>
        <v>#N/A</v>
      </c>
      <c r="AE2197" s="104" t="e">
        <f t="shared" si="950"/>
        <v>#N/A</v>
      </c>
      <c r="AF2197" s="104" t="e">
        <f>IF(AND(VLOOKUP($D2197,Merchantability!$B:$C,2,0)="Yes",$E2197&gt;=VLOOKUP($D2197,Merchantability!$B:$D,3,0),$E2197&lt;=VLOOKUP($D2197,Merchantability!$B:$E,4,0)),AA2197,0)</f>
        <v>#N/A</v>
      </c>
      <c r="AG2197" s="104" t="e">
        <f>IF(AND(VLOOKUP($D2197,Merchantability!$B:$C,2,0)="Yes",$E2197&gt;=VLOOKUP($D2197,Merchantability!$B:$D,3,0),$E2197&lt;=VLOOKUP($D2197,Merchantability!$B:$E,4,0)),AB2197,0)</f>
        <v>#N/A</v>
      </c>
      <c r="AH2197" s="104" t="e">
        <f>IF(AND(VLOOKUP($D2197,Merchantability!$B:$C,2,0)="Yes",$E2197&gt;=VLOOKUP($D2197,Merchantability!$B:$D,3,0),$E2197&lt;=VLOOKUP($D2197,Merchantability!$B:$E,4,0)),AC2197,0)</f>
        <v>#N/A</v>
      </c>
      <c r="AI2197" s="104" t="e">
        <f t="shared" si="951"/>
        <v>#N/A</v>
      </c>
      <c r="AJ2197" s="104" t="e">
        <f t="shared" si="952"/>
        <v>#VALUE!</v>
      </c>
      <c r="AK2197" s="104" t="e">
        <f t="shared" si="953"/>
        <v>#N/A</v>
      </c>
      <c r="AL2197" s="104" t="e">
        <f t="shared" si="954"/>
        <v>#N/A</v>
      </c>
      <c r="AM2197" s="104" t="e">
        <f t="shared" si="955"/>
        <v>#N/A</v>
      </c>
      <c r="AN2197" s="104" t="e">
        <f t="shared" si="966"/>
        <v>#N/A</v>
      </c>
      <c r="AO2197" s="104" t="e">
        <f t="shared" si="967"/>
        <v>#N/A</v>
      </c>
      <c r="AP2197" s="104" t="e">
        <f t="shared" si="968"/>
        <v>#N/A</v>
      </c>
      <c r="AQ2197" s="104" t="e">
        <f t="shared" si="969"/>
        <v>#N/A</v>
      </c>
      <c r="AR2197" s="105" t="str">
        <f t="shared" si="961"/>
        <v/>
      </c>
      <c r="AS2197" s="105" t="str">
        <f t="shared" si="962"/>
        <v/>
      </c>
      <c r="AT2197" s="108" t="str">
        <f t="shared" si="963"/>
        <v/>
      </c>
      <c r="AU2197" s="108" t="str">
        <f t="shared" si="964"/>
        <v/>
      </c>
      <c r="AV2197" s="107" t="str">
        <f>IF(ISNUMBER(O2197),IF(VLOOKUP($A2197,Stand!C:J,8,FALSE)="Short",AT2197,AU2197),"")</f>
        <v/>
      </c>
      <c r="AW2197" s="109" t="str">
        <f t="shared" si="970"/>
        <v/>
      </c>
      <c r="AX2197" s="109" t="str">
        <f t="shared" si="971"/>
        <v/>
      </c>
      <c r="AY2197" s="112" t="str">
        <f>IF(ISNUMBER(O2197),IF(AND(VLOOKUP($D2197,Merchantability!$B:$C,2,0)="Yes",$E2197&gt;=VLOOKUP($D2197,Merchantability!$B:$D,3,0),$E2197&lt;=VLOOKUP($D2197,Merchantability!$B:$E,4,0)),(AV2197*O2197)*(1-$H2197/100),""),"")</f>
        <v/>
      </c>
      <c r="AZ2197" s="116"/>
      <c r="BA2197" s="116"/>
      <c r="BB2197" s="116"/>
      <c r="BE2197" s="62"/>
      <c r="BF2197" s="63"/>
    </row>
    <row r="2198" spans="1:58" ht="12.75" customHeight="1" x14ac:dyDescent="0.25">
      <c r="A2198" s="334"/>
      <c r="B2198" s="334"/>
      <c r="C2198" s="332"/>
      <c r="D2198" s="334"/>
      <c r="E2198" s="335"/>
      <c r="F2198" s="334"/>
      <c r="G2198" s="332"/>
      <c r="H2198" s="332"/>
      <c r="I2198" s="334"/>
      <c r="J2198" s="336"/>
      <c r="K2198" s="332"/>
      <c r="L2198" s="332"/>
      <c r="M2198" s="76"/>
      <c r="N2198" s="103" t="str">
        <f>IF(A2198="","",VLOOKUP(A2198,Stand!C:K,9,0))</f>
        <v/>
      </c>
      <c r="O2198" s="104" t="str">
        <f t="shared" si="956"/>
        <v/>
      </c>
      <c r="P2198" s="105" t="str">
        <f t="shared" si="957"/>
        <v/>
      </c>
      <c r="Q2198" s="105" t="str">
        <f t="shared" si="945"/>
        <v/>
      </c>
      <c r="R2198" s="103" t="str">
        <f t="shared" si="958"/>
        <v/>
      </c>
      <c r="S2198" s="103" t="str">
        <f t="shared" si="959"/>
        <v/>
      </c>
      <c r="T2198" s="106" t="str">
        <f t="shared" si="946"/>
        <v/>
      </c>
      <c r="U2198" s="106" t="str">
        <f t="shared" si="947"/>
        <v/>
      </c>
      <c r="V2198" s="106" t="str">
        <f t="shared" si="948"/>
        <v/>
      </c>
      <c r="W2198" s="105" t="str">
        <f t="shared" si="960"/>
        <v/>
      </c>
      <c r="X2198" s="104" t="str">
        <f t="shared" si="965"/>
        <v/>
      </c>
      <c r="Y2198" s="104" t="str">
        <f t="array" ref="Y2198">IFERROR(IF(ISNUMBER(O2198),IF(COUNT(IF(A2198=$A$2:$A$2427,IF(D2198=$D$2:$D$2427,IF($X$2:$X$2427&gt;0,1))))&gt;0,SUM(IF(A2198=$A$2:$A$2427,IF(D2198=$D$2:$D$2427,$X$2:$X$2427)))/COUNT(IF(A2198=$A$2:$A$2427,IF(D2198=$D$2:$D$2427,IF(ISNUMBER($X$2:$X$2427),1)))),0),""),0)</f>
        <v/>
      </c>
      <c r="Z2198" s="104" t="str">
        <f>IF(ISNUMBER(O2198),IF(I2198&gt;0,(10^(VLOOKUP(D2198,'Species Codes'!B:C,2,0)+VLOOKUP(D2198,'Species Codes'!B:D,3,0)*LOG(E2198)+VLOOKUP(D2198,'Species Codes'!B:E,4,0)*LOG(I2198))),0),"")</f>
        <v/>
      </c>
      <c r="AA2198" s="104" t="str">
        <f>IFERROR((VLOOKUP(D2198,'Species Codes'!B:G,6,0)*Z2198)/2000,"")</f>
        <v/>
      </c>
      <c r="AB2198" s="104" t="e">
        <f>IF(Z2198&gt;0,((IF(OR(D2198="DF",D2198="RA")=TRUE,EXP(VLOOKUP(D2198,'Species Codes'!B:I,8,0)+VLOOKUP(D2198,'Species Codes'!B:J,9,0)*(LN((E2198*2.54)))),IF(OR(D2198="PY",D2198="RC",D2198="WH",D2198="NF")=TRUE,VLOOKUP(D2198,'Species Codes'!B:I,8,0)+VLOOKUP(D2198,'Species Codes'!B:J,9,0)*((E2198*2.54)^2)*(I2198*0.3048),IF(OR(D2198="MD",D2198="BM",D2198="GA")=TRUE,((VLOOKUP(D2198,'Species Codes'!B:I,8,0)*(((((E2198*2.54)+VLOOKUP(D2198,'Species Codes'!B:J,9,0))/VLOOKUP(D2198,'Species Codes'!B:K,10,0))^VLOOKUP(D2198,'Species Codes'!B:L,11,0))*((I2198*0.3048)^VLOOKUP(D2198,'Species Codes'!B:M,12,0))))-(VLOOKUP(D2198,'Species Codes'!B:I,8,0)*((((E2198*2.54)^VLOOKUP(D2198,'Species Codes'!B:L,11,0))*((I2198*0.3048)^VLOOKUP(D2198,'Species Codes'!B:M,12,0))))))*35.3*VLOOKUP(D2198,'Species Codes'!B:G,6,0)/2.2046,VLOOKUP(D2198,'Species Codes'!B:I,8,0)+VLOOKUP(D2198,'Species Codes'!B:J,9,0)*(((E2198*2.54)/100)^2)*(I2198*0.3048)))))*0.0011023),0)</f>
        <v>#N/A</v>
      </c>
      <c r="AC2198" s="104" t="e">
        <f>IF(Z2198&gt;0,((IF(OR(D2198="RA",D2198="OA",D2198="OT",D2198="UN",D2198="PC"),EXP(VLOOKUP(D2198,'Species Codes'!B:O,14,0)+VLOOKUP(D2198,'Species Codes'!B:P,15,0)*LN((E2198*2.54)))-EXP(VLOOKUP(D2198,'Species Codes'!B:O,14,0)+VLOOKUP(D2198,'Species Codes'!B:P,15,0)*LN((E2198*2.54)))*(1/(VLOOKUP(D2198,'Species Codes'!B:Q,16,0)+VLOOKUP(D2198,'Species Codes'!B:R,17,0)*((E2198*2.54)^VLOOKUP(D2198,'Species Codes'!B:S,18,0)))),IF(OR(D2198="BM",D2198="MD",D2198="OA"),EXP(VLOOKUP(D2198,'Species Codes'!B:O,14,0)+VLOOKUP(D2198,'Species Codes'!B:P,15,0)*LN((E2198*2.54)))*(1-(1/(VLOOKUP(D2198,'Species Codes'!B:Q,16,0)+VLOOKUP(D2198,'Species Codes'!B:R,17,0)*((E2198*2.54)^VLOOKUP(D2198,'Species Codes'!B:S,18,0)))))/1000,IF(D2198="DF",EXP(VLOOKUP(D2198,'Species Codes'!B:O,14,0)+VLOOKUP(D2198,'Species Codes'!B:P,15,0)*LN((E2198*2.54))),VLOOKUP(D2198,'Species Codes'!B:O,14,0)+VLOOKUP(D2198,'Species Codes'!B:P,15,0)*(((E2198*2.54)/100)^2)*(I2198*0.3048)))))*0.0011023),0)</f>
        <v>#N/A</v>
      </c>
      <c r="AD2198" s="104" t="e">
        <f t="shared" si="949"/>
        <v>#N/A</v>
      </c>
      <c r="AE2198" s="104" t="e">
        <f t="shared" si="950"/>
        <v>#N/A</v>
      </c>
      <c r="AF2198" s="104" t="e">
        <f>IF(AND(VLOOKUP($D2198,Merchantability!$B:$C,2,0)="Yes",$E2198&gt;=VLOOKUP($D2198,Merchantability!$B:$D,3,0),$E2198&lt;=VLOOKUP($D2198,Merchantability!$B:$E,4,0)),AA2198,0)</f>
        <v>#N/A</v>
      </c>
      <c r="AG2198" s="104" t="e">
        <f>IF(AND(VLOOKUP($D2198,Merchantability!$B:$C,2,0)="Yes",$E2198&gt;=VLOOKUP($D2198,Merchantability!$B:$D,3,0),$E2198&lt;=VLOOKUP($D2198,Merchantability!$B:$E,4,0)),AB2198,0)</f>
        <v>#N/A</v>
      </c>
      <c r="AH2198" s="104" t="e">
        <f>IF(AND(VLOOKUP($D2198,Merchantability!$B:$C,2,0)="Yes",$E2198&gt;=VLOOKUP($D2198,Merchantability!$B:$D,3,0),$E2198&lt;=VLOOKUP($D2198,Merchantability!$B:$E,4,0)),AC2198,0)</f>
        <v>#N/A</v>
      </c>
      <c r="AI2198" s="104" t="e">
        <f t="shared" si="951"/>
        <v>#N/A</v>
      </c>
      <c r="AJ2198" s="104" t="e">
        <f t="shared" si="952"/>
        <v>#VALUE!</v>
      </c>
      <c r="AK2198" s="104" t="e">
        <f t="shared" si="953"/>
        <v>#N/A</v>
      </c>
      <c r="AL2198" s="104" t="e">
        <f t="shared" si="954"/>
        <v>#N/A</v>
      </c>
      <c r="AM2198" s="104" t="e">
        <f t="shared" si="955"/>
        <v>#N/A</v>
      </c>
      <c r="AN2198" s="104" t="e">
        <f t="shared" si="966"/>
        <v>#N/A</v>
      </c>
      <c r="AO2198" s="104" t="e">
        <f t="shared" si="967"/>
        <v>#N/A</v>
      </c>
      <c r="AP2198" s="104" t="e">
        <f t="shared" si="968"/>
        <v>#N/A</v>
      </c>
      <c r="AQ2198" s="104" t="e">
        <f t="shared" si="969"/>
        <v>#N/A</v>
      </c>
      <c r="AR2198" s="105" t="str">
        <f t="shared" si="961"/>
        <v/>
      </c>
      <c r="AS2198" s="105" t="str">
        <f t="shared" si="962"/>
        <v/>
      </c>
      <c r="AT2198" s="108" t="str">
        <f t="shared" si="963"/>
        <v/>
      </c>
      <c r="AU2198" s="108" t="str">
        <f t="shared" si="964"/>
        <v/>
      </c>
      <c r="AV2198" s="107" t="str">
        <f>IF(ISNUMBER(O2198),IF(VLOOKUP($A2198,Stand!C:J,8,FALSE)="Short",AT2198,AU2198),"")</f>
        <v/>
      </c>
      <c r="AW2198" s="109" t="str">
        <f t="shared" si="970"/>
        <v/>
      </c>
      <c r="AX2198" s="109" t="str">
        <f t="shared" si="971"/>
        <v/>
      </c>
      <c r="AY2198" s="112" t="str">
        <f>IF(ISNUMBER(O2198),IF(AND(VLOOKUP($D2198,Merchantability!$B:$C,2,0)="Yes",$E2198&gt;=VLOOKUP($D2198,Merchantability!$B:$D,3,0),$E2198&lt;=VLOOKUP($D2198,Merchantability!$B:$E,4,0)),(AV2198*O2198)*(1-$H2198/100),""),"")</f>
        <v/>
      </c>
      <c r="AZ2198" s="116"/>
      <c r="BA2198" s="116"/>
      <c r="BB2198" s="116"/>
      <c r="BE2198" s="62"/>
      <c r="BF2198" s="63"/>
    </row>
    <row r="2199" spans="1:58" ht="12.75" customHeight="1" x14ac:dyDescent="0.25">
      <c r="A2199" s="334"/>
      <c r="B2199" s="334"/>
      <c r="C2199" s="332"/>
      <c r="D2199" s="334"/>
      <c r="E2199" s="335"/>
      <c r="F2199" s="334"/>
      <c r="G2199" s="332"/>
      <c r="H2199" s="332"/>
      <c r="I2199" s="334"/>
      <c r="J2199" s="336"/>
      <c r="K2199" s="332"/>
      <c r="L2199" s="332"/>
      <c r="M2199" s="76"/>
      <c r="N2199" s="103" t="str">
        <f>IF(A2199="","",VLOOKUP(A2199,Stand!C:K,9,0))</f>
        <v/>
      </c>
      <c r="O2199" s="104" t="str">
        <f t="shared" si="956"/>
        <v/>
      </c>
      <c r="P2199" s="105" t="str">
        <f t="shared" si="957"/>
        <v/>
      </c>
      <c r="Q2199" s="105" t="str">
        <f t="shared" si="945"/>
        <v/>
      </c>
      <c r="R2199" s="103" t="str">
        <f t="shared" si="958"/>
        <v/>
      </c>
      <c r="S2199" s="103" t="str">
        <f t="shared" si="959"/>
        <v/>
      </c>
      <c r="T2199" s="106" t="str">
        <f t="shared" si="946"/>
        <v/>
      </c>
      <c r="U2199" s="106" t="str">
        <f t="shared" si="947"/>
        <v/>
      </c>
      <c r="V2199" s="106" t="str">
        <f t="shared" si="948"/>
        <v/>
      </c>
      <c r="W2199" s="105" t="str">
        <f t="shared" si="960"/>
        <v/>
      </c>
      <c r="X2199" s="104" t="str">
        <f t="shared" si="965"/>
        <v/>
      </c>
      <c r="Y2199" s="104" t="str">
        <f t="array" ref="Y2199">IFERROR(IF(ISNUMBER(O2199),IF(COUNT(IF(A2199=$A$2:$A$2427,IF(D2199=$D$2:$D$2427,IF($X$2:$X$2427&gt;0,1))))&gt;0,SUM(IF(A2199=$A$2:$A$2427,IF(D2199=$D$2:$D$2427,$X$2:$X$2427)))/COUNT(IF(A2199=$A$2:$A$2427,IF(D2199=$D$2:$D$2427,IF(ISNUMBER($X$2:$X$2427),1)))),0),""),0)</f>
        <v/>
      </c>
      <c r="Z2199" s="104" t="str">
        <f>IF(ISNUMBER(O2199),IF(I2199&gt;0,(10^(VLOOKUP(D2199,'Species Codes'!B:C,2,0)+VLOOKUP(D2199,'Species Codes'!B:D,3,0)*LOG(E2199)+VLOOKUP(D2199,'Species Codes'!B:E,4,0)*LOG(I2199))),0),"")</f>
        <v/>
      </c>
      <c r="AA2199" s="104" t="str">
        <f>IFERROR((VLOOKUP(D2199,'Species Codes'!B:G,6,0)*Z2199)/2000,"")</f>
        <v/>
      </c>
      <c r="AB2199" s="104" t="e">
        <f>IF(Z2199&gt;0,((IF(OR(D2199="DF",D2199="RA")=TRUE,EXP(VLOOKUP(D2199,'Species Codes'!B:I,8,0)+VLOOKUP(D2199,'Species Codes'!B:J,9,0)*(LN((E2199*2.54)))),IF(OR(D2199="PY",D2199="RC",D2199="WH",D2199="NF")=TRUE,VLOOKUP(D2199,'Species Codes'!B:I,8,0)+VLOOKUP(D2199,'Species Codes'!B:J,9,0)*((E2199*2.54)^2)*(I2199*0.3048),IF(OR(D2199="MD",D2199="BM",D2199="GA")=TRUE,((VLOOKUP(D2199,'Species Codes'!B:I,8,0)*(((((E2199*2.54)+VLOOKUP(D2199,'Species Codes'!B:J,9,0))/VLOOKUP(D2199,'Species Codes'!B:K,10,0))^VLOOKUP(D2199,'Species Codes'!B:L,11,0))*((I2199*0.3048)^VLOOKUP(D2199,'Species Codes'!B:M,12,0))))-(VLOOKUP(D2199,'Species Codes'!B:I,8,0)*((((E2199*2.54)^VLOOKUP(D2199,'Species Codes'!B:L,11,0))*((I2199*0.3048)^VLOOKUP(D2199,'Species Codes'!B:M,12,0))))))*35.3*VLOOKUP(D2199,'Species Codes'!B:G,6,0)/2.2046,VLOOKUP(D2199,'Species Codes'!B:I,8,0)+VLOOKUP(D2199,'Species Codes'!B:J,9,0)*(((E2199*2.54)/100)^2)*(I2199*0.3048)))))*0.0011023),0)</f>
        <v>#N/A</v>
      </c>
      <c r="AC2199" s="104" t="e">
        <f>IF(Z2199&gt;0,((IF(OR(D2199="RA",D2199="OA",D2199="OT",D2199="UN",D2199="PC"),EXP(VLOOKUP(D2199,'Species Codes'!B:O,14,0)+VLOOKUP(D2199,'Species Codes'!B:P,15,0)*LN((E2199*2.54)))-EXP(VLOOKUP(D2199,'Species Codes'!B:O,14,0)+VLOOKUP(D2199,'Species Codes'!B:P,15,0)*LN((E2199*2.54)))*(1/(VLOOKUP(D2199,'Species Codes'!B:Q,16,0)+VLOOKUP(D2199,'Species Codes'!B:R,17,0)*((E2199*2.54)^VLOOKUP(D2199,'Species Codes'!B:S,18,0)))),IF(OR(D2199="BM",D2199="MD",D2199="OA"),EXP(VLOOKUP(D2199,'Species Codes'!B:O,14,0)+VLOOKUP(D2199,'Species Codes'!B:P,15,0)*LN((E2199*2.54)))*(1-(1/(VLOOKUP(D2199,'Species Codes'!B:Q,16,0)+VLOOKUP(D2199,'Species Codes'!B:R,17,0)*((E2199*2.54)^VLOOKUP(D2199,'Species Codes'!B:S,18,0)))))/1000,IF(D2199="DF",EXP(VLOOKUP(D2199,'Species Codes'!B:O,14,0)+VLOOKUP(D2199,'Species Codes'!B:P,15,0)*LN((E2199*2.54))),VLOOKUP(D2199,'Species Codes'!B:O,14,0)+VLOOKUP(D2199,'Species Codes'!B:P,15,0)*(((E2199*2.54)/100)^2)*(I2199*0.3048)))))*0.0011023),0)</f>
        <v>#N/A</v>
      </c>
      <c r="AD2199" s="104" t="e">
        <f t="shared" si="949"/>
        <v>#N/A</v>
      </c>
      <c r="AE2199" s="104" t="e">
        <f t="shared" si="950"/>
        <v>#N/A</v>
      </c>
      <c r="AF2199" s="104" t="e">
        <f>IF(AND(VLOOKUP($D2199,Merchantability!$B:$C,2,0)="Yes",$E2199&gt;=VLOOKUP($D2199,Merchantability!$B:$D,3,0),$E2199&lt;=VLOOKUP($D2199,Merchantability!$B:$E,4,0)),AA2199,0)</f>
        <v>#N/A</v>
      </c>
      <c r="AG2199" s="104" t="e">
        <f>IF(AND(VLOOKUP($D2199,Merchantability!$B:$C,2,0)="Yes",$E2199&gt;=VLOOKUP($D2199,Merchantability!$B:$D,3,0),$E2199&lt;=VLOOKUP($D2199,Merchantability!$B:$E,4,0)),AB2199,0)</f>
        <v>#N/A</v>
      </c>
      <c r="AH2199" s="104" t="e">
        <f>IF(AND(VLOOKUP($D2199,Merchantability!$B:$C,2,0)="Yes",$E2199&gt;=VLOOKUP($D2199,Merchantability!$B:$D,3,0),$E2199&lt;=VLOOKUP($D2199,Merchantability!$B:$E,4,0)),AC2199,0)</f>
        <v>#N/A</v>
      </c>
      <c r="AI2199" s="104" t="e">
        <f t="shared" si="951"/>
        <v>#N/A</v>
      </c>
      <c r="AJ2199" s="104" t="e">
        <f t="shared" si="952"/>
        <v>#VALUE!</v>
      </c>
      <c r="AK2199" s="104" t="e">
        <f t="shared" si="953"/>
        <v>#N/A</v>
      </c>
      <c r="AL2199" s="104" t="e">
        <f t="shared" si="954"/>
        <v>#N/A</v>
      </c>
      <c r="AM2199" s="104" t="e">
        <f t="shared" si="955"/>
        <v>#N/A</v>
      </c>
      <c r="AN2199" s="104" t="e">
        <f t="shared" si="966"/>
        <v>#N/A</v>
      </c>
      <c r="AO2199" s="104" t="e">
        <f t="shared" si="967"/>
        <v>#N/A</v>
      </c>
      <c r="AP2199" s="104" t="e">
        <f t="shared" si="968"/>
        <v>#N/A</v>
      </c>
      <c r="AQ2199" s="104" t="e">
        <f t="shared" si="969"/>
        <v>#N/A</v>
      </c>
      <c r="AR2199" s="105" t="str">
        <f t="shared" si="961"/>
        <v/>
      </c>
      <c r="AS2199" s="105" t="str">
        <f t="shared" si="962"/>
        <v/>
      </c>
      <c r="AT2199" s="108" t="str">
        <f t="shared" si="963"/>
        <v/>
      </c>
      <c r="AU2199" s="108" t="str">
        <f t="shared" si="964"/>
        <v/>
      </c>
      <c r="AV2199" s="107" t="str">
        <f>IF(ISNUMBER(O2199),IF(VLOOKUP($A2199,Stand!C:J,8,FALSE)="Short",AT2199,AU2199),"")</f>
        <v/>
      </c>
      <c r="AW2199" s="109" t="str">
        <f t="shared" si="970"/>
        <v/>
      </c>
      <c r="AX2199" s="109" t="str">
        <f t="shared" si="971"/>
        <v/>
      </c>
      <c r="AY2199" s="112" t="str">
        <f>IF(ISNUMBER(O2199),IF(AND(VLOOKUP($D2199,Merchantability!$B:$C,2,0)="Yes",$E2199&gt;=VLOOKUP($D2199,Merchantability!$B:$D,3,0),$E2199&lt;=VLOOKUP($D2199,Merchantability!$B:$E,4,0)),(AV2199*O2199)*(1-$H2199/100),""),"")</f>
        <v/>
      </c>
      <c r="AZ2199" s="116"/>
      <c r="BA2199" s="116"/>
      <c r="BB2199" s="116"/>
      <c r="BE2199" s="62"/>
      <c r="BF2199" s="63"/>
    </row>
    <row r="2200" spans="1:58" ht="12.75" customHeight="1" x14ac:dyDescent="0.25">
      <c r="A2200" s="334"/>
      <c r="B2200" s="334"/>
      <c r="C2200" s="332"/>
      <c r="D2200" s="334"/>
      <c r="E2200" s="335"/>
      <c r="F2200" s="334"/>
      <c r="G2200" s="332"/>
      <c r="H2200" s="332"/>
      <c r="I2200" s="334"/>
      <c r="J2200" s="336"/>
      <c r="K2200" s="332"/>
      <c r="L2200" s="332"/>
      <c r="M2200" s="76"/>
      <c r="N2200" s="103" t="str">
        <f>IF(A2200="","",VLOOKUP(A2200,Stand!C:K,9,0))</f>
        <v/>
      </c>
      <c r="O2200" s="104" t="str">
        <f t="shared" si="956"/>
        <v/>
      </c>
      <c r="P2200" s="105" t="str">
        <f t="shared" si="957"/>
        <v/>
      </c>
      <c r="Q2200" s="105" t="str">
        <f t="shared" si="945"/>
        <v/>
      </c>
      <c r="R2200" s="103" t="str">
        <f t="shared" si="958"/>
        <v/>
      </c>
      <c r="S2200" s="103" t="str">
        <f t="shared" si="959"/>
        <v/>
      </c>
      <c r="T2200" s="106" t="str">
        <f t="shared" si="946"/>
        <v/>
      </c>
      <c r="U2200" s="106" t="str">
        <f t="shared" si="947"/>
        <v/>
      </c>
      <c r="V2200" s="106" t="str">
        <f t="shared" si="948"/>
        <v/>
      </c>
      <c r="W2200" s="105" t="str">
        <f t="shared" si="960"/>
        <v/>
      </c>
      <c r="X2200" s="104" t="str">
        <f t="shared" si="965"/>
        <v/>
      </c>
      <c r="Y2200" s="104" t="str">
        <f t="array" ref="Y2200">IFERROR(IF(ISNUMBER(O2200),IF(COUNT(IF(A2200=$A$2:$A$2427,IF(D2200=$D$2:$D$2427,IF($X$2:$X$2427&gt;0,1))))&gt;0,SUM(IF(A2200=$A$2:$A$2427,IF(D2200=$D$2:$D$2427,$X$2:$X$2427)))/COUNT(IF(A2200=$A$2:$A$2427,IF(D2200=$D$2:$D$2427,IF(ISNUMBER($X$2:$X$2427),1)))),0),""),0)</f>
        <v/>
      </c>
      <c r="Z2200" s="104" t="str">
        <f>IF(ISNUMBER(O2200),IF(I2200&gt;0,(10^(VLOOKUP(D2200,'Species Codes'!B:C,2,0)+VLOOKUP(D2200,'Species Codes'!B:D,3,0)*LOG(E2200)+VLOOKUP(D2200,'Species Codes'!B:E,4,0)*LOG(I2200))),0),"")</f>
        <v/>
      </c>
      <c r="AA2200" s="104" t="str">
        <f>IFERROR((VLOOKUP(D2200,'Species Codes'!B:G,6,0)*Z2200)/2000,"")</f>
        <v/>
      </c>
      <c r="AB2200" s="104" t="e">
        <f>IF(Z2200&gt;0,((IF(OR(D2200="DF",D2200="RA")=TRUE,EXP(VLOOKUP(D2200,'Species Codes'!B:I,8,0)+VLOOKUP(D2200,'Species Codes'!B:J,9,0)*(LN((E2200*2.54)))),IF(OR(D2200="PY",D2200="RC",D2200="WH",D2200="NF")=TRUE,VLOOKUP(D2200,'Species Codes'!B:I,8,0)+VLOOKUP(D2200,'Species Codes'!B:J,9,0)*((E2200*2.54)^2)*(I2200*0.3048),IF(OR(D2200="MD",D2200="BM",D2200="GA")=TRUE,((VLOOKUP(D2200,'Species Codes'!B:I,8,0)*(((((E2200*2.54)+VLOOKUP(D2200,'Species Codes'!B:J,9,0))/VLOOKUP(D2200,'Species Codes'!B:K,10,0))^VLOOKUP(D2200,'Species Codes'!B:L,11,0))*((I2200*0.3048)^VLOOKUP(D2200,'Species Codes'!B:M,12,0))))-(VLOOKUP(D2200,'Species Codes'!B:I,8,0)*((((E2200*2.54)^VLOOKUP(D2200,'Species Codes'!B:L,11,0))*((I2200*0.3048)^VLOOKUP(D2200,'Species Codes'!B:M,12,0))))))*35.3*VLOOKUP(D2200,'Species Codes'!B:G,6,0)/2.2046,VLOOKUP(D2200,'Species Codes'!B:I,8,0)+VLOOKUP(D2200,'Species Codes'!B:J,9,0)*(((E2200*2.54)/100)^2)*(I2200*0.3048)))))*0.0011023),0)</f>
        <v>#N/A</v>
      </c>
      <c r="AC2200" s="104" t="e">
        <f>IF(Z2200&gt;0,((IF(OR(D2200="RA",D2200="OA",D2200="OT",D2200="UN",D2200="PC"),EXP(VLOOKUP(D2200,'Species Codes'!B:O,14,0)+VLOOKUP(D2200,'Species Codes'!B:P,15,0)*LN((E2200*2.54)))-EXP(VLOOKUP(D2200,'Species Codes'!B:O,14,0)+VLOOKUP(D2200,'Species Codes'!B:P,15,0)*LN((E2200*2.54)))*(1/(VLOOKUP(D2200,'Species Codes'!B:Q,16,0)+VLOOKUP(D2200,'Species Codes'!B:R,17,0)*((E2200*2.54)^VLOOKUP(D2200,'Species Codes'!B:S,18,0)))),IF(OR(D2200="BM",D2200="MD",D2200="OA"),EXP(VLOOKUP(D2200,'Species Codes'!B:O,14,0)+VLOOKUP(D2200,'Species Codes'!B:P,15,0)*LN((E2200*2.54)))*(1-(1/(VLOOKUP(D2200,'Species Codes'!B:Q,16,0)+VLOOKUP(D2200,'Species Codes'!B:R,17,0)*((E2200*2.54)^VLOOKUP(D2200,'Species Codes'!B:S,18,0)))))/1000,IF(D2200="DF",EXP(VLOOKUP(D2200,'Species Codes'!B:O,14,0)+VLOOKUP(D2200,'Species Codes'!B:P,15,0)*LN((E2200*2.54))),VLOOKUP(D2200,'Species Codes'!B:O,14,0)+VLOOKUP(D2200,'Species Codes'!B:P,15,0)*(((E2200*2.54)/100)^2)*(I2200*0.3048)))))*0.0011023),0)</f>
        <v>#N/A</v>
      </c>
      <c r="AD2200" s="104" t="e">
        <f t="shared" si="949"/>
        <v>#N/A</v>
      </c>
      <c r="AE2200" s="104" t="e">
        <f t="shared" si="950"/>
        <v>#N/A</v>
      </c>
      <c r="AF2200" s="104" t="e">
        <f>IF(AND(VLOOKUP($D2200,Merchantability!$B:$C,2,0)="Yes",$E2200&gt;=VLOOKUP($D2200,Merchantability!$B:$D,3,0),$E2200&lt;=VLOOKUP($D2200,Merchantability!$B:$E,4,0)),AA2200,0)</f>
        <v>#N/A</v>
      </c>
      <c r="AG2200" s="104" t="e">
        <f>IF(AND(VLOOKUP($D2200,Merchantability!$B:$C,2,0)="Yes",$E2200&gt;=VLOOKUP($D2200,Merchantability!$B:$D,3,0),$E2200&lt;=VLOOKUP($D2200,Merchantability!$B:$E,4,0)),AB2200,0)</f>
        <v>#N/A</v>
      </c>
      <c r="AH2200" s="104" t="e">
        <f>IF(AND(VLOOKUP($D2200,Merchantability!$B:$C,2,0)="Yes",$E2200&gt;=VLOOKUP($D2200,Merchantability!$B:$D,3,0),$E2200&lt;=VLOOKUP($D2200,Merchantability!$B:$E,4,0)),AC2200,0)</f>
        <v>#N/A</v>
      </c>
      <c r="AI2200" s="104" t="e">
        <f t="shared" si="951"/>
        <v>#N/A</v>
      </c>
      <c r="AJ2200" s="104" t="e">
        <f t="shared" si="952"/>
        <v>#VALUE!</v>
      </c>
      <c r="AK2200" s="104" t="e">
        <f t="shared" si="953"/>
        <v>#N/A</v>
      </c>
      <c r="AL2200" s="104" t="e">
        <f t="shared" si="954"/>
        <v>#N/A</v>
      </c>
      <c r="AM2200" s="104" t="e">
        <f t="shared" si="955"/>
        <v>#N/A</v>
      </c>
      <c r="AN2200" s="104" t="e">
        <f t="shared" si="966"/>
        <v>#N/A</v>
      </c>
      <c r="AO2200" s="104" t="e">
        <f t="shared" si="967"/>
        <v>#N/A</v>
      </c>
      <c r="AP2200" s="104" t="e">
        <f t="shared" si="968"/>
        <v>#N/A</v>
      </c>
      <c r="AQ2200" s="104" t="e">
        <f t="shared" si="969"/>
        <v>#N/A</v>
      </c>
      <c r="AR2200" s="105" t="str">
        <f t="shared" si="961"/>
        <v/>
      </c>
      <c r="AS2200" s="105" t="str">
        <f t="shared" si="962"/>
        <v/>
      </c>
      <c r="AT2200" s="108" t="str">
        <f t="shared" si="963"/>
        <v/>
      </c>
      <c r="AU2200" s="108" t="str">
        <f t="shared" si="964"/>
        <v/>
      </c>
      <c r="AV2200" s="107" t="str">
        <f>IF(ISNUMBER(O2200),IF(VLOOKUP($A2200,Stand!C:J,8,FALSE)="Short",AT2200,AU2200),"")</f>
        <v/>
      </c>
      <c r="AW2200" s="109" t="str">
        <f t="shared" si="970"/>
        <v/>
      </c>
      <c r="AX2200" s="109" t="str">
        <f t="shared" si="971"/>
        <v/>
      </c>
      <c r="AY2200" s="112" t="str">
        <f>IF(ISNUMBER(O2200),IF(AND(VLOOKUP($D2200,Merchantability!$B:$C,2,0)="Yes",$E2200&gt;=VLOOKUP($D2200,Merchantability!$B:$D,3,0),$E2200&lt;=VLOOKUP($D2200,Merchantability!$B:$E,4,0)),(AV2200*O2200)*(1-$H2200/100),""),"")</f>
        <v/>
      </c>
      <c r="AZ2200" s="116"/>
      <c r="BA2200" s="116"/>
      <c r="BB2200" s="116"/>
      <c r="BE2200" s="62"/>
      <c r="BF2200" s="63"/>
    </row>
    <row r="2201" spans="1:58" ht="12.75" customHeight="1" x14ac:dyDescent="0.25">
      <c r="A2201" s="334"/>
      <c r="B2201" s="334"/>
      <c r="C2201" s="332"/>
      <c r="D2201" s="334"/>
      <c r="E2201" s="335"/>
      <c r="F2201" s="334"/>
      <c r="G2201" s="332"/>
      <c r="H2201" s="332"/>
      <c r="I2201" s="334"/>
      <c r="J2201" s="336"/>
      <c r="K2201" s="332"/>
      <c r="L2201" s="332"/>
      <c r="M2201" s="76"/>
      <c r="N2201" s="103" t="str">
        <f>IF(A2201="","",VLOOKUP(A2201,Stand!C:K,9,0))</f>
        <v/>
      </c>
      <c r="O2201" s="104" t="str">
        <f t="shared" si="956"/>
        <v/>
      </c>
      <c r="P2201" s="105" t="str">
        <f t="shared" si="957"/>
        <v/>
      </c>
      <c r="Q2201" s="105" t="str">
        <f t="shared" si="945"/>
        <v/>
      </c>
      <c r="R2201" s="103" t="str">
        <f t="shared" si="958"/>
        <v/>
      </c>
      <c r="S2201" s="103" t="str">
        <f t="shared" si="959"/>
        <v/>
      </c>
      <c r="T2201" s="106" t="str">
        <f t="shared" si="946"/>
        <v/>
      </c>
      <c r="U2201" s="106" t="str">
        <f t="shared" si="947"/>
        <v/>
      </c>
      <c r="V2201" s="106" t="str">
        <f t="shared" si="948"/>
        <v/>
      </c>
      <c r="W2201" s="105" t="str">
        <f t="shared" si="960"/>
        <v/>
      </c>
      <c r="X2201" s="104" t="str">
        <f t="shared" si="965"/>
        <v/>
      </c>
      <c r="Y2201" s="104" t="str">
        <f t="array" ref="Y2201">IFERROR(IF(ISNUMBER(O2201),IF(COUNT(IF(A2201=$A$2:$A$2427,IF(D2201=$D$2:$D$2427,IF($X$2:$X$2427&gt;0,1))))&gt;0,SUM(IF(A2201=$A$2:$A$2427,IF(D2201=$D$2:$D$2427,$X$2:$X$2427)))/COUNT(IF(A2201=$A$2:$A$2427,IF(D2201=$D$2:$D$2427,IF(ISNUMBER($X$2:$X$2427),1)))),0),""),0)</f>
        <v/>
      </c>
      <c r="Z2201" s="104" t="str">
        <f>IF(ISNUMBER(O2201),IF(I2201&gt;0,(10^(VLOOKUP(D2201,'Species Codes'!B:C,2,0)+VLOOKUP(D2201,'Species Codes'!B:D,3,0)*LOG(E2201)+VLOOKUP(D2201,'Species Codes'!B:E,4,0)*LOG(I2201))),0),"")</f>
        <v/>
      </c>
      <c r="AA2201" s="104" t="str">
        <f>IFERROR((VLOOKUP(D2201,'Species Codes'!B:G,6,0)*Z2201)/2000,"")</f>
        <v/>
      </c>
      <c r="AB2201" s="104" t="e">
        <f>IF(Z2201&gt;0,((IF(OR(D2201="DF",D2201="RA")=TRUE,EXP(VLOOKUP(D2201,'Species Codes'!B:I,8,0)+VLOOKUP(D2201,'Species Codes'!B:J,9,0)*(LN((E2201*2.54)))),IF(OR(D2201="PY",D2201="RC",D2201="WH",D2201="NF")=TRUE,VLOOKUP(D2201,'Species Codes'!B:I,8,0)+VLOOKUP(D2201,'Species Codes'!B:J,9,0)*((E2201*2.54)^2)*(I2201*0.3048),IF(OR(D2201="MD",D2201="BM",D2201="GA")=TRUE,((VLOOKUP(D2201,'Species Codes'!B:I,8,0)*(((((E2201*2.54)+VLOOKUP(D2201,'Species Codes'!B:J,9,0))/VLOOKUP(D2201,'Species Codes'!B:K,10,0))^VLOOKUP(D2201,'Species Codes'!B:L,11,0))*((I2201*0.3048)^VLOOKUP(D2201,'Species Codes'!B:M,12,0))))-(VLOOKUP(D2201,'Species Codes'!B:I,8,0)*((((E2201*2.54)^VLOOKUP(D2201,'Species Codes'!B:L,11,0))*((I2201*0.3048)^VLOOKUP(D2201,'Species Codes'!B:M,12,0))))))*35.3*VLOOKUP(D2201,'Species Codes'!B:G,6,0)/2.2046,VLOOKUP(D2201,'Species Codes'!B:I,8,0)+VLOOKUP(D2201,'Species Codes'!B:J,9,0)*(((E2201*2.54)/100)^2)*(I2201*0.3048)))))*0.0011023),0)</f>
        <v>#N/A</v>
      </c>
      <c r="AC2201" s="104" t="e">
        <f>IF(Z2201&gt;0,((IF(OR(D2201="RA",D2201="OA",D2201="OT",D2201="UN",D2201="PC"),EXP(VLOOKUP(D2201,'Species Codes'!B:O,14,0)+VLOOKUP(D2201,'Species Codes'!B:P,15,0)*LN((E2201*2.54)))-EXP(VLOOKUP(D2201,'Species Codes'!B:O,14,0)+VLOOKUP(D2201,'Species Codes'!B:P,15,0)*LN((E2201*2.54)))*(1/(VLOOKUP(D2201,'Species Codes'!B:Q,16,0)+VLOOKUP(D2201,'Species Codes'!B:R,17,0)*((E2201*2.54)^VLOOKUP(D2201,'Species Codes'!B:S,18,0)))),IF(OR(D2201="BM",D2201="MD",D2201="OA"),EXP(VLOOKUP(D2201,'Species Codes'!B:O,14,0)+VLOOKUP(D2201,'Species Codes'!B:P,15,0)*LN((E2201*2.54)))*(1-(1/(VLOOKUP(D2201,'Species Codes'!B:Q,16,0)+VLOOKUP(D2201,'Species Codes'!B:R,17,0)*((E2201*2.54)^VLOOKUP(D2201,'Species Codes'!B:S,18,0)))))/1000,IF(D2201="DF",EXP(VLOOKUP(D2201,'Species Codes'!B:O,14,0)+VLOOKUP(D2201,'Species Codes'!B:P,15,0)*LN((E2201*2.54))),VLOOKUP(D2201,'Species Codes'!B:O,14,0)+VLOOKUP(D2201,'Species Codes'!B:P,15,0)*(((E2201*2.54)/100)^2)*(I2201*0.3048)))))*0.0011023),0)</f>
        <v>#N/A</v>
      </c>
      <c r="AD2201" s="104" t="e">
        <f t="shared" si="949"/>
        <v>#N/A</v>
      </c>
      <c r="AE2201" s="104" t="e">
        <f t="shared" si="950"/>
        <v>#N/A</v>
      </c>
      <c r="AF2201" s="104" t="e">
        <f>IF(AND(VLOOKUP($D2201,Merchantability!$B:$C,2,0)="Yes",$E2201&gt;=VLOOKUP($D2201,Merchantability!$B:$D,3,0),$E2201&lt;=VLOOKUP($D2201,Merchantability!$B:$E,4,0)),AA2201,0)</f>
        <v>#N/A</v>
      </c>
      <c r="AG2201" s="104" t="e">
        <f>IF(AND(VLOOKUP($D2201,Merchantability!$B:$C,2,0)="Yes",$E2201&gt;=VLOOKUP($D2201,Merchantability!$B:$D,3,0),$E2201&lt;=VLOOKUP($D2201,Merchantability!$B:$E,4,0)),AB2201,0)</f>
        <v>#N/A</v>
      </c>
      <c r="AH2201" s="104" t="e">
        <f>IF(AND(VLOOKUP($D2201,Merchantability!$B:$C,2,0)="Yes",$E2201&gt;=VLOOKUP($D2201,Merchantability!$B:$D,3,0),$E2201&lt;=VLOOKUP($D2201,Merchantability!$B:$E,4,0)),AC2201,0)</f>
        <v>#N/A</v>
      </c>
      <c r="AI2201" s="104" t="e">
        <f t="shared" si="951"/>
        <v>#N/A</v>
      </c>
      <c r="AJ2201" s="104" t="e">
        <f t="shared" si="952"/>
        <v>#VALUE!</v>
      </c>
      <c r="AK2201" s="104" t="e">
        <f t="shared" si="953"/>
        <v>#N/A</v>
      </c>
      <c r="AL2201" s="104" t="e">
        <f t="shared" si="954"/>
        <v>#N/A</v>
      </c>
      <c r="AM2201" s="104" t="e">
        <f t="shared" si="955"/>
        <v>#N/A</v>
      </c>
      <c r="AN2201" s="104" t="e">
        <f t="shared" si="966"/>
        <v>#N/A</v>
      </c>
      <c r="AO2201" s="104" t="e">
        <f t="shared" si="967"/>
        <v>#N/A</v>
      </c>
      <c r="AP2201" s="104" t="e">
        <f t="shared" si="968"/>
        <v>#N/A</v>
      </c>
      <c r="AQ2201" s="104" t="e">
        <f t="shared" si="969"/>
        <v>#N/A</v>
      </c>
      <c r="AR2201" s="105" t="str">
        <f t="shared" si="961"/>
        <v/>
      </c>
      <c r="AS2201" s="105" t="str">
        <f t="shared" si="962"/>
        <v/>
      </c>
      <c r="AT2201" s="108" t="str">
        <f t="shared" si="963"/>
        <v/>
      </c>
      <c r="AU2201" s="108" t="str">
        <f t="shared" si="964"/>
        <v/>
      </c>
      <c r="AV2201" s="107" t="str">
        <f>IF(ISNUMBER(O2201),IF(VLOOKUP($A2201,Stand!C:J,8,FALSE)="Short",AT2201,AU2201),"")</f>
        <v/>
      </c>
      <c r="AW2201" s="109" t="str">
        <f t="shared" si="970"/>
        <v/>
      </c>
      <c r="AX2201" s="109" t="str">
        <f t="shared" si="971"/>
        <v/>
      </c>
      <c r="AY2201" s="112" t="str">
        <f>IF(ISNUMBER(O2201),IF(AND(VLOOKUP($D2201,Merchantability!$B:$C,2,0)="Yes",$E2201&gt;=VLOOKUP($D2201,Merchantability!$B:$D,3,0),$E2201&lt;=VLOOKUP($D2201,Merchantability!$B:$E,4,0)),(AV2201*O2201)*(1-$H2201/100),""),"")</f>
        <v/>
      </c>
      <c r="AZ2201" s="116"/>
      <c r="BA2201" s="116"/>
      <c r="BB2201" s="116"/>
      <c r="BE2201" s="62"/>
      <c r="BF2201" s="63"/>
    </row>
    <row r="2202" spans="1:58" ht="12.75" customHeight="1" x14ac:dyDescent="0.25">
      <c r="A2202" s="334"/>
      <c r="B2202" s="334"/>
      <c r="C2202" s="332"/>
      <c r="D2202" s="334"/>
      <c r="E2202" s="335"/>
      <c r="F2202" s="334"/>
      <c r="G2202" s="332"/>
      <c r="H2202" s="332"/>
      <c r="I2202" s="334"/>
      <c r="J2202" s="336"/>
      <c r="K2202" s="332"/>
      <c r="L2202" s="332"/>
      <c r="M2202" s="76"/>
      <c r="N2202" s="103" t="str">
        <f>IF(A2202="","",VLOOKUP(A2202,Stand!C:K,9,0))</f>
        <v/>
      </c>
      <c r="O2202" s="104" t="str">
        <f t="shared" si="956"/>
        <v/>
      </c>
      <c r="P2202" s="105" t="str">
        <f t="shared" si="957"/>
        <v/>
      </c>
      <c r="Q2202" s="105" t="str">
        <f t="shared" si="945"/>
        <v/>
      </c>
      <c r="R2202" s="103" t="str">
        <f t="shared" si="958"/>
        <v/>
      </c>
      <c r="S2202" s="103" t="str">
        <f t="shared" si="959"/>
        <v/>
      </c>
      <c r="T2202" s="106" t="str">
        <f t="shared" si="946"/>
        <v/>
      </c>
      <c r="U2202" s="106" t="str">
        <f t="shared" si="947"/>
        <v/>
      </c>
      <c r="V2202" s="106" t="str">
        <f t="shared" si="948"/>
        <v/>
      </c>
      <c r="W2202" s="105" t="str">
        <f t="shared" si="960"/>
        <v/>
      </c>
      <c r="X2202" s="104" t="str">
        <f t="shared" si="965"/>
        <v/>
      </c>
      <c r="Y2202" s="104" t="str">
        <f t="array" ref="Y2202">IFERROR(IF(ISNUMBER(O2202),IF(COUNT(IF(A2202=$A$2:$A$2427,IF(D2202=$D$2:$D$2427,IF($X$2:$X$2427&gt;0,1))))&gt;0,SUM(IF(A2202=$A$2:$A$2427,IF(D2202=$D$2:$D$2427,$X$2:$X$2427)))/COUNT(IF(A2202=$A$2:$A$2427,IF(D2202=$D$2:$D$2427,IF(ISNUMBER($X$2:$X$2427),1)))),0),""),0)</f>
        <v/>
      </c>
      <c r="Z2202" s="104" t="str">
        <f>IF(ISNUMBER(O2202),IF(I2202&gt;0,(10^(VLOOKUP(D2202,'Species Codes'!B:C,2,0)+VLOOKUP(D2202,'Species Codes'!B:D,3,0)*LOG(E2202)+VLOOKUP(D2202,'Species Codes'!B:E,4,0)*LOG(I2202))),0),"")</f>
        <v/>
      </c>
      <c r="AA2202" s="104" t="str">
        <f>IFERROR((VLOOKUP(D2202,'Species Codes'!B:G,6,0)*Z2202)/2000,"")</f>
        <v/>
      </c>
      <c r="AB2202" s="104" t="e">
        <f>IF(Z2202&gt;0,((IF(OR(D2202="DF",D2202="RA")=TRUE,EXP(VLOOKUP(D2202,'Species Codes'!B:I,8,0)+VLOOKUP(D2202,'Species Codes'!B:J,9,0)*(LN((E2202*2.54)))),IF(OR(D2202="PY",D2202="RC",D2202="WH",D2202="NF")=TRUE,VLOOKUP(D2202,'Species Codes'!B:I,8,0)+VLOOKUP(D2202,'Species Codes'!B:J,9,0)*((E2202*2.54)^2)*(I2202*0.3048),IF(OR(D2202="MD",D2202="BM",D2202="GA")=TRUE,((VLOOKUP(D2202,'Species Codes'!B:I,8,0)*(((((E2202*2.54)+VLOOKUP(D2202,'Species Codes'!B:J,9,0))/VLOOKUP(D2202,'Species Codes'!B:K,10,0))^VLOOKUP(D2202,'Species Codes'!B:L,11,0))*((I2202*0.3048)^VLOOKUP(D2202,'Species Codes'!B:M,12,0))))-(VLOOKUP(D2202,'Species Codes'!B:I,8,0)*((((E2202*2.54)^VLOOKUP(D2202,'Species Codes'!B:L,11,0))*((I2202*0.3048)^VLOOKUP(D2202,'Species Codes'!B:M,12,0))))))*35.3*VLOOKUP(D2202,'Species Codes'!B:G,6,0)/2.2046,VLOOKUP(D2202,'Species Codes'!B:I,8,0)+VLOOKUP(D2202,'Species Codes'!B:J,9,0)*(((E2202*2.54)/100)^2)*(I2202*0.3048)))))*0.0011023),0)</f>
        <v>#N/A</v>
      </c>
      <c r="AC2202" s="104" t="e">
        <f>IF(Z2202&gt;0,((IF(OR(D2202="RA",D2202="OA",D2202="OT",D2202="UN",D2202="PC"),EXP(VLOOKUP(D2202,'Species Codes'!B:O,14,0)+VLOOKUP(D2202,'Species Codes'!B:P,15,0)*LN((E2202*2.54)))-EXP(VLOOKUP(D2202,'Species Codes'!B:O,14,0)+VLOOKUP(D2202,'Species Codes'!B:P,15,0)*LN((E2202*2.54)))*(1/(VLOOKUP(D2202,'Species Codes'!B:Q,16,0)+VLOOKUP(D2202,'Species Codes'!B:R,17,0)*((E2202*2.54)^VLOOKUP(D2202,'Species Codes'!B:S,18,0)))),IF(OR(D2202="BM",D2202="MD",D2202="OA"),EXP(VLOOKUP(D2202,'Species Codes'!B:O,14,0)+VLOOKUP(D2202,'Species Codes'!B:P,15,0)*LN((E2202*2.54)))*(1-(1/(VLOOKUP(D2202,'Species Codes'!B:Q,16,0)+VLOOKUP(D2202,'Species Codes'!B:R,17,0)*((E2202*2.54)^VLOOKUP(D2202,'Species Codes'!B:S,18,0)))))/1000,IF(D2202="DF",EXP(VLOOKUP(D2202,'Species Codes'!B:O,14,0)+VLOOKUP(D2202,'Species Codes'!B:P,15,0)*LN((E2202*2.54))),VLOOKUP(D2202,'Species Codes'!B:O,14,0)+VLOOKUP(D2202,'Species Codes'!B:P,15,0)*(((E2202*2.54)/100)^2)*(I2202*0.3048)))))*0.0011023),0)</f>
        <v>#N/A</v>
      </c>
      <c r="AD2202" s="104" t="e">
        <f t="shared" si="949"/>
        <v>#N/A</v>
      </c>
      <c r="AE2202" s="104" t="e">
        <f t="shared" si="950"/>
        <v>#N/A</v>
      </c>
      <c r="AF2202" s="104" t="e">
        <f>IF(AND(VLOOKUP($D2202,Merchantability!$B:$C,2,0)="Yes",$E2202&gt;=VLOOKUP($D2202,Merchantability!$B:$D,3,0),$E2202&lt;=VLOOKUP($D2202,Merchantability!$B:$E,4,0)),AA2202,0)</f>
        <v>#N/A</v>
      </c>
      <c r="AG2202" s="104" t="e">
        <f>IF(AND(VLOOKUP($D2202,Merchantability!$B:$C,2,0)="Yes",$E2202&gt;=VLOOKUP($D2202,Merchantability!$B:$D,3,0),$E2202&lt;=VLOOKUP($D2202,Merchantability!$B:$E,4,0)),AB2202,0)</f>
        <v>#N/A</v>
      </c>
      <c r="AH2202" s="104" t="e">
        <f>IF(AND(VLOOKUP($D2202,Merchantability!$B:$C,2,0)="Yes",$E2202&gt;=VLOOKUP($D2202,Merchantability!$B:$D,3,0),$E2202&lt;=VLOOKUP($D2202,Merchantability!$B:$E,4,0)),AC2202,0)</f>
        <v>#N/A</v>
      </c>
      <c r="AI2202" s="104" t="e">
        <f t="shared" si="951"/>
        <v>#N/A</v>
      </c>
      <c r="AJ2202" s="104" t="e">
        <f t="shared" si="952"/>
        <v>#VALUE!</v>
      </c>
      <c r="AK2202" s="104" t="e">
        <f t="shared" si="953"/>
        <v>#N/A</v>
      </c>
      <c r="AL2202" s="104" t="e">
        <f t="shared" si="954"/>
        <v>#N/A</v>
      </c>
      <c r="AM2202" s="104" t="e">
        <f t="shared" si="955"/>
        <v>#N/A</v>
      </c>
      <c r="AN2202" s="104" t="e">
        <f t="shared" si="966"/>
        <v>#N/A</v>
      </c>
      <c r="AO2202" s="104" t="e">
        <f t="shared" si="967"/>
        <v>#N/A</v>
      </c>
      <c r="AP2202" s="104" t="e">
        <f t="shared" si="968"/>
        <v>#N/A</v>
      </c>
      <c r="AQ2202" s="104" t="e">
        <f t="shared" si="969"/>
        <v>#N/A</v>
      </c>
      <c r="AR2202" s="105" t="str">
        <f t="shared" si="961"/>
        <v/>
      </c>
      <c r="AS2202" s="105" t="str">
        <f t="shared" si="962"/>
        <v/>
      </c>
      <c r="AT2202" s="108" t="str">
        <f t="shared" si="963"/>
        <v/>
      </c>
      <c r="AU2202" s="108" t="str">
        <f t="shared" si="964"/>
        <v/>
      </c>
      <c r="AV2202" s="107" t="str">
        <f>IF(ISNUMBER(O2202),IF(VLOOKUP($A2202,Stand!C:J,8,FALSE)="Short",AT2202,AU2202),"")</f>
        <v/>
      </c>
      <c r="AW2202" s="109" t="str">
        <f t="shared" si="970"/>
        <v/>
      </c>
      <c r="AX2202" s="109" t="str">
        <f t="shared" si="971"/>
        <v/>
      </c>
      <c r="AY2202" s="112" t="str">
        <f>IF(ISNUMBER(O2202),IF(AND(VLOOKUP($D2202,Merchantability!$B:$C,2,0)="Yes",$E2202&gt;=VLOOKUP($D2202,Merchantability!$B:$D,3,0),$E2202&lt;=VLOOKUP($D2202,Merchantability!$B:$E,4,0)),(AV2202*O2202)*(1-$H2202/100),""),"")</f>
        <v/>
      </c>
      <c r="AZ2202" s="116"/>
      <c r="BA2202" s="116"/>
      <c r="BB2202" s="116"/>
      <c r="BE2202" s="62"/>
      <c r="BF2202" s="63"/>
    </row>
    <row r="2203" spans="1:58" ht="12.75" customHeight="1" x14ac:dyDescent="0.25">
      <c r="A2203" s="334"/>
      <c r="B2203" s="334"/>
      <c r="C2203" s="332"/>
      <c r="D2203" s="334"/>
      <c r="E2203" s="335"/>
      <c r="F2203" s="334"/>
      <c r="G2203" s="332"/>
      <c r="H2203" s="332"/>
      <c r="I2203" s="334"/>
      <c r="J2203" s="336"/>
      <c r="K2203" s="332"/>
      <c r="L2203" s="332"/>
      <c r="M2203" s="76"/>
      <c r="N2203" s="103" t="str">
        <f>IF(A2203="","",VLOOKUP(A2203,Stand!C:K,9,0))</f>
        <v/>
      </c>
      <c r="O2203" s="104" t="str">
        <f t="shared" si="956"/>
        <v/>
      </c>
      <c r="P2203" s="105" t="str">
        <f t="shared" si="957"/>
        <v/>
      </c>
      <c r="Q2203" s="105" t="str">
        <f t="shared" si="945"/>
        <v/>
      </c>
      <c r="R2203" s="103" t="str">
        <f t="shared" si="958"/>
        <v/>
      </c>
      <c r="S2203" s="103" t="str">
        <f t="shared" si="959"/>
        <v/>
      </c>
      <c r="T2203" s="106" t="str">
        <f t="shared" si="946"/>
        <v/>
      </c>
      <c r="U2203" s="106" t="str">
        <f t="shared" si="947"/>
        <v/>
      </c>
      <c r="V2203" s="106" t="str">
        <f t="shared" si="948"/>
        <v/>
      </c>
      <c r="W2203" s="105" t="str">
        <f t="shared" si="960"/>
        <v/>
      </c>
      <c r="X2203" s="104" t="str">
        <f t="shared" si="965"/>
        <v/>
      </c>
      <c r="Y2203" s="104" t="str">
        <f t="array" ref="Y2203">IFERROR(IF(ISNUMBER(O2203),IF(COUNT(IF(A2203=$A$2:$A$2427,IF(D2203=$D$2:$D$2427,IF($X$2:$X$2427&gt;0,1))))&gt;0,SUM(IF(A2203=$A$2:$A$2427,IF(D2203=$D$2:$D$2427,$X$2:$X$2427)))/COUNT(IF(A2203=$A$2:$A$2427,IF(D2203=$D$2:$D$2427,IF(ISNUMBER($X$2:$X$2427),1)))),0),""),0)</f>
        <v/>
      </c>
      <c r="Z2203" s="104" t="str">
        <f>IF(ISNUMBER(O2203),IF(I2203&gt;0,(10^(VLOOKUP(D2203,'Species Codes'!B:C,2,0)+VLOOKUP(D2203,'Species Codes'!B:D,3,0)*LOG(E2203)+VLOOKUP(D2203,'Species Codes'!B:E,4,0)*LOG(I2203))),0),"")</f>
        <v/>
      </c>
      <c r="AA2203" s="104" t="str">
        <f>IFERROR((VLOOKUP(D2203,'Species Codes'!B:G,6,0)*Z2203)/2000,"")</f>
        <v/>
      </c>
      <c r="AB2203" s="104" t="e">
        <f>IF(Z2203&gt;0,((IF(OR(D2203="DF",D2203="RA")=TRUE,EXP(VLOOKUP(D2203,'Species Codes'!B:I,8,0)+VLOOKUP(D2203,'Species Codes'!B:J,9,0)*(LN((E2203*2.54)))),IF(OR(D2203="PY",D2203="RC",D2203="WH",D2203="NF")=TRUE,VLOOKUP(D2203,'Species Codes'!B:I,8,0)+VLOOKUP(D2203,'Species Codes'!B:J,9,0)*((E2203*2.54)^2)*(I2203*0.3048),IF(OR(D2203="MD",D2203="BM",D2203="GA")=TRUE,((VLOOKUP(D2203,'Species Codes'!B:I,8,0)*(((((E2203*2.54)+VLOOKUP(D2203,'Species Codes'!B:J,9,0))/VLOOKUP(D2203,'Species Codes'!B:K,10,0))^VLOOKUP(D2203,'Species Codes'!B:L,11,0))*((I2203*0.3048)^VLOOKUP(D2203,'Species Codes'!B:M,12,0))))-(VLOOKUP(D2203,'Species Codes'!B:I,8,0)*((((E2203*2.54)^VLOOKUP(D2203,'Species Codes'!B:L,11,0))*((I2203*0.3048)^VLOOKUP(D2203,'Species Codes'!B:M,12,0))))))*35.3*VLOOKUP(D2203,'Species Codes'!B:G,6,0)/2.2046,VLOOKUP(D2203,'Species Codes'!B:I,8,0)+VLOOKUP(D2203,'Species Codes'!B:J,9,0)*(((E2203*2.54)/100)^2)*(I2203*0.3048)))))*0.0011023),0)</f>
        <v>#N/A</v>
      </c>
      <c r="AC2203" s="104" t="e">
        <f>IF(Z2203&gt;0,((IF(OR(D2203="RA",D2203="OA",D2203="OT",D2203="UN",D2203="PC"),EXP(VLOOKUP(D2203,'Species Codes'!B:O,14,0)+VLOOKUP(D2203,'Species Codes'!B:P,15,0)*LN((E2203*2.54)))-EXP(VLOOKUP(D2203,'Species Codes'!B:O,14,0)+VLOOKUP(D2203,'Species Codes'!B:P,15,0)*LN((E2203*2.54)))*(1/(VLOOKUP(D2203,'Species Codes'!B:Q,16,0)+VLOOKUP(D2203,'Species Codes'!B:R,17,0)*((E2203*2.54)^VLOOKUP(D2203,'Species Codes'!B:S,18,0)))),IF(OR(D2203="BM",D2203="MD",D2203="OA"),EXP(VLOOKUP(D2203,'Species Codes'!B:O,14,0)+VLOOKUP(D2203,'Species Codes'!B:P,15,0)*LN((E2203*2.54)))*(1-(1/(VLOOKUP(D2203,'Species Codes'!B:Q,16,0)+VLOOKUP(D2203,'Species Codes'!B:R,17,0)*((E2203*2.54)^VLOOKUP(D2203,'Species Codes'!B:S,18,0)))))/1000,IF(D2203="DF",EXP(VLOOKUP(D2203,'Species Codes'!B:O,14,0)+VLOOKUP(D2203,'Species Codes'!B:P,15,0)*LN((E2203*2.54))),VLOOKUP(D2203,'Species Codes'!B:O,14,0)+VLOOKUP(D2203,'Species Codes'!B:P,15,0)*(((E2203*2.54)/100)^2)*(I2203*0.3048)))))*0.0011023),0)</f>
        <v>#N/A</v>
      </c>
      <c r="AD2203" s="104" t="e">
        <f t="shared" si="949"/>
        <v>#N/A</v>
      </c>
      <c r="AE2203" s="104" t="e">
        <f t="shared" si="950"/>
        <v>#N/A</v>
      </c>
      <c r="AF2203" s="104" t="e">
        <f>IF(AND(VLOOKUP($D2203,Merchantability!$B:$C,2,0)="Yes",$E2203&gt;=VLOOKUP($D2203,Merchantability!$B:$D,3,0),$E2203&lt;=VLOOKUP($D2203,Merchantability!$B:$E,4,0)),AA2203,0)</f>
        <v>#N/A</v>
      </c>
      <c r="AG2203" s="104" t="e">
        <f>IF(AND(VLOOKUP($D2203,Merchantability!$B:$C,2,0)="Yes",$E2203&gt;=VLOOKUP($D2203,Merchantability!$B:$D,3,0),$E2203&lt;=VLOOKUP($D2203,Merchantability!$B:$E,4,0)),AB2203,0)</f>
        <v>#N/A</v>
      </c>
      <c r="AH2203" s="104" t="e">
        <f>IF(AND(VLOOKUP($D2203,Merchantability!$B:$C,2,0)="Yes",$E2203&gt;=VLOOKUP($D2203,Merchantability!$B:$D,3,0),$E2203&lt;=VLOOKUP($D2203,Merchantability!$B:$E,4,0)),AC2203,0)</f>
        <v>#N/A</v>
      </c>
      <c r="AI2203" s="104" t="e">
        <f t="shared" si="951"/>
        <v>#N/A</v>
      </c>
      <c r="AJ2203" s="104" t="e">
        <f t="shared" si="952"/>
        <v>#VALUE!</v>
      </c>
      <c r="AK2203" s="104" t="e">
        <f t="shared" si="953"/>
        <v>#N/A</v>
      </c>
      <c r="AL2203" s="104" t="e">
        <f t="shared" si="954"/>
        <v>#N/A</v>
      </c>
      <c r="AM2203" s="104" t="e">
        <f t="shared" si="955"/>
        <v>#N/A</v>
      </c>
      <c r="AN2203" s="104" t="e">
        <f t="shared" si="966"/>
        <v>#N/A</v>
      </c>
      <c r="AO2203" s="104" t="e">
        <f t="shared" si="967"/>
        <v>#N/A</v>
      </c>
      <c r="AP2203" s="104" t="e">
        <f t="shared" si="968"/>
        <v>#N/A</v>
      </c>
      <c r="AQ2203" s="104" t="e">
        <f t="shared" si="969"/>
        <v>#N/A</v>
      </c>
      <c r="AR2203" s="105" t="str">
        <f t="shared" si="961"/>
        <v/>
      </c>
      <c r="AS2203" s="105" t="str">
        <f t="shared" si="962"/>
        <v/>
      </c>
      <c r="AT2203" s="108" t="str">
        <f t="shared" si="963"/>
        <v/>
      </c>
      <c r="AU2203" s="108" t="str">
        <f t="shared" si="964"/>
        <v/>
      </c>
      <c r="AV2203" s="107" t="str">
        <f>IF(ISNUMBER(O2203),IF(VLOOKUP($A2203,Stand!C:J,8,FALSE)="Short",AT2203,AU2203),"")</f>
        <v/>
      </c>
      <c r="AW2203" s="109" t="str">
        <f t="shared" si="970"/>
        <v/>
      </c>
      <c r="AX2203" s="109" t="str">
        <f t="shared" si="971"/>
        <v/>
      </c>
      <c r="AY2203" s="112" t="str">
        <f>IF(ISNUMBER(O2203),IF(AND(VLOOKUP($D2203,Merchantability!$B:$C,2,0)="Yes",$E2203&gt;=VLOOKUP($D2203,Merchantability!$B:$D,3,0),$E2203&lt;=VLOOKUP($D2203,Merchantability!$B:$E,4,0)),(AV2203*O2203)*(1-$H2203/100),""),"")</f>
        <v/>
      </c>
      <c r="AZ2203" s="116"/>
      <c r="BA2203" s="116"/>
      <c r="BB2203" s="116"/>
      <c r="BE2203" s="62"/>
      <c r="BF2203" s="63"/>
    </row>
    <row r="2204" spans="1:58" ht="12.75" customHeight="1" x14ac:dyDescent="0.25">
      <c r="A2204" s="334"/>
      <c r="B2204" s="334"/>
      <c r="C2204" s="332"/>
      <c r="D2204" s="334"/>
      <c r="E2204" s="335"/>
      <c r="F2204" s="334"/>
      <c r="G2204" s="332"/>
      <c r="H2204" s="332"/>
      <c r="I2204" s="334"/>
      <c r="J2204" s="336"/>
      <c r="K2204" s="332"/>
      <c r="L2204" s="332"/>
      <c r="M2204" s="76"/>
      <c r="N2204" s="103" t="str">
        <f>IF(A2204="","",VLOOKUP(A2204,Stand!C:K,9,0))</f>
        <v/>
      </c>
      <c r="O2204" s="104" t="str">
        <f t="shared" si="956"/>
        <v/>
      </c>
      <c r="P2204" s="105" t="str">
        <f t="shared" si="957"/>
        <v/>
      </c>
      <c r="Q2204" s="105" t="str">
        <f t="shared" si="945"/>
        <v/>
      </c>
      <c r="R2204" s="103" t="str">
        <f t="shared" si="958"/>
        <v/>
      </c>
      <c r="S2204" s="103" t="str">
        <f t="shared" si="959"/>
        <v/>
      </c>
      <c r="T2204" s="106" t="str">
        <f t="shared" si="946"/>
        <v/>
      </c>
      <c r="U2204" s="106" t="str">
        <f t="shared" si="947"/>
        <v/>
      </c>
      <c r="V2204" s="106" t="str">
        <f t="shared" si="948"/>
        <v/>
      </c>
      <c r="W2204" s="105" t="str">
        <f t="shared" si="960"/>
        <v/>
      </c>
      <c r="X2204" s="104" t="str">
        <f t="shared" si="965"/>
        <v/>
      </c>
      <c r="Y2204" s="104" t="str">
        <f t="array" ref="Y2204">IFERROR(IF(ISNUMBER(O2204),IF(COUNT(IF(A2204=$A$2:$A$2427,IF(D2204=$D$2:$D$2427,IF($X$2:$X$2427&gt;0,1))))&gt;0,SUM(IF(A2204=$A$2:$A$2427,IF(D2204=$D$2:$D$2427,$X$2:$X$2427)))/COUNT(IF(A2204=$A$2:$A$2427,IF(D2204=$D$2:$D$2427,IF(ISNUMBER($X$2:$X$2427),1)))),0),""),0)</f>
        <v/>
      </c>
      <c r="Z2204" s="104" t="str">
        <f>IF(ISNUMBER(O2204),IF(I2204&gt;0,(10^(VLOOKUP(D2204,'Species Codes'!B:C,2,0)+VLOOKUP(D2204,'Species Codes'!B:D,3,0)*LOG(E2204)+VLOOKUP(D2204,'Species Codes'!B:E,4,0)*LOG(I2204))),0),"")</f>
        <v/>
      </c>
      <c r="AA2204" s="104" t="str">
        <f>IFERROR((VLOOKUP(D2204,'Species Codes'!B:G,6,0)*Z2204)/2000,"")</f>
        <v/>
      </c>
      <c r="AB2204" s="104" t="e">
        <f>IF(Z2204&gt;0,((IF(OR(D2204="DF",D2204="RA")=TRUE,EXP(VLOOKUP(D2204,'Species Codes'!B:I,8,0)+VLOOKUP(D2204,'Species Codes'!B:J,9,0)*(LN((E2204*2.54)))),IF(OR(D2204="PY",D2204="RC",D2204="WH",D2204="NF")=TRUE,VLOOKUP(D2204,'Species Codes'!B:I,8,0)+VLOOKUP(D2204,'Species Codes'!B:J,9,0)*((E2204*2.54)^2)*(I2204*0.3048),IF(OR(D2204="MD",D2204="BM",D2204="GA")=TRUE,((VLOOKUP(D2204,'Species Codes'!B:I,8,0)*(((((E2204*2.54)+VLOOKUP(D2204,'Species Codes'!B:J,9,0))/VLOOKUP(D2204,'Species Codes'!B:K,10,0))^VLOOKUP(D2204,'Species Codes'!B:L,11,0))*((I2204*0.3048)^VLOOKUP(D2204,'Species Codes'!B:M,12,0))))-(VLOOKUP(D2204,'Species Codes'!B:I,8,0)*((((E2204*2.54)^VLOOKUP(D2204,'Species Codes'!B:L,11,0))*((I2204*0.3048)^VLOOKUP(D2204,'Species Codes'!B:M,12,0))))))*35.3*VLOOKUP(D2204,'Species Codes'!B:G,6,0)/2.2046,VLOOKUP(D2204,'Species Codes'!B:I,8,0)+VLOOKUP(D2204,'Species Codes'!B:J,9,0)*(((E2204*2.54)/100)^2)*(I2204*0.3048)))))*0.0011023),0)</f>
        <v>#N/A</v>
      </c>
      <c r="AC2204" s="104" t="e">
        <f>IF(Z2204&gt;0,((IF(OR(D2204="RA",D2204="OA",D2204="OT",D2204="UN",D2204="PC"),EXP(VLOOKUP(D2204,'Species Codes'!B:O,14,0)+VLOOKUP(D2204,'Species Codes'!B:P,15,0)*LN((E2204*2.54)))-EXP(VLOOKUP(D2204,'Species Codes'!B:O,14,0)+VLOOKUP(D2204,'Species Codes'!B:P,15,0)*LN((E2204*2.54)))*(1/(VLOOKUP(D2204,'Species Codes'!B:Q,16,0)+VLOOKUP(D2204,'Species Codes'!B:R,17,0)*((E2204*2.54)^VLOOKUP(D2204,'Species Codes'!B:S,18,0)))),IF(OR(D2204="BM",D2204="MD",D2204="OA"),EXP(VLOOKUP(D2204,'Species Codes'!B:O,14,0)+VLOOKUP(D2204,'Species Codes'!B:P,15,0)*LN((E2204*2.54)))*(1-(1/(VLOOKUP(D2204,'Species Codes'!B:Q,16,0)+VLOOKUP(D2204,'Species Codes'!B:R,17,0)*((E2204*2.54)^VLOOKUP(D2204,'Species Codes'!B:S,18,0)))))/1000,IF(D2204="DF",EXP(VLOOKUP(D2204,'Species Codes'!B:O,14,0)+VLOOKUP(D2204,'Species Codes'!B:P,15,0)*LN((E2204*2.54))),VLOOKUP(D2204,'Species Codes'!B:O,14,0)+VLOOKUP(D2204,'Species Codes'!B:P,15,0)*(((E2204*2.54)/100)^2)*(I2204*0.3048)))))*0.0011023),0)</f>
        <v>#N/A</v>
      </c>
      <c r="AD2204" s="104" t="e">
        <f t="shared" si="949"/>
        <v>#N/A</v>
      </c>
      <c r="AE2204" s="104" t="e">
        <f t="shared" si="950"/>
        <v>#N/A</v>
      </c>
      <c r="AF2204" s="104" t="e">
        <f>IF(AND(VLOOKUP($D2204,Merchantability!$B:$C,2,0)="Yes",$E2204&gt;=VLOOKUP($D2204,Merchantability!$B:$D,3,0),$E2204&lt;=VLOOKUP($D2204,Merchantability!$B:$E,4,0)),AA2204,0)</f>
        <v>#N/A</v>
      </c>
      <c r="AG2204" s="104" t="e">
        <f>IF(AND(VLOOKUP($D2204,Merchantability!$B:$C,2,0)="Yes",$E2204&gt;=VLOOKUP($D2204,Merchantability!$B:$D,3,0),$E2204&lt;=VLOOKUP($D2204,Merchantability!$B:$E,4,0)),AB2204,0)</f>
        <v>#N/A</v>
      </c>
      <c r="AH2204" s="104" t="e">
        <f>IF(AND(VLOOKUP($D2204,Merchantability!$B:$C,2,0)="Yes",$E2204&gt;=VLOOKUP($D2204,Merchantability!$B:$D,3,0),$E2204&lt;=VLOOKUP($D2204,Merchantability!$B:$E,4,0)),AC2204,0)</f>
        <v>#N/A</v>
      </c>
      <c r="AI2204" s="104" t="e">
        <f t="shared" si="951"/>
        <v>#N/A</v>
      </c>
      <c r="AJ2204" s="104" t="e">
        <f t="shared" si="952"/>
        <v>#VALUE!</v>
      </c>
      <c r="AK2204" s="104" t="e">
        <f t="shared" si="953"/>
        <v>#N/A</v>
      </c>
      <c r="AL2204" s="104" t="e">
        <f t="shared" si="954"/>
        <v>#N/A</v>
      </c>
      <c r="AM2204" s="104" t="e">
        <f t="shared" si="955"/>
        <v>#N/A</v>
      </c>
      <c r="AN2204" s="104" t="e">
        <f t="shared" si="966"/>
        <v>#N/A</v>
      </c>
      <c r="AO2204" s="104" t="e">
        <f t="shared" si="967"/>
        <v>#N/A</v>
      </c>
      <c r="AP2204" s="104" t="e">
        <f t="shared" si="968"/>
        <v>#N/A</v>
      </c>
      <c r="AQ2204" s="104" t="e">
        <f t="shared" si="969"/>
        <v>#N/A</v>
      </c>
      <c r="AR2204" s="105" t="str">
        <f t="shared" si="961"/>
        <v/>
      </c>
      <c r="AS2204" s="105" t="str">
        <f t="shared" si="962"/>
        <v/>
      </c>
      <c r="AT2204" s="108" t="str">
        <f t="shared" si="963"/>
        <v/>
      </c>
      <c r="AU2204" s="108" t="str">
        <f t="shared" si="964"/>
        <v/>
      </c>
      <c r="AV2204" s="107" t="str">
        <f>IF(ISNUMBER(O2204),IF(VLOOKUP($A2204,Stand!C:J,8,FALSE)="Short",AT2204,AU2204),"")</f>
        <v/>
      </c>
      <c r="AW2204" s="109" t="str">
        <f t="shared" si="970"/>
        <v/>
      </c>
      <c r="AX2204" s="109" t="str">
        <f t="shared" si="971"/>
        <v/>
      </c>
      <c r="AY2204" s="112" t="str">
        <f>IF(ISNUMBER(O2204),IF(AND(VLOOKUP($D2204,Merchantability!$B:$C,2,0)="Yes",$E2204&gt;=VLOOKUP($D2204,Merchantability!$B:$D,3,0),$E2204&lt;=VLOOKUP($D2204,Merchantability!$B:$E,4,0)),(AV2204*O2204)*(1-$H2204/100),""),"")</f>
        <v/>
      </c>
      <c r="AZ2204" s="116"/>
      <c r="BA2204" s="116"/>
      <c r="BB2204" s="116"/>
      <c r="BE2204" s="62"/>
      <c r="BF2204" s="63"/>
    </row>
    <row r="2205" spans="1:58" ht="12.75" customHeight="1" x14ac:dyDescent="0.25">
      <c r="A2205" s="334"/>
      <c r="B2205" s="334"/>
      <c r="C2205" s="332"/>
      <c r="D2205" s="334"/>
      <c r="E2205" s="335"/>
      <c r="F2205" s="334"/>
      <c r="G2205" s="332"/>
      <c r="H2205" s="332"/>
      <c r="I2205" s="334"/>
      <c r="J2205" s="336"/>
      <c r="K2205" s="332"/>
      <c r="L2205" s="332"/>
      <c r="M2205" s="76"/>
      <c r="N2205" s="103" t="str">
        <f>IF(A2205="","",VLOOKUP(A2205,Stand!C:K,9,0))</f>
        <v/>
      </c>
      <c r="O2205" s="104" t="str">
        <f t="shared" si="956"/>
        <v/>
      </c>
      <c r="P2205" s="105" t="str">
        <f t="shared" si="957"/>
        <v/>
      </c>
      <c r="Q2205" s="105" t="str">
        <f t="shared" ref="Q2205:Q2268" si="972">IF(AND(ISNUMBER(O2205),I2205&gt;0),I2205*O2205,"")</f>
        <v/>
      </c>
      <c r="R2205" s="103" t="str">
        <f t="shared" si="958"/>
        <v/>
      </c>
      <c r="S2205" s="103" t="str">
        <f t="shared" si="959"/>
        <v/>
      </c>
      <c r="T2205" s="106" t="str">
        <f t="shared" ref="T2205:T2268" si="973">IF(AND(ISNUMBER(O2205),J2205&gt;0),J2205/100,"")</f>
        <v/>
      </c>
      <c r="U2205" s="106" t="str">
        <f t="shared" ref="U2205:U2268" si="974">IF(AND(ISNUMBER(O2205),J2205&gt;0),T2205*O2205,"")</f>
        <v/>
      </c>
      <c r="V2205" s="106" t="str">
        <f t="shared" ref="V2205:V2268" si="975">IF(AND(ISNUMBER(O2205),I2205&gt;0),W2205*O2205,"")</f>
        <v/>
      </c>
      <c r="W2205" s="105" t="str">
        <f t="shared" si="960"/>
        <v/>
      </c>
      <c r="X2205" s="104" t="str">
        <f t="shared" si="965"/>
        <v/>
      </c>
      <c r="Y2205" s="104" t="str">
        <f t="array" ref="Y2205">IFERROR(IF(ISNUMBER(O2205),IF(COUNT(IF(A2205=$A$2:$A$2427,IF(D2205=$D$2:$D$2427,IF($X$2:$X$2427&gt;0,1))))&gt;0,SUM(IF(A2205=$A$2:$A$2427,IF(D2205=$D$2:$D$2427,$X$2:$X$2427)))/COUNT(IF(A2205=$A$2:$A$2427,IF(D2205=$D$2:$D$2427,IF(ISNUMBER($X$2:$X$2427),1)))),0),""),0)</f>
        <v/>
      </c>
      <c r="Z2205" s="104" t="str">
        <f>IF(ISNUMBER(O2205),IF(I2205&gt;0,(10^(VLOOKUP(D2205,'Species Codes'!B:C,2,0)+VLOOKUP(D2205,'Species Codes'!B:D,3,0)*LOG(E2205)+VLOOKUP(D2205,'Species Codes'!B:E,4,0)*LOG(I2205))),0),"")</f>
        <v/>
      </c>
      <c r="AA2205" s="104" t="str">
        <f>IFERROR((VLOOKUP(D2205,'Species Codes'!B:G,6,0)*Z2205)/2000,"")</f>
        <v/>
      </c>
      <c r="AB2205" s="104" t="e">
        <f>IF(Z2205&gt;0,((IF(OR(D2205="DF",D2205="RA")=TRUE,EXP(VLOOKUP(D2205,'Species Codes'!B:I,8,0)+VLOOKUP(D2205,'Species Codes'!B:J,9,0)*(LN((E2205*2.54)))),IF(OR(D2205="PY",D2205="RC",D2205="WH",D2205="NF")=TRUE,VLOOKUP(D2205,'Species Codes'!B:I,8,0)+VLOOKUP(D2205,'Species Codes'!B:J,9,0)*((E2205*2.54)^2)*(I2205*0.3048),IF(OR(D2205="MD",D2205="BM",D2205="GA")=TRUE,((VLOOKUP(D2205,'Species Codes'!B:I,8,0)*(((((E2205*2.54)+VLOOKUP(D2205,'Species Codes'!B:J,9,0))/VLOOKUP(D2205,'Species Codes'!B:K,10,0))^VLOOKUP(D2205,'Species Codes'!B:L,11,0))*((I2205*0.3048)^VLOOKUP(D2205,'Species Codes'!B:M,12,0))))-(VLOOKUP(D2205,'Species Codes'!B:I,8,0)*((((E2205*2.54)^VLOOKUP(D2205,'Species Codes'!B:L,11,0))*((I2205*0.3048)^VLOOKUP(D2205,'Species Codes'!B:M,12,0))))))*35.3*VLOOKUP(D2205,'Species Codes'!B:G,6,0)/2.2046,VLOOKUP(D2205,'Species Codes'!B:I,8,0)+VLOOKUP(D2205,'Species Codes'!B:J,9,0)*(((E2205*2.54)/100)^2)*(I2205*0.3048)))))*0.0011023),0)</f>
        <v>#N/A</v>
      </c>
      <c r="AC2205" s="104" t="e">
        <f>IF(Z2205&gt;0,((IF(OR(D2205="RA",D2205="OA",D2205="OT",D2205="UN",D2205="PC"),EXP(VLOOKUP(D2205,'Species Codes'!B:O,14,0)+VLOOKUP(D2205,'Species Codes'!B:P,15,0)*LN((E2205*2.54)))-EXP(VLOOKUP(D2205,'Species Codes'!B:O,14,0)+VLOOKUP(D2205,'Species Codes'!B:P,15,0)*LN((E2205*2.54)))*(1/(VLOOKUP(D2205,'Species Codes'!B:Q,16,0)+VLOOKUP(D2205,'Species Codes'!B:R,17,0)*((E2205*2.54)^VLOOKUP(D2205,'Species Codes'!B:S,18,0)))),IF(OR(D2205="BM",D2205="MD",D2205="OA"),EXP(VLOOKUP(D2205,'Species Codes'!B:O,14,0)+VLOOKUP(D2205,'Species Codes'!B:P,15,0)*LN((E2205*2.54)))*(1-(1/(VLOOKUP(D2205,'Species Codes'!B:Q,16,0)+VLOOKUP(D2205,'Species Codes'!B:R,17,0)*((E2205*2.54)^VLOOKUP(D2205,'Species Codes'!B:S,18,0)))))/1000,IF(D2205="DF",EXP(VLOOKUP(D2205,'Species Codes'!B:O,14,0)+VLOOKUP(D2205,'Species Codes'!B:P,15,0)*LN((E2205*2.54))),VLOOKUP(D2205,'Species Codes'!B:O,14,0)+VLOOKUP(D2205,'Species Codes'!B:P,15,0)*(((E2205*2.54)/100)^2)*(I2205*0.3048)))))*0.0011023),0)</f>
        <v>#N/A</v>
      </c>
      <c r="AD2205" s="104" t="e">
        <f t="shared" ref="AD2205:AD2268" si="976">SUM(AA2205:AC2205)</f>
        <v>#N/A</v>
      </c>
      <c r="AE2205" s="104" t="e">
        <f t="shared" ref="AE2205:AE2268" si="977">AD2205*O2205</f>
        <v>#N/A</v>
      </c>
      <c r="AF2205" s="104" t="e">
        <f>IF(AND(VLOOKUP($D2205,Merchantability!$B:$C,2,0)="Yes",$E2205&gt;=VLOOKUP($D2205,Merchantability!$B:$D,3,0),$E2205&lt;=VLOOKUP($D2205,Merchantability!$B:$E,4,0)),AA2205,0)</f>
        <v>#N/A</v>
      </c>
      <c r="AG2205" s="104" t="e">
        <f>IF(AND(VLOOKUP($D2205,Merchantability!$B:$C,2,0)="Yes",$E2205&gt;=VLOOKUP($D2205,Merchantability!$B:$D,3,0),$E2205&lt;=VLOOKUP($D2205,Merchantability!$B:$E,4,0)),AB2205,0)</f>
        <v>#N/A</v>
      </c>
      <c r="AH2205" s="104" t="e">
        <f>IF(AND(VLOOKUP($D2205,Merchantability!$B:$C,2,0)="Yes",$E2205&gt;=VLOOKUP($D2205,Merchantability!$B:$D,3,0),$E2205&lt;=VLOOKUP($D2205,Merchantability!$B:$E,4,0)),AC2205,0)</f>
        <v>#N/A</v>
      </c>
      <c r="AI2205" s="104" t="e">
        <f t="shared" ref="AI2205:AI2268" si="978">SUM(AF2205:AH2205)</f>
        <v>#N/A</v>
      </c>
      <c r="AJ2205" s="104" t="e">
        <f t="shared" ref="AJ2205:AJ2268" si="979">AA2205*$O2205</f>
        <v>#VALUE!</v>
      </c>
      <c r="AK2205" s="104" t="e">
        <f t="shared" ref="AK2205:AK2268" si="980">AB2205*$O2205</f>
        <v>#N/A</v>
      </c>
      <c r="AL2205" s="104" t="e">
        <f t="shared" ref="AL2205:AL2268" si="981">AC2205*$O2205</f>
        <v>#N/A</v>
      </c>
      <c r="AM2205" s="104" t="e">
        <f t="shared" ref="AM2205:AM2268" si="982">AD2205*$O2205</f>
        <v>#N/A</v>
      </c>
      <c r="AN2205" s="104" t="e">
        <f t="shared" si="966"/>
        <v>#N/A</v>
      </c>
      <c r="AO2205" s="104" t="e">
        <f t="shared" si="967"/>
        <v>#N/A</v>
      </c>
      <c r="AP2205" s="104" t="e">
        <f t="shared" si="968"/>
        <v>#N/A</v>
      </c>
      <c r="AQ2205" s="104" t="e">
        <f t="shared" si="969"/>
        <v>#N/A</v>
      </c>
      <c r="AR2205" s="105" t="str">
        <f t="shared" si="961"/>
        <v/>
      </c>
      <c r="AS2205" s="105" t="str">
        <f t="shared" si="962"/>
        <v/>
      </c>
      <c r="AT2205" s="108" t="str">
        <f t="shared" si="963"/>
        <v/>
      </c>
      <c r="AU2205" s="108" t="str">
        <f t="shared" si="964"/>
        <v/>
      </c>
      <c r="AV2205" s="107" t="str">
        <f>IF(ISNUMBER(O2205),IF(VLOOKUP($A2205,Stand!C:J,8,FALSE)="Short",AT2205,AU2205),"")</f>
        <v/>
      </c>
      <c r="AW2205" s="109" t="str">
        <f t="shared" si="970"/>
        <v/>
      </c>
      <c r="AX2205" s="109" t="str">
        <f t="shared" si="971"/>
        <v/>
      </c>
      <c r="AY2205" s="112" t="str">
        <f>IF(ISNUMBER(O2205),IF(AND(VLOOKUP($D2205,Merchantability!$B:$C,2,0)="Yes",$E2205&gt;=VLOOKUP($D2205,Merchantability!$B:$D,3,0),$E2205&lt;=VLOOKUP($D2205,Merchantability!$B:$E,4,0)),(AV2205*O2205)*(1-$H2205/100),""),"")</f>
        <v/>
      </c>
      <c r="AZ2205" s="116"/>
      <c r="BA2205" s="116"/>
      <c r="BB2205" s="116"/>
      <c r="BE2205" s="62"/>
      <c r="BF2205" s="63"/>
    </row>
    <row r="2206" spans="1:58" ht="12.75" customHeight="1" x14ac:dyDescent="0.25">
      <c r="A2206" s="334"/>
      <c r="B2206" s="334"/>
      <c r="C2206" s="332"/>
      <c r="D2206" s="334"/>
      <c r="E2206" s="335"/>
      <c r="F2206" s="334"/>
      <c r="G2206" s="332"/>
      <c r="H2206" s="332"/>
      <c r="I2206" s="334"/>
      <c r="J2206" s="336"/>
      <c r="K2206" s="332"/>
      <c r="L2206" s="332"/>
      <c r="M2206" s="76"/>
      <c r="N2206" s="103" t="str">
        <f>IF(A2206="","",VLOOKUP(A2206,Stand!C:K,9,0))</f>
        <v/>
      </c>
      <c r="O2206" s="104" t="str">
        <f t="shared" si="956"/>
        <v/>
      </c>
      <c r="P2206" s="105" t="str">
        <f t="shared" si="957"/>
        <v/>
      </c>
      <c r="Q2206" s="105" t="str">
        <f t="shared" si="972"/>
        <v/>
      </c>
      <c r="R2206" s="103" t="str">
        <f t="shared" si="958"/>
        <v/>
      </c>
      <c r="S2206" s="103" t="str">
        <f t="shared" si="959"/>
        <v/>
      </c>
      <c r="T2206" s="106" t="str">
        <f t="shared" si="973"/>
        <v/>
      </c>
      <c r="U2206" s="106" t="str">
        <f t="shared" si="974"/>
        <v/>
      </c>
      <c r="V2206" s="106" t="str">
        <f t="shared" si="975"/>
        <v/>
      </c>
      <c r="W2206" s="105" t="str">
        <f t="shared" si="960"/>
        <v/>
      </c>
      <c r="X2206" s="104" t="str">
        <f t="shared" si="965"/>
        <v/>
      </c>
      <c r="Y2206" s="104" t="str">
        <f t="array" ref="Y2206">IFERROR(IF(ISNUMBER(O2206),IF(COUNT(IF(A2206=$A$2:$A$2427,IF(D2206=$D$2:$D$2427,IF($X$2:$X$2427&gt;0,1))))&gt;0,SUM(IF(A2206=$A$2:$A$2427,IF(D2206=$D$2:$D$2427,$X$2:$X$2427)))/COUNT(IF(A2206=$A$2:$A$2427,IF(D2206=$D$2:$D$2427,IF(ISNUMBER($X$2:$X$2427),1)))),0),""),0)</f>
        <v/>
      </c>
      <c r="Z2206" s="104" t="str">
        <f>IF(ISNUMBER(O2206),IF(I2206&gt;0,(10^(VLOOKUP(D2206,'Species Codes'!B:C,2,0)+VLOOKUP(D2206,'Species Codes'!B:D,3,0)*LOG(E2206)+VLOOKUP(D2206,'Species Codes'!B:E,4,0)*LOG(I2206))),0),"")</f>
        <v/>
      </c>
      <c r="AA2206" s="104" t="str">
        <f>IFERROR((VLOOKUP(D2206,'Species Codes'!B:G,6,0)*Z2206)/2000,"")</f>
        <v/>
      </c>
      <c r="AB2206" s="104" t="e">
        <f>IF(Z2206&gt;0,((IF(OR(D2206="DF",D2206="RA")=TRUE,EXP(VLOOKUP(D2206,'Species Codes'!B:I,8,0)+VLOOKUP(D2206,'Species Codes'!B:J,9,0)*(LN((E2206*2.54)))),IF(OR(D2206="PY",D2206="RC",D2206="WH",D2206="NF")=TRUE,VLOOKUP(D2206,'Species Codes'!B:I,8,0)+VLOOKUP(D2206,'Species Codes'!B:J,9,0)*((E2206*2.54)^2)*(I2206*0.3048),IF(OR(D2206="MD",D2206="BM",D2206="GA")=TRUE,((VLOOKUP(D2206,'Species Codes'!B:I,8,0)*(((((E2206*2.54)+VLOOKUP(D2206,'Species Codes'!B:J,9,0))/VLOOKUP(D2206,'Species Codes'!B:K,10,0))^VLOOKUP(D2206,'Species Codes'!B:L,11,0))*((I2206*0.3048)^VLOOKUP(D2206,'Species Codes'!B:M,12,0))))-(VLOOKUP(D2206,'Species Codes'!B:I,8,0)*((((E2206*2.54)^VLOOKUP(D2206,'Species Codes'!B:L,11,0))*((I2206*0.3048)^VLOOKUP(D2206,'Species Codes'!B:M,12,0))))))*35.3*VLOOKUP(D2206,'Species Codes'!B:G,6,0)/2.2046,VLOOKUP(D2206,'Species Codes'!B:I,8,0)+VLOOKUP(D2206,'Species Codes'!B:J,9,0)*(((E2206*2.54)/100)^2)*(I2206*0.3048)))))*0.0011023),0)</f>
        <v>#N/A</v>
      </c>
      <c r="AC2206" s="104" t="e">
        <f>IF(Z2206&gt;0,((IF(OR(D2206="RA",D2206="OA",D2206="OT",D2206="UN",D2206="PC"),EXP(VLOOKUP(D2206,'Species Codes'!B:O,14,0)+VLOOKUP(D2206,'Species Codes'!B:P,15,0)*LN((E2206*2.54)))-EXP(VLOOKUP(D2206,'Species Codes'!B:O,14,0)+VLOOKUP(D2206,'Species Codes'!B:P,15,0)*LN((E2206*2.54)))*(1/(VLOOKUP(D2206,'Species Codes'!B:Q,16,0)+VLOOKUP(D2206,'Species Codes'!B:R,17,0)*((E2206*2.54)^VLOOKUP(D2206,'Species Codes'!B:S,18,0)))),IF(OR(D2206="BM",D2206="MD",D2206="OA"),EXP(VLOOKUP(D2206,'Species Codes'!B:O,14,0)+VLOOKUP(D2206,'Species Codes'!B:P,15,0)*LN((E2206*2.54)))*(1-(1/(VLOOKUP(D2206,'Species Codes'!B:Q,16,0)+VLOOKUP(D2206,'Species Codes'!B:R,17,0)*((E2206*2.54)^VLOOKUP(D2206,'Species Codes'!B:S,18,0)))))/1000,IF(D2206="DF",EXP(VLOOKUP(D2206,'Species Codes'!B:O,14,0)+VLOOKUP(D2206,'Species Codes'!B:P,15,0)*LN((E2206*2.54))),VLOOKUP(D2206,'Species Codes'!B:O,14,0)+VLOOKUP(D2206,'Species Codes'!B:P,15,0)*(((E2206*2.54)/100)^2)*(I2206*0.3048)))))*0.0011023),0)</f>
        <v>#N/A</v>
      </c>
      <c r="AD2206" s="104" t="e">
        <f t="shared" si="976"/>
        <v>#N/A</v>
      </c>
      <c r="AE2206" s="104" t="e">
        <f t="shared" si="977"/>
        <v>#N/A</v>
      </c>
      <c r="AF2206" s="104" t="e">
        <f>IF(AND(VLOOKUP($D2206,Merchantability!$B:$C,2,0)="Yes",$E2206&gt;=VLOOKUP($D2206,Merchantability!$B:$D,3,0),$E2206&lt;=VLOOKUP($D2206,Merchantability!$B:$E,4,0)),AA2206,0)</f>
        <v>#N/A</v>
      </c>
      <c r="AG2206" s="104" t="e">
        <f>IF(AND(VLOOKUP($D2206,Merchantability!$B:$C,2,0)="Yes",$E2206&gt;=VLOOKUP($D2206,Merchantability!$B:$D,3,0),$E2206&lt;=VLOOKUP($D2206,Merchantability!$B:$E,4,0)),AB2206,0)</f>
        <v>#N/A</v>
      </c>
      <c r="AH2206" s="104" t="e">
        <f>IF(AND(VLOOKUP($D2206,Merchantability!$B:$C,2,0)="Yes",$E2206&gt;=VLOOKUP($D2206,Merchantability!$B:$D,3,0),$E2206&lt;=VLOOKUP($D2206,Merchantability!$B:$E,4,0)),AC2206,0)</f>
        <v>#N/A</v>
      </c>
      <c r="AI2206" s="104" t="e">
        <f t="shared" si="978"/>
        <v>#N/A</v>
      </c>
      <c r="AJ2206" s="104" t="e">
        <f t="shared" si="979"/>
        <v>#VALUE!</v>
      </c>
      <c r="AK2206" s="104" t="e">
        <f t="shared" si="980"/>
        <v>#N/A</v>
      </c>
      <c r="AL2206" s="104" t="e">
        <f t="shared" si="981"/>
        <v>#N/A</v>
      </c>
      <c r="AM2206" s="104" t="e">
        <f t="shared" si="982"/>
        <v>#N/A</v>
      </c>
      <c r="AN2206" s="104" t="e">
        <f t="shared" si="966"/>
        <v>#N/A</v>
      </c>
      <c r="AO2206" s="104" t="e">
        <f t="shared" si="967"/>
        <v>#N/A</v>
      </c>
      <c r="AP2206" s="104" t="e">
        <f t="shared" si="968"/>
        <v>#N/A</v>
      </c>
      <c r="AQ2206" s="104" t="e">
        <f t="shared" si="969"/>
        <v>#N/A</v>
      </c>
      <c r="AR2206" s="105" t="str">
        <f t="shared" si="961"/>
        <v/>
      </c>
      <c r="AS2206" s="105" t="str">
        <f t="shared" si="962"/>
        <v/>
      </c>
      <c r="AT2206" s="108" t="str">
        <f t="shared" si="963"/>
        <v/>
      </c>
      <c r="AU2206" s="108" t="str">
        <f t="shared" si="964"/>
        <v/>
      </c>
      <c r="AV2206" s="107" t="str">
        <f>IF(ISNUMBER(O2206),IF(VLOOKUP($A2206,Stand!C:J,8,FALSE)="Short",AT2206,AU2206),"")</f>
        <v/>
      </c>
      <c r="AW2206" s="109" t="str">
        <f t="shared" si="970"/>
        <v/>
      </c>
      <c r="AX2206" s="109" t="str">
        <f t="shared" si="971"/>
        <v/>
      </c>
      <c r="AY2206" s="112" t="str">
        <f>IF(ISNUMBER(O2206),IF(AND(VLOOKUP($D2206,Merchantability!$B:$C,2,0)="Yes",$E2206&gt;=VLOOKUP($D2206,Merchantability!$B:$D,3,0),$E2206&lt;=VLOOKUP($D2206,Merchantability!$B:$E,4,0)),(AV2206*O2206)*(1-$H2206/100),""),"")</f>
        <v/>
      </c>
      <c r="AZ2206" s="116"/>
      <c r="BA2206" s="116"/>
      <c r="BB2206" s="116"/>
      <c r="BE2206" s="62"/>
      <c r="BF2206" s="63"/>
    </row>
    <row r="2207" spans="1:58" ht="12.75" customHeight="1" x14ac:dyDescent="0.25">
      <c r="A2207" s="334"/>
      <c r="B2207" s="334"/>
      <c r="C2207" s="332"/>
      <c r="D2207" s="334"/>
      <c r="E2207" s="335"/>
      <c r="F2207" s="334"/>
      <c r="G2207" s="332"/>
      <c r="H2207" s="332"/>
      <c r="I2207" s="334"/>
      <c r="J2207" s="336"/>
      <c r="K2207" s="332"/>
      <c r="L2207" s="332"/>
      <c r="M2207" s="76"/>
      <c r="N2207" s="103" t="str">
        <f>IF(A2207="","",VLOOKUP(A2207,Stand!C:K,9,0))</f>
        <v/>
      </c>
      <c r="O2207" s="104" t="str">
        <f t="shared" si="956"/>
        <v/>
      </c>
      <c r="P2207" s="105" t="str">
        <f t="shared" si="957"/>
        <v/>
      </c>
      <c r="Q2207" s="105" t="str">
        <f t="shared" si="972"/>
        <v/>
      </c>
      <c r="R2207" s="103" t="str">
        <f t="shared" si="958"/>
        <v/>
      </c>
      <c r="S2207" s="103" t="str">
        <f t="shared" si="959"/>
        <v/>
      </c>
      <c r="T2207" s="106" t="str">
        <f t="shared" si="973"/>
        <v/>
      </c>
      <c r="U2207" s="106" t="str">
        <f t="shared" si="974"/>
        <v/>
      </c>
      <c r="V2207" s="106" t="str">
        <f t="shared" si="975"/>
        <v/>
      </c>
      <c r="W2207" s="105" t="str">
        <f t="shared" si="960"/>
        <v/>
      </c>
      <c r="X2207" s="104" t="str">
        <f t="shared" si="965"/>
        <v/>
      </c>
      <c r="Y2207" s="104" t="str">
        <f t="array" ref="Y2207">IFERROR(IF(ISNUMBER(O2207),IF(COUNT(IF(A2207=$A$2:$A$2427,IF(D2207=$D$2:$D$2427,IF($X$2:$X$2427&gt;0,1))))&gt;0,SUM(IF(A2207=$A$2:$A$2427,IF(D2207=$D$2:$D$2427,$X$2:$X$2427)))/COUNT(IF(A2207=$A$2:$A$2427,IF(D2207=$D$2:$D$2427,IF(ISNUMBER($X$2:$X$2427),1)))),0),""),0)</f>
        <v/>
      </c>
      <c r="Z2207" s="104" t="str">
        <f>IF(ISNUMBER(O2207),IF(I2207&gt;0,(10^(VLOOKUP(D2207,'Species Codes'!B:C,2,0)+VLOOKUP(D2207,'Species Codes'!B:D,3,0)*LOG(E2207)+VLOOKUP(D2207,'Species Codes'!B:E,4,0)*LOG(I2207))),0),"")</f>
        <v/>
      </c>
      <c r="AA2207" s="104" t="str">
        <f>IFERROR((VLOOKUP(D2207,'Species Codes'!B:G,6,0)*Z2207)/2000,"")</f>
        <v/>
      </c>
      <c r="AB2207" s="104" t="e">
        <f>IF(Z2207&gt;0,((IF(OR(D2207="DF",D2207="RA")=TRUE,EXP(VLOOKUP(D2207,'Species Codes'!B:I,8,0)+VLOOKUP(D2207,'Species Codes'!B:J,9,0)*(LN((E2207*2.54)))),IF(OR(D2207="PY",D2207="RC",D2207="WH",D2207="NF")=TRUE,VLOOKUP(D2207,'Species Codes'!B:I,8,0)+VLOOKUP(D2207,'Species Codes'!B:J,9,0)*((E2207*2.54)^2)*(I2207*0.3048),IF(OR(D2207="MD",D2207="BM",D2207="GA")=TRUE,((VLOOKUP(D2207,'Species Codes'!B:I,8,0)*(((((E2207*2.54)+VLOOKUP(D2207,'Species Codes'!B:J,9,0))/VLOOKUP(D2207,'Species Codes'!B:K,10,0))^VLOOKUP(D2207,'Species Codes'!B:L,11,0))*((I2207*0.3048)^VLOOKUP(D2207,'Species Codes'!B:M,12,0))))-(VLOOKUP(D2207,'Species Codes'!B:I,8,0)*((((E2207*2.54)^VLOOKUP(D2207,'Species Codes'!B:L,11,0))*((I2207*0.3048)^VLOOKUP(D2207,'Species Codes'!B:M,12,0))))))*35.3*VLOOKUP(D2207,'Species Codes'!B:G,6,0)/2.2046,VLOOKUP(D2207,'Species Codes'!B:I,8,0)+VLOOKUP(D2207,'Species Codes'!B:J,9,0)*(((E2207*2.54)/100)^2)*(I2207*0.3048)))))*0.0011023),0)</f>
        <v>#N/A</v>
      </c>
      <c r="AC2207" s="104" t="e">
        <f>IF(Z2207&gt;0,((IF(OR(D2207="RA",D2207="OA",D2207="OT",D2207="UN",D2207="PC"),EXP(VLOOKUP(D2207,'Species Codes'!B:O,14,0)+VLOOKUP(D2207,'Species Codes'!B:P,15,0)*LN((E2207*2.54)))-EXP(VLOOKUP(D2207,'Species Codes'!B:O,14,0)+VLOOKUP(D2207,'Species Codes'!B:P,15,0)*LN((E2207*2.54)))*(1/(VLOOKUP(D2207,'Species Codes'!B:Q,16,0)+VLOOKUP(D2207,'Species Codes'!B:R,17,0)*((E2207*2.54)^VLOOKUP(D2207,'Species Codes'!B:S,18,0)))),IF(OR(D2207="BM",D2207="MD",D2207="OA"),EXP(VLOOKUP(D2207,'Species Codes'!B:O,14,0)+VLOOKUP(D2207,'Species Codes'!B:P,15,0)*LN((E2207*2.54)))*(1-(1/(VLOOKUP(D2207,'Species Codes'!B:Q,16,0)+VLOOKUP(D2207,'Species Codes'!B:R,17,0)*((E2207*2.54)^VLOOKUP(D2207,'Species Codes'!B:S,18,0)))))/1000,IF(D2207="DF",EXP(VLOOKUP(D2207,'Species Codes'!B:O,14,0)+VLOOKUP(D2207,'Species Codes'!B:P,15,0)*LN((E2207*2.54))),VLOOKUP(D2207,'Species Codes'!B:O,14,0)+VLOOKUP(D2207,'Species Codes'!B:P,15,0)*(((E2207*2.54)/100)^2)*(I2207*0.3048)))))*0.0011023),0)</f>
        <v>#N/A</v>
      </c>
      <c r="AD2207" s="104" t="e">
        <f t="shared" si="976"/>
        <v>#N/A</v>
      </c>
      <c r="AE2207" s="104" t="e">
        <f t="shared" si="977"/>
        <v>#N/A</v>
      </c>
      <c r="AF2207" s="104" t="e">
        <f>IF(AND(VLOOKUP($D2207,Merchantability!$B:$C,2,0)="Yes",$E2207&gt;=VLOOKUP($D2207,Merchantability!$B:$D,3,0),$E2207&lt;=VLOOKUP($D2207,Merchantability!$B:$E,4,0)),AA2207,0)</f>
        <v>#N/A</v>
      </c>
      <c r="AG2207" s="104" t="e">
        <f>IF(AND(VLOOKUP($D2207,Merchantability!$B:$C,2,0)="Yes",$E2207&gt;=VLOOKUP($D2207,Merchantability!$B:$D,3,0),$E2207&lt;=VLOOKUP($D2207,Merchantability!$B:$E,4,0)),AB2207,0)</f>
        <v>#N/A</v>
      </c>
      <c r="AH2207" s="104" t="e">
        <f>IF(AND(VLOOKUP($D2207,Merchantability!$B:$C,2,0)="Yes",$E2207&gt;=VLOOKUP($D2207,Merchantability!$B:$D,3,0),$E2207&lt;=VLOOKUP($D2207,Merchantability!$B:$E,4,0)),AC2207,0)</f>
        <v>#N/A</v>
      </c>
      <c r="AI2207" s="104" t="e">
        <f t="shared" si="978"/>
        <v>#N/A</v>
      </c>
      <c r="AJ2207" s="104" t="e">
        <f t="shared" si="979"/>
        <v>#VALUE!</v>
      </c>
      <c r="AK2207" s="104" t="e">
        <f t="shared" si="980"/>
        <v>#N/A</v>
      </c>
      <c r="AL2207" s="104" t="e">
        <f t="shared" si="981"/>
        <v>#N/A</v>
      </c>
      <c r="AM2207" s="104" t="e">
        <f t="shared" si="982"/>
        <v>#N/A</v>
      </c>
      <c r="AN2207" s="104" t="e">
        <f t="shared" si="966"/>
        <v>#N/A</v>
      </c>
      <c r="AO2207" s="104" t="e">
        <f t="shared" si="967"/>
        <v>#N/A</v>
      </c>
      <c r="AP2207" s="104" t="e">
        <f t="shared" si="968"/>
        <v>#N/A</v>
      </c>
      <c r="AQ2207" s="104" t="e">
        <f t="shared" si="969"/>
        <v>#N/A</v>
      </c>
      <c r="AR2207" s="105" t="str">
        <f t="shared" si="961"/>
        <v/>
      </c>
      <c r="AS2207" s="105" t="str">
        <f t="shared" si="962"/>
        <v/>
      </c>
      <c r="AT2207" s="108" t="str">
        <f t="shared" si="963"/>
        <v/>
      </c>
      <c r="AU2207" s="108" t="str">
        <f t="shared" si="964"/>
        <v/>
      </c>
      <c r="AV2207" s="107" t="str">
        <f>IF(ISNUMBER(O2207),IF(VLOOKUP($A2207,Stand!C:J,8,FALSE)="Short",AT2207,AU2207),"")</f>
        <v/>
      </c>
      <c r="AW2207" s="109" t="str">
        <f t="shared" si="970"/>
        <v/>
      </c>
      <c r="AX2207" s="109" t="str">
        <f t="shared" si="971"/>
        <v/>
      </c>
      <c r="AY2207" s="112" t="str">
        <f>IF(ISNUMBER(O2207),IF(AND(VLOOKUP($D2207,Merchantability!$B:$C,2,0)="Yes",$E2207&gt;=VLOOKUP($D2207,Merchantability!$B:$D,3,0),$E2207&lt;=VLOOKUP($D2207,Merchantability!$B:$E,4,0)),(AV2207*O2207)*(1-$H2207/100),""),"")</f>
        <v/>
      </c>
      <c r="AZ2207" s="116"/>
      <c r="BA2207" s="116"/>
      <c r="BB2207" s="116"/>
      <c r="BE2207" s="62"/>
      <c r="BF2207" s="63"/>
    </row>
    <row r="2208" spans="1:58" ht="12.75" customHeight="1" x14ac:dyDescent="0.25">
      <c r="A2208" s="334"/>
      <c r="B2208" s="334"/>
      <c r="C2208" s="332"/>
      <c r="D2208" s="334"/>
      <c r="E2208" s="335"/>
      <c r="F2208" s="334"/>
      <c r="G2208" s="332"/>
      <c r="H2208" s="332"/>
      <c r="I2208" s="334"/>
      <c r="J2208" s="336"/>
      <c r="K2208" s="332"/>
      <c r="L2208" s="332"/>
      <c r="M2208" s="76"/>
      <c r="N2208" s="103" t="str">
        <f>IF(A2208="","",VLOOKUP(A2208,Stand!C:K,9,0))</f>
        <v/>
      </c>
      <c r="O2208" s="104" t="str">
        <f t="shared" si="956"/>
        <v/>
      </c>
      <c r="P2208" s="105" t="str">
        <f t="shared" si="957"/>
        <v/>
      </c>
      <c r="Q2208" s="105" t="str">
        <f t="shared" si="972"/>
        <v/>
      </c>
      <c r="R2208" s="103" t="str">
        <f t="shared" si="958"/>
        <v/>
      </c>
      <c r="S2208" s="103" t="str">
        <f t="shared" si="959"/>
        <v/>
      </c>
      <c r="T2208" s="106" t="str">
        <f t="shared" si="973"/>
        <v/>
      </c>
      <c r="U2208" s="106" t="str">
        <f t="shared" si="974"/>
        <v/>
      </c>
      <c r="V2208" s="106" t="str">
        <f t="shared" si="975"/>
        <v/>
      </c>
      <c r="W2208" s="105" t="str">
        <f t="shared" si="960"/>
        <v/>
      </c>
      <c r="X2208" s="104" t="str">
        <f t="shared" si="965"/>
        <v/>
      </c>
      <c r="Y2208" s="104" t="str">
        <f t="array" ref="Y2208">IFERROR(IF(ISNUMBER(O2208),IF(COUNT(IF(A2208=$A$2:$A$2427,IF(D2208=$D$2:$D$2427,IF($X$2:$X$2427&gt;0,1))))&gt;0,SUM(IF(A2208=$A$2:$A$2427,IF(D2208=$D$2:$D$2427,$X$2:$X$2427)))/COUNT(IF(A2208=$A$2:$A$2427,IF(D2208=$D$2:$D$2427,IF(ISNUMBER($X$2:$X$2427),1)))),0),""),0)</f>
        <v/>
      </c>
      <c r="Z2208" s="104" t="str">
        <f>IF(ISNUMBER(O2208),IF(I2208&gt;0,(10^(VLOOKUP(D2208,'Species Codes'!B:C,2,0)+VLOOKUP(D2208,'Species Codes'!B:D,3,0)*LOG(E2208)+VLOOKUP(D2208,'Species Codes'!B:E,4,0)*LOG(I2208))),0),"")</f>
        <v/>
      </c>
      <c r="AA2208" s="104" t="str">
        <f>IFERROR((VLOOKUP(D2208,'Species Codes'!B:G,6,0)*Z2208)/2000,"")</f>
        <v/>
      </c>
      <c r="AB2208" s="104" t="e">
        <f>IF(Z2208&gt;0,((IF(OR(D2208="DF",D2208="RA")=TRUE,EXP(VLOOKUP(D2208,'Species Codes'!B:I,8,0)+VLOOKUP(D2208,'Species Codes'!B:J,9,0)*(LN((E2208*2.54)))),IF(OR(D2208="PY",D2208="RC",D2208="WH",D2208="NF")=TRUE,VLOOKUP(D2208,'Species Codes'!B:I,8,0)+VLOOKUP(D2208,'Species Codes'!B:J,9,0)*((E2208*2.54)^2)*(I2208*0.3048),IF(OR(D2208="MD",D2208="BM",D2208="GA")=TRUE,((VLOOKUP(D2208,'Species Codes'!B:I,8,0)*(((((E2208*2.54)+VLOOKUP(D2208,'Species Codes'!B:J,9,0))/VLOOKUP(D2208,'Species Codes'!B:K,10,0))^VLOOKUP(D2208,'Species Codes'!B:L,11,0))*((I2208*0.3048)^VLOOKUP(D2208,'Species Codes'!B:M,12,0))))-(VLOOKUP(D2208,'Species Codes'!B:I,8,0)*((((E2208*2.54)^VLOOKUP(D2208,'Species Codes'!B:L,11,0))*((I2208*0.3048)^VLOOKUP(D2208,'Species Codes'!B:M,12,0))))))*35.3*VLOOKUP(D2208,'Species Codes'!B:G,6,0)/2.2046,VLOOKUP(D2208,'Species Codes'!B:I,8,0)+VLOOKUP(D2208,'Species Codes'!B:J,9,0)*(((E2208*2.54)/100)^2)*(I2208*0.3048)))))*0.0011023),0)</f>
        <v>#N/A</v>
      </c>
      <c r="AC2208" s="104" t="e">
        <f>IF(Z2208&gt;0,((IF(OR(D2208="RA",D2208="OA",D2208="OT",D2208="UN",D2208="PC"),EXP(VLOOKUP(D2208,'Species Codes'!B:O,14,0)+VLOOKUP(D2208,'Species Codes'!B:P,15,0)*LN((E2208*2.54)))-EXP(VLOOKUP(D2208,'Species Codes'!B:O,14,0)+VLOOKUP(D2208,'Species Codes'!B:P,15,0)*LN((E2208*2.54)))*(1/(VLOOKUP(D2208,'Species Codes'!B:Q,16,0)+VLOOKUP(D2208,'Species Codes'!B:R,17,0)*((E2208*2.54)^VLOOKUP(D2208,'Species Codes'!B:S,18,0)))),IF(OR(D2208="BM",D2208="MD",D2208="OA"),EXP(VLOOKUP(D2208,'Species Codes'!B:O,14,0)+VLOOKUP(D2208,'Species Codes'!B:P,15,0)*LN((E2208*2.54)))*(1-(1/(VLOOKUP(D2208,'Species Codes'!B:Q,16,0)+VLOOKUP(D2208,'Species Codes'!B:R,17,0)*((E2208*2.54)^VLOOKUP(D2208,'Species Codes'!B:S,18,0)))))/1000,IF(D2208="DF",EXP(VLOOKUP(D2208,'Species Codes'!B:O,14,0)+VLOOKUP(D2208,'Species Codes'!B:P,15,0)*LN((E2208*2.54))),VLOOKUP(D2208,'Species Codes'!B:O,14,0)+VLOOKUP(D2208,'Species Codes'!B:P,15,0)*(((E2208*2.54)/100)^2)*(I2208*0.3048)))))*0.0011023),0)</f>
        <v>#N/A</v>
      </c>
      <c r="AD2208" s="104" t="e">
        <f t="shared" si="976"/>
        <v>#N/A</v>
      </c>
      <c r="AE2208" s="104" t="e">
        <f t="shared" si="977"/>
        <v>#N/A</v>
      </c>
      <c r="AF2208" s="104" t="e">
        <f>IF(AND(VLOOKUP($D2208,Merchantability!$B:$C,2,0)="Yes",$E2208&gt;=VLOOKUP($D2208,Merchantability!$B:$D,3,0),$E2208&lt;=VLOOKUP($D2208,Merchantability!$B:$E,4,0)),AA2208,0)</f>
        <v>#N/A</v>
      </c>
      <c r="AG2208" s="104" t="e">
        <f>IF(AND(VLOOKUP($D2208,Merchantability!$B:$C,2,0)="Yes",$E2208&gt;=VLOOKUP($D2208,Merchantability!$B:$D,3,0),$E2208&lt;=VLOOKUP($D2208,Merchantability!$B:$E,4,0)),AB2208,0)</f>
        <v>#N/A</v>
      </c>
      <c r="AH2208" s="104" t="e">
        <f>IF(AND(VLOOKUP($D2208,Merchantability!$B:$C,2,0)="Yes",$E2208&gt;=VLOOKUP($D2208,Merchantability!$B:$D,3,0),$E2208&lt;=VLOOKUP($D2208,Merchantability!$B:$E,4,0)),AC2208,0)</f>
        <v>#N/A</v>
      </c>
      <c r="AI2208" s="104" t="e">
        <f t="shared" si="978"/>
        <v>#N/A</v>
      </c>
      <c r="AJ2208" s="104" t="e">
        <f t="shared" si="979"/>
        <v>#VALUE!</v>
      </c>
      <c r="AK2208" s="104" t="e">
        <f t="shared" si="980"/>
        <v>#N/A</v>
      </c>
      <c r="AL2208" s="104" t="e">
        <f t="shared" si="981"/>
        <v>#N/A</v>
      </c>
      <c r="AM2208" s="104" t="e">
        <f t="shared" si="982"/>
        <v>#N/A</v>
      </c>
      <c r="AN2208" s="104" t="e">
        <f t="shared" si="966"/>
        <v>#N/A</v>
      </c>
      <c r="AO2208" s="104" t="e">
        <f t="shared" si="967"/>
        <v>#N/A</v>
      </c>
      <c r="AP2208" s="104" t="e">
        <f t="shared" si="968"/>
        <v>#N/A</v>
      </c>
      <c r="AQ2208" s="104" t="e">
        <f t="shared" si="969"/>
        <v>#N/A</v>
      </c>
      <c r="AR2208" s="105" t="str">
        <f t="shared" si="961"/>
        <v/>
      </c>
      <c r="AS2208" s="105" t="str">
        <f t="shared" si="962"/>
        <v/>
      </c>
      <c r="AT2208" s="108" t="str">
        <f t="shared" si="963"/>
        <v/>
      </c>
      <c r="AU2208" s="108" t="str">
        <f t="shared" si="964"/>
        <v/>
      </c>
      <c r="AV2208" s="107" t="str">
        <f>IF(ISNUMBER(O2208),IF(VLOOKUP($A2208,Stand!C:J,8,FALSE)="Short",AT2208,AU2208),"")</f>
        <v/>
      </c>
      <c r="AW2208" s="109" t="str">
        <f t="shared" si="970"/>
        <v/>
      </c>
      <c r="AX2208" s="109" t="str">
        <f t="shared" si="971"/>
        <v/>
      </c>
      <c r="AY2208" s="112" t="str">
        <f>IF(ISNUMBER(O2208),IF(AND(VLOOKUP($D2208,Merchantability!$B:$C,2,0)="Yes",$E2208&gt;=VLOOKUP($D2208,Merchantability!$B:$D,3,0),$E2208&lt;=VLOOKUP($D2208,Merchantability!$B:$E,4,0)),(AV2208*O2208)*(1-$H2208/100),""),"")</f>
        <v/>
      </c>
      <c r="AZ2208" s="116"/>
      <c r="BA2208" s="116"/>
      <c r="BB2208" s="116"/>
      <c r="BE2208" s="62"/>
      <c r="BF2208" s="63"/>
    </row>
    <row r="2209" spans="1:58" ht="12.75" customHeight="1" x14ac:dyDescent="0.25">
      <c r="A2209" s="334"/>
      <c r="B2209" s="334"/>
      <c r="C2209" s="332"/>
      <c r="D2209" s="334"/>
      <c r="E2209" s="335"/>
      <c r="F2209" s="334"/>
      <c r="G2209" s="332"/>
      <c r="H2209" s="332"/>
      <c r="I2209" s="334"/>
      <c r="J2209" s="336"/>
      <c r="K2209" s="332"/>
      <c r="L2209" s="332"/>
      <c r="M2209" s="76"/>
      <c r="N2209" s="103" t="str">
        <f>IF(A2209="","",VLOOKUP(A2209,Stand!C:K,9,0))</f>
        <v/>
      </c>
      <c r="O2209" s="104" t="str">
        <f t="shared" si="956"/>
        <v/>
      </c>
      <c r="P2209" s="105" t="str">
        <f t="shared" si="957"/>
        <v/>
      </c>
      <c r="Q2209" s="105" t="str">
        <f t="shared" si="972"/>
        <v/>
      </c>
      <c r="R2209" s="103" t="str">
        <f t="shared" si="958"/>
        <v/>
      </c>
      <c r="S2209" s="103" t="str">
        <f t="shared" si="959"/>
        <v/>
      </c>
      <c r="T2209" s="106" t="str">
        <f t="shared" si="973"/>
        <v/>
      </c>
      <c r="U2209" s="106" t="str">
        <f t="shared" si="974"/>
        <v/>
      </c>
      <c r="V2209" s="106" t="str">
        <f t="shared" si="975"/>
        <v/>
      </c>
      <c r="W2209" s="105" t="str">
        <f t="shared" si="960"/>
        <v/>
      </c>
      <c r="X2209" s="104" t="str">
        <f t="shared" si="965"/>
        <v/>
      </c>
      <c r="Y2209" s="104" t="str">
        <f t="array" ref="Y2209">IFERROR(IF(ISNUMBER(O2209),IF(COUNT(IF(A2209=$A$2:$A$2427,IF(D2209=$D$2:$D$2427,IF($X$2:$X$2427&gt;0,1))))&gt;0,SUM(IF(A2209=$A$2:$A$2427,IF(D2209=$D$2:$D$2427,$X$2:$X$2427)))/COUNT(IF(A2209=$A$2:$A$2427,IF(D2209=$D$2:$D$2427,IF(ISNUMBER($X$2:$X$2427),1)))),0),""),0)</f>
        <v/>
      </c>
      <c r="Z2209" s="104" t="str">
        <f>IF(ISNUMBER(O2209),IF(I2209&gt;0,(10^(VLOOKUP(D2209,'Species Codes'!B:C,2,0)+VLOOKUP(D2209,'Species Codes'!B:D,3,0)*LOG(E2209)+VLOOKUP(D2209,'Species Codes'!B:E,4,0)*LOG(I2209))),0),"")</f>
        <v/>
      </c>
      <c r="AA2209" s="104" t="str">
        <f>IFERROR((VLOOKUP(D2209,'Species Codes'!B:G,6,0)*Z2209)/2000,"")</f>
        <v/>
      </c>
      <c r="AB2209" s="104" t="e">
        <f>IF(Z2209&gt;0,((IF(OR(D2209="DF",D2209="RA")=TRUE,EXP(VLOOKUP(D2209,'Species Codes'!B:I,8,0)+VLOOKUP(D2209,'Species Codes'!B:J,9,0)*(LN((E2209*2.54)))),IF(OR(D2209="PY",D2209="RC",D2209="WH",D2209="NF")=TRUE,VLOOKUP(D2209,'Species Codes'!B:I,8,0)+VLOOKUP(D2209,'Species Codes'!B:J,9,0)*((E2209*2.54)^2)*(I2209*0.3048),IF(OR(D2209="MD",D2209="BM",D2209="GA")=TRUE,((VLOOKUP(D2209,'Species Codes'!B:I,8,0)*(((((E2209*2.54)+VLOOKUP(D2209,'Species Codes'!B:J,9,0))/VLOOKUP(D2209,'Species Codes'!B:K,10,0))^VLOOKUP(D2209,'Species Codes'!B:L,11,0))*((I2209*0.3048)^VLOOKUP(D2209,'Species Codes'!B:M,12,0))))-(VLOOKUP(D2209,'Species Codes'!B:I,8,0)*((((E2209*2.54)^VLOOKUP(D2209,'Species Codes'!B:L,11,0))*((I2209*0.3048)^VLOOKUP(D2209,'Species Codes'!B:M,12,0))))))*35.3*VLOOKUP(D2209,'Species Codes'!B:G,6,0)/2.2046,VLOOKUP(D2209,'Species Codes'!B:I,8,0)+VLOOKUP(D2209,'Species Codes'!B:J,9,0)*(((E2209*2.54)/100)^2)*(I2209*0.3048)))))*0.0011023),0)</f>
        <v>#N/A</v>
      </c>
      <c r="AC2209" s="104" t="e">
        <f>IF(Z2209&gt;0,((IF(OR(D2209="RA",D2209="OA",D2209="OT",D2209="UN",D2209="PC"),EXP(VLOOKUP(D2209,'Species Codes'!B:O,14,0)+VLOOKUP(D2209,'Species Codes'!B:P,15,0)*LN((E2209*2.54)))-EXP(VLOOKUP(D2209,'Species Codes'!B:O,14,0)+VLOOKUP(D2209,'Species Codes'!B:P,15,0)*LN((E2209*2.54)))*(1/(VLOOKUP(D2209,'Species Codes'!B:Q,16,0)+VLOOKUP(D2209,'Species Codes'!B:R,17,0)*((E2209*2.54)^VLOOKUP(D2209,'Species Codes'!B:S,18,0)))),IF(OR(D2209="BM",D2209="MD",D2209="OA"),EXP(VLOOKUP(D2209,'Species Codes'!B:O,14,0)+VLOOKUP(D2209,'Species Codes'!B:P,15,0)*LN((E2209*2.54)))*(1-(1/(VLOOKUP(D2209,'Species Codes'!B:Q,16,0)+VLOOKUP(D2209,'Species Codes'!B:R,17,0)*((E2209*2.54)^VLOOKUP(D2209,'Species Codes'!B:S,18,0)))))/1000,IF(D2209="DF",EXP(VLOOKUP(D2209,'Species Codes'!B:O,14,0)+VLOOKUP(D2209,'Species Codes'!B:P,15,0)*LN((E2209*2.54))),VLOOKUP(D2209,'Species Codes'!B:O,14,0)+VLOOKUP(D2209,'Species Codes'!B:P,15,0)*(((E2209*2.54)/100)^2)*(I2209*0.3048)))))*0.0011023),0)</f>
        <v>#N/A</v>
      </c>
      <c r="AD2209" s="104" t="e">
        <f t="shared" si="976"/>
        <v>#N/A</v>
      </c>
      <c r="AE2209" s="104" t="e">
        <f t="shared" si="977"/>
        <v>#N/A</v>
      </c>
      <c r="AF2209" s="104" t="e">
        <f>IF(AND(VLOOKUP($D2209,Merchantability!$B:$C,2,0)="Yes",$E2209&gt;=VLOOKUP($D2209,Merchantability!$B:$D,3,0),$E2209&lt;=VLOOKUP($D2209,Merchantability!$B:$E,4,0)),AA2209,0)</f>
        <v>#N/A</v>
      </c>
      <c r="AG2209" s="104" t="e">
        <f>IF(AND(VLOOKUP($D2209,Merchantability!$B:$C,2,0)="Yes",$E2209&gt;=VLOOKUP($D2209,Merchantability!$B:$D,3,0),$E2209&lt;=VLOOKUP($D2209,Merchantability!$B:$E,4,0)),AB2209,0)</f>
        <v>#N/A</v>
      </c>
      <c r="AH2209" s="104" t="e">
        <f>IF(AND(VLOOKUP($D2209,Merchantability!$B:$C,2,0)="Yes",$E2209&gt;=VLOOKUP($D2209,Merchantability!$B:$D,3,0),$E2209&lt;=VLOOKUP($D2209,Merchantability!$B:$E,4,0)),AC2209,0)</f>
        <v>#N/A</v>
      </c>
      <c r="AI2209" s="104" t="e">
        <f t="shared" si="978"/>
        <v>#N/A</v>
      </c>
      <c r="AJ2209" s="104" t="e">
        <f t="shared" si="979"/>
        <v>#VALUE!</v>
      </c>
      <c r="AK2209" s="104" t="e">
        <f t="shared" si="980"/>
        <v>#N/A</v>
      </c>
      <c r="AL2209" s="104" t="e">
        <f t="shared" si="981"/>
        <v>#N/A</v>
      </c>
      <c r="AM2209" s="104" t="e">
        <f t="shared" si="982"/>
        <v>#N/A</v>
      </c>
      <c r="AN2209" s="104" t="e">
        <f t="shared" si="966"/>
        <v>#N/A</v>
      </c>
      <c r="AO2209" s="104" t="e">
        <f t="shared" si="967"/>
        <v>#N/A</v>
      </c>
      <c r="AP2209" s="104" t="e">
        <f t="shared" si="968"/>
        <v>#N/A</v>
      </c>
      <c r="AQ2209" s="104" t="e">
        <f t="shared" si="969"/>
        <v>#N/A</v>
      </c>
      <c r="AR2209" s="105" t="str">
        <f t="shared" si="961"/>
        <v/>
      </c>
      <c r="AS2209" s="105" t="str">
        <f t="shared" si="962"/>
        <v/>
      </c>
      <c r="AT2209" s="108" t="str">
        <f t="shared" si="963"/>
        <v/>
      </c>
      <c r="AU2209" s="108" t="str">
        <f t="shared" si="964"/>
        <v/>
      </c>
      <c r="AV2209" s="107" t="str">
        <f>IF(ISNUMBER(O2209),IF(VLOOKUP($A2209,Stand!C:J,8,FALSE)="Short",AT2209,AU2209),"")</f>
        <v/>
      </c>
      <c r="AW2209" s="109" t="str">
        <f t="shared" si="970"/>
        <v/>
      </c>
      <c r="AX2209" s="109" t="str">
        <f t="shared" si="971"/>
        <v/>
      </c>
      <c r="AY2209" s="112" t="str">
        <f>IF(ISNUMBER(O2209),IF(AND(VLOOKUP($D2209,Merchantability!$B:$C,2,0)="Yes",$E2209&gt;=VLOOKUP($D2209,Merchantability!$B:$D,3,0),$E2209&lt;=VLOOKUP($D2209,Merchantability!$B:$E,4,0)),(AV2209*O2209)*(1-$H2209/100),""),"")</f>
        <v/>
      </c>
      <c r="AZ2209" s="116"/>
      <c r="BA2209" s="116"/>
      <c r="BB2209" s="116"/>
      <c r="BE2209" s="62"/>
      <c r="BF2209" s="63"/>
    </row>
    <row r="2210" spans="1:58" ht="12.75" customHeight="1" x14ac:dyDescent="0.25">
      <c r="A2210" s="334"/>
      <c r="B2210" s="334"/>
      <c r="C2210" s="332"/>
      <c r="D2210" s="334"/>
      <c r="E2210" s="335"/>
      <c r="F2210" s="334"/>
      <c r="G2210" s="332"/>
      <c r="H2210" s="332"/>
      <c r="I2210" s="334"/>
      <c r="J2210" s="336"/>
      <c r="K2210" s="332"/>
      <c r="L2210" s="332"/>
      <c r="M2210" s="76"/>
      <c r="N2210" s="103" t="str">
        <f>IF(A2210="","",VLOOKUP(A2210,Stand!C:K,9,0))</f>
        <v/>
      </c>
      <c r="O2210" s="104" t="str">
        <f t="shared" si="956"/>
        <v/>
      </c>
      <c r="P2210" s="105" t="str">
        <f t="shared" si="957"/>
        <v/>
      </c>
      <c r="Q2210" s="105" t="str">
        <f t="shared" si="972"/>
        <v/>
      </c>
      <c r="R2210" s="103" t="str">
        <f t="shared" si="958"/>
        <v/>
      </c>
      <c r="S2210" s="103" t="str">
        <f t="shared" si="959"/>
        <v/>
      </c>
      <c r="T2210" s="106" t="str">
        <f t="shared" si="973"/>
        <v/>
      </c>
      <c r="U2210" s="106" t="str">
        <f t="shared" si="974"/>
        <v/>
      </c>
      <c r="V2210" s="106" t="str">
        <f t="shared" si="975"/>
        <v/>
      </c>
      <c r="W2210" s="105" t="str">
        <f t="shared" si="960"/>
        <v/>
      </c>
      <c r="X2210" s="104" t="str">
        <f t="shared" si="965"/>
        <v/>
      </c>
      <c r="Y2210" s="104" t="str">
        <f t="array" ref="Y2210">IFERROR(IF(ISNUMBER(O2210),IF(COUNT(IF(A2210=$A$2:$A$2427,IF(D2210=$D$2:$D$2427,IF($X$2:$X$2427&gt;0,1))))&gt;0,SUM(IF(A2210=$A$2:$A$2427,IF(D2210=$D$2:$D$2427,$X$2:$X$2427)))/COUNT(IF(A2210=$A$2:$A$2427,IF(D2210=$D$2:$D$2427,IF(ISNUMBER($X$2:$X$2427),1)))),0),""),0)</f>
        <v/>
      </c>
      <c r="Z2210" s="104" t="str">
        <f>IF(ISNUMBER(O2210),IF(I2210&gt;0,(10^(VLOOKUP(D2210,'Species Codes'!B:C,2,0)+VLOOKUP(D2210,'Species Codes'!B:D,3,0)*LOG(E2210)+VLOOKUP(D2210,'Species Codes'!B:E,4,0)*LOG(I2210))),0),"")</f>
        <v/>
      </c>
      <c r="AA2210" s="104" t="str">
        <f>IFERROR((VLOOKUP(D2210,'Species Codes'!B:G,6,0)*Z2210)/2000,"")</f>
        <v/>
      </c>
      <c r="AB2210" s="104" t="e">
        <f>IF(Z2210&gt;0,((IF(OR(D2210="DF",D2210="RA")=TRUE,EXP(VLOOKUP(D2210,'Species Codes'!B:I,8,0)+VLOOKUP(D2210,'Species Codes'!B:J,9,0)*(LN((E2210*2.54)))),IF(OR(D2210="PY",D2210="RC",D2210="WH",D2210="NF")=TRUE,VLOOKUP(D2210,'Species Codes'!B:I,8,0)+VLOOKUP(D2210,'Species Codes'!B:J,9,0)*((E2210*2.54)^2)*(I2210*0.3048),IF(OR(D2210="MD",D2210="BM",D2210="GA")=TRUE,((VLOOKUP(D2210,'Species Codes'!B:I,8,0)*(((((E2210*2.54)+VLOOKUP(D2210,'Species Codes'!B:J,9,0))/VLOOKUP(D2210,'Species Codes'!B:K,10,0))^VLOOKUP(D2210,'Species Codes'!B:L,11,0))*((I2210*0.3048)^VLOOKUP(D2210,'Species Codes'!B:M,12,0))))-(VLOOKUP(D2210,'Species Codes'!B:I,8,0)*((((E2210*2.54)^VLOOKUP(D2210,'Species Codes'!B:L,11,0))*((I2210*0.3048)^VLOOKUP(D2210,'Species Codes'!B:M,12,0))))))*35.3*VLOOKUP(D2210,'Species Codes'!B:G,6,0)/2.2046,VLOOKUP(D2210,'Species Codes'!B:I,8,0)+VLOOKUP(D2210,'Species Codes'!B:J,9,0)*(((E2210*2.54)/100)^2)*(I2210*0.3048)))))*0.0011023),0)</f>
        <v>#N/A</v>
      </c>
      <c r="AC2210" s="104" t="e">
        <f>IF(Z2210&gt;0,((IF(OR(D2210="RA",D2210="OA",D2210="OT",D2210="UN",D2210="PC"),EXP(VLOOKUP(D2210,'Species Codes'!B:O,14,0)+VLOOKUP(D2210,'Species Codes'!B:P,15,0)*LN((E2210*2.54)))-EXP(VLOOKUP(D2210,'Species Codes'!B:O,14,0)+VLOOKUP(D2210,'Species Codes'!B:P,15,0)*LN((E2210*2.54)))*(1/(VLOOKUP(D2210,'Species Codes'!B:Q,16,0)+VLOOKUP(D2210,'Species Codes'!B:R,17,0)*((E2210*2.54)^VLOOKUP(D2210,'Species Codes'!B:S,18,0)))),IF(OR(D2210="BM",D2210="MD",D2210="OA"),EXP(VLOOKUP(D2210,'Species Codes'!B:O,14,0)+VLOOKUP(D2210,'Species Codes'!B:P,15,0)*LN((E2210*2.54)))*(1-(1/(VLOOKUP(D2210,'Species Codes'!B:Q,16,0)+VLOOKUP(D2210,'Species Codes'!B:R,17,0)*((E2210*2.54)^VLOOKUP(D2210,'Species Codes'!B:S,18,0)))))/1000,IF(D2210="DF",EXP(VLOOKUP(D2210,'Species Codes'!B:O,14,0)+VLOOKUP(D2210,'Species Codes'!B:P,15,0)*LN((E2210*2.54))),VLOOKUP(D2210,'Species Codes'!B:O,14,0)+VLOOKUP(D2210,'Species Codes'!B:P,15,0)*(((E2210*2.54)/100)^2)*(I2210*0.3048)))))*0.0011023),0)</f>
        <v>#N/A</v>
      </c>
      <c r="AD2210" s="104" t="e">
        <f t="shared" si="976"/>
        <v>#N/A</v>
      </c>
      <c r="AE2210" s="104" t="e">
        <f t="shared" si="977"/>
        <v>#N/A</v>
      </c>
      <c r="AF2210" s="104" t="e">
        <f>IF(AND(VLOOKUP($D2210,Merchantability!$B:$C,2,0)="Yes",$E2210&gt;=VLOOKUP($D2210,Merchantability!$B:$D,3,0),$E2210&lt;=VLOOKUP($D2210,Merchantability!$B:$E,4,0)),AA2210,0)</f>
        <v>#N/A</v>
      </c>
      <c r="AG2210" s="104" t="e">
        <f>IF(AND(VLOOKUP($D2210,Merchantability!$B:$C,2,0)="Yes",$E2210&gt;=VLOOKUP($D2210,Merchantability!$B:$D,3,0),$E2210&lt;=VLOOKUP($D2210,Merchantability!$B:$E,4,0)),AB2210,0)</f>
        <v>#N/A</v>
      </c>
      <c r="AH2210" s="104" t="e">
        <f>IF(AND(VLOOKUP($D2210,Merchantability!$B:$C,2,0)="Yes",$E2210&gt;=VLOOKUP($D2210,Merchantability!$B:$D,3,0),$E2210&lt;=VLOOKUP($D2210,Merchantability!$B:$E,4,0)),AC2210,0)</f>
        <v>#N/A</v>
      </c>
      <c r="AI2210" s="104" t="e">
        <f t="shared" si="978"/>
        <v>#N/A</v>
      </c>
      <c r="AJ2210" s="104" t="e">
        <f t="shared" si="979"/>
        <v>#VALUE!</v>
      </c>
      <c r="AK2210" s="104" t="e">
        <f t="shared" si="980"/>
        <v>#N/A</v>
      </c>
      <c r="AL2210" s="104" t="e">
        <f t="shared" si="981"/>
        <v>#N/A</v>
      </c>
      <c r="AM2210" s="104" t="e">
        <f t="shared" si="982"/>
        <v>#N/A</v>
      </c>
      <c r="AN2210" s="104" t="e">
        <f t="shared" si="966"/>
        <v>#N/A</v>
      </c>
      <c r="AO2210" s="104" t="e">
        <f t="shared" si="967"/>
        <v>#N/A</v>
      </c>
      <c r="AP2210" s="104" t="e">
        <f t="shared" si="968"/>
        <v>#N/A</v>
      </c>
      <c r="AQ2210" s="104" t="e">
        <f t="shared" si="969"/>
        <v>#N/A</v>
      </c>
      <c r="AR2210" s="105" t="str">
        <f t="shared" si="961"/>
        <v/>
      </c>
      <c r="AS2210" s="105" t="str">
        <f t="shared" si="962"/>
        <v/>
      </c>
      <c r="AT2210" s="108" t="str">
        <f t="shared" si="963"/>
        <v/>
      </c>
      <c r="AU2210" s="108" t="str">
        <f t="shared" si="964"/>
        <v/>
      </c>
      <c r="AV2210" s="107" t="str">
        <f>IF(ISNUMBER(O2210),IF(VLOOKUP($A2210,Stand!C:J,8,FALSE)="Short",AT2210,AU2210),"")</f>
        <v/>
      </c>
      <c r="AW2210" s="109" t="str">
        <f t="shared" si="970"/>
        <v/>
      </c>
      <c r="AX2210" s="109" t="str">
        <f t="shared" si="971"/>
        <v/>
      </c>
      <c r="AY2210" s="112" t="str">
        <f>IF(ISNUMBER(O2210),IF(AND(VLOOKUP($D2210,Merchantability!$B:$C,2,0)="Yes",$E2210&gt;=VLOOKUP($D2210,Merchantability!$B:$D,3,0),$E2210&lt;=VLOOKUP($D2210,Merchantability!$B:$E,4,0)),(AV2210*O2210)*(1-$H2210/100),""),"")</f>
        <v/>
      </c>
      <c r="AZ2210" s="116"/>
      <c r="BA2210" s="116"/>
      <c r="BB2210" s="116"/>
      <c r="BE2210" s="62"/>
      <c r="BF2210" s="63"/>
    </row>
    <row r="2211" spans="1:58" ht="12.75" customHeight="1" x14ac:dyDescent="0.25">
      <c r="A2211" s="334"/>
      <c r="B2211" s="334"/>
      <c r="C2211" s="332"/>
      <c r="D2211" s="334"/>
      <c r="E2211" s="335"/>
      <c r="F2211" s="334"/>
      <c r="G2211" s="332"/>
      <c r="H2211" s="332"/>
      <c r="I2211" s="334"/>
      <c r="J2211" s="336"/>
      <c r="K2211" s="332"/>
      <c r="L2211" s="332"/>
      <c r="M2211" s="76"/>
      <c r="N2211" s="103" t="str">
        <f>IF(A2211="","",VLOOKUP(A2211,Stand!C:K,9,0))</f>
        <v/>
      </c>
      <c r="O2211" s="104" t="str">
        <f t="shared" si="956"/>
        <v/>
      </c>
      <c r="P2211" s="105" t="str">
        <f t="shared" si="957"/>
        <v/>
      </c>
      <c r="Q2211" s="105" t="str">
        <f t="shared" si="972"/>
        <v/>
      </c>
      <c r="R2211" s="103" t="str">
        <f t="shared" si="958"/>
        <v/>
      </c>
      <c r="S2211" s="103" t="str">
        <f t="shared" si="959"/>
        <v/>
      </c>
      <c r="T2211" s="106" t="str">
        <f t="shared" si="973"/>
        <v/>
      </c>
      <c r="U2211" s="106" t="str">
        <f t="shared" si="974"/>
        <v/>
      </c>
      <c r="V2211" s="106" t="str">
        <f t="shared" si="975"/>
        <v/>
      </c>
      <c r="W2211" s="105" t="str">
        <f t="shared" si="960"/>
        <v/>
      </c>
      <c r="X2211" s="104" t="str">
        <f t="shared" si="965"/>
        <v/>
      </c>
      <c r="Y2211" s="104" t="str">
        <f t="array" ref="Y2211">IFERROR(IF(ISNUMBER(O2211),IF(COUNT(IF(A2211=$A$2:$A$2427,IF(D2211=$D$2:$D$2427,IF($X$2:$X$2427&gt;0,1))))&gt;0,SUM(IF(A2211=$A$2:$A$2427,IF(D2211=$D$2:$D$2427,$X$2:$X$2427)))/COUNT(IF(A2211=$A$2:$A$2427,IF(D2211=$D$2:$D$2427,IF(ISNUMBER($X$2:$X$2427),1)))),0),""),0)</f>
        <v/>
      </c>
      <c r="Z2211" s="104" t="str">
        <f>IF(ISNUMBER(O2211),IF(I2211&gt;0,(10^(VLOOKUP(D2211,'Species Codes'!B:C,2,0)+VLOOKUP(D2211,'Species Codes'!B:D,3,0)*LOG(E2211)+VLOOKUP(D2211,'Species Codes'!B:E,4,0)*LOG(I2211))),0),"")</f>
        <v/>
      </c>
      <c r="AA2211" s="104" t="str">
        <f>IFERROR((VLOOKUP(D2211,'Species Codes'!B:G,6,0)*Z2211)/2000,"")</f>
        <v/>
      </c>
      <c r="AB2211" s="104" t="e">
        <f>IF(Z2211&gt;0,((IF(OR(D2211="DF",D2211="RA")=TRUE,EXP(VLOOKUP(D2211,'Species Codes'!B:I,8,0)+VLOOKUP(D2211,'Species Codes'!B:J,9,0)*(LN((E2211*2.54)))),IF(OR(D2211="PY",D2211="RC",D2211="WH",D2211="NF")=TRUE,VLOOKUP(D2211,'Species Codes'!B:I,8,0)+VLOOKUP(D2211,'Species Codes'!B:J,9,0)*((E2211*2.54)^2)*(I2211*0.3048),IF(OR(D2211="MD",D2211="BM",D2211="GA")=TRUE,((VLOOKUP(D2211,'Species Codes'!B:I,8,0)*(((((E2211*2.54)+VLOOKUP(D2211,'Species Codes'!B:J,9,0))/VLOOKUP(D2211,'Species Codes'!B:K,10,0))^VLOOKUP(D2211,'Species Codes'!B:L,11,0))*((I2211*0.3048)^VLOOKUP(D2211,'Species Codes'!B:M,12,0))))-(VLOOKUP(D2211,'Species Codes'!B:I,8,0)*((((E2211*2.54)^VLOOKUP(D2211,'Species Codes'!B:L,11,0))*((I2211*0.3048)^VLOOKUP(D2211,'Species Codes'!B:M,12,0))))))*35.3*VLOOKUP(D2211,'Species Codes'!B:G,6,0)/2.2046,VLOOKUP(D2211,'Species Codes'!B:I,8,0)+VLOOKUP(D2211,'Species Codes'!B:J,9,0)*(((E2211*2.54)/100)^2)*(I2211*0.3048)))))*0.0011023),0)</f>
        <v>#N/A</v>
      </c>
      <c r="AC2211" s="104" t="e">
        <f>IF(Z2211&gt;0,((IF(OR(D2211="RA",D2211="OA",D2211="OT",D2211="UN",D2211="PC"),EXP(VLOOKUP(D2211,'Species Codes'!B:O,14,0)+VLOOKUP(D2211,'Species Codes'!B:P,15,0)*LN((E2211*2.54)))-EXP(VLOOKUP(D2211,'Species Codes'!B:O,14,0)+VLOOKUP(D2211,'Species Codes'!B:P,15,0)*LN((E2211*2.54)))*(1/(VLOOKUP(D2211,'Species Codes'!B:Q,16,0)+VLOOKUP(D2211,'Species Codes'!B:R,17,0)*((E2211*2.54)^VLOOKUP(D2211,'Species Codes'!B:S,18,0)))),IF(OR(D2211="BM",D2211="MD",D2211="OA"),EXP(VLOOKUP(D2211,'Species Codes'!B:O,14,0)+VLOOKUP(D2211,'Species Codes'!B:P,15,0)*LN((E2211*2.54)))*(1-(1/(VLOOKUP(D2211,'Species Codes'!B:Q,16,0)+VLOOKUP(D2211,'Species Codes'!B:R,17,0)*((E2211*2.54)^VLOOKUP(D2211,'Species Codes'!B:S,18,0)))))/1000,IF(D2211="DF",EXP(VLOOKUP(D2211,'Species Codes'!B:O,14,0)+VLOOKUP(D2211,'Species Codes'!B:P,15,0)*LN((E2211*2.54))),VLOOKUP(D2211,'Species Codes'!B:O,14,0)+VLOOKUP(D2211,'Species Codes'!B:P,15,0)*(((E2211*2.54)/100)^2)*(I2211*0.3048)))))*0.0011023),0)</f>
        <v>#N/A</v>
      </c>
      <c r="AD2211" s="104" t="e">
        <f t="shared" si="976"/>
        <v>#N/A</v>
      </c>
      <c r="AE2211" s="104" t="e">
        <f t="shared" si="977"/>
        <v>#N/A</v>
      </c>
      <c r="AF2211" s="104" t="e">
        <f>IF(AND(VLOOKUP($D2211,Merchantability!$B:$C,2,0)="Yes",$E2211&gt;=VLOOKUP($D2211,Merchantability!$B:$D,3,0),$E2211&lt;=VLOOKUP($D2211,Merchantability!$B:$E,4,0)),AA2211,0)</f>
        <v>#N/A</v>
      </c>
      <c r="AG2211" s="104" t="e">
        <f>IF(AND(VLOOKUP($D2211,Merchantability!$B:$C,2,0)="Yes",$E2211&gt;=VLOOKUP($D2211,Merchantability!$B:$D,3,0),$E2211&lt;=VLOOKUP($D2211,Merchantability!$B:$E,4,0)),AB2211,0)</f>
        <v>#N/A</v>
      </c>
      <c r="AH2211" s="104" t="e">
        <f>IF(AND(VLOOKUP($D2211,Merchantability!$B:$C,2,0)="Yes",$E2211&gt;=VLOOKUP($D2211,Merchantability!$B:$D,3,0),$E2211&lt;=VLOOKUP($D2211,Merchantability!$B:$E,4,0)),AC2211,0)</f>
        <v>#N/A</v>
      </c>
      <c r="AI2211" s="104" t="e">
        <f t="shared" si="978"/>
        <v>#N/A</v>
      </c>
      <c r="AJ2211" s="104" t="e">
        <f t="shared" si="979"/>
        <v>#VALUE!</v>
      </c>
      <c r="AK2211" s="104" t="e">
        <f t="shared" si="980"/>
        <v>#N/A</v>
      </c>
      <c r="AL2211" s="104" t="e">
        <f t="shared" si="981"/>
        <v>#N/A</v>
      </c>
      <c r="AM2211" s="104" t="e">
        <f t="shared" si="982"/>
        <v>#N/A</v>
      </c>
      <c r="AN2211" s="104" t="e">
        <f t="shared" si="966"/>
        <v>#N/A</v>
      </c>
      <c r="AO2211" s="104" t="e">
        <f t="shared" si="967"/>
        <v>#N/A</v>
      </c>
      <c r="AP2211" s="104" t="e">
        <f t="shared" si="968"/>
        <v>#N/A</v>
      </c>
      <c r="AQ2211" s="104" t="e">
        <f t="shared" si="969"/>
        <v>#N/A</v>
      </c>
      <c r="AR2211" s="105" t="str">
        <f t="shared" si="961"/>
        <v/>
      </c>
      <c r="AS2211" s="105" t="str">
        <f t="shared" si="962"/>
        <v/>
      </c>
      <c r="AT2211" s="108" t="str">
        <f t="shared" si="963"/>
        <v/>
      </c>
      <c r="AU2211" s="108" t="str">
        <f t="shared" si="964"/>
        <v/>
      </c>
      <c r="AV2211" s="107" t="str">
        <f>IF(ISNUMBER(O2211),IF(VLOOKUP($A2211,Stand!C:J,8,FALSE)="Short",AT2211,AU2211),"")</f>
        <v/>
      </c>
      <c r="AW2211" s="109" t="str">
        <f t="shared" si="970"/>
        <v/>
      </c>
      <c r="AX2211" s="109" t="str">
        <f t="shared" si="971"/>
        <v/>
      </c>
      <c r="AY2211" s="112" t="str">
        <f>IF(ISNUMBER(O2211),IF(AND(VLOOKUP($D2211,Merchantability!$B:$C,2,0)="Yes",$E2211&gt;=VLOOKUP($D2211,Merchantability!$B:$D,3,0),$E2211&lt;=VLOOKUP($D2211,Merchantability!$B:$E,4,0)),(AV2211*O2211)*(1-$H2211/100),""),"")</f>
        <v/>
      </c>
      <c r="AZ2211" s="116"/>
      <c r="BA2211" s="116"/>
      <c r="BB2211" s="116"/>
      <c r="BE2211" s="62"/>
      <c r="BF2211" s="63"/>
    </row>
    <row r="2212" spans="1:58" ht="12.75" customHeight="1" x14ac:dyDescent="0.25">
      <c r="A2212" s="334"/>
      <c r="B2212" s="334"/>
      <c r="C2212" s="332"/>
      <c r="D2212" s="334"/>
      <c r="E2212" s="335"/>
      <c r="F2212" s="334"/>
      <c r="G2212" s="332"/>
      <c r="H2212" s="332"/>
      <c r="I2212" s="334"/>
      <c r="J2212" s="336"/>
      <c r="K2212" s="332"/>
      <c r="L2212" s="332"/>
      <c r="M2212" s="76"/>
      <c r="N2212" s="103" t="str">
        <f>IF(A2212="","",VLOOKUP(A2212,Stand!C:K,9,0))</f>
        <v/>
      </c>
      <c r="O2212" s="104" t="str">
        <f t="shared" si="956"/>
        <v/>
      </c>
      <c r="P2212" s="105" t="str">
        <f t="shared" si="957"/>
        <v/>
      </c>
      <c r="Q2212" s="105" t="str">
        <f t="shared" si="972"/>
        <v/>
      </c>
      <c r="R2212" s="103" t="str">
        <f t="shared" si="958"/>
        <v/>
      </c>
      <c r="S2212" s="103" t="str">
        <f t="shared" si="959"/>
        <v/>
      </c>
      <c r="T2212" s="106" t="str">
        <f t="shared" si="973"/>
        <v/>
      </c>
      <c r="U2212" s="106" t="str">
        <f t="shared" si="974"/>
        <v/>
      </c>
      <c r="V2212" s="106" t="str">
        <f t="shared" si="975"/>
        <v/>
      </c>
      <c r="W2212" s="105" t="str">
        <f t="shared" si="960"/>
        <v/>
      </c>
      <c r="X2212" s="104" t="str">
        <f t="shared" si="965"/>
        <v/>
      </c>
      <c r="Y2212" s="104" t="str">
        <f t="array" ref="Y2212">IFERROR(IF(ISNUMBER(O2212),IF(COUNT(IF(A2212=$A$2:$A$2427,IF(D2212=$D$2:$D$2427,IF($X$2:$X$2427&gt;0,1))))&gt;0,SUM(IF(A2212=$A$2:$A$2427,IF(D2212=$D$2:$D$2427,$X$2:$X$2427)))/COUNT(IF(A2212=$A$2:$A$2427,IF(D2212=$D$2:$D$2427,IF(ISNUMBER($X$2:$X$2427),1)))),0),""),0)</f>
        <v/>
      </c>
      <c r="Z2212" s="104" t="str">
        <f>IF(ISNUMBER(O2212),IF(I2212&gt;0,(10^(VLOOKUP(D2212,'Species Codes'!B:C,2,0)+VLOOKUP(D2212,'Species Codes'!B:D,3,0)*LOG(E2212)+VLOOKUP(D2212,'Species Codes'!B:E,4,0)*LOG(I2212))),0),"")</f>
        <v/>
      </c>
      <c r="AA2212" s="104" t="str">
        <f>IFERROR((VLOOKUP(D2212,'Species Codes'!B:G,6,0)*Z2212)/2000,"")</f>
        <v/>
      </c>
      <c r="AB2212" s="104" t="e">
        <f>IF(Z2212&gt;0,((IF(OR(D2212="DF",D2212="RA")=TRUE,EXP(VLOOKUP(D2212,'Species Codes'!B:I,8,0)+VLOOKUP(D2212,'Species Codes'!B:J,9,0)*(LN((E2212*2.54)))),IF(OR(D2212="PY",D2212="RC",D2212="WH",D2212="NF")=TRUE,VLOOKUP(D2212,'Species Codes'!B:I,8,0)+VLOOKUP(D2212,'Species Codes'!B:J,9,0)*((E2212*2.54)^2)*(I2212*0.3048),IF(OR(D2212="MD",D2212="BM",D2212="GA")=TRUE,((VLOOKUP(D2212,'Species Codes'!B:I,8,0)*(((((E2212*2.54)+VLOOKUP(D2212,'Species Codes'!B:J,9,0))/VLOOKUP(D2212,'Species Codes'!B:K,10,0))^VLOOKUP(D2212,'Species Codes'!B:L,11,0))*((I2212*0.3048)^VLOOKUP(D2212,'Species Codes'!B:M,12,0))))-(VLOOKUP(D2212,'Species Codes'!B:I,8,0)*((((E2212*2.54)^VLOOKUP(D2212,'Species Codes'!B:L,11,0))*((I2212*0.3048)^VLOOKUP(D2212,'Species Codes'!B:M,12,0))))))*35.3*VLOOKUP(D2212,'Species Codes'!B:G,6,0)/2.2046,VLOOKUP(D2212,'Species Codes'!B:I,8,0)+VLOOKUP(D2212,'Species Codes'!B:J,9,0)*(((E2212*2.54)/100)^2)*(I2212*0.3048)))))*0.0011023),0)</f>
        <v>#N/A</v>
      </c>
      <c r="AC2212" s="104" t="e">
        <f>IF(Z2212&gt;0,((IF(OR(D2212="RA",D2212="OA",D2212="OT",D2212="UN",D2212="PC"),EXP(VLOOKUP(D2212,'Species Codes'!B:O,14,0)+VLOOKUP(D2212,'Species Codes'!B:P,15,0)*LN((E2212*2.54)))-EXP(VLOOKUP(D2212,'Species Codes'!B:O,14,0)+VLOOKUP(D2212,'Species Codes'!B:P,15,0)*LN((E2212*2.54)))*(1/(VLOOKUP(D2212,'Species Codes'!B:Q,16,0)+VLOOKUP(D2212,'Species Codes'!B:R,17,0)*((E2212*2.54)^VLOOKUP(D2212,'Species Codes'!B:S,18,0)))),IF(OR(D2212="BM",D2212="MD",D2212="OA"),EXP(VLOOKUP(D2212,'Species Codes'!B:O,14,0)+VLOOKUP(D2212,'Species Codes'!B:P,15,0)*LN((E2212*2.54)))*(1-(1/(VLOOKUP(D2212,'Species Codes'!B:Q,16,0)+VLOOKUP(D2212,'Species Codes'!B:R,17,0)*((E2212*2.54)^VLOOKUP(D2212,'Species Codes'!B:S,18,0)))))/1000,IF(D2212="DF",EXP(VLOOKUP(D2212,'Species Codes'!B:O,14,0)+VLOOKUP(D2212,'Species Codes'!B:P,15,0)*LN((E2212*2.54))),VLOOKUP(D2212,'Species Codes'!B:O,14,0)+VLOOKUP(D2212,'Species Codes'!B:P,15,0)*(((E2212*2.54)/100)^2)*(I2212*0.3048)))))*0.0011023),0)</f>
        <v>#N/A</v>
      </c>
      <c r="AD2212" s="104" t="e">
        <f t="shared" si="976"/>
        <v>#N/A</v>
      </c>
      <c r="AE2212" s="104" t="e">
        <f t="shared" si="977"/>
        <v>#N/A</v>
      </c>
      <c r="AF2212" s="104" t="e">
        <f>IF(AND(VLOOKUP($D2212,Merchantability!$B:$C,2,0)="Yes",$E2212&gt;=VLOOKUP($D2212,Merchantability!$B:$D,3,0),$E2212&lt;=VLOOKUP($D2212,Merchantability!$B:$E,4,0)),AA2212,0)</f>
        <v>#N/A</v>
      </c>
      <c r="AG2212" s="104" t="e">
        <f>IF(AND(VLOOKUP($D2212,Merchantability!$B:$C,2,0)="Yes",$E2212&gt;=VLOOKUP($D2212,Merchantability!$B:$D,3,0),$E2212&lt;=VLOOKUP($D2212,Merchantability!$B:$E,4,0)),AB2212,0)</f>
        <v>#N/A</v>
      </c>
      <c r="AH2212" s="104" t="e">
        <f>IF(AND(VLOOKUP($D2212,Merchantability!$B:$C,2,0)="Yes",$E2212&gt;=VLOOKUP($D2212,Merchantability!$B:$D,3,0),$E2212&lt;=VLOOKUP($D2212,Merchantability!$B:$E,4,0)),AC2212,0)</f>
        <v>#N/A</v>
      </c>
      <c r="AI2212" s="104" t="e">
        <f t="shared" si="978"/>
        <v>#N/A</v>
      </c>
      <c r="AJ2212" s="104" t="e">
        <f t="shared" si="979"/>
        <v>#VALUE!</v>
      </c>
      <c r="AK2212" s="104" t="e">
        <f t="shared" si="980"/>
        <v>#N/A</v>
      </c>
      <c r="AL2212" s="104" t="e">
        <f t="shared" si="981"/>
        <v>#N/A</v>
      </c>
      <c r="AM2212" s="104" t="e">
        <f t="shared" si="982"/>
        <v>#N/A</v>
      </c>
      <c r="AN2212" s="104" t="e">
        <f t="shared" si="966"/>
        <v>#N/A</v>
      </c>
      <c r="AO2212" s="104" t="e">
        <f t="shared" si="967"/>
        <v>#N/A</v>
      </c>
      <c r="AP2212" s="104" t="e">
        <f t="shared" si="968"/>
        <v>#N/A</v>
      </c>
      <c r="AQ2212" s="104" t="e">
        <f t="shared" si="969"/>
        <v>#N/A</v>
      </c>
      <c r="AR2212" s="105" t="str">
        <f t="shared" si="961"/>
        <v/>
      </c>
      <c r="AS2212" s="105" t="str">
        <f t="shared" si="962"/>
        <v/>
      </c>
      <c r="AT2212" s="108" t="str">
        <f t="shared" si="963"/>
        <v/>
      </c>
      <c r="AU2212" s="108" t="str">
        <f t="shared" si="964"/>
        <v/>
      </c>
      <c r="AV2212" s="107" t="str">
        <f>IF(ISNUMBER(O2212),IF(VLOOKUP($A2212,Stand!C:J,8,FALSE)="Short",AT2212,AU2212),"")</f>
        <v/>
      </c>
      <c r="AW2212" s="109" t="str">
        <f t="shared" si="970"/>
        <v/>
      </c>
      <c r="AX2212" s="109" t="str">
        <f t="shared" si="971"/>
        <v/>
      </c>
      <c r="AY2212" s="112" t="str">
        <f>IF(ISNUMBER(O2212),IF(AND(VLOOKUP($D2212,Merchantability!$B:$C,2,0)="Yes",$E2212&gt;=VLOOKUP($D2212,Merchantability!$B:$D,3,0),$E2212&lt;=VLOOKUP($D2212,Merchantability!$B:$E,4,0)),(AV2212*O2212)*(1-$H2212/100),""),"")</f>
        <v/>
      </c>
      <c r="AZ2212" s="116"/>
      <c r="BA2212" s="116"/>
      <c r="BB2212" s="116"/>
      <c r="BE2212" s="62"/>
      <c r="BF2212" s="63"/>
    </row>
    <row r="2213" spans="1:58" ht="12.75" customHeight="1" x14ac:dyDescent="0.25">
      <c r="A2213" s="334"/>
      <c r="B2213" s="334"/>
      <c r="C2213" s="332"/>
      <c r="D2213" s="334"/>
      <c r="E2213" s="335"/>
      <c r="F2213" s="334"/>
      <c r="G2213" s="332"/>
      <c r="H2213" s="332"/>
      <c r="I2213" s="334"/>
      <c r="J2213" s="336"/>
      <c r="K2213" s="332"/>
      <c r="L2213" s="332"/>
      <c r="M2213" s="76"/>
      <c r="N2213" s="103" t="str">
        <f>IF(A2213="","",VLOOKUP(A2213,Stand!C:K,9,0))</f>
        <v/>
      </c>
      <c r="O2213" s="104" t="str">
        <f t="shared" si="956"/>
        <v/>
      </c>
      <c r="P2213" s="105" t="str">
        <f t="shared" si="957"/>
        <v/>
      </c>
      <c r="Q2213" s="105" t="str">
        <f t="shared" si="972"/>
        <v/>
      </c>
      <c r="R2213" s="103" t="str">
        <f t="shared" si="958"/>
        <v/>
      </c>
      <c r="S2213" s="103" t="str">
        <f t="shared" si="959"/>
        <v/>
      </c>
      <c r="T2213" s="106" t="str">
        <f t="shared" si="973"/>
        <v/>
      </c>
      <c r="U2213" s="106" t="str">
        <f t="shared" si="974"/>
        <v/>
      </c>
      <c r="V2213" s="106" t="str">
        <f t="shared" si="975"/>
        <v/>
      </c>
      <c r="W2213" s="105" t="str">
        <f t="shared" si="960"/>
        <v/>
      </c>
      <c r="X2213" s="104" t="str">
        <f t="shared" si="965"/>
        <v/>
      </c>
      <c r="Y2213" s="104" t="str">
        <f t="array" ref="Y2213">IFERROR(IF(ISNUMBER(O2213),IF(COUNT(IF(A2213=$A$2:$A$2427,IF(D2213=$D$2:$D$2427,IF($X$2:$X$2427&gt;0,1))))&gt;0,SUM(IF(A2213=$A$2:$A$2427,IF(D2213=$D$2:$D$2427,$X$2:$X$2427)))/COUNT(IF(A2213=$A$2:$A$2427,IF(D2213=$D$2:$D$2427,IF(ISNUMBER($X$2:$X$2427),1)))),0),""),0)</f>
        <v/>
      </c>
      <c r="Z2213" s="104" t="str">
        <f>IF(ISNUMBER(O2213),IF(I2213&gt;0,(10^(VLOOKUP(D2213,'Species Codes'!B:C,2,0)+VLOOKUP(D2213,'Species Codes'!B:D,3,0)*LOG(E2213)+VLOOKUP(D2213,'Species Codes'!B:E,4,0)*LOG(I2213))),0),"")</f>
        <v/>
      </c>
      <c r="AA2213" s="104" t="str">
        <f>IFERROR((VLOOKUP(D2213,'Species Codes'!B:G,6,0)*Z2213)/2000,"")</f>
        <v/>
      </c>
      <c r="AB2213" s="104" t="e">
        <f>IF(Z2213&gt;0,((IF(OR(D2213="DF",D2213="RA")=TRUE,EXP(VLOOKUP(D2213,'Species Codes'!B:I,8,0)+VLOOKUP(D2213,'Species Codes'!B:J,9,0)*(LN((E2213*2.54)))),IF(OR(D2213="PY",D2213="RC",D2213="WH",D2213="NF")=TRUE,VLOOKUP(D2213,'Species Codes'!B:I,8,0)+VLOOKUP(D2213,'Species Codes'!B:J,9,0)*((E2213*2.54)^2)*(I2213*0.3048),IF(OR(D2213="MD",D2213="BM",D2213="GA")=TRUE,((VLOOKUP(D2213,'Species Codes'!B:I,8,0)*(((((E2213*2.54)+VLOOKUP(D2213,'Species Codes'!B:J,9,0))/VLOOKUP(D2213,'Species Codes'!B:K,10,0))^VLOOKUP(D2213,'Species Codes'!B:L,11,0))*((I2213*0.3048)^VLOOKUP(D2213,'Species Codes'!B:M,12,0))))-(VLOOKUP(D2213,'Species Codes'!B:I,8,0)*((((E2213*2.54)^VLOOKUP(D2213,'Species Codes'!B:L,11,0))*((I2213*0.3048)^VLOOKUP(D2213,'Species Codes'!B:M,12,0))))))*35.3*VLOOKUP(D2213,'Species Codes'!B:G,6,0)/2.2046,VLOOKUP(D2213,'Species Codes'!B:I,8,0)+VLOOKUP(D2213,'Species Codes'!B:J,9,0)*(((E2213*2.54)/100)^2)*(I2213*0.3048)))))*0.0011023),0)</f>
        <v>#N/A</v>
      </c>
      <c r="AC2213" s="104" t="e">
        <f>IF(Z2213&gt;0,((IF(OR(D2213="RA",D2213="OA",D2213="OT",D2213="UN",D2213="PC"),EXP(VLOOKUP(D2213,'Species Codes'!B:O,14,0)+VLOOKUP(D2213,'Species Codes'!B:P,15,0)*LN((E2213*2.54)))-EXP(VLOOKUP(D2213,'Species Codes'!B:O,14,0)+VLOOKUP(D2213,'Species Codes'!B:P,15,0)*LN((E2213*2.54)))*(1/(VLOOKUP(D2213,'Species Codes'!B:Q,16,0)+VLOOKUP(D2213,'Species Codes'!B:R,17,0)*((E2213*2.54)^VLOOKUP(D2213,'Species Codes'!B:S,18,0)))),IF(OR(D2213="BM",D2213="MD",D2213="OA"),EXP(VLOOKUP(D2213,'Species Codes'!B:O,14,0)+VLOOKUP(D2213,'Species Codes'!B:P,15,0)*LN((E2213*2.54)))*(1-(1/(VLOOKUP(D2213,'Species Codes'!B:Q,16,0)+VLOOKUP(D2213,'Species Codes'!B:R,17,0)*((E2213*2.54)^VLOOKUP(D2213,'Species Codes'!B:S,18,0)))))/1000,IF(D2213="DF",EXP(VLOOKUP(D2213,'Species Codes'!B:O,14,0)+VLOOKUP(D2213,'Species Codes'!B:P,15,0)*LN((E2213*2.54))),VLOOKUP(D2213,'Species Codes'!B:O,14,0)+VLOOKUP(D2213,'Species Codes'!B:P,15,0)*(((E2213*2.54)/100)^2)*(I2213*0.3048)))))*0.0011023),0)</f>
        <v>#N/A</v>
      </c>
      <c r="AD2213" s="104" t="e">
        <f t="shared" si="976"/>
        <v>#N/A</v>
      </c>
      <c r="AE2213" s="104" t="e">
        <f t="shared" si="977"/>
        <v>#N/A</v>
      </c>
      <c r="AF2213" s="104" t="e">
        <f>IF(AND(VLOOKUP($D2213,Merchantability!$B:$C,2,0)="Yes",$E2213&gt;=VLOOKUP($D2213,Merchantability!$B:$D,3,0),$E2213&lt;=VLOOKUP($D2213,Merchantability!$B:$E,4,0)),AA2213,0)</f>
        <v>#N/A</v>
      </c>
      <c r="AG2213" s="104" t="e">
        <f>IF(AND(VLOOKUP($D2213,Merchantability!$B:$C,2,0)="Yes",$E2213&gt;=VLOOKUP($D2213,Merchantability!$B:$D,3,0),$E2213&lt;=VLOOKUP($D2213,Merchantability!$B:$E,4,0)),AB2213,0)</f>
        <v>#N/A</v>
      </c>
      <c r="AH2213" s="104" t="e">
        <f>IF(AND(VLOOKUP($D2213,Merchantability!$B:$C,2,0)="Yes",$E2213&gt;=VLOOKUP($D2213,Merchantability!$B:$D,3,0),$E2213&lt;=VLOOKUP($D2213,Merchantability!$B:$E,4,0)),AC2213,0)</f>
        <v>#N/A</v>
      </c>
      <c r="AI2213" s="104" t="e">
        <f t="shared" si="978"/>
        <v>#N/A</v>
      </c>
      <c r="AJ2213" s="104" t="e">
        <f t="shared" si="979"/>
        <v>#VALUE!</v>
      </c>
      <c r="AK2213" s="104" t="e">
        <f t="shared" si="980"/>
        <v>#N/A</v>
      </c>
      <c r="AL2213" s="104" t="e">
        <f t="shared" si="981"/>
        <v>#N/A</v>
      </c>
      <c r="AM2213" s="104" t="e">
        <f t="shared" si="982"/>
        <v>#N/A</v>
      </c>
      <c r="AN2213" s="104" t="e">
        <f t="shared" si="966"/>
        <v>#N/A</v>
      </c>
      <c r="AO2213" s="104" t="e">
        <f t="shared" si="967"/>
        <v>#N/A</v>
      </c>
      <c r="AP2213" s="104" t="e">
        <f t="shared" si="968"/>
        <v>#N/A</v>
      </c>
      <c r="AQ2213" s="104" t="e">
        <f t="shared" si="969"/>
        <v>#N/A</v>
      </c>
      <c r="AR2213" s="105" t="str">
        <f t="shared" si="961"/>
        <v/>
      </c>
      <c r="AS2213" s="105" t="str">
        <f t="shared" si="962"/>
        <v/>
      </c>
      <c r="AT2213" s="108" t="str">
        <f t="shared" si="963"/>
        <v/>
      </c>
      <c r="AU2213" s="108" t="str">
        <f t="shared" si="964"/>
        <v/>
      </c>
      <c r="AV2213" s="107" t="str">
        <f>IF(ISNUMBER(O2213),IF(VLOOKUP($A2213,Stand!C:J,8,FALSE)="Short",AT2213,AU2213),"")</f>
        <v/>
      </c>
      <c r="AW2213" s="109" t="str">
        <f t="shared" si="970"/>
        <v/>
      </c>
      <c r="AX2213" s="109" t="str">
        <f t="shared" si="971"/>
        <v/>
      </c>
      <c r="AY2213" s="112" t="str">
        <f>IF(ISNUMBER(O2213),IF(AND(VLOOKUP($D2213,Merchantability!$B:$C,2,0)="Yes",$E2213&gt;=VLOOKUP($D2213,Merchantability!$B:$D,3,0),$E2213&lt;=VLOOKUP($D2213,Merchantability!$B:$E,4,0)),(AV2213*O2213)*(1-$H2213/100),""),"")</f>
        <v/>
      </c>
      <c r="AZ2213" s="116"/>
      <c r="BA2213" s="116"/>
      <c r="BB2213" s="116"/>
      <c r="BE2213" s="62"/>
      <c r="BF2213" s="63"/>
    </row>
    <row r="2214" spans="1:58" ht="12.75" customHeight="1" x14ac:dyDescent="0.25">
      <c r="A2214" s="334"/>
      <c r="B2214" s="334"/>
      <c r="C2214" s="332"/>
      <c r="D2214" s="334"/>
      <c r="E2214" s="335"/>
      <c r="F2214" s="334"/>
      <c r="G2214" s="332"/>
      <c r="H2214" s="332"/>
      <c r="I2214" s="334"/>
      <c r="J2214" s="336"/>
      <c r="K2214" s="332"/>
      <c r="L2214" s="332"/>
      <c r="M2214" s="76"/>
      <c r="N2214" s="103" t="str">
        <f>IF(A2214="","",VLOOKUP(A2214,Stand!C:K,9,0))</f>
        <v/>
      </c>
      <c r="O2214" s="104" t="str">
        <f t="shared" si="956"/>
        <v/>
      </c>
      <c r="P2214" s="105" t="str">
        <f t="shared" si="957"/>
        <v/>
      </c>
      <c r="Q2214" s="105" t="str">
        <f t="shared" si="972"/>
        <v/>
      </c>
      <c r="R2214" s="103" t="str">
        <f t="shared" si="958"/>
        <v/>
      </c>
      <c r="S2214" s="103" t="str">
        <f t="shared" si="959"/>
        <v/>
      </c>
      <c r="T2214" s="106" t="str">
        <f t="shared" si="973"/>
        <v/>
      </c>
      <c r="U2214" s="106" t="str">
        <f t="shared" si="974"/>
        <v/>
      </c>
      <c r="V2214" s="106" t="str">
        <f t="shared" si="975"/>
        <v/>
      </c>
      <c r="W2214" s="105" t="str">
        <f t="shared" si="960"/>
        <v/>
      </c>
      <c r="X2214" s="104" t="str">
        <f t="shared" si="965"/>
        <v/>
      </c>
      <c r="Y2214" s="104" t="str">
        <f t="array" ref="Y2214">IFERROR(IF(ISNUMBER(O2214),IF(COUNT(IF(A2214=$A$2:$A$2427,IF(D2214=$D$2:$D$2427,IF($X$2:$X$2427&gt;0,1))))&gt;0,SUM(IF(A2214=$A$2:$A$2427,IF(D2214=$D$2:$D$2427,$X$2:$X$2427)))/COUNT(IF(A2214=$A$2:$A$2427,IF(D2214=$D$2:$D$2427,IF(ISNUMBER($X$2:$X$2427),1)))),0),""),0)</f>
        <v/>
      </c>
      <c r="Z2214" s="104" t="str">
        <f>IF(ISNUMBER(O2214),IF(I2214&gt;0,(10^(VLOOKUP(D2214,'Species Codes'!B:C,2,0)+VLOOKUP(D2214,'Species Codes'!B:D,3,0)*LOG(E2214)+VLOOKUP(D2214,'Species Codes'!B:E,4,0)*LOG(I2214))),0),"")</f>
        <v/>
      </c>
      <c r="AA2214" s="104" t="str">
        <f>IFERROR((VLOOKUP(D2214,'Species Codes'!B:G,6,0)*Z2214)/2000,"")</f>
        <v/>
      </c>
      <c r="AB2214" s="104" t="e">
        <f>IF(Z2214&gt;0,((IF(OR(D2214="DF",D2214="RA")=TRUE,EXP(VLOOKUP(D2214,'Species Codes'!B:I,8,0)+VLOOKUP(D2214,'Species Codes'!B:J,9,0)*(LN((E2214*2.54)))),IF(OR(D2214="PY",D2214="RC",D2214="WH",D2214="NF")=TRUE,VLOOKUP(D2214,'Species Codes'!B:I,8,0)+VLOOKUP(D2214,'Species Codes'!B:J,9,0)*((E2214*2.54)^2)*(I2214*0.3048),IF(OR(D2214="MD",D2214="BM",D2214="GA")=TRUE,((VLOOKUP(D2214,'Species Codes'!B:I,8,0)*(((((E2214*2.54)+VLOOKUP(D2214,'Species Codes'!B:J,9,0))/VLOOKUP(D2214,'Species Codes'!B:K,10,0))^VLOOKUP(D2214,'Species Codes'!B:L,11,0))*((I2214*0.3048)^VLOOKUP(D2214,'Species Codes'!B:M,12,0))))-(VLOOKUP(D2214,'Species Codes'!B:I,8,0)*((((E2214*2.54)^VLOOKUP(D2214,'Species Codes'!B:L,11,0))*((I2214*0.3048)^VLOOKUP(D2214,'Species Codes'!B:M,12,0))))))*35.3*VLOOKUP(D2214,'Species Codes'!B:G,6,0)/2.2046,VLOOKUP(D2214,'Species Codes'!B:I,8,0)+VLOOKUP(D2214,'Species Codes'!B:J,9,0)*(((E2214*2.54)/100)^2)*(I2214*0.3048)))))*0.0011023),0)</f>
        <v>#N/A</v>
      </c>
      <c r="AC2214" s="104" t="e">
        <f>IF(Z2214&gt;0,((IF(OR(D2214="RA",D2214="OA",D2214="OT",D2214="UN",D2214="PC"),EXP(VLOOKUP(D2214,'Species Codes'!B:O,14,0)+VLOOKUP(D2214,'Species Codes'!B:P,15,0)*LN((E2214*2.54)))-EXP(VLOOKUP(D2214,'Species Codes'!B:O,14,0)+VLOOKUP(D2214,'Species Codes'!B:P,15,0)*LN((E2214*2.54)))*(1/(VLOOKUP(D2214,'Species Codes'!B:Q,16,0)+VLOOKUP(D2214,'Species Codes'!B:R,17,0)*((E2214*2.54)^VLOOKUP(D2214,'Species Codes'!B:S,18,0)))),IF(OR(D2214="BM",D2214="MD",D2214="OA"),EXP(VLOOKUP(D2214,'Species Codes'!B:O,14,0)+VLOOKUP(D2214,'Species Codes'!B:P,15,0)*LN((E2214*2.54)))*(1-(1/(VLOOKUP(D2214,'Species Codes'!B:Q,16,0)+VLOOKUP(D2214,'Species Codes'!B:R,17,0)*((E2214*2.54)^VLOOKUP(D2214,'Species Codes'!B:S,18,0)))))/1000,IF(D2214="DF",EXP(VLOOKUP(D2214,'Species Codes'!B:O,14,0)+VLOOKUP(D2214,'Species Codes'!B:P,15,0)*LN((E2214*2.54))),VLOOKUP(D2214,'Species Codes'!B:O,14,0)+VLOOKUP(D2214,'Species Codes'!B:P,15,0)*(((E2214*2.54)/100)^2)*(I2214*0.3048)))))*0.0011023),0)</f>
        <v>#N/A</v>
      </c>
      <c r="AD2214" s="104" t="e">
        <f t="shared" si="976"/>
        <v>#N/A</v>
      </c>
      <c r="AE2214" s="104" t="e">
        <f t="shared" si="977"/>
        <v>#N/A</v>
      </c>
      <c r="AF2214" s="104" t="e">
        <f>IF(AND(VLOOKUP($D2214,Merchantability!$B:$C,2,0)="Yes",$E2214&gt;=VLOOKUP($D2214,Merchantability!$B:$D,3,0),$E2214&lt;=VLOOKUP($D2214,Merchantability!$B:$E,4,0)),AA2214,0)</f>
        <v>#N/A</v>
      </c>
      <c r="AG2214" s="104" t="e">
        <f>IF(AND(VLOOKUP($D2214,Merchantability!$B:$C,2,0)="Yes",$E2214&gt;=VLOOKUP($D2214,Merchantability!$B:$D,3,0),$E2214&lt;=VLOOKUP($D2214,Merchantability!$B:$E,4,0)),AB2214,0)</f>
        <v>#N/A</v>
      </c>
      <c r="AH2214" s="104" t="e">
        <f>IF(AND(VLOOKUP($D2214,Merchantability!$B:$C,2,0)="Yes",$E2214&gt;=VLOOKUP($D2214,Merchantability!$B:$D,3,0),$E2214&lt;=VLOOKUP($D2214,Merchantability!$B:$E,4,0)),AC2214,0)</f>
        <v>#N/A</v>
      </c>
      <c r="AI2214" s="104" t="e">
        <f t="shared" si="978"/>
        <v>#N/A</v>
      </c>
      <c r="AJ2214" s="104" t="e">
        <f t="shared" si="979"/>
        <v>#VALUE!</v>
      </c>
      <c r="AK2214" s="104" t="e">
        <f t="shared" si="980"/>
        <v>#N/A</v>
      </c>
      <c r="AL2214" s="104" t="e">
        <f t="shared" si="981"/>
        <v>#N/A</v>
      </c>
      <c r="AM2214" s="104" t="e">
        <f t="shared" si="982"/>
        <v>#N/A</v>
      </c>
      <c r="AN2214" s="104" t="e">
        <f t="shared" si="966"/>
        <v>#N/A</v>
      </c>
      <c r="AO2214" s="104" t="e">
        <f t="shared" si="967"/>
        <v>#N/A</v>
      </c>
      <c r="AP2214" s="104" t="e">
        <f t="shared" si="968"/>
        <v>#N/A</v>
      </c>
      <c r="AQ2214" s="104" t="e">
        <f t="shared" si="969"/>
        <v>#N/A</v>
      </c>
      <c r="AR2214" s="105" t="str">
        <f t="shared" si="961"/>
        <v/>
      </c>
      <c r="AS2214" s="105" t="str">
        <f t="shared" si="962"/>
        <v/>
      </c>
      <c r="AT2214" s="108" t="str">
        <f t="shared" si="963"/>
        <v/>
      </c>
      <c r="AU2214" s="108" t="str">
        <f t="shared" si="964"/>
        <v/>
      </c>
      <c r="AV2214" s="107" t="str">
        <f>IF(ISNUMBER(O2214),IF(VLOOKUP($A2214,Stand!C:J,8,FALSE)="Short",AT2214,AU2214),"")</f>
        <v/>
      </c>
      <c r="AW2214" s="109" t="str">
        <f t="shared" si="970"/>
        <v/>
      </c>
      <c r="AX2214" s="109" t="str">
        <f t="shared" si="971"/>
        <v/>
      </c>
      <c r="AY2214" s="112" t="str">
        <f>IF(ISNUMBER(O2214),IF(AND(VLOOKUP($D2214,Merchantability!$B:$C,2,0)="Yes",$E2214&gt;=VLOOKUP($D2214,Merchantability!$B:$D,3,0),$E2214&lt;=VLOOKUP($D2214,Merchantability!$B:$E,4,0)),(AV2214*O2214)*(1-$H2214/100),""),"")</f>
        <v/>
      </c>
      <c r="AZ2214" s="116"/>
      <c r="BA2214" s="116"/>
      <c r="BB2214" s="116"/>
      <c r="BE2214" s="62"/>
      <c r="BF2214" s="63"/>
    </row>
    <row r="2215" spans="1:58" ht="12.75" customHeight="1" x14ac:dyDescent="0.25">
      <c r="A2215" s="334"/>
      <c r="B2215" s="334"/>
      <c r="C2215" s="332"/>
      <c r="D2215" s="334"/>
      <c r="E2215" s="335"/>
      <c r="F2215" s="334"/>
      <c r="G2215" s="332"/>
      <c r="H2215" s="332"/>
      <c r="I2215" s="334"/>
      <c r="J2215" s="336"/>
      <c r="K2215" s="332"/>
      <c r="L2215" s="332"/>
      <c r="M2215" s="76"/>
      <c r="N2215" s="103" t="str">
        <f>IF(A2215="","",VLOOKUP(A2215,Stand!C:K,9,0))</f>
        <v/>
      </c>
      <c r="O2215" s="104" t="str">
        <f t="shared" si="956"/>
        <v/>
      </c>
      <c r="P2215" s="105" t="str">
        <f t="shared" si="957"/>
        <v/>
      </c>
      <c r="Q2215" s="105" t="str">
        <f t="shared" si="972"/>
        <v/>
      </c>
      <c r="R2215" s="103" t="str">
        <f t="shared" si="958"/>
        <v/>
      </c>
      <c r="S2215" s="103" t="str">
        <f t="shared" si="959"/>
        <v/>
      </c>
      <c r="T2215" s="106" t="str">
        <f t="shared" si="973"/>
        <v/>
      </c>
      <c r="U2215" s="106" t="str">
        <f t="shared" si="974"/>
        <v/>
      </c>
      <c r="V2215" s="106" t="str">
        <f t="shared" si="975"/>
        <v/>
      </c>
      <c r="W2215" s="105" t="str">
        <f t="shared" si="960"/>
        <v/>
      </c>
      <c r="X2215" s="104" t="str">
        <f t="shared" si="965"/>
        <v/>
      </c>
      <c r="Y2215" s="104" t="str">
        <f t="array" ref="Y2215">IFERROR(IF(ISNUMBER(O2215),IF(COUNT(IF(A2215=$A$2:$A$2427,IF(D2215=$D$2:$D$2427,IF($X$2:$X$2427&gt;0,1))))&gt;0,SUM(IF(A2215=$A$2:$A$2427,IF(D2215=$D$2:$D$2427,$X$2:$X$2427)))/COUNT(IF(A2215=$A$2:$A$2427,IF(D2215=$D$2:$D$2427,IF(ISNUMBER($X$2:$X$2427),1)))),0),""),0)</f>
        <v/>
      </c>
      <c r="Z2215" s="104" t="str">
        <f>IF(ISNUMBER(O2215),IF(I2215&gt;0,(10^(VLOOKUP(D2215,'Species Codes'!B:C,2,0)+VLOOKUP(D2215,'Species Codes'!B:D,3,0)*LOG(E2215)+VLOOKUP(D2215,'Species Codes'!B:E,4,0)*LOG(I2215))),0),"")</f>
        <v/>
      </c>
      <c r="AA2215" s="104" t="str">
        <f>IFERROR((VLOOKUP(D2215,'Species Codes'!B:G,6,0)*Z2215)/2000,"")</f>
        <v/>
      </c>
      <c r="AB2215" s="104" t="e">
        <f>IF(Z2215&gt;0,((IF(OR(D2215="DF",D2215="RA")=TRUE,EXP(VLOOKUP(D2215,'Species Codes'!B:I,8,0)+VLOOKUP(D2215,'Species Codes'!B:J,9,0)*(LN((E2215*2.54)))),IF(OR(D2215="PY",D2215="RC",D2215="WH",D2215="NF")=TRUE,VLOOKUP(D2215,'Species Codes'!B:I,8,0)+VLOOKUP(D2215,'Species Codes'!B:J,9,0)*((E2215*2.54)^2)*(I2215*0.3048),IF(OR(D2215="MD",D2215="BM",D2215="GA")=TRUE,((VLOOKUP(D2215,'Species Codes'!B:I,8,0)*(((((E2215*2.54)+VLOOKUP(D2215,'Species Codes'!B:J,9,0))/VLOOKUP(D2215,'Species Codes'!B:K,10,0))^VLOOKUP(D2215,'Species Codes'!B:L,11,0))*((I2215*0.3048)^VLOOKUP(D2215,'Species Codes'!B:M,12,0))))-(VLOOKUP(D2215,'Species Codes'!B:I,8,0)*((((E2215*2.54)^VLOOKUP(D2215,'Species Codes'!B:L,11,0))*((I2215*0.3048)^VLOOKUP(D2215,'Species Codes'!B:M,12,0))))))*35.3*VLOOKUP(D2215,'Species Codes'!B:G,6,0)/2.2046,VLOOKUP(D2215,'Species Codes'!B:I,8,0)+VLOOKUP(D2215,'Species Codes'!B:J,9,0)*(((E2215*2.54)/100)^2)*(I2215*0.3048)))))*0.0011023),0)</f>
        <v>#N/A</v>
      </c>
      <c r="AC2215" s="104" t="e">
        <f>IF(Z2215&gt;0,((IF(OR(D2215="RA",D2215="OA",D2215="OT",D2215="UN",D2215="PC"),EXP(VLOOKUP(D2215,'Species Codes'!B:O,14,0)+VLOOKUP(D2215,'Species Codes'!B:P,15,0)*LN((E2215*2.54)))-EXP(VLOOKUP(D2215,'Species Codes'!B:O,14,0)+VLOOKUP(D2215,'Species Codes'!B:P,15,0)*LN((E2215*2.54)))*(1/(VLOOKUP(D2215,'Species Codes'!B:Q,16,0)+VLOOKUP(D2215,'Species Codes'!B:R,17,0)*((E2215*2.54)^VLOOKUP(D2215,'Species Codes'!B:S,18,0)))),IF(OR(D2215="BM",D2215="MD",D2215="OA"),EXP(VLOOKUP(D2215,'Species Codes'!B:O,14,0)+VLOOKUP(D2215,'Species Codes'!B:P,15,0)*LN((E2215*2.54)))*(1-(1/(VLOOKUP(D2215,'Species Codes'!B:Q,16,0)+VLOOKUP(D2215,'Species Codes'!B:R,17,0)*((E2215*2.54)^VLOOKUP(D2215,'Species Codes'!B:S,18,0)))))/1000,IF(D2215="DF",EXP(VLOOKUP(D2215,'Species Codes'!B:O,14,0)+VLOOKUP(D2215,'Species Codes'!B:P,15,0)*LN((E2215*2.54))),VLOOKUP(D2215,'Species Codes'!B:O,14,0)+VLOOKUP(D2215,'Species Codes'!B:P,15,0)*(((E2215*2.54)/100)^2)*(I2215*0.3048)))))*0.0011023),0)</f>
        <v>#N/A</v>
      </c>
      <c r="AD2215" s="104" t="e">
        <f t="shared" si="976"/>
        <v>#N/A</v>
      </c>
      <c r="AE2215" s="104" t="e">
        <f t="shared" si="977"/>
        <v>#N/A</v>
      </c>
      <c r="AF2215" s="104" t="e">
        <f>IF(AND(VLOOKUP($D2215,Merchantability!$B:$C,2,0)="Yes",$E2215&gt;=VLOOKUP($D2215,Merchantability!$B:$D,3,0),$E2215&lt;=VLOOKUP($D2215,Merchantability!$B:$E,4,0)),AA2215,0)</f>
        <v>#N/A</v>
      </c>
      <c r="AG2215" s="104" t="e">
        <f>IF(AND(VLOOKUP($D2215,Merchantability!$B:$C,2,0)="Yes",$E2215&gt;=VLOOKUP($D2215,Merchantability!$B:$D,3,0),$E2215&lt;=VLOOKUP($D2215,Merchantability!$B:$E,4,0)),AB2215,0)</f>
        <v>#N/A</v>
      </c>
      <c r="AH2215" s="104" t="e">
        <f>IF(AND(VLOOKUP($D2215,Merchantability!$B:$C,2,0)="Yes",$E2215&gt;=VLOOKUP($D2215,Merchantability!$B:$D,3,0),$E2215&lt;=VLOOKUP($D2215,Merchantability!$B:$E,4,0)),AC2215,0)</f>
        <v>#N/A</v>
      </c>
      <c r="AI2215" s="104" t="e">
        <f t="shared" si="978"/>
        <v>#N/A</v>
      </c>
      <c r="AJ2215" s="104" t="e">
        <f t="shared" si="979"/>
        <v>#VALUE!</v>
      </c>
      <c r="AK2215" s="104" t="e">
        <f t="shared" si="980"/>
        <v>#N/A</v>
      </c>
      <c r="AL2215" s="104" t="e">
        <f t="shared" si="981"/>
        <v>#N/A</v>
      </c>
      <c r="AM2215" s="104" t="e">
        <f t="shared" si="982"/>
        <v>#N/A</v>
      </c>
      <c r="AN2215" s="104" t="e">
        <f t="shared" si="966"/>
        <v>#N/A</v>
      </c>
      <c r="AO2215" s="104" t="e">
        <f t="shared" si="967"/>
        <v>#N/A</v>
      </c>
      <c r="AP2215" s="104" t="e">
        <f t="shared" si="968"/>
        <v>#N/A</v>
      </c>
      <c r="AQ2215" s="104" t="e">
        <f t="shared" si="969"/>
        <v>#N/A</v>
      </c>
      <c r="AR2215" s="105" t="str">
        <f t="shared" si="961"/>
        <v/>
      </c>
      <c r="AS2215" s="105" t="str">
        <f t="shared" si="962"/>
        <v/>
      </c>
      <c r="AT2215" s="108" t="str">
        <f t="shared" si="963"/>
        <v/>
      </c>
      <c r="AU2215" s="108" t="str">
        <f t="shared" si="964"/>
        <v/>
      </c>
      <c r="AV2215" s="107" t="str">
        <f>IF(ISNUMBER(O2215),IF(VLOOKUP($A2215,Stand!C:J,8,FALSE)="Short",AT2215,AU2215),"")</f>
        <v/>
      </c>
      <c r="AW2215" s="109" t="str">
        <f t="shared" si="970"/>
        <v/>
      </c>
      <c r="AX2215" s="109" t="str">
        <f t="shared" si="971"/>
        <v/>
      </c>
      <c r="AY2215" s="112" t="str">
        <f>IF(ISNUMBER(O2215),IF(AND(VLOOKUP($D2215,Merchantability!$B:$C,2,0)="Yes",$E2215&gt;=VLOOKUP($D2215,Merchantability!$B:$D,3,0),$E2215&lt;=VLOOKUP($D2215,Merchantability!$B:$E,4,0)),(AV2215*O2215)*(1-$H2215/100),""),"")</f>
        <v/>
      </c>
      <c r="AZ2215" s="116"/>
      <c r="BA2215" s="116"/>
      <c r="BB2215" s="116"/>
      <c r="BE2215" s="62"/>
      <c r="BF2215" s="63"/>
    </row>
    <row r="2216" spans="1:58" ht="12.75" customHeight="1" x14ac:dyDescent="0.25">
      <c r="A2216" s="334"/>
      <c r="B2216" s="334"/>
      <c r="C2216" s="332"/>
      <c r="D2216" s="334"/>
      <c r="E2216" s="335"/>
      <c r="F2216" s="334"/>
      <c r="G2216" s="332"/>
      <c r="H2216" s="332"/>
      <c r="I2216" s="334"/>
      <c r="J2216" s="336"/>
      <c r="K2216" s="332"/>
      <c r="L2216" s="332"/>
      <c r="M2216" s="76"/>
      <c r="N2216" s="103" t="str">
        <f>IF(A2216="","",VLOOKUP(A2216,Stand!C:K,9,0))</f>
        <v/>
      </c>
      <c r="O2216" s="104" t="str">
        <f t="shared" si="956"/>
        <v/>
      </c>
      <c r="P2216" s="105" t="str">
        <f t="shared" si="957"/>
        <v/>
      </c>
      <c r="Q2216" s="105" t="str">
        <f t="shared" si="972"/>
        <v/>
      </c>
      <c r="R2216" s="103" t="str">
        <f t="shared" si="958"/>
        <v/>
      </c>
      <c r="S2216" s="103" t="str">
        <f t="shared" si="959"/>
        <v/>
      </c>
      <c r="T2216" s="106" t="str">
        <f t="shared" si="973"/>
        <v/>
      </c>
      <c r="U2216" s="106" t="str">
        <f t="shared" si="974"/>
        <v/>
      </c>
      <c r="V2216" s="106" t="str">
        <f t="shared" si="975"/>
        <v/>
      </c>
      <c r="W2216" s="105" t="str">
        <f t="shared" si="960"/>
        <v/>
      </c>
      <c r="X2216" s="104" t="str">
        <f t="shared" si="965"/>
        <v/>
      </c>
      <c r="Y2216" s="104" t="str">
        <f t="array" ref="Y2216">IFERROR(IF(ISNUMBER(O2216),IF(COUNT(IF(A2216=$A$2:$A$2427,IF(D2216=$D$2:$D$2427,IF($X$2:$X$2427&gt;0,1))))&gt;0,SUM(IF(A2216=$A$2:$A$2427,IF(D2216=$D$2:$D$2427,$X$2:$X$2427)))/COUNT(IF(A2216=$A$2:$A$2427,IF(D2216=$D$2:$D$2427,IF(ISNUMBER($X$2:$X$2427),1)))),0),""),0)</f>
        <v/>
      </c>
      <c r="Z2216" s="104" t="str">
        <f>IF(ISNUMBER(O2216),IF(I2216&gt;0,(10^(VLOOKUP(D2216,'Species Codes'!B:C,2,0)+VLOOKUP(D2216,'Species Codes'!B:D,3,0)*LOG(E2216)+VLOOKUP(D2216,'Species Codes'!B:E,4,0)*LOG(I2216))),0),"")</f>
        <v/>
      </c>
      <c r="AA2216" s="104" t="str">
        <f>IFERROR((VLOOKUP(D2216,'Species Codes'!B:G,6,0)*Z2216)/2000,"")</f>
        <v/>
      </c>
      <c r="AB2216" s="104" t="e">
        <f>IF(Z2216&gt;0,((IF(OR(D2216="DF",D2216="RA")=TRUE,EXP(VLOOKUP(D2216,'Species Codes'!B:I,8,0)+VLOOKUP(D2216,'Species Codes'!B:J,9,0)*(LN((E2216*2.54)))),IF(OR(D2216="PY",D2216="RC",D2216="WH",D2216="NF")=TRUE,VLOOKUP(D2216,'Species Codes'!B:I,8,0)+VLOOKUP(D2216,'Species Codes'!B:J,9,0)*((E2216*2.54)^2)*(I2216*0.3048),IF(OR(D2216="MD",D2216="BM",D2216="GA")=TRUE,((VLOOKUP(D2216,'Species Codes'!B:I,8,0)*(((((E2216*2.54)+VLOOKUP(D2216,'Species Codes'!B:J,9,0))/VLOOKUP(D2216,'Species Codes'!B:K,10,0))^VLOOKUP(D2216,'Species Codes'!B:L,11,0))*((I2216*0.3048)^VLOOKUP(D2216,'Species Codes'!B:M,12,0))))-(VLOOKUP(D2216,'Species Codes'!B:I,8,0)*((((E2216*2.54)^VLOOKUP(D2216,'Species Codes'!B:L,11,0))*((I2216*0.3048)^VLOOKUP(D2216,'Species Codes'!B:M,12,0))))))*35.3*VLOOKUP(D2216,'Species Codes'!B:G,6,0)/2.2046,VLOOKUP(D2216,'Species Codes'!B:I,8,0)+VLOOKUP(D2216,'Species Codes'!B:J,9,0)*(((E2216*2.54)/100)^2)*(I2216*0.3048)))))*0.0011023),0)</f>
        <v>#N/A</v>
      </c>
      <c r="AC2216" s="104" t="e">
        <f>IF(Z2216&gt;0,((IF(OR(D2216="RA",D2216="OA",D2216="OT",D2216="UN",D2216="PC"),EXP(VLOOKUP(D2216,'Species Codes'!B:O,14,0)+VLOOKUP(D2216,'Species Codes'!B:P,15,0)*LN((E2216*2.54)))-EXP(VLOOKUP(D2216,'Species Codes'!B:O,14,0)+VLOOKUP(D2216,'Species Codes'!B:P,15,0)*LN((E2216*2.54)))*(1/(VLOOKUP(D2216,'Species Codes'!B:Q,16,0)+VLOOKUP(D2216,'Species Codes'!B:R,17,0)*((E2216*2.54)^VLOOKUP(D2216,'Species Codes'!B:S,18,0)))),IF(OR(D2216="BM",D2216="MD",D2216="OA"),EXP(VLOOKUP(D2216,'Species Codes'!B:O,14,0)+VLOOKUP(D2216,'Species Codes'!B:P,15,0)*LN((E2216*2.54)))*(1-(1/(VLOOKUP(D2216,'Species Codes'!B:Q,16,0)+VLOOKUP(D2216,'Species Codes'!B:R,17,0)*((E2216*2.54)^VLOOKUP(D2216,'Species Codes'!B:S,18,0)))))/1000,IF(D2216="DF",EXP(VLOOKUP(D2216,'Species Codes'!B:O,14,0)+VLOOKUP(D2216,'Species Codes'!B:P,15,0)*LN((E2216*2.54))),VLOOKUP(D2216,'Species Codes'!B:O,14,0)+VLOOKUP(D2216,'Species Codes'!B:P,15,0)*(((E2216*2.54)/100)^2)*(I2216*0.3048)))))*0.0011023),0)</f>
        <v>#N/A</v>
      </c>
      <c r="AD2216" s="104" t="e">
        <f t="shared" si="976"/>
        <v>#N/A</v>
      </c>
      <c r="AE2216" s="104" t="e">
        <f t="shared" si="977"/>
        <v>#N/A</v>
      </c>
      <c r="AF2216" s="104" t="e">
        <f>IF(AND(VLOOKUP($D2216,Merchantability!$B:$C,2,0)="Yes",$E2216&gt;=VLOOKUP($D2216,Merchantability!$B:$D,3,0),$E2216&lt;=VLOOKUP($D2216,Merchantability!$B:$E,4,0)),AA2216,0)</f>
        <v>#N/A</v>
      </c>
      <c r="AG2216" s="104" t="e">
        <f>IF(AND(VLOOKUP($D2216,Merchantability!$B:$C,2,0)="Yes",$E2216&gt;=VLOOKUP($D2216,Merchantability!$B:$D,3,0),$E2216&lt;=VLOOKUP($D2216,Merchantability!$B:$E,4,0)),AB2216,0)</f>
        <v>#N/A</v>
      </c>
      <c r="AH2216" s="104" t="e">
        <f>IF(AND(VLOOKUP($D2216,Merchantability!$B:$C,2,0)="Yes",$E2216&gt;=VLOOKUP($D2216,Merchantability!$B:$D,3,0),$E2216&lt;=VLOOKUP($D2216,Merchantability!$B:$E,4,0)),AC2216,0)</f>
        <v>#N/A</v>
      </c>
      <c r="AI2216" s="104" t="e">
        <f t="shared" si="978"/>
        <v>#N/A</v>
      </c>
      <c r="AJ2216" s="104" t="e">
        <f t="shared" si="979"/>
        <v>#VALUE!</v>
      </c>
      <c r="AK2216" s="104" t="e">
        <f t="shared" si="980"/>
        <v>#N/A</v>
      </c>
      <c r="AL2216" s="104" t="e">
        <f t="shared" si="981"/>
        <v>#N/A</v>
      </c>
      <c r="AM2216" s="104" t="e">
        <f t="shared" si="982"/>
        <v>#N/A</v>
      </c>
      <c r="AN2216" s="104" t="e">
        <f t="shared" si="966"/>
        <v>#N/A</v>
      </c>
      <c r="AO2216" s="104" t="e">
        <f t="shared" si="967"/>
        <v>#N/A</v>
      </c>
      <c r="AP2216" s="104" t="e">
        <f t="shared" si="968"/>
        <v>#N/A</v>
      </c>
      <c r="AQ2216" s="104" t="e">
        <f t="shared" si="969"/>
        <v>#N/A</v>
      </c>
      <c r="AR2216" s="105" t="str">
        <f t="shared" si="961"/>
        <v/>
      </c>
      <c r="AS2216" s="105" t="str">
        <f t="shared" si="962"/>
        <v/>
      </c>
      <c r="AT2216" s="108" t="str">
        <f t="shared" si="963"/>
        <v/>
      </c>
      <c r="AU2216" s="108" t="str">
        <f t="shared" si="964"/>
        <v/>
      </c>
      <c r="AV2216" s="107" t="str">
        <f>IF(ISNUMBER(O2216),IF(VLOOKUP($A2216,Stand!C:J,8,FALSE)="Short",AT2216,AU2216),"")</f>
        <v/>
      </c>
      <c r="AW2216" s="109" t="str">
        <f t="shared" si="970"/>
        <v/>
      </c>
      <c r="AX2216" s="109" t="str">
        <f t="shared" si="971"/>
        <v/>
      </c>
      <c r="AY2216" s="112" t="str">
        <f>IF(ISNUMBER(O2216),IF(AND(VLOOKUP($D2216,Merchantability!$B:$C,2,0)="Yes",$E2216&gt;=VLOOKUP($D2216,Merchantability!$B:$D,3,0),$E2216&lt;=VLOOKUP($D2216,Merchantability!$B:$E,4,0)),(AV2216*O2216)*(1-$H2216/100),""),"")</f>
        <v/>
      </c>
      <c r="AZ2216" s="116"/>
      <c r="BA2216" s="116"/>
      <c r="BB2216" s="116"/>
      <c r="BE2216" s="62"/>
      <c r="BF2216" s="63"/>
    </row>
    <row r="2217" spans="1:58" ht="12.75" customHeight="1" x14ac:dyDescent="0.25">
      <c r="A2217" s="334"/>
      <c r="B2217" s="334"/>
      <c r="C2217" s="332"/>
      <c r="D2217" s="334"/>
      <c r="E2217" s="335"/>
      <c r="F2217" s="334"/>
      <c r="G2217" s="332"/>
      <c r="H2217" s="332"/>
      <c r="I2217" s="334"/>
      <c r="J2217" s="336"/>
      <c r="K2217" s="332"/>
      <c r="L2217" s="332"/>
      <c r="M2217" s="76"/>
      <c r="N2217" s="103" t="str">
        <f>IF(A2217="","",VLOOKUP(A2217,Stand!C:K,9,0))</f>
        <v/>
      </c>
      <c r="O2217" s="104" t="str">
        <f t="shared" si="956"/>
        <v/>
      </c>
      <c r="P2217" s="105" t="str">
        <f t="shared" si="957"/>
        <v/>
      </c>
      <c r="Q2217" s="105" t="str">
        <f t="shared" si="972"/>
        <v/>
      </c>
      <c r="R2217" s="103" t="str">
        <f t="shared" si="958"/>
        <v/>
      </c>
      <c r="S2217" s="103" t="str">
        <f t="shared" si="959"/>
        <v/>
      </c>
      <c r="T2217" s="106" t="str">
        <f t="shared" si="973"/>
        <v/>
      </c>
      <c r="U2217" s="106" t="str">
        <f t="shared" si="974"/>
        <v/>
      </c>
      <c r="V2217" s="106" t="str">
        <f t="shared" si="975"/>
        <v/>
      </c>
      <c r="W2217" s="105" t="str">
        <f t="shared" si="960"/>
        <v/>
      </c>
      <c r="X2217" s="104" t="str">
        <f t="shared" si="965"/>
        <v/>
      </c>
      <c r="Y2217" s="104" t="str">
        <f t="array" ref="Y2217">IFERROR(IF(ISNUMBER(O2217),IF(COUNT(IF(A2217=$A$2:$A$2427,IF(D2217=$D$2:$D$2427,IF($X$2:$X$2427&gt;0,1))))&gt;0,SUM(IF(A2217=$A$2:$A$2427,IF(D2217=$D$2:$D$2427,$X$2:$X$2427)))/COUNT(IF(A2217=$A$2:$A$2427,IF(D2217=$D$2:$D$2427,IF(ISNUMBER($X$2:$X$2427),1)))),0),""),0)</f>
        <v/>
      </c>
      <c r="Z2217" s="104" t="str">
        <f>IF(ISNUMBER(O2217),IF(I2217&gt;0,(10^(VLOOKUP(D2217,'Species Codes'!B:C,2,0)+VLOOKUP(D2217,'Species Codes'!B:D,3,0)*LOG(E2217)+VLOOKUP(D2217,'Species Codes'!B:E,4,0)*LOG(I2217))),0),"")</f>
        <v/>
      </c>
      <c r="AA2217" s="104" t="str">
        <f>IFERROR((VLOOKUP(D2217,'Species Codes'!B:G,6,0)*Z2217)/2000,"")</f>
        <v/>
      </c>
      <c r="AB2217" s="104" t="e">
        <f>IF(Z2217&gt;0,((IF(OR(D2217="DF",D2217="RA")=TRUE,EXP(VLOOKUP(D2217,'Species Codes'!B:I,8,0)+VLOOKUP(D2217,'Species Codes'!B:J,9,0)*(LN((E2217*2.54)))),IF(OR(D2217="PY",D2217="RC",D2217="WH",D2217="NF")=TRUE,VLOOKUP(D2217,'Species Codes'!B:I,8,0)+VLOOKUP(D2217,'Species Codes'!B:J,9,0)*((E2217*2.54)^2)*(I2217*0.3048),IF(OR(D2217="MD",D2217="BM",D2217="GA")=TRUE,((VLOOKUP(D2217,'Species Codes'!B:I,8,0)*(((((E2217*2.54)+VLOOKUP(D2217,'Species Codes'!B:J,9,0))/VLOOKUP(D2217,'Species Codes'!B:K,10,0))^VLOOKUP(D2217,'Species Codes'!B:L,11,0))*((I2217*0.3048)^VLOOKUP(D2217,'Species Codes'!B:M,12,0))))-(VLOOKUP(D2217,'Species Codes'!B:I,8,0)*((((E2217*2.54)^VLOOKUP(D2217,'Species Codes'!B:L,11,0))*((I2217*0.3048)^VLOOKUP(D2217,'Species Codes'!B:M,12,0))))))*35.3*VLOOKUP(D2217,'Species Codes'!B:G,6,0)/2.2046,VLOOKUP(D2217,'Species Codes'!B:I,8,0)+VLOOKUP(D2217,'Species Codes'!B:J,9,0)*(((E2217*2.54)/100)^2)*(I2217*0.3048)))))*0.0011023),0)</f>
        <v>#N/A</v>
      </c>
      <c r="AC2217" s="104" t="e">
        <f>IF(Z2217&gt;0,((IF(OR(D2217="RA",D2217="OA",D2217="OT",D2217="UN",D2217="PC"),EXP(VLOOKUP(D2217,'Species Codes'!B:O,14,0)+VLOOKUP(D2217,'Species Codes'!B:P,15,0)*LN((E2217*2.54)))-EXP(VLOOKUP(D2217,'Species Codes'!B:O,14,0)+VLOOKUP(D2217,'Species Codes'!B:P,15,0)*LN((E2217*2.54)))*(1/(VLOOKUP(D2217,'Species Codes'!B:Q,16,0)+VLOOKUP(D2217,'Species Codes'!B:R,17,0)*((E2217*2.54)^VLOOKUP(D2217,'Species Codes'!B:S,18,0)))),IF(OR(D2217="BM",D2217="MD",D2217="OA"),EXP(VLOOKUP(D2217,'Species Codes'!B:O,14,0)+VLOOKUP(D2217,'Species Codes'!B:P,15,0)*LN((E2217*2.54)))*(1-(1/(VLOOKUP(D2217,'Species Codes'!B:Q,16,0)+VLOOKUP(D2217,'Species Codes'!B:R,17,0)*((E2217*2.54)^VLOOKUP(D2217,'Species Codes'!B:S,18,0)))))/1000,IF(D2217="DF",EXP(VLOOKUP(D2217,'Species Codes'!B:O,14,0)+VLOOKUP(D2217,'Species Codes'!B:P,15,0)*LN((E2217*2.54))),VLOOKUP(D2217,'Species Codes'!B:O,14,0)+VLOOKUP(D2217,'Species Codes'!B:P,15,0)*(((E2217*2.54)/100)^2)*(I2217*0.3048)))))*0.0011023),0)</f>
        <v>#N/A</v>
      </c>
      <c r="AD2217" s="104" t="e">
        <f t="shared" si="976"/>
        <v>#N/A</v>
      </c>
      <c r="AE2217" s="104" t="e">
        <f t="shared" si="977"/>
        <v>#N/A</v>
      </c>
      <c r="AF2217" s="104" t="e">
        <f>IF(AND(VLOOKUP($D2217,Merchantability!$B:$C,2,0)="Yes",$E2217&gt;=VLOOKUP($D2217,Merchantability!$B:$D,3,0),$E2217&lt;=VLOOKUP($D2217,Merchantability!$B:$E,4,0)),AA2217,0)</f>
        <v>#N/A</v>
      </c>
      <c r="AG2217" s="104" t="e">
        <f>IF(AND(VLOOKUP($D2217,Merchantability!$B:$C,2,0)="Yes",$E2217&gt;=VLOOKUP($D2217,Merchantability!$B:$D,3,0),$E2217&lt;=VLOOKUP($D2217,Merchantability!$B:$E,4,0)),AB2217,0)</f>
        <v>#N/A</v>
      </c>
      <c r="AH2217" s="104" t="e">
        <f>IF(AND(VLOOKUP($D2217,Merchantability!$B:$C,2,0)="Yes",$E2217&gt;=VLOOKUP($D2217,Merchantability!$B:$D,3,0),$E2217&lt;=VLOOKUP($D2217,Merchantability!$B:$E,4,0)),AC2217,0)</f>
        <v>#N/A</v>
      </c>
      <c r="AI2217" s="104" t="e">
        <f t="shared" si="978"/>
        <v>#N/A</v>
      </c>
      <c r="AJ2217" s="104" t="e">
        <f t="shared" si="979"/>
        <v>#VALUE!</v>
      </c>
      <c r="AK2217" s="104" t="e">
        <f t="shared" si="980"/>
        <v>#N/A</v>
      </c>
      <c r="AL2217" s="104" t="e">
        <f t="shared" si="981"/>
        <v>#N/A</v>
      </c>
      <c r="AM2217" s="104" t="e">
        <f t="shared" si="982"/>
        <v>#N/A</v>
      </c>
      <c r="AN2217" s="104" t="e">
        <f t="shared" si="966"/>
        <v>#N/A</v>
      </c>
      <c r="AO2217" s="104" t="e">
        <f t="shared" si="967"/>
        <v>#N/A</v>
      </c>
      <c r="AP2217" s="104" t="e">
        <f t="shared" si="968"/>
        <v>#N/A</v>
      </c>
      <c r="AQ2217" s="104" t="e">
        <f t="shared" si="969"/>
        <v>#N/A</v>
      </c>
      <c r="AR2217" s="105" t="str">
        <f t="shared" si="961"/>
        <v/>
      </c>
      <c r="AS2217" s="105" t="str">
        <f t="shared" si="962"/>
        <v/>
      </c>
      <c r="AT2217" s="108" t="str">
        <f t="shared" si="963"/>
        <v/>
      </c>
      <c r="AU2217" s="108" t="str">
        <f t="shared" si="964"/>
        <v/>
      </c>
      <c r="AV2217" s="107" t="str">
        <f>IF(ISNUMBER(O2217),IF(VLOOKUP($A2217,Stand!C:J,8,FALSE)="Short",AT2217,AU2217),"")</f>
        <v/>
      </c>
      <c r="AW2217" s="109" t="str">
        <f t="shared" si="970"/>
        <v/>
      </c>
      <c r="AX2217" s="109" t="str">
        <f t="shared" si="971"/>
        <v/>
      </c>
      <c r="AY2217" s="112" t="str">
        <f>IF(ISNUMBER(O2217),IF(AND(VLOOKUP($D2217,Merchantability!$B:$C,2,0)="Yes",$E2217&gt;=VLOOKUP($D2217,Merchantability!$B:$D,3,0),$E2217&lt;=VLOOKUP($D2217,Merchantability!$B:$E,4,0)),(AV2217*O2217)*(1-$H2217/100),""),"")</f>
        <v/>
      </c>
      <c r="AZ2217" s="116"/>
      <c r="BA2217" s="116"/>
      <c r="BB2217" s="116"/>
      <c r="BE2217" s="62"/>
      <c r="BF2217" s="63"/>
    </row>
    <row r="2218" spans="1:58" ht="12.75" customHeight="1" x14ac:dyDescent="0.25">
      <c r="A2218" s="334"/>
      <c r="B2218" s="334"/>
      <c r="C2218" s="332"/>
      <c r="D2218" s="334"/>
      <c r="E2218" s="335"/>
      <c r="F2218" s="334"/>
      <c r="G2218" s="332"/>
      <c r="H2218" s="332"/>
      <c r="I2218" s="334"/>
      <c r="J2218" s="336"/>
      <c r="K2218" s="332"/>
      <c r="L2218" s="332"/>
      <c r="M2218" s="76"/>
      <c r="N2218" s="103" t="str">
        <f>IF(A2218="","",VLOOKUP(A2218,Stand!C:K,9,0))</f>
        <v/>
      </c>
      <c r="O2218" s="104" t="str">
        <f t="shared" si="956"/>
        <v/>
      </c>
      <c r="P2218" s="105" t="str">
        <f t="shared" si="957"/>
        <v/>
      </c>
      <c r="Q2218" s="105" t="str">
        <f t="shared" si="972"/>
        <v/>
      </c>
      <c r="R2218" s="103" t="str">
        <f t="shared" si="958"/>
        <v/>
      </c>
      <c r="S2218" s="103" t="str">
        <f t="shared" si="959"/>
        <v/>
      </c>
      <c r="T2218" s="106" t="str">
        <f t="shared" si="973"/>
        <v/>
      </c>
      <c r="U2218" s="106" t="str">
        <f t="shared" si="974"/>
        <v/>
      </c>
      <c r="V2218" s="106" t="str">
        <f t="shared" si="975"/>
        <v/>
      </c>
      <c r="W2218" s="105" t="str">
        <f t="shared" si="960"/>
        <v/>
      </c>
      <c r="X2218" s="104" t="str">
        <f t="shared" si="965"/>
        <v/>
      </c>
      <c r="Y2218" s="104" t="str">
        <f t="array" ref="Y2218">IFERROR(IF(ISNUMBER(O2218),IF(COUNT(IF(A2218=$A$2:$A$2427,IF(D2218=$D$2:$D$2427,IF($X$2:$X$2427&gt;0,1))))&gt;0,SUM(IF(A2218=$A$2:$A$2427,IF(D2218=$D$2:$D$2427,$X$2:$X$2427)))/COUNT(IF(A2218=$A$2:$A$2427,IF(D2218=$D$2:$D$2427,IF(ISNUMBER($X$2:$X$2427),1)))),0),""),0)</f>
        <v/>
      </c>
      <c r="Z2218" s="104" t="str">
        <f>IF(ISNUMBER(O2218),IF(I2218&gt;0,(10^(VLOOKUP(D2218,'Species Codes'!B:C,2,0)+VLOOKUP(D2218,'Species Codes'!B:D,3,0)*LOG(E2218)+VLOOKUP(D2218,'Species Codes'!B:E,4,0)*LOG(I2218))),0),"")</f>
        <v/>
      </c>
      <c r="AA2218" s="104" t="str">
        <f>IFERROR((VLOOKUP(D2218,'Species Codes'!B:G,6,0)*Z2218)/2000,"")</f>
        <v/>
      </c>
      <c r="AB2218" s="104" t="e">
        <f>IF(Z2218&gt;0,((IF(OR(D2218="DF",D2218="RA")=TRUE,EXP(VLOOKUP(D2218,'Species Codes'!B:I,8,0)+VLOOKUP(D2218,'Species Codes'!B:J,9,0)*(LN((E2218*2.54)))),IF(OR(D2218="PY",D2218="RC",D2218="WH",D2218="NF")=TRUE,VLOOKUP(D2218,'Species Codes'!B:I,8,0)+VLOOKUP(D2218,'Species Codes'!B:J,9,0)*((E2218*2.54)^2)*(I2218*0.3048),IF(OR(D2218="MD",D2218="BM",D2218="GA")=TRUE,((VLOOKUP(D2218,'Species Codes'!B:I,8,0)*(((((E2218*2.54)+VLOOKUP(D2218,'Species Codes'!B:J,9,0))/VLOOKUP(D2218,'Species Codes'!B:K,10,0))^VLOOKUP(D2218,'Species Codes'!B:L,11,0))*((I2218*0.3048)^VLOOKUP(D2218,'Species Codes'!B:M,12,0))))-(VLOOKUP(D2218,'Species Codes'!B:I,8,0)*((((E2218*2.54)^VLOOKUP(D2218,'Species Codes'!B:L,11,0))*((I2218*0.3048)^VLOOKUP(D2218,'Species Codes'!B:M,12,0))))))*35.3*VLOOKUP(D2218,'Species Codes'!B:G,6,0)/2.2046,VLOOKUP(D2218,'Species Codes'!B:I,8,0)+VLOOKUP(D2218,'Species Codes'!B:J,9,0)*(((E2218*2.54)/100)^2)*(I2218*0.3048)))))*0.0011023),0)</f>
        <v>#N/A</v>
      </c>
      <c r="AC2218" s="104" t="e">
        <f>IF(Z2218&gt;0,((IF(OR(D2218="RA",D2218="OA",D2218="OT",D2218="UN",D2218="PC"),EXP(VLOOKUP(D2218,'Species Codes'!B:O,14,0)+VLOOKUP(D2218,'Species Codes'!B:P,15,0)*LN((E2218*2.54)))-EXP(VLOOKUP(D2218,'Species Codes'!B:O,14,0)+VLOOKUP(D2218,'Species Codes'!B:P,15,0)*LN((E2218*2.54)))*(1/(VLOOKUP(D2218,'Species Codes'!B:Q,16,0)+VLOOKUP(D2218,'Species Codes'!B:R,17,0)*((E2218*2.54)^VLOOKUP(D2218,'Species Codes'!B:S,18,0)))),IF(OR(D2218="BM",D2218="MD",D2218="OA"),EXP(VLOOKUP(D2218,'Species Codes'!B:O,14,0)+VLOOKUP(D2218,'Species Codes'!B:P,15,0)*LN((E2218*2.54)))*(1-(1/(VLOOKUP(D2218,'Species Codes'!B:Q,16,0)+VLOOKUP(D2218,'Species Codes'!B:R,17,0)*((E2218*2.54)^VLOOKUP(D2218,'Species Codes'!B:S,18,0)))))/1000,IF(D2218="DF",EXP(VLOOKUP(D2218,'Species Codes'!B:O,14,0)+VLOOKUP(D2218,'Species Codes'!B:P,15,0)*LN((E2218*2.54))),VLOOKUP(D2218,'Species Codes'!B:O,14,0)+VLOOKUP(D2218,'Species Codes'!B:P,15,0)*(((E2218*2.54)/100)^2)*(I2218*0.3048)))))*0.0011023),0)</f>
        <v>#N/A</v>
      </c>
      <c r="AD2218" s="104" t="e">
        <f t="shared" si="976"/>
        <v>#N/A</v>
      </c>
      <c r="AE2218" s="104" t="e">
        <f t="shared" si="977"/>
        <v>#N/A</v>
      </c>
      <c r="AF2218" s="104" t="e">
        <f>IF(AND(VLOOKUP($D2218,Merchantability!$B:$C,2,0)="Yes",$E2218&gt;=VLOOKUP($D2218,Merchantability!$B:$D,3,0),$E2218&lt;=VLOOKUP($D2218,Merchantability!$B:$E,4,0)),AA2218,0)</f>
        <v>#N/A</v>
      </c>
      <c r="AG2218" s="104" t="e">
        <f>IF(AND(VLOOKUP($D2218,Merchantability!$B:$C,2,0)="Yes",$E2218&gt;=VLOOKUP($D2218,Merchantability!$B:$D,3,0),$E2218&lt;=VLOOKUP($D2218,Merchantability!$B:$E,4,0)),AB2218,0)</f>
        <v>#N/A</v>
      </c>
      <c r="AH2218" s="104" t="e">
        <f>IF(AND(VLOOKUP($D2218,Merchantability!$B:$C,2,0)="Yes",$E2218&gt;=VLOOKUP($D2218,Merchantability!$B:$D,3,0),$E2218&lt;=VLOOKUP($D2218,Merchantability!$B:$E,4,0)),AC2218,0)</f>
        <v>#N/A</v>
      </c>
      <c r="AI2218" s="104" t="e">
        <f t="shared" si="978"/>
        <v>#N/A</v>
      </c>
      <c r="AJ2218" s="104" t="e">
        <f t="shared" si="979"/>
        <v>#VALUE!</v>
      </c>
      <c r="AK2218" s="104" t="e">
        <f t="shared" si="980"/>
        <v>#N/A</v>
      </c>
      <c r="AL2218" s="104" t="e">
        <f t="shared" si="981"/>
        <v>#N/A</v>
      </c>
      <c r="AM2218" s="104" t="e">
        <f t="shared" si="982"/>
        <v>#N/A</v>
      </c>
      <c r="AN2218" s="104" t="e">
        <f t="shared" si="966"/>
        <v>#N/A</v>
      </c>
      <c r="AO2218" s="104" t="e">
        <f t="shared" si="967"/>
        <v>#N/A</v>
      </c>
      <c r="AP2218" s="104" t="e">
        <f t="shared" si="968"/>
        <v>#N/A</v>
      </c>
      <c r="AQ2218" s="104" t="e">
        <f t="shared" si="969"/>
        <v>#N/A</v>
      </c>
      <c r="AR2218" s="105" t="str">
        <f t="shared" si="961"/>
        <v/>
      </c>
      <c r="AS2218" s="105" t="str">
        <f t="shared" si="962"/>
        <v/>
      </c>
      <c r="AT2218" s="108" t="str">
        <f t="shared" si="963"/>
        <v/>
      </c>
      <c r="AU2218" s="108" t="str">
        <f t="shared" si="964"/>
        <v/>
      </c>
      <c r="AV2218" s="107" t="str">
        <f>IF(ISNUMBER(O2218),IF(VLOOKUP($A2218,Stand!C:J,8,FALSE)="Short",AT2218,AU2218),"")</f>
        <v/>
      </c>
      <c r="AW2218" s="109" t="str">
        <f t="shared" si="970"/>
        <v/>
      </c>
      <c r="AX2218" s="109" t="str">
        <f t="shared" si="971"/>
        <v/>
      </c>
      <c r="AY2218" s="112" t="str">
        <f>IF(ISNUMBER(O2218),IF(AND(VLOOKUP($D2218,Merchantability!$B:$C,2,0)="Yes",$E2218&gt;=VLOOKUP($D2218,Merchantability!$B:$D,3,0),$E2218&lt;=VLOOKUP($D2218,Merchantability!$B:$E,4,0)),(AV2218*O2218)*(1-$H2218/100),""),"")</f>
        <v/>
      </c>
      <c r="AZ2218" s="116"/>
      <c r="BA2218" s="116"/>
      <c r="BB2218" s="116"/>
      <c r="BE2218" s="62"/>
      <c r="BF2218" s="63"/>
    </row>
    <row r="2219" spans="1:58" ht="12.75" customHeight="1" x14ac:dyDescent="0.25">
      <c r="A2219" s="334"/>
      <c r="B2219" s="334"/>
      <c r="C2219" s="332"/>
      <c r="D2219" s="334"/>
      <c r="E2219" s="335"/>
      <c r="F2219" s="334"/>
      <c r="G2219" s="332"/>
      <c r="H2219" s="332"/>
      <c r="I2219" s="334"/>
      <c r="J2219" s="336"/>
      <c r="K2219" s="332"/>
      <c r="L2219" s="332"/>
      <c r="M2219" s="76"/>
      <c r="N2219" s="103" t="str">
        <f>IF(A2219="","",VLOOKUP(A2219,Stand!C:K,9,0))</f>
        <v/>
      </c>
      <c r="O2219" s="104" t="str">
        <f t="shared" si="956"/>
        <v/>
      </c>
      <c r="P2219" s="105" t="str">
        <f t="shared" si="957"/>
        <v/>
      </c>
      <c r="Q2219" s="105" t="str">
        <f t="shared" si="972"/>
        <v/>
      </c>
      <c r="R2219" s="103" t="str">
        <f t="shared" si="958"/>
        <v/>
      </c>
      <c r="S2219" s="103" t="str">
        <f t="shared" si="959"/>
        <v/>
      </c>
      <c r="T2219" s="106" t="str">
        <f t="shared" si="973"/>
        <v/>
      </c>
      <c r="U2219" s="106" t="str">
        <f t="shared" si="974"/>
        <v/>
      </c>
      <c r="V2219" s="106" t="str">
        <f t="shared" si="975"/>
        <v/>
      </c>
      <c r="W2219" s="105" t="str">
        <f t="shared" si="960"/>
        <v/>
      </c>
      <c r="X2219" s="104" t="str">
        <f t="shared" si="965"/>
        <v/>
      </c>
      <c r="Y2219" s="104" t="str">
        <f t="array" ref="Y2219">IFERROR(IF(ISNUMBER(O2219),IF(COUNT(IF(A2219=$A$2:$A$2427,IF(D2219=$D$2:$D$2427,IF($X$2:$X$2427&gt;0,1))))&gt;0,SUM(IF(A2219=$A$2:$A$2427,IF(D2219=$D$2:$D$2427,$X$2:$X$2427)))/COUNT(IF(A2219=$A$2:$A$2427,IF(D2219=$D$2:$D$2427,IF(ISNUMBER($X$2:$X$2427),1)))),0),""),0)</f>
        <v/>
      </c>
      <c r="Z2219" s="104" t="str">
        <f>IF(ISNUMBER(O2219),IF(I2219&gt;0,(10^(VLOOKUP(D2219,'Species Codes'!B:C,2,0)+VLOOKUP(D2219,'Species Codes'!B:D,3,0)*LOG(E2219)+VLOOKUP(D2219,'Species Codes'!B:E,4,0)*LOG(I2219))),0),"")</f>
        <v/>
      </c>
      <c r="AA2219" s="104" t="str">
        <f>IFERROR((VLOOKUP(D2219,'Species Codes'!B:G,6,0)*Z2219)/2000,"")</f>
        <v/>
      </c>
      <c r="AB2219" s="104" t="e">
        <f>IF(Z2219&gt;0,((IF(OR(D2219="DF",D2219="RA")=TRUE,EXP(VLOOKUP(D2219,'Species Codes'!B:I,8,0)+VLOOKUP(D2219,'Species Codes'!B:J,9,0)*(LN((E2219*2.54)))),IF(OR(D2219="PY",D2219="RC",D2219="WH",D2219="NF")=TRUE,VLOOKUP(D2219,'Species Codes'!B:I,8,0)+VLOOKUP(D2219,'Species Codes'!B:J,9,0)*((E2219*2.54)^2)*(I2219*0.3048),IF(OR(D2219="MD",D2219="BM",D2219="GA")=TRUE,((VLOOKUP(D2219,'Species Codes'!B:I,8,0)*(((((E2219*2.54)+VLOOKUP(D2219,'Species Codes'!B:J,9,0))/VLOOKUP(D2219,'Species Codes'!B:K,10,0))^VLOOKUP(D2219,'Species Codes'!B:L,11,0))*((I2219*0.3048)^VLOOKUP(D2219,'Species Codes'!B:M,12,0))))-(VLOOKUP(D2219,'Species Codes'!B:I,8,0)*((((E2219*2.54)^VLOOKUP(D2219,'Species Codes'!B:L,11,0))*((I2219*0.3048)^VLOOKUP(D2219,'Species Codes'!B:M,12,0))))))*35.3*VLOOKUP(D2219,'Species Codes'!B:G,6,0)/2.2046,VLOOKUP(D2219,'Species Codes'!B:I,8,0)+VLOOKUP(D2219,'Species Codes'!B:J,9,0)*(((E2219*2.54)/100)^2)*(I2219*0.3048)))))*0.0011023),0)</f>
        <v>#N/A</v>
      </c>
      <c r="AC2219" s="104" t="e">
        <f>IF(Z2219&gt;0,((IF(OR(D2219="RA",D2219="OA",D2219="OT",D2219="UN",D2219="PC"),EXP(VLOOKUP(D2219,'Species Codes'!B:O,14,0)+VLOOKUP(D2219,'Species Codes'!B:P,15,0)*LN((E2219*2.54)))-EXP(VLOOKUP(D2219,'Species Codes'!B:O,14,0)+VLOOKUP(D2219,'Species Codes'!B:P,15,0)*LN((E2219*2.54)))*(1/(VLOOKUP(D2219,'Species Codes'!B:Q,16,0)+VLOOKUP(D2219,'Species Codes'!B:R,17,0)*((E2219*2.54)^VLOOKUP(D2219,'Species Codes'!B:S,18,0)))),IF(OR(D2219="BM",D2219="MD",D2219="OA"),EXP(VLOOKUP(D2219,'Species Codes'!B:O,14,0)+VLOOKUP(D2219,'Species Codes'!B:P,15,0)*LN((E2219*2.54)))*(1-(1/(VLOOKUP(D2219,'Species Codes'!B:Q,16,0)+VLOOKUP(D2219,'Species Codes'!B:R,17,0)*((E2219*2.54)^VLOOKUP(D2219,'Species Codes'!B:S,18,0)))))/1000,IF(D2219="DF",EXP(VLOOKUP(D2219,'Species Codes'!B:O,14,0)+VLOOKUP(D2219,'Species Codes'!B:P,15,0)*LN((E2219*2.54))),VLOOKUP(D2219,'Species Codes'!B:O,14,0)+VLOOKUP(D2219,'Species Codes'!B:P,15,0)*(((E2219*2.54)/100)^2)*(I2219*0.3048)))))*0.0011023),0)</f>
        <v>#N/A</v>
      </c>
      <c r="AD2219" s="104" t="e">
        <f t="shared" si="976"/>
        <v>#N/A</v>
      </c>
      <c r="AE2219" s="104" t="e">
        <f t="shared" si="977"/>
        <v>#N/A</v>
      </c>
      <c r="AF2219" s="104" t="e">
        <f>IF(AND(VLOOKUP($D2219,Merchantability!$B:$C,2,0)="Yes",$E2219&gt;=VLOOKUP($D2219,Merchantability!$B:$D,3,0),$E2219&lt;=VLOOKUP($D2219,Merchantability!$B:$E,4,0)),AA2219,0)</f>
        <v>#N/A</v>
      </c>
      <c r="AG2219" s="104" t="e">
        <f>IF(AND(VLOOKUP($D2219,Merchantability!$B:$C,2,0)="Yes",$E2219&gt;=VLOOKUP($D2219,Merchantability!$B:$D,3,0),$E2219&lt;=VLOOKUP($D2219,Merchantability!$B:$E,4,0)),AB2219,0)</f>
        <v>#N/A</v>
      </c>
      <c r="AH2219" s="104" t="e">
        <f>IF(AND(VLOOKUP($D2219,Merchantability!$B:$C,2,0)="Yes",$E2219&gt;=VLOOKUP($D2219,Merchantability!$B:$D,3,0),$E2219&lt;=VLOOKUP($D2219,Merchantability!$B:$E,4,0)),AC2219,0)</f>
        <v>#N/A</v>
      </c>
      <c r="AI2219" s="104" t="e">
        <f t="shared" si="978"/>
        <v>#N/A</v>
      </c>
      <c r="AJ2219" s="104" t="e">
        <f t="shared" si="979"/>
        <v>#VALUE!</v>
      </c>
      <c r="AK2219" s="104" t="e">
        <f t="shared" si="980"/>
        <v>#N/A</v>
      </c>
      <c r="AL2219" s="104" t="e">
        <f t="shared" si="981"/>
        <v>#N/A</v>
      </c>
      <c r="AM2219" s="104" t="e">
        <f t="shared" si="982"/>
        <v>#N/A</v>
      </c>
      <c r="AN2219" s="104" t="e">
        <f t="shared" si="966"/>
        <v>#N/A</v>
      </c>
      <c r="AO2219" s="104" t="e">
        <f t="shared" si="967"/>
        <v>#N/A</v>
      </c>
      <c r="AP2219" s="104" t="e">
        <f t="shared" si="968"/>
        <v>#N/A</v>
      </c>
      <c r="AQ2219" s="104" t="e">
        <f t="shared" si="969"/>
        <v>#N/A</v>
      </c>
      <c r="AR2219" s="105" t="str">
        <f t="shared" si="961"/>
        <v/>
      </c>
      <c r="AS2219" s="105" t="str">
        <f t="shared" si="962"/>
        <v/>
      </c>
      <c r="AT2219" s="108" t="str">
        <f t="shared" si="963"/>
        <v/>
      </c>
      <c r="AU2219" s="108" t="str">
        <f t="shared" si="964"/>
        <v/>
      </c>
      <c r="AV2219" s="107" t="str">
        <f>IF(ISNUMBER(O2219),IF(VLOOKUP($A2219,Stand!C:J,8,FALSE)="Short",AT2219,AU2219),"")</f>
        <v/>
      </c>
      <c r="AW2219" s="109" t="str">
        <f t="shared" si="970"/>
        <v/>
      </c>
      <c r="AX2219" s="109" t="str">
        <f t="shared" si="971"/>
        <v/>
      </c>
      <c r="AY2219" s="112" t="str">
        <f>IF(ISNUMBER(O2219),IF(AND(VLOOKUP($D2219,Merchantability!$B:$C,2,0)="Yes",$E2219&gt;=VLOOKUP($D2219,Merchantability!$B:$D,3,0),$E2219&lt;=VLOOKUP($D2219,Merchantability!$B:$E,4,0)),(AV2219*O2219)*(1-$H2219/100),""),"")</f>
        <v/>
      </c>
      <c r="AZ2219" s="116"/>
      <c r="BA2219" s="116"/>
      <c r="BB2219" s="116"/>
      <c r="BE2219" s="62"/>
      <c r="BF2219" s="63"/>
    </row>
    <row r="2220" spans="1:58" ht="12.75" customHeight="1" x14ac:dyDescent="0.25">
      <c r="A2220" s="334"/>
      <c r="B2220" s="334"/>
      <c r="C2220" s="332"/>
      <c r="D2220" s="334"/>
      <c r="E2220" s="335"/>
      <c r="F2220" s="334"/>
      <c r="G2220" s="332"/>
      <c r="H2220" s="332"/>
      <c r="I2220" s="334"/>
      <c r="J2220" s="336"/>
      <c r="K2220" s="332"/>
      <c r="L2220" s="332"/>
      <c r="M2220" s="76"/>
      <c r="N2220" s="103" t="str">
        <f>IF(A2220="","",VLOOKUP(A2220,Stand!C:K,9,0))</f>
        <v/>
      </c>
      <c r="O2220" s="104" t="str">
        <f t="shared" si="956"/>
        <v/>
      </c>
      <c r="P2220" s="105" t="str">
        <f t="shared" si="957"/>
        <v/>
      </c>
      <c r="Q2220" s="105" t="str">
        <f t="shared" si="972"/>
        <v/>
      </c>
      <c r="R2220" s="103" t="str">
        <f t="shared" si="958"/>
        <v/>
      </c>
      <c r="S2220" s="103" t="str">
        <f t="shared" si="959"/>
        <v/>
      </c>
      <c r="T2220" s="106" t="str">
        <f t="shared" si="973"/>
        <v/>
      </c>
      <c r="U2220" s="106" t="str">
        <f t="shared" si="974"/>
        <v/>
      </c>
      <c r="V2220" s="106" t="str">
        <f t="shared" si="975"/>
        <v/>
      </c>
      <c r="W2220" s="105" t="str">
        <f t="shared" si="960"/>
        <v/>
      </c>
      <c r="X2220" s="104" t="str">
        <f t="shared" si="965"/>
        <v/>
      </c>
      <c r="Y2220" s="104" t="str">
        <f t="array" ref="Y2220">IFERROR(IF(ISNUMBER(O2220),IF(COUNT(IF(A2220=$A$2:$A$2427,IF(D2220=$D$2:$D$2427,IF($X$2:$X$2427&gt;0,1))))&gt;0,SUM(IF(A2220=$A$2:$A$2427,IF(D2220=$D$2:$D$2427,$X$2:$X$2427)))/COUNT(IF(A2220=$A$2:$A$2427,IF(D2220=$D$2:$D$2427,IF(ISNUMBER($X$2:$X$2427),1)))),0),""),0)</f>
        <v/>
      </c>
      <c r="Z2220" s="104" t="str">
        <f>IF(ISNUMBER(O2220),IF(I2220&gt;0,(10^(VLOOKUP(D2220,'Species Codes'!B:C,2,0)+VLOOKUP(D2220,'Species Codes'!B:D,3,0)*LOG(E2220)+VLOOKUP(D2220,'Species Codes'!B:E,4,0)*LOG(I2220))),0),"")</f>
        <v/>
      </c>
      <c r="AA2220" s="104" t="str">
        <f>IFERROR((VLOOKUP(D2220,'Species Codes'!B:G,6,0)*Z2220)/2000,"")</f>
        <v/>
      </c>
      <c r="AB2220" s="104" t="e">
        <f>IF(Z2220&gt;0,((IF(OR(D2220="DF",D2220="RA")=TRUE,EXP(VLOOKUP(D2220,'Species Codes'!B:I,8,0)+VLOOKUP(D2220,'Species Codes'!B:J,9,0)*(LN((E2220*2.54)))),IF(OR(D2220="PY",D2220="RC",D2220="WH",D2220="NF")=TRUE,VLOOKUP(D2220,'Species Codes'!B:I,8,0)+VLOOKUP(D2220,'Species Codes'!B:J,9,0)*((E2220*2.54)^2)*(I2220*0.3048),IF(OR(D2220="MD",D2220="BM",D2220="GA")=TRUE,((VLOOKUP(D2220,'Species Codes'!B:I,8,0)*(((((E2220*2.54)+VLOOKUP(D2220,'Species Codes'!B:J,9,0))/VLOOKUP(D2220,'Species Codes'!B:K,10,0))^VLOOKUP(D2220,'Species Codes'!B:L,11,0))*((I2220*0.3048)^VLOOKUP(D2220,'Species Codes'!B:M,12,0))))-(VLOOKUP(D2220,'Species Codes'!B:I,8,0)*((((E2220*2.54)^VLOOKUP(D2220,'Species Codes'!B:L,11,0))*((I2220*0.3048)^VLOOKUP(D2220,'Species Codes'!B:M,12,0))))))*35.3*VLOOKUP(D2220,'Species Codes'!B:G,6,0)/2.2046,VLOOKUP(D2220,'Species Codes'!B:I,8,0)+VLOOKUP(D2220,'Species Codes'!B:J,9,0)*(((E2220*2.54)/100)^2)*(I2220*0.3048)))))*0.0011023),0)</f>
        <v>#N/A</v>
      </c>
      <c r="AC2220" s="104" t="e">
        <f>IF(Z2220&gt;0,((IF(OR(D2220="RA",D2220="OA",D2220="OT",D2220="UN",D2220="PC"),EXP(VLOOKUP(D2220,'Species Codes'!B:O,14,0)+VLOOKUP(D2220,'Species Codes'!B:P,15,0)*LN((E2220*2.54)))-EXP(VLOOKUP(D2220,'Species Codes'!B:O,14,0)+VLOOKUP(D2220,'Species Codes'!B:P,15,0)*LN((E2220*2.54)))*(1/(VLOOKUP(D2220,'Species Codes'!B:Q,16,0)+VLOOKUP(D2220,'Species Codes'!B:R,17,0)*((E2220*2.54)^VLOOKUP(D2220,'Species Codes'!B:S,18,0)))),IF(OR(D2220="BM",D2220="MD",D2220="OA"),EXP(VLOOKUP(D2220,'Species Codes'!B:O,14,0)+VLOOKUP(D2220,'Species Codes'!B:P,15,0)*LN((E2220*2.54)))*(1-(1/(VLOOKUP(D2220,'Species Codes'!B:Q,16,0)+VLOOKUP(D2220,'Species Codes'!B:R,17,0)*((E2220*2.54)^VLOOKUP(D2220,'Species Codes'!B:S,18,0)))))/1000,IF(D2220="DF",EXP(VLOOKUP(D2220,'Species Codes'!B:O,14,0)+VLOOKUP(D2220,'Species Codes'!B:P,15,0)*LN((E2220*2.54))),VLOOKUP(D2220,'Species Codes'!B:O,14,0)+VLOOKUP(D2220,'Species Codes'!B:P,15,0)*(((E2220*2.54)/100)^2)*(I2220*0.3048)))))*0.0011023),0)</f>
        <v>#N/A</v>
      </c>
      <c r="AD2220" s="104" t="e">
        <f t="shared" si="976"/>
        <v>#N/A</v>
      </c>
      <c r="AE2220" s="104" t="e">
        <f t="shared" si="977"/>
        <v>#N/A</v>
      </c>
      <c r="AF2220" s="104" t="e">
        <f>IF(AND(VLOOKUP($D2220,Merchantability!$B:$C,2,0)="Yes",$E2220&gt;=VLOOKUP($D2220,Merchantability!$B:$D,3,0),$E2220&lt;=VLOOKUP($D2220,Merchantability!$B:$E,4,0)),AA2220,0)</f>
        <v>#N/A</v>
      </c>
      <c r="AG2220" s="104" t="e">
        <f>IF(AND(VLOOKUP($D2220,Merchantability!$B:$C,2,0)="Yes",$E2220&gt;=VLOOKUP($D2220,Merchantability!$B:$D,3,0),$E2220&lt;=VLOOKUP($D2220,Merchantability!$B:$E,4,0)),AB2220,0)</f>
        <v>#N/A</v>
      </c>
      <c r="AH2220" s="104" t="e">
        <f>IF(AND(VLOOKUP($D2220,Merchantability!$B:$C,2,0)="Yes",$E2220&gt;=VLOOKUP($D2220,Merchantability!$B:$D,3,0),$E2220&lt;=VLOOKUP($D2220,Merchantability!$B:$E,4,0)),AC2220,0)</f>
        <v>#N/A</v>
      </c>
      <c r="AI2220" s="104" t="e">
        <f t="shared" si="978"/>
        <v>#N/A</v>
      </c>
      <c r="AJ2220" s="104" t="e">
        <f t="shared" si="979"/>
        <v>#VALUE!</v>
      </c>
      <c r="AK2220" s="104" t="e">
        <f t="shared" si="980"/>
        <v>#N/A</v>
      </c>
      <c r="AL2220" s="104" t="e">
        <f t="shared" si="981"/>
        <v>#N/A</v>
      </c>
      <c r="AM2220" s="104" t="e">
        <f t="shared" si="982"/>
        <v>#N/A</v>
      </c>
      <c r="AN2220" s="104" t="e">
        <f t="shared" si="966"/>
        <v>#N/A</v>
      </c>
      <c r="AO2220" s="104" t="e">
        <f t="shared" si="967"/>
        <v>#N/A</v>
      </c>
      <c r="AP2220" s="104" t="e">
        <f t="shared" si="968"/>
        <v>#N/A</v>
      </c>
      <c r="AQ2220" s="104" t="e">
        <f t="shared" si="969"/>
        <v>#N/A</v>
      </c>
      <c r="AR2220" s="105" t="str">
        <f t="shared" si="961"/>
        <v/>
      </c>
      <c r="AS2220" s="105" t="str">
        <f t="shared" si="962"/>
        <v/>
      </c>
      <c r="AT2220" s="108" t="str">
        <f t="shared" si="963"/>
        <v/>
      </c>
      <c r="AU2220" s="108" t="str">
        <f t="shared" si="964"/>
        <v/>
      </c>
      <c r="AV2220" s="107" t="str">
        <f>IF(ISNUMBER(O2220),IF(VLOOKUP($A2220,Stand!C:J,8,FALSE)="Short",AT2220,AU2220),"")</f>
        <v/>
      </c>
      <c r="AW2220" s="109" t="str">
        <f t="shared" si="970"/>
        <v/>
      </c>
      <c r="AX2220" s="109" t="str">
        <f t="shared" si="971"/>
        <v/>
      </c>
      <c r="AY2220" s="112" t="str">
        <f>IF(ISNUMBER(O2220),IF(AND(VLOOKUP($D2220,Merchantability!$B:$C,2,0)="Yes",$E2220&gt;=VLOOKUP($D2220,Merchantability!$B:$D,3,0),$E2220&lt;=VLOOKUP($D2220,Merchantability!$B:$E,4,0)),(AV2220*O2220)*(1-$H2220/100),""),"")</f>
        <v/>
      </c>
      <c r="AZ2220" s="116"/>
      <c r="BA2220" s="116"/>
      <c r="BB2220" s="116"/>
      <c r="BE2220" s="62"/>
      <c r="BF2220" s="63"/>
    </row>
    <row r="2221" spans="1:58" ht="12.75" customHeight="1" x14ac:dyDescent="0.25">
      <c r="A2221" s="334"/>
      <c r="B2221" s="334"/>
      <c r="C2221" s="332"/>
      <c r="D2221" s="334"/>
      <c r="E2221" s="335"/>
      <c r="F2221" s="334"/>
      <c r="G2221" s="332"/>
      <c r="H2221" s="332"/>
      <c r="I2221" s="334"/>
      <c r="J2221" s="336"/>
      <c r="K2221" s="332"/>
      <c r="L2221" s="332"/>
      <c r="M2221" s="76"/>
      <c r="N2221" s="103" t="str">
        <f>IF(A2221="","",VLOOKUP(A2221,Stand!C:K,9,0))</f>
        <v/>
      </c>
      <c r="O2221" s="104" t="str">
        <f t="shared" si="956"/>
        <v/>
      </c>
      <c r="P2221" s="105" t="str">
        <f t="shared" si="957"/>
        <v/>
      </c>
      <c r="Q2221" s="105" t="str">
        <f t="shared" si="972"/>
        <v/>
      </c>
      <c r="R2221" s="103" t="str">
        <f t="shared" si="958"/>
        <v/>
      </c>
      <c r="S2221" s="103" t="str">
        <f t="shared" si="959"/>
        <v/>
      </c>
      <c r="T2221" s="106" t="str">
        <f t="shared" si="973"/>
        <v/>
      </c>
      <c r="U2221" s="106" t="str">
        <f t="shared" si="974"/>
        <v/>
      </c>
      <c r="V2221" s="106" t="str">
        <f t="shared" si="975"/>
        <v/>
      </c>
      <c r="W2221" s="105" t="str">
        <f t="shared" si="960"/>
        <v/>
      </c>
      <c r="X2221" s="104" t="str">
        <f t="shared" si="965"/>
        <v/>
      </c>
      <c r="Y2221" s="104" t="str">
        <f t="array" ref="Y2221">IFERROR(IF(ISNUMBER(O2221),IF(COUNT(IF(A2221=$A$2:$A$2427,IF(D2221=$D$2:$D$2427,IF($X$2:$X$2427&gt;0,1))))&gt;0,SUM(IF(A2221=$A$2:$A$2427,IF(D2221=$D$2:$D$2427,$X$2:$X$2427)))/COUNT(IF(A2221=$A$2:$A$2427,IF(D2221=$D$2:$D$2427,IF(ISNUMBER($X$2:$X$2427),1)))),0),""),0)</f>
        <v/>
      </c>
      <c r="Z2221" s="104" t="str">
        <f>IF(ISNUMBER(O2221),IF(I2221&gt;0,(10^(VLOOKUP(D2221,'Species Codes'!B:C,2,0)+VLOOKUP(D2221,'Species Codes'!B:D,3,0)*LOG(E2221)+VLOOKUP(D2221,'Species Codes'!B:E,4,0)*LOG(I2221))),0),"")</f>
        <v/>
      </c>
      <c r="AA2221" s="104" t="str">
        <f>IFERROR((VLOOKUP(D2221,'Species Codes'!B:G,6,0)*Z2221)/2000,"")</f>
        <v/>
      </c>
      <c r="AB2221" s="104" t="e">
        <f>IF(Z2221&gt;0,((IF(OR(D2221="DF",D2221="RA")=TRUE,EXP(VLOOKUP(D2221,'Species Codes'!B:I,8,0)+VLOOKUP(D2221,'Species Codes'!B:J,9,0)*(LN((E2221*2.54)))),IF(OR(D2221="PY",D2221="RC",D2221="WH",D2221="NF")=TRUE,VLOOKUP(D2221,'Species Codes'!B:I,8,0)+VLOOKUP(D2221,'Species Codes'!B:J,9,0)*((E2221*2.54)^2)*(I2221*0.3048),IF(OR(D2221="MD",D2221="BM",D2221="GA")=TRUE,((VLOOKUP(D2221,'Species Codes'!B:I,8,0)*(((((E2221*2.54)+VLOOKUP(D2221,'Species Codes'!B:J,9,0))/VLOOKUP(D2221,'Species Codes'!B:K,10,0))^VLOOKUP(D2221,'Species Codes'!B:L,11,0))*((I2221*0.3048)^VLOOKUP(D2221,'Species Codes'!B:M,12,0))))-(VLOOKUP(D2221,'Species Codes'!B:I,8,0)*((((E2221*2.54)^VLOOKUP(D2221,'Species Codes'!B:L,11,0))*((I2221*0.3048)^VLOOKUP(D2221,'Species Codes'!B:M,12,0))))))*35.3*VLOOKUP(D2221,'Species Codes'!B:G,6,0)/2.2046,VLOOKUP(D2221,'Species Codes'!B:I,8,0)+VLOOKUP(D2221,'Species Codes'!B:J,9,0)*(((E2221*2.54)/100)^2)*(I2221*0.3048)))))*0.0011023),0)</f>
        <v>#N/A</v>
      </c>
      <c r="AC2221" s="104" t="e">
        <f>IF(Z2221&gt;0,((IF(OR(D2221="RA",D2221="OA",D2221="OT",D2221="UN",D2221="PC"),EXP(VLOOKUP(D2221,'Species Codes'!B:O,14,0)+VLOOKUP(D2221,'Species Codes'!B:P,15,0)*LN((E2221*2.54)))-EXP(VLOOKUP(D2221,'Species Codes'!B:O,14,0)+VLOOKUP(D2221,'Species Codes'!B:P,15,0)*LN((E2221*2.54)))*(1/(VLOOKUP(D2221,'Species Codes'!B:Q,16,0)+VLOOKUP(D2221,'Species Codes'!B:R,17,0)*((E2221*2.54)^VLOOKUP(D2221,'Species Codes'!B:S,18,0)))),IF(OR(D2221="BM",D2221="MD",D2221="OA"),EXP(VLOOKUP(D2221,'Species Codes'!B:O,14,0)+VLOOKUP(D2221,'Species Codes'!B:P,15,0)*LN((E2221*2.54)))*(1-(1/(VLOOKUP(D2221,'Species Codes'!B:Q,16,0)+VLOOKUP(D2221,'Species Codes'!B:R,17,0)*((E2221*2.54)^VLOOKUP(D2221,'Species Codes'!B:S,18,0)))))/1000,IF(D2221="DF",EXP(VLOOKUP(D2221,'Species Codes'!B:O,14,0)+VLOOKUP(D2221,'Species Codes'!B:P,15,0)*LN((E2221*2.54))),VLOOKUP(D2221,'Species Codes'!B:O,14,0)+VLOOKUP(D2221,'Species Codes'!B:P,15,0)*(((E2221*2.54)/100)^2)*(I2221*0.3048)))))*0.0011023),0)</f>
        <v>#N/A</v>
      </c>
      <c r="AD2221" s="104" t="e">
        <f t="shared" si="976"/>
        <v>#N/A</v>
      </c>
      <c r="AE2221" s="104" t="e">
        <f t="shared" si="977"/>
        <v>#N/A</v>
      </c>
      <c r="AF2221" s="104" t="e">
        <f>IF(AND(VLOOKUP($D2221,Merchantability!$B:$C,2,0)="Yes",$E2221&gt;=VLOOKUP($D2221,Merchantability!$B:$D,3,0),$E2221&lt;=VLOOKUP($D2221,Merchantability!$B:$E,4,0)),AA2221,0)</f>
        <v>#N/A</v>
      </c>
      <c r="AG2221" s="104" t="e">
        <f>IF(AND(VLOOKUP($D2221,Merchantability!$B:$C,2,0)="Yes",$E2221&gt;=VLOOKUP($D2221,Merchantability!$B:$D,3,0),$E2221&lt;=VLOOKUP($D2221,Merchantability!$B:$E,4,0)),AB2221,0)</f>
        <v>#N/A</v>
      </c>
      <c r="AH2221" s="104" t="e">
        <f>IF(AND(VLOOKUP($D2221,Merchantability!$B:$C,2,0)="Yes",$E2221&gt;=VLOOKUP($D2221,Merchantability!$B:$D,3,0),$E2221&lt;=VLOOKUP($D2221,Merchantability!$B:$E,4,0)),AC2221,0)</f>
        <v>#N/A</v>
      </c>
      <c r="AI2221" s="104" t="e">
        <f t="shared" si="978"/>
        <v>#N/A</v>
      </c>
      <c r="AJ2221" s="104" t="e">
        <f t="shared" si="979"/>
        <v>#VALUE!</v>
      </c>
      <c r="AK2221" s="104" t="e">
        <f t="shared" si="980"/>
        <v>#N/A</v>
      </c>
      <c r="AL2221" s="104" t="e">
        <f t="shared" si="981"/>
        <v>#N/A</v>
      </c>
      <c r="AM2221" s="104" t="e">
        <f t="shared" si="982"/>
        <v>#N/A</v>
      </c>
      <c r="AN2221" s="104" t="e">
        <f t="shared" si="966"/>
        <v>#N/A</v>
      </c>
      <c r="AO2221" s="104" t="e">
        <f t="shared" si="967"/>
        <v>#N/A</v>
      </c>
      <c r="AP2221" s="104" t="e">
        <f t="shared" si="968"/>
        <v>#N/A</v>
      </c>
      <c r="AQ2221" s="104" t="e">
        <f t="shared" si="969"/>
        <v>#N/A</v>
      </c>
      <c r="AR2221" s="105" t="str">
        <f t="shared" si="961"/>
        <v/>
      </c>
      <c r="AS2221" s="105" t="str">
        <f t="shared" si="962"/>
        <v/>
      </c>
      <c r="AT2221" s="108" t="str">
        <f t="shared" si="963"/>
        <v/>
      </c>
      <c r="AU2221" s="108" t="str">
        <f t="shared" si="964"/>
        <v/>
      </c>
      <c r="AV2221" s="107" t="str">
        <f>IF(ISNUMBER(O2221),IF(VLOOKUP($A2221,Stand!C:J,8,FALSE)="Short",AT2221,AU2221),"")</f>
        <v/>
      </c>
      <c r="AW2221" s="109" t="str">
        <f t="shared" si="970"/>
        <v/>
      </c>
      <c r="AX2221" s="109" t="str">
        <f t="shared" si="971"/>
        <v/>
      </c>
      <c r="AY2221" s="112" t="str">
        <f>IF(ISNUMBER(O2221),IF(AND(VLOOKUP($D2221,Merchantability!$B:$C,2,0)="Yes",$E2221&gt;=VLOOKUP($D2221,Merchantability!$B:$D,3,0),$E2221&lt;=VLOOKUP($D2221,Merchantability!$B:$E,4,0)),(AV2221*O2221)*(1-$H2221/100),""),"")</f>
        <v/>
      </c>
      <c r="AZ2221" s="116"/>
      <c r="BA2221" s="116"/>
      <c r="BB2221" s="116"/>
      <c r="BE2221" s="62"/>
      <c r="BF2221" s="63"/>
    </row>
    <row r="2222" spans="1:58" ht="12.75" customHeight="1" x14ac:dyDescent="0.25">
      <c r="A2222" s="334"/>
      <c r="B2222" s="334"/>
      <c r="C2222" s="332"/>
      <c r="D2222" s="334"/>
      <c r="E2222" s="335"/>
      <c r="F2222" s="334"/>
      <c r="G2222" s="332"/>
      <c r="H2222" s="332"/>
      <c r="I2222" s="334"/>
      <c r="J2222" s="336"/>
      <c r="K2222" s="332"/>
      <c r="L2222" s="332"/>
      <c r="M2222" s="76"/>
      <c r="N2222" s="103" t="str">
        <f>IF(A2222="","",VLOOKUP(A2222,Stand!C:K,9,0))</f>
        <v/>
      </c>
      <c r="O2222" s="104" t="str">
        <f t="shared" si="956"/>
        <v/>
      </c>
      <c r="P2222" s="105" t="str">
        <f t="shared" si="957"/>
        <v/>
      </c>
      <c r="Q2222" s="105" t="str">
        <f t="shared" si="972"/>
        <v/>
      </c>
      <c r="R2222" s="103" t="str">
        <f t="shared" si="958"/>
        <v/>
      </c>
      <c r="S2222" s="103" t="str">
        <f t="shared" si="959"/>
        <v/>
      </c>
      <c r="T2222" s="106" t="str">
        <f t="shared" si="973"/>
        <v/>
      </c>
      <c r="U2222" s="106" t="str">
        <f t="shared" si="974"/>
        <v/>
      </c>
      <c r="V2222" s="106" t="str">
        <f t="shared" si="975"/>
        <v/>
      </c>
      <c r="W2222" s="105" t="str">
        <f t="shared" si="960"/>
        <v/>
      </c>
      <c r="X2222" s="104" t="str">
        <f t="shared" si="965"/>
        <v/>
      </c>
      <c r="Y2222" s="104" t="str">
        <f t="array" ref="Y2222">IFERROR(IF(ISNUMBER(O2222),IF(COUNT(IF(A2222=$A$2:$A$2427,IF(D2222=$D$2:$D$2427,IF($X$2:$X$2427&gt;0,1))))&gt;0,SUM(IF(A2222=$A$2:$A$2427,IF(D2222=$D$2:$D$2427,$X$2:$X$2427)))/COUNT(IF(A2222=$A$2:$A$2427,IF(D2222=$D$2:$D$2427,IF(ISNUMBER($X$2:$X$2427),1)))),0),""),0)</f>
        <v/>
      </c>
      <c r="Z2222" s="104" t="str">
        <f>IF(ISNUMBER(O2222),IF(I2222&gt;0,(10^(VLOOKUP(D2222,'Species Codes'!B:C,2,0)+VLOOKUP(D2222,'Species Codes'!B:D,3,0)*LOG(E2222)+VLOOKUP(D2222,'Species Codes'!B:E,4,0)*LOG(I2222))),0),"")</f>
        <v/>
      </c>
      <c r="AA2222" s="104" t="str">
        <f>IFERROR((VLOOKUP(D2222,'Species Codes'!B:G,6,0)*Z2222)/2000,"")</f>
        <v/>
      </c>
      <c r="AB2222" s="104" t="e">
        <f>IF(Z2222&gt;0,((IF(OR(D2222="DF",D2222="RA")=TRUE,EXP(VLOOKUP(D2222,'Species Codes'!B:I,8,0)+VLOOKUP(D2222,'Species Codes'!B:J,9,0)*(LN((E2222*2.54)))),IF(OR(D2222="PY",D2222="RC",D2222="WH",D2222="NF")=TRUE,VLOOKUP(D2222,'Species Codes'!B:I,8,0)+VLOOKUP(D2222,'Species Codes'!B:J,9,0)*((E2222*2.54)^2)*(I2222*0.3048),IF(OR(D2222="MD",D2222="BM",D2222="GA")=TRUE,((VLOOKUP(D2222,'Species Codes'!B:I,8,0)*(((((E2222*2.54)+VLOOKUP(D2222,'Species Codes'!B:J,9,0))/VLOOKUP(D2222,'Species Codes'!B:K,10,0))^VLOOKUP(D2222,'Species Codes'!B:L,11,0))*((I2222*0.3048)^VLOOKUP(D2222,'Species Codes'!B:M,12,0))))-(VLOOKUP(D2222,'Species Codes'!B:I,8,0)*((((E2222*2.54)^VLOOKUP(D2222,'Species Codes'!B:L,11,0))*((I2222*0.3048)^VLOOKUP(D2222,'Species Codes'!B:M,12,0))))))*35.3*VLOOKUP(D2222,'Species Codes'!B:G,6,0)/2.2046,VLOOKUP(D2222,'Species Codes'!B:I,8,0)+VLOOKUP(D2222,'Species Codes'!B:J,9,0)*(((E2222*2.54)/100)^2)*(I2222*0.3048)))))*0.0011023),0)</f>
        <v>#N/A</v>
      </c>
      <c r="AC2222" s="104" t="e">
        <f>IF(Z2222&gt;0,((IF(OR(D2222="RA",D2222="OA",D2222="OT",D2222="UN",D2222="PC"),EXP(VLOOKUP(D2222,'Species Codes'!B:O,14,0)+VLOOKUP(D2222,'Species Codes'!B:P,15,0)*LN((E2222*2.54)))-EXP(VLOOKUP(D2222,'Species Codes'!B:O,14,0)+VLOOKUP(D2222,'Species Codes'!B:P,15,0)*LN((E2222*2.54)))*(1/(VLOOKUP(D2222,'Species Codes'!B:Q,16,0)+VLOOKUP(D2222,'Species Codes'!B:R,17,0)*((E2222*2.54)^VLOOKUP(D2222,'Species Codes'!B:S,18,0)))),IF(OR(D2222="BM",D2222="MD",D2222="OA"),EXP(VLOOKUP(D2222,'Species Codes'!B:O,14,0)+VLOOKUP(D2222,'Species Codes'!B:P,15,0)*LN((E2222*2.54)))*(1-(1/(VLOOKUP(D2222,'Species Codes'!B:Q,16,0)+VLOOKUP(D2222,'Species Codes'!B:R,17,0)*((E2222*2.54)^VLOOKUP(D2222,'Species Codes'!B:S,18,0)))))/1000,IF(D2222="DF",EXP(VLOOKUP(D2222,'Species Codes'!B:O,14,0)+VLOOKUP(D2222,'Species Codes'!B:P,15,0)*LN((E2222*2.54))),VLOOKUP(D2222,'Species Codes'!B:O,14,0)+VLOOKUP(D2222,'Species Codes'!B:P,15,0)*(((E2222*2.54)/100)^2)*(I2222*0.3048)))))*0.0011023),0)</f>
        <v>#N/A</v>
      </c>
      <c r="AD2222" s="104" t="e">
        <f t="shared" si="976"/>
        <v>#N/A</v>
      </c>
      <c r="AE2222" s="104" t="e">
        <f t="shared" si="977"/>
        <v>#N/A</v>
      </c>
      <c r="AF2222" s="104" t="e">
        <f>IF(AND(VLOOKUP($D2222,Merchantability!$B:$C,2,0)="Yes",$E2222&gt;=VLOOKUP($D2222,Merchantability!$B:$D,3,0),$E2222&lt;=VLOOKUP($D2222,Merchantability!$B:$E,4,0)),AA2222,0)</f>
        <v>#N/A</v>
      </c>
      <c r="AG2222" s="104" t="e">
        <f>IF(AND(VLOOKUP($D2222,Merchantability!$B:$C,2,0)="Yes",$E2222&gt;=VLOOKUP($D2222,Merchantability!$B:$D,3,0),$E2222&lt;=VLOOKUP($D2222,Merchantability!$B:$E,4,0)),AB2222,0)</f>
        <v>#N/A</v>
      </c>
      <c r="AH2222" s="104" t="e">
        <f>IF(AND(VLOOKUP($D2222,Merchantability!$B:$C,2,0)="Yes",$E2222&gt;=VLOOKUP($D2222,Merchantability!$B:$D,3,0),$E2222&lt;=VLOOKUP($D2222,Merchantability!$B:$E,4,0)),AC2222,0)</f>
        <v>#N/A</v>
      </c>
      <c r="AI2222" s="104" t="e">
        <f t="shared" si="978"/>
        <v>#N/A</v>
      </c>
      <c r="AJ2222" s="104" t="e">
        <f t="shared" si="979"/>
        <v>#VALUE!</v>
      </c>
      <c r="AK2222" s="104" t="e">
        <f t="shared" si="980"/>
        <v>#N/A</v>
      </c>
      <c r="AL2222" s="104" t="e">
        <f t="shared" si="981"/>
        <v>#N/A</v>
      </c>
      <c r="AM2222" s="104" t="e">
        <f t="shared" si="982"/>
        <v>#N/A</v>
      </c>
      <c r="AN2222" s="104" t="e">
        <f t="shared" si="966"/>
        <v>#N/A</v>
      </c>
      <c r="AO2222" s="104" t="e">
        <f t="shared" si="967"/>
        <v>#N/A</v>
      </c>
      <c r="AP2222" s="104" t="e">
        <f t="shared" si="968"/>
        <v>#N/A</v>
      </c>
      <c r="AQ2222" s="104" t="e">
        <f t="shared" si="969"/>
        <v>#N/A</v>
      </c>
      <c r="AR2222" s="105" t="str">
        <f t="shared" si="961"/>
        <v/>
      </c>
      <c r="AS2222" s="105" t="str">
        <f t="shared" si="962"/>
        <v/>
      </c>
      <c r="AT2222" s="108" t="str">
        <f t="shared" si="963"/>
        <v/>
      </c>
      <c r="AU2222" s="108" t="str">
        <f t="shared" si="964"/>
        <v/>
      </c>
      <c r="AV2222" s="107" t="str">
        <f>IF(ISNUMBER(O2222),IF(VLOOKUP($A2222,Stand!C:J,8,FALSE)="Short",AT2222,AU2222),"")</f>
        <v/>
      </c>
      <c r="AW2222" s="109" t="str">
        <f t="shared" si="970"/>
        <v/>
      </c>
      <c r="AX2222" s="109" t="str">
        <f t="shared" si="971"/>
        <v/>
      </c>
      <c r="AY2222" s="112" t="str">
        <f>IF(ISNUMBER(O2222),IF(AND(VLOOKUP($D2222,Merchantability!$B:$C,2,0)="Yes",$E2222&gt;=VLOOKUP($D2222,Merchantability!$B:$D,3,0),$E2222&lt;=VLOOKUP($D2222,Merchantability!$B:$E,4,0)),(AV2222*O2222)*(1-$H2222/100),""),"")</f>
        <v/>
      </c>
      <c r="AZ2222" s="116"/>
      <c r="BA2222" s="116"/>
      <c r="BB2222" s="116"/>
      <c r="BE2222" s="62"/>
      <c r="BF2222" s="63"/>
    </row>
    <row r="2223" spans="1:58" ht="12.75" customHeight="1" x14ac:dyDescent="0.25">
      <c r="A2223" s="334"/>
      <c r="B2223" s="334"/>
      <c r="C2223" s="332"/>
      <c r="D2223" s="334"/>
      <c r="E2223" s="335"/>
      <c r="F2223" s="334"/>
      <c r="G2223" s="332"/>
      <c r="H2223" s="332"/>
      <c r="I2223" s="334"/>
      <c r="J2223" s="336"/>
      <c r="K2223" s="332"/>
      <c r="L2223" s="332"/>
      <c r="M2223" s="76"/>
      <c r="N2223" s="103" t="str">
        <f>IF(A2223="","",VLOOKUP(A2223,Stand!C:K,9,0))</f>
        <v/>
      </c>
      <c r="O2223" s="104" t="str">
        <f t="shared" si="956"/>
        <v/>
      </c>
      <c r="P2223" s="105" t="str">
        <f t="shared" si="957"/>
        <v/>
      </c>
      <c r="Q2223" s="105" t="str">
        <f t="shared" si="972"/>
        <v/>
      </c>
      <c r="R2223" s="103" t="str">
        <f t="shared" si="958"/>
        <v/>
      </c>
      <c r="S2223" s="103" t="str">
        <f t="shared" si="959"/>
        <v/>
      </c>
      <c r="T2223" s="106" t="str">
        <f t="shared" si="973"/>
        <v/>
      </c>
      <c r="U2223" s="106" t="str">
        <f t="shared" si="974"/>
        <v/>
      </c>
      <c r="V2223" s="106" t="str">
        <f t="shared" si="975"/>
        <v/>
      </c>
      <c r="W2223" s="105" t="str">
        <f t="shared" si="960"/>
        <v/>
      </c>
      <c r="X2223" s="104" t="str">
        <f t="shared" si="965"/>
        <v/>
      </c>
      <c r="Y2223" s="104" t="str">
        <f t="array" ref="Y2223">IFERROR(IF(ISNUMBER(O2223),IF(COUNT(IF(A2223=$A$2:$A$2427,IF(D2223=$D$2:$D$2427,IF($X$2:$X$2427&gt;0,1))))&gt;0,SUM(IF(A2223=$A$2:$A$2427,IF(D2223=$D$2:$D$2427,$X$2:$X$2427)))/COUNT(IF(A2223=$A$2:$A$2427,IF(D2223=$D$2:$D$2427,IF(ISNUMBER($X$2:$X$2427),1)))),0),""),0)</f>
        <v/>
      </c>
      <c r="Z2223" s="104" t="str">
        <f>IF(ISNUMBER(O2223),IF(I2223&gt;0,(10^(VLOOKUP(D2223,'Species Codes'!B:C,2,0)+VLOOKUP(D2223,'Species Codes'!B:D,3,0)*LOG(E2223)+VLOOKUP(D2223,'Species Codes'!B:E,4,0)*LOG(I2223))),0),"")</f>
        <v/>
      </c>
      <c r="AA2223" s="104" t="str">
        <f>IFERROR((VLOOKUP(D2223,'Species Codes'!B:G,6,0)*Z2223)/2000,"")</f>
        <v/>
      </c>
      <c r="AB2223" s="104" t="e">
        <f>IF(Z2223&gt;0,((IF(OR(D2223="DF",D2223="RA")=TRUE,EXP(VLOOKUP(D2223,'Species Codes'!B:I,8,0)+VLOOKUP(D2223,'Species Codes'!B:J,9,0)*(LN((E2223*2.54)))),IF(OR(D2223="PY",D2223="RC",D2223="WH",D2223="NF")=TRUE,VLOOKUP(D2223,'Species Codes'!B:I,8,0)+VLOOKUP(D2223,'Species Codes'!B:J,9,0)*((E2223*2.54)^2)*(I2223*0.3048),IF(OR(D2223="MD",D2223="BM",D2223="GA")=TRUE,((VLOOKUP(D2223,'Species Codes'!B:I,8,0)*(((((E2223*2.54)+VLOOKUP(D2223,'Species Codes'!B:J,9,0))/VLOOKUP(D2223,'Species Codes'!B:K,10,0))^VLOOKUP(D2223,'Species Codes'!B:L,11,0))*((I2223*0.3048)^VLOOKUP(D2223,'Species Codes'!B:M,12,0))))-(VLOOKUP(D2223,'Species Codes'!B:I,8,0)*((((E2223*2.54)^VLOOKUP(D2223,'Species Codes'!B:L,11,0))*((I2223*0.3048)^VLOOKUP(D2223,'Species Codes'!B:M,12,0))))))*35.3*VLOOKUP(D2223,'Species Codes'!B:G,6,0)/2.2046,VLOOKUP(D2223,'Species Codes'!B:I,8,0)+VLOOKUP(D2223,'Species Codes'!B:J,9,0)*(((E2223*2.54)/100)^2)*(I2223*0.3048)))))*0.0011023),0)</f>
        <v>#N/A</v>
      </c>
      <c r="AC2223" s="104" t="e">
        <f>IF(Z2223&gt;0,((IF(OR(D2223="RA",D2223="OA",D2223="OT",D2223="UN",D2223="PC"),EXP(VLOOKUP(D2223,'Species Codes'!B:O,14,0)+VLOOKUP(D2223,'Species Codes'!B:P,15,0)*LN((E2223*2.54)))-EXP(VLOOKUP(D2223,'Species Codes'!B:O,14,0)+VLOOKUP(D2223,'Species Codes'!B:P,15,0)*LN((E2223*2.54)))*(1/(VLOOKUP(D2223,'Species Codes'!B:Q,16,0)+VLOOKUP(D2223,'Species Codes'!B:R,17,0)*((E2223*2.54)^VLOOKUP(D2223,'Species Codes'!B:S,18,0)))),IF(OR(D2223="BM",D2223="MD",D2223="OA"),EXP(VLOOKUP(D2223,'Species Codes'!B:O,14,0)+VLOOKUP(D2223,'Species Codes'!B:P,15,0)*LN((E2223*2.54)))*(1-(1/(VLOOKUP(D2223,'Species Codes'!B:Q,16,0)+VLOOKUP(D2223,'Species Codes'!B:R,17,0)*((E2223*2.54)^VLOOKUP(D2223,'Species Codes'!B:S,18,0)))))/1000,IF(D2223="DF",EXP(VLOOKUP(D2223,'Species Codes'!B:O,14,0)+VLOOKUP(D2223,'Species Codes'!B:P,15,0)*LN((E2223*2.54))),VLOOKUP(D2223,'Species Codes'!B:O,14,0)+VLOOKUP(D2223,'Species Codes'!B:P,15,0)*(((E2223*2.54)/100)^2)*(I2223*0.3048)))))*0.0011023),0)</f>
        <v>#N/A</v>
      </c>
      <c r="AD2223" s="104" t="e">
        <f t="shared" si="976"/>
        <v>#N/A</v>
      </c>
      <c r="AE2223" s="104" t="e">
        <f t="shared" si="977"/>
        <v>#N/A</v>
      </c>
      <c r="AF2223" s="104" t="e">
        <f>IF(AND(VLOOKUP($D2223,Merchantability!$B:$C,2,0)="Yes",$E2223&gt;=VLOOKUP($D2223,Merchantability!$B:$D,3,0),$E2223&lt;=VLOOKUP($D2223,Merchantability!$B:$E,4,0)),AA2223,0)</f>
        <v>#N/A</v>
      </c>
      <c r="AG2223" s="104" t="e">
        <f>IF(AND(VLOOKUP($D2223,Merchantability!$B:$C,2,0)="Yes",$E2223&gt;=VLOOKUP($D2223,Merchantability!$B:$D,3,0),$E2223&lt;=VLOOKUP($D2223,Merchantability!$B:$E,4,0)),AB2223,0)</f>
        <v>#N/A</v>
      </c>
      <c r="AH2223" s="104" t="e">
        <f>IF(AND(VLOOKUP($D2223,Merchantability!$B:$C,2,0)="Yes",$E2223&gt;=VLOOKUP($D2223,Merchantability!$B:$D,3,0),$E2223&lt;=VLOOKUP($D2223,Merchantability!$B:$E,4,0)),AC2223,0)</f>
        <v>#N/A</v>
      </c>
      <c r="AI2223" s="104" t="e">
        <f t="shared" si="978"/>
        <v>#N/A</v>
      </c>
      <c r="AJ2223" s="104" t="e">
        <f t="shared" si="979"/>
        <v>#VALUE!</v>
      </c>
      <c r="AK2223" s="104" t="e">
        <f t="shared" si="980"/>
        <v>#N/A</v>
      </c>
      <c r="AL2223" s="104" t="e">
        <f t="shared" si="981"/>
        <v>#N/A</v>
      </c>
      <c r="AM2223" s="104" t="e">
        <f t="shared" si="982"/>
        <v>#N/A</v>
      </c>
      <c r="AN2223" s="104" t="e">
        <f t="shared" si="966"/>
        <v>#N/A</v>
      </c>
      <c r="AO2223" s="104" t="e">
        <f t="shared" si="967"/>
        <v>#N/A</v>
      </c>
      <c r="AP2223" s="104" t="e">
        <f t="shared" si="968"/>
        <v>#N/A</v>
      </c>
      <c r="AQ2223" s="104" t="e">
        <f t="shared" si="969"/>
        <v>#N/A</v>
      </c>
      <c r="AR2223" s="105" t="str">
        <f t="shared" si="961"/>
        <v/>
      </c>
      <c r="AS2223" s="105" t="str">
        <f t="shared" si="962"/>
        <v/>
      </c>
      <c r="AT2223" s="108" t="str">
        <f t="shared" si="963"/>
        <v/>
      </c>
      <c r="AU2223" s="108" t="str">
        <f t="shared" si="964"/>
        <v/>
      </c>
      <c r="AV2223" s="107" t="str">
        <f>IF(ISNUMBER(O2223),IF(VLOOKUP($A2223,Stand!C:J,8,FALSE)="Short",AT2223,AU2223),"")</f>
        <v/>
      </c>
      <c r="AW2223" s="109" t="str">
        <f t="shared" si="970"/>
        <v/>
      </c>
      <c r="AX2223" s="109" t="str">
        <f t="shared" si="971"/>
        <v/>
      </c>
      <c r="AY2223" s="112" t="str">
        <f>IF(ISNUMBER(O2223),IF(AND(VLOOKUP($D2223,Merchantability!$B:$C,2,0)="Yes",$E2223&gt;=VLOOKUP($D2223,Merchantability!$B:$D,3,0),$E2223&lt;=VLOOKUP($D2223,Merchantability!$B:$E,4,0)),(AV2223*O2223)*(1-$H2223/100),""),"")</f>
        <v/>
      </c>
      <c r="AZ2223" s="116"/>
      <c r="BA2223" s="116"/>
      <c r="BB2223" s="116"/>
      <c r="BE2223" s="62"/>
      <c r="BF2223" s="63"/>
    </row>
    <row r="2224" spans="1:58" ht="12.75" customHeight="1" x14ac:dyDescent="0.25">
      <c r="A2224" s="334"/>
      <c r="B2224" s="334"/>
      <c r="C2224" s="332"/>
      <c r="D2224" s="334"/>
      <c r="E2224" s="335"/>
      <c r="F2224" s="334"/>
      <c r="G2224" s="332"/>
      <c r="H2224" s="332"/>
      <c r="I2224" s="334"/>
      <c r="J2224" s="336"/>
      <c r="K2224" s="332"/>
      <c r="L2224" s="332"/>
      <c r="M2224" s="76"/>
      <c r="N2224" s="103" t="str">
        <f>IF(A2224="","",VLOOKUP(A2224,Stand!C:K,9,0))</f>
        <v/>
      </c>
      <c r="O2224" s="104" t="str">
        <f t="shared" si="956"/>
        <v/>
      </c>
      <c r="P2224" s="105" t="str">
        <f t="shared" si="957"/>
        <v/>
      </c>
      <c r="Q2224" s="105" t="str">
        <f t="shared" si="972"/>
        <v/>
      </c>
      <c r="R2224" s="103" t="str">
        <f t="shared" si="958"/>
        <v/>
      </c>
      <c r="S2224" s="103" t="str">
        <f t="shared" si="959"/>
        <v/>
      </c>
      <c r="T2224" s="106" t="str">
        <f t="shared" si="973"/>
        <v/>
      </c>
      <c r="U2224" s="106" t="str">
        <f t="shared" si="974"/>
        <v/>
      </c>
      <c r="V2224" s="106" t="str">
        <f t="shared" si="975"/>
        <v/>
      </c>
      <c r="W2224" s="105" t="str">
        <f t="shared" si="960"/>
        <v/>
      </c>
      <c r="X2224" s="104" t="str">
        <f t="shared" si="965"/>
        <v/>
      </c>
      <c r="Y2224" s="104" t="str">
        <f t="array" ref="Y2224">IFERROR(IF(ISNUMBER(O2224),IF(COUNT(IF(A2224=$A$2:$A$2427,IF(D2224=$D$2:$D$2427,IF($X$2:$X$2427&gt;0,1))))&gt;0,SUM(IF(A2224=$A$2:$A$2427,IF(D2224=$D$2:$D$2427,$X$2:$X$2427)))/COUNT(IF(A2224=$A$2:$A$2427,IF(D2224=$D$2:$D$2427,IF(ISNUMBER($X$2:$X$2427),1)))),0),""),0)</f>
        <v/>
      </c>
      <c r="Z2224" s="104" t="str">
        <f>IF(ISNUMBER(O2224),IF(I2224&gt;0,(10^(VLOOKUP(D2224,'Species Codes'!B:C,2,0)+VLOOKUP(D2224,'Species Codes'!B:D,3,0)*LOG(E2224)+VLOOKUP(D2224,'Species Codes'!B:E,4,0)*LOG(I2224))),0),"")</f>
        <v/>
      </c>
      <c r="AA2224" s="104" t="str">
        <f>IFERROR((VLOOKUP(D2224,'Species Codes'!B:G,6,0)*Z2224)/2000,"")</f>
        <v/>
      </c>
      <c r="AB2224" s="104" t="e">
        <f>IF(Z2224&gt;0,((IF(OR(D2224="DF",D2224="RA")=TRUE,EXP(VLOOKUP(D2224,'Species Codes'!B:I,8,0)+VLOOKUP(D2224,'Species Codes'!B:J,9,0)*(LN((E2224*2.54)))),IF(OR(D2224="PY",D2224="RC",D2224="WH",D2224="NF")=TRUE,VLOOKUP(D2224,'Species Codes'!B:I,8,0)+VLOOKUP(D2224,'Species Codes'!B:J,9,0)*((E2224*2.54)^2)*(I2224*0.3048),IF(OR(D2224="MD",D2224="BM",D2224="GA")=TRUE,((VLOOKUP(D2224,'Species Codes'!B:I,8,0)*(((((E2224*2.54)+VLOOKUP(D2224,'Species Codes'!B:J,9,0))/VLOOKUP(D2224,'Species Codes'!B:K,10,0))^VLOOKUP(D2224,'Species Codes'!B:L,11,0))*((I2224*0.3048)^VLOOKUP(D2224,'Species Codes'!B:M,12,0))))-(VLOOKUP(D2224,'Species Codes'!B:I,8,0)*((((E2224*2.54)^VLOOKUP(D2224,'Species Codes'!B:L,11,0))*((I2224*0.3048)^VLOOKUP(D2224,'Species Codes'!B:M,12,0))))))*35.3*VLOOKUP(D2224,'Species Codes'!B:G,6,0)/2.2046,VLOOKUP(D2224,'Species Codes'!B:I,8,0)+VLOOKUP(D2224,'Species Codes'!B:J,9,0)*(((E2224*2.54)/100)^2)*(I2224*0.3048)))))*0.0011023),0)</f>
        <v>#N/A</v>
      </c>
      <c r="AC2224" s="104" t="e">
        <f>IF(Z2224&gt;0,((IF(OR(D2224="RA",D2224="OA",D2224="OT",D2224="UN",D2224="PC"),EXP(VLOOKUP(D2224,'Species Codes'!B:O,14,0)+VLOOKUP(D2224,'Species Codes'!B:P,15,0)*LN((E2224*2.54)))-EXP(VLOOKUP(D2224,'Species Codes'!B:O,14,0)+VLOOKUP(D2224,'Species Codes'!B:P,15,0)*LN((E2224*2.54)))*(1/(VLOOKUP(D2224,'Species Codes'!B:Q,16,0)+VLOOKUP(D2224,'Species Codes'!B:R,17,0)*((E2224*2.54)^VLOOKUP(D2224,'Species Codes'!B:S,18,0)))),IF(OR(D2224="BM",D2224="MD",D2224="OA"),EXP(VLOOKUP(D2224,'Species Codes'!B:O,14,0)+VLOOKUP(D2224,'Species Codes'!B:P,15,0)*LN((E2224*2.54)))*(1-(1/(VLOOKUP(D2224,'Species Codes'!B:Q,16,0)+VLOOKUP(D2224,'Species Codes'!B:R,17,0)*((E2224*2.54)^VLOOKUP(D2224,'Species Codes'!B:S,18,0)))))/1000,IF(D2224="DF",EXP(VLOOKUP(D2224,'Species Codes'!B:O,14,0)+VLOOKUP(D2224,'Species Codes'!B:P,15,0)*LN((E2224*2.54))),VLOOKUP(D2224,'Species Codes'!B:O,14,0)+VLOOKUP(D2224,'Species Codes'!B:P,15,0)*(((E2224*2.54)/100)^2)*(I2224*0.3048)))))*0.0011023),0)</f>
        <v>#N/A</v>
      </c>
      <c r="AD2224" s="104" t="e">
        <f t="shared" si="976"/>
        <v>#N/A</v>
      </c>
      <c r="AE2224" s="104" t="e">
        <f t="shared" si="977"/>
        <v>#N/A</v>
      </c>
      <c r="AF2224" s="104" t="e">
        <f>IF(AND(VLOOKUP($D2224,Merchantability!$B:$C,2,0)="Yes",$E2224&gt;=VLOOKUP($D2224,Merchantability!$B:$D,3,0),$E2224&lt;=VLOOKUP($D2224,Merchantability!$B:$E,4,0)),AA2224,0)</f>
        <v>#N/A</v>
      </c>
      <c r="AG2224" s="104" t="e">
        <f>IF(AND(VLOOKUP($D2224,Merchantability!$B:$C,2,0)="Yes",$E2224&gt;=VLOOKUP($D2224,Merchantability!$B:$D,3,0),$E2224&lt;=VLOOKUP($D2224,Merchantability!$B:$E,4,0)),AB2224,0)</f>
        <v>#N/A</v>
      </c>
      <c r="AH2224" s="104" t="e">
        <f>IF(AND(VLOOKUP($D2224,Merchantability!$B:$C,2,0)="Yes",$E2224&gt;=VLOOKUP($D2224,Merchantability!$B:$D,3,0),$E2224&lt;=VLOOKUP($D2224,Merchantability!$B:$E,4,0)),AC2224,0)</f>
        <v>#N/A</v>
      </c>
      <c r="AI2224" s="104" t="e">
        <f t="shared" si="978"/>
        <v>#N/A</v>
      </c>
      <c r="AJ2224" s="104" t="e">
        <f t="shared" si="979"/>
        <v>#VALUE!</v>
      </c>
      <c r="AK2224" s="104" t="e">
        <f t="shared" si="980"/>
        <v>#N/A</v>
      </c>
      <c r="AL2224" s="104" t="e">
        <f t="shared" si="981"/>
        <v>#N/A</v>
      </c>
      <c r="AM2224" s="104" t="e">
        <f t="shared" si="982"/>
        <v>#N/A</v>
      </c>
      <c r="AN2224" s="104" t="e">
        <f t="shared" si="966"/>
        <v>#N/A</v>
      </c>
      <c r="AO2224" s="104" t="e">
        <f t="shared" si="967"/>
        <v>#N/A</v>
      </c>
      <c r="AP2224" s="104" t="e">
        <f t="shared" si="968"/>
        <v>#N/A</v>
      </c>
      <c r="AQ2224" s="104" t="e">
        <f t="shared" si="969"/>
        <v>#N/A</v>
      </c>
      <c r="AR2224" s="105" t="str">
        <f t="shared" si="961"/>
        <v/>
      </c>
      <c r="AS2224" s="105" t="str">
        <f t="shared" si="962"/>
        <v/>
      </c>
      <c r="AT2224" s="108" t="str">
        <f t="shared" si="963"/>
        <v/>
      </c>
      <c r="AU2224" s="108" t="str">
        <f t="shared" si="964"/>
        <v/>
      </c>
      <c r="AV2224" s="107" t="str">
        <f>IF(ISNUMBER(O2224),IF(VLOOKUP($A2224,Stand!C:J,8,FALSE)="Short",AT2224,AU2224),"")</f>
        <v/>
      </c>
      <c r="AW2224" s="109" t="str">
        <f t="shared" si="970"/>
        <v/>
      </c>
      <c r="AX2224" s="109" t="str">
        <f t="shared" si="971"/>
        <v/>
      </c>
      <c r="AY2224" s="112" t="str">
        <f>IF(ISNUMBER(O2224),IF(AND(VLOOKUP($D2224,Merchantability!$B:$C,2,0)="Yes",$E2224&gt;=VLOOKUP($D2224,Merchantability!$B:$D,3,0),$E2224&lt;=VLOOKUP($D2224,Merchantability!$B:$E,4,0)),(AV2224*O2224)*(1-$H2224/100),""),"")</f>
        <v/>
      </c>
      <c r="AZ2224" s="116"/>
      <c r="BA2224" s="116"/>
      <c r="BB2224" s="116"/>
      <c r="BE2224" s="62"/>
      <c r="BF2224" s="63"/>
    </row>
    <row r="2225" spans="1:58" ht="12.75" customHeight="1" x14ac:dyDescent="0.25">
      <c r="A2225" s="334"/>
      <c r="B2225" s="334"/>
      <c r="C2225" s="332"/>
      <c r="D2225" s="334"/>
      <c r="E2225" s="335"/>
      <c r="F2225" s="334"/>
      <c r="G2225" s="332"/>
      <c r="H2225" s="332"/>
      <c r="I2225" s="334"/>
      <c r="J2225" s="336"/>
      <c r="K2225" s="332"/>
      <c r="L2225" s="332"/>
      <c r="M2225" s="76"/>
      <c r="N2225" s="103" t="str">
        <f>IF(A2225="","",VLOOKUP(A2225,Stand!C:K,9,0))</f>
        <v/>
      </c>
      <c r="O2225" s="104" t="str">
        <f t="shared" si="956"/>
        <v/>
      </c>
      <c r="P2225" s="105" t="str">
        <f t="shared" si="957"/>
        <v/>
      </c>
      <c r="Q2225" s="105" t="str">
        <f t="shared" si="972"/>
        <v/>
      </c>
      <c r="R2225" s="103" t="str">
        <f t="shared" si="958"/>
        <v/>
      </c>
      <c r="S2225" s="103" t="str">
        <f t="shared" si="959"/>
        <v/>
      </c>
      <c r="T2225" s="106" t="str">
        <f t="shared" si="973"/>
        <v/>
      </c>
      <c r="U2225" s="106" t="str">
        <f t="shared" si="974"/>
        <v/>
      </c>
      <c r="V2225" s="106" t="str">
        <f t="shared" si="975"/>
        <v/>
      </c>
      <c r="W2225" s="105" t="str">
        <f t="shared" si="960"/>
        <v/>
      </c>
      <c r="X2225" s="104" t="str">
        <f t="shared" si="965"/>
        <v/>
      </c>
      <c r="Y2225" s="104" t="str">
        <f t="array" ref="Y2225">IFERROR(IF(ISNUMBER(O2225),IF(COUNT(IF(A2225=$A$2:$A$2427,IF(D2225=$D$2:$D$2427,IF($X$2:$X$2427&gt;0,1))))&gt;0,SUM(IF(A2225=$A$2:$A$2427,IF(D2225=$D$2:$D$2427,$X$2:$X$2427)))/COUNT(IF(A2225=$A$2:$A$2427,IF(D2225=$D$2:$D$2427,IF(ISNUMBER($X$2:$X$2427),1)))),0),""),0)</f>
        <v/>
      </c>
      <c r="Z2225" s="104" t="str">
        <f>IF(ISNUMBER(O2225),IF(I2225&gt;0,(10^(VLOOKUP(D2225,'Species Codes'!B:C,2,0)+VLOOKUP(D2225,'Species Codes'!B:D,3,0)*LOG(E2225)+VLOOKUP(D2225,'Species Codes'!B:E,4,0)*LOG(I2225))),0),"")</f>
        <v/>
      </c>
      <c r="AA2225" s="104" t="str">
        <f>IFERROR((VLOOKUP(D2225,'Species Codes'!B:G,6,0)*Z2225)/2000,"")</f>
        <v/>
      </c>
      <c r="AB2225" s="104" t="e">
        <f>IF(Z2225&gt;0,((IF(OR(D2225="DF",D2225="RA")=TRUE,EXP(VLOOKUP(D2225,'Species Codes'!B:I,8,0)+VLOOKUP(D2225,'Species Codes'!B:J,9,0)*(LN((E2225*2.54)))),IF(OR(D2225="PY",D2225="RC",D2225="WH",D2225="NF")=TRUE,VLOOKUP(D2225,'Species Codes'!B:I,8,0)+VLOOKUP(D2225,'Species Codes'!B:J,9,0)*((E2225*2.54)^2)*(I2225*0.3048),IF(OR(D2225="MD",D2225="BM",D2225="GA")=TRUE,((VLOOKUP(D2225,'Species Codes'!B:I,8,0)*(((((E2225*2.54)+VLOOKUP(D2225,'Species Codes'!B:J,9,0))/VLOOKUP(D2225,'Species Codes'!B:K,10,0))^VLOOKUP(D2225,'Species Codes'!B:L,11,0))*((I2225*0.3048)^VLOOKUP(D2225,'Species Codes'!B:M,12,0))))-(VLOOKUP(D2225,'Species Codes'!B:I,8,0)*((((E2225*2.54)^VLOOKUP(D2225,'Species Codes'!B:L,11,0))*((I2225*0.3048)^VLOOKUP(D2225,'Species Codes'!B:M,12,0))))))*35.3*VLOOKUP(D2225,'Species Codes'!B:G,6,0)/2.2046,VLOOKUP(D2225,'Species Codes'!B:I,8,0)+VLOOKUP(D2225,'Species Codes'!B:J,9,0)*(((E2225*2.54)/100)^2)*(I2225*0.3048)))))*0.0011023),0)</f>
        <v>#N/A</v>
      </c>
      <c r="AC2225" s="104" t="e">
        <f>IF(Z2225&gt;0,((IF(OR(D2225="RA",D2225="OA",D2225="OT",D2225="UN",D2225="PC"),EXP(VLOOKUP(D2225,'Species Codes'!B:O,14,0)+VLOOKUP(D2225,'Species Codes'!B:P,15,0)*LN((E2225*2.54)))-EXP(VLOOKUP(D2225,'Species Codes'!B:O,14,0)+VLOOKUP(D2225,'Species Codes'!B:P,15,0)*LN((E2225*2.54)))*(1/(VLOOKUP(D2225,'Species Codes'!B:Q,16,0)+VLOOKUP(D2225,'Species Codes'!B:R,17,0)*((E2225*2.54)^VLOOKUP(D2225,'Species Codes'!B:S,18,0)))),IF(OR(D2225="BM",D2225="MD",D2225="OA"),EXP(VLOOKUP(D2225,'Species Codes'!B:O,14,0)+VLOOKUP(D2225,'Species Codes'!B:P,15,0)*LN((E2225*2.54)))*(1-(1/(VLOOKUP(D2225,'Species Codes'!B:Q,16,0)+VLOOKUP(D2225,'Species Codes'!B:R,17,0)*((E2225*2.54)^VLOOKUP(D2225,'Species Codes'!B:S,18,0)))))/1000,IF(D2225="DF",EXP(VLOOKUP(D2225,'Species Codes'!B:O,14,0)+VLOOKUP(D2225,'Species Codes'!B:P,15,0)*LN((E2225*2.54))),VLOOKUP(D2225,'Species Codes'!B:O,14,0)+VLOOKUP(D2225,'Species Codes'!B:P,15,0)*(((E2225*2.54)/100)^2)*(I2225*0.3048)))))*0.0011023),0)</f>
        <v>#N/A</v>
      </c>
      <c r="AD2225" s="104" t="e">
        <f t="shared" si="976"/>
        <v>#N/A</v>
      </c>
      <c r="AE2225" s="104" t="e">
        <f t="shared" si="977"/>
        <v>#N/A</v>
      </c>
      <c r="AF2225" s="104" t="e">
        <f>IF(AND(VLOOKUP($D2225,Merchantability!$B:$C,2,0)="Yes",$E2225&gt;=VLOOKUP($D2225,Merchantability!$B:$D,3,0),$E2225&lt;=VLOOKUP($D2225,Merchantability!$B:$E,4,0)),AA2225,0)</f>
        <v>#N/A</v>
      </c>
      <c r="AG2225" s="104" t="e">
        <f>IF(AND(VLOOKUP($D2225,Merchantability!$B:$C,2,0)="Yes",$E2225&gt;=VLOOKUP($D2225,Merchantability!$B:$D,3,0),$E2225&lt;=VLOOKUP($D2225,Merchantability!$B:$E,4,0)),AB2225,0)</f>
        <v>#N/A</v>
      </c>
      <c r="AH2225" s="104" t="e">
        <f>IF(AND(VLOOKUP($D2225,Merchantability!$B:$C,2,0)="Yes",$E2225&gt;=VLOOKUP($D2225,Merchantability!$B:$D,3,0),$E2225&lt;=VLOOKUP($D2225,Merchantability!$B:$E,4,0)),AC2225,0)</f>
        <v>#N/A</v>
      </c>
      <c r="AI2225" s="104" t="e">
        <f t="shared" si="978"/>
        <v>#N/A</v>
      </c>
      <c r="AJ2225" s="104" t="e">
        <f t="shared" si="979"/>
        <v>#VALUE!</v>
      </c>
      <c r="AK2225" s="104" t="e">
        <f t="shared" si="980"/>
        <v>#N/A</v>
      </c>
      <c r="AL2225" s="104" t="e">
        <f t="shared" si="981"/>
        <v>#N/A</v>
      </c>
      <c r="AM2225" s="104" t="e">
        <f t="shared" si="982"/>
        <v>#N/A</v>
      </c>
      <c r="AN2225" s="104" t="e">
        <f t="shared" si="966"/>
        <v>#N/A</v>
      </c>
      <c r="AO2225" s="104" t="e">
        <f t="shared" si="967"/>
        <v>#N/A</v>
      </c>
      <c r="AP2225" s="104" t="e">
        <f t="shared" si="968"/>
        <v>#N/A</v>
      </c>
      <c r="AQ2225" s="104" t="e">
        <f t="shared" si="969"/>
        <v>#N/A</v>
      </c>
      <c r="AR2225" s="105" t="str">
        <f t="shared" si="961"/>
        <v/>
      </c>
      <c r="AS2225" s="105" t="str">
        <f t="shared" si="962"/>
        <v/>
      </c>
      <c r="AT2225" s="108" t="str">
        <f t="shared" si="963"/>
        <v/>
      </c>
      <c r="AU2225" s="108" t="str">
        <f t="shared" si="964"/>
        <v/>
      </c>
      <c r="AV2225" s="107" t="str">
        <f>IF(ISNUMBER(O2225),IF(VLOOKUP($A2225,Stand!C:J,8,FALSE)="Short",AT2225,AU2225),"")</f>
        <v/>
      </c>
      <c r="AW2225" s="109" t="str">
        <f t="shared" si="970"/>
        <v/>
      </c>
      <c r="AX2225" s="109" t="str">
        <f t="shared" si="971"/>
        <v/>
      </c>
      <c r="AY2225" s="112" t="str">
        <f>IF(ISNUMBER(O2225),IF(AND(VLOOKUP($D2225,Merchantability!$B:$C,2,0)="Yes",$E2225&gt;=VLOOKUP($D2225,Merchantability!$B:$D,3,0),$E2225&lt;=VLOOKUP($D2225,Merchantability!$B:$E,4,0)),(AV2225*O2225)*(1-$H2225/100),""),"")</f>
        <v/>
      </c>
      <c r="AZ2225" s="116"/>
      <c r="BA2225" s="116"/>
      <c r="BB2225" s="116"/>
      <c r="BE2225" s="62"/>
      <c r="BF2225" s="63"/>
    </row>
    <row r="2226" spans="1:58" ht="12.75" customHeight="1" x14ac:dyDescent="0.25">
      <c r="A2226" s="334"/>
      <c r="B2226" s="334"/>
      <c r="C2226" s="332"/>
      <c r="D2226" s="334"/>
      <c r="E2226" s="335"/>
      <c r="F2226" s="334"/>
      <c r="G2226" s="332"/>
      <c r="H2226" s="332"/>
      <c r="I2226" s="334"/>
      <c r="J2226" s="336"/>
      <c r="K2226" s="332"/>
      <c r="L2226" s="332"/>
      <c r="M2226" s="76"/>
      <c r="N2226" s="103" t="str">
        <f>IF(A2226="","",VLOOKUP(A2226,Stand!C:K,9,0))</f>
        <v/>
      </c>
      <c r="O2226" s="104" t="str">
        <f t="shared" si="956"/>
        <v/>
      </c>
      <c r="P2226" s="105" t="str">
        <f t="shared" si="957"/>
        <v/>
      </c>
      <c r="Q2226" s="105" t="str">
        <f t="shared" si="972"/>
        <v/>
      </c>
      <c r="R2226" s="103" t="str">
        <f t="shared" si="958"/>
        <v/>
      </c>
      <c r="S2226" s="103" t="str">
        <f t="shared" si="959"/>
        <v/>
      </c>
      <c r="T2226" s="106" t="str">
        <f t="shared" si="973"/>
        <v/>
      </c>
      <c r="U2226" s="106" t="str">
        <f t="shared" si="974"/>
        <v/>
      </c>
      <c r="V2226" s="106" t="str">
        <f t="shared" si="975"/>
        <v/>
      </c>
      <c r="W2226" s="105" t="str">
        <f t="shared" si="960"/>
        <v/>
      </c>
      <c r="X2226" s="104" t="str">
        <f t="shared" si="965"/>
        <v/>
      </c>
      <c r="Y2226" s="104" t="str">
        <f t="array" ref="Y2226">IFERROR(IF(ISNUMBER(O2226),IF(COUNT(IF(A2226=$A$2:$A$2427,IF(D2226=$D$2:$D$2427,IF($X$2:$X$2427&gt;0,1))))&gt;0,SUM(IF(A2226=$A$2:$A$2427,IF(D2226=$D$2:$D$2427,$X$2:$X$2427)))/COUNT(IF(A2226=$A$2:$A$2427,IF(D2226=$D$2:$D$2427,IF(ISNUMBER($X$2:$X$2427),1)))),0),""),0)</f>
        <v/>
      </c>
      <c r="Z2226" s="104" t="str">
        <f>IF(ISNUMBER(O2226),IF(I2226&gt;0,(10^(VLOOKUP(D2226,'Species Codes'!B:C,2,0)+VLOOKUP(D2226,'Species Codes'!B:D,3,0)*LOG(E2226)+VLOOKUP(D2226,'Species Codes'!B:E,4,0)*LOG(I2226))),0),"")</f>
        <v/>
      </c>
      <c r="AA2226" s="104" t="str">
        <f>IFERROR((VLOOKUP(D2226,'Species Codes'!B:G,6,0)*Z2226)/2000,"")</f>
        <v/>
      </c>
      <c r="AB2226" s="104" t="e">
        <f>IF(Z2226&gt;0,((IF(OR(D2226="DF",D2226="RA")=TRUE,EXP(VLOOKUP(D2226,'Species Codes'!B:I,8,0)+VLOOKUP(D2226,'Species Codes'!B:J,9,0)*(LN((E2226*2.54)))),IF(OR(D2226="PY",D2226="RC",D2226="WH",D2226="NF")=TRUE,VLOOKUP(D2226,'Species Codes'!B:I,8,0)+VLOOKUP(D2226,'Species Codes'!B:J,9,0)*((E2226*2.54)^2)*(I2226*0.3048),IF(OR(D2226="MD",D2226="BM",D2226="GA")=TRUE,((VLOOKUP(D2226,'Species Codes'!B:I,8,0)*(((((E2226*2.54)+VLOOKUP(D2226,'Species Codes'!B:J,9,0))/VLOOKUP(D2226,'Species Codes'!B:K,10,0))^VLOOKUP(D2226,'Species Codes'!B:L,11,0))*((I2226*0.3048)^VLOOKUP(D2226,'Species Codes'!B:M,12,0))))-(VLOOKUP(D2226,'Species Codes'!B:I,8,0)*((((E2226*2.54)^VLOOKUP(D2226,'Species Codes'!B:L,11,0))*((I2226*0.3048)^VLOOKUP(D2226,'Species Codes'!B:M,12,0))))))*35.3*VLOOKUP(D2226,'Species Codes'!B:G,6,0)/2.2046,VLOOKUP(D2226,'Species Codes'!B:I,8,0)+VLOOKUP(D2226,'Species Codes'!B:J,9,0)*(((E2226*2.54)/100)^2)*(I2226*0.3048)))))*0.0011023),0)</f>
        <v>#N/A</v>
      </c>
      <c r="AC2226" s="104" t="e">
        <f>IF(Z2226&gt;0,((IF(OR(D2226="RA",D2226="OA",D2226="OT",D2226="UN",D2226="PC"),EXP(VLOOKUP(D2226,'Species Codes'!B:O,14,0)+VLOOKUP(D2226,'Species Codes'!B:P,15,0)*LN((E2226*2.54)))-EXP(VLOOKUP(D2226,'Species Codes'!B:O,14,0)+VLOOKUP(D2226,'Species Codes'!B:P,15,0)*LN((E2226*2.54)))*(1/(VLOOKUP(D2226,'Species Codes'!B:Q,16,0)+VLOOKUP(D2226,'Species Codes'!B:R,17,0)*((E2226*2.54)^VLOOKUP(D2226,'Species Codes'!B:S,18,0)))),IF(OR(D2226="BM",D2226="MD",D2226="OA"),EXP(VLOOKUP(D2226,'Species Codes'!B:O,14,0)+VLOOKUP(D2226,'Species Codes'!B:P,15,0)*LN((E2226*2.54)))*(1-(1/(VLOOKUP(D2226,'Species Codes'!B:Q,16,0)+VLOOKUP(D2226,'Species Codes'!B:R,17,0)*((E2226*2.54)^VLOOKUP(D2226,'Species Codes'!B:S,18,0)))))/1000,IF(D2226="DF",EXP(VLOOKUP(D2226,'Species Codes'!B:O,14,0)+VLOOKUP(D2226,'Species Codes'!B:P,15,0)*LN((E2226*2.54))),VLOOKUP(D2226,'Species Codes'!B:O,14,0)+VLOOKUP(D2226,'Species Codes'!B:P,15,0)*(((E2226*2.54)/100)^2)*(I2226*0.3048)))))*0.0011023),0)</f>
        <v>#N/A</v>
      </c>
      <c r="AD2226" s="104" t="e">
        <f t="shared" si="976"/>
        <v>#N/A</v>
      </c>
      <c r="AE2226" s="104" t="e">
        <f t="shared" si="977"/>
        <v>#N/A</v>
      </c>
      <c r="AF2226" s="104" t="e">
        <f>IF(AND(VLOOKUP($D2226,Merchantability!$B:$C,2,0)="Yes",$E2226&gt;=VLOOKUP($D2226,Merchantability!$B:$D,3,0),$E2226&lt;=VLOOKUP($D2226,Merchantability!$B:$E,4,0)),AA2226,0)</f>
        <v>#N/A</v>
      </c>
      <c r="AG2226" s="104" t="e">
        <f>IF(AND(VLOOKUP($D2226,Merchantability!$B:$C,2,0)="Yes",$E2226&gt;=VLOOKUP($D2226,Merchantability!$B:$D,3,0),$E2226&lt;=VLOOKUP($D2226,Merchantability!$B:$E,4,0)),AB2226,0)</f>
        <v>#N/A</v>
      </c>
      <c r="AH2226" s="104" t="e">
        <f>IF(AND(VLOOKUP($D2226,Merchantability!$B:$C,2,0)="Yes",$E2226&gt;=VLOOKUP($D2226,Merchantability!$B:$D,3,0),$E2226&lt;=VLOOKUP($D2226,Merchantability!$B:$E,4,0)),AC2226,0)</f>
        <v>#N/A</v>
      </c>
      <c r="AI2226" s="104" t="e">
        <f t="shared" si="978"/>
        <v>#N/A</v>
      </c>
      <c r="AJ2226" s="104" t="e">
        <f t="shared" si="979"/>
        <v>#VALUE!</v>
      </c>
      <c r="AK2226" s="104" t="e">
        <f t="shared" si="980"/>
        <v>#N/A</v>
      </c>
      <c r="AL2226" s="104" t="e">
        <f t="shared" si="981"/>
        <v>#N/A</v>
      </c>
      <c r="AM2226" s="104" t="e">
        <f t="shared" si="982"/>
        <v>#N/A</v>
      </c>
      <c r="AN2226" s="104" t="e">
        <f t="shared" si="966"/>
        <v>#N/A</v>
      </c>
      <c r="AO2226" s="104" t="e">
        <f t="shared" si="967"/>
        <v>#N/A</v>
      </c>
      <c r="AP2226" s="104" t="e">
        <f t="shared" si="968"/>
        <v>#N/A</v>
      </c>
      <c r="AQ2226" s="104" t="e">
        <f t="shared" si="969"/>
        <v>#N/A</v>
      </c>
      <c r="AR2226" s="105" t="str">
        <f t="shared" si="961"/>
        <v/>
      </c>
      <c r="AS2226" s="105" t="str">
        <f t="shared" si="962"/>
        <v/>
      </c>
      <c r="AT2226" s="108" t="str">
        <f t="shared" si="963"/>
        <v/>
      </c>
      <c r="AU2226" s="108" t="str">
        <f t="shared" si="964"/>
        <v/>
      </c>
      <c r="AV2226" s="107" t="str">
        <f>IF(ISNUMBER(O2226),IF(VLOOKUP($A2226,Stand!C:J,8,FALSE)="Short",AT2226,AU2226),"")</f>
        <v/>
      </c>
      <c r="AW2226" s="109" t="str">
        <f t="shared" si="970"/>
        <v/>
      </c>
      <c r="AX2226" s="109" t="str">
        <f t="shared" si="971"/>
        <v/>
      </c>
      <c r="AY2226" s="112" t="str">
        <f>IF(ISNUMBER(O2226),IF(AND(VLOOKUP($D2226,Merchantability!$B:$C,2,0)="Yes",$E2226&gt;=VLOOKUP($D2226,Merchantability!$B:$D,3,0),$E2226&lt;=VLOOKUP($D2226,Merchantability!$B:$E,4,0)),(AV2226*O2226)*(1-$H2226/100),""),"")</f>
        <v/>
      </c>
      <c r="AZ2226" s="116"/>
      <c r="BA2226" s="116"/>
      <c r="BB2226" s="116"/>
      <c r="BE2226" s="62"/>
      <c r="BF2226" s="63"/>
    </row>
    <row r="2227" spans="1:58" ht="12.75" customHeight="1" x14ac:dyDescent="0.25">
      <c r="A2227" s="334"/>
      <c r="B2227" s="334"/>
      <c r="C2227" s="332"/>
      <c r="D2227" s="334"/>
      <c r="E2227" s="335"/>
      <c r="F2227" s="334"/>
      <c r="G2227" s="332"/>
      <c r="H2227" s="332"/>
      <c r="I2227" s="334"/>
      <c r="J2227" s="336"/>
      <c r="K2227" s="332"/>
      <c r="L2227" s="332"/>
      <c r="M2227" s="76"/>
      <c r="N2227" s="103" t="str">
        <f>IF(A2227="","",VLOOKUP(A2227,Stand!C:K,9,0))</f>
        <v/>
      </c>
      <c r="O2227" s="104" t="str">
        <f t="shared" si="956"/>
        <v/>
      </c>
      <c r="P2227" s="105" t="str">
        <f t="shared" si="957"/>
        <v/>
      </c>
      <c r="Q2227" s="105" t="str">
        <f t="shared" si="972"/>
        <v/>
      </c>
      <c r="R2227" s="103" t="str">
        <f t="shared" si="958"/>
        <v/>
      </c>
      <c r="S2227" s="103" t="str">
        <f t="shared" si="959"/>
        <v/>
      </c>
      <c r="T2227" s="106" t="str">
        <f t="shared" si="973"/>
        <v/>
      </c>
      <c r="U2227" s="106" t="str">
        <f t="shared" si="974"/>
        <v/>
      </c>
      <c r="V2227" s="106" t="str">
        <f t="shared" si="975"/>
        <v/>
      </c>
      <c r="W2227" s="105" t="str">
        <f t="shared" si="960"/>
        <v/>
      </c>
      <c r="X2227" s="104" t="str">
        <f t="shared" si="965"/>
        <v/>
      </c>
      <c r="Y2227" s="104" t="str">
        <f t="array" ref="Y2227">IFERROR(IF(ISNUMBER(O2227),IF(COUNT(IF(A2227=$A$2:$A$2427,IF(D2227=$D$2:$D$2427,IF($X$2:$X$2427&gt;0,1))))&gt;0,SUM(IF(A2227=$A$2:$A$2427,IF(D2227=$D$2:$D$2427,$X$2:$X$2427)))/COUNT(IF(A2227=$A$2:$A$2427,IF(D2227=$D$2:$D$2427,IF(ISNUMBER($X$2:$X$2427),1)))),0),""),0)</f>
        <v/>
      </c>
      <c r="Z2227" s="104" t="str">
        <f>IF(ISNUMBER(O2227),IF(I2227&gt;0,(10^(VLOOKUP(D2227,'Species Codes'!B:C,2,0)+VLOOKUP(D2227,'Species Codes'!B:D,3,0)*LOG(E2227)+VLOOKUP(D2227,'Species Codes'!B:E,4,0)*LOG(I2227))),0),"")</f>
        <v/>
      </c>
      <c r="AA2227" s="104" t="str">
        <f>IFERROR((VLOOKUP(D2227,'Species Codes'!B:G,6,0)*Z2227)/2000,"")</f>
        <v/>
      </c>
      <c r="AB2227" s="104" t="e">
        <f>IF(Z2227&gt;0,((IF(OR(D2227="DF",D2227="RA")=TRUE,EXP(VLOOKUP(D2227,'Species Codes'!B:I,8,0)+VLOOKUP(D2227,'Species Codes'!B:J,9,0)*(LN((E2227*2.54)))),IF(OR(D2227="PY",D2227="RC",D2227="WH",D2227="NF")=TRUE,VLOOKUP(D2227,'Species Codes'!B:I,8,0)+VLOOKUP(D2227,'Species Codes'!B:J,9,0)*((E2227*2.54)^2)*(I2227*0.3048),IF(OR(D2227="MD",D2227="BM",D2227="GA")=TRUE,((VLOOKUP(D2227,'Species Codes'!B:I,8,0)*(((((E2227*2.54)+VLOOKUP(D2227,'Species Codes'!B:J,9,0))/VLOOKUP(D2227,'Species Codes'!B:K,10,0))^VLOOKUP(D2227,'Species Codes'!B:L,11,0))*((I2227*0.3048)^VLOOKUP(D2227,'Species Codes'!B:M,12,0))))-(VLOOKUP(D2227,'Species Codes'!B:I,8,0)*((((E2227*2.54)^VLOOKUP(D2227,'Species Codes'!B:L,11,0))*((I2227*0.3048)^VLOOKUP(D2227,'Species Codes'!B:M,12,0))))))*35.3*VLOOKUP(D2227,'Species Codes'!B:G,6,0)/2.2046,VLOOKUP(D2227,'Species Codes'!B:I,8,0)+VLOOKUP(D2227,'Species Codes'!B:J,9,0)*(((E2227*2.54)/100)^2)*(I2227*0.3048)))))*0.0011023),0)</f>
        <v>#N/A</v>
      </c>
      <c r="AC2227" s="104" t="e">
        <f>IF(Z2227&gt;0,((IF(OR(D2227="RA",D2227="OA",D2227="OT",D2227="UN",D2227="PC"),EXP(VLOOKUP(D2227,'Species Codes'!B:O,14,0)+VLOOKUP(D2227,'Species Codes'!B:P,15,0)*LN((E2227*2.54)))-EXP(VLOOKUP(D2227,'Species Codes'!B:O,14,0)+VLOOKUP(D2227,'Species Codes'!B:P,15,0)*LN((E2227*2.54)))*(1/(VLOOKUP(D2227,'Species Codes'!B:Q,16,0)+VLOOKUP(D2227,'Species Codes'!B:R,17,0)*((E2227*2.54)^VLOOKUP(D2227,'Species Codes'!B:S,18,0)))),IF(OR(D2227="BM",D2227="MD",D2227="OA"),EXP(VLOOKUP(D2227,'Species Codes'!B:O,14,0)+VLOOKUP(D2227,'Species Codes'!B:P,15,0)*LN((E2227*2.54)))*(1-(1/(VLOOKUP(D2227,'Species Codes'!B:Q,16,0)+VLOOKUP(D2227,'Species Codes'!B:R,17,0)*((E2227*2.54)^VLOOKUP(D2227,'Species Codes'!B:S,18,0)))))/1000,IF(D2227="DF",EXP(VLOOKUP(D2227,'Species Codes'!B:O,14,0)+VLOOKUP(D2227,'Species Codes'!B:P,15,0)*LN((E2227*2.54))),VLOOKUP(D2227,'Species Codes'!B:O,14,0)+VLOOKUP(D2227,'Species Codes'!B:P,15,0)*(((E2227*2.54)/100)^2)*(I2227*0.3048)))))*0.0011023),0)</f>
        <v>#N/A</v>
      </c>
      <c r="AD2227" s="104" t="e">
        <f t="shared" si="976"/>
        <v>#N/A</v>
      </c>
      <c r="AE2227" s="104" t="e">
        <f t="shared" si="977"/>
        <v>#N/A</v>
      </c>
      <c r="AF2227" s="104" t="e">
        <f>IF(AND(VLOOKUP($D2227,Merchantability!$B:$C,2,0)="Yes",$E2227&gt;=VLOOKUP($D2227,Merchantability!$B:$D,3,0),$E2227&lt;=VLOOKUP($D2227,Merchantability!$B:$E,4,0)),AA2227,0)</f>
        <v>#N/A</v>
      </c>
      <c r="AG2227" s="104" t="e">
        <f>IF(AND(VLOOKUP($D2227,Merchantability!$B:$C,2,0)="Yes",$E2227&gt;=VLOOKUP($D2227,Merchantability!$B:$D,3,0),$E2227&lt;=VLOOKUP($D2227,Merchantability!$B:$E,4,0)),AB2227,0)</f>
        <v>#N/A</v>
      </c>
      <c r="AH2227" s="104" t="e">
        <f>IF(AND(VLOOKUP($D2227,Merchantability!$B:$C,2,0)="Yes",$E2227&gt;=VLOOKUP($D2227,Merchantability!$B:$D,3,0),$E2227&lt;=VLOOKUP($D2227,Merchantability!$B:$E,4,0)),AC2227,0)</f>
        <v>#N/A</v>
      </c>
      <c r="AI2227" s="104" t="e">
        <f t="shared" si="978"/>
        <v>#N/A</v>
      </c>
      <c r="AJ2227" s="104" t="e">
        <f t="shared" si="979"/>
        <v>#VALUE!</v>
      </c>
      <c r="AK2227" s="104" t="e">
        <f t="shared" si="980"/>
        <v>#N/A</v>
      </c>
      <c r="AL2227" s="104" t="e">
        <f t="shared" si="981"/>
        <v>#N/A</v>
      </c>
      <c r="AM2227" s="104" t="e">
        <f t="shared" si="982"/>
        <v>#N/A</v>
      </c>
      <c r="AN2227" s="104" t="e">
        <f t="shared" si="966"/>
        <v>#N/A</v>
      </c>
      <c r="AO2227" s="104" t="e">
        <f t="shared" si="967"/>
        <v>#N/A</v>
      </c>
      <c r="AP2227" s="104" t="e">
        <f t="shared" si="968"/>
        <v>#N/A</v>
      </c>
      <c r="AQ2227" s="104" t="e">
        <f t="shared" si="969"/>
        <v>#N/A</v>
      </c>
      <c r="AR2227" s="105" t="str">
        <f t="shared" si="961"/>
        <v/>
      </c>
      <c r="AS2227" s="105" t="str">
        <f t="shared" si="962"/>
        <v/>
      </c>
      <c r="AT2227" s="108" t="str">
        <f t="shared" si="963"/>
        <v/>
      </c>
      <c r="AU2227" s="108" t="str">
        <f t="shared" si="964"/>
        <v/>
      </c>
      <c r="AV2227" s="107" t="str">
        <f>IF(ISNUMBER(O2227),IF(VLOOKUP($A2227,Stand!C:J,8,FALSE)="Short",AT2227,AU2227),"")</f>
        <v/>
      </c>
      <c r="AW2227" s="109" t="str">
        <f t="shared" si="970"/>
        <v/>
      </c>
      <c r="AX2227" s="109" t="str">
        <f t="shared" si="971"/>
        <v/>
      </c>
      <c r="AY2227" s="112" t="str">
        <f>IF(ISNUMBER(O2227),IF(AND(VLOOKUP($D2227,Merchantability!$B:$C,2,0)="Yes",$E2227&gt;=VLOOKUP($D2227,Merchantability!$B:$D,3,0),$E2227&lt;=VLOOKUP($D2227,Merchantability!$B:$E,4,0)),(AV2227*O2227)*(1-$H2227/100),""),"")</f>
        <v/>
      </c>
      <c r="AZ2227" s="116"/>
      <c r="BA2227" s="116"/>
      <c r="BB2227" s="116"/>
      <c r="BE2227" s="62"/>
      <c r="BF2227" s="63"/>
    </row>
    <row r="2228" spans="1:58" ht="12.75" customHeight="1" x14ac:dyDescent="0.25">
      <c r="A2228" s="334"/>
      <c r="B2228" s="334"/>
      <c r="C2228" s="332"/>
      <c r="D2228" s="334"/>
      <c r="E2228" s="335"/>
      <c r="F2228" s="334"/>
      <c r="G2228" s="332"/>
      <c r="H2228" s="332"/>
      <c r="I2228" s="334"/>
      <c r="J2228" s="336"/>
      <c r="K2228" s="332"/>
      <c r="L2228" s="332"/>
      <c r="M2228" s="76"/>
      <c r="N2228" s="103" t="str">
        <f>IF(A2228="","",VLOOKUP(A2228,Stand!C:K,9,0))</f>
        <v/>
      </c>
      <c r="O2228" s="104" t="str">
        <f t="shared" si="956"/>
        <v/>
      </c>
      <c r="P2228" s="105" t="str">
        <f t="shared" si="957"/>
        <v/>
      </c>
      <c r="Q2228" s="105" t="str">
        <f t="shared" si="972"/>
        <v/>
      </c>
      <c r="R2228" s="103" t="str">
        <f t="shared" si="958"/>
        <v/>
      </c>
      <c r="S2228" s="103" t="str">
        <f t="shared" si="959"/>
        <v/>
      </c>
      <c r="T2228" s="106" t="str">
        <f t="shared" si="973"/>
        <v/>
      </c>
      <c r="U2228" s="106" t="str">
        <f t="shared" si="974"/>
        <v/>
      </c>
      <c r="V2228" s="106" t="str">
        <f t="shared" si="975"/>
        <v/>
      </c>
      <c r="W2228" s="105" t="str">
        <f t="shared" si="960"/>
        <v/>
      </c>
      <c r="X2228" s="104" t="str">
        <f t="shared" si="965"/>
        <v/>
      </c>
      <c r="Y2228" s="104" t="str">
        <f t="array" ref="Y2228">IFERROR(IF(ISNUMBER(O2228),IF(COUNT(IF(A2228=$A$2:$A$2427,IF(D2228=$D$2:$D$2427,IF($X$2:$X$2427&gt;0,1))))&gt;0,SUM(IF(A2228=$A$2:$A$2427,IF(D2228=$D$2:$D$2427,$X$2:$X$2427)))/COUNT(IF(A2228=$A$2:$A$2427,IF(D2228=$D$2:$D$2427,IF(ISNUMBER($X$2:$X$2427),1)))),0),""),0)</f>
        <v/>
      </c>
      <c r="Z2228" s="104" t="str">
        <f>IF(ISNUMBER(O2228),IF(I2228&gt;0,(10^(VLOOKUP(D2228,'Species Codes'!B:C,2,0)+VLOOKUP(D2228,'Species Codes'!B:D,3,0)*LOG(E2228)+VLOOKUP(D2228,'Species Codes'!B:E,4,0)*LOG(I2228))),0),"")</f>
        <v/>
      </c>
      <c r="AA2228" s="104" t="str">
        <f>IFERROR((VLOOKUP(D2228,'Species Codes'!B:G,6,0)*Z2228)/2000,"")</f>
        <v/>
      </c>
      <c r="AB2228" s="104" t="e">
        <f>IF(Z2228&gt;0,((IF(OR(D2228="DF",D2228="RA")=TRUE,EXP(VLOOKUP(D2228,'Species Codes'!B:I,8,0)+VLOOKUP(D2228,'Species Codes'!B:J,9,0)*(LN((E2228*2.54)))),IF(OR(D2228="PY",D2228="RC",D2228="WH",D2228="NF")=TRUE,VLOOKUP(D2228,'Species Codes'!B:I,8,0)+VLOOKUP(D2228,'Species Codes'!B:J,9,0)*((E2228*2.54)^2)*(I2228*0.3048),IF(OR(D2228="MD",D2228="BM",D2228="GA")=TRUE,((VLOOKUP(D2228,'Species Codes'!B:I,8,0)*(((((E2228*2.54)+VLOOKUP(D2228,'Species Codes'!B:J,9,0))/VLOOKUP(D2228,'Species Codes'!B:K,10,0))^VLOOKUP(D2228,'Species Codes'!B:L,11,0))*((I2228*0.3048)^VLOOKUP(D2228,'Species Codes'!B:M,12,0))))-(VLOOKUP(D2228,'Species Codes'!B:I,8,0)*((((E2228*2.54)^VLOOKUP(D2228,'Species Codes'!B:L,11,0))*((I2228*0.3048)^VLOOKUP(D2228,'Species Codes'!B:M,12,0))))))*35.3*VLOOKUP(D2228,'Species Codes'!B:G,6,0)/2.2046,VLOOKUP(D2228,'Species Codes'!B:I,8,0)+VLOOKUP(D2228,'Species Codes'!B:J,9,0)*(((E2228*2.54)/100)^2)*(I2228*0.3048)))))*0.0011023),0)</f>
        <v>#N/A</v>
      </c>
      <c r="AC2228" s="104" t="e">
        <f>IF(Z2228&gt;0,((IF(OR(D2228="RA",D2228="OA",D2228="OT",D2228="UN",D2228="PC"),EXP(VLOOKUP(D2228,'Species Codes'!B:O,14,0)+VLOOKUP(D2228,'Species Codes'!B:P,15,0)*LN((E2228*2.54)))-EXP(VLOOKUP(D2228,'Species Codes'!B:O,14,0)+VLOOKUP(D2228,'Species Codes'!B:P,15,0)*LN((E2228*2.54)))*(1/(VLOOKUP(D2228,'Species Codes'!B:Q,16,0)+VLOOKUP(D2228,'Species Codes'!B:R,17,0)*((E2228*2.54)^VLOOKUP(D2228,'Species Codes'!B:S,18,0)))),IF(OR(D2228="BM",D2228="MD",D2228="OA"),EXP(VLOOKUP(D2228,'Species Codes'!B:O,14,0)+VLOOKUP(D2228,'Species Codes'!B:P,15,0)*LN((E2228*2.54)))*(1-(1/(VLOOKUP(D2228,'Species Codes'!B:Q,16,0)+VLOOKUP(D2228,'Species Codes'!B:R,17,0)*((E2228*2.54)^VLOOKUP(D2228,'Species Codes'!B:S,18,0)))))/1000,IF(D2228="DF",EXP(VLOOKUP(D2228,'Species Codes'!B:O,14,0)+VLOOKUP(D2228,'Species Codes'!B:P,15,0)*LN((E2228*2.54))),VLOOKUP(D2228,'Species Codes'!B:O,14,0)+VLOOKUP(D2228,'Species Codes'!B:P,15,0)*(((E2228*2.54)/100)^2)*(I2228*0.3048)))))*0.0011023),0)</f>
        <v>#N/A</v>
      </c>
      <c r="AD2228" s="104" t="e">
        <f t="shared" si="976"/>
        <v>#N/A</v>
      </c>
      <c r="AE2228" s="104" t="e">
        <f t="shared" si="977"/>
        <v>#N/A</v>
      </c>
      <c r="AF2228" s="104" t="e">
        <f>IF(AND(VLOOKUP($D2228,Merchantability!$B:$C,2,0)="Yes",$E2228&gt;=VLOOKUP($D2228,Merchantability!$B:$D,3,0),$E2228&lt;=VLOOKUP($D2228,Merchantability!$B:$E,4,0)),AA2228,0)</f>
        <v>#N/A</v>
      </c>
      <c r="AG2228" s="104" t="e">
        <f>IF(AND(VLOOKUP($D2228,Merchantability!$B:$C,2,0)="Yes",$E2228&gt;=VLOOKUP($D2228,Merchantability!$B:$D,3,0),$E2228&lt;=VLOOKUP($D2228,Merchantability!$B:$E,4,0)),AB2228,0)</f>
        <v>#N/A</v>
      </c>
      <c r="AH2228" s="104" t="e">
        <f>IF(AND(VLOOKUP($D2228,Merchantability!$B:$C,2,0)="Yes",$E2228&gt;=VLOOKUP($D2228,Merchantability!$B:$D,3,0),$E2228&lt;=VLOOKUP($D2228,Merchantability!$B:$E,4,0)),AC2228,0)</f>
        <v>#N/A</v>
      </c>
      <c r="AI2228" s="104" t="e">
        <f t="shared" si="978"/>
        <v>#N/A</v>
      </c>
      <c r="AJ2228" s="104" t="e">
        <f t="shared" si="979"/>
        <v>#VALUE!</v>
      </c>
      <c r="AK2228" s="104" t="e">
        <f t="shared" si="980"/>
        <v>#N/A</v>
      </c>
      <c r="AL2228" s="104" t="e">
        <f t="shared" si="981"/>
        <v>#N/A</v>
      </c>
      <c r="AM2228" s="104" t="e">
        <f t="shared" si="982"/>
        <v>#N/A</v>
      </c>
      <c r="AN2228" s="104" t="e">
        <f t="shared" si="966"/>
        <v>#N/A</v>
      </c>
      <c r="AO2228" s="104" t="e">
        <f t="shared" si="967"/>
        <v>#N/A</v>
      </c>
      <c r="AP2228" s="104" t="e">
        <f t="shared" si="968"/>
        <v>#N/A</v>
      </c>
      <c r="AQ2228" s="104" t="e">
        <f t="shared" si="969"/>
        <v>#N/A</v>
      </c>
      <c r="AR2228" s="105" t="str">
        <f t="shared" si="961"/>
        <v/>
      </c>
      <c r="AS2228" s="105" t="str">
        <f t="shared" si="962"/>
        <v/>
      </c>
      <c r="AT2228" s="108" t="str">
        <f t="shared" si="963"/>
        <v/>
      </c>
      <c r="AU2228" s="108" t="str">
        <f t="shared" si="964"/>
        <v/>
      </c>
      <c r="AV2228" s="107" t="str">
        <f>IF(ISNUMBER(O2228),IF(VLOOKUP($A2228,Stand!C:J,8,FALSE)="Short",AT2228,AU2228),"")</f>
        <v/>
      </c>
      <c r="AW2228" s="109" t="str">
        <f t="shared" si="970"/>
        <v/>
      </c>
      <c r="AX2228" s="109" t="str">
        <f t="shared" si="971"/>
        <v/>
      </c>
      <c r="AY2228" s="112" t="str">
        <f>IF(ISNUMBER(O2228),IF(AND(VLOOKUP($D2228,Merchantability!$B:$C,2,0)="Yes",$E2228&gt;=VLOOKUP($D2228,Merchantability!$B:$D,3,0),$E2228&lt;=VLOOKUP($D2228,Merchantability!$B:$E,4,0)),(AV2228*O2228)*(1-$H2228/100),""),"")</f>
        <v/>
      </c>
      <c r="AZ2228" s="116"/>
      <c r="BA2228" s="116"/>
      <c r="BB2228" s="116"/>
      <c r="BE2228" s="62"/>
      <c r="BF2228" s="63"/>
    </row>
    <row r="2229" spans="1:58" ht="12.75" customHeight="1" x14ac:dyDescent="0.25">
      <c r="A2229" s="334"/>
      <c r="B2229" s="334"/>
      <c r="C2229" s="332"/>
      <c r="D2229" s="334"/>
      <c r="E2229" s="335"/>
      <c r="F2229" s="334"/>
      <c r="G2229" s="332"/>
      <c r="H2229" s="332"/>
      <c r="I2229" s="334"/>
      <c r="J2229" s="336"/>
      <c r="K2229" s="332"/>
      <c r="L2229" s="332"/>
      <c r="M2229" s="76"/>
      <c r="N2229" s="103" t="str">
        <f>IF(A2229="","",VLOOKUP(A2229,Stand!C:K,9,0))</f>
        <v/>
      </c>
      <c r="O2229" s="104" t="str">
        <f t="shared" si="956"/>
        <v/>
      </c>
      <c r="P2229" s="105" t="str">
        <f t="shared" si="957"/>
        <v/>
      </c>
      <c r="Q2229" s="105" t="str">
        <f t="shared" si="972"/>
        <v/>
      </c>
      <c r="R2229" s="103" t="str">
        <f t="shared" si="958"/>
        <v/>
      </c>
      <c r="S2229" s="103" t="str">
        <f t="shared" si="959"/>
        <v/>
      </c>
      <c r="T2229" s="106" t="str">
        <f t="shared" si="973"/>
        <v/>
      </c>
      <c r="U2229" s="106" t="str">
        <f t="shared" si="974"/>
        <v/>
      </c>
      <c r="V2229" s="106" t="str">
        <f t="shared" si="975"/>
        <v/>
      </c>
      <c r="W2229" s="105" t="str">
        <f t="shared" si="960"/>
        <v/>
      </c>
      <c r="X2229" s="104" t="str">
        <f t="shared" si="965"/>
        <v/>
      </c>
      <c r="Y2229" s="104" t="str">
        <f t="array" ref="Y2229">IFERROR(IF(ISNUMBER(O2229),IF(COUNT(IF(A2229=$A$2:$A$2427,IF(D2229=$D$2:$D$2427,IF($X$2:$X$2427&gt;0,1))))&gt;0,SUM(IF(A2229=$A$2:$A$2427,IF(D2229=$D$2:$D$2427,$X$2:$X$2427)))/COUNT(IF(A2229=$A$2:$A$2427,IF(D2229=$D$2:$D$2427,IF(ISNUMBER($X$2:$X$2427),1)))),0),""),0)</f>
        <v/>
      </c>
      <c r="Z2229" s="104" t="str">
        <f>IF(ISNUMBER(O2229),IF(I2229&gt;0,(10^(VLOOKUP(D2229,'Species Codes'!B:C,2,0)+VLOOKUP(D2229,'Species Codes'!B:D,3,0)*LOG(E2229)+VLOOKUP(D2229,'Species Codes'!B:E,4,0)*LOG(I2229))),0),"")</f>
        <v/>
      </c>
      <c r="AA2229" s="104" t="str">
        <f>IFERROR((VLOOKUP(D2229,'Species Codes'!B:G,6,0)*Z2229)/2000,"")</f>
        <v/>
      </c>
      <c r="AB2229" s="104" t="e">
        <f>IF(Z2229&gt;0,((IF(OR(D2229="DF",D2229="RA")=TRUE,EXP(VLOOKUP(D2229,'Species Codes'!B:I,8,0)+VLOOKUP(D2229,'Species Codes'!B:J,9,0)*(LN((E2229*2.54)))),IF(OR(D2229="PY",D2229="RC",D2229="WH",D2229="NF")=TRUE,VLOOKUP(D2229,'Species Codes'!B:I,8,0)+VLOOKUP(D2229,'Species Codes'!B:J,9,0)*((E2229*2.54)^2)*(I2229*0.3048),IF(OR(D2229="MD",D2229="BM",D2229="GA")=TRUE,((VLOOKUP(D2229,'Species Codes'!B:I,8,0)*(((((E2229*2.54)+VLOOKUP(D2229,'Species Codes'!B:J,9,0))/VLOOKUP(D2229,'Species Codes'!B:K,10,0))^VLOOKUP(D2229,'Species Codes'!B:L,11,0))*((I2229*0.3048)^VLOOKUP(D2229,'Species Codes'!B:M,12,0))))-(VLOOKUP(D2229,'Species Codes'!B:I,8,0)*((((E2229*2.54)^VLOOKUP(D2229,'Species Codes'!B:L,11,0))*((I2229*0.3048)^VLOOKUP(D2229,'Species Codes'!B:M,12,0))))))*35.3*VLOOKUP(D2229,'Species Codes'!B:G,6,0)/2.2046,VLOOKUP(D2229,'Species Codes'!B:I,8,0)+VLOOKUP(D2229,'Species Codes'!B:J,9,0)*(((E2229*2.54)/100)^2)*(I2229*0.3048)))))*0.0011023),0)</f>
        <v>#N/A</v>
      </c>
      <c r="AC2229" s="104" t="e">
        <f>IF(Z2229&gt;0,((IF(OR(D2229="RA",D2229="OA",D2229="OT",D2229="UN",D2229="PC"),EXP(VLOOKUP(D2229,'Species Codes'!B:O,14,0)+VLOOKUP(D2229,'Species Codes'!B:P,15,0)*LN((E2229*2.54)))-EXP(VLOOKUP(D2229,'Species Codes'!B:O,14,0)+VLOOKUP(D2229,'Species Codes'!B:P,15,0)*LN((E2229*2.54)))*(1/(VLOOKUP(D2229,'Species Codes'!B:Q,16,0)+VLOOKUP(D2229,'Species Codes'!B:R,17,0)*((E2229*2.54)^VLOOKUP(D2229,'Species Codes'!B:S,18,0)))),IF(OR(D2229="BM",D2229="MD",D2229="OA"),EXP(VLOOKUP(D2229,'Species Codes'!B:O,14,0)+VLOOKUP(D2229,'Species Codes'!B:P,15,0)*LN((E2229*2.54)))*(1-(1/(VLOOKUP(D2229,'Species Codes'!B:Q,16,0)+VLOOKUP(D2229,'Species Codes'!B:R,17,0)*((E2229*2.54)^VLOOKUP(D2229,'Species Codes'!B:S,18,0)))))/1000,IF(D2229="DF",EXP(VLOOKUP(D2229,'Species Codes'!B:O,14,0)+VLOOKUP(D2229,'Species Codes'!B:P,15,0)*LN((E2229*2.54))),VLOOKUP(D2229,'Species Codes'!B:O,14,0)+VLOOKUP(D2229,'Species Codes'!B:P,15,0)*(((E2229*2.54)/100)^2)*(I2229*0.3048)))))*0.0011023),0)</f>
        <v>#N/A</v>
      </c>
      <c r="AD2229" s="104" t="e">
        <f t="shared" si="976"/>
        <v>#N/A</v>
      </c>
      <c r="AE2229" s="104" t="e">
        <f t="shared" si="977"/>
        <v>#N/A</v>
      </c>
      <c r="AF2229" s="104" t="e">
        <f>IF(AND(VLOOKUP($D2229,Merchantability!$B:$C,2,0)="Yes",$E2229&gt;=VLOOKUP($D2229,Merchantability!$B:$D,3,0),$E2229&lt;=VLOOKUP($D2229,Merchantability!$B:$E,4,0)),AA2229,0)</f>
        <v>#N/A</v>
      </c>
      <c r="AG2229" s="104" t="e">
        <f>IF(AND(VLOOKUP($D2229,Merchantability!$B:$C,2,0)="Yes",$E2229&gt;=VLOOKUP($D2229,Merchantability!$B:$D,3,0),$E2229&lt;=VLOOKUP($D2229,Merchantability!$B:$E,4,0)),AB2229,0)</f>
        <v>#N/A</v>
      </c>
      <c r="AH2229" s="104" t="e">
        <f>IF(AND(VLOOKUP($D2229,Merchantability!$B:$C,2,0)="Yes",$E2229&gt;=VLOOKUP($D2229,Merchantability!$B:$D,3,0),$E2229&lt;=VLOOKUP($D2229,Merchantability!$B:$E,4,0)),AC2229,0)</f>
        <v>#N/A</v>
      </c>
      <c r="AI2229" s="104" t="e">
        <f t="shared" si="978"/>
        <v>#N/A</v>
      </c>
      <c r="AJ2229" s="104" t="e">
        <f t="shared" si="979"/>
        <v>#VALUE!</v>
      </c>
      <c r="AK2229" s="104" t="e">
        <f t="shared" si="980"/>
        <v>#N/A</v>
      </c>
      <c r="AL2229" s="104" t="e">
        <f t="shared" si="981"/>
        <v>#N/A</v>
      </c>
      <c r="AM2229" s="104" t="e">
        <f t="shared" si="982"/>
        <v>#N/A</v>
      </c>
      <c r="AN2229" s="104" t="e">
        <f t="shared" si="966"/>
        <v>#N/A</v>
      </c>
      <c r="AO2229" s="104" t="e">
        <f t="shared" si="967"/>
        <v>#N/A</v>
      </c>
      <c r="AP2229" s="104" t="e">
        <f t="shared" si="968"/>
        <v>#N/A</v>
      </c>
      <c r="AQ2229" s="104" t="e">
        <f t="shared" si="969"/>
        <v>#N/A</v>
      </c>
      <c r="AR2229" s="105" t="str">
        <f t="shared" si="961"/>
        <v/>
      </c>
      <c r="AS2229" s="105" t="str">
        <f t="shared" si="962"/>
        <v/>
      </c>
      <c r="AT2229" s="108" t="str">
        <f t="shared" si="963"/>
        <v/>
      </c>
      <c r="AU2229" s="108" t="str">
        <f t="shared" si="964"/>
        <v/>
      </c>
      <c r="AV2229" s="107" t="str">
        <f>IF(ISNUMBER(O2229),IF(VLOOKUP($A2229,Stand!C:J,8,FALSE)="Short",AT2229,AU2229),"")</f>
        <v/>
      </c>
      <c r="AW2229" s="109" t="str">
        <f t="shared" si="970"/>
        <v/>
      </c>
      <c r="AX2229" s="109" t="str">
        <f t="shared" si="971"/>
        <v/>
      </c>
      <c r="AY2229" s="112" t="str">
        <f>IF(ISNUMBER(O2229),IF(AND(VLOOKUP($D2229,Merchantability!$B:$C,2,0)="Yes",$E2229&gt;=VLOOKUP($D2229,Merchantability!$B:$D,3,0),$E2229&lt;=VLOOKUP($D2229,Merchantability!$B:$E,4,0)),(AV2229*O2229)*(1-$H2229/100),""),"")</f>
        <v/>
      </c>
      <c r="AZ2229" s="116"/>
      <c r="BA2229" s="116"/>
      <c r="BB2229" s="116"/>
      <c r="BE2229" s="62"/>
      <c r="BF2229" s="63"/>
    </row>
    <row r="2230" spans="1:58" ht="12.75" customHeight="1" x14ac:dyDescent="0.25">
      <c r="A2230" s="334"/>
      <c r="B2230" s="334"/>
      <c r="C2230" s="332"/>
      <c r="D2230" s="334"/>
      <c r="E2230" s="335"/>
      <c r="F2230" s="334"/>
      <c r="G2230" s="332"/>
      <c r="H2230" s="332"/>
      <c r="I2230" s="334"/>
      <c r="J2230" s="336"/>
      <c r="K2230" s="332"/>
      <c r="L2230" s="332"/>
      <c r="M2230" s="76"/>
      <c r="N2230" s="103" t="str">
        <f>IF(A2230="","",VLOOKUP(A2230,Stand!C:K,9,0))</f>
        <v/>
      </c>
      <c r="O2230" s="104" t="str">
        <f t="shared" si="956"/>
        <v/>
      </c>
      <c r="P2230" s="105" t="str">
        <f t="shared" si="957"/>
        <v/>
      </c>
      <c r="Q2230" s="105" t="str">
        <f t="shared" si="972"/>
        <v/>
      </c>
      <c r="R2230" s="103" t="str">
        <f t="shared" si="958"/>
        <v/>
      </c>
      <c r="S2230" s="103" t="str">
        <f t="shared" si="959"/>
        <v/>
      </c>
      <c r="T2230" s="106" t="str">
        <f t="shared" si="973"/>
        <v/>
      </c>
      <c r="U2230" s="106" t="str">
        <f t="shared" si="974"/>
        <v/>
      </c>
      <c r="V2230" s="106" t="str">
        <f t="shared" si="975"/>
        <v/>
      </c>
      <c r="W2230" s="105" t="str">
        <f t="shared" si="960"/>
        <v/>
      </c>
      <c r="X2230" s="104" t="str">
        <f t="shared" si="965"/>
        <v/>
      </c>
      <c r="Y2230" s="104" t="str">
        <f t="array" ref="Y2230">IFERROR(IF(ISNUMBER(O2230),IF(COUNT(IF(A2230=$A$2:$A$2427,IF(D2230=$D$2:$D$2427,IF($X$2:$X$2427&gt;0,1))))&gt;0,SUM(IF(A2230=$A$2:$A$2427,IF(D2230=$D$2:$D$2427,$X$2:$X$2427)))/COUNT(IF(A2230=$A$2:$A$2427,IF(D2230=$D$2:$D$2427,IF(ISNUMBER($X$2:$X$2427),1)))),0),""),0)</f>
        <v/>
      </c>
      <c r="Z2230" s="104" t="str">
        <f>IF(ISNUMBER(O2230),IF(I2230&gt;0,(10^(VLOOKUP(D2230,'Species Codes'!B:C,2,0)+VLOOKUP(D2230,'Species Codes'!B:D,3,0)*LOG(E2230)+VLOOKUP(D2230,'Species Codes'!B:E,4,0)*LOG(I2230))),0),"")</f>
        <v/>
      </c>
      <c r="AA2230" s="104" t="str">
        <f>IFERROR((VLOOKUP(D2230,'Species Codes'!B:G,6,0)*Z2230)/2000,"")</f>
        <v/>
      </c>
      <c r="AB2230" s="104" t="e">
        <f>IF(Z2230&gt;0,((IF(OR(D2230="DF",D2230="RA")=TRUE,EXP(VLOOKUP(D2230,'Species Codes'!B:I,8,0)+VLOOKUP(D2230,'Species Codes'!B:J,9,0)*(LN((E2230*2.54)))),IF(OR(D2230="PY",D2230="RC",D2230="WH",D2230="NF")=TRUE,VLOOKUP(D2230,'Species Codes'!B:I,8,0)+VLOOKUP(D2230,'Species Codes'!B:J,9,0)*((E2230*2.54)^2)*(I2230*0.3048),IF(OR(D2230="MD",D2230="BM",D2230="GA")=TRUE,((VLOOKUP(D2230,'Species Codes'!B:I,8,0)*(((((E2230*2.54)+VLOOKUP(D2230,'Species Codes'!B:J,9,0))/VLOOKUP(D2230,'Species Codes'!B:K,10,0))^VLOOKUP(D2230,'Species Codes'!B:L,11,0))*((I2230*0.3048)^VLOOKUP(D2230,'Species Codes'!B:M,12,0))))-(VLOOKUP(D2230,'Species Codes'!B:I,8,0)*((((E2230*2.54)^VLOOKUP(D2230,'Species Codes'!B:L,11,0))*((I2230*0.3048)^VLOOKUP(D2230,'Species Codes'!B:M,12,0))))))*35.3*VLOOKUP(D2230,'Species Codes'!B:G,6,0)/2.2046,VLOOKUP(D2230,'Species Codes'!B:I,8,0)+VLOOKUP(D2230,'Species Codes'!B:J,9,0)*(((E2230*2.54)/100)^2)*(I2230*0.3048)))))*0.0011023),0)</f>
        <v>#N/A</v>
      </c>
      <c r="AC2230" s="104" t="e">
        <f>IF(Z2230&gt;0,((IF(OR(D2230="RA",D2230="OA",D2230="OT",D2230="UN",D2230="PC"),EXP(VLOOKUP(D2230,'Species Codes'!B:O,14,0)+VLOOKUP(D2230,'Species Codes'!B:P,15,0)*LN((E2230*2.54)))-EXP(VLOOKUP(D2230,'Species Codes'!B:O,14,0)+VLOOKUP(D2230,'Species Codes'!B:P,15,0)*LN((E2230*2.54)))*(1/(VLOOKUP(D2230,'Species Codes'!B:Q,16,0)+VLOOKUP(D2230,'Species Codes'!B:R,17,0)*((E2230*2.54)^VLOOKUP(D2230,'Species Codes'!B:S,18,0)))),IF(OR(D2230="BM",D2230="MD",D2230="OA"),EXP(VLOOKUP(D2230,'Species Codes'!B:O,14,0)+VLOOKUP(D2230,'Species Codes'!B:P,15,0)*LN((E2230*2.54)))*(1-(1/(VLOOKUP(D2230,'Species Codes'!B:Q,16,0)+VLOOKUP(D2230,'Species Codes'!B:R,17,0)*((E2230*2.54)^VLOOKUP(D2230,'Species Codes'!B:S,18,0)))))/1000,IF(D2230="DF",EXP(VLOOKUP(D2230,'Species Codes'!B:O,14,0)+VLOOKUP(D2230,'Species Codes'!B:P,15,0)*LN((E2230*2.54))),VLOOKUP(D2230,'Species Codes'!B:O,14,0)+VLOOKUP(D2230,'Species Codes'!B:P,15,0)*(((E2230*2.54)/100)^2)*(I2230*0.3048)))))*0.0011023),0)</f>
        <v>#N/A</v>
      </c>
      <c r="AD2230" s="104" t="e">
        <f t="shared" si="976"/>
        <v>#N/A</v>
      </c>
      <c r="AE2230" s="104" t="e">
        <f t="shared" si="977"/>
        <v>#N/A</v>
      </c>
      <c r="AF2230" s="104" t="e">
        <f>IF(AND(VLOOKUP($D2230,Merchantability!$B:$C,2,0)="Yes",$E2230&gt;=VLOOKUP($D2230,Merchantability!$B:$D,3,0),$E2230&lt;=VLOOKUP($D2230,Merchantability!$B:$E,4,0)),AA2230,0)</f>
        <v>#N/A</v>
      </c>
      <c r="AG2230" s="104" t="e">
        <f>IF(AND(VLOOKUP($D2230,Merchantability!$B:$C,2,0)="Yes",$E2230&gt;=VLOOKUP($D2230,Merchantability!$B:$D,3,0),$E2230&lt;=VLOOKUP($D2230,Merchantability!$B:$E,4,0)),AB2230,0)</f>
        <v>#N/A</v>
      </c>
      <c r="AH2230" s="104" t="e">
        <f>IF(AND(VLOOKUP($D2230,Merchantability!$B:$C,2,0)="Yes",$E2230&gt;=VLOOKUP($D2230,Merchantability!$B:$D,3,0),$E2230&lt;=VLOOKUP($D2230,Merchantability!$B:$E,4,0)),AC2230,0)</f>
        <v>#N/A</v>
      </c>
      <c r="AI2230" s="104" t="e">
        <f t="shared" si="978"/>
        <v>#N/A</v>
      </c>
      <c r="AJ2230" s="104" t="e">
        <f t="shared" si="979"/>
        <v>#VALUE!</v>
      </c>
      <c r="AK2230" s="104" t="e">
        <f t="shared" si="980"/>
        <v>#N/A</v>
      </c>
      <c r="AL2230" s="104" t="e">
        <f t="shared" si="981"/>
        <v>#N/A</v>
      </c>
      <c r="AM2230" s="104" t="e">
        <f t="shared" si="982"/>
        <v>#N/A</v>
      </c>
      <c r="AN2230" s="104" t="e">
        <f t="shared" si="966"/>
        <v>#N/A</v>
      </c>
      <c r="AO2230" s="104" t="e">
        <f t="shared" si="967"/>
        <v>#N/A</v>
      </c>
      <c r="AP2230" s="104" t="e">
        <f t="shared" si="968"/>
        <v>#N/A</v>
      </c>
      <c r="AQ2230" s="104" t="e">
        <f t="shared" si="969"/>
        <v>#N/A</v>
      </c>
      <c r="AR2230" s="105" t="str">
        <f t="shared" si="961"/>
        <v/>
      </c>
      <c r="AS2230" s="105" t="str">
        <f t="shared" si="962"/>
        <v/>
      </c>
      <c r="AT2230" s="108" t="str">
        <f t="shared" si="963"/>
        <v/>
      </c>
      <c r="AU2230" s="108" t="str">
        <f t="shared" si="964"/>
        <v/>
      </c>
      <c r="AV2230" s="107" t="str">
        <f>IF(ISNUMBER(O2230),IF(VLOOKUP($A2230,Stand!C:J,8,FALSE)="Short",AT2230,AU2230),"")</f>
        <v/>
      </c>
      <c r="AW2230" s="109" t="str">
        <f t="shared" si="970"/>
        <v/>
      </c>
      <c r="AX2230" s="109" t="str">
        <f t="shared" si="971"/>
        <v/>
      </c>
      <c r="AY2230" s="112" t="str">
        <f>IF(ISNUMBER(O2230),IF(AND(VLOOKUP($D2230,Merchantability!$B:$C,2,0)="Yes",$E2230&gt;=VLOOKUP($D2230,Merchantability!$B:$D,3,0),$E2230&lt;=VLOOKUP($D2230,Merchantability!$B:$E,4,0)),(AV2230*O2230)*(1-$H2230/100),""),"")</f>
        <v/>
      </c>
      <c r="AZ2230" s="116"/>
      <c r="BA2230" s="116"/>
      <c r="BB2230" s="116"/>
      <c r="BE2230" s="62"/>
      <c r="BF2230" s="63"/>
    </row>
    <row r="2231" spans="1:58" ht="12.75" customHeight="1" x14ac:dyDescent="0.25">
      <c r="A2231" s="334"/>
      <c r="B2231" s="334"/>
      <c r="C2231" s="332"/>
      <c r="D2231" s="334"/>
      <c r="E2231" s="335"/>
      <c r="F2231" s="334"/>
      <c r="G2231" s="332"/>
      <c r="H2231" s="332"/>
      <c r="I2231" s="334"/>
      <c r="J2231" s="336"/>
      <c r="K2231" s="332"/>
      <c r="L2231" s="332"/>
      <c r="M2231" s="76"/>
      <c r="N2231" s="103" t="str">
        <f>IF(A2231="","",VLOOKUP(A2231,Stand!C:K,9,0))</f>
        <v/>
      </c>
      <c r="O2231" s="104" t="str">
        <f t="shared" si="956"/>
        <v/>
      </c>
      <c r="P2231" s="105" t="str">
        <f t="shared" si="957"/>
        <v/>
      </c>
      <c r="Q2231" s="105" t="str">
        <f t="shared" si="972"/>
        <v/>
      </c>
      <c r="R2231" s="103" t="str">
        <f t="shared" si="958"/>
        <v/>
      </c>
      <c r="S2231" s="103" t="str">
        <f t="shared" si="959"/>
        <v/>
      </c>
      <c r="T2231" s="106" t="str">
        <f t="shared" si="973"/>
        <v/>
      </c>
      <c r="U2231" s="106" t="str">
        <f t="shared" si="974"/>
        <v/>
      </c>
      <c r="V2231" s="106" t="str">
        <f t="shared" si="975"/>
        <v/>
      </c>
      <c r="W2231" s="105" t="str">
        <f t="shared" si="960"/>
        <v/>
      </c>
      <c r="X2231" s="104" t="str">
        <f t="shared" si="965"/>
        <v/>
      </c>
      <c r="Y2231" s="104" t="str">
        <f t="array" ref="Y2231">IFERROR(IF(ISNUMBER(O2231),IF(COUNT(IF(A2231=$A$2:$A$2427,IF(D2231=$D$2:$D$2427,IF($X$2:$X$2427&gt;0,1))))&gt;0,SUM(IF(A2231=$A$2:$A$2427,IF(D2231=$D$2:$D$2427,$X$2:$X$2427)))/COUNT(IF(A2231=$A$2:$A$2427,IF(D2231=$D$2:$D$2427,IF(ISNUMBER($X$2:$X$2427),1)))),0),""),0)</f>
        <v/>
      </c>
      <c r="Z2231" s="104" t="str">
        <f>IF(ISNUMBER(O2231),IF(I2231&gt;0,(10^(VLOOKUP(D2231,'Species Codes'!B:C,2,0)+VLOOKUP(D2231,'Species Codes'!B:D,3,0)*LOG(E2231)+VLOOKUP(D2231,'Species Codes'!B:E,4,0)*LOG(I2231))),0),"")</f>
        <v/>
      </c>
      <c r="AA2231" s="104" t="str">
        <f>IFERROR((VLOOKUP(D2231,'Species Codes'!B:G,6,0)*Z2231)/2000,"")</f>
        <v/>
      </c>
      <c r="AB2231" s="104" t="e">
        <f>IF(Z2231&gt;0,((IF(OR(D2231="DF",D2231="RA")=TRUE,EXP(VLOOKUP(D2231,'Species Codes'!B:I,8,0)+VLOOKUP(D2231,'Species Codes'!B:J,9,0)*(LN((E2231*2.54)))),IF(OR(D2231="PY",D2231="RC",D2231="WH",D2231="NF")=TRUE,VLOOKUP(D2231,'Species Codes'!B:I,8,0)+VLOOKUP(D2231,'Species Codes'!B:J,9,0)*((E2231*2.54)^2)*(I2231*0.3048),IF(OR(D2231="MD",D2231="BM",D2231="GA")=TRUE,((VLOOKUP(D2231,'Species Codes'!B:I,8,0)*(((((E2231*2.54)+VLOOKUP(D2231,'Species Codes'!B:J,9,0))/VLOOKUP(D2231,'Species Codes'!B:K,10,0))^VLOOKUP(D2231,'Species Codes'!B:L,11,0))*((I2231*0.3048)^VLOOKUP(D2231,'Species Codes'!B:M,12,0))))-(VLOOKUP(D2231,'Species Codes'!B:I,8,0)*((((E2231*2.54)^VLOOKUP(D2231,'Species Codes'!B:L,11,0))*((I2231*0.3048)^VLOOKUP(D2231,'Species Codes'!B:M,12,0))))))*35.3*VLOOKUP(D2231,'Species Codes'!B:G,6,0)/2.2046,VLOOKUP(D2231,'Species Codes'!B:I,8,0)+VLOOKUP(D2231,'Species Codes'!B:J,9,0)*(((E2231*2.54)/100)^2)*(I2231*0.3048)))))*0.0011023),0)</f>
        <v>#N/A</v>
      </c>
      <c r="AC2231" s="104" t="e">
        <f>IF(Z2231&gt;0,((IF(OR(D2231="RA",D2231="OA",D2231="OT",D2231="UN",D2231="PC"),EXP(VLOOKUP(D2231,'Species Codes'!B:O,14,0)+VLOOKUP(D2231,'Species Codes'!B:P,15,0)*LN((E2231*2.54)))-EXP(VLOOKUP(D2231,'Species Codes'!B:O,14,0)+VLOOKUP(D2231,'Species Codes'!B:P,15,0)*LN((E2231*2.54)))*(1/(VLOOKUP(D2231,'Species Codes'!B:Q,16,0)+VLOOKUP(D2231,'Species Codes'!B:R,17,0)*((E2231*2.54)^VLOOKUP(D2231,'Species Codes'!B:S,18,0)))),IF(OR(D2231="BM",D2231="MD",D2231="OA"),EXP(VLOOKUP(D2231,'Species Codes'!B:O,14,0)+VLOOKUP(D2231,'Species Codes'!B:P,15,0)*LN((E2231*2.54)))*(1-(1/(VLOOKUP(D2231,'Species Codes'!B:Q,16,0)+VLOOKUP(D2231,'Species Codes'!B:R,17,0)*((E2231*2.54)^VLOOKUP(D2231,'Species Codes'!B:S,18,0)))))/1000,IF(D2231="DF",EXP(VLOOKUP(D2231,'Species Codes'!B:O,14,0)+VLOOKUP(D2231,'Species Codes'!B:P,15,0)*LN((E2231*2.54))),VLOOKUP(D2231,'Species Codes'!B:O,14,0)+VLOOKUP(D2231,'Species Codes'!B:P,15,0)*(((E2231*2.54)/100)^2)*(I2231*0.3048)))))*0.0011023),0)</f>
        <v>#N/A</v>
      </c>
      <c r="AD2231" s="104" t="e">
        <f t="shared" si="976"/>
        <v>#N/A</v>
      </c>
      <c r="AE2231" s="104" t="e">
        <f t="shared" si="977"/>
        <v>#N/A</v>
      </c>
      <c r="AF2231" s="104" t="e">
        <f>IF(AND(VLOOKUP($D2231,Merchantability!$B:$C,2,0)="Yes",$E2231&gt;=VLOOKUP($D2231,Merchantability!$B:$D,3,0),$E2231&lt;=VLOOKUP($D2231,Merchantability!$B:$E,4,0)),AA2231,0)</f>
        <v>#N/A</v>
      </c>
      <c r="AG2231" s="104" t="e">
        <f>IF(AND(VLOOKUP($D2231,Merchantability!$B:$C,2,0)="Yes",$E2231&gt;=VLOOKUP($D2231,Merchantability!$B:$D,3,0),$E2231&lt;=VLOOKUP($D2231,Merchantability!$B:$E,4,0)),AB2231,0)</f>
        <v>#N/A</v>
      </c>
      <c r="AH2231" s="104" t="e">
        <f>IF(AND(VLOOKUP($D2231,Merchantability!$B:$C,2,0)="Yes",$E2231&gt;=VLOOKUP($D2231,Merchantability!$B:$D,3,0),$E2231&lt;=VLOOKUP($D2231,Merchantability!$B:$E,4,0)),AC2231,0)</f>
        <v>#N/A</v>
      </c>
      <c r="AI2231" s="104" t="e">
        <f t="shared" si="978"/>
        <v>#N/A</v>
      </c>
      <c r="AJ2231" s="104" t="e">
        <f t="shared" si="979"/>
        <v>#VALUE!</v>
      </c>
      <c r="AK2231" s="104" t="e">
        <f t="shared" si="980"/>
        <v>#N/A</v>
      </c>
      <c r="AL2231" s="104" t="e">
        <f t="shared" si="981"/>
        <v>#N/A</v>
      </c>
      <c r="AM2231" s="104" t="e">
        <f t="shared" si="982"/>
        <v>#N/A</v>
      </c>
      <c r="AN2231" s="104" t="e">
        <f t="shared" si="966"/>
        <v>#N/A</v>
      </c>
      <c r="AO2231" s="104" t="e">
        <f t="shared" si="967"/>
        <v>#N/A</v>
      </c>
      <c r="AP2231" s="104" t="e">
        <f t="shared" si="968"/>
        <v>#N/A</v>
      </c>
      <c r="AQ2231" s="104" t="e">
        <f t="shared" si="969"/>
        <v>#N/A</v>
      </c>
      <c r="AR2231" s="105" t="str">
        <f t="shared" si="961"/>
        <v/>
      </c>
      <c r="AS2231" s="105" t="str">
        <f t="shared" si="962"/>
        <v/>
      </c>
      <c r="AT2231" s="108" t="str">
        <f t="shared" si="963"/>
        <v/>
      </c>
      <c r="AU2231" s="108" t="str">
        <f t="shared" si="964"/>
        <v/>
      </c>
      <c r="AV2231" s="107" t="str">
        <f>IF(ISNUMBER(O2231),IF(VLOOKUP($A2231,Stand!C:J,8,FALSE)="Short",AT2231,AU2231),"")</f>
        <v/>
      </c>
      <c r="AW2231" s="109" t="str">
        <f t="shared" si="970"/>
        <v/>
      </c>
      <c r="AX2231" s="109" t="str">
        <f t="shared" si="971"/>
        <v/>
      </c>
      <c r="AY2231" s="112" t="str">
        <f>IF(ISNUMBER(O2231),IF(AND(VLOOKUP($D2231,Merchantability!$B:$C,2,0)="Yes",$E2231&gt;=VLOOKUP($D2231,Merchantability!$B:$D,3,0),$E2231&lt;=VLOOKUP($D2231,Merchantability!$B:$E,4,0)),(AV2231*O2231)*(1-$H2231/100),""),"")</f>
        <v/>
      </c>
      <c r="AZ2231" s="116"/>
      <c r="BA2231" s="116"/>
      <c r="BB2231" s="116"/>
      <c r="BE2231" s="62"/>
      <c r="BF2231" s="63"/>
    </row>
    <row r="2232" spans="1:58" ht="12.75" customHeight="1" x14ac:dyDescent="0.25">
      <c r="A2232" s="334"/>
      <c r="B2232" s="334"/>
      <c r="C2232" s="332"/>
      <c r="D2232" s="334"/>
      <c r="E2232" s="335"/>
      <c r="F2232" s="334"/>
      <c r="G2232" s="332"/>
      <c r="H2232" s="332"/>
      <c r="I2232" s="334"/>
      <c r="J2232" s="336"/>
      <c r="K2232" s="332"/>
      <c r="L2232" s="332"/>
      <c r="M2232" s="76"/>
      <c r="N2232" s="103" t="str">
        <f>IF(A2232="","",VLOOKUP(A2232,Stand!C:K,9,0))</f>
        <v/>
      </c>
      <c r="O2232" s="104" t="str">
        <f t="shared" si="956"/>
        <v/>
      </c>
      <c r="P2232" s="105" t="str">
        <f t="shared" si="957"/>
        <v/>
      </c>
      <c r="Q2232" s="105" t="str">
        <f t="shared" si="972"/>
        <v/>
      </c>
      <c r="R2232" s="103" t="str">
        <f t="shared" si="958"/>
        <v/>
      </c>
      <c r="S2232" s="103" t="str">
        <f t="shared" si="959"/>
        <v/>
      </c>
      <c r="T2232" s="106" t="str">
        <f t="shared" si="973"/>
        <v/>
      </c>
      <c r="U2232" s="106" t="str">
        <f t="shared" si="974"/>
        <v/>
      </c>
      <c r="V2232" s="106" t="str">
        <f t="shared" si="975"/>
        <v/>
      </c>
      <c r="W2232" s="105" t="str">
        <f t="shared" si="960"/>
        <v/>
      </c>
      <c r="X2232" s="104" t="str">
        <f t="shared" si="965"/>
        <v/>
      </c>
      <c r="Y2232" s="104" t="str">
        <f t="array" ref="Y2232">IFERROR(IF(ISNUMBER(O2232),IF(COUNT(IF(A2232=$A$2:$A$2427,IF(D2232=$D$2:$D$2427,IF($X$2:$X$2427&gt;0,1))))&gt;0,SUM(IF(A2232=$A$2:$A$2427,IF(D2232=$D$2:$D$2427,$X$2:$X$2427)))/COUNT(IF(A2232=$A$2:$A$2427,IF(D2232=$D$2:$D$2427,IF(ISNUMBER($X$2:$X$2427),1)))),0),""),0)</f>
        <v/>
      </c>
      <c r="Z2232" s="104" t="str">
        <f>IF(ISNUMBER(O2232),IF(I2232&gt;0,(10^(VLOOKUP(D2232,'Species Codes'!B:C,2,0)+VLOOKUP(D2232,'Species Codes'!B:D,3,0)*LOG(E2232)+VLOOKUP(D2232,'Species Codes'!B:E,4,0)*LOG(I2232))),0),"")</f>
        <v/>
      </c>
      <c r="AA2232" s="104" t="str">
        <f>IFERROR((VLOOKUP(D2232,'Species Codes'!B:G,6,0)*Z2232)/2000,"")</f>
        <v/>
      </c>
      <c r="AB2232" s="104" t="e">
        <f>IF(Z2232&gt;0,((IF(OR(D2232="DF",D2232="RA")=TRUE,EXP(VLOOKUP(D2232,'Species Codes'!B:I,8,0)+VLOOKUP(D2232,'Species Codes'!B:J,9,0)*(LN((E2232*2.54)))),IF(OR(D2232="PY",D2232="RC",D2232="WH",D2232="NF")=TRUE,VLOOKUP(D2232,'Species Codes'!B:I,8,0)+VLOOKUP(D2232,'Species Codes'!B:J,9,0)*((E2232*2.54)^2)*(I2232*0.3048),IF(OR(D2232="MD",D2232="BM",D2232="GA")=TRUE,((VLOOKUP(D2232,'Species Codes'!B:I,8,0)*(((((E2232*2.54)+VLOOKUP(D2232,'Species Codes'!B:J,9,0))/VLOOKUP(D2232,'Species Codes'!B:K,10,0))^VLOOKUP(D2232,'Species Codes'!B:L,11,0))*((I2232*0.3048)^VLOOKUP(D2232,'Species Codes'!B:M,12,0))))-(VLOOKUP(D2232,'Species Codes'!B:I,8,0)*((((E2232*2.54)^VLOOKUP(D2232,'Species Codes'!B:L,11,0))*((I2232*0.3048)^VLOOKUP(D2232,'Species Codes'!B:M,12,0))))))*35.3*VLOOKUP(D2232,'Species Codes'!B:G,6,0)/2.2046,VLOOKUP(D2232,'Species Codes'!B:I,8,0)+VLOOKUP(D2232,'Species Codes'!B:J,9,0)*(((E2232*2.54)/100)^2)*(I2232*0.3048)))))*0.0011023),0)</f>
        <v>#N/A</v>
      </c>
      <c r="AC2232" s="104" t="e">
        <f>IF(Z2232&gt;0,((IF(OR(D2232="RA",D2232="OA",D2232="OT",D2232="UN",D2232="PC"),EXP(VLOOKUP(D2232,'Species Codes'!B:O,14,0)+VLOOKUP(D2232,'Species Codes'!B:P,15,0)*LN((E2232*2.54)))-EXP(VLOOKUP(D2232,'Species Codes'!B:O,14,0)+VLOOKUP(D2232,'Species Codes'!B:P,15,0)*LN((E2232*2.54)))*(1/(VLOOKUP(D2232,'Species Codes'!B:Q,16,0)+VLOOKUP(D2232,'Species Codes'!B:R,17,0)*((E2232*2.54)^VLOOKUP(D2232,'Species Codes'!B:S,18,0)))),IF(OR(D2232="BM",D2232="MD",D2232="OA"),EXP(VLOOKUP(D2232,'Species Codes'!B:O,14,0)+VLOOKUP(D2232,'Species Codes'!B:P,15,0)*LN((E2232*2.54)))*(1-(1/(VLOOKUP(D2232,'Species Codes'!B:Q,16,0)+VLOOKUP(D2232,'Species Codes'!B:R,17,0)*((E2232*2.54)^VLOOKUP(D2232,'Species Codes'!B:S,18,0)))))/1000,IF(D2232="DF",EXP(VLOOKUP(D2232,'Species Codes'!B:O,14,0)+VLOOKUP(D2232,'Species Codes'!B:P,15,0)*LN((E2232*2.54))),VLOOKUP(D2232,'Species Codes'!B:O,14,0)+VLOOKUP(D2232,'Species Codes'!B:P,15,0)*(((E2232*2.54)/100)^2)*(I2232*0.3048)))))*0.0011023),0)</f>
        <v>#N/A</v>
      </c>
      <c r="AD2232" s="104" t="e">
        <f t="shared" si="976"/>
        <v>#N/A</v>
      </c>
      <c r="AE2232" s="104" t="e">
        <f t="shared" si="977"/>
        <v>#N/A</v>
      </c>
      <c r="AF2232" s="104" t="e">
        <f>IF(AND(VLOOKUP($D2232,Merchantability!$B:$C,2,0)="Yes",$E2232&gt;=VLOOKUP($D2232,Merchantability!$B:$D,3,0),$E2232&lt;=VLOOKUP($D2232,Merchantability!$B:$E,4,0)),AA2232,0)</f>
        <v>#N/A</v>
      </c>
      <c r="AG2232" s="104" t="e">
        <f>IF(AND(VLOOKUP($D2232,Merchantability!$B:$C,2,0)="Yes",$E2232&gt;=VLOOKUP($D2232,Merchantability!$B:$D,3,0),$E2232&lt;=VLOOKUP($D2232,Merchantability!$B:$E,4,0)),AB2232,0)</f>
        <v>#N/A</v>
      </c>
      <c r="AH2232" s="104" t="e">
        <f>IF(AND(VLOOKUP($D2232,Merchantability!$B:$C,2,0)="Yes",$E2232&gt;=VLOOKUP($D2232,Merchantability!$B:$D,3,0),$E2232&lt;=VLOOKUP($D2232,Merchantability!$B:$E,4,0)),AC2232,0)</f>
        <v>#N/A</v>
      </c>
      <c r="AI2232" s="104" t="e">
        <f t="shared" si="978"/>
        <v>#N/A</v>
      </c>
      <c r="AJ2232" s="104" t="e">
        <f t="shared" si="979"/>
        <v>#VALUE!</v>
      </c>
      <c r="AK2232" s="104" t="e">
        <f t="shared" si="980"/>
        <v>#N/A</v>
      </c>
      <c r="AL2232" s="104" t="e">
        <f t="shared" si="981"/>
        <v>#N/A</v>
      </c>
      <c r="AM2232" s="104" t="e">
        <f t="shared" si="982"/>
        <v>#N/A</v>
      </c>
      <c r="AN2232" s="104" t="e">
        <f t="shared" si="966"/>
        <v>#N/A</v>
      </c>
      <c r="AO2232" s="104" t="e">
        <f t="shared" si="967"/>
        <v>#N/A</v>
      </c>
      <c r="AP2232" s="104" t="e">
        <f t="shared" si="968"/>
        <v>#N/A</v>
      </c>
      <c r="AQ2232" s="104" t="e">
        <f t="shared" si="969"/>
        <v>#N/A</v>
      </c>
      <c r="AR2232" s="105" t="str">
        <f t="shared" si="961"/>
        <v/>
      </c>
      <c r="AS2232" s="105" t="str">
        <f t="shared" si="962"/>
        <v/>
      </c>
      <c r="AT2232" s="108" t="str">
        <f t="shared" si="963"/>
        <v/>
      </c>
      <c r="AU2232" s="108" t="str">
        <f t="shared" si="964"/>
        <v/>
      </c>
      <c r="AV2232" s="107" t="str">
        <f>IF(ISNUMBER(O2232),IF(VLOOKUP($A2232,Stand!C:J,8,FALSE)="Short",AT2232,AU2232),"")</f>
        <v/>
      </c>
      <c r="AW2232" s="109" t="str">
        <f t="shared" si="970"/>
        <v/>
      </c>
      <c r="AX2232" s="109" t="str">
        <f t="shared" si="971"/>
        <v/>
      </c>
      <c r="AY2232" s="112" t="str">
        <f>IF(ISNUMBER(O2232),IF(AND(VLOOKUP($D2232,Merchantability!$B:$C,2,0)="Yes",$E2232&gt;=VLOOKUP($D2232,Merchantability!$B:$D,3,0),$E2232&lt;=VLOOKUP($D2232,Merchantability!$B:$E,4,0)),(AV2232*O2232)*(1-$H2232/100),""),"")</f>
        <v/>
      </c>
      <c r="AZ2232" s="116"/>
      <c r="BA2232" s="116"/>
      <c r="BB2232" s="116"/>
      <c r="BE2232" s="62"/>
      <c r="BF2232" s="63"/>
    </row>
    <row r="2233" spans="1:58" ht="12.75" customHeight="1" x14ac:dyDescent="0.25">
      <c r="A2233" s="334"/>
      <c r="B2233" s="334"/>
      <c r="C2233" s="332"/>
      <c r="D2233" s="334"/>
      <c r="E2233" s="335"/>
      <c r="F2233" s="334"/>
      <c r="G2233" s="332"/>
      <c r="H2233" s="332"/>
      <c r="I2233" s="334"/>
      <c r="J2233" s="336"/>
      <c r="K2233" s="332"/>
      <c r="L2233" s="332"/>
      <c r="M2233" s="76"/>
      <c r="N2233" s="103" t="str">
        <f>IF(A2233="","",VLOOKUP(A2233,Stand!C:K,9,0))</f>
        <v/>
      </c>
      <c r="O2233" s="104" t="str">
        <f t="shared" si="956"/>
        <v/>
      </c>
      <c r="P2233" s="105" t="str">
        <f t="shared" si="957"/>
        <v/>
      </c>
      <c r="Q2233" s="105" t="str">
        <f t="shared" si="972"/>
        <v/>
      </c>
      <c r="R2233" s="103" t="str">
        <f t="shared" si="958"/>
        <v/>
      </c>
      <c r="S2233" s="103" t="str">
        <f t="shared" si="959"/>
        <v/>
      </c>
      <c r="T2233" s="106" t="str">
        <f t="shared" si="973"/>
        <v/>
      </c>
      <c r="U2233" s="106" t="str">
        <f t="shared" si="974"/>
        <v/>
      </c>
      <c r="V2233" s="106" t="str">
        <f t="shared" si="975"/>
        <v/>
      </c>
      <c r="W2233" s="105" t="str">
        <f t="shared" si="960"/>
        <v/>
      </c>
      <c r="X2233" s="104" t="str">
        <f t="shared" si="965"/>
        <v/>
      </c>
      <c r="Y2233" s="104" t="str">
        <f t="array" ref="Y2233">IFERROR(IF(ISNUMBER(O2233),IF(COUNT(IF(A2233=$A$2:$A$2427,IF(D2233=$D$2:$D$2427,IF($X$2:$X$2427&gt;0,1))))&gt;0,SUM(IF(A2233=$A$2:$A$2427,IF(D2233=$D$2:$D$2427,$X$2:$X$2427)))/COUNT(IF(A2233=$A$2:$A$2427,IF(D2233=$D$2:$D$2427,IF(ISNUMBER($X$2:$X$2427),1)))),0),""),0)</f>
        <v/>
      </c>
      <c r="Z2233" s="104" t="str">
        <f>IF(ISNUMBER(O2233),IF(I2233&gt;0,(10^(VLOOKUP(D2233,'Species Codes'!B:C,2,0)+VLOOKUP(D2233,'Species Codes'!B:D,3,0)*LOG(E2233)+VLOOKUP(D2233,'Species Codes'!B:E,4,0)*LOG(I2233))),0),"")</f>
        <v/>
      </c>
      <c r="AA2233" s="104" t="str">
        <f>IFERROR((VLOOKUP(D2233,'Species Codes'!B:G,6,0)*Z2233)/2000,"")</f>
        <v/>
      </c>
      <c r="AB2233" s="104" t="e">
        <f>IF(Z2233&gt;0,((IF(OR(D2233="DF",D2233="RA")=TRUE,EXP(VLOOKUP(D2233,'Species Codes'!B:I,8,0)+VLOOKUP(D2233,'Species Codes'!B:J,9,0)*(LN((E2233*2.54)))),IF(OR(D2233="PY",D2233="RC",D2233="WH",D2233="NF")=TRUE,VLOOKUP(D2233,'Species Codes'!B:I,8,0)+VLOOKUP(D2233,'Species Codes'!B:J,9,0)*((E2233*2.54)^2)*(I2233*0.3048),IF(OR(D2233="MD",D2233="BM",D2233="GA")=TRUE,((VLOOKUP(D2233,'Species Codes'!B:I,8,0)*(((((E2233*2.54)+VLOOKUP(D2233,'Species Codes'!B:J,9,0))/VLOOKUP(D2233,'Species Codes'!B:K,10,0))^VLOOKUP(D2233,'Species Codes'!B:L,11,0))*((I2233*0.3048)^VLOOKUP(D2233,'Species Codes'!B:M,12,0))))-(VLOOKUP(D2233,'Species Codes'!B:I,8,0)*((((E2233*2.54)^VLOOKUP(D2233,'Species Codes'!B:L,11,0))*((I2233*0.3048)^VLOOKUP(D2233,'Species Codes'!B:M,12,0))))))*35.3*VLOOKUP(D2233,'Species Codes'!B:G,6,0)/2.2046,VLOOKUP(D2233,'Species Codes'!B:I,8,0)+VLOOKUP(D2233,'Species Codes'!B:J,9,0)*(((E2233*2.54)/100)^2)*(I2233*0.3048)))))*0.0011023),0)</f>
        <v>#N/A</v>
      </c>
      <c r="AC2233" s="104" t="e">
        <f>IF(Z2233&gt;0,((IF(OR(D2233="RA",D2233="OA",D2233="OT",D2233="UN",D2233="PC"),EXP(VLOOKUP(D2233,'Species Codes'!B:O,14,0)+VLOOKUP(D2233,'Species Codes'!B:P,15,0)*LN((E2233*2.54)))-EXP(VLOOKUP(D2233,'Species Codes'!B:O,14,0)+VLOOKUP(D2233,'Species Codes'!B:P,15,0)*LN((E2233*2.54)))*(1/(VLOOKUP(D2233,'Species Codes'!B:Q,16,0)+VLOOKUP(D2233,'Species Codes'!B:R,17,0)*((E2233*2.54)^VLOOKUP(D2233,'Species Codes'!B:S,18,0)))),IF(OR(D2233="BM",D2233="MD",D2233="OA"),EXP(VLOOKUP(D2233,'Species Codes'!B:O,14,0)+VLOOKUP(D2233,'Species Codes'!B:P,15,0)*LN((E2233*2.54)))*(1-(1/(VLOOKUP(D2233,'Species Codes'!B:Q,16,0)+VLOOKUP(D2233,'Species Codes'!B:R,17,0)*((E2233*2.54)^VLOOKUP(D2233,'Species Codes'!B:S,18,0)))))/1000,IF(D2233="DF",EXP(VLOOKUP(D2233,'Species Codes'!B:O,14,0)+VLOOKUP(D2233,'Species Codes'!B:P,15,0)*LN((E2233*2.54))),VLOOKUP(D2233,'Species Codes'!B:O,14,0)+VLOOKUP(D2233,'Species Codes'!B:P,15,0)*(((E2233*2.54)/100)^2)*(I2233*0.3048)))))*0.0011023),0)</f>
        <v>#N/A</v>
      </c>
      <c r="AD2233" s="104" t="e">
        <f t="shared" si="976"/>
        <v>#N/A</v>
      </c>
      <c r="AE2233" s="104" t="e">
        <f t="shared" si="977"/>
        <v>#N/A</v>
      </c>
      <c r="AF2233" s="104" t="e">
        <f>IF(AND(VLOOKUP($D2233,Merchantability!$B:$C,2,0)="Yes",$E2233&gt;=VLOOKUP($D2233,Merchantability!$B:$D,3,0),$E2233&lt;=VLOOKUP($D2233,Merchantability!$B:$E,4,0)),AA2233,0)</f>
        <v>#N/A</v>
      </c>
      <c r="AG2233" s="104" t="e">
        <f>IF(AND(VLOOKUP($D2233,Merchantability!$B:$C,2,0)="Yes",$E2233&gt;=VLOOKUP($D2233,Merchantability!$B:$D,3,0),$E2233&lt;=VLOOKUP($D2233,Merchantability!$B:$E,4,0)),AB2233,0)</f>
        <v>#N/A</v>
      </c>
      <c r="AH2233" s="104" t="e">
        <f>IF(AND(VLOOKUP($D2233,Merchantability!$B:$C,2,0)="Yes",$E2233&gt;=VLOOKUP($D2233,Merchantability!$B:$D,3,0),$E2233&lt;=VLOOKUP($D2233,Merchantability!$B:$E,4,0)),AC2233,0)</f>
        <v>#N/A</v>
      </c>
      <c r="AI2233" s="104" t="e">
        <f t="shared" si="978"/>
        <v>#N/A</v>
      </c>
      <c r="AJ2233" s="104" t="e">
        <f t="shared" si="979"/>
        <v>#VALUE!</v>
      </c>
      <c r="AK2233" s="104" t="e">
        <f t="shared" si="980"/>
        <v>#N/A</v>
      </c>
      <c r="AL2233" s="104" t="e">
        <f t="shared" si="981"/>
        <v>#N/A</v>
      </c>
      <c r="AM2233" s="104" t="e">
        <f t="shared" si="982"/>
        <v>#N/A</v>
      </c>
      <c r="AN2233" s="104" t="e">
        <f t="shared" si="966"/>
        <v>#N/A</v>
      </c>
      <c r="AO2233" s="104" t="e">
        <f t="shared" si="967"/>
        <v>#N/A</v>
      </c>
      <c r="AP2233" s="104" t="e">
        <f t="shared" si="968"/>
        <v>#N/A</v>
      </c>
      <c r="AQ2233" s="104" t="e">
        <f t="shared" si="969"/>
        <v>#N/A</v>
      </c>
      <c r="AR2233" s="105" t="str">
        <f t="shared" si="961"/>
        <v/>
      </c>
      <c r="AS2233" s="105" t="str">
        <f t="shared" si="962"/>
        <v/>
      </c>
      <c r="AT2233" s="108" t="str">
        <f t="shared" si="963"/>
        <v/>
      </c>
      <c r="AU2233" s="108" t="str">
        <f t="shared" si="964"/>
        <v/>
      </c>
      <c r="AV2233" s="107" t="str">
        <f>IF(ISNUMBER(O2233),IF(VLOOKUP($A2233,Stand!C:J,8,FALSE)="Short",AT2233,AU2233),"")</f>
        <v/>
      </c>
      <c r="AW2233" s="109" t="str">
        <f t="shared" si="970"/>
        <v/>
      </c>
      <c r="AX2233" s="109" t="str">
        <f t="shared" si="971"/>
        <v/>
      </c>
      <c r="AY2233" s="112" t="str">
        <f>IF(ISNUMBER(O2233),IF(AND(VLOOKUP($D2233,Merchantability!$B:$C,2,0)="Yes",$E2233&gt;=VLOOKUP($D2233,Merchantability!$B:$D,3,0),$E2233&lt;=VLOOKUP($D2233,Merchantability!$B:$E,4,0)),(AV2233*O2233)*(1-$H2233/100),""),"")</f>
        <v/>
      </c>
      <c r="AZ2233" s="116"/>
      <c r="BA2233" s="116"/>
      <c r="BB2233" s="116"/>
      <c r="BE2233" s="62"/>
      <c r="BF2233" s="63"/>
    </row>
    <row r="2234" spans="1:58" ht="12.75" customHeight="1" x14ac:dyDescent="0.25">
      <c r="A2234" s="334"/>
      <c r="B2234" s="334"/>
      <c r="C2234" s="332"/>
      <c r="D2234" s="334"/>
      <c r="E2234" s="335"/>
      <c r="F2234" s="334"/>
      <c r="G2234" s="332"/>
      <c r="H2234" s="332"/>
      <c r="I2234" s="334"/>
      <c r="J2234" s="336"/>
      <c r="K2234" s="332"/>
      <c r="L2234" s="332"/>
      <c r="M2234" s="76"/>
      <c r="N2234" s="103" t="str">
        <f>IF(A2234="","",VLOOKUP(A2234,Stand!C:K,9,0))</f>
        <v/>
      </c>
      <c r="O2234" s="104" t="str">
        <f t="shared" si="956"/>
        <v/>
      </c>
      <c r="P2234" s="105" t="str">
        <f t="shared" si="957"/>
        <v/>
      </c>
      <c r="Q2234" s="105" t="str">
        <f t="shared" si="972"/>
        <v/>
      </c>
      <c r="R2234" s="103" t="str">
        <f t="shared" si="958"/>
        <v/>
      </c>
      <c r="S2234" s="103" t="str">
        <f t="shared" si="959"/>
        <v/>
      </c>
      <c r="T2234" s="106" t="str">
        <f t="shared" si="973"/>
        <v/>
      </c>
      <c r="U2234" s="106" t="str">
        <f t="shared" si="974"/>
        <v/>
      </c>
      <c r="V2234" s="106" t="str">
        <f t="shared" si="975"/>
        <v/>
      </c>
      <c r="W2234" s="105" t="str">
        <f t="shared" si="960"/>
        <v/>
      </c>
      <c r="X2234" s="104" t="str">
        <f t="shared" si="965"/>
        <v/>
      </c>
      <c r="Y2234" s="104" t="str">
        <f t="array" ref="Y2234">IFERROR(IF(ISNUMBER(O2234),IF(COUNT(IF(A2234=$A$2:$A$2427,IF(D2234=$D$2:$D$2427,IF($X$2:$X$2427&gt;0,1))))&gt;0,SUM(IF(A2234=$A$2:$A$2427,IF(D2234=$D$2:$D$2427,$X$2:$X$2427)))/COUNT(IF(A2234=$A$2:$A$2427,IF(D2234=$D$2:$D$2427,IF(ISNUMBER($X$2:$X$2427),1)))),0),""),0)</f>
        <v/>
      </c>
      <c r="Z2234" s="104" t="str">
        <f>IF(ISNUMBER(O2234),IF(I2234&gt;0,(10^(VLOOKUP(D2234,'Species Codes'!B:C,2,0)+VLOOKUP(D2234,'Species Codes'!B:D,3,0)*LOG(E2234)+VLOOKUP(D2234,'Species Codes'!B:E,4,0)*LOG(I2234))),0),"")</f>
        <v/>
      </c>
      <c r="AA2234" s="104" t="str">
        <f>IFERROR((VLOOKUP(D2234,'Species Codes'!B:G,6,0)*Z2234)/2000,"")</f>
        <v/>
      </c>
      <c r="AB2234" s="104" t="e">
        <f>IF(Z2234&gt;0,((IF(OR(D2234="DF",D2234="RA")=TRUE,EXP(VLOOKUP(D2234,'Species Codes'!B:I,8,0)+VLOOKUP(D2234,'Species Codes'!B:J,9,0)*(LN((E2234*2.54)))),IF(OR(D2234="PY",D2234="RC",D2234="WH",D2234="NF")=TRUE,VLOOKUP(D2234,'Species Codes'!B:I,8,0)+VLOOKUP(D2234,'Species Codes'!B:J,9,0)*((E2234*2.54)^2)*(I2234*0.3048),IF(OR(D2234="MD",D2234="BM",D2234="GA")=TRUE,((VLOOKUP(D2234,'Species Codes'!B:I,8,0)*(((((E2234*2.54)+VLOOKUP(D2234,'Species Codes'!B:J,9,0))/VLOOKUP(D2234,'Species Codes'!B:K,10,0))^VLOOKUP(D2234,'Species Codes'!B:L,11,0))*((I2234*0.3048)^VLOOKUP(D2234,'Species Codes'!B:M,12,0))))-(VLOOKUP(D2234,'Species Codes'!B:I,8,0)*((((E2234*2.54)^VLOOKUP(D2234,'Species Codes'!B:L,11,0))*((I2234*0.3048)^VLOOKUP(D2234,'Species Codes'!B:M,12,0))))))*35.3*VLOOKUP(D2234,'Species Codes'!B:G,6,0)/2.2046,VLOOKUP(D2234,'Species Codes'!B:I,8,0)+VLOOKUP(D2234,'Species Codes'!B:J,9,0)*(((E2234*2.54)/100)^2)*(I2234*0.3048)))))*0.0011023),0)</f>
        <v>#N/A</v>
      </c>
      <c r="AC2234" s="104" t="e">
        <f>IF(Z2234&gt;0,((IF(OR(D2234="RA",D2234="OA",D2234="OT",D2234="UN",D2234="PC"),EXP(VLOOKUP(D2234,'Species Codes'!B:O,14,0)+VLOOKUP(D2234,'Species Codes'!B:P,15,0)*LN((E2234*2.54)))-EXP(VLOOKUP(D2234,'Species Codes'!B:O,14,0)+VLOOKUP(D2234,'Species Codes'!B:P,15,0)*LN((E2234*2.54)))*(1/(VLOOKUP(D2234,'Species Codes'!B:Q,16,0)+VLOOKUP(D2234,'Species Codes'!B:R,17,0)*((E2234*2.54)^VLOOKUP(D2234,'Species Codes'!B:S,18,0)))),IF(OR(D2234="BM",D2234="MD",D2234="OA"),EXP(VLOOKUP(D2234,'Species Codes'!B:O,14,0)+VLOOKUP(D2234,'Species Codes'!B:P,15,0)*LN((E2234*2.54)))*(1-(1/(VLOOKUP(D2234,'Species Codes'!B:Q,16,0)+VLOOKUP(D2234,'Species Codes'!B:R,17,0)*((E2234*2.54)^VLOOKUP(D2234,'Species Codes'!B:S,18,0)))))/1000,IF(D2234="DF",EXP(VLOOKUP(D2234,'Species Codes'!B:O,14,0)+VLOOKUP(D2234,'Species Codes'!B:P,15,0)*LN((E2234*2.54))),VLOOKUP(D2234,'Species Codes'!B:O,14,0)+VLOOKUP(D2234,'Species Codes'!B:P,15,0)*(((E2234*2.54)/100)^2)*(I2234*0.3048)))))*0.0011023),0)</f>
        <v>#N/A</v>
      </c>
      <c r="AD2234" s="104" t="e">
        <f t="shared" si="976"/>
        <v>#N/A</v>
      </c>
      <c r="AE2234" s="104" t="e">
        <f t="shared" si="977"/>
        <v>#N/A</v>
      </c>
      <c r="AF2234" s="104" t="e">
        <f>IF(AND(VLOOKUP($D2234,Merchantability!$B:$C,2,0)="Yes",$E2234&gt;=VLOOKUP($D2234,Merchantability!$B:$D,3,0),$E2234&lt;=VLOOKUP($D2234,Merchantability!$B:$E,4,0)),AA2234,0)</f>
        <v>#N/A</v>
      </c>
      <c r="AG2234" s="104" t="e">
        <f>IF(AND(VLOOKUP($D2234,Merchantability!$B:$C,2,0)="Yes",$E2234&gt;=VLOOKUP($D2234,Merchantability!$B:$D,3,0),$E2234&lt;=VLOOKUP($D2234,Merchantability!$B:$E,4,0)),AB2234,0)</f>
        <v>#N/A</v>
      </c>
      <c r="AH2234" s="104" t="e">
        <f>IF(AND(VLOOKUP($D2234,Merchantability!$B:$C,2,0)="Yes",$E2234&gt;=VLOOKUP($D2234,Merchantability!$B:$D,3,0),$E2234&lt;=VLOOKUP($D2234,Merchantability!$B:$E,4,0)),AC2234,0)</f>
        <v>#N/A</v>
      </c>
      <c r="AI2234" s="104" t="e">
        <f t="shared" si="978"/>
        <v>#N/A</v>
      </c>
      <c r="AJ2234" s="104" t="e">
        <f t="shared" si="979"/>
        <v>#VALUE!</v>
      </c>
      <c r="AK2234" s="104" t="e">
        <f t="shared" si="980"/>
        <v>#N/A</v>
      </c>
      <c r="AL2234" s="104" t="e">
        <f t="shared" si="981"/>
        <v>#N/A</v>
      </c>
      <c r="AM2234" s="104" t="e">
        <f t="shared" si="982"/>
        <v>#N/A</v>
      </c>
      <c r="AN2234" s="104" t="e">
        <f t="shared" si="966"/>
        <v>#N/A</v>
      </c>
      <c r="AO2234" s="104" t="e">
        <f t="shared" si="967"/>
        <v>#N/A</v>
      </c>
      <c r="AP2234" s="104" t="e">
        <f t="shared" si="968"/>
        <v>#N/A</v>
      </c>
      <c r="AQ2234" s="104" t="e">
        <f t="shared" si="969"/>
        <v>#N/A</v>
      </c>
      <c r="AR2234" s="105" t="str">
        <f t="shared" si="961"/>
        <v/>
      </c>
      <c r="AS2234" s="105" t="str">
        <f t="shared" si="962"/>
        <v/>
      </c>
      <c r="AT2234" s="108" t="str">
        <f t="shared" si="963"/>
        <v/>
      </c>
      <c r="AU2234" s="108" t="str">
        <f t="shared" si="964"/>
        <v/>
      </c>
      <c r="AV2234" s="107" t="str">
        <f>IF(ISNUMBER(O2234),IF(VLOOKUP($A2234,Stand!C:J,8,FALSE)="Short",AT2234,AU2234),"")</f>
        <v/>
      </c>
      <c r="AW2234" s="109" t="str">
        <f t="shared" si="970"/>
        <v/>
      </c>
      <c r="AX2234" s="109" t="str">
        <f t="shared" si="971"/>
        <v/>
      </c>
      <c r="AY2234" s="112" t="str">
        <f>IF(ISNUMBER(O2234),IF(AND(VLOOKUP($D2234,Merchantability!$B:$C,2,0)="Yes",$E2234&gt;=VLOOKUP($D2234,Merchantability!$B:$D,3,0),$E2234&lt;=VLOOKUP($D2234,Merchantability!$B:$E,4,0)),(AV2234*O2234)*(1-$H2234/100),""),"")</f>
        <v/>
      </c>
      <c r="AZ2234" s="116"/>
      <c r="BA2234" s="116"/>
      <c r="BB2234" s="116"/>
      <c r="BE2234" s="62"/>
      <c r="BF2234" s="63"/>
    </row>
    <row r="2235" spans="1:58" ht="12.75" customHeight="1" x14ac:dyDescent="0.25">
      <c r="A2235" s="334"/>
      <c r="B2235" s="334"/>
      <c r="C2235" s="332"/>
      <c r="D2235" s="334"/>
      <c r="E2235" s="335"/>
      <c r="F2235" s="334"/>
      <c r="G2235" s="332"/>
      <c r="H2235" s="332"/>
      <c r="I2235" s="334"/>
      <c r="J2235" s="336"/>
      <c r="K2235" s="332"/>
      <c r="L2235" s="332"/>
      <c r="M2235" s="76"/>
      <c r="N2235" s="103" t="str">
        <f>IF(A2235="","",VLOOKUP(A2235,Stand!C:K,9,0))</f>
        <v/>
      </c>
      <c r="O2235" s="104" t="str">
        <f t="shared" si="956"/>
        <v/>
      </c>
      <c r="P2235" s="105" t="str">
        <f t="shared" si="957"/>
        <v/>
      </c>
      <c r="Q2235" s="105" t="str">
        <f t="shared" si="972"/>
        <v/>
      </c>
      <c r="R2235" s="103" t="str">
        <f t="shared" si="958"/>
        <v/>
      </c>
      <c r="S2235" s="103" t="str">
        <f t="shared" si="959"/>
        <v/>
      </c>
      <c r="T2235" s="106" t="str">
        <f t="shared" si="973"/>
        <v/>
      </c>
      <c r="U2235" s="106" t="str">
        <f t="shared" si="974"/>
        <v/>
      </c>
      <c r="V2235" s="106" t="str">
        <f t="shared" si="975"/>
        <v/>
      </c>
      <c r="W2235" s="105" t="str">
        <f t="shared" si="960"/>
        <v/>
      </c>
      <c r="X2235" s="104" t="str">
        <f t="shared" si="965"/>
        <v/>
      </c>
      <c r="Y2235" s="104" t="str">
        <f t="array" ref="Y2235">IFERROR(IF(ISNUMBER(O2235),IF(COUNT(IF(A2235=$A$2:$A$2427,IF(D2235=$D$2:$D$2427,IF($X$2:$X$2427&gt;0,1))))&gt;0,SUM(IF(A2235=$A$2:$A$2427,IF(D2235=$D$2:$D$2427,$X$2:$X$2427)))/COUNT(IF(A2235=$A$2:$A$2427,IF(D2235=$D$2:$D$2427,IF(ISNUMBER($X$2:$X$2427),1)))),0),""),0)</f>
        <v/>
      </c>
      <c r="Z2235" s="104" t="str">
        <f>IF(ISNUMBER(O2235),IF(I2235&gt;0,(10^(VLOOKUP(D2235,'Species Codes'!B:C,2,0)+VLOOKUP(D2235,'Species Codes'!B:D,3,0)*LOG(E2235)+VLOOKUP(D2235,'Species Codes'!B:E,4,0)*LOG(I2235))),0),"")</f>
        <v/>
      </c>
      <c r="AA2235" s="104" t="str">
        <f>IFERROR((VLOOKUP(D2235,'Species Codes'!B:G,6,0)*Z2235)/2000,"")</f>
        <v/>
      </c>
      <c r="AB2235" s="104" t="e">
        <f>IF(Z2235&gt;0,((IF(OR(D2235="DF",D2235="RA")=TRUE,EXP(VLOOKUP(D2235,'Species Codes'!B:I,8,0)+VLOOKUP(D2235,'Species Codes'!B:J,9,0)*(LN((E2235*2.54)))),IF(OR(D2235="PY",D2235="RC",D2235="WH",D2235="NF")=TRUE,VLOOKUP(D2235,'Species Codes'!B:I,8,0)+VLOOKUP(D2235,'Species Codes'!B:J,9,0)*((E2235*2.54)^2)*(I2235*0.3048),IF(OR(D2235="MD",D2235="BM",D2235="GA")=TRUE,((VLOOKUP(D2235,'Species Codes'!B:I,8,0)*(((((E2235*2.54)+VLOOKUP(D2235,'Species Codes'!B:J,9,0))/VLOOKUP(D2235,'Species Codes'!B:K,10,0))^VLOOKUP(D2235,'Species Codes'!B:L,11,0))*((I2235*0.3048)^VLOOKUP(D2235,'Species Codes'!B:M,12,0))))-(VLOOKUP(D2235,'Species Codes'!B:I,8,0)*((((E2235*2.54)^VLOOKUP(D2235,'Species Codes'!B:L,11,0))*((I2235*0.3048)^VLOOKUP(D2235,'Species Codes'!B:M,12,0))))))*35.3*VLOOKUP(D2235,'Species Codes'!B:G,6,0)/2.2046,VLOOKUP(D2235,'Species Codes'!B:I,8,0)+VLOOKUP(D2235,'Species Codes'!B:J,9,0)*(((E2235*2.54)/100)^2)*(I2235*0.3048)))))*0.0011023),0)</f>
        <v>#N/A</v>
      </c>
      <c r="AC2235" s="104" t="e">
        <f>IF(Z2235&gt;0,((IF(OR(D2235="RA",D2235="OA",D2235="OT",D2235="UN",D2235="PC"),EXP(VLOOKUP(D2235,'Species Codes'!B:O,14,0)+VLOOKUP(D2235,'Species Codes'!B:P,15,0)*LN((E2235*2.54)))-EXP(VLOOKUP(D2235,'Species Codes'!B:O,14,0)+VLOOKUP(D2235,'Species Codes'!B:P,15,0)*LN((E2235*2.54)))*(1/(VLOOKUP(D2235,'Species Codes'!B:Q,16,0)+VLOOKUP(D2235,'Species Codes'!B:R,17,0)*((E2235*2.54)^VLOOKUP(D2235,'Species Codes'!B:S,18,0)))),IF(OR(D2235="BM",D2235="MD",D2235="OA"),EXP(VLOOKUP(D2235,'Species Codes'!B:O,14,0)+VLOOKUP(D2235,'Species Codes'!B:P,15,0)*LN((E2235*2.54)))*(1-(1/(VLOOKUP(D2235,'Species Codes'!B:Q,16,0)+VLOOKUP(D2235,'Species Codes'!B:R,17,0)*((E2235*2.54)^VLOOKUP(D2235,'Species Codes'!B:S,18,0)))))/1000,IF(D2235="DF",EXP(VLOOKUP(D2235,'Species Codes'!B:O,14,0)+VLOOKUP(D2235,'Species Codes'!B:P,15,0)*LN((E2235*2.54))),VLOOKUP(D2235,'Species Codes'!B:O,14,0)+VLOOKUP(D2235,'Species Codes'!B:P,15,0)*(((E2235*2.54)/100)^2)*(I2235*0.3048)))))*0.0011023),0)</f>
        <v>#N/A</v>
      </c>
      <c r="AD2235" s="104" t="e">
        <f t="shared" si="976"/>
        <v>#N/A</v>
      </c>
      <c r="AE2235" s="104" t="e">
        <f t="shared" si="977"/>
        <v>#N/A</v>
      </c>
      <c r="AF2235" s="104" t="e">
        <f>IF(AND(VLOOKUP($D2235,Merchantability!$B:$C,2,0)="Yes",$E2235&gt;=VLOOKUP($D2235,Merchantability!$B:$D,3,0),$E2235&lt;=VLOOKUP($D2235,Merchantability!$B:$E,4,0)),AA2235,0)</f>
        <v>#N/A</v>
      </c>
      <c r="AG2235" s="104" t="e">
        <f>IF(AND(VLOOKUP($D2235,Merchantability!$B:$C,2,0)="Yes",$E2235&gt;=VLOOKUP($D2235,Merchantability!$B:$D,3,0),$E2235&lt;=VLOOKUP($D2235,Merchantability!$B:$E,4,0)),AB2235,0)</f>
        <v>#N/A</v>
      </c>
      <c r="AH2235" s="104" t="e">
        <f>IF(AND(VLOOKUP($D2235,Merchantability!$B:$C,2,0)="Yes",$E2235&gt;=VLOOKUP($D2235,Merchantability!$B:$D,3,0),$E2235&lt;=VLOOKUP($D2235,Merchantability!$B:$E,4,0)),AC2235,0)</f>
        <v>#N/A</v>
      </c>
      <c r="AI2235" s="104" t="e">
        <f t="shared" si="978"/>
        <v>#N/A</v>
      </c>
      <c r="AJ2235" s="104" t="e">
        <f t="shared" si="979"/>
        <v>#VALUE!</v>
      </c>
      <c r="AK2235" s="104" t="e">
        <f t="shared" si="980"/>
        <v>#N/A</v>
      </c>
      <c r="AL2235" s="104" t="e">
        <f t="shared" si="981"/>
        <v>#N/A</v>
      </c>
      <c r="AM2235" s="104" t="e">
        <f t="shared" si="982"/>
        <v>#N/A</v>
      </c>
      <c r="AN2235" s="104" t="e">
        <f t="shared" si="966"/>
        <v>#N/A</v>
      </c>
      <c r="AO2235" s="104" t="e">
        <f t="shared" si="967"/>
        <v>#N/A</v>
      </c>
      <c r="AP2235" s="104" t="e">
        <f t="shared" si="968"/>
        <v>#N/A</v>
      </c>
      <c r="AQ2235" s="104" t="e">
        <f t="shared" si="969"/>
        <v>#N/A</v>
      </c>
      <c r="AR2235" s="105" t="str">
        <f t="shared" si="961"/>
        <v/>
      </c>
      <c r="AS2235" s="105" t="str">
        <f t="shared" si="962"/>
        <v/>
      </c>
      <c r="AT2235" s="108" t="str">
        <f t="shared" si="963"/>
        <v/>
      </c>
      <c r="AU2235" s="108" t="str">
        <f t="shared" si="964"/>
        <v/>
      </c>
      <c r="AV2235" s="107" t="str">
        <f>IF(ISNUMBER(O2235),IF(VLOOKUP($A2235,Stand!C:J,8,FALSE)="Short",AT2235,AU2235),"")</f>
        <v/>
      </c>
      <c r="AW2235" s="109" t="str">
        <f t="shared" si="970"/>
        <v/>
      </c>
      <c r="AX2235" s="109" t="str">
        <f t="shared" si="971"/>
        <v/>
      </c>
      <c r="AY2235" s="112" t="str">
        <f>IF(ISNUMBER(O2235),IF(AND(VLOOKUP($D2235,Merchantability!$B:$C,2,0)="Yes",$E2235&gt;=VLOOKUP($D2235,Merchantability!$B:$D,3,0),$E2235&lt;=VLOOKUP($D2235,Merchantability!$B:$E,4,0)),(AV2235*O2235)*(1-$H2235/100),""),"")</f>
        <v/>
      </c>
      <c r="AZ2235" s="116"/>
      <c r="BA2235" s="116"/>
      <c r="BB2235" s="116"/>
      <c r="BE2235" s="62"/>
      <c r="BF2235" s="63"/>
    </row>
    <row r="2236" spans="1:58" ht="12.75" customHeight="1" x14ac:dyDescent="0.25">
      <c r="A2236" s="334"/>
      <c r="B2236" s="334"/>
      <c r="C2236" s="332"/>
      <c r="D2236" s="334"/>
      <c r="E2236" s="335"/>
      <c r="F2236" s="334"/>
      <c r="G2236" s="332"/>
      <c r="H2236" s="332"/>
      <c r="I2236" s="334"/>
      <c r="J2236" s="336"/>
      <c r="K2236" s="332"/>
      <c r="L2236" s="332"/>
      <c r="M2236" s="76"/>
      <c r="N2236" s="103" t="str">
        <f>IF(A2236="","",VLOOKUP(A2236,Stand!C:K,9,0))</f>
        <v/>
      </c>
      <c r="O2236" s="104" t="str">
        <f t="shared" si="956"/>
        <v/>
      </c>
      <c r="P2236" s="105" t="str">
        <f t="shared" si="957"/>
        <v/>
      </c>
      <c r="Q2236" s="105" t="str">
        <f t="shared" si="972"/>
        <v/>
      </c>
      <c r="R2236" s="103" t="str">
        <f t="shared" si="958"/>
        <v/>
      </c>
      <c r="S2236" s="103" t="str">
        <f t="shared" si="959"/>
        <v/>
      </c>
      <c r="T2236" s="106" t="str">
        <f t="shared" si="973"/>
        <v/>
      </c>
      <c r="U2236" s="106" t="str">
        <f t="shared" si="974"/>
        <v/>
      </c>
      <c r="V2236" s="106" t="str">
        <f t="shared" si="975"/>
        <v/>
      </c>
      <c r="W2236" s="105" t="str">
        <f t="shared" si="960"/>
        <v/>
      </c>
      <c r="X2236" s="104" t="str">
        <f t="shared" si="965"/>
        <v/>
      </c>
      <c r="Y2236" s="104" t="str">
        <f t="array" ref="Y2236">IFERROR(IF(ISNUMBER(O2236),IF(COUNT(IF(A2236=$A$2:$A$2427,IF(D2236=$D$2:$D$2427,IF($X$2:$X$2427&gt;0,1))))&gt;0,SUM(IF(A2236=$A$2:$A$2427,IF(D2236=$D$2:$D$2427,$X$2:$X$2427)))/COUNT(IF(A2236=$A$2:$A$2427,IF(D2236=$D$2:$D$2427,IF(ISNUMBER($X$2:$X$2427),1)))),0),""),0)</f>
        <v/>
      </c>
      <c r="Z2236" s="104" t="str">
        <f>IF(ISNUMBER(O2236),IF(I2236&gt;0,(10^(VLOOKUP(D2236,'Species Codes'!B:C,2,0)+VLOOKUP(D2236,'Species Codes'!B:D,3,0)*LOG(E2236)+VLOOKUP(D2236,'Species Codes'!B:E,4,0)*LOG(I2236))),0),"")</f>
        <v/>
      </c>
      <c r="AA2236" s="104" t="str">
        <f>IFERROR((VLOOKUP(D2236,'Species Codes'!B:G,6,0)*Z2236)/2000,"")</f>
        <v/>
      </c>
      <c r="AB2236" s="104" t="e">
        <f>IF(Z2236&gt;0,((IF(OR(D2236="DF",D2236="RA")=TRUE,EXP(VLOOKUP(D2236,'Species Codes'!B:I,8,0)+VLOOKUP(D2236,'Species Codes'!B:J,9,0)*(LN((E2236*2.54)))),IF(OR(D2236="PY",D2236="RC",D2236="WH",D2236="NF")=TRUE,VLOOKUP(D2236,'Species Codes'!B:I,8,0)+VLOOKUP(D2236,'Species Codes'!B:J,9,0)*((E2236*2.54)^2)*(I2236*0.3048),IF(OR(D2236="MD",D2236="BM",D2236="GA")=TRUE,((VLOOKUP(D2236,'Species Codes'!B:I,8,0)*(((((E2236*2.54)+VLOOKUP(D2236,'Species Codes'!B:J,9,0))/VLOOKUP(D2236,'Species Codes'!B:K,10,0))^VLOOKUP(D2236,'Species Codes'!B:L,11,0))*((I2236*0.3048)^VLOOKUP(D2236,'Species Codes'!B:M,12,0))))-(VLOOKUP(D2236,'Species Codes'!B:I,8,0)*((((E2236*2.54)^VLOOKUP(D2236,'Species Codes'!B:L,11,0))*((I2236*0.3048)^VLOOKUP(D2236,'Species Codes'!B:M,12,0))))))*35.3*VLOOKUP(D2236,'Species Codes'!B:G,6,0)/2.2046,VLOOKUP(D2236,'Species Codes'!B:I,8,0)+VLOOKUP(D2236,'Species Codes'!B:J,9,0)*(((E2236*2.54)/100)^2)*(I2236*0.3048)))))*0.0011023),0)</f>
        <v>#N/A</v>
      </c>
      <c r="AC2236" s="104" t="e">
        <f>IF(Z2236&gt;0,((IF(OR(D2236="RA",D2236="OA",D2236="OT",D2236="UN",D2236="PC"),EXP(VLOOKUP(D2236,'Species Codes'!B:O,14,0)+VLOOKUP(D2236,'Species Codes'!B:P,15,0)*LN((E2236*2.54)))-EXP(VLOOKUP(D2236,'Species Codes'!B:O,14,0)+VLOOKUP(D2236,'Species Codes'!B:P,15,0)*LN((E2236*2.54)))*(1/(VLOOKUP(D2236,'Species Codes'!B:Q,16,0)+VLOOKUP(D2236,'Species Codes'!B:R,17,0)*((E2236*2.54)^VLOOKUP(D2236,'Species Codes'!B:S,18,0)))),IF(OR(D2236="BM",D2236="MD",D2236="OA"),EXP(VLOOKUP(D2236,'Species Codes'!B:O,14,0)+VLOOKUP(D2236,'Species Codes'!B:P,15,0)*LN((E2236*2.54)))*(1-(1/(VLOOKUP(D2236,'Species Codes'!B:Q,16,0)+VLOOKUP(D2236,'Species Codes'!B:R,17,0)*((E2236*2.54)^VLOOKUP(D2236,'Species Codes'!B:S,18,0)))))/1000,IF(D2236="DF",EXP(VLOOKUP(D2236,'Species Codes'!B:O,14,0)+VLOOKUP(D2236,'Species Codes'!B:P,15,0)*LN((E2236*2.54))),VLOOKUP(D2236,'Species Codes'!B:O,14,0)+VLOOKUP(D2236,'Species Codes'!B:P,15,0)*(((E2236*2.54)/100)^2)*(I2236*0.3048)))))*0.0011023),0)</f>
        <v>#N/A</v>
      </c>
      <c r="AD2236" s="104" t="e">
        <f t="shared" si="976"/>
        <v>#N/A</v>
      </c>
      <c r="AE2236" s="104" t="e">
        <f t="shared" si="977"/>
        <v>#N/A</v>
      </c>
      <c r="AF2236" s="104" t="e">
        <f>IF(AND(VLOOKUP($D2236,Merchantability!$B:$C,2,0)="Yes",$E2236&gt;=VLOOKUP($D2236,Merchantability!$B:$D,3,0),$E2236&lt;=VLOOKUP($D2236,Merchantability!$B:$E,4,0)),AA2236,0)</f>
        <v>#N/A</v>
      </c>
      <c r="AG2236" s="104" t="e">
        <f>IF(AND(VLOOKUP($D2236,Merchantability!$B:$C,2,0)="Yes",$E2236&gt;=VLOOKUP($D2236,Merchantability!$B:$D,3,0),$E2236&lt;=VLOOKUP($D2236,Merchantability!$B:$E,4,0)),AB2236,0)</f>
        <v>#N/A</v>
      </c>
      <c r="AH2236" s="104" t="e">
        <f>IF(AND(VLOOKUP($D2236,Merchantability!$B:$C,2,0)="Yes",$E2236&gt;=VLOOKUP($D2236,Merchantability!$B:$D,3,0),$E2236&lt;=VLOOKUP($D2236,Merchantability!$B:$E,4,0)),AC2236,0)</f>
        <v>#N/A</v>
      </c>
      <c r="AI2236" s="104" t="e">
        <f t="shared" si="978"/>
        <v>#N/A</v>
      </c>
      <c r="AJ2236" s="104" t="e">
        <f t="shared" si="979"/>
        <v>#VALUE!</v>
      </c>
      <c r="AK2236" s="104" t="e">
        <f t="shared" si="980"/>
        <v>#N/A</v>
      </c>
      <c r="AL2236" s="104" t="e">
        <f t="shared" si="981"/>
        <v>#N/A</v>
      </c>
      <c r="AM2236" s="104" t="e">
        <f t="shared" si="982"/>
        <v>#N/A</v>
      </c>
      <c r="AN2236" s="104" t="e">
        <f t="shared" si="966"/>
        <v>#N/A</v>
      </c>
      <c r="AO2236" s="104" t="e">
        <f t="shared" si="967"/>
        <v>#N/A</v>
      </c>
      <c r="AP2236" s="104" t="e">
        <f t="shared" si="968"/>
        <v>#N/A</v>
      </c>
      <c r="AQ2236" s="104" t="e">
        <f t="shared" si="969"/>
        <v>#N/A</v>
      </c>
      <c r="AR2236" s="105" t="str">
        <f t="shared" si="961"/>
        <v/>
      </c>
      <c r="AS2236" s="105" t="str">
        <f t="shared" si="962"/>
        <v/>
      </c>
      <c r="AT2236" s="108" t="str">
        <f t="shared" si="963"/>
        <v/>
      </c>
      <c r="AU2236" s="108" t="str">
        <f t="shared" si="964"/>
        <v/>
      </c>
      <c r="AV2236" s="107" t="str">
        <f>IF(ISNUMBER(O2236),IF(VLOOKUP($A2236,Stand!C:J,8,FALSE)="Short",AT2236,AU2236),"")</f>
        <v/>
      </c>
      <c r="AW2236" s="109" t="str">
        <f t="shared" si="970"/>
        <v/>
      </c>
      <c r="AX2236" s="109" t="str">
        <f t="shared" si="971"/>
        <v/>
      </c>
      <c r="AY2236" s="112" t="str">
        <f>IF(ISNUMBER(O2236),IF(AND(VLOOKUP($D2236,Merchantability!$B:$C,2,0)="Yes",$E2236&gt;=VLOOKUP($D2236,Merchantability!$B:$D,3,0),$E2236&lt;=VLOOKUP($D2236,Merchantability!$B:$E,4,0)),(AV2236*O2236)*(1-$H2236/100),""),"")</f>
        <v/>
      </c>
      <c r="AZ2236" s="116"/>
      <c r="BA2236" s="116"/>
      <c r="BB2236" s="116"/>
      <c r="BE2236" s="62"/>
      <c r="BF2236" s="63"/>
    </row>
    <row r="2237" spans="1:58" ht="12.75" customHeight="1" x14ac:dyDescent="0.25">
      <c r="A2237" s="334"/>
      <c r="B2237" s="334"/>
      <c r="C2237" s="332"/>
      <c r="D2237" s="334"/>
      <c r="E2237" s="335"/>
      <c r="F2237" s="334"/>
      <c r="G2237" s="332"/>
      <c r="H2237" s="332"/>
      <c r="I2237" s="334"/>
      <c r="J2237" s="336"/>
      <c r="K2237" s="332"/>
      <c r="L2237" s="332"/>
      <c r="M2237" s="76"/>
      <c r="N2237" s="103" t="str">
        <f>IF(A2237="","",VLOOKUP(A2237,Stand!C:K,9,0))</f>
        <v/>
      </c>
      <c r="O2237" s="104" t="str">
        <f t="shared" si="956"/>
        <v/>
      </c>
      <c r="P2237" s="105" t="str">
        <f t="shared" si="957"/>
        <v/>
      </c>
      <c r="Q2237" s="105" t="str">
        <f t="shared" si="972"/>
        <v/>
      </c>
      <c r="R2237" s="103" t="str">
        <f t="shared" si="958"/>
        <v/>
      </c>
      <c r="S2237" s="103" t="str">
        <f t="shared" si="959"/>
        <v/>
      </c>
      <c r="T2237" s="106" t="str">
        <f t="shared" si="973"/>
        <v/>
      </c>
      <c r="U2237" s="106" t="str">
        <f t="shared" si="974"/>
        <v/>
      </c>
      <c r="V2237" s="106" t="str">
        <f t="shared" si="975"/>
        <v/>
      </c>
      <c r="W2237" s="105" t="str">
        <f t="shared" si="960"/>
        <v/>
      </c>
      <c r="X2237" s="104" t="str">
        <f t="shared" si="965"/>
        <v/>
      </c>
      <c r="Y2237" s="104" t="str">
        <f t="array" ref="Y2237">IFERROR(IF(ISNUMBER(O2237),IF(COUNT(IF(A2237=$A$2:$A$2427,IF(D2237=$D$2:$D$2427,IF($X$2:$X$2427&gt;0,1))))&gt;0,SUM(IF(A2237=$A$2:$A$2427,IF(D2237=$D$2:$D$2427,$X$2:$X$2427)))/COUNT(IF(A2237=$A$2:$A$2427,IF(D2237=$D$2:$D$2427,IF(ISNUMBER($X$2:$X$2427),1)))),0),""),0)</f>
        <v/>
      </c>
      <c r="Z2237" s="104" t="str">
        <f>IF(ISNUMBER(O2237),IF(I2237&gt;0,(10^(VLOOKUP(D2237,'Species Codes'!B:C,2,0)+VLOOKUP(D2237,'Species Codes'!B:D,3,0)*LOG(E2237)+VLOOKUP(D2237,'Species Codes'!B:E,4,0)*LOG(I2237))),0),"")</f>
        <v/>
      </c>
      <c r="AA2237" s="104" t="str">
        <f>IFERROR((VLOOKUP(D2237,'Species Codes'!B:G,6,0)*Z2237)/2000,"")</f>
        <v/>
      </c>
      <c r="AB2237" s="104" t="e">
        <f>IF(Z2237&gt;0,((IF(OR(D2237="DF",D2237="RA")=TRUE,EXP(VLOOKUP(D2237,'Species Codes'!B:I,8,0)+VLOOKUP(D2237,'Species Codes'!B:J,9,0)*(LN((E2237*2.54)))),IF(OR(D2237="PY",D2237="RC",D2237="WH",D2237="NF")=TRUE,VLOOKUP(D2237,'Species Codes'!B:I,8,0)+VLOOKUP(D2237,'Species Codes'!B:J,9,0)*((E2237*2.54)^2)*(I2237*0.3048),IF(OR(D2237="MD",D2237="BM",D2237="GA")=TRUE,((VLOOKUP(D2237,'Species Codes'!B:I,8,0)*(((((E2237*2.54)+VLOOKUP(D2237,'Species Codes'!B:J,9,0))/VLOOKUP(D2237,'Species Codes'!B:K,10,0))^VLOOKUP(D2237,'Species Codes'!B:L,11,0))*((I2237*0.3048)^VLOOKUP(D2237,'Species Codes'!B:M,12,0))))-(VLOOKUP(D2237,'Species Codes'!B:I,8,0)*((((E2237*2.54)^VLOOKUP(D2237,'Species Codes'!B:L,11,0))*((I2237*0.3048)^VLOOKUP(D2237,'Species Codes'!B:M,12,0))))))*35.3*VLOOKUP(D2237,'Species Codes'!B:G,6,0)/2.2046,VLOOKUP(D2237,'Species Codes'!B:I,8,0)+VLOOKUP(D2237,'Species Codes'!B:J,9,0)*(((E2237*2.54)/100)^2)*(I2237*0.3048)))))*0.0011023),0)</f>
        <v>#N/A</v>
      </c>
      <c r="AC2237" s="104" t="e">
        <f>IF(Z2237&gt;0,((IF(OR(D2237="RA",D2237="OA",D2237="OT",D2237="UN",D2237="PC"),EXP(VLOOKUP(D2237,'Species Codes'!B:O,14,0)+VLOOKUP(D2237,'Species Codes'!B:P,15,0)*LN((E2237*2.54)))-EXP(VLOOKUP(D2237,'Species Codes'!B:O,14,0)+VLOOKUP(D2237,'Species Codes'!B:P,15,0)*LN((E2237*2.54)))*(1/(VLOOKUP(D2237,'Species Codes'!B:Q,16,0)+VLOOKUP(D2237,'Species Codes'!B:R,17,0)*((E2237*2.54)^VLOOKUP(D2237,'Species Codes'!B:S,18,0)))),IF(OR(D2237="BM",D2237="MD",D2237="OA"),EXP(VLOOKUP(D2237,'Species Codes'!B:O,14,0)+VLOOKUP(D2237,'Species Codes'!B:P,15,0)*LN((E2237*2.54)))*(1-(1/(VLOOKUP(D2237,'Species Codes'!B:Q,16,0)+VLOOKUP(D2237,'Species Codes'!B:R,17,0)*((E2237*2.54)^VLOOKUP(D2237,'Species Codes'!B:S,18,0)))))/1000,IF(D2237="DF",EXP(VLOOKUP(D2237,'Species Codes'!B:O,14,0)+VLOOKUP(D2237,'Species Codes'!B:P,15,0)*LN((E2237*2.54))),VLOOKUP(D2237,'Species Codes'!B:O,14,0)+VLOOKUP(D2237,'Species Codes'!B:P,15,0)*(((E2237*2.54)/100)^2)*(I2237*0.3048)))))*0.0011023),0)</f>
        <v>#N/A</v>
      </c>
      <c r="AD2237" s="104" t="e">
        <f t="shared" si="976"/>
        <v>#N/A</v>
      </c>
      <c r="AE2237" s="104" t="e">
        <f t="shared" si="977"/>
        <v>#N/A</v>
      </c>
      <c r="AF2237" s="104" t="e">
        <f>IF(AND(VLOOKUP($D2237,Merchantability!$B:$C,2,0)="Yes",$E2237&gt;=VLOOKUP($D2237,Merchantability!$B:$D,3,0),$E2237&lt;=VLOOKUP($D2237,Merchantability!$B:$E,4,0)),AA2237,0)</f>
        <v>#N/A</v>
      </c>
      <c r="AG2237" s="104" t="e">
        <f>IF(AND(VLOOKUP($D2237,Merchantability!$B:$C,2,0)="Yes",$E2237&gt;=VLOOKUP($D2237,Merchantability!$B:$D,3,0),$E2237&lt;=VLOOKUP($D2237,Merchantability!$B:$E,4,0)),AB2237,0)</f>
        <v>#N/A</v>
      </c>
      <c r="AH2237" s="104" t="e">
        <f>IF(AND(VLOOKUP($D2237,Merchantability!$B:$C,2,0)="Yes",$E2237&gt;=VLOOKUP($D2237,Merchantability!$B:$D,3,0),$E2237&lt;=VLOOKUP($D2237,Merchantability!$B:$E,4,0)),AC2237,0)</f>
        <v>#N/A</v>
      </c>
      <c r="AI2237" s="104" t="e">
        <f t="shared" si="978"/>
        <v>#N/A</v>
      </c>
      <c r="AJ2237" s="104" t="e">
        <f t="shared" si="979"/>
        <v>#VALUE!</v>
      </c>
      <c r="AK2237" s="104" t="e">
        <f t="shared" si="980"/>
        <v>#N/A</v>
      </c>
      <c r="AL2237" s="104" t="e">
        <f t="shared" si="981"/>
        <v>#N/A</v>
      </c>
      <c r="AM2237" s="104" t="e">
        <f t="shared" si="982"/>
        <v>#N/A</v>
      </c>
      <c r="AN2237" s="104" t="e">
        <f t="shared" si="966"/>
        <v>#N/A</v>
      </c>
      <c r="AO2237" s="104" t="e">
        <f t="shared" si="967"/>
        <v>#N/A</v>
      </c>
      <c r="AP2237" s="104" t="e">
        <f t="shared" si="968"/>
        <v>#N/A</v>
      </c>
      <c r="AQ2237" s="104" t="e">
        <f t="shared" si="969"/>
        <v>#N/A</v>
      </c>
      <c r="AR2237" s="105" t="str">
        <f t="shared" si="961"/>
        <v/>
      </c>
      <c r="AS2237" s="105" t="str">
        <f t="shared" si="962"/>
        <v/>
      </c>
      <c r="AT2237" s="108" t="str">
        <f t="shared" si="963"/>
        <v/>
      </c>
      <c r="AU2237" s="108" t="str">
        <f t="shared" si="964"/>
        <v/>
      </c>
      <c r="AV2237" s="107" t="str">
        <f>IF(ISNUMBER(O2237),IF(VLOOKUP($A2237,Stand!C:J,8,FALSE)="Short",AT2237,AU2237),"")</f>
        <v/>
      </c>
      <c r="AW2237" s="109" t="str">
        <f t="shared" si="970"/>
        <v/>
      </c>
      <c r="AX2237" s="109" t="str">
        <f t="shared" si="971"/>
        <v/>
      </c>
      <c r="AY2237" s="112" t="str">
        <f>IF(ISNUMBER(O2237),IF(AND(VLOOKUP($D2237,Merchantability!$B:$C,2,0)="Yes",$E2237&gt;=VLOOKUP($D2237,Merchantability!$B:$D,3,0),$E2237&lt;=VLOOKUP($D2237,Merchantability!$B:$E,4,0)),(AV2237*O2237)*(1-$H2237/100),""),"")</f>
        <v/>
      </c>
      <c r="AZ2237" s="116"/>
      <c r="BA2237" s="116"/>
      <c r="BB2237" s="116"/>
      <c r="BE2237" s="62"/>
      <c r="BF2237" s="63"/>
    </row>
    <row r="2238" spans="1:58" ht="12.75" customHeight="1" x14ac:dyDescent="0.25">
      <c r="A2238" s="334"/>
      <c r="B2238" s="334"/>
      <c r="C2238" s="332"/>
      <c r="D2238" s="334"/>
      <c r="E2238" s="335"/>
      <c r="F2238" s="334"/>
      <c r="G2238" s="332"/>
      <c r="H2238" s="332"/>
      <c r="I2238" s="334"/>
      <c r="J2238" s="336"/>
      <c r="K2238" s="332"/>
      <c r="L2238" s="332"/>
      <c r="M2238" s="76"/>
      <c r="N2238" s="103" t="str">
        <f>IF(A2238="","",VLOOKUP(A2238,Stand!C:K,9,0))</f>
        <v/>
      </c>
      <c r="O2238" s="104" t="str">
        <f t="shared" si="956"/>
        <v/>
      </c>
      <c r="P2238" s="105" t="str">
        <f t="shared" si="957"/>
        <v/>
      </c>
      <c r="Q2238" s="105" t="str">
        <f t="shared" si="972"/>
        <v/>
      </c>
      <c r="R2238" s="103" t="str">
        <f t="shared" si="958"/>
        <v/>
      </c>
      <c r="S2238" s="103" t="str">
        <f t="shared" si="959"/>
        <v/>
      </c>
      <c r="T2238" s="106" t="str">
        <f t="shared" si="973"/>
        <v/>
      </c>
      <c r="U2238" s="106" t="str">
        <f t="shared" si="974"/>
        <v/>
      </c>
      <c r="V2238" s="106" t="str">
        <f t="shared" si="975"/>
        <v/>
      </c>
      <c r="W2238" s="105" t="str">
        <f t="shared" si="960"/>
        <v/>
      </c>
      <c r="X2238" s="104" t="str">
        <f t="shared" si="965"/>
        <v/>
      </c>
      <c r="Y2238" s="104" t="str">
        <f t="array" ref="Y2238">IFERROR(IF(ISNUMBER(O2238),IF(COUNT(IF(A2238=$A$2:$A$2427,IF(D2238=$D$2:$D$2427,IF($X$2:$X$2427&gt;0,1))))&gt;0,SUM(IF(A2238=$A$2:$A$2427,IF(D2238=$D$2:$D$2427,$X$2:$X$2427)))/COUNT(IF(A2238=$A$2:$A$2427,IF(D2238=$D$2:$D$2427,IF(ISNUMBER($X$2:$X$2427),1)))),0),""),0)</f>
        <v/>
      </c>
      <c r="Z2238" s="104" t="str">
        <f>IF(ISNUMBER(O2238),IF(I2238&gt;0,(10^(VLOOKUP(D2238,'Species Codes'!B:C,2,0)+VLOOKUP(D2238,'Species Codes'!B:D,3,0)*LOG(E2238)+VLOOKUP(D2238,'Species Codes'!B:E,4,0)*LOG(I2238))),0),"")</f>
        <v/>
      </c>
      <c r="AA2238" s="104" t="str">
        <f>IFERROR((VLOOKUP(D2238,'Species Codes'!B:G,6,0)*Z2238)/2000,"")</f>
        <v/>
      </c>
      <c r="AB2238" s="104" t="e">
        <f>IF(Z2238&gt;0,((IF(OR(D2238="DF",D2238="RA")=TRUE,EXP(VLOOKUP(D2238,'Species Codes'!B:I,8,0)+VLOOKUP(D2238,'Species Codes'!B:J,9,0)*(LN((E2238*2.54)))),IF(OR(D2238="PY",D2238="RC",D2238="WH",D2238="NF")=TRUE,VLOOKUP(D2238,'Species Codes'!B:I,8,0)+VLOOKUP(D2238,'Species Codes'!B:J,9,0)*((E2238*2.54)^2)*(I2238*0.3048),IF(OR(D2238="MD",D2238="BM",D2238="GA")=TRUE,((VLOOKUP(D2238,'Species Codes'!B:I,8,0)*(((((E2238*2.54)+VLOOKUP(D2238,'Species Codes'!B:J,9,0))/VLOOKUP(D2238,'Species Codes'!B:K,10,0))^VLOOKUP(D2238,'Species Codes'!B:L,11,0))*((I2238*0.3048)^VLOOKUP(D2238,'Species Codes'!B:M,12,0))))-(VLOOKUP(D2238,'Species Codes'!B:I,8,0)*((((E2238*2.54)^VLOOKUP(D2238,'Species Codes'!B:L,11,0))*((I2238*0.3048)^VLOOKUP(D2238,'Species Codes'!B:M,12,0))))))*35.3*VLOOKUP(D2238,'Species Codes'!B:G,6,0)/2.2046,VLOOKUP(D2238,'Species Codes'!B:I,8,0)+VLOOKUP(D2238,'Species Codes'!B:J,9,0)*(((E2238*2.54)/100)^2)*(I2238*0.3048)))))*0.0011023),0)</f>
        <v>#N/A</v>
      </c>
      <c r="AC2238" s="104" t="e">
        <f>IF(Z2238&gt;0,((IF(OR(D2238="RA",D2238="OA",D2238="OT",D2238="UN",D2238="PC"),EXP(VLOOKUP(D2238,'Species Codes'!B:O,14,0)+VLOOKUP(D2238,'Species Codes'!B:P,15,0)*LN((E2238*2.54)))-EXP(VLOOKUP(D2238,'Species Codes'!B:O,14,0)+VLOOKUP(D2238,'Species Codes'!B:P,15,0)*LN((E2238*2.54)))*(1/(VLOOKUP(D2238,'Species Codes'!B:Q,16,0)+VLOOKUP(D2238,'Species Codes'!B:R,17,0)*((E2238*2.54)^VLOOKUP(D2238,'Species Codes'!B:S,18,0)))),IF(OR(D2238="BM",D2238="MD",D2238="OA"),EXP(VLOOKUP(D2238,'Species Codes'!B:O,14,0)+VLOOKUP(D2238,'Species Codes'!B:P,15,0)*LN((E2238*2.54)))*(1-(1/(VLOOKUP(D2238,'Species Codes'!B:Q,16,0)+VLOOKUP(D2238,'Species Codes'!B:R,17,0)*((E2238*2.54)^VLOOKUP(D2238,'Species Codes'!B:S,18,0)))))/1000,IF(D2238="DF",EXP(VLOOKUP(D2238,'Species Codes'!B:O,14,0)+VLOOKUP(D2238,'Species Codes'!B:P,15,0)*LN((E2238*2.54))),VLOOKUP(D2238,'Species Codes'!B:O,14,0)+VLOOKUP(D2238,'Species Codes'!B:P,15,0)*(((E2238*2.54)/100)^2)*(I2238*0.3048)))))*0.0011023),0)</f>
        <v>#N/A</v>
      </c>
      <c r="AD2238" s="104" t="e">
        <f t="shared" si="976"/>
        <v>#N/A</v>
      </c>
      <c r="AE2238" s="104" t="e">
        <f t="shared" si="977"/>
        <v>#N/A</v>
      </c>
      <c r="AF2238" s="104" t="e">
        <f>IF(AND(VLOOKUP($D2238,Merchantability!$B:$C,2,0)="Yes",$E2238&gt;=VLOOKUP($D2238,Merchantability!$B:$D,3,0),$E2238&lt;=VLOOKUP($D2238,Merchantability!$B:$E,4,0)),AA2238,0)</f>
        <v>#N/A</v>
      </c>
      <c r="AG2238" s="104" t="e">
        <f>IF(AND(VLOOKUP($D2238,Merchantability!$B:$C,2,0)="Yes",$E2238&gt;=VLOOKUP($D2238,Merchantability!$B:$D,3,0),$E2238&lt;=VLOOKUP($D2238,Merchantability!$B:$E,4,0)),AB2238,0)</f>
        <v>#N/A</v>
      </c>
      <c r="AH2238" s="104" t="e">
        <f>IF(AND(VLOOKUP($D2238,Merchantability!$B:$C,2,0)="Yes",$E2238&gt;=VLOOKUP($D2238,Merchantability!$B:$D,3,0),$E2238&lt;=VLOOKUP($D2238,Merchantability!$B:$E,4,0)),AC2238,0)</f>
        <v>#N/A</v>
      </c>
      <c r="AI2238" s="104" t="e">
        <f t="shared" si="978"/>
        <v>#N/A</v>
      </c>
      <c r="AJ2238" s="104" t="e">
        <f t="shared" si="979"/>
        <v>#VALUE!</v>
      </c>
      <c r="AK2238" s="104" t="e">
        <f t="shared" si="980"/>
        <v>#N/A</v>
      </c>
      <c r="AL2238" s="104" t="e">
        <f t="shared" si="981"/>
        <v>#N/A</v>
      </c>
      <c r="AM2238" s="104" t="e">
        <f t="shared" si="982"/>
        <v>#N/A</v>
      </c>
      <c r="AN2238" s="104" t="e">
        <f t="shared" si="966"/>
        <v>#N/A</v>
      </c>
      <c r="AO2238" s="104" t="e">
        <f t="shared" si="967"/>
        <v>#N/A</v>
      </c>
      <c r="AP2238" s="104" t="e">
        <f t="shared" si="968"/>
        <v>#N/A</v>
      </c>
      <c r="AQ2238" s="104" t="e">
        <f t="shared" si="969"/>
        <v>#N/A</v>
      </c>
      <c r="AR2238" s="105" t="str">
        <f t="shared" si="961"/>
        <v/>
      </c>
      <c r="AS2238" s="105" t="str">
        <f t="shared" si="962"/>
        <v/>
      </c>
      <c r="AT2238" s="108" t="str">
        <f t="shared" si="963"/>
        <v/>
      </c>
      <c r="AU2238" s="108" t="str">
        <f t="shared" si="964"/>
        <v/>
      </c>
      <c r="AV2238" s="107" t="str">
        <f>IF(ISNUMBER(O2238),IF(VLOOKUP($A2238,Stand!C:J,8,FALSE)="Short",AT2238,AU2238),"")</f>
        <v/>
      </c>
      <c r="AW2238" s="109" t="str">
        <f t="shared" si="970"/>
        <v/>
      </c>
      <c r="AX2238" s="109" t="str">
        <f t="shared" si="971"/>
        <v/>
      </c>
      <c r="AY2238" s="112" t="str">
        <f>IF(ISNUMBER(O2238),IF(AND(VLOOKUP($D2238,Merchantability!$B:$C,2,0)="Yes",$E2238&gt;=VLOOKUP($D2238,Merchantability!$B:$D,3,0),$E2238&lt;=VLOOKUP($D2238,Merchantability!$B:$E,4,0)),(AV2238*O2238)*(1-$H2238/100),""),"")</f>
        <v/>
      </c>
      <c r="AZ2238" s="116"/>
      <c r="BA2238" s="116"/>
      <c r="BB2238" s="116"/>
      <c r="BE2238" s="62"/>
      <c r="BF2238" s="63"/>
    </row>
    <row r="2239" spans="1:58" ht="12.75" customHeight="1" x14ac:dyDescent="0.25">
      <c r="A2239" s="334"/>
      <c r="B2239" s="334"/>
      <c r="C2239" s="332"/>
      <c r="D2239" s="334"/>
      <c r="E2239" s="335"/>
      <c r="F2239" s="334"/>
      <c r="G2239" s="332"/>
      <c r="H2239" s="332"/>
      <c r="I2239" s="334"/>
      <c r="J2239" s="336"/>
      <c r="K2239" s="332"/>
      <c r="L2239" s="332"/>
      <c r="M2239" s="76"/>
      <c r="N2239" s="103" t="str">
        <f>IF(A2239="","",VLOOKUP(A2239,Stand!C:K,9,0))</f>
        <v/>
      </c>
      <c r="O2239" s="104" t="str">
        <f t="shared" si="956"/>
        <v/>
      </c>
      <c r="P2239" s="105" t="str">
        <f t="shared" si="957"/>
        <v/>
      </c>
      <c r="Q2239" s="105" t="str">
        <f t="shared" si="972"/>
        <v/>
      </c>
      <c r="R2239" s="103" t="str">
        <f t="shared" si="958"/>
        <v/>
      </c>
      <c r="S2239" s="103" t="str">
        <f t="shared" si="959"/>
        <v/>
      </c>
      <c r="T2239" s="106" t="str">
        <f t="shared" si="973"/>
        <v/>
      </c>
      <c r="U2239" s="106" t="str">
        <f t="shared" si="974"/>
        <v/>
      </c>
      <c r="V2239" s="106" t="str">
        <f t="shared" si="975"/>
        <v/>
      </c>
      <c r="W2239" s="105" t="str">
        <f t="shared" si="960"/>
        <v/>
      </c>
      <c r="X2239" s="104" t="str">
        <f t="shared" si="965"/>
        <v/>
      </c>
      <c r="Y2239" s="104" t="str">
        <f t="array" ref="Y2239">IFERROR(IF(ISNUMBER(O2239),IF(COUNT(IF(A2239=$A$2:$A$2427,IF(D2239=$D$2:$D$2427,IF($X$2:$X$2427&gt;0,1))))&gt;0,SUM(IF(A2239=$A$2:$A$2427,IF(D2239=$D$2:$D$2427,$X$2:$X$2427)))/COUNT(IF(A2239=$A$2:$A$2427,IF(D2239=$D$2:$D$2427,IF(ISNUMBER($X$2:$X$2427),1)))),0),""),0)</f>
        <v/>
      </c>
      <c r="Z2239" s="104" t="str">
        <f>IF(ISNUMBER(O2239),IF(I2239&gt;0,(10^(VLOOKUP(D2239,'Species Codes'!B:C,2,0)+VLOOKUP(D2239,'Species Codes'!B:D,3,0)*LOG(E2239)+VLOOKUP(D2239,'Species Codes'!B:E,4,0)*LOG(I2239))),0),"")</f>
        <v/>
      </c>
      <c r="AA2239" s="104" t="str">
        <f>IFERROR((VLOOKUP(D2239,'Species Codes'!B:G,6,0)*Z2239)/2000,"")</f>
        <v/>
      </c>
      <c r="AB2239" s="104" t="e">
        <f>IF(Z2239&gt;0,((IF(OR(D2239="DF",D2239="RA")=TRUE,EXP(VLOOKUP(D2239,'Species Codes'!B:I,8,0)+VLOOKUP(D2239,'Species Codes'!B:J,9,0)*(LN((E2239*2.54)))),IF(OR(D2239="PY",D2239="RC",D2239="WH",D2239="NF")=TRUE,VLOOKUP(D2239,'Species Codes'!B:I,8,0)+VLOOKUP(D2239,'Species Codes'!B:J,9,0)*((E2239*2.54)^2)*(I2239*0.3048),IF(OR(D2239="MD",D2239="BM",D2239="GA")=TRUE,((VLOOKUP(D2239,'Species Codes'!B:I,8,0)*(((((E2239*2.54)+VLOOKUP(D2239,'Species Codes'!B:J,9,0))/VLOOKUP(D2239,'Species Codes'!B:K,10,0))^VLOOKUP(D2239,'Species Codes'!B:L,11,0))*((I2239*0.3048)^VLOOKUP(D2239,'Species Codes'!B:M,12,0))))-(VLOOKUP(D2239,'Species Codes'!B:I,8,0)*((((E2239*2.54)^VLOOKUP(D2239,'Species Codes'!B:L,11,0))*((I2239*0.3048)^VLOOKUP(D2239,'Species Codes'!B:M,12,0))))))*35.3*VLOOKUP(D2239,'Species Codes'!B:G,6,0)/2.2046,VLOOKUP(D2239,'Species Codes'!B:I,8,0)+VLOOKUP(D2239,'Species Codes'!B:J,9,0)*(((E2239*2.54)/100)^2)*(I2239*0.3048)))))*0.0011023),0)</f>
        <v>#N/A</v>
      </c>
      <c r="AC2239" s="104" t="e">
        <f>IF(Z2239&gt;0,((IF(OR(D2239="RA",D2239="OA",D2239="OT",D2239="UN",D2239="PC"),EXP(VLOOKUP(D2239,'Species Codes'!B:O,14,0)+VLOOKUP(D2239,'Species Codes'!B:P,15,0)*LN((E2239*2.54)))-EXP(VLOOKUP(D2239,'Species Codes'!B:O,14,0)+VLOOKUP(D2239,'Species Codes'!B:P,15,0)*LN((E2239*2.54)))*(1/(VLOOKUP(D2239,'Species Codes'!B:Q,16,0)+VLOOKUP(D2239,'Species Codes'!B:R,17,0)*((E2239*2.54)^VLOOKUP(D2239,'Species Codes'!B:S,18,0)))),IF(OR(D2239="BM",D2239="MD",D2239="OA"),EXP(VLOOKUP(D2239,'Species Codes'!B:O,14,0)+VLOOKUP(D2239,'Species Codes'!B:P,15,0)*LN((E2239*2.54)))*(1-(1/(VLOOKUP(D2239,'Species Codes'!B:Q,16,0)+VLOOKUP(D2239,'Species Codes'!B:R,17,0)*((E2239*2.54)^VLOOKUP(D2239,'Species Codes'!B:S,18,0)))))/1000,IF(D2239="DF",EXP(VLOOKUP(D2239,'Species Codes'!B:O,14,0)+VLOOKUP(D2239,'Species Codes'!B:P,15,0)*LN((E2239*2.54))),VLOOKUP(D2239,'Species Codes'!B:O,14,0)+VLOOKUP(D2239,'Species Codes'!B:P,15,0)*(((E2239*2.54)/100)^2)*(I2239*0.3048)))))*0.0011023),0)</f>
        <v>#N/A</v>
      </c>
      <c r="AD2239" s="104" t="e">
        <f t="shared" si="976"/>
        <v>#N/A</v>
      </c>
      <c r="AE2239" s="104" t="e">
        <f t="shared" si="977"/>
        <v>#N/A</v>
      </c>
      <c r="AF2239" s="104" t="e">
        <f>IF(AND(VLOOKUP($D2239,Merchantability!$B:$C,2,0)="Yes",$E2239&gt;=VLOOKUP($D2239,Merchantability!$B:$D,3,0),$E2239&lt;=VLOOKUP($D2239,Merchantability!$B:$E,4,0)),AA2239,0)</f>
        <v>#N/A</v>
      </c>
      <c r="AG2239" s="104" t="e">
        <f>IF(AND(VLOOKUP($D2239,Merchantability!$B:$C,2,0)="Yes",$E2239&gt;=VLOOKUP($D2239,Merchantability!$B:$D,3,0),$E2239&lt;=VLOOKUP($D2239,Merchantability!$B:$E,4,0)),AB2239,0)</f>
        <v>#N/A</v>
      </c>
      <c r="AH2239" s="104" t="e">
        <f>IF(AND(VLOOKUP($D2239,Merchantability!$B:$C,2,0)="Yes",$E2239&gt;=VLOOKUP($D2239,Merchantability!$B:$D,3,0),$E2239&lt;=VLOOKUP($D2239,Merchantability!$B:$E,4,0)),AC2239,0)</f>
        <v>#N/A</v>
      </c>
      <c r="AI2239" s="104" t="e">
        <f t="shared" si="978"/>
        <v>#N/A</v>
      </c>
      <c r="AJ2239" s="104" t="e">
        <f t="shared" si="979"/>
        <v>#VALUE!</v>
      </c>
      <c r="AK2239" s="104" t="e">
        <f t="shared" si="980"/>
        <v>#N/A</v>
      </c>
      <c r="AL2239" s="104" t="e">
        <f t="shared" si="981"/>
        <v>#N/A</v>
      </c>
      <c r="AM2239" s="104" t="e">
        <f t="shared" si="982"/>
        <v>#N/A</v>
      </c>
      <c r="AN2239" s="104" t="e">
        <f t="shared" si="966"/>
        <v>#N/A</v>
      </c>
      <c r="AO2239" s="104" t="e">
        <f t="shared" si="967"/>
        <v>#N/A</v>
      </c>
      <c r="AP2239" s="104" t="e">
        <f t="shared" si="968"/>
        <v>#N/A</v>
      </c>
      <c r="AQ2239" s="104" t="e">
        <f t="shared" si="969"/>
        <v>#N/A</v>
      </c>
      <c r="AR2239" s="105" t="str">
        <f t="shared" si="961"/>
        <v/>
      </c>
      <c r="AS2239" s="105" t="str">
        <f t="shared" si="962"/>
        <v/>
      </c>
      <c r="AT2239" s="108" t="str">
        <f t="shared" si="963"/>
        <v/>
      </c>
      <c r="AU2239" s="108" t="str">
        <f t="shared" si="964"/>
        <v/>
      </c>
      <c r="AV2239" s="107" t="str">
        <f>IF(ISNUMBER(O2239),IF(VLOOKUP($A2239,Stand!C:J,8,FALSE)="Short",AT2239,AU2239),"")</f>
        <v/>
      </c>
      <c r="AW2239" s="109" t="str">
        <f t="shared" si="970"/>
        <v/>
      </c>
      <c r="AX2239" s="109" t="str">
        <f t="shared" si="971"/>
        <v/>
      </c>
      <c r="AY2239" s="112" t="str">
        <f>IF(ISNUMBER(O2239),IF(AND(VLOOKUP($D2239,Merchantability!$B:$C,2,0)="Yes",$E2239&gt;=VLOOKUP($D2239,Merchantability!$B:$D,3,0),$E2239&lt;=VLOOKUP($D2239,Merchantability!$B:$E,4,0)),(AV2239*O2239)*(1-$H2239/100),""),"")</f>
        <v/>
      </c>
      <c r="AZ2239" s="116"/>
      <c r="BA2239" s="116"/>
      <c r="BB2239" s="116"/>
      <c r="BE2239" s="62"/>
      <c r="BF2239" s="63"/>
    </row>
    <row r="2240" spans="1:58" ht="12.75" customHeight="1" x14ac:dyDescent="0.25">
      <c r="A2240" s="334"/>
      <c r="B2240" s="334"/>
      <c r="C2240" s="332"/>
      <c r="D2240" s="334"/>
      <c r="E2240" s="335"/>
      <c r="F2240" s="334"/>
      <c r="G2240" s="332"/>
      <c r="H2240" s="332"/>
      <c r="I2240" s="334"/>
      <c r="J2240" s="336"/>
      <c r="K2240" s="332"/>
      <c r="L2240" s="332"/>
      <c r="M2240" s="76"/>
      <c r="N2240" s="103" t="str">
        <f>IF(A2240="","",VLOOKUP(A2240,Stand!C:K,9,0))</f>
        <v/>
      </c>
      <c r="O2240" s="104" t="str">
        <f t="shared" si="956"/>
        <v/>
      </c>
      <c r="P2240" s="105" t="str">
        <f t="shared" si="957"/>
        <v/>
      </c>
      <c r="Q2240" s="105" t="str">
        <f t="shared" si="972"/>
        <v/>
      </c>
      <c r="R2240" s="103" t="str">
        <f t="shared" si="958"/>
        <v/>
      </c>
      <c r="S2240" s="103" t="str">
        <f t="shared" si="959"/>
        <v/>
      </c>
      <c r="T2240" s="106" t="str">
        <f t="shared" si="973"/>
        <v/>
      </c>
      <c r="U2240" s="106" t="str">
        <f t="shared" si="974"/>
        <v/>
      </c>
      <c r="V2240" s="106" t="str">
        <f t="shared" si="975"/>
        <v/>
      </c>
      <c r="W2240" s="105" t="str">
        <f t="shared" si="960"/>
        <v/>
      </c>
      <c r="X2240" s="104" t="str">
        <f t="shared" si="965"/>
        <v/>
      </c>
      <c r="Y2240" s="104" t="str">
        <f t="array" ref="Y2240">IFERROR(IF(ISNUMBER(O2240),IF(COUNT(IF(A2240=$A$2:$A$2427,IF(D2240=$D$2:$D$2427,IF($X$2:$X$2427&gt;0,1))))&gt;0,SUM(IF(A2240=$A$2:$A$2427,IF(D2240=$D$2:$D$2427,$X$2:$X$2427)))/COUNT(IF(A2240=$A$2:$A$2427,IF(D2240=$D$2:$D$2427,IF(ISNUMBER($X$2:$X$2427),1)))),0),""),0)</f>
        <v/>
      </c>
      <c r="Z2240" s="104" t="str">
        <f>IF(ISNUMBER(O2240),IF(I2240&gt;0,(10^(VLOOKUP(D2240,'Species Codes'!B:C,2,0)+VLOOKUP(D2240,'Species Codes'!B:D,3,0)*LOG(E2240)+VLOOKUP(D2240,'Species Codes'!B:E,4,0)*LOG(I2240))),0),"")</f>
        <v/>
      </c>
      <c r="AA2240" s="104" t="str">
        <f>IFERROR((VLOOKUP(D2240,'Species Codes'!B:G,6,0)*Z2240)/2000,"")</f>
        <v/>
      </c>
      <c r="AB2240" s="104" t="e">
        <f>IF(Z2240&gt;0,((IF(OR(D2240="DF",D2240="RA")=TRUE,EXP(VLOOKUP(D2240,'Species Codes'!B:I,8,0)+VLOOKUP(D2240,'Species Codes'!B:J,9,0)*(LN((E2240*2.54)))),IF(OR(D2240="PY",D2240="RC",D2240="WH",D2240="NF")=TRUE,VLOOKUP(D2240,'Species Codes'!B:I,8,0)+VLOOKUP(D2240,'Species Codes'!B:J,9,0)*((E2240*2.54)^2)*(I2240*0.3048),IF(OR(D2240="MD",D2240="BM",D2240="GA")=TRUE,((VLOOKUP(D2240,'Species Codes'!B:I,8,0)*(((((E2240*2.54)+VLOOKUP(D2240,'Species Codes'!B:J,9,0))/VLOOKUP(D2240,'Species Codes'!B:K,10,0))^VLOOKUP(D2240,'Species Codes'!B:L,11,0))*((I2240*0.3048)^VLOOKUP(D2240,'Species Codes'!B:M,12,0))))-(VLOOKUP(D2240,'Species Codes'!B:I,8,0)*((((E2240*2.54)^VLOOKUP(D2240,'Species Codes'!B:L,11,0))*((I2240*0.3048)^VLOOKUP(D2240,'Species Codes'!B:M,12,0))))))*35.3*VLOOKUP(D2240,'Species Codes'!B:G,6,0)/2.2046,VLOOKUP(D2240,'Species Codes'!B:I,8,0)+VLOOKUP(D2240,'Species Codes'!B:J,9,0)*(((E2240*2.54)/100)^2)*(I2240*0.3048)))))*0.0011023),0)</f>
        <v>#N/A</v>
      </c>
      <c r="AC2240" s="104" t="e">
        <f>IF(Z2240&gt;0,((IF(OR(D2240="RA",D2240="OA",D2240="OT",D2240="UN",D2240="PC"),EXP(VLOOKUP(D2240,'Species Codes'!B:O,14,0)+VLOOKUP(D2240,'Species Codes'!B:P,15,0)*LN((E2240*2.54)))-EXP(VLOOKUP(D2240,'Species Codes'!B:O,14,0)+VLOOKUP(D2240,'Species Codes'!B:P,15,0)*LN((E2240*2.54)))*(1/(VLOOKUP(D2240,'Species Codes'!B:Q,16,0)+VLOOKUP(D2240,'Species Codes'!B:R,17,0)*((E2240*2.54)^VLOOKUP(D2240,'Species Codes'!B:S,18,0)))),IF(OR(D2240="BM",D2240="MD",D2240="OA"),EXP(VLOOKUP(D2240,'Species Codes'!B:O,14,0)+VLOOKUP(D2240,'Species Codes'!B:P,15,0)*LN((E2240*2.54)))*(1-(1/(VLOOKUP(D2240,'Species Codes'!B:Q,16,0)+VLOOKUP(D2240,'Species Codes'!B:R,17,0)*((E2240*2.54)^VLOOKUP(D2240,'Species Codes'!B:S,18,0)))))/1000,IF(D2240="DF",EXP(VLOOKUP(D2240,'Species Codes'!B:O,14,0)+VLOOKUP(D2240,'Species Codes'!B:P,15,0)*LN((E2240*2.54))),VLOOKUP(D2240,'Species Codes'!B:O,14,0)+VLOOKUP(D2240,'Species Codes'!B:P,15,0)*(((E2240*2.54)/100)^2)*(I2240*0.3048)))))*0.0011023),0)</f>
        <v>#N/A</v>
      </c>
      <c r="AD2240" s="104" t="e">
        <f t="shared" si="976"/>
        <v>#N/A</v>
      </c>
      <c r="AE2240" s="104" t="e">
        <f t="shared" si="977"/>
        <v>#N/A</v>
      </c>
      <c r="AF2240" s="104" t="e">
        <f>IF(AND(VLOOKUP($D2240,Merchantability!$B:$C,2,0)="Yes",$E2240&gt;=VLOOKUP($D2240,Merchantability!$B:$D,3,0),$E2240&lt;=VLOOKUP($D2240,Merchantability!$B:$E,4,0)),AA2240,0)</f>
        <v>#N/A</v>
      </c>
      <c r="AG2240" s="104" t="e">
        <f>IF(AND(VLOOKUP($D2240,Merchantability!$B:$C,2,0)="Yes",$E2240&gt;=VLOOKUP($D2240,Merchantability!$B:$D,3,0),$E2240&lt;=VLOOKUP($D2240,Merchantability!$B:$E,4,0)),AB2240,0)</f>
        <v>#N/A</v>
      </c>
      <c r="AH2240" s="104" t="e">
        <f>IF(AND(VLOOKUP($D2240,Merchantability!$B:$C,2,0)="Yes",$E2240&gt;=VLOOKUP($D2240,Merchantability!$B:$D,3,0),$E2240&lt;=VLOOKUP($D2240,Merchantability!$B:$E,4,0)),AC2240,0)</f>
        <v>#N/A</v>
      </c>
      <c r="AI2240" s="104" t="e">
        <f t="shared" si="978"/>
        <v>#N/A</v>
      </c>
      <c r="AJ2240" s="104" t="e">
        <f t="shared" si="979"/>
        <v>#VALUE!</v>
      </c>
      <c r="AK2240" s="104" t="e">
        <f t="shared" si="980"/>
        <v>#N/A</v>
      </c>
      <c r="AL2240" s="104" t="e">
        <f t="shared" si="981"/>
        <v>#N/A</v>
      </c>
      <c r="AM2240" s="104" t="e">
        <f t="shared" si="982"/>
        <v>#N/A</v>
      </c>
      <c r="AN2240" s="104" t="e">
        <f t="shared" si="966"/>
        <v>#N/A</v>
      </c>
      <c r="AO2240" s="104" t="e">
        <f t="shared" si="967"/>
        <v>#N/A</v>
      </c>
      <c r="AP2240" s="104" t="e">
        <f t="shared" si="968"/>
        <v>#N/A</v>
      </c>
      <c r="AQ2240" s="104" t="e">
        <f t="shared" si="969"/>
        <v>#N/A</v>
      </c>
      <c r="AR2240" s="105" t="str">
        <f t="shared" si="961"/>
        <v/>
      </c>
      <c r="AS2240" s="105" t="str">
        <f t="shared" si="962"/>
        <v/>
      </c>
      <c r="AT2240" s="108" t="str">
        <f t="shared" si="963"/>
        <v/>
      </c>
      <c r="AU2240" s="108" t="str">
        <f t="shared" si="964"/>
        <v/>
      </c>
      <c r="AV2240" s="107" t="str">
        <f>IF(ISNUMBER(O2240),IF(VLOOKUP($A2240,Stand!C:J,8,FALSE)="Short",AT2240,AU2240),"")</f>
        <v/>
      </c>
      <c r="AW2240" s="109" t="str">
        <f t="shared" si="970"/>
        <v/>
      </c>
      <c r="AX2240" s="109" t="str">
        <f t="shared" si="971"/>
        <v/>
      </c>
      <c r="AY2240" s="112" t="str">
        <f>IF(ISNUMBER(O2240),IF(AND(VLOOKUP($D2240,Merchantability!$B:$C,2,0)="Yes",$E2240&gt;=VLOOKUP($D2240,Merchantability!$B:$D,3,0),$E2240&lt;=VLOOKUP($D2240,Merchantability!$B:$E,4,0)),(AV2240*O2240)*(1-$H2240/100),""),"")</f>
        <v/>
      </c>
      <c r="AZ2240" s="116"/>
      <c r="BA2240" s="116"/>
      <c r="BB2240" s="116"/>
      <c r="BE2240" s="62"/>
      <c r="BF2240" s="63"/>
    </row>
    <row r="2241" spans="1:58" ht="12.75" customHeight="1" x14ac:dyDescent="0.25">
      <c r="A2241" s="334"/>
      <c r="B2241" s="334"/>
      <c r="C2241" s="332"/>
      <c r="D2241" s="334"/>
      <c r="E2241" s="335"/>
      <c r="F2241" s="334"/>
      <c r="G2241" s="332"/>
      <c r="H2241" s="332"/>
      <c r="I2241" s="334"/>
      <c r="J2241" s="336"/>
      <c r="K2241" s="332"/>
      <c r="L2241" s="332"/>
      <c r="M2241" s="76"/>
      <c r="N2241" s="103" t="str">
        <f>IF(A2241="","",VLOOKUP(A2241,Stand!C:K,9,0))</f>
        <v/>
      </c>
      <c r="O2241" s="104" t="str">
        <f t="shared" si="956"/>
        <v/>
      </c>
      <c r="P2241" s="105" t="str">
        <f t="shared" si="957"/>
        <v/>
      </c>
      <c r="Q2241" s="105" t="str">
        <f t="shared" si="972"/>
        <v/>
      </c>
      <c r="R2241" s="103" t="str">
        <f t="shared" si="958"/>
        <v/>
      </c>
      <c r="S2241" s="103" t="str">
        <f t="shared" si="959"/>
        <v/>
      </c>
      <c r="T2241" s="106" t="str">
        <f t="shared" si="973"/>
        <v/>
      </c>
      <c r="U2241" s="106" t="str">
        <f t="shared" si="974"/>
        <v/>
      </c>
      <c r="V2241" s="106" t="str">
        <f t="shared" si="975"/>
        <v/>
      </c>
      <c r="W2241" s="105" t="str">
        <f t="shared" si="960"/>
        <v/>
      </c>
      <c r="X2241" s="104" t="str">
        <f t="shared" si="965"/>
        <v/>
      </c>
      <c r="Y2241" s="104" t="str">
        <f t="array" ref="Y2241">IFERROR(IF(ISNUMBER(O2241),IF(COUNT(IF(A2241=$A$2:$A$2427,IF(D2241=$D$2:$D$2427,IF($X$2:$X$2427&gt;0,1))))&gt;0,SUM(IF(A2241=$A$2:$A$2427,IF(D2241=$D$2:$D$2427,$X$2:$X$2427)))/COUNT(IF(A2241=$A$2:$A$2427,IF(D2241=$D$2:$D$2427,IF(ISNUMBER($X$2:$X$2427),1)))),0),""),0)</f>
        <v/>
      </c>
      <c r="Z2241" s="104" t="str">
        <f>IF(ISNUMBER(O2241),IF(I2241&gt;0,(10^(VLOOKUP(D2241,'Species Codes'!B:C,2,0)+VLOOKUP(D2241,'Species Codes'!B:D,3,0)*LOG(E2241)+VLOOKUP(D2241,'Species Codes'!B:E,4,0)*LOG(I2241))),0),"")</f>
        <v/>
      </c>
      <c r="AA2241" s="104" t="str">
        <f>IFERROR((VLOOKUP(D2241,'Species Codes'!B:G,6,0)*Z2241)/2000,"")</f>
        <v/>
      </c>
      <c r="AB2241" s="104" t="e">
        <f>IF(Z2241&gt;0,((IF(OR(D2241="DF",D2241="RA")=TRUE,EXP(VLOOKUP(D2241,'Species Codes'!B:I,8,0)+VLOOKUP(D2241,'Species Codes'!B:J,9,0)*(LN((E2241*2.54)))),IF(OR(D2241="PY",D2241="RC",D2241="WH",D2241="NF")=TRUE,VLOOKUP(D2241,'Species Codes'!B:I,8,0)+VLOOKUP(D2241,'Species Codes'!B:J,9,0)*((E2241*2.54)^2)*(I2241*0.3048),IF(OR(D2241="MD",D2241="BM",D2241="GA")=TRUE,((VLOOKUP(D2241,'Species Codes'!B:I,8,0)*(((((E2241*2.54)+VLOOKUP(D2241,'Species Codes'!B:J,9,0))/VLOOKUP(D2241,'Species Codes'!B:K,10,0))^VLOOKUP(D2241,'Species Codes'!B:L,11,0))*((I2241*0.3048)^VLOOKUP(D2241,'Species Codes'!B:M,12,0))))-(VLOOKUP(D2241,'Species Codes'!B:I,8,0)*((((E2241*2.54)^VLOOKUP(D2241,'Species Codes'!B:L,11,0))*((I2241*0.3048)^VLOOKUP(D2241,'Species Codes'!B:M,12,0))))))*35.3*VLOOKUP(D2241,'Species Codes'!B:G,6,0)/2.2046,VLOOKUP(D2241,'Species Codes'!B:I,8,0)+VLOOKUP(D2241,'Species Codes'!B:J,9,0)*(((E2241*2.54)/100)^2)*(I2241*0.3048)))))*0.0011023),0)</f>
        <v>#N/A</v>
      </c>
      <c r="AC2241" s="104" t="e">
        <f>IF(Z2241&gt;0,((IF(OR(D2241="RA",D2241="OA",D2241="OT",D2241="UN",D2241="PC"),EXP(VLOOKUP(D2241,'Species Codes'!B:O,14,0)+VLOOKUP(D2241,'Species Codes'!B:P,15,0)*LN((E2241*2.54)))-EXP(VLOOKUP(D2241,'Species Codes'!B:O,14,0)+VLOOKUP(D2241,'Species Codes'!B:P,15,0)*LN((E2241*2.54)))*(1/(VLOOKUP(D2241,'Species Codes'!B:Q,16,0)+VLOOKUP(D2241,'Species Codes'!B:R,17,0)*((E2241*2.54)^VLOOKUP(D2241,'Species Codes'!B:S,18,0)))),IF(OR(D2241="BM",D2241="MD",D2241="OA"),EXP(VLOOKUP(D2241,'Species Codes'!B:O,14,0)+VLOOKUP(D2241,'Species Codes'!B:P,15,0)*LN((E2241*2.54)))*(1-(1/(VLOOKUP(D2241,'Species Codes'!B:Q,16,0)+VLOOKUP(D2241,'Species Codes'!B:R,17,0)*((E2241*2.54)^VLOOKUP(D2241,'Species Codes'!B:S,18,0)))))/1000,IF(D2241="DF",EXP(VLOOKUP(D2241,'Species Codes'!B:O,14,0)+VLOOKUP(D2241,'Species Codes'!B:P,15,0)*LN((E2241*2.54))),VLOOKUP(D2241,'Species Codes'!B:O,14,0)+VLOOKUP(D2241,'Species Codes'!B:P,15,0)*(((E2241*2.54)/100)^2)*(I2241*0.3048)))))*0.0011023),0)</f>
        <v>#N/A</v>
      </c>
      <c r="AD2241" s="104" t="e">
        <f t="shared" si="976"/>
        <v>#N/A</v>
      </c>
      <c r="AE2241" s="104" t="e">
        <f t="shared" si="977"/>
        <v>#N/A</v>
      </c>
      <c r="AF2241" s="104" t="e">
        <f>IF(AND(VLOOKUP($D2241,Merchantability!$B:$C,2,0)="Yes",$E2241&gt;=VLOOKUP($D2241,Merchantability!$B:$D,3,0),$E2241&lt;=VLOOKUP($D2241,Merchantability!$B:$E,4,0)),AA2241,0)</f>
        <v>#N/A</v>
      </c>
      <c r="AG2241" s="104" t="e">
        <f>IF(AND(VLOOKUP($D2241,Merchantability!$B:$C,2,0)="Yes",$E2241&gt;=VLOOKUP($D2241,Merchantability!$B:$D,3,0),$E2241&lt;=VLOOKUP($D2241,Merchantability!$B:$E,4,0)),AB2241,0)</f>
        <v>#N/A</v>
      </c>
      <c r="AH2241" s="104" t="e">
        <f>IF(AND(VLOOKUP($D2241,Merchantability!$B:$C,2,0)="Yes",$E2241&gt;=VLOOKUP($D2241,Merchantability!$B:$D,3,0),$E2241&lt;=VLOOKUP($D2241,Merchantability!$B:$E,4,0)),AC2241,0)</f>
        <v>#N/A</v>
      </c>
      <c r="AI2241" s="104" t="e">
        <f t="shared" si="978"/>
        <v>#N/A</v>
      </c>
      <c r="AJ2241" s="104" t="e">
        <f t="shared" si="979"/>
        <v>#VALUE!</v>
      </c>
      <c r="AK2241" s="104" t="e">
        <f t="shared" si="980"/>
        <v>#N/A</v>
      </c>
      <c r="AL2241" s="104" t="e">
        <f t="shared" si="981"/>
        <v>#N/A</v>
      </c>
      <c r="AM2241" s="104" t="e">
        <f t="shared" si="982"/>
        <v>#N/A</v>
      </c>
      <c r="AN2241" s="104" t="e">
        <f t="shared" si="966"/>
        <v>#N/A</v>
      </c>
      <c r="AO2241" s="104" t="e">
        <f t="shared" si="967"/>
        <v>#N/A</v>
      </c>
      <c r="AP2241" s="104" t="e">
        <f t="shared" si="968"/>
        <v>#N/A</v>
      </c>
      <c r="AQ2241" s="104" t="e">
        <f t="shared" si="969"/>
        <v>#N/A</v>
      </c>
      <c r="AR2241" s="105" t="str">
        <f t="shared" si="961"/>
        <v/>
      </c>
      <c r="AS2241" s="105" t="str">
        <f t="shared" si="962"/>
        <v/>
      </c>
      <c r="AT2241" s="108" t="str">
        <f t="shared" si="963"/>
        <v/>
      </c>
      <c r="AU2241" s="108" t="str">
        <f t="shared" si="964"/>
        <v/>
      </c>
      <c r="AV2241" s="107" t="str">
        <f>IF(ISNUMBER(O2241),IF(VLOOKUP($A2241,Stand!C:J,8,FALSE)="Short",AT2241,AU2241),"")</f>
        <v/>
      </c>
      <c r="AW2241" s="109" t="str">
        <f t="shared" si="970"/>
        <v/>
      </c>
      <c r="AX2241" s="109" t="str">
        <f t="shared" si="971"/>
        <v/>
      </c>
      <c r="AY2241" s="112" t="str">
        <f>IF(ISNUMBER(O2241),IF(AND(VLOOKUP($D2241,Merchantability!$B:$C,2,0)="Yes",$E2241&gt;=VLOOKUP($D2241,Merchantability!$B:$D,3,0),$E2241&lt;=VLOOKUP($D2241,Merchantability!$B:$E,4,0)),(AV2241*O2241)*(1-$H2241/100),""),"")</f>
        <v/>
      </c>
      <c r="AZ2241" s="116"/>
      <c r="BA2241" s="116"/>
      <c r="BB2241" s="116"/>
      <c r="BE2241" s="62"/>
      <c r="BF2241" s="63"/>
    </row>
    <row r="2242" spans="1:58" ht="12.75" customHeight="1" x14ac:dyDescent="0.25">
      <c r="A2242" s="334"/>
      <c r="B2242" s="334"/>
      <c r="C2242" s="332"/>
      <c r="D2242" s="334"/>
      <c r="E2242" s="335"/>
      <c r="F2242" s="334"/>
      <c r="G2242" s="332"/>
      <c r="H2242" s="332"/>
      <c r="I2242" s="334"/>
      <c r="J2242" s="336"/>
      <c r="K2242" s="332"/>
      <c r="L2242" s="332"/>
      <c r="M2242" s="76"/>
      <c r="N2242" s="103" t="str">
        <f>IF(A2242="","",VLOOKUP(A2242,Stand!C:K,9,0))</f>
        <v/>
      </c>
      <c r="O2242" s="104" t="str">
        <f t="shared" ref="O2242:O2305" si="983">IF(E2242&gt;0,IF(G2242&gt;1,G2242*(43560/(N2242^2*3.14)),43560/(N2242^2*3.14)),"")</f>
        <v/>
      </c>
      <c r="P2242" s="105" t="str">
        <f t="shared" ref="P2242:P2305" si="984">IF(ISNUMBER(O2242),E2242*O2242,"")</f>
        <v/>
      </c>
      <c r="Q2242" s="105" t="str">
        <f t="shared" si="972"/>
        <v/>
      </c>
      <c r="R2242" s="103" t="str">
        <f t="shared" ref="R2242:R2305" si="985">IF(ISNUMBER(O2242),E2242^2*0.005454*O2242,"")</f>
        <v/>
      </c>
      <c r="S2242" s="103" t="str">
        <f t="shared" ref="S2242:S2305" si="986">IF(ISNUMBER(O2242),(E2242/10)^1.7*O2242,"")</f>
        <v/>
      </c>
      <c r="T2242" s="106" t="str">
        <f t="shared" si="973"/>
        <v/>
      </c>
      <c r="U2242" s="106" t="str">
        <f t="shared" si="974"/>
        <v/>
      </c>
      <c r="V2242" s="106" t="str">
        <f t="shared" si="975"/>
        <v/>
      </c>
      <c r="W2242" s="105" t="str">
        <f t="shared" ref="W2242:W2305" si="987">IF(AND(ISNUMBER(O2242),I2242&gt;0),I2242/(E2242/12),"")</f>
        <v/>
      </c>
      <c r="X2242" s="104" t="str">
        <f t="shared" si="965"/>
        <v/>
      </c>
      <c r="Y2242" s="104" t="str">
        <f t="array" ref="Y2242">IFERROR(IF(ISNUMBER(O2242),IF(COUNT(IF(A2242=$A$2:$A$2427,IF(D2242=$D$2:$D$2427,IF($X$2:$X$2427&gt;0,1))))&gt;0,SUM(IF(A2242=$A$2:$A$2427,IF(D2242=$D$2:$D$2427,$X$2:$X$2427)))/COUNT(IF(A2242=$A$2:$A$2427,IF(D2242=$D$2:$D$2427,IF(ISNUMBER($X$2:$X$2427),1)))),0),""),0)</f>
        <v/>
      </c>
      <c r="Z2242" s="104" t="str">
        <f>IF(ISNUMBER(O2242),IF(I2242&gt;0,(10^(VLOOKUP(D2242,'Species Codes'!B:C,2,0)+VLOOKUP(D2242,'Species Codes'!B:D,3,0)*LOG(E2242)+VLOOKUP(D2242,'Species Codes'!B:E,4,0)*LOG(I2242))),0),"")</f>
        <v/>
      </c>
      <c r="AA2242" s="104" t="str">
        <f>IFERROR((VLOOKUP(D2242,'Species Codes'!B:G,6,0)*Z2242)/2000,"")</f>
        <v/>
      </c>
      <c r="AB2242" s="104" t="e">
        <f>IF(Z2242&gt;0,((IF(OR(D2242="DF",D2242="RA")=TRUE,EXP(VLOOKUP(D2242,'Species Codes'!B:I,8,0)+VLOOKUP(D2242,'Species Codes'!B:J,9,0)*(LN((E2242*2.54)))),IF(OR(D2242="PY",D2242="RC",D2242="WH",D2242="NF")=TRUE,VLOOKUP(D2242,'Species Codes'!B:I,8,0)+VLOOKUP(D2242,'Species Codes'!B:J,9,0)*((E2242*2.54)^2)*(I2242*0.3048),IF(OR(D2242="MD",D2242="BM",D2242="GA")=TRUE,((VLOOKUP(D2242,'Species Codes'!B:I,8,0)*(((((E2242*2.54)+VLOOKUP(D2242,'Species Codes'!B:J,9,0))/VLOOKUP(D2242,'Species Codes'!B:K,10,0))^VLOOKUP(D2242,'Species Codes'!B:L,11,0))*((I2242*0.3048)^VLOOKUP(D2242,'Species Codes'!B:M,12,0))))-(VLOOKUP(D2242,'Species Codes'!B:I,8,0)*((((E2242*2.54)^VLOOKUP(D2242,'Species Codes'!B:L,11,0))*((I2242*0.3048)^VLOOKUP(D2242,'Species Codes'!B:M,12,0))))))*35.3*VLOOKUP(D2242,'Species Codes'!B:G,6,0)/2.2046,VLOOKUP(D2242,'Species Codes'!B:I,8,0)+VLOOKUP(D2242,'Species Codes'!B:J,9,0)*(((E2242*2.54)/100)^2)*(I2242*0.3048)))))*0.0011023),0)</f>
        <v>#N/A</v>
      </c>
      <c r="AC2242" s="104" t="e">
        <f>IF(Z2242&gt;0,((IF(OR(D2242="RA",D2242="OA",D2242="OT",D2242="UN",D2242="PC"),EXP(VLOOKUP(D2242,'Species Codes'!B:O,14,0)+VLOOKUP(D2242,'Species Codes'!B:P,15,0)*LN((E2242*2.54)))-EXP(VLOOKUP(D2242,'Species Codes'!B:O,14,0)+VLOOKUP(D2242,'Species Codes'!B:P,15,0)*LN((E2242*2.54)))*(1/(VLOOKUP(D2242,'Species Codes'!B:Q,16,0)+VLOOKUP(D2242,'Species Codes'!B:R,17,0)*((E2242*2.54)^VLOOKUP(D2242,'Species Codes'!B:S,18,0)))),IF(OR(D2242="BM",D2242="MD",D2242="OA"),EXP(VLOOKUP(D2242,'Species Codes'!B:O,14,0)+VLOOKUP(D2242,'Species Codes'!B:P,15,0)*LN((E2242*2.54)))*(1-(1/(VLOOKUP(D2242,'Species Codes'!B:Q,16,0)+VLOOKUP(D2242,'Species Codes'!B:R,17,0)*((E2242*2.54)^VLOOKUP(D2242,'Species Codes'!B:S,18,0)))))/1000,IF(D2242="DF",EXP(VLOOKUP(D2242,'Species Codes'!B:O,14,0)+VLOOKUP(D2242,'Species Codes'!B:P,15,0)*LN((E2242*2.54))),VLOOKUP(D2242,'Species Codes'!B:O,14,0)+VLOOKUP(D2242,'Species Codes'!B:P,15,0)*(((E2242*2.54)/100)^2)*(I2242*0.3048)))))*0.0011023),0)</f>
        <v>#N/A</v>
      </c>
      <c r="AD2242" s="104" t="e">
        <f t="shared" si="976"/>
        <v>#N/A</v>
      </c>
      <c r="AE2242" s="104" t="e">
        <f t="shared" si="977"/>
        <v>#N/A</v>
      </c>
      <c r="AF2242" s="104" t="e">
        <f>IF(AND(VLOOKUP($D2242,Merchantability!$B:$C,2,0)="Yes",$E2242&gt;=VLOOKUP($D2242,Merchantability!$B:$D,3,0),$E2242&lt;=VLOOKUP($D2242,Merchantability!$B:$E,4,0)),AA2242,0)</f>
        <v>#N/A</v>
      </c>
      <c r="AG2242" s="104" t="e">
        <f>IF(AND(VLOOKUP($D2242,Merchantability!$B:$C,2,0)="Yes",$E2242&gt;=VLOOKUP($D2242,Merchantability!$B:$D,3,0),$E2242&lt;=VLOOKUP($D2242,Merchantability!$B:$E,4,0)),AB2242,0)</f>
        <v>#N/A</v>
      </c>
      <c r="AH2242" s="104" t="e">
        <f>IF(AND(VLOOKUP($D2242,Merchantability!$B:$C,2,0)="Yes",$E2242&gt;=VLOOKUP($D2242,Merchantability!$B:$D,3,0),$E2242&lt;=VLOOKUP($D2242,Merchantability!$B:$E,4,0)),AC2242,0)</f>
        <v>#N/A</v>
      </c>
      <c r="AI2242" s="104" t="e">
        <f t="shared" si="978"/>
        <v>#N/A</v>
      </c>
      <c r="AJ2242" s="104" t="e">
        <f t="shared" si="979"/>
        <v>#VALUE!</v>
      </c>
      <c r="AK2242" s="104" t="e">
        <f t="shared" si="980"/>
        <v>#N/A</v>
      </c>
      <c r="AL2242" s="104" t="e">
        <f t="shared" si="981"/>
        <v>#N/A</v>
      </c>
      <c r="AM2242" s="104" t="e">
        <f t="shared" si="982"/>
        <v>#N/A</v>
      </c>
      <c r="AN2242" s="104" t="e">
        <f t="shared" si="966"/>
        <v>#N/A</v>
      </c>
      <c r="AO2242" s="104" t="e">
        <f t="shared" si="967"/>
        <v>#N/A</v>
      </c>
      <c r="AP2242" s="104" t="e">
        <f t="shared" si="968"/>
        <v>#N/A</v>
      </c>
      <c r="AQ2242" s="104" t="e">
        <f t="shared" si="969"/>
        <v>#N/A</v>
      </c>
      <c r="AR2242" s="105" t="str">
        <f t="shared" ref="AR2242:AR2305" si="988">IF(ISNUMBER(O2242),IF(Y2242&gt;0,((Y2242*(E2242^2*0.005454-0.087266))/0.912733),0),"")</f>
        <v/>
      </c>
      <c r="AS2242" s="105" t="str">
        <f t="shared" ref="AS2242:AS2305" si="989">IF(ISNUMBER(O2242),AR2242*(0.993-0.993*(0.62^(E2242-6))),"")</f>
        <v/>
      </c>
      <c r="AT2242" s="108" t="str">
        <f t="shared" ref="AT2242:AT2305" si="990">IF(ISNUMBER(O2242),IF(AS2242&gt;0,IF(Y2242&gt;0,(AS2242*10^(0.174439+0.117594*(LOG(E2242,10))*(LOG(Y2242/0.912733,10))-8.210585/E2242^2+0.236693*(LOG(Y2242/0.912733,10))-0.00001345*(Y2242/0.912733)^2-0.00001937*E2242^2)),0),0),"")</f>
        <v/>
      </c>
      <c r="AU2242" s="108" t="str">
        <f t="shared" ref="AU2242:AU2305" si="991">IF(ISNUMBER(O2242),IF(AS2242&gt;0,IF(Y2242&gt;0,AT2242*(1.001491-(6.92497/Y2242)+(0.00001351*(E2242^2))),0),0),"")</f>
        <v/>
      </c>
      <c r="AV2242" s="107" t="str">
        <f>IF(ISNUMBER(O2242),IF(VLOOKUP($A2242,Stand!C:J,8,FALSE)="Short",AT2242,AU2242),"")</f>
        <v/>
      </c>
      <c r="AW2242" s="109" t="str">
        <f t="shared" si="970"/>
        <v/>
      </c>
      <c r="AX2242" s="109" t="str">
        <f t="shared" si="971"/>
        <v/>
      </c>
      <c r="AY2242" s="112" t="str">
        <f>IF(ISNUMBER(O2242),IF(AND(VLOOKUP($D2242,Merchantability!$B:$C,2,0)="Yes",$E2242&gt;=VLOOKUP($D2242,Merchantability!$B:$D,3,0),$E2242&lt;=VLOOKUP($D2242,Merchantability!$B:$E,4,0)),(AV2242*O2242)*(1-$H2242/100),""),"")</f>
        <v/>
      </c>
      <c r="AZ2242" s="116"/>
      <c r="BA2242" s="116"/>
      <c r="BB2242" s="116"/>
      <c r="BE2242" s="62"/>
      <c r="BF2242" s="63"/>
    </row>
    <row r="2243" spans="1:58" ht="12.75" customHeight="1" x14ac:dyDescent="0.25">
      <c r="A2243" s="334"/>
      <c r="B2243" s="334"/>
      <c r="C2243" s="332"/>
      <c r="D2243" s="334"/>
      <c r="E2243" s="335"/>
      <c r="F2243" s="334"/>
      <c r="G2243" s="332"/>
      <c r="H2243" s="332"/>
      <c r="I2243" s="334"/>
      <c r="J2243" s="336"/>
      <c r="K2243" s="332"/>
      <c r="L2243" s="332"/>
      <c r="M2243" s="76"/>
      <c r="N2243" s="103" t="str">
        <f>IF(A2243="","",VLOOKUP(A2243,Stand!C:K,9,0))</f>
        <v/>
      </c>
      <c r="O2243" s="104" t="str">
        <f t="shared" si="983"/>
        <v/>
      </c>
      <c r="P2243" s="105" t="str">
        <f t="shared" si="984"/>
        <v/>
      </c>
      <c r="Q2243" s="105" t="str">
        <f t="shared" si="972"/>
        <v/>
      </c>
      <c r="R2243" s="103" t="str">
        <f t="shared" si="985"/>
        <v/>
      </c>
      <c r="S2243" s="103" t="str">
        <f t="shared" si="986"/>
        <v/>
      </c>
      <c r="T2243" s="106" t="str">
        <f t="shared" si="973"/>
        <v/>
      </c>
      <c r="U2243" s="106" t="str">
        <f t="shared" si="974"/>
        <v/>
      </c>
      <c r="V2243" s="106" t="str">
        <f t="shared" si="975"/>
        <v/>
      </c>
      <c r="W2243" s="105" t="str">
        <f t="shared" si="987"/>
        <v/>
      </c>
      <c r="X2243" s="104" t="str">
        <f t="shared" ref="X2243:X2306" si="992">IF(ISNUMBER(O2243),IF(I2243&gt;0,IF(E2243&gt;0,(0.912733*Z2243)/(1.033*(1+1.382937*EXP(-4.015292*E2243/10))*((E2243^2)*0.005454+0.087266)-0.174533),""),""),"")</f>
        <v/>
      </c>
      <c r="Y2243" s="104" t="str">
        <f t="array" ref="Y2243">IFERROR(IF(ISNUMBER(O2243),IF(COUNT(IF(A2243=$A$2:$A$2427,IF(D2243=$D$2:$D$2427,IF($X$2:$X$2427&gt;0,1))))&gt;0,SUM(IF(A2243=$A$2:$A$2427,IF(D2243=$D$2:$D$2427,$X$2:$X$2427)))/COUNT(IF(A2243=$A$2:$A$2427,IF(D2243=$D$2:$D$2427,IF(ISNUMBER($X$2:$X$2427),1)))),0),""),0)</f>
        <v/>
      </c>
      <c r="Z2243" s="104" t="str">
        <f>IF(ISNUMBER(O2243),IF(I2243&gt;0,(10^(VLOOKUP(D2243,'Species Codes'!B:C,2,0)+VLOOKUP(D2243,'Species Codes'!B:D,3,0)*LOG(E2243)+VLOOKUP(D2243,'Species Codes'!B:E,4,0)*LOG(I2243))),0),"")</f>
        <v/>
      </c>
      <c r="AA2243" s="104" t="str">
        <f>IFERROR((VLOOKUP(D2243,'Species Codes'!B:G,6,0)*Z2243)/2000,"")</f>
        <v/>
      </c>
      <c r="AB2243" s="104" t="e">
        <f>IF(Z2243&gt;0,((IF(OR(D2243="DF",D2243="RA")=TRUE,EXP(VLOOKUP(D2243,'Species Codes'!B:I,8,0)+VLOOKUP(D2243,'Species Codes'!B:J,9,0)*(LN((E2243*2.54)))),IF(OR(D2243="PY",D2243="RC",D2243="WH",D2243="NF")=TRUE,VLOOKUP(D2243,'Species Codes'!B:I,8,0)+VLOOKUP(D2243,'Species Codes'!B:J,9,0)*((E2243*2.54)^2)*(I2243*0.3048),IF(OR(D2243="MD",D2243="BM",D2243="GA")=TRUE,((VLOOKUP(D2243,'Species Codes'!B:I,8,0)*(((((E2243*2.54)+VLOOKUP(D2243,'Species Codes'!B:J,9,0))/VLOOKUP(D2243,'Species Codes'!B:K,10,0))^VLOOKUP(D2243,'Species Codes'!B:L,11,0))*((I2243*0.3048)^VLOOKUP(D2243,'Species Codes'!B:M,12,0))))-(VLOOKUP(D2243,'Species Codes'!B:I,8,0)*((((E2243*2.54)^VLOOKUP(D2243,'Species Codes'!B:L,11,0))*((I2243*0.3048)^VLOOKUP(D2243,'Species Codes'!B:M,12,0))))))*35.3*VLOOKUP(D2243,'Species Codes'!B:G,6,0)/2.2046,VLOOKUP(D2243,'Species Codes'!B:I,8,0)+VLOOKUP(D2243,'Species Codes'!B:J,9,0)*(((E2243*2.54)/100)^2)*(I2243*0.3048)))))*0.0011023),0)</f>
        <v>#N/A</v>
      </c>
      <c r="AC2243" s="104" t="e">
        <f>IF(Z2243&gt;0,((IF(OR(D2243="RA",D2243="OA",D2243="OT",D2243="UN",D2243="PC"),EXP(VLOOKUP(D2243,'Species Codes'!B:O,14,0)+VLOOKUP(D2243,'Species Codes'!B:P,15,0)*LN((E2243*2.54)))-EXP(VLOOKUP(D2243,'Species Codes'!B:O,14,0)+VLOOKUP(D2243,'Species Codes'!B:P,15,0)*LN((E2243*2.54)))*(1/(VLOOKUP(D2243,'Species Codes'!B:Q,16,0)+VLOOKUP(D2243,'Species Codes'!B:R,17,0)*((E2243*2.54)^VLOOKUP(D2243,'Species Codes'!B:S,18,0)))),IF(OR(D2243="BM",D2243="MD",D2243="OA"),EXP(VLOOKUP(D2243,'Species Codes'!B:O,14,0)+VLOOKUP(D2243,'Species Codes'!B:P,15,0)*LN((E2243*2.54)))*(1-(1/(VLOOKUP(D2243,'Species Codes'!B:Q,16,0)+VLOOKUP(D2243,'Species Codes'!B:R,17,0)*((E2243*2.54)^VLOOKUP(D2243,'Species Codes'!B:S,18,0)))))/1000,IF(D2243="DF",EXP(VLOOKUP(D2243,'Species Codes'!B:O,14,0)+VLOOKUP(D2243,'Species Codes'!B:P,15,0)*LN((E2243*2.54))),VLOOKUP(D2243,'Species Codes'!B:O,14,0)+VLOOKUP(D2243,'Species Codes'!B:P,15,0)*(((E2243*2.54)/100)^2)*(I2243*0.3048)))))*0.0011023),0)</f>
        <v>#N/A</v>
      </c>
      <c r="AD2243" s="104" t="e">
        <f t="shared" si="976"/>
        <v>#N/A</v>
      </c>
      <c r="AE2243" s="104" t="e">
        <f t="shared" si="977"/>
        <v>#N/A</v>
      </c>
      <c r="AF2243" s="104" t="e">
        <f>IF(AND(VLOOKUP($D2243,Merchantability!$B:$C,2,0)="Yes",$E2243&gt;=VLOOKUP($D2243,Merchantability!$B:$D,3,0),$E2243&lt;=VLOOKUP($D2243,Merchantability!$B:$E,4,0)),AA2243,0)</f>
        <v>#N/A</v>
      </c>
      <c r="AG2243" s="104" t="e">
        <f>IF(AND(VLOOKUP($D2243,Merchantability!$B:$C,2,0)="Yes",$E2243&gt;=VLOOKUP($D2243,Merchantability!$B:$D,3,0),$E2243&lt;=VLOOKUP($D2243,Merchantability!$B:$E,4,0)),AB2243,0)</f>
        <v>#N/A</v>
      </c>
      <c r="AH2243" s="104" t="e">
        <f>IF(AND(VLOOKUP($D2243,Merchantability!$B:$C,2,0)="Yes",$E2243&gt;=VLOOKUP($D2243,Merchantability!$B:$D,3,0),$E2243&lt;=VLOOKUP($D2243,Merchantability!$B:$E,4,0)),AC2243,0)</f>
        <v>#N/A</v>
      </c>
      <c r="AI2243" s="104" t="e">
        <f t="shared" si="978"/>
        <v>#N/A</v>
      </c>
      <c r="AJ2243" s="104" t="e">
        <f t="shared" si="979"/>
        <v>#VALUE!</v>
      </c>
      <c r="AK2243" s="104" t="e">
        <f t="shared" si="980"/>
        <v>#N/A</v>
      </c>
      <c r="AL2243" s="104" t="e">
        <f t="shared" si="981"/>
        <v>#N/A</v>
      </c>
      <c r="AM2243" s="104" t="e">
        <f t="shared" si="982"/>
        <v>#N/A</v>
      </c>
      <c r="AN2243" s="104" t="e">
        <f t="shared" ref="AN2243:AN2306" si="993">AF2243*$O2243</f>
        <v>#N/A</v>
      </c>
      <c r="AO2243" s="104" t="e">
        <f t="shared" ref="AO2243:AO2306" si="994">AG2243*$O2243</f>
        <v>#N/A</v>
      </c>
      <c r="AP2243" s="104" t="e">
        <f t="shared" ref="AP2243:AP2306" si="995">AH2243*$O2243</f>
        <v>#N/A</v>
      </c>
      <c r="AQ2243" s="104" t="e">
        <f t="shared" ref="AQ2243:AQ2306" si="996">SUM(AN2243:AP2243)</f>
        <v>#N/A</v>
      </c>
      <c r="AR2243" s="105" t="str">
        <f t="shared" si="988"/>
        <v/>
      </c>
      <c r="AS2243" s="105" t="str">
        <f t="shared" si="989"/>
        <v/>
      </c>
      <c r="AT2243" s="108" t="str">
        <f t="shared" si="990"/>
        <v/>
      </c>
      <c r="AU2243" s="108" t="str">
        <f t="shared" si="991"/>
        <v/>
      </c>
      <c r="AV2243" s="107" t="str">
        <f>IF(ISNUMBER(O2243),IF(VLOOKUP($A2243,Stand!C:J,8,FALSE)="Short",AT2243,AU2243),"")</f>
        <v/>
      </c>
      <c r="AW2243" s="109" t="str">
        <f t="shared" ref="AW2243:AW2306" si="997">IF(ISNUMBER(O2243),AV2243*O2243,"")</f>
        <v/>
      </c>
      <c r="AX2243" s="109" t="str">
        <f t="shared" ref="AX2243:AX2306" si="998">IF(ISNUMBER(O2243),AW2243*(1-$H2243/100),"")</f>
        <v/>
      </c>
      <c r="AY2243" s="112" t="str">
        <f>IF(ISNUMBER(O2243),IF(AND(VLOOKUP($D2243,Merchantability!$B:$C,2,0)="Yes",$E2243&gt;=VLOOKUP($D2243,Merchantability!$B:$D,3,0),$E2243&lt;=VLOOKUP($D2243,Merchantability!$B:$E,4,0)),(AV2243*O2243)*(1-$H2243/100),""),"")</f>
        <v/>
      </c>
      <c r="AZ2243" s="116"/>
      <c r="BA2243" s="116"/>
      <c r="BB2243" s="116"/>
      <c r="BE2243" s="62"/>
      <c r="BF2243" s="63"/>
    </row>
    <row r="2244" spans="1:58" ht="12.75" customHeight="1" x14ac:dyDescent="0.25">
      <c r="A2244" s="334"/>
      <c r="B2244" s="334"/>
      <c r="C2244" s="332"/>
      <c r="D2244" s="334"/>
      <c r="E2244" s="335"/>
      <c r="F2244" s="334"/>
      <c r="G2244" s="332"/>
      <c r="H2244" s="332"/>
      <c r="I2244" s="334"/>
      <c r="J2244" s="336"/>
      <c r="K2244" s="332"/>
      <c r="L2244" s="332"/>
      <c r="M2244" s="76"/>
      <c r="N2244" s="103" t="str">
        <f>IF(A2244="","",VLOOKUP(A2244,Stand!C:K,9,0))</f>
        <v/>
      </c>
      <c r="O2244" s="104" t="str">
        <f t="shared" si="983"/>
        <v/>
      </c>
      <c r="P2244" s="105" t="str">
        <f t="shared" si="984"/>
        <v/>
      </c>
      <c r="Q2244" s="105" t="str">
        <f t="shared" si="972"/>
        <v/>
      </c>
      <c r="R2244" s="103" t="str">
        <f t="shared" si="985"/>
        <v/>
      </c>
      <c r="S2244" s="103" t="str">
        <f t="shared" si="986"/>
        <v/>
      </c>
      <c r="T2244" s="106" t="str">
        <f t="shared" si="973"/>
        <v/>
      </c>
      <c r="U2244" s="106" t="str">
        <f t="shared" si="974"/>
        <v/>
      </c>
      <c r="V2244" s="106" t="str">
        <f t="shared" si="975"/>
        <v/>
      </c>
      <c r="W2244" s="105" t="str">
        <f t="shared" si="987"/>
        <v/>
      </c>
      <c r="X2244" s="104" t="str">
        <f t="shared" si="992"/>
        <v/>
      </c>
      <c r="Y2244" s="104" t="str">
        <f t="array" ref="Y2244">IFERROR(IF(ISNUMBER(O2244),IF(COUNT(IF(A2244=$A$2:$A$2427,IF(D2244=$D$2:$D$2427,IF($X$2:$X$2427&gt;0,1))))&gt;0,SUM(IF(A2244=$A$2:$A$2427,IF(D2244=$D$2:$D$2427,$X$2:$X$2427)))/COUNT(IF(A2244=$A$2:$A$2427,IF(D2244=$D$2:$D$2427,IF(ISNUMBER($X$2:$X$2427),1)))),0),""),0)</f>
        <v/>
      </c>
      <c r="Z2244" s="104" t="str">
        <f>IF(ISNUMBER(O2244),IF(I2244&gt;0,(10^(VLOOKUP(D2244,'Species Codes'!B:C,2,0)+VLOOKUP(D2244,'Species Codes'!B:D,3,0)*LOG(E2244)+VLOOKUP(D2244,'Species Codes'!B:E,4,0)*LOG(I2244))),0),"")</f>
        <v/>
      </c>
      <c r="AA2244" s="104" t="str">
        <f>IFERROR((VLOOKUP(D2244,'Species Codes'!B:G,6,0)*Z2244)/2000,"")</f>
        <v/>
      </c>
      <c r="AB2244" s="104" t="e">
        <f>IF(Z2244&gt;0,((IF(OR(D2244="DF",D2244="RA")=TRUE,EXP(VLOOKUP(D2244,'Species Codes'!B:I,8,0)+VLOOKUP(D2244,'Species Codes'!B:J,9,0)*(LN((E2244*2.54)))),IF(OR(D2244="PY",D2244="RC",D2244="WH",D2244="NF")=TRUE,VLOOKUP(D2244,'Species Codes'!B:I,8,0)+VLOOKUP(D2244,'Species Codes'!B:J,9,0)*((E2244*2.54)^2)*(I2244*0.3048),IF(OR(D2244="MD",D2244="BM",D2244="GA")=TRUE,((VLOOKUP(D2244,'Species Codes'!B:I,8,0)*(((((E2244*2.54)+VLOOKUP(D2244,'Species Codes'!B:J,9,0))/VLOOKUP(D2244,'Species Codes'!B:K,10,0))^VLOOKUP(D2244,'Species Codes'!B:L,11,0))*((I2244*0.3048)^VLOOKUP(D2244,'Species Codes'!B:M,12,0))))-(VLOOKUP(D2244,'Species Codes'!B:I,8,0)*((((E2244*2.54)^VLOOKUP(D2244,'Species Codes'!B:L,11,0))*((I2244*0.3048)^VLOOKUP(D2244,'Species Codes'!B:M,12,0))))))*35.3*VLOOKUP(D2244,'Species Codes'!B:G,6,0)/2.2046,VLOOKUP(D2244,'Species Codes'!B:I,8,0)+VLOOKUP(D2244,'Species Codes'!B:J,9,0)*(((E2244*2.54)/100)^2)*(I2244*0.3048)))))*0.0011023),0)</f>
        <v>#N/A</v>
      </c>
      <c r="AC2244" s="104" t="e">
        <f>IF(Z2244&gt;0,((IF(OR(D2244="RA",D2244="OA",D2244="OT",D2244="UN",D2244="PC"),EXP(VLOOKUP(D2244,'Species Codes'!B:O,14,0)+VLOOKUP(D2244,'Species Codes'!B:P,15,0)*LN((E2244*2.54)))-EXP(VLOOKUP(D2244,'Species Codes'!B:O,14,0)+VLOOKUP(D2244,'Species Codes'!B:P,15,0)*LN((E2244*2.54)))*(1/(VLOOKUP(D2244,'Species Codes'!B:Q,16,0)+VLOOKUP(D2244,'Species Codes'!B:R,17,0)*((E2244*2.54)^VLOOKUP(D2244,'Species Codes'!B:S,18,0)))),IF(OR(D2244="BM",D2244="MD",D2244="OA"),EXP(VLOOKUP(D2244,'Species Codes'!B:O,14,0)+VLOOKUP(D2244,'Species Codes'!B:P,15,0)*LN((E2244*2.54)))*(1-(1/(VLOOKUP(D2244,'Species Codes'!B:Q,16,0)+VLOOKUP(D2244,'Species Codes'!B:R,17,0)*((E2244*2.54)^VLOOKUP(D2244,'Species Codes'!B:S,18,0)))))/1000,IF(D2244="DF",EXP(VLOOKUP(D2244,'Species Codes'!B:O,14,0)+VLOOKUP(D2244,'Species Codes'!B:P,15,0)*LN((E2244*2.54))),VLOOKUP(D2244,'Species Codes'!B:O,14,0)+VLOOKUP(D2244,'Species Codes'!B:P,15,0)*(((E2244*2.54)/100)^2)*(I2244*0.3048)))))*0.0011023),0)</f>
        <v>#N/A</v>
      </c>
      <c r="AD2244" s="104" t="e">
        <f t="shared" si="976"/>
        <v>#N/A</v>
      </c>
      <c r="AE2244" s="104" t="e">
        <f t="shared" si="977"/>
        <v>#N/A</v>
      </c>
      <c r="AF2244" s="104" t="e">
        <f>IF(AND(VLOOKUP($D2244,Merchantability!$B:$C,2,0)="Yes",$E2244&gt;=VLOOKUP($D2244,Merchantability!$B:$D,3,0),$E2244&lt;=VLOOKUP($D2244,Merchantability!$B:$E,4,0)),AA2244,0)</f>
        <v>#N/A</v>
      </c>
      <c r="AG2244" s="104" t="e">
        <f>IF(AND(VLOOKUP($D2244,Merchantability!$B:$C,2,0)="Yes",$E2244&gt;=VLOOKUP($D2244,Merchantability!$B:$D,3,0),$E2244&lt;=VLOOKUP($D2244,Merchantability!$B:$E,4,0)),AB2244,0)</f>
        <v>#N/A</v>
      </c>
      <c r="AH2244" s="104" t="e">
        <f>IF(AND(VLOOKUP($D2244,Merchantability!$B:$C,2,0)="Yes",$E2244&gt;=VLOOKUP($D2244,Merchantability!$B:$D,3,0),$E2244&lt;=VLOOKUP($D2244,Merchantability!$B:$E,4,0)),AC2244,0)</f>
        <v>#N/A</v>
      </c>
      <c r="AI2244" s="104" t="e">
        <f t="shared" si="978"/>
        <v>#N/A</v>
      </c>
      <c r="AJ2244" s="104" t="e">
        <f t="shared" si="979"/>
        <v>#VALUE!</v>
      </c>
      <c r="AK2244" s="104" t="e">
        <f t="shared" si="980"/>
        <v>#N/A</v>
      </c>
      <c r="AL2244" s="104" t="e">
        <f t="shared" si="981"/>
        <v>#N/A</v>
      </c>
      <c r="AM2244" s="104" t="e">
        <f t="shared" si="982"/>
        <v>#N/A</v>
      </c>
      <c r="AN2244" s="104" t="e">
        <f t="shared" si="993"/>
        <v>#N/A</v>
      </c>
      <c r="AO2244" s="104" t="e">
        <f t="shared" si="994"/>
        <v>#N/A</v>
      </c>
      <c r="AP2244" s="104" t="e">
        <f t="shared" si="995"/>
        <v>#N/A</v>
      </c>
      <c r="AQ2244" s="104" t="e">
        <f t="shared" si="996"/>
        <v>#N/A</v>
      </c>
      <c r="AR2244" s="105" t="str">
        <f t="shared" si="988"/>
        <v/>
      </c>
      <c r="AS2244" s="105" t="str">
        <f t="shared" si="989"/>
        <v/>
      </c>
      <c r="AT2244" s="108" t="str">
        <f t="shared" si="990"/>
        <v/>
      </c>
      <c r="AU2244" s="108" t="str">
        <f t="shared" si="991"/>
        <v/>
      </c>
      <c r="AV2244" s="107" t="str">
        <f>IF(ISNUMBER(O2244),IF(VLOOKUP($A2244,Stand!C:J,8,FALSE)="Short",AT2244,AU2244),"")</f>
        <v/>
      </c>
      <c r="AW2244" s="109" t="str">
        <f t="shared" si="997"/>
        <v/>
      </c>
      <c r="AX2244" s="109" t="str">
        <f t="shared" si="998"/>
        <v/>
      </c>
      <c r="AY2244" s="112" t="str">
        <f>IF(ISNUMBER(O2244),IF(AND(VLOOKUP($D2244,Merchantability!$B:$C,2,0)="Yes",$E2244&gt;=VLOOKUP($D2244,Merchantability!$B:$D,3,0),$E2244&lt;=VLOOKUP($D2244,Merchantability!$B:$E,4,0)),(AV2244*O2244)*(1-$H2244/100),""),"")</f>
        <v/>
      </c>
      <c r="AZ2244" s="116"/>
      <c r="BA2244" s="116"/>
      <c r="BB2244" s="116"/>
      <c r="BE2244" s="62"/>
      <c r="BF2244" s="63"/>
    </row>
    <row r="2245" spans="1:58" ht="12.75" customHeight="1" x14ac:dyDescent="0.25">
      <c r="A2245" s="334"/>
      <c r="B2245" s="334"/>
      <c r="C2245" s="332"/>
      <c r="D2245" s="334"/>
      <c r="E2245" s="335"/>
      <c r="F2245" s="334"/>
      <c r="G2245" s="332"/>
      <c r="H2245" s="332"/>
      <c r="I2245" s="334"/>
      <c r="J2245" s="336"/>
      <c r="K2245" s="332"/>
      <c r="L2245" s="332"/>
      <c r="M2245" s="76"/>
      <c r="N2245" s="103" t="str">
        <f>IF(A2245="","",VLOOKUP(A2245,Stand!C:K,9,0))</f>
        <v/>
      </c>
      <c r="O2245" s="104" t="str">
        <f t="shared" si="983"/>
        <v/>
      </c>
      <c r="P2245" s="105" t="str">
        <f t="shared" si="984"/>
        <v/>
      </c>
      <c r="Q2245" s="105" t="str">
        <f t="shared" si="972"/>
        <v/>
      </c>
      <c r="R2245" s="103" t="str">
        <f t="shared" si="985"/>
        <v/>
      </c>
      <c r="S2245" s="103" t="str">
        <f t="shared" si="986"/>
        <v/>
      </c>
      <c r="T2245" s="106" t="str">
        <f t="shared" si="973"/>
        <v/>
      </c>
      <c r="U2245" s="106" t="str">
        <f t="shared" si="974"/>
        <v/>
      </c>
      <c r="V2245" s="106" t="str">
        <f t="shared" si="975"/>
        <v/>
      </c>
      <c r="W2245" s="105" t="str">
        <f t="shared" si="987"/>
        <v/>
      </c>
      <c r="X2245" s="104" t="str">
        <f t="shared" si="992"/>
        <v/>
      </c>
      <c r="Y2245" s="104" t="str">
        <f t="array" ref="Y2245">IFERROR(IF(ISNUMBER(O2245),IF(COUNT(IF(A2245=$A$2:$A$2427,IF(D2245=$D$2:$D$2427,IF($X$2:$X$2427&gt;0,1))))&gt;0,SUM(IF(A2245=$A$2:$A$2427,IF(D2245=$D$2:$D$2427,$X$2:$X$2427)))/COUNT(IF(A2245=$A$2:$A$2427,IF(D2245=$D$2:$D$2427,IF(ISNUMBER($X$2:$X$2427),1)))),0),""),0)</f>
        <v/>
      </c>
      <c r="Z2245" s="104" t="str">
        <f>IF(ISNUMBER(O2245),IF(I2245&gt;0,(10^(VLOOKUP(D2245,'Species Codes'!B:C,2,0)+VLOOKUP(D2245,'Species Codes'!B:D,3,0)*LOG(E2245)+VLOOKUP(D2245,'Species Codes'!B:E,4,0)*LOG(I2245))),0),"")</f>
        <v/>
      </c>
      <c r="AA2245" s="104" t="str">
        <f>IFERROR((VLOOKUP(D2245,'Species Codes'!B:G,6,0)*Z2245)/2000,"")</f>
        <v/>
      </c>
      <c r="AB2245" s="104" t="e">
        <f>IF(Z2245&gt;0,((IF(OR(D2245="DF",D2245="RA")=TRUE,EXP(VLOOKUP(D2245,'Species Codes'!B:I,8,0)+VLOOKUP(D2245,'Species Codes'!B:J,9,0)*(LN((E2245*2.54)))),IF(OR(D2245="PY",D2245="RC",D2245="WH",D2245="NF")=TRUE,VLOOKUP(D2245,'Species Codes'!B:I,8,0)+VLOOKUP(D2245,'Species Codes'!B:J,9,0)*((E2245*2.54)^2)*(I2245*0.3048),IF(OR(D2245="MD",D2245="BM",D2245="GA")=TRUE,((VLOOKUP(D2245,'Species Codes'!B:I,8,0)*(((((E2245*2.54)+VLOOKUP(D2245,'Species Codes'!B:J,9,0))/VLOOKUP(D2245,'Species Codes'!B:K,10,0))^VLOOKUP(D2245,'Species Codes'!B:L,11,0))*((I2245*0.3048)^VLOOKUP(D2245,'Species Codes'!B:M,12,0))))-(VLOOKUP(D2245,'Species Codes'!B:I,8,0)*((((E2245*2.54)^VLOOKUP(D2245,'Species Codes'!B:L,11,0))*((I2245*0.3048)^VLOOKUP(D2245,'Species Codes'!B:M,12,0))))))*35.3*VLOOKUP(D2245,'Species Codes'!B:G,6,0)/2.2046,VLOOKUP(D2245,'Species Codes'!B:I,8,0)+VLOOKUP(D2245,'Species Codes'!B:J,9,0)*(((E2245*2.54)/100)^2)*(I2245*0.3048)))))*0.0011023),0)</f>
        <v>#N/A</v>
      </c>
      <c r="AC2245" s="104" t="e">
        <f>IF(Z2245&gt;0,((IF(OR(D2245="RA",D2245="OA",D2245="OT",D2245="UN",D2245="PC"),EXP(VLOOKUP(D2245,'Species Codes'!B:O,14,0)+VLOOKUP(D2245,'Species Codes'!B:P,15,0)*LN((E2245*2.54)))-EXP(VLOOKUP(D2245,'Species Codes'!B:O,14,0)+VLOOKUP(D2245,'Species Codes'!B:P,15,0)*LN((E2245*2.54)))*(1/(VLOOKUP(D2245,'Species Codes'!B:Q,16,0)+VLOOKUP(D2245,'Species Codes'!B:R,17,0)*((E2245*2.54)^VLOOKUP(D2245,'Species Codes'!B:S,18,0)))),IF(OR(D2245="BM",D2245="MD",D2245="OA"),EXP(VLOOKUP(D2245,'Species Codes'!B:O,14,0)+VLOOKUP(D2245,'Species Codes'!B:P,15,0)*LN((E2245*2.54)))*(1-(1/(VLOOKUP(D2245,'Species Codes'!B:Q,16,0)+VLOOKUP(D2245,'Species Codes'!B:R,17,0)*((E2245*2.54)^VLOOKUP(D2245,'Species Codes'!B:S,18,0)))))/1000,IF(D2245="DF",EXP(VLOOKUP(D2245,'Species Codes'!B:O,14,0)+VLOOKUP(D2245,'Species Codes'!B:P,15,0)*LN((E2245*2.54))),VLOOKUP(D2245,'Species Codes'!B:O,14,0)+VLOOKUP(D2245,'Species Codes'!B:P,15,0)*(((E2245*2.54)/100)^2)*(I2245*0.3048)))))*0.0011023),0)</f>
        <v>#N/A</v>
      </c>
      <c r="AD2245" s="104" t="e">
        <f t="shared" si="976"/>
        <v>#N/A</v>
      </c>
      <c r="AE2245" s="104" t="e">
        <f t="shared" si="977"/>
        <v>#N/A</v>
      </c>
      <c r="AF2245" s="104" t="e">
        <f>IF(AND(VLOOKUP($D2245,Merchantability!$B:$C,2,0)="Yes",$E2245&gt;=VLOOKUP($D2245,Merchantability!$B:$D,3,0),$E2245&lt;=VLOOKUP($D2245,Merchantability!$B:$E,4,0)),AA2245,0)</f>
        <v>#N/A</v>
      </c>
      <c r="AG2245" s="104" t="e">
        <f>IF(AND(VLOOKUP($D2245,Merchantability!$B:$C,2,0)="Yes",$E2245&gt;=VLOOKUP($D2245,Merchantability!$B:$D,3,0),$E2245&lt;=VLOOKUP($D2245,Merchantability!$B:$E,4,0)),AB2245,0)</f>
        <v>#N/A</v>
      </c>
      <c r="AH2245" s="104" t="e">
        <f>IF(AND(VLOOKUP($D2245,Merchantability!$B:$C,2,0)="Yes",$E2245&gt;=VLOOKUP($D2245,Merchantability!$B:$D,3,0),$E2245&lt;=VLOOKUP($D2245,Merchantability!$B:$E,4,0)),AC2245,0)</f>
        <v>#N/A</v>
      </c>
      <c r="AI2245" s="104" t="e">
        <f t="shared" si="978"/>
        <v>#N/A</v>
      </c>
      <c r="AJ2245" s="104" t="e">
        <f t="shared" si="979"/>
        <v>#VALUE!</v>
      </c>
      <c r="AK2245" s="104" t="e">
        <f t="shared" si="980"/>
        <v>#N/A</v>
      </c>
      <c r="AL2245" s="104" t="e">
        <f t="shared" si="981"/>
        <v>#N/A</v>
      </c>
      <c r="AM2245" s="104" t="e">
        <f t="shared" si="982"/>
        <v>#N/A</v>
      </c>
      <c r="AN2245" s="104" t="e">
        <f t="shared" si="993"/>
        <v>#N/A</v>
      </c>
      <c r="AO2245" s="104" t="e">
        <f t="shared" si="994"/>
        <v>#N/A</v>
      </c>
      <c r="AP2245" s="104" t="e">
        <f t="shared" si="995"/>
        <v>#N/A</v>
      </c>
      <c r="AQ2245" s="104" t="e">
        <f t="shared" si="996"/>
        <v>#N/A</v>
      </c>
      <c r="AR2245" s="105" t="str">
        <f t="shared" si="988"/>
        <v/>
      </c>
      <c r="AS2245" s="105" t="str">
        <f t="shared" si="989"/>
        <v/>
      </c>
      <c r="AT2245" s="108" t="str">
        <f t="shared" si="990"/>
        <v/>
      </c>
      <c r="AU2245" s="108" t="str">
        <f t="shared" si="991"/>
        <v/>
      </c>
      <c r="AV2245" s="107" t="str">
        <f>IF(ISNUMBER(O2245),IF(VLOOKUP($A2245,Stand!C:J,8,FALSE)="Short",AT2245,AU2245),"")</f>
        <v/>
      </c>
      <c r="AW2245" s="109" t="str">
        <f t="shared" si="997"/>
        <v/>
      </c>
      <c r="AX2245" s="109" t="str">
        <f t="shared" si="998"/>
        <v/>
      </c>
      <c r="AY2245" s="112" t="str">
        <f>IF(ISNUMBER(O2245),IF(AND(VLOOKUP($D2245,Merchantability!$B:$C,2,0)="Yes",$E2245&gt;=VLOOKUP($D2245,Merchantability!$B:$D,3,0),$E2245&lt;=VLOOKUP($D2245,Merchantability!$B:$E,4,0)),(AV2245*O2245)*(1-$H2245/100),""),"")</f>
        <v/>
      </c>
      <c r="AZ2245" s="116"/>
      <c r="BA2245" s="116"/>
      <c r="BB2245" s="116"/>
      <c r="BE2245" s="62"/>
      <c r="BF2245" s="63"/>
    </row>
    <row r="2246" spans="1:58" ht="12.75" customHeight="1" x14ac:dyDescent="0.25">
      <c r="A2246" s="334"/>
      <c r="B2246" s="334"/>
      <c r="C2246" s="332"/>
      <c r="D2246" s="334"/>
      <c r="E2246" s="335"/>
      <c r="F2246" s="334"/>
      <c r="G2246" s="332"/>
      <c r="H2246" s="332"/>
      <c r="I2246" s="334"/>
      <c r="J2246" s="336"/>
      <c r="K2246" s="332"/>
      <c r="L2246" s="332"/>
      <c r="M2246" s="76"/>
      <c r="N2246" s="103" t="str">
        <f>IF(A2246="","",VLOOKUP(A2246,Stand!C:K,9,0))</f>
        <v/>
      </c>
      <c r="O2246" s="104" t="str">
        <f t="shared" si="983"/>
        <v/>
      </c>
      <c r="P2246" s="105" t="str">
        <f t="shared" si="984"/>
        <v/>
      </c>
      <c r="Q2246" s="105" t="str">
        <f t="shared" si="972"/>
        <v/>
      </c>
      <c r="R2246" s="103" t="str">
        <f t="shared" si="985"/>
        <v/>
      </c>
      <c r="S2246" s="103" t="str">
        <f t="shared" si="986"/>
        <v/>
      </c>
      <c r="T2246" s="106" t="str">
        <f t="shared" si="973"/>
        <v/>
      </c>
      <c r="U2246" s="106" t="str">
        <f t="shared" si="974"/>
        <v/>
      </c>
      <c r="V2246" s="106" t="str">
        <f t="shared" si="975"/>
        <v/>
      </c>
      <c r="W2246" s="105" t="str">
        <f t="shared" si="987"/>
        <v/>
      </c>
      <c r="X2246" s="104" t="str">
        <f t="shared" si="992"/>
        <v/>
      </c>
      <c r="Y2246" s="104" t="str">
        <f t="array" ref="Y2246">IFERROR(IF(ISNUMBER(O2246),IF(COUNT(IF(A2246=$A$2:$A$2427,IF(D2246=$D$2:$D$2427,IF($X$2:$X$2427&gt;0,1))))&gt;0,SUM(IF(A2246=$A$2:$A$2427,IF(D2246=$D$2:$D$2427,$X$2:$X$2427)))/COUNT(IF(A2246=$A$2:$A$2427,IF(D2246=$D$2:$D$2427,IF(ISNUMBER($X$2:$X$2427),1)))),0),""),0)</f>
        <v/>
      </c>
      <c r="Z2246" s="104" t="str">
        <f>IF(ISNUMBER(O2246),IF(I2246&gt;0,(10^(VLOOKUP(D2246,'Species Codes'!B:C,2,0)+VLOOKUP(D2246,'Species Codes'!B:D,3,0)*LOG(E2246)+VLOOKUP(D2246,'Species Codes'!B:E,4,0)*LOG(I2246))),0),"")</f>
        <v/>
      </c>
      <c r="AA2246" s="104" t="str">
        <f>IFERROR((VLOOKUP(D2246,'Species Codes'!B:G,6,0)*Z2246)/2000,"")</f>
        <v/>
      </c>
      <c r="AB2246" s="104" t="e">
        <f>IF(Z2246&gt;0,((IF(OR(D2246="DF",D2246="RA")=TRUE,EXP(VLOOKUP(D2246,'Species Codes'!B:I,8,0)+VLOOKUP(D2246,'Species Codes'!B:J,9,0)*(LN((E2246*2.54)))),IF(OR(D2246="PY",D2246="RC",D2246="WH",D2246="NF")=TRUE,VLOOKUP(D2246,'Species Codes'!B:I,8,0)+VLOOKUP(D2246,'Species Codes'!B:J,9,0)*((E2246*2.54)^2)*(I2246*0.3048),IF(OR(D2246="MD",D2246="BM",D2246="GA")=TRUE,((VLOOKUP(D2246,'Species Codes'!B:I,8,0)*(((((E2246*2.54)+VLOOKUP(D2246,'Species Codes'!B:J,9,0))/VLOOKUP(D2246,'Species Codes'!B:K,10,0))^VLOOKUP(D2246,'Species Codes'!B:L,11,0))*((I2246*0.3048)^VLOOKUP(D2246,'Species Codes'!B:M,12,0))))-(VLOOKUP(D2246,'Species Codes'!B:I,8,0)*((((E2246*2.54)^VLOOKUP(D2246,'Species Codes'!B:L,11,0))*((I2246*0.3048)^VLOOKUP(D2246,'Species Codes'!B:M,12,0))))))*35.3*VLOOKUP(D2246,'Species Codes'!B:G,6,0)/2.2046,VLOOKUP(D2246,'Species Codes'!B:I,8,0)+VLOOKUP(D2246,'Species Codes'!B:J,9,0)*(((E2246*2.54)/100)^2)*(I2246*0.3048)))))*0.0011023),0)</f>
        <v>#N/A</v>
      </c>
      <c r="AC2246" s="104" t="e">
        <f>IF(Z2246&gt;0,((IF(OR(D2246="RA",D2246="OA",D2246="OT",D2246="UN",D2246="PC"),EXP(VLOOKUP(D2246,'Species Codes'!B:O,14,0)+VLOOKUP(D2246,'Species Codes'!B:P,15,0)*LN((E2246*2.54)))-EXP(VLOOKUP(D2246,'Species Codes'!B:O,14,0)+VLOOKUP(D2246,'Species Codes'!B:P,15,0)*LN((E2246*2.54)))*(1/(VLOOKUP(D2246,'Species Codes'!B:Q,16,0)+VLOOKUP(D2246,'Species Codes'!B:R,17,0)*((E2246*2.54)^VLOOKUP(D2246,'Species Codes'!B:S,18,0)))),IF(OR(D2246="BM",D2246="MD",D2246="OA"),EXP(VLOOKUP(D2246,'Species Codes'!B:O,14,0)+VLOOKUP(D2246,'Species Codes'!B:P,15,0)*LN((E2246*2.54)))*(1-(1/(VLOOKUP(D2246,'Species Codes'!B:Q,16,0)+VLOOKUP(D2246,'Species Codes'!B:R,17,0)*((E2246*2.54)^VLOOKUP(D2246,'Species Codes'!B:S,18,0)))))/1000,IF(D2246="DF",EXP(VLOOKUP(D2246,'Species Codes'!B:O,14,0)+VLOOKUP(D2246,'Species Codes'!B:P,15,0)*LN((E2246*2.54))),VLOOKUP(D2246,'Species Codes'!B:O,14,0)+VLOOKUP(D2246,'Species Codes'!B:P,15,0)*(((E2246*2.54)/100)^2)*(I2246*0.3048)))))*0.0011023),0)</f>
        <v>#N/A</v>
      </c>
      <c r="AD2246" s="104" t="e">
        <f t="shared" si="976"/>
        <v>#N/A</v>
      </c>
      <c r="AE2246" s="104" t="e">
        <f t="shared" si="977"/>
        <v>#N/A</v>
      </c>
      <c r="AF2246" s="104" t="e">
        <f>IF(AND(VLOOKUP($D2246,Merchantability!$B:$C,2,0)="Yes",$E2246&gt;=VLOOKUP($D2246,Merchantability!$B:$D,3,0),$E2246&lt;=VLOOKUP($D2246,Merchantability!$B:$E,4,0)),AA2246,0)</f>
        <v>#N/A</v>
      </c>
      <c r="AG2246" s="104" t="e">
        <f>IF(AND(VLOOKUP($D2246,Merchantability!$B:$C,2,0)="Yes",$E2246&gt;=VLOOKUP($D2246,Merchantability!$B:$D,3,0),$E2246&lt;=VLOOKUP($D2246,Merchantability!$B:$E,4,0)),AB2246,0)</f>
        <v>#N/A</v>
      </c>
      <c r="AH2246" s="104" t="e">
        <f>IF(AND(VLOOKUP($D2246,Merchantability!$B:$C,2,0)="Yes",$E2246&gt;=VLOOKUP($D2246,Merchantability!$B:$D,3,0),$E2246&lt;=VLOOKUP($D2246,Merchantability!$B:$E,4,0)),AC2246,0)</f>
        <v>#N/A</v>
      </c>
      <c r="AI2246" s="104" t="e">
        <f t="shared" si="978"/>
        <v>#N/A</v>
      </c>
      <c r="AJ2246" s="104" t="e">
        <f t="shared" si="979"/>
        <v>#VALUE!</v>
      </c>
      <c r="AK2246" s="104" t="e">
        <f t="shared" si="980"/>
        <v>#N/A</v>
      </c>
      <c r="AL2246" s="104" t="e">
        <f t="shared" si="981"/>
        <v>#N/A</v>
      </c>
      <c r="AM2246" s="104" t="e">
        <f t="shared" si="982"/>
        <v>#N/A</v>
      </c>
      <c r="AN2246" s="104" t="e">
        <f t="shared" si="993"/>
        <v>#N/A</v>
      </c>
      <c r="AO2246" s="104" t="e">
        <f t="shared" si="994"/>
        <v>#N/A</v>
      </c>
      <c r="AP2246" s="104" t="e">
        <f t="shared" si="995"/>
        <v>#N/A</v>
      </c>
      <c r="AQ2246" s="104" t="e">
        <f t="shared" si="996"/>
        <v>#N/A</v>
      </c>
      <c r="AR2246" s="105" t="str">
        <f t="shared" si="988"/>
        <v/>
      </c>
      <c r="AS2246" s="105" t="str">
        <f t="shared" si="989"/>
        <v/>
      </c>
      <c r="AT2246" s="108" t="str">
        <f t="shared" si="990"/>
        <v/>
      </c>
      <c r="AU2246" s="108" t="str">
        <f t="shared" si="991"/>
        <v/>
      </c>
      <c r="AV2246" s="107" t="str">
        <f>IF(ISNUMBER(O2246),IF(VLOOKUP($A2246,Stand!C:J,8,FALSE)="Short",AT2246,AU2246),"")</f>
        <v/>
      </c>
      <c r="AW2246" s="109" t="str">
        <f t="shared" si="997"/>
        <v/>
      </c>
      <c r="AX2246" s="109" t="str">
        <f t="shared" si="998"/>
        <v/>
      </c>
      <c r="AY2246" s="112" t="str">
        <f>IF(ISNUMBER(O2246),IF(AND(VLOOKUP($D2246,Merchantability!$B:$C,2,0)="Yes",$E2246&gt;=VLOOKUP($D2246,Merchantability!$B:$D,3,0),$E2246&lt;=VLOOKUP($D2246,Merchantability!$B:$E,4,0)),(AV2246*O2246)*(1-$H2246/100),""),"")</f>
        <v/>
      </c>
      <c r="AZ2246" s="116"/>
      <c r="BA2246" s="116"/>
      <c r="BB2246" s="116"/>
      <c r="BE2246" s="62"/>
      <c r="BF2246" s="63"/>
    </row>
    <row r="2247" spans="1:58" ht="12.75" customHeight="1" x14ac:dyDescent="0.25">
      <c r="A2247" s="334"/>
      <c r="B2247" s="334"/>
      <c r="C2247" s="332"/>
      <c r="D2247" s="334"/>
      <c r="E2247" s="335"/>
      <c r="F2247" s="334"/>
      <c r="G2247" s="332"/>
      <c r="H2247" s="332"/>
      <c r="I2247" s="334"/>
      <c r="J2247" s="336"/>
      <c r="K2247" s="332"/>
      <c r="L2247" s="332"/>
      <c r="M2247" s="76"/>
      <c r="N2247" s="103" t="str">
        <f>IF(A2247="","",VLOOKUP(A2247,Stand!C:K,9,0))</f>
        <v/>
      </c>
      <c r="O2247" s="104" t="str">
        <f t="shared" si="983"/>
        <v/>
      </c>
      <c r="P2247" s="105" t="str">
        <f t="shared" si="984"/>
        <v/>
      </c>
      <c r="Q2247" s="105" t="str">
        <f t="shared" si="972"/>
        <v/>
      </c>
      <c r="R2247" s="103" t="str">
        <f t="shared" si="985"/>
        <v/>
      </c>
      <c r="S2247" s="103" t="str">
        <f t="shared" si="986"/>
        <v/>
      </c>
      <c r="T2247" s="106" t="str">
        <f t="shared" si="973"/>
        <v/>
      </c>
      <c r="U2247" s="106" t="str">
        <f t="shared" si="974"/>
        <v/>
      </c>
      <c r="V2247" s="106" t="str">
        <f t="shared" si="975"/>
        <v/>
      </c>
      <c r="W2247" s="105" t="str">
        <f t="shared" si="987"/>
        <v/>
      </c>
      <c r="X2247" s="104" t="str">
        <f t="shared" si="992"/>
        <v/>
      </c>
      <c r="Y2247" s="104" t="str">
        <f t="array" ref="Y2247">IFERROR(IF(ISNUMBER(O2247),IF(COUNT(IF(A2247=$A$2:$A$2427,IF(D2247=$D$2:$D$2427,IF($X$2:$X$2427&gt;0,1))))&gt;0,SUM(IF(A2247=$A$2:$A$2427,IF(D2247=$D$2:$D$2427,$X$2:$X$2427)))/COUNT(IF(A2247=$A$2:$A$2427,IF(D2247=$D$2:$D$2427,IF(ISNUMBER($X$2:$X$2427),1)))),0),""),0)</f>
        <v/>
      </c>
      <c r="Z2247" s="104" t="str">
        <f>IF(ISNUMBER(O2247),IF(I2247&gt;0,(10^(VLOOKUP(D2247,'Species Codes'!B:C,2,0)+VLOOKUP(D2247,'Species Codes'!B:D,3,0)*LOG(E2247)+VLOOKUP(D2247,'Species Codes'!B:E,4,0)*LOG(I2247))),0),"")</f>
        <v/>
      </c>
      <c r="AA2247" s="104" t="str">
        <f>IFERROR((VLOOKUP(D2247,'Species Codes'!B:G,6,0)*Z2247)/2000,"")</f>
        <v/>
      </c>
      <c r="AB2247" s="104" t="e">
        <f>IF(Z2247&gt;0,((IF(OR(D2247="DF",D2247="RA")=TRUE,EXP(VLOOKUP(D2247,'Species Codes'!B:I,8,0)+VLOOKUP(D2247,'Species Codes'!B:J,9,0)*(LN((E2247*2.54)))),IF(OR(D2247="PY",D2247="RC",D2247="WH",D2247="NF")=TRUE,VLOOKUP(D2247,'Species Codes'!B:I,8,0)+VLOOKUP(D2247,'Species Codes'!B:J,9,0)*((E2247*2.54)^2)*(I2247*0.3048),IF(OR(D2247="MD",D2247="BM",D2247="GA")=TRUE,((VLOOKUP(D2247,'Species Codes'!B:I,8,0)*(((((E2247*2.54)+VLOOKUP(D2247,'Species Codes'!B:J,9,0))/VLOOKUP(D2247,'Species Codes'!B:K,10,0))^VLOOKUP(D2247,'Species Codes'!B:L,11,0))*((I2247*0.3048)^VLOOKUP(D2247,'Species Codes'!B:M,12,0))))-(VLOOKUP(D2247,'Species Codes'!B:I,8,0)*((((E2247*2.54)^VLOOKUP(D2247,'Species Codes'!B:L,11,0))*((I2247*0.3048)^VLOOKUP(D2247,'Species Codes'!B:M,12,0))))))*35.3*VLOOKUP(D2247,'Species Codes'!B:G,6,0)/2.2046,VLOOKUP(D2247,'Species Codes'!B:I,8,0)+VLOOKUP(D2247,'Species Codes'!B:J,9,0)*(((E2247*2.54)/100)^2)*(I2247*0.3048)))))*0.0011023),0)</f>
        <v>#N/A</v>
      </c>
      <c r="AC2247" s="104" t="e">
        <f>IF(Z2247&gt;0,((IF(OR(D2247="RA",D2247="OA",D2247="OT",D2247="UN",D2247="PC"),EXP(VLOOKUP(D2247,'Species Codes'!B:O,14,0)+VLOOKUP(D2247,'Species Codes'!B:P,15,0)*LN((E2247*2.54)))-EXP(VLOOKUP(D2247,'Species Codes'!B:O,14,0)+VLOOKUP(D2247,'Species Codes'!B:P,15,0)*LN((E2247*2.54)))*(1/(VLOOKUP(D2247,'Species Codes'!B:Q,16,0)+VLOOKUP(D2247,'Species Codes'!B:R,17,0)*((E2247*2.54)^VLOOKUP(D2247,'Species Codes'!B:S,18,0)))),IF(OR(D2247="BM",D2247="MD",D2247="OA"),EXP(VLOOKUP(D2247,'Species Codes'!B:O,14,0)+VLOOKUP(D2247,'Species Codes'!B:P,15,0)*LN((E2247*2.54)))*(1-(1/(VLOOKUP(D2247,'Species Codes'!B:Q,16,0)+VLOOKUP(D2247,'Species Codes'!B:R,17,0)*((E2247*2.54)^VLOOKUP(D2247,'Species Codes'!B:S,18,0)))))/1000,IF(D2247="DF",EXP(VLOOKUP(D2247,'Species Codes'!B:O,14,0)+VLOOKUP(D2247,'Species Codes'!B:P,15,0)*LN((E2247*2.54))),VLOOKUP(D2247,'Species Codes'!B:O,14,0)+VLOOKUP(D2247,'Species Codes'!B:P,15,0)*(((E2247*2.54)/100)^2)*(I2247*0.3048)))))*0.0011023),0)</f>
        <v>#N/A</v>
      </c>
      <c r="AD2247" s="104" t="e">
        <f t="shared" si="976"/>
        <v>#N/A</v>
      </c>
      <c r="AE2247" s="104" t="e">
        <f t="shared" si="977"/>
        <v>#N/A</v>
      </c>
      <c r="AF2247" s="104" t="e">
        <f>IF(AND(VLOOKUP($D2247,Merchantability!$B:$C,2,0)="Yes",$E2247&gt;=VLOOKUP($D2247,Merchantability!$B:$D,3,0),$E2247&lt;=VLOOKUP($D2247,Merchantability!$B:$E,4,0)),AA2247,0)</f>
        <v>#N/A</v>
      </c>
      <c r="AG2247" s="104" t="e">
        <f>IF(AND(VLOOKUP($D2247,Merchantability!$B:$C,2,0)="Yes",$E2247&gt;=VLOOKUP($D2247,Merchantability!$B:$D,3,0),$E2247&lt;=VLOOKUP($D2247,Merchantability!$B:$E,4,0)),AB2247,0)</f>
        <v>#N/A</v>
      </c>
      <c r="AH2247" s="104" t="e">
        <f>IF(AND(VLOOKUP($D2247,Merchantability!$B:$C,2,0)="Yes",$E2247&gt;=VLOOKUP($D2247,Merchantability!$B:$D,3,0),$E2247&lt;=VLOOKUP($D2247,Merchantability!$B:$E,4,0)),AC2247,0)</f>
        <v>#N/A</v>
      </c>
      <c r="AI2247" s="104" t="e">
        <f t="shared" si="978"/>
        <v>#N/A</v>
      </c>
      <c r="AJ2247" s="104" t="e">
        <f t="shared" si="979"/>
        <v>#VALUE!</v>
      </c>
      <c r="AK2247" s="104" t="e">
        <f t="shared" si="980"/>
        <v>#N/A</v>
      </c>
      <c r="AL2247" s="104" t="e">
        <f t="shared" si="981"/>
        <v>#N/A</v>
      </c>
      <c r="AM2247" s="104" t="e">
        <f t="shared" si="982"/>
        <v>#N/A</v>
      </c>
      <c r="AN2247" s="104" t="e">
        <f t="shared" si="993"/>
        <v>#N/A</v>
      </c>
      <c r="AO2247" s="104" t="e">
        <f t="shared" si="994"/>
        <v>#N/A</v>
      </c>
      <c r="AP2247" s="104" t="e">
        <f t="shared" si="995"/>
        <v>#N/A</v>
      </c>
      <c r="AQ2247" s="104" t="e">
        <f t="shared" si="996"/>
        <v>#N/A</v>
      </c>
      <c r="AR2247" s="105" t="str">
        <f t="shared" si="988"/>
        <v/>
      </c>
      <c r="AS2247" s="105" t="str">
        <f t="shared" si="989"/>
        <v/>
      </c>
      <c r="AT2247" s="108" t="str">
        <f t="shared" si="990"/>
        <v/>
      </c>
      <c r="AU2247" s="108" t="str">
        <f t="shared" si="991"/>
        <v/>
      </c>
      <c r="AV2247" s="107" t="str">
        <f>IF(ISNUMBER(O2247),IF(VLOOKUP($A2247,Stand!C:J,8,FALSE)="Short",AT2247,AU2247),"")</f>
        <v/>
      </c>
      <c r="AW2247" s="109" t="str">
        <f t="shared" si="997"/>
        <v/>
      </c>
      <c r="AX2247" s="109" t="str">
        <f t="shared" si="998"/>
        <v/>
      </c>
      <c r="AY2247" s="112" t="str">
        <f>IF(ISNUMBER(O2247),IF(AND(VLOOKUP($D2247,Merchantability!$B:$C,2,0)="Yes",$E2247&gt;=VLOOKUP($D2247,Merchantability!$B:$D,3,0),$E2247&lt;=VLOOKUP($D2247,Merchantability!$B:$E,4,0)),(AV2247*O2247)*(1-$H2247/100),""),"")</f>
        <v/>
      </c>
      <c r="AZ2247" s="116"/>
      <c r="BA2247" s="116"/>
      <c r="BB2247" s="116"/>
      <c r="BE2247" s="62"/>
      <c r="BF2247" s="63"/>
    </row>
    <row r="2248" spans="1:58" ht="12.75" customHeight="1" x14ac:dyDescent="0.25">
      <c r="A2248" s="334"/>
      <c r="B2248" s="334"/>
      <c r="C2248" s="332"/>
      <c r="D2248" s="334"/>
      <c r="E2248" s="335"/>
      <c r="F2248" s="334"/>
      <c r="G2248" s="332"/>
      <c r="H2248" s="332"/>
      <c r="I2248" s="334"/>
      <c r="J2248" s="336"/>
      <c r="K2248" s="332"/>
      <c r="L2248" s="332"/>
      <c r="M2248" s="76"/>
      <c r="N2248" s="103" t="str">
        <f>IF(A2248="","",VLOOKUP(A2248,Stand!C:K,9,0))</f>
        <v/>
      </c>
      <c r="O2248" s="104" t="str">
        <f t="shared" si="983"/>
        <v/>
      </c>
      <c r="P2248" s="105" t="str">
        <f t="shared" si="984"/>
        <v/>
      </c>
      <c r="Q2248" s="105" t="str">
        <f t="shared" si="972"/>
        <v/>
      </c>
      <c r="R2248" s="103" t="str">
        <f t="shared" si="985"/>
        <v/>
      </c>
      <c r="S2248" s="103" t="str">
        <f t="shared" si="986"/>
        <v/>
      </c>
      <c r="T2248" s="106" t="str">
        <f t="shared" si="973"/>
        <v/>
      </c>
      <c r="U2248" s="106" t="str">
        <f t="shared" si="974"/>
        <v/>
      </c>
      <c r="V2248" s="106" t="str">
        <f t="shared" si="975"/>
        <v/>
      </c>
      <c r="W2248" s="105" t="str">
        <f t="shared" si="987"/>
        <v/>
      </c>
      <c r="X2248" s="104" t="str">
        <f t="shared" si="992"/>
        <v/>
      </c>
      <c r="Y2248" s="104" t="str">
        <f t="array" ref="Y2248">IFERROR(IF(ISNUMBER(O2248),IF(COUNT(IF(A2248=$A$2:$A$2427,IF(D2248=$D$2:$D$2427,IF($X$2:$X$2427&gt;0,1))))&gt;0,SUM(IF(A2248=$A$2:$A$2427,IF(D2248=$D$2:$D$2427,$X$2:$X$2427)))/COUNT(IF(A2248=$A$2:$A$2427,IF(D2248=$D$2:$D$2427,IF(ISNUMBER($X$2:$X$2427),1)))),0),""),0)</f>
        <v/>
      </c>
      <c r="Z2248" s="104" t="str">
        <f>IF(ISNUMBER(O2248),IF(I2248&gt;0,(10^(VLOOKUP(D2248,'Species Codes'!B:C,2,0)+VLOOKUP(D2248,'Species Codes'!B:D,3,0)*LOG(E2248)+VLOOKUP(D2248,'Species Codes'!B:E,4,0)*LOG(I2248))),0),"")</f>
        <v/>
      </c>
      <c r="AA2248" s="104" t="str">
        <f>IFERROR((VLOOKUP(D2248,'Species Codes'!B:G,6,0)*Z2248)/2000,"")</f>
        <v/>
      </c>
      <c r="AB2248" s="104" t="e">
        <f>IF(Z2248&gt;0,((IF(OR(D2248="DF",D2248="RA")=TRUE,EXP(VLOOKUP(D2248,'Species Codes'!B:I,8,0)+VLOOKUP(D2248,'Species Codes'!B:J,9,0)*(LN((E2248*2.54)))),IF(OR(D2248="PY",D2248="RC",D2248="WH",D2248="NF")=TRUE,VLOOKUP(D2248,'Species Codes'!B:I,8,0)+VLOOKUP(D2248,'Species Codes'!B:J,9,0)*((E2248*2.54)^2)*(I2248*0.3048),IF(OR(D2248="MD",D2248="BM",D2248="GA")=TRUE,((VLOOKUP(D2248,'Species Codes'!B:I,8,0)*(((((E2248*2.54)+VLOOKUP(D2248,'Species Codes'!B:J,9,0))/VLOOKUP(D2248,'Species Codes'!B:K,10,0))^VLOOKUP(D2248,'Species Codes'!B:L,11,0))*((I2248*0.3048)^VLOOKUP(D2248,'Species Codes'!B:M,12,0))))-(VLOOKUP(D2248,'Species Codes'!B:I,8,0)*((((E2248*2.54)^VLOOKUP(D2248,'Species Codes'!B:L,11,0))*((I2248*0.3048)^VLOOKUP(D2248,'Species Codes'!B:M,12,0))))))*35.3*VLOOKUP(D2248,'Species Codes'!B:G,6,0)/2.2046,VLOOKUP(D2248,'Species Codes'!B:I,8,0)+VLOOKUP(D2248,'Species Codes'!B:J,9,0)*(((E2248*2.54)/100)^2)*(I2248*0.3048)))))*0.0011023),0)</f>
        <v>#N/A</v>
      </c>
      <c r="AC2248" s="104" t="e">
        <f>IF(Z2248&gt;0,((IF(OR(D2248="RA",D2248="OA",D2248="OT",D2248="UN",D2248="PC"),EXP(VLOOKUP(D2248,'Species Codes'!B:O,14,0)+VLOOKUP(D2248,'Species Codes'!B:P,15,0)*LN((E2248*2.54)))-EXP(VLOOKUP(D2248,'Species Codes'!B:O,14,0)+VLOOKUP(D2248,'Species Codes'!B:P,15,0)*LN((E2248*2.54)))*(1/(VLOOKUP(D2248,'Species Codes'!B:Q,16,0)+VLOOKUP(D2248,'Species Codes'!B:R,17,0)*((E2248*2.54)^VLOOKUP(D2248,'Species Codes'!B:S,18,0)))),IF(OR(D2248="BM",D2248="MD",D2248="OA"),EXP(VLOOKUP(D2248,'Species Codes'!B:O,14,0)+VLOOKUP(D2248,'Species Codes'!B:P,15,0)*LN((E2248*2.54)))*(1-(1/(VLOOKUP(D2248,'Species Codes'!B:Q,16,0)+VLOOKUP(D2248,'Species Codes'!B:R,17,0)*((E2248*2.54)^VLOOKUP(D2248,'Species Codes'!B:S,18,0)))))/1000,IF(D2248="DF",EXP(VLOOKUP(D2248,'Species Codes'!B:O,14,0)+VLOOKUP(D2248,'Species Codes'!B:P,15,0)*LN((E2248*2.54))),VLOOKUP(D2248,'Species Codes'!B:O,14,0)+VLOOKUP(D2248,'Species Codes'!B:P,15,0)*(((E2248*2.54)/100)^2)*(I2248*0.3048)))))*0.0011023),0)</f>
        <v>#N/A</v>
      </c>
      <c r="AD2248" s="104" t="e">
        <f t="shared" si="976"/>
        <v>#N/A</v>
      </c>
      <c r="AE2248" s="104" t="e">
        <f t="shared" si="977"/>
        <v>#N/A</v>
      </c>
      <c r="AF2248" s="104" t="e">
        <f>IF(AND(VLOOKUP($D2248,Merchantability!$B:$C,2,0)="Yes",$E2248&gt;=VLOOKUP($D2248,Merchantability!$B:$D,3,0),$E2248&lt;=VLOOKUP($D2248,Merchantability!$B:$E,4,0)),AA2248,0)</f>
        <v>#N/A</v>
      </c>
      <c r="AG2248" s="104" t="e">
        <f>IF(AND(VLOOKUP($D2248,Merchantability!$B:$C,2,0)="Yes",$E2248&gt;=VLOOKUP($D2248,Merchantability!$B:$D,3,0),$E2248&lt;=VLOOKUP($D2248,Merchantability!$B:$E,4,0)),AB2248,0)</f>
        <v>#N/A</v>
      </c>
      <c r="AH2248" s="104" t="e">
        <f>IF(AND(VLOOKUP($D2248,Merchantability!$B:$C,2,0)="Yes",$E2248&gt;=VLOOKUP($D2248,Merchantability!$B:$D,3,0),$E2248&lt;=VLOOKUP($D2248,Merchantability!$B:$E,4,0)),AC2248,0)</f>
        <v>#N/A</v>
      </c>
      <c r="AI2248" s="104" t="e">
        <f t="shared" si="978"/>
        <v>#N/A</v>
      </c>
      <c r="AJ2248" s="104" t="e">
        <f t="shared" si="979"/>
        <v>#VALUE!</v>
      </c>
      <c r="AK2248" s="104" t="e">
        <f t="shared" si="980"/>
        <v>#N/A</v>
      </c>
      <c r="AL2248" s="104" t="e">
        <f t="shared" si="981"/>
        <v>#N/A</v>
      </c>
      <c r="AM2248" s="104" t="e">
        <f t="shared" si="982"/>
        <v>#N/A</v>
      </c>
      <c r="AN2248" s="104" t="e">
        <f t="shared" si="993"/>
        <v>#N/A</v>
      </c>
      <c r="AO2248" s="104" t="e">
        <f t="shared" si="994"/>
        <v>#N/A</v>
      </c>
      <c r="AP2248" s="104" t="e">
        <f t="shared" si="995"/>
        <v>#N/A</v>
      </c>
      <c r="AQ2248" s="104" t="e">
        <f t="shared" si="996"/>
        <v>#N/A</v>
      </c>
      <c r="AR2248" s="105" t="str">
        <f t="shared" si="988"/>
        <v/>
      </c>
      <c r="AS2248" s="105" t="str">
        <f t="shared" si="989"/>
        <v/>
      </c>
      <c r="AT2248" s="108" t="str">
        <f t="shared" si="990"/>
        <v/>
      </c>
      <c r="AU2248" s="108" t="str">
        <f t="shared" si="991"/>
        <v/>
      </c>
      <c r="AV2248" s="107" t="str">
        <f>IF(ISNUMBER(O2248),IF(VLOOKUP($A2248,Stand!C:J,8,FALSE)="Short",AT2248,AU2248),"")</f>
        <v/>
      </c>
      <c r="AW2248" s="109" t="str">
        <f t="shared" si="997"/>
        <v/>
      </c>
      <c r="AX2248" s="109" t="str">
        <f t="shared" si="998"/>
        <v/>
      </c>
      <c r="AY2248" s="112" t="str">
        <f>IF(ISNUMBER(O2248),IF(AND(VLOOKUP($D2248,Merchantability!$B:$C,2,0)="Yes",$E2248&gt;=VLOOKUP($D2248,Merchantability!$B:$D,3,0),$E2248&lt;=VLOOKUP($D2248,Merchantability!$B:$E,4,0)),(AV2248*O2248)*(1-$H2248/100),""),"")</f>
        <v/>
      </c>
      <c r="AZ2248" s="116"/>
      <c r="BA2248" s="116"/>
      <c r="BB2248" s="116"/>
      <c r="BE2248" s="62"/>
      <c r="BF2248" s="63"/>
    </row>
    <row r="2249" spans="1:58" ht="12.75" customHeight="1" x14ac:dyDescent="0.25">
      <c r="A2249" s="334"/>
      <c r="B2249" s="334"/>
      <c r="C2249" s="332"/>
      <c r="D2249" s="334"/>
      <c r="E2249" s="335"/>
      <c r="F2249" s="334"/>
      <c r="G2249" s="332"/>
      <c r="H2249" s="332"/>
      <c r="I2249" s="334"/>
      <c r="J2249" s="336"/>
      <c r="K2249" s="332"/>
      <c r="L2249" s="332"/>
      <c r="M2249" s="76"/>
      <c r="N2249" s="103" t="str">
        <f>IF(A2249="","",VLOOKUP(A2249,Stand!C:K,9,0))</f>
        <v/>
      </c>
      <c r="O2249" s="104" t="str">
        <f t="shared" si="983"/>
        <v/>
      </c>
      <c r="P2249" s="105" t="str">
        <f t="shared" si="984"/>
        <v/>
      </c>
      <c r="Q2249" s="105" t="str">
        <f t="shared" si="972"/>
        <v/>
      </c>
      <c r="R2249" s="103" t="str">
        <f t="shared" si="985"/>
        <v/>
      </c>
      <c r="S2249" s="103" t="str">
        <f t="shared" si="986"/>
        <v/>
      </c>
      <c r="T2249" s="106" t="str">
        <f t="shared" si="973"/>
        <v/>
      </c>
      <c r="U2249" s="106" t="str">
        <f t="shared" si="974"/>
        <v/>
      </c>
      <c r="V2249" s="106" t="str">
        <f t="shared" si="975"/>
        <v/>
      </c>
      <c r="W2249" s="105" t="str">
        <f t="shared" si="987"/>
        <v/>
      </c>
      <c r="X2249" s="104" t="str">
        <f t="shared" si="992"/>
        <v/>
      </c>
      <c r="Y2249" s="104" t="str">
        <f t="array" ref="Y2249">IFERROR(IF(ISNUMBER(O2249),IF(COUNT(IF(A2249=$A$2:$A$2427,IF(D2249=$D$2:$D$2427,IF($X$2:$X$2427&gt;0,1))))&gt;0,SUM(IF(A2249=$A$2:$A$2427,IF(D2249=$D$2:$D$2427,$X$2:$X$2427)))/COUNT(IF(A2249=$A$2:$A$2427,IF(D2249=$D$2:$D$2427,IF(ISNUMBER($X$2:$X$2427),1)))),0),""),0)</f>
        <v/>
      </c>
      <c r="Z2249" s="104" t="str">
        <f>IF(ISNUMBER(O2249),IF(I2249&gt;0,(10^(VLOOKUP(D2249,'Species Codes'!B:C,2,0)+VLOOKUP(D2249,'Species Codes'!B:D,3,0)*LOG(E2249)+VLOOKUP(D2249,'Species Codes'!B:E,4,0)*LOG(I2249))),0),"")</f>
        <v/>
      </c>
      <c r="AA2249" s="104" t="str">
        <f>IFERROR((VLOOKUP(D2249,'Species Codes'!B:G,6,0)*Z2249)/2000,"")</f>
        <v/>
      </c>
      <c r="AB2249" s="104" t="e">
        <f>IF(Z2249&gt;0,((IF(OR(D2249="DF",D2249="RA")=TRUE,EXP(VLOOKUP(D2249,'Species Codes'!B:I,8,0)+VLOOKUP(D2249,'Species Codes'!B:J,9,0)*(LN((E2249*2.54)))),IF(OR(D2249="PY",D2249="RC",D2249="WH",D2249="NF")=TRUE,VLOOKUP(D2249,'Species Codes'!B:I,8,0)+VLOOKUP(D2249,'Species Codes'!B:J,9,0)*((E2249*2.54)^2)*(I2249*0.3048),IF(OR(D2249="MD",D2249="BM",D2249="GA")=TRUE,((VLOOKUP(D2249,'Species Codes'!B:I,8,0)*(((((E2249*2.54)+VLOOKUP(D2249,'Species Codes'!B:J,9,0))/VLOOKUP(D2249,'Species Codes'!B:K,10,0))^VLOOKUP(D2249,'Species Codes'!B:L,11,0))*((I2249*0.3048)^VLOOKUP(D2249,'Species Codes'!B:M,12,0))))-(VLOOKUP(D2249,'Species Codes'!B:I,8,0)*((((E2249*2.54)^VLOOKUP(D2249,'Species Codes'!B:L,11,0))*((I2249*0.3048)^VLOOKUP(D2249,'Species Codes'!B:M,12,0))))))*35.3*VLOOKUP(D2249,'Species Codes'!B:G,6,0)/2.2046,VLOOKUP(D2249,'Species Codes'!B:I,8,0)+VLOOKUP(D2249,'Species Codes'!B:J,9,0)*(((E2249*2.54)/100)^2)*(I2249*0.3048)))))*0.0011023),0)</f>
        <v>#N/A</v>
      </c>
      <c r="AC2249" s="104" t="e">
        <f>IF(Z2249&gt;0,((IF(OR(D2249="RA",D2249="OA",D2249="OT",D2249="UN",D2249="PC"),EXP(VLOOKUP(D2249,'Species Codes'!B:O,14,0)+VLOOKUP(D2249,'Species Codes'!B:P,15,0)*LN((E2249*2.54)))-EXP(VLOOKUP(D2249,'Species Codes'!B:O,14,0)+VLOOKUP(D2249,'Species Codes'!B:P,15,0)*LN((E2249*2.54)))*(1/(VLOOKUP(D2249,'Species Codes'!B:Q,16,0)+VLOOKUP(D2249,'Species Codes'!B:R,17,0)*((E2249*2.54)^VLOOKUP(D2249,'Species Codes'!B:S,18,0)))),IF(OR(D2249="BM",D2249="MD",D2249="OA"),EXP(VLOOKUP(D2249,'Species Codes'!B:O,14,0)+VLOOKUP(D2249,'Species Codes'!B:P,15,0)*LN((E2249*2.54)))*(1-(1/(VLOOKUP(D2249,'Species Codes'!B:Q,16,0)+VLOOKUP(D2249,'Species Codes'!B:R,17,0)*((E2249*2.54)^VLOOKUP(D2249,'Species Codes'!B:S,18,0)))))/1000,IF(D2249="DF",EXP(VLOOKUP(D2249,'Species Codes'!B:O,14,0)+VLOOKUP(D2249,'Species Codes'!B:P,15,0)*LN((E2249*2.54))),VLOOKUP(D2249,'Species Codes'!B:O,14,0)+VLOOKUP(D2249,'Species Codes'!B:P,15,0)*(((E2249*2.54)/100)^2)*(I2249*0.3048)))))*0.0011023),0)</f>
        <v>#N/A</v>
      </c>
      <c r="AD2249" s="104" t="e">
        <f t="shared" si="976"/>
        <v>#N/A</v>
      </c>
      <c r="AE2249" s="104" t="e">
        <f t="shared" si="977"/>
        <v>#N/A</v>
      </c>
      <c r="AF2249" s="104" t="e">
        <f>IF(AND(VLOOKUP($D2249,Merchantability!$B:$C,2,0)="Yes",$E2249&gt;=VLOOKUP($D2249,Merchantability!$B:$D,3,0),$E2249&lt;=VLOOKUP($D2249,Merchantability!$B:$E,4,0)),AA2249,0)</f>
        <v>#N/A</v>
      </c>
      <c r="AG2249" s="104" t="e">
        <f>IF(AND(VLOOKUP($D2249,Merchantability!$B:$C,2,0)="Yes",$E2249&gt;=VLOOKUP($D2249,Merchantability!$B:$D,3,0),$E2249&lt;=VLOOKUP($D2249,Merchantability!$B:$E,4,0)),AB2249,0)</f>
        <v>#N/A</v>
      </c>
      <c r="AH2249" s="104" t="e">
        <f>IF(AND(VLOOKUP($D2249,Merchantability!$B:$C,2,0)="Yes",$E2249&gt;=VLOOKUP($D2249,Merchantability!$B:$D,3,0),$E2249&lt;=VLOOKUP($D2249,Merchantability!$B:$E,4,0)),AC2249,0)</f>
        <v>#N/A</v>
      </c>
      <c r="AI2249" s="104" t="e">
        <f t="shared" si="978"/>
        <v>#N/A</v>
      </c>
      <c r="AJ2249" s="104" t="e">
        <f t="shared" si="979"/>
        <v>#VALUE!</v>
      </c>
      <c r="AK2249" s="104" t="e">
        <f t="shared" si="980"/>
        <v>#N/A</v>
      </c>
      <c r="AL2249" s="104" t="e">
        <f t="shared" si="981"/>
        <v>#N/A</v>
      </c>
      <c r="AM2249" s="104" t="e">
        <f t="shared" si="982"/>
        <v>#N/A</v>
      </c>
      <c r="AN2249" s="104" t="e">
        <f t="shared" si="993"/>
        <v>#N/A</v>
      </c>
      <c r="AO2249" s="104" t="e">
        <f t="shared" si="994"/>
        <v>#N/A</v>
      </c>
      <c r="AP2249" s="104" t="e">
        <f t="shared" si="995"/>
        <v>#N/A</v>
      </c>
      <c r="AQ2249" s="104" t="e">
        <f t="shared" si="996"/>
        <v>#N/A</v>
      </c>
      <c r="AR2249" s="105" t="str">
        <f t="shared" si="988"/>
        <v/>
      </c>
      <c r="AS2249" s="105" t="str">
        <f t="shared" si="989"/>
        <v/>
      </c>
      <c r="AT2249" s="108" t="str">
        <f t="shared" si="990"/>
        <v/>
      </c>
      <c r="AU2249" s="108" t="str">
        <f t="shared" si="991"/>
        <v/>
      </c>
      <c r="AV2249" s="107" t="str">
        <f>IF(ISNUMBER(O2249),IF(VLOOKUP($A2249,Stand!C:J,8,FALSE)="Short",AT2249,AU2249),"")</f>
        <v/>
      </c>
      <c r="AW2249" s="109" t="str">
        <f t="shared" si="997"/>
        <v/>
      </c>
      <c r="AX2249" s="109" t="str">
        <f t="shared" si="998"/>
        <v/>
      </c>
      <c r="AY2249" s="112" t="str">
        <f>IF(ISNUMBER(O2249),IF(AND(VLOOKUP($D2249,Merchantability!$B:$C,2,0)="Yes",$E2249&gt;=VLOOKUP($D2249,Merchantability!$B:$D,3,0),$E2249&lt;=VLOOKUP($D2249,Merchantability!$B:$E,4,0)),(AV2249*O2249)*(1-$H2249/100),""),"")</f>
        <v/>
      </c>
      <c r="AZ2249" s="116"/>
      <c r="BA2249" s="116"/>
      <c r="BB2249" s="116"/>
      <c r="BE2249" s="62"/>
      <c r="BF2249" s="63"/>
    </row>
    <row r="2250" spans="1:58" ht="12.75" customHeight="1" x14ac:dyDescent="0.25">
      <c r="A2250" s="334"/>
      <c r="B2250" s="334"/>
      <c r="C2250" s="332"/>
      <c r="D2250" s="334"/>
      <c r="E2250" s="335"/>
      <c r="F2250" s="334"/>
      <c r="G2250" s="332"/>
      <c r="H2250" s="332"/>
      <c r="I2250" s="334"/>
      <c r="J2250" s="336"/>
      <c r="K2250" s="332"/>
      <c r="L2250" s="332"/>
      <c r="M2250" s="76"/>
      <c r="N2250" s="103" t="str">
        <f>IF(A2250="","",VLOOKUP(A2250,Stand!C:K,9,0))</f>
        <v/>
      </c>
      <c r="O2250" s="104" t="str">
        <f t="shared" si="983"/>
        <v/>
      </c>
      <c r="P2250" s="105" t="str">
        <f t="shared" si="984"/>
        <v/>
      </c>
      <c r="Q2250" s="105" t="str">
        <f t="shared" si="972"/>
        <v/>
      </c>
      <c r="R2250" s="103" t="str">
        <f t="shared" si="985"/>
        <v/>
      </c>
      <c r="S2250" s="103" t="str">
        <f t="shared" si="986"/>
        <v/>
      </c>
      <c r="T2250" s="106" t="str">
        <f t="shared" si="973"/>
        <v/>
      </c>
      <c r="U2250" s="106" t="str">
        <f t="shared" si="974"/>
        <v/>
      </c>
      <c r="V2250" s="106" t="str">
        <f t="shared" si="975"/>
        <v/>
      </c>
      <c r="W2250" s="105" t="str">
        <f t="shared" si="987"/>
        <v/>
      </c>
      <c r="X2250" s="104" t="str">
        <f t="shared" si="992"/>
        <v/>
      </c>
      <c r="Y2250" s="104" t="str">
        <f t="array" ref="Y2250">IFERROR(IF(ISNUMBER(O2250),IF(COUNT(IF(A2250=$A$2:$A$2427,IF(D2250=$D$2:$D$2427,IF($X$2:$X$2427&gt;0,1))))&gt;0,SUM(IF(A2250=$A$2:$A$2427,IF(D2250=$D$2:$D$2427,$X$2:$X$2427)))/COUNT(IF(A2250=$A$2:$A$2427,IF(D2250=$D$2:$D$2427,IF(ISNUMBER($X$2:$X$2427),1)))),0),""),0)</f>
        <v/>
      </c>
      <c r="Z2250" s="104" t="str">
        <f>IF(ISNUMBER(O2250),IF(I2250&gt;0,(10^(VLOOKUP(D2250,'Species Codes'!B:C,2,0)+VLOOKUP(D2250,'Species Codes'!B:D,3,0)*LOG(E2250)+VLOOKUP(D2250,'Species Codes'!B:E,4,0)*LOG(I2250))),0),"")</f>
        <v/>
      </c>
      <c r="AA2250" s="104" t="str">
        <f>IFERROR((VLOOKUP(D2250,'Species Codes'!B:G,6,0)*Z2250)/2000,"")</f>
        <v/>
      </c>
      <c r="AB2250" s="104" t="e">
        <f>IF(Z2250&gt;0,((IF(OR(D2250="DF",D2250="RA")=TRUE,EXP(VLOOKUP(D2250,'Species Codes'!B:I,8,0)+VLOOKUP(D2250,'Species Codes'!B:J,9,0)*(LN((E2250*2.54)))),IF(OR(D2250="PY",D2250="RC",D2250="WH",D2250="NF")=TRUE,VLOOKUP(D2250,'Species Codes'!B:I,8,0)+VLOOKUP(D2250,'Species Codes'!B:J,9,0)*((E2250*2.54)^2)*(I2250*0.3048),IF(OR(D2250="MD",D2250="BM",D2250="GA")=TRUE,((VLOOKUP(D2250,'Species Codes'!B:I,8,0)*(((((E2250*2.54)+VLOOKUP(D2250,'Species Codes'!B:J,9,0))/VLOOKUP(D2250,'Species Codes'!B:K,10,0))^VLOOKUP(D2250,'Species Codes'!B:L,11,0))*((I2250*0.3048)^VLOOKUP(D2250,'Species Codes'!B:M,12,0))))-(VLOOKUP(D2250,'Species Codes'!B:I,8,0)*((((E2250*2.54)^VLOOKUP(D2250,'Species Codes'!B:L,11,0))*((I2250*0.3048)^VLOOKUP(D2250,'Species Codes'!B:M,12,0))))))*35.3*VLOOKUP(D2250,'Species Codes'!B:G,6,0)/2.2046,VLOOKUP(D2250,'Species Codes'!B:I,8,0)+VLOOKUP(D2250,'Species Codes'!B:J,9,0)*(((E2250*2.54)/100)^2)*(I2250*0.3048)))))*0.0011023),0)</f>
        <v>#N/A</v>
      </c>
      <c r="AC2250" s="104" t="e">
        <f>IF(Z2250&gt;0,((IF(OR(D2250="RA",D2250="OA",D2250="OT",D2250="UN",D2250="PC"),EXP(VLOOKUP(D2250,'Species Codes'!B:O,14,0)+VLOOKUP(D2250,'Species Codes'!B:P,15,0)*LN((E2250*2.54)))-EXP(VLOOKUP(D2250,'Species Codes'!B:O,14,0)+VLOOKUP(D2250,'Species Codes'!B:P,15,0)*LN((E2250*2.54)))*(1/(VLOOKUP(D2250,'Species Codes'!B:Q,16,0)+VLOOKUP(D2250,'Species Codes'!B:R,17,0)*((E2250*2.54)^VLOOKUP(D2250,'Species Codes'!B:S,18,0)))),IF(OR(D2250="BM",D2250="MD",D2250="OA"),EXP(VLOOKUP(D2250,'Species Codes'!B:O,14,0)+VLOOKUP(D2250,'Species Codes'!B:P,15,0)*LN((E2250*2.54)))*(1-(1/(VLOOKUP(D2250,'Species Codes'!B:Q,16,0)+VLOOKUP(D2250,'Species Codes'!B:R,17,0)*((E2250*2.54)^VLOOKUP(D2250,'Species Codes'!B:S,18,0)))))/1000,IF(D2250="DF",EXP(VLOOKUP(D2250,'Species Codes'!B:O,14,0)+VLOOKUP(D2250,'Species Codes'!B:P,15,0)*LN((E2250*2.54))),VLOOKUP(D2250,'Species Codes'!B:O,14,0)+VLOOKUP(D2250,'Species Codes'!B:P,15,0)*(((E2250*2.54)/100)^2)*(I2250*0.3048)))))*0.0011023),0)</f>
        <v>#N/A</v>
      </c>
      <c r="AD2250" s="104" t="e">
        <f t="shared" si="976"/>
        <v>#N/A</v>
      </c>
      <c r="AE2250" s="104" t="e">
        <f t="shared" si="977"/>
        <v>#N/A</v>
      </c>
      <c r="AF2250" s="104" t="e">
        <f>IF(AND(VLOOKUP($D2250,Merchantability!$B:$C,2,0)="Yes",$E2250&gt;=VLOOKUP($D2250,Merchantability!$B:$D,3,0),$E2250&lt;=VLOOKUP($D2250,Merchantability!$B:$E,4,0)),AA2250,0)</f>
        <v>#N/A</v>
      </c>
      <c r="AG2250" s="104" t="e">
        <f>IF(AND(VLOOKUP($D2250,Merchantability!$B:$C,2,0)="Yes",$E2250&gt;=VLOOKUP($D2250,Merchantability!$B:$D,3,0),$E2250&lt;=VLOOKUP($D2250,Merchantability!$B:$E,4,0)),AB2250,0)</f>
        <v>#N/A</v>
      </c>
      <c r="AH2250" s="104" t="e">
        <f>IF(AND(VLOOKUP($D2250,Merchantability!$B:$C,2,0)="Yes",$E2250&gt;=VLOOKUP($D2250,Merchantability!$B:$D,3,0),$E2250&lt;=VLOOKUP($D2250,Merchantability!$B:$E,4,0)),AC2250,0)</f>
        <v>#N/A</v>
      </c>
      <c r="AI2250" s="104" t="e">
        <f t="shared" si="978"/>
        <v>#N/A</v>
      </c>
      <c r="AJ2250" s="104" t="e">
        <f t="shared" si="979"/>
        <v>#VALUE!</v>
      </c>
      <c r="AK2250" s="104" t="e">
        <f t="shared" si="980"/>
        <v>#N/A</v>
      </c>
      <c r="AL2250" s="104" t="e">
        <f t="shared" si="981"/>
        <v>#N/A</v>
      </c>
      <c r="AM2250" s="104" t="e">
        <f t="shared" si="982"/>
        <v>#N/A</v>
      </c>
      <c r="AN2250" s="104" t="e">
        <f t="shared" si="993"/>
        <v>#N/A</v>
      </c>
      <c r="AO2250" s="104" t="e">
        <f t="shared" si="994"/>
        <v>#N/A</v>
      </c>
      <c r="AP2250" s="104" t="e">
        <f t="shared" si="995"/>
        <v>#N/A</v>
      </c>
      <c r="AQ2250" s="104" t="e">
        <f t="shared" si="996"/>
        <v>#N/A</v>
      </c>
      <c r="AR2250" s="105" t="str">
        <f t="shared" si="988"/>
        <v/>
      </c>
      <c r="AS2250" s="105" t="str">
        <f t="shared" si="989"/>
        <v/>
      </c>
      <c r="AT2250" s="108" t="str">
        <f t="shared" si="990"/>
        <v/>
      </c>
      <c r="AU2250" s="108" t="str">
        <f t="shared" si="991"/>
        <v/>
      </c>
      <c r="AV2250" s="107" t="str">
        <f>IF(ISNUMBER(O2250),IF(VLOOKUP($A2250,Stand!C:J,8,FALSE)="Short",AT2250,AU2250),"")</f>
        <v/>
      </c>
      <c r="AW2250" s="109" t="str">
        <f t="shared" si="997"/>
        <v/>
      </c>
      <c r="AX2250" s="109" t="str">
        <f t="shared" si="998"/>
        <v/>
      </c>
      <c r="AY2250" s="112" t="str">
        <f>IF(ISNUMBER(O2250),IF(AND(VLOOKUP($D2250,Merchantability!$B:$C,2,0)="Yes",$E2250&gt;=VLOOKUP($D2250,Merchantability!$B:$D,3,0),$E2250&lt;=VLOOKUP($D2250,Merchantability!$B:$E,4,0)),(AV2250*O2250)*(1-$H2250/100),""),"")</f>
        <v/>
      </c>
      <c r="AZ2250" s="116"/>
      <c r="BA2250" s="116"/>
      <c r="BB2250" s="116"/>
      <c r="BE2250" s="62"/>
      <c r="BF2250" s="63"/>
    </row>
    <row r="2251" spans="1:58" ht="12.75" customHeight="1" x14ac:dyDescent="0.25">
      <c r="A2251" s="334"/>
      <c r="B2251" s="334"/>
      <c r="C2251" s="332"/>
      <c r="D2251" s="334"/>
      <c r="E2251" s="335"/>
      <c r="F2251" s="334"/>
      <c r="G2251" s="332"/>
      <c r="H2251" s="332"/>
      <c r="I2251" s="334"/>
      <c r="J2251" s="336"/>
      <c r="K2251" s="332"/>
      <c r="L2251" s="332"/>
      <c r="M2251" s="76"/>
      <c r="N2251" s="103" t="str">
        <f>IF(A2251="","",VLOOKUP(A2251,Stand!C:K,9,0))</f>
        <v/>
      </c>
      <c r="O2251" s="104" t="str">
        <f t="shared" si="983"/>
        <v/>
      </c>
      <c r="P2251" s="105" t="str">
        <f t="shared" si="984"/>
        <v/>
      </c>
      <c r="Q2251" s="105" t="str">
        <f t="shared" si="972"/>
        <v/>
      </c>
      <c r="R2251" s="103" t="str">
        <f t="shared" si="985"/>
        <v/>
      </c>
      <c r="S2251" s="103" t="str">
        <f t="shared" si="986"/>
        <v/>
      </c>
      <c r="T2251" s="106" t="str">
        <f t="shared" si="973"/>
        <v/>
      </c>
      <c r="U2251" s="106" t="str">
        <f t="shared" si="974"/>
        <v/>
      </c>
      <c r="V2251" s="106" t="str">
        <f t="shared" si="975"/>
        <v/>
      </c>
      <c r="W2251" s="105" t="str">
        <f t="shared" si="987"/>
        <v/>
      </c>
      <c r="X2251" s="104" t="str">
        <f t="shared" si="992"/>
        <v/>
      </c>
      <c r="Y2251" s="104" t="str">
        <f t="array" ref="Y2251">IFERROR(IF(ISNUMBER(O2251),IF(COUNT(IF(A2251=$A$2:$A$2427,IF(D2251=$D$2:$D$2427,IF($X$2:$X$2427&gt;0,1))))&gt;0,SUM(IF(A2251=$A$2:$A$2427,IF(D2251=$D$2:$D$2427,$X$2:$X$2427)))/COUNT(IF(A2251=$A$2:$A$2427,IF(D2251=$D$2:$D$2427,IF(ISNUMBER($X$2:$X$2427),1)))),0),""),0)</f>
        <v/>
      </c>
      <c r="Z2251" s="104" t="str">
        <f>IF(ISNUMBER(O2251),IF(I2251&gt;0,(10^(VLOOKUP(D2251,'Species Codes'!B:C,2,0)+VLOOKUP(D2251,'Species Codes'!B:D,3,0)*LOG(E2251)+VLOOKUP(D2251,'Species Codes'!B:E,4,0)*LOG(I2251))),0),"")</f>
        <v/>
      </c>
      <c r="AA2251" s="104" t="str">
        <f>IFERROR((VLOOKUP(D2251,'Species Codes'!B:G,6,0)*Z2251)/2000,"")</f>
        <v/>
      </c>
      <c r="AB2251" s="104" t="e">
        <f>IF(Z2251&gt;0,((IF(OR(D2251="DF",D2251="RA")=TRUE,EXP(VLOOKUP(D2251,'Species Codes'!B:I,8,0)+VLOOKUP(D2251,'Species Codes'!B:J,9,0)*(LN((E2251*2.54)))),IF(OR(D2251="PY",D2251="RC",D2251="WH",D2251="NF")=TRUE,VLOOKUP(D2251,'Species Codes'!B:I,8,0)+VLOOKUP(D2251,'Species Codes'!B:J,9,0)*((E2251*2.54)^2)*(I2251*0.3048),IF(OR(D2251="MD",D2251="BM",D2251="GA")=TRUE,((VLOOKUP(D2251,'Species Codes'!B:I,8,0)*(((((E2251*2.54)+VLOOKUP(D2251,'Species Codes'!B:J,9,0))/VLOOKUP(D2251,'Species Codes'!B:K,10,0))^VLOOKUP(D2251,'Species Codes'!B:L,11,0))*((I2251*0.3048)^VLOOKUP(D2251,'Species Codes'!B:M,12,0))))-(VLOOKUP(D2251,'Species Codes'!B:I,8,0)*((((E2251*2.54)^VLOOKUP(D2251,'Species Codes'!B:L,11,0))*((I2251*0.3048)^VLOOKUP(D2251,'Species Codes'!B:M,12,0))))))*35.3*VLOOKUP(D2251,'Species Codes'!B:G,6,0)/2.2046,VLOOKUP(D2251,'Species Codes'!B:I,8,0)+VLOOKUP(D2251,'Species Codes'!B:J,9,0)*(((E2251*2.54)/100)^2)*(I2251*0.3048)))))*0.0011023),0)</f>
        <v>#N/A</v>
      </c>
      <c r="AC2251" s="104" t="e">
        <f>IF(Z2251&gt;0,((IF(OR(D2251="RA",D2251="OA",D2251="OT",D2251="UN",D2251="PC"),EXP(VLOOKUP(D2251,'Species Codes'!B:O,14,0)+VLOOKUP(D2251,'Species Codes'!B:P,15,0)*LN((E2251*2.54)))-EXP(VLOOKUP(D2251,'Species Codes'!B:O,14,0)+VLOOKUP(D2251,'Species Codes'!B:P,15,0)*LN((E2251*2.54)))*(1/(VLOOKUP(D2251,'Species Codes'!B:Q,16,0)+VLOOKUP(D2251,'Species Codes'!B:R,17,0)*((E2251*2.54)^VLOOKUP(D2251,'Species Codes'!B:S,18,0)))),IF(OR(D2251="BM",D2251="MD",D2251="OA"),EXP(VLOOKUP(D2251,'Species Codes'!B:O,14,0)+VLOOKUP(D2251,'Species Codes'!B:P,15,0)*LN((E2251*2.54)))*(1-(1/(VLOOKUP(D2251,'Species Codes'!B:Q,16,0)+VLOOKUP(D2251,'Species Codes'!B:R,17,0)*((E2251*2.54)^VLOOKUP(D2251,'Species Codes'!B:S,18,0)))))/1000,IF(D2251="DF",EXP(VLOOKUP(D2251,'Species Codes'!B:O,14,0)+VLOOKUP(D2251,'Species Codes'!B:P,15,0)*LN((E2251*2.54))),VLOOKUP(D2251,'Species Codes'!B:O,14,0)+VLOOKUP(D2251,'Species Codes'!B:P,15,0)*(((E2251*2.54)/100)^2)*(I2251*0.3048)))))*0.0011023),0)</f>
        <v>#N/A</v>
      </c>
      <c r="AD2251" s="104" t="e">
        <f t="shared" si="976"/>
        <v>#N/A</v>
      </c>
      <c r="AE2251" s="104" t="e">
        <f t="shared" si="977"/>
        <v>#N/A</v>
      </c>
      <c r="AF2251" s="104" t="e">
        <f>IF(AND(VLOOKUP($D2251,Merchantability!$B:$C,2,0)="Yes",$E2251&gt;=VLOOKUP($D2251,Merchantability!$B:$D,3,0),$E2251&lt;=VLOOKUP($D2251,Merchantability!$B:$E,4,0)),AA2251,0)</f>
        <v>#N/A</v>
      </c>
      <c r="AG2251" s="104" t="e">
        <f>IF(AND(VLOOKUP($D2251,Merchantability!$B:$C,2,0)="Yes",$E2251&gt;=VLOOKUP($D2251,Merchantability!$B:$D,3,0),$E2251&lt;=VLOOKUP($D2251,Merchantability!$B:$E,4,0)),AB2251,0)</f>
        <v>#N/A</v>
      </c>
      <c r="AH2251" s="104" t="e">
        <f>IF(AND(VLOOKUP($D2251,Merchantability!$B:$C,2,0)="Yes",$E2251&gt;=VLOOKUP($D2251,Merchantability!$B:$D,3,0),$E2251&lt;=VLOOKUP($D2251,Merchantability!$B:$E,4,0)),AC2251,0)</f>
        <v>#N/A</v>
      </c>
      <c r="AI2251" s="104" t="e">
        <f t="shared" si="978"/>
        <v>#N/A</v>
      </c>
      <c r="AJ2251" s="104" t="e">
        <f t="shared" si="979"/>
        <v>#VALUE!</v>
      </c>
      <c r="AK2251" s="104" t="e">
        <f t="shared" si="980"/>
        <v>#N/A</v>
      </c>
      <c r="AL2251" s="104" t="e">
        <f t="shared" si="981"/>
        <v>#N/A</v>
      </c>
      <c r="AM2251" s="104" t="e">
        <f t="shared" si="982"/>
        <v>#N/A</v>
      </c>
      <c r="AN2251" s="104" t="e">
        <f t="shared" si="993"/>
        <v>#N/A</v>
      </c>
      <c r="AO2251" s="104" t="e">
        <f t="shared" si="994"/>
        <v>#N/A</v>
      </c>
      <c r="AP2251" s="104" t="e">
        <f t="shared" si="995"/>
        <v>#N/A</v>
      </c>
      <c r="AQ2251" s="104" t="e">
        <f t="shared" si="996"/>
        <v>#N/A</v>
      </c>
      <c r="AR2251" s="105" t="str">
        <f t="shared" si="988"/>
        <v/>
      </c>
      <c r="AS2251" s="105" t="str">
        <f t="shared" si="989"/>
        <v/>
      </c>
      <c r="AT2251" s="108" t="str">
        <f t="shared" si="990"/>
        <v/>
      </c>
      <c r="AU2251" s="108" t="str">
        <f t="shared" si="991"/>
        <v/>
      </c>
      <c r="AV2251" s="107" t="str">
        <f>IF(ISNUMBER(O2251),IF(VLOOKUP($A2251,Stand!C:J,8,FALSE)="Short",AT2251,AU2251),"")</f>
        <v/>
      </c>
      <c r="AW2251" s="109" t="str">
        <f t="shared" si="997"/>
        <v/>
      </c>
      <c r="AX2251" s="109" t="str">
        <f t="shared" si="998"/>
        <v/>
      </c>
      <c r="AY2251" s="112" t="str">
        <f>IF(ISNUMBER(O2251),IF(AND(VLOOKUP($D2251,Merchantability!$B:$C,2,0)="Yes",$E2251&gt;=VLOOKUP($D2251,Merchantability!$B:$D,3,0),$E2251&lt;=VLOOKUP($D2251,Merchantability!$B:$E,4,0)),(AV2251*O2251)*(1-$H2251/100),""),"")</f>
        <v/>
      </c>
      <c r="AZ2251" s="116"/>
      <c r="BA2251" s="116"/>
      <c r="BB2251" s="116"/>
      <c r="BE2251" s="62"/>
      <c r="BF2251" s="63"/>
    </row>
    <row r="2252" spans="1:58" ht="12.75" customHeight="1" x14ac:dyDescent="0.25">
      <c r="A2252" s="334"/>
      <c r="B2252" s="334"/>
      <c r="C2252" s="332"/>
      <c r="D2252" s="334"/>
      <c r="E2252" s="335"/>
      <c r="F2252" s="334"/>
      <c r="G2252" s="332"/>
      <c r="H2252" s="332"/>
      <c r="I2252" s="334"/>
      <c r="J2252" s="336"/>
      <c r="K2252" s="332"/>
      <c r="L2252" s="332"/>
      <c r="M2252" s="76"/>
      <c r="N2252" s="103" t="str">
        <f>IF(A2252="","",VLOOKUP(A2252,Stand!C:K,9,0))</f>
        <v/>
      </c>
      <c r="O2252" s="104" t="str">
        <f t="shared" si="983"/>
        <v/>
      </c>
      <c r="P2252" s="105" t="str">
        <f t="shared" si="984"/>
        <v/>
      </c>
      <c r="Q2252" s="105" t="str">
        <f t="shared" si="972"/>
        <v/>
      </c>
      <c r="R2252" s="103" t="str">
        <f t="shared" si="985"/>
        <v/>
      </c>
      <c r="S2252" s="103" t="str">
        <f t="shared" si="986"/>
        <v/>
      </c>
      <c r="T2252" s="106" t="str">
        <f t="shared" si="973"/>
        <v/>
      </c>
      <c r="U2252" s="106" t="str">
        <f t="shared" si="974"/>
        <v/>
      </c>
      <c r="V2252" s="106" t="str">
        <f t="shared" si="975"/>
        <v/>
      </c>
      <c r="W2252" s="105" t="str">
        <f t="shared" si="987"/>
        <v/>
      </c>
      <c r="X2252" s="104" t="str">
        <f t="shared" si="992"/>
        <v/>
      </c>
      <c r="Y2252" s="104" t="str">
        <f t="array" ref="Y2252">IFERROR(IF(ISNUMBER(O2252),IF(COUNT(IF(A2252=$A$2:$A$2427,IF(D2252=$D$2:$D$2427,IF($X$2:$X$2427&gt;0,1))))&gt;0,SUM(IF(A2252=$A$2:$A$2427,IF(D2252=$D$2:$D$2427,$X$2:$X$2427)))/COUNT(IF(A2252=$A$2:$A$2427,IF(D2252=$D$2:$D$2427,IF(ISNUMBER($X$2:$X$2427),1)))),0),""),0)</f>
        <v/>
      </c>
      <c r="Z2252" s="104" t="str">
        <f>IF(ISNUMBER(O2252),IF(I2252&gt;0,(10^(VLOOKUP(D2252,'Species Codes'!B:C,2,0)+VLOOKUP(D2252,'Species Codes'!B:D,3,0)*LOG(E2252)+VLOOKUP(D2252,'Species Codes'!B:E,4,0)*LOG(I2252))),0),"")</f>
        <v/>
      </c>
      <c r="AA2252" s="104" t="str">
        <f>IFERROR((VLOOKUP(D2252,'Species Codes'!B:G,6,0)*Z2252)/2000,"")</f>
        <v/>
      </c>
      <c r="AB2252" s="104" t="e">
        <f>IF(Z2252&gt;0,((IF(OR(D2252="DF",D2252="RA")=TRUE,EXP(VLOOKUP(D2252,'Species Codes'!B:I,8,0)+VLOOKUP(D2252,'Species Codes'!B:J,9,0)*(LN((E2252*2.54)))),IF(OR(D2252="PY",D2252="RC",D2252="WH",D2252="NF")=TRUE,VLOOKUP(D2252,'Species Codes'!B:I,8,0)+VLOOKUP(D2252,'Species Codes'!B:J,9,0)*((E2252*2.54)^2)*(I2252*0.3048),IF(OR(D2252="MD",D2252="BM",D2252="GA")=TRUE,((VLOOKUP(D2252,'Species Codes'!B:I,8,0)*(((((E2252*2.54)+VLOOKUP(D2252,'Species Codes'!B:J,9,0))/VLOOKUP(D2252,'Species Codes'!B:K,10,0))^VLOOKUP(D2252,'Species Codes'!B:L,11,0))*((I2252*0.3048)^VLOOKUP(D2252,'Species Codes'!B:M,12,0))))-(VLOOKUP(D2252,'Species Codes'!B:I,8,0)*((((E2252*2.54)^VLOOKUP(D2252,'Species Codes'!B:L,11,0))*((I2252*0.3048)^VLOOKUP(D2252,'Species Codes'!B:M,12,0))))))*35.3*VLOOKUP(D2252,'Species Codes'!B:G,6,0)/2.2046,VLOOKUP(D2252,'Species Codes'!B:I,8,0)+VLOOKUP(D2252,'Species Codes'!B:J,9,0)*(((E2252*2.54)/100)^2)*(I2252*0.3048)))))*0.0011023),0)</f>
        <v>#N/A</v>
      </c>
      <c r="AC2252" s="104" t="e">
        <f>IF(Z2252&gt;0,((IF(OR(D2252="RA",D2252="OA",D2252="OT",D2252="UN",D2252="PC"),EXP(VLOOKUP(D2252,'Species Codes'!B:O,14,0)+VLOOKUP(D2252,'Species Codes'!B:P,15,0)*LN((E2252*2.54)))-EXP(VLOOKUP(D2252,'Species Codes'!B:O,14,0)+VLOOKUP(D2252,'Species Codes'!B:P,15,0)*LN((E2252*2.54)))*(1/(VLOOKUP(D2252,'Species Codes'!B:Q,16,0)+VLOOKUP(D2252,'Species Codes'!B:R,17,0)*((E2252*2.54)^VLOOKUP(D2252,'Species Codes'!B:S,18,0)))),IF(OR(D2252="BM",D2252="MD",D2252="OA"),EXP(VLOOKUP(D2252,'Species Codes'!B:O,14,0)+VLOOKUP(D2252,'Species Codes'!B:P,15,0)*LN((E2252*2.54)))*(1-(1/(VLOOKUP(D2252,'Species Codes'!B:Q,16,0)+VLOOKUP(D2252,'Species Codes'!B:R,17,0)*((E2252*2.54)^VLOOKUP(D2252,'Species Codes'!B:S,18,0)))))/1000,IF(D2252="DF",EXP(VLOOKUP(D2252,'Species Codes'!B:O,14,0)+VLOOKUP(D2252,'Species Codes'!B:P,15,0)*LN((E2252*2.54))),VLOOKUP(D2252,'Species Codes'!B:O,14,0)+VLOOKUP(D2252,'Species Codes'!B:P,15,0)*(((E2252*2.54)/100)^2)*(I2252*0.3048)))))*0.0011023),0)</f>
        <v>#N/A</v>
      </c>
      <c r="AD2252" s="104" t="e">
        <f t="shared" si="976"/>
        <v>#N/A</v>
      </c>
      <c r="AE2252" s="104" t="e">
        <f t="shared" si="977"/>
        <v>#N/A</v>
      </c>
      <c r="AF2252" s="104" t="e">
        <f>IF(AND(VLOOKUP($D2252,Merchantability!$B:$C,2,0)="Yes",$E2252&gt;=VLOOKUP($D2252,Merchantability!$B:$D,3,0),$E2252&lt;=VLOOKUP($D2252,Merchantability!$B:$E,4,0)),AA2252,0)</f>
        <v>#N/A</v>
      </c>
      <c r="AG2252" s="104" t="e">
        <f>IF(AND(VLOOKUP($D2252,Merchantability!$B:$C,2,0)="Yes",$E2252&gt;=VLOOKUP($D2252,Merchantability!$B:$D,3,0),$E2252&lt;=VLOOKUP($D2252,Merchantability!$B:$E,4,0)),AB2252,0)</f>
        <v>#N/A</v>
      </c>
      <c r="AH2252" s="104" t="e">
        <f>IF(AND(VLOOKUP($D2252,Merchantability!$B:$C,2,0)="Yes",$E2252&gt;=VLOOKUP($D2252,Merchantability!$B:$D,3,0),$E2252&lt;=VLOOKUP($D2252,Merchantability!$B:$E,4,0)),AC2252,0)</f>
        <v>#N/A</v>
      </c>
      <c r="AI2252" s="104" t="e">
        <f t="shared" si="978"/>
        <v>#N/A</v>
      </c>
      <c r="AJ2252" s="104" t="e">
        <f t="shared" si="979"/>
        <v>#VALUE!</v>
      </c>
      <c r="AK2252" s="104" t="e">
        <f t="shared" si="980"/>
        <v>#N/A</v>
      </c>
      <c r="AL2252" s="104" t="e">
        <f t="shared" si="981"/>
        <v>#N/A</v>
      </c>
      <c r="AM2252" s="104" t="e">
        <f t="shared" si="982"/>
        <v>#N/A</v>
      </c>
      <c r="AN2252" s="104" t="e">
        <f t="shared" si="993"/>
        <v>#N/A</v>
      </c>
      <c r="AO2252" s="104" t="e">
        <f t="shared" si="994"/>
        <v>#N/A</v>
      </c>
      <c r="AP2252" s="104" t="e">
        <f t="shared" si="995"/>
        <v>#N/A</v>
      </c>
      <c r="AQ2252" s="104" t="e">
        <f t="shared" si="996"/>
        <v>#N/A</v>
      </c>
      <c r="AR2252" s="105" t="str">
        <f t="shared" si="988"/>
        <v/>
      </c>
      <c r="AS2252" s="105" t="str">
        <f t="shared" si="989"/>
        <v/>
      </c>
      <c r="AT2252" s="108" t="str">
        <f t="shared" si="990"/>
        <v/>
      </c>
      <c r="AU2252" s="108" t="str">
        <f t="shared" si="991"/>
        <v/>
      </c>
      <c r="AV2252" s="107" t="str">
        <f>IF(ISNUMBER(O2252),IF(VLOOKUP($A2252,Stand!C:J,8,FALSE)="Short",AT2252,AU2252),"")</f>
        <v/>
      </c>
      <c r="AW2252" s="109" t="str">
        <f t="shared" si="997"/>
        <v/>
      </c>
      <c r="AX2252" s="109" t="str">
        <f t="shared" si="998"/>
        <v/>
      </c>
      <c r="AY2252" s="112" t="str">
        <f>IF(ISNUMBER(O2252),IF(AND(VLOOKUP($D2252,Merchantability!$B:$C,2,0)="Yes",$E2252&gt;=VLOOKUP($D2252,Merchantability!$B:$D,3,0),$E2252&lt;=VLOOKUP($D2252,Merchantability!$B:$E,4,0)),(AV2252*O2252)*(1-$H2252/100),""),"")</f>
        <v/>
      </c>
      <c r="AZ2252" s="116"/>
      <c r="BA2252" s="116"/>
      <c r="BB2252" s="116"/>
      <c r="BE2252" s="62"/>
      <c r="BF2252" s="63"/>
    </row>
    <row r="2253" spans="1:58" ht="12.75" customHeight="1" x14ac:dyDescent="0.25">
      <c r="A2253" s="334"/>
      <c r="B2253" s="334"/>
      <c r="C2253" s="332"/>
      <c r="D2253" s="334"/>
      <c r="E2253" s="335"/>
      <c r="F2253" s="334"/>
      <c r="G2253" s="332"/>
      <c r="H2253" s="332"/>
      <c r="I2253" s="334"/>
      <c r="J2253" s="336"/>
      <c r="K2253" s="332"/>
      <c r="L2253" s="332"/>
      <c r="M2253" s="76"/>
      <c r="N2253" s="103" t="str">
        <f>IF(A2253="","",VLOOKUP(A2253,Stand!C:K,9,0))</f>
        <v/>
      </c>
      <c r="O2253" s="104" t="str">
        <f t="shared" si="983"/>
        <v/>
      </c>
      <c r="P2253" s="105" t="str">
        <f t="shared" si="984"/>
        <v/>
      </c>
      <c r="Q2253" s="105" t="str">
        <f t="shared" si="972"/>
        <v/>
      </c>
      <c r="R2253" s="103" t="str">
        <f t="shared" si="985"/>
        <v/>
      </c>
      <c r="S2253" s="103" t="str">
        <f t="shared" si="986"/>
        <v/>
      </c>
      <c r="T2253" s="106" t="str">
        <f t="shared" si="973"/>
        <v/>
      </c>
      <c r="U2253" s="106" t="str">
        <f t="shared" si="974"/>
        <v/>
      </c>
      <c r="V2253" s="106" t="str">
        <f t="shared" si="975"/>
        <v/>
      </c>
      <c r="W2253" s="105" t="str">
        <f t="shared" si="987"/>
        <v/>
      </c>
      <c r="X2253" s="104" t="str">
        <f t="shared" si="992"/>
        <v/>
      </c>
      <c r="Y2253" s="104" t="str">
        <f t="array" ref="Y2253">IFERROR(IF(ISNUMBER(O2253),IF(COUNT(IF(A2253=$A$2:$A$2427,IF(D2253=$D$2:$D$2427,IF($X$2:$X$2427&gt;0,1))))&gt;0,SUM(IF(A2253=$A$2:$A$2427,IF(D2253=$D$2:$D$2427,$X$2:$X$2427)))/COUNT(IF(A2253=$A$2:$A$2427,IF(D2253=$D$2:$D$2427,IF(ISNUMBER($X$2:$X$2427),1)))),0),""),0)</f>
        <v/>
      </c>
      <c r="Z2253" s="104" t="str">
        <f>IF(ISNUMBER(O2253),IF(I2253&gt;0,(10^(VLOOKUP(D2253,'Species Codes'!B:C,2,0)+VLOOKUP(D2253,'Species Codes'!B:D,3,0)*LOG(E2253)+VLOOKUP(D2253,'Species Codes'!B:E,4,0)*LOG(I2253))),0),"")</f>
        <v/>
      </c>
      <c r="AA2253" s="104" t="str">
        <f>IFERROR((VLOOKUP(D2253,'Species Codes'!B:G,6,0)*Z2253)/2000,"")</f>
        <v/>
      </c>
      <c r="AB2253" s="104" t="e">
        <f>IF(Z2253&gt;0,((IF(OR(D2253="DF",D2253="RA")=TRUE,EXP(VLOOKUP(D2253,'Species Codes'!B:I,8,0)+VLOOKUP(D2253,'Species Codes'!B:J,9,0)*(LN((E2253*2.54)))),IF(OR(D2253="PY",D2253="RC",D2253="WH",D2253="NF")=TRUE,VLOOKUP(D2253,'Species Codes'!B:I,8,0)+VLOOKUP(D2253,'Species Codes'!B:J,9,0)*((E2253*2.54)^2)*(I2253*0.3048),IF(OR(D2253="MD",D2253="BM",D2253="GA")=TRUE,((VLOOKUP(D2253,'Species Codes'!B:I,8,0)*(((((E2253*2.54)+VLOOKUP(D2253,'Species Codes'!B:J,9,0))/VLOOKUP(D2253,'Species Codes'!B:K,10,0))^VLOOKUP(D2253,'Species Codes'!B:L,11,0))*((I2253*0.3048)^VLOOKUP(D2253,'Species Codes'!B:M,12,0))))-(VLOOKUP(D2253,'Species Codes'!B:I,8,0)*((((E2253*2.54)^VLOOKUP(D2253,'Species Codes'!B:L,11,0))*((I2253*0.3048)^VLOOKUP(D2253,'Species Codes'!B:M,12,0))))))*35.3*VLOOKUP(D2253,'Species Codes'!B:G,6,0)/2.2046,VLOOKUP(D2253,'Species Codes'!B:I,8,0)+VLOOKUP(D2253,'Species Codes'!B:J,9,0)*(((E2253*2.54)/100)^2)*(I2253*0.3048)))))*0.0011023),0)</f>
        <v>#N/A</v>
      </c>
      <c r="AC2253" s="104" t="e">
        <f>IF(Z2253&gt;0,((IF(OR(D2253="RA",D2253="OA",D2253="OT",D2253="UN",D2253="PC"),EXP(VLOOKUP(D2253,'Species Codes'!B:O,14,0)+VLOOKUP(D2253,'Species Codes'!B:P,15,0)*LN((E2253*2.54)))-EXP(VLOOKUP(D2253,'Species Codes'!B:O,14,0)+VLOOKUP(D2253,'Species Codes'!B:P,15,0)*LN((E2253*2.54)))*(1/(VLOOKUP(D2253,'Species Codes'!B:Q,16,0)+VLOOKUP(D2253,'Species Codes'!B:R,17,0)*((E2253*2.54)^VLOOKUP(D2253,'Species Codes'!B:S,18,0)))),IF(OR(D2253="BM",D2253="MD",D2253="OA"),EXP(VLOOKUP(D2253,'Species Codes'!B:O,14,0)+VLOOKUP(D2253,'Species Codes'!B:P,15,0)*LN((E2253*2.54)))*(1-(1/(VLOOKUP(D2253,'Species Codes'!B:Q,16,0)+VLOOKUP(D2253,'Species Codes'!B:R,17,0)*((E2253*2.54)^VLOOKUP(D2253,'Species Codes'!B:S,18,0)))))/1000,IF(D2253="DF",EXP(VLOOKUP(D2253,'Species Codes'!B:O,14,0)+VLOOKUP(D2253,'Species Codes'!B:P,15,0)*LN((E2253*2.54))),VLOOKUP(D2253,'Species Codes'!B:O,14,0)+VLOOKUP(D2253,'Species Codes'!B:P,15,0)*(((E2253*2.54)/100)^2)*(I2253*0.3048)))))*0.0011023),0)</f>
        <v>#N/A</v>
      </c>
      <c r="AD2253" s="104" t="e">
        <f t="shared" si="976"/>
        <v>#N/A</v>
      </c>
      <c r="AE2253" s="104" t="e">
        <f t="shared" si="977"/>
        <v>#N/A</v>
      </c>
      <c r="AF2253" s="104" t="e">
        <f>IF(AND(VLOOKUP($D2253,Merchantability!$B:$C,2,0)="Yes",$E2253&gt;=VLOOKUP($D2253,Merchantability!$B:$D,3,0),$E2253&lt;=VLOOKUP($D2253,Merchantability!$B:$E,4,0)),AA2253,0)</f>
        <v>#N/A</v>
      </c>
      <c r="AG2253" s="104" t="e">
        <f>IF(AND(VLOOKUP($D2253,Merchantability!$B:$C,2,0)="Yes",$E2253&gt;=VLOOKUP($D2253,Merchantability!$B:$D,3,0),$E2253&lt;=VLOOKUP($D2253,Merchantability!$B:$E,4,0)),AB2253,0)</f>
        <v>#N/A</v>
      </c>
      <c r="AH2253" s="104" t="e">
        <f>IF(AND(VLOOKUP($D2253,Merchantability!$B:$C,2,0)="Yes",$E2253&gt;=VLOOKUP($D2253,Merchantability!$B:$D,3,0),$E2253&lt;=VLOOKUP($D2253,Merchantability!$B:$E,4,0)),AC2253,0)</f>
        <v>#N/A</v>
      </c>
      <c r="AI2253" s="104" t="e">
        <f t="shared" si="978"/>
        <v>#N/A</v>
      </c>
      <c r="AJ2253" s="104" t="e">
        <f t="shared" si="979"/>
        <v>#VALUE!</v>
      </c>
      <c r="AK2253" s="104" t="e">
        <f t="shared" si="980"/>
        <v>#N/A</v>
      </c>
      <c r="AL2253" s="104" t="e">
        <f t="shared" si="981"/>
        <v>#N/A</v>
      </c>
      <c r="AM2253" s="104" t="e">
        <f t="shared" si="982"/>
        <v>#N/A</v>
      </c>
      <c r="AN2253" s="104" t="e">
        <f t="shared" si="993"/>
        <v>#N/A</v>
      </c>
      <c r="AO2253" s="104" t="e">
        <f t="shared" si="994"/>
        <v>#N/A</v>
      </c>
      <c r="AP2253" s="104" t="e">
        <f t="shared" si="995"/>
        <v>#N/A</v>
      </c>
      <c r="AQ2253" s="104" t="e">
        <f t="shared" si="996"/>
        <v>#N/A</v>
      </c>
      <c r="AR2253" s="105" t="str">
        <f t="shared" si="988"/>
        <v/>
      </c>
      <c r="AS2253" s="105" t="str">
        <f t="shared" si="989"/>
        <v/>
      </c>
      <c r="AT2253" s="108" t="str">
        <f t="shared" si="990"/>
        <v/>
      </c>
      <c r="AU2253" s="108" t="str">
        <f t="shared" si="991"/>
        <v/>
      </c>
      <c r="AV2253" s="107" t="str">
        <f>IF(ISNUMBER(O2253),IF(VLOOKUP($A2253,Stand!C:J,8,FALSE)="Short",AT2253,AU2253),"")</f>
        <v/>
      </c>
      <c r="AW2253" s="109" t="str">
        <f t="shared" si="997"/>
        <v/>
      </c>
      <c r="AX2253" s="109" t="str">
        <f t="shared" si="998"/>
        <v/>
      </c>
      <c r="AY2253" s="112" t="str">
        <f>IF(ISNUMBER(O2253),IF(AND(VLOOKUP($D2253,Merchantability!$B:$C,2,0)="Yes",$E2253&gt;=VLOOKUP($D2253,Merchantability!$B:$D,3,0),$E2253&lt;=VLOOKUP($D2253,Merchantability!$B:$E,4,0)),(AV2253*O2253)*(1-$H2253/100),""),"")</f>
        <v/>
      </c>
      <c r="AZ2253" s="116"/>
      <c r="BA2253" s="116"/>
      <c r="BB2253" s="116"/>
      <c r="BE2253" s="62"/>
      <c r="BF2253" s="63"/>
    </row>
    <row r="2254" spans="1:58" ht="12.75" customHeight="1" x14ac:dyDescent="0.25">
      <c r="A2254" s="334"/>
      <c r="B2254" s="334"/>
      <c r="C2254" s="332"/>
      <c r="D2254" s="334"/>
      <c r="E2254" s="335"/>
      <c r="F2254" s="334"/>
      <c r="G2254" s="332"/>
      <c r="H2254" s="332"/>
      <c r="I2254" s="334"/>
      <c r="J2254" s="336"/>
      <c r="K2254" s="332"/>
      <c r="L2254" s="332"/>
      <c r="M2254" s="76"/>
      <c r="N2254" s="103" t="str">
        <f>IF(A2254="","",VLOOKUP(A2254,Stand!C:K,9,0))</f>
        <v/>
      </c>
      <c r="O2254" s="104" t="str">
        <f t="shared" si="983"/>
        <v/>
      </c>
      <c r="P2254" s="105" t="str">
        <f t="shared" si="984"/>
        <v/>
      </c>
      <c r="Q2254" s="105" t="str">
        <f t="shared" si="972"/>
        <v/>
      </c>
      <c r="R2254" s="103" t="str">
        <f t="shared" si="985"/>
        <v/>
      </c>
      <c r="S2254" s="103" t="str">
        <f t="shared" si="986"/>
        <v/>
      </c>
      <c r="T2254" s="106" t="str">
        <f t="shared" si="973"/>
        <v/>
      </c>
      <c r="U2254" s="106" t="str">
        <f t="shared" si="974"/>
        <v/>
      </c>
      <c r="V2254" s="106" t="str">
        <f t="shared" si="975"/>
        <v/>
      </c>
      <c r="W2254" s="105" t="str">
        <f t="shared" si="987"/>
        <v/>
      </c>
      <c r="X2254" s="104" t="str">
        <f t="shared" si="992"/>
        <v/>
      </c>
      <c r="Y2254" s="104" t="str">
        <f t="array" ref="Y2254">IFERROR(IF(ISNUMBER(O2254),IF(COUNT(IF(A2254=$A$2:$A$2427,IF(D2254=$D$2:$D$2427,IF($X$2:$X$2427&gt;0,1))))&gt;0,SUM(IF(A2254=$A$2:$A$2427,IF(D2254=$D$2:$D$2427,$X$2:$X$2427)))/COUNT(IF(A2254=$A$2:$A$2427,IF(D2254=$D$2:$D$2427,IF(ISNUMBER($X$2:$X$2427),1)))),0),""),0)</f>
        <v/>
      </c>
      <c r="Z2254" s="104" t="str">
        <f>IF(ISNUMBER(O2254),IF(I2254&gt;0,(10^(VLOOKUP(D2254,'Species Codes'!B:C,2,0)+VLOOKUP(D2254,'Species Codes'!B:D,3,0)*LOG(E2254)+VLOOKUP(D2254,'Species Codes'!B:E,4,0)*LOG(I2254))),0),"")</f>
        <v/>
      </c>
      <c r="AA2254" s="104" t="str">
        <f>IFERROR((VLOOKUP(D2254,'Species Codes'!B:G,6,0)*Z2254)/2000,"")</f>
        <v/>
      </c>
      <c r="AB2254" s="104" t="e">
        <f>IF(Z2254&gt;0,((IF(OR(D2254="DF",D2254="RA")=TRUE,EXP(VLOOKUP(D2254,'Species Codes'!B:I,8,0)+VLOOKUP(D2254,'Species Codes'!B:J,9,0)*(LN((E2254*2.54)))),IF(OR(D2254="PY",D2254="RC",D2254="WH",D2254="NF")=TRUE,VLOOKUP(D2254,'Species Codes'!B:I,8,0)+VLOOKUP(D2254,'Species Codes'!B:J,9,0)*((E2254*2.54)^2)*(I2254*0.3048),IF(OR(D2254="MD",D2254="BM",D2254="GA")=TRUE,((VLOOKUP(D2254,'Species Codes'!B:I,8,0)*(((((E2254*2.54)+VLOOKUP(D2254,'Species Codes'!B:J,9,0))/VLOOKUP(D2254,'Species Codes'!B:K,10,0))^VLOOKUP(D2254,'Species Codes'!B:L,11,0))*((I2254*0.3048)^VLOOKUP(D2254,'Species Codes'!B:M,12,0))))-(VLOOKUP(D2254,'Species Codes'!B:I,8,0)*((((E2254*2.54)^VLOOKUP(D2254,'Species Codes'!B:L,11,0))*((I2254*0.3048)^VLOOKUP(D2254,'Species Codes'!B:M,12,0))))))*35.3*VLOOKUP(D2254,'Species Codes'!B:G,6,0)/2.2046,VLOOKUP(D2254,'Species Codes'!B:I,8,0)+VLOOKUP(D2254,'Species Codes'!B:J,9,0)*(((E2254*2.54)/100)^2)*(I2254*0.3048)))))*0.0011023),0)</f>
        <v>#N/A</v>
      </c>
      <c r="AC2254" s="104" t="e">
        <f>IF(Z2254&gt;0,((IF(OR(D2254="RA",D2254="OA",D2254="OT",D2254="UN",D2254="PC"),EXP(VLOOKUP(D2254,'Species Codes'!B:O,14,0)+VLOOKUP(D2254,'Species Codes'!B:P,15,0)*LN((E2254*2.54)))-EXP(VLOOKUP(D2254,'Species Codes'!B:O,14,0)+VLOOKUP(D2254,'Species Codes'!B:P,15,0)*LN((E2254*2.54)))*(1/(VLOOKUP(D2254,'Species Codes'!B:Q,16,0)+VLOOKUP(D2254,'Species Codes'!B:R,17,0)*((E2254*2.54)^VLOOKUP(D2254,'Species Codes'!B:S,18,0)))),IF(OR(D2254="BM",D2254="MD",D2254="OA"),EXP(VLOOKUP(D2254,'Species Codes'!B:O,14,0)+VLOOKUP(D2254,'Species Codes'!B:P,15,0)*LN((E2254*2.54)))*(1-(1/(VLOOKUP(D2254,'Species Codes'!B:Q,16,0)+VLOOKUP(D2254,'Species Codes'!B:R,17,0)*((E2254*2.54)^VLOOKUP(D2254,'Species Codes'!B:S,18,0)))))/1000,IF(D2254="DF",EXP(VLOOKUP(D2254,'Species Codes'!B:O,14,0)+VLOOKUP(D2254,'Species Codes'!B:P,15,0)*LN((E2254*2.54))),VLOOKUP(D2254,'Species Codes'!B:O,14,0)+VLOOKUP(D2254,'Species Codes'!B:P,15,0)*(((E2254*2.54)/100)^2)*(I2254*0.3048)))))*0.0011023),0)</f>
        <v>#N/A</v>
      </c>
      <c r="AD2254" s="104" t="e">
        <f t="shared" si="976"/>
        <v>#N/A</v>
      </c>
      <c r="AE2254" s="104" t="e">
        <f t="shared" si="977"/>
        <v>#N/A</v>
      </c>
      <c r="AF2254" s="104" t="e">
        <f>IF(AND(VLOOKUP($D2254,Merchantability!$B:$C,2,0)="Yes",$E2254&gt;=VLOOKUP($D2254,Merchantability!$B:$D,3,0),$E2254&lt;=VLOOKUP($D2254,Merchantability!$B:$E,4,0)),AA2254,0)</f>
        <v>#N/A</v>
      </c>
      <c r="AG2254" s="104" t="e">
        <f>IF(AND(VLOOKUP($D2254,Merchantability!$B:$C,2,0)="Yes",$E2254&gt;=VLOOKUP($D2254,Merchantability!$B:$D,3,0),$E2254&lt;=VLOOKUP($D2254,Merchantability!$B:$E,4,0)),AB2254,0)</f>
        <v>#N/A</v>
      </c>
      <c r="AH2254" s="104" t="e">
        <f>IF(AND(VLOOKUP($D2254,Merchantability!$B:$C,2,0)="Yes",$E2254&gt;=VLOOKUP($D2254,Merchantability!$B:$D,3,0),$E2254&lt;=VLOOKUP($D2254,Merchantability!$B:$E,4,0)),AC2254,0)</f>
        <v>#N/A</v>
      </c>
      <c r="AI2254" s="104" t="e">
        <f t="shared" si="978"/>
        <v>#N/A</v>
      </c>
      <c r="AJ2254" s="104" t="e">
        <f t="shared" si="979"/>
        <v>#VALUE!</v>
      </c>
      <c r="AK2254" s="104" t="e">
        <f t="shared" si="980"/>
        <v>#N/A</v>
      </c>
      <c r="AL2254" s="104" t="e">
        <f t="shared" si="981"/>
        <v>#N/A</v>
      </c>
      <c r="AM2254" s="104" t="e">
        <f t="shared" si="982"/>
        <v>#N/A</v>
      </c>
      <c r="AN2254" s="104" t="e">
        <f t="shared" si="993"/>
        <v>#N/A</v>
      </c>
      <c r="AO2254" s="104" t="e">
        <f t="shared" si="994"/>
        <v>#N/A</v>
      </c>
      <c r="AP2254" s="104" t="e">
        <f t="shared" si="995"/>
        <v>#N/A</v>
      </c>
      <c r="AQ2254" s="104" t="e">
        <f t="shared" si="996"/>
        <v>#N/A</v>
      </c>
      <c r="AR2254" s="105" t="str">
        <f t="shared" si="988"/>
        <v/>
      </c>
      <c r="AS2254" s="105" t="str">
        <f t="shared" si="989"/>
        <v/>
      </c>
      <c r="AT2254" s="108" t="str">
        <f t="shared" si="990"/>
        <v/>
      </c>
      <c r="AU2254" s="108" t="str">
        <f t="shared" si="991"/>
        <v/>
      </c>
      <c r="AV2254" s="107" t="str">
        <f>IF(ISNUMBER(O2254),IF(VLOOKUP($A2254,Stand!C:J,8,FALSE)="Short",AT2254,AU2254),"")</f>
        <v/>
      </c>
      <c r="AW2254" s="109" t="str">
        <f t="shared" si="997"/>
        <v/>
      </c>
      <c r="AX2254" s="109" t="str">
        <f t="shared" si="998"/>
        <v/>
      </c>
      <c r="AY2254" s="112" t="str">
        <f>IF(ISNUMBER(O2254),IF(AND(VLOOKUP($D2254,Merchantability!$B:$C,2,0)="Yes",$E2254&gt;=VLOOKUP($D2254,Merchantability!$B:$D,3,0),$E2254&lt;=VLOOKUP($D2254,Merchantability!$B:$E,4,0)),(AV2254*O2254)*(1-$H2254/100),""),"")</f>
        <v/>
      </c>
      <c r="AZ2254" s="116"/>
      <c r="BA2254" s="116"/>
      <c r="BB2254" s="116"/>
      <c r="BE2254" s="62"/>
      <c r="BF2254" s="63"/>
    </row>
    <row r="2255" spans="1:58" ht="12.75" customHeight="1" x14ac:dyDescent="0.25">
      <c r="A2255" s="334"/>
      <c r="B2255" s="334"/>
      <c r="C2255" s="332"/>
      <c r="D2255" s="334"/>
      <c r="E2255" s="335"/>
      <c r="F2255" s="334"/>
      <c r="G2255" s="332"/>
      <c r="H2255" s="332"/>
      <c r="I2255" s="334"/>
      <c r="J2255" s="336"/>
      <c r="K2255" s="332"/>
      <c r="L2255" s="332"/>
      <c r="M2255" s="76"/>
      <c r="N2255" s="103" t="str">
        <f>IF(A2255="","",VLOOKUP(A2255,Stand!C:K,9,0))</f>
        <v/>
      </c>
      <c r="O2255" s="104" t="str">
        <f t="shared" si="983"/>
        <v/>
      </c>
      <c r="P2255" s="105" t="str">
        <f t="shared" si="984"/>
        <v/>
      </c>
      <c r="Q2255" s="105" t="str">
        <f t="shared" si="972"/>
        <v/>
      </c>
      <c r="R2255" s="103" t="str">
        <f t="shared" si="985"/>
        <v/>
      </c>
      <c r="S2255" s="103" t="str">
        <f t="shared" si="986"/>
        <v/>
      </c>
      <c r="T2255" s="106" t="str">
        <f t="shared" si="973"/>
        <v/>
      </c>
      <c r="U2255" s="106" t="str">
        <f t="shared" si="974"/>
        <v/>
      </c>
      <c r="V2255" s="106" t="str">
        <f t="shared" si="975"/>
        <v/>
      </c>
      <c r="W2255" s="105" t="str">
        <f t="shared" si="987"/>
        <v/>
      </c>
      <c r="X2255" s="104" t="str">
        <f t="shared" si="992"/>
        <v/>
      </c>
      <c r="Y2255" s="104" t="str">
        <f t="array" ref="Y2255">IFERROR(IF(ISNUMBER(O2255),IF(COUNT(IF(A2255=$A$2:$A$2427,IF(D2255=$D$2:$D$2427,IF($X$2:$X$2427&gt;0,1))))&gt;0,SUM(IF(A2255=$A$2:$A$2427,IF(D2255=$D$2:$D$2427,$X$2:$X$2427)))/COUNT(IF(A2255=$A$2:$A$2427,IF(D2255=$D$2:$D$2427,IF(ISNUMBER($X$2:$X$2427),1)))),0),""),0)</f>
        <v/>
      </c>
      <c r="Z2255" s="104" t="str">
        <f>IF(ISNUMBER(O2255),IF(I2255&gt;0,(10^(VLOOKUP(D2255,'Species Codes'!B:C,2,0)+VLOOKUP(D2255,'Species Codes'!B:D,3,0)*LOG(E2255)+VLOOKUP(D2255,'Species Codes'!B:E,4,0)*LOG(I2255))),0),"")</f>
        <v/>
      </c>
      <c r="AA2255" s="104" t="str">
        <f>IFERROR((VLOOKUP(D2255,'Species Codes'!B:G,6,0)*Z2255)/2000,"")</f>
        <v/>
      </c>
      <c r="AB2255" s="104" t="e">
        <f>IF(Z2255&gt;0,((IF(OR(D2255="DF",D2255="RA")=TRUE,EXP(VLOOKUP(D2255,'Species Codes'!B:I,8,0)+VLOOKUP(D2255,'Species Codes'!B:J,9,0)*(LN((E2255*2.54)))),IF(OR(D2255="PY",D2255="RC",D2255="WH",D2255="NF")=TRUE,VLOOKUP(D2255,'Species Codes'!B:I,8,0)+VLOOKUP(D2255,'Species Codes'!B:J,9,0)*((E2255*2.54)^2)*(I2255*0.3048),IF(OR(D2255="MD",D2255="BM",D2255="GA")=TRUE,((VLOOKUP(D2255,'Species Codes'!B:I,8,0)*(((((E2255*2.54)+VLOOKUP(D2255,'Species Codes'!B:J,9,0))/VLOOKUP(D2255,'Species Codes'!B:K,10,0))^VLOOKUP(D2255,'Species Codes'!B:L,11,0))*((I2255*0.3048)^VLOOKUP(D2255,'Species Codes'!B:M,12,0))))-(VLOOKUP(D2255,'Species Codes'!B:I,8,0)*((((E2255*2.54)^VLOOKUP(D2255,'Species Codes'!B:L,11,0))*((I2255*0.3048)^VLOOKUP(D2255,'Species Codes'!B:M,12,0))))))*35.3*VLOOKUP(D2255,'Species Codes'!B:G,6,0)/2.2046,VLOOKUP(D2255,'Species Codes'!B:I,8,0)+VLOOKUP(D2255,'Species Codes'!B:J,9,0)*(((E2255*2.54)/100)^2)*(I2255*0.3048)))))*0.0011023),0)</f>
        <v>#N/A</v>
      </c>
      <c r="AC2255" s="104" t="e">
        <f>IF(Z2255&gt;0,((IF(OR(D2255="RA",D2255="OA",D2255="OT",D2255="UN",D2255="PC"),EXP(VLOOKUP(D2255,'Species Codes'!B:O,14,0)+VLOOKUP(D2255,'Species Codes'!B:P,15,0)*LN((E2255*2.54)))-EXP(VLOOKUP(D2255,'Species Codes'!B:O,14,0)+VLOOKUP(D2255,'Species Codes'!B:P,15,0)*LN((E2255*2.54)))*(1/(VLOOKUP(D2255,'Species Codes'!B:Q,16,0)+VLOOKUP(D2255,'Species Codes'!B:R,17,0)*((E2255*2.54)^VLOOKUP(D2255,'Species Codes'!B:S,18,0)))),IF(OR(D2255="BM",D2255="MD",D2255="OA"),EXP(VLOOKUP(D2255,'Species Codes'!B:O,14,0)+VLOOKUP(D2255,'Species Codes'!B:P,15,0)*LN((E2255*2.54)))*(1-(1/(VLOOKUP(D2255,'Species Codes'!B:Q,16,0)+VLOOKUP(D2255,'Species Codes'!B:R,17,0)*((E2255*2.54)^VLOOKUP(D2255,'Species Codes'!B:S,18,0)))))/1000,IF(D2255="DF",EXP(VLOOKUP(D2255,'Species Codes'!B:O,14,0)+VLOOKUP(D2255,'Species Codes'!B:P,15,0)*LN((E2255*2.54))),VLOOKUP(D2255,'Species Codes'!B:O,14,0)+VLOOKUP(D2255,'Species Codes'!B:P,15,0)*(((E2255*2.54)/100)^2)*(I2255*0.3048)))))*0.0011023),0)</f>
        <v>#N/A</v>
      </c>
      <c r="AD2255" s="104" t="e">
        <f t="shared" si="976"/>
        <v>#N/A</v>
      </c>
      <c r="AE2255" s="104" t="e">
        <f t="shared" si="977"/>
        <v>#N/A</v>
      </c>
      <c r="AF2255" s="104" t="e">
        <f>IF(AND(VLOOKUP($D2255,Merchantability!$B:$C,2,0)="Yes",$E2255&gt;=VLOOKUP($D2255,Merchantability!$B:$D,3,0),$E2255&lt;=VLOOKUP($D2255,Merchantability!$B:$E,4,0)),AA2255,0)</f>
        <v>#N/A</v>
      </c>
      <c r="AG2255" s="104" t="e">
        <f>IF(AND(VLOOKUP($D2255,Merchantability!$B:$C,2,0)="Yes",$E2255&gt;=VLOOKUP($D2255,Merchantability!$B:$D,3,0),$E2255&lt;=VLOOKUP($D2255,Merchantability!$B:$E,4,0)),AB2255,0)</f>
        <v>#N/A</v>
      </c>
      <c r="AH2255" s="104" t="e">
        <f>IF(AND(VLOOKUP($D2255,Merchantability!$B:$C,2,0)="Yes",$E2255&gt;=VLOOKUP($D2255,Merchantability!$B:$D,3,0),$E2255&lt;=VLOOKUP($D2255,Merchantability!$B:$E,4,0)),AC2255,0)</f>
        <v>#N/A</v>
      </c>
      <c r="AI2255" s="104" t="e">
        <f t="shared" si="978"/>
        <v>#N/A</v>
      </c>
      <c r="AJ2255" s="104" t="e">
        <f t="shared" si="979"/>
        <v>#VALUE!</v>
      </c>
      <c r="AK2255" s="104" t="e">
        <f t="shared" si="980"/>
        <v>#N/A</v>
      </c>
      <c r="AL2255" s="104" t="e">
        <f t="shared" si="981"/>
        <v>#N/A</v>
      </c>
      <c r="AM2255" s="104" t="e">
        <f t="shared" si="982"/>
        <v>#N/A</v>
      </c>
      <c r="AN2255" s="104" t="e">
        <f t="shared" si="993"/>
        <v>#N/A</v>
      </c>
      <c r="AO2255" s="104" t="e">
        <f t="shared" si="994"/>
        <v>#N/A</v>
      </c>
      <c r="AP2255" s="104" t="e">
        <f t="shared" si="995"/>
        <v>#N/A</v>
      </c>
      <c r="AQ2255" s="104" t="e">
        <f t="shared" si="996"/>
        <v>#N/A</v>
      </c>
      <c r="AR2255" s="105" t="str">
        <f t="shared" si="988"/>
        <v/>
      </c>
      <c r="AS2255" s="105" t="str">
        <f t="shared" si="989"/>
        <v/>
      </c>
      <c r="AT2255" s="108" t="str">
        <f t="shared" si="990"/>
        <v/>
      </c>
      <c r="AU2255" s="108" t="str">
        <f t="shared" si="991"/>
        <v/>
      </c>
      <c r="AV2255" s="107" t="str">
        <f>IF(ISNUMBER(O2255),IF(VLOOKUP($A2255,Stand!C:J,8,FALSE)="Short",AT2255,AU2255),"")</f>
        <v/>
      </c>
      <c r="AW2255" s="109" t="str">
        <f t="shared" si="997"/>
        <v/>
      </c>
      <c r="AX2255" s="109" t="str">
        <f t="shared" si="998"/>
        <v/>
      </c>
      <c r="AY2255" s="112" t="str">
        <f>IF(ISNUMBER(O2255),IF(AND(VLOOKUP($D2255,Merchantability!$B:$C,2,0)="Yes",$E2255&gt;=VLOOKUP($D2255,Merchantability!$B:$D,3,0),$E2255&lt;=VLOOKUP($D2255,Merchantability!$B:$E,4,0)),(AV2255*O2255)*(1-$H2255/100),""),"")</f>
        <v/>
      </c>
      <c r="AZ2255" s="116"/>
      <c r="BA2255" s="116"/>
      <c r="BB2255" s="116"/>
      <c r="BE2255" s="62"/>
      <c r="BF2255" s="63"/>
    </row>
    <row r="2256" spans="1:58" ht="12.75" customHeight="1" x14ac:dyDescent="0.25">
      <c r="A2256" s="334"/>
      <c r="B2256" s="334"/>
      <c r="C2256" s="332"/>
      <c r="D2256" s="334"/>
      <c r="E2256" s="335"/>
      <c r="F2256" s="334"/>
      <c r="G2256" s="332"/>
      <c r="H2256" s="332"/>
      <c r="I2256" s="334"/>
      <c r="J2256" s="336"/>
      <c r="K2256" s="332"/>
      <c r="L2256" s="332"/>
      <c r="M2256" s="76"/>
      <c r="N2256" s="103" t="str">
        <f>IF(A2256="","",VLOOKUP(A2256,Stand!C:K,9,0))</f>
        <v/>
      </c>
      <c r="O2256" s="104" t="str">
        <f t="shared" si="983"/>
        <v/>
      </c>
      <c r="P2256" s="105" t="str">
        <f t="shared" si="984"/>
        <v/>
      </c>
      <c r="Q2256" s="105" t="str">
        <f t="shared" si="972"/>
        <v/>
      </c>
      <c r="R2256" s="103" t="str">
        <f t="shared" si="985"/>
        <v/>
      </c>
      <c r="S2256" s="103" t="str">
        <f t="shared" si="986"/>
        <v/>
      </c>
      <c r="T2256" s="106" t="str">
        <f t="shared" si="973"/>
        <v/>
      </c>
      <c r="U2256" s="106" t="str">
        <f t="shared" si="974"/>
        <v/>
      </c>
      <c r="V2256" s="106" t="str">
        <f t="shared" si="975"/>
        <v/>
      </c>
      <c r="W2256" s="105" t="str">
        <f t="shared" si="987"/>
        <v/>
      </c>
      <c r="X2256" s="104" t="str">
        <f t="shared" si="992"/>
        <v/>
      </c>
      <c r="Y2256" s="104" t="str">
        <f t="array" ref="Y2256">IFERROR(IF(ISNUMBER(O2256),IF(COUNT(IF(A2256=$A$2:$A$2427,IF(D2256=$D$2:$D$2427,IF($X$2:$X$2427&gt;0,1))))&gt;0,SUM(IF(A2256=$A$2:$A$2427,IF(D2256=$D$2:$D$2427,$X$2:$X$2427)))/COUNT(IF(A2256=$A$2:$A$2427,IF(D2256=$D$2:$D$2427,IF(ISNUMBER($X$2:$X$2427),1)))),0),""),0)</f>
        <v/>
      </c>
      <c r="Z2256" s="104" t="str">
        <f>IF(ISNUMBER(O2256),IF(I2256&gt;0,(10^(VLOOKUP(D2256,'Species Codes'!B:C,2,0)+VLOOKUP(D2256,'Species Codes'!B:D,3,0)*LOG(E2256)+VLOOKUP(D2256,'Species Codes'!B:E,4,0)*LOG(I2256))),0),"")</f>
        <v/>
      </c>
      <c r="AA2256" s="104" t="str">
        <f>IFERROR((VLOOKUP(D2256,'Species Codes'!B:G,6,0)*Z2256)/2000,"")</f>
        <v/>
      </c>
      <c r="AB2256" s="104" t="e">
        <f>IF(Z2256&gt;0,((IF(OR(D2256="DF",D2256="RA")=TRUE,EXP(VLOOKUP(D2256,'Species Codes'!B:I,8,0)+VLOOKUP(D2256,'Species Codes'!B:J,9,0)*(LN((E2256*2.54)))),IF(OR(D2256="PY",D2256="RC",D2256="WH",D2256="NF")=TRUE,VLOOKUP(D2256,'Species Codes'!B:I,8,0)+VLOOKUP(D2256,'Species Codes'!B:J,9,0)*((E2256*2.54)^2)*(I2256*0.3048),IF(OR(D2256="MD",D2256="BM",D2256="GA")=TRUE,((VLOOKUP(D2256,'Species Codes'!B:I,8,0)*(((((E2256*2.54)+VLOOKUP(D2256,'Species Codes'!B:J,9,0))/VLOOKUP(D2256,'Species Codes'!B:K,10,0))^VLOOKUP(D2256,'Species Codes'!B:L,11,0))*((I2256*0.3048)^VLOOKUP(D2256,'Species Codes'!B:M,12,0))))-(VLOOKUP(D2256,'Species Codes'!B:I,8,0)*((((E2256*2.54)^VLOOKUP(D2256,'Species Codes'!B:L,11,0))*((I2256*0.3048)^VLOOKUP(D2256,'Species Codes'!B:M,12,0))))))*35.3*VLOOKUP(D2256,'Species Codes'!B:G,6,0)/2.2046,VLOOKUP(D2256,'Species Codes'!B:I,8,0)+VLOOKUP(D2256,'Species Codes'!B:J,9,0)*(((E2256*2.54)/100)^2)*(I2256*0.3048)))))*0.0011023),0)</f>
        <v>#N/A</v>
      </c>
      <c r="AC2256" s="104" t="e">
        <f>IF(Z2256&gt;0,((IF(OR(D2256="RA",D2256="OA",D2256="OT",D2256="UN",D2256="PC"),EXP(VLOOKUP(D2256,'Species Codes'!B:O,14,0)+VLOOKUP(D2256,'Species Codes'!B:P,15,0)*LN((E2256*2.54)))-EXP(VLOOKUP(D2256,'Species Codes'!B:O,14,0)+VLOOKUP(D2256,'Species Codes'!B:P,15,0)*LN((E2256*2.54)))*(1/(VLOOKUP(D2256,'Species Codes'!B:Q,16,0)+VLOOKUP(D2256,'Species Codes'!B:R,17,0)*((E2256*2.54)^VLOOKUP(D2256,'Species Codes'!B:S,18,0)))),IF(OR(D2256="BM",D2256="MD",D2256="OA"),EXP(VLOOKUP(D2256,'Species Codes'!B:O,14,0)+VLOOKUP(D2256,'Species Codes'!B:P,15,0)*LN((E2256*2.54)))*(1-(1/(VLOOKUP(D2256,'Species Codes'!B:Q,16,0)+VLOOKUP(D2256,'Species Codes'!B:R,17,0)*((E2256*2.54)^VLOOKUP(D2256,'Species Codes'!B:S,18,0)))))/1000,IF(D2256="DF",EXP(VLOOKUP(D2256,'Species Codes'!B:O,14,0)+VLOOKUP(D2256,'Species Codes'!B:P,15,0)*LN((E2256*2.54))),VLOOKUP(D2256,'Species Codes'!B:O,14,0)+VLOOKUP(D2256,'Species Codes'!B:P,15,0)*(((E2256*2.54)/100)^2)*(I2256*0.3048)))))*0.0011023),0)</f>
        <v>#N/A</v>
      </c>
      <c r="AD2256" s="104" t="e">
        <f t="shared" si="976"/>
        <v>#N/A</v>
      </c>
      <c r="AE2256" s="104" t="e">
        <f t="shared" si="977"/>
        <v>#N/A</v>
      </c>
      <c r="AF2256" s="104" t="e">
        <f>IF(AND(VLOOKUP($D2256,Merchantability!$B:$C,2,0)="Yes",$E2256&gt;=VLOOKUP($D2256,Merchantability!$B:$D,3,0),$E2256&lt;=VLOOKUP($D2256,Merchantability!$B:$E,4,0)),AA2256,0)</f>
        <v>#N/A</v>
      </c>
      <c r="AG2256" s="104" t="e">
        <f>IF(AND(VLOOKUP($D2256,Merchantability!$B:$C,2,0)="Yes",$E2256&gt;=VLOOKUP($D2256,Merchantability!$B:$D,3,0),$E2256&lt;=VLOOKUP($D2256,Merchantability!$B:$E,4,0)),AB2256,0)</f>
        <v>#N/A</v>
      </c>
      <c r="AH2256" s="104" t="e">
        <f>IF(AND(VLOOKUP($D2256,Merchantability!$B:$C,2,0)="Yes",$E2256&gt;=VLOOKUP($D2256,Merchantability!$B:$D,3,0),$E2256&lt;=VLOOKUP($D2256,Merchantability!$B:$E,4,0)),AC2256,0)</f>
        <v>#N/A</v>
      </c>
      <c r="AI2256" s="104" t="e">
        <f t="shared" si="978"/>
        <v>#N/A</v>
      </c>
      <c r="AJ2256" s="104" t="e">
        <f t="shared" si="979"/>
        <v>#VALUE!</v>
      </c>
      <c r="AK2256" s="104" t="e">
        <f t="shared" si="980"/>
        <v>#N/A</v>
      </c>
      <c r="AL2256" s="104" t="e">
        <f t="shared" si="981"/>
        <v>#N/A</v>
      </c>
      <c r="AM2256" s="104" t="e">
        <f t="shared" si="982"/>
        <v>#N/A</v>
      </c>
      <c r="AN2256" s="104" t="e">
        <f t="shared" si="993"/>
        <v>#N/A</v>
      </c>
      <c r="AO2256" s="104" t="e">
        <f t="shared" si="994"/>
        <v>#N/A</v>
      </c>
      <c r="AP2256" s="104" t="e">
        <f t="shared" si="995"/>
        <v>#N/A</v>
      </c>
      <c r="AQ2256" s="104" t="e">
        <f t="shared" si="996"/>
        <v>#N/A</v>
      </c>
      <c r="AR2256" s="105" t="str">
        <f t="shared" si="988"/>
        <v/>
      </c>
      <c r="AS2256" s="105" t="str">
        <f t="shared" si="989"/>
        <v/>
      </c>
      <c r="AT2256" s="108" t="str">
        <f t="shared" si="990"/>
        <v/>
      </c>
      <c r="AU2256" s="108" t="str">
        <f t="shared" si="991"/>
        <v/>
      </c>
      <c r="AV2256" s="107" t="str">
        <f>IF(ISNUMBER(O2256),IF(VLOOKUP($A2256,Stand!C:J,8,FALSE)="Short",AT2256,AU2256),"")</f>
        <v/>
      </c>
      <c r="AW2256" s="109" t="str">
        <f t="shared" si="997"/>
        <v/>
      </c>
      <c r="AX2256" s="109" t="str">
        <f t="shared" si="998"/>
        <v/>
      </c>
      <c r="AY2256" s="112" t="str">
        <f>IF(ISNUMBER(O2256),IF(AND(VLOOKUP($D2256,Merchantability!$B:$C,2,0)="Yes",$E2256&gt;=VLOOKUP($D2256,Merchantability!$B:$D,3,0),$E2256&lt;=VLOOKUP($D2256,Merchantability!$B:$E,4,0)),(AV2256*O2256)*(1-$H2256/100),""),"")</f>
        <v/>
      </c>
      <c r="AZ2256" s="116"/>
      <c r="BA2256" s="116"/>
      <c r="BB2256" s="116"/>
      <c r="BE2256" s="62"/>
      <c r="BF2256" s="63"/>
    </row>
    <row r="2257" spans="1:58" ht="12.75" customHeight="1" x14ac:dyDescent="0.25">
      <c r="A2257" s="334"/>
      <c r="B2257" s="334"/>
      <c r="C2257" s="332"/>
      <c r="D2257" s="334"/>
      <c r="E2257" s="335"/>
      <c r="F2257" s="334"/>
      <c r="G2257" s="332"/>
      <c r="H2257" s="332"/>
      <c r="I2257" s="334"/>
      <c r="J2257" s="336"/>
      <c r="K2257" s="332"/>
      <c r="L2257" s="332"/>
      <c r="M2257" s="76"/>
      <c r="N2257" s="103" t="str">
        <f>IF(A2257="","",VLOOKUP(A2257,Stand!C:K,9,0))</f>
        <v/>
      </c>
      <c r="O2257" s="104" t="str">
        <f t="shared" si="983"/>
        <v/>
      </c>
      <c r="P2257" s="105" t="str">
        <f t="shared" si="984"/>
        <v/>
      </c>
      <c r="Q2257" s="105" t="str">
        <f t="shared" si="972"/>
        <v/>
      </c>
      <c r="R2257" s="103" t="str">
        <f t="shared" si="985"/>
        <v/>
      </c>
      <c r="S2257" s="103" t="str">
        <f t="shared" si="986"/>
        <v/>
      </c>
      <c r="T2257" s="106" t="str">
        <f t="shared" si="973"/>
        <v/>
      </c>
      <c r="U2257" s="106" t="str">
        <f t="shared" si="974"/>
        <v/>
      </c>
      <c r="V2257" s="106" t="str">
        <f t="shared" si="975"/>
        <v/>
      </c>
      <c r="W2257" s="105" t="str">
        <f t="shared" si="987"/>
        <v/>
      </c>
      <c r="X2257" s="104" t="str">
        <f t="shared" si="992"/>
        <v/>
      </c>
      <c r="Y2257" s="104" t="str">
        <f t="array" ref="Y2257">IFERROR(IF(ISNUMBER(O2257),IF(COUNT(IF(A2257=$A$2:$A$2427,IF(D2257=$D$2:$D$2427,IF($X$2:$X$2427&gt;0,1))))&gt;0,SUM(IF(A2257=$A$2:$A$2427,IF(D2257=$D$2:$D$2427,$X$2:$X$2427)))/COUNT(IF(A2257=$A$2:$A$2427,IF(D2257=$D$2:$D$2427,IF(ISNUMBER($X$2:$X$2427),1)))),0),""),0)</f>
        <v/>
      </c>
      <c r="Z2257" s="104" t="str">
        <f>IF(ISNUMBER(O2257),IF(I2257&gt;0,(10^(VLOOKUP(D2257,'Species Codes'!B:C,2,0)+VLOOKUP(D2257,'Species Codes'!B:D,3,0)*LOG(E2257)+VLOOKUP(D2257,'Species Codes'!B:E,4,0)*LOG(I2257))),0),"")</f>
        <v/>
      </c>
      <c r="AA2257" s="104" t="str">
        <f>IFERROR((VLOOKUP(D2257,'Species Codes'!B:G,6,0)*Z2257)/2000,"")</f>
        <v/>
      </c>
      <c r="AB2257" s="104" t="e">
        <f>IF(Z2257&gt;0,((IF(OR(D2257="DF",D2257="RA")=TRUE,EXP(VLOOKUP(D2257,'Species Codes'!B:I,8,0)+VLOOKUP(D2257,'Species Codes'!B:J,9,0)*(LN((E2257*2.54)))),IF(OR(D2257="PY",D2257="RC",D2257="WH",D2257="NF")=TRUE,VLOOKUP(D2257,'Species Codes'!B:I,8,0)+VLOOKUP(D2257,'Species Codes'!B:J,9,0)*((E2257*2.54)^2)*(I2257*0.3048),IF(OR(D2257="MD",D2257="BM",D2257="GA")=TRUE,((VLOOKUP(D2257,'Species Codes'!B:I,8,0)*(((((E2257*2.54)+VLOOKUP(D2257,'Species Codes'!B:J,9,0))/VLOOKUP(D2257,'Species Codes'!B:K,10,0))^VLOOKUP(D2257,'Species Codes'!B:L,11,0))*((I2257*0.3048)^VLOOKUP(D2257,'Species Codes'!B:M,12,0))))-(VLOOKUP(D2257,'Species Codes'!B:I,8,0)*((((E2257*2.54)^VLOOKUP(D2257,'Species Codes'!B:L,11,0))*((I2257*0.3048)^VLOOKUP(D2257,'Species Codes'!B:M,12,0))))))*35.3*VLOOKUP(D2257,'Species Codes'!B:G,6,0)/2.2046,VLOOKUP(D2257,'Species Codes'!B:I,8,0)+VLOOKUP(D2257,'Species Codes'!B:J,9,0)*(((E2257*2.54)/100)^2)*(I2257*0.3048)))))*0.0011023),0)</f>
        <v>#N/A</v>
      </c>
      <c r="AC2257" s="104" t="e">
        <f>IF(Z2257&gt;0,((IF(OR(D2257="RA",D2257="OA",D2257="OT",D2257="UN",D2257="PC"),EXP(VLOOKUP(D2257,'Species Codes'!B:O,14,0)+VLOOKUP(D2257,'Species Codes'!B:P,15,0)*LN((E2257*2.54)))-EXP(VLOOKUP(D2257,'Species Codes'!B:O,14,0)+VLOOKUP(D2257,'Species Codes'!B:P,15,0)*LN((E2257*2.54)))*(1/(VLOOKUP(D2257,'Species Codes'!B:Q,16,0)+VLOOKUP(D2257,'Species Codes'!B:R,17,0)*((E2257*2.54)^VLOOKUP(D2257,'Species Codes'!B:S,18,0)))),IF(OR(D2257="BM",D2257="MD",D2257="OA"),EXP(VLOOKUP(D2257,'Species Codes'!B:O,14,0)+VLOOKUP(D2257,'Species Codes'!B:P,15,0)*LN((E2257*2.54)))*(1-(1/(VLOOKUP(D2257,'Species Codes'!B:Q,16,0)+VLOOKUP(D2257,'Species Codes'!B:R,17,0)*((E2257*2.54)^VLOOKUP(D2257,'Species Codes'!B:S,18,0)))))/1000,IF(D2257="DF",EXP(VLOOKUP(D2257,'Species Codes'!B:O,14,0)+VLOOKUP(D2257,'Species Codes'!B:P,15,0)*LN((E2257*2.54))),VLOOKUP(D2257,'Species Codes'!B:O,14,0)+VLOOKUP(D2257,'Species Codes'!B:P,15,0)*(((E2257*2.54)/100)^2)*(I2257*0.3048)))))*0.0011023),0)</f>
        <v>#N/A</v>
      </c>
      <c r="AD2257" s="104" t="e">
        <f t="shared" si="976"/>
        <v>#N/A</v>
      </c>
      <c r="AE2257" s="104" t="e">
        <f t="shared" si="977"/>
        <v>#N/A</v>
      </c>
      <c r="AF2257" s="104" t="e">
        <f>IF(AND(VLOOKUP($D2257,Merchantability!$B:$C,2,0)="Yes",$E2257&gt;=VLOOKUP($D2257,Merchantability!$B:$D,3,0),$E2257&lt;=VLOOKUP($D2257,Merchantability!$B:$E,4,0)),AA2257,0)</f>
        <v>#N/A</v>
      </c>
      <c r="AG2257" s="104" t="e">
        <f>IF(AND(VLOOKUP($D2257,Merchantability!$B:$C,2,0)="Yes",$E2257&gt;=VLOOKUP($D2257,Merchantability!$B:$D,3,0),$E2257&lt;=VLOOKUP($D2257,Merchantability!$B:$E,4,0)),AB2257,0)</f>
        <v>#N/A</v>
      </c>
      <c r="AH2257" s="104" t="e">
        <f>IF(AND(VLOOKUP($D2257,Merchantability!$B:$C,2,0)="Yes",$E2257&gt;=VLOOKUP($D2257,Merchantability!$B:$D,3,0),$E2257&lt;=VLOOKUP($D2257,Merchantability!$B:$E,4,0)),AC2257,0)</f>
        <v>#N/A</v>
      </c>
      <c r="AI2257" s="104" t="e">
        <f t="shared" si="978"/>
        <v>#N/A</v>
      </c>
      <c r="AJ2257" s="104" t="e">
        <f t="shared" si="979"/>
        <v>#VALUE!</v>
      </c>
      <c r="AK2257" s="104" t="e">
        <f t="shared" si="980"/>
        <v>#N/A</v>
      </c>
      <c r="AL2257" s="104" t="e">
        <f t="shared" si="981"/>
        <v>#N/A</v>
      </c>
      <c r="AM2257" s="104" t="e">
        <f t="shared" si="982"/>
        <v>#N/A</v>
      </c>
      <c r="AN2257" s="104" t="e">
        <f t="shared" si="993"/>
        <v>#N/A</v>
      </c>
      <c r="AO2257" s="104" t="e">
        <f t="shared" si="994"/>
        <v>#N/A</v>
      </c>
      <c r="AP2257" s="104" t="e">
        <f t="shared" si="995"/>
        <v>#N/A</v>
      </c>
      <c r="AQ2257" s="104" t="e">
        <f t="shared" si="996"/>
        <v>#N/A</v>
      </c>
      <c r="AR2257" s="105" t="str">
        <f t="shared" si="988"/>
        <v/>
      </c>
      <c r="AS2257" s="105" t="str">
        <f t="shared" si="989"/>
        <v/>
      </c>
      <c r="AT2257" s="108" t="str">
        <f t="shared" si="990"/>
        <v/>
      </c>
      <c r="AU2257" s="108" t="str">
        <f t="shared" si="991"/>
        <v/>
      </c>
      <c r="AV2257" s="107" t="str">
        <f>IF(ISNUMBER(O2257),IF(VLOOKUP($A2257,Stand!C:J,8,FALSE)="Short",AT2257,AU2257),"")</f>
        <v/>
      </c>
      <c r="AW2257" s="109" t="str">
        <f t="shared" si="997"/>
        <v/>
      </c>
      <c r="AX2257" s="109" t="str">
        <f t="shared" si="998"/>
        <v/>
      </c>
      <c r="AY2257" s="112" t="str">
        <f>IF(ISNUMBER(O2257),IF(AND(VLOOKUP($D2257,Merchantability!$B:$C,2,0)="Yes",$E2257&gt;=VLOOKUP($D2257,Merchantability!$B:$D,3,0),$E2257&lt;=VLOOKUP($D2257,Merchantability!$B:$E,4,0)),(AV2257*O2257)*(1-$H2257/100),""),"")</f>
        <v/>
      </c>
      <c r="AZ2257" s="116"/>
      <c r="BA2257" s="116"/>
      <c r="BB2257" s="116"/>
      <c r="BE2257" s="62"/>
      <c r="BF2257" s="63"/>
    </row>
    <row r="2258" spans="1:58" ht="12.75" customHeight="1" x14ac:dyDescent="0.25">
      <c r="A2258" s="334"/>
      <c r="B2258" s="334"/>
      <c r="C2258" s="332"/>
      <c r="D2258" s="334"/>
      <c r="E2258" s="335"/>
      <c r="F2258" s="334"/>
      <c r="G2258" s="332"/>
      <c r="H2258" s="332"/>
      <c r="I2258" s="334"/>
      <c r="J2258" s="336"/>
      <c r="K2258" s="332"/>
      <c r="L2258" s="332"/>
      <c r="M2258" s="76"/>
      <c r="N2258" s="103" t="str">
        <f>IF(A2258="","",VLOOKUP(A2258,Stand!C:K,9,0))</f>
        <v/>
      </c>
      <c r="O2258" s="104" t="str">
        <f t="shared" si="983"/>
        <v/>
      </c>
      <c r="P2258" s="105" t="str">
        <f t="shared" si="984"/>
        <v/>
      </c>
      <c r="Q2258" s="105" t="str">
        <f t="shared" si="972"/>
        <v/>
      </c>
      <c r="R2258" s="103" t="str">
        <f t="shared" si="985"/>
        <v/>
      </c>
      <c r="S2258" s="103" t="str">
        <f t="shared" si="986"/>
        <v/>
      </c>
      <c r="T2258" s="106" t="str">
        <f t="shared" si="973"/>
        <v/>
      </c>
      <c r="U2258" s="106" t="str">
        <f t="shared" si="974"/>
        <v/>
      </c>
      <c r="V2258" s="106" t="str">
        <f t="shared" si="975"/>
        <v/>
      </c>
      <c r="W2258" s="105" t="str">
        <f t="shared" si="987"/>
        <v/>
      </c>
      <c r="X2258" s="104" t="str">
        <f t="shared" si="992"/>
        <v/>
      </c>
      <c r="Y2258" s="104" t="str">
        <f t="array" ref="Y2258">IFERROR(IF(ISNUMBER(O2258),IF(COUNT(IF(A2258=$A$2:$A$2427,IF(D2258=$D$2:$D$2427,IF($X$2:$X$2427&gt;0,1))))&gt;0,SUM(IF(A2258=$A$2:$A$2427,IF(D2258=$D$2:$D$2427,$X$2:$X$2427)))/COUNT(IF(A2258=$A$2:$A$2427,IF(D2258=$D$2:$D$2427,IF(ISNUMBER($X$2:$X$2427),1)))),0),""),0)</f>
        <v/>
      </c>
      <c r="Z2258" s="104" t="str">
        <f>IF(ISNUMBER(O2258),IF(I2258&gt;0,(10^(VLOOKUP(D2258,'Species Codes'!B:C,2,0)+VLOOKUP(D2258,'Species Codes'!B:D,3,0)*LOG(E2258)+VLOOKUP(D2258,'Species Codes'!B:E,4,0)*LOG(I2258))),0),"")</f>
        <v/>
      </c>
      <c r="AA2258" s="104" t="str">
        <f>IFERROR((VLOOKUP(D2258,'Species Codes'!B:G,6,0)*Z2258)/2000,"")</f>
        <v/>
      </c>
      <c r="AB2258" s="104" t="e">
        <f>IF(Z2258&gt;0,((IF(OR(D2258="DF",D2258="RA")=TRUE,EXP(VLOOKUP(D2258,'Species Codes'!B:I,8,0)+VLOOKUP(D2258,'Species Codes'!B:J,9,0)*(LN((E2258*2.54)))),IF(OR(D2258="PY",D2258="RC",D2258="WH",D2258="NF")=TRUE,VLOOKUP(D2258,'Species Codes'!B:I,8,0)+VLOOKUP(D2258,'Species Codes'!B:J,9,0)*((E2258*2.54)^2)*(I2258*0.3048),IF(OR(D2258="MD",D2258="BM",D2258="GA")=TRUE,((VLOOKUP(D2258,'Species Codes'!B:I,8,0)*(((((E2258*2.54)+VLOOKUP(D2258,'Species Codes'!B:J,9,0))/VLOOKUP(D2258,'Species Codes'!B:K,10,0))^VLOOKUP(D2258,'Species Codes'!B:L,11,0))*((I2258*0.3048)^VLOOKUP(D2258,'Species Codes'!B:M,12,0))))-(VLOOKUP(D2258,'Species Codes'!B:I,8,0)*((((E2258*2.54)^VLOOKUP(D2258,'Species Codes'!B:L,11,0))*((I2258*0.3048)^VLOOKUP(D2258,'Species Codes'!B:M,12,0))))))*35.3*VLOOKUP(D2258,'Species Codes'!B:G,6,0)/2.2046,VLOOKUP(D2258,'Species Codes'!B:I,8,0)+VLOOKUP(D2258,'Species Codes'!B:J,9,0)*(((E2258*2.54)/100)^2)*(I2258*0.3048)))))*0.0011023),0)</f>
        <v>#N/A</v>
      </c>
      <c r="AC2258" s="104" t="e">
        <f>IF(Z2258&gt;0,((IF(OR(D2258="RA",D2258="OA",D2258="OT",D2258="UN",D2258="PC"),EXP(VLOOKUP(D2258,'Species Codes'!B:O,14,0)+VLOOKUP(D2258,'Species Codes'!B:P,15,0)*LN((E2258*2.54)))-EXP(VLOOKUP(D2258,'Species Codes'!B:O,14,0)+VLOOKUP(D2258,'Species Codes'!B:P,15,0)*LN((E2258*2.54)))*(1/(VLOOKUP(D2258,'Species Codes'!B:Q,16,0)+VLOOKUP(D2258,'Species Codes'!B:R,17,0)*((E2258*2.54)^VLOOKUP(D2258,'Species Codes'!B:S,18,0)))),IF(OR(D2258="BM",D2258="MD",D2258="OA"),EXP(VLOOKUP(D2258,'Species Codes'!B:O,14,0)+VLOOKUP(D2258,'Species Codes'!B:P,15,0)*LN((E2258*2.54)))*(1-(1/(VLOOKUP(D2258,'Species Codes'!B:Q,16,0)+VLOOKUP(D2258,'Species Codes'!B:R,17,0)*((E2258*2.54)^VLOOKUP(D2258,'Species Codes'!B:S,18,0)))))/1000,IF(D2258="DF",EXP(VLOOKUP(D2258,'Species Codes'!B:O,14,0)+VLOOKUP(D2258,'Species Codes'!B:P,15,0)*LN((E2258*2.54))),VLOOKUP(D2258,'Species Codes'!B:O,14,0)+VLOOKUP(D2258,'Species Codes'!B:P,15,0)*(((E2258*2.54)/100)^2)*(I2258*0.3048)))))*0.0011023),0)</f>
        <v>#N/A</v>
      </c>
      <c r="AD2258" s="104" t="e">
        <f t="shared" si="976"/>
        <v>#N/A</v>
      </c>
      <c r="AE2258" s="104" t="e">
        <f t="shared" si="977"/>
        <v>#N/A</v>
      </c>
      <c r="AF2258" s="104" t="e">
        <f>IF(AND(VLOOKUP($D2258,Merchantability!$B:$C,2,0)="Yes",$E2258&gt;=VLOOKUP($D2258,Merchantability!$B:$D,3,0),$E2258&lt;=VLOOKUP($D2258,Merchantability!$B:$E,4,0)),AA2258,0)</f>
        <v>#N/A</v>
      </c>
      <c r="AG2258" s="104" t="e">
        <f>IF(AND(VLOOKUP($D2258,Merchantability!$B:$C,2,0)="Yes",$E2258&gt;=VLOOKUP($D2258,Merchantability!$B:$D,3,0),$E2258&lt;=VLOOKUP($D2258,Merchantability!$B:$E,4,0)),AB2258,0)</f>
        <v>#N/A</v>
      </c>
      <c r="AH2258" s="104" t="e">
        <f>IF(AND(VLOOKUP($D2258,Merchantability!$B:$C,2,0)="Yes",$E2258&gt;=VLOOKUP($D2258,Merchantability!$B:$D,3,0),$E2258&lt;=VLOOKUP($D2258,Merchantability!$B:$E,4,0)),AC2258,0)</f>
        <v>#N/A</v>
      </c>
      <c r="AI2258" s="104" t="e">
        <f t="shared" si="978"/>
        <v>#N/A</v>
      </c>
      <c r="AJ2258" s="104" t="e">
        <f t="shared" si="979"/>
        <v>#VALUE!</v>
      </c>
      <c r="AK2258" s="104" t="e">
        <f t="shared" si="980"/>
        <v>#N/A</v>
      </c>
      <c r="AL2258" s="104" t="e">
        <f t="shared" si="981"/>
        <v>#N/A</v>
      </c>
      <c r="AM2258" s="104" t="e">
        <f t="shared" si="982"/>
        <v>#N/A</v>
      </c>
      <c r="AN2258" s="104" t="e">
        <f t="shared" si="993"/>
        <v>#N/A</v>
      </c>
      <c r="AO2258" s="104" t="e">
        <f t="shared" si="994"/>
        <v>#N/A</v>
      </c>
      <c r="AP2258" s="104" t="e">
        <f t="shared" si="995"/>
        <v>#N/A</v>
      </c>
      <c r="AQ2258" s="104" t="e">
        <f t="shared" si="996"/>
        <v>#N/A</v>
      </c>
      <c r="AR2258" s="105" t="str">
        <f t="shared" si="988"/>
        <v/>
      </c>
      <c r="AS2258" s="105" t="str">
        <f t="shared" si="989"/>
        <v/>
      </c>
      <c r="AT2258" s="108" t="str">
        <f t="shared" si="990"/>
        <v/>
      </c>
      <c r="AU2258" s="108" t="str">
        <f t="shared" si="991"/>
        <v/>
      </c>
      <c r="AV2258" s="107" t="str">
        <f>IF(ISNUMBER(O2258),IF(VLOOKUP($A2258,Stand!C:J,8,FALSE)="Short",AT2258,AU2258),"")</f>
        <v/>
      </c>
      <c r="AW2258" s="109" t="str">
        <f t="shared" si="997"/>
        <v/>
      </c>
      <c r="AX2258" s="109" t="str">
        <f t="shared" si="998"/>
        <v/>
      </c>
      <c r="AY2258" s="112" t="str">
        <f>IF(ISNUMBER(O2258),IF(AND(VLOOKUP($D2258,Merchantability!$B:$C,2,0)="Yes",$E2258&gt;=VLOOKUP($D2258,Merchantability!$B:$D,3,0),$E2258&lt;=VLOOKUP($D2258,Merchantability!$B:$E,4,0)),(AV2258*O2258)*(1-$H2258/100),""),"")</f>
        <v/>
      </c>
      <c r="AZ2258" s="116"/>
      <c r="BA2258" s="116"/>
      <c r="BB2258" s="116"/>
      <c r="BE2258" s="62"/>
      <c r="BF2258" s="63"/>
    </row>
    <row r="2259" spans="1:58" ht="12.75" customHeight="1" x14ac:dyDescent="0.25">
      <c r="A2259" s="334"/>
      <c r="B2259" s="334"/>
      <c r="C2259" s="332"/>
      <c r="D2259" s="334"/>
      <c r="E2259" s="335"/>
      <c r="F2259" s="334"/>
      <c r="G2259" s="332"/>
      <c r="H2259" s="332"/>
      <c r="I2259" s="334"/>
      <c r="J2259" s="336"/>
      <c r="K2259" s="332"/>
      <c r="L2259" s="332"/>
      <c r="M2259" s="76"/>
      <c r="N2259" s="103" t="str">
        <f>IF(A2259="","",VLOOKUP(A2259,Stand!C:K,9,0))</f>
        <v/>
      </c>
      <c r="O2259" s="104" t="str">
        <f t="shared" si="983"/>
        <v/>
      </c>
      <c r="P2259" s="105" t="str">
        <f t="shared" si="984"/>
        <v/>
      </c>
      <c r="Q2259" s="105" t="str">
        <f t="shared" si="972"/>
        <v/>
      </c>
      <c r="R2259" s="103" t="str">
        <f t="shared" si="985"/>
        <v/>
      </c>
      <c r="S2259" s="103" t="str">
        <f t="shared" si="986"/>
        <v/>
      </c>
      <c r="T2259" s="106" t="str">
        <f t="shared" si="973"/>
        <v/>
      </c>
      <c r="U2259" s="106" t="str">
        <f t="shared" si="974"/>
        <v/>
      </c>
      <c r="V2259" s="106" t="str">
        <f t="shared" si="975"/>
        <v/>
      </c>
      <c r="W2259" s="105" t="str">
        <f t="shared" si="987"/>
        <v/>
      </c>
      <c r="X2259" s="104" t="str">
        <f t="shared" si="992"/>
        <v/>
      </c>
      <c r="Y2259" s="104" t="str">
        <f t="array" ref="Y2259">IFERROR(IF(ISNUMBER(O2259),IF(COUNT(IF(A2259=$A$2:$A$2427,IF(D2259=$D$2:$D$2427,IF($X$2:$X$2427&gt;0,1))))&gt;0,SUM(IF(A2259=$A$2:$A$2427,IF(D2259=$D$2:$D$2427,$X$2:$X$2427)))/COUNT(IF(A2259=$A$2:$A$2427,IF(D2259=$D$2:$D$2427,IF(ISNUMBER($X$2:$X$2427),1)))),0),""),0)</f>
        <v/>
      </c>
      <c r="Z2259" s="104" t="str">
        <f>IF(ISNUMBER(O2259),IF(I2259&gt;0,(10^(VLOOKUP(D2259,'Species Codes'!B:C,2,0)+VLOOKUP(D2259,'Species Codes'!B:D,3,0)*LOG(E2259)+VLOOKUP(D2259,'Species Codes'!B:E,4,0)*LOG(I2259))),0),"")</f>
        <v/>
      </c>
      <c r="AA2259" s="104" t="str">
        <f>IFERROR((VLOOKUP(D2259,'Species Codes'!B:G,6,0)*Z2259)/2000,"")</f>
        <v/>
      </c>
      <c r="AB2259" s="104" t="e">
        <f>IF(Z2259&gt;0,((IF(OR(D2259="DF",D2259="RA")=TRUE,EXP(VLOOKUP(D2259,'Species Codes'!B:I,8,0)+VLOOKUP(D2259,'Species Codes'!B:J,9,0)*(LN((E2259*2.54)))),IF(OR(D2259="PY",D2259="RC",D2259="WH",D2259="NF")=TRUE,VLOOKUP(D2259,'Species Codes'!B:I,8,0)+VLOOKUP(D2259,'Species Codes'!B:J,9,0)*((E2259*2.54)^2)*(I2259*0.3048),IF(OR(D2259="MD",D2259="BM",D2259="GA")=TRUE,((VLOOKUP(D2259,'Species Codes'!B:I,8,0)*(((((E2259*2.54)+VLOOKUP(D2259,'Species Codes'!B:J,9,0))/VLOOKUP(D2259,'Species Codes'!B:K,10,0))^VLOOKUP(D2259,'Species Codes'!B:L,11,0))*((I2259*0.3048)^VLOOKUP(D2259,'Species Codes'!B:M,12,0))))-(VLOOKUP(D2259,'Species Codes'!B:I,8,0)*((((E2259*2.54)^VLOOKUP(D2259,'Species Codes'!B:L,11,0))*((I2259*0.3048)^VLOOKUP(D2259,'Species Codes'!B:M,12,0))))))*35.3*VLOOKUP(D2259,'Species Codes'!B:G,6,0)/2.2046,VLOOKUP(D2259,'Species Codes'!B:I,8,0)+VLOOKUP(D2259,'Species Codes'!B:J,9,0)*(((E2259*2.54)/100)^2)*(I2259*0.3048)))))*0.0011023),0)</f>
        <v>#N/A</v>
      </c>
      <c r="AC2259" s="104" t="e">
        <f>IF(Z2259&gt;0,((IF(OR(D2259="RA",D2259="OA",D2259="OT",D2259="UN",D2259="PC"),EXP(VLOOKUP(D2259,'Species Codes'!B:O,14,0)+VLOOKUP(D2259,'Species Codes'!B:P,15,0)*LN((E2259*2.54)))-EXP(VLOOKUP(D2259,'Species Codes'!B:O,14,0)+VLOOKUP(D2259,'Species Codes'!B:P,15,0)*LN((E2259*2.54)))*(1/(VLOOKUP(D2259,'Species Codes'!B:Q,16,0)+VLOOKUP(D2259,'Species Codes'!B:R,17,0)*((E2259*2.54)^VLOOKUP(D2259,'Species Codes'!B:S,18,0)))),IF(OR(D2259="BM",D2259="MD",D2259="OA"),EXP(VLOOKUP(D2259,'Species Codes'!B:O,14,0)+VLOOKUP(D2259,'Species Codes'!B:P,15,0)*LN((E2259*2.54)))*(1-(1/(VLOOKUP(D2259,'Species Codes'!B:Q,16,0)+VLOOKUP(D2259,'Species Codes'!B:R,17,0)*((E2259*2.54)^VLOOKUP(D2259,'Species Codes'!B:S,18,0)))))/1000,IF(D2259="DF",EXP(VLOOKUP(D2259,'Species Codes'!B:O,14,0)+VLOOKUP(D2259,'Species Codes'!B:P,15,0)*LN((E2259*2.54))),VLOOKUP(D2259,'Species Codes'!B:O,14,0)+VLOOKUP(D2259,'Species Codes'!B:P,15,0)*(((E2259*2.54)/100)^2)*(I2259*0.3048)))))*0.0011023),0)</f>
        <v>#N/A</v>
      </c>
      <c r="AD2259" s="104" t="e">
        <f t="shared" si="976"/>
        <v>#N/A</v>
      </c>
      <c r="AE2259" s="104" t="e">
        <f t="shared" si="977"/>
        <v>#N/A</v>
      </c>
      <c r="AF2259" s="104" t="e">
        <f>IF(AND(VLOOKUP($D2259,Merchantability!$B:$C,2,0)="Yes",$E2259&gt;=VLOOKUP($D2259,Merchantability!$B:$D,3,0),$E2259&lt;=VLOOKUP($D2259,Merchantability!$B:$E,4,0)),AA2259,0)</f>
        <v>#N/A</v>
      </c>
      <c r="AG2259" s="104" t="e">
        <f>IF(AND(VLOOKUP($D2259,Merchantability!$B:$C,2,0)="Yes",$E2259&gt;=VLOOKUP($D2259,Merchantability!$B:$D,3,0),$E2259&lt;=VLOOKUP($D2259,Merchantability!$B:$E,4,0)),AB2259,0)</f>
        <v>#N/A</v>
      </c>
      <c r="AH2259" s="104" t="e">
        <f>IF(AND(VLOOKUP($D2259,Merchantability!$B:$C,2,0)="Yes",$E2259&gt;=VLOOKUP($D2259,Merchantability!$B:$D,3,0),$E2259&lt;=VLOOKUP($D2259,Merchantability!$B:$E,4,0)),AC2259,0)</f>
        <v>#N/A</v>
      </c>
      <c r="AI2259" s="104" t="e">
        <f t="shared" si="978"/>
        <v>#N/A</v>
      </c>
      <c r="AJ2259" s="104" t="e">
        <f t="shared" si="979"/>
        <v>#VALUE!</v>
      </c>
      <c r="AK2259" s="104" t="e">
        <f t="shared" si="980"/>
        <v>#N/A</v>
      </c>
      <c r="AL2259" s="104" t="e">
        <f t="shared" si="981"/>
        <v>#N/A</v>
      </c>
      <c r="AM2259" s="104" t="e">
        <f t="shared" si="982"/>
        <v>#N/A</v>
      </c>
      <c r="AN2259" s="104" t="e">
        <f t="shared" si="993"/>
        <v>#N/A</v>
      </c>
      <c r="AO2259" s="104" t="e">
        <f t="shared" si="994"/>
        <v>#N/A</v>
      </c>
      <c r="AP2259" s="104" t="e">
        <f t="shared" si="995"/>
        <v>#N/A</v>
      </c>
      <c r="AQ2259" s="104" t="e">
        <f t="shared" si="996"/>
        <v>#N/A</v>
      </c>
      <c r="AR2259" s="105" t="str">
        <f t="shared" si="988"/>
        <v/>
      </c>
      <c r="AS2259" s="105" t="str">
        <f t="shared" si="989"/>
        <v/>
      </c>
      <c r="AT2259" s="108" t="str">
        <f t="shared" si="990"/>
        <v/>
      </c>
      <c r="AU2259" s="108" t="str">
        <f t="shared" si="991"/>
        <v/>
      </c>
      <c r="AV2259" s="107" t="str">
        <f>IF(ISNUMBER(O2259),IF(VLOOKUP($A2259,Stand!C:J,8,FALSE)="Short",AT2259,AU2259),"")</f>
        <v/>
      </c>
      <c r="AW2259" s="109" t="str">
        <f t="shared" si="997"/>
        <v/>
      </c>
      <c r="AX2259" s="109" t="str">
        <f t="shared" si="998"/>
        <v/>
      </c>
      <c r="AY2259" s="112" t="str">
        <f>IF(ISNUMBER(O2259),IF(AND(VLOOKUP($D2259,Merchantability!$B:$C,2,0)="Yes",$E2259&gt;=VLOOKUP($D2259,Merchantability!$B:$D,3,0),$E2259&lt;=VLOOKUP($D2259,Merchantability!$B:$E,4,0)),(AV2259*O2259)*(1-$H2259/100),""),"")</f>
        <v/>
      </c>
      <c r="AZ2259" s="116"/>
      <c r="BA2259" s="116"/>
      <c r="BB2259" s="116"/>
      <c r="BE2259" s="62"/>
      <c r="BF2259" s="63"/>
    </row>
    <row r="2260" spans="1:58" ht="12.75" customHeight="1" x14ac:dyDescent="0.25">
      <c r="A2260" s="334"/>
      <c r="B2260" s="334"/>
      <c r="C2260" s="332"/>
      <c r="D2260" s="334"/>
      <c r="E2260" s="335"/>
      <c r="F2260" s="334"/>
      <c r="G2260" s="332"/>
      <c r="H2260" s="332"/>
      <c r="I2260" s="334"/>
      <c r="J2260" s="336"/>
      <c r="K2260" s="332"/>
      <c r="L2260" s="332"/>
      <c r="M2260" s="76"/>
      <c r="N2260" s="103" t="str">
        <f>IF(A2260="","",VLOOKUP(A2260,Stand!C:K,9,0))</f>
        <v/>
      </c>
      <c r="O2260" s="104" t="str">
        <f t="shared" si="983"/>
        <v/>
      </c>
      <c r="P2260" s="105" t="str">
        <f t="shared" si="984"/>
        <v/>
      </c>
      <c r="Q2260" s="105" t="str">
        <f t="shared" si="972"/>
        <v/>
      </c>
      <c r="R2260" s="103" t="str">
        <f t="shared" si="985"/>
        <v/>
      </c>
      <c r="S2260" s="103" t="str">
        <f t="shared" si="986"/>
        <v/>
      </c>
      <c r="T2260" s="106" t="str">
        <f t="shared" si="973"/>
        <v/>
      </c>
      <c r="U2260" s="106" t="str">
        <f t="shared" si="974"/>
        <v/>
      </c>
      <c r="V2260" s="106" t="str">
        <f t="shared" si="975"/>
        <v/>
      </c>
      <c r="W2260" s="105" t="str">
        <f t="shared" si="987"/>
        <v/>
      </c>
      <c r="X2260" s="104" t="str">
        <f t="shared" si="992"/>
        <v/>
      </c>
      <c r="Y2260" s="104" t="str">
        <f t="array" ref="Y2260">IFERROR(IF(ISNUMBER(O2260),IF(COUNT(IF(A2260=$A$2:$A$2427,IF(D2260=$D$2:$D$2427,IF($X$2:$X$2427&gt;0,1))))&gt;0,SUM(IF(A2260=$A$2:$A$2427,IF(D2260=$D$2:$D$2427,$X$2:$X$2427)))/COUNT(IF(A2260=$A$2:$A$2427,IF(D2260=$D$2:$D$2427,IF(ISNUMBER($X$2:$X$2427),1)))),0),""),0)</f>
        <v/>
      </c>
      <c r="Z2260" s="104" t="str">
        <f>IF(ISNUMBER(O2260),IF(I2260&gt;0,(10^(VLOOKUP(D2260,'Species Codes'!B:C,2,0)+VLOOKUP(D2260,'Species Codes'!B:D,3,0)*LOG(E2260)+VLOOKUP(D2260,'Species Codes'!B:E,4,0)*LOG(I2260))),0),"")</f>
        <v/>
      </c>
      <c r="AA2260" s="104" t="str">
        <f>IFERROR((VLOOKUP(D2260,'Species Codes'!B:G,6,0)*Z2260)/2000,"")</f>
        <v/>
      </c>
      <c r="AB2260" s="104" t="e">
        <f>IF(Z2260&gt;0,((IF(OR(D2260="DF",D2260="RA")=TRUE,EXP(VLOOKUP(D2260,'Species Codes'!B:I,8,0)+VLOOKUP(D2260,'Species Codes'!B:J,9,0)*(LN((E2260*2.54)))),IF(OR(D2260="PY",D2260="RC",D2260="WH",D2260="NF")=TRUE,VLOOKUP(D2260,'Species Codes'!B:I,8,0)+VLOOKUP(D2260,'Species Codes'!B:J,9,0)*((E2260*2.54)^2)*(I2260*0.3048),IF(OR(D2260="MD",D2260="BM",D2260="GA")=TRUE,((VLOOKUP(D2260,'Species Codes'!B:I,8,0)*(((((E2260*2.54)+VLOOKUP(D2260,'Species Codes'!B:J,9,0))/VLOOKUP(D2260,'Species Codes'!B:K,10,0))^VLOOKUP(D2260,'Species Codes'!B:L,11,0))*((I2260*0.3048)^VLOOKUP(D2260,'Species Codes'!B:M,12,0))))-(VLOOKUP(D2260,'Species Codes'!B:I,8,0)*((((E2260*2.54)^VLOOKUP(D2260,'Species Codes'!B:L,11,0))*((I2260*0.3048)^VLOOKUP(D2260,'Species Codes'!B:M,12,0))))))*35.3*VLOOKUP(D2260,'Species Codes'!B:G,6,0)/2.2046,VLOOKUP(D2260,'Species Codes'!B:I,8,0)+VLOOKUP(D2260,'Species Codes'!B:J,9,0)*(((E2260*2.54)/100)^2)*(I2260*0.3048)))))*0.0011023),0)</f>
        <v>#N/A</v>
      </c>
      <c r="AC2260" s="104" t="e">
        <f>IF(Z2260&gt;0,((IF(OR(D2260="RA",D2260="OA",D2260="OT",D2260="UN",D2260="PC"),EXP(VLOOKUP(D2260,'Species Codes'!B:O,14,0)+VLOOKUP(D2260,'Species Codes'!B:P,15,0)*LN((E2260*2.54)))-EXP(VLOOKUP(D2260,'Species Codes'!B:O,14,0)+VLOOKUP(D2260,'Species Codes'!B:P,15,0)*LN((E2260*2.54)))*(1/(VLOOKUP(D2260,'Species Codes'!B:Q,16,0)+VLOOKUP(D2260,'Species Codes'!B:R,17,0)*((E2260*2.54)^VLOOKUP(D2260,'Species Codes'!B:S,18,0)))),IF(OR(D2260="BM",D2260="MD",D2260="OA"),EXP(VLOOKUP(D2260,'Species Codes'!B:O,14,0)+VLOOKUP(D2260,'Species Codes'!B:P,15,0)*LN((E2260*2.54)))*(1-(1/(VLOOKUP(D2260,'Species Codes'!B:Q,16,0)+VLOOKUP(D2260,'Species Codes'!B:R,17,0)*((E2260*2.54)^VLOOKUP(D2260,'Species Codes'!B:S,18,0)))))/1000,IF(D2260="DF",EXP(VLOOKUP(D2260,'Species Codes'!B:O,14,0)+VLOOKUP(D2260,'Species Codes'!B:P,15,0)*LN((E2260*2.54))),VLOOKUP(D2260,'Species Codes'!B:O,14,0)+VLOOKUP(D2260,'Species Codes'!B:P,15,0)*(((E2260*2.54)/100)^2)*(I2260*0.3048)))))*0.0011023),0)</f>
        <v>#N/A</v>
      </c>
      <c r="AD2260" s="104" t="e">
        <f t="shared" si="976"/>
        <v>#N/A</v>
      </c>
      <c r="AE2260" s="104" t="e">
        <f t="shared" si="977"/>
        <v>#N/A</v>
      </c>
      <c r="AF2260" s="104" t="e">
        <f>IF(AND(VLOOKUP($D2260,Merchantability!$B:$C,2,0)="Yes",$E2260&gt;=VLOOKUP($D2260,Merchantability!$B:$D,3,0),$E2260&lt;=VLOOKUP($D2260,Merchantability!$B:$E,4,0)),AA2260,0)</f>
        <v>#N/A</v>
      </c>
      <c r="AG2260" s="104" t="e">
        <f>IF(AND(VLOOKUP($D2260,Merchantability!$B:$C,2,0)="Yes",$E2260&gt;=VLOOKUP($D2260,Merchantability!$B:$D,3,0),$E2260&lt;=VLOOKUP($D2260,Merchantability!$B:$E,4,0)),AB2260,0)</f>
        <v>#N/A</v>
      </c>
      <c r="AH2260" s="104" t="e">
        <f>IF(AND(VLOOKUP($D2260,Merchantability!$B:$C,2,0)="Yes",$E2260&gt;=VLOOKUP($D2260,Merchantability!$B:$D,3,0),$E2260&lt;=VLOOKUP($D2260,Merchantability!$B:$E,4,0)),AC2260,0)</f>
        <v>#N/A</v>
      </c>
      <c r="AI2260" s="104" t="e">
        <f t="shared" si="978"/>
        <v>#N/A</v>
      </c>
      <c r="AJ2260" s="104" t="e">
        <f t="shared" si="979"/>
        <v>#VALUE!</v>
      </c>
      <c r="AK2260" s="104" t="e">
        <f t="shared" si="980"/>
        <v>#N/A</v>
      </c>
      <c r="AL2260" s="104" t="e">
        <f t="shared" si="981"/>
        <v>#N/A</v>
      </c>
      <c r="AM2260" s="104" t="e">
        <f t="shared" si="982"/>
        <v>#N/A</v>
      </c>
      <c r="AN2260" s="104" t="e">
        <f t="shared" si="993"/>
        <v>#N/A</v>
      </c>
      <c r="AO2260" s="104" t="e">
        <f t="shared" si="994"/>
        <v>#N/A</v>
      </c>
      <c r="AP2260" s="104" t="e">
        <f t="shared" si="995"/>
        <v>#N/A</v>
      </c>
      <c r="AQ2260" s="104" t="e">
        <f t="shared" si="996"/>
        <v>#N/A</v>
      </c>
      <c r="AR2260" s="105" t="str">
        <f t="shared" si="988"/>
        <v/>
      </c>
      <c r="AS2260" s="105" t="str">
        <f t="shared" si="989"/>
        <v/>
      </c>
      <c r="AT2260" s="108" t="str">
        <f t="shared" si="990"/>
        <v/>
      </c>
      <c r="AU2260" s="108" t="str">
        <f t="shared" si="991"/>
        <v/>
      </c>
      <c r="AV2260" s="107" t="str">
        <f>IF(ISNUMBER(O2260),IF(VLOOKUP($A2260,Stand!C:J,8,FALSE)="Short",AT2260,AU2260),"")</f>
        <v/>
      </c>
      <c r="AW2260" s="109" t="str">
        <f t="shared" si="997"/>
        <v/>
      </c>
      <c r="AX2260" s="109" t="str">
        <f t="shared" si="998"/>
        <v/>
      </c>
      <c r="AY2260" s="112" t="str">
        <f>IF(ISNUMBER(O2260),IF(AND(VLOOKUP($D2260,Merchantability!$B:$C,2,0)="Yes",$E2260&gt;=VLOOKUP($D2260,Merchantability!$B:$D,3,0),$E2260&lt;=VLOOKUP($D2260,Merchantability!$B:$E,4,0)),(AV2260*O2260)*(1-$H2260/100),""),"")</f>
        <v/>
      </c>
      <c r="AZ2260" s="116"/>
      <c r="BA2260" s="116"/>
      <c r="BB2260" s="116"/>
      <c r="BE2260" s="62"/>
      <c r="BF2260" s="63"/>
    </row>
    <row r="2261" spans="1:58" ht="12.75" customHeight="1" x14ac:dyDescent="0.25">
      <c r="A2261" s="334"/>
      <c r="B2261" s="334"/>
      <c r="C2261" s="332"/>
      <c r="D2261" s="334"/>
      <c r="E2261" s="335"/>
      <c r="F2261" s="334"/>
      <c r="G2261" s="332"/>
      <c r="H2261" s="332"/>
      <c r="I2261" s="334"/>
      <c r="J2261" s="336"/>
      <c r="K2261" s="332"/>
      <c r="L2261" s="332"/>
      <c r="M2261" s="76"/>
      <c r="N2261" s="103" t="str">
        <f>IF(A2261="","",VLOOKUP(A2261,Stand!C:K,9,0))</f>
        <v/>
      </c>
      <c r="O2261" s="104" t="str">
        <f t="shared" si="983"/>
        <v/>
      </c>
      <c r="P2261" s="105" t="str">
        <f t="shared" si="984"/>
        <v/>
      </c>
      <c r="Q2261" s="105" t="str">
        <f t="shared" si="972"/>
        <v/>
      </c>
      <c r="R2261" s="103" t="str">
        <f t="shared" si="985"/>
        <v/>
      </c>
      <c r="S2261" s="103" t="str">
        <f t="shared" si="986"/>
        <v/>
      </c>
      <c r="T2261" s="106" t="str">
        <f t="shared" si="973"/>
        <v/>
      </c>
      <c r="U2261" s="106" t="str">
        <f t="shared" si="974"/>
        <v/>
      </c>
      <c r="V2261" s="106" t="str">
        <f t="shared" si="975"/>
        <v/>
      </c>
      <c r="W2261" s="105" t="str">
        <f t="shared" si="987"/>
        <v/>
      </c>
      <c r="X2261" s="104" t="str">
        <f t="shared" si="992"/>
        <v/>
      </c>
      <c r="Y2261" s="104" t="str">
        <f t="array" ref="Y2261">IFERROR(IF(ISNUMBER(O2261),IF(COUNT(IF(A2261=$A$2:$A$2427,IF(D2261=$D$2:$D$2427,IF($X$2:$X$2427&gt;0,1))))&gt;0,SUM(IF(A2261=$A$2:$A$2427,IF(D2261=$D$2:$D$2427,$X$2:$X$2427)))/COUNT(IF(A2261=$A$2:$A$2427,IF(D2261=$D$2:$D$2427,IF(ISNUMBER($X$2:$X$2427),1)))),0),""),0)</f>
        <v/>
      </c>
      <c r="Z2261" s="104" t="str">
        <f>IF(ISNUMBER(O2261),IF(I2261&gt;0,(10^(VLOOKUP(D2261,'Species Codes'!B:C,2,0)+VLOOKUP(D2261,'Species Codes'!B:D,3,0)*LOG(E2261)+VLOOKUP(D2261,'Species Codes'!B:E,4,0)*LOG(I2261))),0),"")</f>
        <v/>
      </c>
      <c r="AA2261" s="104" t="str">
        <f>IFERROR((VLOOKUP(D2261,'Species Codes'!B:G,6,0)*Z2261)/2000,"")</f>
        <v/>
      </c>
      <c r="AB2261" s="104" t="e">
        <f>IF(Z2261&gt;0,((IF(OR(D2261="DF",D2261="RA")=TRUE,EXP(VLOOKUP(D2261,'Species Codes'!B:I,8,0)+VLOOKUP(D2261,'Species Codes'!B:J,9,0)*(LN((E2261*2.54)))),IF(OR(D2261="PY",D2261="RC",D2261="WH",D2261="NF")=TRUE,VLOOKUP(D2261,'Species Codes'!B:I,8,0)+VLOOKUP(D2261,'Species Codes'!B:J,9,0)*((E2261*2.54)^2)*(I2261*0.3048),IF(OR(D2261="MD",D2261="BM",D2261="GA")=TRUE,((VLOOKUP(D2261,'Species Codes'!B:I,8,0)*(((((E2261*2.54)+VLOOKUP(D2261,'Species Codes'!B:J,9,0))/VLOOKUP(D2261,'Species Codes'!B:K,10,0))^VLOOKUP(D2261,'Species Codes'!B:L,11,0))*((I2261*0.3048)^VLOOKUP(D2261,'Species Codes'!B:M,12,0))))-(VLOOKUP(D2261,'Species Codes'!B:I,8,0)*((((E2261*2.54)^VLOOKUP(D2261,'Species Codes'!B:L,11,0))*((I2261*0.3048)^VLOOKUP(D2261,'Species Codes'!B:M,12,0))))))*35.3*VLOOKUP(D2261,'Species Codes'!B:G,6,0)/2.2046,VLOOKUP(D2261,'Species Codes'!B:I,8,0)+VLOOKUP(D2261,'Species Codes'!B:J,9,0)*(((E2261*2.54)/100)^2)*(I2261*0.3048)))))*0.0011023),0)</f>
        <v>#N/A</v>
      </c>
      <c r="AC2261" s="104" t="e">
        <f>IF(Z2261&gt;0,((IF(OR(D2261="RA",D2261="OA",D2261="OT",D2261="UN",D2261="PC"),EXP(VLOOKUP(D2261,'Species Codes'!B:O,14,0)+VLOOKUP(D2261,'Species Codes'!B:P,15,0)*LN((E2261*2.54)))-EXP(VLOOKUP(D2261,'Species Codes'!B:O,14,0)+VLOOKUP(D2261,'Species Codes'!B:P,15,0)*LN((E2261*2.54)))*(1/(VLOOKUP(D2261,'Species Codes'!B:Q,16,0)+VLOOKUP(D2261,'Species Codes'!B:R,17,0)*((E2261*2.54)^VLOOKUP(D2261,'Species Codes'!B:S,18,0)))),IF(OR(D2261="BM",D2261="MD",D2261="OA"),EXP(VLOOKUP(D2261,'Species Codes'!B:O,14,0)+VLOOKUP(D2261,'Species Codes'!B:P,15,0)*LN((E2261*2.54)))*(1-(1/(VLOOKUP(D2261,'Species Codes'!B:Q,16,0)+VLOOKUP(D2261,'Species Codes'!B:R,17,0)*((E2261*2.54)^VLOOKUP(D2261,'Species Codes'!B:S,18,0)))))/1000,IF(D2261="DF",EXP(VLOOKUP(D2261,'Species Codes'!B:O,14,0)+VLOOKUP(D2261,'Species Codes'!B:P,15,0)*LN((E2261*2.54))),VLOOKUP(D2261,'Species Codes'!B:O,14,0)+VLOOKUP(D2261,'Species Codes'!B:P,15,0)*(((E2261*2.54)/100)^2)*(I2261*0.3048)))))*0.0011023),0)</f>
        <v>#N/A</v>
      </c>
      <c r="AD2261" s="104" t="e">
        <f t="shared" si="976"/>
        <v>#N/A</v>
      </c>
      <c r="AE2261" s="104" t="e">
        <f t="shared" si="977"/>
        <v>#N/A</v>
      </c>
      <c r="AF2261" s="104" t="e">
        <f>IF(AND(VLOOKUP($D2261,Merchantability!$B:$C,2,0)="Yes",$E2261&gt;=VLOOKUP($D2261,Merchantability!$B:$D,3,0),$E2261&lt;=VLOOKUP($D2261,Merchantability!$B:$E,4,0)),AA2261,0)</f>
        <v>#N/A</v>
      </c>
      <c r="AG2261" s="104" t="e">
        <f>IF(AND(VLOOKUP($D2261,Merchantability!$B:$C,2,0)="Yes",$E2261&gt;=VLOOKUP($D2261,Merchantability!$B:$D,3,0),$E2261&lt;=VLOOKUP($D2261,Merchantability!$B:$E,4,0)),AB2261,0)</f>
        <v>#N/A</v>
      </c>
      <c r="AH2261" s="104" t="e">
        <f>IF(AND(VLOOKUP($D2261,Merchantability!$B:$C,2,0)="Yes",$E2261&gt;=VLOOKUP($D2261,Merchantability!$B:$D,3,0),$E2261&lt;=VLOOKUP($D2261,Merchantability!$B:$E,4,0)),AC2261,0)</f>
        <v>#N/A</v>
      </c>
      <c r="AI2261" s="104" t="e">
        <f t="shared" si="978"/>
        <v>#N/A</v>
      </c>
      <c r="AJ2261" s="104" t="e">
        <f t="shared" si="979"/>
        <v>#VALUE!</v>
      </c>
      <c r="AK2261" s="104" t="e">
        <f t="shared" si="980"/>
        <v>#N/A</v>
      </c>
      <c r="AL2261" s="104" t="e">
        <f t="shared" si="981"/>
        <v>#N/A</v>
      </c>
      <c r="AM2261" s="104" t="e">
        <f t="shared" si="982"/>
        <v>#N/A</v>
      </c>
      <c r="AN2261" s="104" t="e">
        <f t="shared" si="993"/>
        <v>#N/A</v>
      </c>
      <c r="AO2261" s="104" t="e">
        <f t="shared" si="994"/>
        <v>#N/A</v>
      </c>
      <c r="AP2261" s="104" t="e">
        <f t="shared" si="995"/>
        <v>#N/A</v>
      </c>
      <c r="AQ2261" s="104" t="e">
        <f t="shared" si="996"/>
        <v>#N/A</v>
      </c>
      <c r="AR2261" s="105" t="str">
        <f t="shared" si="988"/>
        <v/>
      </c>
      <c r="AS2261" s="105" t="str">
        <f t="shared" si="989"/>
        <v/>
      </c>
      <c r="AT2261" s="108" t="str">
        <f t="shared" si="990"/>
        <v/>
      </c>
      <c r="AU2261" s="108" t="str">
        <f t="shared" si="991"/>
        <v/>
      </c>
      <c r="AV2261" s="107" t="str">
        <f>IF(ISNUMBER(O2261),IF(VLOOKUP($A2261,Stand!C:J,8,FALSE)="Short",AT2261,AU2261),"")</f>
        <v/>
      </c>
      <c r="AW2261" s="109" t="str">
        <f t="shared" si="997"/>
        <v/>
      </c>
      <c r="AX2261" s="109" t="str">
        <f t="shared" si="998"/>
        <v/>
      </c>
      <c r="AY2261" s="112" t="str">
        <f>IF(ISNUMBER(O2261),IF(AND(VLOOKUP($D2261,Merchantability!$B:$C,2,0)="Yes",$E2261&gt;=VLOOKUP($D2261,Merchantability!$B:$D,3,0),$E2261&lt;=VLOOKUP($D2261,Merchantability!$B:$E,4,0)),(AV2261*O2261)*(1-$H2261/100),""),"")</f>
        <v/>
      </c>
      <c r="AZ2261" s="116"/>
      <c r="BA2261" s="116"/>
      <c r="BB2261" s="116"/>
      <c r="BE2261" s="62"/>
      <c r="BF2261" s="63"/>
    </row>
    <row r="2262" spans="1:58" ht="12.75" customHeight="1" x14ac:dyDescent="0.25">
      <c r="A2262" s="334"/>
      <c r="B2262" s="334"/>
      <c r="C2262" s="332"/>
      <c r="D2262" s="334"/>
      <c r="E2262" s="335"/>
      <c r="F2262" s="334"/>
      <c r="G2262" s="332"/>
      <c r="H2262" s="332"/>
      <c r="I2262" s="334"/>
      <c r="J2262" s="336"/>
      <c r="K2262" s="332"/>
      <c r="L2262" s="332"/>
      <c r="M2262" s="76"/>
      <c r="N2262" s="103" t="str">
        <f>IF(A2262="","",VLOOKUP(A2262,Stand!C:K,9,0))</f>
        <v/>
      </c>
      <c r="O2262" s="104" t="str">
        <f t="shared" si="983"/>
        <v/>
      </c>
      <c r="P2262" s="105" t="str">
        <f t="shared" si="984"/>
        <v/>
      </c>
      <c r="Q2262" s="105" t="str">
        <f t="shared" si="972"/>
        <v/>
      </c>
      <c r="R2262" s="103" t="str">
        <f t="shared" si="985"/>
        <v/>
      </c>
      <c r="S2262" s="103" t="str">
        <f t="shared" si="986"/>
        <v/>
      </c>
      <c r="T2262" s="106" t="str">
        <f t="shared" si="973"/>
        <v/>
      </c>
      <c r="U2262" s="106" t="str">
        <f t="shared" si="974"/>
        <v/>
      </c>
      <c r="V2262" s="106" t="str">
        <f t="shared" si="975"/>
        <v/>
      </c>
      <c r="W2262" s="105" t="str">
        <f t="shared" si="987"/>
        <v/>
      </c>
      <c r="X2262" s="104" t="str">
        <f t="shared" si="992"/>
        <v/>
      </c>
      <c r="Y2262" s="104" t="str">
        <f t="array" ref="Y2262">IFERROR(IF(ISNUMBER(O2262),IF(COUNT(IF(A2262=$A$2:$A$2427,IF(D2262=$D$2:$D$2427,IF($X$2:$X$2427&gt;0,1))))&gt;0,SUM(IF(A2262=$A$2:$A$2427,IF(D2262=$D$2:$D$2427,$X$2:$X$2427)))/COUNT(IF(A2262=$A$2:$A$2427,IF(D2262=$D$2:$D$2427,IF(ISNUMBER($X$2:$X$2427),1)))),0),""),0)</f>
        <v/>
      </c>
      <c r="Z2262" s="104" t="str">
        <f>IF(ISNUMBER(O2262),IF(I2262&gt;0,(10^(VLOOKUP(D2262,'Species Codes'!B:C,2,0)+VLOOKUP(D2262,'Species Codes'!B:D,3,0)*LOG(E2262)+VLOOKUP(D2262,'Species Codes'!B:E,4,0)*LOG(I2262))),0),"")</f>
        <v/>
      </c>
      <c r="AA2262" s="104" t="str">
        <f>IFERROR((VLOOKUP(D2262,'Species Codes'!B:G,6,0)*Z2262)/2000,"")</f>
        <v/>
      </c>
      <c r="AB2262" s="104" t="e">
        <f>IF(Z2262&gt;0,((IF(OR(D2262="DF",D2262="RA")=TRUE,EXP(VLOOKUP(D2262,'Species Codes'!B:I,8,0)+VLOOKUP(D2262,'Species Codes'!B:J,9,0)*(LN((E2262*2.54)))),IF(OR(D2262="PY",D2262="RC",D2262="WH",D2262="NF")=TRUE,VLOOKUP(D2262,'Species Codes'!B:I,8,0)+VLOOKUP(D2262,'Species Codes'!B:J,9,0)*((E2262*2.54)^2)*(I2262*0.3048),IF(OR(D2262="MD",D2262="BM",D2262="GA")=TRUE,((VLOOKUP(D2262,'Species Codes'!B:I,8,0)*(((((E2262*2.54)+VLOOKUP(D2262,'Species Codes'!B:J,9,0))/VLOOKUP(D2262,'Species Codes'!B:K,10,0))^VLOOKUP(D2262,'Species Codes'!B:L,11,0))*((I2262*0.3048)^VLOOKUP(D2262,'Species Codes'!B:M,12,0))))-(VLOOKUP(D2262,'Species Codes'!B:I,8,0)*((((E2262*2.54)^VLOOKUP(D2262,'Species Codes'!B:L,11,0))*((I2262*0.3048)^VLOOKUP(D2262,'Species Codes'!B:M,12,0))))))*35.3*VLOOKUP(D2262,'Species Codes'!B:G,6,0)/2.2046,VLOOKUP(D2262,'Species Codes'!B:I,8,0)+VLOOKUP(D2262,'Species Codes'!B:J,9,0)*(((E2262*2.54)/100)^2)*(I2262*0.3048)))))*0.0011023),0)</f>
        <v>#N/A</v>
      </c>
      <c r="AC2262" s="104" t="e">
        <f>IF(Z2262&gt;0,((IF(OR(D2262="RA",D2262="OA",D2262="OT",D2262="UN",D2262="PC"),EXP(VLOOKUP(D2262,'Species Codes'!B:O,14,0)+VLOOKUP(D2262,'Species Codes'!B:P,15,0)*LN((E2262*2.54)))-EXP(VLOOKUP(D2262,'Species Codes'!B:O,14,0)+VLOOKUP(D2262,'Species Codes'!B:P,15,0)*LN((E2262*2.54)))*(1/(VLOOKUP(D2262,'Species Codes'!B:Q,16,0)+VLOOKUP(D2262,'Species Codes'!B:R,17,0)*((E2262*2.54)^VLOOKUP(D2262,'Species Codes'!B:S,18,0)))),IF(OR(D2262="BM",D2262="MD",D2262="OA"),EXP(VLOOKUP(D2262,'Species Codes'!B:O,14,0)+VLOOKUP(D2262,'Species Codes'!B:P,15,0)*LN((E2262*2.54)))*(1-(1/(VLOOKUP(D2262,'Species Codes'!B:Q,16,0)+VLOOKUP(D2262,'Species Codes'!B:R,17,0)*((E2262*2.54)^VLOOKUP(D2262,'Species Codes'!B:S,18,0)))))/1000,IF(D2262="DF",EXP(VLOOKUP(D2262,'Species Codes'!B:O,14,0)+VLOOKUP(D2262,'Species Codes'!B:P,15,0)*LN((E2262*2.54))),VLOOKUP(D2262,'Species Codes'!B:O,14,0)+VLOOKUP(D2262,'Species Codes'!B:P,15,0)*(((E2262*2.54)/100)^2)*(I2262*0.3048)))))*0.0011023),0)</f>
        <v>#N/A</v>
      </c>
      <c r="AD2262" s="104" t="e">
        <f t="shared" si="976"/>
        <v>#N/A</v>
      </c>
      <c r="AE2262" s="104" t="e">
        <f t="shared" si="977"/>
        <v>#N/A</v>
      </c>
      <c r="AF2262" s="104" t="e">
        <f>IF(AND(VLOOKUP($D2262,Merchantability!$B:$C,2,0)="Yes",$E2262&gt;=VLOOKUP($D2262,Merchantability!$B:$D,3,0),$E2262&lt;=VLOOKUP($D2262,Merchantability!$B:$E,4,0)),AA2262,0)</f>
        <v>#N/A</v>
      </c>
      <c r="AG2262" s="104" t="e">
        <f>IF(AND(VLOOKUP($D2262,Merchantability!$B:$C,2,0)="Yes",$E2262&gt;=VLOOKUP($D2262,Merchantability!$B:$D,3,0),$E2262&lt;=VLOOKUP($D2262,Merchantability!$B:$E,4,0)),AB2262,0)</f>
        <v>#N/A</v>
      </c>
      <c r="AH2262" s="104" t="e">
        <f>IF(AND(VLOOKUP($D2262,Merchantability!$B:$C,2,0)="Yes",$E2262&gt;=VLOOKUP($D2262,Merchantability!$B:$D,3,0),$E2262&lt;=VLOOKUP($D2262,Merchantability!$B:$E,4,0)),AC2262,0)</f>
        <v>#N/A</v>
      </c>
      <c r="AI2262" s="104" t="e">
        <f t="shared" si="978"/>
        <v>#N/A</v>
      </c>
      <c r="AJ2262" s="104" t="e">
        <f t="shared" si="979"/>
        <v>#VALUE!</v>
      </c>
      <c r="AK2262" s="104" t="e">
        <f t="shared" si="980"/>
        <v>#N/A</v>
      </c>
      <c r="AL2262" s="104" t="e">
        <f t="shared" si="981"/>
        <v>#N/A</v>
      </c>
      <c r="AM2262" s="104" t="e">
        <f t="shared" si="982"/>
        <v>#N/A</v>
      </c>
      <c r="AN2262" s="104" t="e">
        <f t="shared" si="993"/>
        <v>#N/A</v>
      </c>
      <c r="AO2262" s="104" t="e">
        <f t="shared" si="994"/>
        <v>#N/A</v>
      </c>
      <c r="AP2262" s="104" t="e">
        <f t="shared" si="995"/>
        <v>#N/A</v>
      </c>
      <c r="AQ2262" s="104" t="e">
        <f t="shared" si="996"/>
        <v>#N/A</v>
      </c>
      <c r="AR2262" s="105" t="str">
        <f t="shared" si="988"/>
        <v/>
      </c>
      <c r="AS2262" s="105" t="str">
        <f t="shared" si="989"/>
        <v/>
      </c>
      <c r="AT2262" s="108" t="str">
        <f t="shared" si="990"/>
        <v/>
      </c>
      <c r="AU2262" s="108" t="str">
        <f t="shared" si="991"/>
        <v/>
      </c>
      <c r="AV2262" s="107" t="str">
        <f>IF(ISNUMBER(O2262),IF(VLOOKUP($A2262,Stand!C:J,8,FALSE)="Short",AT2262,AU2262),"")</f>
        <v/>
      </c>
      <c r="AW2262" s="109" t="str">
        <f t="shared" si="997"/>
        <v/>
      </c>
      <c r="AX2262" s="109" t="str">
        <f t="shared" si="998"/>
        <v/>
      </c>
      <c r="AY2262" s="112" t="str">
        <f>IF(ISNUMBER(O2262),IF(AND(VLOOKUP($D2262,Merchantability!$B:$C,2,0)="Yes",$E2262&gt;=VLOOKUP($D2262,Merchantability!$B:$D,3,0),$E2262&lt;=VLOOKUP($D2262,Merchantability!$B:$E,4,0)),(AV2262*O2262)*(1-$H2262/100),""),"")</f>
        <v/>
      </c>
      <c r="AZ2262" s="116"/>
      <c r="BA2262" s="116"/>
      <c r="BB2262" s="116"/>
      <c r="BE2262" s="62"/>
      <c r="BF2262" s="63"/>
    </row>
    <row r="2263" spans="1:58" ht="12.75" customHeight="1" x14ac:dyDescent="0.25">
      <c r="A2263" s="334"/>
      <c r="B2263" s="334"/>
      <c r="C2263" s="332"/>
      <c r="D2263" s="334"/>
      <c r="E2263" s="335"/>
      <c r="F2263" s="334"/>
      <c r="G2263" s="332"/>
      <c r="H2263" s="332"/>
      <c r="I2263" s="334"/>
      <c r="J2263" s="336"/>
      <c r="K2263" s="332"/>
      <c r="L2263" s="332"/>
      <c r="M2263" s="76"/>
      <c r="N2263" s="103" t="str">
        <f>IF(A2263="","",VLOOKUP(A2263,Stand!C:K,9,0))</f>
        <v/>
      </c>
      <c r="O2263" s="104" t="str">
        <f t="shared" si="983"/>
        <v/>
      </c>
      <c r="P2263" s="105" t="str">
        <f t="shared" si="984"/>
        <v/>
      </c>
      <c r="Q2263" s="105" t="str">
        <f t="shared" si="972"/>
        <v/>
      </c>
      <c r="R2263" s="103" t="str">
        <f t="shared" si="985"/>
        <v/>
      </c>
      <c r="S2263" s="103" t="str">
        <f t="shared" si="986"/>
        <v/>
      </c>
      <c r="T2263" s="106" t="str">
        <f t="shared" si="973"/>
        <v/>
      </c>
      <c r="U2263" s="106" t="str">
        <f t="shared" si="974"/>
        <v/>
      </c>
      <c r="V2263" s="106" t="str">
        <f t="shared" si="975"/>
        <v/>
      </c>
      <c r="W2263" s="105" t="str">
        <f t="shared" si="987"/>
        <v/>
      </c>
      <c r="X2263" s="104" t="str">
        <f t="shared" si="992"/>
        <v/>
      </c>
      <c r="Y2263" s="104" t="str">
        <f t="array" ref="Y2263">IFERROR(IF(ISNUMBER(O2263),IF(COUNT(IF(A2263=$A$2:$A$2427,IF(D2263=$D$2:$D$2427,IF($X$2:$X$2427&gt;0,1))))&gt;0,SUM(IF(A2263=$A$2:$A$2427,IF(D2263=$D$2:$D$2427,$X$2:$X$2427)))/COUNT(IF(A2263=$A$2:$A$2427,IF(D2263=$D$2:$D$2427,IF(ISNUMBER($X$2:$X$2427),1)))),0),""),0)</f>
        <v/>
      </c>
      <c r="Z2263" s="104" t="str">
        <f>IF(ISNUMBER(O2263),IF(I2263&gt;0,(10^(VLOOKUP(D2263,'Species Codes'!B:C,2,0)+VLOOKUP(D2263,'Species Codes'!B:D,3,0)*LOG(E2263)+VLOOKUP(D2263,'Species Codes'!B:E,4,0)*LOG(I2263))),0),"")</f>
        <v/>
      </c>
      <c r="AA2263" s="104" t="str">
        <f>IFERROR((VLOOKUP(D2263,'Species Codes'!B:G,6,0)*Z2263)/2000,"")</f>
        <v/>
      </c>
      <c r="AB2263" s="104" t="e">
        <f>IF(Z2263&gt;0,((IF(OR(D2263="DF",D2263="RA")=TRUE,EXP(VLOOKUP(D2263,'Species Codes'!B:I,8,0)+VLOOKUP(D2263,'Species Codes'!B:J,9,0)*(LN((E2263*2.54)))),IF(OR(D2263="PY",D2263="RC",D2263="WH",D2263="NF")=TRUE,VLOOKUP(D2263,'Species Codes'!B:I,8,0)+VLOOKUP(D2263,'Species Codes'!B:J,9,0)*((E2263*2.54)^2)*(I2263*0.3048),IF(OR(D2263="MD",D2263="BM",D2263="GA")=TRUE,((VLOOKUP(D2263,'Species Codes'!B:I,8,0)*(((((E2263*2.54)+VLOOKUP(D2263,'Species Codes'!B:J,9,0))/VLOOKUP(D2263,'Species Codes'!B:K,10,0))^VLOOKUP(D2263,'Species Codes'!B:L,11,0))*((I2263*0.3048)^VLOOKUP(D2263,'Species Codes'!B:M,12,0))))-(VLOOKUP(D2263,'Species Codes'!B:I,8,0)*((((E2263*2.54)^VLOOKUP(D2263,'Species Codes'!B:L,11,0))*((I2263*0.3048)^VLOOKUP(D2263,'Species Codes'!B:M,12,0))))))*35.3*VLOOKUP(D2263,'Species Codes'!B:G,6,0)/2.2046,VLOOKUP(D2263,'Species Codes'!B:I,8,0)+VLOOKUP(D2263,'Species Codes'!B:J,9,0)*(((E2263*2.54)/100)^2)*(I2263*0.3048)))))*0.0011023),0)</f>
        <v>#N/A</v>
      </c>
      <c r="AC2263" s="104" t="e">
        <f>IF(Z2263&gt;0,((IF(OR(D2263="RA",D2263="OA",D2263="OT",D2263="UN",D2263="PC"),EXP(VLOOKUP(D2263,'Species Codes'!B:O,14,0)+VLOOKUP(D2263,'Species Codes'!B:P,15,0)*LN((E2263*2.54)))-EXP(VLOOKUP(D2263,'Species Codes'!B:O,14,0)+VLOOKUP(D2263,'Species Codes'!B:P,15,0)*LN((E2263*2.54)))*(1/(VLOOKUP(D2263,'Species Codes'!B:Q,16,0)+VLOOKUP(D2263,'Species Codes'!B:R,17,0)*((E2263*2.54)^VLOOKUP(D2263,'Species Codes'!B:S,18,0)))),IF(OR(D2263="BM",D2263="MD",D2263="OA"),EXP(VLOOKUP(D2263,'Species Codes'!B:O,14,0)+VLOOKUP(D2263,'Species Codes'!B:P,15,0)*LN((E2263*2.54)))*(1-(1/(VLOOKUP(D2263,'Species Codes'!B:Q,16,0)+VLOOKUP(D2263,'Species Codes'!B:R,17,0)*((E2263*2.54)^VLOOKUP(D2263,'Species Codes'!B:S,18,0)))))/1000,IF(D2263="DF",EXP(VLOOKUP(D2263,'Species Codes'!B:O,14,0)+VLOOKUP(D2263,'Species Codes'!B:P,15,0)*LN((E2263*2.54))),VLOOKUP(D2263,'Species Codes'!B:O,14,0)+VLOOKUP(D2263,'Species Codes'!B:P,15,0)*(((E2263*2.54)/100)^2)*(I2263*0.3048)))))*0.0011023),0)</f>
        <v>#N/A</v>
      </c>
      <c r="AD2263" s="104" t="e">
        <f t="shared" si="976"/>
        <v>#N/A</v>
      </c>
      <c r="AE2263" s="104" t="e">
        <f t="shared" si="977"/>
        <v>#N/A</v>
      </c>
      <c r="AF2263" s="104" t="e">
        <f>IF(AND(VLOOKUP($D2263,Merchantability!$B:$C,2,0)="Yes",$E2263&gt;=VLOOKUP($D2263,Merchantability!$B:$D,3,0),$E2263&lt;=VLOOKUP($D2263,Merchantability!$B:$E,4,0)),AA2263,0)</f>
        <v>#N/A</v>
      </c>
      <c r="AG2263" s="104" t="e">
        <f>IF(AND(VLOOKUP($D2263,Merchantability!$B:$C,2,0)="Yes",$E2263&gt;=VLOOKUP($D2263,Merchantability!$B:$D,3,0),$E2263&lt;=VLOOKUP($D2263,Merchantability!$B:$E,4,0)),AB2263,0)</f>
        <v>#N/A</v>
      </c>
      <c r="AH2263" s="104" t="e">
        <f>IF(AND(VLOOKUP($D2263,Merchantability!$B:$C,2,0)="Yes",$E2263&gt;=VLOOKUP($D2263,Merchantability!$B:$D,3,0),$E2263&lt;=VLOOKUP($D2263,Merchantability!$B:$E,4,0)),AC2263,0)</f>
        <v>#N/A</v>
      </c>
      <c r="AI2263" s="104" t="e">
        <f t="shared" si="978"/>
        <v>#N/A</v>
      </c>
      <c r="AJ2263" s="104" t="e">
        <f t="shared" si="979"/>
        <v>#VALUE!</v>
      </c>
      <c r="AK2263" s="104" t="e">
        <f t="shared" si="980"/>
        <v>#N/A</v>
      </c>
      <c r="AL2263" s="104" t="e">
        <f t="shared" si="981"/>
        <v>#N/A</v>
      </c>
      <c r="AM2263" s="104" t="e">
        <f t="shared" si="982"/>
        <v>#N/A</v>
      </c>
      <c r="AN2263" s="104" t="e">
        <f t="shared" si="993"/>
        <v>#N/A</v>
      </c>
      <c r="AO2263" s="104" t="e">
        <f t="shared" si="994"/>
        <v>#N/A</v>
      </c>
      <c r="AP2263" s="104" t="e">
        <f t="shared" si="995"/>
        <v>#N/A</v>
      </c>
      <c r="AQ2263" s="104" t="e">
        <f t="shared" si="996"/>
        <v>#N/A</v>
      </c>
      <c r="AR2263" s="105" t="str">
        <f t="shared" si="988"/>
        <v/>
      </c>
      <c r="AS2263" s="105" t="str">
        <f t="shared" si="989"/>
        <v/>
      </c>
      <c r="AT2263" s="108" t="str">
        <f t="shared" si="990"/>
        <v/>
      </c>
      <c r="AU2263" s="108" t="str">
        <f t="shared" si="991"/>
        <v/>
      </c>
      <c r="AV2263" s="107" t="str">
        <f>IF(ISNUMBER(O2263),IF(VLOOKUP($A2263,Stand!C:J,8,FALSE)="Short",AT2263,AU2263),"")</f>
        <v/>
      </c>
      <c r="AW2263" s="109" t="str">
        <f t="shared" si="997"/>
        <v/>
      </c>
      <c r="AX2263" s="109" t="str">
        <f t="shared" si="998"/>
        <v/>
      </c>
      <c r="AY2263" s="112" t="str">
        <f>IF(ISNUMBER(O2263),IF(AND(VLOOKUP($D2263,Merchantability!$B:$C,2,0)="Yes",$E2263&gt;=VLOOKUP($D2263,Merchantability!$B:$D,3,0),$E2263&lt;=VLOOKUP($D2263,Merchantability!$B:$E,4,0)),(AV2263*O2263)*(1-$H2263/100),""),"")</f>
        <v/>
      </c>
      <c r="AZ2263" s="116"/>
      <c r="BA2263" s="116"/>
      <c r="BB2263" s="116"/>
      <c r="BE2263" s="62"/>
      <c r="BF2263" s="63"/>
    </row>
    <row r="2264" spans="1:58" ht="12.75" customHeight="1" x14ac:dyDescent="0.25">
      <c r="A2264" s="334"/>
      <c r="B2264" s="334"/>
      <c r="C2264" s="332"/>
      <c r="D2264" s="334"/>
      <c r="E2264" s="335"/>
      <c r="F2264" s="334"/>
      <c r="G2264" s="332"/>
      <c r="H2264" s="332"/>
      <c r="I2264" s="334"/>
      <c r="J2264" s="336"/>
      <c r="K2264" s="332"/>
      <c r="L2264" s="332"/>
      <c r="M2264" s="76"/>
      <c r="N2264" s="103" t="str">
        <f>IF(A2264="","",VLOOKUP(A2264,Stand!C:K,9,0))</f>
        <v/>
      </c>
      <c r="O2264" s="104" t="str">
        <f t="shared" si="983"/>
        <v/>
      </c>
      <c r="P2264" s="105" t="str">
        <f t="shared" si="984"/>
        <v/>
      </c>
      <c r="Q2264" s="105" t="str">
        <f t="shared" si="972"/>
        <v/>
      </c>
      <c r="R2264" s="103" t="str">
        <f t="shared" si="985"/>
        <v/>
      </c>
      <c r="S2264" s="103" t="str">
        <f t="shared" si="986"/>
        <v/>
      </c>
      <c r="T2264" s="106" t="str">
        <f t="shared" si="973"/>
        <v/>
      </c>
      <c r="U2264" s="106" t="str">
        <f t="shared" si="974"/>
        <v/>
      </c>
      <c r="V2264" s="106" t="str">
        <f t="shared" si="975"/>
        <v/>
      </c>
      <c r="W2264" s="105" t="str">
        <f t="shared" si="987"/>
        <v/>
      </c>
      <c r="X2264" s="104" t="str">
        <f t="shared" si="992"/>
        <v/>
      </c>
      <c r="Y2264" s="104" t="str">
        <f t="array" ref="Y2264">IFERROR(IF(ISNUMBER(O2264),IF(COUNT(IF(A2264=$A$2:$A$2427,IF(D2264=$D$2:$D$2427,IF($X$2:$X$2427&gt;0,1))))&gt;0,SUM(IF(A2264=$A$2:$A$2427,IF(D2264=$D$2:$D$2427,$X$2:$X$2427)))/COUNT(IF(A2264=$A$2:$A$2427,IF(D2264=$D$2:$D$2427,IF(ISNUMBER($X$2:$X$2427),1)))),0),""),0)</f>
        <v/>
      </c>
      <c r="Z2264" s="104" t="str">
        <f>IF(ISNUMBER(O2264),IF(I2264&gt;0,(10^(VLOOKUP(D2264,'Species Codes'!B:C,2,0)+VLOOKUP(D2264,'Species Codes'!B:D,3,0)*LOG(E2264)+VLOOKUP(D2264,'Species Codes'!B:E,4,0)*LOG(I2264))),0),"")</f>
        <v/>
      </c>
      <c r="AA2264" s="104" t="str">
        <f>IFERROR((VLOOKUP(D2264,'Species Codes'!B:G,6,0)*Z2264)/2000,"")</f>
        <v/>
      </c>
      <c r="AB2264" s="104" t="e">
        <f>IF(Z2264&gt;0,((IF(OR(D2264="DF",D2264="RA")=TRUE,EXP(VLOOKUP(D2264,'Species Codes'!B:I,8,0)+VLOOKUP(D2264,'Species Codes'!B:J,9,0)*(LN((E2264*2.54)))),IF(OR(D2264="PY",D2264="RC",D2264="WH",D2264="NF")=TRUE,VLOOKUP(D2264,'Species Codes'!B:I,8,0)+VLOOKUP(D2264,'Species Codes'!B:J,9,0)*((E2264*2.54)^2)*(I2264*0.3048),IF(OR(D2264="MD",D2264="BM",D2264="GA")=TRUE,((VLOOKUP(D2264,'Species Codes'!B:I,8,0)*(((((E2264*2.54)+VLOOKUP(D2264,'Species Codes'!B:J,9,0))/VLOOKUP(D2264,'Species Codes'!B:K,10,0))^VLOOKUP(D2264,'Species Codes'!B:L,11,0))*((I2264*0.3048)^VLOOKUP(D2264,'Species Codes'!B:M,12,0))))-(VLOOKUP(D2264,'Species Codes'!B:I,8,0)*((((E2264*2.54)^VLOOKUP(D2264,'Species Codes'!B:L,11,0))*((I2264*0.3048)^VLOOKUP(D2264,'Species Codes'!B:M,12,0))))))*35.3*VLOOKUP(D2264,'Species Codes'!B:G,6,0)/2.2046,VLOOKUP(D2264,'Species Codes'!B:I,8,0)+VLOOKUP(D2264,'Species Codes'!B:J,9,0)*(((E2264*2.54)/100)^2)*(I2264*0.3048)))))*0.0011023),0)</f>
        <v>#N/A</v>
      </c>
      <c r="AC2264" s="104" t="e">
        <f>IF(Z2264&gt;0,((IF(OR(D2264="RA",D2264="OA",D2264="OT",D2264="UN",D2264="PC"),EXP(VLOOKUP(D2264,'Species Codes'!B:O,14,0)+VLOOKUP(D2264,'Species Codes'!B:P,15,0)*LN((E2264*2.54)))-EXP(VLOOKUP(D2264,'Species Codes'!B:O,14,0)+VLOOKUP(D2264,'Species Codes'!B:P,15,0)*LN((E2264*2.54)))*(1/(VLOOKUP(D2264,'Species Codes'!B:Q,16,0)+VLOOKUP(D2264,'Species Codes'!B:R,17,0)*((E2264*2.54)^VLOOKUP(D2264,'Species Codes'!B:S,18,0)))),IF(OR(D2264="BM",D2264="MD",D2264="OA"),EXP(VLOOKUP(D2264,'Species Codes'!B:O,14,0)+VLOOKUP(D2264,'Species Codes'!B:P,15,0)*LN((E2264*2.54)))*(1-(1/(VLOOKUP(D2264,'Species Codes'!B:Q,16,0)+VLOOKUP(D2264,'Species Codes'!B:R,17,0)*((E2264*2.54)^VLOOKUP(D2264,'Species Codes'!B:S,18,0)))))/1000,IF(D2264="DF",EXP(VLOOKUP(D2264,'Species Codes'!B:O,14,0)+VLOOKUP(D2264,'Species Codes'!B:P,15,0)*LN((E2264*2.54))),VLOOKUP(D2264,'Species Codes'!B:O,14,0)+VLOOKUP(D2264,'Species Codes'!B:P,15,0)*(((E2264*2.54)/100)^2)*(I2264*0.3048)))))*0.0011023),0)</f>
        <v>#N/A</v>
      </c>
      <c r="AD2264" s="104" t="e">
        <f t="shared" si="976"/>
        <v>#N/A</v>
      </c>
      <c r="AE2264" s="104" t="e">
        <f t="shared" si="977"/>
        <v>#N/A</v>
      </c>
      <c r="AF2264" s="104" t="e">
        <f>IF(AND(VLOOKUP($D2264,Merchantability!$B:$C,2,0)="Yes",$E2264&gt;=VLOOKUP($D2264,Merchantability!$B:$D,3,0),$E2264&lt;=VLOOKUP($D2264,Merchantability!$B:$E,4,0)),AA2264,0)</f>
        <v>#N/A</v>
      </c>
      <c r="AG2264" s="104" t="e">
        <f>IF(AND(VLOOKUP($D2264,Merchantability!$B:$C,2,0)="Yes",$E2264&gt;=VLOOKUP($D2264,Merchantability!$B:$D,3,0),$E2264&lt;=VLOOKUP($D2264,Merchantability!$B:$E,4,0)),AB2264,0)</f>
        <v>#N/A</v>
      </c>
      <c r="AH2264" s="104" t="e">
        <f>IF(AND(VLOOKUP($D2264,Merchantability!$B:$C,2,0)="Yes",$E2264&gt;=VLOOKUP($D2264,Merchantability!$B:$D,3,0),$E2264&lt;=VLOOKUP($D2264,Merchantability!$B:$E,4,0)),AC2264,0)</f>
        <v>#N/A</v>
      </c>
      <c r="AI2264" s="104" t="e">
        <f t="shared" si="978"/>
        <v>#N/A</v>
      </c>
      <c r="AJ2264" s="104" t="e">
        <f t="shared" si="979"/>
        <v>#VALUE!</v>
      </c>
      <c r="AK2264" s="104" t="e">
        <f t="shared" si="980"/>
        <v>#N/A</v>
      </c>
      <c r="AL2264" s="104" t="e">
        <f t="shared" si="981"/>
        <v>#N/A</v>
      </c>
      <c r="AM2264" s="104" t="e">
        <f t="shared" si="982"/>
        <v>#N/A</v>
      </c>
      <c r="AN2264" s="104" t="e">
        <f t="shared" si="993"/>
        <v>#N/A</v>
      </c>
      <c r="AO2264" s="104" t="e">
        <f t="shared" si="994"/>
        <v>#N/A</v>
      </c>
      <c r="AP2264" s="104" t="e">
        <f t="shared" si="995"/>
        <v>#N/A</v>
      </c>
      <c r="AQ2264" s="104" t="e">
        <f t="shared" si="996"/>
        <v>#N/A</v>
      </c>
      <c r="AR2264" s="105" t="str">
        <f t="shared" si="988"/>
        <v/>
      </c>
      <c r="AS2264" s="105" t="str">
        <f t="shared" si="989"/>
        <v/>
      </c>
      <c r="AT2264" s="108" t="str">
        <f t="shared" si="990"/>
        <v/>
      </c>
      <c r="AU2264" s="108" t="str">
        <f t="shared" si="991"/>
        <v/>
      </c>
      <c r="AV2264" s="107" t="str">
        <f>IF(ISNUMBER(O2264),IF(VLOOKUP($A2264,Stand!C:J,8,FALSE)="Short",AT2264,AU2264),"")</f>
        <v/>
      </c>
      <c r="AW2264" s="109" t="str">
        <f t="shared" si="997"/>
        <v/>
      </c>
      <c r="AX2264" s="109" t="str">
        <f t="shared" si="998"/>
        <v/>
      </c>
      <c r="AY2264" s="112" t="str">
        <f>IF(ISNUMBER(O2264),IF(AND(VLOOKUP($D2264,Merchantability!$B:$C,2,0)="Yes",$E2264&gt;=VLOOKUP($D2264,Merchantability!$B:$D,3,0),$E2264&lt;=VLOOKUP($D2264,Merchantability!$B:$E,4,0)),(AV2264*O2264)*(1-$H2264/100),""),"")</f>
        <v/>
      </c>
      <c r="AZ2264" s="116"/>
      <c r="BA2264" s="116"/>
      <c r="BB2264" s="116"/>
      <c r="BE2264" s="62"/>
      <c r="BF2264" s="63"/>
    </row>
    <row r="2265" spans="1:58" ht="12.75" customHeight="1" x14ac:dyDescent="0.25">
      <c r="A2265" s="334"/>
      <c r="B2265" s="334"/>
      <c r="C2265" s="332"/>
      <c r="D2265" s="334"/>
      <c r="E2265" s="335"/>
      <c r="F2265" s="334"/>
      <c r="G2265" s="332"/>
      <c r="H2265" s="332"/>
      <c r="I2265" s="334"/>
      <c r="J2265" s="336"/>
      <c r="K2265" s="332"/>
      <c r="L2265" s="332"/>
      <c r="M2265" s="76"/>
      <c r="N2265" s="103" t="str">
        <f>IF(A2265="","",VLOOKUP(A2265,Stand!C:K,9,0))</f>
        <v/>
      </c>
      <c r="O2265" s="104" t="str">
        <f t="shared" si="983"/>
        <v/>
      </c>
      <c r="P2265" s="105" t="str">
        <f t="shared" si="984"/>
        <v/>
      </c>
      <c r="Q2265" s="105" t="str">
        <f t="shared" si="972"/>
        <v/>
      </c>
      <c r="R2265" s="103" t="str">
        <f t="shared" si="985"/>
        <v/>
      </c>
      <c r="S2265" s="103" t="str">
        <f t="shared" si="986"/>
        <v/>
      </c>
      <c r="T2265" s="106" t="str">
        <f t="shared" si="973"/>
        <v/>
      </c>
      <c r="U2265" s="106" t="str">
        <f t="shared" si="974"/>
        <v/>
      </c>
      <c r="V2265" s="106" t="str">
        <f t="shared" si="975"/>
        <v/>
      </c>
      <c r="W2265" s="105" t="str">
        <f t="shared" si="987"/>
        <v/>
      </c>
      <c r="X2265" s="104" t="str">
        <f t="shared" si="992"/>
        <v/>
      </c>
      <c r="Y2265" s="104" t="str">
        <f t="array" ref="Y2265">IFERROR(IF(ISNUMBER(O2265),IF(COUNT(IF(A2265=$A$2:$A$2427,IF(D2265=$D$2:$D$2427,IF($X$2:$X$2427&gt;0,1))))&gt;0,SUM(IF(A2265=$A$2:$A$2427,IF(D2265=$D$2:$D$2427,$X$2:$X$2427)))/COUNT(IF(A2265=$A$2:$A$2427,IF(D2265=$D$2:$D$2427,IF(ISNUMBER($X$2:$X$2427),1)))),0),""),0)</f>
        <v/>
      </c>
      <c r="Z2265" s="104" t="str">
        <f>IF(ISNUMBER(O2265),IF(I2265&gt;0,(10^(VLOOKUP(D2265,'Species Codes'!B:C,2,0)+VLOOKUP(D2265,'Species Codes'!B:D,3,0)*LOG(E2265)+VLOOKUP(D2265,'Species Codes'!B:E,4,0)*LOG(I2265))),0),"")</f>
        <v/>
      </c>
      <c r="AA2265" s="104" t="str">
        <f>IFERROR((VLOOKUP(D2265,'Species Codes'!B:G,6,0)*Z2265)/2000,"")</f>
        <v/>
      </c>
      <c r="AB2265" s="104" t="e">
        <f>IF(Z2265&gt;0,((IF(OR(D2265="DF",D2265="RA")=TRUE,EXP(VLOOKUP(D2265,'Species Codes'!B:I,8,0)+VLOOKUP(D2265,'Species Codes'!B:J,9,0)*(LN((E2265*2.54)))),IF(OR(D2265="PY",D2265="RC",D2265="WH",D2265="NF")=TRUE,VLOOKUP(D2265,'Species Codes'!B:I,8,0)+VLOOKUP(D2265,'Species Codes'!B:J,9,0)*((E2265*2.54)^2)*(I2265*0.3048),IF(OR(D2265="MD",D2265="BM",D2265="GA")=TRUE,((VLOOKUP(D2265,'Species Codes'!B:I,8,0)*(((((E2265*2.54)+VLOOKUP(D2265,'Species Codes'!B:J,9,0))/VLOOKUP(D2265,'Species Codes'!B:K,10,0))^VLOOKUP(D2265,'Species Codes'!B:L,11,0))*((I2265*0.3048)^VLOOKUP(D2265,'Species Codes'!B:M,12,0))))-(VLOOKUP(D2265,'Species Codes'!B:I,8,0)*((((E2265*2.54)^VLOOKUP(D2265,'Species Codes'!B:L,11,0))*((I2265*0.3048)^VLOOKUP(D2265,'Species Codes'!B:M,12,0))))))*35.3*VLOOKUP(D2265,'Species Codes'!B:G,6,0)/2.2046,VLOOKUP(D2265,'Species Codes'!B:I,8,0)+VLOOKUP(D2265,'Species Codes'!B:J,9,0)*(((E2265*2.54)/100)^2)*(I2265*0.3048)))))*0.0011023),0)</f>
        <v>#N/A</v>
      </c>
      <c r="AC2265" s="104" t="e">
        <f>IF(Z2265&gt;0,((IF(OR(D2265="RA",D2265="OA",D2265="OT",D2265="UN",D2265="PC"),EXP(VLOOKUP(D2265,'Species Codes'!B:O,14,0)+VLOOKUP(D2265,'Species Codes'!B:P,15,0)*LN((E2265*2.54)))-EXP(VLOOKUP(D2265,'Species Codes'!B:O,14,0)+VLOOKUP(D2265,'Species Codes'!B:P,15,0)*LN((E2265*2.54)))*(1/(VLOOKUP(D2265,'Species Codes'!B:Q,16,0)+VLOOKUP(D2265,'Species Codes'!B:R,17,0)*((E2265*2.54)^VLOOKUP(D2265,'Species Codes'!B:S,18,0)))),IF(OR(D2265="BM",D2265="MD",D2265="OA"),EXP(VLOOKUP(D2265,'Species Codes'!B:O,14,0)+VLOOKUP(D2265,'Species Codes'!B:P,15,0)*LN((E2265*2.54)))*(1-(1/(VLOOKUP(D2265,'Species Codes'!B:Q,16,0)+VLOOKUP(D2265,'Species Codes'!B:R,17,0)*((E2265*2.54)^VLOOKUP(D2265,'Species Codes'!B:S,18,0)))))/1000,IF(D2265="DF",EXP(VLOOKUP(D2265,'Species Codes'!B:O,14,0)+VLOOKUP(D2265,'Species Codes'!B:P,15,0)*LN((E2265*2.54))),VLOOKUP(D2265,'Species Codes'!B:O,14,0)+VLOOKUP(D2265,'Species Codes'!B:P,15,0)*(((E2265*2.54)/100)^2)*(I2265*0.3048)))))*0.0011023),0)</f>
        <v>#N/A</v>
      </c>
      <c r="AD2265" s="104" t="e">
        <f t="shared" si="976"/>
        <v>#N/A</v>
      </c>
      <c r="AE2265" s="104" t="e">
        <f t="shared" si="977"/>
        <v>#N/A</v>
      </c>
      <c r="AF2265" s="104" t="e">
        <f>IF(AND(VLOOKUP($D2265,Merchantability!$B:$C,2,0)="Yes",$E2265&gt;=VLOOKUP($D2265,Merchantability!$B:$D,3,0),$E2265&lt;=VLOOKUP($D2265,Merchantability!$B:$E,4,0)),AA2265,0)</f>
        <v>#N/A</v>
      </c>
      <c r="AG2265" s="104" t="e">
        <f>IF(AND(VLOOKUP($D2265,Merchantability!$B:$C,2,0)="Yes",$E2265&gt;=VLOOKUP($D2265,Merchantability!$B:$D,3,0),$E2265&lt;=VLOOKUP($D2265,Merchantability!$B:$E,4,0)),AB2265,0)</f>
        <v>#N/A</v>
      </c>
      <c r="AH2265" s="104" t="e">
        <f>IF(AND(VLOOKUP($D2265,Merchantability!$B:$C,2,0)="Yes",$E2265&gt;=VLOOKUP($D2265,Merchantability!$B:$D,3,0),$E2265&lt;=VLOOKUP($D2265,Merchantability!$B:$E,4,0)),AC2265,0)</f>
        <v>#N/A</v>
      </c>
      <c r="AI2265" s="104" t="e">
        <f t="shared" si="978"/>
        <v>#N/A</v>
      </c>
      <c r="AJ2265" s="104" t="e">
        <f t="shared" si="979"/>
        <v>#VALUE!</v>
      </c>
      <c r="AK2265" s="104" t="e">
        <f t="shared" si="980"/>
        <v>#N/A</v>
      </c>
      <c r="AL2265" s="104" t="e">
        <f t="shared" si="981"/>
        <v>#N/A</v>
      </c>
      <c r="AM2265" s="104" t="e">
        <f t="shared" si="982"/>
        <v>#N/A</v>
      </c>
      <c r="AN2265" s="104" t="e">
        <f t="shared" si="993"/>
        <v>#N/A</v>
      </c>
      <c r="AO2265" s="104" t="e">
        <f t="shared" si="994"/>
        <v>#N/A</v>
      </c>
      <c r="AP2265" s="104" t="e">
        <f t="shared" si="995"/>
        <v>#N/A</v>
      </c>
      <c r="AQ2265" s="104" t="e">
        <f t="shared" si="996"/>
        <v>#N/A</v>
      </c>
      <c r="AR2265" s="105" t="str">
        <f t="shared" si="988"/>
        <v/>
      </c>
      <c r="AS2265" s="105" t="str">
        <f t="shared" si="989"/>
        <v/>
      </c>
      <c r="AT2265" s="108" t="str">
        <f t="shared" si="990"/>
        <v/>
      </c>
      <c r="AU2265" s="108" t="str">
        <f t="shared" si="991"/>
        <v/>
      </c>
      <c r="AV2265" s="107" t="str">
        <f>IF(ISNUMBER(O2265),IF(VLOOKUP($A2265,Stand!C:J,8,FALSE)="Short",AT2265,AU2265),"")</f>
        <v/>
      </c>
      <c r="AW2265" s="109" t="str">
        <f t="shared" si="997"/>
        <v/>
      </c>
      <c r="AX2265" s="109" t="str">
        <f t="shared" si="998"/>
        <v/>
      </c>
      <c r="AY2265" s="112" t="str">
        <f>IF(ISNUMBER(O2265),IF(AND(VLOOKUP($D2265,Merchantability!$B:$C,2,0)="Yes",$E2265&gt;=VLOOKUP($D2265,Merchantability!$B:$D,3,0),$E2265&lt;=VLOOKUP($D2265,Merchantability!$B:$E,4,0)),(AV2265*O2265)*(1-$H2265/100),""),"")</f>
        <v/>
      </c>
      <c r="AZ2265" s="116"/>
      <c r="BA2265" s="116"/>
      <c r="BB2265" s="116"/>
      <c r="BE2265" s="62"/>
      <c r="BF2265" s="63"/>
    </row>
    <row r="2266" spans="1:58" ht="12.75" customHeight="1" x14ac:dyDescent="0.25">
      <c r="A2266" s="334"/>
      <c r="B2266" s="334"/>
      <c r="C2266" s="332"/>
      <c r="D2266" s="334"/>
      <c r="E2266" s="335"/>
      <c r="F2266" s="334"/>
      <c r="G2266" s="332"/>
      <c r="H2266" s="332"/>
      <c r="I2266" s="334"/>
      <c r="J2266" s="336"/>
      <c r="K2266" s="332"/>
      <c r="L2266" s="332"/>
      <c r="M2266" s="76"/>
      <c r="N2266" s="103" t="str">
        <f>IF(A2266="","",VLOOKUP(A2266,Stand!C:K,9,0))</f>
        <v/>
      </c>
      <c r="O2266" s="104" t="str">
        <f t="shared" si="983"/>
        <v/>
      </c>
      <c r="P2266" s="105" t="str">
        <f t="shared" si="984"/>
        <v/>
      </c>
      <c r="Q2266" s="105" t="str">
        <f t="shared" si="972"/>
        <v/>
      </c>
      <c r="R2266" s="103" t="str">
        <f t="shared" si="985"/>
        <v/>
      </c>
      <c r="S2266" s="103" t="str">
        <f t="shared" si="986"/>
        <v/>
      </c>
      <c r="T2266" s="106" t="str">
        <f t="shared" si="973"/>
        <v/>
      </c>
      <c r="U2266" s="106" t="str">
        <f t="shared" si="974"/>
        <v/>
      </c>
      <c r="V2266" s="106" t="str">
        <f t="shared" si="975"/>
        <v/>
      </c>
      <c r="W2266" s="105" t="str">
        <f t="shared" si="987"/>
        <v/>
      </c>
      <c r="X2266" s="104" t="str">
        <f t="shared" si="992"/>
        <v/>
      </c>
      <c r="Y2266" s="104" t="str">
        <f t="array" ref="Y2266">IFERROR(IF(ISNUMBER(O2266),IF(COUNT(IF(A2266=$A$2:$A$2427,IF(D2266=$D$2:$D$2427,IF($X$2:$X$2427&gt;0,1))))&gt;0,SUM(IF(A2266=$A$2:$A$2427,IF(D2266=$D$2:$D$2427,$X$2:$X$2427)))/COUNT(IF(A2266=$A$2:$A$2427,IF(D2266=$D$2:$D$2427,IF(ISNUMBER($X$2:$X$2427),1)))),0),""),0)</f>
        <v/>
      </c>
      <c r="Z2266" s="104" t="str">
        <f>IF(ISNUMBER(O2266),IF(I2266&gt;0,(10^(VLOOKUP(D2266,'Species Codes'!B:C,2,0)+VLOOKUP(D2266,'Species Codes'!B:D,3,0)*LOG(E2266)+VLOOKUP(D2266,'Species Codes'!B:E,4,0)*LOG(I2266))),0),"")</f>
        <v/>
      </c>
      <c r="AA2266" s="104" t="str">
        <f>IFERROR((VLOOKUP(D2266,'Species Codes'!B:G,6,0)*Z2266)/2000,"")</f>
        <v/>
      </c>
      <c r="AB2266" s="104" t="e">
        <f>IF(Z2266&gt;0,((IF(OR(D2266="DF",D2266="RA")=TRUE,EXP(VLOOKUP(D2266,'Species Codes'!B:I,8,0)+VLOOKUP(D2266,'Species Codes'!B:J,9,0)*(LN((E2266*2.54)))),IF(OR(D2266="PY",D2266="RC",D2266="WH",D2266="NF")=TRUE,VLOOKUP(D2266,'Species Codes'!B:I,8,0)+VLOOKUP(D2266,'Species Codes'!B:J,9,0)*((E2266*2.54)^2)*(I2266*0.3048),IF(OR(D2266="MD",D2266="BM",D2266="GA")=TRUE,((VLOOKUP(D2266,'Species Codes'!B:I,8,0)*(((((E2266*2.54)+VLOOKUP(D2266,'Species Codes'!B:J,9,0))/VLOOKUP(D2266,'Species Codes'!B:K,10,0))^VLOOKUP(D2266,'Species Codes'!B:L,11,0))*((I2266*0.3048)^VLOOKUP(D2266,'Species Codes'!B:M,12,0))))-(VLOOKUP(D2266,'Species Codes'!B:I,8,0)*((((E2266*2.54)^VLOOKUP(D2266,'Species Codes'!B:L,11,0))*((I2266*0.3048)^VLOOKUP(D2266,'Species Codes'!B:M,12,0))))))*35.3*VLOOKUP(D2266,'Species Codes'!B:G,6,0)/2.2046,VLOOKUP(D2266,'Species Codes'!B:I,8,0)+VLOOKUP(D2266,'Species Codes'!B:J,9,0)*(((E2266*2.54)/100)^2)*(I2266*0.3048)))))*0.0011023),0)</f>
        <v>#N/A</v>
      </c>
      <c r="AC2266" s="104" t="e">
        <f>IF(Z2266&gt;0,((IF(OR(D2266="RA",D2266="OA",D2266="OT",D2266="UN",D2266="PC"),EXP(VLOOKUP(D2266,'Species Codes'!B:O,14,0)+VLOOKUP(D2266,'Species Codes'!B:P,15,0)*LN((E2266*2.54)))-EXP(VLOOKUP(D2266,'Species Codes'!B:O,14,0)+VLOOKUP(D2266,'Species Codes'!B:P,15,0)*LN((E2266*2.54)))*(1/(VLOOKUP(D2266,'Species Codes'!B:Q,16,0)+VLOOKUP(D2266,'Species Codes'!B:R,17,0)*((E2266*2.54)^VLOOKUP(D2266,'Species Codes'!B:S,18,0)))),IF(OR(D2266="BM",D2266="MD",D2266="OA"),EXP(VLOOKUP(D2266,'Species Codes'!B:O,14,0)+VLOOKUP(D2266,'Species Codes'!B:P,15,0)*LN((E2266*2.54)))*(1-(1/(VLOOKUP(D2266,'Species Codes'!B:Q,16,0)+VLOOKUP(D2266,'Species Codes'!B:R,17,0)*((E2266*2.54)^VLOOKUP(D2266,'Species Codes'!B:S,18,0)))))/1000,IF(D2266="DF",EXP(VLOOKUP(D2266,'Species Codes'!B:O,14,0)+VLOOKUP(D2266,'Species Codes'!B:P,15,0)*LN((E2266*2.54))),VLOOKUP(D2266,'Species Codes'!B:O,14,0)+VLOOKUP(D2266,'Species Codes'!B:P,15,0)*(((E2266*2.54)/100)^2)*(I2266*0.3048)))))*0.0011023),0)</f>
        <v>#N/A</v>
      </c>
      <c r="AD2266" s="104" t="e">
        <f t="shared" si="976"/>
        <v>#N/A</v>
      </c>
      <c r="AE2266" s="104" t="e">
        <f t="shared" si="977"/>
        <v>#N/A</v>
      </c>
      <c r="AF2266" s="104" t="e">
        <f>IF(AND(VLOOKUP($D2266,Merchantability!$B:$C,2,0)="Yes",$E2266&gt;=VLOOKUP($D2266,Merchantability!$B:$D,3,0),$E2266&lt;=VLOOKUP($D2266,Merchantability!$B:$E,4,0)),AA2266,0)</f>
        <v>#N/A</v>
      </c>
      <c r="AG2266" s="104" t="e">
        <f>IF(AND(VLOOKUP($D2266,Merchantability!$B:$C,2,0)="Yes",$E2266&gt;=VLOOKUP($D2266,Merchantability!$B:$D,3,0),$E2266&lt;=VLOOKUP($D2266,Merchantability!$B:$E,4,0)),AB2266,0)</f>
        <v>#N/A</v>
      </c>
      <c r="AH2266" s="104" t="e">
        <f>IF(AND(VLOOKUP($D2266,Merchantability!$B:$C,2,0)="Yes",$E2266&gt;=VLOOKUP($D2266,Merchantability!$B:$D,3,0),$E2266&lt;=VLOOKUP($D2266,Merchantability!$B:$E,4,0)),AC2266,0)</f>
        <v>#N/A</v>
      </c>
      <c r="AI2266" s="104" t="e">
        <f t="shared" si="978"/>
        <v>#N/A</v>
      </c>
      <c r="AJ2266" s="104" t="e">
        <f t="shared" si="979"/>
        <v>#VALUE!</v>
      </c>
      <c r="AK2266" s="104" t="e">
        <f t="shared" si="980"/>
        <v>#N/A</v>
      </c>
      <c r="AL2266" s="104" t="e">
        <f t="shared" si="981"/>
        <v>#N/A</v>
      </c>
      <c r="AM2266" s="104" t="e">
        <f t="shared" si="982"/>
        <v>#N/A</v>
      </c>
      <c r="AN2266" s="104" t="e">
        <f t="shared" si="993"/>
        <v>#N/A</v>
      </c>
      <c r="AO2266" s="104" t="e">
        <f t="shared" si="994"/>
        <v>#N/A</v>
      </c>
      <c r="AP2266" s="104" t="e">
        <f t="shared" si="995"/>
        <v>#N/A</v>
      </c>
      <c r="AQ2266" s="104" t="e">
        <f t="shared" si="996"/>
        <v>#N/A</v>
      </c>
      <c r="AR2266" s="105" t="str">
        <f t="shared" si="988"/>
        <v/>
      </c>
      <c r="AS2266" s="105" t="str">
        <f t="shared" si="989"/>
        <v/>
      </c>
      <c r="AT2266" s="108" t="str">
        <f t="shared" si="990"/>
        <v/>
      </c>
      <c r="AU2266" s="108" t="str">
        <f t="shared" si="991"/>
        <v/>
      </c>
      <c r="AV2266" s="107" t="str">
        <f>IF(ISNUMBER(O2266),IF(VLOOKUP($A2266,Stand!C:J,8,FALSE)="Short",AT2266,AU2266),"")</f>
        <v/>
      </c>
      <c r="AW2266" s="109" t="str">
        <f t="shared" si="997"/>
        <v/>
      </c>
      <c r="AX2266" s="109" t="str">
        <f t="shared" si="998"/>
        <v/>
      </c>
      <c r="AY2266" s="112" t="str">
        <f>IF(ISNUMBER(O2266),IF(AND(VLOOKUP($D2266,Merchantability!$B:$C,2,0)="Yes",$E2266&gt;=VLOOKUP($D2266,Merchantability!$B:$D,3,0),$E2266&lt;=VLOOKUP($D2266,Merchantability!$B:$E,4,0)),(AV2266*O2266)*(1-$H2266/100),""),"")</f>
        <v/>
      </c>
      <c r="AZ2266" s="116"/>
      <c r="BA2266" s="116"/>
      <c r="BB2266" s="116"/>
      <c r="BE2266" s="62"/>
      <c r="BF2266" s="63"/>
    </row>
    <row r="2267" spans="1:58" ht="12.75" customHeight="1" x14ac:dyDescent="0.25">
      <c r="A2267" s="334"/>
      <c r="B2267" s="334"/>
      <c r="C2267" s="332"/>
      <c r="D2267" s="334"/>
      <c r="E2267" s="335"/>
      <c r="F2267" s="334"/>
      <c r="G2267" s="332"/>
      <c r="H2267" s="332"/>
      <c r="I2267" s="334"/>
      <c r="J2267" s="336"/>
      <c r="K2267" s="332"/>
      <c r="L2267" s="332"/>
      <c r="M2267" s="76"/>
      <c r="N2267" s="103" t="str">
        <f>IF(A2267="","",VLOOKUP(A2267,Stand!C:K,9,0))</f>
        <v/>
      </c>
      <c r="O2267" s="104" t="str">
        <f t="shared" si="983"/>
        <v/>
      </c>
      <c r="P2267" s="105" t="str">
        <f t="shared" si="984"/>
        <v/>
      </c>
      <c r="Q2267" s="105" t="str">
        <f t="shared" si="972"/>
        <v/>
      </c>
      <c r="R2267" s="103" t="str">
        <f t="shared" si="985"/>
        <v/>
      </c>
      <c r="S2267" s="103" t="str">
        <f t="shared" si="986"/>
        <v/>
      </c>
      <c r="T2267" s="106" t="str">
        <f t="shared" si="973"/>
        <v/>
      </c>
      <c r="U2267" s="106" t="str">
        <f t="shared" si="974"/>
        <v/>
      </c>
      <c r="V2267" s="106" t="str">
        <f t="shared" si="975"/>
        <v/>
      </c>
      <c r="W2267" s="105" t="str">
        <f t="shared" si="987"/>
        <v/>
      </c>
      <c r="X2267" s="104" t="str">
        <f t="shared" si="992"/>
        <v/>
      </c>
      <c r="Y2267" s="104" t="str">
        <f t="array" ref="Y2267">IFERROR(IF(ISNUMBER(O2267),IF(COUNT(IF(A2267=$A$2:$A$2427,IF(D2267=$D$2:$D$2427,IF($X$2:$X$2427&gt;0,1))))&gt;0,SUM(IF(A2267=$A$2:$A$2427,IF(D2267=$D$2:$D$2427,$X$2:$X$2427)))/COUNT(IF(A2267=$A$2:$A$2427,IF(D2267=$D$2:$D$2427,IF(ISNUMBER($X$2:$X$2427),1)))),0),""),0)</f>
        <v/>
      </c>
      <c r="Z2267" s="104" t="str">
        <f>IF(ISNUMBER(O2267),IF(I2267&gt;0,(10^(VLOOKUP(D2267,'Species Codes'!B:C,2,0)+VLOOKUP(D2267,'Species Codes'!B:D,3,0)*LOG(E2267)+VLOOKUP(D2267,'Species Codes'!B:E,4,0)*LOG(I2267))),0),"")</f>
        <v/>
      </c>
      <c r="AA2267" s="104" t="str">
        <f>IFERROR((VLOOKUP(D2267,'Species Codes'!B:G,6,0)*Z2267)/2000,"")</f>
        <v/>
      </c>
      <c r="AB2267" s="104" t="e">
        <f>IF(Z2267&gt;0,((IF(OR(D2267="DF",D2267="RA")=TRUE,EXP(VLOOKUP(D2267,'Species Codes'!B:I,8,0)+VLOOKUP(D2267,'Species Codes'!B:J,9,0)*(LN((E2267*2.54)))),IF(OR(D2267="PY",D2267="RC",D2267="WH",D2267="NF")=TRUE,VLOOKUP(D2267,'Species Codes'!B:I,8,0)+VLOOKUP(D2267,'Species Codes'!B:J,9,0)*((E2267*2.54)^2)*(I2267*0.3048),IF(OR(D2267="MD",D2267="BM",D2267="GA")=TRUE,((VLOOKUP(D2267,'Species Codes'!B:I,8,0)*(((((E2267*2.54)+VLOOKUP(D2267,'Species Codes'!B:J,9,0))/VLOOKUP(D2267,'Species Codes'!B:K,10,0))^VLOOKUP(D2267,'Species Codes'!B:L,11,0))*((I2267*0.3048)^VLOOKUP(D2267,'Species Codes'!B:M,12,0))))-(VLOOKUP(D2267,'Species Codes'!B:I,8,0)*((((E2267*2.54)^VLOOKUP(D2267,'Species Codes'!B:L,11,0))*((I2267*0.3048)^VLOOKUP(D2267,'Species Codes'!B:M,12,0))))))*35.3*VLOOKUP(D2267,'Species Codes'!B:G,6,0)/2.2046,VLOOKUP(D2267,'Species Codes'!B:I,8,0)+VLOOKUP(D2267,'Species Codes'!B:J,9,0)*(((E2267*2.54)/100)^2)*(I2267*0.3048)))))*0.0011023),0)</f>
        <v>#N/A</v>
      </c>
      <c r="AC2267" s="104" t="e">
        <f>IF(Z2267&gt;0,((IF(OR(D2267="RA",D2267="OA",D2267="OT",D2267="UN",D2267="PC"),EXP(VLOOKUP(D2267,'Species Codes'!B:O,14,0)+VLOOKUP(D2267,'Species Codes'!B:P,15,0)*LN((E2267*2.54)))-EXP(VLOOKUP(D2267,'Species Codes'!B:O,14,0)+VLOOKUP(D2267,'Species Codes'!B:P,15,0)*LN((E2267*2.54)))*(1/(VLOOKUP(D2267,'Species Codes'!B:Q,16,0)+VLOOKUP(D2267,'Species Codes'!B:R,17,0)*((E2267*2.54)^VLOOKUP(D2267,'Species Codes'!B:S,18,0)))),IF(OR(D2267="BM",D2267="MD",D2267="OA"),EXP(VLOOKUP(D2267,'Species Codes'!B:O,14,0)+VLOOKUP(D2267,'Species Codes'!B:P,15,0)*LN((E2267*2.54)))*(1-(1/(VLOOKUP(D2267,'Species Codes'!B:Q,16,0)+VLOOKUP(D2267,'Species Codes'!B:R,17,0)*((E2267*2.54)^VLOOKUP(D2267,'Species Codes'!B:S,18,0)))))/1000,IF(D2267="DF",EXP(VLOOKUP(D2267,'Species Codes'!B:O,14,0)+VLOOKUP(D2267,'Species Codes'!B:P,15,0)*LN((E2267*2.54))),VLOOKUP(D2267,'Species Codes'!B:O,14,0)+VLOOKUP(D2267,'Species Codes'!B:P,15,0)*(((E2267*2.54)/100)^2)*(I2267*0.3048)))))*0.0011023),0)</f>
        <v>#N/A</v>
      </c>
      <c r="AD2267" s="104" t="e">
        <f t="shared" si="976"/>
        <v>#N/A</v>
      </c>
      <c r="AE2267" s="104" t="e">
        <f t="shared" si="977"/>
        <v>#N/A</v>
      </c>
      <c r="AF2267" s="104" t="e">
        <f>IF(AND(VLOOKUP($D2267,Merchantability!$B:$C,2,0)="Yes",$E2267&gt;=VLOOKUP($D2267,Merchantability!$B:$D,3,0),$E2267&lt;=VLOOKUP($D2267,Merchantability!$B:$E,4,0)),AA2267,0)</f>
        <v>#N/A</v>
      </c>
      <c r="AG2267" s="104" t="e">
        <f>IF(AND(VLOOKUP($D2267,Merchantability!$B:$C,2,0)="Yes",$E2267&gt;=VLOOKUP($D2267,Merchantability!$B:$D,3,0),$E2267&lt;=VLOOKUP($D2267,Merchantability!$B:$E,4,0)),AB2267,0)</f>
        <v>#N/A</v>
      </c>
      <c r="AH2267" s="104" t="e">
        <f>IF(AND(VLOOKUP($D2267,Merchantability!$B:$C,2,0)="Yes",$E2267&gt;=VLOOKUP($D2267,Merchantability!$B:$D,3,0),$E2267&lt;=VLOOKUP($D2267,Merchantability!$B:$E,4,0)),AC2267,0)</f>
        <v>#N/A</v>
      </c>
      <c r="AI2267" s="104" t="e">
        <f t="shared" si="978"/>
        <v>#N/A</v>
      </c>
      <c r="AJ2267" s="104" t="e">
        <f t="shared" si="979"/>
        <v>#VALUE!</v>
      </c>
      <c r="AK2267" s="104" t="e">
        <f t="shared" si="980"/>
        <v>#N/A</v>
      </c>
      <c r="AL2267" s="104" t="e">
        <f t="shared" si="981"/>
        <v>#N/A</v>
      </c>
      <c r="AM2267" s="104" t="e">
        <f t="shared" si="982"/>
        <v>#N/A</v>
      </c>
      <c r="AN2267" s="104" t="e">
        <f t="shared" si="993"/>
        <v>#N/A</v>
      </c>
      <c r="AO2267" s="104" t="e">
        <f t="shared" si="994"/>
        <v>#N/A</v>
      </c>
      <c r="AP2267" s="104" t="e">
        <f t="shared" si="995"/>
        <v>#N/A</v>
      </c>
      <c r="AQ2267" s="104" t="e">
        <f t="shared" si="996"/>
        <v>#N/A</v>
      </c>
      <c r="AR2267" s="105" t="str">
        <f t="shared" si="988"/>
        <v/>
      </c>
      <c r="AS2267" s="105" t="str">
        <f t="shared" si="989"/>
        <v/>
      </c>
      <c r="AT2267" s="108" t="str">
        <f t="shared" si="990"/>
        <v/>
      </c>
      <c r="AU2267" s="108" t="str">
        <f t="shared" si="991"/>
        <v/>
      </c>
      <c r="AV2267" s="107" t="str">
        <f>IF(ISNUMBER(O2267),IF(VLOOKUP($A2267,Stand!C:J,8,FALSE)="Short",AT2267,AU2267),"")</f>
        <v/>
      </c>
      <c r="AW2267" s="109" t="str">
        <f t="shared" si="997"/>
        <v/>
      </c>
      <c r="AX2267" s="109" t="str">
        <f t="shared" si="998"/>
        <v/>
      </c>
      <c r="AY2267" s="112" t="str">
        <f>IF(ISNUMBER(O2267),IF(AND(VLOOKUP($D2267,Merchantability!$B:$C,2,0)="Yes",$E2267&gt;=VLOOKUP($D2267,Merchantability!$B:$D,3,0),$E2267&lt;=VLOOKUP($D2267,Merchantability!$B:$E,4,0)),(AV2267*O2267)*(1-$H2267/100),""),"")</f>
        <v/>
      </c>
      <c r="AZ2267" s="116"/>
      <c r="BA2267" s="116"/>
      <c r="BB2267" s="116"/>
      <c r="BE2267" s="62"/>
      <c r="BF2267" s="63"/>
    </row>
    <row r="2268" spans="1:58" ht="12.75" customHeight="1" x14ac:dyDescent="0.25">
      <c r="A2268" s="334"/>
      <c r="B2268" s="334"/>
      <c r="C2268" s="332"/>
      <c r="D2268" s="334"/>
      <c r="E2268" s="335"/>
      <c r="F2268" s="334"/>
      <c r="G2268" s="332"/>
      <c r="H2268" s="332"/>
      <c r="I2268" s="334"/>
      <c r="J2268" s="336"/>
      <c r="K2268" s="332"/>
      <c r="L2268" s="332"/>
      <c r="M2268" s="76"/>
      <c r="N2268" s="103" t="str">
        <f>IF(A2268="","",VLOOKUP(A2268,Stand!C:K,9,0))</f>
        <v/>
      </c>
      <c r="O2268" s="104" t="str">
        <f t="shared" si="983"/>
        <v/>
      </c>
      <c r="P2268" s="105" t="str">
        <f t="shared" si="984"/>
        <v/>
      </c>
      <c r="Q2268" s="105" t="str">
        <f t="shared" si="972"/>
        <v/>
      </c>
      <c r="R2268" s="103" t="str">
        <f t="shared" si="985"/>
        <v/>
      </c>
      <c r="S2268" s="103" t="str">
        <f t="shared" si="986"/>
        <v/>
      </c>
      <c r="T2268" s="106" t="str">
        <f t="shared" si="973"/>
        <v/>
      </c>
      <c r="U2268" s="106" t="str">
        <f t="shared" si="974"/>
        <v/>
      </c>
      <c r="V2268" s="106" t="str">
        <f t="shared" si="975"/>
        <v/>
      </c>
      <c r="W2268" s="105" t="str">
        <f t="shared" si="987"/>
        <v/>
      </c>
      <c r="X2268" s="104" t="str">
        <f t="shared" si="992"/>
        <v/>
      </c>
      <c r="Y2268" s="104" t="str">
        <f t="array" ref="Y2268">IFERROR(IF(ISNUMBER(O2268),IF(COUNT(IF(A2268=$A$2:$A$2427,IF(D2268=$D$2:$D$2427,IF($X$2:$X$2427&gt;0,1))))&gt;0,SUM(IF(A2268=$A$2:$A$2427,IF(D2268=$D$2:$D$2427,$X$2:$X$2427)))/COUNT(IF(A2268=$A$2:$A$2427,IF(D2268=$D$2:$D$2427,IF(ISNUMBER($X$2:$X$2427),1)))),0),""),0)</f>
        <v/>
      </c>
      <c r="Z2268" s="104" t="str">
        <f>IF(ISNUMBER(O2268),IF(I2268&gt;0,(10^(VLOOKUP(D2268,'Species Codes'!B:C,2,0)+VLOOKUP(D2268,'Species Codes'!B:D,3,0)*LOG(E2268)+VLOOKUP(D2268,'Species Codes'!B:E,4,0)*LOG(I2268))),0),"")</f>
        <v/>
      </c>
      <c r="AA2268" s="104" t="str">
        <f>IFERROR((VLOOKUP(D2268,'Species Codes'!B:G,6,0)*Z2268)/2000,"")</f>
        <v/>
      </c>
      <c r="AB2268" s="104" t="e">
        <f>IF(Z2268&gt;0,((IF(OR(D2268="DF",D2268="RA")=TRUE,EXP(VLOOKUP(D2268,'Species Codes'!B:I,8,0)+VLOOKUP(D2268,'Species Codes'!B:J,9,0)*(LN((E2268*2.54)))),IF(OR(D2268="PY",D2268="RC",D2268="WH",D2268="NF")=TRUE,VLOOKUP(D2268,'Species Codes'!B:I,8,0)+VLOOKUP(D2268,'Species Codes'!B:J,9,0)*((E2268*2.54)^2)*(I2268*0.3048),IF(OR(D2268="MD",D2268="BM",D2268="GA")=TRUE,((VLOOKUP(D2268,'Species Codes'!B:I,8,0)*(((((E2268*2.54)+VLOOKUP(D2268,'Species Codes'!B:J,9,0))/VLOOKUP(D2268,'Species Codes'!B:K,10,0))^VLOOKUP(D2268,'Species Codes'!B:L,11,0))*((I2268*0.3048)^VLOOKUP(D2268,'Species Codes'!B:M,12,0))))-(VLOOKUP(D2268,'Species Codes'!B:I,8,0)*((((E2268*2.54)^VLOOKUP(D2268,'Species Codes'!B:L,11,0))*((I2268*0.3048)^VLOOKUP(D2268,'Species Codes'!B:M,12,0))))))*35.3*VLOOKUP(D2268,'Species Codes'!B:G,6,0)/2.2046,VLOOKUP(D2268,'Species Codes'!B:I,8,0)+VLOOKUP(D2268,'Species Codes'!B:J,9,0)*(((E2268*2.54)/100)^2)*(I2268*0.3048)))))*0.0011023),0)</f>
        <v>#N/A</v>
      </c>
      <c r="AC2268" s="104" t="e">
        <f>IF(Z2268&gt;0,((IF(OR(D2268="RA",D2268="OA",D2268="OT",D2268="UN",D2268="PC"),EXP(VLOOKUP(D2268,'Species Codes'!B:O,14,0)+VLOOKUP(D2268,'Species Codes'!B:P,15,0)*LN((E2268*2.54)))-EXP(VLOOKUP(D2268,'Species Codes'!B:O,14,0)+VLOOKUP(D2268,'Species Codes'!B:P,15,0)*LN((E2268*2.54)))*(1/(VLOOKUP(D2268,'Species Codes'!B:Q,16,0)+VLOOKUP(D2268,'Species Codes'!B:R,17,0)*((E2268*2.54)^VLOOKUP(D2268,'Species Codes'!B:S,18,0)))),IF(OR(D2268="BM",D2268="MD",D2268="OA"),EXP(VLOOKUP(D2268,'Species Codes'!B:O,14,0)+VLOOKUP(D2268,'Species Codes'!B:P,15,0)*LN((E2268*2.54)))*(1-(1/(VLOOKUP(D2268,'Species Codes'!B:Q,16,0)+VLOOKUP(D2268,'Species Codes'!B:R,17,0)*((E2268*2.54)^VLOOKUP(D2268,'Species Codes'!B:S,18,0)))))/1000,IF(D2268="DF",EXP(VLOOKUP(D2268,'Species Codes'!B:O,14,0)+VLOOKUP(D2268,'Species Codes'!B:P,15,0)*LN((E2268*2.54))),VLOOKUP(D2268,'Species Codes'!B:O,14,0)+VLOOKUP(D2268,'Species Codes'!B:P,15,0)*(((E2268*2.54)/100)^2)*(I2268*0.3048)))))*0.0011023),0)</f>
        <v>#N/A</v>
      </c>
      <c r="AD2268" s="104" t="e">
        <f t="shared" si="976"/>
        <v>#N/A</v>
      </c>
      <c r="AE2268" s="104" t="e">
        <f t="shared" si="977"/>
        <v>#N/A</v>
      </c>
      <c r="AF2268" s="104" t="e">
        <f>IF(AND(VLOOKUP($D2268,Merchantability!$B:$C,2,0)="Yes",$E2268&gt;=VLOOKUP($D2268,Merchantability!$B:$D,3,0),$E2268&lt;=VLOOKUP($D2268,Merchantability!$B:$E,4,0)),AA2268,0)</f>
        <v>#N/A</v>
      </c>
      <c r="AG2268" s="104" t="e">
        <f>IF(AND(VLOOKUP($D2268,Merchantability!$B:$C,2,0)="Yes",$E2268&gt;=VLOOKUP($D2268,Merchantability!$B:$D,3,0),$E2268&lt;=VLOOKUP($D2268,Merchantability!$B:$E,4,0)),AB2268,0)</f>
        <v>#N/A</v>
      </c>
      <c r="AH2268" s="104" t="e">
        <f>IF(AND(VLOOKUP($D2268,Merchantability!$B:$C,2,0)="Yes",$E2268&gt;=VLOOKUP($D2268,Merchantability!$B:$D,3,0),$E2268&lt;=VLOOKUP($D2268,Merchantability!$B:$E,4,0)),AC2268,0)</f>
        <v>#N/A</v>
      </c>
      <c r="AI2268" s="104" t="e">
        <f t="shared" si="978"/>
        <v>#N/A</v>
      </c>
      <c r="AJ2268" s="104" t="e">
        <f t="shared" si="979"/>
        <v>#VALUE!</v>
      </c>
      <c r="AK2268" s="104" t="e">
        <f t="shared" si="980"/>
        <v>#N/A</v>
      </c>
      <c r="AL2268" s="104" t="e">
        <f t="shared" si="981"/>
        <v>#N/A</v>
      </c>
      <c r="AM2268" s="104" t="e">
        <f t="shared" si="982"/>
        <v>#N/A</v>
      </c>
      <c r="AN2268" s="104" t="e">
        <f t="shared" si="993"/>
        <v>#N/A</v>
      </c>
      <c r="AO2268" s="104" t="e">
        <f t="shared" si="994"/>
        <v>#N/A</v>
      </c>
      <c r="AP2268" s="104" t="e">
        <f t="shared" si="995"/>
        <v>#N/A</v>
      </c>
      <c r="AQ2268" s="104" t="e">
        <f t="shared" si="996"/>
        <v>#N/A</v>
      </c>
      <c r="AR2268" s="105" t="str">
        <f t="shared" si="988"/>
        <v/>
      </c>
      <c r="AS2268" s="105" t="str">
        <f t="shared" si="989"/>
        <v/>
      </c>
      <c r="AT2268" s="108" t="str">
        <f t="shared" si="990"/>
        <v/>
      </c>
      <c r="AU2268" s="108" t="str">
        <f t="shared" si="991"/>
        <v/>
      </c>
      <c r="AV2268" s="107" t="str">
        <f>IF(ISNUMBER(O2268),IF(VLOOKUP($A2268,Stand!C:J,8,FALSE)="Short",AT2268,AU2268),"")</f>
        <v/>
      </c>
      <c r="AW2268" s="109" t="str">
        <f t="shared" si="997"/>
        <v/>
      </c>
      <c r="AX2268" s="109" t="str">
        <f t="shared" si="998"/>
        <v/>
      </c>
      <c r="AY2268" s="112" t="str">
        <f>IF(ISNUMBER(O2268),IF(AND(VLOOKUP($D2268,Merchantability!$B:$C,2,0)="Yes",$E2268&gt;=VLOOKUP($D2268,Merchantability!$B:$D,3,0),$E2268&lt;=VLOOKUP($D2268,Merchantability!$B:$E,4,0)),(AV2268*O2268)*(1-$H2268/100),""),"")</f>
        <v/>
      </c>
      <c r="AZ2268" s="116"/>
      <c r="BA2268" s="116"/>
      <c r="BB2268" s="116"/>
      <c r="BE2268" s="62"/>
      <c r="BF2268" s="63"/>
    </row>
    <row r="2269" spans="1:58" ht="12.75" customHeight="1" x14ac:dyDescent="0.25">
      <c r="A2269" s="334"/>
      <c r="B2269" s="334"/>
      <c r="C2269" s="332"/>
      <c r="D2269" s="334"/>
      <c r="E2269" s="335"/>
      <c r="F2269" s="334"/>
      <c r="G2269" s="332"/>
      <c r="H2269" s="332"/>
      <c r="I2269" s="334"/>
      <c r="J2269" s="336"/>
      <c r="K2269" s="332"/>
      <c r="L2269" s="332"/>
      <c r="M2269" s="76"/>
      <c r="N2269" s="103" t="str">
        <f>IF(A2269="","",VLOOKUP(A2269,Stand!C:K,9,0))</f>
        <v/>
      </c>
      <c r="O2269" s="104" t="str">
        <f t="shared" si="983"/>
        <v/>
      </c>
      <c r="P2269" s="105" t="str">
        <f t="shared" si="984"/>
        <v/>
      </c>
      <c r="Q2269" s="105" t="str">
        <f t="shared" ref="Q2269:Q2332" si="999">IF(AND(ISNUMBER(O2269),I2269&gt;0),I2269*O2269,"")</f>
        <v/>
      </c>
      <c r="R2269" s="103" t="str">
        <f t="shared" si="985"/>
        <v/>
      </c>
      <c r="S2269" s="103" t="str">
        <f t="shared" si="986"/>
        <v/>
      </c>
      <c r="T2269" s="106" t="str">
        <f t="shared" ref="T2269:T2332" si="1000">IF(AND(ISNUMBER(O2269),J2269&gt;0),J2269/100,"")</f>
        <v/>
      </c>
      <c r="U2269" s="106" t="str">
        <f t="shared" ref="U2269:U2332" si="1001">IF(AND(ISNUMBER(O2269),J2269&gt;0),T2269*O2269,"")</f>
        <v/>
      </c>
      <c r="V2269" s="106" t="str">
        <f t="shared" ref="V2269:V2332" si="1002">IF(AND(ISNUMBER(O2269),I2269&gt;0),W2269*O2269,"")</f>
        <v/>
      </c>
      <c r="W2269" s="105" t="str">
        <f t="shared" si="987"/>
        <v/>
      </c>
      <c r="X2269" s="104" t="str">
        <f t="shared" si="992"/>
        <v/>
      </c>
      <c r="Y2269" s="104" t="str">
        <f t="array" ref="Y2269">IFERROR(IF(ISNUMBER(O2269),IF(COUNT(IF(A2269=$A$2:$A$2427,IF(D2269=$D$2:$D$2427,IF($X$2:$X$2427&gt;0,1))))&gt;0,SUM(IF(A2269=$A$2:$A$2427,IF(D2269=$D$2:$D$2427,$X$2:$X$2427)))/COUNT(IF(A2269=$A$2:$A$2427,IF(D2269=$D$2:$D$2427,IF(ISNUMBER($X$2:$X$2427),1)))),0),""),0)</f>
        <v/>
      </c>
      <c r="Z2269" s="104" t="str">
        <f>IF(ISNUMBER(O2269),IF(I2269&gt;0,(10^(VLOOKUP(D2269,'Species Codes'!B:C,2,0)+VLOOKUP(D2269,'Species Codes'!B:D,3,0)*LOG(E2269)+VLOOKUP(D2269,'Species Codes'!B:E,4,0)*LOG(I2269))),0),"")</f>
        <v/>
      </c>
      <c r="AA2269" s="104" t="str">
        <f>IFERROR((VLOOKUP(D2269,'Species Codes'!B:G,6,0)*Z2269)/2000,"")</f>
        <v/>
      </c>
      <c r="AB2269" s="104" t="e">
        <f>IF(Z2269&gt;0,((IF(OR(D2269="DF",D2269="RA")=TRUE,EXP(VLOOKUP(D2269,'Species Codes'!B:I,8,0)+VLOOKUP(D2269,'Species Codes'!B:J,9,0)*(LN((E2269*2.54)))),IF(OR(D2269="PY",D2269="RC",D2269="WH",D2269="NF")=TRUE,VLOOKUP(D2269,'Species Codes'!B:I,8,0)+VLOOKUP(D2269,'Species Codes'!B:J,9,0)*((E2269*2.54)^2)*(I2269*0.3048),IF(OR(D2269="MD",D2269="BM",D2269="GA")=TRUE,((VLOOKUP(D2269,'Species Codes'!B:I,8,0)*(((((E2269*2.54)+VLOOKUP(D2269,'Species Codes'!B:J,9,0))/VLOOKUP(D2269,'Species Codes'!B:K,10,0))^VLOOKUP(D2269,'Species Codes'!B:L,11,0))*((I2269*0.3048)^VLOOKUP(D2269,'Species Codes'!B:M,12,0))))-(VLOOKUP(D2269,'Species Codes'!B:I,8,0)*((((E2269*2.54)^VLOOKUP(D2269,'Species Codes'!B:L,11,0))*((I2269*0.3048)^VLOOKUP(D2269,'Species Codes'!B:M,12,0))))))*35.3*VLOOKUP(D2269,'Species Codes'!B:G,6,0)/2.2046,VLOOKUP(D2269,'Species Codes'!B:I,8,0)+VLOOKUP(D2269,'Species Codes'!B:J,9,0)*(((E2269*2.54)/100)^2)*(I2269*0.3048)))))*0.0011023),0)</f>
        <v>#N/A</v>
      </c>
      <c r="AC2269" s="104" t="e">
        <f>IF(Z2269&gt;0,((IF(OR(D2269="RA",D2269="OA",D2269="OT",D2269="UN",D2269="PC"),EXP(VLOOKUP(D2269,'Species Codes'!B:O,14,0)+VLOOKUP(D2269,'Species Codes'!B:P,15,0)*LN((E2269*2.54)))-EXP(VLOOKUP(D2269,'Species Codes'!B:O,14,0)+VLOOKUP(D2269,'Species Codes'!B:P,15,0)*LN((E2269*2.54)))*(1/(VLOOKUP(D2269,'Species Codes'!B:Q,16,0)+VLOOKUP(D2269,'Species Codes'!B:R,17,0)*((E2269*2.54)^VLOOKUP(D2269,'Species Codes'!B:S,18,0)))),IF(OR(D2269="BM",D2269="MD",D2269="OA"),EXP(VLOOKUP(D2269,'Species Codes'!B:O,14,0)+VLOOKUP(D2269,'Species Codes'!B:P,15,0)*LN((E2269*2.54)))*(1-(1/(VLOOKUP(D2269,'Species Codes'!B:Q,16,0)+VLOOKUP(D2269,'Species Codes'!B:R,17,0)*((E2269*2.54)^VLOOKUP(D2269,'Species Codes'!B:S,18,0)))))/1000,IF(D2269="DF",EXP(VLOOKUP(D2269,'Species Codes'!B:O,14,0)+VLOOKUP(D2269,'Species Codes'!B:P,15,0)*LN((E2269*2.54))),VLOOKUP(D2269,'Species Codes'!B:O,14,0)+VLOOKUP(D2269,'Species Codes'!B:P,15,0)*(((E2269*2.54)/100)^2)*(I2269*0.3048)))))*0.0011023),0)</f>
        <v>#N/A</v>
      </c>
      <c r="AD2269" s="104" t="e">
        <f t="shared" ref="AD2269:AD2332" si="1003">SUM(AA2269:AC2269)</f>
        <v>#N/A</v>
      </c>
      <c r="AE2269" s="104" t="e">
        <f t="shared" ref="AE2269:AE2332" si="1004">AD2269*O2269</f>
        <v>#N/A</v>
      </c>
      <c r="AF2269" s="104" t="e">
        <f>IF(AND(VLOOKUP($D2269,Merchantability!$B:$C,2,0)="Yes",$E2269&gt;=VLOOKUP($D2269,Merchantability!$B:$D,3,0),$E2269&lt;=VLOOKUP($D2269,Merchantability!$B:$E,4,0)),AA2269,0)</f>
        <v>#N/A</v>
      </c>
      <c r="AG2269" s="104" t="e">
        <f>IF(AND(VLOOKUP($D2269,Merchantability!$B:$C,2,0)="Yes",$E2269&gt;=VLOOKUP($D2269,Merchantability!$B:$D,3,0),$E2269&lt;=VLOOKUP($D2269,Merchantability!$B:$E,4,0)),AB2269,0)</f>
        <v>#N/A</v>
      </c>
      <c r="AH2269" s="104" t="e">
        <f>IF(AND(VLOOKUP($D2269,Merchantability!$B:$C,2,0)="Yes",$E2269&gt;=VLOOKUP($D2269,Merchantability!$B:$D,3,0),$E2269&lt;=VLOOKUP($D2269,Merchantability!$B:$E,4,0)),AC2269,0)</f>
        <v>#N/A</v>
      </c>
      <c r="AI2269" s="104" t="e">
        <f t="shared" ref="AI2269:AI2332" si="1005">SUM(AF2269:AH2269)</f>
        <v>#N/A</v>
      </c>
      <c r="AJ2269" s="104" t="e">
        <f t="shared" ref="AJ2269:AJ2332" si="1006">AA2269*$O2269</f>
        <v>#VALUE!</v>
      </c>
      <c r="AK2269" s="104" t="e">
        <f t="shared" ref="AK2269:AK2332" si="1007">AB2269*$O2269</f>
        <v>#N/A</v>
      </c>
      <c r="AL2269" s="104" t="e">
        <f t="shared" ref="AL2269:AL2332" si="1008">AC2269*$O2269</f>
        <v>#N/A</v>
      </c>
      <c r="AM2269" s="104" t="e">
        <f t="shared" ref="AM2269:AM2332" si="1009">AD2269*$O2269</f>
        <v>#N/A</v>
      </c>
      <c r="AN2269" s="104" t="e">
        <f t="shared" si="993"/>
        <v>#N/A</v>
      </c>
      <c r="AO2269" s="104" t="e">
        <f t="shared" si="994"/>
        <v>#N/A</v>
      </c>
      <c r="AP2269" s="104" t="e">
        <f t="shared" si="995"/>
        <v>#N/A</v>
      </c>
      <c r="AQ2269" s="104" t="e">
        <f t="shared" si="996"/>
        <v>#N/A</v>
      </c>
      <c r="AR2269" s="105" t="str">
        <f t="shared" si="988"/>
        <v/>
      </c>
      <c r="AS2269" s="105" t="str">
        <f t="shared" si="989"/>
        <v/>
      </c>
      <c r="AT2269" s="108" t="str">
        <f t="shared" si="990"/>
        <v/>
      </c>
      <c r="AU2269" s="108" t="str">
        <f t="shared" si="991"/>
        <v/>
      </c>
      <c r="AV2269" s="107" t="str">
        <f>IF(ISNUMBER(O2269),IF(VLOOKUP($A2269,Stand!C:J,8,FALSE)="Short",AT2269,AU2269),"")</f>
        <v/>
      </c>
      <c r="AW2269" s="109" t="str">
        <f t="shared" si="997"/>
        <v/>
      </c>
      <c r="AX2269" s="109" t="str">
        <f t="shared" si="998"/>
        <v/>
      </c>
      <c r="AY2269" s="112" t="str">
        <f>IF(ISNUMBER(O2269),IF(AND(VLOOKUP($D2269,Merchantability!$B:$C,2,0)="Yes",$E2269&gt;=VLOOKUP($D2269,Merchantability!$B:$D,3,0),$E2269&lt;=VLOOKUP($D2269,Merchantability!$B:$E,4,0)),(AV2269*O2269)*(1-$H2269/100),""),"")</f>
        <v/>
      </c>
      <c r="AZ2269" s="116"/>
      <c r="BA2269" s="116"/>
      <c r="BB2269" s="116"/>
      <c r="BE2269" s="62"/>
      <c r="BF2269" s="63"/>
    </row>
    <row r="2270" spans="1:58" ht="12.75" customHeight="1" x14ac:dyDescent="0.25">
      <c r="A2270" s="334"/>
      <c r="B2270" s="334"/>
      <c r="C2270" s="332"/>
      <c r="D2270" s="334"/>
      <c r="E2270" s="335"/>
      <c r="F2270" s="334"/>
      <c r="G2270" s="332"/>
      <c r="H2270" s="332"/>
      <c r="I2270" s="334"/>
      <c r="J2270" s="336"/>
      <c r="K2270" s="332"/>
      <c r="L2270" s="332"/>
      <c r="M2270" s="76"/>
      <c r="N2270" s="103" t="str">
        <f>IF(A2270="","",VLOOKUP(A2270,Stand!C:K,9,0))</f>
        <v/>
      </c>
      <c r="O2270" s="104" t="str">
        <f t="shared" si="983"/>
        <v/>
      </c>
      <c r="P2270" s="105" t="str">
        <f t="shared" si="984"/>
        <v/>
      </c>
      <c r="Q2270" s="105" t="str">
        <f t="shared" si="999"/>
        <v/>
      </c>
      <c r="R2270" s="103" t="str">
        <f t="shared" si="985"/>
        <v/>
      </c>
      <c r="S2270" s="103" t="str">
        <f t="shared" si="986"/>
        <v/>
      </c>
      <c r="T2270" s="106" t="str">
        <f t="shared" si="1000"/>
        <v/>
      </c>
      <c r="U2270" s="106" t="str">
        <f t="shared" si="1001"/>
        <v/>
      </c>
      <c r="V2270" s="106" t="str">
        <f t="shared" si="1002"/>
        <v/>
      </c>
      <c r="W2270" s="105" t="str">
        <f t="shared" si="987"/>
        <v/>
      </c>
      <c r="X2270" s="104" t="str">
        <f t="shared" si="992"/>
        <v/>
      </c>
      <c r="Y2270" s="104" t="str">
        <f t="array" ref="Y2270">IFERROR(IF(ISNUMBER(O2270),IF(COUNT(IF(A2270=$A$2:$A$2427,IF(D2270=$D$2:$D$2427,IF($X$2:$X$2427&gt;0,1))))&gt;0,SUM(IF(A2270=$A$2:$A$2427,IF(D2270=$D$2:$D$2427,$X$2:$X$2427)))/COUNT(IF(A2270=$A$2:$A$2427,IF(D2270=$D$2:$D$2427,IF(ISNUMBER($X$2:$X$2427),1)))),0),""),0)</f>
        <v/>
      </c>
      <c r="Z2270" s="104" t="str">
        <f>IF(ISNUMBER(O2270),IF(I2270&gt;0,(10^(VLOOKUP(D2270,'Species Codes'!B:C,2,0)+VLOOKUP(D2270,'Species Codes'!B:D,3,0)*LOG(E2270)+VLOOKUP(D2270,'Species Codes'!B:E,4,0)*LOG(I2270))),0),"")</f>
        <v/>
      </c>
      <c r="AA2270" s="104" t="str">
        <f>IFERROR((VLOOKUP(D2270,'Species Codes'!B:G,6,0)*Z2270)/2000,"")</f>
        <v/>
      </c>
      <c r="AB2270" s="104" t="e">
        <f>IF(Z2270&gt;0,((IF(OR(D2270="DF",D2270="RA")=TRUE,EXP(VLOOKUP(D2270,'Species Codes'!B:I,8,0)+VLOOKUP(D2270,'Species Codes'!B:J,9,0)*(LN((E2270*2.54)))),IF(OR(D2270="PY",D2270="RC",D2270="WH",D2270="NF")=TRUE,VLOOKUP(D2270,'Species Codes'!B:I,8,0)+VLOOKUP(D2270,'Species Codes'!B:J,9,0)*((E2270*2.54)^2)*(I2270*0.3048),IF(OR(D2270="MD",D2270="BM",D2270="GA")=TRUE,((VLOOKUP(D2270,'Species Codes'!B:I,8,0)*(((((E2270*2.54)+VLOOKUP(D2270,'Species Codes'!B:J,9,0))/VLOOKUP(D2270,'Species Codes'!B:K,10,0))^VLOOKUP(D2270,'Species Codes'!B:L,11,0))*((I2270*0.3048)^VLOOKUP(D2270,'Species Codes'!B:M,12,0))))-(VLOOKUP(D2270,'Species Codes'!B:I,8,0)*((((E2270*2.54)^VLOOKUP(D2270,'Species Codes'!B:L,11,0))*((I2270*0.3048)^VLOOKUP(D2270,'Species Codes'!B:M,12,0))))))*35.3*VLOOKUP(D2270,'Species Codes'!B:G,6,0)/2.2046,VLOOKUP(D2270,'Species Codes'!B:I,8,0)+VLOOKUP(D2270,'Species Codes'!B:J,9,0)*(((E2270*2.54)/100)^2)*(I2270*0.3048)))))*0.0011023),0)</f>
        <v>#N/A</v>
      </c>
      <c r="AC2270" s="104" t="e">
        <f>IF(Z2270&gt;0,((IF(OR(D2270="RA",D2270="OA",D2270="OT",D2270="UN",D2270="PC"),EXP(VLOOKUP(D2270,'Species Codes'!B:O,14,0)+VLOOKUP(D2270,'Species Codes'!B:P,15,0)*LN((E2270*2.54)))-EXP(VLOOKUP(D2270,'Species Codes'!B:O,14,0)+VLOOKUP(D2270,'Species Codes'!B:P,15,0)*LN((E2270*2.54)))*(1/(VLOOKUP(D2270,'Species Codes'!B:Q,16,0)+VLOOKUP(D2270,'Species Codes'!B:R,17,0)*((E2270*2.54)^VLOOKUP(D2270,'Species Codes'!B:S,18,0)))),IF(OR(D2270="BM",D2270="MD",D2270="OA"),EXP(VLOOKUP(D2270,'Species Codes'!B:O,14,0)+VLOOKUP(D2270,'Species Codes'!B:P,15,0)*LN((E2270*2.54)))*(1-(1/(VLOOKUP(D2270,'Species Codes'!B:Q,16,0)+VLOOKUP(D2270,'Species Codes'!B:R,17,0)*((E2270*2.54)^VLOOKUP(D2270,'Species Codes'!B:S,18,0)))))/1000,IF(D2270="DF",EXP(VLOOKUP(D2270,'Species Codes'!B:O,14,0)+VLOOKUP(D2270,'Species Codes'!B:P,15,0)*LN((E2270*2.54))),VLOOKUP(D2270,'Species Codes'!B:O,14,0)+VLOOKUP(D2270,'Species Codes'!B:P,15,0)*(((E2270*2.54)/100)^2)*(I2270*0.3048)))))*0.0011023),0)</f>
        <v>#N/A</v>
      </c>
      <c r="AD2270" s="104" t="e">
        <f t="shared" si="1003"/>
        <v>#N/A</v>
      </c>
      <c r="AE2270" s="104" t="e">
        <f t="shared" si="1004"/>
        <v>#N/A</v>
      </c>
      <c r="AF2270" s="104" t="e">
        <f>IF(AND(VLOOKUP($D2270,Merchantability!$B:$C,2,0)="Yes",$E2270&gt;=VLOOKUP($D2270,Merchantability!$B:$D,3,0),$E2270&lt;=VLOOKUP($D2270,Merchantability!$B:$E,4,0)),AA2270,0)</f>
        <v>#N/A</v>
      </c>
      <c r="AG2270" s="104" t="e">
        <f>IF(AND(VLOOKUP($D2270,Merchantability!$B:$C,2,0)="Yes",$E2270&gt;=VLOOKUP($D2270,Merchantability!$B:$D,3,0),$E2270&lt;=VLOOKUP($D2270,Merchantability!$B:$E,4,0)),AB2270,0)</f>
        <v>#N/A</v>
      </c>
      <c r="AH2270" s="104" t="e">
        <f>IF(AND(VLOOKUP($D2270,Merchantability!$B:$C,2,0)="Yes",$E2270&gt;=VLOOKUP($D2270,Merchantability!$B:$D,3,0),$E2270&lt;=VLOOKUP($D2270,Merchantability!$B:$E,4,0)),AC2270,0)</f>
        <v>#N/A</v>
      </c>
      <c r="AI2270" s="104" t="e">
        <f t="shared" si="1005"/>
        <v>#N/A</v>
      </c>
      <c r="AJ2270" s="104" t="e">
        <f t="shared" si="1006"/>
        <v>#VALUE!</v>
      </c>
      <c r="AK2270" s="104" t="e">
        <f t="shared" si="1007"/>
        <v>#N/A</v>
      </c>
      <c r="AL2270" s="104" t="e">
        <f t="shared" si="1008"/>
        <v>#N/A</v>
      </c>
      <c r="AM2270" s="104" t="e">
        <f t="shared" si="1009"/>
        <v>#N/A</v>
      </c>
      <c r="AN2270" s="104" t="e">
        <f t="shared" si="993"/>
        <v>#N/A</v>
      </c>
      <c r="AO2270" s="104" t="e">
        <f t="shared" si="994"/>
        <v>#N/A</v>
      </c>
      <c r="AP2270" s="104" t="e">
        <f t="shared" si="995"/>
        <v>#N/A</v>
      </c>
      <c r="AQ2270" s="104" t="e">
        <f t="shared" si="996"/>
        <v>#N/A</v>
      </c>
      <c r="AR2270" s="105" t="str">
        <f t="shared" si="988"/>
        <v/>
      </c>
      <c r="AS2270" s="105" t="str">
        <f t="shared" si="989"/>
        <v/>
      </c>
      <c r="AT2270" s="108" t="str">
        <f t="shared" si="990"/>
        <v/>
      </c>
      <c r="AU2270" s="108" t="str">
        <f t="shared" si="991"/>
        <v/>
      </c>
      <c r="AV2270" s="107" t="str">
        <f>IF(ISNUMBER(O2270),IF(VLOOKUP($A2270,Stand!C:J,8,FALSE)="Short",AT2270,AU2270),"")</f>
        <v/>
      </c>
      <c r="AW2270" s="109" t="str">
        <f t="shared" si="997"/>
        <v/>
      </c>
      <c r="AX2270" s="109" t="str">
        <f t="shared" si="998"/>
        <v/>
      </c>
      <c r="AY2270" s="112" t="str">
        <f>IF(ISNUMBER(O2270),IF(AND(VLOOKUP($D2270,Merchantability!$B:$C,2,0)="Yes",$E2270&gt;=VLOOKUP($D2270,Merchantability!$B:$D,3,0),$E2270&lt;=VLOOKUP($D2270,Merchantability!$B:$E,4,0)),(AV2270*O2270)*(1-$H2270/100),""),"")</f>
        <v/>
      </c>
      <c r="AZ2270" s="116"/>
      <c r="BA2270" s="116"/>
      <c r="BB2270" s="116"/>
      <c r="BE2270" s="62"/>
      <c r="BF2270" s="63"/>
    </row>
    <row r="2271" spans="1:58" ht="12.75" customHeight="1" x14ac:dyDescent="0.25">
      <c r="A2271" s="334"/>
      <c r="B2271" s="334"/>
      <c r="C2271" s="332"/>
      <c r="D2271" s="334"/>
      <c r="E2271" s="335"/>
      <c r="F2271" s="334"/>
      <c r="G2271" s="332"/>
      <c r="H2271" s="332"/>
      <c r="I2271" s="334"/>
      <c r="J2271" s="336"/>
      <c r="K2271" s="332"/>
      <c r="L2271" s="332"/>
      <c r="M2271" s="76"/>
      <c r="N2271" s="103" t="str">
        <f>IF(A2271="","",VLOOKUP(A2271,Stand!C:K,9,0))</f>
        <v/>
      </c>
      <c r="O2271" s="104" t="str">
        <f t="shared" si="983"/>
        <v/>
      </c>
      <c r="P2271" s="105" t="str">
        <f t="shared" si="984"/>
        <v/>
      </c>
      <c r="Q2271" s="105" t="str">
        <f t="shared" si="999"/>
        <v/>
      </c>
      <c r="R2271" s="103" t="str">
        <f t="shared" si="985"/>
        <v/>
      </c>
      <c r="S2271" s="103" t="str">
        <f t="shared" si="986"/>
        <v/>
      </c>
      <c r="T2271" s="106" t="str">
        <f t="shared" si="1000"/>
        <v/>
      </c>
      <c r="U2271" s="106" t="str">
        <f t="shared" si="1001"/>
        <v/>
      </c>
      <c r="V2271" s="106" t="str">
        <f t="shared" si="1002"/>
        <v/>
      </c>
      <c r="W2271" s="105" t="str">
        <f t="shared" si="987"/>
        <v/>
      </c>
      <c r="X2271" s="104" t="str">
        <f t="shared" si="992"/>
        <v/>
      </c>
      <c r="Y2271" s="104" t="str">
        <f t="array" ref="Y2271">IFERROR(IF(ISNUMBER(O2271),IF(COUNT(IF(A2271=$A$2:$A$2427,IF(D2271=$D$2:$D$2427,IF($X$2:$X$2427&gt;0,1))))&gt;0,SUM(IF(A2271=$A$2:$A$2427,IF(D2271=$D$2:$D$2427,$X$2:$X$2427)))/COUNT(IF(A2271=$A$2:$A$2427,IF(D2271=$D$2:$D$2427,IF(ISNUMBER($X$2:$X$2427),1)))),0),""),0)</f>
        <v/>
      </c>
      <c r="Z2271" s="104" t="str">
        <f>IF(ISNUMBER(O2271),IF(I2271&gt;0,(10^(VLOOKUP(D2271,'Species Codes'!B:C,2,0)+VLOOKUP(D2271,'Species Codes'!B:D,3,0)*LOG(E2271)+VLOOKUP(D2271,'Species Codes'!B:E,4,0)*LOG(I2271))),0),"")</f>
        <v/>
      </c>
      <c r="AA2271" s="104" t="str">
        <f>IFERROR((VLOOKUP(D2271,'Species Codes'!B:G,6,0)*Z2271)/2000,"")</f>
        <v/>
      </c>
      <c r="AB2271" s="104" t="e">
        <f>IF(Z2271&gt;0,((IF(OR(D2271="DF",D2271="RA")=TRUE,EXP(VLOOKUP(D2271,'Species Codes'!B:I,8,0)+VLOOKUP(D2271,'Species Codes'!B:J,9,0)*(LN((E2271*2.54)))),IF(OR(D2271="PY",D2271="RC",D2271="WH",D2271="NF")=TRUE,VLOOKUP(D2271,'Species Codes'!B:I,8,0)+VLOOKUP(D2271,'Species Codes'!B:J,9,0)*((E2271*2.54)^2)*(I2271*0.3048),IF(OR(D2271="MD",D2271="BM",D2271="GA")=TRUE,((VLOOKUP(D2271,'Species Codes'!B:I,8,0)*(((((E2271*2.54)+VLOOKUP(D2271,'Species Codes'!B:J,9,0))/VLOOKUP(D2271,'Species Codes'!B:K,10,0))^VLOOKUP(D2271,'Species Codes'!B:L,11,0))*((I2271*0.3048)^VLOOKUP(D2271,'Species Codes'!B:M,12,0))))-(VLOOKUP(D2271,'Species Codes'!B:I,8,0)*((((E2271*2.54)^VLOOKUP(D2271,'Species Codes'!B:L,11,0))*((I2271*0.3048)^VLOOKUP(D2271,'Species Codes'!B:M,12,0))))))*35.3*VLOOKUP(D2271,'Species Codes'!B:G,6,0)/2.2046,VLOOKUP(D2271,'Species Codes'!B:I,8,0)+VLOOKUP(D2271,'Species Codes'!B:J,9,0)*(((E2271*2.54)/100)^2)*(I2271*0.3048)))))*0.0011023),0)</f>
        <v>#N/A</v>
      </c>
      <c r="AC2271" s="104" t="e">
        <f>IF(Z2271&gt;0,((IF(OR(D2271="RA",D2271="OA",D2271="OT",D2271="UN",D2271="PC"),EXP(VLOOKUP(D2271,'Species Codes'!B:O,14,0)+VLOOKUP(D2271,'Species Codes'!B:P,15,0)*LN((E2271*2.54)))-EXP(VLOOKUP(D2271,'Species Codes'!B:O,14,0)+VLOOKUP(D2271,'Species Codes'!B:P,15,0)*LN((E2271*2.54)))*(1/(VLOOKUP(D2271,'Species Codes'!B:Q,16,0)+VLOOKUP(D2271,'Species Codes'!B:R,17,0)*((E2271*2.54)^VLOOKUP(D2271,'Species Codes'!B:S,18,0)))),IF(OR(D2271="BM",D2271="MD",D2271="OA"),EXP(VLOOKUP(D2271,'Species Codes'!B:O,14,0)+VLOOKUP(D2271,'Species Codes'!B:P,15,0)*LN((E2271*2.54)))*(1-(1/(VLOOKUP(D2271,'Species Codes'!B:Q,16,0)+VLOOKUP(D2271,'Species Codes'!B:R,17,0)*((E2271*2.54)^VLOOKUP(D2271,'Species Codes'!B:S,18,0)))))/1000,IF(D2271="DF",EXP(VLOOKUP(D2271,'Species Codes'!B:O,14,0)+VLOOKUP(D2271,'Species Codes'!B:P,15,0)*LN((E2271*2.54))),VLOOKUP(D2271,'Species Codes'!B:O,14,0)+VLOOKUP(D2271,'Species Codes'!B:P,15,0)*(((E2271*2.54)/100)^2)*(I2271*0.3048)))))*0.0011023),0)</f>
        <v>#N/A</v>
      </c>
      <c r="AD2271" s="104" t="e">
        <f t="shared" si="1003"/>
        <v>#N/A</v>
      </c>
      <c r="AE2271" s="104" t="e">
        <f t="shared" si="1004"/>
        <v>#N/A</v>
      </c>
      <c r="AF2271" s="104" t="e">
        <f>IF(AND(VLOOKUP($D2271,Merchantability!$B:$C,2,0)="Yes",$E2271&gt;=VLOOKUP($D2271,Merchantability!$B:$D,3,0),$E2271&lt;=VLOOKUP($D2271,Merchantability!$B:$E,4,0)),AA2271,0)</f>
        <v>#N/A</v>
      </c>
      <c r="AG2271" s="104" t="e">
        <f>IF(AND(VLOOKUP($D2271,Merchantability!$B:$C,2,0)="Yes",$E2271&gt;=VLOOKUP($D2271,Merchantability!$B:$D,3,0),$E2271&lt;=VLOOKUP($D2271,Merchantability!$B:$E,4,0)),AB2271,0)</f>
        <v>#N/A</v>
      </c>
      <c r="AH2271" s="104" t="e">
        <f>IF(AND(VLOOKUP($D2271,Merchantability!$B:$C,2,0)="Yes",$E2271&gt;=VLOOKUP($D2271,Merchantability!$B:$D,3,0),$E2271&lt;=VLOOKUP($D2271,Merchantability!$B:$E,4,0)),AC2271,0)</f>
        <v>#N/A</v>
      </c>
      <c r="AI2271" s="104" t="e">
        <f t="shared" si="1005"/>
        <v>#N/A</v>
      </c>
      <c r="AJ2271" s="104" t="e">
        <f t="shared" si="1006"/>
        <v>#VALUE!</v>
      </c>
      <c r="AK2271" s="104" t="e">
        <f t="shared" si="1007"/>
        <v>#N/A</v>
      </c>
      <c r="AL2271" s="104" t="e">
        <f t="shared" si="1008"/>
        <v>#N/A</v>
      </c>
      <c r="AM2271" s="104" t="e">
        <f t="shared" si="1009"/>
        <v>#N/A</v>
      </c>
      <c r="AN2271" s="104" t="e">
        <f t="shared" si="993"/>
        <v>#N/A</v>
      </c>
      <c r="AO2271" s="104" t="e">
        <f t="shared" si="994"/>
        <v>#N/A</v>
      </c>
      <c r="AP2271" s="104" t="e">
        <f t="shared" si="995"/>
        <v>#N/A</v>
      </c>
      <c r="AQ2271" s="104" t="e">
        <f t="shared" si="996"/>
        <v>#N/A</v>
      </c>
      <c r="AR2271" s="105" t="str">
        <f t="shared" si="988"/>
        <v/>
      </c>
      <c r="AS2271" s="105" t="str">
        <f t="shared" si="989"/>
        <v/>
      </c>
      <c r="AT2271" s="108" t="str">
        <f t="shared" si="990"/>
        <v/>
      </c>
      <c r="AU2271" s="108" t="str">
        <f t="shared" si="991"/>
        <v/>
      </c>
      <c r="AV2271" s="107" t="str">
        <f>IF(ISNUMBER(O2271),IF(VLOOKUP($A2271,Stand!C:J,8,FALSE)="Short",AT2271,AU2271),"")</f>
        <v/>
      </c>
      <c r="AW2271" s="109" t="str">
        <f t="shared" si="997"/>
        <v/>
      </c>
      <c r="AX2271" s="109" t="str">
        <f t="shared" si="998"/>
        <v/>
      </c>
      <c r="AY2271" s="112" t="str">
        <f>IF(ISNUMBER(O2271),IF(AND(VLOOKUP($D2271,Merchantability!$B:$C,2,0)="Yes",$E2271&gt;=VLOOKUP($D2271,Merchantability!$B:$D,3,0),$E2271&lt;=VLOOKUP($D2271,Merchantability!$B:$E,4,0)),(AV2271*O2271)*(1-$H2271/100),""),"")</f>
        <v/>
      </c>
      <c r="AZ2271" s="116"/>
      <c r="BA2271" s="116"/>
      <c r="BB2271" s="116"/>
      <c r="BE2271" s="62"/>
      <c r="BF2271" s="63"/>
    </row>
    <row r="2272" spans="1:58" ht="12.75" customHeight="1" x14ac:dyDescent="0.25">
      <c r="A2272" s="334"/>
      <c r="B2272" s="334"/>
      <c r="C2272" s="332"/>
      <c r="D2272" s="334"/>
      <c r="E2272" s="335"/>
      <c r="F2272" s="334"/>
      <c r="G2272" s="332"/>
      <c r="H2272" s="332"/>
      <c r="I2272" s="334"/>
      <c r="J2272" s="336"/>
      <c r="K2272" s="332"/>
      <c r="L2272" s="332"/>
      <c r="M2272" s="76"/>
      <c r="N2272" s="103" t="str">
        <f>IF(A2272="","",VLOOKUP(A2272,Stand!C:K,9,0))</f>
        <v/>
      </c>
      <c r="O2272" s="104" t="str">
        <f t="shared" si="983"/>
        <v/>
      </c>
      <c r="P2272" s="105" t="str">
        <f t="shared" si="984"/>
        <v/>
      </c>
      <c r="Q2272" s="105" t="str">
        <f t="shared" si="999"/>
        <v/>
      </c>
      <c r="R2272" s="103" t="str">
        <f t="shared" si="985"/>
        <v/>
      </c>
      <c r="S2272" s="103" t="str">
        <f t="shared" si="986"/>
        <v/>
      </c>
      <c r="T2272" s="106" t="str">
        <f t="shared" si="1000"/>
        <v/>
      </c>
      <c r="U2272" s="106" t="str">
        <f t="shared" si="1001"/>
        <v/>
      </c>
      <c r="V2272" s="106" t="str">
        <f t="shared" si="1002"/>
        <v/>
      </c>
      <c r="W2272" s="105" t="str">
        <f t="shared" si="987"/>
        <v/>
      </c>
      <c r="X2272" s="104" t="str">
        <f t="shared" si="992"/>
        <v/>
      </c>
      <c r="Y2272" s="104" t="str">
        <f t="array" ref="Y2272">IFERROR(IF(ISNUMBER(O2272),IF(COUNT(IF(A2272=$A$2:$A$2427,IF(D2272=$D$2:$D$2427,IF($X$2:$X$2427&gt;0,1))))&gt;0,SUM(IF(A2272=$A$2:$A$2427,IF(D2272=$D$2:$D$2427,$X$2:$X$2427)))/COUNT(IF(A2272=$A$2:$A$2427,IF(D2272=$D$2:$D$2427,IF(ISNUMBER($X$2:$X$2427),1)))),0),""),0)</f>
        <v/>
      </c>
      <c r="Z2272" s="104" t="str">
        <f>IF(ISNUMBER(O2272),IF(I2272&gt;0,(10^(VLOOKUP(D2272,'Species Codes'!B:C,2,0)+VLOOKUP(D2272,'Species Codes'!B:D,3,0)*LOG(E2272)+VLOOKUP(D2272,'Species Codes'!B:E,4,0)*LOG(I2272))),0),"")</f>
        <v/>
      </c>
      <c r="AA2272" s="104" t="str">
        <f>IFERROR((VLOOKUP(D2272,'Species Codes'!B:G,6,0)*Z2272)/2000,"")</f>
        <v/>
      </c>
      <c r="AB2272" s="104" t="e">
        <f>IF(Z2272&gt;0,((IF(OR(D2272="DF",D2272="RA")=TRUE,EXP(VLOOKUP(D2272,'Species Codes'!B:I,8,0)+VLOOKUP(D2272,'Species Codes'!B:J,9,0)*(LN((E2272*2.54)))),IF(OR(D2272="PY",D2272="RC",D2272="WH",D2272="NF")=TRUE,VLOOKUP(D2272,'Species Codes'!B:I,8,0)+VLOOKUP(D2272,'Species Codes'!B:J,9,0)*((E2272*2.54)^2)*(I2272*0.3048),IF(OR(D2272="MD",D2272="BM",D2272="GA")=TRUE,((VLOOKUP(D2272,'Species Codes'!B:I,8,0)*(((((E2272*2.54)+VLOOKUP(D2272,'Species Codes'!B:J,9,0))/VLOOKUP(D2272,'Species Codes'!B:K,10,0))^VLOOKUP(D2272,'Species Codes'!B:L,11,0))*((I2272*0.3048)^VLOOKUP(D2272,'Species Codes'!B:M,12,0))))-(VLOOKUP(D2272,'Species Codes'!B:I,8,0)*((((E2272*2.54)^VLOOKUP(D2272,'Species Codes'!B:L,11,0))*((I2272*0.3048)^VLOOKUP(D2272,'Species Codes'!B:M,12,0))))))*35.3*VLOOKUP(D2272,'Species Codes'!B:G,6,0)/2.2046,VLOOKUP(D2272,'Species Codes'!B:I,8,0)+VLOOKUP(D2272,'Species Codes'!B:J,9,0)*(((E2272*2.54)/100)^2)*(I2272*0.3048)))))*0.0011023),0)</f>
        <v>#N/A</v>
      </c>
      <c r="AC2272" s="104" t="e">
        <f>IF(Z2272&gt;0,((IF(OR(D2272="RA",D2272="OA",D2272="OT",D2272="UN",D2272="PC"),EXP(VLOOKUP(D2272,'Species Codes'!B:O,14,0)+VLOOKUP(D2272,'Species Codes'!B:P,15,0)*LN((E2272*2.54)))-EXP(VLOOKUP(D2272,'Species Codes'!B:O,14,0)+VLOOKUP(D2272,'Species Codes'!B:P,15,0)*LN((E2272*2.54)))*(1/(VLOOKUP(D2272,'Species Codes'!B:Q,16,0)+VLOOKUP(D2272,'Species Codes'!B:R,17,0)*((E2272*2.54)^VLOOKUP(D2272,'Species Codes'!B:S,18,0)))),IF(OR(D2272="BM",D2272="MD",D2272="OA"),EXP(VLOOKUP(D2272,'Species Codes'!B:O,14,0)+VLOOKUP(D2272,'Species Codes'!B:P,15,0)*LN((E2272*2.54)))*(1-(1/(VLOOKUP(D2272,'Species Codes'!B:Q,16,0)+VLOOKUP(D2272,'Species Codes'!B:R,17,0)*((E2272*2.54)^VLOOKUP(D2272,'Species Codes'!B:S,18,0)))))/1000,IF(D2272="DF",EXP(VLOOKUP(D2272,'Species Codes'!B:O,14,0)+VLOOKUP(D2272,'Species Codes'!B:P,15,0)*LN((E2272*2.54))),VLOOKUP(D2272,'Species Codes'!B:O,14,0)+VLOOKUP(D2272,'Species Codes'!B:P,15,0)*(((E2272*2.54)/100)^2)*(I2272*0.3048)))))*0.0011023),0)</f>
        <v>#N/A</v>
      </c>
      <c r="AD2272" s="104" t="e">
        <f t="shared" si="1003"/>
        <v>#N/A</v>
      </c>
      <c r="AE2272" s="104" t="e">
        <f t="shared" si="1004"/>
        <v>#N/A</v>
      </c>
      <c r="AF2272" s="104" t="e">
        <f>IF(AND(VLOOKUP($D2272,Merchantability!$B:$C,2,0)="Yes",$E2272&gt;=VLOOKUP($D2272,Merchantability!$B:$D,3,0),$E2272&lt;=VLOOKUP($D2272,Merchantability!$B:$E,4,0)),AA2272,0)</f>
        <v>#N/A</v>
      </c>
      <c r="AG2272" s="104" t="e">
        <f>IF(AND(VLOOKUP($D2272,Merchantability!$B:$C,2,0)="Yes",$E2272&gt;=VLOOKUP($D2272,Merchantability!$B:$D,3,0),$E2272&lt;=VLOOKUP($D2272,Merchantability!$B:$E,4,0)),AB2272,0)</f>
        <v>#N/A</v>
      </c>
      <c r="AH2272" s="104" t="e">
        <f>IF(AND(VLOOKUP($D2272,Merchantability!$B:$C,2,0)="Yes",$E2272&gt;=VLOOKUP($D2272,Merchantability!$B:$D,3,0),$E2272&lt;=VLOOKUP($D2272,Merchantability!$B:$E,4,0)),AC2272,0)</f>
        <v>#N/A</v>
      </c>
      <c r="AI2272" s="104" t="e">
        <f t="shared" si="1005"/>
        <v>#N/A</v>
      </c>
      <c r="AJ2272" s="104" t="e">
        <f t="shared" si="1006"/>
        <v>#VALUE!</v>
      </c>
      <c r="AK2272" s="104" t="e">
        <f t="shared" si="1007"/>
        <v>#N/A</v>
      </c>
      <c r="AL2272" s="104" t="e">
        <f t="shared" si="1008"/>
        <v>#N/A</v>
      </c>
      <c r="AM2272" s="104" t="e">
        <f t="shared" si="1009"/>
        <v>#N/A</v>
      </c>
      <c r="AN2272" s="104" t="e">
        <f t="shared" si="993"/>
        <v>#N/A</v>
      </c>
      <c r="AO2272" s="104" t="e">
        <f t="shared" si="994"/>
        <v>#N/A</v>
      </c>
      <c r="AP2272" s="104" t="e">
        <f t="shared" si="995"/>
        <v>#N/A</v>
      </c>
      <c r="AQ2272" s="104" t="e">
        <f t="shared" si="996"/>
        <v>#N/A</v>
      </c>
      <c r="AR2272" s="105" t="str">
        <f t="shared" si="988"/>
        <v/>
      </c>
      <c r="AS2272" s="105" t="str">
        <f t="shared" si="989"/>
        <v/>
      </c>
      <c r="AT2272" s="108" t="str">
        <f t="shared" si="990"/>
        <v/>
      </c>
      <c r="AU2272" s="108" t="str">
        <f t="shared" si="991"/>
        <v/>
      </c>
      <c r="AV2272" s="107" t="str">
        <f>IF(ISNUMBER(O2272),IF(VLOOKUP($A2272,Stand!C:J,8,FALSE)="Short",AT2272,AU2272),"")</f>
        <v/>
      </c>
      <c r="AW2272" s="109" t="str">
        <f t="shared" si="997"/>
        <v/>
      </c>
      <c r="AX2272" s="109" t="str">
        <f t="shared" si="998"/>
        <v/>
      </c>
      <c r="AY2272" s="112" t="str">
        <f>IF(ISNUMBER(O2272),IF(AND(VLOOKUP($D2272,Merchantability!$B:$C,2,0)="Yes",$E2272&gt;=VLOOKUP($D2272,Merchantability!$B:$D,3,0),$E2272&lt;=VLOOKUP($D2272,Merchantability!$B:$E,4,0)),(AV2272*O2272)*(1-$H2272/100),""),"")</f>
        <v/>
      </c>
      <c r="AZ2272" s="116"/>
      <c r="BA2272" s="116"/>
      <c r="BB2272" s="116"/>
      <c r="BE2272" s="62"/>
      <c r="BF2272" s="63"/>
    </row>
    <row r="2273" spans="1:58" ht="12.75" customHeight="1" x14ac:dyDescent="0.25">
      <c r="A2273" s="334"/>
      <c r="B2273" s="334"/>
      <c r="C2273" s="332"/>
      <c r="D2273" s="334"/>
      <c r="E2273" s="335"/>
      <c r="F2273" s="334"/>
      <c r="G2273" s="332"/>
      <c r="H2273" s="332"/>
      <c r="I2273" s="334"/>
      <c r="J2273" s="336"/>
      <c r="K2273" s="332"/>
      <c r="L2273" s="332"/>
      <c r="M2273" s="76"/>
      <c r="N2273" s="103" t="str">
        <f>IF(A2273="","",VLOOKUP(A2273,Stand!C:K,9,0))</f>
        <v/>
      </c>
      <c r="O2273" s="104" t="str">
        <f t="shared" si="983"/>
        <v/>
      </c>
      <c r="P2273" s="105" t="str">
        <f t="shared" si="984"/>
        <v/>
      </c>
      <c r="Q2273" s="105" t="str">
        <f t="shared" si="999"/>
        <v/>
      </c>
      <c r="R2273" s="103" t="str">
        <f t="shared" si="985"/>
        <v/>
      </c>
      <c r="S2273" s="103" t="str">
        <f t="shared" si="986"/>
        <v/>
      </c>
      <c r="T2273" s="106" t="str">
        <f t="shared" si="1000"/>
        <v/>
      </c>
      <c r="U2273" s="106" t="str">
        <f t="shared" si="1001"/>
        <v/>
      </c>
      <c r="V2273" s="106" t="str">
        <f t="shared" si="1002"/>
        <v/>
      </c>
      <c r="W2273" s="105" t="str">
        <f t="shared" si="987"/>
        <v/>
      </c>
      <c r="X2273" s="104" t="str">
        <f t="shared" si="992"/>
        <v/>
      </c>
      <c r="Y2273" s="104" t="str">
        <f t="array" ref="Y2273">IFERROR(IF(ISNUMBER(O2273),IF(COUNT(IF(A2273=$A$2:$A$2427,IF(D2273=$D$2:$D$2427,IF($X$2:$X$2427&gt;0,1))))&gt;0,SUM(IF(A2273=$A$2:$A$2427,IF(D2273=$D$2:$D$2427,$X$2:$X$2427)))/COUNT(IF(A2273=$A$2:$A$2427,IF(D2273=$D$2:$D$2427,IF(ISNUMBER($X$2:$X$2427),1)))),0),""),0)</f>
        <v/>
      </c>
      <c r="Z2273" s="104" t="str">
        <f>IF(ISNUMBER(O2273),IF(I2273&gt;0,(10^(VLOOKUP(D2273,'Species Codes'!B:C,2,0)+VLOOKUP(D2273,'Species Codes'!B:D,3,0)*LOG(E2273)+VLOOKUP(D2273,'Species Codes'!B:E,4,0)*LOG(I2273))),0),"")</f>
        <v/>
      </c>
      <c r="AA2273" s="104" t="str">
        <f>IFERROR((VLOOKUP(D2273,'Species Codes'!B:G,6,0)*Z2273)/2000,"")</f>
        <v/>
      </c>
      <c r="AB2273" s="104" t="e">
        <f>IF(Z2273&gt;0,((IF(OR(D2273="DF",D2273="RA")=TRUE,EXP(VLOOKUP(D2273,'Species Codes'!B:I,8,0)+VLOOKUP(D2273,'Species Codes'!B:J,9,0)*(LN((E2273*2.54)))),IF(OR(D2273="PY",D2273="RC",D2273="WH",D2273="NF")=TRUE,VLOOKUP(D2273,'Species Codes'!B:I,8,0)+VLOOKUP(D2273,'Species Codes'!B:J,9,0)*((E2273*2.54)^2)*(I2273*0.3048),IF(OR(D2273="MD",D2273="BM",D2273="GA")=TRUE,((VLOOKUP(D2273,'Species Codes'!B:I,8,0)*(((((E2273*2.54)+VLOOKUP(D2273,'Species Codes'!B:J,9,0))/VLOOKUP(D2273,'Species Codes'!B:K,10,0))^VLOOKUP(D2273,'Species Codes'!B:L,11,0))*((I2273*0.3048)^VLOOKUP(D2273,'Species Codes'!B:M,12,0))))-(VLOOKUP(D2273,'Species Codes'!B:I,8,0)*((((E2273*2.54)^VLOOKUP(D2273,'Species Codes'!B:L,11,0))*((I2273*0.3048)^VLOOKUP(D2273,'Species Codes'!B:M,12,0))))))*35.3*VLOOKUP(D2273,'Species Codes'!B:G,6,0)/2.2046,VLOOKUP(D2273,'Species Codes'!B:I,8,0)+VLOOKUP(D2273,'Species Codes'!B:J,9,0)*(((E2273*2.54)/100)^2)*(I2273*0.3048)))))*0.0011023),0)</f>
        <v>#N/A</v>
      </c>
      <c r="AC2273" s="104" t="e">
        <f>IF(Z2273&gt;0,((IF(OR(D2273="RA",D2273="OA",D2273="OT",D2273="UN",D2273="PC"),EXP(VLOOKUP(D2273,'Species Codes'!B:O,14,0)+VLOOKUP(D2273,'Species Codes'!B:P,15,0)*LN((E2273*2.54)))-EXP(VLOOKUP(D2273,'Species Codes'!B:O,14,0)+VLOOKUP(D2273,'Species Codes'!B:P,15,0)*LN((E2273*2.54)))*(1/(VLOOKUP(D2273,'Species Codes'!B:Q,16,0)+VLOOKUP(D2273,'Species Codes'!B:R,17,0)*((E2273*2.54)^VLOOKUP(D2273,'Species Codes'!B:S,18,0)))),IF(OR(D2273="BM",D2273="MD",D2273="OA"),EXP(VLOOKUP(D2273,'Species Codes'!B:O,14,0)+VLOOKUP(D2273,'Species Codes'!B:P,15,0)*LN((E2273*2.54)))*(1-(1/(VLOOKUP(D2273,'Species Codes'!B:Q,16,0)+VLOOKUP(D2273,'Species Codes'!B:R,17,0)*((E2273*2.54)^VLOOKUP(D2273,'Species Codes'!B:S,18,0)))))/1000,IF(D2273="DF",EXP(VLOOKUP(D2273,'Species Codes'!B:O,14,0)+VLOOKUP(D2273,'Species Codes'!B:P,15,0)*LN((E2273*2.54))),VLOOKUP(D2273,'Species Codes'!B:O,14,0)+VLOOKUP(D2273,'Species Codes'!B:P,15,0)*(((E2273*2.54)/100)^2)*(I2273*0.3048)))))*0.0011023),0)</f>
        <v>#N/A</v>
      </c>
      <c r="AD2273" s="104" t="e">
        <f t="shared" si="1003"/>
        <v>#N/A</v>
      </c>
      <c r="AE2273" s="104" t="e">
        <f t="shared" si="1004"/>
        <v>#N/A</v>
      </c>
      <c r="AF2273" s="104" t="e">
        <f>IF(AND(VLOOKUP($D2273,Merchantability!$B:$C,2,0)="Yes",$E2273&gt;=VLOOKUP($D2273,Merchantability!$B:$D,3,0),$E2273&lt;=VLOOKUP($D2273,Merchantability!$B:$E,4,0)),AA2273,0)</f>
        <v>#N/A</v>
      </c>
      <c r="AG2273" s="104" t="e">
        <f>IF(AND(VLOOKUP($D2273,Merchantability!$B:$C,2,0)="Yes",$E2273&gt;=VLOOKUP($D2273,Merchantability!$B:$D,3,0),$E2273&lt;=VLOOKUP($D2273,Merchantability!$B:$E,4,0)),AB2273,0)</f>
        <v>#N/A</v>
      </c>
      <c r="AH2273" s="104" t="e">
        <f>IF(AND(VLOOKUP($D2273,Merchantability!$B:$C,2,0)="Yes",$E2273&gt;=VLOOKUP($D2273,Merchantability!$B:$D,3,0),$E2273&lt;=VLOOKUP($D2273,Merchantability!$B:$E,4,0)),AC2273,0)</f>
        <v>#N/A</v>
      </c>
      <c r="AI2273" s="104" t="e">
        <f t="shared" si="1005"/>
        <v>#N/A</v>
      </c>
      <c r="AJ2273" s="104" t="e">
        <f t="shared" si="1006"/>
        <v>#VALUE!</v>
      </c>
      <c r="AK2273" s="104" t="e">
        <f t="shared" si="1007"/>
        <v>#N/A</v>
      </c>
      <c r="AL2273" s="104" t="e">
        <f t="shared" si="1008"/>
        <v>#N/A</v>
      </c>
      <c r="AM2273" s="104" t="e">
        <f t="shared" si="1009"/>
        <v>#N/A</v>
      </c>
      <c r="AN2273" s="104" t="e">
        <f t="shared" si="993"/>
        <v>#N/A</v>
      </c>
      <c r="AO2273" s="104" t="e">
        <f t="shared" si="994"/>
        <v>#N/A</v>
      </c>
      <c r="AP2273" s="104" t="e">
        <f t="shared" si="995"/>
        <v>#N/A</v>
      </c>
      <c r="AQ2273" s="104" t="e">
        <f t="shared" si="996"/>
        <v>#N/A</v>
      </c>
      <c r="AR2273" s="105" t="str">
        <f t="shared" si="988"/>
        <v/>
      </c>
      <c r="AS2273" s="105" t="str">
        <f t="shared" si="989"/>
        <v/>
      </c>
      <c r="AT2273" s="108" t="str">
        <f t="shared" si="990"/>
        <v/>
      </c>
      <c r="AU2273" s="108" t="str">
        <f t="shared" si="991"/>
        <v/>
      </c>
      <c r="AV2273" s="107" t="str">
        <f>IF(ISNUMBER(O2273),IF(VLOOKUP($A2273,Stand!C:J,8,FALSE)="Short",AT2273,AU2273),"")</f>
        <v/>
      </c>
      <c r="AW2273" s="109" t="str">
        <f t="shared" si="997"/>
        <v/>
      </c>
      <c r="AX2273" s="109" t="str">
        <f t="shared" si="998"/>
        <v/>
      </c>
      <c r="AY2273" s="112" t="str">
        <f>IF(ISNUMBER(O2273),IF(AND(VLOOKUP($D2273,Merchantability!$B:$C,2,0)="Yes",$E2273&gt;=VLOOKUP($D2273,Merchantability!$B:$D,3,0),$E2273&lt;=VLOOKUP($D2273,Merchantability!$B:$E,4,0)),(AV2273*O2273)*(1-$H2273/100),""),"")</f>
        <v/>
      </c>
      <c r="AZ2273" s="116"/>
      <c r="BA2273" s="116"/>
      <c r="BB2273" s="116"/>
      <c r="BE2273" s="62"/>
      <c r="BF2273" s="63"/>
    </row>
    <row r="2274" spans="1:58" ht="12.75" customHeight="1" x14ac:dyDescent="0.25">
      <c r="A2274" s="334"/>
      <c r="B2274" s="334"/>
      <c r="C2274" s="332"/>
      <c r="D2274" s="334"/>
      <c r="E2274" s="335"/>
      <c r="F2274" s="334"/>
      <c r="G2274" s="332"/>
      <c r="H2274" s="332"/>
      <c r="I2274" s="334"/>
      <c r="J2274" s="336"/>
      <c r="K2274" s="332"/>
      <c r="L2274" s="332"/>
      <c r="M2274" s="76"/>
      <c r="N2274" s="103" t="str">
        <f>IF(A2274="","",VLOOKUP(A2274,Stand!C:K,9,0))</f>
        <v/>
      </c>
      <c r="O2274" s="104" t="str">
        <f t="shared" si="983"/>
        <v/>
      </c>
      <c r="P2274" s="105" t="str">
        <f t="shared" si="984"/>
        <v/>
      </c>
      <c r="Q2274" s="105" t="str">
        <f t="shared" si="999"/>
        <v/>
      </c>
      <c r="R2274" s="103" t="str">
        <f t="shared" si="985"/>
        <v/>
      </c>
      <c r="S2274" s="103" t="str">
        <f t="shared" si="986"/>
        <v/>
      </c>
      <c r="T2274" s="106" t="str">
        <f t="shared" si="1000"/>
        <v/>
      </c>
      <c r="U2274" s="106" t="str">
        <f t="shared" si="1001"/>
        <v/>
      </c>
      <c r="V2274" s="106" t="str">
        <f t="shared" si="1002"/>
        <v/>
      </c>
      <c r="W2274" s="105" t="str">
        <f t="shared" si="987"/>
        <v/>
      </c>
      <c r="X2274" s="104" t="str">
        <f t="shared" si="992"/>
        <v/>
      </c>
      <c r="Y2274" s="104" t="str">
        <f t="array" ref="Y2274">IFERROR(IF(ISNUMBER(O2274),IF(COUNT(IF(A2274=$A$2:$A$2427,IF(D2274=$D$2:$D$2427,IF($X$2:$X$2427&gt;0,1))))&gt;0,SUM(IF(A2274=$A$2:$A$2427,IF(D2274=$D$2:$D$2427,$X$2:$X$2427)))/COUNT(IF(A2274=$A$2:$A$2427,IF(D2274=$D$2:$D$2427,IF(ISNUMBER($X$2:$X$2427),1)))),0),""),0)</f>
        <v/>
      </c>
      <c r="Z2274" s="104" t="str">
        <f>IF(ISNUMBER(O2274),IF(I2274&gt;0,(10^(VLOOKUP(D2274,'Species Codes'!B:C,2,0)+VLOOKUP(D2274,'Species Codes'!B:D,3,0)*LOG(E2274)+VLOOKUP(D2274,'Species Codes'!B:E,4,0)*LOG(I2274))),0),"")</f>
        <v/>
      </c>
      <c r="AA2274" s="104" t="str">
        <f>IFERROR((VLOOKUP(D2274,'Species Codes'!B:G,6,0)*Z2274)/2000,"")</f>
        <v/>
      </c>
      <c r="AB2274" s="104" t="e">
        <f>IF(Z2274&gt;0,((IF(OR(D2274="DF",D2274="RA")=TRUE,EXP(VLOOKUP(D2274,'Species Codes'!B:I,8,0)+VLOOKUP(D2274,'Species Codes'!B:J,9,0)*(LN((E2274*2.54)))),IF(OR(D2274="PY",D2274="RC",D2274="WH",D2274="NF")=TRUE,VLOOKUP(D2274,'Species Codes'!B:I,8,0)+VLOOKUP(D2274,'Species Codes'!B:J,9,0)*((E2274*2.54)^2)*(I2274*0.3048),IF(OR(D2274="MD",D2274="BM",D2274="GA")=TRUE,((VLOOKUP(D2274,'Species Codes'!B:I,8,0)*(((((E2274*2.54)+VLOOKUP(D2274,'Species Codes'!B:J,9,0))/VLOOKUP(D2274,'Species Codes'!B:K,10,0))^VLOOKUP(D2274,'Species Codes'!B:L,11,0))*((I2274*0.3048)^VLOOKUP(D2274,'Species Codes'!B:M,12,0))))-(VLOOKUP(D2274,'Species Codes'!B:I,8,0)*((((E2274*2.54)^VLOOKUP(D2274,'Species Codes'!B:L,11,0))*((I2274*0.3048)^VLOOKUP(D2274,'Species Codes'!B:M,12,0))))))*35.3*VLOOKUP(D2274,'Species Codes'!B:G,6,0)/2.2046,VLOOKUP(D2274,'Species Codes'!B:I,8,0)+VLOOKUP(D2274,'Species Codes'!B:J,9,0)*(((E2274*2.54)/100)^2)*(I2274*0.3048)))))*0.0011023),0)</f>
        <v>#N/A</v>
      </c>
      <c r="AC2274" s="104" t="e">
        <f>IF(Z2274&gt;0,((IF(OR(D2274="RA",D2274="OA",D2274="OT",D2274="UN",D2274="PC"),EXP(VLOOKUP(D2274,'Species Codes'!B:O,14,0)+VLOOKUP(D2274,'Species Codes'!B:P,15,0)*LN((E2274*2.54)))-EXP(VLOOKUP(D2274,'Species Codes'!B:O,14,0)+VLOOKUP(D2274,'Species Codes'!B:P,15,0)*LN((E2274*2.54)))*(1/(VLOOKUP(D2274,'Species Codes'!B:Q,16,0)+VLOOKUP(D2274,'Species Codes'!B:R,17,0)*((E2274*2.54)^VLOOKUP(D2274,'Species Codes'!B:S,18,0)))),IF(OR(D2274="BM",D2274="MD",D2274="OA"),EXP(VLOOKUP(D2274,'Species Codes'!B:O,14,0)+VLOOKUP(D2274,'Species Codes'!B:P,15,0)*LN((E2274*2.54)))*(1-(1/(VLOOKUP(D2274,'Species Codes'!B:Q,16,0)+VLOOKUP(D2274,'Species Codes'!B:R,17,0)*((E2274*2.54)^VLOOKUP(D2274,'Species Codes'!B:S,18,0)))))/1000,IF(D2274="DF",EXP(VLOOKUP(D2274,'Species Codes'!B:O,14,0)+VLOOKUP(D2274,'Species Codes'!B:P,15,0)*LN((E2274*2.54))),VLOOKUP(D2274,'Species Codes'!B:O,14,0)+VLOOKUP(D2274,'Species Codes'!B:P,15,0)*(((E2274*2.54)/100)^2)*(I2274*0.3048)))))*0.0011023),0)</f>
        <v>#N/A</v>
      </c>
      <c r="AD2274" s="104" t="e">
        <f t="shared" si="1003"/>
        <v>#N/A</v>
      </c>
      <c r="AE2274" s="104" t="e">
        <f t="shared" si="1004"/>
        <v>#N/A</v>
      </c>
      <c r="AF2274" s="104" t="e">
        <f>IF(AND(VLOOKUP($D2274,Merchantability!$B:$C,2,0)="Yes",$E2274&gt;=VLOOKUP($D2274,Merchantability!$B:$D,3,0),$E2274&lt;=VLOOKUP($D2274,Merchantability!$B:$E,4,0)),AA2274,0)</f>
        <v>#N/A</v>
      </c>
      <c r="AG2274" s="104" t="e">
        <f>IF(AND(VLOOKUP($D2274,Merchantability!$B:$C,2,0)="Yes",$E2274&gt;=VLOOKUP($D2274,Merchantability!$B:$D,3,0),$E2274&lt;=VLOOKUP($D2274,Merchantability!$B:$E,4,0)),AB2274,0)</f>
        <v>#N/A</v>
      </c>
      <c r="AH2274" s="104" t="e">
        <f>IF(AND(VLOOKUP($D2274,Merchantability!$B:$C,2,0)="Yes",$E2274&gt;=VLOOKUP($D2274,Merchantability!$B:$D,3,0),$E2274&lt;=VLOOKUP($D2274,Merchantability!$B:$E,4,0)),AC2274,0)</f>
        <v>#N/A</v>
      </c>
      <c r="AI2274" s="104" t="e">
        <f t="shared" si="1005"/>
        <v>#N/A</v>
      </c>
      <c r="AJ2274" s="104" t="e">
        <f t="shared" si="1006"/>
        <v>#VALUE!</v>
      </c>
      <c r="AK2274" s="104" t="e">
        <f t="shared" si="1007"/>
        <v>#N/A</v>
      </c>
      <c r="AL2274" s="104" t="e">
        <f t="shared" si="1008"/>
        <v>#N/A</v>
      </c>
      <c r="AM2274" s="104" t="e">
        <f t="shared" si="1009"/>
        <v>#N/A</v>
      </c>
      <c r="AN2274" s="104" t="e">
        <f t="shared" si="993"/>
        <v>#N/A</v>
      </c>
      <c r="AO2274" s="104" t="e">
        <f t="shared" si="994"/>
        <v>#N/A</v>
      </c>
      <c r="AP2274" s="104" t="e">
        <f t="shared" si="995"/>
        <v>#N/A</v>
      </c>
      <c r="AQ2274" s="104" t="e">
        <f t="shared" si="996"/>
        <v>#N/A</v>
      </c>
      <c r="AR2274" s="105" t="str">
        <f t="shared" si="988"/>
        <v/>
      </c>
      <c r="AS2274" s="105" t="str">
        <f t="shared" si="989"/>
        <v/>
      </c>
      <c r="AT2274" s="108" t="str">
        <f t="shared" si="990"/>
        <v/>
      </c>
      <c r="AU2274" s="108" t="str">
        <f t="shared" si="991"/>
        <v/>
      </c>
      <c r="AV2274" s="107" t="str">
        <f>IF(ISNUMBER(O2274),IF(VLOOKUP($A2274,Stand!C:J,8,FALSE)="Short",AT2274,AU2274),"")</f>
        <v/>
      </c>
      <c r="AW2274" s="109" t="str">
        <f t="shared" si="997"/>
        <v/>
      </c>
      <c r="AX2274" s="109" t="str">
        <f t="shared" si="998"/>
        <v/>
      </c>
      <c r="AY2274" s="112" t="str">
        <f>IF(ISNUMBER(O2274),IF(AND(VLOOKUP($D2274,Merchantability!$B:$C,2,0)="Yes",$E2274&gt;=VLOOKUP($D2274,Merchantability!$B:$D,3,0),$E2274&lt;=VLOOKUP($D2274,Merchantability!$B:$E,4,0)),(AV2274*O2274)*(1-$H2274/100),""),"")</f>
        <v/>
      </c>
      <c r="AZ2274" s="116"/>
      <c r="BA2274" s="116"/>
      <c r="BB2274" s="116"/>
      <c r="BE2274" s="62"/>
      <c r="BF2274" s="63"/>
    </row>
    <row r="2275" spans="1:58" ht="12.75" customHeight="1" x14ac:dyDescent="0.25">
      <c r="A2275" s="334"/>
      <c r="B2275" s="334"/>
      <c r="C2275" s="332"/>
      <c r="D2275" s="334"/>
      <c r="E2275" s="335"/>
      <c r="F2275" s="334"/>
      <c r="G2275" s="332"/>
      <c r="H2275" s="332"/>
      <c r="I2275" s="334"/>
      <c r="J2275" s="336"/>
      <c r="K2275" s="332"/>
      <c r="L2275" s="332"/>
      <c r="M2275" s="76"/>
      <c r="N2275" s="103" t="str">
        <f>IF(A2275="","",VLOOKUP(A2275,Stand!C:K,9,0))</f>
        <v/>
      </c>
      <c r="O2275" s="104" t="str">
        <f t="shared" si="983"/>
        <v/>
      </c>
      <c r="P2275" s="105" t="str">
        <f t="shared" si="984"/>
        <v/>
      </c>
      <c r="Q2275" s="105" t="str">
        <f t="shared" si="999"/>
        <v/>
      </c>
      <c r="R2275" s="103" t="str">
        <f t="shared" si="985"/>
        <v/>
      </c>
      <c r="S2275" s="103" t="str">
        <f t="shared" si="986"/>
        <v/>
      </c>
      <c r="T2275" s="106" t="str">
        <f t="shared" si="1000"/>
        <v/>
      </c>
      <c r="U2275" s="106" t="str">
        <f t="shared" si="1001"/>
        <v/>
      </c>
      <c r="V2275" s="106" t="str">
        <f t="shared" si="1002"/>
        <v/>
      </c>
      <c r="W2275" s="105" t="str">
        <f t="shared" si="987"/>
        <v/>
      </c>
      <c r="X2275" s="104" t="str">
        <f t="shared" si="992"/>
        <v/>
      </c>
      <c r="Y2275" s="104" t="str">
        <f t="array" ref="Y2275">IFERROR(IF(ISNUMBER(O2275),IF(COUNT(IF(A2275=$A$2:$A$2427,IF(D2275=$D$2:$D$2427,IF($X$2:$X$2427&gt;0,1))))&gt;0,SUM(IF(A2275=$A$2:$A$2427,IF(D2275=$D$2:$D$2427,$X$2:$X$2427)))/COUNT(IF(A2275=$A$2:$A$2427,IF(D2275=$D$2:$D$2427,IF(ISNUMBER($X$2:$X$2427),1)))),0),""),0)</f>
        <v/>
      </c>
      <c r="Z2275" s="104" t="str">
        <f>IF(ISNUMBER(O2275),IF(I2275&gt;0,(10^(VLOOKUP(D2275,'Species Codes'!B:C,2,0)+VLOOKUP(D2275,'Species Codes'!B:D,3,0)*LOG(E2275)+VLOOKUP(D2275,'Species Codes'!B:E,4,0)*LOG(I2275))),0),"")</f>
        <v/>
      </c>
      <c r="AA2275" s="104" t="str">
        <f>IFERROR((VLOOKUP(D2275,'Species Codes'!B:G,6,0)*Z2275)/2000,"")</f>
        <v/>
      </c>
      <c r="AB2275" s="104" t="e">
        <f>IF(Z2275&gt;0,((IF(OR(D2275="DF",D2275="RA")=TRUE,EXP(VLOOKUP(D2275,'Species Codes'!B:I,8,0)+VLOOKUP(D2275,'Species Codes'!B:J,9,0)*(LN((E2275*2.54)))),IF(OR(D2275="PY",D2275="RC",D2275="WH",D2275="NF")=TRUE,VLOOKUP(D2275,'Species Codes'!B:I,8,0)+VLOOKUP(D2275,'Species Codes'!B:J,9,0)*((E2275*2.54)^2)*(I2275*0.3048),IF(OR(D2275="MD",D2275="BM",D2275="GA")=TRUE,((VLOOKUP(D2275,'Species Codes'!B:I,8,0)*(((((E2275*2.54)+VLOOKUP(D2275,'Species Codes'!B:J,9,0))/VLOOKUP(D2275,'Species Codes'!B:K,10,0))^VLOOKUP(D2275,'Species Codes'!B:L,11,0))*((I2275*0.3048)^VLOOKUP(D2275,'Species Codes'!B:M,12,0))))-(VLOOKUP(D2275,'Species Codes'!B:I,8,0)*((((E2275*2.54)^VLOOKUP(D2275,'Species Codes'!B:L,11,0))*((I2275*0.3048)^VLOOKUP(D2275,'Species Codes'!B:M,12,0))))))*35.3*VLOOKUP(D2275,'Species Codes'!B:G,6,0)/2.2046,VLOOKUP(D2275,'Species Codes'!B:I,8,0)+VLOOKUP(D2275,'Species Codes'!B:J,9,0)*(((E2275*2.54)/100)^2)*(I2275*0.3048)))))*0.0011023),0)</f>
        <v>#N/A</v>
      </c>
      <c r="AC2275" s="104" t="e">
        <f>IF(Z2275&gt;0,((IF(OR(D2275="RA",D2275="OA",D2275="OT",D2275="UN",D2275="PC"),EXP(VLOOKUP(D2275,'Species Codes'!B:O,14,0)+VLOOKUP(D2275,'Species Codes'!B:P,15,0)*LN((E2275*2.54)))-EXP(VLOOKUP(D2275,'Species Codes'!B:O,14,0)+VLOOKUP(D2275,'Species Codes'!B:P,15,0)*LN((E2275*2.54)))*(1/(VLOOKUP(D2275,'Species Codes'!B:Q,16,0)+VLOOKUP(D2275,'Species Codes'!B:R,17,0)*((E2275*2.54)^VLOOKUP(D2275,'Species Codes'!B:S,18,0)))),IF(OR(D2275="BM",D2275="MD",D2275="OA"),EXP(VLOOKUP(D2275,'Species Codes'!B:O,14,0)+VLOOKUP(D2275,'Species Codes'!B:P,15,0)*LN((E2275*2.54)))*(1-(1/(VLOOKUP(D2275,'Species Codes'!B:Q,16,0)+VLOOKUP(D2275,'Species Codes'!B:R,17,0)*((E2275*2.54)^VLOOKUP(D2275,'Species Codes'!B:S,18,0)))))/1000,IF(D2275="DF",EXP(VLOOKUP(D2275,'Species Codes'!B:O,14,0)+VLOOKUP(D2275,'Species Codes'!B:P,15,0)*LN((E2275*2.54))),VLOOKUP(D2275,'Species Codes'!B:O,14,0)+VLOOKUP(D2275,'Species Codes'!B:P,15,0)*(((E2275*2.54)/100)^2)*(I2275*0.3048)))))*0.0011023),0)</f>
        <v>#N/A</v>
      </c>
      <c r="AD2275" s="104" t="e">
        <f t="shared" si="1003"/>
        <v>#N/A</v>
      </c>
      <c r="AE2275" s="104" t="e">
        <f t="shared" si="1004"/>
        <v>#N/A</v>
      </c>
      <c r="AF2275" s="104" t="e">
        <f>IF(AND(VLOOKUP($D2275,Merchantability!$B:$C,2,0)="Yes",$E2275&gt;=VLOOKUP($D2275,Merchantability!$B:$D,3,0),$E2275&lt;=VLOOKUP($D2275,Merchantability!$B:$E,4,0)),AA2275,0)</f>
        <v>#N/A</v>
      </c>
      <c r="AG2275" s="104" t="e">
        <f>IF(AND(VLOOKUP($D2275,Merchantability!$B:$C,2,0)="Yes",$E2275&gt;=VLOOKUP($D2275,Merchantability!$B:$D,3,0),$E2275&lt;=VLOOKUP($D2275,Merchantability!$B:$E,4,0)),AB2275,0)</f>
        <v>#N/A</v>
      </c>
      <c r="AH2275" s="104" t="e">
        <f>IF(AND(VLOOKUP($D2275,Merchantability!$B:$C,2,0)="Yes",$E2275&gt;=VLOOKUP($D2275,Merchantability!$B:$D,3,0),$E2275&lt;=VLOOKUP($D2275,Merchantability!$B:$E,4,0)),AC2275,0)</f>
        <v>#N/A</v>
      </c>
      <c r="AI2275" s="104" t="e">
        <f t="shared" si="1005"/>
        <v>#N/A</v>
      </c>
      <c r="AJ2275" s="104" t="e">
        <f t="shared" si="1006"/>
        <v>#VALUE!</v>
      </c>
      <c r="AK2275" s="104" t="e">
        <f t="shared" si="1007"/>
        <v>#N/A</v>
      </c>
      <c r="AL2275" s="104" t="e">
        <f t="shared" si="1008"/>
        <v>#N/A</v>
      </c>
      <c r="AM2275" s="104" t="e">
        <f t="shared" si="1009"/>
        <v>#N/A</v>
      </c>
      <c r="AN2275" s="104" t="e">
        <f t="shared" si="993"/>
        <v>#N/A</v>
      </c>
      <c r="AO2275" s="104" t="e">
        <f t="shared" si="994"/>
        <v>#N/A</v>
      </c>
      <c r="AP2275" s="104" t="e">
        <f t="shared" si="995"/>
        <v>#N/A</v>
      </c>
      <c r="AQ2275" s="104" t="e">
        <f t="shared" si="996"/>
        <v>#N/A</v>
      </c>
      <c r="AR2275" s="105" t="str">
        <f t="shared" si="988"/>
        <v/>
      </c>
      <c r="AS2275" s="105" t="str">
        <f t="shared" si="989"/>
        <v/>
      </c>
      <c r="AT2275" s="108" t="str">
        <f t="shared" si="990"/>
        <v/>
      </c>
      <c r="AU2275" s="108" t="str">
        <f t="shared" si="991"/>
        <v/>
      </c>
      <c r="AV2275" s="107" t="str">
        <f>IF(ISNUMBER(O2275),IF(VLOOKUP($A2275,Stand!C:J,8,FALSE)="Short",AT2275,AU2275),"")</f>
        <v/>
      </c>
      <c r="AW2275" s="109" t="str">
        <f t="shared" si="997"/>
        <v/>
      </c>
      <c r="AX2275" s="109" t="str">
        <f t="shared" si="998"/>
        <v/>
      </c>
      <c r="AY2275" s="112" t="str">
        <f>IF(ISNUMBER(O2275),IF(AND(VLOOKUP($D2275,Merchantability!$B:$C,2,0)="Yes",$E2275&gt;=VLOOKUP($D2275,Merchantability!$B:$D,3,0),$E2275&lt;=VLOOKUP($D2275,Merchantability!$B:$E,4,0)),(AV2275*O2275)*(1-$H2275/100),""),"")</f>
        <v/>
      </c>
      <c r="AZ2275" s="116"/>
      <c r="BA2275" s="116"/>
      <c r="BB2275" s="116"/>
      <c r="BE2275" s="62"/>
      <c r="BF2275" s="63"/>
    </row>
    <row r="2276" spans="1:58" ht="12.75" customHeight="1" x14ac:dyDescent="0.25">
      <c r="A2276" s="334"/>
      <c r="B2276" s="334"/>
      <c r="C2276" s="332"/>
      <c r="D2276" s="334"/>
      <c r="E2276" s="335"/>
      <c r="F2276" s="334"/>
      <c r="G2276" s="332"/>
      <c r="H2276" s="332"/>
      <c r="I2276" s="334"/>
      <c r="J2276" s="336"/>
      <c r="K2276" s="332"/>
      <c r="L2276" s="332"/>
      <c r="M2276" s="76"/>
      <c r="N2276" s="103" t="str">
        <f>IF(A2276="","",VLOOKUP(A2276,Stand!C:K,9,0))</f>
        <v/>
      </c>
      <c r="O2276" s="104" t="str">
        <f t="shared" si="983"/>
        <v/>
      </c>
      <c r="P2276" s="105" t="str">
        <f t="shared" si="984"/>
        <v/>
      </c>
      <c r="Q2276" s="105" t="str">
        <f t="shared" si="999"/>
        <v/>
      </c>
      <c r="R2276" s="103" t="str">
        <f t="shared" si="985"/>
        <v/>
      </c>
      <c r="S2276" s="103" t="str">
        <f t="shared" si="986"/>
        <v/>
      </c>
      <c r="T2276" s="106" t="str">
        <f t="shared" si="1000"/>
        <v/>
      </c>
      <c r="U2276" s="106" t="str">
        <f t="shared" si="1001"/>
        <v/>
      </c>
      <c r="V2276" s="106" t="str">
        <f t="shared" si="1002"/>
        <v/>
      </c>
      <c r="W2276" s="105" t="str">
        <f t="shared" si="987"/>
        <v/>
      </c>
      <c r="X2276" s="104" t="str">
        <f t="shared" si="992"/>
        <v/>
      </c>
      <c r="Y2276" s="104" t="str">
        <f t="array" ref="Y2276">IFERROR(IF(ISNUMBER(O2276),IF(COUNT(IF(A2276=$A$2:$A$2427,IF(D2276=$D$2:$D$2427,IF($X$2:$X$2427&gt;0,1))))&gt;0,SUM(IF(A2276=$A$2:$A$2427,IF(D2276=$D$2:$D$2427,$X$2:$X$2427)))/COUNT(IF(A2276=$A$2:$A$2427,IF(D2276=$D$2:$D$2427,IF(ISNUMBER($X$2:$X$2427),1)))),0),""),0)</f>
        <v/>
      </c>
      <c r="Z2276" s="104" t="str">
        <f>IF(ISNUMBER(O2276),IF(I2276&gt;0,(10^(VLOOKUP(D2276,'Species Codes'!B:C,2,0)+VLOOKUP(D2276,'Species Codes'!B:D,3,0)*LOG(E2276)+VLOOKUP(D2276,'Species Codes'!B:E,4,0)*LOG(I2276))),0),"")</f>
        <v/>
      </c>
      <c r="AA2276" s="104" t="str">
        <f>IFERROR((VLOOKUP(D2276,'Species Codes'!B:G,6,0)*Z2276)/2000,"")</f>
        <v/>
      </c>
      <c r="AB2276" s="104" t="e">
        <f>IF(Z2276&gt;0,((IF(OR(D2276="DF",D2276="RA")=TRUE,EXP(VLOOKUP(D2276,'Species Codes'!B:I,8,0)+VLOOKUP(D2276,'Species Codes'!B:J,9,0)*(LN((E2276*2.54)))),IF(OR(D2276="PY",D2276="RC",D2276="WH",D2276="NF")=TRUE,VLOOKUP(D2276,'Species Codes'!B:I,8,0)+VLOOKUP(D2276,'Species Codes'!B:J,9,0)*((E2276*2.54)^2)*(I2276*0.3048),IF(OR(D2276="MD",D2276="BM",D2276="GA")=TRUE,((VLOOKUP(D2276,'Species Codes'!B:I,8,0)*(((((E2276*2.54)+VLOOKUP(D2276,'Species Codes'!B:J,9,0))/VLOOKUP(D2276,'Species Codes'!B:K,10,0))^VLOOKUP(D2276,'Species Codes'!B:L,11,0))*((I2276*0.3048)^VLOOKUP(D2276,'Species Codes'!B:M,12,0))))-(VLOOKUP(D2276,'Species Codes'!B:I,8,0)*((((E2276*2.54)^VLOOKUP(D2276,'Species Codes'!B:L,11,0))*((I2276*0.3048)^VLOOKUP(D2276,'Species Codes'!B:M,12,0))))))*35.3*VLOOKUP(D2276,'Species Codes'!B:G,6,0)/2.2046,VLOOKUP(D2276,'Species Codes'!B:I,8,0)+VLOOKUP(D2276,'Species Codes'!B:J,9,0)*(((E2276*2.54)/100)^2)*(I2276*0.3048)))))*0.0011023),0)</f>
        <v>#N/A</v>
      </c>
      <c r="AC2276" s="104" t="e">
        <f>IF(Z2276&gt;0,((IF(OR(D2276="RA",D2276="OA",D2276="OT",D2276="UN",D2276="PC"),EXP(VLOOKUP(D2276,'Species Codes'!B:O,14,0)+VLOOKUP(D2276,'Species Codes'!B:P,15,0)*LN((E2276*2.54)))-EXP(VLOOKUP(D2276,'Species Codes'!B:O,14,0)+VLOOKUP(D2276,'Species Codes'!B:P,15,0)*LN((E2276*2.54)))*(1/(VLOOKUP(D2276,'Species Codes'!B:Q,16,0)+VLOOKUP(D2276,'Species Codes'!B:R,17,0)*((E2276*2.54)^VLOOKUP(D2276,'Species Codes'!B:S,18,0)))),IF(OR(D2276="BM",D2276="MD",D2276="OA"),EXP(VLOOKUP(D2276,'Species Codes'!B:O,14,0)+VLOOKUP(D2276,'Species Codes'!B:P,15,0)*LN((E2276*2.54)))*(1-(1/(VLOOKUP(D2276,'Species Codes'!B:Q,16,0)+VLOOKUP(D2276,'Species Codes'!B:R,17,0)*((E2276*2.54)^VLOOKUP(D2276,'Species Codes'!B:S,18,0)))))/1000,IF(D2276="DF",EXP(VLOOKUP(D2276,'Species Codes'!B:O,14,0)+VLOOKUP(D2276,'Species Codes'!B:P,15,0)*LN((E2276*2.54))),VLOOKUP(D2276,'Species Codes'!B:O,14,0)+VLOOKUP(D2276,'Species Codes'!B:P,15,0)*(((E2276*2.54)/100)^2)*(I2276*0.3048)))))*0.0011023),0)</f>
        <v>#N/A</v>
      </c>
      <c r="AD2276" s="104" t="e">
        <f t="shared" si="1003"/>
        <v>#N/A</v>
      </c>
      <c r="AE2276" s="104" t="e">
        <f t="shared" si="1004"/>
        <v>#N/A</v>
      </c>
      <c r="AF2276" s="104" t="e">
        <f>IF(AND(VLOOKUP($D2276,Merchantability!$B:$C,2,0)="Yes",$E2276&gt;=VLOOKUP($D2276,Merchantability!$B:$D,3,0),$E2276&lt;=VLOOKUP($D2276,Merchantability!$B:$E,4,0)),AA2276,0)</f>
        <v>#N/A</v>
      </c>
      <c r="AG2276" s="104" t="e">
        <f>IF(AND(VLOOKUP($D2276,Merchantability!$B:$C,2,0)="Yes",$E2276&gt;=VLOOKUP($D2276,Merchantability!$B:$D,3,0),$E2276&lt;=VLOOKUP($D2276,Merchantability!$B:$E,4,0)),AB2276,0)</f>
        <v>#N/A</v>
      </c>
      <c r="AH2276" s="104" t="e">
        <f>IF(AND(VLOOKUP($D2276,Merchantability!$B:$C,2,0)="Yes",$E2276&gt;=VLOOKUP($D2276,Merchantability!$B:$D,3,0),$E2276&lt;=VLOOKUP($D2276,Merchantability!$B:$E,4,0)),AC2276,0)</f>
        <v>#N/A</v>
      </c>
      <c r="AI2276" s="104" t="e">
        <f t="shared" si="1005"/>
        <v>#N/A</v>
      </c>
      <c r="AJ2276" s="104" t="e">
        <f t="shared" si="1006"/>
        <v>#VALUE!</v>
      </c>
      <c r="AK2276" s="104" t="e">
        <f t="shared" si="1007"/>
        <v>#N/A</v>
      </c>
      <c r="AL2276" s="104" t="e">
        <f t="shared" si="1008"/>
        <v>#N/A</v>
      </c>
      <c r="AM2276" s="104" t="e">
        <f t="shared" si="1009"/>
        <v>#N/A</v>
      </c>
      <c r="AN2276" s="104" t="e">
        <f t="shared" si="993"/>
        <v>#N/A</v>
      </c>
      <c r="AO2276" s="104" t="e">
        <f t="shared" si="994"/>
        <v>#N/A</v>
      </c>
      <c r="AP2276" s="104" t="e">
        <f t="shared" si="995"/>
        <v>#N/A</v>
      </c>
      <c r="AQ2276" s="104" t="e">
        <f t="shared" si="996"/>
        <v>#N/A</v>
      </c>
      <c r="AR2276" s="105" t="str">
        <f t="shared" si="988"/>
        <v/>
      </c>
      <c r="AS2276" s="105" t="str">
        <f t="shared" si="989"/>
        <v/>
      </c>
      <c r="AT2276" s="108" t="str">
        <f t="shared" si="990"/>
        <v/>
      </c>
      <c r="AU2276" s="108" t="str">
        <f t="shared" si="991"/>
        <v/>
      </c>
      <c r="AV2276" s="107" t="str">
        <f>IF(ISNUMBER(O2276),IF(VLOOKUP($A2276,Stand!C:J,8,FALSE)="Short",AT2276,AU2276),"")</f>
        <v/>
      </c>
      <c r="AW2276" s="109" t="str">
        <f t="shared" si="997"/>
        <v/>
      </c>
      <c r="AX2276" s="109" t="str">
        <f t="shared" si="998"/>
        <v/>
      </c>
      <c r="AY2276" s="112" t="str">
        <f>IF(ISNUMBER(O2276),IF(AND(VLOOKUP($D2276,Merchantability!$B:$C,2,0)="Yes",$E2276&gt;=VLOOKUP($D2276,Merchantability!$B:$D,3,0),$E2276&lt;=VLOOKUP($D2276,Merchantability!$B:$E,4,0)),(AV2276*O2276)*(1-$H2276/100),""),"")</f>
        <v/>
      </c>
      <c r="AZ2276" s="116"/>
      <c r="BA2276" s="116"/>
      <c r="BB2276" s="116"/>
      <c r="BE2276" s="62"/>
      <c r="BF2276" s="63"/>
    </row>
    <row r="2277" spans="1:58" ht="12.75" customHeight="1" x14ac:dyDescent="0.25">
      <c r="A2277" s="334"/>
      <c r="B2277" s="334"/>
      <c r="C2277" s="332"/>
      <c r="D2277" s="334"/>
      <c r="E2277" s="335"/>
      <c r="F2277" s="334"/>
      <c r="G2277" s="332"/>
      <c r="H2277" s="332"/>
      <c r="I2277" s="334"/>
      <c r="J2277" s="336"/>
      <c r="K2277" s="332"/>
      <c r="L2277" s="332"/>
      <c r="M2277" s="76"/>
      <c r="N2277" s="103" t="str">
        <f>IF(A2277="","",VLOOKUP(A2277,Stand!C:K,9,0))</f>
        <v/>
      </c>
      <c r="O2277" s="104" t="str">
        <f t="shared" si="983"/>
        <v/>
      </c>
      <c r="P2277" s="105" t="str">
        <f t="shared" si="984"/>
        <v/>
      </c>
      <c r="Q2277" s="105" t="str">
        <f t="shared" si="999"/>
        <v/>
      </c>
      <c r="R2277" s="103" t="str">
        <f t="shared" si="985"/>
        <v/>
      </c>
      <c r="S2277" s="103" t="str">
        <f t="shared" si="986"/>
        <v/>
      </c>
      <c r="T2277" s="106" t="str">
        <f t="shared" si="1000"/>
        <v/>
      </c>
      <c r="U2277" s="106" t="str">
        <f t="shared" si="1001"/>
        <v/>
      </c>
      <c r="V2277" s="106" t="str">
        <f t="shared" si="1002"/>
        <v/>
      </c>
      <c r="W2277" s="105" t="str">
        <f t="shared" si="987"/>
        <v/>
      </c>
      <c r="X2277" s="104" t="str">
        <f t="shared" si="992"/>
        <v/>
      </c>
      <c r="Y2277" s="104" t="str">
        <f t="array" ref="Y2277">IFERROR(IF(ISNUMBER(O2277),IF(COUNT(IF(A2277=$A$2:$A$2427,IF(D2277=$D$2:$D$2427,IF($X$2:$X$2427&gt;0,1))))&gt;0,SUM(IF(A2277=$A$2:$A$2427,IF(D2277=$D$2:$D$2427,$X$2:$X$2427)))/COUNT(IF(A2277=$A$2:$A$2427,IF(D2277=$D$2:$D$2427,IF(ISNUMBER($X$2:$X$2427),1)))),0),""),0)</f>
        <v/>
      </c>
      <c r="Z2277" s="104" t="str">
        <f>IF(ISNUMBER(O2277),IF(I2277&gt;0,(10^(VLOOKUP(D2277,'Species Codes'!B:C,2,0)+VLOOKUP(D2277,'Species Codes'!B:D,3,0)*LOG(E2277)+VLOOKUP(D2277,'Species Codes'!B:E,4,0)*LOG(I2277))),0),"")</f>
        <v/>
      </c>
      <c r="AA2277" s="104" t="str">
        <f>IFERROR((VLOOKUP(D2277,'Species Codes'!B:G,6,0)*Z2277)/2000,"")</f>
        <v/>
      </c>
      <c r="AB2277" s="104" t="e">
        <f>IF(Z2277&gt;0,((IF(OR(D2277="DF",D2277="RA")=TRUE,EXP(VLOOKUP(D2277,'Species Codes'!B:I,8,0)+VLOOKUP(D2277,'Species Codes'!B:J,9,0)*(LN((E2277*2.54)))),IF(OR(D2277="PY",D2277="RC",D2277="WH",D2277="NF")=TRUE,VLOOKUP(D2277,'Species Codes'!B:I,8,0)+VLOOKUP(D2277,'Species Codes'!B:J,9,0)*((E2277*2.54)^2)*(I2277*0.3048),IF(OR(D2277="MD",D2277="BM",D2277="GA")=TRUE,((VLOOKUP(D2277,'Species Codes'!B:I,8,0)*(((((E2277*2.54)+VLOOKUP(D2277,'Species Codes'!B:J,9,0))/VLOOKUP(D2277,'Species Codes'!B:K,10,0))^VLOOKUP(D2277,'Species Codes'!B:L,11,0))*((I2277*0.3048)^VLOOKUP(D2277,'Species Codes'!B:M,12,0))))-(VLOOKUP(D2277,'Species Codes'!B:I,8,0)*((((E2277*2.54)^VLOOKUP(D2277,'Species Codes'!B:L,11,0))*((I2277*0.3048)^VLOOKUP(D2277,'Species Codes'!B:M,12,0))))))*35.3*VLOOKUP(D2277,'Species Codes'!B:G,6,0)/2.2046,VLOOKUP(D2277,'Species Codes'!B:I,8,0)+VLOOKUP(D2277,'Species Codes'!B:J,9,0)*(((E2277*2.54)/100)^2)*(I2277*0.3048)))))*0.0011023),0)</f>
        <v>#N/A</v>
      </c>
      <c r="AC2277" s="104" t="e">
        <f>IF(Z2277&gt;0,((IF(OR(D2277="RA",D2277="OA",D2277="OT",D2277="UN",D2277="PC"),EXP(VLOOKUP(D2277,'Species Codes'!B:O,14,0)+VLOOKUP(D2277,'Species Codes'!B:P,15,0)*LN((E2277*2.54)))-EXP(VLOOKUP(D2277,'Species Codes'!B:O,14,0)+VLOOKUP(D2277,'Species Codes'!B:P,15,0)*LN((E2277*2.54)))*(1/(VLOOKUP(D2277,'Species Codes'!B:Q,16,0)+VLOOKUP(D2277,'Species Codes'!B:R,17,0)*((E2277*2.54)^VLOOKUP(D2277,'Species Codes'!B:S,18,0)))),IF(OR(D2277="BM",D2277="MD",D2277="OA"),EXP(VLOOKUP(D2277,'Species Codes'!B:O,14,0)+VLOOKUP(D2277,'Species Codes'!B:P,15,0)*LN((E2277*2.54)))*(1-(1/(VLOOKUP(D2277,'Species Codes'!B:Q,16,0)+VLOOKUP(D2277,'Species Codes'!B:R,17,0)*((E2277*2.54)^VLOOKUP(D2277,'Species Codes'!B:S,18,0)))))/1000,IF(D2277="DF",EXP(VLOOKUP(D2277,'Species Codes'!B:O,14,0)+VLOOKUP(D2277,'Species Codes'!B:P,15,0)*LN((E2277*2.54))),VLOOKUP(D2277,'Species Codes'!B:O,14,0)+VLOOKUP(D2277,'Species Codes'!B:P,15,0)*(((E2277*2.54)/100)^2)*(I2277*0.3048)))))*0.0011023),0)</f>
        <v>#N/A</v>
      </c>
      <c r="AD2277" s="104" t="e">
        <f t="shared" si="1003"/>
        <v>#N/A</v>
      </c>
      <c r="AE2277" s="104" t="e">
        <f t="shared" si="1004"/>
        <v>#N/A</v>
      </c>
      <c r="AF2277" s="104" t="e">
        <f>IF(AND(VLOOKUP($D2277,Merchantability!$B:$C,2,0)="Yes",$E2277&gt;=VLOOKUP($D2277,Merchantability!$B:$D,3,0),$E2277&lt;=VLOOKUP($D2277,Merchantability!$B:$E,4,0)),AA2277,0)</f>
        <v>#N/A</v>
      </c>
      <c r="AG2277" s="104" t="e">
        <f>IF(AND(VLOOKUP($D2277,Merchantability!$B:$C,2,0)="Yes",$E2277&gt;=VLOOKUP($D2277,Merchantability!$B:$D,3,0),$E2277&lt;=VLOOKUP($D2277,Merchantability!$B:$E,4,0)),AB2277,0)</f>
        <v>#N/A</v>
      </c>
      <c r="AH2277" s="104" t="e">
        <f>IF(AND(VLOOKUP($D2277,Merchantability!$B:$C,2,0)="Yes",$E2277&gt;=VLOOKUP($D2277,Merchantability!$B:$D,3,0),$E2277&lt;=VLOOKUP($D2277,Merchantability!$B:$E,4,0)),AC2277,0)</f>
        <v>#N/A</v>
      </c>
      <c r="AI2277" s="104" t="e">
        <f t="shared" si="1005"/>
        <v>#N/A</v>
      </c>
      <c r="AJ2277" s="104" t="e">
        <f t="shared" si="1006"/>
        <v>#VALUE!</v>
      </c>
      <c r="AK2277" s="104" t="e">
        <f t="shared" si="1007"/>
        <v>#N/A</v>
      </c>
      <c r="AL2277" s="104" t="e">
        <f t="shared" si="1008"/>
        <v>#N/A</v>
      </c>
      <c r="AM2277" s="104" t="e">
        <f t="shared" si="1009"/>
        <v>#N/A</v>
      </c>
      <c r="AN2277" s="104" t="e">
        <f t="shared" si="993"/>
        <v>#N/A</v>
      </c>
      <c r="AO2277" s="104" t="e">
        <f t="shared" si="994"/>
        <v>#N/A</v>
      </c>
      <c r="AP2277" s="104" t="e">
        <f t="shared" si="995"/>
        <v>#N/A</v>
      </c>
      <c r="AQ2277" s="104" t="e">
        <f t="shared" si="996"/>
        <v>#N/A</v>
      </c>
      <c r="AR2277" s="105" t="str">
        <f t="shared" si="988"/>
        <v/>
      </c>
      <c r="AS2277" s="105" t="str">
        <f t="shared" si="989"/>
        <v/>
      </c>
      <c r="AT2277" s="108" t="str">
        <f t="shared" si="990"/>
        <v/>
      </c>
      <c r="AU2277" s="108" t="str">
        <f t="shared" si="991"/>
        <v/>
      </c>
      <c r="AV2277" s="107" t="str">
        <f>IF(ISNUMBER(O2277),IF(VLOOKUP($A2277,Stand!C:J,8,FALSE)="Short",AT2277,AU2277),"")</f>
        <v/>
      </c>
      <c r="AW2277" s="109" t="str">
        <f t="shared" si="997"/>
        <v/>
      </c>
      <c r="AX2277" s="109" t="str">
        <f t="shared" si="998"/>
        <v/>
      </c>
      <c r="AY2277" s="112" t="str">
        <f>IF(ISNUMBER(O2277),IF(AND(VLOOKUP($D2277,Merchantability!$B:$C,2,0)="Yes",$E2277&gt;=VLOOKUP($D2277,Merchantability!$B:$D,3,0),$E2277&lt;=VLOOKUP($D2277,Merchantability!$B:$E,4,0)),(AV2277*O2277)*(1-$H2277/100),""),"")</f>
        <v/>
      </c>
      <c r="AZ2277" s="116"/>
      <c r="BA2277" s="116"/>
      <c r="BB2277" s="116"/>
      <c r="BE2277" s="62"/>
      <c r="BF2277" s="63"/>
    </row>
    <row r="2278" spans="1:58" ht="12.75" customHeight="1" x14ac:dyDescent="0.25">
      <c r="A2278" s="334"/>
      <c r="B2278" s="334"/>
      <c r="C2278" s="332"/>
      <c r="D2278" s="334"/>
      <c r="E2278" s="335"/>
      <c r="F2278" s="334"/>
      <c r="G2278" s="332"/>
      <c r="H2278" s="332"/>
      <c r="I2278" s="334"/>
      <c r="J2278" s="336"/>
      <c r="K2278" s="332"/>
      <c r="L2278" s="332"/>
      <c r="M2278" s="76"/>
      <c r="N2278" s="103" t="str">
        <f>IF(A2278="","",VLOOKUP(A2278,Stand!C:K,9,0))</f>
        <v/>
      </c>
      <c r="O2278" s="104" t="str">
        <f t="shared" si="983"/>
        <v/>
      </c>
      <c r="P2278" s="105" t="str">
        <f t="shared" si="984"/>
        <v/>
      </c>
      <c r="Q2278" s="105" t="str">
        <f t="shared" si="999"/>
        <v/>
      </c>
      <c r="R2278" s="103" t="str">
        <f t="shared" si="985"/>
        <v/>
      </c>
      <c r="S2278" s="103" t="str">
        <f t="shared" si="986"/>
        <v/>
      </c>
      <c r="T2278" s="106" t="str">
        <f t="shared" si="1000"/>
        <v/>
      </c>
      <c r="U2278" s="106" t="str">
        <f t="shared" si="1001"/>
        <v/>
      </c>
      <c r="V2278" s="106" t="str">
        <f t="shared" si="1002"/>
        <v/>
      </c>
      <c r="W2278" s="105" t="str">
        <f t="shared" si="987"/>
        <v/>
      </c>
      <c r="X2278" s="104" t="str">
        <f t="shared" si="992"/>
        <v/>
      </c>
      <c r="Y2278" s="104" t="str">
        <f t="array" ref="Y2278">IFERROR(IF(ISNUMBER(O2278),IF(COUNT(IF(A2278=$A$2:$A$2427,IF(D2278=$D$2:$D$2427,IF($X$2:$X$2427&gt;0,1))))&gt;0,SUM(IF(A2278=$A$2:$A$2427,IF(D2278=$D$2:$D$2427,$X$2:$X$2427)))/COUNT(IF(A2278=$A$2:$A$2427,IF(D2278=$D$2:$D$2427,IF(ISNUMBER($X$2:$X$2427),1)))),0),""),0)</f>
        <v/>
      </c>
      <c r="Z2278" s="104" t="str">
        <f>IF(ISNUMBER(O2278),IF(I2278&gt;0,(10^(VLOOKUP(D2278,'Species Codes'!B:C,2,0)+VLOOKUP(D2278,'Species Codes'!B:D,3,0)*LOG(E2278)+VLOOKUP(D2278,'Species Codes'!B:E,4,0)*LOG(I2278))),0),"")</f>
        <v/>
      </c>
      <c r="AA2278" s="104" t="str">
        <f>IFERROR((VLOOKUP(D2278,'Species Codes'!B:G,6,0)*Z2278)/2000,"")</f>
        <v/>
      </c>
      <c r="AB2278" s="104" t="e">
        <f>IF(Z2278&gt;0,((IF(OR(D2278="DF",D2278="RA")=TRUE,EXP(VLOOKUP(D2278,'Species Codes'!B:I,8,0)+VLOOKUP(D2278,'Species Codes'!B:J,9,0)*(LN((E2278*2.54)))),IF(OR(D2278="PY",D2278="RC",D2278="WH",D2278="NF")=TRUE,VLOOKUP(D2278,'Species Codes'!B:I,8,0)+VLOOKUP(D2278,'Species Codes'!B:J,9,0)*((E2278*2.54)^2)*(I2278*0.3048),IF(OR(D2278="MD",D2278="BM",D2278="GA")=TRUE,((VLOOKUP(D2278,'Species Codes'!B:I,8,0)*(((((E2278*2.54)+VLOOKUP(D2278,'Species Codes'!B:J,9,0))/VLOOKUP(D2278,'Species Codes'!B:K,10,0))^VLOOKUP(D2278,'Species Codes'!B:L,11,0))*((I2278*0.3048)^VLOOKUP(D2278,'Species Codes'!B:M,12,0))))-(VLOOKUP(D2278,'Species Codes'!B:I,8,0)*((((E2278*2.54)^VLOOKUP(D2278,'Species Codes'!B:L,11,0))*((I2278*0.3048)^VLOOKUP(D2278,'Species Codes'!B:M,12,0))))))*35.3*VLOOKUP(D2278,'Species Codes'!B:G,6,0)/2.2046,VLOOKUP(D2278,'Species Codes'!B:I,8,0)+VLOOKUP(D2278,'Species Codes'!B:J,9,0)*(((E2278*2.54)/100)^2)*(I2278*0.3048)))))*0.0011023),0)</f>
        <v>#N/A</v>
      </c>
      <c r="AC2278" s="104" t="e">
        <f>IF(Z2278&gt;0,((IF(OR(D2278="RA",D2278="OA",D2278="OT",D2278="UN",D2278="PC"),EXP(VLOOKUP(D2278,'Species Codes'!B:O,14,0)+VLOOKUP(D2278,'Species Codes'!B:P,15,0)*LN((E2278*2.54)))-EXP(VLOOKUP(D2278,'Species Codes'!B:O,14,0)+VLOOKUP(D2278,'Species Codes'!B:P,15,0)*LN((E2278*2.54)))*(1/(VLOOKUP(D2278,'Species Codes'!B:Q,16,0)+VLOOKUP(D2278,'Species Codes'!B:R,17,0)*((E2278*2.54)^VLOOKUP(D2278,'Species Codes'!B:S,18,0)))),IF(OR(D2278="BM",D2278="MD",D2278="OA"),EXP(VLOOKUP(D2278,'Species Codes'!B:O,14,0)+VLOOKUP(D2278,'Species Codes'!B:P,15,0)*LN((E2278*2.54)))*(1-(1/(VLOOKUP(D2278,'Species Codes'!B:Q,16,0)+VLOOKUP(D2278,'Species Codes'!B:R,17,0)*((E2278*2.54)^VLOOKUP(D2278,'Species Codes'!B:S,18,0)))))/1000,IF(D2278="DF",EXP(VLOOKUP(D2278,'Species Codes'!B:O,14,0)+VLOOKUP(D2278,'Species Codes'!B:P,15,0)*LN((E2278*2.54))),VLOOKUP(D2278,'Species Codes'!B:O,14,0)+VLOOKUP(D2278,'Species Codes'!B:P,15,0)*(((E2278*2.54)/100)^2)*(I2278*0.3048)))))*0.0011023),0)</f>
        <v>#N/A</v>
      </c>
      <c r="AD2278" s="104" t="e">
        <f t="shared" si="1003"/>
        <v>#N/A</v>
      </c>
      <c r="AE2278" s="104" t="e">
        <f t="shared" si="1004"/>
        <v>#N/A</v>
      </c>
      <c r="AF2278" s="104" t="e">
        <f>IF(AND(VLOOKUP($D2278,Merchantability!$B:$C,2,0)="Yes",$E2278&gt;=VLOOKUP($D2278,Merchantability!$B:$D,3,0),$E2278&lt;=VLOOKUP($D2278,Merchantability!$B:$E,4,0)),AA2278,0)</f>
        <v>#N/A</v>
      </c>
      <c r="AG2278" s="104" t="e">
        <f>IF(AND(VLOOKUP($D2278,Merchantability!$B:$C,2,0)="Yes",$E2278&gt;=VLOOKUP($D2278,Merchantability!$B:$D,3,0),$E2278&lt;=VLOOKUP($D2278,Merchantability!$B:$E,4,0)),AB2278,0)</f>
        <v>#N/A</v>
      </c>
      <c r="AH2278" s="104" t="e">
        <f>IF(AND(VLOOKUP($D2278,Merchantability!$B:$C,2,0)="Yes",$E2278&gt;=VLOOKUP($D2278,Merchantability!$B:$D,3,0),$E2278&lt;=VLOOKUP($D2278,Merchantability!$B:$E,4,0)),AC2278,0)</f>
        <v>#N/A</v>
      </c>
      <c r="AI2278" s="104" t="e">
        <f t="shared" si="1005"/>
        <v>#N/A</v>
      </c>
      <c r="AJ2278" s="104" t="e">
        <f t="shared" si="1006"/>
        <v>#VALUE!</v>
      </c>
      <c r="AK2278" s="104" t="e">
        <f t="shared" si="1007"/>
        <v>#N/A</v>
      </c>
      <c r="AL2278" s="104" t="e">
        <f t="shared" si="1008"/>
        <v>#N/A</v>
      </c>
      <c r="AM2278" s="104" t="e">
        <f t="shared" si="1009"/>
        <v>#N/A</v>
      </c>
      <c r="AN2278" s="104" t="e">
        <f t="shared" si="993"/>
        <v>#N/A</v>
      </c>
      <c r="AO2278" s="104" t="e">
        <f t="shared" si="994"/>
        <v>#N/A</v>
      </c>
      <c r="AP2278" s="104" t="e">
        <f t="shared" si="995"/>
        <v>#N/A</v>
      </c>
      <c r="AQ2278" s="104" t="e">
        <f t="shared" si="996"/>
        <v>#N/A</v>
      </c>
      <c r="AR2278" s="105" t="str">
        <f t="shared" si="988"/>
        <v/>
      </c>
      <c r="AS2278" s="105" t="str">
        <f t="shared" si="989"/>
        <v/>
      </c>
      <c r="AT2278" s="108" t="str">
        <f t="shared" si="990"/>
        <v/>
      </c>
      <c r="AU2278" s="108" t="str">
        <f t="shared" si="991"/>
        <v/>
      </c>
      <c r="AV2278" s="107" t="str">
        <f>IF(ISNUMBER(O2278),IF(VLOOKUP($A2278,Stand!C:J,8,FALSE)="Short",AT2278,AU2278),"")</f>
        <v/>
      </c>
      <c r="AW2278" s="109" t="str">
        <f t="shared" si="997"/>
        <v/>
      </c>
      <c r="AX2278" s="109" t="str">
        <f t="shared" si="998"/>
        <v/>
      </c>
      <c r="AY2278" s="112" t="str">
        <f>IF(ISNUMBER(O2278),IF(AND(VLOOKUP($D2278,Merchantability!$B:$C,2,0)="Yes",$E2278&gt;=VLOOKUP($D2278,Merchantability!$B:$D,3,0),$E2278&lt;=VLOOKUP($D2278,Merchantability!$B:$E,4,0)),(AV2278*O2278)*(1-$H2278/100),""),"")</f>
        <v/>
      </c>
      <c r="AZ2278" s="116"/>
      <c r="BA2278" s="116"/>
      <c r="BB2278" s="116"/>
      <c r="BE2278" s="62"/>
      <c r="BF2278" s="63"/>
    </row>
    <row r="2279" spans="1:58" ht="12.75" customHeight="1" x14ac:dyDescent="0.25">
      <c r="A2279" s="334"/>
      <c r="B2279" s="334"/>
      <c r="C2279" s="332"/>
      <c r="D2279" s="334"/>
      <c r="E2279" s="335"/>
      <c r="F2279" s="334"/>
      <c r="G2279" s="332"/>
      <c r="H2279" s="332"/>
      <c r="I2279" s="334"/>
      <c r="J2279" s="336"/>
      <c r="K2279" s="332"/>
      <c r="L2279" s="332"/>
      <c r="M2279" s="76"/>
      <c r="N2279" s="103" t="str">
        <f>IF(A2279="","",VLOOKUP(A2279,Stand!C:K,9,0))</f>
        <v/>
      </c>
      <c r="O2279" s="104" t="str">
        <f t="shared" si="983"/>
        <v/>
      </c>
      <c r="P2279" s="105" t="str">
        <f t="shared" si="984"/>
        <v/>
      </c>
      <c r="Q2279" s="105" t="str">
        <f t="shared" si="999"/>
        <v/>
      </c>
      <c r="R2279" s="103" t="str">
        <f t="shared" si="985"/>
        <v/>
      </c>
      <c r="S2279" s="103" t="str">
        <f t="shared" si="986"/>
        <v/>
      </c>
      <c r="T2279" s="106" t="str">
        <f t="shared" si="1000"/>
        <v/>
      </c>
      <c r="U2279" s="106" t="str">
        <f t="shared" si="1001"/>
        <v/>
      </c>
      <c r="V2279" s="106" t="str">
        <f t="shared" si="1002"/>
        <v/>
      </c>
      <c r="W2279" s="105" t="str">
        <f t="shared" si="987"/>
        <v/>
      </c>
      <c r="X2279" s="104" t="str">
        <f t="shared" si="992"/>
        <v/>
      </c>
      <c r="Y2279" s="104" t="str">
        <f t="array" ref="Y2279">IFERROR(IF(ISNUMBER(O2279),IF(COUNT(IF(A2279=$A$2:$A$2427,IF(D2279=$D$2:$D$2427,IF($X$2:$X$2427&gt;0,1))))&gt;0,SUM(IF(A2279=$A$2:$A$2427,IF(D2279=$D$2:$D$2427,$X$2:$X$2427)))/COUNT(IF(A2279=$A$2:$A$2427,IF(D2279=$D$2:$D$2427,IF(ISNUMBER($X$2:$X$2427),1)))),0),""),0)</f>
        <v/>
      </c>
      <c r="Z2279" s="104" t="str">
        <f>IF(ISNUMBER(O2279),IF(I2279&gt;0,(10^(VLOOKUP(D2279,'Species Codes'!B:C,2,0)+VLOOKUP(D2279,'Species Codes'!B:D,3,0)*LOG(E2279)+VLOOKUP(D2279,'Species Codes'!B:E,4,0)*LOG(I2279))),0),"")</f>
        <v/>
      </c>
      <c r="AA2279" s="104" t="str">
        <f>IFERROR((VLOOKUP(D2279,'Species Codes'!B:G,6,0)*Z2279)/2000,"")</f>
        <v/>
      </c>
      <c r="AB2279" s="104" t="e">
        <f>IF(Z2279&gt;0,((IF(OR(D2279="DF",D2279="RA")=TRUE,EXP(VLOOKUP(D2279,'Species Codes'!B:I,8,0)+VLOOKUP(D2279,'Species Codes'!B:J,9,0)*(LN((E2279*2.54)))),IF(OR(D2279="PY",D2279="RC",D2279="WH",D2279="NF")=TRUE,VLOOKUP(D2279,'Species Codes'!B:I,8,0)+VLOOKUP(D2279,'Species Codes'!B:J,9,0)*((E2279*2.54)^2)*(I2279*0.3048),IF(OR(D2279="MD",D2279="BM",D2279="GA")=TRUE,((VLOOKUP(D2279,'Species Codes'!B:I,8,0)*(((((E2279*2.54)+VLOOKUP(D2279,'Species Codes'!B:J,9,0))/VLOOKUP(D2279,'Species Codes'!B:K,10,0))^VLOOKUP(D2279,'Species Codes'!B:L,11,0))*((I2279*0.3048)^VLOOKUP(D2279,'Species Codes'!B:M,12,0))))-(VLOOKUP(D2279,'Species Codes'!B:I,8,0)*((((E2279*2.54)^VLOOKUP(D2279,'Species Codes'!B:L,11,0))*((I2279*0.3048)^VLOOKUP(D2279,'Species Codes'!B:M,12,0))))))*35.3*VLOOKUP(D2279,'Species Codes'!B:G,6,0)/2.2046,VLOOKUP(D2279,'Species Codes'!B:I,8,0)+VLOOKUP(D2279,'Species Codes'!B:J,9,0)*(((E2279*2.54)/100)^2)*(I2279*0.3048)))))*0.0011023),0)</f>
        <v>#N/A</v>
      </c>
      <c r="AC2279" s="104" t="e">
        <f>IF(Z2279&gt;0,((IF(OR(D2279="RA",D2279="OA",D2279="OT",D2279="UN",D2279="PC"),EXP(VLOOKUP(D2279,'Species Codes'!B:O,14,0)+VLOOKUP(D2279,'Species Codes'!B:P,15,0)*LN((E2279*2.54)))-EXP(VLOOKUP(D2279,'Species Codes'!B:O,14,0)+VLOOKUP(D2279,'Species Codes'!B:P,15,0)*LN((E2279*2.54)))*(1/(VLOOKUP(D2279,'Species Codes'!B:Q,16,0)+VLOOKUP(D2279,'Species Codes'!B:R,17,0)*((E2279*2.54)^VLOOKUP(D2279,'Species Codes'!B:S,18,0)))),IF(OR(D2279="BM",D2279="MD",D2279="OA"),EXP(VLOOKUP(D2279,'Species Codes'!B:O,14,0)+VLOOKUP(D2279,'Species Codes'!B:P,15,0)*LN((E2279*2.54)))*(1-(1/(VLOOKUP(D2279,'Species Codes'!B:Q,16,0)+VLOOKUP(D2279,'Species Codes'!B:R,17,0)*((E2279*2.54)^VLOOKUP(D2279,'Species Codes'!B:S,18,0)))))/1000,IF(D2279="DF",EXP(VLOOKUP(D2279,'Species Codes'!B:O,14,0)+VLOOKUP(D2279,'Species Codes'!B:P,15,0)*LN((E2279*2.54))),VLOOKUP(D2279,'Species Codes'!B:O,14,0)+VLOOKUP(D2279,'Species Codes'!B:P,15,0)*(((E2279*2.54)/100)^2)*(I2279*0.3048)))))*0.0011023),0)</f>
        <v>#N/A</v>
      </c>
      <c r="AD2279" s="104" t="e">
        <f t="shared" si="1003"/>
        <v>#N/A</v>
      </c>
      <c r="AE2279" s="104" t="e">
        <f t="shared" si="1004"/>
        <v>#N/A</v>
      </c>
      <c r="AF2279" s="104" t="e">
        <f>IF(AND(VLOOKUP($D2279,Merchantability!$B:$C,2,0)="Yes",$E2279&gt;=VLOOKUP($D2279,Merchantability!$B:$D,3,0),$E2279&lt;=VLOOKUP($D2279,Merchantability!$B:$E,4,0)),AA2279,0)</f>
        <v>#N/A</v>
      </c>
      <c r="AG2279" s="104" t="e">
        <f>IF(AND(VLOOKUP($D2279,Merchantability!$B:$C,2,0)="Yes",$E2279&gt;=VLOOKUP($D2279,Merchantability!$B:$D,3,0),$E2279&lt;=VLOOKUP($D2279,Merchantability!$B:$E,4,0)),AB2279,0)</f>
        <v>#N/A</v>
      </c>
      <c r="AH2279" s="104" t="e">
        <f>IF(AND(VLOOKUP($D2279,Merchantability!$B:$C,2,0)="Yes",$E2279&gt;=VLOOKUP($D2279,Merchantability!$B:$D,3,0),$E2279&lt;=VLOOKUP($D2279,Merchantability!$B:$E,4,0)),AC2279,0)</f>
        <v>#N/A</v>
      </c>
      <c r="AI2279" s="104" t="e">
        <f t="shared" si="1005"/>
        <v>#N/A</v>
      </c>
      <c r="AJ2279" s="104" t="e">
        <f t="shared" si="1006"/>
        <v>#VALUE!</v>
      </c>
      <c r="AK2279" s="104" t="e">
        <f t="shared" si="1007"/>
        <v>#N/A</v>
      </c>
      <c r="AL2279" s="104" t="e">
        <f t="shared" si="1008"/>
        <v>#N/A</v>
      </c>
      <c r="AM2279" s="104" t="e">
        <f t="shared" si="1009"/>
        <v>#N/A</v>
      </c>
      <c r="AN2279" s="104" t="e">
        <f t="shared" si="993"/>
        <v>#N/A</v>
      </c>
      <c r="AO2279" s="104" t="e">
        <f t="shared" si="994"/>
        <v>#N/A</v>
      </c>
      <c r="AP2279" s="104" t="e">
        <f t="shared" si="995"/>
        <v>#N/A</v>
      </c>
      <c r="AQ2279" s="104" t="e">
        <f t="shared" si="996"/>
        <v>#N/A</v>
      </c>
      <c r="AR2279" s="105" t="str">
        <f t="shared" si="988"/>
        <v/>
      </c>
      <c r="AS2279" s="105" t="str">
        <f t="shared" si="989"/>
        <v/>
      </c>
      <c r="AT2279" s="108" t="str">
        <f t="shared" si="990"/>
        <v/>
      </c>
      <c r="AU2279" s="108" t="str">
        <f t="shared" si="991"/>
        <v/>
      </c>
      <c r="AV2279" s="107" t="str">
        <f>IF(ISNUMBER(O2279),IF(VLOOKUP($A2279,Stand!C:J,8,FALSE)="Short",AT2279,AU2279),"")</f>
        <v/>
      </c>
      <c r="AW2279" s="109" t="str">
        <f t="shared" si="997"/>
        <v/>
      </c>
      <c r="AX2279" s="109" t="str">
        <f t="shared" si="998"/>
        <v/>
      </c>
      <c r="AY2279" s="112" t="str">
        <f>IF(ISNUMBER(O2279),IF(AND(VLOOKUP($D2279,Merchantability!$B:$C,2,0)="Yes",$E2279&gt;=VLOOKUP($D2279,Merchantability!$B:$D,3,0),$E2279&lt;=VLOOKUP($D2279,Merchantability!$B:$E,4,0)),(AV2279*O2279)*(1-$H2279/100),""),"")</f>
        <v/>
      </c>
      <c r="AZ2279" s="116"/>
      <c r="BA2279" s="116"/>
      <c r="BB2279" s="116"/>
      <c r="BE2279" s="62"/>
      <c r="BF2279" s="63"/>
    </row>
    <row r="2280" spans="1:58" ht="12.75" customHeight="1" x14ac:dyDescent="0.25">
      <c r="A2280" s="334"/>
      <c r="B2280" s="334"/>
      <c r="C2280" s="332"/>
      <c r="D2280" s="334"/>
      <c r="E2280" s="335"/>
      <c r="F2280" s="334"/>
      <c r="G2280" s="332"/>
      <c r="H2280" s="332"/>
      <c r="I2280" s="334"/>
      <c r="J2280" s="336"/>
      <c r="K2280" s="332"/>
      <c r="L2280" s="332"/>
      <c r="M2280" s="76"/>
      <c r="N2280" s="103" t="str">
        <f>IF(A2280="","",VLOOKUP(A2280,Stand!C:K,9,0))</f>
        <v/>
      </c>
      <c r="O2280" s="104" t="str">
        <f t="shared" si="983"/>
        <v/>
      </c>
      <c r="P2280" s="105" t="str">
        <f t="shared" si="984"/>
        <v/>
      </c>
      <c r="Q2280" s="105" t="str">
        <f t="shared" si="999"/>
        <v/>
      </c>
      <c r="R2280" s="103" t="str">
        <f t="shared" si="985"/>
        <v/>
      </c>
      <c r="S2280" s="103" t="str">
        <f t="shared" si="986"/>
        <v/>
      </c>
      <c r="T2280" s="106" t="str">
        <f t="shared" si="1000"/>
        <v/>
      </c>
      <c r="U2280" s="106" t="str">
        <f t="shared" si="1001"/>
        <v/>
      </c>
      <c r="V2280" s="106" t="str">
        <f t="shared" si="1002"/>
        <v/>
      </c>
      <c r="W2280" s="105" t="str">
        <f t="shared" si="987"/>
        <v/>
      </c>
      <c r="X2280" s="104" t="str">
        <f t="shared" si="992"/>
        <v/>
      </c>
      <c r="Y2280" s="104" t="str">
        <f t="array" ref="Y2280">IFERROR(IF(ISNUMBER(O2280),IF(COUNT(IF(A2280=$A$2:$A$2427,IF(D2280=$D$2:$D$2427,IF($X$2:$X$2427&gt;0,1))))&gt;0,SUM(IF(A2280=$A$2:$A$2427,IF(D2280=$D$2:$D$2427,$X$2:$X$2427)))/COUNT(IF(A2280=$A$2:$A$2427,IF(D2280=$D$2:$D$2427,IF(ISNUMBER($X$2:$X$2427),1)))),0),""),0)</f>
        <v/>
      </c>
      <c r="Z2280" s="104" t="str">
        <f>IF(ISNUMBER(O2280),IF(I2280&gt;0,(10^(VLOOKUP(D2280,'Species Codes'!B:C,2,0)+VLOOKUP(D2280,'Species Codes'!B:D,3,0)*LOG(E2280)+VLOOKUP(D2280,'Species Codes'!B:E,4,0)*LOG(I2280))),0),"")</f>
        <v/>
      </c>
      <c r="AA2280" s="104" t="str">
        <f>IFERROR((VLOOKUP(D2280,'Species Codes'!B:G,6,0)*Z2280)/2000,"")</f>
        <v/>
      </c>
      <c r="AB2280" s="104" t="e">
        <f>IF(Z2280&gt;0,((IF(OR(D2280="DF",D2280="RA")=TRUE,EXP(VLOOKUP(D2280,'Species Codes'!B:I,8,0)+VLOOKUP(D2280,'Species Codes'!B:J,9,0)*(LN((E2280*2.54)))),IF(OR(D2280="PY",D2280="RC",D2280="WH",D2280="NF")=TRUE,VLOOKUP(D2280,'Species Codes'!B:I,8,0)+VLOOKUP(D2280,'Species Codes'!B:J,9,0)*((E2280*2.54)^2)*(I2280*0.3048),IF(OR(D2280="MD",D2280="BM",D2280="GA")=TRUE,((VLOOKUP(D2280,'Species Codes'!B:I,8,0)*(((((E2280*2.54)+VLOOKUP(D2280,'Species Codes'!B:J,9,0))/VLOOKUP(D2280,'Species Codes'!B:K,10,0))^VLOOKUP(D2280,'Species Codes'!B:L,11,0))*((I2280*0.3048)^VLOOKUP(D2280,'Species Codes'!B:M,12,0))))-(VLOOKUP(D2280,'Species Codes'!B:I,8,0)*((((E2280*2.54)^VLOOKUP(D2280,'Species Codes'!B:L,11,0))*((I2280*0.3048)^VLOOKUP(D2280,'Species Codes'!B:M,12,0))))))*35.3*VLOOKUP(D2280,'Species Codes'!B:G,6,0)/2.2046,VLOOKUP(D2280,'Species Codes'!B:I,8,0)+VLOOKUP(D2280,'Species Codes'!B:J,9,0)*(((E2280*2.54)/100)^2)*(I2280*0.3048)))))*0.0011023),0)</f>
        <v>#N/A</v>
      </c>
      <c r="AC2280" s="104" t="e">
        <f>IF(Z2280&gt;0,((IF(OR(D2280="RA",D2280="OA",D2280="OT",D2280="UN",D2280="PC"),EXP(VLOOKUP(D2280,'Species Codes'!B:O,14,0)+VLOOKUP(D2280,'Species Codes'!B:P,15,0)*LN((E2280*2.54)))-EXP(VLOOKUP(D2280,'Species Codes'!B:O,14,0)+VLOOKUP(D2280,'Species Codes'!B:P,15,0)*LN((E2280*2.54)))*(1/(VLOOKUP(D2280,'Species Codes'!B:Q,16,0)+VLOOKUP(D2280,'Species Codes'!B:R,17,0)*((E2280*2.54)^VLOOKUP(D2280,'Species Codes'!B:S,18,0)))),IF(OR(D2280="BM",D2280="MD",D2280="OA"),EXP(VLOOKUP(D2280,'Species Codes'!B:O,14,0)+VLOOKUP(D2280,'Species Codes'!B:P,15,0)*LN((E2280*2.54)))*(1-(1/(VLOOKUP(D2280,'Species Codes'!B:Q,16,0)+VLOOKUP(D2280,'Species Codes'!B:R,17,0)*((E2280*2.54)^VLOOKUP(D2280,'Species Codes'!B:S,18,0)))))/1000,IF(D2280="DF",EXP(VLOOKUP(D2280,'Species Codes'!B:O,14,0)+VLOOKUP(D2280,'Species Codes'!B:P,15,0)*LN((E2280*2.54))),VLOOKUP(D2280,'Species Codes'!B:O,14,0)+VLOOKUP(D2280,'Species Codes'!B:P,15,0)*(((E2280*2.54)/100)^2)*(I2280*0.3048)))))*0.0011023),0)</f>
        <v>#N/A</v>
      </c>
      <c r="AD2280" s="104" t="e">
        <f t="shared" si="1003"/>
        <v>#N/A</v>
      </c>
      <c r="AE2280" s="104" t="e">
        <f t="shared" si="1004"/>
        <v>#N/A</v>
      </c>
      <c r="AF2280" s="104" t="e">
        <f>IF(AND(VLOOKUP($D2280,Merchantability!$B:$C,2,0)="Yes",$E2280&gt;=VLOOKUP($D2280,Merchantability!$B:$D,3,0),$E2280&lt;=VLOOKUP($D2280,Merchantability!$B:$E,4,0)),AA2280,0)</f>
        <v>#N/A</v>
      </c>
      <c r="AG2280" s="104" t="e">
        <f>IF(AND(VLOOKUP($D2280,Merchantability!$B:$C,2,0)="Yes",$E2280&gt;=VLOOKUP($D2280,Merchantability!$B:$D,3,0),$E2280&lt;=VLOOKUP($D2280,Merchantability!$B:$E,4,0)),AB2280,0)</f>
        <v>#N/A</v>
      </c>
      <c r="AH2280" s="104" t="e">
        <f>IF(AND(VLOOKUP($D2280,Merchantability!$B:$C,2,0)="Yes",$E2280&gt;=VLOOKUP($D2280,Merchantability!$B:$D,3,0),$E2280&lt;=VLOOKUP($D2280,Merchantability!$B:$E,4,0)),AC2280,0)</f>
        <v>#N/A</v>
      </c>
      <c r="AI2280" s="104" t="e">
        <f t="shared" si="1005"/>
        <v>#N/A</v>
      </c>
      <c r="AJ2280" s="104" t="e">
        <f t="shared" si="1006"/>
        <v>#VALUE!</v>
      </c>
      <c r="AK2280" s="104" t="e">
        <f t="shared" si="1007"/>
        <v>#N/A</v>
      </c>
      <c r="AL2280" s="104" t="e">
        <f t="shared" si="1008"/>
        <v>#N/A</v>
      </c>
      <c r="AM2280" s="104" t="e">
        <f t="shared" si="1009"/>
        <v>#N/A</v>
      </c>
      <c r="AN2280" s="104" t="e">
        <f t="shared" si="993"/>
        <v>#N/A</v>
      </c>
      <c r="AO2280" s="104" t="e">
        <f t="shared" si="994"/>
        <v>#N/A</v>
      </c>
      <c r="AP2280" s="104" t="e">
        <f t="shared" si="995"/>
        <v>#N/A</v>
      </c>
      <c r="AQ2280" s="104" t="e">
        <f t="shared" si="996"/>
        <v>#N/A</v>
      </c>
      <c r="AR2280" s="105" t="str">
        <f t="shared" si="988"/>
        <v/>
      </c>
      <c r="AS2280" s="105" t="str">
        <f t="shared" si="989"/>
        <v/>
      </c>
      <c r="AT2280" s="108" t="str">
        <f t="shared" si="990"/>
        <v/>
      </c>
      <c r="AU2280" s="108" t="str">
        <f t="shared" si="991"/>
        <v/>
      </c>
      <c r="AV2280" s="107" t="str">
        <f>IF(ISNUMBER(O2280),IF(VLOOKUP($A2280,Stand!C:J,8,FALSE)="Short",AT2280,AU2280),"")</f>
        <v/>
      </c>
      <c r="AW2280" s="109" t="str">
        <f t="shared" si="997"/>
        <v/>
      </c>
      <c r="AX2280" s="109" t="str">
        <f t="shared" si="998"/>
        <v/>
      </c>
      <c r="AY2280" s="112" t="str">
        <f>IF(ISNUMBER(O2280),IF(AND(VLOOKUP($D2280,Merchantability!$B:$C,2,0)="Yes",$E2280&gt;=VLOOKUP($D2280,Merchantability!$B:$D,3,0),$E2280&lt;=VLOOKUP($D2280,Merchantability!$B:$E,4,0)),(AV2280*O2280)*(1-$H2280/100),""),"")</f>
        <v/>
      </c>
      <c r="AZ2280" s="116"/>
      <c r="BA2280" s="116"/>
      <c r="BB2280" s="116"/>
      <c r="BE2280" s="62"/>
      <c r="BF2280" s="63"/>
    </row>
    <row r="2281" spans="1:58" ht="12.75" customHeight="1" x14ac:dyDescent="0.25">
      <c r="A2281" s="334"/>
      <c r="B2281" s="334"/>
      <c r="C2281" s="332"/>
      <c r="D2281" s="334"/>
      <c r="E2281" s="335"/>
      <c r="F2281" s="334"/>
      <c r="G2281" s="332"/>
      <c r="H2281" s="332"/>
      <c r="I2281" s="334"/>
      <c r="J2281" s="336"/>
      <c r="K2281" s="332"/>
      <c r="L2281" s="332"/>
      <c r="M2281" s="76"/>
      <c r="N2281" s="103" t="str">
        <f>IF(A2281="","",VLOOKUP(A2281,Stand!C:K,9,0))</f>
        <v/>
      </c>
      <c r="O2281" s="104" t="str">
        <f t="shared" si="983"/>
        <v/>
      </c>
      <c r="P2281" s="105" t="str">
        <f t="shared" si="984"/>
        <v/>
      </c>
      <c r="Q2281" s="105" t="str">
        <f t="shared" si="999"/>
        <v/>
      </c>
      <c r="R2281" s="103" t="str">
        <f t="shared" si="985"/>
        <v/>
      </c>
      <c r="S2281" s="103" t="str">
        <f t="shared" si="986"/>
        <v/>
      </c>
      <c r="T2281" s="106" t="str">
        <f t="shared" si="1000"/>
        <v/>
      </c>
      <c r="U2281" s="106" t="str">
        <f t="shared" si="1001"/>
        <v/>
      </c>
      <c r="V2281" s="106" t="str">
        <f t="shared" si="1002"/>
        <v/>
      </c>
      <c r="W2281" s="105" t="str">
        <f t="shared" si="987"/>
        <v/>
      </c>
      <c r="X2281" s="104" t="str">
        <f t="shared" si="992"/>
        <v/>
      </c>
      <c r="Y2281" s="104" t="str">
        <f t="array" ref="Y2281">IFERROR(IF(ISNUMBER(O2281),IF(COUNT(IF(A2281=$A$2:$A$2427,IF(D2281=$D$2:$D$2427,IF($X$2:$X$2427&gt;0,1))))&gt;0,SUM(IF(A2281=$A$2:$A$2427,IF(D2281=$D$2:$D$2427,$X$2:$X$2427)))/COUNT(IF(A2281=$A$2:$A$2427,IF(D2281=$D$2:$D$2427,IF(ISNUMBER($X$2:$X$2427),1)))),0),""),0)</f>
        <v/>
      </c>
      <c r="Z2281" s="104" t="str">
        <f>IF(ISNUMBER(O2281),IF(I2281&gt;0,(10^(VLOOKUP(D2281,'Species Codes'!B:C,2,0)+VLOOKUP(D2281,'Species Codes'!B:D,3,0)*LOG(E2281)+VLOOKUP(D2281,'Species Codes'!B:E,4,0)*LOG(I2281))),0),"")</f>
        <v/>
      </c>
      <c r="AA2281" s="104" t="str">
        <f>IFERROR((VLOOKUP(D2281,'Species Codes'!B:G,6,0)*Z2281)/2000,"")</f>
        <v/>
      </c>
      <c r="AB2281" s="104" t="e">
        <f>IF(Z2281&gt;0,((IF(OR(D2281="DF",D2281="RA")=TRUE,EXP(VLOOKUP(D2281,'Species Codes'!B:I,8,0)+VLOOKUP(D2281,'Species Codes'!B:J,9,0)*(LN((E2281*2.54)))),IF(OR(D2281="PY",D2281="RC",D2281="WH",D2281="NF")=TRUE,VLOOKUP(D2281,'Species Codes'!B:I,8,0)+VLOOKUP(D2281,'Species Codes'!B:J,9,0)*((E2281*2.54)^2)*(I2281*0.3048),IF(OR(D2281="MD",D2281="BM",D2281="GA")=TRUE,((VLOOKUP(D2281,'Species Codes'!B:I,8,0)*(((((E2281*2.54)+VLOOKUP(D2281,'Species Codes'!B:J,9,0))/VLOOKUP(D2281,'Species Codes'!B:K,10,0))^VLOOKUP(D2281,'Species Codes'!B:L,11,0))*((I2281*0.3048)^VLOOKUP(D2281,'Species Codes'!B:M,12,0))))-(VLOOKUP(D2281,'Species Codes'!B:I,8,0)*((((E2281*2.54)^VLOOKUP(D2281,'Species Codes'!B:L,11,0))*((I2281*0.3048)^VLOOKUP(D2281,'Species Codes'!B:M,12,0))))))*35.3*VLOOKUP(D2281,'Species Codes'!B:G,6,0)/2.2046,VLOOKUP(D2281,'Species Codes'!B:I,8,0)+VLOOKUP(D2281,'Species Codes'!B:J,9,0)*(((E2281*2.54)/100)^2)*(I2281*0.3048)))))*0.0011023),0)</f>
        <v>#N/A</v>
      </c>
      <c r="AC2281" s="104" t="e">
        <f>IF(Z2281&gt;0,((IF(OR(D2281="RA",D2281="OA",D2281="OT",D2281="UN",D2281="PC"),EXP(VLOOKUP(D2281,'Species Codes'!B:O,14,0)+VLOOKUP(D2281,'Species Codes'!B:P,15,0)*LN((E2281*2.54)))-EXP(VLOOKUP(D2281,'Species Codes'!B:O,14,0)+VLOOKUP(D2281,'Species Codes'!B:P,15,0)*LN((E2281*2.54)))*(1/(VLOOKUP(D2281,'Species Codes'!B:Q,16,0)+VLOOKUP(D2281,'Species Codes'!B:R,17,0)*((E2281*2.54)^VLOOKUP(D2281,'Species Codes'!B:S,18,0)))),IF(OR(D2281="BM",D2281="MD",D2281="OA"),EXP(VLOOKUP(D2281,'Species Codes'!B:O,14,0)+VLOOKUP(D2281,'Species Codes'!B:P,15,0)*LN((E2281*2.54)))*(1-(1/(VLOOKUP(D2281,'Species Codes'!B:Q,16,0)+VLOOKUP(D2281,'Species Codes'!B:R,17,0)*((E2281*2.54)^VLOOKUP(D2281,'Species Codes'!B:S,18,0)))))/1000,IF(D2281="DF",EXP(VLOOKUP(D2281,'Species Codes'!B:O,14,0)+VLOOKUP(D2281,'Species Codes'!B:P,15,0)*LN((E2281*2.54))),VLOOKUP(D2281,'Species Codes'!B:O,14,0)+VLOOKUP(D2281,'Species Codes'!B:P,15,0)*(((E2281*2.54)/100)^2)*(I2281*0.3048)))))*0.0011023),0)</f>
        <v>#N/A</v>
      </c>
      <c r="AD2281" s="104" t="e">
        <f t="shared" si="1003"/>
        <v>#N/A</v>
      </c>
      <c r="AE2281" s="104" t="e">
        <f t="shared" si="1004"/>
        <v>#N/A</v>
      </c>
      <c r="AF2281" s="104" t="e">
        <f>IF(AND(VLOOKUP($D2281,Merchantability!$B:$C,2,0)="Yes",$E2281&gt;=VLOOKUP($D2281,Merchantability!$B:$D,3,0),$E2281&lt;=VLOOKUP($D2281,Merchantability!$B:$E,4,0)),AA2281,0)</f>
        <v>#N/A</v>
      </c>
      <c r="AG2281" s="104" t="e">
        <f>IF(AND(VLOOKUP($D2281,Merchantability!$B:$C,2,0)="Yes",$E2281&gt;=VLOOKUP($D2281,Merchantability!$B:$D,3,0),$E2281&lt;=VLOOKUP($D2281,Merchantability!$B:$E,4,0)),AB2281,0)</f>
        <v>#N/A</v>
      </c>
      <c r="AH2281" s="104" t="e">
        <f>IF(AND(VLOOKUP($D2281,Merchantability!$B:$C,2,0)="Yes",$E2281&gt;=VLOOKUP($D2281,Merchantability!$B:$D,3,0),$E2281&lt;=VLOOKUP($D2281,Merchantability!$B:$E,4,0)),AC2281,0)</f>
        <v>#N/A</v>
      </c>
      <c r="AI2281" s="104" t="e">
        <f t="shared" si="1005"/>
        <v>#N/A</v>
      </c>
      <c r="AJ2281" s="104" t="e">
        <f t="shared" si="1006"/>
        <v>#VALUE!</v>
      </c>
      <c r="AK2281" s="104" t="e">
        <f t="shared" si="1007"/>
        <v>#N/A</v>
      </c>
      <c r="AL2281" s="104" t="e">
        <f t="shared" si="1008"/>
        <v>#N/A</v>
      </c>
      <c r="AM2281" s="104" t="e">
        <f t="shared" si="1009"/>
        <v>#N/A</v>
      </c>
      <c r="AN2281" s="104" t="e">
        <f t="shared" si="993"/>
        <v>#N/A</v>
      </c>
      <c r="AO2281" s="104" t="e">
        <f t="shared" si="994"/>
        <v>#N/A</v>
      </c>
      <c r="AP2281" s="104" t="e">
        <f t="shared" si="995"/>
        <v>#N/A</v>
      </c>
      <c r="AQ2281" s="104" t="e">
        <f t="shared" si="996"/>
        <v>#N/A</v>
      </c>
      <c r="AR2281" s="105" t="str">
        <f t="shared" si="988"/>
        <v/>
      </c>
      <c r="AS2281" s="105" t="str">
        <f t="shared" si="989"/>
        <v/>
      </c>
      <c r="AT2281" s="108" t="str">
        <f t="shared" si="990"/>
        <v/>
      </c>
      <c r="AU2281" s="108" t="str">
        <f t="shared" si="991"/>
        <v/>
      </c>
      <c r="AV2281" s="107" t="str">
        <f>IF(ISNUMBER(O2281),IF(VLOOKUP($A2281,Stand!C:J,8,FALSE)="Short",AT2281,AU2281),"")</f>
        <v/>
      </c>
      <c r="AW2281" s="109" t="str">
        <f t="shared" si="997"/>
        <v/>
      </c>
      <c r="AX2281" s="109" t="str">
        <f t="shared" si="998"/>
        <v/>
      </c>
      <c r="AY2281" s="112" t="str">
        <f>IF(ISNUMBER(O2281),IF(AND(VLOOKUP($D2281,Merchantability!$B:$C,2,0)="Yes",$E2281&gt;=VLOOKUP($D2281,Merchantability!$B:$D,3,0),$E2281&lt;=VLOOKUP($D2281,Merchantability!$B:$E,4,0)),(AV2281*O2281)*(1-$H2281/100),""),"")</f>
        <v/>
      </c>
      <c r="AZ2281" s="116"/>
      <c r="BA2281" s="116"/>
      <c r="BB2281" s="116"/>
      <c r="BE2281" s="62"/>
      <c r="BF2281" s="63"/>
    </row>
    <row r="2282" spans="1:58" ht="12.75" customHeight="1" x14ac:dyDescent="0.25">
      <c r="A2282" s="334"/>
      <c r="B2282" s="334"/>
      <c r="C2282" s="332"/>
      <c r="D2282" s="334"/>
      <c r="E2282" s="335"/>
      <c r="F2282" s="334"/>
      <c r="G2282" s="332"/>
      <c r="H2282" s="332"/>
      <c r="I2282" s="334"/>
      <c r="J2282" s="336"/>
      <c r="K2282" s="332"/>
      <c r="L2282" s="332"/>
      <c r="M2282" s="76"/>
      <c r="N2282" s="103" t="str">
        <f>IF(A2282="","",VLOOKUP(A2282,Stand!C:K,9,0))</f>
        <v/>
      </c>
      <c r="O2282" s="104" t="str">
        <f t="shared" si="983"/>
        <v/>
      </c>
      <c r="P2282" s="105" t="str">
        <f t="shared" si="984"/>
        <v/>
      </c>
      <c r="Q2282" s="105" t="str">
        <f t="shared" si="999"/>
        <v/>
      </c>
      <c r="R2282" s="103" t="str">
        <f t="shared" si="985"/>
        <v/>
      </c>
      <c r="S2282" s="103" t="str">
        <f t="shared" si="986"/>
        <v/>
      </c>
      <c r="T2282" s="106" t="str">
        <f t="shared" si="1000"/>
        <v/>
      </c>
      <c r="U2282" s="106" t="str">
        <f t="shared" si="1001"/>
        <v/>
      </c>
      <c r="V2282" s="106" t="str">
        <f t="shared" si="1002"/>
        <v/>
      </c>
      <c r="W2282" s="105" t="str">
        <f t="shared" si="987"/>
        <v/>
      </c>
      <c r="X2282" s="104" t="str">
        <f t="shared" si="992"/>
        <v/>
      </c>
      <c r="Y2282" s="104" t="str">
        <f t="array" ref="Y2282">IFERROR(IF(ISNUMBER(O2282),IF(COUNT(IF(A2282=$A$2:$A$2427,IF(D2282=$D$2:$D$2427,IF($X$2:$X$2427&gt;0,1))))&gt;0,SUM(IF(A2282=$A$2:$A$2427,IF(D2282=$D$2:$D$2427,$X$2:$X$2427)))/COUNT(IF(A2282=$A$2:$A$2427,IF(D2282=$D$2:$D$2427,IF(ISNUMBER($X$2:$X$2427),1)))),0),""),0)</f>
        <v/>
      </c>
      <c r="Z2282" s="104" t="str">
        <f>IF(ISNUMBER(O2282),IF(I2282&gt;0,(10^(VLOOKUP(D2282,'Species Codes'!B:C,2,0)+VLOOKUP(D2282,'Species Codes'!B:D,3,0)*LOG(E2282)+VLOOKUP(D2282,'Species Codes'!B:E,4,0)*LOG(I2282))),0),"")</f>
        <v/>
      </c>
      <c r="AA2282" s="104" t="str">
        <f>IFERROR((VLOOKUP(D2282,'Species Codes'!B:G,6,0)*Z2282)/2000,"")</f>
        <v/>
      </c>
      <c r="AB2282" s="104" t="e">
        <f>IF(Z2282&gt;0,((IF(OR(D2282="DF",D2282="RA")=TRUE,EXP(VLOOKUP(D2282,'Species Codes'!B:I,8,0)+VLOOKUP(D2282,'Species Codes'!B:J,9,0)*(LN((E2282*2.54)))),IF(OR(D2282="PY",D2282="RC",D2282="WH",D2282="NF")=TRUE,VLOOKUP(D2282,'Species Codes'!B:I,8,0)+VLOOKUP(D2282,'Species Codes'!B:J,9,0)*((E2282*2.54)^2)*(I2282*0.3048),IF(OR(D2282="MD",D2282="BM",D2282="GA")=TRUE,((VLOOKUP(D2282,'Species Codes'!B:I,8,0)*(((((E2282*2.54)+VLOOKUP(D2282,'Species Codes'!B:J,9,0))/VLOOKUP(D2282,'Species Codes'!B:K,10,0))^VLOOKUP(D2282,'Species Codes'!B:L,11,0))*((I2282*0.3048)^VLOOKUP(D2282,'Species Codes'!B:M,12,0))))-(VLOOKUP(D2282,'Species Codes'!B:I,8,0)*((((E2282*2.54)^VLOOKUP(D2282,'Species Codes'!B:L,11,0))*((I2282*0.3048)^VLOOKUP(D2282,'Species Codes'!B:M,12,0))))))*35.3*VLOOKUP(D2282,'Species Codes'!B:G,6,0)/2.2046,VLOOKUP(D2282,'Species Codes'!B:I,8,0)+VLOOKUP(D2282,'Species Codes'!B:J,9,0)*(((E2282*2.54)/100)^2)*(I2282*0.3048)))))*0.0011023),0)</f>
        <v>#N/A</v>
      </c>
      <c r="AC2282" s="104" t="e">
        <f>IF(Z2282&gt;0,((IF(OR(D2282="RA",D2282="OA",D2282="OT",D2282="UN",D2282="PC"),EXP(VLOOKUP(D2282,'Species Codes'!B:O,14,0)+VLOOKUP(D2282,'Species Codes'!B:P,15,0)*LN((E2282*2.54)))-EXP(VLOOKUP(D2282,'Species Codes'!B:O,14,0)+VLOOKUP(D2282,'Species Codes'!B:P,15,0)*LN((E2282*2.54)))*(1/(VLOOKUP(D2282,'Species Codes'!B:Q,16,0)+VLOOKUP(D2282,'Species Codes'!B:R,17,0)*((E2282*2.54)^VLOOKUP(D2282,'Species Codes'!B:S,18,0)))),IF(OR(D2282="BM",D2282="MD",D2282="OA"),EXP(VLOOKUP(D2282,'Species Codes'!B:O,14,0)+VLOOKUP(D2282,'Species Codes'!B:P,15,0)*LN((E2282*2.54)))*(1-(1/(VLOOKUP(D2282,'Species Codes'!B:Q,16,0)+VLOOKUP(D2282,'Species Codes'!B:R,17,0)*((E2282*2.54)^VLOOKUP(D2282,'Species Codes'!B:S,18,0)))))/1000,IF(D2282="DF",EXP(VLOOKUP(D2282,'Species Codes'!B:O,14,0)+VLOOKUP(D2282,'Species Codes'!B:P,15,0)*LN((E2282*2.54))),VLOOKUP(D2282,'Species Codes'!B:O,14,0)+VLOOKUP(D2282,'Species Codes'!B:P,15,0)*(((E2282*2.54)/100)^2)*(I2282*0.3048)))))*0.0011023),0)</f>
        <v>#N/A</v>
      </c>
      <c r="AD2282" s="104" t="e">
        <f t="shared" si="1003"/>
        <v>#N/A</v>
      </c>
      <c r="AE2282" s="104" t="e">
        <f t="shared" si="1004"/>
        <v>#N/A</v>
      </c>
      <c r="AF2282" s="104" t="e">
        <f>IF(AND(VLOOKUP($D2282,Merchantability!$B:$C,2,0)="Yes",$E2282&gt;=VLOOKUP($D2282,Merchantability!$B:$D,3,0),$E2282&lt;=VLOOKUP($D2282,Merchantability!$B:$E,4,0)),AA2282,0)</f>
        <v>#N/A</v>
      </c>
      <c r="AG2282" s="104" t="e">
        <f>IF(AND(VLOOKUP($D2282,Merchantability!$B:$C,2,0)="Yes",$E2282&gt;=VLOOKUP($D2282,Merchantability!$B:$D,3,0),$E2282&lt;=VLOOKUP($D2282,Merchantability!$B:$E,4,0)),AB2282,0)</f>
        <v>#N/A</v>
      </c>
      <c r="AH2282" s="104" t="e">
        <f>IF(AND(VLOOKUP($D2282,Merchantability!$B:$C,2,0)="Yes",$E2282&gt;=VLOOKUP($D2282,Merchantability!$B:$D,3,0),$E2282&lt;=VLOOKUP($D2282,Merchantability!$B:$E,4,0)),AC2282,0)</f>
        <v>#N/A</v>
      </c>
      <c r="AI2282" s="104" t="e">
        <f t="shared" si="1005"/>
        <v>#N/A</v>
      </c>
      <c r="AJ2282" s="104" t="e">
        <f t="shared" si="1006"/>
        <v>#VALUE!</v>
      </c>
      <c r="AK2282" s="104" t="e">
        <f t="shared" si="1007"/>
        <v>#N/A</v>
      </c>
      <c r="AL2282" s="104" t="e">
        <f t="shared" si="1008"/>
        <v>#N/A</v>
      </c>
      <c r="AM2282" s="104" t="e">
        <f t="shared" si="1009"/>
        <v>#N/A</v>
      </c>
      <c r="AN2282" s="104" t="e">
        <f t="shared" si="993"/>
        <v>#N/A</v>
      </c>
      <c r="AO2282" s="104" t="e">
        <f t="shared" si="994"/>
        <v>#N/A</v>
      </c>
      <c r="AP2282" s="104" t="e">
        <f t="shared" si="995"/>
        <v>#N/A</v>
      </c>
      <c r="AQ2282" s="104" t="e">
        <f t="shared" si="996"/>
        <v>#N/A</v>
      </c>
      <c r="AR2282" s="105" t="str">
        <f t="shared" si="988"/>
        <v/>
      </c>
      <c r="AS2282" s="105" t="str">
        <f t="shared" si="989"/>
        <v/>
      </c>
      <c r="AT2282" s="108" t="str">
        <f t="shared" si="990"/>
        <v/>
      </c>
      <c r="AU2282" s="108" t="str">
        <f t="shared" si="991"/>
        <v/>
      </c>
      <c r="AV2282" s="107" t="str">
        <f>IF(ISNUMBER(O2282),IF(VLOOKUP($A2282,Stand!C:J,8,FALSE)="Short",AT2282,AU2282),"")</f>
        <v/>
      </c>
      <c r="AW2282" s="109" t="str">
        <f t="shared" si="997"/>
        <v/>
      </c>
      <c r="AX2282" s="109" t="str">
        <f t="shared" si="998"/>
        <v/>
      </c>
      <c r="AY2282" s="112" t="str">
        <f>IF(ISNUMBER(O2282),IF(AND(VLOOKUP($D2282,Merchantability!$B:$C,2,0)="Yes",$E2282&gt;=VLOOKUP($D2282,Merchantability!$B:$D,3,0),$E2282&lt;=VLOOKUP($D2282,Merchantability!$B:$E,4,0)),(AV2282*O2282)*(1-$H2282/100),""),"")</f>
        <v/>
      </c>
      <c r="AZ2282" s="116"/>
      <c r="BA2282" s="116"/>
      <c r="BB2282" s="116"/>
      <c r="BE2282" s="62"/>
      <c r="BF2282" s="63"/>
    </row>
    <row r="2283" spans="1:58" ht="12.75" customHeight="1" x14ac:dyDescent="0.25">
      <c r="A2283" s="334"/>
      <c r="B2283" s="334"/>
      <c r="C2283" s="332"/>
      <c r="D2283" s="334"/>
      <c r="E2283" s="335"/>
      <c r="F2283" s="334"/>
      <c r="G2283" s="332"/>
      <c r="H2283" s="332"/>
      <c r="I2283" s="334"/>
      <c r="J2283" s="336"/>
      <c r="K2283" s="332"/>
      <c r="L2283" s="332"/>
      <c r="M2283" s="76"/>
      <c r="N2283" s="103" t="str">
        <f>IF(A2283="","",VLOOKUP(A2283,Stand!C:K,9,0))</f>
        <v/>
      </c>
      <c r="O2283" s="104" t="str">
        <f t="shared" si="983"/>
        <v/>
      </c>
      <c r="P2283" s="105" t="str">
        <f t="shared" si="984"/>
        <v/>
      </c>
      <c r="Q2283" s="105" t="str">
        <f t="shared" si="999"/>
        <v/>
      </c>
      <c r="R2283" s="103" t="str">
        <f t="shared" si="985"/>
        <v/>
      </c>
      <c r="S2283" s="103" t="str">
        <f t="shared" si="986"/>
        <v/>
      </c>
      <c r="T2283" s="106" t="str">
        <f t="shared" si="1000"/>
        <v/>
      </c>
      <c r="U2283" s="106" t="str">
        <f t="shared" si="1001"/>
        <v/>
      </c>
      <c r="V2283" s="106" t="str">
        <f t="shared" si="1002"/>
        <v/>
      </c>
      <c r="W2283" s="105" t="str">
        <f t="shared" si="987"/>
        <v/>
      </c>
      <c r="X2283" s="104" t="str">
        <f t="shared" si="992"/>
        <v/>
      </c>
      <c r="Y2283" s="104" t="str">
        <f t="array" ref="Y2283">IFERROR(IF(ISNUMBER(O2283),IF(COUNT(IF(A2283=$A$2:$A$2427,IF(D2283=$D$2:$D$2427,IF($X$2:$X$2427&gt;0,1))))&gt;0,SUM(IF(A2283=$A$2:$A$2427,IF(D2283=$D$2:$D$2427,$X$2:$X$2427)))/COUNT(IF(A2283=$A$2:$A$2427,IF(D2283=$D$2:$D$2427,IF(ISNUMBER($X$2:$X$2427),1)))),0),""),0)</f>
        <v/>
      </c>
      <c r="Z2283" s="104" t="str">
        <f>IF(ISNUMBER(O2283),IF(I2283&gt;0,(10^(VLOOKUP(D2283,'Species Codes'!B:C,2,0)+VLOOKUP(D2283,'Species Codes'!B:D,3,0)*LOG(E2283)+VLOOKUP(D2283,'Species Codes'!B:E,4,0)*LOG(I2283))),0),"")</f>
        <v/>
      </c>
      <c r="AA2283" s="104" t="str">
        <f>IFERROR((VLOOKUP(D2283,'Species Codes'!B:G,6,0)*Z2283)/2000,"")</f>
        <v/>
      </c>
      <c r="AB2283" s="104" t="e">
        <f>IF(Z2283&gt;0,((IF(OR(D2283="DF",D2283="RA")=TRUE,EXP(VLOOKUP(D2283,'Species Codes'!B:I,8,0)+VLOOKUP(D2283,'Species Codes'!B:J,9,0)*(LN((E2283*2.54)))),IF(OR(D2283="PY",D2283="RC",D2283="WH",D2283="NF")=TRUE,VLOOKUP(D2283,'Species Codes'!B:I,8,0)+VLOOKUP(D2283,'Species Codes'!B:J,9,0)*((E2283*2.54)^2)*(I2283*0.3048),IF(OR(D2283="MD",D2283="BM",D2283="GA")=TRUE,((VLOOKUP(D2283,'Species Codes'!B:I,8,0)*(((((E2283*2.54)+VLOOKUP(D2283,'Species Codes'!B:J,9,0))/VLOOKUP(D2283,'Species Codes'!B:K,10,0))^VLOOKUP(D2283,'Species Codes'!B:L,11,0))*((I2283*0.3048)^VLOOKUP(D2283,'Species Codes'!B:M,12,0))))-(VLOOKUP(D2283,'Species Codes'!B:I,8,0)*((((E2283*2.54)^VLOOKUP(D2283,'Species Codes'!B:L,11,0))*((I2283*0.3048)^VLOOKUP(D2283,'Species Codes'!B:M,12,0))))))*35.3*VLOOKUP(D2283,'Species Codes'!B:G,6,0)/2.2046,VLOOKUP(D2283,'Species Codes'!B:I,8,0)+VLOOKUP(D2283,'Species Codes'!B:J,9,0)*(((E2283*2.54)/100)^2)*(I2283*0.3048)))))*0.0011023),0)</f>
        <v>#N/A</v>
      </c>
      <c r="AC2283" s="104" t="e">
        <f>IF(Z2283&gt;0,((IF(OR(D2283="RA",D2283="OA",D2283="OT",D2283="UN",D2283="PC"),EXP(VLOOKUP(D2283,'Species Codes'!B:O,14,0)+VLOOKUP(D2283,'Species Codes'!B:P,15,0)*LN((E2283*2.54)))-EXP(VLOOKUP(D2283,'Species Codes'!B:O,14,0)+VLOOKUP(D2283,'Species Codes'!B:P,15,0)*LN((E2283*2.54)))*(1/(VLOOKUP(D2283,'Species Codes'!B:Q,16,0)+VLOOKUP(D2283,'Species Codes'!B:R,17,0)*((E2283*2.54)^VLOOKUP(D2283,'Species Codes'!B:S,18,0)))),IF(OR(D2283="BM",D2283="MD",D2283="OA"),EXP(VLOOKUP(D2283,'Species Codes'!B:O,14,0)+VLOOKUP(D2283,'Species Codes'!B:P,15,0)*LN((E2283*2.54)))*(1-(1/(VLOOKUP(D2283,'Species Codes'!B:Q,16,0)+VLOOKUP(D2283,'Species Codes'!B:R,17,0)*((E2283*2.54)^VLOOKUP(D2283,'Species Codes'!B:S,18,0)))))/1000,IF(D2283="DF",EXP(VLOOKUP(D2283,'Species Codes'!B:O,14,0)+VLOOKUP(D2283,'Species Codes'!B:P,15,0)*LN((E2283*2.54))),VLOOKUP(D2283,'Species Codes'!B:O,14,0)+VLOOKUP(D2283,'Species Codes'!B:P,15,0)*(((E2283*2.54)/100)^2)*(I2283*0.3048)))))*0.0011023),0)</f>
        <v>#N/A</v>
      </c>
      <c r="AD2283" s="104" t="e">
        <f t="shared" si="1003"/>
        <v>#N/A</v>
      </c>
      <c r="AE2283" s="104" t="e">
        <f t="shared" si="1004"/>
        <v>#N/A</v>
      </c>
      <c r="AF2283" s="104" t="e">
        <f>IF(AND(VLOOKUP($D2283,Merchantability!$B:$C,2,0)="Yes",$E2283&gt;=VLOOKUP($D2283,Merchantability!$B:$D,3,0),$E2283&lt;=VLOOKUP($D2283,Merchantability!$B:$E,4,0)),AA2283,0)</f>
        <v>#N/A</v>
      </c>
      <c r="AG2283" s="104" t="e">
        <f>IF(AND(VLOOKUP($D2283,Merchantability!$B:$C,2,0)="Yes",$E2283&gt;=VLOOKUP($D2283,Merchantability!$B:$D,3,0),$E2283&lt;=VLOOKUP($D2283,Merchantability!$B:$E,4,0)),AB2283,0)</f>
        <v>#N/A</v>
      </c>
      <c r="AH2283" s="104" t="e">
        <f>IF(AND(VLOOKUP($D2283,Merchantability!$B:$C,2,0)="Yes",$E2283&gt;=VLOOKUP($D2283,Merchantability!$B:$D,3,0),$E2283&lt;=VLOOKUP($D2283,Merchantability!$B:$E,4,0)),AC2283,0)</f>
        <v>#N/A</v>
      </c>
      <c r="AI2283" s="104" t="e">
        <f t="shared" si="1005"/>
        <v>#N/A</v>
      </c>
      <c r="AJ2283" s="104" t="e">
        <f t="shared" si="1006"/>
        <v>#VALUE!</v>
      </c>
      <c r="AK2283" s="104" t="e">
        <f t="shared" si="1007"/>
        <v>#N/A</v>
      </c>
      <c r="AL2283" s="104" t="e">
        <f t="shared" si="1008"/>
        <v>#N/A</v>
      </c>
      <c r="AM2283" s="104" t="e">
        <f t="shared" si="1009"/>
        <v>#N/A</v>
      </c>
      <c r="AN2283" s="104" t="e">
        <f t="shared" si="993"/>
        <v>#N/A</v>
      </c>
      <c r="AO2283" s="104" t="e">
        <f t="shared" si="994"/>
        <v>#N/A</v>
      </c>
      <c r="AP2283" s="104" t="e">
        <f t="shared" si="995"/>
        <v>#N/A</v>
      </c>
      <c r="AQ2283" s="104" t="e">
        <f t="shared" si="996"/>
        <v>#N/A</v>
      </c>
      <c r="AR2283" s="105" t="str">
        <f t="shared" si="988"/>
        <v/>
      </c>
      <c r="AS2283" s="105" t="str">
        <f t="shared" si="989"/>
        <v/>
      </c>
      <c r="AT2283" s="108" t="str">
        <f t="shared" si="990"/>
        <v/>
      </c>
      <c r="AU2283" s="108" t="str">
        <f t="shared" si="991"/>
        <v/>
      </c>
      <c r="AV2283" s="107" t="str">
        <f>IF(ISNUMBER(O2283),IF(VLOOKUP($A2283,Stand!C:J,8,FALSE)="Short",AT2283,AU2283),"")</f>
        <v/>
      </c>
      <c r="AW2283" s="109" t="str">
        <f t="shared" si="997"/>
        <v/>
      </c>
      <c r="AX2283" s="109" t="str">
        <f t="shared" si="998"/>
        <v/>
      </c>
      <c r="AY2283" s="112" t="str">
        <f>IF(ISNUMBER(O2283),IF(AND(VLOOKUP($D2283,Merchantability!$B:$C,2,0)="Yes",$E2283&gt;=VLOOKUP($D2283,Merchantability!$B:$D,3,0),$E2283&lt;=VLOOKUP($D2283,Merchantability!$B:$E,4,0)),(AV2283*O2283)*(1-$H2283/100),""),"")</f>
        <v/>
      </c>
      <c r="AZ2283" s="116"/>
      <c r="BA2283" s="116"/>
      <c r="BB2283" s="116"/>
      <c r="BE2283" s="62"/>
      <c r="BF2283" s="63"/>
    </row>
    <row r="2284" spans="1:58" ht="12.75" customHeight="1" x14ac:dyDescent="0.25">
      <c r="A2284" s="334"/>
      <c r="B2284" s="334"/>
      <c r="C2284" s="332"/>
      <c r="D2284" s="334"/>
      <c r="E2284" s="335"/>
      <c r="F2284" s="334"/>
      <c r="G2284" s="332"/>
      <c r="H2284" s="332"/>
      <c r="I2284" s="334"/>
      <c r="J2284" s="336"/>
      <c r="K2284" s="332"/>
      <c r="L2284" s="332"/>
      <c r="M2284" s="76"/>
      <c r="N2284" s="103" t="str">
        <f>IF(A2284="","",VLOOKUP(A2284,Stand!C:K,9,0))</f>
        <v/>
      </c>
      <c r="O2284" s="104" t="str">
        <f t="shared" si="983"/>
        <v/>
      </c>
      <c r="P2284" s="105" t="str">
        <f t="shared" si="984"/>
        <v/>
      </c>
      <c r="Q2284" s="105" t="str">
        <f t="shared" si="999"/>
        <v/>
      </c>
      <c r="R2284" s="103" t="str">
        <f t="shared" si="985"/>
        <v/>
      </c>
      <c r="S2284" s="103" t="str">
        <f t="shared" si="986"/>
        <v/>
      </c>
      <c r="T2284" s="106" t="str">
        <f t="shared" si="1000"/>
        <v/>
      </c>
      <c r="U2284" s="106" t="str">
        <f t="shared" si="1001"/>
        <v/>
      </c>
      <c r="V2284" s="106" t="str">
        <f t="shared" si="1002"/>
        <v/>
      </c>
      <c r="W2284" s="105" t="str">
        <f t="shared" si="987"/>
        <v/>
      </c>
      <c r="X2284" s="104" t="str">
        <f t="shared" si="992"/>
        <v/>
      </c>
      <c r="Y2284" s="104" t="str">
        <f t="array" ref="Y2284">IFERROR(IF(ISNUMBER(O2284),IF(COUNT(IF(A2284=$A$2:$A$2427,IF(D2284=$D$2:$D$2427,IF($X$2:$X$2427&gt;0,1))))&gt;0,SUM(IF(A2284=$A$2:$A$2427,IF(D2284=$D$2:$D$2427,$X$2:$X$2427)))/COUNT(IF(A2284=$A$2:$A$2427,IF(D2284=$D$2:$D$2427,IF(ISNUMBER($X$2:$X$2427),1)))),0),""),0)</f>
        <v/>
      </c>
      <c r="Z2284" s="104" t="str">
        <f>IF(ISNUMBER(O2284),IF(I2284&gt;0,(10^(VLOOKUP(D2284,'Species Codes'!B:C,2,0)+VLOOKUP(D2284,'Species Codes'!B:D,3,0)*LOG(E2284)+VLOOKUP(D2284,'Species Codes'!B:E,4,0)*LOG(I2284))),0),"")</f>
        <v/>
      </c>
      <c r="AA2284" s="104" t="str">
        <f>IFERROR((VLOOKUP(D2284,'Species Codes'!B:G,6,0)*Z2284)/2000,"")</f>
        <v/>
      </c>
      <c r="AB2284" s="104" t="e">
        <f>IF(Z2284&gt;0,((IF(OR(D2284="DF",D2284="RA")=TRUE,EXP(VLOOKUP(D2284,'Species Codes'!B:I,8,0)+VLOOKUP(D2284,'Species Codes'!B:J,9,0)*(LN((E2284*2.54)))),IF(OR(D2284="PY",D2284="RC",D2284="WH",D2284="NF")=TRUE,VLOOKUP(D2284,'Species Codes'!B:I,8,0)+VLOOKUP(D2284,'Species Codes'!B:J,9,0)*((E2284*2.54)^2)*(I2284*0.3048),IF(OR(D2284="MD",D2284="BM",D2284="GA")=TRUE,((VLOOKUP(D2284,'Species Codes'!B:I,8,0)*(((((E2284*2.54)+VLOOKUP(D2284,'Species Codes'!B:J,9,0))/VLOOKUP(D2284,'Species Codes'!B:K,10,0))^VLOOKUP(D2284,'Species Codes'!B:L,11,0))*((I2284*0.3048)^VLOOKUP(D2284,'Species Codes'!B:M,12,0))))-(VLOOKUP(D2284,'Species Codes'!B:I,8,0)*((((E2284*2.54)^VLOOKUP(D2284,'Species Codes'!B:L,11,0))*((I2284*0.3048)^VLOOKUP(D2284,'Species Codes'!B:M,12,0))))))*35.3*VLOOKUP(D2284,'Species Codes'!B:G,6,0)/2.2046,VLOOKUP(D2284,'Species Codes'!B:I,8,0)+VLOOKUP(D2284,'Species Codes'!B:J,9,0)*(((E2284*2.54)/100)^2)*(I2284*0.3048)))))*0.0011023),0)</f>
        <v>#N/A</v>
      </c>
      <c r="AC2284" s="104" t="e">
        <f>IF(Z2284&gt;0,((IF(OR(D2284="RA",D2284="OA",D2284="OT",D2284="UN",D2284="PC"),EXP(VLOOKUP(D2284,'Species Codes'!B:O,14,0)+VLOOKUP(D2284,'Species Codes'!B:P,15,0)*LN((E2284*2.54)))-EXP(VLOOKUP(D2284,'Species Codes'!B:O,14,0)+VLOOKUP(D2284,'Species Codes'!B:P,15,0)*LN((E2284*2.54)))*(1/(VLOOKUP(D2284,'Species Codes'!B:Q,16,0)+VLOOKUP(D2284,'Species Codes'!B:R,17,0)*((E2284*2.54)^VLOOKUP(D2284,'Species Codes'!B:S,18,0)))),IF(OR(D2284="BM",D2284="MD",D2284="OA"),EXP(VLOOKUP(D2284,'Species Codes'!B:O,14,0)+VLOOKUP(D2284,'Species Codes'!B:P,15,0)*LN((E2284*2.54)))*(1-(1/(VLOOKUP(D2284,'Species Codes'!B:Q,16,0)+VLOOKUP(D2284,'Species Codes'!B:R,17,0)*((E2284*2.54)^VLOOKUP(D2284,'Species Codes'!B:S,18,0)))))/1000,IF(D2284="DF",EXP(VLOOKUP(D2284,'Species Codes'!B:O,14,0)+VLOOKUP(D2284,'Species Codes'!B:P,15,0)*LN((E2284*2.54))),VLOOKUP(D2284,'Species Codes'!B:O,14,0)+VLOOKUP(D2284,'Species Codes'!B:P,15,0)*(((E2284*2.54)/100)^2)*(I2284*0.3048)))))*0.0011023),0)</f>
        <v>#N/A</v>
      </c>
      <c r="AD2284" s="104" t="e">
        <f t="shared" si="1003"/>
        <v>#N/A</v>
      </c>
      <c r="AE2284" s="104" t="e">
        <f t="shared" si="1004"/>
        <v>#N/A</v>
      </c>
      <c r="AF2284" s="104" t="e">
        <f>IF(AND(VLOOKUP($D2284,Merchantability!$B:$C,2,0)="Yes",$E2284&gt;=VLOOKUP($D2284,Merchantability!$B:$D,3,0),$E2284&lt;=VLOOKUP($D2284,Merchantability!$B:$E,4,0)),AA2284,0)</f>
        <v>#N/A</v>
      </c>
      <c r="AG2284" s="104" t="e">
        <f>IF(AND(VLOOKUP($D2284,Merchantability!$B:$C,2,0)="Yes",$E2284&gt;=VLOOKUP($D2284,Merchantability!$B:$D,3,0),$E2284&lt;=VLOOKUP($D2284,Merchantability!$B:$E,4,0)),AB2284,0)</f>
        <v>#N/A</v>
      </c>
      <c r="AH2284" s="104" t="e">
        <f>IF(AND(VLOOKUP($D2284,Merchantability!$B:$C,2,0)="Yes",$E2284&gt;=VLOOKUP($D2284,Merchantability!$B:$D,3,0),$E2284&lt;=VLOOKUP($D2284,Merchantability!$B:$E,4,0)),AC2284,0)</f>
        <v>#N/A</v>
      </c>
      <c r="AI2284" s="104" t="e">
        <f t="shared" si="1005"/>
        <v>#N/A</v>
      </c>
      <c r="AJ2284" s="104" t="e">
        <f t="shared" si="1006"/>
        <v>#VALUE!</v>
      </c>
      <c r="AK2284" s="104" t="e">
        <f t="shared" si="1007"/>
        <v>#N/A</v>
      </c>
      <c r="AL2284" s="104" t="e">
        <f t="shared" si="1008"/>
        <v>#N/A</v>
      </c>
      <c r="AM2284" s="104" t="e">
        <f t="shared" si="1009"/>
        <v>#N/A</v>
      </c>
      <c r="AN2284" s="104" t="e">
        <f t="shared" si="993"/>
        <v>#N/A</v>
      </c>
      <c r="AO2284" s="104" t="e">
        <f t="shared" si="994"/>
        <v>#N/A</v>
      </c>
      <c r="AP2284" s="104" t="e">
        <f t="shared" si="995"/>
        <v>#N/A</v>
      </c>
      <c r="AQ2284" s="104" t="e">
        <f t="shared" si="996"/>
        <v>#N/A</v>
      </c>
      <c r="AR2284" s="105" t="str">
        <f t="shared" si="988"/>
        <v/>
      </c>
      <c r="AS2284" s="105" t="str">
        <f t="shared" si="989"/>
        <v/>
      </c>
      <c r="AT2284" s="108" t="str">
        <f t="shared" si="990"/>
        <v/>
      </c>
      <c r="AU2284" s="108" t="str">
        <f t="shared" si="991"/>
        <v/>
      </c>
      <c r="AV2284" s="107" t="str">
        <f>IF(ISNUMBER(O2284),IF(VLOOKUP($A2284,Stand!C:J,8,FALSE)="Short",AT2284,AU2284),"")</f>
        <v/>
      </c>
      <c r="AW2284" s="109" t="str">
        <f t="shared" si="997"/>
        <v/>
      </c>
      <c r="AX2284" s="109" t="str">
        <f t="shared" si="998"/>
        <v/>
      </c>
      <c r="AY2284" s="112" t="str">
        <f>IF(ISNUMBER(O2284),IF(AND(VLOOKUP($D2284,Merchantability!$B:$C,2,0)="Yes",$E2284&gt;=VLOOKUP($D2284,Merchantability!$B:$D,3,0),$E2284&lt;=VLOOKUP($D2284,Merchantability!$B:$E,4,0)),(AV2284*O2284)*(1-$H2284/100),""),"")</f>
        <v/>
      </c>
      <c r="AZ2284" s="116"/>
      <c r="BA2284" s="116"/>
      <c r="BB2284" s="116"/>
      <c r="BE2284" s="62"/>
      <c r="BF2284" s="63"/>
    </row>
    <row r="2285" spans="1:58" ht="12.75" customHeight="1" x14ac:dyDescent="0.25">
      <c r="A2285" s="334"/>
      <c r="B2285" s="334"/>
      <c r="C2285" s="332"/>
      <c r="D2285" s="334"/>
      <c r="E2285" s="335"/>
      <c r="F2285" s="334"/>
      <c r="G2285" s="332"/>
      <c r="H2285" s="332"/>
      <c r="I2285" s="334"/>
      <c r="J2285" s="336"/>
      <c r="K2285" s="332"/>
      <c r="L2285" s="332"/>
      <c r="M2285" s="76"/>
      <c r="N2285" s="103" t="str">
        <f>IF(A2285="","",VLOOKUP(A2285,Stand!C:K,9,0))</f>
        <v/>
      </c>
      <c r="O2285" s="104" t="str">
        <f t="shared" si="983"/>
        <v/>
      </c>
      <c r="P2285" s="105" t="str">
        <f t="shared" si="984"/>
        <v/>
      </c>
      <c r="Q2285" s="105" t="str">
        <f t="shared" si="999"/>
        <v/>
      </c>
      <c r="R2285" s="103" t="str">
        <f t="shared" si="985"/>
        <v/>
      </c>
      <c r="S2285" s="103" t="str">
        <f t="shared" si="986"/>
        <v/>
      </c>
      <c r="T2285" s="106" t="str">
        <f t="shared" si="1000"/>
        <v/>
      </c>
      <c r="U2285" s="106" t="str">
        <f t="shared" si="1001"/>
        <v/>
      </c>
      <c r="V2285" s="106" t="str">
        <f t="shared" si="1002"/>
        <v/>
      </c>
      <c r="W2285" s="105" t="str">
        <f t="shared" si="987"/>
        <v/>
      </c>
      <c r="X2285" s="104" t="str">
        <f t="shared" si="992"/>
        <v/>
      </c>
      <c r="Y2285" s="104" t="str">
        <f t="array" ref="Y2285">IFERROR(IF(ISNUMBER(O2285),IF(COUNT(IF(A2285=$A$2:$A$2427,IF(D2285=$D$2:$D$2427,IF($X$2:$X$2427&gt;0,1))))&gt;0,SUM(IF(A2285=$A$2:$A$2427,IF(D2285=$D$2:$D$2427,$X$2:$X$2427)))/COUNT(IF(A2285=$A$2:$A$2427,IF(D2285=$D$2:$D$2427,IF(ISNUMBER($X$2:$X$2427),1)))),0),""),0)</f>
        <v/>
      </c>
      <c r="Z2285" s="104" t="str">
        <f>IF(ISNUMBER(O2285),IF(I2285&gt;0,(10^(VLOOKUP(D2285,'Species Codes'!B:C,2,0)+VLOOKUP(D2285,'Species Codes'!B:D,3,0)*LOG(E2285)+VLOOKUP(D2285,'Species Codes'!B:E,4,0)*LOG(I2285))),0),"")</f>
        <v/>
      </c>
      <c r="AA2285" s="104" t="str">
        <f>IFERROR((VLOOKUP(D2285,'Species Codes'!B:G,6,0)*Z2285)/2000,"")</f>
        <v/>
      </c>
      <c r="AB2285" s="104" t="e">
        <f>IF(Z2285&gt;0,((IF(OR(D2285="DF",D2285="RA")=TRUE,EXP(VLOOKUP(D2285,'Species Codes'!B:I,8,0)+VLOOKUP(D2285,'Species Codes'!B:J,9,0)*(LN((E2285*2.54)))),IF(OR(D2285="PY",D2285="RC",D2285="WH",D2285="NF")=TRUE,VLOOKUP(D2285,'Species Codes'!B:I,8,0)+VLOOKUP(D2285,'Species Codes'!B:J,9,0)*((E2285*2.54)^2)*(I2285*0.3048),IF(OR(D2285="MD",D2285="BM",D2285="GA")=TRUE,((VLOOKUP(D2285,'Species Codes'!B:I,8,0)*(((((E2285*2.54)+VLOOKUP(D2285,'Species Codes'!B:J,9,0))/VLOOKUP(D2285,'Species Codes'!B:K,10,0))^VLOOKUP(D2285,'Species Codes'!B:L,11,0))*((I2285*0.3048)^VLOOKUP(D2285,'Species Codes'!B:M,12,0))))-(VLOOKUP(D2285,'Species Codes'!B:I,8,0)*((((E2285*2.54)^VLOOKUP(D2285,'Species Codes'!B:L,11,0))*((I2285*0.3048)^VLOOKUP(D2285,'Species Codes'!B:M,12,0))))))*35.3*VLOOKUP(D2285,'Species Codes'!B:G,6,0)/2.2046,VLOOKUP(D2285,'Species Codes'!B:I,8,0)+VLOOKUP(D2285,'Species Codes'!B:J,9,0)*(((E2285*2.54)/100)^2)*(I2285*0.3048)))))*0.0011023),0)</f>
        <v>#N/A</v>
      </c>
      <c r="AC2285" s="104" t="e">
        <f>IF(Z2285&gt;0,((IF(OR(D2285="RA",D2285="OA",D2285="OT",D2285="UN",D2285="PC"),EXP(VLOOKUP(D2285,'Species Codes'!B:O,14,0)+VLOOKUP(D2285,'Species Codes'!B:P,15,0)*LN((E2285*2.54)))-EXP(VLOOKUP(D2285,'Species Codes'!B:O,14,0)+VLOOKUP(D2285,'Species Codes'!B:P,15,0)*LN((E2285*2.54)))*(1/(VLOOKUP(D2285,'Species Codes'!B:Q,16,0)+VLOOKUP(D2285,'Species Codes'!B:R,17,0)*((E2285*2.54)^VLOOKUP(D2285,'Species Codes'!B:S,18,0)))),IF(OR(D2285="BM",D2285="MD",D2285="OA"),EXP(VLOOKUP(D2285,'Species Codes'!B:O,14,0)+VLOOKUP(D2285,'Species Codes'!B:P,15,0)*LN((E2285*2.54)))*(1-(1/(VLOOKUP(D2285,'Species Codes'!B:Q,16,0)+VLOOKUP(D2285,'Species Codes'!B:R,17,0)*((E2285*2.54)^VLOOKUP(D2285,'Species Codes'!B:S,18,0)))))/1000,IF(D2285="DF",EXP(VLOOKUP(D2285,'Species Codes'!B:O,14,0)+VLOOKUP(D2285,'Species Codes'!B:P,15,0)*LN((E2285*2.54))),VLOOKUP(D2285,'Species Codes'!B:O,14,0)+VLOOKUP(D2285,'Species Codes'!B:P,15,0)*(((E2285*2.54)/100)^2)*(I2285*0.3048)))))*0.0011023),0)</f>
        <v>#N/A</v>
      </c>
      <c r="AD2285" s="104" t="e">
        <f t="shared" si="1003"/>
        <v>#N/A</v>
      </c>
      <c r="AE2285" s="104" t="e">
        <f t="shared" si="1004"/>
        <v>#N/A</v>
      </c>
      <c r="AF2285" s="104" t="e">
        <f>IF(AND(VLOOKUP($D2285,Merchantability!$B:$C,2,0)="Yes",$E2285&gt;=VLOOKUP($D2285,Merchantability!$B:$D,3,0),$E2285&lt;=VLOOKUP($D2285,Merchantability!$B:$E,4,0)),AA2285,0)</f>
        <v>#N/A</v>
      </c>
      <c r="AG2285" s="104" t="e">
        <f>IF(AND(VLOOKUP($D2285,Merchantability!$B:$C,2,0)="Yes",$E2285&gt;=VLOOKUP($D2285,Merchantability!$B:$D,3,0),$E2285&lt;=VLOOKUP($D2285,Merchantability!$B:$E,4,0)),AB2285,0)</f>
        <v>#N/A</v>
      </c>
      <c r="AH2285" s="104" t="e">
        <f>IF(AND(VLOOKUP($D2285,Merchantability!$B:$C,2,0)="Yes",$E2285&gt;=VLOOKUP($D2285,Merchantability!$B:$D,3,0),$E2285&lt;=VLOOKUP($D2285,Merchantability!$B:$E,4,0)),AC2285,0)</f>
        <v>#N/A</v>
      </c>
      <c r="AI2285" s="104" t="e">
        <f t="shared" si="1005"/>
        <v>#N/A</v>
      </c>
      <c r="AJ2285" s="104" t="e">
        <f t="shared" si="1006"/>
        <v>#VALUE!</v>
      </c>
      <c r="AK2285" s="104" t="e">
        <f t="shared" si="1007"/>
        <v>#N/A</v>
      </c>
      <c r="AL2285" s="104" t="e">
        <f t="shared" si="1008"/>
        <v>#N/A</v>
      </c>
      <c r="AM2285" s="104" t="e">
        <f t="shared" si="1009"/>
        <v>#N/A</v>
      </c>
      <c r="AN2285" s="104" t="e">
        <f t="shared" si="993"/>
        <v>#N/A</v>
      </c>
      <c r="AO2285" s="104" t="e">
        <f t="shared" si="994"/>
        <v>#N/A</v>
      </c>
      <c r="AP2285" s="104" t="e">
        <f t="shared" si="995"/>
        <v>#N/A</v>
      </c>
      <c r="AQ2285" s="104" t="e">
        <f t="shared" si="996"/>
        <v>#N/A</v>
      </c>
      <c r="AR2285" s="105" t="str">
        <f t="shared" si="988"/>
        <v/>
      </c>
      <c r="AS2285" s="105" t="str">
        <f t="shared" si="989"/>
        <v/>
      </c>
      <c r="AT2285" s="108" t="str">
        <f t="shared" si="990"/>
        <v/>
      </c>
      <c r="AU2285" s="108" t="str">
        <f t="shared" si="991"/>
        <v/>
      </c>
      <c r="AV2285" s="107" t="str">
        <f>IF(ISNUMBER(O2285),IF(VLOOKUP($A2285,Stand!C:J,8,FALSE)="Short",AT2285,AU2285),"")</f>
        <v/>
      </c>
      <c r="AW2285" s="109" t="str">
        <f t="shared" si="997"/>
        <v/>
      </c>
      <c r="AX2285" s="109" t="str">
        <f t="shared" si="998"/>
        <v/>
      </c>
      <c r="AY2285" s="112" t="str">
        <f>IF(ISNUMBER(O2285),IF(AND(VLOOKUP($D2285,Merchantability!$B:$C,2,0)="Yes",$E2285&gt;=VLOOKUP($D2285,Merchantability!$B:$D,3,0),$E2285&lt;=VLOOKUP($D2285,Merchantability!$B:$E,4,0)),(AV2285*O2285)*(1-$H2285/100),""),"")</f>
        <v/>
      </c>
      <c r="AZ2285" s="116"/>
      <c r="BA2285" s="116"/>
      <c r="BB2285" s="116"/>
      <c r="BE2285" s="62"/>
      <c r="BF2285" s="63"/>
    </row>
    <row r="2286" spans="1:58" ht="12.75" customHeight="1" x14ac:dyDescent="0.25">
      <c r="A2286" s="334"/>
      <c r="B2286" s="334"/>
      <c r="C2286" s="332"/>
      <c r="D2286" s="334"/>
      <c r="E2286" s="335"/>
      <c r="F2286" s="334"/>
      <c r="G2286" s="332"/>
      <c r="H2286" s="332"/>
      <c r="I2286" s="334"/>
      <c r="J2286" s="336"/>
      <c r="K2286" s="332"/>
      <c r="L2286" s="332"/>
      <c r="M2286" s="76"/>
      <c r="N2286" s="103" t="str">
        <f>IF(A2286="","",VLOOKUP(A2286,Stand!C:K,9,0))</f>
        <v/>
      </c>
      <c r="O2286" s="104" t="str">
        <f t="shared" si="983"/>
        <v/>
      </c>
      <c r="P2286" s="105" t="str">
        <f t="shared" si="984"/>
        <v/>
      </c>
      <c r="Q2286" s="105" t="str">
        <f t="shared" si="999"/>
        <v/>
      </c>
      <c r="R2286" s="103" t="str">
        <f t="shared" si="985"/>
        <v/>
      </c>
      <c r="S2286" s="103" t="str">
        <f t="shared" si="986"/>
        <v/>
      </c>
      <c r="T2286" s="106" t="str">
        <f t="shared" si="1000"/>
        <v/>
      </c>
      <c r="U2286" s="106" t="str">
        <f t="shared" si="1001"/>
        <v/>
      </c>
      <c r="V2286" s="106" t="str">
        <f t="shared" si="1002"/>
        <v/>
      </c>
      <c r="W2286" s="105" t="str">
        <f t="shared" si="987"/>
        <v/>
      </c>
      <c r="X2286" s="104" t="str">
        <f t="shared" si="992"/>
        <v/>
      </c>
      <c r="Y2286" s="104" t="str">
        <f t="array" ref="Y2286">IFERROR(IF(ISNUMBER(O2286),IF(COUNT(IF(A2286=$A$2:$A$2427,IF(D2286=$D$2:$D$2427,IF($X$2:$X$2427&gt;0,1))))&gt;0,SUM(IF(A2286=$A$2:$A$2427,IF(D2286=$D$2:$D$2427,$X$2:$X$2427)))/COUNT(IF(A2286=$A$2:$A$2427,IF(D2286=$D$2:$D$2427,IF(ISNUMBER($X$2:$X$2427),1)))),0),""),0)</f>
        <v/>
      </c>
      <c r="Z2286" s="104" t="str">
        <f>IF(ISNUMBER(O2286),IF(I2286&gt;0,(10^(VLOOKUP(D2286,'Species Codes'!B:C,2,0)+VLOOKUP(D2286,'Species Codes'!B:D,3,0)*LOG(E2286)+VLOOKUP(D2286,'Species Codes'!B:E,4,0)*LOG(I2286))),0),"")</f>
        <v/>
      </c>
      <c r="AA2286" s="104" t="str">
        <f>IFERROR((VLOOKUP(D2286,'Species Codes'!B:G,6,0)*Z2286)/2000,"")</f>
        <v/>
      </c>
      <c r="AB2286" s="104" t="e">
        <f>IF(Z2286&gt;0,((IF(OR(D2286="DF",D2286="RA")=TRUE,EXP(VLOOKUP(D2286,'Species Codes'!B:I,8,0)+VLOOKUP(D2286,'Species Codes'!B:J,9,0)*(LN((E2286*2.54)))),IF(OR(D2286="PY",D2286="RC",D2286="WH",D2286="NF")=TRUE,VLOOKUP(D2286,'Species Codes'!B:I,8,0)+VLOOKUP(D2286,'Species Codes'!B:J,9,0)*((E2286*2.54)^2)*(I2286*0.3048),IF(OR(D2286="MD",D2286="BM",D2286="GA")=TRUE,((VLOOKUP(D2286,'Species Codes'!B:I,8,0)*(((((E2286*2.54)+VLOOKUP(D2286,'Species Codes'!B:J,9,0))/VLOOKUP(D2286,'Species Codes'!B:K,10,0))^VLOOKUP(D2286,'Species Codes'!B:L,11,0))*((I2286*0.3048)^VLOOKUP(D2286,'Species Codes'!B:M,12,0))))-(VLOOKUP(D2286,'Species Codes'!B:I,8,0)*((((E2286*2.54)^VLOOKUP(D2286,'Species Codes'!B:L,11,0))*((I2286*0.3048)^VLOOKUP(D2286,'Species Codes'!B:M,12,0))))))*35.3*VLOOKUP(D2286,'Species Codes'!B:G,6,0)/2.2046,VLOOKUP(D2286,'Species Codes'!B:I,8,0)+VLOOKUP(D2286,'Species Codes'!B:J,9,0)*(((E2286*2.54)/100)^2)*(I2286*0.3048)))))*0.0011023),0)</f>
        <v>#N/A</v>
      </c>
      <c r="AC2286" s="104" t="e">
        <f>IF(Z2286&gt;0,((IF(OR(D2286="RA",D2286="OA",D2286="OT",D2286="UN",D2286="PC"),EXP(VLOOKUP(D2286,'Species Codes'!B:O,14,0)+VLOOKUP(D2286,'Species Codes'!B:P,15,0)*LN((E2286*2.54)))-EXP(VLOOKUP(D2286,'Species Codes'!B:O,14,0)+VLOOKUP(D2286,'Species Codes'!B:P,15,0)*LN((E2286*2.54)))*(1/(VLOOKUP(D2286,'Species Codes'!B:Q,16,0)+VLOOKUP(D2286,'Species Codes'!B:R,17,0)*((E2286*2.54)^VLOOKUP(D2286,'Species Codes'!B:S,18,0)))),IF(OR(D2286="BM",D2286="MD",D2286="OA"),EXP(VLOOKUP(D2286,'Species Codes'!B:O,14,0)+VLOOKUP(D2286,'Species Codes'!B:P,15,0)*LN((E2286*2.54)))*(1-(1/(VLOOKUP(D2286,'Species Codes'!B:Q,16,0)+VLOOKUP(D2286,'Species Codes'!B:R,17,0)*((E2286*2.54)^VLOOKUP(D2286,'Species Codes'!B:S,18,0)))))/1000,IF(D2286="DF",EXP(VLOOKUP(D2286,'Species Codes'!B:O,14,0)+VLOOKUP(D2286,'Species Codes'!B:P,15,0)*LN((E2286*2.54))),VLOOKUP(D2286,'Species Codes'!B:O,14,0)+VLOOKUP(D2286,'Species Codes'!B:P,15,0)*(((E2286*2.54)/100)^2)*(I2286*0.3048)))))*0.0011023),0)</f>
        <v>#N/A</v>
      </c>
      <c r="AD2286" s="104" t="e">
        <f t="shared" si="1003"/>
        <v>#N/A</v>
      </c>
      <c r="AE2286" s="104" t="e">
        <f t="shared" si="1004"/>
        <v>#N/A</v>
      </c>
      <c r="AF2286" s="104" t="e">
        <f>IF(AND(VLOOKUP($D2286,Merchantability!$B:$C,2,0)="Yes",$E2286&gt;=VLOOKUP($D2286,Merchantability!$B:$D,3,0),$E2286&lt;=VLOOKUP($D2286,Merchantability!$B:$E,4,0)),AA2286,0)</f>
        <v>#N/A</v>
      </c>
      <c r="AG2286" s="104" t="e">
        <f>IF(AND(VLOOKUP($D2286,Merchantability!$B:$C,2,0)="Yes",$E2286&gt;=VLOOKUP($D2286,Merchantability!$B:$D,3,0),$E2286&lt;=VLOOKUP($D2286,Merchantability!$B:$E,4,0)),AB2286,0)</f>
        <v>#N/A</v>
      </c>
      <c r="AH2286" s="104" t="e">
        <f>IF(AND(VLOOKUP($D2286,Merchantability!$B:$C,2,0)="Yes",$E2286&gt;=VLOOKUP($D2286,Merchantability!$B:$D,3,0),$E2286&lt;=VLOOKUP($D2286,Merchantability!$B:$E,4,0)),AC2286,0)</f>
        <v>#N/A</v>
      </c>
      <c r="AI2286" s="104" t="e">
        <f t="shared" si="1005"/>
        <v>#N/A</v>
      </c>
      <c r="AJ2286" s="104" t="e">
        <f t="shared" si="1006"/>
        <v>#VALUE!</v>
      </c>
      <c r="AK2286" s="104" t="e">
        <f t="shared" si="1007"/>
        <v>#N/A</v>
      </c>
      <c r="AL2286" s="104" t="e">
        <f t="shared" si="1008"/>
        <v>#N/A</v>
      </c>
      <c r="AM2286" s="104" t="e">
        <f t="shared" si="1009"/>
        <v>#N/A</v>
      </c>
      <c r="AN2286" s="104" t="e">
        <f t="shared" si="993"/>
        <v>#N/A</v>
      </c>
      <c r="AO2286" s="104" t="e">
        <f t="shared" si="994"/>
        <v>#N/A</v>
      </c>
      <c r="AP2286" s="104" t="e">
        <f t="shared" si="995"/>
        <v>#N/A</v>
      </c>
      <c r="AQ2286" s="104" t="e">
        <f t="shared" si="996"/>
        <v>#N/A</v>
      </c>
      <c r="AR2286" s="105" t="str">
        <f t="shared" si="988"/>
        <v/>
      </c>
      <c r="AS2286" s="105" t="str">
        <f t="shared" si="989"/>
        <v/>
      </c>
      <c r="AT2286" s="108" t="str">
        <f t="shared" si="990"/>
        <v/>
      </c>
      <c r="AU2286" s="108" t="str">
        <f t="shared" si="991"/>
        <v/>
      </c>
      <c r="AV2286" s="107" t="str">
        <f>IF(ISNUMBER(O2286),IF(VLOOKUP($A2286,Stand!C:J,8,FALSE)="Short",AT2286,AU2286),"")</f>
        <v/>
      </c>
      <c r="AW2286" s="109" t="str">
        <f t="shared" si="997"/>
        <v/>
      </c>
      <c r="AX2286" s="109" t="str">
        <f t="shared" si="998"/>
        <v/>
      </c>
      <c r="AY2286" s="112" t="str">
        <f>IF(ISNUMBER(O2286),IF(AND(VLOOKUP($D2286,Merchantability!$B:$C,2,0)="Yes",$E2286&gt;=VLOOKUP($D2286,Merchantability!$B:$D,3,0),$E2286&lt;=VLOOKUP($D2286,Merchantability!$B:$E,4,0)),(AV2286*O2286)*(1-$H2286/100),""),"")</f>
        <v/>
      </c>
      <c r="AZ2286" s="116"/>
      <c r="BA2286" s="116"/>
      <c r="BB2286" s="116"/>
      <c r="BE2286" s="62"/>
      <c r="BF2286" s="63"/>
    </row>
    <row r="2287" spans="1:58" ht="12.75" customHeight="1" x14ac:dyDescent="0.25">
      <c r="A2287" s="334"/>
      <c r="B2287" s="334"/>
      <c r="C2287" s="332"/>
      <c r="D2287" s="334"/>
      <c r="E2287" s="335"/>
      <c r="F2287" s="334"/>
      <c r="G2287" s="332"/>
      <c r="H2287" s="332"/>
      <c r="I2287" s="334"/>
      <c r="J2287" s="336"/>
      <c r="K2287" s="332"/>
      <c r="L2287" s="332"/>
      <c r="M2287" s="76"/>
      <c r="N2287" s="103" t="str">
        <f>IF(A2287="","",VLOOKUP(A2287,Stand!C:K,9,0))</f>
        <v/>
      </c>
      <c r="O2287" s="104" t="str">
        <f t="shared" si="983"/>
        <v/>
      </c>
      <c r="P2287" s="105" t="str">
        <f t="shared" si="984"/>
        <v/>
      </c>
      <c r="Q2287" s="105" t="str">
        <f t="shared" si="999"/>
        <v/>
      </c>
      <c r="R2287" s="103" t="str">
        <f t="shared" si="985"/>
        <v/>
      </c>
      <c r="S2287" s="103" t="str">
        <f t="shared" si="986"/>
        <v/>
      </c>
      <c r="T2287" s="106" t="str">
        <f t="shared" si="1000"/>
        <v/>
      </c>
      <c r="U2287" s="106" t="str">
        <f t="shared" si="1001"/>
        <v/>
      </c>
      <c r="V2287" s="106" t="str">
        <f t="shared" si="1002"/>
        <v/>
      </c>
      <c r="W2287" s="105" t="str">
        <f t="shared" si="987"/>
        <v/>
      </c>
      <c r="X2287" s="104" t="str">
        <f t="shared" si="992"/>
        <v/>
      </c>
      <c r="Y2287" s="104" t="str">
        <f t="array" ref="Y2287">IFERROR(IF(ISNUMBER(O2287),IF(COUNT(IF(A2287=$A$2:$A$2427,IF(D2287=$D$2:$D$2427,IF($X$2:$X$2427&gt;0,1))))&gt;0,SUM(IF(A2287=$A$2:$A$2427,IF(D2287=$D$2:$D$2427,$X$2:$X$2427)))/COUNT(IF(A2287=$A$2:$A$2427,IF(D2287=$D$2:$D$2427,IF(ISNUMBER($X$2:$X$2427),1)))),0),""),0)</f>
        <v/>
      </c>
      <c r="Z2287" s="104" t="str">
        <f>IF(ISNUMBER(O2287),IF(I2287&gt;0,(10^(VLOOKUP(D2287,'Species Codes'!B:C,2,0)+VLOOKUP(D2287,'Species Codes'!B:D,3,0)*LOG(E2287)+VLOOKUP(D2287,'Species Codes'!B:E,4,0)*LOG(I2287))),0),"")</f>
        <v/>
      </c>
      <c r="AA2287" s="104" t="str">
        <f>IFERROR((VLOOKUP(D2287,'Species Codes'!B:G,6,0)*Z2287)/2000,"")</f>
        <v/>
      </c>
      <c r="AB2287" s="104" t="e">
        <f>IF(Z2287&gt;0,((IF(OR(D2287="DF",D2287="RA")=TRUE,EXP(VLOOKUP(D2287,'Species Codes'!B:I,8,0)+VLOOKUP(D2287,'Species Codes'!B:J,9,0)*(LN((E2287*2.54)))),IF(OR(D2287="PY",D2287="RC",D2287="WH",D2287="NF")=TRUE,VLOOKUP(D2287,'Species Codes'!B:I,8,0)+VLOOKUP(D2287,'Species Codes'!B:J,9,0)*((E2287*2.54)^2)*(I2287*0.3048),IF(OR(D2287="MD",D2287="BM",D2287="GA")=TRUE,((VLOOKUP(D2287,'Species Codes'!B:I,8,0)*(((((E2287*2.54)+VLOOKUP(D2287,'Species Codes'!B:J,9,0))/VLOOKUP(D2287,'Species Codes'!B:K,10,0))^VLOOKUP(D2287,'Species Codes'!B:L,11,0))*((I2287*0.3048)^VLOOKUP(D2287,'Species Codes'!B:M,12,0))))-(VLOOKUP(D2287,'Species Codes'!B:I,8,0)*((((E2287*2.54)^VLOOKUP(D2287,'Species Codes'!B:L,11,0))*((I2287*0.3048)^VLOOKUP(D2287,'Species Codes'!B:M,12,0))))))*35.3*VLOOKUP(D2287,'Species Codes'!B:G,6,0)/2.2046,VLOOKUP(D2287,'Species Codes'!B:I,8,0)+VLOOKUP(D2287,'Species Codes'!B:J,9,0)*(((E2287*2.54)/100)^2)*(I2287*0.3048)))))*0.0011023),0)</f>
        <v>#N/A</v>
      </c>
      <c r="AC2287" s="104" t="e">
        <f>IF(Z2287&gt;0,((IF(OR(D2287="RA",D2287="OA",D2287="OT",D2287="UN",D2287="PC"),EXP(VLOOKUP(D2287,'Species Codes'!B:O,14,0)+VLOOKUP(D2287,'Species Codes'!B:P,15,0)*LN((E2287*2.54)))-EXP(VLOOKUP(D2287,'Species Codes'!B:O,14,0)+VLOOKUP(D2287,'Species Codes'!B:P,15,0)*LN((E2287*2.54)))*(1/(VLOOKUP(D2287,'Species Codes'!B:Q,16,0)+VLOOKUP(D2287,'Species Codes'!B:R,17,0)*((E2287*2.54)^VLOOKUP(D2287,'Species Codes'!B:S,18,0)))),IF(OR(D2287="BM",D2287="MD",D2287="OA"),EXP(VLOOKUP(D2287,'Species Codes'!B:O,14,0)+VLOOKUP(D2287,'Species Codes'!B:P,15,0)*LN((E2287*2.54)))*(1-(1/(VLOOKUP(D2287,'Species Codes'!B:Q,16,0)+VLOOKUP(D2287,'Species Codes'!B:R,17,0)*((E2287*2.54)^VLOOKUP(D2287,'Species Codes'!B:S,18,0)))))/1000,IF(D2287="DF",EXP(VLOOKUP(D2287,'Species Codes'!B:O,14,0)+VLOOKUP(D2287,'Species Codes'!B:P,15,0)*LN((E2287*2.54))),VLOOKUP(D2287,'Species Codes'!B:O,14,0)+VLOOKUP(D2287,'Species Codes'!B:P,15,0)*(((E2287*2.54)/100)^2)*(I2287*0.3048)))))*0.0011023),0)</f>
        <v>#N/A</v>
      </c>
      <c r="AD2287" s="104" t="e">
        <f t="shared" si="1003"/>
        <v>#N/A</v>
      </c>
      <c r="AE2287" s="104" t="e">
        <f t="shared" si="1004"/>
        <v>#N/A</v>
      </c>
      <c r="AF2287" s="104" t="e">
        <f>IF(AND(VLOOKUP($D2287,Merchantability!$B:$C,2,0)="Yes",$E2287&gt;=VLOOKUP($D2287,Merchantability!$B:$D,3,0),$E2287&lt;=VLOOKUP($D2287,Merchantability!$B:$E,4,0)),AA2287,0)</f>
        <v>#N/A</v>
      </c>
      <c r="AG2287" s="104" t="e">
        <f>IF(AND(VLOOKUP($D2287,Merchantability!$B:$C,2,0)="Yes",$E2287&gt;=VLOOKUP($D2287,Merchantability!$B:$D,3,0),$E2287&lt;=VLOOKUP($D2287,Merchantability!$B:$E,4,0)),AB2287,0)</f>
        <v>#N/A</v>
      </c>
      <c r="AH2287" s="104" t="e">
        <f>IF(AND(VLOOKUP($D2287,Merchantability!$B:$C,2,0)="Yes",$E2287&gt;=VLOOKUP($D2287,Merchantability!$B:$D,3,0),$E2287&lt;=VLOOKUP($D2287,Merchantability!$B:$E,4,0)),AC2287,0)</f>
        <v>#N/A</v>
      </c>
      <c r="AI2287" s="104" t="e">
        <f t="shared" si="1005"/>
        <v>#N/A</v>
      </c>
      <c r="AJ2287" s="104" t="e">
        <f t="shared" si="1006"/>
        <v>#VALUE!</v>
      </c>
      <c r="AK2287" s="104" t="e">
        <f t="shared" si="1007"/>
        <v>#N/A</v>
      </c>
      <c r="AL2287" s="104" t="e">
        <f t="shared" si="1008"/>
        <v>#N/A</v>
      </c>
      <c r="AM2287" s="104" t="e">
        <f t="shared" si="1009"/>
        <v>#N/A</v>
      </c>
      <c r="AN2287" s="104" t="e">
        <f t="shared" si="993"/>
        <v>#N/A</v>
      </c>
      <c r="AO2287" s="104" t="e">
        <f t="shared" si="994"/>
        <v>#N/A</v>
      </c>
      <c r="AP2287" s="104" t="e">
        <f t="shared" si="995"/>
        <v>#N/A</v>
      </c>
      <c r="AQ2287" s="104" t="e">
        <f t="shared" si="996"/>
        <v>#N/A</v>
      </c>
      <c r="AR2287" s="105" t="str">
        <f t="shared" si="988"/>
        <v/>
      </c>
      <c r="AS2287" s="105" t="str">
        <f t="shared" si="989"/>
        <v/>
      </c>
      <c r="AT2287" s="108" t="str">
        <f t="shared" si="990"/>
        <v/>
      </c>
      <c r="AU2287" s="108" t="str">
        <f t="shared" si="991"/>
        <v/>
      </c>
      <c r="AV2287" s="107" t="str">
        <f>IF(ISNUMBER(O2287),IF(VLOOKUP($A2287,Stand!C:J,8,FALSE)="Short",AT2287,AU2287),"")</f>
        <v/>
      </c>
      <c r="AW2287" s="109" t="str">
        <f t="shared" si="997"/>
        <v/>
      </c>
      <c r="AX2287" s="109" t="str">
        <f t="shared" si="998"/>
        <v/>
      </c>
      <c r="AY2287" s="112" t="str">
        <f>IF(ISNUMBER(O2287),IF(AND(VLOOKUP($D2287,Merchantability!$B:$C,2,0)="Yes",$E2287&gt;=VLOOKUP($D2287,Merchantability!$B:$D,3,0),$E2287&lt;=VLOOKUP($D2287,Merchantability!$B:$E,4,0)),(AV2287*O2287)*(1-$H2287/100),""),"")</f>
        <v/>
      </c>
      <c r="AZ2287" s="116"/>
      <c r="BA2287" s="116"/>
      <c r="BB2287" s="116"/>
      <c r="BE2287" s="62"/>
      <c r="BF2287" s="63"/>
    </row>
    <row r="2288" spans="1:58" ht="12.75" customHeight="1" x14ac:dyDescent="0.25">
      <c r="A2288" s="334"/>
      <c r="B2288" s="334"/>
      <c r="C2288" s="332"/>
      <c r="D2288" s="334"/>
      <c r="E2288" s="335"/>
      <c r="F2288" s="334"/>
      <c r="G2288" s="332"/>
      <c r="H2288" s="332"/>
      <c r="I2288" s="334"/>
      <c r="J2288" s="336"/>
      <c r="K2288" s="332"/>
      <c r="L2288" s="332"/>
      <c r="M2288" s="76"/>
      <c r="N2288" s="103" t="str">
        <f>IF(A2288="","",VLOOKUP(A2288,Stand!C:K,9,0))</f>
        <v/>
      </c>
      <c r="O2288" s="104" t="str">
        <f t="shared" si="983"/>
        <v/>
      </c>
      <c r="P2288" s="105" t="str">
        <f t="shared" si="984"/>
        <v/>
      </c>
      <c r="Q2288" s="105" t="str">
        <f t="shared" si="999"/>
        <v/>
      </c>
      <c r="R2288" s="103" t="str">
        <f t="shared" si="985"/>
        <v/>
      </c>
      <c r="S2288" s="103" t="str">
        <f t="shared" si="986"/>
        <v/>
      </c>
      <c r="T2288" s="106" t="str">
        <f t="shared" si="1000"/>
        <v/>
      </c>
      <c r="U2288" s="106" t="str">
        <f t="shared" si="1001"/>
        <v/>
      </c>
      <c r="V2288" s="106" t="str">
        <f t="shared" si="1002"/>
        <v/>
      </c>
      <c r="W2288" s="105" t="str">
        <f t="shared" si="987"/>
        <v/>
      </c>
      <c r="X2288" s="104" t="str">
        <f t="shared" si="992"/>
        <v/>
      </c>
      <c r="Y2288" s="104" t="str">
        <f t="array" ref="Y2288">IFERROR(IF(ISNUMBER(O2288),IF(COUNT(IF(A2288=$A$2:$A$2427,IF(D2288=$D$2:$D$2427,IF($X$2:$X$2427&gt;0,1))))&gt;0,SUM(IF(A2288=$A$2:$A$2427,IF(D2288=$D$2:$D$2427,$X$2:$X$2427)))/COUNT(IF(A2288=$A$2:$A$2427,IF(D2288=$D$2:$D$2427,IF(ISNUMBER($X$2:$X$2427),1)))),0),""),0)</f>
        <v/>
      </c>
      <c r="Z2288" s="104" t="str">
        <f>IF(ISNUMBER(O2288),IF(I2288&gt;0,(10^(VLOOKUP(D2288,'Species Codes'!B:C,2,0)+VLOOKUP(D2288,'Species Codes'!B:D,3,0)*LOG(E2288)+VLOOKUP(D2288,'Species Codes'!B:E,4,0)*LOG(I2288))),0),"")</f>
        <v/>
      </c>
      <c r="AA2288" s="104" t="str">
        <f>IFERROR((VLOOKUP(D2288,'Species Codes'!B:G,6,0)*Z2288)/2000,"")</f>
        <v/>
      </c>
      <c r="AB2288" s="104" t="e">
        <f>IF(Z2288&gt;0,((IF(OR(D2288="DF",D2288="RA")=TRUE,EXP(VLOOKUP(D2288,'Species Codes'!B:I,8,0)+VLOOKUP(D2288,'Species Codes'!B:J,9,0)*(LN((E2288*2.54)))),IF(OR(D2288="PY",D2288="RC",D2288="WH",D2288="NF")=TRUE,VLOOKUP(D2288,'Species Codes'!B:I,8,0)+VLOOKUP(D2288,'Species Codes'!B:J,9,0)*((E2288*2.54)^2)*(I2288*0.3048),IF(OR(D2288="MD",D2288="BM",D2288="GA")=TRUE,((VLOOKUP(D2288,'Species Codes'!B:I,8,0)*(((((E2288*2.54)+VLOOKUP(D2288,'Species Codes'!B:J,9,0))/VLOOKUP(D2288,'Species Codes'!B:K,10,0))^VLOOKUP(D2288,'Species Codes'!B:L,11,0))*((I2288*0.3048)^VLOOKUP(D2288,'Species Codes'!B:M,12,0))))-(VLOOKUP(D2288,'Species Codes'!B:I,8,0)*((((E2288*2.54)^VLOOKUP(D2288,'Species Codes'!B:L,11,0))*((I2288*0.3048)^VLOOKUP(D2288,'Species Codes'!B:M,12,0))))))*35.3*VLOOKUP(D2288,'Species Codes'!B:G,6,0)/2.2046,VLOOKUP(D2288,'Species Codes'!B:I,8,0)+VLOOKUP(D2288,'Species Codes'!B:J,9,0)*(((E2288*2.54)/100)^2)*(I2288*0.3048)))))*0.0011023),0)</f>
        <v>#N/A</v>
      </c>
      <c r="AC2288" s="104" t="e">
        <f>IF(Z2288&gt;0,((IF(OR(D2288="RA",D2288="OA",D2288="OT",D2288="UN",D2288="PC"),EXP(VLOOKUP(D2288,'Species Codes'!B:O,14,0)+VLOOKUP(D2288,'Species Codes'!B:P,15,0)*LN((E2288*2.54)))-EXP(VLOOKUP(D2288,'Species Codes'!B:O,14,0)+VLOOKUP(D2288,'Species Codes'!B:P,15,0)*LN((E2288*2.54)))*(1/(VLOOKUP(D2288,'Species Codes'!B:Q,16,0)+VLOOKUP(D2288,'Species Codes'!B:R,17,0)*((E2288*2.54)^VLOOKUP(D2288,'Species Codes'!B:S,18,0)))),IF(OR(D2288="BM",D2288="MD",D2288="OA"),EXP(VLOOKUP(D2288,'Species Codes'!B:O,14,0)+VLOOKUP(D2288,'Species Codes'!B:P,15,0)*LN((E2288*2.54)))*(1-(1/(VLOOKUP(D2288,'Species Codes'!B:Q,16,0)+VLOOKUP(D2288,'Species Codes'!B:R,17,0)*((E2288*2.54)^VLOOKUP(D2288,'Species Codes'!B:S,18,0)))))/1000,IF(D2288="DF",EXP(VLOOKUP(D2288,'Species Codes'!B:O,14,0)+VLOOKUP(D2288,'Species Codes'!B:P,15,0)*LN((E2288*2.54))),VLOOKUP(D2288,'Species Codes'!B:O,14,0)+VLOOKUP(D2288,'Species Codes'!B:P,15,0)*(((E2288*2.54)/100)^2)*(I2288*0.3048)))))*0.0011023),0)</f>
        <v>#N/A</v>
      </c>
      <c r="AD2288" s="104" t="e">
        <f t="shared" si="1003"/>
        <v>#N/A</v>
      </c>
      <c r="AE2288" s="104" t="e">
        <f t="shared" si="1004"/>
        <v>#N/A</v>
      </c>
      <c r="AF2288" s="104" t="e">
        <f>IF(AND(VLOOKUP($D2288,Merchantability!$B:$C,2,0)="Yes",$E2288&gt;=VLOOKUP($D2288,Merchantability!$B:$D,3,0),$E2288&lt;=VLOOKUP($D2288,Merchantability!$B:$E,4,0)),AA2288,0)</f>
        <v>#N/A</v>
      </c>
      <c r="AG2288" s="104" t="e">
        <f>IF(AND(VLOOKUP($D2288,Merchantability!$B:$C,2,0)="Yes",$E2288&gt;=VLOOKUP($D2288,Merchantability!$B:$D,3,0),$E2288&lt;=VLOOKUP($D2288,Merchantability!$B:$E,4,0)),AB2288,0)</f>
        <v>#N/A</v>
      </c>
      <c r="AH2288" s="104" t="e">
        <f>IF(AND(VLOOKUP($D2288,Merchantability!$B:$C,2,0)="Yes",$E2288&gt;=VLOOKUP($D2288,Merchantability!$B:$D,3,0),$E2288&lt;=VLOOKUP($D2288,Merchantability!$B:$E,4,0)),AC2288,0)</f>
        <v>#N/A</v>
      </c>
      <c r="AI2288" s="104" t="e">
        <f t="shared" si="1005"/>
        <v>#N/A</v>
      </c>
      <c r="AJ2288" s="104" t="e">
        <f t="shared" si="1006"/>
        <v>#VALUE!</v>
      </c>
      <c r="AK2288" s="104" t="e">
        <f t="shared" si="1007"/>
        <v>#N/A</v>
      </c>
      <c r="AL2288" s="104" t="e">
        <f t="shared" si="1008"/>
        <v>#N/A</v>
      </c>
      <c r="AM2288" s="104" t="e">
        <f t="shared" si="1009"/>
        <v>#N/A</v>
      </c>
      <c r="AN2288" s="104" t="e">
        <f t="shared" si="993"/>
        <v>#N/A</v>
      </c>
      <c r="AO2288" s="104" t="e">
        <f t="shared" si="994"/>
        <v>#N/A</v>
      </c>
      <c r="AP2288" s="104" t="e">
        <f t="shared" si="995"/>
        <v>#N/A</v>
      </c>
      <c r="AQ2288" s="104" t="e">
        <f t="shared" si="996"/>
        <v>#N/A</v>
      </c>
      <c r="AR2288" s="105" t="str">
        <f t="shared" si="988"/>
        <v/>
      </c>
      <c r="AS2288" s="105" t="str">
        <f t="shared" si="989"/>
        <v/>
      </c>
      <c r="AT2288" s="108" t="str">
        <f t="shared" si="990"/>
        <v/>
      </c>
      <c r="AU2288" s="108" t="str">
        <f t="shared" si="991"/>
        <v/>
      </c>
      <c r="AV2288" s="107" t="str">
        <f>IF(ISNUMBER(O2288),IF(VLOOKUP($A2288,Stand!C:J,8,FALSE)="Short",AT2288,AU2288),"")</f>
        <v/>
      </c>
      <c r="AW2288" s="109" t="str">
        <f t="shared" si="997"/>
        <v/>
      </c>
      <c r="AX2288" s="109" t="str">
        <f t="shared" si="998"/>
        <v/>
      </c>
      <c r="AY2288" s="112" t="str">
        <f>IF(ISNUMBER(O2288),IF(AND(VLOOKUP($D2288,Merchantability!$B:$C,2,0)="Yes",$E2288&gt;=VLOOKUP($D2288,Merchantability!$B:$D,3,0),$E2288&lt;=VLOOKUP($D2288,Merchantability!$B:$E,4,0)),(AV2288*O2288)*(1-$H2288/100),""),"")</f>
        <v/>
      </c>
      <c r="AZ2288" s="116"/>
      <c r="BA2288" s="116"/>
      <c r="BB2288" s="116"/>
      <c r="BE2288" s="62"/>
      <c r="BF2288" s="63"/>
    </row>
    <row r="2289" spans="1:58" ht="12.75" customHeight="1" x14ac:dyDescent="0.25">
      <c r="A2289" s="334"/>
      <c r="B2289" s="334"/>
      <c r="C2289" s="332"/>
      <c r="D2289" s="334"/>
      <c r="E2289" s="335"/>
      <c r="F2289" s="334"/>
      <c r="G2289" s="332"/>
      <c r="H2289" s="332"/>
      <c r="I2289" s="334"/>
      <c r="J2289" s="336"/>
      <c r="K2289" s="332"/>
      <c r="L2289" s="332"/>
      <c r="M2289" s="76"/>
      <c r="N2289" s="103" t="str">
        <f>IF(A2289="","",VLOOKUP(A2289,Stand!C:K,9,0))</f>
        <v/>
      </c>
      <c r="O2289" s="104" t="str">
        <f t="shared" si="983"/>
        <v/>
      </c>
      <c r="P2289" s="105" t="str">
        <f t="shared" si="984"/>
        <v/>
      </c>
      <c r="Q2289" s="105" t="str">
        <f t="shared" si="999"/>
        <v/>
      </c>
      <c r="R2289" s="103" t="str">
        <f t="shared" si="985"/>
        <v/>
      </c>
      <c r="S2289" s="103" t="str">
        <f t="shared" si="986"/>
        <v/>
      </c>
      <c r="T2289" s="106" t="str">
        <f t="shared" si="1000"/>
        <v/>
      </c>
      <c r="U2289" s="106" t="str">
        <f t="shared" si="1001"/>
        <v/>
      </c>
      <c r="V2289" s="106" t="str">
        <f t="shared" si="1002"/>
        <v/>
      </c>
      <c r="W2289" s="105" t="str">
        <f t="shared" si="987"/>
        <v/>
      </c>
      <c r="X2289" s="104" t="str">
        <f t="shared" si="992"/>
        <v/>
      </c>
      <c r="Y2289" s="104" t="str">
        <f t="array" ref="Y2289">IFERROR(IF(ISNUMBER(O2289),IF(COUNT(IF(A2289=$A$2:$A$2427,IF(D2289=$D$2:$D$2427,IF($X$2:$X$2427&gt;0,1))))&gt;0,SUM(IF(A2289=$A$2:$A$2427,IF(D2289=$D$2:$D$2427,$X$2:$X$2427)))/COUNT(IF(A2289=$A$2:$A$2427,IF(D2289=$D$2:$D$2427,IF(ISNUMBER($X$2:$X$2427),1)))),0),""),0)</f>
        <v/>
      </c>
      <c r="Z2289" s="104" t="str">
        <f>IF(ISNUMBER(O2289),IF(I2289&gt;0,(10^(VLOOKUP(D2289,'Species Codes'!B:C,2,0)+VLOOKUP(D2289,'Species Codes'!B:D,3,0)*LOG(E2289)+VLOOKUP(D2289,'Species Codes'!B:E,4,0)*LOG(I2289))),0),"")</f>
        <v/>
      </c>
      <c r="AA2289" s="104" t="str">
        <f>IFERROR((VLOOKUP(D2289,'Species Codes'!B:G,6,0)*Z2289)/2000,"")</f>
        <v/>
      </c>
      <c r="AB2289" s="104" t="e">
        <f>IF(Z2289&gt;0,((IF(OR(D2289="DF",D2289="RA")=TRUE,EXP(VLOOKUP(D2289,'Species Codes'!B:I,8,0)+VLOOKUP(D2289,'Species Codes'!B:J,9,0)*(LN((E2289*2.54)))),IF(OR(D2289="PY",D2289="RC",D2289="WH",D2289="NF")=TRUE,VLOOKUP(D2289,'Species Codes'!B:I,8,0)+VLOOKUP(D2289,'Species Codes'!B:J,9,0)*((E2289*2.54)^2)*(I2289*0.3048),IF(OR(D2289="MD",D2289="BM",D2289="GA")=TRUE,((VLOOKUP(D2289,'Species Codes'!B:I,8,0)*(((((E2289*2.54)+VLOOKUP(D2289,'Species Codes'!B:J,9,0))/VLOOKUP(D2289,'Species Codes'!B:K,10,0))^VLOOKUP(D2289,'Species Codes'!B:L,11,0))*((I2289*0.3048)^VLOOKUP(D2289,'Species Codes'!B:M,12,0))))-(VLOOKUP(D2289,'Species Codes'!B:I,8,0)*((((E2289*2.54)^VLOOKUP(D2289,'Species Codes'!B:L,11,0))*((I2289*0.3048)^VLOOKUP(D2289,'Species Codes'!B:M,12,0))))))*35.3*VLOOKUP(D2289,'Species Codes'!B:G,6,0)/2.2046,VLOOKUP(D2289,'Species Codes'!B:I,8,0)+VLOOKUP(D2289,'Species Codes'!B:J,9,0)*(((E2289*2.54)/100)^2)*(I2289*0.3048)))))*0.0011023),0)</f>
        <v>#N/A</v>
      </c>
      <c r="AC2289" s="104" t="e">
        <f>IF(Z2289&gt;0,((IF(OR(D2289="RA",D2289="OA",D2289="OT",D2289="UN",D2289="PC"),EXP(VLOOKUP(D2289,'Species Codes'!B:O,14,0)+VLOOKUP(D2289,'Species Codes'!B:P,15,0)*LN((E2289*2.54)))-EXP(VLOOKUP(D2289,'Species Codes'!B:O,14,0)+VLOOKUP(D2289,'Species Codes'!B:P,15,0)*LN((E2289*2.54)))*(1/(VLOOKUP(D2289,'Species Codes'!B:Q,16,0)+VLOOKUP(D2289,'Species Codes'!B:R,17,0)*((E2289*2.54)^VLOOKUP(D2289,'Species Codes'!B:S,18,0)))),IF(OR(D2289="BM",D2289="MD",D2289="OA"),EXP(VLOOKUP(D2289,'Species Codes'!B:O,14,0)+VLOOKUP(D2289,'Species Codes'!B:P,15,0)*LN((E2289*2.54)))*(1-(1/(VLOOKUP(D2289,'Species Codes'!B:Q,16,0)+VLOOKUP(D2289,'Species Codes'!B:R,17,0)*((E2289*2.54)^VLOOKUP(D2289,'Species Codes'!B:S,18,0)))))/1000,IF(D2289="DF",EXP(VLOOKUP(D2289,'Species Codes'!B:O,14,0)+VLOOKUP(D2289,'Species Codes'!B:P,15,0)*LN((E2289*2.54))),VLOOKUP(D2289,'Species Codes'!B:O,14,0)+VLOOKUP(D2289,'Species Codes'!B:P,15,0)*(((E2289*2.54)/100)^2)*(I2289*0.3048)))))*0.0011023),0)</f>
        <v>#N/A</v>
      </c>
      <c r="AD2289" s="104" t="e">
        <f t="shared" si="1003"/>
        <v>#N/A</v>
      </c>
      <c r="AE2289" s="104" t="e">
        <f t="shared" si="1004"/>
        <v>#N/A</v>
      </c>
      <c r="AF2289" s="104" t="e">
        <f>IF(AND(VLOOKUP($D2289,Merchantability!$B:$C,2,0)="Yes",$E2289&gt;=VLOOKUP($D2289,Merchantability!$B:$D,3,0),$E2289&lt;=VLOOKUP($D2289,Merchantability!$B:$E,4,0)),AA2289,0)</f>
        <v>#N/A</v>
      </c>
      <c r="AG2289" s="104" t="e">
        <f>IF(AND(VLOOKUP($D2289,Merchantability!$B:$C,2,0)="Yes",$E2289&gt;=VLOOKUP($D2289,Merchantability!$B:$D,3,0),$E2289&lt;=VLOOKUP($D2289,Merchantability!$B:$E,4,0)),AB2289,0)</f>
        <v>#N/A</v>
      </c>
      <c r="AH2289" s="104" t="e">
        <f>IF(AND(VLOOKUP($D2289,Merchantability!$B:$C,2,0)="Yes",$E2289&gt;=VLOOKUP($D2289,Merchantability!$B:$D,3,0),$E2289&lt;=VLOOKUP($D2289,Merchantability!$B:$E,4,0)),AC2289,0)</f>
        <v>#N/A</v>
      </c>
      <c r="AI2289" s="104" t="e">
        <f t="shared" si="1005"/>
        <v>#N/A</v>
      </c>
      <c r="AJ2289" s="104" t="e">
        <f t="shared" si="1006"/>
        <v>#VALUE!</v>
      </c>
      <c r="AK2289" s="104" t="e">
        <f t="shared" si="1007"/>
        <v>#N/A</v>
      </c>
      <c r="AL2289" s="104" t="e">
        <f t="shared" si="1008"/>
        <v>#N/A</v>
      </c>
      <c r="AM2289" s="104" t="e">
        <f t="shared" si="1009"/>
        <v>#N/A</v>
      </c>
      <c r="AN2289" s="104" t="e">
        <f t="shared" si="993"/>
        <v>#N/A</v>
      </c>
      <c r="AO2289" s="104" t="e">
        <f t="shared" si="994"/>
        <v>#N/A</v>
      </c>
      <c r="AP2289" s="104" t="e">
        <f t="shared" si="995"/>
        <v>#N/A</v>
      </c>
      <c r="AQ2289" s="104" t="e">
        <f t="shared" si="996"/>
        <v>#N/A</v>
      </c>
      <c r="AR2289" s="105" t="str">
        <f t="shared" si="988"/>
        <v/>
      </c>
      <c r="AS2289" s="105" t="str">
        <f t="shared" si="989"/>
        <v/>
      </c>
      <c r="AT2289" s="108" t="str">
        <f t="shared" si="990"/>
        <v/>
      </c>
      <c r="AU2289" s="108" t="str">
        <f t="shared" si="991"/>
        <v/>
      </c>
      <c r="AV2289" s="107" t="str">
        <f>IF(ISNUMBER(O2289),IF(VLOOKUP($A2289,Stand!C:J,8,FALSE)="Short",AT2289,AU2289),"")</f>
        <v/>
      </c>
      <c r="AW2289" s="109" t="str">
        <f t="shared" si="997"/>
        <v/>
      </c>
      <c r="AX2289" s="109" t="str">
        <f t="shared" si="998"/>
        <v/>
      </c>
      <c r="AY2289" s="112" t="str">
        <f>IF(ISNUMBER(O2289),IF(AND(VLOOKUP($D2289,Merchantability!$B:$C,2,0)="Yes",$E2289&gt;=VLOOKUP($D2289,Merchantability!$B:$D,3,0),$E2289&lt;=VLOOKUP($D2289,Merchantability!$B:$E,4,0)),(AV2289*O2289)*(1-$H2289/100),""),"")</f>
        <v/>
      </c>
      <c r="AZ2289" s="116"/>
      <c r="BA2289" s="116"/>
      <c r="BB2289" s="116"/>
      <c r="BE2289" s="62"/>
      <c r="BF2289" s="63"/>
    </row>
    <row r="2290" spans="1:58" ht="12.75" customHeight="1" x14ac:dyDescent="0.25">
      <c r="A2290" s="334"/>
      <c r="B2290" s="334"/>
      <c r="C2290" s="332"/>
      <c r="D2290" s="334"/>
      <c r="E2290" s="335"/>
      <c r="F2290" s="334"/>
      <c r="G2290" s="332"/>
      <c r="H2290" s="332"/>
      <c r="I2290" s="334"/>
      <c r="J2290" s="336"/>
      <c r="K2290" s="332"/>
      <c r="L2290" s="332"/>
      <c r="M2290" s="76"/>
      <c r="N2290" s="103" t="str">
        <f>IF(A2290="","",VLOOKUP(A2290,Stand!C:K,9,0))</f>
        <v/>
      </c>
      <c r="O2290" s="104" t="str">
        <f t="shared" si="983"/>
        <v/>
      </c>
      <c r="P2290" s="105" t="str">
        <f t="shared" si="984"/>
        <v/>
      </c>
      <c r="Q2290" s="105" t="str">
        <f t="shared" si="999"/>
        <v/>
      </c>
      <c r="R2290" s="103" t="str">
        <f t="shared" si="985"/>
        <v/>
      </c>
      <c r="S2290" s="103" t="str">
        <f t="shared" si="986"/>
        <v/>
      </c>
      <c r="T2290" s="106" t="str">
        <f t="shared" si="1000"/>
        <v/>
      </c>
      <c r="U2290" s="106" t="str">
        <f t="shared" si="1001"/>
        <v/>
      </c>
      <c r="V2290" s="106" t="str">
        <f t="shared" si="1002"/>
        <v/>
      </c>
      <c r="W2290" s="105" t="str">
        <f t="shared" si="987"/>
        <v/>
      </c>
      <c r="X2290" s="104" t="str">
        <f t="shared" si="992"/>
        <v/>
      </c>
      <c r="Y2290" s="104" t="str">
        <f t="array" ref="Y2290">IFERROR(IF(ISNUMBER(O2290),IF(COUNT(IF(A2290=$A$2:$A$2427,IF(D2290=$D$2:$D$2427,IF($X$2:$X$2427&gt;0,1))))&gt;0,SUM(IF(A2290=$A$2:$A$2427,IF(D2290=$D$2:$D$2427,$X$2:$X$2427)))/COUNT(IF(A2290=$A$2:$A$2427,IF(D2290=$D$2:$D$2427,IF(ISNUMBER($X$2:$X$2427),1)))),0),""),0)</f>
        <v/>
      </c>
      <c r="Z2290" s="104" t="str">
        <f>IF(ISNUMBER(O2290),IF(I2290&gt;0,(10^(VLOOKUP(D2290,'Species Codes'!B:C,2,0)+VLOOKUP(D2290,'Species Codes'!B:D,3,0)*LOG(E2290)+VLOOKUP(D2290,'Species Codes'!B:E,4,0)*LOG(I2290))),0),"")</f>
        <v/>
      </c>
      <c r="AA2290" s="104" t="str">
        <f>IFERROR((VLOOKUP(D2290,'Species Codes'!B:G,6,0)*Z2290)/2000,"")</f>
        <v/>
      </c>
      <c r="AB2290" s="104" t="e">
        <f>IF(Z2290&gt;0,((IF(OR(D2290="DF",D2290="RA")=TRUE,EXP(VLOOKUP(D2290,'Species Codes'!B:I,8,0)+VLOOKUP(D2290,'Species Codes'!B:J,9,0)*(LN((E2290*2.54)))),IF(OR(D2290="PY",D2290="RC",D2290="WH",D2290="NF")=TRUE,VLOOKUP(D2290,'Species Codes'!B:I,8,0)+VLOOKUP(D2290,'Species Codes'!B:J,9,0)*((E2290*2.54)^2)*(I2290*0.3048),IF(OR(D2290="MD",D2290="BM",D2290="GA")=TRUE,((VLOOKUP(D2290,'Species Codes'!B:I,8,0)*(((((E2290*2.54)+VLOOKUP(D2290,'Species Codes'!B:J,9,0))/VLOOKUP(D2290,'Species Codes'!B:K,10,0))^VLOOKUP(D2290,'Species Codes'!B:L,11,0))*((I2290*0.3048)^VLOOKUP(D2290,'Species Codes'!B:M,12,0))))-(VLOOKUP(D2290,'Species Codes'!B:I,8,0)*((((E2290*2.54)^VLOOKUP(D2290,'Species Codes'!B:L,11,0))*((I2290*0.3048)^VLOOKUP(D2290,'Species Codes'!B:M,12,0))))))*35.3*VLOOKUP(D2290,'Species Codes'!B:G,6,0)/2.2046,VLOOKUP(D2290,'Species Codes'!B:I,8,0)+VLOOKUP(D2290,'Species Codes'!B:J,9,0)*(((E2290*2.54)/100)^2)*(I2290*0.3048)))))*0.0011023),0)</f>
        <v>#N/A</v>
      </c>
      <c r="AC2290" s="104" t="e">
        <f>IF(Z2290&gt;0,((IF(OR(D2290="RA",D2290="OA",D2290="OT",D2290="UN",D2290="PC"),EXP(VLOOKUP(D2290,'Species Codes'!B:O,14,0)+VLOOKUP(D2290,'Species Codes'!B:P,15,0)*LN((E2290*2.54)))-EXP(VLOOKUP(D2290,'Species Codes'!B:O,14,0)+VLOOKUP(D2290,'Species Codes'!B:P,15,0)*LN((E2290*2.54)))*(1/(VLOOKUP(D2290,'Species Codes'!B:Q,16,0)+VLOOKUP(D2290,'Species Codes'!B:R,17,0)*((E2290*2.54)^VLOOKUP(D2290,'Species Codes'!B:S,18,0)))),IF(OR(D2290="BM",D2290="MD",D2290="OA"),EXP(VLOOKUP(D2290,'Species Codes'!B:O,14,0)+VLOOKUP(D2290,'Species Codes'!B:P,15,0)*LN((E2290*2.54)))*(1-(1/(VLOOKUP(D2290,'Species Codes'!B:Q,16,0)+VLOOKUP(D2290,'Species Codes'!B:R,17,0)*((E2290*2.54)^VLOOKUP(D2290,'Species Codes'!B:S,18,0)))))/1000,IF(D2290="DF",EXP(VLOOKUP(D2290,'Species Codes'!B:O,14,0)+VLOOKUP(D2290,'Species Codes'!B:P,15,0)*LN((E2290*2.54))),VLOOKUP(D2290,'Species Codes'!B:O,14,0)+VLOOKUP(D2290,'Species Codes'!B:P,15,0)*(((E2290*2.54)/100)^2)*(I2290*0.3048)))))*0.0011023),0)</f>
        <v>#N/A</v>
      </c>
      <c r="AD2290" s="104" t="e">
        <f t="shared" si="1003"/>
        <v>#N/A</v>
      </c>
      <c r="AE2290" s="104" t="e">
        <f t="shared" si="1004"/>
        <v>#N/A</v>
      </c>
      <c r="AF2290" s="104" t="e">
        <f>IF(AND(VLOOKUP($D2290,Merchantability!$B:$C,2,0)="Yes",$E2290&gt;=VLOOKUP($D2290,Merchantability!$B:$D,3,0),$E2290&lt;=VLOOKUP($D2290,Merchantability!$B:$E,4,0)),AA2290,0)</f>
        <v>#N/A</v>
      </c>
      <c r="AG2290" s="104" t="e">
        <f>IF(AND(VLOOKUP($D2290,Merchantability!$B:$C,2,0)="Yes",$E2290&gt;=VLOOKUP($D2290,Merchantability!$B:$D,3,0),$E2290&lt;=VLOOKUP($D2290,Merchantability!$B:$E,4,0)),AB2290,0)</f>
        <v>#N/A</v>
      </c>
      <c r="AH2290" s="104" t="e">
        <f>IF(AND(VLOOKUP($D2290,Merchantability!$B:$C,2,0)="Yes",$E2290&gt;=VLOOKUP($D2290,Merchantability!$B:$D,3,0),$E2290&lt;=VLOOKUP($D2290,Merchantability!$B:$E,4,0)),AC2290,0)</f>
        <v>#N/A</v>
      </c>
      <c r="AI2290" s="104" t="e">
        <f t="shared" si="1005"/>
        <v>#N/A</v>
      </c>
      <c r="AJ2290" s="104" t="e">
        <f t="shared" si="1006"/>
        <v>#VALUE!</v>
      </c>
      <c r="AK2290" s="104" t="e">
        <f t="shared" si="1007"/>
        <v>#N/A</v>
      </c>
      <c r="AL2290" s="104" t="e">
        <f t="shared" si="1008"/>
        <v>#N/A</v>
      </c>
      <c r="AM2290" s="104" t="e">
        <f t="shared" si="1009"/>
        <v>#N/A</v>
      </c>
      <c r="AN2290" s="104" t="e">
        <f t="shared" si="993"/>
        <v>#N/A</v>
      </c>
      <c r="AO2290" s="104" t="e">
        <f t="shared" si="994"/>
        <v>#N/A</v>
      </c>
      <c r="AP2290" s="104" t="e">
        <f t="shared" si="995"/>
        <v>#N/A</v>
      </c>
      <c r="AQ2290" s="104" t="e">
        <f t="shared" si="996"/>
        <v>#N/A</v>
      </c>
      <c r="AR2290" s="105" t="str">
        <f t="shared" si="988"/>
        <v/>
      </c>
      <c r="AS2290" s="105" t="str">
        <f t="shared" si="989"/>
        <v/>
      </c>
      <c r="AT2290" s="108" t="str">
        <f t="shared" si="990"/>
        <v/>
      </c>
      <c r="AU2290" s="108" t="str">
        <f t="shared" si="991"/>
        <v/>
      </c>
      <c r="AV2290" s="107" t="str">
        <f>IF(ISNUMBER(O2290),IF(VLOOKUP($A2290,Stand!C:J,8,FALSE)="Short",AT2290,AU2290),"")</f>
        <v/>
      </c>
      <c r="AW2290" s="109" t="str">
        <f t="shared" si="997"/>
        <v/>
      </c>
      <c r="AX2290" s="109" t="str">
        <f t="shared" si="998"/>
        <v/>
      </c>
      <c r="AY2290" s="112" t="str">
        <f>IF(ISNUMBER(O2290),IF(AND(VLOOKUP($D2290,Merchantability!$B:$C,2,0)="Yes",$E2290&gt;=VLOOKUP($D2290,Merchantability!$B:$D,3,0),$E2290&lt;=VLOOKUP($D2290,Merchantability!$B:$E,4,0)),(AV2290*O2290)*(1-$H2290/100),""),"")</f>
        <v/>
      </c>
      <c r="AZ2290" s="116"/>
      <c r="BA2290" s="116"/>
      <c r="BB2290" s="116"/>
      <c r="BE2290" s="62"/>
      <c r="BF2290" s="63"/>
    </row>
    <row r="2291" spans="1:58" ht="12.75" customHeight="1" x14ac:dyDescent="0.25">
      <c r="A2291" s="334"/>
      <c r="B2291" s="334"/>
      <c r="C2291" s="332"/>
      <c r="D2291" s="334"/>
      <c r="E2291" s="335"/>
      <c r="F2291" s="334"/>
      <c r="G2291" s="332"/>
      <c r="H2291" s="332"/>
      <c r="I2291" s="334"/>
      <c r="J2291" s="336"/>
      <c r="K2291" s="332"/>
      <c r="L2291" s="332"/>
      <c r="M2291" s="76"/>
      <c r="N2291" s="103" t="str">
        <f>IF(A2291="","",VLOOKUP(A2291,Stand!C:K,9,0))</f>
        <v/>
      </c>
      <c r="O2291" s="104" t="str">
        <f t="shared" si="983"/>
        <v/>
      </c>
      <c r="P2291" s="105" t="str">
        <f t="shared" si="984"/>
        <v/>
      </c>
      <c r="Q2291" s="105" t="str">
        <f t="shared" si="999"/>
        <v/>
      </c>
      <c r="R2291" s="103" t="str">
        <f t="shared" si="985"/>
        <v/>
      </c>
      <c r="S2291" s="103" t="str">
        <f t="shared" si="986"/>
        <v/>
      </c>
      <c r="T2291" s="106" t="str">
        <f t="shared" si="1000"/>
        <v/>
      </c>
      <c r="U2291" s="106" t="str">
        <f t="shared" si="1001"/>
        <v/>
      </c>
      <c r="V2291" s="106" t="str">
        <f t="shared" si="1002"/>
        <v/>
      </c>
      <c r="W2291" s="105" t="str">
        <f t="shared" si="987"/>
        <v/>
      </c>
      <c r="X2291" s="104" t="str">
        <f t="shared" si="992"/>
        <v/>
      </c>
      <c r="Y2291" s="104" t="str">
        <f t="array" ref="Y2291">IFERROR(IF(ISNUMBER(O2291),IF(COUNT(IF(A2291=$A$2:$A$2427,IF(D2291=$D$2:$D$2427,IF($X$2:$X$2427&gt;0,1))))&gt;0,SUM(IF(A2291=$A$2:$A$2427,IF(D2291=$D$2:$D$2427,$X$2:$X$2427)))/COUNT(IF(A2291=$A$2:$A$2427,IF(D2291=$D$2:$D$2427,IF(ISNUMBER($X$2:$X$2427),1)))),0),""),0)</f>
        <v/>
      </c>
      <c r="Z2291" s="104" t="str">
        <f>IF(ISNUMBER(O2291),IF(I2291&gt;0,(10^(VLOOKUP(D2291,'Species Codes'!B:C,2,0)+VLOOKUP(D2291,'Species Codes'!B:D,3,0)*LOG(E2291)+VLOOKUP(D2291,'Species Codes'!B:E,4,0)*LOG(I2291))),0),"")</f>
        <v/>
      </c>
      <c r="AA2291" s="104" t="str">
        <f>IFERROR((VLOOKUP(D2291,'Species Codes'!B:G,6,0)*Z2291)/2000,"")</f>
        <v/>
      </c>
      <c r="AB2291" s="104" t="e">
        <f>IF(Z2291&gt;0,((IF(OR(D2291="DF",D2291="RA")=TRUE,EXP(VLOOKUP(D2291,'Species Codes'!B:I,8,0)+VLOOKUP(D2291,'Species Codes'!B:J,9,0)*(LN((E2291*2.54)))),IF(OR(D2291="PY",D2291="RC",D2291="WH",D2291="NF")=TRUE,VLOOKUP(D2291,'Species Codes'!B:I,8,0)+VLOOKUP(D2291,'Species Codes'!B:J,9,0)*((E2291*2.54)^2)*(I2291*0.3048),IF(OR(D2291="MD",D2291="BM",D2291="GA")=TRUE,((VLOOKUP(D2291,'Species Codes'!B:I,8,0)*(((((E2291*2.54)+VLOOKUP(D2291,'Species Codes'!B:J,9,0))/VLOOKUP(D2291,'Species Codes'!B:K,10,0))^VLOOKUP(D2291,'Species Codes'!B:L,11,0))*((I2291*0.3048)^VLOOKUP(D2291,'Species Codes'!B:M,12,0))))-(VLOOKUP(D2291,'Species Codes'!B:I,8,0)*((((E2291*2.54)^VLOOKUP(D2291,'Species Codes'!B:L,11,0))*((I2291*0.3048)^VLOOKUP(D2291,'Species Codes'!B:M,12,0))))))*35.3*VLOOKUP(D2291,'Species Codes'!B:G,6,0)/2.2046,VLOOKUP(D2291,'Species Codes'!B:I,8,0)+VLOOKUP(D2291,'Species Codes'!B:J,9,0)*(((E2291*2.54)/100)^2)*(I2291*0.3048)))))*0.0011023),0)</f>
        <v>#N/A</v>
      </c>
      <c r="AC2291" s="104" t="e">
        <f>IF(Z2291&gt;0,((IF(OR(D2291="RA",D2291="OA",D2291="OT",D2291="UN",D2291="PC"),EXP(VLOOKUP(D2291,'Species Codes'!B:O,14,0)+VLOOKUP(D2291,'Species Codes'!B:P,15,0)*LN((E2291*2.54)))-EXP(VLOOKUP(D2291,'Species Codes'!B:O,14,0)+VLOOKUP(D2291,'Species Codes'!B:P,15,0)*LN((E2291*2.54)))*(1/(VLOOKUP(D2291,'Species Codes'!B:Q,16,0)+VLOOKUP(D2291,'Species Codes'!B:R,17,0)*((E2291*2.54)^VLOOKUP(D2291,'Species Codes'!B:S,18,0)))),IF(OR(D2291="BM",D2291="MD",D2291="OA"),EXP(VLOOKUP(D2291,'Species Codes'!B:O,14,0)+VLOOKUP(D2291,'Species Codes'!B:P,15,0)*LN((E2291*2.54)))*(1-(1/(VLOOKUP(D2291,'Species Codes'!B:Q,16,0)+VLOOKUP(D2291,'Species Codes'!B:R,17,0)*((E2291*2.54)^VLOOKUP(D2291,'Species Codes'!B:S,18,0)))))/1000,IF(D2291="DF",EXP(VLOOKUP(D2291,'Species Codes'!B:O,14,0)+VLOOKUP(D2291,'Species Codes'!B:P,15,0)*LN((E2291*2.54))),VLOOKUP(D2291,'Species Codes'!B:O,14,0)+VLOOKUP(D2291,'Species Codes'!B:P,15,0)*(((E2291*2.54)/100)^2)*(I2291*0.3048)))))*0.0011023),0)</f>
        <v>#N/A</v>
      </c>
      <c r="AD2291" s="104" t="e">
        <f t="shared" si="1003"/>
        <v>#N/A</v>
      </c>
      <c r="AE2291" s="104" t="e">
        <f t="shared" si="1004"/>
        <v>#N/A</v>
      </c>
      <c r="AF2291" s="104" t="e">
        <f>IF(AND(VLOOKUP($D2291,Merchantability!$B:$C,2,0)="Yes",$E2291&gt;=VLOOKUP($D2291,Merchantability!$B:$D,3,0),$E2291&lt;=VLOOKUP($D2291,Merchantability!$B:$E,4,0)),AA2291,0)</f>
        <v>#N/A</v>
      </c>
      <c r="AG2291" s="104" t="e">
        <f>IF(AND(VLOOKUP($D2291,Merchantability!$B:$C,2,0)="Yes",$E2291&gt;=VLOOKUP($D2291,Merchantability!$B:$D,3,0),$E2291&lt;=VLOOKUP($D2291,Merchantability!$B:$E,4,0)),AB2291,0)</f>
        <v>#N/A</v>
      </c>
      <c r="AH2291" s="104" t="e">
        <f>IF(AND(VLOOKUP($D2291,Merchantability!$B:$C,2,0)="Yes",$E2291&gt;=VLOOKUP($D2291,Merchantability!$B:$D,3,0),$E2291&lt;=VLOOKUP($D2291,Merchantability!$B:$E,4,0)),AC2291,0)</f>
        <v>#N/A</v>
      </c>
      <c r="AI2291" s="104" t="e">
        <f t="shared" si="1005"/>
        <v>#N/A</v>
      </c>
      <c r="AJ2291" s="104" t="e">
        <f t="shared" si="1006"/>
        <v>#VALUE!</v>
      </c>
      <c r="AK2291" s="104" t="e">
        <f t="shared" si="1007"/>
        <v>#N/A</v>
      </c>
      <c r="AL2291" s="104" t="e">
        <f t="shared" si="1008"/>
        <v>#N/A</v>
      </c>
      <c r="AM2291" s="104" t="e">
        <f t="shared" si="1009"/>
        <v>#N/A</v>
      </c>
      <c r="AN2291" s="104" t="e">
        <f t="shared" si="993"/>
        <v>#N/A</v>
      </c>
      <c r="AO2291" s="104" t="e">
        <f t="shared" si="994"/>
        <v>#N/A</v>
      </c>
      <c r="AP2291" s="104" t="e">
        <f t="shared" si="995"/>
        <v>#N/A</v>
      </c>
      <c r="AQ2291" s="104" t="e">
        <f t="shared" si="996"/>
        <v>#N/A</v>
      </c>
      <c r="AR2291" s="105" t="str">
        <f t="shared" si="988"/>
        <v/>
      </c>
      <c r="AS2291" s="105" t="str">
        <f t="shared" si="989"/>
        <v/>
      </c>
      <c r="AT2291" s="108" t="str">
        <f t="shared" si="990"/>
        <v/>
      </c>
      <c r="AU2291" s="108" t="str">
        <f t="shared" si="991"/>
        <v/>
      </c>
      <c r="AV2291" s="107" t="str">
        <f>IF(ISNUMBER(O2291),IF(VLOOKUP($A2291,Stand!C:J,8,FALSE)="Short",AT2291,AU2291),"")</f>
        <v/>
      </c>
      <c r="AW2291" s="109" t="str">
        <f t="shared" si="997"/>
        <v/>
      </c>
      <c r="AX2291" s="109" t="str">
        <f t="shared" si="998"/>
        <v/>
      </c>
      <c r="AY2291" s="112" t="str">
        <f>IF(ISNUMBER(O2291),IF(AND(VLOOKUP($D2291,Merchantability!$B:$C,2,0)="Yes",$E2291&gt;=VLOOKUP($D2291,Merchantability!$B:$D,3,0),$E2291&lt;=VLOOKUP($D2291,Merchantability!$B:$E,4,0)),(AV2291*O2291)*(1-$H2291/100),""),"")</f>
        <v/>
      </c>
      <c r="AZ2291" s="116"/>
      <c r="BA2291" s="116"/>
      <c r="BB2291" s="116"/>
      <c r="BE2291" s="62"/>
      <c r="BF2291" s="63"/>
    </row>
    <row r="2292" spans="1:58" ht="12.75" customHeight="1" x14ac:dyDescent="0.25">
      <c r="A2292" s="334"/>
      <c r="B2292" s="334"/>
      <c r="C2292" s="332"/>
      <c r="D2292" s="334"/>
      <c r="E2292" s="335"/>
      <c r="F2292" s="334"/>
      <c r="G2292" s="332"/>
      <c r="H2292" s="332"/>
      <c r="I2292" s="334"/>
      <c r="J2292" s="336"/>
      <c r="K2292" s="332"/>
      <c r="L2292" s="332"/>
      <c r="M2292" s="76"/>
      <c r="N2292" s="103" t="str">
        <f>IF(A2292="","",VLOOKUP(A2292,Stand!C:K,9,0))</f>
        <v/>
      </c>
      <c r="O2292" s="104" t="str">
        <f t="shared" si="983"/>
        <v/>
      </c>
      <c r="P2292" s="105" t="str">
        <f t="shared" si="984"/>
        <v/>
      </c>
      <c r="Q2292" s="105" t="str">
        <f t="shared" si="999"/>
        <v/>
      </c>
      <c r="R2292" s="103" t="str">
        <f t="shared" si="985"/>
        <v/>
      </c>
      <c r="S2292" s="103" t="str">
        <f t="shared" si="986"/>
        <v/>
      </c>
      <c r="T2292" s="106" t="str">
        <f t="shared" si="1000"/>
        <v/>
      </c>
      <c r="U2292" s="106" t="str">
        <f t="shared" si="1001"/>
        <v/>
      </c>
      <c r="V2292" s="106" t="str">
        <f t="shared" si="1002"/>
        <v/>
      </c>
      <c r="W2292" s="105" t="str">
        <f t="shared" si="987"/>
        <v/>
      </c>
      <c r="X2292" s="104" t="str">
        <f t="shared" si="992"/>
        <v/>
      </c>
      <c r="Y2292" s="104" t="str">
        <f t="array" ref="Y2292">IFERROR(IF(ISNUMBER(O2292),IF(COUNT(IF(A2292=$A$2:$A$2427,IF(D2292=$D$2:$D$2427,IF($X$2:$X$2427&gt;0,1))))&gt;0,SUM(IF(A2292=$A$2:$A$2427,IF(D2292=$D$2:$D$2427,$X$2:$X$2427)))/COUNT(IF(A2292=$A$2:$A$2427,IF(D2292=$D$2:$D$2427,IF(ISNUMBER($X$2:$X$2427),1)))),0),""),0)</f>
        <v/>
      </c>
      <c r="Z2292" s="104" t="str">
        <f>IF(ISNUMBER(O2292),IF(I2292&gt;0,(10^(VLOOKUP(D2292,'Species Codes'!B:C,2,0)+VLOOKUP(D2292,'Species Codes'!B:D,3,0)*LOG(E2292)+VLOOKUP(D2292,'Species Codes'!B:E,4,0)*LOG(I2292))),0),"")</f>
        <v/>
      </c>
      <c r="AA2292" s="104" t="str">
        <f>IFERROR((VLOOKUP(D2292,'Species Codes'!B:G,6,0)*Z2292)/2000,"")</f>
        <v/>
      </c>
      <c r="AB2292" s="104" t="e">
        <f>IF(Z2292&gt;0,((IF(OR(D2292="DF",D2292="RA")=TRUE,EXP(VLOOKUP(D2292,'Species Codes'!B:I,8,0)+VLOOKUP(D2292,'Species Codes'!B:J,9,0)*(LN((E2292*2.54)))),IF(OR(D2292="PY",D2292="RC",D2292="WH",D2292="NF")=TRUE,VLOOKUP(D2292,'Species Codes'!B:I,8,0)+VLOOKUP(D2292,'Species Codes'!B:J,9,0)*((E2292*2.54)^2)*(I2292*0.3048),IF(OR(D2292="MD",D2292="BM",D2292="GA")=TRUE,((VLOOKUP(D2292,'Species Codes'!B:I,8,0)*(((((E2292*2.54)+VLOOKUP(D2292,'Species Codes'!B:J,9,0))/VLOOKUP(D2292,'Species Codes'!B:K,10,0))^VLOOKUP(D2292,'Species Codes'!B:L,11,0))*((I2292*0.3048)^VLOOKUP(D2292,'Species Codes'!B:M,12,0))))-(VLOOKUP(D2292,'Species Codes'!B:I,8,0)*((((E2292*2.54)^VLOOKUP(D2292,'Species Codes'!B:L,11,0))*((I2292*0.3048)^VLOOKUP(D2292,'Species Codes'!B:M,12,0))))))*35.3*VLOOKUP(D2292,'Species Codes'!B:G,6,0)/2.2046,VLOOKUP(D2292,'Species Codes'!B:I,8,0)+VLOOKUP(D2292,'Species Codes'!B:J,9,0)*(((E2292*2.54)/100)^2)*(I2292*0.3048)))))*0.0011023),0)</f>
        <v>#N/A</v>
      </c>
      <c r="AC2292" s="104" t="e">
        <f>IF(Z2292&gt;0,((IF(OR(D2292="RA",D2292="OA",D2292="OT",D2292="UN",D2292="PC"),EXP(VLOOKUP(D2292,'Species Codes'!B:O,14,0)+VLOOKUP(D2292,'Species Codes'!B:P,15,0)*LN((E2292*2.54)))-EXP(VLOOKUP(D2292,'Species Codes'!B:O,14,0)+VLOOKUP(D2292,'Species Codes'!B:P,15,0)*LN((E2292*2.54)))*(1/(VLOOKUP(D2292,'Species Codes'!B:Q,16,0)+VLOOKUP(D2292,'Species Codes'!B:R,17,0)*((E2292*2.54)^VLOOKUP(D2292,'Species Codes'!B:S,18,0)))),IF(OR(D2292="BM",D2292="MD",D2292="OA"),EXP(VLOOKUP(D2292,'Species Codes'!B:O,14,0)+VLOOKUP(D2292,'Species Codes'!B:P,15,0)*LN((E2292*2.54)))*(1-(1/(VLOOKUP(D2292,'Species Codes'!B:Q,16,0)+VLOOKUP(D2292,'Species Codes'!B:R,17,0)*((E2292*2.54)^VLOOKUP(D2292,'Species Codes'!B:S,18,0)))))/1000,IF(D2292="DF",EXP(VLOOKUP(D2292,'Species Codes'!B:O,14,0)+VLOOKUP(D2292,'Species Codes'!B:P,15,0)*LN((E2292*2.54))),VLOOKUP(D2292,'Species Codes'!B:O,14,0)+VLOOKUP(D2292,'Species Codes'!B:P,15,0)*(((E2292*2.54)/100)^2)*(I2292*0.3048)))))*0.0011023),0)</f>
        <v>#N/A</v>
      </c>
      <c r="AD2292" s="104" t="e">
        <f t="shared" si="1003"/>
        <v>#N/A</v>
      </c>
      <c r="AE2292" s="104" t="e">
        <f t="shared" si="1004"/>
        <v>#N/A</v>
      </c>
      <c r="AF2292" s="104" t="e">
        <f>IF(AND(VLOOKUP($D2292,Merchantability!$B:$C,2,0)="Yes",$E2292&gt;=VLOOKUP($D2292,Merchantability!$B:$D,3,0),$E2292&lt;=VLOOKUP($D2292,Merchantability!$B:$E,4,0)),AA2292,0)</f>
        <v>#N/A</v>
      </c>
      <c r="AG2292" s="104" t="e">
        <f>IF(AND(VLOOKUP($D2292,Merchantability!$B:$C,2,0)="Yes",$E2292&gt;=VLOOKUP($D2292,Merchantability!$B:$D,3,0),$E2292&lt;=VLOOKUP($D2292,Merchantability!$B:$E,4,0)),AB2292,0)</f>
        <v>#N/A</v>
      </c>
      <c r="AH2292" s="104" t="e">
        <f>IF(AND(VLOOKUP($D2292,Merchantability!$B:$C,2,0)="Yes",$E2292&gt;=VLOOKUP($D2292,Merchantability!$B:$D,3,0),$E2292&lt;=VLOOKUP($D2292,Merchantability!$B:$E,4,0)),AC2292,0)</f>
        <v>#N/A</v>
      </c>
      <c r="AI2292" s="104" t="e">
        <f t="shared" si="1005"/>
        <v>#N/A</v>
      </c>
      <c r="AJ2292" s="104" t="e">
        <f t="shared" si="1006"/>
        <v>#VALUE!</v>
      </c>
      <c r="AK2292" s="104" t="e">
        <f t="shared" si="1007"/>
        <v>#N/A</v>
      </c>
      <c r="AL2292" s="104" t="e">
        <f t="shared" si="1008"/>
        <v>#N/A</v>
      </c>
      <c r="AM2292" s="104" t="e">
        <f t="shared" si="1009"/>
        <v>#N/A</v>
      </c>
      <c r="AN2292" s="104" t="e">
        <f t="shared" si="993"/>
        <v>#N/A</v>
      </c>
      <c r="AO2292" s="104" t="e">
        <f t="shared" si="994"/>
        <v>#N/A</v>
      </c>
      <c r="AP2292" s="104" t="e">
        <f t="shared" si="995"/>
        <v>#N/A</v>
      </c>
      <c r="AQ2292" s="104" t="e">
        <f t="shared" si="996"/>
        <v>#N/A</v>
      </c>
      <c r="AR2292" s="105" t="str">
        <f t="shared" si="988"/>
        <v/>
      </c>
      <c r="AS2292" s="105" t="str">
        <f t="shared" si="989"/>
        <v/>
      </c>
      <c r="AT2292" s="108" t="str">
        <f t="shared" si="990"/>
        <v/>
      </c>
      <c r="AU2292" s="108" t="str">
        <f t="shared" si="991"/>
        <v/>
      </c>
      <c r="AV2292" s="107" t="str">
        <f>IF(ISNUMBER(O2292),IF(VLOOKUP($A2292,Stand!C:J,8,FALSE)="Short",AT2292,AU2292),"")</f>
        <v/>
      </c>
      <c r="AW2292" s="109" t="str">
        <f t="shared" si="997"/>
        <v/>
      </c>
      <c r="AX2292" s="109" t="str">
        <f t="shared" si="998"/>
        <v/>
      </c>
      <c r="AY2292" s="112" t="str">
        <f>IF(ISNUMBER(O2292),IF(AND(VLOOKUP($D2292,Merchantability!$B:$C,2,0)="Yes",$E2292&gt;=VLOOKUP($D2292,Merchantability!$B:$D,3,0),$E2292&lt;=VLOOKUP($D2292,Merchantability!$B:$E,4,0)),(AV2292*O2292)*(1-$H2292/100),""),"")</f>
        <v/>
      </c>
      <c r="AZ2292" s="116"/>
      <c r="BA2292" s="116"/>
      <c r="BB2292" s="116"/>
      <c r="BE2292" s="62"/>
      <c r="BF2292" s="63"/>
    </row>
    <row r="2293" spans="1:58" ht="12.75" customHeight="1" x14ac:dyDescent="0.25">
      <c r="A2293" s="334"/>
      <c r="B2293" s="334"/>
      <c r="C2293" s="332"/>
      <c r="D2293" s="334"/>
      <c r="E2293" s="335"/>
      <c r="F2293" s="334"/>
      <c r="G2293" s="332"/>
      <c r="H2293" s="332"/>
      <c r="I2293" s="334"/>
      <c r="J2293" s="336"/>
      <c r="K2293" s="332"/>
      <c r="L2293" s="332"/>
      <c r="M2293" s="76"/>
      <c r="N2293" s="103" t="str">
        <f>IF(A2293="","",VLOOKUP(A2293,Stand!C:K,9,0))</f>
        <v/>
      </c>
      <c r="O2293" s="104" t="str">
        <f t="shared" si="983"/>
        <v/>
      </c>
      <c r="P2293" s="105" t="str">
        <f t="shared" si="984"/>
        <v/>
      </c>
      <c r="Q2293" s="105" t="str">
        <f t="shared" si="999"/>
        <v/>
      </c>
      <c r="R2293" s="103" t="str">
        <f t="shared" si="985"/>
        <v/>
      </c>
      <c r="S2293" s="103" t="str">
        <f t="shared" si="986"/>
        <v/>
      </c>
      <c r="T2293" s="106" t="str">
        <f t="shared" si="1000"/>
        <v/>
      </c>
      <c r="U2293" s="106" t="str">
        <f t="shared" si="1001"/>
        <v/>
      </c>
      <c r="V2293" s="106" t="str">
        <f t="shared" si="1002"/>
        <v/>
      </c>
      <c r="W2293" s="105" t="str">
        <f t="shared" si="987"/>
        <v/>
      </c>
      <c r="X2293" s="104" t="str">
        <f t="shared" si="992"/>
        <v/>
      </c>
      <c r="Y2293" s="104" t="str">
        <f t="array" ref="Y2293">IFERROR(IF(ISNUMBER(O2293),IF(COUNT(IF(A2293=$A$2:$A$2427,IF(D2293=$D$2:$D$2427,IF($X$2:$X$2427&gt;0,1))))&gt;0,SUM(IF(A2293=$A$2:$A$2427,IF(D2293=$D$2:$D$2427,$X$2:$X$2427)))/COUNT(IF(A2293=$A$2:$A$2427,IF(D2293=$D$2:$D$2427,IF(ISNUMBER($X$2:$X$2427),1)))),0),""),0)</f>
        <v/>
      </c>
      <c r="Z2293" s="104" t="str">
        <f>IF(ISNUMBER(O2293),IF(I2293&gt;0,(10^(VLOOKUP(D2293,'Species Codes'!B:C,2,0)+VLOOKUP(D2293,'Species Codes'!B:D,3,0)*LOG(E2293)+VLOOKUP(D2293,'Species Codes'!B:E,4,0)*LOG(I2293))),0),"")</f>
        <v/>
      </c>
      <c r="AA2293" s="104" t="str">
        <f>IFERROR((VLOOKUP(D2293,'Species Codes'!B:G,6,0)*Z2293)/2000,"")</f>
        <v/>
      </c>
      <c r="AB2293" s="104" t="e">
        <f>IF(Z2293&gt;0,((IF(OR(D2293="DF",D2293="RA")=TRUE,EXP(VLOOKUP(D2293,'Species Codes'!B:I,8,0)+VLOOKUP(D2293,'Species Codes'!B:J,9,0)*(LN((E2293*2.54)))),IF(OR(D2293="PY",D2293="RC",D2293="WH",D2293="NF")=TRUE,VLOOKUP(D2293,'Species Codes'!B:I,8,0)+VLOOKUP(D2293,'Species Codes'!B:J,9,0)*((E2293*2.54)^2)*(I2293*0.3048),IF(OR(D2293="MD",D2293="BM",D2293="GA")=TRUE,((VLOOKUP(D2293,'Species Codes'!B:I,8,0)*(((((E2293*2.54)+VLOOKUP(D2293,'Species Codes'!B:J,9,0))/VLOOKUP(D2293,'Species Codes'!B:K,10,0))^VLOOKUP(D2293,'Species Codes'!B:L,11,0))*((I2293*0.3048)^VLOOKUP(D2293,'Species Codes'!B:M,12,0))))-(VLOOKUP(D2293,'Species Codes'!B:I,8,0)*((((E2293*2.54)^VLOOKUP(D2293,'Species Codes'!B:L,11,0))*((I2293*0.3048)^VLOOKUP(D2293,'Species Codes'!B:M,12,0))))))*35.3*VLOOKUP(D2293,'Species Codes'!B:G,6,0)/2.2046,VLOOKUP(D2293,'Species Codes'!B:I,8,0)+VLOOKUP(D2293,'Species Codes'!B:J,9,0)*(((E2293*2.54)/100)^2)*(I2293*0.3048)))))*0.0011023),0)</f>
        <v>#N/A</v>
      </c>
      <c r="AC2293" s="104" t="e">
        <f>IF(Z2293&gt;0,((IF(OR(D2293="RA",D2293="OA",D2293="OT",D2293="UN",D2293="PC"),EXP(VLOOKUP(D2293,'Species Codes'!B:O,14,0)+VLOOKUP(D2293,'Species Codes'!B:P,15,0)*LN((E2293*2.54)))-EXP(VLOOKUP(D2293,'Species Codes'!B:O,14,0)+VLOOKUP(D2293,'Species Codes'!B:P,15,0)*LN((E2293*2.54)))*(1/(VLOOKUP(D2293,'Species Codes'!B:Q,16,0)+VLOOKUP(D2293,'Species Codes'!B:R,17,0)*((E2293*2.54)^VLOOKUP(D2293,'Species Codes'!B:S,18,0)))),IF(OR(D2293="BM",D2293="MD",D2293="OA"),EXP(VLOOKUP(D2293,'Species Codes'!B:O,14,0)+VLOOKUP(D2293,'Species Codes'!B:P,15,0)*LN((E2293*2.54)))*(1-(1/(VLOOKUP(D2293,'Species Codes'!B:Q,16,0)+VLOOKUP(D2293,'Species Codes'!B:R,17,0)*((E2293*2.54)^VLOOKUP(D2293,'Species Codes'!B:S,18,0)))))/1000,IF(D2293="DF",EXP(VLOOKUP(D2293,'Species Codes'!B:O,14,0)+VLOOKUP(D2293,'Species Codes'!B:P,15,0)*LN((E2293*2.54))),VLOOKUP(D2293,'Species Codes'!B:O,14,0)+VLOOKUP(D2293,'Species Codes'!B:P,15,0)*(((E2293*2.54)/100)^2)*(I2293*0.3048)))))*0.0011023),0)</f>
        <v>#N/A</v>
      </c>
      <c r="AD2293" s="104" t="e">
        <f t="shared" si="1003"/>
        <v>#N/A</v>
      </c>
      <c r="AE2293" s="104" t="e">
        <f t="shared" si="1004"/>
        <v>#N/A</v>
      </c>
      <c r="AF2293" s="104" t="e">
        <f>IF(AND(VLOOKUP($D2293,Merchantability!$B:$C,2,0)="Yes",$E2293&gt;=VLOOKUP($D2293,Merchantability!$B:$D,3,0),$E2293&lt;=VLOOKUP($D2293,Merchantability!$B:$E,4,0)),AA2293,0)</f>
        <v>#N/A</v>
      </c>
      <c r="AG2293" s="104" t="e">
        <f>IF(AND(VLOOKUP($D2293,Merchantability!$B:$C,2,0)="Yes",$E2293&gt;=VLOOKUP($D2293,Merchantability!$B:$D,3,0),$E2293&lt;=VLOOKUP($D2293,Merchantability!$B:$E,4,0)),AB2293,0)</f>
        <v>#N/A</v>
      </c>
      <c r="AH2293" s="104" t="e">
        <f>IF(AND(VLOOKUP($D2293,Merchantability!$B:$C,2,0)="Yes",$E2293&gt;=VLOOKUP($D2293,Merchantability!$B:$D,3,0),$E2293&lt;=VLOOKUP($D2293,Merchantability!$B:$E,4,0)),AC2293,0)</f>
        <v>#N/A</v>
      </c>
      <c r="AI2293" s="104" t="e">
        <f t="shared" si="1005"/>
        <v>#N/A</v>
      </c>
      <c r="AJ2293" s="104" t="e">
        <f t="shared" si="1006"/>
        <v>#VALUE!</v>
      </c>
      <c r="AK2293" s="104" t="e">
        <f t="shared" si="1007"/>
        <v>#N/A</v>
      </c>
      <c r="AL2293" s="104" t="e">
        <f t="shared" si="1008"/>
        <v>#N/A</v>
      </c>
      <c r="AM2293" s="104" t="e">
        <f t="shared" si="1009"/>
        <v>#N/A</v>
      </c>
      <c r="AN2293" s="104" t="e">
        <f t="shared" si="993"/>
        <v>#N/A</v>
      </c>
      <c r="AO2293" s="104" t="e">
        <f t="shared" si="994"/>
        <v>#N/A</v>
      </c>
      <c r="AP2293" s="104" t="e">
        <f t="shared" si="995"/>
        <v>#N/A</v>
      </c>
      <c r="AQ2293" s="104" t="e">
        <f t="shared" si="996"/>
        <v>#N/A</v>
      </c>
      <c r="AR2293" s="105" t="str">
        <f t="shared" si="988"/>
        <v/>
      </c>
      <c r="AS2293" s="105" t="str">
        <f t="shared" si="989"/>
        <v/>
      </c>
      <c r="AT2293" s="108" t="str">
        <f t="shared" si="990"/>
        <v/>
      </c>
      <c r="AU2293" s="108" t="str">
        <f t="shared" si="991"/>
        <v/>
      </c>
      <c r="AV2293" s="107" t="str">
        <f>IF(ISNUMBER(O2293),IF(VLOOKUP($A2293,Stand!C:J,8,FALSE)="Short",AT2293,AU2293),"")</f>
        <v/>
      </c>
      <c r="AW2293" s="109" t="str">
        <f t="shared" si="997"/>
        <v/>
      </c>
      <c r="AX2293" s="109" t="str">
        <f t="shared" si="998"/>
        <v/>
      </c>
      <c r="AY2293" s="112" t="str">
        <f>IF(ISNUMBER(O2293),IF(AND(VLOOKUP($D2293,Merchantability!$B:$C,2,0)="Yes",$E2293&gt;=VLOOKUP($D2293,Merchantability!$B:$D,3,0),$E2293&lt;=VLOOKUP($D2293,Merchantability!$B:$E,4,0)),(AV2293*O2293)*(1-$H2293/100),""),"")</f>
        <v/>
      </c>
      <c r="AZ2293" s="116"/>
      <c r="BA2293" s="116"/>
      <c r="BB2293" s="116"/>
      <c r="BE2293" s="62"/>
      <c r="BF2293" s="63"/>
    </row>
    <row r="2294" spans="1:58" ht="12.75" customHeight="1" x14ac:dyDescent="0.25">
      <c r="A2294" s="334"/>
      <c r="B2294" s="334"/>
      <c r="C2294" s="332"/>
      <c r="D2294" s="334"/>
      <c r="E2294" s="335"/>
      <c r="F2294" s="334"/>
      <c r="G2294" s="332"/>
      <c r="H2294" s="332"/>
      <c r="I2294" s="334"/>
      <c r="J2294" s="336"/>
      <c r="K2294" s="332"/>
      <c r="L2294" s="332"/>
      <c r="M2294" s="76"/>
      <c r="N2294" s="103" t="str">
        <f>IF(A2294="","",VLOOKUP(A2294,Stand!C:K,9,0))</f>
        <v/>
      </c>
      <c r="O2294" s="104" t="str">
        <f t="shared" si="983"/>
        <v/>
      </c>
      <c r="P2294" s="105" t="str">
        <f t="shared" si="984"/>
        <v/>
      </c>
      <c r="Q2294" s="105" t="str">
        <f t="shared" si="999"/>
        <v/>
      </c>
      <c r="R2294" s="103" t="str">
        <f t="shared" si="985"/>
        <v/>
      </c>
      <c r="S2294" s="103" t="str">
        <f t="shared" si="986"/>
        <v/>
      </c>
      <c r="T2294" s="106" t="str">
        <f t="shared" si="1000"/>
        <v/>
      </c>
      <c r="U2294" s="106" t="str">
        <f t="shared" si="1001"/>
        <v/>
      </c>
      <c r="V2294" s="106" t="str">
        <f t="shared" si="1002"/>
        <v/>
      </c>
      <c r="W2294" s="105" t="str">
        <f t="shared" si="987"/>
        <v/>
      </c>
      <c r="X2294" s="104" t="str">
        <f t="shared" si="992"/>
        <v/>
      </c>
      <c r="Y2294" s="104" t="str">
        <f t="array" ref="Y2294">IFERROR(IF(ISNUMBER(O2294),IF(COUNT(IF(A2294=$A$2:$A$2427,IF(D2294=$D$2:$D$2427,IF($X$2:$X$2427&gt;0,1))))&gt;0,SUM(IF(A2294=$A$2:$A$2427,IF(D2294=$D$2:$D$2427,$X$2:$X$2427)))/COUNT(IF(A2294=$A$2:$A$2427,IF(D2294=$D$2:$D$2427,IF(ISNUMBER($X$2:$X$2427),1)))),0),""),0)</f>
        <v/>
      </c>
      <c r="Z2294" s="104" t="str">
        <f>IF(ISNUMBER(O2294),IF(I2294&gt;0,(10^(VLOOKUP(D2294,'Species Codes'!B:C,2,0)+VLOOKUP(D2294,'Species Codes'!B:D,3,0)*LOG(E2294)+VLOOKUP(D2294,'Species Codes'!B:E,4,0)*LOG(I2294))),0),"")</f>
        <v/>
      </c>
      <c r="AA2294" s="104" t="str">
        <f>IFERROR((VLOOKUP(D2294,'Species Codes'!B:G,6,0)*Z2294)/2000,"")</f>
        <v/>
      </c>
      <c r="AB2294" s="104" t="e">
        <f>IF(Z2294&gt;0,((IF(OR(D2294="DF",D2294="RA")=TRUE,EXP(VLOOKUP(D2294,'Species Codes'!B:I,8,0)+VLOOKUP(D2294,'Species Codes'!B:J,9,0)*(LN((E2294*2.54)))),IF(OR(D2294="PY",D2294="RC",D2294="WH",D2294="NF")=TRUE,VLOOKUP(D2294,'Species Codes'!B:I,8,0)+VLOOKUP(D2294,'Species Codes'!B:J,9,0)*((E2294*2.54)^2)*(I2294*0.3048),IF(OR(D2294="MD",D2294="BM",D2294="GA")=TRUE,((VLOOKUP(D2294,'Species Codes'!B:I,8,0)*(((((E2294*2.54)+VLOOKUP(D2294,'Species Codes'!B:J,9,0))/VLOOKUP(D2294,'Species Codes'!B:K,10,0))^VLOOKUP(D2294,'Species Codes'!B:L,11,0))*((I2294*0.3048)^VLOOKUP(D2294,'Species Codes'!B:M,12,0))))-(VLOOKUP(D2294,'Species Codes'!B:I,8,0)*((((E2294*2.54)^VLOOKUP(D2294,'Species Codes'!B:L,11,0))*((I2294*0.3048)^VLOOKUP(D2294,'Species Codes'!B:M,12,0))))))*35.3*VLOOKUP(D2294,'Species Codes'!B:G,6,0)/2.2046,VLOOKUP(D2294,'Species Codes'!B:I,8,0)+VLOOKUP(D2294,'Species Codes'!B:J,9,0)*(((E2294*2.54)/100)^2)*(I2294*0.3048)))))*0.0011023),0)</f>
        <v>#N/A</v>
      </c>
      <c r="AC2294" s="104" t="e">
        <f>IF(Z2294&gt;0,((IF(OR(D2294="RA",D2294="OA",D2294="OT",D2294="UN",D2294="PC"),EXP(VLOOKUP(D2294,'Species Codes'!B:O,14,0)+VLOOKUP(D2294,'Species Codes'!B:P,15,0)*LN((E2294*2.54)))-EXP(VLOOKUP(D2294,'Species Codes'!B:O,14,0)+VLOOKUP(D2294,'Species Codes'!B:P,15,0)*LN((E2294*2.54)))*(1/(VLOOKUP(D2294,'Species Codes'!B:Q,16,0)+VLOOKUP(D2294,'Species Codes'!B:R,17,0)*((E2294*2.54)^VLOOKUP(D2294,'Species Codes'!B:S,18,0)))),IF(OR(D2294="BM",D2294="MD",D2294="OA"),EXP(VLOOKUP(D2294,'Species Codes'!B:O,14,0)+VLOOKUP(D2294,'Species Codes'!B:P,15,0)*LN((E2294*2.54)))*(1-(1/(VLOOKUP(D2294,'Species Codes'!B:Q,16,0)+VLOOKUP(D2294,'Species Codes'!B:R,17,0)*((E2294*2.54)^VLOOKUP(D2294,'Species Codes'!B:S,18,0)))))/1000,IF(D2294="DF",EXP(VLOOKUP(D2294,'Species Codes'!B:O,14,0)+VLOOKUP(D2294,'Species Codes'!B:P,15,0)*LN((E2294*2.54))),VLOOKUP(D2294,'Species Codes'!B:O,14,0)+VLOOKUP(D2294,'Species Codes'!B:P,15,0)*(((E2294*2.54)/100)^2)*(I2294*0.3048)))))*0.0011023),0)</f>
        <v>#N/A</v>
      </c>
      <c r="AD2294" s="104" t="e">
        <f t="shared" si="1003"/>
        <v>#N/A</v>
      </c>
      <c r="AE2294" s="104" t="e">
        <f t="shared" si="1004"/>
        <v>#N/A</v>
      </c>
      <c r="AF2294" s="104" t="e">
        <f>IF(AND(VLOOKUP($D2294,Merchantability!$B:$C,2,0)="Yes",$E2294&gt;=VLOOKUP($D2294,Merchantability!$B:$D,3,0),$E2294&lt;=VLOOKUP($D2294,Merchantability!$B:$E,4,0)),AA2294,0)</f>
        <v>#N/A</v>
      </c>
      <c r="AG2294" s="104" t="e">
        <f>IF(AND(VLOOKUP($D2294,Merchantability!$B:$C,2,0)="Yes",$E2294&gt;=VLOOKUP($D2294,Merchantability!$B:$D,3,0),$E2294&lt;=VLOOKUP($D2294,Merchantability!$B:$E,4,0)),AB2294,0)</f>
        <v>#N/A</v>
      </c>
      <c r="AH2294" s="104" t="e">
        <f>IF(AND(VLOOKUP($D2294,Merchantability!$B:$C,2,0)="Yes",$E2294&gt;=VLOOKUP($D2294,Merchantability!$B:$D,3,0),$E2294&lt;=VLOOKUP($D2294,Merchantability!$B:$E,4,0)),AC2294,0)</f>
        <v>#N/A</v>
      </c>
      <c r="AI2294" s="104" t="e">
        <f t="shared" si="1005"/>
        <v>#N/A</v>
      </c>
      <c r="AJ2294" s="104" t="e">
        <f t="shared" si="1006"/>
        <v>#VALUE!</v>
      </c>
      <c r="AK2294" s="104" t="e">
        <f t="shared" si="1007"/>
        <v>#N/A</v>
      </c>
      <c r="AL2294" s="104" t="e">
        <f t="shared" si="1008"/>
        <v>#N/A</v>
      </c>
      <c r="AM2294" s="104" t="e">
        <f t="shared" si="1009"/>
        <v>#N/A</v>
      </c>
      <c r="AN2294" s="104" t="e">
        <f t="shared" si="993"/>
        <v>#N/A</v>
      </c>
      <c r="AO2294" s="104" t="e">
        <f t="shared" si="994"/>
        <v>#N/A</v>
      </c>
      <c r="AP2294" s="104" t="e">
        <f t="shared" si="995"/>
        <v>#N/A</v>
      </c>
      <c r="AQ2294" s="104" t="e">
        <f t="shared" si="996"/>
        <v>#N/A</v>
      </c>
      <c r="AR2294" s="105" t="str">
        <f t="shared" si="988"/>
        <v/>
      </c>
      <c r="AS2294" s="105" t="str">
        <f t="shared" si="989"/>
        <v/>
      </c>
      <c r="AT2294" s="108" t="str">
        <f t="shared" si="990"/>
        <v/>
      </c>
      <c r="AU2294" s="108" t="str">
        <f t="shared" si="991"/>
        <v/>
      </c>
      <c r="AV2294" s="107" t="str">
        <f>IF(ISNUMBER(O2294),IF(VLOOKUP($A2294,Stand!C:J,8,FALSE)="Short",AT2294,AU2294),"")</f>
        <v/>
      </c>
      <c r="AW2294" s="109" t="str">
        <f t="shared" si="997"/>
        <v/>
      </c>
      <c r="AX2294" s="109" t="str">
        <f t="shared" si="998"/>
        <v/>
      </c>
      <c r="AY2294" s="112" t="str">
        <f>IF(ISNUMBER(O2294),IF(AND(VLOOKUP($D2294,Merchantability!$B:$C,2,0)="Yes",$E2294&gt;=VLOOKUP($D2294,Merchantability!$B:$D,3,0),$E2294&lt;=VLOOKUP($D2294,Merchantability!$B:$E,4,0)),(AV2294*O2294)*(1-$H2294/100),""),"")</f>
        <v/>
      </c>
      <c r="AZ2294" s="116"/>
      <c r="BA2294" s="116"/>
      <c r="BB2294" s="116"/>
      <c r="BE2294" s="62"/>
      <c r="BF2294" s="63"/>
    </row>
    <row r="2295" spans="1:58" ht="12.75" customHeight="1" x14ac:dyDescent="0.25">
      <c r="A2295" s="334"/>
      <c r="B2295" s="334"/>
      <c r="C2295" s="332"/>
      <c r="D2295" s="334"/>
      <c r="E2295" s="335"/>
      <c r="F2295" s="334"/>
      <c r="G2295" s="332"/>
      <c r="H2295" s="332"/>
      <c r="I2295" s="334"/>
      <c r="J2295" s="336"/>
      <c r="K2295" s="332"/>
      <c r="L2295" s="332"/>
      <c r="M2295" s="76"/>
      <c r="N2295" s="103" t="str">
        <f>IF(A2295="","",VLOOKUP(A2295,Stand!C:K,9,0))</f>
        <v/>
      </c>
      <c r="O2295" s="104" t="str">
        <f t="shared" si="983"/>
        <v/>
      </c>
      <c r="P2295" s="105" t="str">
        <f t="shared" si="984"/>
        <v/>
      </c>
      <c r="Q2295" s="105" t="str">
        <f t="shared" si="999"/>
        <v/>
      </c>
      <c r="R2295" s="103" t="str">
        <f t="shared" si="985"/>
        <v/>
      </c>
      <c r="S2295" s="103" t="str">
        <f t="shared" si="986"/>
        <v/>
      </c>
      <c r="T2295" s="106" t="str">
        <f t="shared" si="1000"/>
        <v/>
      </c>
      <c r="U2295" s="106" t="str">
        <f t="shared" si="1001"/>
        <v/>
      </c>
      <c r="V2295" s="106" t="str">
        <f t="shared" si="1002"/>
        <v/>
      </c>
      <c r="W2295" s="105" t="str">
        <f t="shared" si="987"/>
        <v/>
      </c>
      <c r="X2295" s="104" t="str">
        <f t="shared" si="992"/>
        <v/>
      </c>
      <c r="Y2295" s="104" t="str">
        <f t="array" ref="Y2295">IFERROR(IF(ISNUMBER(O2295),IF(COUNT(IF(A2295=$A$2:$A$2427,IF(D2295=$D$2:$D$2427,IF($X$2:$X$2427&gt;0,1))))&gt;0,SUM(IF(A2295=$A$2:$A$2427,IF(D2295=$D$2:$D$2427,$X$2:$X$2427)))/COUNT(IF(A2295=$A$2:$A$2427,IF(D2295=$D$2:$D$2427,IF(ISNUMBER($X$2:$X$2427),1)))),0),""),0)</f>
        <v/>
      </c>
      <c r="Z2295" s="104" t="str">
        <f>IF(ISNUMBER(O2295),IF(I2295&gt;0,(10^(VLOOKUP(D2295,'Species Codes'!B:C,2,0)+VLOOKUP(D2295,'Species Codes'!B:D,3,0)*LOG(E2295)+VLOOKUP(D2295,'Species Codes'!B:E,4,0)*LOG(I2295))),0),"")</f>
        <v/>
      </c>
      <c r="AA2295" s="104" t="str">
        <f>IFERROR((VLOOKUP(D2295,'Species Codes'!B:G,6,0)*Z2295)/2000,"")</f>
        <v/>
      </c>
      <c r="AB2295" s="104" t="e">
        <f>IF(Z2295&gt;0,((IF(OR(D2295="DF",D2295="RA")=TRUE,EXP(VLOOKUP(D2295,'Species Codes'!B:I,8,0)+VLOOKUP(D2295,'Species Codes'!B:J,9,0)*(LN((E2295*2.54)))),IF(OR(D2295="PY",D2295="RC",D2295="WH",D2295="NF")=TRUE,VLOOKUP(D2295,'Species Codes'!B:I,8,0)+VLOOKUP(D2295,'Species Codes'!B:J,9,0)*((E2295*2.54)^2)*(I2295*0.3048),IF(OR(D2295="MD",D2295="BM",D2295="GA")=TRUE,((VLOOKUP(D2295,'Species Codes'!B:I,8,0)*(((((E2295*2.54)+VLOOKUP(D2295,'Species Codes'!B:J,9,0))/VLOOKUP(D2295,'Species Codes'!B:K,10,0))^VLOOKUP(D2295,'Species Codes'!B:L,11,0))*((I2295*0.3048)^VLOOKUP(D2295,'Species Codes'!B:M,12,0))))-(VLOOKUP(D2295,'Species Codes'!B:I,8,0)*((((E2295*2.54)^VLOOKUP(D2295,'Species Codes'!B:L,11,0))*((I2295*0.3048)^VLOOKUP(D2295,'Species Codes'!B:M,12,0))))))*35.3*VLOOKUP(D2295,'Species Codes'!B:G,6,0)/2.2046,VLOOKUP(D2295,'Species Codes'!B:I,8,0)+VLOOKUP(D2295,'Species Codes'!B:J,9,0)*(((E2295*2.54)/100)^2)*(I2295*0.3048)))))*0.0011023),0)</f>
        <v>#N/A</v>
      </c>
      <c r="AC2295" s="104" t="e">
        <f>IF(Z2295&gt;0,((IF(OR(D2295="RA",D2295="OA",D2295="OT",D2295="UN",D2295="PC"),EXP(VLOOKUP(D2295,'Species Codes'!B:O,14,0)+VLOOKUP(D2295,'Species Codes'!B:P,15,0)*LN((E2295*2.54)))-EXP(VLOOKUP(D2295,'Species Codes'!B:O,14,0)+VLOOKUP(D2295,'Species Codes'!B:P,15,0)*LN((E2295*2.54)))*(1/(VLOOKUP(D2295,'Species Codes'!B:Q,16,0)+VLOOKUP(D2295,'Species Codes'!B:R,17,0)*((E2295*2.54)^VLOOKUP(D2295,'Species Codes'!B:S,18,0)))),IF(OR(D2295="BM",D2295="MD",D2295="OA"),EXP(VLOOKUP(D2295,'Species Codes'!B:O,14,0)+VLOOKUP(D2295,'Species Codes'!B:P,15,0)*LN((E2295*2.54)))*(1-(1/(VLOOKUP(D2295,'Species Codes'!B:Q,16,0)+VLOOKUP(D2295,'Species Codes'!B:R,17,0)*((E2295*2.54)^VLOOKUP(D2295,'Species Codes'!B:S,18,0)))))/1000,IF(D2295="DF",EXP(VLOOKUP(D2295,'Species Codes'!B:O,14,0)+VLOOKUP(D2295,'Species Codes'!B:P,15,0)*LN((E2295*2.54))),VLOOKUP(D2295,'Species Codes'!B:O,14,0)+VLOOKUP(D2295,'Species Codes'!B:P,15,0)*(((E2295*2.54)/100)^2)*(I2295*0.3048)))))*0.0011023),0)</f>
        <v>#N/A</v>
      </c>
      <c r="AD2295" s="104" t="e">
        <f t="shared" si="1003"/>
        <v>#N/A</v>
      </c>
      <c r="AE2295" s="104" t="e">
        <f t="shared" si="1004"/>
        <v>#N/A</v>
      </c>
      <c r="AF2295" s="104" t="e">
        <f>IF(AND(VLOOKUP($D2295,Merchantability!$B:$C,2,0)="Yes",$E2295&gt;=VLOOKUP($D2295,Merchantability!$B:$D,3,0),$E2295&lt;=VLOOKUP($D2295,Merchantability!$B:$E,4,0)),AA2295,0)</f>
        <v>#N/A</v>
      </c>
      <c r="AG2295" s="104" t="e">
        <f>IF(AND(VLOOKUP($D2295,Merchantability!$B:$C,2,0)="Yes",$E2295&gt;=VLOOKUP($D2295,Merchantability!$B:$D,3,0),$E2295&lt;=VLOOKUP($D2295,Merchantability!$B:$E,4,0)),AB2295,0)</f>
        <v>#N/A</v>
      </c>
      <c r="AH2295" s="104" t="e">
        <f>IF(AND(VLOOKUP($D2295,Merchantability!$B:$C,2,0)="Yes",$E2295&gt;=VLOOKUP($D2295,Merchantability!$B:$D,3,0),$E2295&lt;=VLOOKUP($D2295,Merchantability!$B:$E,4,0)),AC2295,0)</f>
        <v>#N/A</v>
      </c>
      <c r="AI2295" s="104" t="e">
        <f t="shared" si="1005"/>
        <v>#N/A</v>
      </c>
      <c r="AJ2295" s="104" t="e">
        <f t="shared" si="1006"/>
        <v>#VALUE!</v>
      </c>
      <c r="AK2295" s="104" t="e">
        <f t="shared" si="1007"/>
        <v>#N/A</v>
      </c>
      <c r="AL2295" s="104" t="e">
        <f t="shared" si="1008"/>
        <v>#N/A</v>
      </c>
      <c r="AM2295" s="104" t="e">
        <f t="shared" si="1009"/>
        <v>#N/A</v>
      </c>
      <c r="AN2295" s="104" t="e">
        <f t="shared" si="993"/>
        <v>#N/A</v>
      </c>
      <c r="AO2295" s="104" t="e">
        <f t="shared" si="994"/>
        <v>#N/A</v>
      </c>
      <c r="AP2295" s="104" t="e">
        <f t="shared" si="995"/>
        <v>#N/A</v>
      </c>
      <c r="AQ2295" s="104" t="e">
        <f t="shared" si="996"/>
        <v>#N/A</v>
      </c>
      <c r="AR2295" s="105" t="str">
        <f t="shared" si="988"/>
        <v/>
      </c>
      <c r="AS2295" s="105" t="str">
        <f t="shared" si="989"/>
        <v/>
      </c>
      <c r="AT2295" s="108" t="str">
        <f t="shared" si="990"/>
        <v/>
      </c>
      <c r="AU2295" s="108" t="str">
        <f t="shared" si="991"/>
        <v/>
      </c>
      <c r="AV2295" s="107" t="str">
        <f>IF(ISNUMBER(O2295),IF(VLOOKUP($A2295,Stand!C:J,8,FALSE)="Short",AT2295,AU2295),"")</f>
        <v/>
      </c>
      <c r="AW2295" s="109" t="str">
        <f t="shared" si="997"/>
        <v/>
      </c>
      <c r="AX2295" s="109" t="str">
        <f t="shared" si="998"/>
        <v/>
      </c>
      <c r="AY2295" s="112" t="str">
        <f>IF(ISNUMBER(O2295),IF(AND(VLOOKUP($D2295,Merchantability!$B:$C,2,0)="Yes",$E2295&gt;=VLOOKUP($D2295,Merchantability!$B:$D,3,0),$E2295&lt;=VLOOKUP($D2295,Merchantability!$B:$E,4,0)),(AV2295*O2295)*(1-$H2295/100),""),"")</f>
        <v/>
      </c>
      <c r="AZ2295" s="116"/>
      <c r="BA2295" s="116"/>
      <c r="BB2295" s="116"/>
      <c r="BE2295" s="62"/>
      <c r="BF2295" s="63"/>
    </row>
    <row r="2296" spans="1:58" ht="12.75" customHeight="1" x14ac:dyDescent="0.25">
      <c r="A2296" s="334"/>
      <c r="B2296" s="334"/>
      <c r="C2296" s="332"/>
      <c r="D2296" s="334"/>
      <c r="E2296" s="335"/>
      <c r="F2296" s="334"/>
      <c r="G2296" s="332"/>
      <c r="H2296" s="332"/>
      <c r="I2296" s="334"/>
      <c r="J2296" s="336"/>
      <c r="K2296" s="332"/>
      <c r="L2296" s="332"/>
      <c r="M2296" s="76"/>
      <c r="N2296" s="103" t="str">
        <f>IF(A2296="","",VLOOKUP(A2296,Stand!C:K,9,0))</f>
        <v/>
      </c>
      <c r="O2296" s="104" t="str">
        <f t="shared" si="983"/>
        <v/>
      </c>
      <c r="P2296" s="105" t="str">
        <f t="shared" si="984"/>
        <v/>
      </c>
      <c r="Q2296" s="105" t="str">
        <f t="shared" si="999"/>
        <v/>
      </c>
      <c r="R2296" s="103" t="str">
        <f t="shared" si="985"/>
        <v/>
      </c>
      <c r="S2296" s="103" t="str">
        <f t="shared" si="986"/>
        <v/>
      </c>
      <c r="T2296" s="106" t="str">
        <f t="shared" si="1000"/>
        <v/>
      </c>
      <c r="U2296" s="106" t="str">
        <f t="shared" si="1001"/>
        <v/>
      </c>
      <c r="V2296" s="106" t="str">
        <f t="shared" si="1002"/>
        <v/>
      </c>
      <c r="W2296" s="105" t="str">
        <f t="shared" si="987"/>
        <v/>
      </c>
      <c r="X2296" s="104" t="str">
        <f t="shared" si="992"/>
        <v/>
      </c>
      <c r="Y2296" s="104" t="str">
        <f t="array" ref="Y2296">IFERROR(IF(ISNUMBER(O2296),IF(COUNT(IF(A2296=$A$2:$A$2427,IF(D2296=$D$2:$D$2427,IF($X$2:$X$2427&gt;0,1))))&gt;0,SUM(IF(A2296=$A$2:$A$2427,IF(D2296=$D$2:$D$2427,$X$2:$X$2427)))/COUNT(IF(A2296=$A$2:$A$2427,IF(D2296=$D$2:$D$2427,IF(ISNUMBER($X$2:$X$2427),1)))),0),""),0)</f>
        <v/>
      </c>
      <c r="Z2296" s="104" t="str">
        <f>IF(ISNUMBER(O2296),IF(I2296&gt;0,(10^(VLOOKUP(D2296,'Species Codes'!B:C,2,0)+VLOOKUP(D2296,'Species Codes'!B:D,3,0)*LOG(E2296)+VLOOKUP(D2296,'Species Codes'!B:E,4,0)*LOG(I2296))),0),"")</f>
        <v/>
      </c>
      <c r="AA2296" s="104" t="str">
        <f>IFERROR((VLOOKUP(D2296,'Species Codes'!B:G,6,0)*Z2296)/2000,"")</f>
        <v/>
      </c>
      <c r="AB2296" s="104" t="e">
        <f>IF(Z2296&gt;0,((IF(OR(D2296="DF",D2296="RA")=TRUE,EXP(VLOOKUP(D2296,'Species Codes'!B:I,8,0)+VLOOKUP(D2296,'Species Codes'!B:J,9,0)*(LN((E2296*2.54)))),IF(OR(D2296="PY",D2296="RC",D2296="WH",D2296="NF")=TRUE,VLOOKUP(D2296,'Species Codes'!B:I,8,0)+VLOOKUP(D2296,'Species Codes'!B:J,9,0)*((E2296*2.54)^2)*(I2296*0.3048),IF(OR(D2296="MD",D2296="BM",D2296="GA")=TRUE,((VLOOKUP(D2296,'Species Codes'!B:I,8,0)*(((((E2296*2.54)+VLOOKUP(D2296,'Species Codes'!B:J,9,0))/VLOOKUP(D2296,'Species Codes'!B:K,10,0))^VLOOKUP(D2296,'Species Codes'!B:L,11,0))*((I2296*0.3048)^VLOOKUP(D2296,'Species Codes'!B:M,12,0))))-(VLOOKUP(D2296,'Species Codes'!B:I,8,0)*((((E2296*2.54)^VLOOKUP(D2296,'Species Codes'!B:L,11,0))*((I2296*0.3048)^VLOOKUP(D2296,'Species Codes'!B:M,12,0))))))*35.3*VLOOKUP(D2296,'Species Codes'!B:G,6,0)/2.2046,VLOOKUP(D2296,'Species Codes'!B:I,8,0)+VLOOKUP(D2296,'Species Codes'!B:J,9,0)*(((E2296*2.54)/100)^2)*(I2296*0.3048)))))*0.0011023),0)</f>
        <v>#N/A</v>
      </c>
      <c r="AC2296" s="104" t="e">
        <f>IF(Z2296&gt;0,((IF(OR(D2296="RA",D2296="OA",D2296="OT",D2296="UN",D2296="PC"),EXP(VLOOKUP(D2296,'Species Codes'!B:O,14,0)+VLOOKUP(D2296,'Species Codes'!B:P,15,0)*LN((E2296*2.54)))-EXP(VLOOKUP(D2296,'Species Codes'!B:O,14,0)+VLOOKUP(D2296,'Species Codes'!B:P,15,0)*LN((E2296*2.54)))*(1/(VLOOKUP(D2296,'Species Codes'!B:Q,16,0)+VLOOKUP(D2296,'Species Codes'!B:R,17,0)*((E2296*2.54)^VLOOKUP(D2296,'Species Codes'!B:S,18,0)))),IF(OR(D2296="BM",D2296="MD",D2296="OA"),EXP(VLOOKUP(D2296,'Species Codes'!B:O,14,0)+VLOOKUP(D2296,'Species Codes'!B:P,15,0)*LN((E2296*2.54)))*(1-(1/(VLOOKUP(D2296,'Species Codes'!B:Q,16,0)+VLOOKUP(D2296,'Species Codes'!B:R,17,0)*((E2296*2.54)^VLOOKUP(D2296,'Species Codes'!B:S,18,0)))))/1000,IF(D2296="DF",EXP(VLOOKUP(D2296,'Species Codes'!B:O,14,0)+VLOOKUP(D2296,'Species Codes'!B:P,15,0)*LN((E2296*2.54))),VLOOKUP(D2296,'Species Codes'!B:O,14,0)+VLOOKUP(D2296,'Species Codes'!B:P,15,0)*(((E2296*2.54)/100)^2)*(I2296*0.3048)))))*0.0011023),0)</f>
        <v>#N/A</v>
      </c>
      <c r="AD2296" s="104" t="e">
        <f t="shared" si="1003"/>
        <v>#N/A</v>
      </c>
      <c r="AE2296" s="104" t="e">
        <f t="shared" si="1004"/>
        <v>#N/A</v>
      </c>
      <c r="AF2296" s="104" t="e">
        <f>IF(AND(VLOOKUP($D2296,Merchantability!$B:$C,2,0)="Yes",$E2296&gt;=VLOOKUP($D2296,Merchantability!$B:$D,3,0),$E2296&lt;=VLOOKUP($D2296,Merchantability!$B:$E,4,0)),AA2296,0)</f>
        <v>#N/A</v>
      </c>
      <c r="AG2296" s="104" t="e">
        <f>IF(AND(VLOOKUP($D2296,Merchantability!$B:$C,2,0)="Yes",$E2296&gt;=VLOOKUP($D2296,Merchantability!$B:$D,3,0),$E2296&lt;=VLOOKUP($D2296,Merchantability!$B:$E,4,0)),AB2296,0)</f>
        <v>#N/A</v>
      </c>
      <c r="AH2296" s="104" t="e">
        <f>IF(AND(VLOOKUP($D2296,Merchantability!$B:$C,2,0)="Yes",$E2296&gt;=VLOOKUP($D2296,Merchantability!$B:$D,3,0),$E2296&lt;=VLOOKUP($D2296,Merchantability!$B:$E,4,0)),AC2296,0)</f>
        <v>#N/A</v>
      </c>
      <c r="AI2296" s="104" t="e">
        <f t="shared" si="1005"/>
        <v>#N/A</v>
      </c>
      <c r="AJ2296" s="104" t="e">
        <f t="shared" si="1006"/>
        <v>#VALUE!</v>
      </c>
      <c r="AK2296" s="104" t="e">
        <f t="shared" si="1007"/>
        <v>#N/A</v>
      </c>
      <c r="AL2296" s="104" t="e">
        <f t="shared" si="1008"/>
        <v>#N/A</v>
      </c>
      <c r="AM2296" s="104" t="e">
        <f t="shared" si="1009"/>
        <v>#N/A</v>
      </c>
      <c r="AN2296" s="104" t="e">
        <f t="shared" si="993"/>
        <v>#N/A</v>
      </c>
      <c r="AO2296" s="104" t="e">
        <f t="shared" si="994"/>
        <v>#N/A</v>
      </c>
      <c r="AP2296" s="104" t="e">
        <f t="shared" si="995"/>
        <v>#N/A</v>
      </c>
      <c r="AQ2296" s="104" t="e">
        <f t="shared" si="996"/>
        <v>#N/A</v>
      </c>
      <c r="AR2296" s="105" t="str">
        <f t="shared" si="988"/>
        <v/>
      </c>
      <c r="AS2296" s="105" t="str">
        <f t="shared" si="989"/>
        <v/>
      </c>
      <c r="AT2296" s="108" t="str">
        <f t="shared" si="990"/>
        <v/>
      </c>
      <c r="AU2296" s="108" t="str">
        <f t="shared" si="991"/>
        <v/>
      </c>
      <c r="AV2296" s="107" t="str">
        <f>IF(ISNUMBER(O2296),IF(VLOOKUP($A2296,Stand!C:J,8,FALSE)="Short",AT2296,AU2296),"")</f>
        <v/>
      </c>
      <c r="AW2296" s="109" t="str">
        <f t="shared" si="997"/>
        <v/>
      </c>
      <c r="AX2296" s="109" t="str">
        <f t="shared" si="998"/>
        <v/>
      </c>
      <c r="AY2296" s="112" t="str">
        <f>IF(ISNUMBER(O2296),IF(AND(VLOOKUP($D2296,Merchantability!$B:$C,2,0)="Yes",$E2296&gt;=VLOOKUP($D2296,Merchantability!$B:$D,3,0),$E2296&lt;=VLOOKUP($D2296,Merchantability!$B:$E,4,0)),(AV2296*O2296)*(1-$H2296/100),""),"")</f>
        <v/>
      </c>
      <c r="AZ2296" s="116"/>
      <c r="BA2296" s="116"/>
      <c r="BB2296" s="116"/>
      <c r="BE2296" s="62"/>
      <c r="BF2296" s="63"/>
    </row>
    <row r="2297" spans="1:58" ht="12.75" customHeight="1" x14ac:dyDescent="0.25">
      <c r="A2297" s="334"/>
      <c r="B2297" s="334"/>
      <c r="C2297" s="332"/>
      <c r="D2297" s="334"/>
      <c r="E2297" s="335"/>
      <c r="F2297" s="334"/>
      <c r="G2297" s="332"/>
      <c r="H2297" s="332"/>
      <c r="I2297" s="334"/>
      <c r="J2297" s="336"/>
      <c r="K2297" s="332"/>
      <c r="L2297" s="332"/>
      <c r="M2297" s="76"/>
      <c r="N2297" s="103" t="str">
        <f>IF(A2297="","",VLOOKUP(A2297,Stand!C:K,9,0))</f>
        <v/>
      </c>
      <c r="O2297" s="104" t="str">
        <f t="shared" si="983"/>
        <v/>
      </c>
      <c r="P2297" s="105" t="str">
        <f t="shared" si="984"/>
        <v/>
      </c>
      <c r="Q2297" s="105" t="str">
        <f t="shared" si="999"/>
        <v/>
      </c>
      <c r="R2297" s="103" t="str">
        <f t="shared" si="985"/>
        <v/>
      </c>
      <c r="S2297" s="103" t="str">
        <f t="shared" si="986"/>
        <v/>
      </c>
      <c r="T2297" s="106" t="str">
        <f t="shared" si="1000"/>
        <v/>
      </c>
      <c r="U2297" s="106" t="str">
        <f t="shared" si="1001"/>
        <v/>
      </c>
      <c r="V2297" s="106" t="str">
        <f t="shared" si="1002"/>
        <v/>
      </c>
      <c r="W2297" s="105" t="str">
        <f t="shared" si="987"/>
        <v/>
      </c>
      <c r="X2297" s="104" t="str">
        <f t="shared" si="992"/>
        <v/>
      </c>
      <c r="Y2297" s="104" t="str">
        <f t="array" ref="Y2297">IFERROR(IF(ISNUMBER(O2297),IF(COUNT(IF(A2297=$A$2:$A$2427,IF(D2297=$D$2:$D$2427,IF($X$2:$X$2427&gt;0,1))))&gt;0,SUM(IF(A2297=$A$2:$A$2427,IF(D2297=$D$2:$D$2427,$X$2:$X$2427)))/COUNT(IF(A2297=$A$2:$A$2427,IF(D2297=$D$2:$D$2427,IF(ISNUMBER($X$2:$X$2427),1)))),0),""),0)</f>
        <v/>
      </c>
      <c r="Z2297" s="104" t="str">
        <f>IF(ISNUMBER(O2297),IF(I2297&gt;0,(10^(VLOOKUP(D2297,'Species Codes'!B:C,2,0)+VLOOKUP(D2297,'Species Codes'!B:D,3,0)*LOG(E2297)+VLOOKUP(D2297,'Species Codes'!B:E,4,0)*LOG(I2297))),0),"")</f>
        <v/>
      </c>
      <c r="AA2297" s="104" t="str">
        <f>IFERROR((VLOOKUP(D2297,'Species Codes'!B:G,6,0)*Z2297)/2000,"")</f>
        <v/>
      </c>
      <c r="AB2297" s="104" t="e">
        <f>IF(Z2297&gt;0,((IF(OR(D2297="DF",D2297="RA")=TRUE,EXP(VLOOKUP(D2297,'Species Codes'!B:I,8,0)+VLOOKUP(D2297,'Species Codes'!B:J,9,0)*(LN((E2297*2.54)))),IF(OR(D2297="PY",D2297="RC",D2297="WH",D2297="NF")=TRUE,VLOOKUP(D2297,'Species Codes'!B:I,8,0)+VLOOKUP(D2297,'Species Codes'!B:J,9,0)*((E2297*2.54)^2)*(I2297*0.3048),IF(OR(D2297="MD",D2297="BM",D2297="GA")=TRUE,((VLOOKUP(D2297,'Species Codes'!B:I,8,0)*(((((E2297*2.54)+VLOOKUP(D2297,'Species Codes'!B:J,9,0))/VLOOKUP(D2297,'Species Codes'!B:K,10,0))^VLOOKUP(D2297,'Species Codes'!B:L,11,0))*((I2297*0.3048)^VLOOKUP(D2297,'Species Codes'!B:M,12,0))))-(VLOOKUP(D2297,'Species Codes'!B:I,8,0)*((((E2297*2.54)^VLOOKUP(D2297,'Species Codes'!B:L,11,0))*((I2297*0.3048)^VLOOKUP(D2297,'Species Codes'!B:M,12,0))))))*35.3*VLOOKUP(D2297,'Species Codes'!B:G,6,0)/2.2046,VLOOKUP(D2297,'Species Codes'!B:I,8,0)+VLOOKUP(D2297,'Species Codes'!B:J,9,0)*(((E2297*2.54)/100)^2)*(I2297*0.3048)))))*0.0011023),0)</f>
        <v>#N/A</v>
      </c>
      <c r="AC2297" s="104" t="e">
        <f>IF(Z2297&gt;0,((IF(OR(D2297="RA",D2297="OA",D2297="OT",D2297="UN",D2297="PC"),EXP(VLOOKUP(D2297,'Species Codes'!B:O,14,0)+VLOOKUP(D2297,'Species Codes'!B:P,15,0)*LN((E2297*2.54)))-EXP(VLOOKUP(D2297,'Species Codes'!B:O,14,0)+VLOOKUP(D2297,'Species Codes'!B:P,15,0)*LN((E2297*2.54)))*(1/(VLOOKUP(D2297,'Species Codes'!B:Q,16,0)+VLOOKUP(D2297,'Species Codes'!B:R,17,0)*((E2297*2.54)^VLOOKUP(D2297,'Species Codes'!B:S,18,0)))),IF(OR(D2297="BM",D2297="MD",D2297="OA"),EXP(VLOOKUP(D2297,'Species Codes'!B:O,14,0)+VLOOKUP(D2297,'Species Codes'!B:P,15,0)*LN((E2297*2.54)))*(1-(1/(VLOOKUP(D2297,'Species Codes'!B:Q,16,0)+VLOOKUP(D2297,'Species Codes'!B:R,17,0)*((E2297*2.54)^VLOOKUP(D2297,'Species Codes'!B:S,18,0)))))/1000,IF(D2297="DF",EXP(VLOOKUP(D2297,'Species Codes'!B:O,14,0)+VLOOKUP(D2297,'Species Codes'!B:P,15,0)*LN((E2297*2.54))),VLOOKUP(D2297,'Species Codes'!B:O,14,0)+VLOOKUP(D2297,'Species Codes'!B:P,15,0)*(((E2297*2.54)/100)^2)*(I2297*0.3048)))))*0.0011023),0)</f>
        <v>#N/A</v>
      </c>
      <c r="AD2297" s="104" t="e">
        <f t="shared" si="1003"/>
        <v>#N/A</v>
      </c>
      <c r="AE2297" s="104" t="e">
        <f t="shared" si="1004"/>
        <v>#N/A</v>
      </c>
      <c r="AF2297" s="104" t="e">
        <f>IF(AND(VLOOKUP($D2297,Merchantability!$B:$C,2,0)="Yes",$E2297&gt;=VLOOKUP($D2297,Merchantability!$B:$D,3,0),$E2297&lt;=VLOOKUP($D2297,Merchantability!$B:$E,4,0)),AA2297,0)</f>
        <v>#N/A</v>
      </c>
      <c r="AG2297" s="104" t="e">
        <f>IF(AND(VLOOKUP($D2297,Merchantability!$B:$C,2,0)="Yes",$E2297&gt;=VLOOKUP($D2297,Merchantability!$B:$D,3,0),$E2297&lt;=VLOOKUP($D2297,Merchantability!$B:$E,4,0)),AB2297,0)</f>
        <v>#N/A</v>
      </c>
      <c r="AH2297" s="104" t="e">
        <f>IF(AND(VLOOKUP($D2297,Merchantability!$B:$C,2,0)="Yes",$E2297&gt;=VLOOKUP($D2297,Merchantability!$B:$D,3,0),$E2297&lt;=VLOOKUP($D2297,Merchantability!$B:$E,4,0)),AC2297,0)</f>
        <v>#N/A</v>
      </c>
      <c r="AI2297" s="104" t="e">
        <f t="shared" si="1005"/>
        <v>#N/A</v>
      </c>
      <c r="AJ2297" s="104" t="e">
        <f t="shared" si="1006"/>
        <v>#VALUE!</v>
      </c>
      <c r="AK2297" s="104" t="e">
        <f t="shared" si="1007"/>
        <v>#N/A</v>
      </c>
      <c r="AL2297" s="104" t="e">
        <f t="shared" si="1008"/>
        <v>#N/A</v>
      </c>
      <c r="AM2297" s="104" t="e">
        <f t="shared" si="1009"/>
        <v>#N/A</v>
      </c>
      <c r="AN2297" s="104" t="e">
        <f t="shared" si="993"/>
        <v>#N/A</v>
      </c>
      <c r="AO2297" s="104" t="e">
        <f t="shared" si="994"/>
        <v>#N/A</v>
      </c>
      <c r="AP2297" s="104" t="e">
        <f t="shared" si="995"/>
        <v>#N/A</v>
      </c>
      <c r="AQ2297" s="104" t="e">
        <f t="shared" si="996"/>
        <v>#N/A</v>
      </c>
      <c r="AR2297" s="105" t="str">
        <f t="shared" si="988"/>
        <v/>
      </c>
      <c r="AS2297" s="105" t="str">
        <f t="shared" si="989"/>
        <v/>
      </c>
      <c r="AT2297" s="108" t="str">
        <f t="shared" si="990"/>
        <v/>
      </c>
      <c r="AU2297" s="108" t="str">
        <f t="shared" si="991"/>
        <v/>
      </c>
      <c r="AV2297" s="107" t="str">
        <f>IF(ISNUMBER(O2297),IF(VLOOKUP($A2297,Stand!C:J,8,FALSE)="Short",AT2297,AU2297),"")</f>
        <v/>
      </c>
      <c r="AW2297" s="109" t="str">
        <f t="shared" si="997"/>
        <v/>
      </c>
      <c r="AX2297" s="109" t="str">
        <f t="shared" si="998"/>
        <v/>
      </c>
      <c r="AY2297" s="112" t="str">
        <f>IF(ISNUMBER(O2297),IF(AND(VLOOKUP($D2297,Merchantability!$B:$C,2,0)="Yes",$E2297&gt;=VLOOKUP($D2297,Merchantability!$B:$D,3,0),$E2297&lt;=VLOOKUP($D2297,Merchantability!$B:$E,4,0)),(AV2297*O2297)*(1-$H2297/100),""),"")</f>
        <v/>
      </c>
      <c r="AZ2297" s="116"/>
      <c r="BA2297" s="116"/>
      <c r="BB2297" s="116"/>
      <c r="BE2297" s="62"/>
      <c r="BF2297" s="63"/>
    </row>
    <row r="2298" spans="1:58" ht="12.75" customHeight="1" x14ac:dyDescent="0.25">
      <c r="A2298" s="334"/>
      <c r="B2298" s="334"/>
      <c r="C2298" s="332"/>
      <c r="D2298" s="334"/>
      <c r="E2298" s="335"/>
      <c r="F2298" s="334"/>
      <c r="G2298" s="332"/>
      <c r="H2298" s="332"/>
      <c r="I2298" s="334"/>
      <c r="J2298" s="336"/>
      <c r="K2298" s="332"/>
      <c r="L2298" s="332"/>
      <c r="M2298" s="76"/>
      <c r="N2298" s="103" t="str">
        <f>IF(A2298="","",VLOOKUP(A2298,Stand!C:K,9,0))</f>
        <v/>
      </c>
      <c r="O2298" s="104" t="str">
        <f t="shared" si="983"/>
        <v/>
      </c>
      <c r="P2298" s="105" t="str">
        <f t="shared" si="984"/>
        <v/>
      </c>
      <c r="Q2298" s="105" t="str">
        <f t="shared" si="999"/>
        <v/>
      </c>
      <c r="R2298" s="103" t="str">
        <f t="shared" si="985"/>
        <v/>
      </c>
      <c r="S2298" s="103" t="str">
        <f t="shared" si="986"/>
        <v/>
      </c>
      <c r="T2298" s="106" t="str">
        <f t="shared" si="1000"/>
        <v/>
      </c>
      <c r="U2298" s="106" t="str">
        <f t="shared" si="1001"/>
        <v/>
      </c>
      <c r="V2298" s="106" t="str">
        <f t="shared" si="1002"/>
        <v/>
      </c>
      <c r="W2298" s="105" t="str">
        <f t="shared" si="987"/>
        <v/>
      </c>
      <c r="X2298" s="104" t="str">
        <f t="shared" si="992"/>
        <v/>
      </c>
      <c r="Y2298" s="104" t="str">
        <f t="array" ref="Y2298">IFERROR(IF(ISNUMBER(O2298),IF(COUNT(IF(A2298=$A$2:$A$2427,IF(D2298=$D$2:$D$2427,IF($X$2:$X$2427&gt;0,1))))&gt;0,SUM(IF(A2298=$A$2:$A$2427,IF(D2298=$D$2:$D$2427,$X$2:$X$2427)))/COUNT(IF(A2298=$A$2:$A$2427,IF(D2298=$D$2:$D$2427,IF(ISNUMBER($X$2:$X$2427),1)))),0),""),0)</f>
        <v/>
      </c>
      <c r="Z2298" s="104" t="str">
        <f>IF(ISNUMBER(O2298),IF(I2298&gt;0,(10^(VLOOKUP(D2298,'Species Codes'!B:C,2,0)+VLOOKUP(D2298,'Species Codes'!B:D,3,0)*LOG(E2298)+VLOOKUP(D2298,'Species Codes'!B:E,4,0)*LOG(I2298))),0),"")</f>
        <v/>
      </c>
      <c r="AA2298" s="104" t="str">
        <f>IFERROR((VLOOKUP(D2298,'Species Codes'!B:G,6,0)*Z2298)/2000,"")</f>
        <v/>
      </c>
      <c r="AB2298" s="104" t="e">
        <f>IF(Z2298&gt;0,((IF(OR(D2298="DF",D2298="RA")=TRUE,EXP(VLOOKUP(D2298,'Species Codes'!B:I,8,0)+VLOOKUP(D2298,'Species Codes'!B:J,9,0)*(LN((E2298*2.54)))),IF(OR(D2298="PY",D2298="RC",D2298="WH",D2298="NF")=TRUE,VLOOKUP(D2298,'Species Codes'!B:I,8,0)+VLOOKUP(D2298,'Species Codes'!B:J,9,0)*((E2298*2.54)^2)*(I2298*0.3048),IF(OR(D2298="MD",D2298="BM",D2298="GA")=TRUE,((VLOOKUP(D2298,'Species Codes'!B:I,8,0)*(((((E2298*2.54)+VLOOKUP(D2298,'Species Codes'!B:J,9,0))/VLOOKUP(D2298,'Species Codes'!B:K,10,0))^VLOOKUP(D2298,'Species Codes'!B:L,11,0))*((I2298*0.3048)^VLOOKUP(D2298,'Species Codes'!B:M,12,0))))-(VLOOKUP(D2298,'Species Codes'!B:I,8,0)*((((E2298*2.54)^VLOOKUP(D2298,'Species Codes'!B:L,11,0))*((I2298*0.3048)^VLOOKUP(D2298,'Species Codes'!B:M,12,0))))))*35.3*VLOOKUP(D2298,'Species Codes'!B:G,6,0)/2.2046,VLOOKUP(D2298,'Species Codes'!B:I,8,0)+VLOOKUP(D2298,'Species Codes'!B:J,9,0)*(((E2298*2.54)/100)^2)*(I2298*0.3048)))))*0.0011023),0)</f>
        <v>#N/A</v>
      </c>
      <c r="AC2298" s="104" t="e">
        <f>IF(Z2298&gt;0,((IF(OR(D2298="RA",D2298="OA",D2298="OT",D2298="UN",D2298="PC"),EXP(VLOOKUP(D2298,'Species Codes'!B:O,14,0)+VLOOKUP(D2298,'Species Codes'!B:P,15,0)*LN((E2298*2.54)))-EXP(VLOOKUP(D2298,'Species Codes'!B:O,14,0)+VLOOKUP(D2298,'Species Codes'!B:P,15,0)*LN((E2298*2.54)))*(1/(VLOOKUP(D2298,'Species Codes'!B:Q,16,0)+VLOOKUP(D2298,'Species Codes'!B:R,17,0)*((E2298*2.54)^VLOOKUP(D2298,'Species Codes'!B:S,18,0)))),IF(OR(D2298="BM",D2298="MD",D2298="OA"),EXP(VLOOKUP(D2298,'Species Codes'!B:O,14,0)+VLOOKUP(D2298,'Species Codes'!B:P,15,0)*LN((E2298*2.54)))*(1-(1/(VLOOKUP(D2298,'Species Codes'!B:Q,16,0)+VLOOKUP(D2298,'Species Codes'!B:R,17,0)*((E2298*2.54)^VLOOKUP(D2298,'Species Codes'!B:S,18,0)))))/1000,IF(D2298="DF",EXP(VLOOKUP(D2298,'Species Codes'!B:O,14,0)+VLOOKUP(D2298,'Species Codes'!B:P,15,0)*LN((E2298*2.54))),VLOOKUP(D2298,'Species Codes'!B:O,14,0)+VLOOKUP(D2298,'Species Codes'!B:P,15,0)*(((E2298*2.54)/100)^2)*(I2298*0.3048)))))*0.0011023),0)</f>
        <v>#N/A</v>
      </c>
      <c r="AD2298" s="104" t="e">
        <f t="shared" si="1003"/>
        <v>#N/A</v>
      </c>
      <c r="AE2298" s="104" t="e">
        <f t="shared" si="1004"/>
        <v>#N/A</v>
      </c>
      <c r="AF2298" s="104" t="e">
        <f>IF(AND(VLOOKUP($D2298,Merchantability!$B:$C,2,0)="Yes",$E2298&gt;=VLOOKUP($D2298,Merchantability!$B:$D,3,0),$E2298&lt;=VLOOKUP($D2298,Merchantability!$B:$E,4,0)),AA2298,0)</f>
        <v>#N/A</v>
      </c>
      <c r="AG2298" s="104" t="e">
        <f>IF(AND(VLOOKUP($D2298,Merchantability!$B:$C,2,0)="Yes",$E2298&gt;=VLOOKUP($D2298,Merchantability!$B:$D,3,0),$E2298&lt;=VLOOKUP($D2298,Merchantability!$B:$E,4,0)),AB2298,0)</f>
        <v>#N/A</v>
      </c>
      <c r="AH2298" s="104" t="e">
        <f>IF(AND(VLOOKUP($D2298,Merchantability!$B:$C,2,0)="Yes",$E2298&gt;=VLOOKUP($D2298,Merchantability!$B:$D,3,0),$E2298&lt;=VLOOKUP($D2298,Merchantability!$B:$E,4,0)),AC2298,0)</f>
        <v>#N/A</v>
      </c>
      <c r="AI2298" s="104" t="e">
        <f t="shared" si="1005"/>
        <v>#N/A</v>
      </c>
      <c r="AJ2298" s="104" t="e">
        <f t="shared" si="1006"/>
        <v>#VALUE!</v>
      </c>
      <c r="AK2298" s="104" t="e">
        <f t="shared" si="1007"/>
        <v>#N/A</v>
      </c>
      <c r="AL2298" s="104" t="e">
        <f t="shared" si="1008"/>
        <v>#N/A</v>
      </c>
      <c r="AM2298" s="104" t="e">
        <f t="shared" si="1009"/>
        <v>#N/A</v>
      </c>
      <c r="AN2298" s="104" t="e">
        <f t="shared" si="993"/>
        <v>#N/A</v>
      </c>
      <c r="AO2298" s="104" t="e">
        <f t="shared" si="994"/>
        <v>#N/A</v>
      </c>
      <c r="AP2298" s="104" t="e">
        <f t="shared" si="995"/>
        <v>#N/A</v>
      </c>
      <c r="AQ2298" s="104" t="e">
        <f t="shared" si="996"/>
        <v>#N/A</v>
      </c>
      <c r="AR2298" s="105" t="str">
        <f t="shared" si="988"/>
        <v/>
      </c>
      <c r="AS2298" s="105" t="str">
        <f t="shared" si="989"/>
        <v/>
      </c>
      <c r="AT2298" s="108" t="str">
        <f t="shared" si="990"/>
        <v/>
      </c>
      <c r="AU2298" s="108" t="str">
        <f t="shared" si="991"/>
        <v/>
      </c>
      <c r="AV2298" s="107" t="str">
        <f>IF(ISNUMBER(O2298),IF(VLOOKUP($A2298,Stand!C:J,8,FALSE)="Short",AT2298,AU2298),"")</f>
        <v/>
      </c>
      <c r="AW2298" s="109" t="str">
        <f t="shared" si="997"/>
        <v/>
      </c>
      <c r="AX2298" s="109" t="str">
        <f t="shared" si="998"/>
        <v/>
      </c>
      <c r="AY2298" s="112" t="str">
        <f>IF(ISNUMBER(O2298),IF(AND(VLOOKUP($D2298,Merchantability!$B:$C,2,0)="Yes",$E2298&gt;=VLOOKUP($D2298,Merchantability!$B:$D,3,0),$E2298&lt;=VLOOKUP($D2298,Merchantability!$B:$E,4,0)),(AV2298*O2298)*(1-$H2298/100),""),"")</f>
        <v/>
      </c>
      <c r="AZ2298" s="116"/>
      <c r="BA2298" s="116"/>
      <c r="BB2298" s="116"/>
      <c r="BE2298" s="62"/>
      <c r="BF2298" s="63"/>
    </row>
    <row r="2299" spans="1:58" ht="12.75" customHeight="1" x14ac:dyDescent="0.25">
      <c r="A2299" s="334"/>
      <c r="B2299" s="334"/>
      <c r="C2299" s="332"/>
      <c r="D2299" s="334"/>
      <c r="E2299" s="335"/>
      <c r="F2299" s="334"/>
      <c r="G2299" s="332"/>
      <c r="H2299" s="332"/>
      <c r="I2299" s="334"/>
      <c r="J2299" s="336"/>
      <c r="K2299" s="332"/>
      <c r="L2299" s="332"/>
      <c r="M2299" s="76"/>
      <c r="N2299" s="103" t="str">
        <f>IF(A2299="","",VLOOKUP(A2299,Stand!C:K,9,0))</f>
        <v/>
      </c>
      <c r="O2299" s="104" t="str">
        <f t="shared" si="983"/>
        <v/>
      </c>
      <c r="P2299" s="105" t="str">
        <f t="shared" si="984"/>
        <v/>
      </c>
      <c r="Q2299" s="105" t="str">
        <f t="shared" si="999"/>
        <v/>
      </c>
      <c r="R2299" s="103" t="str">
        <f t="shared" si="985"/>
        <v/>
      </c>
      <c r="S2299" s="103" t="str">
        <f t="shared" si="986"/>
        <v/>
      </c>
      <c r="T2299" s="106" t="str">
        <f t="shared" si="1000"/>
        <v/>
      </c>
      <c r="U2299" s="106" t="str">
        <f t="shared" si="1001"/>
        <v/>
      </c>
      <c r="V2299" s="106" t="str">
        <f t="shared" si="1002"/>
        <v/>
      </c>
      <c r="W2299" s="105" t="str">
        <f t="shared" si="987"/>
        <v/>
      </c>
      <c r="X2299" s="104" t="str">
        <f t="shared" si="992"/>
        <v/>
      </c>
      <c r="Y2299" s="104" t="str">
        <f t="array" ref="Y2299">IFERROR(IF(ISNUMBER(O2299),IF(COUNT(IF(A2299=$A$2:$A$2427,IF(D2299=$D$2:$D$2427,IF($X$2:$X$2427&gt;0,1))))&gt;0,SUM(IF(A2299=$A$2:$A$2427,IF(D2299=$D$2:$D$2427,$X$2:$X$2427)))/COUNT(IF(A2299=$A$2:$A$2427,IF(D2299=$D$2:$D$2427,IF(ISNUMBER($X$2:$X$2427),1)))),0),""),0)</f>
        <v/>
      </c>
      <c r="Z2299" s="104" t="str">
        <f>IF(ISNUMBER(O2299),IF(I2299&gt;0,(10^(VLOOKUP(D2299,'Species Codes'!B:C,2,0)+VLOOKUP(D2299,'Species Codes'!B:D,3,0)*LOG(E2299)+VLOOKUP(D2299,'Species Codes'!B:E,4,0)*LOG(I2299))),0),"")</f>
        <v/>
      </c>
      <c r="AA2299" s="104" t="str">
        <f>IFERROR((VLOOKUP(D2299,'Species Codes'!B:G,6,0)*Z2299)/2000,"")</f>
        <v/>
      </c>
      <c r="AB2299" s="104" t="e">
        <f>IF(Z2299&gt;0,((IF(OR(D2299="DF",D2299="RA")=TRUE,EXP(VLOOKUP(D2299,'Species Codes'!B:I,8,0)+VLOOKUP(D2299,'Species Codes'!B:J,9,0)*(LN((E2299*2.54)))),IF(OR(D2299="PY",D2299="RC",D2299="WH",D2299="NF")=TRUE,VLOOKUP(D2299,'Species Codes'!B:I,8,0)+VLOOKUP(D2299,'Species Codes'!B:J,9,0)*((E2299*2.54)^2)*(I2299*0.3048),IF(OR(D2299="MD",D2299="BM",D2299="GA")=TRUE,((VLOOKUP(D2299,'Species Codes'!B:I,8,0)*(((((E2299*2.54)+VLOOKUP(D2299,'Species Codes'!B:J,9,0))/VLOOKUP(D2299,'Species Codes'!B:K,10,0))^VLOOKUP(D2299,'Species Codes'!B:L,11,0))*((I2299*0.3048)^VLOOKUP(D2299,'Species Codes'!B:M,12,0))))-(VLOOKUP(D2299,'Species Codes'!B:I,8,0)*((((E2299*2.54)^VLOOKUP(D2299,'Species Codes'!B:L,11,0))*((I2299*0.3048)^VLOOKUP(D2299,'Species Codes'!B:M,12,0))))))*35.3*VLOOKUP(D2299,'Species Codes'!B:G,6,0)/2.2046,VLOOKUP(D2299,'Species Codes'!B:I,8,0)+VLOOKUP(D2299,'Species Codes'!B:J,9,0)*(((E2299*2.54)/100)^2)*(I2299*0.3048)))))*0.0011023),0)</f>
        <v>#N/A</v>
      </c>
      <c r="AC2299" s="104" t="e">
        <f>IF(Z2299&gt;0,((IF(OR(D2299="RA",D2299="OA",D2299="OT",D2299="UN",D2299="PC"),EXP(VLOOKUP(D2299,'Species Codes'!B:O,14,0)+VLOOKUP(D2299,'Species Codes'!B:P,15,0)*LN((E2299*2.54)))-EXP(VLOOKUP(D2299,'Species Codes'!B:O,14,0)+VLOOKUP(D2299,'Species Codes'!B:P,15,0)*LN((E2299*2.54)))*(1/(VLOOKUP(D2299,'Species Codes'!B:Q,16,0)+VLOOKUP(D2299,'Species Codes'!B:R,17,0)*((E2299*2.54)^VLOOKUP(D2299,'Species Codes'!B:S,18,0)))),IF(OR(D2299="BM",D2299="MD",D2299="OA"),EXP(VLOOKUP(D2299,'Species Codes'!B:O,14,0)+VLOOKUP(D2299,'Species Codes'!B:P,15,0)*LN((E2299*2.54)))*(1-(1/(VLOOKUP(D2299,'Species Codes'!B:Q,16,0)+VLOOKUP(D2299,'Species Codes'!B:R,17,0)*((E2299*2.54)^VLOOKUP(D2299,'Species Codes'!B:S,18,0)))))/1000,IF(D2299="DF",EXP(VLOOKUP(D2299,'Species Codes'!B:O,14,0)+VLOOKUP(D2299,'Species Codes'!B:P,15,0)*LN((E2299*2.54))),VLOOKUP(D2299,'Species Codes'!B:O,14,0)+VLOOKUP(D2299,'Species Codes'!B:P,15,0)*(((E2299*2.54)/100)^2)*(I2299*0.3048)))))*0.0011023),0)</f>
        <v>#N/A</v>
      </c>
      <c r="AD2299" s="104" t="e">
        <f t="shared" si="1003"/>
        <v>#N/A</v>
      </c>
      <c r="AE2299" s="104" t="e">
        <f t="shared" si="1004"/>
        <v>#N/A</v>
      </c>
      <c r="AF2299" s="104" t="e">
        <f>IF(AND(VLOOKUP($D2299,Merchantability!$B:$C,2,0)="Yes",$E2299&gt;=VLOOKUP($D2299,Merchantability!$B:$D,3,0),$E2299&lt;=VLOOKUP($D2299,Merchantability!$B:$E,4,0)),AA2299,0)</f>
        <v>#N/A</v>
      </c>
      <c r="AG2299" s="104" t="e">
        <f>IF(AND(VLOOKUP($D2299,Merchantability!$B:$C,2,0)="Yes",$E2299&gt;=VLOOKUP($D2299,Merchantability!$B:$D,3,0),$E2299&lt;=VLOOKUP($D2299,Merchantability!$B:$E,4,0)),AB2299,0)</f>
        <v>#N/A</v>
      </c>
      <c r="AH2299" s="104" t="e">
        <f>IF(AND(VLOOKUP($D2299,Merchantability!$B:$C,2,0)="Yes",$E2299&gt;=VLOOKUP($D2299,Merchantability!$B:$D,3,0),$E2299&lt;=VLOOKUP($D2299,Merchantability!$B:$E,4,0)),AC2299,0)</f>
        <v>#N/A</v>
      </c>
      <c r="AI2299" s="104" t="e">
        <f t="shared" si="1005"/>
        <v>#N/A</v>
      </c>
      <c r="AJ2299" s="104" t="e">
        <f t="shared" si="1006"/>
        <v>#VALUE!</v>
      </c>
      <c r="AK2299" s="104" t="e">
        <f t="shared" si="1007"/>
        <v>#N/A</v>
      </c>
      <c r="AL2299" s="104" t="e">
        <f t="shared" si="1008"/>
        <v>#N/A</v>
      </c>
      <c r="AM2299" s="104" t="e">
        <f t="shared" si="1009"/>
        <v>#N/A</v>
      </c>
      <c r="AN2299" s="104" t="e">
        <f t="shared" si="993"/>
        <v>#N/A</v>
      </c>
      <c r="AO2299" s="104" t="e">
        <f t="shared" si="994"/>
        <v>#N/A</v>
      </c>
      <c r="AP2299" s="104" t="e">
        <f t="shared" si="995"/>
        <v>#N/A</v>
      </c>
      <c r="AQ2299" s="104" t="e">
        <f t="shared" si="996"/>
        <v>#N/A</v>
      </c>
      <c r="AR2299" s="105" t="str">
        <f t="shared" si="988"/>
        <v/>
      </c>
      <c r="AS2299" s="105" t="str">
        <f t="shared" si="989"/>
        <v/>
      </c>
      <c r="AT2299" s="108" t="str">
        <f t="shared" si="990"/>
        <v/>
      </c>
      <c r="AU2299" s="108" t="str">
        <f t="shared" si="991"/>
        <v/>
      </c>
      <c r="AV2299" s="107" t="str">
        <f>IF(ISNUMBER(O2299),IF(VLOOKUP($A2299,Stand!C:J,8,FALSE)="Short",AT2299,AU2299),"")</f>
        <v/>
      </c>
      <c r="AW2299" s="109" t="str">
        <f t="shared" si="997"/>
        <v/>
      </c>
      <c r="AX2299" s="109" t="str">
        <f t="shared" si="998"/>
        <v/>
      </c>
      <c r="AY2299" s="112" t="str">
        <f>IF(ISNUMBER(O2299),IF(AND(VLOOKUP($D2299,Merchantability!$B:$C,2,0)="Yes",$E2299&gt;=VLOOKUP($D2299,Merchantability!$B:$D,3,0),$E2299&lt;=VLOOKUP($D2299,Merchantability!$B:$E,4,0)),(AV2299*O2299)*(1-$H2299/100),""),"")</f>
        <v/>
      </c>
      <c r="AZ2299" s="116"/>
      <c r="BA2299" s="116"/>
      <c r="BB2299" s="116"/>
      <c r="BE2299" s="62"/>
      <c r="BF2299" s="63"/>
    </row>
    <row r="2300" spans="1:58" ht="12.75" customHeight="1" x14ac:dyDescent="0.25">
      <c r="A2300" s="334"/>
      <c r="B2300" s="334"/>
      <c r="C2300" s="332"/>
      <c r="D2300" s="334"/>
      <c r="E2300" s="335"/>
      <c r="F2300" s="334"/>
      <c r="G2300" s="332"/>
      <c r="H2300" s="332"/>
      <c r="I2300" s="334"/>
      <c r="J2300" s="336"/>
      <c r="K2300" s="332"/>
      <c r="L2300" s="332"/>
      <c r="M2300" s="76"/>
      <c r="N2300" s="103" t="str">
        <f>IF(A2300="","",VLOOKUP(A2300,Stand!C:K,9,0))</f>
        <v/>
      </c>
      <c r="O2300" s="104" t="str">
        <f t="shared" si="983"/>
        <v/>
      </c>
      <c r="P2300" s="105" t="str">
        <f t="shared" si="984"/>
        <v/>
      </c>
      <c r="Q2300" s="105" t="str">
        <f t="shared" si="999"/>
        <v/>
      </c>
      <c r="R2300" s="103" t="str">
        <f t="shared" si="985"/>
        <v/>
      </c>
      <c r="S2300" s="103" t="str">
        <f t="shared" si="986"/>
        <v/>
      </c>
      <c r="T2300" s="106" t="str">
        <f t="shared" si="1000"/>
        <v/>
      </c>
      <c r="U2300" s="106" t="str">
        <f t="shared" si="1001"/>
        <v/>
      </c>
      <c r="V2300" s="106" t="str">
        <f t="shared" si="1002"/>
        <v/>
      </c>
      <c r="W2300" s="105" t="str">
        <f t="shared" si="987"/>
        <v/>
      </c>
      <c r="X2300" s="104" t="str">
        <f t="shared" si="992"/>
        <v/>
      </c>
      <c r="Y2300" s="104" t="str">
        <f t="array" ref="Y2300">IFERROR(IF(ISNUMBER(O2300),IF(COUNT(IF(A2300=$A$2:$A$2427,IF(D2300=$D$2:$D$2427,IF($X$2:$X$2427&gt;0,1))))&gt;0,SUM(IF(A2300=$A$2:$A$2427,IF(D2300=$D$2:$D$2427,$X$2:$X$2427)))/COUNT(IF(A2300=$A$2:$A$2427,IF(D2300=$D$2:$D$2427,IF(ISNUMBER($X$2:$X$2427),1)))),0),""),0)</f>
        <v/>
      </c>
      <c r="Z2300" s="104" t="str">
        <f>IF(ISNUMBER(O2300),IF(I2300&gt;0,(10^(VLOOKUP(D2300,'Species Codes'!B:C,2,0)+VLOOKUP(D2300,'Species Codes'!B:D,3,0)*LOG(E2300)+VLOOKUP(D2300,'Species Codes'!B:E,4,0)*LOG(I2300))),0),"")</f>
        <v/>
      </c>
      <c r="AA2300" s="104" t="str">
        <f>IFERROR((VLOOKUP(D2300,'Species Codes'!B:G,6,0)*Z2300)/2000,"")</f>
        <v/>
      </c>
      <c r="AB2300" s="104" t="e">
        <f>IF(Z2300&gt;0,((IF(OR(D2300="DF",D2300="RA")=TRUE,EXP(VLOOKUP(D2300,'Species Codes'!B:I,8,0)+VLOOKUP(D2300,'Species Codes'!B:J,9,0)*(LN((E2300*2.54)))),IF(OR(D2300="PY",D2300="RC",D2300="WH",D2300="NF")=TRUE,VLOOKUP(D2300,'Species Codes'!B:I,8,0)+VLOOKUP(D2300,'Species Codes'!B:J,9,0)*((E2300*2.54)^2)*(I2300*0.3048),IF(OR(D2300="MD",D2300="BM",D2300="GA")=TRUE,((VLOOKUP(D2300,'Species Codes'!B:I,8,0)*(((((E2300*2.54)+VLOOKUP(D2300,'Species Codes'!B:J,9,0))/VLOOKUP(D2300,'Species Codes'!B:K,10,0))^VLOOKUP(D2300,'Species Codes'!B:L,11,0))*((I2300*0.3048)^VLOOKUP(D2300,'Species Codes'!B:M,12,0))))-(VLOOKUP(D2300,'Species Codes'!B:I,8,0)*((((E2300*2.54)^VLOOKUP(D2300,'Species Codes'!B:L,11,0))*((I2300*0.3048)^VLOOKUP(D2300,'Species Codes'!B:M,12,0))))))*35.3*VLOOKUP(D2300,'Species Codes'!B:G,6,0)/2.2046,VLOOKUP(D2300,'Species Codes'!B:I,8,0)+VLOOKUP(D2300,'Species Codes'!B:J,9,0)*(((E2300*2.54)/100)^2)*(I2300*0.3048)))))*0.0011023),0)</f>
        <v>#N/A</v>
      </c>
      <c r="AC2300" s="104" t="e">
        <f>IF(Z2300&gt;0,((IF(OR(D2300="RA",D2300="OA",D2300="OT",D2300="UN",D2300="PC"),EXP(VLOOKUP(D2300,'Species Codes'!B:O,14,0)+VLOOKUP(D2300,'Species Codes'!B:P,15,0)*LN((E2300*2.54)))-EXP(VLOOKUP(D2300,'Species Codes'!B:O,14,0)+VLOOKUP(D2300,'Species Codes'!B:P,15,0)*LN((E2300*2.54)))*(1/(VLOOKUP(D2300,'Species Codes'!B:Q,16,0)+VLOOKUP(D2300,'Species Codes'!B:R,17,0)*((E2300*2.54)^VLOOKUP(D2300,'Species Codes'!B:S,18,0)))),IF(OR(D2300="BM",D2300="MD",D2300="OA"),EXP(VLOOKUP(D2300,'Species Codes'!B:O,14,0)+VLOOKUP(D2300,'Species Codes'!B:P,15,0)*LN((E2300*2.54)))*(1-(1/(VLOOKUP(D2300,'Species Codes'!B:Q,16,0)+VLOOKUP(D2300,'Species Codes'!B:R,17,0)*((E2300*2.54)^VLOOKUP(D2300,'Species Codes'!B:S,18,0)))))/1000,IF(D2300="DF",EXP(VLOOKUP(D2300,'Species Codes'!B:O,14,0)+VLOOKUP(D2300,'Species Codes'!B:P,15,0)*LN((E2300*2.54))),VLOOKUP(D2300,'Species Codes'!B:O,14,0)+VLOOKUP(D2300,'Species Codes'!B:P,15,0)*(((E2300*2.54)/100)^2)*(I2300*0.3048)))))*0.0011023),0)</f>
        <v>#N/A</v>
      </c>
      <c r="AD2300" s="104" t="e">
        <f t="shared" si="1003"/>
        <v>#N/A</v>
      </c>
      <c r="AE2300" s="104" t="e">
        <f t="shared" si="1004"/>
        <v>#N/A</v>
      </c>
      <c r="AF2300" s="104" t="e">
        <f>IF(AND(VLOOKUP($D2300,Merchantability!$B:$C,2,0)="Yes",$E2300&gt;=VLOOKUP($D2300,Merchantability!$B:$D,3,0),$E2300&lt;=VLOOKUP($D2300,Merchantability!$B:$E,4,0)),AA2300,0)</f>
        <v>#N/A</v>
      </c>
      <c r="AG2300" s="104" t="e">
        <f>IF(AND(VLOOKUP($D2300,Merchantability!$B:$C,2,0)="Yes",$E2300&gt;=VLOOKUP($D2300,Merchantability!$B:$D,3,0),$E2300&lt;=VLOOKUP($D2300,Merchantability!$B:$E,4,0)),AB2300,0)</f>
        <v>#N/A</v>
      </c>
      <c r="AH2300" s="104" t="e">
        <f>IF(AND(VLOOKUP($D2300,Merchantability!$B:$C,2,0)="Yes",$E2300&gt;=VLOOKUP($D2300,Merchantability!$B:$D,3,0),$E2300&lt;=VLOOKUP($D2300,Merchantability!$B:$E,4,0)),AC2300,0)</f>
        <v>#N/A</v>
      </c>
      <c r="AI2300" s="104" t="e">
        <f t="shared" si="1005"/>
        <v>#N/A</v>
      </c>
      <c r="AJ2300" s="104" t="e">
        <f t="shared" si="1006"/>
        <v>#VALUE!</v>
      </c>
      <c r="AK2300" s="104" t="e">
        <f t="shared" si="1007"/>
        <v>#N/A</v>
      </c>
      <c r="AL2300" s="104" t="e">
        <f t="shared" si="1008"/>
        <v>#N/A</v>
      </c>
      <c r="AM2300" s="104" t="e">
        <f t="shared" si="1009"/>
        <v>#N/A</v>
      </c>
      <c r="AN2300" s="104" t="e">
        <f t="shared" si="993"/>
        <v>#N/A</v>
      </c>
      <c r="AO2300" s="104" t="e">
        <f t="shared" si="994"/>
        <v>#N/A</v>
      </c>
      <c r="AP2300" s="104" t="e">
        <f t="shared" si="995"/>
        <v>#N/A</v>
      </c>
      <c r="AQ2300" s="104" t="e">
        <f t="shared" si="996"/>
        <v>#N/A</v>
      </c>
      <c r="AR2300" s="105" t="str">
        <f t="shared" si="988"/>
        <v/>
      </c>
      <c r="AS2300" s="105" t="str">
        <f t="shared" si="989"/>
        <v/>
      </c>
      <c r="AT2300" s="108" t="str">
        <f t="shared" si="990"/>
        <v/>
      </c>
      <c r="AU2300" s="108" t="str">
        <f t="shared" si="991"/>
        <v/>
      </c>
      <c r="AV2300" s="107" t="str">
        <f>IF(ISNUMBER(O2300),IF(VLOOKUP($A2300,Stand!C:J,8,FALSE)="Short",AT2300,AU2300),"")</f>
        <v/>
      </c>
      <c r="AW2300" s="109" t="str">
        <f t="shared" si="997"/>
        <v/>
      </c>
      <c r="AX2300" s="109" t="str">
        <f t="shared" si="998"/>
        <v/>
      </c>
      <c r="AY2300" s="112" t="str">
        <f>IF(ISNUMBER(O2300),IF(AND(VLOOKUP($D2300,Merchantability!$B:$C,2,0)="Yes",$E2300&gt;=VLOOKUP($D2300,Merchantability!$B:$D,3,0),$E2300&lt;=VLOOKUP($D2300,Merchantability!$B:$E,4,0)),(AV2300*O2300)*(1-$H2300/100),""),"")</f>
        <v/>
      </c>
      <c r="AZ2300" s="116"/>
      <c r="BA2300" s="116"/>
      <c r="BB2300" s="116"/>
      <c r="BE2300" s="62"/>
      <c r="BF2300" s="63"/>
    </row>
    <row r="2301" spans="1:58" ht="12.75" customHeight="1" x14ac:dyDescent="0.25">
      <c r="A2301" s="334"/>
      <c r="B2301" s="334"/>
      <c r="C2301" s="332"/>
      <c r="D2301" s="334"/>
      <c r="E2301" s="335"/>
      <c r="F2301" s="334"/>
      <c r="G2301" s="332"/>
      <c r="H2301" s="332"/>
      <c r="I2301" s="334"/>
      <c r="J2301" s="336"/>
      <c r="K2301" s="332"/>
      <c r="L2301" s="332"/>
      <c r="M2301" s="76"/>
      <c r="N2301" s="103" t="str">
        <f>IF(A2301="","",VLOOKUP(A2301,Stand!C:K,9,0))</f>
        <v/>
      </c>
      <c r="O2301" s="104" t="str">
        <f t="shared" si="983"/>
        <v/>
      </c>
      <c r="P2301" s="105" t="str">
        <f t="shared" si="984"/>
        <v/>
      </c>
      <c r="Q2301" s="105" t="str">
        <f t="shared" si="999"/>
        <v/>
      </c>
      <c r="R2301" s="103" t="str">
        <f t="shared" si="985"/>
        <v/>
      </c>
      <c r="S2301" s="103" t="str">
        <f t="shared" si="986"/>
        <v/>
      </c>
      <c r="T2301" s="106" t="str">
        <f t="shared" si="1000"/>
        <v/>
      </c>
      <c r="U2301" s="106" t="str">
        <f t="shared" si="1001"/>
        <v/>
      </c>
      <c r="V2301" s="106" t="str">
        <f t="shared" si="1002"/>
        <v/>
      </c>
      <c r="W2301" s="105" t="str">
        <f t="shared" si="987"/>
        <v/>
      </c>
      <c r="X2301" s="104" t="str">
        <f t="shared" si="992"/>
        <v/>
      </c>
      <c r="Y2301" s="104" t="str">
        <f t="array" ref="Y2301">IFERROR(IF(ISNUMBER(O2301),IF(COUNT(IF(A2301=$A$2:$A$2427,IF(D2301=$D$2:$D$2427,IF($X$2:$X$2427&gt;0,1))))&gt;0,SUM(IF(A2301=$A$2:$A$2427,IF(D2301=$D$2:$D$2427,$X$2:$X$2427)))/COUNT(IF(A2301=$A$2:$A$2427,IF(D2301=$D$2:$D$2427,IF(ISNUMBER($X$2:$X$2427),1)))),0),""),0)</f>
        <v/>
      </c>
      <c r="Z2301" s="104" t="str">
        <f>IF(ISNUMBER(O2301),IF(I2301&gt;0,(10^(VLOOKUP(D2301,'Species Codes'!B:C,2,0)+VLOOKUP(D2301,'Species Codes'!B:D,3,0)*LOG(E2301)+VLOOKUP(D2301,'Species Codes'!B:E,4,0)*LOG(I2301))),0),"")</f>
        <v/>
      </c>
      <c r="AA2301" s="104" t="str">
        <f>IFERROR((VLOOKUP(D2301,'Species Codes'!B:G,6,0)*Z2301)/2000,"")</f>
        <v/>
      </c>
      <c r="AB2301" s="104" t="e">
        <f>IF(Z2301&gt;0,((IF(OR(D2301="DF",D2301="RA")=TRUE,EXP(VLOOKUP(D2301,'Species Codes'!B:I,8,0)+VLOOKUP(D2301,'Species Codes'!B:J,9,0)*(LN((E2301*2.54)))),IF(OR(D2301="PY",D2301="RC",D2301="WH",D2301="NF")=TRUE,VLOOKUP(D2301,'Species Codes'!B:I,8,0)+VLOOKUP(D2301,'Species Codes'!B:J,9,0)*((E2301*2.54)^2)*(I2301*0.3048),IF(OR(D2301="MD",D2301="BM",D2301="GA")=TRUE,((VLOOKUP(D2301,'Species Codes'!B:I,8,0)*(((((E2301*2.54)+VLOOKUP(D2301,'Species Codes'!B:J,9,0))/VLOOKUP(D2301,'Species Codes'!B:K,10,0))^VLOOKUP(D2301,'Species Codes'!B:L,11,0))*((I2301*0.3048)^VLOOKUP(D2301,'Species Codes'!B:M,12,0))))-(VLOOKUP(D2301,'Species Codes'!B:I,8,0)*((((E2301*2.54)^VLOOKUP(D2301,'Species Codes'!B:L,11,0))*((I2301*0.3048)^VLOOKUP(D2301,'Species Codes'!B:M,12,0))))))*35.3*VLOOKUP(D2301,'Species Codes'!B:G,6,0)/2.2046,VLOOKUP(D2301,'Species Codes'!B:I,8,0)+VLOOKUP(D2301,'Species Codes'!B:J,9,0)*(((E2301*2.54)/100)^2)*(I2301*0.3048)))))*0.0011023),0)</f>
        <v>#N/A</v>
      </c>
      <c r="AC2301" s="104" t="e">
        <f>IF(Z2301&gt;0,((IF(OR(D2301="RA",D2301="OA",D2301="OT",D2301="UN",D2301="PC"),EXP(VLOOKUP(D2301,'Species Codes'!B:O,14,0)+VLOOKUP(D2301,'Species Codes'!B:P,15,0)*LN((E2301*2.54)))-EXP(VLOOKUP(D2301,'Species Codes'!B:O,14,0)+VLOOKUP(D2301,'Species Codes'!B:P,15,0)*LN((E2301*2.54)))*(1/(VLOOKUP(D2301,'Species Codes'!B:Q,16,0)+VLOOKUP(D2301,'Species Codes'!B:R,17,0)*((E2301*2.54)^VLOOKUP(D2301,'Species Codes'!B:S,18,0)))),IF(OR(D2301="BM",D2301="MD",D2301="OA"),EXP(VLOOKUP(D2301,'Species Codes'!B:O,14,0)+VLOOKUP(D2301,'Species Codes'!B:P,15,0)*LN((E2301*2.54)))*(1-(1/(VLOOKUP(D2301,'Species Codes'!B:Q,16,0)+VLOOKUP(D2301,'Species Codes'!B:R,17,0)*((E2301*2.54)^VLOOKUP(D2301,'Species Codes'!B:S,18,0)))))/1000,IF(D2301="DF",EXP(VLOOKUP(D2301,'Species Codes'!B:O,14,0)+VLOOKUP(D2301,'Species Codes'!B:P,15,0)*LN((E2301*2.54))),VLOOKUP(D2301,'Species Codes'!B:O,14,0)+VLOOKUP(D2301,'Species Codes'!B:P,15,0)*(((E2301*2.54)/100)^2)*(I2301*0.3048)))))*0.0011023),0)</f>
        <v>#N/A</v>
      </c>
      <c r="AD2301" s="104" t="e">
        <f t="shared" si="1003"/>
        <v>#N/A</v>
      </c>
      <c r="AE2301" s="104" t="e">
        <f t="shared" si="1004"/>
        <v>#N/A</v>
      </c>
      <c r="AF2301" s="104" t="e">
        <f>IF(AND(VLOOKUP($D2301,Merchantability!$B:$C,2,0)="Yes",$E2301&gt;=VLOOKUP($D2301,Merchantability!$B:$D,3,0),$E2301&lt;=VLOOKUP($D2301,Merchantability!$B:$E,4,0)),AA2301,0)</f>
        <v>#N/A</v>
      </c>
      <c r="AG2301" s="104" t="e">
        <f>IF(AND(VLOOKUP($D2301,Merchantability!$B:$C,2,0)="Yes",$E2301&gt;=VLOOKUP($D2301,Merchantability!$B:$D,3,0),$E2301&lt;=VLOOKUP($D2301,Merchantability!$B:$E,4,0)),AB2301,0)</f>
        <v>#N/A</v>
      </c>
      <c r="AH2301" s="104" t="e">
        <f>IF(AND(VLOOKUP($D2301,Merchantability!$B:$C,2,0)="Yes",$E2301&gt;=VLOOKUP($D2301,Merchantability!$B:$D,3,0),$E2301&lt;=VLOOKUP($D2301,Merchantability!$B:$E,4,0)),AC2301,0)</f>
        <v>#N/A</v>
      </c>
      <c r="AI2301" s="104" t="e">
        <f t="shared" si="1005"/>
        <v>#N/A</v>
      </c>
      <c r="AJ2301" s="104" t="e">
        <f t="shared" si="1006"/>
        <v>#VALUE!</v>
      </c>
      <c r="AK2301" s="104" t="e">
        <f t="shared" si="1007"/>
        <v>#N/A</v>
      </c>
      <c r="AL2301" s="104" t="e">
        <f t="shared" si="1008"/>
        <v>#N/A</v>
      </c>
      <c r="AM2301" s="104" t="e">
        <f t="shared" si="1009"/>
        <v>#N/A</v>
      </c>
      <c r="AN2301" s="104" t="e">
        <f t="shared" si="993"/>
        <v>#N/A</v>
      </c>
      <c r="AO2301" s="104" t="e">
        <f t="shared" si="994"/>
        <v>#N/A</v>
      </c>
      <c r="AP2301" s="104" t="e">
        <f t="shared" si="995"/>
        <v>#N/A</v>
      </c>
      <c r="AQ2301" s="104" t="e">
        <f t="shared" si="996"/>
        <v>#N/A</v>
      </c>
      <c r="AR2301" s="105" t="str">
        <f t="shared" si="988"/>
        <v/>
      </c>
      <c r="AS2301" s="105" t="str">
        <f t="shared" si="989"/>
        <v/>
      </c>
      <c r="AT2301" s="108" t="str">
        <f t="shared" si="990"/>
        <v/>
      </c>
      <c r="AU2301" s="108" t="str">
        <f t="shared" si="991"/>
        <v/>
      </c>
      <c r="AV2301" s="107" t="str">
        <f>IF(ISNUMBER(O2301),IF(VLOOKUP($A2301,Stand!C:J,8,FALSE)="Short",AT2301,AU2301),"")</f>
        <v/>
      </c>
      <c r="AW2301" s="109" t="str">
        <f t="shared" si="997"/>
        <v/>
      </c>
      <c r="AX2301" s="109" t="str">
        <f t="shared" si="998"/>
        <v/>
      </c>
      <c r="AY2301" s="112" t="str">
        <f>IF(ISNUMBER(O2301),IF(AND(VLOOKUP($D2301,Merchantability!$B:$C,2,0)="Yes",$E2301&gt;=VLOOKUP($D2301,Merchantability!$B:$D,3,0),$E2301&lt;=VLOOKUP($D2301,Merchantability!$B:$E,4,0)),(AV2301*O2301)*(1-$H2301/100),""),"")</f>
        <v/>
      </c>
      <c r="AZ2301" s="116"/>
      <c r="BA2301" s="116"/>
      <c r="BB2301" s="116"/>
      <c r="BE2301" s="62"/>
      <c r="BF2301" s="63"/>
    </row>
    <row r="2302" spans="1:58" ht="12.75" customHeight="1" x14ac:dyDescent="0.25">
      <c r="A2302" s="334"/>
      <c r="B2302" s="334"/>
      <c r="C2302" s="332"/>
      <c r="D2302" s="334"/>
      <c r="E2302" s="335"/>
      <c r="F2302" s="334"/>
      <c r="G2302" s="332"/>
      <c r="H2302" s="332"/>
      <c r="I2302" s="334"/>
      <c r="J2302" s="336"/>
      <c r="K2302" s="332"/>
      <c r="L2302" s="332"/>
      <c r="M2302" s="76"/>
      <c r="N2302" s="103" t="str">
        <f>IF(A2302="","",VLOOKUP(A2302,Stand!C:K,9,0))</f>
        <v/>
      </c>
      <c r="O2302" s="104" t="str">
        <f t="shared" si="983"/>
        <v/>
      </c>
      <c r="P2302" s="105" t="str">
        <f t="shared" si="984"/>
        <v/>
      </c>
      <c r="Q2302" s="105" t="str">
        <f t="shared" si="999"/>
        <v/>
      </c>
      <c r="R2302" s="103" t="str">
        <f t="shared" si="985"/>
        <v/>
      </c>
      <c r="S2302" s="103" t="str">
        <f t="shared" si="986"/>
        <v/>
      </c>
      <c r="T2302" s="106" t="str">
        <f t="shared" si="1000"/>
        <v/>
      </c>
      <c r="U2302" s="106" t="str">
        <f t="shared" si="1001"/>
        <v/>
      </c>
      <c r="V2302" s="106" t="str">
        <f t="shared" si="1002"/>
        <v/>
      </c>
      <c r="W2302" s="105" t="str">
        <f t="shared" si="987"/>
        <v/>
      </c>
      <c r="X2302" s="104" t="str">
        <f t="shared" si="992"/>
        <v/>
      </c>
      <c r="Y2302" s="104" t="str">
        <f t="array" ref="Y2302">IFERROR(IF(ISNUMBER(O2302),IF(COUNT(IF(A2302=$A$2:$A$2427,IF(D2302=$D$2:$D$2427,IF($X$2:$X$2427&gt;0,1))))&gt;0,SUM(IF(A2302=$A$2:$A$2427,IF(D2302=$D$2:$D$2427,$X$2:$X$2427)))/COUNT(IF(A2302=$A$2:$A$2427,IF(D2302=$D$2:$D$2427,IF(ISNUMBER($X$2:$X$2427),1)))),0),""),0)</f>
        <v/>
      </c>
      <c r="Z2302" s="104" t="str">
        <f>IF(ISNUMBER(O2302),IF(I2302&gt;0,(10^(VLOOKUP(D2302,'Species Codes'!B:C,2,0)+VLOOKUP(D2302,'Species Codes'!B:D,3,0)*LOG(E2302)+VLOOKUP(D2302,'Species Codes'!B:E,4,0)*LOG(I2302))),0),"")</f>
        <v/>
      </c>
      <c r="AA2302" s="104" t="str">
        <f>IFERROR((VLOOKUP(D2302,'Species Codes'!B:G,6,0)*Z2302)/2000,"")</f>
        <v/>
      </c>
      <c r="AB2302" s="104" t="e">
        <f>IF(Z2302&gt;0,((IF(OR(D2302="DF",D2302="RA")=TRUE,EXP(VLOOKUP(D2302,'Species Codes'!B:I,8,0)+VLOOKUP(D2302,'Species Codes'!B:J,9,0)*(LN((E2302*2.54)))),IF(OR(D2302="PY",D2302="RC",D2302="WH",D2302="NF")=TRUE,VLOOKUP(D2302,'Species Codes'!B:I,8,0)+VLOOKUP(D2302,'Species Codes'!B:J,9,0)*((E2302*2.54)^2)*(I2302*0.3048),IF(OR(D2302="MD",D2302="BM",D2302="GA")=TRUE,((VLOOKUP(D2302,'Species Codes'!B:I,8,0)*(((((E2302*2.54)+VLOOKUP(D2302,'Species Codes'!B:J,9,0))/VLOOKUP(D2302,'Species Codes'!B:K,10,0))^VLOOKUP(D2302,'Species Codes'!B:L,11,0))*((I2302*0.3048)^VLOOKUP(D2302,'Species Codes'!B:M,12,0))))-(VLOOKUP(D2302,'Species Codes'!B:I,8,0)*((((E2302*2.54)^VLOOKUP(D2302,'Species Codes'!B:L,11,0))*((I2302*0.3048)^VLOOKUP(D2302,'Species Codes'!B:M,12,0))))))*35.3*VLOOKUP(D2302,'Species Codes'!B:G,6,0)/2.2046,VLOOKUP(D2302,'Species Codes'!B:I,8,0)+VLOOKUP(D2302,'Species Codes'!B:J,9,0)*(((E2302*2.54)/100)^2)*(I2302*0.3048)))))*0.0011023),0)</f>
        <v>#N/A</v>
      </c>
      <c r="AC2302" s="104" t="e">
        <f>IF(Z2302&gt;0,((IF(OR(D2302="RA",D2302="OA",D2302="OT",D2302="UN",D2302="PC"),EXP(VLOOKUP(D2302,'Species Codes'!B:O,14,0)+VLOOKUP(D2302,'Species Codes'!B:P,15,0)*LN((E2302*2.54)))-EXP(VLOOKUP(D2302,'Species Codes'!B:O,14,0)+VLOOKUP(D2302,'Species Codes'!B:P,15,0)*LN((E2302*2.54)))*(1/(VLOOKUP(D2302,'Species Codes'!B:Q,16,0)+VLOOKUP(D2302,'Species Codes'!B:R,17,0)*((E2302*2.54)^VLOOKUP(D2302,'Species Codes'!B:S,18,0)))),IF(OR(D2302="BM",D2302="MD",D2302="OA"),EXP(VLOOKUP(D2302,'Species Codes'!B:O,14,0)+VLOOKUP(D2302,'Species Codes'!B:P,15,0)*LN((E2302*2.54)))*(1-(1/(VLOOKUP(D2302,'Species Codes'!B:Q,16,0)+VLOOKUP(D2302,'Species Codes'!B:R,17,0)*((E2302*2.54)^VLOOKUP(D2302,'Species Codes'!B:S,18,0)))))/1000,IF(D2302="DF",EXP(VLOOKUP(D2302,'Species Codes'!B:O,14,0)+VLOOKUP(D2302,'Species Codes'!B:P,15,0)*LN((E2302*2.54))),VLOOKUP(D2302,'Species Codes'!B:O,14,0)+VLOOKUP(D2302,'Species Codes'!B:P,15,0)*(((E2302*2.54)/100)^2)*(I2302*0.3048)))))*0.0011023),0)</f>
        <v>#N/A</v>
      </c>
      <c r="AD2302" s="104" t="e">
        <f t="shared" si="1003"/>
        <v>#N/A</v>
      </c>
      <c r="AE2302" s="104" t="e">
        <f t="shared" si="1004"/>
        <v>#N/A</v>
      </c>
      <c r="AF2302" s="104" t="e">
        <f>IF(AND(VLOOKUP($D2302,Merchantability!$B:$C,2,0)="Yes",$E2302&gt;=VLOOKUP($D2302,Merchantability!$B:$D,3,0),$E2302&lt;=VLOOKUP($D2302,Merchantability!$B:$E,4,0)),AA2302,0)</f>
        <v>#N/A</v>
      </c>
      <c r="AG2302" s="104" t="e">
        <f>IF(AND(VLOOKUP($D2302,Merchantability!$B:$C,2,0)="Yes",$E2302&gt;=VLOOKUP($D2302,Merchantability!$B:$D,3,0),$E2302&lt;=VLOOKUP($D2302,Merchantability!$B:$E,4,0)),AB2302,0)</f>
        <v>#N/A</v>
      </c>
      <c r="AH2302" s="104" t="e">
        <f>IF(AND(VLOOKUP($D2302,Merchantability!$B:$C,2,0)="Yes",$E2302&gt;=VLOOKUP($D2302,Merchantability!$B:$D,3,0),$E2302&lt;=VLOOKUP($D2302,Merchantability!$B:$E,4,0)),AC2302,0)</f>
        <v>#N/A</v>
      </c>
      <c r="AI2302" s="104" t="e">
        <f t="shared" si="1005"/>
        <v>#N/A</v>
      </c>
      <c r="AJ2302" s="104" t="e">
        <f t="shared" si="1006"/>
        <v>#VALUE!</v>
      </c>
      <c r="AK2302" s="104" t="e">
        <f t="shared" si="1007"/>
        <v>#N/A</v>
      </c>
      <c r="AL2302" s="104" t="e">
        <f t="shared" si="1008"/>
        <v>#N/A</v>
      </c>
      <c r="AM2302" s="104" t="e">
        <f t="shared" si="1009"/>
        <v>#N/A</v>
      </c>
      <c r="AN2302" s="104" t="e">
        <f t="shared" si="993"/>
        <v>#N/A</v>
      </c>
      <c r="AO2302" s="104" t="e">
        <f t="shared" si="994"/>
        <v>#N/A</v>
      </c>
      <c r="AP2302" s="104" t="e">
        <f t="shared" si="995"/>
        <v>#N/A</v>
      </c>
      <c r="AQ2302" s="104" t="e">
        <f t="shared" si="996"/>
        <v>#N/A</v>
      </c>
      <c r="AR2302" s="105" t="str">
        <f t="shared" si="988"/>
        <v/>
      </c>
      <c r="AS2302" s="105" t="str">
        <f t="shared" si="989"/>
        <v/>
      </c>
      <c r="AT2302" s="108" t="str">
        <f t="shared" si="990"/>
        <v/>
      </c>
      <c r="AU2302" s="108" t="str">
        <f t="shared" si="991"/>
        <v/>
      </c>
      <c r="AV2302" s="107" t="str">
        <f>IF(ISNUMBER(O2302),IF(VLOOKUP($A2302,Stand!C:J,8,FALSE)="Short",AT2302,AU2302),"")</f>
        <v/>
      </c>
      <c r="AW2302" s="109" t="str">
        <f t="shared" si="997"/>
        <v/>
      </c>
      <c r="AX2302" s="109" t="str">
        <f t="shared" si="998"/>
        <v/>
      </c>
      <c r="AY2302" s="112" t="str">
        <f>IF(ISNUMBER(O2302),IF(AND(VLOOKUP($D2302,Merchantability!$B:$C,2,0)="Yes",$E2302&gt;=VLOOKUP($D2302,Merchantability!$B:$D,3,0),$E2302&lt;=VLOOKUP($D2302,Merchantability!$B:$E,4,0)),(AV2302*O2302)*(1-$H2302/100),""),"")</f>
        <v/>
      </c>
      <c r="AZ2302" s="116"/>
      <c r="BA2302" s="116"/>
      <c r="BB2302" s="116"/>
      <c r="BE2302" s="62"/>
      <c r="BF2302" s="63"/>
    </row>
    <row r="2303" spans="1:58" ht="12.75" customHeight="1" x14ac:dyDescent="0.25">
      <c r="A2303" s="334"/>
      <c r="B2303" s="334"/>
      <c r="C2303" s="332"/>
      <c r="D2303" s="334"/>
      <c r="E2303" s="335"/>
      <c r="F2303" s="334"/>
      <c r="G2303" s="332"/>
      <c r="H2303" s="332"/>
      <c r="I2303" s="334"/>
      <c r="J2303" s="336"/>
      <c r="K2303" s="332"/>
      <c r="L2303" s="332"/>
      <c r="M2303" s="76"/>
      <c r="N2303" s="103" t="str">
        <f>IF(A2303="","",VLOOKUP(A2303,Stand!C:K,9,0))</f>
        <v/>
      </c>
      <c r="O2303" s="104" t="str">
        <f t="shared" si="983"/>
        <v/>
      </c>
      <c r="P2303" s="105" t="str">
        <f t="shared" si="984"/>
        <v/>
      </c>
      <c r="Q2303" s="105" t="str">
        <f t="shared" si="999"/>
        <v/>
      </c>
      <c r="R2303" s="103" t="str">
        <f t="shared" si="985"/>
        <v/>
      </c>
      <c r="S2303" s="103" t="str">
        <f t="shared" si="986"/>
        <v/>
      </c>
      <c r="T2303" s="106" t="str">
        <f t="shared" si="1000"/>
        <v/>
      </c>
      <c r="U2303" s="106" t="str">
        <f t="shared" si="1001"/>
        <v/>
      </c>
      <c r="V2303" s="106" t="str">
        <f t="shared" si="1002"/>
        <v/>
      </c>
      <c r="W2303" s="105" t="str">
        <f t="shared" si="987"/>
        <v/>
      </c>
      <c r="X2303" s="104" t="str">
        <f t="shared" si="992"/>
        <v/>
      </c>
      <c r="Y2303" s="104" t="str">
        <f t="array" ref="Y2303">IFERROR(IF(ISNUMBER(O2303),IF(COUNT(IF(A2303=$A$2:$A$2427,IF(D2303=$D$2:$D$2427,IF($X$2:$X$2427&gt;0,1))))&gt;0,SUM(IF(A2303=$A$2:$A$2427,IF(D2303=$D$2:$D$2427,$X$2:$X$2427)))/COUNT(IF(A2303=$A$2:$A$2427,IF(D2303=$D$2:$D$2427,IF(ISNUMBER($X$2:$X$2427),1)))),0),""),0)</f>
        <v/>
      </c>
      <c r="Z2303" s="104" t="str">
        <f>IF(ISNUMBER(O2303),IF(I2303&gt;0,(10^(VLOOKUP(D2303,'Species Codes'!B:C,2,0)+VLOOKUP(D2303,'Species Codes'!B:D,3,0)*LOG(E2303)+VLOOKUP(D2303,'Species Codes'!B:E,4,0)*LOG(I2303))),0),"")</f>
        <v/>
      </c>
      <c r="AA2303" s="104" t="str">
        <f>IFERROR((VLOOKUP(D2303,'Species Codes'!B:G,6,0)*Z2303)/2000,"")</f>
        <v/>
      </c>
      <c r="AB2303" s="104" t="e">
        <f>IF(Z2303&gt;0,((IF(OR(D2303="DF",D2303="RA")=TRUE,EXP(VLOOKUP(D2303,'Species Codes'!B:I,8,0)+VLOOKUP(D2303,'Species Codes'!B:J,9,0)*(LN((E2303*2.54)))),IF(OR(D2303="PY",D2303="RC",D2303="WH",D2303="NF")=TRUE,VLOOKUP(D2303,'Species Codes'!B:I,8,0)+VLOOKUP(D2303,'Species Codes'!B:J,9,0)*((E2303*2.54)^2)*(I2303*0.3048),IF(OR(D2303="MD",D2303="BM",D2303="GA")=TRUE,((VLOOKUP(D2303,'Species Codes'!B:I,8,0)*(((((E2303*2.54)+VLOOKUP(D2303,'Species Codes'!B:J,9,0))/VLOOKUP(D2303,'Species Codes'!B:K,10,0))^VLOOKUP(D2303,'Species Codes'!B:L,11,0))*((I2303*0.3048)^VLOOKUP(D2303,'Species Codes'!B:M,12,0))))-(VLOOKUP(D2303,'Species Codes'!B:I,8,0)*((((E2303*2.54)^VLOOKUP(D2303,'Species Codes'!B:L,11,0))*((I2303*0.3048)^VLOOKUP(D2303,'Species Codes'!B:M,12,0))))))*35.3*VLOOKUP(D2303,'Species Codes'!B:G,6,0)/2.2046,VLOOKUP(D2303,'Species Codes'!B:I,8,0)+VLOOKUP(D2303,'Species Codes'!B:J,9,0)*(((E2303*2.54)/100)^2)*(I2303*0.3048)))))*0.0011023),0)</f>
        <v>#N/A</v>
      </c>
      <c r="AC2303" s="104" t="e">
        <f>IF(Z2303&gt;0,((IF(OR(D2303="RA",D2303="OA",D2303="OT",D2303="UN",D2303="PC"),EXP(VLOOKUP(D2303,'Species Codes'!B:O,14,0)+VLOOKUP(D2303,'Species Codes'!B:P,15,0)*LN((E2303*2.54)))-EXP(VLOOKUP(D2303,'Species Codes'!B:O,14,0)+VLOOKUP(D2303,'Species Codes'!B:P,15,0)*LN((E2303*2.54)))*(1/(VLOOKUP(D2303,'Species Codes'!B:Q,16,0)+VLOOKUP(D2303,'Species Codes'!B:R,17,0)*((E2303*2.54)^VLOOKUP(D2303,'Species Codes'!B:S,18,0)))),IF(OR(D2303="BM",D2303="MD",D2303="OA"),EXP(VLOOKUP(D2303,'Species Codes'!B:O,14,0)+VLOOKUP(D2303,'Species Codes'!B:P,15,0)*LN((E2303*2.54)))*(1-(1/(VLOOKUP(D2303,'Species Codes'!B:Q,16,0)+VLOOKUP(D2303,'Species Codes'!B:R,17,0)*((E2303*2.54)^VLOOKUP(D2303,'Species Codes'!B:S,18,0)))))/1000,IF(D2303="DF",EXP(VLOOKUP(D2303,'Species Codes'!B:O,14,0)+VLOOKUP(D2303,'Species Codes'!B:P,15,0)*LN((E2303*2.54))),VLOOKUP(D2303,'Species Codes'!B:O,14,0)+VLOOKUP(D2303,'Species Codes'!B:P,15,0)*(((E2303*2.54)/100)^2)*(I2303*0.3048)))))*0.0011023),0)</f>
        <v>#N/A</v>
      </c>
      <c r="AD2303" s="104" t="e">
        <f t="shared" si="1003"/>
        <v>#N/A</v>
      </c>
      <c r="AE2303" s="104" t="e">
        <f t="shared" si="1004"/>
        <v>#N/A</v>
      </c>
      <c r="AF2303" s="104" t="e">
        <f>IF(AND(VLOOKUP($D2303,Merchantability!$B:$C,2,0)="Yes",$E2303&gt;=VLOOKUP($D2303,Merchantability!$B:$D,3,0),$E2303&lt;=VLOOKUP($D2303,Merchantability!$B:$E,4,0)),AA2303,0)</f>
        <v>#N/A</v>
      </c>
      <c r="AG2303" s="104" t="e">
        <f>IF(AND(VLOOKUP($D2303,Merchantability!$B:$C,2,0)="Yes",$E2303&gt;=VLOOKUP($D2303,Merchantability!$B:$D,3,0),$E2303&lt;=VLOOKUP($D2303,Merchantability!$B:$E,4,0)),AB2303,0)</f>
        <v>#N/A</v>
      </c>
      <c r="AH2303" s="104" t="e">
        <f>IF(AND(VLOOKUP($D2303,Merchantability!$B:$C,2,0)="Yes",$E2303&gt;=VLOOKUP($D2303,Merchantability!$B:$D,3,0),$E2303&lt;=VLOOKUP($D2303,Merchantability!$B:$E,4,0)),AC2303,0)</f>
        <v>#N/A</v>
      </c>
      <c r="AI2303" s="104" t="e">
        <f t="shared" si="1005"/>
        <v>#N/A</v>
      </c>
      <c r="AJ2303" s="104" t="e">
        <f t="shared" si="1006"/>
        <v>#VALUE!</v>
      </c>
      <c r="AK2303" s="104" t="e">
        <f t="shared" si="1007"/>
        <v>#N/A</v>
      </c>
      <c r="AL2303" s="104" t="e">
        <f t="shared" si="1008"/>
        <v>#N/A</v>
      </c>
      <c r="AM2303" s="104" t="e">
        <f t="shared" si="1009"/>
        <v>#N/A</v>
      </c>
      <c r="AN2303" s="104" t="e">
        <f t="shared" si="993"/>
        <v>#N/A</v>
      </c>
      <c r="AO2303" s="104" t="e">
        <f t="shared" si="994"/>
        <v>#N/A</v>
      </c>
      <c r="AP2303" s="104" t="e">
        <f t="shared" si="995"/>
        <v>#N/A</v>
      </c>
      <c r="AQ2303" s="104" t="e">
        <f t="shared" si="996"/>
        <v>#N/A</v>
      </c>
      <c r="AR2303" s="105" t="str">
        <f t="shared" si="988"/>
        <v/>
      </c>
      <c r="AS2303" s="105" t="str">
        <f t="shared" si="989"/>
        <v/>
      </c>
      <c r="AT2303" s="108" t="str">
        <f t="shared" si="990"/>
        <v/>
      </c>
      <c r="AU2303" s="108" t="str">
        <f t="shared" si="991"/>
        <v/>
      </c>
      <c r="AV2303" s="107" t="str">
        <f>IF(ISNUMBER(O2303),IF(VLOOKUP($A2303,Stand!C:J,8,FALSE)="Short",AT2303,AU2303),"")</f>
        <v/>
      </c>
      <c r="AW2303" s="109" t="str">
        <f t="shared" si="997"/>
        <v/>
      </c>
      <c r="AX2303" s="109" t="str">
        <f t="shared" si="998"/>
        <v/>
      </c>
      <c r="AY2303" s="112" t="str">
        <f>IF(ISNUMBER(O2303),IF(AND(VLOOKUP($D2303,Merchantability!$B:$C,2,0)="Yes",$E2303&gt;=VLOOKUP($D2303,Merchantability!$B:$D,3,0),$E2303&lt;=VLOOKUP($D2303,Merchantability!$B:$E,4,0)),(AV2303*O2303)*(1-$H2303/100),""),"")</f>
        <v/>
      </c>
      <c r="AZ2303" s="116"/>
      <c r="BA2303" s="116"/>
      <c r="BB2303" s="116"/>
      <c r="BE2303" s="62"/>
      <c r="BF2303" s="63"/>
    </row>
    <row r="2304" spans="1:58" ht="12.75" customHeight="1" x14ac:dyDescent="0.25">
      <c r="A2304" s="334"/>
      <c r="B2304" s="334"/>
      <c r="C2304" s="332"/>
      <c r="D2304" s="334"/>
      <c r="E2304" s="335"/>
      <c r="F2304" s="334"/>
      <c r="G2304" s="332"/>
      <c r="H2304" s="332"/>
      <c r="I2304" s="334"/>
      <c r="J2304" s="336"/>
      <c r="K2304" s="332"/>
      <c r="L2304" s="332"/>
      <c r="M2304" s="76"/>
      <c r="N2304" s="103" t="str">
        <f>IF(A2304="","",VLOOKUP(A2304,Stand!C:K,9,0))</f>
        <v/>
      </c>
      <c r="O2304" s="104" t="str">
        <f t="shared" si="983"/>
        <v/>
      </c>
      <c r="P2304" s="105" t="str">
        <f t="shared" si="984"/>
        <v/>
      </c>
      <c r="Q2304" s="105" t="str">
        <f t="shared" si="999"/>
        <v/>
      </c>
      <c r="R2304" s="103" t="str">
        <f t="shared" si="985"/>
        <v/>
      </c>
      <c r="S2304" s="103" t="str">
        <f t="shared" si="986"/>
        <v/>
      </c>
      <c r="T2304" s="106" t="str">
        <f t="shared" si="1000"/>
        <v/>
      </c>
      <c r="U2304" s="106" t="str">
        <f t="shared" si="1001"/>
        <v/>
      </c>
      <c r="V2304" s="106" t="str">
        <f t="shared" si="1002"/>
        <v/>
      </c>
      <c r="W2304" s="105" t="str">
        <f t="shared" si="987"/>
        <v/>
      </c>
      <c r="X2304" s="104" t="str">
        <f t="shared" si="992"/>
        <v/>
      </c>
      <c r="Y2304" s="104" t="str">
        <f t="array" ref="Y2304">IFERROR(IF(ISNUMBER(O2304),IF(COUNT(IF(A2304=$A$2:$A$2427,IF(D2304=$D$2:$D$2427,IF($X$2:$X$2427&gt;0,1))))&gt;0,SUM(IF(A2304=$A$2:$A$2427,IF(D2304=$D$2:$D$2427,$X$2:$X$2427)))/COUNT(IF(A2304=$A$2:$A$2427,IF(D2304=$D$2:$D$2427,IF(ISNUMBER($X$2:$X$2427),1)))),0),""),0)</f>
        <v/>
      </c>
      <c r="Z2304" s="104" t="str">
        <f>IF(ISNUMBER(O2304),IF(I2304&gt;0,(10^(VLOOKUP(D2304,'Species Codes'!B:C,2,0)+VLOOKUP(D2304,'Species Codes'!B:D,3,0)*LOG(E2304)+VLOOKUP(D2304,'Species Codes'!B:E,4,0)*LOG(I2304))),0),"")</f>
        <v/>
      </c>
      <c r="AA2304" s="104" t="str">
        <f>IFERROR((VLOOKUP(D2304,'Species Codes'!B:G,6,0)*Z2304)/2000,"")</f>
        <v/>
      </c>
      <c r="AB2304" s="104" t="e">
        <f>IF(Z2304&gt;0,((IF(OR(D2304="DF",D2304="RA")=TRUE,EXP(VLOOKUP(D2304,'Species Codes'!B:I,8,0)+VLOOKUP(D2304,'Species Codes'!B:J,9,0)*(LN((E2304*2.54)))),IF(OR(D2304="PY",D2304="RC",D2304="WH",D2304="NF")=TRUE,VLOOKUP(D2304,'Species Codes'!B:I,8,0)+VLOOKUP(D2304,'Species Codes'!B:J,9,0)*((E2304*2.54)^2)*(I2304*0.3048),IF(OR(D2304="MD",D2304="BM",D2304="GA")=TRUE,((VLOOKUP(D2304,'Species Codes'!B:I,8,0)*(((((E2304*2.54)+VLOOKUP(D2304,'Species Codes'!B:J,9,0))/VLOOKUP(D2304,'Species Codes'!B:K,10,0))^VLOOKUP(D2304,'Species Codes'!B:L,11,0))*((I2304*0.3048)^VLOOKUP(D2304,'Species Codes'!B:M,12,0))))-(VLOOKUP(D2304,'Species Codes'!B:I,8,0)*((((E2304*2.54)^VLOOKUP(D2304,'Species Codes'!B:L,11,0))*((I2304*0.3048)^VLOOKUP(D2304,'Species Codes'!B:M,12,0))))))*35.3*VLOOKUP(D2304,'Species Codes'!B:G,6,0)/2.2046,VLOOKUP(D2304,'Species Codes'!B:I,8,0)+VLOOKUP(D2304,'Species Codes'!B:J,9,0)*(((E2304*2.54)/100)^2)*(I2304*0.3048)))))*0.0011023),0)</f>
        <v>#N/A</v>
      </c>
      <c r="AC2304" s="104" t="e">
        <f>IF(Z2304&gt;0,((IF(OR(D2304="RA",D2304="OA",D2304="OT",D2304="UN",D2304="PC"),EXP(VLOOKUP(D2304,'Species Codes'!B:O,14,0)+VLOOKUP(D2304,'Species Codes'!B:P,15,0)*LN((E2304*2.54)))-EXP(VLOOKUP(D2304,'Species Codes'!B:O,14,0)+VLOOKUP(D2304,'Species Codes'!B:P,15,0)*LN((E2304*2.54)))*(1/(VLOOKUP(D2304,'Species Codes'!B:Q,16,0)+VLOOKUP(D2304,'Species Codes'!B:R,17,0)*((E2304*2.54)^VLOOKUP(D2304,'Species Codes'!B:S,18,0)))),IF(OR(D2304="BM",D2304="MD",D2304="OA"),EXP(VLOOKUP(D2304,'Species Codes'!B:O,14,0)+VLOOKUP(D2304,'Species Codes'!B:P,15,0)*LN((E2304*2.54)))*(1-(1/(VLOOKUP(D2304,'Species Codes'!B:Q,16,0)+VLOOKUP(D2304,'Species Codes'!B:R,17,0)*((E2304*2.54)^VLOOKUP(D2304,'Species Codes'!B:S,18,0)))))/1000,IF(D2304="DF",EXP(VLOOKUP(D2304,'Species Codes'!B:O,14,0)+VLOOKUP(D2304,'Species Codes'!B:P,15,0)*LN((E2304*2.54))),VLOOKUP(D2304,'Species Codes'!B:O,14,0)+VLOOKUP(D2304,'Species Codes'!B:P,15,0)*(((E2304*2.54)/100)^2)*(I2304*0.3048)))))*0.0011023),0)</f>
        <v>#N/A</v>
      </c>
      <c r="AD2304" s="104" t="e">
        <f t="shared" si="1003"/>
        <v>#N/A</v>
      </c>
      <c r="AE2304" s="104" t="e">
        <f t="shared" si="1004"/>
        <v>#N/A</v>
      </c>
      <c r="AF2304" s="104" t="e">
        <f>IF(AND(VLOOKUP($D2304,Merchantability!$B:$C,2,0)="Yes",$E2304&gt;=VLOOKUP($D2304,Merchantability!$B:$D,3,0),$E2304&lt;=VLOOKUP($D2304,Merchantability!$B:$E,4,0)),AA2304,0)</f>
        <v>#N/A</v>
      </c>
      <c r="AG2304" s="104" t="e">
        <f>IF(AND(VLOOKUP($D2304,Merchantability!$B:$C,2,0)="Yes",$E2304&gt;=VLOOKUP($D2304,Merchantability!$B:$D,3,0),$E2304&lt;=VLOOKUP($D2304,Merchantability!$B:$E,4,0)),AB2304,0)</f>
        <v>#N/A</v>
      </c>
      <c r="AH2304" s="104" t="e">
        <f>IF(AND(VLOOKUP($D2304,Merchantability!$B:$C,2,0)="Yes",$E2304&gt;=VLOOKUP($D2304,Merchantability!$B:$D,3,0),$E2304&lt;=VLOOKUP($D2304,Merchantability!$B:$E,4,0)),AC2304,0)</f>
        <v>#N/A</v>
      </c>
      <c r="AI2304" s="104" t="e">
        <f t="shared" si="1005"/>
        <v>#N/A</v>
      </c>
      <c r="AJ2304" s="104" t="e">
        <f t="shared" si="1006"/>
        <v>#VALUE!</v>
      </c>
      <c r="AK2304" s="104" t="e">
        <f t="shared" si="1007"/>
        <v>#N/A</v>
      </c>
      <c r="AL2304" s="104" t="e">
        <f t="shared" si="1008"/>
        <v>#N/A</v>
      </c>
      <c r="AM2304" s="104" t="e">
        <f t="shared" si="1009"/>
        <v>#N/A</v>
      </c>
      <c r="AN2304" s="104" t="e">
        <f t="shared" si="993"/>
        <v>#N/A</v>
      </c>
      <c r="AO2304" s="104" t="e">
        <f t="shared" si="994"/>
        <v>#N/A</v>
      </c>
      <c r="AP2304" s="104" t="e">
        <f t="shared" si="995"/>
        <v>#N/A</v>
      </c>
      <c r="AQ2304" s="104" t="e">
        <f t="shared" si="996"/>
        <v>#N/A</v>
      </c>
      <c r="AR2304" s="105" t="str">
        <f t="shared" si="988"/>
        <v/>
      </c>
      <c r="AS2304" s="105" t="str">
        <f t="shared" si="989"/>
        <v/>
      </c>
      <c r="AT2304" s="108" t="str">
        <f t="shared" si="990"/>
        <v/>
      </c>
      <c r="AU2304" s="108" t="str">
        <f t="shared" si="991"/>
        <v/>
      </c>
      <c r="AV2304" s="107" t="str">
        <f>IF(ISNUMBER(O2304),IF(VLOOKUP($A2304,Stand!C:J,8,FALSE)="Short",AT2304,AU2304),"")</f>
        <v/>
      </c>
      <c r="AW2304" s="109" t="str">
        <f t="shared" si="997"/>
        <v/>
      </c>
      <c r="AX2304" s="109" t="str">
        <f t="shared" si="998"/>
        <v/>
      </c>
      <c r="AY2304" s="112" t="str">
        <f>IF(ISNUMBER(O2304),IF(AND(VLOOKUP($D2304,Merchantability!$B:$C,2,0)="Yes",$E2304&gt;=VLOOKUP($D2304,Merchantability!$B:$D,3,0),$E2304&lt;=VLOOKUP($D2304,Merchantability!$B:$E,4,0)),(AV2304*O2304)*(1-$H2304/100),""),"")</f>
        <v/>
      </c>
      <c r="AZ2304" s="116"/>
      <c r="BA2304" s="116"/>
      <c r="BB2304" s="116"/>
      <c r="BE2304" s="62"/>
      <c r="BF2304" s="63"/>
    </row>
    <row r="2305" spans="1:58" ht="12.75" customHeight="1" x14ac:dyDescent="0.25">
      <c r="A2305" s="334"/>
      <c r="B2305" s="334"/>
      <c r="C2305" s="332"/>
      <c r="D2305" s="334"/>
      <c r="E2305" s="335"/>
      <c r="F2305" s="334"/>
      <c r="G2305" s="332"/>
      <c r="H2305" s="332"/>
      <c r="I2305" s="334"/>
      <c r="J2305" s="336"/>
      <c r="K2305" s="332"/>
      <c r="L2305" s="332"/>
      <c r="M2305" s="76"/>
      <c r="N2305" s="103" t="str">
        <f>IF(A2305="","",VLOOKUP(A2305,Stand!C:K,9,0))</f>
        <v/>
      </c>
      <c r="O2305" s="104" t="str">
        <f t="shared" si="983"/>
        <v/>
      </c>
      <c r="P2305" s="105" t="str">
        <f t="shared" si="984"/>
        <v/>
      </c>
      <c r="Q2305" s="105" t="str">
        <f t="shared" si="999"/>
        <v/>
      </c>
      <c r="R2305" s="103" t="str">
        <f t="shared" si="985"/>
        <v/>
      </c>
      <c r="S2305" s="103" t="str">
        <f t="shared" si="986"/>
        <v/>
      </c>
      <c r="T2305" s="106" t="str">
        <f t="shared" si="1000"/>
        <v/>
      </c>
      <c r="U2305" s="106" t="str">
        <f t="shared" si="1001"/>
        <v/>
      </c>
      <c r="V2305" s="106" t="str">
        <f t="shared" si="1002"/>
        <v/>
      </c>
      <c r="W2305" s="105" t="str">
        <f t="shared" si="987"/>
        <v/>
      </c>
      <c r="X2305" s="104" t="str">
        <f t="shared" si="992"/>
        <v/>
      </c>
      <c r="Y2305" s="104" t="str">
        <f t="array" ref="Y2305">IFERROR(IF(ISNUMBER(O2305),IF(COUNT(IF(A2305=$A$2:$A$2427,IF(D2305=$D$2:$D$2427,IF($X$2:$X$2427&gt;0,1))))&gt;0,SUM(IF(A2305=$A$2:$A$2427,IF(D2305=$D$2:$D$2427,$X$2:$X$2427)))/COUNT(IF(A2305=$A$2:$A$2427,IF(D2305=$D$2:$D$2427,IF(ISNUMBER($X$2:$X$2427),1)))),0),""),0)</f>
        <v/>
      </c>
      <c r="Z2305" s="104" t="str">
        <f>IF(ISNUMBER(O2305),IF(I2305&gt;0,(10^(VLOOKUP(D2305,'Species Codes'!B:C,2,0)+VLOOKUP(D2305,'Species Codes'!B:D,3,0)*LOG(E2305)+VLOOKUP(D2305,'Species Codes'!B:E,4,0)*LOG(I2305))),0),"")</f>
        <v/>
      </c>
      <c r="AA2305" s="104" t="str">
        <f>IFERROR((VLOOKUP(D2305,'Species Codes'!B:G,6,0)*Z2305)/2000,"")</f>
        <v/>
      </c>
      <c r="AB2305" s="104" t="e">
        <f>IF(Z2305&gt;0,((IF(OR(D2305="DF",D2305="RA")=TRUE,EXP(VLOOKUP(D2305,'Species Codes'!B:I,8,0)+VLOOKUP(D2305,'Species Codes'!B:J,9,0)*(LN((E2305*2.54)))),IF(OR(D2305="PY",D2305="RC",D2305="WH",D2305="NF")=TRUE,VLOOKUP(D2305,'Species Codes'!B:I,8,0)+VLOOKUP(D2305,'Species Codes'!B:J,9,0)*((E2305*2.54)^2)*(I2305*0.3048),IF(OR(D2305="MD",D2305="BM",D2305="GA")=TRUE,((VLOOKUP(D2305,'Species Codes'!B:I,8,0)*(((((E2305*2.54)+VLOOKUP(D2305,'Species Codes'!B:J,9,0))/VLOOKUP(D2305,'Species Codes'!B:K,10,0))^VLOOKUP(D2305,'Species Codes'!B:L,11,0))*((I2305*0.3048)^VLOOKUP(D2305,'Species Codes'!B:M,12,0))))-(VLOOKUP(D2305,'Species Codes'!B:I,8,0)*((((E2305*2.54)^VLOOKUP(D2305,'Species Codes'!B:L,11,0))*((I2305*0.3048)^VLOOKUP(D2305,'Species Codes'!B:M,12,0))))))*35.3*VLOOKUP(D2305,'Species Codes'!B:G,6,0)/2.2046,VLOOKUP(D2305,'Species Codes'!B:I,8,0)+VLOOKUP(D2305,'Species Codes'!B:J,9,0)*(((E2305*2.54)/100)^2)*(I2305*0.3048)))))*0.0011023),0)</f>
        <v>#N/A</v>
      </c>
      <c r="AC2305" s="104" t="e">
        <f>IF(Z2305&gt;0,((IF(OR(D2305="RA",D2305="OA",D2305="OT",D2305="UN",D2305="PC"),EXP(VLOOKUP(D2305,'Species Codes'!B:O,14,0)+VLOOKUP(D2305,'Species Codes'!B:P,15,0)*LN((E2305*2.54)))-EXP(VLOOKUP(D2305,'Species Codes'!B:O,14,0)+VLOOKUP(D2305,'Species Codes'!B:P,15,0)*LN((E2305*2.54)))*(1/(VLOOKUP(D2305,'Species Codes'!B:Q,16,0)+VLOOKUP(D2305,'Species Codes'!B:R,17,0)*((E2305*2.54)^VLOOKUP(D2305,'Species Codes'!B:S,18,0)))),IF(OR(D2305="BM",D2305="MD",D2305="OA"),EXP(VLOOKUP(D2305,'Species Codes'!B:O,14,0)+VLOOKUP(D2305,'Species Codes'!B:P,15,0)*LN((E2305*2.54)))*(1-(1/(VLOOKUP(D2305,'Species Codes'!B:Q,16,0)+VLOOKUP(D2305,'Species Codes'!B:R,17,0)*((E2305*2.54)^VLOOKUP(D2305,'Species Codes'!B:S,18,0)))))/1000,IF(D2305="DF",EXP(VLOOKUP(D2305,'Species Codes'!B:O,14,0)+VLOOKUP(D2305,'Species Codes'!B:P,15,0)*LN((E2305*2.54))),VLOOKUP(D2305,'Species Codes'!B:O,14,0)+VLOOKUP(D2305,'Species Codes'!B:P,15,0)*(((E2305*2.54)/100)^2)*(I2305*0.3048)))))*0.0011023),0)</f>
        <v>#N/A</v>
      </c>
      <c r="AD2305" s="104" t="e">
        <f t="shared" si="1003"/>
        <v>#N/A</v>
      </c>
      <c r="AE2305" s="104" t="e">
        <f t="shared" si="1004"/>
        <v>#N/A</v>
      </c>
      <c r="AF2305" s="104" t="e">
        <f>IF(AND(VLOOKUP($D2305,Merchantability!$B:$C,2,0)="Yes",$E2305&gt;=VLOOKUP($D2305,Merchantability!$B:$D,3,0),$E2305&lt;=VLOOKUP($D2305,Merchantability!$B:$E,4,0)),AA2305,0)</f>
        <v>#N/A</v>
      </c>
      <c r="AG2305" s="104" t="e">
        <f>IF(AND(VLOOKUP($D2305,Merchantability!$B:$C,2,0)="Yes",$E2305&gt;=VLOOKUP($D2305,Merchantability!$B:$D,3,0),$E2305&lt;=VLOOKUP($D2305,Merchantability!$B:$E,4,0)),AB2305,0)</f>
        <v>#N/A</v>
      </c>
      <c r="AH2305" s="104" t="e">
        <f>IF(AND(VLOOKUP($D2305,Merchantability!$B:$C,2,0)="Yes",$E2305&gt;=VLOOKUP($D2305,Merchantability!$B:$D,3,0),$E2305&lt;=VLOOKUP($D2305,Merchantability!$B:$E,4,0)),AC2305,0)</f>
        <v>#N/A</v>
      </c>
      <c r="AI2305" s="104" t="e">
        <f t="shared" si="1005"/>
        <v>#N/A</v>
      </c>
      <c r="AJ2305" s="104" t="e">
        <f t="shared" si="1006"/>
        <v>#VALUE!</v>
      </c>
      <c r="AK2305" s="104" t="e">
        <f t="shared" si="1007"/>
        <v>#N/A</v>
      </c>
      <c r="AL2305" s="104" t="e">
        <f t="shared" si="1008"/>
        <v>#N/A</v>
      </c>
      <c r="AM2305" s="104" t="e">
        <f t="shared" si="1009"/>
        <v>#N/A</v>
      </c>
      <c r="AN2305" s="104" t="e">
        <f t="shared" si="993"/>
        <v>#N/A</v>
      </c>
      <c r="AO2305" s="104" t="e">
        <f t="shared" si="994"/>
        <v>#N/A</v>
      </c>
      <c r="AP2305" s="104" t="e">
        <f t="shared" si="995"/>
        <v>#N/A</v>
      </c>
      <c r="AQ2305" s="104" t="e">
        <f t="shared" si="996"/>
        <v>#N/A</v>
      </c>
      <c r="AR2305" s="105" t="str">
        <f t="shared" si="988"/>
        <v/>
      </c>
      <c r="AS2305" s="105" t="str">
        <f t="shared" si="989"/>
        <v/>
      </c>
      <c r="AT2305" s="108" t="str">
        <f t="shared" si="990"/>
        <v/>
      </c>
      <c r="AU2305" s="108" t="str">
        <f t="shared" si="991"/>
        <v/>
      </c>
      <c r="AV2305" s="107" t="str">
        <f>IF(ISNUMBER(O2305),IF(VLOOKUP($A2305,Stand!C:J,8,FALSE)="Short",AT2305,AU2305),"")</f>
        <v/>
      </c>
      <c r="AW2305" s="109" t="str">
        <f t="shared" si="997"/>
        <v/>
      </c>
      <c r="AX2305" s="109" t="str">
        <f t="shared" si="998"/>
        <v/>
      </c>
      <c r="AY2305" s="112" t="str">
        <f>IF(ISNUMBER(O2305),IF(AND(VLOOKUP($D2305,Merchantability!$B:$C,2,0)="Yes",$E2305&gt;=VLOOKUP($D2305,Merchantability!$B:$D,3,0),$E2305&lt;=VLOOKUP($D2305,Merchantability!$B:$E,4,0)),(AV2305*O2305)*(1-$H2305/100),""),"")</f>
        <v/>
      </c>
      <c r="AZ2305" s="116"/>
      <c r="BA2305" s="116"/>
      <c r="BB2305" s="116"/>
      <c r="BE2305" s="62"/>
      <c r="BF2305" s="63"/>
    </row>
    <row r="2306" spans="1:58" ht="12.75" customHeight="1" x14ac:dyDescent="0.25">
      <c r="A2306" s="334"/>
      <c r="B2306" s="334"/>
      <c r="C2306" s="332"/>
      <c r="D2306" s="334"/>
      <c r="E2306" s="335"/>
      <c r="F2306" s="334"/>
      <c r="G2306" s="332"/>
      <c r="H2306" s="332"/>
      <c r="I2306" s="334"/>
      <c r="J2306" s="336"/>
      <c r="K2306" s="332"/>
      <c r="L2306" s="332"/>
      <c r="M2306" s="76"/>
      <c r="N2306" s="103" t="str">
        <f>IF(A2306="","",VLOOKUP(A2306,Stand!C:K,9,0))</f>
        <v/>
      </c>
      <c r="O2306" s="104" t="str">
        <f t="shared" ref="O2306:O2369" si="1010">IF(E2306&gt;0,IF(G2306&gt;1,G2306*(43560/(N2306^2*3.14)),43560/(N2306^2*3.14)),"")</f>
        <v/>
      </c>
      <c r="P2306" s="105" t="str">
        <f t="shared" ref="P2306:P2369" si="1011">IF(ISNUMBER(O2306),E2306*O2306,"")</f>
        <v/>
      </c>
      <c r="Q2306" s="105" t="str">
        <f t="shared" si="999"/>
        <v/>
      </c>
      <c r="R2306" s="103" t="str">
        <f t="shared" ref="R2306:R2369" si="1012">IF(ISNUMBER(O2306),E2306^2*0.005454*O2306,"")</f>
        <v/>
      </c>
      <c r="S2306" s="103" t="str">
        <f t="shared" ref="S2306:S2369" si="1013">IF(ISNUMBER(O2306),(E2306/10)^1.7*O2306,"")</f>
        <v/>
      </c>
      <c r="T2306" s="106" t="str">
        <f t="shared" si="1000"/>
        <v/>
      </c>
      <c r="U2306" s="106" t="str">
        <f t="shared" si="1001"/>
        <v/>
      </c>
      <c r="V2306" s="106" t="str">
        <f t="shared" si="1002"/>
        <v/>
      </c>
      <c r="W2306" s="105" t="str">
        <f t="shared" ref="W2306:W2369" si="1014">IF(AND(ISNUMBER(O2306),I2306&gt;0),I2306/(E2306/12),"")</f>
        <v/>
      </c>
      <c r="X2306" s="104" t="str">
        <f t="shared" si="992"/>
        <v/>
      </c>
      <c r="Y2306" s="104" t="str">
        <f t="array" ref="Y2306">IFERROR(IF(ISNUMBER(O2306),IF(COUNT(IF(A2306=$A$2:$A$2427,IF(D2306=$D$2:$D$2427,IF($X$2:$X$2427&gt;0,1))))&gt;0,SUM(IF(A2306=$A$2:$A$2427,IF(D2306=$D$2:$D$2427,$X$2:$X$2427)))/COUNT(IF(A2306=$A$2:$A$2427,IF(D2306=$D$2:$D$2427,IF(ISNUMBER($X$2:$X$2427),1)))),0),""),0)</f>
        <v/>
      </c>
      <c r="Z2306" s="104" t="str">
        <f>IF(ISNUMBER(O2306),IF(I2306&gt;0,(10^(VLOOKUP(D2306,'Species Codes'!B:C,2,0)+VLOOKUP(D2306,'Species Codes'!B:D,3,0)*LOG(E2306)+VLOOKUP(D2306,'Species Codes'!B:E,4,0)*LOG(I2306))),0),"")</f>
        <v/>
      </c>
      <c r="AA2306" s="104" t="str">
        <f>IFERROR((VLOOKUP(D2306,'Species Codes'!B:G,6,0)*Z2306)/2000,"")</f>
        <v/>
      </c>
      <c r="AB2306" s="104" t="e">
        <f>IF(Z2306&gt;0,((IF(OR(D2306="DF",D2306="RA")=TRUE,EXP(VLOOKUP(D2306,'Species Codes'!B:I,8,0)+VLOOKUP(D2306,'Species Codes'!B:J,9,0)*(LN((E2306*2.54)))),IF(OR(D2306="PY",D2306="RC",D2306="WH",D2306="NF")=TRUE,VLOOKUP(D2306,'Species Codes'!B:I,8,0)+VLOOKUP(D2306,'Species Codes'!B:J,9,0)*((E2306*2.54)^2)*(I2306*0.3048),IF(OR(D2306="MD",D2306="BM",D2306="GA")=TRUE,((VLOOKUP(D2306,'Species Codes'!B:I,8,0)*(((((E2306*2.54)+VLOOKUP(D2306,'Species Codes'!B:J,9,0))/VLOOKUP(D2306,'Species Codes'!B:K,10,0))^VLOOKUP(D2306,'Species Codes'!B:L,11,0))*((I2306*0.3048)^VLOOKUP(D2306,'Species Codes'!B:M,12,0))))-(VLOOKUP(D2306,'Species Codes'!B:I,8,0)*((((E2306*2.54)^VLOOKUP(D2306,'Species Codes'!B:L,11,0))*((I2306*0.3048)^VLOOKUP(D2306,'Species Codes'!B:M,12,0))))))*35.3*VLOOKUP(D2306,'Species Codes'!B:G,6,0)/2.2046,VLOOKUP(D2306,'Species Codes'!B:I,8,0)+VLOOKUP(D2306,'Species Codes'!B:J,9,0)*(((E2306*2.54)/100)^2)*(I2306*0.3048)))))*0.0011023),0)</f>
        <v>#N/A</v>
      </c>
      <c r="AC2306" s="104" t="e">
        <f>IF(Z2306&gt;0,((IF(OR(D2306="RA",D2306="OA",D2306="OT",D2306="UN",D2306="PC"),EXP(VLOOKUP(D2306,'Species Codes'!B:O,14,0)+VLOOKUP(D2306,'Species Codes'!B:P,15,0)*LN((E2306*2.54)))-EXP(VLOOKUP(D2306,'Species Codes'!B:O,14,0)+VLOOKUP(D2306,'Species Codes'!B:P,15,0)*LN((E2306*2.54)))*(1/(VLOOKUP(D2306,'Species Codes'!B:Q,16,0)+VLOOKUP(D2306,'Species Codes'!B:R,17,0)*((E2306*2.54)^VLOOKUP(D2306,'Species Codes'!B:S,18,0)))),IF(OR(D2306="BM",D2306="MD",D2306="OA"),EXP(VLOOKUP(D2306,'Species Codes'!B:O,14,0)+VLOOKUP(D2306,'Species Codes'!B:P,15,0)*LN((E2306*2.54)))*(1-(1/(VLOOKUP(D2306,'Species Codes'!B:Q,16,0)+VLOOKUP(D2306,'Species Codes'!B:R,17,0)*((E2306*2.54)^VLOOKUP(D2306,'Species Codes'!B:S,18,0)))))/1000,IF(D2306="DF",EXP(VLOOKUP(D2306,'Species Codes'!B:O,14,0)+VLOOKUP(D2306,'Species Codes'!B:P,15,0)*LN((E2306*2.54))),VLOOKUP(D2306,'Species Codes'!B:O,14,0)+VLOOKUP(D2306,'Species Codes'!B:P,15,0)*(((E2306*2.54)/100)^2)*(I2306*0.3048)))))*0.0011023),0)</f>
        <v>#N/A</v>
      </c>
      <c r="AD2306" s="104" t="e">
        <f t="shared" si="1003"/>
        <v>#N/A</v>
      </c>
      <c r="AE2306" s="104" t="e">
        <f t="shared" si="1004"/>
        <v>#N/A</v>
      </c>
      <c r="AF2306" s="104" t="e">
        <f>IF(AND(VLOOKUP($D2306,Merchantability!$B:$C,2,0)="Yes",$E2306&gt;=VLOOKUP($D2306,Merchantability!$B:$D,3,0),$E2306&lt;=VLOOKUP($D2306,Merchantability!$B:$E,4,0)),AA2306,0)</f>
        <v>#N/A</v>
      </c>
      <c r="AG2306" s="104" t="e">
        <f>IF(AND(VLOOKUP($D2306,Merchantability!$B:$C,2,0)="Yes",$E2306&gt;=VLOOKUP($D2306,Merchantability!$B:$D,3,0),$E2306&lt;=VLOOKUP($D2306,Merchantability!$B:$E,4,0)),AB2306,0)</f>
        <v>#N/A</v>
      </c>
      <c r="AH2306" s="104" t="e">
        <f>IF(AND(VLOOKUP($D2306,Merchantability!$B:$C,2,0)="Yes",$E2306&gt;=VLOOKUP($D2306,Merchantability!$B:$D,3,0),$E2306&lt;=VLOOKUP($D2306,Merchantability!$B:$E,4,0)),AC2306,0)</f>
        <v>#N/A</v>
      </c>
      <c r="AI2306" s="104" t="e">
        <f t="shared" si="1005"/>
        <v>#N/A</v>
      </c>
      <c r="AJ2306" s="104" t="e">
        <f t="shared" si="1006"/>
        <v>#VALUE!</v>
      </c>
      <c r="AK2306" s="104" t="e">
        <f t="shared" si="1007"/>
        <v>#N/A</v>
      </c>
      <c r="AL2306" s="104" t="e">
        <f t="shared" si="1008"/>
        <v>#N/A</v>
      </c>
      <c r="AM2306" s="104" t="e">
        <f t="shared" si="1009"/>
        <v>#N/A</v>
      </c>
      <c r="AN2306" s="104" t="e">
        <f t="shared" si="993"/>
        <v>#N/A</v>
      </c>
      <c r="AO2306" s="104" t="e">
        <f t="shared" si="994"/>
        <v>#N/A</v>
      </c>
      <c r="AP2306" s="104" t="e">
        <f t="shared" si="995"/>
        <v>#N/A</v>
      </c>
      <c r="AQ2306" s="104" t="e">
        <f t="shared" si="996"/>
        <v>#N/A</v>
      </c>
      <c r="AR2306" s="105" t="str">
        <f t="shared" ref="AR2306:AR2369" si="1015">IF(ISNUMBER(O2306),IF(Y2306&gt;0,((Y2306*(E2306^2*0.005454-0.087266))/0.912733),0),"")</f>
        <v/>
      </c>
      <c r="AS2306" s="105" t="str">
        <f t="shared" ref="AS2306:AS2369" si="1016">IF(ISNUMBER(O2306),AR2306*(0.993-0.993*(0.62^(E2306-6))),"")</f>
        <v/>
      </c>
      <c r="AT2306" s="108" t="str">
        <f t="shared" ref="AT2306:AT2369" si="1017">IF(ISNUMBER(O2306),IF(AS2306&gt;0,IF(Y2306&gt;0,(AS2306*10^(0.174439+0.117594*(LOG(E2306,10))*(LOG(Y2306/0.912733,10))-8.210585/E2306^2+0.236693*(LOG(Y2306/0.912733,10))-0.00001345*(Y2306/0.912733)^2-0.00001937*E2306^2)),0),0),"")</f>
        <v/>
      </c>
      <c r="AU2306" s="108" t="str">
        <f t="shared" ref="AU2306:AU2369" si="1018">IF(ISNUMBER(O2306),IF(AS2306&gt;0,IF(Y2306&gt;0,AT2306*(1.001491-(6.92497/Y2306)+(0.00001351*(E2306^2))),0),0),"")</f>
        <v/>
      </c>
      <c r="AV2306" s="107" t="str">
        <f>IF(ISNUMBER(O2306),IF(VLOOKUP($A2306,Stand!C:J,8,FALSE)="Short",AT2306,AU2306),"")</f>
        <v/>
      </c>
      <c r="AW2306" s="109" t="str">
        <f t="shared" si="997"/>
        <v/>
      </c>
      <c r="AX2306" s="109" t="str">
        <f t="shared" si="998"/>
        <v/>
      </c>
      <c r="AY2306" s="112" t="str">
        <f>IF(ISNUMBER(O2306),IF(AND(VLOOKUP($D2306,Merchantability!$B:$C,2,0)="Yes",$E2306&gt;=VLOOKUP($D2306,Merchantability!$B:$D,3,0),$E2306&lt;=VLOOKUP($D2306,Merchantability!$B:$E,4,0)),(AV2306*O2306)*(1-$H2306/100),""),"")</f>
        <v/>
      </c>
      <c r="AZ2306" s="116"/>
      <c r="BA2306" s="116"/>
      <c r="BB2306" s="116"/>
      <c r="BE2306" s="62"/>
      <c r="BF2306" s="63"/>
    </row>
    <row r="2307" spans="1:58" ht="12.75" customHeight="1" x14ac:dyDescent="0.25">
      <c r="A2307" s="334"/>
      <c r="B2307" s="334"/>
      <c r="C2307" s="332"/>
      <c r="D2307" s="334"/>
      <c r="E2307" s="335"/>
      <c r="F2307" s="334"/>
      <c r="G2307" s="332"/>
      <c r="H2307" s="332"/>
      <c r="I2307" s="334"/>
      <c r="J2307" s="336"/>
      <c r="K2307" s="332"/>
      <c r="L2307" s="332"/>
      <c r="M2307" s="76"/>
      <c r="N2307" s="103" t="str">
        <f>IF(A2307="","",VLOOKUP(A2307,Stand!C:K,9,0))</f>
        <v/>
      </c>
      <c r="O2307" s="104" t="str">
        <f t="shared" si="1010"/>
        <v/>
      </c>
      <c r="P2307" s="105" t="str">
        <f t="shared" si="1011"/>
        <v/>
      </c>
      <c r="Q2307" s="105" t="str">
        <f t="shared" si="999"/>
        <v/>
      </c>
      <c r="R2307" s="103" t="str">
        <f t="shared" si="1012"/>
        <v/>
      </c>
      <c r="S2307" s="103" t="str">
        <f t="shared" si="1013"/>
        <v/>
      </c>
      <c r="T2307" s="106" t="str">
        <f t="shared" si="1000"/>
        <v/>
      </c>
      <c r="U2307" s="106" t="str">
        <f t="shared" si="1001"/>
        <v/>
      </c>
      <c r="V2307" s="106" t="str">
        <f t="shared" si="1002"/>
        <v/>
      </c>
      <c r="W2307" s="105" t="str">
        <f t="shared" si="1014"/>
        <v/>
      </c>
      <c r="X2307" s="104" t="str">
        <f t="shared" ref="X2307:X2370" si="1019">IF(ISNUMBER(O2307),IF(I2307&gt;0,IF(E2307&gt;0,(0.912733*Z2307)/(1.033*(1+1.382937*EXP(-4.015292*E2307/10))*((E2307^2)*0.005454+0.087266)-0.174533),""),""),"")</f>
        <v/>
      </c>
      <c r="Y2307" s="104" t="str">
        <f t="array" ref="Y2307">IFERROR(IF(ISNUMBER(O2307),IF(COUNT(IF(A2307=$A$2:$A$2427,IF(D2307=$D$2:$D$2427,IF($X$2:$X$2427&gt;0,1))))&gt;0,SUM(IF(A2307=$A$2:$A$2427,IF(D2307=$D$2:$D$2427,$X$2:$X$2427)))/COUNT(IF(A2307=$A$2:$A$2427,IF(D2307=$D$2:$D$2427,IF(ISNUMBER($X$2:$X$2427),1)))),0),""),0)</f>
        <v/>
      </c>
      <c r="Z2307" s="104" t="str">
        <f>IF(ISNUMBER(O2307),IF(I2307&gt;0,(10^(VLOOKUP(D2307,'Species Codes'!B:C,2,0)+VLOOKUP(D2307,'Species Codes'!B:D,3,0)*LOG(E2307)+VLOOKUP(D2307,'Species Codes'!B:E,4,0)*LOG(I2307))),0),"")</f>
        <v/>
      </c>
      <c r="AA2307" s="104" t="str">
        <f>IFERROR((VLOOKUP(D2307,'Species Codes'!B:G,6,0)*Z2307)/2000,"")</f>
        <v/>
      </c>
      <c r="AB2307" s="104" t="e">
        <f>IF(Z2307&gt;0,((IF(OR(D2307="DF",D2307="RA")=TRUE,EXP(VLOOKUP(D2307,'Species Codes'!B:I,8,0)+VLOOKUP(D2307,'Species Codes'!B:J,9,0)*(LN((E2307*2.54)))),IF(OR(D2307="PY",D2307="RC",D2307="WH",D2307="NF")=TRUE,VLOOKUP(D2307,'Species Codes'!B:I,8,0)+VLOOKUP(D2307,'Species Codes'!B:J,9,0)*((E2307*2.54)^2)*(I2307*0.3048),IF(OR(D2307="MD",D2307="BM",D2307="GA")=TRUE,((VLOOKUP(D2307,'Species Codes'!B:I,8,0)*(((((E2307*2.54)+VLOOKUP(D2307,'Species Codes'!B:J,9,0))/VLOOKUP(D2307,'Species Codes'!B:K,10,0))^VLOOKUP(D2307,'Species Codes'!B:L,11,0))*((I2307*0.3048)^VLOOKUP(D2307,'Species Codes'!B:M,12,0))))-(VLOOKUP(D2307,'Species Codes'!B:I,8,0)*((((E2307*2.54)^VLOOKUP(D2307,'Species Codes'!B:L,11,0))*((I2307*0.3048)^VLOOKUP(D2307,'Species Codes'!B:M,12,0))))))*35.3*VLOOKUP(D2307,'Species Codes'!B:G,6,0)/2.2046,VLOOKUP(D2307,'Species Codes'!B:I,8,0)+VLOOKUP(D2307,'Species Codes'!B:J,9,0)*(((E2307*2.54)/100)^2)*(I2307*0.3048)))))*0.0011023),0)</f>
        <v>#N/A</v>
      </c>
      <c r="AC2307" s="104" t="e">
        <f>IF(Z2307&gt;0,((IF(OR(D2307="RA",D2307="OA",D2307="OT",D2307="UN",D2307="PC"),EXP(VLOOKUP(D2307,'Species Codes'!B:O,14,0)+VLOOKUP(D2307,'Species Codes'!B:P,15,0)*LN((E2307*2.54)))-EXP(VLOOKUP(D2307,'Species Codes'!B:O,14,0)+VLOOKUP(D2307,'Species Codes'!B:P,15,0)*LN((E2307*2.54)))*(1/(VLOOKUP(D2307,'Species Codes'!B:Q,16,0)+VLOOKUP(D2307,'Species Codes'!B:R,17,0)*((E2307*2.54)^VLOOKUP(D2307,'Species Codes'!B:S,18,0)))),IF(OR(D2307="BM",D2307="MD",D2307="OA"),EXP(VLOOKUP(D2307,'Species Codes'!B:O,14,0)+VLOOKUP(D2307,'Species Codes'!B:P,15,0)*LN((E2307*2.54)))*(1-(1/(VLOOKUP(D2307,'Species Codes'!B:Q,16,0)+VLOOKUP(D2307,'Species Codes'!B:R,17,0)*((E2307*2.54)^VLOOKUP(D2307,'Species Codes'!B:S,18,0)))))/1000,IF(D2307="DF",EXP(VLOOKUP(D2307,'Species Codes'!B:O,14,0)+VLOOKUP(D2307,'Species Codes'!B:P,15,0)*LN((E2307*2.54))),VLOOKUP(D2307,'Species Codes'!B:O,14,0)+VLOOKUP(D2307,'Species Codes'!B:P,15,0)*(((E2307*2.54)/100)^2)*(I2307*0.3048)))))*0.0011023),0)</f>
        <v>#N/A</v>
      </c>
      <c r="AD2307" s="104" t="e">
        <f t="shared" si="1003"/>
        <v>#N/A</v>
      </c>
      <c r="AE2307" s="104" t="e">
        <f t="shared" si="1004"/>
        <v>#N/A</v>
      </c>
      <c r="AF2307" s="104" t="e">
        <f>IF(AND(VLOOKUP($D2307,Merchantability!$B:$C,2,0)="Yes",$E2307&gt;=VLOOKUP($D2307,Merchantability!$B:$D,3,0),$E2307&lt;=VLOOKUP($D2307,Merchantability!$B:$E,4,0)),AA2307,0)</f>
        <v>#N/A</v>
      </c>
      <c r="AG2307" s="104" t="e">
        <f>IF(AND(VLOOKUP($D2307,Merchantability!$B:$C,2,0)="Yes",$E2307&gt;=VLOOKUP($D2307,Merchantability!$B:$D,3,0),$E2307&lt;=VLOOKUP($D2307,Merchantability!$B:$E,4,0)),AB2307,0)</f>
        <v>#N/A</v>
      </c>
      <c r="AH2307" s="104" t="e">
        <f>IF(AND(VLOOKUP($D2307,Merchantability!$B:$C,2,0)="Yes",$E2307&gt;=VLOOKUP($D2307,Merchantability!$B:$D,3,0),$E2307&lt;=VLOOKUP($D2307,Merchantability!$B:$E,4,0)),AC2307,0)</f>
        <v>#N/A</v>
      </c>
      <c r="AI2307" s="104" t="e">
        <f t="shared" si="1005"/>
        <v>#N/A</v>
      </c>
      <c r="AJ2307" s="104" t="e">
        <f t="shared" si="1006"/>
        <v>#VALUE!</v>
      </c>
      <c r="AK2307" s="104" t="e">
        <f t="shared" si="1007"/>
        <v>#N/A</v>
      </c>
      <c r="AL2307" s="104" t="e">
        <f t="shared" si="1008"/>
        <v>#N/A</v>
      </c>
      <c r="AM2307" s="104" t="e">
        <f t="shared" si="1009"/>
        <v>#N/A</v>
      </c>
      <c r="AN2307" s="104" t="e">
        <f t="shared" ref="AN2307:AN2370" si="1020">AF2307*$O2307</f>
        <v>#N/A</v>
      </c>
      <c r="AO2307" s="104" t="e">
        <f t="shared" ref="AO2307:AO2370" si="1021">AG2307*$O2307</f>
        <v>#N/A</v>
      </c>
      <c r="AP2307" s="104" t="e">
        <f t="shared" ref="AP2307:AP2370" si="1022">AH2307*$O2307</f>
        <v>#N/A</v>
      </c>
      <c r="AQ2307" s="104" t="e">
        <f t="shared" ref="AQ2307:AQ2370" si="1023">SUM(AN2307:AP2307)</f>
        <v>#N/A</v>
      </c>
      <c r="AR2307" s="105" t="str">
        <f t="shared" si="1015"/>
        <v/>
      </c>
      <c r="AS2307" s="105" t="str">
        <f t="shared" si="1016"/>
        <v/>
      </c>
      <c r="AT2307" s="108" t="str">
        <f t="shared" si="1017"/>
        <v/>
      </c>
      <c r="AU2307" s="108" t="str">
        <f t="shared" si="1018"/>
        <v/>
      </c>
      <c r="AV2307" s="107" t="str">
        <f>IF(ISNUMBER(O2307),IF(VLOOKUP($A2307,Stand!C:J,8,FALSE)="Short",AT2307,AU2307),"")</f>
        <v/>
      </c>
      <c r="AW2307" s="109" t="str">
        <f t="shared" ref="AW2307:AW2370" si="1024">IF(ISNUMBER(O2307),AV2307*O2307,"")</f>
        <v/>
      </c>
      <c r="AX2307" s="109" t="str">
        <f t="shared" ref="AX2307:AX2370" si="1025">IF(ISNUMBER(O2307),AW2307*(1-$H2307/100),"")</f>
        <v/>
      </c>
      <c r="AY2307" s="112" t="str">
        <f>IF(ISNUMBER(O2307),IF(AND(VLOOKUP($D2307,Merchantability!$B:$C,2,0)="Yes",$E2307&gt;=VLOOKUP($D2307,Merchantability!$B:$D,3,0),$E2307&lt;=VLOOKUP($D2307,Merchantability!$B:$E,4,0)),(AV2307*O2307)*(1-$H2307/100),""),"")</f>
        <v/>
      </c>
      <c r="AZ2307" s="116"/>
      <c r="BA2307" s="116"/>
      <c r="BB2307" s="116"/>
      <c r="BE2307" s="62"/>
      <c r="BF2307" s="63"/>
    </row>
    <row r="2308" spans="1:58" ht="12.75" customHeight="1" x14ac:dyDescent="0.25">
      <c r="A2308" s="334"/>
      <c r="B2308" s="334"/>
      <c r="C2308" s="332"/>
      <c r="D2308" s="334"/>
      <c r="E2308" s="335"/>
      <c r="F2308" s="334"/>
      <c r="G2308" s="332"/>
      <c r="H2308" s="332"/>
      <c r="I2308" s="334"/>
      <c r="J2308" s="336"/>
      <c r="K2308" s="332"/>
      <c r="L2308" s="332"/>
      <c r="M2308" s="76"/>
      <c r="N2308" s="103" t="str">
        <f>IF(A2308="","",VLOOKUP(A2308,Stand!C:K,9,0))</f>
        <v/>
      </c>
      <c r="O2308" s="104" t="str">
        <f t="shared" si="1010"/>
        <v/>
      </c>
      <c r="P2308" s="105" t="str">
        <f t="shared" si="1011"/>
        <v/>
      </c>
      <c r="Q2308" s="105" t="str">
        <f t="shared" si="999"/>
        <v/>
      </c>
      <c r="R2308" s="103" t="str">
        <f t="shared" si="1012"/>
        <v/>
      </c>
      <c r="S2308" s="103" t="str">
        <f t="shared" si="1013"/>
        <v/>
      </c>
      <c r="T2308" s="106" t="str">
        <f t="shared" si="1000"/>
        <v/>
      </c>
      <c r="U2308" s="106" t="str">
        <f t="shared" si="1001"/>
        <v/>
      </c>
      <c r="V2308" s="106" t="str">
        <f t="shared" si="1002"/>
        <v/>
      </c>
      <c r="W2308" s="105" t="str">
        <f t="shared" si="1014"/>
        <v/>
      </c>
      <c r="X2308" s="104" t="str">
        <f t="shared" si="1019"/>
        <v/>
      </c>
      <c r="Y2308" s="104" t="str">
        <f t="array" ref="Y2308">IFERROR(IF(ISNUMBER(O2308),IF(COUNT(IF(A2308=$A$2:$A$2427,IF(D2308=$D$2:$D$2427,IF($X$2:$X$2427&gt;0,1))))&gt;0,SUM(IF(A2308=$A$2:$A$2427,IF(D2308=$D$2:$D$2427,$X$2:$X$2427)))/COUNT(IF(A2308=$A$2:$A$2427,IF(D2308=$D$2:$D$2427,IF(ISNUMBER($X$2:$X$2427),1)))),0),""),0)</f>
        <v/>
      </c>
      <c r="Z2308" s="104" t="str">
        <f>IF(ISNUMBER(O2308),IF(I2308&gt;0,(10^(VLOOKUP(D2308,'Species Codes'!B:C,2,0)+VLOOKUP(D2308,'Species Codes'!B:D,3,0)*LOG(E2308)+VLOOKUP(D2308,'Species Codes'!B:E,4,0)*LOG(I2308))),0),"")</f>
        <v/>
      </c>
      <c r="AA2308" s="104" t="str">
        <f>IFERROR((VLOOKUP(D2308,'Species Codes'!B:G,6,0)*Z2308)/2000,"")</f>
        <v/>
      </c>
      <c r="AB2308" s="104" t="e">
        <f>IF(Z2308&gt;0,((IF(OR(D2308="DF",D2308="RA")=TRUE,EXP(VLOOKUP(D2308,'Species Codes'!B:I,8,0)+VLOOKUP(D2308,'Species Codes'!B:J,9,0)*(LN((E2308*2.54)))),IF(OR(D2308="PY",D2308="RC",D2308="WH",D2308="NF")=TRUE,VLOOKUP(D2308,'Species Codes'!B:I,8,0)+VLOOKUP(D2308,'Species Codes'!B:J,9,0)*((E2308*2.54)^2)*(I2308*0.3048),IF(OR(D2308="MD",D2308="BM",D2308="GA")=TRUE,((VLOOKUP(D2308,'Species Codes'!B:I,8,0)*(((((E2308*2.54)+VLOOKUP(D2308,'Species Codes'!B:J,9,0))/VLOOKUP(D2308,'Species Codes'!B:K,10,0))^VLOOKUP(D2308,'Species Codes'!B:L,11,0))*((I2308*0.3048)^VLOOKUP(D2308,'Species Codes'!B:M,12,0))))-(VLOOKUP(D2308,'Species Codes'!B:I,8,0)*((((E2308*2.54)^VLOOKUP(D2308,'Species Codes'!B:L,11,0))*((I2308*0.3048)^VLOOKUP(D2308,'Species Codes'!B:M,12,0))))))*35.3*VLOOKUP(D2308,'Species Codes'!B:G,6,0)/2.2046,VLOOKUP(D2308,'Species Codes'!B:I,8,0)+VLOOKUP(D2308,'Species Codes'!B:J,9,0)*(((E2308*2.54)/100)^2)*(I2308*0.3048)))))*0.0011023),0)</f>
        <v>#N/A</v>
      </c>
      <c r="AC2308" s="104" t="e">
        <f>IF(Z2308&gt;0,((IF(OR(D2308="RA",D2308="OA",D2308="OT",D2308="UN",D2308="PC"),EXP(VLOOKUP(D2308,'Species Codes'!B:O,14,0)+VLOOKUP(D2308,'Species Codes'!B:P,15,0)*LN((E2308*2.54)))-EXP(VLOOKUP(D2308,'Species Codes'!B:O,14,0)+VLOOKUP(D2308,'Species Codes'!B:P,15,0)*LN((E2308*2.54)))*(1/(VLOOKUP(D2308,'Species Codes'!B:Q,16,0)+VLOOKUP(D2308,'Species Codes'!B:R,17,0)*((E2308*2.54)^VLOOKUP(D2308,'Species Codes'!B:S,18,0)))),IF(OR(D2308="BM",D2308="MD",D2308="OA"),EXP(VLOOKUP(D2308,'Species Codes'!B:O,14,0)+VLOOKUP(D2308,'Species Codes'!B:P,15,0)*LN((E2308*2.54)))*(1-(1/(VLOOKUP(D2308,'Species Codes'!B:Q,16,0)+VLOOKUP(D2308,'Species Codes'!B:R,17,0)*((E2308*2.54)^VLOOKUP(D2308,'Species Codes'!B:S,18,0)))))/1000,IF(D2308="DF",EXP(VLOOKUP(D2308,'Species Codes'!B:O,14,0)+VLOOKUP(D2308,'Species Codes'!B:P,15,0)*LN((E2308*2.54))),VLOOKUP(D2308,'Species Codes'!B:O,14,0)+VLOOKUP(D2308,'Species Codes'!B:P,15,0)*(((E2308*2.54)/100)^2)*(I2308*0.3048)))))*0.0011023),0)</f>
        <v>#N/A</v>
      </c>
      <c r="AD2308" s="104" t="e">
        <f t="shared" si="1003"/>
        <v>#N/A</v>
      </c>
      <c r="AE2308" s="104" t="e">
        <f t="shared" si="1004"/>
        <v>#N/A</v>
      </c>
      <c r="AF2308" s="104" t="e">
        <f>IF(AND(VLOOKUP($D2308,Merchantability!$B:$C,2,0)="Yes",$E2308&gt;=VLOOKUP($D2308,Merchantability!$B:$D,3,0),$E2308&lt;=VLOOKUP($D2308,Merchantability!$B:$E,4,0)),AA2308,0)</f>
        <v>#N/A</v>
      </c>
      <c r="AG2308" s="104" t="e">
        <f>IF(AND(VLOOKUP($D2308,Merchantability!$B:$C,2,0)="Yes",$E2308&gt;=VLOOKUP($D2308,Merchantability!$B:$D,3,0),$E2308&lt;=VLOOKUP($D2308,Merchantability!$B:$E,4,0)),AB2308,0)</f>
        <v>#N/A</v>
      </c>
      <c r="AH2308" s="104" t="e">
        <f>IF(AND(VLOOKUP($D2308,Merchantability!$B:$C,2,0)="Yes",$E2308&gt;=VLOOKUP($D2308,Merchantability!$B:$D,3,0),$E2308&lt;=VLOOKUP($D2308,Merchantability!$B:$E,4,0)),AC2308,0)</f>
        <v>#N/A</v>
      </c>
      <c r="AI2308" s="104" t="e">
        <f t="shared" si="1005"/>
        <v>#N/A</v>
      </c>
      <c r="AJ2308" s="104" t="e">
        <f t="shared" si="1006"/>
        <v>#VALUE!</v>
      </c>
      <c r="AK2308" s="104" t="e">
        <f t="shared" si="1007"/>
        <v>#N/A</v>
      </c>
      <c r="AL2308" s="104" t="e">
        <f t="shared" si="1008"/>
        <v>#N/A</v>
      </c>
      <c r="AM2308" s="104" t="e">
        <f t="shared" si="1009"/>
        <v>#N/A</v>
      </c>
      <c r="AN2308" s="104" t="e">
        <f t="shared" si="1020"/>
        <v>#N/A</v>
      </c>
      <c r="AO2308" s="104" t="e">
        <f t="shared" si="1021"/>
        <v>#N/A</v>
      </c>
      <c r="AP2308" s="104" t="e">
        <f t="shared" si="1022"/>
        <v>#N/A</v>
      </c>
      <c r="AQ2308" s="104" t="e">
        <f t="shared" si="1023"/>
        <v>#N/A</v>
      </c>
      <c r="AR2308" s="105" t="str">
        <f t="shared" si="1015"/>
        <v/>
      </c>
      <c r="AS2308" s="105" t="str">
        <f t="shared" si="1016"/>
        <v/>
      </c>
      <c r="AT2308" s="108" t="str">
        <f t="shared" si="1017"/>
        <v/>
      </c>
      <c r="AU2308" s="108" t="str">
        <f t="shared" si="1018"/>
        <v/>
      </c>
      <c r="AV2308" s="107" t="str">
        <f>IF(ISNUMBER(O2308),IF(VLOOKUP($A2308,Stand!C:J,8,FALSE)="Short",AT2308,AU2308),"")</f>
        <v/>
      </c>
      <c r="AW2308" s="109" t="str">
        <f t="shared" si="1024"/>
        <v/>
      </c>
      <c r="AX2308" s="109" t="str">
        <f t="shared" si="1025"/>
        <v/>
      </c>
      <c r="AY2308" s="112" t="str">
        <f>IF(ISNUMBER(O2308),IF(AND(VLOOKUP($D2308,Merchantability!$B:$C,2,0)="Yes",$E2308&gt;=VLOOKUP($D2308,Merchantability!$B:$D,3,0),$E2308&lt;=VLOOKUP($D2308,Merchantability!$B:$E,4,0)),(AV2308*O2308)*(1-$H2308/100),""),"")</f>
        <v/>
      </c>
      <c r="AZ2308" s="116"/>
      <c r="BA2308" s="116"/>
      <c r="BB2308" s="116"/>
      <c r="BE2308" s="62"/>
      <c r="BF2308" s="63"/>
    </row>
    <row r="2309" spans="1:58" ht="12.75" customHeight="1" x14ac:dyDescent="0.25">
      <c r="A2309" s="334"/>
      <c r="B2309" s="334"/>
      <c r="C2309" s="332"/>
      <c r="D2309" s="334"/>
      <c r="E2309" s="335"/>
      <c r="F2309" s="334"/>
      <c r="G2309" s="332"/>
      <c r="H2309" s="332"/>
      <c r="I2309" s="334"/>
      <c r="J2309" s="336"/>
      <c r="K2309" s="332"/>
      <c r="L2309" s="332"/>
      <c r="M2309" s="76"/>
      <c r="N2309" s="103" t="str">
        <f>IF(A2309="","",VLOOKUP(A2309,Stand!C:K,9,0))</f>
        <v/>
      </c>
      <c r="O2309" s="104" t="str">
        <f t="shared" si="1010"/>
        <v/>
      </c>
      <c r="P2309" s="105" t="str">
        <f t="shared" si="1011"/>
        <v/>
      </c>
      <c r="Q2309" s="105" t="str">
        <f t="shared" si="999"/>
        <v/>
      </c>
      <c r="R2309" s="103" t="str">
        <f t="shared" si="1012"/>
        <v/>
      </c>
      <c r="S2309" s="103" t="str">
        <f t="shared" si="1013"/>
        <v/>
      </c>
      <c r="T2309" s="106" t="str">
        <f t="shared" si="1000"/>
        <v/>
      </c>
      <c r="U2309" s="106" t="str">
        <f t="shared" si="1001"/>
        <v/>
      </c>
      <c r="V2309" s="106" t="str">
        <f t="shared" si="1002"/>
        <v/>
      </c>
      <c r="W2309" s="105" t="str">
        <f t="shared" si="1014"/>
        <v/>
      </c>
      <c r="X2309" s="104" t="str">
        <f t="shared" si="1019"/>
        <v/>
      </c>
      <c r="Y2309" s="104" t="str">
        <f t="array" ref="Y2309">IFERROR(IF(ISNUMBER(O2309),IF(COUNT(IF(A2309=$A$2:$A$2427,IF(D2309=$D$2:$D$2427,IF($X$2:$X$2427&gt;0,1))))&gt;0,SUM(IF(A2309=$A$2:$A$2427,IF(D2309=$D$2:$D$2427,$X$2:$X$2427)))/COUNT(IF(A2309=$A$2:$A$2427,IF(D2309=$D$2:$D$2427,IF(ISNUMBER($X$2:$X$2427),1)))),0),""),0)</f>
        <v/>
      </c>
      <c r="Z2309" s="104" t="str">
        <f>IF(ISNUMBER(O2309),IF(I2309&gt;0,(10^(VLOOKUP(D2309,'Species Codes'!B:C,2,0)+VLOOKUP(D2309,'Species Codes'!B:D,3,0)*LOG(E2309)+VLOOKUP(D2309,'Species Codes'!B:E,4,0)*LOG(I2309))),0),"")</f>
        <v/>
      </c>
      <c r="AA2309" s="104" t="str">
        <f>IFERROR((VLOOKUP(D2309,'Species Codes'!B:G,6,0)*Z2309)/2000,"")</f>
        <v/>
      </c>
      <c r="AB2309" s="104" t="e">
        <f>IF(Z2309&gt;0,((IF(OR(D2309="DF",D2309="RA")=TRUE,EXP(VLOOKUP(D2309,'Species Codes'!B:I,8,0)+VLOOKUP(D2309,'Species Codes'!B:J,9,0)*(LN((E2309*2.54)))),IF(OR(D2309="PY",D2309="RC",D2309="WH",D2309="NF")=TRUE,VLOOKUP(D2309,'Species Codes'!B:I,8,0)+VLOOKUP(D2309,'Species Codes'!B:J,9,0)*((E2309*2.54)^2)*(I2309*0.3048),IF(OR(D2309="MD",D2309="BM",D2309="GA")=TRUE,((VLOOKUP(D2309,'Species Codes'!B:I,8,0)*(((((E2309*2.54)+VLOOKUP(D2309,'Species Codes'!B:J,9,0))/VLOOKUP(D2309,'Species Codes'!B:K,10,0))^VLOOKUP(D2309,'Species Codes'!B:L,11,0))*((I2309*0.3048)^VLOOKUP(D2309,'Species Codes'!B:M,12,0))))-(VLOOKUP(D2309,'Species Codes'!B:I,8,0)*((((E2309*2.54)^VLOOKUP(D2309,'Species Codes'!B:L,11,0))*((I2309*0.3048)^VLOOKUP(D2309,'Species Codes'!B:M,12,0))))))*35.3*VLOOKUP(D2309,'Species Codes'!B:G,6,0)/2.2046,VLOOKUP(D2309,'Species Codes'!B:I,8,0)+VLOOKUP(D2309,'Species Codes'!B:J,9,0)*(((E2309*2.54)/100)^2)*(I2309*0.3048)))))*0.0011023),0)</f>
        <v>#N/A</v>
      </c>
      <c r="AC2309" s="104" t="e">
        <f>IF(Z2309&gt;0,((IF(OR(D2309="RA",D2309="OA",D2309="OT",D2309="UN",D2309="PC"),EXP(VLOOKUP(D2309,'Species Codes'!B:O,14,0)+VLOOKUP(D2309,'Species Codes'!B:P,15,0)*LN((E2309*2.54)))-EXP(VLOOKUP(D2309,'Species Codes'!B:O,14,0)+VLOOKUP(D2309,'Species Codes'!B:P,15,0)*LN((E2309*2.54)))*(1/(VLOOKUP(D2309,'Species Codes'!B:Q,16,0)+VLOOKUP(D2309,'Species Codes'!B:R,17,0)*((E2309*2.54)^VLOOKUP(D2309,'Species Codes'!B:S,18,0)))),IF(OR(D2309="BM",D2309="MD",D2309="OA"),EXP(VLOOKUP(D2309,'Species Codes'!B:O,14,0)+VLOOKUP(D2309,'Species Codes'!B:P,15,0)*LN((E2309*2.54)))*(1-(1/(VLOOKUP(D2309,'Species Codes'!B:Q,16,0)+VLOOKUP(D2309,'Species Codes'!B:R,17,0)*((E2309*2.54)^VLOOKUP(D2309,'Species Codes'!B:S,18,0)))))/1000,IF(D2309="DF",EXP(VLOOKUP(D2309,'Species Codes'!B:O,14,0)+VLOOKUP(D2309,'Species Codes'!B:P,15,0)*LN((E2309*2.54))),VLOOKUP(D2309,'Species Codes'!B:O,14,0)+VLOOKUP(D2309,'Species Codes'!B:P,15,0)*(((E2309*2.54)/100)^2)*(I2309*0.3048)))))*0.0011023),0)</f>
        <v>#N/A</v>
      </c>
      <c r="AD2309" s="104" t="e">
        <f t="shared" si="1003"/>
        <v>#N/A</v>
      </c>
      <c r="AE2309" s="104" t="e">
        <f t="shared" si="1004"/>
        <v>#N/A</v>
      </c>
      <c r="AF2309" s="104" t="e">
        <f>IF(AND(VLOOKUP($D2309,Merchantability!$B:$C,2,0)="Yes",$E2309&gt;=VLOOKUP($D2309,Merchantability!$B:$D,3,0),$E2309&lt;=VLOOKUP($D2309,Merchantability!$B:$E,4,0)),AA2309,0)</f>
        <v>#N/A</v>
      </c>
      <c r="AG2309" s="104" t="e">
        <f>IF(AND(VLOOKUP($D2309,Merchantability!$B:$C,2,0)="Yes",$E2309&gt;=VLOOKUP($D2309,Merchantability!$B:$D,3,0),$E2309&lt;=VLOOKUP($D2309,Merchantability!$B:$E,4,0)),AB2309,0)</f>
        <v>#N/A</v>
      </c>
      <c r="AH2309" s="104" t="e">
        <f>IF(AND(VLOOKUP($D2309,Merchantability!$B:$C,2,0)="Yes",$E2309&gt;=VLOOKUP($D2309,Merchantability!$B:$D,3,0),$E2309&lt;=VLOOKUP($D2309,Merchantability!$B:$E,4,0)),AC2309,0)</f>
        <v>#N/A</v>
      </c>
      <c r="AI2309" s="104" t="e">
        <f t="shared" si="1005"/>
        <v>#N/A</v>
      </c>
      <c r="AJ2309" s="104" t="e">
        <f t="shared" si="1006"/>
        <v>#VALUE!</v>
      </c>
      <c r="AK2309" s="104" t="e">
        <f t="shared" si="1007"/>
        <v>#N/A</v>
      </c>
      <c r="AL2309" s="104" t="e">
        <f t="shared" si="1008"/>
        <v>#N/A</v>
      </c>
      <c r="AM2309" s="104" t="e">
        <f t="shared" si="1009"/>
        <v>#N/A</v>
      </c>
      <c r="AN2309" s="104" t="e">
        <f t="shared" si="1020"/>
        <v>#N/A</v>
      </c>
      <c r="AO2309" s="104" t="e">
        <f t="shared" si="1021"/>
        <v>#N/A</v>
      </c>
      <c r="AP2309" s="104" t="e">
        <f t="shared" si="1022"/>
        <v>#N/A</v>
      </c>
      <c r="AQ2309" s="104" t="e">
        <f t="shared" si="1023"/>
        <v>#N/A</v>
      </c>
      <c r="AR2309" s="105" t="str">
        <f t="shared" si="1015"/>
        <v/>
      </c>
      <c r="AS2309" s="105" t="str">
        <f t="shared" si="1016"/>
        <v/>
      </c>
      <c r="AT2309" s="108" t="str">
        <f t="shared" si="1017"/>
        <v/>
      </c>
      <c r="AU2309" s="108" t="str">
        <f t="shared" si="1018"/>
        <v/>
      </c>
      <c r="AV2309" s="107" t="str">
        <f>IF(ISNUMBER(O2309),IF(VLOOKUP($A2309,Stand!C:J,8,FALSE)="Short",AT2309,AU2309),"")</f>
        <v/>
      </c>
      <c r="AW2309" s="109" t="str">
        <f t="shared" si="1024"/>
        <v/>
      </c>
      <c r="AX2309" s="109" t="str">
        <f t="shared" si="1025"/>
        <v/>
      </c>
      <c r="AY2309" s="112" t="str">
        <f>IF(ISNUMBER(O2309),IF(AND(VLOOKUP($D2309,Merchantability!$B:$C,2,0)="Yes",$E2309&gt;=VLOOKUP($D2309,Merchantability!$B:$D,3,0),$E2309&lt;=VLOOKUP($D2309,Merchantability!$B:$E,4,0)),(AV2309*O2309)*(1-$H2309/100),""),"")</f>
        <v/>
      </c>
      <c r="AZ2309" s="116"/>
      <c r="BA2309" s="116"/>
      <c r="BB2309" s="116"/>
      <c r="BE2309" s="62"/>
      <c r="BF2309" s="63"/>
    </row>
    <row r="2310" spans="1:58" ht="12.75" customHeight="1" x14ac:dyDescent="0.25">
      <c r="A2310" s="334"/>
      <c r="B2310" s="334"/>
      <c r="C2310" s="332"/>
      <c r="D2310" s="334"/>
      <c r="E2310" s="335"/>
      <c r="F2310" s="334"/>
      <c r="G2310" s="332"/>
      <c r="H2310" s="332"/>
      <c r="I2310" s="334"/>
      <c r="J2310" s="336"/>
      <c r="K2310" s="332"/>
      <c r="L2310" s="332"/>
      <c r="M2310" s="76"/>
      <c r="N2310" s="103" t="str">
        <f>IF(A2310="","",VLOOKUP(A2310,Stand!C:K,9,0))</f>
        <v/>
      </c>
      <c r="O2310" s="104" t="str">
        <f t="shared" si="1010"/>
        <v/>
      </c>
      <c r="P2310" s="105" t="str">
        <f t="shared" si="1011"/>
        <v/>
      </c>
      <c r="Q2310" s="105" t="str">
        <f t="shared" si="999"/>
        <v/>
      </c>
      <c r="R2310" s="103" t="str">
        <f t="shared" si="1012"/>
        <v/>
      </c>
      <c r="S2310" s="103" t="str">
        <f t="shared" si="1013"/>
        <v/>
      </c>
      <c r="T2310" s="106" t="str">
        <f t="shared" si="1000"/>
        <v/>
      </c>
      <c r="U2310" s="106" t="str">
        <f t="shared" si="1001"/>
        <v/>
      </c>
      <c r="V2310" s="106" t="str">
        <f t="shared" si="1002"/>
        <v/>
      </c>
      <c r="W2310" s="105" t="str">
        <f t="shared" si="1014"/>
        <v/>
      </c>
      <c r="X2310" s="104" t="str">
        <f t="shared" si="1019"/>
        <v/>
      </c>
      <c r="Y2310" s="104" t="str">
        <f t="array" ref="Y2310">IFERROR(IF(ISNUMBER(O2310),IF(COUNT(IF(A2310=$A$2:$A$2427,IF(D2310=$D$2:$D$2427,IF($X$2:$X$2427&gt;0,1))))&gt;0,SUM(IF(A2310=$A$2:$A$2427,IF(D2310=$D$2:$D$2427,$X$2:$X$2427)))/COUNT(IF(A2310=$A$2:$A$2427,IF(D2310=$D$2:$D$2427,IF(ISNUMBER($X$2:$X$2427),1)))),0),""),0)</f>
        <v/>
      </c>
      <c r="Z2310" s="104" t="str">
        <f>IF(ISNUMBER(O2310),IF(I2310&gt;0,(10^(VLOOKUP(D2310,'Species Codes'!B:C,2,0)+VLOOKUP(D2310,'Species Codes'!B:D,3,0)*LOG(E2310)+VLOOKUP(D2310,'Species Codes'!B:E,4,0)*LOG(I2310))),0),"")</f>
        <v/>
      </c>
      <c r="AA2310" s="104" t="str">
        <f>IFERROR((VLOOKUP(D2310,'Species Codes'!B:G,6,0)*Z2310)/2000,"")</f>
        <v/>
      </c>
      <c r="AB2310" s="104" t="e">
        <f>IF(Z2310&gt;0,((IF(OR(D2310="DF",D2310="RA")=TRUE,EXP(VLOOKUP(D2310,'Species Codes'!B:I,8,0)+VLOOKUP(D2310,'Species Codes'!B:J,9,0)*(LN((E2310*2.54)))),IF(OR(D2310="PY",D2310="RC",D2310="WH",D2310="NF")=TRUE,VLOOKUP(D2310,'Species Codes'!B:I,8,0)+VLOOKUP(D2310,'Species Codes'!B:J,9,0)*((E2310*2.54)^2)*(I2310*0.3048),IF(OR(D2310="MD",D2310="BM",D2310="GA")=TRUE,((VLOOKUP(D2310,'Species Codes'!B:I,8,0)*(((((E2310*2.54)+VLOOKUP(D2310,'Species Codes'!B:J,9,0))/VLOOKUP(D2310,'Species Codes'!B:K,10,0))^VLOOKUP(D2310,'Species Codes'!B:L,11,0))*((I2310*0.3048)^VLOOKUP(D2310,'Species Codes'!B:M,12,0))))-(VLOOKUP(D2310,'Species Codes'!B:I,8,0)*((((E2310*2.54)^VLOOKUP(D2310,'Species Codes'!B:L,11,0))*((I2310*0.3048)^VLOOKUP(D2310,'Species Codes'!B:M,12,0))))))*35.3*VLOOKUP(D2310,'Species Codes'!B:G,6,0)/2.2046,VLOOKUP(D2310,'Species Codes'!B:I,8,0)+VLOOKUP(D2310,'Species Codes'!B:J,9,0)*(((E2310*2.54)/100)^2)*(I2310*0.3048)))))*0.0011023),0)</f>
        <v>#N/A</v>
      </c>
      <c r="AC2310" s="104" t="e">
        <f>IF(Z2310&gt;0,((IF(OR(D2310="RA",D2310="OA",D2310="OT",D2310="UN",D2310="PC"),EXP(VLOOKUP(D2310,'Species Codes'!B:O,14,0)+VLOOKUP(D2310,'Species Codes'!B:P,15,0)*LN((E2310*2.54)))-EXP(VLOOKUP(D2310,'Species Codes'!B:O,14,0)+VLOOKUP(D2310,'Species Codes'!B:P,15,0)*LN((E2310*2.54)))*(1/(VLOOKUP(D2310,'Species Codes'!B:Q,16,0)+VLOOKUP(D2310,'Species Codes'!B:R,17,0)*((E2310*2.54)^VLOOKUP(D2310,'Species Codes'!B:S,18,0)))),IF(OR(D2310="BM",D2310="MD",D2310="OA"),EXP(VLOOKUP(D2310,'Species Codes'!B:O,14,0)+VLOOKUP(D2310,'Species Codes'!B:P,15,0)*LN((E2310*2.54)))*(1-(1/(VLOOKUP(D2310,'Species Codes'!B:Q,16,0)+VLOOKUP(D2310,'Species Codes'!B:R,17,0)*((E2310*2.54)^VLOOKUP(D2310,'Species Codes'!B:S,18,0)))))/1000,IF(D2310="DF",EXP(VLOOKUP(D2310,'Species Codes'!B:O,14,0)+VLOOKUP(D2310,'Species Codes'!B:P,15,0)*LN((E2310*2.54))),VLOOKUP(D2310,'Species Codes'!B:O,14,0)+VLOOKUP(D2310,'Species Codes'!B:P,15,0)*(((E2310*2.54)/100)^2)*(I2310*0.3048)))))*0.0011023),0)</f>
        <v>#N/A</v>
      </c>
      <c r="AD2310" s="104" t="e">
        <f t="shared" si="1003"/>
        <v>#N/A</v>
      </c>
      <c r="AE2310" s="104" t="e">
        <f t="shared" si="1004"/>
        <v>#N/A</v>
      </c>
      <c r="AF2310" s="104" t="e">
        <f>IF(AND(VLOOKUP($D2310,Merchantability!$B:$C,2,0)="Yes",$E2310&gt;=VLOOKUP($D2310,Merchantability!$B:$D,3,0),$E2310&lt;=VLOOKUP($D2310,Merchantability!$B:$E,4,0)),AA2310,0)</f>
        <v>#N/A</v>
      </c>
      <c r="AG2310" s="104" t="e">
        <f>IF(AND(VLOOKUP($D2310,Merchantability!$B:$C,2,0)="Yes",$E2310&gt;=VLOOKUP($D2310,Merchantability!$B:$D,3,0),$E2310&lt;=VLOOKUP($D2310,Merchantability!$B:$E,4,0)),AB2310,0)</f>
        <v>#N/A</v>
      </c>
      <c r="AH2310" s="104" t="e">
        <f>IF(AND(VLOOKUP($D2310,Merchantability!$B:$C,2,0)="Yes",$E2310&gt;=VLOOKUP($D2310,Merchantability!$B:$D,3,0),$E2310&lt;=VLOOKUP($D2310,Merchantability!$B:$E,4,0)),AC2310,0)</f>
        <v>#N/A</v>
      </c>
      <c r="AI2310" s="104" t="e">
        <f t="shared" si="1005"/>
        <v>#N/A</v>
      </c>
      <c r="AJ2310" s="104" t="e">
        <f t="shared" si="1006"/>
        <v>#VALUE!</v>
      </c>
      <c r="AK2310" s="104" t="e">
        <f t="shared" si="1007"/>
        <v>#N/A</v>
      </c>
      <c r="AL2310" s="104" t="e">
        <f t="shared" si="1008"/>
        <v>#N/A</v>
      </c>
      <c r="AM2310" s="104" t="e">
        <f t="shared" si="1009"/>
        <v>#N/A</v>
      </c>
      <c r="AN2310" s="104" t="e">
        <f t="shared" si="1020"/>
        <v>#N/A</v>
      </c>
      <c r="AO2310" s="104" t="e">
        <f t="shared" si="1021"/>
        <v>#N/A</v>
      </c>
      <c r="AP2310" s="104" t="e">
        <f t="shared" si="1022"/>
        <v>#N/A</v>
      </c>
      <c r="AQ2310" s="104" t="e">
        <f t="shared" si="1023"/>
        <v>#N/A</v>
      </c>
      <c r="AR2310" s="105" t="str">
        <f t="shared" si="1015"/>
        <v/>
      </c>
      <c r="AS2310" s="105" t="str">
        <f t="shared" si="1016"/>
        <v/>
      </c>
      <c r="AT2310" s="108" t="str">
        <f t="shared" si="1017"/>
        <v/>
      </c>
      <c r="AU2310" s="108" t="str">
        <f t="shared" si="1018"/>
        <v/>
      </c>
      <c r="AV2310" s="107" t="str">
        <f>IF(ISNUMBER(O2310),IF(VLOOKUP($A2310,Stand!C:J,8,FALSE)="Short",AT2310,AU2310),"")</f>
        <v/>
      </c>
      <c r="AW2310" s="109" t="str">
        <f t="shared" si="1024"/>
        <v/>
      </c>
      <c r="AX2310" s="109" t="str">
        <f t="shared" si="1025"/>
        <v/>
      </c>
      <c r="AY2310" s="112" t="str">
        <f>IF(ISNUMBER(O2310),IF(AND(VLOOKUP($D2310,Merchantability!$B:$C,2,0)="Yes",$E2310&gt;=VLOOKUP($D2310,Merchantability!$B:$D,3,0),$E2310&lt;=VLOOKUP($D2310,Merchantability!$B:$E,4,0)),(AV2310*O2310)*(1-$H2310/100),""),"")</f>
        <v/>
      </c>
      <c r="AZ2310" s="116"/>
      <c r="BA2310" s="116"/>
      <c r="BB2310" s="116"/>
      <c r="BE2310" s="62"/>
      <c r="BF2310" s="63"/>
    </row>
    <row r="2311" spans="1:58" ht="12.75" customHeight="1" x14ac:dyDescent="0.25">
      <c r="A2311" s="334"/>
      <c r="B2311" s="334"/>
      <c r="C2311" s="332"/>
      <c r="D2311" s="334"/>
      <c r="E2311" s="335"/>
      <c r="F2311" s="334"/>
      <c r="G2311" s="332"/>
      <c r="H2311" s="332"/>
      <c r="I2311" s="334"/>
      <c r="J2311" s="336"/>
      <c r="K2311" s="332"/>
      <c r="L2311" s="332"/>
      <c r="M2311" s="76"/>
      <c r="N2311" s="103" t="str">
        <f>IF(A2311="","",VLOOKUP(A2311,Stand!C:K,9,0))</f>
        <v/>
      </c>
      <c r="O2311" s="104" t="str">
        <f t="shared" si="1010"/>
        <v/>
      </c>
      <c r="P2311" s="105" t="str">
        <f t="shared" si="1011"/>
        <v/>
      </c>
      <c r="Q2311" s="105" t="str">
        <f t="shared" si="999"/>
        <v/>
      </c>
      <c r="R2311" s="103" t="str">
        <f t="shared" si="1012"/>
        <v/>
      </c>
      <c r="S2311" s="103" t="str">
        <f t="shared" si="1013"/>
        <v/>
      </c>
      <c r="T2311" s="106" t="str">
        <f t="shared" si="1000"/>
        <v/>
      </c>
      <c r="U2311" s="106" t="str">
        <f t="shared" si="1001"/>
        <v/>
      </c>
      <c r="V2311" s="106" t="str">
        <f t="shared" si="1002"/>
        <v/>
      </c>
      <c r="W2311" s="105" t="str">
        <f t="shared" si="1014"/>
        <v/>
      </c>
      <c r="X2311" s="104" t="str">
        <f t="shared" si="1019"/>
        <v/>
      </c>
      <c r="Y2311" s="104" t="str">
        <f t="array" ref="Y2311">IFERROR(IF(ISNUMBER(O2311),IF(COUNT(IF(A2311=$A$2:$A$2427,IF(D2311=$D$2:$D$2427,IF($X$2:$X$2427&gt;0,1))))&gt;0,SUM(IF(A2311=$A$2:$A$2427,IF(D2311=$D$2:$D$2427,$X$2:$X$2427)))/COUNT(IF(A2311=$A$2:$A$2427,IF(D2311=$D$2:$D$2427,IF(ISNUMBER($X$2:$X$2427),1)))),0),""),0)</f>
        <v/>
      </c>
      <c r="Z2311" s="104" t="str">
        <f>IF(ISNUMBER(O2311),IF(I2311&gt;0,(10^(VLOOKUP(D2311,'Species Codes'!B:C,2,0)+VLOOKUP(D2311,'Species Codes'!B:D,3,0)*LOG(E2311)+VLOOKUP(D2311,'Species Codes'!B:E,4,0)*LOG(I2311))),0),"")</f>
        <v/>
      </c>
      <c r="AA2311" s="104" t="str">
        <f>IFERROR((VLOOKUP(D2311,'Species Codes'!B:G,6,0)*Z2311)/2000,"")</f>
        <v/>
      </c>
      <c r="AB2311" s="104" t="e">
        <f>IF(Z2311&gt;0,((IF(OR(D2311="DF",D2311="RA")=TRUE,EXP(VLOOKUP(D2311,'Species Codes'!B:I,8,0)+VLOOKUP(D2311,'Species Codes'!B:J,9,0)*(LN((E2311*2.54)))),IF(OR(D2311="PY",D2311="RC",D2311="WH",D2311="NF")=TRUE,VLOOKUP(D2311,'Species Codes'!B:I,8,0)+VLOOKUP(D2311,'Species Codes'!B:J,9,0)*((E2311*2.54)^2)*(I2311*0.3048),IF(OR(D2311="MD",D2311="BM",D2311="GA")=TRUE,((VLOOKUP(D2311,'Species Codes'!B:I,8,0)*(((((E2311*2.54)+VLOOKUP(D2311,'Species Codes'!B:J,9,0))/VLOOKUP(D2311,'Species Codes'!B:K,10,0))^VLOOKUP(D2311,'Species Codes'!B:L,11,0))*((I2311*0.3048)^VLOOKUP(D2311,'Species Codes'!B:M,12,0))))-(VLOOKUP(D2311,'Species Codes'!B:I,8,0)*((((E2311*2.54)^VLOOKUP(D2311,'Species Codes'!B:L,11,0))*((I2311*0.3048)^VLOOKUP(D2311,'Species Codes'!B:M,12,0))))))*35.3*VLOOKUP(D2311,'Species Codes'!B:G,6,0)/2.2046,VLOOKUP(D2311,'Species Codes'!B:I,8,0)+VLOOKUP(D2311,'Species Codes'!B:J,9,0)*(((E2311*2.54)/100)^2)*(I2311*0.3048)))))*0.0011023),0)</f>
        <v>#N/A</v>
      </c>
      <c r="AC2311" s="104" t="e">
        <f>IF(Z2311&gt;0,((IF(OR(D2311="RA",D2311="OA",D2311="OT",D2311="UN",D2311="PC"),EXP(VLOOKUP(D2311,'Species Codes'!B:O,14,0)+VLOOKUP(D2311,'Species Codes'!B:P,15,0)*LN((E2311*2.54)))-EXP(VLOOKUP(D2311,'Species Codes'!B:O,14,0)+VLOOKUP(D2311,'Species Codes'!B:P,15,0)*LN((E2311*2.54)))*(1/(VLOOKUP(D2311,'Species Codes'!B:Q,16,0)+VLOOKUP(D2311,'Species Codes'!B:R,17,0)*((E2311*2.54)^VLOOKUP(D2311,'Species Codes'!B:S,18,0)))),IF(OR(D2311="BM",D2311="MD",D2311="OA"),EXP(VLOOKUP(D2311,'Species Codes'!B:O,14,0)+VLOOKUP(D2311,'Species Codes'!B:P,15,0)*LN((E2311*2.54)))*(1-(1/(VLOOKUP(D2311,'Species Codes'!B:Q,16,0)+VLOOKUP(D2311,'Species Codes'!B:R,17,0)*((E2311*2.54)^VLOOKUP(D2311,'Species Codes'!B:S,18,0)))))/1000,IF(D2311="DF",EXP(VLOOKUP(D2311,'Species Codes'!B:O,14,0)+VLOOKUP(D2311,'Species Codes'!B:P,15,0)*LN((E2311*2.54))),VLOOKUP(D2311,'Species Codes'!B:O,14,0)+VLOOKUP(D2311,'Species Codes'!B:P,15,0)*(((E2311*2.54)/100)^2)*(I2311*0.3048)))))*0.0011023),0)</f>
        <v>#N/A</v>
      </c>
      <c r="AD2311" s="104" t="e">
        <f t="shared" si="1003"/>
        <v>#N/A</v>
      </c>
      <c r="AE2311" s="104" t="e">
        <f t="shared" si="1004"/>
        <v>#N/A</v>
      </c>
      <c r="AF2311" s="104" t="e">
        <f>IF(AND(VLOOKUP($D2311,Merchantability!$B:$C,2,0)="Yes",$E2311&gt;=VLOOKUP($D2311,Merchantability!$B:$D,3,0),$E2311&lt;=VLOOKUP($D2311,Merchantability!$B:$E,4,0)),AA2311,0)</f>
        <v>#N/A</v>
      </c>
      <c r="AG2311" s="104" t="e">
        <f>IF(AND(VLOOKUP($D2311,Merchantability!$B:$C,2,0)="Yes",$E2311&gt;=VLOOKUP($D2311,Merchantability!$B:$D,3,0),$E2311&lt;=VLOOKUP($D2311,Merchantability!$B:$E,4,0)),AB2311,0)</f>
        <v>#N/A</v>
      </c>
      <c r="AH2311" s="104" t="e">
        <f>IF(AND(VLOOKUP($D2311,Merchantability!$B:$C,2,0)="Yes",$E2311&gt;=VLOOKUP($D2311,Merchantability!$B:$D,3,0),$E2311&lt;=VLOOKUP($D2311,Merchantability!$B:$E,4,0)),AC2311,0)</f>
        <v>#N/A</v>
      </c>
      <c r="AI2311" s="104" t="e">
        <f t="shared" si="1005"/>
        <v>#N/A</v>
      </c>
      <c r="AJ2311" s="104" t="e">
        <f t="shared" si="1006"/>
        <v>#VALUE!</v>
      </c>
      <c r="AK2311" s="104" t="e">
        <f t="shared" si="1007"/>
        <v>#N/A</v>
      </c>
      <c r="AL2311" s="104" t="e">
        <f t="shared" si="1008"/>
        <v>#N/A</v>
      </c>
      <c r="AM2311" s="104" t="e">
        <f t="shared" si="1009"/>
        <v>#N/A</v>
      </c>
      <c r="AN2311" s="104" t="e">
        <f t="shared" si="1020"/>
        <v>#N/A</v>
      </c>
      <c r="AO2311" s="104" t="e">
        <f t="shared" si="1021"/>
        <v>#N/A</v>
      </c>
      <c r="AP2311" s="104" t="e">
        <f t="shared" si="1022"/>
        <v>#N/A</v>
      </c>
      <c r="AQ2311" s="104" t="e">
        <f t="shared" si="1023"/>
        <v>#N/A</v>
      </c>
      <c r="AR2311" s="105" t="str">
        <f t="shared" si="1015"/>
        <v/>
      </c>
      <c r="AS2311" s="105" t="str">
        <f t="shared" si="1016"/>
        <v/>
      </c>
      <c r="AT2311" s="108" t="str">
        <f t="shared" si="1017"/>
        <v/>
      </c>
      <c r="AU2311" s="108" t="str">
        <f t="shared" si="1018"/>
        <v/>
      </c>
      <c r="AV2311" s="107" t="str">
        <f>IF(ISNUMBER(O2311),IF(VLOOKUP($A2311,Stand!C:J,8,FALSE)="Short",AT2311,AU2311),"")</f>
        <v/>
      </c>
      <c r="AW2311" s="109" t="str">
        <f t="shared" si="1024"/>
        <v/>
      </c>
      <c r="AX2311" s="109" t="str">
        <f t="shared" si="1025"/>
        <v/>
      </c>
      <c r="AY2311" s="112" t="str">
        <f>IF(ISNUMBER(O2311),IF(AND(VLOOKUP($D2311,Merchantability!$B:$C,2,0)="Yes",$E2311&gt;=VLOOKUP($D2311,Merchantability!$B:$D,3,0),$E2311&lt;=VLOOKUP($D2311,Merchantability!$B:$E,4,0)),(AV2311*O2311)*(1-$H2311/100),""),"")</f>
        <v/>
      </c>
      <c r="AZ2311" s="116"/>
      <c r="BA2311" s="116"/>
      <c r="BB2311" s="116"/>
      <c r="BE2311" s="62"/>
      <c r="BF2311" s="63"/>
    </row>
    <row r="2312" spans="1:58" ht="12.75" customHeight="1" x14ac:dyDescent="0.25">
      <c r="A2312" s="334"/>
      <c r="B2312" s="334"/>
      <c r="C2312" s="332"/>
      <c r="D2312" s="334"/>
      <c r="E2312" s="335"/>
      <c r="F2312" s="334"/>
      <c r="G2312" s="332"/>
      <c r="H2312" s="332"/>
      <c r="I2312" s="334"/>
      <c r="J2312" s="336"/>
      <c r="K2312" s="332"/>
      <c r="L2312" s="332"/>
      <c r="M2312" s="76"/>
      <c r="N2312" s="103" t="str">
        <f>IF(A2312="","",VLOOKUP(A2312,Stand!C:K,9,0))</f>
        <v/>
      </c>
      <c r="O2312" s="104" t="str">
        <f t="shared" si="1010"/>
        <v/>
      </c>
      <c r="P2312" s="105" t="str">
        <f t="shared" si="1011"/>
        <v/>
      </c>
      <c r="Q2312" s="105" t="str">
        <f t="shared" si="999"/>
        <v/>
      </c>
      <c r="R2312" s="103" t="str">
        <f t="shared" si="1012"/>
        <v/>
      </c>
      <c r="S2312" s="103" t="str">
        <f t="shared" si="1013"/>
        <v/>
      </c>
      <c r="T2312" s="106" t="str">
        <f t="shared" si="1000"/>
        <v/>
      </c>
      <c r="U2312" s="106" t="str">
        <f t="shared" si="1001"/>
        <v/>
      </c>
      <c r="V2312" s="106" t="str">
        <f t="shared" si="1002"/>
        <v/>
      </c>
      <c r="W2312" s="105" t="str">
        <f t="shared" si="1014"/>
        <v/>
      </c>
      <c r="X2312" s="104" t="str">
        <f t="shared" si="1019"/>
        <v/>
      </c>
      <c r="Y2312" s="104" t="str">
        <f t="array" ref="Y2312">IFERROR(IF(ISNUMBER(O2312),IF(COUNT(IF(A2312=$A$2:$A$2427,IF(D2312=$D$2:$D$2427,IF($X$2:$X$2427&gt;0,1))))&gt;0,SUM(IF(A2312=$A$2:$A$2427,IF(D2312=$D$2:$D$2427,$X$2:$X$2427)))/COUNT(IF(A2312=$A$2:$A$2427,IF(D2312=$D$2:$D$2427,IF(ISNUMBER($X$2:$X$2427),1)))),0),""),0)</f>
        <v/>
      </c>
      <c r="Z2312" s="104" t="str">
        <f>IF(ISNUMBER(O2312),IF(I2312&gt;0,(10^(VLOOKUP(D2312,'Species Codes'!B:C,2,0)+VLOOKUP(D2312,'Species Codes'!B:D,3,0)*LOG(E2312)+VLOOKUP(D2312,'Species Codes'!B:E,4,0)*LOG(I2312))),0),"")</f>
        <v/>
      </c>
      <c r="AA2312" s="104" t="str">
        <f>IFERROR((VLOOKUP(D2312,'Species Codes'!B:G,6,0)*Z2312)/2000,"")</f>
        <v/>
      </c>
      <c r="AB2312" s="104" t="e">
        <f>IF(Z2312&gt;0,((IF(OR(D2312="DF",D2312="RA")=TRUE,EXP(VLOOKUP(D2312,'Species Codes'!B:I,8,0)+VLOOKUP(D2312,'Species Codes'!B:J,9,0)*(LN((E2312*2.54)))),IF(OR(D2312="PY",D2312="RC",D2312="WH",D2312="NF")=TRUE,VLOOKUP(D2312,'Species Codes'!B:I,8,0)+VLOOKUP(D2312,'Species Codes'!B:J,9,0)*((E2312*2.54)^2)*(I2312*0.3048),IF(OR(D2312="MD",D2312="BM",D2312="GA")=TRUE,((VLOOKUP(D2312,'Species Codes'!B:I,8,0)*(((((E2312*2.54)+VLOOKUP(D2312,'Species Codes'!B:J,9,0))/VLOOKUP(D2312,'Species Codes'!B:K,10,0))^VLOOKUP(D2312,'Species Codes'!B:L,11,0))*((I2312*0.3048)^VLOOKUP(D2312,'Species Codes'!B:M,12,0))))-(VLOOKUP(D2312,'Species Codes'!B:I,8,0)*((((E2312*2.54)^VLOOKUP(D2312,'Species Codes'!B:L,11,0))*((I2312*0.3048)^VLOOKUP(D2312,'Species Codes'!B:M,12,0))))))*35.3*VLOOKUP(D2312,'Species Codes'!B:G,6,0)/2.2046,VLOOKUP(D2312,'Species Codes'!B:I,8,0)+VLOOKUP(D2312,'Species Codes'!B:J,9,0)*(((E2312*2.54)/100)^2)*(I2312*0.3048)))))*0.0011023),0)</f>
        <v>#N/A</v>
      </c>
      <c r="AC2312" s="104" t="e">
        <f>IF(Z2312&gt;0,((IF(OR(D2312="RA",D2312="OA",D2312="OT",D2312="UN",D2312="PC"),EXP(VLOOKUP(D2312,'Species Codes'!B:O,14,0)+VLOOKUP(D2312,'Species Codes'!B:P,15,0)*LN((E2312*2.54)))-EXP(VLOOKUP(D2312,'Species Codes'!B:O,14,0)+VLOOKUP(D2312,'Species Codes'!B:P,15,0)*LN((E2312*2.54)))*(1/(VLOOKUP(D2312,'Species Codes'!B:Q,16,0)+VLOOKUP(D2312,'Species Codes'!B:R,17,0)*((E2312*2.54)^VLOOKUP(D2312,'Species Codes'!B:S,18,0)))),IF(OR(D2312="BM",D2312="MD",D2312="OA"),EXP(VLOOKUP(D2312,'Species Codes'!B:O,14,0)+VLOOKUP(D2312,'Species Codes'!B:P,15,0)*LN((E2312*2.54)))*(1-(1/(VLOOKUP(D2312,'Species Codes'!B:Q,16,0)+VLOOKUP(D2312,'Species Codes'!B:R,17,0)*((E2312*2.54)^VLOOKUP(D2312,'Species Codes'!B:S,18,0)))))/1000,IF(D2312="DF",EXP(VLOOKUP(D2312,'Species Codes'!B:O,14,0)+VLOOKUP(D2312,'Species Codes'!B:P,15,0)*LN((E2312*2.54))),VLOOKUP(D2312,'Species Codes'!B:O,14,0)+VLOOKUP(D2312,'Species Codes'!B:P,15,0)*(((E2312*2.54)/100)^2)*(I2312*0.3048)))))*0.0011023),0)</f>
        <v>#N/A</v>
      </c>
      <c r="AD2312" s="104" t="e">
        <f t="shared" si="1003"/>
        <v>#N/A</v>
      </c>
      <c r="AE2312" s="104" t="e">
        <f t="shared" si="1004"/>
        <v>#N/A</v>
      </c>
      <c r="AF2312" s="104" t="e">
        <f>IF(AND(VLOOKUP($D2312,Merchantability!$B:$C,2,0)="Yes",$E2312&gt;=VLOOKUP($D2312,Merchantability!$B:$D,3,0),$E2312&lt;=VLOOKUP($D2312,Merchantability!$B:$E,4,0)),AA2312,0)</f>
        <v>#N/A</v>
      </c>
      <c r="AG2312" s="104" t="e">
        <f>IF(AND(VLOOKUP($D2312,Merchantability!$B:$C,2,0)="Yes",$E2312&gt;=VLOOKUP($D2312,Merchantability!$B:$D,3,0),$E2312&lt;=VLOOKUP($D2312,Merchantability!$B:$E,4,0)),AB2312,0)</f>
        <v>#N/A</v>
      </c>
      <c r="AH2312" s="104" t="e">
        <f>IF(AND(VLOOKUP($D2312,Merchantability!$B:$C,2,0)="Yes",$E2312&gt;=VLOOKUP($D2312,Merchantability!$B:$D,3,0),$E2312&lt;=VLOOKUP($D2312,Merchantability!$B:$E,4,0)),AC2312,0)</f>
        <v>#N/A</v>
      </c>
      <c r="AI2312" s="104" t="e">
        <f t="shared" si="1005"/>
        <v>#N/A</v>
      </c>
      <c r="AJ2312" s="104" t="e">
        <f t="shared" si="1006"/>
        <v>#VALUE!</v>
      </c>
      <c r="AK2312" s="104" t="e">
        <f t="shared" si="1007"/>
        <v>#N/A</v>
      </c>
      <c r="AL2312" s="104" t="e">
        <f t="shared" si="1008"/>
        <v>#N/A</v>
      </c>
      <c r="AM2312" s="104" t="e">
        <f t="shared" si="1009"/>
        <v>#N/A</v>
      </c>
      <c r="AN2312" s="104" t="e">
        <f t="shared" si="1020"/>
        <v>#N/A</v>
      </c>
      <c r="AO2312" s="104" t="e">
        <f t="shared" si="1021"/>
        <v>#N/A</v>
      </c>
      <c r="AP2312" s="104" t="e">
        <f t="shared" si="1022"/>
        <v>#N/A</v>
      </c>
      <c r="AQ2312" s="104" t="e">
        <f t="shared" si="1023"/>
        <v>#N/A</v>
      </c>
      <c r="AR2312" s="105" t="str">
        <f t="shared" si="1015"/>
        <v/>
      </c>
      <c r="AS2312" s="105" t="str">
        <f t="shared" si="1016"/>
        <v/>
      </c>
      <c r="AT2312" s="108" t="str">
        <f t="shared" si="1017"/>
        <v/>
      </c>
      <c r="AU2312" s="108" t="str">
        <f t="shared" si="1018"/>
        <v/>
      </c>
      <c r="AV2312" s="107" t="str">
        <f>IF(ISNUMBER(O2312),IF(VLOOKUP($A2312,Stand!C:J,8,FALSE)="Short",AT2312,AU2312),"")</f>
        <v/>
      </c>
      <c r="AW2312" s="109" t="str">
        <f t="shared" si="1024"/>
        <v/>
      </c>
      <c r="AX2312" s="109" t="str">
        <f t="shared" si="1025"/>
        <v/>
      </c>
      <c r="AY2312" s="112" t="str">
        <f>IF(ISNUMBER(O2312),IF(AND(VLOOKUP($D2312,Merchantability!$B:$C,2,0)="Yes",$E2312&gt;=VLOOKUP($D2312,Merchantability!$B:$D,3,0),$E2312&lt;=VLOOKUP($D2312,Merchantability!$B:$E,4,0)),(AV2312*O2312)*(1-$H2312/100),""),"")</f>
        <v/>
      </c>
      <c r="AZ2312" s="116"/>
      <c r="BA2312" s="116"/>
      <c r="BB2312" s="116"/>
      <c r="BE2312" s="62"/>
      <c r="BF2312" s="63"/>
    </row>
    <row r="2313" spans="1:58" ht="12.75" customHeight="1" x14ac:dyDescent="0.25">
      <c r="A2313" s="334"/>
      <c r="B2313" s="334"/>
      <c r="C2313" s="332"/>
      <c r="D2313" s="334"/>
      <c r="E2313" s="335"/>
      <c r="F2313" s="334"/>
      <c r="G2313" s="332"/>
      <c r="H2313" s="332"/>
      <c r="I2313" s="334"/>
      <c r="J2313" s="336"/>
      <c r="K2313" s="332"/>
      <c r="L2313" s="332"/>
      <c r="M2313" s="76"/>
      <c r="N2313" s="103" t="str">
        <f>IF(A2313="","",VLOOKUP(A2313,Stand!C:K,9,0))</f>
        <v/>
      </c>
      <c r="O2313" s="104" t="str">
        <f t="shared" si="1010"/>
        <v/>
      </c>
      <c r="P2313" s="105" t="str">
        <f t="shared" si="1011"/>
        <v/>
      </c>
      <c r="Q2313" s="105" t="str">
        <f t="shared" si="999"/>
        <v/>
      </c>
      <c r="R2313" s="103" t="str">
        <f t="shared" si="1012"/>
        <v/>
      </c>
      <c r="S2313" s="103" t="str">
        <f t="shared" si="1013"/>
        <v/>
      </c>
      <c r="T2313" s="106" t="str">
        <f t="shared" si="1000"/>
        <v/>
      </c>
      <c r="U2313" s="106" t="str">
        <f t="shared" si="1001"/>
        <v/>
      </c>
      <c r="V2313" s="106" t="str">
        <f t="shared" si="1002"/>
        <v/>
      </c>
      <c r="W2313" s="105" t="str">
        <f t="shared" si="1014"/>
        <v/>
      </c>
      <c r="X2313" s="104" t="str">
        <f t="shared" si="1019"/>
        <v/>
      </c>
      <c r="Y2313" s="104" t="str">
        <f t="array" ref="Y2313">IFERROR(IF(ISNUMBER(O2313),IF(COUNT(IF(A2313=$A$2:$A$2427,IF(D2313=$D$2:$D$2427,IF($X$2:$X$2427&gt;0,1))))&gt;0,SUM(IF(A2313=$A$2:$A$2427,IF(D2313=$D$2:$D$2427,$X$2:$X$2427)))/COUNT(IF(A2313=$A$2:$A$2427,IF(D2313=$D$2:$D$2427,IF(ISNUMBER($X$2:$X$2427),1)))),0),""),0)</f>
        <v/>
      </c>
      <c r="Z2313" s="104" t="str">
        <f>IF(ISNUMBER(O2313),IF(I2313&gt;0,(10^(VLOOKUP(D2313,'Species Codes'!B:C,2,0)+VLOOKUP(D2313,'Species Codes'!B:D,3,0)*LOG(E2313)+VLOOKUP(D2313,'Species Codes'!B:E,4,0)*LOG(I2313))),0),"")</f>
        <v/>
      </c>
      <c r="AA2313" s="104" t="str">
        <f>IFERROR((VLOOKUP(D2313,'Species Codes'!B:G,6,0)*Z2313)/2000,"")</f>
        <v/>
      </c>
      <c r="AB2313" s="104" t="e">
        <f>IF(Z2313&gt;0,((IF(OR(D2313="DF",D2313="RA")=TRUE,EXP(VLOOKUP(D2313,'Species Codes'!B:I,8,0)+VLOOKUP(D2313,'Species Codes'!B:J,9,0)*(LN((E2313*2.54)))),IF(OR(D2313="PY",D2313="RC",D2313="WH",D2313="NF")=TRUE,VLOOKUP(D2313,'Species Codes'!B:I,8,0)+VLOOKUP(D2313,'Species Codes'!B:J,9,0)*((E2313*2.54)^2)*(I2313*0.3048),IF(OR(D2313="MD",D2313="BM",D2313="GA")=TRUE,((VLOOKUP(D2313,'Species Codes'!B:I,8,0)*(((((E2313*2.54)+VLOOKUP(D2313,'Species Codes'!B:J,9,0))/VLOOKUP(D2313,'Species Codes'!B:K,10,0))^VLOOKUP(D2313,'Species Codes'!B:L,11,0))*((I2313*0.3048)^VLOOKUP(D2313,'Species Codes'!B:M,12,0))))-(VLOOKUP(D2313,'Species Codes'!B:I,8,0)*((((E2313*2.54)^VLOOKUP(D2313,'Species Codes'!B:L,11,0))*((I2313*0.3048)^VLOOKUP(D2313,'Species Codes'!B:M,12,0))))))*35.3*VLOOKUP(D2313,'Species Codes'!B:G,6,0)/2.2046,VLOOKUP(D2313,'Species Codes'!B:I,8,0)+VLOOKUP(D2313,'Species Codes'!B:J,9,0)*(((E2313*2.54)/100)^2)*(I2313*0.3048)))))*0.0011023),0)</f>
        <v>#N/A</v>
      </c>
      <c r="AC2313" s="104" t="e">
        <f>IF(Z2313&gt;0,((IF(OR(D2313="RA",D2313="OA",D2313="OT",D2313="UN",D2313="PC"),EXP(VLOOKUP(D2313,'Species Codes'!B:O,14,0)+VLOOKUP(D2313,'Species Codes'!B:P,15,0)*LN((E2313*2.54)))-EXP(VLOOKUP(D2313,'Species Codes'!B:O,14,0)+VLOOKUP(D2313,'Species Codes'!B:P,15,0)*LN((E2313*2.54)))*(1/(VLOOKUP(D2313,'Species Codes'!B:Q,16,0)+VLOOKUP(D2313,'Species Codes'!B:R,17,0)*((E2313*2.54)^VLOOKUP(D2313,'Species Codes'!B:S,18,0)))),IF(OR(D2313="BM",D2313="MD",D2313="OA"),EXP(VLOOKUP(D2313,'Species Codes'!B:O,14,0)+VLOOKUP(D2313,'Species Codes'!B:P,15,0)*LN((E2313*2.54)))*(1-(1/(VLOOKUP(D2313,'Species Codes'!B:Q,16,0)+VLOOKUP(D2313,'Species Codes'!B:R,17,0)*((E2313*2.54)^VLOOKUP(D2313,'Species Codes'!B:S,18,0)))))/1000,IF(D2313="DF",EXP(VLOOKUP(D2313,'Species Codes'!B:O,14,0)+VLOOKUP(D2313,'Species Codes'!B:P,15,0)*LN((E2313*2.54))),VLOOKUP(D2313,'Species Codes'!B:O,14,0)+VLOOKUP(D2313,'Species Codes'!B:P,15,0)*(((E2313*2.54)/100)^2)*(I2313*0.3048)))))*0.0011023),0)</f>
        <v>#N/A</v>
      </c>
      <c r="AD2313" s="104" t="e">
        <f t="shared" si="1003"/>
        <v>#N/A</v>
      </c>
      <c r="AE2313" s="104" t="e">
        <f t="shared" si="1004"/>
        <v>#N/A</v>
      </c>
      <c r="AF2313" s="104" t="e">
        <f>IF(AND(VLOOKUP($D2313,Merchantability!$B:$C,2,0)="Yes",$E2313&gt;=VLOOKUP($D2313,Merchantability!$B:$D,3,0),$E2313&lt;=VLOOKUP($D2313,Merchantability!$B:$E,4,0)),AA2313,0)</f>
        <v>#N/A</v>
      </c>
      <c r="AG2313" s="104" t="e">
        <f>IF(AND(VLOOKUP($D2313,Merchantability!$B:$C,2,0)="Yes",$E2313&gt;=VLOOKUP($D2313,Merchantability!$B:$D,3,0),$E2313&lt;=VLOOKUP($D2313,Merchantability!$B:$E,4,0)),AB2313,0)</f>
        <v>#N/A</v>
      </c>
      <c r="AH2313" s="104" t="e">
        <f>IF(AND(VLOOKUP($D2313,Merchantability!$B:$C,2,0)="Yes",$E2313&gt;=VLOOKUP($D2313,Merchantability!$B:$D,3,0),$E2313&lt;=VLOOKUP($D2313,Merchantability!$B:$E,4,0)),AC2313,0)</f>
        <v>#N/A</v>
      </c>
      <c r="AI2313" s="104" t="e">
        <f t="shared" si="1005"/>
        <v>#N/A</v>
      </c>
      <c r="AJ2313" s="104" t="e">
        <f t="shared" si="1006"/>
        <v>#VALUE!</v>
      </c>
      <c r="AK2313" s="104" t="e">
        <f t="shared" si="1007"/>
        <v>#N/A</v>
      </c>
      <c r="AL2313" s="104" t="e">
        <f t="shared" si="1008"/>
        <v>#N/A</v>
      </c>
      <c r="AM2313" s="104" t="e">
        <f t="shared" si="1009"/>
        <v>#N/A</v>
      </c>
      <c r="AN2313" s="104" t="e">
        <f t="shared" si="1020"/>
        <v>#N/A</v>
      </c>
      <c r="AO2313" s="104" t="e">
        <f t="shared" si="1021"/>
        <v>#N/A</v>
      </c>
      <c r="AP2313" s="104" t="e">
        <f t="shared" si="1022"/>
        <v>#N/A</v>
      </c>
      <c r="AQ2313" s="104" t="e">
        <f t="shared" si="1023"/>
        <v>#N/A</v>
      </c>
      <c r="AR2313" s="105" t="str">
        <f t="shared" si="1015"/>
        <v/>
      </c>
      <c r="AS2313" s="105" t="str">
        <f t="shared" si="1016"/>
        <v/>
      </c>
      <c r="AT2313" s="108" t="str">
        <f t="shared" si="1017"/>
        <v/>
      </c>
      <c r="AU2313" s="108" t="str">
        <f t="shared" si="1018"/>
        <v/>
      </c>
      <c r="AV2313" s="107" t="str">
        <f>IF(ISNUMBER(O2313),IF(VLOOKUP($A2313,Stand!C:J,8,FALSE)="Short",AT2313,AU2313),"")</f>
        <v/>
      </c>
      <c r="AW2313" s="109" t="str">
        <f t="shared" si="1024"/>
        <v/>
      </c>
      <c r="AX2313" s="109" t="str">
        <f t="shared" si="1025"/>
        <v/>
      </c>
      <c r="AY2313" s="112" t="str">
        <f>IF(ISNUMBER(O2313),IF(AND(VLOOKUP($D2313,Merchantability!$B:$C,2,0)="Yes",$E2313&gt;=VLOOKUP($D2313,Merchantability!$B:$D,3,0),$E2313&lt;=VLOOKUP($D2313,Merchantability!$B:$E,4,0)),(AV2313*O2313)*(1-$H2313/100),""),"")</f>
        <v/>
      </c>
      <c r="AZ2313" s="116"/>
      <c r="BA2313" s="116"/>
      <c r="BB2313" s="116"/>
      <c r="BE2313" s="62"/>
      <c r="BF2313" s="63"/>
    </row>
    <row r="2314" spans="1:58" ht="12.75" customHeight="1" x14ac:dyDescent="0.25">
      <c r="A2314" s="334"/>
      <c r="B2314" s="334"/>
      <c r="C2314" s="332"/>
      <c r="D2314" s="334"/>
      <c r="E2314" s="335"/>
      <c r="F2314" s="334"/>
      <c r="G2314" s="332"/>
      <c r="H2314" s="332"/>
      <c r="I2314" s="334"/>
      <c r="J2314" s="336"/>
      <c r="K2314" s="332"/>
      <c r="L2314" s="332"/>
      <c r="M2314" s="76"/>
      <c r="N2314" s="103" t="str">
        <f>IF(A2314="","",VLOOKUP(A2314,Stand!C:K,9,0))</f>
        <v/>
      </c>
      <c r="O2314" s="104" t="str">
        <f t="shared" si="1010"/>
        <v/>
      </c>
      <c r="P2314" s="105" t="str">
        <f t="shared" si="1011"/>
        <v/>
      </c>
      <c r="Q2314" s="105" t="str">
        <f t="shared" si="999"/>
        <v/>
      </c>
      <c r="R2314" s="103" t="str">
        <f t="shared" si="1012"/>
        <v/>
      </c>
      <c r="S2314" s="103" t="str">
        <f t="shared" si="1013"/>
        <v/>
      </c>
      <c r="T2314" s="106" t="str">
        <f t="shared" si="1000"/>
        <v/>
      </c>
      <c r="U2314" s="106" t="str">
        <f t="shared" si="1001"/>
        <v/>
      </c>
      <c r="V2314" s="106" t="str">
        <f t="shared" si="1002"/>
        <v/>
      </c>
      <c r="W2314" s="105" t="str">
        <f t="shared" si="1014"/>
        <v/>
      </c>
      <c r="X2314" s="104" t="str">
        <f t="shared" si="1019"/>
        <v/>
      </c>
      <c r="Y2314" s="104" t="str">
        <f t="array" ref="Y2314">IFERROR(IF(ISNUMBER(O2314),IF(COUNT(IF(A2314=$A$2:$A$2427,IF(D2314=$D$2:$D$2427,IF($X$2:$X$2427&gt;0,1))))&gt;0,SUM(IF(A2314=$A$2:$A$2427,IF(D2314=$D$2:$D$2427,$X$2:$X$2427)))/COUNT(IF(A2314=$A$2:$A$2427,IF(D2314=$D$2:$D$2427,IF(ISNUMBER($X$2:$X$2427),1)))),0),""),0)</f>
        <v/>
      </c>
      <c r="Z2314" s="104" t="str">
        <f>IF(ISNUMBER(O2314),IF(I2314&gt;0,(10^(VLOOKUP(D2314,'Species Codes'!B:C,2,0)+VLOOKUP(D2314,'Species Codes'!B:D,3,0)*LOG(E2314)+VLOOKUP(D2314,'Species Codes'!B:E,4,0)*LOG(I2314))),0),"")</f>
        <v/>
      </c>
      <c r="AA2314" s="104" t="str">
        <f>IFERROR((VLOOKUP(D2314,'Species Codes'!B:G,6,0)*Z2314)/2000,"")</f>
        <v/>
      </c>
      <c r="AB2314" s="104" t="e">
        <f>IF(Z2314&gt;0,((IF(OR(D2314="DF",D2314="RA")=TRUE,EXP(VLOOKUP(D2314,'Species Codes'!B:I,8,0)+VLOOKUP(D2314,'Species Codes'!B:J,9,0)*(LN((E2314*2.54)))),IF(OR(D2314="PY",D2314="RC",D2314="WH",D2314="NF")=TRUE,VLOOKUP(D2314,'Species Codes'!B:I,8,0)+VLOOKUP(D2314,'Species Codes'!B:J,9,0)*((E2314*2.54)^2)*(I2314*0.3048),IF(OR(D2314="MD",D2314="BM",D2314="GA")=TRUE,((VLOOKUP(D2314,'Species Codes'!B:I,8,0)*(((((E2314*2.54)+VLOOKUP(D2314,'Species Codes'!B:J,9,0))/VLOOKUP(D2314,'Species Codes'!B:K,10,0))^VLOOKUP(D2314,'Species Codes'!B:L,11,0))*((I2314*0.3048)^VLOOKUP(D2314,'Species Codes'!B:M,12,0))))-(VLOOKUP(D2314,'Species Codes'!B:I,8,0)*((((E2314*2.54)^VLOOKUP(D2314,'Species Codes'!B:L,11,0))*((I2314*0.3048)^VLOOKUP(D2314,'Species Codes'!B:M,12,0))))))*35.3*VLOOKUP(D2314,'Species Codes'!B:G,6,0)/2.2046,VLOOKUP(D2314,'Species Codes'!B:I,8,0)+VLOOKUP(D2314,'Species Codes'!B:J,9,0)*(((E2314*2.54)/100)^2)*(I2314*0.3048)))))*0.0011023),0)</f>
        <v>#N/A</v>
      </c>
      <c r="AC2314" s="104" t="e">
        <f>IF(Z2314&gt;0,((IF(OR(D2314="RA",D2314="OA",D2314="OT",D2314="UN",D2314="PC"),EXP(VLOOKUP(D2314,'Species Codes'!B:O,14,0)+VLOOKUP(D2314,'Species Codes'!B:P,15,0)*LN((E2314*2.54)))-EXP(VLOOKUP(D2314,'Species Codes'!B:O,14,0)+VLOOKUP(D2314,'Species Codes'!B:P,15,0)*LN((E2314*2.54)))*(1/(VLOOKUP(D2314,'Species Codes'!B:Q,16,0)+VLOOKUP(D2314,'Species Codes'!B:R,17,0)*((E2314*2.54)^VLOOKUP(D2314,'Species Codes'!B:S,18,0)))),IF(OR(D2314="BM",D2314="MD",D2314="OA"),EXP(VLOOKUP(D2314,'Species Codes'!B:O,14,0)+VLOOKUP(D2314,'Species Codes'!B:P,15,0)*LN((E2314*2.54)))*(1-(1/(VLOOKUP(D2314,'Species Codes'!B:Q,16,0)+VLOOKUP(D2314,'Species Codes'!B:R,17,0)*((E2314*2.54)^VLOOKUP(D2314,'Species Codes'!B:S,18,0)))))/1000,IF(D2314="DF",EXP(VLOOKUP(D2314,'Species Codes'!B:O,14,0)+VLOOKUP(D2314,'Species Codes'!B:P,15,0)*LN((E2314*2.54))),VLOOKUP(D2314,'Species Codes'!B:O,14,0)+VLOOKUP(D2314,'Species Codes'!B:P,15,0)*(((E2314*2.54)/100)^2)*(I2314*0.3048)))))*0.0011023),0)</f>
        <v>#N/A</v>
      </c>
      <c r="AD2314" s="104" t="e">
        <f t="shared" si="1003"/>
        <v>#N/A</v>
      </c>
      <c r="AE2314" s="104" t="e">
        <f t="shared" si="1004"/>
        <v>#N/A</v>
      </c>
      <c r="AF2314" s="104" t="e">
        <f>IF(AND(VLOOKUP($D2314,Merchantability!$B:$C,2,0)="Yes",$E2314&gt;=VLOOKUP($D2314,Merchantability!$B:$D,3,0),$E2314&lt;=VLOOKUP($D2314,Merchantability!$B:$E,4,0)),AA2314,0)</f>
        <v>#N/A</v>
      </c>
      <c r="AG2314" s="104" t="e">
        <f>IF(AND(VLOOKUP($D2314,Merchantability!$B:$C,2,0)="Yes",$E2314&gt;=VLOOKUP($D2314,Merchantability!$B:$D,3,0),$E2314&lt;=VLOOKUP($D2314,Merchantability!$B:$E,4,0)),AB2314,0)</f>
        <v>#N/A</v>
      </c>
      <c r="AH2314" s="104" t="e">
        <f>IF(AND(VLOOKUP($D2314,Merchantability!$B:$C,2,0)="Yes",$E2314&gt;=VLOOKUP($D2314,Merchantability!$B:$D,3,0),$E2314&lt;=VLOOKUP($D2314,Merchantability!$B:$E,4,0)),AC2314,0)</f>
        <v>#N/A</v>
      </c>
      <c r="AI2314" s="104" t="e">
        <f t="shared" si="1005"/>
        <v>#N/A</v>
      </c>
      <c r="AJ2314" s="104" t="e">
        <f t="shared" si="1006"/>
        <v>#VALUE!</v>
      </c>
      <c r="AK2314" s="104" t="e">
        <f t="shared" si="1007"/>
        <v>#N/A</v>
      </c>
      <c r="AL2314" s="104" t="e">
        <f t="shared" si="1008"/>
        <v>#N/A</v>
      </c>
      <c r="AM2314" s="104" t="e">
        <f t="shared" si="1009"/>
        <v>#N/A</v>
      </c>
      <c r="AN2314" s="104" t="e">
        <f t="shared" si="1020"/>
        <v>#N/A</v>
      </c>
      <c r="AO2314" s="104" t="e">
        <f t="shared" si="1021"/>
        <v>#N/A</v>
      </c>
      <c r="AP2314" s="104" t="e">
        <f t="shared" si="1022"/>
        <v>#N/A</v>
      </c>
      <c r="AQ2314" s="104" t="e">
        <f t="shared" si="1023"/>
        <v>#N/A</v>
      </c>
      <c r="AR2314" s="105" t="str">
        <f t="shared" si="1015"/>
        <v/>
      </c>
      <c r="AS2314" s="105" t="str">
        <f t="shared" si="1016"/>
        <v/>
      </c>
      <c r="AT2314" s="108" t="str">
        <f t="shared" si="1017"/>
        <v/>
      </c>
      <c r="AU2314" s="108" t="str">
        <f t="shared" si="1018"/>
        <v/>
      </c>
      <c r="AV2314" s="107" t="str">
        <f>IF(ISNUMBER(O2314),IF(VLOOKUP($A2314,Stand!C:J,8,FALSE)="Short",AT2314,AU2314),"")</f>
        <v/>
      </c>
      <c r="AW2314" s="109" t="str">
        <f t="shared" si="1024"/>
        <v/>
      </c>
      <c r="AX2314" s="109" t="str">
        <f t="shared" si="1025"/>
        <v/>
      </c>
      <c r="AY2314" s="112" t="str">
        <f>IF(ISNUMBER(O2314),IF(AND(VLOOKUP($D2314,Merchantability!$B:$C,2,0)="Yes",$E2314&gt;=VLOOKUP($D2314,Merchantability!$B:$D,3,0),$E2314&lt;=VLOOKUP($D2314,Merchantability!$B:$E,4,0)),(AV2314*O2314)*(1-$H2314/100),""),"")</f>
        <v/>
      </c>
      <c r="AZ2314" s="116"/>
      <c r="BA2314" s="116"/>
      <c r="BB2314" s="116"/>
      <c r="BE2314" s="62"/>
      <c r="BF2314" s="63"/>
    </row>
    <row r="2315" spans="1:58" ht="12.75" customHeight="1" x14ac:dyDescent="0.25">
      <c r="A2315" s="334"/>
      <c r="B2315" s="334"/>
      <c r="C2315" s="332"/>
      <c r="D2315" s="334"/>
      <c r="E2315" s="335"/>
      <c r="F2315" s="334"/>
      <c r="G2315" s="332"/>
      <c r="H2315" s="332"/>
      <c r="I2315" s="334"/>
      <c r="J2315" s="336"/>
      <c r="K2315" s="332"/>
      <c r="L2315" s="332"/>
      <c r="M2315" s="76"/>
      <c r="N2315" s="103" t="str">
        <f>IF(A2315="","",VLOOKUP(A2315,Stand!C:K,9,0))</f>
        <v/>
      </c>
      <c r="O2315" s="104" t="str">
        <f t="shared" si="1010"/>
        <v/>
      </c>
      <c r="P2315" s="105" t="str">
        <f t="shared" si="1011"/>
        <v/>
      </c>
      <c r="Q2315" s="105" t="str">
        <f t="shared" si="999"/>
        <v/>
      </c>
      <c r="R2315" s="103" t="str">
        <f t="shared" si="1012"/>
        <v/>
      </c>
      <c r="S2315" s="103" t="str">
        <f t="shared" si="1013"/>
        <v/>
      </c>
      <c r="T2315" s="106" t="str">
        <f t="shared" si="1000"/>
        <v/>
      </c>
      <c r="U2315" s="106" t="str">
        <f t="shared" si="1001"/>
        <v/>
      </c>
      <c r="V2315" s="106" t="str">
        <f t="shared" si="1002"/>
        <v/>
      </c>
      <c r="W2315" s="105" t="str">
        <f t="shared" si="1014"/>
        <v/>
      </c>
      <c r="X2315" s="104" t="str">
        <f t="shared" si="1019"/>
        <v/>
      </c>
      <c r="Y2315" s="104" t="str">
        <f t="array" ref="Y2315">IFERROR(IF(ISNUMBER(O2315),IF(COUNT(IF(A2315=$A$2:$A$2427,IF(D2315=$D$2:$D$2427,IF($X$2:$X$2427&gt;0,1))))&gt;0,SUM(IF(A2315=$A$2:$A$2427,IF(D2315=$D$2:$D$2427,$X$2:$X$2427)))/COUNT(IF(A2315=$A$2:$A$2427,IF(D2315=$D$2:$D$2427,IF(ISNUMBER($X$2:$X$2427),1)))),0),""),0)</f>
        <v/>
      </c>
      <c r="Z2315" s="104" t="str">
        <f>IF(ISNUMBER(O2315),IF(I2315&gt;0,(10^(VLOOKUP(D2315,'Species Codes'!B:C,2,0)+VLOOKUP(D2315,'Species Codes'!B:D,3,0)*LOG(E2315)+VLOOKUP(D2315,'Species Codes'!B:E,4,0)*LOG(I2315))),0),"")</f>
        <v/>
      </c>
      <c r="AA2315" s="104" t="str">
        <f>IFERROR((VLOOKUP(D2315,'Species Codes'!B:G,6,0)*Z2315)/2000,"")</f>
        <v/>
      </c>
      <c r="AB2315" s="104" t="e">
        <f>IF(Z2315&gt;0,((IF(OR(D2315="DF",D2315="RA")=TRUE,EXP(VLOOKUP(D2315,'Species Codes'!B:I,8,0)+VLOOKUP(D2315,'Species Codes'!B:J,9,0)*(LN((E2315*2.54)))),IF(OR(D2315="PY",D2315="RC",D2315="WH",D2315="NF")=TRUE,VLOOKUP(D2315,'Species Codes'!B:I,8,0)+VLOOKUP(D2315,'Species Codes'!B:J,9,0)*((E2315*2.54)^2)*(I2315*0.3048),IF(OR(D2315="MD",D2315="BM",D2315="GA")=TRUE,((VLOOKUP(D2315,'Species Codes'!B:I,8,0)*(((((E2315*2.54)+VLOOKUP(D2315,'Species Codes'!B:J,9,0))/VLOOKUP(D2315,'Species Codes'!B:K,10,0))^VLOOKUP(D2315,'Species Codes'!B:L,11,0))*((I2315*0.3048)^VLOOKUP(D2315,'Species Codes'!B:M,12,0))))-(VLOOKUP(D2315,'Species Codes'!B:I,8,0)*((((E2315*2.54)^VLOOKUP(D2315,'Species Codes'!B:L,11,0))*((I2315*0.3048)^VLOOKUP(D2315,'Species Codes'!B:M,12,0))))))*35.3*VLOOKUP(D2315,'Species Codes'!B:G,6,0)/2.2046,VLOOKUP(D2315,'Species Codes'!B:I,8,0)+VLOOKUP(D2315,'Species Codes'!B:J,9,0)*(((E2315*2.54)/100)^2)*(I2315*0.3048)))))*0.0011023),0)</f>
        <v>#N/A</v>
      </c>
      <c r="AC2315" s="104" t="e">
        <f>IF(Z2315&gt;0,((IF(OR(D2315="RA",D2315="OA",D2315="OT",D2315="UN",D2315="PC"),EXP(VLOOKUP(D2315,'Species Codes'!B:O,14,0)+VLOOKUP(D2315,'Species Codes'!B:P,15,0)*LN((E2315*2.54)))-EXP(VLOOKUP(D2315,'Species Codes'!B:O,14,0)+VLOOKUP(D2315,'Species Codes'!B:P,15,0)*LN((E2315*2.54)))*(1/(VLOOKUP(D2315,'Species Codes'!B:Q,16,0)+VLOOKUP(D2315,'Species Codes'!B:R,17,0)*((E2315*2.54)^VLOOKUP(D2315,'Species Codes'!B:S,18,0)))),IF(OR(D2315="BM",D2315="MD",D2315="OA"),EXP(VLOOKUP(D2315,'Species Codes'!B:O,14,0)+VLOOKUP(D2315,'Species Codes'!B:P,15,0)*LN((E2315*2.54)))*(1-(1/(VLOOKUP(D2315,'Species Codes'!B:Q,16,0)+VLOOKUP(D2315,'Species Codes'!B:R,17,0)*((E2315*2.54)^VLOOKUP(D2315,'Species Codes'!B:S,18,0)))))/1000,IF(D2315="DF",EXP(VLOOKUP(D2315,'Species Codes'!B:O,14,0)+VLOOKUP(D2315,'Species Codes'!B:P,15,0)*LN((E2315*2.54))),VLOOKUP(D2315,'Species Codes'!B:O,14,0)+VLOOKUP(D2315,'Species Codes'!B:P,15,0)*(((E2315*2.54)/100)^2)*(I2315*0.3048)))))*0.0011023),0)</f>
        <v>#N/A</v>
      </c>
      <c r="AD2315" s="104" t="e">
        <f t="shared" si="1003"/>
        <v>#N/A</v>
      </c>
      <c r="AE2315" s="104" t="e">
        <f t="shared" si="1004"/>
        <v>#N/A</v>
      </c>
      <c r="AF2315" s="104" t="e">
        <f>IF(AND(VLOOKUP($D2315,Merchantability!$B:$C,2,0)="Yes",$E2315&gt;=VLOOKUP($D2315,Merchantability!$B:$D,3,0),$E2315&lt;=VLOOKUP($D2315,Merchantability!$B:$E,4,0)),AA2315,0)</f>
        <v>#N/A</v>
      </c>
      <c r="AG2315" s="104" t="e">
        <f>IF(AND(VLOOKUP($D2315,Merchantability!$B:$C,2,0)="Yes",$E2315&gt;=VLOOKUP($D2315,Merchantability!$B:$D,3,0),$E2315&lt;=VLOOKUP($D2315,Merchantability!$B:$E,4,0)),AB2315,0)</f>
        <v>#N/A</v>
      </c>
      <c r="AH2315" s="104" t="e">
        <f>IF(AND(VLOOKUP($D2315,Merchantability!$B:$C,2,0)="Yes",$E2315&gt;=VLOOKUP($D2315,Merchantability!$B:$D,3,0),$E2315&lt;=VLOOKUP($D2315,Merchantability!$B:$E,4,0)),AC2315,0)</f>
        <v>#N/A</v>
      </c>
      <c r="AI2315" s="104" t="e">
        <f t="shared" si="1005"/>
        <v>#N/A</v>
      </c>
      <c r="AJ2315" s="104" t="e">
        <f t="shared" si="1006"/>
        <v>#VALUE!</v>
      </c>
      <c r="AK2315" s="104" t="e">
        <f t="shared" si="1007"/>
        <v>#N/A</v>
      </c>
      <c r="AL2315" s="104" t="e">
        <f t="shared" si="1008"/>
        <v>#N/A</v>
      </c>
      <c r="AM2315" s="104" t="e">
        <f t="shared" si="1009"/>
        <v>#N/A</v>
      </c>
      <c r="AN2315" s="104" t="e">
        <f t="shared" si="1020"/>
        <v>#N/A</v>
      </c>
      <c r="AO2315" s="104" t="e">
        <f t="shared" si="1021"/>
        <v>#N/A</v>
      </c>
      <c r="AP2315" s="104" t="e">
        <f t="shared" si="1022"/>
        <v>#N/A</v>
      </c>
      <c r="AQ2315" s="104" t="e">
        <f t="shared" si="1023"/>
        <v>#N/A</v>
      </c>
      <c r="AR2315" s="105" t="str">
        <f t="shared" si="1015"/>
        <v/>
      </c>
      <c r="AS2315" s="105" t="str">
        <f t="shared" si="1016"/>
        <v/>
      </c>
      <c r="AT2315" s="108" t="str">
        <f t="shared" si="1017"/>
        <v/>
      </c>
      <c r="AU2315" s="108" t="str">
        <f t="shared" si="1018"/>
        <v/>
      </c>
      <c r="AV2315" s="107" t="str">
        <f>IF(ISNUMBER(O2315),IF(VLOOKUP($A2315,Stand!C:J,8,FALSE)="Short",AT2315,AU2315),"")</f>
        <v/>
      </c>
      <c r="AW2315" s="109" t="str">
        <f t="shared" si="1024"/>
        <v/>
      </c>
      <c r="AX2315" s="109" t="str">
        <f t="shared" si="1025"/>
        <v/>
      </c>
      <c r="AY2315" s="112" t="str">
        <f>IF(ISNUMBER(O2315),IF(AND(VLOOKUP($D2315,Merchantability!$B:$C,2,0)="Yes",$E2315&gt;=VLOOKUP($D2315,Merchantability!$B:$D,3,0),$E2315&lt;=VLOOKUP($D2315,Merchantability!$B:$E,4,0)),(AV2315*O2315)*(1-$H2315/100),""),"")</f>
        <v/>
      </c>
      <c r="AZ2315" s="116"/>
      <c r="BA2315" s="116"/>
      <c r="BB2315" s="116"/>
      <c r="BE2315" s="62"/>
      <c r="BF2315" s="63"/>
    </row>
    <row r="2316" spans="1:58" ht="12.75" customHeight="1" x14ac:dyDescent="0.25">
      <c r="A2316" s="334"/>
      <c r="B2316" s="334"/>
      <c r="C2316" s="332"/>
      <c r="D2316" s="334"/>
      <c r="E2316" s="335"/>
      <c r="F2316" s="334"/>
      <c r="G2316" s="332"/>
      <c r="H2316" s="332"/>
      <c r="I2316" s="334"/>
      <c r="J2316" s="336"/>
      <c r="K2316" s="332"/>
      <c r="L2316" s="332"/>
      <c r="M2316" s="76"/>
      <c r="N2316" s="103" t="str">
        <f>IF(A2316="","",VLOOKUP(A2316,Stand!C:K,9,0))</f>
        <v/>
      </c>
      <c r="O2316" s="104" t="str">
        <f t="shared" si="1010"/>
        <v/>
      </c>
      <c r="P2316" s="105" t="str">
        <f t="shared" si="1011"/>
        <v/>
      </c>
      <c r="Q2316" s="105" t="str">
        <f t="shared" si="999"/>
        <v/>
      </c>
      <c r="R2316" s="103" t="str">
        <f t="shared" si="1012"/>
        <v/>
      </c>
      <c r="S2316" s="103" t="str">
        <f t="shared" si="1013"/>
        <v/>
      </c>
      <c r="T2316" s="106" t="str">
        <f t="shared" si="1000"/>
        <v/>
      </c>
      <c r="U2316" s="106" t="str">
        <f t="shared" si="1001"/>
        <v/>
      </c>
      <c r="V2316" s="106" t="str">
        <f t="shared" si="1002"/>
        <v/>
      </c>
      <c r="W2316" s="105" t="str">
        <f t="shared" si="1014"/>
        <v/>
      </c>
      <c r="X2316" s="104" t="str">
        <f t="shared" si="1019"/>
        <v/>
      </c>
      <c r="Y2316" s="104" t="str">
        <f t="array" ref="Y2316">IFERROR(IF(ISNUMBER(O2316),IF(COUNT(IF(A2316=$A$2:$A$2427,IF(D2316=$D$2:$D$2427,IF($X$2:$X$2427&gt;0,1))))&gt;0,SUM(IF(A2316=$A$2:$A$2427,IF(D2316=$D$2:$D$2427,$X$2:$X$2427)))/COUNT(IF(A2316=$A$2:$A$2427,IF(D2316=$D$2:$D$2427,IF(ISNUMBER($X$2:$X$2427),1)))),0),""),0)</f>
        <v/>
      </c>
      <c r="Z2316" s="104" t="str">
        <f>IF(ISNUMBER(O2316),IF(I2316&gt;0,(10^(VLOOKUP(D2316,'Species Codes'!B:C,2,0)+VLOOKUP(D2316,'Species Codes'!B:D,3,0)*LOG(E2316)+VLOOKUP(D2316,'Species Codes'!B:E,4,0)*LOG(I2316))),0),"")</f>
        <v/>
      </c>
      <c r="AA2316" s="104" t="str">
        <f>IFERROR((VLOOKUP(D2316,'Species Codes'!B:G,6,0)*Z2316)/2000,"")</f>
        <v/>
      </c>
      <c r="AB2316" s="104" t="e">
        <f>IF(Z2316&gt;0,((IF(OR(D2316="DF",D2316="RA")=TRUE,EXP(VLOOKUP(D2316,'Species Codes'!B:I,8,0)+VLOOKUP(D2316,'Species Codes'!B:J,9,0)*(LN((E2316*2.54)))),IF(OR(D2316="PY",D2316="RC",D2316="WH",D2316="NF")=TRUE,VLOOKUP(D2316,'Species Codes'!B:I,8,0)+VLOOKUP(D2316,'Species Codes'!B:J,9,0)*((E2316*2.54)^2)*(I2316*0.3048),IF(OR(D2316="MD",D2316="BM",D2316="GA")=TRUE,((VLOOKUP(D2316,'Species Codes'!B:I,8,0)*(((((E2316*2.54)+VLOOKUP(D2316,'Species Codes'!B:J,9,0))/VLOOKUP(D2316,'Species Codes'!B:K,10,0))^VLOOKUP(D2316,'Species Codes'!B:L,11,0))*((I2316*0.3048)^VLOOKUP(D2316,'Species Codes'!B:M,12,0))))-(VLOOKUP(D2316,'Species Codes'!B:I,8,0)*((((E2316*2.54)^VLOOKUP(D2316,'Species Codes'!B:L,11,0))*((I2316*0.3048)^VLOOKUP(D2316,'Species Codes'!B:M,12,0))))))*35.3*VLOOKUP(D2316,'Species Codes'!B:G,6,0)/2.2046,VLOOKUP(D2316,'Species Codes'!B:I,8,0)+VLOOKUP(D2316,'Species Codes'!B:J,9,0)*(((E2316*2.54)/100)^2)*(I2316*0.3048)))))*0.0011023),0)</f>
        <v>#N/A</v>
      </c>
      <c r="AC2316" s="104" t="e">
        <f>IF(Z2316&gt;0,((IF(OR(D2316="RA",D2316="OA",D2316="OT",D2316="UN",D2316="PC"),EXP(VLOOKUP(D2316,'Species Codes'!B:O,14,0)+VLOOKUP(D2316,'Species Codes'!B:P,15,0)*LN((E2316*2.54)))-EXP(VLOOKUP(D2316,'Species Codes'!B:O,14,0)+VLOOKUP(D2316,'Species Codes'!B:P,15,0)*LN((E2316*2.54)))*(1/(VLOOKUP(D2316,'Species Codes'!B:Q,16,0)+VLOOKUP(D2316,'Species Codes'!B:R,17,0)*((E2316*2.54)^VLOOKUP(D2316,'Species Codes'!B:S,18,0)))),IF(OR(D2316="BM",D2316="MD",D2316="OA"),EXP(VLOOKUP(D2316,'Species Codes'!B:O,14,0)+VLOOKUP(D2316,'Species Codes'!B:P,15,0)*LN((E2316*2.54)))*(1-(1/(VLOOKUP(D2316,'Species Codes'!B:Q,16,0)+VLOOKUP(D2316,'Species Codes'!B:R,17,0)*((E2316*2.54)^VLOOKUP(D2316,'Species Codes'!B:S,18,0)))))/1000,IF(D2316="DF",EXP(VLOOKUP(D2316,'Species Codes'!B:O,14,0)+VLOOKUP(D2316,'Species Codes'!B:P,15,0)*LN((E2316*2.54))),VLOOKUP(D2316,'Species Codes'!B:O,14,0)+VLOOKUP(D2316,'Species Codes'!B:P,15,0)*(((E2316*2.54)/100)^2)*(I2316*0.3048)))))*0.0011023),0)</f>
        <v>#N/A</v>
      </c>
      <c r="AD2316" s="104" t="e">
        <f t="shared" si="1003"/>
        <v>#N/A</v>
      </c>
      <c r="AE2316" s="104" t="e">
        <f t="shared" si="1004"/>
        <v>#N/A</v>
      </c>
      <c r="AF2316" s="104" t="e">
        <f>IF(AND(VLOOKUP($D2316,Merchantability!$B:$C,2,0)="Yes",$E2316&gt;=VLOOKUP($D2316,Merchantability!$B:$D,3,0),$E2316&lt;=VLOOKUP($D2316,Merchantability!$B:$E,4,0)),AA2316,0)</f>
        <v>#N/A</v>
      </c>
      <c r="AG2316" s="104" t="e">
        <f>IF(AND(VLOOKUP($D2316,Merchantability!$B:$C,2,0)="Yes",$E2316&gt;=VLOOKUP($D2316,Merchantability!$B:$D,3,0),$E2316&lt;=VLOOKUP($D2316,Merchantability!$B:$E,4,0)),AB2316,0)</f>
        <v>#N/A</v>
      </c>
      <c r="AH2316" s="104" t="e">
        <f>IF(AND(VLOOKUP($D2316,Merchantability!$B:$C,2,0)="Yes",$E2316&gt;=VLOOKUP($D2316,Merchantability!$B:$D,3,0),$E2316&lt;=VLOOKUP($D2316,Merchantability!$B:$E,4,0)),AC2316,0)</f>
        <v>#N/A</v>
      </c>
      <c r="AI2316" s="104" t="e">
        <f t="shared" si="1005"/>
        <v>#N/A</v>
      </c>
      <c r="AJ2316" s="104" t="e">
        <f t="shared" si="1006"/>
        <v>#VALUE!</v>
      </c>
      <c r="AK2316" s="104" t="e">
        <f t="shared" si="1007"/>
        <v>#N/A</v>
      </c>
      <c r="AL2316" s="104" t="e">
        <f t="shared" si="1008"/>
        <v>#N/A</v>
      </c>
      <c r="AM2316" s="104" t="e">
        <f t="shared" si="1009"/>
        <v>#N/A</v>
      </c>
      <c r="AN2316" s="104" t="e">
        <f t="shared" si="1020"/>
        <v>#N/A</v>
      </c>
      <c r="AO2316" s="104" t="e">
        <f t="shared" si="1021"/>
        <v>#N/A</v>
      </c>
      <c r="AP2316" s="104" t="e">
        <f t="shared" si="1022"/>
        <v>#N/A</v>
      </c>
      <c r="AQ2316" s="104" t="e">
        <f t="shared" si="1023"/>
        <v>#N/A</v>
      </c>
      <c r="AR2316" s="105" t="str">
        <f t="shared" si="1015"/>
        <v/>
      </c>
      <c r="AS2316" s="105" t="str">
        <f t="shared" si="1016"/>
        <v/>
      </c>
      <c r="AT2316" s="108" t="str">
        <f t="shared" si="1017"/>
        <v/>
      </c>
      <c r="AU2316" s="108" t="str">
        <f t="shared" si="1018"/>
        <v/>
      </c>
      <c r="AV2316" s="107" t="str">
        <f>IF(ISNUMBER(O2316),IF(VLOOKUP($A2316,Stand!C:J,8,FALSE)="Short",AT2316,AU2316),"")</f>
        <v/>
      </c>
      <c r="AW2316" s="109" t="str">
        <f t="shared" si="1024"/>
        <v/>
      </c>
      <c r="AX2316" s="109" t="str">
        <f t="shared" si="1025"/>
        <v/>
      </c>
      <c r="AY2316" s="112" t="str">
        <f>IF(ISNUMBER(O2316),IF(AND(VLOOKUP($D2316,Merchantability!$B:$C,2,0)="Yes",$E2316&gt;=VLOOKUP($D2316,Merchantability!$B:$D,3,0),$E2316&lt;=VLOOKUP($D2316,Merchantability!$B:$E,4,0)),(AV2316*O2316)*(1-$H2316/100),""),"")</f>
        <v/>
      </c>
      <c r="AZ2316" s="116"/>
      <c r="BA2316" s="116"/>
      <c r="BB2316" s="116"/>
      <c r="BE2316" s="62"/>
      <c r="BF2316" s="63"/>
    </row>
    <row r="2317" spans="1:58" ht="12.75" customHeight="1" x14ac:dyDescent="0.25">
      <c r="A2317" s="334"/>
      <c r="B2317" s="334"/>
      <c r="C2317" s="332"/>
      <c r="D2317" s="334"/>
      <c r="E2317" s="335"/>
      <c r="F2317" s="334"/>
      <c r="G2317" s="332"/>
      <c r="H2317" s="332"/>
      <c r="I2317" s="334"/>
      <c r="J2317" s="336"/>
      <c r="K2317" s="332"/>
      <c r="L2317" s="332"/>
      <c r="M2317" s="76"/>
      <c r="N2317" s="103" t="str">
        <f>IF(A2317="","",VLOOKUP(A2317,Stand!C:K,9,0))</f>
        <v/>
      </c>
      <c r="O2317" s="104" t="str">
        <f t="shared" si="1010"/>
        <v/>
      </c>
      <c r="P2317" s="105" t="str">
        <f t="shared" si="1011"/>
        <v/>
      </c>
      <c r="Q2317" s="105" t="str">
        <f t="shared" si="999"/>
        <v/>
      </c>
      <c r="R2317" s="103" t="str">
        <f t="shared" si="1012"/>
        <v/>
      </c>
      <c r="S2317" s="103" t="str">
        <f t="shared" si="1013"/>
        <v/>
      </c>
      <c r="T2317" s="106" t="str">
        <f t="shared" si="1000"/>
        <v/>
      </c>
      <c r="U2317" s="106" t="str">
        <f t="shared" si="1001"/>
        <v/>
      </c>
      <c r="V2317" s="106" t="str">
        <f t="shared" si="1002"/>
        <v/>
      </c>
      <c r="W2317" s="105" t="str">
        <f t="shared" si="1014"/>
        <v/>
      </c>
      <c r="X2317" s="104" t="str">
        <f t="shared" si="1019"/>
        <v/>
      </c>
      <c r="Y2317" s="104" t="str">
        <f t="array" ref="Y2317">IFERROR(IF(ISNUMBER(O2317),IF(COUNT(IF(A2317=$A$2:$A$2427,IF(D2317=$D$2:$D$2427,IF($X$2:$X$2427&gt;0,1))))&gt;0,SUM(IF(A2317=$A$2:$A$2427,IF(D2317=$D$2:$D$2427,$X$2:$X$2427)))/COUNT(IF(A2317=$A$2:$A$2427,IF(D2317=$D$2:$D$2427,IF(ISNUMBER($X$2:$X$2427),1)))),0),""),0)</f>
        <v/>
      </c>
      <c r="Z2317" s="104" t="str">
        <f>IF(ISNUMBER(O2317),IF(I2317&gt;0,(10^(VLOOKUP(D2317,'Species Codes'!B:C,2,0)+VLOOKUP(D2317,'Species Codes'!B:D,3,0)*LOG(E2317)+VLOOKUP(D2317,'Species Codes'!B:E,4,0)*LOG(I2317))),0),"")</f>
        <v/>
      </c>
      <c r="AA2317" s="104" t="str">
        <f>IFERROR((VLOOKUP(D2317,'Species Codes'!B:G,6,0)*Z2317)/2000,"")</f>
        <v/>
      </c>
      <c r="AB2317" s="104" t="e">
        <f>IF(Z2317&gt;0,((IF(OR(D2317="DF",D2317="RA")=TRUE,EXP(VLOOKUP(D2317,'Species Codes'!B:I,8,0)+VLOOKUP(D2317,'Species Codes'!B:J,9,0)*(LN((E2317*2.54)))),IF(OR(D2317="PY",D2317="RC",D2317="WH",D2317="NF")=TRUE,VLOOKUP(D2317,'Species Codes'!B:I,8,0)+VLOOKUP(D2317,'Species Codes'!B:J,9,0)*((E2317*2.54)^2)*(I2317*0.3048),IF(OR(D2317="MD",D2317="BM",D2317="GA")=TRUE,((VLOOKUP(D2317,'Species Codes'!B:I,8,0)*(((((E2317*2.54)+VLOOKUP(D2317,'Species Codes'!B:J,9,0))/VLOOKUP(D2317,'Species Codes'!B:K,10,0))^VLOOKUP(D2317,'Species Codes'!B:L,11,0))*((I2317*0.3048)^VLOOKUP(D2317,'Species Codes'!B:M,12,0))))-(VLOOKUP(D2317,'Species Codes'!B:I,8,0)*((((E2317*2.54)^VLOOKUP(D2317,'Species Codes'!B:L,11,0))*((I2317*0.3048)^VLOOKUP(D2317,'Species Codes'!B:M,12,0))))))*35.3*VLOOKUP(D2317,'Species Codes'!B:G,6,0)/2.2046,VLOOKUP(D2317,'Species Codes'!B:I,8,0)+VLOOKUP(D2317,'Species Codes'!B:J,9,0)*(((E2317*2.54)/100)^2)*(I2317*0.3048)))))*0.0011023),0)</f>
        <v>#N/A</v>
      </c>
      <c r="AC2317" s="104" t="e">
        <f>IF(Z2317&gt;0,((IF(OR(D2317="RA",D2317="OA",D2317="OT",D2317="UN",D2317="PC"),EXP(VLOOKUP(D2317,'Species Codes'!B:O,14,0)+VLOOKUP(D2317,'Species Codes'!B:P,15,0)*LN((E2317*2.54)))-EXP(VLOOKUP(D2317,'Species Codes'!B:O,14,0)+VLOOKUP(D2317,'Species Codes'!B:P,15,0)*LN((E2317*2.54)))*(1/(VLOOKUP(D2317,'Species Codes'!B:Q,16,0)+VLOOKUP(D2317,'Species Codes'!B:R,17,0)*((E2317*2.54)^VLOOKUP(D2317,'Species Codes'!B:S,18,0)))),IF(OR(D2317="BM",D2317="MD",D2317="OA"),EXP(VLOOKUP(D2317,'Species Codes'!B:O,14,0)+VLOOKUP(D2317,'Species Codes'!B:P,15,0)*LN((E2317*2.54)))*(1-(1/(VLOOKUP(D2317,'Species Codes'!B:Q,16,0)+VLOOKUP(D2317,'Species Codes'!B:R,17,0)*((E2317*2.54)^VLOOKUP(D2317,'Species Codes'!B:S,18,0)))))/1000,IF(D2317="DF",EXP(VLOOKUP(D2317,'Species Codes'!B:O,14,0)+VLOOKUP(D2317,'Species Codes'!B:P,15,0)*LN((E2317*2.54))),VLOOKUP(D2317,'Species Codes'!B:O,14,0)+VLOOKUP(D2317,'Species Codes'!B:P,15,0)*(((E2317*2.54)/100)^2)*(I2317*0.3048)))))*0.0011023),0)</f>
        <v>#N/A</v>
      </c>
      <c r="AD2317" s="104" t="e">
        <f t="shared" si="1003"/>
        <v>#N/A</v>
      </c>
      <c r="AE2317" s="104" t="e">
        <f t="shared" si="1004"/>
        <v>#N/A</v>
      </c>
      <c r="AF2317" s="104" t="e">
        <f>IF(AND(VLOOKUP($D2317,Merchantability!$B:$C,2,0)="Yes",$E2317&gt;=VLOOKUP($D2317,Merchantability!$B:$D,3,0),$E2317&lt;=VLOOKUP($D2317,Merchantability!$B:$E,4,0)),AA2317,0)</f>
        <v>#N/A</v>
      </c>
      <c r="AG2317" s="104" t="e">
        <f>IF(AND(VLOOKUP($D2317,Merchantability!$B:$C,2,0)="Yes",$E2317&gt;=VLOOKUP($D2317,Merchantability!$B:$D,3,0),$E2317&lt;=VLOOKUP($D2317,Merchantability!$B:$E,4,0)),AB2317,0)</f>
        <v>#N/A</v>
      </c>
      <c r="AH2317" s="104" t="e">
        <f>IF(AND(VLOOKUP($D2317,Merchantability!$B:$C,2,0)="Yes",$E2317&gt;=VLOOKUP($D2317,Merchantability!$B:$D,3,0),$E2317&lt;=VLOOKUP($D2317,Merchantability!$B:$E,4,0)),AC2317,0)</f>
        <v>#N/A</v>
      </c>
      <c r="AI2317" s="104" t="e">
        <f t="shared" si="1005"/>
        <v>#N/A</v>
      </c>
      <c r="AJ2317" s="104" t="e">
        <f t="shared" si="1006"/>
        <v>#VALUE!</v>
      </c>
      <c r="AK2317" s="104" t="e">
        <f t="shared" si="1007"/>
        <v>#N/A</v>
      </c>
      <c r="AL2317" s="104" t="e">
        <f t="shared" si="1008"/>
        <v>#N/A</v>
      </c>
      <c r="AM2317" s="104" t="e">
        <f t="shared" si="1009"/>
        <v>#N/A</v>
      </c>
      <c r="AN2317" s="104" t="e">
        <f t="shared" si="1020"/>
        <v>#N/A</v>
      </c>
      <c r="AO2317" s="104" t="e">
        <f t="shared" si="1021"/>
        <v>#N/A</v>
      </c>
      <c r="AP2317" s="104" t="e">
        <f t="shared" si="1022"/>
        <v>#N/A</v>
      </c>
      <c r="AQ2317" s="104" t="e">
        <f t="shared" si="1023"/>
        <v>#N/A</v>
      </c>
      <c r="AR2317" s="105" t="str">
        <f t="shared" si="1015"/>
        <v/>
      </c>
      <c r="AS2317" s="105" t="str">
        <f t="shared" si="1016"/>
        <v/>
      </c>
      <c r="AT2317" s="108" t="str">
        <f t="shared" si="1017"/>
        <v/>
      </c>
      <c r="AU2317" s="108" t="str">
        <f t="shared" si="1018"/>
        <v/>
      </c>
      <c r="AV2317" s="107" t="str">
        <f>IF(ISNUMBER(O2317),IF(VLOOKUP($A2317,Stand!C:J,8,FALSE)="Short",AT2317,AU2317),"")</f>
        <v/>
      </c>
      <c r="AW2317" s="109" t="str">
        <f t="shared" si="1024"/>
        <v/>
      </c>
      <c r="AX2317" s="109" t="str">
        <f t="shared" si="1025"/>
        <v/>
      </c>
      <c r="AY2317" s="112" t="str">
        <f>IF(ISNUMBER(O2317),IF(AND(VLOOKUP($D2317,Merchantability!$B:$C,2,0)="Yes",$E2317&gt;=VLOOKUP($D2317,Merchantability!$B:$D,3,0),$E2317&lt;=VLOOKUP($D2317,Merchantability!$B:$E,4,0)),(AV2317*O2317)*(1-$H2317/100),""),"")</f>
        <v/>
      </c>
      <c r="AZ2317" s="116"/>
      <c r="BA2317" s="116"/>
      <c r="BB2317" s="116"/>
      <c r="BE2317" s="62"/>
      <c r="BF2317" s="63"/>
    </row>
    <row r="2318" spans="1:58" ht="12.75" customHeight="1" x14ac:dyDescent="0.25">
      <c r="A2318" s="334"/>
      <c r="B2318" s="334"/>
      <c r="C2318" s="332"/>
      <c r="D2318" s="334"/>
      <c r="E2318" s="335"/>
      <c r="F2318" s="334"/>
      <c r="G2318" s="332"/>
      <c r="H2318" s="332"/>
      <c r="I2318" s="334"/>
      <c r="J2318" s="336"/>
      <c r="K2318" s="332"/>
      <c r="L2318" s="332"/>
      <c r="M2318" s="76"/>
      <c r="N2318" s="103" t="str">
        <f>IF(A2318="","",VLOOKUP(A2318,Stand!C:K,9,0))</f>
        <v/>
      </c>
      <c r="O2318" s="104" t="str">
        <f t="shared" si="1010"/>
        <v/>
      </c>
      <c r="P2318" s="105" t="str">
        <f t="shared" si="1011"/>
        <v/>
      </c>
      <c r="Q2318" s="105" t="str">
        <f t="shared" si="999"/>
        <v/>
      </c>
      <c r="R2318" s="103" t="str">
        <f t="shared" si="1012"/>
        <v/>
      </c>
      <c r="S2318" s="103" t="str">
        <f t="shared" si="1013"/>
        <v/>
      </c>
      <c r="T2318" s="106" t="str">
        <f t="shared" si="1000"/>
        <v/>
      </c>
      <c r="U2318" s="106" t="str">
        <f t="shared" si="1001"/>
        <v/>
      </c>
      <c r="V2318" s="106" t="str">
        <f t="shared" si="1002"/>
        <v/>
      </c>
      <c r="W2318" s="105" t="str">
        <f t="shared" si="1014"/>
        <v/>
      </c>
      <c r="X2318" s="104" t="str">
        <f t="shared" si="1019"/>
        <v/>
      </c>
      <c r="Y2318" s="104" t="str">
        <f t="array" ref="Y2318">IFERROR(IF(ISNUMBER(O2318),IF(COUNT(IF(A2318=$A$2:$A$2427,IF(D2318=$D$2:$D$2427,IF($X$2:$X$2427&gt;0,1))))&gt;0,SUM(IF(A2318=$A$2:$A$2427,IF(D2318=$D$2:$D$2427,$X$2:$X$2427)))/COUNT(IF(A2318=$A$2:$A$2427,IF(D2318=$D$2:$D$2427,IF(ISNUMBER($X$2:$X$2427),1)))),0),""),0)</f>
        <v/>
      </c>
      <c r="Z2318" s="104" t="str">
        <f>IF(ISNUMBER(O2318),IF(I2318&gt;0,(10^(VLOOKUP(D2318,'Species Codes'!B:C,2,0)+VLOOKUP(D2318,'Species Codes'!B:D,3,0)*LOG(E2318)+VLOOKUP(D2318,'Species Codes'!B:E,4,0)*LOG(I2318))),0),"")</f>
        <v/>
      </c>
      <c r="AA2318" s="104" t="str">
        <f>IFERROR((VLOOKUP(D2318,'Species Codes'!B:G,6,0)*Z2318)/2000,"")</f>
        <v/>
      </c>
      <c r="AB2318" s="104" t="e">
        <f>IF(Z2318&gt;0,((IF(OR(D2318="DF",D2318="RA")=TRUE,EXP(VLOOKUP(D2318,'Species Codes'!B:I,8,0)+VLOOKUP(D2318,'Species Codes'!B:J,9,0)*(LN((E2318*2.54)))),IF(OR(D2318="PY",D2318="RC",D2318="WH",D2318="NF")=TRUE,VLOOKUP(D2318,'Species Codes'!B:I,8,0)+VLOOKUP(D2318,'Species Codes'!B:J,9,0)*((E2318*2.54)^2)*(I2318*0.3048),IF(OR(D2318="MD",D2318="BM",D2318="GA")=TRUE,((VLOOKUP(D2318,'Species Codes'!B:I,8,0)*(((((E2318*2.54)+VLOOKUP(D2318,'Species Codes'!B:J,9,0))/VLOOKUP(D2318,'Species Codes'!B:K,10,0))^VLOOKUP(D2318,'Species Codes'!B:L,11,0))*((I2318*0.3048)^VLOOKUP(D2318,'Species Codes'!B:M,12,0))))-(VLOOKUP(D2318,'Species Codes'!B:I,8,0)*((((E2318*2.54)^VLOOKUP(D2318,'Species Codes'!B:L,11,0))*((I2318*0.3048)^VLOOKUP(D2318,'Species Codes'!B:M,12,0))))))*35.3*VLOOKUP(D2318,'Species Codes'!B:G,6,0)/2.2046,VLOOKUP(D2318,'Species Codes'!B:I,8,0)+VLOOKUP(D2318,'Species Codes'!B:J,9,0)*(((E2318*2.54)/100)^2)*(I2318*0.3048)))))*0.0011023),0)</f>
        <v>#N/A</v>
      </c>
      <c r="AC2318" s="104" t="e">
        <f>IF(Z2318&gt;0,((IF(OR(D2318="RA",D2318="OA",D2318="OT",D2318="UN",D2318="PC"),EXP(VLOOKUP(D2318,'Species Codes'!B:O,14,0)+VLOOKUP(D2318,'Species Codes'!B:P,15,0)*LN((E2318*2.54)))-EXP(VLOOKUP(D2318,'Species Codes'!B:O,14,0)+VLOOKUP(D2318,'Species Codes'!B:P,15,0)*LN((E2318*2.54)))*(1/(VLOOKUP(D2318,'Species Codes'!B:Q,16,0)+VLOOKUP(D2318,'Species Codes'!B:R,17,0)*((E2318*2.54)^VLOOKUP(D2318,'Species Codes'!B:S,18,0)))),IF(OR(D2318="BM",D2318="MD",D2318="OA"),EXP(VLOOKUP(D2318,'Species Codes'!B:O,14,0)+VLOOKUP(D2318,'Species Codes'!B:P,15,0)*LN((E2318*2.54)))*(1-(1/(VLOOKUP(D2318,'Species Codes'!B:Q,16,0)+VLOOKUP(D2318,'Species Codes'!B:R,17,0)*((E2318*2.54)^VLOOKUP(D2318,'Species Codes'!B:S,18,0)))))/1000,IF(D2318="DF",EXP(VLOOKUP(D2318,'Species Codes'!B:O,14,0)+VLOOKUP(D2318,'Species Codes'!B:P,15,0)*LN((E2318*2.54))),VLOOKUP(D2318,'Species Codes'!B:O,14,0)+VLOOKUP(D2318,'Species Codes'!B:P,15,0)*(((E2318*2.54)/100)^2)*(I2318*0.3048)))))*0.0011023),0)</f>
        <v>#N/A</v>
      </c>
      <c r="AD2318" s="104" t="e">
        <f t="shared" si="1003"/>
        <v>#N/A</v>
      </c>
      <c r="AE2318" s="104" t="e">
        <f t="shared" si="1004"/>
        <v>#N/A</v>
      </c>
      <c r="AF2318" s="104" t="e">
        <f>IF(AND(VLOOKUP($D2318,Merchantability!$B:$C,2,0)="Yes",$E2318&gt;=VLOOKUP($D2318,Merchantability!$B:$D,3,0),$E2318&lt;=VLOOKUP($D2318,Merchantability!$B:$E,4,0)),AA2318,0)</f>
        <v>#N/A</v>
      </c>
      <c r="AG2318" s="104" t="e">
        <f>IF(AND(VLOOKUP($D2318,Merchantability!$B:$C,2,0)="Yes",$E2318&gt;=VLOOKUP($D2318,Merchantability!$B:$D,3,0),$E2318&lt;=VLOOKUP($D2318,Merchantability!$B:$E,4,0)),AB2318,0)</f>
        <v>#N/A</v>
      </c>
      <c r="AH2318" s="104" t="e">
        <f>IF(AND(VLOOKUP($D2318,Merchantability!$B:$C,2,0)="Yes",$E2318&gt;=VLOOKUP($D2318,Merchantability!$B:$D,3,0),$E2318&lt;=VLOOKUP($D2318,Merchantability!$B:$E,4,0)),AC2318,0)</f>
        <v>#N/A</v>
      </c>
      <c r="AI2318" s="104" t="e">
        <f t="shared" si="1005"/>
        <v>#N/A</v>
      </c>
      <c r="AJ2318" s="104" t="e">
        <f t="shared" si="1006"/>
        <v>#VALUE!</v>
      </c>
      <c r="AK2318" s="104" t="e">
        <f t="shared" si="1007"/>
        <v>#N/A</v>
      </c>
      <c r="AL2318" s="104" t="e">
        <f t="shared" si="1008"/>
        <v>#N/A</v>
      </c>
      <c r="AM2318" s="104" t="e">
        <f t="shared" si="1009"/>
        <v>#N/A</v>
      </c>
      <c r="AN2318" s="104" t="e">
        <f t="shared" si="1020"/>
        <v>#N/A</v>
      </c>
      <c r="AO2318" s="104" t="e">
        <f t="shared" si="1021"/>
        <v>#N/A</v>
      </c>
      <c r="AP2318" s="104" t="e">
        <f t="shared" si="1022"/>
        <v>#N/A</v>
      </c>
      <c r="AQ2318" s="104" t="e">
        <f t="shared" si="1023"/>
        <v>#N/A</v>
      </c>
      <c r="AR2318" s="105" t="str">
        <f t="shared" si="1015"/>
        <v/>
      </c>
      <c r="AS2318" s="105" t="str">
        <f t="shared" si="1016"/>
        <v/>
      </c>
      <c r="AT2318" s="108" t="str">
        <f t="shared" si="1017"/>
        <v/>
      </c>
      <c r="AU2318" s="108" t="str">
        <f t="shared" si="1018"/>
        <v/>
      </c>
      <c r="AV2318" s="107" t="str">
        <f>IF(ISNUMBER(O2318),IF(VLOOKUP($A2318,Stand!C:J,8,FALSE)="Short",AT2318,AU2318),"")</f>
        <v/>
      </c>
      <c r="AW2318" s="109" t="str">
        <f t="shared" si="1024"/>
        <v/>
      </c>
      <c r="AX2318" s="109" t="str">
        <f t="shared" si="1025"/>
        <v/>
      </c>
      <c r="AY2318" s="112" t="str">
        <f>IF(ISNUMBER(O2318),IF(AND(VLOOKUP($D2318,Merchantability!$B:$C,2,0)="Yes",$E2318&gt;=VLOOKUP($D2318,Merchantability!$B:$D,3,0),$E2318&lt;=VLOOKUP($D2318,Merchantability!$B:$E,4,0)),(AV2318*O2318)*(1-$H2318/100),""),"")</f>
        <v/>
      </c>
      <c r="AZ2318" s="116"/>
      <c r="BA2318" s="116"/>
      <c r="BB2318" s="116"/>
      <c r="BE2318" s="62"/>
      <c r="BF2318" s="63"/>
    </row>
    <row r="2319" spans="1:58" ht="12.75" customHeight="1" x14ac:dyDescent="0.25">
      <c r="A2319" s="334"/>
      <c r="B2319" s="334"/>
      <c r="C2319" s="332"/>
      <c r="D2319" s="334"/>
      <c r="E2319" s="335"/>
      <c r="F2319" s="334"/>
      <c r="G2319" s="332"/>
      <c r="H2319" s="332"/>
      <c r="I2319" s="334"/>
      <c r="J2319" s="336"/>
      <c r="K2319" s="332"/>
      <c r="L2319" s="332"/>
      <c r="M2319" s="76"/>
      <c r="N2319" s="103" t="str">
        <f>IF(A2319="","",VLOOKUP(A2319,Stand!C:K,9,0))</f>
        <v/>
      </c>
      <c r="O2319" s="104" t="str">
        <f t="shared" si="1010"/>
        <v/>
      </c>
      <c r="P2319" s="105" t="str">
        <f t="shared" si="1011"/>
        <v/>
      </c>
      <c r="Q2319" s="105" t="str">
        <f t="shared" si="999"/>
        <v/>
      </c>
      <c r="R2319" s="103" t="str">
        <f t="shared" si="1012"/>
        <v/>
      </c>
      <c r="S2319" s="103" t="str">
        <f t="shared" si="1013"/>
        <v/>
      </c>
      <c r="T2319" s="106" t="str">
        <f t="shared" si="1000"/>
        <v/>
      </c>
      <c r="U2319" s="106" t="str">
        <f t="shared" si="1001"/>
        <v/>
      </c>
      <c r="V2319" s="106" t="str">
        <f t="shared" si="1002"/>
        <v/>
      </c>
      <c r="W2319" s="105" t="str">
        <f t="shared" si="1014"/>
        <v/>
      </c>
      <c r="X2319" s="104" t="str">
        <f t="shared" si="1019"/>
        <v/>
      </c>
      <c r="Y2319" s="104" t="str">
        <f t="array" ref="Y2319">IFERROR(IF(ISNUMBER(O2319),IF(COUNT(IF(A2319=$A$2:$A$2427,IF(D2319=$D$2:$D$2427,IF($X$2:$X$2427&gt;0,1))))&gt;0,SUM(IF(A2319=$A$2:$A$2427,IF(D2319=$D$2:$D$2427,$X$2:$X$2427)))/COUNT(IF(A2319=$A$2:$A$2427,IF(D2319=$D$2:$D$2427,IF(ISNUMBER($X$2:$X$2427),1)))),0),""),0)</f>
        <v/>
      </c>
      <c r="Z2319" s="104" t="str">
        <f>IF(ISNUMBER(O2319),IF(I2319&gt;0,(10^(VLOOKUP(D2319,'Species Codes'!B:C,2,0)+VLOOKUP(D2319,'Species Codes'!B:D,3,0)*LOG(E2319)+VLOOKUP(D2319,'Species Codes'!B:E,4,0)*LOG(I2319))),0),"")</f>
        <v/>
      </c>
      <c r="AA2319" s="104" t="str">
        <f>IFERROR((VLOOKUP(D2319,'Species Codes'!B:G,6,0)*Z2319)/2000,"")</f>
        <v/>
      </c>
      <c r="AB2319" s="104" t="e">
        <f>IF(Z2319&gt;0,((IF(OR(D2319="DF",D2319="RA")=TRUE,EXP(VLOOKUP(D2319,'Species Codes'!B:I,8,0)+VLOOKUP(D2319,'Species Codes'!B:J,9,0)*(LN((E2319*2.54)))),IF(OR(D2319="PY",D2319="RC",D2319="WH",D2319="NF")=TRUE,VLOOKUP(D2319,'Species Codes'!B:I,8,0)+VLOOKUP(D2319,'Species Codes'!B:J,9,0)*((E2319*2.54)^2)*(I2319*0.3048),IF(OR(D2319="MD",D2319="BM",D2319="GA")=TRUE,((VLOOKUP(D2319,'Species Codes'!B:I,8,0)*(((((E2319*2.54)+VLOOKUP(D2319,'Species Codes'!B:J,9,0))/VLOOKUP(D2319,'Species Codes'!B:K,10,0))^VLOOKUP(D2319,'Species Codes'!B:L,11,0))*((I2319*0.3048)^VLOOKUP(D2319,'Species Codes'!B:M,12,0))))-(VLOOKUP(D2319,'Species Codes'!B:I,8,0)*((((E2319*2.54)^VLOOKUP(D2319,'Species Codes'!B:L,11,0))*((I2319*0.3048)^VLOOKUP(D2319,'Species Codes'!B:M,12,0))))))*35.3*VLOOKUP(D2319,'Species Codes'!B:G,6,0)/2.2046,VLOOKUP(D2319,'Species Codes'!B:I,8,0)+VLOOKUP(D2319,'Species Codes'!B:J,9,0)*(((E2319*2.54)/100)^2)*(I2319*0.3048)))))*0.0011023),0)</f>
        <v>#N/A</v>
      </c>
      <c r="AC2319" s="104" t="e">
        <f>IF(Z2319&gt;0,((IF(OR(D2319="RA",D2319="OA",D2319="OT",D2319="UN",D2319="PC"),EXP(VLOOKUP(D2319,'Species Codes'!B:O,14,0)+VLOOKUP(D2319,'Species Codes'!B:P,15,0)*LN((E2319*2.54)))-EXP(VLOOKUP(D2319,'Species Codes'!B:O,14,0)+VLOOKUP(D2319,'Species Codes'!B:P,15,0)*LN((E2319*2.54)))*(1/(VLOOKUP(D2319,'Species Codes'!B:Q,16,0)+VLOOKUP(D2319,'Species Codes'!B:R,17,0)*((E2319*2.54)^VLOOKUP(D2319,'Species Codes'!B:S,18,0)))),IF(OR(D2319="BM",D2319="MD",D2319="OA"),EXP(VLOOKUP(D2319,'Species Codes'!B:O,14,0)+VLOOKUP(D2319,'Species Codes'!B:P,15,0)*LN((E2319*2.54)))*(1-(1/(VLOOKUP(D2319,'Species Codes'!B:Q,16,0)+VLOOKUP(D2319,'Species Codes'!B:R,17,0)*((E2319*2.54)^VLOOKUP(D2319,'Species Codes'!B:S,18,0)))))/1000,IF(D2319="DF",EXP(VLOOKUP(D2319,'Species Codes'!B:O,14,0)+VLOOKUP(D2319,'Species Codes'!B:P,15,0)*LN((E2319*2.54))),VLOOKUP(D2319,'Species Codes'!B:O,14,0)+VLOOKUP(D2319,'Species Codes'!B:P,15,0)*(((E2319*2.54)/100)^2)*(I2319*0.3048)))))*0.0011023),0)</f>
        <v>#N/A</v>
      </c>
      <c r="AD2319" s="104" t="e">
        <f t="shared" si="1003"/>
        <v>#N/A</v>
      </c>
      <c r="AE2319" s="104" t="e">
        <f t="shared" si="1004"/>
        <v>#N/A</v>
      </c>
      <c r="AF2319" s="104" t="e">
        <f>IF(AND(VLOOKUP($D2319,Merchantability!$B:$C,2,0)="Yes",$E2319&gt;=VLOOKUP($D2319,Merchantability!$B:$D,3,0),$E2319&lt;=VLOOKUP($D2319,Merchantability!$B:$E,4,0)),AA2319,0)</f>
        <v>#N/A</v>
      </c>
      <c r="AG2319" s="104" t="e">
        <f>IF(AND(VLOOKUP($D2319,Merchantability!$B:$C,2,0)="Yes",$E2319&gt;=VLOOKUP($D2319,Merchantability!$B:$D,3,0),$E2319&lt;=VLOOKUP($D2319,Merchantability!$B:$E,4,0)),AB2319,0)</f>
        <v>#N/A</v>
      </c>
      <c r="AH2319" s="104" t="e">
        <f>IF(AND(VLOOKUP($D2319,Merchantability!$B:$C,2,0)="Yes",$E2319&gt;=VLOOKUP($D2319,Merchantability!$B:$D,3,0),$E2319&lt;=VLOOKUP($D2319,Merchantability!$B:$E,4,0)),AC2319,0)</f>
        <v>#N/A</v>
      </c>
      <c r="AI2319" s="104" t="e">
        <f t="shared" si="1005"/>
        <v>#N/A</v>
      </c>
      <c r="AJ2319" s="104" t="e">
        <f t="shared" si="1006"/>
        <v>#VALUE!</v>
      </c>
      <c r="AK2319" s="104" t="e">
        <f t="shared" si="1007"/>
        <v>#N/A</v>
      </c>
      <c r="AL2319" s="104" t="e">
        <f t="shared" si="1008"/>
        <v>#N/A</v>
      </c>
      <c r="AM2319" s="104" t="e">
        <f t="shared" si="1009"/>
        <v>#N/A</v>
      </c>
      <c r="AN2319" s="104" t="e">
        <f t="shared" si="1020"/>
        <v>#N/A</v>
      </c>
      <c r="AO2319" s="104" t="e">
        <f t="shared" si="1021"/>
        <v>#N/A</v>
      </c>
      <c r="AP2319" s="104" t="e">
        <f t="shared" si="1022"/>
        <v>#N/A</v>
      </c>
      <c r="AQ2319" s="104" t="e">
        <f t="shared" si="1023"/>
        <v>#N/A</v>
      </c>
      <c r="AR2319" s="105" t="str">
        <f t="shared" si="1015"/>
        <v/>
      </c>
      <c r="AS2319" s="105" t="str">
        <f t="shared" si="1016"/>
        <v/>
      </c>
      <c r="AT2319" s="108" t="str">
        <f t="shared" si="1017"/>
        <v/>
      </c>
      <c r="AU2319" s="108" t="str">
        <f t="shared" si="1018"/>
        <v/>
      </c>
      <c r="AV2319" s="107" t="str">
        <f>IF(ISNUMBER(O2319),IF(VLOOKUP($A2319,Stand!C:J,8,FALSE)="Short",AT2319,AU2319),"")</f>
        <v/>
      </c>
      <c r="AW2319" s="109" t="str">
        <f t="shared" si="1024"/>
        <v/>
      </c>
      <c r="AX2319" s="109" t="str">
        <f t="shared" si="1025"/>
        <v/>
      </c>
      <c r="AY2319" s="112" t="str">
        <f>IF(ISNUMBER(O2319),IF(AND(VLOOKUP($D2319,Merchantability!$B:$C,2,0)="Yes",$E2319&gt;=VLOOKUP($D2319,Merchantability!$B:$D,3,0),$E2319&lt;=VLOOKUP($D2319,Merchantability!$B:$E,4,0)),(AV2319*O2319)*(1-$H2319/100),""),"")</f>
        <v/>
      </c>
      <c r="AZ2319" s="116"/>
      <c r="BA2319" s="116"/>
      <c r="BB2319" s="116"/>
      <c r="BE2319" s="62"/>
      <c r="BF2319" s="63"/>
    </row>
    <row r="2320" spans="1:58" ht="12.75" customHeight="1" x14ac:dyDescent="0.25">
      <c r="A2320" s="334"/>
      <c r="B2320" s="334"/>
      <c r="C2320" s="332"/>
      <c r="D2320" s="334"/>
      <c r="E2320" s="335"/>
      <c r="F2320" s="334"/>
      <c r="G2320" s="332"/>
      <c r="H2320" s="332"/>
      <c r="I2320" s="334"/>
      <c r="J2320" s="336"/>
      <c r="K2320" s="332"/>
      <c r="L2320" s="332"/>
      <c r="M2320" s="76"/>
      <c r="N2320" s="103" t="str">
        <f>IF(A2320="","",VLOOKUP(A2320,Stand!C:K,9,0))</f>
        <v/>
      </c>
      <c r="O2320" s="104" t="str">
        <f t="shared" si="1010"/>
        <v/>
      </c>
      <c r="P2320" s="105" t="str">
        <f t="shared" si="1011"/>
        <v/>
      </c>
      <c r="Q2320" s="105" t="str">
        <f t="shared" si="999"/>
        <v/>
      </c>
      <c r="R2320" s="103" t="str">
        <f t="shared" si="1012"/>
        <v/>
      </c>
      <c r="S2320" s="103" t="str">
        <f t="shared" si="1013"/>
        <v/>
      </c>
      <c r="T2320" s="106" t="str">
        <f t="shared" si="1000"/>
        <v/>
      </c>
      <c r="U2320" s="106" t="str">
        <f t="shared" si="1001"/>
        <v/>
      </c>
      <c r="V2320" s="106" t="str">
        <f t="shared" si="1002"/>
        <v/>
      </c>
      <c r="W2320" s="105" t="str">
        <f t="shared" si="1014"/>
        <v/>
      </c>
      <c r="X2320" s="104" t="str">
        <f t="shared" si="1019"/>
        <v/>
      </c>
      <c r="Y2320" s="104" t="str">
        <f t="array" ref="Y2320">IFERROR(IF(ISNUMBER(O2320),IF(COUNT(IF(A2320=$A$2:$A$2427,IF(D2320=$D$2:$D$2427,IF($X$2:$X$2427&gt;0,1))))&gt;0,SUM(IF(A2320=$A$2:$A$2427,IF(D2320=$D$2:$D$2427,$X$2:$X$2427)))/COUNT(IF(A2320=$A$2:$A$2427,IF(D2320=$D$2:$D$2427,IF(ISNUMBER($X$2:$X$2427),1)))),0),""),0)</f>
        <v/>
      </c>
      <c r="Z2320" s="104" t="str">
        <f>IF(ISNUMBER(O2320),IF(I2320&gt;0,(10^(VLOOKUP(D2320,'Species Codes'!B:C,2,0)+VLOOKUP(D2320,'Species Codes'!B:D,3,0)*LOG(E2320)+VLOOKUP(D2320,'Species Codes'!B:E,4,0)*LOG(I2320))),0),"")</f>
        <v/>
      </c>
      <c r="AA2320" s="104" t="str">
        <f>IFERROR((VLOOKUP(D2320,'Species Codes'!B:G,6,0)*Z2320)/2000,"")</f>
        <v/>
      </c>
      <c r="AB2320" s="104" t="e">
        <f>IF(Z2320&gt;0,((IF(OR(D2320="DF",D2320="RA")=TRUE,EXP(VLOOKUP(D2320,'Species Codes'!B:I,8,0)+VLOOKUP(D2320,'Species Codes'!B:J,9,0)*(LN((E2320*2.54)))),IF(OR(D2320="PY",D2320="RC",D2320="WH",D2320="NF")=TRUE,VLOOKUP(D2320,'Species Codes'!B:I,8,0)+VLOOKUP(D2320,'Species Codes'!B:J,9,0)*((E2320*2.54)^2)*(I2320*0.3048),IF(OR(D2320="MD",D2320="BM",D2320="GA")=TRUE,((VLOOKUP(D2320,'Species Codes'!B:I,8,0)*(((((E2320*2.54)+VLOOKUP(D2320,'Species Codes'!B:J,9,0))/VLOOKUP(D2320,'Species Codes'!B:K,10,0))^VLOOKUP(D2320,'Species Codes'!B:L,11,0))*((I2320*0.3048)^VLOOKUP(D2320,'Species Codes'!B:M,12,0))))-(VLOOKUP(D2320,'Species Codes'!B:I,8,0)*((((E2320*2.54)^VLOOKUP(D2320,'Species Codes'!B:L,11,0))*((I2320*0.3048)^VLOOKUP(D2320,'Species Codes'!B:M,12,0))))))*35.3*VLOOKUP(D2320,'Species Codes'!B:G,6,0)/2.2046,VLOOKUP(D2320,'Species Codes'!B:I,8,0)+VLOOKUP(D2320,'Species Codes'!B:J,9,0)*(((E2320*2.54)/100)^2)*(I2320*0.3048)))))*0.0011023),0)</f>
        <v>#N/A</v>
      </c>
      <c r="AC2320" s="104" t="e">
        <f>IF(Z2320&gt;0,((IF(OR(D2320="RA",D2320="OA",D2320="OT",D2320="UN",D2320="PC"),EXP(VLOOKUP(D2320,'Species Codes'!B:O,14,0)+VLOOKUP(D2320,'Species Codes'!B:P,15,0)*LN((E2320*2.54)))-EXP(VLOOKUP(D2320,'Species Codes'!B:O,14,0)+VLOOKUP(D2320,'Species Codes'!B:P,15,0)*LN((E2320*2.54)))*(1/(VLOOKUP(D2320,'Species Codes'!B:Q,16,0)+VLOOKUP(D2320,'Species Codes'!B:R,17,0)*((E2320*2.54)^VLOOKUP(D2320,'Species Codes'!B:S,18,0)))),IF(OR(D2320="BM",D2320="MD",D2320="OA"),EXP(VLOOKUP(D2320,'Species Codes'!B:O,14,0)+VLOOKUP(D2320,'Species Codes'!B:P,15,0)*LN((E2320*2.54)))*(1-(1/(VLOOKUP(D2320,'Species Codes'!B:Q,16,0)+VLOOKUP(D2320,'Species Codes'!B:R,17,0)*((E2320*2.54)^VLOOKUP(D2320,'Species Codes'!B:S,18,0)))))/1000,IF(D2320="DF",EXP(VLOOKUP(D2320,'Species Codes'!B:O,14,0)+VLOOKUP(D2320,'Species Codes'!B:P,15,0)*LN((E2320*2.54))),VLOOKUP(D2320,'Species Codes'!B:O,14,0)+VLOOKUP(D2320,'Species Codes'!B:P,15,0)*(((E2320*2.54)/100)^2)*(I2320*0.3048)))))*0.0011023),0)</f>
        <v>#N/A</v>
      </c>
      <c r="AD2320" s="104" t="e">
        <f t="shared" si="1003"/>
        <v>#N/A</v>
      </c>
      <c r="AE2320" s="104" t="e">
        <f t="shared" si="1004"/>
        <v>#N/A</v>
      </c>
      <c r="AF2320" s="104" t="e">
        <f>IF(AND(VLOOKUP($D2320,Merchantability!$B:$C,2,0)="Yes",$E2320&gt;=VLOOKUP($D2320,Merchantability!$B:$D,3,0),$E2320&lt;=VLOOKUP($D2320,Merchantability!$B:$E,4,0)),AA2320,0)</f>
        <v>#N/A</v>
      </c>
      <c r="AG2320" s="104" t="e">
        <f>IF(AND(VLOOKUP($D2320,Merchantability!$B:$C,2,0)="Yes",$E2320&gt;=VLOOKUP($D2320,Merchantability!$B:$D,3,0),$E2320&lt;=VLOOKUP($D2320,Merchantability!$B:$E,4,0)),AB2320,0)</f>
        <v>#N/A</v>
      </c>
      <c r="AH2320" s="104" t="e">
        <f>IF(AND(VLOOKUP($D2320,Merchantability!$B:$C,2,0)="Yes",$E2320&gt;=VLOOKUP($D2320,Merchantability!$B:$D,3,0),$E2320&lt;=VLOOKUP($D2320,Merchantability!$B:$E,4,0)),AC2320,0)</f>
        <v>#N/A</v>
      </c>
      <c r="AI2320" s="104" t="e">
        <f t="shared" si="1005"/>
        <v>#N/A</v>
      </c>
      <c r="AJ2320" s="104" t="e">
        <f t="shared" si="1006"/>
        <v>#VALUE!</v>
      </c>
      <c r="AK2320" s="104" t="e">
        <f t="shared" si="1007"/>
        <v>#N/A</v>
      </c>
      <c r="AL2320" s="104" t="e">
        <f t="shared" si="1008"/>
        <v>#N/A</v>
      </c>
      <c r="AM2320" s="104" t="e">
        <f t="shared" si="1009"/>
        <v>#N/A</v>
      </c>
      <c r="AN2320" s="104" t="e">
        <f t="shared" si="1020"/>
        <v>#N/A</v>
      </c>
      <c r="AO2320" s="104" t="e">
        <f t="shared" si="1021"/>
        <v>#N/A</v>
      </c>
      <c r="AP2320" s="104" t="e">
        <f t="shared" si="1022"/>
        <v>#N/A</v>
      </c>
      <c r="AQ2320" s="104" t="e">
        <f t="shared" si="1023"/>
        <v>#N/A</v>
      </c>
      <c r="AR2320" s="105" t="str">
        <f t="shared" si="1015"/>
        <v/>
      </c>
      <c r="AS2320" s="105" t="str">
        <f t="shared" si="1016"/>
        <v/>
      </c>
      <c r="AT2320" s="108" t="str">
        <f t="shared" si="1017"/>
        <v/>
      </c>
      <c r="AU2320" s="108" t="str">
        <f t="shared" si="1018"/>
        <v/>
      </c>
      <c r="AV2320" s="107" t="str">
        <f>IF(ISNUMBER(O2320),IF(VLOOKUP($A2320,Stand!C:J,8,FALSE)="Short",AT2320,AU2320),"")</f>
        <v/>
      </c>
      <c r="AW2320" s="109" t="str">
        <f t="shared" si="1024"/>
        <v/>
      </c>
      <c r="AX2320" s="109" t="str">
        <f t="shared" si="1025"/>
        <v/>
      </c>
      <c r="AY2320" s="112" t="str">
        <f>IF(ISNUMBER(O2320),IF(AND(VLOOKUP($D2320,Merchantability!$B:$C,2,0)="Yes",$E2320&gt;=VLOOKUP($D2320,Merchantability!$B:$D,3,0),$E2320&lt;=VLOOKUP($D2320,Merchantability!$B:$E,4,0)),(AV2320*O2320)*(1-$H2320/100),""),"")</f>
        <v/>
      </c>
      <c r="AZ2320" s="116"/>
      <c r="BA2320" s="116"/>
      <c r="BB2320" s="116"/>
      <c r="BE2320" s="62"/>
      <c r="BF2320" s="63"/>
    </row>
    <row r="2321" spans="1:58" ht="12.75" customHeight="1" x14ac:dyDescent="0.25">
      <c r="A2321" s="334"/>
      <c r="B2321" s="334"/>
      <c r="C2321" s="332"/>
      <c r="D2321" s="334"/>
      <c r="E2321" s="335"/>
      <c r="F2321" s="334"/>
      <c r="G2321" s="332"/>
      <c r="H2321" s="332"/>
      <c r="I2321" s="334"/>
      <c r="J2321" s="336"/>
      <c r="K2321" s="332"/>
      <c r="L2321" s="332"/>
      <c r="M2321" s="76"/>
      <c r="N2321" s="103" t="str">
        <f>IF(A2321="","",VLOOKUP(A2321,Stand!C:K,9,0))</f>
        <v/>
      </c>
      <c r="O2321" s="104" t="str">
        <f t="shared" si="1010"/>
        <v/>
      </c>
      <c r="P2321" s="105" t="str">
        <f t="shared" si="1011"/>
        <v/>
      </c>
      <c r="Q2321" s="105" t="str">
        <f t="shared" si="999"/>
        <v/>
      </c>
      <c r="R2321" s="103" t="str">
        <f t="shared" si="1012"/>
        <v/>
      </c>
      <c r="S2321" s="103" t="str">
        <f t="shared" si="1013"/>
        <v/>
      </c>
      <c r="T2321" s="106" t="str">
        <f t="shared" si="1000"/>
        <v/>
      </c>
      <c r="U2321" s="106" t="str">
        <f t="shared" si="1001"/>
        <v/>
      </c>
      <c r="V2321" s="106" t="str">
        <f t="shared" si="1002"/>
        <v/>
      </c>
      <c r="W2321" s="105" t="str">
        <f t="shared" si="1014"/>
        <v/>
      </c>
      <c r="X2321" s="104" t="str">
        <f t="shared" si="1019"/>
        <v/>
      </c>
      <c r="Y2321" s="104" t="str">
        <f t="array" ref="Y2321">IFERROR(IF(ISNUMBER(O2321),IF(COUNT(IF(A2321=$A$2:$A$2427,IF(D2321=$D$2:$D$2427,IF($X$2:$X$2427&gt;0,1))))&gt;0,SUM(IF(A2321=$A$2:$A$2427,IF(D2321=$D$2:$D$2427,$X$2:$X$2427)))/COUNT(IF(A2321=$A$2:$A$2427,IF(D2321=$D$2:$D$2427,IF(ISNUMBER($X$2:$X$2427),1)))),0),""),0)</f>
        <v/>
      </c>
      <c r="Z2321" s="104" t="str">
        <f>IF(ISNUMBER(O2321),IF(I2321&gt;0,(10^(VLOOKUP(D2321,'Species Codes'!B:C,2,0)+VLOOKUP(D2321,'Species Codes'!B:D,3,0)*LOG(E2321)+VLOOKUP(D2321,'Species Codes'!B:E,4,0)*LOG(I2321))),0),"")</f>
        <v/>
      </c>
      <c r="AA2321" s="104" t="str">
        <f>IFERROR((VLOOKUP(D2321,'Species Codes'!B:G,6,0)*Z2321)/2000,"")</f>
        <v/>
      </c>
      <c r="AB2321" s="104" t="e">
        <f>IF(Z2321&gt;0,((IF(OR(D2321="DF",D2321="RA")=TRUE,EXP(VLOOKUP(D2321,'Species Codes'!B:I,8,0)+VLOOKUP(D2321,'Species Codes'!B:J,9,0)*(LN((E2321*2.54)))),IF(OR(D2321="PY",D2321="RC",D2321="WH",D2321="NF")=TRUE,VLOOKUP(D2321,'Species Codes'!B:I,8,0)+VLOOKUP(D2321,'Species Codes'!B:J,9,0)*((E2321*2.54)^2)*(I2321*0.3048),IF(OR(D2321="MD",D2321="BM",D2321="GA")=TRUE,((VLOOKUP(D2321,'Species Codes'!B:I,8,0)*(((((E2321*2.54)+VLOOKUP(D2321,'Species Codes'!B:J,9,0))/VLOOKUP(D2321,'Species Codes'!B:K,10,0))^VLOOKUP(D2321,'Species Codes'!B:L,11,0))*((I2321*0.3048)^VLOOKUP(D2321,'Species Codes'!B:M,12,0))))-(VLOOKUP(D2321,'Species Codes'!B:I,8,0)*((((E2321*2.54)^VLOOKUP(D2321,'Species Codes'!B:L,11,0))*((I2321*0.3048)^VLOOKUP(D2321,'Species Codes'!B:M,12,0))))))*35.3*VLOOKUP(D2321,'Species Codes'!B:G,6,0)/2.2046,VLOOKUP(D2321,'Species Codes'!B:I,8,0)+VLOOKUP(D2321,'Species Codes'!B:J,9,0)*(((E2321*2.54)/100)^2)*(I2321*0.3048)))))*0.0011023),0)</f>
        <v>#N/A</v>
      </c>
      <c r="AC2321" s="104" t="e">
        <f>IF(Z2321&gt;0,((IF(OR(D2321="RA",D2321="OA",D2321="OT",D2321="UN",D2321="PC"),EXP(VLOOKUP(D2321,'Species Codes'!B:O,14,0)+VLOOKUP(D2321,'Species Codes'!B:P,15,0)*LN((E2321*2.54)))-EXP(VLOOKUP(D2321,'Species Codes'!B:O,14,0)+VLOOKUP(D2321,'Species Codes'!B:P,15,0)*LN((E2321*2.54)))*(1/(VLOOKUP(D2321,'Species Codes'!B:Q,16,0)+VLOOKUP(D2321,'Species Codes'!B:R,17,0)*((E2321*2.54)^VLOOKUP(D2321,'Species Codes'!B:S,18,0)))),IF(OR(D2321="BM",D2321="MD",D2321="OA"),EXP(VLOOKUP(D2321,'Species Codes'!B:O,14,0)+VLOOKUP(D2321,'Species Codes'!B:P,15,0)*LN((E2321*2.54)))*(1-(1/(VLOOKUP(D2321,'Species Codes'!B:Q,16,0)+VLOOKUP(D2321,'Species Codes'!B:R,17,0)*((E2321*2.54)^VLOOKUP(D2321,'Species Codes'!B:S,18,0)))))/1000,IF(D2321="DF",EXP(VLOOKUP(D2321,'Species Codes'!B:O,14,0)+VLOOKUP(D2321,'Species Codes'!B:P,15,0)*LN((E2321*2.54))),VLOOKUP(D2321,'Species Codes'!B:O,14,0)+VLOOKUP(D2321,'Species Codes'!B:P,15,0)*(((E2321*2.54)/100)^2)*(I2321*0.3048)))))*0.0011023),0)</f>
        <v>#N/A</v>
      </c>
      <c r="AD2321" s="104" t="e">
        <f t="shared" si="1003"/>
        <v>#N/A</v>
      </c>
      <c r="AE2321" s="104" t="e">
        <f t="shared" si="1004"/>
        <v>#N/A</v>
      </c>
      <c r="AF2321" s="104" t="e">
        <f>IF(AND(VLOOKUP($D2321,Merchantability!$B:$C,2,0)="Yes",$E2321&gt;=VLOOKUP($D2321,Merchantability!$B:$D,3,0),$E2321&lt;=VLOOKUP($D2321,Merchantability!$B:$E,4,0)),AA2321,0)</f>
        <v>#N/A</v>
      </c>
      <c r="AG2321" s="104" t="e">
        <f>IF(AND(VLOOKUP($D2321,Merchantability!$B:$C,2,0)="Yes",$E2321&gt;=VLOOKUP($D2321,Merchantability!$B:$D,3,0),$E2321&lt;=VLOOKUP($D2321,Merchantability!$B:$E,4,0)),AB2321,0)</f>
        <v>#N/A</v>
      </c>
      <c r="AH2321" s="104" t="e">
        <f>IF(AND(VLOOKUP($D2321,Merchantability!$B:$C,2,0)="Yes",$E2321&gt;=VLOOKUP($D2321,Merchantability!$B:$D,3,0),$E2321&lt;=VLOOKUP($D2321,Merchantability!$B:$E,4,0)),AC2321,0)</f>
        <v>#N/A</v>
      </c>
      <c r="AI2321" s="104" t="e">
        <f t="shared" si="1005"/>
        <v>#N/A</v>
      </c>
      <c r="AJ2321" s="104" t="e">
        <f t="shared" si="1006"/>
        <v>#VALUE!</v>
      </c>
      <c r="AK2321" s="104" t="e">
        <f t="shared" si="1007"/>
        <v>#N/A</v>
      </c>
      <c r="AL2321" s="104" t="e">
        <f t="shared" si="1008"/>
        <v>#N/A</v>
      </c>
      <c r="AM2321" s="104" t="e">
        <f t="shared" si="1009"/>
        <v>#N/A</v>
      </c>
      <c r="AN2321" s="104" t="e">
        <f t="shared" si="1020"/>
        <v>#N/A</v>
      </c>
      <c r="AO2321" s="104" t="e">
        <f t="shared" si="1021"/>
        <v>#N/A</v>
      </c>
      <c r="AP2321" s="104" t="e">
        <f t="shared" si="1022"/>
        <v>#N/A</v>
      </c>
      <c r="AQ2321" s="104" t="e">
        <f t="shared" si="1023"/>
        <v>#N/A</v>
      </c>
      <c r="AR2321" s="105" t="str">
        <f t="shared" si="1015"/>
        <v/>
      </c>
      <c r="AS2321" s="105" t="str">
        <f t="shared" si="1016"/>
        <v/>
      </c>
      <c r="AT2321" s="108" t="str">
        <f t="shared" si="1017"/>
        <v/>
      </c>
      <c r="AU2321" s="108" t="str">
        <f t="shared" si="1018"/>
        <v/>
      </c>
      <c r="AV2321" s="107" t="str">
        <f>IF(ISNUMBER(O2321),IF(VLOOKUP($A2321,Stand!C:J,8,FALSE)="Short",AT2321,AU2321),"")</f>
        <v/>
      </c>
      <c r="AW2321" s="109" t="str">
        <f t="shared" si="1024"/>
        <v/>
      </c>
      <c r="AX2321" s="109" t="str">
        <f t="shared" si="1025"/>
        <v/>
      </c>
      <c r="AY2321" s="112" t="str">
        <f>IF(ISNUMBER(O2321),IF(AND(VLOOKUP($D2321,Merchantability!$B:$C,2,0)="Yes",$E2321&gt;=VLOOKUP($D2321,Merchantability!$B:$D,3,0),$E2321&lt;=VLOOKUP($D2321,Merchantability!$B:$E,4,0)),(AV2321*O2321)*(1-$H2321/100),""),"")</f>
        <v/>
      </c>
      <c r="AZ2321" s="116"/>
      <c r="BA2321" s="116"/>
      <c r="BB2321" s="116"/>
      <c r="BE2321" s="62"/>
      <c r="BF2321" s="63"/>
    </row>
    <row r="2322" spans="1:58" ht="12.75" customHeight="1" x14ac:dyDescent="0.25">
      <c r="A2322" s="334"/>
      <c r="B2322" s="334"/>
      <c r="C2322" s="332"/>
      <c r="D2322" s="334"/>
      <c r="E2322" s="335"/>
      <c r="F2322" s="334"/>
      <c r="G2322" s="332"/>
      <c r="H2322" s="332"/>
      <c r="I2322" s="334"/>
      <c r="J2322" s="336"/>
      <c r="K2322" s="332"/>
      <c r="L2322" s="332"/>
      <c r="M2322" s="76"/>
      <c r="N2322" s="103" t="str">
        <f>IF(A2322="","",VLOOKUP(A2322,Stand!C:K,9,0))</f>
        <v/>
      </c>
      <c r="O2322" s="104" t="str">
        <f t="shared" si="1010"/>
        <v/>
      </c>
      <c r="P2322" s="105" t="str">
        <f t="shared" si="1011"/>
        <v/>
      </c>
      <c r="Q2322" s="105" t="str">
        <f t="shared" si="999"/>
        <v/>
      </c>
      <c r="R2322" s="103" t="str">
        <f t="shared" si="1012"/>
        <v/>
      </c>
      <c r="S2322" s="103" t="str">
        <f t="shared" si="1013"/>
        <v/>
      </c>
      <c r="T2322" s="106" t="str">
        <f t="shared" si="1000"/>
        <v/>
      </c>
      <c r="U2322" s="106" t="str">
        <f t="shared" si="1001"/>
        <v/>
      </c>
      <c r="V2322" s="106" t="str">
        <f t="shared" si="1002"/>
        <v/>
      </c>
      <c r="W2322" s="105" t="str">
        <f t="shared" si="1014"/>
        <v/>
      </c>
      <c r="X2322" s="104" t="str">
        <f t="shared" si="1019"/>
        <v/>
      </c>
      <c r="Y2322" s="104" t="str">
        <f t="array" ref="Y2322">IFERROR(IF(ISNUMBER(O2322),IF(COUNT(IF(A2322=$A$2:$A$2427,IF(D2322=$D$2:$D$2427,IF($X$2:$X$2427&gt;0,1))))&gt;0,SUM(IF(A2322=$A$2:$A$2427,IF(D2322=$D$2:$D$2427,$X$2:$X$2427)))/COUNT(IF(A2322=$A$2:$A$2427,IF(D2322=$D$2:$D$2427,IF(ISNUMBER($X$2:$X$2427),1)))),0),""),0)</f>
        <v/>
      </c>
      <c r="Z2322" s="104" t="str">
        <f>IF(ISNUMBER(O2322),IF(I2322&gt;0,(10^(VLOOKUP(D2322,'Species Codes'!B:C,2,0)+VLOOKUP(D2322,'Species Codes'!B:D,3,0)*LOG(E2322)+VLOOKUP(D2322,'Species Codes'!B:E,4,0)*LOG(I2322))),0),"")</f>
        <v/>
      </c>
      <c r="AA2322" s="104" t="str">
        <f>IFERROR((VLOOKUP(D2322,'Species Codes'!B:G,6,0)*Z2322)/2000,"")</f>
        <v/>
      </c>
      <c r="AB2322" s="104" t="e">
        <f>IF(Z2322&gt;0,((IF(OR(D2322="DF",D2322="RA")=TRUE,EXP(VLOOKUP(D2322,'Species Codes'!B:I,8,0)+VLOOKUP(D2322,'Species Codes'!B:J,9,0)*(LN((E2322*2.54)))),IF(OR(D2322="PY",D2322="RC",D2322="WH",D2322="NF")=TRUE,VLOOKUP(D2322,'Species Codes'!B:I,8,0)+VLOOKUP(D2322,'Species Codes'!B:J,9,0)*((E2322*2.54)^2)*(I2322*0.3048),IF(OR(D2322="MD",D2322="BM",D2322="GA")=TRUE,((VLOOKUP(D2322,'Species Codes'!B:I,8,0)*(((((E2322*2.54)+VLOOKUP(D2322,'Species Codes'!B:J,9,0))/VLOOKUP(D2322,'Species Codes'!B:K,10,0))^VLOOKUP(D2322,'Species Codes'!B:L,11,0))*((I2322*0.3048)^VLOOKUP(D2322,'Species Codes'!B:M,12,0))))-(VLOOKUP(D2322,'Species Codes'!B:I,8,0)*((((E2322*2.54)^VLOOKUP(D2322,'Species Codes'!B:L,11,0))*((I2322*0.3048)^VLOOKUP(D2322,'Species Codes'!B:M,12,0))))))*35.3*VLOOKUP(D2322,'Species Codes'!B:G,6,0)/2.2046,VLOOKUP(D2322,'Species Codes'!B:I,8,0)+VLOOKUP(D2322,'Species Codes'!B:J,9,0)*(((E2322*2.54)/100)^2)*(I2322*0.3048)))))*0.0011023),0)</f>
        <v>#N/A</v>
      </c>
      <c r="AC2322" s="104" t="e">
        <f>IF(Z2322&gt;0,((IF(OR(D2322="RA",D2322="OA",D2322="OT",D2322="UN",D2322="PC"),EXP(VLOOKUP(D2322,'Species Codes'!B:O,14,0)+VLOOKUP(D2322,'Species Codes'!B:P,15,0)*LN((E2322*2.54)))-EXP(VLOOKUP(D2322,'Species Codes'!B:O,14,0)+VLOOKUP(D2322,'Species Codes'!B:P,15,0)*LN((E2322*2.54)))*(1/(VLOOKUP(D2322,'Species Codes'!B:Q,16,0)+VLOOKUP(D2322,'Species Codes'!B:R,17,0)*((E2322*2.54)^VLOOKUP(D2322,'Species Codes'!B:S,18,0)))),IF(OR(D2322="BM",D2322="MD",D2322="OA"),EXP(VLOOKUP(D2322,'Species Codes'!B:O,14,0)+VLOOKUP(D2322,'Species Codes'!B:P,15,0)*LN((E2322*2.54)))*(1-(1/(VLOOKUP(D2322,'Species Codes'!B:Q,16,0)+VLOOKUP(D2322,'Species Codes'!B:R,17,0)*((E2322*2.54)^VLOOKUP(D2322,'Species Codes'!B:S,18,0)))))/1000,IF(D2322="DF",EXP(VLOOKUP(D2322,'Species Codes'!B:O,14,0)+VLOOKUP(D2322,'Species Codes'!B:P,15,0)*LN((E2322*2.54))),VLOOKUP(D2322,'Species Codes'!B:O,14,0)+VLOOKUP(D2322,'Species Codes'!B:P,15,0)*(((E2322*2.54)/100)^2)*(I2322*0.3048)))))*0.0011023),0)</f>
        <v>#N/A</v>
      </c>
      <c r="AD2322" s="104" t="e">
        <f t="shared" si="1003"/>
        <v>#N/A</v>
      </c>
      <c r="AE2322" s="104" t="e">
        <f t="shared" si="1004"/>
        <v>#N/A</v>
      </c>
      <c r="AF2322" s="104" t="e">
        <f>IF(AND(VLOOKUP($D2322,Merchantability!$B:$C,2,0)="Yes",$E2322&gt;=VLOOKUP($D2322,Merchantability!$B:$D,3,0),$E2322&lt;=VLOOKUP($D2322,Merchantability!$B:$E,4,0)),AA2322,0)</f>
        <v>#N/A</v>
      </c>
      <c r="AG2322" s="104" t="e">
        <f>IF(AND(VLOOKUP($D2322,Merchantability!$B:$C,2,0)="Yes",$E2322&gt;=VLOOKUP($D2322,Merchantability!$B:$D,3,0),$E2322&lt;=VLOOKUP($D2322,Merchantability!$B:$E,4,0)),AB2322,0)</f>
        <v>#N/A</v>
      </c>
      <c r="AH2322" s="104" t="e">
        <f>IF(AND(VLOOKUP($D2322,Merchantability!$B:$C,2,0)="Yes",$E2322&gt;=VLOOKUP($D2322,Merchantability!$B:$D,3,0),$E2322&lt;=VLOOKUP($D2322,Merchantability!$B:$E,4,0)),AC2322,0)</f>
        <v>#N/A</v>
      </c>
      <c r="AI2322" s="104" t="e">
        <f t="shared" si="1005"/>
        <v>#N/A</v>
      </c>
      <c r="AJ2322" s="104" t="e">
        <f t="shared" si="1006"/>
        <v>#VALUE!</v>
      </c>
      <c r="AK2322" s="104" t="e">
        <f t="shared" si="1007"/>
        <v>#N/A</v>
      </c>
      <c r="AL2322" s="104" t="e">
        <f t="shared" si="1008"/>
        <v>#N/A</v>
      </c>
      <c r="AM2322" s="104" t="e">
        <f t="shared" si="1009"/>
        <v>#N/A</v>
      </c>
      <c r="AN2322" s="104" t="e">
        <f t="shared" si="1020"/>
        <v>#N/A</v>
      </c>
      <c r="AO2322" s="104" t="e">
        <f t="shared" si="1021"/>
        <v>#N/A</v>
      </c>
      <c r="AP2322" s="104" t="e">
        <f t="shared" si="1022"/>
        <v>#N/A</v>
      </c>
      <c r="AQ2322" s="104" t="e">
        <f t="shared" si="1023"/>
        <v>#N/A</v>
      </c>
      <c r="AR2322" s="105" t="str">
        <f t="shared" si="1015"/>
        <v/>
      </c>
      <c r="AS2322" s="105" t="str">
        <f t="shared" si="1016"/>
        <v/>
      </c>
      <c r="AT2322" s="108" t="str">
        <f t="shared" si="1017"/>
        <v/>
      </c>
      <c r="AU2322" s="108" t="str">
        <f t="shared" si="1018"/>
        <v/>
      </c>
      <c r="AV2322" s="107" t="str">
        <f>IF(ISNUMBER(O2322),IF(VLOOKUP($A2322,Stand!C:J,8,FALSE)="Short",AT2322,AU2322),"")</f>
        <v/>
      </c>
      <c r="AW2322" s="109" t="str">
        <f t="shared" si="1024"/>
        <v/>
      </c>
      <c r="AX2322" s="109" t="str">
        <f t="shared" si="1025"/>
        <v/>
      </c>
      <c r="AY2322" s="112" t="str">
        <f>IF(ISNUMBER(O2322),IF(AND(VLOOKUP($D2322,Merchantability!$B:$C,2,0)="Yes",$E2322&gt;=VLOOKUP($D2322,Merchantability!$B:$D,3,0),$E2322&lt;=VLOOKUP($D2322,Merchantability!$B:$E,4,0)),(AV2322*O2322)*(1-$H2322/100),""),"")</f>
        <v/>
      </c>
      <c r="AZ2322" s="116"/>
      <c r="BA2322" s="116"/>
      <c r="BB2322" s="116"/>
      <c r="BE2322" s="62"/>
      <c r="BF2322" s="63"/>
    </row>
    <row r="2323" spans="1:58" ht="12.75" customHeight="1" x14ac:dyDescent="0.25">
      <c r="A2323" s="334"/>
      <c r="B2323" s="334"/>
      <c r="C2323" s="332"/>
      <c r="D2323" s="334"/>
      <c r="E2323" s="335"/>
      <c r="F2323" s="334"/>
      <c r="G2323" s="332"/>
      <c r="H2323" s="332"/>
      <c r="I2323" s="334"/>
      <c r="J2323" s="336"/>
      <c r="K2323" s="332"/>
      <c r="L2323" s="332"/>
      <c r="M2323" s="76"/>
      <c r="N2323" s="103" t="str">
        <f>IF(A2323="","",VLOOKUP(A2323,Stand!C:K,9,0))</f>
        <v/>
      </c>
      <c r="O2323" s="104" t="str">
        <f t="shared" si="1010"/>
        <v/>
      </c>
      <c r="P2323" s="105" t="str">
        <f t="shared" si="1011"/>
        <v/>
      </c>
      <c r="Q2323" s="105" t="str">
        <f t="shared" si="999"/>
        <v/>
      </c>
      <c r="R2323" s="103" t="str">
        <f t="shared" si="1012"/>
        <v/>
      </c>
      <c r="S2323" s="103" t="str">
        <f t="shared" si="1013"/>
        <v/>
      </c>
      <c r="T2323" s="106" t="str">
        <f t="shared" si="1000"/>
        <v/>
      </c>
      <c r="U2323" s="106" t="str">
        <f t="shared" si="1001"/>
        <v/>
      </c>
      <c r="V2323" s="106" t="str">
        <f t="shared" si="1002"/>
        <v/>
      </c>
      <c r="W2323" s="105" t="str">
        <f t="shared" si="1014"/>
        <v/>
      </c>
      <c r="X2323" s="104" t="str">
        <f t="shared" si="1019"/>
        <v/>
      </c>
      <c r="Y2323" s="104" t="str">
        <f t="array" ref="Y2323">IFERROR(IF(ISNUMBER(O2323),IF(COUNT(IF(A2323=$A$2:$A$2427,IF(D2323=$D$2:$D$2427,IF($X$2:$X$2427&gt;0,1))))&gt;0,SUM(IF(A2323=$A$2:$A$2427,IF(D2323=$D$2:$D$2427,$X$2:$X$2427)))/COUNT(IF(A2323=$A$2:$A$2427,IF(D2323=$D$2:$D$2427,IF(ISNUMBER($X$2:$X$2427),1)))),0),""),0)</f>
        <v/>
      </c>
      <c r="Z2323" s="104" t="str">
        <f>IF(ISNUMBER(O2323),IF(I2323&gt;0,(10^(VLOOKUP(D2323,'Species Codes'!B:C,2,0)+VLOOKUP(D2323,'Species Codes'!B:D,3,0)*LOG(E2323)+VLOOKUP(D2323,'Species Codes'!B:E,4,0)*LOG(I2323))),0),"")</f>
        <v/>
      </c>
      <c r="AA2323" s="104" t="str">
        <f>IFERROR((VLOOKUP(D2323,'Species Codes'!B:G,6,0)*Z2323)/2000,"")</f>
        <v/>
      </c>
      <c r="AB2323" s="104" t="e">
        <f>IF(Z2323&gt;0,((IF(OR(D2323="DF",D2323="RA")=TRUE,EXP(VLOOKUP(D2323,'Species Codes'!B:I,8,0)+VLOOKUP(D2323,'Species Codes'!B:J,9,0)*(LN((E2323*2.54)))),IF(OR(D2323="PY",D2323="RC",D2323="WH",D2323="NF")=TRUE,VLOOKUP(D2323,'Species Codes'!B:I,8,0)+VLOOKUP(D2323,'Species Codes'!B:J,9,0)*((E2323*2.54)^2)*(I2323*0.3048),IF(OR(D2323="MD",D2323="BM",D2323="GA")=TRUE,((VLOOKUP(D2323,'Species Codes'!B:I,8,0)*(((((E2323*2.54)+VLOOKUP(D2323,'Species Codes'!B:J,9,0))/VLOOKUP(D2323,'Species Codes'!B:K,10,0))^VLOOKUP(D2323,'Species Codes'!B:L,11,0))*((I2323*0.3048)^VLOOKUP(D2323,'Species Codes'!B:M,12,0))))-(VLOOKUP(D2323,'Species Codes'!B:I,8,0)*((((E2323*2.54)^VLOOKUP(D2323,'Species Codes'!B:L,11,0))*((I2323*0.3048)^VLOOKUP(D2323,'Species Codes'!B:M,12,0))))))*35.3*VLOOKUP(D2323,'Species Codes'!B:G,6,0)/2.2046,VLOOKUP(D2323,'Species Codes'!B:I,8,0)+VLOOKUP(D2323,'Species Codes'!B:J,9,0)*(((E2323*2.54)/100)^2)*(I2323*0.3048)))))*0.0011023),0)</f>
        <v>#N/A</v>
      </c>
      <c r="AC2323" s="104" t="e">
        <f>IF(Z2323&gt;0,((IF(OR(D2323="RA",D2323="OA",D2323="OT",D2323="UN",D2323="PC"),EXP(VLOOKUP(D2323,'Species Codes'!B:O,14,0)+VLOOKUP(D2323,'Species Codes'!B:P,15,0)*LN((E2323*2.54)))-EXP(VLOOKUP(D2323,'Species Codes'!B:O,14,0)+VLOOKUP(D2323,'Species Codes'!B:P,15,0)*LN((E2323*2.54)))*(1/(VLOOKUP(D2323,'Species Codes'!B:Q,16,0)+VLOOKUP(D2323,'Species Codes'!B:R,17,0)*((E2323*2.54)^VLOOKUP(D2323,'Species Codes'!B:S,18,0)))),IF(OR(D2323="BM",D2323="MD",D2323="OA"),EXP(VLOOKUP(D2323,'Species Codes'!B:O,14,0)+VLOOKUP(D2323,'Species Codes'!B:P,15,0)*LN((E2323*2.54)))*(1-(1/(VLOOKUP(D2323,'Species Codes'!B:Q,16,0)+VLOOKUP(D2323,'Species Codes'!B:R,17,0)*((E2323*2.54)^VLOOKUP(D2323,'Species Codes'!B:S,18,0)))))/1000,IF(D2323="DF",EXP(VLOOKUP(D2323,'Species Codes'!B:O,14,0)+VLOOKUP(D2323,'Species Codes'!B:P,15,0)*LN((E2323*2.54))),VLOOKUP(D2323,'Species Codes'!B:O,14,0)+VLOOKUP(D2323,'Species Codes'!B:P,15,0)*(((E2323*2.54)/100)^2)*(I2323*0.3048)))))*0.0011023),0)</f>
        <v>#N/A</v>
      </c>
      <c r="AD2323" s="104" t="e">
        <f t="shared" si="1003"/>
        <v>#N/A</v>
      </c>
      <c r="AE2323" s="104" t="e">
        <f t="shared" si="1004"/>
        <v>#N/A</v>
      </c>
      <c r="AF2323" s="104" t="e">
        <f>IF(AND(VLOOKUP($D2323,Merchantability!$B:$C,2,0)="Yes",$E2323&gt;=VLOOKUP($D2323,Merchantability!$B:$D,3,0),$E2323&lt;=VLOOKUP($D2323,Merchantability!$B:$E,4,0)),AA2323,0)</f>
        <v>#N/A</v>
      </c>
      <c r="AG2323" s="104" t="e">
        <f>IF(AND(VLOOKUP($D2323,Merchantability!$B:$C,2,0)="Yes",$E2323&gt;=VLOOKUP($D2323,Merchantability!$B:$D,3,0),$E2323&lt;=VLOOKUP($D2323,Merchantability!$B:$E,4,0)),AB2323,0)</f>
        <v>#N/A</v>
      </c>
      <c r="AH2323" s="104" t="e">
        <f>IF(AND(VLOOKUP($D2323,Merchantability!$B:$C,2,0)="Yes",$E2323&gt;=VLOOKUP($D2323,Merchantability!$B:$D,3,0),$E2323&lt;=VLOOKUP($D2323,Merchantability!$B:$E,4,0)),AC2323,0)</f>
        <v>#N/A</v>
      </c>
      <c r="AI2323" s="104" t="e">
        <f t="shared" si="1005"/>
        <v>#N/A</v>
      </c>
      <c r="AJ2323" s="104" t="e">
        <f t="shared" si="1006"/>
        <v>#VALUE!</v>
      </c>
      <c r="AK2323" s="104" t="e">
        <f t="shared" si="1007"/>
        <v>#N/A</v>
      </c>
      <c r="AL2323" s="104" t="e">
        <f t="shared" si="1008"/>
        <v>#N/A</v>
      </c>
      <c r="AM2323" s="104" t="e">
        <f t="shared" si="1009"/>
        <v>#N/A</v>
      </c>
      <c r="AN2323" s="104" t="e">
        <f t="shared" si="1020"/>
        <v>#N/A</v>
      </c>
      <c r="AO2323" s="104" t="e">
        <f t="shared" si="1021"/>
        <v>#N/A</v>
      </c>
      <c r="AP2323" s="104" t="e">
        <f t="shared" si="1022"/>
        <v>#N/A</v>
      </c>
      <c r="AQ2323" s="104" t="e">
        <f t="shared" si="1023"/>
        <v>#N/A</v>
      </c>
      <c r="AR2323" s="105" t="str">
        <f t="shared" si="1015"/>
        <v/>
      </c>
      <c r="AS2323" s="105" t="str">
        <f t="shared" si="1016"/>
        <v/>
      </c>
      <c r="AT2323" s="108" t="str">
        <f t="shared" si="1017"/>
        <v/>
      </c>
      <c r="AU2323" s="108" t="str">
        <f t="shared" si="1018"/>
        <v/>
      </c>
      <c r="AV2323" s="107" t="str">
        <f>IF(ISNUMBER(O2323),IF(VLOOKUP($A2323,Stand!C:J,8,FALSE)="Short",AT2323,AU2323),"")</f>
        <v/>
      </c>
      <c r="AW2323" s="109" t="str">
        <f t="shared" si="1024"/>
        <v/>
      </c>
      <c r="AX2323" s="109" t="str">
        <f t="shared" si="1025"/>
        <v/>
      </c>
      <c r="AY2323" s="112" t="str">
        <f>IF(ISNUMBER(O2323),IF(AND(VLOOKUP($D2323,Merchantability!$B:$C,2,0)="Yes",$E2323&gt;=VLOOKUP($D2323,Merchantability!$B:$D,3,0),$E2323&lt;=VLOOKUP($D2323,Merchantability!$B:$E,4,0)),(AV2323*O2323)*(1-$H2323/100),""),"")</f>
        <v/>
      </c>
      <c r="AZ2323" s="116"/>
      <c r="BA2323" s="116"/>
      <c r="BB2323" s="116"/>
      <c r="BE2323" s="62"/>
      <c r="BF2323" s="63"/>
    </row>
    <row r="2324" spans="1:58" ht="12.75" customHeight="1" x14ac:dyDescent="0.25">
      <c r="A2324" s="334"/>
      <c r="B2324" s="334"/>
      <c r="C2324" s="332"/>
      <c r="D2324" s="334"/>
      <c r="E2324" s="335"/>
      <c r="F2324" s="334"/>
      <c r="G2324" s="332"/>
      <c r="H2324" s="332"/>
      <c r="I2324" s="334"/>
      <c r="J2324" s="336"/>
      <c r="K2324" s="332"/>
      <c r="L2324" s="332"/>
      <c r="M2324" s="76"/>
      <c r="N2324" s="103" t="str">
        <f>IF(A2324="","",VLOOKUP(A2324,Stand!C:K,9,0))</f>
        <v/>
      </c>
      <c r="O2324" s="104" t="str">
        <f t="shared" si="1010"/>
        <v/>
      </c>
      <c r="P2324" s="105" t="str">
        <f t="shared" si="1011"/>
        <v/>
      </c>
      <c r="Q2324" s="105" t="str">
        <f t="shared" si="999"/>
        <v/>
      </c>
      <c r="R2324" s="103" t="str">
        <f t="shared" si="1012"/>
        <v/>
      </c>
      <c r="S2324" s="103" t="str">
        <f t="shared" si="1013"/>
        <v/>
      </c>
      <c r="T2324" s="106" t="str">
        <f t="shared" si="1000"/>
        <v/>
      </c>
      <c r="U2324" s="106" t="str">
        <f t="shared" si="1001"/>
        <v/>
      </c>
      <c r="V2324" s="106" t="str">
        <f t="shared" si="1002"/>
        <v/>
      </c>
      <c r="W2324" s="105" t="str">
        <f t="shared" si="1014"/>
        <v/>
      </c>
      <c r="X2324" s="104" t="str">
        <f t="shared" si="1019"/>
        <v/>
      </c>
      <c r="Y2324" s="104" t="str">
        <f t="array" ref="Y2324">IFERROR(IF(ISNUMBER(O2324),IF(COUNT(IF(A2324=$A$2:$A$2427,IF(D2324=$D$2:$D$2427,IF($X$2:$X$2427&gt;0,1))))&gt;0,SUM(IF(A2324=$A$2:$A$2427,IF(D2324=$D$2:$D$2427,$X$2:$X$2427)))/COUNT(IF(A2324=$A$2:$A$2427,IF(D2324=$D$2:$D$2427,IF(ISNUMBER($X$2:$X$2427),1)))),0),""),0)</f>
        <v/>
      </c>
      <c r="Z2324" s="104" t="str">
        <f>IF(ISNUMBER(O2324),IF(I2324&gt;0,(10^(VLOOKUP(D2324,'Species Codes'!B:C,2,0)+VLOOKUP(D2324,'Species Codes'!B:D,3,0)*LOG(E2324)+VLOOKUP(D2324,'Species Codes'!B:E,4,0)*LOG(I2324))),0),"")</f>
        <v/>
      </c>
      <c r="AA2324" s="104" t="str">
        <f>IFERROR((VLOOKUP(D2324,'Species Codes'!B:G,6,0)*Z2324)/2000,"")</f>
        <v/>
      </c>
      <c r="AB2324" s="104" t="e">
        <f>IF(Z2324&gt;0,((IF(OR(D2324="DF",D2324="RA")=TRUE,EXP(VLOOKUP(D2324,'Species Codes'!B:I,8,0)+VLOOKUP(D2324,'Species Codes'!B:J,9,0)*(LN((E2324*2.54)))),IF(OR(D2324="PY",D2324="RC",D2324="WH",D2324="NF")=TRUE,VLOOKUP(D2324,'Species Codes'!B:I,8,0)+VLOOKUP(D2324,'Species Codes'!B:J,9,0)*((E2324*2.54)^2)*(I2324*0.3048),IF(OR(D2324="MD",D2324="BM",D2324="GA")=TRUE,((VLOOKUP(D2324,'Species Codes'!B:I,8,0)*(((((E2324*2.54)+VLOOKUP(D2324,'Species Codes'!B:J,9,0))/VLOOKUP(D2324,'Species Codes'!B:K,10,0))^VLOOKUP(D2324,'Species Codes'!B:L,11,0))*((I2324*0.3048)^VLOOKUP(D2324,'Species Codes'!B:M,12,0))))-(VLOOKUP(D2324,'Species Codes'!B:I,8,0)*((((E2324*2.54)^VLOOKUP(D2324,'Species Codes'!B:L,11,0))*((I2324*0.3048)^VLOOKUP(D2324,'Species Codes'!B:M,12,0))))))*35.3*VLOOKUP(D2324,'Species Codes'!B:G,6,0)/2.2046,VLOOKUP(D2324,'Species Codes'!B:I,8,0)+VLOOKUP(D2324,'Species Codes'!B:J,9,0)*(((E2324*2.54)/100)^2)*(I2324*0.3048)))))*0.0011023),0)</f>
        <v>#N/A</v>
      </c>
      <c r="AC2324" s="104" t="e">
        <f>IF(Z2324&gt;0,((IF(OR(D2324="RA",D2324="OA",D2324="OT",D2324="UN",D2324="PC"),EXP(VLOOKUP(D2324,'Species Codes'!B:O,14,0)+VLOOKUP(D2324,'Species Codes'!B:P,15,0)*LN((E2324*2.54)))-EXP(VLOOKUP(D2324,'Species Codes'!B:O,14,0)+VLOOKUP(D2324,'Species Codes'!B:P,15,0)*LN((E2324*2.54)))*(1/(VLOOKUP(D2324,'Species Codes'!B:Q,16,0)+VLOOKUP(D2324,'Species Codes'!B:R,17,0)*((E2324*2.54)^VLOOKUP(D2324,'Species Codes'!B:S,18,0)))),IF(OR(D2324="BM",D2324="MD",D2324="OA"),EXP(VLOOKUP(D2324,'Species Codes'!B:O,14,0)+VLOOKUP(D2324,'Species Codes'!B:P,15,0)*LN((E2324*2.54)))*(1-(1/(VLOOKUP(D2324,'Species Codes'!B:Q,16,0)+VLOOKUP(D2324,'Species Codes'!B:R,17,0)*((E2324*2.54)^VLOOKUP(D2324,'Species Codes'!B:S,18,0)))))/1000,IF(D2324="DF",EXP(VLOOKUP(D2324,'Species Codes'!B:O,14,0)+VLOOKUP(D2324,'Species Codes'!B:P,15,0)*LN((E2324*2.54))),VLOOKUP(D2324,'Species Codes'!B:O,14,0)+VLOOKUP(D2324,'Species Codes'!B:P,15,0)*(((E2324*2.54)/100)^2)*(I2324*0.3048)))))*0.0011023),0)</f>
        <v>#N/A</v>
      </c>
      <c r="AD2324" s="104" t="e">
        <f t="shared" si="1003"/>
        <v>#N/A</v>
      </c>
      <c r="AE2324" s="104" t="e">
        <f t="shared" si="1004"/>
        <v>#N/A</v>
      </c>
      <c r="AF2324" s="104" t="e">
        <f>IF(AND(VLOOKUP($D2324,Merchantability!$B:$C,2,0)="Yes",$E2324&gt;=VLOOKUP($D2324,Merchantability!$B:$D,3,0),$E2324&lt;=VLOOKUP($D2324,Merchantability!$B:$E,4,0)),AA2324,0)</f>
        <v>#N/A</v>
      </c>
      <c r="AG2324" s="104" t="e">
        <f>IF(AND(VLOOKUP($D2324,Merchantability!$B:$C,2,0)="Yes",$E2324&gt;=VLOOKUP($D2324,Merchantability!$B:$D,3,0),$E2324&lt;=VLOOKUP($D2324,Merchantability!$B:$E,4,0)),AB2324,0)</f>
        <v>#N/A</v>
      </c>
      <c r="AH2324" s="104" t="e">
        <f>IF(AND(VLOOKUP($D2324,Merchantability!$B:$C,2,0)="Yes",$E2324&gt;=VLOOKUP($D2324,Merchantability!$B:$D,3,0),$E2324&lt;=VLOOKUP($D2324,Merchantability!$B:$E,4,0)),AC2324,0)</f>
        <v>#N/A</v>
      </c>
      <c r="AI2324" s="104" t="e">
        <f t="shared" si="1005"/>
        <v>#N/A</v>
      </c>
      <c r="AJ2324" s="104" t="e">
        <f t="shared" si="1006"/>
        <v>#VALUE!</v>
      </c>
      <c r="AK2324" s="104" t="e">
        <f t="shared" si="1007"/>
        <v>#N/A</v>
      </c>
      <c r="AL2324" s="104" t="e">
        <f t="shared" si="1008"/>
        <v>#N/A</v>
      </c>
      <c r="AM2324" s="104" t="e">
        <f t="shared" si="1009"/>
        <v>#N/A</v>
      </c>
      <c r="AN2324" s="104" t="e">
        <f t="shared" si="1020"/>
        <v>#N/A</v>
      </c>
      <c r="AO2324" s="104" t="e">
        <f t="shared" si="1021"/>
        <v>#N/A</v>
      </c>
      <c r="AP2324" s="104" t="e">
        <f t="shared" si="1022"/>
        <v>#N/A</v>
      </c>
      <c r="AQ2324" s="104" t="e">
        <f t="shared" si="1023"/>
        <v>#N/A</v>
      </c>
      <c r="AR2324" s="105" t="str">
        <f t="shared" si="1015"/>
        <v/>
      </c>
      <c r="AS2324" s="105" t="str">
        <f t="shared" si="1016"/>
        <v/>
      </c>
      <c r="AT2324" s="108" t="str">
        <f t="shared" si="1017"/>
        <v/>
      </c>
      <c r="AU2324" s="108" t="str">
        <f t="shared" si="1018"/>
        <v/>
      </c>
      <c r="AV2324" s="107" t="str">
        <f>IF(ISNUMBER(O2324),IF(VLOOKUP($A2324,Stand!C:J,8,FALSE)="Short",AT2324,AU2324),"")</f>
        <v/>
      </c>
      <c r="AW2324" s="109" t="str">
        <f t="shared" si="1024"/>
        <v/>
      </c>
      <c r="AX2324" s="109" t="str">
        <f t="shared" si="1025"/>
        <v/>
      </c>
      <c r="AY2324" s="112" t="str">
        <f>IF(ISNUMBER(O2324),IF(AND(VLOOKUP($D2324,Merchantability!$B:$C,2,0)="Yes",$E2324&gt;=VLOOKUP($D2324,Merchantability!$B:$D,3,0),$E2324&lt;=VLOOKUP($D2324,Merchantability!$B:$E,4,0)),(AV2324*O2324)*(1-$H2324/100),""),"")</f>
        <v/>
      </c>
      <c r="AZ2324" s="116"/>
      <c r="BA2324" s="116"/>
      <c r="BB2324" s="116"/>
      <c r="BE2324" s="62"/>
      <c r="BF2324" s="63"/>
    </row>
    <row r="2325" spans="1:58" ht="12.75" customHeight="1" x14ac:dyDescent="0.25">
      <c r="A2325" s="334"/>
      <c r="B2325" s="334"/>
      <c r="C2325" s="332"/>
      <c r="D2325" s="334"/>
      <c r="E2325" s="335"/>
      <c r="F2325" s="334"/>
      <c r="G2325" s="332"/>
      <c r="H2325" s="332"/>
      <c r="I2325" s="334"/>
      <c r="J2325" s="336"/>
      <c r="K2325" s="332"/>
      <c r="L2325" s="332"/>
      <c r="M2325" s="76"/>
      <c r="N2325" s="103" t="str">
        <f>IF(A2325="","",VLOOKUP(A2325,Stand!C:K,9,0))</f>
        <v/>
      </c>
      <c r="O2325" s="104" t="str">
        <f t="shared" si="1010"/>
        <v/>
      </c>
      <c r="P2325" s="105" t="str">
        <f t="shared" si="1011"/>
        <v/>
      </c>
      <c r="Q2325" s="105" t="str">
        <f t="shared" si="999"/>
        <v/>
      </c>
      <c r="R2325" s="103" t="str">
        <f t="shared" si="1012"/>
        <v/>
      </c>
      <c r="S2325" s="103" t="str">
        <f t="shared" si="1013"/>
        <v/>
      </c>
      <c r="T2325" s="106" t="str">
        <f t="shared" si="1000"/>
        <v/>
      </c>
      <c r="U2325" s="106" t="str">
        <f t="shared" si="1001"/>
        <v/>
      </c>
      <c r="V2325" s="106" t="str">
        <f t="shared" si="1002"/>
        <v/>
      </c>
      <c r="W2325" s="105" t="str">
        <f t="shared" si="1014"/>
        <v/>
      </c>
      <c r="X2325" s="104" t="str">
        <f t="shared" si="1019"/>
        <v/>
      </c>
      <c r="Y2325" s="104" t="str">
        <f t="array" ref="Y2325">IFERROR(IF(ISNUMBER(O2325),IF(COUNT(IF(A2325=$A$2:$A$2427,IF(D2325=$D$2:$D$2427,IF($X$2:$X$2427&gt;0,1))))&gt;0,SUM(IF(A2325=$A$2:$A$2427,IF(D2325=$D$2:$D$2427,$X$2:$X$2427)))/COUNT(IF(A2325=$A$2:$A$2427,IF(D2325=$D$2:$D$2427,IF(ISNUMBER($X$2:$X$2427),1)))),0),""),0)</f>
        <v/>
      </c>
      <c r="Z2325" s="104" t="str">
        <f>IF(ISNUMBER(O2325),IF(I2325&gt;0,(10^(VLOOKUP(D2325,'Species Codes'!B:C,2,0)+VLOOKUP(D2325,'Species Codes'!B:D,3,0)*LOG(E2325)+VLOOKUP(D2325,'Species Codes'!B:E,4,0)*LOG(I2325))),0),"")</f>
        <v/>
      </c>
      <c r="AA2325" s="104" t="str">
        <f>IFERROR((VLOOKUP(D2325,'Species Codes'!B:G,6,0)*Z2325)/2000,"")</f>
        <v/>
      </c>
      <c r="AB2325" s="104" t="e">
        <f>IF(Z2325&gt;0,((IF(OR(D2325="DF",D2325="RA")=TRUE,EXP(VLOOKUP(D2325,'Species Codes'!B:I,8,0)+VLOOKUP(D2325,'Species Codes'!B:J,9,0)*(LN((E2325*2.54)))),IF(OR(D2325="PY",D2325="RC",D2325="WH",D2325="NF")=TRUE,VLOOKUP(D2325,'Species Codes'!B:I,8,0)+VLOOKUP(D2325,'Species Codes'!B:J,9,0)*((E2325*2.54)^2)*(I2325*0.3048),IF(OR(D2325="MD",D2325="BM",D2325="GA")=TRUE,((VLOOKUP(D2325,'Species Codes'!B:I,8,0)*(((((E2325*2.54)+VLOOKUP(D2325,'Species Codes'!B:J,9,0))/VLOOKUP(D2325,'Species Codes'!B:K,10,0))^VLOOKUP(D2325,'Species Codes'!B:L,11,0))*((I2325*0.3048)^VLOOKUP(D2325,'Species Codes'!B:M,12,0))))-(VLOOKUP(D2325,'Species Codes'!B:I,8,0)*((((E2325*2.54)^VLOOKUP(D2325,'Species Codes'!B:L,11,0))*((I2325*0.3048)^VLOOKUP(D2325,'Species Codes'!B:M,12,0))))))*35.3*VLOOKUP(D2325,'Species Codes'!B:G,6,0)/2.2046,VLOOKUP(D2325,'Species Codes'!B:I,8,0)+VLOOKUP(D2325,'Species Codes'!B:J,9,0)*(((E2325*2.54)/100)^2)*(I2325*0.3048)))))*0.0011023),0)</f>
        <v>#N/A</v>
      </c>
      <c r="AC2325" s="104" t="e">
        <f>IF(Z2325&gt;0,((IF(OR(D2325="RA",D2325="OA",D2325="OT",D2325="UN",D2325="PC"),EXP(VLOOKUP(D2325,'Species Codes'!B:O,14,0)+VLOOKUP(D2325,'Species Codes'!B:P,15,0)*LN((E2325*2.54)))-EXP(VLOOKUP(D2325,'Species Codes'!B:O,14,0)+VLOOKUP(D2325,'Species Codes'!B:P,15,0)*LN((E2325*2.54)))*(1/(VLOOKUP(D2325,'Species Codes'!B:Q,16,0)+VLOOKUP(D2325,'Species Codes'!B:R,17,0)*((E2325*2.54)^VLOOKUP(D2325,'Species Codes'!B:S,18,0)))),IF(OR(D2325="BM",D2325="MD",D2325="OA"),EXP(VLOOKUP(D2325,'Species Codes'!B:O,14,0)+VLOOKUP(D2325,'Species Codes'!B:P,15,0)*LN((E2325*2.54)))*(1-(1/(VLOOKUP(D2325,'Species Codes'!B:Q,16,0)+VLOOKUP(D2325,'Species Codes'!B:R,17,0)*((E2325*2.54)^VLOOKUP(D2325,'Species Codes'!B:S,18,0)))))/1000,IF(D2325="DF",EXP(VLOOKUP(D2325,'Species Codes'!B:O,14,0)+VLOOKUP(D2325,'Species Codes'!B:P,15,0)*LN((E2325*2.54))),VLOOKUP(D2325,'Species Codes'!B:O,14,0)+VLOOKUP(D2325,'Species Codes'!B:P,15,0)*(((E2325*2.54)/100)^2)*(I2325*0.3048)))))*0.0011023),0)</f>
        <v>#N/A</v>
      </c>
      <c r="AD2325" s="104" t="e">
        <f t="shared" si="1003"/>
        <v>#N/A</v>
      </c>
      <c r="AE2325" s="104" t="e">
        <f t="shared" si="1004"/>
        <v>#N/A</v>
      </c>
      <c r="AF2325" s="104" t="e">
        <f>IF(AND(VLOOKUP($D2325,Merchantability!$B:$C,2,0)="Yes",$E2325&gt;=VLOOKUP($D2325,Merchantability!$B:$D,3,0),$E2325&lt;=VLOOKUP($D2325,Merchantability!$B:$E,4,0)),AA2325,0)</f>
        <v>#N/A</v>
      </c>
      <c r="AG2325" s="104" t="e">
        <f>IF(AND(VLOOKUP($D2325,Merchantability!$B:$C,2,0)="Yes",$E2325&gt;=VLOOKUP($D2325,Merchantability!$B:$D,3,0),$E2325&lt;=VLOOKUP($D2325,Merchantability!$B:$E,4,0)),AB2325,0)</f>
        <v>#N/A</v>
      </c>
      <c r="AH2325" s="104" t="e">
        <f>IF(AND(VLOOKUP($D2325,Merchantability!$B:$C,2,0)="Yes",$E2325&gt;=VLOOKUP($D2325,Merchantability!$B:$D,3,0),$E2325&lt;=VLOOKUP($D2325,Merchantability!$B:$E,4,0)),AC2325,0)</f>
        <v>#N/A</v>
      </c>
      <c r="AI2325" s="104" t="e">
        <f t="shared" si="1005"/>
        <v>#N/A</v>
      </c>
      <c r="AJ2325" s="104" t="e">
        <f t="shared" si="1006"/>
        <v>#VALUE!</v>
      </c>
      <c r="AK2325" s="104" t="e">
        <f t="shared" si="1007"/>
        <v>#N/A</v>
      </c>
      <c r="AL2325" s="104" t="e">
        <f t="shared" si="1008"/>
        <v>#N/A</v>
      </c>
      <c r="AM2325" s="104" t="e">
        <f t="shared" si="1009"/>
        <v>#N/A</v>
      </c>
      <c r="AN2325" s="104" t="e">
        <f t="shared" si="1020"/>
        <v>#N/A</v>
      </c>
      <c r="AO2325" s="104" t="e">
        <f t="shared" si="1021"/>
        <v>#N/A</v>
      </c>
      <c r="AP2325" s="104" t="e">
        <f t="shared" si="1022"/>
        <v>#N/A</v>
      </c>
      <c r="AQ2325" s="104" t="e">
        <f t="shared" si="1023"/>
        <v>#N/A</v>
      </c>
      <c r="AR2325" s="105" t="str">
        <f t="shared" si="1015"/>
        <v/>
      </c>
      <c r="AS2325" s="105" t="str">
        <f t="shared" si="1016"/>
        <v/>
      </c>
      <c r="AT2325" s="108" t="str">
        <f t="shared" si="1017"/>
        <v/>
      </c>
      <c r="AU2325" s="108" t="str">
        <f t="shared" si="1018"/>
        <v/>
      </c>
      <c r="AV2325" s="107" t="str">
        <f>IF(ISNUMBER(O2325),IF(VLOOKUP($A2325,Stand!C:J,8,FALSE)="Short",AT2325,AU2325),"")</f>
        <v/>
      </c>
      <c r="AW2325" s="109" t="str">
        <f t="shared" si="1024"/>
        <v/>
      </c>
      <c r="AX2325" s="109" t="str">
        <f t="shared" si="1025"/>
        <v/>
      </c>
      <c r="AY2325" s="112" t="str">
        <f>IF(ISNUMBER(O2325),IF(AND(VLOOKUP($D2325,Merchantability!$B:$C,2,0)="Yes",$E2325&gt;=VLOOKUP($D2325,Merchantability!$B:$D,3,0),$E2325&lt;=VLOOKUP($D2325,Merchantability!$B:$E,4,0)),(AV2325*O2325)*(1-$H2325/100),""),"")</f>
        <v/>
      </c>
      <c r="AZ2325" s="116"/>
      <c r="BA2325" s="116"/>
      <c r="BB2325" s="116"/>
      <c r="BE2325" s="62"/>
      <c r="BF2325" s="63"/>
    </row>
    <row r="2326" spans="1:58" ht="12.75" customHeight="1" x14ac:dyDescent="0.25">
      <c r="A2326" s="334"/>
      <c r="B2326" s="334"/>
      <c r="C2326" s="332"/>
      <c r="D2326" s="334"/>
      <c r="E2326" s="335"/>
      <c r="F2326" s="334"/>
      <c r="G2326" s="332"/>
      <c r="H2326" s="332"/>
      <c r="I2326" s="334"/>
      <c r="J2326" s="336"/>
      <c r="K2326" s="332"/>
      <c r="L2326" s="332"/>
      <c r="M2326" s="76"/>
      <c r="N2326" s="103" t="str">
        <f>IF(A2326="","",VLOOKUP(A2326,Stand!C:K,9,0))</f>
        <v/>
      </c>
      <c r="O2326" s="104" t="str">
        <f t="shared" si="1010"/>
        <v/>
      </c>
      <c r="P2326" s="105" t="str">
        <f t="shared" si="1011"/>
        <v/>
      </c>
      <c r="Q2326" s="105" t="str">
        <f t="shared" si="999"/>
        <v/>
      </c>
      <c r="R2326" s="103" t="str">
        <f t="shared" si="1012"/>
        <v/>
      </c>
      <c r="S2326" s="103" t="str">
        <f t="shared" si="1013"/>
        <v/>
      </c>
      <c r="T2326" s="106" t="str">
        <f t="shared" si="1000"/>
        <v/>
      </c>
      <c r="U2326" s="106" t="str">
        <f t="shared" si="1001"/>
        <v/>
      </c>
      <c r="V2326" s="106" t="str">
        <f t="shared" si="1002"/>
        <v/>
      </c>
      <c r="W2326" s="105" t="str">
        <f t="shared" si="1014"/>
        <v/>
      </c>
      <c r="X2326" s="104" t="str">
        <f t="shared" si="1019"/>
        <v/>
      </c>
      <c r="Y2326" s="104" t="str">
        <f t="array" ref="Y2326">IFERROR(IF(ISNUMBER(O2326),IF(COUNT(IF(A2326=$A$2:$A$2427,IF(D2326=$D$2:$D$2427,IF($X$2:$X$2427&gt;0,1))))&gt;0,SUM(IF(A2326=$A$2:$A$2427,IF(D2326=$D$2:$D$2427,$X$2:$X$2427)))/COUNT(IF(A2326=$A$2:$A$2427,IF(D2326=$D$2:$D$2427,IF(ISNUMBER($X$2:$X$2427),1)))),0),""),0)</f>
        <v/>
      </c>
      <c r="Z2326" s="104" t="str">
        <f>IF(ISNUMBER(O2326),IF(I2326&gt;0,(10^(VLOOKUP(D2326,'Species Codes'!B:C,2,0)+VLOOKUP(D2326,'Species Codes'!B:D,3,0)*LOG(E2326)+VLOOKUP(D2326,'Species Codes'!B:E,4,0)*LOG(I2326))),0),"")</f>
        <v/>
      </c>
      <c r="AA2326" s="104" t="str">
        <f>IFERROR((VLOOKUP(D2326,'Species Codes'!B:G,6,0)*Z2326)/2000,"")</f>
        <v/>
      </c>
      <c r="AB2326" s="104" t="e">
        <f>IF(Z2326&gt;0,((IF(OR(D2326="DF",D2326="RA")=TRUE,EXP(VLOOKUP(D2326,'Species Codes'!B:I,8,0)+VLOOKUP(D2326,'Species Codes'!B:J,9,0)*(LN((E2326*2.54)))),IF(OR(D2326="PY",D2326="RC",D2326="WH",D2326="NF")=TRUE,VLOOKUP(D2326,'Species Codes'!B:I,8,0)+VLOOKUP(D2326,'Species Codes'!B:J,9,0)*((E2326*2.54)^2)*(I2326*0.3048),IF(OR(D2326="MD",D2326="BM",D2326="GA")=TRUE,((VLOOKUP(D2326,'Species Codes'!B:I,8,0)*(((((E2326*2.54)+VLOOKUP(D2326,'Species Codes'!B:J,9,0))/VLOOKUP(D2326,'Species Codes'!B:K,10,0))^VLOOKUP(D2326,'Species Codes'!B:L,11,0))*((I2326*0.3048)^VLOOKUP(D2326,'Species Codes'!B:M,12,0))))-(VLOOKUP(D2326,'Species Codes'!B:I,8,0)*((((E2326*2.54)^VLOOKUP(D2326,'Species Codes'!B:L,11,0))*((I2326*0.3048)^VLOOKUP(D2326,'Species Codes'!B:M,12,0))))))*35.3*VLOOKUP(D2326,'Species Codes'!B:G,6,0)/2.2046,VLOOKUP(D2326,'Species Codes'!B:I,8,0)+VLOOKUP(D2326,'Species Codes'!B:J,9,0)*(((E2326*2.54)/100)^2)*(I2326*0.3048)))))*0.0011023),0)</f>
        <v>#N/A</v>
      </c>
      <c r="AC2326" s="104" t="e">
        <f>IF(Z2326&gt;0,((IF(OR(D2326="RA",D2326="OA",D2326="OT",D2326="UN",D2326="PC"),EXP(VLOOKUP(D2326,'Species Codes'!B:O,14,0)+VLOOKUP(D2326,'Species Codes'!B:P,15,0)*LN((E2326*2.54)))-EXP(VLOOKUP(D2326,'Species Codes'!B:O,14,0)+VLOOKUP(D2326,'Species Codes'!B:P,15,0)*LN((E2326*2.54)))*(1/(VLOOKUP(D2326,'Species Codes'!B:Q,16,0)+VLOOKUP(D2326,'Species Codes'!B:R,17,0)*((E2326*2.54)^VLOOKUP(D2326,'Species Codes'!B:S,18,0)))),IF(OR(D2326="BM",D2326="MD",D2326="OA"),EXP(VLOOKUP(D2326,'Species Codes'!B:O,14,0)+VLOOKUP(D2326,'Species Codes'!B:P,15,0)*LN((E2326*2.54)))*(1-(1/(VLOOKUP(D2326,'Species Codes'!B:Q,16,0)+VLOOKUP(D2326,'Species Codes'!B:R,17,0)*((E2326*2.54)^VLOOKUP(D2326,'Species Codes'!B:S,18,0)))))/1000,IF(D2326="DF",EXP(VLOOKUP(D2326,'Species Codes'!B:O,14,0)+VLOOKUP(D2326,'Species Codes'!B:P,15,0)*LN((E2326*2.54))),VLOOKUP(D2326,'Species Codes'!B:O,14,0)+VLOOKUP(D2326,'Species Codes'!B:P,15,0)*(((E2326*2.54)/100)^2)*(I2326*0.3048)))))*0.0011023),0)</f>
        <v>#N/A</v>
      </c>
      <c r="AD2326" s="104" t="e">
        <f t="shared" si="1003"/>
        <v>#N/A</v>
      </c>
      <c r="AE2326" s="104" t="e">
        <f t="shared" si="1004"/>
        <v>#N/A</v>
      </c>
      <c r="AF2326" s="104" t="e">
        <f>IF(AND(VLOOKUP($D2326,Merchantability!$B:$C,2,0)="Yes",$E2326&gt;=VLOOKUP($D2326,Merchantability!$B:$D,3,0),$E2326&lt;=VLOOKUP($D2326,Merchantability!$B:$E,4,0)),AA2326,0)</f>
        <v>#N/A</v>
      </c>
      <c r="AG2326" s="104" t="e">
        <f>IF(AND(VLOOKUP($D2326,Merchantability!$B:$C,2,0)="Yes",$E2326&gt;=VLOOKUP($D2326,Merchantability!$B:$D,3,0),$E2326&lt;=VLOOKUP($D2326,Merchantability!$B:$E,4,0)),AB2326,0)</f>
        <v>#N/A</v>
      </c>
      <c r="AH2326" s="104" t="e">
        <f>IF(AND(VLOOKUP($D2326,Merchantability!$B:$C,2,0)="Yes",$E2326&gt;=VLOOKUP($D2326,Merchantability!$B:$D,3,0),$E2326&lt;=VLOOKUP($D2326,Merchantability!$B:$E,4,0)),AC2326,0)</f>
        <v>#N/A</v>
      </c>
      <c r="AI2326" s="104" t="e">
        <f t="shared" si="1005"/>
        <v>#N/A</v>
      </c>
      <c r="AJ2326" s="104" t="e">
        <f t="shared" si="1006"/>
        <v>#VALUE!</v>
      </c>
      <c r="AK2326" s="104" t="e">
        <f t="shared" si="1007"/>
        <v>#N/A</v>
      </c>
      <c r="AL2326" s="104" t="e">
        <f t="shared" si="1008"/>
        <v>#N/A</v>
      </c>
      <c r="AM2326" s="104" t="e">
        <f t="shared" si="1009"/>
        <v>#N/A</v>
      </c>
      <c r="AN2326" s="104" t="e">
        <f t="shared" si="1020"/>
        <v>#N/A</v>
      </c>
      <c r="AO2326" s="104" t="e">
        <f t="shared" si="1021"/>
        <v>#N/A</v>
      </c>
      <c r="AP2326" s="104" t="e">
        <f t="shared" si="1022"/>
        <v>#N/A</v>
      </c>
      <c r="AQ2326" s="104" t="e">
        <f t="shared" si="1023"/>
        <v>#N/A</v>
      </c>
      <c r="AR2326" s="105" t="str">
        <f t="shared" si="1015"/>
        <v/>
      </c>
      <c r="AS2326" s="105" t="str">
        <f t="shared" si="1016"/>
        <v/>
      </c>
      <c r="AT2326" s="108" t="str">
        <f t="shared" si="1017"/>
        <v/>
      </c>
      <c r="AU2326" s="108" t="str">
        <f t="shared" si="1018"/>
        <v/>
      </c>
      <c r="AV2326" s="107" t="str">
        <f>IF(ISNUMBER(O2326),IF(VLOOKUP($A2326,Stand!C:J,8,FALSE)="Short",AT2326,AU2326),"")</f>
        <v/>
      </c>
      <c r="AW2326" s="109" t="str">
        <f t="shared" si="1024"/>
        <v/>
      </c>
      <c r="AX2326" s="109" t="str">
        <f t="shared" si="1025"/>
        <v/>
      </c>
      <c r="AY2326" s="112" t="str">
        <f>IF(ISNUMBER(O2326),IF(AND(VLOOKUP($D2326,Merchantability!$B:$C,2,0)="Yes",$E2326&gt;=VLOOKUP($D2326,Merchantability!$B:$D,3,0),$E2326&lt;=VLOOKUP($D2326,Merchantability!$B:$E,4,0)),(AV2326*O2326)*(1-$H2326/100),""),"")</f>
        <v/>
      </c>
      <c r="AZ2326" s="116"/>
      <c r="BA2326" s="116"/>
      <c r="BB2326" s="116"/>
      <c r="BE2326" s="62"/>
      <c r="BF2326" s="63"/>
    </row>
    <row r="2327" spans="1:58" ht="12.75" customHeight="1" x14ac:dyDescent="0.25">
      <c r="A2327" s="334"/>
      <c r="B2327" s="334"/>
      <c r="C2327" s="332"/>
      <c r="D2327" s="334"/>
      <c r="E2327" s="335"/>
      <c r="F2327" s="334"/>
      <c r="G2327" s="332"/>
      <c r="H2327" s="332"/>
      <c r="I2327" s="334"/>
      <c r="J2327" s="336"/>
      <c r="K2327" s="332"/>
      <c r="L2327" s="332"/>
      <c r="M2327" s="76"/>
      <c r="N2327" s="103" t="str">
        <f>IF(A2327="","",VLOOKUP(A2327,Stand!C:K,9,0))</f>
        <v/>
      </c>
      <c r="O2327" s="104" t="str">
        <f t="shared" si="1010"/>
        <v/>
      </c>
      <c r="P2327" s="105" t="str">
        <f t="shared" si="1011"/>
        <v/>
      </c>
      <c r="Q2327" s="105" t="str">
        <f t="shared" si="999"/>
        <v/>
      </c>
      <c r="R2327" s="103" t="str">
        <f t="shared" si="1012"/>
        <v/>
      </c>
      <c r="S2327" s="103" t="str">
        <f t="shared" si="1013"/>
        <v/>
      </c>
      <c r="T2327" s="106" t="str">
        <f t="shared" si="1000"/>
        <v/>
      </c>
      <c r="U2327" s="106" t="str">
        <f t="shared" si="1001"/>
        <v/>
      </c>
      <c r="V2327" s="106" t="str">
        <f t="shared" si="1002"/>
        <v/>
      </c>
      <c r="W2327" s="105" t="str">
        <f t="shared" si="1014"/>
        <v/>
      </c>
      <c r="X2327" s="104" t="str">
        <f t="shared" si="1019"/>
        <v/>
      </c>
      <c r="Y2327" s="104" t="str">
        <f t="array" ref="Y2327">IFERROR(IF(ISNUMBER(O2327),IF(COUNT(IF(A2327=$A$2:$A$2427,IF(D2327=$D$2:$D$2427,IF($X$2:$X$2427&gt;0,1))))&gt;0,SUM(IF(A2327=$A$2:$A$2427,IF(D2327=$D$2:$D$2427,$X$2:$X$2427)))/COUNT(IF(A2327=$A$2:$A$2427,IF(D2327=$D$2:$D$2427,IF(ISNUMBER($X$2:$X$2427),1)))),0),""),0)</f>
        <v/>
      </c>
      <c r="Z2327" s="104" t="str">
        <f>IF(ISNUMBER(O2327),IF(I2327&gt;0,(10^(VLOOKUP(D2327,'Species Codes'!B:C,2,0)+VLOOKUP(D2327,'Species Codes'!B:D,3,0)*LOG(E2327)+VLOOKUP(D2327,'Species Codes'!B:E,4,0)*LOG(I2327))),0),"")</f>
        <v/>
      </c>
      <c r="AA2327" s="104" t="str">
        <f>IFERROR((VLOOKUP(D2327,'Species Codes'!B:G,6,0)*Z2327)/2000,"")</f>
        <v/>
      </c>
      <c r="AB2327" s="104" t="e">
        <f>IF(Z2327&gt;0,((IF(OR(D2327="DF",D2327="RA")=TRUE,EXP(VLOOKUP(D2327,'Species Codes'!B:I,8,0)+VLOOKUP(D2327,'Species Codes'!B:J,9,0)*(LN((E2327*2.54)))),IF(OR(D2327="PY",D2327="RC",D2327="WH",D2327="NF")=TRUE,VLOOKUP(D2327,'Species Codes'!B:I,8,0)+VLOOKUP(D2327,'Species Codes'!B:J,9,0)*((E2327*2.54)^2)*(I2327*0.3048),IF(OR(D2327="MD",D2327="BM",D2327="GA")=TRUE,((VLOOKUP(D2327,'Species Codes'!B:I,8,0)*(((((E2327*2.54)+VLOOKUP(D2327,'Species Codes'!B:J,9,0))/VLOOKUP(D2327,'Species Codes'!B:K,10,0))^VLOOKUP(D2327,'Species Codes'!B:L,11,0))*((I2327*0.3048)^VLOOKUP(D2327,'Species Codes'!B:M,12,0))))-(VLOOKUP(D2327,'Species Codes'!B:I,8,0)*((((E2327*2.54)^VLOOKUP(D2327,'Species Codes'!B:L,11,0))*((I2327*0.3048)^VLOOKUP(D2327,'Species Codes'!B:M,12,0))))))*35.3*VLOOKUP(D2327,'Species Codes'!B:G,6,0)/2.2046,VLOOKUP(D2327,'Species Codes'!B:I,8,0)+VLOOKUP(D2327,'Species Codes'!B:J,9,0)*(((E2327*2.54)/100)^2)*(I2327*0.3048)))))*0.0011023),0)</f>
        <v>#N/A</v>
      </c>
      <c r="AC2327" s="104" t="e">
        <f>IF(Z2327&gt;0,((IF(OR(D2327="RA",D2327="OA",D2327="OT",D2327="UN",D2327="PC"),EXP(VLOOKUP(D2327,'Species Codes'!B:O,14,0)+VLOOKUP(D2327,'Species Codes'!B:P,15,0)*LN((E2327*2.54)))-EXP(VLOOKUP(D2327,'Species Codes'!B:O,14,0)+VLOOKUP(D2327,'Species Codes'!B:P,15,0)*LN((E2327*2.54)))*(1/(VLOOKUP(D2327,'Species Codes'!B:Q,16,0)+VLOOKUP(D2327,'Species Codes'!B:R,17,0)*((E2327*2.54)^VLOOKUP(D2327,'Species Codes'!B:S,18,0)))),IF(OR(D2327="BM",D2327="MD",D2327="OA"),EXP(VLOOKUP(D2327,'Species Codes'!B:O,14,0)+VLOOKUP(D2327,'Species Codes'!B:P,15,0)*LN((E2327*2.54)))*(1-(1/(VLOOKUP(D2327,'Species Codes'!B:Q,16,0)+VLOOKUP(D2327,'Species Codes'!B:R,17,0)*((E2327*2.54)^VLOOKUP(D2327,'Species Codes'!B:S,18,0)))))/1000,IF(D2327="DF",EXP(VLOOKUP(D2327,'Species Codes'!B:O,14,0)+VLOOKUP(D2327,'Species Codes'!B:P,15,0)*LN((E2327*2.54))),VLOOKUP(D2327,'Species Codes'!B:O,14,0)+VLOOKUP(D2327,'Species Codes'!B:P,15,0)*(((E2327*2.54)/100)^2)*(I2327*0.3048)))))*0.0011023),0)</f>
        <v>#N/A</v>
      </c>
      <c r="AD2327" s="104" t="e">
        <f t="shared" si="1003"/>
        <v>#N/A</v>
      </c>
      <c r="AE2327" s="104" t="e">
        <f t="shared" si="1004"/>
        <v>#N/A</v>
      </c>
      <c r="AF2327" s="104" t="e">
        <f>IF(AND(VLOOKUP($D2327,Merchantability!$B:$C,2,0)="Yes",$E2327&gt;=VLOOKUP($D2327,Merchantability!$B:$D,3,0),$E2327&lt;=VLOOKUP($D2327,Merchantability!$B:$E,4,0)),AA2327,0)</f>
        <v>#N/A</v>
      </c>
      <c r="AG2327" s="104" t="e">
        <f>IF(AND(VLOOKUP($D2327,Merchantability!$B:$C,2,0)="Yes",$E2327&gt;=VLOOKUP($D2327,Merchantability!$B:$D,3,0),$E2327&lt;=VLOOKUP($D2327,Merchantability!$B:$E,4,0)),AB2327,0)</f>
        <v>#N/A</v>
      </c>
      <c r="AH2327" s="104" t="e">
        <f>IF(AND(VLOOKUP($D2327,Merchantability!$B:$C,2,0)="Yes",$E2327&gt;=VLOOKUP($D2327,Merchantability!$B:$D,3,0),$E2327&lt;=VLOOKUP($D2327,Merchantability!$B:$E,4,0)),AC2327,0)</f>
        <v>#N/A</v>
      </c>
      <c r="AI2327" s="104" t="e">
        <f t="shared" si="1005"/>
        <v>#N/A</v>
      </c>
      <c r="AJ2327" s="104" t="e">
        <f t="shared" si="1006"/>
        <v>#VALUE!</v>
      </c>
      <c r="AK2327" s="104" t="e">
        <f t="shared" si="1007"/>
        <v>#N/A</v>
      </c>
      <c r="AL2327" s="104" t="e">
        <f t="shared" si="1008"/>
        <v>#N/A</v>
      </c>
      <c r="AM2327" s="104" t="e">
        <f t="shared" si="1009"/>
        <v>#N/A</v>
      </c>
      <c r="AN2327" s="104" t="e">
        <f t="shared" si="1020"/>
        <v>#N/A</v>
      </c>
      <c r="AO2327" s="104" t="e">
        <f t="shared" si="1021"/>
        <v>#N/A</v>
      </c>
      <c r="AP2327" s="104" t="e">
        <f t="shared" si="1022"/>
        <v>#N/A</v>
      </c>
      <c r="AQ2327" s="104" t="e">
        <f t="shared" si="1023"/>
        <v>#N/A</v>
      </c>
      <c r="AR2327" s="105" t="str">
        <f t="shared" si="1015"/>
        <v/>
      </c>
      <c r="AS2327" s="105" t="str">
        <f t="shared" si="1016"/>
        <v/>
      </c>
      <c r="AT2327" s="108" t="str">
        <f t="shared" si="1017"/>
        <v/>
      </c>
      <c r="AU2327" s="108" t="str">
        <f t="shared" si="1018"/>
        <v/>
      </c>
      <c r="AV2327" s="107" t="str">
        <f>IF(ISNUMBER(O2327),IF(VLOOKUP($A2327,Stand!C:J,8,FALSE)="Short",AT2327,AU2327),"")</f>
        <v/>
      </c>
      <c r="AW2327" s="109" t="str">
        <f t="shared" si="1024"/>
        <v/>
      </c>
      <c r="AX2327" s="109" t="str">
        <f t="shared" si="1025"/>
        <v/>
      </c>
      <c r="AY2327" s="112" t="str">
        <f>IF(ISNUMBER(O2327),IF(AND(VLOOKUP($D2327,Merchantability!$B:$C,2,0)="Yes",$E2327&gt;=VLOOKUP($D2327,Merchantability!$B:$D,3,0),$E2327&lt;=VLOOKUP($D2327,Merchantability!$B:$E,4,0)),(AV2327*O2327)*(1-$H2327/100),""),"")</f>
        <v/>
      </c>
      <c r="AZ2327" s="116"/>
      <c r="BA2327" s="116"/>
      <c r="BB2327" s="116"/>
      <c r="BE2327" s="62"/>
      <c r="BF2327" s="63"/>
    </row>
    <row r="2328" spans="1:58" ht="12.75" customHeight="1" x14ac:dyDescent="0.25">
      <c r="A2328" s="334"/>
      <c r="B2328" s="334"/>
      <c r="C2328" s="332"/>
      <c r="D2328" s="334"/>
      <c r="E2328" s="335"/>
      <c r="F2328" s="334"/>
      <c r="G2328" s="332"/>
      <c r="H2328" s="332"/>
      <c r="I2328" s="334"/>
      <c r="J2328" s="336"/>
      <c r="K2328" s="332"/>
      <c r="L2328" s="332"/>
      <c r="M2328" s="76"/>
      <c r="N2328" s="103" t="str">
        <f>IF(A2328="","",VLOOKUP(A2328,Stand!C:K,9,0))</f>
        <v/>
      </c>
      <c r="O2328" s="104" t="str">
        <f t="shared" si="1010"/>
        <v/>
      </c>
      <c r="P2328" s="105" t="str">
        <f t="shared" si="1011"/>
        <v/>
      </c>
      <c r="Q2328" s="105" t="str">
        <f t="shared" si="999"/>
        <v/>
      </c>
      <c r="R2328" s="103" t="str">
        <f t="shared" si="1012"/>
        <v/>
      </c>
      <c r="S2328" s="103" t="str">
        <f t="shared" si="1013"/>
        <v/>
      </c>
      <c r="T2328" s="106" t="str">
        <f t="shared" si="1000"/>
        <v/>
      </c>
      <c r="U2328" s="106" t="str">
        <f t="shared" si="1001"/>
        <v/>
      </c>
      <c r="V2328" s="106" t="str">
        <f t="shared" si="1002"/>
        <v/>
      </c>
      <c r="W2328" s="105" t="str">
        <f t="shared" si="1014"/>
        <v/>
      </c>
      <c r="X2328" s="104" t="str">
        <f t="shared" si="1019"/>
        <v/>
      </c>
      <c r="Y2328" s="104" t="str">
        <f t="array" ref="Y2328">IFERROR(IF(ISNUMBER(O2328),IF(COUNT(IF(A2328=$A$2:$A$2427,IF(D2328=$D$2:$D$2427,IF($X$2:$X$2427&gt;0,1))))&gt;0,SUM(IF(A2328=$A$2:$A$2427,IF(D2328=$D$2:$D$2427,$X$2:$X$2427)))/COUNT(IF(A2328=$A$2:$A$2427,IF(D2328=$D$2:$D$2427,IF(ISNUMBER($X$2:$X$2427),1)))),0),""),0)</f>
        <v/>
      </c>
      <c r="Z2328" s="104" t="str">
        <f>IF(ISNUMBER(O2328),IF(I2328&gt;0,(10^(VLOOKUP(D2328,'Species Codes'!B:C,2,0)+VLOOKUP(D2328,'Species Codes'!B:D,3,0)*LOG(E2328)+VLOOKUP(D2328,'Species Codes'!B:E,4,0)*LOG(I2328))),0),"")</f>
        <v/>
      </c>
      <c r="AA2328" s="104" t="str">
        <f>IFERROR((VLOOKUP(D2328,'Species Codes'!B:G,6,0)*Z2328)/2000,"")</f>
        <v/>
      </c>
      <c r="AB2328" s="104" t="e">
        <f>IF(Z2328&gt;0,((IF(OR(D2328="DF",D2328="RA")=TRUE,EXP(VLOOKUP(D2328,'Species Codes'!B:I,8,0)+VLOOKUP(D2328,'Species Codes'!B:J,9,0)*(LN((E2328*2.54)))),IF(OR(D2328="PY",D2328="RC",D2328="WH",D2328="NF")=TRUE,VLOOKUP(D2328,'Species Codes'!B:I,8,0)+VLOOKUP(D2328,'Species Codes'!B:J,9,0)*((E2328*2.54)^2)*(I2328*0.3048),IF(OR(D2328="MD",D2328="BM",D2328="GA")=TRUE,((VLOOKUP(D2328,'Species Codes'!B:I,8,0)*(((((E2328*2.54)+VLOOKUP(D2328,'Species Codes'!B:J,9,0))/VLOOKUP(D2328,'Species Codes'!B:K,10,0))^VLOOKUP(D2328,'Species Codes'!B:L,11,0))*((I2328*0.3048)^VLOOKUP(D2328,'Species Codes'!B:M,12,0))))-(VLOOKUP(D2328,'Species Codes'!B:I,8,0)*((((E2328*2.54)^VLOOKUP(D2328,'Species Codes'!B:L,11,0))*((I2328*0.3048)^VLOOKUP(D2328,'Species Codes'!B:M,12,0))))))*35.3*VLOOKUP(D2328,'Species Codes'!B:G,6,0)/2.2046,VLOOKUP(D2328,'Species Codes'!B:I,8,0)+VLOOKUP(D2328,'Species Codes'!B:J,9,0)*(((E2328*2.54)/100)^2)*(I2328*0.3048)))))*0.0011023),0)</f>
        <v>#N/A</v>
      </c>
      <c r="AC2328" s="104" t="e">
        <f>IF(Z2328&gt;0,((IF(OR(D2328="RA",D2328="OA",D2328="OT",D2328="UN",D2328="PC"),EXP(VLOOKUP(D2328,'Species Codes'!B:O,14,0)+VLOOKUP(D2328,'Species Codes'!B:P,15,0)*LN((E2328*2.54)))-EXP(VLOOKUP(D2328,'Species Codes'!B:O,14,0)+VLOOKUP(D2328,'Species Codes'!B:P,15,0)*LN((E2328*2.54)))*(1/(VLOOKUP(D2328,'Species Codes'!B:Q,16,0)+VLOOKUP(D2328,'Species Codes'!B:R,17,0)*((E2328*2.54)^VLOOKUP(D2328,'Species Codes'!B:S,18,0)))),IF(OR(D2328="BM",D2328="MD",D2328="OA"),EXP(VLOOKUP(D2328,'Species Codes'!B:O,14,0)+VLOOKUP(D2328,'Species Codes'!B:P,15,0)*LN((E2328*2.54)))*(1-(1/(VLOOKUP(D2328,'Species Codes'!B:Q,16,0)+VLOOKUP(D2328,'Species Codes'!B:R,17,0)*((E2328*2.54)^VLOOKUP(D2328,'Species Codes'!B:S,18,0)))))/1000,IF(D2328="DF",EXP(VLOOKUP(D2328,'Species Codes'!B:O,14,0)+VLOOKUP(D2328,'Species Codes'!B:P,15,0)*LN((E2328*2.54))),VLOOKUP(D2328,'Species Codes'!B:O,14,0)+VLOOKUP(D2328,'Species Codes'!B:P,15,0)*(((E2328*2.54)/100)^2)*(I2328*0.3048)))))*0.0011023),0)</f>
        <v>#N/A</v>
      </c>
      <c r="AD2328" s="104" t="e">
        <f t="shared" si="1003"/>
        <v>#N/A</v>
      </c>
      <c r="AE2328" s="104" t="e">
        <f t="shared" si="1004"/>
        <v>#N/A</v>
      </c>
      <c r="AF2328" s="104" t="e">
        <f>IF(AND(VLOOKUP($D2328,Merchantability!$B:$C,2,0)="Yes",$E2328&gt;=VLOOKUP($D2328,Merchantability!$B:$D,3,0),$E2328&lt;=VLOOKUP($D2328,Merchantability!$B:$E,4,0)),AA2328,0)</f>
        <v>#N/A</v>
      </c>
      <c r="AG2328" s="104" t="e">
        <f>IF(AND(VLOOKUP($D2328,Merchantability!$B:$C,2,0)="Yes",$E2328&gt;=VLOOKUP($D2328,Merchantability!$B:$D,3,0),$E2328&lt;=VLOOKUP($D2328,Merchantability!$B:$E,4,0)),AB2328,0)</f>
        <v>#N/A</v>
      </c>
      <c r="AH2328" s="104" t="e">
        <f>IF(AND(VLOOKUP($D2328,Merchantability!$B:$C,2,0)="Yes",$E2328&gt;=VLOOKUP($D2328,Merchantability!$B:$D,3,0),$E2328&lt;=VLOOKUP($D2328,Merchantability!$B:$E,4,0)),AC2328,0)</f>
        <v>#N/A</v>
      </c>
      <c r="AI2328" s="104" t="e">
        <f t="shared" si="1005"/>
        <v>#N/A</v>
      </c>
      <c r="AJ2328" s="104" t="e">
        <f t="shared" si="1006"/>
        <v>#VALUE!</v>
      </c>
      <c r="AK2328" s="104" t="e">
        <f t="shared" si="1007"/>
        <v>#N/A</v>
      </c>
      <c r="AL2328" s="104" t="e">
        <f t="shared" si="1008"/>
        <v>#N/A</v>
      </c>
      <c r="AM2328" s="104" t="e">
        <f t="shared" si="1009"/>
        <v>#N/A</v>
      </c>
      <c r="AN2328" s="104" t="e">
        <f t="shared" si="1020"/>
        <v>#N/A</v>
      </c>
      <c r="AO2328" s="104" t="e">
        <f t="shared" si="1021"/>
        <v>#N/A</v>
      </c>
      <c r="AP2328" s="104" t="e">
        <f t="shared" si="1022"/>
        <v>#N/A</v>
      </c>
      <c r="AQ2328" s="104" t="e">
        <f t="shared" si="1023"/>
        <v>#N/A</v>
      </c>
      <c r="AR2328" s="105" t="str">
        <f t="shared" si="1015"/>
        <v/>
      </c>
      <c r="AS2328" s="105" t="str">
        <f t="shared" si="1016"/>
        <v/>
      </c>
      <c r="AT2328" s="108" t="str">
        <f t="shared" si="1017"/>
        <v/>
      </c>
      <c r="AU2328" s="108" t="str">
        <f t="shared" si="1018"/>
        <v/>
      </c>
      <c r="AV2328" s="107" t="str">
        <f>IF(ISNUMBER(O2328),IF(VLOOKUP($A2328,Stand!C:J,8,FALSE)="Short",AT2328,AU2328),"")</f>
        <v/>
      </c>
      <c r="AW2328" s="109" t="str">
        <f t="shared" si="1024"/>
        <v/>
      </c>
      <c r="AX2328" s="109" t="str">
        <f t="shared" si="1025"/>
        <v/>
      </c>
      <c r="AY2328" s="112" t="str">
        <f>IF(ISNUMBER(O2328),IF(AND(VLOOKUP($D2328,Merchantability!$B:$C,2,0)="Yes",$E2328&gt;=VLOOKUP($D2328,Merchantability!$B:$D,3,0),$E2328&lt;=VLOOKUP($D2328,Merchantability!$B:$E,4,0)),(AV2328*O2328)*(1-$H2328/100),""),"")</f>
        <v/>
      </c>
      <c r="AZ2328" s="116"/>
      <c r="BA2328" s="116"/>
      <c r="BB2328" s="116"/>
      <c r="BE2328" s="62"/>
      <c r="BF2328" s="63"/>
    </row>
    <row r="2329" spans="1:58" ht="12.75" customHeight="1" x14ac:dyDescent="0.25">
      <c r="A2329" s="334"/>
      <c r="B2329" s="334"/>
      <c r="C2329" s="332"/>
      <c r="D2329" s="334"/>
      <c r="E2329" s="335"/>
      <c r="F2329" s="334"/>
      <c r="G2329" s="332"/>
      <c r="H2329" s="332"/>
      <c r="I2329" s="334"/>
      <c r="J2329" s="336"/>
      <c r="K2329" s="332"/>
      <c r="L2329" s="332"/>
      <c r="M2329" s="76"/>
      <c r="N2329" s="103" t="str">
        <f>IF(A2329="","",VLOOKUP(A2329,Stand!C:K,9,0))</f>
        <v/>
      </c>
      <c r="O2329" s="104" t="str">
        <f t="shared" si="1010"/>
        <v/>
      </c>
      <c r="P2329" s="105" t="str">
        <f t="shared" si="1011"/>
        <v/>
      </c>
      <c r="Q2329" s="105" t="str">
        <f t="shared" si="999"/>
        <v/>
      </c>
      <c r="R2329" s="103" t="str">
        <f t="shared" si="1012"/>
        <v/>
      </c>
      <c r="S2329" s="103" t="str">
        <f t="shared" si="1013"/>
        <v/>
      </c>
      <c r="T2329" s="106" t="str">
        <f t="shared" si="1000"/>
        <v/>
      </c>
      <c r="U2329" s="106" t="str">
        <f t="shared" si="1001"/>
        <v/>
      </c>
      <c r="V2329" s="106" t="str">
        <f t="shared" si="1002"/>
        <v/>
      </c>
      <c r="W2329" s="105" t="str">
        <f t="shared" si="1014"/>
        <v/>
      </c>
      <c r="X2329" s="104" t="str">
        <f t="shared" si="1019"/>
        <v/>
      </c>
      <c r="Y2329" s="104" t="str">
        <f t="array" ref="Y2329">IFERROR(IF(ISNUMBER(O2329),IF(COUNT(IF(A2329=$A$2:$A$2427,IF(D2329=$D$2:$D$2427,IF($X$2:$X$2427&gt;0,1))))&gt;0,SUM(IF(A2329=$A$2:$A$2427,IF(D2329=$D$2:$D$2427,$X$2:$X$2427)))/COUNT(IF(A2329=$A$2:$A$2427,IF(D2329=$D$2:$D$2427,IF(ISNUMBER($X$2:$X$2427),1)))),0),""),0)</f>
        <v/>
      </c>
      <c r="Z2329" s="104" t="str">
        <f>IF(ISNUMBER(O2329),IF(I2329&gt;0,(10^(VLOOKUP(D2329,'Species Codes'!B:C,2,0)+VLOOKUP(D2329,'Species Codes'!B:D,3,0)*LOG(E2329)+VLOOKUP(D2329,'Species Codes'!B:E,4,0)*LOG(I2329))),0),"")</f>
        <v/>
      </c>
      <c r="AA2329" s="104" t="str">
        <f>IFERROR((VLOOKUP(D2329,'Species Codes'!B:G,6,0)*Z2329)/2000,"")</f>
        <v/>
      </c>
      <c r="AB2329" s="104" t="e">
        <f>IF(Z2329&gt;0,((IF(OR(D2329="DF",D2329="RA")=TRUE,EXP(VLOOKUP(D2329,'Species Codes'!B:I,8,0)+VLOOKUP(D2329,'Species Codes'!B:J,9,0)*(LN((E2329*2.54)))),IF(OR(D2329="PY",D2329="RC",D2329="WH",D2329="NF")=TRUE,VLOOKUP(D2329,'Species Codes'!B:I,8,0)+VLOOKUP(D2329,'Species Codes'!B:J,9,0)*((E2329*2.54)^2)*(I2329*0.3048),IF(OR(D2329="MD",D2329="BM",D2329="GA")=TRUE,((VLOOKUP(D2329,'Species Codes'!B:I,8,0)*(((((E2329*2.54)+VLOOKUP(D2329,'Species Codes'!B:J,9,0))/VLOOKUP(D2329,'Species Codes'!B:K,10,0))^VLOOKUP(D2329,'Species Codes'!B:L,11,0))*((I2329*0.3048)^VLOOKUP(D2329,'Species Codes'!B:M,12,0))))-(VLOOKUP(D2329,'Species Codes'!B:I,8,0)*((((E2329*2.54)^VLOOKUP(D2329,'Species Codes'!B:L,11,0))*((I2329*0.3048)^VLOOKUP(D2329,'Species Codes'!B:M,12,0))))))*35.3*VLOOKUP(D2329,'Species Codes'!B:G,6,0)/2.2046,VLOOKUP(D2329,'Species Codes'!B:I,8,0)+VLOOKUP(D2329,'Species Codes'!B:J,9,0)*(((E2329*2.54)/100)^2)*(I2329*0.3048)))))*0.0011023),0)</f>
        <v>#N/A</v>
      </c>
      <c r="AC2329" s="104" t="e">
        <f>IF(Z2329&gt;0,((IF(OR(D2329="RA",D2329="OA",D2329="OT",D2329="UN",D2329="PC"),EXP(VLOOKUP(D2329,'Species Codes'!B:O,14,0)+VLOOKUP(D2329,'Species Codes'!B:P,15,0)*LN((E2329*2.54)))-EXP(VLOOKUP(D2329,'Species Codes'!B:O,14,0)+VLOOKUP(D2329,'Species Codes'!B:P,15,0)*LN((E2329*2.54)))*(1/(VLOOKUP(D2329,'Species Codes'!B:Q,16,0)+VLOOKUP(D2329,'Species Codes'!B:R,17,0)*((E2329*2.54)^VLOOKUP(D2329,'Species Codes'!B:S,18,0)))),IF(OR(D2329="BM",D2329="MD",D2329="OA"),EXP(VLOOKUP(D2329,'Species Codes'!B:O,14,0)+VLOOKUP(D2329,'Species Codes'!B:P,15,0)*LN((E2329*2.54)))*(1-(1/(VLOOKUP(D2329,'Species Codes'!B:Q,16,0)+VLOOKUP(D2329,'Species Codes'!B:R,17,0)*((E2329*2.54)^VLOOKUP(D2329,'Species Codes'!B:S,18,0)))))/1000,IF(D2329="DF",EXP(VLOOKUP(D2329,'Species Codes'!B:O,14,0)+VLOOKUP(D2329,'Species Codes'!B:P,15,0)*LN((E2329*2.54))),VLOOKUP(D2329,'Species Codes'!B:O,14,0)+VLOOKUP(D2329,'Species Codes'!B:P,15,0)*(((E2329*2.54)/100)^2)*(I2329*0.3048)))))*0.0011023),0)</f>
        <v>#N/A</v>
      </c>
      <c r="AD2329" s="104" t="e">
        <f t="shared" si="1003"/>
        <v>#N/A</v>
      </c>
      <c r="AE2329" s="104" t="e">
        <f t="shared" si="1004"/>
        <v>#N/A</v>
      </c>
      <c r="AF2329" s="104" t="e">
        <f>IF(AND(VLOOKUP($D2329,Merchantability!$B:$C,2,0)="Yes",$E2329&gt;=VLOOKUP($D2329,Merchantability!$B:$D,3,0),$E2329&lt;=VLOOKUP($D2329,Merchantability!$B:$E,4,0)),AA2329,0)</f>
        <v>#N/A</v>
      </c>
      <c r="AG2329" s="104" t="e">
        <f>IF(AND(VLOOKUP($D2329,Merchantability!$B:$C,2,0)="Yes",$E2329&gt;=VLOOKUP($D2329,Merchantability!$B:$D,3,0),$E2329&lt;=VLOOKUP($D2329,Merchantability!$B:$E,4,0)),AB2329,0)</f>
        <v>#N/A</v>
      </c>
      <c r="AH2329" s="104" t="e">
        <f>IF(AND(VLOOKUP($D2329,Merchantability!$B:$C,2,0)="Yes",$E2329&gt;=VLOOKUP($D2329,Merchantability!$B:$D,3,0),$E2329&lt;=VLOOKUP($D2329,Merchantability!$B:$E,4,0)),AC2329,0)</f>
        <v>#N/A</v>
      </c>
      <c r="AI2329" s="104" t="e">
        <f t="shared" si="1005"/>
        <v>#N/A</v>
      </c>
      <c r="AJ2329" s="104" t="e">
        <f t="shared" si="1006"/>
        <v>#VALUE!</v>
      </c>
      <c r="AK2329" s="104" t="e">
        <f t="shared" si="1007"/>
        <v>#N/A</v>
      </c>
      <c r="AL2329" s="104" t="e">
        <f t="shared" si="1008"/>
        <v>#N/A</v>
      </c>
      <c r="AM2329" s="104" t="e">
        <f t="shared" si="1009"/>
        <v>#N/A</v>
      </c>
      <c r="AN2329" s="104" t="e">
        <f t="shared" si="1020"/>
        <v>#N/A</v>
      </c>
      <c r="AO2329" s="104" t="e">
        <f t="shared" si="1021"/>
        <v>#N/A</v>
      </c>
      <c r="AP2329" s="104" t="e">
        <f t="shared" si="1022"/>
        <v>#N/A</v>
      </c>
      <c r="AQ2329" s="104" t="e">
        <f t="shared" si="1023"/>
        <v>#N/A</v>
      </c>
      <c r="AR2329" s="105" t="str">
        <f t="shared" si="1015"/>
        <v/>
      </c>
      <c r="AS2329" s="105" t="str">
        <f t="shared" si="1016"/>
        <v/>
      </c>
      <c r="AT2329" s="108" t="str">
        <f t="shared" si="1017"/>
        <v/>
      </c>
      <c r="AU2329" s="108" t="str">
        <f t="shared" si="1018"/>
        <v/>
      </c>
      <c r="AV2329" s="107" t="str">
        <f>IF(ISNUMBER(O2329),IF(VLOOKUP($A2329,Stand!C:J,8,FALSE)="Short",AT2329,AU2329),"")</f>
        <v/>
      </c>
      <c r="AW2329" s="109" t="str">
        <f t="shared" si="1024"/>
        <v/>
      </c>
      <c r="AX2329" s="109" t="str">
        <f t="shared" si="1025"/>
        <v/>
      </c>
      <c r="AY2329" s="112" t="str">
        <f>IF(ISNUMBER(O2329),IF(AND(VLOOKUP($D2329,Merchantability!$B:$C,2,0)="Yes",$E2329&gt;=VLOOKUP($D2329,Merchantability!$B:$D,3,0),$E2329&lt;=VLOOKUP($D2329,Merchantability!$B:$E,4,0)),(AV2329*O2329)*(1-$H2329/100),""),"")</f>
        <v/>
      </c>
      <c r="AZ2329" s="116"/>
      <c r="BA2329" s="116"/>
      <c r="BB2329" s="116"/>
      <c r="BE2329" s="62"/>
      <c r="BF2329" s="63"/>
    </row>
    <row r="2330" spans="1:58" ht="12.75" customHeight="1" x14ac:dyDescent="0.25">
      <c r="A2330" s="334"/>
      <c r="B2330" s="334"/>
      <c r="C2330" s="332"/>
      <c r="D2330" s="334"/>
      <c r="E2330" s="335"/>
      <c r="F2330" s="334"/>
      <c r="G2330" s="332"/>
      <c r="H2330" s="332"/>
      <c r="I2330" s="334"/>
      <c r="J2330" s="336"/>
      <c r="K2330" s="332"/>
      <c r="L2330" s="332"/>
      <c r="M2330" s="76"/>
      <c r="N2330" s="103" t="str">
        <f>IF(A2330="","",VLOOKUP(A2330,Stand!C:K,9,0))</f>
        <v/>
      </c>
      <c r="O2330" s="104" t="str">
        <f t="shared" si="1010"/>
        <v/>
      </c>
      <c r="P2330" s="105" t="str">
        <f t="shared" si="1011"/>
        <v/>
      </c>
      <c r="Q2330" s="105" t="str">
        <f t="shared" si="999"/>
        <v/>
      </c>
      <c r="R2330" s="103" t="str">
        <f t="shared" si="1012"/>
        <v/>
      </c>
      <c r="S2330" s="103" t="str">
        <f t="shared" si="1013"/>
        <v/>
      </c>
      <c r="T2330" s="106" t="str">
        <f t="shared" si="1000"/>
        <v/>
      </c>
      <c r="U2330" s="106" t="str">
        <f t="shared" si="1001"/>
        <v/>
      </c>
      <c r="V2330" s="106" t="str">
        <f t="shared" si="1002"/>
        <v/>
      </c>
      <c r="W2330" s="105" t="str">
        <f t="shared" si="1014"/>
        <v/>
      </c>
      <c r="X2330" s="104" t="str">
        <f t="shared" si="1019"/>
        <v/>
      </c>
      <c r="Y2330" s="104" t="str">
        <f t="array" ref="Y2330">IFERROR(IF(ISNUMBER(O2330),IF(COUNT(IF(A2330=$A$2:$A$2427,IF(D2330=$D$2:$D$2427,IF($X$2:$X$2427&gt;0,1))))&gt;0,SUM(IF(A2330=$A$2:$A$2427,IF(D2330=$D$2:$D$2427,$X$2:$X$2427)))/COUNT(IF(A2330=$A$2:$A$2427,IF(D2330=$D$2:$D$2427,IF(ISNUMBER($X$2:$X$2427),1)))),0),""),0)</f>
        <v/>
      </c>
      <c r="Z2330" s="104" t="str">
        <f>IF(ISNUMBER(O2330),IF(I2330&gt;0,(10^(VLOOKUP(D2330,'Species Codes'!B:C,2,0)+VLOOKUP(D2330,'Species Codes'!B:D,3,0)*LOG(E2330)+VLOOKUP(D2330,'Species Codes'!B:E,4,0)*LOG(I2330))),0),"")</f>
        <v/>
      </c>
      <c r="AA2330" s="104" t="str">
        <f>IFERROR((VLOOKUP(D2330,'Species Codes'!B:G,6,0)*Z2330)/2000,"")</f>
        <v/>
      </c>
      <c r="AB2330" s="104" t="e">
        <f>IF(Z2330&gt;0,((IF(OR(D2330="DF",D2330="RA")=TRUE,EXP(VLOOKUP(D2330,'Species Codes'!B:I,8,0)+VLOOKUP(D2330,'Species Codes'!B:J,9,0)*(LN((E2330*2.54)))),IF(OR(D2330="PY",D2330="RC",D2330="WH",D2330="NF")=TRUE,VLOOKUP(D2330,'Species Codes'!B:I,8,0)+VLOOKUP(D2330,'Species Codes'!B:J,9,0)*((E2330*2.54)^2)*(I2330*0.3048),IF(OR(D2330="MD",D2330="BM",D2330="GA")=TRUE,((VLOOKUP(D2330,'Species Codes'!B:I,8,0)*(((((E2330*2.54)+VLOOKUP(D2330,'Species Codes'!B:J,9,0))/VLOOKUP(D2330,'Species Codes'!B:K,10,0))^VLOOKUP(D2330,'Species Codes'!B:L,11,0))*((I2330*0.3048)^VLOOKUP(D2330,'Species Codes'!B:M,12,0))))-(VLOOKUP(D2330,'Species Codes'!B:I,8,0)*((((E2330*2.54)^VLOOKUP(D2330,'Species Codes'!B:L,11,0))*((I2330*0.3048)^VLOOKUP(D2330,'Species Codes'!B:M,12,0))))))*35.3*VLOOKUP(D2330,'Species Codes'!B:G,6,0)/2.2046,VLOOKUP(D2330,'Species Codes'!B:I,8,0)+VLOOKUP(D2330,'Species Codes'!B:J,9,0)*(((E2330*2.54)/100)^2)*(I2330*0.3048)))))*0.0011023),0)</f>
        <v>#N/A</v>
      </c>
      <c r="AC2330" s="104" t="e">
        <f>IF(Z2330&gt;0,((IF(OR(D2330="RA",D2330="OA",D2330="OT",D2330="UN",D2330="PC"),EXP(VLOOKUP(D2330,'Species Codes'!B:O,14,0)+VLOOKUP(D2330,'Species Codes'!B:P,15,0)*LN((E2330*2.54)))-EXP(VLOOKUP(D2330,'Species Codes'!B:O,14,0)+VLOOKUP(D2330,'Species Codes'!B:P,15,0)*LN((E2330*2.54)))*(1/(VLOOKUP(D2330,'Species Codes'!B:Q,16,0)+VLOOKUP(D2330,'Species Codes'!B:R,17,0)*((E2330*2.54)^VLOOKUP(D2330,'Species Codes'!B:S,18,0)))),IF(OR(D2330="BM",D2330="MD",D2330="OA"),EXP(VLOOKUP(D2330,'Species Codes'!B:O,14,0)+VLOOKUP(D2330,'Species Codes'!B:P,15,0)*LN((E2330*2.54)))*(1-(1/(VLOOKUP(D2330,'Species Codes'!B:Q,16,0)+VLOOKUP(D2330,'Species Codes'!B:R,17,0)*((E2330*2.54)^VLOOKUP(D2330,'Species Codes'!B:S,18,0)))))/1000,IF(D2330="DF",EXP(VLOOKUP(D2330,'Species Codes'!B:O,14,0)+VLOOKUP(D2330,'Species Codes'!B:P,15,0)*LN((E2330*2.54))),VLOOKUP(D2330,'Species Codes'!B:O,14,0)+VLOOKUP(D2330,'Species Codes'!B:P,15,0)*(((E2330*2.54)/100)^2)*(I2330*0.3048)))))*0.0011023),0)</f>
        <v>#N/A</v>
      </c>
      <c r="AD2330" s="104" t="e">
        <f t="shared" si="1003"/>
        <v>#N/A</v>
      </c>
      <c r="AE2330" s="104" t="e">
        <f t="shared" si="1004"/>
        <v>#N/A</v>
      </c>
      <c r="AF2330" s="104" t="e">
        <f>IF(AND(VLOOKUP($D2330,Merchantability!$B:$C,2,0)="Yes",$E2330&gt;=VLOOKUP($D2330,Merchantability!$B:$D,3,0),$E2330&lt;=VLOOKUP($D2330,Merchantability!$B:$E,4,0)),AA2330,0)</f>
        <v>#N/A</v>
      </c>
      <c r="AG2330" s="104" t="e">
        <f>IF(AND(VLOOKUP($D2330,Merchantability!$B:$C,2,0)="Yes",$E2330&gt;=VLOOKUP($D2330,Merchantability!$B:$D,3,0),$E2330&lt;=VLOOKUP($D2330,Merchantability!$B:$E,4,0)),AB2330,0)</f>
        <v>#N/A</v>
      </c>
      <c r="AH2330" s="104" t="e">
        <f>IF(AND(VLOOKUP($D2330,Merchantability!$B:$C,2,0)="Yes",$E2330&gt;=VLOOKUP($D2330,Merchantability!$B:$D,3,0),$E2330&lt;=VLOOKUP($D2330,Merchantability!$B:$E,4,0)),AC2330,0)</f>
        <v>#N/A</v>
      </c>
      <c r="AI2330" s="104" t="e">
        <f t="shared" si="1005"/>
        <v>#N/A</v>
      </c>
      <c r="AJ2330" s="104" t="e">
        <f t="shared" si="1006"/>
        <v>#VALUE!</v>
      </c>
      <c r="AK2330" s="104" t="e">
        <f t="shared" si="1007"/>
        <v>#N/A</v>
      </c>
      <c r="AL2330" s="104" t="e">
        <f t="shared" si="1008"/>
        <v>#N/A</v>
      </c>
      <c r="AM2330" s="104" t="e">
        <f t="shared" si="1009"/>
        <v>#N/A</v>
      </c>
      <c r="AN2330" s="104" t="e">
        <f t="shared" si="1020"/>
        <v>#N/A</v>
      </c>
      <c r="AO2330" s="104" t="e">
        <f t="shared" si="1021"/>
        <v>#N/A</v>
      </c>
      <c r="AP2330" s="104" t="e">
        <f t="shared" si="1022"/>
        <v>#N/A</v>
      </c>
      <c r="AQ2330" s="104" t="e">
        <f t="shared" si="1023"/>
        <v>#N/A</v>
      </c>
      <c r="AR2330" s="105" t="str">
        <f t="shared" si="1015"/>
        <v/>
      </c>
      <c r="AS2330" s="105" t="str">
        <f t="shared" si="1016"/>
        <v/>
      </c>
      <c r="AT2330" s="108" t="str">
        <f t="shared" si="1017"/>
        <v/>
      </c>
      <c r="AU2330" s="108" t="str">
        <f t="shared" si="1018"/>
        <v/>
      </c>
      <c r="AV2330" s="107" t="str">
        <f>IF(ISNUMBER(O2330),IF(VLOOKUP($A2330,Stand!C:J,8,FALSE)="Short",AT2330,AU2330),"")</f>
        <v/>
      </c>
      <c r="AW2330" s="109" t="str">
        <f t="shared" si="1024"/>
        <v/>
      </c>
      <c r="AX2330" s="109" t="str">
        <f t="shared" si="1025"/>
        <v/>
      </c>
      <c r="AY2330" s="112" t="str">
        <f>IF(ISNUMBER(O2330),IF(AND(VLOOKUP($D2330,Merchantability!$B:$C,2,0)="Yes",$E2330&gt;=VLOOKUP($D2330,Merchantability!$B:$D,3,0),$E2330&lt;=VLOOKUP($D2330,Merchantability!$B:$E,4,0)),(AV2330*O2330)*(1-$H2330/100),""),"")</f>
        <v/>
      </c>
      <c r="AZ2330" s="116"/>
      <c r="BA2330" s="116"/>
      <c r="BB2330" s="116"/>
      <c r="BE2330" s="62"/>
      <c r="BF2330" s="63"/>
    </row>
    <row r="2331" spans="1:58" ht="12.75" customHeight="1" x14ac:dyDescent="0.25">
      <c r="A2331" s="334"/>
      <c r="B2331" s="334"/>
      <c r="C2331" s="332"/>
      <c r="D2331" s="334"/>
      <c r="E2331" s="335"/>
      <c r="F2331" s="334"/>
      <c r="G2331" s="332"/>
      <c r="H2331" s="332"/>
      <c r="I2331" s="334"/>
      <c r="J2331" s="336"/>
      <c r="K2331" s="332"/>
      <c r="L2331" s="332"/>
      <c r="M2331" s="76"/>
      <c r="N2331" s="103" t="str">
        <f>IF(A2331="","",VLOOKUP(A2331,Stand!C:K,9,0))</f>
        <v/>
      </c>
      <c r="O2331" s="104" t="str">
        <f t="shared" si="1010"/>
        <v/>
      </c>
      <c r="P2331" s="105" t="str">
        <f t="shared" si="1011"/>
        <v/>
      </c>
      <c r="Q2331" s="105" t="str">
        <f t="shared" si="999"/>
        <v/>
      </c>
      <c r="R2331" s="103" t="str">
        <f t="shared" si="1012"/>
        <v/>
      </c>
      <c r="S2331" s="103" t="str">
        <f t="shared" si="1013"/>
        <v/>
      </c>
      <c r="T2331" s="106" t="str">
        <f t="shared" si="1000"/>
        <v/>
      </c>
      <c r="U2331" s="106" t="str">
        <f t="shared" si="1001"/>
        <v/>
      </c>
      <c r="V2331" s="106" t="str">
        <f t="shared" si="1002"/>
        <v/>
      </c>
      <c r="W2331" s="105" t="str">
        <f t="shared" si="1014"/>
        <v/>
      </c>
      <c r="X2331" s="104" t="str">
        <f t="shared" si="1019"/>
        <v/>
      </c>
      <c r="Y2331" s="104" t="str">
        <f t="array" ref="Y2331">IFERROR(IF(ISNUMBER(O2331),IF(COUNT(IF(A2331=$A$2:$A$2427,IF(D2331=$D$2:$D$2427,IF($X$2:$X$2427&gt;0,1))))&gt;0,SUM(IF(A2331=$A$2:$A$2427,IF(D2331=$D$2:$D$2427,$X$2:$X$2427)))/COUNT(IF(A2331=$A$2:$A$2427,IF(D2331=$D$2:$D$2427,IF(ISNUMBER($X$2:$X$2427),1)))),0),""),0)</f>
        <v/>
      </c>
      <c r="Z2331" s="104" t="str">
        <f>IF(ISNUMBER(O2331),IF(I2331&gt;0,(10^(VLOOKUP(D2331,'Species Codes'!B:C,2,0)+VLOOKUP(D2331,'Species Codes'!B:D,3,0)*LOG(E2331)+VLOOKUP(D2331,'Species Codes'!B:E,4,0)*LOG(I2331))),0),"")</f>
        <v/>
      </c>
      <c r="AA2331" s="104" t="str">
        <f>IFERROR((VLOOKUP(D2331,'Species Codes'!B:G,6,0)*Z2331)/2000,"")</f>
        <v/>
      </c>
      <c r="AB2331" s="104" t="e">
        <f>IF(Z2331&gt;0,((IF(OR(D2331="DF",D2331="RA")=TRUE,EXP(VLOOKUP(D2331,'Species Codes'!B:I,8,0)+VLOOKUP(D2331,'Species Codes'!B:J,9,0)*(LN((E2331*2.54)))),IF(OR(D2331="PY",D2331="RC",D2331="WH",D2331="NF")=TRUE,VLOOKUP(D2331,'Species Codes'!B:I,8,0)+VLOOKUP(D2331,'Species Codes'!B:J,9,0)*((E2331*2.54)^2)*(I2331*0.3048),IF(OR(D2331="MD",D2331="BM",D2331="GA")=TRUE,((VLOOKUP(D2331,'Species Codes'!B:I,8,0)*(((((E2331*2.54)+VLOOKUP(D2331,'Species Codes'!B:J,9,0))/VLOOKUP(D2331,'Species Codes'!B:K,10,0))^VLOOKUP(D2331,'Species Codes'!B:L,11,0))*((I2331*0.3048)^VLOOKUP(D2331,'Species Codes'!B:M,12,0))))-(VLOOKUP(D2331,'Species Codes'!B:I,8,0)*((((E2331*2.54)^VLOOKUP(D2331,'Species Codes'!B:L,11,0))*((I2331*0.3048)^VLOOKUP(D2331,'Species Codes'!B:M,12,0))))))*35.3*VLOOKUP(D2331,'Species Codes'!B:G,6,0)/2.2046,VLOOKUP(D2331,'Species Codes'!B:I,8,0)+VLOOKUP(D2331,'Species Codes'!B:J,9,0)*(((E2331*2.54)/100)^2)*(I2331*0.3048)))))*0.0011023),0)</f>
        <v>#N/A</v>
      </c>
      <c r="AC2331" s="104" t="e">
        <f>IF(Z2331&gt;0,((IF(OR(D2331="RA",D2331="OA",D2331="OT",D2331="UN",D2331="PC"),EXP(VLOOKUP(D2331,'Species Codes'!B:O,14,0)+VLOOKUP(D2331,'Species Codes'!B:P,15,0)*LN((E2331*2.54)))-EXP(VLOOKUP(D2331,'Species Codes'!B:O,14,0)+VLOOKUP(D2331,'Species Codes'!B:P,15,0)*LN((E2331*2.54)))*(1/(VLOOKUP(D2331,'Species Codes'!B:Q,16,0)+VLOOKUP(D2331,'Species Codes'!B:R,17,0)*((E2331*2.54)^VLOOKUP(D2331,'Species Codes'!B:S,18,0)))),IF(OR(D2331="BM",D2331="MD",D2331="OA"),EXP(VLOOKUP(D2331,'Species Codes'!B:O,14,0)+VLOOKUP(D2331,'Species Codes'!B:P,15,0)*LN((E2331*2.54)))*(1-(1/(VLOOKUP(D2331,'Species Codes'!B:Q,16,0)+VLOOKUP(D2331,'Species Codes'!B:R,17,0)*((E2331*2.54)^VLOOKUP(D2331,'Species Codes'!B:S,18,0)))))/1000,IF(D2331="DF",EXP(VLOOKUP(D2331,'Species Codes'!B:O,14,0)+VLOOKUP(D2331,'Species Codes'!B:P,15,0)*LN((E2331*2.54))),VLOOKUP(D2331,'Species Codes'!B:O,14,0)+VLOOKUP(D2331,'Species Codes'!B:P,15,0)*(((E2331*2.54)/100)^2)*(I2331*0.3048)))))*0.0011023),0)</f>
        <v>#N/A</v>
      </c>
      <c r="AD2331" s="104" t="e">
        <f t="shared" si="1003"/>
        <v>#N/A</v>
      </c>
      <c r="AE2331" s="104" t="e">
        <f t="shared" si="1004"/>
        <v>#N/A</v>
      </c>
      <c r="AF2331" s="104" t="e">
        <f>IF(AND(VLOOKUP($D2331,Merchantability!$B:$C,2,0)="Yes",$E2331&gt;=VLOOKUP($D2331,Merchantability!$B:$D,3,0),$E2331&lt;=VLOOKUP($D2331,Merchantability!$B:$E,4,0)),AA2331,0)</f>
        <v>#N/A</v>
      </c>
      <c r="AG2331" s="104" t="e">
        <f>IF(AND(VLOOKUP($D2331,Merchantability!$B:$C,2,0)="Yes",$E2331&gt;=VLOOKUP($D2331,Merchantability!$B:$D,3,0),$E2331&lt;=VLOOKUP($D2331,Merchantability!$B:$E,4,0)),AB2331,0)</f>
        <v>#N/A</v>
      </c>
      <c r="AH2331" s="104" t="e">
        <f>IF(AND(VLOOKUP($D2331,Merchantability!$B:$C,2,0)="Yes",$E2331&gt;=VLOOKUP($D2331,Merchantability!$B:$D,3,0),$E2331&lt;=VLOOKUP($D2331,Merchantability!$B:$E,4,0)),AC2331,0)</f>
        <v>#N/A</v>
      </c>
      <c r="AI2331" s="104" t="e">
        <f t="shared" si="1005"/>
        <v>#N/A</v>
      </c>
      <c r="AJ2331" s="104" t="e">
        <f t="shared" si="1006"/>
        <v>#VALUE!</v>
      </c>
      <c r="AK2331" s="104" t="e">
        <f t="shared" si="1007"/>
        <v>#N/A</v>
      </c>
      <c r="AL2331" s="104" t="e">
        <f t="shared" si="1008"/>
        <v>#N/A</v>
      </c>
      <c r="AM2331" s="104" t="e">
        <f t="shared" si="1009"/>
        <v>#N/A</v>
      </c>
      <c r="AN2331" s="104" t="e">
        <f t="shared" si="1020"/>
        <v>#N/A</v>
      </c>
      <c r="AO2331" s="104" t="e">
        <f t="shared" si="1021"/>
        <v>#N/A</v>
      </c>
      <c r="AP2331" s="104" t="e">
        <f t="shared" si="1022"/>
        <v>#N/A</v>
      </c>
      <c r="AQ2331" s="104" t="e">
        <f t="shared" si="1023"/>
        <v>#N/A</v>
      </c>
      <c r="AR2331" s="105" t="str">
        <f t="shared" si="1015"/>
        <v/>
      </c>
      <c r="AS2331" s="105" t="str">
        <f t="shared" si="1016"/>
        <v/>
      </c>
      <c r="AT2331" s="108" t="str">
        <f t="shared" si="1017"/>
        <v/>
      </c>
      <c r="AU2331" s="108" t="str">
        <f t="shared" si="1018"/>
        <v/>
      </c>
      <c r="AV2331" s="107" t="str">
        <f>IF(ISNUMBER(O2331),IF(VLOOKUP($A2331,Stand!C:J,8,FALSE)="Short",AT2331,AU2331),"")</f>
        <v/>
      </c>
      <c r="AW2331" s="109" t="str">
        <f t="shared" si="1024"/>
        <v/>
      </c>
      <c r="AX2331" s="109" t="str">
        <f t="shared" si="1025"/>
        <v/>
      </c>
      <c r="AY2331" s="112" t="str">
        <f>IF(ISNUMBER(O2331),IF(AND(VLOOKUP($D2331,Merchantability!$B:$C,2,0)="Yes",$E2331&gt;=VLOOKUP($D2331,Merchantability!$B:$D,3,0),$E2331&lt;=VLOOKUP($D2331,Merchantability!$B:$E,4,0)),(AV2331*O2331)*(1-$H2331/100),""),"")</f>
        <v/>
      </c>
      <c r="AZ2331" s="116"/>
      <c r="BA2331" s="116"/>
      <c r="BB2331" s="116"/>
      <c r="BE2331" s="62"/>
      <c r="BF2331" s="63"/>
    </row>
    <row r="2332" spans="1:58" ht="12.75" customHeight="1" x14ac:dyDescent="0.25">
      <c r="A2332" s="334"/>
      <c r="B2332" s="334"/>
      <c r="C2332" s="332"/>
      <c r="D2332" s="334"/>
      <c r="E2332" s="335"/>
      <c r="F2332" s="334"/>
      <c r="G2332" s="332"/>
      <c r="H2332" s="332"/>
      <c r="I2332" s="334"/>
      <c r="J2332" s="336"/>
      <c r="K2332" s="332"/>
      <c r="L2332" s="332"/>
      <c r="M2332" s="76"/>
      <c r="N2332" s="103" t="str">
        <f>IF(A2332="","",VLOOKUP(A2332,Stand!C:K,9,0))</f>
        <v/>
      </c>
      <c r="O2332" s="104" t="str">
        <f t="shared" si="1010"/>
        <v/>
      </c>
      <c r="P2332" s="105" t="str">
        <f t="shared" si="1011"/>
        <v/>
      </c>
      <c r="Q2332" s="105" t="str">
        <f t="shared" si="999"/>
        <v/>
      </c>
      <c r="R2332" s="103" t="str">
        <f t="shared" si="1012"/>
        <v/>
      </c>
      <c r="S2332" s="103" t="str">
        <f t="shared" si="1013"/>
        <v/>
      </c>
      <c r="T2332" s="106" t="str">
        <f t="shared" si="1000"/>
        <v/>
      </c>
      <c r="U2332" s="106" t="str">
        <f t="shared" si="1001"/>
        <v/>
      </c>
      <c r="V2332" s="106" t="str">
        <f t="shared" si="1002"/>
        <v/>
      </c>
      <c r="W2332" s="105" t="str">
        <f t="shared" si="1014"/>
        <v/>
      </c>
      <c r="X2332" s="104" t="str">
        <f t="shared" si="1019"/>
        <v/>
      </c>
      <c r="Y2332" s="104" t="str">
        <f t="array" ref="Y2332">IFERROR(IF(ISNUMBER(O2332),IF(COUNT(IF(A2332=$A$2:$A$2427,IF(D2332=$D$2:$D$2427,IF($X$2:$X$2427&gt;0,1))))&gt;0,SUM(IF(A2332=$A$2:$A$2427,IF(D2332=$D$2:$D$2427,$X$2:$X$2427)))/COUNT(IF(A2332=$A$2:$A$2427,IF(D2332=$D$2:$D$2427,IF(ISNUMBER($X$2:$X$2427),1)))),0),""),0)</f>
        <v/>
      </c>
      <c r="Z2332" s="104" t="str">
        <f>IF(ISNUMBER(O2332),IF(I2332&gt;0,(10^(VLOOKUP(D2332,'Species Codes'!B:C,2,0)+VLOOKUP(D2332,'Species Codes'!B:D,3,0)*LOG(E2332)+VLOOKUP(D2332,'Species Codes'!B:E,4,0)*LOG(I2332))),0),"")</f>
        <v/>
      </c>
      <c r="AA2332" s="104" t="str">
        <f>IFERROR((VLOOKUP(D2332,'Species Codes'!B:G,6,0)*Z2332)/2000,"")</f>
        <v/>
      </c>
      <c r="AB2332" s="104" t="e">
        <f>IF(Z2332&gt;0,((IF(OR(D2332="DF",D2332="RA")=TRUE,EXP(VLOOKUP(D2332,'Species Codes'!B:I,8,0)+VLOOKUP(D2332,'Species Codes'!B:J,9,0)*(LN((E2332*2.54)))),IF(OR(D2332="PY",D2332="RC",D2332="WH",D2332="NF")=TRUE,VLOOKUP(D2332,'Species Codes'!B:I,8,0)+VLOOKUP(D2332,'Species Codes'!B:J,9,0)*((E2332*2.54)^2)*(I2332*0.3048),IF(OR(D2332="MD",D2332="BM",D2332="GA")=TRUE,((VLOOKUP(D2332,'Species Codes'!B:I,8,0)*(((((E2332*2.54)+VLOOKUP(D2332,'Species Codes'!B:J,9,0))/VLOOKUP(D2332,'Species Codes'!B:K,10,0))^VLOOKUP(D2332,'Species Codes'!B:L,11,0))*((I2332*0.3048)^VLOOKUP(D2332,'Species Codes'!B:M,12,0))))-(VLOOKUP(D2332,'Species Codes'!B:I,8,0)*((((E2332*2.54)^VLOOKUP(D2332,'Species Codes'!B:L,11,0))*((I2332*0.3048)^VLOOKUP(D2332,'Species Codes'!B:M,12,0))))))*35.3*VLOOKUP(D2332,'Species Codes'!B:G,6,0)/2.2046,VLOOKUP(D2332,'Species Codes'!B:I,8,0)+VLOOKUP(D2332,'Species Codes'!B:J,9,0)*(((E2332*2.54)/100)^2)*(I2332*0.3048)))))*0.0011023),0)</f>
        <v>#N/A</v>
      </c>
      <c r="AC2332" s="104" t="e">
        <f>IF(Z2332&gt;0,((IF(OR(D2332="RA",D2332="OA",D2332="OT",D2332="UN",D2332="PC"),EXP(VLOOKUP(D2332,'Species Codes'!B:O,14,0)+VLOOKUP(D2332,'Species Codes'!B:P,15,0)*LN((E2332*2.54)))-EXP(VLOOKUP(D2332,'Species Codes'!B:O,14,0)+VLOOKUP(D2332,'Species Codes'!B:P,15,0)*LN((E2332*2.54)))*(1/(VLOOKUP(D2332,'Species Codes'!B:Q,16,0)+VLOOKUP(D2332,'Species Codes'!B:R,17,0)*((E2332*2.54)^VLOOKUP(D2332,'Species Codes'!B:S,18,0)))),IF(OR(D2332="BM",D2332="MD",D2332="OA"),EXP(VLOOKUP(D2332,'Species Codes'!B:O,14,0)+VLOOKUP(D2332,'Species Codes'!B:P,15,0)*LN((E2332*2.54)))*(1-(1/(VLOOKUP(D2332,'Species Codes'!B:Q,16,0)+VLOOKUP(D2332,'Species Codes'!B:R,17,0)*((E2332*2.54)^VLOOKUP(D2332,'Species Codes'!B:S,18,0)))))/1000,IF(D2332="DF",EXP(VLOOKUP(D2332,'Species Codes'!B:O,14,0)+VLOOKUP(D2332,'Species Codes'!B:P,15,0)*LN((E2332*2.54))),VLOOKUP(D2332,'Species Codes'!B:O,14,0)+VLOOKUP(D2332,'Species Codes'!B:P,15,0)*(((E2332*2.54)/100)^2)*(I2332*0.3048)))))*0.0011023),0)</f>
        <v>#N/A</v>
      </c>
      <c r="AD2332" s="104" t="e">
        <f t="shared" si="1003"/>
        <v>#N/A</v>
      </c>
      <c r="AE2332" s="104" t="e">
        <f t="shared" si="1004"/>
        <v>#N/A</v>
      </c>
      <c r="AF2332" s="104" t="e">
        <f>IF(AND(VLOOKUP($D2332,Merchantability!$B:$C,2,0)="Yes",$E2332&gt;=VLOOKUP($D2332,Merchantability!$B:$D,3,0),$E2332&lt;=VLOOKUP($D2332,Merchantability!$B:$E,4,0)),AA2332,0)</f>
        <v>#N/A</v>
      </c>
      <c r="AG2332" s="104" t="e">
        <f>IF(AND(VLOOKUP($D2332,Merchantability!$B:$C,2,0)="Yes",$E2332&gt;=VLOOKUP($D2332,Merchantability!$B:$D,3,0),$E2332&lt;=VLOOKUP($D2332,Merchantability!$B:$E,4,0)),AB2332,0)</f>
        <v>#N/A</v>
      </c>
      <c r="AH2332" s="104" t="e">
        <f>IF(AND(VLOOKUP($D2332,Merchantability!$B:$C,2,0)="Yes",$E2332&gt;=VLOOKUP($D2332,Merchantability!$B:$D,3,0),$E2332&lt;=VLOOKUP($D2332,Merchantability!$B:$E,4,0)),AC2332,0)</f>
        <v>#N/A</v>
      </c>
      <c r="AI2332" s="104" t="e">
        <f t="shared" si="1005"/>
        <v>#N/A</v>
      </c>
      <c r="AJ2332" s="104" t="e">
        <f t="shared" si="1006"/>
        <v>#VALUE!</v>
      </c>
      <c r="AK2332" s="104" t="e">
        <f t="shared" si="1007"/>
        <v>#N/A</v>
      </c>
      <c r="AL2332" s="104" t="e">
        <f t="shared" si="1008"/>
        <v>#N/A</v>
      </c>
      <c r="AM2332" s="104" t="e">
        <f t="shared" si="1009"/>
        <v>#N/A</v>
      </c>
      <c r="AN2332" s="104" t="e">
        <f t="shared" si="1020"/>
        <v>#N/A</v>
      </c>
      <c r="AO2332" s="104" t="e">
        <f t="shared" si="1021"/>
        <v>#N/A</v>
      </c>
      <c r="AP2332" s="104" t="e">
        <f t="shared" si="1022"/>
        <v>#N/A</v>
      </c>
      <c r="AQ2332" s="104" t="e">
        <f t="shared" si="1023"/>
        <v>#N/A</v>
      </c>
      <c r="AR2332" s="105" t="str">
        <f t="shared" si="1015"/>
        <v/>
      </c>
      <c r="AS2332" s="105" t="str">
        <f t="shared" si="1016"/>
        <v/>
      </c>
      <c r="AT2332" s="108" t="str">
        <f t="shared" si="1017"/>
        <v/>
      </c>
      <c r="AU2332" s="108" t="str">
        <f t="shared" si="1018"/>
        <v/>
      </c>
      <c r="AV2332" s="107" t="str">
        <f>IF(ISNUMBER(O2332),IF(VLOOKUP($A2332,Stand!C:J,8,FALSE)="Short",AT2332,AU2332),"")</f>
        <v/>
      </c>
      <c r="AW2332" s="109" t="str">
        <f t="shared" si="1024"/>
        <v/>
      </c>
      <c r="AX2332" s="109" t="str">
        <f t="shared" si="1025"/>
        <v/>
      </c>
      <c r="AY2332" s="112" t="str">
        <f>IF(ISNUMBER(O2332),IF(AND(VLOOKUP($D2332,Merchantability!$B:$C,2,0)="Yes",$E2332&gt;=VLOOKUP($D2332,Merchantability!$B:$D,3,0),$E2332&lt;=VLOOKUP($D2332,Merchantability!$B:$E,4,0)),(AV2332*O2332)*(1-$H2332/100),""),"")</f>
        <v/>
      </c>
      <c r="AZ2332" s="116"/>
      <c r="BA2332" s="116"/>
      <c r="BB2332" s="116"/>
      <c r="BE2332" s="62"/>
      <c r="BF2332" s="63"/>
    </row>
    <row r="2333" spans="1:58" ht="12.75" customHeight="1" x14ac:dyDescent="0.25">
      <c r="A2333" s="334"/>
      <c r="B2333" s="334"/>
      <c r="C2333" s="332"/>
      <c r="D2333" s="334"/>
      <c r="E2333" s="335"/>
      <c r="F2333" s="334"/>
      <c r="G2333" s="332"/>
      <c r="H2333" s="332"/>
      <c r="I2333" s="334"/>
      <c r="J2333" s="336"/>
      <c r="K2333" s="332"/>
      <c r="L2333" s="332"/>
      <c r="M2333" s="76"/>
      <c r="N2333" s="103" t="str">
        <f>IF(A2333="","",VLOOKUP(A2333,Stand!C:K,9,0))</f>
        <v/>
      </c>
      <c r="O2333" s="104" t="str">
        <f t="shared" si="1010"/>
        <v/>
      </c>
      <c r="P2333" s="105" t="str">
        <f t="shared" si="1011"/>
        <v/>
      </c>
      <c r="Q2333" s="105" t="str">
        <f t="shared" ref="Q2333:Q2396" si="1026">IF(AND(ISNUMBER(O2333),I2333&gt;0),I2333*O2333,"")</f>
        <v/>
      </c>
      <c r="R2333" s="103" t="str">
        <f t="shared" si="1012"/>
        <v/>
      </c>
      <c r="S2333" s="103" t="str">
        <f t="shared" si="1013"/>
        <v/>
      </c>
      <c r="T2333" s="106" t="str">
        <f t="shared" ref="T2333:T2396" si="1027">IF(AND(ISNUMBER(O2333),J2333&gt;0),J2333/100,"")</f>
        <v/>
      </c>
      <c r="U2333" s="106" t="str">
        <f t="shared" ref="U2333:U2396" si="1028">IF(AND(ISNUMBER(O2333),J2333&gt;0),T2333*O2333,"")</f>
        <v/>
      </c>
      <c r="V2333" s="106" t="str">
        <f t="shared" ref="V2333:V2396" si="1029">IF(AND(ISNUMBER(O2333),I2333&gt;0),W2333*O2333,"")</f>
        <v/>
      </c>
      <c r="W2333" s="105" t="str">
        <f t="shared" si="1014"/>
        <v/>
      </c>
      <c r="X2333" s="104" t="str">
        <f t="shared" si="1019"/>
        <v/>
      </c>
      <c r="Y2333" s="104" t="str">
        <f t="array" ref="Y2333">IFERROR(IF(ISNUMBER(O2333),IF(COUNT(IF(A2333=$A$2:$A$2427,IF(D2333=$D$2:$D$2427,IF($X$2:$X$2427&gt;0,1))))&gt;0,SUM(IF(A2333=$A$2:$A$2427,IF(D2333=$D$2:$D$2427,$X$2:$X$2427)))/COUNT(IF(A2333=$A$2:$A$2427,IF(D2333=$D$2:$D$2427,IF(ISNUMBER($X$2:$X$2427),1)))),0),""),0)</f>
        <v/>
      </c>
      <c r="Z2333" s="104" t="str">
        <f>IF(ISNUMBER(O2333),IF(I2333&gt;0,(10^(VLOOKUP(D2333,'Species Codes'!B:C,2,0)+VLOOKUP(D2333,'Species Codes'!B:D,3,0)*LOG(E2333)+VLOOKUP(D2333,'Species Codes'!B:E,4,0)*LOG(I2333))),0),"")</f>
        <v/>
      </c>
      <c r="AA2333" s="104" t="str">
        <f>IFERROR((VLOOKUP(D2333,'Species Codes'!B:G,6,0)*Z2333)/2000,"")</f>
        <v/>
      </c>
      <c r="AB2333" s="104" t="e">
        <f>IF(Z2333&gt;0,((IF(OR(D2333="DF",D2333="RA")=TRUE,EXP(VLOOKUP(D2333,'Species Codes'!B:I,8,0)+VLOOKUP(D2333,'Species Codes'!B:J,9,0)*(LN((E2333*2.54)))),IF(OR(D2333="PY",D2333="RC",D2333="WH",D2333="NF")=TRUE,VLOOKUP(D2333,'Species Codes'!B:I,8,0)+VLOOKUP(D2333,'Species Codes'!B:J,9,0)*((E2333*2.54)^2)*(I2333*0.3048),IF(OR(D2333="MD",D2333="BM",D2333="GA")=TRUE,((VLOOKUP(D2333,'Species Codes'!B:I,8,0)*(((((E2333*2.54)+VLOOKUP(D2333,'Species Codes'!B:J,9,0))/VLOOKUP(D2333,'Species Codes'!B:K,10,0))^VLOOKUP(D2333,'Species Codes'!B:L,11,0))*((I2333*0.3048)^VLOOKUP(D2333,'Species Codes'!B:M,12,0))))-(VLOOKUP(D2333,'Species Codes'!B:I,8,0)*((((E2333*2.54)^VLOOKUP(D2333,'Species Codes'!B:L,11,0))*((I2333*0.3048)^VLOOKUP(D2333,'Species Codes'!B:M,12,0))))))*35.3*VLOOKUP(D2333,'Species Codes'!B:G,6,0)/2.2046,VLOOKUP(D2333,'Species Codes'!B:I,8,0)+VLOOKUP(D2333,'Species Codes'!B:J,9,0)*(((E2333*2.54)/100)^2)*(I2333*0.3048)))))*0.0011023),0)</f>
        <v>#N/A</v>
      </c>
      <c r="AC2333" s="104" t="e">
        <f>IF(Z2333&gt;0,((IF(OR(D2333="RA",D2333="OA",D2333="OT",D2333="UN",D2333="PC"),EXP(VLOOKUP(D2333,'Species Codes'!B:O,14,0)+VLOOKUP(D2333,'Species Codes'!B:P,15,0)*LN((E2333*2.54)))-EXP(VLOOKUP(D2333,'Species Codes'!B:O,14,0)+VLOOKUP(D2333,'Species Codes'!B:P,15,0)*LN((E2333*2.54)))*(1/(VLOOKUP(D2333,'Species Codes'!B:Q,16,0)+VLOOKUP(D2333,'Species Codes'!B:R,17,0)*((E2333*2.54)^VLOOKUP(D2333,'Species Codes'!B:S,18,0)))),IF(OR(D2333="BM",D2333="MD",D2333="OA"),EXP(VLOOKUP(D2333,'Species Codes'!B:O,14,0)+VLOOKUP(D2333,'Species Codes'!B:P,15,0)*LN((E2333*2.54)))*(1-(1/(VLOOKUP(D2333,'Species Codes'!B:Q,16,0)+VLOOKUP(D2333,'Species Codes'!B:R,17,0)*((E2333*2.54)^VLOOKUP(D2333,'Species Codes'!B:S,18,0)))))/1000,IF(D2333="DF",EXP(VLOOKUP(D2333,'Species Codes'!B:O,14,0)+VLOOKUP(D2333,'Species Codes'!B:P,15,0)*LN((E2333*2.54))),VLOOKUP(D2333,'Species Codes'!B:O,14,0)+VLOOKUP(D2333,'Species Codes'!B:P,15,0)*(((E2333*2.54)/100)^2)*(I2333*0.3048)))))*0.0011023),0)</f>
        <v>#N/A</v>
      </c>
      <c r="AD2333" s="104" t="e">
        <f t="shared" ref="AD2333:AD2396" si="1030">SUM(AA2333:AC2333)</f>
        <v>#N/A</v>
      </c>
      <c r="AE2333" s="104" t="e">
        <f t="shared" ref="AE2333:AE2396" si="1031">AD2333*O2333</f>
        <v>#N/A</v>
      </c>
      <c r="AF2333" s="104" t="e">
        <f>IF(AND(VLOOKUP($D2333,Merchantability!$B:$C,2,0)="Yes",$E2333&gt;=VLOOKUP($D2333,Merchantability!$B:$D,3,0),$E2333&lt;=VLOOKUP($D2333,Merchantability!$B:$E,4,0)),AA2333,0)</f>
        <v>#N/A</v>
      </c>
      <c r="AG2333" s="104" t="e">
        <f>IF(AND(VLOOKUP($D2333,Merchantability!$B:$C,2,0)="Yes",$E2333&gt;=VLOOKUP($D2333,Merchantability!$B:$D,3,0),$E2333&lt;=VLOOKUP($D2333,Merchantability!$B:$E,4,0)),AB2333,0)</f>
        <v>#N/A</v>
      </c>
      <c r="AH2333" s="104" t="e">
        <f>IF(AND(VLOOKUP($D2333,Merchantability!$B:$C,2,0)="Yes",$E2333&gt;=VLOOKUP($D2333,Merchantability!$B:$D,3,0),$E2333&lt;=VLOOKUP($D2333,Merchantability!$B:$E,4,0)),AC2333,0)</f>
        <v>#N/A</v>
      </c>
      <c r="AI2333" s="104" t="e">
        <f t="shared" ref="AI2333:AI2396" si="1032">SUM(AF2333:AH2333)</f>
        <v>#N/A</v>
      </c>
      <c r="AJ2333" s="104" t="e">
        <f t="shared" ref="AJ2333:AJ2396" si="1033">AA2333*$O2333</f>
        <v>#VALUE!</v>
      </c>
      <c r="AK2333" s="104" t="e">
        <f t="shared" ref="AK2333:AK2396" si="1034">AB2333*$O2333</f>
        <v>#N/A</v>
      </c>
      <c r="AL2333" s="104" t="e">
        <f t="shared" ref="AL2333:AL2396" si="1035">AC2333*$O2333</f>
        <v>#N/A</v>
      </c>
      <c r="AM2333" s="104" t="e">
        <f t="shared" ref="AM2333:AM2396" si="1036">AD2333*$O2333</f>
        <v>#N/A</v>
      </c>
      <c r="AN2333" s="104" t="e">
        <f t="shared" si="1020"/>
        <v>#N/A</v>
      </c>
      <c r="AO2333" s="104" t="e">
        <f t="shared" si="1021"/>
        <v>#N/A</v>
      </c>
      <c r="AP2333" s="104" t="e">
        <f t="shared" si="1022"/>
        <v>#N/A</v>
      </c>
      <c r="AQ2333" s="104" t="e">
        <f t="shared" si="1023"/>
        <v>#N/A</v>
      </c>
      <c r="AR2333" s="105" t="str">
        <f t="shared" si="1015"/>
        <v/>
      </c>
      <c r="AS2333" s="105" t="str">
        <f t="shared" si="1016"/>
        <v/>
      </c>
      <c r="AT2333" s="108" t="str">
        <f t="shared" si="1017"/>
        <v/>
      </c>
      <c r="AU2333" s="108" t="str">
        <f t="shared" si="1018"/>
        <v/>
      </c>
      <c r="AV2333" s="107" t="str">
        <f>IF(ISNUMBER(O2333),IF(VLOOKUP($A2333,Stand!C:J,8,FALSE)="Short",AT2333,AU2333),"")</f>
        <v/>
      </c>
      <c r="AW2333" s="109" t="str">
        <f t="shared" si="1024"/>
        <v/>
      </c>
      <c r="AX2333" s="109" t="str">
        <f t="shared" si="1025"/>
        <v/>
      </c>
      <c r="AY2333" s="112" t="str">
        <f>IF(ISNUMBER(O2333),IF(AND(VLOOKUP($D2333,Merchantability!$B:$C,2,0)="Yes",$E2333&gt;=VLOOKUP($D2333,Merchantability!$B:$D,3,0),$E2333&lt;=VLOOKUP($D2333,Merchantability!$B:$E,4,0)),(AV2333*O2333)*(1-$H2333/100),""),"")</f>
        <v/>
      </c>
      <c r="AZ2333" s="116"/>
      <c r="BA2333" s="116"/>
      <c r="BB2333" s="116"/>
      <c r="BE2333" s="62"/>
      <c r="BF2333" s="63"/>
    </row>
    <row r="2334" spans="1:58" ht="12.75" customHeight="1" x14ac:dyDescent="0.25">
      <c r="A2334" s="334"/>
      <c r="B2334" s="334"/>
      <c r="C2334" s="332"/>
      <c r="D2334" s="334"/>
      <c r="E2334" s="335"/>
      <c r="F2334" s="334"/>
      <c r="G2334" s="332"/>
      <c r="H2334" s="332"/>
      <c r="I2334" s="334"/>
      <c r="J2334" s="336"/>
      <c r="K2334" s="332"/>
      <c r="L2334" s="332"/>
      <c r="M2334" s="76"/>
      <c r="N2334" s="103" t="str">
        <f>IF(A2334="","",VLOOKUP(A2334,Stand!C:K,9,0))</f>
        <v/>
      </c>
      <c r="O2334" s="104" t="str">
        <f t="shared" si="1010"/>
        <v/>
      </c>
      <c r="P2334" s="105" t="str">
        <f t="shared" si="1011"/>
        <v/>
      </c>
      <c r="Q2334" s="105" t="str">
        <f t="shared" si="1026"/>
        <v/>
      </c>
      <c r="R2334" s="103" t="str">
        <f t="shared" si="1012"/>
        <v/>
      </c>
      <c r="S2334" s="103" t="str">
        <f t="shared" si="1013"/>
        <v/>
      </c>
      <c r="T2334" s="106" t="str">
        <f t="shared" si="1027"/>
        <v/>
      </c>
      <c r="U2334" s="106" t="str">
        <f t="shared" si="1028"/>
        <v/>
      </c>
      <c r="V2334" s="106" t="str">
        <f t="shared" si="1029"/>
        <v/>
      </c>
      <c r="W2334" s="105" t="str">
        <f t="shared" si="1014"/>
        <v/>
      </c>
      <c r="X2334" s="104" t="str">
        <f t="shared" si="1019"/>
        <v/>
      </c>
      <c r="Y2334" s="104" t="str">
        <f t="array" ref="Y2334">IFERROR(IF(ISNUMBER(O2334),IF(COUNT(IF(A2334=$A$2:$A$2427,IF(D2334=$D$2:$D$2427,IF($X$2:$X$2427&gt;0,1))))&gt;0,SUM(IF(A2334=$A$2:$A$2427,IF(D2334=$D$2:$D$2427,$X$2:$X$2427)))/COUNT(IF(A2334=$A$2:$A$2427,IF(D2334=$D$2:$D$2427,IF(ISNUMBER($X$2:$X$2427),1)))),0),""),0)</f>
        <v/>
      </c>
      <c r="Z2334" s="104" t="str">
        <f>IF(ISNUMBER(O2334),IF(I2334&gt;0,(10^(VLOOKUP(D2334,'Species Codes'!B:C,2,0)+VLOOKUP(D2334,'Species Codes'!B:D,3,0)*LOG(E2334)+VLOOKUP(D2334,'Species Codes'!B:E,4,0)*LOG(I2334))),0),"")</f>
        <v/>
      </c>
      <c r="AA2334" s="104" t="str">
        <f>IFERROR((VLOOKUP(D2334,'Species Codes'!B:G,6,0)*Z2334)/2000,"")</f>
        <v/>
      </c>
      <c r="AB2334" s="104" t="e">
        <f>IF(Z2334&gt;0,((IF(OR(D2334="DF",D2334="RA")=TRUE,EXP(VLOOKUP(D2334,'Species Codes'!B:I,8,0)+VLOOKUP(D2334,'Species Codes'!B:J,9,0)*(LN((E2334*2.54)))),IF(OR(D2334="PY",D2334="RC",D2334="WH",D2334="NF")=TRUE,VLOOKUP(D2334,'Species Codes'!B:I,8,0)+VLOOKUP(D2334,'Species Codes'!B:J,9,0)*((E2334*2.54)^2)*(I2334*0.3048),IF(OR(D2334="MD",D2334="BM",D2334="GA")=TRUE,((VLOOKUP(D2334,'Species Codes'!B:I,8,0)*(((((E2334*2.54)+VLOOKUP(D2334,'Species Codes'!B:J,9,0))/VLOOKUP(D2334,'Species Codes'!B:K,10,0))^VLOOKUP(D2334,'Species Codes'!B:L,11,0))*((I2334*0.3048)^VLOOKUP(D2334,'Species Codes'!B:M,12,0))))-(VLOOKUP(D2334,'Species Codes'!B:I,8,0)*((((E2334*2.54)^VLOOKUP(D2334,'Species Codes'!B:L,11,0))*((I2334*0.3048)^VLOOKUP(D2334,'Species Codes'!B:M,12,0))))))*35.3*VLOOKUP(D2334,'Species Codes'!B:G,6,0)/2.2046,VLOOKUP(D2334,'Species Codes'!B:I,8,0)+VLOOKUP(D2334,'Species Codes'!B:J,9,0)*(((E2334*2.54)/100)^2)*(I2334*0.3048)))))*0.0011023),0)</f>
        <v>#N/A</v>
      </c>
      <c r="AC2334" s="104" t="e">
        <f>IF(Z2334&gt;0,((IF(OR(D2334="RA",D2334="OA",D2334="OT",D2334="UN",D2334="PC"),EXP(VLOOKUP(D2334,'Species Codes'!B:O,14,0)+VLOOKUP(D2334,'Species Codes'!B:P,15,0)*LN((E2334*2.54)))-EXP(VLOOKUP(D2334,'Species Codes'!B:O,14,0)+VLOOKUP(D2334,'Species Codes'!B:P,15,0)*LN((E2334*2.54)))*(1/(VLOOKUP(D2334,'Species Codes'!B:Q,16,0)+VLOOKUP(D2334,'Species Codes'!B:R,17,0)*((E2334*2.54)^VLOOKUP(D2334,'Species Codes'!B:S,18,0)))),IF(OR(D2334="BM",D2334="MD",D2334="OA"),EXP(VLOOKUP(D2334,'Species Codes'!B:O,14,0)+VLOOKUP(D2334,'Species Codes'!B:P,15,0)*LN((E2334*2.54)))*(1-(1/(VLOOKUP(D2334,'Species Codes'!B:Q,16,0)+VLOOKUP(D2334,'Species Codes'!B:R,17,0)*((E2334*2.54)^VLOOKUP(D2334,'Species Codes'!B:S,18,0)))))/1000,IF(D2334="DF",EXP(VLOOKUP(D2334,'Species Codes'!B:O,14,0)+VLOOKUP(D2334,'Species Codes'!B:P,15,0)*LN((E2334*2.54))),VLOOKUP(D2334,'Species Codes'!B:O,14,0)+VLOOKUP(D2334,'Species Codes'!B:P,15,0)*(((E2334*2.54)/100)^2)*(I2334*0.3048)))))*0.0011023),0)</f>
        <v>#N/A</v>
      </c>
      <c r="AD2334" s="104" t="e">
        <f t="shared" si="1030"/>
        <v>#N/A</v>
      </c>
      <c r="AE2334" s="104" t="e">
        <f t="shared" si="1031"/>
        <v>#N/A</v>
      </c>
      <c r="AF2334" s="104" t="e">
        <f>IF(AND(VLOOKUP($D2334,Merchantability!$B:$C,2,0)="Yes",$E2334&gt;=VLOOKUP($D2334,Merchantability!$B:$D,3,0),$E2334&lt;=VLOOKUP($D2334,Merchantability!$B:$E,4,0)),AA2334,0)</f>
        <v>#N/A</v>
      </c>
      <c r="AG2334" s="104" t="e">
        <f>IF(AND(VLOOKUP($D2334,Merchantability!$B:$C,2,0)="Yes",$E2334&gt;=VLOOKUP($D2334,Merchantability!$B:$D,3,0),$E2334&lt;=VLOOKUP($D2334,Merchantability!$B:$E,4,0)),AB2334,0)</f>
        <v>#N/A</v>
      </c>
      <c r="AH2334" s="104" t="e">
        <f>IF(AND(VLOOKUP($D2334,Merchantability!$B:$C,2,0)="Yes",$E2334&gt;=VLOOKUP($D2334,Merchantability!$B:$D,3,0),$E2334&lt;=VLOOKUP($D2334,Merchantability!$B:$E,4,0)),AC2334,0)</f>
        <v>#N/A</v>
      </c>
      <c r="AI2334" s="104" t="e">
        <f t="shared" si="1032"/>
        <v>#N/A</v>
      </c>
      <c r="AJ2334" s="104" t="e">
        <f t="shared" si="1033"/>
        <v>#VALUE!</v>
      </c>
      <c r="AK2334" s="104" t="e">
        <f t="shared" si="1034"/>
        <v>#N/A</v>
      </c>
      <c r="AL2334" s="104" t="e">
        <f t="shared" si="1035"/>
        <v>#N/A</v>
      </c>
      <c r="AM2334" s="104" t="e">
        <f t="shared" si="1036"/>
        <v>#N/A</v>
      </c>
      <c r="AN2334" s="104" t="e">
        <f t="shared" si="1020"/>
        <v>#N/A</v>
      </c>
      <c r="AO2334" s="104" t="e">
        <f t="shared" si="1021"/>
        <v>#N/A</v>
      </c>
      <c r="AP2334" s="104" t="e">
        <f t="shared" si="1022"/>
        <v>#N/A</v>
      </c>
      <c r="AQ2334" s="104" t="e">
        <f t="shared" si="1023"/>
        <v>#N/A</v>
      </c>
      <c r="AR2334" s="105" t="str">
        <f t="shared" si="1015"/>
        <v/>
      </c>
      <c r="AS2334" s="105" t="str">
        <f t="shared" si="1016"/>
        <v/>
      </c>
      <c r="AT2334" s="108" t="str">
        <f t="shared" si="1017"/>
        <v/>
      </c>
      <c r="AU2334" s="108" t="str">
        <f t="shared" si="1018"/>
        <v/>
      </c>
      <c r="AV2334" s="107" t="str">
        <f>IF(ISNUMBER(O2334),IF(VLOOKUP($A2334,Stand!C:J,8,FALSE)="Short",AT2334,AU2334),"")</f>
        <v/>
      </c>
      <c r="AW2334" s="109" t="str">
        <f t="shared" si="1024"/>
        <v/>
      </c>
      <c r="AX2334" s="109" t="str">
        <f t="shared" si="1025"/>
        <v/>
      </c>
      <c r="AY2334" s="112" t="str">
        <f>IF(ISNUMBER(O2334),IF(AND(VLOOKUP($D2334,Merchantability!$B:$C,2,0)="Yes",$E2334&gt;=VLOOKUP($D2334,Merchantability!$B:$D,3,0),$E2334&lt;=VLOOKUP($D2334,Merchantability!$B:$E,4,0)),(AV2334*O2334)*(1-$H2334/100),""),"")</f>
        <v/>
      </c>
      <c r="AZ2334" s="116"/>
      <c r="BA2334" s="116"/>
      <c r="BB2334" s="116"/>
      <c r="BE2334" s="62"/>
      <c r="BF2334" s="63"/>
    </row>
    <row r="2335" spans="1:58" ht="12.75" customHeight="1" x14ac:dyDescent="0.25">
      <c r="A2335" s="334"/>
      <c r="B2335" s="334"/>
      <c r="C2335" s="332"/>
      <c r="D2335" s="334"/>
      <c r="E2335" s="335"/>
      <c r="F2335" s="334"/>
      <c r="G2335" s="332"/>
      <c r="H2335" s="332"/>
      <c r="I2335" s="334"/>
      <c r="J2335" s="336"/>
      <c r="K2335" s="332"/>
      <c r="L2335" s="332"/>
      <c r="M2335" s="76"/>
      <c r="N2335" s="103" t="str">
        <f>IF(A2335="","",VLOOKUP(A2335,Stand!C:K,9,0))</f>
        <v/>
      </c>
      <c r="O2335" s="104" t="str">
        <f t="shared" si="1010"/>
        <v/>
      </c>
      <c r="P2335" s="105" t="str">
        <f t="shared" si="1011"/>
        <v/>
      </c>
      <c r="Q2335" s="105" t="str">
        <f t="shared" si="1026"/>
        <v/>
      </c>
      <c r="R2335" s="103" t="str">
        <f t="shared" si="1012"/>
        <v/>
      </c>
      <c r="S2335" s="103" t="str">
        <f t="shared" si="1013"/>
        <v/>
      </c>
      <c r="T2335" s="106" t="str">
        <f t="shared" si="1027"/>
        <v/>
      </c>
      <c r="U2335" s="106" t="str">
        <f t="shared" si="1028"/>
        <v/>
      </c>
      <c r="V2335" s="106" t="str">
        <f t="shared" si="1029"/>
        <v/>
      </c>
      <c r="W2335" s="105" t="str">
        <f t="shared" si="1014"/>
        <v/>
      </c>
      <c r="X2335" s="104" t="str">
        <f t="shared" si="1019"/>
        <v/>
      </c>
      <c r="Y2335" s="104" t="str">
        <f t="array" ref="Y2335">IFERROR(IF(ISNUMBER(O2335),IF(COUNT(IF(A2335=$A$2:$A$2427,IF(D2335=$D$2:$D$2427,IF($X$2:$X$2427&gt;0,1))))&gt;0,SUM(IF(A2335=$A$2:$A$2427,IF(D2335=$D$2:$D$2427,$X$2:$X$2427)))/COUNT(IF(A2335=$A$2:$A$2427,IF(D2335=$D$2:$D$2427,IF(ISNUMBER($X$2:$X$2427),1)))),0),""),0)</f>
        <v/>
      </c>
      <c r="Z2335" s="104" t="str">
        <f>IF(ISNUMBER(O2335),IF(I2335&gt;0,(10^(VLOOKUP(D2335,'Species Codes'!B:C,2,0)+VLOOKUP(D2335,'Species Codes'!B:D,3,0)*LOG(E2335)+VLOOKUP(D2335,'Species Codes'!B:E,4,0)*LOG(I2335))),0),"")</f>
        <v/>
      </c>
      <c r="AA2335" s="104" t="str">
        <f>IFERROR((VLOOKUP(D2335,'Species Codes'!B:G,6,0)*Z2335)/2000,"")</f>
        <v/>
      </c>
      <c r="AB2335" s="104" t="e">
        <f>IF(Z2335&gt;0,((IF(OR(D2335="DF",D2335="RA")=TRUE,EXP(VLOOKUP(D2335,'Species Codes'!B:I,8,0)+VLOOKUP(D2335,'Species Codes'!B:J,9,0)*(LN((E2335*2.54)))),IF(OR(D2335="PY",D2335="RC",D2335="WH",D2335="NF")=TRUE,VLOOKUP(D2335,'Species Codes'!B:I,8,0)+VLOOKUP(D2335,'Species Codes'!B:J,9,0)*((E2335*2.54)^2)*(I2335*0.3048),IF(OR(D2335="MD",D2335="BM",D2335="GA")=TRUE,((VLOOKUP(D2335,'Species Codes'!B:I,8,0)*(((((E2335*2.54)+VLOOKUP(D2335,'Species Codes'!B:J,9,0))/VLOOKUP(D2335,'Species Codes'!B:K,10,0))^VLOOKUP(D2335,'Species Codes'!B:L,11,0))*((I2335*0.3048)^VLOOKUP(D2335,'Species Codes'!B:M,12,0))))-(VLOOKUP(D2335,'Species Codes'!B:I,8,0)*((((E2335*2.54)^VLOOKUP(D2335,'Species Codes'!B:L,11,0))*((I2335*0.3048)^VLOOKUP(D2335,'Species Codes'!B:M,12,0))))))*35.3*VLOOKUP(D2335,'Species Codes'!B:G,6,0)/2.2046,VLOOKUP(D2335,'Species Codes'!B:I,8,0)+VLOOKUP(D2335,'Species Codes'!B:J,9,0)*(((E2335*2.54)/100)^2)*(I2335*0.3048)))))*0.0011023),0)</f>
        <v>#N/A</v>
      </c>
      <c r="AC2335" s="104" t="e">
        <f>IF(Z2335&gt;0,((IF(OR(D2335="RA",D2335="OA",D2335="OT",D2335="UN",D2335="PC"),EXP(VLOOKUP(D2335,'Species Codes'!B:O,14,0)+VLOOKUP(D2335,'Species Codes'!B:P,15,0)*LN((E2335*2.54)))-EXP(VLOOKUP(D2335,'Species Codes'!B:O,14,0)+VLOOKUP(D2335,'Species Codes'!B:P,15,0)*LN((E2335*2.54)))*(1/(VLOOKUP(D2335,'Species Codes'!B:Q,16,0)+VLOOKUP(D2335,'Species Codes'!B:R,17,0)*((E2335*2.54)^VLOOKUP(D2335,'Species Codes'!B:S,18,0)))),IF(OR(D2335="BM",D2335="MD",D2335="OA"),EXP(VLOOKUP(D2335,'Species Codes'!B:O,14,0)+VLOOKUP(D2335,'Species Codes'!B:P,15,0)*LN((E2335*2.54)))*(1-(1/(VLOOKUP(D2335,'Species Codes'!B:Q,16,0)+VLOOKUP(D2335,'Species Codes'!B:R,17,0)*((E2335*2.54)^VLOOKUP(D2335,'Species Codes'!B:S,18,0)))))/1000,IF(D2335="DF",EXP(VLOOKUP(D2335,'Species Codes'!B:O,14,0)+VLOOKUP(D2335,'Species Codes'!B:P,15,0)*LN((E2335*2.54))),VLOOKUP(D2335,'Species Codes'!B:O,14,0)+VLOOKUP(D2335,'Species Codes'!B:P,15,0)*(((E2335*2.54)/100)^2)*(I2335*0.3048)))))*0.0011023),0)</f>
        <v>#N/A</v>
      </c>
      <c r="AD2335" s="104" t="e">
        <f t="shared" si="1030"/>
        <v>#N/A</v>
      </c>
      <c r="AE2335" s="104" t="e">
        <f t="shared" si="1031"/>
        <v>#N/A</v>
      </c>
      <c r="AF2335" s="104" t="e">
        <f>IF(AND(VLOOKUP($D2335,Merchantability!$B:$C,2,0)="Yes",$E2335&gt;=VLOOKUP($D2335,Merchantability!$B:$D,3,0),$E2335&lt;=VLOOKUP($D2335,Merchantability!$B:$E,4,0)),AA2335,0)</f>
        <v>#N/A</v>
      </c>
      <c r="AG2335" s="104" t="e">
        <f>IF(AND(VLOOKUP($D2335,Merchantability!$B:$C,2,0)="Yes",$E2335&gt;=VLOOKUP($D2335,Merchantability!$B:$D,3,0),$E2335&lt;=VLOOKUP($D2335,Merchantability!$B:$E,4,0)),AB2335,0)</f>
        <v>#N/A</v>
      </c>
      <c r="AH2335" s="104" t="e">
        <f>IF(AND(VLOOKUP($D2335,Merchantability!$B:$C,2,0)="Yes",$E2335&gt;=VLOOKUP($D2335,Merchantability!$B:$D,3,0),$E2335&lt;=VLOOKUP($D2335,Merchantability!$B:$E,4,0)),AC2335,0)</f>
        <v>#N/A</v>
      </c>
      <c r="AI2335" s="104" t="e">
        <f t="shared" si="1032"/>
        <v>#N/A</v>
      </c>
      <c r="AJ2335" s="104" t="e">
        <f t="shared" si="1033"/>
        <v>#VALUE!</v>
      </c>
      <c r="AK2335" s="104" t="e">
        <f t="shared" si="1034"/>
        <v>#N/A</v>
      </c>
      <c r="AL2335" s="104" t="e">
        <f t="shared" si="1035"/>
        <v>#N/A</v>
      </c>
      <c r="AM2335" s="104" t="e">
        <f t="shared" si="1036"/>
        <v>#N/A</v>
      </c>
      <c r="AN2335" s="104" t="e">
        <f t="shared" si="1020"/>
        <v>#N/A</v>
      </c>
      <c r="AO2335" s="104" t="e">
        <f t="shared" si="1021"/>
        <v>#N/A</v>
      </c>
      <c r="AP2335" s="104" t="e">
        <f t="shared" si="1022"/>
        <v>#N/A</v>
      </c>
      <c r="AQ2335" s="104" t="e">
        <f t="shared" si="1023"/>
        <v>#N/A</v>
      </c>
      <c r="AR2335" s="105" t="str">
        <f t="shared" si="1015"/>
        <v/>
      </c>
      <c r="AS2335" s="105" t="str">
        <f t="shared" si="1016"/>
        <v/>
      </c>
      <c r="AT2335" s="108" t="str">
        <f t="shared" si="1017"/>
        <v/>
      </c>
      <c r="AU2335" s="108" t="str">
        <f t="shared" si="1018"/>
        <v/>
      </c>
      <c r="AV2335" s="107" t="str">
        <f>IF(ISNUMBER(O2335),IF(VLOOKUP($A2335,Stand!C:J,8,FALSE)="Short",AT2335,AU2335),"")</f>
        <v/>
      </c>
      <c r="AW2335" s="109" t="str">
        <f t="shared" si="1024"/>
        <v/>
      </c>
      <c r="AX2335" s="109" t="str">
        <f t="shared" si="1025"/>
        <v/>
      </c>
      <c r="AY2335" s="112" t="str">
        <f>IF(ISNUMBER(O2335),IF(AND(VLOOKUP($D2335,Merchantability!$B:$C,2,0)="Yes",$E2335&gt;=VLOOKUP($D2335,Merchantability!$B:$D,3,0),$E2335&lt;=VLOOKUP($D2335,Merchantability!$B:$E,4,0)),(AV2335*O2335)*(1-$H2335/100),""),"")</f>
        <v/>
      </c>
      <c r="AZ2335" s="116"/>
      <c r="BA2335" s="116"/>
      <c r="BB2335" s="116"/>
      <c r="BE2335" s="62"/>
      <c r="BF2335" s="63"/>
    </row>
    <row r="2336" spans="1:58" ht="12.75" customHeight="1" x14ac:dyDescent="0.25">
      <c r="A2336" s="334"/>
      <c r="B2336" s="334"/>
      <c r="C2336" s="332"/>
      <c r="D2336" s="334"/>
      <c r="E2336" s="335"/>
      <c r="F2336" s="334"/>
      <c r="G2336" s="332"/>
      <c r="H2336" s="332"/>
      <c r="I2336" s="334"/>
      <c r="J2336" s="336"/>
      <c r="K2336" s="332"/>
      <c r="L2336" s="332"/>
      <c r="M2336" s="76"/>
      <c r="N2336" s="103" t="str">
        <f>IF(A2336="","",VLOOKUP(A2336,Stand!C:K,9,0))</f>
        <v/>
      </c>
      <c r="O2336" s="104" t="str">
        <f t="shared" si="1010"/>
        <v/>
      </c>
      <c r="P2336" s="105" t="str">
        <f t="shared" si="1011"/>
        <v/>
      </c>
      <c r="Q2336" s="105" t="str">
        <f t="shared" si="1026"/>
        <v/>
      </c>
      <c r="R2336" s="103" t="str">
        <f t="shared" si="1012"/>
        <v/>
      </c>
      <c r="S2336" s="103" t="str">
        <f t="shared" si="1013"/>
        <v/>
      </c>
      <c r="T2336" s="106" t="str">
        <f t="shared" si="1027"/>
        <v/>
      </c>
      <c r="U2336" s="106" t="str">
        <f t="shared" si="1028"/>
        <v/>
      </c>
      <c r="V2336" s="106" t="str">
        <f t="shared" si="1029"/>
        <v/>
      </c>
      <c r="W2336" s="105" t="str">
        <f t="shared" si="1014"/>
        <v/>
      </c>
      <c r="X2336" s="104" t="str">
        <f t="shared" si="1019"/>
        <v/>
      </c>
      <c r="Y2336" s="104" t="str">
        <f t="array" ref="Y2336">IFERROR(IF(ISNUMBER(O2336),IF(COUNT(IF(A2336=$A$2:$A$2427,IF(D2336=$D$2:$D$2427,IF($X$2:$X$2427&gt;0,1))))&gt;0,SUM(IF(A2336=$A$2:$A$2427,IF(D2336=$D$2:$D$2427,$X$2:$X$2427)))/COUNT(IF(A2336=$A$2:$A$2427,IF(D2336=$D$2:$D$2427,IF(ISNUMBER($X$2:$X$2427),1)))),0),""),0)</f>
        <v/>
      </c>
      <c r="Z2336" s="104" t="str">
        <f>IF(ISNUMBER(O2336),IF(I2336&gt;0,(10^(VLOOKUP(D2336,'Species Codes'!B:C,2,0)+VLOOKUP(D2336,'Species Codes'!B:D,3,0)*LOG(E2336)+VLOOKUP(D2336,'Species Codes'!B:E,4,0)*LOG(I2336))),0),"")</f>
        <v/>
      </c>
      <c r="AA2336" s="104" t="str">
        <f>IFERROR((VLOOKUP(D2336,'Species Codes'!B:G,6,0)*Z2336)/2000,"")</f>
        <v/>
      </c>
      <c r="AB2336" s="104" t="e">
        <f>IF(Z2336&gt;0,((IF(OR(D2336="DF",D2336="RA")=TRUE,EXP(VLOOKUP(D2336,'Species Codes'!B:I,8,0)+VLOOKUP(D2336,'Species Codes'!B:J,9,0)*(LN((E2336*2.54)))),IF(OR(D2336="PY",D2336="RC",D2336="WH",D2336="NF")=TRUE,VLOOKUP(D2336,'Species Codes'!B:I,8,0)+VLOOKUP(D2336,'Species Codes'!B:J,9,0)*((E2336*2.54)^2)*(I2336*0.3048),IF(OR(D2336="MD",D2336="BM",D2336="GA")=TRUE,((VLOOKUP(D2336,'Species Codes'!B:I,8,0)*(((((E2336*2.54)+VLOOKUP(D2336,'Species Codes'!B:J,9,0))/VLOOKUP(D2336,'Species Codes'!B:K,10,0))^VLOOKUP(D2336,'Species Codes'!B:L,11,0))*((I2336*0.3048)^VLOOKUP(D2336,'Species Codes'!B:M,12,0))))-(VLOOKUP(D2336,'Species Codes'!B:I,8,0)*((((E2336*2.54)^VLOOKUP(D2336,'Species Codes'!B:L,11,0))*((I2336*0.3048)^VLOOKUP(D2336,'Species Codes'!B:M,12,0))))))*35.3*VLOOKUP(D2336,'Species Codes'!B:G,6,0)/2.2046,VLOOKUP(D2336,'Species Codes'!B:I,8,0)+VLOOKUP(D2336,'Species Codes'!B:J,9,0)*(((E2336*2.54)/100)^2)*(I2336*0.3048)))))*0.0011023),0)</f>
        <v>#N/A</v>
      </c>
      <c r="AC2336" s="104" t="e">
        <f>IF(Z2336&gt;0,((IF(OR(D2336="RA",D2336="OA",D2336="OT",D2336="UN",D2336="PC"),EXP(VLOOKUP(D2336,'Species Codes'!B:O,14,0)+VLOOKUP(D2336,'Species Codes'!B:P,15,0)*LN((E2336*2.54)))-EXP(VLOOKUP(D2336,'Species Codes'!B:O,14,0)+VLOOKUP(D2336,'Species Codes'!B:P,15,0)*LN((E2336*2.54)))*(1/(VLOOKUP(D2336,'Species Codes'!B:Q,16,0)+VLOOKUP(D2336,'Species Codes'!B:R,17,0)*((E2336*2.54)^VLOOKUP(D2336,'Species Codes'!B:S,18,0)))),IF(OR(D2336="BM",D2336="MD",D2336="OA"),EXP(VLOOKUP(D2336,'Species Codes'!B:O,14,0)+VLOOKUP(D2336,'Species Codes'!B:P,15,0)*LN((E2336*2.54)))*(1-(1/(VLOOKUP(D2336,'Species Codes'!B:Q,16,0)+VLOOKUP(D2336,'Species Codes'!B:R,17,0)*((E2336*2.54)^VLOOKUP(D2336,'Species Codes'!B:S,18,0)))))/1000,IF(D2336="DF",EXP(VLOOKUP(D2336,'Species Codes'!B:O,14,0)+VLOOKUP(D2336,'Species Codes'!B:P,15,0)*LN((E2336*2.54))),VLOOKUP(D2336,'Species Codes'!B:O,14,0)+VLOOKUP(D2336,'Species Codes'!B:P,15,0)*(((E2336*2.54)/100)^2)*(I2336*0.3048)))))*0.0011023),0)</f>
        <v>#N/A</v>
      </c>
      <c r="AD2336" s="104" t="e">
        <f t="shared" si="1030"/>
        <v>#N/A</v>
      </c>
      <c r="AE2336" s="104" t="e">
        <f t="shared" si="1031"/>
        <v>#N/A</v>
      </c>
      <c r="AF2336" s="104" t="e">
        <f>IF(AND(VLOOKUP($D2336,Merchantability!$B:$C,2,0)="Yes",$E2336&gt;=VLOOKUP($D2336,Merchantability!$B:$D,3,0),$E2336&lt;=VLOOKUP($D2336,Merchantability!$B:$E,4,0)),AA2336,0)</f>
        <v>#N/A</v>
      </c>
      <c r="AG2336" s="104" t="e">
        <f>IF(AND(VLOOKUP($D2336,Merchantability!$B:$C,2,0)="Yes",$E2336&gt;=VLOOKUP($D2336,Merchantability!$B:$D,3,0),$E2336&lt;=VLOOKUP($D2336,Merchantability!$B:$E,4,0)),AB2336,0)</f>
        <v>#N/A</v>
      </c>
      <c r="AH2336" s="104" t="e">
        <f>IF(AND(VLOOKUP($D2336,Merchantability!$B:$C,2,0)="Yes",$E2336&gt;=VLOOKUP($D2336,Merchantability!$B:$D,3,0),$E2336&lt;=VLOOKUP($D2336,Merchantability!$B:$E,4,0)),AC2336,0)</f>
        <v>#N/A</v>
      </c>
      <c r="AI2336" s="104" t="e">
        <f t="shared" si="1032"/>
        <v>#N/A</v>
      </c>
      <c r="AJ2336" s="104" t="e">
        <f t="shared" si="1033"/>
        <v>#VALUE!</v>
      </c>
      <c r="AK2336" s="104" t="e">
        <f t="shared" si="1034"/>
        <v>#N/A</v>
      </c>
      <c r="AL2336" s="104" t="e">
        <f t="shared" si="1035"/>
        <v>#N/A</v>
      </c>
      <c r="AM2336" s="104" t="e">
        <f t="shared" si="1036"/>
        <v>#N/A</v>
      </c>
      <c r="AN2336" s="104" t="e">
        <f t="shared" si="1020"/>
        <v>#N/A</v>
      </c>
      <c r="AO2336" s="104" t="e">
        <f t="shared" si="1021"/>
        <v>#N/A</v>
      </c>
      <c r="AP2336" s="104" t="e">
        <f t="shared" si="1022"/>
        <v>#N/A</v>
      </c>
      <c r="AQ2336" s="104" t="e">
        <f t="shared" si="1023"/>
        <v>#N/A</v>
      </c>
      <c r="AR2336" s="105" t="str">
        <f t="shared" si="1015"/>
        <v/>
      </c>
      <c r="AS2336" s="105" t="str">
        <f t="shared" si="1016"/>
        <v/>
      </c>
      <c r="AT2336" s="108" t="str">
        <f t="shared" si="1017"/>
        <v/>
      </c>
      <c r="AU2336" s="108" t="str">
        <f t="shared" si="1018"/>
        <v/>
      </c>
      <c r="AV2336" s="107" t="str">
        <f>IF(ISNUMBER(O2336),IF(VLOOKUP($A2336,Stand!C:J,8,FALSE)="Short",AT2336,AU2336),"")</f>
        <v/>
      </c>
      <c r="AW2336" s="109" t="str">
        <f t="shared" si="1024"/>
        <v/>
      </c>
      <c r="AX2336" s="109" t="str">
        <f t="shared" si="1025"/>
        <v/>
      </c>
      <c r="AY2336" s="112" t="str">
        <f>IF(ISNUMBER(O2336),IF(AND(VLOOKUP($D2336,Merchantability!$B:$C,2,0)="Yes",$E2336&gt;=VLOOKUP($D2336,Merchantability!$B:$D,3,0),$E2336&lt;=VLOOKUP($D2336,Merchantability!$B:$E,4,0)),(AV2336*O2336)*(1-$H2336/100),""),"")</f>
        <v/>
      </c>
      <c r="AZ2336" s="116"/>
      <c r="BA2336" s="116"/>
      <c r="BB2336" s="116"/>
      <c r="BE2336" s="62"/>
      <c r="BF2336" s="63"/>
    </row>
    <row r="2337" spans="1:58" ht="12.75" customHeight="1" x14ac:dyDescent="0.25">
      <c r="A2337" s="334"/>
      <c r="B2337" s="334"/>
      <c r="C2337" s="332"/>
      <c r="D2337" s="334"/>
      <c r="E2337" s="335"/>
      <c r="F2337" s="334"/>
      <c r="G2337" s="332"/>
      <c r="H2337" s="332"/>
      <c r="I2337" s="334"/>
      <c r="J2337" s="336"/>
      <c r="K2337" s="332"/>
      <c r="L2337" s="332"/>
      <c r="M2337" s="76"/>
      <c r="N2337" s="103" t="str">
        <f>IF(A2337="","",VLOOKUP(A2337,Stand!C:K,9,0))</f>
        <v/>
      </c>
      <c r="O2337" s="104" t="str">
        <f t="shared" si="1010"/>
        <v/>
      </c>
      <c r="P2337" s="105" t="str">
        <f t="shared" si="1011"/>
        <v/>
      </c>
      <c r="Q2337" s="105" t="str">
        <f t="shared" si="1026"/>
        <v/>
      </c>
      <c r="R2337" s="103" t="str">
        <f t="shared" si="1012"/>
        <v/>
      </c>
      <c r="S2337" s="103" t="str">
        <f t="shared" si="1013"/>
        <v/>
      </c>
      <c r="T2337" s="106" t="str">
        <f t="shared" si="1027"/>
        <v/>
      </c>
      <c r="U2337" s="106" t="str">
        <f t="shared" si="1028"/>
        <v/>
      </c>
      <c r="V2337" s="106" t="str">
        <f t="shared" si="1029"/>
        <v/>
      </c>
      <c r="W2337" s="105" t="str">
        <f t="shared" si="1014"/>
        <v/>
      </c>
      <c r="X2337" s="104" t="str">
        <f t="shared" si="1019"/>
        <v/>
      </c>
      <c r="Y2337" s="104" t="str">
        <f t="array" ref="Y2337">IFERROR(IF(ISNUMBER(O2337),IF(COUNT(IF(A2337=$A$2:$A$2427,IF(D2337=$D$2:$D$2427,IF($X$2:$X$2427&gt;0,1))))&gt;0,SUM(IF(A2337=$A$2:$A$2427,IF(D2337=$D$2:$D$2427,$X$2:$X$2427)))/COUNT(IF(A2337=$A$2:$A$2427,IF(D2337=$D$2:$D$2427,IF(ISNUMBER($X$2:$X$2427),1)))),0),""),0)</f>
        <v/>
      </c>
      <c r="Z2337" s="104" t="str">
        <f>IF(ISNUMBER(O2337),IF(I2337&gt;0,(10^(VLOOKUP(D2337,'Species Codes'!B:C,2,0)+VLOOKUP(D2337,'Species Codes'!B:D,3,0)*LOG(E2337)+VLOOKUP(D2337,'Species Codes'!B:E,4,0)*LOG(I2337))),0),"")</f>
        <v/>
      </c>
      <c r="AA2337" s="104" t="str">
        <f>IFERROR((VLOOKUP(D2337,'Species Codes'!B:G,6,0)*Z2337)/2000,"")</f>
        <v/>
      </c>
      <c r="AB2337" s="104" t="e">
        <f>IF(Z2337&gt;0,((IF(OR(D2337="DF",D2337="RA")=TRUE,EXP(VLOOKUP(D2337,'Species Codes'!B:I,8,0)+VLOOKUP(D2337,'Species Codes'!B:J,9,0)*(LN((E2337*2.54)))),IF(OR(D2337="PY",D2337="RC",D2337="WH",D2337="NF")=TRUE,VLOOKUP(D2337,'Species Codes'!B:I,8,0)+VLOOKUP(D2337,'Species Codes'!B:J,9,0)*((E2337*2.54)^2)*(I2337*0.3048),IF(OR(D2337="MD",D2337="BM",D2337="GA")=TRUE,((VLOOKUP(D2337,'Species Codes'!B:I,8,0)*(((((E2337*2.54)+VLOOKUP(D2337,'Species Codes'!B:J,9,0))/VLOOKUP(D2337,'Species Codes'!B:K,10,0))^VLOOKUP(D2337,'Species Codes'!B:L,11,0))*((I2337*0.3048)^VLOOKUP(D2337,'Species Codes'!B:M,12,0))))-(VLOOKUP(D2337,'Species Codes'!B:I,8,0)*((((E2337*2.54)^VLOOKUP(D2337,'Species Codes'!B:L,11,0))*((I2337*0.3048)^VLOOKUP(D2337,'Species Codes'!B:M,12,0))))))*35.3*VLOOKUP(D2337,'Species Codes'!B:G,6,0)/2.2046,VLOOKUP(D2337,'Species Codes'!B:I,8,0)+VLOOKUP(D2337,'Species Codes'!B:J,9,0)*(((E2337*2.54)/100)^2)*(I2337*0.3048)))))*0.0011023),0)</f>
        <v>#N/A</v>
      </c>
      <c r="AC2337" s="104" t="e">
        <f>IF(Z2337&gt;0,((IF(OR(D2337="RA",D2337="OA",D2337="OT",D2337="UN",D2337="PC"),EXP(VLOOKUP(D2337,'Species Codes'!B:O,14,0)+VLOOKUP(D2337,'Species Codes'!B:P,15,0)*LN((E2337*2.54)))-EXP(VLOOKUP(D2337,'Species Codes'!B:O,14,0)+VLOOKUP(D2337,'Species Codes'!B:P,15,0)*LN((E2337*2.54)))*(1/(VLOOKUP(D2337,'Species Codes'!B:Q,16,0)+VLOOKUP(D2337,'Species Codes'!B:R,17,0)*((E2337*2.54)^VLOOKUP(D2337,'Species Codes'!B:S,18,0)))),IF(OR(D2337="BM",D2337="MD",D2337="OA"),EXP(VLOOKUP(D2337,'Species Codes'!B:O,14,0)+VLOOKUP(D2337,'Species Codes'!B:P,15,0)*LN((E2337*2.54)))*(1-(1/(VLOOKUP(D2337,'Species Codes'!B:Q,16,0)+VLOOKUP(D2337,'Species Codes'!B:R,17,0)*((E2337*2.54)^VLOOKUP(D2337,'Species Codes'!B:S,18,0)))))/1000,IF(D2337="DF",EXP(VLOOKUP(D2337,'Species Codes'!B:O,14,0)+VLOOKUP(D2337,'Species Codes'!B:P,15,0)*LN((E2337*2.54))),VLOOKUP(D2337,'Species Codes'!B:O,14,0)+VLOOKUP(D2337,'Species Codes'!B:P,15,0)*(((E2337*2.54)/100)^2)*(I2337*0.3048)))))*0.0011023),0)</f>
        <v>#N/A</v>
      </c>
      <c r="AD2337" s="104" t="e">
        <f t="shared" si="1030"/>
        <v>#N/A</v>
      </c>
      <c r="AE2337" s="104" t="e">
        <f t="shared" si="1031"/>
        <v>#N/A</v>
      </c>
      <c r="AF2337" s="104" t="e">
        <f>IF(AND(VLOOKUP($D2337,Merchantability!$B:$C,2,0)="Yes",$E2337&gt;=VLOOKUP($D2337,Merchantability!$B:$D,3,0),$E2337&lt;=VLOOKUP($D2337,Merchantability!$B:$E,4,0)),AA2337,0)</f>
        <v>#N/A</v>
      </c>
      <c r="AG2337" s="104" t="e">
        <f>IF(AND(VLOOKUP($D2337,Merchantability!$B:$C,2,0)="Yes",$E2337&gt;=VLOOKUP($D2337,Merchantability!$B:$D,3,0),$E2337&lt;=VLOOKUP($D2337,Merchantability!$B:$E,4,0)),AB2337,0)</f>
        <v>#N/A</v>
      </c>
      <c r="AH2337" s="104" t="e">
        <f>IF(AND(VLOOKUP($D2337,Merchantability!$B:$C,2,0)="Yes",$E2337&gt;=VLOOKUP($D2337,Merchantability!$B:$D,3,0),$E2337&lt;=VLOOKUP($D2337,Merchantability!$B:$E,4,0)),AC2337,0)</f>
        <v>#N/A</v>
      </c>
      <c r="AI2337" s="104" t="e">
        <f t="shared" si="1032"/>
        <v>#N/A</v>
      </c>
      <c r="AJ2337" s="104" t="e">
        <f t="shared" si="1033"/>
        <v>#VALUE!</v>
      </c>
      <c r="AK2337" s="104" t="e">
        <f t="shared" si="1034"/>
        <v>#N/A</v>
      </c>
      <c r="AL2337" s="104" t="e">
        <f t="shared" si="1035"/>
        <v>#N/A</v>
      </c>
      <c r="AM2337" s="104" t="e">
        <f t="shared" si="1036"/>
        <v>#N/A</v>
      </c>
      <c r="AN2337" s="104" t="e">
        <f t="shared" si="1020"/>
        <v>#N/A</v>
      </c>
      <c r="AO2337" s="104" t="e">
        <f t="shared" si="1021"/>
        <v>#N/A</v>
      </c>
      <c r="AP2337" s="104" t="e">
        <f t="shared" si="1022"/>
        <v>#N/A</v>
      </c>
      <c r="AQ2337" s="104" t="e">
        <f t="shared" si="1023"/>
        <v>#N/A</v>
      </c>
      <c r="AR2337" s="105" t="str">
        <f t="shared" si="1015"/>
        <v/>
      </c>
      <c r="AS2337" s="105" t="str">
        <f t="shared" si="1016"/>
        <v/>
      </c>
      <c r="AT2337" s="108" t="str">
        <f t="shared" si="1017"/>
        <v/>
      </c>
      <c r="AU2337" s="108" t="str">
        <f t="shared" si="1018"/>
        <v/>
      </c>
      <c r="AV2337" s="107" t="str">
        <f>IF(ISNUMBER(O2337),IF(VLOOKUP($A2337,Stand!C:J,8,FALSE)="Short",AT2337,AU2337),"")</f>
        <v/>
      </c>
      <c r="AW2337" s="109" t="str">
        <f t="shared" si="1024"/>
        <v/>
      </c>
      <c r="AX2337" s="109" t="str">
        <f t="shared" si="1025"/>
        <v/>
      </c>
      <c r="AY2337" s="112" t="str">
        <f>IF(ISNUMBER(O2337),IF(AND(VLOOKUP($D2337,Merchantability!$B:$C,2,0)="Yes",$E2337&gt;=VLOOKUP($D2337,Merchantability!$B:$D,3,0),$E2337&lt;=VLOOKUP($D2337,Merchantability!$B:$E,4,0)),(AV2337*O2337)*(1-$H2337/100),""),"")</f>
        <v/>
      </c>
      <c r="AZ2337" s="116"/>
      <c r="BA2337" s="116"/>
      <c r="BB2337" s="116"/>
      <c r="BE2337" s="62"/>
      <c r="BF2337" s="63"/>
    </row>
    <row r="2338" spans="1:58" ht="12.75" customHeight="1" x14ac:dyDescent="0.25">
      <c r="A2338" s="334"/>
      <c r="B2338" s="334"/>
      <c r="C2338" s="332"/>
      <c r="D2338" s="334"/>
      <c r="E2338" s="335"/>
      <c r="F2338" s="334"/>
      <c r="G2338" s="332"/>
      <c r="H2338" s="332"/>
      <c r="I2338" s="334"/>
      <c r="J2338" s="336"/>
      <c r="K2338" s="332"/>
      <c r="L2338" s="332"/>
      <c r="M2338" s="76"/>
      <c r="N2338" s="103" t="str">
        <f>IF(A2338="","",VLOOKUP(A2338,Stand!C:K,9,0))</f>
        <v/>
      </c>
      <c r="O2338" s="104" t="str">
        <f t="shared" si="1010"/>
        <v/>
      </c>
      <c r="P2338" s="105" t="str">
        <f t="shared" si="1011"/>
        <v/>
      </c>
      <c r="Q2338" s="105" t="str">
        <f t="shared" si="1026"/>
        <v/>
      </c>
      <c r="R2338" s="103" t="str">
        <f t="shared" si="1012"/>
        <v/>
      </c>
      <c r="S2338" s="103" t="str">
        <f t="shared" si="1013"/>
        <v/>
      </c>
      <c r="T2338" s="106" t="str">
        <f t="shared" si="1027"/>
        <v/>
      </c>
      <c r="U2338" s="106" t="str">
        <f t="shared" si="1028"/>
        <v/>
      </c>
      <c r="V2338" s="106" t="str">
        <f t="shared" si="1029"/>
        <v/>
      </c>
      <c r="W2338" s="105" t="str">
        <f t="shared" si="1014"/>
        <v/>
      </c>
      <c r="X2338" s="104" t="str">
        <f t="shared" si="1019"/>
        <v/>
      </c>
      <c r="Y2338" s="104" t="str">
        <f t="array" ref="Y2338">IFERROR(IF(ISNUMBER(O2338),IF(COUNT(IF(A2338=$A$2:$A$2427,IF(D2338=$D$2:$D$2427,IF($X$2:$X$2427&gt;0,1))))&gt;0,SUM(IF(A2338=$A$2:$A$2427,IF(D2338=$D$2:$D$2427,$X$2:$X$2427)))/COUNT(IF(A2338=$A$2:$A$2427,IF(D2338=$D$2:$D$2427,IF(ISNUMBER($X$2:$X$2427),1)))),0),""),0)</f>
        <v/>
      </c>
      <c r="Z2338" s="104" t="str">
        <f>IF(ISNUMBER(O2338),IF(I2338&gt;0,(10^(VLOOKUP(D2338,'Species Codes'!B:C,2,0)+VLOOKUP(D2338,'Species Codes'!B:D,3,0)*LOG(E2338)+VLOOKUP(D2338,'Species Codes'!B:E,4,0)*LOG(I2338))),0),"")</f>
        <v/>
      </c>
      <c r="AA2338" s="104" t="str">
        <f>IFERROR((VLOOKUP(D2338,'Species Codes'!B:G,6,0)*Z2338)/2000,"")</f>
        <v/>
      </c>
      <c r="AB2338" s="104" t="e">
        <f>IF(Z2338&gt;0,((IF(OR(D2338="DF",D2338="RA")=TRUE,EXP(VLOOKUP(D2338,'Species Codes'!B:I,8,0)+VLOOKUP(D2338,'Species Codes'!B:J,9,0)*(LN((E2338*2.54)))),IF(OR(D2338="PY",D2338="RC",D2338="WH",D2338="NF")=TRUE,VLOOKUP(D2338,'Species Codes'!B:I,8,0)+VLOOKUP(D2338,'Species Codes'!B:J,9,0)*((E2338*2.54)^2)*(I2338*0.3048),IF(OR(D2338="MD",D2338="BM",D2338="GA")=TRUE,((VLOOKUP(D2338,'Species Codes'!B:I,8,0)*(((((E2338*2.54)+VLOOKUP(D2338,'Species Codes'!B:J,9,0))/VLOOKUP(D2338,'Species Codes'!B:K,10,0))^VLOOKUP(D2338,'Species Codes'!B:L,11,0))*((I2338*0.3048)^VLOOKUP(D2338,'Species Codes'!B:M,12,0))))-(VLOOKUP(D2338,'Species Codes'!B:I,8,0)*((((E2338*2.54)^VLOOKUP(D2338,'Species Codes'!B:L,11,0))*((I2338*0.3048)^VLOOKUP(D2338,'Species Codes'!B:M,12,0))))))*35.3*VLOOKUP(D2338,'Species Codes'!B:G,6,0)/2.2046,VLOOKUP(D2338,'Species Codes'!B:I,8,0)+VLOOKUP(D2338,'Species Codes'!B:J,9,0)*(((E2338*2.54)/100)^2)*(I2338*0.3048)))))*0.0011023),0)</f>
        <v>#N/A</v>
      </c>
      <c r="AC2338" s="104" t="e">
        <f>IF(Z2338&gt;0,((IF(OR(D2338="RA",D2338="OA",D2338="OT",D2338="UN",D2338="PC"),EXP(VLOOKUP(D2338,'Species Codes'!B:O,14,0)+VLOOKUP(D2338,'Species Codes'!B:P,15,0)*LN((E2338*2.54)))-EXP(VLOOKUP(D2338,'Species Codes'!B:O,14,0)+VLOOKUP(D2338,'Species Codes'!B:P,15,0)*LN((E2338*2.54)))*(1/(VLOOKUP(D2338,'Species Codes'!B:Q,16,0)+VLOOKUP(D2338,'Species Codes'!B:R,17,0)*((E2338*2.54)^VLOOKUP(D2338,'Species Codes'!B:S,18,0)))),IF(OR(D2338="BM",D2338="MD",D2338="OA"),EXP(VLOOKUP(D2338,'Species Codes'!B:O,14,0)+VLOOKUP(D2338,'Species Codes'!B:P,15,0)*LN((E2338*2.54)))*(1-(1/(VLOOKUP(D2338,'Species Codes'!B:Q,16,0)+VLOOKUP(D2338,'Species Codes'!B:R,17,0)*((E2338*2.54)^VLOOKUP(D2338,'Species Codes'!B:S,18,0)))))/1000,IF(D2338="DF",EXP(VLOOKUP(D2338,'Species Codes'!B:O,14,0)+VLOOKUP(D2338,'Species Codes'!B:P,15,0)*LN((E2338*2.54))),VLOOKUP(D2338,'Species Codes'!B:O,14,0)+VLOOKUP(D2338,'Species Codes'!B:P,15,0)*(((E2338*2.54)/100)^2)*(I2338*0.3048)))))*0.0011023),0)</f>
        <v>#N/A</v>
      </c>
      <c r="AD2338" s="104" t="e">
        <f t="shared" si="1030"/>
        <v>#N/A</v>
      </c>
      <c r="AE2338" s="104" t="e">
        <f t="shared" si="1031"/>
        <v>#N/A</v>
      </c>
      <c r="AF2338" s="104" t="e">
        <f>IF(AND(VLOOKUP($D2338,Merchantability!$B:$C,2,0)="Yes",$E2338&gt;=VLOOKUP($D2338,Merchantability!$B:$D,3,0),$E2338&lt;=VLOOKUP($D2338,Merchantability!$B:$E,4,0)),AA2338,0)</f>
        <v>#N/A</v>
      </c>
      <c r="AG2338" s="104" t="e">
        <f>IF(AND(VLOOKUP($D2338,Merchantability!$B:$C,2,0)="Yes",$E2338&gt;=VLOOKUP($D2338,Merchantability!$B:$D,3,0),$E2338&lt;=VLOOKUP($D2338,Merchantability!$B:$E,4,0)),AB2338,0)</f>
        <v>#N/A</v>
      </c>
      <c r="AH2338" s="104" t="e">
        <f>IF(AND(VLOOKUP($D2338,Merchantability!$B:$C,2,0)="Yes",$E2338&gt;=VLOOKUP($D2338,Merchantability!$B:$D,3,0),$E2338&lt;=VLOOKUP($D2338,Merchantability!$B:$E,4,0)),AC2338,0)</f>
        <v>#N/A</v>
      </c>
      <c r="AI2338" s="104" t="e">
        <f t="shared" si="1032"/>
        <v>#N/A</v>
      </c>
      <c r="AJ2338" s="104" t="e">
        <f t="shared" si="1033"/>
        <v>#VALUE!</v>
      </c>
      <c r="AK2338" s="104" t="e">
        <f t="shared" si="1034"/>
        <v>#N/A</v>
      </c>
      <c r="AL2338" s="104" t="e">
        <f t="shared" si="1035"/>
        <v>#N/A</v>
      </c>
      <c r="AM2338" s="104" t="e">
        <f t="shared" si="1036"/>
        <v>#N/A</v>
      </c>
      <c r="AN2338" s="104" t="e">
        <f t="shared" si="1020"/>
        <v>#N/A</v>
      </c>
      <c r="AO2338" s="104" t="e">
        <f t="shared" si="1021"/>
        <v>#N/A</v>
      </c>
      <c r="AP2338" s="104" t="e">
        <f t="shared" si="1022"/>
        <v>#N/A</v>
      </c>
      <c r="AQ2338" s="104" t="e">
        <f t="shared" si="1023"/>
        <v>#N/A</v>
      </c>
      <c r="AR2338" s="105" t="str">
        <f t="shared" si="1015"/>
        <v/>
      </c>
      <c r="AS2338" s="105" t="str">
        <f t="shared" si="1016"/>
        <v/>
      </c>
      <c r="AT2338" s="108" t="str">
        <f t="shared" si="1017"/>
        <v/>
      </c>
      <c r="AU2338" s="108" t="str">
        <f t="shared" si="1018"/>
        <v/>
      </c>
      <c r="AV2338" s="107" t="str">
        <f>IF(ISNUMBER(O2338),IF(VLOOKUP($A2338,Stand!C:J,8,FALSE)="Short",AT2338,AU2338),"")</f>
        <v/>
      </c>
      <c r="AW2338" s="109" t="str">
        <f t="shared" si="1024"/>
        <v/>
      </c>
      <c r="AX2338" s="109" t="str">
        <f t="shared" si="1025"/>
        <v/>
      </c>
      <c r="AY2338" s="112" t="str">
        <f>IF(ISNUMBER(O2338),IF(AND(VLOOKUP($D2338,Merchantability!$B:$C,2,0)="Yes",$E2338&gt;=VLOOKUP($D2338,Merchantability!$B:$D,3,0),$E2338&lt;=VLOOKUP($D2338,Merchantability!$B:$E,4,0)),(AV2338*O2338)*(1-$H2338/100),""),"")</f>
        <v/>
      </c>
      <c r="AZ2338" s="116"/>
      <c r="BA2338" s="116"/>
      <c r="BB2338" s="116"/>
      <c r="BE2338" s="62"/>
      <c r="BF2338" s="63"/>
    </row>
    <row r="2339" spans="1:58" ht="12.75" customHeight="1" x14ac:dyDescent="0.25">
      <c r="A2339" s="334"/>
      <c r="B2339" s="334"/>
      <c r="C2339" s="332"/>
      <c r="D2339" s="334"/>
      <c r="E2339" s="335"/>
      <c r="F2339" s="334"/>
      <c r="G2339" s="332"/>
      <c r="H2339" s="332"/>
      <c r="I2339" s="334"/>
      <c r="J2339" s="336"/>
      <c r="K2339" s="332"/>
      <c r="L2339" s="332"/>
      <c r="M2339" s="76"/>
      <c r="N2339" s="103" t="str">
        <f>IF(A2339="","",VLOOKUP(A2339,Stand!C:K,9,0))</f>
        <v/>
      </c>
      <c r="O2339" s="104" t="str">
        <f t="shared" si="1010"/>
        <v/>
      </c>
      <c r="P2339" s="105" t="str">
        <f t="shared" si="1011"/>
        <v/>
      </c>
      <c r="Q2339" s="105" t="str">
        <f t="shared" si="1026"/>
        <v/>
      </c>
      <c r="R2339" s="103" t="str">
        <f t="shared" si="1012"/>
        <v/>
      </c>
      <c r="S2339" s="103" t="str">
        <f t="shared" si="1013"/>
        <v/>
      </c>
      <c r="T2339" s="106" t="str">
        <f t="shared" si="1027"/>
        <v/>
      </c>
      <c r="U2339" s="106" t="str">
        <f t="shared" si="1028"/>
        <v/>
      </c>
      <c r="V2339" s="106" t="str">
        <f t="shared" si="1029"/>
        <v/>
      </c>
      <c r="W2339" s="105" t="str">
        <f t="shared" si="1014"/>
        <v/>
      </c>
      <c r="X2339" s="104" t="str">
        <f t="shared" si="1019"/>
        <v/>
      </c>
      <c r="Y2339" s="104" t="str">
        <f t="array" ref="Y2339">IFERROR(IF(ISNUMBER(O2339),IF(COUNT(IF(A2339=$A$2:$A$2427,IF(D2339=$D$2:$D$2427,IF($X$2:$X$2427&gt;0,1))))&gt;0,SUM(IF(A2339=$A$2:$A$2427,IF(D2339=$D$2:$D$2427,$X$2:$X$2427)))/COUNT(IF(A2339=$A$2:$A$2427,IF(D2339=$D$2:$D$2427,IF(ISNUMBER($X$2:$X$2427),1)))),0),""),0)</f>
        <v/>
      </c>
      <c r="Z2339" s="104" t="str">
        <f>IF(ISNUMBER(O2339),IF(I2339&gt;0,(10^(VLOOKUP(D2339,'Species Codes'!B:C,2,0)+VLOOKUP(D2339,'Species Codes'!B:D,3,0)*LOG(E2339)+VLOOKUP(D2339,'Species Codes'!B:E,4,0)*LOG(I2339))),0),"")</f>
        <v/>
      </c>
      <c r="AA2339" s="104" t="str">
        <f>IFERROR((VLOOKUP(D2339,'Species Codes'!B:G,6,0)*Z2339)/2000,"")</f>
        <v/>
      </c>
      <c r="AB2339" s="104" t="e">
        <f>IF(Z2339&gt;0,((IF(OR(D2339="DF",D2339="RA")=TRUE,EXP(VLOOKUP(D2339,'Species Codes'!B:I,8,0)+VLOOKUP(D2339,'Species Codes'!B:J,9,0)*(LN((E2339*2.54)))),IF(OR(D2339="PY",D2339="RC",D2339="WH",D2339="NF")=TRUE,VLOOKUP(D2339,'Species Codes'!B:I,8,0)+VLOOKUP(D2339,'Species Codes'!B:J,9,0)*((E2339*2.54)^2)*(I2339*0.3048),IF(OR(D2339="MD",D2339="BM",D2339="GA")=TRUE,((VLOOKUP(D2339,'Species Codes'!B:I,8,0)*(((((E2339*2.54)+VLOOKUP(D2339,'Species Codes'!B:J,9,0))/VLOOKUP(D2339,'Species Codes'!B:K,10,0))^VLOOKUP(D2339,'Species Codes'!B:L,11,0))*((I2339*0.3048)^VLOOKUP(D2339,'Species Codes'!B:M,12,0))))-(VLOOKUP(D2339,'Species Codes'!B:I,8,0)*((((E2339*2.54)^VLOOKUP(D2339,'Species Codes'!B:L,11,0))*((I2339*0.3048)^VLOOKUP(D2339,'Species Codes'!B:M,12,0))))))*35.3*VLOOKUP(D2339,'Species Codes'!B:G,6,0)/2.2046,VLOOKUP(D2339,'Species Codes'!B:I,8,0)+VLOOKUP(D2339,'Species Codes'!B:J,9,0)*(((E2339*2.54)/100)^2)*(I2339*0.3048)))))*0.0011023),0)</f>
        <v>#N/A</v>
      </c>
      <c r="AC2339" s="104" t="e">
        <f>IF(Z2339&gt;0,((IF(OR(D2339="RA",D2339="OA",D2339="OT",D2339="UN",D2339="PC"),EXP(VLOOKUP(D2339,'Species Codes'!B:O,14,0)+VLOOKUP(D2339,'Species Codes'!B:P,15,0)*LN((E2339*2.54)))-EXP(VLOOKUP(D2339,'Species Codes'!B:O,14,0)+VLOOKUP(D2339,'Species Codes'!B:P,15,0)*LN((E2339*2.54)))*(1/(VLOOKUP(D2339,'Species Codes'!B:Q,16,0)+VLOOKUP(D2339,'Species Codes'!B:R,17,0)*((E2339*2.54)^VLOOKUP(D2339,'Species Codes'!B:S,18,0)))),IF(OR(D2339="BM",D2339="MD",D2339="OA"),EXP(VLOOKUP(D2339,'Species Codes'!B:O,14,0)+VLOOKUP(D2339,'Species Codes'!B:P,15,0)*LN((E2339*2.54)))*(1-(1/(VLOOKUP(D2339,'Species Codes'!B:Q,16,0)+VLOOKUP(D2339,'Species Codes'!B:R,17,0)*((E2339*2.54)^VLOOKUP(D2339,'Species Codes'!B:S,18,0)))))/1000,IF(D2339="DF",EXP(VLOOKUP(D2339,'Species Codes'!B:O,14,0)+VLOOKUP(D2339,'Species Codes'!B:P,15,0)*LN((E2339*2.54))),VLOOKUP(D2339,'Species Codes'!B:O,14,0)+VLOOKUP(D2339,'Species Codes'!B:P,15,0)*(((E2339*2.54)/100)^2)*(I2339*0.3048)))))*0.0011023),0)</f>
        <v>#N/A</v>
      </c>
      <c r="AD2339" s="104" t="e">
        <f t="shared" si="1030"/>
        <v>#N/A</v>
      </c>
      <c r="AE2339" s="104" t="e">
        <f t="shared" si="1031"/>
        <v>#N/A</v>
      </c>
      <c r="AF2339" s="104" t="e">
        <f>IF(AND(VLOOKUP($D2339,Merchantability!$B:$C,2,0)="Yes",$E2339&gt;=VLOOKUP($D2339,Merchantability!$B:$D,3,0),$E2339&lt;=VLOOKUP($D2339,Merchantability!$B:$E,4,0)),AA2339,0)</f>
        <v>#N/A</v>
      </c>
      <c r="AG2339" s="104" t="e">
        <f>IF(AND(VLOOKUP($D2339,Merchantability!$B:$C,2,0)="Yes",$E2339&gt;=VLOOKUP($D2339,Merchantability!$B:$D,3,0),$E2339&lt;=VLOOKUP($D2339,Merchantability!$B:$E,4,0)),AB2339,0)</f>
        <v>#N/A</v>
      </c>
      <c r="AH2339" s="104" t="e">
        <f>IF(AND(VLOOKUP($D2339,Merchantability!$B:$C,2,0)="Yes",$E2339&gt;=VLOOKUP($D2339,Merchantability!$B:$D,3,0),$E2339&lt;=VLOOKUP($D2339,Merchantability!$B:$E,4,0)),AC2339,0)</f>
        <v>#N/A</v>
      </c>
      <c r="AI2339" s="104" t="e">
        <f t="shared" si="1032"/>
        <v>#N/A</v>
      </c>
      <c r="AJ2339" s="104" t="e">
        <f t="shared" si="1033"/>
        <v>#VALUE!</v>
      </c>
      <c r="AK2339" s="104" t="e">
        <f t="shared" si="1034"/>
        <v>#N/A</v>
      </c>
      <c r="AL2339" s="104" t="e">
        <f t="shared" si="1035"/>
        <v>#N/A</v>
      </c>
      <c r="AM2339" s="104" t="e">
        <f t="shared" si="1036"/>
        <v>#N/A</v>
      </c>
      <c r="AN2339" s="104" t="e">
        <f t="shared" si="1020"/>
        <v>#N/A</v>
      </c>
      <c r="AO2339" s="104" t="e">
        <f t="shared" si="1021"/>
        <v>#N/A</v>
      </c>
      <c r="AP2339" s="104" t="e">
        <f t="shared" si="1022"/>
        <v>#N/A</v>
      </c>
      <c r="AQ2339" s="104" t="e">
        <f t="shared" si="1023"/>
        <v>#N/A</v>
      </c>
      <c r="AR2339" s="105" t="str">
        <f t="shared" si="1015"/>
        <v/>
      </c>
      <c r="AS2339" s="105" t="str">
        <f t="shared" si="1016"/>
        <v/>
      </c>
      <c r="AT2339" s="108" t="str">
        <f t="shared" si="1017"/>
        <v/>
      </c>
      <c r="AU2339" s="108" t="str">
        <f t="shared" si="1018"/>
        <v/>
      </c>
      <c r="AV2339" s="107" t="str">
        <f>IF(ISNUMBER(O2339),IF(VLOOKUP($A2339,Stand!C:J,8,FALSE)="Short",AT2339,AU2339),"")</f>
        <v/>
      </c>
      <c r="AW2339" s="109" t="str">
        <f t="shared" si="1024"/>
        <v/>
      </c>
      <c r="AX2339" s="109" t="str">
        <f t="shared" si="1025"/>
        <v/>
      </c>
      <c r="AY2339" s="112" t="str">
        <f>IF(ISNUMBER(O2339),IF(AND(VLOOKUP($D2339,Merchantability!$B:$C,2,0)="Yes",$E2339&gt;=VLOOKUP($D2339,Merchantability!$B:$D,3,0),$E2339&lt;=VLOOKUP($D2339,Merchantability!$B:$E,4,0)),(AV2339*O2339)*(1-$H2339/100),""),"")</f>
        <v/>
      </c>
      <c r="AZ2339" s="116"/>
      <c r="BA2339" s="116"/>
      <c r="BB2339" s="116"/>
      <c r="BE2339" s="62"/>
      <c r="BF2339" s="63"/>
    </row>
    <row r="2340" spans="1:58" ht="12.75" customHeight="1" x14ac:dyDescent="0.25">
      <c r="A2340" s="334"/>
      <c r="B2340" s="334"/>
      <c r="C2340" s="332"/>
      <c r="D2340" s="334"/>
      <c r="E2340" s="335"/>
      <c r="F2340" s="334"/>
      <c r="G2340" s="332"/>
      <c r="H2340" s="332"/>
      <c r="I2340" s="334"/>
      <c r="J2340" s="336"/>
      <c r="K2340" s="332"/>
      <c r="L2340" s="332"/>
      <c r="M2340" s="76"/>
      <c r="N2340" s="103" t="str">
        <f>IF(A2340="","",VLOOKUP(A2340,Stand!C:K,9,0))</f>
        <v/>
      </c>
      <c r="O2340" s="104" t="str">
        <f t="shared" si="1010"/>
        <v/>
      </c>
      <c r="P2340" s="105" t="str">
        <f t="shared" si="1011"/>
        <v/>
      </c>
      <c r="Q2340" s="105" t="str">
        <f t="shared" si="1026"/>
        <v/>
      </c>
      <c r="R2340" s="103" t="str">
        <f t="shared" si="1012"/>
        <v/>
      </c>
      <c r="S2340" s="103" t="str">
        <f t="shared" si="1013"/>
        <v/>
      </c>
      <c r="T2340" s="106" t="str">
        <f t="shared" si="1027"/>
        <v/>
      </c>
      <c r="U2340" s="106" t="str">
        <f t="shared" si="1028"/>
        <v/>
      </c>
      <c r="V2340" s="106" t="str">
        <f t="shared" si="1029"/>
        <v/>
      </c>
      <c r="W2340" s="105" t="str">
        <f t="shared" si="1014"/>
        <v/>
      </c>
      <c r="X2340" s="104" t="str">
        <f t="shared" si="1019"/>
        <v/>
      </c>
      <c r="Y2340" s="104" t="str">
        <f t="array" ref="Y2340">IFERROR(IF(ISNUMBER(O2340),IF(COUNT(IF(A2340=$A$2:$A$2427,IF(D2340=$D$2:$D$2427,IF($X$2:$X$2427&gt;0,1))))&gt;0,SUM(IF(A2340=$A$2:$A$2427,IF(D2340=$D$2:$D$2427,$X$2:$X$2427)))/COUNT(IF(A2340=$A$2:$A$2427,IF(D2340=$D$2:$D$2427,IF(ISNUMBER($X$2:$X$2427),1)))),0),""),0)</f>
        <v/>
      </c>
      <c r="Z2340" s="104" t="str">
        <f>IF(ISNUMBER(O2340),IF(I2340&gt;0,(10^(VLOOKUP(D2340,'Species Codes'!B:C,2,0)+VLOOKUP(D2340,'Species Codes'!B:D,3,0)*LOG(E2340)+VLOOKUP(D2340,'Species Codes'!B:E,4,0)*LOG(I2340))),0),"")</f>
        <v/>
      </c>
      <c r="AA2340" s="104" t="str">
        <f>IFERROR((VLOOKUP(D2340,'Species Codes'!B:G,6,0)*Z2340)/2000,"")</f>
        <v/>
      </c>
      <c r="AB2340" s="104" t="e">
        <f>IF(Z2340&gt;0,((IF(OR(D2340="DF",D2340="RA")=TRUE,EXP(VLOOKUP(D2340,'Species Codes'!B:I,8,0)+VLOOKUP(D2340,'Species Codes'!B:J,9,0)*(LN((E2340*2.54)))),IF(OR(D2340="PY",D2340="RC",D2340="WH",D2340="NF")=TRUE,VLOOKUP(D2340,'Species Codes'!B:I,8,0)+VLOOKUP(D2340,'Species Codes'!B:J,9,0)*((E2340*2.54)^2)*(I2340*0.3048),IF(OR(D2340="MD",D2340="BM",D2340="GA")=TRUE,((VLOOKUP(D2340,'Species Codes'!B:I,8,0)*(((((E2340*2.54)+VLOOKUP(D2340,'Species Codes'!B:J,9,0))/VLOOKUP(D2340,'Species Codes'!B:K,10,0))^VLOOKUP(D2340,'Species Codes'!B:L,11,0))*((I2340*0.3048)^VLOOKUP(D2340,'Species Codes'!B:M,12,0))))-(VLOOKUP(D2340,'Species Codes'!B:I,8,0)*((((E2340*2.54)^VLOOKUP(D2340,'Species Codes'!B:L,11,0))*((I2340*0.3048)^VLOOKUP(D2340,'Species Codes'!B:M,12,0))))))*35.3*VLOOKUP(D2340,'Species Codes'!B:G,6,0)/2.2046,VLOOKUP(D2340,'Species Codes'!B:I,8,0)+VLOOKUP(D2340,'Species Codes'!B:J,9,0)*(((E2340*2.54)/100)^2)*(I2340*0.3048)))))*0.0011023),0)</f>
        <v>#N/A</v>
      </c>
      <c r="AC2340" s="104" t="e">
        <f>IF(Z2340&gt;0,((IF(OR(D2340="RA",D2340="OA",D2340="OT",D2340="UN",D2340="PC"),EXP(VLOOKUP(D2340,'Species Codes'!B:O,14,0)+VLOOKUP(D2340,'Species Codes'!B:P,15,0)*LN((E2340*2.54)))-EXP(VLOOKUP(D2340,'Species Codes'!B:O,14,0)+VLOOKUP(D2340,'Species Codes'!B:P,15,0)*LN((E2340*2.54)))*(1/(VLOOKUP(D2340,'Species Codes'!B:Q,16,0)+VLOOKUP(D2340,'Species Codes'!B:R,17,0)*((E2340*2.54)^VLOOKUP(D2340,'Species Codes'!B:S,18,0)))),IF(OR(D2340="BM",D2340="MD",D2340="OA"),EXP(VLOOKUP(D2340,'Species Codes'!B:O,14,0)+VLOOKUP(D2340,'Species Codes'!B:P,15,0)*LN((E2340*2.54)))*(1-(1/(VLOOKUP(D2340,'Species Codes'!B:Q,16,0)+VLOOKUP(D2340,'Species Codes'!B:R,17,0)*((E2340*2.54)^VLOOKUP(D2340,'Species Codes'!B:S,18,0)))))/1000,IF(D2340="DF",EXP(VLOOKUP(D2340,'Species Codes'!B:O,14,0)+VLOOKUP(D2340,'Species Codes'!B:P,15,0)*LN((E2340*2.54))),VLOOKUP(D2340,'Species Codes'!B:O,14,0)+VLOOKUP(D2340,'Species Codes'!B:P,15,0)*(((E2340*2.54)/100)^2)*(I2340*0.3048)))))*0.0011023),0)</f>
        <v>#N/A</v>
      </c>
      <c r="AD2340" s="104" t="e">
        <f t="shared" si="1030"/>
        <v>#N/A</v>
      </c>
      <c r="AE2340" s="104" t="e">
        <f t="shared" si="1031"/>
        <v>#N/A</v>
      </c>
      <c r="AF2340" s="104" t="e">
        <f>IF(AND(VLOOKUP($D2340,Merchantability!$B:$C,2,0)="Yes",$E2340&gt;=VLOOKUP($D2340,Merchantability!$B:$D,3,0),$E2340&lt;=VLOOKUP($D2340,Merchantability!$B:$E,4,0)),AA2340,0)</f>
        <v>#N/A</v>
      </c>
      <c r="AG2340" s="104" t="e">
        <f>IF(AND(VLOOKUP($D2340,Merchantability!$B:$C,2,0)="Yes",$E2340&gt;=VLOOKUP($D2340,Merchantability!$B:$D,3,0),$E2340&lt;=VLOOKUP($D2340,Merchantability!$B:$E,4,0)),AB2340,0)</f>
        <v>#N/A</v>
      </c>
      <c r="AH2340" s="104" t="e">
        <f>IF(AND(VLOOKUP($D2340,Merchantability!$B:$C,2,0)="Yes",$E2340&gt;=VLOOKUP($D2340,Merchantability!$B:$D,3,0),$E2340&lt;=VLOOKUP($D2340,Merchantability!$B:$E,4,0)),AC2340,0)</f>
        <v>#N/A</v>
      </c>
      <c r="AI2340" s="104" t="e">
        <f t="shared" si="1032"/>
        <v>#N/A</v>
      </c>
      <c r="AJ2340" s="104" t="e">
        <f t="shared" si="1033"/>
        <v>#VALUE!</v>
      </c>
      <c r="AK2340" s="104" t="e">
        <f t="shared" si="1034"/>
        <v>#N/A</v>
      </c>
      <c r="AL2340" s="104" t="e">
        <f t="shared" si="1035"/>
        <v>#N/A</v>
      </c>
      <c r="AM2340" s="104" t="e">
        <f t="shared" si="1036"/>
        <v>#N/A</v>
      </c>
      <c r="AN2340" s="104" t="e">
        <f t="shared" si="1020"/>
        <v>#N/A</v>
      </c>
      <c r="AO2340" s="104" t="e">
        <f t="shared" si="1021"/>
        <v>#N/A</v>
      </c>
      <c r="AP2340" s="104" t="e">
        <f t="shared" si="1022"/>
        <v>#N/A</v>
      </c>
      <c r="AQ2340" s="104" t="e">
        <f t="shared" si="1023"/>
        <v>#N/A</v>
      </c>
      <c r="AR2340" s="105" t="str">
        <f t="shared" si="1015"/>
        <v/>
      </c>
      <c r="AS2340" s="105" t="str">
        <f t="shared" si="1016"/>
        <v/>
      </c>
      <c r="AT2340" s="108" t="str">
        <f t="shared" si="1017"/>
        <v/>
      </c>
      <c r="AU2340" s="108" t="str">
        <f t="shared" si="1018"/>
        <v/>
      </c>
      <c r="AV2340" s="107" t="str">
        <f>IF(ISNUMBER(O2340),IF(VLOOKUP($A2340,Stand!C:J,8,FALSE)="Short",AT2340,AU2340),"")</f>
        <v/>
      </c>
      <c r="AW2340" s="109" t="str">
        <f t="shared" si="1024"/>
        <v/>
      </c>
      <c r="AX2340" s="109" t="str">
        <f t="shared" si="1025"/>
        <v/>
      </c>
      <c r="AY2340" s="112" t="str">
        <f>IF(ISNUMBER(O2340),IF(AND(VLOOKUP($D2340,Merchantability!$B:$C,2,0)="Yes",$E2340&gt;=VLOOKUP($D2340,Merchantability!$B:$D,3,0),$E2340&lt;=VLOOKUP($D2340,Merchantability!$B:$E,4,0)),(AV2340*O2340)*(1-$H2340/100),""),"")</f>
        <v/>
      </c>
      <c r="AZ2340" s="116"/>
      <c r="BA2340" s="116"/>
      <c r="BB2340" s="116"/>
      <c r="BE2340" s="62"/>
      <c r="BF2340" s="63"/>
    </row>
    <row r="2341" spans="1:58" ht="12.75" customHeight="1" x14ac:dyDescent="0.25">
      <c r="A2341" s="334"/>
      <c r="B2341" s="334"/>
      <c r="C2341" s="332"/>
      <c r="D2341" s="334"/>
      <c r="E2341" s="335"/>
      <c r="F2341" s="334"/>
      <c r="G2341" s="332"/>
      <c r="H2341" s="332"/>
      <c r="I2341" s="334"/>
      <c r="J2341" s="336"/>
      <c r="K2341" s="332"/>
      <c r="L2341" s="332"/>
      <c r="M2341" s="76"/>
      <c r="N2341" s="103" t="str">
        <f>IF(A2341="","",VLOOKUP(A2341,Stand!C:K,9,0))</f>
        <v/>
      </c>
      <c r="O2341" s="104" t="str">
        <f t="shared" si="1010"/>
        <v/>
      </c>
      <c r="P2341" s="105" t="str">
        <f t="shared" si="1011"/>
        <v/>
      </c>
      <c r="Q2341" s="105" t="str">
        <f t="shared" si="1026"/>
        <v/>
      </c>
      <c r="R2341" s="103" t="str">
        <f t="shared" si="1012"/>
        <v/>
      </c>
      <c r="S2341" s="103" t="str">
        <f t="shared" si="1013"/>
        <v/>
      </c>
      <c r="T2341" s="106" t="str">
        <f t="shared" si="1027"/>
        <v/>
      </c>
      <c r="U2341" s="106" t="str">
        <f t="shared" si="1028"/>
        <v/>
      </c>
      <c r="V2341" s="106" t="str">
        <f t="shared" si="1029"/>
        <v/>
      </c>
      <c r="W2341" s="105" t="str">
        <f t="shared" si="1014"/>
        <v/>
      </c>
      <c r="X2341" s="104" t="str">
        <f t="shared" si="1019"/>
        <v/>
      </c>
      <c r="Y2341" s="104" t="str">
        <f t="array" ref="Y2341">IFERROR(IF(ISNUMBER(O2341),IF(COUNT(IF(A2341=$A$2:$A$2427,IF(D2341=$D$2:$D$2427,IF($X$2:$X$2427&gt;0,1))))&gt;0,SUM(IF(A2341=$A$2:$A$2427,IF(D2341=$D$2:$D$2427,$X$2:$X$2427)))/COUNT(IF(A2341=$A$2:$A$2427,IF(D2341=$D$2:$D$2427,IF(ISNUMBER($X$2:$X$2427),1)))),0),""),0)</f>
        <v/>
      </c>
      <c r="Z2341" s="104" t="str">
        <f>IF(ISNUMBER(O2341),IF(I2341&gt;0,(10^(VLOOKUP(D2341,'Species Codes'!B:C,2,0)+VLOOKUP(D2341,'Species Codes'!B:D,3,0)*LOG(E2341)+VLOOKUP(D2341,'Species Codes'!B:E,4,0)*LOG(I2341))),0),"")</f>
        <v/>
      </c>
      <c r="AA2341" s="104" t="str">
        <f>IFERROR((VLOOKUP(D2341,'Species Codes'!B:G,6,0)*Z2341)/2000,"")</f>
        <v/>
      </c>
      <c r="AB2341" s="104" t="e">
        <f>IF(Z2341&gt;0,((IF(OR(D2341="DF",D2341="RA")=TRUE,EXP(VLOOKUP(D2341,'Species Codes'!B:I,8,0)+VLOOKUP(D2341,'Species Codes'!B:J,9,0)*(LN((E2341*2.54)))),IF(OR(D2341="PY",D2341="RC",D2341="WH",D2341="NF")=TRUE,VLOOKUP(D2341,'Species Codes'!B:I,8,0)+VLOOKUP(D2341,'Species Codes'!B:J,9,0)*((E2341*2.54)^2)*(I2341*0.3048),IF(OR(D2341="MD",D2341="BM",D2341="GA")=TRUE,((VLOOKUP(D2341,'Species Codes'!B:I,8,0)*(((((E2341*2.54)+VLOOKUP(D2341,'Species Codes'!B:J,9,0))/VLOOKUP(D2341,'Species Codes'!B:K,10,0))^VLOOKUP(D2341,'Species Codes'!B:L,11,0))*((I2341*0.3048)^VLOOKUP(D2341,'Species Codes'!B:M,12,0))))-(VLOOKUP(D2341,'Species Codes'!B:I,8,0)*((((E2341*2.54)^VLOOKUP(D2341,'Species Codes'!B:L,11,0))*((I2341*0.3048)^VLOOKUP(D2341,'Species Codes'!B:M,12,0))))))*35.3*VLOOKUP(D2341,'Species Codes'!B:G,6,0)/2.2046,VLOOKUP(D2341,'Species Codes'!B:I,8,0)+VLOOKUP(D2341,'Species Codes'!B:J,9,0)*(((E2341*2.54)/100)^2)*(I2341*0.3048)))))*0.0011023),0)</f>
        <v>#N/A</v>
      </c>
      <c r="AC2341" s="104" t="e">
        <f>IF(Z2341&gt;0,((IF(OR(D2341="RA",D2341="OA",D2341="OT",D2341="UN",D2341="PC"),EXP(VLOOKUP(D2341,'Species Codes'!B:O,14,0)+VLOOKUP(D2341,'Species Codes'!B:P,15,0)*LN((E2341*2.54)))-EXP(VLOOKUP(D2341,'Species Codes'!B:O,14,0)+VLOOKUP(D2341,'Species Codes'!B:P,15,0)*LN((E2341*2.54)))*(1/(VLOOKUP(D2341,'Species Codes'!B:Q,16,0)+VLOOKUP(D2341,'Species Codes'!B:R,17,0)*((E2341*2.54)^VLOOKUP(D2341,'Species Codes'!B:S,18,0)))),IF(OR(D2341="BM",D2341="MD",D2341="OA"),EXP(VLOOKUP(D2341,'Species Codes'!B:O,14,0)+VLOOKUP(D2341,'Species Codes'!B:P,15,0)*LN((E2341*2.54)))*(1-(1/(VLOOKUP(D2341,'Species Codes'!B:Q,16,0)+VLOOKUP(D2341,'Species Codes'!B:R,17,0)*((E2341*2.54)^VLOOKUP(D2341,'Species Codes'!B:S,18,0)))))/1000,IF(D2341="DF",EXP(VLOOKUP(D2341,'Species Codes'!B:O,14,0)+VLOOKUP(D2341,'Species Codes'!B:P,15,0)*LN((E2341*2.54))),VLOOKUP(D2341,'Species Codes'!B:O,14,0)+VLOOKUP(D2341,'Species Codes'!B:P,15,0)*(((E2341*2.54)/100)^2)*(I2341*0.3048)))))*0.0011023),0)</f>
        <v>#N/A</v>
      </c>
      <c r="AD2341" s="104" t="e">
        <f t="shared" si="1030"/>
        <v>#N/A</v>
      </c>
      <c r="AE2341" s="104" t="e">
        <f t="shared" si="1031"/>
        <v>#N/A</v>
      </c>
      <c r="AF2341" s="104" t="e">
        <f>IF(AND(VLOOKUP($D2341,Merchantability!$B:$C,2,0)="Yes",$E2341&gt;=VLOOKUP($D2341,Merchantability!$B:$D,3,0),$E2341&lt;=VLOOKUP($D2341,Merchantability!$B:$E,4,0)),AA2341,0)</f>
        <v>#N/A</v>
      </c>
      <c r="AG2341" s="104" t="e">
        <f>IF(AND(VLOOKUP($D2341,Merchantability!$B:$C,2,0)="Yes",$E2341&gt;=VLOOKUP($D2341,Merchantability!$B:$D,3,0),$E2341&lt;=VLOOKUP($D2341,Merchantability!$B:$E,4,0)),AB2341,0)</f>
        <v>#N/A</v>
      </c>
      <c r="AH2341" s="104" t="e">
        <f>IF(AND(VLOOKUP($D2341,Merchantability!$B:$C,2,0)="Yes",$E2341&gt;=VLOOKUP($D2341,Merchantability!$B:$D,3,0),$E2341&lt;=VLOOKUP($D2341,Merchantability!$B:$E,4,0)),AC2341,0)</f>
        <v>#N/A</v>
      </c>
      <c r="AI2341" s="104" t="e">
        <f t="shared" si="1032"/>
        <v>#N/A</v>
      </c>
      <c r="AJ2341" s="104" t="e">
        <f t="shared" si="1033"/>
        <v>#VALUE!</v>
      </c>
      <c r="AK2341" s="104" t="e">
        <f t="shared" si="1034"/>
        <v>#N/A</v>
      </c>
      <c r="AL2341" s="104" t="e">
        <f t="shared" si="1035"/>
        <v>#N/A</v>
      </c>
      <c r="AM2341" s="104" t="e">
        <f t="shared" si="1036"/>
        <v>#N/A</v>
      </c>
      <c r="AN2341" s="104" t="e">
        <f t="shared" si="1020"/>
        <v>#N/A</v>
      </c>
      <c r="AO2341" s="104" t="e">
        <f t="shared" si="1021"/>
        <v>#N/A</v>
      </c>
      <c r="AP2341" s="104" t="e">
        <f t="shared" si="1022"/>
        <v>#N/A</v>
      </c>
      <c r="AQ2341" s="104" t="e">
        <f t="shared" si="1023"/>
        <v>#N/A</v>
      </c>
      <c r="AR2341" s="105" t="str">
        <f t="shared" si="1015"/>
        <v/>
      </c>
      <c r="AS2341" s="105" t="str">
        <f t="shared" si="1016"/>
        <v/>
      </c>
      <c r="AT2341" s="108" t="str">
        <f t="shared" si="1017"/>
        <v/>
      </c>
      <c r="AU2341" s="108" t="str">
        <f t="shared" si="1018"/>
        <v/>
      </c>
      <c r="AV2341" s="107" t="str">
        <f>IF(ISNUMBER(O2341),IF(VLOOKUP($A2341,Stand!C:J,8,FALSE)="Short",AT2341,AU2341),"")</f>
        <v/>
      </c>
      <c r="AW2341" s="109" t="str">
        <f t="shared" si="1024"/>
        <v/>
      </c>
      <c r="AX2341" s="109" t="str">
        <f t="shared" si="1025"/>
        <v/>
      </c>
      <c r="AY2341" s="112" t="str">
        <f>IF(ISNUMBER(O2341),IF(AND(VLOOKUP($D2341,Merchantability!$B:$C,2,0)="Yes",$E2341&gt;=VLOOKUP($D2341,Merchantability!$B:$D,3,0),$E2341&lt;=VLOOKUP($D2341,Merchantability!$B:$E,4,0)),(AV2341*O2341)*(1-$H2341/100),""),"")</f>
        <v/>
      </c>
      <c r="AZ2341" s="116"/>
      <c r="BA2341" s="116"/>
      <c r="BB2341" s="116"/>
      <c r="BE2341" s="62"/>
      <c r="BF2341" s="63"/>
    </row>
    <row r="2342" spans="1:58" ht="12.75" customHeight="1" x14ac:dyDescent="0.25">
      <c r="A2342" s="334"/>
      <c r="B2342" s="334"/>
      <c r="C2342" s="332"/>
      <c r="D2342" s="334"/>
      <c r="E2342" s="335"/>
      <c r="F2342" s="334"/>
      <c r="G2342" s="332"/>
      <c r="H2342" s="332"/>
      <c r="I2342" s="334"/>
      <c r="J2342" s="336"/>
      <c r="K2342" s="332"/>
      <c r="L2342" s="332"/>
      <c r="M2342" s="76"/>
      <c r="N2342" s="103" t="str">
        <f>IF(A2342="","",VLOOKUP(A2342,Stand!C:K,9,0))</f>
        <v/>
      </c>
      <c r="O2342" s="104" t="str">
        <f t="shared" si="1010"/>
        <v/>
      </c>
      <c r="P2342" s="105" t="str">
        <f t="shared" si="1011"/>
        <v/>
      </c>
      <c r="Q2342" s="105" t="str">
        <f t="shared" si="1026"/>
        <v/>
      </c>
      <c r="R2342" s="103" t="str">
        <f t="shared" si="1012"/>
        <v/>
      </c>
      <c r="S2342" s="103" t="str">
        <f t="shared" si="1013"/>
        <v/>
      </c>
      <c r="T2342" s="106" t="str">
        <f t="shared" si="1027"/>
        <v/>
      </c>
      <c r="U2342" s="106" t="str">
        <f t="shared" si="1028"/>
        <v/>
      </c>
      <c r="V2342" s="106" t="str">
        <f t="shared" si="1029"/>
        <v/>
      </c>
      <c r="W2342" s="105" t="str">
        <f t="shared" si="1014"/>
        <v/>
      </c>
      <c r="X2342" s="104" t="str">
        <f t="shared" si="1019"/>
        <v/>
      </c>
      <c r="Y2342" s="104" t="str">
        <f t="array" ref="Y2342">IFERROR(IF(ISNUMBER(O2342),IF(COUNT(IF(A2342=$A$2:$A$2427,IF(D2342=$D$2:$D$2427,IF($X$2:$X$2427&gt;0,1))))&gt;0,SUM(IF(A2342=$A$2:$A$2427,IF(D2342=$D$2:$D$2427,$X$2:$X$2427)))/COUNT(IF(A2342=$A$2:$A$2427,IF(D2342=$D$2:$D$2427,IF(ISNUMBER($X$2:$X$2427),1)))),0),""),0)</f>
        <v/>
      </c>
      <c r="Z2342" s="104" t="str">
        <f>IF(ISNUMBER(O2342),IF(I2342&gt;0,(10^(VLOOKUP(D2342,'Species Codes'!B:C,2,0)+VLOOKUP(D2342,'Species Codes'!B:D,3,0)*LOG(E2342)+VLOOKUP(D2342,'Species Codes'!B:E,4,0)*LOG(I2342))),0),"")</f>
        <v/>
      </c>
      <c r="AA2342" s="104" t="str">
        <f>IFERROR((VLOOKUP(D2342,'Species Codes'!B:G,6,0)*Z2342)/2000,"")</f>
        <v/>
      </c>
      <c r="AB2342" s="104" t="e">
        <f>IF(Z2342&gt;0,((IF(OR(D2342="DF",D2342="RA")=TRUE,EXP(VLOOKUP(D2342,'Species Codes'!B:I,8,0)+VLOOKUP(D2342,'Species Codes'!B:J,9,0)*(LN((E2342*2.54)))),IF(OR(D2342="PY",D2342="RC",D2342="WH",D2342="NF")=TRUE,VLOOKUP(D2342,'Species Codes'!B:I,8,0)+VLOOKUP(D2342,'Species Codes'!B:J,9,0)*((E2342*2.54)^2)*(I2342*0.3048),IF(OR(D2342="MD",D2342="BM",D2342="GA")=TRUE,((VLOOKUP(D2342,'Species Codes'!B:I,8,0)*(((((E2342*2.54)+VLOOKUP(D2342,'Species Codes'!B:J,9,0))/VLOOKUP(D2342,'Species Codes'!B:K,10,0))^VLOOKUP(D2342,'Species Codes'!B:L,11,0))*((I2342*0.3048)^VLOOKUP(D2342,'Species Codes'!B:M,12,0))))-(VLOOKUP(D2342,'Species Codes'!B:I,8,0)*((((E2342*2.54)^VLOOKUP(D2342,'Species Codes'!B:L,11,0))*((I2342*0.3048)^VLOOKUP(D2342,'Species Codes'!B:M,12,0))))))*35.3*VLOOKUP(D2342,'Species Codes'!B:G,6,0)/2.2046,VLOOKUP(D2342,'Species Codes'!B:I,8,0)+VLOOKUP(D2342,'Species Codes'!B:J,9,0)*(((E2342*2.54)/100)^2)*(I2342*0.3048)))))*0.0011023),0)</f>
        <v>#N/A</v>
      </c>
      <c r="AC2342" s="104" t="e">
        <f>IF(Z2342&gt;0,((IF(OR(D2342="RA",D2342="OA",D2342="OT",D2342="UN",D2342="PC"),EXP(VLOOKUP(D2342,'Species Codes'!B:O,14,0)+VLOOKUP(D2342,'Species Codes'!B:P,15,0)*LN((E2342*2.54)))-EXP(VLOOKUP(D2342,'Species Codes'!B:O,14,0)+VLOOKUP(D2342,'Species Codes'!B:P,15,0)*LN((E2342*2.54)))*(1/(VLOOKUP(D2342,'Species Codes'!B:Q,16,0)+VLOOKUP(D2342,'Species Codes'!B:R,17,0)*((E2342*2.54)^VLOOKUP(D2342,'Species Codes'!B:S,18,0)))),IF(OR(D2342="BM",D2342="MD",D2342="OA"),EXP(VLOOKUP(D2342,'Species Codes'!B:O,14,0)+VLOOKUP(D2342,'Species Codes'!B:P,15,0)*LN((E2342*2.54)))*(1-(1/(VLOOKUP(D2342,'Species Codes'!B:Q,16,0)+VLOOKUP(D2342,'Species Codes'!B:R,17,0)*((E2342*2.54)^VLOOKUP(D2342,'Species Codes'!B:S,18,0)))))/1000,IF(D2342="DF",EXP(VLOOKUP(D2342,'Species Codes'!B:O,14,0)+VLOOKUP(D2342,'Species Codes'!B:P,15,0)*LN((E2342*2.54))),VLOOKUP(D2342,'Species Codes'!B:O,14,0)+VLOOKUP(D2342,'Species Codes'!B:P,15,0)*(((E2342*2.54)/100)^2)*(I2342*0.3048)))))*0.0011023),0)</f>
        <v>#N/A</v>
      </c>
      <c r="AD2342" s="104" t="e">
        <f t="shared" si="1030"/>
        <v>#N/A</v>
      </c>
      <c r="AE2342" s="104" t="e">
        <f t="shared" si="1031"/>
        <v>#N/A</v>
      </c>
      <c r="AF2342" s="104" t="e">
        <f>IF(AND(VLOOKUP($D2342,Merchantability!$B:$C,2,0)="Yes",$E2342&gt;=VLOOKUP($D2342,Merchantability!$B:$D,3,0),$E2342&lt;=VLOOKUP($D2342,Merchantability!$B:$E,4,0)),AA2342,0)</f>
        <v>#N/A</v>
      </c>
      <c r="AG2342" s="104" t="e">
        <f>IF(AND(VLOOKUP($D2342,Merchantability!$B:$C,2,0)="Yes",$E2342&gt;=VLOOKUP($D2342,Merchantability!$B:$D,3,0),$E2342&lt;=VLOOKUP($D2342,Merchantability!$B:$E,4,0)),AB2342,0)</f>
        <v>#N/A</v>
      </c>
      <c r="AH2342" s="104" t="e">
        <f>IF(AND(VLOOKUP($D2342,Merchantability!$B:$C,2,0)="Yes",$E2342&gt;=VLOOKUP($D2342,Merchantability!$B:$D,3,0),$E2342&lt;=VLOOKUP($D2342,Merchantability!$B:$E,4,0)),AC2342,0)</f>
        <v>#N/A</v>
      </c>
      <c r="AI2342" s="104" t="e">
        <f t="shared" si="1032"/>
        <v>#N/A</v>
      </c>
      <c r="AJ2342" s="104" t="e">
        <f t="shared" si="1033"/>
        <v>#VALUE!</v>
      </c>
      <c r="AK2342" s="104" t="e">
        <f t="shared" si="1034"/>
        <v>#N/A</v>
      </c>
      <c r="AL2342" s="104" t="e">
        <f t="shared" si="1035"/>
        <v>#N/A</v>
      </c>
      <c r="AM2342" s="104" t="e">
        <f t="shared" si="1036"/>
        <v>#N/A</v>
      </c>
      <c r="AN2342" s="104" t="e">
        <f t="shared" si="1020"/>
        <v>#N/A</v>
      </c>
      <c r="AO2342" s="104" t="e">
        <f t="shared" si="1021"/>
        <v>#N/A</v>
      </c>
      <c r="AP2342" s="104" t="e">
        <f t="shared" si="1022"/>
        <v>#N/A</v>
      </c>
      <c r="AQ2342" s="104" t="e">
        <f t="shared" si="1023"/>
        <v>#N/A</v>
      </c>
      <c r="AR2342" s="105" t="str">
        <f t="shared" si="1015"/>
        <v/>
      </c>
      <c r="AS2342" s="105" t="str">
        <f t="shared" si="1016"/>
        <v/>
      </c>
      <c r="AT2342" s="108" t="str">
        <f t="shared" si="1017"/>
        <v/>
      </c>
      <c r="AU2342" s="108" t="str">
        <f t="shared" si="1018"/>
        <v/>
      </c>
      <c r="AV2342" s="107" t="str">
        <f>IF(ISNUMBER(O2342),IF(VLOOKUP($A2342,Stand!C:J,8,FALSE)="Short",AT2342,AU2342),"")</f>
        <v/>
      </c>
      <c r="AW2342" s="109" t="str">
        <f t="shared" si="1024"/>
        <v/>
      </c>
      <c r="AX2342" s="109" t="str">
        <f t="shared" si="1025"/>
        <v/>
      </c>
      <c r="AY2342" s="112" t="str">
        <f>IF(ISNUMBER(O2342),IF(AND(VLOOKUP($D2342,Merchantability!$B:$C,2,0)="Yes",$E2342&gt;=VLOOKUP($D2342,Merchantability!$B:$D,3,0),$E2342&lt;=VLOOKUP($D2342,Merchantability!$B:$E,4,0)),(AV2342*O2342)*(1-$H2342/100),""),"")</f>
        <v/>
      </c>
      <c r="AZ2342" s="116"/>
      <c r="BA2342" s="116"/>
      <c r="BB2342" s="116"/>
      <c r="BE2342" s="62"/>
      <c r="BF2342" s="63"/>
    </row>
    <row r="2343" spans="1:58" ht="12.75" customHeight="1" x14ac:dyDescent="0.25">
      <c r="A2343" s="334"/>
      <c r="B2343" s="334"/>
      <c r="C2343" s="332"/>
      <c r="D2343" s="334"/>
      <c r="E2343" s="335"/>
      <c r="F2343" s="334"/>
      <c r="G2343" s="332"/>
      <c r="H2343" s="332"/>
      <c r="I2343" s="334"/>
      <c r="J2343" s="336"/>
      <c r="K2343" s="332"/>
      <c r="L2343" s="332"/>
      <c r="M2343" s="76"/>
      <c r="N2343" s="103" t="str">
        <f>IF(A2343="","",VLOOKUP(A2343,Stand!C:K,9,0))</f>
        <v/>
      </c>
      <c r="O2343" s="104" t="str">
        <f t="shared" si="1010"/>
        <v/>
      </c>
      <c r="P2343" s="105" t="str">
        <f t="shared" si="1011"/>
        <v/>
      </c>
      <c r="Q2343" s="105" t="str">
        <f t="shared" si="1026"/>
        <v/>
      </c>
      <c r="R2343" s="103" t="str">
        <f t="shared" si="1012"/>
        <v/>
      </c>
      <c r="S2343" s="103" t="str">
        <f t="shared" si="1013"/>
        <v/>
      </c>
      <c r="T2343" s="106" t="str">
        <f t="shared" si="1027"/>
        <v/>
      </c>
      <c r="U2343" s="106" t="str">
        <f t="shared" si="1028"/>
        <v/>
      </c>
      <c r="V2343" s="106" t="str">
        <f t="shared" si="1029"/>
        <v/>
      </c>
      <c r="W2343" s="105" t="str">
        <f t="shared" si="1014"/>
        <v/>
      </c>
      <c r="X2343" s="104" t="str">
        <f t="shared" si="1019"/>
        <v/>
      </c>
      <c r="Y2343" s="104" t="str">
        <f t="array" ref="Y2343">IFERROR(IF(ISNUMBER(O2343),IF(COUNT(IF(A2343=$A$2:$A$2427,IF(D2343=$D$2:$D$2427,IF($X$2:$X$2427&gt;0,1))))&gt;0,SUM(IF(A2343=$A$2:$A$2427,IF(D2343=$D$2:$D$2427,$X$2:$X$2427)))/COUNT(IF(A2343=$A$2:$A$2427,IF(D2343=$D$2:$D$2427,IF(ISNUMBER($X$2:$X$2427),1)))),0),""),0)</f>
        <v/>
      </c>
      <c r="Z2343" s="104" t="str">
        <f>IF(ISNUMBER(O2343),IF(I2343&gt;0,(10^(VLOOKUP(D2343,'Species Codes'!B:C,2,0)+VLOOKUP(D2343,'Species Codes'!B:D,3,0)*LOG(E2343)+VLOOKUP(D2343,'Species Codes'!B:E,4,0)*LOG(I2343))),0),"")</f>
        <v/>
      </c>
      <c r="AA2343" s="104" t="str">
        <f>IFERROR((VLOOKUP(D2343,'Species Codes'!B:G,6,0)*Z2343)/2000,"")</f>
        <v/>
      </c>
      <c r="AB2343" s="104" t="e">
        <f>IF(Z2343&gt;0,((IF(OR(D2343="DF",D2343="RA")=TRUE,EXP(VLOOKUP(D2343,'Species Codes'!B:I,8,0)+VLOOKUP(D2343,'Species Codes'!B:J,9,0)*(LN((E2343*2.54)))),IF(OR(D2343="PY",D2343="RC",D2343="WH",D2343="NF")=TRUE,VLOOKUP(D2343,'Species Codes'!B:I,8,0)+VLOOKUP(D2343,'Species Codes'!B:J,9,0)*((E2343*2.54)^2)*(I2343*0.3048),IF(OR(D2343="MD",D2343="BM",D2343="GA")=TRUE,((VLOOKUP(D2343,'Species Codes'!B:I,8,0)*(((((E2343*2.54)+VLOOKUP(D2343,'Species Codes'!B:J,9,0))/VLOOKUP(D2343,'Species Codes'!B:K,10,0))^VLOOKUP(D2343,'Species Codes'!B:L,11,0))*((I2343*0.3048)^VLOOKUP(D2343,'Species Codes'!B:M,12,0))))-(VLOOKUP(D2343,'Species Codes'!B:I,8,0)*((((E2343*2.54)^VLOOKUP(D2343,'Species Codes'!B:L,11,0))*((I2343*0.3048)^VLOOKUP(D2343,'Species Codes'!B:M,12,0))))))*35.3*VLOOKUP(D2343,'Species Codes'!B:G,6,0)/2.2046,VLOOKUP(D2343,'Species Codes'!B:I,8,0)+VLOOKUP(D2343,'Species Codes'!B:J,9,0)*(((E2343*2.54)/100)^2)*(I2343*0.3048)))))*0.0011023),0)</f>
        <v>#N/A</v>
      </c>
      <c r="AC2343" s="104" t="e">
        <f>IF(Z2343&gt;0,((IF(OR(D2343="RA",D2343="OA",D2343="OT",D2343="UN",D2343="PC"),EXP(VLOOKUP(D2343,'Species Codes'!B:O,14,0)+VLOOKUP(D2343,'Species Codes'!B:P,15,0)*LN((E2343*2.54)))-EXP(VLOOKUP(D2343,'Species Codes'!B:O,14,0)+VLOOKUP(D2343,'Species Codes'!B:P,15,0)*LN((E2343*2.54)))*(1/(VLOOKUP(D2343,'Species Codes'!B:Q,16,0)+VLOOKUP(D2343,'Species Codes'!B:R,17,0)*((E2343*2.54)^VLOOKUP(D2343,'Species Codes'!B:S,18,0)))),IF(OR(D2343="BM",D2343="MD",D2343="OA"),EXP(VLOOKUP(D2343,'Species Codes'!B:O,14,0)+VLOOKUP(D2343,'Species Codes'!B:P,15,0)*LN((E2343*2.54)))*(1-(1/(VLOOKUP(D2343,'Species Codes'!B:Q,16,0)+VLOOKUP(D2343,'Species Codes'!B:R,17,0)*((E2343*2.54)^VLOOKUP(D2343,'Species Codes'!B:S,18,0)))))/1000,IF(D2343="DF",EXP(VLOOKUP(D2343,'Species Codes'!B:O,14,0)+VLOOKUP(D2343,'Species Codes'!B:P,15,0)*LN((E2343*2.54))),VLOOKUP(D2343,'Species Codes'!B:O,14,0)+VLOOKUP(D2343,'Species Codes'!B:P,15,0)*(((E2343*2.54)/100)^2)*(I2343*0.3048)))))*0.0011023),0)</f>
        <v>#N/A</v>
      </c>
      <c r="AD2343" s="104" t="e">
        <f t="shared" si="1030"/>
        <v>#N/A</v>
      </c>
      <c r="AE2343" s="104" t="e">
        <f t="shared" si="1031"/>
        <v>#N/A</v>
      </c>
      <c r="AF2343" s="104" t="e">
        <f>IF(AND(VLOOKUP($D2343,Merchantability!$B:$C,2,0)="Yes",$E2343&gt;=VLOOKUP($D2343,Merchantability!$B:$D,3,0),$E2343&lt;=VLOOKUP($D2343,Merchantability!$B:$E,4,0)),AA2343,0)</f>
        <v>#N/A</v>
      </c>
      <c r="AG2343" s="104" t="e">
        <f>IF(AND(VLOOKUP($D2343,Merchantability!$B:$C,2,0)="Yes",$E2343&gt;=VLOOKUP($D2343,Merchantability!$B:$D,3,0),$E2343&lt;=VLOOKUP($D2343,Merchantability!$B:$E,4,0)),AB2343,0)</f>
        <v>#N/A</v>
      </c>
      <c r="AH2343" s="104" t="e">
        <f>IF(AND(VLOOKUP($D2343,Merchantability!$B:$C,2,0)="Yes",$E2343&gt;=VLOOKUP($D2343,Merchantability!$B:$D,3,0),$E2343&lt;=VLOOKUP($D2343,Merchantability!$B:$E,4,0)),AC2343,0)</f>
        <v>#N/A</v>
      </c>
      <c r="AI2343" s="104" t="e">
        <f t="shared" si="1032"/>
        <v>#N/A</v>
      </c>
      <c r="AJ2343" s="104" t="e">
        <f t="shared" si="1033"/>
        <v>#VALUE!</v>
      </c>
      <c r="AK2343" s="104" t="e">
        <f t="shared" si="1034"/>
        <v>#N/A</v>
      </c>
      <c r="AL2343" s="104" t="e">
        <f t="shared" si="1035"/>
        <v>#N/A</v>
      </c>
      <c r="AM2343" s="104" t="e">
        <f t="shared" si="1036"/>
        <v>#N/A</v>
      </c>
      <c r="AN2343" s="104" t="e">
        <f t="shared" si="1020"/>
        <v>#N/A</v>
      </c>
      <c r="AO2343" s="104" t="e">
        <f t="shared" si="1021"/>
        <v>#N/A</v>
      </c>
      <c r="AP2343" s="104" t="e">
        <f t="shared" si="1022"/>
        <v>#N/A</v>
      </c>
      <c r="AQ2343" s="104" t="e">
        <f t="shared" si="1023"/>
        <v>#N/A</v>
      </c>
      <c r="AR2343" s="105" t="str">
        <f t="shared" si="1015"/>
        <v/>
      </c>
      <c r="AS2343" s="105" t="str">
        <f t="shared" si="1016"/>
        <v/>
      </c>
      <c r="AT2343" s="108" t="str">
        <f t="shared" si="1017"/>
        <v/>
      </c>
      <c r="AU2343" s="108" t="str">
        <f t="shared" si="1018"/>
        <v/>
      </c>
      <c r="AV2343" s="107" t="str">
        <f>IF(ISNUMBER(O2343),IF(VLOOKUP($A2343,Stand!C:J,8,FALSE)="Short",AT2343,AU2343),"")</f>
        <v/>
      </c>
      <c r="AW2343" s="109" t="str">
        <f t="shared" si="1024"/>
        <v/>
      </c>
      <c r="AX2343" s="109" t="str">
        <f t="shared" si="1025"/>
        <v/>
      </c>
      <c r="AY2343" s="112" t="str">
        <f>IF(ISNUMBER(O2343),IF(AND(VLOOKUP($D2343,Merchantability!$B:$C,2,0)="Yes",$E2343&gt;=VLOOKUP($D2343,Merchantability!$B:$D,3,0),$E2343&lt;=VLOOKUP($D2343,Merchantability!$B:$E,4,0)),(AV2343*O2343)*(1-$H2343/100),""),"")</f>
        <v/>
      </c>
      <c r="AZ2343" s="116"/>
      <c r="BA2343" s="116"/>
      <c r="BB2343" s="116"/>
      <c r="BE2343" s="62"/>
      <c r="BF2343" s="63"/>
    </row>
    <row r="2344" spans="1:58" ht="12.75" customHeight="1" x14ac:dyDescent="0.25">
      <c r="A2344" s="334"/>
      <c r="B2344" s="334"/>
      <c r="C2344" s="332"/>
      <c r="D2344" s="334"/>
      <c r="E2344" s="335"/>
      <c r="F2344" s="334"/>
      <c r="G2344" s="332"/>
      <c r="H2344" s="332"/>
      <c r="I2344" s="334"/>
      <c r="J2344" s="336"/>
      <c r="K2344" s="332"/>
      <c r="L2344" s="332"/>
      <c r="M2344" s="76"/>
      <c r="N2344" s="103" t="str">
        <f>IF(A2344="","",VLOOKUP(A2344,Stand!C:K,9,0))</f>
        <v/>
      </c>
      <c r="O2344" s="104" t="str">
        <f t="shared" si="1010"/>
        <v/>
      </c>
      <c r="P2344" s="105" t="str">
        <f t="shared" si="1011"/>
        <v/>
      </c>
      <c r="Q2344" s="105" t="str">
        <f t="shared" si="1026"/>
        <v/>
      </c>
      <c r="R2344" s="103" t="str">
        <f t="shared" si="1012"/>
        <v/>
      </c>
      <c r="S2344" s="103" t="str">
        <f t="shared" si="1013"/>
        <v/>
      </c>
      <c r="T2344" s="106" t="str">
        <f t="shared" si="1027"/>
        <v/>
      </c>
      <c r="U2344" s="106" t="str">
        <f t="shared" si="1028"/>
        <v/>
      </c>
      <c r="V2344" s="106" t="str">
        <f t="shared" si="1029"/>
        <v/>
      </c>
      <c r="W2344" s="105" t="str">
        <f t="shared" si="1014"/>
        <v/>
      </c>
      <c r="X2344" s="104" t="str">
        <f t="shared" si="1019"/>
        <v/>
      </c>
      <c r="Y2344" s="104" t="str">
        <f t="array" ref="Y2344">IFERROR(IF(ISNUMBER(O2344),IF(COUNT(IF(A2344=$A$2:$A$2427,IF(D2344=$D$2:$D$2427,IF($X$2:$X$2427&gt;0,1))))&gt;0,SUM(IF(A2344=$A$2:$A$2427,IF(D2344=$D$2:$D$2427,$X$2:$X$2427)))/COUNT(IF(A2344=$A$2:$A$2427,IF(D2344=$D$2:$D$2427,IF(ISNUMBER($X$2:$X$2427),1)))),0),""),0)</f>
        <v/>
      </c>
      <c r="Z2344" s="104" t="str">
        <f>IF(ISNUMBER(O2344),IF(I2344&gt;0,(10^(VLOOKUP(D2344,'Species Codes'!B:C,2,0)+VLOOKUP(D2344,'Species Codes'!B:D,3,0)*LOG(E2344)+VLOOKUP(D2344,'Species Codes'!B:E,4,0)*LOG(I2344))),0),"")</f>
        <v/>
      </c>
      <c r="AA2344" s="104" t="str">
        <f>IFERROR((VLOOKUP(D2344,'Species Codes'!B:G,6,0)*Z2344)/2000,"")</f>
        <v/>
      </c>
      <c r="AB2344" s="104" t="e">
        <f>IF(Z2344&gt;0,((IF(OR(D2344="DF",D2344="RA")=TRUE,EXP(VLOOKUP(D2344,'Species Codes'!B:I,8,0)+VLOOKUP(D2344,'Species Codes'!B:J,9,0)*(LN((E2344*2.54)))),IF(OR(D2344="PY",D2344="RC",D2344="WH",D2344="NF")=TRUE,VLOOKUP(D2344,'Species Codes'!B:I,8,0)+VLOOKUP(D2344,'Species Codes'!B:J,9,0)*((E2344*2.54)^2)*(I2344*0.3048),IF(OR(D2344="MD",D2344="BM",D2344="GA")=TRUE,((VLOOKUP(D2344,'Species Codes'!B:I,8,0)*(((((E2344*2.54)+VLOOKUP(D2344,'Species Codes'!B:J,9,0))/VLOOKUP(D2344,'Species Codes'!B:K,10,0))^VLOOKUP(D2344,'Species Codes'!B:L,11,0))*((I2344*0.3048)^VLOOKUP(D2344,'Species Codes'!B:M,12,0))))-(VLOOKUP(D2344,'Species Codes'!B:I,8,0)*((((E2344*2.54)^VLOOKUP(D2344,'Species Codes'!B:L,11,0))*((I2344*0.3048)^VLOOKUP(D2344,'Species Codes'!B:M,12,0))))))*35.3*VLOOKUP(D2344,'Species Codes'!B:G,6,0)/2.2046,VLOOKUP(D2344,'Species Codes'!B:I,8,0)+VLOOKUP(D2344,'Species Codes'!B:J,9,0)*(((E2344*2.54)/100)^2)*(I2344*0.3048)))))*0.0011023),0)</f>
        <v>#N/A</v>
      </c>
      <c r="AC2344" s="104" t="e">
        <f>IF(Z2344&gt;0,((IF(OR(D2344="RA",D2344="OA",D2344="OT",D2344="UN",D2344="PC"),EXP(VLOOKUP(D2344,'Species Codes'!B:O,14,0)+VLOOKUP(D2344,'Species Codes'!B:P,15,0)*LN((E2344*2.54)))-EXP(VLOOKUP(D2344,'Species Codes'!B:O,14,0)+VLOOKUP(D2344,'Species Codes'!B:P,15,0)*LN((E2344*2.54)))*(1/(VLOOKUP(D2344,'Species Codes'!B:Q,16,0)+VLOOKUP(D2344,'Species Codes'!B:R,17,0)*((E2344*2.54)^VLOOKUP(D2344,'Species Codes'!B:S,18,0)))),IF(OR(D2344="BM",D2344="MD",D2344="OA"),EXP(VLOOKUP(D2344,'Species Codes'!B:O,14,0)+VLOOKUP(D2344,'Species Codes'!B:P,15,0)*LN((E2344*2.54)))*(1-(1/(VLOOKUP(D2344,'Species Codes'!B:Q,16,0)+VLOOKUP(D2344,'Species Codes'!B:R,17,0)*((E2344*2.54)^VLOOKUP(D2344,'Species Codes'!B:S,18,0)))))/1000,IF(D2344="DF",EXP(VLOOKUP(D2344,'Species Codes'!B:O,14,0)+VLOOKUP(D2344,'Species Codes'!B:P,15,0)*LN((E2344*2.54))),VLOOKUP(D2344,'Species Codes'!B:O,14,0)+VLOOKUP(D2344,'Species Codes'!B:P,15,0)*(((E2344*2.54)/100)^2)*(I2344*0.3048)))))*0.0011023),0)</f>
        <v>#N/A</v>
      </c>
      <c r="AD2344" s="104" t="e">
        <f t="shared" si="1030"/>
        <v>#N/A</v>
      </c>
      <c r="AE2344" s="104" t="e">
        <f t="shared" si="1031"/>
        <v>#N/A</v>
      </c>
      <c r="AF2344" s="104" t="e">
        <f>IF(AND(VLOOKUP($D2344,Merchantability!$B:$C,2,0)="Yes",$E2344&gt;=VLOOKUP($D2344,Merchantability!$B:$D,3,0),$E2344&lt;=VLOOKUP($D2344,Merchantability!$B:$E,4,0)),AA2344,0)</f>
        <v>#N/A</v>
      </c>
      <c r="AG2344" s="104" t="e">
        <f>IF(AND(VLOOKUP($D2344,Merchantability!$B:$C,2,0)="Yes",$E2344&gt;=VLOOKUP($D2344,Merchantability!$B:$D,3,0),$E2344&lt;=VLOOKUP($D2344,Merchantability!$B:$E,4,0)),AB2344,0)</f>
        <v>#N/A</v>
      </c>
      <c r="AH2344" s="104" t="e">
        <f>IF(AND(VLOOKUP($D2344,Merchantability!$B:$C,2,0)="Yes",$E2344&gt;=VLOOKUP($D2344,Merchantability!$B:$D,3,0),$E2344&lt;=VLOOKUP($D2344,Merchantability!$B:$E,4,0)),AC2344,0)</f>
        <v>#N/A</v>
      </c>
      <c r="AI2344" s="104" t="e">
        <f t="shared" si="1032"/>
        <v>#N/A</v>
      </c>
      <c r="AJ2344" s="104" t="e">
        <f t="shared" si="1033"/>
        <v>#VALUE!</v>
      </c>
      <c r="AK2344" s="104" t="e">
        <f t="shared" si="1034"/>
        <v>#N/A</v>
      </c>
      <c r="AL2344" s="104" t="e">
        <f t="shared" si="1035"/>
        <v>#N/A</v>
      </c>
      <c r="AM2344" s="104" t="e">
        <f t="shared" si="1036"/>
        <v>#N/A</v>
      </c>
      <c r="AN2344" s="104" t="e">
        <f t="shared" si="1020"/>
        <v>#N/A</v>
      </c>
      <c r="AO2344" s="104" t="e">
        <f t="shared" si="1021"/>
        <v>#N/A</v>
      </c>
      <c r="AP2344" s="104" t="e">
        <f t="shared" si="1022"/>
        <v>#N/A</v>
      </c>
      <c r="AQ2344" s="104" t="e">
        <f t="shared" si="1023"/>
        <v>#N/A</v>
      </c>
      <c r="AR2344" s="105" t="str">
        <f t="shared" si="1015"/>
        <v/>
      </c>
      <c r="AS2344" s="105" t="str">
        <f t="shared" si="1016"/>
        <v/>
      </c>
      <c r="AT2344" s="108" t="str">
        <f t="shared" si="1017"/>
        <v/>
      </c>
      <c r="AU2344" s="108" t="str">
        <f t="shared" si="1018"/>
        <v/>
      </c>
      <c r="AV2344" s="107" t="str">
        <f>IF(ISNUMBER(O2344),IF(VLOOKUP($A2344,Stand!C:J,8,FALSE)="Short",AT2344,AU2344),"")</f>
        <v/>
      </c>
      <c r="AW2344" s="109" t="str">
        <f t="shared" si="1024"/>
        <v/>
      </c>
      <c r="AX2344" s="109" t="str">
        <f t="shared" si="1025"/>
        <v/>
      </c>
      <c r="AY2344" s="112" t="str">
        <f>IF(ISNUMBER(O2344),IF(AND(VLOOKUP($D2344,Merchantability!$B:$C,2,0)="Yes",$E2344&gt;=VLOOKUP($D2344,Merchantability!$B:$D,3,0),$E2344&lt;=VLOOKUP($D2344,Merchantability!$B:$E,4,0)),(AV2344*O2344)*(1-$H2344/100),""),"")</f>
        <v/>
      </c>
      <c r="AZ2344" s="116"/>
      <c r="BA2344" s="116"/>
      <c r="BB2344" s="116"/>
      <c r="BE2344" s="62"/>
      <c r="BF2344" s="63"/>
    </row>
    <row r="2345" spans="1:58" ht="12.75" customHeight="1" x14ac:dyDescent="0.25">
      <c r="A2345" s="334"/>
      <c r="B2345" s="334"/>
      <c r="C2345" s="332"/>
      <c r="D2345" s="334"/>
      <c r="E2345" s="335"/>
      <c r="F2345" s="334"/>
      <c r="G2345" s="332"/>
      <c r="H2345" s="332"/>
      <c r="I2345" s="334"/>
      <c r="J2345" s="336"/>
      <c r="K2345" s="332"/>
      <c r="L2345" s="332"/>
      <c r="M2345" s="76"/>
      <c r="N2345" s="103" t="str">
        <f>IF(A2345="","",VLOOKUP(A2345,Stand!C:K,9,0))</f>
        <v/>
      </c>
      <c r="O2345" s="104" t="str">
        <f t="shared" si="1010"/>
        <v/>
      </c>
      <c r="P2345" s="105" t="str">
        <f t="shared" si="1011"/>
        <v/>
      </c>
      <c r="Q2345" s="105" t="str">
        <f t="shared" si="1026"/>
        <v/>
      </c>
      <c r="R2345" s="103" t="str">
        <f t="shared" si="1012"/>
        <v/>
      </c>
      <c r="S2345" s="103" t="str">
        <f t="shared" si="1013"/>
        <v/>
      </c>
      <c r="T2345" s="106" t="str">
        <f t="shared" si="1027"/>
        <v/>
      </c>
      <c r="U2345" s="106" t="str">
        <f t="shared" si="1028"/>
        <v/>
      </c>
      <c r="V2345" s="106" t="str">
        <f t="shared" si="1029"/>
        <v/>
      </c>
      <c r="W2345" s="105" t="str">
        <f t="shared" si="1014"/>
        <v/>
      </c>
      <c r="X2345" s="104" t="str">
        <f t="shared" si="1019"/>
        <v/>
      </c>
      <c r="Y2345" s="104" t="str">
        <f t="array" ref="Y2345">IFERROR(IF(ISNUMBER(O2345),IF(COUNT(IF(A2345=$A$2:$A$2427,IF(D2345=$D$2:$D$2427,IF($X$2:$X$2427&gt;0,1))))&gt;0,SUM(IF(A2345=$A$2:$A$2427,IF(D2345=$D$2:$D$2427,$X$2:$X$2427)))/COUNT(IF(A2345=$A$2:$A$2427,IF(D2345=$D$2:$D$2427,IF(ISNUMBER($X$2:$X$2427),1)))),0),""),0)</f>
        <v/>
      </c>
      <c r="Z2345" s="104" t="str">
        <f>IF(ISNUMBER(O2345),IF(I2345&gt;0,(10^(VLOOKUP(D2345,'Species Codes'!B:C,2,0)+VLOOKUP(D2345,'Species Codes'!B:D,3,0)*LOG(E2345)+VLOOKUP(D2345,'Species Codes'!B:E,4,0)*LOG(I2345))),0),"")</f>
        <v/>
      </c>
      <c r="AA2345" s="104" t="str">
        <f>IFERROR((VLOOKUP(D2345,'Species Codes'!B:G,6,0)*Z2345)/2000,"")</f>
        <v/>
      </c>
      <c r="AB2345" s="104" t="e">
        <f>IF(Z2345&gt;0,((IF(OR(D2345="DF",D2345="RA")=TRUE,EXP(VLOOKUP(D2345,'Species Codes'!B:I,8,0)+VLOOKUP(D2345,'Species Codes'!B:J,9,0)*(LN((E2345*2.54)))),IF(OR(D2345="PY",D2345="RC",D2345="WH",D2345="NF")=TRUE,VLOOKUP(D2345,'Species Codes'!B:I,8,0)+VLOOKUP(D2345,'Species Codes'!B:J,9,0)*((E2345*2.54)^2)*(I2345*0.3048),IF(OR(D2345="MD",D2345="BM",D2345="GA")=TRUE,((VLOOKUP(D2345,'Species Codes'!B:I,8,0)*(((((E2345*2.54)+VLOOKUP(D2345,'Species Codes'!B:J,9,0))/VLOOKUP(D2345,'Species Codes'!B:K,10,0))^VLOOKUP(D2345,'Species Codes'!B:L,11,0))*((I2345*0.3048)^VLOOKUP(D2345,'Species Codes'!B:M,12,0))))-(VLOOKUP(D2345,'Species Codes'!B:I,8,0)*((((E2345*2.54)^VLOOKUP(D2345,'Species Codes'!B:L,11,0))*((I2345*0.3048)^VLOOKUP(D2345,'Species Codes'!B:M,12,0))))))*35.3*VLOOKUP(D2345,'Species Codes'!B:G,6,0)/2.2046,VLOOKUP(D2345,'Species Codes'!B:I,8,0)+VLOOKUP(D2345,'Species Codes'!B:J,9,0)*(((E2345*2.54)/100)^2)*(I2345*0.3048)))))*0.0011023),0)</f>
        <v>#N/A</v>
      </c>
      <c r="AC2345" s="104" t="e">
        <f>IF(Z2345&gt;0,((IF(OR(D2345="RA",D2345="OA",D2345="OT",D2345="UN",D2345="PC"),EXP(VLOOKUP(D2345,'Species Codes'!B:O,14,0)+VLOOKUP(D2345,'Species Codes'!B:P,15,0)*LN((E2345*2.54)))-EXP(VLOOKUP(D2345,'Species Codes'!B:O,14,0)+VLOOKUP(D2345,'Species Codes'!B:P,15,0)*LN((E2345*2.54)))*(1/(VLOOKUP(D2345,'Species Codes'!B:Q,16,0)+VLOOKUP(D2345,'Species Codes'!B:R,17,0)*((E2345*2.54)^VLOOKUP(D2345,'Species Codes'!B:S,18,0)))),IF(OR(D2345="BM",D2345="MD",D2345="OA"),EXP(VLOOKUP(D2345,'Species Codes'!B:O,14,0)+VLOOKUP(D2345,'Species Codes'!B:P,15,0)*LN((E2345*2.54)))*(1-(1/(VLOOKUP(D2345,'Species Codes'!B:Q,16,0)+VLOOKUP(D2345,'Species Codes'!B:R,17,0)*((E2345*2.54)^VLOOKUP(D2345,'Species Codes'!B:S,18,0)))))/1000,IF(D2345="DF",EXP(VLOOKUP(D2345,'Species Codes'!B:O,14,0)+VLOOKUP(D2345,'Species Codes'!B:P,15,0)*LN((E2345*2.54))),VLOOKUP(D2345,'Species Codes'!B:O,14,0)+VLOOKUP(D2345,'Species Codes'!B:P,15,0)*(((E2345*2.54)/100)^2)*(I2345*0.3048)))))*0.0011023),0)</f>
        <v>#N/A</v>
      </c>
      <c r="AD2345" s="104" t="e">
        <f t="shared" si="1030"/>
        <v>#N/A</v>
      </c>
      <c r="AE2345" s="104" t="e">
        <f t="shared" si="1031"/>
        <v>#N/A</v>
      </c>
      <c r="AF2345" s="104" t="e">
        <f>IF(AND(VLOOKUP($D2345,Merchantability!$B:$C,2,0)="Yes",$E2345&gt;=VLOOKUP($D2345,Merchantability!$B:$D,3,0),$E2345&lt;=VLOOKUP($D2345,Merchantability!$B:$E,4,0)),AA2345,0)</f>
        <v>#N/A</v>
      </c>
      <c r="AG2345" s="104" t="e">
        <f>IF(AND(VLOOKUP($D2345,Merchantability!$B:$C,2,0)="Yes",$E2345&gt;=VLOOKUP($D2345,Merchantability!$B:$D,3,0),$E2345&lt;=VLOOKUP($D2345,Merchantability!$B:$E,4,0)),AB2345,0)</f>
        <v>#N/A</v>
      </c>
      <c r="AH2345" s="104" t="e">
        <f>IF(AND(VLOOKUP($D2345,Merchantability!$B:$C,2,0)="Yes",$E2345&gt;=VLOOKUP($D2345,Merchantability!$B:$D,3,0),$E2345&lt;=VLOOKUP($D2345,Merchantability!$B:$E,4,0)),AC2345,0)</f>
        <v>#N/A</v>
      </c>
      <c r="AI2345" s="104" t="e">
        <f t="shared" si="1032"/>
        <v>#N/A</v>
      </c>
      <c r="AJ2345" s="104" t="e">
        <f t="shared" si="1033"/>
        <v>#VALUE!</v>
      </c>
      <c r="AK2345" s="104" t="e">
        <f t="shared" si="1034"/>
        <v>#N/A</v>
      </c>
      <c r="AL2345" s="104" t="e">
        <f t="shared" si="1035"/>
        <v>#N/A</v>
      </c>
      <c r="AM2345" s="104" t="e">
        <f t="shared" si="1036"/>
        <v>#N/A</v>
      </c>
      <c r="AN2345" s="104" t="e">
        <f t="shared" si="1020"/>
        <v>#N/A</v>
      </c>
      <c r="AO2345" s="104" t="e">
        <f t="shared" si="1021"/>
        <v>#N/A</v>
      </c>
      <c r="AP2345" s="104" t="e">
        <f t="shared" si="1022"/>
        <v>#N/A</v>
      </c>
      <c r="AQ2345" s="104" t="e">
        <f t="shared" si="1023"/>
        <v>#N/A</v>
      </c>
      <c r="AR2345" s="105" t="str">
        <f t="shared" si="1015"/>
        <v/>
      </c>
      <c r="AS2345" s="105" t="str">
        <f t="shared" si="1016"/>
        <v/>
      </c>
      <c r="AT2345" s="108" t="str">
        <f t="shared" si="1017"/>
        <v/>
      </c>
      <c r="AU2345" s="108" t="str">
        <f t="shared" si="1018"/>
        <v/>
      </c>
      <c r="AV2345" s="107" t="str">
        <f>IF(ISNUMBER(O2345),IF(VLOOKUP($A2345,Stand!C:J,8,FALSE)="Short",AT2345,AU2345),"")</f>
        <v/>
      </c>
      <c r="AW2345" s="109" t="str">
        <f t="shared" si="1024"/>
        <v/>
      </c>
      <c r="AX2345" s="109" t="str">
        <f t="shared" si="1025"/>
        <v/>
      </c>
      <c r="AY2345" s="112" t="str">
        <f>IF(ISNUMBER(O2345),IF(AND(VLOOKUP($D2345,Merchantability!$B:$C,2,0)="Yes",$E2345&gt;=VLOOKUP($D2345,Merchantability!$B:$D,3,0),$E2345&lt;=VLOOKUP($D2345,Merchantability!$B:$E,4,0)),(AV2345*O2345)*(1-$H2345/100),""),"")</f>
        <v/>
      </c>
      <c r="AZ2345" s="116"/>
      <c r="BA2345" s="116"/>
      <c r="BB2345" s="116"/>
      <c r="BE2345" s="62"/>
      <c r="BF2345" s="63"/>
    </row>
    <row r="2346" spans="1:58" ht="12.75" customHeight="1" x14ac:dyDescent="0.25">
      <c r="A2346" s="334"/>
      <c r="B2346" s="334"/>
      <c r="C2346" s="332"/>
      <c r="D2346" s="334"/>
      <c r="E2346" s="335"/>
      <c r="F2346" s="334"/>
      <c r="G2346" s="332"/>
      <c r="H2346" s="332"/>
      <c r="I2346" s="334"/>
      <c r="J2346" s="336"/>
      <c r="K2346" s="332"/>
      <c r="L2346" s="332"/>
      <c r="M2346" s="76"/>
      <c r="N2346" s="103" t="str">
        <f>IF(A2346="","",VLOOKUP(A2346,Stand!C:K,9,0))</f>
        <v/>
      </c>
      <c r="O2346" s="104" t="str">
        <f t="shared" si="1010"/>
        <v/>
      </c>
      <c r="P2346" s="105" t="str">
        <f t="shared" si="1011"/>
        <v/>
      </c>
      <c r="Q2346" s="105" t="str">
        <f t="shared" si="1026"/>
        <v/>
      </c>
      <c r="R2346" s="103" t="str">
        <f t="shared" si="1012"/>
        <v/>
      </c>
      <c r="S2346" s="103" t="str">
        <f t="shared" si="1013"/>
        <v/>
      </c>
      <c r="T2346" s="106" t="str">
        <f t="shared" si="1027"/>
        <v/>
      </c>
      <c r="U2346" s="106" t="str">
        <f t="shared" si="1028"/>
        <v/>
      </c>
      <c r="V2346" s="106" t="str">
        <f t="shared" si="1029"/>
        <v/>
      </c>
      <c r="W2346" s="105" t="str">
        <f t="shared" si="1014"/>
        <v/>
      </c>
      <c r="X2346" s="104" t="str">
        <f t="shared" si="1019"/>
        <v/>
      </c>
      <c r="Y2346" s="104" t="str">
        <f t="array" ref="Y2346">IFERROR(IF(ISNUMBER(O2346),IF(COUNT(IF(A2346=$A$2:$A$2427,IF(D2346=$D$2:$D$2427,IF($X$2:$X$2427&gt;0,1))))&gt;0,SUM(IF(A2346=$A$2:$A$2427,IF(D2346=$D$2:$D$2427,$X$2:$X$2427)))/COUNT(IF(A2346=$A$2:$A$2427,IF(D2346=$D$2:$D$2427,IF(ISNUMBER($X$2:$X$2427),1)))),0),""),0)</f>
        <v/>
      </c>
      <c r="Z2346" s="104" t="str">
        <f>IF(ISNUMBER(O2346),IF(I2346&gt;0,(10^(VLOOKUP(D2346,'Species Codes'!B:C,2,0)+VLOOKUP(D2346,'Species Codes'!B:D,3,0)*LOG(E2346)+VLOOKUP(D2346,'Species Codes'!B:E,4,0)*LOG(I2346))),0),"")</f>
        <v/>
      </c>
      <c r="AA2346" s="104" t="str">
        <f>IFERROR((VLOOKUP(D2346,'Species Codes'!B:G,6,0)*Z2346)/2000,"")</f>
        <v/>
      </c>
      <c r="AB2346" s="104" t="e">
        <f>IF(Z2346&gt;0,((IF(OR(D2346="DF",D2346="RA")=TRUE,EXP(VLOOKUP(D2346,'Species Codes'!B:I,8,0)+VLOOKUP(D2346,'Species Codes'!B:J,9,0)*(LN((E2346*2.54)))),IF(OR(D2346="PY",D2346="RC",D2346="WH",D2346="NF")=TRUE,VLOOKUP(D2346,'Species Codes'!B:I,8,0)+VLOOKUP(D2346,'Species Codes'!B:J,9,0)*((E2346*2.54)^2)*(I2346*0.3048),IF(OR(D2346="MD",D2346="BM",D2346="GA")=TRUE,((VLOOKUP(D2346,'Species Codes'!B:I,8,0)*(((((E2346*2.54)+VLOOKUP(D2346,'Species Codes'!B:J,9,0))/VLOOKUP(D2346,'Species Codes'!B:K,10,0))^VLOOKUP(D2346,'Species Codes'!B:L,11,0))*((I2346*0.3048)^VLOOKUP(D2346,'Species Codes'!B:M,12,0))))-(VLOOKUP(D2346,'Species Codes'!B:I,8,0)*((((E2346*2.54)^VLOOKUP(D2346,'Species Codes'!B:L,11,0))*((I2346*0.3048)^VLOOKUP(D2346,'Species Codes'!B:M,12,0))))))*35.3*VLOOKUP(D2346,'Species Codes'!B:G,6,0)/2.2046,VLOOKUP(D2346,'Species Codes'!B:I,8,0)+VLOOKUP(D2346,'Species Codes'!B:J,9,0)*(((E2346*2.54)/100)^2)*(I2346*0.3048)))))*0.0011023),0)</f>
        <v>#N/A</v>
      </c>
      <c r="AC2346" s="104" t="e">
        <f>IF(Z2346&gt;0,((IF(OR(D2346="RA",D2346="OA",D2346="OT",D2346="UN",D2346="PC"),EXP(VLOOKUP(D2346,'Species Codes'!B:O,14,0)+VLOOKUP(D2346,'Species Codes'!B:P,15,0)*LN((E2346*2.54)))-EXP(VLOOKUP(D2346,'Species Codes'!B:O,14,0)+VLOOKUP(D2346,'Species Codes'!B:P,15,0)*LN((E2346*2.54)))*(1/(VLOOKUP(D2346,'Species Codes'!B:Q,16,0)+VLOOKUP(D2346,'Species Codes'!B:R,17,0)*((E2346*2.54)^VLOOKUP(D2346,'Species Codes'!B:S,18,0)))),IF(OR(D2346="BM",D2346="MD",D2346="OA"),EXP(VLOOKUP(D2346,'Species Codes'!B:O,14,0)+VLOOKUP(D2346,'Species Codes'!B:P,15,0)*LN((E2346*2.54)))*(1-(1/(VLOOKUP(D2346,'Species Codes'!B:Q,16,0)+VLOOKUP(D2346,'Species Codes'!B:R,17,0)*((E2346*2.54)^VLOOKUP(D2346,'Species Codes'!B:S,18,0)))))/1000,IF(D2346="DF",EXP(VLOOKUP(D2346,'Species Codes'!B:O,14,0)+VLOOKUP(D2346,'Species Codes'!B:P,15,0)*LN((E2346*2.54))),VLOOKUP(D2346,'Species Codes'!B:O,14,0)+VLOOKUP(D2346,'Species Codes'!B:P,15,0)*(((E2346*2.54)/100)^2)*(I2346*0.3048)))))*0.0011023),0)</f>
        <v>#N/A</v>
      </c>
      <c r="AD2346" s="104" t="e">
        <f t="shared" si="1030"/>
        <v>#N/A</v>
      </c>
      <c r="AE2346" s="104" t="e">
        <f t="shared" si="1031"/>
        <v>#N/A</v>
      </c>
      <c r="AF2346" s="104" t="e">
        <f>IF(AND(VLOOKUP($D2346,Merchantability!$B:$C,2,0)="Yes",$E2346&gt;=VLOOKUP($D2346,Merchantability!$B:$D,3,0),$E2346&lt;=VLOOKUP($D2346,Merchantability!$B:$E,4,0)),AA2346,0)</f>
        <v>#N/A</v>
      </c>
      <c r="AG2346" s="104" t="e">
        <f>IF(AND(VLOOKUP($D2346,Merchantability!$B:$C,2,0)="Yes",$E2346&gt;=VLOOKUP($D2346,Merchantability!$B:$D,3,0),$E2346&lt;=VLOOKUP($D2346,Merchantability!$B:$E,4,0)),AB2346,0)</f>
        <v>#N/A</v>
      </c>
      <c r="AH2346" s="104" t="e">
        <f>IF(AND(VLOOKUP($D2346,Merchantability!$B:$C,2,0)="Yes",$E2346&gt;=VLOOKUP($D2346,Merchantability!$B:$D,3,0),$E2346&lt;=VLOOKUP($D2346,Merchantability!$B:$E,4,0)),AC2346,0)</f>
        <v>#N/A</v>
      </c>
      <c r="AI2346" s="104" t="e">
        <f t="shared" si="1032"/>
        <v>#N/A</v>
      </c>
      <c r="AJ2346" s="104" t="e">
        <f t="shared" si="1033"/>
        <v>#VALUE!</v>
      </c>
      <c r="AK2346" s="104" t="e">
        <f t="shared" si="1034"/>
        <v>#N/A</v>
      </c>
      <c r="AL2346" s="104" t="e">
        <f t="shared" si="1035"/>
        <v>#N/A</v>
      </c>
      <c r="AM2346" s="104" t="e">
        <f t="shared" si="1036"/>
        <v>#N/A</v>
      </c>
      <c r="AN2346" s="104" t="e">
        <f t="shared" si="1020"/>
        <v>#N/A</v>
      </c>
      <c r="AO2346" s="104" t="e">
        <f t="shared" si="1021"/>
        <v>#N/A</v>
      </c>
      <c r="AP2346" s="104" t="e">
        <f t="shared" si="1022"/>
        <v>#N/A</v>
      </c>
      <c r="AQ2346" s="104" t="e">
        <f t="shared" si="1023"/>
        <v>#N/A</v>
      </c>
      <c r="AR2346" s="105" t="str">
        <f t="shared" si="1015"/>
        <v/>
      </c>
      <c r="AS2346" s="105" t="str">
        <f t="shared" si="1016"/>
        <v/>
      </c>
      <c r="AT2346" s="108" t="str">
        <f t="shared" si="1017"/>
        <v/>
      </c>
      <c r="AU2346" s="108" t="str">
        <f t="shared" si="1018"/>
        <v/>
      </c>
      <c r="AV2346" s="107" t="str">
        <f>IF(ISNUMBER(O2346),IF(VLOOKUP($A2346,Stand!C:J,8,FALSE)="Short",AT2346,AU2346),"")</f>
        <v/>
      </c>
      <c r="AW2346" s="109" t="str">
        <f t="shared" si="1024"/>
        <v/>
      </c>
      <c r="AX2346" s="109" t="str">
        <f t="shared" si="1025"/>
        <v/>
      </c>
      <c r="AY2346" s="112" t="str">
        <f>IF(ISNUMBER(O2346),IF(AND(VLOOKUP($D2346,Merchantability!$B:$C,2,0)="Yes",$E2346&gt;=VLOOKUP($D2346,Merchantability!$B:$D,3,0),$E2346&lt;=VLOOKUP($D2346,Merchantability!$B:$E,4,0)),(AV2346*O2346)*(1-$H2346/100),""),"")</f>
        <v/>
      </c>
      <c r="AZ2346" s="116"/>
      <c r="BA2346" s="116"/>
      <c r="BB2346" s="116"/>
      <c r="BE2346" s="62"/>
      <c r="BF2346" s="63"/>
    </row>
    <row r="2347" spans="1:58" ht="12.75" customHeight="1" x14ac:dyDescent="0.25">
      <c r="A2347" s="334"/>
      <c r="B2347" s="334"/>
      <c r="C2347" s="332"/>
      <c r="D2347" s="334"/>
      <c r="E2347" s="335"/>
      <c r="F2347" s="334"/>
      <c r="G2347" s="332"/>
      <c r="H2347" s="332"/>
      <c r="I2347" s="334"/>
      <c r="J2347" s="336"/>
      <c r="K2347" s="332"/>
      <c r="L2347" s="332"/>
      <c r="M2347" s="76"/>
      <c r="N2347" s="103" t="str">
        <f>IF(A2347="","",VLOOKUP(A2347,Stand!C:K,9,0))</f>
        <v/>
      </c>
      <c r="O2347" s="104" t="str">
        <f t="shared" si="1010"/>
        <v/>
      </c>
      <c r="P2347" s="105" t="str">
        <f t="shared" si="1011"/>
        <v/>
      </c>
      <c r="Q2347" s="105" t="str">
        <f t="shared" si="1026"/>
        <v/>
      </c>
      <c r="R2347" s="103" t="str">
        <f t="shared" si="1012"/>
        <v/>
      </c>
      <c r="S2347" s="103" t="str">
        <f t="shared" si="1013"/>
        <v/>
      </c>
      <c r="T2347" s="106" t="str">
        <f t="shared" si="1027"/>
        <v/>
      </c>
      <c r="U2347" s="106" t="str">
        <f t="shared" si="1028"/>
        <v/>
      </c>
      <c r="V2347" s="106" t="str">
        <f t="shared" si="1029"/>
        <v/>
      </c>
      <c r="W2347" s="105" t="str">
        <f t="shared" si="1014"/>
        <v/>
      </c>
      <c r="X2347" s="104" t="str">
        <f t="shared" si="1019"/>
        <v/>
      </c>
      <c r="Y2347" s="104" t="str">
        <f t="array" ref="Y2347">IFERROR(IF(ISNUMBER(O2347),IF(COUNT(IF(A2347=$A$2:$A$2427,IF(D2347=$D$2:$D$2427,IF($X$2:$X$2427&gt;0,1))))&gt;0,SUM(IF(A2347=$A$2:$A$2427,IF(D2347=$D$2:$D$2427,$X$2:$X$2427)))/COUNT(IF(A2347=$A$2:$A$2427,IF(D2347=$D$2:$D$2427,IF(ISNUMBER($X$2:$X$2427),1)))),0),""),0)</f>
        <v/>
      </c>
      <c r="Z2347" s="104" t="str">
        <f>IF(ISNUMBER(O2347),IF(I2347&gt;0,(10^(VLOOKUP(D2347,'Species Codes'!B:C,2,0)+VLOOKUP(D2347,'Species Codes'!B:D,3,0)*LOG(E2347)+VLOOKUP(D2347,'Species Codes'!B:E,4,0)*LOG(I2347))),0),"")</f>
        <v/>
      </c>
      <c r="AA2347" s="104" t="str">
        <f>IFERROR((VLOOKUP(D2347,'Species Codes'!B:G,6,0)*Z2347)/2000,"")</f>
        <v/>
      </c>
      <c r="AB2347" s="104" t="e">
        <f>IF(Z2347&gt;0,((IF(OR(D2347="DF",D2347="RA")=TRUE,EXP(VLOOKUP(D2347,'Species Codes'!B:I,8,0)+VLOOKUP(D2347,'Species Codes'!B:J,9,0)*(LN((E2347*2.54)))),IF(OR(D2347="PY",D2347="RC",D2347="WH",D2347="NF")=TRUE,VLOOKUP(D2347,'Species Codes'!B:I,8,0)+VLOOKUP(D2347,'Species Codes'!B:J,9,0)*((E2347*2.54)^2)*(I2347*0.3048),IF(OR(D2347="MD",D2347="BM",D2347="GA")=TRUE,((VLOOKUP(D2347,'Species Codes'!B:I,8,0)*(((((E2347*2.54)+VLOOKUP(D2347,'Species Codes'!B:J,9,0))/VLOOKUP(D2347,'Species Codes'!B:K,10,0))^VLOOKUP(D2347,'Species Codes'!B:L,11,0))*((I2347*0.3048)^VLOOKUP(D2347,'Species Codes'!B:M,12,0))))-(VLOOKUP(D2347,'Species Codes'!B:I,8,0)*((((E2347*2.54)^VLOOKUP(D2347,'Species Codes'!B:L,11,0))*((I2347*0.3048)^VLOOKUP(D2347,'Species Codes'!B:M,12,0))))))*35.3*VLOOKUP(D2347,'Species Codes'!B:G,6,0)/2.2046,VLOOKUP(D2347,'Species Codes'!B:I,8,0)+VLOOKUP(D2347,'Species Codes'!B:J,9,0)*(((E2347*2.54)/100)^2)*(I2347*0.3048)))))*0.0011023),0)</f>
        <v>#N/A</v>
      </c>
      <c r="AC2347" s="104" t="e">
        <f>IF(Z2347&gt;0,((IF(OR(D2347="RA",D2347="OA",D2347="OT",D2347="UN",D2347="PC"),EXP(VLOOKUP(D2347,'Species Codes'!B:O,14,0)+VLOOKUP(D2347,'Species Codes'!B:P,15,0)*LN((E2347*2.54)))-EXP(VLOOKUP(D2347,'Species Codes'!B:O,14,0)+VLOOKUP(D2347,'Species Codes'!B:P,15,0)*LN((E2347*2.54)))*(1/(VLOOKUP(D2347,'Species Codes'!B:Q,16,0)+VLOOKUP(D2347,'Species Codes'!B:R,17,0)*((E2347*2.54)^VLOOKUP(D2347,'Species Codes'!B:S,18,0)))),IF(OR(D2347="BM",D2347="MD",D2347="OA"),EXP(VLOOKUP(D2347,'Species Codes'!B:O,14,0)+VLOOKUP(D2347,'Species Codes'!B:P,15,0)*LN((E2347*2.54)))*(1-(1/(VLOOKUP(D2347,'Species Codes'!B:Q,16,0)+VLOOKUP(D2347,'Species Codes'!B:R,17,0)*((E2347*2.54)^VLOOKUP(D2347,'Species Codes'!B:S,18,0)))))/1000,IF(D2347="DF",EXP(VLOOKUP(D2347,'Species Codes'!B:O,14,0)+VLOOKUP(D2347,'Species Codes'!B:P,15,0)*LN((E2347*2.54))),VLOOKUP(D2347,'Species Codes'!B:O,14,0)+VLOOKUP(D2347,'Species Codes'!B:P,15,0)*(((E2347*2.54)/100)^2)*(I2347*0.3048)))))*0.0011023),0)</f>
        <v>#N/A</v>
      </c>
      <c r="AD2347" s="104" t="e">
        <f t="shared" si="1030"/>
        <v>#N/A</v>
      </c>
      <c r="AE2347" s="104" t="e">
        <f t="shared" si="1031"/>
        <v>#N/A</v>
      </c>
      <c r="AF2347" s="104" t="e">
        <f>IF(AND(VLOOKUP($D2347,Merchantability!$B:$C,2,0)="Yes",$E2347&gt;=VLOOKUP($D2347,Merchantability!$B:$D,3,0),$E2347&lt;=VLOOKUP($D2347,Merchantability!$B:$E,4,0)),AA2347,0)</f>
        <v>#N/A</v>
      </c>
      <c r="AG2347" s="104" t="e">
        <f>IF(AND(VLOOKUP($D2347,Merchantability!$B:$C,2,0)="Yes",$E2347&gt;=VLOOKUP($D2347,Merchantability!$B:$D,3,0),$E2347&lt;=VLOOKUP($D2347,Merchantability!$B:$E,4,0)),AB2347,0)</f>
        <v>#N/A</v>
      </c>
      <c r="AH2347" s="104" t="e">
        <f>IF(AND(VLOOKUP($D2347,Merchantability!$B:$C,2,0)="Yes",$E2347&gt;=VLOOKUP($D2347,Merchantability!$B:$D,3,0),$E2347&lt;=VLOOKUP($D2347,Merchantability!$B:$E,4,0)),AC2347,0)</f>
        <v>#N/A</v>
      </c>
      <c r="AI2347" s="104" t="e">
        <f t="shared" si="1032"/>
        <v>#N/A</v>
      </c>
      <c r="AJ2347" s="104" t="e">
        <f t="shared" si="1033"/>
        <v>#VALUE!</v>
      </c>
      <c r="AK2347" s="104" t="e">
        <f t="shared" si="1034"/>
        <v>#N/A</v>
      </c>
      <c r="AL2347" s="104" t="e">
        <f t="shared" si="1035"/>
        <v>#N/A</v>
      </c>
      <c r="AM2347" s="104" t="e">
        <f t="shared" si="1036"/>
        <v>#N/A</v>
      </c>
      <c r="AN2347" s="104" t="e">
        <f t="shared" si="1020"/>
        <v>#N/A</v>
      </c>
      <c r="AO2347" s="104" t="e">
        <f t="shared" si="1021"/>
        <v>#N/A</v>
      </c>
      <c r="AP2347" s="104" t="e">
        <f t="shared" si="1022"/>
        <v>#N/A</v>
      </c>
      <c r="AQ2347" s="104" t="e">
        <f t="shared" si="1023"/>
        <v>#N/A</v>
      </c>
      <c r="AR2347" s="105" t="str">
        <f t="shared" si="1015"/>
        <v/>
      </c>
      <c r="AS2347" s="105" t="str">
        <f t="shared" si="1016"/>
        <v/>
      </c>
      <c r="AT2347" s="108" t="str">
        <f t="shared" si="1017"/>
        <v/>
      </c>
      <c r="AU2347" s="108" t="str">
        <f t="shared" si="1018"/>
        <v/>
      </c>
      <c r="AV2347" s="107" t="str">
        <f>IF(ISNUMBER(O2347),IF(VLOOKUP($A2347,Stand!C:J,8,FALSE)="Short",AT2347,AU2347),"")</f>
        <v/>
      </c>
      <c r="AW2347" s="109" t="str">
        <f t="shared" si="1024"/>
        <v/>
      </c>
      <c r="AX2347" s="109" t="str">
        <f t="shared" si="1025"/>
        <v/>
      </c>
      <c r="AY2347" s="112" t="str">
        <f>IF(ISNUMBER(O2347),IF(AND(VLOOKUP($D2347,Merchantability!$B:$C,2,0)="Yes",$E2347&gt;=VLOOKUP($D2347,Merchantability!$B:$D,3,0),$E2347&lt;=VLOOKUP($D2347,Merchantability!$B:$E,4,0)),(AV2347*O2347)*(1-$H2347/100),""),"")</f>
        <v/>
      </c>
      <c r="AZ2347" s="116"/>
      <c r="BA2347" s="116"/>
      <c r="BB2347" s="116"/>
      <c r="BE2347" s="62"/>
      <c r="BF2347" s="63"/>
    </row>
    <row r="2348" spans="1:58" ht="12.75" customHeight="1" x14ac:dyDescent="0.25">
      <c r="A2348" s="334"/>
      <c r="B2348" s="334"/>
      <c r="C2348" s="332"/>
      <c r="D2348" s="334"/>
      <c r="E2348" s="335"/>
      <c r="F2348" s="334"/>
      <c r="G2348" s="332"/>
      <c r="H2348" s="332"/>
      <c r="I2348" s="334"/>
      <c r="J2348" s="336"/>
      <c r="K2348" s="332"/>
      <c r="L2348" s="332"/>
      <c r="M2348" s="76"/>
      <c r="N2348" s="103" t="str">
        <f>IF(A2348="","",VLOOKUP(A2348,Stand!C:K,9,0))</f>
        <v/>
      </c>
      <c r="O2348" s="104" t="str">
        <f t="shared" si="1010"/>
        <v/>
      </c>
      <c r="P2348" s="105" t="str">
        <f t="shared" si="1011"/>
        <v/>
      </c>
      <c r="Q2348" s="105" t="str">
        <f t="shared" si="1026"/>
        <v/>
      </c>
      <c r="R2348" s="103" t="str">
        <f t="shared" si="1012"/>
        <v/>
      </c>
      <c r="S2348" s="103" t="str">
        <f t="shared" si="1013"/>
        <v/>
      </c>
      <c r="T2348" s="106" t="str">
        <f t="shared" si="1027"/>
        <v/>
      </c>
      <c r="U2348" s="106" t="str">
        <f t="shared" si="1028"/>
        <v/>
      </c>
      <c r="V2348" s="106" t="str">
        <f t="shared" si="1029"/>
        <v/>
      </c>
      <c r="W2348" s="105" t="str">
        <f t="shared" si="1014"/>
        <v/>
      </c>
      <c r="X2348" s="104" t="str">
        <f t="shared" si="1019"/>
        <v/>
      </c>
      <c r="Y2348" s="104" t="str">
        <f t="array" ref="Y2348">IFERROR(IF(ISNUMBER(O2348),IF(COUNT(IF(A2348=$A$2:$A$2427,IF(D2348=$D$2:$D$2427,IF($X$2:$X$2427&gt;0,1))))&gt;0,SUM(IF(A2348=$A$2:$A$2427,IF(D2348=$D$2:$D$2427,$X$2:$X$2427)))/COUNT(IF(A2348=$A$2:$A$2427,IF(D2348=$D$2:$D$2427,IF(ISNUMBER($X$2:$X$2427),1)))),0),""),0)</f>
        <v/>
      </c>
      <c r="Z2348" s="104" t="str">
        <f>IF(ISNUMBER(O2348),IF(I2348&gt;0,(10^(VLOOKUP(D2348,'Species Codes'!B:C,2,0)+VLOOKUP(D2348,'Species Codes'!B:D,3,0)*LOG(E2348)+VLOOKUP(D2348,'Species Codes'!B:E,4,0)*LOG(I2348))),0),"")</f>
        <v/>
      </c>
      <c r="AA2348" s="104" t="str">
        <f>IFERROR((VLOOKUP(D2348,'Species Codes'!B:G,6,0)*Z2348)/2000,"")</f>
        <v/>
      </c>
      <c r="AB2348" s="104" t="e">
        <f>IF(Z2348&gt;0,((IF(OR(D2348="DF",D2348="RA")=TRUE,EXP(VLOOKUP(D2348,'Species Codes'!B:I,8,0)+VLOOKUP(D2348,'Species Codes'!B:J,9,0)*(LN((E2348*2.54)))),IF(OR(D2348="PY",D2348="RC",D2348="WH",D2348="NF")=TRUE,VLOOKUP(D2348,'Species Codes'!B:I,8,0)+VLOOKUP(D2348,'Species Codes'!B:J,9,0)*((E2348*2.54)^2)*(I2348*0.3048),IF(OR(D2348="MD",D2348="BM",D2348="GA")=TRUE,((VLOOKUP(D2348,'Species Codes'!B:I,8,0)*(((((E2348*2.54)+VLOOKUP(D2348,'Species Codes'!B:J,9,0))/VLOOKUP(D2348,'Species Codes'!B:K,10,0))^VLOOKUP(D2348,'Species Codes'!B:L,11,0))*((I2348*0.3048)^VLOOKUP(D2348,'Species Codes'!B:M,12,0))))-(VLOOKUP(D2348,'Species Codes'!B:I,8,0)*((((E2348*2.54)^VLOOKUP(D2348,'Species Codes'!B:L,11,0))*((I2348*0.3048)^VLOOKUP(D2348,'Species Codes'!B:M,12,0))))))*35.3*VLOOKUP(D2348,'Species Codes'!B:G,6,0)/2.2046,VLOOKUP(D2348,'Species Codes'!B:I,8,0)+VLOOKUP(D2348,'Species Codes'!B:J,9,0)*(((E2348*2.54)/100)^2)*(I2348*0.3048)))))*0.0011023),0)</f>
        <v>#N/A</v>
      </c>
      <c r="AC2348" s="104" t="e">
        <f>IF(Z2348&gt;0,((IF(OR(D2348="RA",D2348="OA",D2348="OT",D2348="UN",D2348="PC"),EXP(VLOOKUP(D2348,'Species Codes'!B:O,14,0)+VLOOKUP(D2348,'Species Codes'!B:P,15,0)*LN((E2348*2.54)))-EXP(VLOOKUP(D2348,'Species Codes'!B:O,14,0)+VLOOKUP(D2348,'Species Codes'!B:P,15,0)*LN((E2348*2.54)))*(1/(VLOOKUP(D2348,'Species Codes'!B:Q,16,0)+VLOOKUP(D2348,'Species Codes'!B:R,17,0)*((E2348*2.54)^VLOOKUP(D2348,'Species Codes'!B:S,18,0)))),IF(OR(D2348="BM",D2348="MD",D2348="OA"),EXP(VLOOKUP(D2348,'Species Codes'!B:O,14,0)+VLOOKUP(D2348,'Species Codes'!B:P,15,0)*LN((E2348*2.54)))*(1-(1/(VLOOKUP(D2348,'Species Codes'!B:Q,16,0)+VLOOKUP(D2348,'Species Codes'!B:R,17,0)*((E2348*2.54)^VLOOKUP(D2348,'Species Codes'!B:S,18,0)))))/1000,IF(D2348="DF",EXP(VLOOKUP(D2348,'Species Codes'!B:O,14,0)+VLOOKUP(D2348,'Species Codes'!B:P,15,0)*LN((E2348*2.54))),VLOOKUP(D2348,'Species Codes'!B:O,14,0)+VLOOKUP(D2348,'Species Codes'!B:P,15,0)*(((E2348*2.54)/100)^2)*(I2348*0.3048)))))*0.0011023),0)</f>
        <v>#N/A</v>
      </c>
      <c r="AD2348" s="104" t="e">
        <f t="shared" si="1030"/>
        <v>#N/A</v>
      </c>
      <c r="AE2348" s="104" t="e">
        <f t="shared" si="1031"/>
        <v>#N/A</v>
      </c>
      <c r="AF2348" s="104" t="e">
        <f>IF(AND(VLOOKUP($D2348,Merchantability!$B:$C,2,0)="Yes",$E2348&gt;=VLOOKUP($D2348,Merchantability!$B:$D,3,0),$E2348&lt;=VLOOKUP($D2348,Merchantability!$B:$E,4,0)),AA2348,0)</f>
        <v>#N/A</v>
      </c>
      <c r="AG2348" s="104" t="e">
        <f>IF(AND(VLOOKUP($D2348,Merchantability!$B:$C,2,0)="Yes",$E2348&gt;=VLOOKUP($D2348,Merchantability!$B:$D,3,0),$E2348&lt;=VLOOKUP($D2348,Merchantability!$B:$E,4,0)),AB2348,0)</f>
        <v>#N/A</v>
      </c>
      <c r="AH2348" s="104" t="e">
        <f>IF(AND(VLOOKUP($D2348,Merchantability!$B:$C,2,0)="Yes",$E2348&gt;=VLOOKUP($D2348,Merchantability!$B:$D,3,0),$E2348&lt;=VLOOKUP($D2348,Merchantability!$B:$E,4,0)),AC2348,0)</f>
        <v>#N/A</v>
      </c>
      <c r="AI2348" s="104" t="e">
        <f t="shared" si="1032"/>
        <v>#N/A</v>
      </c>
      <c r="AJ2348" s="104" t="e">
        <f t="shared" si="1033"/>
        <v>#VALUE!</v>
      </c>
      <c r="AK2348" s="104" t="e">
        <f t="shared" si="1034"/>
        <v>#N/A</v>
      </c>
      <c r="AL2348" s="104" t="e">
        <f t="shared" si="1035"/>
        <v>#N/A</v>
      </c>
      <c r="AM2348" s="104" t="e">
        <f t="shared" si="1036"/>
        <v>#N/A</v>
      </c>
      <c r="AN2348" s="104" t="e">
        <f t="shared" si="1020"/>
        <v>#N/A</v>
      </c>
      <c r="AO2348" s="104" t="e">
        <f t="shared" si="1021"/>
        <v>#N/A</v>
      </c>
      <c r="AP2348" s="104" t="e">
        <f t="shared" si="1022"/>
        <v>#N/A</v>
      </c>
      <c r="AQ2348" s="104" t="e">
        <f t="shared" si="1023"/>
        <v>#N/A</v>
      </c>
      <c r="AR2348" s="105" t="str">
        <f t="shared" si="1015"/>
        <v/>
      </c>
      <c r="AS2348" s="105" t="str">
        <f t="shared" si="1016"/>
        <v/>
      </c>
      <c r="AT2348" s="108" t="str">
        <f t="shared" si="1017"/>
        <v/>
      </c>
      <c r="AU2348" s="108" t="str">
        <f t="shared" si="1018"/>
        <v/>
      </c>
      <c r="AV2348" s="107" t="str">
        <f>IF(ISNUMBER(O2348),IF(VLOOKUP($A2348,Stand!C:J,8,FALSE)="Short",AT2348,AU2348),"")</f>
        <v/>
      </c>
      <c r="AW2348" s="109" t="str">
        <f t="shared" si="1024"/>
        <v/>
      </c>
      <c r="AX2348" s="109" t="str">
        <f t="shared" si="1025"/>
        <v/>
      </c>
      <c r="AY2348" s="112" t="str">
        <f>IF(ISNUMBER(O2348),IF(AND(VLOOKUP($D2348,Merchantability!$B:$C,2,0)="Yes",$E2348&gt;=VLOOKUP($D2348,Merchantability!$B:$D,3,0),$E2348&lt;=VLOOKUP($D2348,Merchantability!$B:$E,4,0)),(AV2348*O2348)*(1-$H2348/100),""),"")</f>
        <v/>
      </c>
      <c r="AZ2348" s="116"/>
      <c r="BA2348" s="116"/>
      <c r="BB2348" s="116"/>
      <c r="BE2348" s="62"/>
      <c r="BF2348" s="63"/>
    </row>
    <row r="2349" spans="1:58" ht="12.75" customHeight="1" x14ac:dyDescent="0.25">
      <c r="A2349" s="334"/>
      <c r="B2349" s="334"/>
      <c r="C2349" s="332"/>
      <c r="D2349" s="334"/>
      <c r="E2349" s="335"/>
      <c r="F2349" s="334"/>
      <c r="G2349" s="332"/>
      <c r="H2349" s="332"/>
      <c r="I2349" s="334"/>
      <c r="J2349" s="336"/>
      <c r="K2349" s="332"/>
      <c r="L2349" s="332"/>
      <c r="M2349" s="76"/>
      <c r="N2349" s="103" t="str">
        <f>IF(A2349="","",VLOOKUP(A2349,Stand!C:K,9,0))</f>
        <v/>
      </c>
      <c r="O2349" s="104" t="str">
        <f t="shared" si="1010"/>
        <v/>
      </c>
      <c r="P2349" s="105" t="str">
        <f t="shared" si="1011"/>
        <v/>
      </c>
      <c r="Q2349" s="105" t="str">
        <f t="shared" si="1026"/>
        <v/>
      </c>
      <c r="R2349" s="103" t="str">
        <f t="shared" si="1012"/>
        <v/>
      </c>
      <c r="S2349" s="103" t="str">
        <f t="shared" si="1013"/>
        <v/>
      </c>
      <c r="T2349" s="106" t="str">
        <f t="shared" si="1027"/>
        <v/>
      </c>
      <c r="U2349" s="106" t="str">
        <f t="shared" si="1028"/>
        <v/>
      </c>
      <c r="V2349" s="106" t="str">
        <f t="shared" si="1029"/>
        <v/>
      </c>
      <c r="W2349" s="105" t="str">
        <f t="shared" si="1014"/>
        <v/>
      </c>
      <c r="X2349" s="104" t="str">
        <f t="shared" si="1019"/>
        <v/>
      </c>
      <c r="Y2349" s="104" t="str">
        <f t="array" ref="Y2349">IFERROR(IF(ISNUMBER(O2349),IF(COUNT(IF(A2349=$A$2:$A$2427,IF(D2349=$D$2:$D$2427,IF($X$2:$X$2427&gt;0,1))))&gt;0,SUM(IF(A2349=$A$2:$A$2427,IF(D2349=$D$2:$D$2427,$X$2:$X$2427)))/COUNT(IF(A2349=$A$2:$A$2427,IF(D2349=$D$2:$D$2427,IF(ISNUMBER($X$2:$X$2427),1)))),0),""),0)</f>
        <v/>
      </c>
      <c r="Z2349" s="104" t="str">
        <f>IF(ISNUMBER(O2349),IF(I2349&gt;0,(10^(VLOOKUP(D2349,'Species Codes'!B:C,2,0)+VLOOKUP(D2349,'Species Codes'!B:D,3,0)*LOG(E2349)+VLOOKUP(D2349,'Species Codes'!B:E,4,0)*LOG(I2349))),0),"")</f>
        <v/>
      </c>
      <c r="AA2349" s="104" t="str">
        <f>IFERROR((VLOOKUP(D2349,'Species Codes'!B:G,6,0)*Z2349)/2000,"")</f>
        <v/>
      </c>
      <c r="AB2349" s="104" t="e">
        <f>IF(Z2349&gt;0,((IF(OR(D2349="DF",D2349="RA")=TRUE,EXP(VLOOKUP(D2349,'Species Codes'!B:I,8,0)+VLOOKUP(D2349,'Species Codes'!B:J,9,0)*(LN((E2349*2.54)))),IF(OR(D2349="PY",D2349="RC",D2349="WH",D2349="NF")=TRUE,VLOOKUP(D2349,'Species Codes'!B:I,8,0)+VLOOKUP(D2349,'Species Codes'!B:J,9,0)*((E2349*2.54)^2)*(I2349*0.3048),IF(OR(D2349="MD",D2349="BM",D2349="GA")=TRUE,((VLOOKUP(D2349,'Species Codes'!B:I,8,0)*(((((E2349*2.54)+VLOOKUP(D2349,'Species Codes'!B:J,9,0))/VLOOKUP(D2349,'Species Codes'!B:K,10,0))^VLOOKUP(D2349,'Species Codes'!B:L,11,0))*((I2349*0.3048)^VLOOKUP(D2349,'Species Codes'!B:M,12,0))))-(VLOOKUP(D2349,'Species Codes'!B:I,8,0)*((((E2349*2.54)^VLOOKUP(D2349,'Species Codes'!B:L,11,0))*((I2349*0.3048)^VLOOKUP(D2349,'Species Codes'!B:M,12,0))))))*35.3*VLOOKUP(D2349,'Species Codes'!B:G,6,0)/2.2046,VLOOKUP(D2349,'Species Codes'!B:I,8,0)+VLOOKUP(D2349,'Species Codes'!B:J,9,0)*(((E2349*2.54)/100)^2)*(I2349*0.3048)))))*0.0011023),0)</f>
        <v>#N/A</v>
      </c>
      <c r="AC2349" s="104" t="e">
        <f>IF(Z2349&gt;0,((IF(OR(D2349="RA",D2349="OA",D2349="OT",D2349="UN",D2349="PC"),EXP(VLOOKUP(D2349,'Species Codes'!B:O,14,0)+VLOOKUP(D2349,'Species Codes'!B:P,15,0)*LN((E2349*2.54)))-EXP(VLOOKUP(D2349,'Species Codes'!B:O,14,0)+VLOOKUP(D2349,'Species Codes'!B:P,15,0)*LN((E2349*2.54)))*(1/(VLOOKUP(D2349,'Species Codes'!B:Q,16,0)+VLOOKUP(D2349,'Species Codes'!B:R,17,0)*((E2349*2.54)^VLOOKUP(D2349,'Species Codes'!B:S,18,0)))),IF(OR(D2349="BM",D2349="MD",D2349="OA"),EXP(VLOOKUP(D2349,'Species Codes'!B:O,14,0)+VLOOKUP(D2349,'Species Codes'!B:P,15,0)*LN((E2349*2.54)))*(1-(1/(VLOOKUP(D2349,'Species Codes'!B:Q,16,0)+VLOOKUP(D2349,'Species Codes'!B:R,17,0)*((E2349*2.54)^VLOOKUP(D2349,'Species Codes'!B:S,18,0)))))/1000,IF(D2349="DF",EXP(VLOOKUP(D2349,'Species Codes'!B:O,14,0)+VLOOKUP(D2349,'Species Codes'!B:P,15,0)*LN((E2349*2.54))),VLOOKUP(D2349,'Species Codes'!B:O,14,0)+VLOOKUP(D2349,'Species Codes'!B:P,15,0)*(((E2349*2.54)/100)^2)*(I2349*0.3048)))))*0.0011023),0)</f>
        <v>#N/A</v>
      </c>
      <c r="AD2349" s="104" t="e">
        <f t="shared" si="1030"/>
        <v>#N/A</v>
      </c>
      <c r="AE2349" s="104" t="e">
        <f t="shared" si="1031"/>
        <v>#N/A</v>
      </c>
      <c r="AF2349" s="104" t="e">
        <f>IF(AND(VLOOKUP($D2349,Merchantability!$B:$C,2,0)="Yes",$E2349&gt;=VLOOKUP($D2349,Merchantability!$B:$D,3,0),$E2349&lt;=VLOOKUP($D2349,Merchantability!$B:$E,4,0)),AA2349,0)</f>
        <v>#N/A</v>
      </c>
      <c r="AG2349" s="104" t="e">
        <f>IF(AND(VLOOKUP($D2349,Merchantability!$B:$C,2,0)="Yes",$E2349&gt;=VLOOKUP($D2349,Merchantability!$B:$D,3,0),$E2349&lt;=VLOOKUP($D2349,Merchantability!$B:$E,4,0)),AB2349,0)</f>
        <v>#N/A</v>
      </c>
      <c r="AH2349" s="104" t="e">
        <f>IF(AND(VLOOKUP($D2349,Merchantability!$B:$C,2,0)="Yes",$E2349&gt;=VLOOKUP($D2349,Merchantability!$B:$D,3,0),$E2349&lt;=VLOOKUP($D2349,Merchantability!$B:$E,4,0)),AC2349,0)</f>
        <v>#N/A</v>
      </c>
      <c r="AI2349" s="104" t="e">
        <f t="shared" si="1032"/>
        <v>#N/A</v>
      </c>
      <c r="AJ2349" s="104" t="e">
        <f t="shared" si="1033"/>
        <v>#VALUE!</v>
      </c>
      <c r="AK2349" s="104" t="e">
        <f t="shared" si="1034"/>
        <v>#N/A</v>
      </c>
      <c r="AL2349" s="104" t="e">
        <f t="shared" si="1035"/>
        <v>#N/A</v>
      </c>
      <c r="AM2349" s="104" t="e">
        <f t="shared" si="1036"/>
        <v>#N/A</v>
      </c>
      <c r="AN2349" s="104" t="e">
        <f t="shared" si="1020"/>
        <v>#N/A</v>
      </c>
      <c r="AO2349" s="104" t="e">
        <f t="shared" si="1021"/>
        <v>#N/A</v>
      </c>
      <c r="AP2349" s="104" t="e">
        <f t="shared" si="1022"/>
        <v>#N/A</v>
      </c>
      <c r="AQ2349" s="104" t="e">
        <f t="shared" si="1023"/>
        <v>#N/A</v>
      </c>
      <c r="AR2349" s="105" t="str">
        <f t="shared" si="1015"/>
        <v/>
      </c>
      <c r="AS2349" s="105" t="str">
        <f t="shared" si="1016"/>
        <v/>
      </c>
      <c r="AT2349" s="108" t="str">
        <f t="shared" si="1017"/>
        <v/>
      </c>
      <c r="AU2349" s="108" t="str">
        <f t="shared" si="1018"/>
        <v/>
      </c>
      <c r="AV2349" s="107" t="str">
        <f>IF(ISNUMBER(O2349),IF(VLOOKUP($A2349,Stand!C:J,8,FALSE)="Short",AT2349,AU2349),"")</f>
        <v/>
      </c>
      <c r="AW2349" s="109" t="str">
        <f t="shared" si="1024"/>
        <v/>
      </c>
      <c r="AX2349" s="109" t="str">
        <f t="shared" si="1025"/>
        <v/>
      </c>
      <c r="AY2349" s="112" t="str">
        <f>IF(ISNUMBER(O2349),IF(AND(VLOOKUP($D2349,Merchantability!$B:$C,2,0)="Yes",$E2349&gt;=VLOOKUP($D2349,Merchantability!$B:$D,3,0),$E2349&lt;=VLOOKUP($D2349,Merchantability!$B:$E,4,0)),(AV2349*O2349)*(1-$H2349/100),""),"")</f>
        <v/>
      </c>
      <c r="AZ2349" s="116"/>
      <c r="BA2349" s="116"/>
      <c r="BB2349" s="116"/>
      <c r="BE2349" s="62"/>
      <c r="BF2349" s="63"/>
    </row>
    <row r="2350" spans="1:58" ht="12.75" customHeight="1" x14ac:dyDescent="0.25">
      <c r="A2350" s="334"/>
      <c r="B2350" s="334"/>
      <c r="C2350" s="332"/>
      <c r="D2350" s="334"/>
      <c r="E2350" s="335"/>
      <c r="F2350" s="334"/>
      <c r="G2350" s="332"/>
      <c r="H2350" s="332"/>
      <c r="I2350" s="334"/>
      <c r="J2350" s="336"/>
      <c r="K2350" s="332"/>
      <c r="L2350" s="332"/>
      <c r="M2350" s="76"/>
      <c r="N2350" s="103" t="str">
        <f>IF(A2350="","",VLOOKUP(A2350,Stand!C:K,9,0))</f>
        <v/>
      </c>
      <c r="O2350" s="104" t="str">
        <f t="shared" si="1010"/>
        <v/>
      </c>
      <c r="P2350" s="105" t="str">
        <f t="shared" si="1011"/>
        <v/>
      </c>
      <c r="Q2350" s="105" t="str">
        <f t="shared" si="1026"/>
        <v/>
      </c>
      <c r="R2350" s="103" t="str">
        <f t="shared" si="1012"/>
        <v/>
      </c>
      <c r="S2350" s="103" t="str">
        <f t="shared" si="1013"/>
        <v/>
      </c>
      <c r="T2350" s="106" t="str">
        <f t="shared" si="1027"/>
        <v/>
      </c>
      <c r="U2350" s="106" t="str">
        <f t="shared" si="1028"/>
        <v/>
      </c>
      <c r="V2350" s="106" t="str">
        <f t="shared" si="1029"/>
        <v/>
      </c>
      <c r="W2350" s="105" t="str">
        <f t="shared" si="1014"/>
        <v/>
      </c>
      <c r="X2350" s="104" t="str">
        <f t="shared" si="1019"/>
        <v/>
      </c>
      <c r="Y2350" s="104" t="str">
        <f t="array" ref="Y2350">IFERROR(IF(ISNUMBER(O2350),IF(COUNT(IF(A2350=$A$2:$A$2427,IF(D2350=$D$2:$D$2427,IF($X$2:$X$2427&gt;0,1))))&gt;0,SUM(IF(A2350=$A$2:$A$2427,IF(D2350=$D$2:$D$2427,$X$2:$X$2427)))/COUNT(IF(A2350=$A$2:$A$2427,IF(D2350=$D$2:$D$2427,IF(ISNUMBER($X$2:$X$2427),1)))),0),""),0)</f>
        <v/>
      </c>
      <c r="Z2350" s="104" t="str">
        <f>IF(ISNUMBER(O2350),IF(I2350&gt;0,(10^(VLOOKUP(D2350,'Species Codes'!B:C,2,0)+VLOOKUP(D2350,'Species Codes'!B:D,3,0)*LOG(E2350)+VLOOKUP(D2350,'Species Codes'!B:E,4,0)*LOG(I2350))),0),"")</f>
        <v/>
      </c>
      <c r="AA2350" s="104" t="str">
        <f>IFERROR((VLOOKUP(D2350,'Species Codes'!B:G,6,0)*Z2350)/2000,"")</f>
        <v/>
      </c>
      <c r="AB2350" s="104" t="e">
        <f>IF(Z2350&gt;0,((IF(OR(D2350="DF",D2350="RA")=TRUE,EXP(VLOOKUP(D2350,'Species Codes'!B:I,8,0)+VLOOKUP(D2350,'Species Codes'!B:J,9,0)*(LN((E2350*2.54)))),IF(OR(D2350="PY",D2350="RC",D2350="WH",D2350="NF")=TRUE,VLOOKUP(D2350,'Species Codes'!B:I,8,0)+VLOOKUP(D2350,'Species Codes'!B:J,9,0)*((E2350*2.54)^2)*(I2350*0.3048),IF(OR(D2350="MD",D2350="BM",D2350="GA")=TRUE,((VLOOKUP(D2350,'Species Codes'!B:I,8,0)*(((((E2350*2.54)+VLOOKUP(D2350,'Species Codes'!B:J,9,0))/VLOOKUP(D2350,'Species Codes'!B:K,10,0))^VLOOKUP(D2350,'Species Codes'!B:L,11,0))*((I2350*0.3048)^VLOOKUP(D2350,'Species Codes'!B:M,12,0))))-(VLOOKUP(D2350,'Species Codes'!B:I,8,0)*((((E2350*2.54)^VLOOKUP(D2350,'Species Codes'!B:L,11,0))*((I2350*0.3048)^VLOOKUP(D2350,'Species Codes'!B:M,12,0))))))*35.3*VLOOKUP(D2350,'Species Codes'!B:G,6,0)/2.2046,VLOOKUP(D2350,'Species Codes'!B:I,8,0)+VLOOKUP(D2350,'Species Codes'!B:J,9,0)*(((E2350*2.54)/100)^2)*(I2350*0.3048)))))*0.0011023),0)</f>
        <v>#N/A</v>
      </c>
      <c r="AC2350" s="104" t="e">
        <f>IF(Z2350&gt;0,((IF(OR(D2350="RA",D2350="OA",D2350="OT",D2350="UN",D2350="PC"),EXP(VLOOKUP(D2350,'Species Codes'!B:O,14,0)+VLOOKUP(D2350,'Species Codes'!B:P,15,0)*LN((E2350*2.54)))-EXP(VLOOKUP(D2350,'Species Codes'!B:O,14,0)+VLOOKUP(D2350,'Species Codes'!B:P,15,0)*LN((E2350*2.54)))*(1/(VLOOKUP(D2350,'Species Codes'!B:Q,16,0)+VLOOKUP(D2350,'Species Codes'!B:R,17,0)*((E2350*2.54)^VLOOKUP(D2350,'Species Codes'!B:S,18,0)))),IF(OR(D2350="BM",D2350="MD",D2350="OA"),EXP(VLOOKUP(D2350,'Species Codes'!B:O,14,0)+VLOOKUP(D2350,'Species Codes'!B:P,15,0)*LN((E2350*2.54)))*(1-(1/(VLOOKUP(D2350,'Species Codes'!B:Q,16,0)+VLOOKUP(D2350,'Species Codes'!B:R,17,0)*((E2350*2.54)^VLOOKUP(D2350,'Species Codes'!B:S,18,0)))))/1000,IF(D2350="DF",EXP(VLOOKUP(D2350,'Species Codes'!B:O,14,0)+VLOOKUP(D2350,'Species Codes'!B:P,15,0)*LN((E2350*2.54))),VLOOKUP(D2350,'Species Codes'!B:O,14,0)+VLOOKUP(D2350,'Species Codes'!B:P,15,0)*(((E2350*2.54)/100)^2)*(I2350*0.3048)))))*0.0011023),0)</f>
        <v>#N/A</v>
      </c>
      <c r="AD2350" s="104" t="e">
        <f t="shared" si="1030"/>
        <v>#N/A</v>
      </c>
      <c r="AE2350" s="104" t="e">
        <f t="shared" si="1031"/>
        <v>#N/A</v>
      </c>
      <c r="AF2350" s="104" t="e">
        <f>IF(AND(VLOOKUP($D2350,Merchantability!$B:$C,2,0)="Yes",$E2350&gt;=VLOOKUP($D2350,Merchantability!$B:$D,3,0),$E2350&lt;=VLOOKUP($D2350,Merchantability!$B:$E,4,0)),AA2350,0)</f>
        <v>#N/A</v>
      </c>
      <c r="AG2350" s="104" t="e">
        <f>IF(AND(VLOOKUP($D2350,Merchantability!$B:$C,2,0)="Yes",$E2350&gt;=VLOOKUP($D2350,Merchantability!$B:$D,3,0),$E2350&lt;=VLOOKUP($D2350,Merchantability!$B:$E,4,0)),AB2350,0)</f>
        <v>#N/A</v>
      </c>
      <c r="AH2350" s="104" t="e">
        <f>IF(AND(VLOOKUP($D2350,Merchantability!$B:$C,2,0)="Yes",$E2350&gt;=VLOOKUP($D2350,Merchantability!$B:$D,3,0),$E2350&lt;=VLOOKUP($D2350,Merchantability!$B:$E,4,0)),AC2350,0)</f>
        <v>#N/A</v>
      </c>
      <c r="AI2350" s="104" t="e">
        <f t="shared" si="1032"/>
        <v>#N/A</v>
      </c>
      <c r="AJ2350" s="104" t="e">
        <f t="shared" si="1033"/>
        <v>#VALUE!</v>
      </c>
      <c r="AK2350" s="104" t="e">
        <f t="shared" si="1034"/>
        <v>#N/A</v>
      </c>
      <c r="AL2350" s="104" t="e">
        <f t="shared" si="1035"/>
        <v>#N/A</v>
      </c>
      <c r="AM2350" s="104" t="e">
        <f t="shared" si="1036"/>
        <v>#N/A</v>
      </c>
      <c r="AN2350" s="104" t="e">
        <f t="shared" si="1020"/>
        <v>#N/A</v>
      </c>
      <c r="AO2350" s="104" t="e">
        <f t="shared" si="1021"/>
        <v>#N/A</v>
      </c>
      <c r="AP2350" s="104" t="e">
        <f t="shared" si="1022"/>
        <v>#N/A</v>
      </c>
      <c r="AQ2350" s="104" t="e">
        <f t="shared" si="1023"/>
        <v>#N/A</v>
      </c>
      <c r="AR2350" s="105" t="str">
        <f t="shared" si="1015"/>
        <v/>
      </c>
      <c r="AS2350" s="105" t="str">
        <f t="shared" si="1016"/>
        <v/>
      </c>
      <c r="AT2350" s="108" t="str">
        <f t="shared" si="1017"/>
        <v/>
      </c>
      <c r="AU2350" s="108" t="str">
        <f t="shared" si="1018"/>
        <v/>
      </c>
      <c r="AV2350" s="107" t="str">
        <f>IF(ISNUMBER(O2350),IF(VLOOKUP($A2350,Stand!C:J,8,FALSE)="Short",AT2350,AU2350),"")</f>
        <v/>
      </c>
      <c r="AW2350" s="109" t="str">
        <f t="shared" si="1024"/>
        <v/>
      </c>
      <c r="AX2350" s="109" t="str">
        <f t="shared" si="1025"/>
        <v/>
      </c>
      <c r="AY2350" s="112" t="str">
        <f>IF(ISNUMBER(O2350),IF(AND(VLOOKUP($D2350,Merchantability!$B:$C,2,0)="Yes",$E2350&gt;=VLOOKUP($D2350,Merchantability!$B:$D,3,0),$E2350&lt;=VLOOKUP($D2350,Merchantability!$B:$E,4,0)),(AV2350*O2350)*(1-$H2350/100),""),"")</f>
        <v/>
      </c>
      <c r="AZ2350" s="116"/>
      <c r="BA2350" s="116"/>
      <c r="BB2350" s="116"/>
      <c r="BE2350" s="62"/>
      <c r="BF2350" s="63"/>
    </row>
    <row r="2351" spans="1:58" ht="12.75" customHeight="1" x14ac:dyDescent="0.25">
      <c r="A2351" s="334"/>
      <c r="B2351" s="334"/>
      <c r="C2351" s="332"/>
      <c r="D2351" s="334"/>
      <c r="E2351" s="335"/>
      <c r="F2351" s="334"/>
      <c r="G2351" s="332"/>
      <c r="H2351" s="332"/>
      <c r="I2351" s="334"/>
      <c r="J2351" s="336"/>
      <c r="K2351" s="332"/>
      <c r="L2351" s="332"/>
      <c r="M2351" s="76"/>
      <c r="N2351" s="103" t="str">
        <f>IF(A2351="","",VLOOKUP(A2351,Stand!C:K,9,0))</f>
        <v/>
      </c>
      <c r="O2351" s="104" t="str">
        <f t="shared" si="1010"/>
        <v/>
      </c>
      <c r="P2351" s="105" t="str">
        <f t="shared" si="1011"/>
        <v/>
      </c>
      <c r="Q2351" s="105" t="str">
        <f t="shared" si="1026"/>
        <v/>
      </c>
      <c r="R2351" s="103" t="str">
        <f t="shared" si="1012"/>
        <v/>
      </c>
      <c r="S2351" s="103" t="str">
        <f t="shared" si="1013"/>
        <v/>
      </c>
      <c r="T2351" s="106" t="str">
        <f t="shared" si="1027"/>
        <v/>
      </c>
      <c r="U2351" s="106" t="str">
        <f t="shared" si="1028"/>
        <v/>
      </c>
      <c r="V2351" s="106" t="str">
        <f t="shared" si="1029"/>
        <v/>
      </c>
      <c r="W2351" s="105" t="str">
        <f t="shared" si="1014"/>
        <v/>
      </c>
      <c r="X2351" s="104" t="str">
        <f t="shared" si="1019"/>
        <v/>
      </c>
      <c r="Y2351" s="104" t="str">
        <f t="array" ref="Y2351">IFERROR(IF(ISNUMBER(O2351),IF(COUNT(IF(A2351=$A$2:$A$2427,IF(D2351=$D$2:$D$2427,IF($X$2:$X$2427&gt;0,1))))&gt;0,SUM(IF(A2351=$A$2:$A$2427,IF(D2351=$D$2:$D$2427,$X$2:$X$2427)))/COUNT(IF(A2351=$A$2:$A$2427,IF(D2351=$D$2:$D$2427,IF(ISNUMBER($X$2:$X$2427),1)))),0),""),0)</f>
        <v/>
      </c>
      <c r="Z2351" s="104" t="str">
        <f>IF(ISNUMBER(O2351),IF(I2351&gt;0,(10^(VLOOKUP(D2351,'Species Codes'!B:C,2,0)+VLOOKUP(D2351,'Species Codes'!B:D,3,0)*LOG(E2351)+VLOOKUP(D2351,'Species Codes'!B:E,4,0)*LOG(I2351))),0),"")</f>
        <v/>
      </c>
      <c r="AA2351" s="104" t="str">
        <f>IFERROR((VLOOKUP(D2351,'Species Codes'!B:G,6,0)*Z2351)/2000,"")</f>
        <v/>
      </c>
      <c r="AB2351" s="104" t="e">
        <f>IF(Z2351&gt;0,((IF(OR(D2351="DF",D2351="RA")=TRUE,EXP(VLOOKUP(D2351,'Species Codes'!B:I,8,0)+VLOOKUP(D2351,'Species Codes'!B:J,9,0)*(LN((E2351*2.54)))),IF(OR(D2351="PY",D2351="RC",D2351="WH",D2351="NF")=TRUE,VLOOKUP(D2351,'Species Codes'!B:I,8,0)+VLOOKUP(D2351,'Species Codes'!B:J,9,0)*((E2351*2.54)^2)*(I2351*0.3048),IF(OR(D2351="MD",D2351="BM",D2351="GA")=TRUE,((VLOOKUP(D2351,'Species Codes'!B:I,8,0)*(((((E2351*2.54)+VLOOKUP(D2351,'Species Codes'!B:J,9,0))/VLOOKUP(D2351,'Species Codes'!B:K,10,0))^VLOOKUP(D2351,'Species Codes'!B:L,11,0))*((I2351*0.3048)^VLOOKUP(D2351,'Species Codes'!B:M,12,0))))-(VLOOKUP(D2351,'Species Codes'!B:I,8,0)*((((E2351*2.54)^VLOOKUP(D2351,'Species Codes'!B:L,11,0))*((I2351*0.3048)^VLOOKUP(D2351,'Species Codes'!B:M,12,0))))))*35.3*VLOOKUP(D2351,'Species Codes'!B:G,6,0)/2.2046,VLOOKUP(D2351,'Species Codes'!B:I,8,0)+VLOOKUP(D2351,'Species Codes'!B:J,9,0)*(((E2351*2.54)/100)^2)*(I2351*0.3048)))))*0.0011023),0)</f>
        <v>#N/A</v>
      </c>
      <c r="AC2351" s="104" t="e">
        <f>IF(Z2351&gt;0,((IF(OR(D2351="RA",D2351="OA",D2351="OT",D2351="UN",D2351="PC"),EXP(VLOOKUP(D2351,'Species Codes'!B:O,14,0)+VLOOKUP(D2351,'Species Codes'!B:P,15,0)*LN((E2351*2.54)))-EXP(VLOOKUP(D2351,'Species Codes'!B:O,14,0)+VLOOKUP(D2351,'Species Codes'!B:P,15,0)*LN((E2351*2.54)))*(1/(VLOOKUP(D2351,'Species Codes'!B:Q,16,0)+VLOOKUP(D2351,'Species Codes'!B:R,17,0)*((E2351*2.54)^VLOOKUP(D2351,'Species Codes'!B:S,18,0)))),IF(OR(D2351="BM",D2351="MD",D2351="OA"),EXP(VLOOKUP(D2351,'Species Codes'!B:O,14,0)+VLOOKUP(D2351,'Species Codes'!B:P,15,0)*LN((E2351*2.54)))*(1-(1/(VLOOKUP(D2351,'Species Codes'!B:Q,16,0)+VLOOKUP(D2351,'Species Codes'!B:R,17,0)*((E2351*2.54)^VLOOKUP(D2351,'Species Codes'!B:S,18,0)))))/1000,IF(D2351="DF",EXP(VLOOKUP(D2351,'Species Codes'!B:O,14,0)+VLOOKUP(D2351,'Species Codes'!B:P,15,0)*LN((E2351*2.54))),VLOOKUP(D2351,'Species Codes'!B:O,14,0)+VLOOKUP(D2351,'Species Codes'!B:P,15,0)*(((E2351*2.54)/100)^2)*(I2351*0.3048)))))*0.0011023),0)</f>
        <v>#N/A</v>
      </c>
      <c r="AD2351" s="104" t="e">
        <f t="shared" si="1030"/>
        <v>#N/A</v>
      </c>
      <c r="AE2351" s="104" t="e">
        <f t="shared" si="1031"/>
        <v>#N/A</v>
      </c>
      <c r="AF2351" s="104" t="e">
        <f>IF(AND(VLOOKUP($D2351,Merchantability!$B:$C,2,0)="Yes",$E2351&gt;=VLOOKUP($D2351,Merchantability!$B:$D,3,0),$E2351&lt;=VLOOKUP($D2351,Merchantability!$B:$E,4,0)),AA2351,0)</f>
        <v>#N/A</v>
      </c>
      <c r="AG2351" s="104" t="e">
        <f>IF(AND(VLOOKUP($D2351,Merchantability!$B:$C,2,0)="Yes",$E2351&gt;=VLOOKUP($D2351,Merchantability!$B:$D,3,0),$E2351&lt;=VLOOKUP($D2351,Merchantability!$B:$E,4,0)),AB2351,0)</f>
        <v>#N/A</v>
      </c>
      <c r="AH2351" s="104" t="e">
        <f>IF(AND(VLOOKUP($D2351,Merchantability!$B:$C,2,0)="Yes",$E2351&gt;=VLOOKUP($D2351,Merchantability!$B:$D,3,0),$E2351&lt;=VLOOKUP($D2351,Merchantability!$B:$E,4,0)),AC2351,0)</f>
        <v>#N/A</v>
      </c>
      <c r="AI2351" s="104" t="e">
        <f t="shared" si="1032"/>
        <v>#N/A</v>
      </c>
      <c r="AJ2351" s="104" t="e">
        <f t="shared" si="1033"/>
        <v>#VALUE!</v>
      </c>
      <c r="AK2351" s="104" t="e">
        <f t="shared" si="1034"/>
        <v>#N/A</v>
      </c>
      <c r="AL2351" s="104" t="e">
        <f t="shared" si="1035"/>
        <v>#N/A</v>
      </c>
      <c r="AM2351" s="104" t="e">
        <f t="shared" si="1036"/>
        <v>#N/A</v>
      </c>
      <c r="AN2351" s="104" t="e">
        <f t="shared" si="1020"/>
        <v>#N/A</v>
      </c>
      <c r="AO2351" s="104" t="e">
        <f t="shared" si="1021"/>
        <v>#N/A</v>
      </c>
      <c r="AP2351" s="104" t="e">
        <f t="shared" si="1022"/>
        <v>#N/A</v>
      </c>
      <c r="AQ2351" s="104" t="e">
        <f t="shared" si="1023"/>
        <v>#N/A</v>
      </c>
      <c r="AR2351" s="105" t="str">
        <f t="shared" si="1015"/>
        <v/>
      </c>
      <c r="AS2351" s="105" t="str">
        <f t="shared" si="1016"/>
        <v/>
      </c>
      <c r="AT2351" s="108" t="str">
        <f t="shared" si="1017"/>
        <v/>
      </c>
      <c r="AU2351" s="108" t="str">
        <f t="shared" si="1018"/>
        <v/>
      </c>
      <c r="AV2351" s="107" t="str">
        <f>IF(ISNUMBER(O2351),IF(VLOOKUP($A2351,Stand!C:J,8,FALSE)="Short",AT2351,AU2351),"")</f>
        <v/>
      </c>
      <c r="AW2351" s="109" t="str">
        <f t="shared" si="1024"/>
        <v/>
      </c>
      <c r="AX2351" s="109" t="str">
        <f t="shared" si="1025"/>
        <v/>
      </c>
      <c r="AY2351" s="112" t="str">
        <f>IF(ISNUMBER(O2351),IF(AND(VLOOKUP($D2351,Merchantability!$B:$C,2,0)="Yes",$E2351&gt;=VLOOKUP($D2351,Merchantability!$B:$D,3,0),$E2351&lt;=VLOOKUP($D2351,Merchantability!$B:$E,4,0)),(AV2351*O2351)*(1-$H2351/100),""),"")</f>
        <v/>
      </c>
      <c r="AZ2351" s="116"/>
      <c r="BA2351" s="116"/>
      <c r="BB2351" s="116"/>
      <c r="BE2351" s="62"/>
      <c r="BF2351" s="63"/>
    </row>
    <row r="2352" spans="1:58" ht="12.75" customHeight="1" x14ac:dyDescent="0.25">
      <c r="A2352" s="334"/>
      <c r="B2352" s="334"/>
      <c r="C2352" s="332"/>
      <c r="D2352" s="334"/>
      <c r="E2352" s="335"/>
      <c r="F2352" s="334"/>
      <c r="G2352" s="332"/>
      <c r="H2352" s="332"/>
      <c r="I2352" s="334"/>
      <c r="J2352" s="336"/>
      <c r="K2352" s="332"/>
      <c r="L2352" s="332"/>
      <c r="M2352" s="76"/>
      <c r="N2352" s="103" t="str">
        <f>IF(A2352="","",VLOOKUP(A2352,Stand!C:K,9,0))</f>
        <v/>
      </c>
      <c r="O2352" s="104" t="str">
        <f t="shared" si="1010"/>
        <v/>
      </c>
      <c r="P2352" s="105" t="str">
        <f t="shared" si="1011"/>
        <v/>
      </c>
      <c r="Q2352" s="105" t="str">
        <f t="shared" si="1026"/>
        <v/>
      </c>
      <c r="R2352" s="103" t="str">
        <f t="shared" si="1012"/>
        <v/>
      </c>
      <c r="S2352" s="103" t="str">
        <f t="shared" si="1013"/>
        <v/>
      </c>
      <c r="T2352" s="106" t="str">
        <f t="shared" si="1027"/>
        <v/>
      </c>
      <c r="U2352" s="106" t="str">
        <f t="shared" si="1028"/>
        <v/>
      </c>
      <c r="V2352" s="106" t="str">
        <f t="shared" si="1029"/>
        <v/>
      </c>
      <c r="W2352" s="105" t="str">
        <f t="shared" si="1014"/>
        <v/>
      </c>
      <c r="X2352" s="104" t="str">
        <f t="shared" si="1019"/>
        <v/>
      </c>
      <c r="Y2352" s="104" t="str">
        <f t="array" ref="Y2352">IFERROR(IF(ISNUMBER(O2352),IF(COUNT(IF(A2352=$A$2:$A$2427,IF(D2352=$D$2:$D$2427,IF($X$2:$X$2427&gt;0,1))))&gt;0,SUM(IF(A2352=$A$2:$A$2427,IF(D2352=$D$2:$D$2427,$X$2:$X$2427)))/COUNT(IF(A2352=$A$2:$A$2427,IF(D2352=$D$2:$D$2427,IF(ISNUMBER($X$2:$X$2427),1)))),0),""),0)</f>
        <v/>
      </c>
      <c r="Z2352" s="104" t="str">
        <f>IF(ISNUMBER(O2352),IF(I2352&gt;0,(10^(VLOOKUP(D2352,'Species Codes'!B:C,2,0)+VLOOKUP(D2352,'Species Codes'!B:D,3,0)*LOG(E2352)+VLOOKUP(D2352,'Species Codes'!B:E,4,0)*LOG(I2352))),0),"")</f>
        <v/>
      </c>
      <c r="AA2352" s="104" t="str">
        <f>IFERROR((VLOOKUP(D2352,'Species Codes'!B:G,6,0)*Z2352)/2000,"")</f>
        <v/>
      </c>
      <c r="AB2352" s="104" t="e">
        <f>IF(Z2352&gt;0,((IF(OR(D2352="DF",D2352="RA")=TRUE,EXP(VLOOKUP(D2352,'Species Codes'!B:I,8,0)+VLOOKUP(D2352,'Species Codes'!B:J,9,0)*(LN((E2352*2.54)))),IF(OR(D2352="PY",D2352="RC",D2352="WH",D2352="NF")=TRUE,VLOOKUP(D2352,'Species Codes'!B:I,8,0)+VLOOKUP(D2352,'Species Codes'!B:J,9,0)*((E2352*2.54)^2)*(I2352*0.3048),IF(OR(D2352="MD",D2352="BM",D2352="GA")=TRUE,((VLOOKUP(D2352,'Species Codes'!B:I,8,0)*(((((E2352*2.54)+VLOOKUP(D2352,'Species Codes'!B:J,9,0))/VLOOKUP(D2352,'Species Codes'!B:K,10,0))^VLOOKUP(D2352,'Species Codes'!B:L,11,0))*((I2352*0.3048)^VLOOKUP(D2352,'Species Codes'!B:M,12,0))))-(VLOOKUP(D2352,'Species Codes'!B:I,8,0)*((((E2352*2.54)^VLOOKUP(D2352,'Species Codes'!B:L,11,0))*((I2352*0.3048)^VLOOKUP(D2352,'Species Codes'!B:M,12,0))))))*35.3*VLOOKUP(D2352,'Species Codes'!B:G,6,0)/2.2046,VLOOKUP(D2352,'Species Codes'!B:I,8,0)+VLOOKUP(D2352,'Species Codes'!B:J,9,0)*(((E2352*2.54)/100)^2)*(I2352*0.3048)))))*0.0011023),0)</f>
        <v>#N/A</v>
      </c>
      <c r="AC2352" s="104" t="e">
        <f>IF(Z2352&gt;0,((IF(OR(D2352="RA",D2352="OA",D2352="OT",D2352="UN",D2352="PC"),EXP(VLOOKUP(D2352,'Species Codes'!B:O,14,0)+VLOOKUP(D2352,'Species Codes'!B:P,15,0)*LN((E2352*2.54)))-EXP(VLOOKUP(D2352,'Species Codes'!B:O,14,0)+VLOOKUP(D2352,'Species Codes'!B:P,15,0)*LN((E2352*2.54)))*(1/(VLOOKUP(D2352,'Species Codes'!B:Q,16,0)+VLOOKUP(D2352,'Species Codes'!B:R,17,0)*((E2352*2.54)^VLOOKUP(D2352,'Species Codes'!B:S,18,0)))),IF(OR(D2352="BM",D2352="MD",D2352="OA"),EXP(VLOOKUP(D2352,'Species Codes'!B:O,14,0)+VLOOKUP(D2352,'Species Codes'!B:P,15,0)*LN((E2352*2.54)))*(1-(1/(VLOOKUP(D2352,'Species Codes'!B:Q,16,0)+VLOOKUP(D2352,'Species Codes'!B:R,17,0)*((E2352*2.54)^VLOOKUP(D2352,'Species Codes'!B:S,18,0)))))/1000,IF(D2352="DF",EXP(VLOOKUP(D2352,'Species Codes'!B:O,14,0)+VLOOKUP(D2352,'Species Codes'!B:P,15,0)*LN((E2352*2.54))),VLOOKUP(D2352,'Species Codes'!B:O,14,0)+VLOOKUP(D2352,'Species Codes'!B:P,15,0)*(((E2352*2.54)/100)^2)*(I2352*0.3048)))))*0.0011023),0)</f>
        <v>#N/A</v>
      </c>
      <c r="AD2352" s="104" t="e">
        <f t="shared" si="1030"/>
        <v>#N/A</v>
      </c>
      <c r="AE2352" s="104" t="e">
        <f t="shared" si="1031"/>
        <v>#N/A</v>
      </c>
      <c r="AF2352" s="104" t="e">
        <f>IF(AND(VLOOKUP($D2352,Merchantability!$B:$C,2,0)="Yes",$E2352&gt;=VLOOKUP($D2352,Merchantability!$B:$D,3,0),$E2352&lt;=VLOOKUP($D2352,Merchantability!$B:$E,4,0)),AA2352,0)</f>
        <v>#N/A</v>
      </c>
      <c r="AG2352" s="104" t="e">
        <f>IF(AND(VLOOKUP($D2352,Merchantability!$B:$C,2,0)="Yes",$E2352&gt;=VLOOKUP($D2352,Merchantability!$B:$D,3,0),$E2352&lt;=VLOOKUP($D2352,Merchantability!$B:$E,4,0)),AB2352,0)</f>
        <v>#N/A</v>
      </c>
      <c r="AH2352" s="104" t="e">
        <f>IF(AND(VLOOKUP($D2352,Merchantability!$B:$C,2,0)="Yes",$E2352&gt;=VLOOKUP($D2352,Merchantability!$B:$D,3,0),$E2352&lt;=VLOOKUP($D2352,Merchantability!$B:$E,4,0)),AC2352,0)</f>
        <v>#N/A</v>
      </c>
      <c r="AI2352" s="104" t="e">
        <f t="shared" si="1032"/>
        <v>#N/A</v>
      </c>
      <c r="AJ2352" s="104" t="e">
        <f t="shared" si="1033"/>
        <v>#VALUE!</v>
      </c>
      <c r="AK2352" s="104" t="e">
        <f t="shared" si="1034"/>
        <v>#N/A</v>
      </c>
      <c r="AL2352" s="104" t="e">
        <f t="shared" si="1035"/>
        <v>#N/A</v>
      </c>
      <c r="AM2352" s="104" t="e">
        <f t="shared" si="1036"/>
        <v>#N/A</v>
      </c>
      <c r="AN2352" s="104" t="e">
        <f t="shared" si="1020"/>
        <v>#N/A</v>
      </c>
      <c r="AO2352" s="104" t="e">
        <f t="shared" si="1021"/>
        <v>#N/A</v>
      </c>
      <c r="AP2352" s="104" t="e">
        <f t="shared" si="1022"/>
        <v>#N/A</v>
      </c>
      <c r="AQ2352" s="104" t="e">
        <f t="shared" si="1023"/>
        <v>#N/A</v>
      </c>
      <c r="AR2352" s="105" t="str">
        <f t="shared" si="1015"/>
        <v/>
      </c>
      <c r="AS2352" s="105" t="str">
        <f t="shared" si="1016"/>
        <v/>
      </c>
      <c r="AT2352" s="108" t="str">
        <f t="shared" si="1017"/>
        <v/>
      </c>
      <c r="AU2352" s="108" t="str">
        <f t="shared" si="1018"/>
        <v/>
      </c>
      <c r="AV2352" s="107" t="str">
        <f>IF(ISNUMBER(O2352),IF(VLOOKUP($A2352,Stand!C:J,8,FALSE)="Short",AT2352,AU2352),"")</f>
        <v/>
      </c>
      <c r="AW2352" s="109" t="str">
        <f t="shared" si="1024"/>
        <v/>
      </c>
      <c r="AX2352" s="109" t="str">
        <f t="shared" si="1025"/>
        <v/>
      </c>
      <c r="AY2352" s="112" t="str">
        <f>IF(ISNUMBER(O2352),IF(AND(VLOOKUP($D2352,Merchantability!$B:$C,2,0)="Yes",$E2352&gt;=VLOOKUP($D2352,Merchantability!$B:$D,3,0),$E2352&lt;=VLOOKUP($D2352,Merchantability!$B:$E,4,0)),(AV2352*O2352)*(1-$H2352/100),""),"")</f>
        <v/>
      </c>
      <c r="AZ2352" s="116"/>
      <c r="BA2352" s="116"/>
      <c r="BB2352" s="116"/>
      <c r="BE2352" s="62"/>
      <c r="BF2352" s="63"/>
    </row>
    <row r="2353" spans="1:58" ht="12.75" customHeight="1" x14ac:dyDescent="0.25">
      <c r="A2353" s="334"/>
      <c r="B2353" s="334"/>
      <c r="C2353" s="332"/>
      <c r="D2353" s="334"/>
      <c r="E2353" s="335"/>
      <c r="F2353" s="334"/>
      <c r="G2353" s="332"/>
      <c r="H2353" s="332"/>
      <c r="I2353" s="334"/>
      <c r="J2353" s="336"/>
      <c r="K2353" s="332"/>
      <c r="L2353" s="332"/>
      <c r="M2353" s="76"/>
      <c r="N2353" s="103" t="str">
        <f>IF(A2353="","",VLOOKUP(A2353,Stand!C:K,9,0))</f>
        <v/>
      </c>
      <c r="O2353" s="104" t="str">
        <f t="shared" si="1010"/>
        <v/>
      </c>
      <c r="P2353" s="105" t="str">
        <f t="shared" si="1011"/>
        <v/>
      </c>
      <c r="Q2353" s="105" t="str">
        <f t="shared" si="1026"/>
        <v/>
      </c>
      <c r="R2353" s="103" t="str">
        <f t="shared" si="1012"/>
        <v/>
      </c>
      <c r="S2353" s="103" t="str">
        <f t="shared" si="1013"/>
        <v/>
      </c>
      <c r="T2353" s="106" t="str">
        <f t="shared" si="1027"/>
        <v/>
      </c>
      <c r="U2353" s="106" t="str">
        <f t="shared" si="1028"/>
        <v/>
      </c>
      <c r="V2353" s="106" t="str">
        <f t="shared" si="1029"/>
        <v/>
      </c>
      <c r="W2353" s="105" t="str">
        <f t="shared" si="1014"/>
        <v/>
      </c>
      <c r="X2353" s="104" t="str">
        <f t="shared" si="1019"/>
        <v/>
      </c>
      <c r="Y2353" s="104" t="str">
        <f t="array" ref="Y2353">IFERROR(IF(ISNUMBER(O2353),IF(COUNT(IF(A2353=$A$2:$A$2427,IF(D2353=$D$2:$D$2427,IF($X$2:$X$2427&gt;0,1))))&gt;0,SUM(IF(A2353=$A$2:$A$2427,IF(D2353=$D$2:$D$2427,$X$2:$X$2427)))/COUNT(IF(A2353=$A$2:$A$2427,IF(D2353=$D$2:$D$2427,IF(ISNUMBER($X$2:$X$2427),1)))),0),""),0)</f>
        <v/>
      </c>
      <c r="Z2353" s="104" t="str">
        <f>IF(ISNUMBER(O2353),IF(I2353&gt;0,(10^(VLOOKUP(D2353,'Species Codes'!B:C,2,0)+VLOOKUP(D2353,'Species Codes'!B:D,3,0)*LOG(E2353)+VLOOKUP(D2353,'Species Codes'!B:E,4,0)*LOG(I2353))),0),"")</f>
        <v/>
      </c>
      <c r="AA2353" s="104" t="str">
        <f>IFERROR((VLOOKUP(D2353,'Species Codes'!B:G,6,0)*Z2353)/2000,"")</f>
        <v/>
      </c>
      <c r="AB2353" s="104" t="e">
        <f>IF(Z2353&gt;0,((IF(OR(D2353="DF",D2353="RA")=TRUE,EXP(VLOOKUP(D2353,'Species Codes'!B:I,8,0)+VLOOKUP(D2353,'Species Codes'!B:J,9,0)*(LN((E2353*2.54)))),IF(OR(D2353="PY",D2353="RC",D2353="WH",D2353="NF")=TRUE,VLOOKUP(D2353,'Species Codes'!B:I,8,0)+VLOOKUP(D2353,'Species Codes'!B:J,9,0)*((E2353*2.54)^2)*(I2353*0.3048),IF(OR(D2353="MD",D2353="BM",D2353="GA")=TRUE,((VLOOKUP(D2353,'Species Codes'!B:I,8,0)*(((((E2353*2.54)+VLOOKUP(D2353,'Species Codes'!B:J,9,0))/VLOOKUP(D2353,'Species Codes'!B:K,10,0))^VLOOKUP(D2353,'Species Codes'!B:L,11,0))*((I2353*0.3048)^VLOOKUP(D2353,'Species Codes'!B:M,12,0))))-(VLOOKUP(D2353,'Species Codes'!B:I,8,0)*((((E2353*2.54)^VLOOKUP(D2353,'Species Codes'!B:L,11,0))*((I2353*0.3048)^VLOOKUP(D2353,'Species Codes'!B:M,12,0))))))*35.3*VLOOKUP(D2353,'Species Codes'!B:G,6,0)/2.2046,VLOOKUP(D2353,'Species Codes'!B:I,8,0)+VLOOKUP(D2353,'Species Codes'!B:J,9,0)*(((E2353*2.54)/100)^2)*(I2353*0.3048)))))*0.0011023),0)</f>
        <v>#N/A</v>
      </c>
      <c r="AC2353" s="104" t="e">
        <f>IF(Z2353&gt;0,((IF(OR(D2353="RA",D2353="OA",D2353="OT",D2353="UN",D2353="PC"),EXP(VLOOKUP(D2353,'Species Codes'!B:O,14,0)+VLOOKUP(D2353,'Species Codes'!B:P,15,0)*LN((E2353*2.54)))-EXP(VLOOKUP(D2353,'Species Codes'!B:O,14,0)+VLOOKUP(D2353,'Species Codes'!B:P,15,0)*LN((E2353*2.54)))*(1/(VLOOKUP(D2353,'Species Codes'!B:Q,16,0)+VLOOKUP(D2353,'Species Codes'!B:R,17,0)*((E2353*2.54)^VLOOKUP(D2353,'Species Codes'!B:S,18,0)))),IF(OR(D2353="BM",D2353="MD",D2353="OA"),EXP(VLOOKUP(D2353,'Species Codes'!B:O,14,0)+VLOOKUP(D2353,'Species Codes'!B:P,15,0)*LN((E2353*2.54)))*(1-(1/(VLOOKUP(D2353,'Species Codes'!B:Q,16,0)+VLOOKUP(D2353,'Species Codes'!B:R,17,0)*((E2353*2.54)^VLOOKUP(D2353,'Species Codes'!B:S,18,0)))))/1000,IF(D2353="DF",EXP(VLOOKUP(D2353,'Species Codes'!B:O,14,0)+VLOOKUP(D2353,'Species Codes'!B:P,15,0)*LN((E2353*2.54))),VLOOKUP(D2353,'Species Codes'!B:O,14,0)+VLOOKUP(D2353,'Species Codes'!B:P,15,0)*(((E2353*2.54)/100)^2)*(I2353*0.3048)))))*0.0011023),0)</f>
        <v>#N/A</v>
      </c>
      <c r="AD2353" s="104" t="e">
        <f t="shared" si="1030"/>
        <v>#N/A</v>
      </c>
      <c r="AE2353" s="104" t="e">
        <f t="shared" si="1031"/>
        <v>#N/A</v>
      </c>
      <c r="AF2353" s="104" t="e">
        <f>IF(AND(VLOOKUP($D2353,Merchantability!$B:$C,2,0)="Yes",$E2353&gt;=VLOOKUP($D2353,Merchantability!$B:$D,3,0),$E2353&lt;=VLOOKUP($D2353,Merchantability!$B:$E,4,0)),AA2353,0)</f>
        <v>#N/A</v>
      </c>
      <c r="AG2353" s="104" t="e">
        <f>IF(AND(VLOOKUP($D2353,Merchantability!$B:$C,2,0)="Yes",$E2353&gt;=VLOOKUP($D2353,Merchantability!$B:$D,3,0),$E2353&lt;=VLOOKUP($D2353,Merchantability!$B:$E,4,0)),AB2353,0)</f>
        <v>#N/A</v>
      </c>
      <c r="AH2353" s="104" t="e">
        <f>IF(AND(VLOOKUP($D2353,Merchantability!$B:$C,2,0)="Yes",$E2353&gt;=VLOOKUP($D2353,Merchantability!$B:$D,3,0),$E2353&lt;=VLOOKUP($D2353,Merchantability!$B:$E,4,0)),AC2353,0)</f>
        <v>#N/A</v>
      </c>
      <c r="AI2353" s="104" t="e">
        <f t="shared" si="1032"/>
        <v>#N/A</v>
      </c>
      <c r="AJ2353" s="104" t="e">
        <f t="shared" si="1033"/>
        <v>#VALUE!</v>
      </c>
      <c r="AK2353" s="104" t="e">
        <f t="shared" si="1034"/>
        <v>#N/A</v>
      </c>
      <c r="AL2353" s="104" t="e">
        <f t="shared" si="1035"/>
        <v>#N/A</v>
      </c>
      <c r="AM2353" s="104" t="e">
        <f t="shared" si="1036"/>
        <v>#N/A</v>
      </c>
      <c r="AN2353" s="104" t="e">
        <f t="shared" si="1020"/>
        <v>#N/A</v>
      </c>
      <c r="AO2353" s="104" t="e">
        <f t="shared" si="1021"/>
        <v>#N/A</v>
      </c>
      <c r="AP2353" s="104" t="e">
        <f t="shared" si="1022"/>
        <v>#N/A</v>
      </c>
      <c r="AQ2353" s="104" t="e">
        <f t="shared" si="1023"/>
        <v>#N/A</v>
      </c>
      <c r="AR2353" s="105" t="str">
        <f t="shared" si="1015"/>
        <v/>
      </c>
      <c r="AS2353" s="105" t="str">
        <f t="shared" si="1016"/>
        <v/>
      </c>
      <c r="AT2353" s="108" t="str">
        <f t="shared" si="1017"/>
        <v/>
      </c>
      <c r="AU2353" s="108" t="str">
        <f t="shared" si="1018"/>
        <v/>
      </c>
      <c r="AV2353" s="107" t="str">
        <f>IF(ISNUMBER(O2353),IF(VLOOKUP($A2353,Stand!C:J,8,FALSE)="Short",AT2353,AU2353),"")</f>
        <v/>
      </c>
      <c r="AW2353" s="109" t="str">
        <f t="shared" si="1024"/>
        <v/>
      </c>
      <c r="AX2353" s="109" t="str">
        <f t="shared" si="1025"/>
        <v/>
      </c>
      <c r="AY2353" s="112" t="str">
        <f>IF(ISNUMBER(O2353),IF(AND(VLOOKUP($D2353,Merchantability!$B:$C,2,0)="Yes",$E2353&gt;=VLOOKUP($D2353,Merchantability!$B:$D,3,0),$E2353&lt;=VLOOKUP($D2353,Merchantability!$B:$E,4,0)),(AV2353*O2353)*(1-$H2353/100),""),"")</f>
        <v/>
      </c>
      <c r="AZ2353" s="116"/>
      <c r="BA2353" s="116"/>
      <c r="BB2353" s="116"/>
      <c r="BE2353" s="62"/>
      <c r="BF2353" s="63"/>
    </row>
    <row r="2354" spans="1:58" ht="12.75" customHeight="1" x14ac:dyDescent="0.25">
      <c r="A2354" s="334"/>
      <c r="B2354" s="334"/>
      <c r="C2354" s="332"/>
      <c r="D2354" s="334"/>
      <c r="E2354" s="335"/>
      <c r="F2354" s="334"/>
      <c r="G2354" s="332"/>
      <c r="H2354" s="332"/>
      <c r="I2354" s="334"/>
      <c r="J2354" s="336"/>
      <c r="K2354" s="332"/>
      <c r="L2354" s="332"/>
      <c r="M2354" s="76"/>
      <c r="N2354" s="103" t="str">
        <f>IF(A2354="","",VLOOKUP(A2354,Stand!C:K,9,0))</f>
        <v/>
      </c>
      <c r="O2354" s="104" t="str">
        <f t="shared" si="1010"/>
        <v/>
      </c>
      <c r="P2354" s="105" t="str">
        <f t="shared" si="1011"/>
        <v/>
      </c>
      <c r="Q2354" s="105" t="str">
        <f t="shared" si="1026"/>
        <v/>
      </c>
      <c r="R2354" s="103" t="str">
        <f t="shared" si="1012"/>
        <v/>
      </c>
      <c r="S2354" s="103" t="str">
        <f t="shared" si="1013"/>
        <v/>
      </c>
      <c r="T2354" s="106" t="str">
        <f t="shared" si="1027"/>
        <v/>
      </c>
      <c r="U2354" s="106" t="str">
        <f t="shared" si="1028"/>
        <v/>
      </c>
      <c r="V2354" s="106" t="str">
        <f t="shared" si="1029"/>
        <v/>
      </c>
      <c r="W2354" s="105" t="str">
        <f t="shared" si="1014"/>
        <v/>
      </c>
      <c r="X2354" s="104" t="str">
        <f t="shared" si="1019"/>
        <v/>
      </c>
      <c r="Y2354" s="104" t="str">
        <f t="array" ref="Y2354">IFERROR(IF(ISNUMBER(O2354),IF(COUNT(IF(A2354=$A$2:$A$2427,IF(D2354=$D$2:$D$2427,IF($X$2:$X$2427&gt;0,1))))&gt;0,SUM(IF(A2354=$A$2:$A$2427,IF(D2354=$D$2:$D$2427,$X$2:$X$2427)))/COUNT(IF(A2354=$A$2:$A$2427,IF(D2354=$D$2:$D$2427,IF(ISNUMBER($X$2:$X$2427),1)))),0),""),0)</f>
        <v/>
      </c>
      <c r="Z2354" s="104" t="str">
        <f>IF(ISNUMBER(O2354),IF(I2354&gt;0,(10^(VLOOKUP(D2354,'Species Codes'!B:C,2,0)+VLOOKUP(D2354,'Species Codes'!B:D,3,0)*LOG(E2354)+VLOOKUP(D2354,'Species Codes'!B:E,4,0)*LOG(I2354))),0),"")</f>
        <v/>
      </c>
      <c r="AA2354" s="104" t="str">
        <f>IFERROR((VLOOKUP(D2354,'Species Codes'!B:G,6,0)*Z2354)/2000,"")</f>
        <v/>
      </c>
      <c r="AB2354" s="104" t="e">
        <f>IF(Z2354&gt;0,((IF(OR(D2354="DF",D2354="RA")=TRUE,EXP(VLOOKUP(D2354,'Species Codes'!B:I,8,0)+VLOOKUP(D2354,'Species Codes'!B:J,9,0)*(LN((E2354*2.54)))),IF(OR(D2354="PY",D2354="RC",D2354="WH",D2354="NF")=TRUE,VLOOKUP(D2354,'Species Codes'!B:I,8,0)+VLOOKUP(D2354,'Species Codes'!B:J,9,0)*((E2354*2.54)^2)*(I2354*0.3048),IF(OR(D2354="MD",D2354="BM",D2354="GA")=TRUE,((VLOOKUP(D2354,'Species Codes'!B:I,8,0)*(((((E2354*2.54)+VLOOKUP(D2354,'Species Codes'!B:J,9,0))/VLOOKUP(D2354,'Species Codes'!B:K,10,0))^VLOOKUP(D2354,'Species Codes'!B:L,11,0))*((I2354*0.3048)^VLOOKUP(D2354,'Species Codes'!B:M,12,0))))-(VLOOKUP(D2354,'Species Codes'!B:I,8,0)*((((E2354*2.54)^VLOOKUP(D2354,'Species Codes'!B:L,11,0))*((I2354*0.3048)^VLOOKUP(D2354,'Species Codes'!B:M,12,0))))))*35.3*VLOOKUP(D2354,'Species Codes'!B:G,6,0)/2.2046,VLOOKUP(D2354,'Species Codes'!B:I,8,0)+VLOOKUP(D2354,'Species Codes'!B:J,9,0)*(((E2354*2.54)/100)^2)*(I2354*0.3048)))))*0.0011023),0)</f>
        <v>#N/A</v>
      </c>
      <c r="AC2354" s="104" t="e">
        <f>IF(Z2354&gt;0,((IF(OR(D2354="RA",D2354="OA",D2354="OT",D2354="UN",D2354="PC"),EXP(VLOOKUP(D2354,'Species Codes'!B:O,14,0)+VLOOKUP(D2354,'Species Codes'!B:P,15,0)*LN((E2354*2.54)))-EXP(VLOOKUP(D2354,'Species Codes'!B:O,14,0)+VLOOKUP(D2354,'Species Codes'!B:P,15,0)*LN((E2354*2.54)))*(1/(VLOOKUP(D2354,'Species Codes'!B:Q,16,0)+VLOOKUP(D2354,'Species Codes'!B:R,17,0)*((E2354*2.54)^VLOOKUP(D2354,'Species Codes'!B:S,18,0)))),IF(OR(D2354="BM",D2354="MD",D2354="OA"),EXP(VLOOKUP(D2354,'Species Codes'!B:O,14,0)+VLOOKUP(D2354,'Species Codes'!B:P,15,0)*LN((E2354*2.54)))*(1-(1/(VLOOKUP(D2354,'Species Codes'!B:Q,16,0)+VLOOKUP(D2354,'Species Codes'!B:R,17,0)*((E2354*2.54)^VLOOKUP(D2354,'Species Codes'!B:S,18,0)))))/1000,IF(D2354="DF",EXP(VLOOKUP(D2354,'Species Codes'!B:O,14,0)+VLOOKUP(D2354,'Species Codes'!B:P,15,0)*LN((E2354*2.54))),VLOOKUP(D2354,'Species Codes'!B:O,14,0)+VLOOKUP(D2354,'Species Codes'!B:P,15,0)*(((E2354*2.54)/100)^2)*(I2354*0.3048)))))*0.0011023),0)</f>
        <v>#N/A</v>
      </c>
      <c r="AD2354" s="104" t="e">
        <f t="shared" si="1030"/>
        <v>#N/A</v>
      </c>
      <c r="AE2354" s="104" t="e">
        <f t="shared" si="1031"/>
        <v>#N/A</v>
      </c>
      <c r="AF2354" s="104" t="e">
        <f>IF(AND(VLOOKUP($D2354,Merchantability!$B:$C,2,0)="Yes",$E2354&gt;=VLOOKUP($D2354,Merchantability!$B:$D,3,0),$E2354&lt;=VLOOKUP($D2354,Merchantability!$B:$E,4,0)),AA2354,0)</f>
        <v>#N/A</v>
      </c>
      <c r="AG2354" s="104" t="e">
        <f>IF(AND(VLOOKUP($D2354,Merchantability!$B:$C,2,0)="Yes",$E2354&gt;=VLOOKUP($D2354,Merchantability!$B:$D,3,0),$E2354&lt;=VLOOKUP($D2354,Merchantability!$B:$E,4,0)),AB2354,0)</f>
        <v>#N/A</v>
      </c>
      <c r="AH2354" s="104" t="e">
        <f>IF(AND(VLOOKUP($D2354,Merchantability!$B:$C,2,0)="Yes",$E2354&gt;=VLOOKUP($D2354,Merchantability!$B:$D,3,0),$E2354&lt;=VLOOKUP($D2354,Merchantability!$B:$E,4,0)),AC2354,0)</f>
        <v>#N/A</v>
      </c>
      <c r="AI2354" s="104" t="e">
        <f t="shared" si="1032"/>
        <v>#N/A</v>
      </c>
      <c r="AJ2354" s="104" t="e">
        <f t="shared" si="1033"/>
        <v>#VALUE!</v>
      </c>
      <c r="AK2354" s="104" t="e">
        <f t="shared" si="1034"/>
        <v>#N/A</v>
      </c>
      <c r="AL2354" s="104" t="e">
        <f t="shared" si="1035"/>
        <v>#N/A</v>
      </c>
      <c r="AM2354" s="104" t="e">
        <f t="shared" si="1036"/>
        <v>#N/A</v>
      </c>
      <c r="AN2354" s="104" t="e">
        <f t="shared" si="1020"/>
        <v>#N/A</v>
      </c>
      <c r="AO2354" s="104" t="e">
        <f t="shared" si="1021"/>
        <v>#N/A</v>
      </c>
      <c r="AP2354" s="104" t="e">
        <f t="shared" si="1022"/>
        <v>#N/A</v>
      </c>
      <c r="AQ2354" s="104" t="e">
        <f t="shared" si="1023"/>
        <v>#N/A</v>
      </c>
      <c r="AR2354" s="105" t="str">
        <f t="shared" si="1015"/>
        <v/>
      </c>
      <c r="AS2354" s="105" t="str">
        <f t="shared" si="1016"/>
        <v/>
      </c>
      <c r="AT2354" s="108" t="str">
        <f t="shared" si="1017"/>
        <v/>
      </c>
      <c r="AU2354" s="108" t="str">
        <f t="shared" si="1018"/>
        <v/>
      </c>
      <c r="AV2354" s="107" t="str">
        <f>IF(ISNUMBER(O2354),IF(VLOOKUP($A2354,Stand!C:J,8,FALSE)="Short",AT2354,AU2354),"")</f>
        <v/>
      </c>
      <c r="AW2354" s="109" t="str">
        <f t="shared" si="1024"/>
        <v/>
      </c>
      <c r="AX2354" s="109" t="str">
        <f t="shared" si="1025"/>
        <v/>
      </c>
      <c r="AY2354" s="112" t="str">
        <f>IF(ISNUMBER(O2354),IF(AND(VLOOKUP($D2354,Merchantability!$B:$C,2,0)="Yes",$E2354&gt;=VLOOKUP($D2354,Merchantability!$B:$D,3,0),$E2354&lt;=VLOOKUP($D2354,Merchantability!$B:$E,4,0)),(AV2354*O2354)*(1-$H2354/100),""),"")</f>
        <v/>
      </c>
      <c r="AZ2354" s="116"/>
      <c r="BA2354" s="116"/>
      <c r="BB2354" s="116"/>
      <c r="BE2354" s="62"/>
      <c r="BF2354" s="63"/>
    </row>
    <row r="2355" spans="1:58" ht="12.75" customHeight="1" x14ac:dyDescent="0.25">
      <c r="A2355" s="334"/>
      <c r="B2355" s="334"/>
      <c r="C2355" s="332"/>
      <c r="D2355" s="334"/>
      <c r="E2355" s="335"/>
      <c r="F2355" s="334"/>
      <c r="G2355" s="332"/>
      <c r="H2355" s="332"/>
      <c r="I2355" s="334"/>
      <c r="J2355" s="336"/>
      <c r="K2355" s="332"/>
      <c r="L2355" s="332"/>
      <c r="M2355" s="76"/>
      <c r="N2355" s="103" t="str">
        <f>IF(A2355="","",VLOOKUP(A2355,Stand!C:K,9,0))</f>
        <v/>
      </c>
      <c r="O2355" s="104" t="str">
        <f t="shared" si="1010"/>
        <v/>
      </c>
      <c r="P2355" s="105" t="str">
        <f t="shared" si="1011"/>
        <v/>
      </c>
      <c r="Q2355" s="105" t="str">
        <f t="shared" si="1026"/>
        <v/>
      </c>
      <c r="R2355" s="103" t="str">
        <f t="shared" si="1012"/>
        <v/>
      </c>
      <c r="S2355" s="103" t="str">
        <f t="shared" si="1013"/>
        <v/>
      </c>
      <c r="T2355" s="106" t="str">
        <f t="shared" si="1027"/>
        <v/>
      </c>
      <c r="U2355" s="106" t="str">
        <f t="shared" si="1028"/>
        <v/>
      </c>
      <c r="V2355" s="106" t="str">
        <f t="shared" si="1029"/>
        <v/>
      </c>
      <c r="W2355" s="105" t="str">
        <f t="shared" si="1014"/>
        <v/>
      </c>
      <c r="X2355" s="104" t="str">
        <f t="shared" si="1019"/>
        <v/>
      </c>
      <c r="Y2355" s="104" t="str">
        <f t="array" ref="Y2355">IFERROR(IF(ISNUMBER(O2355),IF(COUNT(IF(A2355=$A$2:$A$2427,IF(D2355=$D$2:$D$2427,IF($X$2:$X$2427&gt;0,1))))&gt;0,SUM(IF(A2355=$A$2:$A$2427,IF(D2355=$D$2:$D$2427,$X$2:$X$2427)))/COUNT(IF(A2355=$A$2:$A$2427,IF(D2355=$D$2:$D$2427,IF(ISNUMBER($X$2:$X$2427),1)))),0),""),0)</f>
        <v/>
      </c>
      <c r="Z2355" s="104" t="str">
        <f>IF(ISNUMBER(O2355),IF(I2355&gt;0,(10^(VLOOKUP(D2355,'Species Codes'!B:C,2,0)+VLOOKUP(D2355,'Species Codes'!B:D,3,0)*LOG(E2355)+VLOOKUP(D2355,'Species Codes'!B:E,4,0)*LOG(I2355))),0),"")</f>
        <v/>
      </c>
      <c r="AA2355" s="104" t="str">
        <f>IFERROR((VLOOKUP(D2355,'Species Codes'!B:G,6,0)*Z2355)/2000,"")</f>
        <v/>
      </c>
      <c r="AB2355" s="104" t="e">
        <f>IF(Z2355&gt;0,((IF(OR(D2355="DF",D2355="RA")=TRUE,EXP(VLOOKUP(D2355,'Species Codes'!B:I,8,0)+VLOOKUP(D2355,'Species Codes'!B:J,9,0)*(LN((E2355*2.54)))),IF(OR(D2355="PY",D2355="RC",D2355="WH",D2355="NF")=TRUE,VLOOKUP(D2355,'Species Codes'!B:I,8,0)+VLOOKUP(D2355,'Species Codes'!B:J,9,0)*((E2355*2.54)^2)*(I2355*0.3048),IF(OR(D2355="MD",D2355="BM",D2355="GA")=TRUE,((VLOOKUP(D2355,'Species Codes'!B:I,8,0)*(((((E2355*2.54)+VLOOKUP(D2355,'Species Codes'!B:J,9,0))/VLOOKUP(D2355,'Species Codes'!B:K,10,0))^VLOOKUP(D2355,'Species Codes'!B:L,11,0))*((I2355*0.3048)^VLOOKUP(D2355,'Species Codes'!B:M,12,0))))-(VLOOKUP(D2355,'Species Codes'!B:I,8,0)*((((E2355*2.54)^VLOOKUP(D2355,'Species Codes'!B:L,11,0))*((I2355*0.3048)^VLOOKUP(D2355,'Species Codes'!B:M,12,0))))))*35.3*VLOOKUP(D2355,'Species Codes'!B:G,6,0)/2.2046,VLOOKUP(D2355,'Species Codes'!B:I,8,0)+VLOOKUP(D2355,'Species Codes'!B:J,9,0)*(((E2355*2.54)/100)^2)*(I2355*0.3048)))))*0.0011023),0)</f>
        <v>#N/A</v>
      </c>
      <c r="AC2355" s="104" t="e">
        <f>IF(Z2355&gt;0,((IF(OR(D2355="RA",D2355="OA",D2355="OT",D2355="UN",D2355="PC"),EXP(VLOOKUP(D2355,'Species Codes'!B:O,14,0)+VLOOKUP(D2355,'Species Codes'!B:P,15,0)*LN((E2355*2.54)))-EXP(VLOOKUP(D2355,'Species Codes'!B:O,14,0)+VLOOKUP(D2355,'Species Codes'!B:P,15,0)*LN((E2355*2.54)))*(1/(VLOOKUP(D2355,'Species Codes'!B:Q,16,0)+VLOOKUP(D2355,'Species Codes'!B:R,17,0)*((E2355*2.54)^VLOOKUP(D2355,'Species Codes'!B:S,18,0)))),IF(OR(D2355="BM",D2355="MD",D2355="OA"),EXP(VLOOKUP(D2355,'Species Codes'!B:O,14,0)+VLOOKUP(D2355,'Species Codes'!B:P,15,0)*LN((E2355*2.54)))*(1-(1/(VLOOKUP(D2355,'Species Codes'!B:Q,16,0)+VLOOKUP(D2355,'Species Codes'!B:R,17,0)*((E2355*2.54)^VLOOKUP(D2355,'Species Codes'!B:S,18,0)))))/1000,IF(D2355="DF",EXP(VLOOKUP(D2355,'Species Codes'!B:O,14,0)+VLOOKUP(D2355,'Species Codes'!B:P,15,0)*LN((E2355*2.54))),VLOOKUP(D2355,'Species Codes'!B:O,14,0)+VLOOKUP(D2355,'Species Codes'!B:P,15,0)*(((E2355*2.54)/100)^2)*(I2355*0.3048)))))*0.0011023),0)</f>
        <v>#N/A</v>
      </c>
      <c r="AD2355" s="104" t="e">
        <f t="shared" si="1030"/>
        <v>#N/A</v>
      </c>
      <c r="AE2355" s="104" t="e">
        <f t="shared" si="1031"/>
        <v>#N/A</v>
      </c>
      <c r="AF2355" s="104" t="e">
        <f>IF(AND(VLOOKUP($D2355,Merchantability!$B:$C,2,0)="Yes",$E2355&gt;=VLOOKUP($D2355,Merchantability!$B:$D,3,0),$E2355&lt;=VLOOKUP($D2355,Merchantability!$B:$E,4,0)),AA2355,0)</f>
        <v>#N/A</v>
      </c>
      <c r="AG2355" s="104" t="e">
        <f>IF(AND(VLOOKUP($D2355,Merchantability!$B:$C,2,0)="Yes",$E2355&gt;=VLOOKUP($D2355,Merchantability!$B:$D,3,0),$E2355&lt;=VLOOKUP($D2355,Merchantability!$B:$E,4,0)),AB2355,0)</f>
        <v>#N/A</v>
      </c>
      <c r="AH2355" s="104" t="e">
        <f>IF(AND(VLOOKUP($D2355,Merchantability!$B:$C,2,0)="Yes",$E2355&gt;=VLOOKUP($D2355,Merchantability!$B:$D,3,0),$E2355&lt;=VLOOKUP($D2355,Merchantability!$B:$E,4,0)),AC2355,0)</f>
        <v>#N/A</v>
      </c>
      <c r="AI2355" s="104" t="e">
        <f t="shared" si="1032"/>
        <v>#N/A</v>
      </c>
      <c r="AJ2355" s="104" t="e">
        <f t="shared" si="1033"/>
        <v>#VALUE!</v>
      </c>
      <c r="AK2355" s="104" t="e">
        <f t="shared" si="1034"/>
        <v>#N/A</v>
      </c>
      <c r="AL2355" s="104" t="e">
        <f t="shared" si="1035"/>
        <v>#N/A</v>
      </c>
      <c r="AM2355" s="104" t="e">
        <f t="shared" si="1036"/>
        <v>#N/A</v>
      </c>
      <c r="AN2355" s="104" t="e">
        <f t="shared" si="1020"/>
        <v>#N/A</v>
      </c>
      <c r="AO2355" s="104" t="e">
        <f t="shared" si="1021"/>
        <v>#N/A</v>
      </c>
      <c r="AP2355" s="104" t="e">
        <f t="shared" si="1022"/>
        <v>#N/A</v>
      </c>
      <c r="AQ2355" s="104" t="e">
        <f t="shared" si="1023"/>
        <v>#N/A</v>
      </c>
      <c r="AR2355" s="105" t="str">
        <f t="shared" si="1015"/>
        <v/>
      </c>
      <c r="AS2355" s="105" t="str">
        <f t="shared" si="1016"/>
        <v/>
      </c>
      <c r="AT2355" s="108" t="str">
        <f t="shared" si="1017"/>
        <v/>
      </c>
      <c r="AU2355" s="108" t="str">
        <f t="shared" si="1018"/>
        <v/>
      </c>
      <c r="AV2355" s="107" t="str">
        <f>IF(ISNUMBER(O2355),IF(VLOOKUP($A2355,Stand!C:J,8,FALSE)="Short",AT2355,AU2355),"")</f>
        <v/>
      </c>
      <c r="AW2355" s="109" t="str">
        <f t="shared" si="1024"/>
        <v/>
      </c>
      <c r="AX2355" s="109" t="str">
        <f t="shared" si="1025"/>
        <v/>
      </c>
      <c r="AY2355" s="112" t="str">
        <f>IF(ISNUMBER(O2355),IF(AND(VLOOKUP($D2355,Merchantability!$B:$C,2,0)="Yes",$E2355&gt;=VLOOKUP($D2355,Merchantability!$B:$D,3,0),$E2355&lt;=VLOOKUP($D2355,Merchantability!$B:$E,4,0)),(AV2355*O2355)*(1-$H2355/100),""),"")</f>
        <v/>
      </c>
      <c r="AZ2355" s="116"/>
      <c r="BA2355" s="116"/>
      <c r="BB2355" s="116"/>
      <c r="BE2355" s="62"/>
      <c r="BF2355" s="63"/>
    </row>
    <row r="2356" spans="1:58" ht="12.75" customHeight="1" x14ac:dyDescent="0.25">
      <c r="A2356" s="334"/>
      <c r="B2356" s="334"/>
      <c r="C2356" s="332"/>
      <c r="D2356" s="334"/>
      <c r="E2356" s="335"/>
      <c r="F2356" s="334"/>
      <c r="G2356" s="332"/>
      <c r="H2356" s="332"/>
      <c r="I2356" s="334"/>
      <c r="J2356" s="336"/>
      <c r="K2356" s="332"/>
      <c r="L2356" s="332"/>
      <c r="M2356" s="76"/>
      <c r="N2356" s="103" t="str">
        <f>IF(A2356="","",VLOOKUP(A2356,Stand!C:K,9,0))</f>
        <v/>
      </c>
      <c r="O2356" s="104" t="str">
        <f t="shared" si="1010"/>
        <v/>
      </c>
      <c r="P2356" s="105" t="str">
        <f t="shared" si="1011"/>
        <v/>
      </c>
      <c r="Q2356" s="105" t="str">
        <f t="shared" si="1026"/>
        <v/>
      </c>
      <c r="R2356" s="103" t="str">
        <f t="shared" si="1012"/>
        <v/>
      </c>
      <c r="S2356" s="103" t="str">
        <f t="shared" si="1013"/>
        <v/>
      </c>
      <c r="T2356" s="106" t="str">
        <f t="shared" si="1027"/>
        <v/>
      </c>
      <c r="U2356" s="106" t="str">
        <f t="shared" si="1028"/>
        <v/>
      </c>
      <c r="V2356" s="106" t="str">
        <f t="shared" si="1029"/>
        <v/>
      </c>
      <c r="W2356" s="105" t="str">
        <f t="shared" si="1014"/>
        <v/>
      </c>
      <c r="X2356" s="104" t="str">
        <f t="shared" si="1019"/>
        <v/>
      </c>
      <c r="Y2356" s="104" t="str">
        <f t="array" ref="Y2356">IFERROR(IF(ISNUMBER(O2356),IF(COUNT(IF(A2356=$A$2:$A$2427,IF(D2356=$D$2:$D$2427,IF($X$2:$X$2427&gt;0,1))))&gt;0,SUM(IF(A2356=$A$2:$A$2427,IF(D2356=$D$2:$D$2427,$X$2:$X$2427)))/COUNT(IF(A2356=$A$2:$A$2427,IF(D2356=$D$2:$D$2427,IF(ISNUMBER($X$2:$X$2427),1)))),0),""),0)</f>
        <v/>
      </c>
      <c r="Z2356" s="104" t="str">
        <f>IF(ISNUMBER(O2356),IF(I2356&gt;0,(10^(VLOOKUP(D2356,'Species Codes'!B:C,2,0)+VLOOKUP(D2356,'Species Codes'!B:D,3,0)*LOG(E2356)+VLOOKUP(D2356,'Species Codes'!B:E,4,0)*LOG(I2356))),0),"")</f>
        <v/>
      </c>
      <c r="AA2356" s="104" t="str">
        <f>IFERROR((VLOOKUP(D2356,'Species Codes'!B:G,6,0)*Z2356)/2000,"")</f>
        <v/>
      </c>
      <c r="AB2356" s="104" t="e">
        <f>IF(Z2356&gt;0,((IF(OR(D2356="DF",D2356="RA")=TRUE,EXP(VLOOKUP(D2356,'Species Codes'!B:I,8,0)+VLOOKUP(D2356,'Species Codes'!B:J,9,0)*(LN((E2356*2.54)))),IF(OR(D2356="PY",D2356="RC",D2356="WH",D2356="NF")=TRUE,VLOOKUP(D2356,'Species Codes'!B:I,8,0)+VLOOKUP(D2356,'Species Codes'!B:J,9,0)*((E2356*2.54)^2)*(I2356*0.3048),IF(OR(D2356="MD",D2356="BM",D2356="GA")=TRUE,((VLOOKUP(D2356,'Species Codes'!B:I,8,0)*(((((E2356*2.54)+VLOOKUP(D2356,'Species Codes'!B:J,9,0))/VLOOKUP(D2356,'Species Codes'!B:K,10,0))^VLOOKUP(D2356,'Species Codes'!B:L,11,0))*((I2356*0.3048)^VLOOKUP(D2356,'Species Codes'!B:M,12,0))))-(VLOOKUP(D2356,'Species Codes'!B:I,8,0)*((((E2356*2.54)^VLOOKUP(D2356,'Species Codes'!B:L,11,0))*((I2356*0.3048)^VLOOKUP(D2356,'Species Codes'!B:M,12,0))))))*35.3*VLOOKUP(D2356,'Species Codes'!B:G,6,0)/2.2046,VLOOKUP(D2356,'Species Codes'!B:I,8,0)+VLOOKUP(D2356,'Species Codes'!B:J,9,0)*(((E2356*2.54)/100)^2)*(I2356*0.3048)))))*0.0011023),0)</f>
        <v>#N/A</v>
      </c>
      <c r="AC2356" s="104" t="e">
        <f>IF(Z2356&gt;0,((IF(OR(D2356="RA",D2356="OA",D2356="OT",D2356="UN",D2356="PC"),EXP(VLOOKUP(D2356,'Species Codes'!B:O,14,0)+VLOOKUP(D2356,'Species Codes'!B:P,15,0)*LN((E2356*2.54)))-EXP(VLOOKUP(D2356,'Species Codes'!B:O,14,0)+VLOOKUP(D2356,'Species Codes'!B:P,15,0)*LN((E2356*2.54)))*(1/(VLOOKUP(D2356,'Species Codes'!B:Q,16,0)+VLOOKUP(D2356,'Species Codes'!B:R,17,0)*((E2356*2.54)^VLOOKUP(D2356,'Species Codes'!B:S,18,0)))),IF(OR(D2356="BM",D2356="MD",D2356="OA"),EXP(VLOOKUP(D2356,'Species Codes'!B:O,14,0)+VLOOKUP(D2356,'Species Codes'!B:P,15,0)*LN((E2356*2.54)))*(1-(1/(VLOOKUP(D2356,'Species Codes'!B:Q,16,0)+VLOOKUP(D2356,'Species Codes'!B:R,17,0)*((E2356*2.54)^VLOOKUP(D2356,'Species Codes'!B:S,18,0)))))/1000,IF(D2356="DF",EXP(VLOOKUP(D2356,'Species Codes'!B:O,14,0)+VLOOKUP(D2356,'Species Codes'!B:P,15,0)*LN((E2356*2.54))),VLOOKUP(D2356,'Species Codes'!B:O,14,0)+VLOOKUP(D2356,'Species Codes'!B:P,15,0)*(((E2356*2.54)/100)^2)*(I2356*0.3048)))))*0.0011023),0)</f>
        <v>#N/A</v>
      </c>
      <c r="AD2356" s="104" t="e">
        <f t="shared" si="1030"/>
        <v>#N/A</v>
      </c>
      <c r="AE2356" s="104" t="e">
        <f t="shared" si="1031"/>
        <v>#N/A</v>
      </c>
      <c r="AF2356" s="104" t="e">
        <f>IF(AND(VLOOKUP($D2356,Merchantability!$B:$C,2,0)="Yes",$E2356&gt;=VLOOKUP($D2356,Merchantability!$B:$D,3,0),$E2356&lt;=VLOOKUP($D2356,Merchantability!$B:$E,4,0)),AA2356,0)</f>
        <v>#N/A</v>
      </c>
      <c r="AG2356" s="104" t="e">
        <f>IF(AND(VLOOKUP($D2356,Merchantability!$B:$C,2,0)="Yes",$E2356&gt;=VLOOKUP($D2356,Merchantability!$B:$D,3,0),$E2356&lt;=VLOOKUP($D2356,Merchantability!$B:$E,4,0)),AB2356,0)</f>
        <v>#N/A</v>
      </c>
      <c r="AH2356" s="104" t="e">
        <f>IF(AND(VLOOKUP($D2356,Merchantability!$B:$C,2,0)="Yes",$E2356&gt;=VLOOKUP($D2356,Merchantability!$B:$D,3,0),$E2356&lt;=VLOOKUP($D2356,Merchantability!$B:$E,4,0)),AC2356,0)</f>
        <v>#N/A</v>
      </c>
      <c r="AI2356" s="104" t="e">
        <f t="shared" si="1032"/>
        <v>#N/A</v>
      </c>
      <c r="AJ2356" s="104" t="e">
        <f t="shared" si="1033"/>
        <v>#VALUE!</v>
      </c>
      <c r="AK2356" s="104" t="e">
        <f t="shared" si="1034"/>
        <v>#N/A</v>
      </c>
      <c r="AL2356" s="104" t="e">
        <f t="shared" si="1035"/>
        <v>#N/A</v>
      </c>
      <c r="AM2356" s="104" t="e">
        <f t="shared" si="1036"/>
        <v>#N/A</v>
      </c>
      <c r="AN2356" s="104" t="e">
        <f t="shared" si="1020"/>
        <v>#N/A</v>
      </c>
      <c r="AO2356" s="104" t="e">
        <f t="shared" si="1021"/>
        <v>#N/A</v>
      </c>
      <c r="AP2356" s="104" t="e">
        <f t="shared" si="1022"/>
        <v>#N/A</v>
      </c>
      <c r="AQ2356" s="104" t="e">
        <f t="shared" si="1023"/>
        <v>#N/A</v>
      </c>
      <c r="AR2356" s="105" t="str">
        <f t="shared" si="1015"/>
        <v/>
      </c>
      <c r="AS2356" s="105" t="str">
        <f t="shared" si="1016"/>
        <v/>
      </c>
      <c r="AT2356" s="108" t="str">
        <f t="shared" si="1017"/>
        <v/>
      </c>
      <c r="AU2356" s="108" t="str">
        <f t="shared" si="1018"/>
        <v/>
      </c>
      <c r="AV2356" s="107" t="str">
        <f>IF(ISNUMBER(O2356),IF(VLOOKUP($A2356,Stand!C:J,8,FALSE)="Short",AT2356,AU2356),"")</f>
        <v/>
      </c>
      <c r="AW2356" s="109" t="str">
        <f t="shared" si="1024"/>
        <v/>
      </c>
      <c r="AX2356" s="109" t="str">
        <f t="shared" si="1025"/>
        <v/>
      </c>
      <c r="AY2356" s="112" t="str">
        <f>IF(ISNUMBER(O2356),IF(AND(VLOOKUP($D2356,Merchantability!$B:$C,2,0)="Yes",$E2356&gt;=VLOOKUP($D2356,Merchantability!$B:$D,3,0),$E2356&lt;=VLOOKUP($D2356,Merchantability!$B:$E,4,0)),(AV2356*O2356)*(1-$H2356/100),""),"")</f>
        <v/>
      </c>
      <c r="AZ2356" s="116"/>
      <c r="BA2356" s="116"/>
      <c r="BB2356" s="116"/>
      <c r="BE2356" s="62"/>
      <c r="BF2356" s="63"/>
    </row>
    <row r="2357" spans="1:58" ht="12.75" customHeight="1" x14ac:dyDescent="0.25">
      <c r="A2357" s="334"/>
      <c r="B2357" s="334"/>
      <c r="C2357" s="332"/>
      <c r="D2357" s="334"/>
      <c r="E2357" s="335"/>
      <c r="F2357" s="334"/>
      <c r="G2357" s="332"/>
      <c r="H2357" s="332"/>
      <c r="I2357" s="334"/>
      <c r="J2357" s="336"/>
      <c r="K2357" s="332"/>
      <c r="L2357" s="332"/>
      <c r="M2357" s="76"/>
      <c r="N2357" s="103" t="str">
        <f>IF(A2357="","",VLOOKUP(A2357,Stand!C:K,9,0))</f>
        <v/>
      </c>
      <c r="O2357" s="104" t="str">
        <f t="shared" si="1010"/>
        <v/>
      </c>
      <c r="P2357" s="105" t="str">
        <f t="shared" si="1011"/>
        <v/>
      </c>
      <c r="Q2357" s="105" t="str">
        <f t="shared" si="1026"/>
        <v/>
      </c>
      <c r="R2357" s="103" t="str">
        <f t="shared" si="1012"/>
        <v/>
      </c>
      <c r="S2357" s="103" t="str">
        <f t="shared" si="1013"/>
        <v/>
      </c>
      <c r="T2357" s="106" t="str">
        <f t="shared" si="1027"/>
        <v/>
      </c>
      <c r="U2357" s="106" t="str">
        <f t="shared" si="1028"/>
        <v/>
      </c>
      <c r="V2357" s="106" t="str">
        <f t="shared" si="1029"/>
        <v/>
      </c>
      <c r="W2357" s="105" t="str">
        <f t="shared" si="1014"/>
        <v/>
      </c>
      <c r="X2357" s="104" t="str">
        <f t="shared" si="1019"/>
        <v/>
      </c>
      <c r="Y2357" s="104" t="str">
        <f t="array" ref="Y2357">IFERROR(IF(ISNUMBER(O2357),IF(COUNT(IF(A2357=$A$2:$A$2427,IF(D2357=$D$2:$D$2427,IF($X$2:$X$2427&gt;0,1))))&gt;0,SUM(IF(A2357=$A$2:$A$2427,IF(D2357=$D$2:$D$2427,$X$2:$X$2427)))/COUNT(IF(A2357=$A$2:$A$2427,IF(D2357=$D$2:$D$2427,IF(ISNUMBER($X$2:$X$2427),1)))),0),""),0)</f>
        <v/>
      </c>
      <c r="Z2357" s="104" t="str">
        <f>IF(ISNUMBER(O2357),IF(I2357&gt;0,(10^(VLOOKUP(D2357,'Species Codes'!B:C,2,0)+VLOOKUP(D2357,'Species Codes'!B:D,3,0)*LOG(E2357)+VLOOKUP(D2357,'Species Codes'!B:E,4,0)*LOG(I2357))),0),"")</f>
        <v/>
      </c>
      <c r="AA2357" s="104" t="str">
        <f>IFERROR((VLOOKUP(D2357,'Species Codes'!B:G,6,0)*Z2357)/2000,"")</f>
        <v/>
      </c>
      <c r="AB2357" s="104" t="e">
        <f>IF(Z2357&gt;0,((IF(OR(D2357="DF",D2357="RA")=TRUE,EXP(VLOOKUP(D2357,'Species Codes'!B:I,8,0)+VLOOKUP(D2357,'Species Codes'!B:J,9,0)*(LN((E2357*2.54)))),IF(OR(D2357="PY",D2357="RC",D2357="WH",D2357="NF")=TRUE,VLOOKUP(D2357,'Species Codes'!B:I,8,0)+VLOOKUP(D2357,'Species Codes'!B:J,9,0)*((E2357*2.54)^2)*(I2357*0.3048),IF(OR(D2357="MD",D2357="BM",D2357="GA")=TRUE,((VLOOKUP(D2357,'Species Codes'!B:I,8,0)*(((((E2357*2.54)+VLOOKUP(D2357,'Species Codes'!B:J,9,0))/VLOOKUP(D2357,'Species Codes'!B:K,10,0))^VLOOKUP(D2357,'Species Codes'!B:L,11,0))*((I2357*0.3048)^VLOOKUP(D2357,'Species Codes'!B:M,12,0))))-(VLOOKUP(D2357,'Species Codes'!B:I,8,0)*((((E2357*2.54)^VLOOKUP(D2357,'Species Codes'!B:L,11,0))*((I2357*0.3048)^VLOOKUP(D2357,'Species Codes'!B:M,12,0))))))*35.3*VLOOKUP(D2357,'Species Codes'!B:G,6,0)/2.2046,VLOOKUP(D2357,'Species Codes'!B:I,8,0)+VLOOKUP(D2357,'Species Codes'!B:J,9,0)*(((E2357*2.54)/100)^2)*(I2357*0.3048)))))*0.0011023),0)</f>
        <v>#N/A</v>
      </c>
      <c r="AC2357" s="104" t="e">
        <f>IF(Z2357&gt;0,((IF(OR(D2357="RA",D2357="OA",D2357="OT",D2357="UN",D2357="PC"),EXP(VLOOKUP(D2357,'Species Codes'!B:O,14,0)+VLOOKUP(D2357,'Species Codes'!B:P,15,0)*LN((E2357*2.54)))-EXP(VLOOKUP(D2357,'Species Codes'!B:O,14,0)+VLOOKUP(D2357,'Species Codes'!B:P,15,0)*LN((E2357*2.54)))*(1/(VLOOKUP(D2357,'Species Codes'!B:Q,16,0)+VLOOKUP(D2357,'Species Codes'!B:R,17,0)*((E2357*2.54)^VLOOKUP(D2357,'Species Codes'!B:S,18,0)))),IF(OR(D2357="BM",D2357="MD",D2357="OA"),EXP(VLOOKUP(D2357,'Species Codes'!B:O,14,0)+VLOOKUP(D2357,'Species Codes'!B:P,15,0)*LN((E2357*2.54)))*(1-(1/(VLOOKUP(D2357,'Species Codes'!B:Q,16,0)+VLOOKUP(D2357,'Species Codes'!B:R,17,0)*((E2357*2.54)^VLOOKUP(D2357,'Species Codes'!B:S,18,0)))))/1000,IF(D2357="DF",EXP(VLOOKUP(D2357,'Species Codes'!B:O,14,0)+VLOOKUP(D2357,'Species Codes'!B:P,15,0)*LN((E2357*2.54))),VLOOKUP(D2357,'Species Codes'!B:O,14,0)+VLOOKUP(D2357,'Species Codes'!B:P,15,0)*(((E2357*2.54)/100)^2)*(I2357*0.3048)))))*0.0011023),0)</f>
        <v>#N/A</v>
      </c>
      <c r="AD2357" s="104" t="e">
        <f t="shared" si="1030"/>
        <v>#N/A</v>
      </c>
      <c r="AE2357" s="104" t="e">
        <f t="shared" si="1031"/>
        <v>#N/A</v>
      </c>
      <c r="AF2357" s="104" t="e">
        <f>IF(AND(VLOOKUP($D2357,Merchantability!$B:$C,2,0)="Yes",$E2357&gt;=VLOOKUP($D2357,Merchantability!$B:$D,3,0),$E2357&lt;=VLOOKUP($D2357,Merchantability!$B:$E,4,0)),AA2357,0)</f>
        <v>#N/A</v>
      </c>
      <c r="AG2357" s="104" t="e">
        <f>IF(AND(VLOOKUP($D2357,Merchantability!$B:$C,2,0)="Yes",$E2357&gt;=VLOOKUP($D2357,Merchantability!$B:$D,3,0),$E2357&lt;=VLOOKUP($D2357,Merchantability!$B:$E,4,0)),AB2357,0)</f>
        <v>#N/A</v>
      </c>
      <c r="AH2357" s="104" t="e">
        <f>IF(AND(VLOOKUP($D2357,Merchantability!$B:$C,2,0)="Yes",$E2357&gt;=VLOOKUP($D2357,Merchantability!$B:$D,3,0),$E2357&lt;=VLOOKUP($D2357,Merchantability!$B:$E,4,0)),AC2357,0)</f>
        <v>#N/A</v>
      </c>
      <c r="AI2357" s="104" t="e">
        <f t="shared" si="1032"/>
        <v>#N/A</v>
      </c>
      <c r="AJ2357" s="104" t="e">
        <f t="shared" si="1033"/>
        <v>#VALUE!</v>
      </c>
      <c r="AK2357" s="104" t="e">
        <f t="shared" si="1034"/>
        <v>#N/A</v>
      </c>
      <c r="AL2357" s="104" t="e">
        <f t="shared" si="1035"/>
        <v>#N/A</v>
      </c>
      <c r="AM2357" s="104" t="e">
        <f t="shared" si="1036"/>
        <v>#N/A</v>
      </c>
      <c r="AN2357" s="104" t="e">
        <f t="shared" si="1020"/>
        <v>#N/A</v>
      </c>
      <c r="AO2357" s="104" t="e">
        <f t="shared" si="1021"/>
        <v>#N/A</v>
      </c>
      <c r="AP2357" s="104" t="e">
        <f t="shared" si="1022"/>
        <v>#N/A</v>
      </c>
      <c r="AQ2357" s="104" t="e">
        <f t="shared" si="1023"/>
        <v>#N/A</v>
      </c>
      <c r="AR2357" s="105" t="str">
        <f t="shared" si="1015"/>
        <v/>
      </c>
      <c r="AS2357" s="105" t="str">
        <f t="shared" si="1016"/>
        <v/>
      </c>
      <c r="AT2357" s="108" t="str">
        <f t="shared" si="1017"/>
        <v/>
      </c>
      <c r="AU2357" s="108" t="str">
        <f t="shared" si="1018"/>
        <v/>
      </c>
      <c r="AV2357" s="107" t="str">
        <f>IF(ISNUMBER(O2357),IF(VLOOKUP($A2357,Stand!C:J,8,FALSE)="Short",AT2357,AU2357),"")</f>
        <v/>
      </c>
      <c r="AW2357" s="109" t="str">
        <f t="shared" si="1024"/>
        <v/>
      </c>
      <c r="AX2357" s="109" t="str">
        <f t="shared" si="1025"/>
        <v/>
      </c>
      <c r="AY2357" s="112" t="str">
        <f>IF(ISNUMBER(O2357),IF(AND(VLOOKUP($D2357,Merchantability!$B:$C,2,0)="Yes",$E2357&gt;=VLOOKUP($D2357,Merchantability!$B:$D,3,0),$E2357&lt;=VLOOKUP($D2357,Merchantability!$B:$E,4,0)),(AV2357*O2357)*(1-$H2357/100),""),"")</f>
        <v/>
      </c>
      <c r="AZ2357" s="116"/>
      <c r="BA2357" s="116"/>
      <c r="BB2357" s="116"/>
      <c r="BE2357" s="62"/>
      <c r="BF2357" s="63"/>
    </row>
    <row r="2358" spans="1:58" ht="12.75" customHeight="1" x14ac:dyDescent="0.25">
      <c r="A2358" s="334"/>
      <c r="B2358" s="334"/>
      <c r="C2358" s="332"/>
      <c r="D2358" s="334"/>
      <c r="E2358" s="335"/>
      <c r="F2358" s="334"/>
      <c r="G2358" s="332"/>
      <c r="H2358" s="332"/>
      <c r="I2358" s="334"/>
      <c r="J2358" s="336"/>
      <c r="K2358" s="332"/>
      <c r="L2358" s="332"/>
      <c r="M2358" s="76"/>
      <c r="N2358" s="103" t="str">
        <f>IF(A2358="","",VLOOKUP(A2358,Stand!C:K,9,0))</f>
        <v/>
      </c>
      <c r="O2358" s="104" t="str">
        <f t="shared" si="1010"/>
        <v/>
      </c>
      <c r="P2358" s="105" t="str">
        <f t="shared" si="1011"/>
        <v/>
      </c>
      <c r="Q2358" s="105" t="str">
        <f t="shared" si="1026"/>
        <v/>
      </c>
      <c r="R2358" s="103" t="str">
        <f t="shared" si="1012"/>
        <v/>
      </c>
      <c r="S2358" s="103" t="str">
        <f t="shared" si="1013"/>
        <v/>
      </c>
      <c r="T2358" s="106" t="str">
        <f t="shared" si="1027"/>
        <v/>
      </c>
      <c r="U2358" s="106" t="str">
        <f t="shared" si="1028"/>
        <v/>
      </c>
      <c r="V2358" s="106" t="str">
        <f t="shared" si="1029"/>
        <v/>
      </c>
      <c r="W2358" s="105" t="str">
        <f t="shared" si="1014"/>
        <v/>
      </c>
      <c r="X2358" s="104" t="str">
        <f t="shared" si="1019"/>
        <v/>
      </c>
      <c r="Y2358" s="104" t="str">
        <f t="array" ref="Y2358">IFERROR(IF(ISNUMBER(O2358),IF(COUNT(IF(A2358=$A$2:$A$2427,IF(D2358=$D$2:$D$2427,IF($X$2:$X$2427&gt;0,1))))&gt;0,SUM(IF(A2358=$A$2:$A$2427,IF(D2358=$D$2:$D$2427,$X$2:$X$2427)))/COUNT(IF(A2358=$A$2:$A$2427,IF(D2358=$D$2:$D$2427,IF(ISNUMBER($X$2:$X$2427),1)))),0),""),0)</f>
        <v/>
      </c>
      <c r="Z2358" s="104" t="str">
        <f>IF(ISNUMBER(O2358),IF(I2358&gt;0,(10^(VLOOKUP(D2358,'Species Codes'!B:C,2,0)+VLOOKUP(D2358,'Species Codes'!B:D,3,0)*LOG(E2358)+VLOOKUP(D2358,'Species Codes'!B:E,4,0)*LOG(I2358))),0),"")</f>
        <v/>
      </c>
      <c r="AA2358" s="104" t="str">
        <f>IFERROR((VLOOKUP(D2358,'Species Codes'!B:G,6,0)*Z2358)/2000,"")</f>
        <v/>
      </c>
      <c r="AB2358" s="104" t="e">
        <f>IF(Z2358&gt;0,((IF(OR(D2358="DF",D2358="RA")=TRUE,EXP(VLOOKUP(D2358,'Species Codes'!B:I,8,0)+VLOOKUP(D2358,'Species Codes'!B:J,9,0)*(LN((E2358*2.54)))),IF(OR(D2358="PY",D2358="RC",D2358="WH",D2358="NF")=TRUE,VLOOKUP(D2358,'Species Codes'!B:I,8,0)+VLOOKUP(D2358,'Species Codes'!B:J,9,0)*((E2358*2.54)^2)*(I2358*0.3048),IF(OR(D2358="MD",D2358="BM",D2358="GA")=TRUE,((VLOOKUP(D2358,'Species Codes'!B:I,8,0)*(((((E2358*2.54)+VLOOKUP(D2358,'Species Codes'!B:J,9,0))/VLOOKUP(D2358,'Species Codes'!B:K,10,0))^VLOOKUP(D2358,'Species Codes'!B:L,11,0))*((I2358*0.3048)^VLOOKUP(D2358,'Species Codes'!B:M,12,0))))-(VLOOKUP(D2358,'Species Codes'!B:I,8,0)*((((E2358*2.54)^VLOOKUP(D2358,'Species Codes'!B:L,11,0))*((I2358*0.3048)^VLOOKUP(D2358,'Species Codes'!B:M,12,0))))))*35.3*VLOOKUP(D2358,'Species Codes'!B:G,6,0)/2.2046,VLOOKUP(D2358,'Species Codes'!B:I,8,0)+VLOOKUP(D2358,'Species Codes'!B:J,9,0)*(((E2358*2.54)/100)^2)*(I2358*0.3048)))))*0.0011023),0)</f>
        <v>#N/A</v>
      </c>
      <c r="AC2358" s="104" t="e">
        <f>IF(Z2358&gt;0,((IF(OR(D2358="RA",D2358="OA",D2358="OT",D2358="UN",D2358="PC"),EXP(VLOOKUP(D2358,'Species Codes'!B:O,14,0)+VLOOKUP(D2358,'Species Codes'!B:P,15,0)*LN((E2358*2.54)))-EXP(VLOOKUP(D2358,'Species Codes'!B:O,14,0)+VLOOKUP(D2358,'Species Codes'!B:P,15,0)*LN((E2358*2.54)))*(1/(VLOOKUP(D2358,'Species Codes'!B:Q,16,0)+VLOOKUP(D2358,'Species Codes'!B:R,17,0)*((E2358*2.54)^VLOOKUP(D2358,'Species Codes'!B:S,18,0)))),IF(OR(D2358="BM",D2358="MD",D2358="OA"),EXP(VLOOKUP(D2358,'Species Codes'!B:O,14,0)+VLOOKUP(D2358,'Species Codes'!B:P,15,0)*LN((E2358*2.54)))*(1-(1/(VLOOKUP(D2358,'Species Codes'!B:Q,16,0)+VLOOKUP(D2358,'Species Codes'!B:R,17,0)*((E2358*2.54)^VLOOKUP(D2358,'Species Codes'!B:S,18,0)))))/1000,IF(D2358="DF",EXP(VLOOKUP(D2358,'Species Codes'!B:O,14,0)+VLOOKUP(D2358,'Species Codes'!B:P,15,0)*LN((E2358*2.54))),VLOOKUP(D2358,'Species Codes'!B:O,14,0)+VLOOKUP(D2358,'Species Codes'!B:P,15,0)*(((E2358*2.54)/100)^2)*(I2358*0.3048)))))*0.0011023),0)</f>
        <v>#N/A</v>
      </c>
      <c r="AD2358" s="104" t="e">
        <f t="shared" si="1030"/>
        <v>#N/A</v>
      </c>
      <c r="AE2358" s="104" t="e">
        <f t="shared" si="1031"/>
        <v>#N/A</v>
      </c>
      <c r="AF2358" s="104" t="e">
        <f>IF(AND(VLOOKUP($D2358,Merchantability!$B:$C,2,0)="Yes",$E2358&gt;=VLOOKUP($D2358,Merchantability!$B:$D,3,0),$E2358&lt;=VLOOKUP($D2358,Merchantability!$B:$E,4,0)),AA2358,0)</f>
        <v>#N/A</v>
      </c>
      <c r="AG2358" s="104" t="e">
        <f>IF(AND(VLOOKUP($D2358,Merchantability!$B:$C,2,0)="Yes",$E2358&gt;=VLOOKUP($D2358,Merchantability!$B:$D,3,0),$E2358&lt;=VLOOKUP($D2358,Merchantability!$B:$E,4,0)),AB2358,0)</f>
        <v>#N/A</v>
      </c>
      <c r="AH2358" s="104" t="e">
        <f>IF(AND(VLOOKUP($D2358,Merchantability!$B:$C,2,0)="Yes",$E2358&gt;=VLOOKUP($D2358,Merchantability!$B:$D,3,0),$E2358&lt;=VLOOKUP($D2358,Merchantability!$B:$E,4,0)),AC2358,0)</f>
        <v>#N/A</v>
      </c>
      <c r="AI2358" s="104" t="e">
        <f t="shared" si="1032"/>
        <v>#N/A</v>
      </c>
      <c r="AJ2358" s="104" t="e">
        <f t="shared" si="1033"/>
        <v>#VALUE!</v>
      </c>
      <c r="AK2358" s="104" t="e">
        <f t="shared" si="1034"/>
        <v>#N/A</v>
      </c>
      <c r="AL2358" s="104" t="e">
        <f t="shared" si="1035"/>
        <v>#N/A</v>
      </c>
      <c r="AM2358" s="104" t="e">
        <f t="shared" si="1036"/>
        <v>#N/A</v>
      </c>
      <c r="AN2358" s="104" t="e">
        <f t="shared" si="1020"/>
        <v>#N/A</v>
      </c>
      <c r="AO2358" s="104" t="e">
        <f t="shared" si="1021"/>
        <v>#N/A</v>
      </c>
      <c r="AP2358" s="104" t="e">
        <f t="shared" si="1022"/>
        <v>#N/A</v>
      </c>
      <c r="AQ2358" s="104" t="e">
        <f t="shared" si="1023"/>
        <v>#N/A</v>
      </c>
      <c r="AR2358" s="105" t="str">
        <f t="shared" si="1015"/>
        <v/>
      </c>
      <c r="AS2358" s="105" t="str">
        <f t="shared" si="1016"/>
        <v/>
      </c>
      <c r="AT2358" s="108" t="str">
        <f t="shared" si="1017"/>
        <v/>
      </c>
      <c r="AU2358" s="108" t="str">
        <f t="shared" si="1018"/>
        <v/>
      </c>
      <c r="AV2358" s="107" t="str">
        <f>IF(ISNUMBER(O2358),IF(VLOOKUP($A2358,Stand!C:J,8,FALSE)="Short",AT2358,AU2358),"")</f>
        <v/>
      </c>
      <c r="AW2358" s="109" t="str">
        <f t="shared" si="1024"/>
        <v/>
      </c>
      <c r="AX2358" s="109" t="str">
        <f t="shared" si="1025"/>
        <v/>
      </c>
      <c r="AY2358" s="112" t="str">
        <f>IF(ISNUMBER(O2358),IF(AND(VLOOKUP($D2358,Merchantability!$B:$C,2,0)="Yes",$E2358&gt;=VLOOKUP($D2358,Merchantability!$B:$D,3,0),$E2358&lt;=VLOOKUP($D2358,Merchantability!$B:$E,4,0)),(AV2358*O2358)*(1-$H2358/100),""),"")</f>
        <v/>
      </c>
      <c r="AZ2358" s="116"/>
      <c r="BA2358" s="116"/>
      <c r="BB2358" s="116"/>
      <c r="BE2358" s="62"/>
      <c r="BF2358" s="63"/>
    </row>
    <row r="2359" spans="1:58" ht="12.75" customHeight="1" x14ac:dyDescent="0.25">
      <c r="A2359" s="334"/>
      <c r="B2359" s="334"/>
      <c r="C2359" s="332"/>
      <c r="D2359" s="334"/>
      <c r="E2359" s="335"/>
      <c r="F2359" s="334"/>
      <c r="G2359" s="332"/>
      <c r="H2359" s="332"/>
      <c r="I2359" s="334"/>
      <c r="J2359" s="336"/>
      <c r="K2359" s="332"/>
      <c r="L2359" s="332"/>
      <c r="M2359" s="76"/>
      <c r="N2359" s="103" t="str">
        <f>IF(A2359="","",VLOOKUP(A2359,Stand!C:K,9,0))</f>
        <v/>
      </c>
      <c r="O2359" s="104" t="str">
        <f t="shared" si="1010"/>
        <v/>
      </c>
      <c r="P2359" s="105" t="str">
        <f t="shared" si="1011"/>
        <v/>
      </c>
      <c r="Q2359" s="105" t="str">
        <f t="shared" si="1026"/>
        <v/>
      </c>
      <c r="R2359" s="103" t="str">
        <f t="shared" si="1012"/>
        <v/>
      </c>
      <c r="S2359" s="103" t="str">
        <f t="shared" si="1013"/>
        <v/>
      </c>
      <c r="T2359" s="106" t="str">
        <f t="shared" si="1027"/>
        <v/>
      </c>
      <c r="U2359" s="106" t="str">
        <f t="shared" si="1028"/>
        <v/>
      </c>
      <c r="V2359" s="106" t="str">
        <f t="shared" si="1029"/>
        <v/>
      </c>
      <c r="W2359" s="105" t="str">
        <f t="shared" si="1014"/>
        <v/>
      </c>
      <c r="X2359" s="104" t="str">
        <f t="shared" si="1019"/>
        <v/>
      </c>
      <c r="Y2359" s="104" t="str">
        <f t="array" ref="Y2359">IFERROR(IF(ISNUMBER(O2359),IF(COUNT(IF(A2359=$A$2:$A$2427,IF(D2359=$D$2:$D$2427,IF($X$2:$X$2427&gt;0,1))))&gt;0,SUM(IF(A2359=$A$2:$A$2427,IF(D2359=$D$2:$D$2427,$X$2:$X$2427)))/COUNT(IF(A2359=$A$2:$A$2427,IF(D2359=$D$2:$D$2427,IF(ISNUMBER($X$2:$X$2427),1)))),0),""),0)</f>
        <v/>
      </c>
      <c r="Z2359" s="104" t="str">
        <f>IF(ISNUMBER(O2359),IF(I2359&gt;0,(10^(VLOOKUP(D2359,'Species Codes'!B:C,2,0)+VLOOKUP(D2359,'Species Codes'!B:D,3,0)*LOG(E2359)+VLOOKUP(D2359,'Species Codes'!B:E,4,0)*LOG(I2359))),0),"")</f>
        <v/>
      </c>
      <c r="AA2359" s="104" t="str">
        <f>IFERROR((VLOOKUP(D2359,'Species Codes'!B:G,6,0)*Z2359)/2000,"")</f>
        <v/>
      </c>
      <c r="AB2359" s="104" t="e">
        <f>IF(Z2359&gt;0,((IF(OR(D2359="DF",D2359="RA")=TRUE,EXP(VLOOKUP(D2359,'Species Codes'!B:I,8,0)+VLOOKUP(D2359,'Species Codes'!B:J,9,0)*(LN((E2359*2.54)))),IF(OR(D2359="PY",D2359="RC",D2359="WH",D2359="NF")=TRUE,VLOOKUP(D2359,'Species Codes'!B:I,8,0)+VLOOKUP(D2359,'Species Codes'!B:J,9,0)*((E2359*2.54)^2)*(I2359*0.3048),IF(OR(D2359="MD",D2359="BM",D2359="GA")=TRUE,((VLOOKUP(D2359,'Species Codes'!B:I,8,0)*(((((E2359*2.54)+VLOOKUP(D2359,'Species Codes'!B:J,9,0))/VLOOKUP(D2359,'Species Codes'!B:K,10,0))^VLOOKUP(D2359,'Species Codes'!B:L,11,0))*((I2359*0.3048)^VLOOKUP(D2359,'Species Codes'!B:M,12,0))))-(VLOOKUP(D2359,'Species Codes'!B:I,8,0)*((((E2359*2.54)^VLOOKUP(D2359,'Species Codes'!B:L,11,0))*((I2359*0.3048)^VLOOKUP(D2359,'Species Codes'!B:M,12,0))))))*35.3*VLOOKUP(D2359,'Species Codes'!B:G,6,0)/2.2046,VLOOKUP(D2359,'Species Codes'!B:I,8,0)+VLOOKUP(D2359,'Species Codes'!B:J,9,0)*(((E2359*2.54)/100)^2)*(I2359*0.3048)))))*0.0011023),0)</f>
        <v>#N/A</v>
      </c>
      <c r="AC2359" s="104" t="e">
        <f>IF(Z2359&gt;0,((IF(OR(D2359="RA",D2359="OA",D2359="OT",D2359="UN",D2359="PC"),EXP(VLOOKUP(D2359,'Species Codes'!B:O,14,0)+VLOOKUP(D2359,'Species Codes'!B:P,15,0)*LN((E2359*2.54)))-EXP(VLOOKUP(D2359,'Species Codes'!B:O,14,0)+VLOOKUP(D2359,'Species Codes'!B:P,15,0)*LN((E2359*2.54)))*(1/(VLOOKUP(D2359,'Species Codes'!B:Q,16,0)+VLOOKUP(D2359,'Species Codes'!B:R,17,0)*((E2359*2.54)^VLOOKUP(D2359,'Species Codes'!B:S,18,0)))),IF(OR(D2359="BM",D2359="MD",D2359="OA"),EXP(VLOOKUP(D2359,'Species Codes'!B:O,14,0)+VLOOKUP(D2359,'Species Codes'!B:P,15,0)*LN((E2359*2.54)))*(1-(1/(VLOOKUP(D2359,'Species Codes'!B:Q,16,0)+VLOOKUP(D2359,'Species Codes'!B:R,17,0)*((E2359*2.54)^VLOOKUP(D2359,'Species Codes'!B:S,18,0)))))/1000,IF(D2359="DF",EXP(VLOOKUP(D2359,'Species Codes'!B:O,14,0)+VLOOKUP(D2359,'Species Codes'!B:P,15,0)*LN((E2359*2.54))),VLOOKUP(D2359,'Species Codes'!B:O,14,0)+VLOOKUP(D2359,'Species Codes'!B:P,15,0)*(((E2359*2.54)/100)^2)*(I2359*0.3048)))))*0.0011023),0)</f>
        <v>#N/A</v>
      </c>
      <c r="AD2359" s="104" t="e">
        <f t="shared" si="1030"/>
        <v>#N/A</v>
      </c>
      <c r="AE2359" s="104" t="e">
        <f t="shared" si="1031"/>
        <v>#N/A</v>
      </c>
      <c r="AF2359" s="104" t="e">
        <f>IF(AND(VLOOKUP($D2359,Merchantability!$B:$C,2,0)="Yes",$E2359&gt;=VLOOKUP($D2359,Merchantability!$B:$D,3,0),$E2359&lt;=VLOOKUP($D2359,Merchantability!$B:$E,4,0)),AA2359,0)</f>
        <v>#N/A</v>
      </c>
      <c r="AG2359" s="104" t="e">
        <f>IF(AND(VLOOKUP($D2359,Merchantability!$B:$C,2,0)="Yes",$E2359&gt;=VLOOKUP($D2359,Merchantability!$B:$D,3,0),$E2359&lt;=VLOOKUP($D2359,Merchantability!$B:$E,4,0)),AB2359,0)</f>
        <v>#N/A</v>
      </c>
      <c r="AH2359" s="104" t="e">
        <f>IF(AND(VLOOKUP($D2359,Merchantability!$B:$C,2,0)="Yes",$E2359&gt;=VLOOKUP($D2359,Merchantability!$B:$D,3,0),$E2359&lt;=VLOOKUP($D2359,Merchantability!$B:$E,4,0)),AC2359,0)</f>
        <v>#N/A</v>
      </c>
      <c r="AI2359" s="104" t="e">
        <f t="shared" si="1032"/>
        <v>#N/A</v>
      </c>
      <c r="AJ2359" s="104" t="e">
        <f t="shared" si="1033"/>
        <v>#VALUE!</v>
      </c>
      <c r="AK2359" s="104" t="e">
        <f t="shared" si="1034"/>
        <v>#N/A</v>
      </c>
      <c r="AL2359" s="104" t="e">
        <f t="shared" si="1035"/>
        <v>#N/A</v>
      </c>
      <c r="AM2359" s="104" t="e">
        <f t="shared" si="1036"/>
        <v>#N/A</v>
      </c>
      <c r="AN2359" s="104" t="e">
        <f t="shared" si="1020"/>
        <v>#N/A</v>
      </c>
      <c r="AO2359" s="104" t="e">
        <f t="shared" si="1021"/>
        <v>#N/A</v>
      </c>
      <c r="AP2359" s="104" t="e">
        <f t="shared" si="1022"/>
        <v>#N/A</v>
      </c>
      <c r="AQ2359" s="104" t="e">
        <f t="shared" si="1023"/>
        <v>#N/A</v>
      </c>
      <c r="AR2359" s="105" t="str">
        <f t="shared" si="1015"/>
        <v/>
      </c>
      <c r="AS2359" s="105" t="str">
        <f t="shared" si="1016"/>
        <v/>
      </c>
      <c r="AT2359" s="108" t="str">
        <f t="shared" si="1017"/>
        <v/>
      </c>
      <c r="AU2359" s="108" t="str">
        <f t="shared" si="1018"/>
        <v/>
      </c>
      <c r="AV2359" s="107" t="str">
        <f>IF(ISNUMBER(O2359),IF(VLOOKUP($A2359,Stand!C:J,8,FALSE)="Short",AT2359,AU2359),"")</f>
        <v/>
      </c>
      <c r="AW2359" s="109" t="str">
        <f t="shared" si="1024"/>
        <v/>
      </c>
      <c r="AX2359" s="109" t="str">
        <f t="shared" si="1025"/>
        <v/>
      </c>
      <c r="AY2359" s="112" t="str">
        <f>IF(ISNUMBER(O2359),IF(AND(VLOOKUP($D2359,Merchantability!$B:$C,2,0)="Yes",$E2359&gt;=VLOOKUP($D2359,Merchantability!$B:$D,3,0),$E2359&lt;=VLOOKUP($D2359,Merchantability!$B:$E,4,0)),(AV2359*O2359)*(1-$H2359/100),""),"")</f>
        <v/>
      </c>
      <c r="AZ2359" s="116"/>
      <c r="BA2359" s="116"/>
      <c r="BB2359" s="116"/>
      <c r="BE2359" s="62"/>
      <c r="BF2359" s="63"/>
    </row>
    <row r="2360" spans="1:58" ht="12.75" customHeight="1" x14ac:dyDescent="0.25">
      <c r="A2360" s="334"/>
      <c r="B2360" s="334"/>
      <c r="C2360" s="332"/>
      <c r="D2360" s="334"/>
      <c r="E2360" s="335"/>
      <c r="F2360" s="334"/>
      <c r="G2360" s="332"/>
      <c r="H2360" s="332"/>
      <c r="I2360" s="334"/>
      <c r="J2360" s="336"/>
      <c r="K2360" s="332"/>
      <c r="L2360" s="332"/>
      <c r="M2360" s="76"/>
      <c r="N2360" s="103" t="str">
        <f>IF(A2360="","",VLOOKUP(A2360,Stand!C:K,9,0))</f>
        <v/>
      </c>
      <c r="O2360" s="104" t="str">
        <f t="shared" si="1010"/>
        <v/>
      </c>
      <c r="P2360" s="105" t="str">
        <f t="shared" si="1011"/>
        <v/>
      </c>
      <c r="Q2360" s="105" t="str">
        <f t="shared" si="1026"/>
        <v/>
      </c>
      <c r="R2360" s="103" t="str">
        <f t="shared" si="1012"/>
        <v/>
      </c>
      <c r="S2360" s="103" t="str">
        <f t="shared" si="1013"/>
        <v/>
      </c>
      <c r="T2360" s="106" t="str">
        <f t="shared" si="1027"/>
        <v/>
      </c>
      <c r="U2360" s="106" t="str">
        <f t="shared" si="1028"/>
        <v/>
      </c>
      <c r="V2360" s="106" t="str">
        <f t="shared" si="1029"/>
        <v/>
      </c>
      <c r="W2360" s="105" t="str">
        <f t="shared" si="1014"/>
        <v/>
      </c>
      <c r="X2360" s="104" t="str">
        <f t="shared" si="1019"/>
        <v/>
      </c>
      <c r="Y2360" s="104" t="str">
        <f t="array" ref="Y2360">IFERROR(IF(ISNUMBER(O2360),IF(COUNT(IF(A2360=$A$2:$A$2427,IF(D2360=$D$2:$D$2427,IF($X$2:$X$2427&gt;0,1))))&gt;0,SUM(IF(A2360=$A$2:$A$2427,IF(D2360=$D$2:$D$2427,$X$2:$X$2427)))/COUNT(IF(A2360=$A$2:$A$2427,IF(D2360=$D$2:$D$2427,IF(ISNUMBER($X$2:$X$2427),1)))),0),""),0)</f>
        <v/>
      </c>
      <c r="Z2360" s="104" t="str">
        <f>IF(ISNUMBER(O2360),IF(I2360&gt;0,(10^(VLOOKUP(D2360,'Species Codes'!B:C,2,0)+VLOOKUP(D2360,'Species Codes'!B:D,3,0)*LOG(E2360)+VLOOKUP(D2360,'Species Codes'!B:E,4,0)*LOG(I2360))),0),"")</f>
        <v/>
      </c>
      <c r="AA2360" s="104" t="str">
        <f>IFERROR((VLOOKUP(D2360,'Species Codes'!B:G,6,0)*Z2360)/2000,"")</f>
        <v/>
      </c>
      <c r="AB2360" s="104" t="e">
        <f>IF(Z2360&gt;0,((IF(OR(D2360="DF",D2360="RA")=TRUE,EXP(VLOOKUP(D2360,'Species Codes'!B:I,8,0)+VLOOKUP(D2360,'Species Codes'!B:J,9,0)*(LN((E2360*2.54)))),IF(OR(D2360="PY",D2360="RC",D2360="WH",D2360="NF")=TRUE,VLOOKUP(D2360,'Species Codes'!B:I,8,0)+VLOOKUP(D2360,'Species Codes'!B:J,9,0)*((E2360*2.54)^2)*(I2360*0.3048),IF(OR(D2360="MD",D2360="BM",D2360="GA")=TRUE,((VLOOKUP(D2360,'Species Codes'!B:I,8,0)*(((((E2360*2.54)+VLOOKUP(D2360,'Species Codes'!B:J,9,0))/VLOOKUP(D2360,'Species Codes'!B:K,10,0))^VLOOKUP(D2360,'Species Codes'!B:L,11,0))*((I2360*0.3048)^VLOOKUP(D2360,'Species Codes'!B:M,12,0))))-(VLOOKUP(D2360,'Species Codes'!B:I,8,0)*((((E2360*2.54)^VLOOKUP(D2360,'Species Codes'!B:L,11,0))*((I2360*0.3048)^VLOOKUP(D2360,'Species Codes'!B:M,12,0))))))*35.3*VLOOKUP(D2360,'Species Codes'!B:G,6,0)/2.2046,VLOOKUP(D2360,'Species Codes'!B:I,8,0)+VLOOKUP(D2360,'Species Codes'!B:J,9,0)*(((E2360*2.54)/100)^2)*(I2360*0.3048)))))*0.0011023),0)</f>
        <v>#N/A</v>
      </c>
      <c r="AC2360" s="104" t="e">
        <f>IF(Z2360&gt;0,((IF(OR(D2360="RA",D2360="OA",D2360="OT",D2360="UN",D2360="PC"),EXP(VLOOKUP(D2360,'Species Codes'!B:O,14,0)+VLOOKUP(D2360,'Species Codes'!B:P,15,0)*LN((E2360*2.54)))-EXP(VLOOKUP(D2360,'Species Codes'!B:O,14,0)+VLOOKUP(D2360,'Species Codes'!B:P,15,0)*LN((E2360*2.54)))*(1/(VLOOKUP(D2360,'Species Codes'!B:Q,16,0)+VLOOKUP(D2360,'Species Codes'!B:R,17,0)*((E2360*2.54)^VLOOKUP(D2360,'Species Codes'!B:S,18,0)))),IF(OR(D2360="BM",D2360="MD",D2360="OA"),EXP(VLOOKUP(D2360,'Species Codes'!B:O,14,0)+VLOOKUP(D2360,'Species Codes'!B:P,15,0)*LN((E2360*2.54)))*(1-(1/(VLOOKUP(D2360,'Species Codes'!B:Q,16,0)+VLOOKUP(D2360,'Species Codes'!B:R,17,0)*((E2360*2.54)^VLOOKUP(D2360,'Species Codes'!B:S,18,0)))))/1000,IF(D2360="DF",EXP(VLOOKUP(D2360,'Species Codes'!B:O,14,0)+VLOOKUP(D2360,'Species Codes'!B:P,15,0)*LN((E2360*2.54))),VLOOKUP(D2360,'Species Codes'!B:O,14,0)+VLOOKUP(D2360,'Species Codes'!B:P,15,0)*(((E2360*2.54)/100)^2)*(I2360*0.3048)))))*0.0011023),0)</f>
        <v>#N/A</v>
      </c>
      <c r="AD2360" s="104" t="e">
        <f t="shared" si="1030"/>
        <v>#N/A</v>
      </c>
      <c r="AE2360" s="104" t="e">
        <f t="shared" si="1031"/>
        <v>#N/A</v>
      </c>
      <c r="AF2360" s="104" t="e">
        <f>IF(AND(VLOOKUP($D2360,Merchantability!$B:$C,2,0)="Yes",$E2360&gt;=VLOOKUP($D2360,Merchantability!$B:$D,3,0),$E2360&lt;=VLOOKUP($D2360,Merchantability!$B:$E,4,0)),AA2360,0)</f>
        <v>#N/A</v>
      </c>
      <c r="AG2360" s="104" t="e">
        <f>IF(AND(VLOOKUP($D2360,Merchantability!$B:$C,2,0)="Yes",$E2360&gt;=VLOOKUP($D2360,Merchantability!$B:$D,3,0),$E2360&lt;=VLOOKUP($D2360,Merchantability!$B:$E,4,0)),AB2360,0)</f>
        <v>#N/A</v>
      </c>
      <c r="AH2360" s="104" t="e">
        <f>IF(AND(VLOOKUP($D2360,Merchantability!$B:$C,2,0)="Yes",$E2360&gt;=VLOOKUP($D2360,Merchantability!$B:$D,3,0),$E2360&lt;=VLOOKUP($D2360,Merchantability!$B:$E,4,0)),AC2360,0)</f>
        <v>#N/A</v>
      </c>
      <c r="AI2360" s="104" t="e">
        <f t="shared" si="1032"/>
        <v>#N/A</v>
      </c>
      <c r="AJ2360" s="104" t="e">
        <f t="shared" si="1033"/>
        <v>#VALUE!</v>
      </c>
      <c r="AK2360" s="104" t="e">
        <f t="shared" si="1034"/>
        <v>#N/A</v>
      </c>
      <c r="AL2360" s="104" t="e">
        <f t="shared" si="1035"/>
        <v>#N/A</v>
      </c>
      <c r="AM2360" s="104" t="e">
        <f t="shared" si="1036"/>
        <v>#N/A</v>
      </c>
      <c r="AN2360" s="104" t="e">
        <f t="shared" si="1020"/>
        <v>#N/A</v>
      </c>
      <c r="AO2360" s="104" t="e">
        <f t="shared" si="1021"/>
        <v>#N/A</v>
      </c>
      <c r="AP2360" s="104" t="e">
        <f t="shared" si="1022"/>
        <v>#N/A</v>
      </c>
      <c r="AQ2360" s="104" t="e">
        <f t="shared" si="1023"/>
        <v>#N/A</v>
      </c>
      <c r="AR2360" s="105" t="str">
        <f t="shared" si="1015"/>
        <v/>
      </c>
      <c r="AS2360" s="105" t="str">
        <f t="shared" si="1016"/>
        <v/>
      </c>
      <c r="AT2360" s="108" t="str">
        <f t="shared" si="1017"/>
        <v/>
      </c>
      <c r="AU2360" s="108" t="str">
        <f t="shared" si="1018"/>
        <v/>
      </c>
      <c r="AV2360" s="107" t="str">
        <f>IF(ISNUMBER(O2360),IF(VLOOKUP($A2360,Stand!C:J,8,FALSE)="Short",AT2360,AU2360),"")</f>
        <v/>
      </c>
      <c r="AW2360" s="109" t="str">
        <f t="shared" si="1024"/>
        <v/>
      </c>
      <c r="AX2360" s="109" t="str">
        <f t="shared" si="1025"/>
        <v/>
      </c>
      <c r="AY2360" s="112" t="str">
        <f>IF(ISNUMBER(O2360),IF(AND(VLOOKUP($D2360,Merchantability!$B:$C,2,0)="Yes",$E2360&gt;=VLOOKUP($D2360,Merchantability!$B:$D,3,0),$E2360&lt;=VLOOKUP($D2360,Merchantability!$B:$E,4,0)),(AV2360*O2360)*(1-$H2360/100),""),"")</f>
        <v/>
      </c>
      <c r="AZ2360" s="116"/>
      <c r="BA2360" s="116"/>
      <c r="BB2360" s="116"/>
      <c r="BE2360" s="62"/>
      <c r="BF2360" s="63"/>
    </row>
    <row r="2361" spans="1:58" ht="12.75" customHeight="1" x14ac:dyDescent="0.25">
      <c r="A2361" s="334"/>
      <c r="B2361" s="334"/>
      <c r="C2361" s="332"/>
      <c r="D2361" s="334"/>
      <c r="E2361" s="335"/>
      <c r="F2361" s="334"/>
      <c r="G2361" s="332"/>
      <c r="H2361" s="332"/>
      <c r="I2361" s="334"/>
      <c r="J2361" s="336"/>
      <c r="K2361" s="332"/>
      <c r="L2361" s="332"/>
      <c r="M2361" s="76"/>
      <c r="N2361" s="103" t="str">
        <f>IF(A2361="","",VLOOKUP(A2361,Stand!C:K,9,0))</f>
        <v/>
      </c>
      <c r="O2361" s="104" t="str">
        <f t="shared" si="1010"/>
        <v/>
      </c>
      <c r="P2361" s="105" t="str">
        <f t="shared" si="1011"/>
        <v/>
      </c>
      <c r="Q2361" s="105" t="str">
        <f t="shared" si="1026"/>
        <v/>
      </c>
      <c r="R2361" s="103" t="str">
        <f t="shared" si="1012"/>
        <v/>
      </c>
      <c r="S2361" s="103" t="str">
        <f t="shared" si="1013"/>
        <v/>
      </c>
      <c r="T2361" s="106" t="str">
        <f t="shared" si="1027"/>
        <v/>
      </c>
      <c r="U2361" s="106" t="str">
        <f t="shared" si="1028"/>
        <v/>
      </c>
      <c r="V2361" s="106" t="str">
        <f t="shared" si="1029"/>
        <v/>
      </c>
      <c r="W2361" s="105" t="str">
        <f t="shared" si="1014"/>
        <v/>
      </c>
      <c r="X2361" s="104" t="str">
        <f t="shared" si="1019"/>
        <v/>
      </c>
      <c r="Y2361" s="104" t="str">
        <f t="array" ref="Y2361">IFERROR(IF(ISNUMBER(O2361),IF(COUNT(IF(A2361=$A$2:$A$2427,IF(D2361=$D$2:$D$2427,IF($X$2:$X$2427&gt;0,1))))&gt;0,SUM(IF(A2361=$A$2:$A$2427,IF(D2361=$D$2:$D$2427,$X$2:$X$2427)))/COUNT(IF(A2361=$A$2:$A$2427,IF(D2361=$D$2:$D$2427,IF(ISNUMBER($X$2:$X$2427),1)))),0),""),0)</f>
        <v/>
      </c>
      <c r="Z2361" s="104" t="str">
        <f>IF(ISNUMBER(O2361),IF(I2361&gt;0,(10^(VLOOKUP(D2361,'Species Codes'!B:C,2,0)+VLOOKUP(D2361,'Species Codes'!B:D,3,0)*LOG(E2361)+VLOOKUP(D2361,'Species Codes'!B:E,4,0)*LOG(I2361))),0),"")</f>
        <v/>
      </c>
      <c r="AA2361" s="104" t="str">
        <f>IFERROR((VLOOKUP(D2361,'Species Codes'!B:G,6,0)*Z2361)/2000,"")</f>
        <v/>
      </c>
      <c r="AB2361" s="104" t="e">
        <f>IF(Z2361&gt;0,((IF(OR(D2361="DF",D2361="RA")=TRUE,EXP(VLOOKUP(D2361,'Species Codes'!B:I,8,0)+VLOOKUP(D2361,'Species Codes'!B:J,9,0)*(LN((E2361*2.54)))),IF(OR(D2361="PY",D2361="RC",D2361="WH",D2361="NF")=TRUE,VLOOKUP(D2361,'Species Codes'!B:I,8,0)+VLOOKUP(D2361,'Species Codes'!B:J,9,0)*((E2361*2.54)^2)*(I2361*0.3048),IF(OR(D2361="MD",D2361="BM",D2361="GA")=TRUE,((VLOOKUP(D2361,'Species Codes'!B:I,8,0)*(((((E2361*2.54)+VLOOKUP(D2361,'Species Codes'!B:J,9,0))/VLOOKUP(D2361,'Species Codes'!B:K,10,0))^VLOOKUP(D2361,'Species Codes'!B:L,11,0))*((I2361*0.3048)^VLOOKUP(D2361,'Species Codes'!B:M,12,0))))-(VLOOKUP(D2361,'Species Codes'!B:I,8,0)*((((E2361*2.54)^VLOOKUP(D2361,'Species Codes'!B:L,11,0))*((I2361*0.3048)^VLOOKUP(D2361,'Species Codes'!B:M,12,0))))))*35.3*VLOOKUP(D2361,'Species Codes'!B:G,6,0)/2.2046,VLOOKUP(D2361,'Species Codes'!B:I,8,0)+VLOOKUP(D2361,'Species Codes'!B:J,9,0)*(((E2361*2.54)/100)^2)*(I2361*0.3048)))))*0.0011023),0)</f>
        <v>#N/A</v>
      </c>
      <c r="AC2361" s="104" t="e">
        <f>IF(Z2361&gt;0,((IF(OR(D2361="RA",D2361="OA",D2361="OT",D2361="UN",D2361="PC"),EXP(VLOOKUP(D2361,'Species Codes'!B:O,14,0)+VLOOKUP(D2361,'Species Codes'!B:P,15,0)*LN((E2361*2.54)))-EXP(VLOOKUP(D2361,'Species Codes'!B:O,14,0)+VLOOKUP(D2361,'Species Codes'!B:P,15,0)*LN((E2361*2.54)))*(1/(VLOOKUP(D2361,'Species Codes'!B:Q,16,0)+VLOOKUP(D2361,'Species Codes'!B:R,17,0)*((E2361*2.54)^VLOOKUP(D2361,'Species Codes'!B:S,18,0)))),IF(OR(D2361="BM",D2361="MD",D2361="OA"),EXP(VLOOKUP(D2361,'Species Codes'!B:O,14,0)+VLOOKUP(D2361,'Species Codes'!B:P,15,0)*LN((E2361*2.54)))*(1-(1/(VLOOKUP(D2361,'Species Codes'!B:Q,16,0)+VLOOKUP(D2361,'Species Codes'!B:R,17,0)*((E2361*2.54)^VLOOKUP(D2361,'Species Codes'!B:S,18,0)))))/1000,IF(D2361="DF",EXP(VLOOKUP(D2361,'Species Codes'!B:O,14,0)+VLOOKUP(D2361,'Species Codes'!B:P,15,0)*LN((E2361*2.54))),VLOOKUP(D2361,'Species Codes'!B:O,14,0)+VLOOKUP(D2361,'Species Codes'!B:P,15,0)*(((E2361*2.54)/100)^2)*(I2361*0.3048)))))*0.0011023),0)</f>
        <v>#N/A</v>
      </c>
      <c r="AD2361" s="104" t="e">
        <f t="shared" si="1030"/>
        <v>#N/A</v>
      </c>
      <c r="AE2361" s="104" t="e">
        <f t="shared" si="1031"/>
        <v>#N/A</v>
      </c>
      <c r="AF2361" s="104" t="e">
        <f>IF(AND(VLOOKUP($D2361,Merchantability!$B:$C,2,0)="Yes",$E2361&gt;=VLOOKUP($D2361,Merchantability!$B:$D,3,0),$E2361&lt;=VLOOKUP($D2361,Merchantability!$B:$E,4,0)),AA2361,0)</f>
        <v>#N/A</v>
      </c>
      <c r="AG2361" s="104" t="e">
        <f>IF(AND(VLOOKUP($D2361,Merchantability!$B:$C,2,0)="Yes",$E2361&gt;=VLOOKUP($D2361,Merchantability!$B:$D,3,0),$E2361&lt;=VLOOKUP($D2361,Merchantability!$B:$E,4,0)),AB2361,0)</f>
        <v>#N/A</v>
      </c>
      <c r="AH2361" s="104" t="e">
        <f>IF(AND(VLOOKUP($D2361,Merchantability!$B:$C,2,0)="Yes",$E2361&gt;=VLOOKUP($D2361,Merchantability!$B:$D,3,0),$E2361&lt;=VLOOKUP($D2361,Merchantability!$B:$E,4,0)),AC2361,0)</f>
        <v>#N/A</v>
      </c>
      <c r="AI2361" s="104" t="e">
        <f t="shared" si="1032"/>
        <v>#N/A</v>
      </c>
      <c r="AJ2361" s="104" t="e">
        <f t="shared" si="1033"/>
        <v>#VALUE!</v>
      </c>
      <c r="AK2361" s="104" t="e">
        <f t="shared" si="1034"/>
        <v>#N/A</v>
      </c>
      <c r="AL2361" s="104" t="e">
        <f t="shared" si="1035"/>
        <v>#N/A</v>
      </c>
      <c r="AM2361" s="104" t="e">
        <f t="shared" si="1036"/>
        <v>#N/A</v>
      </c>
      <c r="AN2361" s="104" t="e">
        <f t="shared" si="1020"/>
        <v>#N/A</v>
      </c>
      <c r="AO2361" s="104" t="e">
        <f t="shared" si="1021"/>
        <v>#N/A</v>
      </c>
      <c r="AP2361" s="104" t="e">
        <f t="shared" si="1022"/>
        <v>#N/A</v>
      </c>
      <c r="AQ2361" s="104" t="e">
        <f t="shared" si="1023"/>
        <v>#N/A</v>
      </c>
      <c r="AR2361" s="105" t="str">
        <f t="shared" si="1015"/>
        <v/>
      </c>
      <c r="AS2361" s="105" t="str">
        <f t="shared" si="1016"/>
        <v/>
      </c>
      <c r="AT2361" s="108" t="str">
        <f t="shared" si="1017"/>
        <v/>
      </c>
      <c r="AU2361" s="108" t="str">
        <f t="shared" si="1018"/>
        <v/>
      </c>
      <c r="AV2361" s="107" t="str">
        <f>IF(ISNUMBER(O2361),IF(VLOOKUP($A2361,Stand!C:J,8,FALSE)="Short",AT2361,AU2361),"")</f>
        <v/>
      </c>
      <c r="AW2361" s="109" t="str">
        <f t="shared" si="1024"/>
        <v/>
      </c>
      <c r="AX2361" s="109" t="str">
        <f t="shared" si="1025"/>
        <v/>
      </c>
      <c r="AY2361" s="112" t="str">
        <f>IF(ISNUMBER(O2361),IF(AND(VLOOKUP($D2361,Merchantability!$B:$C,2,0)="Yes",$E2361&gt;=VLOOKUP($D2361,Merchantability!$B:$D,3,0),$E2361&lt;=VLOOKUP($D2361,Merchantability!$B:$E,4,0)),(AV2361*O2361)*(1-$H2361/100),""),"")</f>
        <v/>
      </c>
      <c r="AZ2361" s="116"/>
      <c r="BA2361" s="116"/>
      <c r="BB2361" s="116"/>
      <c r="BE2361" s="62"/>
      <c r="BF2361" s="63"/>
    </row>
    <row r="2362" spans="1:58" ht="12.75" customHeight="1" x14ac:dyDescent="0.25">
      <c r="A2362" s="334"/>
      <c r="B2362" s="334"/>
      <c r="C2362" s="332"/>
      <c r="D2362" s="334"/>
      <c r="E2362" s="335"/>
      <c r="F2362" s="334"/>
      <c r="G2362" s="332"/>
      <c r="H2362" s="332"/>
      <c r="I2362" s="334"/>
      <c r="J2362" s="336"/>
      <c r="K2362" s="332"/>
      <c r="L2362" s="332"/>
      <c r="M2362" s="76"/>
      <c r="N2362" s="103" t="str">
        <f>IF(A2362="","",VLOOKUP(A2362,Stand!C:K,9,0))</f>
        <v/>
      </c>
      <c r="O2362" s="104" t="str">
        <f t="shared" si="1010"/>
        <v/>
      </c>
      <c r="P2362" s="105" t="str">
        <f t="shared" si="1011"/>
        <v/>
      </c>
      <c r="Q2362" s="105" t="str">
        <f t="shared" si="1026"/>
        <v/>
      </c>
      <c r="R2362" s="103" t="str">
        <f t="shared" si="1012"/>
        <v/>
      </c>
      <c r="S2362" s="103" t="str">
        <f t="shared" si="1013"/>
        <v/>
      </c>
      <c r="T2362" s="106" t="str">
        <f t="shared" si="1027"/>
        <v/>
      </c>
      <c r="U2362" s="106" t="str">
        <f t="shared" si="1028"/>
        <v/>
      </c>
      <c r="V2362" s="106" t="str">
        <f t="shared" si="1029"/>
        <v/>
      </c>
      <c r="W2362" s="105" t="str">
        <f t="shared" si="1014"/>
        <v/>
      </c>
      <c r="X2362" s="104" t="str">
        <f t="shared" si="1019"/>
        <v/>
      </c>
      <c r="Y2362" s="104" t="str">
        <f t="array" ref="Y2362">IFERROR(IF(ISNUMBER(O2362),IF(COUNT(IF(A2362=$A$2:$A$2427,IF(D2362=$D$2:$D$2427,IF($X$2:$X$2427&gt;0,1))))&gt;0,SUM(IF(A2362=$A$2:$A$2427,IF(D2362=$D$2:$D$2427,$X$2:$X$2427)))/COUNT(IF(A2362=$A$2:$A$2427,IF(D2362=$D$2:$D$2427,IF(ISNUMBER($X$2:$X$2427),1)))),0),""),0)</f>
        <v/>
      </c>
      <c r="Z2362" s="104" t="str">
        <f>IF(ISNUMBER(O2362),IF(I2362&gt;0,(10^(VLOOKUP(D2362,'Species Codes'!B:C,2,0)+VLOOKUP(D2362,'Species Codes'!B:D,3,0)*LOG(E2362)+VLOOKUP(D2362,'Species Codes'!B:E,4,0)*LOG(I2362))),0),"")</f>
        <v/>
      </c>
      <c r="AA2362" s="104" t="str">
        <f>IFERROR((VLOOKUP(D2362,'Species Codes'!B:G,6,0)*Z2362)/2000,"")</f>
        <v/>
      </c>
      <c r="AB2362" s="104" t="e">
        <f>IF(Z2362&gt;0,((IF(OR(D2362="DF",D2362="RA")=TRUE,EXP(VLOOKUP(D2362,'Species Codes'!B:I,8,0)+VLOOKUP(D2362,'Species Codes'!B:J,9,0)*(LN((E2362*2.54)))),IF(OR(D2362="PY",D2362="RC",D2362="WH",D2362="NF")=TRUE,VLOOKUP(D2362,'Species Codes'!B:I,8,0)+VLOOKUP(D2362,'Species Codes'!B:J,9,0)*((E2362*2.54)^2)*(I2362*0.3048),IF(OR(D2362="MD",D2362="BM",D2362="GA")=TRUE,((VLOOKUP(D2362,'Species Codes'!B:I,8,0)*(((((E2362*2.54)+VLOOKUP(D2362,'Species Codes'!B:J,9,0))/VLOOKUP(D2362,'Species Codes'!B:K,10,0))^VLOOKUP(D2362,'Species Codes'!B:L,11,0))*((I2362*0.3048)^VLOOKUP(D2362,'Species Codes'!B:M,12,0))))-(VLOOKUP(D2362,'Species Codes'!B:I,8,0)*((((E2362*2.54)^VLOOKUP(D2362,'Species Codes'!B:L,11,0))*((I2362*0.3048)^VLOOKUP(D2362,'Species Codes'!B:M,12,0))))))*35.3*VLOOKUP(D2362,'Species Codes'!B:G,6,0)/2.2046,VLOOKUP(D2362,'Species Codes'!B:I,8,0)+VLOOKUP(D2362,'Species Codes'!B:J,9,0)*(((E2362*2.54)/100)^2)*(I2362*0.3048)))))*0.0011023),0)</f>
        <v>#N/A</v>
      </c>
      <c r="AC2362" s="104" t="e">
        <f>IF(Z2362&gt;0,((IF(OR(D2362="RA",D2362="OA",D2362="OT",D2362="UN",D2362="PC"),EXP(VLOOKUP(D2362,'Species Codes'!B:O,14,0)+VLOOKUP(D2362,'Species Codes'!B:P,15,0)*LN((E2362*2.54)))-EXP(VLOOKUP(D2362,'Species Codes'!B:O,14,0)+VLOOKUP(D2362,'Species Codes'!B:P,15,0)*LN((E2362*2.54)))*(1/(VLOOKUP(D2362,'Species Codes'!B:Q,16,0)+VLOOKUP(D2362,'Species Codes'!B:R,17,0)*((E2362*2.54)^VLOOKUP(D2362,'Species Codes'!B:S,18,0)))),IF(OR(D2362="BM",D2362="MD",D2362="OA"),EXP(VLOOKUP(D2362,'Species Codes'!B:O,14,0)+VLOOKUP(D2362,'Species Codes'!B:P,15,0)*LN((E2362*2.54)))*(1-(1/(VLOOKUP(D2362,'Species Codes'!B:Q,16,0)+VLOOKUP(D2362,'Species Codes'!B:R,17,0)*((E2362*2.54)^VLOOKUP(D2362,'Species Codes'!B:S,18,0)))))/1000,IF(D2362="DF",EXP(VLOOKUP(D2362,'Species Codes'!B:O,14,0)+VLOOKUP(D2362,'Species Codes'!B:P,15,0)*LN((E2362*2.54))),VLOOKUP(D2362,'Species Codes'!B:O,14,0)+VLOOKUP(D2362,'Species Codes'!B:P,15,0)*(((E2362*2.54)/100)^2)*(I2362*0.3048)))))*0.0011023),0)</f>
        <v>#N/A</v>
      </c>
      <c r="AD2362" s="104" t="e">
        <f t="shared" si="1030"/>
        <v>#N/A</v>
      </c>
      <c r="AE2362" s="104" t="e">
        <f t="shared" si="1031"/>
        <v>#N/A</v>
      </c>
      <c r="AF2362" s="104" t="e">
        <f>IF(AND(VLOOKUP($D2362,Merchantability!$B:$C,2,0)="Yes",$E2362&gt;=VLOOKUP($D2362,Merchantability!$B:$D,3,0),$E2362&lt;=VLOOKUP($D2362,Merchantability!$B:$E,4,0)),AA2362,0)</f>
        <v>#N/A</v>
      </c>
      <c r="AG2362" s="104" t="e">
        <f>IF(AND(VLOOKUP($D2362,Merchantability!$B:$C,2,0)="Yes",$E2362&gt;=VLOOKUP($D2362,Merchantability!$B:$D,3,0),$E2362&lt;=VLOOKUP($D2362,Merchantability!$B:$E,4,0)),AB2362,0)</f>
        <v>#N/A</v>
      </c>
      <c r="AH2362" s="104" t="e">
        <f>IF(AND(VLOOKUP($D2362,Merchantability!$B:$C,2,0)="Yes",$E2362&gt;=VLOOKUP($D2362,Merchantability!$B:$D,3,0),$E2362&lt;=VLOOKUP($D2362,Merchantability!$B:$E,4,0)),AC2362,0)</f>
        <v>#N/A</v>
      </c>
      <c r="AI2362" s="104" t="e">
        <f t="shared" si="1032"/>
        <v>#N/A</v>
      </c>
      <c r="AJ2362" s="104" t="e">
        <f t="shared" si="1033"/>
        <v>#VALUE!</v>
      </c>
      <c r="AK2362" s="104" t="e">
        <f t="shared" si="1034"/>
        <v>#N/A</v>
      </c>
      <c r="AL2362" s="104" t="e">
        <f t="shared" si="1035"/>
        <v>#N/A</v>
      </c>
      <c r="AM2362" s="104" t="e">
        <f t="shared" si="1036"/>
        <v>#N/A</v>
      </c>
      <c r="AN2362" s="104" t="e">
        <f t="shared" si="1020"/>
        <v>#N/A</v>
      </c>
      <c r="AO2362" s="104" t="e">
        <f t="shared" si="1021"/>
        <v>#N/A</v>
      </c>
      <c r="AP2362" s="104" t="e">
        <f t="shared" si="1022"/>
        <v>#N/A</v>
      </c>
      <c r="AQ2362" s="104" t="e">
        <f t="shared" si="1023"/>
        <v>#N/A</v>
      </c>
      <c r="AR2362" s="105" t="str">
        <f t="shared" si="1015"/>
        <v/>
      </c>
      <c r="AS2362" s="105" t="str">
        <f t="shared" si="1016"/>
        <v/>
      </c>
      <c r="AT2362" s="108" t="str">
        <f t="shared" si="1017"/>
        <v/>
      </c>
      <c r="AU2362" s="108" t="str">
        <f t="shared" si="1018"/>
        <v/>
      </c>
      <c r="AV2362" s="107" t="str">
        <f>IF(ISNUMBER(O2362),IF(VLOOKUP($A2362,Stand!C:J,8,FALSE)="Short",AT2362,AU2362),"")</f>
        <v/>
      </c>
      <c r="AW2362" s="109" t="str">
        <f t="shared" si="1024"/>
        <v/>
      </c>
      <c r="AX2362" s="109" t="str">
        <f t="shared" si="1025"/>
        <v/>
      </c>
      <c r="AY2362" s="112" t="str">
        <f>IF(ISNUMBER(O2362),IF(AND(VLOOKUP($D2362,Merchantability!$B:$C,2,0)="Yes",$E2362&gt;=VLOOKUP($D2362,Merchantability!$B:$D,3,0),$E2362&lt;=VLOOKUP($D2362,Merchantability!$B:$E,4,0)),(AV2362*O2362)*(1-$H2362/100),""),"")</f>
        <v/>
      </c>
      <c r="AZ2362" s="116"/>
      <c r="BA2362" s="116"/>
      <c r="BB2362" s="116"/>
      <c r="BE2362" s="62"/>
      <c r="BF2362" s="63"/>
    </row>
    <row r="2363" spans="1:58" ht="12.75" customHeight="1" x14ac:dyDescent="0.25">
      <c r="A2363" s="334"/>
      <c r="B2363" s="334"/>
      <c r="C2363" s="332"/>
      <c r="D2363" s="334"/>
      <c r="E2363" s="335"/>
      <c r="F2363" s="334"/>
      <c r="G2363" s="332"/>
      <c r="H2363" s="332"/>
      <c r="I2363" s="334"/>
      <c r="J2363" s="336"/>
      <c r="K2363" s="332"/>
      <c r="L2363" s="332"/>
      <c r="M2363" s="76"/>
      <c r="N2363" s="103" t="str">
        <f>IF(A2363="","",VLOOKUP(A2363,Stand!C:K,9,0))</f>
        <v/>
      </c>
      <c r="O2363" s="104" t="str">
        <f t="shared" si="1010"/>
        <v/>
      </c>
      <c r="P2363" s="105" t="str">
        <f t="shared" si="1011"/>
        <v/>
      </c>
      <c r="Q2363" s="105" t="str">
        <f t="shared" si="1026"/>
        <v/>
      </c>
      <c r="R2363" s="103" t="str">
        <f t="shared" si="1012"/>
        <v/>
      </c>
      <c r="S2363" s="103" t="str">
        <f t="shared" si="1013"/>
        <v/>
      </c>
      <c r="T2363" s="106" t="str">
        <f t="shared" si="1027"/>
        <v/>
      </c>
      <c r="U2363" s="106" t="str">
        <f t="shared" si="1028"/>
        <v/>
      </c>
      <c r="V2363" s="106" t="str">
        <f t="shared" si="1029"/>
        <v/>
      </c>
      <c r="W2363" s="105" t="str">
        <f t="shared" si="1014"/>
        <v/>
      </c>
      <c r="X2363" s="104" t="str">
        <f t="shared" si="1019"/>
        <v/>
      </c>
      <c r="Y2363" s="104" t="str">
        <f t="array" ref="Y2363">IFERROR(IF(ISNUMBER(O2363),IF(COUNT(IF(A2363=$A$2:$A$2427,IF(D2363=$D$2:$D$2427,IF($X$2:$X$2427&gt;0,1))))&gt;0,SUM(IF(A2363=$A$2:$A$2427,IF(D2363=$D$2:$D$2427,$X$2:$X$2427)))/COUNT(IF(A2363=$A$2:$A$2427,IF(D2363=$D$2:$D$2427,IF(ISNUMBER($X$2:$X$2427),1)))),0),""),0)</f>
        <v/>
      </c>
      <c r="Z2363" s="104" t="str">
        <f>IF(ISNUMBER(O2363),IF(I2363&gt;0,(10^(VLOOKUP(D2363,'Species Codes'!B:C,2,0)+VLOOKUP(D2363,'Species Codes'!B:D,3,0)*LOG(E2363)+VLOOKUP(D2363,'Species Codes'!B:E,4,0)*LOG(I2363))),0),"")</f>
        <v/>
      </c>
      <c r="AA2363" s="104" t="str">
        <f>IFERROR((VLOOKUP(D2363,'Species Codes'!B:G,6,0)*Z2363)/2000,"")</f>
        <v/>
      </c>
      <c r="AB2363" s="104" t="e">
        <f>IF(Z2363&gt;0,((IF(OR(D2363="DF",D2363="RA")=TRUE,EXP(VLOOKUP(D2363,'Species Codes'!B:I,8,0)+VLOOKUP(D2363,'Species Codes'!B:J,9,0)*(LN((E2363*2.54)))),IF(OR(D2363="PY",D2363="RC",D2363="WH",D2363="NF")=TRUE,VLOOKUP(D2363,'Species Codes'!B:I,8,0)+VLOOKUP(D2363,'Species Codes'!B:J,9,0)*((E2363*2.54)^2)*(I2363*0.3048),IF(OR(D2363="MD",D2363="BM",D2363="GA")=TRUE,((VLOOKUP(D2363,'Species Codes'!B:I,8,0)*(((((E2363*2.54)+VLOOKUP(D2363,'Species Codes'!B:J,9,0))/VLOOKUP(D2363,'Species Codes'!B:K,10,0))^VLOOKUP(D2363,'Species Codes'!B:L,11,0))*((I2363*0.3048)^VLOOKUP(D2363,'Species Codes'!B:M,12,0))))-(VLOOKUP(D2363,'Species Codes'!B:I,8,0)*((((E2363*2.54)^VLOOKUP(D2363,'Species Codes'!B:L,11,0))*((I2363*0.3048)^VLOOKUP(D2363,'Species Codes'!B:M,12,0))))))*35.3*VLOOKUP(D2363,'Species Codes'!B:G,6,0)/2.2046,VLOOKUP(D2363,'Species Codes'!B:I,8,0)+VLOOKUP(D2363,'Species Codes'!B:J,9,0)*(((E2363*2.54)/100)^2)*(I2363*0.3048)))))*0.0011023),0)</f>
        <v>#N/A</v>
      </c>
      <c r="AC2363" s="104" t="e">
        <f>IF(Z2363&gt;0,((IF(OR(D2363="RA",D2363="OA",D2363="OT",D2363="UN",D2363="PC"),EXP(VLOOKUP(D2363,'Species Codes'!B:O,14,0)+VLOOKUP(D2363,'Species Codes'!B:P,15,0)*LN((E2363*2.54)))-EXP(VLOOKUP(D2363,'Species Codes'!B:O,14,0)+VLOOKUP(D2363,'Species Codes'!B:P,15,0)*LN((E2363*2.54)))*(1/(VLOOKUP(D2363,'Species Codes'!B:Q,16,0)+VLOOKUP(D2363,'Species Codes'!B:R,17,0)*((E2363*2.54)^VLOOKUP(D2363,'Species Codes'!B:S,18,0)))),IF(OR(D2363="BM",D2363="MD",D2363="OA"),EXP(VLOOKUP(D2363,'Species Codes'!B:O,14,0)+VLOOKUP(D2363,'Species Codes'!B:P,15,0)*LN((E2363*2.54)))*(1-(1/(VLOOKUP(D2363,'Species Codes'!B:Q,16,0)+VLOOKUP(D2363,'Species Codes'!B:R,17,0)*((E2363*2.54)^VLOOKUP(D2363,'Species Codes'!B:S,18,0)))))/1000,IF(D2363="DF",EXP(VLOOKUP(D2363,'Species Codes'!B:O,14,0)+VLOOKUP(D2363,'Species Codes'!B:P,15,0)*LN((E2363*2.54))),VLOOKUP(D2363,'Species Codes'!B:O,14,0)+VLOOKUP(D2363,'Species Codes'!B:P,15,0)*(((E2363*2.54)/100)^2)*(I2363*0.3048)))))*0.0011023),0)</f>
        <v>#N/A</v>
      </c>
      <c r="AD2363" s="104" t="e">
        <f t="shared" si="1030"/>
        <v>#N/A</v>
      </c>
      <c r="AE2363" s="104" t="e">
        <f t="shared" si="1031"/>
        <v>#N/A</v>
      </c>
      <c r="AF2363" s="104" t="e">
        <f>IF(AND(VLOOKUP($D2363,Merchantability!$B:$C,2,0)="Yes",$E2363&gt;=VLOOKUP($D2363,Merchantability!$B:$D,3,0),$E2363&lt;=VLOOKUP($D2363,Merchantability!$B:$E,4,0)),AA2363,0)</f>
        <v>#N/A</v>
      </c>
      <c r="AG2363" s="104" t="e">
        <f>IF(AND(VLOOKUP($D2363,Merchantability!$B:$C,2,0)="Yes",$E2363&gt;=VLOOKUP($D2363,Merchantability!$B:$D,3,0),$E2363&lt;=VLOOKUP($D2363,Merchantability!$B:$E,4,0)),AB2363,0)</f>
        <v>#N/A</v>
      </c>
      <c r="AH2363" s="104" t="e">
        <f>IF(AND(VLOOKUP($D2363,Merchantability!$B:$C,2,0)="Yes",$E2363&gt;=VLOOKUP($D2363,Merchantability!$B:$D,3,0),$E2363&lt;=VLOOKUP($D2363,Merchantability!$B:$E,4,0)),AC2363,0)</f>
        <v>#N/A</v>
      </c>
      <c r="AI2363" s="104" t="e">
        <f t="shared" si="1032"/>
        <v>#N/A</v>
      </c>
      <c r="AJ2363" s="104" t="e">
        <f t="shared" si="1033"/>
        <v>#VALUE!</v>
      </c>
      <c r="AK2363" s="104" t="e">
        <f t="shared" si="1034"/>
        <v>#N/A</v>
      </c>
      <c r="AL2363" s="104" t="e">
        <f t="shared" si="1035"/>
        <v>#N/A</v>
      </c>
      <c r="AM2363" s="104" t="e">
        <f t="shared" si="1036"/>
        <v>#N/A</v>
      </c>
      <c r="AN2363" s="104" t="e">
        <f t="shared" si="1020"/>
        <v>#N/A</v>
      </c>
      <c r="AO2363" s="104" t="e">
        <f t="shared" si="1021"/>
        <v>#N/A</v>
      </c>
      <c r="AP2363" s="104" t="e">
        <f t="shared" si="1022"/>
        <v>#N/A</v>
      </c>
      <c r="AQ2363" s="104" t="e">
        <f t="shared" si="1023"/>
        <v>#N/A</v>
      </c>
      <c r="AR2363" s="105" t="str">
        <f t="shared" si="1015"/>
        <v/>
      </c>
      <c r="AS2363" s="105" t="str">
        <f t="shared" si="1016"/>
        <v/>
      </c>
      <c r="AT2363" s="108" t="str">
        <f t="shared" si="1017"/>
        <v/>
      </c>
      <c r="AU2363" s="108" t="str">
        <f t="shared" si="1018"/>
        <v/>
      </c>
      <c r="AV2363" s="107" t="str">
        <f>IF(ISNUMBER(O2363),IF(VLOOKUP($A2363,Stand!C:J,8,FALSE)="Short",AT2363,AU2363),"")</f>
        <v/>
      </c>
      <c r="AW2363" s="109" t="str">
        <f t="shared" si="1024"/>
        <v/>
      </c>
      <c r="AX2363" s="109" t="str">
        <f t="shared" si="1025"/>
        <v/>
      </c>
      <c r="AY2363" s="112" t="str">
        <f>IF(ISNUMBER(O2363),IF(AND(VLOOKUP($D2363,Merchantability!$B:$C,2,0)="Yes",$E2363&gt;=VLOOKUP($D2363,Merchantability!$B:$D,3,0),$E2363&lt;=VLOOKUP($D2363,Merchantability!$B:$E,4,0)),(AV2363*O2363)*(1-$H2363/100),""),"")</f>
        <v/>
      </c>
      <c r="AZ2363" s="116"/>
      <c r="BA2363" s="116"/>
      <c r="BB2363" s="116"/>
      <c r="BE2363" s="62"/>
      <c r="BF2363" s="63"/>
    </row>
    <row r="2364" spans="1:58" ht="12.75" customHeight="1" x14ac:dyDescent="0.25">
      <c r="A2364" s="334"/>
      <c r="B2364" s="334"/>
      <c r="C2364" s="332"/>
      <c r="D2364" s="334"/>
      <c r="E2364" s="335"/>
      <c r="F2364" s="334"/>
      <c r="G2364" s="332"/>
      <c r="H2364" s="332"/>
      <c r="I2364" s="334"/>
      <c r="J2364" s="336"/>
      <c r="K2364" s="332"/>
      <c r="L2364" s="332"/>
      <c r="M2364" s="76"/>
      <c r="N2364" s="103" t="str">
        <f>IF(A2364="","",VLOOKUP(A2364,Stand!C:K,9,0))</f>
        <v/>
      </c>
      <c r="O2364" s="104" t="str">
        <f t="shared" si="1010"/>
        <v/>
      </c>
      <c r="P2364" s="105" t="str">
        <f t="shared" si="1011"/>
        <v/>
      </c>
      <c r="Q2364" s="105" t="str">
        <f t="shared" si="1026"/>
        <v/>
      </c>
      <c r="R2364" s="103" t="str">
        <f t="shared" si="1012"/>
        <v/>
      </c>
      <c r="S2364" s="103" t="str">
        <f t="shared" si="1013"/>
        <v/>
      </c>
      <c r="T2364" s="106" t="str">
        <f t="shared" si="1027"/>
        <v/>
      </c>
      <c r="U2364" s="106" t="str">
        <f t="shared" si="1028"/>
        <v/>
      </c>
      <c r="V2364" s="106" t="str">
        <f t="shared" si="1029"/>
        <v/>
      </c>
      <c r="W2364" s="105" t="str">
        <f t="shared" si="1014"/>
        <v/>
      </c>
      <c r="X2364" s="104" t="str">
        <f t="shared" si="1019"/>
        <v/>
      </c>
      <c r="Y2364" s="104" t="str">
        <f t="array" ref="Y2364">IFERROR(IF(ISNUMBER(O2364),IF(COUNT(IF(A2364=$A$2:$A$2427,IF(D2364=$D$2:$D$2427,IF($X$2:$X$2427&gt;0,1))))&gt;0,SUM(IF(A2364=$A$2:$A$2427,IF(D2364=$D$2:$D$2427,$X$2:$X$2427)))/COUNT(IF(A2364=$A$2:$A$2427,IF(D2364=$D$2:$D$2427,IF(ISNUMBER($X$2:$X$2427),1)))),0),""),0)</f>
        <v/>
      </c>
      <c r="Z2364" s="104" t="str">
        <f>IF(ISNUMBER(O2364),IF(I2364&gt;0,(10^(VLOOKUP(D2364,'Species Codes'!B:C,2,0)+VLOOKUP(D2364,'Species Codes'!B:D,3,0)*LOG(E2364)+VLOOKUP(D2364,'Species Codes'!B:E,4,0)*LOG(I2364))),0),"")</f>
        <v/>
      </c>
      <c r="AA2364" s="104" t="str">
        <f>IFERROR((VLOOKUP(D2364,'Species Codes'!B:G,6,0)*Z2364)/2000,"")</f>
        <v/>
      </c>
      <c r="AB2364" s="104" t="e">
        <f>IF(Z2364&gt;0,((IF(OR(D2364="DF",D2364="RA")=TRUE,EXP(VLOOKUP(D2364,'Species Codes'!B:I,8,0)+VLOOKUP(D2364,'Species Codes'!B:J,9,0)*(LN((E2364*2.54)))),IF(OR(D2364="PY",D2364="RC",D2364="WH",D2364="NF")=TRUE,VLOOKUP(D2364,'Species Codes'!B:I,8,0)+VLOOKUP(D2364,'Species Codes'!B:J,9,0)*((E2364*2.54)^2)*(I2364*0.3048),IF(OR(D2364="MD",D2364="BM",D2364="GA")=TRUE,((VLOOKUP(D2364,'Species Codes'!B:I,8,0)*(((((E2364*2.54)+VLOOKUP(D2364,'Species Codes'!B:J,9,0))/VLOOKUP(D2364,'Species Codes'!B:K,10,0))^VLOOKUP(D2364,'Species Codes'!B:L,11,0))*((I2364*0.3048)^VLOOKUP(D2364,'Species Codes'!B:M,12,0))))-(VLOOKUP(D2364,'Species Codes'!B:I,8,0)*((((E2364*2.54)^VLOOKUP(D2364,'Species Codes'!B:L,11,0))*((I2364*0.3048)^VLOOKUP(D2364,'Species Codes'!B:M,12,0))))))*35.3*VLOOKUP(D2364,'Species Codes'!B:G,6,0)/2.2046,VLOOKUP(D2364,'Species Codes'!B:I,8,0)+VLOOKUP(D2364,'Species Codes'!B:J,9,0)*(((E2364*2.54)/100)^2)*(I2364*0.3048)))))*0.0011023),0)</f>
        <v>#N/A</v>
      </c>
      <c r="AC2364" s="104" t="e">
        <f>IF(Z2364&gt;0,((IF(OR(D2364="RA",D2364="OA",D2364="OT",D2364="UN",D2364="PC"),EXP(VLOOKUP(D2364,'Species Codes'!B:O,14,0)+VLOOKUP(D2364,'Species Codes'!B:P,15,0)*LN((E2364*2.54)))-EXP(VLOOKUP(D2364,'Species Codes'!B:O,14,0)+VLOOKUP(D2364,'Species Codes'!B:P,15,0)*LN((E2364*2.54)))*(1/(VLOOKUP(D2364,'Species Codes'!B:Q,16,0)+VLOOKUP(D2364,'Species Codes'!B:R,17,0)*((E2364*2.54)^VLOOKUP(D2364,'Species Codes'!B:S,18,0)))),IF(OR(D2364="BM",D2364="MD",D2364="OA"),EXP(VLOOKUP(D2364,'Species Codes'!B:O,14,0)+VLOOKUP(D2364,'Species Codes'!B:P,15,0)*LN((E2364*2.54)))*(1-(1/(VLOOKUP(D2364,'Species Codes'!B:Q,16,0)+VLOOKUP(D2364,'Species Codes'!B:R,17,0)*((E2364*2.54)^VLOOKUP(D2364,'Species Codes'!B:S,18,0)))))/1000,IF(D2364="DF",EXP(VLOOKUP(D2364,'Species Codes'!B:O,14,0)+VLOOKUP(D2364,'Species Codes'!B:P,15,0)*LN((E2364*2.54))),VLOOKUP(D2364,'Species Codes'!B:O,14,0)+VLOOKUP(D2364,'Species Codes'!B:P,15,0)*(((E2364*2.54)/100)^2)*(I2364*0.3048)))))*0.0011023),0)</f>
        <v>#N/A</v>
      </c>
      <c r="AD2364" s="104" t="e">
        <f t="shared" si="1030"/>
        <v>#N/A</v>
      </c>
      <c r="AE2364" s="104" t="e">
        <f t="shared" si="1031"/>
        <v>#N/A</v>
      </c>
      <c r="AF2364" s="104" t="e">
        <f>IF(AND(VLOOKUP($D2364,Merchantability!$B:$C,2,0)="Yes",$E2364&gt;=VLOOKUP($D2364,Merchantability!$B:$D,3,0),$E2364&lt;=VLOOKUP($D2364,Merchantability!$B:$E,4,0)),AA2364,0)</f>
        <v>#N/A</v>
      </c>
      <c r="AG2364" s="104" t="e">
        <f>IF(AND(VLOOKUP($D2364,Merchantability!$B:$C,2,0)="Yes",$E2364&gt;=VLOOKUP($D2364,Merchantability!$B:$D,3,0),$E2364&lt;=VLOOKUP($D2364,Merchantability!$B:$E,4,0)),AB2364,0)</f>
        <v>#N/A</v>
      </c>
      <c r="AH2364" s="104" t="e">
        <f>IF(AND(VLOOKUP($D2364,Merchantability!$B:$C,2,0)="Yes",$E2364&gt;=VLOOKUP($D2364,Merchantability!$B:$D,3,0),$E2364&lt;=VLOOKUP($D2364,Merchantability!$B:$E,4,0)),AC2364,0)</f>
        <v>#N/A</v>
      </c>
      <c r="AI2364" s="104" t="e">
        <f t="shared" si="1032"/>
        <v>#N/A</v>
      </c>
      <c r="AJ2364" s="104" t="e">
        <f t="shared" si="1033"/>
        <v>#VALUE!</v>
      </c>
      <c r="AK2364" s="104" t="e">
        <f t="shared" si="1034"/>
        <v>#N/A</v>
      </c>
      <c r="AL2364" s="104" t="e">
        <f t="shared" si="1035"/>
        <v>#N/A</v>
      </c>
      <c r="AM2364" s="104" t="e">
        <f t="shared" si="1036"/>
        <v>#N/A</v>
      </c>
      <c r="AN2364" s="104" t="e">
        <f t="shared" si="1020"/>
        <v>#N/A</v>
      </c>
      <c r="AO2364" s="104" t="e">
        <f t="shared" si="1021"/>
        <v>#N/A</v>
      </c>
      <c r="AP2364" s="104" t="e">
        <f t="shared" si="1022"/>
        <v>#N/A</v>
      </c>
      <c r="AQ2364" s="104" t="e">
        <f t="shared" si="1023"/>
        <v>#N/A</v>
      </c>
      <c r="AR2364" s="105" t="str">
        <f t="shared" si="1015"/>
        <v/>
      </c>
      <c r="AS2364" s="105" t="str">
        <f t="shared" si="1016"/>
        <v/>
      </c>
      <c r="AT2364" s="108" t="str">
        <f t="shared" si="1017"/>
        <v/>
      </c>
      <c r="AU2364" s="108" t="str">
        <f t="shared" si="1018"/>
        <v/>
      </c>
      <c r="AV2364" s="107" t="str">
        <f>IF(ISNUMBER(O2364),IF(VLOOKUP($A2364,Stand!C:J,8,FALSE)="Short",AT2364,AU2364),"")</f>
        <v/>
      </c>
      <c r="AW2364" s="109" t="str">
        <f t="shared" si="1024"/>
        <v/>
      </c>
      <c r="AX2364" s="109" t="str">
        <f t="shared" si="1025"/>
        <v/>
      </c>
      <c r="AY2364" s="112" t="str">
        <f>IF(ISNUMBER(O2364),IF(AND(VLOOKUP($D2364,Merchantability!$B:$C,2,0)="Yes",$E2364&gt;=VLOOKUP($D2364,Merchantability!$B:$D,3,0),$E2364&lt;=VLOOKUP($D2364,Merchantability!$B:$E,4,0)),(AV2364*O2364)*(1-$H2364/100),""),"")</f>
        <v/>
      </c>
      <c r="AZ2364" s="116"/>
      <c r="BA2364" s="116"/>
      <c r="BB2364" s="116"/>
      <c r="BE2364" s="62"/>
      <c r="BF2364" s="63"/>
    </row>
    <row r="2365" spans="1:58" ht="12.75" customHeight="1" x14ac:dyDescent="0.25">
      <c r="A2365" s="334"/>
      <c r="B2365" s="334"/>
      <c r="C2365" s="332"/>
      <c r="D2365" s="334"/>
      <c r="E2365" s="335"/>
      <c r="F2365" s="334"/>
      <c r="G2365" s="332"/>
      <c r="H2365" s="332"/>
      <c r="I2365" s="334"/>
      <c r="J2365" s="336"/>
      <c r="K2365" s="332"/>
      <c r="L2365" s="332"/>
      <c r="M2365" s="76"/>
      <c r="N2365" s="103" t="str">
        <f>IF(A2365="","",VLOOKUP(A2365,Stand!C:K,9,0))</f>
        <v/>
      </c>
      <c r="O2365" s="104" t="str">
        <f t="shared" si="1010"/>
        <v/>
      </c>
      <c r="P2365" s="105" t="str">
        <f t="shared" si="1011"/>
        <v/>
      </c>
      <c r="Q2365" s="105" t="str">
        <f t="shared" si="1026"/>
        <v/>
      </c>
      <c r="R2365" s="103" t="str">
        <f t="shared" si="1012"/>
        <v/>
      </c>
      <c r="S2365" s="103" t="str">
        <f t="shared" si="1013"/>
        <v/>
      </c>
      <c r="T2365" s="106" t="str">
        <f t="shared" si="1027"/>
        <v/>
      </c>
      <c r="U2365" s="106" t="str">
        <f t="shared" si="1028"/>
        <v/>
      </c>
      <c r="V2365" s="106" t="str">
        <f t="shared" si="1029"/>
        <v/>
      </c>
      <c r="W2365" s="105" t="str">
        <f t="shared" si="1014"/>
        <v/>
      </c>
      <c r="X2365" s="104" t="str">
        <f t="shared" si="1019"/>
        <v/>
      </c>
      <c r="Y2365" s="104" t="str">
        <f t="array" ref="Y2365">IFERROR(IF(ISNUMBER(O2365),IF(COUNT(IF(A2365=$A$2:$A$2427,IF(D2365=$D$2:$D$2427,IF($X$2:$X$2427&gt;0,1))))&gt;0,SUM(IF(A2365=$A$2:$A$2427,IF(D2365=$D$2:$D$2427,$X$2:$X$2427)))/COUNT(IF(A2365=$A$2:$A$2427,IF(D2365=$D$2:$D$2427,IF(ISNUMBER($X$2:$X$2427),1)))),0),""),0)</f>
        <v/>
      </c>
      <c r="Z2365" s="104" t="str">
        <f>IF(ISNUMBER(O2365),IF(I2365&gt;0,(10^(VLOOKUP(D2365,'Species Codes'!B:C,2,0)+VLOOKUP(D2365,'Species Codes'!B:D,3,0)*LOG(E2365)+VLOOKUP(D2365,'Species Codes'!B:E,4,0)*LOG(I2365))),0),"")</f>
        <v/>
      </c>
      <c r="AA2365" s="104" t="str">
        <f>IFERROR((VLOOKUP(D2365,'Species Codes'!B:G,6,0)*Z2365)/2000,"")</f>
        <v/>
      </c>
      <c r="AB2365" s="104" t="e">
        <f>IF(Z2365&gt;0,((IF(OR(D2365="DF",D2365="RA")=TRUE,EXP(VLOOKUP(D2365,'Species Codes'!B:I,8,0)+VLOOKUP(D2365,'Species Codes'!B:J,9,0)*(LN((E2365*2.54)))),IF(OR(D2365="PY",D2365="RC",D2365="WH",D2365="NF")=TRUE,VLOOKUP(D2365,'Species Codes'!B:I,8,0)+VLOOKUP(D2365,'Species Codes'!B:J,9,0)*((E2365*2.54)^2)*(I2365*0.3048),IF(OR(D2365="MD",D2365="BM",D2365="GA")=TRUE,((VLOOKUP(D2365,'Species Codes'!B:I,8,0)*(((((E2365*2.54)+VLOOKUP(D2365,'Species Codes'!B:J,9,0))/VLOOKUP(D2365,'Species Codes'!B:K,10,0))^VLOOKUP(D2365,'Species Codes'!B:L,11,0))*((I2365*0.3048)^VLOOKUP(D2365,'Species Codes'!B:M,12,0))))-(VLOOKUP(D2365,'Species Codes'!B:I,8,0)*((((E2365*2.54)^VLOOKUP(D2365,'Species Codes'!B:L,11,0))*((I2365*0.3048)^VLOOKUP(D2365,'Species Codes'!B:M,12,0))))))*35.3*VLOOKUP(D2365,'Species Codes'!B:G,6,0)/2.2046,VLOOKUP(D2365,'Species Codes'!B:I,8,0)+VLOOKUP(D2365,'Species Codes'!B:J,9,0)*(((E2365*2.54)/100)^2)*(I2365*0.3048)))))*0.0011023),0)</f>
        <v>#N/A</v>
      </c>
      <c r="AC2365" s="104" t="e">
        <f>IF(Z2365&gt;0,((IF(OR(D2365="RA",D2365="OA",D2365="OT",D2365="UN",D2365="PC"),EXP(VLOOKUP(D2365,'Species Codes'!B:O,14,0)+VLOOKUP(D2365,'Species Codes'!B:P,15,0)*LN((E2365*2.54)))-EXP(VLOOKUP(D2365,'Species Codes'!B:O,14,0)+VLOOKUP(D2365,'Species Codes'!B:P,15,0)*LN((E2365*2.54)))*(1/(VLOOKUP(D2365,'Species Codes'!B:Q,16,0)+VLOOKUP(D2365,'Species Codes'!B:R,17,0)*((E2365*2.54)^VLOOKUP(D2365,'Species Codes'!B:S,18,0)))),IF(OR(D2365="BM",D2365="MD",D2365="OA"),EXP(VLOOKUP(D2365,'Species Codes'!B:O,14,0)+VLOOKUP(D2365,'Species Codes'!B:P,15,0)*LN((E2365*2.54)))*(1-(1/(VLOOKUP(D2365,'Species Codes'!B:Q,16,0)+VLOOKUP(D2365,'Species Codes'!B:R,17,0)*((E2365*2.54)^VLOOKUP(D2365,'Species Codes'!B:S,18,0)))))/1000,IF(D2365="DF",EXP(VLOOKUP(D2365,'Species Codes'!B:O,14,0)+VLOOKUP(D2365,'Species Codes'!B:P,15,0)*LN((E2365*2.54))),VLOOKUP(D2365,'Species Codes'!B:O,14,0)+VLOOKUP(D2365,'Species Codes'!B:P,15,0)*(((E2365*2.54)/100)^2)*(I2365*0.3048)))))*0.0011023),0)</f>
        <v>#N/A</v>
      </c>
      <c r="AD2365" s="104" t="e">
        <f t="shared" si="1030"/>
        <v>#N/A</v>
      </c>
      <c r="AE2365" s="104" t="e">
        <f t="shared" si="1031"/>
        <v>#N/A</v>
      </c>
      <c r="AF2365" s="104" t="e">
        <f>IF(AND(VLOOKUP($D2365,Merchantability!$B:$C,2,0)="Yes",$E2365&gt;=VLOOKUP($D2365,Merchantability!$B:$D,3,0),$E2365&lt;=VLOOKUP($D2365,Merchantability!$B:$E,4,0)),AA2365,0)</f>
        <v>#N/A</v>
      </c>
      <c r="AG2365" s="104" t="e">
        <f>IF(AND(VLOOKUP($D2365,Merchantability!$B:$C,2,0)="Yes",$E2365&gt;=VLOOKUP($D2365,Merchantability!$B:$D,3,0),$E2365&lt;=VLOOKUP($D2365,Merchantability!$B:$E,4,0)),AB2365,0)</f>
        <v>#N/A</v>
      </c>
      <c r="AH2365" s="104" t="e">
        <f>IF(AND(VLOOKUP($D2365,Merchantability!$B:$C,2,0)="Yes",$E2365&gt;=VLOOKUP($D2365,Merchantability!$B:$D,3,0),$E2365&lt;=VLOOKUP($D2365,Merchantability!$B:$E,4,0)),AC2365,0)</f>
        <v>#N/A</v>
      </c>
      <c r="AI2365" s="104" t="e">
        <f t="shared" si="1032"/>
        <v>#N/A</v>
      </c>
      <c r="AJ2365" s="104" t="e">
        <f t="shared" si="1033"/>
        <v>#VALUE!</v>
      </c>
      <c r="AK2365" s="104" t="e">
        <f t="shared" si="1034"/>
        <v>#N/A</v>
      </c>
      <c r="AL2365" s="104" t="e">
        <f t="shared" si="1035"/>
        <v>#N/A</v>
      </c>
      <c r="AM2365" s="104" t="e">
        <f t="shared" si="1036"/>
        <v>#N/A</v>
      </c>
      <c r="AN2365" s="104" t="e">
        <f t="shared" si="1020"/>
        <v>#N/A</v>
      </c>
      <c r="AO2365" s="104" t="e">
        <f t="shared" si="1021"/>
        <v>#N/A</v>
      </c>
      <c r="AP2365" s="104" t="e">
        <f t="shared" si="1022"/>
        <v>#N/A</v>
      </c>
      <c r="AQ2365" s="104" t="e">
        <f t="shared" si="1023"/>
        <v>#N/A</v>
      </c>
      <c r="AR2365" s="105" t="str">
        <f t="shared" si="1015"/>
        <v/>
      </c>
      <c r="AS2365" s="105" t="str">
        <f t="shared" si="1016"/>
        <v/>
      </c>
      <c r="AT2365" s="108" t="str">
        <f t="shared" si="1017"/>
        <v/>
      </c>
      <c r="AU2365" s="108" t="str">
        <f t="shared" si="1018"/>
        <v/>
      </c>
      <c r="AV2365" s="107" t="str">
        <f>IF(ISNUMBER(O2365),IF(VLOOKUP($A2365,Stand!C:J,8,FALSE)="Short",AT2365,AU2365),"")</f>
        <v/>
      </c>
      <c r="AW2365" s="109" t="str">
        <f t="shared" si="1024"/>
        <v/>
      </c>
      <c r="AX2365" s="109" t="str">
        <f t="shared" si="1025"/>
        <v/>
      </c>
      <c r="AY2365" s="112" t="str">
        <f>IF(ISNUMBER(O2365),IF(AND(VLOOKUP($D2365,Merchantability!$B:$C,2,0)="Yes",$E2365&gt;=VLOOKUP($D2365,Merchantability!$B:$D,3,0),$E2365&lt;=VLOOKUP($D2365,Merchantability!$B:$E,4,0)),(AV2365*O2365)*(1-$H2365/100),""),"")</f>
        <v/>
      </c>
      <c r="AZ2365" s="116"/>
      <c r="BA2365" s="116"/>
      <c r="BB2365" s="116"/>
      <c r="BE2365" s="62"/>
      <c r="BF2365" s="63"/>
    </row>
    <row r="2366" spans="1:58" ht="12.75" customHeight="1" x14ac:dyDescent="0.25">
      <c r="A2366" s="334"/>
      <c r="B2366" s="334"/>
      <c r="C2366" s="332"/>
      <c r="D2366" s="334"/>
      <c r="E2366" s="335"/>
      <c r="F2366" s="334"/>
      <c r="G2366" s="332"/>
      <c r="H2366" s="332"/>
      <c r="I2366" s="334"/>
      <c r="J2366" s="336"/>
      <c r="K2366" s="332"/>
      <c r="L2366" s="332"/>
      <c r="M2366" s="76"/>
      <c r="N2366" s="103" t="str">
        <f>IF(A2366="","",VLOOKUP(A2366,Stand!C:K,9,0))</f>
        <v/>
      </c>
      <c r="O2366" s="104" t="str">
        <f t="shared" si="1010"/>
        <v/>
      </c>
      <c r="P2366" s="105" t="str">
        <f t="shared" si="1011"/>
        <v/>
      </c>
      <c r="Q2366" s="105" t="str">
        <f t="shared" si="1026"/>
        <v/>
      </c>
      <c r="R2366" s="103" t="str">
        <f t="shared" si="1012"/>
        <v/>
      </c>
      <c r="S2366" s="103" t="str">
        <f t="shared" si="1013"/>
        <v/>
      </c>
      <c r="T2366" s="106" t="str">
        <f t="shared" si="1027"/>
        <v/>
      </c>
      <c r="U2366" s="106" t="str">
        <f t="shared" si="1028"/>
        <v/>
      </c>
      <c r="V2366" s="106" t="str">
        <f t="shared" si="1029"/>
        <v/>
      </c>
      <c r="W2366" s="105" t="str">
        <f t="shared" si="1014"/>
        <v/>
      </c>
      <c r="X2366" s="104" t="str">
        <f t="shared" si="1019"/>
        <v/>
      </c>
      <c r="Y2366" s="104" t="str">
        <f t="array" ref="Y2366">IFERROR(IF(ISNUMBER(O2366),IF(COUNT(IF(A2366=$A$2:$A$2427,IF(D2366=$D$2:$D$2427,IF($X$2:$X$2427&gt;0,1))))&gt;0,SUM(IF(A2366=$A$2:$A$2427,IF(D2366=$D$2:$D$2427,$X$2:$X$2427)))/COUNT(IF(A2366=$A$2:$A$2427,IF(D2366=$D$2:$D$2427,IF(ISNUMBER($X$2:$X$2427),1)))),0),""),0)</f>
        <v/>
      </c>
      <c r="Z2366" s="104" t="str">
        <f>IF(ISNUMBER(O2366),IF(I2366&gt;0,(10^(VLOOKUP(D2366,'Species Codes'!B:C,2,0)+VLOOKUP(D2366,'Species Codes'!B:D,3,0)*LOG(E2366)+VLOOKUP(D2366,'Species Codes'!B:E,4,0)*LOG(I2366))),0),"")</f>
        <v/>
      </c>
      <c r="AA2366" s="104" t="str">
        <f>IFERROR((VLOOKUP(D2366,'Species Codes'!B:G,6,0)*Z2366)/2000,"")</f>
        <v/>
      </c>
      <c r="AB2366" s="104" t="e">
        <f>IF(Z2366&gt;0,((IF(OR(D2366="DF",D2366="RA")=TRUE,EXP(VLOOKUP(D2366,'Species Codes'!B:I,8,0)+VLOOKUP(D2366,'Species Codes'!B:J,9,0)*(LN((E2366*2.54)))),IF(OR(D2366="PY",D2366="RC",D2366="WH",D2366="NF")=TRUE,VLOOKUP(D2366,'Species Codes'!B:I,8,0)+VLOOKUP(D2366,'Species Codes'!B:J,9,0)*((E2366*2.54)^2)*(I2366*0.3048),IF(OR(D2366="MD",D2366="BM",D2366="GA")=TRUE,((VLOOKUP(D2366,'Species Codes'!B:I,8,0)*(((((E2366*2.54)+VLOOKUP(D2366,'Species Codes'!B:J,9,0))/VLOOKUP(D2366,'Species Codes'!B:K,10,0))^VLOOKUP(D2366,'Species Codes'!B:L,11,0))*((I2366*0.3048)^VLOOKUP(D2366,'Species Codes'!B:M,12,0))))-(VLOOKUP(D2366,'Species Codes'!B:I,8,0)*((((E2366*2.54)^VLOOKUP(D2366,'Species Codes'!B:L,11,0))*((I2366*0.3048)^VLOOKUP(D2366,'Species Codes'!B:M,12,0))))))*35.3*VLOOKUP(D2366,'Species Codes'!B:G,6,0)/2.2046,VLOOKUP(D2366,'Species Codes'!B:I,8,0)+VLOOKUP(D2366,'Species Codes'!B:J,9,0)*(((E2366*2.54)/100)^2)*(I2366*0.3048)))))*0.0011023),0)</f>
        <v>#N/A</v>
      </c>
      <c r="AC2366" s="104" t="e">
        <f>IF(Z2366&gt;0,((IF(OR(D2366="RA",D2366="OA",D2366="OT",D2366="UN",D2366="PC"),EXP(VLOOKUP(D2366,'Species Codes'!B:O,14,0)+VLOOKUP(D2366,'Species Codes'!B:P,15,0)*LN((E2366*2.54)))-EXP(VLOOKUP(D2366,'Species Codes'!B:O,14,0)+VLOOKUP(D2366,'Species Codes'!B:P,15,0)*LN((E2366*2.54)))*(1/(VLOOKUP(D2366,'Species Codes'!B:Q,16,0)+VLOOKUP(D2366,'Species Codes'!B:R,17,0)*((E2366*2.54)^VLOOKUP(D2366,'Species Codes'!B:S,18,0)))),IF(OR(D2366="BM",D2366="MD",D2366="OA"),EXP(VLOOKUP(D2366,'Species Codes'!B:O,14,0)+VLOOKUP(D2366,'Species Codes'!B:P,15,0)*LN((E2366*2.54)))*(1-(1/(VLOOKUP(D2366,'Species Codes'!B:Q,16,0)+VLOOKUP(D2366,'Species Codes'!B:R,17,0)*((E2366*2.54)^VLOOKUP(D2366,'Species Codes'!B:S,18,0)))))/1000,IF(D2366="DF",EXP(VLOOKUP(D2366,'Species Codes'!B:O,14,0)+VLOOKUP(D2366,'Species Codes'!B:P,15,0)*LN((E2366*2.54))),VLOOKUP(D2366,'Species Codes'!B:O,14,0)+VLOOKUP(D2366,'Species Codes'!B:P,15,0)*(((E2366*2.54)/100)^2)*(I2366*0.3048)))))*0.0011023),0)</f>
        <v>#N/A</v>
      </c>
      <c r="AD2366" s="104" t="e">
        <f t="shared" si="1030"/>
        <v>#N/A</v>
      </c>
      <c r="AE2366" s="104" t="e">
        <f t="shared" si="1031"/>
        <v>#N/A</v>
      </c>
      <c r="AF2366" s="104" t="e">
        <f>IF(AND(VLOOKUP($D2366,Merchantability!$B:$C,2,0)="Yes",$E2366&gt;=VLOOKUP($D2366,Merchantability!$B:$D,3,0),$E2366&lt;=VLOOKUP($D2366,Merchantability!$B:$E,4,0)),AA2366,0)</f>
        <v>#N/A</v>
      </c>
      <c r="AG2366" s="104" t="e">
        <f>IF(AND(VLOOKUP($D2366,Merchantability!$B:$C,2,0)="Yes",$E2366&gt;=VLOOKUP($D2366,Merchantability!$B:$D,3,0),$E2366&lt;=VLOOKUP($D2366,Merchantability!$B:$E,4,0)),AB2366,0)</f>
        <v>#N/A</v>
      </c>
      <c r="AH2366" s="104" t="e">
        <f>IF(AND(VLOOKUP($D2366,Merchantability!$B:$C,2,0)="Yes",$E2366&gt;=VLOOKUP($D2366,Merchantability!$B:$D,3,0),$E2366&lt;=VLOOKUP($D2366,Merchantability!$B:$E,4,0)),AC2366,0)</f>
        <v>#N/A</v>
      </c>
      <c r="AI2366" s="104" t="e">
        <f t="shared" si="1032"/>
        <v>#N/A</v>
      </c>
      <c r="AJ2366" s="104" t="e">
        <f t="shared" si="1033"/>
        <v>#VALUE!</v>
      </c>
      <c r="AK2366" s="104" t="e">
        <f t="shared" si="1034"/>
        <v>#N/A</v>
      </c>
      <c r="AL2366" s="104" t="e">
        <f t="shared" si="1035"/>
        <v>#N/A</v>
      </c>
      <c r="AM2366" s="104" t="e">
        <f t="shared" si="1036"/>
        <v>#N/A</v>
      </c>
      <c r="AN2366" s="104" t="e">
        <f t="shared" si="1020"/>
        <v>#N/A</v>
      </c>
      <c r="AO2366" s="104" t="e">
        <f t="shared" si="1021"/>
        <v>#N/A</v>
      </c>
      <c r="AP2366" s="104" t="e">
        <f t="shared" si="1022"/>
        <v>#N/A</v>
      </c>
      <c r="AQ2366" s="104" t="e">
        <f t="shared" si="1023"/>
        <v>#N/A</v>
      </c>
      <c r="AR2366" s="105" t="str">
        <f t="shared" si="1015"/>
        <v/>
      </c>
      <c r="AS2366" s="105" t="str">
        <f t="shared" si="1016"/>
        <v/>
      </c>
      <c r="AT2366" s="108" t="str">
        <f t="shared" si="1017"/>
        <v/>
      </c>
      <c r="AU2366" s="108" t="str">
        <f t="shared" si="1018"/>
        <v/>
      </c>
      <c r="AV2366" s="107" t="str">
        <f>IF(ISNUMBER(O2366),IF(VLOOKUP($A2366,Stand!C:J,8,FALSE)="Short",AT2366,AU2366),"")</f>
        <v/>
      </c>
      <c r="AW2366" s="109" t="str">
        <f t="shared" si="1024"/>
        <v/>
      </c>
      <c r="AX2366" s="109" t="str">
        <f t="shared" si="1025"/>
        <v/>
      </c>
      <c r="AY2366" s="112" t="str">
        <f>IF(ISNUMBER(O2366),IF(AND(VLOOKUP($D2366,Merchantability!$B:$C,2,0)="Yes",$E2366&gt;=VLOOKUP($D2366,Merchantability!$B:$D,3,0),$E2366&lt;=VLOOKUP($D2366,Merchantability!$B:$E,4,0)),(AV2366*O2366)*(1-$H2366/100),""),"")</f>
        <v/>
      </c>
      <c r="AZ2366" s="116"/>
      <c r="BA2366" s="116"/>
      <c r="BB2366" s="116"/>
      <c r="BE2366" s="62"/>
      <c r="BF2366" s="63"/>
    </row>
    <row r="2367" spans="1:58" ht="12.75" customHeight="1" x14ac:dyDescent="0.25">
      <c r="A2367" s="334"/>
      <c r="B2367" s="334"/>
      <c r="C2367" s="332"/>
      <c r="D2367" s="334"/>
      <c r="E2367" s="335"/>
      <c r="F2367" s="334"/>
      <c r="G2367" s="332"/>
      <c r="H2367" s="332"/>
      <c r="I2367" s="334"/>
      <c r="J2367" s="336"/>
      <c r="K2367" s="332"/>
      <c r="L2367" s="332"/>
      <c r="M2367" s="76"/>
      <c r="N2367" s="103" t="str">
        <f>IF(A2367="","",VLOOKUP(A2367,Stand!C:K,9,0))</f>
        <v/>
      </c>
      <c r="O2367" s="104" t="str">
        <f t="shared" si="1010"/>
        <v/>
      </c>
      <c r="P2367" s="105" t="str">
        <f t="shared" si="1011"/>
        <v/>
      </c>
      <c r="Q2367" s="105" t="str">
        <f t="shared" si="1026"/>
        <v/>
      </c>
      <c r="R2367" s="103" t="str">
        <f t="shared" si="1012"/>
        <v/>
      </c>
      <c r="S2367" s="103" t="str">
        <f t="shared" si="1013"/>
        <v/>
      </c>
      <c r="T2367" s="106" t="str">
        <f t="shared" si="1027"/>
        <v/>
      </c>
      <c r="U2367" s="106" t="str">
        <f t="shared" si="1028"/>
        <v/>
      </c>
      <c r="V2367" s="106" t="str">
        <f t="shared" si="1029"/>
        <v/>
      </c>
      <c r="W2367" s="105" t="str">
        <f t="shared" si="1014"/>
        <v/>
      </c>
      <c r="X2367" s="104" t="str">
        <f t="shared" si="1019"/>
        <v/>
      </c>
      <c r="Y2367" s="104" t="str">
        <f t="array" ref="Y2367">IFERROR(IF(ISNUMBER(O2367),IF(COUNT(IF(A2367=$A$2:$A$2427,IF(D2367=$D$2:$D$2427,IF($X$2:$X$2427&gt;0,1))))&gt;0,SUM(IF(A2367=$A$2:$A$2427,IF(D2367=$D$2:$D$2427,$X$2:$X$2427)))/COUNT(IF(A2367=$A$2:$A$2427,IF(D2367=$D$2:$D$2427,IF(ISNUMBER($X$2:$X$2427),1)))),0),""),0)</f>
        <v/>
      </c>
      <c r="Z2367" s="104" t="str">
        <f>IF(ISNUMBER(O2367),IF(I2367&gt;0,(10^(VLOOKUP(D2367,'Species Codes'!B:C,2,0)+VLOOKUP(D2367,'Species Codes'!B:D,3,0)*LOG(E2367)+VLOOKUP(D2367,'Species Codes'!B:E,4,0)*LOG(I2367))),0),"")</f>
        <v/>
      </c>
      <c r="AA2367" s="104" t="str">
        <f>IFERROR((VLOOKUP(D2367,'Species Codes'!B:G,6,0)*Z2367)/2000,"")</f>
        <v/>
      </c>
      <c r="AB2367" s="104" t="e">
        <f>IF(Z2367&gt;0,((IF(OR(D2367="DF",D2367="RA")=TRUE,EXP(VLOOKUP(D2367,'Species Codes'!B:I,8,0)+VLOOKUP(D2367,'Species Codes'!B:J,9,0)*(LN((E2367*2.54)))),IF(OR(D2367="PY",D2367="RC",D2367="WH",D2367="NF")=TRUE,VLOOKUP(D2367,'Species Codes'!B:I,8,0)+VLOOKUP(D2367,'Species Codes'!B:J,9,0)*((E2367*2.54)^2)*(I2367*0.3048),IF(OR(D2367="MD",D2367="BM",D2367="GA")=TRUE,((VLOOKUP(D2367,'Species Codes'!B:I,8,0)*(((((E2367*2.54)+VLOOKUP(D2367,'Species Codes'!B:J,9,0))/VLOOKUP(D2367,'Species Codes'!B:K,10,0))^VLOOKUP(D2367,'Species Codes'!B:L,11,0))*((I2367*0.3048)^VLOOKUP(D2367,'Species Codes'!B:M,12,0))))-(VLOOKUP(D2367,'Species Codes'!B:I,8,0)*((((E2367*2.54)^VLOOKUP(D2367,'Species Codes'!B:L,11,0))*((I2367*0.3048)^VLOOKUP(D2367,'Species Codes'!B:M,12,0))))))*35.3*VLOOKUP(D2367,'Species Codes'!B:G,6,0)/2.2046,VLOOKUP(D2367,'Species Codes'!B:I,8,0)+VLOOKUP(D2367,'Species Codes'!B:J,9,0)*(((E2367*2.54)/100)^2)*(I2367*0.3048)))))*0.0011023),0)</f>
        <v>#N/A</v>
      </c>
      <c r="AC2367" s="104" t="e">
        <f>IF(Z2367&gt;0,((IF(OR(D2367="RA",D2367="OA",D2367="OT",D2367="UN",D2367="PC"),EXP(VLOOKUP(D2367,'Species Codes'!B:O,14,0)+VLOOKUP(D2367,'Species Codes'!B:P,15,0)*LN((E2367*2.54)))-EXP(VLOOKUP(D2367,'Species Codes'!B:O,14,0)+VLOOKUP(D2367,'Species Codes'!B:P,15,0)*LN((E2367*2.54)))*(1/(VLOOKUP(D2367,'Species Codes'!B:Q,16,0)+VLOOKUP(D2367,'Species Codes'!B:R,17,0)*((E2367*2.54)^VLOOKUP(D2367,'Species Codes'!B:S,18,0)))),IF(OR(D2367="BM",D2367="MD",D2367="OA"),EXP(VLOOKUP(D2367,'Species Codes'!B:O,14,0)+VLOOKUP(D2367,'Species Codes'!B:P,15,0)*LN((E2367*2.54)))*(1-(1/(VLOOKUP(D2367,'Species Codes'!B:Q,16,0)+VLOOKUP(D2367,'Species Codes'!B:R,17,0)*((E2367*2.54)^VLOOKUP(D2367,'Species Codes'!B:S,18,0)))))/1000,IF(D2367="DF",EXP(VLOOKUP(D2367,'Species Codes'!B:O,14,0)+VLOOKUP(D2367,'Species Codes'!B:P,15,0)*LN((E2367*2.54))),VLOOKUP(D2367,'Species Codes'!B:O,14,0)+VLOOKUP(D2367,'Species Codes'!B:P,15,0)*(((E2367*2.54)/100)^2)*(I2367*0.3048)))))*0.0011023),0)</f>
        <v>#N/A</v>
      </c>
      <c r="AD2367" s="104" t="e">
        <f t="shared" si="1030"/>
        <v>#N/A</v>
      </c>
      <c r="AE2367" s="104" t="e">
        <f t="shared" si="1031"/>
        <v>#N/A</v>
      </c>
      <c r="AF2367" s="104" t="e">
        <f>IF(AND(VLOOKUP($D2367,Merchantability!$B:$C,2,0)="Yes",$E2367&gt;=VLOOKUP($D2367,Merchantability!$B:$D,3,0),$E2367&lt;=VLOOKUP($D2367,Merchantability!$B:$E,4,0)),AA2367,0)</f>
        <v>#N/A</v>
      </c>
      <c r="AG2367" s="104" t="e">
        <f>IF(AND(VLOOKUP($D2367,Merchantability!$B:$C,2,0)="Yes",$E2367&gt;=VLOOKUP($D2367,Merchantability!$B:$D,3,0),$E2367&lt;=VLOOKUP($D2367,Merchantability!$B:$E,4,0)),AB2367,0)</f>
        <v>#N/A</v>
      </c>
      <c r="AH2367" s="104" t="e">
        <f>IF(AND(VLOOKUP($D2367,Merchantability!$B:$C,2,0)="Yes",$E2367&gt;=VLOOKUP($D2367,Merchantability!$B:$D,3,0),$E2367&lt;=VLOOKUP($D2367,Merchantability!$B:$E,4,0)),AC2367,0)</f>
        <v>#N/A</v>
      </c>
      <c r="AI2367" s="104" t="e">
        <f t="shared" si="1032"/>
        <v>#N/A</v>
      </c>
      <c r="AJ2367" s="104" t="e">
        <f t="shared" si="1033"/>
        <v>#VALUE!</v>
      </c>
      <c r="AK2367" s="104" t="e">
        <f t="shared" si="1034"/>
        <v>#N/A</v>
      </c>
      <c r="AL2367" s="104" t="e">
        <f t="shared" si="1035"/>
        <v>#N/A</v>
      </c>
      <c r="AM2367" s="104" t="e">
        <f t="shared" si="1036"/>
        <v>#N/A</v>
      </c>
      <c r="AN2367" s="104" t="e">
        <f t="shared" si="1020"/>
        <v>#N/A</v>
      </c>
      <c r="AO2367" s="104" t="e">
        <f t="shared" si="1021"/>
        <v>#N/A</v>
      </c>
      <c r="AP2367" s="104" t="e">
        <f t="shared" si="1022"/>
        <v>#N/A</v>
      </c>
      <c r="AQ2367" s="104" t="e">
        <f t="shared" si="1023"/>
        <v>#N/A</v>
      </c>
      <c r="AR2367" s="105" t="str">
        <f t="shared" si="1015"/>
        <v/>
      </c>
      <c r="AS2367" s="105" t="str">
        <f t="shared" si="1016"/>
        <v/>
      </c>
      <c r="AT2367" s="108" t="str">
        <f t="shared" si="1017"/>
        <v/>
      </c>
      <c r="AU2367" s="108" t="str">
        <f t="shared" si="1018"/>
        <v/>
      </c>
      <c r="AV2367" s="107" t="str">
        <f>IF(ISNUMBER(O2367),IF(VLOOKUP($A2367,Stand!C:J,8,FALSE)="Short",AT2367,AU2367),"")</f>
        <v/>
      </c>
      <c r="AW2367" s="109" t="str">
        <f t="shared" si="1024"/>
        <v/>
      </c>
      <c r="AX2367" s="109" t="str">
        <f t="shared" si="1025"/>
        <v/>
      </c>
      <c r="AY2367" s="112" t="str">
        <f>IF(ISNUMBER(O2367),IF(AND(VLOOKUP($D2367,Merchantability!$B:$C,2,0)="Yes",$E2367&gt;=VLOOKUP($D2367,Merchantability!$B:$D,3,0),$E2367&lt;=VLOOKUP($D2367,Merchantability!$B:$E,4,0)),(AV2367*O2367)*(1-$H2367/100),""),"")</f>
        <v/>
      </c>
      <c r="AZ2367" s="116"/>
      <c r="BA2367" s="116"/>
      <c r="BB2367" s="116"/>
      <c r="BE2367" s="62"/>
      <c r="BF2367" s="63"/>
    </row>
    <row r="2368" spans="1:58" ht="12.75" customHeight="1" x14ac:dyDescent="0.25">
      <c r="A2368" s="334"/>
      <c r="B2368" s="334"/>
      <c r="C2368" s="332"/>
      <c r="D2368" s="334"/>
      <c r="E2368" s="335"/>
      <c r="F2368" s="334"/>
      <c r="G2368" s="332"/>
      <c r="H2368" s="332"/>
      <c r="I2368" s="334"/>
      <c r="J2368" s="336"/>
      <c r="K2368" s="332"/>
      <c r="L2368" s="332"/>
      <c r="M2368" s="76"/>
      <c r="N2368" s="103" t="str">
        <f>IF(A2368="","",VLOOKUP(A2368,Stand!C:K,9,0))</f>
        <v/>
      </c>
      <c r="O2368" s="104" t="str">
        <f t="shared" si="1010"/>
        <v/>
      </c>
      <c r="P2368" s="105" t="str">
        <f t="shared" si="1011"/>
        <v/>
      </c>
      <c r="Q2368" s="105" t="str">
        <f t="shared" si="1026"/>
        <v/>
      </c>
      <c r="R2368" s="103" t="str">
        <f t="shared" si="1012"/>
        <v/>
      </c>
      <c r="S2368" s="103" t="str">
        <f t="shared" si="1013"/>
        <v/>
      </c>
      <c r="T2368" s="106" t="str">
        <f t="shared" si="1027"/>
        <v/>
      </c>
      <c r="U2368" s="106" t="str">
        <f t="shared" si="1028"/>
        <v/>
      </c>
      <c r="V2368" s="106" t="str">
        <f t="shared" si="1029"/>
        <v/>
      </c>
      <c r="W2368" s="105" t="str">
        <f t="shared" si="1014"/>
        <v/>
      </c>
      <c r="X2368" s="104" t="str">
        <f t="shared" si="1019"/>
        <v/>
      </c>
      <c r="Y2368" s="104" t="str">
        <f t="array" ref="Y2368">IFERROR(IF(ISNUMBER(O2368),IF(COUNT(IF(A2368=$A$2:$A$2427,IF(D2368=$D$2:$D$2427,IF($X$2:$X$2427&gt;0,1))))&gt;0,SUM(IF(A2368=$A$2:$A$2427,IF(D2368=$D$2:$D$2427,$X$2:$X$2427)))/COUNT(IF(A2368=$A$2:$A$2427,IF(D2368=$D$2:$D$2427,IF(ISNUMBER($X$2:$X$2427),1)))),0),""),0)</f>
        <v/>
      </c>
      <c r="Z2368" s="104" t="str">
        <f>IF(ISNUMBER(O2368),IF(I2368&gt;0,(10^(VLOOKUP(D2368,'Species Codes'!B:C,2,0)+VLOOKUP(D2368,'Species Codes'!B:D,3,0)*LOG(E2368)+VLOOKUP(D2368,'Species Codes'!B:E,4,0)*LOG(I2368))),0),"")</f>
        <v/>
      </c>
      <c r="AA2368" s="104" t="str">
        <f>IFERROR((VLOOKUP(D2368,'Species Codes'!B:G,6,0)*Z2368)/2000,"")</f>
        <v/>
      </c>
      <c r="AB2368" s="104" t="e">
        <f>IF(Z2368&gt;0,((IF(OR(D2368="DF",D2368="RA")=TRUE,EXP(VLOOKUP(D2368,'Species Codes'!B:I,8,0)+VLOOKUP(D2368,'Species Codes'!B:J,9,0)*(LN((E2368*2.54)))),IF(OR(D2368="PY",D2368="RC",D2368="WH",D2368="NF")=TRUE,VLOOKUP(D2368,'Species Codes'!B:I,8,0)+VLOOKUP(D2368,'Species Codes'!B:J,9,0)*((E2368*2.54)^2)*(I2368*0.3048),IF(OR(D2368="MD",D2368="BM",D2368="GA")=TRUE,((VLOOKUP(D2368,'Species Codes'!B:I,8,0)*(((((E2368*2.54)+VLOOKUP(D2368,'Species Codes'!B:J,9,0))/VLOOKUP(D2368,'Species Codes'!B:K,10,0))^VLOOKUP(D2368,'Species Codes'!B:L,11,0))*((I2368*0.3048)^VLOOKUP(D2368,'Species Codes'!B:M,12,0))))-(VLOOKUP(D2368,'Species Codes'!B:I,8,0)*((((E2368*2.54)^VLOOKUP(D2368,'Species Codes'!B:L,11,0))*((I2368*0.3048)^VLOOKUP(D2368,'Species Codes'!B:M,12,0))))))*35.3*VLOOKUP(D2368,'Species Codes'!B:G,6,0)/2.2046,VLOOKUP(D2368,'Species Codes'!B:I,8,0)+VLOOKUP(D2368,'Species Codes'!B:J,9,0)*(((E2368*2.54)/100)^2)*(I2368*0.3048)))))*0.0011023),0)</f>
        <v>#N/A</v>
      </c>
      <c r="AC2368" s="104" t="e">
        <f>IF(Z2368&gt;0,((IF(OR(D2368="RA",D2368="OA",D2368="OT",D2368="UN",D2368="PC"),EXP(VLOOKUP(D2368,'Species Codes'!B:O,14,0)+VLOOKUP(D2368,'Species Codes'!B:P,15,0)*LN((E2368*2.54)))-EXP(VLOOKUP(D2368,'Species Codes'!B:O,14,0)+VLOOKUP(D2368,'Species Codes'!B:P,15,0)*LN((E2368*2.54)))*(1/(VLOOKUP(D2368,'Species Codes'!B:Q,16,0)+VLOOKUP(D2368,'Species Codes'!B:R,17,0)*((E2368*2.54)^VLOOKUP(D2368,'Species Codes'!B:S,18,0)))),IF(OR(D2368="BM",D2368="MD",D2368="OA"),EXP(VLOOKUP(D2368,'Species Codes'!B:O,14,0)+VLOOKUP(D2368,'Species Codes'!B:P,15,0)*LN((E2368*2.54)))*(1-(1/(VLOOKUP(D2368,'Species Codes'!B:Q,16,0)+VLOOKUP(D2368,'Species Codes'!B:R,17,0)*((E2368*2.54)^VLOOKUP(D2368,'Species Codes'!B:S,18,0)))))/1000,IF(D2368="DF",EXP(VLOOKUP(D2368,'Species Codes'!B:O,14,0)+VLOOKUP(D2368,'Species Codes'!B:P,15,0)*LN((E2368*2.54))),VLOOKUP(D2368,'Species Codes'!B:O,14,0)+VLOOKUP(D2368,'Species Codes'!B:P,15,0)*(((E2368*2.54)/100)^2)*(I2368*0.3048)))))*0.0011023),0)</f>
        <v>#N/A</v>
      </c>
      <c r="AD2368" s="104" t="e">
        <f t="shared" si="1030"/>
        <v>#N/A</v>
      </c>
      <c r="AE2368" s="104" t="e">
        <f t="shared" si="1031"/>
        <v>#N/A</v>
      </c>
      <c r="AF2368" s="104" t="e">
        <f>IF(AND(VLOOKUP($D2368,Merchantability!$B:$C,2,0)="Yes",$E2368&gt;=VLOOKUP($D2368,Merchantability!$B:$D,3,0),$E2368&lt;=VLOOKUP($D2368,Merchantability!$B:$E,4,0)),AA2368,0)</f>
        <v>#N/A</v>
      </c>
      <c r="AG2368" s="104" t="e">
        <f>IF(AND(VLOOKUP($D2368,Merchantability!$B:$C,2,0)="Yes",$E2368&gt;=VLOOKUP($D2368,Merchantability!$B:$D,3,0),$E2368&lt;=VLOOKUP($D2368,Merchantability!$B:$E,4,0)),AB2368,0)</f>
        <v>#N/A</v>
      </c>
      <c r="AH2368" s="104" t="e">
        <f>IF(AND(VLOOKUP($D2368,Merchantability!$B:$C,2,0)="Yes",$E2368&gt;=VLOOKUP($D2368,Merchantability!$B:$D,3,0),$E2368&lt;=VLOOKUP($D2368,Merchantability!$B:$E,4,0)),AC2368,0)</f>
        <v>#N/A</v>
      </c>
      <c r="AI2368" s="104" t="e">
        <f t="shared" si="1032"/>
        <v>#N/A</v>
      </c>
      <c r="AJ2368" s="104" t="e">
        <f t="shared" si="1033"/>
        <v>#VALUE!</v>
      </c>
      <c r="AK2368" s="104" t="e">
        <f t="shared" si="1034"/>
        <v>#N/A</v>
      </c>
      <c r="AL2368" s="104" t="e">
        <f t="shared" si="1035"/>
        <v>#N/A</v>
      </c>
      <c r="AM2368" s="104" t="e">
        <f t="shared" si="1036"/>
        <v>#N/A</v>
      </c>
      <c r="AN2368" s="104" t="e">
        <f t="shared" si="1020"/>
        <v>#N/A</v>
      </c>
      <c r="AO2368" s="104" t="e">
        <f t="shared" si="1021"/>
        <v>#N/A</v>
      </c>
      <c r="AP2368" s="104" t="e">
        <f t="shared" si="1022"/>
        <v>#N/A</v>
      </c>
      <c r="AQ2368" s="104" t="e">
        <f t="shared" si="1023"/>
        <v>#N/A</v>
      </c>
      <c r="AR2368" s="105" t="str">
        <f t="shared" si="1015"/>
        <v/>
      </c>
      <c r="AS2368" s="105" t="str">
        <f t="shared" si="1016"/>
        <v/>
      </c>
      <c r="AT2368" s="108" t="str">
        <f t="shared" si="1017"/>
        <v/>
      </c>
      <c r="AU2368" s="108" t="str">
        <f t="shared" si="1018"/>
        <v/>
      </c>
      <c r="AV2368" s="107" t="str">
        <f>IF(ISNUMBER(O2368),IF(VLOOKUP($A2368,Stand!C:J,8,FALSE)="Short",AT2368,AU2368),"")</f>
        <v/>
      </c>
      <c r="AW2368" s="109" t="str">
        <f t="shared" si="1024"/>
        <v/>
      </c>
      <c r="AX2368" s="109" t="str">
        <f t="shared" si="1025"/>
        <v/>
      </c>
      <c r="AY2368" s="112" t="str">
        <f>IF(ISNUMBER(O2368),IF(AND(VLOOKUP($D2368,Merchantability!$B:$C,2,0)="Yes",$E2368&gt;=VLOOKUP($D2368,Merchantability!$B:$D,3,0),$E2368&lt;=VLOOKUP($D2368,Merchantability!$B:$E,4,0)),(AV2368*O2368)*(1-$H2368/100),""),"")</f>
        <v/>
      </c>
      <c r="AZ2368" s="116"/>
      <c r="BA2368" s="116"/>
      <c r="BB2368" s="116"/>
      <c r="BE2368" s="62"/>
      <c r="BF2368" s="63"/>
    </row>
    <row r="2369" spans="1:58" ht="12.75" customHeight="1" x14ac:dyDescent="0.25">
      <c r="A2369" s="334"/>
      <c r="B2369" s="334"/>
      <c r="C2369" s="332"/>
      <c r="D2369" s="334"/>
      <c r="E2369" s="335"/>
      <c r="F2369" s="334"/>
      <c r="G2369" s="332"/>
      <c r="H2369" s="332"/>
      <c r="I2369" s="334"/>
      <c r="J2369" s="336"/>
      <c r="K2369" s="332"/>
      <c r="L2369" s="332"/>
      <c r="M2369" s="76"/>
      <c r="N2369" s="103" t="str">
        <f>IF(A2369="","",VLOOKUP(A2369,Stand!C:K,9,0))</f>
        <v/>
      </c>
      <c r="O2369" s="104" t="str">
        <f t="shared" si="1010"/>
        <v/>
      </c>
      <c r="P2369" s="105" t="str">
        <f t="shared" si="1011"/>
        <v/>
      </c>
      <c r="Q2369" s="105" t="str">
        <f t="shared" si="1026"/>
        <v/>
      </c>
      <c r="R2369" s="103" t="str">
        <f t="shared" si="1012"/>
        <v/>
      </c>
      <c r="S2369" s="103" t="str">
        <f t="shared" si="1013"/>
        <v/>
      </c>
      <c r="T2369" s="106" t="str">
        <f t="shared" si="1027"/>
        <v/>
      </c>
      <c r="U2369" s="106" t="str">
        <f t="shared" si="1028"/>
        <v/>
      </c>
      <c r="V2369" s="106" t="str">
        <f t="shared" si="1029"/>
        <v/>
      </c>
      <c r="W2369" s="105" t="str">
        <f t="shared" si="1014"/>
        <v/>
      </c>
      <c r="X2369" s="104" t="str">
        <f t="shared" si="1019"/>
        <v/>
      </c>
      <c r="Y2369" s="104" t="str">
        <f t="array" ref="Y2369">IFERROR(IF(ISNUMBER(O2369),IF(COUNT(IF(A2369=$A$2:$A$2427,IF(D2369=$D$2:$D$2427,IF($X$2:$X$2427&gt;0,1))))&gt;0,SUM(IF(A2369=$A$2:$A$2427,IF(D2369=$D$2:$D$2427,$X$2:$X$2427)))/COUNT(IF(A2369=$A$2:$A$2427,IF(D2369=$D$2:$D$2427,IF(ISNUMBER($X$2:$X$2427),1)))),0),""),0)</f>
        <v/>
      </c>
      <c r="Z2369" s="104" t="str">
        <f>IF(ISNUMBER(O2369),IF(I2369&gt;0,(10^(VLOOKUP(D2369,'Species Codes'!B:C,2,0)+VLOOKUP(D2369,'Species Codes'!B:D,3,0)*LOG(E2369)+VLOOKUP(D2369,'Species Codes'!B:E,4,0)*LOG(I2369))),0),"")</f>
        <v/>
      </c>
      <c r="AA2369" s="104" t="str">
        <f>IFERROR((VLOOKUP(D2369,'Species Codes'!B:G,6,0)*Z2369)/2000,"")</f>
        <v/>
      </c>
      <c r="AB2369" s="104" t="e">
        <f>IF(Z2369&gt;0,((IF(OR(D2369="DF",D2369="RA")=TRUE,EXP(VLOOKUP(D2369,'Species Codes'!B:I,8,0)+VLOOKUP(D2369,'Species Codes'!B:J,9,0)*(LN((E2369*2.54)))),IF(OR(D2369="PY",D2369="RC",D2369="WH",D2369="NF")=TRUE,VLOOKUP(D2369,'Species Codes'!B:I,8,0)+VLOOKUP(D2369,'Species Codes'!B:J,9,0)*((E2369*2.54)^2)*(I2369*0.3048),IF(OR(D2369="MD",D2369="BM",D2369="GA")=TRUE,((VLOOKUP(D2369,'Species Codes'!B:I,8,0)*(((((E2369*2.54)+VLOOKUP(D2369,'Species Codes'!B:J,9,0))/VLOOKUP(D2369,'Species Codes'!B:K,10,0))^VLOOKUP(D2369,'Species Codes'!B:L,11,0))*((I2369*0.3048)^VLOOKUP(D2369,'Species Codes'!B:M,12,0))))-(VLOOKUP(D2369,'Species Codes'!B:I,8,0)*((((E2369*2.54)^VLOOKUP(D2369,'Species Codes'!B:L,11,0))*((I2369*0.3048)^VLOOKUP(D2369,'Species Codes'!B:M,12,0))))))*35.3*VLOOKUP(D2369,'Species Codes'!B:G,6,0)/2.2046,VLOOKUP(D2369,'Species Codes'!B:I,8,0)+VLOOKUP(D2369,'Species Codes'!B:J,9,0)*(((E2369*2.54)/100)^2)*(I2369*0.3048)))))*0.0011023),0)</f>
        <v>#N/A</v>
      </c>
      <c r="AC2369" s="104" t="e">
        <f>IF(Z2369&gt;0,((IF(OR(D2369="RA",D2369="OA",D2369="OT",D2369="UN",D2369="PC"),EXP(VLOOKUP(D2369,'Species Codes'!B:O,14,0)+VLOOKUP(D2369,'Species Codes'!B:P,15,0)*LN((E2369*2.54)))-EXP(VLOOKUP(D2369,'Species Codes'!B:O,14,0)+VLOOKUP(D2369,'Species Codes'!B:P,15,0)*LN((E2369*2.54)))*(1/(VLOOKUP(D2369,'Species Codes'!B:Q,16,0)+VLOOKUP(D2369,'Species Codes'!B:R,17,0)*((E2369*2.54)^VLOOKUP(D2369,'Species Codes'!B:S,18,0)))),IF(OR(D2369="BM",D2369="MD",D2369="OA"),EXP(VLOOKUP(D2369,'Species Codes'!B:O,14,0)+VLOOKUP(D2369,'Species Codes'!B:P,15,0)*LN((E2369*2.54)))*(1-(1/(VLOOKUP(D2369,'Species Codes'!B:Q,16,0)+VLOOKUP(D2369,'Species Codes'!B:R,17,0)*((E2369*2.54)^VLOOKUP(D2369,'Species Codes'!B:S,18,0)))))/1000,IF(D2369="DF",EXP(VLOOKUP(D2369,'Species Codes'!B:O,14,0)+VLOOKUP(D2369,'Species Codes'!B:P,15,0)*LN((E2369*2.54))),VLOOKUP(D2369,'Species Codes'!B:O,14,0)+VLOOKUP(D2369,'Species Codes'!B:P,15,0)*(((E2369*2.54)/100)^2)*(I2369*0.3048)))))*0.0011023),0)</f>
        <v>#N/A</v>
      </c>
      <c r="AD2369" s="104" t="e">
        <f t="shared" si="1030"/>
        <v>#N/A</v>
      </c>
      <c r="AE2369" s="104" t="e">
        <f t="shared" si="1031"/>
        <v>#N/A</v>
      </c>
      <c r="AF2369" s="104" t="e">
        <f>IF(AND(VLOOKUP($D2369,Merchantability!$B:$C,2,0)="Yes",$E2369&gt;=VLOOKUP($D2369,Merchantability!$B:$D,3,0),$E2369&lt;=VLOOKUP($D2369,Merchantability!$B:$E,4,0)),AA2369,0)</f>
        <v>#N/A</v>
      </c>
      <c r="AG2369" s="104" t="e">
        <f>IF(AND(VLOOKUP($D2369,Merchantability!$B:$C,2,0)="Yes",$E2369&gt;=VLOOKUP($D2369,Merchantability!$B:$D,3,0),$E2369&lt;=VLOOKUP($D2369,Merchantability!$B:$E,4,0)),AB2369,0)</f>
        <v>#N/A</v>
      </c>
      <c r="AH2369" s="104" t="e">
        <f>IF(AND(VLOOKUP($D2369,Merchantability!$B:$C,2,0)="Yes",$E2369&gt;=VLOOKUP($D2369,Merchantability!$B:$D,3,0),$E2369&lt;=VLOOKUP($D2369,Merchantability!$B:$E,4,0)),AC2369,0)</f>
        <v>#N/A</v>
      </c>
      <c r="AI2369" s="104" t="e">
        <f t="shared" si="1032"/>
        <v>#N/A</v>
      </c>
      <c r="AJ2369" s="104" t="e">
        <f t="shared" si="1033"/>
        <v>#VALUE!</v>
      </c>
      <c r="AK2369" s="104" t="e">
        <f t="shared" si="1034"/>
        <v>#N/A</v>
      </c>
      <c r="AL2369" s="104" t="e">
        <f t="shared" si="1035"/>
        <v>#N/A</v>
      </c>
      <c r="AM2369" s="104" t="e">
        <f t="shared" si="1036"/>
        <v>#N/A</v>
      </c>
      <c r="AN2369" s="104" t="e">
        <f t="shared" si="1020"/>
        <v>#N/A</v>
      </c>
      <c r="AO2369" s="104" t="e">
        <f t="shared" si="1021"/>
        <v>#N/A</v>
      </c>
      <c r="AP2369" s="104" t="e">
        <f t="shared" si="1022"/>
        <v>#N/A</v>
      </c>
      <c r="AQ2369" s="104" t="e">
        <f t="shared" si="1023"/>
        <v>#N/A</v>
      </c>
      <c r="AR2369" s="105" t="str">
        <f t="shared" si="1015"/>
        <v/>
      </c>
      <c r="AS2369" s="105" t="str">
        <f t="shared" si="1016"/>
        <v/>
      </c>
      <c r="AT2369" s="108" t="str">
        <f t="shared" si="1017"/>
        <v/>
      </c>
      <c r="AU2369" s="108" t="str">
        <f t="shared" si="1018"/>
        <v/>
      </c>
      <c r="AV2369" s="107" t="str">
        <f>IF(ISNUMBER(O2369),IF(VLOOKUP($A2369,Stand!C:J,8,FALSE)="Short",AT2369,AU2369),"")</f>
        <v/>
      </c>
      <c r="AW2369" s="109" t="str">
        <f t="shared" si="1024"/>
        <v/>
      </c>
      <c r="AX2369" s="109" t="str">
        <f t="shared" si="1025"/>
        <v/>
      </c>
      <c r="AY2369" s="112" t="str">
        <f>IF(ISNUMBER(O2369),IF(AND(VLOOKUP($D2369,Merchantability!$B:$C,2,0)="Yes",$E2369&gt;=VLOOKUP($D2369,Merchantability!$B:$D,3,0),$E2369&lt;=VLOOKUP($D2369,Merchantability!$B:$E,4,0)),(AV2369*O2369)*(1-$H2369/100),""),"")</f>
        <v/>
      </c>
      <c r="AZ2369" s="116"/>
      <c r="BA2369" s="116"/>
      <c r="BB2369" s="116"/>
      <c r="BE2369" s="62"/>
      <c r="BF2369" s="63"/>
    </row>
    <row r="2370" spans="1:58" ht="12.75" customHeight="1" x14ac:dyDescent="0.25">
      <c r="A2370" s="334"/>
      <c r="B2370" s="334"/>
      <c r="C2370" s="332"/>
      <c r="D2370" s="334"/>
      <c r="E2370" s="335"/>
      <c r="F2370" s="334"/>
      <c r="G2370" s="332"/>
      <c r="H2370" s="332"/>
      <c r="I2370" s="334"/>
      <c r="J2370" s="336"/>
      <c r="K2370" s="332"/>
      <c r="L2370" s="332"/>
      <c r="M2370" s="76"/>
      <c r="N2370" s="103" t="str">
        <f>IF(A2370="","",VLOOKUP(A2370,Stand!C:K,9,0))</f>
        <v/>
      </c>
      <c r="O2370" s="104" t="str">
        <f t="shared" ref="O2370:O2427" si="1037">IF(E2370&gt;0,IF(G2370&gt;1,G2370*(43560/(N2370^2*3.14)),43560/(N2370^2*3.14)),"")</f>
        <v/>
      </c>
      <c r="P2370" s="105" t="str">
        <f t="shared" ref="P2370:P2427" si="1038">IF(ISNUMBER(O2370),E2370*O2370,"")</f>
        <v/>
      </c>
      <c r="Q2370" s="105" t="str">
        <f t="shared" si="1026"/>
        <v/>
      </c>
      <c r="R2370" s="103" t="str">
        <f t="shared" ref="R2370:R2427" si="1039">IF(ISNUMBER(O2370),E2370^2*0.005454*O2370,"")</f>
        <v/>
      </c>
      <c r="S2370" s="103" t="str">
        <f t="shared" ref="S2370:S2427" si="1040">IF(ISNUMBER(O2370),(E2370/10)^1.7*O2370,"")</f>
        <v/>
      </c>
      <c r="T2370" s="106" t="str">
        <f t="shared" si="1027"/>
        <v/>
      </c>
      <c r="U2370" s="106" t="str">
        <f t="shared" si="1028"/>
        <v/>
      </c>
      <c r="V2370" s="106" t="str">
        <f t="shared" si="1029"/>
        <v/>
      </c>
      <c r="W2370" s="105" t="str">
        <f t="shared" ref="W2370:W2427" si="1041">IF(AND(ISNUMBER(O2370),I2370&gt;0),I2370/(E2370/12),"")</f>
        <v/>
      </c>
      <c r="X2370" s="104" t="str">
        <f t="shared" si="1019"/>
        <v/>
      </c>
      <c r="Y2370" s="104" t="str">
        <f t="array" ref="Y2370">IFERROR(IF(ISNUMBER(O2370),IF(COUNT(IF(A2370=$A$2:$A$2427,IF(D2370=$D$2:$D$2427,IF($X$2:$X$2427&gt;0,1))))&gt;0,SUM(IF(A2370=$A$2:$A$2427,IF(D2370=$D$2:$D$2427,$X$2:$X$2427)))/COUNT(IF(A2370=$A$2:$A$2427,IF(D2370=$D$2:$D$2427,IF(ISNUMBER($X$2:$X$2427),1)))),0),""),0)</f>
        <v/>
      </c>
      <c r="Z2370" s="104" t="str">
        <f>IF(ISNUMBER(O2370),IF(I2370&gt;0,(10^(VLOOKUP(D2370,'Species Codes'!B:C,2,0)+VLOOKUP(D2370,'Species Codes'!B:D,3,0)*LOG(E2370)+VLOOKUP(D2370,'Species Codes'!B:E,4,0)*LOG(I2370))),0),"")</f>
        <v/>
      </c>
      <c r="AA2370" s="104" t="str">
        <f>IFERROR((VLOOKUP(D2370,'Species Codes'!B:G,6,0)*Z2370)/2000,"")</f>
        <v/>
      </c>
      <c r="AB2370" s="104" t="e">
        <f>IF(Z2370&gt;0,((IF(OR(D2370="DF",D2370="RA")=TRUE,EXP(VLOOKUP(D2370,'Species Codes'!B:I,8,0)+VLOOKUP(D2370,'Species Codes'!B:J,9,0)*(LN((E2370*2.54)))),IF(OR(D2370="PY",D2370="RC",D2370="WH",D2370="NF")=TRUE,VLOOKUP(D2370,'Species Codes'!B:I,8,0)+VLOOKUP(D2370,'Species Codes'!B:J,9,0)*((E2370*2.54)^2)*(I2370*0.3048),IF(OR(D2370="MD",D2370="BM",D2370="GA")=TRUE,((VLOOKUP(D2370,'Species Codes'!B:I,8,0)*(((((E2370*2.54)+VLOOKUP(D2370,'Species Codes'!B:J,9,0))/VLOOKUP(D2370,'Species Codes'!B:K,10,0))^VLOOKUP(D2370,'Species Codes'!B:L,11,0))*((I2370*0.3048)^VLOOKUP(D2370,'Species Codes'!B:M,12,0))))-(VLOOKUP(D2370,'Species Codes'!B:I,8,0)*((((E2370*2.54)^VLOOKUP(D2370,'Species Codes'!B:L,11,0))*((I2370*0.3048)^VLOOKUP(D2370,'Species Codes'!B:M,12,0))))))*35.3*VLOOKUP(D2370,'Species Codes'!B:G,6,0)/2.2046,VLOOKUP(D2370,'Species Codes'!B:I,8,0)+VLOOKUP(D2370,'Species Codes'!B:J,9,0)*(((E2370*2.54)/100)^2)*(I2370*0.3048)))))*0.0011023),0)</f>
        <v>#N/A</v>
      </c>
      <c r="AC2370" s="104" t="e">
        <f>IF(Z2370&gt;0,((IF(OR(D2370="RA",D2370="OA",D2370="OT",D2370="UN",D2370="PC"),EXP(VLOOKUP(D2370,'Species Codes'!B:O,14,0)+VLOOKUP(D2370,'Species Codes'!B:P,15,0)*LN((E2370*2.54)))-EXP(VLOOKUP(D2370,'Species Codes'!B:O,14,0)+VLOOKUP(D2370,'Species Codes'!B:P,15,0)*LN((E2370*2.54)))*(1/(VLOOKUP(D2370,'Species Codes'!B:Q,16,0)+VLOOKUP(D2370,'Species Codes'!B:R,17,0)*((E2370*2.54)^VLOOKUP(D2370,'Species Codes'!B:S,18,0)))),IF(OR(D2370="BM",D2370="MD",D2370="OA"),EXP(VLOOKUP(D2370,'Species Codes'!B:O,14,0)+VLOOKUP(D2370,'Species Codes'!B:P,15,0)*LN((E2370*2.54)))*(1-(1/(VLOOKUP(D2370,'Species Codes'!B:Q,16,0)+VLOOKUP(D2370,'Species Codes'!B:R,17,0)*((E2370*2.54)^VLOOKUP(D2370,'Species Codes'!B:S,18,0)))))/1000,IF(D2370="DF",EXP(VLOOKUP(D2370,'Species Codes'!B:O,14,0)+VLOOKUP(D2370,'Species Codes'!B:P,15,0)*LN((E2370*2.54))),VLOOKUP(D2370,'Species Codes'!B:O,14,0)+VLOOKUP(D2370,'Species Codes'!B:P,15,0)*(((E2370*2.54)/100)^2)*(I2370*0.3048)))))*0.0011023),0)</f>
        <v>#N/A</v>
      </c>
      <c r="AD2370" s="104" t="e">
        <f t="shared" si="1030"/>
        <v>#N/A</v>
      </c>
      <c r="AE2370" s="104" t="e">
        <f t="shared" si="1031"/>
        <v>#N/A</v>
      </c>
      <c r="AF2370" s="104" t="e">
        <f>IF(AND(VLOOKUP($D2370,Merchantability!$B:$C,2,0)="Yes",$E2370&gt;=VLOOKUP($D2370,Merchantability!$B:$D,3,0),$E2370&lt;=VLOOKUP($D2370,Merchantability!$B:$E,4,0)),AA2370,0)</f>
        <v>#N/A</v>
      </c>
      <c r="AG2370" s="104" t="e">
        <f>IF(AND(VLOOKUP($D2370,Merchantability!$B:$C,2,0)="Yes",$E2370&gt;=VLOOKUP($D2370,Merchantability!$B:$D,3,0),$E2370&lt;=VLOOKUP($D2370,Merchantability!$B:$E,4,0)),AB2370,0)</f>
        <v>#N/A</v>
      </c>
      <c r="AH2370" s="104" t="e">
        <f>IF(AND(VLOOKUP($D2370,Merchantability!$B:$C,2,0)="Yes",$E2370&gt;=VLOOKUP($D2370,Merchantability!$B:$D,3,0),$E2370&lt;=VLOOKUP($D2370,Merchantability!$B:$E,4,0)),AC2370,0)</f>
        <v>#N/A</v>
      </c>
      <c r="AI2370" s="104" t="e">
        <f t="shared" si="1032"/>
        <v>#N/A</v>
      </c>
      <c r="AJ2370" s="104" t="e">
        <f t="shared" si="1033"/>
        <v>#VALUE!</v>
      </c>
      <c r="AK2370" s="104" t="e">
        <f t="shared" si="1034"/>
        <v>#N/A</v>
      </c>
      <c r="AL2370" s="104" t="e">
        <f t="shared" si="1035"/>
        <v>#N/A</v>
      </c>
      <c r="AM2370" s="104" t="e">
        <f t="shared" si="1036"/>
        <v>#N/A</v>
      </c>
      <c r="AN2370" s="104" t="e">
        <f t="shared" si="1020"/>
        <v>#N/A</v>
      </c>
      <c r="AO2370" s="104" t="e">
        <f t="shared" si="1021"/>
        <v>#N/A</v>
      </c>
      <c r="AP2370" s="104" t="e">
        <f t="shared" si="1022"/>
        <v>#N/A</v>
      </c>
      <c r="AQ2370" s="104" t="e">
        <f t="shared" si="1023"/>
        <v>#N/A</v>
      </c>
      <c r="AR2370" s="105" t="str">
        <f t="shared" ref="AR2370:AR2427" si="1042">IF(ISNUMBER(O2370),IF(Y2370&gt;0,((Y2370*(E2370^2*0.005454-0.087266))/0.912733),0),"")</f>
        <v/>
      </c>
      <c r="AS2370" s="105" t="str">
        <f t="shared" ref="AS2370:AS2427" si="1043">IF(ISNUMBER(O2370),AR2370*(0.993-0.993*(0.62^(E2370-6))),"")</f>
        <v/>
      </c>
      <c r="AT2370" s="108" t="str">
        <f t="shared" ref="AT2370:AT2427" si="1044">IF(ISNUMBER(O2370),IF(AS2370&gt;0,IF(Y2370&gt;0,(AS2370*10^(0.174439+0.117594*(LOG(E2370,10))*(LOG(Y2370/0.912733,10))-8.210585/E2370^2+0.236693*(LOG(Y2370/0.912733,10))-0.00001345*(Y2370/0.912733)^2-0.00001937*E2370^2)),0),0),"")</f>
        <v/>
      </c>
      <c r="AU2370" s="108" t="str">
        <f t="shared" ref="AU2370:AU2427" si="1045">IF(ISNUMBER(O2370),IF(AS2370&gt;0,IF(Y2370&gt;0,AT2370*(1.001491-(6.92497/Y2370)+(0.00001351*(E2370^2))),0),0),"")</f>
        <v/>
      </c>
      <c r="AV2370" s="107" t="str">
        <f>IF(ISNUMBER(O2370),IF(VLOOKUP($A2370,Stand!C:J,8,FALSE)="Short",AT2370,AU2370),"")</f>
        <v/>
      </c>
      <c r="AW2370" s="109" t="str">
        <f t="shared" si="1024"/>
        <v/>
      </c>
      <c r="AX2370" s="109" t="str">
        <f t="shared" si="1025"/>
        <v/>
      </c>
      <c r="AY2370" s="112" t="str">
        <f>IF(ISNUMBER(O2370),IF(AND(VLOOKUP($D2370,Merchantability!$B:$C,2,0)="Yes",$E2370&gt;=VLOOKUP($D2370,Merchantability!$B:$D,3,0),$E2370&lt;=VLOOKUP($D2370,Merchantability!$B:$E,4,0)),(AV2370*O2370)*(1-$H2370/100),""),"")</f>
        <v/>
      </c>
      <c r="AZ2370" s="116"/>
      <c r="BA2370" s="116"/>
      <c r="BB2370" s="116"/>
      <c r="BE2370" s="62"/>
      <c r="BF2370" s="63"/>
    </row>
    <row r="2371" spans="1:58" ht="12.75" customHeight="1" x14ac:dyDescent="0.25">
      <c r="A2371" s="334"/>
      <c r="B2371" s="334"/>
      <c r="C2371" s="332"/>
      <c r="D2371" s="334"/>
      <c r="E2371" s="335"/>
      <c r="F2371" s="334"/>
      <c r="G2371" s="332"/>
      <c r="H2371" s="332"/>
      <c r="I2371" s="334"/>
      <c r="J2371" s="336"/>
      <c r="K2371" s="332"/>
      <c r="L2371" s="332"/>
      <c r="M2371" s="76"/>
      <c r="N2371" s="103" t="str">
        <f>IF(A2371="","",VLOOKUP(A2371,Stand!C:K,9,0))</f>
        <v/>
      </c>
      <c r="O2371" s="104" t="str">
        <f t="shared" si="1037"/>
        <v/>
      </c>
      <c r="P2371" s="105" t="str">
        <f t="shared" si="1038"/>
        <v/>
      </c>
      <c r="Q2371" s="105" t="str">
        <f t="shared" si="1026"/>
        <v/>
      </c>
      <c r="R2371" s="103" t="str">
        <f t="shared" si="1039"/>
        <v/>
      </c>
      <c r="S2371" s="103" t="str">
        <f t="shared" si="1040"/>
        <v/>
      </c>
      <c r="T2371" s="106" t="str">
        <f t="shared" si="1027"/>
        <v/>
      </c>
      <c r="U2371" s="106" t="str">
        <f t="shared" si="1028"/>
        <v/>
      </c>
      <c r="V2371" s="106" t="str">
        <f t="shared" si="1029"/>
        <v/>
      </c>
      <c r="W2371" s="105" t="str">
        <f t="shared" si="1041"/>
        <v/>
      </c>
      <c r="X2371" s="104" t="str">
        <f t="shared" ref="X2371:X2427" si="1046">IF(ISNUMBER(O2371),IF(I2371&gt;0,IF(E2371&gt;0,(0.912733*Z2371)/(1.033*(1+1.382937*EXP(-4.015292*E2371/10))*((E2371^2)*0.005454+0.087266)-0.174533),""),""),"")</f>
        <v/>
      </c>
      <c r="Y2371" s="104" t="str">
        <f t="array" ref="Y2371">IFERROR(IF(ISNUMBER(O2371),IF(COUNT(IF(A2371=$A$2:$A$2427,IF(D2371=$D$2:$D$2427,IF($X$2:$X$2427&gt;0,1))))&gt;0,SUM(IF(A2371=$A$2:$A$2427,IF(D2371=$D$2:$D$2427,$X$2:$X$2427)))/COUNT(IF(A2371=$A$2:$A$2427,IF(D2371=$D$2:$D$2427,IF(ISNUMBER($X$2:$X$2427),1)))),0),""),0)</f>
        <v/>
      </c>
      <c r="Z2371" s="104" t="str">
        <f>IF(ISNUMBER(O2371),IF(I2371&gt;0,(10^(VLOOKUP(D2371,'Species Codes'!B:C,2,0)+VLOOKUP(D2371,'Species Codes'!B:D,3,0)*LOG(E2371)+VLOOKUP(D2371,'Species Codes'!B:E,4,0)*LOG(I2371))),0),"")</f>
        <v/>
      </c>
      <c r="AA2371" s="104" t="str">
        <f>IFERROR((VLOOKUP(D2371,'Species Codes'!B:G,6,0)*Z2371)/2000,"")</f>
        <v/>
      </c>
      <c r="AB2371" s="104" t="e">
        <f>IF(Z2371&gt;0,((IF(OR(D2371="DF",D2371="RA")=TRUE,EXP(VLOOKUP(D2371,'Species Codes'!B:I,8,0)+VLOOKUP(D2371,'Species Codes'!B:J,9,0)*(LN((E2371*2.54)))),IF(OR(D2371="PY",D2371="RC",D2371="WH",D2371="NF")=TRUE,VLOOKUP(D2371,'Species Codes'!B:I,8,0)+VLOOKUP(D2371,'Species Codes'!B:J,9,0)*((E2371*2.54)^2)*(I2371*0.3048),IF(OR(D2371="MD",D2371="BM",D2371="GA")=TRUE,((VLOOKUP(D2371,'Species Codes'!B:I,8,0)*(((((E2371*2.54)+VLOOKUP(D2371,'Species Codes'!B:J,9,0))/VLOOKUP(D2371,'Species Codes'!B:K,10,0))^VLOOKUP(D2371,'Species Codes'!B:L,11,0))*((I2371*0.3048)^VLOOKUP(D2371,'Species Codes'!B:M,12,0))))-(VLOOKUP(D2371,'Species Codes'!B:I,8,0)*((((E2371*2.54)^VLOOKUP(D2371,'Species Codes'!B:L,11,0))*((I2371*0.3048)^VLOOKUP(D2371,'Species Codes'!B:M,12,0))))))*35.3*VLOOKUP(D2371,'Species Codes'!B:G,6,0)/2.2046,VLOOKUP(D2371,'Species Codes'!B:I,8,0)+VLOOKUP(D2371,'Species Codes'!B:J,9,0)*(((E2371*2.54)/100)^2)*(I2371*0.3048)))))*0.0011023),0)</f>
        <v>#N/A</v>
      </c>
      <c r="AC2371" s="104" t="e">
        <f>IF(Z2371&gt;0,((IF(OR(D2371="RA",D2371="OA",D2371="OT",D2371="UN",D2371="PC"),EXP(VLOOKUP(D2371,'Species Codes'!B:O,14,0)+VLOOKUP(D2371,'Species Codes'!B:P,15,0)*LN((E2371*2.54)))-EXP(VLOOKUP(D2371,'Species Codes'!B:O,14,0)+VLOOKUP(D2371,'Species Codes'!B:P,15,0)*LN((E2371*2.54)))*(1/(VLOOKUP(D2371,'Species Codes'!B:Q,16,0)+VLOOKUP(D2371,'Species Codes'!B:R,17,0)*((E2371*2.54)^VLOOKUP(D2371,'Species Codes'!B:S,18,0)))),IF(OR(D2371="BM",D2371="MD",D2371="OA"),EXP(VLOOKUP(D2371,'Species Codes'!B:O,14,0)+VLOOKUP(D2371,'Species Codes'!B:P,15,0)*LN((E2371*2.54)))*(1-(1/(VLOOKUP(D2371,'Species Codes'!B:Q,16,0)+VLOOKUP(D2371,'Species Codes'!B:R,17,0)*((E2371*2.54)^VLOOKUP(D2371,'Species Codes'!B:S,18,0)))))/1000,IF(D2371="DF",EXP(VLOOKUP(D2371,'Species Codes'!B:O,14,0)+VLOOKUP(D2371,'Species Codes'!B:P,15,0)*LN((E2371*2.54))),VLOOKUP(D2371,'Species Codes'!B:O,14,0)+VLOOKUP(D2371,'Species Codes'!B:P,15,0)*(((E2371*2.54)/100)^2)*(I2371*0.3048)))))*0.0011023),0)</f>
        <v>#N/A</v>
      </c>
      <c r="AD2371" s="104" t="e">
        <f t="shared" si="1030"/>
        <v>#N/A</v>
      </c>
      <c r="AE2371" s="104" t="e">
        <f t="shared" si="1031"/>
        <v>#N/A</v>
      </c>
      <c r="AF2371" s="104" t="e">
        <f>IF(AND(VLOOKUP($D2371,Merchantability!$B:$C,2,0)="Yes",$E2371&gt;=VLOOKUP($D2371,Merchantability!$B:$D,3,0),$E2371&lt;=VLOOKUP($D2371,Merchantability!$B:$E,4,0)),AA2371,0)</f>
        <v>#N/A</v>
      </c>
      <c r="AG2371" s="104" t="e">
        <f>IF(AND(VLOOKUP($D2371,Merchantability!$B:$C,2,0)="Yes",$E2371&gt;=VLOOKUP($D2371,Merchantability!$B:$D,3,0),$E2371&lt;=VLOOKUP($D2371,Merchantability!$B:$E,4,0)),AB2371,0)</f>
        <v>#N/A</v>
      </c>
      <c r="AH2371" s="104" t="e">
        <f>IF(AND(VLOOKUP($D2371,Merchantability!$B:$C,2,0)="Yes",$E2371&gt;=VLOOKUP($D2371,Merchantability!$B:$D,3,0),$E2371&lt;=VLOOKUP($D2371,Merchantability!$B:$E,4,0)),AC2371,0)</f>
        <v>#N/A</v>
      </c>
      <c r="AI2371" s="104" t="e">
        <f t="shared" si="1032"/>
        <v>#N/A</v>
      </c>
      <c r="AJ2371" s="104" t="e">
        <f t="shared" si="1033"/>
        <v>#VALUE!</v>
      </c>
      <c r="AK2371" s="104" t="e">
        <f t="shared" si="1034"/>
        <v>#N/A</v>
      </c>
      <c r="AL2371" s="104" t="e">
        <f t="shared" si="1035"/>
        <v>#N/A</v>
      </c>
      <c r="AM2371" s="104" t="e">
        <f t="shared" si="1036"/>
        <v>#N/A</v>
      </c>
      <c r="AN2371" s="104" t="e">
        <f t="shared" ref="AN2371:AN2427" si="1047">AF2371*$O2371</f>
        <v>#N/A</v>
      </c>
      <c r="AO2371" s="104" t="e">
        <f t="shared" ref="AO2371:AO2427" si="1048">AG2371*$O2371</f>
        <v>#N/A</v>
      </c>
      <c r="AP2371" s="104" t="e">
        <f t="shared" ref="AP2371:AP2427" si="1049">AH2371*$O2371</f>
        <v>#N/A</v>
      </c>
      <c r="AQ2371" s="104" t="e">
        <f t="shared" ref="AQ2371:AQ2427" si="1050">SUM(AN2371:AP2371)</f>
        <v>#N/A</v>
      </c>
      <c r="AR2371" s="105" t="str">
        <f t="shared" si="1042"/>
        <v/>
      </c>
      <c r="AS2371" s="105" t="str">
        <f t="shared" si="1043"/>
        <v/>
      </c>
      <c r="AT2371" s="108" t="str">
        <f t="shared" si="1044"/>
        <v/>
      </c>
      <c r="AU2371" s="108" t="str">
        <f t="shared" si="1045"/>
        <v/>
      </c>
      <c r="AV2371" s="107" t="str">
        <f>IF(ISNUMBER(O2371),IF(VLOOKUP($A2371,Stand!C:J,8,FALSE)="Short",AT2371,AU2371),"")</f>
        <v/>
      </c>
      <c r="AW2371" s="109" t="str">
        <f t="shared" ref="AW2371:AW2427" si="1051">IF(ISNUMBER(O2371),AV2371*O2371,"")</f>
        <v/>
      </c>
      <c r="AX2371" s="109" t="str">
        <f t="shared" ref="AX2371:AX2427" si="1052">IF(ISNUMBER(O2371),AW2371*(1-$H2371/100),"")</f>
        <v/>
      </c>
      <c r="AY2371" s="112" t="str">
        <f>IF(ISNUMBER(O2371),IF(AND(VLOOKUP($D2371,Merchantability!$B:$C,2,0)="Yes",$E2371&gt;=VLOOKUP($D2371,Merchantability!$B:$D,3,0),$E2371&lt;=VLOOKUP($D2371,Merchantability!$B:$E,4,0)),(AV2371*O2371)*(1-$H2371/100),""),"")</f>
        <v/>
      </c>
      <c r="AZ2371" s="116"/>
      <c r="BA2371" s="116"/>
      <c r="BB2371" s="116"/>
      <c r="BE2371" s="62"/>
      <c r="BF2371" s="63"/>
    </row>
    <row r="2372" spans="1:58" ht="12.75" customHeight="1" x14ac:dyDescent="0.25">
      <c r="A2372" s="334"/>
      <c r="B2372" s="334"/>
      <c r="C2372" s="332"/>
      <c r="D2372" s="334"/>
      <c r="E2372" s="335"/>
      <c r="F2372" s="334"/>
      <c r="G2372" s="332"/>
      <c r="H2372" s="332"/>
      <c r="I2372" s="334"/>
      <c r="J2372" s="336"/>
      <c r="K2372" s="332"/>
      <c r="L2372" s="332"/>
      <c r="M2372" s="76"/>
      <c r="N2372" s="103" t="str">
        <f>IF(A2372="","",VLOOKUP(A2372,Stand!C:K,9,0))</f>
        <v/>
      </c>
      <c r="O2372" s="104" t="str">
        <f t="shared" si="1037"/>
        <v/>
      </c>
      <c r="P2372" s="105" t="str">
        <f t="shared" si="1038"/>
        <v/>
      </c>
      <c r="Q2372" s="105" t="str">
        <f t="shared" si="1026"/>
        <v/>
      </c>
      <c r="R2372" s="103" t="str">
        <f t="shared" si="1039"/>
        <v/>
      </c>
      <c r="S2372" s="103" t="str">
        <f t="shared" si="1040"/>
        <v/>
      </c>
      <c r="T2372" s="106" t="str">
        <f t="shared" si="1027"/>
        <v/>
      </c>
      <c r="U2372" s="106" t="str">
        <f t="shared" si="1028"/>
        <v/>
      </c>
      <c r="V2372" s="106" t="str">
        <f t="shared" si="1029"/>
        <v/>
      </c>
      <c r="W2372" s="105" t="str">
        <f t="shared" si="1041"/>
        <v/>
      </c>
      <c r="X2372" s="104" t="str">
        <f t="shared" si="1046"/>
        <v/>
      </c>
      <c r="Y2372" s="104" t="str">
        <f t="array" ref="Y2372">IFERROR(IF(ISNUMBER(O2372),IF(COUNT(IF(A2372=$A$2:$A$2427,IF(D2372=$D$2:$D$2427,IF($X$2:$X$2427&gt;0,1))))&gt;0,SUM(IF(A2372=$A$2:$A$2427,IF(D2372=$D$2:$D$2427,$X$2:$X$2427)))/COUNT(IF(A2372=$A$2:$A$2427,IF(D2372=$D$2:$D$2427,IF(ISNUMBER($X$2:$X$2427),1)))),0),""),0)</f>
        <v/>
      </c>
      <c r="Z2372" s="104" t="str">
        <f>IF(ISNUMBER(O2372),IF(I2372&gt;0,(10^(VLOOKUP(D2372,'Species Codes'!B:C,2,0)+VLOOKUP(D2372,'Species Codes'!B:D,3,0)*LOG(E2372)+VLOOKUP(D2372,'Species Codes'!B:E,4,0)*LOG(I2372))),0),"")</f>
        <v/>
      </c>
      <c r="AA2372" s="104" t="str">
        <f>IFERROR((VLOOKUP(D2372,'Species Codes'!B:G,6,0)*Z2372)/2000,"")</f>
        <v/>
      </c>
      <c r="AB2372" s="104" t="e">
        <f>IF(Z2372&gt;0,((IF(OR(D2372="DF",D2372="RA")=TRUE,EXP(VLOOKUP(D2372,'Species Codes'!B:I,8,0)+VLOOKUP(D2372,'Species Codes'!B:J,9,0)*(LN((E2372*2.54)))),IF(OR(D2372="PY",D2372="RC",D2372="WH",D2372="NF")=TRUE,VLOOKUP(D2372,'Species Codes'!B:I,8,0)+VLOOKUP(D2372,'Species Codes'!B:J,9,0)*((E2372*2.54)^2)*(I2372*0.3048),IF(OR(D2372="MD",D2372="BM",D2372="GA")=TRUE,((VLOOKUP(D2372,'Species Codes'!B:I,8,0)*(((((E2372*2.54)+VLOOKUP(D2372,'Species Codes'!B:J,9,0))/VLOOKUP(D2372,'Species Codes'!B:K,10,0))^VLOOKUP(D2372,'Species Codes'!B:L,11,0))*((I2372*0.3048)^VLOOKUP(D2372,'Species Codes'!B:M,12,0))))-(VLOOKUP(D2372,'Species Codes'!B:I,8,0)*((((E2372*2.54)^VLOOKUP(D2372,'Species Codes'!B:L,11,0))*((I2372*0.3048)^VLOOKUP(D2372,'Species Codes'!B:M,12,0))))))*35.3*VLOOKUP(D2372,'Species Codes'!B:G,6,0)/2.2046,VLOOKUP(D2372,'Species Codes'!B:I,8,0)+VLOOKUP(D2372,'Species Codes'!B:J,9,0)*(((E2372*2.54)/100)^2)*(I2372*0.3048)))))*0.0011023),0)</f>
        <v>#N/A</v>
      </c>
      <c r="AC2372" s="104" t="e">
        <f>IF(Z2372&gt;0,((IF(OR(D2372="RA",D2372="OA",D2372="OT",D2372="UN",D2372="PC"),EXP(VLOOKUP(D2372,'Species Codes'!B:O,14,0)+VLOOKUP(D2372,'Species Codes'!B:P,15,0)*LN((E2372*2.54)))-EXP(VLOOKUP(D2372,'Species Codes'!B:O,14,0)+VLOOKUP(D2372,'Species Codes'!B:P,15,0)*LN((E2372*2.54)))*(1/(VLOOKUP(D2372,'Species Codes'!B:Q,16,0)+VLOOKUP(D2372,'Species Codes'!B:R,17,0)*((E2372*2.54)^VLOOKUP(D2372,'Species Codes'!B:S,18,0)))),IF(OR(D2372="BM",D2372="MD",D2372="OA"),EXP(VLOOKUP(D2372,'Species Codes'!B:O,14,0)+VLOOKUP(D2372,'Species Codes'!B:P,15,0)*LN((E2372*2.54)))*(1-(1/(VLOOKUP(D2372,'Species Codes'!B:Q,16,0)+VLOOKUP(D2372,'Species Codes'!B:R,17,0)*((E2372*2.54)^VLOOKUP(D2372,'Species Codes'!B:S,18,0)))))/1000,IF(D2372="DF",EXP(VLOOKUP(D2372,'Species Codes'!B:O,14,0)+VLOOKUP(D2372,'Species Codes'!B:P,15,0)*LN((E2372*2.54))),VLOOKUP(D2372,'Species Codes'!B:O,14,0)+VLOOKUP(D2372,'Species Codes'!B:P,15,0)*(((E2372*2.54)/100)^2)*(I2372*0.3048)))))*0.0011023),0)</f>
        <v>#N/A</v>
      </c>
      <c r="AD2372" s="104" t="e">
        <f t="shared" si="1030"/>
        <v>#N/A</v>
      </c>
      <c r="AE2372" s="104" t="e">
        <f t="shared" si="1031"/>
        <v>#N/A</v>
      </c>
      <c r="AF2372" s="104" t="e">
        <f>IF(AND(VLOOKUP($D2372,Merchantability!$B:$C,2,0)="Yes",$E2372&gt;=VLOOKUP($D2372,Merchantability!$B:$D,3,0),$E2372&lt;=VLOOKUP($D2372,Merchantability!$B:$E,4,0)),AA2372,0)</f>
        <v>#N/A</v>
      </c>
      <c r="AG2372" s="104" t="e">
        <f>IF(AND(VLOOKUP($D2372,Merchantability!$B:$C,2,0)="Yes",$E2372&gt;=VLOOKUP($D2372,Merchantability!$B:$D,3,0),$E2372&lt;=VLOOKUP($D2372,Merchantability!$B:$E,4,0)),AB2372,0)</f>
        <v>#N/A</v>
      </c>
      <c r="AH2372" s="104" t="e">
        <f>IF(AND(VLOOKUP($D2372,Merchantability!$B:$C,2,0)="Yes",$E2372&gt;=VLOOKUP($D2372,Merchantability!$B:$D,3,0),$E2372&lt;=VLOOKUP($D2372,Merchantability!$B:$E,4,0)),AC2372,0)</f>
        <v>#N/A</v>
      </c>
      <c r="AI2372" s="104" t="e">
        <f t="shared" si="1032"/>
        <v>#N/A</v>
      </c>
      <c r="AJ2372" s="104" t="e">
        <f t="shared" si="1033"/>
        <v>#VALUE!</v>
      </c>
      <c r="AK2372" s="104" t="e">
        <f t="shared" si="1034"/>
        <v>#N/A</v>
      </c>
      <c r="AL2372" s="104" t="e">
        <f t="shared" si="1035"/>
        <v>#N/A</v>
      </c>
      <c r="AM2372" s="104" t="e">
        <f t="shared" si="1036"/>
        <v>#N/A</v>
      </c>
      <c r="AN2372" s="104" t="e">
        <f t="shared" si="1047"/>
        <v>#N/A</v>
      </c>
      <c r="AO2372" s="104" t="e">
        <f t="shared" si="1048"/>
        <v>#N/A</v>
      </c>
      <c r="AP2372" s="104" t="e">
        <f t="shared" si="1049"/>
        <v>#N/A</v>
      </c>
      <c r="AQ2372" s="104" t="e">
        <f t="shared" si="1050"/>
        <v>#N/A</v>
      </c>
      <c r="AR2372" s="105" t="str">
        <f t="shared" si="1042"/>
        <v/>
      </c>
      <c r="AS2372" s="105" t="str">
        <f t="shared" si="1043"/>
        <v/>
      </c>
      <c r="AT2372" s="108" t="str">
        <f t="shared" si="1044"/>
        <v/>
      </c>
      <c r="AU2372" s="108" t="str">
        <f t="shared" si="1045"/>
        <v/>
      </c>
      <c r="AV2372" s="107" t="str">
        <f>IF(ISNUMBER(O2372),IF(VLOOKUP($A2372,Stand!C:J,8,FALSE)="Short",AT2372,AU2372),"")</f>
        <v/>
      </c>
      <c r="AW2372" s="109" t="str">
        <f t="shared" si="1051"/>
        <v/>
      </c>
      <c r="AX2372" s="109" t="str">
        <f t="shared" si="1052"/>
        <v/>
      </c>
      <c r="AY2372" s="112" t="str">
        <f>IF(ISNUMBER(O2372),IF(AND(VLOOKUP($D2372,Merchantability!$B:$C,2,0)="Yes",$E2372&gt;=VLOOKUP($D2372,Merchantability!$B:$D,3,0),$E2372&lt;=VLOOKUP($D2372,Merchantability!$B:$E,4,0)),(AV2372*O2372)*(1-$H2372/100),""),"")</f>
        <v/>
      </c>
      <c r="AZ2372" s="116"/>
      <c r="BA2372" s="116"/>
      <c r="BB2372" s="116"/>
      <c r="BE2372" s="62"/>
      <c r="BF2372" s="63"/>
    </row>
    <row r="2373" spans="1:58" ht="12.75" customHeight="1" x14ac:dyDescent="0.25">
      <c r="A2373" s="334"/>
      <c r="B2373" s="334"/>
      <c r="C2373" s="332"/>
      <c r="D2373" s="334"/>
      <c r="E2373" s="335"/>
      <c r="F2373" s="334"/>
      <c r="G2373" s="332"/>
      <c r="H2373" s="332"/>
      <c r="I2373" s="334"/>
      <c r="J2373" s="336"/>
      <c r="K2373" s="332"/>
      <c r="L2373" s="332"/>
      <c r="M2373" s="76"/>
      <c r="N2373" s="103" t="str">
        <f>IF(A2373="","",VLOOKUP(A2373,Stand!C:K,9,0))</f>
        <v/>
      </c>
      <c r="O2373" s="104" t="str">
        <f t="shared" si="1037"/>
        <v/>
      </c>
      <c r="P2373" s="105" t="str">
        <f t="shared" si="1038"/>
        <v/>
      </c>
      <c r="Q2373" s="105" t="str">
        <f t="shared" si="1026"/>
        <v/>
      </c>
      <c r="R2373" s="103" t="str">
        <f t="shared" si="1039"/>
        <v/>
      </c>
      <c r="S2373" s="103" t="str">
        <f t="shared" si="1040"/>
        <v/>
      </c>
      <c r="T2373" s="106" t="str">
        <f t="shared" si="1027"/>
        <v/>
      </c>
      <c r="U2373" s="106" t="str">
        <f t="shared" si="1028"/>
        <v/>
      </c>
      <c r="V2373" s="106" t="str">
        <f t="shared" si="1029"/>
        <v/>
      </c>
      <c r="W2373" s="105" t="str">
        <f t="shared" si="1041"/>
        <v/>
      </c>
      <c r="X2373" s="104" t="str">
        <f t="shared" si="1046"/>
        <v/>
      </c>
      <c r="Y2373" s="104" t="str">
        <f t="array" ref="Y2373">IFERROR(IF(ISNUMBER(O2373),IF(COUNT(IF(A2373=$A$2:$A$2427,IF(D2373=$D$2:$D$2427,IF($X$2:$X$2427&gt;0,1))))&gt;0,SUM(IF(A2373=$A$2:$A$2427,IF(D2373=$D$2:$D$2427,$X$2:$X$2427)))/COUNT(IF(A2373=$A$2:$A$2427,IF(D2373=$D$2:$D$2427,IF(ISNUMBER($X$2:$X$2427),1)))),0),""),0)</f>
        <v/>
      </c>
      <c r="Z2373" s="104" t="str">
        <f>IF(ISNUMBER(O2373),IF(I2373&gt;0,(10^(VLOOKUP(D2373,'Species Codes'!B:C,2,0)+VLOOKUP(D2373,'Species Codes'!B:D,3,0)*LOG(E2373)+VLOOKUP(D2373,'Species Codes'!B:E,4,0)*LOG(I2373))),0),"")</f>
        <v/>
      </c>
      <c r="AA2373" s="104" t="str">
        <f>IFERROR((VLOOKUP(D2373,'Species Codes'!B:G,6,0)*Z2373)/2000,"")</f>
        <v/>
      </c>
      <c r="AB2373" s="104" t="e">
        <f>IF(Z2373&gt;0,((IF(OR(D2373="DF",D2373="RA")=TRUE,EXP(VLOOKUP(D2373,'Species Codes'!B:I,8,0)+VLOOKUP(D2373,'Species Codes'!B:J,9,0)*(LN((E2373*2.54)))),IF(OR(D2373="PY",D2373="RC",D2373="WH",D2373="NF")=TRUE,VLOOKUP(D2373,'Species Codes'!B:I,8,0)+VLOOKUP(D2373,'Species Codes'!B:J,9,0)*((E2373*2.54)^2)*(I2373*0.3048),IF(OR(D2373="MD",D2373="BM",D2373="GA")=TRUE,((VLOOKUP(D2373,'Species Codes'!B:I,8,0)*(((((E2373*2.54)+VLOOKUP(D2373,'Species Codes'!B:J,9,0))/VLOOKUP(D2373,'Species Codes'!B:K,10,0))^VLOOKUP(D2373,'Species Codes'!B:L,11,0))*((I2373*0.3048)^VLOOKUP(D2373,'Species Codes'!B:M,12,0))))-(VLOOKUP(D2373,'Species Codes'!B:I,8,0)*((((E2373*2.54)^VLOOKUP(D2373,'Species Codes'!B:L,11,0))*((I2373*0.3048)^VLOOKUP(D2373,'Species Codes'!B:M,12,0))))))*35.3*VLOOKUP(D2373,'Species Codes'!B:G,6,0)/2.2046,VLOOKUP(D2373,'Species Codes'!B:I,8,0)+VLOOKUP(D2373,'Species Codes'!B:J,9,0)*(((E2373*2.54)/100)^2)*(I2373*0.3048)))))*0.0011023),0)</f>
        <v>#N/A</v>
      </c>
      <c r="AC2373" s="104" t="e">
        <f>IF(Z2373&gt;0,((IF(OR(D2373="RA",D2373="OA",D2373="OT",D2373="UN",D2373="PC"),EXP(VLOOKUP(D2373,'Species Codes'!B:O,14,0)+VLOOKUP(D2373,'Species Codes'!B:P,15,0)*LN((E2373*2.54)))-EXP(VLOOKUP(D2373,'Species Codes'!B:O,14,0)+VLOOKUP(D2373,'Species Codes'!B:P,15,0)*LN((E2373*2.54)))*(1/(VLOOKUP(D2373,'Species Codes'!B:Q,16,0)+VLOOKUP(D2373,'Species Codes'!B:R,17,0)*((E2373*2.54)^VLOOKUP(D2373,'Species Codes'!B:S,18,0)))),IF(OR(D2373="BM",D2373="MD",D2373="OA"),EXP(VLOOKUP(D2373,'Species Codes'!B:O,14,0)+VLOOKUP(D2373,'Species Codes'!B:P,15,0)*LN((E2373*2.54)))*(1-(1/(VLOOKUP(D2373,'Species Codes'!B:Q,16,0)+VLOOKUP(D2373,'Species Codes'!B:R,17,0)*((E2373*2.54)^VLOOKUP(D2373,'Species Codes'!B:S,18,0)))))/1000,IF(D2373="DF",EXP(VLOOKUP(D2373,'Species Codes'!B:O,14,0)+VLOOKUP(D2373,'Species Codes'!B:P,15,0)*LN((E2373*2.54))),VLOOKUP(D2373,'Species Codes'!B:O,14,0)+VLOOKUP(D2373,'Species Codes'!B:P,15,0)*(((E2373*2.54)/100)^2)*(I2373*0.3048)))))*0.0011023),0)</f>
        <v>#N/A</v>
      </c>
      <c r="AD2373" s="104" t="e">
        <f t="shared" si="1030"/>
        <v>#N/A</v>
      </c>
      <c r="AE2373" s="104" t="e">
        <f t="shared" si="1031"/>
        <v>#N/A</v>
      </c>
      <c r="AF2373" s="104" t="e">
        <f>IF(AND(VLOOKUP($D2373,Merchantability!$B:$C,2,0)="Yes",$E2373&gt;=VLOOKUP($D2373,Merchantability!$B:$D,3,0),$E2373&lt;=VLOOKUP($D2373,Merchantability!$B:$E,4,0)),AA2373,0)</f>
        <v>#N/A</v>
      </c>
      <c r="AG2373" s="104" t="e">
        <f>IF(AND(VLOOKUP($D2373,Merchantability!$B:$C,2,0)="Yes",$E2373&gt;=VLOOKUP($D2373,Merchantability!$B:$D,3,0),$E2373&lt;=VLOOKUP($D2373,Merchantability!$B:$E,4,0)),AB2373,0)</f>
        <v>#N/A</v>
      </c>
      <c r="AH2373" s="104" t="e">
        <f>IF(AND(VLOOKUP($D2373,Merchantability!$B:$C,2,0)="Yes",$E2373&gt;=VLOOKUP($D2373,Merchantability!$B:$D,3,0),$E2373&lt;=VLOOKUP($D2373,Merchantability!$B:$E,4,0)),AC2373,0)</f>
        <v>#N/A</v>
      </c>
      <c r="AI2373" s="104" t="e">
        <f t="shared" si="1032"/>
        <v>#N/A</v>
      </c>
      <c r="AJ2373" s="104" t="e">
        <f t="shared" si="1033"/>
        <v>#VALUE!</v>
      </c>
      <c r="AK2373" s="104" t="e">
        <f t="shared" si="1034"/>
        <v>#N/A</v>
      </c>
      <c r="AL2373" s="104" t="e">
        <f t="shared" si="1035"/>
        <v>#N/A</v>
      </c>
      <c r="AM2373" s="104" t="e">
        <f t="shared" si="1036"/>
        <v>#N/A</v>
      </c>
      <c r="AN2373" s="104" t="e">
        <f t="shared" si="1047"/>
        <v>#N/A</v>
      </c>
      <c r="AO2373" s="104" t="e">
        <f t="shared" si="1048"/>
        <v>#N/A</v>
      </c>
      <c r="AP2373" s="104" t="e">
        <f t="shared" si="1049"/>
        <v>#N/A</v>
      </c>
      <c r="AQ2373" s="104" t="e">
        <f t="shared" si="1050"/>
        <v>#N/A</v>
      </c>
      <c r="AR2373" s="105" t="str">
        <f t="shared" si="1042"/>
        <v/>
      </c>
      <c r="AS2373" s="105" t="str">
        <f t="shared" si="1043"/>
        <v/>
      </c>
      <c r="AT2373" s="108" t="str">
        <f t="shared" si="1044"/>
        <v/>
      </c>
      <c r="AU2373" s="108" t="str">
        <f t="shared" si="1045"/>
        <v/>
      </c>
      <c r="AV2373" s="107" t="str">
        <f>IF(ISNUMBER(O2373),IF(VLOOKUP($A2373,Stand!C:J,8,FALSE)="Short",AT2373,AU2373),"")</f>
        <v/>
      </c>
      <c r="AW2373" s="109" t="str">
        <f t="shared" si="1051"/>
        <v/>
      </c>
      <c r="AX2373" s="109" t="str">
        <f t="shared" si="1052"/>
        <v/>
      </c>
      <c r="AY2373" s="112" t="str">
        <f>IF(ISNUMBER(O2373),IF(AND(VLOOKUP($D2373,Merchantability!$B:$C,2,0)="Yes",$E2373&gt;=VLOOKUP($D2373,Merchantability!$B:$D,3,0),$E2373&lt;=VLOOKUP($D2373,Merchantability!$B:$E,4,0)),(AV2373*O2373)*(1-$H2373/100),""),"")</f>
        <v/>
      </c>
      <c r="AZ2373" s="116"/>
      <c r="BA2373" s="116"/>
      <c r="BB2373" s="116"/>
      <c r="BE2373" s="62"/>
      <c r="BF2373" s="63"/>
    </row>
    <row r="2374" spans="1:58" ht="12.75" customHeight="1" x14ac:dyDescent="0.25">
      <c r="A2374" s="334"/>
      <c r="B2374" s="334"/>
      <c r="C2374" s="332"/>
      <c r="D2374" s="334"/>
      <c r="E2374" s="335"/>
      <c r="F2374" s="334"/>
      <c r="G2374" s="332"/>
      <c r="H2374" s="332"/>
      <c r="I2374" s="334"/>
      <c r="J2374" s="336"/>
      <c r="K2374" s="332"/>
      <c r="L2374" s="332"/>
      <c r="M2374" s="76"/>
      <c r="N2374" s="103" t="str">
        <f>IF(A2374="","",VLOOKUP(A2374,Stand!C:K,9,0))</f>
        <v/>
      </c>
      <c r="O2374" s="104" t="str">
        <f t="shared" si="1037"/>
        <v/>
      </c>
      <c r="P2374" s="105" t="str">
        <f t="shared" si="1038"/>
        <v/>
      </c>
      <c r="Q2374" s="105" t="str">
        <f t="shared" si="1026"/>
        <v/>
      </c>
      <c r="R2374" s="103" t="str">
        <f t="shared" si="1039"/>
        <v/>
      </c>
      <c r="S2374" s="103" t="str">
        <f t="shared" si="1040"/>
        <v/>
      </c>
      <c r="T2374" s="106" t="str">
        <f t="shared" si="1027"/>
        <v/>
      </c>
      <c r="U2374" s="106" t="str">
        <f t="shared" si="1028"/>
        <v/>
      </c>
      <c r="V2374" s="106" t="str">
        <f t="shared" si="1029"/>
        <v/>
      </c>
      <c r="W2374" s="105" t="str">
        <f t="shared" si="1041"/>
        <v/>
      </c>
      <c r="X2374" s="104" t="str">
        <f t="shared" si="1046"/>
        <v/>
      </c>
      <c r="Y2374" s="104" t="str">
        <f t="array" ref="Y2374">IFERROR(IF(ISNUMBER(O2374),IF(COUNT(IF(A2374=$A$2:$A$2427,IF(D2374=$D$2:$D$2427,IF($X$2:$X$2427&gt;0,1))))&gt;0,SUM(IF(A2374=$A$2:$A$2427,IF(D2374=$D$2:$D$2427,$X$2:$X$2427)))/COUNT(IF(A2374=$A$2:$A$2427,IF(D2374=$D$2:$D$2427,IF(ISNUMBER($X$2:$X$2427),1)))),0),""),0)</f>
        <v/>
      </c>
      <c r="Z2374" s="104" t="str">
        <f>IF(ISNUMBER(O2374),IF(I2374&gt;0,(10^(VLOOKUP(D2374,'Species Codes'!B:C,2,0)+VLOOKUP(D2374,'Species Codes'!B:D,3,0)*LOG(E2374)+VLOOKUP(D2374,'Species Codes'!B:E,4,0)*LOG(I2374))),0),"")</f>
        <v/>
      </c>
      <c r="AA2374" s="104" t="str">
        <f>IFERROR((VLOOKUP(D2374,'Species Codes'!B:G,6,0)*Z2374)/2000,"")</f>
        <v/>
      </c>
      <c r="AB2374" s="104" t="e">
        <f>IF(Z2374&gt;0,((IF(OR(D2374="DF",D2374="RA")=TRUE,EXP(VLOOKUP(D2374,'Species Codes'!B:I,8,0)+VLOOKUP(D2374,'Species Codes'!B:J,9,0)*(LN((E2374*2.54)))),IF(OR(D2374="PY",D2374="RC",D2374="WH",D2374="NF")=TRUE,VLOOKUP(D2374,'Species Codes'!B:I,8,0)+VLOOKUP(D2374,'Species Codes'!B:J,9,0)*((E2374*2.54)^2)*(I2374*0.3048),IF(OR(D2374="MD",D2374="BM",D2374="GA")=TRUE,((VLOOKUP(D2374,'Species Codes'!B:I,8,0)*(((((E2374*2.54)+VLOOKUP(D2374,'Species Codes'!B:J,9,0))/VLOOKUP(D2374,'Species Codes'!B:K,10,0))^VLOOKUP(D2374,'Species Codes'!B:L,11,0))*((I2374*0.3048)^VLOOKUP(D2374,'Species Codes'!B:M,12,0))))-(VLOOKUP(D2374,'Species Codes'!B:I,8,0)*((((E2374*2.54)^VLOOKUP(D2374,'Species Codes'!B:L,11,0))*((I2374*0.3048)^VLOOKUP(D2374,'Species Codes'!B:M,12,0))))))*35.3*VLOOKUP(D2374,'Species Codes'!B:G,6,0)/2.2046,VLOOKUP(D2374,'Species Codes'!B:I,8,0)+VLOOKUP(D2374,'Species Codes'!B:J,9,0)*(((E2374*2.54)/100)^2)*(I2374*0.3048)))))*0.0011023),0)</f>
        <v>#N/A</v>
      </c>
      <c r="AC2374" s="104" t="e">
        <f>IF(Z2374&gt;0,((IF(OR(D2374="RA",D2374="OA",D2374="OT",D2374="UN",D2374="PC"),EXP(VLOOKUP(D2374,'Species Codes'!B:O,14,0)+VLOOKUP(D2374,'Species Codes'!B:P,15,0)*LN((E2374*2.54)))-EXP(VLOOKUP(D2374,'Species Codes'!B:O,14,0)+VLOOKUP(D2374,'Species Codes'!B:P,15,0)*LN((E2374*2.54)))*(1/(VLOOKUP(D2374,'Species Codes'!B:Q,16,0)+VLOOKUP(D2374,'Species Codes'!B:R,17,0)*((E2374*2.54)^VLOOKUP(D2374,'Species Codes'!B:S,18,0)))),IF(OR(D2374="BM",D2374="MD",D2374="OA"),EXP(VLOOKUP(D2374,'Species Codes'!B:O,14,0)+VLOOKUP(D2374,'Species Codes'!B:P,15,0)*LN((E2374*2.54)))*(1-(1/(VLOOKUP(D2374,'Species Codes'!B:Q,16,0)+VLOOKUP(D2374,'Species Codes'!B:R,17,0)*((E2374*2.54)^VLOOKUP(D2374,'Species Codes'!B:S,18,0)))))/1000,IF(D2374="DF",EXP(VLOOKUP(D2374,'Species Codes'!B:O,14,0)+VLOOKUP(D2374,'Species Codes'!B:P,15,0)*LN((E2374*2.54))),VLOOKUP(D2374,'Species Codes'!B:O,14,0)+VLOOKUP(D2374,'Species Codes'!B:P,15,0)*(((E2374*2.54)/100)^2)*(I2374*0.3048)))))*0.0011023),0)</f>
        <v>#N/A</v>
      </c>
      <c r="AD2374" s="104" t="e">
        <f t="shared" si="1030"/>
        <v>#N/A</v>
      </c>
      <c r="AE2374" s="104" t="e">
        <f t="shared" si="1031"/>
        <v>#N/A</v>
      </c>
      <c r="AF2374" s="104" t="e">
        <f>IF(AND(VLOOKUP($D2374,Merchantability!$B:$C,2,0)="Yes",$E2374&gt;=VLOOKUP($D2374,Merchantability!$B:$D,3,0),$E2374&lt;=VLOOKUP($D2374,Merchantability!$B:$E,4,0)),AA2374,0)</f>
        <v>#N/A</v>
      </c>
      <c r="AG2374" s="104" t="e">
        <f>IF(AND(VLOOKUP($D2374,Merchantability!$B:$C,2,0)="Yes",$E2374&gt;=VLOOKUP($D2374,Merchantability!$B:$D,3,0),$E2374&lt;=VLOOKUP($D2374,Merchantability!$B:$E,4,0)),AB2374,0)</f>
        <v>#N/A</v>
      </c>
      <c r="AH2374" s="104" t="e">
        <f>IF(AND(VLOOKUP($D2374,Merchantability!$B:$C,2,0)="Yes",$E2374&gt;=VLOOKUP($D2374,Merchantability!$B:$D,3,0),$E2374&lt;=VLOOKUP($D2374,Merchantability!$B:$E,4,0)),AC2374,0)</f>
        <v>#N/A</v>
      </c>
      <c r="AI2374" s="104" t="e">
        <f t="shared" si="1032"/>
        <v>#N/A</v>
      </c>
      <c r="AJ2374" s="104" t="e">
        <f t="shared" si="1033"/>
        <v>#VALUE!</v>
      </c>
      <c r="AK2374" s="104" t="e">
        <f t="shared" si="1034"/>
        <v>#N/A</v>
      </c>
      <c r="AL2374" s="104" t="e">
        <f t="shared" si="1035"/>
        <v>#N/A</v>
      </c>
      <c r="AM2374" s="104" t="e">
        <f t="shared" si="1036"/>
        <v>#N/A</v>
      </c>
      <c r="AN2374" s="104" t="e">
        <f t="shared" si="1047"/>
        <v>#N/A</v>
      </c>
      <c r="AO2374" s="104" t="e">
        <f t="shared" si="1048"/>
        <v>#N/A</v>
      </c>
      <c r="AP2374" s="104" t="e">
        <f t="shared" si="1049"/>
        <v>#N/A</v>
      </c>
      <c r="AQ2374" s="104" t="e">
        <f t="shared" si="1050"/>
        <v>#N/A</v>
      </c>
      <c r="AR2374" s="105" t="str">
        <f t="shared" si="1042"/>
        <v/>
      </c>
      <c r="AS2374" s="105" t="str">
        <f t="shared" si="1043"/>
        <v/>
      </c>
      <c r="AT2374" s="108" t="str">
        <f t="shared" si="1044"/>
        <v/>
      </c>
      <c r="AU2374" s="108" t="str">
        <f t="shared" si="1045"/>
        <v/>
      </c>
      <c r="AV2374" s="107" t="str">
        <f>IF(ISNUMBER(O2374),IF(VLOOKUP($A2374,Stand!C:J,8,FALSE)="Short",AT2374,AU2374),"")</f>
        <v/>
      </c>
      <c r="AW2374" s="109" t="str">
        <f t="shared" si="1051"/>
        <v/>
      </c>
      <c r="AX2374" s="109" t="str">
        <f t="shared" si="1052"/>
        <v/>
      </c>
      <c r="AY2374" s="112" t="str">
        <f>IF(ISNUMBER(O2374),IF(AND(VLOOKUP($D2374,Merchantability!$B:$C,2,0)="Yes",$E2374&gt;=VLOOKUP($D2374,Merchantability!$B:$D,3,0),$E2374&lt;=VLOOKUP($D2374,Merchantability!$B:$E,4,0)),(AV2374*O2374)*(1-$H2374/100),""),"")</f>
        <v/>
      </c>
      <c r="AZ2374" s="116"/>
      <c r="BA2374" s="116"/>
      <c r="BB2374" s="116"/>
      <c r="BE2374" s="62"/>
      <c r="BF2374" s="63"/>
    </row>
    <row r="2375" spans="1:58" ht="12.75" customHeight="1" x14ac:dyDescent="0.25">
      <c r="A2375" s="334"/>
      <c r="B2375" s="334"/>
      <c r="C2375" s="332"/>
      <c r="D2375" s="334"/>
      <c r="E2375" s="335"/>
      <c r="F2375" s="334"/>
      <c r="G2375" s="332"/>
      <c r="H2375" s="332"/>
      <c r="I2375" s="334"/>
      <c r="J2375" s="336"/>
      <c r="K2375" s="332"/>
      <c r="L2375" s="332"/>
      <c r="M2375" s="76"/>
      <c r="N2375" s="103" t="str">
        <f>IF(A2375="","",VLOOKUP(A2375,Stand!C:K,9,0))</f>
        <v/>
      </c>
      <c r="O2375" s="104" t="str">
        <f t="shared" si="1037"/>
        <v/>
      </c>
      <c r="P2375" s="105" t="str">
        <f t="shared" si="1038"/>
        <v/>
      </c>
      <c r="Q2375" s="105" t="str">
        <f t="shared" si="1026"/>
        <v/>
      </c>
      <c r="R2375" s="103" t="str">
        <f t="shared" si="1039"/>
        <v/>
      </c>
      <c r="S2375" s="103" t="str">
        <f t="shared" si="1040"/>
        <v/>
      </c>
      <c r="T2375" s="106" t="str">
        <f t="shared" si="1027"/>
        <v/>
      </c>
      <c r="U2375" s="106" t="str">
        <f t="shared" si="1028"/>
        <v/>
      </c>
      <c r="V2375" s="106" t="str">
        <f t="shared" si="1029"/>
        <v/>
      </c>
      <c r="W2375" s="105" t="str">
        <f t="shared" si="1041"/>
        <v/>
      </c>
      <c r="X2375" s="104" t="str">
        <f t="shared" si="1046"/>
        <v/>
      </c>
      <c r="Y2375" s="104" t="str">
        <f t="array" ref="Y2375">IFERROR(IF(ISNUMBER(O2375),IF(COUNT(IF(A2375=$A$2:$A$2427,IF(D2375=$D$2:$D$2427,IF($X$2:$X$2427&gt;0,1))))&gt;0,SUM(IF(A2375=$A$2:$A$2427,IF(D2375=$D$2:$D$2427,$X$2:$X$2427)))/COUNT(IF(A2375=$A$2:$A$2427,IF(D2375=$D$2:$D$2427,IF(ISNUMBER($X$2:$X$2427),1)))),0),""),0)</f>
        <v/>
      </c>
      <c r="Z2375" s="104" t="str">
        <f>IF(ISNUMBER(O2375),IF(I2375&gt;0,(10^(VLOOKUP(D2375,'Species Codes'!B:C,2,0)+VLOOKUP(D2375,'Species Codes'!B:D,3,0)*LOG(E2375)+VLOOKUP(D2375,'Species Codes'!B:E,4,0)*LOG(I2375))),0),"")</f>
        <v/>
      </c>
      <c r="AA2375" s="104" t="str">
        <f>IFERROR((VLOOKUP(D2375,'Species Codes'!B:G,6,0)*Z2375)/2000,"")</f>
        <v/>
      </c>
      <c r="AB2375" s="104" t="e">
        <f>IF(Z2375&gt;0,((IF(OR(D2375="DF",D2375="RA")=TRUE,EXP(VLOOKUP(D2375,'Species Codes'!B:I,8,0)+VLOOKUP(D2375,'Species Codes'!B:J,9,0)*(LN((E2375*2.54)))),IF(OR(D2375="PY",D2375="RC",D2375="WH",D2375="NF")=TRUE,VLOOKUP(D2375,'Species Codes'!B:I,8,0)+VLOOKUP(D2375,'Species Codes'!B:J,9,0)*((E2375*2.54)^2)*(I2375*0.3048),IF(OR(D2375="MD",D2375="BM",D2375="GA")=TRUE,((VLOOKUP(D2375,'Species Codes'!B:I,8,0)*(((((E2375*2.54)+VLOOKUP(D2375,'Species Codes'!B:J,9,0))/VLOOKUP(D2375,'Species Codes'!B:K,10,0))^VLOOKUP(D2375,'Species Codes'!B:L,11,0))*((I2375*0.3048)^VLOOKUP(D2375,'Species Codes'!B:M,12,0))))-(VLOOKUP(D2375,'Species Codes'!B:I,8,0)*((((E2375*2.54)^VLOOKUP(D2375,'Species Codes'!B:L,11,0))*((I2375*0.3048)^VLOOKUP(D2375,'Species Codes'!B:M,12,0))))))*35.3*VLOOKUP(D2375,'Species Codes'!B:G,6,0)/2.2046,VLOOKUP(D2375,'Species Codes'!B:I,8,0)+VLOOKUP(D2375,'Species Codes'!B:J,9,0)*(((E2375*2.54)/100)^2)*(I2375*0.3048)))))*0.0011023),0)</f>
        <v>#N/A</v>
      </c>
      <c r="AC2375" s="104" t="e">
        <f>IF(Z2375&gt;0,((IF(OR(D2375="RA",D2375="OA",D2375="OT",D2375="UN",D2375="PC"),EXP(VLOOKUP(D2375,'Species Codes'!B:O,14,0)+VLOOKUP(D2375,'Species Codes'!B:P,15,0)*LN((E2375*2.54)))-EXP(VLOOKUP(D2375,'Species Codes'!B:O,14,0)+VLOOKUP(D2375,'Species Codes'!B:P,15,0)*LN((E2375*2.54)))*(1/(VLOOKUP(D2375,'Species Codes'!B:Q,16,0)+VLOOKUP(D2375,'Species Codes'!B:R,17,0)*((E2375*2.54)^VLOOKUP(D2375,'Species Codes'!B:S,18,0)))),IF(OR(D2375="BM",D2375="MD",D2375="OA"),EXP(VLOOKUP(D2375,'Species Codes'!B:O,14,0)+VLOOKUP(D2375,'Species Codes'!B:P,15,0)*LN((E2375*2.54)))*(1-(1/(VLOOKUP(D2375,'Species Codes'!B:Q,16,0)+VLOOKUP(D2375,'Species Codes'!B:R,17,0)*((E2375*2.54)^VLOOKUP(D2375,'Species Codes'!B:S,18,0)))))/1000,IF(D2375="DF",EXP(VLOOKUP(D2375,'Species Codes'!B:O,14,0)+VLOOKUP(D2375,'Species Codes'!B:P,15,0)*LN((E2375*2.54))),VLOOKUP(D2375,'Species Codes'!B:O,14,0)+VLOOKUP(D2375,'Species Codes'!B:P,15,0)*(((E2375*2.54)/100)^2)*(I2375*0.3048)))))*0.0011023),0)</f>
        <v>#N/A</v>
      </c>
      <c r="AD2375" s="104" t="e">
        <f t="shared" si="1030"/>
        <v>#N/A</v>
      </c>
      <c r="AE2375" s="104" t="e">
        <f t="shared" si="1031"/>
        <v>#N/A</v>
      </c>
      <c r="AF2375" s="104" t="e">
        <f>IF(AND(VLOOKUP($D2375,Merchantability!$B:$C,2,0)="Yes",$E2375&gt;=VLOOKUP($D2375,Merchantability!$B:$D,3,0),$E2375&lt;=VLOOKUP($D2375,Merchantability!$B:$E,4,0)),AA2375,0)</f>
        <v>#N/A</v>
      </c>
      <c r="AG2375" s="104" t="e">
        <f>IF(AND(VLOOKUP($D2375,Merchantability!$B:$C,2,0)="Yes",$E2375&gt;=VLOOKUP($D2375,Merchantability!$B:$D,3,0),$E2375&lt;=VLOOKUP($D2375,Merchantability!$B:$E,4,0)),AB2375,0)</f>
        <v>#N/A</v>
      </c>
      <c r="AH2375" s="104" t="e">
        <f>IF(AND(VLOOKUP($D2375,Merchantability!$B:$C,2,0)="Yes",$E2375&gt;=VLOOKUP($D2375,Merchantability!$B:$D,3,0),$E2375&lt;=VLOOKUP($D2375,Merchantability!$B:$E,4,0)),AC2375,0)</f>
        <v>#N/A</v>
      </c>
      <c r="AI2375" s="104" t="e">
        <f t="shared" si="1032"/>
        <v>#N/A</v>
      </c>
      <c r="AJ2375" s="104" t="e">
        <f t="shared" si="1033"/>
        <v>#VALUE!</v>
      </c>
      <c r="AK2375" s="104" t="e">
        <f t="shared" si="1034"/>
        <v>#N/A</v>
      </c>
      <c r="AL2375" s="104" t="e">
        <f t="shared" si="1035"/>
        <v>#N/A</v>
      </c>
      <c r="AM2375" s="104" t="e">
        <f t="shared" si="1036"/>
        <v>#N/A</v>
      </c>
      <c r="AN2375" s="104" t="e">
        <f t="shared" si="1047"/>
        <v>#N/A</v>
      </c>
      <c r="AO2375" s="104" t="e">
        <f t="shared" si="1048"/>
        <v>#N/A</v>
      </c>
      <c r="AP2375" s="104" t="e">
        <f t="shared" si="1049"/>
        <v>#N/A</v>
      </c>
      <c r="AQ2375" s="104" t="e">
        <f t="shared" si="1050"/>
        <v>#N/A</v>
      </c>
      <c r="AR2375" s="105" t="str">
        <f t="shared" si="1042"/>
        <v/>
      </c>
      <c r="AS2375" s="105" t="str">
        <f t="shared" si="1043"/>
        <v/>
      </c>
      <c r="AT2375" s="108" t="str">
        <f t="shared" si="1044"/>
        <v/>
      </c>
      <c r="AU2375" s="108" t="str">
        <f t="shared" si="1045"/>
        <v/>
      </c>
      <c r="AV2375" s="107" t="str">
        <f>IF(ISNUMBER(O2375),IF(VLOOKUP($A2375,Stand!C:J,8,FALSE)="Short",AT2375,AU2375),"")</f>
        <v/>
      </c>
      <c r="AW2375" s="109" t="str">
        <f t="shared" si="1051"/>
        <v/>
      </c>
      <c r="AX2375" s="109" t="str">
        <f t="shared" si="1052"/>
        <v/>
      </c>
      <c r="AY2375" s="112" t="str">
        <f>IF(ISNUMBER(O2375),IF(AND(VLOOKUP($D2375,Merchantability!$B:$C,2,0)="Yes",$E2375&gt;=VLOOKUP($D2375,Merchantability!$B:$D,3,0),$E2375&lt;=VLOOKUP($D2375,Merchantability!$B:$E,4,0)),(AV2375*O2375)*(1-$H2375/100),""),"")</f>
        <v/>
      </c>
      <c r="AZ2375" s="116"/>
      <c r="BA2375" s="116"/>
      <c r="BB2375" s="116"/>
      <c r="BE2375" s="62"/>
      <c r="BF2375" s="63"/>
    </row>
    <row r="2376" spans="1:58" ht="12.75" customHeight="1" x14ac:dyDescent="0.25">
      <c r="A2376" s="334"/>
      <c r="B2376" s="334"/>
      <c r="C2376" s="332"/>
      <c r="D2376" s="334"/>
      <c r="E2376" s="335"/>
      <c r="F2376" s="334"/>
      <c r="G2376" s="332"/>
      <c r="H2376" s="332"/>
      <c r="I2376" s="334"/>
      <c r="J2376" s="336"/>
      <c r="K2376" s="332"/>
      <c r="L2376" s="332"/>
      <c r="M2376" s="76"/>
      <c r="N2376" s="103" t="str">
        <f>IF(A2376="","",VLOOKUP(A2376,Stand!C:K,9,0))</f>
        <v/>
      </c>
      <c r="O2376" s="104" t="str">
        <f t="shared" si="1037"/>
        <v/>
      </c>
      <c r="P2376" s="105" t="str">
        <f t="shared" si="1038"/>
        <v/>
      </c>
      <c r="Q2376" s="105" t="str">
        <f t="shared" si="1026"/>
        <v/>
      </c>
      <c r="R2376" s="103" t="str">
        <f t="shared" si="1039"/>
        <v/>
      </c>
      <c r="S2376" s="103" t="str">
        <f t="shared" si="1040"/>
        <v/>
      </c>
      <c r="T2376" s="106" t="str">
        <f t="shared" si="1027"/>
        <v/>
      </c>
      <c r="U2376" s="106" t="str">
        <f t="shared" si="1028"/>
        <v/>
      </c>
      <c r="V2376" s="106" t="str">
        <f t="shared" si="1029"/>
        <v/>
      </c>
      <c r="W2376" s="105" t="str">
        <f t="shared" si="1041"/>
        <v/>
      </c>
      <c r="X2376" s="104" t="str">
        <f t="shared" si="1046"/>
        <v/>
      </c>
      <c r="Y2376" s="104" t="str">
        <f t="array" ref="Y2376">IFERROR(IF(ISNUMBER(O2376),IF(COUNT(IF(A2376=$A$2:$A$2427,IF(D2376=$D$2:$D$2427,IF($X$2:$X$2427&gt;0,1))))&gt;0,SUM(IF(A2376=$A$2:$A$2427,IF(D2376=$D$2:$D$2427,$X$2:$X$2427)))/COUNT(IF(A2376=$A$2:$A$2427,IF(D2376=$D$2:$D$2427,IF(ISNUMBER($X$2:$X$2427),1)))),0),""),0)</f>
        <v/>
      </c>
      <c r="Z2376" s="104" t="str">
        <f>IF(ISNUMBER(O2376),IF(I2376&gt;0,(10^(VLOOKUP(D2376,'Species Codes'!B:C,2,0)+VLOOKUP(D2376,'Species Codes'!B:D,3,0)*LOG(E2376)+VLOOKUP(D2376,'Species Codes'!B:E,4,0)*LOG(I2376))),0),"")</f>
        <v/>
      </c>
      <c r="AA2376" s="104" t="str">
        <f>IFERROR((VLOOKUP(D2376,'Species Codes'!B:G,6,0)*Z2376)/2000,"")</f>
        <v/>
      </c>
      <c r="AB2376" s="104" t="e">
        <f>IF(Z2376&gt;0,((IF(OR(D2376="DF",D2376="RA")=TRUE,EXP(VLOOKUP(D2376,'Species Codes'!B:I,8,0)+VLOOKUP(D2376,'Species Codes'!B:J,9,0)*(LN((E2376*2.54)))),IF(OR(D2376="PY",D2376="RC",D2376="WH",D2376="NF")=TRUE,VLOOKUP(D2376,'Species Codes'!B:I,8,0)+VLOOKUP(D2376,'Species Codes'!B:J,9,0)*((E2376*2.54)^2)*(I2376*0.3048),IF(OR(D2376="MD",D2376="BM",D2376="GA")=TRUE,((VLOOKUP(D2376,'Species Codes'!B:I,8,0)*(((((E2376*2.54)+VLOOKUP(D2376,'Species Codes'!B:J,9,0))/VLOOKUP(D2376,'Species Codes'!B:K,10,0))^VLOOKUP(D2376,'Species Codes'!B:L,11,0))*((I2376*0.3048)^VLOOKUP(D2376,'Species Codes'!B:M,12,0))))-(VLOOKUP(D2376,'Species Codes'!B:I,8,0)*((((E2376*2.54)^VLOOKUP(D2376,'Species Codes'!B:L,11,0))*((I2376*0.3048)^VLOOKUP(D2376,'Species Codes'!B:M,12,0))))))*35.3*VLOOKUP(D2376,'Species Codes'!B:G,6,0)/2.2046,VLOOKUP(D2376,'Species Codes'!B:I,8,0)+VLOOKUP(D2376,'Species Codes'!B:J,9,0)*(((E2376*2.54)/100)^2)*(I2376*0.3048)))))*0.0011023),0)</f>
        <v>#N/A</v>
      </c>
      <c r="AC2376" s="104" t="e">
        <f>IF(Z2376&gt;0,((IF(OR(D2376="RA",D2376="OA",D2376="OT",D2376="UN",D2376="PC"),EXP(VLOOKUP(D2376,'Species Codes'!B:O,14,0)+VLOOKUP(D2376,'Species Codes'!B:P,15,0)*LN((E2376*2.54)))-EXP(VLOOKUP(D2376,'Species Codes'!B:O,14,0)+VLOOKUP(D2376,'Species Codes'!B:P,15,0)*LN((E2376*2.54)))*(1/(VLOOKUP(D2376,'Species Codes'!B:Q,16,0)+VLOOKUP(D2376,'Species Codes'!B:R,17,0)*((E2376*2.54)^VLOOKUP(D2376,'Species Codes'!B:S,18,0)))),IF(OR(D2376="BM",D2376="MD",D2376="OA"),EXP(VLOOKUP(D2376,'Species Codes'!B:O,14,0)+VLOOKUP(D2376,'Species Codes'!B:P,15,0)*LN((E2376*2.54)))*(1-(1/(VLOOKUP(D2376,'Species Codes'!B:Q,16,0)+VLOOKUP(D2376,'Species Codes'!B:R,17,0)*((E2376*2.54)^VLOOKUP(D2376,'Species Codes'!B:S,18,0)))))/1000,IF(D2376="DF",EXP(VLOOKUP(D2376,'Species Codes'!B:O,14,0)+VLOOKUP(D2376,'Species Codes'!B:P,15,0)*LN((E2376*2.54))),VLOOKUP(D2376,'Species Codes'!B:O,14,0)+VLOOKUP(D2376,'Species Codes'!B:P,15,0)*(((E2376*2.54)/100)^2)*(I2376*0.3048)))))*0.0011023),0)</f>
        <v>#N/A</v>
      </c>
      <c r="AD2376" s="104" t="e">
        <f t="shared" si="1030"/>
        <v>#N/A</v>
      </c>
      <c r="AE2376" s="104" t="e">
        <f t="shared" si="1031"/>
        <v>#N/A</v>
      </c>
      <c r="AF2376" s="104" t="e">
        <f>IF(AND(VLOOKUP($D2376,Merchantability!$B:$C,2,0)="Yes",$E2376&gt;=VLOOKUP($D2376,Merchantability!$B:$D,3,0),$E2376&lt;=VLOOKUP($D2376,Merchantability!$B:$E,4,0)),AA2376,0)</f>
        <v>#N/A</v>
      </c>
      <c r="AG2376" s="104" t="e">
        <f>IF(AND(VLOOKUP($D2376,Merchantability!$B:$C,2,0)="Yes",$E2376&gt;=VLOOKUP($D2376,Merchantability!$B:$D,3,0),$E2376&lt;=VLOOKUP($D2376,Merchantability!$B:$E,4,0)),AB2376,0)</f>
        <v>#N/A</v>
      </c>
      <c r="AH2376" s="104" t="e">
        <f>IF(AND(VLOOKUP($D2376,Merchantability!$B:$C,2,0)="Yes",$E2376&gt;=VLOOKUP($D2376,Merchantability!$B:$D,3,0),$E2376&lt;=VLOOKUP($D2376,Merchantability!$B:$E,4,0)),AC2376,0)</f>
        <v>#N/A</v>
      </c>
      <c r="AI2376" s="104" t="e">
        <f t="shared" si="1032"/>
        <v>#N/A</v>
      </c>
      <c r="AJ2376" s="104" t="e">
        <f t="shared" si="1033"/>
        <v>#VALUE!</v>
      </c>
      <c r="AK2376" s="104" t="e">
        <f t="shared" si="1034"/>
        <v>#N/A</v>
      </c>
      <c r="AL2376" s="104" t="e">
        <f t="shared" si="1035"/>
        <v>#N/A</v>
      </c>
      <c r="AM2376" s="104" t="e">
        <f t="shared" si="1036"/>
        <v>#N/A</v>
      </c>
      <c r="AN2376" s="104" t="e">
        <f t="shared" si="1047"/>
        <v>#N/A</v>
      </c>
      <c r="AO2376" s="104" t="e">
        <f t="shared" si="1048"/>
        <v>#N/A</v>
      </c>
      <c r="AP2376" s="104" t="e">
        <f t="shared" si="1049"/>
        <v>#N/A</v>
      </c>
      <c r="AQ2376" s="104" t="e">
        <f t="shared" si="1050"/>
        <v>#N/A</v>
      </c>
      <c r="AR2376" s="105" t="str">
        <f t="shared" si="1042"/>
        <v/>
      </c>
      <c r="AS2376" s="105" t="str">
        <f t="shared" si="1043"/>
        <v/>
      </c>
      <c r="AT2376" s="108" t="str">
        <f t="shared" si="1044"/>
        <v/>
      </c>
      <c r="AU2376" s="108" t="str">
        <f t="shared" si="1045"/>
        <v/>
      </c>
      <c r="AV2376" s="107" t="str">
        <f>IF(ISNUMBER(O2376),IF(VLOOKUP($A2376,Stand!C:J,8,FALSE)="Short",AT2376,AU2376),"")</f>
        <v/>
      </c>
      <c r="AW2376" s="109" t="str">
        <f t="shared" si="1051"/>
        <v/>
      </c>
      <c r="AX2376" s="109" t="str">
        <f t="shared" si="1052"/>
        <v/>
      </c>
      <c r="AY2376" s="112" t="str">
        <f>IF(ISNUMBER(O2376),IF(AND(VLOOKUP($D2376,Merchantability!$B:$C,2,0)="Yes",$E2376&gt;=VLOOKUP($D2376,Merchantability!$B:$D,3,0),$E2376&lt;=VLOOKUP($D2376,Merchantability!$B:$E,4,0)),(AV2376*O2376)*(1-$H2376/100),""),"")</f>
        <v/>
      </c>
      <c r="AZ2376" s="116"/>
      <c r="BA2376" s="116"/>
      <c r="BB2376" s="116"/>
      <c r="BE2376" s="62"/>
      <c r="BF2376" s="63"/>
    </row>
    <row r="2377" spans="1:58" ht="12.75" customHeight="1" x14ac:dyDescent="0.25">
      <c r="A2377" s="334"/>
      <c r="B2377" s="334"/>
      <c r="C2377" s="332"/>
      <c r="D2377" s="334"/>
      <c r="E2377" s="335"/>
      <c r="F2377" s="334"/>
      <c r="G2377" s="332"/>
      <c r="H2377" s="332"/>
      <c r="I2377" s="334"/>
      <c r="J2377" s="336"/>
      <c r="K2377" s="332"/>
      <c r="L2377" s="332"/>
      <c r="M2377" s="76"/>
      <c r="N2377" s="103" t="str">
        <f>IF(A2377="","",VLOOKUP(A2377,Stand!C:K,9,0))</f>
        <v/>
      </c>
      <c r="O2377" s="104" t="str">
        <f t="shared" si="1037"/>
        <v/>
      </c>
      <c r="P2377" s="105" t="str">
        <f t="shared" si="1038"/>
        <v/>
      </c>
      <c r="Q2377" s="105" t="str">
        <f t="shared" si="1026"/>
        <v/>
      </c>
      <c r="R2377" s="103" t="str">
        <f t="shared" si="1039"/>
        <v/>
      </c>
      <c r="S2377" s="103" t="str">
        <f t="shared" si="1040"/>
        <v/>
      </c>
      <c r="T2377" s="106" t="str">
        <f t="shared" si="1027"/>
        <v/>
      </c>
      <c r="U2377" s="106" t="str">
        <f t="shared" si="1028"/>
        <v/>
      </c>
      <c r="V2377" s="106" t="str">
        <f t="shared" si="1029"/>
        <v/>
      </c>
      <c r="W2377" s="105" t="str">
        <f t="shared" si="1041"/>
        <v/>
      </c>
      <c r="X2377" s="104" t="str">
        <f t="shared" si="1046"/>
        <v/>
      </c>
      <c r="Y2377" s="104" t="str">
        <f t="array" ref="Y2377">IFERROR(IF(ISNUMBER(O2377),IF(COUNT(IF(A2377=$A$2:$A$2427,IF(D2377=$D$2:$D$2427,IF($X$2:$X$2427&gt;0,1))))&gt;0,SUM(IF(A2377=$A$2:$A$2427,IF(D2377=$D$2:$D$2427,$X$2:$X$2427)))/COUNT(IF(A2377=$A$2:$A$2427,IF(D2377=$D$2:$D$2427,IF(ISNUMBER($X$2:$X$2427),1)))),0),""),0)</f>
        <v/>
      </c>
      <c r="Z2377" s="104" t="str">
        <f>IF(ISNUMBER(O2377),IF(I2377&gt;0,(10^(VLOOKUP(D2377,'Species Codes'!B:C,2,0)+VLOOKUP(D2377,'Species Codes'!B:D,3,0)*LOG(E2377)+VLOOKUP(D2377,'Species Codes'!B:E,4,0)*LOG(I2377))),0),"")</f>
        <v/>
      </c>
      <c r="AA2377" s="104" t="str">
        <f>IFERROR((VLOOKUP(D2377,'Species Codes'!B:G,6,0)*Z2377)/2000,"")</f>
        <v/>
      </c>
      <c r="AB2377" s="104" t="e">
        <f>IF(Z2377&gt;0,((IF(OR(D2377="DF",D2377="RA")=TRUE,EXP(VLOOKUP(D2377,'Species Codes'!B:I,8,0)+VLOOKUP(D2377,'Species Codes'!B:J,9,0)*(LN((E2377*2.54)))),IF(OR(D2377="PY",D2377="RC",D2377="WH",D2377="NF")=TRUE,VLOOKUP(D2377,'Species Codes'!B:I,8,0)+VLOOKUP(D2377,'Species Codes'!B:J,9,0)*((E2377*2.54)^2)*(I2377*0.3048),IF(OR(D2377="MD",D2377="BM",D2377="GA")=TRUE,((VLOOKUP(D2377,'Species Codes'!B:I,8,0)*(((((E2377*2.54)+VLOOKUP(D2377,'Species Codes'!B:J,9,0))/VLOOKUP(D2377,'Species Codes'!B:K,10,0))^VLOOKUP(D2377,'Species Codes'!B:L,11,0))*((I2377*0.3048)^VLOOKUP(D2377,'Species Codes'!B:M,12,0))))-(VLOOKUP(D2377,'Species Codes'!B:I,8,0)*((((E2377*2.54)^VLOOKUP(D2377,'Species Codes'!B:L,11,0))*((I2377*0.3048)^VLOOKUP(D2377,'Species Codes'!B:M,12,0))))))*35.3*VLOOKUP(D2377,'Species Codes'!B:G,6,0)/2.2046,VLOOKUP(D2377,'Species Codes'!B:I,8,0)+VLOOKUP(D2377,'Species Codes'!B:J,9,0)*(((E2377*2.54)/100)^2)*(I2377*0.3048)))))*0.0011023),0)</f>
        <v>#N/A</v>
      </c>
      <c r="AC2377" s="104" t="e">
        <f>IF(Z2377&gt;0,((IF(OR(D2377="RA",D2377="OA",D2377="OT",D2377="UN",D2377="PC"),EXP(VLOOKUP(D2377,'Species Codes'!B:O,14,0)+VLOOKUP(D2377,'Species Codes'!B:P,15,0)*LN((E2377*2.54)))-EXP(VLOOKUP(D2377,'Species Codes'!B:O,14,0)+VLOOKUP(D2377,'Species Codes'!B:P,15,0)*LN((E2377*2.54)))*(1/(VLOOKUP(D2377,'Species Codes'!B:Q,16,0)+VLOOKUP(D2377,'Species Codes'!B:R,17,0)*((E2377*2.54)^VLOOKUP(D2377,'Species Codes'!B:S,18,0)))),IF(OR(D2377="BM",D2377="MD",D2377="OA"),EXP(VLOOKUP(D2377,'Species Codes'!B:O,14,0)+VLOOKUP(D2377,'Species Codes'!B:P,15,0)*LN((E2377*2.54)))*(1-(1/(VLOOKUP(D2377,'Species Codes'!B:Q,16,0)+VLOOKUP(D2377,'Species Codes'!B:R,17,0)*((E2377*2.54)^VLOOKUP(D2377,'Species Codes'!B:S,18,0)))))/1000,IF(D2377="DF",EXP(VLOOKUP(D2377,'Species Codes'!B:O,14,0)+VLOOKUP(D2377,'Species Codes'!B:P,15,0)*LN((E2377*2.54))),VLOOKUP(D2377,'Species Codes'!B:O,14,0)+VLOOKUP(D2377,'Species Codes'!B:P,15,0)*(((E2377*2.54)/100)^2)*(I2377*0.3048)))))*0.0011023),0)</f>
        <v>#N/A</v>
      </c>
      <c r="AD2377" s="104" t="e">
        <f t="shared" si="1030"/>
        <v>#N/A</v>
      </c>
      <c r="AE2377" s="104" t="e">
        <f t="shared" si="1031"/>
        <v>#N/A</v>
      </c>
      <c r="AF2377" s="104" t="e">
        <f>IF(AND(VLOOKUP($D2377,Merchantability!$B:$C,2,0)="Yes",$E2377&gt;=VLOOKUP($D2377,Merchantability!$B:$D,3,0),$E2377&lt;=VLOOKUP($D2377,Merchantability!$B:$E,4,0)),AA2377,0)</f>
        <v>#N/A</v>
      </c>
      <c r="AG2377" s="104" t="e">
        <f>IF(AND(VLOOKUP($D2377,Merchantability!$B:$C,2,0)="Yes",$E2377&gt;=VLOOKUP($D2377,Merchantability!$B:$D,3,0),$E2377&lt;=VLOOKUP($D2377,Merchantability!$B:$E,4,0)),AB2377,0)</f>
        <v>#N/A</v>
      </c>
      <c r="AH2377" s="104" t="e">
        <f>IF(AND(VLOOKUP($D2377,Merchantability!$B:$C,2,0)="Yes",$E2377&gt;=VLOOKUP($D2377,Merchantability!$B:$D,3,0),$E2377&lt;=VLOOKUP($D2377,Merchantability!$B:$E,4,0)),AC2377,0)</f>
        <v>#N/A</v>
      </c>
      <c r="AI2377" s="104" t="e">
        <f t="shared" si="1032"/>
        <v>#N/A</v>
      </c>
      <c r="AJ2377" s="104" t="e">
        <f t="shared" si="1033"/>
        <v>#VALUE!</v>
      </c>
      <c r="AK2377" s="104" t="e">
        <f t="shared" si="1034"/>
        <v>#N/A</v>
      </c>
      <c r="AL2377" s="104" t="e">
        <f t="shared" si="1035"/>
        <v>#N/A</v>
      </c>
      <c r="AM2377" s="104" t="e">
        <f t="shared" si="1036"/>
        <v>#N/A</v>
      </c>
      <c r="AN2377" s="104" t="e">
        <f t="shared" si="1047"/>
        <v>#N/A</v>
      </c>
      <c r="AO2377" s="104" t="e">
        <f t="shared" si="1048"/>
        <v>#N/A</v>
      </c>
      <c r="AP2377" s="104" t="e">
        <f t="shared" si="1049"/>
        <v>#N/A</v>
      </c>
      <c r="AQ2377" s="104" t="e">
        <f t="shared" si="1050"/>
        <v>#N/A</v>
      </c>
      <c r="AR2377" s="105" t="str">
        <f t="shared" si="1042"/>
        <v/>
      </c>
      <c r="AS2377" s="105" t="str">
        <f t="shared" si="1043"/>
        <v/>
      </c>
      <c r="AT2377" s="108" t="str">
        <f t="shared" si="1044"/>
        <v/>
      </c>
      <c r="AU2377" s="108" t="str">
        <f t="shared" si="1045"/>
        <v/>
      </c>
      <c r="AV2377" s="107" t="str">
        <f>IF(ISNUMBER(O2377),IF(VLOOKUP($A2377,Stand!C:J,8,FALSE)="Short",AT2377,AU2377),"")</f>
        <v/>
      </c>
      <c r="AW2377" s="109" t="str">
        <f t="shared" si="1051"/>
        <v/>
      </c>
      <c r="AX2377" s="109" t="str">
        <f t="shared" si="1052"/>
        <v/>
      </c>
      <c r="AY2377" s="112" t="str">
        <f>IF(ISNUMBER(O2377),IF(AND(VLOOKUP($D2377,Merchantability!$B:$C,2,0)="Yes",$E2377&gt;=VLOOKUP($D2377,Merchantability!$B:$D,3,0),$E2377&lt;=VLOOKUP($D2377,Merchantability!$B:$E,4,0)),(AV2377*O2377)*(1-$H2377/100),""),"")</f>
        <v/>
      </c>
      <c r="AZ2377" s="116"/>
      <c r="BA2377" s="116"/>
      <c r="BB2377" s="116"/>
      <c r="BE2377" s="62"/>
      <c r="BF2377" s="63"/>
    </row>
    <row r="2378" spans="1:58" ht="12.75" customHeight="1" x14ac:dyDescent="0.25">
      <c r="A2378" s="334"/>
      <c r="B2378" s="334"/>
      <c r="C2378" s="332"/>
      <c r="D2378" s="334"/>
      <c r="E2378" s="335"/>
      <c r="F2378" s="334"/>
      <c r="G2378" s="332"/>
      <c r="H2378" s="332"/>
      <c r="I2378" s="334"/>
      <c r="J2378" s="336"/>
      <c r="K2378" s="332"/>
      <c r="L2378" s="332"/>
      <c r="M2378" s="76"/>
      <c r="N2378" s="103" t="str">
        <f>IF(A2378="","",VLOOKUP(A2378,Stand!C:K,9,0))</f>
        <v/>
      </c>
      <c r="O2378" s="104" t="str">
        <f t="shared" si="1037"/>
        <v/>
      </c>
      <c r="P2378" s="105" t="str">
        <f t="shared" si="1038"/>
        <v/>
      </c>
      <c r="Q2378" s="105" t="str">
        <f t="shared" si="1026"/>
        <v/>
      </c>
      <c r="R2378" s="103" t="str">
        <f t="shared" si="1039"/>
        <v/>
      </c>
      <c r="S2378" s="103" t="str">
        <f t="shared" si="1040"/>
        <v/>
      </c>
      <c r="T2378" s="106" t="str">
        <f t="shared" si="1027"/>
        <v/>
      </c>
      <c r="U2378" s="106" t="str">
        <f t="shared" si="1028"/>
        <v/>
      </c>
      <c r="V2378" s="106" t="str">
        <f t="shared" si="1029"/>
        <v/>
      </c>
      <c r="W2378" s="105" t="str">
        <f t="shared" si="1041"/>
        <v/>
      </c>
      <c r="X2378" s="104" t="str">
        <f t="shared" si="1046"/>
        <v/>
      </c>
      <c r="Y2378" s="104" t="str">
        <f t="array" ref="Y2378">IFERROR(IF(ISNUMBER(O2378),IF(COUNT(IF(A2378=$A$2:$A$2427,IF(D2378=$D$2:$D$2427,IF($X$2:$X$2427&gt;0,1))))&gt;0,SUM(IF(A2378=$A$2:$A$2427,IF(D2378=$D$2:$D$2427,$X$2:$X$2427)))/COUNT(IF(A2378=$A$2:$A$2427,IF(D2378=$D$2:$D$2427,IF(ISNUMBER($X$2:$X$2427),1)))),0),""),0)</f>
        <v/>
      </c>
      <c r="Z2378" s="104" t="str">
        <f>IF(ISNUMBER(O2378),IF(I2378&gt;0,(10^(VLOOKUP(D2378,'Species Codes'!B:C,2,0)+VLOOKUP(D2378,'Species Codes'!B:D,3,0)*LOG(E2378)+VLOOKUP(D2378,'Species Codes'!B:E,4,0)*LOG(I2378))),0),"")</f>
        <v/>
      </c>
      <c r="AA2378" s="104" t="str">
        <f>IFERROR((VLOOKUP(D2378,'Species Codes'!B:G,6,0)*Z2378)/2000,"")</f>
        <v/>
      </c>
      <c r="AB2378" s="104" t="e">
        <f>IF(Z2378&gt;0,((IF(OR(D2378="DF",D2378="RA")=TRUE,EXP(VLOOKUP(D2378,'Species Codes'!B:I,8,0)+VLOOKUP(D2378,'Species Codes'!B:J,9,0)*(LN((E2378*2.54)))),IF(OR(D2378="PY",D2378="RC",D2378="WH",D2378="NF")=TRUE,VLOOKUP(D2378,'Species Codes'!B:I,8,0)+VLOOKUP(D2378,'Species Codes'!B:J,9,0)*((E2378*2.54)^2)*(I2378*0.3048),IF(OR(D2378="MD",D2378="BM",D2378="GA")=TRUE,((VLOOKUP(D2378,'Species Codes'!B:I,8,0)*(((((E2378*2.54)+VLOOKUP(D2378,'Species Codes'!B:J,9,0))/VLOOKUP(D2378,'Species Codes'!B:K,10,0))^VLOOKUP(D2378,'Species Codes'!B:L,11,0))*((I2378*0.3048)^VLOOKUP(D2378,'Species Codes'!B:M,12,0))))-(VLOOKUP(D2378,'Species Codes'!B:I,8,0)*((((E2378*2.54)^VLOOKUP(D2378,'Species Codes'!B:L,11,0))*((I2378*0.3048)^VLOOKUP(D2378,'Species Codes'!B:M,12,0))))))*35.3*VLOOKUP(D2378,'Species Codes'!B:G,6,0)/2.2046,VLOOKUP(D2378,'Species Codes'!B:I,8,0)+VLOOKUP(D2378,'Species Codes'!B:J,9,0)*(((E2378*2.54)/100)^2)*(I2378*0.3048)))))*0.0011023),0)</f>
        <v>#N/A</v>
      </c>
      <c r="AC2378" s="104" t="e">
        <f>IF(Z2378&gt;0,((IF(OR(D2378="RA",D2378="OA",D2378="OT",D2378="UN",D2378="PC"),EXP(VLOOKUP(D2378,'Species Codes'!B:O,14,0)+VLOOKUP(D2378,'Species Codes'!B:P,15,0)*LN((E2378*2.54)))-EXP(VLOOKUP(D2378,'Species Codes'!B:O,14,0)+VLOOKUP(D2378,'Species Codes'!B:P,15,0)*LN((E2378*2.54)))*(1/(VLOOKUP(D2378,'Species Codes'!B:Q,16,0)+VLOOKUP(D2378,'Species Codes'!B:R,17,0)*((E2378*2.54)^VLOOKUP(D2378,'Species Codes'!B:S,18,0)))),IF(OR(D2378="BM",D2378="MD",D2378="OA"),EXP(VLOOKUP(D2378,'Species Codes'!B:O,14,0)+VLOOKUP(D2378,'Species Codes'!B:P,15,0)*LN((E2378*2.54)))*(1-(1/(VLOOKUP(D2378,'Species Codes'!B:Q,16,0)+VLOOKUP(D2378,'Species Codes'!B:R,17,0)*((E2378*2.54)^VLOOKUP(D2378,'Species Codes'!B:S,18,0)))))/1000,IF(D2378="DF",EXP(VLOOKUP(D2378,'Species Codes'!B:O,14,0)+VLOOKUP(D2378,'Species Codes'!B:P,15,0)*LN((E2378*2.54))),VLOOKUP(D2378,'Species Codes'!B:O,14,0)+VLOOKUP(D2378,'Species Codes'!B:P,15,0)*(((E2378*2.54)/100)^2)*(I2378*0.3048)))))*0.0011023),0)</f>
        <v>#N/A</v>
      </c>
      <c r="AD2378" s="104" t="e">
        <f t="shared" si="1030"/>
        <v>#N/A</v>
      </c>
      <c r="AE2378" s="104" t="e">
        <f t="shared" si="1031"/>
        <v>#N/A</v>
      </c>
      <c r="AF2378" s="104" t="e">
        <f>IF(AND(VLOOKUP($D2378,Merchantability!$B:$C,2,0)="Yes",$E2378&gt;=VLOOKUP($D2378,Merchantability!$B:$D,3,0),$E2378&lt;=VLOOKUP($D2378,Merchantability!$B:$E,4,0)),AA2378,0)</f>
        <v>#N/A</v>
      </c>
      <c r="AG2378" s="104" t="e">
        <f>IF(AND(VLOOKUP($D2378,Merchantability!$B:$C,2,0)="Yes",$E2378&gt;=VLOOKUP($D2378,Merchantability!$B:$D,3,0),$E2378&lt;=VLOOKUP($D2378,Merchantability!$B:$E,4,0)),AB2378,0)</f>
        <v>#N/A</v>
      </c>
      <c r="AH2378" s="104" t="e">
        <f>IF(AND(VLOOKUP($D2378,Merchantability!$B:$C,2,0)="Yes",$E2378&gt;=VLOOKUP($D2378,Merchantability!$B:$D,3,0),$E2378&lt;=VLOOKUP($D2378,Merchantability!$B:$E,4,0)),AC2378,0)</f>
        <v>#N/A</v>
      </c>
      <c r="AI2378" s="104" t="e">
        <f t="shared" si="1032"/>
        <v>#N/A</v>
      </c>
      <c r="AJ2378" s="104" t="e">
        <f t="shared" si="1033"/>
        <v>#VALUE!</v>
      </c>
      <c r="AK2378" s="104" t="e">
        <f t="shared" si="1034"/>
        <v>#N/A</v>
      </c>
      <c r="AL2378" s="104" t="e">
        <f t="shared" si="1035"/>
        <v>#N/A</v>
      </c>
      <c r="AM2378" s="104" t="e">
        <f t="shared" si="1036"/>
        <v>#N/A</v>
      </c>
      <c r="AN2378" s="104" t="e">
        <f t="shared" si="1047"/>
        <v>#N/A</v>
      </c>
      <c r="AO2378" s="104" t="e">
        <f t="shared" si="1048"/>
        <v>#N/A</v>
      </c>
      <c r="AP2378" s="104" t="e">
        <f t="shared" si="1049"/>
        <v>#N/A</v>
      </c>
      <c r="AQ2378" s="104" t="e">
        <f t="shared" si="1050"/>
        <v>#N/A</v>
      </c>
      <c r="AR2378" s="105" t="str">
        <f t="shared" si="1042"/>
        <v/>
      </c>
      <c r="AS2378" s="105" t="str">
        <f t="shared" si="1043"/>
        <v/>
      </c>
      <c r="AT2378" s="108" t="str">
        <f t="shared" si="1044"/>
        <v/>
      </c>
      <c r="AU2378" s="108" t="str">
        <f t="shared" si="1045"/>
        <v/>
      </c>
      <c r="AV2378" s="107" t="str">
        <f>IF(ISNUMBER(O2378),IF(VLOOKUP($A2378,Stand!C:J,8,FALSE)="Short",AT2378,AU2378),"")</f>
        <v/>
      </c>
      <c r="AW2378" s="109" t="str">
        <f t="shared" si="1051"/>
        <v/>
      </c>
      <c r="AX2378" s="109" t="str">
        <f t="shared" si="1052"/>
        <v/>
      </c>
      <c r="AY2378" s="112" t="str">
        <f>IF(ISNUMBER(O2378),IF(AND(VLOOKUP($D2378,Merchantability!$B:$C,2,0)="Yes",$E2378&gt;=VLOOKUP($D2378,Merchantability!$B:$D,3,0),$E2378&lt;=VLOOKUP($D2378,Merchantability!$B:$E,4,0)),(AV2378*O2378)*(1-$H2378/100),""),"")</f>
        <v/>
      </c>
      <c r="AZ2378" s="116"/>
      <c r="BA2378" s="116"/>
      <c r="BB2378" s="116"/>
      <c r="BE2378" s="62"/>
      <c r="BF2378" s="63"/>
    </row>
    <row r="2379" spans="1:58" ht="12.75" customHeight="1" x14ac:dyDescent="0.25">
      <c r="A2379" s="334"/>
      <c r="B2379" s="334"/>
      <c r="C2379" s="332"/>
      <c r="D2379" s="334"/>
      <c r="E2379" s="335"/>
      <c r="F2379" s="334"/>
      <c r="G2379" s="332"/>
      <c r="H2379" s="332"/>
      <c r="I2379" s="334"/>
      <c r="J2379" s="336"/>
      <c r="K2379" s="332"/>
      <c r="L2379" s="332"/>
      <c r="M2379" s="76"/>
      <c r="N2379" s="103" t="str">
        <f>IF(A2379="","",VLOOKUP(A2379,Stand!C:K,9,0))</f>
        <v/>
      </c>
      <c r="O2379" s="104" t="str">
        <f t="shared" si="1037"/>
        <v/>
      </c>
      <c r="P2379" s="105" t="str">
        <f t="shared" si="1038"/>
        <v/>
      </c>
      <c r="Q2379" s="105" t="str">
        <f t="shared" si="1026"/>
        <v/>
      </c>
      <c r="R2379" s="103" t="str">
        <f t="shared" si="1039"/>
        <v/>
      </c>
      <c r="S2379" s="103" t="str">
        <f t="shared" si="1040"/>
        <v/>
      </c>
      <c r="T2379" s="106" t="str">
        <f t="shared" si="1027"/>
        <v/>
      </c>
      <c r="U2379" s="106" t="str">
        <f t="shared" si="1028"/>
        <v/>
      </c>
      <c r="V2379" s="106" t="str">
        <f t="shared" si="1029"/>
        <v/>
      </c>
      <c r="W2379" s="105" t="str">
        <f t="shared" si="1041"/>
        <v/>
      </c>
      <c r="X2379" s="104" t="str">
        <f t="shared" si="1046"/>
        <v/>
      </c>
      <c r="Y2379" s="104" t="str">
        <f t="array" ref="Y2379">IFERROR(IF(ISNUMBER(O2379),IF(COUNT(IF(A2379=$A$2:$A$2427,IF(D2379=$D$2:$D$2427,IF($X$2:$X$2427&gt;0,1))))&gt;0,SUM(IF(A2379=$A$2:$A$2427,IF(D2379=$D$2:$D$2427,$X$2:$X$2427)))/COUNT(IF(A2379=$A$2:$A$2427,IF(D2379=$D$2:$D$2427,IF(ISNUMBER($X$2:$X$2427),1)))),0),""),0)</f>
        <v/>
      </c>
      <c r="Z2379" s="104" t="str">
        <f>IF(ISNUMBER(O2379),IF(I2379&gt;0,(10^(VLOOKUP(D2379,'Species Codes'!B:C,2,0)+VLOOKUP(D2379,'Species Codes'!B:D,3,0)*LOG(E2379)+VLOOKUP(D2379,'Species Codes'!B:E,4,0)*LOG(I2379))),0),"")</f>
        <v/>
      </c>
      <c r="AA2379" s="104" t="str">
        <f>IFERROR((VLOOKUP(D2379,'Species Codes'!B:G,6,0)*Z2379)/2000,"")</f>
        <v/>
      </c>
      <c r="AB2379" s="104" t="e">
        <f>IF(Z2379&gt;0,((IF(OR(D2379="DF",D2379="RA")=TRUE,EXP(VLOOKUP(D2379,'Species Codes'!B:I,8,0)+VLOOKUP(D2379,'Species Codes'!B:J,9,0)*(LN((E2379*2.54)))),IF(OR(D2379="PY",D2379="RC",D2379="WH",D2379="NF")=TRUE,VLOOKUP(D2379,'Species Codes'!B:I,8,0)+VLOOKUP(D2379,'Species Codes'!B:J,9,0)*((E2379*2.54)^2)*(I2379*0.3048),IF(OR(D2379="MD",D2379="BM",D2379="GA")=TRUE,((VLOOKUP(D2379,'Species Codes'!B:I,8,0)*(((((E2379*2.54)+VLOOKUP(D2379,'Species Codes'!B:J,9,0))/VLOOKUP(D2379,'Species Codes'!B:K,10,0))^VLOOKUP(D2379,'Species Codes'!B:L,11,0))*((I2379*0.3048)^VLOOKUP(D2379,'Species Codes'!B:M,12,0))))-(VLOOKUP(D2379,'Species Codes'!B:I,8,0)*((((E2379*2.54)^VLOOKUP(D2379,'Species Codes'!B:L,11,0))*((I2379*0.3048)^VLOOKUP(D2379,'Species Codes'!B:M,12,0))))))*35.3*VLOOKUP(D2379,'Species Codes'!B:G,6,0)/2.2046,VLOOKUP(D2379,'Species Codes'!B:I,8,0)+VLOOKUP(D2379,'Species Codes'!B:J,9,0)*(((E2379*2.54)/100)^2)*(I2379*0.3048)))))*0.0011023),0)</f>
        <v>#N/A</v>
      </c>
      <c r="AC2379" s="104" t="e">
        <f>IF(Z2379&gt;0,((IF(OR(D2379="RA",D2379="OA",D2379="OT",D2379="UN",D2379="PC"),EXP(VLOOKUP(D2379,'Species Codes'!B:O,14,0)+VLOOKUP(D2379,'Species Codes'!B:P,15,0)*LN((E2379*2.54)))-EXP(VLOOKUP(D2379,'Species Codes'!B:O,14,0)+VLOOKUP(D2379,'Species Codes'!B:P,15,0)*LN((E2379*2.54)))*(1/(VLOOKUP(D2379,'Species Codes'!B:Q,16,0)+VLOOKUP(D2379,'Species Codes'!B:R,17,0)*((E2379*2.54)^VLOOKUP(D2379,'Species Codes'!B:S,18,0)))),IF(OR(D2379="BM",D2379="MD",D2379="OA"),EXP(VLOOKUP(D2379,'Species Codes'!B:O,14,0)+VLOOKUP(D2379,'Species Codes'!B:P,15,0)*LN((E2379*2.54)))*(1-(1/(VLOOKUP(D2379,'Species Codes'!B:Q,16,0)+VLOOKUP(D2379,'Species Codes'!B:R,17,0)*((E2379*2.54)^VLOOKUP(D2379,'Species Codes'!B:S,18,0)))))/1000,IF(D2379="DF",EXP(VLOOKUP(D2379,'Species Codes'!B:O,14,0)+VLOOKUP(D2379,'Species Codes'!B:P,15,0)*LN((E2379*2.54))),VLOOKUP(D2379,'Species Codes'!B:O,14,0)+VLOOKUP(D2379,'Species Codes'!B:P,15,0)*(((E2379*2.54)/100)^2)*(I2379*0.3048)))))*0.0011023),0)</f>
        <v>#N/A</v>
      </c>
      <c r="AD2379" s="104" t="e">
        <f t="shared" si="1030"/>
        <v>#N/A</v>
      </c>
      <c r="AE2379" s="104" t="e">
        <f t="shared" si="1031"/>
        <v>#N/A</v>
      </c>
      <c r="AF2379" s="104" t="e">
        <f>IF(AND(VLOOKUP($D2379,Merchantability!$B:$C,2,0)="Yes",$E2379&gt;=VLOOKUP($D2379,Merchantability!$B:$D,3,0),$E2379&lt;=VLOOKUP($D2379,Merchantability!$B:$E,4,0)),AA2379,0)</f>
        <v>#N/A</v>
      </c>
      <c r="AG2379" s="104" t="e">
        <f>IF(AND(VLOOKUP($D2379,Merchantability!$B:$C,2,0)="Yes",$E2379&gt;=VLOOKUP($D2379,Merchantability!$B:$D,3,0),$E2379&lt;=VLOOKUP($D2379,Merchantability!$B:$E,4,0)),AB2379,0)</f>
        <v>#N/A</v>
      </c>
      <c r="AH2379" s="104" t="e">
        <f>IF(AND(VLOOKUP($D2379,Merchantability!$B:$C,2,0)="Yes",$E2379&gt;=VLOOKUP($D2379,Merchantability!$B:$D,3,0),$E2379&lt;=VLOOKUP($D2379,Merchantability!$B:$E,4,0)),AC2379,0)</f>
        <v>#N/A</v>
      </c>
      <c r="AI2379" s="104" t="e">
        <f t="shared" si="1032"/>
        <v>#N/A</v>
      </c>
      <c r="AJ2379" s="104" t="e">
        <f t="shared" si="1033"/>
        <v>#VALUE!</v>
      </c>
      <c r="AK2379" s="104" t="e">
        <f t="shared" si="1034"/>
        <v>#N/A</v>
      </c>
      <c r="AL2379" s="104" t="e">
        <f t="shared" si="1035"/>
        <v>#N/A</v>
      </c>
      <c r="AM2379" s="104" t="e">
        <f t="shared" si="1036"/>
        <v>#N/A</v>
      </c>
      <c r="AN2379" s="104" t="e">
        <f t="shared" si="1047"/>
        <v>#N/A</v>
      </c>
      <c r="AO2379" s="104" t="e">
        <f t="shared" si="1048"/>
        <v>#N/A</v>
      </c>
      <c r="AP2379" s="104" t="e">
        <f t="shared" si="1049"/>
        <v>#N/A</v>
      </c>
      <c r="AQ2379" s="104" t="e">
        <f t="shared" si="1050"/>
        <v>#N/A</v>
      </c>
      <c r="AR2379" s="105" t="str">
        <f t="shared" si="1042"/>
        <v/>
      </c>
      <c r="AS2379" s="105" t="str">
        <f t="shared" si="1043"/>
        <v/>
      </c>
      <c r="AT2379" s="108" t="str">
        <f t="shared" si="1044"/>
        <v/>
      </c>
      <c r="AU2379" s="108" t="str">
        <f t="shared" si="1045"/>
        <v/>
      </c>
      <c r="AV2379" s="107" t="str">
        <f>IF(ISNUMBER(O2379),IF(VLOOKUP($A2379,Stand!C:J,8,FALSE)="Short",AT2379,AU2379),"")</f>
        <v/>
      </c>
      <c r="AW2379" s="109" t="str">
        <f t="shared" si="1051"/>
        <v/>
      </c>
      <c r="AX2379" s="109" t="str">
        <f t="shared" si="1052"/>
        <v/>
      </c>
      <c r="AY2379" s="112" t="str">
        <f>IF(ISNUMBER(O2379),IF(AND(VLOOKUP($D2379,Merchantability!$B:$C,2,0)="Yes",$E2379&gt;=VLOOKUP($D2379,Merchantability!$B:$D,3,0),$E2379&lt;=VLOOKUP($D2379,Merchantability!$B:$E,4,0)),(AV2379*O2379)*(1-$H2379/100),""),"")</f>
        <v/>
      </c>
      <c r="AZ2379" s="116"/>
      <c r="BA2379" s="116"/>
      <c r="BB2379" s="116"/>
      <c r="BE2379" s="62"/>
      <c r="BF2379" s="63"/>
    </row>
    <row r="2380" spans="1:58" ht="12.75" customHeight="1" x14ac:dyDescent="0.25">
      <c r="A2380" s="334"/>
      <c r="B2380" s="334"/>
      <c r="C2380" s="332"/>
      <c r="D2380" s="334"/>
      <c r="E2380" s="335"/>
      <c r="F2380" s="334"/>
      <c r="G2380" s="332"/>
      <c r="H2380" s="332"/>
      <c r="I2380" s="334"/>
      <c r="J2380" s="336"/>
      <c r="K2380" s="332"/>
      <c r="L2380" s="332"/>
      <c r="M2380" s="76"/>
      <c r="N2380" s="103" t="str">
        <f>IF(A2380="","",VLOOKUP(A2380,Stand!C:K,9,0))</f>
        <v/>
      </c>
      <c r="O2380" s="104" t="str">
        <f t="shared" si="1037"/>
        <v/>
      </c>
      <c r="P2380" s="105" t="str">
        <f t="shared" si="1038"/>
        <v/>
      </c>
      <c r="Q2380" s="105" t="str">
        <f t="shared" si="1026"/>
        <v/>
      </c>
      <c r="R2380" s="103" t="str">
        <f t="shared" si="1039"/>
        <v/>
      </c>
      <c r="S2380" s="103" t="str">
        <f t="shared" si="1040"/>
        <v/>
      </c>
      <c r="T2380" s="106" t="str">
        <f t="shared" si="1027"/>
        <v/>
      </c>
      <c r="U2380" s="106" t="str">
        <f t="shared" si="1028"/>
        <v/>
      </c>
      <c r="V2380" s="106" t="str">
        <f t="shared" si="1029"/>
        <v/>
      </c>
      <c r="W2380" s="105" t="str">
        <f t="shared" si="1041"/>
        <v/>
      </c>
      <c r="X2380" s="104" t="str">
        <f t="shared" si="1046"/>
        <v/>
      </c>
      <c r="Y2380" s="104" t="str">
        <f t="array" ref="Y2380">IFERROR(IF(ISNUMBER(O2380),IF(COUNT(IF(A2380=$A$2:$A$2427,IF(D2380=$D$2:$D$2427,IF($X$2:$X$2427&gt;0,1))))&gt;0,SUM(IF(A2380=$A$2:$A$2427,IF(D2380=$D$2:$D$2427,$X$2:$X$2427)))/COUNT(IF(A2380=$A$2:$A$2427,IF(D2380=$D$2:$D$2427,IF(ISNUMBER($X$2:$X$2427),1)))),0),""),0)</f>
        <v/>
      </c>
      <c r="Z2380" s="104" t="str">
        <f>IF(ISNUMBER(O2380),IF(I2380&gt;0,(10^(VLOOKUP(D2380,'Species Codes'!B:C,2,0)+VLOOKUP(D2380,'Species Codes'!B:D,3,0)*LOG(E2380)+VLOOKUP(D2380,'Species Codes'!B:E,4,0)*LOG(I2380))),0),"")</f>
        <v/>
      </c>
      <c r="AA2380" s="104" t="str">
        <f>IFERROR((VLOOKUP(D2380,'Species Codes'!B:G,6,0)*Z2380)/2000,"")</f>
        <v/>
      </c>
      <c r="AB2380" s="104" t="e">
        <f>IF(Z2380&gt;0,((IF(OR(D2380="DF",D2380="RA")=TRUE,EXP(VLOOKUP(D2380,'Species Codes'!B:I,8,0)+VLOOKUP(D2380,'Species Codes'!B:J,9,0)*(LN((E2380*2.54)))),IF(OR(D2380="PY",D2380="RC",D2380="WH",D2380="NF")=TRUE,VLOOKUP(D2380,'Species Codes'!B:I,8,0)+VLOOKUP(D2380,'Species Codes'!B:J,9,0)*((E2380*2.54)^2)*(I2380*0.3048),IF(OR(D2380="MD",D2380="BM",D2380="GA")=TRUE,((VLOOKUP(D2380,'Species Codes'!B:I,8,0)*(((((E2380*2.54)+VLOOKUP(D2380,'Species Codes'!B:J,9,0))/VLOOKUP(D2380,'Species Codes'!B:K,10,0))^VLOOKUP(D2380,'Species Codes'!B:L,11,0))*((I2380*0.3048)^VLOOKUP(D2380,'Species Codes'!B:M,12,0))))-(VLOOKUP(D2380,'Species Codes'!B:I,8,0)*((((E2380*2.54)^VLOOKUP(D2380,'Species Codes'!B:L,11,0))*((I2380*0.3048)^VLOOKUP(D2380,'Species Codes'!B:M,12,0))))))*35.3*VLOOKUP(D2380,'Species Codes'!B:G,6,0)/2.2046,VLOOKUP(D2380,'Species Codes'!B:I,8,0)+VLOOKUP(D2380,'Species Codes'!B:J,9,0)*(((E2380*2.54)/100)^2)*(I2380*0.3048)))))*0.0011023),0)</f>
        <v>#N/A</v>
      </c>
      <c r="AC2380" s="104" t="e">
        <f>IF(Z2380&gt;0,((IF(OR(D2380="RA",D2380="OA",D2380="OT",D2380="UN",D2380="PC"),EXP(VLOOKUP(D2380,'Species Codes'!B:O,14,0)+VLOOKUP(D2380,'Species Codes'!B:P,15,0)*LN((E2380*2.54)))-EXP(VLOOKUP(D2380,'Species Codes'!B:O,14,0)+VLOOKUP(D2380,'Species Codes'!B:P,15,0)*LN((E2380*2.54)))*(1/(VLOOKUP(D2380,'Species Codes'!B:Q,16,0)+VLOOKUP(D2380,'Species Codes'!B:R,17,0)*((E2380*2.54)^VLOOKUP(D2380,'Species Codes'!B:S,18,0)))),IF(OR(D2380="BM",D2380="MD",D2380="OA"),EXP(VLOOKUP(D2380,'Species Codes'!B:O,14,0)+VLOOKUP(D2380,'Species Codes'!B:P,15,0)*LN((E2380*2.54)))*(1-(1/(VLOOKUP(D2380,'Species Codes'!B:Q,16,0)+VLOOKUP(D2380,'Species Codes'!B:R,17,0)*((E2380*2.54)^VLOOKUP(D2380,'Species Codes'!B:S,18,0)))))/1000,IF(D2380="DF",EXP(VLOOKUP(D2380,'Species Codes'!B:O,14,0)+VLOOKUP(D2380,'Species Codes'!B:P,15,0)*LN((E2380*2.54))),VLOOKUP(D2380,'Species Codes'!B:O,14,0)+VLOOKUP(D2380,'Species Codes'!B:P,15,0)*(((E2380*2.54)/100)^2)*(I2380*0.3048)))))*0.0011023),0)</f>
        <v>#N/A</v>
      </c>
      <c r="AD2380" s="104" t="e">
        <f t="shared" si="1030"/>
        <v>#N/A</v>
      </c>
      <c r="AE2380" s="104" t="e">
        <f t="shared" si="1031"/>
        <v>#N/A</v>
      </c>
      <c r="AF2380" s="104" t="e">
        <f>IF(AND(VLOOKUP($D2380,Merchantability!$B:$C,2,0)="Yes",$E2380&gt;=VLOOKUP($D2380,Merchantability!$B:$D,3,0),$E2380&lt;=VLOOKUP($D2380,Merchantability!$B:$E,4,0)),AA2380,0)</f>
        <v>#N/A</v>
      </c>
      <c r="AG2380" s="104" t="e">
        <f>IF(AND(VLOOKUP($D2380,Merchantability!$B:$C,2,0)="Yes",$E2380&gt;=VLOOKUP($D2380,Merchantability!$B:$D,3,0),$E2380&lt;=VLOOKUP($D2380,Merchantability!$B:$E,4,0)),AB2380,0)</f>
        <v>#N/A</v>
      </c>
      <c r="AH2380" s="104" t="e">
        <f>IF(AND(VLOOKUP($D2380,Merchantability!$B:$C,2,0)="Yes",$E2380&gt;=VLOOKUP($D2380,Merchantability!$B:$D,3,0),$E2380&lt;=VLOOKUP($D2380,Merchantability!$B:$E,4,0)),AC2380,0)</f>
        <v>#N/A</v>
      </c>
      <c r="AI2380" s="104" t="e">
        <f t="shared" si="1032"/>
        <v>#N/A</v>
      </c>
      <c r="AJ2380" s="104" t="e">
        <f t="shared" si="1033"/>
        <v>#VALUE!</v>
      </c>
      <c r="AK2380" s="104" t="e">
        <f t="shared" si="1034"/>
        <v>#N/A</v>
      </c>
      <c r="AL2380" s="104" t="e">
        <f t="shared" si="1035"/>
        <v>#N/A</v>
      </c>
      <c r="AM2380" s="104" t="e">
        <f t="shared" si="1036"/>
        <v>#N/A</v>
      </c>
      <c r="AN2380" s="104" t="e">
        <f t="shared" si="1047"/>
        <v>#N/A</v>
      </c>
      <c r="AO2380" s="104" t="e">
        <f t="shared" si="1048"/>
        <v>#N/A</v>
      </c>
      <c r="AP2380" s="104" t="e">
        <f t="shared" si="1049"/>
        <v>#N/A</v>
      </c>
      <c r="AQ2380" s="104" t="e">
        <f t="shared" si="1050"/>
        <v>#N/A</v>
      </c>
      <c r="AR2380" s="105" t="str">
        <f t="shared" si="1042"/>
        <v/>
      </c>
      <c r="AS2380" s="105" t="str">
        <f t="shared" si="1043"/>
        <v/>
      </c>
      <c r="AT2380" s="108" t="str">
        <f t="shared" si="1044"/>
        <v/>
      </c>
      <c r="AU2380" s="108" t="str">
        <f t="shared" si="1045"/>
        <v/>
      </c>
      <c r="AV2380" s="107" t="str">
        <f>IF(ISNUMBER(O2380),IF(VLOOKUP($A2380,Stand!C:J,8,FALSE)="Short",AT2380,AU2380),"")</f>
        <v/>
      </c>
      <c r="AW2380" s="109" t="str">
        <f t="shared" si="1051"/>
        <v/>
      </c>
      <c r="AX2380" s="109" t="str">
        <f t="shared" si="1052"/>
        <v/>
      </c>
      <c r="AY2380" s="112" t="str">
        <f>IF(ISNUMBER(O2380),IF(AND(VLOOKUP($D2380,Merchantability!$B:$C,2,0)="Yes",$E2380&gt;=VLOOKUP($D2380,Merchantability!$B:$D,3,0),$E2380&lt;=VLOOKUP($D2380,Merchantability!$B:$E,4,0)),(AV2380*O2380)*(1-$H2380/100),""),"")</f>
        <v/>
      </c>
      <c r="AZ2380" s="116"/>
      <c r="BA2380" s="116"/>
      <c r="BB2380" s="116"/>
      <c r="BE2380" s="62"/>
      <c r="BF2380" s="63"/>
    </row>
    <row r="2381" spans="1:58" ht="12.75" customHeight="1" x14ac:dyDescent="0.25">
      <c r="A2381" s="334"/>
      <c r="B2381" s="334"/>
      <c r="C2381" s="332"/>
      <c r="D2381" s="334"/>
      <c r="E2381" s="335"/>
      <c r="F2381" s="334"/>
      <c r="G2381" s="332"/>
      <c r="H2381" s="332"/>
      <c r="I2381" s="334"/>
      <c r="J2381" s="336"/>
      <c r="K2381" s="332"/>
      <c r="L2381" s="332"/>
      <c r="M2381" s="76"/>
      <c r="N2381" s="103" t="str">
        <f>IF(A2381="","",VLOOKUP(A2381,Stand!C:K,9,0))</f>
        <v/>
      </c>
      <c r="O2381" s="104" t="str">
        <f t="shared" si="1037"/>
        <v/>
      </c>
      <c r="P2381" s="105" t="str">
        <f t="shared" si="1038"/>
        <v/>
      </c>
      <c r="Q2381" s="105" t="str">
        <f t="shared" si="1026"/>
        <v/>
      </c>
      <c r="R2381" s="103" t="str">
        <f t="shared" si="1039"/>
        <v/>
      </c>
      <c r="S2381" s="103" t="str">
        <f t="shared" si="1040"/>
        <v/>
      </c>
      <c r="T2381" s="106" t="str">
        <f t="shared" si="1027"/>
        <v/>
      </c>
      <c r="U2381" s="106" t="str">
        <f t="shared" si="1028"/>
        <v/>
      </c>
      <c r="V2381" s="106" t="str">
        <f t="shared" si="1029"/>
        <v/>
      </c>
      <c r="W2381" s="105" t="str">
        <f t="shared" si="1041"/>
        <v/>
      </c>
      <c r="X2381" s="104" t="str">
        <f t="shared" si="1046"/>
        <v/>
      </c>
      <c r="Y2381" s="104" t="str">
        <f t="array" ref="Y2381">IFERROR(IF(ISNUMBER(O2381),IF(COUNT(IF(A2381=$A$2:$A$2427,IF(D2381=$D$2:$D$2427,IF($X$2:$X$2427&gt;0,1))))&gt;0,SUM(IF(A2381=$A$2:$A$2427,IF(D2381=$D$2:$D$2427,$X$2:$X$2427)))/COUNT(IF(A2381=$A$2:$A$2427,IF(D2381=$D$2:$D$2427,IF(ISNUMBER($X$2:$X$2427),1)))),0),""),0)</f>
        <v/>
      </c>
      <c r="Z2381" s="104" t="str">
        <f>IF(ISNUMBER(O2381),IF(I2381&gt;0,(10^(VLOOKUP(D2381,'Species Codes'!B:C,2,0)+VLOOKUP(D2381,'Species Codes'!B:D,3,0)*LOG(E2381)+VLOOKUP(D2381,'Species Codes'!B:E,4,0)*LOG(I2381))),0),"")</f>
        <v/>
      </c>
      <c r="AA2381" s="104" t="str">
        <f>IFERROR((VLOOKUP(D2381,'Species Codes'!B:G,6,0)*Z2381)/2000,"")</f>
        <v/>
      </c>
      <c r="AB2381" s="104" t="e">
        <f>IF(Z2381&gt;0,((IF(OR(D2381="DF",D2381="RA")=TRUE,EXP(VLOOKUP(D2381,'Species Codes'!B:I,8,0)+VLOOKUP(D2381,'Species Codes'!B:J,9,0)*(LN((E2381*2.54)))),IF(OR(D2381="PY",D2381="RC",D2381="WH",D2381="NF")=TRUE,VLOOKUP(D2381,'Species Codes'!B:I,8,0)+VLOOKUP(D2381,'Species Codes'!B:J,9,0)*((E2381*2.54)^2)*(I2381*0.3048),IF(OR(D2381="MD",D2381="BM",D2381="GA")=TRUE,((VLOOKUP(D2381,'Species Codes'!B:I,8,0)*(((((E2381*2.54)+VLOOKUP(D2381,'Species Codes'!B:J,9,0))/VLOOKUP(D2381,'Species Codes'!B:K,10,0))^VLOOKUP(D2381,'Species Codes'!B:L,11,0))*((I2381*0.3048)^VLOOKUP(D2381,'Species Codes'!B:M,12,0))))-(VLOOKUP(D2381,'Species Codes'!B:I,8,0)*((((E2381*2.54)^VLOOKUP(D2381,'Species Codes'!B:L,11,0))*((I2381*0.3048)^VLOOKUP(D2381,'Species Codes'!B:M,12,0))))))*35.3*VLOOKUP(D2381,'Species Codes'!B:G,6,0)/2.2046,VLOOKUP(D2381,'Species Codes'!B:I,8,0)+VLOOKUP(D2381,'Species Codes'!B:J,9,0)*(((E2381*2.54)/100)^2)*(I2381*0.3048)))))*0.0011023),0)</f>
        <v>#N/A</v>
      </c>
      <c r="AC2381" s="104" t="e">
        <f>IF(Z2381&gt;0,((IF(OR(D2381="RA",D2381="OA",D2381="OT",D2381="UN",D2381="PC"),EXP(VLOOKUP(D2381,'Species Codes'!B:O,14,0)+VLOOKUP(D2381,'Species Codes'!B:P,15,0)*LN((E2381*2.54)))-EXP(VLOOKUP(D2381,'Species Codes'!B:O,14,0)+VLOOKUP(D2381,'Species Codes'!B:P,15,0)*LN((E2381*2.54)))*(1/(VLOOKUP(D2381,'Species Codes'!B:Q,16,0)+VLOOKUP(D2381,'Species Codes'!B:R,17,0)*((E2381*2.54)^VLOOKUP(D2381,'Species Codes'!B:S,18,0)))),IF(OR(D2381="BM",D2381="MD",D2381="OA"),EXP(VLOOKUP(D2381,'Species Codes'!B:O,14,0)+VLOOKUP(D2381,'Species Codes'!B:P,15,0)*LN((E2381*2.54)))*(1-(1/(VLOOKUP(D2381,'Species Codes'!B:Q,16,0)+VLOOKUP(D2381,'Species Codes'!B:R,17,0)*((E2381*2.54)^VLOOKUP(D2381,'Species Codes'!B:S,18,0)))))/1000,IF(D2381="DF",EXP(VLOOKUP(D2381,'Species Codes'!B:O,14,0)+VLOOKUP(D2381,'Species Codes'!B:P,15,0)*LN((E2381*2.54))),VLOOKUP(D2381,'Species Codes'!B:O,14,0)+VLOOKUP(D2381,'Species Codes'!B:P,15,0)*(((E2381*2.54)/100)^2)*(I2381*0.3048)))))*0.0011023),0)</f>
        <v>#N/A</v>
      </c>
      <c r="AD2381" s="104" t="e">
        <f t="shared" si="1030"/>
        <v>#N/A</v>
      </c>
      <c r="AE2381" s="104" t="e">
        <f t="shared" si="1031"/>
        <v>#N/A</v>
      </c>
      <c r="AF2381" s="104" t="e">
        <f>IF(AND(VLOOKUP($D2381,Merchantability!$B:$C,2,0)="Yes",$E2381&gt;=VLOOKUP($D2381,Merchantability!$B:$D,3,0),$E2381&lt;=VLOOKUP($D2381,Merchantability!$B:$E,4,0)),AA2381,0)</f>
        <v>#N/A</v>
      </c>
      <c r="AG2381" s="104" t="e">
        <f>IF(AND(VLOOKUP($D2381,Merchantability!$B:$C,2,0)="Yes",$E2381&gt;=VLOOKUP($D2381,Merchantability!$B:$D,3,0),$E2381&lt;=VLOOKUP($D2381,Merchantability!$B:$E,4,0)),AB2381,0)</f>
        <v>#N/A</v>
      </c>
      <c r="AH2381" s="104" t="e">
        <f>IF(AND(VLOOKUP($D2381,Merchantability!$B:$C,2,0)="Yes",$E2381&gt;=VLOOKUP($D2381,Merchantability!$B:$D,3,0),$E2381&lt;=VLOOKUP($D2381,Merchantability!$B:$E,4,0)),AC2381,0)</f>
        <v>#N/A</v>
      </c>
      <c r="AI2381" s="104" t="e">
        <f t="shared" si="1032"/>
        <v>#N/A</v>
      </c>
      <c r="AJ2381" s="104" t="e">
        <f t="shared" si="1033"/>
        <v>#VALUE!</v>
      </c>
      <c r="AK2381" s="104" t="e">
        <f t="shared" si="1034"/>
        <v>#N/A</v>
      </c>
      <c r="AL2381" s="104" t="e">
        <f t="shared" si="1035"/>
        <v>#N/A</v>
      </c>
      <c r="AM2381" s="104" t="e">
        <f t="shared" si="1036"/>
        <v>#N/A</v>
      </c>
      <c r="AN2381" s="104" t="e">
        <f t="shared" si="1047"/>
        <v>#N/A</v>
      </c>
      <c r="AO2381" s="104" t="e">
        <f t="shared" si="1048"/>
        <v>#N/A</v>
      </c>
      <c r="AP2381" s="104" t="e">
        <f t="shared" si="1049"/>
        <v>#N/A</v>
      </c>
      <c r="AQ2381" s="104" t="e">
        <f t="shared" si="1050"/>
        <v>#N/A</v>
      </c>
      <c r="AR2381" s="105" t="str">
        <f t="shared" si="1042"/>
        <v/>
      </c>
      <c r="AS2381" s="105" t="str">
        <f t="shared" si="1043"/>
        <v/>
      </c>
      <c r="AT2381" s="108" t="str">
        <f t="shared" si="1044"/>
        <v/>
      </c>
      <c r="AU2381" s="108" t="str">
        <f t="shared" si="1045"/>
        <v/>
      </c>
      <c r="AV2381" s="107" t="str">
        <f>IF(ISNUMBER(O2381),IF(VLOOKUP($A2381,Stand!C:J,8,FALSE)="Short",AT2381,AU2381),"")</f>
        <v/>
      </c>
      <c r="AW2381" s="109" t="str">
        <f t="shared" si="1051"/>
        <v/>
      </c>
      <c r="AX2381" s="109" t="str">
        <f t="shared" si="1052"/>
        <v/>
      </c>
      <c r="AY2381" s="112" t="str">
        <f>IF(ISNUMBER(O2381),IF(AND(VLOOKUP($D2381,Merchantability!$B:$C,2,0)="Yes",$E2381&gt;=VLOOKUP($D2381,Merchantability!$B:$D,3,0),$E2381&lt;=VLOOKUP($D2381,Merchantability!$B:$E,4,0)),(AV2381*O2381)*(1-$H2381/100),""),"")</f>
        <v/>
      </c>
      <c r="AZ2381" s="116"/>
      <c r="BA2381" s="116"/>
      <c r="BB2381" s="116"/>
      <c r="BE2381" s="62"/>
      <c r="BF2381" s="63"/>
    </row>
    <row r="2382" spans="1:58" ht="12.75" customHeight="1" x14ac:dyDescent="0.25">
      <c r="A2382" s="334"/>
      <c r="B2382" s="334"/>
      <c r="C2382" s="332"/>
      <c r="D2382" s="334"/>
      <c r="E2382" s="335"/>
      <c r="F2382" s="334"/>
      <c r="G2382" s="332"/>
      <c r="H2382" s="332"/>
      <c r="I2382" s="334"/>
      <c r="J2382" s="336"/>
      <c r="K2382" s="332"/>
      <c r="L2382" s="332"/>
      <c r="M2382" s="76"/>
      <c r="N2382" s="103" t="str">
        <f>IF(A2382="","",VLOOKUP(A2382,Stand!C:K,9,0))</f>
        <v/>
      </c>
      <c r="O2382" s="104" t="str">
        <f t="shared" si="1037"/>
        <v/>
      </c>
      <c r="P2382" s="105" t="str">
        <f t="shared" si="1038"/>
        <v/>
      </c>
      <c r="Q2382" s="105" t="str">
        <f t="shared" si="1026"/>
        <v/>
      </c>
      <c r="R2382" s="103" t="str">
        <f t="shared" si="1039"/>
        <v/>
      </c>
      <c r="S2382" s="103" t="str">
        <f t="shared" si="1040"/>
        <v/>
      </c>
      <c r="T2382" s="106" t="str">
        <f t="shared" si="1027"/>
        <v/>
      </c>
      <c r="U2382" s="106" t="str">
        <f t="shared" si="1028"/>
        <v/>
      </c>
      <c r="V2382" s="106" t="str">
        <f t="shared" si="1029"/>
        <v/>
      </c>
      <c r="W2382" s="105" t="str">
        <f t="shared" si="1041"/>
        <v/>
      </c>
      <c r="X2382" s="104" t="str">
        <f t="shared" si="1046"/>
        <v/>
      </c>
      <c r="Y2382" s="104" t="str">
        <f t="array" ref="Y2382">IFERROR(IF(ISNUMBER(O2382),IF(COUNT(IF(A2382=$A$2:$A$2427,IF(D2382=$D$2:$D$2427,IF($X$2:$X$2427&gt;0,1))))&gt;0,SUM(IF(A2382=$A$2:$A$2427,IF(D2382=$D$2:$D$2427,$X$2:$X$2427)))/COUNT(IF(A2382=$A$2:$A$2427,IF(D2382=$D$2:$D$2427,IF(ISNUMBER($X$2:$X$2427),1)))),0),""),0)</f>
        <v/>
      </c>
      <c r="Z2382" s="104" t="str">
        <f>IF(ISNUMBER(O2382),IF(I2382&gt;0,(10^(VLOOKUP(D2382,'Species Codes'!B:C,2,0)+VLOOKUP(D2382,'Species Codes'!B:D,3,0)*LOG(E2382)+VLOOKUP(D2382,'Species Codes'!B:E,4,0)*LOG(I2382))),0),"")</f>
        <v/>
      </c>
      <c r="AA2382" s="104" t="str">
        <f>IFERROR((VLOOKUP(D2382,'Species Codes'!B:G,6,0)*Z2382)/2000,"")</f>
        <v/>
      </c>
      <c r="AB2382" s="104" t="e">
        <f>IF(Z2382&gt;0,((IF(OR(D2382="DF",D2382="RA")=TRUE,EXP(VLOOKUP(D2382,'Species Codes'!B:I,8,0)+VLOOKUP(D2382,'Species Codes'!B:J,9,0)*(LN((E2382*2.54)))),IF(OR(D2382="PY",D2382="RC",D2382="WH",D2382="NF")=TRUE,VLOOKUP(D2382,'Species Codes'!B:I,8,0)+VLOOKUP(D2382,'Species Codes'!B:J,9,0)*((E2382*2.54)^2)*(I2382*0.3048),IF(OR(D2382="MD",D2382="BM",D2382="GA")=TRUE,((VLOOKUP(D2382,'Species Codes'!B:I,8,0)*(((((E2382*2.54)+VLOOKUP(D2382,'Species Codes'!B:J,9,0))/VLOOKUP(D2382,'Species Codes'!B:K,10,0))^VLOOKUP(D2382,'Species Codes'!B:L,11,0))*((I2382*0.3048)^VLOOKUP(D2382,'Species Codes'!B:M,12,0))))-(VLOOKUP(D2382,'Species Codes'!B:I,8,0)*((((E2382*2.54)^VLOOKUP(D2382,'Species Codes'!B:L,11,0))*((I2382*0.3048)^VLOOKUP(D2382,'Species Codes'!B:M,12,0))))))*35.3*VLOOKUP(D2382,'Species Codes'!B:G,6,0)/2.2046,VLOOKUP(D2382,'Species Codes'!B:I,8,0)+VLOOKUP(D2382,'Species Codes'!B:J,9,0)*(((E2382*2.54)/100)^2)*(I2382*0.3048)))))*0.0011023),0)</f>
        <v>#N/A</v>
      </c>
      <c r="AC2382" s="104" t="e">
        <f>IF(Z2382&gt;0,((IF(OR(D2382="RA",D2382="OA",D2382="OT",D2382="UN",D2382="PC"),EXP(VLOOKUP(D2382,'Species Codes'!B:O,14,0)+VLOOKUP(D2382,'Species Codes'!B:P,15,0)*LN((E2382*2.54)))-EXP(VLOOKUP(D2382,'Species Codes'!B:O,14,0)+VLOOKUP(D2382,'Species Codes'!B:P,15,0)*LN((E2382*2.54)))*(1/(VLOOKUP(D2382,'Species Codes'!B:Q,16,0)+VLOOKUP(D2382,'Species Codes'!B:R,17,0)*((E2382*2.54)^VLOOKUP(D2382,'Species Codes'!B:S,18,0)))),IF(OR(D2382="BM",D2382="MD",D2382="OA"),EXP(VLOOKUP(D2382,'Species Codes'!B:O,14,0)+VLOOKUP(D2382,'Species Codes'!B:P,15,0)*LN((E2382*2.54)))*(1-(1/(VLOOKUP(D2382,'Species Codes'!B:Q,16,0)+VLOOKUP(D2382,'Species Codes'!B:R,17,0)*((E2382*2.54)^VLOOKUP(D2382,'Species Codes'!B:S,18,0)))))/1000,IF(D2382="DF",EXP(VLOOKUP(D2382,'Species Codes'!B:O,14,0)+VLOOKUP(D2382,'Species Codes'!B:P,15,0)*LN((E2382*2.54))),VLOOKUP(D2382,'Species Codes'!B:O,14,0)+VLOOKUP(D2382,'Species Codes'!B:P,15,0)*(((E2382*2.54)/100)^2)*(I2382*0.3048)))))*0.0011023),0)</f>
        <v>#N/A</v>
      </c>
      <c r="AD2382" s="104" t="e">
        <f t="shared" si="1030"/>
        <v>#N/A</v>
      </c>
      <c r="AE2382" s="104" t="e">
        <f t="shared" si="1031"/>
        <v>#N/A</v>
      </c>
      <c r="AF2382" s="104" t="e">
        <f>IF(AND(VLOOKUP($D2382,Merchantability!$B:$C,2,0)="Yes",$E2382&gt;=VLOOKUP($D2382,Merchantability!$B:$D,3,0),$E2382&lt;=VLOOKUP($D2382,Merchantability!$B:$E,4,0)),AA2382,0)</f>
        <v>#N/A</v>
      </c>
      <c r="AG2382" s="104" t="e">
        <f>IF(AND(VLOOKUP($D2382,Merchantability!$B:$C,2,0)="Yes",$E2382&gt;=VLOOKUP($D2382,Merchantability!$B:$D,3,0),$E2382&lt;=VLOOKUP($D2382,Merchantability!$B:$E,4,0)),AB2382,0)</f>
        <v>#N/A</v>
      </c>
      <c r="AH2382" s="104" t="e">
        <f>IF(AND(VLOOKUP($D2382,Merchantability!$B:$C,2,0)="Yes",$E2382&gt;=VLOOKUP($D2382,Merchantability!$B:$D,3,0),$E2382&lt;=VLOOKUP($D2382,Merchantability!$B:$E,4,0)),AC2382,0)</f>
        <v>#N/A</v>
      </c>
      <c r="AI2382" s="104" t="e">
        <f t="shared" si="1032"/>
        <v>#N/A</v>
      </c>
      <c r="AJ2382" s="104" t="e">
        <f t="shared" si="1033"/>
        <v>#VALUE!</v>
      </c>
      <c r="AK2382" s="104" t="e">
        <f t="shared" si="1034"/>
        <v>#N/A</v>
      </c>
      <c r="AL2382" s="104" t="e">
        <f t="shared" si="1035"/>
        <v>#N/A</v>
      </c>
      <c r="AM2382" s="104" t="e">
        <f t="shared" si="1036"/>
        <v>#N/A</v>
      </c>
      <c r="AN2382" s="104" t="e">
        <f t="shared" si="1047"/>
        <v>#N/A</v>
      </c>
      <c r="AO2382" s="104" t="e">
        <f t="shared" si="1048"/>
        <v>#N/A</v>
      </c>
      <c r="AP2382" s="104" t="e">
        <f t="shared" si="1049"/>
        <v>#N/A</v>
      </c>
      <c r="AQ2382" s="104" t="e">
        <f t="shared" si="1050"/>
        <v>#N/A</v>
      </c>
      <c r="AR2382" s="105" t="str">
        <f t="shared" si="1042"/>
        <v/>
      </c>
      <c r="AS2382" s="105" t="str">
        <f t="shared" si="1043"/>
        <v/>
      </c>
      <c r="AT2382" s="108" t="str">
        <f t="shared" si="1044"/>
        <v/>
      </c>
      <c r="AU2382" s="108" t="str">
        <f t="shared" si="1045"/>
        <v/>
      </c>
      <c r="AV2382" s="107" t="str">
        <f>IF(ISNUMBER(O2382),IF(VLOOKUP($A2382,Stand!C:J,8,FALSE)="Short",AT2382,AU2382),"")</f>
        <v/>
      </c>
      <c r="AW2382" s="109" t="str">
        <f t="shared" si="1051"/>
        <v/>
      </c>
      <c r="AX2382" s="109" t="str">
        <f t="shared" si="1052"/>
        <v/>
      </c>
      <c r="AY2382" s="112" t="str">
        <f>IF(ISNUMBER(O2382),IF(AND(VLOOKUP($D2382,Merchantability!$B:$C,2,0)="Yes",$E2382&gt;=VLOOKUP($D2382,Merchantability!$B:$D,3,0),$E2382&lt;=VLOOKUP($D2382,Merchantability!$B:$E,4,0)),(AV2382*O2382)*(1-$H2382/100),""),"")</f>
        <v/>
      </c>
      <c r="AZ2382" s="116"/>
      <c r="BA2382" s="116"/>
      <c r="BB2382" s="116"/>
      <c r="BE2382" s="62"/>
      <c r="BF2382" s="63"/>
    </row>
    <row r="2383" spans="1:58" ht="12.75" customHeight="1" x14ac:dyDescent="0.25">
      <c r="A2383" s="334"/>
      <c r="B2383" s="334"/>
      <c r="C2383" s="332"/>
      <c r="D2383" s="334"/>
      <c r="E2383" s="335"/>
      <c r="F2383" s="334"/>
      <c r="G2383" s="332"/>
      <c r="H2383" s="332"/>
      <c r="I2383" s="334"/>
      <c r="J2383" s="336"/>
      <c r="K2383" s="332"/>
      <c r="L2383" s="332"/>
      <c r="M2383" s="76"/>
      <c r="N2383" s="103" t="str">
        <f>IF(A2383="","",VLOOKUP(A2383,Stand!C:K,9,0))</f>
        <v/>
      </c>
      <c r="O2383" s="104" t="str">
        <f t="shared" si="1037"/>
        <v/>
      </c>
      <c r="P2383" s="105" t="str">
        <f t="shared" si="1038"/>
        <v/>
      </c>
      <c r="Q2383" s="105" t="str">
        <f t="shared" si="1026"/>
        <v/>
      </c>
      <c r="R2383" s="103" t="str">
        <f t="shared" si="1039"/>
        <v/>
      </c>
      <c r="S2383" s="103" t="str">
        <f t="shared" si="1040"/>
        <v/>
      </c>
      <c r="T2383" s="106" t="str">
        <f t="shared" si="1027"/>
        <v/>
      </c>
      <c r="U2383" s="106" t="str">
        <f t="shared" si="1028"/>
        <v/>
      </c>
      <c r="V2383" s="106" t="str">
        <f t="shared" si="1029"/>
        <v/>
      </c>
      <c r="W2383" s="105" t="str">
        <f t="shared" si="1041"/>
        <v/>
      </c>
      <c r="X2383" s="104" t="str">
        <f t="shared" si="1046"/>
        <v/>
      </c>
      <c r="Y2383" s="104" t="str">
        <f t="array" ref="Y2383">IFERROR(IF(ISNUMBER(O2383),IF(COUNT(IF(A2383=$A$2:$A$2427,IF(D2383=$D$2:$D$2427,IF($X$2:$X$2427&gt;0,1))))&gt;0,SUM(IF(A2383=$A$2:$A$2427,IF(D2383=$D$2:$D$2427,$X$2:$X$2427)))/COUNT(IF(A2383=$A$2:$A$2427,IF(D2383=$D$2:$D$2427,IF(ISNUMBER($X$2:$X$2427),1)))),0),""),0)</f>
        <v/>
      </c>
      <c r="Z2383" s="104" t="str">
        <f>IF(ISNUMBER(O2383),IF(I2383&gt;0,(10^(VLOOKUP(D2383,'Species Codes'!B:C,2,0)+VLOOKUP(D2383,'Species Codes'!B:D,3,0)*LOG(E2383)+VLOOKUP(D2383,'Species Codes'!B:E,4,0)*LOG(I2383))),0),"")</f>
        <v/>
      </c>
      <c r="AA2383" s="104" t="str">
        <f>IFERROR((VLOOKUP(D2383,'Species Codes'!B:G,6,0)*Z2383)/2000,"")</f>
        <v/>
      </c>
      <c r="AB2383" s="104" t="e">
        <f>IF(Z2383&gt;0,((IF(OR(D2383="DF",D2383="RA")=TRUE,EXP(VLOOKUP(D2383,'Species Codes'!B:I,8,0)+VLOOKUP(D2383,'Species Codes'!B:J,9,0)*(LN((E2383*2.54)))),IF(OR(D2383="PY",D2383="RC",D2383="WH",D2383="NF")=TRUE,VLOOKUP(D2383,'Species Codes'!B:I,8,0)+VLOOKUP(D2383,'Species Codes'!B:J,9,0)*((E2383*2.54)^2)*(I2383*0.3048),IF(OR(D2383="MD",D2383="BM",D2383="GA")=TRUE,((VLOOKUP(D2383,'Species Codes'!B:I,8,0)*(((((E2383*2.54)+VLOOKUP(D2383,'Species Codes'!B:J,9,0))/VLOOKUP(D2383,'Species Codes'!B:K,10,0))^VLOOKUP(D2383,'Species Codes'!B:L,11,0))*((I2383*0.3048)^VLOOKUP(D2383,'Species Codes'!B:M,12,0))))-(VLOOKUP(D2383,'Species Codes'!B:I,8,0)*((((E2383*2.54)^VLOOKUP(D2383,'Species Codes'!B:L,11,0))*((I2383*0.3048)^VLOOKUP(D2383,'Species Codes'!B:M,12,0))))))*35.3*VLOOKUP(D2383,'Species Codes'!B:G,6,0)/2.2046,VLOOKUP(D2383,'Species Codes'!B:I,8,0)+VLOOKUP(D2383,'Species Codes'!B:J,9,0)*(((E2383*2.54)/100)^2)*(I2383*0.3048)))))*0.0011023),0)</f>
        <v>#N/A</v>
      </c>
      <c r="AC2383" s="104" t="e">
        <f>IF(Z2383&gt;0,((IF(OR(D2383="RA",D2383="OA",D2383="OT",D2383="UN",D2383="PC"),EXP(VLOOKUP(D2383,'Species Codes'!B:O,14,0)+VLOOKUP(D2383,'Species Codes'!B:P,15,0)*LN((E2383*2.54)))-EXP(VLOOKUP(D2383,'Species Codes'!B:O,14,0)+VLOOKUP(D2383,'Species Codes'!B:P,15,0)*LN((E2383*2.54)))*(1/(VLOOKUP(D2383,'Species Codes'!B:Q,16,0)+VLOOKUP(D2383,'Species Codes'!B:R,17,0)*((E2383*2.54)^VLOOKUP(D2383,'Species Codes'!B:S,18,0)))),IF(OR(D2383="BM",D2383="MD",D2383="OA"),EXP(VLOOKUP(D2383,'Species Codes'!B:O,14,0)+VLOOKUP(D2383,'Species Codes'!B:P,15,0)*LN((E2383*2.54)))*(1-(1/(VLOOKUP(D2383,'Species Codes'!B:Q,16,0)+VLOOKUP(D2383,'Species Codes'!B:R,17,0)*((E2383*2.54)^VLOOKUP(D2383,'Species Codes'!B:S,18,0)))))/1000,IF(D2383="DF",EXP(VLOOKUP(D2383,'Species Codes'!B:O,14,0)+VLOOKUP(D2383,'Species Codes'!B:P,15,0)*LN((E2383*2.54))),VLOOKUP(D2383,'Species Codes'!B:O,14,0)+VLOOKUP(D2383,'Species Codes'!B:P,15,0)*(((E2383*2.54)/100)^2)*(I2383*0.3048)))))*0.0011023),0)</f>
        <v>#N/A</v>
      </c>
      <c r="AD2383" s="104" t="e">
        <f t="shared" si="1030"/>
        <v>#N/A</v>
      </c>
      <c r="AE2383" s="104" t="e">
        <f t="shared" si="1031"/>
        <v>#N/A</v>
      </c>
      <c r="AF2383" s="104" t="e">
        <f>IF(AND(VLOOKUP($D2383,Merchantability!$B:$C,2,0)="Yes",$E2383&gt;=VLOOKUP($D2383,Merchantability!$B:$D,3,0),$E2383&lt;=VLOOKUP($D2383,Merchantability!$B:$E,4,0)),AA2383,0)</f>
        <v>#N/A</v>
      </c>
      <c r="AG2383" s="104" t="e">
        <f>IF(AND(VLOOKUP($D2383,Merchantability!$B:$C,2,0)="Yes",$E2383&gt;=VLOOKUP($D2383,Merchantability!$B:$D,3,0),$E2383&lt;=VLOOKUP($D2383,Merchantability!$B:$E,4,0)),AB2383,0)</f>
        <v>#N/A</v>
      </c>
      <c r="AH2383" s="104" t="e">
        <f>IF(AND(VLOOKUP($D2383,Merchantability!$B:$C,2,0)="Yes",$E2383&gt;=VLOOKUP($D2383,Merchantability!$B:$D,3,0),$E2383&lt;=VLOOKUP($D2383,Merchantability!$B:$E,4,0)),AC2383,0)</f>
        <v>#N/A</v>
      </c>
      <c r="AI2383" s="104" t="e">
        <f t="shared" si="1032"/>
        <v>#N/A</v>
      </c>
      <c r="AJ2383" s="104" t="e">
        <f t="shared" si="1033"/>
        <v>#VALUE!</v>
      </c>
      <c r="AK2383" s="104" t="e">
        <f t="shared" si="1034"/>
        <v>#N/A</v>
      </c>
      <c r="AL2383" s="104" t="e">
        <f t="shared" si="1035"/>
        <v>#N/A</v>
      </c>
      <c r="AM2383" s="104" t="e">
        <f t="shared" si="1036"/>
        <v>#N/A</v>
      </c>
      <c r="AN2383" s="104" t="e">
        <f t="shared" si="1047"/>
        <v>#N/A</v>
      </c>
      <c r="AO2383" s="104" t="e">
        <f t="shared" si="1048"/>
        <v>#N/A</v>
      </c>
      <c r="AP2383" s="104" t="e">
        <f t="shared" si="1049"/>
        <v>#N/A</v>
      </c>
      <c r="AQ2383" s="104" t="e">
        <f t="shared" si="1050"/>
        <v>#N/A</v>
      </c>
      <c r="AR2383" s="105" t="str">
        <f t="shared" si="1042"/>
        <v/>
      </c>
      <c r="AS2383" s="105" t="str">
        <f t="shared" si="1043"/>
        <v/>
      </c>
      <c r="AT2383" s="108" t="str">
        <f t="shared" si="1044"/>
        <v/>
      </c>
      <c r="AU2383" s="108" t="str">
        <f t="shared" si="1045"/>
        <v/>
      </c>
      <c r="AV2383" s="107" t="str">
        <f>IF(ISNUMBER(O2383),IF(VLOOKUP($A2383,Stand!C:J,8,FALSE)="Short",AT2383,AU2383),"")</f>
        <v/>
      </c>
      <c r="AW2383" s="109" t="str">
        <f t="shared" si="1051"/>
        <v/>
      </c>
      <c r="AX2383" s="109" t="str">
        <f t="shared" si="1052"/>
        <v/>
      </c>
      <c r="AY2383" s="112" t="str">
        <f>IF(ISNUMBER(O2383),IF(AND(VLOOKUP($D2383,Merchantability!$B:$C,2,0)="Yes",$E2383&gt;=VLOOKUP($D2383,Merchantability!$B:$D,3,0),$E2383&lt;=VLOOKUP($D2383,Merchantability!$B:$E,4,0)),(AV2383*O2383)*(1-$H2383/100),""),"")</f>
        <v/>
      </c>
      <c r="AZ2383" s="116"/>
      <c r="BA2383" s="116"/>
      <c r="BB2383" s="116"/>
      <c r="BE2383" s="62"/>
      <c r="BF2383" s="63"/>
    </row>
    <row r="2384" spans="1:58" ht="12.75" customHeight="1" x14ac:dyDescent="0.25">
      <c r="A2384" s="334"/>
      <c r="B2384" s="334"/>
      <c r="C2384" s="332"/>
      <c r="D2384" s="334"/>
      <c r="E2384" s="335"/>
      <c r="F2384" s="334"/>
      <c r="G2384" s="332"/>
      <c r="H2384" s="332"/>
      <c r="I2384" s="334"/>
      <c r="J2384" s="336"/>
      <c r="K2384" s="332"/>
      <c r="L2384" s="332"/>
      <c r="M2384" s="76"/>
      <c r="N2384" s="103" t="str">
        <f>IF(A2384="","",VLOOKUP(A2384,Stand!C:K,9,0))</f>
        <v/>
      </c>
      <c r="O2384" s="104" t="str">
        <f t="shared" si="1037"/>
        <v/>
      </c>
      <c r="P2384" s="105" t="str">
        <f t="shared" si="1038"/>
        <v/>
      </c>
      <c r="Q2384" s="105" t="str">
        <f t="shared" si="1026"/>
        <v/>
      </c>
      <c r="R2384" s="103" t="str">
        <f t="shared" si="1039"/>
        <v/>
      </c>
      <c r="S2384" s="103" t="str">
        <f t="shared" si="1040"/>
        <v/>
      </c>
      <c r="T2384" s="106" t="str">
        <f t="shared" si="1027"/>
        <v/>
      </c>
      <c r="U2384" s="106" t="str">
        <f t="shared" si="1028"/>
        <v/>
      </c>
      <c r="V2384" s="106" t="str">
        <f t="shared" si="1029"/>
        <v/>
      </c>
      <c r="W2384" s="105" t="str">
        <f t="shared" si="1041"/>
        <v/>
      </c>
      <c r="X2384" s="104" t="str">
        <f t="shared" si="1046"/>
        <v/>
      </c>
      <c r="Y2384" s="104" t="str">
        <f t="array" ref="Y2384">IFERROR(IF(ISNUMBER(O2384),IF(COUNT(IF(A2384=$A$2:$A$2427,IF(D2384=$D$2:$D$2427,IF($X$2:$X$2427&gt;0,1))))&gt;0,SUM(IF(A2384=$A$2:$A$2427,IF(D2384=$D$2:$D$2427,$X$2:$X$2427)))/COUNT(IF(A2384=$A$2:$A$2427,IF(D2384=$D$2:$D$2427,IF(ISNUMBER($X$2:$X$2427),1)))),0),""),0)</f>
        <v/>
      </c>
      <c r="Z2384" s="104" t="str">
        <f>IF(ISNUMBER(O2384),IF(I2384&gt;0,(10^(VLOOKUP(D2384,'Species Codes'!B:C,2,0)+VLOOKUP(D2384,'Species Codes'!B:D,3,0)*LOG(E2384)+VLOOKUP(D2384,'Species Codes'!B:E,4,0)*LOG(I2384))),0),"")</f>
        <v/>
      </c>
      <c r="AA2384" s="104" t="str">
        <f>IFERROR((VLOOKUP(D2384,'Species Codes'!B:G,6,0)*Z2384)/2000,"")</f>
        <v/>
      </c>
      <c r="AB2384" s="104" t="e">
        <f>IF(Z2384&gt;0,((IF(OR(D2384="DF",D2384="RA")=TRUE,EXP(VLOOKUP(D2384,'Species Codes'!B:I,8,0)+VLOOKUP(D2384,'Species Codes'!B:J,9,0)*(LN((E2384*2.54)))),IF(OR(D2384="PY",D2384="RC",D2384="WH",D2384="NF")=TRUE,VLOOKUP(D2384,'Species Codes'!B:I,8,0)+VLOOKUP(D2384,'Species Codes'!B:J,9,0)*((E2384*2.54)^2)*(I2384*0.3048),IF(OR(D2384="MD",D2384="BM",D2384="GA")=TRUE,((VLOOKUP(D2384,'Species Codes'!B:I,8,0)*(((((E2384*2.54)+VLOOKUP(D2384,'Species Codes'!B:J,9,0))/VLOOKUP(D2384,'Species Codes'!B:K,10,0))^VLOOKUP(D2384,'Species Codes'!B:L,11,0))*((I2384*0.3048)^VLOOKUP(D2384,'Species Codes'!B:M,12,0))))-(VLOOKUP(D2384,'Species Codes'!B:I,8,0)*((((E2384*2.54)^VLOOKUP(D2384,'Species Codes'!B:L,11,0))*((I2384*0.3048)^VLOOKUP(D2384,'Species Codes'!B:M,12,0))))))*35.3*VLOOKUP(D2384,'Species Codes'!B:G,6,0)/2.2046,VLOOKUP(D2384,'Species Codes'!B:I,8,0)+VLOOKUP(D2384,'Species Codes'!B:J,9,0)*(((E2384*2.54)/100)^2)*(I2384*0.3048)))))*0.0011023),0)</f>
        <v>#N/A</v>
      </c>
      <c r="AC2384" s="104" t="e">
        <f>IF(Z2384&gt;0,((IF(OR(D2384="RA",D2384="OA",D2384="OT",D2384="UN",D2384="PC"),EXP(VLOOKUP(D2384,'Species Codes'!B:O,14,0)+VLOOKUP(D2384,'Species Codes'!B:P,15,0)*LN((E2384*2.54)))-EXP(VLOOKUP(D2384,'Species Codes'!B:O,14,0)+VLOOKUP(D2384,'Species Codes'!B:P,15,0)*LN((E2384*2.54)))*(1/(VLOOKUP(D2384,'Species Codes'!B:Q,16,0)+VLOOKUP(D2384,'Species Codes'!B:R,17,0)*((E2384*2.54)^VLOOKUP(D2384,'Species Codes'!B:S,18,0)))),IF(OR(D2384="BM",D2384="MD",D2384="OA"),EXP(VLOOKUP(D2384,'Species Codes'!B:O,14,0)+VLOOKUP(D2384,'Species Codes'!B:P,15,0)*LN((E2384*2.54)))*(1-(1/(VLOOKUP(D2384,'Species Codes'!B:Q,16,0)+VLOOKUP(D2384,'Species Codes'!B:R,17,0)*((E2384*2.54)^VLOOKUP(D2384,'Species Codes'!B:S,18,0)))))/1000,IF(D2384="DF",EXP(VLOOKUP(D2384,'Species Codes'!B:O,14,0)+VLOOKUP(D2384,'Species Codes'!B:P,15,0)*LN((E2384*2.54))),VLOOKUP(D2384,'Species Codes'!B:O,14,0)+VLOOKUP(D2384,'Species Codes'!B:P,15,0)*(((E2384*2.54)/100)^2)*(I2384*0.3048)))))*0.0011023),0)</f>
        <v>#N/A</v>
      </c>
      <c r="AD2384" s="104" t="e">
        <f t="shared" si="1030"/>
        <v>#N/A</v>
      </c>
      <c r="AE2384" s="104" t="e">
        <f t="shared" si="1031"/>
        <v>#N/A</v>
      </c>
      <c r="AF2384" s="104" t="e">
        <f>IF(AND(VLOOKUP($D2384,Merchantability!$B:$C,2,0)="Yes",$E2384&gt;=VLOOKUP($D2384,Merchantability!$B:$D,3,0),$E2384&lt;=VLOOKUP($D2384,Merchantability!$B:$E,4,0)),AA2384,0)</f>
        <v>#N/A</v>
      </c>
      <c r="AG2384" s="104" t="e">
        <f>IF(AND(VLOOKUP($D2384,Merchantability!$B:$C,2,0)="Yes",$E2384&gt;=VLOOKUP($D2384,Merchantability!$B:$D,3,0),$E2384&lt;=VLOOKUP($D2384,Merchantability!$B:$E,4,0)),AB2384,0)</f>
        <v>#N/A</v>
      </c>
      <c r="AH2384" s="104" t="e">
        <f>IF(AND(VLOOKUP($D2384,Merchantability!$B:$C,2,0)="Yes",$E2384&gt;=VLOOKUP($D2384,Merchantability!$B:$D,3,0),$E2384&lt;=VLOOKUP($D2384,Merchantability!$B:$E,4,0)),AC2384,0)</f>
        <v>#N/A</v>
      </c>
      <c r="AI2384" s="104" t="e">
        <f t="shared" si="1032"/>
        <v>#N/A</v>
      </c>
      <c r="AJ2384" s="104" t="e">
        <f t="shared" si="1033"/>
        <v>#VALUE!</v>
      </c>
      <c r="AK2384" s="104" t="e">
        <f t="shared" si="1034"/>
        <v>#N/A</v>
      </c>
      <c r="AL2384" s="104" t="e">
        <f t="shared" si="1035"/>
        <v>#N/A</v>
      </c>
      <c r="AM2384" s="104" t="e">
        <f t="shared" si="1036"/>
        <v>#N/A</v>
      </c>
      <c r="AN2384" s="104" t="e">
        <f t="shared" si="1047"/>
        <v>#N/A</v>
      </c>
      <c r="AO2384" s="104" t="e">
        <f t="shared" si="1048"/>
        <v>#N/A</v>
      </c>
      <c r="AP2384" s="104" t="e">
        <f t="shared" si="1049"/>
        <v>#N/A</v>
      </c>
      <c r="AQ2384" s="104" t="e">
        <f t="shared" si="1050"/>
        <v>#N/A</v>
      </c>
      <c r="AR2384" s="105" t="str">
        <f t="shared" si="1042"/>
        <v/>
      </c>
      <c r="AS2384" s="105" t="str">
        <f t="shared" si="1043"/>
        <v/>
      </c>
      <c r="AT2384" s="108" t="str">
        <f t="shared" si="1044"/>
        <v/>
      </c>
      <c r="AU2384" s="108" t="str">
        <f t="shared" si="1045"/>
        <v/>
      </c>
      <c r="AV2384" s="107" t="str">
        <f>IF(ISNUMBER(O2384),IF(VLOOKUP($A2384,Stand!C:J,8,FALSE)="Short",AT2384,AU2384),"")</f>
        <v/>
      </c>
      <c r="AW2384" s="109" t="str">
        <f t="shared" si="1051"/>
        <v/>
      </c>
      <c r="AX2384" s="109" t="str">
        <f t="shared" si="1052"/>
        <v/>
      </c>
      <c r="AY2384" s="112" t="str">
        <f>IF(ISNUMBER(O2384),IF(AND(VLOOKUP($D2384,Merchantability!$B:$C,2,0)="Yes",$E2384&gt;=VLOOKUP($D2384,Merchantability!$B:$D,3,0),$E2384&lt;=VLOOKUP($D2384,Merchantability!$B:$E,4,0)),(AV2384*O2384)*(1-$H2384/100),""),"")</f>
        <v/>
      </c>
      <c r="AZ2384" s="116"/>
      <c r="BA2384" s="116"/>
      <c r="BB2384" s="116"/>
      <c r="BE2384" s="62"/>
      <c r="BF2384" s="63"/>
    </row>
    <row r="2385" spans="1:58" ht="12.75" customHeight="1" x14ac:dyDescent="0.25">
      <c r="A2385" s="334"/>
      <c r="B2385" s="334"/>
      <c r="C2385" s="332"/>
      <c r="D2385" s="334"/>
      <c r="E2385" s="335"/>
      <c r="F2385" s="334"/>
      <c r="G2385" s="332"/>
      <c r="H2385" s="332"/>
      <c r="I2385" s="334"/>
      <c r="J2385" s="336"/>
      <c r="K2385" s="332"/>
      <c r="L2385" s="332"/>
      <c r="M2385" s="76"/>
      <c r="N2385" s="103" t="str">
        <f>IF(A2385="","",VLOOKUP(A2385,Stand!C:K,9,0))</f>
        <v/>
      </c>
      <c r="O2385" s="104" t="str">
        <f t="shared" si="1037"/>
        <v/>
      </c>
      <c r="P2385" s="105" t="str">
        <f t="shared" si="1038"/>
        <v/>
      </c>
      <c r="Q2385" s="105" t="str">
        <f t="shared" si="1026"/>
        <v/>
      </c>
      <c r="R2385" s="103" t="str">
        <f t="shared" si="1039"/>
        <v/>
      </c>
      <c r="S2385" s="103" t="str">
        <f t="shared" si="1040"/>
        <v/>
      </c>
      <c r="T2385" s="106" t="str">
        <f t="shared" si="1027"/>
        <v/>
      </c>
      <c r="U2385" s="106" t="str">
        <f t="shared" si="1028"/>
        <v/>
      </c>
      <c r="V2385" s="106" t="str">
        <f t="shared" si="1029"/>
        <v/>
      </c>
      <c r="W2385" s="105" t="str">
        <f t="shared" si="1041"/>
        <v/>
      </c>
      <c r="X2385" s="104" t="str">
        <f t="shared" si="1046"/>
        <v/>
      </c>
      <c r="Y2385" s="104" t="str">
        <f t="array" ref="Y2385">IFERROR(IF(ISNUMBER(O2385),IF(COUNT(IF(A2385=$A$2:$A$2427,IF(D2385=$D$2:$D$2427,IF($X$2:$X$2427&gt;0,1))))&gt;0,SUM(IF(A2385=$A$2:$A$2427,IF(D2385=$D$2:$D$2427,$X$2:$X$2427)))/COUNT(IF(A2385=$A$2:$A$2427,IF(D2385=$D$2:$D$2427,IF(ISNUMBER($X$2:$X$2427),1)))),0),""),0)</f>
        <v/>
      </c>
      <c r="Z2385" s="104" t="str">
        <f>IF(ISNUMBER(O2385),IF(I2385&gt;0,(10^(VLOOKUP(D2385,'Species Codes'!B:C,2,0)+VLOOKUP(D2385,'Species Codes'!B:D,3,0)*LOG(E2385)+VLOOKUP(D2385,'Species Codes'!B:E,4,0)*LOG(I2385))),0),"")</f>
        <v/>
      </c>
      <c r="AA2385" s="104" t="str">
        <f>IFERROR((VLOOKUP(D2385,'Species Codes'!B:G,6,0)*Z2385)/2000,"")</f>
        <v/>
      </c>
      <c r="AB2385" s="104" t="e">
        <f>IF(Z2385&gt;0,((IF(OR(D2385="DF",D2385="RA")=TRUE,EXP(VLOOKUP(D2385,'Species Codes'!B:I,8,0)+VLOOKUP(D2385,'Species Codes'!B:J,9,0)*(LN((E2385*2.54)))),IF(OR(D2385="PY",D2385="RC",D2385="WH",D2385="NF")=TRUE,VLOOKUP(D2385,'Species Codes'!B:I,8,0)+VLOOKUP(D2385,'Species Codes'!B:J,9,0)*((E2385*2.54)^2)*(I2385*0.3048),IF(OR(D2385="MD",D2385="BM",D2385="GA")=TRUE,((VLOOKUP(D2385,'Species Codes'!B:I,8,0)*(((((E2385*2.54)+VLOOKUP(D2385,'Species Codes'!B:J,9,0))/VLOOKUP(D2385,'Species Codes'!B:K,10,0))^VLOOKUP(D2385,'Species Codes'!B:L,11,0))*((I2385*0.3048)^VLOOKUP(D2385,'Species Codes'!B:M,12,0))))-(VLOOKUP(D2385,'Species Codes'!B:I,8,0)*((((E2385*2.54)^VLOOKUP(D2385,'Species Codes'!B:L,11,0))*((I2385*0.3048)^VLOOKUP(D2385,'Species Codes'!B:M,12,0))))))*35.3*VLOOKUP(D2385,'Species Codes'!B:G,6,0)/2.2046,VLOOKUP(D2385,'Species Codes'!B:I,8,0)+VLOOKUP(D2385,'Species Codes'!B:J,9,0)*(((E2385*2.54)/100)^2)*(I2385*0.3048)))))*0.0011023),0)</f>
        <v>#N/A</v>
      </c>
      <c r="AC2385" s="104" t="e">
        <f>IF(Z2385&gt;0,((IF(OR(D2385="RA",D2385="OA",D2385="OT",D2385="UN",D2385="PC"),EXP(VLOOKUP(D2385,'Species Codes'!B:O,14,0)+VLOOKUP(D2385,'Species Codes'!B:P,15,0)*LN((E2385*2.54)))-EXP(VLOOKUP(D2385,'Species Codes'!B:O,14,0)+VLOOKUP(D2385,'Species Codes'!B:P,15,0)*LN((E2385*2.54)))*(1/(VLOOKUP(D2385,'Species Codes'!B:Q,16,0)+VLOOKUP(D2385,'Species Codes'!B:R,17,0)*((E2385*2.54)^VLOOKUP(D2385,'Species Codes'!B:S,18,0)))),IF(OR(D2385="BM",D2385="MD",D2385="OA"),EXP(VLOOKUP(D2385,'Species Codes'!B:O,14,0)+VLOOKUP(D2385,'Species Codes'!B:P,15,0)*LN((E2385*2.54)))*(1-(1/(VLOOKUP(D2385,'Species Codes'!B:Q,16,0)+VLOOKUP(D2385,'Species Codes'!B:R,17,0)*((E2385*2.54)^VLOOKUP(D2385,'Species Codes'!B:S,18,0)))))/1000,IF(D2385="DF",EXP(VLOOKUP(D2385,'Species Codes'!B:O,14,0)+VLOOKUP(D2385,'Species Codes'!B:P,15,0)*LN((E2385*2.54))),VLOOKUP(D2385,'Species Codes'!B:O,14,0)+VLOOKUP(D2385,'Species Codes'!B:P,15,0)*(((E2385*2.54)/100)^2)*(I2385*0.3048)))))*0.0011023),0)</f>
        <v>#N/A</v>
      </c>
      <c r="AD2385" s="104" t="e">
        <f t="shared" si="1030"/>
        <v>#N/A</v>
      </c>
      <c r="AE2385" s="104" t="e">
        <f t="shared" si="1031"/>
        <v>#N/A</v>
      </c>
      <c r="AF2385" s="104" t="e">
        <f>IF(AND(VLOOKUP($D2385,Merchantability!$B:$C,2,0)="Yes",$E2385&gt;=VLOOKUP($D2385,Merchantability!$B:$D,3,0),$E2385&lt;=VLOOKUP($D2385,Merchantability!$B:$E,4,0)),AA2385,0)</f>
        <v>#N/A</v>
      </c>
      <c r="AG2385" s="104" t="e">
        <f>IF(AND(VLOOKUP($D2385,Merchantability!$B:$C,2,0)="Yes",$E2385&gt;=VLOOKUP($D2385,Merchantability!$B:$D,3,0),$E2385&lt;=VLOOKUP($D2385,Merchantability!$B:$E,4,0)),AB2385,0)</f>
        <v>#N/A</v>
      </c>
      <c r="AH2385" s="104" t="e">
        <f>IF(AND(VLOOKUP($D2385,Merchantability!$B:$C,2,0)="Yes",$E2385&gt;=VLOOKUP($D2385,Merchantability!$B:$D,3,0),$E2385&lt;=VLOOKUP($D2385,Merchantability!$B:$E,4,0)),AC2385,0)</f>
        <v>#N/A</v>
      </c>
      <c r="AI2385" s="104" t="e">
        <f t="shared" si="1032"/>
        <v>#N/A</v>
      </c>
      <c r="AJ2385" s="104" t="e">
        <f t="shared" si="1033"/>
        <v>#VALUE!</v>
      </c>
      <c r="AK2385" s="104" t="e">
        <f t="shared" si="1034"/>
        <v>#N/A</v>
      </c>
      <c r="AL2385" s="104" t="e">
        <f t="shared" si="1035"/>
        <v>#N/A</v>
      </c>
      <c r="AM2385" s="104" t="e">
        <f t="shared" si="1036"/>
        <v>#N/A</v>
      </c>
      <c r="AN2385" s="104" t="e">
        <f t="shared" si="1047"/>
        <v>#N/A</v>
      </c>
      <c r="AO2385" s="104" t="e">
        <f t="shared" si="1048"/>
        <v>#N/A</v>
      </c>
      <c r="AP2385" s="104" t="e">
        <f t="shared" si="1049"/>
        <v>#N/A</v>
      </c>
      <c r="AQ2385" s="104" t="e">
        <f t="shared" si="1050"/>
        <v>#N/A</v>
      </c>
      <c r="AR2385" s="105" t="str">
        <f t="shared" si="1042"/>
        <v/>
      </c>
      <c r="AS2385" s="105" t="str">
        <f t="shared" si="1043"/>
        <v/>
      </c>
      <c r="AT2385" s="108" t="str">
        <f t="shared" si="1044"/>
        <v/>
      </c>
      <c r="AU2385" s="108" t="str">
        <f t="shared" si="1045"/>
        <v/>
      </c>
      <c r="AV2385" s="107" t="str">
        <f>IF(ISNUMBER(O2385),IF(VLOOKUP($A2385,Stand!C:J,8,FALSE)="Short",AT2385,AU2385),"")</f>
        <v/>
      </c>
      <c r="AW2385" s="109" t="str">
        <f t="shared" si="1051"/>
        <v/>
      </c>
      <c r="AX2385" s="109" t="str">
        <f t="shared" si="1052"/>
        <v/>
      </c>
      <c r="AY2385" s="112" t="str">
        <f>IF(ISNUMBER(O2385),IF(AND(VLOOKUP($D2385,Merchantability!$B:$C,2,0)="Yes",$E2385&gt;=VLOOKUP($D2385,Merchantability!$B:$D,3,0),$E2385&lt;=VLOOKUP($D2385,Merchantability!$B:$E,4,0)),(AV2385*O2385)*(1-$H2385/100),""),"")</f>
        <v/>
      </c>
      <c r="AZ2385" s="116"/>
      <c r="BA2385" s="116"/>
      <c r="BB2385" s="116"/>
      <c r="BE2385" s="62"/>
      <c r="BF2385" s="63"/>
    </row>
    <row r="2386" spans="1:58" ht="12.75" customHeight="1" x14ac:dyDescent="0.25">
      <c r="A2386" s="334"/>
      <c r="B2386" s="334"/>
      <c r="C2386" s="332"/>
      <c r="D2386" s="334"/>
      <c r="E2386" s="335"/>
      <c r="F2386" s="334"/>
      <c r="G2386" s="332"/>
      <c r="H2386" s="332"/>
      <c r="I2386" s="334"/>
      <c r="J2386" s="336"/>
      <c r="K2386" s="332"/>
      <c r="L2386" s="332"/>
      <c r="M2386" s="76"/>
      <c r="N2386" s="103" t="str">
        <f>IF(A2386="","",VLOOKUP(A2386,Stand!C:K,9,0))</f>
        <v/>
      </c>
      <c r="O2386" s="104" t="str">
        <f t="shared" si="1037"/>
        <v/>
      </c>
      <c r="P2386" s="105" t="str">
        <f t="shared" si="1038"/>
        <v/>
      </c>
      <c r="Q2386" s="105" t="str">
        <f t="shared" si="1026"/>
        <v/>
      </c>
      <c r="R2386" s="103" t="str">
        <f t="shared" si="1039"/>
        <v/>
      </c>
      <c r="S2386" s="103" t="str">
        <f t="shared" si="1040"/>
        <v/>
      </c>
      <c r="T2386" s="106" t="str">
        <f t="shared" si="1027"/>
        <v/>
      </c>
      <c r="U2386" s="106" t="str">
        <f t="shared" si="1028"/>
        <v/>
      </c>
      <c r="V2386" s="106" t="str">
        <f t="shared" si="1029"/>
        <v/>
      </c>
      <c r="W2386" s="105" t="str">
        <f t="shared" si="1041"/>
        <v/>
      </c>
      <c r="X2386" s="104" t="str">
        <f t="shared" si="1046"/>
        <v/>
      </c>
      <c r="Y2386" s="104" t="str">
        <f t="array" ref="Y2386">IFERROR(IF(ISNUMBER(O2386),IF(COUNT(IF(A2386=$A$2:$A$2427,IF(D2386=$D$2:$D$2427,IF($X$2:$X$2427&gt;0,1))))&gt;0,SUM(IF(A2386=$A$2:$A$2427,IF(D2386=$D$2:$D$2427,$X$2:$X$2427)))/COUNT(IF(A2386=$A$2:$A$2427,IF(D2386=$D$2:$D$2427,IF(ISNUMBER($X$2:$X$2427),1)))),0),""),0)</f>
        <v/>
      </c>
      <c r="Z2386" s="104" t="str">
        <f>IF(ISNUMBER(O2386),IF(I2386&gt;0,(10^(VLOOKUP(D2386,'Species Codes'!B:C,2,0)+VLOOKUP(D2386,'Species Codes'!B:D,3,0)*LOG(E2386)+VLOOKUP(D2386,'Species Codes'!B:E,4,0)*LOG(I2386))),0),"")</f>
        <v/>
      </c>
      <c r="AA2386" s="104" t="str">
        <f>IFERROR((VLOOKUP(D2386,'Species Codes'!B:G,6,0)*Z2386)/2000,"")</f>
        <v/>
      </c>
      <c r="AB2386" s="104" t="e">
        <f>IF(Z2386&gt;0,((IF(OR(D2386="DF",D2386="RA")=TRUE,EXP(VLOOKUP(D2386,'Species Codes'!B:I,8,0)+VLOOKUP(D2386,'Species Codes'!B:J,9,0)*(LN((E2386*2.54)))),IF(OR(D2386="PY",D2386="RC",D2386="WH",D2386="NF")=TRUE,VLOOKUP(D2386,'Species Codes'!B:I,8,0)+VLOOKUP(D2386,'Species Codes'!B:J,9,0)*((E2386*2.54)^2)*(I2386*0.3048),IF(OR(D2386="MD",D2386="BM",D2386="GA")=TRUE,((VLOOKUP(D2386,'Species Codes'!B:I,8,0)*(((((E2386*2.54)+VLOOKUP(D2386,'Species Codes'!B:J,9,0))/VLOOKUP(D2386,'Species Codes'!B:K,10,0))^VLOOKUP(D2386,'Species Codes'!B:L,11,0))*((I2386*0.3048)^VLOOKUP(D2386,'Species Codes'!B:M,12,0))))-(VLOOKUP(D2386,'Species Codes'!B:I,8,0)*((((E2386*2.54)^VLOOKUP(D2386,'Species Codes'!B:L,11,0))*((I2386*0.3048)^VLOOKUP(D2386,'Species Codes'!B:M,12,0))))))*35.3*VLOOKUP(D2386,'Species Codes'!B:G,6,0)/2.2046,VLOOKUP(D2386,'Species Codes'!B:I,8,0)+VLOOKUP(D2386,'Species Codes'!B:J,9,0)*(((E2386*2.54)/100)^2)*(I2386*0.3048)))))*0.0011023),0)</f>
        <v>#N/A</v>
      </c>
      <c r="AC2386" s="104" t="e">
        <f>IF(Z2386&gt;0,((IF(OR(D2386="RA",D2386="OA",D2386="OT",D2386="UN",D2386="PC"),EXP(VLOOKUP(D2386,'Species Codes'!B:O,14,0)+VLOOKUP(D2386,'Species Codes'!B:P,15,0)*LN((E2386*2.54)))-EXP(VLOOKUP(D2386,'Species Codes'!B:O,14,0)+VLOOKUP(D2386,'Species Codes'!B:P,15,0)*LN((E2386*2.54)))*(1/(VLOOKUP(D2386,'Species Codes'!B:Q,16,0)+VLOOKUP(D2386,'Species Codes'!B:R,17,0)*((E2386*2.54)^VLOOKUP(D2386,'Species Codes'!B:S,18,0)))),IF(OR(D2386="BM",D2386="MD",D2386="OA"),EXP(VLOOKUP(D2386,'Species Codes'!B:O,14,0)+VLOOKUP(D2386,'Species Codes'!B:P,15,0)*LN((E2386*2.54)))*(1-(1/(VLOOKUP(D2386,'Species Codes'!B:Q,16,0)+VLOOKUP(D2386,'Species Codes'!B:R,17,0)*((E2386*2.54)^VLOOKUP(D2386,'Species Codes'!B:S,18,0)))))/1000,IF(D2386="DF",EXP(VLOOKUP(D2386,'Species Codes'!B:O,14,0)+VLOOKUP(D2386,'Species Codes'!B:P,15,0)*LN((E2386*2.54))),VLOOKUP(D2386,'Species Codes'!B:O,14,0)+VLOOKUP(D2386,'Species Codes'!B:P,15,0)*(((E2386*2.54)/100)^2)*(I2386*0.3048)))))*0.0011023),0)</f>
        <v>#N/A</v>
      </c>
      <c r="AD2386" s="104" t="e">
        <f t="shared" si="1030"/>
        <v>#N/A</v>
      </c>
      <c r="AE2386" s="104" t="e">
        <f t="shared" si="1031"/>
        <v>#N/A</v>
      </c>
      <c r="AF2386" s="104" t="e">
        <f>IF(AND(VLOOKUP($D2386,Merchantability!$B:$C,2,0)="Yes",$E2386&gt;=VLOOKUP($D2386,Merchantability!$B:$D,3,0),$E2386&lt;=VLOOKUP($D2386,Merchantability!$B:$E,4,0)),AA2386,0)</f>
        <v>#N/A</v>
      </c>
      <c r="AG2386" s="104" t="e">
        <f>IF(AND(VLOOKUP($D2386,Merchantability!$B:$C,2,0)="Yes",$E2386&gt;=VLOOKUP($D2386,Merchantability!$B:$D,3,0),$E2386&lt;=VLOOKUP($D2386,Merchantability!$B:$E,4,0)),AB2386,0)</f>
        <v>#N/A</v>
      </c>
      <c r="AH2386" s="104" t="e">
        <f>IF(AND(VLOOKUP($D2386,Merchantability!$B:$C,2,0)="Yes",$E2386&gt;=VLOOKUP($D2386,Merchantability!$B:$D,3,0),$E2386&lt;=VLOOKUP($D2386,Merchantability!$B:$E,4,0)),AC2386,0)</f>
        <v>#N/A</v>
      </c>
      <c r="AI2386" s="104" t="e">
        <f t="shared" si="1032"/>
        <v>#N/A</v>
      </c>
      <c r="AJ2386" s="104" t="e">
        <f t="shared" si="1033"/>
        <v>#VALUE!</v>
      </c>
      <c r="AK2386" s="104" t="e">
        <f t="shared" si="1034"/>
        <v>#N/A</v>
      </c>
      <c r="AL2386" s="104" t="e">
        <f t="shared" si="1035"/>
        <v>#N/A</v>
      </c>
      <c r="AM2386" s="104" t="e">
        <f t="shared" si="1036"/>
        <v>#N/A</v>
      </c>
      <c r="AN2386" s="104" t="e">
        <f t="shared" si="1047"/>
        <v>#N/A</v>
      </c>
      <c r="AO2386" s="104" t="e">
        <f t="shared" si="1048"/>
        <v>#N/A</v>
      </c>
      <c r="AP2386" s="104" t="e">
        <f t="shared" si="1049"/>
        <v>#N/A</v>
      </c>
      <c r="AQ2386" s="104" t="e">
        <f t="shared" si="1050"/>
        <v>#N/A</v>
      </c>
      <c r="AR2386" s="105" t="str">
        <f t="shared" si="1042"/>
        <v/>
      </c>
      <c r="AS2386" s="105" t="str">
        <f t="shared" si="1043"/>
        <v/>
      </c>
      <c r="AT2386" s="108" t="str">
        <f t="shared" si="1044"/>
        <v/>
      </c>
      <c r="AU2386" s="108" t="str">
        <f t="shared" si="1045"/>
        <v/>
      </c>
      <c r="AV2386" s="107" t="str">
        <f>IF(ISNUMBER(O2386),IF(VLOOKUP($A2386,Stand!C:J,8,FALSE)="Short",AT2386,AU2386),"")</f>
        <v/>
      </c>
      <c r="AW2386" s="109" t="str">
        <f t="shared" si="1051"/>
        <v/>
      </c>
      <c r="AX2386" s="109" t="str">
        <f t="shared" si="1052"/>
        <v/>
      </c>
      <c r="AY2386" s="112" t="str">
        <f>IF(ISNUMBER(O2386),IF(AND(VLOOKUP($D2386,Merchantability!$B:$C,2,0)="Yes",$E2386&gt;=VLOOKUP($D2386,Merchantability!$B:$D,3,0),$E2386&lt;=VLOOKUP($D2386,Merchantability!$B:$E,4,0)),(AV2386*O2386)*(1-$H2386/100),""),"")</f>
        <v/>
      </c>
      <c r="AZ2386" s="116"/>
      <c r="BA2386" s="116"/>
      <c r="BB2386" s="116"/>
      <c r="BE2386" s="62"/>
      <c r="BF2386" s="63"/>
    </row>
    <row r="2387" spans="1:58" ht="12.75" customHeight="1" x14ac:dyDescent="0.25">
      <c r="A2387" s="334"/>
      <c r="B2387" s="334"/>
      <c r="C2387" s="332"/>
      <c r="D2387" s="334"/>
      <c r="E2387" s="335"/>
      <c r="F2387" s="334"/>
      <c r="G2387" s="332"/>
      <c r="H2387" s="332"/>
      <c r="I2387" s="334"/>
      <c r="J2387" s="336"/>
      <c r="K2387" s="332"/>
      <c r="L2387" s="332"/>
      <c r="M2387" s="76"/>
      <c r="N2387" s="103" t="str">
        <f>IF(A2387="","",VLOOKUP(A2387,Stand!C:K,9,0))</f>
        <v/>
      </c>
      <c r="O2387" s="104" t="str">
        <f t="shared" si="1037"/>
        <v/>
      </c>
      <c r="P2387" s="105" t="str">
        <f t="shared" si="1038"/>
        <v/>
      </c>
      <c r="Q2387" s="105" t="str">
        <f t="shared" si="1026"/>
        <v/>
      </c>
      <c r="R2387" s="103" t="str">
        <f t="shared" si="1039"/>
        <v/>
      </c>
      <c r="S2387" s="103" t="str">
        <f t="shared" si="1040"/>
        <v/>
      </c>
      <c r="T2387" s="106" t="str">
        <f t="shared" si="1027"/>
        <v/>
      </c>
      <c r="U2387" s="106" t="str">
        <f t="shared" si="1028"/>
        <v/>
      </c>
      <c r="V2387" s="106" t="str">
        <f t="shared" si="1029"/>
        <v/>
      </c>
      <c r="W2387" s="105" t="str">
        <f t="shared" si="1041"/>
        <v/>
      </c>
      <c r="X2387" s="104" t="str">
        <f t="shared" si="1046"/>
        <v/>
      </c>
      <c r="Y2387" s="104" t="str">
        <f t="array" ref="Y2387">IFERROR(IF(ISNUMBER(O2387),IF(COUNT(IF(A2387=$A$2:$A$2427,IF(D2387=$D$2:$D$2427,IF($X$2:$X$2427&gt;0,1))))&gt;0,SUM(IF(A2387=$A$2:$A$2427,IF(D2387=$D$2:$D$2427,$X$2:$X$2427)))/COUNT(IF(A2387=$A$2:$A$2427,IF(D2387=$D$2:$D$2427,IF(ISNUMBER($X$2:$X$2427),1)))),0),""),0)</f>
        <v/>
      </c>
      <c r="Z2387" s="104" t="str">
        <f>IF(ISNUMBER(O2387),IF(I2387&gt;0,(10^(VLOOKUP(D2387,'Species Codes'!B:C,2,0)+VLOOKUP(D2387,'Species Codes'!B:D,3,0)*LOG(E2387)+VLOOKUP(D2387,'Species Codes'!B:E,4,0)*LOG(I2387))),0),"")</f>
        <v/>
      </c>
      <c r="AA2387" s="104" t="str">
        <f>IFERROR((VLOOKUP(D2387,'Species Codes'!B:G,6,0)*Z2387)/2000,"")</f>
        <v/>
      </c>
      <c r="AB2387" s="104" t="e">
        <f>IF(Z2387&gt;0,((IF(OR(D2387="DF",D2387="RA")=TRUE,EXP(VLOOKUP(D2387,'Species Codes'!B:I,8,0)+VLOOKUP(D2387,'Species Codes'!B:J,9,0)*(LN((E2387*2.54)))),IF(OR(D2387="PY",D2387="RC",D2387="WH",D2387="NF")=TRUE,VLOOKUP(D2387,'Species Codes'!B:I,8,0)+VLOOKUP(D2387,'Species Codes'!B:J,9,0)*((E2387*2.54)^2)*(I2387*0.3048),IF(OR(D2387="MD",D2387="BM",D2387="GA")=TRUE,((VLOOKUP(D2387,'Species Codes'!B:I,8,0)*(((((E2387*2.54)+VLOOKUP(D2387,'Species Codes'!B:J,9,0))/VLOOKUP(D2387,'Species Codes'!B:K,10,0))^VLOOKUP(D2387,'Species Codes'!B:L,11,0))*((I2387*0.3048)^VLOOKUP(D2387,'Species Codes'!B:M,12,0))))-(VLOOKUP(D2387,'Species Codes'!B:I,8,0)*((((E2387*2.54)^VLOOKUP(D2387,'Species Codes'!B:L,11,0))*((I2387*0.3048)^VLOOKUP(D2387,'Species Codes'!B:M,12,0))))))*35.3*VLOOKUP(D2387,'Species Codes'!B:G,6,0)/2.2046,VLOOKUP(D2387,'Species Codes'!B:I,8,0)+VLOOKUP(D2387,'Species Codes'!B:J,9,0)*(((E2387*2.54)/100)^2)*(I2387*0.3048)))))*0.0011023),0)</f>
        <v>#N/A</v>
      </c>
      <c r="AC2387" s="104" t="e">
        <f>IF(Z2387&gt;0,((IF(OR(D2387="RA",D2387="OA",D2387="OT",D2387="UN",D2387="PC"),EXP(VLOOKUP(D2387,'Species Codes'!B:O,14,0)+VLOOKUP(D2387,'Species Codes'!B:P,15,0)*LN((E2387*2.54)))-EXP(VLOOKUP(D2387,'Species Codes'!B:O,14,0)+VLOOKUP(D2387,'Species Codes'!B:P,15,0)*LN((E2387*2.54)))*(1/(VLOOKUP(D2387,'Species Codes'!B:Q,16,0)+VLOOKUP(D2387,'Species Codes'!B:R,17,0)*((E2387*2.54)^VLOOKUP(D2387,'Species Codes'!B:S,18,0)))),IF(OR(D2387="BM",D2387="MD",D2387="OA"),EXP(VLOOKUP(D2387,'Species Codes'!B:O,14,0)+VLOOKUP(D2387,'Species Codes'!B:P,15,0)*LN((E2387*2.54)))*(1-(1/(VLOOKUP(D2387,'Species Codes'!B:Q,16,0)+VLOOKUP(D2387,'Species Codes'!B:R,17,0)*((E2387*2.54)^VLOOKUP(D2387,'Species Codes'!B:S,18,0)))))/1000,IF(D2387="DF",EXP(VLOOKUP(D2387,'Species Codes'!B:O,14,0)+VLOOKUP(D2387,'Species Codes'!B:P,15,0)*LN((E2387*2.54))),VLOOKUP(D2387,'Species Codes'!B:O,14,0)+VLOOKUP(D2387,'Species Codes'!B:P,15,0)*(((E2387*2.54)/100)^2)*(I2387*0.3048)))))*0.0011023),0)</f>
        <v>#N/A</v>
      </c>
      <c r="AD2387" s="104" t="e">
        <f t="shared" si="1030"/>
        <v>#N/A</v>
      </c>
      <c r="AE2387" s="104" t="e">
        <f t="shared" si="1031"/>
        <v>#N/A</v>
      </c>
      <c r="AF2387" s="104" t="e">
        <f>IF(AND(VLOOKUP($D2387,Merchantability!$B:$C,2,0)="Yes",$E2387&gt;=VLOOKUP($D2387,Merchantability!$B:$D,3,0),$E2387&lt;=VLOOKUP($D2387,Merchantability!$B:$E,4,0)),AA2387,0)</f>
        <v>#N/A</v>
      </c>
      <c r="AG2387" s="104" t="e">
        <f>IF(AND(VLOOKUP($D2387,Merchantability!$B:$C,2,0)="Yes",$E2387&gt;=VLOOKUP($D2387,Merchantability!$B:$D,3,0),$E2387&lt;=VLOOKUP($D2387,Merchantability!$B:$E,4,0)),AB2387,0)</f>
        <v>#N/A</v>
      </c>
      <c r="AH2387" s="104" t="e">
        <f>IF(AND(VLOOKUP($D2387,Merchantability!$B:$C,2,0)="Yes",$E2387&gt;=VLOOKUP($D2387,Merchantability!$B:$D,3,0),$E2387&lt;=VLOOKUP($D2387,Merchantability!$B:$E,4,0)),AC2387,0)</f>
        <v>#N/A</v>
      </c>
      <c r="AI2387" s="104" t="e">
        <f t="shared" si="1032"/>
        <v>#N/A</v>
      </c>
      <c r="AJ2387" s="104" t="e">
        <f t="shared" si="1033"/>
        <v>#VALUE!</v>
      </c>
      <c r="AK2387" s="104" t="e">
        <f t="shared" si="1034"/>
        <v>#N/A</v>
      </c>
      <c r="AL2387" s="104" t="e">
        <f t="shared" si="1035"/>
        <v>#N/A</v>
      </c>
      <c r="AM2387" s="104" t="e">
        <f t="shared" si="1036"/>
        <v>#N/A</v>
      </c>
      <c r="AN2387" s="104" t="e">
        <f t="shared" si="1047"/>
        <v>#N/A</v>
      </c>
      <c r="AO2387" s="104" t="e">
        <f t="shared" si="1048"/>
        <v>#N/A</v>
      </c>
      <c r="AP2387" s="104" t="e">
        <f t="shared" si="1049"/>
        <v>#N/A</v>
      </c>
      <c r="AQ2387" s="104" t="e">
        <f t="shared" si="1050"/>
        <v>#N/A</v>
      </c>
      <c r="AR2387" s="105" t="str">
        <f t="shared" si="1042"/>
        <v/>
      </c>
      <c r="AS2387" s="105" t="str">
        <f t="shared" si="1043"/>
        <v/>
      </c>
      <c r="AT2387" s="108" t="str">
        <f t="shared" si="1044"/>
        <v/>
      </c>
      <c r="AU2387" s="108" t="str">
        <f t="shared" si="1045"/>
        <v/>
      </c>
      <c r="AV2387" s="107" t="str">
        <f>IF(ISNUMBER(O2387),IF(VLOOKUP($A2387,Stand!C:J,8,FALSE)="Short",AT2387,AU2387),"")</f>
        <v/>
      </c>
      <c r="AW2387" s="109" t="str">
        <f t="shared" si="1051"/>
        <v/>
      </c>
      <c r="AX2387" s="109" t="str">
        <f t="shared" si="1052"/>
        <v/>
      </c>
      <c r="AY2387" s="112" t="str">
        <f>IF(ISNUMBER(O2387),IF(AND(VLOOKUP($D2387,Merchantability!$B:$C,2,0)="Yes",$E2387&gt;=VLOOKUP($D2387,Merchantability!$B:$D,3,0),$E2387&lt;=VLOOKUP($D2387,Merchantability!$B:$E,4,0)),(AV2387*O2387)*(1-$H2387/100),""),"")</f>
        <v/>
      </c>
      <c r="AZ2387" s="116"/>
      <c r="BA2387" s="116"/>
      <c r="BB2387" s="116"/>
      <c r="BE2387" s="62"/>
      <c r="BF2387" s="63"/>
    </row>
    <row r="2388" spans="1:58" ht="12.75" customHeight="1" x14ac:dyDescent="0.25">
      <c r="A2388" s="334"/>
      <c r="B2388" s="334"/>
      <c r="C2388" s="332"/>
      <c r="D2388" s="334"/>
      <c r="E2388" s="335"/>
      <c r="F2388" s="334"/>
      <c r="G2388" s="332"/>
      <c r="H2388" s="332"/>
      <c r="I2388" s="334"/>
      <c r="J2388" s="336"/>
      <c r="K2388" s="332"/>
      <c r="L2388" s="332"/>
      <c r="M2388" s="76"/>
      <c r="N2388" s="103" t="str">
        <f>IF(A2388="","",VLOOKUP(A2388,Stand!C:K,9,0))</f>
        <v/>
      </c>
      <c r="O2388" s="104" t="str">
        <f t="shared" si="1037"/>
        <v/>
      </c>
      <c r="P2388" s="105" t="str">
        <f t="shared" si="1038"/>
        <v/>
      </c>
      <c r="Q2388" s="105" t="str">
        <f t="shared" si="1026"/>
        <v/>
      </c>
      <c r="R2388" s="103" t="str">
        <f t="shared" si="1039"/>
        <v/>
      </c>
      <c r="S2388" s="103" t="str">
        <f t="shared" si="1040"/>
        <v/>
      </c>
      <c r="T2388" s="106" t="str">
        <f t="shared" si="1027"/>
        <v/>
      </c>
      <c r="U2388" s="106" t="str">
        <f t="shared" si="1028"/>
        <v/>
      </c>
      <c r="V2388" s="106" t="str">
        <f t="shared" si="1029"/>
        <v/>
      </c>
      <c r="W2388" s="105" t="str">
        <f t="shared" si="1041"/>
        <v/>
      </c>
      <c r="X2388" s="104" t="str">
        <f t="shared" si="1046"/>
        <v/>
      </c>
      <c r="Y2388" s="104" t="str">
        <f t="array" ref="Y2388">IFERROR(IF(ISNUMBER(O2388),IF(COUNT(IF(A2388=$A$2:$A$2427,IF(D2388=$D$2:$D$2427,IF($X$2:$X$2427&gt;0,1))))&gt;0,SUM(IF(A2388=$A$2:$A$2427,IF(D2388=$D$2:$D$2427,$X$2:$X$2427)))/COUNT(IF(A2388=$A$2:$A$2427,IF(D2388=$D$2:$D$2427,IF(ISNUMBER($X$2:$X$2427),1)))),0),""),0)</f>
        <v/>
      </c>
      <c r="Z2388" s="104" t="str">
        <f>IF(ISNUMBER(O2388),IF(I2388&gt;0,(10^(VLOOKUP(D2388,'Species Codes'!B:C,2,0)+VLOOKUP(D2388,'Species Codes'!B:D,3,0)*LOG(E2388)+VLOOKUP(D2388,'Species Codes'!B:E,4,0)*LOG(I2388))),0),"")</f>
        <v/>
      </c>
      <c r="AA2388" s="104" t="str">
        <f>IFERROR((VLOOKUP(D2388,'Species Codes'!B:G,6,0)*Z2388)/2000,"")</f>
        <v/>
      </c>
      <c r="AB2388" s="104" t="e">
        <f>IF(Z2388&gt;0,((IF(OR(D2388="DF",D2388="RA")=TRUE,EXP(VLOOKUP(D2388,'Species Codes'!B:I,8,0)+VLOOKUP(D2388,'Species Codes'!B:J,9,0)*(LN((E2388*2.54)))),IF(OR(D2388="PY",D2388="RC",D2388="WH",D2388="NF")=TRUE,VLOOKUP(D2388,'Species Codes'!B:I,8,0)+VLOOKUP(D2388,'Species Codes'!B:J,9,0)*((E2388*2.54)^2)*(I2388*0.3048),IF(OR(D2388="MD",D2388="BM",D2388="GA")=TRUE,((VLOOKUP(D2388,'Species Codes'!B:I,8,0)*(((((E2388*2.54)+VLOOKUP(D2388,'Species Codes'!B:J,9,0))/VLOOKUP(D2388,'Species Codes'!B:K,10,0))^VLOOKUP(D2388,'Species Codes'!B:L,11,0))*((I2388*0.3048)^VLOOKUP(D2388,'Species Codes'!B:M,12,0))))-(VLOOKUP(D2388,'Species Codes'!B:I,8,0)*((((E2388*2.54)^VLOOKUP(D2388,'Species Codes'!B:L,11,0))*((I2388*0.3048)^VLOOKUP(D2388,'Species Codes'!B:M,12,0))))))*35.3*VLOOKUP(D2388,'Species Codes'!B:G,6,0)/2.2046,VLOOKUP(D2388,'Species Codes'!B:I,8,0)+VLOOKUP(D2388,'Species Codes'!B:J,9,0)*(((E2388*2.54)/100)^2)*(I2388*0.3048)))))*0.0011023),0)</f>
        <v>#N/A</v>
      </c>
      <c r="AC2388" s="104" t="e">
        <f>IF(Z2388&gt;0,((IF(OR(D2388="RA",D2388="OA",D2388="OT",D2388="UN",D2388="PC"),EXP(VLOOKUP(D2388,'Species Codes'!B:O,14,0)+VLOOKUP(D2388,'Species Codes'!B:P,15,0)*LN((E2388*2.54)))-EXP(VLOOKUP(D2388,'Species Codes'!B:O,14,0)+VLOOKUP(D2388,'Species Codes'!B:P,15,0)*LN((E2388*2.54)))*(1/(VLOOKUP(D2388,'Species Codes'!B:Q,16,0)+VLOOKUP(D2388,'Species Codes'!B:R,17,0)*((E2388*2.54)^VLOOKUP(D2388,'Species Codes'!B:S,18,0)))),IF(OR(D2388="BM",D2388="MD",D2388="OA"),EXP(VLOOKUP(D2388,'Species Codes'!B:O,14,0)+VLOOKUP(D2388,'Species Codes'!B:P,15,0)*LN((E2388*2.54)))*(1-(1/(VLOOKUP(D2388,'Species Codes'!B:Q,16,0)+VLOOKUP(D2388,'Species Codes'!B:R,17,0)*((E2388*2.54)^VLOOKUP(D2388,'Species Codes'!B:S,18,0)))))/1000,IF(D2388="DF",EXP(VLOOKUP(D2388,'Species Codes'!B:O,14,0)+VLOOKUP(D2388,'Species Codes'!B:P,15,0)*LN((E2388*2.54))),VLOOKUP(D2388,'Species Codes'!B:O,14,0)+VLOOKUP(D2388,'Species Codes'!B:P,15,0)*(((E2388*2.54)/100)^2)*(I2388*0.3048)))))*0.0011023),0)</f>
        <v>#N/A</v>
      </c>
      <c r="AD2388" s="104" t="e">
        <f t="shared" si="1030"/>
        <v>#N/A</v>
      </c>
      <c r="AE2388" s="104" t="e">
        <f t="shared" si="1031"/>
        <v>#N/A</v>
      </c>
      <c r="AF2388" s="104" t="e">
        <f>IF(AND(VLOOKUP($D2388,Merchantability!$B:$C,2,0)="Yes",$E2388&gt;=VLOOKUP($D2388,Merchantability!$B:$D,3,0),$E2388&lt;=VLOOKUP($D2388,Merchantability!$B:$E,4,0)),AA2388,0)</f>
        <v>#N/A</v>
      </c>
      <c r="AG2388" s="104" t="e">
        <f>IF(AND(VLOOKUP($D2388,Merchantability!$B:$C,2,0)="Yes",$E2388&gt;=VLOOKUP($D2388,Merchantability!$B:$D,3,0),$E2388&lt;=VLOOKUP($D2388,Merchantability!$B:$E,4,0)),AB2388,0)</f>
        <v>#N/A</v>
      </c>
      <c r="AH2388" s="104" t="e">
        <f>IF(AND(VLOOKUP($D2388,Merchantability!$B:$C,2,0)="Yes",$E2388&gt;=VLOOKUP($D2388,Merchantability!$B:$D,3,0),$E2388&lt;=VLOOKUP($D2388,Merchantability!$B:$E,4,0)),AC2388,0)</f>
        <v>#N/A</v>
      </c>
      <c r="AI2388" s="104" t="e">
        <f t="shared" si="1032"/>
        <v>#N/A</v>
      </c>
      <c r="AJ2388" s="104" t="e">
        <f t="shared" si="1033"/>
        <v>#VALUE!</v>
      </c>
      <c r="AK2388" s="104" t="e">
        <f t="shared" si="1034"/>
        <v>#N/A</v>
      </c>
      <c r="AL2388" s="104" t="e">
        <f t="shared" si="1035"/>
        <v>#N/A</v>
      </c>
      <c r="AM2388" s="104" t="e">
        <f t="shared" si="1036"/>
        <v>#N/A</v>
      </c>
      <c r="AN2388" s="104" t="e">
        <f t="shared" si="1047"/>
        <v>#N/A</v>
      </c>
      <c r="AO2388" s="104" t="e">
        <f t="shared" si="1048"/>
        <v>#N/A</v>
      </c>
      <c r="AP2388" s="104" t="e">
        <f t="shared" si="1049"/>
        <v>#N/A</v>
      </c>
      <c r="AQ2388" s="104" t="e">
        <f t="shared" si="1050"/>
        <v>#N/A</v>
      </c>
      <c r="AR2388" s="105" t="str">
        <f t="shared" si="1042"/>
        <v/>
      </c>
      <c r="AS2388" s="105" t="str">
        <f t="shared" si="1043"/>
        <v/>
      </c>
      <c r="AT2388" s="108" t="str">
        <f t="shared" si="1044"/>
        <v/>
      </c>
      <c r="AU2388" s="108" t="str">
        <f t="shared" si="1045"/>
        <v/>
      </c>
      <c r="AV2388" s="107" t="str">
        <f>IF(ISNUMBER(O2388),IF(VLOOKUP($A2388,Stand!C:J,8,FALSE)="Short",AT2388,AU2388),"")</f>
        <v/>
      </c>
      <c r="AW2388" s="109" t="str">
        <f t="shared" si="1051"/>
        <v/>
      </c>
      <c r="AX2388" s="109" t="str">
        <f t="shared" si="1052"/>
        <v/>
      </c>
      <c r="AY2388" s="112" t="str">
        <f>IF(ISNUMBER(O2388),IF(AND(VLOOKUP($D2388,Merchantability!$B:$C,2,0)="Yes",$E2388&gt;=VLOOKUP($D2388,Merchantability!$B:$D,3,0),$E2388&lt;=VLOOKUP($D2388,Merchantability!$B:$E,4,0)),(AV2388*O2388)*(1-$H2388/100),""),"")</f>
        <v/>
      </c>
      <c r="AZ2388" s="116"/>
      <c r="BA2388" s="116"/>
      <c r="BB2388" s="116"/>
      <c r="BE2388" s="62"/>
      <c r="BF2388" s="63"/>
    </row>
    <row r="2389" spans="1:58" ht="12.75" customHeight="1" x14ac:dyDescent="0.25">
      <c r="A2389" s="334"/>
      <c r="B2389" s="334"/>
      <c r="C2389" s="332"/>
      <c r="D2389" s="334"/>
      <c r="E2389" s="335"/>
      <c r="F2389" s="334"/>
      <c r="G2389" s="332"/>
      <c r="H2389" s="332"/>
      <c r="I2389" s="334"/>
      <c r="J2389" s="336"/>
      <c r="K2389" s="332"/>
      <c r="L2389" s="332"/>
      <c r="M2389" s="76"/>
      <c r="N2389" s="103" t="str">
        <f>IF(A2389="","",VLOOKUP(A2389,Stand!C:K,9,0))</f>
        <v/>
      </c>
      <c r="O2389" s="104" t="str">
        <f t="shared" si="1037"/>
        <v/>
      </c>
      <c r="P2389" s="105" t="str">
        <f t="shared" si="1038"/>
        <v/>
      </c>
      <c r="Q2389" s="105" t="str">
        <f t="shared" si="1026"/>
        <v/>
      </c>
      <c r="R2389" s="103" t="str">
        <f t="shared" si="1039"/>
        <v/>
      </c>
      <c r="S2389" s="103" t="str">
        <f t="shared" si="1040"/>
        <v/>
      </c>
      <c r="T2389" s="106" t="str">
        <f t="shared" si="1027"/>
        <v/>
      </c>
      <c r="U2389" s="106" t="str">
        <f t="shared" si="1028"/>
        <v/>
      </c>
      <c r="V2389" s="106" t="str">
        <f t="shared" si="1029"/>
        <v/>
      </c>
      <c r="W2389" s="105" t="str">
        <f t="shared" si="1041"/>
        <v/>
      </c>
      <c r="X2389" s="104" t="str">
        <f t="shared" si="1046"/>
        <v/>
      </c>
      <c r="Y2389" s="104" t="str">
        <f t="array" ref="Y2389">IFERROR(IF(ISNUMBER(O2389),IF(COUNT(IF(A2389=$A$2:$A$2427,IF(D2389=$D$2:$D$2427,IF($X$2:$X$2427&gt;0,1))))&gt;0,SUM(IF(A2389=$A$2:$A$2427,IF(D2389=$D$2:$D$2427,$X$2:$X$2427)))/COUNT(IF(A2389=$A$2:$A$2427,IF(D2389=$D$2:$D$2427,IF(ISNUMBER($X$2:$X$2427),1)))),0),""),0)</f>
        <v/>
      </c>
      <c r="Z2389" s="104" t="str">
        <f>IF(ISNUMBER(O2389),IF(I2389&gt;0,(10^(VLOOKUP(D2389,'Species Codes'!B:C,2,0)+VLOOKUP(D2389,'Species Codes'!B:D,3,0)*LOG(E2389)+VLOOKUP(D2389,'Species Codes'!B:E,4,0)*LOG(I2389))),0),"")</f>
        <v/>
      </c>
      <c r="AA2389" s="104" t="str">
        <f>IFERROR((VLOOKUP(D2389,'Species Codes'!B:G,6,0)*Z2389)/2000,"")</f>
        <v/>
      </c>
      <c r="AB2389" s="104" t="e">
        <f>IF(Z2389&gt;0,((IF(OR(D2389="DF",D2389="RA")=TRUE,EXP(VLOOKUP(D2389,'Species Codes'!B:I,8,0)+VLOOKUP(D2389,'Species Codes'!B:J,9,0)*(LN((E2389*2.54)))),IF(OR(D2389="PY",D2389="RC",D2389="WH",D2389="NF")=TRUE,VLOOKUP(D2389,'Species Codes'!B:I,8,0)+VLOOKUP(D2389,'Species Codes'!B:J,9,0)*((E2389*2.54)^2)*(I2389*0.3048),IF(OR(D2389="MD",D2389="BM",D2389="GA")=TRUE,((VLOOKUP(D2389,'Species Codes'!B:I,8,0)*(((((E2389*2.54)+VLOOKUP(D2389,'Species Codes'!B:J,9,0))/VLOOKUP(D2389,'Species Codes'!B:K,10,0))^VLOOKUP(D2389,'Species Codes'!B:L,11,0))*((I2389*0.3048)^VLOOKUP(D2389,'Species Codes'!B:M,12,0))))-(VLOOKUP(D2389,'Species Codes'!B:I,8,0)*((((E2389*2.54)^VLOOKUP(D2389,'Species Codes'!B:L,11,0))*((I2389*0.3048)^VLOOKUP(D2389,'Species Codes'!B:M,12,0))))))*35.3*VLOOKUP(D2389,'Species Codes'!B:G,6,0)/2.2046,VLOOKUP(D2389,'Species Codes'!B:I,8,0)+VLOOKUP(D2389,'Species Codes'!B:J,9,0)*(((E2389*2.54)/100)^2)*(I2389*0.3048)))))*0.0011023),0)</f>
        <v>#N/A</v>
      </c>
      <c r="AC2389" s="104" t="e">
        <f>IF(Z2389&gt;0,((IF(OR(D2389="RA",D2389="OA",D2389="OT",D2389="UN",D2389="PC"),EXP(VLOOKUP(D2389,'Species Codes'!B:O,14,0)+VLOOKUP(D2389,'Species Codes'!B:P,15,0)*LN((E2389*2.54)))-EXP(VLOOKUP(D2389,'Species Codes'!B:O,14,0)+VLOOKUP(D2389,'Species Codes'!B:P,15,0)*LN((E2389*2.54)))*(1/(VLOOKUP(D2389,'Species Codes'!B:Q,16,0)+VLOOKUP(D2389,'Species Codes'!B:R,17,0)*((E2389*2.54)^VLOOKUP(D2389,'Species Codes'!B:S,18,0)))),IF(OR(D2389="BM",D2389="MD",D2389="OA"),EXP(VLOOKUP(D2389,'Species Codes'!B:O,14,0)+VLOOKUP(D2389,'Species Codes'!B:P,15,0)*LN((E2389*2.54)))*(1-(1/(VLOOKUP(D2389,'Species Codes'!B:Q,16,0)+VLOOKUP(D2389,'Species Codes'!B:R,17,0)*((E2389*2.54)^VLOOKUP(D2389,'Species Codes'!B:S,18,0)))))/1000,IF(D2389="DF",EXP(VLOOKUP(D2389,'Species Codes'!B:O,14,0)+VLOOKUP(D2389,'Species Codes'!B:P,15,0)*LN((E2389*2.54))),VLOOKUP(D2389,'Species Codes'!B:O,14,0)+VLOOKUP(D2389,'Species Codes'!B:P,15,0)*(((E2389*2.54)/100)^2)*(I2389*0.3048)))))*0.0011023),0)</f>
        <v>#N/A</v>
      </c>
      <c r="AD2389" s="104" t="e">
        <f t="shared" si="1030"/>
        <v>#N/A</v>
      </c>
      <c r="AE2389" s="104" t="e">
        <f t="shared" si="1031"/>
        <v>#N/A</v>
      </c>
      <c r="AF2389" s="104" t="e">
        <f>IF(AND(VLOOKUP($D2389,Merchantability!$B:$C,2,0)="Yes",$E2389&gt;=VLOOKUP($D2389,Merchantability!$B:$D,3,0),$E2389&lt;=VLOOKUP($D2389,Merchantability!$B:$E,4,0)),AA2389,0)</f>
        <v>#N/A</v>
      </c>
      <c r="AG2389" s="104" t="e">
        <f>IF(AND(VLOOKUP($D2389,Merchantability!$B:$C,2,0)="Yes",$E2389&gt;=VLOOKUP($D2389,Merchantability!$B:$D,3,0),$E2389&lt;=VLOOKUP($D2389,Merchantability!$B:$E,4,0)),AB2389,0)</f>
        <v>#N/A</v>
      </c>
      <c r="AH2389" s="104" t="e">
        <f>IF(AND(VLOOKUP($D2389,Merchantability!$B:$C,2,0)="Yes",$E2389&gt;=VLOOKUP($D2389,Merchantability!$B:$D,3,0),$E2389&lt;=VLOOKUP($D2389,Merchantability!$B:$E,4,0)),AC2389,0)</f>
        <v>#N/A</v>
      </c>
      <c r="AI2389" s="104" t="e">
        <f t="shared" si="1032"/>
        <v>#N/A</v>
      </c>
      <c r="AJ2389" s="104" t="e">
        <f t="shared" si="1033"/>
        <v>#VALUE!</v>
      </c>
      <c r="AK2389" s="104" t="e">
        <f t="shared" si="1034"/>
        <v>#N/A</v>
      </c>
      <c r="AL2389" s="104" t="e">
        <f t="shared" si="1035"/>
        <v>#N/A</v>
      </c>
      <c r="AM2389" s="104" t="e">
        <f t="shared" si="1036"/>
        <v>#N/A</v>
      </c>
      <c r="AN2389" s="104" t="e">
        <f t="shared" si="1047"/>
        <v>#N/A</v>
      </c>
      <c r="AO2389" s="104" t="e">
        <f t="shared" si="1048"/>
        <v>#N/A</v>
      </c>
      <c r="AP2389" s="104" t="e">
        <f t="shared" si="1049"/>
        <v>#N/A</v>
      </c>
      <c r="AQ2389" s="104" t="e">
        <f t="shared" si="1050"/>
        <v>#N/A</v>
      </c>
      <c r="AR2389" s="105" t="str">
        <f t="shared" si="1042"/>
        <v/>
      </c>
      <c r="AS2389" s="105" t="str">
        <f t="shared" si="1043"/>
        <v/>
      </c>
      <c r="AT2389" s="108" t="str">
        <f t="shared" si="1044"/>
        <v/>
      </c>
      <c r="AU2389" s="108" t="str">
        <f t="shared" si="1045"/>
        <v/>
      </c>
      <c r="AV2389" s="107" t="str">
        <f>IF(ISNUMBER(O2389),IF(VLOOKUP($A2389,Stand!C:J,8,FALSE)="Short",AT2389,AU2389),"")</f>
        <v/>
      </c>
      <c r="AW2389" s="109" t="str">
        <f t="shared" si="1051"/>
        <v/>
      </c>
      <c r="AX2389" s="109" t="str">
        <f t="shared" si="1052"/>
        <v/>
      </c>
      <c r="AY2389" s="112" t="str">
        <f>IF(ISNUMBER(O2389),IF(AND(VLOOKUP($D2389,Merchantability!$B:$C,2,0)="Yes",$E2389&gt;=VLOOKUP($D2389,Merchantability!$B:$D,3,0),$E2389&lt;=VLOOKUP($D2389,Merchantability!$B:$E,4,0)),(AV2389*O2389)*(1-$H2389/100),""),"")</f>
        <v/>
      </c>
      <c r="AZ2389" s="116"/>
      <c r="BA2389" s="116"/>
      <c r="BB2389" s="116"/>
      <c r="BE2389" s="62"/>
      <c r="BF2389" s="63"/>
    </row>
    <row r="2390" spans="1:58" ht="12.75" customHeight="1" x14ac:dyDescent="0.25">
      <c r="A2390" s="334"/>
      <c r="B2390" s="334"/>
      <c r="C2390" s="332"/>
      <c r="D2390" s="334"/>
      <c r="E2390" s="335"/>
      <c r="F2390" s="334"/>
      <c r="G2390" s="332"/>
      <c r="H2390" s="332"/>
      <c r="I2390" s="334"/>
      <c r="J2390" s="336"/>
      <c r="K2390" s="332"/>
      <c r="L2390" s="332"/>
      <c r="M2390" s="76"/>
      <c r="N2390" s="103" t="str">
        <f>IF(A2390="","",VLOOKUP(A2390,Stand!C:K,9,0))</f>
        <v/>
      </c>
      <c r="O2390" s="104" t="str">
        <f t="shared" si="1037"/>
        <v/>
      </c>
      <c r="P2390" s="105" t="str">
        <f t="shared" si="1038"/>
        <v/>
      </c>
      <c r="Q2390" s="105" t="str">
        <f t="shared" si="1026"/>
        <v/>
      </c>
      <c r="R2390" s="103" t="str">
        <f t="shared" si="1039"/>
        <v/>
      </c>
      <c r="S2390" s="103" t="str">
        <f t="shared" si="1040"/>
        <v/>
      </c>
      <c r="T2390" s="106" t="str">
        <f t="shared" si="1027"/>
        <v/>
      </c>
      <c r="U2390" s="106" t="str">
        <f t="shared" si="1028"/>
        <v/>
      </c>
      <c r="V2390" s="106" t="str">
        <f t="shared" si="1029"/>
        <v/>
      </c>
      <c r="W2390" s="105" t="str">
        <f t="shared" si="1041"/>
        <v/>
      </c>
      <c r="X2390" s="104" t="str">
        <f t="shared" si="1046"/>
        <v/>
      </c>
      <c r="Y2390" s="104" t="str">
        <f t="array" ref="Y2390">IFERROR(IF(ISNUMBER(O2390),IF(COUNT(IF(A2390=$A$2:$A$2427,IF(D2390=$D$2:$D$2427,IF($X$2:$X$2427&gt;0,1))))&gt;0,SUM(IF(A2390=$A$2:$A$2427,IF(D2390=$D$2:$D$2427,$X$2:$X$2427)))/COUNT(IF(A2390=$A$2:$A$2427,IF(D2390=$D$2:$D$2427,IF(ISNUMBER($X$2:$X$2427),1)))),0),""),0)</f>
        <v/>
      </c>
      <c r="Z2390" s="104" t="str">
        <f>IF(ISNUMBER(O2390),IF(I2390&gt;0,(10^(VLOOKUP(D2390,'Species Codes'!B:C,2,0)+VLOOKUP(D2390,'Species Codes'!B:D,3,0)*LOG(E2390)+VLOOKUP(D2390,'Species Codes'!B:E,4,0)*LOG(I2390))),0),"")</f>
        <v/>
      </c>
      <c r="AA2390" s="104" t="str">
        <f>IFERROR((VLOOKUP(D2390,'Species Codes'!B:G,6,0)*Z2390)/2000,"")</f>
        <v/>
      </c>
      <c r="AB2390" s="104" t="e">
        <f>IF(Z2390&gt;0,((IF(OR(D2390="DF",D2390="RA")=TRUE,EXP(VLOOKUP(D2390,'Species Codes'!B:I,8,0)+VLOOKUP(D2390,'Species Codes'!B:J,9,0)*(LN((E2390*2.54)))),IF(OR(D2390="PY",D2390="RC",D2390="WH",D2390="NF")=TRUE,VLOOKUP(D2390,'Species Codes'!B:I,8,0)+VLOOKUP(D2390,'Species Codes'!B:J,9,0)*((E2390*2.54)^2)*(I2390*0.3048),IF(OR(D2390="MD",D2390="BM",D2390="GA")=TRUE,((VLOOKUP(D2390,'Species Codes'!B:I,8,0)*(((((E2390*2.54)+VLOOKUP(D2390,'Species Codes'!B:J,9,0))/VLOOKUP(D2390,'Species Codes'!B:K,10,0))^VLOOKUP(D2390,'Species Codes'!B:L,11,0))*((I2390*0.3048)^VLOOKUP(D2390,'Species Codes'!B:M,12,0))))-(VLOOKUP(D2390,'Species Codes'!B:I,8,0)*((((E2390*2.54)^VLOOKUP(D2390,'Species Codes'!B:L,11,0))*((I2390*0.3048)^VLOOKUP(D2390,'Species Codes'!B:M,12,0))))))*35.3*VLOOKUP(D2390,'Species Codes'!B:G,6,0)/2.2046,VLOOKUP(D2390,'Species Codes'!B:I,8,0)+VLOOKUP(D2390,'Species Codes'!B:J,9,0)*(((E2390*2.54)/100)^2)*(I2390*0.3048)))))*0.0011023),0)</f>
        <v>#N/A</v>
      </c>
      <c r="AC2390" s="104" t="e">
        <f>IF(Z2390&gt;0,((IF(OR(D2390="RA",D2390="OA",D2390="OT",D2390="UN",D2390="PC"),EXP(VLOOKUP(D2390,'Species Codes'!B:O,14,0)+VLOOKUP(D2390,'Species Codes'!B:P,15,0)*LN((E2390*2.54)))-EXP(VLOOKUP(D2390,'Species Codes'!B:O,14,0)+VLOOKUP(D2390,'Species Codes'!B:P,15,0)*LN((E2390*2.54)))*(1/(VLOOKUP(D2390,'Species Codes'!B:Q,16,0)+VLOOKUP(D2390,'Species Codes'!B:R,17,0)*((E2390*2.54)^VLOOKUP(D2390,'Species Codes'!B:S,18,0)))),IF(OR(D2390="BM",D2390="MD",D2390="OA"),EXP(VLOOKUP(D2390,'Species Codes'!B:O,14,0)+VLOOKUP(D2390,'Species Codes'!B:P,15,0)*LN((E2390*2.54)))*(1-(1/(VLOOKUP(D2390,'Species Codes'!B:Q,16,0)+VLOOKUP(D2390,'Species Codes'!B:R,17,0)*((E2390*2.54)^VLOOKUP(D2390,'Species Codes'!B:S,18,0)))))/1000,IF(D2390="DF",EXP(VLOOKUP(D2390,'Species Codes'!B:O,14,0)+VLOOKUP(D2390,'Species Codes'!B:P,15,0)*LN((E2390*2.54))),VLOOKUP(D2390,'Species Codes'!B:O,14,0)+VLOOKUP(D2390,'Species Codes'!B:P,15,0)*(((E2390*2.54)/100)^2)*(I2390*0.3048)))))*0.0011023),0)</f>
        <v>#N/A</v>
      </c>
      <c r="AD2390" s="104" t="e">
        <f t="shared" si="1030"/>
        <v>#N/A</v>
      </c>
      <c r="AE2390" s="104" t="e">
        <f t="shared" si="1031"/>
        <v>#N/A</v>
      </c>
      <c r="AF2390" s="104" t="e">
        <f>IF(AND(VLOOKUP($D2390,Merchantability!$B:$C,2,0)="Yes",$E2390&gt;=VLOOKUP($D2390,Merchantability!$B:$D,3,0),$E2390&lt;=VLOOKUP($D2390,Merchantability!$B:$E,4,0)),AA2390,0)</f>
        <v>#N/A</v>
      </c>
      <c r="AG2390" s="104" t="e">
        <f>IF(AND(VLOOKUP($D2390,Merchantability!$B:$C,2,0)="Yes",$E2390&gt;=VLOOKUP($D2390,Merchantability!$B:$D,3,0),$E2390&lt;=VLOOKUP($D2390,Merchantability!$B:$E,4,0)),AB2390,0)</f>
        <v>#N/A</v>
      </c>
      <c r="AH2390" s="104" t="e">
        <f>IF(AND(VLOOKUP($D2390,Merchantability!$B:$C,2,0)="Yes",$E2390&gt;=VLOOKUP($D2390,Merchantability!$B:$D,3,0),$E2390&lt;=VLOOKUP($D2390,Merchantability!$B:$E,4,0)),AC2390,0)</f>
        <v>#N/A</v>
      </c>
      <c r="AI2390" s="104" t="e">
        <f t="shared" si="1032"/>
        <v>#N/A</v>
      </c>
      <c r="AJ2390" s="104" t="e">
        <f t="shared" si="1033"/>
        <v>#VALUE!</v>
      </c>
      <c r="AK2390" s="104" t="e">
        <f t="shared" si="1034"/>
        <v>#N/A</v>
      </c>
      <c r="AL2390" s="104" t="e">
        <f t="shared" si="1035"/>
        <v>#N/A</v>
      </c>
      <c r="AM2390" s="104" t="e">
        <f t="shared" si="1036"/>
        <v>#N/A</v>
      </c>
      <c r="AN2390" s="104" t="e">
        <f t="shared" si="1047"/>
        <v>#N/A</v>
      </c>
      <c r="AO2390" s="104" t="e">
        <f t="shared" si="1048"/>
        <v>#N/A</v>
      </c>
      <c r="AP2390" s="104" t="e">
        <f t="shared" si="1049"/>
        <v>#N/A</v>
      </c>
      <c r="AQ2390" s="104" t="e">
        <f t="shared" si="1050"/>
        <v>#N/A</v>
      </c>
      <c r="AR2390" s="105" t="str">
        <f t="shared" si="1042"/>
        <v/>
      </c>
      <c r="AS2390" s="105" t="str">
        <f t="shared" si="1043"/>
        <v/>
      </c>
      <c r="AT2390" s="108" t="str">
        <f t="shared" si="1044"/>
        <v/>
      </c>
      <c r="AU2390" s="108" t="str">
        <f t="shared" si="1045"/>
        <v/>
      </c>
      <c r="AV2390" s="107" t="str">
        <f>IF(ISNUMBER(O2390),IF(VLOOKUP($A2390,Stand!C:J,8,FALSE)="Short",AT2390,AU2390),"")</f>
        <v/>
      </c>
      <c r="AW2390" s="109" t="str">
        <f t="shared" si="1051"/>
        <v/>
      </c>
      <c r="AX2390" s="109" t="str">
        <f t="shared" si="1052"/>
        <v/>
      </c>
      <c r="AY2390" s="112" t="str">
        <f>IF(ISNUMBER(O2390),IF(AND(VLOOKUP($D2390,Merchantability!$B:$C,2,0)="Yes",$E2390&gt;=VLOOKUP($D2390,Merchantability!$B:$D,3,0),$E2390&lt;=VLOOKUP($D2390,Merchantability!$B:$E,4,0)),(AV2390*O2390)*(1-$H2390/100),""),"")</f>
        <v/>
      </c>
      <c r="AZ2390" s="116"/>
      <c r="BA2390" s="116"/>
      <c r="BB2390" s="116"/>
      <c r="BE2390" s="62"/>
      <c r="BF2390" s="63"/>
    </row>
    <row r="2391" spans="1:58" ht="12.75" customHeight="1" x14ac:dyDescent="0.25">
      <c r="A2391" s="334"/>
      <c r="B2391" s="334"/>
      <c r="C2391" s="332"/>
      <c r="D2391" s="334"/>
      <c r="E2391" s="335"/>
      <c r="F2391" s="334"/>
      <c r="G2391" s="332"/>
      <c r="H2391" s="332"/>
      <c r="I2391" s="334"/>
      <c r="J2391" s="336"/>
      <c r="K2391" s="332"/>
      <c r="L2391" s="332"/>
      <c r="M2391" s="76"/>
      <c r="N2391" s="103" t="str">
        <f>IF(A2391="","",VLOOKUP(A2391,Stand!C:K,9,0))</f>
        <v/>
      </c>
      <c r="O2391" s="104" t="str">
        <f t="shared" si="1037"/>
        <v/>
      </c>
      <c r="P2391" s="105" t="str">
        <f t="shared" si="1038"/>
        <v/>
      </c>
      <c r="Q2391" s="105" t="str">
        <f t="shared" si="1026"/>
        <v/>
      </c>
      <c r="R2391" s="103" t="str">
        <f t="shared" si="1039"/>
        <v/>
      </c>
      <c r="S2391" s="103" t="str">
        <f t="shared" si="1040"/>
        <v/>
      </c>
      <c r="T2391" s="106" t="str">
        <f t="shared" si="1027"/>
        <v/>
      </c>
      <c r="U2391" s="106" t="str">
        <f t="shared" si="1028"/>
        <v/>
      </c>
      <c r="V2391" s="106" t="str">
        <f t="shared" si="1029"/>
        <v/>
      </c>
      <c r="W2391" s="105" t="str">
        <f t="shared" si="1041"/>
        <v/>
      </c>
      <c r="X2391" s="104" t="str">
        <f t="shared" si="1046"/>
        <v/>
      </c>
      <c r="Y2391" s="104" t="str">
        <f t="array" ref="Y2391">IFERROR(IF(ISNUMBER(O2391),IF(COUNT(IF(A2391=$A$2:$A$2427,IF(D2391=$D$2:$D$2427,IF($X$2:$X$2427&gt;0,1))))&gt;0,SUM(IF(A2391=$A$2:$A$2427,IF(D2391=$D$2:$D$2427,$X$2:$X$2427)))/COUNT(IF(A2391=$A$2:$A$2427,IF(D2391=$D$2:$D$2427,IF(ISNUMBER($X$2:$X$2427),1)))),0),""),0)</f>
        <v/>
      </c>
      <c r="Z2391" s="104" t="str">
        <f>IF(ISNUMBER(O2391),IF(I2391&gt;0,(10^(VLOOKUP(D2391,'Species Codes'!B:C,2,0)+VLOOKUP(D2391,'Species Codes'!B:D,3,0)*LOG(E2391)+VLOOKUP(D2391,'Species Codes'!B:E,4,0)*LOG(I2391))),0),"")</f>
        <v/>
      </c>
      <c r="AA2391" s="104" t="str">
        <f>IFERROR((VLOOKUP(D2391,'Species Codes'!B:G,6,0)*Z2391)/2000,"")</f>
        <v/>
      </c>
      <c r="AB2391" s="104" t="e">
        <f>IF(Z2391&gt;0,((IF(OR(D2391="DF",D2391="RA")=TRUE,EXP(VLOOKUP(D2391,'Species Codes'!B:I,8,0)+VLOOKUP(D2391,'Species Codes'!B:J,9,0)*(LN((E2391*2.54)))),IF(OR(D2391="PY",D2391="RC",D2391="WH",D2391="NF")=TRUE,VLOOKUP(D2391,'Species Codes'!B:I,8,0)+VLOOKUP(D2391,'Species Codes'!B:J,9,0)*((E2391*2.54)^2)*(I2391*0.3048),IF(OR(D2391="MD",D2391="BM",D2391="GA")=TRUE,((VLOOKUP(D2391,'Species Codes'!B:I,8,0)*(((((E2391*2.54)+VLOOKUP(D2391,'Species Codes'!B:J,9,0))/VLOOKUP(D2391,'Species Codes'!B:K,10,0))^VLOOKUP(D2391,'Species Codes'!B:L,11,0))*((I2391*0.3048)^VLOOKUP(D2391,'Species Codes'!B:M,12,0))))-(VLOOKUP(D2391,'Species Codes'!B:I,8,0)*((((E2391*2.54)^VLOOKUP(D2391,'Species Codes'!B:L,11,0))*((I2391*0.3048)^VLOOKUP(D2391,'Species Codes'!B:M,12,0))))))*35.3*VLOOKUP(D2391,'Species Codes'!B:G,6,0)/2.2046,VLOOKUP(D2391,'Species Codes'!B:I,8,0)+VLOOKUP(D2391,'Species Codes'!B:J,9,0)*(((E2391*2.54)/100)^2)*(I2391*0.3048)))))*0.0011023),0)</f>
        <v>#N/A</v>
      </c>
      <c r="AC2391" s="104" t="e">
        <f>IF(Z2391&gt;0,((IF(OR(D2391="RA",D2391="OA",D2391="OT",D2391="UN",D2391="PC"),EXP(VLOOKUP(D2391,'Species Codes'!B:O,14,0)+VLOOKUP(D2391,'Species Codes'!B:P,15,0)*LN((E2391*2.54)))-EXP(VLOOKUP(D2391,'Species Codes'!B:O,14,0)+VLOOKUP(D2391,'Species Codes'!B:P,15,0)*LN((E2391*2.54)))*(1/(VLOOKUP(D2391,'Species Codes'!B:Q,16,0)+VLOOKUP(D2391,'Species Codes'!B:R,17,0)*((E2391*2.54)^VLOOKUP(D2391,'Species Codes'!B:S,18,0)))),IF(OR(D2391="BM",D2391="MD",D2391="OA"),EXP(VLOOKUP(D2391,'Species Codes'!B:O,14,0)+VLOOKUP(D2391,'Species Codes'!B:P,15,0)*LN((E2391*2.54)))*(1-(1/(VLOOKUP(D2391,'Species Codes'!B:Q,16,0)+VLOOKUP(D2391,'Species Codes'!B:R,17,0)*((E2391*2.54)^VLOOKUP(D2391,'Species Codes'!B:S,18,0)))))/1000,IF(D2391="DF",EXP(VLOOKUP(D2391,'Species Codes'!B:O,14,0)+VLOOKUP(D2391,'Species Codes'!B:P,15,0)*LN((E2391*2.54))),VLOOKUP(D2391,'Species Codes'!B:O,14,0)+VLOOKUP(D2391,'Species Codes'!B:P,15,0)*(((E2391*2.54)/100)^2)*(I2391*0.3048)))))*0.0011023),0)</f>
        <v>#N/A</v>
      </c>
      <c r="AD2391" s="104" t="e">
        <f t="shared" si="1030"/>
        <v>#N/A</v>
      </c>
      <c r="AE2391" s="104" t="e">
        <f t="shared" si="1031"/>
        <v>#N/A</v>
      </c>
      <c r="AF2391" s="104" t="e">
        <f>IF(AND(VLOOKUP($D2391,Merchantability!$B:$C,2,0)="Yes",$E2391&gt;=VLOOKUP($D2391,Merchantability!$B:$D,3,0),$E2391&lt;=VLOOKUP($D2391,Merchantability!$B:$E,4,0)),AA2391,0)</f>
        <v>#N/A</v>
      </c>
      <c r="AG2391" s="104" t="e">
        <f>IF(AND(VLOOKUP($D2391,Merchantability!$B:$C,2,0)="Yes",$E2391&gt;=VLOOKUP($D2391,Merchantability!$B:$D,3,0),$E2391&lt;=VLOOKUP($D2391,Merchantability!$B:$E,4,0)),AB2391,0)</f>
        <v>#N/A</v>
      </c>
      <c r="AH2391" s="104" t="e">
        <f>IF(AND(VLOOKUP($D2391,Merchantability!$B:$C,2,0)="Yes",$E2391&gt;=VLOOKUP($D2391,Merchantability!$B:$D,3,0),$E2391&lt;=VLOOKUP($D2391,Merchantability!$B:$E,4,0)),AC2391,0)</f>
        <v>#N/A</v>
      </c>
      <c r="AI2391" s="104" t="e">
        <f t="shared" si="1032"/>
        <v>#N/A</v>
      </c>
      <c r="AJ2391" s="104" t="e">
        <f t="shared" si="1033"/>
        <v>#VALUE!</v>
      </c>
      <c r="AK2391" s="104" t="e">
        <f t="shared" si="1034"/>
        <v>#N/A</v>
      </c>
      <c r="AL2391" s="104" t="e">
        <f t="shared" si="1035"/>
        <v>#N/A</v>
      </c>
      <c r="AM2391" s="104" t="e">
        <f t="shared" si="1036"/>
        <v>#N/A</v>
      </c>
      <c r="AN2391" s="104" t="e">
        <f t="shared" si="1047"/>
        <v>#N/A</v>
      </c>
      <c r="AO2391" s="104" t="e">
        <f t="shared" si="1048"/>
        <v>#N/A</v>
      </c>
      <c r="AP2391" s="104" t="e">
        <f t="shared" si="1049"/>
        <v>#N/A</v>
      </c>
      <c r="AQ2391" s="104" t="e">
        <f t="shared" si="1050"/>
        <v>#N/A</v>
      </c>
      <c r="AR2391" s="105" t="str">
        <f t="shared" si="1042"/>
        <v/>
      </c>
      <c r="AS2391" s="105" t="str">
        <f t="shared" si="1043"/>
        <v/>
      </c>
      <c r="AT2391" s="108" t="str">
        <f t="shared" si="1044"/>
        <v/>
      </c>
      <c r="AU2391" s="108" t="str">
        <f t="shared" si="1045"/>
        <v/>
      </c>
      <c r="AV2391" s="107" t="str">
        <f>IF(ISNUMBER(O2391),IF(VLOOKUP($A2391,Stand!C:J,8,FALSE)="Short",AT2391,AU2391),"")</f>
        <v/>
      </c>
      <c r="AW2391" s="109" t="str">
        <f t="shared" si="1051"/>
        <v/>
      </c>
      <c r="AX2391" s="109" t="str">
        <f t="shared" si="1052"/>
        <v/>
      </c>
      <c r="AY2391" s="112" t="str">
        <f>IF(ISNUMBER(O2391),IF(AND(VLOOKUP($D2391,Merchantability!$B:$C,2,0)="Yes",$E2391&gt;=VLOOKUP($D2391,Merchantability!$B:$D,3,0),$E2391&lt;=VLOOKUP($D2391,Merchantability!$B:$E,4,0)),(AV2391*O2391)*(1-$H2391/100),""),"")</f>
        <v/>
      </c>
      <c r="AZ2391" s="116"/>
      <c r="BA2391" s="116"/>
      <c r="BB2391" s="116"/>
      <c r="BE2391" s="62"/>
      <c r="BF2391" s="63"/>
    </row>
    <row r="2392" spans="1:58" ht="12.75" customHeight="1" x14ac:dyDescent="0.25">
      <c r="A2392" s="334"/>
      <c r="B2392" s="334"/>
      <c r="C2392" s="332"/>
      <c r="D2392" s="334"/>
      <c r="E2392" s="335"/>
      <c r="F2392" s="334"/>
      <c r="G2392" s="332"/>
      <c r="H2392" s="332"/>
      <c r="I2392" s="334"/>
      <c r="J2392" s="336"/>
      <c r="K2392" s="332"/>
      <c r="L2392" s="332"/>
      <c r="M2392" s="76"/>
      <c r="N2392" s="103" t="str">
        <f>IF(A2392="","",VLOOKUP(A2392,Stand!C:K,9,0))</f>
        <v/>
      </c>
      <c r="O2392" s="104" t="str">
        <f t="shared" si="1037"/>
        <v/>
      </c>
      <c r="P2392" s="105" t="str">
        <f t="shared" si="1038"/>
        <v/>
      </c>
      <c r="Q2392" s="105" t="str">
        <f t="shared" si="1026"/>
        <v/>
      </c>
      <c r="R2392" s="103" t="str">
        <f t="shared" si="1039"/>
        <v/>
      </c>
      <c r="S2392" s="103" t="str">
        <f t="shared" si="1040"/>
        <v/>
      </c>
      <c r="T2392" s="106" t="str">
        <f t="shared" si="1027"/>
        <v/>
      </c>
      <c r="U2392" s="106" t="str">
        <f t="shared" si="1028"/>
        <v/>
      </c>
      <c r="V2392" s="106" t="str">
        <f t="shared" si="1029"/>
        <v/>
      </c>
      <c r="W2392" s="105" t="str">
        <f t="shared" si="1041"/>
        <v/>
      </c>
      <c r="X2392" s="104" t="str">
        <f t="shared" si="1046"/>
        <v/>
      </c>
      <c r="Y2392" s="104" t="str">
        <f t="array" ref="Y2392">IFERROR(IF(ISNUMBER(O2392),IF(COUNT(IF(A2392=$A$2:$A$2427,IF(D2392=$D$2:$D$2427,IF($X$2:$X$2427&gt;0,1))))&gt;0,SUM(IF(A2392=$A$2:$A$2427,IF(D2392=$D$2:$D$2427,$X$2:$X$2427)))/COUNT(IF(A2392=$A$2:$A$2427,IF(D2392=$D$2:$D$2427,IF(ISNUMBER($X$2:$X$2427),1)))),0),""),0)</f>
        <v/>
      </c>
      <c r="Z2392" s="104" t="str">
        <f>IF(ISNUMBER(O2392),IF(I2392&gt;0,(10^(VLOOKUP(D2392,'Species Codes'!B:C,2,0)+VLOOKUP(D2392,'Species Codes'!B:D,3,0)*LOG(E2392)+VLOOKUP(D2392,'Species Codes'!B:E,4,0)*LOG(I2392))),0),"")</f>
        <v/>
      </c>
      <c r="AA2392" s="104" t="str">
        <f>IFERROR((VLOOKUP(D2392,'Species Codes'!B:G,6,0)*Z2392)/2000,"")</f>
        <v/>
      </c>
      <c r="AB2392" s="104" t="e">
        <f>IF(Z2392&gt;0,((IF(OR(D2392="DF",D2392="RA")=TRUE,EXP(VLOOKUP(D2392,'Species Codes'!B:I,8,0)+VLOOKUP(D2392,'Species Codes'!B:J,9,0)*(LN((E2392*2.54)))),IF(OR(D2392="PY",D2392="RC",D2392="WH",D2392="NF")=TRUE,VLOOKUP(D2392,'Species Codes'!B:I,8,0)+VLOOKUP(D2392,'Species Codes'!B:J,9,0)*((E2392*2.54)^2)*(I2392*0.3048),IF(OR(D2392="MD",D2392="BM",D2392="GA")=TRUE,((VLOOKUP(D2392,'Species Codes'!B:I,8,0)*(((((E2392*2.54)+VLOOKUP(D2392,'Species Codes'!B:J,9,0))/VLOOKUP(D2392,'Species Codes'!B:K,10,0))^VLOOKUP(D2392,'Species Codes'!B:L,11,0))*((I2392*0.3048)^VLOOKUP(D2392,'Species Codes'!B:M,12,0))))-(VLOOKUP(D2392,'Species Codes'!B:I,8,0)*((((E2392*2.54)^VLOOKUP(D2392,'Species Codes'!B:L,11,0))*((I2392*0.3048)^VLOOKUP(D2392,'Species Codes'!B:M,12,0))))))*35.3*VLOOKUP(D2392,'Species Codes'!B:G,6,0)/2.2046,VLOOKUP(D2392,'Species Codes'!B:I,8,0)+VLOOKUP(D2392,'Species Codes'!B:J,9,0)*(((E2392*2.54)/100)^2)*(I2392*0.3048)))))*0.0011023),0)</f>
        <v>#N/A</v>
      </c>
      <c r="AC2392" s="104" t="e">
        <f>IF(Z2392&gt;0,((IF(OR(D2392="RA",D2392="OA",D2392="OT",D2392="UN",D2392="PC"),EXP(VLOOKUP(D2392,'Species Codes'!B:O,14,0)+VLOOKUP(D2392,'Species Codes'!B:P,15,0)*LN((E2392*2.54)))-EXP(VLOOKUP(D2392,'Species Codes'!B:O,14,0)+VLOOKUP(D2392,'Species Codes'!B:P,15,0)*LN((E2392*2.54)))*(1/(VLOOKUP(D2392,'Species Codes'!B:Q,16,0)+VLOOKUP(D2392,'Species Codes'!B:R,17,0)*((E2392*2.54)^VLOOKUP(D2392,'Species Codes'!B:S,18,0)))),IF(OR(D2392="BM",D2392="MD",D2392="OA"),EXP(VLOOKUP(D2392,'Species Codes'!B:O,14,0)+VLOOKUP(D2392,'Species Codes'!B:P,15,0)*LN((E2392*2.54)))*(1-(1/(VLOOKUP(D2392,'Species Codes'!B:Q,16,0)+VLOOKUP(D2392,'Species Codes'!B:R,17,0)*((E2392*2.54)^VLOOKUP(D2392,'Species Codes'!B:S,18,0)))))/1000,IF(D2392="DF",EXP(VLOOKUP(D2392,'Species Codes'!B:O,14,0)+VLOOKUP(D2392,'Species Codes'!B:P,15,0)*LN((E2392*2.54))),VLOOKUP(D2392,'Species Codes'!B:O,14,0)+VLOOKUP(D2392,'Species Codes'!B:P,15,0)*(((E2392*2.54)/100)^2)*(I2392*0.3048)))))*0.0011023),0)</f>
        <v>#N/A</v>
      </c>
      <c r="AD2392" s="104" t="e">
        <f t="shared" si="1030"/>
        <v>#N/A</v>
      </c>
      <c r="AE2392" s="104" t="e">
        <f t="shared" si="1031"/>
        <v>#N/A</v>
      </c>
      <c r="AF2392" s="104" t="e">
        <f>IF(AND(VLOOKUP($D2392,Merchantability!$B:$C,2,0)="Yes",$E2392&gt;=VLOOKUP($D2392,Merchantability!$B:$D,3,0),$E2392&lt;=VLOOKUP($D2392,Merchantability!$B:$E,4,0)),AA2392,0)</f>
        <v>#N/A</v>
      </c>
      <c r="AG2392" s="104" t="e">
        <f>IF(AND(VLOOKUP($D2392,Merchantability!$B:$C,2,0)="Yes",$E2392&gt;=VLOOKUP($D2392,Merchantability!$B:$D,3,0),$E2392&lt;=VLOOKUP($D2392,Merchantability!$B:$E,4,0)),AB2392,0)</f>
        <v>#N/A</v>
      </c>
      <c r="AH2392" s="104" t="e">
        <f>IF(AND(VLOOKUP($D2392,Merchantability!$B:$C,2,0)="Yes",$E2392&gt;=VLOOKUP($D2392,Merchantability!$B:$D,3,0),$E2392&lt;=VLOOKUP($D2392,Merchantability!$B:$E,4,0)),AC2392,0)</f>
        <v>#N/A</v>
      </c>
      <c r="AI2392" s="104" t="e">
        <f t="shared" si="1032"/>
        <v>#N/A</v>
      </c>
      <c r="AJ2392" s="104" t="e">
        <f t="shared" si="1033"/>
        <v>#VALUE!</v>
      </c>
      <c r="AK2392" s="104" t="e">
        <f t="shared" si="1034"/>
        <v>#N/A</v>
      </c>
      <c r="AL2392" s="104" t="e">
        <f t="shared" si="1035"/>
        <v>#N/A</v>
      </c>
      <c r="AM2392" s="104" t="e">
        <f t="shared" si="1036"/>
        <v>#N/A</v>
      </c>
      <c r="AN2392" s="104" t="e">
        <f t="shared" si="1047"/>
        <v>#N/A</v>
      </c>
      <c r="AO2392" s="104" t="e">
        <f t="shared" si="1048"/>
        <v>#N/A</v>
      </c>
      <c r="AP2392" s="104" t="e">
        <f t="shared" si="1049"/>
        <v>#N/A</v>
      </c>
      <c r="AQ2392" s="104" t="e">
        <f t="shared" si="1050"/>
        <v>#N/A</v>
      </c>
      <c r="AR2392" s="105" t="str">
        <f t="shared" si="1042"/>
        <v/>
      </c>
      <c r="AS2392" s="105" t="str">
        <f t="shared" si="1043"/>
        <v/>
      </c>
      <c r="AT2392" s="108" t="str">
        <f t="shared" si="1044"/>
        <v/>
      </c>
      <c r="AU2392" s="108" t="str">
        <f t="shared" si="1045"/>
        <v/>
      </c>
      <c r="AV2392" s="107" t="str">
        <f>IF(ISNUMBER(O2392),IF(VLOOKUP($A2392,Stand!C:J,8,FALSE)="Short",AT2392,AU2392),"")</f>
        <v/>
      </c>
      <c r="AW2392" s="109" t="str">
        <f t="shared" si="1051"/>
        <v/>
      </c>
      <c r="AX2392" s="109" t="str">
        <f t="shared" si="1052"/>
        <v/>
      </c>
      <c r="AY2392" s="112" t="str">
        <f>IF(ISNUMBER(O2392),IF(AND(VLOOKUP($D2392,Merchantability!$B:$C,2,0)="Yes",$E2392&gt;=VLOOKUP($D2392,Merchantability!$B:$D,3,0),$E2392&lt;=VLOOKUP($D2392,Merchantability!$B:$E,4,0)),(AV2392*O2392)*(1-$H2392/100),""),"")</f>
        <v/>
      </c>
      <c r="AZ2392" s="116"/>
      <c r="BA2392" s="116"/>
      <c r="BB2392" s="116"/>
      <c r="BE2392" s="62"/>
      <c r="BF2392" s="63"/>
    </row>
    <row r="2393" spans="1:58" ht="12.75" customHeight="1" x14ac:dyDescent="0.25">
      <c r="A2393" s="334"/>
      <c r="B2393" s="334"/>
      <c r="C2393" s="332"/>
      <c r="D2393" s="334"/>
      <c r="E2393" s="335"/>
      <c r="F2393" s="334"/>
      <c r="G2393" s="332"/>
      <c r="H2393" s="332"/>
      <c r="I2393" s="334"/>
      <c r="J2393" s="336"/>
      <c r="K2393" s="332"/>
      <c r="L2393" s="332"/>
      <c r="M2393" s="76"/>
      <c r="N2393" s="103" t="str">
        <f>IF(A2393="","",VLOOKUP(A2393,Stand!C:K,9,0))</f>
        <v/>
      </c>
      <c r="O2393" s="104" t="str">
        <f t="shared" si="1037"/>
        <v/>
      </c>
      <c r="P2393" s="105" t="str">
        <f t="shared" si="1038"/>
        <v/>
      </c>
      <c r="Q2393" s="105" t="str">
        <f t="shared" si="1026"/>
        <v/>
      </c>
      <c r="R2393" s="103" t="str">
        <f t="shared" si="1039"/>
        <v/>
      </c>
      <c r="S2393" s="103" t="str">
        <f t="shared" si="1040"/>
        <v/>
      </c>
      <c r="T2393" s="106" t="str">
        <f t="shared" si="1027"/>
        <v/>
      </c>
      <c r="U2393" s="106" t="str">
        <f t="shared" si="1028"/>
        <v/>
      </c>
      <c r="V2393" s="106" t="str">
        <f t="shared" si="1029"/>
        <v/>
      </c>
      <c r="W2393" s="105" t="str">
        <f t="shared" si="1041"/>
        <v/>
      </c>
      <c r="X2393" s="104" t="str">
        <f t="shared" si="1046"/>
        <v/>
      </c>
      <c r="Y2393" s="104" t="str">
        <f t="array" ref="Y2393">IFERROR(IF(ISNUMBER(O2393),IF(COUNT(IF(A2393=$A$2:$A$2427,IF(D2393=$D$2:$D$2427,IF($X$2:$X$2427&gt;0,1))))&gt;0,SUM(IF(A2393=$A$2:$A$2427,IF(D2393=$D$2:$D$2427,$X$2:$X$2427)))/COUNT(IF(A2393=$A$2:$A$2427,IF(D2393=$D$2:$D$2427,IF(ISNUMBER($X$2:$X$2427),1)))),0),""),0)</f>
        <v/>
      </c>
      <c r="Z2393" s="104" t="str">
        <f>IF(ISNUMBER(O2393),IF(I2393&gt;0,(10^(VLOOKUP(D2393,'Species Codes'!B:C,2,0)+VLOOKUP(D2393,'Species Codes'!B:D,3,0)*LOG(E2393)+VLOOKUP(D2393,'Species Codes'!B:E,4,0)*LOG(I2393))),0),"")</f>
        <v/>
      </c>
      <c r="AA2393" s="104" t="str">
        <f>IFERROR((VLOOKUP(D2393,'Species Codes'!B:G,6,0)*Z2393)/2000,"")</f>
        <v/>
      </c>
      <c r="AB2393" s="104" t="e">
        <f>IF(Z2393&gt;0,((IF(OR(D2393="DF",D2393="RA")=TRUE,EXP(VLOOKUP(D2393,'Species Codes'!B:I,8,0)+VLOOKUP(D2393,'Species Codes'!B:J,9,0)*(LN((E2393*2.54)))),IF(OR(D2393="PY",D2393="RC",D2393="WH",D2393="NF")=TRUE,VLOOKUP(D2393,'Species Codes'!B:I,8,0)+VLOOKUP(D2393,'Species Codes'!B:J,9,0)*((E2393*2.54)^2)*(I2393*0.3048),IF(OR(D2393="MD",D2393="BM",D2393="GA")=TRUE,((VLOOKUP(D2393,'Species Codes'!B:I,8,0)*(((((E2393*2.54)+VLOOKUP(D2393,'Species Codes'!B:J,9,0))/VLOOKUP(D2393,'Species Codes'!B:K,10,0))^VLOOKUP(D2393,'Species Codes'!B:L,11,0))*((I2393*0.3048)^VLOOKUP(D2393,'Species Codes'!B:M,12,0))))-(VLOOKUP(D2393,'Species Codes'!B:I,8,0)*((((E2393*2.54)^VLOOKUP(D2393,'Species Codes'!B:L,11,0))*((I2393*0.3048)^VLOOKUP(D2393,'Species Codes'!B:M,12,0))))))*35.3*VLOOKUP(D2393,'Species Codes'!B:G,6,0)/2.2046,VLOOKUP(D2393,'Species Codes'!B:I,8,0)+VLOOKUP(D2393,'Species Codes'!B:J,9,0)*(((E2393*2.54)/100)^2)*(I2393*0.3048)))))*0.0011023),0)</f>
        <v>#N/A</v>
      </c>
      <c r="AC2393" s="104" t="e">
        <f>IF(Z2393&gt;0,((IF(OR(D2393="RA",D2393="OA",D2393="OT",D2393="UN",D2393="PC"),EXP(VLOOKUP(D2393,'Species Codes'!B:O,14,0)+VLOOKUP(D2393,'Species Codes'!B:P,15,0)*LN((E2393*2.54)))-EXP(VLOOKUP(D2393,'Species Codes'!B:O,14,0)+VLOOKUP(D2393,'Species Codes'!B:P,15,0)*LN((E2393*2.54)))*(1/(VLOOKUP(D2393,'Species Codes'!B:Q,16,0)+VLOOKUP(D2393,'Species Codes'!B:R,17,0)*((E2393*2.54)^VLOOKUP(D2393,'Species Codes'!B:S,18,0)))),IF(OR(D2393="BM",D2393="MD",D2393="OA"),EXP(VLOOKUP(D2393,'Species Codes'!B:O,14,0)+VLOOKUP(D2393,'Species Codes'!B:P,15,0)*LN((E2393*2.54)))*(1-(1/(VLOOKUP(D2393,'Species Codes'!B:Q,16,0)+VLOOKUP(D2393,'Species Codes'!B:R,17,0)*((E2393*2.54)^VLOOKUP(D2393,'Species Codes'!B:S,18,0)))))/1000,IF(D2393="DF",EXP(VLOOKUP(D2393,'Species Codes'!B:O,14,0)+VLOOKUP(D2393,'Species Codes'!B:P,15,0)*LN((E2393*2.54))),VLOOKUP(D2393,'Species Codes'!B:O,14,0)+VLOOKUP(D2393,'Species Codes'!B:P,15,0)*(((E2393*2.54)/100)^2)*(I2393*0.3048)))))*0.0011023),0)</f>
        <v>#N/A</v>
      </c>
      <c r="AD2393" s="104" t="e">
        <f t="shared" si="1030"/>
        <v>#N/A</v>
      </c>
      <c r="AE2393" s="104" t="e">
        <f t="shared" si="1031"/>
        <v>#N/A</v>
      </c>
      <c r="AF2393" s="104" t="e">
        <f>IF(AND(VLOOKUP($D2393,Merchantability!$B:$C,2,0)="Yes",$E2393&gt;=VLOOKUP($D2393,Merchantability!$B:$D,3,0),$E2393&lt;=VLOOKUP($D2393,Merchantability!$B:$E,4,0)),AA2393,0)</f>
        <v>#N/A</v>
      </c>
      <c r="AG2393" s="104" t="e">
        <f>IF(AND(VLOOKUP($D2393,Merchantability!$B:$C,2,0)="Yes",$E2393&gt;=VLOOKUP($D2393,Merchantability!$B:$D,3,0),$E2393&lt;=VLOOKUP($D2393,Merchantability!$B:$E,4,0)),AB2393,0)</f>
        <v>#N/A</v>
      </c>
      <c r="AH2393" s="104" t="e">
        <f>IF(AND(VLOOKUP($D2393,Merchantability!$B:$C,2,0)="Yes",$E2393&gt;=VLOOKUP($D2393,Merchantability!$B:$D,3,0),$E2393&lt;=VLOOKUP($D2393,Merchantability!$B:$E,4,0)),AC2393,0)</f>
        <v>#N/A</v>
      </c>
      <c r="AI2393" s="104" t="e">
        <f t="shared" si="1032"/>
        <v>#N/A</v>
      </c>
      <c r="AJ2393" s="104" t="e">
        <f t="shared" si="1033"/>
        <v>#VALUE!</v>
      </c>
      <c r="AK2393" s="104" t="e">
        <f t="shared" si="1034"/>
        <v>#N/A</v>
      </c>
      <c r="AL2393" s="104" t="e">
        <f t="shared" si="1035"/>
        <v>#N/A</v>
      </c>
      <c r="AM2393" s="104" t="e">
        <f t="shared" si="1036"/>
        <v>#N/A</v>
      </c>
      <c r="AN2393" s="104" t="e">
        <f t="shared" si="1047"/>
        <v>#N/A</v>
      </c>
      <c r="AO2393" s="104" t="e">
        <f t="shared" si="1048"/>
        <v>#N/A</v>
      </c>
      <c r="AP2393" s="104" t="e">
        <f t="shared" si="1049"/>
        <v>#N/A</v>
      </c>
      <c r="AQ2393" s="104" t="e">
        <f t="shared" si="1050"/>
        <v>#N/A</v>
      </c>
      <c r="AR2393" s="105" t="str">
        <f t="shared" si="1042"/>
        <v/>
      </c>
      <c r="AS2393" s="105" t="str">
        <f t="shared" si="1043"/>
        <v/>
      </c>
      <c r="AT2393" s="108" t="str">
        <f t="shared" si="1044"/>
        <v/>
      </c>
      <c r="AU2393" s="108" t="str">
        <f t="shared" si="1045"/>
        <v/>
      </c>
      <c r="AV2393" s="107" t="str">
        <f>IF(ISNUMBER(O2393),IF(VLOOKUP($A2393,Stand!C:J,8,FALSE)="Short",AT2393,AU2393),"")</f>
        <v/>
      </c>
      <c r="AW2393" s="109" t="str">
        <f t="shared" si="1051"/>
        <v/>
      </c>
      <c r="AX2393" s="109" t="str">
        <f t="shared" si="1052"/>
        <v/>
      </c>
      <c r="AY2393" s="112" t="str">
        <f>IF(ISNUMBER(O2393),IF(AND(VLOOKUP($D2393,Merchantability!$B:$C,2,0)="Yes",$E2393&gt;=VLOOKUP($D2393,Merchantability!$B:$D,3,0),$E2393&lt;=VLOOKUP($D2393,Merchantability!$B:$E,4,0)),(AV2393*O2393)*(1-$H2393/100),""),"")</f>
        <v/>
      </c>
      <c r="AZ2393" s="116"/>
      <c r="BA2393" s="116"/>
      <c r="BB2393" s="116"/>
      <c r="BE2393" s="62"/>
      <c r="BF2393" s="63"/>
    </row>
    <row r="2394" spans="1:58" ht="12.75" customHeight="1" x14ac:dyDescent="0.25">
      <c r="A2394" s="334"/>
      <c r="B2394" s="334"/>
      <c r="C2394" s="332"/>
      <c r="D2394" s="334"/>
      <c r="E2394" s="335"/>
      <c r="F2394" s="334"/>
      <c r="G2394" s="332"/>
      <c r="H2394" s="332"/>
      <c r="I2394" s="334"/>
      <c r="J2394" s="336"/>
      <c r="K2394" s="332"/>
      <c r="L2394" s="332"/>
      <c r="M2394" s="76"/>
      <c r="N2394" s="103" t="str">
        <f>IF(A2394="","",VLOOKUP(A2394,Stand!C:K,9,0))</f>
        <v/>
      </c>
      <c r="O2394" s="104" t="str">
        <f t="shared" si="1037"/>
        <v/>
      </c>
      <c r="P2394" s="105" t="str">
        <f t="shared" si="1038"/>
        <v/>
      </c>
      <c r="Q2394" s="105" t="str">
        <f t="shared" si="1026"/>
        <v/>
      </c>
      <c r="R2394" s="103" t="str">
        <f t="shared" si="1039"/>
        <v/>
      </c>
      <c r="S2394" s="103" t="str">
        <f t="shared" si="1040"/>
        <v/>
      </c>
      <c r="T2394" s="106" t="str">
        <f t="shared" si="1027"/>
        <v/>
      </c>
      <c r="U2394" s="106" t="str">
        <f t="shared" si="1028"/>
        <v/>
      </c>
      <c r="V2394" s="106" t="str">
        <f t="shared" si="1029"/>
        <v/>
      </c>
      <c r="W2394" s="105" t="str">
        <f t="shared" si="1041"/>
        <v/>
      </c>
      <c r="X2394" s="104" t="str">
        <f t="shared" si="1046"/>
        <v/>
      </c>
      <c r="Y2394" s="104" t="str">
        <f t="array" ref="Y2394">IFERROR(IF(ISNUMBER(O2394),IF(COUNT(IF(A2394=$A$2:$A$2427,IF(D2394=$D$2:$D$2427,IF($X$2:$X$2427&gt;0,1))))&gt;0,SUM(IF(A2394=$A$2:$A$2427,IF(D2394=$D$2:$D$2427,$X$2:$X$2427)))/COUNT(IF(A2394=$A$2:$A$2427,IF(D2394=$D$2:$D$2427,IF(ISNUMBER($X$2:$X$2427),1)))),0),""),0)</f>
        <v/>
      </c>
      <c r="Z2394" s="104" t="str">
        <f>IF(ISNUMBER(O2394),IF(I2394&gt;0,(10^(VLOOKUP(D2394,'Species Codes'!B:C,2,0)+VLOOKUP(D2394,'Species Codes'!B:D,3,0)*LOG(E2394)+VLOOKUP(D2394,'Species Codes'!B:E,4,0)*LOG(I2394))),0),"")</f>
        <v/>
      </c>
      <c r="AA2394" s="104" t="str">
        <f>IFERROR((VLOOKUP(D2394,'Species Codes'!B:G,6,0)*Z2394)/2000,"")</f>
        <v/>
      </c>
      <c r="AB2394" s="104" t="e">
        <f>IF(Z2394&gt;0,((IF(OR(D2394="DF",D2394="RA")=TRUE,EXP(VLOOKUP(D2394,'Species Codes'!B:I,8,0)+VLOOKUP(D2394,'Species Codes'!B:J,9,0)*(LN((E2394*2.54)))),IF(OR(D2394="PY",D2394="RC",D2394="WH",D2394="NF")=TRUE,VLOOKUP(D2394,'Species Codes'!B:I,8,0)+VLOOKUP(D2394,'Species Codes'!B:J,9,0)*((E2394*2.54)^2)*(I2394*0.3048),IF(OR(D2394="MD",D2394="BM",D2394="GA")=TRUE,((VLOOKUP(D2394,'Species Codes'!B:I,8,0)*(((((E2394*2.54)+VLOOKUP(D2394,'Species Codes'!B:J,9,0))/VLOOKUP(D2394,'Species Codes'!B:K,10,0))^VLOOKUP(D2394,'Species Codes'!B:L,11,0))*((I2394*0.3048)^VLOOKUP(D2394,'Species Codes'!B:M,12,0))))-(VLOOKUP(D2394,'Species Codes'!B:I,8,0)*((((E2394*2.54)^VLOOKUP(D2394,'Species Codes'!B:L,11,0))*((I2394*0.3048)^VLOOKUP(D2394,'Species Codes'!B:M,12,0))))))*35.3*VLOOKUP(D2394,'Species Codes'!B:G,6,0)/2.2046,VLOOKUP(D2394,'Species Codes'!B:I,8,0)+VLOOKUP(D2394,'Species Codes'!B:J,9,0)*(((E2394*2.54)/100)^2)*(I2394*0.3048)))))*0.0011023),0)</f>
        <v>#N/A</v>
      </c>
      <c r="AC2394" s="104" t="e">
        <f>IF(Z2394&gt;0,((IF(OR(D2394="RA",D2394="OA",D2394="OT",D2394="UN",D2394="PC"),EXP(VLOOKUP(D2394,'Species Codes'!B:O,14,0)+VLOOKUP(D2394,'Species Codes'!B:P,15,0)*LN((E2394*2.54)))-EXP(VLOOKUP(D2394,'Species Codes'!B:O,14,0)+VLOOKUP(D2394,'Species Codes'!B:P,15,0)*LN((E2394*2.54)))*(1/(VLOOKUP(D2394,'Species Codes'!B:Q,16,0)+VLOOKUP(D2394,'Species Codes'!B:R,17,0)*((E2394*2.54)^VLOOKUP(D2394,'Species Codes'!B:S,18,0)))),IF(OR(D2394="BM",D2394="MD",D2394="OA"),EXP(VLOOKUP(D2394,'Species Codes'!B:O,14,0)+VLOOKUP(D2394,'Species Codes'!B:P,15,0)*LN((E2394*2.54)))*(1-(1/(VLOOKUP(D2394,'Species Codes'!B:Q,16,0)+VLOOKUP(D2394,'Species Codes'!B:R,17,0)*((E2394*2.54)^VLOOKUP(D2394,'Species Codes'!B:S,18,0)))))/1000,IF(D2394="DF",EXP(VLOOKUP(D2394,'Species Codes'!B:O,14,0)+VLOOKUP(D2394,'Species Codes'!B:P,15,0)*LN((E2394*2.54))),VLOOKUP(D2394,'Species Codes'!B:O,14,0)+VLOOKUP(D2394,'Species Codes'!B:P,15,0)*(((E2394*2.54)/100)^2)*(I2394*0.3048)))))*0.0011023),0)</f>
        <v>#N/A</v>
      </c>
      <c r="AD2394" s="104" t="e">
        <f t="shared" si="1030"/>
        <v>#N/A</v>
      </c>
      <c r="AE2394" s="104" t="e">
        <f t="shared" si="1031"/>
        <v>#N/A</v>
      </c>
      <c r="AF2394" s="104" t="e">
        <f>IF(AND(VLOOKUP($D2394,Merchantability!$B:$C,2,0)="Yes",$E2394&gt;=VLOOKUP($D2394,Merchantability!$B:$D,3,0),$E2394&lt;=VLOOKUP($D2394,Merchantability!$B:$E,4,0)),AA2394,0)</f>
        <v>#N/A</v>
      </c>
      <c r="AG2394" s="104" t="e">
        <f>IF(AND(VLOOKUP($D2394,Merchantability!$B:$C,2,0)="Yes",$E2394&gt;=VLOOKUP($D2394,Merchantability!$B:$D,3,0),$E2394&lt;=VLOOKUP($D2394,Merchantability!$B:$E,4,0)),AB2394,0)</f>
        <v>#N/A</v>
      </c>
      <c r="AH2394" s="104" t="e">
        <f>IF(AND(VLOOKUP($D2394,Merchantability!$B:$C,2,0)="Yes",$E2394&gt;=VLOOKUP($D2394,Merchantability!$B:$D,3,0),$E2394&lt;=VLOOKUP($D2394,Merchantability!$B:$E,4,0)),AC2394,0)</f>
        <v>#N/A</v>
      </c>
      <c r="AI2394" s="104" t="e">
        <f t="shared" si="1032"/>
        <v>#N/A</v>
      </c>
      <c r="AJ2394" s="104" t="e">
        <f t="shared" si="1033"/>
        <v>#VALUE!</v>
      </c>
      <c r="AK2394" s="104" t="e">
        <f t="shared" si="1034"/>
        <v>#N/A</v>
      </c>
      <c r="AL2394" s="104" t="e">
        <f t="shared" si="1035"/>
        <v>#N/A</v>
      </c>
      <c r="AM2394" s="104" t="e">
        <f t="shared" si="1036"/>
        <v>#N/A</v>
      </c>
      <c r="AN2394" s="104" t="e">
        <f t="shared" si="1047"/>
        <v>#N/A</v>
      </c>
      <c r="AO2394" s="104" t="e">
        <f t="shared" si="1048"/>
        <v>#N/A</v>
      </c>
      <c r="AP2394" s="104" t="e">
        <f t="shared" si="1049"/>
        <v>#N/A</v>
      </c>
      <c r="AQ2394" s="104" t="e">
        <f t="shared" si="1050"/>
        <v>#N/A</v>
      </c>
      <c r="AR2394" s="105" t="str">
        <f t="shared" si="1042"/>
        <v/>
      </c>
      <c r="AS2394" s="105" t="str">
        <f t="shared" si="1043"/>
        <v/>
      </c>
      <c r="AT2394" s="108" t="str">
        <f t="shared" si="1044"/>
        <v/>
      </c>
      <c r="AU2394" s="108" t="str">
        <f t="shared" si="1045"/>
        <v/>
      </c>
      <c r="AV2394" s="107" t="str">
        <f>IF(ISNUMBER(O2394),IF(VLOOKUP($A2394,Stand!C:J,8,FALSE)="Short",AT2394,AU2394),"")</f>
        <v/>
      </c>
      <c r="AW2394" s="109" t="str">
        <f t="shared" si="1051"/>
        <v/>
      </c>
      <c r="AX2394" s="109" t="str">
        <f t="shared" si="1052"/>
        <v/>
      </c>
      <c r="AY2394" s="112" t="str">
        <f>IF(ISNUMBER(O2394),IF(AND(VLOOKUP($D2394,Merchantability!$B:$C,2,0)="Yes",$E2394&gt;=VLOOKUP($D2394,Merchantability!$B:$D,3,0),$E2394&lt;=VLOOKUP($D2394,Merchantability!$B:$E,4,0)),(AV2394*O2394)*(1-$H2394/100),""),"")</f>
        <v/>
      </c>
      <c r="AZ2394" s="116"/>
      <c r="BA2394" s="116"/>
      <c r="BB2394" s="116"/>
      <c r="BE2394" s="62"/>
      <c r="BF2394" s="63"/>
    </row>
    <row r="2395" spans="1:58" ht="12.75" customHeight="1" x14ac:dyDescent="0.25">
      <c r="A2395" s="334"/>
      <c r="B2395" s="334"/>
      <c r="C2395" s="332"/>
      <c r="D2395" s="334"/>
      <c r="E2395" s="335"/>
      <c r="F2395" s="334"/>
      <c r="G2395" s="332"/>
      <c r="H2395" s="332"/>
      <c r="I2395" s="334"/>
      <c r="J2395" s="336"/>
      <c r="K2395" s="332"/>
      <c r="L2395" s="332"/>
      <c r="M2395" s="76"/>
      <c r="N2395" s="103" t="str">
        <f>IF(A2395="","",VLOOKUP(A2395,Stand!C:K,9,0))</f>
        <v/>
      </c>
      <c r="O2395" s="104" t="str">
        <f t="shared" si="1037"/>
        <v/>
      </c>
      <c r="P2395" s="105" t="str">
        <f t="shared" si="1038"/>
        <v/>
      </c>
      <c r="Q2395" s="105" t="str">
        <f t="shared" si="1026"/>
        <v/>
      </c>
      <c r="R2395" s="103" t="str">
        <f t="shared" si="1039"/>
        <v/>
      </c>
      <c r="S2395" s="103" t="str">
        <f t="shared" si="1040"/>
        <v/>
      </c>
      <c r="T2395" s="106" t="str">
        <f t="shared" si="1027"/>
        <v/>
      </c>
      <c r="U2395" s="106" t="str">
        <f t="shared" si="1028"/>
        <v/>
      </c>
      <c r="V2395" s="106" t="str">
        <f t="shared" si="1029"/>
        <v/>
      </c>
      <c r="W2395" s="105" t="str">
        <f t="shared" si="1041"/>
        <v/>
      </c>
      <c r="X2395" s="104" t="str">
        <f t="shared" si="1046"/>
        <v/>
      </c>
      <c r="Y2395" s="104" t="str">
        <f t="array" ref="Y2395">IFERROR(IF(ISNUMBER(O2395),IF(COUNT(IF(A2395=$A$2:$A$2427,IF(D2395=$D$2:$D$2427,IF($X$2:$X$2427&gt;0,1))))&gt;0,SUM(IF(A2395=$A$2:$A$2427,IF(D2395=$D$2:$D$2427,$X$2:$X$2427)))/COUNT(IF(A2395=$A$2:$A$2427,IF(D2395=$D$2:$D$2427,IF(ISNUMBER($X$2:$X$2427),1)))),0),""),0)</f>
        <v/>
      </c>
      <c r="Z2395" s="104" t="str">
        <f>IF(ISNUMBER(O2395),IF(I2395&gt;0,(10^(VLOOKUP(D2395,'Species Codes'!B:C,2,0)+VLOOKUP(D2395,'Species Codes'!B:D,3,0)*LOG(E2395)+VLOOKUP(D2395,'Species Codes'!B:E,4,0)*LOG(I2395))),0),"")</f>
        <v/>
      </c>
      <c r="AA2395" s="104" t="str">
        <f>IFERROR((VLOOKUP(D2395,'Species Codes'!B:G,6,0)*Z2395)/2000,"")</f>
        <v/>
      </c>
      <c r="AB2395" s="104" t="e">
        <f>IF(Z2395&gt;0,((IF(OR(D2395="DF",D2395="RA")=TRUE,EXP(VLOOKUP(D2395,'Species Codes'!B:I,8,0)+VLOOKUP(D2395,'Species Codes'!B:J,9,0)*(LN((E2395*2.54)))),IF(OR(D2395="PY",D2395="RC",D2395="WH",D2395="NF")=TRUE,VLOOKUP(D2395,'Species Codes'!B:I,8,0)+VLOOKUP(D2395,'Species Codes'!B:J,9,0)*((E2395*2.54)^2)*(I2395*0.3048),IF(OR(D2395="MD",D2395="BM",D2395="GA")=TRUE,((VLOOKUP(D2395,'Species Codes'!B:I,8,0)*(((((E2395*2.54)+VLOOKUP(D2395,'Species Codes'!B:J,9,0))/VLOOKUP(D2395,'Species Codes'!B:K,10,0))^VLOOKUP(D2395,'Species Codes'!B:L,11,0))*((I2395*0.3048)^VLOOKUP(D2395,'Species Codes'!B:M,12,0))))-(VLOOKUP(D2395,'Species Codes'!B:I,8,0)*((((E2395*2.54)^VLOOKUP(D2395,'Species Codes'!B:L,11,0))*((I2395*0.3048)^VLOOKUP(D2395,'Species Codes'!B:M,12,0))))))*35.3*VLOOKUP(D2395,'Species Codes'!B:G,6,0)/2.2046,VLOOKUP(D2395,'Species Codes'!B:I,8,0)+VLOOKUP(D2395,'Species Codes'!B:J,9,0)*(((E2395*2.54)/100)^2)*(I2395*0.3048)))))*0.0011023),0)</f>
        <v>#N/A</v>
      </c>
      <c r="AC2395" s="104" t="e">
        <f>IF(Z2395&gt;0,((IF(OR(D2395="RA",D2395="OA",D2395="OT",D2395="UN",D2395="PC"),EXP(VLOOKUP(D2395,'Species Codes'!B:O,14,0)+VLOOKUP(D2395,'Species Codes'!B:P,15,0)*LN((E2395*2.54)))-EXP(VLOOKUP(D2395,'Species Codes'!B:O,14,0)+VLOOKUP(D2395,'Species Codes'!B:P,15,0)*LN((E2395*2.54)))*(1/(VLOOKUP(D2395,'Species Codes'!B:Q,16,0)+VLOOKUP(D2395,'Species Codes'!B:R,17,0)*((E2395*2.54)^VLOOKUP(D2395,'Species Codes'!B:S,18,0)))),IF(OR(D2395="BM",D2395="MD",D2395="OA"),EXP(VLOOKUP(D2395,'Species Codes'!B:O,14,0)+VLOOKUP(D2395,'Species Codes'!B:P,15,0)*LN((E2395*2.54)))*(1-(1/(VLOOKUP(D2395,'Species Codes'!B:Q,16,0)+VLOOKUP(D2395,'Species Codes'!B:R,17,0)*((E2395*2.54)^VLOOKUP(D2395,'Species Codes'!B:S,18,0)))))/1000,IF(D2395="DF",EXP(VLOOKUP(D2395,'Species Codes'!B:O,14,0)+VLOOKUP(D2395,'Species Codes'!B:P,15,0)*LN((E2395*2.54))),VLOOKUP(D2395,'Species Codes'!B:O,14,0)+VLOOKUP(D2395,'Species Codes'!B:P,15,0)*(((E2395*2.54)/100)^2)*(I2395*0.3048)))))*0.0011023),0)</f>
        <v>#N/A</v>
      </c>
      <c r="AD2395" s="104" t="e">
        <f t="shared" si="1030"/>
        <v>#N/A</v>
      </c>
      <c r="AE2395" s="104" t="e">
        <f t="shared" si="1031"/>
        <v>#N/A</v>
      </c>
      <c r="AF2395" s="104" t="e">
        <f>IF(AND(VLOOKUP($D2395,Merchantability!$B:$C,2,0)="Yes",$E2395&gt;=VLOOKUP($D2395,Merchantability!$B:$D,3,0),$E2395&lt;=VLOOKUP($D2395,Merchantability!$B:$E,4,0)),AA2395,0)</f>
        <v>#N/A</v>
      </c>
      <c r="AG2395" s="104" t="e">
        <f>IF(AND(VLOOKUP($D2395,Merchantability!$B:$C,2,0)="Yes",$E2395&gt;=VLOOKUP($D2395,Merchantability!$B:$D,3,0),$E2395&lt;=VLOOKUP($D2395,Merchantability!$B:$E,4,0)),AB2395,0)</f>
        <v>#N/A</v>
      </c>
      <c r="AH2395" s="104" t="e">
        <f>IF(AND(VLOOKUP($D2395,Merchantability!$B:$C,2,0)="Yes",$E2395&gt;=VLOOKUP($D2395,Merchantability!$B:$D,3,0),$E2395&lt;=VLOOKUP($D2395,Merchantability!$B:$E,4,0)),AC2395,0)</f>
        <v>#N/A</v>
      </c>
      <c r="AI2395" s="104" t="e">
        <f t="shared" si="1032"/>
        <v>#N/A</v>
      </c>
      <c r="AJ2395" s="104" t="e">
        <f t="shared" si="1033"/>
        <v>#VALUE!</v>
      </c>
      <c r="AK2395" s="104" t="e">
        <f t="shared" si="1034"/>
        <v>#N/A</v>
      </c>
      <c r="AL2395" s="104" t="e">
        <f t="shared" si="1035"/>
        <v>#N/A</v>
      </c>
      <c r="AM2395" s="104" t="e">
        <f t="shared" si="1036"/>
        <v>#N/A</v>
      </c>
      <c r="AN2395" s="104" t="e">
        <f t="shared" si="1047"/>
        <v>#N/A</v>
      </c>
      <c r="AO2395" s="104" t="e">
        <f t="shared" si="1048"/>
        <v>#N/A</v>
      </c>
      <c r="AP2395" s="104" t="e">
        <f t="shared" si="1049"/>
        <v>#N/A</v>
      </c>
      <c r="AQ2395" s="104" t="e">
        <f t="shared" si="1050"/>
        <v>#N/A</v>
      </c>
      <c r="AR2395" s="105" t="str">
        <f t="shared" si="1042"/>
        <v/>
      </c>
      <c r="AS2395" s="105" t="str">
        <f t="shared" si="1043"/>
        <v/>
      </c>
      <c r="AT2395" s="108" t="str">
        <f t="shared" si="1044"/>
        <v/>
      </c>
      <c r="AU2395" s="108" t="str">
        <f t="shared" si="1045"/>
        <v/>
      </c>
      <c r="AV2395" s="107" t="str">
        <f>IF(ISNUMBER(O2395),IF(VLOOKUP($A2395,Stand!C:J,8,FALSE)="Short",AT2395,AU2395),"")</f>
        <v/>
      </c>
      <c r="AW2395" s="109" t="str">
        <f t="shared" si="1051"/>
        <v/>
      </c>
      <c r="AX2395" s="109" t="str">
        <f t="shared" si="1052"/>
        <v/>
      </c>
      <c r="AY2395" s="112" t="str">
        <f>IF(ISNUMBER(O2395),IF(AND(VLOOKUP($D2395,Merchantability!$B:$C,2,0)="Yes",$E2395&gt;=VLOOKUP($D2395,Merchantability!$B:$D,3,0),$E2395&lt;=VLOOKUP($D2395,Merchantability!$B:$E,4,0)),(AV2395*O2395)*(1-$H2395/100),""),"")</f>
        <v/>
      </c>
      <c r="AZ2395" s="116"/>
      <c r="BA2395" s="116"/>
      <c r="BB2395" s="116"/>
      <c r="BE2395" s="62"/>
      <c r="BF2395" s="63"/>
    </row>
    <row r="2396" spans="1:58" ht="12.75" customHeight="1" x14ac:dyDescent="0.25">
      <c r="A2396" s="334"/>
      <c r="B2396" s="334"/>
      <c r="C2396" s="332"/>
      <c r="D2396" s="334"/>
      <c r="E2396" s="335"/>
      <c r="F2396" s="334"/>
      <c r="G2396" s="332"/>
      <c r="H2396" s="332"/>
      <c r="I2396" s="334"/>
      <c r="J2396" s="336"/>
      <c r="K2396" s="332"/>
      <c r="L2396" s="332"/>
      <c r="M2396" s="76"/>
      <c r="N2396" s="103" t="str">
        <f>IF(A2396="","",VLOOKUP(A2396,Stand!C:K,9,0))</f>
        <v/>
      </c>
      <c r="O2396" s="104" t="str">
        <f t="shared" si="1037"/>
        <v/>
      </c>
      <c r="P2396" s="105" t="str">
        <f t="shared" si="1038"/>
        <v/>
      </c>
      <c r="Q2396" s="105" t="str">
        <f t="shared" si="1026"/>
        <v/>
      </c>
      <c r="R2396" s="103" t="str">
        <f t="shared" si="1039"/>
        <v/>
      </c>
      <c r="S2396" s="103" t="str">
        <f t="shared" si="1040"/>
        <v/>
      </c>
      <c r="T2396" s="106" t="str">
        <f t="shared" si="1027"/>
        <v/>
      </c>
      <c r="U2396" s="106" t="str">
        <f t="shared" si="1028"/>
        <v/>
      </c>
      <c r="V2396" s="106" t="str">
        <f t="shared" si="1029"/>
        <v/>
      </c>
      <c r="W2396" s="105" t="str">
        <f t="shared" si="1041"/>
        <v/>
      </c>
      <c r="X2396" s="104" t="str">
        <f t="shared" si="1046"/>
        <v/>
      </c>
      <c r="Y2396" s="104" t="str">
        <f t="array" ref="Y2396">IFERROR(IF(ISNUMBER(O2396),IF(COUNT(IF(A2396=$A$2:$A$2427,IF(D2396=$D$2:$D$2427,IF($X$2:$X$2427&gt;0,1))))&gt;0,SUM(IF(A2396=$A$2:$A$2427,IF(D2396=$D$2:$D$2427,$X$2:$X$2427)))/COUNT(IF(A2396=$A$2:$A$2427,IF(D2396=$D$2:$D$2427,IF(ISNUMBER($X$2:$X$2427),1)))),0),""),0)</f>
        <v/>
      </c>
      <c r="Z2396" s="104" t="str">
        <f>IF(ISNUMBER(O2396),IF(I2396&gt;0,(10^(VLOOKUP(D2396,'Species Codes'!B:C,2,0)+VLOOKUP(D2396,'Species Codes'!B:D,3,0)*LOG(E2396)+VLOOKUP(D2396,'Species Codes'!B:E,4,0)*LOG(I2396))),0),"")</f>
        <v/>
      </c>
      <c r="AA2396" s="104" t="str">
        <f>IFERROR((VLOOKUP(D2396,'Species Codes'!B:G,6,0)*Z2396)/2000,"")</f>
        <v/>
      </c>
      <c r="AB2396" s="104" t="e">
        <f>IF(Z2396&gt;0,((IF(OR(D2396="DF",D2396="RA")=TRUE,EXP(VLOOKUP(D2396,'Species Codes'!B:I,8,0)+VLOOKUP(D2396,'Species Codes'!B:J,9,0)*(LN((E2396*2.54)))),IF(OR(D2396="PY",D2396="RC",D2396="WH",D2396="NF")=TRUE,VLOOKUP(D2396,'Species Codes'!B:I,8,0)+VLOOKUP(D2396,'Species Codes'!B:J,9,0)*((E2396*2.54)^2)*(I2396*0.3048),IF(OR(D2396="MD",D2396="BM",D2396="GA")=TRUE,((VLOOKUP(D2396,'Species Codes'!B:I,8,0)*(((((E2396*2.54)+VLOOKUP(D2396,'Species Codes'!B:J,9,0))/VLOOKUP(D2396,'Species Codes'!B:K,10,0))^VLOOKUP(D2396,'Species Codes'!B:L,11,0))*((I2396*0.3048)^VLOOKUP(D2396,'Species Codes'!B:M,12,0))))-(VLOOKUP(D2396,'Species Codes'!B:I,8,0)*((((E2396*2.54)^VLOOKUP(D2396,'Species Codes'!B:L,11,0))*((I2396*0.3048)^VLOOKUP(D2396,'Species Codes'!B:M,12,0))))))*35.3*VLOOKUP(D2396,'Species Codes'!B:G,6,0)/2.2046,VLOOKUP(D2396,'Species Codes'!B:I,8,0)+VLOOKUP(D2396,'Species Codes'!B:J,9,0)*(((E2396*2.54)/100)^2)*(I2396*0.3048)))))*0.0011023),0)</f>
        <v>#N/A</v>
      </c>
      <c r="AC2396" s="104" t="e">
        <f>IF(Z2396&gt;0,((IF(OR(D2396="RA",D2396="OA",D2396="OT",D2396="UN",D2396="PC"),EXP(VLOOKUP(D2396,'Species Codes'!B:O,14,0)+VLOOKUP(D2396,'Species Codes'!B:P,15,0)*LN((E2396*2.54)))-EXP(VLOOKUP(D2396,'Species Codes'!B:O,14,0)+VLOOKUP(D2396,'Species Codes'!B:P,15,0)*LN((E2396*2.54)))*(1/(VLOOKUP(D2396,'Species Codes'!B:Q,16,0)+VLOOKUP(D2396,'Species Codes'!B:R,17,0)*((E2396*2.54)^VLOOKUP(D2396,'Species Codes'!B:S,18,0)))),IF(OR(D2396="BM",D2396="MD",D2396="OA"),EXP(VLOOKUP(D2396,'Species Codes'!B:O,14,0)+VLOOKUP(D2396,'Species Codes'!B:P,15,0)*LN((E2396*2.54)))*(1-(1/(VLOOKUP(D2396,'Species Codes'!B:Q,16,0)+VLOOKUP(D2396,'Species Codes'!B:R,17,0)*((E2396*2.54)^VLOOKUP(D2396,'Species Codes'!B:S,18,0)))))/1000,IF(D2396="DF",EXP(VLOOKUP(D2396,'Species Codes'!B:O,14,0)+VLOOKUP(D2396,'Species Codes'!B:P,15,0)*LN((E2396*2.54))),VLOOKUP(D2396,'Species Codes'!B:O,14,0)+VLOOKUP(D2396,'Species Codes'!B:P,15,0)*(((E2396*2.54)/100)^2)*(I2396*0.3048)))))*0.0011023),0)</f>
        <v>#N/A</v>
      </c>
      <c r="AD2396" s="104" t="e">
        <f t="shared" si="1030"/>
        <v>#N/A</v>
      </c>
      <c r="AE2396" s="104" t="e">
        <f t="shared" si="1031"/>
        <v>#N/A</v>
      </c>
      <c r="AF2396" s="104" t="e">
        <f>IF(AND(VLOOKUP($D2396,Merchantability!$B:$C,2,0)="Yes",$E2396&gt;=VLOOKUP($D2396,Merchantability!$B:$D,3,0),$E2396&lt;=VLOOKUP($D2396,Merchantability!$B:$E,4,0)),AA2396,0)</f>
        <v>#N/A</v>
      </c>
      <c r="AG2396" s="104" t="e">
        <f>IF(AND(VLOOKUP($D2396,Merchantability!$B:$C,2,0)="Yes",$E2396&gt;=VLOOKUP($D2396,Merchantability!$B:$D,3,0),$E2396&lt;=VLOOKUP($D2396,Merchantability!$B:$E,4,0)),AB2396,0)</f>
        <v>#N/A</v>
      </c>
      <c r="AH2396" s="104" t="e">
        <f>IF(AND(VLOOKUP($D2396,Merchantability!$B:$C,2,0)="Yes",$E2396&gt;=VLOOKUP($D2396,Merchantability!$B:$D,3,0),$E2396&lt;=VLOOKUP($D2396,Merchantability!$B:$E,4,0)),AC2396,0)</f>
        <v>#N/A</v>
      </c>
      <c r="AI2396" s="104" t="e">
        <f t="shared" si="1032"/>
        <v>#N/A</v>
      </c>
      <c r="AJ2396" s="104" t="e">
        <f t="shared" si="1033"/>
        <v>#VALUE!</v>
      </c>
      <c r="AK2396" s="104" t="e">
        <f t="shared" si="1034"/>
        <v>#N/A</v>
      </c>
      <c r="AL2396" s="104" t="e">
        <f t="shared" si="1035"/>
        <v>#N/A</v>
      </c>
      <c r="AM2396" s="104" t="e">
        <f t="shared" si="1036"/>
        <v>#N/A</v>
      </c>
      <c r="AN2396" s="104" t="e">
        <f t="shared" si="1047"/>
        <v>#N/A</v>
      </c>
      <c r="AO2396" s="104" t="e">
        <f t="shared" si="1048"/>
        <v>#N/A</v>
      </c>
      <c r="AP2396" s="104" t="e">
        <f t="shared" si="1049"/>
        <v>#N/A</v>
      </c>
      <c r="AQ2396" s="104" t="e">
        <f t="shared" si="1050"/>
        <v>#N/A</v>
      </c>
      <c r="AR2396" s="105" t="str">
        <f t="shared" si="1042"/>
        <v/>
      </c>
      <c r="AS2396" s="105" t="str">
        <f t="shared" si="1043"/>
        <v/>
      </c>
      <c r="AT2396" s="108" t="str">
        <f t="shared" si="1044"/>
        <v/>
      </c>
      <c r="AU2396" s="108" t="str">
        <f t="shared" si="1045"/>
        <v/>
      </c>
      <c r="AV2396" s="107" t="str">
        <f>IF(ISNUMBER(O2396),IF(VLOOKUP($A2396,Stand!C:J,8,FALSE)="Short",AT2396,AU2396),"")</f>
        <v/>
      </c>
      <c r="AW2396" s="109" t="str">
        <f t="shared" si="1051"/>
        <v/>
      </c>
      <c r="AX2396" s="109" t="str">
        <f t="shared" si="1052"/>
        <v/>
      </c>
      <c r="AY2396" s="112" t="str">
        <f>IF(ISNUMBER(O2396),IF(AND(VLOOKUP($D2396,Merchantability!$B:$C,2,0)="Yes",$E2396&gt;=VLOOKUP($D2396,Merchantability!$B:$D,3,0),$E2396&lt;=VLOOKUP($D2396,Merchantability!$B:$E,4,0)),(AV2396*O2396)*(1-$H2396/100),""),"")</f>
        <v/>
      </c>
      <c r="AZ2396" s="116"/>
      <c r="BA2396" s="116"/>
      <c r="BB2396" s="116"/>
      <c r="BE2396" s="62"/>
      <c r="BF2396" s="63"/>
    </row>
    <row r="2397" spans="1:58" ht="12.75" customHeight="1" x14ac:dyDescent="0.25">
      <c r="A2397" s="334"/>
      <c r="B2397" s="334"/>
      <c r="C2397" s="332"/>
      <c r="D2397" s="334"/>
      <c r="E2397" s="335"/>
      <c r="F2397" s="334"/>
      <c r="G2397" s="332"/>
      <c r="H2397" s="332"/>
      <c r="I2397" s="334"/>
      <c r="J2397" s="336"/>
      <c r="K2397" s="332"/>
      <c r="L2397" s="332"/>
      <c r="M2397" s="76"/>
      <c r="N2397" s="103" t="str">
        <f>IF(A2397="","",VLOOKUP(A2397,Stand!C:K,9,0))</f>
        <v/>
      </c>
      <c r="O2397" s="104" t="str">
        <f t="shared" si="1037"/>
        <v/>
      </c>
      <c r="P2397" s="105" t="str">
        <f t="shared" si="1038"/>
        <v/>
      </c>
      <c r="Q2397" s="105" t="str">
        <f t="shared" ref="Q2397:Q2427" si="1053">IF(AND(ISNUMBER(O2397),I2397&gt;0),I2397*O2397,"")</f>
        <v/>
      </c>
      <c r="R2397" s="103" t="str">
        <f t="shared" si="1039"/>
        <v/>
      </c>
      <c r="S2397" s="103" t="str">
        <f t="shared" si="1040"/>
        <v/>
      </c>
      <c r="T2397" s="106" t="str">
        <f t="shared" ref="T2397:T2427" si="1054">IF(AND(ISNUMBER(O2397),J2397&gt;0),J2397/100,"")</f>
        <v/>
      </c>
      <c r="U2397" s="106" t="str">
        <f t="shared" ref="U2397:U2427" si="1055">IF(AND(ISNUMBER(O2397),J2397&gt;0),T2397*O2397,"")</f>
        <v/>
      </c>
      <c r="V2397" s="106" t="str">
        <f t="shared" ref="V2397:V2427" si="1056">IF(AND(ISNUMBER(O2397),I2397&gt;0),W2397*O2397,"")</f>
        <v/>
      </c>
      <c r="W2397" s="105" t="str">
        <f t="shared" si="1041"/>
        <v/>
      </c>
      <c r="X2397" s="104" t="str">
        <f t="shared" si="1046"/>
        <v/>
      </c>
      <c r="Y2397" s="104" t="str">
        <f t="array" ref="Y2397">IFERROR(IF(ISNUMBER(O2397),IF(COUNT(IF(A2397=$A$2:$A$2427,IF(D2397=$D$2:$D$2427,IF($X$2:$X$2427&gt;0,1))))&gt;0,SUM(IF(A2397=$A$2:$A$2427,IF(D2397=$D$2:$D$2427,$X$2:$X$2427)))/COUNT(IF(A2397=$A$2:$A$2427,IF(D2397=$D$2:$D$2427,IF(ISNUMBER($X$2:$X$2427),1)))),0),""),0)</f>
        <v/>
      </c>
      <c r="Z2397" s="104" t="str">
        <f>IF(ISNUMBER(O2397),IF(I2397&gt;0,(10^(VLOOKUP(D2397,'Species Codes'!B:C,2,0)+VLOOKUP(D2397,'Species Codes'!B:D,3,0)*LOG(E2397)+VLOOKUP(D2397,'Species Codes'!B:E,4,0)*LOG(I2397))),0),"")</f>
        <v/>
      </c>
      <c r="AA2397" s="104" t="str">
        <f>IFERROR((VLOOKUP(D2397,'Species Codes'!B:G,6,0)*Z2397)/2000,"")</f>
        <v/>
      </c>
      <c r="AB2397" s="104" t="e">
        <f>IF(Z2397&gt;0,((IF(OR(D2397="DF",D2397="RA")=TRUE,EXP(VLOOKUP(D2397,'Species Codes'!B:I,8,0)+VLOOKUP(D2397,'Species Codes'!B:J,9,0)*(LN((E2397*2.54)))),IF(OR(D2397="PY",D2397="RC",D2397="WH",D2397="NF")=TRUE,VLOOKUP(D2397,'Species Codes'!B:I,8,0)+VLOOKUP(D2397,'Species Codes'!B:J,9,0)*((E2397*2.54)^2)*(I2397*0.3048),IF(OR(D2397="MD",D2397="BM",D2397="GA")=TRUE,((VLOOKUP(D2397,'Species Codes'!B:I,8,0)*(((((E2397*2.54)+VLOOKUP(D2397,'Species Codes'!B:J,9,0))/VLOOKUP(D2397,'Species Codes'!B:K,10,0))^VLOOKUP(D2397,'Species Codes'!B:L,11,0))*((I2397*0.3048)^VLOOKUP(D2397,'Species Codes'!B:M,12,0))))-(VLOOKUP(D2397,'Species Codes'!B:I,8,0)*((((E2397*2.54)^VLOOKUP(D2397,'Species Codes'!B:L,11,0))*((I2397*0.3048)^VLOOKUP(D2397,'Species Codes'!B:M,12,0))))))*35.3*VLOOKUP(D2397,'Species Codes'!B:G,6,0)/2.2046,VLOOKUP(D2397,'Species Codes'!B:I,8,0)+VLOOKUP(D2397,'Species Codes'!B:J,9,0)*(((E2397*2.54)/100)^2)*(I2397*0.3048)))))*0.0011023),0)</f>
        <v>#N/A</v>
      </c>
      <c r="AC2397" s="104" t="e">
        <f>IF(Z2397&gt;0,((IF(OR(D2397="RA",D2397="OA",D2397="OT",D2397="UN",D2397="PC"),EXP(VLOOKUP(D2397,'Species Codes'!B:O,14,0)+VLOOKUP(D2397,'Species Codes'!B:P,15,0)*LN((E2397*2.54)))-EXP(VLOOKUP(D2397,'Species Codes'!B:O,14,0)+VLOOKUP(D2397,'Species Codes'!B:P,15,0)*LN((E2397*2.54)))*(1/(VLOOKUP(D2397,'Species Codes'!B:Q,16,0)+VLOOKUP(D2397,'Species Codes'!B:R,17,0)*((E2397*2.54)^VLOOKUP(D2397,'Species Codes'!B:S,18,0)))),IF(OR(D2397="BM",D2397="MD",D2397="OA"),EXP(VLOOKUP(D2397,'Species Codes'!B:O,14,0)+VLOOKUP(D2397,'Species Codes'!B:P,15,0)*LN((E2397*2.54)))*(1-(1/(VLOOKUP(D2397,'Species Codes'!B:Q,16,0)+VLOOKUP(D2397,'Species Codes'!B:R,17,0)*((E2397*2.54)^VLOOKUP(D2397,'Species Codes'!B:S,18,0)))))/1000,IF(D2397="DF",EXP(VLOOKUP(D2397,'Species Codes'!B:O,14,0)+VLOOKUP(D2397,'Species Codes'!B:P,15,0)*LN((E2397*2.54))),VLOOKUP(D2397,'Species Codes'!B:O,14,0)+VLOOKUP(D2397,'Species Codes'!B:P,15,0)*(((E2397*2.54)/100)^2)*(I2397*0.3048)))))*0.0011023),0)</f>
        <v>#N/A</v>
      </c>
      <c r="AD2397" s="104" t="e">
        <f t="shared" ref="AD2397:AD2427" si="1057">SUM(AA2397:AC2397)</f>
        <v>#N/A</v>
      </c>
      <c r="AE2397" s="104" t="e">
        <f t="shared" ref="AE2397:AE2427" si="1058">AD2397*O2397</f>
        <v>#N/A</v>
      </c>
      <c r="AF2397" s="104" t="e">
        <f>IF(AND(VLOOKUP($D2397,Merchantability!$B:$C,2,0)="Yes",$E2397&gt;=VLOOKUP($D2397,Merchantability!$B:$D,3,0),$E2397&lt;=VLOOKUP($D2397,Merchantability!$B:$E,4,0)),AA2397,0)</f>
        <v>#N/A</v>
      </c>
      <c r="AG2397" s="104" t="e">
        <f>IF(AND(VLOOKUP($D2397,Merchantability!$B:$C,2,0)="Yes",$E2397&gt;=VLOOKUP($D2397,Merchantability!$B:$D,3,0),$E2397&lt;=VLOOKUP($D2397,Merchantability!$B:$E,4,0)),AB2397,0)</f>
        <v>#N/A</v>
      </c>
      <c r="AH2397" s="104" t="e">
        <f>IF(AND(VLOOKUP($D2397,Merchantability!$B:$C,2,0)="Yes",$E2397&gt;=VLOOKUP($D2397,Merchantability!$B:$D,3,0),$E2397&lt;=VLOOKUP($D2397,Merchantability!$B:$E,4,0)),AC2397,0)</f>
        <v>#N/A</v>
      </c>
      <c r="AI2397" s="104" t="e">
        <f t="shared" ref="AI2397:AI2427" si="1059">SUM(AF2397:AH2397)</f>
        <v>#N/A</v>
      </c>
      <c r="AJ2397" s="104" t="e">
        <f t="shared" ref="AJ2397:AJ2427" si="1060">AA2397*$O2397</f>
        <v>#VALUE!</v>
      </c>
      <c r="AK2397" s="104" t="e">
        <f t="shared" ref="AK2397:AK2427" si="1061">AB2397*$O2397</f>
        <v>#N/A</v>
      </c>
      <c r="AL2397" s="104" t="e">
        <f t="shared" ref="AL2397:AL2427" si="1062">AC2397*$O2397</f>
        <v>#N/A</v>
      </c>
      <c r="AM2397" s="104" t="e">
        <f t="shared" ref="AM2397:AM2427" si="1063">AD2397*$O2397</f>
        <v>#N/A</v>
      </c>
      <c r="AN2397" s="104" t="e">
        <f t="shared" si="1047"/>
        <v>#N/A</v>
      </c>
      <c r="AO2397" s="104" t="e">
        <f t="shared" si="1048"/>
        <v>#N/A</v>
      </c>
      <c r="AP2397" s="104" t="e">
        <f t="shared" si="1049"/>
        <v>#N/A</v>
      </c>
      <c r="AQ2397" s="104" t="e">
        <f t="shared" si="1050"/>
        <v>#N/A</v>
      </c>
      <c r="AR2397" s="105" t="str">
        <f t="shared" si="1042"/>
        <v/>
      </c>
      <c r="AS2397" s="105" t="str">
        <f t="shared" si="1043"/>
        <v/>
      </c>
      <c r="AT2397" s="108" t="str">
        <f t="shared" si="1044"/>
        <v/>
      </c>
      <c r="AU2397" s="108" t="str">
        <f t="shared" si="1045"/>
        <v/>
      </c>
      <c r="AV2397" s="107" t="str">
        <f>IF(ISNUMBER(O2397),IF(VLOOKUP($A2397,Stand!C:J,8,FALSE)="Short",AT2397,AU2397),"")</f>
        <v/>
      </c>
      <c r="AW2397" s="109" t="str">
        <f t="shared" si="1051"/>
        <v/>
      </c>
      <c r="AX2397" s="109" t="str">
        <f t="shared" si="1052"/>
        <v/>
      </c>
      <c r="AY2397" s="112" t="str">
        <f>IF(ISNUMBER(O2397),IF(AND(VLOOKUP($D2397,Merchantability!$B:$C,2,0)="Yes",$E2397&gt;=VLOOKUP($D2397,Merchantability!$B:$D,3,0),$E2397&lt;=VLOOKUP($D2397,Merchantability!$B:$E,4,0)),(AV2397*O2397)*(1-$H2397/100),""),"")</f>
        <v/>
      </c>
      <c r="AZ2397" s="116"/>
      <c r="BA2397" s="116"/>
      <c r="BB2397" s="116"/>
      <c r="BE2397" s="62"/>
      <c r="BF2397" s="63"/>
    </row>
    <row r="2398" spans="1:58" ht="12.75" customHeight="1" x14ac:dyDescent="0.25">
      <c r="A2398" s="334"/>
      <c r="B2398" s="334"/>
      <c r="C2398" s="332"/>
      <c r="D2398" s="334"/>
      <c r="E2398" s="335"/>
      <c r="F2398" s="334"/>
      <c r="G2398" s="332"/>
      <c r="H2398" s="332"/>
      <c r="I2398" s="334"/>
      <c r="J2398" s="336"/>
      <c r="K2398" s="332"/>
      <c r="L2398" s="332"/>
      <c r="M2398" s="76"/>
      <c r="N2398" s="103" t="str">
        <f>IF(A2398="","",VLOOKUP(A2398,Stand!C:K,9,0))</f>
        <v/>
      </c>
      <c r="O2398" s="104" t="str">
        <f t="shared" si="1037"/>
        <v/>
      </c>
      <c r="P2398" s="105" t="str">
        <f t="shared" si="1038"/>
        <v/>
      </c>
      <c r="Q2398" s="105" t="str">
        <f t="shared" si="1053"/>
        <v/>
      </c>
      <c r="R2398" s="103" t="str">
        <f t="shared" si="1039"/>
        <v/>
      </c>
      <c r="S2398" s="103" t="str">
        <f t="shared" si="1040"/>
        <v/>
      </c>
      <c r="T2398" s="106" t="str">
        <f t="shared" si="1054"/>
        <v/>
      </c>
      <c r="U2398" s="106" t="str">
        <f t="shared" si="1055"/>
        <v/>
      </c>
      <c r="V2398" s="106" t="str">
        <f t="shared" si="1056"/>
        <v/>
      </c>
      <c r="W2398" s="105" t="str">
        <f t="shared" si="1041"/>
        <v/>
      </c>
      <c r="X2398" s="104" t="str">
        <f t="shared" si="1046"/>
        <v/>
      </c>
      <c r="Y2398" s="104" t="str">
        <f t="array" ref="Y2398">IFERROR(IF(ISNUMBER(O2398),IF(COUNT(IF(A2398=$A$2:$A$2427,IF(D2398=$D$2:$D$2427,IF($X$2:$X$2427&gt;0,1))))&gt;0,SUM(IF(A2398=$A$2:$A$2427,IF(D2398=$D$2:$D$2427,$X$2:$X$2427)))/COUNT(IF(A2398=$A$2:$A$2427,IF(D2398=$D$2:$D$2427,IF(ISNUMBER($X$2:$X$2427),1)))),0),""),0)</f>
        <v/>
      </c>
      <c r="Z2398" s="104" t="str">
        <f>IF(ISNUMBER(O2398),IF(I2398&gt;0,(10^(VLOOKUP(D2398,'Species Codes'!B:C,2,0)+VLOOKUP(D2398,'Species Codes'!B:D,3,0)*LOG(E2398)+VLOOKUP(D2398,'Species Codes'!B:E,4,0)*LOG(I2398))),0),"")</f>
        <v/>
      </c>
      <c r="AA2398" s="104" t="str">
        <f>IFERROR((VLOOKUP(D2398,'Species Codes'!B:G,6,0)*Z2398)/2000,"")</f>
        <v/>
      </c>
      <c r="AB2398" s="104" t="e">
        <f>IF(Z2398&gt;0,((IF(OR(D2398="DF",D2398="RA")=TRUE,EXP(VLOOKUP(D2398,'Species Codes'!B:I,8,0)+VLOOKUP(D2398,'Species Codes'!B:J,9,0)*(LN((E2398*2.54)))),IF(OR(D2398="PY",D2398="RC",D2398="WH",D2398="NF")=TRUE,VLOOKUP(D2398,'Species Codes'!B:I,8,0)+VLOOKUP(D2398,'Species Codes'!B:J,9,0)*((E2398*2.54)^2)*(I2398*0.3048),IF(OR(D2398="MD",D2398="BM",D2398="GA")=TRUE,((VLOOKUP(D2398,'Species Codes'!B:I,8,0)*(((((E2398*2.54)+VLOOKUP(D2398,'Species Codes'!B:J,9,0))/VLOOKUP(D2398,'Species Codes'!B:K,10,0))^VLOOKUP(D2398,'Species Codes'!B:L,11,0))*((I2398*0.3048)^VLOOKUP(D2398,'Species Codes'!B:M,12,0))))-(VLOOKUP(D2398,'Species Codes'!B:I,8,0)*((((E2398*2.54)^VLOOKUP(D2398,'Species Codes'!B:L,11,0))*((I2398*0.3048)^VLOOKUP(D2398,'Species Codes'!B:M,12,0))))))*35.3*VLOOKUP(D2398,'Species Codes'!B:G,6,0)/2.2046,VLOOKUP(D2398,'Species Codes'!B:I,8,0)+VLOOKUP(D2398,'Species Codes'!B:J,9,0)*(((E2398*2.54)/100)^2)*(I2398*0.3048)))))*0.0011023),0)</f>
        <v>#N/A</v>
      </c>
      <c r="AC2398" s="104" t="e">
        <f>IF(Z2398&gt;0,((IF(OR(D2398="RA",D2398="OA",D2398="OT",D2398="UN",D2398="PC"),EXP(VLOOKUP(D2398,'Species Codes'!B:O,14,0)+VLOOKUP(D2398,'Species Codes'!B:P,15,0)*LN((E2398*2.54)))-EXP(VLOOKUP(D2398,'Species Codes'!B:O,14,0)+VLOOKUP(D2398,'Species Codes'!B:P,15,0)*LN((E2398*2.54)))*(1/(VLOOKUP(D2398,'Species Codes'!B:Q,16,0)+VLOOKUP(D2398,'Species Codes'!B:R,17,0)*((E2398*2.54)^VLOOKUP(D2398,'Species Codes'!B:S,18,0)))),IF(OR(D2398="BM",D2398="MD",D2398="OA"),EXP(VLOOKUP(D2398,'Species Codes'!B:O,14,0)+VLOOKUP(D2398,'Species Codes'!B:P,15,0)*LN((E2398*2.54)))*(1-(1/(VLOOKUP(D2398,'Species Codes'!B:Q,16,0)+VLOOKUP(D2398,'Species Codes'!B:R,17,0)*((E2398*2.54)^VLOOKUP(D2398,'Species Codes'!B:S,18,0)))))/1000,IF(D2398="DF",EXP(VLOOKUP(D2398,'Species Codes'!B:O,14,0)+VLOOKUP(D2398,'Species Codes'!B:P,15,0)*LN((E2398*2.54))),VLOOKUP(D2398,'Species Codes'!B:O,14,0)+VLOOKUP(D2398,'Species Codes'!B:P,15,0)*(((E2398*2.54)/100)^2)*(I2398*0.3048)))))*0.0011023),0)</f>
        <v>#N/A</v>
      </c>
      <c r="AD2398" s="104" t="e">
        <f t="shared" si="1057"/>
        <v>#N/A</v>
      </c>
      <c r="AE2398" s="104" t="e">
        <f t="shared" si="1058"/>
        <v>#N/A</v>
      </c>
      <c r="AF2398" s="104" t="e">
        <f>IF(AND(VLOOKUP($D2398,Merchantability!$B:$C,2,0)="Yes",$E2398&gt;=VLOOKUP($D2398,Merchantability!$B:$D,3,0),$E2398&lt;=VLOOKUP($D2398,Merchantability!$B:$E,4,0)),AA2398,0)</f>
        <v>#N/A</v>
      </c>
      <c r="AG2398" s="104" t="e">
        <f>IF(AND(VLOOKUP($D2398,Merchantability!$B:$C,2,0)="Yes",$E2398&gt;=VLOOKUP($D2398,Merchantability!$B:$D,3,0),$E2398&lt;=VLOOKUP($D2398,Merchantability!$B:$E,4,0)),AB2398,0)</f>
        <v>#N/A</v>
      </c>
      <c r="AH2398" s="104" t="e">
        <f>IF(AND(VLOOKUP($D2398,Merchantability!$B:$C,2,0)="Yes",$E2398&gt;=VLOOKUP($D2398,Merchantability!$B:$D,3,0),$E2398&lt;=VLOOKUP($D2398,Merchantability!$B:$E,4,0)),AC2398,0)</f>
        <v>#N/A</v>
      </c>
      <c r="AI2398" s="104" t="e">
        <f t="shared" si="1059"/>
        <v>#N/A</v>
      </c>
      <c r="AJ2398" s="104" t="e">
        <f t="shared" si="1060"/>
        <v>#VALUE!</v>
      </c>
      <c r="AK2398" s="104" t="e">
        <f t="shared" si="1061"/>
        <v>#N/A</v>
      </c>
      <c r="AL2398" s="104" t="e">
        <f t="shared" si="1062"/>
        <v>#N/A</v>
      </c>
      <c r="AM2398" s="104" t="e">
        <f t="shared" si="1063"/>
        <v>#N/A</v>
      </c>
      <c r="AN2398" s="104" t="e">
        <f t="shared" si="1047"/>
        <v>#N/A</v>
      </c>
      <c r="AO2398" s="104" t="e">
        <f t="shared" si="1048"/>
        <v>#N/A</v>
      </c>
      <c r="AP2398" s="104" t="e">
        <f t="shared" si="1049"/>
        <v>#N/A</v>
      </c>
      <c r="AQ2398" s="104" t="e">
        <f t="shared" si="1050"/>
        <v>#N/A</v>
      </c>
      <c r="AR2398" s="105" t="str">
        <f t="shared" si="1042"/>
        <v/>
      </c>
      <c r="AS2398" s="105" t="str">
        <f t="shared" si="1043"/>
        <v/>
      </c>
      <c r="AT2398" s="108" t="str">
        <f t="shared" si="1044"/>
        <v/>
      </c>
      <c r="AU2398" s="108" t="str">
        <f t="shared" si="1045"/>
        <v/>
      </c>
      <c r="AV2398" s="107" t="str">
        <f>IF(ISNUMBER(O2398),IF(VLOOKUP($A2398,Stand!C:J,8,FALSE)="Short",AT2398,AU2398),"")</f>
        <v/>
      </c>
      <c r="AW2398" s="109" t="str">
        <f t="shared" si="1051"/>
        <v/>
      </c>
      <c r="AX2398" s="109" t="str">
        <f t="shared" si="1052"/>
        <v/>
      </c>
      <c r="AY2398" s="112" t="str">
        <f>IF(ISNUMBER(O2398),IF(AND(VLOOKUP($D2398,Merchantability!$B:$C,2,0)="Yes",$E2398&gt;=VLOOKUP($D2398,Merchantability!$B:$D,3,0),$E2398&lt;=VLOOKUP($D2398,Merchantability!$B:$E,4,0)),(AV2398*O2398)*(1-$H2398/100),""),"")</f>
        <v/>
      </c>
      <c r="AZ2398" s="116"/>
      <c r="BA2398" s="116"/>
      <c r="BB2398" s="116"/>
      <c r="BE2398" s="62"/>
      <c r="BF2398" s="63"/>
    </row>
    <row r="2399" spans="1:58" ht="12.75" customHeight="1" x14ac:dyDescent="0.25">
      <c r="A2399" s="334"/>
      <c r="B2399" s="334"/>
      <c r="C2399" s="332"/>
      <c r="D2399" s="334"/>
      <c r="E2399" s="335"/>
      <c r="F2399" s="334"/>
      <c r="G2399" s="332"/>
      <c r="H2399" s="332"/>
      <c r="I2399" s="334"/>
      <c r="J2399" s="336"/>
      <c r="K2399" s="332"/>
      <c r="L2399" s="332"/>
      <c r="M2399" s="76"/>
      <c r="N2399" s="103" t="str">
        <f>IF(A2399="","",VLOOKUP(A2399,Stand!C:K,9,0))</f>
        <v/>
      </c>
      <c r="O2399" s="104" t="str">
        <f t="shared" si="1037"/>
        <v/>
      </c>
      <c r="P2399" s="105" t="str">
        <f t="shared" si="1038"/>
        <v/>
      </c>
      <c r="Q2399" s="105" t="str">
        <f t="shared" si="1053"/>
        <v/>
      </c>
      <c r="R2399" s="103" t="str">
        <f t="shared" si="1039"/>
        <v/>
      </c>
      <c r="S2399" s="103" t="str">
        <f t="shared" si="1040"/>
        <v/>
      </c>
      <c r="T2399" s="106" t="str">
        <f t="shared" si="1054"/>
        <v/>
      </c>
      <c r="U2399" s="106" t="str">
        <f t="shared" si="1055"/>
        <v/>
      </c>
      <c r="V2399" s="106" t="str">
        <f t="shared" si="1056"/>
        <v/>
      </c>
      <c r="W2399" s="105" t="str">
        <f t="shared" si="1041"/>
        <v/>
      </c>
      <c r="X2399" s="104" t="str">
        <f t="shared" si="1046"/>
        <v/>
      </c>
      <c r="Y2399" s="104" t="str">
        <f t="array" ref="Y2399">IFERROR(IF(ISNUMBER(O2399),IF(COUNT(IF(A2399=$A$2:$A$2427,IF(D2399=$D$2:$D$2427,IF($X$2:$X$2427&gt;0,1))))&gt;0,SUM(IF(A2399=$A$2:$A$2427,IF(D2399=$D$2:$D$2427,$X$2:$X$2427)))/COUNT(IF(A2399=$A$2:$A$2427,IF(D2399=$D$2:$D$2427,IF(ISNUMBER($X$2:$X$2427),1)))),0),""),0)</f>
        <v/>
      </c>
      <c r="Z2399" s="104" t="str">
        <f>IF(ISNUMBER(O2399),IF(I2399&gt;0,(10^(VLOOKUP(D2399,'Species Codes'!B:C,2,0)+VLOOKUP(D2399,'Species Codes'!B:D,3,0)*LOG(E2399)+VLOOKUP(D2399,'Species Codes'!B:E,4,0)*LOG(I2399))),0),"")</f>
        <v/>
      </c>
      <c r="AA2399" s="104" t="str">
        <f>IFERROR((VLOOKUP(D2399,'Species Codes'!B:G,6,0)*Z2399)/2000,"")</f>
        <v/>
      </c>
      <c r="AB2399" s="104" t="e">
        <f>IF(Z2399&gt;0,((IF(OR(D2399="DF",D2399="RA")=TRUE,EXP(VLOOKUP(D2399,'Species Codes'!B:I,8,0)+VLOOKUP(D2399,'Species Codes'!B:J,9,0)*(LN((E2399*2.54)))),IF(OR(D2399="PY",D2399="RC",D2399="WH",D2399="NF")=TRUE,VLOOKUP(D2399,'Species Codes'!B:I,8,0)+VLOOKUP(D2399,'Species Codes'!B:J,9,0)*((E2399*2.54)^2)*(I2399*0.3048),IF(OR(D2399="MD",D2399="BM",D2399="GA")=TRUE,((VLOOKUP(D2399,'Species Codes'!B:I,8,0)*(((((E2399*2.54)+VLOOKUP(D2399,'Species Codes'!B:J,9,0))/VLOOKUP(D2399,'Species Codes'!B:K,10,0))^VLOOKUP(D2399,'Species Codes'!B:L,11,0))*((I2399*0.3048)^VLOOKUP(D2399,'Species Codes'!B:M,12,0))))-(VLOOKUP(D2399,'Species Codes'!B:I,8,0)*((((E2399*2.54)^VLOOKUP(D2399,'Species Codes'!B:L,11,0))*((I2399*0.3048)^VLOOKUP(D2399,'Species Codes'!B:M,12,0))))))*35.3*VLOOKUP(D2399,'Species Codes'!B:G,6,0)/2.2046,VLOOKUP(D2399,'Species Codes'!B:I,8,0)+VLOOKUP(D2399,'Species Codes'!B:J,9,0)*(((E2399*2.54)/100)^2)*(I2399*0.3048)))))*0.0011023),0)</f>
        <v>#N/A</v>
      </c>
      <c r="AC2399" s="104" t="e">
        <f>IF(Z2399&gt;0,((IF(OR(D2399="RA",D2399="OA",D2399="OT",D2399="UN",D2399="PC"),EXP(VLOOKUP(D2399,'Species Codes'!B:O,14,0)+VLOOKUP(D2399,'Species Codes'!B:P,15,0)*LN((E2399*2.54)))-EXP(VLOOKUP(D2399,'Species Codes'!B:O,14,0)+VLOOKUP(D2399,'Species Codes'!B:P,15,0)*LN((E2399*2.54)))*(1/(VLOOKUP(D2399,'Species Codes'!B:Q,16,0)+VLOOKUP(D2399,'Species Codes'!B:R,17,0)*((E2399*2.54)^VLOOKUP(D2399,'Species Codes'!B:S,18,0)))),IF(OR(D2399="BM",D2399="MD",D2399="OA"),EXP(VLOOKUP(D2399,'Species Codes'!B:O,14,0)+VLOOKUP(D2399,'Species Codes'!B:P,15,0)*LN((E2399*2.54)))*(1-(1/(VLOOKUP(D2399,'Species Codes'!B:Q,16,0)+VLOOKUP(D2399,'Species Codes'!B:R,17,0)*((E2399*2.54)^VLOOKUP(D2399,'Species Codes'!B:S,18,0)))))/1000,IF(D2399="DF",EXP(VLOOKUP(D2399,'Species Codes'!B:O,14,0)+VLOOKUP(D2399,'Species Codes'!B:P,15,0)*LN((E2399*2.54))),VLOOKUP(D2399,'Species Codes'!B:O,14,0)+VLOOKUP(D2399,'Species Codes'!B:P,15,0)*(((E2399*2.54)/100)^2)*(I2399*0.3048)))))*0.0011023),0)</f>
        <v>#N/A</v>
      </c>
      <c r="AD2399" s="104" t="e">
        <f t="shared" si="1057"/>
        <v>#N/A</v>
      </c>
      <c r="AE2399" s="104" t="e">
        <f t="shared" si="1058"/>
        <v>#N/A</v>
      </c>
      <c r="AF2399" s="104" t="e">
        <f>IF(AND(VLOOKUP($D2399,Merchantability!$B:$C,2,0)="Yes",$E2399&gt;=VLOOKUP($D2399,Merchantability!$B:$D,3,0),$E2399&lt;=VLOOKUP($D2399,Merchantability!$B:$E,4,0)),AA2399,0)</f>
        <v>#N/A</v>
      </c>
      <c r="AG2399" s="104" t="e">
        <f>IF(AND(VLOOKUP($D2399,Merchantability!$B:$C,2,0)="Yes",$E2399&gt;=VLOOKUP($D2399,Merchantability!$B:$D,3,0),$E2399&lt;=VLOOKUP($D2399,Merchantability!$B:$E,4,0)),AB2399,0)</f>
        <v>#N/A</v>
      </c>
      <c r="AH2399" s="104" t="e">
        <f>IF(AND(VLOOKUP($D2399,Merchantability!$B:$C,2,0)="Yes",$E2399&gt;=VLOOKUP($D2399,Merchantability!$B:$D,3,0),$E2399&lt;=VLOOKUP($D2399,Merchantability!$B:$E,4,0)),AC2399,0)</f>
        <v>#N/A</v>
      </c>
      <c r="AI2399" s="104" t="e">
        <f t="shared" si="1059"/>
        <v>#N/A</v>
      </c>
      <c r="AJ2399" s="104" t="e">
        <f t="shared" si="1060"/>
        <v>#VALUE!</v>
      </c>
      <c r="AK2399" s="104" t="e">
        <f t="shared" si="1061"/>
        <v>#N/A</v>
      </c>
      <c r="AL2399" s="104" t="e">
        <f t="shared" si="1062"/>
        <v>#N/A</v>
      </c>
      <c r="AM2399" s="104" t="e">
        <f t="shared" si="1063"/>
        <v>#N/A</v>
      </c>
      <c r="AN2399" s="104" t="e">
        <f t="shared" si="1047"/>
        <v>#N/A</v>
      </c>
      <c r="AO2399" s="104" t="e">
        <f t="shared" si="1048"/>
        <v>#N/A</v>
      </c>
      <c r="AP2399" s="104" t="e">
        <f t="shared" si="1049"/>
        <v>#N/A</v>
      </c>
      <c r="AQ2399" s="104" t="e">
        <f t="shared" si="1050"/>
        <v>#N/A</v>
      </c>
      <c r="AR2399" s="105" t="str">
        <f t="shared" si="1042"/>
        <v/>
      </c>
      <c r="AS2399" s="105" t="str">
        <f t="shared" si="1043"/>
        <v/>
      </c>
      <c r="AT2399" s="108" t="str">
        <f t="shared" si="1044"/>
        <v/>
      </c>
      <c r="AU2399" s="108" t="str">
        <f t="shared" si="1045"/>
        <v/>
      </c>
      <c r="AV2399" s="107" t="str">
        <f>IF(ISNUMBER(O2399),IF(VLOOKUP($A2399,Stand!C:J,8,FALSE)="Short",AT2399,AU2399),"")</f>
        <v/>
      </c>
      <c r="AW2399" s="109" t="str">
        <f t="shared" si="1051"/>
        <v/>
      </c>
      <c r="AX2399" s="109" t="str">
        <f t="shared" si="1052"/>
        <v/>
      </c>
      <c r="AY2399" s="112" t="str">
        <f>IF(ISNUMBER(O2399),IF(AND(VLOOKUP($D2399,Merchantability!$B:$C,2,0)="Yes",$E2399&gt;=VLOOKUP($D2399,Merchantability!$B:$D,3,0),$E2399&lt;=VLOOKUP($D2399,Merchantability!$B:$E,4,0)),(AV2399*O2399)*(1-$H2399/100),""),"")</f>
        <v/>
      </c>
      <c r="AZ2399" s="116"/>
      <c r="BA2399" s="116"/>
      <c r="BB2399" s="116"/>
      <c r="BE2399" s="62"/>
      <c r="BF2399" s="63"/>
    </row>
    <row r="2400" spans="1:58" ht="12.75" customHeight="1" x14ac:dyDescent="0.25">
      <c r="A2400" s="334"/>
      <c r="B2400" s="334"/>
      <c r="C2400" s="332"/>
      <c r="D2400" s="334"/>
      <c r="E2400" s="335"/>
      <c r="F2400" s="334"/>
      <c r="G2400" s="332"/>
      <c r="H2400" s="332"/>
      <c r="I2400" s="334"/>
      <c r="J2400" s="336"/>
      <c r="K2400" s="332"/>
      <c r="L2400" s="332"/>
      <c r="M2400" s="76"/>
      <c r="N2400" s="103" t="str">
        <f>IF(A2400="","",VLOOKUP(A2400,Stand!C:K,9,0))</f>
        <v/>
      </c>
      <c r="O2400" s="104" t="str">
        <f t="shared" si="1037"/>
        <v/>
      </c>
      <c r="P2400" s="105" t="str">
        <f t="shared" si="1038"/>
        <v/>
      </c>
      <c r="Q2400" s="105" t="str">
        <f t="shared" si="1053"/>
        <v/>
      </c>
      <c r="R2400" s="103" t="str">
        <f t="shared" si="1039"/>
        <v/>
      </c>
      <c r="S2400" s="103" t="str">
        <f t="shared" si="1040"/>
        <v/>
      </c>
      <c r="T2400" s="106" t="str">
        <f t="shared" si="1054"/>
        <v/>
      </c>
      <c r="U2400" s="106" t="str">
        <f t="shared" si="1055"/>
        <v/>
      </c>
      <c r="V2400" s="106" t="str">
        <f t="shared" si="1056"/>
        <v/>
      </c>
      <c r="W2400" s="105" t="str">
        <f t="shared" si="1041"/>
        <v/>
      </c>
      <c r="X2400" s="104" t="str">
        <f t="shared" si="1046"/>
        <v/>
      </c>
      <c r="Y2400" s="104" t="str">
        <f t="array" ref="Y2400">IFERROR(IF(ISNUMBER(O2400),IF(COUNT(IF(A2400=$A$2:$A$2427,IF(D2400=$D$2:$D$2427,IF($X$2:$X$2427&gt;0,1))))&gt;0,SUM(IF(A2400=$A$2:$A$2427,IF(D2400=$D$2:$D$2427,$X$2:$X$2427)))/COUNT(IF(A2400=$A$2:$A$2427,IF(D2400=$D$2:$D$2427,IF(ISNUMBER($X$2:$X$2427),1)))),0),""),0)</f>
        <v/>
      </c>
      <c r="Z2400" s="104" t="str">
        <f>IF(ISNUMBER(O2400),IF(I2400&gt;0,(10^(VLOOKUP(D2400,'Species Codes'!B:C,2,0)+VLOOKUP(D2400,'Species Codes'!B:D,3,0)*LOG(E2400)+VLOOKUP(D2400,'Species Codes'!B:E,4,0)*LOG(I2400))),0),"")</f>
        <v/>
      </c>
      <c r="AA2400" s="104" t="str">
        <f>IFERROR((VLOOKUP(D2400,'Species Codes'!B:G,6,0)*Z2400)/2000,"")</f>
        <v/>
      </c>
      <c r="AB2400" s="104" t="e">
        <f>IF(Z2400&gt;0,((IF(OR(D2400="DF",D2400="RA")=TRUE,EXP(VLOOKUP(D2400,'Species Codes'!B:I,8,0)+VLOOKUP(D2400,'Species Codes'!B:J,9,0)*(LN((E2400*2.54)))),IF(OR(D2400="PY",D2400="RC",D2400="WH",D2400="NF")=TRUE,VLOOKUP(D2400,'Species Codes'!B:I,8,0)+VLOOKUP(D2400,'Species Codes'!B:J,9,0)*((E2400*2.54)^2)*(I2400*0.3048),IF(OR(D2400="MD",D2400="BM",D2400="GA")=TRUE,((VLOOKUP(D2400,'Species Codes'!B:I,8,0)*(((((E2400*2.54)+VLOOKUP(D2400,'Species Codes'!B:J,9,0))/VLOOKUP(D2400,'Species Codes'!B:K,10,0))^VLOOKUP(D2400,'Species Codes'!B:L,11,0))*((I2400*0.3048)^VLOOKUP(D2400,'Species Codes'!B:M,12,0))))-(VLOOKUP(D2400,'Species Codes'!B:I,8,0)*((((E2400*2.54)^VLOOKUP(D2400,'Species Codes'!B:L,11,0))*((I2400*0.3048)^VLOOKUP(D2400,'Species Codes'!B:M,12,0))))))*35.3*VLOOKUP(D2400,'Species Codes'!B:G,6,0)/2.2046,VLOOKUP(D2400,'Species Codes'!B:I,8,0)+VLOOKUP(D2400,'Species Codes'!B:J,9,0)*(((E2400*2.54)/100)^2)*(I2400*0.3048)))))*0.0011023),0)</f>
        <v>#N/A</v>
      </c>
      <c r="AC2400" s="104" t="e">
        <f>IF(Z2400&gt;0,((IF(OR(D2400="RA",D2400="OA",D2400="OT",D2400="UN",D2400="PC"),EXP(VLOOKUP(D2400,'Species Codes'!B:O,14,0)+VLOOKUP(D2400,'Species Codes'!B:P,15,0)*LN((E2400*2.54)))-EXP(VLOOKUP(D2400,'Species Codes'!B:O,14,0)+VLOOKUP(D2400,'Species Codes'!B:P,15,0)*LN((E2400*2.54)))*(1/(VLOOKUP(D2400,'Species Codes'!B:Q,16,0)+VLOOKUP(D2400,'Species Codes'!B:R,17,0)*((E2400*2.54)^VLOOKUP(D2400,'Species Codes'!B:S,18,0)))),IF(OR(D2400="BM",D2400="MD",D2400="OA"),EXP(VLOOKUP(D2400,'Species Codes'!B:O,14,0)+VLOOKUP(D2400,'Species Codes'!B:P,15,0)*LN((E2400*2.54)))*(1-(1/(VLOOKUP(D2400,'Species Codes'!B:Q,16,0)+VLOOKUP(D2400,'Species Codes'!B:R,17,0)*((E2400*2.54)^VLOOKUP(D2400,'Species Codes'!B:S,18,0)))))/1000,IF(D2400="DF",EXP(VLOOKUP(D2400,'Species Codes'!B:O,14,0)+VLOOKUP(D2400,'Species Codes'!B:P,15,0)*LN((E2400*2.54))),VLOOKUP(D2400,'Species Codes'!B:O,14,0)+VLOOKUP(D2400,'Species Codes'!B:P,15,0)*(((E2400*2.54)/100)^2)*(I2400*0.3048)))))*0.0011023),0)</f>
        <v>#N/A</v>
      </c>
      <c r="AD2400" s="104" t="e">
        <f t="shared" si="1057"/>
        <v>#N/A</v>
      </c>
      <c r="AE2400" s="104" t="e">
        <f t="shared" si="1058"/>
        <v>#N/A</v>
      </c>
      <c r="AF2400" s="104" t="e">
        <f>IF(AND(VLOOKUP($D2400,Merchantability!$B:$C,2,0)="Yes",$E2400&gt;=VLOOKUP($D2400,Merchantability!$B:$D,3,0),$E2400&lt;=VLOOKUP($D2400,Merchantability!$B:$E,4,0)),AA2400,0)</f>
        <v>#N/A</v>
      </c>
      <c r="AG2400" s="104" t="e">
        <f>IF(AND(VLOOKUP($D2400,Merchantability!$B:$C,2,0)="Yes",$E2400&gt;=VLOOKUP($D2400,Merchantability!$B:$D,3,0),$E2400&lt;=VLOOKUP($D2400,Merchantability!$B:$E,4,0)),AB2400,0)</f>
        <v>#N/A</v>
      </c>
      <c r="AH2400" s="104" t="e">
        <f>IF(AND(VLOOKUP($D2400,Merchantability!$B:$C,2,0)="Yes",$E2400&gt;=VLOOKUP($D2400,Merchantability!$B:$D,3,0),$E2400&lt;=VLOOKUP($D2400,Merchantability!$B:$E,4,0)),AC2400,0)</f>
        <v>#N/A</v>
      </c>
      <c r="AI2400" s="104" t="e">
        <f t="shared" si="1059"/>
        <v>#N/A</v>
      </c>
      <c r="AJ2400" s="104" t="e">
        <f t="shared" si="1060"/>
        <v>#VALUE!</v>
      </c>
      <c r="AK2400" s="104" t="e">
        <f t="shared" si="1061"/>
        <v>#N/A</v>
      </c>
      <c r="AL2400" s="104" t="e">
        <f t="shared" si="1062"/>
        <v>#N/A</v>
      </c>
      <c r="AM2400" s="104" t="e">
        <f t="shared" si="1063"/>
        <v>#N/A</v>
      </c>
      <c r="AN2400" s="104" t="e">
        <f t="shared" si="1047"/>
        <v>#N/A</v>
      </c>
      <c r="AO2400" s="104" t="e">
        <f t="shared" si="1048"/>
        <v>#N/A</v>
      </c>
      <c r="AP2400" s="104" t="e">
        <f t="shared" si="1049"/>
        <v>#N/A</v>
      </c>
      <c r="AQ2400" s="104" t="e">
        <f t="shared" si="1050"/>
        <v>#N/A</v>
      </c>
      <c r="AR2400" s="105" t="str">
        <f t="shared" si="1042"/>
        <v/>
      </c>
      <c r="AS2400" s="105" t="str">
        <f t="shared" si="1043"/>
        <v/>
      </c>
      <c r="AT2400" s="108" t="str">
        <f t="shared" si="1044"/>
        <v/>
      </c>
      <c r="AU2400" s="108" t="str">
        <f t="shared" si="1045"/>
        <v/>
      </c>
      <c r="AV2400" s="107" t="str">
        <f>IF(ISNUMBER(O2400),IF(VLOOKUP($A2400,Stand!C:J,8,FALSE)="Short",AT2400,AU2400),"")</f>
        <v/>
      </c>
      <c r="AW2400" s="109" t="str">
        <f t="shared" si="1051"/>
        <v/>
      </c>
      <c r="AX2400" s="109" t="str">
        <f t="shared" si="1052"/>
        <v/>
      </c>
      <c r="AY2400" s="112" t="str">
        <f>IF(ISNUMBER(O2400),IF(AND(VLOOKUP($D2400,Merchantability!$B:$C,2,0)="Yes",$E2400&gt;=VLOOKUP($D2400,Merchantability!$B:$D,3,0),$E2400&lt;=VLOOKUP($D2400,Merchantability!$B:$E,4,0)),(AV2400*O2400)*(1-$H2400/100),""),"")</f>
        <v/>
      </c>
      <c r="AZ2400" s="116"/>
      <c r="BA2400" s="116"/>
      <c r="BB2400" s="116"/>
      <c r="BE2400" s="62"/>
      <c r="BF2400" s="63"/>
    </row>
    <row r="2401" spans="1:58" ht="12.75" customHeight="1" x14ac:dyDescent="0.25">
      <c r="A2401" s="334"/>
      <c r="B2401" s="334"/>
      <c r="C2401" s="332"/>
      <c r="D2401" s="334"/>
      <c r="E2401" s="335"/>
      <c r="F2401" s="334"/>
      <c r="G2401" s="332"/>
      <c r="H2401" s="332"/>
      <c r="I2401" s="334"/>
      <c r="J2401" s="336"/>
      <c r="K2401" s="332"/>
      <c r="L2401" s="332"/>
      <c r="M2401" s="76"/>
      <c r="N2401" s="103" t="str">
        <f>IF(A2401="","",VLOOKUP(A2401,Stand!C:K,9,0))</f>
        <v/>
      </c>
      <c r="O2401" s="104" t="str">
        <f t="shared" si="1037"/>
        <v/>
      </c>
      <c r="P2401" s="105" t="str">
        <f t="shared" si="1038"/>
        <v/>
      </c>
      <c r="Q2401" s="105" t="str">
        <f t="shared" si="1053"/>
        <v/>
      </c>
      <c r="R2401" s="103" t="str">
        <f t="shared" si="1039"/>
        <v/>
      </c>
      <c r="S2401" s="103" t="str">
        <f t="shared" si="1040"/>
        <v/>
      </c>
      <c r="T2401" s="106" t="str">
        <f t="shared" si="1054"/>
        <v/>
      </c>
      <c r="U2401" s="106" t="str">
        <f t="shared" si="1055"/>
        <v/>
      </c>
      <c r="V2401" s="106" t="str">
        <f t="shared" si="1056"/>
        <v/>
      </c>
      <c r="W2401" s="105" t="str">
        <f t="shared" si="1041"/>
        <v/>
      </c>
      <c r="X2401" s="104" t="str">
        <f t="shared" si="1046"/>
        <v/>
      </c>
      <c r="Y2401" s="104" t="str">
        <f t="array" ref="Y2401">IFERROR(IF(ISNUMBER(O2401),IF(COUNT(IF(A2401=$A$2:$A$2427,IF(D2401=$D$2:$D$2427,IF($X$2:$X$2427&gt;0,1))))&gt;0,SUM(IF(A2401=$A$2:$A$2427,IF(D2401=$D$2:$D$2427,$X$2:$X$2427)))/COUNT(IF(A2401=$A$2:$A$2427,IF(D2401=$D$2:$D$2427,IF(ISNUMBER($X$2:$X$2427),1)))),0),""),0)</f>
        <v/>
      </c>
      <c r="Z2401" s="104" t="str">
        <f>IF(ISNUMBER(O2401),IF(I2401&gt;0,(10^(VLOOKUP(D2401,'Species Codes'!B:C,2,0)+VLOOKUP(D2401,'Species Codes'!B:D,3,0)*LOG(E2401)+VLOOKUP(D2401,'Species Codes'!B:E,4,0)*LOG(I2401))),0),"")</f>
        <v/>
      </c>
      <c r="AA2401" s="104" t="str">
        <f>IFERROR((VLOOKUP(D2401,'Species Codes'!B:G,6,0)*Z2401)/2000,"")</f>
        <v/>
      </c>
      <c r="AB2401" s="104" t="e">
        <f>IF(Z2401&gt;0,((IF(OR(D2401="DF",D2401="RA")=TRUE,EXP(VLOOKUP(D2401,'Species Codes'!B:I,8,0)+VLOOKUP(D2401,'Species Codes'!B:J,9,0)*(LN((E2401*2.54)))),IF(OR(D2401="PY",D2401="RC",D2401="WH",D2401="NF")=TRUE,VLOOKUP(D2401,'Species Codes'!B:I,8,0)+VLOOKUP(D2401,'Species Codes'!B:J,9,0)*((E2401*2.54)^2)*(I2401*0.3048),IF(OR(D2401="MD",D2401="BM",D2401="GA")=TRUE,((VLOOKUP(D2401,'Species Codes'!B:I,8,0)*(((((E2401*2.54)+VLOOKUP(D2401,'Species Codes'!B:J,9,0))/VLOOKUP(D2401,'Species Codes'!B:K,10,0))^VLOOKUP(D2401,'Species Codes'!B:L,11,0))*((I2401*0.3048)^VLOOKUP(D2401,'Species Codes'!B:M,12,0))))-(VLOOKUP(D2401,'Species Codes'!B:I,8,0)*((((E2401*2.54)^VLOOKUP(D2401,'Species Codes'!B:L,11,0))*((I2401*0.3048)^VLOOKUP(D2401,'Species Codes'!B:M,12,0))))))*35.3*VLOOKUP(D2401,'Species Codes'!B:G,6,0)/2.2046,VLOOKUP(D2401,'Species Codes'!B:I,8,0)+VLOOKUP(D2401,'Species Codes'!B:J,9,0)*(((E2401*2.54)/100)^2)*(I2401*0.3048)))))*0.0011023),0)</f>
        <v>#N/A</v>
      </c>
      <c r="AC2401" s="104" t="e">
        <f>IF(Z2401&gt;0,((IF(OR(D2401="RA",D2401="OA",D2401="OT",D2401="UN",D2401="PC"),EXP(VLOOKUP(D2401,'Species Codes'!B:O,14,0)+VLOOKUP(D2401,'Species Codes'!B:P,15,0)*LN((E2401*2.54)))-EXP(VLOOKUP(D2401,'Species Codes'!B:O,14,0)+VLOOKUP(D2401,'Species Codes'!B:P,15,0)*LN((E2401*2.54)))*(1/(VLOOKUP(D2401,'Species Codes'!B:Q,16,0)+VLOOKUP(D2401,'Species Codes'!B:R,17,0)*((E2401*2.54)^VLOOKUP(D2401,'Species Codes'!B:S,18,0)))),IF(OR(D2401="BM",D2401="MD",D2401="OA"),EXP(VLOOKUP(D2401,'Species Codes'!B:O,14,0)+VLOOKUP(D2401,'Species Codes'!B:P,15,0)*LN((E2401*2.54)))*(1-(1/(VLOOKUP(D2401,'Species Codes'!B:Q,16,0)+VLOOKUP(D2401,'Species Codes'!B:R,17,0)*((E2401*2.54)^VLOOKUP(D2401,'Species Codes'!B:S,18,0)))))/1000,IF(D2401="DF",EXP(VLOOKUP(D2401,'Species Codes'!B:O,14,0)+VLOOKUP(D2401,'Species Codes'!B:P,15,0)*LN((E2401*2.54))),VLOOKUP(D2401,'Species Codes'!B:O,14,0)+VLOOKUP(D2401,'Species Codes'!B:P,15,0)*(((E2401*2.54)/100)^2)*(I2401*0.3048)))))*0.0011023),0)</f>
        <v>#N/A</v>
      </c>
      <c r="AD2401" s="104" t="e">
        <f t="shared" si="1057"/>
        <v>#N/A</v>
      </c>
      <c r="AE2401" s="104" t="e">
        <f t="shared" si="1058"/>
        <v>#N/A</v>
      </c>
      <c r="AF2401" s="104" t="e">
        <f>IF(AND(VLOOKUP($D2401,Merchantability!$B:$C,2,0)="Yes",$E2401&gt;=VLOOKUP($D2401,Merchantability!$B:$D,3,0),$E2401&lt;=VLOOKUP($D2401,Merchantability!$B:$E,4,0)),AA2401,0)</f>
        <v>#N/A</v>
      </c>
      <c r="AG2401" s="104" t="e">
        <f>IF(AND(VLOOKUP($D2401,Merchantability!$B:$C,2,0)="Yes",$E2401&gt;=VLOOKUP($D2401,Merchantability!$B:$D,3,0),$E2401&lt;=VLOOKUP($D2401,Merchantability!$B:$E,4,0)),AB2401,0)</f>
        <v>#N/A</v>
      </c>
      <c r="AH2401" s="104" t="e">
        <f>IF(AND(VLOOKUP($D2401,Merchantability!$B:$C,2,0)="Yes",$E2401&gt;=VLOOKUP($D2401,Merchantability!$B:$D,3,0),$E2401&lt;=VLOOKUP($D2401,Merchantability!$B:$E,4,0)),AC2401,0)</f>
        <v>#N/A</v>
      </c>
      <c r="AI2401" s="104" t="e">
        <f t="shared" si="1059"/>
        <v>#N/A</v>
      </c>
      <c r="AJ2401" s="104" t="e">
        <f t="shared" si="1060"/>
        <v>#VALUE!</v>
      </c>
      <c r="AK2401" s="104" t="e">
        <f t="shared" si="1061"/>
        <v>#N/A</v>
      </c>
      <c r="AL2401" s="104" t="e">
        <f t="shared" si="1062"/>
        <v>#N/A</v>
      </c>
      <c r="AM2401" s="104" t="e">
        <f t="shared" si="1063"/>
        <v>#N/A</v>
      </c>
      <c r="AN2401" s="104" t="e">
        <f t="shared" si="1047"/>
        <v>#N/A</v>
      </c>
      <c r="AO2401" s="104" t="e">
        <f t="shared" si="1048"/>
        <v>#N/A</v>
      </c>
      <c r="AP2401" s="104" t="e">
        <f t="shared" si="1049"/>
        <v>#N/A</v>
      </c>
      <c r="AQ2401" s="104" t="e">
        <f t="shared" si="1050"/>
        <v>#N/A</v>
      </c>
      <c r="AR2401" s="105" t="str">
        <f t="shared" si="1042"/>
        <v/>
      </c>
      <c r="AS2401" s="105" t="str">
        <f t="shared" si="1043"/>
        <v/>
      </c>
      <c r="AT2401" s="108" t="str">
        <f t="shared" si="1044"/>
        <v/>
      </c>
      <c r="AU2401" s="108" t="str">
        <f t="shared" si="1045"/>
        <v/>
      </c>
      <c r="AV2401" s="107" t="str">
        <f>IF(ISNUMBER(O2401),IF(VLOOKUP($A2401,Stand!C:J,8,FALSE)="Short",AT2401,AU2401),"")</f>
        <v/>
      </c>
      <c r="AW2401" s="109" t="str">
        <f t="shared" si="1051"/>
        <v/>
      </c>
      <c r="AX2401" s="109" t="str">
        <f t="shared" si="1052"/>
        <v/>
      </c>
      <c r="AY2401" s="112" t="str">
        <f>IF(ISNUMBER(O2401),IF(AND(VLOOKUP($D2401,Merchantability!$B:$C,2,0)="Yes",$E2401&gt;=VLOOKUP($D2401,Merchantability!$B:$D,3,0),$E2401&lt;=VLOOKUP($D2401,Merchantability!$B:$E,4,0)),(AV2401*O2401)*(1-$H2401/100),""),"")</f>
        <v/>
      </c>
      <c r="AZ2401" s="116"/>
      <c r="BA2401" s="116"/>
      <c r="BB2401" s="116"/>
      <c r="BE2401" s="62"/>
      <c r="BF2401" s="63"/>
    </row>
    <row r="2402" spans="1:58" ht="12.75" customHeight="1" x14ac:dyDescent="0.25">
      <c r="A2402" s="334"/>
      <c r="B2402" s="334"/>
      <c r="C2402" s="332"/>
      <c r="D2402" s="334"/>
      <c r="E2402" s="335"/>
      <c r="F2402" s="334"/>
      <c r="G2402" s="332"/>
      <c r="H2402" s="332"/>
      <c r="I2402" s="334"/>
      <c r="J2402" s="336"/>
      <c r="K2402" s="332"/>
      <c r="L2402" s="332"/>
      <c r="M2402" s="76"/>
      <c r="N2402" s="103" t="str">
        <f>IF(A2402="","",VLOOKUP(A2402,Stand!C:K,9,0))</f>
        <v/>
      </c>
      <c r="O2402" s="104" t="str">
        <f t="shared" si="1037"/>
        <v/>
      </c>
      <c r="P2402" s="105" t="str">
        <f t="shared" si="1038"/>
        <v/>
      </c>
      <c r="Q2402" s="105" t="str">
        <f t="shared" si="1053"/>
        <v/>
      </c>
      <c r="R2402" s="103" t="str">
        <f t="shared" si="1039"/>
        <v/>
      </c>
      <c r="S2402" s="103" t="str">
        <f t="shared" si="1040"/>
        <v/>
      </c>
      <c r="T2402" s="106" t="str">
        <f t="shared" si="1054"/>
        <v/>
      </c>
      <c r="U2402" s="106" t="str">
        <f t="shared" si="1055"/>
        <v/>
      </c>
      <c r="V2402" s="106" t="str">
        <f t="shared" si="1056"/>
        <v/>
      </c>
      <c r="W2402" s="105" t="str">
        <f t="shared" si="1041"/>
        <v/>
      </c>
      <c r="X2402" s="104" t="str">
        <f t="shared" si="1046"/>
        <v/>
      </c>
      <c r="Y2402" s="104" t="str">
        <f t="array" ref="Y2402">IFERROR(IF(ISNUMBER(O2402),IF(COUNT(IF(A2402=$A$2:$A$2427,IF(D2402=$D$2:$D$2427,IF($X$2:$X$2427&gt;0,1))))&gt;0,SUM(IF(A2402=$A$2:$A$2427,IF(D2402=$D$2:$D$2427,$X$2:$X$2427)))/COUNT(IF(A2402=$A$2:$A$2427,IF(D2402=$D$2:$D$2427,IF(ISNUMBER($X$2:$X$2427),1)))),0),""),0)</f>
        <v/>
      </c>
      <c r="Z2402" s="104" t="str">
        <f>IF(ISNUMBER(O2402),IF(I2402&gt;0,(10^(VLOOKUP(D2402,'Species Codes'!B:C,2,0)+VLOOKUP(D2402,'Species Codes'!B:D,3,0)*LOG(E2402)+VLOOKUP(D2402,'Species Codes'!B:E,4,0)*LOG(I2402))),0),"")</f>
        <v/>
      </c>
      <c r="AA2402" s="104" t="str">
        <f>IFERROR((VLOOKUP(D2402,'Species Codes'!B:G,6,0)*Z2402)/2000,"")</f>
        <v/>
      </c>
      <c r="AB2402" s="104" t="e">
        <f>IF(Z2402&gt;0,((IF(OR(D2402="DF",D2402="RA")=TRUE,EXP(VLOOKUP(D2402,'Species Codes'!B:I,8,0)+VLOOKUP(D2402,'Species Codes'!B:J,9,0)*(LN((E2402*2.54)))),IF(OR(D2402="PY",D2402="RC",D2402="WH",D2402="NF")=TRUE,VLOOKUP(D2402,'Species Codes'!B:I,8,0)+VLOOKUP(D2402,'Species Codes'!B:J,9,0)*((E2402*2.54)^2)*(I2402*0.3048),IF(OR(D2402="MD",D2402="BM",D2402="GA")=TRUE,((VLOOKUP(D2402,'Species Codes'!B:I,8,0)*(((((E2402*2.54)+VLOOKUP(D2402,'Species Codes'!B:J,9,0))/VLOOKUP(D2402,'Species Codes'!B:K,10,0))^VLOOKUP(D2402,'Species Codes'!B:L,11,0))*((I2402*0.3048)^VLOOKUP(D2402,'Species Codes'!B:M,12,0))))-(VLOOKUP(D2402,'Species Codes'!B:I,8,0)*((((E2402*2.54)^VLOOKUP(D2402,'Species Codes'!B:L,11,0))*((I2402*0.3048)^VLOOKUP(D2402,'Species Codes'!B:M,12,0))))))*35.3*VLOOKUP(D2402,'Species Codes'!B:G,6,0)/2.2046,VLOOKUP(D2402,'Species Codes'!B:I,8,0)+VLOOKUP(D2402,'Species Codes'!B:J,9,0)*(((E2402*2.54)/100)^2)*(I2402*0.3048)))))*0.0011023),0)</f>
        <v>#N/A</v>
      </c>
      <c r="AC2402" s="104" t="e">
        <f>IF(Z2402&gt;0,((IF(OR(D2402="RA",D2402="OA",D2402="OT",D2402="UN",D2402="PC"),EXP(VLOOKUP(D2402,'Species Codes'!B:O,14,0)+VLOOKUP(D2402,'Species Codes'!B:P,15,0)*LN((E2402*2.54)))-EXP(VLOOKUP(D2402,'Species Codes'!B:O,14,0)+VLOOKUP(D2402,'Species Codes'!B:P,15,0)*LN((E2402*2.54)))*(1/(VLOOKUP(D2402,'Species Codes'!B:Q,16,0)+VLOOKUP(D2402,'Species Codes'!B:R,17,0)*((E2402*2.54)^VLOOKUP(D2402,'Species Codes'!B:S,18,0)))),IF(OR(D2402="BM",D2402="MD",D2402="OA"),EXP(VLOOKUP(D2402,'Species Codes'!B:O,14,0)+VLOOKUP(D2402,'Species Codes'!B:P,15,0)*LN((E2402*2.54)))*(1-(1/(VLOOKUP(D2402,'Species Codes'!B:Q,16,0)+VLOOKUP(D2402,'Species Codes'!B:R,17,0)*((E2402*2.54)^VLOOKUP(D2402,'Species Codes'!B:S,18,0)))))/1000,IF(D2402="DF",EXP(VLOOKUP(D2402,'Species Codes'!B:O,14,0)+VLOOKUP(D2402,'Species Codes'!B:P,15,0)*LN((E2402*2.54))),VLOOKUP(D2402,'Species Codes'!B:O,14,0)+VLOOKUP(D2402,'Species Codes'!B:P,15,0)*(((E2402*2.54)/100)^2)*(I2402*0.3048)))))*0.0011023),0)</f>
        <v>#N/A</v>
      </c>
      <c r="AD2402" s="104" t="e">
        <f t="shared" si="1057"/>
        <v>#N/A</v>
      </c>
      <c r="AE2402" s="104" t="e">
        <f t="shared" si="1058"/>
        <v>#N/A</v>
      </c>
      <c r="AF2402" s="104" t="e">
        <f>IF(AND(VLOOKUP($D2402,Merchantability!$B:$C,2,0)="Yes",$E2402&gt;=VLOOKUP($D2402,Merchantability!$B:$D,3,0),$E2402&lt;=VLOOKUP($D2402,Merchantability!$B:$E,4,0)),AA2402,0)</f>
        <v>#N/A</v>
      </c>
      <c r="AG2402" s="104" t="e">
        <f>IF(AND(VLOOKUP($D2402,Merchantability!$B:$C,2,0)="Yes",$E2402&gt;=VLOOKUP($D2402,Merchantability!$B:$D,3,0),$E2402&lt;=VLOOKUP($D2402,Merchantability!$B:$E,4,0)),AB2402,0)</f>
        <v>#N/A</v>
      </c>
      <c r="AH2402" s="104" t="e">
        <f>IF(AND(VLOOKUP($D2402,Merchantability!$B:$C,2,0)="Yes",$E2402&gt;=VLOOKUP($D2402,Merchantability!$B:$D,3,0),$E2402&lt;=VLOOKUP($D2402,Merchantability!$B:$E,4,0)),AC2402,0)</f>
        <v>#N/A</v>
      </c>
      <c r="AI2402" s="104" t="e">
        <f t="shared" si="1059"/>
        <v>#N/A</v>
      </c>
      <c r="AJ2402" s="104" t="e">
        <f t="shared" si="1060"/>
        <v>#VALUE!</v>
      </c>
      <c r="AK2402" s="104" t="e">
        <f t="shared" si="1061"/>
        <v>#N/A</v>
      </c>
      <c r="AL2402" s="104" t="e">
        <f t="shared" si="1062"/>
        <v>#N/A</v>
      </c>
      <c r="AM2402" s="104" t="e">
        <f t="shared" si="1063"/>
        <v>#N/A</v>
      </c>
      <c r="AN2402" s="104" t="e">
        <f t="shared" si="1047"/>
        <v>#N/A</v>
      </c>
      <c r="AO2402" s="104" t="e">
        <f t="shared" si="1048"/>
        <v>#N/A</v>
      </c>
      <c r="AP2402" s="104" t="e">
        <f t="shared" si="1049"/>
        <v>#N/A</v>
      </c>
      <c r="AQ2402" s="104" t="e">
        <f t="shared" si="1050"/>
        <v>#N/A</v>
      </c>
      <c r="AR2402" s="105" t="str">
        <f t="shared" si="1042"/>
        <v/>
      </c>
      <c r="AS2402" s="105" t="str">
        <f t="shared" si="1043"/>
        <v/>
      </c>
      <c r="AT2402" s="108" t="str">
        <f t="shared" si="1044"/>
        <v/>
      </c>
      <c r="AU2402" s="108" t="str">
        <f t="shared" si="1045"/>
        <v/>
      </c>
      <c r="AV2402" s="107" t="str">
        <f>IF(ISNUMBER(O2402),IF(VLOOKUP($A2402,Stand!C:J,8,FALSE)="Short",AT2402,AU2402),"")</f>
        <v/>
      </c>
      <c r="AW2402" s="109" t="str">
        <f t="shared" si="1051"/>
        <v/>
      </c>
      <c r="AX2402" s="109" t="str">
        <f t="shared" si="1052"/>
        <v/>
      </c>
      <c r="AY2402" s="112" t="str">
        <f>IF(ISNUMBER(O2402),IF(AND(VLOOKUP($D2402,Merchantability!$B:$C,2,0)="Yes",$E2402&gt;=VLOOKUP($D2402,Merchantability!$B:$D,3,0),$E2402&lt;=VLOOKUP($D2402,Merchantability!$B:$E,4,0)),(AV2402*O2402)*(1-$H2402/100),""),"")</f>
        <v/>
      </c>
      <c r="AZ2402" s="116"/>
      <c r="BA2402" s="116"/>
      <c r="BB2402" s="116"/>
      <c r="BE2402" s="62"/>
      <c r="BF2402" s="63"/>
    </row>
    <row r="2403" spans="1:58" ht="12.75" customHeight="1" x14ac:dyDescent="0.25">
      <c r="A2403" s="334"/>
      <c r="B2403" s="334"/>
      <c r="C2403" s="332"/>
      <c r="D2403" s="334"/>
      <c r="E2403" s="335"/>
      <c r="F2403" s="334"/>
      <c r="G2403" s="332"/>
      <c r="H2403" s="332"/>
      <c r="I2403" s="334"/>
      <c r="J2403" s="336"/>
      <c r="K2403" s="332"/>
      <c r="L2403" s="332"/>
      <c r="M2403" s="76"/>
      <c r="N2403" s="103" t="str">
        <f>IF(A2403="","",VLOOKUP(A2403,Stand!C:K,9,0))</f>
        <v/>
      </c>
      <c r="O2403" s="104" t="str">
        <f t="shared" si="1037"/>
        <v/>
      </c>
      <c r="P2403" s="105" t="str">
        <f t="shared" si="1038"/>
        <v/>
      </c>
      <c r="Q2403" s="105" t="str">
        <f t="shared" si="1053"/>
        <v/>
      </c>
      <c r="R2403" s="103" t="str">
        <f t="shared" si="1039"/>
        <v/>
      </c>
      <c r="S2403" s="103" t="str">
        <f t="shared" si="1040"/>
        <v/>
      </c>
      <c r="T2403" s="106" t="str">
        <f t="shared" si="1054"/>
        <v/>
      </c>
      <c r="U2403" s="106" t="str">
        <f t="shared" si="1055"/>
        <v/>
      </c>
      <c r="V2403" s="106" t="str">
        <f t="shared" si="1056"/>
        <v/>
      </c>
      <c r="W2403" s="105" t="str">
        <f t="shared" si="1041"/>
        <v/>
      </c>
      <c r="X2403" s="104" t="str">
        <f t="shared" si="1046"/>
        <v/>
      </c>
      <c r="Y2403" s="104" t="str">
        <f t="array" ref="Y2403">IFERROR(IF(ISNUMBER(O2403),IF(COUNT(IF(A2403=$A$2:$A$2427,IF(D2403=$D$2:$D$2427,IF($X$2:$X$2427&gt;0,1))))&gt;0,SUM(IF(A2403=$A$2:$A$2427,IF(D2403=$D$2:$D$2427,$X$2:$X$2427)))/COUNT(IF(A2403=$A$2:$A$2427,IF(D2403=$D$2:$D$2427,IF(ISNUMBER($X$2:$X$2427),1)))),0),""),0)</f>
        <v/>
      </c>
      <c r="Z2403" s="104" t="str">
        <f>IF(ISNUMBER(O2403),IF(I2403&gt;0,(10^(VLOOKUP(D2403,'Species Codes'!B:C,2,0)+VLOOKUP(D2403,'Species Codes'!B:D,3,0)*LOG(E2403)+VLOOKUP(D2403,'Species Codes'!B:E,4,0)*LOG(I2403))),0),"")</f>
        <v/>
      </c>
      <c r="AA2403" s="104" t="str">
        <f>IFERROR((VLOOKUP(D2403,'Species Codes'!B:G,6,0)*Z2403)/2000,"")</f>
        <v/>
      </c>
      <c r="AB2403" s="104" t="e">
        <f>IF(Z2403&gt;0,((IF(OR(D2403="DF",D2403="RA")=TRUE,EXP(VLOOKUP(D2403,'Species Codes'!B:I,8,0)+VLOOKUP(D2403,'Species Codes'!B:J,9,0)*(LN((E2403*2.54)))),IF(OR(D2403="PY",D2403="RC",D2403="WH",D2403="NF")=TRUE,VLOOKUP(D2403,'Species Codes'!B:I,8,0)+VLOOKUP(D2403,'Species Codes'!B:J,9,0)*((E2403*2.54)^2)*(I2403*0.3048),IF(OR(D2403="MD",D2403="BM",D2403="GA")=TRUE,((VLOOKUP(D2403,'Species Codes'!B:I,8,0)*(((((E2403*2.54)+VLOOKUP(D2403,'Species Codes'!B:J,9,0))/VLOOKUP(D2403,'Species Codes'!B:K,10,0))^VLOOKUP(D2403,'Species Codes'!B:L,11,0))*((I2403*0.3048)^VLOOKUP(D2403,'Species Codes'!B:M,12,0))))-(VLOOKUP(D2403,'Species Codes'!B:I,8,0)*((((E2403*2.54)^VLOOKUP(D2403,'Species Codes'!B:L,11,0))*((I2403*0.3048)^VLOOKUP(D2403,'Species Codes'!B:M,12,0))))))*35.3*VLOOKUP(D2403,'Species Codes'!B:G,6,0)/2.2046,VLOOKUP(D2403,'Species Codes'!B:I,8,0)+VLOOKUP(D2403,'Species Codes'!B:J,9,0)*(((E2403*2.54)/100)^2)*(I2403*0.3048)))))*0.0011023),0)</f>
        <v>#N/A</v>
      </c>
      <c r="AC2403" s="104" t="e">
        <f>IF(Z2403&gt;0,((IF(OR(D2403="RA",D2403="OA",D2403="OT",D2403="UN",D2403="PC"),EXP(VLOOKUP(D2403,'Species Codes'!B:O,14,0)+VLOOKUP(D2403,'Species Codes'!B:P,15,0)*LN((E2403*2.54)))-EXP(VLOOKUP(D2403,'Species Codes'!B:O,14,0)+VLOOKUP(D2403,'Species Codes'!B:P,15,0)*LN((E2403*2.54)))*(1/(VLOOKUP(D2403,'Species Codes'!B:Q,16,0)+VLOOKUP(D2403,'Species Codes'!B:R,17,0)*((E2403*2.54)^VLOOKUP(D2403,'Species Codes'!B:S,18,0)))),IF(OR(D2403="BM",D2403="MD",D2403="OA"),EXP(VLOOKUP(D2403,'Species Codes'!B:O,14,0)+VLOOKUP(D2403,'Species Codes'!B:P,15,0)*LN((E2403*2.54)))*(1-(1/(VLOOKUP(D2403,'Species Codes'!B:Q,16,0)+VLOOKUP(D2403,'Species Codes'!B:R,17,0)*((E2403*2.54)^VLOOKUP(D2403,'Species Codes'!B:S,18,0)))))/1000,IF(D2403="DF",EXP(VLOOKUP(D2403,'Species Codes'!B:O,14,0)+VLOOKUP(D2403,'Species Codes'!B:P,15,0)*LN((E2403*2.54))),VLOOKUP(D2403,'Species Codes'!B:O,14,0)+VLOOKUP(D2403,'Species Codes'!B:P,15,0)*(((E2403*2.54)/100)^2)*(I2403*0.3048)))))*0.0011023),0)</f>
        <v>#N/A</v>
      </c>
      <c r="AD2403" s="104" t="e">
        <f t="shared" si="1057"/>
        <v>#N/A</v>
      </c>
      <c r="AE2403" s="104" t="e">
        <f t="shared" si="1058"/>
        <v>#N/A</v>
      </c>
      <c r="AF2403" s="104" t="e">
        <f>IF(AND(VLOOKUP($D2403,Merchantability!$B:$C,2,0)="Yes",$E2403&gt;=VLOOKUP($D2403,Merchantability!$B:$D,3,0),$E2403&lt;=VLOOKUP($D2403,Merchantability!$B:$E,4,0)),AA2403,0)</f>
        <v>#N/A</v>
      </c>
      <c r="AG2403" s="104" t="e">
        <f>IF(AND(VLOOKUP($D2403,Merchantability!$B:$C,2,0)="Yes",$E2403&gt;=VLOOKUP($D2403,Merchantability!$B:$D,3,0),$E2403&lt;=VLOOKUP($D2403,Merchantability!$B:$E,4,0)),AB2403,0)</f>
        <v>#N/A</v>
      </c>
      <c r="AH2403" s="104" t="e">
        <f>IF(AND(VLOOKUP($D2403,Merchantability!$B:$C,2,0)="Yes",$E2403&gt;=VLOOKUP($D2403,Merchantability!$B:$D,3,0),$E2403&lt;=VLOOKUP($D2403,Merchantability!$B:$E,4,0)),AC2403,0)</f>
        <v>#N/A</v>
      </c>
      <c r="AI2403" s="104" t="e">
        <f t="shared" si="1059"/>
        <v>#N/A</v>
      </c>
      <c r="AJ2403" s="104" t="e">
        <f t="shared" si="1060"/>
        <v>#VALUE!</v>
      </c>
      <c r="AK2403" s="104" t="e">
        <f t="shared" si="1061"/>
        <v>#N/A</v>
      </c>
      <c r="AL2403" s="104" t="e">
        <f t="shared" si="1062"/>
        <v>#N/A</v>
      </c>
      <c r="AM2403" s="104" t="e">
        <f t="shared" si="1063"/>
        <v>#N/A</v>
      </c>
      <c r="AN2403" s="104" t="e">
        <f t="shared" si="1047"/>
        <v>#N/A</v>
      </c>
      <c r="AO2403" s="104" t="e">
        <f t="shared" si="1048"/>
        <v>#N/A</v>
      </c>
      <c r="AP2403" s="104" t="e">
        <f t="shared" si="1049"/>
        <v>#N/A</v>
      </c>
      <c r="AQ2403" s="104" t="e">
        <f t="shared" si="1050"/>
        <v>#N/A</v>
      </c>
      <c r="AR2403" s="105" t="str">
        <f t="shared" si="1042"/>
        <v/>
      </c>
      <c r="AS2403" s="105" t="str">
        <f t="shared" si="1043"/>
        <v/>
      </c>
      <c r="AT2403" s="108" t="str">
        <f t="shared" si="1044"/>
        <v/>
      </c>
      <c r="AU2403" s="108" t="str">
        <f t="shared" si="1045"/>
        <v/>
      </c>
      <c r="AV2403" s="107" t="str">
        <f>IF(ISNUMBER(O2403),IF(VLOOKUP($A2403,Stand!C:J,8,FALSE)="Short",AT2403,AU2403),"")</f>
        <v/>
      </c>
      <c r="AW2403" s="109" t="str">
        <f t="shared" si="1051"/>
        <v/>
      </c>
      <c r="AX2403" s="109" t="str">
        <f t="shared" si="1052"/>
        <v/>
      </c>
      <c r="AY2403" s="112" t="str">
        <f>IF(ISNUMBER(O2403),IF(AND(VLOOKUP($D2403,Merchantability!$B:$C,2,0)="Yes",$E2403&gt;=VLOOKUP($D2403,Merchantability!$B:$D,3,0),$E2403&lt;=VLOOKUP($D2403,Merchantability!$B:$E,4,0)),(AV2403*O2403)*(1-$H2403/100),""),"")</f>
        <v/>
      </c>
      <c r="AZ2403" s="116"/>
      <c r="BA2403" s="116"/>
      <c r="BB2403" s="116"/>
      <c r="BE2403" s="62"/>
      <c r="BF2403" s="63"/>
    </row>
    <row r="2404" spans="1:58" ht="12.75" customHeight="1" x14ac:dyDescent="0.25">
      <c r="A2404" s="334"/>
      <c r="B2404" s="334"/>
      <c r="C2404" s="332"/>
      <c r="D2404" s="334"/>
      <c r="E2404" s="335"/>
      <c r="F2404" s="334"/>
      <c r="G2404" s="332"/>
      <c r="H2404" s="332"/>
      <c r="I2404" s="334"/>
      <c r="J2404" s="336"/>
      <c r="K2404" s="332"/>
      <c r="L2404" s="332"/>
      <c r="M2404" s="76"/>
      <c r="N2404" s="103" t="str">
        <f>IF(A2404="","",VLOOKUP(A2404,Stand!C:K,9,0))</f>
        <v/>
      </c>
      <c r="O2404" s="104" t="str">
        <f t="shared" si="1037"/>
        <v/>
      </c>
      <c r="P2404" s="105" t="str">
        <f t="shared" si="1038"/>
        <v/>
      </c>
      <c r="Q2404" s="105" t="str">
        <f t="shared" si="1053"/>
        <v/>
      </c>
      <c r="R2404" s="103" t="str">
        <f t="shared" si="1039"/>
        <v/>
      </c>
      <c r="S2404" s="103" t="str">
        <f t="shared" si="1040"/>
        <v/>
      </c>
      <c r="T2404" s="106" t="str">
        <f t="shared" si="1054"/>
        <v/>
      </c>
      <c r="U2404" s="106" t="str">
        <f t="shared" si="1055"/>
        <v/>
      </c>
      <c r="V2404" s="106" t="str">
        <f t="shared" si="1056"/>
        <v/>
      </c>
      <c r="W2404" s="105" t="str">
        <f t="shared" si="1041"/>
        <v/>
      </c>
      <c r="X2404" s="104" t="str">
        <f t="shared" si="1046"/>
        <v/>
      </c>
      <c r="Y2404" s="104" t="str">
        <f t="array" ref="Y2404">IFERROR(IF(ISNUMBER(O2404),IF(COUNT(IF(A2404=$A$2:$A$2427,IF(D2404=$D$2:$D$2427,IF($X$2:$X$2427&gt;0,1))))&gt;0,SUM(IF(A2404=$A$2:$A$2427,IF(D2404=$D$2:$D$2427,$X$2:$X$2427)))/COUNT(IF(A2404=$A$2:$A$2427,IF(D2404=$D$2:$D$2427,IF(ISNUMBER($X$2:$X$2427),1)))),0),""),0)</f>
        <v/>
      </c>
      <c r="Z2404" s="104" t="str">
        <f>IF(ISNUMBER(O2404),IF(I2404&gt;0,(10^(VLOOKUP(D2404,'Species Codes'!B:C,2,0)+VLOOKUP(D2404,'Species Codes'!B:D,3,0)*LOG(E2404)+VLOOKUP(D2404,'Species Codes'!B:E,4,0)*LOG(I2404))),0),"")</f>
        <v/>
      </c>
      <c r="AA2404" s="104" t="str">
        <f>IFERROR((VLOOKUP(D2404,'Species Codes'!B:G,6,0)*Z2404)/2000,"")</f>
        <v/>
      </c>
      <c r="AB2404" s="104" t="e">
        <f>IF(Z2404&gt;0,((IF(OR(D2404="DF",D2404="RA")=TRUE,EXP(VLOOKUP(D2404,'Species Codes'!B:I,8,0)+VLOOKUP(D2404,'Species Codes'!B:J,9,0)*(LN((E2404*2.54)))),IF(OR(D2404="PY",D2404="RC",D2404="WH",D2404="NF")=TRUE,VLOOKUP(D2404,'Species Codes'!B:I,8,0)+VLOOKUP(D2404,'Species Codes'!B:J,9,0)*((E2404*2.54)^2)*(I2404*0.3048),IF(OR(D2404="MD",D2404="BM",D2404="GA")=TRUE,((VLOOKUP(D2404,'Species Codes'!B:I,8,0)*(((((E2404*2.54)+VLOOKUP(D2404,'Species Codes'!B:J,9,0))/VLOOKUP(D2404,'Species Codes'!B:K,10,0))^VLOOKUP(D2404,'Species Codes'!B:L,11,0))*((I2404*0.3048)^VLOOKUP(D2404,'Species Codes'!B:M,12,0))))-(VLOOKUP(D2404,'Species Codes'!B:I,8,0)*((((E2404*2.54)^VLOOKUP(D2404,'Species Codes'!B:L,11,0))*((I2404*0.3048)^VLOOKUP(D2404,'Species Codes'!B:M,12,0))))))*35.3*VLOOKUP(D2404,'Species Codes'!B:G,6,0)/2.2046,VLOOKUP(D2404,'Species Codes'!B:I,8,0)+VLOOKUP(D2404,'Species Codes'!B:J,9,0)*(((E2404*2.54)/100)^2)*(I2404*0.3048)))))*0.0011023),0)</f>
        <v>#N/A</v>
      </c>
      <c r="AC2404" s="104" t="e">
        <f>IF(Z2404&gt;0,((IF(OR(D2404="RA",D2404="OA",D2404="OT",D2404="UN",D2404="PC"),EXP(VLOOKUP(D2404,'Species Codes'!B:O,14,0)+VLOOKUP(D2404,'Species Codes'!B:P,15,0)*LN((E2404*2.54)))-EXP(VLOOKUP(D2404,'Species Codes'!B:O,14,0)+VLOOKUP(D2404,'Species Codes'!B:P,15,0)*LN((E2404*2.54)))*(1/(VLOOKUP(D2404,'Species Codes'!B:Q,16,0)+VLOOKUP(D2404,'Species Codes'!B:R,17,0)*((E2404*2.54)^VLOOKUP(D2404,'Species Codes'!B:S,18,0)))),IF(OR(D2404="BM",D2404="MD",D2404="OA"),EXP(VLOOKUP(D2404,'Species Codes'!B:O,14,0)+VLOOKUP(D2404,'Species Codes'!B:P,15,0)*LN((E2404*2.54)))*(1-(1/(VLOOKUP(D2404,'Species Codes'!B:Q,16,0)+VLOOKUP(D2404,'Species Codes'!B:R,17,0)*((E2404*2.54)^VLOOKUP(D2404,'Species Codes'!B:S,18,0)))))/1000,IF(D2404="DF",EXP(VLOOKUP(D2404,'Species Codes'!B:O,14,0)+VLOOKUP(D2404,'Species Codes'!B:P,15,0)*LN((E2404*2.54))),VLOOKUP(D2404,'Species Codes'!B:O,14,0)+VLOOKUP(D2404,'Species Codes'!B:P,15,0)*(((E2404*2.54)/100)^2)*(I2404*0.3048)))))*0.0011023),0)</f>
        <v>#N/A</v>
      </c>
      <c r="AD2404" s="104" t="e">
        <f t="shared" si="1057"/>
        <v>#N/A</v>
      </c>
      <c r="AE2404" s="104" t="e">
        <f t="shared" si="1058"/>
        <v>#N/A</v>
      </c>
      <c r="AF2404" s="104" t="e">
        <f>IF(AND(VLOOKUP($D2404,Merchantability!$B:$C,2,0)="Yes",$E2404&gt;=VLOOKUP($D2404,Merchantability!$B:$D,3,0),$E2404&lt;=VLOOKUP($D2404,Merchantability!$B:$E,4,0)),AA2404,0)</f>
        <v>#N/A</v>
      </c>
      <c r="AG2404" s="104" t="e">
        <f>IF(AND(VLOOKUP($D2404,Merchantability!$B:$C,2,0)="Yes",$E2404&gt;=VLOOKUP($D2404,Merchantability!$B:$D,3,0),$E2404&lt;=VLOOKUP($D2404,Merchantability!$B:$E,4,0)),AB2404,0)</f>
        <v>#N/A</v>
      </c>
      <c r="AH2404" s="104" t="e">
        <f>IF(AND(VLOOKUP($D2404,Merchantability!$B:$C,2,0)="Yes",$E2404&gt;=VLOOKUP($D2404,Merchantability!$B:$D,3,0),$E2404&lt;=VLOOKUP($D2404,Merchantability!$B:$E,4,0)),AC2404,0)</f>
        <v>#N/A</v>
      </c>
      <c r="AI2404" s="104" t="e">
        <f t="shared" si="1059"/>
        <v>#N/A</v>
      </c>
      <c r="AJ2404" s="104" t="e">
        <f t="shared" si="1060"/>
        <v>#VALUE!</v>
      </c>
      <c r="AK2404" s="104" t="e">
        <f t="shared" si="1061"/>
        <v>#N/A</v>
      </c>
      <c r="AL2404" s="104" t="e">
        <f t="shared" si="1062"/>
        <v>#N/A</v>
      </c>
      <c r="AM2404" s="104" t="e">
        <f t="shared" si="1063"/>
        <v>#N/A</v>
      </c>
      <c r="AN2404" s="104" t="e">
        <f t="shared" si="1047"/>
        <v>#N/A</v>
      </c>
      <c r="AO2404" s="104" t="e">
        <f t="shared" si="1048"/>
        <v>#N/A</v>
      </c>
      <c r="AP2404" s="104" t="e">
        <f t="shared" si="1049"/>
        <v>#N/A</v>
      </c>
      <c r="AQ2404" s="104" t="e">
        <f t="shared" si="1050"/>
        <v>#N/A</v>
      </c>
      <c r="AR2404" s="105" t="str">
        <f t="shared" si="1042"/>
        <v/>
      </c>
      <c r="AS2404" s="105" t="str">
        <f t="shared" si="1043"/>
        <v/>
      </c>
      <c r="AT2404" s="108" t="str">
        <f t="shared" si="1044"/>
        <v/>
      </c>
      <c r="AU2404" s="108" t="str">
        <f t="shared" si="1045"/>
        <v/>
      </c>
      <c r="AV2404" s="107" t="str">
        <f>IF(ISNUMBER(O2404),IF(VLOOKUP($A2404,Stand!C:J,8,FALSE)="Short",AT2404,AU2404),"")</f>
        <v/>
      </c>
      <c r="AW2404" s="109" t="str">
        <f t="shared" si="1051"/>
        <v/>
      </c>
      <c r="AX2404" s="109" t="str">
        <f t="shared" si="1052"/>
        <v/>
      </c>
      <c r="AY2404" s="112" t="str">
        <f>IF(ISNUMBER(O2404),IF(AND(VLOOKUP($D2404,Merchantability!$B:$C,2,0)="Yes",$E2404&gt;=VLOOKUP($D2404,Merchantability!$B:$D,3,0),$E2404&lt;=VLOOKUP($D2404,Merchantability!$B:$E,4,0)),(AV2404*O2404)*(1-$H2404/100),""),"")</f>
        <v/>
      </c>
      <c r="AZ2404" s="116"/>
      <c r="BA2404" s="116"/>
      <c r="BB2404" s="116"/>
      <c r="BE2404" s="62"/>
      <c r="BF2404" s="63"/>
    </row>
    <row r="2405" spans="1:58" ht="12.75" customHeight="1" x14ac:dyDescent="0.25">
      <c r="A2405" s="334"/>
      <c r="B2405" s="334"/>
      <c r="C2405" s="332"/>
      <c r="D2405" s="334"/>
      <c r="E2405" s="335"/>
      <c r="F2405" s="334"/>
      <c r="G2405" s="332"/>
      <c r="H2405" s="332"/>
      <c r="I2405" s="334"/>
      <c r="J2405" s="336"/>
      <c r="K2405" s="332"/>
      <c r="L2405" s="332"/>
      <c r="M2405" s="76"/>
      <c r="N2405" s="103" t="str">
        <f>IF(A2405="","",VLOOKUP(A2405,Stand!C:K,9,0))</f>
        <v/>
      </c>
      <c r="O2405" s="104" t="str">
        <f t="shared" si="1037"/>
        <v/>
      </c>
      <c r="P2405" s="105" t="str">
        <f t="shared" si="1038"/>
        <v/>
      </c>
      <c r="Q2405" s="105" t="str">
        <f t="shared" si="1053"/>
        <v/>
      </c>
      <c r="R2405" s="103" t="str">
        <f t="shared" si="1039"/>
        <v/>
      </c>
      <c r="S2405" s="103" t="str">
        <f t="shared" si="1040"/>
        <v/>
      </c>
      <c r="T2405" s="106" t="str">
        <f t="shared" si="1054"/>
        <v/>
      </c>
      <c r="U2405" s="106" t="str">
        <f t="shared" si="1055"/>
        <v/>
      </c>
      <c r="V2405" s="106" t="str">
        <f t="shared" si="1056"/>
        <v/>
      </c>
      <c r="W2405" s="105" t="str">
        <f t="shared" si="1041"/>
        <v/>
      </c>
      <c r="X2405" s="104" t="str">
        <f t="shared" si="1046"/>
        <v/>
      </c>
      <c r="Y2405" s="104" t="str">
        <f t="array" ref="Y2405">IFERROR(IF(ISNUMBER(O2405),IF(COUNT(IF(A2405=$A$2:$A$2427,IF(D2405=$D$2:$D$2427,IF($X$2:$X$2427&gt;0,1))))&gt;0,SUM(IF(A2405=$A$2:$A$2427,IF(D2405=$D$2:$D$2427,$X$2:$X$2427)))/COUNT(IF(A2405=$A$2:$A$2427,IF(D2405=$D$2:$D$2427,IF(ISNUMBER($X$2:$X$2427),1)))),0),""),0)</f>
        <v/>
      </c>
      <c r="Z2405" s="104" t="str">
        <f>IF(ISNUMBER(O2405),IF(I2405&gt;0,(10^(VLOOKUP(D2405,'Species Codes'!B:C,2,0)+VLOOKUP(D2405,'Species Codes'!B:D,3,0)*LOG(E2405)+VLOOKUP(D2405,'Species Codes'!B:E,4,0)*LOG(I2405))),0),"")</f>
        <v/>
      </c>
      <c r="AA2405" s="104" t="str">
        <f>IFERROR((VLOOKUP(D2405,'Species Codes'!B:G,6,0)*Z2405)/2000,"")</f>
        <v/>
      </c>
      <c r="AB2405" s="104" t="e">
        <f>IF(Z2405&gt;0,((IF(OR(D2405="DF",D2405="RA")=TRUE,EXP(VLOOKUP(D2405,'Species Codes'!B:I,8,0)+VLOOKUP(D2405,'Species Codes'!B:J,9,0)*(LN((E2405*2.54)))),IF(OR(D2405="PY",D2405="RC",D2405="WH",D2405="NF")=TRUE,VLOOKUP(D2405,'Species Codes'!B:I,8,0)+VLOOKUP(D2405,'Species Codes'!B:J,9,0)*((E2405*2.54)^2)*(I2405*0.3048),IF(OR(D2405="MD",D2405="BM",D2405="GA")=TRUE,((VLOOKUP(D2405,'Species Codes'!B:I,8,0)*(((((E2405*2.54)+VLOOKUP(D2405,'Species Codes'!B:J,9,0))/VLOOKUP(D2405,'Species Codes'!B:K,10,0))^VLOOKUP(D2405,'Species Codes'!B:L,11,0))*((I2405*0.3048)^VLOOKUP(D2405,'Species Codes'!B:M,12,0))))-(VLOOKUP(D2405,'Species Codes'!B:I,8,0)*((((E2405*2.54)^VLOOKUP(D2405,'Species Codes'!B:L,11,0))*((I2405*0.3048)^VLOOKUP(D2405,'Species Codes'!B:M,12,0))))))*35.3*VLOOKUP(D2405,'Species Codes'!B:G,6,0)/2.2046,VLOOKUP(D2405,'Species Codes'!B:I,8,0)+VLOOKUP(D2405,'Species Codes'!B:J,9,0)*(((E2405*2.54)/100)^2)*(I2405*0.3048)))))*0.0011023),0)</f>
        <v>#N/A</v>
      </c>
      <c r="AC2405" s="104" t="e">
        <f>IF(Z2405&gt;0,((IF(OR(D2405="RA",D2405="OA",D2405="OT",D2405="UN",D2405="PC"),EXP(VLOOKUP(D2405,'Species Codes'!B:O,14,0)+VLOOKUP(D2405,'Species Codes'!B:P,15,0)*LN((E2405*2.54)))-EXP(VLOOKUP(D2405,'Species Codes'!B:O,14,0)+VLOOKUP(D2405,'Species Codes'!B:P,15,0)*LN((E2405*2.54)))*(1/(VLOOKUP(D2405,'Species Codes'!B:Q,16,0)+VLOOKUP(D2405,'Species Codes'!B:R,17,0)*((E2405*2.54)^VLOOKUP(D2405,'Species Codes'!B:S,18,0)))),IF(OR(D2405="BM",D2405="MD",D2405="OA"),EXP(VLOOKUP(D2405,'Species Codes'!B:O,14,0)+VLOOKUP(D2405,'Species Codes'!B:P,15,0)*LN((E2405*2.54)))*(1-(1/(VLOOKUP(D2405,'Species Codes'!B:Q,16,0)+VLOOKUP(D2405,'Species Codes'!B:R,17,0)*((E2405*2.54)^VLOOKUP(D2405,'Species Codes'!B:S,18,0)))))/1000,IF(D2405="DF",EXP(VLOOKUP(D2405,'Species Codes'!B:O,14,0)+VLOOKUP(D2405,'Species Codes'!B:P,15,0)*LN((E2405*2.54))),VLOOKUP(D2405,'Species Codes'!B:O,14,0)+VLOOKUP(D2405,'Species Codes'!B:P,15,0)*(((E2405*2.54)/100)^2)*(I2405*0.3048)))))*0.0011023),0)</f>
        <v>#N/A</v>
      </c>
      <c r="AD2405" s="104" t="e">
        <f t="shared" si="1057"/>
        <v>#N/A</v>
      </c>
      <c r="AE2405" s="104" t="e">
        <f t="shared" si="1058"/>
        <v>#N/A</v>
      </c>
      <c r="AF2405" s="104" t="e">
        <f>IF(AND(VLOOKUP($D2405,Merchantability!$B:$C,2,0)="Yes",$E2405&gt;=VLOOKUP($D2405,Merchantability!$B:$D,3,0),$E2405&lt;=VLOOKUP($D2405,Merchantability!$B:$E,4,0)),AA2405,0)</f>
        <v>#N/A</v>
      </c>
      <c r="AG2405" s="104" t="e">
        <f>IF(AND(VLOOKUP($D2405,Merchantability!$B:$C,2,0)="Yes",$E2405&gt;=VLOOKUP($D2405,Merchantability!$B:$D,3,0),$E2405&lt;=VLOOKUP($D2405,Merchantability!$B:$E,4,0)),AB2405,0)</f>
        <v>#N/A</v>
      </c>
      <c r="AH2405" s="104" t="e">
        <f>IF(AND(VLOOKUP($D2405,Merchantability!$B:$C,2,0)="Yes",$E2405&gt;=VLOOKUP($D2405,Merchantability!$B:$D,3,0),$E2405&lt;=VLOOKUP($D2405,Merchantability!$B:$E,4,0)),AC2405,0)</f>
        <v>#N/A</v>
      </c>
      <c r="AI2405" s="104" t="e">
        <f t="shared" si="1059"/>
        <v>#N/A</v>
      </c>
      <c r="AJ2405" s="104" t="e">
        <f t="shared" si="1060"/>
        <v>#VALUE!</v>
      </c>
      <c r="AK2405" s="104" t="e">
        <f t="shared" si="1061"/>
        <v>#N/A</v>
      </c>
      <c r="AL2405" s="104" t="e">
        <f t="shared" si="1062"/>
        <v>#N/A</v>
      </c>
      <c r="AM2405" s="104" t="e">
        <f t="shared" si="1063"/>
        <v>#N/A</v>
      </c>
      <c r="AN2405" s="104" t="e">
        <f t="shared" si="1047"/>
        <v>#N/A</v>
      </c>
      <c r="AO2405" s="104" t="e">
        <f t="shared" si="1048"/>
        <v>#N/A</v>
      </c>
      <c r="AP2405" s="104" t="e">
        <f t="shared" si="1049"/>
        <v>#N/A</v>
      </c>
      <c r="AQ2405" s="104" t="e">
        <f t="shared" si="1050"/>
        <v>#N/A</v>
      </c>
      <c r="AR2405" s="105" t="str">
        <f t="shared" si="1042"/>
        <v/>
      </c>
      <c r="AS2405" s="105" t="str">
        <f t="shared" si="1043"/>
        <v/>
      </c>
      <c r="AT2405" s="108" t="str">
        <f t="shared" si="1044"/>
        <v/>
      </c>
      <c r="AU2405" s="108" t="str">
        <f t="shared" si="1045"/>
        <v/>
      </c>
      <c r="AV2405" s="107" t="str">
        <f>IF(ISNUMBER(O2405),IF(VLOOKUP($A2405,Stand!C:J,8,FALSE)="Short",AT2405,AU2405),"")</f>
        <v/>
      </c>
      <c r="AW2405" s="109" t="str">
        <f t="shared" si="1051"/>
        <v/>
      </c>
      <c r="AX2405" s="109" t="str">
        <f t="shared" si="1052"/>
        <v/>
      </c>
      <c r="AY2405" s="112" t="str">
        <f>IF(ISNUMBER(O2405),IF(AND(VLOOKUP($D2405,Merchantability!$B:$C,2,0)="Yes",$E2405&gt;=VLOOKUP($D2405,Merchantability!$B:$D,3,0),$E2405&lt;=VLOOKUP($D2405,Merchantability!$B:$E,4,0)),(AV2405*O2405)*(1-$H2405/100),""),"")</f>
        <v/>
      </c>
      <c r="AZ2405" s="116"/>
      <c r="BA2405" s="116"/>
      <c r="BB2405" s="116"/>
      <c r="BE2405" s="62"/>
      <c r="BF2405" s="63"/>
    </row>
    <row r="2406" spans="1:58" ht="12.75" customHeight="1" x14ac:dyDescent="0.25">
      <c r="A2406" s="334"/>
      <c r="B2406" s="334"/>
      <c r="C2406" s="332"/>
      <c r="D2406" s="334"/>
      <c r="E2406" s="335"/>
      <c r="F2406" s="334"/>
      <c r="G2406" s="332"/>
      <c r="H2406" s="332"/>
      <c r="I2406" s="334"/>
      <c r="J2406" s="336"/>
      <c r="K2406" s="332"/>
      <c r="L2406" s="332"/>
      <c r="M2406" s="76"/>
      <c r="N2406" s="103" t="str">
        <f>IF(A2406="","",VLOOKUP(A2406,Stand!C:K,9,0))</f>
        <v/>
      </c>
      <c r="O2406" s="104" t="str">
        <f t="shared" si="1037"/>
        <v/>
      </c>
      <c r="P2406" s="105" t="str">
        <f t="shared" si="1038"/>
        <v/>
      </c>
      <c r="Q2406" s="105" t="str">
        <f t="shared" si="1053"/>
        <v/>
      </c>
      <c r="R2406" s="103" t="str">
        <f t="shared" si="1039"/>
        <v/>
      </c>
      <c r="S2406" s="103" t="str">
        <f t="shared" si="1040"/>
        <v/>
      </c>
      <c r="T2406" s="106" t="str">
        <f t="shared" si="1054"/>
        <v/>
      </c>
      <c r="U2406" s="106" t="str">
        <f t="shared" si="1055"/>
        <v/>
      </c>
      <c r="V2406" s="106" t="str">
        <f t="shared" si="1056"/>
        <v/>
      </c>
      <c r="W2406" s="105" t="str">
        <f t="shared" si="1041"/>
        <v/>
      </c>
      <c r="X2406" s="104" t="str">
        <f t="shared" si="1046"/>
        <v/>
      </c>
      <c r="Y2406" s="104" t="str">
        <f t="array" ref="Y2406">IFERROR(IF(ISNUMBER(O2406),IF(COUNT(IF(A2406=$A$2:$A$2427,IF(D2406=$D$2:$D$2427,IF($X$2:$X$2427&gt;0,1))))&gt;0,SUM(IF(A2406=$A$2:$A$2427,IF(D2406=$D$2:$D$2427,$X$2:$X$2427)))/COUNT(IF(A2406=$A$2:$A$2427,IF(D2406=$D$2:$D$2427,IF(ISNUMBER($X$2:$X$2427),1)))),0),""),0)</f>
        <v/>
      </c>
      <c r="Z2406" s="104" t="str">
        <f>IF(ISNUMBER(O2406),IF(I2406&gt;0,(10^(VLOOKUP(D2406,'Species Codes'!B:C,2,0)+VLOOKUP(D2406,'Species Codes'!B:D,3,0)*LOG(E2406)+VLOOKUP(D2406,'Species Codes'!B:E,4,0)*LOG(I2406))),0),"")</f>
        <v/>
      </c>
      <c r="AA2406" s="104" t="str">
        <f>IFERROR((VLOOKUP(D2406,'Species Codes'!B:G,6,0)*Z2406)/2000,"")</f>
        <v/>
      </c>
      <c r="AB2406" s="104" t="e">
        <f>IF(Z2406&gt;0,((IF(OR(D2406="DF",D2406="RA")=TRUE,EXP(VLOOKUP(D2406,'Species Codes'!B:I,8,0)+VLOOKUP(D2406,'Species Codes'!B:J,9,0)*(LN((E2406*2.54)))),IF(OR(D2406="PY",D2406="RC",D2406="WH",D2406="NF")=TRUE,VLOOKUP(D2406,'Species Codes'!B:I,8,0)+VLOOKUP(D2406,'Species Codes'!B:J,9,0)*((E2406*2.54)^2)*(I2406*0.3048),IF(OR(D2406="MD",D2406="BM",D2406="GA")=TRUE,((VLOOKUP(D2406,'Species Codes'!B:I,8,0)*(((((E2406*2.54)+VLOOKUP(D2406,'Species Codes'!B:J,9,0))/VLOOKUP(D2406,'Species Codes'!B:K,10,0))^VLOOKUP(D2406,'Species Codes'!B:L,11,0))*((I2406*0.3048)^VLOOKUP(D2406,'Species Codes'!B:M,12,0))))-(VLOOKUP(D2406,'Species Codes'!B:I,8,0)*((((E2406*2.54)^VLOOKUP(D2406,'Species Codes'!B:L,11,0))*((I2406*0.3048)^VLOOKUP(D2406,'Species Codes'!B:M,12,0))))))*35.3*VLOOKUP(D2406,'Species Codes'!B:G,6,0)/2.2046,VLOOKUP(D2406,'Species Codes'!B:I,8,0)+VLOOKUP(D2406,'Species Codes'!B:J,9,0)*(((E2406*2.54)/100)^2)*(I2406*0.3048)))))*0.0011023),0)</f>
        <v>#N/A</v>
      </c>
      <c r="AC2406" s="104" t="e">
        <f>IF(Z2406&gt;0,((IF(OR(D2406="RA",D2406="OA",D2406="OT",D2406="UN",D2406="PC"),EXP(VLOOKUP(D2406,'Species Codes'!B:O,14,0)+VLOOKUP(D2406,'Species Codes'!B:P,15,0)*LN((E2406*2.54)))-EXP(VLOOKUP(D2406,'Species Codes'!B:O,14,0)+VLOOKUP(D2406,'Species Codes'!B:P,15,0)*LN((E2406*2.54)))*(1/(VLOOKUP(D2406,'Species Codes'!B:Q,16,0)+VLOOKUP(D2406,'Species Codes'!B:R,17,0)*((E2406*2.54)^VLOOKUP(D2406,'Species Codes'!B:S,18,0)))),IF(OR(D2406="BM",D2406="MD",D2406="OA"),EXP(VLOOKUP(D2406,'Species Codes'!B:O,14,0)+VLOOKUP(D2406,'Species Codes'!B:P,15,0)*LN((E2406*2.54)))*(1-(1/(VLOOKUP(D2406,'Species Codes'!B:Q,16,0)+VLOOKUP(D2406,'Species Codes'!B:R,17,0)*((E2406*2.54)^VLOOKUP(D2406,'Species Codes'!B:S,18,0)))))/1000,IF(D2406="DF",EXP(VLOOKUP(D2406,'Species Codes'!B:O,14,0)+VLOOKUP(D2406,'Species Codes'!B:P,15,0)*LN((E2406*2.54))),VLOOKUP(D2406,'Species Codes'!B:O,14,0)+VLOOKUP(D2406,'Species Codes'!B:P,15,0)*(((E2406*2.54)/100)^2)*(I2406*0.3048)))))*0.0011023),0)</f>
        <v>#N/A</v>
      </c>
      <c r="AD2406" s="104" t="e">
        <f t="shared" si="1057"/>
        <v>#N/A</v>
      </c>
      <c r="AE2406" s="104" t="e">
        <f t="shared" si="1058"/>
        <v>#N/A</v>
      </c>
      <c r="AF2406" s="104" t="e">
        <f>IF(AND(VLOOKUP($D2406,Merchantability!$B:$C,2,0)="Yes",$E2406&gt;=VLOOKUP($D2406,Merchantability!$B:$D,3,0),$E2406&lt;=VLOOKUP($D2406,Merchantability!$B:$E,4,0)),AA2406,0)</f>
        <v>#N/A</v>
      </c>
      <c r="AG2406" s="104" t="e">
        <f>IF(AND(VLOOKUP($D2406,Merchantability!$B:$C,2,0)="Yes",$E2406&gt;=VLOOKUP($D2406,Merchantability!$B:$D,3,0),$E2406&lt;=VLOOKUP($D2406,Merchantability!$B:$E,4,0)),AB2406,0)</f>
        <v>#N/A</v>
      </c>
      <c r="AH2406" s="104" t="e">
        <f>IF(AND(VLOOKUP($D2406,Merchantability!$B:$C,2,0)="Yes",$E2406&gt;=VLOOKUP($D2406,Merchantability!$B:$D,3,0),$E2406&lt;=VLOOKUP($D2406,Merchantability!$B:$E,4,0)),AC2406,0)</f>
        <v>#N/A</v>
      </c>
      <c r="AI2406" s="104" t="e">
        <f t="shared" si="1059"/>
        <v>#N/A</v>
      </c>
      <c r="AJ2406" s="104" t="e">
        <f t="shared" si="1060"/>
        <v>#VALUE!</v>
      </c>
      <c r="AK2406" s="104" t="e">
        <f t="shared" si="1061"/>
        <v>#N/A</v>
      </c>
      <c r="AL2406" s="104" t="e">
        <f t="shared" si="1062"/>
        <v>#N/A</v>
      </c>
      <c r="AM2406" s="104" t="e">
        <f t="shared" si="1063"/>
        <v>#N/A</v>
      </c>
      <c r="AN2406" s="104" t="e">
        <f t="shared" si="1047"/>
        <v>#N/A</v>
      </c>
      <c r="AO2406" s="104" t="e">
        <f t="shared" si="1048"/>
        <v>#N/A</v>
      </c>
      <c r="AP2406" s="104" t="e">
        <f t="shared" si="1049"/>
        <v>#N/A</v>
      </c>
      <c r="AQ2406" s="104" t="e">
        <f t="shared" si="1050"/>
        <v>#N/A</v>
      </c>
      <c r="AR2406" s="105" t="str">
        <f t="shared" si="1042"/>
        <v/>
      </c>
      <c r="AS2406" s="105" t="str">
        <f t="shared" si="1043"/>
        <v/>
      </c>
      <c r="AT2406" s="108" t="str">
        <f t="shared" si="1044"/>
        <v/>
      </c>
      <c r="AU2406" s="108" t="str">
        <f t="shared" si="1045"/>
        <v/>
      </c>
      <c r="AV2406" s="107" t="str">
        <f>IF(ISNUMBER(O2406),IF(VLOOKUP($A2406,Stand!C:J,8,FALSE)="Short",AT2406,AU2406),"")</f>
        <v/>
      </c>
      <c r="AW2406" s="109" t="str">
        <f t="shared" si="1051"/>
        <v/>
      </c>
      <c r="AX2406" s="109" t="str">
        <f t="shared" si="1052"/>
        <v/>
      </c>
      <c r="AY2406" s="112" t="str">
        <f>IF(ISNUMBER(O2406),IF(AND(VLOOKUP($D2406,Merchantability!$B:$C,2,0)="Yes",$E2406&gt;=VLOOKUP($D2406,Merchantability!$B:$D,3,0),$E2406&lt;=VLOOKUP($D2406,Merchantability!$B:$E,4,0)),(AV2406*O2406)*(1-$H2406/100),""),"")</f>
        <v/>
      </c>
      <c r="AZ2406" s="116"/>
      <c r="BA2406" s="116"/>
      <c r="BB2406" s="116"/>
      <c r="BE2406" s="62"/>
      <c r="BF2406" s="63"/>
    </row>
    <row r="2407" spans="1:58" ht="12.75" customHeight="1" x14ac:dyDescent="0.25">
      <c r="A2407" s="334"/>
      <c r="B2407" s="334"/>
      <c r="C2407" s="332"/>
      <c r="D2407" s="334"/>
      <c r="E2407" s="335"/>
      <c r="F2407" s="334"/>
      <c r="G2407" s="332"/>
      <c r="H2407" s="332"/>
      <c r="I2407" s="334"/>
      <c r="J2407" s="336"/>
      <c r="K2407" s="332"/>
      <c r="L2407" s="332"/>
      <c r="M2407" s="76"/>
      <c r="N2407" s="103" t="str">
        <f>IF(A2407="","",VLOOKUP(A2407,Stand!C:K,9,0))</f>
        <v/>
      </c>
      <c r="O2407" s="104" t="str">
        <f t="shared" si="1037"/>
        <v/>
      </c>
      <c r="P2407" s="105" t="str">
        <f t="shared" si="1038"/>
        <v/>
      </c>
      <c r="Q2407" s="105" t="str">
        <f t="shared" si="1053"/>
        <v/>
      </c>
      <c r="R2407" s="103" t="str">
        <f t="shared" si="1039"/>
        <v/>
      </c>
      <c r="S2407" s="103" t="str">
        <f t="shared" si="1040"/>
        <v/>
      </c>
      <c r="T2407" s="106" t="str">
        <f t="shared" si="1054"/>
        <v/>
      </c>
      <c r="U2407" s="106" t="str">
        <f t="shared" si="1055"/>
        <v/>
      </c>
      <c r="V2407" s="106" t="str">
        <f t="shared" si="1056"/>
        <v/>
      </c>
      <c r="W2407" s="105" t="str">
        <f t="shared" si="1041"/>
        <v/>
      </c>
      <c r="X2407" s="104" t="str">
        <f t="shared" si="1046"/>
        <v/>
      </c>
      <c r="Y2407" s="104" t="str">
        <f t="array" ref="Y2407">IFERROR(IF(ISNUMBER(O2407),IF(COUNT(IF(A2407=$A$2:$A$2427,IF(D2407=$D$2:$D$2427,IF($X$2:$X$2427&gt;0,1))))&gt;0,SUM(IF(A2407=$A$2:$A$2427,IF(D2407=$D$2:$D$2427,$X$2:$X$2427)))/COUNT(IF(A2407=$A$2:$A$2427,IF(D2407=$D$2:$D$2427,IF(ISNUMBER($X$2:$X$2427),1)))),0),""),0)</f>
        <v/>
      </c>
      <c r="Z2407" s="104" t="str">
        <f>IF(ISNUMBER(O2407),IF(I2407&gt;0,(10^(VLOOKUP(D2407,'Species Codes'!B:C,2,0)+VLOOKUP(D2407,'Species Codes'!B:D,3,0)*LOG(E2407)+VLOOKUP(D2407,'Species Codes'!B:E,4,0)*LOG(I2407))),0),"")</f>
        <v/>
      </c>
      <c r="AA2407" s="104" t="str">
        <f>IFERROR((VLOOKUP(D2407,'Species Codes'!B:G,6,0)*Z2407)/2000,"")</f>
        <v/>
      </c>
      <c r="AB2407" s="104" t="e">
        <f>IF(Z2407&gt;0,((IF(OR(D2407="DF",D2407="RA")=TRUE,EXP(VLOOKUP(D2407,'Species Codes'!B:I,8,0)+VLOOKUP(D2407,'Species Codes'!B:J,9,0)*(LN((E2407*2.54)))),IF(OR(D2407="PY",D2407="RC",D2407="WH",D2407="NF")=TRUE,VLOOKUP(D2407,'Species Codes'!B:I,8,0)+VLOOKUP(D2407,'Species Codes'!B:J,9,0)*((E2407*2.54)^2)*(I2407*0.3048),IF(OR(D2407="MD",D2407="BM",D2407="GA")=TRUE,((VLOOKUP(D2407,'Species Codes'!B:I,8,0)*(((((E2407*2.54)+VLOOKUP(D2407,'Species Codes'!B:J,9,0))/VLOOKUP(D2407,'Species Codes'!B:K,10,0))^VLOOKUP(D2407,'Species Codes'!B:L,11,0))*((I2407*0.3048)^VLOOKUP(D2407,'Species Codes'!B:M,12,0))))-(VLOOKUP(D2407,'Species Codes'!B:I,8,0)*((((E2407*2.54)^VLOOKUP(D2407,'Species Codes'!B:L,11,0))*((I2407*0.3048)^VLOOKUP(D2407,'Species Codes'!B:M,12,0))))))*35.3*VLOOKUP(D2407,'Species Codes'!B:G,6,0)/2.2046,VLOOKUP(D2407,'Species Codes'!B:I,8,0)+VLOOKUP(D2407,'Species Codes'!B:J,9,0)*(((E2407*2.54)/100)^2)*(I2407*0.3048)))))*0.0011023),0)</f>
        <v>#N/A</v>
      </c>
      <c r="AC2407" s="104" t="e">
        <f>IF(Z2407&gt;0,((IF(OR(D2407="RA",D2407="OA",D2407="OT",D2407="UN",D2407="PC"),EXP(VLOOKUP(D2407,'Species Codes'!B:O,14,0)+VLOOKUP(D2407,'Species Codes'!B:P,15,0)*LN((E2407*2.54)))-EXP(VLOOKUP(D2407,'Species Codes'!B:O,14,0)+VLOOKUP(D2407,'Species Codes'!B:P,15,0)*LN((E2407*2.54)))*(1/(VLOOKUP(D2407,'Species Codes'!B:Q,16,0)+VLOOKUP(D2407,'Species Codes'!B:R,17,0)*((E2407*2.54)^VLOOKUP(D2407,'Species Codes'!B:S,18,0)))),IF(OR(D2407="BM",D2407="MD",D2407="OA"),EXP(VLOOKUP(D2407,'Species Codes'!B:O,14,0)+VLOOKUP(D2407,'Species Codes'!B:P,15,0)*LN((E2407*2.54)))*(1-(1/(VLOOKUP(D2407,'Species Codes'!B:Q,16,0)+VLOOKUP(D2407,'Species Codes'!B:R,17,0)*((E2407*2.54)^VLOOKUP(D2407,'Species Codes'!B:S,18,0)))))/1000,IF(D2407="DF",EXP(VLOOKUP(D2407,'Species Codes'!B:O,14,0)+VLOOKUP(D2407,'Species Codes'!B:P,15,0)*LN((E2407*2.54))),VLOOKUP(D2407,'Species Codes'!B:O,14,0)+VLOOKUP(D2407,'Species Codes'!B:P,15,0)*(((E2407*2.54)/100)^2)*(I2407*0.3048)))))*0.0011023),0)</f>
        <v>#N/A</v>
      </c>
      <c r="AD2407" s="104" t="e">
        <f t="shared" si="1057"/>
        <v>#N/A</v>
      </c>
      <c r="AE2407" s="104" t="e">
        <f t="shared" si="1058"/>
        <v>#N/A</v>
      </c>
      <c r="AF2407" s="104" t="e">
        <f>IF(AND(VLOOKUP($D2407,Merchantability!$B:$C,2,0)="Yes",$E2407&gt;=VLOOKUP($D2407,Merchantability!$B:$D,3,0),$E2407&lt;=VLOOKUP($D2407,Merchantability!$B:$E,4,0)),AA2407,0)</f>
        <v>#N/A</v>
      </c>
      <c r="AG2407" s="104" t="e">
        <f>IF(AND(VLOOKUP($D2407,Merchantability!$B:$C,2,0)="Yes",$E2407&gt;=VLOOKUP($D2407,Merchantability!$B:$D,3,0),$E2407&lt;=VLOOKUP($D2407,Merchantability!$B:$E,4,0)),AB2407,0)</f>
        <v>#N/A</v>
      </c>
      <c r="AH2407" s="104" t="e">
        <f>IF(AND(VLOOKUP($D2407,Merchantability!$B:$C,2,0)="Yes",$E2407&gt;=VLOOKUP($D2407,Merchantability!$B:$D,3,0),$E2407&lt;=VLOOKUP($D2407,Merchantability!$B:$E,4,0)),AC2407,0)</f>
        <v>#N/A</v>
      </c>
      <c r="AI2407" s="104" t="e">
        <f t="shared" si="1059"/>
        <v>#N/A</v>
      </c>
      <c r="AJ2407" s="104" t="e">
        <f t="shared" si="1060"/>
        <v>#VALUE!</v>
      </c>
      <c r="AK2407" s="104" t="e">
        <f t="shared" si="1061"/>
        <v>#N/A</v>
      </c>
      <c r="AL2407" s="104" t="e">
        <f t="shared" si="1062"/>
        <v>#N/A</v>
      </c>
      <c r="AM2407" s="104" t="e">
        <f t="shared" si="1063"/>
        <v>#N/A</v>
      </c>
      <c r="AN2407" s="104" t="e">
        <f t="shared" si="1047"/>
        <v>#N/A</v>
      </c>
      <c r="AO2407" s="104" t="e">
        <f t="shared" si="1048"/>
        <v>#N/A</v>
      </c>
      <c r="AP2407" s="104" t="e">
        <f t="shared" si="1049"/>
        <v>#N/A</v>
      </c>
      <c r="AQ2407" s="104" t="e">
        <f t="shared" si="1050"/>
        <v>#N/A</v>
      </c>
      <c r="AR2407" s="105" t="str">
        <f t="shared" si="1042"/>
        <v/>
      </c>
      <c r="AS2407" s="105" t="str">
        <f t="shared" si="1043"/>
        <v/>
      </c>
      <c r="AT2407" s="108" t="str">
        <f t="shared" si="1044"/>
        <v/>
      </c>
      <c r="AU2407" s="108" t="str">
        <f t="shared" si="1045"/>
        <v/>
      </c>
      <c r="AV2407" s="107" t="str">
        <f>IF(ISNUMBER(O2407),IF(VLOOKUP($A2407,Stand!C:J,8,FALSE)="Short",AT2407,AU2407),"")</f>
        <v/>
      </c>
      <c r="AW2407" s="109" t="str">
        <f t="shared" si="1051"/>
        <v/>
      </c>
      <c r="AX2407" s="109" t="str">
        <f t="shared" si="1052"/>
        <v/>
      </c>
      <c r="AY2407" s="112" t="str">
        <f>IF(ISNUMBER(O2407),IF(AND(VLOOKUP($D2407,Merchantability!$B:$C,2,0)="Yes",$E2407&gt;=VLOOKUP($D2407,Merchantability!$B:$D,3,0),$E2407&lt;=VLOOKUP($D2407,Merchantability!$B:$E,4,0)),(AV2407*O2407)*(1-$H2407/100),""),"")</f>
        <v/>
      </c>
      <c r="AZ2407" s="116"/>
      <c r="BA2407" s="116"/>
      <c r="BB2407" s="116"/>
      <c r="BE2407" s="62"/>
      <c r="BF2407" s="63"/>
    </row>
    <row r="2408" spans="1:58" ht="12.75" customHeight="1" x14ac:dyDescent="0.25">
      <c r="A2408" s="334"/>
      <c r="B2408" s="334"/>
      <c r="C2408" s="332"/>
      <c r="D2408" s="334"/>
      <c r="E2408" s="335"/>
      <c r="F2408" s="334"/>
      <c r="G2408" s="332"/>
      <c r="H2408" s="332"/>
      <c r="I2408" s="334"/>
      <c r="J2408" s="336"/>
      <c r="K2408" s="332"/>
      <c r="L2408" s="332"/>
      <c r="M2408" s="76"/>
      <c r="N2408" s="103" t="str">
        <f>IF(A2408="","",VLOOKUP(A2408,Stand!C:K,9,0))</f>
        <v/>
      </c>
      <c r="O2408" s="104" t="str">
        <f t="shared" si="1037"/>
        <v/>
      </c>
      <c r="P2408" s="105" t="str">
        <f t="shared" si="1038"/>
        <v/>
      </c>
      <c r="Q2408" s="105" t="str">
        <f t="shared" si="1053"/>
        <v/>
      </c>
      <c r="R2408" s="103" t="str">
        <f t="shared" si="1039"/>
        <v/>
      </c>
      <c r="S2408" s="103" t="str">
        <f t="shared" si="1040"/>
        <v/>
      </c>
      <c r="T2408" s="106" t="str">
        <f t="shared" si="1054"/>
        <v/>
      </c>
      <c r="U2408" s="106" t="str">
        <f t="shared" si="1055"/>
        <v/>
      </c>
      <c r="V2408" s="106" t="str">
        <f t="shared" si="1056"/>
        <v/>
      </c>
      <c r="W2408" s="105" t="str">
        <f t="shared" si="1041"/>
        <v/>
      </c>
      <c r="X2408" s="104" t="str">
        <f t="shared" si="1046"/>
        <v/>
      </c>
      <c r="Y2408" s="104" t="str">
        <f t="array" ref="Y2408">IFERROR(IF(ISNUMBER(O2408),IF(COUNT(IF(A2408=$A$2:$A$2427,IF(D2408=$D$2:$D$2427,IF($X$2:$X$2427&gt;0,1))))&gt;0,SUM(IF(A2408=$A$2:$A$2427,IF(D2408=$D$2:$D$2427,$X$2:$X$2427)))/COUNT(IF(A2408=$A$2:$A$2427,IF(D2408=$D$2:$D$2427,IF(ISNUMBER($X$2:$X$2427),1)))),0),""),0)</f>
        <v/>
      </c>
      <c r="Z2408" s="104" t="str">
        <f>IF(ISNUMBER(O2408),IF(I2408&gt;0,(10^(VLOOKUP(D2408,'Species Codes'!B:C,2,0)+VLOOKUP(D2408,'Species Codes'!B:D,3,0)*LOG(E2408)+VLOOKUP(D2408,'Species Codes'!B:E,4,0)*LOG(I2408))),0),"")</f>
        <v/>
      </c>
      <c r="AA2408" s="104" t="str">
        <f>IFERROR((VLOOKUP(D2408,'Species Codes'!B:G,6,0)*Z2408)/2000,"")</f>
        <v/>
      </c>
      <c r="AB2408" s="104" t="e">
        <f>IF(Z2408&gt;0,((IF(OR(D2408="DF",D2408="RA")=TRUE,EXP(VLOOKUP(D2408,'Species Codes'!B:I,8,0)+VLOOKUP(D2408,'Species Codes'!B:J,9,0)*(LN((E2408*2.54)))),IF(OR(D2408="PY",D2408="RC",D2408="WH",D2408="NF")=TRUE,VLOOKUP(D2408,'Species Codes'!B:I,8,0)+VLOOKUP(D2408,'Species Codes'!B:J,9,0)*((E2408*2.54)^2)*(I2408*0.3048),IF(OR(D2408="MD",D2408="BM",D2408="GA")=TRUE,((VLOOKUP(D2408,'Species Codes'!B:I,8,0)*(((((E2408*2.54)+VLOOKUP(D2408,'Species Codes'!B:J,9,0))/VLOOKUP(D2408,'Species Codes'!B:K,10,0))^VLOOKUP(D2408,'Species Codes'!B:L,11,0))*((I2408*0.3048)^VLOOKUP(D2408,'Species Codes'!B:M,12,0))))-(VLOOKUP(D2408,'Species Codes'!B:I,8,0)*((((E2408*2.54)^VLOOKUP(D2408,'Species Codes'!B:L,11,0))*((I2408*0.3048)^VLOOKUP(D2408,'Species Codes'!B:M,12,0))))))*35.3*VLOOKUP(D2408,'Species Codes'!B:G,6,0)/2.2046,VLOOKUP(D2408,'Species Codes'!B:I,8,0)+VLOOKUP(D2408,'Species Codes'!B:J,9,0)*(((E2408*2.54)/100)^2)*(I2408*0.3048)))))*0.0011023),0)</f>
        <v>#N/A</v>
      </c>
      <c r="AC2408" s="104" t="e">
        <f>IF(Z2408&gt;0,((IF(OR(D2408="RA",D2408="OA",D2408="OT",D2408="UN",D2408="PC"),EXP(VLOOKUP(D2408,'Species Codes'!B:O,14,0)+VLOOKUP(D2408,'Species Codes'!B:P,15,0)*LN((E2408*2.54)))-EXP(VLOOKUP(D2408,'Species Codes'!B:O,14,0)+VLOOKUP(D2408,'Species Codes'!B:P,15,0)*LN((E2408*2.54)))*(1/(VLOOKUP(D2408,'Species Codes'!B:Q,16,0)+VLOOKUP(D2408,'Species Codes'!B:R,17,0)*((E2408*2.54)^VLOOKUP(D2408,'Species Codes'!B:S,18,0)))),IF(OR(D2408="BM",D2408="MD",D2408="OA"),EXP(VLOOKUP(D2408,'Species Codes'!B:O,14,0)+VLOOKUP(D2408,'Species Codes'!B:P,15,0)*LN((E2408*2.54)))*(1-(1/(VLOOKUP(D2408,'Species Codes'!B:Q,16,0)+VLOOKUP(D2408,'Species Codes'!B:R,17,0)*((E2408*2.54)^VLOOKUP(D2408,'Species Codes'!B:S,18,0)))))/1000,IF(D2408="DF",EXP(VLOOKUP(D2408,'Species Codes'!B:O,14,0)+VLOOKUP(D2408,'Species Codes'!B:P,15,0)*LN((E2408*2.54))),VLOOKUP(D2408,'Species Codes'!B:O,14,0)+VLOOKUP(D2408,'Species Codes'!B:P,15,0)*(((E2408*2.54)/100)^2)*(I2408*0.3048)))))*0.0011023),0)</f>
        <v>#N/A</v>
      </c>
      <c r="AD2408" s="104" t="e">
        <f t="shared" si="1057"/>
        <v>#N/A</v>
      </c>
      <c r="AE2408" s="104" t="e">
        <f t="shared" si="1058"/>
        <v>#N/A</v>
      </c>
      <c r="AF2408" s="104" t="e">
        <f>IF(AND(VLOOKUP($D2408,Merchantability!$B:$C,2,0)="Yes",$E2408&gt;=VLOOKUP($D2408,Merchantability!$B:$D,3,0),$E2408&lt;=VLOOKUP($D2408,Merchantability!$B:$E,4,0)),AA2408,0)</f>
        <v>#N/A</v>
      </c>
      <c r="AG2408" s="104" t="e">
        <f>IF(AND(VLOOKUP($D2408,Merchantability!$B:$C,2,0)="Yes",$E2408&gt;=VLOOKUP($D2408,Merchantability!$B:$D,3,0),$E2408&lt;=VLOOKUP($D2408,Merchantability!$B:$E,4,0)),AB2408,0)</f>
        <v>#N/A</v>
      </c>
      <c r="AH2408" s="104" t="e">
        <f>IF(AND(VLOOKUP($D2408,Merchantability!$B:$C,2,0)="Yes",$E2408&gt;=VLOOKUP($D2408,Merchantability!$B:$D,3,0),$E2408&lt;=VLOOKUP($D2408,Merchantability!$B:$E,4,0)),AC2408,0)</f>
        <v>#N/A</v>
      </c>
      <c r="AI2408" s="104" t="e">
        <f t="shared" si="1059"/>
        <v>#N/A</v>
      </c>
      <c r="AJ2408" s="104" t="e">
        <f t="shared" si="1060"/>
        <v>#VALUE!</v>
      </c>
      <c r="AK2408" s="104" t="e">
        <f t="shared" si="1061"/>
        <v>#N/A</v>
      </c>
      <c r="AL2408" s="104" t="e">
        <f t="shared" si="1062"/>
        <v>#N/A</v>
      </c>
      <c r="AM2408" s="104" t="e">
        <f t="shared" si="1063"/>
        <v>#N/A</v>
      </c>
      <c r="AN2408" s="104" t="e">
        <f t="shared" si="1047"/>
        <v>#N/A</v>
      </c>
      <c r="AO2408" s="104" t="e">
        <f t="shared" si="1048"/>
        <v>#N/A</v>
      </c>
      <c r="AP2408" s="104" t="e">
        <f t="shared" si="1049"/>
        <v>#N/A</v>
      </c>
      <c r="AQ2408" s="104" t="e">
        <f t="shared" si="1050"/>
        <v>#N/A</v>
      </c>
      <c r="AR2408" s="105" t="str">
        <f t="shared" si="1042"/>
        <v/>
      </c>
      <c r="AS2408" s="105" t="str">
        <f t="shared" si="1043"/>
        <v/>
      </c>
      <c r="AT2408" s="108" t="str">
        <f t="shared" si="1044"/>
        <v/>
      </c>
      <c r="AU2408" s="108" t="str">
        <f t="shared" si="1045"/>
        <v/>
      </c>
      <c r="AV2408" s="107" t="str">
        <f>IF(ISNUMBER(O2408),IF(VLOOKUP($A2408,Stand!C:J,8,FALSE)="Short",AT2408,AU2408),"")</f>
        <v/>
      </c>
      <c r="AW2408" s="109" t="str">
        <f t="shared" si="1051"/>
        <v/>
      </c>
      <c r="AX2408" s="109" t="str">
        <f t="shared" si="1052"/>
        <v/>
      </c>
      <c r="AY2408" s="112" t="str">
        <f>IF(ISNUMBER(O2408),IF(AND(VLOOKUP($D2408,Merchantability!$B:$C,2,0)="Yes",$E2408&gt;=VLOOKUP($D2408,Merchantability!$B:$D,3,0),$E2408&lt;=VLOOKUP($D2408,Merchantability!$B:$E,4,0)),(AV2408*O2408)*(1-$H2408/100),""),"")</f>
        <v/>
      </c>
      <c r="AZ2408" s="116"/>
      <c r="BA2408" s="116"/>
      <c r="BB2408" s="116"/>
      <c r="BE2408" s="62"/>
      <c r="BF2408" s="63"/>
    </row>
    <row r="2409" spans="1:58" ht="12.75" customHeight="1" x14ac:dyDescent="0.25">
      <c r="A2409" s="334"/>
      <c r="B2409" s="334"/>
      <c r="C2409" s="332"/>
      <c r="D2409" s="334"/>
      <c r="E2409" s="335"/>
      <c r="F2409" s="334"/>
      <c r="G2409" s="332"/>
      <c r="H2409" s="332"/>
      <c r="I2409" s="334"/>
      <c r="J2409" s="336"/>
      <c r="K2409" s="332"/>
      <c r="L2409" s="332"/>
      <c r="M2409" s="76"/>
      <c r="N2409" s="103" t="str">
        <f>IF(A2409="","",VLOOKUP(A2409,Stand!C:K,9,0))</f>
        <v/>
      </c>
      <c r="O2409" s="104" t="str">
        <f t="shared" si="1037"/>
        <v/>
      </c>
      <c r="P2409" s="105" t="str">
        <f t="shared" si="1038"/>
        <v/>
      </c>
      <c r="Q2409" s="105" t="str">
        <f t="shared" si="1053"/>
        <v/>
      </c>
      <c r="R2409" s="103" t="str">
        <f t="shared" si="1039"/>
        <v/>
      </c>
      <c r="S2409" s="103" t="str">
        <f t="shared" si="1040"/>
        <v/>
      </c>
      <c r="T2409" s="106" t="str">
        <f t="shared" si="1054"/>
        <v/>
      </c>
      <c r="U2409" s="106" t="str">
        <f t="shared" si="1055"/>
        <v/>
      </c>
      <c r="V2409" s="106" t="str">
        <f t="shared" si="1056"/>
        <v/>
      </c>
      <c r="W2409" s="105" t="str">
        <f t="shared" si="1041"/>
        <v/>
      </c>
      <c r="X2409" s="104" t="str">
        <f t="shared" si="1046"/>
        <v/>
      </c>
      <c r="Y2409" s="104" t="str">
        <f t="array" ref="Y2409">IFERROR(IF(ISNUMBER(O2409),IF(COUNT(IF(A2409=$A$2:$A$2427,IF(D2409=$D$2:$D$2427,IF($X$2:$X$2427&gt;0,1))))&gt;0,SUM(IF(A2409=$A$2:$A$2427,IF(D2409=$D$2:$D$2427,$X$2:$X$2427)))/COUNT(IF(A2409=$A$2:$A$2427,IF(D2409=$D$2:$D$2427,IF(ISNUMBER($X$2:$X$2427),1)))),0),""),0)</f>
        <v/>
      </c>
      <c r="Z2409" s="104" t="str">
        <f>IF(ISNUMBER(O2409),IF(I2409&gt;0,(10^(VLOOKUP(D2409,'Species Codes'!B:C,2,0)+VLOOKUP(D2409,'Species Codes'!B:D,3,0)*LOG(E2409)+VLOOKUP(D2409,'Species Codes'!B:E,4,0)*LOG(I2409))),0),"")</f>
        <v/>
      </c>
      <c r="AA2409" s="104" t="str">
        <f>IFERROR((VLOOKUP(D2409,'Species Codes'!B:G,6,0)*Z2409)/2000,"")</f>
        <v/>
      </c>
      <c r="AB2409" s="104" t="e">
        <f>IF(Z2409&gt;0,((IF(OR(D2409="DF",D2409="RA")=TRUE,EXP(VLOOKUP(D2409,'Species Codes'!B:I,8,0)+VLOOKUP(D2409,'Species Codes'!B:J,9,0)*(LN((E2409*2.54)))),IF(OR(D2409="PY",D2409="RC",D2409="WH",D2409="NF")=TRUE,VLOOKUP(D2409,'Species Codes'!B:I,8,0)+VLOOKUP(D2409,'Species Codes'!B:J,9,0)*((E2409*2.54)^2)*(I2409*0.3048),IF(OR(D2409="MD",D2409="BM",D2409="GA")=TRUE,((VLOOKUP(D2409,'Species Codes'!B:I,8,0)*(((((E2409*2.54)+VLOOKUP(D2409,'Species Codes'!B:J,9,0))/VLOOKUP(D2409,'Species Codes'!B:K,10,0))^VLOOKUP(D2409,'Species Codes'!B:L,11,0))*((I2409*0.3048)^VLOOKUP(D2409,'Species Codes'!B:M,12,0))))-(VLOOKUP(D2409,'Species Codes'!B:I,8,0)*((((E2409*2.54)^VLOOKUP(D2409,'Species Codes'!B:L,11,0))*((I2409*0.3048)^VLOOKUP(D2409,'Species Codes'!B:M,12,0))))))*35.3*VLOOKUP(D2409,'Species Codes'!B:G,6,0)/2.2046,VLOOKUP(D2409,'Species Codes'!B:I,8,0)+VLOOKUP(D2409,'Species Codes'!B:J,9,0)*(((E2409*2.54)/100)^2)*(I2409*0.3048)))))*0.0011023),0)</f>
        <v>#N/A</v>
      </c>
      <c r="AC2409" s="104" t="e">
        <f>IF(Z2409&gt;0,((IF(OR(D2409="RA",D2409="OA",D2409="OT",D2409="UN",D2409="PC"),EXP(VLOOKUP(D2409,'Species Codes'!B:O,14,0)+VLOOKUP(D2409,'Species Codes'!B:P,15,0)*LN((E2409*2.54)))-EXP(VLOOKUP(D2409,'Species Codes'!B:O,14,0)+VLOOKUP(D2409,'Species Codes'!B:P,15,0)*LN((E2409*2.54)))*(1/(VLOOKUP(D2409,'Species Codes'!B:Q,16,0)+VLOOKUP(D2409,'Species Codes'!B:R,17,0)*((E2409*2.54)^VLOOKUP(D2409,'Species Codes'!B:S,18,0)))),IF(OR(D2409="BM",D2409="MD",D2409="OA"),EXP(VLOOKUP(D2409,'Species Codes'!B:O,14,0)+VLOOKUP(D2409,'Species Codes'!B:P,15,0)*LN((E2409*2.54)))*(1-(1/(VLOOKUP(D2409,'Species Codes'!B:Q,16,0)+VLOOKUP(D2409,'Species Codes'!B:R,17,0)*((E2409*2.54)^VLOOKUP(D2409,'Species Codes'!B:S,18,0)))))/1000,IF(D2409="DF",EXP(VLOOKUP(D2409,'Species Codes'!B:O,14,0)+VLOOKUP(D2409,'Species Codes'!B:P,15,0)*LN((E2409*2.54))),VLOOKUP(D2409,'Species Codes'!B:O,14,0)+VLOOKUP(D2409,'Species Codes'!B:P,15,0)*(((E2409*2.54)/100)^2)*(I2409*0.3048)))))*0.0011023),0)</f>
        <v>#N/A</v>
      </c>
      <c r="AD2409" s="104" t="e">
        <f t="shared" si="1057"/>
        <v>#N/A</v>
      </c>
      <c r="AE2409" s="104" t="e">
        <f t="shared" si="1058"/>
        <v>#N/A</v>
      </c>
      <c r="AF2409" s="104" t="e">
        <f>IF(AND(VLOOKUP($D2409,Merchantability!$B:$C,2,0)="Yes",$E2409&gt;=VLOOKUP($D2409,Merchantability!$B:$D,3,0),$E2409&lt;=VLOOKUP($D2409,Merchantability!$B:$E,4,0)),AA2409,0)</f>
        <v>#N/A</v>
      </c>
      <c r="AG2409" s="104" t="e">
        <f>IF(AND(VLOOKUP($D2409,Merchantability!$B:$C,2,0)="Yes",$E2409&gt;=VLOOKUP($D2409,Merchantability!$B:$D,3,0),$E2409&lt;=VLOOKUP($D2409,Merchantability!$B:$E,4,0)),AB2409,0)</f>
        <v>#N/A</v>
      </c>
      <c r="AH2409" s="104" t="e">
        <f>IF(AND(VLOOKUP($D2409,Merchantability!$B:$C,2,0)="Yes",$E2409&gt;=VLOOKUP($D2409,Merchantability!$B:$D,3,0),$E2409&lt;=VLOOKUP($D2409,Merchantability!$B:$E,4,0)),AC2409,0)</f>
        <v>#N/A</v>
      </c>
      <c r="AI2409" s="104" t="e">
        <f t="shared" si="1059"/>
        <v>#N/A</v>
      </c>
      <c r="AJ2409" s="104" t="e">
        <f t="shared" si="1060"/>
        <v>#VALUE!</v>
      </c>
      <c r="AK2409" s="104" t="e">
        <f t="shared" si="1061"/>
        <v>#N/A</v>
      </c>
      <c r="AL2409" s="104" t="e">
        <f t="shared" si="1062"/>
        <v>#N/A</v>
      </c>
      <c r="AM2409" s="104" t="e">
        <f t="shared" si="1063"/>
        <v>#N/A</v>
      </c>
      <c r="AN2409" s="104" t="e">
        <f t="shared" si="1047"/>
        <v>#N/A</v>
      </c>
      <c r="AO2409" s="104" t="e">
        <f t="shared" si="1048"/>
        <v>#N/A</v>
      </c>
      <c r="AP2409" s="104" t="e">
        <f t="shared" si="1049"/>
        <v>#N/A</v>
      </c>
      <c r="AQ2409" s="104" t="e">
        <f t="shared" si="1050"/>
        <v>#N/A</v>
      </c>
      <c r="AR2409" s="105" t="str">
        <f t="shared" si="1042"/>
        <v/>
      </c>
      <c r="AS2409" s="105" t="str">
        <f t="shared" si="1043"/>
        <v/>
      </c>
      <c r="AT2409" s="108" t="str">
        <f t="shared" si="1044"/>
        <v/>
      </c>
      <c r="AU2409" s="108" t="str">
        <f t="shared" si="1045"/>
        <v/>
      </c>
      <c r="AV2409" s="107" t="str">
        <f>IF(ISNUMBER(O2409),IF(VLOOKUP($A2409,Stand!C:J,8,FALSE)="Short",AT2409,AU2409),"")</f>
        <v/>
      </c>
      <c r="AW2409" s="109" t="str">
        <f t="shared" si="1051"/>
        <v/>
      </c>
      <c r="AX2409" s="109" t="str">
        <f t="shared" si="1052"/>
        <v/>
      </c>
      <c r="AY2409" s="112" t="str">
        <f>IF(ISNUMBER(O2409),IF(AND(VLOOKUP($D2409,Merchantability!$B:$C,2,0)="Yes",$E2409&gt;=VLOOKUP($D2409,Merchantability!$B:$D,3,0),$E2409&lt;=VLOOKUP($D2409,Merchantability!$B:$E,4,0)),(AV2409*O2409)*(1-$H2409/100),""),"")</f>
        <v/>
      </c>
      <c r="AZ2409" s="116"/>
      <c r="BA2409" s="116"/>
      <c r="BB2409" s="116"/>
      <c r="BE2409" s="62"/>
      <c r="BF2409" s="63"/>
    </row>
    <row r="2410" spans="1:58" ht="12.75" customHeight="1" x14ac:dyDescent="0.25">
      <c r="A2410" s="334"/>
      <c r="B2410" s="334"/>
      <c r="C2410" s="332"/>
      <c r="D2410" s="334"/>
      <c r="E2410" s="335"/>
      <c r="F2410" s="334"/>
      <c r="G2410" s="332"/>
      <c r="H2410" s="332"/>
      <c r="I2410" s="334"/>
      <c r="J2410" s="336"/>
      <c r="K2410" s="332"/>
      <c r="L2410" s="332"/>
      <c r="M2410" s="76"/>
      <c r="N2410" s="103" t="str">
        <f>IF(A2410="","",VLOOKUP(A2410,Stand!C:K,9,0))</f>
        <v/>
      </c>
      <c r="O2410" s="104" t="str">
        <f t="shared" si="1037"/>
        <v/>
      </c>
      <c r="P2410" s="105" t="str">
        <f t="shared" si="1038"/>
        <v/>
      </c>
      <c r="Q2410" s="105" t="str">
        <f t="shared" si="1053"/>
        <v/>
      </c>
      <c r="R2410" s="103" t="str">
        <f t="shared" si="1039"/>
        <v/>
      </c>
      <c r="S2410" s="103" t="str">
        <f t="shared" si="1040"/>
        <v/>
      </c>
      <c r="T2410" s="106" t="str">
        <f t="shared" si="1054"/>
        <v/>
      </c>
      <c r="U2410" s="106" t="str">
        <f t="shared" si="1055"/>
        <v/>
      </c>
      <c r="V2410" s="106" t="str">
        <f t="shared" si="1056"/>
        <v/>
      </c>
      <c r="W2410" s="105" t="str">
        <f t="shared" si="1041"/>
        <v/>
      </c>
      <c r="X2410" s="104" t="str">
        <f t="shared" si="1046"/>
        <v/>
      </c>
      <c r="Y2410" s="104" t="str">
        <f t="array" ref="Y2410">IFERROR(IF(ISNUMBER(O2410),IF(COUNT(IF(A2410=$A$2:$A$2427,IF(D2410=$D$2:$D$2427,IF($X$2:$X$2427&gt;0,1))))&gt;0,SUM(IF(A2410=$A$2:$A$2427,IF(D2410=$D$2:$D$2427,$X$2:$X$2427)))/COUNT(IF(A2410=$A$2:$A$2427,IF(D2410=$D$2:$D$2427,IF(ISNUMBER($X$2:$X$2427),1)))),0),""),0)</f>
        <v/>
      </c>
      <c r="Z2410" s="104" t="str">
        <f>IF(ISNUMBER(O2410),IF(I2410&gt;0,(10^(VLOOKUP(D2410,'Species Codes'!B:C,2,0)+VLOOKUP(D2410,'Species Codes'!B:D,3,0)*LOG(E2410)+VLOOKUP(D2410,'Species Codes'!B:E,4,0)*LOG(I2410))),0),"")</f>
        <v/>
      </c>
      <c r="AA2410" s="104" t="str">
        <f>IFERROR((VLOOKUP(D2410,'Species Codes'!B:G,6,0)*Z2410)/2000,"")</f>
        <v/>
      </c>
      <c r="AB2410" s="104" t="e">
        <f>IF(Z2410&gt;0,((IF(OR(D2410="DF",D2410="RA")=TRUE,EXP(VLOOKUP(D2410,'Species Codes'!B:I,8,0)+VLOOKUP(D2410,'Species Codes'!B:J,9,0)*(LN((E2410*2.54)))),IF(OR(D2410="PY",D2410="RC",D2410="WH",D2410="NF")=TRUE,VLOOKUP(D2410,'Species Codes'!B:I,8,0)+VLOOKUP(D2410,'Species Codes'!B:J,9,0)*((E2410*2.54)^2)*(I2410*0.3048),IF(OR(D2410="MD",D2410="BM",D2410="GA")=TRUE,((VLOOKUP(D2410,'Species Codes'!B:I,8,0)*(((((E2410*2.54)+VLOOKUP(D2410,'Species Codes'!B:J,9,0))/VLOOKUP(D2410,'Species Codes'!B:K,10,0))^VLOOKUP(D2410,'Species Codes'!B:L,11,0))*((I2410*0.3048)^VLOOKUP(D2410,'Species Codes'!B:M,12,0))))-(VLOOKUP(D2410,'Species Codes'!B:I,8,0)*((((E2410*2.54)^VLOOKUP(D2410,'Species Codes'!B:L,11,0))*((I2410*0.3048)^VLOOKUP(D2410,'Species Codes'!B:M,12,0))))))*35.3*VLOOKUP(D2410,'Species Codes'!B:G,6,0)/2.2046,VLOOKUP(D2410,'Species Codes'!B:I,8,0)+VLOOKUP(D2410,'Species Codes'!B:J,9,0)*(((E2410*2.54)/100)^2)*(I2410*0.3048)))))*0.0011023),0)</f>
        <v>#N/A</v>
      </c>
      <c r="AC2410" s="104" t="e">
        <f>IF(Z2410&gt;0,((IF(OR(D2410="RA",D2410="OA",D2410="OT",D2410="UN",D2410="PC"),EXP(VLOOKUP(D2410,'Species Codes'!B:O,14,0)+VLOOKUP(D2410,'Species Codes'!B:P,15,0)*LN((E2410*2.54)))-EXP(VLOOKUP(D2410,'Species Codes'!B:O,14,0)+VLOOKUP(D2410,'Species Codes'!B:P,15,0)*LN((E2410*2.54)))*(1/(VLOOKUP(D2410,'Species Codes'!B:Q,16,0)+VLOOKUP(D2410,'Species Codes'!B:R,17,0)*((E2410*2.54)^VLOOKUP(D2410,'Species Codes'!B:S,18,0)))),IF(OR(D2410="BM",D2410="MD",D2410="OA"),EXP(VLOOKUP(D2410,'Species Codes'!B:O,14,0)+VLOOKUP(D2410,'Species Codes'!B:P,15,0)*LN((E2410*2.54)))*(1-(1/(VLOOKUP(D2410,'Species Codes'!B:Q,16,0)+VLOOKUP(D2410,'Species Codes'!B:R,17,0)*((E2410*2.54)^VLOOKUP(D2410,'Species Codes'!B:S,18,0)))))/1000,IF(D2410="DF",EXP(VLOOKUP(D2410,'Species Codes'!B:O,14,0)+VLOOKUP(D2410,'Species Codes'!B:P,15,0)*LN((E2410*2.54))),VLOOKUP(D2410,'Species Codes'!B:O,14,0)+VLOOKUP(D2410,'Species Codes'!B:P,15,0)*(((E2410*2.54)/100)^2)*(I2410*0.3048)))))*0.0011023),0)</f>
        <v>#N/A</v>
      </c>
      <c r="AD2410" s="104" t="e">
        <f t="shared" si="1057"/>
        <v>#N/A</v>
      </c>
      <c r="AE2410" s="104" t="e">
        <f t="shared" si="1058"/>
        <v>#N/A</v>
      </c>
      <c r="AF2410" s="104" t="e">
        <f>IF(AND(VLOOKUP($D2410,Merchantability!$B:$C,2,0)="Yes",$E2410&gt;=VLOOKUP($D2410,Merchantability!$B:$D,3,0),$E2410&lt;=VLOOKUP($D2410,Merchantability!$B:$E,4,0)),AA2410,0)</f>
        <v>#N/A</v>
      </c>
      <c r="AG2410" s="104" t="e">
        <f>IF(AND(VLOOKUP($D2410,Merchantability!$B:$C,2,0)="Yes",$E2410&gt;=VLOOKUP($D2410,Merchantability!$B:$D,3,0),$E2410&lt;=VLOOKUP($D2410,Merchantability!$B:$E,4,0)),AB2410,0)</f>
        <v>#N/A</v>
      </c>
      <c r="AH2410" s="104" t="e">
        <f>IF(AND(VLOOKUP($D2410,Merchantability!$B:$C,2,0)="Yes",$E2410&gt;=VLOOKUP($D2410,Merchantability!$B:$D,3,0),$E2410&lt;=VLOOKUP($D2410,Merchantability!$B:$E,4,0)),AC2410,0)</f>
        <v>#N/A</v>
      </c>
      <c r="AI2410" s="104" t="e">
        <f t="shared" si="1059"/>
        <v>#N/A</v>
      </c>
      <c r="AJ2410" s="104" t="e">
        <f t="shared" si="1060"/>
        <v>#VALUE!</v>
      </c>
      <c r="AK2410" s="104" t="e">
        <f t="shared" si="1061"/>
        <v>#N/A</v>
      </c>
      <c r="AL2410" s="104" t="e">
        <f t="shared" si="1062"/>
        <v>#N/A</v>
      </c>
      <c r="AM2410" s="104" t="e">
        <f t="shared" si="1063"/>
        <v>#N/A</v>
      </c>
      <c r="AN2410" s="104" t="e">
        <f t="shared" si="1047"/>
        <v>#N/A</v>
      </c>
      <c r="AO2410" s="104" t="e">
        <f t="shared" si="1048"/>
        <v>#N/A</v>
      </c>
      <c r="AP2410" s="104" t="e">
        <f t="shared" si="1049"/>
        <v>#N/A</v>
      </c>
      <c r="AQ2410" s="104" t="e">
        <f t="shared" si="1050"/>
        <v>#N/A</v>
      </c>
      <c r="AR2410" s="105" t="str">
        <f t="shared" si="1042"/>
        <v/>
      </c>
      <c r="AS2410" s="105" t="str">
        <f t="shared" si="1043"/>
        <v/>
      </c>
      <c r="AT2410" s="108" t="str">
        <f t="shared" si="1044"/>
        <v/>
      </c>
      <c r="AU2410" s="108" t="str">
        <f t="shared" si="1045"/>
        <v/>
      </c>
      <c r="AV2410" s="107" t="str">
        <f>IF(ISNUMBER(O2410),IF(VLOOKUP($A2410,Stand!C:J,8,FALSE)="Short",AT2410,AU2410),"")</f>
        <v/>
      </c>
      <c r="AW2410" s="109" t="str">
        <f t="shared" si="1051"/>
        <v/>
      </c>
      <c r="AX2410" s="109" t="str">
        <f t="shared" si="1052"/>
        <v/>
      </c>
      <c r="AY2410" s="112" t="str">
        <f>IF(ISNUMBER(O2410),IF(AND(VLOOKUP($D2410,Merchantability!$B:$C,2,0)="Yes",$E2410&gt;=VLOOKUP($D2410,Merchantability!$B:$D,3,0),$E2410&lt;=VLOOKUP($D2410,Merchantability!$B:$E,4,0)),(AV2410*O2410)*(1-$H2410/100),""),"")</f>
        <v/>
      </c>
      <c r="AZ2410" s="116"/>
      <c r="BA2410" s="116"/>
      <c r="BB2410" s="116"/>
      <c r="BE2410" s="62"/>
      <c r="BF2410" s="63"/>
    </row>
    <row r="2411" spans="1:58" ht="12.75" customHeight="1" x14ac:dyDescent="0.25">
      <c r="A2411" s="334"/>
      <c r="B2411" s="334"/>
      <c r="C2411" s="332"/>
      <c r="D2411" s="334"/>
      <c r="E2411" s="335"/>
      <c r="F2411" s="334"/>
      <c r="G2411" s="332"/>
      <c r="H2411" s="332"/>
      <c r="I2411" s="334"/>
      <c r="J2411" s="336"/>
      <c r="K2411" s="332"/>
      <c r="L2411" s="332"/>
      <c r="M2411" s="76"/>
      <c r="N2411" s="103" t="str">
        <f>IF(A2411="","",VLOOKUP(A2411,Stand!C:K,9,0))</f>
        <v/>
      </c>
      <c r="O2411" s="104" t="str">
        <f t="shared" si="1037"/>
        <v/>
      </c>
      <c r="P2411" s="105" t="str">
        <f t="shared" si="1038"/>
        <v/>
      </c>
      <c r="Q2411" s="105" t="str">
        <f t="shared" si="1053"/>
        <v/>
      </c>
      <c r="R2411" s="103" t="str">
        <f t="shared" si="1039"/>
        <v/>
      </c>
      <c r="S2411" s="103" t="str">
        <f t="shared" si="1040"/>
        <v/>
      </c>
      <c r="T2411" s="106" t="str">
        <f t="shared" si="1054"/>
        <v/>
      </c>
      <c r="U2411" s="106" t="str">
        <f t="shared" si="1055"/>
        <v/>
      </c>
      <c r="V2411" s="106" t="str">
        <f t="shared" si="1056"/>
        <v/>
      </c>
      <c r="W2411" s="105" t="str">
        <f t="shared" si="1041"/>
        <v/>
      </c>
      <c r="X2411" s="104" t="str">
        <f t="shared" si="1046"/>
        <v/>
      </c>
      <c r="Y2411" s="104" t="str">
        <f t="array" ref="Y2411">IFERROR(IF(ISNUMBER(O2411),IF(COUNT(IF(A2411=$A$2:$A$2427,IF(D2411=$D$2:$D$2427,IF($X$2:$X$2427&gt;0,1))))&gt;0,SUM(IF(A2411=$A$2:$A$2427,IF(D2411=$D$2:$D$2427,$X$2:$X$2427)))/COUNT(IF(A2411=$A$2:$A$2427,IF(D2411=$D$2:$D$2427,IF(ISNUMBER($X$2:$X$2427),1)))),0),""),0)</f>
        <v/>
      </c>
      <c r="Z2411" s="104" t="str">
        <f>IF(ISNUMBER(O2411),IF(I2411&gt;0,(10^(VLOOKUP(D2411,'Species Codes'!B:C,2,0)+VLOOKUP(D2411,'Species Codes'!B:D,3,0)*LOG(E2411)+VLOOKUP(D2411,'Species Codes'!B:E,4,0)*LOG(I2411))),0),"")</f>
        <v/>
      </c>
      <c r="AA2411" s="104" t="str">
        <f>IFERROR((VLOOKUP(D2411,'Species Codes'!B:G,6,0)*Z2411)/2000,"")</f>
        <v/>
      </c>
      <c r="AB2411" s="104" t="e">
        <f>IF(Z2411&gt;0,((IF(OR(D2411="DF",D2411="RA")=TRUE,EXP(VLOOKUP(D2411,'Species Codes'!B:I,8,0)+VLOOKUP(D2411,'Species Codes'!B:J,9,0)*(LN((E2411*2.54)))),IF(OR(D2411="PY",D2411="RC",D2411="WH",D2411="NF")=TRUE,VLOOKUP(D2411,'Species Codes'!B:I,8,0)+VLOOKUP(D2411,'Species Codes'!B:J,9,0)*((E2411*2.54)^2)*(I2411*0.3048),IF(OR(D2411="MD",D2411="BM",D2411="GA")=TRUE,((VLOOKUP(D2411,'Species Codes'!B:I,8,0)*(((((E2411*2.54)+VLOOKUP(D2411,'Species Codes'!B:J,9,0))/VLOOKUP(D2411,'Species Codes'!B:K,10,0))^VLOOKUP(D2411,'Species Codes'!B:L,11,0))*((I2411*0.3048)^VLOOKUP(D2411,'Species Codes'!B:M,12,0))))-(VLOOKUP(D2411,'Species Codes'!B:I,8,0)*((((E2411*2.54)^VLOOKUP(D2411,'Species Codes'!B:L,11,0))*((I2411*0.3048)^VLOOKUP(D2411,'Species Codes'!B:M,12,0))))))*35.3*VLOOKUP(D2411,'Species Codes'!B:G,6,0)/2.2046,VLOOKUP(D2411,'Species Codes'!B:I,8,0)+VLOOKUP(D2411,'Species Codes'!B:J,9,0)*(((E2411*2.54)/100)^2)*(I2411*0.3048)))))*0.0011023),0)</f>
        <v>#N/A</v>
      </c>
      <c r="AC2411" s="104" t="e">
        <f>IF(Z2411&gt;0,((IF(OR(D2411="RA",D2411="OA",D2411="OT",D2411="UN",D2411="PC"),EXP(VLOOKUP(D2411,'Species Codes'!B:O,14,0)+VLOOKUP(D2411,'Species Codes'!B:P,15,0)*LN((E2411*2.54)))-EXP(VLOOKUP(D2411,'Species Codes'!B:O,14,0)+VLOOKUP(D2411,'Species Codes'!B:P,15,0)*LN((E2411*2.54)))*(1/(VLOOKUP(D2411,'Species Codes'!B:Q,16,0)+VLOOKUP(D2411,'Species Codes'!B:R,17,0)*((E2411*2.54)^VLOOKUP(D2411,'Species Codes'!B:S,18,0)))),IF(OR(D2411="BM",D2411="MD",D2411="OA"),EXP(VLOOKUP(D2411,'Species Codes'!B:O,14,0)+VLOOKUP(D2411,'Species Codes'!B:P,15,0)*LN((E2411*2.54)))*(1-(1/(VLOOKUP(D2411,'Species Codes'!B:Q,16,0)+VLOOKUP(D2411,'Species Codes'!B:R,17,0)*((E2411*2.54)^VLOOKUP(D2411,'Species Codes'!B:S,18,0)))))/1000,IF(D2411="DF",EXP(VLOOKUP(D2411,'Species Codes'!B:O,14,0)+VLOOKUP(D2411,'Species Codes'!B:P,15,0)*LN((E2411*2.54))),VLOOKUP(D2411,'Species Codes'!B:O,14,0)+VLOOKUP(D2411,'Species Codes'!B:P,15,0)*(((E2411*2.54)/100)^2)*(I2411*0.3048)))))*0.0011023),0)</f>
        <v>#N/A</v>
      </c>
      <c r="AD2411" s="104" t="e">
        <f t="shared" si="1057"/>
        <v>#N/A</v>
      </c>
      <c r="AE2411" s="104" t="e">
        <f t="shared" si="1058"/>
        <v>#N/A</v>
      </c>
      <c r="AF2411" s="104" t="e">
        <f>IF(AND(VLOOKUP($D2411,Merchantability!$B:$C,2,0)="Yes",$E2411&gt;=VLOOKUP($D2411,Merchantability!$B:$D,3,0),$E2411&lt;=VLOOKUP($D2411,Merchantability!$B:$E,4,0)),AA2411,0)</f>
        <v>#N/A</v>
      </c>
      <c r="AG2411" s="104" t="e">
        <f>IF(AND(VLOOKUP($D2411,Merchantability!$B:$C,2,0)="Yes",$E2411&gt;=VLOOKUP($D2411,Merchantability!$B:$D,3,0),$E2411&lt;=VLOOKUP($D2411,Merchantability!$B:$E,4,0)),AB2411,0)</f>
        <v>#N/A</v>
      </c>
      <c r="AH2411" s="104" t="e">
        <f>IF(AND(VLOOKUP($D2411,Merchantability!$B:$C,2,0)="Yes",$E2411&gt;=VLOOKUP($D2411,Merchantability!$B:$D,3,0),$E2411&lt;=VLOOKUP($D2411,Merchantability!$B:$E,4,0)),AC2411,0)</f>
        <v>#N/A</v>
      </c>
      <c r="AI2411" s="104" t="e">
        <f t="shared" si="1059"/>
        <v>#N/A</v>
      </c>
      <c r="AJ2411" s="104" t="e">
        <f t="shared" si="1060"/>
        <v>#VALUE!</v>
      </c>
      <c r="AK2411" s="104" t="e">
        <f t="shared" si="1061"/>
        <v>#N/A</v>
      </c>
      <c r="AL2411" s="104" t="e">
        <f t="shared" si="1062"/>
        <v>#N/A</v>
      </c>
      <c r="AM2411" s="104" t="e">
        <f t="shared" si="1063"/>
        <v>#N/A</v>
      </c>
      <c r="AN2411" s="104" t="e">
        <f t="shared" si="1047"/>
        <v>#N/A</v>
      </c>
      <c r="AO2411" s="104" t="e">
        <f t="shared" si="1048"/>
        <v>#N/A</v>
      </c>
      <c r="AP2411" s="104" t="e">
        <f t="shared" si="1049"/>
        <v>#N/A</v>
      </c>
      <c r="AQ2411" s="104" t="e">
        <f t="shared" si="1050"/>
        <v>#N/A</v>
      </c>
      <c r="AR2411" s="105" t="str">
        <f t="shared" si="1042"/>
        <v/>
      </c>
      <c r="AS2411" s="105" t="str">
        <f t="shared" si="1043"/>
        <v/>
      </c>
      <c r="AT2411" s="108" t="str">
        <f t="shared" si="1044"/>
        <v/>
      </c>
      <c r="AU2411" s="108" t="str">
        <f t="shared" si="1045"/>
        <v/>
      </c>
      <c r="AV2411" s="107" t="str">
        <f>IF(ISNUMBER(O2411),IF(VLOOKUP($A2411,Stand!C:J,8,FALSE)="Short",AT2411,AU2411),"")</f>
        <v/>
      </c>
      <c r="AW2411" s="109" t="str">
        <f t="shared" si="1051"/>
        <v/>
      </c>
      <c r="AX2411" s="109" t="str">
        <f t="shared" si="1052"/>
        <v/>
      </c>
      <c r="AY2411" s="112" t="str">
        <f>IF(ISNUMBER(O2411),IF(AND(VLOOKUP($D2411,Merchantability!$B:$C,2,0)="Yes",$E2411&gt;=VLOOKUP($D2411,Merchantability!$B:$D,3,0),$E2411&lt;=VLOOKUP($D2411,Merchantability!$B:$E,4,0)),(AV2411*O2411)*(1-$H2411/100),""),"")</f>
        <v/>
      </c>
      <c r="AZ2411" s="116"/>
      <c r="BA2411" s="116"/>
      <c r="BB2411" s="116"/>
      <c r="BE2411" s="62"/>
      <c r="BF2411" s="63"/>
    </row>
    <row r="2412" spans="1:58" ht="12.75" customHeight="1" x14ac:dyDescent="0.25">
      <c r="A2412" s="334"/>
      <c r="B2412" s="334"/>
      <c r="C2412" s="332"/>
      <c r="D2412" s="334"/>
      <c r="E2412" s="335"/>
      <c r="F2412" s="334"/>
      <c r="G2412" s="332"/>
      <c r="H2412" s="332"/>
      <c r="I2412" s="334"/>
      <c r="J2412" s="336"/>
      <c r="K2412" s="332"/>
      <c r="L2412" s="332"/>
      <c r="M2412" s="76"/>
      <c r="N2412" s="103" t="str">
        <f>IF(A2412="","",VLOOKUP(A2412,Stand!C:K,9,0))</f>
        <v/>
      </c>
      <c r="O2412" s="104" t="str">
        <f t="shared" si="1037"/>
        <v/>
      </c>
      <c r="P2412" s="105" t="str">
        <f t="shared" si="1038"/>
        <v/>
      </c>
      <c r="Q2412" s="105" t="str">
        <f t="shared" si="1053"/>
        <v/>
      </c>
      <c r="R2412" s="103" t="str">
        <f t="shared" si="1039"/>
        <v/>
      </c>
      <c r="S2412" s="103" t="str">
        <f t="shared" si="1040"/>
        <v/>
      </c>
      <c r="T2412" s="106" t="str">
        <f t="shared" si="1054"/>
        <v/>
      </c>
      <c r="U2412" s="106" t="str">
        <f t="shared" si="1055"/>
        <v/>
      </c>
      <c r="V2412" s="106" t="str">
        <f t="shared" si="1056"/>
        <v/>
      </c>
      <c r="W2412" s="105" t="str">
        <f t="shared" si="1041"/>
        <v/>
      </c>
      <c r="X2412" s="104" t="str">
        <f t="shared" si="1046"/>
        <v/>
      </c>
      <c r="Y2412" s="104" t="str">
        <f t="array" ref="Y2412">IFERROR(IF(ISNUMBER(O2412),IF(COUNT(IF(A2412=$A$2:$A$2427,IF(D2412=$D$2:$D$2427,IF($X$2:$X$2427&gt;0,1))))&gt;0,SUM(IF(A2412=$A$2:$A$2427,IF(D2412=$D$2:$D$2427,$X$2:$X$2427)))/COUNT(IF(A2412=$A$2:$A$2427,IF(D2412=$D$2:$D$2427,IF(ISNUMBER($X$2:$X$2427),1)))),0),""),0)</f>
        <v/>
      </c>
      <c r="Z2412" s="104" t="str">
        <f>IF(ISNUMBER(O2412),IF(I2412&gt;0,(10^(VLOOKUP(D2412,'Species Codes'!B:C,2,0)+VLOOKUP(D2412,'Species Codes'!B:D,3,0)*LOG(E2412)+VLOOKUP(D2412,'Species Codes'!B:E,4,0)*LOG(I2412))),0),"")</f>
        <v/>
      </c>
      <c r="AA2412" s="104" t="str">
        <f>IFERROR((VLOOKUP(D2412,'Species Codes'!B:G,6,0)*Z2412)/2000,"")</f>
        <v/>
      </c>
      <c r="AB2412" s="104" t="e">
        <f>IF(Z2412&gt;0,((IF(OR(D2412="DF",D2412="RA")=TRUE,EXP(VLOOKUP(D2412,'Species Codes'!B:I,8,0)+VLOOKUP(D2412,'Species Codes'!B:J,9,0)*(LN((E2412*2.54)))),IF(OR(D2412="PY",D2412="RC",D2412="WH",D2412="NF")=TRUE,VLOOKUP(D2412,'Species Codes'!B:I,8,0)+VLOOKUP(D2412,'Species Codes'!B:J,9,0)*((E2412*2.54)^2)*(I2412*0.3048),IF(OR(D2412="MD",D2412="BM",D2412="GA")=TRUE,((VLOOKUP(D2412,'Species Codes'!B:I,8,0)*(((((E2412*2.54)+VLOOKUP(D2412,'Species Codes'!B:J,9,0))/VLOOKUP(D2412,'Species Codes'!B:K,10,0))^VLOOKUP(D2412,'Species Codes'!B:L,11,0))*((I2412*0.3048)^VLOOKUP(D2412,'Species Codes'!B:M,12,0))))-(VLOOKUP(D2412,'Species Codes'!B:I,8,0)*((((E2412*2.54)^VLOOKUP(D2412,'Species Codes'!B:L,11,0))*((I2412*0.3048)^VLOOKUP(D2412,'Species Codes'!B:M,12,0))))))*35.3*VLOOKUP(D2412,'Species Codes'!B:G,6,0)/2.2046,VLOOKUP(D2412,'Species Codes'!B:I,8,0)+VLOOKUP(D2412,'Species Codes'!B:J,9,0)*(((E2412*2.54)/100)^2)*(I2412*0.3048)))))*0.0011023),0)</f>
        <v>#N/A</v>
      </c>
      <c r="AC2412" s="104" t="e">
        <f>IF(Z2412&gt;0,((IF(OR(D2412="RA",D2412="OA",D2412="OT",D2412="UN",D2412="PC"),EXP(VLOOKUP(D2412,'Species Codes'!B:O,14,0)+VLOOKUP(D2412,'Species Codes'!B:P,15,0)*LN((E2412*2.54)))-EXP(VLOOKUP(D2412,'Species Codes'!B:O,14,0)+VLOOKUP(D2412,'Species Codes'!B:P,15,0)*LN((E2412*2.54)))*(1/(VLOOKUP(D2412,'Species Codes'!B:Q,16,0)+VLOOKUP(D2412,'Species Codes'!B:R,17,0)*((E2412*2.54)^VLOOKUP(D2412,'Species Codes'!B:S,18,0)))),IF(OR(D2412="BM",D2412="MD",D2412="OA"),EXP(VLOOKUP(D2412,'Species Codes'!B:O,14,0)+VLOOKUP(D2412,'Species Codes'!B:P,15,0)*LN((E2412*2.54)))*(1-(1/(VLOOKUP(D2412,'Species Codes'!B:Q,16,0)+VLOOKUP(D2412,'Species Codes'!B:R,17,0)*((E2412*2.54)^VLOOKUP(D2412,'Species Codes'!B:S,18,0)))))/1000,IF(D2412="DF",EXP(VLOOKUP(D2412,'Species Codes'!B:O,14,0)+VLOOKUP(D2412,'Species Codes'!B:P,15,0)*LN((E2412*2.54))),VLOOKUP(D2412,'Species Codes'!B:O,14,0)+VLOOKUP(D2412,'Species Codes'!B:P,15,0)*(((E2412*2.54)/100)^2)*(I2412*0.3048)))))*0.0011023),0)</f>
        <v>#N/A</v>
      </c>
      <c r="AD2412" s="104" t="e">
        <f t="shared" si="1057"/>
        <v>#N/A</v>
      </c>
      <c r="AE2412" s="104" t="e">
        <f t="shared" si="1058"/>
        <v>#N/A</v>
      </c>
      <c r="AF2412" s="104" t="e">
        <f>IF(AND(VLOOKUP($D2412,Merchantability!$B:$C,2,0)="Yes",$E2412&gt;=VLOOKUP($D2412,Merchantability!$B:$D,3,0),$E2412&lt;=VLOOKUP($D2412,Merchantability!$B:$E,4,0)),AA2412,0)</f>
        <v>#N/A</v>
      </c>
      <c r="AG2412" s="104" t="e">
        <f>IF(AND(VLOOKUP($D2412,Merchantability!$B:$C,2,0)="Yes",$E2412&gt;=VLOOKUP($D2412,Merchantability!$B:$D,3,0),$E2412&lt;=VLOOKUP($D2412,Merchantability!$B:$E,4,0)),AB2412,0)</f>
        <v>#N/A</v>
      </c>
      <c r="AH2412" s="104" t="e">
        <f>IF(AND(VLOOKUP($D2412,Merchantability!$B:$C,2,0)="Yes",$E2412&gt;=VLOOKUP($D2412,Merchantability!$B:$D,3,0),$E2412&lt;=VLOOKUP($D2412,Merchantability!$B:$E,4,0)),AC2412,0)</f>
        <v>#N/A</v>
      </c>
      <c r="AI2412" s="104" t="e">
        <f t="shared" si="1059"/>
        <v>#N/A</v>
      </c>
      <c r="AJ2412" s="104" t="e">
        <f t="shared" si="1060"/>
        <v>#VALUE!</v>
      </c>
      <c r="AK2412" s="104" t="e">
        <f t="shared" si="1061"/>
        <v>#N/A</v>
      </c>
      <c r="AL2412" s="104" t="e">
        <f t="shared" si="1062"/>
        <v>#N/A</v>
      </c>
      <c r="AM2412" s="104" t="e">
        <f t="shared" si="1063"/>
        <v>#N/A</v>
      </c>
      <c r="AN2412" s="104" t="e">
        <f t="shared" si="1047"/>
        <v>#N/A</v>
      </c>
      <c r="AO2412" s="104" t="e">
        <f t="shared" si="1048"/>
        <v>#N/A</v>
      </c>
      <c r="AP2412" s="104" t="e">
        <f t="shared" si="1049"/>
        <v>#N/A</v>
      </c>
      <c r="AQ2412" s="104" t="e">
        <f t="shared" si="1050"/>
        <v>#N/A</v>
      </c>
      <c r="AR2412" s="105" t="str">
        <f t="shared" si="1042"/>
        <v/>
      </c>
      <c r="AS2412" s="105" t="str">
        <f t="shared" si="1043"/>
        <v/>
      </c>
      <c r="AT2412" s="108" t="str">
        <f t="shared" si="1044"/>
        <v/>
      </c>
      <c r="AU2412" s="108" t="str">
        <f t="shared" si="1045"/>
        <v/>
      </c>
      <c r="AV2412" s="107" t="str">
        <f>IF(ISNUMBER(O2412),IF(VLOOKUP($A2412,Stand!C:J,8,FALSE)="Short",AT2412,AU2412),"")</f>
        <v/>
      </c>
      <c r="AW2412" s="109" t="str">
        <f t="shared" si="1051"/>
        <v/>
      </c>
      <c r="AX2412" s="109" t="str">
        <f t="shared" si="1052"/>
        <v/>
      </c>
      <c r="AY2412" s="112" t="str">
        <f>IF(ISNUMBER(O2412),IF(AND(VLOOKUP($D2412,Merchantability!$B:$C,2,0)="Yes",$E2412&gt;=VLOOKUP($D2412,Merchantability!$B:$D,3,0),$E2412&lt;=VLOOKUP($D2412,Merchantability!$B:$E,4,0)),(AV2412*O2412)*(1-$H2412/100),""),"")</f>
        <v/>
      </c>
      <c r="AZ2412" s="116"/>
      <c r="BA2412" s="116"/>
      <c r="BB2412" s="116"/>
      <c r="BE2412" s="62"/>
      <c r="BF2412" s="63"/>
    </row>
    <row r="2413" spans="1:58" ht="12.75" customHeight="1" x14ac:dyDescent="0.25">
      <c r="A2413" s="334"/>
      <c r="B2413" s="334"/>
      <c r="C2413" s="332"/>
      <c r="D2413" s="334"/>
      <c r="E2413" s="335"/>
      <c r="F2413" s="334"/>
      <c r="G2413" s="332"/>
      <c r="H2413" s="332"/>
      <c r="I2413" s="334"/>
      <c r="J2413" s="336"/>
      <c r="K2413" s="332"/>
      <c r="L2413" s="332"/>
      <c r="M2413" s="76"/>
      <c r="N2413" s="103" t="str">
        <f>IF(A2413="","",VLOOKUP(A2413,Stand!C:K,9,0))</f>
        <v/>
      </c>
      <c r="O2413" s="104" t="str">
        <f t="shared" si="1037"/>
        <v/>
      </c>
      <c r="P2413" s="105" t="str">
        <f t="shared" si="1038"/>
        <v/>
      </c>
      <c r="Q2413" s="105" t="str">
        <f t="shared" si="1053"/>
        <v/>
      </c>
      <c r="R2413" s="103" t="str">
        <f t="shared" si="1039"/>
        <v/>
      </c>
      <c r="S2413" s="103" t="str">
        <f t="shared" si="1040"/>
        <v/>
      </c>
      <c r="T2413" s="106" t="str">
        <f t="shared" si="1054"/>
        <v/>
      </c>
      <c r="U2413" s="106" t="str">
        <f t="shared" si="1055"/>
        <v/>
      </c>
      <c r="V2413" s="106" t="str">
        <f t="shared" si="1056"/>
        <v/>
      </c>
      <c r="W2413" s="105" t="str">
        <f t="shared" si="1041"/>
        <v/>
      </c>
      <c r="X2413" s="104" t="str">
        <f t="shared" si="1046"/>
        <v/>
      </c>
      <c r="Y2413" s="104" t="str">
        <f t="array" ref="Y2413">IFERROR(IF(ISNUMBER(O2413),IF(COUNT(IF(A2413=$A$2:$A$2427,IF(D2413=$D$2:$D$2427,IF($X$2:$X$2427&gt;0,1))))&gt;0,SUM(IF(A2413=$A$2:$A$2427,IF(D2413=$D$2:$D$2427,$X$2:$X$2427)))/COUNT(IF(A2413=$A$2:$A$2427,IF(D2413=$D$2:$D$2427,IF(ISNUMBER($X$2:$X$2427),1)))),0),""),0)</f>
        <v/>
      </c>
      <c r="Z2413" s="104" t="str">
        <f>IF(ISNUMBER(O2413),IF(I2413&gt;0,(10^(VLOOKUP(D2413,'Species Codes'!B:C,2,0)+VLOOKUP(D2413,'Species Codes'!B:D,3,0)*LOG(E2413)+VLOOKUP(D2413,'Species Codes'!B:E,4,0)*LOG(I2413))),0),"")</f>
        <v/>
      </c>
      <c r="AA2413" s="104" t="str">
        <f>IFERROR((VLOOKUP(D2413,'Species Codes'!B:G,6,0)*Z2413)/2000,"")</f>
        <v/>
      </c>
      <c r="AB2413" s="104" t="e">
        <f>IF(Z2413&gt;0,((IF(OR(D2413="DF",D2413="RA")=TRUE,EXP(VLOOKUP(D2413,'Species Codes'!B:I,8,0)+VLOOKUP(D2413,'Species Codes'!B:J,9,0)*(LN((E2413*2.54)))),IF(OR(D2413="PY",D2413="RC",D2413="WH",D2413="NF")=TRUE,VLOOKUP(D2413,'Species Codes'!B:I,8,0)+VLOOKUP(D2413,'Species Codes'!B:J,9,0)*((E2413*2.54)^2)*(I2413*0.3048),IF(OR(D2413="MD",D2413="BM",D2413="GA")=TRUE,((VLOOKUP(D2413,'Species Codes'!B:I,8,0)*(((((E2413*2.54)+VLOOKUP(D2413,'Species Codes'!B:J,9,0))/VLOOKUP(D2413,'Species Codes'!B:K,10,0))^VLOOKUP(D2413,'Species Codes'!B:L,11,0))*((I2413*0.3048)^VLOOKUP(D2413,'Species Codes'!B:M,12,0))))-(VLOOKUP(D2413,'Species Codes'!B:I,8,0)*((((E2413*2.54)^VLOOKUP(D2413,'Species Codes'!B:L,11,0))*((I2413*0.3048)^VLOOKUP(D2413,'Species Codes'!B:M,12,0))))))*35.3*VLOOKUP(D2413,'Species Codes'!B:G,6,0)/2.2046,VLOOKUP(D2413,'Species Codes'!B:I,8,0)+VLOOKUP(D2413,'Species Codes'!B:J,9,0)*(((E2413*2.54)/100)^2)*(I2413*0.3048)))))*0.0011023),0)</f>
        <v>#N/A</v>
      </c>
      <c r="AC2413" s="104" t="e">
        <f>IF(Z2413&gt;0,((IF(OR(D2413="RA",D2413="OA",D2413="OT",D2413="UN",D2413="PC"),EXP(VLOOKUP(D2413,'Species Codes'!B:O,14,0)+VLOOKUP(D2413,'Species Codes'!B:P,15,0)*LN((E2413*2.54)))-EXP(VLOOKUP(D2413,'Species Codes'!B:O,14,0)+VLOOKUP(D2413,'Species Codes'!B:P,15,0)*LN((E2413*2.54)))*(1/(VLOOKUP(D2413,'Species Codes'!B:Q,16,0)+VLOOKUP(D2413,'Species Codes'!B:R,17,0)*((E2413*2.54)^VLOOKUP(D2413,'Species Codes'!B:S,18,0)))),IF(OR(D2413="BM",D2413="MD",D2413="OA"),EXP(VLOOKUP(D2413,'Species Codes'!B:O,14,0)+VLOOKUP(D2413,'Species Codes'!B:P,15,0)*LN((E2413*2.54)))*(1-(1/(VLOOKUP(D2413,'Species Codes'!B:Q,16,0)+VLOOKUP(D2413,'Species Codes'!B:R,17,0)*((E2413*2.54)^VLOOKUP(D2413,'Species Codes'!B:S,18,0)))))/1000,IF(D2413="DF",EXP(VLOOKUP(D2413,'Species Codes'!B:O,14,0)+VLOOKUP(D2413,'Species Codes'!B:P,15,0)*LN((E2413*2.54))),VLOOKUP(D2413,'Species Codes'!B:O,14,0)+VLOOKUP(D2413,'Species Codes'!B:P,15,0)*(((E2413*2.54)/100)^2)*(I2413*0.3048)))))*0.0011023),0)</f>
        <v>#N/A</v>
      </c>
      <c r="AD2413" s="104" t="e">
        <f t="shared" si="1057"/>
        <v>#N/A</v>
      </c>
      <c r="AE2413" s="104" t="e">
        <f t="shared" si="1058"/>
        <v>#N/A</v>
      </c>
      <c r="AF2413" s="104" t="e">
        <f>IF(AND(VLOOKUP($D2413,Merchantability!$B:$C,2,0)="Yes",$E2413&gt;=VLOOKUP($D2413,Merchantability!$B:$D,3,0),$E2413&lt;=VLOOKUP($D2413,Merchantability!$B:$E,4,0)),AA2413,0)</f>
        <v>#N/A</v>
      </c>
      <c r="AG2413" s="104" t="e">
        <f>IF(AND(VLOOKUP($D2413,Merchantability!$B:$C,2,0)="Yes",$E2413&gt;=VLOOKUP($D2413,Merchantability!$B:$D,3,0),$E2413&lt;=VLOOKUP($D2413,Merchantability!$B:$E,4,0)),AB2413,0)</f>
        <v>#N/A</v>
      </c>
      <c r="AH2413" s="104" t="e">
        <f>IF(AND(VLOOKUP($D2413,Merchantability!$B:$C,2,0)="Yes",$E2413&gt;=VLOOKUP($D2413,Merchantability!$B:$D,3,0),$E2413&lt;=VLOOKUP($D2413,Merchantability!$B:$E,4,0)),AC2413,0)</f>
        <v>#N/A</v>
      </c>
      <c r="AI2413" s="104" t="e">
        <f t="shared" si="1059"/>
        <v>#N/A</v>
      </c>
      <c r="AJ2413" s="104" t="e">
        <f t="shared" si="1060"/>
        <v>#VALUE!</v>
      </c>
      <c r="AK2413" s="104" t="e">
        <f t="shared" si="1061"/>
        <v>#N/A</v>
      </c>
      <c r="AL2413" s="104" t="e">
        <f t="shared" si="1062"/>
        <v>#N/A</v>
      </c>
      <c r="AM2413" s="104" t="e">
        <f t="shared" si="1063"/>
        <v>#N/A</v>
      </c>
      <c r="AN2413" s="104" t="e">
        <f t="shared" si="1047"/>
        <v>#N/A</v>
      </c>
      <c r="AO2413" s="104" t="e">
        <f t="shared" si="1048"/>
        <v>#N/A</v>
      </c>
      <c r="AP2413" s="104" t="e">
        <f t="shared" si="1049"/>
        <v>#N/A</v>
      </c>
      <c r="AQ2413" s="104" t="e">
        <f t="shared" si="1050"/>
        <v>#N/A</v>
      </c>
      <c r="AR2413" s="105" t="str">
        <f t="shared" si="1042"/>
        <v/>
      </c>
      <c r="AS2413" s="105" t="str">
        <f t="shared" si="1043"/>
        <v/>
      </c>
      <c r="AT2413" s="108" t="str">
        <f t="shared" si="1044"/>
        <v/>
      </c>
      <c r="AU2413" s="108" t="str">
        <f t="shared" si="1045"/>
        <v/>
      </c>
      <c r="AV2413" s="107" t="str">
        <f>IF(ISNUMBER(O2413),IF(VLOOKUP($A2413,Stand!C:J,8,FALSE)="Short",AT2413,AU2413),"")</f>
        <v/>
      </c>
      <c r="AW2413" s="109" t="str">
        <f t="shared" si="1051"/>
        <v/>
      </c>
      <c r="AX2413" s="109" t="str">
        <f t="shared" si="1052"/>
        <v/>
      </c>
      <c r="AY2413" s="112" t="str">
        <f>IF(ISNUMBER(O2413),IF(AND(VLOOKUP($D2413,Merchantability!$B:$C,2,0)="Yes",$E2413&gt;=VLOOKUP($D2413,Merchantability!$B:$D,3,0),$E2413&lt;=VLOOKUP($D2413,Merchantability!$B:$E,4,0)),(AV2413*O2413)*(1-$H2413/100),""),"")</f>
        <v/>
      </c>
      <c r="AZ2413" s="116"/>
      <c r="BA2413" s="116"/>
      <c r="BB2413" s="116"/>
      <c r="BE2413" s="62"/>
      <c r="BF2413" s="63"/>
    </row>
    <row r="2414" spans="1:58" ht="12.75" customHeight="1" x14ac:dyDescent="0.25">
      <c r="A2414" s="334"/>
      <c r="B2414" s="334"/>
      <c r="C2414" s="332"/>
      <c r="D2414" s="334"/>
      <c r="E2414" s="335"/>
      <c r="F2414" s="334"/>
      <c r="G2414" s="332"/>
      <c r="H2414" s="332"/>
      <c r="I2414" s="334"/>
      <c r="J2414" s="336"/>
      <c r="K2414" s="332"/>
      <c r="L2414" s="332"/>
      <c r="M2414" s="76"/>
      <c r="N2414" s="103" t="str">
        <f>IF(A2414="","",VLOOKUP(A2414,Stand!C:K,9,0))</f>
        <v/>
      </c>
      <c r="O2414" s="104" t="str">
        <f t="shared" si="1037"/>
        <v/>
      </c>
      <c r="P2414" s="105" t="str">
        <f t="shared" si="1038"/>
        <v/>
      </c>
      <c r="Q2414" s="105" t="str">
        <f t="shared" si="1053"/>
        <v/>
      </c>
      <c r="R2414" s="103" t="str">
        <f t="shared" si="1039"/>
        <v/>
      </c>
      <c r="S2414" s="103" t="str">
        <f t="shared" si="1040"/>
        <v/>
      </c>
      <c r="T2414" s="106" t="str">
        <f t="shared" si="1054"/>
        <v/>
      </c>
      <c r="U2414" s="106" t="str">
        <f t="shared" si="1055"/>
        <v/>
      </c>
      <c r="V2414" s="106" t="str">
        <f t="shared" si="1056"/>
        <v/>
      </c>
      <c r="W2414" s="105" t="str">
        <f t="shared" si="1041"/>
        <v/>
      </c>
      <c r="X2414" s="104" t="str">
        <f t="shared" si="1046"/>
        <v/>
      </c>
      <c r="Y2414" s="104" t="str">
        <f t="array" ref="Y2414">IFERROR(IF(ISNUMBER(O2414),IF(COUNT(IF(A2414=$A$2:$A$2427,IF(D2414=$D$2:$D$2427,IF($X$2:$X$2427&gt;0,1))))&gt;0,SUM(IF(A2414=$A$2:$A$2427,IF(D2414=$D$2:$D$2427,$X$2:$X$2427)))/COUNT(IF(A2414=$A$2:$A$2427,IF(D2414=$D$2:$D$2427,IF(ISNUMBER($X$2:$X$2427),1)))),0),""),0)</f>
        <v/>
      </c>
      <c r="Z2414" s="104" t="str">
        <f>IF(ISNUMBER(O2414),IF(I2414&gt;0,(10^(VLOOKUP(D2414,'Species Codes'!B:C,2,0)+VLOOKUP(D2414,'Species Codes'!B:D,3,0)*LOG(E2414)+VLOOKUP(D2414,'Species Codes'!B:E,4,0)*LOG(I2414))),0),"")</f>
        <v/>
      </c>
      <c r="AA2414" s="104" t="str">
        <f>IFERROR((VLOOKUP(D2414,'Species Codes'!B:G,6,0)*Z2414)/2000,"")</f>
        <v/>
      </c>
      <c r="AB2414" s="104" t="e">
        <f>IF(Z2414&gt;0,((IF(OR(D2414="DF",D2414="RA")=TRUE,EXP(VLOOKUP(D2414,'Species Codes'!B:I,8,0)+VLOOKUP(D2414,'Species Codes'!B:J,9,0)*(LN((E2414*2.54)))),IF(OR(D2414="PY",D2414="RC",D2414="WH",D2414="NF")=TRUE,VLOOKUP(D2414,'Species Codes'!B:I,8,0)+VLOOKUP(D2414,'Species Codes'!B:J,9,0)*((E2414*2.54)^2)*(I2414*0.3048),IF(OR(D2414="MD",D2414="BM",D2414="GA")=TRUE,((VLOOKUP(D2414,'Species Codes'!B:I,8,0)*(((((E2414*2.54)+VLOOKUP(D2414,'Species Codes'!B:J,9,0))/VLOOKUP(D2414,'Species Codes'!B:K,10,0))^VLOOKUP(D2414,'Species Codes'!B:L,11,0))*((I2414*0.3048)^VLOOKUP(D2414,'Species Codes'!B:M,12,0))))-(VLOOKUP(D2414,'Species Codes'!B:I,8,0)*((((E2414*2.54)^VLOOKUP(D2414,'Species Codes'!B:L,11,0))*((I2414*0.3048)^VLOOKUP(D2414,'Species Codes'!B:M,12,0))))))*35.3*VLOOKUP(D2414,'Species Codes'!B:G,6,0)/2.2046,VLOOKUP(D2414,'Species Codes'!B:I,8,0)+VLOOKUP(D2414,'Species Codes'!B:J,9,0)*(((E2414*2.54)/100)^2)*(I2414*0.3048)))))*0.0011023),0)</f>
        <v>#N/A</v>
      </c>
      <c r="AC2414" s="104" t="e">
        <f>IF(Z2414&gt;0,((IF(OR(D2414="RA",D2414="OA",D2414="OT",D2414="UN",D2414="PC"),EXP(VLOOKUP(D2414,'Species Codes'!B:O,14,0)+VLOOKUP(D2414,'Species Codes'!B:P,15,0)*LN((E2414*2.54)))-EXP(VLOOKUP(D2414,'Species Codes'!B:O,14,0)+VLOOKUP(D2414,'Species Codes'!B:P,15,0)*LN((E2414*2.54)))*(1/(VLOOKUP(D2414,'Species Codes'!B:Q,16,0)+VLOOKUP(D2414,'Species Codes'!B:R,17,0)*((E2414*2.54)^VLOOKUP(D2414,'Species Codes'!B:S,18,0)))),IF(OR(D2414="BM",D2414="MD",D2414="OA"),EXP(VLOOKUP(D2414,'Species Codes'!B:O,14,0)+VLOOKUP(D2414,'Species Codes'!B:P,15,0)*LN((E2414*2.54)))*(1-(1/(VLOOKUP(D2414,'Species Codes'!B:Q,16,0)+VLOOKUP(D2414,'Species Codes'!B:R,17,0)*((E2414*2.54)^VLOOKUP(D2414,'Species Codes'!B:S,18,0)))))/1000,IF(D2414="DF",EXP(VLOOKUP(D2414,'Species Codes'!B:O,14,0)+VLOOKUP(D2414,'Species Codes'!B:P,15,0)*LN((E2414*2.54))),VLOOKUP(D2414,'Species Codes'!B:O,14,0)+VLOOKUP(D2414,'Species Codes'!B:P,15,0)*(((E2414*2.54)/100)^2)*(I2414*0.3048)))))*0.0011023),0)</f>
        <v>#N/A</v>
      </c>
      <c r="AD2414" s="104" t="e">
        <f t="shared" si="1057"/>
        <v>#N/A</v>
      </c>
      <c r="AE2414" s="104" t="e">
        <f t="shared" si="1058"/>
        <v>#N/A</v>
      </c>
      <c r="AF2414" s="104" t="e">
        <f>IF(AND(VLOOKUP($D2414,Merchantability!$B:$C,2,0)="Yes",$E2414&gt;=VLOOKUP($D2414,Merchantability!$B:$D,3,0),$E2414&lt;=VLOOKUP($D2414,Merchantability!$B:$E,4,0)),AA2414,0)</f>
        <v>#N/A</v>
      </c>
      <c r="AG2414" s="104" t="e">
        <f>IF(AND(VLOOKUP($D2414,Merchantability!$B:$C,2,0)="Yes",$E2414&gt;=VLOOKUP($D2414,Merchantability!$B:$D,3,0),$E2414&lt;=VLOOKUP($D2414,Merchantability!$B:$E,4,0)),AB2414,0)</f>
        <v>#N/A</v>
      </c>
      <c r="AH2414" s="104" t="e">
        <f>IF(AND(VLOOKUP($D2414,Merchantability!$B:$C,2,0)="Yes",$E2414&gt;=VLOOKUP($D2414,Merchantability!$B:$D,3,0),$E2414&lt;=VLOOKUP($D2414,Merchantability!$B:$E,4,0)),AC2414,0)</f>
        <v>#N/A</v>
      </c>
      <c r="AI2414" s="104" t="e">
        <f t="shared" si="1059"/>
        <v>#N/A</v>
      </c>
      <c r="AJ2414" s="104" t="e">
        <f t="shared" si="1060"/>
        <v>#VALUE!</v>
      </c>
      <c r="AK2414" s="104" t="e">
        <f t="shared" si="1061"/>
        <v>#N/A</v>
      </c>
      <c r="AL2414" s="104" t="e">
        <f t="shared" si="1062"/>
        <v>#N/A</v>
      </c>
      <c r="AM2414" s="104" t="e">
        <f t="shared" si="1063"/>
        <v>#N/A</v>
      </c>
      <c r="AN2414" s="104" t="e">
        <f t="shared" si="1047"/>
        <v>#N/A</v>
      </c>
      <c r="AO2414" s="104" t="e">
        <f t="shared" si="1048"/>
        <v>#N/A</v>
      </c>
      <c r="AP2414" s="104" t="e">
        <f t="shared" si="1049"/>
        <v>#N/A</v>
      </c>
      <c r="AQ2414" s="104" t="e">
        <f t="shared" si="1050"/>
        <v>#N/A</v>
      </c>
      <c r="AR2414" s="105" t="str">
        <f t="shared" si="1042"/>
        <v/>
      </c>
      <c r="AS2414" s="105" t="str">
        <f t="shared" si="1043"/>
        <v/>
      </c>
      <c r="AT2414" s="108" t="str">
        <f t="shared" si="1044"/>
        <v/>
      </c>
      <c r="AU2414" s="108" t="str">
        <f t="shared" si="1045"/>
        <v/>
      </c>
      <c r="AV2414" s="107" t="str">
        <f>IF(ISNUMBER(O2414),IF(VLOOKUP($A2414,Stand!C:J,8,FALSE)="Short",AT2414,AU2414),"")</f>
        <v/>
      </c>
      <c r="AW2414" s="109" t="str">
        <f t="shared" si="1051"/>
        <v/>
      </c>
      <c r="AX2414" s="109" t="str">
        <f t="shared" si="1052"/>
        <v/>
      </c>
      <c r="AY2414" s="112" t="str">
        <f>IF(ISNUMBER(O2414),IF(AND(VLOOKUP($D2414,Merchantability!$B:$C,2,0)="Yes",$E2414&gt;=VLOOKUP($D2414,Merchantability!$B:$D,3,0),$E2414&lt;=VLOOKUP($D2414,Merchantability!$B:$E,4,0)),(AV2414*O2414)*(1-$H2414/100),""),"")</f>
        <v/>
      </c>
      <c r="AZ2414" s="116"/>
      <c r="BA2414" s="116"/>
      <c r="BB2414" s="116"/>
      <c r="BE2414" s="62"/>
      <c r="BF2414" s="63"/>
    </row>
    <row r="2415" spans="1:58" ht="12.75" customHeight="1" x14ac:dyDescent="0.25">
      <c r="A2415" s="334"/>
      <c r="B2415" s="334"/>
      <c r="C2415" s="332"/>
      <c r="D2415" s="334"/>
      <c r="E2415" s="335"/>
      <c r="F2415" s="334"/>
      <c r="G2415" s="332"/>
      <c r="H2415" s="332"/>
      <c r="I2415" s="334"/>
      <c r="J2415" s="336"/>
      <c r="K2415" s="332"/>
      <c r="L2415" s="332"/>
      <c r="M2415" s="76"/>
      <c r="N2415" s="103" t="str">
        <f>IF(A2415="","",VLOOKUP(A2415,Stand!C:K,9,0))</f>
        <v/>
      </c>
      <c r="O2415" s="104" t="str">
        <f t="shared" si="1037"/>
        <v/>
      </c>
      <c r="P2415" s="105" t="str">
        <f t="shared" si="1038"/>
        <v/>
      </c>
      <c r="Q2415" s="105" t="str">
        <f t="shared" si="1053"/>
        <v/>
      </c>
      <c r="R2415" s="103" t="str">
        <f t="shared" si="1039"/>
        <v/>
      </c>
      <c r="S2415" s="103" t="str">
        <f t="shared" si="1040"/>
        <v/>
      </c>
      <c r="T2415" s="106" t="str">
        <f t="shared" si="1054"/>
        <v/>
      </c>
      <c r="U2415" s="106" t="str">
        <f t="shared" si="1055"/>
        <v/>
      </c>
      <c r="V2415" s="106" t="str">
        <f t="shared" si="1056"/>
        <v/>
      </c>
      <c r="W2415" s="105" t="str">
        <f t="shared" si="1041"/>
        <v/>
      </c>
      <c r="X2415" s="104" t="str">
        <f t="shared" si="1046"/>
        <v/>
      </c>
      <c r="Y2415" s="104" t="str">
        <f t="array" ref="Y2415">IFERROR(IF(ISNUMBER(O2415),IF(COUNT(IF(A2415=$A$2:$A$2427,IF(D2415=$D$2:$D$2427,IF($X$2:$X$2427&gt;0,1))))&gt;0,SUM(IF(A2415=$A$2:$A$2427,IF(D2415=$D$2:$D$2427,$X$2:$X$2427)))/COUNT(IF(A2415=$A$2:$A$2427,IF(D2415=$D$2:$D$2427,IF(ISNUMBER($X$2:$X$2427),1)))),0),""),0)</f>
        <v/>
      </c>
      <c r="Z2415" s="104" t="str">
        <f>IF(ISNUMBER(O2415),IF(I2415&gt;0,(10^(VLOOKUP(D2415,'Species Codes'!B:C,2,0)+VLOOKUP(D2415,'Species Codes'!B:D,3,0)*LOG(E2415)+VLOOKUP(D2415,'Species Codes'!B:E,4,0)*LOG(I2415))),0),"")</f>
        <v/>
      </c>
      <c r="AA2415" s="104" t="str">
        <f>IFERROR((VLOOKUP(D2415,'Species Codes'!B:G,6,0)*Z2415)/2000,"")</f>
        <v/>
      </c>
      <c r="AB2415" s="104" t="e">
        <f>IF(Z2415&gt;0,((IF(OR(D2415="DF",D2415="RA")=TRUE,EXP(VLOOKUP(D2415,'Species Codes'!B:I,8,0)+VLOOKUP(D2415,'Species Codes'!B:J,9,0)*(LN((E2415*2.54)))),IF(OR(D2415="PY",D2415="RC",D2415="WH",D2415="NF")=TRUE,VLOOKUP(D2415,'Species Codes'!B:I,8,0)+VLOOKUP(D2415,'Species Codes'!B:J,9,0)*((E2415*2.54)^2)*(I2415*0.3048),IF(OR(D2415="MD",D2415="BM",D2415="GA")=TRUE,((VLOOKUP(D2415,'Species Codes'!B:I,8,0)*(((((E2415*2.54)+VLOOKUP(D2415,'Species Codes'!B:J,9,0))/VLOOKUP(D2415,'Species Codes'!B:K,10,0))^VLOOKUP(D2415,'Species Codes'!B:L,11,0))*((I2415*0.3048)^VLOOKUP(D2415,'Species Codes'!B:M,12,0))))-(VLOOKUP(D2415,'Species Codes'!B:I,8,0)*((((E2415*2.54)^VLOOKUP(D2415,'Species Codes'!B:L,11,0))*((I2415*0.3048)^VLOOKUP(D2415,'Species Codes'!B:M,12,0))))))*35.3*VLOOKUP(D2415,'Species Codes'!B:G,6,0)/2.2046,VLOOKUP(D2415,'Species Codes'!B:I,8,0)+VLOOKUP(D2415,'Species Codes'!B:J,9,0)*(((E2415*2.54)/100)^2)*(I2415*0.3048)))))*0.0011023),0)</f>
        <v>#N/A</v>
      </c>
      <c r="AC2415" s="104" t="e">
        <f>IF(Z2415&gt;0,((IF(OR(D2415="RA",D2415="OA",D2415="OT",D2415="UN",D2415="PC"),EXP(VLOOKUP(D2415,'Species Codes'!B:O,14,0)+VLOOKUP(D2415,'Species Codes'!B:P,15,0)*LN((E2415*2.54)))-EXP(VLOOKUP(D2415,'Species Codes'!B:O,14,0)+VLOOKUP(D2415,'Species Codes'!B:P,15,0)*LN((E2415*2.54)))*(1/(VLOOKUP(D2415,'Species Codes'!B:Q,16,0)+VLOOKUP(D2415,'Species Codes'!B:R,17,0)*((E2415*2.54)^VLOOKUP(D2415,'Species Codes'!B:S,18,0)))),IF(OR(D2415="BM",D2415="MD",D2415="OA"),EXP(VLOOKUP(D2415,'Species Codes'!B:O,14,0)+VLOOKUP(D2415,'Species Codes'!B:P,15,0)*LN((E2415*2.54)))*(1-(1/(VLOOKUP(D2415,'Species Codes'!B:Q,16,0)+VLOOKUP(D2415,'Species Codes'!B:R,17,0)*((E2415*2.54)^VLOOKUP(D2415,'Species Codes'!B:S,18,0)))))/1000,IF(D2415="DF",EXP(VLOOKUP(D2415,'Species Codes'!B:O,14,0)+VLOOKUP(D2415,'Species Codes'!B:P,15,0)*LN((E2415*2.54))),VLOOKUP(D2415,'Species Codes'!B:O,14,0)+VLOOKUP(D2415,'Species Codes'!B:P,15,0)*(((E2415*2.54)/100)^2)*(I2415*0.3048)))))*0.0011023),0)</f>
        <v>#N/A</v>
      </c>
      <c r="AD2415" s="104" t="e">
        <f t="shared" si="1057"/>
        <v>#N/A</v>
      </c>
      <c r="AE2415" s="104" t="e">
        <f t="shared" si="1058"/>
        <v>#N/A</v>
      </c>
      <c r="AF2415" s="104" t="e">
        <f>IF(AND(VLOOKUP($D2415,Merchantability!$B:$C,2,0)="Yes",$E2415&gt;=VLOOKUP($D2415,Merchantability!$B:$D,3,0),$E2415&lt;=VLOOKUP($D2415,Merchantability!$B:$E,4,0)),AA2415,0)</f>
        <v>#N/A</v>
      </c>
      <c r="AG2415" s="104" t="e">
        <f>IF(AND(VLOOKUP($D2415,Merchantability!$B:$C,2,0)="Yes",$E2415&gt;=VLOOKUP($D2415,Merchantability!$B:$D,3,0),$E2415&lt;=VLOOKUP($D2415,Merchantability!$B:$E,4,0)),AB2415,0)</f>
        <v>#N/A</v>
      </c>
      <c r="AH2415" s="104" t="e">
        <f>IF(AND(VLOOKUP($D2415,Merchantability!$B:$C,2,0)="Yes",$E2415&gt;=VLOOKUP($D2415,Merchantability!$B:$D,3,0),$E2415&lt;=VLOOKUP($D2415,Merchantability!$B:$E,4,0)),AC2415,0)</f>
        <v>#N/A</v>
      </c>
      <c r="AI2415" s="104" t="e">
        <f t="shared" si="1059"/>
        <v>#N/A</v>
      </c>
      <c r="AJ2415" s="104" t="e">
        <f t="shared" si="1060"/>
        <v>#VALUE!</v>
      </c>
      <c r="AK2415" s="104" t="e">
        <f t="shared" si="1061"/>
        <v>#N/A</v>
      </c>
      <c r="AL2415" s="104" t="e">
        <f t="shared" si="1062"/>
        <v>#N/A</v>
      </c>
      <c r="AM2415" s="104" t="e">
        <f t="shared" si="1063"/>
        <v>#N/A</v>
      </c>
      <c r="AN2415" s="104" t="e">
        <f t="shared" si="1047"/>
        <v>#N/A</v>
      </c>
      <c r="AO2415" s="104" t="e">
        <f t="shared" si="1048"/>
        <v>#N/A</v>
      </c>
      <c r="AP2415" s="104" t="e">
        <f t="shared" si="1049"/>
        <v>#N/A</v>
      </c>
      <c r="AQ2415" s="104" t="e">
        <f t="shared" si="1050"/>
        <v>#N/A</v>
      </c>
      <c r="AR2415" s="105" t="str">
        <f t="shared" si="1042"/>
        <v/>
      </c>
      <c r="AS2415" s="105" t="str">
        <f t="shared" si="1043"/>
        <v/>
      </c>
      <c r="AT2415" s="108" t="str">
        <f t="shared" si="1044"/>
        <v/>
      </c>
      <c r="AU2415" s="108" t="str">
        <f t="shared" si="1045"/>
        <v/>
      </c>
      <c r="AV2415" s="107" t="str">
        <f>IF(ISNUMBER(O2415),IF(VLOOKUP($A2415,Stand!C:J,8,FALSE)="Short",AT2415,AU2415),"")</f>
        <v/>
      </c>
      <c r="AW2415" s="109" t="str">
        <f t="shared" si="1051"/>
        <v/>
      </c>
      <c r="AX2415" s="109" t="str">
        <f t="shared" si="1052"/>
        <v/>
      </c>
      <c r="AY2415" s="112" t="str">
        <f>IF(ISNUMBER(O2415),IF(AND(VLOOKUP($D2415,Merchantability!$B:$C,2,0)="Yes",$E2415&gt;=VLOOKUP($D2415,Merchantability!$B:$D,3,0),$E2415&lt;=VLOOKUP($D2415,Merchantability!$B:$E,4,0)),(AV2415*O2415)*(1-$H2415/100),""),"")</f>
        <v/>
      </c>
      <c r="AZ2415" s="116"/>
      <c r="BA2415" s="116"/>
      <c r="BB2415" s="116"/>
      <c r="BE2415" s="62"/>
      <c r="BF2415" s="63"/>
    </row>
    <row r="2416" spans="1:58" ht="12.75" customHeight="1" x14ac:dyDescent="0.25">
      <c r="A2416" s="334"/>
      <c r="B2416" s="334"/>
      <c r="C2416" s="332"/>
      <c r="D2416" s="334"/>
      <c r="E2416" s="335"/>
      <c r="F2416" s="334"/>
      <c r="G2416" s="332"/>
      <c r="H2416" s="332"/>
      <c r="I2416" s="334"/>
      <c r="J2416" s="336"/>
      <c r="K2416" s="332"/>
      <c r="L2416" s="332"/>
      <c r="M2416" s="76"/>
      <c r="N2416" s="103" t="str">
        <f>IF(A2416="","",VLOOKUP(A2416,Stand!C:K,9,0))</f>
        <v/>
      </c>
      <c r="O2416" s="104" t="str">
        <f t="shared" si="1037"/>
        <v/>
      </c>
      <c r="P2416" s="105" t="str">
        <f t="shared" si="1038"/>
        <v/>
      </c>
      <c r="Q2416" s="105" t="str">
        <f t="shared" si="1053"/>
        <v/>
      </c>
      <c r="R2416" s="103" t="str">
        <f t="shared" si="1039"/>
        <v/>
      </c>
      <c r="S2416" s="103" t="str">
        <f t="shared" si="1040"/>
        <v/>
      </c>
      <c r="T2416" s="106" t="str">
        <f t="shared" si="1054"/>
        <v/>
      </c>
      <c r="U2416" s="106" t="str">
        <f t="shared" si="1055"/>
        <v/>
      </c>
      <c r="V2416" s="106" t="str">
        <f t="shared" si="1056"/>
        <v/>
      </c>
      <c r="W2416" s="105" t="str">
        <f t="shared" si="1041"/>
        <v/>
      </c>
      <c r="X2416" s="104" t="str">
        <f t="shared" si="1046"/>
        <v/>
      </c>
      <c r="Y2416" s="104" t="str">
        <f t="array" ref="Y2416">IFERROR(IF(ISNUMBER(O2416),IF(COUNT(IF(A2416=$A$2:$A$2427,IF(D2416=$D$2:$D$2427,IF($X$2:$X$2427&gt;0,1))))&gt;0,SUM(IF(A2416=$A$2:$A$2427,IF(D2416=$D$2:$D$2427,$X$2:$X$2427)))/COUNT(IF(A2416=$A$2:$A$2427,IF(D2416=$D$2:$D$2427,IF(ISNUMBER($X$2:$X$2427),1)))),0),""),0)</f>
        <v/>
      </c>
      <c r="Z2416" s="104" t="str">
        <f>IF(ISNUMBER(O2416),IF(I2416&gt;0,(10^(VLOOKUP(D2416,'Species Codes'!B:C,2,0)+VLOOKUP(D2416,'Species Codes'!B:D,3,0)*LOG(E2416)+VLOOKUP(D2416,'Species Codes'!B:E,4,0)*LOG(I2416))),0),"")</f>
        <v/>
      </c>
      <c r="AA2416" s="104" t="str">
        <f>IFERROR((VLOOKUP(D2416,'Species Codes'!B:G,6,0)*Z2416)/2000,"")</f>
        <v/>
      </c>
      <c r="AB2416" s="104" t="e">
        <f>IF(Z2416&gt;0,((IF(OR(D2416="DF",D2416="RA")=TRUE,EXP(VLOOKUP(D2416,'Species Codes'!B:I,8,0)+VLOOKUP(D2416,'Species Codes'!B:J,9,0)*(LN((E2416*2.54)))),IF(OR(D2416="PY",D2416="RC",D2416="WH",D2416="NF")=TRUE,VLOOKUP(D2416,'Species Codes'!B:I,8,0)+VLOOKUP(D2416,'Species Codes'!B:J,9,0)*((E2416*2.54)^2)*(I2416*0.3048),IF(OR(D2416="MD",D2416="BM",D2416="GA")=TRUE,((VLOOKUP(D2416,'Species Codes'!B:I,8,0)*(((((E2416*2.54)+VLOOKUP(D2416,'Species Codes'!B:J,9,0))/VLOOKUP(D2416,'Species Codes'!B:K,10,0))^VLOOKUP(D2416,'Species Codes'!B:L,11,0))*((I2416*0.3048)^VLOOKUP(D2416,'Species Codes'!B:M,12,0))))-(VLOOKUP(D2416,'Species Codes'!B:I,8,0)*((((E2416*2.54)^VLOOKUP(D2416,'Species Codes'!B:L,11,0))*((I2416*0.3048)^VLOOKUP(D2416,'Species Codes'!B:M,12,0))))))*35.3*VLOOKUP(D2416,'Species Codes'!B:G,6,0)/2.2046,VLOOKUP(D2416,'Species Codes'!B:I,8,0)+VLOOKUP(D2416,'Species Codes'!B:J,9,0)*(((E2416*2.54)/100)^2)*(I2416*0.3048)))))*0.0011023),0)</f>
        <v>#N/A</v>
      </c>
      <c r="AC2416" s="104" t="e">
        <f>IF(Z2416&gt;0,((IF(OR(D2416="RA",D2416="OA",D2416="OT",D2416="UN",D2416="PC"),EXP(VLOOKUP(D2416,'Species Codes'!B:O,14,0)+VLOOKUP(D2416,'Species Codes'!B:P,15,0)*LN((E2416*2.54)))-EXP(VLOOKUP(D2416,'Species Codes'!B:O,14,0)+VLOOKUP(D2416,'Species Codes'!B:P,15,0)*LN((E2416*2.54)))*(1/(VLOOKUP(D2416,'Species Codes'!B:Q,16,0)+VLOOKUP(D2416,'Species Codes'!B:R,17,0)*((E2416*2.54)^VLOOKUP(D2416,'Species Codes'!B:S,18,0)))),IF(OR(D2416="BM",D2416="MD",D2416="OA"),EXP(VLOOKUP(D2416,'Species Codes'!B:O,14,0)+VLOOKUP(D2416,'Species Codes'!B:P,15,0)*LN((E2416*2.54)))*(1-(1/(VLOOKUP(D2416,'Species Codes'!B:Q,16,0)+VLOOKUP(D2416,'Species Codes'!B:R,17,0)*((E2416*2.54)^VLOOKUP(D2416,'Species Codes'!B:S,18,0)))))/1000,IF(D2416="DF",EXP(VLOOKUP(D2416,'Species Codes'!B:O,14,0)+VLOOKUP(D2416,'Species Codes'!B:P,15,0)*LN((E2416*2.54))),VLOOKUP(D2416,'Species Codes'!B:O,14,0)+VLOOKUP(D2416,'Species Codes'!B:P,15,0)*(((E2416*2.54)/100)^2)*(I2416*0.3048)))))*0.0011023),0)</f>
        <v>#N/A</v>
      </c>
      <c r="AD2416" s="104" t="e">
        <f t="shared" si="1057"/>
        <v>#N/A</v>
      </c>
      <c r="AE2416" s="104" t="e">
        <f t="shared" si="1058"/>
        <v>#N/A</v>
      </c>
      <c r="AF2416" s="104" t="e">
        <f>IF(AND(VLOOKUP($D2416,Merchantability!$B:$C,2,0)="Yes",$E2416&gt;=VLOOKUP($D2416,Merchantability!$B:$D,3,0),$E2416&lt;=VLOOKUP($D2416,Merchantability!$B:$E,4,0)),AA2416,0)</f>
        <v>#N/A</v>
      </c>
      <c r="AG2416" s="104" t="e">
        <f>IF(AND(VLOOKUP($D2416,Merchantability!$B:$C,2,0)="Yes",$E2416&gt;=VLOOKUP($D2416,Merchantability!$B:$D,3,0),$E2416&lt;=VLOOKUP($D2416,Merchantability!$B:$E,4,0)),AB2416,0)</f>
        <v>#N/A</v>
      </c>
      <c r="AH2416" s="104" t="e">
        <f>IF(AND(VLOOKUP($D2416,Merchantability!$B:$C,2,0)="Yes",$E2416&gt;=VLOOKUP($D2416,Merchantability!$B:$D,3,0),$E2416&lt;=VLOOKUP($D2416,Merchantability!$B:$E,4,0)),AC2416,0)</f>
        <v>#N/A</v>
      </c>
      <c r="AI2416" s="104" t="e">
        <f t="shared" si="1059"/>
        <v>#N/A</v>
      </c>
      <c r="AJ2416" s="104" t="e">
        <f t="shared" si="1060"/>
        <v>#VALUE!</v>
      </c>
      <c r="AK2416" s="104" t="e">
        <f t="shared" si="1061"/>
        <v>#N/A</v>
      </c>
      <c r="AL2416" s="104" t="e">
        <f t="shared" si="1062"/>
        <v>#N/A</v>
      </c>
      <c r="AM2416" s="104" t="e">
        <f t="shared" si="1063"/>
        <v>#N/A</v>
      </c>
      <c r="AN2416" s="104" t="e">
        <f t="shared" si="1047"/>
        <v>#N/A</v>
      </c>
      <c r="AO2416" s="104" t="e">
        <f t="shared" si="1048"/>
        <v>#N/A</v>
      </c>
      <c r="AP2416" s="104" t="e">
        <f t="shared" si="1049"/>
        <v>#N/A</v>
      </c>
      <c r="AQ2416" s="104" t="e">
        <f t="shared" si="1050"/>
        <v>#N/A</v>
      </c>
      <c r="AR2416" s="105" t="str">
        <f t="shared" si="1042"/>
        <v/>
      </c>
      <c r="AS2416" s="105" t="str">
        <f t="shared" si="1043"/>
        <v/>
      </c>
      <c r="AT2416" s="108" t="str">
        <f t="shared" si="1044"/>
        <v/>
      </c>
      <c r="AU2416" s="108" t="str">
        <f t="shared" si="1045"/>
        <v/>
      </c>
      <c r="AV2416" s="107" t="str">
        <f>IF(ISNUMBER(O2416),IF(VLOOKUP($A2416,Stand!C:J,8,FALSE)="Short",AT2416,AU2416),"")</f>
        <v/>
      </c>
      <c r="AW2416" s="109" t="str">
        <f t="shared" si="1051"/>
        <v/>
      </c>
      <c r="AX2416" s="109" t="str">
        <f t="shared" si="1052"/>
        <v/>
      </c>
      <c r="AY2416" s="112" t="str">
        <f>IF(ISNUMBER(O2416),IF(AND(VLOOKUP($D2416,Merchantability!$B:$C,2,0)="Yes",$E2416&gt;=VLOOKUP($D2416,Merchantability!$B:$D,3,0),$E2416&lt;=VLOOKUP($D2416,Merchantability!$B:$E,4,0)),(AV2416*O2416)*(1-$H2416/100),""),"")</f>
        <v/>
      </c>
      <c r="AZ2416" s="116"/>
      <c r="BA2416" s="116"/>
      <c r="BB2416" s="116"/>
      <c r="BE2416" s="62"/>
      <c r="BF2416" s="63"/>
    </row>
    <row r="2417" spans="1:58" ht="12.75" customHeight="1" x14ac:dyDescent="0.25">
      <c r="A2417" s="334"/>
      <c r="B2417" s="334"/>
      <c r="C2417" s="332"/>
      <c r="D2417" s="334"/>
      <c r="E2417" s="335"/>
      <c r="F2417" s="334"/>
      <c r="G2417" s="332"/>
      <c r="H2417" s="332"/>
      <c r="I2417" s="334"/>
      <c r="J2417" s="336"/>
      <c r="K2417" s="332"/>
      <c r="L2417" s="332"/>
      <c r="M2417" s="76"/>
      <c r="N2417" s="103" t="str">
        <f>IF(A2417="","",VLOOKUP(A2417,Stand!C:K,9,0))</f>
        <v/>
      </c>
      <c r="O2417" s="104" t="str">
        <f t="shared" si="1037"/>
        <v/>
      </c>
      <c r="P2417" s="105" t="str">
        <f t="shared" si="1038"/>
        <v/>
      </c>
      <c r="Q2417" s="105" t="str">
        <f t="shared" si="1053"/>
        <v/>
      </c>
      <c r="R2417" s="103" t="str">
        <f t="shared" si="1039"/>
        <v/>
      </c>
      <c r="S2417" s="103" t="str">
        <f t="shared" si="1040"/>
        <v/>
      </c>
      <c r="T2417" s="106" t="str">
        <f t="shared" si="1054"/>
        <v/>
      </c>
      <c r="U2417" s="106" t="str">
        <f t="shared" si="1055"/>
        <v/>
      </c>
      <c r="V2417" s="106" t="str">
        <f t="shared" si="1056"/>
        <v/>
      </c>
      <c r="W2417" s="105" t="str">
        <f t="shared" si="1041"/>
        <v/>
      </c>
      <c r="X2417" s="104" t="str">
        <f t="shared" si="1046"/>
        <v/>
      </c>
      <c r="Y2417" s="104" t="str">
        <f t="array" ref="Y2417">IFERROR(IF(ISNUMBER(O2417),IF(COUNT(IF(A2417=$A$2:$A$2427,IF(D2417=$D$2:$D$2427,IF($X$2:$X$2427&gt;0,1))))&gt;0,SUM(IF(A2417=$A$2:$A$2427,IF(D2417=$D$2:$D$2427,$X$2:$X$2427)))/COUNT(IF(A2417=$A$2:$A$2427,IF(D2417=$D$2:$D$2427,IF(ISNUMBER($X$2:$X$2427),1)))),0),""),0)</f>
        <v/>
      </c>
      <c r="Z2417" s="104" t="str">
        <f>IF(ISNUMBER(O2417),IF(I2417&gt;0,(10^(VLOOKUP(D2417,'Species Codes'!B:C,2,0)+VLOOKUP(D2417,'Species Codes'!B:D,3,0)*LOG(E2417)+VLOOKUP(D2417,'Species Codes'!B:E,4,0)*LOG(I2417))),0),"")</f>
        <v/>
      </c>
      <c r="AA2417" s="104" t="str">
        <f>IFERROR((VLOOKUP(D2417,'Species Codes'!B:G,6,0)*Z2417)/2000,"")</f>
        <v/>
      </c>
      <c r="AB2417" s="104" t="e">
        <f>IF(Z2417&gt;0,((IF(OR(D2417="DF",D2417="RA")=TRUE,EXP(VLOOKUP(D2417,'Species Codes'!B:I,8,0)+VLOOKUP(D2417,'Species Codes'!B:J,9,0)*(LN((E2417*2.54)))),IF(OR(D2417="PY",D2417="RC",D2417="WH",D2417="NF")=TRUE,VLOOKUP(D2417,'Species Codes'!B:I,8,0)+VLOOKUP(D2417,'Species Codes'!B:J,9,0)*((E2417*2.54)^2)*(I2417*0.3048),IF(OR(D2417="MD",D2417="BM",D2417="GA")=TRUE,((VLOOKUP(D2417,'Species Codes'!B:I,8,0)*(((((E2417*2.54)+VLOOKUP(D2417,'Species Codes'!B:J,9,0))/VLOOKUP(D2417,'Species Codes'!B:K,10,0))^VLOOKUP(D2417,'Species Codes'!B:L,11,0))*((I2417*0.3048)^VLOOKUP(D2417,'Species Codes'!B:M,12,0))))-(VLOOKUP(D2417,'Species Codes'!B:I,8,0)*((((E2417*2.54)^VLOOKUP(D2417,'Species Codes'!B:L,11,0))*((I2417*0.3048)^VLOOKUP(D2417,'Species Codes'!B:M,12,0))))))*35.3*VLOOKUP(D2417,'Species Codes'!B:G,6,0)/2.2046,VLOOKUP(D2417,'Species Codes'!B:I,8,0)+VLOOKUP(D2417,'Species Codes'!B:J,9,0)*(((E2417*2.54)/100)^2)*(I2417*0.3048)))))*0.0011023),0)</f>
        <v>#N/A</v>
      </c>
      <c r="AC2417" s="104" t="e">
        <f>IF(Z2417&gt;0,((IF(OR(D2417="RA",D2417="OA",D2417="OT",D2417="UN",D2417="PC"),EXP(VLOOKUP(D2417,'Species Codes'!B:O,14,0)+VLOOKUP(D2417,'Species Codes'!B:P,15,0)*LN((E2417*2.54)))-EXP(VLOOKUP(D2417,'Species Codes'!B:O,14,0)+VLOOKUP(D2417,'Species Codes'!B:P,15,0)*LN((E2417*2.54)))*(1/(VLOOKUP(D2417,'Species Codes'!B:Q,16,0)+VLOOKUP(D2417,'Species Codes'!B:R,17,0)*((E2417*2.54)^VLOOKUP(D2417,'Species Codes'!B:S,18,0)))),IF(OR(D2417="BM",D2417="MD",D2417="OA"),EXP(VLOOKUP(D2417,'Species Codes'!B:O,14,0)+VLOOKUP(D2417,'Species Codes'!B:P,15,0)*LN((E2417*2.54)))*(1-(1/(VLOOKUP(D2417,'Species Codes'!B:Q,16,0)+VLOOKUP(D2417,'Species Codes'!B:R,17,0)*((E2417*2.54)^VLOOKUP(D2417,'Species Codes'!B:S,18,0)))))/1000,IF(D2417="DF",EXP(VLOOKUP(D2417,'Species Codes'!B:O,14,0)+VLOOKUP(D2417,'Species Codes'!B:P,15,0)*LN((E2417*2.54))),VLOOKUP(D2417,'Species Codes'!B:O,14,0)+VLOOKUP(D2417,'Species Codes'!B:P,15,0)*(((E2417*2.54)/100)^2)*(I2417*0.3048)))))*0.0011023),0)</f>
        <v>#N/A</v>
      </c>
      <c r="AD2417" s="104" t="e">
        <f t="shared" si="1057"/>
        <v>#N/A</v>
      </c>
      <c r="AE2417" s="104" t="e">
        <f t="shared" si="1058"/>
        <v>#N/A</v>
      </c>
      <c r="AF2417" s="104" t="e">
        <f>IF(AND(VLOOKUP($D2417,Merchantability!$B:$C,2,0)="Yes",$E2417&gt;=VLOOKUP($D2417,Merchantability!$B:$D,3,0),$E2417&lt;=VLOOKUP($D2417,Merchantability!$B:$E,4,0)),AA2417,0)</f>
        <v>#N/A</v>
      </c>
      <c r="AG2417" s="104" t="e">
        <f>IF(AND(VLOOKUP($D2417,Merchantability!$B:$C,2,0)="Yes",$E2417&gt;=VLOOKUP($D2417,Merchantability!$B:$D,3,0),$E2417&lt;=VLOOKUP($D2417,Merchantability!$B:$E,4,0)),AB2417,0)</f>
        <v>#N/A</v>
      </c>
      <c r="AH2417" s="104" t="e">
        <f>IF(AND(VLOOKUP($D2417,Merchantability!$B:$C,2,0)="Yes",$E2417&gt;=VLOOKUP($D2417,Merchantability!$B:$D,3,0),$E2417&lt;=VLOOKUP($D2417,Merchantability!$B:$E,4,0)),AC2417,0)</f>
        <v>#N/A</v>
      </c>
      <c r="AI2417" s="104" t="e">
        <f t="shared" si="1059"/>
        <v>#N/A</v>
      </c>
      <c r="AJ2417" s="104" t="e">
        <f t="shared" si="1060"/>
        <v>#VALUE!</v>
      </c>
      <c r="AK2417" s="104" t="e">
        <f t="shared" si="1061"/>
        <v>#N/A</v>
      </c>
      <c r="AL2417" s="104" t="e">
        <f t="shared" si="1062"/>
        <v>#N/A</v>
      </c>
      <c r="AM2417" s="104" t="e">
        <f t="shared" si="1063"/>
        <v>#N/A</v>
      </c>
      <c r="AN2417" s="104" t="e">
        <f t="shared" si="1047"/>
        <v>#N/A</v>
      </c>
      <c r="AO2417" s="104" t="e">
        <f t="shared" si="1048"/>
        <v>#N/A</v>
      </c>
      <c r="AP2417" s="104" t="e">
        <f t="shared" si="1049"/>
        <v>#N/A</v>
      </c>
      <c r="AQ2417" s="104" t="e">
        <f t="shared" si="1050"/>
        <v>#N/A</v>
      </c>
      <c r="AR2417" s="105" t="str">
        <f t="shared" si="1042"/>
        <v/>
      </c>
      <c r="AS2417" s="105" t="str">
        <f t="shared" si="1043"/>
        <v/>
      </c>
      <c r="AT2417" s="108" t="str">
        <f t="shared" si="1044"/>
        <v/>
      </c>
      <c r="AU2417" s="108" t="str">
        <f t="shared" si="1045"/>
        <v/>
      </c>
      <c r="AV2417" s="107" t="str">
        <f>IF(ISNUMBER(O2417),IF(VLOOKUP($A2417,Stand!C:J,8,FALSE)="Short",AT2417,AU2417),"")</f>
        <v/>
      </c>
      <c r="AW2417" s="109" t="str">
        <f t="shared" si="1051"/>
        <v/>
      </c>
      <c r="AX2417" s="109" t="str">
        <f t="shared" si="1052"/>
        <v/>
      </c>
      <c r="AY2417" s="112" t="str">
        <f>IF(ISNUMBER(O2417),IF(AND(VLOOKUP($D2417,Merchantability!$B:$C,2,0)="Yes",$E2417&gt;=VLOOKUP($D2417,Merchantability!$B:$D,3,0),$E2417&lt;=VLOOKUP($D2417,Merchantability!$B:$E,4,0)),(AV2417*O2417)*(1-$H2417/100),""),"")</f>
        <v/>
      </c>
      <c r="AZ2417" s="116"/>
      <c r="BA2417" s="116"/>
      <c r="BB2417" s="116"/>
      <c r="BE2417" s="62"/>
      <c r="BF2417" s="63"/>
    </row>
    <row r="2418" spans="1:58" ht="12.75" customHeight="1" x14ac:dyDescent="0.25">
      <c r="A2418" s="334"/>
      <c r="B2418" s="334"/>
      <c r="C2418" s="332"/>
      <c r="D2418" s="334"/>
      <c r="E2418" s="335"/>
      <c r="F2418" s="334"/>
      <c r="G2418" s="332"/>
      <c r="H2418" s="332"/>
      <c r="I2418" s="334"/>
      <c r="J2418" s="336"/>
      <c r="K2418" s="332"/>
      <c r="L2418" s="332"/>
      <c r="M2418" s="76"/>
      <c r="N2418" s="103" t="str">
        <f>IF(A2418="","",VLOOKUP(A2418,Stand!C:K,9,0))</f>
        <v/>
      </c>
      <c r="O2418" s="104" t="str">
        <f t="shared" si="1037"/>
        <v/>
      </c>
      <c r="P2418" s="105" t="str">
        <f t="shared" si="1038"/>
        <v/>
      </c>
      <c r="Q2418" s="105" t="str">
        <f t="shared" si="1053"/>
        <v/>
      </c>
      <c r="R2418" s="103" t="str">
        <f t="shared" si="1039"/>
        <v/>
      </c>
      <c r="S2418" s="103" t="str">
        <f t="shared" si="1040"/>
        <v/>
      </c>
      <c r="T2418" s="106" t="str">
        <f t="shared" si="1054"/>
        <v/>
      </c>
      <c r="U2418" s="106" t="str">
        <f t="shared" si="1055"/>
        <v/>
      </c>
      <c r="V2418" s="106" t="str">
        <f t="shared" si="1056"/>
        <v/>
      </c>
      <c r="W2418" s="105" t="str">
        <f t="shared" si="1041"/>
        <v/>
      </c>
      <c r="X2418" s="104" t="str">
        <f t="shared" si="1046"/>
        <v/>
      </c>
      <c r="Y2418" s="104" t="str">
        <f t="array" ref="Y2418">IFERROR(IF(ISNUMBER(O2418),IF(COUNT(IF(A2418=$A$2:$A$2427,IF(D2418=$D$2:$D$2427,IF($X$2:$X$2427&gt;0,1))))&gt;0,SUM(IF(A2418=$A$2:$A$2427,IF(D2418=$D$2:$D$2427,$X$2:$X$2427)))/COUNT(IF(A2418=$A$2:$A$2427,IF(D2418=$D$2:$D$2427,IF(ISNUMBER($X$2:$X$2427),1)))),0),""),0)</f>
        <v/>
      </c>
      <c r="Z2418" s="104" t="str">
        <f>IF(ISNUMBER(O2418),IF(I2418&gt;0,(10^(VLOOKUP(D2418,'Species Codes'!B:C,2,0)+VLOOKUP(D2418,'Species Codes'!B:D,3,0)*LOG(E2418)+VLOOKUP(D2418,'Species Codes'!B:E,4,0)*LOG(I2418))),0),"")</f>
        <v/>
      </c>
      <c r="AA2418" s="104" t="str">
        <f>IFERROR((VLOOKUP(D2418,'Species Codes'!B:G,6,0)*Z2418)/2000,"")</f>
        <v/>
      </c>
      <c r="AB2418" s="104" t="e">
        <f>IF(Z2418&gt;0,((IF(OR(D2418="DF",D2418="RA")=TRUE,EXP(VLOOKUP(D2418,'Species Codes'!B:I,8,0)+VLOOKUP(D2418,'Species Codes'!B:J,9,0)*(LN((E2418*2.54)))),IF(OR(D2418="PY",D2418="RC",D2418="WH",D2418="NF")=TRUE,VLOOKUP(D2418,'Species Codes'!B:I,8,0)+VLOOKUP(D2418,'Species Codes'!B:J,9,0)*((E2418*2.54)^2)*(I2418*0.3048),IF(OR(D2418="MD",D2418="BM",D2418="GA")=TRUE,((VLOOKUP(D2418,'Species Codes'!B:I,8,0)*(((((E2418*2.54)+VLOOKUP(D2418,'Species Codes'!B:J,9,0))/VLOOKUP(D2418,'Species Codes'!B:K,10,0))^VLOOKUP(D2418,'Species Codes'!B:L,11,0))*((I2418*0.3048)^VLOOKUP(D2418,'Species Codes'!B:M,12,0))))-(VLOOKUP(D2418,'Species Codes'!B:I,8,0)*((((E2418*2.54)^VLOOKUP(D2418,'Species Codes'!B:L,11,0))*((I2418*0.3048)^VLOOKUP(D2418,'Species Codes'!B:M,12,0))))))*35.3*VLOOKUP(D2418,'Species Codes'!B:G,6,0)/2.2046,VLOOKUP(D2418,'Species Codes'!B:I,8,0)+VLOOKUP(D2418,'Species Codes'!B:J,9,0)*(((E2418*2.54)/100)^2)*(I2418*0.3048)))))*0.0011023),0)</f>
        <v>#N/A</v>
      </c>
      <c r="AC2418" s="104" t="e">
        <f>IF(Z2418&gt;0,((IF(OR(D2418="RA",D2418="OA",D2418="OT",D2418="UN",D2418="PC"),EXP(VLOOKUP(D2418,'Species Codes'!B:O,14,0)+VLOOKUP(D2418,'Species Codes'!B:P,15,0)*LN((E2418*2.54)))-EXP(VLOOKUP(D2418,'Species Codes'!B:O,14,0)+VLOOKUP(D2418,'Species Codes'!B:P,15,0)*LN((E2418*2.54)))*(1/(VLOOKUP(D2418,'Species Codes'!B:Q,16,0)+VLOOKUP(D2418,'Species Codes'!B:R,17,0)*((E2418*2.54)^VLOOKUP(D2418,'Species Codes'!B:S,18,0)))),IF(OR(D2418="BM",D2418="MD",D2418="OA"),EXP(VLOOKUP(D2418,'Species Codes'!B:O,14,0)+VLOOKUP(D2418,'Species Codes'!B:P,15,0)*LN((E2418*2.54)))*(1-(1/(VLOOKUP(D2418,'Species Codes'!B:Q,16,0)+VLOOKUP(D2418,'Species Codes'!B:R,17,0)*((E2418*2.54)^VLOOKUP(D2418,'Species Codes'!B:S,18,0)))))/1000,IF(D2418="DF",EXP(VLOOKUP(D2418,'Species Codes'!B:O,14,0)+VLOOKUP(D2418,'Species Codes'!B:P,15,0)*LN((E2418*2.54))),VLOOKUP(D2418,'Species Codes'!B:O,14,0)+VLOOKUP(D2418,'Species Codes'!B:P,15,0)*(((E2418*2.54)/100)^2)*(I2418*0.3048)))))*0.0011023),0)</f>
        <v>#N/A</v>
      </c>
      <c r="AD2418" s="104" t="e">
        <f t="shared" si="1057"/>
        <v>#N/A</v>
      </c>
      <c r="AE2418" s="104" t="e">
        <f t="shared" si="1058"/>
        <v>#N/A</v>
      </c>
      <c r="AF2418" s="104" t="e">
        <f>IF(AND(VLOOKUP($D2418,Merchantability!$B:$C,2,0)="Yes",$E2418&gt;=VLOOKUP($D2418,Merchantability!$B:$D,3,0),$E2418&lt;=VLOOKUP($D2418,Merchantability!$B:$E,4,0)),AA2418,0)</f>
        <v>#N/A</v>
      </c>
      <c r="AG2418" s="104" t="e">
        <f>IF(AND(VLOOKUP($D2418,Merchantability!$B:$C,2,0)="Yes",$E2418&gt;=VLOOKUP($D2418,Merchantability!$B:$D,3,0),$E2418&lt;=VLOOKUP($D2418,Merchantability!$B:$E,4,0)),AB2418,0)</f>
        <v>#N/A</v>
      </c>
      <c r="AH2418" s="104" t="e">
        <f>IF(AND(VLOOKUP($D2418,Merchantability!$B:$C,2,0)="Yes",$E2418&gt;=VLOOKUP($D2418,Merchantability!$B:$D,3,0),$E2418&lt;=VLOOKUP($D2418,Merchantability!$B:$E,4,0)),AC2418,0)</f>
        <v>#N/A</v>
      </c>
      <c r="AI2418" s="104" t="e">
        <f t="shared" si="1059"/>
        <v>#N/A</v>
      </c>
      <c r="AJ2418" s="104" t="e">
        <f t="shared" si="1060"/>
        <v>#VALUE!</v>
      </c>
      <c r="AK2418" s="104" t="e">
        <f t="shared" si="1061"/>
        <v>#N/A</v>
      </c>
      <c r="AL2418" s="104" t="e">
        <f t="shared" si="1062"/>
        <v>#N/A</v>
      </c>
      <c r="AM2418" s="104" t="e">
        <f t="shared" si="1063"/>
        <v>#N/A</v>
      </c>
      <c r="AN2418" s="104" t="e">
        <f t="shared" si="1047"/>
        <v>#N/A</v>
      </c>
      <c r="AO2418" s="104" t="e">
        <f t="shared" si="1048"/>
        <v>#N/A</v>
      </c>
      <c r="AP2418" s="104" t="e">
        <f t="shared" si="1049"/>
        <v>#N/A</v>
      </c>
      <c r="AQ2418" s="104" t="e">
        <f t="shared" si="1050"/>
        <v>#N/A</v>
      </c>
      <c r="AR2418" s="105" t="str">
        <f t="shared" si="1042"/>
        <v/>
      </c>
      <c r="AS2418" s="105" t="str">
        <f t="shared" si="1043"/>
        <v/>
      </c>
      <c r="AT2418" s="108" t="str">
        <f t="shared" si="1044"/>
        <v/>
      </c>
      <c r="AU2418" s="108" t="str">
        <f t="shared" si="1045"/>
        <v/>
      </c>
      <c r="AV2418" s="107" t="str">
        <f>IF(ISNUMBER(O2418),IF(VLOOKUP($A2418,Stand!C:J,8,FALSE)="Short",AT2418,AU2418),"")</f>
        <v/>
      </c>
      <c r="AW2418" s="109" t="str">
        <f t="shared" si="1051"/>
        <v/>
      </c>
      <c r="AX2418" s="109" t="str">
        <f t="shared" si="1052"/>
        <v/>
      </c>
      <c r="AY2418" s="112" t="str">
        <f>IF(ISNUMBER(O2418),IF(AND(VLOOKUP($D2418,Merchantability!$B:$C,2,0)="Yes",$E2418&gt;=VLOOKUP($D2418,Merchantability!$B:$D,3,0),$E2418&lt;=VLOOKUP($D2418,Merchantability!$B:$E,4,0)),(AV2418*O2418)*(1-$H2418/100),""),"")</f>
        <v/>
      </c>
      <c r="AZ2418" s="116"/>
      <c r="BA2418" s="116"/>
      <c r="BB2418" s="116"/>
      <c r="BE2418" s="62"/>
      <c r="BF2418" s="63"/>
    </row>
    <row r="2419" spans="1:58" ht="12.75" customHeight="1" x14ac:dyDescent="0.25">
      <c r="A2419" s="334"/>
      <c r="B2419" s="334"/>
      <c r="C2419" s="332"/>
      <c r="D2419" s="334"/>
      <c r="E2419" s="335"/>
      <c r="F2419" s="334"/>
      <c r="G2419" s="332"/>
      <c r="H2419" s="332"/>
      <c r="I2419" s="334"/>
      <c r="J2419" s="336"/>
      <c r="K2419" s="332"/>
      <c r="L2419" s="332"/>
      <c r="M2419" s="76"/>
      <c r="N2419" s="103" t="str">
        <f>IF(A2419="","",VLOOKUP(A2419,Stand!C:K,9,0))</f>
        <v/>
      </c>
      <c r="O2419" s="104" t="str">
        <f t="shared" si="1037"/>
        <v/>
      </c>
      <c r="P2419" s="105" t="str">
        <f t="shared" si="1038"/>
        <v/>
      </c>
      <c r="Q2419" s="105" t="str">
        <f t="shared" si="1053"/>
        <v/>
      </c>
      <c r="R2419" s="103" t="str">
        <f t="shared" si="1039"/>
        <v/>
      </c>
      <c r="S2419" s="103" t="str">
        <f t="shared" si="1040"/>
        <v/>
      </c>
      <c r="T2419" s="106" t="str">
        <f t="shared" si="1054"/>
        <v/>
      </c>
      <c r="U2419" s="106" t="str">
        <f t="shared" si="1055"/>
        <v/>
      </c>
      <c r="V2419" s="106" t="str">
        <f t="shared" si="1056"/>
        <v/>
      </c>
      <c r="W2419" s="105" t="str">
        <f t="shared" si="1041"/>
        <v/>
      </c>
      <c r="X2419" s="104" t="str">
        <f t="shared" si="1046"/>
        <v/>
      </c>
      <c r="Y2419" s="104" t="str">
        <f t="array" ref="Y2419">IFERROR(IF(ISNUMBER(O2419),IF(COUNT(IF(A2419=$A$2:$A$2427,IF(D2419=$D$2:$D$2427,IF($X$2:$X$2427&gt;0,1))))&gt;0,SUM(IF(A2419=$A$2:$A$2427,IF(D2419=$D$2:$D$2427,$X$2:$X$2427)))/COUNT(IF(A2419=$A$2:$A$2427,IF(D2419=$D$2:$D$2427,IF(ISNUMBER($X$2:$X$2427),1)))),0),""),0)</f>
        <v/>
      </c>
      <c r="Z2419" s="104" t="str">
        <f>IF(ISNUMBER(O2419),IF(I2419&gt;0,(10^(VLOOKUP(D2419,'Species Codes'!B:C,2,0)+VLOOKUP(D2419,'Species Codes'!B:D,3,0)*LOG(E2419)+VLOOKUP(D2419,'Species Codes'!B:E,4,0)*LOG(I2419))),0),"")</f>
        <v/>
      </c>
      <c r="AA2419" s="104" t="str">
        <f>IFERROR((VLOOKUP(D2419,'Species Codes'!B:G,6,0)*Z2419)/2000,"")</f>
        <v/>
      </c>
      <c r="AB2419" s="104" t="e">
        <f>IF(Z2419&gt;0,((IF(OR(D2419="DF",D2419="RA")=TRUE,EXP(VLOOKUP(D2419,'Species Codes'!B:I,8,0)+VLOOKUP(D2419,'Species Codes'!B:J,9,0)*(LN((E2419*2.54)))),IF(OR(D2419="PY",D2419="RC",D2419="WH",D2419="NF")=TRUE,VLOOKUP(D2419,'Species Codes'!B:I,8,0)+VLOOKUP(D2419,'Species Codes'!B:J,9,0)*((E2419*2.54)^2)*(I2419*0.3048),IF(OR(D2419="MD",D2419="BM",D2419="GA")=TRUE,((VLOOKUP(D2419,'Species Codes'!B:I,8,0)*(((((E2419*2.54)+VLOOKUP(D2419,'Species Codes'!B:J,9,0))/VLOOKUP(D2419,'Species Codes'!B:K,10,0))^VLOOKUP(D2419,'Species Codes'!B:L,11,0))*((I2419*0.3048)^VLOOKUP(D2419,'Species Codes'!B:M,12,0))))-(VLOOKUP(D2419,'Species Codes'!B:I,8,0)*((((E2419*2.54)^VLOOKUP(D2419,'Species Codes'!B:L,11,0))*((I2419*0.3048)^VLOOKUP(D2419,'Species Codes'!B:M,12,0))))))*35.3*VLOOKUP(D2419,'Species Codes'!B:G,6,0)/2.2046,VLOOKUP(D2419,'Species Codes'!B:I,8,0)+VLOOKUP(D2419,'Species Codes'!B:J,9,0)*(((E2419*2.54)/100)^2)*(I2419*0.3048)))))*0.0011023),0)</f>
        <v>#N/A</v>
      </c>
      <c r="AC2419" s="104" t="e">
        <f>IF(Z2419&gt;0,((IF(OR(D2419="RA",D2419="OA",D2419="OT",D2419="UN",D2419="PC"),EXP(VLOOKUP(D2419,'Species Codes'!B:O,14,0)+VLOOKUP(D2419,'Species Codes'!B:P,15,0)*LN((E2419*2.54)))-EXP(VLOOKUP(D2419,'Species Codes'!B:O,14,0)+VLOOKUP(D2419,'Species Codes'!B:P,15,0)*LN((E2419*2.54)))*(1/(VLOOKUP(D2419,'Species Codes'!B:Q,16,0)+VLOOKUP(D2419,'Species Codes'!B:R,17,0)*((E2419*2.54)^VLOOKUP(D2419,'Species Codes'!B:S,18,0)))),IF(OR(D2419="BM",D2419="MD",D2419="OA"),EXP(VLOOKUP(D2419,'Species Codes'!B:O,14,0)+VLOOKUP(D2419,'Species Codes'!B:P,15,0)*LN((E2419*2.54)))*(1-(1/(VLOOKUP(D2419,'Species Codes'!B:Q,16,0)+VLOOKUP(D2419,'Species Codes'!B:R,17,0)*((E2419*2.54)^VLOOKUP(D2419,'Species Codes'!B:S,18,0)))))/1000,IF(D2419="DF",EXP(VLOOKUP(D2419,'Species Codes'!B:O,14,0)+VLOOKUP(D2419,'Species Codes'!B:P,15,0)*LN((E2419*2.54))),VLOOKUP(D2419,'Species Codes'!B:O,14,0)+VLOOKUP(D2419,'Species Codes'!B:P,15,0)*(((E2419*2.54)/100)^2)*(I2419*0.3048)))))*0.0011023),0)</f>
        <v>#N/A</v>
      </c>
      <c r="AD2419" s="104" t="e">
        <f t="shared" si="1057"/>
        <v>#N/A</v>
      </c>
      <c r="AE2419" s="104" t="e">
        <f t="shared" si="1058"/>
        <v>#N/A</v>
      </c>
      <c r="AF2419" s="104" t="e">
        <f>IF(AND(VLOOKUP($D2419,Merchantability!$B:$C,2,0)="Yes",$E2419&gt;=VLOOKUP($D2419,Merchantability!$B:$D,3,0),$E2419&lt;=VLOOKUP($D2419,Merchantability!$B:$E,4,0)),AA2419,0)</f>
        <v>#N/A</v>
      </c>
      <c r="AG2419" s="104" t="e">
        <f>IF(AND(VLOOKUP($D2419,Merchantability!$B:$C,2,0)="Yes",$E2419&gt;=VLOOKUP($D2419,Merchantability!$B:$D,3,0),$E2419&lt;=VLOOKUP($D2419,Merchantability!$B:$E,4,0)),AB2419,0)</f>
        <v>#N/A</v>
      </c>
      <c r="AH2419" s="104" t="e">
        <f>IF(AND(VLOOKUP($D2419,Merchantability!$B:$C,2,0)="Yes",$E2419&gt;=VLOOKUP($D2419,Merchantability!$B:$D,3,0),$E2419&lt;=VLOOKUP($D2419,Merchantability!$B:$E,4,0)),AC2419,0)</f>
        <v>#N/A</v>
      </c>
      <c r="AI2419" s="104" t="e">
        <f t="shared" si="1059"/>
        <v>#N/A</v>
      </c>
      <c r="AJ2419" s="104" t="e">
        <f t="shared" si="1060"/>
        <v>#VALUE!</v>
      </c>
      <c r="AK2419" s="104" t="e">
        <f t="shared" si="1061"/>
        <v>#N/A</v>
      </c>
      <c r="AL2419" s="104" t="e">
        <f t="shared" si="1062"/>
        <v>#N/A</v>
      </c>
      <c r="AM2419" s="104" t="e">
        <f t="shared" si="1063"/>
        <v>#N/A</v>
      </c>
      <c r="AN2419" s="104" t="e">
        <f t="shared" si="1047"/>
        <v>#N/A</v>
      </c>
      <c r="AO2419" s="104" t="e">
        <f t="shared" si="1048"/>
        <v>#N/A</v>
      </c>
      <c r="AP2419" s="104" t="e">
        <f t="shared" si="1049"/>
        <v>#N/A</v>
      </c>
      <c r="AQ2419" s="104" t="e">
        <f t="shared" si="1050"/>
        <v>#N/A</v>
      </c>
      <c r="AR2419" s="105" t="str">
        <f t="shared" si="1042"/>
        <v/>
      </c>
      <c r="AS2419" s="105" t="str">
        <f t="shared" si="1043"/>
        <v/>
      </c>
      <c r="AT2419" s="108" t="str">
        <f t="shared" si="1044"/>
        <v/>
      </c>
      <c r="AU2419" s="108" t="str">
        <f t="shared" si="1045"/>
        <v/>
      </c>
      <c r="AV2419" s="107" t="str">
        <f>IF(ISNUMBER(O2419),IF(VLOOKUP($A2419,Stand!C:J,8,FALSE)="Short",AT2419,AU2419),"")</f>
        <v/>
      </c>
      <c r="AW2419" s="109" t="str">
        <f t="shared" si="1051"/>
        <v/>
      </c>
      <c r="AX2419" s="109" t="str">
        <f t="shared" si="1052"/>
        <v/>
      </c>
      <c r="AY2419" s="112" t="str">
        <f>IF(ISNUMBER(O2419),IF(AND(VLOOKUP($D2419,Merchantability!$B:$C,2,0)="Yes",$E2419&gt;=VLOOKUP($D2419,Merchantability!$B:$D,3,0),$E2419&lt;=VLOOKUP($D2419,Merchantability!$B:$E,4,0)),(AV2419*O2419)*(1-$H2419/100),""),"")</f>
        <v/>
      </c>
      <c r="AZ2419" s="116"/>
      <c r="BA2419" s="116"/>
      <c r="BB2419" s="116"/>
      <c r="BE2419" s="62"/>
      <c r="BF2419" s="63"/>
    </row>
    <row r="2420" spans="1:58" ht="12.75" customHeight="1" x14ac:dyDescent="0.25">
      <c r="A2420" s="334"/>
      <c r="B2420" s="334"/>
      <c r="C2420" s="332"/>
      <c r="D2420" s="334"/>
      <c r="E2420" s="335"/>
      <c r="F2420" s="334"/>
      <c r="G2420" s="332"/>
      <c r="H2420" s="332"/>
      <c r="I2420" s="334"/>
      <c r="J2420" s="336"/>
      <c r="K2420" s="332"/>
      <c r="L2420" s="332"/>
      <c r="M2420" s="76"/>
      <c r="N2420" s="103" t="str">
        <f>IF(A2420="","",VLOOKUP(A2420,Stand!C:K,9,0))</f>
        <v/>
      </c>
      <c r="O2420" s="104" t="str">
        <f t="shared" si="1037"/>
        <v/>
      </c>
      <c r="P2420" s="105" t="str">
        <f t="shared" si="1038"/>
        <v/>
      </c>
      <c r="Q2420" s="105" t="str">
        <f t="shared" si="1053"/>
        <v/>
      </c>
      <c r="R2420" s="103" t="str">
        <f t="shared" si="1039"/>
        <v/>
      </c>
      <c r="S2420" s="103" t="str">
        <f t="shared" si="1040"/>
        <v/>
      </c>
      <c r="T2420" s="106" t="str">
        <f t="shared" si="1054"/>
        <v/>
      </c>
      <c r="U2420" s="106" t="str">
        <f t="shared" si="1055"/>
        <v/>
      </c>
      <c r="V2420" s="106" t="str">
        <f t="shared" si="1056"/>
        <v/>
      </c>
      <c r="W2420" s="105" t="str">
        <f t="shared" si="1041"/>
        <v/>
      </c>
      <c r="X2420" s="104" t="str">
        <f t="shared" si="1046"/>
        <v/>
      </c>
      <c r="Y2420" s="104" t="str">
        <f t="array" ref="Y2420">IFERROR(IF(ISNUMBER(O2420),IF(COUNT(IF(A2420=$A$2:$A$2427,IF(D2420=$D$2:$D$2427,IF($X$2:$X$2427&gt;0,1))))&gt;0,SUM(IF(A2420=$A$2:$A$2427,IF(D2420=$D$2:$D$2427,$X$2:$X$2427)))/COUNT(IF(A2420=$A$2:$A$2427,IF(D2420=$D$2:$D$2427,IF(ISNUMBER($X$2:$X$2427),1)))),0),""),0)</f>
        <v/>
      </c>
      <c r="Z2420" s="104" t="str">
        <f>IF(ISNUMBER(O2420),IF(I2420&gt;0,(10^(VLOOKUP(D2420,'Species Codes'!B:C,2,0)+VLOOKUP(D2420,'Species Codes'!B:D,3,0)*LOG(E2420)+VLOOKUP(D2420,'Species Codes'!B:E,4,0)*LOG(I2420))),0),"")</f>
        <v/>
      </c>
      <c r="AA2420" s="104" t="str">
        <f>IFERROR((VLOOKUP(D2420,'Species Codes'!B:G,6,0)*Z2420)/2000,"")</f>
        <v/>
      </c>
      <c r="AB2420" s="104" t="e">
        <f>IF(Z2420&gt;0,((IF(OR(D2420="DF",D2420="RA")=TRUE,EXP(VLOOKUP(D2420,'Species Codes'!B:I,8,0)+VLOOKUP(D2420,'Species Codes'!B:J,9,0)*(LN((E2420*2.54)))),IF(OR(D2420="PY",D2420="RC",D2420="WH",D2420="NF")=TRUE,VLOOKUP(D2420,'Species Codes'!B:I,8,0)+VLOOKUP(D2420,'Species Codes'!B:J,9,0)*((E2420*2.54)^2)*(I2420*0.3048),IF(OR(D2420="MD",D2420="BM",D2420="GA")=TRUE,((VLOOKUP(D2420,'Species Codes'!B:I,8,0)*(((((E2420*2.54)+VLOOKUP(D2420,'Species Codes'!B:J,9,0))/VLOOKUP(D2420,'Species Codes'!B:K,10,0))^VLOOKUP(D2420,'Species Codes'!B:L,11,0))*((I2420*0.3048)^VLOOKUP(D2420,'Species Codes'!B:M,12,0))))-(VLOOKUP(D2420,'Species Codes'!B:I,8,0)*((((E2420*2.54)^VLOOKUP(D2420,'Species Codes'!B:L,11,0))*((I2420*0.3048)^VLOOKUP(D2420,'Species Codes'!B:M,12,0))))))*35.3*VLOOKUP(D2420,'Species Codes'!B:G,6,0)/2.2046,VLOOKUP(D2420,'Species Codes'!B:I,8,0)+VLOOKUP(D2420,'Species Codes'!B:J,9,0)*(((E2420*2.54)/100)^2)*(I2420*0.3048)))))*0.0011023),0)</f>
        <v>#N/A</v>
      </c>
      <c r="AC2420" s="104" t="e">
        <f>IF(Z2420&gt;0,((IF(OR(D2420="RA",D2420="OA",D2420="OT",D2420="UN",D2420="PC"),EXP(VLOOKUP(D2420,'Species Codes'!B:O,14,0)+VLOOKUP(D2420,'Species Codes'!B:P,15,0)*LN((E2420*2.54)))-EXP(VLOOKUP(D2420,'Species Codes'!B:O,14,0)+VLOOKUP(D2420,'Species Codes'!B:P,15,0)*LN((E2420*2.54)))*(1/(VLOOKUP(D2420,'Species Codes'!B:Q,16,0)+VLOOKUP(D2420,'Species Codes'!B:R,17,0)*((E2420*2.54)^VLOOKUP(D2420,'Species Codes'!B:S,18,0)))),IF(OR(D2420="BM",D2420="MD",D2420="OA"),EXP(VLOOKUP(D2420,'Species Codes'!B:O,14,0)+VLOOKUP(D2420,'Species Codes'!B:P,15,0)*LN((E2420*2.54)))*(1-(1/(VLOOKUP(D2420,'Species Codes'!B:Q,16,0)+VLOOKUP(D2420,'Species Codes'!B:R,17,0)*((E2420*2.54)^VLOOKUP(D2420,'Species Codes'!B:S,18,0)))))/1000,IF(D2420="DF",EXP(VLOOKUP(D2420,'Species Codes'!B:O,14,0)+VLOOKUP(D2420,'Species Codes'!B:P,15,0)*LN((E2420*2.54))),VLOOKUP(D2420,'Species Codes'!B:O,14,0)+VLOOKUP(D2420,'Species Codes'!B:P,15,0)*(((E2420*2.54)/100)^2)*(I2420*0.3048)))))*0.0011023),0)</f>
        <v>#N/A</v>
      </c>
      <c r="AD2420" s="104" t="e">
        <f t="shared" si="1057"/>
        <v>#N/A</v>
      </c>
      <c r="AE2420" s="104" t="e">
        <f t="shared" si="1058"/>
        <v>#N/A</v>
      </c>
      <c r="AF2420" s="104" t="e">
        <f>IF(AND(VLOOKUP($D2420,Merchantability!$B:$C,2,0)="Yes",$E2420&gt;=VLOOKUP($D2420,Merchantability!$B:$D,3,0),$E2420&lt;=VLOOKUP($D2420,Merchantability!$B:$E,4,0)),AA2420,0)</f>
        <v>#N/A</v>
      </c>
      <c r="AG2420" s="104" t="e">
        <f>IF(AND(VLOOKUP($D2420,Merchantability!$B:$C,2,0)="Yes",$E2420&gt;=VLOOKUP($D2420,Merchantability!$B:$D,3,0),$E2420&lt;=VLOOKUP($D2420,Merchantability!$B:$E,4,0)),AB2420,0)</f>
        <v>#N/A</v>
      </c>
      <c r="AH2420" s="104" t="e">
        <f>IF(AND(VLOOKUP($D2420,Merchantability!$B:$C,2,0)="Yes",$E2420&gt;=VLOOKUP($D2420,Merchantability!$B:$D,3,0),$E2420&lt;=VLOOKUP($D2420,Merchantability!$B:$E,4,0)),AC2420,0)</f>
        <v>#N/A</v>
      </c>
      <c r="AI2420" s="104" t="e">
        <f t="shared" si="1059"/>
        <v>#N/A</v>
      </c>
      <c r="AJ2420" s="104" t="e">
        <f t="shared" si="1060"/>
        <v>#VALUE!</v>
      </c>
      <c r="AK2420" s="104" t="e">
        <f t="shared" si="1061"/>
        <v>#N/A</v>
      </c>
      <c r="AL2420" s="104" t="e">
        <f t="shared" si="1062"/>
        <v>#N/A</v>
      </c>
      <c r="AM2420" s="104" t="e">
        <f t="shared" si="1063"/>
        <v>#N/A</v>
      </c>
      <c r="AN2420" s="104" t="e">
        <f t="shared" si="1047"/>
        <v>#N/A</v>
      </c>
      <c r="AO2420" s="104" t="e">
        <f t="shared" si="1048"/>
        <v>#N/A</v>
      </c>
      <c r="AP2420" s="104" t="e">
        <f t="shared" si="1049"/>
        <v>#N/A</v>
      </c>
      <c r="AQ2420" s="104" t="e">
        <f t="shared" si="1050"/>
        <v>#N/A</v>
      </c>
      <c r="AR2420" s="105" t="str">
        <f t="shared" si="1042"/>
        <v/>
      </c>
      <c r="AS2420" s="105" t="str">
        <f t="shared" si="1043"/>
        <v/>
      </c>
      <c r="AT2420" s="108" t="str">
        <f t="shared" si="1044"/>
        <v/>
      </c>
      <c r="AU2420" s="108" t="str">
        <f t="shared" si="1045"/>
        <v/>
      </c>
      <c r="AV2420" s="107" t="str">
        <f>IF(ISNUMBER(O2420),IF(VLOOKUP($A2420,Stand!C:J,8,FALSE)="Short",AT2420,AU2420),"")</f>
        <v/>
      </c>
      <c r="AW2420" s="109" t="str">
        <f t="shared" si="1051"/>
        <v/>
      </c>
      <c r="AX2420" s="109" t="str">
        <f t="shared" si="1052"/>
        <v/>
      </c>
      <c r="AY2420" s="112" t="str">
        <f>IF(ISNUMBER(O2420),IF(AND(VLOOKUP($D2420,Merchantability!$B:$C,2,0)="Yes",$E2420&gt;=VLOOKUP($D2420,Merchantability!$B:$D,3,0),$E2420&lt;=VLOOKUP($D2420,Merchantability!$B:$E,4,0)),(AV2420*O2420)*(1-$H2420/100),""),"")</f>
        <v/>
      </c>
      <c r="AZ2420" s="116"/>
      <c r="BA2420" s="116"/>
      <c r="BB2420" s="116"/>
      <c r="BE2420" s="62"/>
      <c r="BF2420" s="63"/>
    </row>
    <row r="2421" spans="1:58" ht="12.75" customHeight="1" x14ac:dyDescent="0.25">
      <c r="A2421" s="334"/>
      <c r="B2421" s="334"/>
      <c r="C2421" s="332"/>
      <c r="D2421" s="334"/>
      <c r="E2421" s="335"/>
      <c r="F2421" s="334"/>
      <c r="G2421" s="332"/>
      <c r="H2421" s="332"/>
      <c r="I2421" s="334"/>
      <c r="J2421" s="336"/>
      <c r="K2421" s="332"/>
      <c r="L2421" s="332"/>
      <c r="M2421" s="76"/>
      <c r="N2421" s="103" t="str">
        <f>IF(A2421="","",VLOOKUP(A2421,Stand!C:K,9,0))</f>
        <v/>
      </c>
      <c r="O2421" s="104" t="str">
        <f t="shared" si="1037"/>
        <v/>
      </c>
      <c r="P2421" s="105" t="str">
        <f t="shared" si="1038"/>
        <v/>
      </c>
      <c r="Q2421" s="105" t="str">
        <f t="shared" si="1053"/>
        <v/>
      </c>
      <c r="R2421" s="103" t="str">
        <f t="shared" si="1039"/>
        <v/>
      </c>
      <c r="S2421" s="103" t="str">
        <f t="shared" si="1040"/>
        <v/>
      </c>
      <c r="T2421" s="106" t="str">
        <f t="shared" si="1054"/>
        <v/>
      </c>
      <c r="U2421" s="106" t="str">
        <f t="shared" si="1055"/>
        <v/>
      </c>
      <c r="V2421" s="106" t="str">
        <f t="shared" si="1056"/>
        <v/>
      </c>
      <c r="W2421" s="105" t="str">
        <f t="shared" si="1041"/>
        <v/>
      </c>
      <c r="X2421" s="104" t="str">
        <f t="shared" si="1046"/>
        <v/>
      </c>
      <c r="Y2421" s="104" t="str">
        <f t="array" ref="Y2421">IFERROR(IF(ISNUMBER(O2421),IF(COUNT(IF(A2421=$A$2:$A$2427,IF(D2421=$D$2:$D$2427,IF($X$2:$X$2427&gt;0,1))))&gt;0,SUM(IF(A2421=$A$2:$A$2427,IF(D2421=$D$2:$D$2427,$X$2:$X$2427)))/COUNT(IF(A2421=$A$2:$A$2427,IF(D2421=$D$2:$D$2427,IF(ISNUMBER($X$2:$X$2427),1)))),0),""),0)</f>
        <v/>
      </c>
      <c r="Z2421" s="104" t="str">
        <f>IF(ISNUMBER(O2421),IF(I2421&gt;0,(10^(VLOOKUP(D2421,'Species Codes'!B:C,2,0)+VLOOKUP(D2421,'Species Codes'!B:D,3,0)*LOG(E2421)+VLOOKUP(D2421,'Species Codes'!B:E,4,0)*LOG(I2421))),0),"")</f>
        <v/>
      </c>
      <c r="AA2421" s="104" t="str">
        <f>IFERROR((VLOOKUP(D2421,'Species Codes'!B:G,6,0)*Z2421)/2000,"")</f>
        <v/>
      </c>
      <c r="AB2421" s="104" t="e">
        <f>IF(Z2421&gt;0,((IF(OR(D2421="DF",D2421="RA")=TRUE,EXP(VLOOKUP(D2421,'Species Codes'!B:I,8,0)+VLOOKUP(D2421,'Species Codes'!B:J,9,0)*(LN((E2421*2.54)))),IF(OR(D2421="PY",D2421="RC",D2421="WH",D2421="NF")=TRUE,VLOOKUP(D2421,'Species Codes'!B:I,8,0)+VLOOKUP(D2421,'Species Codes'!B:J,9,0)*((E2421*2.54)^2)*(I2421*0.3048),IF(OR(D2421="MD",D2421="BM",D2421="GA")=TRUE,((VLOOKUP(D2421,'Species Codes'!B:I,8,0)*(((((E2421*2.54)+VLOOKUP(D2421,'Species Codes'!B:J,9,0))/VLOOKUP(D2421,'Species Codes'!B:K,10,0))^VLOOKUP(D2421,'Species Codes'!B:L,11,0))*((I2421*0.3048)^VLOOKUP(D2421,'Species Codes'!B:M,12,0))))-(VLOOKUP(D2421,'Species Codes'!B:I,8,0)*((((E2421*2.54)^VLOOKUP(D2421,'Species Codes'!B:L,11,0))*((I2421*0.3048)^VLOOKUP(D2421,'Species Codes'!B:M,12,0))))))*35.3*VLOOKUP(D2421,'Species Codes'!B:G,6,0)/2.2046,VLOOKUP(D2421,'Species Codes'!B:I,8,0)+VLOOKUP(D2421,'Species Codes'!B:J,9,0)*(((E2421*2.54)/100)^2)*(I2421*0.3048)))))*0.0011023),0)</f>
        <v>#N/A</v>
      </c>
      <c r="AC2421" s="104" t="e">
        <f>IF(Z2421&gt;0,((IF(OR(D2421="RA",D2421="OA",D2421="OT",D2421="UN",D2421="PC"),EXP(VLOOKUP(D2421,'Species Codes'!B:O,14,0)+VLOOKUP(D2421,'Species Codes'!B:P,15,0)*LN((E2421*2.54)))-EXP(VLOOKUP(D2421,'Species Codes'!B:O,14,0)+VLOOKUP(D2421,'Species Codes'!B:P,15,0)*LN((E2421*2.54)))*(1/(VLOOKUP(D2421,'Species Codes'!B:Q,16,0)+VLOOKUP(D2421,'Species Codes'!B:R,17,0)*((E2421*2.54)^VLOOKUP(D2421,'Species Codes'!B:S,18,0)))),IF(OR(D2421="BM",D2421="MD",D2421="OA"),EXP(VLOOKUP(D2421,'Species Codes'!B:O,14,0)+VLOOKUP(D2421,'Species Codes'!B:P,15,0)*LN((E2421*2.54)))*(1-(1/(VLOOKUP(D2421,'Species Codes'!B:Q,16,0)+VLOOKUP(D2421,'Species Codes'!B:R,17,0)*((E2421*2.54)^VLOOKUP(D2421,'Species Codes'!B:S,18,0)))))/1000,IF(D2421="DF",EXP(VLOOKUP(D2421,'Species Codes'!B:O,14,0)+VLOOKUP(D2421,'Species Codes'!B:P,15,0)*LN((E2421*2.54))),VLOOKUP(D2421,'Species Codes'!B:O,14,0)+VLOOKUP(D2421,'Species Codes'!B:P,15,0)*(((E2421*2.54)/100)^2)*(I2421*0.3048)))))*0.0011023),0)</f>
        <v>#N/A</v>
      </c>
      <c r="AD2421" s="104" t="e">
        <f t="shared" si="1057"/>
        <v>#N/A</v>
      </c>
      <c r="AE2421" s="104" t="e">
        <f t="shared" si="1058"/>
        <v>#N/A</v>
      </c>
      <c r="AF2421" s="104" t="e">
        <f>IF(AND(VLOOKUP($D2421,Merchantability!$B:$C,2,0)="Yes",$E2421&gt;=VLOOKUP($D2421,Merchantability!$B:$D,3,0),$E2421&lt;=VLOOKUP($D2421,Merchantability!$B:$E,4,0)),AA2421,0)</f>
        <v>#N/A</v>
      </c>
      <c r="AG2421" s="104" t="e">
        <f>IF(AND(VLOOKUP($D2421,Merchantability!$B:$C,2,0)="Yes",$E2421&gt;=VLOOKUP($D2421,Merchantability!$B:$D,3,0),$E2421&lt;=VLOOKUP($D2421,Merchantability!$B:$E,4,0)),AB2421,0)</f>
        <v>#N/A</v>
      </c>
      <c r="AH2421" s="104" t="e">
        <f>IF(AND(VLOOKUP($D2421,Merchantability!$B:$C,2,0)="Yes",$E2421&gt;=VLOOKUP($D2421,Merchantability!$B:$D,3,0),$E2421&lt;=VLOOKUP($D2421,Merchantability!$B:$E,4,0)),AC2421,0)</f>
        <v>#N/A</v>
      </c>
      <c r="AI2421" s="104" t="e">
        <f t="shared" si="1059"/>
        <v>#N/A</v>
      </c>
      <c r="AJ2421" s="104" t="e">
        <f t="shared" si="1060"/>
        <v>#VALUE!</v>
      </c>
      <c r="AK2421" s="104" t="e">
        <f t="shared" si="1061"/>
        <v>#N/A</v>
      </c>
      <c r="AL2421" s="104" t="e">
        <f t="shared" si="1062"/>
        <v>#N/A</v>
      </c>
      <c r="AM2421" s="104" t="e">
        <f t="shared" si="1063"/>
        <v>#N/A</v>
      </c>
      <c r="AN2421" s="104" t="e">
        <f t="shared" si="1047"/>
        <v>#N/A</v>
      </c>
      <c r="AO2421" s="104" t="e">
        <f t="shared" si="1048"/>
        <v>#N/A</v>
      </c>
      <c r="AP2421" s="104" t="e">
        <f t="shared" si="1049"/>
        <v>#N/A</v>
      </c>
      <c r="AQ2421" s="104" t="e">
        <f t="shared" si="1050"/>
        <v>#N/A</v>
      </c>
      <c r="AR2421" s="105" t="str">
        <f t="shared" si="1042"/>
        <v/>
      </c>
      <c r="AS2421" s="105" t="str">
        <f t="shared" si="1043"/>
        <v/>
      </c>
      <c r="AT2421" s="108" t="str">
        <f t="shared" si="1044"/>
        <v/>
      </c>
      <c r="AU2421" s="108" t="str">
        <f t="shared" si="1045"/>
        <v/>
      </c>
      <c r="AV2421" s="107" t="str">
        <f>IF(ISNUMBER(O2421),IF(VLOOKUP($A2421,Stand!C:J,8,FALSE)="Short",AT2421,AU2421),"")</f>
        <v/>
      </c>
      <c r="AW2421" s="109" t="str">
        <f t="shared" si="1051"/>
        <v/>
      </c>
      <c r="AX2421" s="109" t="str">
        <f t="shared" si="1052"/>
        <v/>
      </c>
      <c r="AY2421" s="112" t="str">
        <f>IF(ISNUMBER(O2421),IF(AND(VLOOKUP($D2421,Merchantability!$B:$C,2,0)="Yes",$E2421&gt;=VLOOKUP($D2421,Merchantability!$B:$D,3,0),$E2421&lt;=VLOOKUP($D2421,Merchantability!$B:$E,4,0)),(AV2421*O2421)*(1-$H2421/100),""),"")</f>
        <v/>
      </c>
      <c r="AZ2421" s="116"/>
      <c r="BA2421" s="116"/>
      <c r="BB2421" s="116"/>
      <c r="BE2421" s="62"/>
      <c r="BF2421" s="63"/>
    </row>
    <row r="2422" spans="1:58" ht="12.75" customHeight="1" x14ac:dyDescent="0.25">
      <c r="A2422" s="334"/>
      <c r="B2422" s="334"/>
      <c r="C2422" s="332"/>
      <c r="D2422" s="334"/>
      <c r="E2422" s="335"/>
      <c r="F2422" s="334"/>
      <c r="G2422" s="332"/>
      <c r="H2422" s="332"/>
      <c r="I2422" s="334"/>
      <c r="J2422" s="336"/>
      <c r="K2422" s="332"/>
      <c r="L2422" s="332"/>
      <c r="M2422" s="76"/>
      <c r="N2422" s="103" t="str">
        <f>IF(A2422="","",VLOOKUP(A2422,Stand!C:K,9,0))</f>
        <v/>
      </c>
      <c r="O2422" s="104" t="str">
        <f t="shared" si="1037"/>
        <v/>
      </c>
      <c r="P2422" s="105" t="str">
        <f t="shared" si="1038"/>
        <v/>
      </c>
      <c r="Q2422" s="105" t="str">
        <f t="shared" si="1053"/>
        <v/>
      </c>
      <c r="R2422" s="103" t="str">
        <f t="shared" si="1039"/>
        <v/>
      </c>
      <c r="S2422" s="103" t="str">
        <f t="shared" si="1040"/>
        <v/>
      </c>
      <c r="T2422" s="106" t="str">
        <f t="shared" si="1054"/>
        <v/>
      </c>
      <c r="U2422" s="106" t="str">
        <f t="shared" si="1055"/>
        <v/>
      </c>
      <c r="V2422" s="106" t="str">
        <f t="shared" si="1056"/>
        <v/>
      </c>
      <c r="W2422" s="105" t="str">
        <f t="shared" si="1041"/>
        <v/>
      </c>
      <c r="X2422" s="104" t="str">
        <f t="shared" si="1046"/>
        <v/>
      </c>
      <c r="Y2422" s="104" t="str">
        <f t="array" ref="Y2422">IFERROR(IF(ISNUMBER(O2422),IF(COUNT(IF(A2422=$A$2:$A$2427,IF(D2422=$D$2:$D$2427,IF($X$2:$X$2427&gt;0,1))))&gt;0,SUM(IF(A2422=$A$2:$A$2427,IF(D2422=$D$2:$D$2427,$X$2:$X$2427)))/COUNT(IF(A2422=$A$2:$A$2427,IF(D2422=$D$2:$D$2427,IF(ISNUMBER($X$2:$X$2427),1)))),0),""),0)</f>
        <v/>
      </c>
      <c r="Z2422" s="104" t="str">
        <f>IF(ISNUMBER(O2422),IF(I2422&gt;0,(10^(VLOOKUP(D2422,'Species Codes'!B:C,2,0)+VLOOKUP(D2422,'Species Codes'!B:D,3,0)*LOG(E2422)+VLOOKUP(D2422,'Species Codes'!B:E,4,0)*LOG(I2422))),0),"")</f>
        <v/>
      </c>
      <c r="AA2422" s="104" t="str">
        <f>IFERROR((VLOOKUP(D2422,'Species Codes'!B:G,6,0)*Z2422)/2000,"")</f>
        <v/>
      </c>
      <c r="AB2422" s="104" t="e">
        <f>IF(Z2422&gt;0,((IF(OR(D2422="DF",D2422="RA")=TRUE,EXP(VLOOKUP(D2422,'Species Codes'!B:I,8,0)+VLOOKUP(D2422,'Species Codes'!B:J,9,0)*(LN((E2422*2.54)))),IF(OR(D2422="PY",D2422="RC",D2422="WH",D2422="NF")=TRUE,VLOOKUP(D2422,'Species Codes'!B:I,8,0)+VLOOKUP(D2422,'Species Codes'!B:J,9,0)*((E2422*2.54)^2)*(I2422*0.3048),IF(OR(D2422="MD",D2422="BM",D2422="GA")=TRUE,((VLOOKUP(D2422,'Species Codes'!B:I,8,0)*(((((E2422*2.54)+VLOOKUP(D2422,'Species Codes'!B:J,9,0))/VLOOKUP(D2422,'Species Codes'!B:K,10,0))^VLOOKUP(D2422,'Species Codes'!B:L,11,0))*((I2422*0.3048)^VLOOKUP(D2422,'Species Codes'!B:M,12,0))))-(VLOOKUP(D2422,'Species Codes'!B:I,8,0)*((((E2422*2.54)^VLOOKUP(D2422,'Species Codes'!B:L,11,0))*((I2422*0.3048)^VLOOKUP(D2422,'Species Codes'!B:M,12,0))))))*35.3*VLOOKUP(D2422,'Species Codes'!B:G,6,0)/2.2046,VLOOKUP(D2422,'Species Codes'!B:I,8,0)+VLOOKUP(D2422,'Species Codes'!B:J,9,0)*(((E2422*2.54)/100)^2)*(I2422*0.3048)))))*0.0011023),0)</f>
        <v>#N/A</v>
      </c>
      <c r="AC2422" s="104" t="e">
        <f>IF(Z2422&gt;0,((IF(OR(D2422="RA",D2422="OA",D2422="OT",D2422="UN",D2422="PC"),EXP(VLOOKUP(D2422,'Species Codes'!B:O,14,0)+VLOOKUP(D2422,'Species Codes'!B:P,15,0)*LN((E2422*2.54)))-EXP(VLOOKUP(D2422,'Species Codes'!B:O,14,0)+VLOOKUP(D2422,'Species Codes'!B:P,15,0)*LN((E2422*2.54)))*(1/(VLOOKUP(D2422,'Species Codes'!B:Q,16,0)+VLOOKUP(D2422,'Species Codes'!B:R,17,0)*((E2422*2.54)^VLOOKUP(D2422,'Species Codes'!B:S,18,0)))),IF(OR(D2422="BM",D2422="MD",D2422="OA"),EXP(VLOOKUP(D2422,'Species Codes'!B:O,14,0)+VLOOKUP(D2422,'Species Codes'!B:P,15,0)*LN((E2422*2.54)))*(1-(1/(VLOOKUP(D2422,'Species Codes'!B:Q,16,0)+VLOOKUP(D2422,'Species Codes'!B:R,17,0)*((E2422*2.54)^VLOOKUP(D2422,'Species Codes'!B:S,18,0)))))/1000,IF(D2422="DF",EXP(VLOOKUP(D2422,'Species Codes'!B:O,14,0)+VLOOKUP(D2422,'Species Codes'!B:P,15,0)*LN((E2422*2.54))),VLOOKUP(D2422,'Species Codes'!B:O,14,0)+VLOOKUP(D2422,'Species Codes'!B:P,15,0)*(((E2422*2.54)/100)^2)*(I2422*0.3048)))))*0.0011023),0)</f>
        <v>#N/A</v>
      </c>
      <c r="AD2422" s="104" t="e">
        <f t="shared" si="1057"/>
        <v>#N/A</v>
      </c>
      <c r="AE2422" s="104" t="e">
        <f t="shared" si="1058"/>
        <v>#N/A</v>
      </c>
      <c r="AF2422" s="104" t="e">
        <f>IF(AND(VLOOKUP($D2422,Merchantability!$B:$C,2,0)="Yes",$E2422&gt;=VLOOKUP($D2422,Merchantability!$B:$D,3,0),$E2422&lt;=VLOOKUP($D2422,Merchantability!$B:$E,4,0)),AA2422,0)</f>
        <v>#N/A</v>
      </c>
      <c r="AG2422" s="104" t="e">
        <f>IF(AND(VLOOKUP($D2422,Merchantability!$B:$C,2,0)="Yes",$E2422&gt;=VLOOKUP($D2422,Merchantability!$B:$D,3,0),$E2422&lt;=VLOOKUP($D2422,Merchantability!$B:$E,4,0)),AB2422,0)</f>
        <v>#N/A</v>
      </c>
      <c r="AH2422" s="104" t="e">
        <f>IF(AND(VLOOKUP($D2422,Merchantability!$B:$C,2,0)="Yes",$E2422&gt;=VLOOKUP($D2422,Merchantability!$B:$D,3,0),$E2422&lt;=VLOOKUP($D2422,Merchantability!$B:$E,4,0)),AC2422,0)</f>
        <v>#N/A</v>
      </c>
      <c r="AI2422" s="104" t="e">
        <f t="shared" si="1059"/>
        <v>#N/A</v>
      </c>
      <c r="AJ2422" s="104" t="e">
        <f t="shared" si="1060"/>
        <v>#VALUE!</v>
      </c>
      <c r="AK2422" s="104" t="e">
        <f t="shared" si="1061"/>
        <v>#N/A</v>
      </c>
      <c r="AL2422" s="104" t="e">
        <f t="shared" si="1062"/>
        <v>#N/A</v>
      </c>
      <c r="AM2422" s="104" t="e">
        <f t="shared" si="1063"/>
        <v>#N/A</v>
      </c>
      <c r="AN2422" s="104" t="e">
        <f t="shared" si="1047"/>
        <v>#N/A</v>
      </c>
      <c r="AO2422" s="104" t="e">
        <f t="shared" si="1048"/>
        <v>#N/A</v>
      </c>
      <c r="AP2422" s="104" t="e">
        <f t="shared" si="1049"/>
        <v>#N/A</v>
      </c>
      <c r="AQ2422" s="104" t="e">
        <f t="shared" si="1050"/>
        <v>#N/A</v>
      </c>
      <c r="AR2422" s="105" t="str">
        <f t="shared" si="1042"/>
        <v/>
      </c>
      <c r="AS2422" s="105" t="str">
        <f t="shared" si="1043"/>
        <v/>
      </c>
      <c r="AT2422" s="108" t="str">
        <f t="shared" si="1044"/>
        <v/>
      </c>
      <c r="AU2422" s="108" t="str">
        <f t="shared" si="1045"/>
        <v/>
      </c>
      <c r="AV2422" s="107" t="str">
        <f>IF(ISNUMBER(O2422),IF(VLOOKUP($A2422,Stand!C:J,8,FALSE)="Short",AT2422,AU2422),"")</f>
        <v/>
      </c>
      <c r="AW2422" s="109" t="str">
        <f t="shared" si="1051"/>
        <v/>
      </c>
      <c r="AX2422" s="109" t="str">
        <f t="shared" si="1052"/>
        <v/>
      </c>
      <c r="AY2422" s="112" t="str">
        <f>IF(ISNUMBER(O2422),IF(AND(VLOOKUP($D2422,Merchantability!$B:$C,2,0)="Yes",$E2422&gt;=VLOOKUP($D2422,Merchantability!$B:$D,3,0),$E2422&lt;=VLOOKUP($D2422,Merchantability!$B:$E,4,0)),(AV2422*O2422)*(1-$H2422/100),""),"")</f>
        <v/>
      </c>
      <c r="AZ2422" s="116"/>
      <c r="BA2422" s="116"/>
      <c r="BB2422" s="116"/>
      <c r="BE2422" s="62"/>
      <c r="BF2422" s="63"/>
    </row>
    <row r="2423" spans="1:58" ht="12.75" customHeight="1" x14ac:dyDescent="0.25">
      <c r="A2423" s="334"/>
      <c r="B2423" s="334"/>
      <c r="C2423" s="332"/>
      <c r="D2423" s="334"/>
      <c r="E2423" s="335"/>
      <c r="F2423" s="334"/>
      <c r="G2423" s="332"/>
      <c r="H2423" s="332"/>
      <c r="I2423" s="334"/>
      <c r="J2423" s="336"/>
      <c r="K2423" s="332"/>
      <c r="L2423" s="332"/>
      <c r="M2423" s="76"/>
      <c r="N2423" s="103" t="str">
        <f>IF(A2423="","",VLOOKUP(A2423,Stand!C:K,9,0))</f>
        <v/>
      </c>
      <c r="O2423" s="104" t="str">
        <f t="shared" si="1037"/>
        <v/>
      </c>
      <c r="P2423" s="105" t="str">
        <f t="shared" si="1038"/>
        <v/>
      </c>
      <c r="Q2423" s="105" t="str">
        <f t="shared" si="1053"/>
        <v/>
      </c>
      <c r="R2423" s="103" t="str">
        <f t="shared" si="1039"/>
        <v/>
      </c>
      <c r="S2423" s="103" t="str">
        <f t="shared" si="1040"/>
        <v/>
      </c>
      <c r="T2423" s="106" t="str">
        <f t="shared" si="1054"/>
        <v/>
      </c>
      <c r="U2423" s="106" t="str">
        <f t="shared" si="1055"/>
        <v/>
      </c>
      <c r="V2423" s="106" t="str">
        <f t="shared" si="1056"/>
        <v/>
      </c>
      <c r="W2423" s="105" t="str">
        <f t="shared" si="1041"/>
        <v/>
      </c>
      <c r="X2423" s="104" t="str">
        <f t="shared" si="1046"/>
        <v/>
      </c>
      <c r="Y2423" s="104" t="str">
        <f t="array" ref="Y2423">IFERROR(IF(ISNUMBER(O2423),IF(COUNT(IF(A2423=$A$2:$A$2427,IF(D2423=$D$2:$D$2427,IF($X$2:$X$2427&gt;0,1))))&gt;0,SUM(IF(A2423=$A$2:$A$2427,IF(D2423=$D$2:$D$2427,$X$2:$X$2427)))/COUNT(IF(A2423=$A$2:$A$2427,IF(D2423=$D$2:$D$2427,IF(ISNUMBER($X$2:$X$2427),1)))),0),""),0)</f>
        <v/>
      </c>
      <c r="Z2423" s="104" t="str">
        <f>IF(ISNUMBER(O2423),IF(I2423&gt;0,(10^(VLOOKUP(D2423,'Species Codes'!B:C,2,0)+VLOOKUP(D2423,'Species Codes'!B:D,3,0)*LOG(E2423)+VLOOKUP(D2423,'Species Codes'!B:E,4,0)*LOG(I2423))),0),"")</f>
        <v/>
      </c>
      <c r="AA2423" s="104" t="str">
        <f>IFERROR((VLOOKUP(D2423,'Species Codes'!B:G,6,0)*Z2423)/2000,"")</f>
        <v/>
      </c>
      <c r="AB2423" s="104" t="e">
        <f>IF(Z2423&gt;0,((IF(OR(D2423="DF",D2423="RA")=TRUE,EXP(VLOOKUP(D2423,'Species Codes'!B:I,8,0)+VLOOKUP(D2423,'Species Codes'!B:J,9,0)*(LN((E2423*2.54)))),IF(OR(D2423="PY",D2423="RC",D2423="WH",D2423="NF")=TRUE,VLOOKUP(D2423,'Species Codes'!B:I,8,0)+VLOOKUP(D2423,'Species Codes'!B:J,9,0)*((E2423*2.54)^2)*(I2423*0.3048),IF(OR(D2423="MD",D2423="BM",D2423="GA")=TRUE,((VLOOKUP(D2423,'Species Codes'!B:I,8,0)*(((((E2423*2.54)+VLOOKUP(D2423,'Species Codes'!B:J,9,0))/VLOOKUP(D2423,'Species Codes'!B:K,10,0))^VLOOKUP(D2423,'Species Codes'!B:L,11,0))*((I2423*0.3048)^VLOOKUP(D2423,'Species Codes'!B:M,12,0))))-(VLOOKUP(D2423,'Species Codes'!B:I,8,0)*((((E2423*2.54)^VLOOKUP(D2423,'Species Codes'!B:L,11,0))*((I2423*0.3048)^VLOOKUP(D2423,'Species Codes'!B:M,12,0))))))*35.3*VLOOKUP(D2423,'Species Codes'!B:G,6,0)/2.2046,VLOOKUP(D2423,'Species Codes'!B:I,8,0)+VLOOKUP(D2423,'Species Codes'!B:J,9,0)*(((E2423*2.54)/100)^2)*(I2423*0.3048)))))*0.0011023),0)</f>
        <v>#N/A</v>
      </c>
      <c r="AC2423" s="104" t="e">
        <f>IF(Z2423&gt;0,((IF(OR(D2423="RA",D2423="OA",D2423="OT",D2423="UN",D2423="PC"),EXP(VLOOKUP(D2423,'Species Codes'!B:O,14,0)+VLOOKUP(D2423,'Species Codes'!B:P,15,0)*LN((E2423*2.54)))-EXP(VLOOKUP(D2423,'Species Codes'!B:O,14,0)+VLOOKUP(D2423,'Species Codes'!B:P,15,0)*LN((E2423*2.54)))*(1/(VLOOKUP(D2423,'Species Codes'!B:Q,16,0)+VLOOKUP(D2423,'Species Codes'!B:R,17,0)*((E2423*2.54)^VLOOKUP(D2423,'Species Codes'!B:S,18,0)))),IF(OR(D2423="BM",D2423="MD",D2423="OA"),EXP(VLOOKUP(D2423,'Species Codes'!B:O,14,0)+VLOOKUP(D2423,'Species Codes'!B:P,15,0)*LN((E2423*2.54)))*(1-(1/(VLOOKUP(D2423,'Species Codes'!B:Q,16,0)+VLOOKUP(D2423,'Species Codes'!B:R,17,0)*((E2423*2.54)^VLOOKUP(D2423,'Species Codes'!B:S,18,0)))))/1000,IF(D2423="DF",EXP(VLOOKUP(D2423,'Species Codes'!B:O,14,0)+VLOOKUP(D2423,'Species Codes'!B:P,15,0)*LN((E2423*2.54))),VLOOKUP(D2423,'Species Codes'!B:O,14,0)+VLOOKUP(D2423,'Species Codes'!B:P,15,0)*(((E2423*2.54)/100)^2)*(I2423*0.3048)))))*0.0011023),0)</f>
        <v>#N/A</v>
      </c>
      <c r="AD2423" s="104" t="e">
        <f t="shared" si="1057"/>
        <v>#N/A</v>
      </c>
      <c r="AE2423" s="104" t="e">
        <f t="shared" si="1058"/>
        <v>#N/A</v>
      </c>
      <c r="AF2423" s="104" t="e">
        <f>IF(AND(VLOOKUP($D2423,Merchantability!$B:$C,2,0)="Yes",$E2423&gt;=VLOOKUP($D2423,Merchantability!$B:$D,3,0),$E2423&lt;=VLOOKUP($D2423,Merchantability!$B:$E,4,0)),AA2423,0)</f>
        <v>#N/A</v>
      </c>
      <c r="AG2423" s="104" t="e">
        <f>IF(AND(VLOOKUP($D2423,Merchantability!$B:$C,2,0)="Yes",$E2423&gt;=VLOOKUP($D2423,Merchantability!$B:$D,3,0),$E2423&lt;=VLOOKUP($D2423,Merchantability!$B:$E,4,0)),AB2423,0)</f>
        <v>#N/A</v>
      </c>
      <c r="AH2423" s="104" t="e">
        <f>IF(AND(VLOOKUP($D2423,Merchantability!$B:$C,2,0)="Yes",$E2423&gt;=VLOOKUP($D2423,Merchantability!$B:$D,3,0),$E2423&lt;=VLOOKUP($D2423,Merchantability!$B:$E,4,0)),AC2423,0)</f>
        <v>#N/A</v>
      </c>
      <c r="AI2423" s="104" t="e">
        <f t="shared" si="1059"/>
        <v>#N/A</v>
      </c>
      <c r="AJ2423" s="104" t="e">
        <f t="shared" si="1060"/>
        <v>#VALUE!</v>
      </c>
      <c r="AK2423" s="104" t="e">
        <f t="shared" si="1061"/>
        <v>#N/A</v>
      </c>
      <c r="AL2423" s="104" t="e">
        <f t="shared" si="1062"/>
        <v>#N/A</v>
      </c>
      <c r="AM2423" s="104" t="e">
        <f t="shared" si="1063"/>
        <v>#N/A</v>
      </c>
      <c r="AN2423" s="104" t="e">
        <f t="shared" si="1047"/>
        <v>#N/A</v>
      </c>
      <c r="AO2423" s="104" t="e">
        <f t="shared" si="1048"/>
        <v>#N/A</v>
      </c>
      <c r="AP2423" s="104" t="e">
        <f t="shared" si="1049"/>
        <v>#N/A</v>
      </c>
      <c r="AQ2423" s="104" t="e">
        <f t="shared" si="1050"/>
        <v>#N/A</v>
      </c>
      <c r="AR2423" s="105" t="str">
        <f t="shared" si="1042"/>
        <v/>
      </c>
      <c r="AS2423" s="105" t="str">
        <f t="shared" si="1043"/>
        <v/>
      </c>
      <c r="AT2423" s="108" t="str">
        <f t="shared" si="1044"/>
        <v/>
      </c>
      <c r="AU2423" s="108" t="str">
        <f t="shared" si="1045"/>
        <v/>
      </c>
      <c r="AV2423" s="107" t="str">
        <f>IF(ISNUMBER(O2423),IF(VLOOKUP($A2423,Stand!C:J,8,FALSE)="Short",AT2423,AU2423),"")</f>
        <v/>
      </c>
      <c r="AW2423" s="109" t="str">
        <f t="shared" si="1051"/>
        <v/>
      </c>
      <c r="AX2423" s="109" t="str">
        <f t="shared" si="1052"/>
        <v/>
      </c>
      <c r="AY2423" s="112" t="str">
        <f>IF(ISNUMBER(O2423),IF(AND(VLOOKUP($D2423,Merchantability!$B:$C,2,0)="Yes",$E2423&gt;=VLOOKUP($D2423,Merchantability!$B:$D,3,0),$E2423&lt;=VLOOKUP($D2423,Merchantability!$B:$E,4,0)),(AV2423*O2423)*(1-$H2423/100),""),"")</f>
        <v/>
      </c>
      <c r="AZ2423" s="116"/>
      <c r="BA2423" s="116"/>
      <c r="BB2423" s="116"/>
      <c r="BE2423" s="62"/>
      <c r="BF2423" s="63"/>
    </row>
    <row r="2424" spans="1:58" ht="12.75" customHeight="1" x14ac:dyDescent="0.25">
      <c r="A2424" s="334"/>
      <c r="B2424" s="334"/>
      <c r="C2424" s="332"/>
      <c r="D2424" s="334"/>
      <c r="E2424" s="335"/>
      <c r="F2424" s="334"/>
      <c r="G2424" s="332"/>
      <c r="H2424" s="332"/>
      <c r="I2424" s="334"/>
      <c r="J2424" s="336"/>
      <c r="K2424" s="332"/>
      <c r="L2424" s="332"/>
      <c r="M2424" s="76"/>
      <c r="N2424" s="103" t="str">
        <f>IF(A2424="","",VLOOKUP(A2424,Stand!C:K,9,0))</f>
        <v/>
      </c>
      <c r="O2424" s="104" t="str">
        <f t="shared" si="1037"/>
        <v/>
      </c>
      <c r="P2424" s="105" t="str">
        <f t="shared" si="1038"/>
        <v/>
      </c>
      <c r="Q2424" s="105" t="str">
        <f t="shared" si="1053"/>
        <v/>
      </c>
      <c r="R2424" s="103" t="str">
        <f t="shared" si="1039"/>
        <v/>
      </c>
      <c r="S2424" s="103" t="str">
        <f t="shared" si="1040"/>
        <v/>
      </c>
      <c r="T2424" s="106" t="str">
        <f t="shared" si="1054"/>
        <v/>
      </c>
      <c r="U2424" s="106" t="str">
        <f t="shared" si="1055"/>
        <v/>
      </c>
      <c r="V2424" s="106" t="str">
        <f t="shared" si="1056"/>
        <v/>
      </c>
      <c r="W2424" s="105" t="str">
        <f t="shared" si="1041"/>
        <v/>
      </c>
      <c r="X2424" s="104" t="str">
        <f t="shared" si="1046"/>
        <v/>
      </c>
      <c r="Y2424" s="104" t="str">
        <f t="array" ref="Y2424">IFERROR(IF(ISNUMBER(O2424),IF(COUNT(IF(A2424=$A$2:$A$2427,IF(D2424=$D$2:$D$2427,IF($X$2:$X$2427&gt;0,1))))&gt;0,SUM(IF(A2424=$A$2:$A$2427,IF(D2424=$D$2:$D$2427,$X$2:$X$2427)))/COUNT(IF(A2424=$A$2:$A$2427,IF(D2424=$D$2:$D$2427,IF(ISNUMBER($X$2:$X$2427),1)))),0),""),0)</f>
        <v/>
      </c>
      <c r="Z2424" s="104" t="str">
        <f>IF(ISNUMBER(O2424),IF(I2424&gt;0,(10^(VLOOKUP(D2424,'Species Codes'!B:C,2,0)+VLOOKUP(D2424,'Species Codes'!B:D,3,0)*LOG(E2424)+VLOOKUP(D2424,'Species Codes'!B:E,4,0)*LOG(I2424))),0),"")</f>
        <v/>
      </c>
      <c r="AA2424" s="104" t="str">
        <f>IFERROR((VLOOKUP(D2424,'Species Codes'!B:G,6,0)*Z2424)/2000,"")</f>
        <v/>
      </c>
      <c r="AB2424" s="104" t="e">
        <f>IF(Z2424&gt;0,((IF(OR(D2424="DF",D2424="RA")=TRUE,EXP(VLOOKUP(D2424,'Species Codes'!B:I,8,0)+VLOOKUP(D2424,'Species Codes'!B:J,9,0)*(LN((E2424*2.54)))),IF(OR(D2424="PY",D2424="RC",D2424="WH",D2424="NF")=TRUE,VLOOKUP(D2424,'Species Codes'!B:I,8,0)+VLOOKUP(D2424,'Species Codes'!B:J,9,0)*((E2424*2.54)^2)*(I2424*0.3048),IF(OR(D2424="MD",D2424="BM",D2424="GA")=TRUE,((VLOOKUP(D2424,'Species Codes'!B:I,8,0)*(((((E2424*2.54)+VLOOKUP(D2424,'Species Codes'!B:J,9,0))/VLOOKUP(D2424,'Species Codes'!B:K,10,0))^VLOOKUP(D2424,'Species Codes'!B:L,11,0))*((I2424*0.3048)^VLOOKUP(D2424,'Species Codes'!B:M,12,0))))-(VLOOKUP(D2424,'Species Codes'!B:I,8,0)*((((E2424*2.54)^VLOOKUP(D2424,'Species Codes'!B:L,11,0))*((I2424*0.3048)^VLOOKUP(D2424,'Species Codes'!B:M,12,0))))))*35.3*VLOOKUP(D2424,'Species Codes'!B:G,6,0)/2.2046,VLOOKUP(D2424,'Species Codes'!B:I,8,0)+VLOOKUP(D2424,'Species Codes'!B:J,9,0)*(((E2424*2.54)/100)^2)*(I2424*0.3048)))))*0.0011023),0)</f>
        <v>#N/A</v>
      </c>
      <c r="AC2424" s="104" t="e">
        <f>IF(Z2424&gt;0,((IF(OR(D2424="RA",D2424="OA",D2424="OT",D2424="UN",D2424="PC"),EXP(VLOOKUP(D2424,'Species Codes'!B:O,14,0)+VLOOKUP(D2424,'Species Codes'!B:P,15,0)*LN((E2424*2.54)))-EXP(VLOOKUP(D2424,'Species Codes'!B:O,14,0)+VLOOKUP(D2424,'Species Codes'!B:P,15,0)*LN((E2424*2.54)))*(1/(VLOOKUP(D2424,'Species Codes'!B:Q,16,0)+VLOOKUP(D2424,'Species Codes'!B:R,17,0)*((E2424*2.54)^VLOOKUP(D2424,'Species Codes'!B:S,18,0)))),IF(OR(D2424="BM",D2424="MD",D2424="OA"),EXP(VLOOKUP(D2424,'Species Codes'!B:O,14,0)+VLOOKUP(D2424,'Species Codes'!B:P,15,0)*LN((E2424*2.54)))*(1-(1/(VLOOKUP(D2424,'Species Codes'!B:Q,16,0)+VLOOKUP(D2424,'Species Codes'!B:R,17,0)*((E2424*2.54)^VLOOKUP(D2424,'Species Codes'!B:S,18,0)))))/1000,IF(D2424="DF",EXP(VLOOKUP(D2424,'Species Codes'!B:O,14,0)+VLOOKUP(D2424,'Species Codes'!B:P,15,0)*LN((E2424*2.54))),VLOOKUP(D2424,'Species Codes'!B:O,14,0)+VLOOKUP(D2424,'Species Codes'!B:P,15,0)*(((E2424*2.54)/100)^2)*(I2424*0.3048)))))*0.0011023),0)</f>
        <v>#N/A</v>
      </c>
      <c r="AD2424" s="104" t="e">
        <f t="shared" si="1057"/>
        <v>#N/A</v>
      </c>
      <c r="AE2424" s="104" t="e">
        <f t="shared" si="1058"/>
        <v>#N/A</v>
      </c>
      <c r="AF2424" s="104" t="e">
        <f>IF(AND(VLOOKUP($D2424,Merchantability!$B:$C,2,0)="Yes",$E2424&gt;=VLOOKUP($D2424,Merchantability!$B:$D,3,0),$E2424&lt;=VLOOKUP($D2424,Merchantability!$B:$E,4,0)),AA2424,0)</f>
        <v>#N/A</v>
      </c>
      <c r="AG2424" s="104" t="e">
        <f>IF(AND(VLOOKUP($D2424,Merchantability!$B:$C,2,0)="Yes",$E2424&gt;=VLOOKUP($D2424,Merchantability!$B:$D,3,0),$E2424&lt;=VLOOKUP($D2424,Merchantability!$B:$E,4,0)),AB2424,0)</f>
        <v>#N/A</v>
      </c>
      <c r="AH2424" s="104" t="e">
        <f>IF(AND(VLOOKUP($D2424,Merchantability!$B:$C,2,0)="Yes",$E2424&gt;=VLOOKUP($D2424,Merchantability!$B:$D,3,0),$E2424&lt;=VLOOKUP($D2424,Merchantability!$B:$E,4,0)),AC2424,0)</f>
        <v>#N/A</v>
      </c>
      <c r="AI2424" s="104" t="e">
        <f t="shared" si="1059"/>
        <v>#N/A</v>
      </c>
      <c r="AJ2424" s="104" t="e">
        <f t="shared" si="1060"/>
        <v>#VALUE!</v>
      </c>
      <c r="AK2424" s="104" t="e">
        <f t="shared" si="1061"/>
        <v>#N/A</v>
      </c>
      <c r="AL2424" s="104" t="e">
        <f t="shared" si="1062"/>
        <v>#N/A</v>
      </c>
      <c r="AM2424" s="104" t="e">
        <f t="shared" si="1063"/>
        <v>#N/A</v>
      </c>
      <c r="AN2424" s="104" t="e">
        <f t="shared" si="1047"/>
        <v>#N/A</v>
      </c>
      <c r="AO2424" s="104" t="e">
        <f t="shared" si="1048"/>
        <v>#N/A</v>
      </c>
      <c r="AP2424" s="104" t="e">
        <f t="shared" si="1049"/>
        <v>#N/A</v>
      </c>
      <c r="AQ2424" s="104" t="e">
        <f t="shared" si="1050"/>
        <v>#N/A</v>
      </c>
      <c r="AR2424" s="105" t="str">
        <f t="shared" si="1042"/>
        <v/>
      </c>
      <c r="AS2424" s="105" t="str">
        <f t="shared" si="1043"/>
        <v/>
      </c>
      <c r="AT2424" s="108" t="str">
        <f t="shared" si="1044"/>
        <v/>
      </c>
      <c r="AU2424" s="108" t="str">
        <f t="shared" si="1045"/>
        <v/>
      </c>
      <c r="AV2424" s="107" t="str">
        <f>IF(ISNUMBER(O2424),IF(VLOOKUP($A2424,Stand!C:J,8,FALSE)="Short",AT2424,AU2424),"")</f>
        <v/>
      </c>
      <c r="AW2424" s="109" t="str">
        <f t="shared" si="1051"/>
        <v/>
      </c>
      <c r="AX2424" s="109" t="str">
        <f t="shared" si="1052"/>
        <v/>
      </c>
      <c r="AY2424" s="112" t="str">
        <f>IF(ISNUMBER(O2424),IF(AND(VLOOKUP($D2424,Merchantability!$B:$C,2,0)="Yes",$E2424&gt;=VLOOKUP($D2424,Merchantability!$B:$D,3,0),$E2424&lt;=VLOOKUP($D2424,Merchantability!$B:$E,4,0)),(AV2424*O2424)*(1-$H2424/100),""),"")</f>
        <v/>
      </c>
      <c r="AZ2424" s="116"/>
      <c r="BA2424" s="116"/>
      <c r="BB2424" s="116"/>
      <c r="BE2424" s="62"/>
      <c r="BF2424" s="63"/>
    </row>
    <row r="2425" spans="1:58" ht="12.75" customHeight="1" x14ac:dyDescent="0.25">
      <c r="A2425" s="334"/>
      <c r="B2425" s="334"/>
      <c r="C2425" s="332"/>
      <c r="D2425" s="334"/>
      <c r="E2425" s="335"/>
      <c r="F2425" s="334"/>
      <c r="G2425" s="332"/>
      <c r="H2425" s="332"/>
      <c r="I2425" s="334"/>
      <c r="J2425" s="336"/>
      <c r="K2425" s="332"/>
      <c r="L2425" s="332"/>
      <c r="M2425" s="76"/>
      <c r="N2425" s="103" t="str">
        <f>IF(A2425="","",VLOOKUP(A2425,Stand!C:K,9,0))</f>
        <v/>
      </c>
      <c r="O2425" s="104" t="str">
        <f t="shared" si="1037"/>
        <v/>
      </c>
      <c r="P2425" s="105" t="str">
        <f t="shared" si="1038"/>
        <v/>
      </c>
      <c r="Q2425" s="105" t="str">
        <f t="shared" si="1053"/>
        <v/>
      </c>
      <c r="R2425" s="103" t="str">
        <f t="shared" si="1039"/>
        <v/>
      </c>
      <c r="S2425" s="103" t="str">
        <f t="shared" si="1040"/>
        <v/>
      </c>
      <c r="T2425" s="106" t="str">
        <f t="shared" si="1054"/>
        <v/>
      </c>
      <c r="U2425" s="106" t="str">
        <f t="shared" si="1055"/>
        <v/>
      </c>
      <c r="V2425" s="106" t="str">
        <f t="shared" si="1056"/>
        <v/>
      </c>
      <c r="W2425" s="105" t="str">
        <f t="shared" si="1041"/>
        <v/>
      </c>
      <c r="X2425" s="104" t="str">
        <f t="shared" si="1046"/>
        <v/>
      </c>
      <c r="Y2425" s="104" t="str">
        <f t="array" ref="Y2425">IFERROR(IF(ISNUMBER(O2425),IF(COUNT(IF(A2425=$A$2:$A$2427,IF(D2425=$D$2:$D$2427,IF($X$2:$X$2427&gt;0,1))))&gt;0,SUM(IF(A2425=$A$2:$A$2427,IF(D2425=$D$2:$D$2427,$X$2:$X$2427)))/COUNT(IF(A2425=$A$2:$A$2427,IF(D2425=$D$2:$D$2427,IF(ISNUMBER($X$2:$X$2427),1)))),0),""),0)</f>
        <v/>
      </c>
      <c r="Z2425" s="104" t="str">
        <f>IF(ISNUMBER(O2425),IF(I2425&gt;0,(10^(VLOOKUP(D2425,'Species Codes'!B:C,2,0)+VLOOKUP(D2425,'Species Codes'!B:D,3,0)*LOG(E2425)+VLOOKUP(D2425,'Species Codes'!B:E,4,0)*LOG(I2425))),0),"")</f>
        <v/>
      </c>
      <c r="AA2425" s="104" t="str">
        <f>IFERROR((VLOOKUP(D2425,'Species Codes'!B:G,6,0)*Z2425)/2000,"")</f>
        <v/>
      </c>
      <c r="AB2425" s="104" t="e">
        <f>IF(Z2425&gt;0,((IF(OR(D2425="DF",D2425="RA")=TRUE,EXP(VLOOKUP(D2425,'Species Codes'!B:I,8,0)+VLOOKUP(D2425,'Species Codes'!B:J,9,0)*(LN((E2425*2.54)))),IF(OR(D2425="PY",D2425="RC",D2425="WH",D2425="NF")=TRUE,VLOOKUP(D2425,'Species Codes'!B:I,8,0)+VLOOKUP(D2425,'Species Codes'!B:J,9,0)*((E2425*2.54)^2)*(I2425*0.3048),IF(OR(D2425="MD",D2425="BM",D2425="GA")=TRUE,((VLOOKUP(D2425,'Species Codes'!B:I,8,0)*(((((E2425*2.54)+VLOOKUP(D2425,'Species Codes'!B:J,9,0))/VLOOKUP(D2425,'Species Codes'!B:K,10,0))^VLOOKUP(D2425,'Species Codes'!B:L,11,0))*((I2425*0.3048)^VLOOKUP(D2425,'Species Codes'!B:M,12,0))))-(VLOOKUP(D2425,'Species Codes'!B:I,8,0)*((((E2425*2.54)^VLOOKUP(D2425,'Species Codes'!B:L,11,0))*((I2425*0.3048)^VLOOKUP(D2425,'Species Codes'!B:M,12,0))))))*35.3*VLOOKUP(D2425,'Species Codes'!B:G,6,0)/2.2046,VLOOKUP(D2425,'Species Codes'!B:I,8,0)+VLOOKUP(D2425,'Species Codes'!B:J,9,0)*(((E2425*2.54)/100)^2)*(I2425*0.3048)))))*0.0011023),0)</f>
        <v>#N/A</v>
      </c>
      <c r="AC2425" s="104" t="e">
        <f>IF(Z2425&gt;0,((IF(OR(D2425="RA",D2425="OA",D2425="OT",D2425="UN",D2425="PC"),EXP(VLOOKUP(D2425,'Species Codes'!B:O,14,0)+VLOOKUP(D2425,'Species Codes'!B:P,15,0)*LN((E2425*2.54)))-EXP(VLOOKUP(D2425,'Species Codes'!B:O,14,0)+VLOOKUP(D2425,'Species Codes'!B:P,15,0)*LN((E2425*2.54)))*(1/(VLOOKUP(D2425,'Species Codes'!B:Q,16,0)+VLOOKUP(D2425,'Species Codes'!B:R,17,0)*((E2425*2.54)^VLOOKUP(D2425,'Species Codes'!B:S,18,0)))),IF(OR(D2425="BM",D2425="MD",D2425="OA"),EXP(VLOOKUP(D2425,'Species Codes'!B:O,14,0)+VLOOKUP(D2425,'Species Codes'!B:P,15,0)*LN((E2425*2.54)))*(1-(1/(VLOOKUP(D2425,'Species Codes'!B:Q,16,0)+VLOOKUP(D2425,'Species Codes'!B:R,17,0)*((E2425*2.54)^VLOOKUP(D2425,'Species Codes'!B:S,18,0)))))/1000,IF(D2425="DF",EXP(VLOOKUP(D2425,'Species Codes'!B:O,14,0)+VLOOKUP(D2425,'Species Codes'!B:P,15,0)*LN((E2425*2.54))),VLOOKUP(D2425,'Species Codes'!B:O,14,0)+VLOOKUP(D2425,'Species Codes'!B:P,15,0)*(((E2425*2.54)/100)^2)*(I2425*0.3048)))))*0.0011023),0)</f>
        <v>#N/A</v>
      </c>
      <c r="AD2425" s="104" t="e">
        <f t="shared" si="1057"/>
        <v>#N/A</v>
      </c>
      <c r="AE2425" s="104" t="e">
        <f t="shared" si="1058"/>
        <v>#N/A</v>
      </c>
      <c r="AF2425" s="104" t="e">
        <f>IF(AND(VLOOKUP($D2425,Merchantability!$B:$C,2,0)="Yes",$E2425&gt;=VLOOKUP($D2425,Merchantability!$B:$D,3,0),$E2425&lt;=VLOOKUP($D2425,Merchantability!$B:$E,4,0)),AA2425,0)</f>
        <v>#N/A</v>
      </c>
      <c r="AG2425" s="104" t="e">
        <f>IF(AND(VLOOKUP($D2425,Merchantability!$B:$C,2,0)="Yes",$E2425&gt;=VLOOKUP($D2425,Merchantability!$B:$D,3,0),$E2425&lt;=VLOOKUP($D2425,Merchantability!$B:$E,4,0)),AB2425,0)</f>
        <v>#N/A</v>
      </c>
      <c r="AH2425" s="104" t="e">
        <f>IF(AND(VLOOKUP($D2425,Merchantability!$B:$C,2,0)="Yes",$E2425&gt;=VLOOKUP($D2425,Merchantability!$B:$D,3,0),$E2425&lt;=VLOOKUP($D2425,Merchantability!$B:$E,4,0)),AC2425,0)</f>
        <v>#N/A</v>
      </c>
      <c r="AI2425" s="104" t="e">
        <f t="shared" si="1059"/>
        <v>#N/A</v>
      </c>
      <c r="AJ2425" s="104" t="e">
        <f t="shared" si="1060"/>
        <v>#VALUE!</v>
      </c>
      <c r="AK2425" s="104" t="e">
        <f t="shared" si="1061"/>
        <v>#N/A</v>
      </c>
      <c r="AL2425" s="104" t="e">
        <f t="shared" si="1062"/>
        <v>#N/A</v>
      </c>
      <c r="AM2425" s="104" t="e">
        <f t="shared" si="1063"/>
        <v>#N/A</v>
      </c>
      <c r="AN2425" s="104" t="e">
        <f t="shared" si="1047"/>
        <v>#N/A</v>
      </c>
      <c r="AO2425" s="104" t="e">
        <f t="shared" si="1048"/>
        <v>#N/A</v>
      </c>
      <c r="AP2425" s="104" t="e">
        <f t="shared" si="1049"/>
        <v>#N/A</v>
      </c>
      <c r="AQ2425" s="104" t="e">
        <f t="shared" si="1050"/>
        <v>#N/A</v>
      </c>
      <c r="AR2425" s="105" t="str">
        <f t="shared" si="1042"/>
        <v/>
      </c>
      <c r="AS2425" s="105" t="str">
        <f t="shared" si="1043"/>
        <v/>
      </c>
      <c r="AT2425" s="108" t="str">
        <f t="shared" si="1044"/>
        <v/>
      </c>
      <c r="AU2425" s="108" t="str">
        <f t="shared" si="1045"/>
        <v/>
      </c>
      <c r="AV2425" s="107" t="str">
        <f>IF(ISNUMBER(O2425),IF(VLOOKUP($A2425,Stand!C:J,8,FALSE)="Short",AT2425,AU2425),"")</f>
        <v/>
      </c>
      <c r="AW2425" s="109" t="str">
        <f t="shared" si="1051"/>
        <v/>
      </c>
      <c r="AX2425" s="109" t="str">
        <f t="shared" si="1052"/>
        <v/>
      </c>
      <c r="AY2425" s="112" t="str">
        <f>IF(ISNUMBER(O2425),IF(AND(VLOOKUP($D2425,Merchantability!$B:$C,2,0)="Yes",$E2425&gt;=VLOOKUP($D2425,Merchantability!$B:$D,3,0),$E2425&lt;=VLOOKUP($D2425,Merchantability!$B:$E,4,0)),(AV2425*O2425)*(1-$H2425/100),""),"")</f>
        <v/>
      </c>
      <c r="AZ2425" s="116"/>
      <c r="BA2425" s="116"/>
      <c r="BB2425" s="116"/>
      <c r="BE2425" s="62"/>
      <c r="BF2425" s="63"/>
    </row>
    <row r="2426" spans="1:58" ht="12.75" customHeight="1" x14ac:dyDescent="0.25">
      <c r="A2426" s="334"/>
      <c r="B2426" s="334"/>
      <c r="C2426" s="332"/>
      <c r="D2426" s="334"/>
      <c r="E2426" s="335"/>
      <c r="F2426" s="334"/>
      <c r="G2426" s="332"/>
      <c r="H2426" s="332"/>
      <c r="I2426" s="334"/>
      <c r="J2426" s="336"/>
      <c r="K2426" s="332"/>
      <c r="L2426" s="332"/>
      <c r="M2426" s="76"/>
      <c r="N2426" s="103" t="str">
        <f>IF(A2426="","",VLOOKUP(A2426,Stand!C:K,9,0))</f>
        <v/>
      </c>
      <c r="O2426" s="104" t="str">
        <f t="shared" si="1037"/>
        <v/>
      </c>
      <c r="P2426" s="105" t="str">
        <f t="shared" si="1038"/>
        <v/>
      </c>
      <c r="Q2426" s="105" t="str">
        <f t="shared" si="1053"/>
        <v/>
      </c>
      <c r="R2426" s="103" t="str">
        <f t="shared" si="1039"/>
        <v/>
      </c>
      <c r="S2426" s="103" t="str">
        <f t="shared" si="1040"/>
        <v/>
      </c>
      <c r="T2426" s="106" t="str">
        <f t="shared" si="1054"/>
        <v/>
      </c>
      <c r="U2426" s="106" t="str">
        <f t="shared" si="1055"/>
        <v/>
      </c>
      <c r="V2426" s="106" t="str">
        <f t="shared" si="1056"/>
        <v/>
      </c>
      <c r="W2426" s="105" t="str">
        <f t="shared" si="1041"/>
        <v/>
      </c>
      <c r="X2426" s="104" t="str">
        <f t="shared" si="1046"/>
        <v/>
      </c>
      <c r="Y2426" s="104" t="str">
        <f t="array" ref="Y2426">IFERROR(IF(ISNUMBER(O2426),IF(COUNT(IF(A2426=$A$2:$A$2427,IF(D2426=$D$2:$D$2427,IF($X$2:$X$2427&gt;0,1))))&gt;0,SUM(IF(A2426=$A$2:$A$2427,IF(D2426=$D$2:$D$2427,$X$2:$X$2427)))/COUNT(IF(A2426=$A$2:$A$2427,IF(D2426=$D$2:$D$2427,IF(ISNUMBER($X$2:$X$2427),1)))),0),""),0)</f>
        <v/>
      </c>
      <c r="Z2426" s="104" t="str">
        <f>IF(ISNUMBER(O2426),IF(I2426&gt;0,(10^(VLOOKUP(D2426,'Species Codes'!B:C,2,0)+VLOOKUP(D2426,'Species Codes'!B:D,3,0)*LOG(E2426)+VLOOKUP(D2426,'Species Codes'!B:E,4,0)*LOG(I2426))),0),"")</f>
        <v/>
      </c>
      <c r="AA2426" s="104" t="str">
        <f>IFERROR((VLOOKUP(D2426,'Species Codes'!B:G,6,0)*Z2426)/2000,"")</f>
        <v/>
      </c>
      <c r="AB2426" s="104" t="e">
        <f>IF(Z2426&gt;0,((IF(OR(D2426="DF",D2426="RA")=TRUE,EXP(VLOOKUP(D2426,'Species Codes'!B:I,8,0)+VLOOKUP(D2426,'Species Codes'!B:J,9,0)*(LN((E2426*2.54)))),IF(OR(D2426="PY",D2426="RC",D2426="WH",D2426="NF")=TRUE,VLOOKUP(D2426,'Species Codes'!B:I,8,0)+VLOOKUP(D2426,'Species Codes'!B:J,9,0)*((E2426*2.54)^2)*(I2426*0.3048),IF(OR(D2426="MD",D2426="BM",D2426="GA")=TRUE,((VLOOKUP(D2426,'Species Codes'!B:I,8,0)*(((((E2426*2.54)+VLOOKUP(D2426,'Species Codes'!B:J,9,0))/VLOOKUP(D2426,'Species Codes'!B:K,10,0))^VLOOKUP(D2426,'Species Codes'!B:L,11,0))*((I2426*0.3048)^VLOOKUP(D2426,'Species Codes'!B:M,12,0))))-(VLOOKUP(D2426,'Species Codes'!B:I,8,0)*((((E2426*2.54)^VLOOKUP(D2426,'Species Codes'!B:L,11,0))*((I2426*0.3048)^VLOOKUP(D2426,'Species Codes'!B:M,12,0))))))*35.3*VLOOKUP(D2426,'Species Codes'!B:G,6,0)/2.2046,VLOOKUP(D2426,'Species Codes'!B:I,8,0)+VLOOKUP(D2426,'Species Codes'!B:J,9,0)*(((E2426*2.54)/100)^2)*(I2426*0.3048)))))*0.0011023),0)</f>
        <v>#N/A</v>
      </c>
      <c r="AC2426" s="104" t="e">
        <f>IF(Z2426&gt;0,((IF(OR(D2426="RA",D2426="OA",D2426="OT",D2426="UN",D2426="PC"),EXP(VLOOKUP(D2426,'Species Codes'!B:O,14,0)+VLOOKUP(D2426,'Species Codes'!B:P,15,0)*LN((E2426*2.54)))-EXP(VLOOKUP(D2426,'Species Codes'!B:O,14,0)+VLOOKUP(D2426,'Species Codes'!B:P,15,0)*LN((E2426*2.54)))*(1/(VLOOKUP(D2426,'Species Codes'!B:Q,16,0)+VLOOKUP(D2426,'Species Codes'!B:R,17,0)*((E2426*2.54)^VLOOKUP(D2426,'Species Codes'!B:S,18,0)))),IF(OR(D2426="BM",D2426="MD",D2426="OA"),EXP(VLOOKUP(D2426,'Species Codes'!B:O,14,0)+VLOOKUP(D2426,'Species Codes'!B:P,15,0)*LN((E2426*2.54)))*(1-(1/(VLOOKUP(D2426,'Species Codes'!B:Q,16,0)+VLOOKUP(D2426,'Species Codes'!B:R,17,0)*((E2426*2.54)^VLOOKUP(D2426,'Species Codes'!B:S,18,0)))))/1000,IF(D2426="DF",EXP(VLOOKUP(D2426,'Species Codes'!B:O,14,0)+VLOOKUP(D2426,'Species Codes'!B:P,15,0)*LN((E2426*2.54))),VLOOKUP(D2426,'Species Codes'!B:O,14,0)+VLOOKUP(D2426,'Species Codes'!B:P,15,0)*(((E2426*2.54)/100)^2)*(I2426*0.3048)))))*0.0011023),0)</f>
        <v>#N/A</v>
      </c>
      <c r="AD2426" s="104" t="e">
        <f t="shared" si="1057"/>
        <v>#N/A</v>
      </c>
      <c r="AE2426" s="104" t="e">
        <f t="shared" si="1058"/>
        <v>#N/A</v>
      </c>
      <c r="AF2426" s="104" t="e">
        <f>IF(AND(VLOOKUP($D2426,Merchantability!$B:$C,2,0)="Yes",$E2426&gt;=VLOOKUP($D2426,Merchantability!$B:$D,3,0),$E2426&lt;=VLOOKUP($D2426,Merchantability!$B:$E,4,0)),AA2426,0)</f>
        <v>#N/A</v>
      </c>
      <c r="AG2426" s="104" t="e">
        <f>IF(AND(VLOOKUP($D2426,Merchantability!$B:$C,2,0)="Yes",$E2426&gt;=VLOOKUP($D2426,Merchantability!$B:$D,3,0),$E2426&lt;=VLOOKUP($D2426,Merchantability!$B:$E,4,0)),AB2426,0)</f>
        <v>#N/A</v>
      </c>
      <c r="AH2426" s="104" t="e">
        <f>IF(AND(VLOOKUP($D2426,Merchantability!$B:$C,2,0)="Yes",$E2426&gt;=VLOOKUP($D2426,Merchantability!$B:$D,3,0),$E2426&lt;=VLOOKUP($D2426,Merchantability!$B:$E,4,0)),AC2426,0)</f>
        <v>#N/A</v>
      </c>
      <c r="AI2426" s="104" t="e">
        <f t="shared" si="1059"/>
        <v>#N/A</v>
      </c>
      <c r="AJ2426" s="104" t="e">
        <f t="shared" si="1060"/>
        <v>#VALUE!</v>
      </c>
      <c r="AK2426" s="104" t="e">
        <f t="shared" si="1061"/>
        <v>#N/A</v>
      </c>
      <c r="AL2426" s="104" t="e">
        <f t="shared" si="1062"/>
        <v>#N/A</v>
      </c>
      <c r="AM2426" s="104" t="e">
        <f t="shared" si="1063"/>
        <v>#N/A</v>
      </c>
      <c r="AN2426" s="104" t="e">
        <f t="shared" si="1047"/>
        <v>#N/A</v>
      </c>
      <c r="AO2426" s="104" t="e">
        <f t="shared" si="1048"/>
        <v>#N/A</v>
      </c>
      <c r="AP2426" s="104" t="e">
        <f t="shared" si="1049"/>
        <v>#N/A</v>
      </c>
      <c r="AQ2426" s="104" t="e">
        <f t="shared" si="1050"/>
        <v>#N/A</v>
      </c>
      <c r="AR2426" s="105" t="str">
        <f t="shared" si="1042"/>
        <v/>
      </c>
      <c r="AS2426" s="105" t="str">
        <f t="shared" si="1043"/>
        <v/>
      </c>
      <c r="AT2426" s="108" t="str">
        <f t="shared" si="1044"/>
        <v/>
      </c>
      <c r="AU2426" s="108" t="str">
        <f t="shared" si="1045"/>
        <v/>
      </c>
      <c r="AV2426" s="107" t="str">
        <f>IF(ISNUMBER(O2426),IF(VLOOKUP($A2426,Stand!C:J,8,FALSE)="Short",AT2426,AU2426),"")</f>
        <v/>
      </c>
      <c r="AW2426" s="109" t="str">
        <f t="shared" si="1051"/>
        <v/>
      </c>
      <c r="AX2426" s="109" t="str">
        <f t="shared" si="1052"/>
        <v/>
      </c>
      <c r="AY2426" s="112" t="str">
        <f>IF(ISNUMBER(O2426),IF(AND(VLOOKUP($D2426,Merchantability!$B:$C,2,0)="Yes",$E2426&gt;=VLOOKUP($D2426,Merchantability!$B:$D,3,0),$E2426&lt;=VLOOKUP($D2426,Merchantability!$B:$E,4,0)),(AV2426*O2426)*(1-$H2426/100),""),"")</f>
        <v/>
      </c>
      <c r="AZ2426" s="116"/>
      <c r="BA2426" s="116"/>
      <c r="BB2426" s="116"/>
      <c r="BE2426" s="62"/>
      <c r="BF2426" s="63"/>
    </row>
    <row r="2427" spans="1:58" ht="12.75" customHeight="1" x14ac:dyDescent="0.25">
      <c r="A2427" s="334"/>
      <c r="B2427" s="334"/>
      <c r="C2427" s="332"/>
      <c r="D2427" s="334"/>
      <c r="E2427" s="335"/>
      <c r="F2427" s="334"/>
      <c r="G2427" s="332"/>
      <c r="H2427" s="332"/>
      <c r="I2427" s="334"/>
      <c r="J2427" s="336"/>
      <c r="K2427" s="332"/>
      <c r="L2427" s="332"/>
      <c r="M2427" s="76"/>
      <c r="N2427" s="103" t="str">
        <f>IF(A2427="","",VLOOKUP(A2427,Stand!C:K,9,0))</f>
        <v/>
      </c>
      <c r="O2427" s="104" t="str">
        <f t="shared" si="1037"/>
        <v/>
      </c>
      <c r="P2427" s="105" t="str">
        <f t="shared" si="1038"/>
        <v/>
      </c>
      <c r="Q2427" s="105" t="str">
        <f t="shared" si="1053"/>
        <v/>
      </c>
      <c r="R2427" s="103" t="str">
        <f t="shared" si="1039"/>
        <v/>
      </c>
      <c r="S2427" s="103" t="str">
        <f t="shared" si="1040"/>
        <v/>
      </c>
      <c r="T2427" s="106" t="str">
        <f t="shared" si="1054"/>
        <v/>
      </c>
      <c r="U2427" s="106" t="str">
        <f t="shared" si="1055"/>
        <v/>
      </c>
      <c r="V2427" s="106" t="str">
        <f t="shared" si="1056"/>
        <v/>
      </c>
      <c r="W2427" s="105" t="str">
        <f t="shared" si="1041"/>
        <v/>
      </c>
      <c r="X2427" s="104" t="str">
        <f t="shared" si="1046"/>
        <v/>
      </c>
      <c r="Y2427" s="104" t="str">
        <f t="array" ref="Y2427">IFERROR(IF(ISNUMBER(O2427),IF(COUNT(IF(A2427=$A$2:$A$2427,IF(D2427=$D$2:$D$2427,IF($X$2:$X$2427&gt;0,1))))&gt;0,SUM(IF(A2427=$A$2:$A$2427,IF(D2427=$D$2:$D$2427,$X$2:$X$2427)))/COUNT(IF(A2427=$A$2:$A$2427,IF(D2427=$D$2:$D$2427,IF(ISNUMBER($X$2:$X$2427),1)))),0),""),0)</f>
        <v/>
      </c>
      <c r="Z2427" s="104" t="str">
        <f>IF(ISNUMBER(O2427),IF(I2427&gt;0,(10^(VLOOKUP(D2427,'Species Codes'!B:C,2,0)+VLOOKUP(D2427,'Species Codes'!B:D,3,0)*LOG(E2427)+VLOOKUP(D2427,'Species Codes'!B:E,4,0)*LOG(I2427))),0),"")</f>
        <v/>
      </c>
      <c r="AA2427" s="104" t="str">
        <f>IFERROR((VLOOKUP(D2427,'Species Codes'!B:G,6,0)*Z2427)/2000,"")</f>
        <v/>
      </c>
      <c r="AB2427" s="104" t="e">
        <f>IF(Z2427&gt;0,((IF(OR(D2427="DF",D2427="RA")=TRUE,EXP(VLOOKUP(D2427,'Species Codes'!B:I,8,0)+VLOOKUP(D2427,'Species Codes'!B:J,9,0)*(LN((E2427*2.54)))),IF(OR(D2427="PY",D2427="RC",D2427="WH",D2427="NF")=TRUE,VLOOKUP(D2427,'Species Codes'!B:I,8,0)+VLOOKUP(D2427,'Species Codes'!B:J,9,0)*((E2427*2.54)^2)*(I2427*0.3048),IF(OR(D2427="MD",D2427="BM",D2427="GA")=TRUE,((VLOOKUP(D2427,'Species Codes'!B:I,8,0)*(((((E2427*2.54)+VLOOKUP(D2427,'Species Codes'!B:J,9,0))/VLOOKUP(D2427,'Species Codes'!B:K,10,0))^VLOOKUP(D2427,'Species Codes'!B:L,11,0))*((I2427*0.3048)^VLOOKUP(D2427,'Species Codes'!B:M,12,0))))-(VLOOKUP(D2427,'Species Codes'!B:I,8,0)*((((E2427*2.54)^VLOOKUP(D2427,'Species Codes'!B:L,11,0))*((I2427*0.3048)^VLOOKUP(D2427,'Species Codes'!B:M,12,0))))))*35.3*VLOOKUP(D2427,'Species Codes'!B:G,6,0)/2.2046,VLOOKUP(D2427,'Species Codes'!B:I,8,0)+VLOOKUP(D2427,'Species Codes'!B:J,9,0)*(((E2427*2.54)/100)^2)*(I2427*0.3048)))))*0.0011023),0)</f>
        <v>#N/A</v>
      </c>
      <c r="AC2427" s="104" t="e">
        <f>IF(Z2427&gt;0,((IF(OR(D2427="RA",D2427="OA",D2427="OT",D2427="UN",D2427="PC"),EXP(VLOOKUP(D2427,'Species Codes'!B:O,14,0)+VLOOKUP(D2427,'Species Codes'!B:P,15,0)*LN((E2427*2.54)))-EXP(VLOOKUP(D2427,'Species Codes'!B:O,14,0)+VLOOKUP(D2427,'Species Codes'!B:P,15,0)*LN((E2427*2.54)))*(1/(VLOOKUP(D2427,'Species Codes'!B:Q,16,0)+VLOOKUP(D2427,'Species Codes'!B:R,17,0)*((E2427*2.54)^VLOOKUP(D2427,'Species Codes'!B:S,18,0)))),IF(OR(D2427="BM",D2427="MD",D2427="OA"),EXP(VLOOKUP(D2427,'Species Codes'!B:O,14,0)+VLOOKUP(D2427,'Species Codes'!B:P,15,0)*LN((E2427*2.54)))*(1-(1/(VLOOKUP(D2427,'Species Codes'!B:Q,16,0)+VLOOKUP(D2427,'Species Codes'!B:R,17,0)*((E2427*2.54)^VLOOKUP(D2427,'Species Codes'!B:S,18,0)))))/1000,IF(D2427="DF",EXP(VLOOKUP(D2427,'Species Codes'!B:O,14,0)+VLOOKUP(D2427,'Species Codes'!B:P,15,0)*LN((E2427*2.54))),VLOOKUP(D2427,'Species Codes'!B:O,14,0)+VLOOKUP(D2427,'Species Codes'!B:P,15,0)*(((E2427*2.54)/100)^2)*(I2427*0.3048)))))*0.0011023),0)</f>
        <v>#N/A</v>
      </c>
      <c r="AD2427" s="104" t="e">
        <f t="shared" si="1057"/>
        <v>#N/A</v>
      </c>
      <c r="AE2427" s="104" t="e">
        <f t="shared" si="1058"/>
        <v>#N/A</v>
      </c>
      <c r="AF2427" s="104" t="e">
        <f>IF(AND(VLOOKUP($D2427,Merchantability!$B:$C,2,0)="Yes",$E2427&gt;=VLOOKUP($D2427,Merchantability!$B:$D,3,0),$E2427&lt;=VLOOKUP($D2427,Merchantability!$B:$E,4,0)),AA2427,0)</f>
        <v>#N/A</v>
      </c>
      <c r="AG2427" s="104" t="e">
        <f>IF(AND(VLOOKUP($D2427,Merchantability!$B:$C,2,0)="Yes",$E2427&gt;=VLOOKUP($D2427,Merchantability!$B:$D,3,0),$E2427&lt;=VLOOKUP($D2427,Merchantability!$B:$E,4,0)),AB2427,0)</f>
        <v>#N/A</v>
      </c>
      <c r="AH2427" s="104" t="e">
        <f>IF(AND(VLOOKUP($D2427,Merchantability!$B:$C,2,0)="Yes",$E2427&gt;=VLOOKUP($D2427,Merchantability!$B:$D,3,0),$E2427&lt;=VLOOKUP($D2427,Merchantability!$B:$E,4,0)),AC2427,0)</f>
        <v>#N/A</v>
      </c>
      <c r="AI2427" s="104" t="e">
        <f t="shared" si="1059"/>
        <v>#N/A</v>
      </c>
      <c r="AJ2427" s="104" t="e">
        <f t="shared" si="1060"/>
        <v>#VALUE!</v>
      </c>
      <c r="AK2427" s="104" t="e">
        <f t="shared" si="1061"/>
        <v>#N/A</v>
      </c>
      <c r="AL2427" s="104" t="e">
        <f t="shared" si="1062"/>
        <v>#N/A</v>
      </c>
      <c r="AM2427" s="104" t="e">
        <f t="shared" si="1063"/>
        <v>#N/A</v>
      </c>
      <c r="AN2427" s="104" t="e">
        <f t="shared" si="1047"/>
        <v>#N/A</v>
      </c>
      <c r="AO2427" s="104" t="e">
        <f t="shared" si="1048"/>
        <v>#N/A</v>
      </c>
      <c r="AP2427" s="104" t="e">
        <f t="shared" si="1049"/>
        <v>#N/A</v>
      </c>
      <c r="AQ2427" s="104" t="e">
        <f t="shared" si="1050"/>
        <v>#N/A</v>
      </c>
      <c r="AR2427" s="105" t="str">
        <f t="shared" si="1042"/>
        <v/>
      </c>
      <c r="AS2427" s="105" t="str">
        <f t="shared" si="1043"/>
        <v/>
      </c>
      <c r="AT2427" s="108" t="str">
        <f t="shared" si="1044"/>
        <v/>
      </c>
      <c r="AU2427" s="108" t="str">
        <f t="shared" si="1045"/>
        <v/>
      </c>
      <c r="AV2427" s="107" t="str">
        <f>IF(ISNUMBER(O2427),IF(VLOOKUP($A2427,Stand!C:J,8,FALSE)="Short",AT2427,AU2427),"")</f>
        <v/>
      </c>
      <c r="AW2427" s="109" t="str">
        <f t="shared" si="1051"/>
        <v/>
      </c>
      <c r="AX2427" s="109" t="str">
        <f t="shared" si="1052"/>
        <v/>
      </c>
      <c r="AY2427" s="112" t="str">
        <f>IF(ISNUMBER(O2427),IF(AND(VLOOKUP($D2427,Merchantability!$B:$C,2,0)="Yes",$E2427&gt;=VLOOKUP($D2427,Merchantability!$B:$D,3,0),$E2427&lt;=VLOOKUP($D2427,Merchantability!$B:$E,4,0)),(AV2427*O2427)*(1-$H2427/100),""),"")</f>
        <v/>
      </c>
      <c r="AZ2427" s="116"/>
      <c r="BA2427" s="116"/>
      <c r="BB2427" s="116"/>
      <c r="BE2427" s="62"/>
      <c r="BF2427" s="63"/>
    </row>
    <row r="2428" spans="1:58" s="118" customFormat="1" ht="12.75" customHeight="1" x14ac:dyDescent="0.25">
      <c r="A2428" s="64" t="s">
        <v>176</v>
      </c>
      <c r="B2428" s="64" t="s">
        <v>176</v>
      </c>
      <c r="C2428" s="64" t="s">
        <v>176</v>
      </c>
      <c r="D2428" s="64" t="s">
        <v>176</v>
      </c>
      <c r="E2428" s="296" t="s">
        <v>176</v>
      </c>
      <c r="F2428" s="64" t="s">
        <v>176</v>
      </c>
      <c r="G2428" s="64" t="s">
        <v>176</v>
      </c>
      <c r="H2428" s="64" t="s">
        <v>176</v>
      </c>
      <c r="I2428" s="64" t="s">
        <v>176</v>
      </c>
      <c r="J2428" s="64" t="s">
        <v>176</v>
      </c>
      <c r="K2428" s="64"/>
      <c r="L2428" s="64" t="s">
        <v>176</v>
      </c>
      <c r="M2428" s="79" t="s">
        <v>176</v>
      </c>
      <c r="N2428" s="64" t="s">
        <v>176</v>
      </c>
      <c r="O2428" s="64" t="s">
        <v>176</v>
      </c>
      <c r="P2428" s="64" t="s">
        <v>176</v>
      </c>
      <c r="Q2428" s="64" t="s">
        <v>176</v>
      </c>
      <c r="R2428" s="64" t="s">
        <v>176</v>
      </c>
      <c r="S2428" s="64" t="s">
        <v>176</v>
      </c>
      <c r="T2428" s="64" t="s">
        <v>176</v>
      </c>
      <c r="U2428" s="64" t="s">
        <v>176</v>
      </c>
      <c r="V2428" s="64" t="s">
        <v>176</v>
      </c>
      <c r="W2428" s="64" t="s">
        <v>176</v>
      </c>
      <c r="X2428" s="64" t="s">
        <v>176</v>
      </c>
      <c r="Y2428" s="64" t="s">
        <v>176</v>
      </c>
      <c r="Z2428" s="64" t="s">
        <v>176</v>
      </c>
      <c r="AA2428" s="104" t="str">
        <f>IFERROR((VLOOKUP(D2428,'Species Codes'!B:G,6,0)*Z2428)/2000,"")</f>
        <v/>
      </c>
      <c r="AB2428" s="64" t="s">
        <v>176</v>
      </c>
      <c r="AC2428" s="64" t="s">
        <v>176</v>
      </c>
      <c r="AD2428" s="64" t="s">
        <v>176</v>
      </c>
      <c r="AE2428" s="64" t="s">
        <v>176</v>
      </c>
      <c r="AF2428" s="64" t="s">
        <v>176</v>
      </c>
      <c r="AG2428" s="64" t="s">
        <v>176</v>
      </c>
      <c r="AH2428" s="64" t="s">
        <v>176</v>
      </c>
      <c r="AI2428" s="64" t="s">
        <v>176</v>
      </c>
      <c r="AJ2428" s="64" t="s">
        <v>176</v>
      </c>
      <c r="AK2428" s="64" t="s">
        <v>176</v>
      </c>
      <c r="AL2428" s="64" t="s">
        <v>176</v>
      </c>
      <c r="AM2428" s="64" t="s">
        <v>176</v>
      </c>
      <c r="AN2428" s="64" t="s">
        <v>176</v>
      </c>
      <c r="AO2428" s="64" t="s">
        <v>176</v>
      </c>
      <c r="AP2428" s="64" t="s">
        <v>176</v>
      </c>
      <c r="AQ2428" s="64" t="s">
        <v>176</v>
      </c>
      <c r="AR2428" s="64" t="s">
        <v>176</v>
      </c>
      <c r="AS2428" s="64" t="s">
        <v>176</v>
      </c>
      <c r="AT2428" s="64" t="s">
        <v>176</v>
      </c>
      <c r="AU2428" s="64" t="s">
        <v>176</v>
      </c>
      <c r="AV2428" s="64" t="s">
        <v>176</v>
      </c>
      <c r="AW2428" s="64" t="s">
        <v>176</v>
      </c>
      <c r="AX2428" s="64" t="s">
        <v>176</v>
      </c>
      <c r="AY2428" s="113" t="s">
        <v>176</v>
      </c>
      <c r="AZ2428" s="117"/>
      <c r="BA2428" s="117"/>
      <c r="BB2428" s="116"/>
      <c r="BE2428" s="119"/>
      <c r="BF2428" s="120"/>
    </row>
  </sheetData>
  <autoFilter ref="A1:XEY92" xr:uid="{00000000-0009-0000-0000-000002000000}">
    <sortState xmlns:xlrd2="http://schemas.microsoft.com/office/spreadsheetml/2017/richdata2" ref="A2:XEY214">
      <sortCondition ref="B1:B92"/>
    </sortState>
  </autoFilter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P208"/>
  <sheetViews>
    <sheetView topLeftCell="C1" zoomScale="75" zoomScaleNormal="75" zoomScalePageLayoutView="85" workbookViewId="0">
      <pane ySplit="1" topLeftCell="A2" activePane="bottomLeft" state="frozen"/>
      <selection activeCell="O27" sqref="O27"/>
      <selection pane="bottomLeft" activeCell="O44" sqref="O44"/>
    </sheetView>
  </sheetViews>
  <sheetFormatPr defaultColWidth="17.21875" defaultRowHeight="15" customHeight="1" x14ac:dyDescent="0.25"/>
  <cols>
    <col min="1" max="1" width="15.44140625" hidden="1" customWidth="1"/>
    <col min="2" max="2" width="15.21875" hidden="1" customWidth="1"/>
    <col min="3" max="3" width="19.21875" style="37" bestFit="1" customWidth="1"/>
    <col min="4" max="4" width="15.21875" style="37" bestFit="1" customWidth="1"/>
    <col min="5" max="5" width="13.21875" customWidth="1"/>
    <col min="6" max="6" width="12.77734375" customWidth="1"/>
    <col min="7" max="13" width="8.77734375" customWidth="1"/>
  </cols>
  <sheetData>
    <row r="1" spans="1:13" ht="27" customHeight="1" x14ac:dyDescent="0.25">
      <c r="A1" s="7" t="s">
        <v>36</v>
      </c>
      <c r="B1" s="7" t="s">
        <v>37</v>
      </c>
      <c r="C1" s="127" t="s">
        <v>1</v>
      </c>
      <c r="D1" s="127" t="s">
        <v>10</v>
      </c>
      <c r="E1" s="33"/>
      <c r="F1" s="5"/>
      <c r="J1" s="4"/>
      <c r="K1" s="4"/>
      <c r="L1" s="4"/>
      <c r="M1" s="4"/>
    </row>
    <row r="2" spans="1:13" ht="13.5" customHeight="1" x14ac:dyDescent="0.25">
      <c r="A2" s="18" t="str">
        <f t="shared" ref="A2:A124" si="0">C2&amp;D2</f>
        <v/>
      </c>
      <c r="B2" s="18" t="str">
        <f t="shared" ref="B2:B65" si="1">IF(LEN(C2)&gt;0,C2&amp;COUNTIF($C$2:$C2,C2),"")</f>
        <v/>
      </c>
      <c r="C2" s="331"/>
      <c r="D2" s="331"/>
      <c r="E2" s="18"/>
      <c r="F2" s="61"/>
      <c r="J2" s="4"/>
      <c r="K2" s="4"/>
      <c r="L2" s="4"/>
      <c r="M2" s="4"/>
    </row>
    <row r="3" spans="1:13" ht="13.5" customHeight="1" x14ac:dyDescent="0.25">
      <c r="A3" s="18" t="str">
        <f t="shared" si="0"/>
        <v/>
      </c>
      <c r="B3" s="18" t="str">
        <f t="shared" si="1"/>
        <v/>
      </c>
      <c r="C3" s="331"/>
      <c r="D3" s="331"/>
      <c r="E3" s="18"/>
      <c r="F3" s="1"/>
      <c r="J3" s="4"/>
      <c r="K3" s="4"/>
      <c r="L3" s="4"/>
      <c r="M3" s="4"/>
    </row>
    <row r="4" spans="1:13" ht="13.5" customHeight="1" x14ac:dyDescent="0.25">
      <c r="A4" s="18" t="str">
        <f t="shared" si="0"/>
        <v/>
      </c>
      <c r="B4" s="18" t="str">
        <f t="shared" si="1"/>
        <v/>
      </c>
      <c r="C4" s="331"/>
      <c r="D4" s="331"/>
      <c r="E4" s="18"/>
      <c r="F4" s="1"/>
      <c r="J4" s="4"/>
      <c r="K4" s="4"/>
      <c r="L4" s="4"/>
      <c r="M4" s="4"/>
    </row>
    <row r="5" spans="1:13" ht="14.25" customHeight="1" x14ac:dyDescent="0.25">
      <c r="A5" s="18" t="str">
        <f t="shared" si="0"/>
        <v/>
      </c>
      <c r="B5" s="18" t="str">
        <f t="shared" si="1"/>
        <v/>
      </c>
      <c r="C5" s="331"/>
      <c r="D5" s="331"/>
      <c r="E5" s="18"/>
      <c r="F5" s="1"/>
      <c r="J5" s="4"/>
      <c r="K5" s="4"/>
      <c r="L5" s="4"/>
      <c r="M5" s="4"/>
    </row>
    <row r="6" spans="1:13" ht="14.25" customHeight="1" x14ac:dyDescent="0.25">
      <c r="A6" s="18" t="str">
        <f t="shared" si="0"/>
        <v/>
      </c>
      <c r="B6" s="18" t="str">
        <f t="shared" si="1"/>
        <v/>
      </c>
      <c r="C6" s="331"/>
      <c r="D6" s="331"/>
      <c r="E6" s="18"/>
      <c r="F6" s="1"/>
      <c r="J6" s="4"/>
      <c r="K6" s="4"/>
      <c r="L6" s="4"/>
      <c r="M6" s="4"/>
    </row>
    <row r="7" spans="1:13" ht="14.25" customHeight="1" x14ac:dyDescent="0.25">
      <c r="A7" s="18" t="str">
        <f t="shared" si="0"/>
        <v/>
      </c>
      <c r="B7" s="18" t="str">
        <f t="shared" si="1"/>
        <v/>
      </c>
      <c r="C7" s="331"/>
      <c r="D7" s="331"/>
      <c r="E7" s="18"/>
      <c r="F7" s="1"/>
      <c r="J7" s="4"/>
      <c r="K7" s="4"/>
      <c r="L7" s="4"/>
      <c r="M7" s="4"/>
    </row>
    <row r="8" spans="1:13" ht="14.25" customHeight="1" x14ac:dyDescent="0.25">
      <c r="A8" s="18" t="str">
        <f t="shared" si="0"/>
        <v/>
      </c>
      <c r="B8" s="18" t="str">
        <f t="shared" si="1"/>
        <v/>
      </c>
      <c r="C8" s="331"/>
      <c r="D8" s="331"/>
      <c r="E8" s="18"/>
      <c r="J8" s="4"/>
      <c r="K8" s="4"/>
      <c r="L8" s="4"/>
      <c r="M8" s="4"/>
    </row>
    <row r="9" spans="1:13" ht="14.25" customHeight="1" x14ac:dyDescent="0.25">
      <c r="A9" s="18" t="str">
        <f t="shared" si="0"/>
        <v/>
      </c>
      <c r="B9" s="18" t="str">
        <f t="shared" si="1"/>
        <v/>
      </c>
      <c r="C9" s="331"/>
      <c r="D9" s="331"/>
      <c r="E9" s="18"/>
      <c r="F9" s="1"/>
      <c r="J9" s="4"/>
      <c r="K9" s="4"/>
      <c r="L9" s="4"/>
      <c r="M9" s="4"/>
    </row>
    <row r="10" spans="1:13" ht="14.25" customHeight="1" x14ac:dyDescent="0.25">
      <c r="A10" s="18" t="str">
        <f t="shared" si="0"/>
        <v/>
      </c>
      <c r="B10" s="18" t="str">
        <f t="shared" si="1"/>
        <v/>
      </c>
      <c r="C10" s="331"/>
      <c r="D10" s="331"/>
      <c r="E10" s="18"/>
      <c r="F10" s="1"/>
      <c r="J10" s="4"/>
      <c r="K10" s="4"/>
      <c r="L10" s="4"/>
      <c r="M10" s="4"/>
    </row>
    <row r="11" spans="1:13" ht="14.25" customHeight="1" x14ac:dyDescent="0.25">
      <c r="A11" s="18" t="str">
        <f t="shared" si="0"/>
        <v/>
      </c>
      <c r="B11" s="18" t="str">
        <f t="shared" si="1"/>
        <v/>
      </c>
      <c r="C11" s="331"/>
      <c r="D11" s="331"/>
      <c r="E11" s="18"/>
      <c r="F11" s="1"/>
      <c r="J11" s="4"/>
      <c r="K11" s="4"/>
      <c r="L11" s="4"/>
      <c r="M11" s="4"/>
    </row>
    <row r="12" spans="1:13" ht="14.25" customHeight="1" x14ac:dyDescent="0.25">
      <c r="A12" s="18" t="str">
        <f t="shared" si="0"/>
        <v/>
      </c>
      <c r="B12" s="18" t="str">
        <f t="shared" si="1"/>
        <v/>
      </c>
      <c r="C12" s="331"/>
      <c r="D12" s="331"/>
      <c r="E12" s="33"/>
      <c r="F12" s="1"/>
      <c r="J12" s="4"/>
      <c r="K12" s="4"/>
      <c r="L12" s="4"/>
      <c r="M12" s="4"/>
    </row>
    <row r="13" spans="1:13" ht="14.25" customHeight="1" x14ac:dyDescent="0.25">
      <c r="A13" s="18" t="str">
        <f t="shared" si="0"/>
        <v/>
      </c>
      <c r="B13" s="18" t="str">
        <f t="shared" si="1"/>
        <v/>
      </c>
      <c r="C13" s="331"/>
      <c r="D13" s="331"/>
      <c r="E13" s="33"/>
      <c r="F13" s="1"/>
      <c r="J13" s="4"/>
      <c r="K13" s="4"/>
      <c r="L13" s="4"/>
      <c r="M13" s="4"/>
    </row>
    <row r="14" spans="1:13" ht="14.25" customHeight="1" x14ac:dyDescent="0.25">
      <c r="A14" s="18" t="str">
        <f t="shared" si="0"/>
        <v/>
      </c>
      <c r="B14" s="18" t="str">
        <f t="shared" si="1"/>
        <v/>
      </c>
      <c r="C14" s="331"/>
      <c r="D14" s="331"/>
      <c r="E14" s="33"/>
      <c r="F14" s="1"/>
      <c r="J14" s="4"/>
      <c r="K14" s="4"/>
      <c r="L14" s="4"/>
      <c r="M14" s="4"/>
    </row>
    <row r="15" spans="1:13" ht="14.25" customHeight="1" x14ac:dyDescent="0.25">
      <c r="A15" s="18" t="str">
        <f t="shared" si="0"/>
        <v/>
      </c>
      <c r="B15" s="18" t="str">
        <f t="shared" si="1"/>
        <v/>
      </c>
      <c r="C15" s="331"/>
      <c r="D15" s="331"/>
      <c r="E15" s="33"/>
      <c r="F15" s="1"/>
      <c r="J15" s="4"/>
      <c r="K15" s="4"/>
      <c r="L15" s="4"/>
      <c r="M15" s="4"/>
    </row>
    <row r="16" spans="1:13" ht="14.25" customHeight="1" x14ac:dyDescent="0.25">
      <c r="A16" s="18" t="str">
        <f t="shared" si="0"/>
        <v/>
      </c>
      <c r="B16" s="18" t="str">
        <f t="shared" si="1"/>
        <v/>
      </c>
      <c r="C16" s="331"/>
      <c r="D16" s="331"/>
      <c r="E16" s="33"/>
      <c r="F16" s="1"/>
      <c r="J16" s="4"/>
      <c r="K16" s="4"/>
      <c r="L16" s="4"/>
      <c r="M16" s="4"/>
    </row>
    <row r="17" spans="1:13" ht="14.25" customHeight="1" x14ac:dyDescent="0.25">
      <c r="A17" s="18" t="str">
        <f t="shared" si="0"/>
        <v/>
      </c>
      <c r="B17" s="18" t="str">
        <f t="shared" si="1"/>
        <v/>
      </c>
      <c r="C17" s="331"/>
      <c r="D17" s="331"/>
      <c r="E17" s="33"/>
      <c r="F17" s="1"/>
      <c r="J17" s="4"/>
      <c r="K17" s="4"/>
      <c r="L17" s="4"/>
      <c r="M17" s="4"/>
    </row>
    <row r="18" spans="1:13" ht="14.25" customHeight="1" x14ac:dyDescent="0.25">
      <c r="A18" s="18" t="str">
        <f t="shared" si="0"/>
        <v/>
      </c>
      <c r="B18" s="18" t="str">
        <f t="shared" si="1"/>
        <v/>
      </c>
      <c r="C18" s="331"/>
      <c r="D18" s="331"/>
      <c r="E18" s="33"/>
      <c r="F18" s="1"/>
      <c r="J18" s="4"/>
      <c r="K18" s="4"/>
      <c r="L18" s="4"/>
      <c r="M18" s="4"/>
    </row>
    <row r="19" spans="1:13" ht="14.25" customHeight="1" x14ac:dyDescent="0.25">
      <c r="A19" s="18" t="str">
        <f t="shared" si="0"/>
        <v/>
      </c>
      <c r="B19" s="18" t="str">
        <f t="shared" si="1"/>
        <v/>
      </c>
      <c r="C19" s="331"/>
      <c r="D19" s="331"/>
      <c r="E19" s="33"/>
      <c r="F19" s="1"/>
      <c r="J19" s="4"/>
      <c r="K19" s="4"/>
      <c r="L19" s="4"/>
      <c r="M19" s="4"/>
    </row>
    <row r="20" spans="1:13" ht="14.25" customHeight="1" x14ac:dyDescent="0.25">
      <c r="A20" s="18" t="str">
        <f t="shared" si="0"/>
        <v/>
      </c>
      <c r="B20" s="18" t="str">
        <f t="shared" si="1"/>
        <v/>
      </c>
      <c r="C20" s="331"/>
      <c r="D20" s="331"/>
      <c r="E20" s="33"/>
      <c r="F20" s="1"/>
      <c r="J20" s="4"/>
      <c r="K20" s="4"/>
      <c r="L20" s="4"/>
      <c r="M20" s="4"/>
    </row>
    <row r="21" spans="1:13" ht="14.25" customHeight="1" x14ac:dyDescent="0.25">
      <c r="A21" s="18" t="str">
        <f t="shared" si="0"/>
        <v/>
      </c>
      <c r="B21" s="18" t="str">
        <f t="shared" si="1"/>
        <v/>
      </c>
      <c r="C21" s="331"/>
      <c r="D21" s="331"/>
      <c r="E21" s="33"/>
      <c r="F21" s="1"/>
      <c r="J21" s="4"/>
      <c r="K21" s="4"/>
      <c r="L21" s="4"/>
      <c r="M21" s="4"/>
    </row>
    <row r="22" spans="1:13" ht="14.25" customHeight="1" x14ac:dyDescent="0.25">
      <c r="A22" s="18" t="str">
        <f t="shared" si="0"/>
        <v/>
      </c>
      <c r="B22" s="18" t="str">
        <f t="shared" si="1"/>
        <v/>
      </c>
      <c r="C22" s="331"/>
      <c r="D22" s="331"/>
      <c r="E22" s="33"/>
      <c r="F22" s="1"/>
      <c r="J22" s="4"/>
      <c r="K22" s="4"/>
      <c r="L22" s="4"/>
      <c r="M22" s="4"/>
    </row>
    <row r="23" spans="1:13" ht="14.25" customHeight="1" x14ac:dyDescent="0.25">
      <c r="A23" s="18" t="str">
        <f t="shared" si="0"/>
        <v/>
      </c>
      <c r="B23" s="18" t="str">
        <f t="shared" si="1"/>
        <v/>
      </c>
      <c r="C23" s="331"/>
      <c r="D23" s="331"/>
      <c r="E23" s="33"/>
      <c r="F23" s="1"/>
      <c r="J23" s="4"/>
      <c r="K23" s="4"/>
      <c r="L23" s="4"/>
      <c r="M23" s="4"/>
    </row>
    <row r="24" spans="1:13" ht="14.25" customHeight="1" x14ac:dyDescent="0.25">
      <c r="A24" s="18" t="str">
        <f t="shared" si="0"/>
        <v/>
      </c>
      <c r="B24" s="18" t="str">
        <f t="shared" si="1"/>
        <v/>
      </c>
      <c r="C24" s="331"/>
      <c r="D24" s="331"/>
      <c r="E24" s="33"/>
      <c r="F24" s="1"/>
      <c r="J24" s="4"/>
      <c r="K24" s="4"/>
      <c r="L24" s="4"/>
      <c r="M24" s="4"/>
    </row>
    <row r="25" spans="1:13" ht="14.25" customHeight="1" x14ac:dyDescent="0.25">
      <c r="A25" s="18" t="str">
        <f t="shared" si="0"/>
        <v/>
      </c>
      <c r="B25" s="18" t="str">
        <f t="shared" si="1"/>
        <v/>
      </c>
      <c r="C25" s="331"/>
      <c r="D25" s="331"/>
      <c r="E25" s="33"/>
      <c r="F25" s="1"/>
      <c r="J25" s="4"/>
      <c r="K25" s="4"/>
      <c r="L25" s="4"/>
      <c r="M25" s="4"/>
    </row>
    <row r="26" spans="1:13" ht="14.25" customHeight="1" x14ac:dyDescent="0.25">
      <c r="A26" s="18" t="str">
        <f t="shared" si="0"/>
        <v/>
      </c>
      <c r="B26" s="18" t="str">
        <f t="shared" si="1"/>
        <v/>
      </c>
      <c r="C26" s="331"/>
      <c r="D26" s="331"/>
      <c r="E26" s="33"/>
      <c r="F26" s="1"/>
      <c r="J26" s="4"/>
      <c r="K26" s="4"/>
      <c r="L26" s="4"/>
      <c r="M26" s="4"/>
    </row>
    <row r="27" spans="1:13" ht="14.25" customHeight="1" x14ac:dyDescent="0.25">
      <c r="A27" s="18" t="str">
        <f t="shared" si="0"/>
        <v/>
      </c>
      <c r="B27" s="18" t="str">
        <f t="shared" si="1"/>
        <v/>
      </c>
      <c r="C27" s="331"/>
      <c r="D27" s="331"/>
      <c r="E27" s="33"/>
      <c r="F27" s="1"/>
      <c r="J27" s="4"/>
      <c r="K27" s="4"/>
      <c r="L27" s="4"/>
      <c r="M27" s="4"/>
    </row>
    <row r="28" spans="1:13" ht="14.25" customHeight="1" x14ac:dyDescent="0.25">
      <c r="A28" s="18" t="str">
        <f t="shared" si="0"/>
        <v/>
      </c>
      <c r="B28" s="18" t="str">
        <f t="shared" si="1"/>
        <v/>
      </c>
      <c r="C28" s="331"/>
      <c r="D28" s="331"/>
      <c r="E28" s="33"/>
      <c r="F28" s="1"/>
      <c r="J28" s="4"/>
      <c r="K28" s="4"/>
      <c r="L28" s="4"/>
      <c r="M28" s="4"/>
    </row>
    <row r="29" spans="1:13" ht="14.25" customHeight="1" x14ac:dyDescent="0.25">
      <c r="A29" s="18" t="str">
        <f t="shared" si="0"/>
        <v/>
      </c>
      <c r="B29" s="18" t="str">
        <f t="shared" si="1"/>
        <v/>
      </c>
      <c r="C29" s="331"/>
      <c r="D29" s="331"/>
      <c r="E29" s="33"/>
      <c r="F29" s="1"/>
      <c r="J29" s="4"/>
      <c r="K29" s="4"/>
      <c r="L29" s="4"/>
      <c r="M29" s="4"/>
    </row>
    <row r="30" spans="1:13" ht="14.25" customHeight="1" x14ac:dyDescent="0.25">
      <c r="A30" s="18" t="str">
        <f t="shared" si="0"/>
        <v/>
      </c>
      <c r="B30" s="18" t="str">
        <f t="shared" si="1"/>
        <v/>
      </c>
      <c r="C30" s="331"/>
      <c r="D30" s="331"/>
      <c r="E30" s="33"/>
      <c r="F30" s="1"/>
      <c r="J30" s="4"/>
      <c r="K30" s="4"/>
      <c r="L30" s="4"/>
      <c r="M30" s="4"/>
    </row>
    <row r="31" spans="1:13" ht="14.25" customHeight="1" x14ac:dyDescent="0.25">
      <c r="A31" s="18" t="str">
        <f t="shared" si="0"/>
        <v/>
      </c>
      <c r="B31" s="18" t="str">
        <f t="shared" si="1"/>
        <v/>
      </c>
      <c r="C31" s="331"/>
      <c r="D31" s="331"/>
      <c r="E31" s="33"/>
      <c r="F31" s="1"/>
      <c r="J31" s="4"/>
      <c r="K31" s="4"/>
      <c r="L31" s="4"/>
      <c r="M31" s="4"/>
    </row>
    <row r="32" spans="1:13" ht="14.25" customHeight="1" x14ac:dyDescent="0.25">
      <c r="A32" s="18" t="str">
        <f t="shared" si="0"/>
        <v/>
      </c>
      <c r="B32" s="18" t="str">
        <f t="shared" si="1"/>
        <v/>
      </c>
      <c r="C32" s="331"/>
      <c r="D32" s="331"/>
      <c r="E32" s="33"/>
      <c r="F32" s="1"/>
      <c r="J32" s="4"/>
      <c r="K32" s="4"/>
      <c r="L32" s="4"/>
      <c r="M32" s="4"/>
    </row>
    <row r="33" spans="1:13" ht="14.25" customHeight="1" x14ac:dyDescent="0.25">
      <c r="A33" s="18" t="str">
        <f t="shared" si="0"/>
        <v/>
      </c>
      <c r="B33" s="18" t="str">
        <f t="shared" si="1"/>
        <v/>
      </c>
      <c r="C33" s="331"/>
      <c r="D33" s="331"/>
      <c r="E33" s="33"/>
      <c r="F33" s="1"/>
      <c r="J33" s="4"/>
      <c r="K33" s="4"/>
      <c r="L33" s="4"/>
      <c r="M33" s="4"/>
    </row>
    <row r="34" spans="1:13" ht="14.25" customHeight="1" x14ac:dyDescent="0.25">
      <c r="A34" s="18" t="str">
        <f t="shared" si="0"/>
        <v/>
      </c>
      <c r="B34" s="18" t="str">
        <f t="shared" si="1"/>
        <v/>
      </c>
      <c r="C34" s="331"/>
      <c r="D34" s="331"/>
      <c r="E34" s="33"/>
      <c r="F34" s="1"/>
      <c r="J34" s="4"/>
      <c r="K34" s="4"/>
      <c r="L34" s="4"/>
      <c r="M34" s="4"/>
    </row>
    <row r="35" spans="1:13" ht="14.25" customHeight="1" x14ac:dyDescent="0.25">
      <c r="A35" s="18" t="str">
        <f t="shared" si="0"/>
        <v/>
      </c>
      <c r="B35" s="18" t="str">
        <f t="shared" si="1"/>
        <v/>
      </c>
      <c r="C35" s="331"/>
      <c r="D35" s="331"/>
      <c r="E35" s="33"/>
      <c r="F35" s="1"/>
      <c r="J35" s="4"/>
      <c r="K35" s="4"/>
      <c r="L35" s="4"/>
      <c r="M35" s="4"/>
    </row>
    <row r="36" spans="1:13" ht="14.25" customHeight="1" x14ac:dyDescent="0.25">
      <c r="A36" s="18" t="str">
        <f t="shared" si="0"/>
        <v/>
      </c>
      <c r="B36" s="18" t="str">
        <f t="shared" si="1"/>
        <v/>
      </c>
      <c r="C36" s="331"/>
      <c r="D36" s="331"/>
      <c r="E36" s="33"/>
      <c r="F36" s="1"/>
      <c r="J36" s="4"/>
      <c r="K36" s="4"/>
      <c r="L36" s="4"/>
      <c r="M36" s="4"/>
    </row>
    <row r="37" spans="1:13" ht="14.25" customHeight="1" x14ac:dyDescent="0.25">
      <c r="A37" s="18" t="str">
        <f t="shared" si="0"/>
        <v/>
      </c>
      <c r="B37" s="18" t="str">
        <f t="shared" si="1"/>
        <v/>
      </c>
      <c r="C37" s="331"/>
      <c r="D37" s="331"/>
      <c r="E37" s="33"/>
      <c r="F37" s="1"/>
      <c r="J37" s="4"/>
      <c r="K37" s="4"/>
      <c r="L37" s="4"/>
      <c r="M37" s="4"/>
    </row>
    <row r="38" spans="1:13" ht="14.25" customHeight="1" x14ac:dyDescent="0.25">
      <c r="A38" s="18" t="str">
        <f t="shared" si="0"/>
        <v/>
      </c>
      <c r="B38" s="18" t="str">
        <f t="shared" si="1"/>
        <v/>
      </c>
      <c r="C38" s="331"/>
      <c r="D38" s="331"/>
      <c r="E38" s="33"/>
      <c r="F38" s="1"/>
      <c r="J38" s="4"/>
      <c r="K38" s="4"/>
      <c r="L38" s="4"/>
      <c r="M38" s="4"/>
    </row>
    <row r="39" spans="1:13" ht="13.5" customHeight="1" x14ac:dyDescent="0.25">
      <c r="A39" s="18" t="str">
        <f t="shared" si="0"/>
        <v/>
      </c>
      <c r="B39" s="18" t="str">
        <f t="shared" si="1"/>
        <v/>
      </c>
      <c r="C39" s="331"/>
      <c r="D39" s="331"/>
      <c r="E39" s="33"/>
      <c r="F39" s="1"/>
      <c r="J39" s="4"/>
      <c r="K39" s="4"/>
      <c r="L39" s="4"/>
      <c r="M39" s="4"/>
    </row>
    <row r="40" spans="1:13" ht="13.5" customHeight="1" x14ac:dyDescent="0.25">
      <c r="A40" s="18" t="str">
        <f t="shared" si="0"/>
        <v/>
      </c>
      <c r="B40" s="18" t="str">
        <f t="shared" si="1"/>
        <v/>
      </c>
      <c r="C40" s="331"/>
      <c r="D40" s="331"/>
      <c r="E40" s="33"/>
      <c r="F40" s="1"/>
      <c r="J40" s="4"/>
      <c r="K40" s="4"/>
      <c r="L40" s="4"/>
      <c r="M40" s="4"/>
    </row>
    <row r="41" spans="1:13" ht="13.5" customHeight="1" x14ac:dyDescent="0.25">
      <c r="A41" s="18" t="str">
        <f t="shared" si="0"/>
        <v/>
      </c>
      <c r="B41" s="18" t="str">
        <f t="shared" si="1"/>
        <v/>
      </c>
      <c r="C41" s="331"/>
      <c r="D41" s="331"/>
      <c r="E41" s="33"/>
      <c r="F41" s="1"/>
      <c r="J41" s="4"/>
      <c r="K41" s="4"/>
      <c r="L41" s="4"/>
      <c r="M41" s="4"/>
    </row>
    <row r="42" spans="1:13" ht="13.5" customHeight="1" x14ac:dyDescent="0.25">
      <c r="A42" s="18" t="str">
        <f t="shared" si="0"/>
        <v/>
      </c>
      <c r="B42" s="18" t="str">
        <f t="shared" si="1"/>
        <v/>
      </c>
      <c r="C42" s="331"/>
      <c r="D42" s="331"/>
      <c r="E42" s="33"/>
      <c r="F42" s="1"/>
      <c r="J42" s="4"/>
      <c r="K42" s="4"/>
      <c r="L42" s="4"/>
      <c r="M42" s="4"/>
    </row>
    <row r="43" spans="1:13" ht="13.5" customHeight="1" x14ac:dyDescent="0.25">
      <c r="A43" s="18" t="str">
        <f t="shared" si="0"/>
        <v/>
      </c>
      <c r="B43" s="18" t="str">
        <f t="shared" si="1"/>
        <v/>
      </c>
      <c r="C43" s="331"/>
      <c r="D43" s="331"/>
      <c r="E43" s="33"/>
      <c r="F43" s="1"/>
      <c r="J43" s="4"/>
      <c r="K43" s="4"/>
      <c r="L43" s="4"/>
      <c r="M43" s="4"/>
    </row>
    <row r="44" spans="1:13" ht="13.5" customHeight="1" x14ac:dyDescent="0.25">
      <c r="A44" s="18" t="str">
        <f t="shared" si="0"/>
        <v/>
      </c>
      <c r="B44" s="18" t="str">
        <f t="shared" si="1"/>
        <v/>
      </c>
      <c r="C44" s="331"/>
      <c r="D44" s="331"/>
      <c r="E44" s="33"/>
      <c r="F44" s="1"/>
      <c r="J44" s="4"/>
      <c r="K44" s="4"/>
      <c r="L44" s="4"/>
      <c r="M44" s="4"/>
    </row>
    <row r="45" spans="1:13" ht="13.5" customHeight="1" x14ac:dyDescent="0.25">
      <c r="A45" s="18" t="str">
        <f t="shared" si="0"/>
        <v/>
      </c>
      <c r="B45" s="18" t="str">
        <f t="shared" si="1"/>
        <v/>
      </c>
      <c r="C45" s="331"/>
      <c r="D45" s="331"/>
      <c r="E45" s="33"/>
      <c r="F45" s="1"/>
      <c r="J45" s="4"/>
      <c r="K45" s="4"/>
      <c r="L45" s="4"/>
      <c r="M45" s="4"/>
    </row>
    <row r="46" spans="1:13" ht="13.5" customHeight="1" x14ac:dyDescent="0.25">
      <c r="A46" s="18" t="str">
        <f t="shared" si="0"/>
        <v/>
      </c>
      <c r="B46" s="18" t="str">
        <f t="shared" si="1"/>
        <v/>
      </c>
      <c r="C46" s="331"/>
      <c r="D46" s="331"/>
      <c r="E46" s="33"/>
      <c r="F46" s="1"/>
      <c r="J46" s="4"/>
      <c r="K46" s="4"/>
      <c r="L46" s="4"/>
      <c r="M46" s="4"/>
    </row>
    <row r="47" spans="1:13" ht="13.5" customHeight="1" x14ac:dyDescent="0.25">
      <c r="A47" s="18" t="str">
        <f t="shared" si="0"/>
        <v/>
      </c>
      <c r="B47" s="18" t="str">
        <f t="shared" si="1"/>
        <v/>
      </c>
      <c r="C47" s="331"/>
      <c r="D47" s="331"/>
      <c r="E47" s="33"/>
      <c r="F47" s="1"/>
      <c r="J47" s="4"/>
      <c r="K47" s="4"/>
      <c r="L47" s="4"/>
      <c r="M47" s="4"/>
    </row>
    <row r="48" spans="1:13" ht="13.5" customHeight="1" x14ac:dyDescent="0.25">
      <c r="A48" s="18" t="str">
        <f t="shared" si="0"/>
        <v/>
      </c>
      <c r="B48" s="18" t="str">
        <f t="shared" si="1"/>
        <v/>
      </c>
      <c r="C48" s="331"/>
      <c r="D48" s="331"/>
      <c r="E48" s="33"/>
      <c r="F48" s="1"/>
      <c r="J48" s="4"/>
      <c r="K48" s="4"/>
      <c r="L48" s="4"/>
      <c r="M48" s="4"/>
    </row>
    <row r="49" spans="1:13" ht="13.5" customHeight="1" x14ac:dyDescent="0.25">
      <c r="A49" s="18" t="str">
        <f t="shared" si="0"/>
        <v/>
      </c>
      <c r="B49" s="18" t="str">
        <f t="shared" si="1"/>
        <v/>
      </c>
      <c r="C49" s="331"/>
      <c r="D49" s="331"/>
      <c r="E49" s="33"/>
      <c r="F49" s="1"/>
      <c r="J49" s="4"/>
      <c r="K49" s="4"/>
      <c r="L49" s="4"/>
      <c r="M49" s="4"/>
    </row>
    <row r="50" spans="1:13" ht="13.5" customHeight="1" x14ac:dyDescent="0.25">
      <c r="A50" s="18" t="str">
        <f t="shared" si="0"/>
        <v/>
      </c>
      <c r="B50" s="18" t="str">
        <f t="shared" si="1"/>
        <v/>
      </c>
      <c r="C50" s="331"/>
      <c r="D50" s="331"/>
      <c r="E50" s="33"/>
      <c r="F50" s="1"/>
      <c r="J50" s="4"/>
      <c r="K50" s="4"/>
      <c r="L50" s="4"/>
      <c r="M50" s="4"/>
    </row>
    <row r="51" spans="1:13" ht="13.5" customHeight="1" x14ac:dyDescent="0.25">
      <c r="A51" s="18" t="str">
        <f t="shared" si="0"/>
        <v/>
      </c>
      <c r="B51" s="18" t="str">
        <f t="shared" si="1"/>
        <v/>
      </c>
      <c r="C51" s="331"/>
      <c r="D51" s="331"/>
      <c r="E51" s="33"/>
      <c r="F51" s="1"/>
      <c r="J51" s="4"/>
      <c r="K51" s="4"/>
      <c r="L51" s="4"/>
      <c r="M51" s="4"/>
    </row>
    <row r="52" spans="1:13" ht="13.5" customHeight="1" x14ac:dyDescent="0.25">
      <c r="A52" s="18" t="str">
        <f t="shared" si="0"/>
        <v/>
      </c>
      <c r="B52" s="18" t="str">
        <f t="shared" si="1"/>
        <v/>
      </c>
      <c r="C52" s="331"/>
      <c r="D52" s="331"/>
      <c r="E52" s="33"/>
      <c r="F52" s="1"/>
      <c r="J52" s="4"/>
      <c r="K52" s="4"/>
      <c r="L52" s="4"/>
      <c r="M52" s="4"/>
    </row>
    <row r="53" spans="1:13" ht="13.5" customHeight="1" x14ac:dyDescent="0.25">
      <c r="A53" s="18" t="str">
        <f t="shared" si="0"/>
        <v/>
      </c>
      <c r="B53" s="18" t="str">
        <f t="shared" si="1"/>
        <v/>
      </c>
      <c r="C53" s="331"/>
      <c r="D53" s="331"/>
      <c r="E53" s="33"/>
      <c r="F53" s="1"/>
      <c r="J53" s="4"/>
      <c r="K53" s="4"/>
      <c r="L53" s="4"/>
      <c r="M53" s="4"/>
    </row>
    <row r="54" spans="1:13" ht="13.5" customHeight="1" x14ac:dyDescent="0.25">
      <c r="A54" s="18" t="str">
        <f t="shared" si="0"/>
        <v/>
      </c>
      <c r="B54" s="18" t="str">
        <f t="shared" si="1"/>
        <v/>
      </c>
      <c r="C54" s="331"/>
      <c r="D54" s="331"/>
      <c r="E54" s="33"/>
      <c r="F54" s="1"/>
      <c r="J54" s="4"/>
      <c r="K54" s="4"/>
      <c r="L54" s="4"/>
      <c r="M54" s="4"/>
    </row>
    <row r="55" spans="1:13" ht="13.5" customHeight="1" x14ac:dyDescent="0.25">
      <c r="A55" s="18" t="str">
        <f t="shared" si="0"/>
        <v/>
      </c>
      <c r="B55" s="18" t="str">
        <f t="shared" si="1"/>
        <v/>
      </c>
      <c r="C55" s="331"/>
      <c r="D55" s="331"/>
      <c r="E55" s="33"/>
      <c r="F55" s="1"/>
      <c r="J55" s="4"/>
      <c r="K55" s="4"/>
      <c r="L55" s="4"/>
      <c r="M55" s="4"/>
    </row>
    <row r="56" spans="1:13" ht="13.5" customHeight="1" x14ac:dyDescent="0.25">
      <c r="A56" s="18" t="str">
        <f t="shared" si="0"/>
        <v/>
      </c>
      <c r="B56" s="18" t="str">
        <f t="shared" si="1"/>
        <v/>
      </c>
      <c r="C56" s="331"/>
      <c r="D56" s="331"/>
      <c r="E56" s="33"/>
      <c r="F56" s="1"/>
      <c r="J56" s="4"/>
      <c r="K56" s="4"/>
      <c r="L56" s="4"/>
      <c r="M56" s="4"/>
    </row>
    <row r="57" spans="1:13" ht="13.5" customHeight="1" x14ac:dyDescent="0.25">
      <c r="A57" s="18" t="str">
        <f t="shared" si="0"/>
        <v/>
      </c>
      <c r="B57" s="18" t="str">
        <f t="shared" si="1"/>
        <v/>
      </c>
      <c r="C57" s="331"/>
      <c r="D57" s="331"/>
      <c r="E57" s="33"/>
      <c r="F57" s="1"/>
      <c r="J57" s="4"/>
      <c r="K57" s="4"/>
      <c r="L57" s="4"/>
      <c r="M57" s="4"/>
    </row>
    <row r="58" spans="1:13" ht="13.5" customHeight="1" x14ac:dyDescent="0.25">
      <c r="A58" s="18" t="str">
        <f t="shared" si="0"/>
        <v/>
      </c>
      <c r="B58" s="18" t="str">
        <f t="shared" si="1"/>
        <v/>
      </c>
      <c r="C58" s="331"/>
      <c r="D58" s="331"/>
      <c r="E58" s="33"/>
      <c r="F58" s="1"/>
      <c r="J58" s="4"/>
      <c r="K58" s="4"/>
      <c r="L58" s="4"/>
      <c r="M58" s="4"/>
    </row>
    <row r="59" spans="1:13" ht="13.5" customHeight="1" x14ac:dyDescent="0.25">
      <c r="A59" s="18" t="str">
        <f t="shared" si="0"/>
        <v/>
      </c>
      <c r="B59" s="18" t="str">
        <f t="shared" si="1"/>
        <v/>
      </c>
      <c r="C59" s="331"/>
      <c r="D59" s="331"/>
      <c r="E59" s="33"/>
      <c r="F59" s="1"/>
      <c r="J59" s="4"/>
      <c r="K59" s="4"/>
      <c r="L59" s="4"/>
      <c r="M59" s="4"/>
    </row>
    <row r="60" spans="1:13" ht="13.5" customHeight="1" x14ac:dyDescent="0.25">
      <c r="A60" s="18" t="str">
        <f t="shared" si="0"/>
        <v/>
      </c>
      <c r="B60" s="18" t="str">
        <f t="shared" si="1"/>
        <v/>
      </c>
      <c r="C60" s="331"/>
      <c r="D60" s="331"/>
      <c r="E60" s="33"/>
      <c r="F60" s="1"/>
      <c r="J60" s="4"/>
      <c r="K60" s="4"/>
      <c r="L60" s="4"/>
      <c r="M60" s="4"/>
    </row>
    <row r="61" spans="1:13" ht="13.5" customHeight="1" x14ac:dyDescent="0.25">
      <c r="A61" s="18" t="str">
        <f t="shared" si="0"/>
        <v/>
      </c>
      <c r="B61" s="18" t="str">
        <f t="shared" si="1"/>
        <v/>
      </c>
      <c r="C61" s="331"/>
      <c r="D61" s="331"/>
      <c r="E61" s="33"/>
      <c r="F61" s="1"/>
      <c r="J61" s="4"/>
      <c r="K61" s="4"/>
      <c r="L61" s="4"/>
      <c r="M61" s="4"/>
    </row>
    <row r="62" spans="1:13" ht="13.5" customHeight="1" x14ac:dyDescent="0.25">
      <c r="A62" s="18" t="str">
        <f t="shared" si="0"/>
        <v/>
      </c>
      <c r="B62" s="18" t="str">
        <f t="shared" si="1"/>
        <v/>
      </c>
      <c r="C62" s="331"/>
      <c r="D62" s="331"/>
      <c r="E62" s="33"/>
      <c r="F62" s="1"/>
      <c r="J62" s="4"/>
      <c r="K62" s="4"/>
      <c r="L62" s="4"/>
      <c r="M62" s="4"/>
    </row>
    <row r="63" spans="1:13" ht="13.5" customHeight="1" x14ac:dyDescent="0.25">
      <c r="A63" s="18" t="str">
        <f t="shared" si="0"/>
        <v/>
      </c>
      <c r="B63" s="18" t="str">
        <f t="shared" si="1"/>
        <v/>
      </c>
      <c r="C63" s="331"/>
      <c r="D63" s="331"/>
      <c r="E63" s="33"/>
      <c r="F63" s="1"/>
      <c r="J63" s="4"/>
      <c r="K63" s="4"/>
      <c r="L63" s="4"/>
      <c r="M63" s="4"/>
    </row>
    <row r="64" spans="1:13" ht="13.5" customHeight="1" x14ac:dyDescent="0.25">
      <c r="A64" s="18" t="str">
        <f t="shared" si="0"/>
        <v/>
      </c>
      <c r="B64" s="18" t="str">
        <f t="shared" si="1"/>
        <v/>
      </c>
      <c r="C64" s="331"/>
      <c r="D64" s="331"/>
      <c r="E64" s="33"/>
      <c r="F64" s="1"/>
      <c r="J64" s="4"/>
      <c r="K64" s="4"/>
      <c r="L64" s="4"/>
      <c r="M64" s="4"/>
    </row>
    <row r="65" spans="1:13" ht="13.5" customHeight="1" x14ac:dyDescent="0.25">
      <c r="A65" s="18" t="str">
        <f t="shared" si="0"/>
        <v/>
      </c>
      <c r="B65" s="18" t="str">
        <f t="shared" si="1"/>
        <v/>
      </c>
      <c r="C65" s="331"/>
      <c r="D65" s="331"/>
      <c r="E65" s="33"/>
      <c r="F65" s="1"/>
      <c r="J65" s="4"/>
      <c r="K65" s="4"/>
      <c r="L65" s="4"/>
      <c r="M65" s="4"/>
    </row>
    <row r="66" spans="1:13" ht="13.5" customHeight="1" x14ac:dyDescent="0.25">
      <c r="A66" s="18" t="str">
        <f t="shared" si="0"/>
        <v/>
      </c>
      <c r="B66" s="18" t="str">
        <f t="shared" ref="B66:B124" si="2">IF(LEN(C66)&gt;0,C66&amp;COUNTIF($C$2:$C66,C66),"")</f>
        <v/>
      </c>
      <c r="C66" s="331"/>
      <c r="D66" s="331"/>
      <c r="E66" s="33"/>
      <c r="F66" s="1"/>
      <c r="J66" s="4"/>
      <c r="K66" s="4"/>
      <c r="L66" s="4"/>
      <c r="M66" s="4"/>
    </row>
    <row r="67" spans="1:13" ht="13.5" customHeight="1" x14ac:dyDescent="0.25">
      <c r="A67" s="18" t="str">
        <f t="shared" si="0"/>
        <v/>
      </c>
      <c r="B67" s="18" t="str">
        <f t="shared" si="2"/>
        <v/>
      </c>
      <c r="C67" s="331"/>
      <c r="D67" s="331"/>
      <c r="E67" s="33"/>
      <c r="F67" s="1"/>
      <c r="J67" s="4"/>
      <c r="K67" s="4"/>
      <c r="L67" s="4"/>
      <c r="M67" s="4"/>
    </row>
    <row r="68" spans="1:13" ht="13.5" customHeight="1" x14ac:dyDescent="0.25">
      <c r="A68" s="18" t="str">
        <f t="shared" si="0"/>
        <v/>
      </c>
      <c r="B68" s="18" t="str">
        <f t="shared" si="2"/>
        <v/>
      </c>
      <c r="C68" s="331"/>
      <c r="D68" s="331"/>
      <c r="E68" s="33"/>
      <c r="F68" s="1"/>
      <c r="J68" s="4"/>
      <c r="K68" s="4"/>
      <c r="L68" s="4"/>
      <c r="M68" s="4"/>
    </row>
    <row r="69" spans="1:13" ht="13.5" customHeight="1" x14ac:dyDescent="0.25">
      <c r="A69" s="18" t="str">
        <f t="shared" si="0"/>
        <v/>
      </c>
      <c r="B69" s="18" t="str">
        <f t="shared" si="2"/>
        <v/>
      </c>
      <c r="C69" s="331"/>
      <c r="D69" s="331"/>
      <c r="E69" s="33"/>
      <c r="F69" s="1"/>
      <c r="J69" s="4"/>
      <c r="K69" s="4"/>
      <c r="L69" s="4"/>
      <c r="M69" s="4"/>
    </row>
    <row r="70" spans="1:13" ht="13.5" customHeight="1" x14ac:dyDescent="0.25">
      <c r="A70" s="18" t="str">
        <f t="shared" si="0"/>
        <v/>
      </c>
      <c r="B70" s="18" t="str">
        <f t="shared" si="2"/>
        <v/>
      </c>
      <c r="C70" s="331"/>
      <c r="D70" s="331"/>
      <c r="E70" s="33"/>
      <c r="F70" s="1"/>
      <c r="J70" s="4"/>
      <c r="K70" s="4"/>
      <c r="L70" s="4"/>
      <c r="M70" s="4"/>
    </row>
    <row r="71" spans="1:13" ht="13.5" customHeight="1" x14ac:dyDescent="0.25">
      <c r="A71" s="18" t="str">
        <f t="shared" si="0"/>
        <v/>
      </c>
      <c r="B71" s="18" t="str">
        <f t="shared" si="2"/>
        <v/>
      </c>
      <c r="C71" s="331"/>
      <c r="D71" s="331"/>
      <c r="E71" s="33"/>
      <c r="F71" s="1"/>
      <c r="J71" s="4"/>
      <c r="K71" s="4"/>
      <c r="L71" s="4"/>
      <c r="M71" s="4"/>
    </row>
    <row r="72" spans="1:13" ht="13.5" customHeight="1" x14ac:dyDescent="0.25">
      <c r="A72" s="18" t="str">
        <f t="shared" si="0"/>
        <v/>
      </c>
      <c r="B72" s="18" t="str">
        <f t="shared" si="2"/>
        <v/>
      </c>
      <c r="C72" s="331"/>
      <c r="D72" s="331"/>
      <c r="E72" s="33"/>
      <c r="F72" s="1"/>
      <c r="J72" s="4"/>
      <c r="K72" s="4"/>
      <c r="L72" s="4"/>
      <c r="M72" s="4"/>
    </row>
    <row r="73" spans="1:13" ht="13.5" customHeight="1" x14ac:dyDescent="0.25">
      <c r="A73" s="18" t="str">
        <f t="shared" si="0"/>
        <v/>
      </c>
      <c r="B73" s="18" t="str">
        <f t="shared" si="2"/>
        <v/>
      </c>
      <c r="C73" s="331"/>
      <c r="D73" s="331"/>
      <c r="E73" s="33"/>
      <c r="F73" s="1"/>
      <c r="J73" s="4"/>
      <c r="K73" s="4"/>
      <c r="L73" s="4"/>
      <c r="M73" s="4"/>
    </row>
    <row r="74" spans="1:13" ht="13.5" customHeight="1" x14ac:dyDescent="0.25">
      <c r="A74" s="18" t="str">
        <f t="shared" si="0"/>
        <v/>
      </c>
      <c r="B74" s="18" t="str">
        <f t="shared" si="2"/>
        <v/>
      </c>
      <c r="C74" s="331"/>
      <c r="D74" s="331"/>
      <c r="E74" s="33"/>
      <c r="F74" s="1"/>
      <c r="J74" s="4"/>
      <c r="K74" s="4"/>
      <c r="L74" s="4"/>
      <c r="M74" s="4"/>
    </row>
    <row r="75" spans="1:13" ht="13.5" customHeight="1" x14ac:dyDescent="0.25">
      <c r="A75" s="18" t="str">
        <f t="shared" si="0"/>
        <v/>
      </c>
      <c r="B75" s="18" t="str">
        <f t="shared" si="2"/>
        <v/>
      </c>
      <c r="C75" s="331"/>
      <c r="D75" s="331"/>
      <c r="E75" s="33"/>
      <c r="F75" s="1"/>
      <c r="J75" s="4"/>
      <c r="K75" s="4"/>
      <c r="L75" s="4"/>
      <c r="M75" s="4"/>
    </row>
    <row r="76" spans="1:13" ht="13.5" customHeight="1" x14ac:dyDescent="0.25">
      <c r="A76" s="18" t="str">
        <f t="shared" si="0"/>
        <v/>
      </c>
      <c r="B76" s="18" t="str">
        <f t="shared" si="2"/>
        <v/>
      </c>
      <c r="C76" s="331"/>
      <c r="D76" s="331"/>
      <c r="E76" s="33"/>
      <c r="F76" s="1"/>
      <c r="J76" s="4"/>
      <c r="K76" s="4"/>
      <c r="L76" s="4"/>
      <c r="M76" s="4"/>
    </row>
    <row r="77" spans="1:13" ht="13.5" customHeight="1" x14ac:dyDescent="0.25">
      <c r="A77" s="18" t="str">
        <f t="shared" si="0"/>
        <v/>
      </c>
      <c r="B77" s="18" t="str">
        <f t="shared" si="2"/>
        <v/>
      </c>
      <c r="C77" s="331"/>
      <c r="D77" s="331"/>
      <c r="E77" s="33"/>
      <c r="F77" s="1"/>
      <c r="J77" s="4"/>
      <c r="K77" s="4"/>
      <c r="L77" s="4"/>
      <c r="M77" s="4"/>
    </row>
    <row r="78" spans="1:13" ht="13.5" customHeight="1" x14ac:dyDescent="0.25">
      <c r="A78" s="18" t="str">
        <f t="shared" si="0"/>
        <v/>
      </c>
      <c r="B78" s="18" t="str">
        <f t="shared" si="2"/>
        <v/>
      </c>
      <c r="C78" s="331"/>
      <c r="D78" s="331"/>
      <c r="E78" s="33"/>
      <c r="F78" s="1"/>
      <c r="J78" s="4"/>
      <c r="K78" s="4"/>
      <c r="L78" s="4"/>
      <c r="M78" s="4"/>
    </row>
    <row r="79" spans="1:13" ht="13.5" customHeight="1" x14ac:dyDescent="0.25">
      <c r="A79" s="18" t="str">
        <f t="shared" si="0"/>
        <v/>
      </c>
      <c r="B79" s="18" t="str">
        <f t="shared" si="2"/>
        <v/>
      </c>
      <c r="C79" s="331"/>
      <c r="D79" s="331"/>
      <c r="E79" s="33"/>
      <c r="F79" s="1"/>
      <c r="J79" s="4"/>
      <c r="K79" s="4"/>
      <c r="L79" s="4"/>
      <c r="M79" s="4"/>
    </row>
    <row r="80" spans="1:13" ht="13.5" customHeight="1" x14ac:dyDescent="0.25">
      <c r="A80" s="18" t="str">
        <f t="shared" si="0"/>
        <v/>
      </c>
      <c r="B80" s="18" t="str">
        <f t="shared" si="2"/>
        <v/>
      </c>
      <c r="C80" s="331"/>
      <c r="D80" s="331"/>
      <c r="E80" s="33"/>
      <c r="F80" s="1"/>
      <c r="J80" s="4"/>
      <c r="K80" s="4"/>
      <c r="L80" s="4"/>
      <c r="M80" s="4"/>
    </row>
    <row r="81" spans="1:13" ht="13.5" customHeight="1" x14ac:dyDescent="0.25">
      <c r="A81" s="18" t="str">
        <f t="shared" si="0"/>
        <v/>
      </c>
      <c r="B81" s="18" t="str">
        <f t="shared" si="2"/>
        <v/>
      </c>
      <c r="C81" s="331"/>
      <c r="D81" s="331"/>
      <c r="E81" s="33"/>
      <c r="F81" s="1"/>
      <c r="J81" s="4"/>
      <c r="K81" s="4"/>
      <c r="L81" s="4"/>
      <c r="M81" s="4"/>
    </row>
    <row r="82" spans="1:13" ht="13.5" customHeight="1" x14ac:dyDescent="0.25">
      <c r="A82" s="18" t="str">
        <f t="shared" si="0"/>
        <v/>
      </c>
      <c r="B82" s="18" t="str">
        <f t="shared" si="2"/>
        <v/>
      </c>
      <c r="C82" s="331"/>
      <c r="D82" s="331"/>
      <c r="E82" s="33"/>
      <c r="F82" s="1"/>
      <c r="J82" s="4"/>
      <c r="K82" s="4"/>
      <c r="L82" s="4"/>
      <c r="M82" s="4"/>
    </row>
    <row r="83" spans="1:13" ht="13.5" customHeight="1" x14ac:dyDescent="0.25">
      <c r="A83" s="18" t="str">
        <f t="shared" si="0"/>
        <v/>
      </c>
      <c r="B83" s="18" t="str">
        <f t="shared" si="2"/>
        <v/>
      </c>
      <c r="C83" s="331"/>
      <c r="D83" s="331"/>
      <c r="E83" s="33"/>
      <c r="F83" s="1"/>
      <c r="J83" s="4"/>
      <c r="K83" s="4"/>
      <c r="L83" s="4"/>
      <c r="M83" s="4"/>
    </row>
    <row r="84" spans="1:13" ht="13.5" customHeight="1" x14ac:dyDescent="0.25">
      <c r="A84" s="18" t="str">
        <f t="shared" si="0"/>
        <v/>
      </c>
      <c r="B84" s="18" t="str">
        <f t="shared" si="2"/>
        <v/>
      </c>
      <c r="C84" s="331"/>
      <c r="D84" s="331"/>
      <c r="E84" s="33"/>
      <c r="F84" s="1"/>
      <c r="J84" s="4"/>
      <c r="K84" s="4"/>
      <c r="L84" s="4"/>
      <c r="M84" s="4"/>
    </row>
    <row r="85" spans="1:13" ht="13.5" customHeight="1" x14ac:dyDescent="0.25">
      <c r="A85" s="18" t="str">
        <f t="shared" si="0"/>
        <v/>
      </c>
      <c r="B85" s="18" t="str">
        <f t="shared" si="2"/>
        <v/>
      </c>
      <c r="C85" s="331"/>
      <c r="D85" s="331"/>
      <c r="E85" s="33"/>
      <c r="F85" s="1"/>
      <c r="J85" s="4"/>
      <c r="K85" s="4"/>
      <c r="L85" s="4"/>
      <c r="M85" s="4"/>
    </row>
    <row r="86" spans="1:13" ht="13.5" customHeight="1" x14ac:dyDescent="0.25">
      <c r="A86" s="18" t="str">
        <f t="shared" si="0"/>
        <v/>
      </c>
      <c r="B86" s="18" t="str">
        <f t="shared" si="2"/>
        <v/>
      </c>
      <c r="C86" s="331"/>
      <c r="D86" s="331"/>
      <c r="E86" s="33"/>
      <c r="F86" s="1"/>
      <c r="J86" s="4"/>
      <c r="K86" s="4"/>
      <c r="L86" s="4"/>
      <c r="M86" s="4"/>
    </row>
    <row r="87" spans="1:13" ht="13.5" customHeight="1" x14ac:dyDescent="0.25">
      <c r="A87" s="18" t="str">
        <f t="shared" si="0"/>
        <v/>
      </c>
      <c r="B87" s="18" t="str">
        <f t="shared" si="2"/>
        <v/>
      </c>
      <c r="C87" s="331"/>
      <c r="D87" s="331"/>
      <c r="E87" s="33"/>
      <c r="F87" s="1"/>
      <c r="J87" s="4"/>
      <c r="K87" s="4"/>
      <c r="L87" s="4"/>
      <c r="M87" s="4"/>
    </row>
    <row r="88" spans="1:13" ht="13.5" customHeight="1" x14ac:dyDescent="0.25">
      <c r="A88" s="18" t="str">
        <f t="shared" si="0"/>
        <v/>
      </c>
      <c r="B88" s="18" t="str">
        <f t="shared" si="2"/>
        <v/>
      </c>
      <c r="C88" s="331"/>
      <c r="D88" s="331"/>
      <c r="E88" s="33"/>
      <c r="F88" s="1"/>
      <c r="J88" s="4"/>
      <c r="K88" s="4"/>
      <c r="L88" s="4"/>
      <c r="M88" s="4"/>
    </row>
    <row r="89" spans="1:13" ht="13.5" customHeight="1" x14ac:dyDescent="0.25">
      <c r="A89" s="18" t="str">
        <f t="shared" si="0"/>
        <v/>
      </c>
      <c r="B89" s="18" t="str">
        <f t="shared" si="2"/>
        <v/>
      </c>
      <c r="C89" s="331"/>
      <c r="D89" s="331"/>
      <c r="E89" s="33"/>
      <c r="F89" s="1"/>
      <c r="J89" s="4"/>
      <c r="K89" s="4"/>
      <c r="L89" s="4"/>
      <c r="M89" s="4"/>
    </row>
    <row r="90" spans="1:13" ht="13.5" customHeight="1" x14ac:dyDescent="0.25">
      <c r="A90" s="18" t="str">
        <f t="shared" si="0"/>
        <v/>
      </c>
      <c r="B90" s="18" t="str">
        <f t="shared" si="2"/>
        <v/>
      </c>
      <c r="C90" s="331"/>
      <c r="D90" s="331"/>
      <c r="E90" s="33"/>
      <c r="F90" s="1"/>
      <c r="J90" s="4"/>
      <c r="K90" s="4"/>
      <c r="L90" s="4"/>
      <c r="M90" s="4"/>
    </row>
    <row r="91" spans="1:13" ht="13.5" customHeight="1" x14ac:dyDescent="0.25">
      <c r="A91" s="18" t="str">
        <f t="shared" si="0"/>
        <v/>
      </c>
      <c r="B91" s="18" t="str">
        <f t="shared" si="2"/>
        <v/>
      </c>
      <c r="C91" s="331"/>
      <c r="D91" s="331"/>
      <c r="E91" s="33"/>
      <c r="F91" s="1"/>
      <c r="J91" s="4"/>
      <c r="K91" s="4"/>
      <c r="L91" s="4"/>
      <c r="M91" s="4"/>
    </row>
    <row r="92" spans="1:13" ht="13.5" customHeight="1" x14ac:dyDescent="0.25">
      <c r="A92" s="18" t="str">
        <f t="shared" si="0"/>
        <v/>
      </c>
      <c r="B92" s="18" t="str">
        <f t="shared" si="2"/>
        <v/>
      </c>
      <c r="C92" s="331"/>
      <c r="D92" s="331"/>
      <c r="E92" s="33"/>
      <c r="F92" s="1"/>
      <c r="J92" s="4"/>
      <c r="K92" s="4"/>
      <c r="L92" s="4"/>
      <c r="M92" s="4"/>
    </row>
    <row r="93" spans="1:13" ht="13.5" customHeight="1" x14ac:dyDescent="0.25">
      <c r="A93" s="18" t="str">
        <f t="shared" si="0"/>
        <v/>
      </c>
      <c r="B93" s="18" t="str">
        <f t="shared" si="2"/>
        <v/>
      </c>
      <c r="C93" s="331"/>
      <c r="D93" s="331"/>
      <c r="E93" s="33"/>
      <c r="F93" s="1"/>
      <c r="J93" s="4"/>
      <c r="K93" s="4"/>
      <c r="L93" s="4"/>
      <c r="M93" s="4"/>
    </row>
    <row r="94" spans="1:13" ht="13.5" customHeight="1" x14ac:dyDescent="0.25">
      <c r="A94" s="18" t="str">
        <f t="shared" si="0"/>
        <v/>
      </c>
      <c r="B94" s="18" t="str">
        <f t="shared" si="2"/>
        <v/>
      </c>
      <c r="C94" s="331"/>
      <c r="D94" s="331"/>
      <c r="E94" s="33"/>
      <c r="F94" s="1"/>
      <c r="J94" s="4"/>
      <c r="K94" s="4"/>
      <c r="L94" s="4"/>
      <c r="M94" s="4"/>
    </row>
    <row r="95" spans="1:13" ht="13.5" customHeight="1" x14ac:dyDescent="0.25">
      <c r="A95" s="18" t="str">
        <f t="shared" si="0"/>
        <v/>
      </c>
      <c r="B95" s="18" t="str">
        <f t="shared" si="2"/>
        <v/>
      </c>
      <c r="C95" s="331"/>
      <c r="D95" s="331"/>
      <c r="E95" s="33"/>
      <c r="F95" s="1"/>
      <c r="J95" s="4"/>
      <c r="K95" s="4"/>
      <c r="L95" s="4"/>
      <c r="M95" s="4"/>
    </row>
    <row r="96" spans="1:13" ht="13.5" customHeight="1" x14ac:dyDescent="0.25">
      <c r="A96" s="18" t="str">
        <f t="shared" si="0"/>
        <v/>
      </c>
      <c r="B96" s="18" t="str">
        <f t="shared" si="2"/>
        <v/>
      </c>
      <c r="C96" s="331"/>
      <c r="D96" s="331"/>
      <c r="E96" s="33"/>
      <c r="F96" s="1"/>
      <c r="J96" s="4"/>
      <c r="K96" s="4"/>
      <c r="L96" s="4"/>
      <c r="M96" s="4"/>
    </row>
    <row r="97" spans="1:13" ht="13.5" customHeight="1" x14ac:dyDescent="0.25">
      <c r="A97" s="18" t="str">
        <f t="shared" si="0"/>
        <v/>
      </c>
      <c r="B97" s="18" t="str">
        <f t="shared" si="2"/>
        <v/>
      </c>
      <c r="C97" s="331"/>
      <c r="D97" s="331"/>
      <c r="E97" s="33"/>
      <c r="F97" s="1"/>
      <c r="J97" s="4"/>
      <c r="K97" s="4"/>
      <c r="L97" s="4"/>
      <c r="M97" s="4"/>
    </row>
    <row r="98" spans="1:13" ht="13.5" customHeight="1" x14ac:dyDescent="0.25">
      <c r="A98" s="18" t="str">
        <f t="shared" si="0"/>
        <v/>
      </c>
      <c r="B98" s="18" t="str">
        <f t="shared" si="2"/>
        <v/>
      </c>
      <c r="C98" s="331"/>
      <c r="D98" s="331"/>
      <c r="E98" s="33"/>
      <c r="F98" s="1"/>
      <c r="J98" s="4"/>
      <c r="K98" s="4"/>
      <c r="L98" s="4"/>
      <c r="M98" s="4"/>
    </row>
    <row r="99" spans="1:13" ht="13.5" customHeight="1" x14ac:dyDescent="0.25">
      <c r="A99" s="18" t="str">
        <f t="shared" si="0"/>
        <v/>
      </c>
      <c r="B99" s="18" t="str">
        <f t="shared" si="2"/>
        <v/>
      </c>
      <c r="C99" s="331"/>
      <c r="D99" s="331"/>
      <c r="E99" s="33"/>
      <c r="F99" s="1"/>
      <c r="J99" s="4"/>
      <c r="K99" s="4"/>
      <c r="L99" s="4"/>
      <c r="M99" s="4"/>
    </row>
    <row r="100" spans="1:13" ht="13.5" customHeight="1" x14ac:dyDescent="0.25">
      <c r="A100" s="18" t="str">
        <f t="shared" si="0"/>
        <v/>
      </c>
      <c r="B100" s="18" t="str">
        <f t="shared" si="2"/>
        <v/>
      </c>
      <c r="C100" s="331"/>
      <c r="D100" s="331"/>
      <c r="E100" s="33"/>
      <c r="F100" s="1"/>
      <c r="J100" s="4"/>
      <c r="K100" s="4"/>
      <c r="L100" s="4"/>
      <c r="M100" s="4"/>
    </row>
    <row r="101" spans="1:13" ht="13.5" customHeight="1" x14ac:dyDescent="0.25">
      <c r="A101" s="18" t="str">
        <f t="shared" si="0"/>
        <v/>
      </c>
      <c r="B101" s="18" t="str">
        <f t="shared" si="2"/>
        <v/>
      </c>
      <c r="C101" s="331"/>
      <c r="D101" s="331"/>
      <c r="E101" s="33"/>
      <c r="F101" s="1"/>
      <c r="J101" s="4"/>
      <c r="K101" s="4"/>
      <c r="L101" s="4"/>
      <c r="M101" s="4"/>
    </row>
    <row r="102" spans="1:13" ht="13.5" customHeight="1" x14ac:dyDescent="0.25">
      <c r="A102" s="18" t="str">
        <f t="shared" si="0"/>
        <v/>
      </c>
      <c r="B102" s="18" t="str">
        <f t="shared" si="2"/>
        <v/>
      </c>
      <c r="C102" s="331"/>
      <c r="D102" s="331"/>
      <c r="E102" s="33"/>
      <c r="F102" s="1"/>
      <c r="J102" s="4"/>
      <c r="K102" s="4"/>
      <c r="L102" s="4"/>
      <c r="M102" s="4"/>
    </row>
    <row r="103" spans="1:13" ht="13.5" customHeight="1" x14ac:dyDescent="0.25">
      <c r="A103" s="18" t="str">
        <f t="shared" si="0"/>
        <v/>
      </c>
      <c r="B103" s="18" t="str">
        <f t="shared" si="2"/>
        <v/>
      </c>
      <c r="C103" s="331"/>
      <c r="D103" s="331"/>
      <c r="E103" s="33"/>
      <c r="F103" s="1"/>
      <c r="J103" s="4"/>
      <c r="K103" s="4"/>
      <c r="L103" s="4"/>
      <c r="M103" s="4"/>
    </row>
    <row r="104" spans="1:13" ht="13.5" customHeight="1" x14ac:dyDescent="0.25">
      <c r="A104" s="18" t="str">
        <f t="shared" si="0"/>
        <v/>
      </c>
      <c r="B104" s="18" t="str">
        <f t="shared" si="2"/>
        <v/>
      </c>
      <c r="C104" s="331"/>
      <c r="D104" s="331"/>
      <c r="E104" s="33"/>
      <c r="F104" s="1"/>
      <c r="J104" s="4"/>
      <c r="K104" s="4"/>
      <c r="L104" s="4"/>
      <c r="M104" s="4"/>
    </row>
    <row r="105" spans="1:13" ht="13.5" customHeight="1" x14ac:dyDescent="0.25">
      <c r="A105" s="18" t="str">
        <f t="shared" si="0"/>
        <v/>
      </c>
      <c r="B105" s="18" t="str">
        <f t="shared" si="2"/>
        <v/>
      </c>
      <c r="C105" s="331"/>
      <c r="D105" s="331"/>
      <c r="E105" s="33"/>
      <c r="F105" s="1"/>
      <c r="J105" s="4"/>
      <c r="K105" s="4"/>
      <c r="L105" s="4"/>
      <c r="M105" s="4"/>
    </row>
    <row r="106" spans="1:13" ht="13.5" customHeight="1" x14ac:dyDescent="0.25">
      <c r="A106" s="18" t="str">
        <f t="shared" si="0"/>
        <v/>
      </c>
      <c r="B106" s="18" t="str">
        <f t="shared" si="2"/>
        <v/>
      </c>
      <c r="C106" s="331"/>
      <c r="D106" s="331"/>
      <c r="E106" s="33"/>
      <c r="F106" s="1"/>
      <c r="J106" s="4"/>
      <c r="K106" s="4"/>
      <c r="L106" s="4"/>
      <c r="M106" s="4"/>
    </row>
    <row r="107" spans="1:13" ht="13.5" customHeight="1" x14ac:dyDescent="0.25">
      <c r="A107" s="18" t="str">
        <f t="shared" si="0"/>
        <v/>
      </c>
      <c r="B107" s="18" t="str">
        <f t="shared" si="2"/>
        <v/>
      </c>
      <c r="C107" s="331"/>
      <c r="D107" s="331"/>
      <c r="E107" s="33"/>
      <c r="F107" s="1"/>
      <c r="J107" s="4"/>
      <c r="K107" s="4"/>
      <c r="L107" s="4"/>
      <c r="M107" s="4"/>
    </row>
    <row r="108" spans="1:13" ht="13.5" customHeight="1" x14ac:dyDescent="0.25">
      <c r="A108" s="18" t="str">
        <f t="shared" si="0"/>
        <v/>
      </c>
      <c r="B108" s="18" t="str">
        <f t="shared" si="2"/>
        <v/>
      </c>
      <c r="C108" s="331"/>
      <c r="D108" s="331"/>
      <c r="E108" s="33"/>
      <c r="F108" s="1"/>
      <c r="J108" s="4"/>
      <c r="K108" s="4"/>
      <c r="L108" s="4"/>
      <c r="M108" s="4"/>
    </row>
    <row r="109" spans="1:13" ht="13.5" customHeight="1" x14ac:dyDescent="0.25">
      <c r="A109" s="18" t="str">
        <f t="shared" si="0"/>
        <v/>
      </c>
      <c r="B109" s="18" t="str">
        <f t="shared" si="2"/>
        <v/>
      </c>
      <c r="C109" s="331"/>
      <c r="D109" s="331"/>
      <c r="E109" s="33"/>
      <c r="F109" s="1"/>
      <c r="J109" s="4"/>
      <c r="K109" s="4"/>
      <c r="L109" s="4"/>
      <c r="M109" s="4"/>
    </row>
    <row r="110" spans="1:13" ht="13.5" customHeight="1" x14ac:dyDescent="0.25">
      <c r="A110" s="18" t="str">
        <f t="shared" si="0"/>
        <v/>
      </c>
      <c r="B110" s="18" t="str">
        <f t="shared" si="2"/>
        <v/>
      </c>
      <c r="C110" s="331"/>
      <c r="D110" s="331"/>
      <c r="E110" s="33"/>
      <c r="F110" s="1"/>
      <c r="J110" s="4"/>
      <c r="K110" s="4"/>
      <c r="L110" s="4"/>
      <c r="M110" s="4"/>
    </row>
    <row r="111" spans="1:13" ht="13.5" customHeight="1" x14ac:dyDescent="0.25">
      <c r="A111" s="18" t="str">
        <f t="shared" si="0"/>
        <v/>
      </c>
      <c r="B111" s="18" t="str">
        <f t="shared" si="2"/>
        <v/>
      </c>
      <c r="C111" s="331"/>
      <c r="D111" s="331"/>
      <c r="E111" s="33"/>
      <c r="F111" s="1"/>
      <c r="J111" s="4"/>
      <c r="K111" s="4"/>
      <c r="L111" s="4"/>
      <c r="M111" s="4"/>
    </row>
    <row r="112" spans="1:13" ht="13.5" customHeight="1" x14ac:dyDescent="0.25">
      <c r="A112" s="18" t="str">
        <f t="shared" si="0"/>
        <v/>
      </c>
      <c r="B112" s="18" t="str">
        <f t="shared" si="2"/>
        <v/>
      </c>
      <c r="C112" s="331"/>
      <c r="D112" s="331"/>
      <c r="E112" s="33"/>
      <c r="F112" s="1"/>
      <c r="J112" s="4"/>
      <c r="K112" s="4"/>
      <c r="L112" s="4"/>
      <c r="M112" s="4"/>
    </row>
    <row r="113" spans="1:13" ht="13.5" customHeight="1" x14ac:dyDescent="0.25">
      <c r="A113" s="18" t="str">
        <f t="shared" si="0"/>
        <v/>
      </c>
      <c r="B113" s="18" t="str">
        <f t="shared" si="2"/>
        <v/>
      </c>
      <c r="C113" s="331"/>
      <c r="D113" s="331"/>
      <c r="E113" s="33"/>
      <c r="F113" s="1"/>
      <c r="J113" s="4"/>
      <c r="K113" s="4"/>
      <c r="L113" s="4"/>
      <c r="M113" s="4"/>
    </row>
    <row r="114" spans="1:13" ht="13.5" customHeight="1" x14ac:dyDescent="0.25">
      <c r="A114" s="18" t="str">
        <f t="shared" si="0"/>
        <v/>
      </c>
      <c r="B114" s="18" t="str">
        <f t="shared" si="2"/>
        <v/>
      </c>
      <c r="C114" s="331"/>
      <c r="D114" s="331"/>
      <c r="E114" s="33"/>
      <c r="F114" s="1"/>
      <c r="J114" s="4"/>
      <c r="K114" s="4"/>
      <c r="L114" s="4"/>
      <c r="M114" s="4"/>
    </row>
    <row r="115" spans="1:13" ht="13.5" customHeight="1" x14ac:dyDescent="0.25">
      <c r="A115" s="18" t="str">
        <f t="shared" si="0"/>
        <v/>
      </c>
      <c r="B115" s="18" t="str">
        <f t="shared" si="2"/>
        <v/>
      </c>
      <c r="C115" s="331"/>
      <c r="D115" s="331"/>
      <c r="E115" s="33"/>
      <c r="F115" s="1"/>
      <c r="J115" s="4"/>
      <c r="K115" s="4"/>
      <c r="L115" s="4"/>
      <c r="M115" s="4"/>
    </row>
    <row r="116" spans="1:13" ht="13.5" customHeight="1" x14ac:dyDescent="0.25">
      <c r="A116" s="18" t="str">
        <f t="shared" si="0"/>
        <v/>
      </c>
      <c r="B116" s="18" t="str">
        <f t="shared" si="2"/>
        <v/>
      </c>
      <c r="C116" s="331"/>
      <c r="D116" s="331"/>
      <c r="E116" s="33"/>
      <c r="F116" s="1"/>
      <c r="J116" s="4"/>
      <c r="K116" s="4"/>
      <c r="L116" s="4"/>
      <c r="M116" s="4"/>
    </row>
    <row r="117" spans="1:13" ht="13.5" customHeight="1" x14ac:dyDescent="0.25">
      <c r="A117" s="18" t="str">
        <f t="shared" si="0"/>
        <v/>
      </c>
      <c r="B117" s="18" t="str">
        <f t="shared" si="2"/>
        <v/>
      </c>
      <c r="C117" s="331"/>
      <c r="D117" s="331"/>
      <c r="E117" s="33"/>
      <c r="F117" s="1"/>
      <c r="J117" s="4"/>
      <c r="K117" s="4"/>
      <c r="L117" s="4"/>
      <c r="M117" s="4"/>
    </row>
    <row r="118" spans="1:13" ht="13.5" customHeight="1" x14ac:dyDescent="0.25">
      <c r="A118" s="18" t="str">
        <f t="shared" si="0"/>
        <v/>
      </c>
      <c r="B118" s="18" t="str">
        <f t="shared" si="2"/>
        <v/>
      </c>
      <c r="C118" s="331"/>
      <c r="D118" s="331"/>
      <c r="E118" s="33"/>
      <c r="F118" s="1"/>
      <c r="J118" s="4"/>
      <c r="K118" s="4"/>
      <c r="L118" s="4"/>
      <c r="M118" s="4"/>
    </row>
    <row r="119" spans="1:13" ht="13.5" customHeight="1" x14ac:dyDescent="0.25">
      <c r="A119" s="18" t="str">
        <f t="shared" si="0"/>
        <v/>
      </c>
      <c r="B119" s="18" t="str">
        <f t="shared" si="2"/>
        <v/>
      </c>
      <c r="C119" s="331"/>
      <c r="D119" s="331"/>
      <c r="E119" s="33"/>
      <c r="F119" s="1"/>
      <c r="J119" s="4"/>
      <c r="K119" s="4"/>
      <c r="L119" s="4"/>
      <c r="M119" s="4"/>
    </row>
    <row r="120" spans="1:13" ht="13.5" customHeight="1" x14ac:dyDescent="0.25">
      <c r="A120" s="18" t="str">
        <f t="shared" si="0"/>
        <v/>
      </c>
      <c r="B120" s="18" t="str">
        <f t="shared" si="2"/>
        <v/>
      </c>
      <c r="C120" s="331"/>
      <c r="D120" s="331"/>
      <c r="E120" s="33"/>
      <c r="F120" s="1"/>
      <c r="J120" s="4"/>
      <c r="K120" s="4"/>
      <c r="L120" s="4"/>
      <c r="M120" s="4"/>
    </row>
    <row r="121" spans="1:13" ht="13.5" customHeight="1" x14ac:dyDescent="0.25">
      <c r="A121" s="18" t="str">
        <f t="shared" si="0"/>
        <v/>
      </c>
      <c r="B121" s="18" t="str">
        <f t="shared" si="2"/>
        <v/>
      </c>
      <c r="C121" s="331"/>
      <c r="D121" s="331"/>
      <c r="E121" s="33"/>
      <c r="F121" s="1"/>
      <c r="J121" s="4"/>
      <c r="K121" s="4"/>
      <c r="L121" s="4"/>
      <c r="M121" s="4"/>
    </row>
    <row r="122" spans="1:13" ht="13.5" customHeight="1" x14ac:dyDescent="0.25">
      <c r="A122" s="18" t="str">
        <f t="shared" si="0"/>
        <v/>
      </c>
      <c r="B122" s="18" t="str">
        <f t="shared" si="2"/>
        <v/>
      </c>
      <c r="C122" s="331"/>
      <c r="D122" s="331"/>
      <c r="E122" s="33"/>
      <c r="F122" s="1"/>
      <c r="J122" s="4"/>
      <c r="K122" s="4"/>
      <c r="L122" s="4"/>
      <c r="M122" s="4"/>
    </row>
    <row r="123" spans="1:13" ht="13.5" customHeight="1" x14ac:dyDescent="0.25">
      <c r="A123" s="18" t="str">
        <f t="shared" si="0"/>
        <v/>
      </c>
      <c r="B123" s="18" t="str">
        <f t="shared" si="2"/>
        <v/>
      </c>
      <c r="C123" s="331"/>
      <c r="D123" s="331"/>
      <c r="E123" s="33"/>
      <c r="F123" s="1"/>
      <c r="J123" s="4"/>
      <c r="K123" s="4"/>
      <c r="L123" s="4"/>
      <c r="M123" s="4"/>
    </row>
    <row r="124" spans="1:13" ht="13.5" customHeight="1" x14ac:dyDescent="0.25">
      <c r="A124" s="18" t="str">
        <f t="shared" si="0"/>
        <v/>
      </c>
      <c r="B124" s="18" t="str">
        <f t="shared" si="2"/>
        <v/>
      </c>
      <c r="C124" s="331"/>
      <c r="D124" s="331"/>
      <c r="E124" s="33"/>
      <c r="F124" s="1"/>
      <c r="J124" s="4"/>
      <c r="K124" s="4"/>
      <c r="L124" s="4"/>
      <c r="M124" s="4"/>
    </row>
    <row r="125" spans="1:13" ht="13.5" customHeight="1" x14ac:dyDescent="0.25">
      <c r="A125" s="18" t="str">
        <f t="shared" ref="A125:A188" si="3">C125&amp;D125</f>
        <v/>
      </c>
      <c r="B125" s="18" t="str">
        <f t="shared" ref="B125:B188" si="4">IF(LEN(C125)&gt;0,C125&amp;COUNTIF($C$2:$C125,C125),"")</f>
        <v/>
      </c>
      <c r="C125" s="331"/>
      <c r="D125" s="331"/>
      <c r="E125" s="33"/>
      <c r="F125" s="1"/>
      <c r="J125" s="4"/>
      <c r="K125" s="4"/>
      <c r="L125" s="4"/>
      <c r="M125" s="4"/>
    </row>
    <row r="126" spans="1:13" ht="13.5" customHeight="1" x14ac:dyDescent="0.25">
      <c r="A126" s="18" t="str">
        <f t="shared" ref="A126" si="5">C126&amp;D126</f>
        <v/>
      </c>
      <c r="B126" s="18" t="str">
        <f t="shared" ref="B126" si="6">IF(LEN(C126)&gt;0,C126&amp;COUNTIF($C$2:$C126,C126),"")</f>
        <v/>
      </c>
      <c r="C126" s="331"/>
      <c r="D126" s="331"/>
      <c r="E126" s="33"/>
      <c r="F126" s="1"/>
      <c r="J126" s="4"/>
      <c r="K126" s="4"/>
      <c r="L126" s="4"/>
      <c r="M126" s="4"/>
    </row>
    <row r="127" spans="1:13" ht="13.5" customHeight="1" x14ac:dyDescent="0.25">
      <c r="A127" s="18" t="str">
        <f t="shared" si="3"/>
        <v/>
      </c>
      <c r="B127" s="18" t="str">
        <f t="shared" si="4"/>
        <v/>
      </c>
      <c r="C127" s="331"/>
      <c r="D127" s="331"/>
      <c r="E127" s="33"/>
      <c r="F127" s="1"/>
      <c r="J127" s="4"/>
      <c r="K127" s="4"/>
      <c r="L127" s="4"/>
      <c r="M127" s="4"/>
    </row>
    <row r="128" spans="1:13" ht="13.5" customHeight="1" x14ac:dyDescent="0.25">
      <c r="A128" s="18" t="str">
        <f t="shared" si="3"/>
        <v/>
      </c>
      <c r="B128" s="18" t="str">
        <f t="shared" si="4"/>
        <v/>
      </c>
      <c r="C128" s="331"/>
      <c r="D128" s="331"/>
      <c r="E128" s="33"/>
      <c r="F128" s="1"/>
      <c r="J128" s="4"/>
      <c r="K128" s="4"/>
      <c r="L128" s="4"/>
      <c r="M128" s="4"/>
    </row>
    <row r="129" spans="1:13" ht="13.5" customHeight="1" x14ac:dyDescent="0.25">
      <c r="A129" s="18" t="str">
        <f t="shared" si="3"/>
        <v/>
      </c>
      <c r="B129" s="18" t="str">
        <f t="shared" si="4"/>
        <v/>
      </c>
      <c r="C129" s="331"/>
      <c r="D129" s="331"/>
      <c r="E129" s="33"/>
      <c r="F129" s="1"/>
      <c r="J129" s="4"/>
      <c r="K129" s="4"/>
      <c r="L129" s="4"/>
      <c r="M129" s="4"/>
    </row>
    <row r="130" spans="1:13" ht="13.5" customHeight="1" x14ac:dyDescent="0.25">
      <c r="A130" s="18" t="str">
        <f t="shared" si="3"/>
        <v/>
      </c>
      <c r="B130" s="18" t="str">
        <f t="shared" si="4"/>
        <v/>
      </c>
      <c r="C130" s="331"/>
      <c r="D130" s="331"/>
      <c r="E130" s="33"/>
      <c r="F130" s="1"/>
      <c r="J130" s="4"/>
      <c r="K130" s="4"/>
      <c r="L130" s="4"/>
      <c r="M130" s="4"/>
    </row>
    <row r="131" spans="1:13" ht="13.5" customHeight="1" x14ac:dyDescent="0.25">
      <c r="A131" s="18" t="str">
        <f t="shared" si="3"/>
        <v/>
      </c>
      <c r="B131" s="18" t="str">
        <f t="shared" si="4"/>
        <v/>
      </c>
      <c r="C131" s="331"/>
      <c r="D131" s="331"/>
      <c r="E131" s="33"/>
      <c r="F131" s="1"/>
      <c r="J131" s="4"/>
      <c r="K131" s="4"/>
      <c r="L131" s="4"/>
      <c r="M131" s="4"/>
    </row>
    <row r="132" spans="1:13" ht="13.5" customHeight="1" x14ac:dyDescent="0.25">
      <c r="A132" s="18" t="str">
        <f t="shared" si="3"/>
        <v/>
      </c>
      <c r="B132" s="18" t="str">
        <f t="shared" si="4"/>
        <v/>
      </c>
      <c r="C132" s="331"/>
      <c r="D132" s="331"/>
      <c r="E132" s="33"/>
      <c r="F132" s="1"/>
      <c r="J132" s="4"/>
      <c r="K132" s="4"/>
      <c r="L132" s="4"/>
      <c r="M132" s="4"/>
    </row>
    <row r="133" spans="1:13" ht="13.5" customHeight="1" x14ac:dyDescent="0.25">
      <c r="A133" s="18" t="str">
        <f t="shared" si="3"/>
        <v/>
      </c>
      <c r="B133" s="18" t="str">
        <f t="shared" si="4"/>
        <v/>
      </c>
      <c r="C133" s="331"/>
      <c r="D133" s="331"/>
      <c r="E133" s="33"/>
      <c r="F133" s="1"/>
      <c r="J133" s="4"/>
      <c r="K133" s="4"/>
      <c r="L133" s="4"/>
      <c r="M133" s="4"/>
    </row>
    <row r="134" spans="1:13" ht="13.5" customHeight="1" x14ac:dyDescent="0.25">
      <c r="A134" s="18" t="str">
        <f t="shared" si="3"/>
        <v/>
      </c>
      <c r="B134" s="18" t="str">
        <f t="shared" si="4"/>
        <v/>
      </c>
      <c r="C134" s="331"/>
      <c r="D134" s="331"/>
      <c r="E134" s="33"/>
      <c r="F134" s="1"/>
      <c r="J134" s="4"/>
      <c r="K134" s="4"/>
      <c r="L134" s="4"/>
      <c r="M134" s="4"/>
    </row>
    <row r="135" spans="1:13" ht="13.5" customHeight="1" x14ac:dyDescent="0.25">
      <c r="A135" s="18" t="str">
        <f t="shared" si="3"/>
        <v/>
      </c>
      <c r="B135" s="18" t="str">
        <f t="shared" si="4"/>
        <v/>
      </c>
      <c r="C135" s="331"/>
      <c r="D135" s="331"/>
      <c r="E135" s="33"/>
      <c r="F135" s="1"/>
      <c r="J135" s="4"/>
      <c r="K135" s="4"/>
      <c r="L135" s="4"/>
      <c r="M135" s="4"/>
    </row>
    <row r="136" spans="1:13" ht="13.5" customHeight="1" x14ac:dyDescent="0.25">
      <c r="A136" s="18" t="str">
        <f t="shared" si="3"/>
        <v/>
      </c>
      <c r="B136" s="18" t="str">
        <f t="shared" si="4"/>
        <v/>
      </c>
      <c r="C136" s="331"/>
      <c r="D136" s="331"/>
      <c r="E136" s="33"/>
      <c r="F136" s="1"/>
      <c r="J136" s="4"/>
      <c r="K136" s="4"/>
      <c r="L136" s="4"/>
      <c r="M136" s="4"/>
    </row>
    <row r="137" spans="1:13" ht="13.5" customHeight="1" x14ac:dyDescent="0.25">
      <c r="A137" s="18" t="str">
        <f t="shared" si="3"/>
        <v/>
      </c>
      <c r="B137" s="18" t="str">
        <f t="shared" si="4"/>
        <v/>
      </c>
      <c r="C137" s="331"/>
      <c r="D137" s="331"/>
      <c r="E137" s="33"/>
      <c r="F137" s="1"/>
      <c r="J137" s="4"/>
      <c r="K137" s="4"/>
      <c r="L137" s="4"/>
      <c r="M137" s="4"/>
    </row>
    <row r="138" spans="1:13" ht="13.5" customHeight="1" x14ac:dyDescent="0.25">
      <c r="A138" s="18" t="str">
        <f t="shared" si="3"/>
        <v/>
      </c>
      <c r="B138" s="18" t="str">
        <f t="shared" si="4"/>
        <v/>
      </c>
      <c r="C138" s="331"/>
      <c r="D138" s="331"/>
      <c r="E138" s="33"/>
      <c r="F138" s="1"/>
      <c r="J138" s="4"/>
      <c r="K138" s="4"/>
      <c r="L138" s="4"/>
      <c r="M138" s="4"/>
    </row>
    <row r="139" spans="1:13" ht="13.5" customHeight="1" x14ac:dyDescent="0.25">
      <c r="A139" s="18" t="str">
        <f t="shared" si="3"/>
        <v/>
      </c>
      <c r="B139" s="18" t="str">
        <f t="shared" si="4"/>
        <v/>
      </c>
      <c r="C139" s="331"/>
      <c r="D139" s="331"/>
      <c r="E139" s="33"/>
      <c r="F139" s="1"/>
      <c r="J139" s="4"/>
      <c r="K139" s="4"/>
      <c r="L139" s="4"/>
      <c r="M139" s="4"/>
    </row>
    <row r="140" spans="1:13" ht="13.5" customHeight="1" x14ac:dyDescent="0.25">
      <c r="A140" s="18" t="str">
        <f t="shared" si="3"/>
        <v/>
      </c>
      <c r="B140" s="18" t="str">
        <f t="shared" si="4"/>
        <v/>
      </c>
      <c r="C140" s="331"/>
      <c r="D140" s="331"/>
      <c r="E140" s="33"/>
      <c r="F140" s="1"/>
      <c r="J140" s="4"/>
      <c r="K140" s="4"/>
      <c r="L140" s="4"/>
      <c r="M140" s="4"/>
    </row>
    <row r="141" spans="1:13" ht="13.5" customHeight="1" x14ac:dyDescent="0.25">
      <c r="A141" s="18" t="str">
        <f t="shared" si="3"/>
        <v/>
      </c>
      <c r="B141" s="18" t="str">
        <f t="shared" si="4"/>
        <v/>
      </c>
      <c r="C141" s="331"/>
      <c r="D141" s="331"/>
      <c r="E141" s="33"/>
      <c r="F141" s="1"/>
      <c r="J141" s="4"/>
      <c r="K141" s="4"/>
      <c r="L141" s="4"/>
      <c r="M141" s="4"/>
    </row>
    <row r="142" spans="1:13" ht="13.5" customHeight="1" x14ac:dyDescent="0.25">
      <c r="A142" s="18" t="str">
        <f t="shared" si="3"/>
        <v/>
      </c>
      <c r="B142" s="18" t="str">
        <f t="shared" si="4"/>
        <v/>
      </c>
      <c r="C142" s="331"/>
      <c r="D142" s="331"/>
      <c r="E142" s="33"/>
      <c r="F142" s="1"/>
      <c r="J142" s="4"/>
      <c r="K142" s="4"/>
      <c r="L142" s="4"/>
      <c r="M142" s="4"/>
    </row>
    <row r="143" spans="1:13" ht="13.5" customHeight="1" x14ac:dyDescent="0.25">
      <c r="A143" s="18" t="str">
        <f t="shared" si="3"/>
        <v/>
      </c>
      <c r="B143" s="18" t="str">
        <f t="shared" si="4"/>
        <v/>
      </c>
      <c r="C143" s="331"/>
      <c r="D143" s="331"/>
      <c r="E143" s="33"/>
      <c r="F143" s="1"/>
      <c r="J143" s="4"/>
      <c r="K143" s="4"/>
      <c r="L143" s="4"/>
      <c r="M143" s="4"/>
    </row>
    <row r="144" spans="1:13" ht="13.5" customHeight="1" x14ac:dyDescent="0.25">
      <c r="A144" s="18" t="str">
        <f t="shared" si="3"/>
        <v/>
      </c>
      <c r="B144" s="18" t="str">
        <f t="shared" si="4"/>
        <v/>
      </c>
      <c r="C144" s="331"/>
      <c r="D144" s="331"/>
      <c r="E144" s="33"/>
      <c r="F144" s="1"/>
      <c r="J144" s="4"/>
      <c r="K144" s="4"/>
      <c r="L144" s="4"/>
      <c r="M144" s="4"/>
    </row>
    <row r="145" spans="1:13" ht="13.5" customHeight="1" x14ac:dyDescent="0.25">
      <c r="A145" s="18" t="str">
        <f t="shared" si="3"/>
        <v/>
      </c>
      <c r="B145" s="18" t="str">
        <f t="shared" si="4"/>
        <v/>
      </c>
      <c r="C145" s="331"/>
      <c r="D145" s="331"/>
      <c r="E145" s="33"/>
      <c r="F145" s="1"/>
      <c r="J145" s="4"/>
      <c r="K145" s="4"/>
      <c r="L145" s="4"/>
      <c r="M145" s="4"/>
    </row>
    <row r="146" spans="1:13" ht="13.5" customHeight="1" x14ac:dyDescent="0.25">
      <c r="A146" s="18" t="str">
        <f t="shared" si="3"/>
        <v/>
      </c>
      <c r="B146" s="18" t="str">
        <f t="shared" si="4"/>
        <v/>
      </c>
      <c r="C146" s="331"/>
      <c r="D146" s="331"/>
      <c r="E146" s="33"/>
      <c r="F146" s="1"/>
      <c r="J146" s="4"/>
      <c r="K146" s="4"/>
      <c r="L146" s="4"/>
      <c r="M146" s="4"/>
    </row>
    <row r="147" spans="1:13" ht="13.5" customHeight="1" x14ac:dyDescent="0.25">
      <c r="A147" s="18" t="str">
        <f t="shared" si="3"/>
        <v/>
      </c>
      <c r="B147" s="18" t="str">
        <f t="shared" si="4"/>
        <v/>
      </c>
      <c r="C147" s="331"/>
      <c r="D147" s="331"/>
      <c r="E147" s="33"/>
      <c r="F147" s="1"/>
      <c r="J147" s="4"/>
      <c r="K147" s="4"/>
      <c r="L147" s="4"/>
      <c r="M147" s="4"/>
    </row>
    <row r="148" spans="1:13" ht="13.5" customHeight="1" x14ac:dyDescent="0.25">
      <c r="A148" s="18" t="str">
        <f t="shared" si="3"/>
        <v/>
      </c>
      <c r="B148" s="18" t="str">
        <f t="shared" si="4"/>
        <v/>
      </c>
      <c r="C148" s="331"/>
      <c r="D148" s="331"/>
      <c r="E148" s="33"/>
      <c r="F148" s="1"/>
      <c r="J148" s="4"/>
      <c r="K148" s="4"/>
      <c r="L148" s="4"/>
      <c r="M148" s="4"/>
    </row>
    <row r="149" spans="1:13" ht="13.5" customHeight="1" x14ac:dyDescent="0.25">
      <c r="A149" s="18" t="str">
        <f t="shared" si="3"/>
        <v/>
      </c>
      <c r="B149" s="18" t="str">
        <f t="shared" si="4"/>
        <v/>
      </c>
      <c r="C149" s="331"/>
      <c r="D149" s="331"/>
      <c r="E149" s="33"/>
      <c r="F149" s="1"/>
      <c r="J149" s="4"/>
      <c r="K149" s="4"/>
      <c r="L149" s="4"/>
      <c r="M149" s="4"/>
    </row>
    <row r="150" spans="1:13" ht="13.5" customHeight="1" x14ac:dyDescent="0.25">
      <c r="A150" s="18" t="str">
        <f t="shared" si="3"/>
        <v/>
      </c>
      <c r="B150" s="18" t="str">
        <f t="shared" si="4"/>
        <v/>
      </c>
      <c r="C150" s="331"/>
      <c r="D150" s="331"/>
      <c r="E150" s="33"/>
      <c r="F150" s="1"/>
      <c r="J150" s="4"/>
      <c r="K150" s="4"/>
      <c r="L150" s="4"/>
      <c r="M150" s="4"/>
    </row>
    <row r="151" spans="1:13" ht="13.5" customHeight="1" x14ac:dyDescent="0.25">
      <c r="A151" s="18" t="str">
        <f t="shared" si="3"/>
        <v/>
      </c>
      <c r="B151" s="18" t="str">
        <f t="shared" si="4"/>
        <v/>
      </c>
      <c r="C151" s="331"/>
      <c r="D151" s="331"/>
      <c r="E151" s="33"/>
      <c r="F151" s="1"/>
      <c r="J151" s="4"/>
      <c r="K151" s="4"/>
      <c r="L151" s="4"/>
      <c r="M151" s="4"/>
    </row>
    <row r="152" spans="1:13" ht="13.5" customHeight="1" x14ac:dyDescent="0.25">
      <c r="A152" s="18" t="str">
        <f t="shared" si="3"/>
        <v/>
      </c>
      <c r="B152" s="18" t="str">
        <f t="shared" si="4"/>
        <v/>
      </c>
      <c r="C152" s="331"/>
      <c r="D152" s="331"/>
      <c r="E152" s="33"/>
      <c r="F152" s="1"/>
      <c r="J152" s="4"/>
      <c r="K152" s="4"/>
      <c r="L152" s="4"/>
      <c r="M152" s="4"/>
    </row>
    <row r="153" spans="1:13" ht="13.5" customHeight="1" x14ac:dyDescent="0.25">
      <c r="A153" s="18" t="str">
        <f t="shared" si="3"/>
        <v/>
      </c>
      <c r="B153" s="18" t="str">
        <f t="shared" si="4"/>
        <v/>
      </c>
      <c r="C153" s="331"/>
      <c r="D153" s="331"/>
      <c r="E153" s="33"/>
      <c r="F153" s="1"/>
      <c r="J153" s="4"/>
      <c r="K153" s="4"/>
      <c r="L153" s="4"/>
      <c r="M153" s="4"/>
    </row>
    <row r="154" spans="1:13" ht="13.5" customHeight="1" x14ac:dyDescent="0.25">
      <c r="A154" s="18" t="str">
        <f t="shared" si="3"/>
        <v/>
      </c>
      <c r="B154" s="18" t="str">
        <f t="shared" si="4"/>
        <v/>
      </c>
      <c r="C154" s="331"/>
      <c r="D154" s="331"/>
      <c r="E154" s="33"/>
      <c r="F154" s="1"/>
      <c r="J154" s="4"/>
      <c r="K154" s="4"/>
      <c r="L154" s="4"/>
      <c r="M154" s="4"/>
    </row>
    <row r="155" spans="1:13" ht="13.5" customHeight="1" x14ac:dyDescent="0.25">
      <c r="A155" s="18" t="str">
        <f t="shared" si="3"/>
        <v/>
      </c>
      <c r="B155" s="18" t="str">
        <f t="shared" si="4"/>
        <v/>
      </c>
      <c r="C155" s="331"/>
      <c r="D155" s="331"/>
      <c r="E155" s="33"/>
      <c r="F155" s="1"/>
      <c r="J155" s="4"/>
      <c r="K155" s="4"/>
      <c r="L155" s="4"/>
      <c r="M155" s="4"/>
    </row>
    <row r="156" spans="1:13" ht="13.5" customHeight="1" x14ac:dyDescent="0.25">
      <c r="A156" s="18" t="str">
        <f t="shared" si="3"/>
        <v/>
      </c>
      <c r="B156" s="18" t="str">
        <f t="shared" si="4"/>
        <v/>
      </c>
      <c r="C156" s="331"/>
      <c r="D156" s="331"/>
      <c r="E156" s="33"/>
      <c r="F156" s="1"/>
      <c r="J156" s="4"/>
      <c r="K156" s="4"/>
      <c r="L156" s="4"/>
      <c r="M156" s="4"/>
    </row>
    <row r="157" spans="1:13" ht="13.5" customHeight="1" x14ac:dyDescent="0.25">
      <c r="A157" s="18" t="str">
        <f t="shared" si="3"/>
        <v/>
      </c>
      <c r="B157" s="18" t="str">
        <f t="shared" si="4"/>
        <v/>
      </c>
      <c r="C157" s="331"/>
      <c r="D157" s="331"/>
      <c r="E157" s="33"/>
      <c r="F157" s="1"/>
      <c r="J157" s="4"/>
      <c r="K157" s="4"/>
      <c r="L157" s="4"/>
      <c r="M157" s="4"/>
    </row>
    <row r="158" spans="1:13" ht="13.5" customHeight="1" x14ac:dyDescent="0.25">
      <c r="A158" s="18" t="str">
        <f t="shared" si="3"/>
        <v/>
      </c>
      <c r="B158" s="18" t="str">
        <f t="shared" si="4"/>
        <v/>
      </c>
      <c r="C158" s="331"/>
      <c r="D158" s="331"/>
      <c r="E158" s="33"/>
      <c r="F158" s="1"/>
      <c r="J158" s="4"/>
      <c r="K158" s="4"/>
      <c r="L158" s="4"/>
      <c r="M158" s="4"/>
    </row>
    <row r="159" spans="1:13" ht="13.5" customHeight="1" x14ac:dyDescent="0.25">
      <c r="A159" s="18" t="str">
        <f t="shared" si="3"/>
        <v/>
      </c>
      <c r="B159" s="18" t="str">
        <f t="shared" si="4"/>
        <v/>
      </c>
      <c r="C159" s="331"/>
      <c r="D159" s="331"/>
      <c r="E159" s="33"/>
      <c r="F159" s="1"/>
      <c r="J159" s="4"/>
      <c r="K159" s="4"/>
      <c r="L159" s="4"/>
      <c r="M159" s="4"/>
    </row>
    <row r="160" spans="1:13" ht="13.5" customHeight="1" x14ac:dyDescent="0.25">
      <c r="A160" s="18" t="str">
        <f t="shared" si="3"/>
        <v/>
      </c>
      <c r="B160" s="18" t="str">
        <f t="shared" si="4"/>
        <v/>
      </c>
      <c r="C160" s="331"/>
      <c r="D160" s="331"/>
      <c r="E160" s="33"/>
      <c r="F160" s="1"/>
      <c r="J160" s="4"/>
      <c r="K160" s="4"/>
      <c r="L160" s="4"/>
      <c r="M160" s="4"/>
    </row>
    <row r="161" spans="1:13" ht="13.5" customHeight="1" x14ac:dyDescent="0.25">
      <c r="A161" s="18" t="str">
        <f t="shared" si="3"/>
        <v/>
      </c>
      <c r="B161" s="18" t="str">
        <f t="shared" si="4"/>
        <v/>
      </c>
      <c r="C161" s="331"/>
      <c r="D161" s="331"/>
      <c r="E161" s="33"/>
      <c r="F161" s="1"/>
      <c r="J161" s="4"/>
      <c r="K161" s="4"/>
      <c r="L161" s="4"/>
      <c r="M161" s="4"/>
    </row>
    <row r="162" spans="1:13" ht="13.5" customHeight="1" x14ac:dyDescent="0.25">
      <c r="A162" s="18" t="str">
        <f t="shared" si="3"/>
        <v/>
      </c>
      <c r="B162" s="18" t="str">
        <f t="shared" si="4"/>
        <v/>
      </c>
      <c r="C162" s="331"/>
      <c r="D162" s="331"/>
      <c r="E162" s="33"/>
      <c r="F162" s="1"/>
      <c r="J162" s="4"/>
      <c r="K162" s="4"/>
      <c r="L162" s="4"/>
      <c r="M162" s="4"/>
    </row>
    <row r="163" spans="1:13" ht="13.5" customHeight="1" x14ac:dyDescent="0.25">
      <c r="A163" s="18" t="str">
        <f t="shared" si="3"/>
        <v/>
      </c>
      <c r="B163" s="18" t="str">
        <f t="shared" si="4"/>
        <v/>
      </c>
      <c r="C163" s="331"/>
      <c r="D163" s="331"/>
      <c r="E163" s="33"/>
      <c r="F163" s="1"/>
      <c r="J163" s="4"/>
      <c r="K163" s="4"/>
      <c r="L163" s="4"/>
      <c r="M163" s="4"/>
    </row>
    <row r="164" spans="1:13" ht="13.5" customHeight="1" x14ac:dyDescent="0.25">
      <c r="A164" s="18" t="str">
        <f t="shared" si="3"/>
        <v/>
      </c>
      <c r="B164" s="18" t="str">
        <f t="shared" si="4"/>
        <v/>
      </c>
      <c r="C164" s="331"/>
      <c r="D164" s="331"/>
      <c r="E164" s="33"/>
      <c r="F164" s="1"/>
      <c r="J164" s="4"/>
      <c r="K164" s="4"/>
      <c r="L164" s="4"/>
      <c r="M164" s="4"/>
    </row>
    <row r="165" spans="1:13" ht="13.5" customHeight="1" x14ac:dyDescent="0.25">
      <c r="A165" s="18" t="str">
        <f t="shared" si="3"/>
        <v/>
      </c>
      <c r="B165" s="18" t="str">
        <f t="shared" si="4"/>
        <v/>
      </c>
      <c r="C165" s="331"/>
      <c r="D165" s="331"/>
      <c r="E165" s="33"/>
      <c r="F165" s="1"/>
      <c r="J165" s="4"/>
      <c r="K165" s="4"/>
      <c r="L165" s="4"/>
      <c r="M165" s="4"/>
    </row>
    <row r="166" spans="1:13" ht="13.5" customHeight="1" x14ac:dyDescent="0.25">
      <c r="A166" s="18" t="str">
        <f t="shared" si="3"/>
        <v/>
      </c>
      <c r="B166" s="18" t="str">
        <f t="shared" si="4"/>
        <v/>
      </c>
      <c r="C166" s="331"/>
      <c r="D166" s="331"/>
      <c r="E166" s="33"/>
      <c r="F166" s="1"/>
      <c r="J166" s="4"/>
      <c r="K166" s="4"/>
      <c r="L166" s="4"/>
      <c r="M166" s="4"/>
    </row>
    <row r="167" spans="1:13" ht="13.5" customHeight="1" x14ac:dyDescent="0.25">
      <c r="A167" s="18" t="str">
        <f t="shared" si="3"/>
        <v/>
      </c>
      <c r="B167" s="18" t="str">
        <f t="shared" si="4"/>
        <v/>
      </c>
      <c r="C167" s="331"/>
      <c r="D167" s="331"/>
      <c r="E167" s="33"/>
      <c r="F167" s="1"/>
      <c r="J167" s="4"/>
      <c r="K167" s="4"/>
      <c r="L167" s="4"/>
      <c r="M167" s="4"/>
    </row>
    <row r="168" spans="1:13" ht="13.5" customHeight="1" x14ac:dyDescent="0.25">
      <c r="A168" s="18" t="str">
        <f t="shared" si="3"/>
        <v/>
      </c>
      <c r="B168" s="18" t="str">
        <f t="shared" si="4"/>
        <v/>
      </c>
      <c r="C168" s="331"/>
      <c r="D168" s="331"/>
      <c r="E168" s="33"/>
      <c r="F168" s="1"/>
      <c r="J168" s="4"/>
      <c r="K168" s="4"/>
      <c r="L168" s="4"/>
      <c r="M168" s="4"/>
    </row>
    <row r="169" spans="1:13" ht="13.5" customHeight="1" x14ac:dyDescent="0.25">
      <c r="A169" s="18" t="str">
        <f t="shared" si="3"/>
        <v/>
      </c>
      <c r="B169" s="18" t="str">
        <f t="shared" si="4"/>
        <v/>
      </c>
      <c r="C169" s="331"/>
      <c r="D169" s="331"/>
      <c r="E169" s="33"/>
      <c r="F169" s="1"/>
      <c r="J169" s="4"/>
      <c r="K169" s="4"/>
      <c r="L169" s="4"/>
      <c r="M169" s="4"/>
    </row>
    <row r="170" spans="1:13" ht="13.5" customHeight="1" x14ac:dyDescent="0.25">
      <c r="A170" s="18" t="str">
        <f t="shared" si="3"/>
        <v/>
      </c>
      <c r="B170" s="18" t="str">
        <f t="shared" si="4"/>
        <v/>
      </c>
      <c r="C170" s="331"/>
      <c r="D170" s="331"/>
      <c r="E170" s="33"/>
      <c r="F170" s="1"/>
      <c r="J170" s="4"/>
      <c r="K170" s="4"/>
      <c r="L170" s="4"/>
      <c r="M170" s="4"/>
    </row>
    <row r="171" spans="1:13" ht="13.5" customHeight="1" x14ac:dyDescent="0.25">
      <c r="A171" s="18" t="str">
        <f t="shared" si="3"/>
        <v/>
      </c>
      <c r="B171" s="18" t="str">
        <f t="shared" si="4"/>
        <v/>
      </c>
      <c r="C171" s="331"/>
      <c r="D171" s="331"/>
      <c r="E171" s="33"/>
      <c r="F171" s="1"/>
      <c r="J171" s="4"/>
      <c r="K171" s="4"/>
      <c r="L171" s="4"/>
      <c r="M171" s="4"/>
    </row>
    <row r="172" spans="1:13" ht="13.5" customHeight="1" x14ac:dyDescent="0.25">
      <c r="A172" s="18" t="str">
        <f t="shared" si="3"/>
        <v/>
      </c>
      <c r="B172" s="18" t="str">
        <f t="shared" si="4"/>
        <v/>
      </c>
      <c r="C172" s="331"/>
      <c r="D172" s="331"/>
      <c r="E172" s="33"/>
      <c r="F172" s="1"/>
      <c r="J172" s="4"/>
      <c r="K172" s="4"/>
      <c r="L172" s="4"/>
      <c r="M172" s="4"/>
    </row>
    <row r="173" spans="1:13" ht="13.5" customHeight="1" x14ac:dyDescent="0.25">
      <c r="A173" s="18" t="str">
        <f t="shared" si="3"/>
        <v/>
      </c>
      <c r="B173" s="18" t="str">
        <f t="shared" si="4"/>
        <v/>
      </c>
      <c r="C173" s="331"/>
      <c r="D173" s="331"/>
      <c r="E173" s="33"/>
      <c r="F173" s="1"/>
      <c r="J173" s="4"/>
      <c r="K173" s="4"/>
      <c r="L173" s="4"/>
      <c r="M173" s="4"/>
    </row>
    <row r="174" spans="1:13" ht="13.5" customHeight="1" x14ac:dyDescent="0.25">
      <c r="A174" s="18" t="str">
        <f t="shared" si="3"/>
        <v/>
      </c>
      <c r="B174" s="18" t="str">
        <f t="shared" si="4"/>
        <v/>
      </c>
      <c r="C174" s="331"/>
      <c r="D174" s="331"/>
      <c r="E174" s="33"/>
      <c r="F174" s="1"/>
      <c r="J174" s="4"/>
      <c r="K174" s="4"/>
      <c r="L174" s="4"/>
      <c r="M174" s="4"/>
    </row>
    <row r="175" spans="1:13" ht="13.5" customHeight="1" x14ac:dyDescent="0.25">
      <c r="A175" s="18" t="str">
        <f t="shared" si="3"/>
        <v/>
      </c>
      <c r="B175" s="18" t="str">
        <f t="shared" si="4"/>
        <v/>
      </c>
      <c r="C175" s="331"/>
      <c r="D175" s="331"/>
      <c r="E175" s="33"/>
      <c r="F175" s="1"/>
      <c r="J175" s="4"/>
      <c r="K175" s="4"/>
      <c r="L175" s="4"/>
      <c r="M175" s="4"/>
    </row>
    <row r="176" spans="1:13" ht="13.5" customHeight="1" x14ac:dyDescent="0.25">
      <c r="A176" s="18" t="str">
        <f t="shared" si="3"/>
        <v/>
      </c>
      <c r="B176" s="18" t="str">
        <f t="shared" si="4"/>
        <v/>
      </c>
      <c r="C176" s="331"/>
      <c r="D176" s="331"/>
      <c r="E176" s="33"/>
      <c r="F176" s="1"/>
      <c r="J176" s="4"/>
      <c r="K176" s="4"/>
      <c r="L176" s="4"/>
      <c r="M176" s="4"/>
    </row>
    <row r="177" spans="1:13" ht="13.5" customHeight="1" x14ac:dyDescent="0.25">
      <c r="A177" s="18" t="str">
        <f t="shared" si="3"/>
        <v/>
      </c>
      <c r="B177" s="18" t="str">
        <f t="shared" si="4"/>
        <v/>
      </c>
      <c r="C177" s="331"/>
      <c r="D177" s="331"/>
      <c r="E177" s="33"/>
      <c r="F177" s="1"/>
      <c r="J177" s="4"/>
      <c r="K177" s="4"/>
      <c r="L177" s="4"/>
      <c r="M177" s="4"/>
    </row>
    <row r="178" spans="1:13" ht="13.5" customHeight="1" x14ac:dyDescent="0.25">
      <c r="A178" s="18" t="str">
        <f t="shared" si="3"/>
        <v/>
      </c>
      <c r="B178" s="18" t="str">
        <f t="shared" si="4"/>
        <v/>
      </c>
      <c r="C178" s="331"/>
      <c r="D178" s="331"/>
      <c r="E178" s="33"/>
      <c r="F178" s="1"/>
      <c r="J178" s="4"/>
      <c r="K178" s="4"/>
      <c r="L178" s="4"/>
      <c r="M178" s="4"/>
    </row>
    <row r="179" spans="1:13" ht="13.5" customHeight="1" x14ac:dyDescent="0.25">
      <c r="A179" s="18" t="str">
        <f t="shared" si="3"/>
        <v/>
      </c>
      <c r="B179" s="18" t="str">
        <f t="shared" si="4"/>
        <v/>
      </c>
      <c r="C179" s="331"/>
      <c r="D179" s="331"/>
      <c r="E179" s="33"/>
      <c r="F179" s="1"/>
      <c r="J179" s="4"/>
      <c r="K179" s="4"/>
      <c r="L179" s="4"/>
      <c r="M179" s="4"/>
    </row>
    <row r="180" spans="1:13" ht="13.5" customHeight="1" x14ac:dyDescent="0.25">
      <c r="A180" s="18" t="str">
        <f t="shared" si="3"/>
        <v/>
      </c>
      <c r="B180" s="18" t="str">
        <f t="shared" si="4"/>
        <v/>
      </c>
      <c r="C180" s="331"/>
      <c r="D180" s="331"/>
      <c r="E180" s="33"/>
      <c r="F180" s="1"/>
      <c r="J180" s="4"/>
      <c r="K180" s="4"/>
      <c r="L180" s="4"/>
      <c r="M180" s="4"/>
    </row>
    <row r="181" spans="1:13" ht="13.5" customHeight="1" x14ac:dyDescent="0.25">
      <c r="A181" s="18" t="str">
        <f t="shared" si="3"/>
        <v/>
      </c>
      <c r="B181" s="18" t="str">
        <f t="shared" si="4"/>
        <v/>
      </c>
      <c r="C181" s="331"/>
      <c r="D181" s="331"/>
      <c r="E181" s="33"/>
      <c r="F181" s="1"/>
      <c r="J181" s="4"/>
      <c r="K181" s="4"/>
      <c r="L181" s="4"/>
      <c r="M181" s="4"/>
    </row>
    <row r="182" spans="1:13" ht="13.5" customHeight="1" x14ac:dyDescent="0.25">
      <c r="A182" s="18" t="str">
        <f t="shared" si="3"/>
        <v/>
      </c>
      <c r="B182" s="18" t="str">
        <f t="shared" si="4"/>
        <v/>
      </c>
      <c r="C182" s="331"/>
      <c r="D182" s="331"/>
      <c r="E182" s="33"/>
      <c r="F182" s="1"/>
      <c r="J182" s="4"/>
      <c r="K182" s="4"/>
      <c r="L182" s="4"/>
      <c r="M182" s="4"/>
    </row>
    <row r="183" spans="1:13" ht="13.5" customHeight="1" x14ac:dyDescent="0.25">
      <c r="A183" s="18" t="str">
        <f t="shared" si="3"/>
        <v/>
      </c>
      <c r="B183" s="18" t="str">
        <f t="shared" si="4"/>
        <v/>
      </c>
      <c r="C183" s="331"/>
      <c r="D183" s="331"/>
      <c r="E183" s="33"/>
      <c r="F183" s="1"/>
      <c r="J183" s="4"/>
      <c r="K183" s="4"/>
      <c r="L183" s="4"/>
      <c r="M183" s="4"/>
    </row>
    <row r="184" spans="1:13" ht="13.5" customHeight="1" x14ac:dyDescent="0.25">
      <c r="A184" s="18" t="str">
        <f t="shared" si="3"/>
        <v/>
      </c>
      <c r="B184" s="18" t="str">
        <f t="shared" si="4"/>
        <v/>
      </c>
      <c r="C184" s="331"/>
      <c r="D184" s="331"/>
      <c r="E184" s="33"/>
      <c r="F184" s="1"/>
      <c r="J184" s="4"/>
      <c r="K184" s="4"/>
      <c r="L184" s="4"/>
      <c r="M184" s="4"/>
    </row>
    <row r="185" spans="1:13" ht="13.5" customHeight="1" x14ac:dyDescent="0.25">
      <c r="A185" s="18" t="str">
        <f t="shared" si="3"/>
        <v/>
      </c>
      <c r="B185" s="18" t="str">
        <f t="shared" si="4"/>
        <v/>
      </c>
      <c r="C185" s="331"/>
      <c r="D185" s="331"/>
      <c r="E185" s="33"/>
      <c r="F185" s="1"/>
      <c r="J185" s="4"/>
      <c r="K185" s="4"/>
      <c r="L185" s="4"/>
      <c r="M185" s="4"/>
    </row>
    <row r="186" spans="1:13" ht="13.5" customHeight="1" x14ac:dyDescent="0.25">
      <c r="A186" s="18" t="str">
        <f t="shared" si="3"/>
        <v/>
      </c>
      <c r="B186" s="18" t="str">
        <f t="shared" si="4"/>
        <v/>
      </c>
      <c r="C186" s="331"/>
      <c r="D186" s="331"/>
      <c r="E186" s="33"/>
      <c r="F186" s="1"/>
      <c r="J186" s="4"/>
      <c r="K186" s="4"/>
      <c r="L186" s="4"/>
      <c r="M186" s="4"/>
    </row>
    <row r="187" spans="1:13" ht="13.5" customHeight="1" x14ac:dyDescent="0.25">
      <c r="A187" s="18" t="str">
        <f t="shared" si="3"/>
        <v/>
      </c>
      <c r="B187" s="18" t="str">
        <f t="shared" si="4"/>
        <v/>
      </c>
      <c r="C187" s="331"/>
      <c r="D187" s="331"/>
      <c r="E187" s="33"/>
      <c r="F187" s="1"/>
      <c r="J187" s="4"/>
      <c r="K187" s="4"/>
      <c r="L187" s="4"/>
      <c r="M187" s="4"/>
    </row>
    <row r="188" spans="1:13" ht="13.5" customHeight="1" x14ac:dyDescent="0.25">
      <c r="A188" s="18" t="str">
        <f t="shared" si="3"/>
        <v/>
      </c>
      <c r="B188" s="18" t="str">
        <f t="shared" si="4"/>
        <v/>
      </c>
      <c r="C188" s="331"/>
      <c r="D188" s="331"/>
      <c r="E188" s="33"/>
      <c r="F188" s="1"/>
      <c r="J188" s="4"/>
      <c r="K188" s="4"/>
      <c r="L188" s="4"/>
      <c r="M188" s="4"/>
    </row>
    <row r="189" spans="1:13" ht="13.5" customHeight="1" x14ac:dyDescent="0.25">
      <c r="A189" s="18" t="str">
        <f t="shared" ref="A189:A199" si="7">C189&amp;D189</f>
        <v/>
      </c>
      <c r="B189" s="18" t="str">
        <f t="shared" ref="B189:B199" si="8">IF(LEN(C189)&gt;0,C189&amp;COUNTIF($C$2:$C189,C189),"")</f>
        <v/>
      </c>
      <c r="C189" s="331"/>
      <c r="D189" s="331"/>
      <c r="E189" s="33"/>
      <c r="F189" s="1"/>
      <c r="J189" s="4"/>
      <c r="K189" s="4"/>
      <c r="L189" s="4"/>
      <c r="M189" s="4"/>
    </row>
    <row r="190" spans="1:13" ht="13.5" customHeight="1" x14ac:dyDescent="0.25">
      <c r="A190" s="18" t="str">
        <f t="shared" si="7"/>
        <v/>
      </c>
      <c r="B190" s="18" t="str">
        <f t="shared" si="8"/>
        <v/>
      </c>
      <c r="C190" s="331"/>
      <c r="D190" s="331"/>
      <c r="E190" s="33"/>
      <c r="F190" s="1"/>
      <c r="J190" s="4"/>
      <c r="K190" s="4"/>
      <c r="L190" s="4"/>
      <c r="M190" s="4"/>
    </row>
    <row r="191" spans="1:13" ht="13.5" customHeight="1" x14ac:dyDescent="0.25">
      <c r="A191" s="18" t="str">
        <f t="shared" si="7"/>
        <v/>
      </c>
      <c r="B191" s="18" t="str">
        <f t="shared" si="8"/>
        <v/>
      </c>
      <c r="C191" s="331"/>
      <c r="D191" s="331"/>
      <c r="E191" s="33"/>
      <c r="F191" s="1"/>
      <c r="J191" s="4"/>
      <c r="K191" s="4"/>
      <c r="L191" s="4"/>
      <c r="M191" s="4"/>
    </row>
    <row r="192" spans="1:13" ht="13.5" customHeight="1" x14ac:dyDescent="0.25">
      <c r="A192" s="18" t="str">
        <f t="shared" si="7"/>
        <v/>
      </c>
      <c r="B192" s="18" t="str">
        <f t="shared" si="8"/>
        <v/>
      </c>
      <c r="C192" s="331"/>
      <c r="D192" s="331"/>
      <c r="E192" s="33"/>
      <c r="F192" s="1"/>
      <c r="J192" s="4"/>
      <c r="K192" s="4"/>
      <c r="L192" s="4"/>
      <c r="M192" s="4"/>
    </row>
    <row r="193" spans="1:16" ht="13.5" customHeight="1" x14ac:dyDescent="0.25">
      <c r="A193" s="18" t="str">
        <f t="shared" si="7"/>
        <v/>
      </c>
      <c r="B193" s="18" t="str">
        <f t="shared" si="8"/>
        <v/>
      </c>
      <c r="C193" s="331"/>
      <c r="D193" s="331"/>
      <c r="E193" s="33"/>
      <c r="F193" s="1"/>
      <c r="J193" s="4"/>
      <c r="K193" s="4"/>
      <c r="L193" s="4"/>
      <c r="M193" s="4"/>
    </row>
    <row r="194" spans="1:16" ht="13.5" customHeight="1" x14ac:dyDescent="0.25">
      <c r="A194" s="18" t="str">
        <f t="shared" si="7"/>
        <v/>
      </c>
      <c r="B194" s="18" t="str">
        <f t="shared" si="8"/>
        <v/>
      </c>
      <c r="C194" s="331"/>
      <c r="D194" s="331"/>
      <c r="E194" s="33"/>
      <c r="F194" s="1"/>
      <c r="J194" s="4"/>
      <c r="K194" s="4"/>
      <c r="L194" s="4"/>
      <c r="M194" s="4"/>
    </row>
    <row r="195" spans="1:16" ht="13.5" customHeight="1" x14ac:dyDescent="0.25">
      <c r="A195" s="18" t="str">
        <f t="shared" si="7"/>
        <v/>
      </c>
      <c r="B195" s="18" t="str">
        <f t="shared" si="8"/>
        <v/>
      </c>
      <c r="C195" s="331"/>
      <c r="D195" s="331"/>
      <c r="E195" s="33"/>
      <c r="F195" s="1"/>
      <c r="J195" s="4"/>
      <c r="K195" s="4"/>
      <c r="L195" s="4"/>
      <c r="M195" s="4"/>
    </row>
    <row r="196" spans="1:16" ht="13.5" customHeight="1" x14ac:dyDescent="0.25">
      <c r="A196" s="18" t="str">
        <f t="shared" si="7"/>
        <v/>
      </c>
      <c r="B196" s="18" t="str">
        <f t="shared" si="8"/>
        <v/>
      </c>
      <c r="C196" s="331"/>
      <c r="D196" s="331"/>
      <c r="E196" s="33"/>
      <c r="F196" s="1"/>
      <c r="J196" s="4"/>
      <c r="K196" s="4"/>
      <c r="L196" s="4"/>
      <c r="M196" s="4"/>
    </row>
    <row r="197" spans="1:16" ht="13.5" customHeight="1" x14ac:dyDescent="0.25">
      <c r="A197" s="18" t="str">
        <f t="shared" si="7"/>
        <v/>
      </c>
      <c r="B197" s="18" t="str">
        <f t="shared" si="8"/>
        <v/>
      </c>
      <c r="C197" s="331"/>
      <c r="D197" s="33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</row>
    <row r="198" spans="1:16" ht="13.5" customHeight="1" x14ac:dyDescent="0.25">
      <c r="A198" s="18" t="str">
        <f t="shared" si="7"/>
        <v/>
      </c>
      <c r="B198" s="18" t="str">
        <f t="shared" si="8"/>
        <v/>
      </c>
      <c r="C198" s="331"/>
      <c r="D198" s="33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</row>
    <row r="199" spans="1:16" ht="13.5" customHeight="1" x14ac:dyDescent="0.25">
      <c r="A199" s="18" t="str">
        <f t="shared" si="7"/>
        <v/>
      </c>
      <c r="B199" s="18" t="str">
        <f t="shared" si="8"/>
        <v/>
      </c>
      <c r="C199" s="341"/>
      <c r="D199" s="34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</row>
    <row r="200" spans="1:16" ht="12.75" customHeight="1" x14ac:dyDescent="0.25">
      <c r="A200" s="13" t="s">
        <v>177</v>
      </c>
      <c r="B200" s="13" t="s">
        <v>177</v>
      </c>
      <c r="C200" s="304" t="s">
        <v>177</v>
      </c>
      <c r="D200" s="304" t="s">
        <v>177</v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</row>
    <row r="201" spans="1:16" ht="15" customHeight="1" x14ac:dyDescent="0.25"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</row>
    <row r="202" spans="1:16" ht="15" customHeight="1" x14ac:dyDescent="0.25"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</row>
    <row r="203" spans="1:16" ht="15" customHeight="1" x14ac:dyDescent="0.25"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</row>
    <row r="204" spans="1:16" ht="15" customHeight="1" x14ac:dyDescent="0.25"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</row>
    <row r="205" spans="1:16" ht="15" customHeight="1" x14ac:dyDescent="0.25"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</row>
    <row r="206" spans="1:16" ht="15" customHeight="1" x14ac:dyDescent="0.25"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</row>
    <row r="207" spans="1:16" ht="15" customHeight="1" x14ac:dyDescent="0.25"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</row>
    <row r="208" spans="1:16" ht="15" customHeight="1" x14ac:dyDescent="0.25"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</row>
  </sheetData>
  <sheetProtection algorithmName="SHA-512" hashValue="WA6XMpeLVH/cHGnhSPZmB05N1IxwVmDCq4xWOoSlELeYDICzVbTcSDWqPVdysdr2eG7PiNSKC78hdXxEspilfg==" saltValue="xPKZD2X1oZjy3lXMFtsY5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P32"/>
  <sheetViews>
    <sheetView zoomScale="75" zoomScaleNormal="75" workbookViewId="0">
      <selection activeCell="F24" sqref="F24"/>
    </sheetView>
  </sheetViews>
  <sheetFormatPr defaultColWidth="8.77734375" defaultRowHeight="13.2" x14ac:dyDescent="0.25"/>
  <cols>
    <col min="1" max="1" width="20" bestFit="1" customWidth="1"/>
    <col min="3" max="3" width="21.77734375" style="43" bestFit="1" customWidth="1"/>
    <col min="4" max="4" width="16.44140625" bestFit="1" customWidth="1"/>
    <col min="5" max="5" width="17" bestFit="1" customWidth="1"/>
    <col min="6" max="6" width="11.21875" style="37" bestFit="1" customWidth="1"/>
    <col min="7" max="7" width="12.77734375" customWidth="1"/>
    <col min="8" max="8" width="8.21875" customWidth="1"/>
    <col min="9" max="9" width="21.77734375" bestFit="1" customWidth="1"/>
    <col min="10" max="10" width="16.44140625" bestFit="1" customWidth="1"/>
    <col min="11" max="11" width="17" bestFit="1" customWidth="1"/>
  </cols>
  <sheetData>
    <row r="1" spans="1:16" s="43" customFormat="1" x14ac:dyDescent="0.25">
      <c r="A1" s="568" t="s">
        <v>126</v>
      </c>
      <c r="B1" s="568"/>
      <c r="C1" s="568"/>
      <c r="D1" s="568"/>
      <c r="E1" s="568"/>
      <c r="F1" s="37"/>
      <c r="I1" s="46"/>
      <c r="J1" s="37"/>
      <c r="K1" s="37"/>
    </row>
    <row r="2" spans="1:16" ht="13.8" thickBot="1" x14ac:dyDescent="0.3">
      <c r="A2" s="53" t="s">
        <v>38</v>
      </c>
      <c r="B2" s="53" t="s">
        <v>8</v>
      </c>
      <c r="C2" s="342" t="s">
        <v>122</v>
      </c>
      <c r="D2" s="342" t="s">
        <v>123</v>
      </c>
      <c r="E2" s="342" t="s">
        <v>124</v>
      </c>
      <c r="F2" s="53"/>
      <c r="G2" s="53"/>
      <c r="H2" s="53"/>
      <c r="I2" s="53"/>
      <c r="J2" s="53"/>
      <c r="K2" s="53"/>
    </row>
    <row r="3" spans="1:16" x14ac:dyDescent="0.25">
      <c r="A3" s="52" t="s">
        <v>42</v>
      </c>
      <c r="B3" s="37" t="s">
        <v>30</v>
      </c>
      <c r="C3" s="343" t="s">
        <v>121</v>
      </c>
      <c r="D3" s="344">
        <v>5</v>
      </c>
      <c r="E3" s="345">
        <v>40</v>
      </c>
      <c r="G3" s="39"/>
      <c r="H3" s="37"/>
      <c r="I3" s="46"/>
      <c r="J3" s="37"/>
      <c r="K3" s="37"/>
    </row>
    <row r="4" spans="1:16" x14ac:dyDescent="0.25">
      <c r="A4" s="52" t="s">
        <v>65</v>
      </c>
      <c r="B4" s="37" t="s">
        <v>32</v>
      </c>
      <c r="C4" s="346" t="s">
        <v>121</v>
      </c>
      <c r="D4" s="341">
        <v>5</v>
      </c>
      <c r="E4" s="347">
        <v>40</v>
      </c>
      <c r="G4" s="39"/>
      <c r="H4" s="37"/>
      <c r="I4" s="46"/>
      <c r="J4" s="37"/>
      <c r="K4" s="37"/>
    </row>
    <row r="5" spans="1:16" x14ac:dyDescent="0.25">
      <c r="A5" s="52" t="s">
        <v>57</v>
      </c>
      <c r="B5" s="37" t="s">
        <v>31</v>
      </c>
      <c r="C5" s="346" t="s">
        <v>121</v>
      </c>
      <c r="D5" s="341">
        <v>5</v>
      </c>
      <c r="E5" s="347">
        <v>40</v>
      </c>
      <c r="H5" s="37"/>
      <c r="I5" s="46"/>
      <c r="J5" s="37"/>
      <c r="K5" s="37"/>
    </row>
    <row r="6" spans="1:16" x14ac:dyDescent="0.25">
      <c r="A6" s="52" t="s">
        <v>77</v>
      </c>
      <c r="B6" s="37" t="s">
        <v>29</v>
      </c>
      <c r="C6" s="346" t="s">
        <v>121</v>
      </c>
      <c r="D6" s="341">
        <v>5</v>
      </c>
      <c r="E6" s="347">
        <v>40</v>
      </c>
      <c r="H6" s="37"/>
      <c r="I6" s="46"/>
      <c r="J6" s="37"/>
      <c r="K6" s="37"/>
    </row>
    <row r="7" spans="1:16" x14ac:dyDescent="0.25">
      <c r="A7" s="52" t="s">
        <v>55</v>
      </c>
      <c r="B7" s="37" t="s">
        <v>56</v>
      </c>
      <c r="C7" s="346" t="s">
        <v>121</v>
      </c>
      <c r="D7" s="341">
        <v>5</v>
      </c>
      <c r="E7" s="347">
        <v>40</v>
      </c>
      <c r="H7" s="37"/>
      <c r="I7" s="46"/>
      <c r="J7" s="37"/>
      <c r="K7" s="37"/>
    </row>
    <row r="8" spans="1:16" x14ac:dyDescent="0.25">
      <c r="A8" s="52" t="s">
        <v>58</v>
      </c>
      <c r="B8" s="37" t="s">
        <v>33</v>
      </c>
      <c r="C8" s="346" t="s">
        <v>121</v>
      </c>
      <c r="D8" s="341">
        <v>5</v>
      </c>
      <c r="E8" s="347">
        <v>40</v>
      </c>
      <c r="G8" s="39"/>
      <c r="H8" s="37"/>
      <c r="I8" s="46"/>
      <c r="J8" s="37"/>
      <c r="K8" s="37"/>
    </row>
    <row r="9" spans="1:16" x14ac:dyDescent="0.25">
      <c r="A9" s="52" t="s">
        <v>46</v>
      </c>
      <c r="B9" s="37" t="s">
        <v>47</v>
      </c>
      <c r="C9" s="346" t="s">
        <v>121</v>
      </c>
      <c r="D9" s="341">
        <v>5</v>
      </c>
      <c r="E9" s="347">
        <v>40</v>
      </c>
      <c r="H9" s="37"/>
      <c r="I9" s="46"/>
      <c r="J9" s="37"/>
      <c r="K9" s="37"/>
    </row>
    <row r="10" spans="1:16" x14ac:dyDescent="0.25">
      <c r="A10" s="54" t="s">
        <v>128</v>
      </c>
      <c r="B10" s="37" t="s">
        <v>45</v>
      </c>
      <c r="C10" s="346" t="s">
        <v>121</v>
      </c>
      <c r="D10" s="341">
        <v>5</v>
      </c>
      <c r="E10" s="347">
        <v>40</v>
      </c>
      <c r="H10" s="37"/>
      <c r="I10" s="46"/>
      <c r="J10" s="37"/>
      <c r="K10" s="37"/>
    </row>
    <row r="11" spans="1:16" s="43" customFormat="1" ht="13.8" thickBot="1" x14ac:dyDescent="0.3">
      <c r="A11" s="39" t="s">
        <v>129</v>
      </c>
      <c r="B11" s="37" t="s">
        <v>75</v>
      </c>
      <c r="C11" s="348" t="s">
        <v>121</v>
      </c>
      <c r="D11" s="349">
        <v>5</v>
      </c>
      <c r="E11" s="350">
        <v>40</v>
      </c>
      <c r="F11" s="37"/>
      <c r="G11"/>
      <c r="H11" s="37"/>
      <c r="I11" s="37"/>
      <c r="J11" s="37"/>
      <c r="K11" s="37"/>
      <c r="L11" s="37"/>
      <c r="M11" s="37"/>
      <c r="N11" s="37"/>
      <c r="O11" s="37"/>
      <c r="P11" s="37"/>
    </row>
    <row r="12" spans="1:16" s="43" customFormat="1" x14ac:dyDescent="0.25">
      <c r="C12" s="46"/>
      <c r="D12" s="37"/>
      <c r="E12" s="37"/>
      <c r="F12" s="37"/>
      <c r="G12"/>
      <c r="H12" s="37"/>
      <c r="I12" s="46"/>
      <c r="J12" s="37"/>
      <c r="K12" s="37"/>
    </row>
    <row r="13" spans="1:16" x14ac:dyDescent="0.25">
      <c r="A13" s="568" t="s">
        <v>127</v>
      </c>
      <c r="B13" s="568"/>
      <c r="C13" s="568"/>
      <c r="D13" s="568"/>
      <c r="E13" s="568"/>
      <c r="H13" s="37"/>
      <c r="I13" s="46"/>
      <c r="J13" s="37"/>
      <c r="K13" s="37"/>
    </row>
    <row r="14" spans="1:16" ht="13.8" thickBot="1" x14ac:dyDescent="0.3">
      <c r="A14" s="53" t="s">
        <v>38</v>
      </c>
      <c r="B14" s="53" t="s">
        <v>8</v>
      </c>
      <c r="C14" s="342" t="s">
        <v>122</v>
      </c>
      <c r="D14" s="342" t="s">
        <v>123</v>
      </c>
      <c r="E14" s="342" t="s">
        <v>124</v>
      </c>
      <c r="F14" s="53"/>
      <c r="H14" s="37"/>
      <c r="I14" s="46"/>
      <c r="J14" s="37"/>
      <c r="K14" s="37"/>
    </row>
    <row r="15" spans="1:16" x14ac:dyDescent="0.25">
      <c r="A15" s="39" t="s">
        <v>260</v>
      </c>
      <c r="B15" s="37" t="s">
        <v>78</v>
      </c>
      <c r="C15" s="343" t="s">
        <v>121</v>
      </c>
      <c r="D15" s="344">
        <v>7</v>
      </c>
      <c r="E15" s="345">
        <v>30</v>
      </c>
      <c r="H15" s="37"/>
      <c r="I15" s="46"/>
      <c r="J15" s="37"/>
      <c r="K15" s="37"/>
    </row>
    <row r="16" spans="1:16" x14ac:dyDescent="0.25">
      <c r="A16" s="43" t="s">
        <v>72</v>
      </c>
      <c r="B16" s="37" t="s">
        <v>73</v>
      </c>
      <c r="C16" s="346" t="s">
        <v>121</v>
      </c>
      <c r="D16" s="341">
        <v>7</v>
      </c>
      <c r="E16" s="347">
        <v>30</v>
      </c>
      <c r="H16" s="37"/>
      <c r="I16" s="46"/>
      <c r="J16" s="37"/>
      <c r="K16" s="37"/>
    </row>
    <row r="17" spans="1:11" x14ac:dyDescent="0.25">
      <c r="A17" s="43" t="s">
        <v>70</v>
      </c>
      <c r="B17" s="37" t="s">
        <v>71</v>
      </c>
      <c r="C17" s="346" t="s">
        <v>121</v>
      </c>
      <c r="D17" s="341">
        <v>7</v>
      </c>
      <c r="E17" s="347">
        <v>30</v>
      </c>
      <c r="H17" s="37"/>
      <c r="I17" s="46"/>
      <c r="J17" s="37"/>
      <c r="K17" s="37"/>
    </row>
    <row r="18" spans="1:11" x14ac:dyDescent="0.25">
      <c r="A18" s="43" t="s">
        <v>61</v>
      </c>
      <c r="B18" s="37" t="s">
        <v>62</v>
      </c>
      <c r="C18" s="346" t="s">
        <v>121</v>
      </c>
      <c r="D18" s="341">
        <v>7</v>
      </c>
      <c r="E18" s="347">
        <v>30</v>
      </c>
      <c r="H18" s="37"/>
      <c r="I18" s="46"/>
      <c r="J18" s="37"/>
      <c r="K18" s="37"/>
    </row>
    <row r="19" spans="1:11" x14ac:dyDescent="0.25">
      <c r="A19" s="39" t="s">
        <v>130</v>
      </c>
      <c r="B19" s="37" t="s">
        <v>34</v>
      </c>
      <c r="C19" s="346" t="s">
        <v>121</v>
      </c>
      <c r="D19" s="341">
        <v>7</v>
      </c>
      <c r="E19" s="347">
        <v>30</v>
      </c>
      <c r="H19" s="37"/>
      <c r="I19" s="46"/>
      <c r="J19" s="37"/>
      <c r="K19" s="37"/>
    </row>
    <row r="20" spans="1:11" x14ac:dyDescent="0.25">
      <c r="A20" s="43" t="s">
        <v>59</v>
      </c>
      <c r="B20" s="37" t="s">
        <v>60</v>
      </c>
      <c r="C20" s="346" t="s">
        <v>121</v>
      </c>
      <c r="D20" s="341">
        <v>7</v>
      </c>
      <c r="E20" s="347">
        <v>30</v>
      </c>
    </row>
    <row r="21" spans="1:11" x14ac:dyDescent="0.25">
      <c r="A21" s="43" t="s">
        <v>53</v>
      </c>
      <c r="B21" s="37" t="s">
        <v>54</v>
      </c>
      <c r="C21" s="346" t="s">
        <v>121</v>
      </c>
      <c r="D21" s="341">
        <v>7</v>
      </c>
      <c r="E21" s="347">
        <v>30</v>
      </c>
    </row>
    <row r="22" spans="1:11" x14ac:dyDescent="0.25">
      <c r="A22" s="43" t="s">
        <v>63</v>
      </c>
      <c r="B22" s="37" t="s">
        <v>64</v>
      </c>
      <c r="C22" s="346" t="s">
        <v>121</v>
      </c>
      <c r="D22" s="341">
        <v>7</v>
      </c>
      <c r="E22" s="347">
        <v>30</v>
      </c>
    </row>
    <row r="23" spans="1:11" x14ac:dyDescent="0.25">
      <c r="A23" s="43" t="s">
        <v>66</v>
      </c>
      <c r="B23" s="37" t="s">
        <v>67</v>
      </c>
      <c r="C23" s="346" t="s">
        <v>121</v>
      </c>
      <c r="D23" s="341">
        <v>7</v>
      </c>
      <c r="E23" s="347">
        <v>30</v>
      </c>
    </row>
    <row r="24" spans="1:11" x14ac:dyDescent="0.25">
      <c r="A24" s="39" t="s">
        <v>131</v>
      </c>
      <c r="B24" s="37" t="s">
        <v>35</v>
      </c>
      <c r="C24" s="346" t="s">
        <v>121</v>
      </c>
      <c r="D24" s="341">
        <v>7</v>
      </c>
      <c r="E24" s="347">
        <v>30</v>
      </c>
    </row>
    <row r="25" spans="1:11" x14ac:dyDescent="0.25">
      <c r="A25" s="43" t="s">
        <v>40</v>
      </c>
      <c r="B25" s="37" t="s">
        <v>41</v>
      </c>
      <c r="C25" s="346" t="s">
        <v>121</v>
      </c>
      <c r="D25" s="341">
        <v>7</v>
      </c>
      <c r="E25" s="347">
        <v>30</v>
      </c>
    </row>
    <row r="26" spans="1:11" x14ac:dyDescent="0.25">
      <c r="A26" s="43" t="s">
        <v>48</v>
      </c>
      <c r="B26" s="37" t="s">
        <v>49</v>
      </c>
      <c r="C26" s="346" t="s">
        <v>121</v>
      </c>
      <c r="D26" s="341">
        <v>7</v>
      </c>
      <c r="E26" s="347">
        <v>30</v>
      </c>
    </row>
    <row r="27" spans="1:11" x14ac:dyDescent="0.25">
      <c r="A27" s="43" t="s">
        <v>50</v>
      </c>
      <c r="B27" s="37" t="s">
        <v>51</v>
      </c>
      <c r="C27" s="346" t="s">
        <v>121</v>
      </c>
      <c r="D27" s="341">
        <v>7</v>
      </c>
      <c r="E27" s="347">
        <v>30</v>
      </c>
    </row>
    <row r="28" spans="1:11" x14ac:dyDescent="0.25">
      <c r="A28" s="39" t="s">
        <v>132</v>
      </c>
      <c r="B28" s="37" t="s">
        <v>69</v>
      </c>
      <c r="C28" s="346" t="s">
        <v>121</v>
      </c>
      <c r="D28" s="341">
        <v>7</v>
      </c>
      <c r="E28" s="347">
        <v>30</v>
      </c>
    </row>
    <row r="29" spans="1:11" x14ac:dyDescent="0.25">
      <c r="A29" s="43" t="s">
        <v>76</v>
      </c>
      <c r="B29" s="37" t="s">
        <v>103</v>
      </c>
      <c r="C29" s="346" t="s">
        <v>121</v>
      </c>
      <c r="D29" s="341">
        <v>7</v>
      </c>
      <c r="E29" s="347">
        <v>30</v>
      </c>
    </row>
    <row r="30" spans="1:11" x14ac:dyDescent="0.25">
      <c r="A30" s="43" t="s">
        <v>80</v>
      </c>
      <c r="B30" s="37" t="s">
        <v>81</v>
      </c>
      <c r="C30" s="346" t="s">
        <v>121</v>
      </c>
      <c r="D30" s="341">
        <v>7</v>
      </c>
      <c r="E30" s="347">
        <v>30</v>
      </c>
    </row>
    <row r="31" spans="1:11" ht="13.8" thickBot="1" x14ac:dyDescent="0.3">
      <c r="A31" s="43" t="s">
        <v>104</v>
      </c>
      <c r="B31" s="37" t="s">
        <v>105</v>
      </c>
      <c r="C31" s="348" t="s">
        <v>121</v>
      </c>
      <c r="D31" s="349">
        <v>7</v>
      </c>
      <c r="E31" s="350">
        <v>30</v>
      </c>
    </row>
    <row r="32" spans="1:11" x14ac:dyDescent="0.25">
      <c r="A32" s="43"/>
      <c r="B32" s="37"/>
      <c r="C32" s="46"/>
      <c r="D32" s="37"/>
      <c r="E32" s="37"/>
    </row>
  </sheetData>
  <sheetProtection algorithmName="SHA-512" hashValue="lRl/qGwomgOlgD5bxjgnge0oZto/HkMBn8uLuynsIg8pcRFJGNPt2lmTqE743XLsSj24fMTKrp0OmSw88zsgCA==" saltValue="ftFQ6cqd/4p3P2YZJeNYRg==" spinCount="100000" sheet="1" objects="1" scenarios="1"/>
  <mergeCells count="2">
    <mergeCell ref="A1:E1"/>
    <mergeCell ref="A13:E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CCFFCC"/>
  </sheetPr>
  <dimension ref="A1:AH1053"/>
  <sheetViews>
    <sheetView showGridLines="0" zoomScale="75" zoomScaleNormal="75" zoomScalePageLayoutView="85" workbookViewId="0">
      <pane xSplit="4" ySplit="3" topLeftCell="E7" activePane="bottomRight" state="frozen"/>
      <selection sqref="A1:D2"/>
      <selection pane="topRight" sqref="A1:D2"/>
      <selection pane="bottomLeft" sqref="A1:D2"/>
      <selection pane="bottomRight" activeCell="W7" sqref="W7"/>
    </sheetView>
  </sheetViews>
  <sheetFormatPr defaultColWidth="17.21875" defaultRowHeight="15" customHeight="1" x14ac:dyDescent="0.25"/>
  <cols>
    <col min="1" max="1" width="8.21875" style="29" hidden="1" customWidth="1"/>
    <col min="2" max="2" width="17.44140625" customWidth="1"/>
    <col min="3" max="3" width="4.21875" hidden="1" customWidth="1"/>
    <col min="4" max="4" width="6.44140625" customWidth="1"/>
    <col min="5" max="5" width="2.44140625" style="132" customWidth="1"/>
    <col min="6" max="6" width="8.44140625" customWidth="1"/>
    <col min="7" max="7" width="7.21875" customWidth="1"/>
    <col min="8" max="8" width="6.21875" customWidth="1"/>
    <col min="9" max="9" width="6.44140625" customWidth="1"/>
    <col min="10" max="10" width="10.21875" style="61" customWidth="1"/>
    <col min="11" max="11" width="6.44140625" style="57" customWidth="1"/>
    <col min="12" max="12" width="8.44140625" style="57" bestFit="1" customWidth="1"/>
    <col min="13" max="13" width="2.21875" style="110" customWidth="1"/>
    <col min="14" max="14" width="10.44140625" style="57" bestFit="1" customWidth="1"/>
    <col min="15" max="15" width="13.44140625" bestFit="1" customWidth="1"/>
    <col min="16" max="16" width="16.21875" style="56" bestFit="1" customWidth="1"/>
    <col min="17" max="17" width="16.21875" style="61" customWidth="1"/>
    <col min="18" max="18" width="15.21875" style="56" customWidth="1"/>
    <col min="19" max="19" width="15.21875" style="61" customWidth="1"/>
    <col min="20" max="21" width="16.21875" style="61" customWidth="1"/>
    <col min="22" max="22" width="10.44140625" style="61" customWidth="1"/>
    <col min="23" max="23" width="10.77734375" bestFit="1" customWidth="1"/>
    <col min="24" max="24" width="10.77734375" style="61" bestFit="1" customWidth="1"/>
    <col min="25" max="25" width="2.21875" style="110" customWidth="1"/>
    <col min="26" max="26" width="8" style="56" customWidth="1"/>
    <col min="27" max="27" width="7.44140625" style="56" customWidth="1"/>
    <col min="28" max="28" width="6.21875" style="56" customWidth="1"/>
    <col min="29" max="29" width="10.44140625" style="56" bestFit="1" customWidth="1"/>
    <col min="30" max="30" width="11" style="56" customWidth="1"/>
    <col min="31" max="31" width="9.21875" style="29" customWidth="1"/>
    <col min="32" max="34" width="8.77734375" customWidth="1"/>
  </cols>
  <sheetData>
    <row r="1" spans="1:34" ht="15.75" customHeight="1" thickBot="1" x14ac:dyDescent="0.35">
      <c r="A1" s="48"/>
      <c r="B1" s="572" t="s">
        <v>233</v>
      </c>
      <c r="C1" s="572"/>
      <c r="D1" s="572"/>
      <c r="E1" s="128"/>
      <c r="F1" s="3"/>
      <c r="H1" s="3"/>
      <c r="I1" s="3"/>
      <c r="J1" s="3"/>
      <c r="K1" s="3"/>
      <c r="L1" s="3"/>
      <c r="M1" s="13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3"/>
      <c r="Z1" s="3"/>
      <c r="AA1" s="3"/>
      <c r="AB1" s="3"/>
      <c r="AC1" s="3"/>
      <c r="AD1" s="3"/>
      <c r="AE1" s="47"/>
      <c r="AF1" s="4"/>
      <c r="AG1" s="4"/>
      <c r="AH1" s="4"/>
    </row>
    <row r="2" spans="1:34" ht="17.25" customHeight="1" thickBot="1" x14ac:dyDescent="0.3">
      <c r="A2" s="84"/>
      <c r="B2" s="573"/>
      <c r="C2" s="573"/>
      <c r="D2" s="573"/>
      <c r="E2" s="128"/>
      <c r="F2" s="569" t="s">
        <v>215</v>
      </c>
      <c r="G2" s="570"/>
      <c r="H2" s="570"/>
      <c r="I2" s="570"/>
      <c r="J2" s="570"/>
      <c r="K2" s="570"/>
      <c r="L2" s="571"/>
      <c r="M2" s="134"/>
      <c r="N2" s="574" t="s">
        <v>217</v>
      </c>
      <c r="O2" s="575"/>
      <c r="P2" s="575"/>
      <c r="Q2" s="575"/>
      <c r="R2" s="575"/>
      <c r="S2" s="575"/>
      <c r="T2" s="575"/>
      <c r="U2" s="575"/>
      <c r="V2" s="575"/>
      <c r="W2" s="575"/>
      <c r="X2" s="576"/>
      <c r="Y2" s="129"/>
      <c r="Z2" s="569" t="s">
        <v>218</v>
      </c>
      <c r="AA2" s="570"/>
      <c r="AB2" s="570"/>
      <c r="AC2" s="570"/>
      <c r="AD2" s="571"/>
      <c r="AE2" s="49"/>
      <c r="AF2" s="7"/>
      <c r="AG2" s="7"/>
      <c r="AH2" s="7"/>
    </row>
    <row r="3" spans="1:34" ht="52.8" x14ac:dyDescent="0.25">
      <c r="A3" s="51"/>
      <c r="B3" s="168" t="s">
        <v>82</v>
      </c>
      <c r="C3" s="169" t="s">
        <v>83</v>
      </c>
      <c r="D3" s="170" t="s">
        <v>84</v>
      </c>
      <c r="E3" s="129"/>
      <c r="F3" s="147" t="s">
        <v>85</v>
      </c>
      <c r="G3" s="148" t="s">
        <v>86</v>
      </c>
      <c r="H3" s="149" t="s">
        <v>87</v>
      </c>
      <c r="I3" s="150" t="s">
        <v>39</v>
      </c>
      <c r="J3" s="150" t="s">
        <v>232</v>
      </c>
      <c r="K3" s="150" t="s">
        <v>88</v>
      </c>
      <c r="L3" s="151" t="s">
        <v>89</v>
      </c>
      <c r="M3" s="134"/>
      <c r="N3" s="191" t="s">
        <v>158</v>
      </c>
      <c r="O3" s="149" t="s">
        <v>155</v>
      </c>
      <c r="P3" s="149" t="s">
        <v>224</v>
      </c>
      <c r="Q3" s="149" t="s">
        <v>223</v>
      </c>
      <c r="R3" s="155" t="s">
        <v>171</v>
      </c>
      <c r="S3" s="149" t="s">
        <v>228</v>
      </c>
      <c r="T3" s="149" t="s">
        <v>225</v>
      </c>
      <c r="U3" s="149" t="s">
        <v>226</v>
      </c>
      <c r="V3" s="155" t="s">
        <v>227</v>
      </c>
      <c r="W3" s="155" t="s">
        <v>159</v>
      </c>
      <c r="X3" s="156" t="s">
        <v>166</v>
      </c>
      <c r="Y3" s="129"/>
      <c r="Z3" s="159" t="s">
        <v>165</v>
      </c>
      <c r="AA3" s="150" t="s">
        <v>153</v>
      </c>
      <c r="AB3" s="150" t="s">
        <v>154</v>
      </c>
      <c r="AC3" s="149" t="s">
        <v>156</v>
      </c>
      <c r="AD3" s="160" t="s">
        <v>219</v>
      </c>
      <c r="AE3" s="50"/>
      <c r="AF3" s="6"/>
      <c r="AG3" s="6"/>
      <c r="AH3" s="6"/>
    </row>
    <row r="4" spans="1:34" ht="12.75" customHeight="1" x14ac:dyDescent="0.25">
      <c r="A4" s="48">
        <v>1</v>
      </c>
      <c r="B4" s="171" t="str">
        <f>IF(A4&lt;=SUM(Stand!$H$3:$H$29),VLOOKUP(A4,Stand!$A$3:$C$29,3,TRUE),"")</f>
        <v/>
      </c>
      <c r="C4" s="172" t="str">
        <f t="shared" ref="C4:C13" si="0">IF(LEN(B4)&gt;0,IF(B4=B3,C3+1,1),"")</f>
        <v/>
      </c>
      <c r="D4" s="173" t="str">
        <f>IF(B4="","",VLOOKUP(B4&amp;C4,Plot!$B$2:$D$199,3,FALSE))</f>
        <v/>
      </c>
      <c r="E4" s="130"/>
      <c r="F4" s="152" t="str">
        <f>IF(B4="","",SUMIFS(Tree!$O:$O,Tree!$A:$A,'Pre-Harvest Plots_rpt'!$B4,Tree!$B:$B,'Pre-Harvest Plots_rpt'!$D4,Tree!$F:$F,"L"))</f>
        <v/>
      </c>
      <c r="G4" s="153" t="str">
        <f>IFERROR(IF(D4="","",SUMIFS(Tree!$P:$P,Tree!$A:$A,'Pre-Harvest Plots_rpt'!$B4,Tree!$B:$B,'Pre-Harvest Plots_rpt'!$D4)/$F4),"")</f>
        <v/>
      </c>
      <c r="H4" s="122" t="str">
        <f t="shared" ref="H4" si="1">IF(F4=0,"",IF(F4="","",((I4/F4)/0.005454)^0.5))</f>
        <v/>
      </c>
      <c r="I4" s="121" t="str">
        <f>IF(OR($F4=0,$F4=""),"",SUMIFS(Tree!$R:$R,Tree!$A:$A,'Pre-Harvest Plots_rpt'!$B4,Tree!$B:$B,'Pre-Harvest Plots_rpt'!$D4,Tree!$F:$F,"L"))</f>
        <v/>
      </c>
      <c r="J4" s="121" t="str">
        <f>IF(OR($F4=0,$F4=""),"",IF(SUMIFS(Tree!$W:$W,Tree!$A:$A,'Pre-Harvest Plots_rpt'!$B4,Tree!$B:$B,'Pre-Harvest Plots_rpt'!$D4,Tree!$F:$F,"L")=0,0,AVERAGEIFS(Tree!$W:$W,Tree!$A:$A,'Pre-Harvest Plots_rpt'!$B4,Tree!$B:$B,'Pre-Harvest Plots_rpt'!$D4,Tree!$F:$F,"L")))</f>
        <v/>
      </c>
      <c r="K4" s="121" t="str">
        <f>IF($F4="","",SUMIFS(Tree!$S:$S,Tree!$A:$A,'Pre-Harvest Plots_rpt'!$B4,Tree!$B:$B,'Pre-Harvest Plots_rpt'!$D4,Tree!$F:$F,"L"))</f>
        <v/>
      </c>
      <c r="L4" s="154" t="str">
        <f t="shared" ref="L4" si="2">IF($F4="","",IF(D4=0,0,I4/(H4^0.5)))</f>
        <v/>
      </c>
      <c r="M4" s="135"/>
      <c r="N4" s="192" t="str">
        <f>IF(B4="","",SUMIFS(Tree!$AM:$AM,Tree!$A:$A,'Pre-Harvest Plots_rpt'!$B4,Tree!$B:$B,'Pre-Harvest Plots_rpt'!$D4,Tree!$F:$F,"L"))</f>
        <v/>
      </c>
      <c r="O4" s="122" t="str">
        <f>IF(B4="","",SUMIFS(Tree!$AN:$AN,Tree!$A:$A,'Pre-Harvest Plots_rpt'!$B4,Tree!$B:$B,'Pre-Harvest Plots_rpt'!$D4,Tree!$F:$F,"L"))</f>
        <v/>
      </c>
      <c r="P4" s="122" t="str">
        <f>IF(B4="","",SUMIFS(Tree!$AO:$AO,Tree!$A:$A,'Pre-Harvest Plots_rpt'!$B4,Tree!$B:$B,'Pre-Harvest Plots_rpt'!$D4,Tree!$F:$F,"L"))</f>
        <v/>
      </c>
      <c r="Q4" s="122" t="str">
        <f>IF(B4="","",SUMIFS(Tree!$AP:$AP,Tree!$A:$A,'Pre-Harvest Plots_rpt'!$B4,Tree!$B:$B,'Pre-Harvest Plots_rpt'!$D4,Tree!$F:$F,"L"))</f>
        <v/>
      </c>
      <c r="R4" s="123" t="str">
        <f>IF(B4="","",SUMIFS(Tree!$AQ:$AQ,Tree!$A:$A,'Pre-Harvest Plots_rpt'!$B4,Tree!$B:$B,'Pre-Harvest Plots_rpt'!$D4,Tree!$F:$F,"L"))</f>
        <v/>
      </c>
      <c r="S4" s="122" t="str">
        <f>IF(B4="","",SUMIFS(Tree!$AJ:$AJ,Tree!$A:$A,'Pre-Harvest Plots_rpt'!$B4,Tree!$B:$B,'Pre-Harvest Plots_rpt'!$D4,Tree!$F:$F,"L")-O4)</f>
        <v/>
      </c>
      <c r="T4" s="122" t="str">
        <f>IF(B4="","",SUMIFS(Tree!$AK:$AK,Tree!$A:$A,'Pre-Harvest Plots_rpt'!$B4,Tree!$B:$B,'Pre-Harvest Plots_rpt'!$D4,Tree!$F:$F,"L")-P4)</f>
        <v/>
      </c>
      <c r="U4" s="122" t="str">
        <f>IF(B4="","",SUMIFS(Tree!$AL:$AL,Tree!$A:$A,'Pre-Harvest Plots_rpt'!$B4,Tree!$B:$B,'Pre-Harvest Plots_rpt'!$D4,Tree!$F:$F,"L")-Q4)</f>
        <v/>
      </c>
      <c r="V4" s="123" t="str">
        <f>IF(B4="","",ROUND(SUMIFS(Tree!$AE:$AE,Tree!$A:$A,'Pre-Harvest Plots_rpt'!$B4,Tree!$B:$B,'Pre-Harvest Plots_rpt'!$D4,Tree!$F:$F,"L")-R4,1))</f>
        <v/>
      </c>
      <c r="W4" s="124" t="str">
        <f>IF(B4="","",SUMIFS(Tree!$AY:$AY,Tree!$A:$A,'Pre-Harvest Plots_rpt'!$B4,Tree!$B:$B,'Pre-Harvest Plots_rpt'!$D4,Tree!$F:$F,"L")/1000)</f>
        <v/>
      </c>
      <c r="X4" s="158" t="str">
        <f>IF(B4="","",ROUND((SUMIFS(Tree!$AW:$AW,Tree!$A:$A,'Pre-Harvest Plots_rpt'!$B4,Tree!$B:$B,'Pre-Harvest Plots_rpt'!$D4,Tree!$F:$F,"L")/1000)-W4,1))</f>
        <v/>
      </c>
      <c r="Y4" s="135"/>
      <c r="Z4" s="161" t="str">
        <f>IF(IF(B4="","",SUMIFS(Tree!$O:$O,Tree!$A:$A,'Pre-Harvest Plots_rpt'!$B4,Tree!$B:$B,'Pre-Harvest Plots_rpt'!$D4,Tree!$F:$F,"D"))=0,"",IF(B4="","",SUMIFS(Tree!$O:$O,Tree!$A:$A,'Pre-Harvest Plots_rpt'!$B4,Tree!$B:$B,'Pre-Harvest Plots_rpt'!$D4,Tree!$F:$F,"D")))</f>
        <v/>
      </c>
      <c r="AA4" s="125" t="str">
        <f t="shared" ref="AA4" si="3">IF(Z4="","",IF(Z4="","",((AB4/Z4)/0.005454)^0.5))</f>
        <v/>
      </c>
      <c r="AB4" s="125" t="str">
        <f>IF(Z4="","",SUMIFS(Tree!$R:$R,Tree!$A:$A,'Pre-Harvest Plots_rpt'!$B4,Tree!$B:$B,'Pre-Harvest Plots_rpt'!$D4,Tree!$F:$F,"D"))</f>
        <v/>
      </c>
      <c r="AC4" s="126" t="str">
        <f>IF(Z4="","",SUMIFS(Tree!$AM:$AM,Tree!$A:$A,'Pre-Harvest Plots_rpt'!$B4,Tree!$B:$B,'Pre-Harvest Plots_rpt'!$D4,Tree!$F:$F,"D"))</f>
        <v/>
      </c>
      <c r="AD4" s="162" t="str">
        <f>IF(Z4="","",SUMIFS(Tree!$AW:$AW,Tree!$A:$A,'Pre-Harvest Plots_rpt'!$B4,Tree!$B:$B,'Pre-Harvest Plots_rpt'!$D4,Tree!$F:$F,"D")/1000)</f>
        <v/>
      </c>
      <c r="AE4" s="47"/>
      <c r="AF4" s="4"/>
      <c r="AG4" s="4"/>
      <c r="AH4" s="4"/>
    </row>
    <row r="5" spans="1:34" ht="12.75" customHeight="1" x14ac:dyDescent="0.25">
      <c r="A5" s="48">
        <v>2</v>
      </c>
      <c r="B5" s="171" t="str">
        <f>IF(A5&lt;=SUM(Stand!$H$3:$H$29),VLOOKUP(A5,Stand!$A$3:$C$29,3,TRUE),"")</f>
        <v/>
      </c>
      <c r="C5" s="172" t="str">
        <f t="shared" si="0"/>
        <v/>
      </c>
      <c r="D5" s="173" t="str">
        <f>IF(B5="","",VLOOKUP(B5&amp;C5,Plot!$B$2:$D$199,3,FALSE))</f>
        <v/>
      </c>
      <c r="E5" s="130"/>
      <c r="F5" s="152" t="str">
        <f>IF(B5="","",SUMIFS(Tree!$O:$O,Tree!$A:$A,'Pre-Harvest Plots_rpt'!$B5,Tree!$B:$B,'Pre-Harvest Plots_rpt'!$D5,Tree!$F:$F,"L"))</f>
        <v/>
      </c>
      <c r="G5" s="153" t="str">
        <f>IFERROR(IF(D5="","",SUMIFS(Tree!$P:$P,Tree!$A:$A,'Pre-Harvest Plots_rpt'!$B5,Tree!$B:$B,'Pre-Harvest Plots_rpt'!$D5)/$F5),"")</f>
        <v/>
      </c>
      <c r="H5" s="122" t="str">
        <f t="shared" ref="H5:H12" si="4">IF(F5=0,"",IF(F5="","",((I5/F5)/0.005454)^0.5))</f>
        <v/>
      </c>
      <c r="I5" s="121" t="str">
        <f>IF(OR($F5=0,$F5=""),"",SUMIFS(Tree!$R:$R,Tree!$A:$A,'Pre-Harvest Plots_rpt'!$B5,Tree!$B:$B,'Pre-Harvest Plots_rpt'!$D5,Tree!$F:$F,"L"))</f>
        <v/>
      </c>
      <c r="J5" s="121" t="str">
        <f>IF(OR($F5=0,$F5=""),"",IF(SUMIFS(Tree!$W:$W,Tree!$A:$A,'Pre-Harvest Plots_rpt'!$B5,Tree!$B:$B,'Pre-Harvest Plots_rpt'!$D5,Tree!$F:$F,"L")=0,0,AVERAGEIFS(Tree!$W:$W,Tree!$A:$A,'Pre-Harvest Plots_rpt'!$B5,Tree!$B:$B,'Pre-Harvest Plots_rpt'!$D5,Tree!$F:$F,"L")))</f>
        <v/>
      </c>
      <c r="K5" s="121" t="str">
        <f>IF($F5="","",SUMIFS(Tree!$S:$S,Tree!$A:$A,'Pre-Harvest Plots_rpt'!$B5,Tree!$B:$B,'Pre-Harvest Plots_rpt'!$D5,Tree!$F:$F,"L"))</f>
        <v/>
      </c>
      <c r="L5" s="154" t="str">
        <f t="shared" ref="L5:L12" si="5">IF($F5="","",IF(D5=0,0,I5/(H5^0.5)))</f>
        <v/>
      </c>
      <c r="M5" s="135"/>
      <c r="N5" s="192" t="str">
        <f>IF(B5="","",SUMIFS(Tree!$AM:$AM,Tree!$A:$A,'Pre-Harvest Plots_rpt'!$B5,Tree!$B:$B,'Pre-Harvest Plots_rpt'!$D5,Tree!$F:$F,"L"))</f>
        <v/>
      </c>
      <c r="O5" s="122" t="str">
        <f>IF(B5="","",SUMIFS(Tree!$AN:$AN,Tree!$A:$A,'Pre-Harvest Plots_rpt'!$B5,Tree!$B:$B,'Pre-Harvest Plots_rpt'!$D5,Tree!$F:$F,"L"))</f>
        <v/>
      </c>
      <c r="P5" s="122" t="str">
        <f>IF(B5="","",SUMIFS(Tree!$AO:$AO,Tree!$A:$A,'Pre-Harvest Plots_rpt'!$B5,Tree!$B:$B,'Pre-Harvest Plots_rpt'!$D5,Tree!$F:$F,"L"))</f>
        <v/>
      </c>
      <c r="Q5" s="122" t="str">
        <f>IF(B5="","",SUMIFS(Tree!$AP:$AP,Tree!$A:$A,'Pre-Harvest Plots_rpt'!$B5,Tree!$B:$B,'Pre-Harvest Plots_rpt'!$D5,Tree!$F:$F,"L"))</f>
        <v/>
      </c>
      <c r="R5" s="123" t="str">
        <f>IF(B5="","",SUMIFS(Tree!$AQ:$AQ,Tree!$A:$A,'Pre-Harvest Plots_rpt'!$B5,Tree!$B:$B,'Pre-Harvest Plots_rpt'!$D5,Tree!$F:$F,"L"))</f>
        <v/>
      </c>
      <c r="S5" s="122" t="str">
        <f>IF(B5="","",SUMIFS(Tree!$AJ:$AJ,Tree!$A:$A,'Pre-Harvest Plots_rpt'!$B5,Tree!$B:$B,'Pre-Harvest Plots_rpt'!$D5,Tree!$F:$F,"L")-O5)</f>
        <v/>
      </c>
      <c r="T5" s="122" t="str">
        <f>IF(B5="","",SUMIFS(Tree!$AK:$AK,Tree!$A:$A,'Pre-Harvest Plots_rpt'!$B5,Tree!$B:$B,'Pre-Harvest Plots_rpt'!$D5,Tree!$F:$F,"L")-P5)</f>
        <v/>
      </c>
      <c r="U5" s="122" t="str">
        <f>IF(B5="","",SUMIFS(Tree!$AL:$AL,Tree!$A:$A,'Pre-Harvest Plots_rpt'!$B5,Tree!$B:$B,'Pre-Harvest Plots_rpt'!$D5,Tree!$F:$F,"L")-Q5)</f>
        <v/>
      </c>
      <c r="V5" s="123" t="str">
        <f>IF(B5="","",ROUND(SUMIFS(Tree!$AE:$AE,Tree!$A:$A,'Pre-Harvest Plots_rpt'!$B5,Tree!$B:$B,'Pre-Harvest Plots_rpt'!$D5,Tree!$F:$F,"L")-R5,1))</f>
        <v/>
      </c>
      <c r="W5" s="124" t="str">
        <f>IF(B5="","",SUMIFS(Tree!$AY:$AY,Tree!$A:$A,'Pre-Harvest Plots_rpt'!$B5,Tree!$B:$B,'Pre-Harvest Plots_rpt'!$D5,Tree!$F:$F,"L")/1000)</f>
        <v/>
      </c>
      <c r="X5" s="158" t="str">
        <f>IF(B5="","",ROUND((SUMIFS(Tree!$AW:$AW,Tree!$A:$A,'Pre-Harvest Plots_rpt'!$B5,Tree!$B:$B,'Pre-Harvest Plots_rpt'!$D5,Tree!$F:$F,"L")/1000)-W5,1))</f>
        <v/>
      </c>
      <c r="Y5" s="135"/>
      <c r="Z5" s="161" t="str">
        <f>IF(IF(B5="","",SUMIFS(Tree!$O:$O,Tree!$A:$A,'Pre-Harvest Plots_rpt'!$B5,Tree!$B:$B,'Pre-Harvest Plots_rpt'!$D5,Tree!$F:$F,"D"))=0,"",IF(B5="","",SUMIFS(Tree!$O:$O,Tree!$A:$A,'Pre-Harvest Plots_rpt'!$B5,Tree!$B:$B,'Pre-Harvest Plots_rpt'!$D5,Tree!$F:$F,"D")))</f>
        <v/>
      </c>
      <c r="AA5" s="125" t="str">
        <f t="shared" ref="AA5:AA68" si="6">IF(Z5="","",IF(Z5="","",((AB5/Z5)/0.005454)^0.5))</f>
        <v/>
      </c>
      <c r="AB5" s="125" t="str">
        <f>IF(Z5="","",SUMIFS(Tree!$R:$R,Tree!$A:$A,'Pre-Harvest Plots_rpt'!$B5,Tree!$B:$B,'Pre-Harvest Plots_rpt'!$D5,Tree!$F:$F,"D"))</f>
        <v/>
      </c>
      <c r="AC5" s="126" t="str">
        <f>IF(Z5="","",SUMIFS(Tree!$AM:$AM,Tree!$A:$A,'Pre-Harvest Plots_rpt'!$B5,Tree!$B:$B,'Pre-Harvest Plots_rpt'!$D5,Tree!$F:$F,"D"))</f>
        <v/>
      </c>
      <c r="AD5" s="162" t="str">
        <f>IF(Z5="","",SUMIFS(Tree!$AW:$AW,Tree!$A:$A,'Pre-Harvest Plots_rpt'!$B5,Tree!$B:$B,'Pre-Harvest Plots_rpt'!$D5,Tree!$F:$F,"D")/1000)</f>
        <v/>
      </c>
      <c r="AE5" s="47"/>
      <c r="AF5" s="4"/>
      <c r="AG5" s="4"/>
      <c r="AH5" s="4"/>
    </row>
    <row r="6" spans="1:34" ht="12.75" customHeight="1" x14ac:dyDescent="0.25">
      <c r="A6" s="48">
        <v>3</v>
      </c>
      <c r="B6" s="171" t="str">
        <f>IF(A6&lt;=SUM(Stand!$H$3:$H$29),VLOOKUP(A6,Stand!$A$3:$C$29,3,TRUE),"")</f>
        <v/>
      </c>
      <c r="C6" s="172" t="str">
        <f t="shared" si="0"/>
        <v/>
      </c>
      <c r="D6" s="173" t="str">
        <f>IF(B6="","",VLOOKUP(B6&amp;C6,Plot!$B$2:$D$199,3,FALSE))</f>
        <v/>
      </c>
      <c r="E6" s="130"/>
      <c r="F6" s="152" t="str">
        <f>IF(B6="","",SUMIFS(Tree!$O:$O,Tree!$A:$A,'Pre-Harvest Plots_rpt'!$B6,Tree!$B:$B,'Pre-Harvest Plots_rpt'!$D6,Tree!$F:$F,"L"))</f>
        <v/>
      </c>
      <c r="G6" s="153" t="str">
        <f>IFERROR(IF(D6="","",SUMIFS(Tree!$P:$P,Tree!$A:$A,'Pre-Harvest Plots_rpt'!$B6,Tree!$B:$B,'Pre-Harvest Plots_rpt'!$D6)/$F6),"")</f>
        <v/>
      </c>
      <c r="H6" s="122" t="str">
        <f t="shared" si="4"/>
        <v/>
      </c>
      <c r="I6" s="121" t="str">
        <f>IF(OR($F6=0,$F6=""),"",SUMIFS(Tree!$R:$R,Tree!$A:$A,'Pre-Harvest Plots_rpt'!$B6,Tree!$B:$B,'Pre-Harvest Plots_rpt'!$D6,Tree!$F:$F,"L"))</f>
        <v/>
      </c>
      <c r="J6" s="121" t="str">
        <f>IF(OR($F6=0,$F6=""),"",IF(SUMIFS(Tree!$W:$W,Tree!$A:$A,'Pre-Harvest Plots_rpt'!$B6,Tree!$B:$B,'Pre-Harvest Plots_rpt'!$D6,Tree!$F:$F,"L")=0,0,AVERAGEIFS(Tree!$W:$W,Tree!$A:$A,'Pre-Harvest Plots_rpt'!$B6,Tree!$B:$B,'Pre-Harvest Plots_rpt'!$D6,Tree!$F:$F,"L")))</f>
        <v/>
      </c>
      <c r="K6" s="121" t="str">
        <f>IF($F6="","",SUMIFS(Tree!$S:$S,Tree!$A:$A,'Pre-Harvest Plots_rpt'!$B6,Tree!$B:$B,'Pre-Harvest Plots_rpt'!$D6,Tree!$F:$F,"L"))</f>
        <v/>
      </c>
      <c r="L6" s="154" t="str">
        <f t="shared" si="5"/>
        <v/>
      </c>
      <c r="M6" s="135"/>
      <c r="N6" s="192" t="str">
        <f>IF(B6="","",SUMIFS(Tree!$AM:$AM,Tree!$A:$A,'Pre-Harvest Plots_rpt'!$B6,Tree!$B:$B,'Pre-Harvest Plots_rpt'!$D6,Tree!$F:$F,"L"))</f>
        <v/>
      </c>
      <c r="O6" s="122" t="str">
        <f>IF(B6="","",SUMIFS(Tree!$AN:$AN,Tree!$A:$A,'Pre-Harvest Plots_rpt'!$B6,Tree!$B:$B,'Pre-Harvest Plots_rpt'!$D6,Tree!$F:$F,"L"))</f>
        <v/>
      </c>
      <c r="P6" s="122" t="str">
        <f>IF(B6="","",SUMIFS(Tree!$AO:$AO,Tree!$A:$A,'Pre-Harvest Plots_rpt'!$B6,Tree!$B:$B,'Pre-Harvest Plots_rpt'!$D6,Tree!$F:$F,"L"))</f>
        <v/>
      </c>
      <c r="Q6" s="122" t="str">
        <f>IF(B6="","",SUMIFS(Tree!$AP:$AP,Tree!$A:$A,'Pre-Harvest Plots_rpt'!$B6,Tree!$B:$B,'Pre-Harvest Plots_rpt'!$D6,Tree!$F:$F,"L"))</f>
        <v/>
      </c>
      <c r="R6" s="123" t="str">
        <f>IF(B6="","",SUMIFS(Tree!$AQ:$AQ,Tree!$A:$A,'Pre-Harvest Plots_rpt'!$B6,Tree!$B:$B,'Pre-Harvest Plots_rpt'!$D6,Tree!$F:$F,"L"))</f>
        <v/>
      </c>
      <c r="S6" s="122" t="str">
        <f>IF(B6="","",SUMIFS(Tree!$AJ:$AJ,Tree!$A:$A,'Pre-Harvest Plots_rpt'!$B6,Tree!$B:$B,'Pre-Harvest Plots_rpt'!$D6,Tree!$F:$F,"L")-O6)</f>
        <v/>
      </c>
      <c r="T6" s="122" t="str">
        <f>IF(B6="","",SUMIFS(Tree!$AK:$AK,Tree!$A:$A,'Pre-Harvest Plots_rpt'!$B6,Tree!$B:$B,'Pre-Harvest Plots_rpt'!$D6,Tree!$F:$F,"L")-P6)</f>
        <v/>
      </c>
      <c r="U6" s="122" t="str">
        <f>IF(B6="","",SUMIFS(Tree!$AL:$AL,Tree!$A:$A,'Pre-Harvest Plots_rpt'!$B6,Tree!$B:$B,'Pre-Harvest Plots_rpt'!$D6,Tree!$F:$F,"L")-Q6)</f>
        <v/>
      </c>
      <c r="V6" s="123" t="str">
        <f>IF(B6="","",ROUND(SUMIFS(Tree!$AE:$AE,Tree!$A:$A,'Pre-Harvest Plots_rpt'!$B6,Tree!$B:$B,'Pre-Harvest Plots_rpt'!$D6,Tree!$F:$F,"L")-R6,1))</f>
        <v/>
      </c>
      <c r="W6" s="124" t="str">
        <f>IF(B6="","",SUMIFS(Tree!$AY:$AY,Tree!$A:$A,'Pre-Harvest Plots_rpt'!$B6,Tree!$B:$B,'Pre-Harvest Plots_rpt'!$D6,Tree!$F:$F,"L")/1000)</f>
        <v/>
      </c>
      <c r="X6" s="158" t="str">
        <f>IF(B6="","",ROUND((SUMIFS(Tree!$AW:$AW,Tree!$A:$A,'Pre-Harvest Plots_rpt'!$B6,Tree!$B:$B,'Pre-Harvest Plots_rpt'!$D6,Tree!$F:$F,"L")/1000)-W6,1))</f>
        <v/>
      </c>
      <c r="Y6" s="135"/>
      <c r="Z6" s="161" t="str">
        <f>IF(IF(B6="","",SUMIFS(Tree!$O:$O,Tree!$A:$A,'Pre-Harvest Plots_rpt'!$B6,Tree!$B:$B,'Pre-Harvest Plots_rpt'!$D6,Tree!$F:$F,"D"))=0,"",IF(B6="","",SUMIFS(Tree!$O:$O,Tree!$A:$A,'Pre-Harvest Plots_rpt'!$B6,Tree!$B:$B,'Pre-Harvest Plots_rpt'!$D6,Tree!$F:$F,"D")))</f>
        <v/>
      </c>
      <c r="AA6" s="125" t="str">
        <f t="shared" si="6"/>
        <v/>
      </c>
      <c r="AB6" s="125" t="str">
        <f>IF(Z6="","",SUMIFS(Tree!$R:$R,Tree!$A:$A,'Pre-Harvest Plots_rpt'!$B6,Tree!$B:$B,'Pre-Harvest Plots_rpt'!$D6,Tree!$F:$F,"D"))</f>
        <v/>
      </c>
      <c r="AC6" s="126" t="str">
        <f>IF(Z6="","",SUMIFS(Tree!$AM:$AM,Tree!$A:$A,'Pre-Harvest Plots_rpt'!$B6,Tree!$B:$B,'Pre-Harvest Plots_rpt'!$D6,Tree!$F:$F,"D"))</f>
        <v/>
      </c>
      <c r="AD6" s="162" t="str">
        <f>IF(Z6="","",SUMIFS(Tree!$AW:$AW,Tree!$A:$A,'Pre-Harvest Plots_rpt'!$B6,Tree!$B:$B,'Pre-Harvest Plots_rpt'!$D6,Tree!$F:$F,"D")/1000)</f>
        <v/>
      </c>
      <c r="AE6" s="47"/>
      <c r="AF6" s="4"/>
      <c r="AG6" s="4"/>
      <c r="AH6" s="4"/>
    </row>
    <row r="7" spans="1:34" ht="12.75" customHeight="1" x14ac:dyDescent="0.25">
      <c r="A7" s="48">
        <v>4</v>
      </c>
      <c r="B7" s="171" t="str">
        <f>IF(A7&lt;=SUM(Stand!$H$3:$H$29),VLOOKUP(A7,Stand!$A$3:$C$29,3,TRUE),"")</f>
        <v/>
      </c>
      <c r="C7" s="172" t="str">
        <f t="shared" si="0"/>
        <v/>
      </c>
      <c r="D7" s="173" t="str">
        <f>IF(B7="","",VLOOKUP(B7&amp;C7,Plot!$B$2:$D$199,3,FALSE))</f>
        <v/>
      </c>
      <c r="E7" s="130"/>
      <c r="F7" s="152" t="str">
        <f>IF(B7="","",SUMIFS(Tree!$O:$O,Tree!$A:$A,'Pre-Harvest Plots_rpt'!$B7,Tree!$B:$B,'Pre-Harvest Plots_rpt'!$D7,Tree!$F:$F,"L"))</f>
        <v/>
      </c>
      <c r="G7" s="153" t="str">
        <f>IFERROR(IF(D7="","",SUMIFS(Tree!$P:$P,Tree!$A:$A,'Pre-Harvest Plots_rpt'!$B7,Tree!$B:$B,'Pre-Harvest Plots_rpt'!$D7)/$F7),"")</f>
        <v/>
      </c>
      <c r="H7" s="122" t="str">
        <f t="shared" si="4"/>
        <v/>
      </c>
      <c r="I7" s="121" t="str">
        <f>IF(OR($F7=0,$F7=""),"",SUMIFS(Tree!$R:$R,Tree!$A:$A,'Pre-Harvest Plots_rpt'!$B7,Tree!$B:$B,'Pre-Harvest Plots_rpt'!$D7,Tree!$F:$F,"L"))</f>
        <v/>
      </c>
      <c r="J7" s="121" t="str">
        <f>IF(OR($F7=0,$F7=""),"",IF(SUMIFS(Tree!$W:$W,Tree!$A:$A,'Pre-Harvest Plots_rpt'!$B7,Tree!$B:$B,'Pre-Harvest Plots_rpt'!$D7,Tree!$F:$F,"L")=0,0,AVERAGEIFS(Tree!$W:$W,Tree!$A:$A,'Pre-Harvest Plots_rpt'!$B7,Tree!$B:$B,'Pre-Harvest Plots_rpt'!$D7,Tree!$F:$F,"L")))</f>
        <v/>
      </c>
      <c r="K7" s="121" t="str">
        <f>IF($F7="","",SUMIFS(Tree!$S:$S,Tree!$A:$A,'Pre-Harvest Plots_rpt'!$B7,Tree!$B:$B,'Pre-Harvest Plots_rpt'!$D7,Tree!$F:$F,"L"))</f>
        <v/>
      </c>
      <c r="L7" s="154" t="str">
        <f t="shared" si="5"/>
        <v/>
      </c>
      <c r="M7" s="135"/>
      <c r="N7" s="192" t="str">
        <f>IF(B7="","",SUMIFS(Tree!$AM:$AM,Tree!$A:$A,'Pre-Harvest Plots_rpt'!$B7,Tree!$B:$B,'Pre-Harvest Plots_rpt'!$D7,Tree!$F:$F,"L"))</f>
        <v/>
      </c>
      <c r="O7" s="122" t="str">
        <f>IF(B7="","",SUMIFS(Tree!$AN:$AN,Tree!$A:$A,'Pre-Harvest Plots_rpt'!$B7,Tree!$B:$B,'Pre-Harvest Plots_rpt'!$D7,Tree!$F:$F,"L"))</f>
        <v/>
      </c>
      <c r="P7" s="122" t="str">
        <f>IF(B7="","",SUMIFS(Tree!$AO:$AO,Tree!$A:$A,'Pre-Harvest Plots_rpt'!$B7,Tree!$B:$B,'Pre-Harvest Plots_rpt'!$D7,Tree!$F:$F,"L"))</f>
        <v/>
      </c>
      <c r="Q7" s="122" t="str">
        <f>IF(B7="","",SUMIFS(Tree!$AP:$AP,Tree!$A:$A,'Pre-Harvest Plots_rpt'!$B7,Tree!$B:$B,'Pre-Harvest Plots_rpt'!$D7,Tree!$F:$F,"L"))</f>
        <v/>
      </c>
      <c r="R7" s="123" t="str">
        <f>IF(B7="","",SUMIFS(Tree!$AQ:$AQ,Tree!$A:$A,'Pre-Harvest Plots_rpt'!$B7,Tree!$B:$B,'Pre-Harvest Plots_rpt'!$D7,Tree!$F:$F,"L"))</f>
        <v/>
      </c>
      <c r="S7" s="122" t="str">
        <f>IF(B7="","",SUMIFS(Tree!$AJ:$AJ,Tree!$A:$A,'Pre-Harvest Plots_rpt'!$B7,Tree!$B:$B,'Pre-Harvest Plots_rpt'!$D7,Tree!$F:$F,"L")-O7)</f>
        <v/>
      </c>
      <c r="T7" s="122" t="str">
        <f>IF(B7="","",SUMIFS(Tree!$AK:$AK,Tree!$A:$A,'Pre-Harvest Plots_rpt'!$B7,Tree!$B:$B,'Pre-Harvest Plots_rpt'!$D7,Tree!$F:$F,"L")-P7)</f>
        <v/>
      </c>
      <c r="U7" s="122" t="str">
        <f>IF(B7="","",SUMIFS(Tree!$AL:$AL,Tree!$A:$A,'Pre-Harvest Plots_rpt'!$B7,Tree!$B:$B,'Pre-Harvest Plots_rpt'!$D7,Tree!$F:$F,"L")-Q7)</f>
        <v/>
      </c>
      <c r="V7" s="123" t="str">
        <f>IF(B7="","",ROUND(SUMIFS(Tree!$AE:$AE,Tree!$A:$A,'Pre-Harvest Plots_rpt'!$B7,Tree!$B:$B,'Pre-Harvest Plots_rpt'!$D7,Tree!$F:$F,"L")-R7,1))</f>
        <v/>
      </c>
      <c r="W7" s="124" t="str">
        <f>IF(B7="","",SUMIFS(Tree!$AY:$AY,Tree!$A:$A,'Pre-Harvest Plots_rpt'!$B7,Tree!$B:$B,'Pre-Harvest Plots_rpt'!$D7,Tree!$F:$F,"L")/1000)</f>
        <v/>
      </c>
      <c r="X7" s="158" t="str">
        <f>IF(B7="","",ROUND((SUMIFS(Tree!$AW:$AW,Tree!$A:$A,'Pre-Harvest Plots_rpt'!$B7,Tree!$B:$B,'Pre-Harvest Plots_rpt'!$D7,Tree!$F:$F,"L")/1000)-W7,1))</f>
        <v/>
      </c>
      <c r="Y7" s="135"/>
      <c r="Z7" s="161" t="str">
        <f>IF(IF(B7="","",SUMIFS(Tree!$O:$O,Tree!$A:$A,'Pre-Harvest Plots_rpt'!$B7,Tree!$B:$B,'Pre-Harvest Plots_rpt'!$D7,Tree!$F:$F,"D"))=0,"",IF(B7="","",SUMIFS(Tree!$O:$O,Tree!$A:$A,'Pre-Harvest Plots_rpt'!$B7,Tree!$B:$B,'Pre-Harvest Plots_rpt'!$D7,Tree!$F:$F,"D")))</f>
        <v/>
      </c>
      <c r="AA7" s="125" t="str">
        <f t="shared" si="6"/>
        <v/>
      </c>
      <c r="AB7" s="125" t="str">
        <f>IF(Z7="","",SUMIFS(Tree!$R:$R,Tree!$A:$A,'Pre-Harvest Plots_rpt'!$B7,Tree!$B:$B,'Pre-Harvest Plots_rpt'!$D7,Tree!$F:$F,"D"))</f>
        <v/>
      </c>
      <c r="AC7" s="126" t="str">
        <f>IF(Z7="","",SUMIFS(Tree!$AM:$AM,Tree!$A:$A,'Pre-Harvest Plots_rpt'!$B7,Tree!$B:$B,'Pre-Harvest Plots_rpt'!$D7,Tree!$F:$F,"D"))</f>
        <v/>
      </c>
      <c r="AD7" s="162" t="str">
        <f>IF(Z7="","",SUMIFS(Tree!$AW:$AW,Tree!$A:$A,'Pre-Harvest Plots_rpt'!$B7,Tree!$B:$B,'Pre-Harvest Plots_rpt'!$D7,Tree!$F:$F,"D")/1000)</f>
        <v/>
      </c>
      <c r="AE7" s="47"/>
      <c r="AF7" s="4"/>
      <c r="AG7" s="4"/>
      <c r="AH7" s="4"/>
    </row>
    <row r="8" spans="1:34" ht="12.75" customHeight="1" x14ac:dyDescent="0.25">
      <c r="A8" s="48">
        <v>5</v>
      </c>
      <c r="B8" s="171" t="str">
        <f>IF(A8&lt;=SUM(Stand!$H$3:$H$29),VLOOKUP(A8,Stand!$A$3:$C$29,3,TRUE),"")</f>
        <v/>
      </c>
      <c r="C8" s="172" t="str">
        <f t="shared" si="0"/>
        <v/>
      </c>
      <c r="D8" s="173" t="str">
        <f>IF(B8="","",VLOOKUP(B8&amp;C8,Plot!$B$2:$D$199,3,FALSE))</f>
        <v/>
      </c>
      <c r="E8" s="130"/>
      <c r="F8" s="152" t="str">
        <f>IF(B8="","",SUMIFS(Tree!$O:$O,Tree!$A:$A,'Pre-Harvest Plots_rpt'!$B8,Tree!$B:$B,'Pre-Harvest Plots_rpt'!$D8,Tree!$F:$F,"L"))</f>
        <v/>
      </c>
      <c r="G8" s="153" t="str">
        <f>IFERROR(IF(D8="","",SUMIFS(Tree!$P:$P,Tree!$A:$A,'Pre-Harvest Plots_rpt'!$B8,Tree!$B:$B,'Pre-Harvest Plots_rpt'!$D8)/$F8),"")</f>
        <v/>
      </c>
      <c r="H8" s="122" t="str">
        <f t="shared" si="4"/>
        <v/>
      </c>
      <c r="I8" s="121" t="str">
        <f>IF(OR($F8=0,$F8=""),"",SUMIFS(Tree!$R:$R,Tree!$A:$A,'Pre-Harvest Plots_rpt'!$B8,Tree!$B:$B,'Pre-Harvest Plots_rpt'!$D8,Tree!$F:$F,"L"))</f>
        <v/>
      </c>
      <c r="J8" s="121" t="str">
        <f>IF(OR($F8=0,$F8=""),"",IF(SUMIFS(Tree!$W:$W,Tree!$A:$A,'Pre-Harvest Plots_rpt'!$B8,Tree!$B:$B,'Pre-Harvest Plots_rpt'!$D8,Tree!$F:$F,"L")=0,0,AVERAGEIFS(Tree!$W:$W,Tree!$A:$A,'Pre-Harvest Plots_rpt'!$B8,Tree!$B:$B,'Pre-Harvest Plots_rpt'!$D8,Tree!$F:$F,"L")))</f>
        <v/>
      </c>
      <c r="K8" s="121" t="str">
        <f>IF($F8="","",SUMIFS(Tree!$S:$S,Tree!$A:$A,'Pre-Harvest Plots_rpt'!$B8,Tree!$B:$B,'Pre-Harvest Plots_rpt'!$D8,Tree!$F:$F,"L"))</f>
        <v/>
      </c>
      <c r="L8" s="154" t="str">
        <f t="shared" si="5"/>
        <v/>
      </c>
      <c r="M8" s="135"/>
      <c r="N8" s="192" t="str">
        <f>IF(B8="","",SUMIFS(Tree!$AM:$AM,Tree!$A:$A,'Pre-Harvest Plots_rpt'!$B8,Tree!$B:$B,'Pre-Harvest Plots_rpt'!$D8,Tree!$F:$F,"L"))</f>
        <v/>
      </c>
      <c r="O8" s="122" t="str">
        <f>IF(B8="","",SUMIFS(Tree!$AN:$AN,Tree!$A:$A,'Pre-Harvest Plots_rpt'!$B8,Tree!$B:$B,'Pre-Harvest Plots_rpt'!$D8,Tree!$F:$F,"L"))</f>
        <v/>
      </c>
      <c r="P8" s="122" t="str">
        <f>IF(B8="","",SUMIFS(Tree!$AO:$AO,Tree!$A:$A,'Pre-Harvest Plots_rpt'!$B8,Tree!$B:$B,'Pre-Harvest Plots_rpt'!$D8,Tree!$F:$F,"L"))</f>
        <v/>
      </c>
      <c r="Q8" s="122" t="str">
        <f>IF(B8="","",SUMIFS(Tree!$AP:$AP,Tree!$A:$A,'Pre-Harvest Plots_rpt'!$B8,Tree!$B:$B,'Pre-Harvest Plots_rpt'!$D8,Tree!$F:$F,"L"))</f>
        <v/>
      </c>
      <c r="R8" s="123" t="str">
        <f>IF(B8="","",SUMIFS(Tree!$AQ:$AQ,Tree!$A:$A,'Pre-Harvest Plots_rpt'!$B8,Tree!$B:$B,'Pre-Harvest Plots_rpt'!$D8,Tree!$F:$F,"L"))</f>
        <v/>
      </c>
      <c r="S8" s="122" t="str">
        <f>IF(B8="","",SUMIFS(Tree!$AJ:$AJ,Tree!$A:$A,'Pre-Harvest Plots_rpt'!$B8,Tree!$B:$B,'Pre-Harvest Plots_rpt'!$D8,Tree!$F:$F,"L")-O8)</f>
        <v/>
      </c>
      <c r="T8" s="122" t="str">
        <f>IF(B8="","",SUMIFS(Tree!$AK:$AK,Tree!$A:$A,'Pre-Harvest Plots_rpt'!$B8,Tree!$B:$B,'Pre-Harvest Plots_rpt'!$D8,Tree!$F:$F,"L")-P8)</f>
        <v/>
      </c>
      <c r="U8" s="122" t="str">
        <f>IF(B8="","",SUMIFS(Tree!$AL:$AL,Tree!$A:$A,'Pre-Harvest Plots_rpt'!$B8,Tree!$B:$B,'Pre-Harvest Plots_rpt'!$D8,Tree!$F:$F,"L")-Q8)</f>
        <v/>
      </c>
      <c r="V8" s="123" t="str">
        <f>IF(B8="","",ROUND(SUMIFS(Tree!$AE:$AE,Tree!$A:$A,'Pre-Harvest Plots_rpt'!$B8,Tree!$B:$B,'Pre-Harvest Plots_rpt'!$D8,Tree!$F:$F,"L")-R8,1))</f>
        <v/>
      </c>
      <c r="W8" s="124" t="str">
        <f>IF(B8="","",SUMIFS(Tree!$AY:$AY,Tree!$A:$A,'Pre-Harvest Plots_rpt'!$B8,Tree!$B:$B,'Pre-Harvest Plots_rpt'!$D8,Tree!$F:$F,"L")/1000)</f>
        <v/>
      </c>
      <c r="X8" s="158" t="str">
        <f>IF(B8="","",ROUND((SUMIFS(Tree!$AW:$AW,Tree!$A:$A,'Pre-Harvest Plots_rpt'!$B8,Tree!$B:$B,'Pre-Harvest Plots_rpt'!$D8,Tree!$F:$F,"L")/1000)-W8,1))</f>
        <v/>
      </c>
      <c r="Y8" s="135"/>
      <c r="Z8" s="161" t="str">
        <f>IF(IF(B8="","",SUMIFS(Tree!$O:$O,Tree!$A:$A,'Pre-Harvest Plots_rpt'!$B8,Tree!$B:$B,'Pre-Harvest Plots_rpt'!$D8,Tree!$F:$F,"D"))=0,"",IF(B8="","",SUMIFS(Tree!$O:$O,Tree!$A:$A,'Pre-Harvest Plots_rpt'!$B8,Tree!$B:$B,'Pre-Harvest Plots_rpt'!$D8,Tree!$F:$F,"D")))</f>
        <v/>
      </c>
      <c r="AA8" s="125" t="str">
        <f t="shared" si="6"/>
        <v/>
      </c>
      <c r="AB8" s="125" t="str">
        <f>IF(Z8="","",SUMIFS(Tree!$R:$R,Tree!$A:$A,'Pre-Harvest Plots_rpt'!$B8,Tree!$B:$B,'Pre-Harvest Plots_rpt'!$D8,Tree!$F:$F,"D"))</f>
        <v/>
      </c>
      <c r="AC8" s="126" t="str">
        <f>IF(Z8="","",SUMIFS(Tree!$AM:$AM,Tree!$A:$A,'Pre-Harvest Plots_rpt'!$B8,Tree!$B:$B,'Pre-Harvest Plots_rpt'!$D8,Tree!$F:$F,"D"))</f>
        <v/>
      </c>
      <c r="AD8" s="162" t="str">
        <f>IF(Z8="","",SUMIFS(Tree!$AW:$AW,Tree!$A:$A,'Pre-Harvest Plots_rpt'!$B8,Tree!$B:$B,'Pre-Harvest Plots_rpt'!$D8,Tree!$F:$F,"D")/1000)</f>
        <v/>
      </c>
      <c r="AE8" s="47"/>
      <c r="AF8" s="4"/>
      <c r="AG8" s="4"/>
      <c r="AH8" s="4"/>
    </row>
    <row r="9" spans="1:34" ht="12.75" customHeight="1" x14ac:dyDescent="0.25">
      <c r="A9" s="48">
        <v>6</v>
      </c>
      <c r="B9" s="171" t="str">
        <f>IF(A9&lt;=SUM(Stand!$H$3:$H$29),VLOOKUP(A9,Stand!$A$3:$C$29,3,TRUE),"")</f>
        <v/>
      </c>
      <c r="C9" s="172" t="str">
        <f t="shared" si="0"/>
        <v/>
      </c>
      <c r="D9" s="173" t="str">
        <f>IF(B9="","",VLOOKUP(B9&amp;C9,Plot!$B$2:$D$199,3,FALSE))</f>
        <v/>
      </c>
      <c r="E9" s="130"/>
      <c r="F9" s="152" t="str">
        <f>IF(B9="","",SUMIFS(Tree!$O:$O,Tree!$A:$A,'Pre-Harvest Plots_rpt'!$B9,Tree!$B:$B,'Pre-Harvest Plots_rpt'!$D9,Tree!$F:$F,"L"))</f>
        <v/>
      </c>
      <c r="G9" s="153" t="str">
        <f>IFERROR(IF(D9="","",SUMIFS(Tree!$P:$P,Tree!$A:$A,'Pre-Harvest Plots_rpt'!$B9,Tree!$B:$B,'Pre-Harvest Plots_rpt'!$D9)/$F9),"")</f>
        <v/>
      </c>
      <c r="H9" s="122" t="str">
        <f t="shared" si="4"/>
        <v/>
      </c>
      <c r="I9" s="121" t="str">
        <f>IF(OR($F9=0,$F9=""),"",SUMIFS(Tree!$R:$R,Tree!$A:$A,'Pre-Harvest Plots_rpt'!$B9,Tree!$B:$B,'Pre-Harvest Plots_rpt'!$D9,Tree!$F:$F,"L"))</f>
        <v/>
      </c>
      <c r="J9" s="121" t="str">
        <f>IF(OR($F9=0,$F9=""),"",IF(SUMIFS(Tree!$W:$W,Tree!$A:$A,'Pre-Harvest Plots_rpt'!$B9,Tree!$B:$B,'Pre-Harvest Plots_rpt'!$D9,Tree!$F:$F,"L")=0,0,AVERAGEIFS(Tree!$W:$W,Tree!$A:$A,'Pre-Harvest Plots_rpt'!$B9,Tree!$B:$B,'Pre-Harvest Plots_rpt'!$D9,Tree!$F:$F,"L")))</f>
        <v/>
      </c>
      <c r="K9" s="121" t="str">
        <f>IF($F9="","",SUMIFS(Tree!$S:$S,Tree!$A:$A,'Pre-Harvest Plots_rpt'!$B9,Tree!$B:$B,'Pre-Harvest Plots_rpt'!$D9,Tree!$F:$F,"L"))</f>
        <v/>
      </c>
      <c r="L9" s="154" t="str">
        <f t="shared" si="5"/>
        <v/>
      </c>
      <c r="M9" s="135"/>
      <c r="N9" s="192" t="str">
        <f>IF(B9="","",SUMIFS(Tree!$AM:$AM,Tree!$A:$A,'Pre-Harvest Plots_rpt'!$B9,Tree!$B:$B,'Pre-Harvest Plots_rpt'!$D9,Tree!$F:$F,"L"))</f>
        <v/>
      </c>
      <c r="O9" s="122" t="str">
        <f>IF(B9="","",SUMIFS(Tree!$AN:$AN,Tree!$A:$A,'Pre-Harvest Plots_rpt'!$B9,Tree!$B:$B,'Pre-Harvest Plots_rpt'!$D9,Tree!$F:$F,"L"))</f>
        <v/>
      </c>
      <c r="P9" s="122" t="str">
        <f>IF(B9="","",SUMIFS(Tree!$AO:$AO,Tree!$A:$A,'Pre-Harvest Plots_rpt'!$B9,Tree!$B:$B,'Pre-Harvest Plots_rpt'!$D9,Tree!$F:$F,"L"))</f>
        <v/>
      </c>
      <c r="Q9" s="122" t="str">
        <f>IF(B9="","",SUMIFS(Tree!$AP:$AP,Tree!$A:$A,'Pre-Harvest Plots_rpt'!$B9,Tree!$B:$B,'Pre-Harvest Plots_rpt'!$D9,Tree!$F:$F,"L"))</f>
        <v/>
      </c>
      <c r="R9" s="123" t="str">
        <f>IF(B9="","",SUMIFS(Tree!$AQ:$AQ,Tree!$A:$A,'Pre-Harvest Plots_rpt'!$B9,Tree!$B:$B,'Pre-Harvest Plots_rpt'!$D9,Tree!$F:$F,"L"))</f>
        <v/>
      </c>
      <c r="S9" s="122" t="str">
        <f>IF(B9="","",SUMIFS(Tree!$AJ:$AJ,Tree!$A:$A,'Pre-Harvest Plots_rpt'!$B9,Tree!$B:$B,'Pre-Harvest Plots_rpt'!$D9,Tree!$F:$F,"L")-O9)</f>
        <v/>
      </c>
      <c r="T9" s="122" t="str">
        <f>IF(B9="","",SUMIFS(Tree!$AK:$AK,Tree!$A:$A,'Pre-Harvest Plots_rpt'!$B9,Tree!$B:$B,'Pre-Harvest Plots_rpt'!$D9,Tree!$F:$F,"L")-P9)</f>
        <v/>
      </c>
      <c r="U9" s="122" t="str">
        <f>IF(B9="","",SUMIFS(Tree!$AL:$AL,Tree!$A:$A,'Pre-Harvest Plots_rpt'!$B9,Tree!$B:$B,'Pre-Harvest Plots_rpt'!$D9,Tree!$F:$F,"L")-Q9)</f>
        <v/>
      </c>
      <c r="V9" s="123" t="str">
        <f>IF(B9="","",ROUND(SUMIFS(Tree!$AE:$AE,Tree!$A:$A,'Pre-Harvest Plots_rpt'!$B9,Tree!$B:$B,'Pre-Harvest Plots_rpt'!$D9,Tree!$F:$F,"L")-R9,1))</f>
        <v/>
      </c>
      <c r="W9" s="124" t="str">
        <f>IF(B9="","",SUMIFS(Tree!$AY:$AY,Tree!$A:$A,'Pre-Harvest Plots_rpt'!$B9,Tree!$B:$B,'Pre-Harvest Plots_rpt'!$D9,Tree!$F:$F,"L")/1000)</f>
        <v/>
      </c>
      <c r="X9" s="158" t="str">
        <f>IF(B9="","",ROUND((SUMIFS(Tree!$AW:$AW,Tree!$A:$A,'Pre-Harvest Plots_rpt'!$B9,Tree!$B:$B,'Pre-Harvest Plots_rpt'!$D9,Tree!$F:$F,"L")/1000)-W9,1))</f>
        <v/>
      </c>
      <c r="Y9" s="135"/>
      <c r="Z9" s="161" t="str">
        <f>IF(IF(B9="","",SUMIFS(Tree!$O:$O,Tree!$A:$A,'Pre-Harvest Plots_rpt'!$B9,Tree!$B:$B,'Pre-Harvest Plots_rpt'!$D9,Tree!$F:$F,"D"))=0,"",IF(B9="","",SUMIFS(Tree!$O:$O,Tree!$A:$A,'Pre-Harvest Plots_rpt'!$B9,Tree!$B:$B,'Pre-Harvest Plots_rpt'!$D9,Tree!$F:$F,"D")))</f>
        <v/>
      </c>
      <c r="AA9" s="125" t="str">
        <f t="shared" si="6"/>
        <v/>
      </c>
      <c r="AB9" s="125" t="str">
        <f>IF(Z9="","",SUMIFS(Tree!$R:$R,Tree!$A:$A,'Pre-Harvest Plots_rpt'!$B9,Tree!$B:$B,'Pre-Harvest Plots_rpt'!$D9,Tree!$F:$F,"D"))</f>
        <v/>
      </c>
      <c r="AC9" s="126" t="str">
        <f>IF(Z9="","",SUMIFS(Tree!$AM:$AM,Tree!$A:$A,'Pre-Harvest Plots_rpt'!$B9,Tree!$B:$B,'Pre-Harvest Plots_rpt'!$D9,Tree!$F:$F,"D"))</f>
        <v/>
      </c>
      <c r="AD9" s="162" t="str">
        <f>IF(Z9="","",SUMIFS(Tree!$AW:$AW,Tree!$A:$A,'Pre-Harvest Plots_rpt'!$B9,Tree!$B:$B,'Pre-Harvest Plots_rpt'!$D9,Tree!$F:$F,"D")/1000)</f>
        <v/>
      </c>
      <c r="AE9" s="47"/>
      <c r="AF9" s="4"/>
      <c r="AG9" s="4"/>
      <c r="AH9" s="4"/>
    </row>
    <row r="10" spans="1:34" ht="12.75" customHeight="1" x14ac:dyDescent="0.25">
      <c r="A10" s="48">
        <v>7</v>
      </c>
      <c r="B10" s="171" t="str">
        <f>IF(A10&lt;=SUM(Stand!$H$3:$H$29),VLOOKUP(A10,Stand!$A$3:$C$29,3,TRUE),"")</f>
        <v/>
      </c>
      <c r="C10" s="172" t="str">
        <f t="shared" si="0"/>
        <v/>
      </c>
      <c r="D10" s="173" t="str">
        <f>IF(B10="","",VLOOKUP(B10&amp;C10,Plot!$B$2:$D$199,3,FALSE))</f>
        <v/>
      </c>
      <c r="E10" s="130"/>
      <c r="F10" s="152" t="str">
        <f>IF(B10="","",SUMIFS(Tree!$O:$O,Tree!$A:$A,'Pre-Harvest Plots_rpt'!$B10,Tree!$B:$B,'Pre-Harvest Plots_rpt'!$D10,Tree!$F:$F,"L"))</f>
        <v/>
      </c>
      <c r="G10" s="153" t="str">
        <f>IFERROR(IF(D10="","",SUMIFS(Tree!$P:$P,Tree!$A:$A,'Pre-Harvest Plots_rpt'!$B10,Tree!$B:$B,'Pre-Harvest Plots_rpt'!$D10)/$F10),"")</f>
        <v/>
      </c>
      <c r="H10" s="122" t="str">
        <f t="shared" si="4"/>
        <v/>
      </c>
      <c r="I10" s="121" t="str">
        <f>IF(OR($F10=0,$F10=""),"",SUMIFS(Tree!$R:$R,Tree!$A:$A,'Pre-Harvest Plots_rpt'!$B10,Tree!$B:$B,'Pre-Harvest Plots_rpt'!$D10,Tree!$F:$F,"L"))</f>
        <v/>
      </c>
      <c r="J10" s="121" t="str">
        <f>IF(OR($F10=0,$F10=""),"",IF(SUMIFS(Tree!$W:$W,Tree!$A:$A,'Pre-Harvest Plots_rpt'!$B10,Tree!$B:$B,'Pre-Harvest Plots_rpt'!$D10,Tree!$F:$F,"L")=0,0,AVERAGEIFS(Tree!$W:$W,Tree!$A:$A,'Pre-Harvest Plots_rpt'!$B10,Tree!$B:$B,'Pre-Harvest Plots_rpt'!$D10,Tree!$F:$F,"L")))</f>
        <v/>
      </c>
      <c r="K10" s="121" t="str">
        <f>IF($F10="","",SUMIFS(Tree!$S:$S,Tree!$A:$A,'Pre-Harvest Plots_rpt'!$B10,Tree!$B:$B,'Pre-Harvest Plots_rpt'!$D10,Tree!$F:$F,"L"))</f>
        <v/>
      </c>
      <c r="L10" s="154" t="str">
        <f t="shared" si="5"/>
        <v/>
      </c>
      <c r="M10" s="135"/>
      <c r="N10" s="192" t="str">
        <f>IF(B10="","",SUMIFS(Tree!$AM:$AM,Tree!$A:$A,'Pre-Harvest Plots_rpt'!$B10,Tree!$B:$B,'Pre-Harvest Plots_rpt'!$D10,Tree!$F:$F,"L"))</f>
        <v/>
      </c>
      <c r="O10" s="122" t="str">
        <f>IF(B10="","",SUMIFS(Tree!$AN:$AN,Tree!$A:$A,'Pre-Harvest Plots_rpt'!$B10,Tree!$B:$B,'Pre-Harvest Plots_rpt'!$D10,Tree!$F:$F,"L"))</f>
        <v/>
      </c>
      <c r="P10" s="122" t="str">
        <f>IF(B10="","",SUMIFS(Tree!$AO:$AO,Tree!$A:$A,'Pre-Harvest Plots_rpt'!$B10,Tree!$B:$B,'Pre-Harvest Plots_rpt'!$D10,Tree!$F:$F,"L"))</f>
        <v/>
      </c>
      <c r="Q10" s="122" t="str">
        <f>IF(B10="","",SUMIFS(Tree!$AP:$AP,Tree!$A:$A,'Pre-Harvest Plots_rpt'!$B10,Tree!$B:$B,'Pre-Harvest Plots_rpt'!$D10,Tree!$F:$F,"L"))</f>
        <v/>
      </c>
      <c r="R10" s="123" t="str">
        <f>IF(B10="","",SUMIFS(Tree!$AQ:$AQ,Tree!$A:$A,'Pre-Harvest Plots_rpt'!$B10,Tree!$B:$B,'Pre-Harvest Plots_rpt'!$D10,Tree!$F:$F,"L"))</f>
        <v/>
      </c>
      <c r="S10" s="122" t="str">
        <f>IF(B10="","",SUMIFS(Tree!$AJ:$AJ,Tree!$A:$A,'Pre-Harvest Plots_rpt'!$B10,Tree!$B:$B,'Pre-Harvest Plots_rpt'!$D10,Tree!$F:$F,"L")-O10)</f>
        <v/>
      </c>
      <c r="T10" s="122" t="str">
        <f>IF(B10="","",SUMIFS(Tree!$AK:$AK,Tree!$A:$A,'Pre-Harvest Plots_rpt'!$B10,Tree!$B:$B,'Pre-Harvest Plots_rpt'!$D10,Tree!$F:$F,"L")-P10)</f>
        <v/>
      </c>
      <c r="U10" s="122" t="str">
        <f>IF(B10="","",SUMIFS(Tree!$AL:$AL,Tree!$A:$A,'Pre-Harvest Plots_rpt'!$B10,Tree!$B:$B,'Pre-Harvest Plots_rpt'!$D10,Tree!$F:$F,"L")-Q10)</f>
        <v/>
      </c>
      <c r="V10" s="123" t="str">
        <f>IF(B10="","",ROUND(SUMIFS(Tree!$AE:$AE,Tree!$A:$A,'Pre-Harvest Plots_rpt'!$B10,Tree!$B:$B,'Pre-Harvest Plots_rpt'!$D10,Tree!$F:$F,"L")-R10,1))</f>
        <v/>
      </c>
      <c r="W10" s="124" t="str">
        <f>IF(B10="","",SUMIFS(Tree!$AY:$AY,Tree!$A:$A,'Pre-Harvest Plots_rpt'!$B10,Tree!$B:$B,'Pre-Harvest Plots_rpt'!$D10,Tree!$F:$F,"L")/1000)</f>
        <v/>
      </c>
      <c r="X10" s="158" t="str">
        <f>IF(B10="","",ROUND((SUMIFS(Tree!$AW:$AW,Tree!$A:$A,'Pre-Harvest Plots_rpt'!$B10,Tree!$B:$B,'Pre-Harvest Plots_rpt'!$D10,Tree!$F:$F,"L")/1000)-W10,1))</f>
        <v/>
      </c>
      <c r="Y10" s="135"/>
      <c r="Z10" s="161" t="str">
        <f>IF(IF(B10="","",SUMIFS(Tree!$O:$O,Tree!$A:$A,'Pre-Harvest Plots_rpt'!$B10,Tree!$B:$B,'Pre-Harvest Plots_rpt'!$D10,Tree!$F:$F,"D"))=0,"",IF(B10="","",SUMIFS(Tree!$O:$O,Tree!$A:$A,'Pre-Harvest Plots_rpt'!$B10,Tree!$B:$B,'Pre-Harvest Plots_rpt'!$D10,Tree!$F:$F,"D")))</f>
        <v/>
      </c>
      <c r="AA10" s="125" t="str">
        <f t="shared" si="6"/>
        <v/>
      </c>
      <c r="AB10" s="125" t="str">
        <f>IF(Z10="","",SUMIFS(Tree!$R:$R,Tree!$A:$A,'Pre-Harvest Plots_rpt'!$B10,Tree!$B:$B,'Pre-Harvest Plots_rpt'!$D10,Tree!$F:$F,"D"))</f>
        <v/>
      </c>
      <c r="AC10" s="126" t="str">
        <f>IF(Z10="","",SUMIFS(Tree!$AM:$AM,Tree!$A:$A,'Pre-Harvest Plots_rpt'!$B10,Tree!$B:$B,'Pre-Harvest Plots_rpt'!$D10,Tree!$F:$F,"D"))</f>
        <v/>
      </c>
      <c r="AD10" s="162" t="str">
        <f>IF(Z10="","",SUMIFS(Tree!$AW:$AW,Tree!$A:$A,'Pre-Harvest Plots_rpt'!$B10,Tree!$B:$B,'Pre-Harvest Plots_rpt'!$D10,Tree!$F:$F,"D")/1000)</f>
        <v/>
      </c>
      <c r="AE10" s="47"/>
      <c r="AF10" s="4"/>
      <c r="AG10" s="4"/>
      <c r="AH10" s="4"/>
    </row>
    <row r="11" spans="1:34" ht="12.75" customHeight="1" x14ac:dyDescent="0.25">
      <c r="A11" s="48">
        <v>8</v>
      </c>
      <c r="B11" s="171" t="str">
        <f>IF(A11&lt;=SUM(Stand!$H$3:$H$29),VLOOKUP(A11,Stand!$A$3:$C$29,3,TRUE),"")</f>
        <v/>
      </c>
      <c r="C11" s="172" t="str">
        <f t="shared" si="0"/>
        <v/>
      </c>
      <c r="D11" s="173" t="str">
        <f>IF(B11="","",VLOOKUP(B11&amp;C11,Plot!$B$2:$D$199,3,FALSE))</f>
        <v/>
      </c>
      <c r="E11" s="130"/>
      <c r="F11" s="152" t="str">
        <f>IF(B11="","",SUMIFS(Tree!$O:$O,Tree!$A:$A,'Pre-Harvest Plots_rpt'!$B11,Tree!$B:$B,'Pre-Harvest Plots_rpt'!$D11,Tree!$F:$F,"L"))</f>
        <v/>
      </c>
      <c r="G11" s="153" t="str">
        <f>IFERROR(IF(D11="","",SUMIFS(Tree!$P:$P,Tree!$A:$A,'Pre-Harvest Plots_rpt'!$B11,Tree!$B:$B,'Pre-Harvest Plots_rpt'!$D11)/$F11),"")</f>
        <v/>
      </c>
      <c r="H11" s="122" t="str">
        <f t="shared" si="4"/>
        <v/>
      </c>
      <c r="I11" s="121" t="str">
        <f>IF(OR($F11=0,$F11=""),"",SUMIFS(Tree!$R:$R,Tree!$A:$A,'Pre-Harvest Plots_rpt'!$B11,Tree!$B:$B,'Pre-Harvest Plots_rpt'!$D11,Tree!$F:$F,"L"))</f>
        <v/>
      </c>
      <c r="J11" s="121" t="str">
        <f>IF(OR($F11=0,$F11=""),"",IF(SUMIFS(Tree!$W:$W,Tree!$A:$A,'Pre-Harvest Plots_rpt'!$B11,Tree!$B:$B,'Pre-Harvest Plots_rpt'!$D11,Tree!$F:$F,"L")=0,0,AVERAGEIFS(Tree!$W:$W,Tree!$A:$A,'Pre-Harvest Plots_rpt'!$B11,Tree!$B:$B,'Pre-Harvest Plots_rpt'!$D11,Tree!$F:$F,"L")))</f>
        <v/>
      </c>
      <c r="K11" s="121" t="str">
        <f>IF($F11="","",SUMIFS(Tree!$S:$S,Tree!$A:$A,'Pre-Harvest Plots_rpt'!$B11,Tree!$B:$B,'Pre-Harvest Plots_rpt'!$D11,Tree!$F:$F,"L"))</f>
        <v/>
      </c>
      <c r="L11" s="154" t="str">
        <f t="shared" si="5"/>
        <v/>
      </c>
      <c r="M11" s="135"/>
      <c r="N11" s="192" t="str">
        <f>IF(B11="","",SUMIFS(Tree!$AM:$AM,Tree!$A:$A,'Pre-Harvest Plots_rpt'!$B11,Tree!$B:$B,'Pre-Harvest Plots_rpt'!$D11,Tree!$F:$F,"L"))</f>
        <v/>
      </c>
      <c r="O11" s="122" t="str">
        <f>IF(B11="","",SUMIFS(Tree!$AN:$AN,Tree!$A:$A,'Pre-Harvest Plots_rpt'!$B11,Tree!$B:$B,'Pre-Harvest Plots_rpt'!$D11,Tree!$F:$F,"L"))</f>
        <v/>
      </c>
      <c r="P11" s="122" t="str">
        <f>IF(B11="","",SUMIFS(Tree!$AO:$AO,Tree!$A:$A,'Pre-Harvest Plots_rpt'!$B11,Tree!$B:$B,'Pre-Harvest Plots_rpt'!$D11,Tree!$F:$F,"L"))</f>
        <v/>
      </c>
      <c r="Q11" s="122" t="str">
        <f>IF(B11="","",SUMIFS(Tree!$AP:$AP,Tree!$A:$A,'Pre-Harvest Plots_rpt'!$B11,Tree!$B:$B,'Pre-Harvest Plots_rpt'!$D11,Tree!$F:$F,"L"))</f>
        <v/>
      </c>
      <c r="R11" s="123" t="str">
        <f>IF(B11="","",SUMIFS(Tree!$AQ:$AQ,Tree!$A:$A,'Pre-Harvest Plots_rpt'!$B11,Tree!$B:$B,'Pre-Harvest Plots_rpt'!$D11,Tree!$F:$F,"L"))</f>
        <v/>
      </c>
      <c r="S11" s="122" t="str">
        <f>IF(B11="","",SUMIFS(Tree!$AJ:$AJ,Tree!$A:$A,'Pre-Harvest Plots_rpt'!$B11,Tree!$B:$B,'Pre-Harvest Plots_rpt'!$D11,Tree!$F:$F,"L")-O11)</f>
        <v/>
      </c>
      <c r="T11" s="122" t="str">
        <f>IF(B11="","",SUMIFS(Tree!$AK:$AK,Tree!$A:$A,'Pre-Harvest Plots_rpt'!$B11,Tree!$B:$B,'Pre-Harvest Plots_rpt'!$D11,Tree!$F:$F,"L")-P11)</f>
        <v/>
      </c>
      <c r="U11" s="122" t="str">
        <f>IF(B11="","",SUMIFS(Tree!$AL:$AL,Tree!$A:$A,'Pre-Harvest Plots_rpt'!$B11,Tree!$B:$B,'Pre-Harvest Plots_rpt'!$D11,Tree!$F:$F,"L")-Q11)</f>
        <v/>
      </c>
      <c r="V11" s="123" t="str">
        <f>IF(B11="","",ROUND(SUMIFS(Tree!$AE:$AE,Tree!$A:$A,'Pre-Harvest Plots_rpt'!$B11,Tree!$B:$B,'Pre-Harvest Plots_rpt'!$D11,Tree!$F:$F,"L")-R11,1))</f>
        <v/>
      </c>
      <c r="W11" s="124" t="str">
        <f>IF(B11="","",SUMIFS(Tree!$AY:$AY,Tree!$A:$A,'Pre-Harvest Plots_rpt'!$B11,Tree!$B:$B,'Pre-Harvest Plots_rpt'!$D11,Tree!$F:$F,"L")/1000)</f>
        <v/>
      </c>
      <c r="X11" s="158" t="str">
        <f>IF(B11="","",ROUND((SUMIFS(Tree!$AW:$AW,Tree!$A:$A,'Pre-Harvest Plots_rpt'!$B11,Tree!$B:$B,'Pre-Harvest Plots_rpt'!$D11,Tree!$F:$F,"L")/1000)-W11,1))</f>
        <v/>
      </c>
      <c r="Y11" s="135"/>
      <c r="Z11" s="161" t="str">
        <f>IF(IF(B11="","",SUMIFS(Tree!$O:$O,Tree!$A:$A,'Pre-Harvest Plots_rpt'!$B11,Tree!$B:$B,'Pre-Harvest Plots_rpt'!$D11,Tree!$F:$F,"D"))=0,"",IF(B11="","",SUMIFS(Tree!$O:$O,Tree!$A:$A,'Pre-Harvest Plots_rpt'!$B11,Tree!$B:$B,'Pre-Harvest Plots_rpt'!$D11,Tree!$F:$F,"D")))</f>
        <v/>
      </c>
      <c r="AA11" s="125" t="str">
        <f t="shared" si="6"/>
        <v/>
      </c>
      <c r="AB11" s="125" t="str">
        <f>IF(Z11="","",SUMIFS(Tree!$R:$R,Tree!$A:$A,'Pre-Harvest Plots_rpt'!$B11,Tree!$B:$B,'Pre-Harvest Plots_rpt'!$D11,Tree!$F:$F,"D"))</f>
        <v/>
      </c>
      <c r="AC11" s="126" t="str">
        <f>IF(Z11="","",SUMIFS(Tree!$AM:$AM,Tree!$A:$A,'Pre-Harvest Plots_rpt'!$B11,Tree!$B:$B,'Pre-Harvest Plots_rpt'!$D11,Tree!$F:$F,"D"))</f>
        <v/>
      </c>
      <c r="AD11" s="162" t="str">
        <f>IF(Z11="","",SUMIFS(Tree!$AW:$AW,Tree!$A:$A,'Pre-Harvest Plots_rpt'!$B11,Tree!$B:$B,'Pre-Harvest Plots_rpt'!$D11,Tree!$F:$F,"D")/1000)</f>
        <v/>
      </c>
      <c r="AE11" s="47"/>
      <c r="AF11" s="4"/>
      <c r="AG11" s="4"/>
      <c r="AH11" s="4"/>
    </row>
    <row r="12" spans="1:34" ht="12.75" customHeight="1" x14ac:dyDescent="0.25">
      <c r="A12" s="48">
        <v>9</v>
      </c>
      <c r="B12" s="171" t="str">
        <f>IF(A12&lt;=SUM(Stand!$H$3:$H$29),VLOOKUP(A12,Stand!$A$3:$C$29,3,TRUE),"")</f>
        <v/>
      </c>
      <c r="C12" s="172" t="str">
        <f t="shared" si="0"/>
        <v/>
      </c>
      <c r="D12" s="173" t="str">
        <f>IF(B12="","",VLOOKUP(B12&amp;C12,Plot!$B$2:$D$199,3,FALSE))</f>
        <v/>
      </c>
      <c r="E12" s="130"/>
      <c r="F12" s="152" t="str">
        <f>IF(B12="","",SUMIFS(Tree!$O:$O,Tree!$A:$A,'Pre-Harvest Plots_rpt'!$B12,Tree!$B:$B,'Pre-Harvest Plots_rpt'!$D12,Tree!$F:$F,"L"))</f>
        <v/>
      </c>
      <c r="G12" s="153" t="str">
        <f>IFERROR(IF(D12="","",SUMIFS(Tree!$P:$P,Tree!$A:$A,'Pre-Harvest Plots_rpt'!$B12,Tree!$B:$B,'Pre-Harvest Plots_rpt'!$D12)/$F12),"")</f>
        <v/>
      </c>
      <c r="H12" s="122" t="str">
        <f t="shared" si="4"/>
        <v/>
      </c>
      <c r="I12" s="121" t="str">
        <f>IF(OR($F12=0,$F12=""),"",SUMIFS(Tree!$R:$R,Tree!$A:$A,'Pre-Harvest Plots_rpt'!$B12,Tree!$B:$B,'Pre-Harvest Plots_rpt'!$D12,Tree!$F:$F,"L"))</f>
        <v/>
      </c>
      <c r="J12" s="121" t="str">
        <f>IF(OR($F12=0,$F12=""),"",IF(SUMIFS(Tree!$W:$W,Tree!$A:$A,'Pre-Harvest Plots_rpt'!$B12,Tree!$B:$B,'Pre-Harvest Plots_rpt'!$D12,Tree!$F:$F,"L")=0,0,AVERAGEIFS(Tree!$W:$W,Tree!$A:$A,'Pre-Harvest Plots_rpt'!$B12,Tree!$B:$B,'Pre-Harvest Plots_rpt'!$D12,Tree!$F:$F,"L")))</f>
        <v/>
      </c>
      <c r="K12" s="121" t="str">
        <f>IF($F12="","",SUMIFS(Tree!$S:$S,Tree!$A:$A,'Pre-Harvest Plots_rpt'!$B12,Tree!$B:$B,'Pre-Harvest Plots_rpt'!$D12,Tree!$F:$F,"L"))</f>
        <v/>
      </c>
      <c r="L12" s="154" t="str">
        <f t="shared" si="5"/>
        <v/>
      </c>
      <c r="M12" s="135"/>
      <c r="N12" s="192" t="str">
        <f>IF(B12="","",SUMIFS(Tree!$AM:$AM,Tree!$A:$A,'Pre-Harvest Plots_rpt'!$B12,Tree!$B:$B,'Pre-Harvest Plots_rpt'!$D12,Tree!$F:$F,"L"))</f>
        <v/>
      </c>
      <c r="O12" s="122" t="str">
        <f>IF(B12="","",SUMIFS(Tree!$AN:$AN,Tree!$A:$A,'Pre-Harvest Plots_rpt'!$B12,Tree!$B:$B,'Pre-Harvest Plots_rpt'!$D12,Tree!$F:$F,"L"))</f>
        <v/>
      </c>
      <c r="P12" s="122" t="str">
        <f>IF(B12="","",SUMIFS(Tree!$AO:$AO,Tree!$A:$A,'Pre-Harvest Plots_rpt'!$B12,Tree!$B:$B,'Pre-Harvest Plots_rpt'!$D12,Tree!$F:$F,"L"))</f>
        <v/>
      </c>
      <c r="Q12" s="122" t="str">
        <f>IF(B12="","",SUMIFS(Tree!$AP:$AP,Tree!$A:$A,'Pre-Harvest Plots_rpt'!$B12,Tree!$B:$B,'Pre-Harvest Plots_rpt'!$D12,Tree!$F:$F,"L"))</f>
        <v/>
      </c>
      <c r="R12" s="123" t="str">
        <f>IF(B12="","",SUMIFS(Tree!$AQ:$AQ,Tree!$A:$A,'Pre-Harvest Plots_rpt'!$B12,Tree!$B:$B,'Pre-Harvest Plots_rpt'!$D12,Tree!$F:$F,"L"))</f>
        <v/>
      </c>
      <c r="S12" s="122" t="str">
        <f>IF(B12="","",SUMIFS(Tree!$AJ:$AJ,Tree!$A:$A,'Pre-Harvest Plots_rpt'!$B12,Tree!$B:$B,'Pre-Harvest Plots_rpt'!$D12,Tree!$F:$F,"L")-O12)</f>
        <v/>
      </c>
      <c r="T12" s="122" t="str">
        <f>IF(B12="","",SUMIFS(Tree!$AK:$AK,Tree!$A:$A,'Pre-Harvest Plots_rpt'!$B12,Tree!$B:$B,'Pre-Harvest Plots_rpt'!$D12,Tree!$F:$F,"L")-P12)</f>
        <v/>
      </c>
      <c r="U12" s="122" t="str">
        <f>IF(B12="","",SUMIFS(Tree!$AL:$AL,Tree!$A:$A,'Pre-Harvest Plots_rpt'!$B12,Tree!$B:$B,'Pre-Harvest Plots_rpt'!$D12,Tree!$F:$F,"L")-Q12)</f>
        <v/>
      </c>
      <c r="V12" s="123" t="str">
        <f>IF(B12="","",ROUND(SUMIFS(Tree!$AE:$AE,Tree!$A:$A,'Pre-Harvest Plots_rpt'!$B12,Tree!$B:$B,'Pre-Harvest Plots_rpt'!$D12,Tree!$F:$F,"L")-R12,1))</f>
        <v/>
      </c>
      <c r="W12" s="124" t="str">
        <f>IF(B12="","",SUMIFS(Tree!$AY:$AY,Tree!$A:$A,'Pre-Harvest Plots_rpt'!$B12,Tree!$B:$B,'Pre-Harvest Plots_rpt'!$D12,Tree!$F:$F,"L")/1000)</f>
        <v/>
      </c>
      <c r="X12" s="158" t="str">
        <f>IF(B12="","",ROUND((SUMIFS(Tree!$AW:$AW,Tree!$A:$A,'Pre-Harvest Plots_rpt'!$B12,Tree!$B:$B,'Pre-Harvest Plots_rpt'!$D12,Tree!$F:$F,"L")/1000)-W12,1))</f>
        <v/>
      </c>
      <c r="Y12" s="135"/>
      <c r="Z12" s="161" t="str">
        <f>IF(IF(B12="","",SUMIFS(Tree!$O:$O,Tree!$A:$A,'Pre-Harvest Plots_rpt'!$B12,Tree!$B:$B,'Pre-Harvest Plots_rpt'!$D12,Tree!$F:$F,"D"))=0,"",IF(B12="","",SUMIFS(Tree!$O:$O,Tree!$A:$A,'Pre-Harvest Plots_rpt'!$B12,Tree!$B:$B,'Pre-Harvest Plots_rpt'!$D12,Tree!$F:$F,"D")))</f>
        <v/>
      </c>
      <c r="AA12" s="125" t="str">
        <f t="shared" si="6"/>
        <v/>
      </c>
      <c r="AB12" s="125" t="str">
        <f>IF(Z12="","",SUMIFS(Tree!$R:$R,Tree!$A:$A,'Pre-Harvest Plots_rpt'!$B12,Tree!$B:$B,'Pre-Harvest Plots_rpt'!$D12,Tree!$F:$F,"D"))</f>
        <v/>
      </c>
      <c r="AC12" s="126" t="str">
        <f>IF(Z12="","",SUMIFS(Tree!$AM:$AM,Tree!$A:$A,'Pre-Harvest Plots_rpt'!$B12,Tree!$B:$B,'Pre-Harvest Plots_rpt'!$D12,Tree!$F:$F,"D"))</f>
        <v/>
      </c>
      <c r="AD12" s="162" t="str">
        <f>IF(Z12="","",SUMIFS(Tree!$AW:$AW,Tree!$A:$A,'Pre-Harvest Plots_rpt'!$B12,Tree!$B:$B,'Pre-Harvest Plots_rpt'!$D12,Tree!$F:$F,"D")/1000)</f>
        <v/>
      </c>
      <c r="AE12" s="47"/>
      <c r="AF12" s="4"/>
      <c r="AG12" s="4"/>
      <c r="AH12" s="4"/>
    </row>
    <row r="13" spans="1:34" ht="12.75" customHeight="1" x14ac:dyDescent="0.25">
      <c r="A13" s="48">
        <v>10</v>
      </c>
      <c r="B13" s="171" t="str">
        <f>IF(A13&lt;=SUM(Stand!$H$3:$H$29),VLOOKUP(A13,Stand!$A$3:$C$29,3,TRUE),"")</f>
        <v/>
      </c>
      <c r="C13" s="172" t="str">
        <f t="shared" si="0"/>
        <v/>
      </c>
      <c r="D13" s="173" t="str">
        <f>IF(B13="","",VLOOKUP(B13&amp;C13,Plot!$B$2:$D$199,3,FALSE))</f>
        <v/>
      </c>
      <c r="E13" s="130"/>
      <c r="F13" s="152" t="str">
        <f>IF(B13="","",SUMIFS(Tree!$O:$O,Tree!$A:$A,'Pre-Harvest Plots_rpt'!$B13,Tree!$B:$B,'Pre-Harvest Plots_rpt'!$D13,Tree!$F:$F,"L"))</f>
        <v/>
      </c>
      <c r="G13" s="153" t="str">
        <f>IFERROR(IF(D13="","",SUMIFS(Tree!$P:$P,Tree!$A:$A,'Pre-Harvest Plots_rpt'!$B13,Tree!$B:$B,'Pre-Harvest Plots_rpt'!$D13)/$F13),"")</f>
        <v/>
      </c>
      <c r="H13" s="122" t="str">
        <f t="shared" ref="H13:H76" si="7">IF(F13=0,"",IF(F13="","",((I13/F13)/0.005454)^0.5))</f>
        <v/>
      </c>
      <c r="I13" s="121" t="str">
        <f>IF(OR($F13=0,$F13=""),"",SUMIFS(Tree!$R:$R,Tree!$A:$A,'Pre-Harvest Plots_rpt'!$B13,Tree!$B:$B,'Pre-Harvest Plots_rpt'!$D13,Tree!$F:$F,"L"))</f>
        <v/>
      </c>
      <c r="J13" s="121" t="str">
        <f>IF(OR($F13=0,$F13=""),"",IF(SUMIFS(Tree!$W:$W,Tree!$A:$A,'Pre-Harvest Plots_rpt'!$B13,Tree!$B:$B,'Pre-Harvest Plots_rpt'!$D13,Tree!$F:$F,"L")=0,0,AVERAGEIFS(Tree!$W:$W,Tree!$A:$A,'Pre-Harvest Plots_rpt'!$B13,Tree!$B:$B,'Pre-Harvest Plots_rpt'!$D13,Tree!$F:$F,"L")))</f>
        <v/>
      </c>
      <c r="K13" s="121" t="str">
        <f>IF($F13="","",SUMIFS(Tree!$S:$S,Tree!$A:$A,'Pre-Harvest Plots_rpt'!$B13,Tree!$B:$B,'Pre-Harvest Plots_rpt'!$D13,Tree!$F:$F,"L"))</f>
        <v/>
      </c>
      <c r="L13" s="154" t="str">
        <f t="shared" ref="L13:L76" si="8">IF($F13="","",IF(D13=0,0,I13/(H13^0.5)))</f>
        <v/>
      </c>
      <c r="M13" s="135"/>
      <c r="N13" s="192" t="str">
        <f>IF(B13="","",SUMIFS(Tree!$AM:$AM,Tree!$A:$A,'Pre-Harvest Plots_rpt'!$B13,Tree!$B:$B,'Pre-Harvest Plots_rpt'!$D13,Tree!$F:$F,"L"))</f>
        <v/>
      </c>
      <c r="O13" s="122" t="str">
        <f>IF(B13="","",SUMIFS(Tree!$AN:$AN,Tree!$A:$A,'Pre-Harvest Plots_rpt'!$B13,Tree!$B:$B,'Pre-Harvest Plots_rpt'!$D13,Tree!$F:$F,"L"))</f>
        <v/>
      </c>
      <c r="P13" s="122" t="str">
        <f>IF(B13="","",SUMIFS(Tree!$AO:$AO,Tree!$A:$A,'Pre-Harvest Plots_rpt'!$B13,Tree!$B:$B,'Pre-Harvest Plots_rpt'!$D13,Tree!$F:$F,"L"))</f>
        <v/>
      </c>
      <c r="Q13" s="122" t="str">
        <f>IF(B13="","",SUMIFS(Tree!$AP:$AP,Tree!$A:$A,'Pre-Harvest Plots_rpt'!$B13,Tree!$B:$B,'Pre-Harvest Plots_rpt'!$D13,Tree!$F:$F,"L"))</f>
        <v/>
      </c>
      <c r="R13" s="123" t="str">
        <f>IF(B13="","",SUMIFS(Tree!$AQ:$AQ,Tree!$A:$A,'Pre-Harvest Plots_rpt'!$B13,Tree!$B:$B,'Pre-Harvest Plots_rpt'!$D13,Tree!$F:$F,"L"))</f>
        <v/>
      </c>
      <c r="S13" s="122" t="str">
        <f>IF(B13="","",SUMIFS(Tree!$AJ:$AJ,Tree!$A:$A,'Pre-Harvest Plots_rpt'!$B13,Tree!$B:$B,'Pre-Harvest Plots_rpt'!$D13,Tree!$F:$F,"L")-O13)</f>
        <v/>
      </c>
      <c r="T13" s="122" t="str">
        <f>IF(B13="","",SUMIFS(Tree!$AK:$AK,Tree!$A:$A,'Pre-Harvest Plots_rpt'!$B13,Tree!$B:$B,'Pre-Harvest Plots_rpt'!$D13,Tree!$F:$F,"L")-P13)</f>
        <v/>
      </c>
      <c r="U13" s="122" t="str">
        <f>IF(B13="","",SUMIFS(Tree!$AL:$AL,Tree!$A:$A,'Pre-Harvest Plots_rpt'!$B13,Tree!$B:$B,'Pre-Harvest Plots_rpt'!$D13,Tree!$F:$F,"L")-Q13)</f>
        <v/>
      </c>
      <c r="V13" s="123" t="str">
        <f>IF(B13="","",ROUND(SUMIFS(Tree!$AE:$AE,Tree!$A:$A,'Pre-Harvest Plots_rpt'!$B13,Tree!$B:$B,'Pre-Harvest Plots_rpt'!$D13,Tree!$F:$F,"L")-R13,1))</f>
        <v/>
      </c>
      <c r="W13" s="124" t="str">
        <f>IF(B13="","",SUMIFS(Tree!$AY:$AY,Tree!$A:$A,'Pre-Harvest Plots_rpt'!$B13,Tree!$B:$B,'Pre-Harvest Plots_rpt'!$D13,Tree!$F:$F,"L")/1000)</f>
        <v/>
      </c>
      <c r="X13" s="158" t="str">
        <f>IF(B13="","",ROUND((SUMIFS(Tree!$AW:$AW,Tree!$A:$A,'Pre-Harvest Plots_rpt'!$B13,Tree!$B:$B,'Pre-Harvest Plots_rpt'!$D13,Tree!$F:$F,"L")/1000)-W13,1))</f>
        <v/>
      </c>
      <c r="Y13" s="135"/>
      <c r="Z13" s="161" t="str">
        <f>IF(IF(B13="","",SUMIFS(Tree!$O:$O,Tree!$A:$A,'Pre-Harvest Plots_rpt'!$B13,Tree!$B:$B,'Pre-Harvest Plots_rpt'!$D13,Tree!$F:$F,"D"))=0,"",IF(B13="","",SUMIFS(Tree!$O:$O,Tree!$A:$A,'Pre-Harvest Plots_rpt'!$B13,Tree!$B:$B,'Pre-Harvest Plots_rpt'!$D13,Tree!$F:$F,"D")))</f>
        <v/>
      </c>
      <c r="AA13" s="125" t="str">
        <f t="shared" si="6"/>
        <v/>
      </c>
      <c r="AB13" s="125" t="str">
        <f>IF(Z13="","",SUMIFS(Tree!$R:$R,Tree!$A:$A,'Pre-Harvest Plots_rpt'!$B13,Tree!$B:$B,'Pre-Harvest Plots_rpt'!$D13,Tree!$F:$F,"D"))</f>
        <v/>
      </c>
      <c r="AC13" s="126" t="str">
        <f>IF(Z13="","",SUMIFS(Tree!$AM:$AM,Tree!$A:$A,'Pre-Harvest Plots_rpt'!$B13,Tree!$B:$B,'Pre-Harvest Plots_rpt'!$D13,Tree!$F:$F,"D"))</f>
        <v/>
      </c>
      <c r="AD13" s="162" t="str">
        <f>IF(Z13="","",SUMIFS(Tree!$AW:$AW,Tree!$A:$A,'Pre-Harvest Plots_rpt'!$B13,Tree!$B:$B,'Pre-Harvest Plots_rpt'!$D13,Tree!$F:$F,"D")/1000)</f>
        <v/>
      </c>
      <c r="AE13" s="47"/>
      <c r="AF13" s="4"/>
      <c r="AG13" s="4"/>
      <c r="AH13" s="4"/>
    </row>
    <row r="14" spans="1:34" ht="12.75" customHeight="1" x14ac:dyDescent="0.25">
      <c r="A14" s="48">
        <v>11</v>
      </c>
      <c r="B14" s="171" t="str">
        <f>IF(A14&lt;=SUM(Stand!$H$3:$H$29),VLOOKUP(A14,Stand!$A$3:$C$29,3,TRUE),"")</f>
        <v/>
      </c>
      <c r="C14" s="172" t="str">
        <f t="shared" ref="C14:C77" si="9">IF(LEN(B14)&gt;0,IF(B14=B13,C13+1,1),"")</f>
        <v/>
      </c>
      <c r="D14" s="173" t="str">
        <f>IF(B14="","",VLOOKUP(B14&amp;C14,Plot!$B$2:$D$199,3,FALSE))</f>
        <v/>
      </c>
      <c r="E14" s="130"/>
      <c r="F14" s="152" t="str">
        <f>IF(B14="","",SUMIFS(Tree!$O:$O,Tree!$A:$A,'Pre-Harvest Plots_rpt'!$B14,Tree!$B:$B,'Pre-Harvest Plots_rpt'!$D14,Tree!$F:$F,"L"))</f>
        <v/>
      </c>
      <c r="G14" s="153" t="str">
        <f>IFERROR(IF(D14="","",SUMIFS(Tree!$P:$P,Tree!$A:$A,'Pre-Harvest Plots_rpt'!$B14,Tree!$B:$B,'Pre-Harvest Plots_rpt'!$D14)/$F14),"")</f>
        <v/>
      </c>
      <c r="H14" s="122" t="str">
        <f t="shared" si="7"/>
        <v/>
      </c>
      <c r="I14" s="121" t="str">
        <f>IF(OR($F14=0,$F14=""),"",SUMIFS(Tree!$R:$R,Tree!$A:$A,'Pre-Harvest Plots_rpt'!$B14,Tree!$B:$B,'Pre-Harvest Plots_rpt'!$D14,Tree!$F:$F,"L"))</f>
        <v/>
      </c>
      <c r="J14" s="121" t="str">
        <f>IF(OR($F14=0,$F14=""),"",IF(SUMIFS(Tree!$W:$W,Tree!$A:$A,'Pre-Harvest Plots_rpt'!$B14,Tree!$B:$B,'Pre-Harvest Plots_rpt'!$D14,Tree!$F:$F,"L")=0,0,AVERAGEIFS(Tree!$W:$W,Tree!$A:$A,'Pre-Harvest Plots_rpt'!$B14,Tree!$B:$B,'Pre-Harvest Plots_rpt'!$D14,Tree!$F:$F,"L")))</f>
        <v/>
      </c>
      <c r="K14" s="121" t="str">
        <f>IF($F14="","",SUMIFS(Tree!$S:$S,Tree!$A:$A,'Pre-Harvest Plots_rpt'!$B14,Tree!$B:$B,'Pre-Harvest Plots_rpt'!$D14,Tree!$F:$F,"L"))</f>
        <v/>
      </c>
      <c r="L14" s="154" t="str">
        <f t="shared" si="8"/>
        <v/>
      </c>
      <c r="M14" s="135"/>
      <c r="N14" s="192" t="str">
        <f>IF(B14="","",SUMIFS(Tree!$AM:$AM,Tree!$A:$A,'Pre-Harvest Plots_rpt'!$B14,Tree!$B:$B,'Pre-Harvest Plots_rpt'!$D14,Tree!$F:$F,"L"))</f>
        <v/>
      </c>
      <c r="O14" s="122" t="str">
        <f>IF(B14="","",SUMIFS(Tree!$AN:$AN,Tree!$A:$A,'Pre-Harvest Plots_rpt'!$B14,Tree!$B:$B,'Pre-Harvest Plots_rpt'!$D14,Tree!$F:$F,"L"))</f>
        <v/>
      </c>
      <c r="P14" s="122" t="str">
        <f>IF(B14="","",SUMIFS(Tree!$AO:$AO,Tree!$A:$A,'Pre-Harvest Plots_rpt'!$B14,Tree!$B:$B,'Pre-Harvest Plots_rpt'!$D14,Tree!$F:$F,"L"))</f>
        <v/>
      </c>
      <c r="Q14" s="122" t="str">
        <f>IF(B14="","",SUMIFS(Tree!$AP:$AP,Tree!$A:$A,'Pre-Harvest Plots_rpt'!$B14,Tree!$B:$B,'Pre-Harvest Plots_rpt'!$D14,Tree!$F:$F,"L"))</f>
        <v/>
      </c>
      <c r="R14" s="123" t="str">
        <f>IF(B14="","",SUMIFS(Tree!$AQ:$AQ,Tree!$A:$A,'Pre-Harvest Plots_rpt'!$B14,Tree!$B:$B,'Pre-Harvest Plots_rpt'!$D14,Tree!$F:$F,"L"))</f>
        <v/>
      </c>
      <c r="S14" s="122" t="str">
        <f>IF(B14="","",SUMIFS(Tree!$AJ:$AJ,Tree!$A:$A,'Pre-Harvest Plots_rpt'!$B14,Tree!$B:$B,'Pre-Harvest Plots_rpt'!$D14,Tree!$F:$F,"L")-O14)</f>
        <v/>
      </c>
      <c r="T14" s="122" t="str">
        <f>IF(B14="","",SUMIFS(Tree!$AK:$AK,Tree!$A:$A,'Pre-Harvest Plots_rpt'!$B14,Tree!$B:$B,'Pre-Harvest Plots_rpt'!$D14,Tree!$F:$F,"L")-P14)</f>
        <v/>
      </c>
      <c r="U14" s="122" t="str">
        <f>IF(B14="","",SUMIFS(Tree!$AL:$AL,Tree!$A:$A,'Pre-Harvest Plots_rpt'!$B14,Tree!$B:$B,'Pre-Harvest Plots_rpt'!$D14,Tree!$F:$F,"L")-Q14)</f>
        <v/>
      </c>
      <c r="V14" s="123" t="str">
        <f>IF(B14="","",ROUND(SUMIFS(Tree!$AE:$AE,Tree!$A:$A,'Pre-Harvest Plots_rpt'!$B14,Tree!$B:$B,'Pre-Harvest Plots_rpt'!$D14,Tree!$F:$F,"L")-R14,1))</f>
        <v/>
      </c>
      <c r="W14" s="124" t="str">
        <f>IF(B14="","",SUMIFS(Tree!$AY:$AY,Tree!$A:$A,'Pre-Harvest Plots_rpt'!$B14,Tree!$B:$B,'Pre-Harvest Plots_rpt'!$D14,Tree!$F:$F,"L")/1000)</f>
        <v/>
      </c>
      <c r="X14" s="158" t="str">
        <f>IF(B14="","",ROUND((SUMIFS(Tree!$AW:$AW,Tree!$A:$A,'Pre-Harvest Plots_rpt'!$B14,Tree!$B:$B,'Pre-Harvest Plots_rpt'!$D14,Tree!$F:$F,"L")/1000)-W14,1))</f>
        <v/>
      </c>
      <c r="Y14" s="135"/>
      <c r="Z14" s="161" t="str">
        <f>IF(IF(B14="","",SUMIFS(Tree!$O:$O,Tree!$A:$A,'Pre-Harvest Plots_rpt'!$B14,Tree!$B:$B,'Pre-Harvest Plots_rpt'!$D14,Tree!$F:$F,"D"))=0,"",IF(B14="","",SUMIFS(Tree!$O:$O,Tree!$A:$A,'Pre-Harvest Plots_rpt'!$B14,Tree!$B:$B,'Pre-Harvest Plots_rpt'!$D14,Tree!$F:$F,"D")))</f>
        <v/>
      </c>
      <c r="AA14" s="125" t="str">
        <f t="shared" si="6"/>
        <v/>
      </c>
      <c r="AB14" s="125" t="str">
        <f>IF(Z14="","",SUMIFS(Tree!$R:$R,Tree!$A:$A,'Pre-Harvest Plots_rpt'!$B14,Tree!$B:$B,'Pre-Harvest Plots_rpt'!$D14,Tree!$F:$F,"D"))</f>
        <v/>
      </c>
      <c r="AC14" s="126" t="str">
        <f>IF(Z14="","",SUMIFS(Tree!$AM:$AM,Tree!$A:$A,'Pre-Harvest Plots_rpt'!$B14,Tree!$B:$B,'Pre-Harvest Plots_rpt'!$D14,Tree!$F:$F,"D"))</f>
        <v/>
      </c>
      <c r="AD14" s="162" t="str">
        <f>IF(Z14="","",SUMIFS(Tree!$AW:$AW,Tree!$A:$A,'Pre-Harvest Plots_rpt'!$B14,Tree!$B:$B,'Pre-Harvest Plots_rpt'!$D14,Tree!$F:$F,"D")/1000)</f>
        <v/>
      </c>
      <c r="AE14" s="47"/>
      <c r="AF14" s="4"/>
      <c r="AG14" s="4"/>
      <c r="AH14" s="4"/>
    </row>
    <row r="15" spans="1:34" ht="12.75" customHeight="1" x14ac:dyDescent="0.25">
      <c r="A15" s="48">
        <v>12</v>
      </c>
      <c r="B15" s="171" t="str">
        <f>IF(A15&lt;=SUM(Stand!$H$3:$H$29),VLOOKUP(A15,Stand!$A$3:$C$29,3,TRUE),"")</f>
        <v/>
      </c>
      <c r="C15" s="172" t="str">
        <f t="shared" si="9"/>
        <v/>
      </c>
      <c r="D15" s="173" t="str">
        <f>IF(B15="","",VLOOKUP(B15&amp;C15,Plot!$B$2:$D$199,3,FALSE))</f>
        <v/>
      </c>
      <c r="E15" s="130"/>
      <c r="F15" s="152" t="str">
        <f>IF(B15="","",SUMIFS(Tree!$O:$O,Tree!$A:$A,'Pre-Harvest Plots_rpt'!$B15,Tree!$B:$B,'Pre-Harvest Plots_rpt'!$D15,Tree!$F:$F,"L"))</f>
        <v/>
      </c>
      <c r="G15" s="153" t="str">
        <f>IFERROR(IF(D15="","",SUMIFS(Tree!$P:$P,Tree!$A:$A,'Pre-Harvest Plots_rpt'!$B15,Tree!$B:$B,'Pre-Harvest Plots_rpt'!$D15)/$F15),"")</f>
        <v/>
      </c>
      <c r="H15" s="122" t="str">
        <f t="shared" si="7"/>
        <v/>
      </c>
      <c r="I15" s="121" t="str">
        <f>IF(OR($F15=0,$F15=""),"",SUMIFS(Tree!$R:$R,Tree!$A:$A,'Pre-Harvest Plots_rpt'!$B15,Tree!$B:$B,'Pre-Harvest Plots_rpt'!$D15,Tree!$F:$F,"L"))</f>
        <v/>
      </c>
      <c r="J15" s="121" t="str">
        <f>IF(OR($F15=0,$F15=""),"",IF(SUMIFS(Tree!$W:$W,Tree!$A:$A,'Pre-Harvest Plots_rpt'!$B15,Tree!$B:$B,'Pre-Harvest Plots_rpt'!$D15,Tree!$F:$F,"L")=0,0,AVERAGEIFS(Tree!$W:$W,Tree!$A:$A,'Pre-Harvest Plots_rpt'!$B15,Tree!$B:$B,'Pre-Harvest Plots_rpt'!$D15,Tree!$F:$F,"L")))</f>
        <v/>
      </c>
      <c r="K15" s="121" t="str">
        <f>IF($F15="","",SUMIFS(Tree!$S:$S,Tree!$A:$A,'Pre-Harvest Plots_rpt'!$B15,Tree!$B:$B,'Pre-Harvest Plots_rpt'!$D15,Tree!$F:$F,"L"))</f>
        <v/>
      </c>
      <c r="L15" s="154" t="str">
        <f t="shared" si="8"/>
        <v/>
      </c>
      <c r="M15" s="135"/>
      <c r="N15" s="192" t="str">
        <f>IF(B15="","",SUMIFS(Tree!$AM:$AM,Tree!$A:$A,'Pre-Harvest Plots_rpt'!$B15,Tree!$B:$B,'Pre-Harvest Plots_rpt'!$D15,Tree!$F:$F,"L"))</f>
        <v/>
      </c>
      <c r="O15" s="122" t="str">
        <f>IF(B15="","",SUMIFS(Tree!$AN:$AN,Tree!$A:$A,'Pre-Harvest Plots_rpt'!$B15,Tree!$B:$B,'Pre-Harvest Plots_rpt'!$D15,Tree!$F:$F,"L"))</f>
        <v/>
      </c>
      <c r="P15" s="122" t="str">
        <f>IF(B15="","",SUMIFS(Tree!$AO:$AO,Tree!$A:$A,'Pre-Harvest Plots_rpt'!$B15,Tree!$B:$B,'Pre-Harvest Plots_rpt'!$D15,Tree!$F:$F,"L"))</f>
        <v/>
      </c>
      <c r="Q15" s="122" t="str">
        <f>IF(B15="","",SUMIFS(Tree!$AP:$AP,Tree!$A:$A,'Pre-Harvest Plots_rpt'!$B15,Tree!$B:$B,'Pre-Harvest Plots_rpt'!$D15,Tree!$F:$F,"L"))</f>
        <v/>
      </c>
      <c r="R15" s="123" t="str">
        <f>IF(B15="","",SUMIFS(Tree!$AQ:$AQ,Tree!$A:$A,'Pre-Harvest Plots_rpt'!$B15,Tree!$B:$B,'Pre-Harvest Plots_rpt'!$D15,Tree!$F:$F,"L"))</f>
        <v/>
      </c>
      <c r="S15" s="122" t="str">
        <f>IF(B15="","",SUMIFS(Tree!$AJ:$AJ,Tree!$A:$A,'Pre-Harvest Plots_rpt'!$B15,Tree!$B:$B,'Pre-Harvest Plots_rpt'!$D15,Tree!$F:$F,"L")-O15)</f>
        <v/>
      </c>
      <c r="T15" s="122" t="str">
        <f>IF(B15="","",SUMIFS(Tree!$AK:$AK,Tree!$A:$A,'Pre-Harvest Plots_rpt'!$B15,Tree!$B:$B,'Pre-Harvest Plots_rpt'!$D15,Tree!$F:$F,"L")-P15)</f>
        <v/>
      </c>
      <c r="U15" s="122" t="str">
        <f>IF(B15="","",SUMIFS(Tree!$AL:$AL,Tree!$A:$A,'Pre-Harvest Plots_rpt'!$B15,Tree!$B:$B,'Pre-Harvest Plots_rpt'!$D15,Tree!$F:$F,"L")-Q15)</f>
        <v/>
      </c>
      <c r="V15" s="123" t="str">
        <f>IF(B15="","",ROUND(SUMIFS(Tree!$AE:$AE,Tree!$A:$A,'Pre-Harvest Plots_rpt'!$B15,Tree!$B:$B,'Pre-Harvest Plots_rpt'!$D15,Tree!$F:$F,"L")-R15,1))</f>
        <v/>
      </c>
      <c r="W15" s="124" t="str">
        <f>IF(B15="","",SUMIFS(Tree!$AY:$AY,Tree!$A:$A,'Pre-Harvest Plots_rpt'!$B15,Tree!$B:$B,'Pre-Harvest Plots_rpt'!$D15,Tree!$F:$F,"L")/1000)</f>
        <v/>
      </c>
      <c r="X15" s="158" t="str">
        <f>IF(B15="","",ROUND((SUMIFS(Tree!$AW:$AW,Tree!$A:$A,'Pre-Harvest Plots_rpt'!$B15,Tree!$B:$B,'Pre-Harvest Plots_rpt'!$D15,Tree!$F:$F,"L")/1000)-W15,1))</f>
        <v/>
      </c>
      <c r="Y15" s="135"/>
      <c r="Z15" s="161" t="str">
        <f>IF(IF(B15="","",SUMIFS(Tree!$O:$O,Tree!$A:$A,'Pre-Harvest Plots_rpt'!$B15,Tree!$B:$B,'Pre-Harvest Plots_rpt'!$D15,Tree!$F:$F,"D"))=0,"",IF(B15="","",SUMIFS(Tree!$O:$O,Tree!$A:$A,'Pre-Harvest Plots_rpt'!$B15,Tree!$B:$B,'Pre-Harvest Plots_rpt'!$D15,Tree!$F:$F,"D")))</f>
        <v/>
      </c>
      <c r="AA15" s="125" t="str">
        <f t="shared" si="6"/>
        <v/>
      </c>
      <c r="AB15" s="125" t="str">
        <f>IF(Z15="","",SUMIFS(Tree!$R:$R,Tree!$A:$A,'Pre-Harvest Plots_rpt'!$B15,Tree!$B:$B,'Pre-Harvest Plots_rpt'!$D15,Tree!$F:$F,"D"))</f>
        <v/>
      </c>
      <c r="AC15" s="126" t="str">
        <f>IF(Z15="","",SUMIFS(Tree!$AM:$AM,Tree!$A:$A,'Pre-Harvest Plots_rpt'!$B15,Tree!$B:$B,'Pre-Harvest Plots_rpt'!$D15,Tree!$F:$F,"D"))</f>
        <v/>
      </c>
      <c r="AD15" s="162" t="str">
        <f>IF(Z15="","",SUMIFS(Tree!$AW:$AW,Tree!$A:$A,'Pre-Harvest Plots_rpt'!$B15,Tree!$B:$B,'Pre-Harvest Plots_rpt'!$D15,Tree!$F:$F,"D")/1000)</f>
        <v/>
      </c>
      <c r="AE15" s="47"/>
      <c r="AF15" s="4"/>
      <c r="AG15" s="4"/>
      <c r="AH15" s="4"/>
    </row>
    <row r="16" spans="1:34" ht="12.75" customHeight="1" x14ac:dyDescent="0.25">
      <c r="A16" s="48">
        <v>13</v>
      </c>
      <c r="B16" s="171" t="str">
        <f>IF(A16&lt;=SUM(Stand!$H$3:$H$29),VLOOKUP(A16,Stand!$A$3:$C$29,3,TRUE),"")</f>
        <v/>
      </c>
      <c r="C16" s="172" t="str">
        <f t="shared" si="9"/>
        <v/>
      </c>
      <c r="D16" s="173" t="str">
        <f>IF(B16="","",VLOOKUP(B16&amp;C16,Plot!$B$2:$D$199,3,FALSE))</f>
        <v/>
      </c>
      <c r="E16" s="130"/>
      <c r="F16" s="152" t="str">
        <f>IF(B16="","",SUMIFS(Tree!$O:$O,Tree!$A:$A,'Pre-Harvest Plots_rpt'!$B16,Tree!$B:$B,'Pre-Harvest Plots_rpt'!$D16,Tree!$F:$F,"L"))</f>
        <v/>
      </c>
      <c r="G16" s="153" t="str">
        <f>IFERROR(IF(D16="","",SUMIFS(Tree!$P:$P,Tree!$A:$A,'Pre-Harvest Plots_rpt'!$B16,Tree!$B:$B,'Pre-Harvest Plots_rpt'!$D16)/$F16),"")</f>
        <v/>
      </c>
      <c r="H16" s="122" t="str">
        <f t="shared" si="7"/>
        <v/>
      </c>
      <c r="I16" s="121" t="str">
        <f>IF(OR($F16=0,$F16=""),"",SUMIFS(Tree!$R:$R,Tree!$A:$A,'Pre-Harvest Plots_rpt'!$B16,Tree!$B:$B,'Pre-Harvest Plots_rpt'!$D16,Tree!$F:$F,"L"))</f>
        <v/>
      </c>
      <c r="J16" s="121" t="str">
        <f>IF(OR($F16=0,$F16=""),"",IF(SUMIFS(Tree!$W:$W,Tree!$A:$A,'Pre-Harvest Plots_rpt'!$B16,Tree!$B:$B,'Pre-Harvest Plots_rpt'!$D16,Tree!$F:$F,"L")=0,0,AVERAGEIFS(Tree!$W:$W,Tree!$A:$A,'Pre-Harvest Plots_rpt'!$B16,Tree!$B:$B,'Pre-Harvest Plots_rpt'!$D16,Tree!$F:$F,"L")))</f>
        <v/>
      </c>
      <c r="K16" s="121" t="str">
        <f>IF($F16="","",SUMIFS(Tree!$S:$S,Tree!$A:$A,'Pre-Harvest Plots_rpt'!$B16,Tree!$B:$B,'Pre-Harvest Plots_rpt'!$D16,Tree!$F:$F,"L"))</f>
        <v/>
      </c>
      <c r="L16" s="154" t="str">
        <f t="shared" si="8"/>
        <v/>
      </c>
      <c r="M16" s="135"/>
      <c r="N16" s="192" t="str">
        <f>IF(B16="","",SUMIFS(Tree!$AM:$AM,Tree!$A:$A,'Pre-Harvest Plots_rpt'!$B16,Tree!$B:$B,'Pre-Harvest Plots_rpt'!$D16,Tree!$F:$F,"L"))</f>
        <v/>
      </c>
      <c r="O16" s="122" t="str">
        <f>IF(B16="","",SUMIFS(Tree!$AN:$AN,Tree!$A:$A,'Pre-Harvest Plots_rpt'!$B16,Tree!$B:$B,'Pre-Harvest Plots_rpt'!$D16,Tree!$F:$F,"L"))</f>
        <v/>
      </c>
      <c r="P16" s="122" t="str">
        <f>IF(B16="","",SUMIFS(Tree!$AO:$AO,Tree!$A:$A,'Pre-Harvest Plots_rpt'!$B16,Tree!$B:$B,'Pre-Harvest Plots_rpt'!$D16,Tree!$F:$F,"L"))</f>
        <v/>
      </c>
      <c r="Q16" s="122" t="str">
        <f>IF(B16="","",SUMIFS(Tree!$AP:$AP,Tree!$A:$A,'Pre-Harvest Plots_rpt'!$B16,Tree!$B:$B,'Pre-Harvest Plots_rpt'!$D16,Tree!$F:$F,"L"))</f>
        <v/>
      </c>
      <c r="R16" s="123" t="str">
        <f>IF(B16="","",SUMIFS(Tree!$AQ:$AQ,Tree!$A:$A,'Pre-Harvest Plots_rpt'!$B16,Tree!$B:$B,'Pre-Harvest Plots_rpt'!$D16,Tree!$F:$F,"L"))</f>
        <v/>
      </c>
      <c r="S16" s="122" t="str">
        <f>IF(B16="","",SUMIFS(Tree!$AJ:$AJ,Tree!$A:$A,'Pre-Harvest Plots_rpt'!$B16,Tree!$B:$B,'Pre-Harvest Plots_rpt'!$D16,Tree!$F:$F,"L")-O16)</f>
        <v/>
      </c>
      <c r="T16" s="122" t="str">
        <f>IF(B16="","",SUMIFS(Tree!$AK:$AK,Tree!$A:$A,'Pre-Harvest Plots_rpt'!$B16,Tree!$B:$B,'Pre-Harvest Plots_rpt'!$D16,Tree!$F:$F,"L")-P16)</f>
        <v/>
      </c>
      <c r="U16" s="122" t="str">
        <f>IF(B16="","",SUMIFS(Tree!$AL:$AL,Tree!$A:$A,'Pre-Harvest Plots_rpt'!$B16,Tree!$B:$B,'Pre-Harvest Plots_rpt'!$D16,Tree!$F:$F,"L")-Q16)</f>
        <v/>
      </c>
      <c r="V16" s="123" t="str">
        <f>IF(B16="","",ROUND(SUMIFS(Tree!$AE:$AE,Tree!$A:$A,'Pre-Harvest Plots_rpt'!$B16,Tree!$B:$B,'Pre-Harvest Plots_rpt'!$D16,Tree!$F:$F,"L")-R16,1))</f>
        <v/>
      </c>
      <c r="W16" s="124" t="str">
        <f>IF(B16="","",SUMIFS(Tree!$AY:$AY,Tree!$A:$A,'Pre-Harvest Plots_rpt'!$B16,Tree!$B:$B,'Pre-Harvest Plots_rpt'!$D16,Tree!$F:$F,"L")/1000)</f>
        <v/>
      </c>
      <c r="X16" s="158" t="str">
        <f>IF(B16="","",ROUND((SUMIFS(Tree!$AW:$AW,Tree!$A:$A,'Pre-Harvest Plots_rpt'!$B16,Tree!$B:$B,'Pre-Harvest Plots_rpt'!$D16,Tree!$F:$F,"L")/1000)-W16,1))</f>
        <v/>
      </c>
      <c r="Y16" s="135"/>
      <c r="Z16" s="161" t="str">
        <f>IF(IF(B16="","",SUMIFS(Tree!$O:$O,Tree!$A:$A,'Pre-Harvest Plots_rpt'!$B16,Tree!$B:$B,'Pre-Harvest Plots_rpt'!$D16,Tree!$F:$F,"D"))=0,"",IF(B16="","",SUMIFS(Tree!$O:$O,Tree!$A:$A,'Pre-Harvest Plots_rpt'!$B16,Tree!$B:$B,'Pre-Harvest Plots_rpt'!$D16,Tree!$F:$F,"D")))</f>
        <v/>
      </c>
      <c r="AA16" s="125" t="str">
        <f t="shared" si="6"/>
        <v/>
      </c>
      <c r="AB16" s="125" t="str">
        <f>IF(Z16="","",SUMIFS(Tree!$R:$R,Tree!$A:$A,'Pre-Harvest Plots_rpt'!$B16,Tree!$B:$B,'Pre-Harvest Plots_rpt'!$D16,Tree!$F:$F,"D"))</f>
        <v/>
      </c>
      <c r="AC16" s="126" t="str">
        <f>IF(Z16="","",SUMIFS(Tree!$AM:$AM,Tree!$A:$A,'Pre-Harvest Plots_rpt'!$B16,Tree!$B:$B,'Pre-Harvest Plots_rpt'!$D16,Tree!$F:$F,"D"))</f>
        <v/>
      </c>
      <c r="AD16" s="162" t="str">
        <f>IF(Z16="","",SUMIFS(Tree!$AW:$AW,Tree!$A:$A,'Pre-Harvest Plots_rpt'!$B16,Tree!$B:$B,'Pre-Harvest Plots_rpt'!$D16,Tree!$F:$F,"D")/1000)</f>
        <v/>
      </c>
      <c r="AE16" s="47"/>
      <c r="AF16" s="4"/>
      <c r="AG16" s="4"/>
      <c r="AH16" s="4"/>
    </row>
    <row r="17" spans="1:34" ht="12.75" customHeight="1" x14ac:dyDescent="0.25">
      <c r="A17" s="48">
        <v>14</v>
      </c>
      <c r="B17" s="171" t="str">
        <f>IF(A17&lt;=SUM(Stand!$H$3:$H$29),VLOOKUP(A17,Stand!$A$3:$C$29,3,TRUE),"")</f>
        <v/>
      </c>
      <c r="C17" s="172" t="str">
        <f t="shared" si="9"/>
        <v/>
      </c>
      <c r="D17" s="173" t="str">
        <f>IF(B17="","",VLOOKUP(B17&amp;C17,Plot!$B$2:$D$199,3,FALSE))</f>
        <v/>
      </c>
      <c r="E17" s="130"/>
      <c r="F17" s="152" t="str">
        <f>IF(B17="","",SUMIFS(Tree!$O:$O,Tree!$A:$A,'Pre-Harvest Plots_rpt'!$B17,Tree!$B:$B,'Pre-Harvest Plots_rpt'!$D17,Tree!$F:$F,"L"))</f>
        <v/>
      </c>
      <c r="G17" s="153" t="str">
        <f>IFERROR(IF(D17="","",SUMIFS(Tree!$P:$P,Tree!$A:$A,'Pre-Harvest Plots_rpt'!$B17,Tree!$B:$B,'Pre-Harvest Plots_rpt'!$D17)/$F17),"")</f>
        <v/>
      </c>
      <c r="H17" s="122" t="str">
        <f t="shared" si="7"/>
        <v/>
      </c>
      <c r="I17" s="121" t="str">
        <f>IF(OR($F17=0,$F17=""),"",SUMIFS(Tree!$R:$R,Tree!$A:$A,'Pre-Harvest Plots_rpt'!$B17,Tree!$B:$B,'Pre-Harvest Plots_rpt'!$D17,Tree!$F:$F,"L"))</f>
        <v/>
      </c>
      <c r="J17" s="121" t="str">
        <f>IF(OR($F17=0,$F17=""),"",IF(SUMIFS(Tree!$W:$W,Tree!$A:$A,'Pre-Harvest Plots_rpt'!$B17,Tree!$B:$B,'Pre-Harvest Plots_rpt'!$D17,Tree!$F:$F,"L")=0,0,AVERAGEIFS(Tree!$W:$W,Tree!$A:$A,'Pre-Harvest Plots_rpt'!$B17,Tree!$B:$B,'Pre-Harvest Plots_rpt'!$D17,Tree!$F:$F,"L")))</f>
        <v/>
      </c>
      <c r="K17" s="121" t="str">
        <f>IF($F17="","",SUMIFS(Tree!$S:$S,Tree!$A:$A,'Pre-Harvest Plots_rpt'!$B17,Tree!$B:$B,'Pre-Harvest Plots_rpt'!$D17,Tree!$F:$F,"L"))</f>
        <v/>
      </c>
      <c r="L17" s="154" t="str">
        <f t="shared" si="8"/>
        <v/>
      </c>
      <c r="M17" s="135"/>
      <c r="N17" s="192" t="str">
        <f>IF(B17="","",SUMIFS(Tree!$AM:$AM,Tree!$A:$A,'Pre-Harvest Plots_rpt'!$B17,Tree!$B:$B,'Pre-Harvest Plots_rpt'!$D17,Tree!$F:$F,"L"))</f>
        <v/>
      </c>
      <c r="O17" s="122" t="str">
        <f>IF(B17="","",SUMIFS(Tree!$AN:$AN,Tree!$A:$A,'Pre-Harvest Plots_rpt'!$B17,Tree!$B:$B,'Pre-Harvest Plots_rpt'!$D17,Tree!$F:$F,"L"))</f>
        <v/>
      </c>
      <c r="P17" s="122" t="str">
        <f>IF(B17="","",SUMIFS(Tree!$AO:$AO,Tree!$A:$A,'Pre-Harvest Plots_rpt'!$B17,Tree!$B:$B,'Pre-Harvest Plots_rpt'!$D17,Tree!$F:$F,"L"))</f>
        <v/>
      </c>
      <c r="Q17" s="122" t="str">
        <f>IF(B17="","",SUMIFS(Tree!$AP:$AP,Tree!$A:$A,'Pre-Harvest Plots_rpt'!$B17,Tree!$B:$B,'Pre-Harvest Plots_rpt'!$D17,Tree!$F:$F,"L"))</f>
        <v/>
      </c>
      <c r="R17" s="123" t="str">
        <f>IF(B17="","",SUMIFS(Tree!$AQ:$AQ,Tree!$A:$A,'Pre-Harvest Plots_rpt'!$B17,Tree!$B:$B,'Pre-Harvest Plots_rpt'!$D17,Tree!$F:$F,"L"))</f>
        <v/>
      </c>
      <c r="S17" s="122" t="str">
        <f>IF(B17="","",SUMIFS(Tree!$AJ:$AJ,Tree!$A:$A,'Pre-Harvest Plots_rpt'!$B17,Tree!$B:$B,'Pre-Harvest Plots_rpt'!$D17,Tree!$F:$F,"L")-O17)</f>
        <v/>
      </c>
      <c r="T17" s="122" t="str">
        <f>IF(B17="","",SUMIFS(Tree!$AK:$AK,Tree!$A:$A,'Pre-Harvest Plots_rpt'!$B17,Tree!$B:$B,'Pre-Harvest Plots_rpt'!$D17,Tree!$F:$F,"L")-P17)</f>
        <v/>
      </c>
      <c r="U17" s="122" t="str">
        <f>IF(B17="","",SUMIFS(Tree!$AL:$AL,Tree!$A:$A,'Pre-Harvest Plots_rpt'!$B17,Tree!$B:$B,'Pre-Harvest Plots_rpt'!$D17,Tree!$F:$F,"L")-Q17)</f>
        <v/>
      </c>
      <c r="V17" s="123" t="str">
        <f>IF(B17="","",ROUND(SUMIFS(Tree!$AE:$AE,Tree!$A:$A,'Pre-Harvest Plots_rpt'!$B17,Tree!$B:$B,'Pre-Harvest Plots_rpt'!$D17,Tree!$F:$F,"L")-R17,1))</f>
        <v/>
      </c>
      <c r="W17" s="124" t="str">
        <f>IF(B17="","",SUMIFS(Tree!$AY:$AY,Tree!$A:$A,'Pre-Harvest Plots_rpt'!$B17,Tree!$B:$B,'Pre-Harvest Plots_rpt'!$D17,Tree!$F:$F,"L")/1000)</f>
        <v/>
      </c>
      <c r="X17" s="158" t="str">
        <f>IF(B17="","",ROUND((SUMIFS(Tree!$AW:$AW,Tree!$A:$A,'Pre-Harvest Plots_rpt'!$B17,Tree!$B:$B,'Pre-Harvest Plots_rpt'!$D17,Tree!$F:$F,"L")/1000)-W17,1))</f>
        <v/>
      </c>
      <c r="Y17" s="135"/>
      <c r="Z17" s="161" t="str">
        <f>IF(IF(B17="","",SUMIFS(Tree!$O:$O,Tree!$A:$A,'Pre-Harvest Plots_rpt'!$B17,Tree!$B:$B,'Pre-Harvest Plots_rpt'!$D17,Tree!$F:$F,"D"))=0,"",IF(B17="","",SUMIFS(Tree!$O:$O,Tree!$A:$A,'Pre-Harvest Plots_rpt'!$B17,Tree!$B:$B,'Pre-Harvest Plots_rpt'!$D17,Tree!$F:$F,"D")))</f>
        <v/>
      </c>
      <c r="AA17" s="125" t="str">
        <f t="shared" si="6"/>
        <v/>
      </c>
      <c r="AB17" s="125" t="str">
        <f>IF(Z17="","",SUMIFS(Tree!$R:$R,Tree!$A:$A,'Pre-Harvest Plots_rpt'!$B17,Tree!$B:$B,'Pre-Harvest Plots_rpt'!$D17,Tree!$F:$F,"D"))</f>
        <v/>
      </c>
      <c r="AC17" s="126" t="str">
        <f>IF(Z17="","",SUMIFS(Tree!$AM:$AM,Tree!$A:$A,'Pre-Harvest Plots_rpt'!$B17,Tree!$B:$B,'Pre-Harvest Plots_rpt'!$D17,Tree!$F:$F,"D"))</f>
        <v/>
      </c>
      <c r="AD17" s="162" t="str">
        <f>IF(Z17="","",SUMIFS(Tree!$AW:$AW,Tree!$A:$A,'Pre-Harvest Plots_rpt'!$B17,Tree!$B:$B,'Pre-Harvest Plots_rpt'!$D17,Tree!$F:$F,"D")/1000)</f>
        <v/>
      </c>
      <c r="AE17" s="47"/>
      <c r="AF17" s="4"/>
      <c r="AG17" s="4"/>
      <c r="AH17" s="4"/>
    </row>
    <row r="18" spans="1:34" ht="12.75" customHeight="1" x14ac:dyDescent="0.25">
      <c r="A18" s="48">
        <v>15</v>
      </c>
      <c r="B18" s="171" t="str">
        <f>IF(A18&lt;=SUM(Stand!$H$3:$H$29),VLOOKUP(A18,Stand!$A$3:$C$29,3,TRUE),"")</f>
        <v/>
      </c>
      <c r="C18" s="172" t="str">
        <f t="shared" si="9"/>
        <v/>
      </c>
      <c r="D18" s="173" t="str">
        <f>IF(B18="","",VLOOKUP(B18&amp;C18,Plot!$B$2:$D$199,3,FALSE))</f>
        <v/>
      </c>
      <c r="E18" s="130"/>
      <c r="F18" s="152" t="str">
        <f>IF(B18="","",SUMIFS(Tree!$O:$O,Tree!$A:$A,'Pre-Harvest Plots_rpt'!$B18,Tree!$B:$B,'Pre-Harvest Plots_rpt'!$D18,Tree!$F:$F,"L"))</f>
        <v/>
      </c>
      <c r="G18" s="153" t="str">
        <f>IFERROR(IF(D18="","",SUMIFS(Tree!$P:$P,Tree!$A:$A,'Pre-Harvest Plots_rpt'!$B18,Tree!$B:$B,'Pre-Harvest Plots_rpt'!$D18)/$F18),"")</f>
        <v/>
      </c>
      <c r="H18" s="122" t="str">
        <f t="shared" si="7"/>
        <v/>
      </c>
      <c r="I18" s="121" t="str">
        <f>IF(OR($F18=0,$F18=""),"",SUMIFS(Tree!$R:$R,Tree!$A:$A,'Pre-Harvest Plots_rpt'!$B18,Tree!$B:$B,'Pre-Harvest Plots_rpt'!$D18,Tree!$F:$F,"L"))</f>
        <v/>
      </c>
      <c r="J18" s="121" t="str">
        <f>IF(OR($F18=0,$F18=""),"",IF(SUMIFS(Tree!$W:$W,Tree!$A:$A,'Pre-Harvest Plots_rpt'!$B18,Tree!$B:$B,'Pre-Harvest Plots_rpt'!$D18,Tree!$F:$F,"L")=0,0,AVERAGEIFS(Tree!$W:$W,Tree!$A:$A,'Pre-Harvest Plots_rpt'!$B18,Tree!$B:$B,'Pre-Harvest Plots_rpt'!$D18,Tree!$F:$F,"L")))</f>
        <v/>
      </c>
      <c r="K18" s="121" t="str">
        <f>IF($F18="","",SUMIFS(Tree!$S:$S,Tree!$A:$A,'Pre-Harvest Plots_rpt'!$B18,Tree!$B:$B,'Pre-Harvest Plots_rpt'!$D18,Tree!$F:$F,"L"))</f>
        <v/>
      </c>
      <c r="L18" s="154" t="str">
        <f t="shared" si="8"/>
        <v/>
      </c>
      <c r="M18" s="135"/>
      <c r="N18" s="192" t="str">
        <f>IF(B18="","",SUMIFS(Tree!$AM:$AM,Tree!$A:$A,'Pre-Harvest Plots_rpt'!$B18,Tree!$B:$B,'Pre-Harvest Plots_rpt'!$D18,Tree!$F:$F,"L"))</f>
        <v/>
      </c>
      <c r="O18" s="122" t="str">
        <f>IF(B18="","",SUMIFS(Tree!$AN:$AN,Tree!$A:$A,'Pre-Harvest Plots_rpt'!$B18,Tree!$B:$B,'Pre-Harvest Plots_rpt'!$D18,Tree!$F:$F,"L"))</f>
        <v/>
      </c>
      <c r="P18" s="122" t="str">
        <f>IF(B18="","",SUMIFS(Tree!$AO:$AO,Tree!$A:$A,'Pre-Harvest Plots_rpt'!$B18,Tree!$B:$B,'Pre-Harvest Plots_rpt'!$D18,Tree!$F:$F,"L"))</f>
        <v/>
      </c>
      <c r="Q18" s="122" t="str">
        <f>IF(B18="","",SUMIFS(Tree!$AP:$AP,Tree!$A:$A,'Pre-Harvest Plots_rpt'!$B18,Tree!$B:$B,'Pre-Harvest Plots_rpt'!$D18,Tree!$F:$F,"L"))</f>
        <v/>
      </c>
      <c r="R18" s="123" t="str">
        <f>IF(B18="","",SUMIFS(Tree!$AQ:$AQ,Tree!$A:$A,'Pre-Harvest Plots_rpt'!$B18,Tree!$B:$B,'Pre-Harvest Plots_rpt'!$D18,Tree!$F:$F,"L"))</f>
        <v/>
      </c>
      <c r="S18" s="122" t="str">
        <f>IF(B18="","",SUMIFS(Tree!$AJ:$AJ,Tree!$A:$A,'Pre-Harvest Plots_rpt'!$B18,Tree!$B:$B,'Pre-Harvest Plots_rpt'!$D18,Tree!$F:$F,"L")-O18)</f>
        <v/>
      </c>
      <c r="T18" s="122" t="str">
        <f>IF(B18="","",SUMIFS(Tree!$AK:$AK,Tree!$A:$A,'Pre-Harvest Plots_rpt'!$B18,Tree!$B:$B,'Pre-Harvest Plots_rpt'!$D18,Tree!$F:$F,"L")-P18)</f>
        <v/>
      </c>
      <c r="U18" s="122" t="str">
        <f>IF(B18="","",SUMIFS(Tree!$AL:$AL,Tree!$A:$A,'Pre-Harvest Plots_rpt'!$B18,Tree!$B:$B,'Pre-Harvest Plots_rpt'!$D18,Tree!$F:$F,"L")-Q18)</f>
        <v/>
      </c>
      <c r="V18" s="123" t="str">
        <f>IF(B18="","",ROUND(SUMIFS(Tree!$AE:$AE,Tree!$A:$A,'Pre-Harvest Plots_rpt'!$B18,Tree!$B:$B,'Pre-Harvest Plots_rpt'!$D18,Tree!$F:$F,"L")-R18,1))</f>
        <v/>
      </c>
      <c r="W18" s="124" t="str">
        <f>IF(B18="","",SUMIFS(Tree!$AY:$AY,Tree!$A:$A,'Pre-Harvest Plots_rpt'!$B18,Tree!$B:$B,'Pre-Harvest Plots_rpt'!$D18,Tree!$F:$F,"L")/1000)</f>
        <v/>
      </c>
      <c r="X18" s="158" t="str">
        <f>IF(B18="","",ROUND((SUMIFS(Tree!$AW:$AW,Tree!$A:$A,'Pre-Harvest Plots_rpt'!$B18,Tree!$B:$B,'Pre-Harvest Plots_rpt'!$D18,Tree!$F:$F,"L")/1000)-W18,1))</f>
        <v/>
      </c>
      <c r="Y18" s="135"/>
      <c r="Z18" s="161" t="str">
        <f>IF(IF(B18="","",SUMIFS(Tree!$O:$O,Tree!$A:$A,'Pre-Harvest Plots_rpt'!$B18,Tree!$B:$B,'Pre-Harvest Plots_rpt'!$D18,Tree!$F:$F,"D"))=0,"",IF(B18="","",SUMIFS(Tree!$O:$O,Tree!$A:$A,'Pre-Harvest Plots_rpt'!$B18,Tree!$B:$B,'Pre-Harvest Plots_rpt'!$D18,Tree!$F:$F,"D")))</f>
        <v/>
      </c>
      <c r="AA18" s="125" t="str">
        <f t="shared" si="6"/>
        <v/>
      </c>
      <c r="AB18" s="125" t="str">
        <f>IF(Z18="","",SUMIFS(Tree!$R:$R,Tree!$A:$A,'Pre-Harvest Plots_rpt'!$B18,Tree!$B:$B,'Pre-Harvest Plots_rpt'!$D18,Tree!$F:$F,"D"))</f>
        <v/>
      </c>
      <c r="AC18" s="126" t="str">
        <f>IF(Z18="","",SUMIFS(Tree!$AM:$AM,Tree!$A:$A,'Pre-Harvest Plots_rpt'!$B18,Tree!$B:$B,'Pre-Harvest Plots_rpt'!$D18,Tree!$F:$F,"D"))</f>
        <v/>
      </c>
      <c r="AD18" s="162" t="str">
        <f>IF(Z18="","",SUMIFS(Tree!$AW:$AW,Tree!$A:$A,'Pre-Harvest Plots_rpt'!$B18,Tree!$B:$B,'Pre-Harvest Plots_rpt'!$D18,Tree!$F:$F,"D")/1000)</f>
        <v/>
      </c>
      <c r="AE18" s="47"/>
      <c r="AF18" s="4"/>
      <c r="AG18" s="4"/>
      <c r="AH18" s="4"/>
    </row>
    <row r="19" spans="1:34" ht="12.75" customHeight="1" x14ac:dyDescent="0.25">
      <c r="A19" s="48">
        <v>16</v>
      </c>
      <c r="B19" s="171" t="str">
        <f>IF(A19&lt;=SUM(Stand!$H$3:$H$29),VLOOKUP(A19,Stand!$A$3:$C$29,3,TRUE),"")</f>
        <v/>
      </c>
      <c r="C19" s="172" t="str">
        <f t="shared" si="9"/>
        <v/>
      </c>
      <c r="D19" s="173" t="str">
        <f>IF(B19="","",VLOOKUP(B19&amp;C19,Plot!$B$2:$D$199,3,FALSE))</f>
        <v/>
      </c>
      <c r="E19" s="130"/>
      <c r="F19" s="152" t="str">
        <f>IF(B19="","",SUMIFS(Tree!$O:$O,Tree!$A:$A,'Pre-Harvest Plots_rpt'!$B19,Tree!$B:$B,'Pre-Harvest Plots_rpt'!$D19,Tree!$F:$F,"L"))</f>
        <v/>
      </c>
      <c r="G19" s="153" t="str">
        <f>IFERROR(IF(D19="","",SUMIFS(Tree!$P:$P,Tree!$A:$A,'Pre-Harvest Plots_rpt'!$B19,Tree!$B:$B,'Pre-Harvest Plots_rpt'!$D19)/$F19),"")</f>
        <v/>
      </c>
      <c r="H19" s="122" t="str">
        <f t="shared" si="7"/>
        <v/>
      </c>
      <c r="I19" s="121" t="str">
        <f>IF(OR($F19=0,$F19=""),"",SUMIFS(Tree!$R:$R,Tree!$A:$A,'Pre-Harvest Plots_rpt'!$B19,Tree!$B:$B,'Pre-Harvest Plots_rpt'!$D19,Tree!$F:$F,"L"))</f>
        <v/>
      </c>
      <c r="J19" s="121" t="str">
        <f>IF(OR($F19=0,$F19=""),"",IF(SUMIFS(Tree!$W:$W,Tree!$A:$A,'Pre-Harvest Plots_rpt'!$B19,Tree!$B:$B,'Pre-Harvest Plots_rpt'!$D19,Tree!$F:$F,"L")=0,0,AVERAGEIFS(Tree!$W:$W,Tree!$A:$A,'Pre-Harvest Plots_rpt'!$B19,Tree!$B:$B,'Pre-Harvest Plots_rpt'!$D19,Tree!$F:$F,"L")))</f>
        <v/>
      </c>
      <c r="K19" s="121" t="str">
        <f>IF($F19="","",SUMIFS(Tree!$S:$S,Tree!$A:$A,'Pre-Harvest Plots_rpt'!$B19,Tree!$B:$B,'Pre-Harvest Plots_rpt'!$D19,Tree!$F:$F,"L"))</f>
        <v/>
      </c>
      <c r="L19" s="154" t="str">
        <f t="shared" si="8"/>
        <v/>
      </c>
      <c r="M19" s="135"/>
      <c r="N19" s="192" t="str">
        <f>IF(B19="","",SUMIFS(Tree!$AM:$AM,Tree!$A:$A,'Pre-Harvest Plots_rpt'!$B19,Tree!$B:$B,'Pre-Harvest Plots_rpt'!$D19,Tree!$F:$F,"L"))</f>
        <v/>
      </c>
      <c r="O19" s="122" t="str">
        <f>IF(B19="","",SUMIFS(Tree!$AN:$AN,Tree!$A:$A,'Pre-Harvest Plots_rpt'!$B19,Tree!$B:$B,'Pre-Harvest Plots_rpt'!$D19,Tree!$F:$F,"L"))</f>
        <v/>
      </c>
      <c r="P19" s="122" t="str">
        <f>IF(B19="","",SUMIFS(Tree!$AO:$AO,Tree!$A:$A,'Pre-Harvest Plots_rpt'!$B19,Tree!$B:$B,'Pre-Harvest Plots_rpt'!$D19,Tree!$F:$F,"L"))</f>
        <v/>
      </c>
      <c r="Q19" s="122" t="str">
        <f>IF(B19="","",SUMIFS(Tree!$AP:$AP,Tree!$A:$A,'Pre-Harvest Plots_rpt'!$B19,Tree!$B:$B,'Pre-Harvest Plots_rpt'!$D19,Tree!$F:$F,"L"))</f>
        <v/>
      </c>
      <c r="R19" s="123" t="str">
        <f>IF(B19="","",SUMIFS(Tree!$AQ:$AQ,Tree!$A:$A,'Pre-Harvest Plots_rpt'!$B19,Tree!$B:$B,'Pre-Harvest Plots_rpt'!$D19,Tree!$F:$F,"L"))</f>
        <v/>
      </c>
      <c r="S19" s="122" t="str">
        <f>IF(B19="","",SUMIFS(Tree!$AJ:$AJ,Tree!$A:$A,'Pre-Harvest Plots_rpt'!$B19,Tree!$B:$B,'Pre-Harvest Plots_rpt'!$D19,Tree!$F:$F,"L")-O19)</f>
        <v/>
      </c>
      <c r="T19" s="122" t="str">
        <f>IF(B19="","",SUMIFS(Tree!$AK:$AK,Tree!$A:$A,'Pre-Harvest Plots_rpt'!$B19,Tree!$B:$B,'Pre-Harvest Plots_rpt'!$D19,Tree!$F:$F,"L")-P19)</f>
        <v/>
      </c>
      <c r="U19" s="122" t="str">
        <f>IF(B19="","",SUMIFS(Tree!$AL:$AL,Tree!$A:$A,'Pre-Harvest Plots_rpt'!$B19,Tree!$B:$B,'Pre-Harvest Plots_rpt'!$D19,Tree!$F:$F,"L")-Q19)</f>
        <v/>
      </c>
      <c r="V19" s="123" t="str">
        <f>IF(B19="","",ROUND(SUMIFS(Tree!$AE:$AE,Tree!$A:$A,'Pre-Harvest Plots_rpt'!$B19,Tree!$B:$B,'Pre-Harvest Plots_rpt'!$D19,Tree!$F:$F,"L")-R19,1))</f>
        <v/>
      </c>
      <c r="W19" s="124" t="str">
        <f>IF(B19="","",SUMIFS(Tree!$AY:$AY,Tree!$A:$A,'Pre-Harvest Plots_rpt'!$B19,Tree!$B:$B,'Pre-Harvest Plots_rpt'!$D19,Tree!$F:$F,"L")/1000)</f>
        <v/>
      </c>
      <c r="X19" s="158" t="str">
        <f>IF(B19="","",ROUND((SUMIFS(Tree!$AW:$AW,Tree!$A:$A,'Pre-Harvest Plots_rpt'!$B19,Tree!$B:$B,'Pre-Harvest Plots_rpt'!$D19,Tree!$F:$F,"L")/1000)-W19,1))</f>
        <v/>
      </c>
      <c r="Y19" s="135"/>
      <c r="Z19" s="161" t="str">
        <f>IF(IF(B19="","",SUMIFS(Tree!$O:$O,Tree!$A:$A,'Pre-Harvest Plots_rpt'!$B19,Tree!$B:$B,'Pre-Harvest Plots_rpt'!$D19,Tree!$F:$F,"D"))=0,"",IF(B19="","",SUMIFS(Tree!$O:$O,Tree!$A:$A,'Pre-Harvest Plots_rpt'!$B19,Tree!$B:$B,'Pre-Harvest Plots_rpt'!$D19,Tree!$F:$F,"D")))</f>
        <v/>
      </c>
      <c r="AA19" s="125" t="str">
        <f t="shared" si="6"/>
        <v/>
      </c>
      <c r="AB19" s="125" t="str">
        <f>IF(Z19="","",SUMIFS(Tree!$R:$R,Tree!$A:$A,'Pre-Harvest Plots_rpt'!$B19,Tree!$B:$B,'Pre-Harvest Plots_rpt'!$D19,Tree!$F:$F,"D"))</f>
        <v/>
      </c>
      <c r="AC19" s="126" t="str">
        <f>IF(Z19="","",SUMIFS(Tree!$AM:$AM,Tree!$A:$A,'Pre-Harvest Plots_rpt'!$B19,Tree!$B:$B,'Pre-Harvest Plots_rpt'!$D19,Tree!$F:$F,"D"))</f>
        <v/>
      </c>
      <c r="AD19" s="162" t="str">
        <f>IF(Z19="","",SUMIFS(Tree!$AW:$AW,Tree!$A:$A,'Pre-Harvest Plots_rpt'!$B19,Tree!$B:$B,'Pre-Harvest Plots_rpt'!$D19,Tree!$F:$F,"D")/1000)</f>
        <v/>
      </c>
      <c r="AE19" s="47"/>
      <c r="AF19" s="4"/>
      <c r="AG19" s="4"/>
      <c r="AH19" s="4"/>
    </row>
    <row r="20" spans="1:34" ht="12.75" customHeight="1" x14ac:dyDescent="0.25">
      <c r="A20" s="48">
        <v>17</v>
      </c>
      <c r="B20" s="171" t="str">
        <f>IF(A20&lt;=SUM(Stand!$H$3:$H$29),VLOOKUP(A20,Stand!$A$3:$C$29,3,TRUE),"")</f>
        <v/>
      </c>
      <c r="C20" s="172" t="str">
        <f t="shared" si="9"/>
        <v/>
      </c>
      <c r="D20" s="173" t="str">
        <f>IF(B20="","",VLOOKUP(B20&amp;C20,Plot!$B$2:$D$199,3,FALSE))</f>
        <v/>
      </c>
      <c r="E20" s="130"/>
      <c r="F20" s="152" t="str">
        <f>IF(B20="","",SUMIFS(Tree!$O:$O,Tree!$A:$A,'Pre-Harvest Plots_rpt'!$B20,Tree!$B:$B,'Pre-Harvest Plots_rpt'!$D20,Tree!$F:$F,"L"))</f>
        <v/>
      </c>
      <c r="G20" s="153" t="str">
        <f>IFERROR(IF(D20="","",SUMIFS(Tree!$P:$P,Tree!$A:$A,'Pre-Harvest Plots_rpt'!$B20,Tree!$B:$B,'Pre-Harvest Plots_rpt'!$D20)/$F20),"")</f>
        <v/>
      </c>
      <c r="H20" s="122" t="str">
        <f t="shared" si="7"/>
        <v/>
      </c>
      <c r="I20" s="121" t="str">
        <f>IF(OR($F20=0,$F20=""),"",SUMIFS(Tree!$R:$R,Tree!$A:$A,'Pre-Harvest Plots_rpt'!$B20,Tree!$B:$B,'Pre-Harvest Plots_rpt'!$D20,Tree!$F:$F,"L"))</f>
        <v/>
      </c>
      <c r="J20" s="121" t="str">
        <f>IF(OR($F20=0,$F20=""),"",IF(SUMIFS(Tree!$W:$W,Tree!$A:$A,'Pre-Harvest Plots_rpt'!$B20,Tree!$B:$B,'Pre-Harvest Plots_rpt'!$D20,Tree!$F:$F,"L")=0,0,AVERAGEIFS(Tree!$W:$W,Tree!$A:$A,'Pre-Harvest Plots_rpt'!$B20,Tree!$B:$B,'Pre-Harvest Plots_rpt'!$D20,Tree!$F:$F,"L")))</f>
        <v/>
      </c>
      <c r="K20" s="121" t="str">
        <f>IF($F20="","",SUMIFS(Tree!$S:$S,Tree!$A:$A,'Pre-Harvest Plots_rpt'!$B20,Tree!$B:$B,'Pre-Harvest Plots_rpt'!$D20,Tree!$F:$F,"L"))</f>
        <v/>
      </c>
      <c r="L20" s="154" t="str">
        <f t="shared" si="8"/>
        <v/>
      </c>
      <c r="M20" s="135"/>
      <c r="N20" s="192" t="str">
        <f>IF(B20="","",SUMIFS(Tree!$AM:$AM,Tree!$A:$A,'Pre-Harvest Plots_rpt'!$B20,Tree!$B:$B,'Pre-Harvest Plots_rpt'!$D20,Tree!$F:$F,"L"))</f>
        <v/>
      </c>
      <c r="O20" s="122" t="str">
        <f>IF(B20="","",SUMIFS(Tree!$AN:$AN,Tree!$A:$A,'Pre-Harvest Plots_rpt'!$B20,Tree!$B:$B,'Pre-Harvest Plots_rpt'!$D20,Tree!$F:$F,"L"))</f>
        <v/>
      </c>
      <c r="P20" s="122" t="str">
        <f>IF(B20="","",SUMIFS(Tree!$AO:$AO,Tree!$A:$A,'Pre-Harvest Plots_rpt'!$B20,Tree!$B:$B,'Pre-Harvest Plots_rpt'!$D20,Tree!$F:$F,"L"))</f>
        <v/>
      </c>
      <c r="Q20" s="122" t="str">
        <f>IF(B20="","",SUMIFS(Tree!$AP:$AP,Tree!$A:$A,'Pre-Harvest Plots_rpt'!$B20,Tree!$B:$B,'Pre-Harvest Plots_rpt'!$D20,Tree!$F:$F,"L"))</f>
        <v/>
      </c>
      <c r="R20" s="123" t="str">
        <f>IF(B20="","",SUMIFS(Tree!$AQ:$AQ,Tree!$A:$A,'Pre-Harvest Plots_rpt'!$B20,Tree!$B:$B,'Pre-Harvest Plots_rpt'!$D20,Tree!$F:$F,"L"))</f>
        <v/>
      </c>
      <c r="S20" s="122" t="str">
        <f>IF(B20="","",SUMIFS(Tree!$AJ:$AJ,Tree!$A:$A,'Pre-Harvest Plots_rpt'!$B20,Tree!$B:$B,'Pre-Harvest Plots_rpt'!$D20,Tree!$F:$F,"L")-O20)</f>
        <v/>
      </c>
      <c r="T20" s="122" t="str">
        <f>IF(B20="","",SUMIFS(Tree!$AK:$AK,Tree!$A:$A,'Pre-Harvest Plots_rpt'!$B20,Tree!$B:$B,'Pre-Harvest Plots_rpt'!$D20,Tree!$F:$F,"L")-P20)</f>
        <v/>
      </c>
      <c r="U20" s="122" t="str">
        <f>IF(B20="","",SUMIFS(Tree!$AL:$AL,Tree!$A:$A,'Pre-Harvest Plots_rpt'!$B20,Tree!$B:$B,'Pre-Harvest Plots_rpt'!$D20,Tree!$F:$F,"L")-Q20)</f>
        <v/>
      </c>
      <c r="V20" s="123" t="str">
        <f>IF(B20="","",ROUND(SUMIFS(Tree!$AE:$AE,Tree!$A:$A,'Pre-Harvest Plots_rpt'!$B20,Tree!$B:$B,'Pre-Harvest Plots_rpt'!$D20,Tree!$F:$F,"L")-R20,1))</f>
        <v/>
      </c>
      <c r="W20" s="124" t="str">
        <f>IF(B20="","",SUMIFS(Tree!$AY:$AY,Tree!$A:$A,'Pre-Harvest Plots_rpt'!$B20,Tree!$B:$B,'Pre-Harvest Plots_rpt'!$D20,Tree!$F:$F,"L")/1000)</f>
        <v/>
      </c>
      <c r="X20" s="158" t="str">
        <f>IF(B20="","",ROUND((SUMIFS(Tree!$AW:$AW,Tree!$A:$A,'Pre-Harvest Plots_rpt'!$B20,Tree!$B:$B,'Pre-Harvest Plots_rpt'!$D20,Tree!$F:$F,"L")/1000)-W20,1))</f>
        <v/>
      </c>
      <c r="Y20" s="135"/>
      <c r="Z20" s="161" t="str">
        <f>IF(IF(B20="","",SUMIFS(Tree!$O:$O,Tree!$A:$A,'Pre-Harvest Plots_rpt'!$B20,Tree!$B:$B,'Pre-Harvest Plots_rpt'!$D20,Tree!$F:$F,"D"))=0,"",IF(B20="","",SUMIFS(Tree!$O:$O,Tree!$A:$A,'Pre-Harvest Plots_rpt'!$B20,Tree!$B:$B,'Pre-Harvest Plots_rpt'!$D20,Tree!$F:$F,"D")))</f>
        <v/>
      </c>
      <c r="AA20" s="125" t="str">
        <f t="shared" si="6"/>
        <v/>
      </c>
      <c r="AB20" s="125" t="str">
        <f>IF(Z20="","",SUMIFS(Tree!$R:$R,Tree!$A:$A,'Pre-Harvest Plots_rpt'!$B20,Tree!$B:$B,'Pre-Harvest Plots_rpt'!$D20,Tree!$F:$F,"D"))</f>
        <v/>
      </c>
      <c r="AC20" s="126" t="str">
        <f>IF(Z20="","",SUMIFS(Tree!$AM:$AM,Tree!$A:$A,'Pre-Harvest Plots_rpt'!$B20,Tree!$B:$B,'Pre-Harvest Plots_rpt'!$D20,Tree!$F:$F,"D"))</f>
        <v/>
      </c>
      <c r="AD20" s="162" t="str">
        <f>IF(Z20="","",SUMIFS(Tree!$AW:$AW,Tree!$A:$A,'Pre-Harvest Plots_rpt'!$B20,Tree!$B:$B,'Pre-Harvest Plots_rpt'!$D20,Tree!$F:$F,"D")/1000)</f>
        <v/>
      </c>
      <c r="AE20" s="47"/>
      <c r="AF20" s="4"/>
      <c r="AG20" s="4"/>
      <c r="AH20" s="4"/>
    </row>
    <row r="21" spans="1:34" ht="12.75" customHeight="1" x14ac:dyDescent="0.25">
      <c r="A21" s="48">
        <v>18</v>
      </c>
      <c r="B21" s="171" t="str">
        <f>IF(A21&lt;=SUM(Stand!$H$3:$H$29),VLOOKUP(A21,Stand!$A$3:$C$29,3,TRUE),"")</f>
        <v/>
      </c>
      <c r="C21" s="172" t="str">
        <f t="shared" si="9"/>
        <v/>
      </c>
      <c r="D21" s="173" t="str">
        <f>IF(B21="","",VLOOKUP(B21&amp;C21,Plot!$B$2:$D$199,3,FALSE))</f>
        <v/>
      </c>
      <c r="E21" s="130"/>
      <c r="F21" s="152" t="str">
        <f>IF(B21="","",SUMIFS(Tree!$O:$O,Tree!$A:$A,'Pre-Harvest Plots_rpt'!$B21,Tree!$B:$B,'Pre-Harvest Plots_rpt'!$D21,Tree!$F:$F,"L"))</f>
        <v/>
      </c>
      <c r="G21" s="153" t="str">
        <f>IFERROR(IF(D21="","",SUMIFS(Tree!$P:$P,Tree!$A:$A,'Pre-Harvest Plots_rpt'!$B21,Tree!$B:$B,'Pre-Harvest Plots_rpt'!$D21)/$F21),"")</f>
        <v/>
      </c>
      <c r="H21" s="122" t="str">
        <f t="shared" si="7"/>
        <v/>
      </c>
      <c r="I21" s="121" t="str">
        <f>IF(OR($F21=0,$F21=""),"",SUMIFS(Tree!$R:$R,Tree!$A:$A,'Pre-Harvest Plots_rpt'!$B21,Tree!$B:$B,'Pre-Harvest Plots_rpt'!$D21,Tree!$F:$F,"L"))</f>
        <v/>
      </c>
      <c r="J21" s="121" t="str">
        <f>IF(OR($F21=0,$F21=""),"",IF(SUMIFS(Tree!$W:$W,Tree!$A:$A,'Pre-Harvest Plots_rpt'!$B21,Tree!$B:$B,'Pre-Harvest Plots_rpt'!$D21,Tree!$F:$F,"L")=0,0,AVERAGEIFS(Tree!$W:$W,Tree!$A:$A,'Pre-Harvest Plots_rpt'!$B21,Tree!$B:$B,'Pre-Harvest Plots_rpt'!$D21,Tree!$F:$F,"L")))</f>
        <v/>
      </c>
      <c r="K21" s="121" t="str">
        <f>IF($F21="","",SUMIFS(Tree!$S:$S,Tree!$A:$A,'Pre-Harvest Plots_rpt'!$B21,Tree!$B:$B,'Pre-Harvest Plots_rpt'!$D21,Tree!$F:$F,"L"))</f>
        <v/>
      </c>
      <c r="L21" s="154" t="str">
        <f t="shared" si="8"/>
        <v/>
      </c>
      <c r="M21" s="135"/>
      <c r="N21" s="192" t="str">
        <f>IF(B21="","",SUMIFS(Tree!$AM:$AM,Tree!$A:$A,'Pre-Harvest Plots_rpt'!$B21,Tree!$B:$B,'Pre-Harvest Plots_rpt'!$D21,Tree!$F:$F,"L"))</f>
        <v/>
      </c>
      <c r="O21" s="122" t="str">
        <f>IF(B21="","",SUMIFS(Tree!$AN:$AN,Tree!$A:$A,'Pre-Harvest Plots_rpt'!$B21,Tree!$B:$B,'Pre-Harvest Plots_rpt'!$D21,Tree!$F:$F,"L"))</f>
        <v/>
      </c>
      <c r="P21" s="122" t="str">
        <f>IF(B21="","",SUMIFS(Tree!$AO:$AO,Tree!$A:$A,'Pre-Harvest Plots_rpt'!$B21,Tree!$B:$B,'Pre-Harvest Plots_rpt'!$D21,Tree!$F:$F,"L"))</f>
        <v/>
      </c>
      <c r="Q21" s="122" t="str">
        <f>IF(B21="","",SUMIFS(Tree!$AP:$AP,Tree!$A:$A,'Pre-Harvest Plots_rpt'!$B21,Tree!$B:$B,'Pre-Harvest Plots_rpt'!$D21,Tree!$F:$F,"L"))</f>
        <v/>
      </c>
      <c r="R21" s="123" t="str">
        <f>IF(B21="","",SUMIFS(Tree!$AQ:$AQ,Tree!$A:$A,'Pre-Harvest Plots_rpt'!$B21,Tree!$B:$B,'Pre-Harvest Plots_rpt'!$D21,Tree!$F:$F,"L"))</f>
        <v/>
      </c>
      <c r="S21" s="122" t="str">
        <f>IF(B21="","",SUMIFS(Tree!$AJ:$AJ,Tree!$A:$A,'Pre-Harvest Plots_rpt'!$B21,Tree!$B:$B,'Pre-Harvest Plots_rpt'!$D21,Tree!$F:$F,"L")-O21)</f>
        <v/>
      </c>
      <c r="T21" s="122" t="str">
        <f>IF(B21="","",SUMIFS(Tree!$AK:$AK,Tree!$A:$A,'Pre-Harvest Plots_rpt'!$B21,Tree!$B:$B,'Pre-Harvest Plots_rpt'!$D21,Tree!$F:$F,"L")-P21)</f>
        <v/>
      </c>
      <c r="U21" s="122" t="str">
        <f>IF(B21="","",SUMIFS(Tree!$AL:$AL,Tree!$A:$A,'Pre-Harvest Plots_rpt'!$B21,Tree!$B:$B,'Pre-Harvest Plots_rpt'!$D21,Tree!$F:$F,"L")-Q21)</f>
        <v/>
      </c>
      <c r="V21" s="123" t="str">
        <f>IF(B21="","",ROUND(SUMIFS(Tree!$AE:$AE,Tree!$A:$A,'Pre-Harvest Plots_rpt'!$B21,Tree!$B:$B,'Pre-Harvest Plots_rpt'!$D21,Tree!$F:$F,"L")-R21,1))</f>
        <v/>
      </c>
      <c r="W21" s="124" t="str">
        <f>IF(B21="","",SUMIFS(Tree!$AY:$AY,Tree!$A:$A,'Pre-Harvest Plots_rpt'!$B21,Tree!$B:$B,'Pre-Harvest Plots_rpt'!$D21,Tree!$F:$F,"L")/1000)</f>
        <v/>
      </c>
      <c r="X21" s="158" t="str">
        <f>IF(B21="","",ROUND((SUMIFS(Tree!$AW:$AW,Tree!$A:$A,'Pre-Harvest Plots_rpt'!$B21,Tree!$B:$B,'Pre-Harvest Plots_rpt'!$D21,Tree!$F:$F,"L")/1000)-W21,1))</f>
        <v/>
      </c>
      <c r="Y21" s="135"/>
      <c r="Z21" s="161" t="str">
        <f>IF(IF(B21="","",SUMIFS(Tree!$O:$O,Tree!$A:$A,'Pre-Harvest Plots_rpt'!$B21,Tree!$B:$B,'Pre-Harvest Plots_rpt'!$D21,Tree!$F:$F,"D"))=0,"",IF(B21="","",SUMIFS(Tree!$O:$O,Tree!$A:$A,'Pre-Harvest Plots_rpt'!$B21,Tree!$B:$B,'Pre-Harvest Plots_rpt'!$D21,Tree!$F:$F,"D")))</f>
        <v/>
      </c>
      <c r="AA21" s="125" t="str">
        <f t="shared" si="6"/>
        <v/>
      </c>
      <c r="AB21" s="125" t="str">
        <f>IF(Z21="","",SUMIFS(Tree!$R:$R,Tree!$A:$A,'Pre-Harvest Plots_rpt'!$B21,Tree!$B:$B,'Pre-Harvest Plots_rpt'!$D21,Tree!$F:$F,"D"))</f>
        <v/>
      </c>
      <c r="AC21" s="126" t="str">
        <f>IF(Z21="","",SUMIFS(Tree!$AM:$AM,Tree!$A:$A,'Pre-Harvest Plots_rpt'!$B21,Tree!$B:$B,'Pre-Harvest Plots_rpt'!$D21,Tree!$F:$F,"D"))</f>
        <v/>
      </c>
      <c r="AD21" s="162" t="str">
        <f>IF(Z21="","",SUMIFS(Tree!$AW:$AW,Tree!$A:$A,'Pre-Harvest Plots_rpt'!$B21,Tree!$B:$B,'Pre-Harvest Plots_rpt'!$D21,Tree!$F:$F,"D")/1000)</f>
        <v/>
      </c>
      <c r="AE21" s="47"/>
      <c r="AF21" s="4"/>
      <c r="AG21" s="4"/>
      <c r="AH21" s="4"/>
    </row>
    <row r="22" spans="1:34" ht="12.75" customHeight="1" x14ac:dyDescent="0.25">
      <c r="A22" s="48">
        <v>19</v>
      </c>
      <c r="B22" s="171" t="str">
        <f>IF(A22&lt;=SUM(Stand!$H$3:$H$29),VLOOKUP(A22,Stand!$A$3:$C$29,3,TRUE),"")</f>
        <v/>
      </c>
      <c r="C22" s="172" t="str">
        <f t="shared" si="9"/>
        <v/>
      </c>
      <c r="D22" s="173" t="str">
        <f>IF(B22="","",VLOOKUP(B22&amp;C22,Plot!$B$2:$D$199,3,FALSE))</f>
        <v/>
      </c>
      <c r="E22" s="130"/>
      <c r="F22" s="152" t="str">
        <f>IF(B22="","",SUMIFS(Tree!$O:$O,Tree!$A:$A,'Pre-Harvest Plots_rpt'!$B22,Tree!$B:$B,'Pre-Harvest Plots_rpt'!$D22,Tree!$F:$F,"L"))</f>
        <v/>
      </c>
      <c r="G22" s="153" t="str">
        <f>IFERROR(IF(D22="","",SUMIFS(Tree!$P:$P,Tree!$A:$A,'Pre-Harvest Plots_rpt'!$B22,Tree!$B:$B,'Pre-Harvest Plots_rpt'!$D22)/$F22),"")</f>
        <v/>
      </c>
      <c r="H22" s="122" t="str">
        <f t="shared" si="7"/>
        <v/>
      </c>
      <c r="I22" s="121" t="str">
        <f>IF(OR($F22=0,$F22=""),"",SUMIFS(Tree!$R:$R,Tree!$A:$A,'Pre-Harvest Plots_rpt'!$B22,Tree!$B:$B,'Pre-Harvest Plots_rpt'!$D22,Tree!$F:$F,"L"))</f>
        <v/>
      </c>
      <c r="J22" s="121" t="str">
        <f>IF(OR($F22=0,$F22=""),"",IF(SUMIFS(Tree!$W:$W,Tree!$A:$A,'Pre-Harvest Plots_rpt'!$B22,Tree!$B:$B,'Pre-Harvest Plots_rpt'!$D22,Tree!$F:$F,"L")=0,0,AVERAGEIFS(Tree!$W:$W,Tree!$A:$A,'Pre-Harvest Plots_rpt'!$B22,Tree!$B:$B,'Pre-Harvest Plots_rpt'!$D22,Tree!$F:$F,"L")))</f>
        <v/>
      </c>
      <c r="K22" s="121" t="str">
        <f>IF($F22="","",SUMIFS(Tree!$S:$S,Tree!$A:$A,'Pre-Harvest Plots_rpt'!$B22,Tree!$B:$B,'Pre-Harvest Plots_rpt'!$D22,Tree!$F:$F,"L"))</f>
        <v/>
      </c>
      <c r="L22" s="154" t="str">
        <f t="shared" si="8"/>
        <v/>
      </c>
      <c r="M22" s="135"/>
      <c r="N22" s="192" t="str">
        <f>IF(B22="","",SUMIFS(Tree!$AM:$AM,Tree!$A:$A,'Pre-Harvest Plots_rpt'!$B22,Tree!$B:$B,'Pre-Harvest Plots_rpt'!$D22,Tree!$F:$F,"L"))</f>
        <v/>
      </c>
      <c r="O22" s="122" t="str">
        <f>IF(B22="","",SUMIFS(Tree!$AN:$AN,Tree!$A:$A,'Pre-Harvest Plots_rpt'!$B22,Tree!$B:$B,'Pre-Harvest Plots_rpt'!$D22,Tree!$F:$F,"L"))</f>
        <v/>
      </c>
      <c r="P22" s="122" t="str">
        <f>IF(B22="","",SUMIFS(Tree!$AO:$AO,Tree!$A:$A,'Pre-Harvest Plots_rpt'!$B22,Tree!$B:$B,'Pre-Harvest Plots_rpt'!$D22,Tree!$F:$F,"L"))</f>
        <v/>
      </c>
      <c r="Q22" s="122" t="str">
        <f>IF(B22="","",SUMIFS(Tree!$AP:$AP,Tree!$A:$A,'Pre-Harvest Plots_rpt'!$B22,Tree!$B:$B,'Pre-Harvest Plots_rpt'!$D22,Tree!$F:$F,"L"))</f>
        <v/>
      </c>
      <c r="R22" s="123" t="str">
        <f>IF(B22="","",SUMIFS(Tree!$AQ:$AQ,Tree!$A:$A,'Pre-Harvest Plots_rpt'!$B22,Tree!$B:$B,'Pre-Harvest Plots_rpt'!$D22,Tree!$F:$F,"L"))</f>
        <v/>
      </c>
      <c r="S22" s="122" t="str">
        <f>IF(B22="","",SUMIFS(Tree!$AJ:$AJ,Tree!$A:$A,'Pre-Harvest Plots_rpt'!$B22,Tree!$B:$B,'Pre-Harvest Plots_rpt'!$D22,Tree!$F:$F,"L")-O22)</f>
        <v/>
      </c>
      <c r="T22" s="122" t="str">
        <f>IF(B22="","",SUMIFS(Tree!$AK:$AK,Tree!$A:$A,'Pre-Harvest Plots_rpt'!$B22,Tree!$B:$B,'Pre-Harvest Plots_rpt'!$D22,Tree!$F:$F,"L")-P22)</f>
        <v/>
      </c>
      <c r="U22" s="122" t="str">
        <f>IF(B22="","",SUMIFS(Tree!$AL:$AL,Tree!$A:$A,'Pre-Harvest Plots_rpt'!$B22,Tree!$B:$B,'Pre-Harvest Plots_rpt'!$D22,Tree!$F:$F,"L")-Q22)</f>
        <v/>
      </c>
      <c r="V22" s="123" t="str">
        <f>IF(B22="","",ROUND(SUMIFS(Tree!$AE:$AE,Tree!$A:$A,'Pre-Harvest Plots_rpt'!$B22,Tree!$B:$B,'Pre-Harvest Plots_rpt'!$D22,Tree!$F:$F,"L")-R22,1))</f>
        <v/>
      </c>
      <c r="W22" s="124" t="str">
        <f>IF(B22="","",SUMIFS(Tree!$AY:$AY,Tree!$A:$A,'Pre-Harvest Plots_rpt'!$B22,Tree!$B:$B,'Pre-Harvest Plots_rpt'!$D22,Tree!$F:$F,"L")/1000)</f>
        <v/>
      </c>
      <c r="X22" s="158" t="str">
        <f>IF(B22="","",ROUND((SUMIFS(Tree!$AW:$AW,Tree!$A:$A,'Pre-Harvest Plots_rpt'!$B22,Tree!$B:$B,'Pre-Harvest Plots_rpt'!$D22,Tree!$F:$F,"L")/1000)-W22,1))</f>
        <v/>
      </c>
      <c r="Y22" s="135"/>
      <c r="Z22" s="161" t="str">
        <f>IF(IF(B22="","",SUMIFS(Tree!$O:$O,Tree!$A:$A,'Pre-Harvest Plots_rpt'!$B22,Tree!$B:$B,'Pre-Harvest Plots_rpt'!$D22,Tree!$F:$F,"D"))=0,"",IF(B22="","",SUMIFS(Tree!$O:$O,Tree!$A:$A,'Pre-Harvest Plots_rpt'!$B22,Tree!$B:$B,'Pre-Harvest Plots_rpt'!$D22,Tree!$F:$F,"D")))</f>
        <v/>
      </c>
      <c r="AA22" s="125" t="str">
        <f t="shared" si="6"/>
        <v/>
      </c>
      <c r="AB22" s="125" t="str">
        <f>IF(Z22="","",SUMIFS(Tree!$R:$R,Tree!$A:$A,'Pre-Harvest Plots_rpt'!$B22,Tree!$B:$B,'Pre-Harvest Plots_rpt'!$D22,Tree!$F:$F,"D"))</f>
        <v/>
      </c>
      <c r="AC22" s="126" t="str">
        <f>IF(Z22="","",SUMIFS(Tree!$AM:$AM,Tree!$A:$A,'Pre-Harvest Plots_rpt'!$B22,Tree!$B:$B,'Pre-Harvest Plots_rpt'!$D22,Tree!$F:$F,"D"))</f>
        <v/>
      </c>
      <c r="AD22" s="162" t="str">
        <f>IF(Z22="","",SUMIFS(Tree!$AW:$AW,Tree!$A:$A,'Pre-Harvest Plots_rpt'!$B22,Tree!$B:$B,'Pre-Harvest Plots_rpt'!$D22,Tree!$F:$F,"D")/1000)</f>
        <v/>
      </c>
      <c r="AE22" s="47"/>
      <c r="AF22" s="4"/>
      <c r="AG22" s="4"/>
      <c r="AH22" s="4"/>
    </row>
    <row r="23" spans="1:34" ht="12.75" customHeight="1" x14ac:dyDescent="0.25">
      <c r="A23" s="48">
        <v>20</v>
      </c>
      <c r="B23" s="171" t="str">
        <f>IF(A23&lt;=SUM(Stand!$H$3:$H$29),VLOOKUP(A23,Stand!$A$3:$C$29,3,TRUE),"")</f>
        <v/>
      </c>
      <c r="C23" s="172" t="str">
        <f t="shared" si="9"/>
        <v/>
      </c>
      <c r="D23" s="173" t="str">
        <f>IF(B23="","",VLOOKUP(B23&amp;C23,Plot!$B$2:$D$199,3,FALSE))</f>
        <v/>
      </c>
      <c r="E23" s="130"/>
      <c r="F23" s="152" t="str">
        <f>IF(B23="","",SUMIFS(Tree!$O:$O,Tree!$A:$A,'Pre-Harvest Plots_rpt'!$B23,Tree!$B:$B,'Pre-Harvest Plots_rpt'!$D23,Tree!$F:$F,"L"))</f>
        <v/>
      </c>
      <c r="G23" s="153" t="str">
        <f>IFERROR(IF(D23="","",SUMIFS(Tree!$P:$P,Tree!$A:$A,'Pre-Harvest Plots_rpt'!$B23,Tree!$B:$B,'Pre-Harvest Plots_rpt'!$D23)/$F23),"")</f>
        <v/>
      </c>
      <c r="H23" s="122" t="str">
        <f t="shared" si="7"/>
        <v/>
      </c>
      <c r="I23" s="121" t="str">
        <f>IF(OR($F23=0,$F23=""),"",SUMIFS(Tree!$R:$R,Tree!$A:$A,'Pre-Harvest Plots_rpt'!$B23,Tree!$B:$B,'Pre-Harvest Plots_rpt'!$D23,Tree!$F:$F,"L"))</f>
        <v/>
      </c>
      <c r="J23" s="121" t="str">
        <f>IF(OR($F23=0,$F23=""),"",IF(SUMIFS(Tree!$W:$W,Tree!$A:$A,'Pre-Harvest Plots_rpt'!$B23,Tree!$B:$B,'Pre-Harvest Plots_rpt'!$D23,Tree!$F:$F,"L")=0,0,AVERAGEIFS(Tree!$W:$W,Tree!$A:$A,'Pre-Harvest Plots_rpt'!$B23,Tree!$B:$B,'Pre-Harvest Plots_rpt'!$D23,Tree!$F:$F,"L")))</f>
        <v/>
      </c>
      <c r="K23" s="121" t="str">
        <f>IF($F23="","",SUMIFS(Tree!$S:$S,Tree!$A:$A,'Pre-Harvest Plots_rpt'!$B23,Tree!$B:$B,'Pre-Harvest Plots_rpt'!$D23,Tree!$F:$F,"L"))</f>
        <v/>
      </c>
      <c r="L23" s="154" t="str">
        <f t="shared" si="8"/>
        <v/>
      </c>
      <c r="M23" s="135"/>
      <c r="N23" s="192" t="str">
        <f>IF(B23="","",SUMIFS(Tree!$AM:$AM,Tree!$A:$A,'Pre-Harvest Plots_rpt'!$B23,Tree!$B:$B,'Pre-Harvest Plots_rpt'!$D23,Tree!$F:$F,"L"))</f>
        <v/>
      </c>
      <c r="O23" s="122" t="str">
        <f>IF(B23="","",SUMIFS(Tree!$AN:$AN,Tree!$A:$A,'Pre-Harvest Plots_rpt'!$B23,Tree!$B:$B,'Pre-Harvest Plots_rpt'!$D23,Tree!$F:$F,"L"))</f>
        <v/>
      </c>
      <c r="P23" s="122" t="str">
        <f>IF(B23="","",SUMIFS(Tree!$AO:$AO,Tree!$A:$A,'Pre-Harvest Plots_rpt'!$B23,Tree!$B:$B,'Pre-Harvest Plots_rpt'!$D23,Tree!$F:$F,"L"))</f>
        <v/>
      </c>
      <c r="Q23" s="122" t="str">
        <f>IF(B23="","",SUMIFS(Tree!$AP:$AP,Tree!$A:$A,'Pre-Harvest Plots_rpt'!$B23,Tree!$B:$B,'Pre-Harvest Plots_rpt'!$D23,Tree!$F:$F,"L"))</f>
        <v/>
      </c>
      <c r="R23" s="123" t="str">
        <f>IF(B23="","",SUMIFS(Tree!$AQ:$AQ,Tree!$A:$A,'Pre-Harvest Plots_rpt'!$B23,Tree!$B:$B,'Pre-Harvest Plots_rpt'!$D23,Tree!$F:$F,"L"))</f>
        <v/>
      </c>
      <c r="S23" s="122" t="str">
        <f>IF(B23="","",SUMIFS(Tree!$AJ:$AJ,Tree!$A:$A,'Pre-Harvest Plots_rpt'!$B23,Tree!$B:$B,'Pre-Harvest Plots_rpt'!$D23,Tree!$F:$F,"L")-O23)</f>
        <v/>
      </c>
      <c r="T23" s="122" t="str">
        <f>IF(B23="","",SUMIFS(Tree!$AK:$AK,Tree!$A:$A,'Pre-Harvest Plots_rpt'!$B23,Tree!$B:$B,'Pre-Harvest Plots_rpt'!$D23,Tree!$F:$F,"L")-P23)</f>
        <v/>
      </c>
      <c r="U23" s="122" t="str">
        <f>IF(B23="","",SUMIFS(Tree!$AL:$AL,Tree!$A:$A,'Pre-Harvest Plots_rpt'!$B23,Tree!$B:$B,'Pre-Harvest Plots_rpt'!$D23,Tree!$F:$F,"L")-Q23)</f>
        <v/>
      </c>
      <c r="V23" s="123" t="str">
        <f>IF(B23="","",ROUND(SUMIFS(Tree!$AE:$AE,Tree!$A:$A,'Pre-Harvest Plots_rpt'!$B23,Tree!$B:$B,'Pre-Harvest Plots_rpt'!$D23,Tree!$F:$F,"L")-R23,1))</f>
        <v/>
      </c>
      <c r="W23" s="124" t="str">
        <f>IF(B23="","",SUMIFS(Tree!$AY:$AY,Tree!$A:$A,'Pre-Harvest Plots_rpt'!$B23,Tree!$B:$B,'Pre-Harvest Plots_rpt'!$D23,Tree!$F:$F,"L")/1000)</f>
        <v/>
      </c>
      <c r="X23" s="158" t="str">
        <f>IF(B23="","",ROUND((SUMIFS(Tree!$AW:$AW,Tree!$A:$A,'Pre-Harvest Plots_rpt'!$B23,Tree!$B:$B,'Pre-Harvest Plots_rpt'!$D23,Tree!$F:$F,"L")/1000)-W23,1))</f>
        <v/>
      </c>
      <c r="Y23" s="135"/>
      <c r="Z23" s="161" t="str">
        <f>IF(IF(B23="","",SUMIFS(Tree!$O:$O,Tree!$A:$A,'Pre-Harvest Plots_rpt'!$B23,Tree!$B:$B,'Pre-Harvest Plots_rpt'!$D23,Tree!$F:$F,"D"))=0,"",IF(B23="","",SUMIFS(Tree!$O:$O,Tree!$A:$A,'Pre-Harvest Plots_rpt'!$B23,Tree!$B:$B,'Pre-Harvest Plots_rpt'!$D23,Tree!$F:$F,"D")))</f>
        <v/>
      </c>
      <c r="AA23" s="125" t="str">
        <f t="shared" si="6"/>
        <v/>
      </c>
      <c r="AB23" s="125" t="str">
        <f>IF(Z23="","",SUMIFS(Tree!$R:$R,Tree!$A:$A,'Pre-Harvest Plots_rpt'!$B23,Tree!$B:$B,'Pre-Harvest Plots_rpt'!$D23,Tree!$F:$F,"D"))</f>
        <v/>
      </c>
      <c r="AC23" s="126" t="str">
        <f>IF(Z23="","",SUMIFS(Tree!$AM:$AM,Tree!$A:$A,'Pre-Harvest Plots_rpt'!$B23,Tree!$B:$B,'Pre-Harvest Plots_rpt'!$D23,Tree!$F:$F,"D"))</f>
        <v/>
      </c>
      <c r="AD23" s="162" t="str">
        <f>IF(Z23="","",SUMIFS(Tree!$AW:$AW,Tree!$A:$A,'Pre-Harvest Plots_rpt'!$B23,Tree!$B:$B,'Pre-Harvest Plots_rpt'!$D23,Tree!$F:$F,"D")/1000)</f>
        <v/>
      </c>
      <c r="AE23" s="47"/>
      <c r="AF23" s="4"/>
      <c r="AG23" s="4"/>
      <c r="AH23" s="4"/>
    </row>
    <row r="24" spans="1:34" ht="12.75" customHeight="1" x14ac:dyDescent="0.25">
      <c r="A24" s="48">
        <v>21</v>
      </c>
      <c r="B24" s="171" t="str">
        <f>IF(A24&lt;=SUM(Stand!$H$3:$H$29),VLOOKUP(A24,Stand!$A$3:$C$29,3,TRUE),"")</f>
        <v/>
      </c>
      <c r="C24" s="172" t="str">
        <f t="shared" si="9"/>
        <v/>
      </c>
      <c r="D24" s="173" t="str">
        <f>IF(B24="","",VLOOKUP(B24&amp;C24,Plot!$B$2:$D$199,3,FALSE))</f>
        <v/>
      </c>
      <c r="E24" s="130"/>
      <c r="F24" s="152" t="str">
        <f>IF(B24="","",SUMIFS(Tree!$O:$O,Tree!$A:$A,'Pre-Harvest Plots_rpt'!$B24,Tree!$B:$B,'Pre-Harvest Plots_rpt'!$D24,Tree!$F:$F,"L"))</f>
        <v/>
      </c>
      <c r="G24" s="153" t="str">
        <f>IFERROR(IF(D24="","",SUMIFS(Tree!$P:$P,Tree!$A:$A,'Pre-Harvest Plots_rpt'!$B24,Tree!$B:$B,'Pre-Harvest Plots_rpt'!$D24)/$F24),"")</f>
        <v/>
      </c>
      <c r="H24" s="122" t="str">
        <f t="shared" si="7"/>
        <v/>
      </c>
      <c r="I24" s="121" t="str">
        <f>IF(OR($F24=0,$F24=""),"",SUMIFS(Tree!$R:$R,Tree!$A:$A,'Pre-Harvest Plots_rpt'!$B24,Tree!$B:$B,'Pre-Harvest Plots_rpt'!$D24,Tree!$F:$F,"L"))</f>
        <v/>
      </c>
      <c r="J24" s="121" t="str">
        <f>IF(OR($F24=0,$F24=""),"",IF(SUMIFS(Tree!$W:$W,Tree!$A:$A,'Pre-Harvest Plots_rpt'!$B24,Tree!$B:$B,'Pre-Harvest Plots_rpt'!$D24,Tree!$F:$F,"L")=0,0,AVERAGEIFS(Tree!$W:$W,Tree!$A:$A,'Pre-Harvest Plots_rpt'!$B24,Tree!$B:$B,'Pre-Harvest Plots_rpt'!$D24,Tree!$F:$F,"L")))</f>
        <v/>
      </c>
      <c r="K24" s="121" t="str">
        <f>IF($F24="","",SUMIFS(Tree!$S:$S,Tree!$A:$A,'Pre-Harvest Plots_rpt'!$B24,Tree!$B:$B,'Pre-Harvest Plots_rpt'!$D24,Tree!$F:$F,"L"))</f>
        <v/>
      </c>
      <c r="L24" s="154" t="str">
        <f t="shared" si="8"/>
        <v/>
      </c>
      <c r="M24" s="135"/>
      <c r="N24" s="192" t="str">
        <f>IF(B24="","",SUMIFS(Tree!$AM:$AM,Tree!$A:$A,'Pre-Harvest Plots_rpt'!$B24,Tree!$B:$B,'Pre-Harvest Plots_rpt'!$D24,Tree!$F:$F,"L"))</f>
        <v/>
      </c>
      <c r="O24" s="122" t="str">
        <f>IF(B24="","",SUMIFS(Tree!$AN:$AN,Tree!$A:$A,'Pre-Harvest Plots_rpt'!$B24,Tree!$B:$B,'Pre-Harvest Plots_rpt'!$D24,Tree!$F:$F,"L"))</f>
        <v/>
      </c>
      <c r="P24" s="122" t="str">
        <f>IF(B24="","",SUMIFS(Tree!$AO:$AO,Tree!$A:$A,'Pre-Harvest Plots_rpt'!$B24,Tree!$B:$B,'Pre-Harvest Plots_rpt'!$D24,Tree!$F:$F,"L"))</f>
        <v/>
      </c>
      <c r="Q24" s="122" t="str">
        <f>IF(B24="","",SUMIFS(Tree!$AP:$AP,Tree!$A:$A,'Pre-Harvest Plots_rpt'!$B24,Tree!$B:$B,'Pre-Harvest Plots_rpt'!$D24,Tree!$F:$F,"L"))</f>
        <v/>
      </c>
      <c r="R24" s="123" t="str">
        <f>IF(B24="","",SUMIFS(Tree!$AQ:$AQ,Tree!$A:$A,'Pre-Harvest Plots_rpt'!$B24,Tree!$B:$B,'Pre-Harvest Plots_rpt'!$D24,Tree!$F:$F,"L"))</f>
        <v/>
      </c>
      <c r="S24" s="122" t="str">
        <f>IF(B24="","",SUMIFS(Tree!$AJ:$AJ,Tree!$A:$A,'Pre-Harvest Plots_rpt'!$B24,Tree!$B:$B,'Pre-Harvest Plots_rpt'!$D24,Tree!$F:$F,"L")-O24)</f>
        <v/>
      </c>
      <c r="T24" s="122" t="str">
        <f>IF(B24="","",SUMIFS(Tree!$AK:$AK,Tree!$A:$A,'Pre-Harvest Plots_rpt'!$B24,Tree!$B:$B,'Pre-Harvest Plots_rpt'!$D24,Tree!$F:$F,"L")-P24)</f>
        <v/>
      </c>
      <c r="U24" s="122" t="str">
        <f>IF(B24="","",SUMIFS(Tree!$AL:$AL,Tree!$A:$A,'Pre-Harvest Plots_rpt'!$B24,Tree!$B:$B,'Pre-Harvest Plots_rpt'!$D24,Tree!$F:$F,"L")-Q24)</f>
        <v/>
      </c>
      <c r="V24" s="123" t="str">
        <f>IF(B24="","",ROUND(SUMIFS(Tree!$AE:$AE,Tree!$A:$A,'Pre-Harvest Plots_rpt'!$B24,Tree!$B:$B,'Pre-Harvest Plots_rpt'!$D24,Tree!$F:$F,"L")-R24,1))</f>
        <v/>
      </c>
      <c r="W24" s="124" t="str">
        <f>IF(B24="","",SUMIFS(Tree!$AY:$AY,Tree!$A:$A,'Pre-Harvest Plots_rpt'!$B24,Tree!$B:$B,'Pre-Harvest Plots_rpt'!$D24,Tree!$F:$F,"L")/1000)</f>
        <v/>
      </c>
      <c r="X24" s="158" t="str">
        <f>IF(B24="","",ROUND((SUMIFS(Tree!$AW:$AW,Tree!$A:$A,'Pre-Harvest Plots_rpt'!$B24,Tree!$B:$B,'Pre-Harvest Plots_rpt'!$D24,Tree!$F:$F,"L")/1000)-W24,1))</f>
        <v/>
      </c>
      <c r="Y24" s="135"/>
      <c r="Z24" s="161" t="str">
        <f>IF(IF(B24="","",SUMIFS(Tree!$O:$O,Tree!$A:$A,'Pre-Harvest Plots_rpt'!$B24,Tree!$B:$B,'Pre-Harvest Plots_rpt'!$D24,Tree!$F:$F,"D"))=0,"",IF(B24="","",SUMIFS(Tree!$O:$O,Tree!$A:$A,'Pre-Harvest Plots_rpt'!$B24,Tree!$B:$B,'Pre-Harvest Plots_rpt'!$D24,Tree!$F:$F,"D")))</f>
        <v/>
      </c>
      <c r="AA24" s="125" t="str">
        <f t="shared" si="6"/>
        <v/>
      </c>
      <c r="AB24" s="125" t="str">
        <f>IF(Z24="","",SUMIFS(Tree!$R:$R,Tree!$A:$A,'Pre-Harvest Plots_rpt'!$B24,Tree!$B:$B,'Pre-Harvest Plots_rpt'!$D24,Tree!$F:$F,"D"))</f>
        <v/>
      </c>
      <c r="AC24" s="126" t="str">
        <f>IF(Z24="","",SUMIFS(Tree!$AM:$AM,Tree!$A:$A,'Pre-Harvest Plots_rpt'!$B24,Tree!$B:$B,'Pre-Harvest Plots_rpt'!$D24,Tree!$F:$F,"D"))</f>
        <v/>
      </c>
      <c r="AD24" s="162" t="str">
        <f>IF(Z24="","",SUMIFS(Tree!$AW:$AW,Tree!$A:$A,'Pre-Harvest Plots_rpt'!$B24,Tree!$B:$B,'Pre-Harvest Plots_rpt'!$D24,Tree!$F:$F,"D")/1000)</f>
        <v/>
      </c>
      <c r="AE24" s="47"/>
      <c r="AF24" s="4"/>
      <c r="AG24" s="4"/>
      <c r="AH24" s="4"/>
    </row>
    <row r="25" spans="1:34" ht="12.75" customHeight="1" x14ac:dyDescent="0.25">
      <c r="A25" s="48">
        <v>22</v>
      </c>
      <c r="B25" s="171" t="str">
        <f>IF(A25&lt;=SUM(Stand!$H$3:$H$29),VLOOKUP(A25,Stand!$A$3:$C$29,3,TRUE),"")</f>
        <v/>
      </c>
      <c r="C25" s="172" t="str">
        <f t="shared" si="9"/>
        <v/>
      </c>
      <c r="D25" s="173" t="str">
        <f>IF(B25="","",VLOOKUP(B25&amp;C25,Plot!$B$2:$D$199,3,FALSE))</f>
        <v/>
      </c>
      <c r="E25" s="130"/>
      <c r="F25" s="152" t="str">
        <f>IF(B25="","",SUMIFS(Tree!$O:$O,Tree!$A:$A,'Pre-Harvest Plots_rpt'!$B25,Tree!$B:$B,'Pre-Harvest Plots_rpt'!$D25,Tree!$F:$F,"L"))</f>
        <v/>
      </c>
      <c r="G25" s="153" t="str">
        <f>IFERROR(IF(D25="","",SUMIFS(Tree!$P:$P,Tree!$A:$A,'Pre-Harvest Plots_rpt'!$B25,Tree!$B:$B,'Pre-Harvest Plots_rpt'!$D25)/$F25),"")</f>
        <v/>
      </c>
      <c r="H25" s="122" t="str">
        <f t="shared" si="7"/>
        <v/>
      </c>
      <c r="I25" s="121" t="str">
        <f>IF(OR($F25=0,$F25=""),"",SUMIFS(Tree!$R:$R,Tree!$A:$A,'Pre-Harvest Plots_rpt'!$B25,Tree!$B:$B,'Pre-Harvest Plots_rpt'!$D25,Tree!$F:$F,"L"))</f>
        <v/>
      </c>
      <c r="J25" s="121" t="str">
        <f>IF(OR($F25=0,$F25=""),"",IF(SUMIFS(Tree!$W:$W,Tree!$A:$A,'Pre-Harvest Plots_rpt'!$B25,Tree!$B:$B,'Pre-Harvest Plots_rpt'!$D25,Tree!$F:$F,"L")=0,0,AVERAGEIFS(Tree!$W:$W,Tree!$A:$A,'Pre-Harvest Plots_rpt'!$B25,Tree!$B:$B,'Pre-Harvest Plots_rpt'!$D25,Tree!$F:$F,"L")))</f>
        <v/>
      </c>
      <c r="K25" s="121" t="str">
        <f>IF($F25="","",SUMIFS(Tree!$S:$S,Tree!$A:$A,'Pre-Harvest Plots_rpt'!$B25,Tree!$B:$B,'Pre-Harvest Plots_rpt'!$D25,Tree!$F:$F,"L"))</f>
        <v/>
      </c>
      <c r="L25" s="154" t="str">
        <f t="shared" si="8"/>
        <v/>
      </c>
      <c r="M25" s="135"/>
      <c r="N25" s="192" t="str">
        <f>IF(B25="","",SUMIFS(Tree!$AM:$AM,Tree!$A:$A,'Pre-Harvest Plots_rpt'!$B25,Tree!$B:$B,'Pre-Harvest Plots_rpt'!$D25,Tree!$F:$F,"L"))</f>
        <v/>
      </c>
      <c r="O25" s="122" t="str">
        <f>IF(B25="","",SUMIFS(Tree!$AN:$AN,Tree!$A:$A,'Pre-Harvest Plots_rpt'!$B25,Tree!$B:$B,'Pre-Harvest Plots_rpt'!$D25,Tree!$F:$F,"L"))</f>
        <v/>
      </c>
      <c r="P25" s="122" t="str">
        <f>IF(B25="","",SUMIFS(Tree!$AO:$AO,Tree!$A:$A,'Pre-Harvest Plots_rpt'!$B25,Tree!$B:$B,'Pre-Harvest Plots_rpt'!$D25,Tree!$F:$F,"L"))</f>
        <v/>
      </c>
      <c r="Q25" s="122" t="str">
        <f>IF(B25="","",SUMIFS(Tree!$AP:$AP,Tree!$A:$A,'Pre-Harvest Plots_rpt'!$B25,Tree!$B:$B,'Pre-Harvest Plots_rpt'!$D25,Tree!$F:$F,"L"))</f>
        <v/>
      </c>
      <c r="R25" s="123" t="str">
        <f>IF(B25="","",SUMIFS(Tree!$AQ:$AQ,Tree!$A:$A,'Pre-Harvest Plots_rpt'!$B25,Tree!$B:$B,'Pre-Harvest Plots_rpt'!$D25,Tree!$F:$F,"L"))</f>
        <v/>
      </c>
      <c r="S25" s="122" t="str">
        <f>IF(B25="","",SUMIFS(Tree!$AJ:$AJ,Tree!$A:$A,'Pre-Harvest Plots_rpt'!$B25,Tree!$B:$B,'Pre-Harvest Plots_rpt'!$D25,Tree!$F:$F,"L")-O25)</f>
        <v/>
      </c>
      <c r="T25" s="122" t="str">
        <f>IF(B25="","",SUMIFS(Tree!$AK:$AK,Tree!$A:$A,'Pre-Harvest Plots_rpt'!$B25,Tree!$B:$B,'Pre-Harvest Plots_rpt'!$D25,Tree!$F:$F,"L")-P25)</f>
        <v/>
      </c>
      <c r="U25" s="122" t="str">
        <f>IF(B25="","",SUMIFS(Tree!$AL:$AL,Tree!$A:$A,'Pre-Harvest Plots_rpt'!$B25,Tree!$B:$B,'Pre-Harvest Plots_rpt'!$D25,Tree!$F:$F,"L")-Q25)</f>
        <v/>
      </c>
      <c r="V25" s="123" t="str">
        <f>IF(B25="","",ROUND(SUMIFS(Tree!$AE:$AE,Tree!$A:$A,'Pre-Harvest Plots_rpt'!$B25,Tree!$B:$B,'Pre-Harvest Plots_rpt'!$D25,Tree!$F:$F,"L")-R25,1))</f>
        <v/>
      </c>
      <c r="W25" s="124" t="str">
        <f>IF(B25="","",SUMIFS(Tree!$AY:$AY,Tree!$A:$A,'Pre-Harvest Plots_rpt'!$B25,Tree!$B:$B,'Pre-Harvest Plots_rpt'!$D25,Tree!$F:$F,"L")/1000)</f>
        <v/>
      </c>
      <c r="X25" s="158" t="str">
        <f>IF(B25="","",ROUND((SUMIFS(Tree!$AW:$AW,Tree!$A:$A,'Pre-Harvest Plots_rpt'!$B25,Tree!$B:$B,'Pre-Harvest Plots_rpt'!$D25,Tree!$F:$F,"L")/1000)-W25,1))</f>
        <v/>
      </c>
      <c r="Y25" s="135"/>
      <c r="Z25" s="161" t="str">
        <f>IF(IF(B25="","",SUMIFS(Tree!$O:$O,Tree!$A:$A,'Pre-Harvest Plots_rpt'!$B25,Tree!$B:$B,'Pre-Harvest Plots_rpt'!$D25,Tree!$F:$F,"D"))=0,"",IF(B25="","",SUMIFS(Tree!$O:$O,Tree!$A:$A,'Pre-Harvest Plots_rpt'!$B25,Tree!$B:$B,'Pre-Harvest Plots_rpt'!$D25,Tree!$F:$F,"D")))</f>
        <v/>
      </c>
      <c r="AA25" s="125" t="str">
        <f t="shared" si="6"/>
        <v/>
      </c>
      <c r="AB25" s="125" t="str">
        <f>IF(Z25="","",SUMIFS(Tree!$R:$R,Tree!$A:$A,'Pre-Harvest Plots_rpt'!$B25,Tree!$B:$B,'Pre-Harvest Plots_rpt'!$D25,Tree!$F:$F,"D"))</f>
        <v/>
      </c>
      <c r="AC25" s="126" t="str">
        <f>IF(Z25="","",SUMIFS(Tree!$AM:$AM,Tree!$A:$A,'Pre-Harvest Plots_rpt'!$B25,Tree!$B:$B,'Pre-Harvest Plots_rpt'!$D25,Tree!$F:$F,"D"))</f>
        <v/>
      </c>
      <c r="AD25" s="162" t="str">
        <f>IF(Z25="","",SUMIFS(Tree!$AW:$AW,Tree!$A:$A,'Pre-Harvest Plots_rpt'!$B25,Tree!$B:$B,'Pre-Harvest Plots_rpt'!$D25,Tree!$F:$F,"D")/1000)</f>
        <v/>
      </c>
      <c r="AE25" s="47"/>
      <c r="AF25" s="4"/>
      <c r="AG25" s="4"/>
      <c r="AH25" s="4"/>
    </row>
    <row r="26" spans="1:34" ht="12.75" customHeight="1" x14ac:dyDescent="0.25">
      <c r="A26" s="48">
        <v>23</v>
      </c>
      <c r="B26" s="171" t="str">
        <f>IF(A26&lt;=SUM(Stand!$H$3:$H$29),VLOOKUP(A26,Stand!$A$3:$C$29,3,TRUE),"")</f>
        <v/>
      </c>
      <c r="C26" s="172" t="str">
        <f t="shared" si="9"/>
        <v/>
      </c>
      <c r="D26" s="173" t="str">
        <f>IF(B26="","",VLOOKUP(B26&amp;C26,Plot!$B$2:$D$199,3,FALSE))</f>
        <v/>
      </c>
      <c r="E26" s="130"/>
      <c r="F26" s="152" t="str">
        <f>IF(B26="","",SUMIFS(Tree!$O:$O,Tree!$A:$A,'Pre-Harvest Plots_rpt'!$B26,Tree!$B:$B,'Pre-Harvest Plots_rpt'!$D26,Tree!$F:$F,"L"))</f>
        <v/>
      </c>
      <c r="G26" s="153" t="str">
        <f>IFERROR(IF(D26="","",SUMIFS(Tree!$P:$P,Tree!$A:$A,'Pre-Harvest Plots_rpt'!$B26,Tree!$B:$B,'Pre-Harvest Plots_rpt'!$D26)/$F26),"")</f>
        <v/>
      </c>
      <c r="H26" s="122" t="str">
        <f t="shared" si="7"/>
        <v/>
      </c>
      <c r="I26" s="121" t="str">
        <f>IF(OR($F26=0,$F26=""),"",SUMIFS(Tree!$R:$R,Tree!$A:$A,'Pre-Harvest Plots_rpt'!$B26,Tree!$B:$B,'Pre-Harvest Plots_rpt'!$D26,Tree!$F:$F,"L"))</f>
        <v/>
      </c>
      <c r="J26" s="121" t="str">
        <f>IF(OR($F26=0,$F26=""),"",IF(SUMIFS(Tree!$W:$W,Tree!$A:$A,'Pre-Harvest Plots_rpt'!$B26,Tree!$B:$B,'Pre-Harvest Plots_rpt'!$D26,Tree!$F:$F,"L")=0,0,AVERAGEIFS(Tree!$W:$W,Tree!$A:$A,'Pre-Harvest Plots_rpt'!$B26,Tree!$B:$B,'Pre-Harvest Plots_rpt'!$D26,Tree!$F:$F,"L")))</f>
        <v/>
      </c>
      <c r="K26" s="121" t="str">
        <f>IF($F26="","",SUMIFS(Tree!$S:$S,Tree!$A:$A,'Pre-Harvest Plots_rpt'!$B26,Tree!$B:$B,'Pre-Harvest Plots_rpt'!$D26,Tree!$F:$F,"L"))</f>
        <v/>
      </c>
      <c r="L26" s="154" t="str">
        <f t="shared" si="8"/>
        <v/>
      </c>
      <c r="M26" s="135"/>
      <c r="N26" s="192" t="str">
        <f>IF(B26="","",SUMIFS(Tree!$AM:$AM,Tree!$A:$A,'Pre-Harvest Plots_rpt'!$B26,Tree!$B:$B,'Pre-Harvest Plots_rpt'!$D26,Tree!$F:$F,"L"))</f>
        <v/>
      </c>
      <c r="O26" s="122" t="str">
        <f>IF(B26="","",SUMIFS(Tree!$AN:$AN,Tree!$A:$A,'Pre-Harvest Plots_rpt'!$B26,Tree!$B:$B,'Pre-Harvest Plots_rpt'!$D26,Tree!$F:$F,"L"))</f>
        <v/>
      </c>
      <c r="P26" s="122" t="str">
        <f>IF(B26="","",SUMIFS(Tree!$AO:$AO,Tree!$A:$A,'Pre-Harvest Plots_rpt'!$B26,Tree!$B:$B,'Pre-Harvest Plots_rpt'!$D26,Tree!$F:$F,"L"))</f>
        <v/>
      </c>
      <c r="Q26" s="122" t="str">
        <f>IF(B26="","",SUMIFS(Tree!$AP:$AP,Tree!$A:$A,'Pre-Harvest Plots_rpt'!$B26,Tree!$B:$B,'Pre-Harvest Plots_rpt'!$D26,Tree!$F:$F,"L"))</f>
        <v/>
      </c>
      <c r="R26" s="123" t="str">
        <f>IF(B26="","",SUMIFS(Tree!$AQ:$AQ,Tree!$A:$A,'Pre-Harvest Plots_rpt'!$B26,Tree!$B:$B,'Pre-Harvest Plots_rpt'!$D26,Tree!$F:$F,"L"))</f>
        <v/>
      </c>
      <c r="S26" s="122" t="str">
        <f>IF(B26="","",SUMIFS(Tree!$AJ:$AJ,Tree!$A:$A,'Pre-Harvest Plots_rpt'!$B26,Tree!$B:$B,'Pre-Harvest Plots_rpt'!$D26,Tree!$F:$F,"L")-O26)</f>
        <v/>
      </c>
      <c r="T26" s="122" t="str">
        <f>IF(B26="","",SUMIFS(Tree!$AK:$AK,Tree!$A:$A,'Pre-Harvest Plots_rpt'!$B26,Tree!$B:$B,'Pre-Harvest Plots_rpt'!$D26,Tree!$F:$F,"L")-P26)</f>
        <v/>
      </c>
      <c r="U26" s="122" t="str">
        <f>IF(B26="","",SUMIFS(Tree!$AL:$AL,Tree!$A:$A,'Pre-Harvest Plots_rpt'!$B26,Tree!$B:$B,'Pre-Harvest Plots_rpt'!$D26,Tree!$F:$F,"L")-Q26)</f>
        <v/>
      </c>
      <c r="V26" s="123" t="str">
        <f>IF(B26="","",ROUND(SUMIFS(Tree!$AE:$AE,Tree!$A:$A,'Pre-Harvest Plots_rpt'!$B26,Tree!$B:$B,'Pre-Harvest Plots_rpt'!$D26,Tree!$F:$F,"L")-R26,1))</f>
        <v/>
      </c>
      <c r="W26" s="124" t="str">
        <f>IF(B26="","",SUMIFS(Tree!$AY:$AY,Tree!$A:$A,'Pre-Harvest Plots_rpt'!$B26,Tree!$B:$B,'Pre-Harvest Plots_rpt'!$D26,Tree!$F:$F,"L")/1000)</f>
        <v/>
      </c>
      <c r="X26" s="158" t="str">
        <f>IF(B26="","",ROUND((SUMIFS(Tree!$AW:$AW,Tree!$A:$A,'Pre-Harvest Plots_rpt'!$B26,Tree!$B:$B,'Pre-Harvest Plots_rpt'!$D26,Tree!$F:$F,"L")/1000)-W26,1))</f>
        <v/>
      </c>
      <c r="Y26" s="135"/>
      <c r="Z26" s="161" t="str">
        <f>IF(IF(B26="","",SUMIFS(Tree!$O:$O,Tree!$A:$A,'Pre-Harvest Plots_rpt'!$B26,Tree!$B:$B,'Pre-Harvest Plots_rpt'!$D26,Tree!$F:$F,"D"))=0,"",IF(B26="","",SUMIFS(Tree!$O:$O,Tree!$A:$A,'Pre-Harvest Plots_rpt'!$B26,Tree!$B:$B,'Pre-Harvest Plots_rpt'!$D26,Tree!$F:$F,"D")))</f>
        <v/>
      </c>
      <c r="AA26" s="125" t="str">
        <f t="shared" si="6"/>
        <v/>
      </c>
      <c r="AB26" s="125" t="str">
        <f>IF(Z26="","",SUMIFS(Tree!$R:$R,Tree!$A:$A,'Pre-Harvest Plots_rpt'!$B26,Tree!$B:$B,'Pre-Harvest Plots_rpt'!$D26,Tree!$F:$F,"D"))</f>
        <v/>
      </c>
      <c r="AC26" s="126" t="str">
        <f>IF(Z26="","",SUMIFS(Tree!$AM:$AM,Tree!$A:$A,'Pre-Harvest Plots_rpt'!$B26,Tree!$B:$B,'Pre-Harvest Plots_rpt'!$D26,Tree!$F:$F,"D"))</f>
        <v/>
      </c>
      <c r="AD26" s="162" t="str">
        <f>IF(Z26="","",SUMIFS(Tree!$AW:$AW,Tree!$A:$A,'Pre-Harvest Plots_rpt'!$B26,Tree!$B:$B,'Pre-Harvest Plots_rpt'!$D26,Tree!$F:$F,"D")/1000)</f>
        <v/>
      </c>
      <c r="AE26" s="47"/>
      <c r="AF26" s="4"/>
      <c r="AG26" s="4"/>
      <c r="AH26" s="4"/>
    </row>
    <row r="27" spans="1:34" ht="12.75" customHeight="1" x14ac:dyDescent="0.25">
      <c r="A27" s="48">
        <v>24</v>
      </c>
      <c r="B27" s="171" t="str">
        <f>IF(A27&lt;=SUM(Stand!$H$3:$H$29),VLOOKUP(A27,Stand!$A$3:$C$29,3,TRUE),"")</f>
        <v/>
      </c>
      <c r="C27" s="172" t="str">
        <f t="shared" si="9"/>
        <v/>
      </c>
      <c r="D27" s="173" t="str">
        <f>IF(B27="","",VLOOKUP(B27&amp;C27,Plot!$B$2:$D$199,3,FALSE))</f>
        <v/>
      </c>
      <c r="E27" s="130"/>
      <c r="F27" s="152" t="str">
        <f>IF(B27="","",SUMIFS(Tree!$O:$O,Tree!$A:$A,'Pre-Harvest Plots_rpt'!$B27,Tree!$B:$B,'Pre-Harvest Plots_rpt'!$D27,Tree!$F:$F,"L"))</f>
        <v/>
      </c>
      <c r="G27" s="153" t="str">
        <f>IFERROR(IF(D27="","",SUMIFS(Tree!$P:$P,Tree!$A:$A,'Pre-Harvest Plots_rpt'!$B27,Tree!$B:$B,'Pre-Harvest Plots_rpt'!$D27)/$F27),"")</f>
        <v/>
      </c>
      <c r="H27" s="122" t="str">
        <f t="shared" si="7"/>
        <v/>
      </c>
      <c r="I27" s="121" t="str">
        <f>IF(OR($F27=0,$F27=""),"",SUMIFS(Tree!$R:$R,Tree!$A:$A,'Pre-Harvest Plots_rpt'!$B27,Tree!$B:$B,'Pre-Harvest Plots_rpt'!$D27,Tree!$F:$F,"L"))</f>
        <v/>
      </c>
      <c r="J27" s="121" t="str">
        <f>IF(OR($F27=0,$F27=""),"",IF(SUMIFS(Tree!$W:$W,Tree!$A:$A,'Pre-Harvest Plots_rpt'!$B27,Tree!$B:$B,'Pre-Harvest Plots_rpt'!$D27,Tree!$F:$F,"L")=0,0,AVERAGEIFS(Tree!$W:$W,Tree!$A:$A,'Pre-Harvest Plots_rpt'!$B27,Tree!$B:$B,'Pre-Harvest Plots_rpt'!$D27,Tree!$F:$F,"L")))</f>
        <v/>
      </c>
      <c r="K27" s="121" t="str">
        <f>IF($F27="","",SUMIFS(Tree!$S:$S,Tree!$A:$A,'Pre-Harvest Plots_rpt'!$B27,Tree!$B:$B,'Pre-Harvest Plots_rpt'!$D27,Tree!$F:$F,"L"))</f>
        <v/>
      </c>
      <c r="L27" s="154" t="str">
        <f t="shared" si="8"/>
        <v/>
      </c>
      <c r="M27" s="135"/>
      <c r="N27" s="192" t="str">
        <f>IF(B27="","",SUMIFS(Tree!$AM:$AM,Tree!$A:$A,'Pre-Harvest Plots_rpt'!$B27,Tree!$B:$B,'Pre-Harvest Plots_rpt'!$D27,Tree!$F:$F,"L"))</f>
        <v/>
      </c>
      <c r="O27" s="122" t="str">
        <f>IF(B27="","",SUMIFS(Tree!$AN:$AN,Tree!$A:$A,'Pre-Harvest Plots_rpt'!$B27,Tree!$B:$B,'Pre-Harvest Plots_rpt'!$D27,Tree!$F:$F,"L"))</f>
        <v/>
      </c>
      <c r="P27" s="122" t="str">
        <f>IF(B27="","",SUMIFS(Tree!$AO:$AO,Tree!$A:$A,'Pre-Harvest Plots_rpt'!$B27,Tree!$B:$B,'Pre-Harvest Plots_rpt'!$D27,Tree!$F:$F,"L"))</f>
        <v/>
      </c>
      <c r="Q27" s="122" t="str">
        <f>IF(B27="","",SUMIFS(Tree!$AP:$AP,Tree!$A:$A,'Pre-Harvest Plots_rpt'!$B27,Tree!$B:$B,'Pre-Harvest Plots_rpt'!$D27,Tree!$F:$F,"L"))</f>
        <v/>
      </c>
      <c r="R27" s="123" t="str">
        <f>IF(B27="","",SUMIFS(Tree!$AQ:$AQ,Tree!$A:$A,'Pre-Harvest Plots_rpt'!$B27,Tree!$B:$B,'Pre-Harvest Plots_rpt'!$D27,Tree!$F:$F,"L"))</f>
        <v/>
      </c>
      <c r="S27" s="122" t="str">
        <f>IF(B27="","",SUMIFS(Tree!$AJ:$AJ,Tree!$A:$A,'Pre-Harvest Plots_rpt'!$B27,Tree!$B:$B,'Pre-Harvest Plots_rpt'!$D27,Tree!$F:$F,"L")-O27)</f>
        <v/>
      </c>
      <c r="T27" s="122" t="str">
        <f>IF(B27="","",SUMIFS(Tree!$AK:$AK,Tree!$A:$A,'Pre-Harvest Plots_rpt'!$B27,Tree!$B:$B,'Pre-Harvest Plots_rpt'!$D27,Tree!$F:$F,"L")-P27)</f>
        <v/>
      </c>
      <c r="U27" s="122" t="str">
        <f>IF(B27="","",SUMIFS(Tree!$AL:$AL,Tree!$A:$A,'Pre-Harvest Plots_rpt'!$B27,Tree!$B:$B,'Pre-Harvest Plots_rpt'!$D27,Tree!$F:$F,"L")-Q27)</f>
        <v/>
      </c>
      <c r="V27" s="123" t="str">
        <f>IF(B27="","",ROUND(SUMIFS(Tree!$AE:$AE,Tree!$A:$A,'Pre-Harvest Plots_rpt'!$B27,Tree!$B:$B,'Pre-Harvest Plots_rpt'!$D27,Tree!$F:$F,"L")-R27,1))</f>
        <v/>
      </c>
      <c r="W27" s="124" t="str">
        <f>IF(B27="","",SUMIFS(Tree!$AY:$AY,Tree!$A:$A,'Pre-Harvest Plots_rpt'!$B27,Tree!$B:$B,'Pre-Harvest Plots_rpt'!$D27,Tree!$F:$F,"L")/1000)</f>
        <v/>
      </c>
      <c r="X27" s="158" t="str">
        <f>IF(B27="","",ROUND((SUMIFS(Tree!$AW:$AW,Tree!$A:$A,'Pre-Harvest Plots_rpt'!$B27,Tree!$B:$B,'Pre-Harvest Plots_rpt'!$D27,Tree!$F:$F,"L")/1000)-W27,1))</f>
        <v/>
      </c>
      <c r="Y27" s="135"/>
      <c r="Z27" s="161" t="str">
        <f>IF(IF(B27="","",SUMIFS(Tree!$O:$O,Tree!$A:$A,'Pre-Harvest Plots_rpt'!$B27,Tree!$B:$B,'Pre-Harvest Plots_rpt'!$D27,Tree!$F:$F,"D"))=0,"",IF(B27="","",SUMIFS(Tree!$O:$O,Tree!$A:$A,'Pre-Harvest Plots_rpt'!$B27,Tree!$B:$B,'Pre-Harvest Plots_rpt'!$D27,Tree!$F:$F,"D")))</f>
        <v/>
      </c>
      <c r="AA27" s="125" t="str">
        <f t="shared" si="6"/>
        <v/>
      </c>
      <c r="AB27" s="125" t="str">
        <f>IF(Z27="","",SUMIFS(Tree!$R:$R,Tree!$A:$A,'Pre-Harvest Plots_rpt'!$B27,Tree!$B:$B,'Pre-Harvest Plots_rpt'!$D27,Tree!$F:$F,"D"))</f>
        <v/>
      </c>
      <c r="AC27" s="126" t="str">
        <f>IF(Z27="","",SUMIFS(Tree!$AM:$AM,Tree!$A:$A,'Pre-Harvest Plots_rpt'!$B27,Tree!$B:$B,'Pre-Harvest Plots_rpt'!$D27,Tree!$F:$F,"D"))</f>
        <v/>
      </c>
      <c r="AD27" s="162" t="str">
        <f>IF(Z27="","",SUMIFS(Tree!$AW:$AW,Tree!$A:$A,'Pre-Harvest Plots_rpt'!$B27,Tree!$B:$B,'Pre-Harvest Plots_rpt'!$D27,Tree!$F:$F,"D")/1000)</f>
        <v/>
      </c>
      <c r="AE27" s="47"/>
      <c r="AF27" s="4"/>
      <c r="AG27" s="4"/>
      <c r="AH27" s="4"/>
    </row>
    <row r="28" spans="1:34" ht="12.75" customHeight="1" x14ac:dyDescent="0.25">
      <c r="A28" s="48">
        <v>25</v>
      </c>
      <c r="B28" s="171" t="str">
        <f>IF(A28&lt;=SUM(Stand!$H$3:$H$29),VLOOKUP(A28,Stand!$A$3:$C$29,3,TRUE),"")</f>
        <v/>
      </c>
      <c r="C28" s="172" t="str">
        <f t="shared" si="9"/>
        <v/>
      </c>
      <c r="D28" s="173" t="str">
        <f>IF(B28="","",VLOOKUP(B28&amp;C28,Plot!$B$2:$D$199,3,FALSE))</f>
        <v/>
      </c>
      <c r="E28" s="130"/>
      <c r="F28" s="152" t="str">
        <f>IF(B28="","",SUMIFS(Tree!$O:$O,Tree!$A:$A,'Pre-Harvest Plots_rpt'!$B28,Tree!$B:$B,'Pre-Harvest Plots_rpt'!$D28,Tree!$F:$F,"L"))</f>
        <v/>
      </c>
      <c r="G28" s="153" t="str">
        <f>IFERROR(IF(D28="","",SUMIFS(Tree!$P:$P,Tree!$A:$A,'Pre-Harvest Plots_rpt'!$B28,Tree!$B:$B,'Pre-Harvest Plots_rpt'!$D28)/$F28),"")</f>
        <v/>
      </c>
      <c r="H28" s="122" t="str">
        <f t="shared" si="7"/>
        <v/>
      </c>
      <c r="I28" s="121" t="str">
        <f>IF(OR($F28=0,$F28=""),"",SUMIFS(Tree!$R:$R,Tree!$A:$A,'Pre-Harvest Plots_rpt'!$B28,Tree!$B:$B,'Pre-Harvest Plots_rpt'!$D28,Tree!$F:$F,"L"))</f>
        <v/>
      </c>
      <c r="J28" s="121" t="str">
        <f>IF(OR($F28=0,$F28=""),"",IF(SUMIFS(Tree!$W:$W,Tree!$A:$A,'Pre-Harvest Plots_rpt'!$B28,Tree!$B:$B,'Pre-Harvest Plots_rpt'!$D28,Tree!$F:$F,"L")=0,0,AVERAGEIFS(Tree!$W:$W,Tree!$A:$A,'Pre-Harvest Plots_rpt'!$B28,Tree!$B:$B,'Pre-Harvest Plots_rpt'!$D28,Tree!$F:$F,"L")))</f>
        <v/>
      </c>
      <c r="K28" s="121" t="str">
        <f>IF($F28="","",SUMIFS(Tree!$S:$S,Tree!$A:$A,'Pre-Harvest Plots_rpt'!$B28,Tree!$B:$B,'Pre-Harvest Plots_rpt'!$D28,Tree!$F:$F,"L"))</f>
        <v/>
      </c>
      <c r="L28" s="154" t="str">
        <f t="shared" si="8"/>
        <v/>
      </c>
      <c r="M28" s="135"/>
      <c r="N28" s="192" t="str">
        <f>IF(B28="","",SUMIFS(Tree!$AM:$AM,Tree!$A:$A,'Pre-Harvest Plots_rpt'!$B28,Tree!$B:$B,'Pre-Harvest Plots_rpt'!$D28,Tree!$F:$F,"L"))</f>
        <v/>
      </c>
      <c r="O28" s="122" t="str">
        <f>IF(B28="","",SUMIFS(Tree!$AN:$AN,Tree!$A:$A,'Pre-Harvest Plots_rpt'!$B28,Tree!$B:$B,'Pre-Harvest Plots_rpt'!$D28,Tree!$F:$F,"L"))</f>
        <v/>
      </c>
      <c r="P28" s="122" t="str">
        <f>IF(B28="","",SUMIFS(Tree!$AO:$AO,Tree!$A:$A,'Pre-Harvest Plots_rpt'!$B28,Tree!$B:$B,'Pre-Harvest Plots_rpt'!$D28,Tree!$F:$F,"L"))</f>
        <v/>
      </c>
      <c r="Q28" s="122" t="str">
        <f>IF(B28="","",SUMIFS(Tree!$AP:$AP,Tree!$A:$A,'Pre-Harvest Plots_rpt'!$B28,Tree!$B:$B,'Pre-Harvest Plots_rpt'!$D28,Tree!$F:$F,"L"))</f>
        <v/>
      </c>
      <c r="R28" s="123" t="str">
        <f>IF(B28="","",SUMIFS(Tree!$AQ:$AQ,Tree!$A:$A,'Pre-Harvest Plots_rpt'!$B28,Tree!$B:$B,'Pre-Harvest Plots_rpt'!$D28,Tree!$F:$F,"L"))</f>
        <v/>
      </c>
      <c r="S28" s="122" t="str">
        <f>IF(B28="","",SUMIFS(Tree!$AJ:$AJ,Tree!$A:$A,'Pre-Harvest Plots_rpt'!$B28,Tree!$B:$B,'Pre-Harvest Plots_rpt'!$D28,Tree!$F:$F,"L")-O28)</f>
        <v/>
      </c>
      <c r="T28" s="122" t="str">
        <f>IF(B28="","",SUMIFS(Tree!$AK:$AK,Tree!$A:$A,'Pre-Harvest Plots_rpt'!$B28,Tree!$B:$B,'Pre-Harvest Plots_rpt'!$D28,Tree!$F:$F,"L")-P28)</f>
        <v/>
      </c>
      <c r="U28" s="122" t="str">
        <f>IF(B28="","",SUMIFS(Tree!$AL:$AL,Tree!$A:$A,'Pre-Harvest Plots_rpt'!$B28,Tree!$B:$B,'Pre-Harvest Plots_rpt'!$D28,Tree!$F:$F,"L")-Q28)</f>
        <v/>
      </c>
      <c r="V28" s="123" t="str">
        <f>IF(B28="","",ROUND(SUMIFS(Tree!$AE:$AE,Tree!$A:$A,'Pre-Harvest Plots_rpt'!$B28,Tree!$B:$B,'Pre-Harvest Plots_rpt'!$D28,Tree!$F:$F,"L")-R28,1))</f>
        <v/>
      </c>
      <c r="W28" s="124" t="str">
        <f>IF(B28="","",SUMIFS(Tree!$AY:$AY,Tree!$A:$A,'Pre-Harvest Plots_rpt'!$B28,Tree!$B:$B,'Pre-Harvest Plots_rpt'!$D28,Tree!$F:$F,"L")/1000)</f>
        <v/>
      </c>
      <c r="X28" s="158" t="str">
        <f>IF(B28="","",ROUND((SUMIFS(Tree!$AW:$AW,Tree!$A:$A,'Pre-Harvest Plots_rpt'!$B28,Tree!$B:$B,'Pre-Harvest Plots_rpt'!$D28,Tree!$F:$F,"L")/1000)-W28,1))</f>
        <v/>
      </c>
      <c r="Y28" s="135"/>
      <c r="Z28" s="161" t="str">
        <f>IF(IF(B28="","",SUMIFS(Tree!$O:$O,Tree!$A:$A,'Pre-Harvest Plots_rpt'!$B28,Tree!$B:$B,'Pre-Harvest Plots_rpt'!$D28,Tree!$F:$F,"D"))=0,"",IF(B28="","",SUMIFS(Tree!$O:$O,Tree!$A:$A,'Pre-Harvest Plots_rpt'!$B28,Tree!$B:$B,'Pre-Harvest Plots_rpt'!$D28,Tree!$F:$F,"D")))</f>
        <v/>
      </c>
      <c r="AA28" s="125" t="str">
        <f t="shared" si="6"/>
        <v/>
      </c>
      <c r="AB28" s="125" t="str">
        <f>IF(Z28="","",SUMIFS(Tree!$R:$R,Tree!$A:$A,'Pre-Harvest Plots_rpt'!$B28,Tree!$B:$B,'Pre-Harvest Plots_rpt'!$D28,Tree!$F:$F,"D"))</f>
        <v/>
      </c>
      <c r="AC28" s="126" t="str">
        <f>IF(Z28="","",SUMIFS(Tree!$AM:$AM,Tree!$A:$A,'Pre-Harvest Plots_rpt'!$B28,Tree!$B:$B,'Pre-Harvest Plots_rpt'!$D28,Tree!$F:$F,"D"))</f>
        <v/>
      </c>
      <c r="AD28" s="162" t="str">
        <f>IF(Z28="","",SUMIFS(Tree!$AW:$AW,Tree!$A:$A,'Pre-Harvest Plots_rpt'!$B28,Tree!$B:$B,'Pre-Harvest Plots_rpt'!$D28,Tree!$F:$F,"D")/1000)</f>
        <v/>
      </c>
      <c r="AE28" s="47"/>
      <c r="AF28" s="4"/>
      <c r="AG28" s="4"/>
      <c r="AH28" s="4"/>
    </row>
    <row r="29" spans="1:34" ht="13.5" customHeight="1" x14ac:dyDescent="0.25">
      <c r="A29" s="48">
        <v>26</v>
      </c>
      <c r="B29" s="171" t="str">
        <f>IF(A29&lt;=SUM(Stand!$H$3:$H$29),VLOOKUP(A29,Stand!$A$3:$C$29,3,TRUE),"")</f>
        <v/>
      </c>
      <c r="C29" s="172" t="str">
        <f t="shared" si="9"/>
        <v/>
      </c>
      <c r="D29" s="173" t="str">
        <f>IF(B29="","",VLOOKUP(B29&amp;C29,Plot!$B$2:$D$199,3,FALSE))</f>
        <v/>
      </c>
      <c r="E29" s="130"/>
      <c r="F29" s="152" t="str">
        <f>IF(B29="","",SUMIFS(Tree!$O:$O,Tree!$A:$A,'Pre-Harvest Plots_rpt'!$B29,Tree!$B:$B,'Pre-Harvest Plots_rpt'!$D29,Tree!$F:$F,"L"))</f>
        <v/>
      </c>
      <c r="G29" s="153" t="str">
        <f>IFERROR(IF(D29="","",SUMIFS(Tree!$P:$P,Tree!$A:$A,'Pre-Harvest Plots_rpt'!$B29,Tree!$B:$B,'Pre-Harvest Plots_rpt'!$D29)/$F29),"")</f>
        <v/>
      </c>
      <c r="H29" s="122" t="str">
        <f t="shared" si="7"/>
        <v/>
      </c>
      <c r="I29" s="121" t="str">
        <f>IF(OR($F29=0,$F29=""),"",SUMIFS(Tree!$R:$R,Tree!$A:$A,'Pre-Harvest Plots_rpt'!$B29,Tree!$B:$B,'Pre-Harvest Plots_rpt'!$D29,Tree!$F:$F,"L"))</f>
        <v/>
      </c>
      <c r="J29" s="121" t="str">
        <f>IF(OR($F29=0,$F29=""),"",IF(SUMIFS(Tree!$W:$W,Tree!$A:$A,'Pre-Harvest Plots_rpt'!$B29,Tree!$B:$B,'Pre-Harvest Plots_rpt'!$D29,Tree!$F:$F,"L")=0,0,AVERAGEIFS(Tree!$W:$W,Tree!$A:$A,'Pre-Harvest Plots_rpt'!$B29,Tree!$B:$B,'Pre-Harvest Plots_rpt'!$D29,Tree!$F:$F,"L")))</f>
        <v/>
      </c>
      <c r="K29" s="121" t="str">
        <f>IF($F29="","",SUMIFS(Tree!$S:$S,Tree!$A:$A,'Pre-Harvest Plots_rpt'!$B29,Tree!$B:$B,'Pre-Harvest Plots_rpt'!$D29,Tree!$F:$F,"L"))</f>
        <v/>
      </c>
      <c r="L29" s="154" t="str">
        <f t="shared" si="8"/>
        <v/>
      </c>
      <c r="M29" s="135"/>
      <c r="N29" s="192" t="str">
        <f>IF(B29="","",SUMIFS(Tree!$AM:$AM,Tree!$A:$A,'Pre-Harvest Plots_rpt'!$B29,Tree!$B:$B,'Pre-Harvest Plots_rpt'!$D29,Tree!$F:$F,"L"))</f>
        <v/>
      </c>
      <c r="O29" s="122" t="str">
        <f>IF(B29="","",SUMIFS(Tree!$AN:$AN,Tree!$A:$A,'Pre-Harvest Plots_rpt'!$B29,Tree!$B:$B,'Pre-Harvest Plots_rpt'!$D29,Tree!$F:$F,"L"))</f>
        <v/>
      </c>
      <c r="P29" s="122" t="str">
        <f>IF(B29="","",SUMIFS(Tree!$AO:$AO,Tree!$A:$A,'Pre-Harvest Plots_rpt'!$B29,Tree!$B:$B,'Pre-Harvest Plots_rpt'!$D29,Tree!$F:$F,"L"))</f>
        <v/>
      </c>
      <c r="Q29" s="122" t="str">
        <f>IF(B29="","",SUMIFS(Tree!$AP:$AP,Tree!$A:$A,'Pre-Harvest Plots_rpt'!$B29,Tree!$B:$B,'Pre-Harvest Plots_rpt'!$D29,Tree!$F:$F,"L"))</f>
        <v/>
      </c>
      <c r="R29" s="123" t="str">
        <f>IF(B29="","",SUMIFS(Tree!$AQ:$AQ,Tree!$A:$A,'Pre-Harvest Plots_rpt'!$B29,Tree!$B:$B,'Pre-Harvest Plots_rpt'!$D29,Tree!$F:$F,"L"))</f>
        <v/>
      </c>
      <c r="S29" s="122" t="str">
        <f>IF(B29="","",SUMIFS(Tree!$AJ:$AJ,Tree!$A:$A,'Pre-Harvest Plots_rpt'!$B29,Tree!$B:$B,'Pre-Harvest Plots_rpt'!$D29,Tree!$F:$F,"L")-O29)</f>
        <v/>
      </c>
      <c r="T29" s="122" t="str">
        <f>IF(B29="","",SUMIFS(Tree!$AK:$AK,Tree!$A:$A,'Pre-Harvest Plots_rpt'!$B29,Tree!$B:$B,'Pre-Harvest Plots_rpt'!$D29,Tree!$F:$F,"L")-P29)</f>
        <v/>
      </c>
      <c r="U29" s="122" t="str">
        <f>IF(B29="","",SUMIFS(Tree!$AL:$AL,Tree!$A:$A,'Pre-Harvest Plots_rpt'!$B29,Tree!$B:$B,'Pre-Harvest Plots_rpt'!$D29,Tree!$F:$F,"L")-Q29)</f>
        <v/>
      </c>
      <c r="V29" s="123" t="str">
        <f>IF(B29="","",ROUND(SUMIFS(Tree!$AE:$AE,Tree!$A:$A,'Pre-Harvest Plots_rpt'!$B29,Tree!$B:$B,'Pre-Harvest Plots_rpt'!$D29,Tree!$F:$F,"L")-R29,1))</f>
        <v/>
      </c>
      <c r="W29" s="124" t="str">
        <f>IF(B29="","",SUMIFS(Tree!$AY:$AY,Tree!$A:$A,'Pre-Harvest Plots_rpt'!$B29,Tree!$B:$B,'Pre-Harvest Plots_rpt'!$D29,Tree!$F:$F,"L")/1000)</f>
        <v/>
      </c>
      <c r="X29" s="158" t="str">
        <f>IF(B29="","",ROUND((SUMIFS(Tree!$AW:$AW,Tree!$A:$A,'Pre-Harvest Plots_rpt'!$B29,Tree!$B:$B,'Pre-Harvest Plots_rpt'!$D29,Tree!$F:$F,"L")/1000)-W29,1))</f>
        <v/>
      </c>
      <c r="Y29" s="135"/>
      <c r="Z29" s="161" t="str">
        <f>IF(IF(B29="","",SUMIFS(Tree!$O:$O,Tree!$A:$A,'Pre-Harvest Plots_rpt'!$B29,Tree!$B:$B,'Pre-Harvest Plots_rpt'!$D29,Tree!$F:$F,"D"))=0,"",IF(B29="","",SUMIFS(Tree!$O:$O,Tree!$A:$A,'Pre-Harvest Plots_rpt'!$B29,Tree!$B:$B,'Pre-Harvest Plots_rpt'!$D29,Tree!$F:$F,"D")))</f>
        <v/>
      </c>
      <c r="AA29" s="125" t="str">
        <f t="shared" si="6"/>
        <v/>
      </c>
      <c r="AB29" s="125" t="str">
        <f>IF(Z29="","",SUMIFS(Tree!$R:$R,Tree!$A:$A,'Pre-Harvest Plots_rpt'!$B29,Tree!$B:$B,'Pre-Harvest Plots_rpt'!$D29,Tree!$F:$F,"D"))</f>
        <v/>
      </c>
      <c r="AC29" s="126" t="str">
        <f>IF(Z29="","",SUMIFS(Tree!$AM:$AM,Tree!$A:$A,'Pre-Harvest Plots_rpt'!$B29,Tree!$B:$B,'Pre-Harvest Plots_rpt'!$D29,Tree!$F:$F,"D"))</f>
        <v/>
      </c>
      <c r="AD29" s="162" t="str">
        <f>IF(Z29="","",SUMIFS(Tree!$AW:$AW,Tree!$A:$A,'Pre-Harvest Plots_rpt'!$B29,Tree!$B:$B,'Pre-Harvest Plots_rpt'!$D29,Tree!$F:$F,"D")/1000)</f>
        <v/>
      </c>
      <c r="AE29" s="47"/>
      <c r="AF29" s="4"/>
      <c r="AG29" s="4"/>
      <c r="AH29" s="4"/>
    </row>
    <row r="30" spans="1:34" ht="14.25" customHeight="1" x14ac:dyDescent="0.25">
      <c r="A30" s="48">
        <v>27</v>
      </c>
      <c r="B30" s="171" t="str">
        <f>IF(A30&lt;=SUM(Stand!$H$3:$H$29),VLOOKUP(A30,Stand!$A$3:$C$29,3,TRUE),"")</f>
        <v/>
      </c>
      <c r="C30" s="172" t="str">
        <f t="shared" si="9"/>
        <v/>
      </c>
      <c r="D30" s="173" t="str">
        <f>IF(B30="","",VLOOKUP(B30&amp;C30,Plot!$B$2:$D$199,3,FALSE))</f>
        <v/>
      </c>
      <c r="E30" s="130"/>
      <c r="F30" s="152" t="str">
        <f>IF(B30="","",SUMIFS(Tree!$O:$O,Tree!$A:$A,'Pre-Harvest Plots_rpt'!$B30,Tree!$B:$B,'Pre-Harvest Plots_rpt'!$D30,Tree!$F:$F,"L"))</f>
        <v/>
      </c>
      <c r="G30" s="153" t="str">
        <f>IFERROR(IF(D30="","",SUMIFS(Tree!$P:$P,Tree!$A:$A,'Pre-Harvest Plots_rpt'!$B30,Tree!$B:$B,'Pre-Harvest Plots_rpt'!$D30)/$F30),"")</f>
        <v/>
      </c>
      <c r="H30" s="122" t="str">
        <f t="shared" si="7"/>
        <v/>
      </c>
      <c r="I30" s="121" t="str">
        <f>IF(OR($F30=0,$F30=""),"",SUMIFS(Tree!$R:$R,Tree!$A:$A,'Pre-Harvest Plots_rpt'!$B30,Tree!$B:$B,'Pre-Harvest Plots_rpt'!$D30,Tree!$F:$F,"L"))</f>
        <v/>
      </c>
      <c r="J30" s="121" t="str">
        <f>IF(OR($F30=0,$F30=""),"",IF(SUMIFS(Tree!$W:$W,Tree!$A:$A,'Pre-Harvest Plots_rpt'!$B30,Tree!$B:$B,'Pre-Harvest Plots_rpt'!$D30,Tree!$F:$F,"L")=0,0,AVERAGEIFS(Tree!$W:$W,Tree!$A:$A,'Pre-Harvest Plots_rpt'!$B30,Tree!$B:$B,'Pre-Harvest Plots_rpt'!$D30,Tree!$F:$F,"L")))</f>
        <v/>
      </c>
      <c r="K30" s="121" t="str">
        <f>IF($F30="","",SUMIFS(Tree!$S:$S,Tree!$A:$A,'Pre-Harvest Plots_rpt'!$B30,Tree!$B:$B,'Pre-Harvest Plots_rpt'!$D30,Tree!$F:$F,"L"))</f>
        <v/>
      </c>
      <c r="L30" s="154" t="str">
        <f t="shared" si="8"/>
        <v/>
      </c>
      <c r="M30" s="135"/>
      <c r="N30" s="192" t="str">
        <f>IF(B30="","",SUMIFS(Tree!$AM:$AM,Tree!$A:$A,'Pre-Harvest Plots_rpt'!$B30,Tree!$B:$B,'Pre-Harvest Plots_rpt'!$D30,Tree!$F:$F,"L"))</f>
        <v/>
      </c>
      <c r="O30" s="122" t="str">
        <f>IF(B30="","",SUMIFS(Tree!$AN:$AN,Tree!$A:$A,'Pre-Harvest Plots_rpt'!$B30,Tree!$B:$B,'Pre-Harvest Plots_rpt'!$D30,Tree!$F:$F,"L"))</f>
        <v/>
      </c>
      <c r="P30" s="122" t="str">
        <f>IF(B30="","",SUMIFS(Tree!$AO:$AO,Tree!$A:$A,'Pre-Harvest Plots_rpt'!$B30,Tree!$B:$B,'Pre-Harvest Plots_rpt'!$D30,Tree!$F:$F,"L"))</f>
        <v/>
      </c>
      <c r="Q30" s="122" t="str">
        <f>IF(B30="","",SUMIFS(Tree!$AP:$AP,Tree!$A:$A,'Pre-Harvest Plots_rpt'!$B30,Tree!$B:$B,'Pre-Harvest Plots_rpt'!$D30,Tree!$F:$F,"L"))</f>
        <v/>
      </c>
      <c r="R30" s="123" t="str">
        <f>IF(B30="","",SUMIFS(Tree!$AQ:$AQ,Tree!$A:$A,'Pre-Harvest Plots_rpt'!$B30,Tree!$B:$B,'Pre-Harvest Plots_rpt'!$D30,Tree!$F:$F,"L"))</f>
        <v/>
      </c>
      <c r="S30" s="122" t="str">
        <f>IF(B30="","",SUMIFS(Tree!$AJ:$AJ,Tree!$A:$A,'Pre-Harvest Plots_rpt'!$B30,Tree!$B:$B,'Pre-Harvest Plots_rpt'!$D30,Tree!$F:$F,"L")-O30)</f>
        <v/>
      </c>
      <c r="T30" s="122" t="str">
        <f>IF(B30="","",SUMIFS(Tree!$AK:$AK,Tree!$A:$A,'Pre-Harvest Plots_rpt'!$B30,Tree!$B:$B,'Pre-Harvest Plots_rpt'!$D30,Tree!$F:$F,"L")-P30)</f>
        <v/>
      </c>
      <c r="U30" s="122" t="str">
        <f>IF(B30="","",SUMIFS(Tree!$AL:$AL,Tree!$A:$A,'Pre-Harvest Plots_rpt'!$B30,Tree!$B:$B,'Pre-Harvest Plots_rpt'!$D30,Tree!$F:$F,"L")-Q30)</f>
        <v/>
      </c>
      <c r="V30" s="123" t="str">
        <f>IF(B30="","",ROUND(SUMIFS(Tree!$AE:$AE,Tree!$A:$A,'Pre-Harvest Plots_rpt'!$B30,Tree!$B:$B,'Pre-Harvest Plots_rpt'!$D30,Tree!$F:$F,"L")-R30,1))</f>
        <v/>
      </c>
      <c r="W30" s="124" t="str">
        <f>IF(B30="","",SUMIFS(Tree!$AY:$AY,Tree!$A:$A,'Pre-Harvest Plots_rpt'!$B30,Tree!$B:$B,'Pre-Harvest Plots_rpt'!$D30,Tree!$F:$F,"L")/1000)</f>
        <v/>
      </c>
      <c r="X30" s="158" t="str">
        <f>IF(B30="","",ROUND((SUMIFS(Tree!$AW:$AW,Tree!$A:$A,'Pre-Harvest Plots_rpt'!$B30,Tree!$B:$B,'Pre-Harvest Plots_rpt'!$D30,Tree!$F:$F,"L")/1000)-W30,1))</f>
        <v/>
      </c>
      <c r="Y30" s="135"/>
      <c r="Z30" s="161" t="str">
        <f>IF(IF(B30="","",SUMIFS(Tree!$O:$O,Tree!$A:$A,'Pre-Harvest Plots_rpt'!$B30,Tree!$B:$B,'Pre-Harvest Plots_rpt'!$D30,Tree!$F:$F,"D"))=0,"",IF(B30="","",SUMIFS(Tree!$O:$O,Tree!$A:$A,'Pre-Harvest Plots_rpt'!$B30,Tree!$B:$B,'Pre-Harvest Plots_rpt'!$D30,Tree!$F:$F,"D")))</f>
        <v/>
      </c>
      <c r="AA30" s="125" t="str">
        <f t="shared" si="6"/>
        <v/>
      </c>
      <c r="AB30" s="125" t="str">
        <f>IF(Z30="","",SUMIFS(Tree!$R:$R,Tree!$A:$A,'Pre-Harvest Plots_rpt'!$B30,Tree!$B:$B,'Pre-Harvest Plots_rpt'!$D30,Tree!$F:$F,"D"))</f>
        <v/>
      </c>
      <c r="AC30" s="126" t="str">
        <f>IF(Z30="","",SUMIFS(Tree!$AM:$AM,Tree!$A:$A,'Pre-Harvest Plots_rpt'!$B30,Tree!$B:$B,'Pre-Harvest Plots_rpt'!$D30,Tree!$F:$F,"D"))</f>
        <v/>
      </c>
      <c r="AD30" s="162" t="str">
        <f>IF(Z30="","",SUMIFS(Tree!$AW:$AW,Tree!$A:$A,'Pre-Harvest Plots_rpt'!$B30,Tree!$B:$B,'Pre-Harvest Plots_rpt'!$D30,Tree!$F:$F,"D")/1000)</f>
        <v/>
      </c>
      <c r="AE30" s="47"/>
      <c r="AF30" s="4"/>
      <c r="AG30" s="4"/>
      <c r="AH30" s="4"/>
    </row>
    <row r="31" spans="1:34" ht="15" customHeight="1" x14ac:dyDescent="0.25">
      <c r="A31" s="48">
        <v>28</v>
      </c>
      <c r="B31" s="171" t="str">
        <f>IF(A31&lt;=SUM(Stand!$H$3:$H$29),VLOOKUP(A31,Stand!$A$3:$C$29,3,TRUE),"")</f>
        <v/>
      </c>
      <c r="C31" s="172" t="str">
        <f t="shared" si="9"/>
        <v/>
      </c>
      <c r="D31" s="173" t="str">
        <f>IF(B31="","",VLOOKUP(B31&amp;C31,Plot!$B$2:$D$199,3,FALSE))</f>
        <v/>
      </c>
      <c r="E31" s="130"/>
      <c r="F31" s="152" t="str">
        <f>IF(B31="","",SUMIFS(Tree!$O:$O,Tree!$A:$A,'Pre-Harvest Plots_rpt'!$B31,Tree!$B:$B,'Pre-Harvest Plots_rpt'!$D31,Tree!$F:$F,"L"))</f>
        <v/>
      </c>
      <c r="G31" s="153" t="str">
        <f>IFERROR(IF(D31="","",SUMIFS(Tree!$P:$P,Tree!$A:$A,'Pre-Harvest Plots_rpt'!$B31,Tree!$B:$B,'Pre-Harvest Plots_rpt'!$D31)/$F31),"")</f>
        <v/>
      </c>
      <c r="H31" s="122" t="str">
        <f t="shared" si="7"/>
        <v/>
      </c>
      <c r="I31" s="121" t="str">
        <f>IF(OR($F31=0,$F31=""),"",SUMIFS(Tree!$R:$R,Tree!$A:$A,'Pre-Harvest Plots_rpt'!$B31,Tree!$B:$B,'Pre-Harvest Plots_rpt'!$D31,Tree!$F:$F,"L"))</f>
        <v/>
      </c>
      <c r="J31" s="121" t="str">
        <f>IF(OR($F31=0,$F31=""),"",IF(SUMIFS(Tree!$W:$W,Tree!$A:$A,'Pre-Harvest Plots_rpt'!$B31,Tree!$B:$B,'Pre-Harvest Plots_rpt'!$D31,Tree!$F:$F,"L")=0,0,AVERAGEIFS(Tree!$W:$W,Tree!$A:$A,'Pre-Harvest Plots_rpt'!$B31,Tree!$B:$B,'Pre-Harvest Plots_rpt'!$D31,Tree!$F:$F,"L")))</f>
        <v/>
      </c>
      <c r="K31" s="121" t="str">
        <f>IF($F31="","",SUMIFS(Tree!$S:$S,Tree!$A:$A,'Pre-Harvest Plots_rpt'!$B31,Tree!$B:$B,'Pre-Harvest Plots_rpt'!$D31,Tree!$F:$F,"L"))</f>
        <v/>
      </c>
      <c r="L31" s="154" t="str">
        <f t="shared" si="8"/>
        <v/>
      </c>
      <c r="M31" s="135"/>
      <c r="N31" s="192" t="str">
        <f>IF(B31="","",SUMIFS(Tree!$AM:$AM,Tree!$A:$A,'Pre-Harvest Plots_rpt'!$B31,Tree!$B:$B,'Pre-Harvest Plots_rpt'!$D31,Tree!$F:$F,"L"))</f>
        <v/>
      </c>
      <c r="O31" s="122" t="str">
        <f>IF(B31="","",SUMIFS(Tree!$AN:$AN,Tree!$A:$A,'Pre-Harvest Plots_rpt'!$B31,Tree!$B:$B,'Pre-Harvest Plots_rpt'!$D31,Tree!$F:$F,"L"))</f>
        <v/>
      </c>
      <c r="P31" s="122" t="str">
        <f>IF(B31="","",SUMIFS(Tree!$AO:$AO,Tree!$A:$A,'Pre-Harvest Plots_rpt'!$B31,Tree!$B:$B,'Pre-Harvest Plots_rpt'!$D31,Tree!$F:$F,"L"))</f>
        <v/>
      </c>
      <c r="Q31" s="122" t="str">
        <f>IF(B31="","",SUMIFS(Tree!$AP:$AP,Tree!$A:$A,'Pre-Harvest Plots_rpt'!$B31,Tree!$B:$B,'Pre-Harvest Plots_rpt'!$D31,Tree!$F:$F,"L"))</f>
        <v/>
      </c>
      <c r="R31" s="123" t="str">
        <f>IF(B31="","",SUMIFS(Tree!$AQ:$AQ,Tree!$A:$A,'Pre-Harvest Plots_rpt'!$B31,Tree!$B:$B,'Pre-Harvest Plots_rpt'!$D31,Tree!$F:$F,"L"))</f>
        <v/>
      </c>
      <c r="S31" s="122" t="str">
        <f>IF(B31="","",SUMIFS(Tree!$AJ:$AJ,Tree!$A:$A,'Pre-Harvest Plots_rpt'!$B31,Tree!$B:$B,'Pre-Harvest Plots_rpt'!$D31,Tree!$F:$F,"L")-O31)</f>
        <v/>
      </c>
      <c r="T31" s="122" t="str">
        <f>IF(B31="","",SUMIFS(Tree!$AK:$AK,Tree!$A:$A,'Pre-Harvest Plots_rpt'!$B31,Tree!$B:$B,'Pre-Harvest Plots_rpt'!$D31,Tree!$F:$F,"L")-P31)</f>
        <v/>
      </c>
      <c r="U31" s="122" t="str">
        <f>IF(B31="","",SUMIFS(Tree!$AL:$AL,Tree!$A:$A,'Pre-Harvest Plots_rpt'!$B31,Tree!$B:$B,'Pre-Harvest Plots_rpt'!$D31,Tree!$F:$F,"L")-Q31)</f>
        <v/>
      </c>
      <c r="V31" s="123" t="str">
        <f>IF(B31="","",ROUND(SUMIFS(Tree!$AE:$AE,Tree!$A:$A,'Pre-Harvest Plots_rpt'!$B31,Tree!$B:$B,'Pre-Harvest Plots_rpt'!$D31,Tree!$F:$F,"L")-R31,1))</f>
        <v/>
      </c>
      <c r="W31" s="124" t="str">
        <f>IF(B31="","",SUMIFS(Tree!$AY:$AY,Tree!$A:$A,'Pre-Harvest Plots_rpt'!$B31,Tree!$B:$B,'Pre-Harvest Plots_rpt'!$D31,Tree!$F:$F,"L")/1000)</f>
        <v/>
      </c>
      <c r="X31" s="158" t="str">
        <f>IF(B31="","",ROUND((SUMIFS(Tree!$AW:$AW,Tree!$A:$A,'Pre-Harvest Plots_rpt'!$B31,Tree!$B:$B,'Pre-Harvest Plots_rpt'!$D31,Tree!$F:$F,"L")/1000)-W31,1))</f>
        <v/>
      </c>
      <c r="Y31" s="135"/>
      <c r="Z31" s="161" t="str">
        <f>IF(IF(B31="","",SUMIFS(Tree!$O:$O,Tree!$A:$A,'Pre-Harvest Plots_rpt'!$B31,Tree!$B:$B,'Pre-Harvest Plots_rpt'!$D31,Tree!$F:$F,"D"))=0,"",IF(B31="","",SUMIFS(Tree!$O:$O,Tree!$A:$A,'Pre-Harvest Plots_rpt'!$B31,Tree!$B:$B,'Pre-Harvest Plots_rpt'!$D31,Tree!$F:$F,"D")))</f>
        <v/>
      </c>
      <c r="AA31" s="125" t="str">
        <f t="shared" si="6"/>
        <v/>
      </c>
      <c r="AB31" s="125" t="str">
        <f>IF(Z31="","",SUMIFS(Tree!$R:$R,Tree!$A:$A,'Pre-Harvest Plots_rpt'!$B31,Tree!$B:$B,'Pre-Harvest Plots_rpt'!$D31,Tree!$F:$F,"D"))</f>
        <v/>
      </c>
      <c r="AC31" s="126" t="str">
        <f>IF(Z31="","",SUMIFS(Tree!$AM:$AM,Tree!$A:$A,'Pre-Harvest Plots_rpt'!$B31,Tree!$B:$B,'Pre-Harvest Plots_rpt'!$D31,Tree!$F:$F,"D"))</f>
        <v/>
      </c>
      <c r="AD31" s="162" t="str">
        <f>IF(Z31="","",SUMIFS(Tree!$AW:$AW,Tree!$A:$A,'Pre-Harvest Plots_rpt'!$B31,Tree!$B:$B,'Pre-Harvest Plots_rpt'!$D31,Tree!$F:$F,"D")/1000)</f>
        <v/>
      </c>
      <c r="AE31" s="47"/>
      <c r="AF31" s="4"/>
      <c r="AG31" s="4"/>
      <c r="AH31" s="4"/>
    </row>
    <row r="32" spans="1:34" ht="16.350000000000001" customHeight="1" x14ac:dyDescent="0.25">
      <c r="A32" s="48">
        <v>29</v>
      </c>
      <c r="B32" s="171" t="str">
        <f>IF(A32&lt;=SUM(Stand!$H$3:$H$29),VLOOKUP(A32,Stand!$A$3:$C$29,3,TRUE),"")</f>
        <v/>
      </c>
      <c r="C32" s="172" t="str">
        <f t="shared" si="9"/>
        <v/>
      </c>
      <c r="D32" s="173" t="str">
        <f>IF(B32="","",VLOOKUP(B32&amp;C32,Plot!$B$2:$D$199,3,FALSE))</f>
        <v/>
      </c>
      <c r="E32" s="130"/>
      <c r="F32" s="152" t="str">
        <f>IF(B32="","",SUMIFS(Tree!$O:$O,Tree!$A:$A,'Pre-Harvest Plots_rpt'!$B32,Tree!$B:$B,'Pre-Harvest Plots_rpt'!$D32,Tree!$F:$F,"L"))</f>
        <v/>
      </c>
      <c r="G32" s="153" t="str">
        <f>IFERROR(IF(D32="","",SUMIFS(Tree!$P:$P,Tree!$A:$A,'Pre-Harvest Plots_rpt'!$B32,Tree!$B:$B,'Pre-Harvest Plots_rpt'!$D32)/$F32),"")</f>
        <v/>
      </c>
      <c r="H32" s="122" t="str">
        <f t="shared" si="7"/>
        <v/>
      </c>
      <c r="I32" s="121" t="str">
        <f>IF(OR($F32=0,$F32=""),"",SUMIFS(Tree!$R:$R,Tree!$A:$A,'Pre-Harvest Plots_rpt'!$B32,Tree!$B:$B,'Pre-Harvest Plots_rpt'!$D32,Tree!$F:$F,"L"))</f>
        <v/>
      </c>
      <c r="J32" s="121" t="str">
        <f>IF(OR($F32=0,$F32=""),"",IF(SUMIFS(Tree!$W:$W,Tree!$A:$A,'Pre-Harvest Plots_rpt'!$B32,Tree!$B:$B,'Pre-Harvest Plots_rpt'!$D32,Tree!$F:$F,"L")=0,0,AVERAGEIFS(Tree!$W:$W,Tree!$A:$A,'Pre-Harvest Plots_rpt'!$B32,Tree!$B:$B,'Pre-Harvest Plots_rpt'!$D32,Tree!$F:$F,"L")))</f>
        <v/>
      </c>
      <c r="K32" s="121" t="str">
        <f>IF($F32="","",SUMIFS(Tree!$S:$S,Tree!$A:$A,'Pre-Harvest Plots_rpt'!$B32,Tree!$B:$B,'Pre-Harvest Plots_rpt'!$D32,Tree!$F:$F,"L"))</f>
        <v/>
      </c>
      <c r="L32" s="154" t="str">
        <f t="shared" si="8"/>
        <v/>
      </c>
      <c r="M32" s="135"/>
      <c r="N32" s="192" t="str">
        <f>IF(B32="","",SUMIFS(Tree!$AM:$AM,Tree!$A:$A,'Pre-Harvest Plots_rpt'!$B32,Tree!$B:$B,'Pre-Harvest Plots_rpt'!$D32,Tree!$F:$F,"L"))</f>
        <v/>
      </c>
      <c r="O32" s="122" t="str">
        <f>IF(B32="","",SUMIFS(Tree!$AN:$AN,Tree!$A:$A,'Pre-Harvest Plots_rpt'!$B32,Tree!$B:$B,'Pre-Harvest Plots_rpt'!$D32,Tree!$F:$F,"L"))</f>
        <v/>
      </c>
      <c r="P32" s="122" t="str">
        <f>IF(B32="","",SUMIFS(Tree!$AO:$AO,Tree!$A:$A,'Pre-Harvest Plots_rpt'!$B32,Tree!$B:$B,'Pre-Harvest Plots_rpt'!$D32,Tree!$F:$F,"L"))</f>
        <v/>
      </c>
      <c r="Q32" s="122" t="str">
        <f>IF(B32="","",SUMIFS(Tree!$AP:$AP,Tree!$A:$A,'Pre-Harvest Plots_rpt'!$B32,Tree!$B:$B,'Pre-Harvest Plots_rpt'!$D32,Tree!$F:$F,"L"))</f>
        <v/>
      </c>
      <c r="R32" s="123" t="str">
        <f>IF(B32="","",SUMIFS(Tree!$AQ:$AQ,Tree!$A:$A,'Pre-Harvest Plots_rpt'!$B32,Tree!$B:$B,'Pre-Harvest Plots_rpt'!$D32,Tree!$F:$F,"L"))</f>
        <v/>
      </c>
      <c r="S32" s="122" t="str">
        <f>IF(B32="","",SUMIFS(Tree!$AJ:$AJ,Tree!$A:$A,'Pre-Harvest Plots_rpt'!$B32,Tree!$B:$B,'Pre-Harvest Plots_rpt'!$D32,Tree!$F:$F,"L")-O32)</f>
        <v/>
      </c>
      <c r="T32" s="122" t="str">
        <f>IF(B32="","",SUMIFS(Tree!$AK:$AK,Tree!$A:$A,'Pre-Harvest Plots_rpt'!$B32,Tree!$B:$B,'Pre-Harvest Plots_rpt'!$D32,Tree!$F:$F,"L")-P32)</f>
        <v/>
      </c>
      <c r="U32" s="122" t="str">
        <f>IF(B32="","",SUMIFS(Tree!$AL:$AL,Tree!$A:$A,'Pre-Harvest Plots_rpt'!$B32,Tree!$B:$B,'Pre-Harvest Plots_rpt'!$D32,Tree!$F:$F,"L")-Q32)</f>
        <v/>
      </c>
      <c r="V32" s="123" t="str">
        <f>IF(B32="","",ROUND(SUMIFS(Tree!$AE:$AE,Tree!$A:$A,'Pre-Harvest Plots_rpt'!$B32,Tree!$B:$B,'Pre-Harvest Plots_rpt'!$D32,Tree!$F:$F,"L")-R32,1))</f>
        <v/>
      </c>
      <c r="W32" s="124" t="str">
        <f>IF(B32="","",SUMIFS(Tree!$AY:$AY,Tree!$A:$A,'Pre-Harvest Plots_rpt'!$B32,Tree!$B:$B,'Pre-Harvest Plots_rpt'!$D32,Tree!$F:$F,"L")/1000)</f>
        <v/>
      </c>
      <c r="X32" s="158" t="str">
        <f>IF(B32="","",ROUND((SUMIFS(Tree!$AW:$AW,Tree!$A:$A,'Pre-Harvest Plots_rpt'!$B32,Tree!$B:$B,'Pre-Harvest Plots_rpt'!$D32,Tree!$F:$F,"L")/1000)-W32,1))</f>
        <v/>
      </c>
      <c r="Y32" s="135"/>
      <c r="Z32" s="161" t="str">
        <f>IF(IF(B32="","",SUMIFS(Tree!$O:$O,Tree!$A:$A,'Pre-Harvest Plots_rpt'!$B32,Tree!$B:$B,'Pre-Harvest Plots_rpt'!$D32,Tree!$F:$F,"D"))=0,"",IF(B32="","",SUMIFS(Tree!$O:$O,Tree!$A:$A,'Pre-Harvest Plots_rpt'!$B32,Tree!$B:$B,'Pre-Harvest Plots_rpt'!$D32,Tree!$F:$F,"D")))</f>
        <v/>
      </c>
      <c r="AA32" s="125" t="str">
        <f t="shared" si="6"/>
        <v/>
      </c>
      <c r="AB32" s="125" t="str">
        <f>IF(Z32="","",SUMIFS(Tree!$R:$R,Tree!$A:$A,'Pre-Harvest Plots_rpt'!$B32,Tree!$B:$B,'Pre-Harvest Plots_rpt'!$D32,Tree!$F:$F,"D"))</f>
        <v/>
      </c>
      <c r="AC32" s="126" t="str">
        <f>IF(Z32="","",SUMIFS(Tree!$AM:$AM,Tree!$A:$A,'Pre-Harvest Plots_rpt'!$B32,Tree!$B:$B,'Pre-Harvest Plots_rpt'!$D32,Tree!$F:$F,"D"))</f>
        <v/>
      </c>
      <c r="AD32" s="162" t="str">
        <f>IF(Z32="","",SUMIFS(Tree!$AW:$AW,Tree!$A:$A,'Pre-Harvest Plots_rpt'!$B32,Tree!$B:$B,'Pre-Harvest Plots_rpt'!$D32,Tree!$F:$F,"D")/1000)</f>
        <v/>
      </c>
      <c r="AE32" s="47"/>
      <c r="AF32" s="4"/>
      <c r="AG32" s="4"/>
      <c r="AH32" s="4"/>
    </row>
    <row r="33" spans="1:34" ht="12.75" customHeight="1" x14ac:dyDescent="0.25">
      <c r="A33" s="48">
        <v>30</v>
      </c>
      <c r="B33" s="171" t="str">
        <f>IF(A33&lt;=SUM(Stand!$H$3:$H$29),VLOOKUP(A33,Stand!$A$3:$C$29,3,TRUE),"")</f>
        <v/>
      </c>
      <c r="C33" s="172" t="str">
        <f t="shared" si="9"/>
        <v/>
      </c>
      <c r="D33" s="173" t="str">
        <f>IF(B33="","",VLOOKUP(B33&amp;C33,Plot!$B$2:$D$199,3,FALSE))</f>
        <v/>
      </c>
      <c r="E33" s="130"/>
      <c r="F33" s="152" t="str">
        <f>IF(B33="","",SUMIFS(Tree!$O:$O,Tree!$A:$A,'Pre-Harvest Plots_rpt'!$B33,Tree!$B:$B,'Pre-Harvest Plots_rpt'!$D33,Tree!$F:$F,"L"))</f>
        <v/>
      </c>
      <c r="G33" s="153" t="str">
        <f>IFERROR(IF(D33="","",SUMIFS(Tree!$P:$P,Tree!$A:$A,'Pre-Harvest Plots_rpt'!$B33,Tree!$B:$B,'Pre-Harvest Plots_rpt'!$D33)/$F33),"")</f>
        <v/>
      </c>
      <c r="H33" s="122" t="str">
        <f t="shared" si="7"/>
        <v/>
      </c>
      <c r="I33" s="121" t="str">
        <f>IF(OR($F33=0,$F33=""),"",SUMIFS(Tree!$R:$R,Tree!$A:$A,'Pre-Harvest Plots_rpt'!$B33,Tree!$B:$B,'Pre-Harvest Plots_rpt'!$D33,Tree!$F:$F,"L"))</f>
        <v/>
      </c>
      <c r="J33" s="121" t="str">
        <f>IF(OR($F33=0,$F33=""),"",IF(SUMIFS(Tree!$W:$W,Tree!$A:$A,'Pre-Harvest Plots_rpt'!$B33,Tree!$B:$B,'Pre-Harvest Plots_rpt'!$D33,Tree!$F:$F,"L")=0,0,AVERAGEIFS(Tree!$W:$W,Tree!$A:$A,'Pre-Harvest Plots_rpt'!$B33,Tree!$B:$B,'Pre-Harvest Plots_rpt'!$D33,Tree!$F:$F,"L")))</f>
        <v/>
      </c>
      <c r="K33" s="121" t="str">
        <f>IF($F33="","",SUMIFS(Tree!$S:$S,Tree!$A:$A,'Pre-Harvest Plots_rpt'!$B33,Tree!$B:$B,'Pre-Harvest Plots_rpt'!$D33,Tree!$F:$F,"L"))</f>
        <v/>
      </c>
      <c r="L33" s="154" t="str">
        <f t="shared" si="8"/>
        <v/>
      </c>
      <c r="M33" s="135"/>
      <c r="N33" s="192" t="str">
        <f>IF(B33="","",SUMIFS(Tree!$AM:$AM,Tree!$A:$A,'Pre-Harvest Plots_rpt'!$B33,Tree!$B:$B,'Pre-Harvest Plots_rpt'!$D33,Tree!$F:$F,"L"))</f>
        <v/>
      </c>
      <c r="O33" s="122" t="str">
        <f>IF(B33="","",SUMIFS(Tree!$AN:$AN,Tree!$A:$A,'Pre-Harvest Plots_rpt'!$B33,Tree!$B:$B,'Pre-Harvest Plots_rpt'!$D33,Tree!$F:$F,"L"))</f>
        <v/>
      </c>
      <c r="P33" s="122" t="str">
        <f>IF(B33="","",SUMIFS(Tree!$AO:$AO,Tree!$A:$A,'Pre-Harvest Plots_rpt'!$B33,Tree!$B:$B,'Pre-Harvest Plots_rpt'!$D33,Tree!$F:$F,"L"))</f>
        <v/>
      </c>
      <c r="Q33" s="122" t="str">
        <f>IF(B33="","",SUMIFS(Tree!$AP:$AP,Tree!$A:$A,'Pre-Harvest Plots_rpt'!$B33,Tree!$B:$B,'Pre-Harvest Plots_rpt'!$D33,Tree!$F:$F,"L"))</f>
        <v/>
      </c>
      <c r="R33" s="123" t="str">
        <f>IF(B33="","",SUMIFS(Tree!$AQ:$AQ,Tree!$A:$A,'Pre-Harvest Plots_rpt'!$B33,Tree!$B:$B,'Pre-Harvest Plots_rpt'!$D33,Tree!$F:$F,"L"))</f>
        <v/>
      </c>
      <c r="S33" s="122" t="str">
        <f>IF(B33="","",SUMIFS(Tree!$AJ:$AJ,Tree!$A:$A,'Pre-Harvest Plots_rpt'!$B33,Tree!$B:$B,'Pre-Harvest Plots_rpt'!$D33,Tree!$F:$F,"L")-O33)</f>
        <v/>
      </c>
      <c r="T33" s="122" t="str">
        <f>IF(B33="","",SUMIFS(Tree!$AK:$AK,Tree!$A:$A,'Pre-Harvest Plots_rpt'!$B33,Tree!$B:$B,'Pre-Harvest Plots_rpt'!$D33,Tree!$F:$F,"L")-P33)</f>
        <v/>
      </c>
      <c r="U33" s="122" t="str">
        <f>IF(B33="","",SUMIFS(Tree!$AL:$AL,Tree!$A:$A,'Pre-Harvest Plots_rpt'!$B33,Tree!$B:$B,'Pre-Harvest Plots_rpt'!$D33,Tree!$F:$F,"L")-Q33)</f>
        <v/>
      </c>
      <c r="V33" s="123" t="str">
        <f>IF(B33="","",ROUND(SUMIFS(Tree!$AE:$AE,Tree!$A:$A,'Pre-Harvest Plots_rpt'!$B33,Tree!$B:$B,'Pre-Harvest Plots_rpt'!$D33,Tree!$F:$F,"L")-R33,1))</f>
        <v/>
      </c>
      <c r="W33" s="124" t="str">
        <f>IF(B33="","",SUMIFS(Tree!$AY:$AY,Tree!$A:$A,'Pre-Harvest Plots_rpt'!$B33,Tree!$B:$B,'Pre-Harvest Plots_rpt'!$D33,Tree!$F:$F,"L")/1000)</f>
        <v/>
      </c>
      <c r="X33" s="158" t="str">
        <f>IF(B33="","",ROUND((SUMIFS(Tree!$AW:$AW,Tree!$A:$A,'Pre-Harvest Plots_rpt'!$B33,Tree!$B:$B,'Pre-Harvest Plots_rpt'!$D33,Tree!$F:$F,"L")/1000)-W33,1))</f>
        <v/>
      </c>
      <c r="Y33" s="135"/>
      <c r="Z33" s="161" t="str">
        <f>IF(IF(B33="","",SUMIFS(Tree!$O:$O,Tree!$A:$A,'Pre-Harvest Plots_rpt'!$B33,Tree!$B:$B,'Pre-Harvest Plots_rpt'!$D33,Tree!$F:$F,"D"))=0,"",IF(B33="","",SUMIFS(Tree!$O:$O,Tree!$A:$A,'Pre-Harvest Plots_rpt'!$B33,Tree!$B:$B,'Pre-Harvest Plots_rpt'!$D33,Tree!$F:$F,"D")))</f>
        <v/>
      </c>
      <c r="AA33" s="125" t="str">
        <f t="shared" si="6"/>
        <v/>
      </c>
      <c r="AB33" s="125" t="str">
        <f>IF(Z33="","",SUMIFS(Tree!$R:$R,Tree!$A:$A,'Pre-Harvest Plots_rpt'!$B33,Tree!$B:$B,'Pre-Harvest Plots_rpt'!$D33,Tree!$F:$F,"D"))</f>
        <v/>
      </c>
      <c r="AC33" s="126" t="str">
        <f>IF(Z33="","",SUMIFS(Tree!$AM:$AM,Tree!$A:$A,'Pre-Harvest Plots_rpt'!$B33,Tree!$B:$B,'Pre-Harvest Plots_rpt'!$D33,Tree!$F:$F,"D"))</f>
        <v/>
      </c>
      <c r="AD33" s="162" t="str">
        <f>IF(Z33="","",SUMIFS(Tree!$AW:$AW,Tree!$A:$A,'Pre-Harvest Plots_rpt'!$B33,Tree!$B:$B,'Pre-Harvest Plots_rpt'!$D33,Tree!$F:$F,"D")/1000)</f>
        <v/>
      </c>
      <c r="AE33" s="47"/>
      <c r="AF33" s="4"/>
      <c r="AG33" s="4"/>
      <c r="AH33" s="4"/>
    </row>
    <row r="34" spans="1:34" ht="14.55" customHeight="1" x14ac:dyDescent="0.25">
      <c r="A34" s="48">
        <v>31</v>
      </c>
      <c r="B34" s="171" t="str">
        <f>IF(A34&lt;=SUM(Stand!$H$3:$H$29),VLOOKUP(A34,Stand!$A$3:$C$29,3,TRUE),"")</f>
        <v/>
      </c>
      <c r="C34" s="172" t="str">
        <f t="shared" si="9"/>
        <v/>
      </c>
      <c r="D34" s="173" t="str">
        <f>IF(B34="","",VLOOKUP(B34&amp;C34,Plot!$B$2:$D$199,3,FALSE))</f>
        <v/>
      </c>
      <c r="E34" s="130"/>
      <c r="F34" s="152" t="str">
        <f>IF(B34="","",SUMIFS(Tree!$O:$O,Tree!$A:$A,'Pre-Harvest Plots_rpt'!$B34,Tree!$B:$B,'Pre-Harvest Plots_rpt'!$D34,Tree!$F:$F,"L"))</f>
        <v/>
      </c>
      <c r="G34" s="153" t="str">
        <f>IFERROR(IF(D34="","",SUMIFS(Tree!$P:$P,Tree!$A:$A,'Pre-Harvest Plots_rpt'!$B34,Tree!$B:$B,'Pre-Harvest Plots_rpt'!$D34)/$F34),"")</f>
        <v/>
      </c>
      <c r="H34" s="122" t="str">
        <f t="shared" si="7"/>
        <v/>
      </c>
      <c r="I34" s="121" t="str">
        <f>IF(OR($F34=0,$F34=""),"",SUMIFS(Tree!$R:$R,Tree!$A:$A,'Pre-Harvest Plots_rpt'!$B34,Tree!$B:$B,'Pre-Harvest Plots_rpt'!$D34,Tree!$F:$F,"L"))</f>
        <v/>
      </c>
      <c r="J34" s="121" t="str">
        <f>IF(OR($F34=0,$F34=""),"",IF(SUMIFS(Tree!$W:$W,Tree!$A:$A,'Pre-Harvest Plots_rpt'!$B34,Tree!$B:$B,'Pre-Harvest Plots_rpt'!$D34,Tree!$F:$F,"L")=0,0,AVERAGEIFS(Tree!$W:$W,Tree!$A:$A,'Pre-Harvest Plots_rpt'!$B34,Tree!$B:$B,'Pre-Harvest Plots_rpt'!$D34,Tree!$F:$F,"L")))</f>
        <v/>
      </c>
      <c r="K34" s="121" t="str">
        <f>IF($F34="","",SUMIFS(Tree!$S:$S,Tree!$A:$A,'Pre-Harvest Plots_rpt'!$B34,Tree!$B:$B,'Pre-Harvest Plots_rpt'!$D34,Tree!$F:$F,"L"))</f>
        <v/>
      </c>
      <c r="L34" s="154" t="str">
        <f t="shared" si="8"/>
        <v/>
      </c>
      <c r="M34" s="135"/>
      <c r="N34" s="192" t="str">
        <f>IF(B34="","",SUMIFS(Tree!$AM:$AM,Tree!$A:$A,'Pre-Harvest Plots_rpt'!$B34,Tree!$B:$B,'Pre-Harvest Plots_rpt'!$D34,Tree!$F:$F,"L"))</f>
        <v/>
      </c>
      <c r="O34" s="122" t="str">
        <f>IF(B34="","",SUMIFS(Tree!$AN:$AN,Tree!$A:$A,'Pre-Harvest Plots_rpt'!$B34,Tree!$B:$B,'Pre-Harvest Plots_rpt'!$D34,Tree!$F:$F,"L"))</f>
        <v/>
      </c>
      <c r="P34" s="122" t="str">
        <f>IF(B34="","",SUMIFS(Tree!$AO:$AO,Tree!$A:$A,'Pre-Harvest Plots_rpt'!$B34,Tree!$B:$B,'Pre-Harvest Plots_rpt'!$D34,Tree!$F:$F,"L"))</f>
        <v/>
      </c>
      <c r="Q34" s="122" t="str">
        <f>IF(B34="","",SUMIFS(Tree!$AP:$AP,Tree!$A:$A,'Pre-Harvest Plots_rpt'!$B34,Tree!$B:$B,'Pre-Harvest Plots_rpt'!$D34,Tree!$F:$F,"L"))</f>
        <v/>
      </c>
      <c r="R34" s="123" t="str">
        <f>IF(B34="","",SUMIFS(Tree!$AQ:$AQ,Tree!$A:$A,'Pre-Harvest Plots_rpt'!$B34,Tree!$B:$B,'Pre-Harvest Plots_rpt'!$D34,Tree!$F:$F,"L"))</f>
        <v/>
      </c>
      <c r="S34" s="122" t="str">
        <f>IF(B34="","",SUMIFS(Tree!$AJ:$AJ,Tree!$A:$A,'Pre-Harvest Plots_rpt'!$B34,Tree!$B:$B,'Pre-Harvest Plots_rpt'!$D34,Tree!$F:$F,"L")-O34)</f>
        <v/>
      </c>
      <c r="T34" s="122" t="str">
        <f>IF(B34="","",SUMIFS(Tree!$AK:$AK,Tree!$A:$A,'Pre-Harvest Plots_rpt'!$B34,Tree!$B:$B,'Pre-Harvest Plots_rpt'!$D34,Tree!$F:$F,"L")-P34)</f>
        <v/>
      </c>
      <c r="U34" s="122" t="str">
        <f>IF(B34="","",SUMIFS(Tree!$AL:$AL,Tree!$A:$A,'Pre-Harvest Plots_rpt'!$B34,Tree!$B:$B,'Pre-Harvest Plots_rpt'!$D34,Tree!$F:$F,"L")-Q34)</f>
        <v/>
      </c>
      <c r="V34" s="123" t="str">
        <f>IF(B34="","",ROUND(SUMIFS(Tree!$AE:$AE,Tree!$A:$A,'Pre-Harvest Plots_rpt'!$B34,Tree!$B:$B,'Pre-Harvest Plots_rpt'!$D34,Tree!$F:$F,"L")-R34,1))</f>
        <v/>
      </c>
      <c r="W34" s="124" t="str">
        <f>IF(B34="","",SUMIFS(Tree!$AY:$AY,Tree!$A:$A,'Pre-Harvest Plots_rpt'!$B34,Tree!$B:$B,'Pre-Harvest Plots_rpt'!$D34,Tree!$F:$F,"L")/1000)</f>
        <v/>
      </c>
      <c r="X34" s="158" t="str">
        <f>IF(B34="","",ROUND((SUMIFS(Tree!$AW:$AW,Tree!$A:$A,'Pre-Harvest Plots_rpt'!$B34,Tree!$B:$B,'Pre-Harvest Plots_rpt'!$D34,Tree!$F:$F,"L")/1000)-W34,1))</f>
        <v/>
      </c>
      <c r="Y34" s="135"/>
      <c r="Z34" s="161" t="str">
        <f>IF(IF(B34="","",SUMIFS(Tree!$O:$O,Tree!$A:$A,'Pre-Harvest Plots_rpt'!$B34,Tree!$B:$B,'Pre-Harvest Plots_rpt'!$D34,Tree!$F:$F,"D"))=0,"",IF(B34="","",SUMIFS(Tree!$O:$O,Tree!$A:$A,'Pre-Harvest Plots_rpt'!$B34,Tree!$B:$B,'Pre-Harvest Plots_rpt'!$D34,Tree!$F:$F,"D")))</f>
        <v/>
      </c>
      <c r="AA34" s="125" t="str">
        <f t="shared" si="6"/>
        <v/>
      </c>
      <c r="AB34" s="125" t="str">
        <f>IF(Z34="","",SUMIFS(Tree!$R:$R,Tree!$A:$A,'Pre-Harvest Plots_rpt'!$B34,Tree!$B:$B,'Pre-Harvest Plots_rpt'!$D34,Tree!$F:$F,"D"))</f>
        <v/>
      </c>
      <c r="AC34" s="126" t="str">
        <f>IF(Z34="","",SUMIFS(Tree!$AM:$AM,Tree!$A:$A,'Pre-Harvest Plots_rpt'!$B34,Tree!$B:$B,'Pre-Harvest Plots_rpt'!$D34,Tree!$F:$F,"D"))</f>
        <v/>
      </c>
      <c r="AD34" s="162" t="str">
        <f>IF(Z34="","",SUMIFS(Tree!$AW:$AW,Tree!$A:$A,'Pre-Harvest Plots_rpt'!$B34,Tree!$B:$B,'Pre-Harvest Plots_rpt'!$D34,Tree!$F:$F,"D")/1000)</f>
        <v/>
      </c>
      <c r="AE34" s="47"/>
      <c r="AF34" s="4"/>
      <c r="AG34" s="4"/>
      <c r="AH34" s="4"/>
    </row>
    <row r="35" spans="1:34" ht="12.75" customHeight="1" x14ac:dyDescent="0.25">
      <c r="A35" s="48">
        <v>32</v>
      </c>
      <c r="B35" s="171" t="str">
        <f>IF(A35&lt;=SUM(Stand!$H$3:$H$29),VLOOKUP(A35,Stand!$A$3:$C$29,3,TRUE),"")</f>
        <v/>
      </c>
      <c r="C35" s="172" t="str">
        <f t="shared" si="9"/>
        <v/>
      </c>
      <c r="D35" s="173" t="str">
        <f>IF(B35="","",VLOOKUP(B35&amp;C35,Plot!$B$2:$D$199,3,FALSE))</f>
        <v/>
      </c>
      <c r="E35" s="130"/>
      <c r="F35" s="152" t="str">
        <f>IF(B35="","",SUMIFS(Tree!$O:$O,Tree!$A:$A,'Pre-Harvest Plots_rpt'!$B35,Tree!$B:$B,'Pre-Harvest Plots_rpt'!$D35,Tree!$F:$F,"L"))</f>
        <v/>
      </c>
      <c r="G35" s="153" t="str">
        <f>IFERROR(IF(D35="","",SUMIFS(Tree!$P:$P,Tree!$A:$A,'Pre-Harvest Plots_rpt'!$B35,Tree!$B:$B,'Pre-Harvest Plots_rpt'!$D35)/$F35),"")</f>
        <v/>
      </c>
      <c r="H35" s="122" t="str">
        <f t="shared" si="7"/>
        <v/>
      </c>
      <c r="I35" s="121" t="str">
        <f>IF(OR($F35=0,$F35=""),"",SUMIFS(Tree!$R:$R,Tree!$A:$A,'Pre-Harvest Plots_rpt'!$B35,Tree!$B:$B,'Pre-Harvest Plots_rpt'!$D35,Tree!$F:$F,"L"))</f>
        <v/>
      </c>
      <c r="J35" s="121" t="str">
        <f>IF(OR($F35=0,$F35=""),"",IF(SUMIFS(Tree!$W:$W,Tree!$A:$A,'Pre-Harvest Plots_rpt'!$B35,Tree!$B:$B,'Pre-Harvest Plots_rpt'!$D35,Tree!$F:$F,"L")=0,0,AVERAGEIFS(Tree!$W:$W,Tree!$A:$A,'Pre-Harvest Plots_rpt'!$B35,Tree!$B:$B,'Pre-Harvest Plots_rpt'!$D35,Tree!$F:$F,"L")))</f>
        <v/>
      </c>
      <c r="K35" s="121" t="str">
        <f>IF($F35="","",SUMIFS(Tree!$S:$S,Tree!$A:$A,'Pre-Harvest Plots_rpt'!$B35,Tree!$B:$B,'Pre-Harvest Plots_rpt'!$D35,Tree!$F:$F,"L"))</f>
        <v/>
      </c>
      <c r="L35" s="154" t="str">
        <f t="shared" si="8"/>
        <v/>
      </c>
      <c r="M35" s="135"/>
      <c r="N35" s="192" t="str">
        <f>IF(B35="","",SUMIFS(Tree!$AM:$AM,Tree!$A:$A,'Pre-Harvest Plots_rpt'!$B35,Tree!$B:$B,'Pre-Harvest Plots_rpt'!$D35,Tree!$F:$F,"L"))</f>
        <v/>
      </c>
      <c r="O35" s="122" t="str">
        <f>IF(B35="","",SUMIFS(Tree!$AN:$AN,Tree!$A:$A,'Pre-Harvest Plots_rpt'!$B35,Tree!$B:$B,'Pre-Harvest Plots_rpt'!$D35,Tree!$F:$F,"L"))</f>
        <v/>
      </c>
      <c r="P35" s="122" t="str">
        <f>IF(B35="","",SUMIFS(Tree!$AO:$AO,Tree!$A:$A,'Pre-Harvest Plots_rpt'!$B35,Tree!$B:$B,'Pre-Harvest Plots_rpt'!$D35,Tree!$F:$F,"L"))</f>
        <v/>
      </c>
      <c r="Q35" s="122" t="str">
        <f>IF(B35="","",SUMIFS(Tree!$AP:$AP,Tree!$A:$A,'Pre-Harvest Plots_rpt'!$B35,Tree!$B:$B,'Pre-Harvest Plots_rpt'!$D35,Tree!$F:$F,"L"))</f>
        <v/>
      </c>
      <c r="R35" s="123" t="str">
        <f>IF(B35="","",SUMIFS(Tree!$AQ:$AQ,Tree!$A:$A,'Pre-Harvest Plots_rpt'!$B35,Tree!$B:$B,'Pre-Harvest Plots_rpt'!$D35,Tree!$F:$F,"L"))</f>
        <v/>
      </c>
      <c r="S35" s="122" t="str">
        <f>IF(B35="","",SUMIFS(Tree!$AJ:$AJ,Tree!$A:$A,'Pre-Harvest Plots_rpt'!$B35,Tree!$B:$B,'Pre-Harvest Plots_rpt'!$D35,Tree!$F:$F,"L")-O35)</f>
        <v/>
      </c>
      <c r="T35" s="122" t="str">
        <f>IF(B35="","",SUMIFS(Tree!$AK:$AK,Tree!$A:$A,'Pre-Harvest Plots_rpt'!$B35,Tree!$B:$B,'Pre-Harvest Plots_rpt'!$D35,Tree!$F:$F,"L")-P35)</f>
        <v/>
      </c>
      <c r="U35" s="122" t="str">
        <f>IF(B35="","",SUMIFS(Tree!$AL:$AL,Tree!$A:$A,'Pre-Harvest Plots_rpt'!$B35,Tree!$B:$B,'Pre-Harvest Plots_rpt'!$D35,Tree!$F:$F,"L")-Q35)</f>
        <v/>
      </c>
      <c r="V35" s="123" t="str">
        <f>IF(B35="","",ROUND(SUMIFS(Tree!$AE:$AE,Tree!$A:$A,'Pre-Harvest Plots_rpt'!$B35,Tree!$B:$B,'Pre-Harvest Plots_rpt'!$D35,Tree!$F:$F,"L")-R35,1))</f>
        <v/>
      </c>
      <c r="W35" s="124" t="str">
        <f>IF(B35="","",SUMIFS(Tree!$AY:$AY,Tree!$A:$A,'Pre-Harvest Plots_rpt'!$B35,Tree!$B:$B,'Pre-Harvest Plots_rpt'!$D35,Tree!$F:$F,"L")/1000)</f>
        <v/>
      </c>
      <c r="X35" s="158" t="str">
        <f>IF(B35="","",ROUND((SUMIFS(Tree!$AW:$AW,Tree!$A:$A,'Pre-Harvest Plots_rpt'!$B35,Tree!$B:$B,'Pre-Harvest Plots_rpt'!$D35,Tree!$F:$F,"L")/1000)-W35,1))</f>
        <v/>
      </c>
      <c r="Y35" s="135"/>
      <c r="Z35" s="161" t="str">
        <f>IF(IF(B35="","",SUMIFS(Tree!$O:$O,Tree!$A:$A,'Pre-Harvest Plots_rpt'!$B35,Tree!$B:$B,'Pre-Harvest Plots_rpt'!$D35,Tree!$F:$F,"D"))=0,"",IF(B35="","",SUMIFS(Tree!$O:$O,Tree!$A:$A,'Pre-Harvest Plots_rpt'!$B35,Tree!$B:$B,'Pre-Harvest Plots_rpt'!$D35,Tree!$F:$F,"D")))</f>
        <v/>
      </c>
      <c r="AA35" s="125" t="str">
        <f t="shared" si="6"/>
        <v/>
      </c>
      <c r="AB35" s="125" t="str">
        <f>IF(Z35="","",SUMIFS(Tree!$R:$R,Tree!$A:$A,'Pre-Harvest Plots_rpt'!$B35,Tree!$B:$B,'Pre-Harvest Plots_rpt'!$D35,Tree!$F:$F,"D"))</f>
        <v/>
      </c>
      <c r="AC35" s="126" t="str">
        <f>IF(Z35="","",SUMIFS(Tree!$AM:$AM,Tree!$A:$A,'Pre-Harvest Plots_rpt'!$B35,Tree!$B:$B,'Pre-Harvest Plots_rpt'!$D35,Tree!$F:$F,"D"))</f>
        <v/>
      </c>
      <c r="AD35" s="162" t="str">
        <f>IF(Z35="","",SUMIFS(Tree!$AW:$AW,Tree!$A:$A,'Pre-Harvest Plots_rpt'!$B35,Tree!$B:$B,'Pre-Harvest Plots_rpt'!$D35,Tree!$F:$F,"D")/1000)</f>
        <v/>
      </c>
      <c r="AE35" s="47"/>
      <c r="AF35" s="4"/>
      <c r="AG35" s="4"/>
      <c r="AH35" s="4"/>
    </row>
    <row r="36" spans="1:34" ht="12.75" customHeight="1" x14ac:dyDescent="0.25">
      <c r="A36" s="48">
        <v>33</v>
      </c>
      <c r="B36" s="171" t="str">
        <f>IF(A36&lt;=SUM(Stand!$H$3:$H$29),VLOOKUP(A36,Stand!$A$3:$C$29,3,TRUE),"")</f>
        <v/>
      </c>
      <c r="C36" s="172" t="str">
        <f t="shared" si="9"/>
        <v/>
      </c>
      <c r="D36" s="173" t="str">
        <f>IF(B36="","",VLOOKUP(B36&amp;C36,Plot!$B$2:$D$199,3,FALSE))</f>
        <v/>
      </c>
      <c r="E36" s="130"/>
      <c r="F36" s="152" t="str">
        <f>IF(B36="","",SUMIFS(Tree!$O:$O,Tree!$A:$A,'Pre-Harvest Plots_rpt'!$B36,Tree!$B:$B,'Pre-Harvest Plots_rpt'!$D36,Tree!$F:$F,"L"))</f>
        <v/>
      </c>
      <c r="G36" s="153" t="str">
        <f>IFERROR(IF(D36="","",SUMIFS(Tree!$P:$P,Tree!$A:$A,'Pre-Harvest Plots_rpt'!$B36,Tree!$B:$B,'Pre-Harvest Plots_rpt'!$D36)/$F36),"")</f>
        <v/>
      </c>
      <c r="H36" s="122" t="str">
        <f t="shared" si="7"/>
        <v/>
      </c>
      <c r="I36" s="121" t="str">
        <f>IF(OR($F36=0,$F36=""),"",SUMIFS(Tree!$R:$R,Tree!$A:$A,'Pre-Harvest Plots_rpt'!$B36,Tree!$B:$B,'Pre-Harvest Plots_rpt'!$D36,Tree!$F:$F,"L"))</f>
        <v/>
      </c>
      <c r="J36" s="121" t="str">
        <f>IF(OR($F36=0,$F36=""),"",IF(SUMIFS(Tree!$W:$W,Tree!$A:$A,'Pre-Harvest Plots_rpt'!$B36,Tree!$B:$B,'Pre-Harvest Plots_rpt'!$D36,Tree!$F:$F,"L")=0,0,AVERAGEIFS(Tree!$W:$W,Tree!$A:$A,'Pre-Harvest Plots_rpt'!$B36,Tree!$B:$B,'Pre-Harvest Plots_rpt'!$D36,Tree!$F:$F,"L")))</f>
        <v/>
      </c>
      <c r="K36" s="121" t="str">
        <f>IF($F36="","",SUMIFS(Tree!$S:$S,Tree!$A:$A,'Pre-Harvest Plots_rpt'!$B36,Tree!$B:$B,'Pre-Harvest Plots_rpt'!$D36,Tree!$F:$F,"L"))</f>
        <v/>
      </c>
      <c r="L36" s="154" t="str">
        <f t="shared" si="8"/>
        <v/>
      </c>
      <c r="M36" s="135"/>
      <c r="N36" s="192" t="str">
        <f>IF(B36="","",SUMIFS(Tree!$AM:$AM,Tree!$A:$A,'Pre-Harvest Plots_rpt'!$B36,Tree!$B:$B,'Pre-Harvest Plots_rpt'!$D36,Tree!$F:$F,"L"))</f>
        <v/>
      </c>
      <c r="O36" s="122" t="str">
        <f>IF(B36="","",SUMIFS(Tree!$AN:$AN,Tree!$A:$A,'Pre-Harvest Plots_rpt'!$B36,Tree!$B:$B,'Pre-Harvest Plots_rpt'!$D36,Tree!$F:$F,"L"))</f>
        <v/>
      </c>
      <c r="P36" s="122" t="str">
        <f>IF(B36="","",SUMIFS(Tree!$AO:$AO,Tree!$A:$A,'Pre-Harvest Plots_rpt'!$B36,Tree!$B:$B,'Pre-Harvest Plots_rpt'!$D36,Tree!$F:$F,"L"))</f>
        <v/>
      </c>
      <c r="Q36" s="122" t="str">
        <f>IF(B36="","",SUMIFS(Tree!$AP:$AP,Tree!$A:$A,'Pre-Harvest Plots_rpt'!$B36,Tree!$B:$B,'Pre-Harvest Plots_rpt'!$D36,Tree!$F:$F,"L"))</f>
        <v/>
      </c>
      <c r="R36" s="123" t="str">
        <f>IF(B36="","",SUMIFS(Tree!$AQ:$AQ,Tree!$A:$A,'Pre-Harvest Plots_rpt'!$B36,Tree!$B:$B,'Pre-Harvest Plots_rpt'!$D36,Tree!$F:$F,"L"))</f>
        <v/>
      </c>
      <c r="S36" s="122" t="str">
        <f>IF(B36="","",SUMIFS(Tree!$AJ:$AJ,Tree!$A:$A,'Pre-Harvest Plots_rpt'!$B36,Tree!$B:$B,'Pre-Harvest Plots_rpt'!$D36,Tree!$F:$F,"L")-O36)</f>
        <v/>
      </c>
      <c r="T36" s="122" t="str">
        <f>IF(B36="","",SUMIFS(Tree!$AK:$AK,Tree!$A:$A,'Pre-Harvest Plots_rpt'!$B36,Tree!$B:$B,'Pre-Harvest Plots_rpt'!$D36,Tree!$F:$F,"L")-P36)</f>
        <v/>
      </c>
      <c r="U36" s="122" t="str">
        <f>IF(B36="","",SUMIFS(Tree!$AL:$AL,Tree!$A:$A,'Pre-Harvest Plots_rpt'!$B36,Tree!$B:$B,'Pre-Harvest Plots_rpt'!$D36,Tree!$F:$F,"L")-Q36)</f>
        <v/>
      </c>
      <c r="V36" s="123" t="str">
        <f>IF(B36="","",ROUND(SUMIFS(Tree!$AE:$AE,Tree!$A:$A,'Pre-Harvest Plots_rpt'!$B36,Tree!$B:$B,'Pre-Harvest Plots_rpt'!$D36,Tree!$F:$F,"L")-R36,1))</f>
        <v/>
      </c>
      <c r="W36" s="124" t="str">
        <f>IF(B36="","",SUMIFS(Tree!$AY:$AY,Tree!$A:$A,'Pre-Harvest Plots_rpt'!$B36,Tree!$B:$B,'Pre-Harvest Plots_rpt'!$D36,Tree!$F:$F,"L")/1000)</f>
        <v/>
      </c>
      <c r="X36" s="158" t="str">
        <f>IF(B36="","",ROUND((SUMIFS(Tree!$AW:$AW,Tree!$A:$A,'Pre-Harvest Plots_rpt'!$B36,Tree!$B:$B,'Pre-Harvest Plots_rpt'!$D36,Tree!$F:$F,"L")/1000)-W36,1))</f>
        <v/>
      </c>
      <c r="Y36" s="135"/>
      <c r="Z36" s="161" t="str">
        <f>IF(IF(B36="","",SUMIFS(Tree!$O:$O,Tree!$A:$A,'Pre-Harvest Plots_rpt'!$B36,Tree!$B:$B,'Pre-Harvest Plots_rpt'!$D36,Tree!$F:$F,"D"))=0,"",IF(B36="","",SUMIFS(Tree!$O:$O,Tree!$A:$A,'Pre-Harvest Plots_rpt'!$B36,Tree!$B:$B,'Pre-Harvest Plots_rpt'!$D36,Tree!$F:$F,"D")))</f>
        <v/>
      </c>
      <c r="AA36" s="125" t="str">
        <f t="shared" si="6"/>
        <v/>
      </c>
      <c r="AB36" s="125" t="str">
        <f>IF(Z36="","",SUMIFS(Tree!$R:$R,Tree!$A:$A,'Pre-Harvest Plots_rpt'!$B36,Tree!$B:$B,'Pre-Harvest Plots_rpt'!$D36,Tree!$F:$F,"D"))</f>
        <v/>
      </c>
      <c r="AC36" s="126" t="str">
        <f>IF(Z36="","",SUMIFS(Tree!$AM:$AM,Tree!$A:$A,'Pre-Harvest Plots_rpt'!$B36,Tree!$B:$B,'Pre-Harvest Plots_rpt'!$D36,Tree!$F:$F,"D"))</f>
        <v/>
      </c>
      <c r="AD36" s="162" t="str">
        <f>IF(Z36="","",SUMIFS(Tree!$AW:$AW,Tree!$A:$A,'Pre-Harvest Plots_rpt'!$B36,Tree!$B:$B,'Pre-Harvest Plots_rpt'!$D36,Tree!$F:$F,"D")/1000)</f>
        <v/>
      </c>
      <c r="AE36" s="47"/>
      <c r="AF36" s="4"/>
      <c r="AG36" s="4"/>
      <c r="AH36" s="4"/>
    </row>
    <row r="37" spans="1:34" ht="12.75" customHeight="1" x14ac:dyDescent="0.25">
      <c r="A37" s="48">
        <v>34</v>
      </c>
      <c r="B37" s="171" t="str">
        <f>IF(A37&lt;=SUM(Stand!$H$3:$H$29),VLOOKUP(A37,Stand!$A$3:$C$29,3,TRUE),"")</f>
        <v/>
      </c>
      <c r="C37" s="172" t="str">
        <f t="shared" si="9"/>
        <v/>
      </c>
      <c r="D37" s="173" t="str">
        <f>IF(B37="","",VLOOKUP(B37&amp;C37,Plot!$B$2:$D$199,3,FALSE))</f>
        <v/>
      </c>
      <c r="E37" s="130"/>
      <c r="F37" s="152" t="str">
        <f>IF(B37="","",SUMIFS(Tree!$O:$O,Tree!$A:$A,'Pre-Harvest Plots_rpt'!$B37,Tree!$B:$B,'Pre-Harvest Plots_rpt'!$D37,Tree!$F:$F,"L"))</f>
        <v/>
      </c>
      <c r="G37" s="153" t="str">
        <f>IFERROR(IF(D37="","",SUMIFS(Tree!$P:$P,Tree!$A:$A,'Pre-Harvest Plots_rpt'!$B37,Tree!$B:$B,'Pre-Harvest Plots_rpt'!$D37)/$F37),"")</f>
        <v/>
      </c>
      <c r="H37" s="122" t="str">
        <f t="shared" si="7"/>
        <v/>
      </c>
      <c r="I37" s="121" t="str">
        <f>IF(OR($F37=0,$F37=""),"",SUMIFS(Tree!$R:$R,Tree!$A:$A,'Pre-Harvest Plots_rpt'!$B37,Tree!$B:$B,'Pre-Harvest Plots_rpt'!$D37,Tree!$F:$F,"L"))</f>
        <v/>
      </c>
      <c r="J37" s="121" t="str">
        <f>IF(OR($F37=0,$F37=""),"",IF(SUMIFS(Tree!$W:$W,Tree!$A:$A,'Pre-Harvest Plots_rpt'!$B37,Tree!$B:$B,'Pre-Harvest Plots_rpt'!$D37,Tree!$F:$F,"L")=0,0,AVERAGEIFS(Tree!$W:$W,Tree!$A:$A,'Pre-Harvest Plots_rpt'!$B37,Tree!$B:$B,'Pre-Harvest Plots_rpt'!$D37,Tree!$F:$F,"L")))</f>
        <v/>
      </c>
      <c r="K37" s="121" t="str">
        <f>IF($F37="","",SUMIFS(Tree!$S:$S,Tree!$A:$A,'Pre-Harvest Plots_rpt'!$B37,Tree!$B:$B,'Pre-Harvest Plots_rpt'!$D37,Tree!$F:$F,"L"))</f>
        <v/>
      </c>
      <c r="L37" s="154" t="str">
        <f t="shared" si="8"/>
        <v/>
      </c>
      <c r="M37" s="135"/>
      <c r="N37" s="192" t="str">
        <f>IF(B37="","",SUMIFS(Tree!$AM:$AM,Tree!$A:$A,'Pre-Harvest Plots_rpt'!$B37,Tree!$B:$B,'Pre-Harvest Plots_rpt'!$D37,Tree!$F:$F,"L"))</f>
        <v/>
      </c>
      <c r="O37" s="122" t="str">
        <f>IF(B37="","",SUMIFS(Tree!$AN:$AN,Tree!$A:$A,'Pre-Harvest Plots_rpt'!$B37,Tree!$B:$B,'Pre-Harvest Plots_rpt'!$D37,Tree!$F:$F,"L"))</f>
        <v/>
      </c>
      <c r="P37" s="122" t="str">
        <f>IF(B37="","",SUMIFS(Tree!$AO:$AO,Tree!$A:$A,'Pre-Harvest Plots_rpt'!$B37,Tree!$B:$B,'Pre-Harvest Plots_rpt'!$D37,Tree!$F:$F,"L"))</f>
        <v/>
      </c>
      <c r="Q37" s="122" t="str">
        <f>IF(B37="","",SUMIFS(Tree!$AP:$AP,Tree!$A:$A,'Pre-Harvest Plots_rpt'!$B37,Tree!$B:$B,'Pre-Harvest Plots_rpt'!$D37,Tree!$F:$F,"L"))</f>
        <v/>
      </c>
      <c r="R37" s="123" t="str">
        <f>IF(B37="","",SUMIFS(Tree!$AQ:$AQ,Tree!$A:$A,'Pre-Harvest Plots_rpt'!$B37,Tree!$B:$B,'Pre-Harvest Plots_rpt'!$D37,Tree!$F:$F,"L"))</f>
        <v/>
      </c>
      <c r="S37" s="122" t="str">
        <f>IF(B37="","",SUMIFS(Tree!$AJ:$AJ,Tree!$A:$A,'Pre-Harvest Plots_rpt'!$B37,Tree!$B:$B,'Pre-Harvest Plots_rpt'!$D37,Tree!$F:$F,"L")-O37)</f>
        <v/>
      </c>
      <c r="T37" s="122" t="str">
        <f>IF(B37="","",SUMIFS(Tree!$AK:$AK,Tree!$A:$A,'Pre-Harvest Plots_rpt'!$B37,Tree!$B:$B,'Pre-Harvest Plots_rpt'!$D37,Tree!$F:$F,"L")-P37)</f>
        <v/>
      </c>
      <c r="U37" s="122" t="str">
        <f>IF(B37="","",SUMIFS(Tree!$AL:$AL,Tree!$A:$A,'Pre-Harvest Plots_rpt'!$B37,Tree!$B:$B,'Pre-Harvest Plots_rpt'!$D37,Tree!$F:$F,"L")-Q37)</f>
        <v/>
      </c>
      <c r="V37" s="123" t="str">
        <f>IF(B37="","",ROUND(SUMIFS(Tree!$AE:$AE,Tree!$A:$A,'Pre-Harvest Plots_rpt'!$B37,Tree!$B:$B,'Pre-Harvest Plots_rpt'!$D37,Tree!$F:$F,"L")-R37,1))</f>
        <v/>
      </c>
      <c r="W37" s="124" t="str">
        <f>IF(B37="","",SUMIFS(Tree!$AY:$AY,Tree!$A:$A,'Pre-Harvest Plots_rpt'!$B37,Tree!$B:$B,'Pre-Harvest Plots_rpt'!$D37,Tree!$F:$F,"L")/1000)</f>
        <v/>
      </c>
      <c r="X37" s="158" t="str">
        <f>IF(B37="","",ROUND((SUMIFS(Tree!$AW:$AW,Tree!$A:$A,'Pre-Harvest Plots_rpt'!$B37,Tree!$B:$B,'Pre-Harvest Plots_rpt'!$D37,Tree!$F:$F,"L")/1000)-W37,1))</f>
        <v/>
      </c>
      <c r="Y37" s="135"/>
      <c r="Z37" s="161" t="str">
        <f>IF(IF(B37="","",SUMIFS(Tree!$O:$O,Tree!$A:$A,'Pre-Harvest Plots_rpt'!$B37,Tree!$B:$B,'Pre-Harvest Plots_rpt'!$D37,Tree!$F:$F,"D"))=0,"",IF(B37="","",SUMIFS(Tree!$O:$O,Tree!$A:$A,'Pre-Harvest Plots_rpt'!$B37,Tree!$B:$B,'Pre-Harvest Plots_rpt'!$D37,Tree!$F:$F,"D")))</f>
        <v/>
      </c>
      <c r="AA37" s="125" t="str">
        <f t="shared" si="6"/>
        <v/>
      </c>
      <c r="AB37" s="125" t="str">
        <f>IF(Z37="","",SUMIFS(Tree!$R:$R,Tree!$A:$A,'Pre-Harvest Plots_rpt'!$B37,Tree!$B:$B,'Pre-Harvest Plots_rpt'!$D37,Tree!$F:$F,"D"))</f>
        <v/>
      </c>
      <c r="AC37" s="126" t="str">
        <f>IF(Z37="","",SUMIFS(Tree!$AM:$AM,Tree!$A:$A,'Pre-Harvest Plots_rpt'!$B37,Tree!$B:$B,'Pre-Harvest Plots_rpt'!$D37,Tree!$F:$F,"D"))</f>
        <v/>
      </c>
      <c r="AD37" s="162" t="str">
        <f>IF(Z37="","",SUMIFS(Tree!$AW:$AW,Tree!$A:$A,'Pre-Harvest Plots_rpt'!$B37,Tree!$B:$B,'Pre-Harvest Plots_rpt'!$D37,Tree!$F:$F,"D")/1000)</f>
        <v/>
      </c>
      <c r="AE37" s="47"/>
      <c r="AF37" s="4"/>
      <c r="AG37" s="4"/>
      <c r="AH37" s="4"/>
    </row>
    <row r="38" spans="1:34" ht="12.75" customHeight="1" x14ac:dyDescent="0.25">
      <c r="A38" s="48">
        <v>35</v>
      </c>
      <c r="B38" s="171" t="str">
        <f>IF(A38&lt;=SUM(Stand!$H$3:$H$29),VLOOKUP(A38,Stand!$A$3:$C$29,3,TRUE),"")</f>
        <v/>
      </c>
      <c r="C38" s="172" t="str">
        <f t="shared" si="9"/>
        <v/>
      </c>
      <c r="D38" s="173" t="str">
        <f>IF(B38="","",VLOOKUP(B38&amp;C38,Plot!$B$2:$D$199,3,FALSE))</f>
        <v/>
      </c>
      <c r="E38" s="130"/>
      <c r="F38" s="152" t="str">
        <f>IF(B38="","",SUMIFS(Tree!$O:$O,Tree!$A:$A,'Pre-Harvest Plots_rpt'!$B38,Tree!$B:$B,'Pre-Harvest Plots_rpt'!$D38,Tree!$F:$F,"L"))</f>
        <v/>
      </c>
      <c r="G38" s="153" t="str">
        <f>IFERROR(IF(D38="","",SUMIFS(Tree!$P:$P,Tree!$A:$A,'Pre-Harvest Plots_rpt'!$B38,Tree!$B:$B,'Pre-Harvest Plots_rpt'!$D38)/$F38),"")</f>
        <v/>
      </c>
      <c r="H38" s="122" t="str">
        <f t="shared" si="7"/>
        <v/>
      </c>
      <c r="I38" s="121" t="str">
        <f>IF(OR($F38=0,$F38=""),"",SUMIFS(Tree!$R:$R,Tree!$A:$A,'Pre-Harvest Plots_rpt'!$B38,Tree!$B:$B,'Pre-Harvest Plots_rpt'!$D38,Tree!$F:$F,"L"))</f>
        <v/>
      </c>
      <c r="J38" s="121" t="str">
        <f>IF(OR($F38=0,$F38=""),"",IF(SUMIFS(Tree!$W:$W,Tree!$A:$A,'Pre-Harvest Plots_rpt'!$B38,Tree!$B:$B,'Pre-Harvest Plots_rpt'!$D38,Tree!$F:$F,"L")=0,0,AVERAGEIFS(Tree!$W:$W,Tree!$A:$A,'Pre-Harvest Plots_rpt'!$B38,Tree!$B:$B,'Pre-Harvest Plots_rpt'!$D38,Tree!$F:$F,"L")))</f>
        <v/>
      </c>
      <c r="K38" s="121" t="str">
        <f>IF($F38="","",SUMIFS(Tree!$S:$S,Tree!$A:$A,'Pre-Harvest Plots_rpt'!$B38,Tree!$B:$B,'Pre-Harvest Plots_rpt'!$D38,Tree!$F:$F,"L"))</f>
        <v/>
      </c>
      <c r="L38" s="154" t="str">
        <f t="shared" si="8"/>
        <v/>
      </c>
      <c r="M38" s="135"/>
      <c r="N38" s="192" t="str">
        <f>IF(B38="","",SUMIFS(Tree!$AM:$AM,Tree!$A:$A,'Pre-Harvest Plots_rpt'!$B38,Tree!$B:$B,'Pre-Harvest Plots_rpt'!$D38,Tree!$F:$F,"L"))</f>
        <v/>
      </c>
      <c r="O38" s="122" t="str">
        <f>IF(B38="","",SUMIFS(Tree!$AN:$AN,Tree!$A:$A,'Pre-Harvest Plots_rpt'!$B38,Tree!$B:$B,'Pre-Harvest Plots_rpt'!$D38,Tree!$F:$F,"L"))</f>
        <v/>
      </c>
      <c r="P38" s="122" t="str">
        <f>IF(B38="","",SUMIFS(Tree!$AO:$AO,Tree!$A:$A,'Pre-Harvest Plots_rpt'!$B38,Tree!$B:$B,'Pre-Harvest Plots_rpt'!$D38,Tree!$F:$F,"L"))</f>
        <v/>
      </c>
      <c r="Q38" s="122" t="str">
        <f>IF(B38="","",SUMIFS(Tree!$AP:$AP,Tree!$A:$A,'Pre-Harvest Plots_rpt'!$B38,Tree!$B:$B,'Pre-Harvest Plots_rpt'!$D38,Tree!$F:$F,"L"))</f>
        <v/>
      </c>
      <c r="R38" s="123" t="str">
        <f>IF(B38="","",SUMIFS(Tree!$AQ:$AQ,Tree!$A:$A,'Pre-Harvest Plots_rpt'!$B38,Tree!$B:$B,'Pre-Harvest Plots_rpt'!$D38,Tree!$F:$F,"L"))</f>
        <v/>
      </c>
      <c r="S38" s="122" t="str">
        <f>IF(B38="","",SUMIFS(Tree!$AJ:$AJ,Tree!$A:$A,'Pre-Harvest Plots_rpt'!$B38,Tree!$B:$B,'Pre-Harvest Plots_rpt'!$D38,Tree!$F:$F,"L")-O38)</f>
        <v/>
      </c>
      <c r="T38" s="122" t="str">
        <f>IF(B38="","",SUMIFS(Tree!$AK:$AK,Tree!$A:$A,'Pre-Harvest Plots_rpt'!$B38,Tree!$B:$B,'Pre-Harvest Plots_rpt'!$D38,Tree!$F:$F,"L")-P38)</f>
        <v/>
      </c>
      <c r="U38" s="122" t="str">
        <f>IF(B38="","",SUMIFS(Tree!$AL:$AL,Tree!$A:$A,'Pre-Harvest Plots_rpt'!$B38,Tree!$B:$B,'Pre-Harvest Plots_rpt'!$D38,Tree!$F:$F,"L")-Q38)</f>
        <v/>
      </c>
      <c r="V38" s="123" t="str">
        <f>IF(B38="","",ROUND(SUMIFS(Tree!$AE:$AE,Tree!$A:$A,'Pre-Harvest Plots_rpt'!$B38,Tree!$B:$B,'Pre-Harvest Plots_rpt'!$D38,Tree!$F:$F,"L")-R38,1))</f>
        <v/>
      </c>
      <c r="W38" s="124" t="str">
        <f>IF(B38="","",SUMIFS(Tree!$AY:$AY,Tree!$A:$A,'Pre-Harvest Plots_rpt'!$B38,Tree!$B:$B,'Pre-Harvest Plots_rpt'!$D38,Tree!$F:$F,"L")/1000)</f>
        <v/>
      </c>
      <c r="X38" s="158" t="str">
        <f>IF(B38="","",ROUND((SUMIFS(Tree!$AW:$AW,Tree!$A:$A,'Pre-Harvest Plots_rpt'!$B38,Tree!$B:$B,'Pre-Harvest Plots_rpt'!$D38,Tree!$F:$F,"L")/1000)-W38,1))</f>
        <v/>
      </c>
      <c r="Y38" s="135"/>
      <c r="Z38" s="161" t="str">
        <f>IF(IF(B38="","",SUMIFS(Tree!$O:$O,Tree!$A:$A,'Pre-Harvest Plots_rpt'!$B38,Tree!$B:$B,'Pre-Harvest Plots_rpt'!$D38,Tree!$F:$F,"D"))=0,"",IF(B38="","",SUMIFS(Tree!$O:$O,Tree!$A:$A,'Pre-Harvest Plots_rpt'!$B38,Tree!$B:$B,'Pre-Harvest Plots_rpt'!$D38,Tree!$F:$F,"D")))</f>
        <v/>
      </c>
      <c r="AA38" s="125" t="str">
        <f t="shared" si="6"/>
        <v/>
      </c>
      <c r="AB38" s="125" t="str">
        <f>IF(Z38="","",SUMIFS(Tree!$R:$R,Tree!$A:$A,'Pre-Harvest Plots_rpt'!$B38,Tree!$B:$B,'Pre-Harvest Plots_rpt'!$D38,Tree!$F:$F,"D"))</f>
        <v/>
      </c>
      <c r="AC38" s="126" t="str">
        <f>IF(Z38="","",SUMIFS(Tree!$AM:$AM,Tree!$A:$A,'Pre-Harvest Plots_rpt'!$B38,Tree!$B:$B,'Pre-Harvest Plots_rpt'!$D38,Tree!$F:$F,"D"))</f>
        <v/>
      </c>
      <c r="AD38" s="162" t="str">
        <f>IF(Z38="","",SUMIFS(Tree!$AW:$AW,Tree!$A:$A,'Pre-Harvest Plots_rpt'!$B38,Tree!$B:$B,'Pre-Harvest Plots_rpt'!$D38,Tree!$F:$F,"D")/1000)</f>
        <v/>
      </c>
      <c r="AE38" s="47"/>
      <c r="AF38" s="4"/>
      <c r="AG38" s="4"/>
      <c r="AH38" s="4"/>
    </row>
    <row r="39" spans="1:34" ht="12.75" customHeight="1" x14ac:dyDescent="0.25">
      <c r="A39" s="48">
        <v>36</v>
      </c>
      <c r="B39" s="171" t="str">
        <f>IF(A39&lt;=SUM(Stand!$H$3:$H$29),VLOOKUP(A39,Stand!$A$3:$C$29,3,TRUE),"")</f>
        <v/>
      </c>
      <c r="C39" s="172" t="str">
        <f t="shared" si="9"/>
        <v/>
      </c>
      <c r="D39" s="173" t="str">
        <f>IF(B39="","",VLOOKUP(B39&amp;C39,Plot!$B$2:$D$199,3,FALSE))</f>
        <v/>
      </c>
      <c r="E39" s="130"/>
      <c r="F39" s="152" t="str">
        <f>IF(B39="","",SUMIFS(Tree!$O:$O,Tree!$A:$A,'Pre-Harvest Plots_rpt'!$B39,Tree!$B:$B,'Pre-Harvest Plots_rpt'!$D39,Tree!$F:$F,"L"))</f>
        <v/>
      </c>
      <c r="G39" s="153" t="str">
        <f>IFERROR(IF(D39="","",SUMIFS(Tree!$P:$P,Tree!$A:$A,'Pre-Harvest Plots_rpt'!$B39,Tree!$B:$B,'Pre-Harvest Plots_rpt'!$D39)/$F39),"")</f>
        <v/>
      </c>
      <c r="H39" s="122" t="str">
        <f t="shared" si="7"/>
        <v/>
      </c>
      <c r="I39" s="121" t="str">
        <f>IF(OR($F39=0,$F39=""),"",SUMIFS(Tree!$R:$R,Tree!$A:$A,'Pre-Harvest Plots_rpt'!$B39,Tree!$B:$B,'Pre-Harvest Plots_rpt'!$D39,Tree!$F:$F,"L"))</f>
        <v/>
      </c>
      <c r="J39" s="121" t="str">
        <f>IF(OR($F39=0,$F39=""),"",IF(SUMIFS(Tree!$W:$W,Tree!$A:$A,'Pre-Harvest Plots_rpt'!$B39,Tree!$B:$B,'Pre-Harvest Plots_rpt'!$D39,Tree!$F:$F,"L")=0,0,AVERAGEIFS(Tree!$W:$W,Tree!$A:$A,'Pre-Harvest Plots_rpt'!$B39,Tree!$B:$B,'Pre-Harvest Plots_rpt'!$D39,Tree!$F:$F,"L")))</f>
        <v/>
      </c>
      <c r="K39" s="121" t="str">
        <f>IF($F39="","",SUMIFS(Tree!$S:$S,Tree!$A:$A,'Pre-Harvest Plots_rpt'!$B39,Tree!$B:$B,'Pre-Harvest Plots_rpt'!$D39,Tree!$F:$F,"L"))</f>
        <v/>
      </c>
      <c r="L39" s="154" t="str">
        <f t="shared" si="8"/>
        <v/>
      </c>
      <c r="M39" s="135"/>
      <c r="N39" s="192" t="str">
        <f>IF(B39="","",SUMIFS(Tree!$AM:$AM,Tree!$A:$A,'Pre-Harvest Plots_rpt'!$B39,Tree!$B:$B,'Pre-Harvest Plots_rpt'!$D39,Tree!$F:$F,"L"))</f>
        <v/>
      </c>
      <c r="O39" s="122" t="str">
        <f>IF(B39="","",SUMIFS(Tree!$AN:$AN,Tree!$A:$A,'Pre-Harvest Plots_rpt'!$B39,Tree!$B:$B,'Pre-Harvest Plots_rpt'!$D39,Tree!$F:$F,"L"))</f>
        <v/>
      </c>
      <c r="P39" s="122" t="str">
        <f>IF(B39="","",SUMIFS(Tree!$AO:$AO,Tree!$A:$A,'Pre-Harvest Plots_rpt'!$B39,Tree!$B:$B,'Pre-Harvest Plots_rpt'!$D39,Tree!$F:$F,"L"))</f>
        <v/>
      </c>
      <c r="Q39" s="122" t="str">
        <f>IF(B39="","",SUMIFS(Tree!$AP:$AP,Tree!$A:$A,'Pre-Harvest Plots_rpt'!$B39,Tree!$B:$B,'Pre-Harvest Plots_rpt'!$D39,Tree!$F:$F,"L"))</f>
        <v/>
      </c>
      <c r="R39" s="123" t="str">
        <f>IF(B39="","",SUMIFS(Tree!$AQ:$AQ,Tree!$A:$A,'Pre-Harvest Plots_rpt'!$B39,Tree!$B:$B,'Pre-Harvest Plots_rpt'!$D39,Tree!$F:$F,"L"))</f>
        <v/>
      </c>
      <c r="S39" s="122" t="str">
        <f>IF(B39="","",SUMIFS(Tree!$AJ:$AJ,Tree!$A:$A,'Pre-Harvest Plots_rpt'!$B39,Tree!$B:$B,'Pre-Harvest Plots_rpt'!$D39,Tree!$F:$F,"L")-O39)</f>
        <v/>
      </c>
      <c r="T39" s="122" t="str">
        <f>IF(B39="","",SUMIFS(Tree!$AK:$AK,Tree!$A:$A,'Pre-Harvest Plots_rpt'!$B39,Tree!$B:$B,'Pre-Harvest Plots_rpt'!$D39,Tree!$F:$F,"L")-P39)</f>
        <v/>
      </c>
      <c r="U39" s="122" t="str">
        <f>IF(B39="","",SUMIFS(Tree!$AL:$AL,Tree!$A:$A,'Pre-Harvest Plots_rpt'!$B39,Tree!$B:$B,'Pre-Harvest Plots_rpt'!$D39,Tree!$F:$F,"L")-Q39)</f>
        <v/>
      </c>
      <c r="V39" s="123" t="str">
        <f>IF(B39="","",ROUND(SUMIFS(Tree!$AE:$AE,Tree!$A:$A,'Pre-Harvest Plots_rpt'!$B39,Tree!$B:$B,'Pre-Harvest Plots_rpt'!$D39,Tree!$F:$F,"L")-R39,1))</f>
        <v/>
      </c>
      <c r="W39" s="124" t="str">
        <f>IF(B39="","",SUMIFS(Tree!$AY:$AY,Tree!$A:$A,'Pre-Harvest Plots_rpt'!$B39,Tree!$B:$B,'Pre-Harvest Plots_rpt'!$D39,Tree!$F:$F,"L")/1000)</f>
        <v/>
      </c>
      <c r="X39" s="158" t="str">
        <f>IF(B39="","",ROUND((SUMIFS(Tree!$AW:$AW,Tree!$A:$A,'Pre-Harvest Plots_rpt'!$B39,Tree!$B:$B,'Pre-Harvest Plots_rpt'!$D39,Tree!$F:$F,"L")/1000)-W39,1))</f>
        <v/>
      </c>
      <c r="Y39" s="135"/>
      <c r="Z39" s="161" t="str">
        <f>IF(IF(B39="","",SUMIFS(Tree!$O:$O,Tree!$A:$A,'Pre-Harvest Plots_rpt'!$B39,Tree!$B:$B,'Pre-Harvest Plots_rpt'!$D39,Tree!$F:$F,"D"))=0,"",IF(B39="","",SUMIFS(Tree!$O:$O,Tree!$A:$A,'Pre-Harvest Plots_rpt'!$B39,Tree!$B:$B,'Pre-Harvest Plots_rpt'!$D39,Tree!$F:$F,"D")))</f>
        <v/>
      </c>
      <c r="AA39" s="125" t="str">
        <f t="shared" si="6"/>
        <v/>
      </c>
      <c r="AB39" s="125" t="str">
        <f>IF(Z39="","",SUMIFS(Tree!$R:$R,Tree!$A:$A,'Pre-Harvest Plots_rpt'!$B39,Tree!$B:$B,'Pre-Harvest Plots_rpt'!$D39,Tree!$F:$F,"D"))</f>
        <v/>
      </c>
      <c r="AC39" s="126" t="str">
        <f>IF(Z39="","",SUMIFS(Tree!$AM:$AM,Tree!$A:$A,'Pre-Harvest Plots_rpt'!$B39,Tree!$B:$B,'Pre-Harvest Plots_rpt'!$D39,Tree!$F:$F,"D"))</f>
        <v/>
      </c>
      <c r="AD39" s="162" t="str">
        <f>IF(Z39="","",SUMIFS(Tree!$AW:$AW,Tree!$A:$A,'Pre-Harvest Plots_rpt'!$B39,Tree!$B:$B,'Pre-Harvest Plots_rpt'!$D39,Tree!$F:$F,"D")/1000)</f>
        <v/>
      </c>
      <c r="AE39" s="47"/>
      <c r="AF39" s="4"/>
      <c r="AG39" s="4"/>
      <c r="AH39" s="4"/>
    </row>
    <row r="40" spans="1:34" ht="12.75" customHeight="1" x14ac:dyDescent="0.25">
      <c r="A40" s="48">
        <v>37</v>
      </c>
      <c r="B40" s="171" t="str">
        <f>IF(A40&lt;=SUM(Stand!$H$3:$H$29),VLOOKUP(A40,Stand!$A$3:$C$29,3,TRUE),"")</f>
        <v/>
      </c>
      <c r="C40" s="172" t="str">
        <f t="shared" si="9"/>
        <v/>
      </c>
      <c r="D40" s="173" t="str">
        <f>IF(B40="","",VLOOKUP(B40&amp;C40,Plot!$B$2:$D$199,3,FALSE))</f>
        <v/>
      </c>
      <c r="E40" s="130"/>
      <c r="F40" s="152" t="str">
        <f>IF(B40="","",SUMIFS(Tree!$O:$O,Tree!$A:$A,'Pre-Harvest Plots_rpt'!$B40,Tree!$B:$B,'Pre-Harvest Plots_rpt'!$D40,Tree!$F:$F,"L"))</f>
        <v/>
      </c>
      <c r="G40" s="153" t="str">
        <f>IFERROR(IF(D40="","",SUMIFS(Tree!$P:$P,Tree!$A:$A,'Pre-Harvest Plots_rpt'!$B40,Tree!$B:$B,'Pre-Harvest Plots_rpt'!$D40)/$F40),"")</f>
        <v/>
      </c>
      <c r="H40" s="122" t="str">
        <f t="shared" si="7"/>
        <v/>
      </c>
      <c r="I40" s="121" t="str">
        <f>IF(OR($F40=0,$F40=""),"",SUMIFS(Tree!$R:$R,Tree!$A:$A,'Pre-Harvest Plots_rpt'!$B40,Tree!$B:$B,'Pre-Harvest Plots_rpt'!$D40,Tree!$F:$F,"L"))</f>
        <v/>
      </c>
      <c r="J40" s="121" t="str">
        <f>IF(OR($F40=0,$F40=""),"",IF(SUMIFS(Tree!$W:$W,Tree!$A:$A,'Pre-Harvest Plots_rpt'!$B40,Tree!$B:$B,'Pre-Harvest Plots_rpt'!$D40,Tree!$F:$F,"L")=0,0,AVERAGEIFS(Tree!$W:$W,Tree!$A:$A,'Pre-Harvest Plots_rpt'!$B40,Tree!$B:$B,'Pre-Harvest Plots_rpt'!$D40,Tree!$F:$F,"L")))</f>
        <v/>
      </c>
      <c r="K40" s="121" t="str">
        <f>IF($F40="","",SUMIFS(Tree!$S:$S,Tree!$A:$A,'Pre-Harvest Plots_rpt'!$B40,Tree!$B:$B,'Pre-Harvest Plots_rpt'!$D40,Tree!$F:$F,"L"))</f>
        <v/>
      </c>
      <c r="L40" s="154" t="str">
        <f t="shared" si="8"/>
        <v/>
      </c>
      <c r="M40" s="135"/>
      <c r="N40" s="192" t="str">
        <f>IF(B40="","",SUMIFS(Tree!$AM:$AM,Tree!$A:$A,'Pre-Harvest Plots_rpt'!$B40,Tree!$B:$B,'Pre-Harvest Plots_rpt'!$D40,Tree!$F:$F,"L"))</f>
        <v/>
      </c>
      <c r="O40" s="122" t="str">
        <f>IF(B40="","",SUMIFS(Tree!$AN:$AN,Tree!$A:$A,'Pre-Harvest Plots_rpt'!$B40,Tree!$B:$B,'Pre-Harvest Plots_rpt'!$D40,Tree!$F:$F,"L"))</f>
        <v/>
      </c>
      <c r="P40" s="122" t="str">
        <f>IF(B40="","",SUMIFS(Tree!$AO:$AO,Tree!$A:$A,'Pre-Harvest Plots_rpt'!$B40,Tree!$B:$B,'Pre-Harvest Plots_rpt'!$D40,Tree!$F:$F,"L"))</f>
        <v/>
      </c>
      <c r="Q40" s="122" t="str">
        <f>IF(B40="","",SUMIFS(Tree!$AP:$AP,Tree!$A:$A,'Pre-Harvest Plots_rpt'!$B40,Tree!$B:$B,'Pre-Harvest Plots_rpt'!$D40,Tree!$F:$F,"L"))</f>
        <v/>
      </c>
      <c r="R40" s="123" t="str">
        <f>IF(B40="","",SUMIFS(Tree!$AQ:$AQ,Tree!$A:$A,'Pre-Harvest Plots_rpt'!$B40,Tree!$B:$B,'Pre-Harvest Plots_rpt'!$D40,Tree!$F:$F,"L"))</f>
        <v/>
      </c>
      <c r="S40" s="122" t="str">
        <f>IF(B40="","",SUMIFS(Tree!$AJ:$AJ,Tree!$A:$A,'Pre-Harvest Plots_rpt'!$B40,Tree!$B:$B,'Pre-Harvest Plots_rpt'!$D40,Tree!$F:$F,"L")-O40)</f>
        <v/>
      </c>
      <c r="T40" s="122" t="str">
        <f>IF(B40="","",SUMIFS(Tree!$AK:$AK,Tree!$A:$A,'Pre-Harvest Plots_rpt'!$B40,Tree!$B:$B,'Pre-Harvest Plots_rpt'!$D40,Tree!$F:$F,"L")-P40)</f>
        <v/>
      </c>
      <c r="U40" s="122" t="str">
        <f>IF(B40="","",SUMIFS(Tree!$AL:$AL,Tree!$A:$A,'Pre-Harvest Plots_rpt'!$B40,Tree!$B:$B,'Pre-Harvest Plots_rpt'!$D40,Tree!$F:$F,"L")-Q40)</f>
        <v/>
      </c>
      <c r="V40" s="123" t="str">
        <f>IF(B40="","",ROUND(SUMIFS(Tree!$AE:$AE,Tree!$A:$A,'Pre-Harvest Plots_rpt'!$B40,Tree!$B:$B,'Pre-Harvest Plots_rpt'!$D40,Tree!$F:$F,"L")-R40,1))</f>
        <v/>
      </c>
      <c r="W40" s="124" t="str">
        <f>IF(B40="","",SUMIFS(Tree!$AY:$AY,Tree!$A:$A,'Pre-Harvest Plots_rpt'!$B40,Tree!$B:$B,'Pre-Harvest Plots_rpt'!$D40,Tree!$F:$F,"L")/1000)</f>
        <v/>
      </c>
      <c r="X40" s="158" t="str">
        <f>IF(B40="","",ROUND((SUMIFS(Tree!$AW:$AW,Tree!$A:$A,'Pre-Harvest Plots_rpt'!$B40,Tree!$B:$B,'Pre-Harvest Plots_rpt'!$D40,Tree!$F:$F,"L")/1000)-W40,1))</f>
        <v/>
      </c>
      <c r="Y40" s="135"/>
      <c r="Z40" s="161" t="str">
        <f>IF(IF(B40="","",SUMIFS(Tree!$O:$O,Tree!$A:$A,'Pre-Harvest Plots_rpt'!$B40,Tree!$B:$B,'Pre-Harvest Plots_rpt'!$D40,Tree!$F:$F,"D"))=0,"",IF(B40="","",SUMIFS(Tree!$O:$O,Tree!$A:$A,'Pre-Harvest Plots_rpt'!$B40,Tree!$B:$B,'Pre-Harvest Plots_rpt'!$D40,Tree!$F:$F,"D")))</f>
        <v/>
      </c>
      <c r="AA40" s="125" t="str">
        <f t="shared" si="6"/>
        <v/>
      </c>
      <c r="AB40" s="125" t="str">
        <f>IF(Z40="","",SUMIFS(Tree!$R:$R,Tree!$A:$A,'Pre-Harvest Plots_rpt'!$B40,Tree!$B:$B,'Pre-Harvest Plots_rpt'!$D40,Tree!$F:$F,"D"))</f>
        <v/>
      </c>
      <c r="AC40" s="126" t="str">
        <f>IF(Z40="","",SUMIFS(Tree!$AM:$AM,Tree!$A:$A,'Pre-Harvest Plots_rpt'!$B40,Tree!$B:$B,'Pre-Harvest Plots_rpt'!$D40,Tree!$F:$F,"D"))</f>
        <v/>
      </c>
      <c r="AD40" s="162" t="str">
        <f>IF(Z40="","",SUMIFS(Tree!$AW:$AW,Tree!$A:$A,'Pre-Harvest Plots_rpt'!$B40,Tree!$B:$B,'Pre-Harvest Plots_rpt'!$D40,Tree!$F:$F,"D")/1000)</f>
        <v/>
      </c>
      <c r="AE40" s="47"/>
      <c r="AF40" s="4"/>
      <c r="AG40" s="4"/>
      <c r="AH40" s="4"/>
    </row>
    <row r="41" spans="1:34" ht="12.75" customHeight="1" x14ac:dyDescent="0.25">
      <c r="A41" s="48">
        <v>38</v>
      </c>
      <c r="B41" s="171" t="str">
        <f>IF(A41&lt;=SUM(Stand!$H$3:$H$29),VLOOKUP(A41,Stand!$A$3:$C$29,3,TRUE),"")</f>
        <v/>
      </c>
      <c r="C41" s="172" t="str">
        <f t="shared" si="9"/>
        <v/>
      </c>
      <c r="D41" s="173" t="str">
        <f>IF(B41="","",VLOOKUP(B41&amp;C41,Plot!$B$2:$D$199,3,FALSE))</f>
        <v/>
      </c>
      <c r="E41" s="130"/>
      <c r="F41" s="152" t="str">
        <f>IF(B41="","",SUMIFS(Tree!$O:$O,Tree!$A:$A,'Pre-Harvest Plots_rpt'!$B41,Tree!$B:$B,'Pre-Harvest Plots_rpt'!$D41,Tree!$F:$F,"L"))</f>
        <v/>
      </c>
      <c r="G41" s="153" t="str">
        <f>IFERROR(IF(D41="","",SUMIFS(Tree!$P:$P,Tree!$A:$A,'Pre-Harvest Plots_rpt'!$B41,Tree!$B:$B,'Pre-Harvest Plots_rpt'!$D41)/$F41),"")</f>
        <v/>
      </c>
      <c r="H41" s="122" t="str">
        <f t="shared" si="7"/>
        <v/>
      </c>
      <c r="I41" s="121" t="str">
        <f>IF(OR($F41=0,$F41=""),"",SUMIFS(Tree!$R:$R,Tree!$A:$A,'Pre-Harvest Plots_rpt'!$B41,Tree!$B:$B,'Pre-Harvest Plots_rpt'!$D41,Tree!$F:$F,"L"))</f>
        <v/>
      </c>
      <c r="J41" s="121" t="str">
        <f>IF(OR($F41=0,$F41=""),"",IF(SUMIFS(Tree!$W:$W,Tree!$A:$A,'Pre-Harvest Plots_rpt'!$B41,Tree!$B:$B,'Pre-Harvest Plots_rpt'!$D41,Tree!$F:$F,"L")=0,0,AVERAGEIFS(Tree!$W:$W,Tree!$A:$A,'Pre-Harvest Plots_rpt'!$B41,Tree!$B:$B,'Pre-Harvest Plots_rpt'!$D41,Tree!$F:$F,"L")))</f>
        <v/>
      </c>
      <c r="K41" s="121" t="str">
        <f>IF($F41="","",SUMIFS(Tree!$S:$S,Tree!$A:$A,'Pre-Harvest Plots_rpt'!$B41,Tree!$B:$B,'Pre-Harvest Plots_rpt'!$D41,Tree!$F:$F,"L"))</f>
        <v/>
      </c>
      <c r="L41" s="154" t="str">
        <f t="shared" si="8"/>
        <v/>
      </c>
      <c r="M41" s="135"/>
      <c r="N41" s="192" t="str">
        <f>IF(B41="","",SUMIFS(Tree!$AM:$AM,Tree!$A:$A,'Pre-Harvest Plots_rpt'!$B41,Tree!$B:$B,'Pre-Harvest Plots_rpt'!$D41,Tree!$F:$F,"L"))</f>
        <v/>
      </c>
      <c r="O41" s="122" t="str">
        <f>IF(B41="","",SUMIFS(Tree!$AN:$AN,Tree!$A:$A,'Pre-Harvest Plots_rpt'!$B41,Tree!$B:$B,'Pre-Harvest Plots_rpt'!$D41,Tree!$F:$F,"L"))</f>
        <v/>
      </c>
      <c r="P41" s="122" t="str">
        <f>IF(B41="","",SUMIFS(Tree!$AO:$AO,Tree!$A:$A,'Pre-Harvest Plots_rpt'!$B41,Tree!$B:$B,'Pre-Harvest Plots_rpt'!$D41,Tree!$F:$F,"L"))</f>
        <v/>
      </c>
      <c r="Q41" s="122" t="str">
        <f>IF(B41="","",SUMIFS(Tree!$AP:$AP,Tree!$A:$A,'Pre-Harvest Plots_rpt'!$B41,Tree!$B:$B,'Pre-Harvest Plots_rpt'!$D41,Tree!$F:$F,"L"))</f>
        <v/>
      </c>
      <c r="R41" s="123" t="str">
        <f>IF(B41="","",SUMIFS(Tree!$AQ:$AQ,Tree!$A:$A,'Pre-Harvest Plots_rpt'!$B41,Tree!$B:$B,'Pre-Harvest Plots_rpt'!$D41,Tree!$F:$F,"L"))</f>
        <v/>
      </c>
      <c r="S41" s="122" t="str">
        <f>IF(B41="","",SUMIFS(Tree!$AJ:$AJ,Tree!$A:$A,'Pre-Harvest Plots_rpt'!$B41,Tree!$B:$B,'Pre-Harvest Plots_rpt'!$D41,Tree!$F:$F,"L")-O41)</f>
        <v/>
      </c>
      <c r="T41" s="122" t="str">
        <f>IF(B41="","",SUMIFS(Tree!$AK:$AK,Tree!$A:$A,'Pre-Harvest Plots_rpt'!$B41,Tree!$B:$B,'Pre-Harvest Plots_rpt'!$D41,Tree!$F:$F,"L")-P41)</f>
        <v/>
      </c>
      <c r="U41" s="122" t="str">
        <f>IF(B41="","",SUMIFS(Tree!$AL:$AL,Tree!$A:$A,'Pre-Harvest Plots_rpt'!$B41,Tree!$B:$B,'Pre-Harvest Plots_rpt'!$D41,Tree!$F:$F,"L")-Q41)</f>
        <v/>
      </c>
      <c r="V41" s="123" t="str">
        <f>IF(B41="","",ROUND(SUMIFS(Tree!$AE:$AE,Tree!$A:$A,'Pre-Harvest Plots_rpt'!$B41,Tree!$B:$B,'Pre-Harvest Plots_rpt'!$D41,Tree!$F:$F,"L")-R41,1))</f>
        <v/>
      </c>
      <c r="W41" s="124" t="str">
        <f>IF(B41="","",SUMIFS(Tree!$AY:$AY,Tree!$A:$A,'Pre-Harvest Plots_rpt'!$B41,Tree!$B:$B,'Pre-Harvest Plots_rpt'!$D41,Tree!$F:$F,"L")/1000)</f>
        <v/>
      </c>
      <c r="X41" s="158" t="str">
        <f>IF(B41="","",ROUND((SUMIFS(Tree!$AW:$AW,Tree!$A:$A,'Pre-Harvest Plots_rpt'!$B41,Tree!$B:$B,'Pre-Harvest Plots_rpt'!$D41,Tree!$F:$F,"L")/1000)-W41,1))</f>
        <v/>
      </c>
      <c r="Y41" s="135"/>
      <c r="Z41" s="161" t="str">
        <f>IF(IF(B41="","",SUMIFS(Tree!$O:$O,Tree!$A:$A,'Pre-Harvest Plots_rpt'!$B41,Tree!$B:$B,'Pre-Harvest Plots_rpt'!$D41,Tree!$F:$F,"D"))=0,"",IF(B41="","",SUMIFS(Tree!$O:$O,Tree!$A:$A,'Pre-Harvest Plots_rpt'!$B41,Tree!$B:$B,'Pre-Harvest Plots_rpt'!$D41,Tree!$F:$F,"D")))</f>
        <v/>
      </c>
      <c r="AA41" s="125" t="str">
        <f t="shared" si="6"/>
        <v/>
      </c>
      <c r="AB41" s="125" t="str">
        <f>IF(Z41="","",SUMIFS(Tree!$R:$R,Tree!$A:$A,'Pre-Harvest Plots_rpt'!$B41,Tree!$B:$B,'Pre-Harvest Plots_rpt'!$D41,Tree!$F:$F,"D"))</f>
        <v/>
      </c>
      <c r="AC41" s="126" t="str">
        <f>IF(Z41="","",SUMIFS(Tree!$AM:$AM,Tree!$A:$A,'Pre-Harvest Plots_rpt'!$B41,Tree!$B:$B,'Pre-Harvest Plots_rpt'!$D41,Tree!$F:$F,"D"))</f>
        <v/>
      </c>
      <c r="AD41" s="162" t="str">
        <f>IF(Z41="","",SUMIFS(Tree!$AW:$AW,Tree!$A:$A,'Pre-Harvest Plots_rpt'!$B41,Tree!$B:$B,'Pre-Harvest Plots_rpt'!$D41,Tree!$F:$F,"D")/1000)</f>
        <v/>
      </c>
      <c r="AE41" s="47"/>
      <c r="AF41" s="4"/>
      <c r="AG41" s="4"/>
      <c r="AH41" s="4"/>
    </row>
    <row r="42" spans="1:34" ht="12.75" customHeight="1" x14ac:dyDescent="0.25">
      <c r="A42" s="48">
        <v>39</v>
      </c>
      <c r="B42" s="171" t="str">
        <f>IF(A42&lt;=SUM(Stand!$H$3:$H$29),VLOOKUP(A42,Stand!$A$3:$C$29,3,TRUE),"")</f>
        <v/>
      </c>
      <c r="C42" s="172" t="str">
        <f t="shared" si="9"/>
        <v/>
      </c>
      <c r="D42" s="173" t="str">
        <f>IF(B42="","",VLOOKUP(B42&amp;C42,Plot!$B$2:$D$199,3,FALSE))</f>
        <v/>
      </c>
      <c r="E42" s="130"/>
      <c r="F42" s="152" t="str">
        <f>IF(B42="","",SUMIFS(Tree!$O:$O,Tree!$A:$A,'Pre-Harvest Plots_rpt'!$B42,Tree!$B:$B,'Pre-Harvest Plots_rpt'!$D42,Tree!$F:$F,"L"))</f>
        <v/>
      </c>
      <c r="G42" s="153" t="str">
        <f>IFERROR(IF(D42="","",SUMIFS(Tree!$P:$P,Tree!$A:$A,'Pre-Harvest Plots_rpt'!$B42,Tree!$B:$B,'Pre-Harvest Plots_rpt'!$D42)/$F42),"")</f>
        <v/>
      </c>
      <c r="H42" s="122" t="str">
        <f t="shared" si="7"/>
        <v/>
      </c>
      <c r="I42" s="121" t="str">
        <f>IF(OR($F42=0,$F42=""),"",SUMIFS(Tree!$R:$R,Tree!$A:$A,'Pre-Harvest Plots_rpt'!$B42,Tree!$B:$B,'Pre-Harvest Plots_rpt'!$D42,Tree!$F:$F,"L"))</f>
        <v/>
      </c>
      <c r="J42" s="121" t="str">
        <f>IF(OR($F42=0,$F42=""),"",IF(SUMIFS(Tree!$W:$W,Tree!$A:$A,'Pre-Harvest Plots_rpt'!$B42,Tree!$B:$B,'Pre-Harvest Plots_rpt'!$D42,Tree!$F:$F,"L")=0,0,AVERAGEIFS(Tree!$W:$W,Tree!$A:$A,'Pre-Harvest Plots_rpt'!$B42,Tree!$B:$B,'Pre-Harvest Plots_rpt'!$D42,Tree!$F:$F,"L")))</f>
        <v/>
      </c>
      <c r="K42" s="121" t="str">
        <f>IF($F42="","",SUMIFS(Tree!$S:$S,Tree!$A:$A,'Pre-Harvest Plots_rpt'!$B42,Tree!$B:$B,'Pre-Harvest Plots_rpt'!$D42,Tree!$F:$F,"L"))</f>
        <v/>
      </c>
      <c r="L42" s="154" t="str">
        <f t="shared" si="8"/>
        <v/>
      </c>
      <c r="M42" s="135"/>
      <c r="N42" s="192" t="str">
        <f>IF(B42="","",SUMIFS(Tree!$AM:$AM,Tree!$A:$A,'Pre-Harvest Plots_rpt'!$B42,Tree!$B:$B,'Pre-Harvest Plots_rpt'!$D42,Tree!$F:$F,"L"))</f>
        <v/>
      </c>
      <c r="O42" s="122" t="str">
        <f>IF(B42="","",SUMIFS(Tree!$AN:$AN,Tree!$A:$A,'Pre-Harvest Plots_rpt'!$B42,Tree!$B:$B,'Pre-Harvest Plots_rpt'!$D42,Tree!$F:$F,"L"))</f>
        <v/>
      </c>
      <c r="P42" s="122" t="str">
        <f>IF(B42="","",SUMIFS(Tree!$AO:$AO,Tree!$A:$A,'Pre-Harvest Plots_rpt'!$B42,Tree!$B:$B,'Pre-Harvest Plots_rpt'!$D42,Tree!$F:$F,"L"))</f>
        <v/>
      </c>
      <c r="Q42" s="122" t="str">
        <f>IF(B42="","",SUMIFS(Tree!$AP:$AP,Tree!$A:$A,'Pre-Harvest Plots_rpt'!$B42,Tree!$B:$B,'Pre-Harvest Plots_rpt'!$D42,Tree!$F:$F,"L"))</f>
        <v/>
      </c>
      <c r="R42" s="123" t="str">
        <f>IF(B42="","",SUMIFS(Tree!$AQ:$AQ,Tree!$A:$A,'Pre-Harvest Plots_rpt'!$B42,Tree!$B:$B,'Pre-Harvest Plots_rpt'!$D42,Tree!$F:$F,"L"))</f>
        <v/>
      </c>
      <c r="S42" s="122" t="str">
        <f>IF(B42="","",SUMIFS(Tree!$AJ:$AJ,Tree!$A:$A,'Pre-Harvest Plots_rpt'!$B42,Tree!$B:$B,'Pre-Harvest Plots_rpt'!$D42,Tree!$F:$F,"L")-O42)</f>
        <v/>
      </c>
      <c r="T42" s="122" t="str">
        <f>IF(B42="","",SUMIFS(Tree!$AK:$AK,Tree!$A:$A,'Pre-Harvest Plots_rpt'!$B42,Tree!$B:$B,'Pre-Harvest Plots_rpt'!$D42,Tree!$F:$F,"L")-P42)</f>
        <v/>
      </c>
      <c r="U42" s="122" t="str">
        <f>IF(B42="","",SUMIFS(Tree!$AL:$AL,Tree!$A:$A,'Pre-Harvest Plots_rpt'!$B42,Tree!$B:$B,'Pre-Harvest Plots_rpt'!$D42,Tree!$F:$F,"L")-Q42)</f>
        <v/>
      </c>
      <c r="V42" s="123" t="str">
        <f>IF(B42="","",ROUND(SUMIFS(Tree!$AE:$AE,Tree!$A:$A,'Pre-Harvest Plots_rpt'!$B42,Tree!$B:$B,'Pre-Harvest Plots_rpt'!$D42,Tree!$F:$F,"L")-R42,1))</f>
        <v/>
      </c>
      <c r="W42" s="124" t="str">
        <f>IF(B42="","",SUMIFS(Tree!$AY:$AY,Tree!$A:$A,'Pre-Harvest Plots_rpt'!$B42,Tree!$B:$B,'Pre-Harvest Plots_rpt'!$D42,Tree!$F:$F,"L")/1000)</f>
        <v/>
      </c>
      <c r="X42" s="158" t="str">
        <f>IF(B42="","",ROUND((SUMIFS(Tree!$AW:$AW,Tree!$A:$A,'Pre-Harvest Plots_rpt'!$B42,Tree!$B:$B,'Pre-Harvest Plots_rpt'!$D42,Tree!$F:$F,"L")/1000)-W42,1))</f>
        <v/>
      </c>
      <c r="Y42" s="135"/>
      <c r="Z42" s="161" t="str">
        <f>IF(IF(B42="","",SUMIFS(Tree!$O:$O,Tree!$A:$A,'Pre-Harvest Plots_rpt'!$B42,Tree!$B:$B,'Pre-Harvest Plots_rpt'!$D42,Tree!$F:$F,"D"))=0,"",IF(B42="","",SUMIFS(Tree!$O:$O,Tree!$A:$A,'Pre-Harvest Plots_rpt'!$B42,Tree!$B:$B,'Pre-Harvest Plots_rpt'!$D42,Tree!$F:$F,"D")))</f>
        <v/>
      </c>
      <c r="AA42" s="125" t="str">
        <f t="shared" si="6"/>
        <v/>
      </c>
      <c r="AB42" s="125" t="str">
        <f>IF(Z42="","",SUMIFS(Tree!$R:$R,Tree!$A:$A,'Pre-Harvest Plots_rpt'!$B42,Tree!$B:$B,'Pre-Harvest Plots_rpt'!$D42,Tree!$F:$F,"D"))</f>
        <v/>
      </c>
      <c r="AC42" s="126" t="str">
        <f>IF(Z42="","",SUMIFS(Tree!$AM:$AM,Tree!$A:$A,'Pre-Harvest Plots_rpt'!$B42,Tree!$B:$B,'Pre-Harvest Plots_rpt'!$D42,Tree!$F:$F,"D"))</f>
        <v/>
      </c>
      <c r="AD42" s="162" t="str">
        <f>IF(Z42="","",SUMIFS(Tree!$AW:$AW,Tree!$A:$A,'Pre-Harvest Plots_rpt'!$B42,Tree!$B:$B,'Pre-Harvest Plots_rpt'!$D42,Tree!$F:$F,"D")/1000)</f>
        <v/>
      </c>
      <c r="AE42" s="47"/>
      <c r="AF42" s="4"/>
      <c r="AG42" s="4"/>
      <c r="AH42" s="4"/>
    </row>
    <row r="43" spans="1:34" ht="12.75" customHeight="1" x14ac:dyDescent="0.25">
      <c r="A43" s="48">
        <v>40</v>
      </c>
      <c r="B43" s="171" t="str">
        <f>IF(A43&lt;=SUM(Stand!$H$3:$H$29),VLOOKUP(A43,Stand!$A$3:$C$29,3,TRUE),"")</f>
        <v/>
      </c>
      <c r="C43" s="172" t="str">
        <f t="shared" si="9"/>
        <v/>
      </c>
      <c r="D43" s="173" t="str">
        <f>IF(B43="","",VLOOKUP(B43&amp;C43,Plot!$B$2:$D$199,3,FALSE))</f>
        <v/>
      </c>
      <c r="E43" s="130"/>
      <c r="F43" s="152" t="str">
        <f>IF(B43="","",SUMIFS(Tree!$O:$O,Tree!$A:$A,'Pre-Harvest Plots_rpt'!$B43,Tree!$B:$B,'Pre-Harvest Plots_rpt'!$D43,Tree!$F:$F,"L"))</f>
        <v/>
      </c>
      <c r="G43" s="153" t="str">
        <f>IFERROR(IF(D43="","",SUMIFS(Tree!$P:$P,Tree!$A:$A,'Pre-Harvest Plots_rpt'!$B43,Tree!$B:$B,'Pre-Harvest Plots_rpt'!$D43)/$F43),"")</f>
        <v/>
      </c>
      <c r="H43" s="122" t="str">
        <f t="shared" si="7"/>
        <v/>
      </c>
      <c r="I43" s="121" t="str">
        <f>IF(OR($F43=0,$F43=""),"",SUMIFS(Tree!$R:$R,Tree!$A:$A,'Pre-Harvest Plots_rpt'!$B43,Tree!$B:$B,'Pre-Harvest Plots_rpt'!$D43,Tree!$F:$F,"L"))</f>
        <v/>
      </c>
      <c r="J43" s="121" t="str">
        <f>IF(OR($F43=0,$F43=""),"",IF(SUMIFS(Tree!$W:$W,Tree!$A:$A,'Pre-Harvest Plots_rpt'!$B43,Tree!$B:$B,'Pre-Harvest Plots_rpt'!$D43,Tree!$F:$F,"L")=0,0,AVERAGEIFS(Tree!$W:$W,Tree!$A:$A,'Pre-Harvest Plots_rpt'!$B43,Tree!$B:$B,'Pre-Harvest Plots_rpt'!$D43,Tree!$F:$F,"L")))</f>
        <v/>
      </c>
      <c r="K43" s="121" t="str">
        <f>IF($F43="","",SUMIFS(Tree!$S:$S,Tree!$A:$A,'Pre-Harvest Plots_rpt'!$B43,Tree!$B:$B,'Pre-Harvest Plots_rpt'!$D43,Tree!$F:$F,"L"))</f>
        <v/>
      </c>
      <c r="L43" s="154" t="str">
        <f t="shared" si="8"/>
        <v/>
      </c>
      <c r="M43" s="135"/>
      <c r="N43" s="192" t="str">
        <f>IF(B43="","",SUMIFS(Tree!$AM:$AM,Tree!$A:$A,'Pre-Harvest Plots_rpt'!$B43,Tree!$B:$B,'Pre-Harvest Plots_rpt'!$D43,Tree!$F:$F,"L"))</f>
        <v/>
      </c>
      <c r="O43" s="122" t="str">
        <f>IF(B43="","",SUMIFS(Tree!$AN:$AN,Tree!$A:$A,'Pre-Harvest Plots_rpt'!$B43,Tree!$B:$B,'Pre-Harvest Plots_rpt'!$D43,Tree!$F:$F,"L"))</f>
        <v/>
      </c>
      <c r="P43" s="122" t="str">
        <f>IF(B43="","",SUMIFS(Tree!$AO:$AO,Tree!$A:$A,'Pre-Harvest Plots_rpt'!$B43,Tree!$B:$B,'Pre-Harvest Plots_rpt'!$D43,Tree!$F:$F,"L"))</f>
        <v/>
      </c>
      <c r="Q43" s="122" t="str">
        <f>IF(B43="","",SUMIFS(Tree!$AP:$AP,Tree!$A:$A,'Pre-Harvest Plots_rpt'!$B43,Tree!$B:$B,'Pre-Harvest Plots_rpt'!$D43,Tree!$F:$F,"L"))</f>
        <v/>
      </c>
      <c r="R43" s="123" t="str">
        <f>IF(B43="","",SUMIFS(Tree!$AQ:$AQ,Tree!$A:$A,'Pre-Harvest Plots_rpt'!$B43,Tree!$B:$B,'Pre-Harvest Plots_rpt'!$D43,Tree!$F:$F,"L"))</f>
        <v/>
      </c>
      <c r="S43" s="122" t="str">
        <f>IF(B43="","",SUMIFS(Tree!$AJ:$AJ,Tree!$A:$A,'Pre-Harvest Plots_rpt'!$B43,Tree!$B:$B,'Pre-Harvest Plots_rpt'!$D43,Tree!$F:$F,"L")-O43)</f>
        <v/>
      </c>
      <c r="T43" s="122" t="str">
        <f>IF(B43="","",SUMIFS(Tree!$AK:$AK,Tree!$A:$A,'Pre-Harvest Plots_rpt'!$B43,Tree!$B:$B,'Pre-Harvest Plots_rpt'!$D43,Tree!$F:$F,"L")-P43)</f>
        <v/>
      </c>
      <c r="U43" s="122" t="str">
        <f>IF(B43="","",SUMIFS(Tree!$AL:$AL,Tree!$A:$A,'Pre-Harvest Plots_rpt'!$B43,Tree!$B:$B,'Pre-Harvest Plots_rpt'!$D43,Tree!$F:$F,"L")-Q43)</f>
        <v/>
      </c>
      <c r="V43" s="123" t="str">
        <f>IF(B43="","",ROUND(SUMIFS(Tree!$AE:$AE,Tree!$A:$A,'Pre-Harvest Plots_rpt'!$B43,Tree!$B:$B,'Pre-Harvest Plots_rpt'!$D43,Tree!$F:$F,"L")-R43,1))</f>
        <v/>
      </c>
      <c r="W43" s="124" t="str">
        <f>IF(B43="","",SUMIFS(Tree!$AY:$AY,Tree!$A:$A,'Pre-Harvest Plots_rpt'!$B43,Tree!$B:$B,'Pre-Harvest Plots_rpt'!$D43,Tree!$F:$F,"L")/1000)</f>
        <v/>
      </c>
      <c r="X43" s="158" t="str">
        <f>IF(B43="","",ROUND((SUMIFS(Tree!$AW:$AW,Tree!$A:$A,'Pre-Harvest Plots_rpt'!$B43,Tree!$B:$B,'Pre-Harvest Plots_rpt'!$D43,Tree!$F:$F,"L")/1000)-W43,1))</f>
        <v/>
      </c>
      <c r="Y43" s="135"/>
      <c r="Z43" s="161" t="str">
        <f>IF(IF(B43="","",SUMIFS(Tree!$O:$O,Tree!$A:$A,'Pre-Harvest Plots_rpt'!$B43,Tree!$B:$B,'Pre-Harvest Plots_rpt'!$D43,Tree!$F:$F,"D"))=0,"",IF(B43="","",SUMIFS(Tree!$O:$O,Tree!$A:$A,'Pre-Harvest Plots_rpt'!$B43,Tree!$B:$B,'Pre-Harvest Plots_rpt'!$D43,Tree!$F:$F,"D")))</f>
        <v/>
      </c>
      <c r="AA43" s="125" t="str">
        <f t="shared" si="6"/>
        <v/>
      </c>
      <c r="AB43" s="125" t="str">
        <f>IF(Z43="","",SUMIFS(Tree!$R:$R,Tree!$A:$A,'Pre-Harvest Plots_rpt'!$B43,Tree!$B:$B,'Pre-Harvest Plots_rpt'!$D43,Tree!$F:$F,"D"))</f>
        <v/>
      </c>
      <c r="AC43" s="126" t="str">
        <f>IF(Z43="","",SUMIFS(Tree!$AM:$AM,Tree!$A:$A,'Pre-Harvest Plots_rpt'!$B43,Tree!$B:$B,'Pre-Harvest Plots_rpt'!$D43,Tree!$F:$F,"D"))</f>
        <v/>
      </c>
      <c r="AD43" s="162" t="str">
        <f>IF(Z43="","",SUMIFS(Tree!$AW:$AW,Tree!$A:$A,'Pre-Harvest Plots_rpt'!$B43,Tree!$B:$B,'Pre-Harvest Plots_rpt'!$D43,Tree!$F:$F,"D")/1000)</f>
        <v/>
      </c>
      <c r="AE43" s="47"/>
      <c r="AF43" s="4"/>
      <c r="AG43" s="4"/>
      <c r="AH43" s="4"/>
    </row>
    <row r="44" spans="1:34" ht="12.75" customHeight="1" x14ac:dyDescent="0.25">
      <c r="A44" s="48">
        <v>41</v>
      </c>
      <c r="B44" s="171" t="str">
        <f>IF(A44&lt;=SUM(Stand!$H$3:$H$29),VLOOKUP(A44,Stand!$A$3:$C$29,3,TRUE),"")</f>
        <v/>
      </c>
      <c r="C44" s="172" t="str">
        <f t="shared" si="9"/>
        <v/>
      </c>
      <c r="D44" s="173" t="str">
        <f>IF(B44="","",VLOOKUP(B44&amp;C44,Plot!$B$2:$D$199,3,FALSE))</f>
        <v/>
      </c>
      <c r="E44" s="130"/>
      <c r="F44" s="152" t="str">
        <f>IF(B44="","",SUMIFS(Tree!$O:$O,Tree!$A:$A,'Pre-Harvest Plots_rpt'!$B44,Tree!$B:$B,'Pre-Harvest Plots_rpt'!$D44,Tree!$F:$F,"L"))</f>
        <v/>
      </c>
      <c r="G44" s="153" t="str">
        <f>IFERROR(IF(D44="","",SUMIFS(Tree!$P:$P,Tree!$A:$A,'Pre-Harvest Plots_rpt'!$B44,Tree!$B:$B,'Pre-Harvest Plots_rpt'!$D44)/$F44),"")</f>
        <v/>
      </c>
      <c r="H44" s="122" t="str">
        <f t="shared" si="7"/>
        <v/>
      </c>
      <c r="I44" s="121" t="str">
        <f>IF(OR($F44=0,$F44=""),"",SUMIFS(Tree!$R:$R,Tree!$A:$A,'Pre-Harvest Plots_rpt'!$B44,Tree!$B:$B,'Pre-Harvest Plots_rpt'!$D44,Tree!$F:$F,"L"))</f>
        <v/>
      </c>
      <c r="J44" s="121" t="str">
        <f>IF(OR($F44=0,$F44=""),"",IF(SUMIFS(Tree!$W:$W,Tree!$A:$A,'Pre-Harvest Plots_rpt'!$B44,Tree!$B:$B,'Pre-Harvest Plots_rpt'!$D44,Tree!$F:$F,"L")=0,0,AVERAGEIFS(Tree!$W:$W,Tree!$A:$A,'Pre-Harvest Plots_rpt'!$B44,Tree!$B:$B,'Pre-Harvest Plots_rpt'!$D44,Tree!$F:$F,"L")))</f>
        <v/>
      </c>
      <c r="K44" s="121" t="str">
        <f>IF($F44="","",SUMIFS(Tree!$S:$S,Tree!$A:$A,'Pre-Harvest Plots_rpt'!$B44,Tree!$B:$B,'Pre-Harvest Plots_rpt'!$D44,Tree!$F:$F,"L"))</f>
        <v/>
      </c>
      <c r="L44" s="154" t="str">
        <f t="shared" si="8"/>
        <v/>
      </c>
      <c r="M44" s="135"/>
      <c r="N44" s="192" t="str">
        <f>IF(B44="","",SUMIFS(Tree!$AM:$AM,Tree!$A:$A,'Pre-Harvest Plots_rpt'!$B44,Tree!$B:$B,'Pre-Harvest Plots_rpt'!$D44,Tree!$F:$F,"L"))</f>
        <v/>
      </c>
      <c r="O44" s="122" t="str">
        <f>IF(B44="","",SUMIFS(Tree!$AN:$AN,Tree!$A:$A,'Pre-Harvest Plots_rpt'!$B44,Tree!$B:$B,'Pre-Harvest Plots_rpt'!$D44,Tree!$F:$F,"L"))</f>
        <v/>
      </c>
      <c r="P44" s="122" t="str">
        <f>IF(B44="","",SUMIFS(Tree!$AO:$AO,Tree!$A:$A,'Pre-Harvest Plots_rpt'!$B44,Tree!$B:$B,'Pre-Harvest Plots_rpt'!$D44,Tree!$F:$F,"L"))</f>
        <v/>
      </c>
      <c r="Q44" s="122" t="str">
        <f>IF(B44="","",SUMIFS(Tree!$AP:$AP,Tree!$A:$A,'Pre-Harvest Plots_rpt'!$B44,Tree!$B:$B,'Pre-Harvest Plots_rpt'!$D44,Tree!$F:$F,"L"))</f>
        <v/>
      </c>
      <c r="R44" s="123" t="str">
        <f>IF(B44="","",SUMIFS(Tree!$AQ:$AQ,Tree!$A:$A,'Pre-Harvest Plots_rpt'!$B44,Tree!$B:$B,'Pre-Harvest Plots_rpt'!$D44,Tree!$F:$F,"L"))</f>
        <v/>
      </c>
      <c r="S44" s="122" t="str">
        <f>IF(B44="","",SUMIFS(Tree!$AJ:$AJ,Tree!$A:$A,'Pre-Harvest Plots_rpt'!$B44,Tree!$B:$B,'Pre-Harvest Plots_rpt'!$D44,Tree!$F:$F,"L")-O44)</f>
        <v/>
      </c>
      <c r="T44" s="122" t="str">
        <f>IF(B44="","",SUMIFS(Tree!$AK:$AK,Tree!$A:$A,'Pre-Harvest Plots_rpt'!$B44,Tree!$B:$B,'Pre-Harvest Plots_rpt'!$D44,Tree!$F:$F,"L")-P44)</f>
        <v/>
      </c>
      <c r="U44" s="122" t="str">
        <f>IF(B44="","",SUMIFS(Tree!$AL:$AL,Tree!$A:$A,'Pre-Harvest Plots_rpt'!$B44,Tree!$B:$B,'Pre-Harvest Plots_rpt'!$D44,Tree!$F:$F,"L")-Q44)</f>
        <v/>
      </c>
      <c r="V44" s="123" t="str">
        <f>IF(B44="","",ROUND(SUMIFS(Tree!$AE:$AE,Tree!$A:$A,'Pre-Harvest Plots_rpt'!$B44,Tree!$B:$B,'Pre-Harvest Plots_rpt'!$D44,Tree!$F:$F,"L")-R44,1))</f>
        <v/>
      </c>
      <c r="W44" s="124" t="str">
        <f>IF(B44="","",SUMIFS(Tree!$AY:$AY,Tree!$A:$A,'Pre-Harvest Plots_rpt'!$B44,Tree!$B:$B,'Pre-Harvest Plots_rpt'!$D44,Tree!$F:$F,"L")/1000)</f>
        <v/>
      </c>
      <c r="X44" s="158" t="str">
        <f>IF(B44="","",ROUND((SUMIFS(Tree!$AW:$AW,Tree!$A:$A,'Pre-Harvest Plots_rpt'!$B44,Tree!$B:$B,'Pre-Harvest Plots_rpt'!$D44,Tree!$F:$F,"L")/1000)-W44,1))</f>
        <v/>
      </c>
      <c r="Y44" s="135"/>
      <c r="Z44" s="161" t="str">
        <f>IF(IF(B44="","",SUMIFS(Tree!$O:$O,Tree!$A:$A,'Pre-Harvest Plots_rpt'!$B44,Tree!$B:$B,'Pre-Harvest Plots_rpt'!$D44,Tree!$F:$F,"D"))=0,"",IF(B44="","",SUMIFS(Tree!$O:$O,Tree!$A:$A,'Pre-Harvest Plots_rpt'!$B44,Tree!$B:$B,'Pre-Harvest Plots_rpt'!$D44,Tree!$F:$F,"D")))</f>
        <v/>
      </c>
      <c r="AA44" s="125" t="str">
        <f t="shared" si="6"/>
        <v/>
      </c>
      <c r="AB44" s="125" t="str">
        <f>IF(Z44="","",SUMIFS(Tree!$R:$R,Tree!$A:$A,'Pre-Harvest Plots_rpt'!$B44,Tree!$B:$B,'Pre-Harvest Plots_rpt'!$D44,Tree!$F:$F,"D"))</f>
        <v/>
      </c>
      <c r="AC44" s="126" t="str">
        <f>IF(Z44="","",SUMIFS(Tree!$AM:$AM,Tree!$A:$A,'Pre-Harvest Plots_rpt'!$B44,Tree!$B:$B,'Pre-Harvest Plots_rpt'!$D44,Tree!$F:$F,"D"))</f>
        <v/>
      </c>
      <c r="AD44" s="162" t="str">
        <f>IF(Z44="","",SUMIFS(Tree!$AW:$AW,Tree!$A:$A,'Pre-Harvest Plots_rpt'!$B44,Tree!$B:$B,'Pre-Harvest Plots_rpt'!$D44,Tree!$F:$F,"D")/1000)</f>
        <v/>
      </c>
      <c r="AE44" s="47"/>
      <c r="AF44" s="4"/>
      <c r="AG44" s="4"/>
      <c r="AH44" s="4"/>
    </row>
    <row r="45" spans="1:34" ht="12.75" customHeight="1" x14ac:dyDescent="0.25">
      <c r="A45" s="48">
        <v>42</v>
      </c>
      <c r="B45" s="171" t="str">
        <f>IF(A45&lt;=SUM(Stand!$H$3:$H$29),VLOOKUP(A45,Stand!$A$3:$C$29,3,TRUE),"")</f>
        <v/>
      </c>
      <c r="C45" s="172" t="str">
        <f t="shared" si="9"/>
        <v/>
      </c>
      <c r="D45" s="173" t="str">
        <f>IF(B45="","",VLOOKUP(B45&amp;C45,Plot!$B$2:$D$199,3,FALSE))</f>
        <v/>
      </c>
      <c r="E45" s="130"/>
      <c r="F45" s="152" t="str">
        <f>IF(B45="","",SUMIFS(Tree!$O:$O,Tree!$A:$A,'Pre-Harvest Plots_rpt'!$B45,Tree!$B:$B,'Pre-Harvest Plots_rpt'!$D45,Tree!$F:$F,"L"))</f>
        <v/>
      </c>
      <c r="G45" s="153" t="str">
        <f>IFERROR(IF(D45="","",SUMIFS(Tree!$P:$P,Tree!$A:$A,'Pre-Harvest Plots_rpt'!$B45,Tree!$B:$B,'Pre-Harvest Plots_rpt'!$D45)/$F45),"")</f>
        <v/>
      </c>
      <c r="H45" s="122" t="str">
        <f t="shared" si="7"/>
        <v/>
      </c>
      <c r="I45" s="121" t="str">
        <f>IF(OR($F45=0,$F45=""),"",SUMIFS(Tree!$R:$R,Tree!$A:$A,'Pre-Harvest Plots_rpt'!$B45,Tree!$B:$B,'Pre-Harvest Plots_rpt'!$D45,Tree!$F:$F,"L"))</f>
        <v/>
      </c>
      <c r="J45" s="121" t="str">
        <f>IF(OR($F45=0,$F45=""),"",IF(SUMIFS(Tree!$W:$W,Tree!$A:$A,'Pre-Harvest Plots_rpt'!$B45,Tree!$B:$B,'Pre-Harvest Plots_rpt'!$D45,Tree!$F:$F,"L")=0,0,AVERAGEIFS(Tree!$W:$W,Tree!$A:$A,'Pre-Harvest Plots_rpt'!$B45,Tree!$B:$B,'Pre-Harvest Plots_rpt'!$D45,Tree!$F:$F,"L")))</f>
        <v/>
      </c>
      <c r="K45" s="121" t="str">
        <f>IF($F45="","",SUMIFS(Tree!$S:$S,Tree!$A:$A,'Pre-Harvest Plots_rpt'!$B45,Tree!$B:$B,'Pre-Harvest Plots_rpt'!$D45,Tree!$F:$F,"L"))</f>
        <v/>
      </c>
      <c r="L45" s="154" t="str">
        <f t="shared" si="8"/>
        <v/>
      </c>
      <c r="M45" s="135"/>
      <c r="N45" s="192" t="str">
        <f>IF(B45="","",SUMIFS(Tree!$AM:$AM,Tree!$A:$A,'Pre-Harvest Plots_rpt'!$B45,Tree!$B:$B,'Pre-Harvest Plots_rpt'!$D45,Tree!$F:$F,"L"))</f>
        <v/>
      </c>
      <c r="O45" s="122" t="str">
        <f>IF(B45="","",SUMIFS(Tree!$AN:$AN,Tree!$A:$A,'Pre-Harvest Plots_rpt'!$B45,Tree!$B:$B,'Pre-Harvest Plots_rpt'!$D45,Tree!$F:$F,"L"))</f>
        <v/>
      </c>
      <c r="P45" s="122" t="str">
        <f>IF(B45="","",SUMIFS(Tree!$AO:$AO,Tree!$A:$A,'Pre-Harvest Plots_rpt'!$B45,Tree!$B:$B,'Pre-Harvest Plots_rpt'!$D45,Tree!$F:$F,"L"))</f>
        <v/>
      </c>
      <c r="Q45" s="122" t="str">
        <f>IF(B45="","",SUMIFS(Tree!$AP:$AP,Tree!$A:$A,'Pre-Harvest Plots_rpt'!$B45,Tree!$B:$B,'Pre-Harvest Plots_rpt'!$D45,Tree!$F:$F,"L"))</f>
        <v/>
      </c>
      <c r="R45" s="123" t="str">
        <f>IF(B45="","",SUMIFS(Tree!$AQ:$AQ,Tree!$A:$A,'Pre-Harvest Plots_rpt'!$B45,Tree!$B:$B,'Pre-Harvest Plots_rpt'!$D45,Tree!$F:$F,"L"))</f>
        <v/>
      </c>
      <c r="S45" s="122" t="str">
        <f>IF(B45="","",SUMIFS(Tree!$AJ:$AJ,Tree!$A:$A,'Pre-Harvest Plots_rpt'!$B45,Tree!$B:$B,'Pre-Harvest Plots_rpt'!$D45,Tree!$F:$F,"L")-O45)</f>
        <v/>
      </c>
      <c r="T45" s="122" t="str">
        <f>IF(B45="","",SUMIFS(Tree!$AK:$AK,Tree!$A:$A,'Pre-Harvest Plots_rpt'!$B45,Tree!$B:$B,'Pre-Harvest Plots_rpt'!$D45,Tree!$F:$F,"L")-P45)</f>
        <v/>
      </c>
      <c r="U45" s="122" t="str">
        <f>IF(B45="","",SUMIFS(Tree!$AL:$AL,Tree!$A:$A,'Pre-Harvest Plots_rpt'!$B45,Tree!$B:$B,'Pre-Harvest Plots_rpt'!$D45,Tree!$F:$F,"L")-Q45)</f>
        <v/>
      </c>
      <c r="V45" s="123" t="str">
        <f>IF(B45="","",ROUND(SUMIFS(Tree!$AE:$AE,Tree!$A:$A,'Pre-Harvest Plots_rpt'!$B45,Tree!$B:$B,'Pre-Harvest Plots_rpt'!$D45,Tree!$F:$F,"L")-R45,1))</f>
        <v/>
      </c>
      <c r="W45" s="124" t="str">
        <f>IF(B45="","",SUMIFS(Tree!$AY:$AY,Tree!$A:$A,'Pre-Harvest Plots_rpt'!$B45,Tree!$B:$B,'Pre-Harvest Plots_rpt'!$D45,Tree!$F:$F,"L")/1000)</f>
        <v/>
      </c>
      <c r="X45" s="158" t="str">
        <f>IF(B45="","",ROUND((SUMIFS(Tree!$AW:$AW,Tree!$A:$A,'Pre-Harvest Plots_rpt'!$B45,Tree!$B:$B,'Pre-Harvest Plots_rpt'!$D45,Tree!$F:$F,"L")/1000)-W45,1))</f>
        <v/>
      </c>
      <c r="Y45" s="135"/>
      <c r="Z45" s="161" t="str">
        <f>IF(IF(B45="","",SUMIFS(Tree!$O:$O,Tree!$A:$A,'Pre-Harvest Plots_rpt'!$B45,Tree!$B:$B,'Pre-Harvest Plots_rpt'!$D45,Tree!$F:$F,"D"))=0,"",IF(B45="","",SUMIFS(Tree!$O:$O,Tree!$A:$A,'Pre-Harvest Plots_rpt'!$B45,Tree!$B:$B,'Pre-Harvest Plots_rpt'!$D45,Tree!$F:$F,"D")))</f>
        <v/>
      </c>
      <c r="AA45" s="125" t="str">
        <f t="shared" si="6"/>
        <v/>
      </c>
      <c r="AB45" s="125" t="str">
        <f>IF(Z45="","",SUMIFS(Tree!$R:$R,Tree!$A:$A,'Pre-Harvest Plots_rpt'!$B45,Tree!$B:$B,'Pre-Harvest Plots_rpt'!$D45,Tree!$F:$F,"D"))</f>
        <v/>
      </c>
      <c r="AC45" s="126" t="str">
        <f>IF(Z45="","",SUMIFS(Tree!$AM:$AM,Tree!$A:$A,'Pre-Harvest Plots_rpt'!$B45,Tree!$B:$B,'Pre-Harvest Plots_rpt'!$D45,Tree!$F:$F,"D"))</f>
        <v/>
      </c>
      <c r="AD45" s="162" t="str">
        <f>IF(Z45="","",SUMIFS(Tree!$AW:$AW,Tree!$A:$A,'Pre-Harvest Plots_rpt'!$B45,Tree!$B:$B,'Pre-Harvest Plots_rpt'!$D45,Tree!$F:$F,"D")/1000)</f>
        <v/>
      </c>
      <c r="AE45" s="47"/>
      <c r="AF45" s="4"/>
      <c r="AG45" s="4"/>
      <c r="AH45" s="4"/>
    </row>
    <row r="46" spans="1:34" ht="12.75" customHeight="1" x14ac:dyDescent="0.25">
      <c r="A46" s="48">
        <v>43</v>
      </c>
      <c r="B46" s="171" t="str">
        <f>IF(A46&lt;=SUM(Stand!$H$3:$H$29),VLOOKUP(A46,Stand!$A$3:$C$29,3,TRUE),"")</f>
        <v/>
      </c>
      <c r="C46" s="172" t="str">
        <f t="shared" si="9"/>
        <v/>
      </c>
      <c r="D46" s="173" t="str">
        <f>IF(B46="","",VLOOKUP(B46&amp;C46,Plot!$B$2:$D$199,3,FALSE))</f>
        <v/>
      </c>
      <c r="E46" s="130"/>
      <c r="F46" s="152" t="str">
        <f>IF(B46="","",SUMIFS(Tree!$O:$O,Tree!$A:$A,'Pre-Harvest Plots_rpt'!$B46,Tree!$B:$B,'Pre-Harvest Plots_rpt'!$D46,Tree!$F:$F,"L"))</f>
        <v/>
      </c>
      <c r="G46" s="153" t="str">
        <f>IFERROR(IF(D46="","",SUMIFS(Tree!$P:$P,Tree!$A:$A,'Pre-Harvest Plots_rpt'!$B46,Tree!$B:$B,'Pre-Harvest Plots_rpt'!$D46)/$F46),"")</f>
        <v/>
      </c>
      <c r="H46" s="122" t="str">
        <f t="shared" si="7"/>
        <v/>
      </c>
      <c r="I46" s="121" t="str">
        <f>IF(OR($F46=0,$F46=""),"",SUMIFS(Tree!$R:$R,Tree!$A:$A,'Pre-Harvest Plots_rpt'!$B46,Tree!$B:$B,'Pre-Harvest Plots_rpt'!$D46,Tree!$F:$F,"L"))</f>
        <v/>
      </c>
      <c r="J46" s="121" t="str">
        <f>IF(OR($F46=0,$F46=""),"",IF(SUMIFS(Tree!$W:$W,Tree!$A:$A,'Pre-Harvest Plots_rpt'!$B46,Tree!$B:$B,'Pre-Harvest Plots_rpt'!$D46,Tree!$F:$F,"L")=0,0,AVERAGEIFS(Tree!$W:$W,Tree!$A:$A,'Pre-Harvest Plots_rpt'!$B46,Tree!$B:$B,'Pre-Harvest Plots_rpt'!$D46,Tree!$F:$F,"L")))</f>
        <v/>
      </c>
      <c r="K46" s="121" t="str">
        <f>IF($F46="","",SUMIFS(Tree!$S:$S,Tree!$A:$A,'Pre-Harvest Plots_rpt'!$B46,Tree!$B:$B,'Pre-Harvest Plots_rpt'!$D46,Tree!$F:$F,"L"))</f>
        <v/>
      </c>
      <c r="L46" s="154" t="str">
        <f t="shared" si="8"/>
        <v/>
      </c>
      <c r="M46" s="135"/>
      <c r="N46" s="192" t="str">
        <f>IF(B46="","",SUMIFS(Tree!$AM:$AM,Tree!$A:$A,'Pre-Harvest Plots_rpt'!$B46,Tree!$B:$B,'Pre-Harvest Plots_rpt'!$D46,Tree!$F:$F,"L"))</f>
        <v/>
      </c>
      <c r="O46" s="122" t="str">
        <f>IF(B46="","",SUMIFS(Tree!$AN:$AN,Tree!$A:$A,'Pre-Harvest Plots_rpt'!$B46,Tree!$B:$B,'Pre-Harvest Plots_rpt'!$D46,Tree!$F:$F,"L"))</f>
        <v/>
      </c>
      <c r="P46" s="122" t="str">
        <f>IF(B46="","",SUMIFS(Tree!$AO:$AO,Tree!$A:$A,'Pre-Harvest Plots_rpt'!$B46,Tree!$B:$B,'Pre-Harvest Plots_rpt'!$D46,Tree!$F:$F,"L"))</f>
        <v/>
      </c>
      <c r="Q46" s="122" t="str">
        <f>IF(B46="","",SUMIFS(Tree!$AP:$AP,Tree!$A:$A,'Pre-Harvest Plots_rpt'!$B46,Tree!$B:$B,'Pre-Harvest Plots_rpt'!$D46,Tree!$F:$F,"L"))</f>
        <v/>
      </c>
      <c r="R46" s="123" t="str">
        <f>IF(B46="","",SUMIFS(Tree!$AQ:$AQ,Tree!$A:$A,'Pre-Harvest Plots_rpt'!$B46,Tree!$B:$B,'Pre-Harvest Plots_rpt'!$D46,Tree!$F:$F,"L"))</f>
        <v/>
      </c>
      <c r="S46" s="122" t="str">
        <f>IF(B46="","",SUMIFS(Tree!$AJ:$AJ,Tree!$A:$A,'Pre-Harvest Plots_rpt'!$B46,Tree!$B:$B,'Pre-Harvest Plots_rpt'!$D46,Tree!$F:$F,"L")-O46)</f>
        <v/>
      </c>
      <c r="T46" s="122" t="str">
        <f>IF(B46="","",SUMIFS(Tree!$AK:$AK,Tree!$A:$A,'Pre-Harvest Plots_rpt'!$B46,Tree!$B:$B,'Pre-Harvest Plots_rpt'!$D46,Tree!$F:$F,"L")-P46)</f>
        <v/>
      </c>
      <c r="U46" s="122" t="str">
        <f>IF(B46="","",SUMIFS(Tree!$AL:$AL,Tree!$A:$A,'Pre-Harvest Plots_rpt'!$B46,Tree!$B:$B,'Pre-Harvest Plots_rpt'!$D46,Tree!$F:$F,"L")-Q46)</f>
        <v/>
      </c>
      <c r="V46" s="123" t="str">
        <f>IF(B46="","",ROUND(SUMIFS(Tree!$AE:$AE,Tree!$A:$A,'Pre-Harvest Plots_rpt'!$B46,Tree!$B:$B,'Pre-Harvest Plots_rpt'!$D46,Tree!$F:$F,"L")-R46,1))</f>
        <v/>
      </c>
      <c r="W46" s="124" t="str">
        <f>IF(B46="","",SUMIFS(Tree!$AY:$AY,Tree!$A:$A,'Pre-Harvest Plots_rpt'!$B46,Tree!$B:$B,'Pre-Harvest Plots_rpt'!$D46,Tree!$F:$F,"L")/1000)</f>
        <v/>
      </c>
      <c r="X46" s="158" t="str">
        <f>IF(B46="","",ROUND((SUMIFS(Tree!$AW:$AW,Tree!$A:$A,'Pre-Harvest Plots_rpt'!$B46,Tree!$B:$B,'Pre-Harvest Plots_rpt'!$D46,Tree!$F:$F,"L")/1000)-W46,1))</f>
        <v/>
      </c>
      <c r="Y46" s="135"/>
      <c r="Z46" s="161" t="str">
        <f>IF(IF(B46="","",SUMIFS(Tree!$O:$O,Tree!$A:$A,'Pre-Harvest Plots_rpt'!$B46,Tree!$B:$B,'Pre-Harvest Plots_rpt'!$D46,Tree!$F:$F,"D"))=0,"",IF(B46="","",SUMIFS(Tree!$O:$O,Tree!$A:$A,'Pre-Harvest Plots_rpt'!$B46,Tree!$B:$B,'Pre-Harvest Plots_rpt'!$D46,Tree!$F:$F,"D")))</f>
        <v/>
      </c>
      <c r="AA46" s="125" t="str">
        <f t="shared" si="6"/>
        <v/>
      </c>
      <c r="AB46" s="125" t="str">
        <f>IF(Z46="","",SUMIFS(Tree!$R:$R,Tree!$A:$A,'Pre-Harvest Plots_rpt'!$B46,Tree!$B:$B,'Pre-Harvest Plots_rpt'!$D46,Tree!$F:$F,"D"))</f>
        <v/>
      </c>
      <c r="AC46" s="126" t="str">
        <f>IF(Z46="","",SUMIFS(Tree!$AM:$AM,Tree!$A:$A,'Pre-Harvest Plots_rpt'!$B46,Tree!$B:$B,'Pre-Harvest Plots_rpt'!$D46,Tree!$F:$F,"D"))</f>
        <v/>
      </c>
      <c r="AD46" s="162" t="str">
        <f>IF(Z46="","",SUMIFS(Tree!$AW:$AW,Tree!$A:$A,'Pre-Harvest Plots_rpt'!$B46,Tree!$B:$B,'Pre-Harvest Plots_rpt'!$D46,Tree!$F:$F,"D")/1000)</f>
        <v/>
      </c>
      <c r="AE46" s="47"/>
      <c r="AF46" s="4"/>
      <c r="AG46" s="4"/>
      <c r="AH46" s="4"/>
    </row>
    <row r="47" spans="1:34" ht="12.75" customHeight="1" x14ac:dyDescent="0.25">
      <c r="A47" s="48">
        <v>44</v>
      </c>
      <c r="B47" s="171" t="str">
        <f>IF(A47&lt;=SUM(Stand!$H$3:$H$29),VLOOKUP(A47,Stand!$A$3:$C$29,3,TRUE),"")</f>
        <v/>
      </c>
      <c r="C47" s="172" t="str">
        <f t="shared" si="9"/>
        <v/>
      </c>
      <c r="D47" s="173" t="str">
        <f>IF(B47="","",VLOOKUP(B47&amp;C47,Plot!$B$2:$D$199,3,FALSE))</f>
        <v/>
      </c>
      <c r="E47" s="130"/>
      <c r="F47" s="152" t="str">
        <f>IF(B47="","",SUMIFS(Tree!$O:$O,Tree!$A:$A,'Pre-Harvest Plots_rpt'!$B47,Tree!$B:$B,'Pre-Harvest Plots_rpt'!$D47,Tree!$F:$F,"L"))</f>
        <v/>
      </c>
      <c r="G47" s="153" t="str">
        <f>IFERROR(IF(D47="","",SUMIFS(Tree!$P:$P,Tree!$A:$A,'Pre-Harvest Plots_rpt'!$B47,Tree!$B:$B,'Pre-Harvest Plots_rpt'!$D47)/$F47),"")</f>
        <v/>
      </c>
      <c r="H47" s="122" t="str">
        <f t="shared" si="7"/>
        <v/>
      </c>
      <c r="I47" s="121" t="str">
        <f>IF(OR($F47=0,$F47=""),"",SUMIFS(Tree!$R:$R,Tree!$A:$A,'Pre-Harvest Plots_rpt'!$B47,Tree!$B:$B,'Pre-Harvest Plots_rpt'!$D47,Tree!$F:$F,"L"))</f>
        <v/>
      </c>
      <c r="J47" s="121" t="str">
        <f>IF(OR($F47=0,$F47=""),"",IF(SUMIFS(Tree!$W:$W,Tree!$A:$A,'Pre-Harvest Plots_rpt'!$B47,Tree!$B:$B,'Pre-Harvest Plots_rpt'!$D47,Tree!$F:$F,"L")=0,0,AVERAGEIFS(Tree!$W:$W,Tree!$A:$A,'Pre-Harvest Plots_rpt'!$B47,Tree!$B:$B,'Pre-Harvest Plots_rpt'!$D47,Tree!$F:$F,"L")))</f>
        <v/>
      </c>
      <c r="K47" s="121" t="str">
        <f>IF($F47="","",SUMIFS(Tree!$S:$S,Tree!$A:$A,'Pre-Harvest Plots_rpt'!$B47,Tree!$B:$B,'Pre-Harvest Plots_rpt'!$D47,Tree!$F:$F,"L"))</f>
        <v/>
      </c>
      <c r="L47" s="154" t="str">
        <f t="shared" si="8"/>
        <v/>
      </c>
      <c r="M47" s="135"/>
      <c r="N47" s="192" t="str">
        <f>IF(B47="","",SUMIFS(Tree!$AM:$AM,Tree!$A:$A,'Pre-Harvest Plots_rpt'!$B47,Tree!$B:$B,'Pre-Harvest Plots_rpt'!$D47,Tree!$F:$F,"L"))</f>
        <v/>
      </c>
      <c r="O47" s="122" t="str">
        <f>IF(B47="","",SUMIFS(Tree!$AN:$AN,Tree!$A:$A,'Pre-Harvest Plots_rpt'!$B47,Tree!$B:$B,'Pre-Harvest Plots_rpt'!$D47,Tree!$F:$F,"L"))</f>
        <v/>
      </c>
      <c r="P47" s="122" t="str">
        <f>IF(B47="","",SUMIFS(Tree!$AO:$AO,Tree!$A:$A,'Pre-Harvest Plots_rpt'!$B47,Tree!$B:$B,'Pre-Harvest Plots_rpt'!$D47,Tree!$F:$F,"L"))</f>
        <v/>
      </c>
      <c r="Q47" s="122" t="str">
        <f>IF(B47="","",SUMIFS(Tree!$AP:$AP,Tree!$A:$A,'Pre-Harvest Plots_rpt'!$B47,Tree!$B:$B,'Pre-Harvest Plots_rpt'!$D47,Tree!$F:$F,"L"))</f>
        <v/>
      </c>
      <c r="R47" s="123" t="str">
        <f>IF(B47="","",SUMIFS(Tree!$AQ:$AQ,Tree!$A:$A,'Pre-Harvest Plots_rpt'!$B47,Tree!$B:$B,'Pre-Harvest Plots_rpt'!$D47,Tree!$F:$F,"L"))</f>
        <v/>
      </c>
      <c r="S47" s="122" t="str">
        <f>IF(B47="","",SUMIFS(Tree!$AJ:$AJ,Tree!$A:$A,'Pre-Harvest Plots_rpt'!$B47,Tree!$B:$B,'Pre-Harvest Plots_rpt'!$D47,Tree!$F:$F,"L")-O47)</f>
        <v/>
      </c>
      <c r="T47" s="122" t="str">
        <f>IF(B47="","",SUMIFS(Tree!$AK:$AK,Tree!$A:$A,'Pre-Harvest Plots_rpt'!$B47,Tree!$B:$B,'Pre-Harvest Plots_rpt'!$D47,Tree!$F:$F,"L")-P47)</f>
        <v/>
      </c>
      <c r="U47" s="122" t="str">
        <f>IF(B47="","",SUMIFS(Tree!$AL:$AL,Tree!$A:$A,'Pre-Harvest Plots_rpt'!$B47,Tree!$B:$B,'Pre-Harvest Plots_rpt'!$D47,Tree!$F:$F,"L")-Q47)</f>
        <v/>
      </c>
      <c r="V47" s="123" t="str">
        <f>IF(B47="","",ROUND(SUMIFS(Tree!$AE:$AE,Tree!$A:$A,'Pre-Harvest Plots_rpt'!$B47,Tree!$B:$B,'Pre-Harvest Plots_rpt'!$D47,Tree!$F:$F,"L")-R47,1))</f>
        <v/>
      </c>
      <c r="W47" s="124" t="str">
        <f>IF(B47="","",SUMIFS(Tree!$AY:$AY,Tree!$A:$A,'Pre-Harvest Plots_rpt'!$B47,Tree!$B:$B,'Pre-Harvest Plots_rpt'!$D47,Tree!$F:$F,"L")/1000)</f>
        <v/>
      </c>
      <c r="X47" s="158" t="str">
        <f>IF(B47="","",ROUND((SUMIFS(Tree!$AW:$AW,Tree!$A:$A,'Pre-Harvest Plots_rpt'!$B47,Tree!$B:$B,'Pre-Harvest Plots_rpt'!$D47,Tree!$F:$F,"L")/1000)-W47,1))</f>
        <v/>
      </c>
      <c r="Y47" s="135"/>
      <c r="Z47" s="161" t="str">
        <f>IF(IF(B47="","",SUMIFS(Tree!$O:$O,Tree!$A:$A,'Pre-Harvest Plots_rpt'!$B47,Tree!$B:$B,'Pre-Harvest Plots_rpt'!$D47,Tree!$F:$F,"D"))=0,"",IF(B47="","",SUMIFS(Tree!$O:$O,Tree!$A:$A,'Pre-Harvest Plots_rpt'!$B47,Tree!$B:$B,'Pre-Harvest Plots_rpt'!$D47,Tree!$F:$F,"D")))</f>
        <v/>
      </c>
      <c r="AA47" s="125" t="str">
        <f t="shared" si="6"/>
        <v/>
      </c>
      <c r="AB47" s="125" t="str">
        <f>IF(Z47="","",SUMIFS(Tree!$R:$R,Tree!$A:$A,'Pre-Harvest Plots_rpt'!$B47,Tree!$B:$B,'Pre-Harvest Plots_rpt'!$D47,Tree!$F:$F,"D"))</f>
        <v/>
      </c>
      <c r="AC47" s="126" t="str">
        <f>IF(Z47="","",SUMIFS(Tree!$AM:$AM,Tree!$A:$A,'Pre-Harvest Plots_rpt'!$B47,Tree!$B:$B,'Pre-Harvest Plots_rpt'!$D47,Tree!$F:$F,"D"))</f>
        <v/>
      </c>
      <c r="AD47" s="162" t="str">
        <f>IF(Z47="","",SUMIFS(Tree!$AW:$AW,Tree!$A:$A,'Pre-Harvest Plots_rpt'!$B47,Tree!$B:$B,'Pre-Harvest Plots_rpt'!$D47,Tree!$F:$F,"D")/1000)</f>
        <v/>
      </c>
      <c r="AE47" s="47"/>
      <c r="AF47" s="4"/>
      <c r="AG47" s="4"/>
      <c r="AH47" s="4"/>
    </row>
    <row r="48" spans="1:34" ht="12.75" customHeight="1" x14ac:dyDescent="0.25">
      <c r="A48" s="48">
        <v>45</v>
      </c>
      <c r="B48" s="171" t="str">
        <f>IF(A48&lt;=SUM(Stand!$H$3:$H$29),VLOOKUP(A48,Stand!$A$3:$C$29,3,TRUE),"")</f>
        <v/>
      </c>
      <c r="C48" s="172" t="str">
        <f t="shared" si="9"/>
        <v/>
      </c>
      <c r="D48" s="173" t="str">
        <f>IF(B48="","",VLOOKUP(B48&amp;C48,Plot!$B$2:$D$199,3,FALSE))</f>
        <v/>
      </c>
      <c r="E48" s="130"/>
      <c r="F48" s="152" t="str">
        <f>IF(B48="","",SUMIFS(Tree!$O:$O,Tree!$A:$A,'Pre-Harvest Plots_rpt'!$B48,Tree!$B:$B,'Pre-Harvest Plots_rpt'!$D48,Tree!$F:$F,"L"))</f>
        <v/>
      </c>
      <c r="G48" s="153" t="str">
        <f>IFERROR(IF(D48="","",SUMIFS(Tree!$P:$P,Tree!$A:$A,'Pre-Harvest Plots_rpt'!$B48,Tree!$B:$B,'Pre-Harvest Plots_rpt'!$D48)/$F48),"")</f>
        <v/>
      </c>
      <c r="H48" s="122" t="str">
        <f t="shared" si="7"/>
        <v/>
      </c>
      <c r="I48" s="121" t="str">
        <f>IF(OR($F48=0,$F48=""),"",SUMIFS(Tree!$R:$R,Tree!$A:$A,'Pre-Harvest Plots_rpt'!$B48,Tree!$B:$B,'Pre-Harvest Plots_rpt'!$D48,Tree!$F:$F,"L"))</f>
        <v/>
      </c>
      <c r="J48" s="121" t="str">
        <f>IF(OR($F48=0,$F48=""),"",IF(SUMIFS(Tree!$W:$W,Tree!$A:$A,'Pre-Harvest Plots_rpt'!$B48,Tree!$B:$B,'Pre-Harvest Plots_rpt'!$D48,Tree!$F:$F,"L")=0,0,AVERAGEIFS(Tree!$W:$W,Tree!$A:$A,'Pre-Harvest Plots_rpt'!$B48,Tree!$B:$B,'Pre-Harvest Plots_rpt'!$D48,Tree!$F:$F,"L")))</f>
        <v/>
      </c>
      <c r="K48" s="121" t="str">
        <f>IF($F48="","",SUMIFS(Tree!$S:$S,Tree!$A:$A,'Pre-Harvest Plots_rpt'!$B48,Tree!$B:$B,'Pre-Harvest Plots_rpt'!$D48,Tree!$F:$F,"L"))</f>
        <v/>
      </c>
      <c r="L48" s="154" t="str">
        <f t="shared" si="8"/>
        <v/>
      </c>
      <c r="M48" s="135"/>
      <c r="N48" s="192" t="str">
        <f>IF(B48="","",SUMIFS(Tree!$AM:$AM,Tree!$A:$A,'Pre-Harvest Plots_rpt'!$B48,Tree!$B:$B,'Pre-Harvest Plots_rpt'!$D48,Tree!$F:$F,"L"))</f>
        <v/>
      </c>
      <c r="O48" s="122" t="str">
        <f>IF(B48="","",SUMIFS(Tree!$AN:$AN,Tree!$A:$A,'Pre-Harvest Plots_rpt'!$B48,Tree!$B:$B,'Pre-Harvest Plots_rpt'!$D48,Tree!$F:$F,"L"))</f>
        <v/>
      </c>
      <c r="P48" s="122" t="str">
        <f>IF(B48="","",SUMIFS(Tree!$AO:$AO,Tree!$A:$A,'Pre-Harvest Plots_rpt'!$B48,Tree!$B:$B,'Pre-Harvest Plots_rpt'!$D48,Tree!$F:$F,"L"))</f>
        <v/>
      </c>
      <c r="Q48" s="122" t="str">
        <f>IF(B48="","",SUMIFS(Tree!$AP:$AP,Tree!$A:$A,'Pre-Harvest Plots_rpt'!$B48,Tree!$B:$B,'Pre-Harvest Plots_rpt'!$D48,Tree!$F:$F,"L"))</f>
        <v/>
      </c>
      <c r="R48" s="123" t="str">
        <f>IF(B48="","",SUMIFS(Tree!$AQ:$AQ,Tree!$A:$A,'Pre-Harvest Plots_rpt'!$B48,Tree!$B:$B,'Pre-Harvest Plots_rpt'!$D48,Tree!$F:$F,"L"))</f>
        <v/>
      </c>
      <c r="S48" s="122" t="str">
        <f>IF(B48="","",SUMIFS(Tree!$AJ:$AJ,Tree!$A:$A,'Pre-Harvest Plots_rpt'!$B48,Tree!$B:$B,'Pre-Harvest Plots_rpt'!$D48,Tree!$F:$F,"L")-O48)</f>
        <v/>
      </c>
      <c r="T48" s="122" t="str">
        <f>IF(B48="","",SUMIFS(Tree!$AK:$AK,Tree!$A:$A,'Pre-Harvest Plots_rpt'!$B48,Tree!$B:$B,'Pre-Harvest Plots_rpt'!$D48,Tree!$F:$F,"L")-P48)</f>
        <v/>
      </c>
      <c r="U48" s="122" t="str">
        <f>IF(B48="","",SUMIFS(Tree!$AL:$AL,Tree!$A:$A,'Pre-Harvest Plots_rpt'!$B48,Tree!$B:$B,'Pre-Harvest Plots_rpt'!$D48,Tree!$F:$F,"L")-Q48)</f>
        <v/>
      </c>
      <c r="V48" s="123" t="str">
        <f>IF(B48="","",ROUND(SUMIFS(Tree!$AE:$AE,Tree!$A:$A,'Pre-Harvest Plots_rpt'!$B48,Tree!$B:$B,'Pre-Harvest Plots_rpt'!$D48,Tree!$F:$F,"L")-R48,1))</f>
        <v/>
      </c>
      <c r="W48" s="124" t="str">
        <f>IF(B48="","",SUMIFS(Tree!$AY:$AY,Tree!$A:$A,'Pre-Harvest Plots_rpt'!$B48,Tree!$B:$B,'Pre-Harvest Plots_rpt'!$D48,Tree!$F:$F,"L")/1000)</f>
        <v/>
      </c>
      <c r="X48" s="158" t="str">
        <f>IF(B48="","",ROUND((SUMIFS(Tree!$AW:$AW,Tree!$A:$A,'Pre-Harvest Plots_rpt'!$B48,Tree!$B:$B,'Pre-Harvest Plots_rpt'!$D48,Tree!$F:$F,"L")/1000)-W48,1))</f>
        <v/>
      </c>
      <c r="Y48" s="135"/>
      <c r="Z48" s="161" t="str">
        <f>IF(IF(B48="","",SUMIFS(Tree!$O:$O,Tree!$A:$A,'Pre-Harvest Plots_rpt'!$B48,Tree!$B:$B,'Pre-Harvest Plots_rpt'!$D48,Tree!$F:$F,"D"))=0,"",IF(B48="","",SUMIFS(Tree!$O:$O,Tree!$A:$A,'Pre-Harvest Plots_rpt'!$B48,Tree!$B:$B,'Pre-Harvest Plots_rpt'!$D48,Tree!$F:$F,"D")))</f>
        <v/>
      </c>
      <c r="AA48" s="125" t="str">
        <f t="shared" si="6"/>
        <v/>
      </c>
      <c r="AB48" s="125" t="str">
        <f>IF(Z48="","",SUMIFS(Tree!$R:$R,Tree!$A:$A,'Pre-Harvest Plots_rpt'!$B48,Tree!$B:$B,'Pre-Harvest Plots_rpt'!$D48,Tree!$F:$F,"D"))</f>
        <v/>
      </c>
      <c r="AC48" s="126" t="str">
        <f>IF(Z48="","",SUMIFS(Tree!$AM:$AM,Tree!$A:$A,'Pre-Harvest Plots_rpt'!$B48,Tree!$B:$B,'Pre-Harvest Plots_rpt'!$D48,Tree!$F:$F,"D"))</f>
        <v/>
      </c>
      <c r="AD48" s="162" t="str">
        <f>IF(Z48="","",SUMIFS(Tree!$AW:$AW,Tree!$A:$A,'Pre-Harvest Plots_rpt'!$B48,Tree!$B:$B,'Pre-Harvest Plots_rpt'!$D48,Tree!$F:$F,"D")/1000)</f>
        <v/>
      </c>
      <c r="AE48" s="47"/>
      <c r="AF48" s="4"/>
      <c r="AG48" s="4"/>
      <c r="AH48" s="4"/>
    </row>
    <row r="49" spans="1:34" ht="12.75" customHeight="1" x14ac:dyDescent="0.25">
      <c r="A49" s="48">
        <v>46</v>
      </c>
      <c r="B49" s="171" t="str">
        <f>IF(A49&lt;=SUM(Stand!$H$3:$H$29),VLOOKUP(A49,Stand!$A$3:$C$29,3,TRUE),"")</f>
        <v/>
      </c>
      <c r="C49" s="172" t="str">
        <f t="shared" si="9"/>
        <v/>
      </c>
      <c r="D49" s="173" t="str">
        <f>IF(B49="","",VLOOKUP(B49&amp;C49,Plot!$B$2:$D$199,3,FALSE))</f>
        <v/>
      </c>
      <c r="E49" s="130"/>
      <c r="F49" s="152" t="str">
        <f>IF(B49="","",SUMIFS(Tree!$O:$O,Tree!$A:$A,'Pre-Harvest Plots_rpt'!$B49,Tree!$B:$B,'Pre-Harvest Plots_rpt'!$D49,Tree!$F:$F,"L"))</f>
        <v/>
      </c>
      <c r="G49" s="153" t="str">
        <f>IFERROR(IF(D49="","",SUMIFS(Tree!$P:$P,Tree!$A:$A,'Pre-Harvest Plots_rpt'!$B49,Tree!$B:$B,'Pre-Harvest Plots_rpt'!$D49)/$F49),"")</f>
        <v/>
      </c>
      <c r="H49" s="122" t="str">
        <f t="shared" si="7"/>
        <v/>
      </c>
      <c r="I49" s="121" t="str">
        <f>IF(OR($F49=0,$F49=""),"",SUMIFS(Tree!$R:$R,Tree!$A:$A,'Pre-Harvest Plots_rpt'!$B49,Tree!$B:$B,'Pre-Harvest Plots_rpt'!$D49,Tree!$F:$F,"L"))</f>
        <v/>
      </c>
      <c r="J49" s="121" t="str">
        <f>IF(OR($F49=0,$F49=""),"",IF(SUMIFS(Tree!$W:$W,Tree!$A:$A,'Pre-Harvest Plots_rpt'!$B49,Tree!$B:$B,'Pre-Harvest Plots_rpt'!$D49,Tree!$F:$F,"L")=0,0,AVERAGEIFS(Tree!$W:$W,Tree!$A:$A,'Pre-Harvest Plots_rpt'!$B49,Tree!$B:$B,'Pre-Harvest Plots_rpt'!$D49,Tree!$F:$F,"L")))</f>
        <v/>
      </c>
      <c r="K49" s="121" t="str">
        <f>IF($F49="","",SUMIFS(Tree!$S:$S,Tree!$A:$A,'Pre-Harvest Plots_rpt'!$B49,Tree!$B:$B,'Pre-Harvest Plots_rpt'!$D49,Tree!$F:$F,"L"))</f>
        <v/>
      </c>
      <c r="L49" s="154" t="str">
        <f t="shared" si="8"/>
        <v/>
      </c>
      <c r="M49" s="135"/>
      <c r="N49" s="192" t="str">
        <f>IF(B49="","",SUMIFS(Tree!$AM:$AM,Tree!$A:$A,'Pre-Harvest Plots_rpt'!$B49,Tree!$B:$B,'Pre-Harvest Plots_rpt'!$D49,Tree!$F:$F,"L"))</f>
        <v/>
      </c>
      <c r="O49" s="122" t="str">
        <f>IF(B49="","",SUMIFS(Tree!$AN:$AN,Tree!$A:$A,'Pre-Harvest Plots_rpt'!$B49,Tree!$B:$B,'Pre-Harvest Plots_rpt'!$D49,Tree!$F:$F,"L"))</f>
        <v/>
      </c>
      <c r="P49" s="122" t="str">
        <f>IF(B49="","",SUMIFS(Tree!$AO:$AO,Tree!$A:$A,'Pre-Harvest Plots_rpt'!$B49,Tree!$B:$B,'Pre-Harvest Plots_rpt'!$D49,Tree!$F:$F,"L"))</f>
        <v/>
      </c>
      <c r="Q49" s="122" t="str">
        <f>IF(B49="","",SUMIFS(Tree!$AP:$AP,Tree!$A:$A,'Pre-Harvest Plots_rpt'!$B49,Tree!$B:$B,'Pre-Harvest Plots_rpt'!$D49,Tree!$F:$F,"L"))</f>
        <v/>
      </c>
      <c r="R49" s="123" t="str">
        <f>IF(B49="","",SUMIFS(Tree!$AQ:$AQ,Tree!$A:$A,'Pre-Harvest Plots_rpt'!$B49,Tree!$B:$B,'Pre-Harvest Plots_rpt'!$D49,Tree!$F:$F,"L"))</f>
        <v/>
      </c>
      <c r="S49" s="122" t="str">
        <f>IF(B49="","",SUMIFS(Tree!$AJ:$AJ,Tree!$A:$A,'Pre-Harvest Plots_rpt'!$B49,Tree!$B:$B,'Pre-Harvest Plots_rpt'!$D49,Tree!$F:$F,"L")-O49)</f>
        <v/>
      </c>
      <c r="T49" s="122" t="str">
        <f>IF(B49="","",SUMIFS(Tree!$AK:$AK,Tree!$A:$A,'Pre-Harvest Plots_rpt'!$B49,Tree!$B:$B,'Pre-Harvest Plots_rpt'!$D49,Tree!$F:$F,"L")-P49)</f>
        <v/>
      </c>
      <c r="U49" s="122" t="str">
        <f>IF(B49="","",SUMIFS(Tree!$AL:$AL,Tree!$A:$A,'Pre-Harvest Plots_rpt'!$B49,Tree!$B:$B,'Pre-Harvest Plots_rpt'!$D49,Tree!$F:$F,"L")-Q49)</f>
        <v/>
      </c>
      <c r="V49" s="123" t="str">
        <f>IF(B49="","",ROUND(SUMIFS(Tree!$AE:$AE,Tree!$A:$A,'Pre-Harvest Plots_rpt'!$B49,Tree!$B:$B,'Pre-Harvest Plots_rpt'!$D49,Tree!$F:$F,"L")-R49,1))</f>
        <v/>
      </c>
      <c r="W49" s="124" t="str">
        <f>IF(B49="","",SUMIFS(Tree!$AY:$AY,Tree!$A:$A,'Pre-Harvest Plots_rpt'!$B49,Tree!$B:$B,'Pre-Harvest Plots_rpt'!$D49,Tree!$F:$F,"L")/1000)</f>
        <v/>
      </c>
      <c r="X49" s="158" t="str">
        <f>IF(B49="","",ROUND((SUMIFS(Tree!$AW:$AW,Tree!$A:$A,'Pre-Harvest Plots_rpt'!$B49,Tree!$B:$B,'Pre-Harvest Plots_rpt'!$D49,Tree!$F:$F,"L")/1000)-W49,1))</f>
        <v/>
      </c>
      <c r="Y49" s="135"/>
      <c r="Z49" s="161" t="str">
        <f>IF(IF(B49="","",SUMIFS(Tree!$O:$O,Tree!$A:$A,'Pre-Harvest Plots_rpt'!$B49,Tree!$B:$B,'Pre-Harvest Plots_rpt'!$D49,Tree!$F:$F,"D"))=0,"",IF(B49="","",SUMIFS(Tree!$O:$O,Tree!$A:$A,'Pre-Harvest Plots_rpt'!$B49,Tree!$B:$B,'Pre-Harvest Plots_rpt'!$D49,Tree!$F:$F,"D")))</f>
        <v/>
      </c>
      <c r="AA49" s="125" t="str">
        <f t="shared" si="6"/>
        <v/>
      </c>
      <c r="AB49" s="125" t="str">
        <f>IF(Z49="","",SUMIFS(Tree!$R:$R,Tree!$A:$A,'Pre-Harvest Plots_rpt'!$B49,Tree!$B:$B,'Pre-Harvest Plots_rpt'!$D49,Tree!$F:$F,"D"))</f>
        <v/>
      </c>
      <c r="AC49" s="126" t="str">
        <f>IF(Z49="","",SUMIFS(Tree!$AM:$AM,Tree!$A:$A,'Pre-Harvest Plots_rpt'!$B49,Tree!$B:$B,'Pre-Harvest Plots_rpt'!$D49,Tree!$F:$F,"D"))</f>
        <v/>
      </c>
      <c r="AD49" s="162" t="str">
        <f>IF(Z49="","",SUMIFS(Tree!$AW:$AW,Tree!$A:$A,'Pre-Harvest Plots_rpt'!$B49,Tree!$B:$B,'Pre-Harvest Plots_rpt'!$D49,Tree!$F:$F,"D")/1000)</f>
        <v/>
      </c>
      <c r="AE49" s="47"/>
      <c r="AF49" s="4"/>
      <c r="AG49" s="4"/>
      <c r="AH49" s="4"/>
    </row>
    <row r="50" spans="1:34" ht="12.75" customHeight="1" x14ac:dyDescent="0.25">
      <c r="A50" s="48">
        <v>47</v>
      </c>
      <c r="B50" s="171" t="str">
        <f>IF(A50&lt;=SUM(Stand!$H$3:$H$29),VLOOKUP(A50,Stand!$A$3:$C$29,3,TRUE),"")</f>
        <v/>
      </c>
      <c r="C50" s="172" t="str">
        <f t="shared" si="9"/>
        <v/>
      </c>
      <c r="D50" s="173" t="str">
        <f>IF(B50="","",VLOOKUP(B50&amp;C50,Plot!$B$2:$D$199,3,FALSE))</f>
        <v/>
      </c>
      <c r="E50" s="130"/>
      <c r="F50" s="152" t="str">
        <f>IF(B50="","",SUMIFS(Tree!$O:$O,Tree!$A:$A,'Pre-Harvest Plots_rpt'!$B50,Tree!$B:$B,'Pre-Harvest Plots_rpt'!$D50,Tree!$F:$F,"L"))</f>
        <v/>
      </c>
      <c r="G50" s="153" t="str">
        <f>IFERROR(IF(D50="","",SUMIFS(Tree!$P:$P,Tree!$A:$A,'Pre-Harvest Plots_rpt'!$B50,Tree!$B:$B,'Pre-Harvest Plots_rpt'!$D50)/$F50),"")</f>
        <v/>
      </c>
      <c r="H50" s="122" t="str">
        <f t="shared" si="7"/>
        <v/>
      </c>
      <c r="I50" s="121" t="str">
        <f>IF(OR($F50=0,$F50=""),"",SUMIFS(Tree!$R:$R,Tree!$A:$A,'Pre-Harvest Plots_rpt'!$B50,Tree!$B:$B,'Pre-Harvest Plots_rpt'!$D50,Tree!$F:$F,"L"))</f>
        <v/>
      </c>
      <c r="J50" s="121" t="str">
        <f>IF(OR($F50=0,$F50=""),"",IF(SUMIFS(Tree!$W:$W,Tree!$A:$A,'Pre-Harvest Plots_rpt'!$B50,Tree!$B:$B,'Pre-Harvest Plots_rpt'!$D50,Tree!$F:$F,"L")=0,0,AVERAGEIFS(Tree!$W:$W,Tree!$A:$A,'Pre-Harvest Plots_rpt'!$B50,Tree!$B:$B,'Pre-Harvest Plots_rpt'!$D50,Tree!$F:$F,"L")))</f>
        <v/>
      </c>
      <c r="K50" s="121" t="str">
        <f>IF($F50="","",SUMIFS(Tree!$S:$S,Tree!$A:$A,'Pre-Harvest Plots_rpt'!$B50,Tree!$B:$B,'Pre-Harvest Plots_rpt'!$D50,Tree!$F:$F,"L"))</f>
        <v/>
      </c>
      <c r="L50" s="154" t="str">
        <f t="shared" si="8"/>
        <v/>
      </c>
      <c r="M50" s="135"/>
      <c r="N50" s="192" t="str">
        <f>IF(B50="","",SUMIFS(Tree!$AM:$AM,Tree!$A:$A,'Pre-Harvest Plots_rpt'!$B50,Tree!$B:$B,'Pre-Harvest Plots_rpt'!$D50,Tree!$F:$F,"L"))</f>
        <v/>
      </c>
      <c r="O50" s="122" t="str">
        <f>IF(B50="","",SUMIFS(Tree!$AN:$AN,Tree!$A:$A,'Pre-Harvest Plots_rpt'!$B50,Tree!$B:$B,'Pre-Harvest Plots_rpt'!$D50,Tree!$F:$F,"L"))</f>
        <v/>
      </c>
      <c r="P50" s="122" t="str">
        <f>IF(B50="","",SUMIFS(Tree!$AO:$AO,Tree!$A:$A,'Pre-Harvest Plots_rpt'!$B50,Tree!$B:$B,'Pre-Harvest Plots_rpt'!$D50,Tree!$F:$F,"L"))</f>
        <v/>
      </c>
      <c r="Q50" s="122" t="str">
        <f>IF(B50="","",SUMIFS(Tree!$AP:$AP,Tree!$A:$A,'Pre-Harvest Plots_rpt'!$B50,Tree!$B:$B,'Pre-Harvest Plots_rpt'!$D50,Tree!$F:$F,"L"))</f>
        <v/>
      </c>
      <c r="R50" s="123" t="str">
        <f>IF(B50="","",SUMIFS(Tree!$AQ:$AQ,Tree!$A:$A,'Pre-Harvest Plots_rpt'!$B50,Tree!$B:$B,'Pre-Harvest Plots_rpt'!$D50,Tree!$F:$F,"L"))</f>
        <v/>
      </c>
      <c r="S50" s="122" t="str">
        <f>IF(B50="","",SUMIFS(Tree!$AJ:$AJ,Tree!$A:$A,'Pre-Harvest Plots_rpt'!$B50,Tree!$B:$B,'Pre-Harvest Plots_rpt'!$D50,Tree!$F:$F,"L")-O50)</f>
        <v/>
      </c>
      <c r="T50" s="122" t="str">
        <f>IF(B50="","",SUMIFS(Tree!$AK:$AK,Tree!$A:$A,'Pre-Harvest Plots_rpt'!$B50,Tree!$B:$B,'Pre-Harvest Plots_rpt'!$D50,Tree!$F:$F,"L")-P50)</f>
        <v/>
      </c>
      <c r="U50" s="122" t="str">
        <f>IF(B50="","",SUMIFS(Tree!$AL:$AL,Tree!$A:$A,'Pre-Harvest Plots_rpt'!$B50,Tree!$B:$B,'Pre-Harvest Plots_rpt'!$D50,Tree!$F:$F,"L")-Q50)</f>
        <v/>
      </c>
      <c r="V50" s="123" t="str">
        <f>IF(B50="","",ROUND(SUMIFS(Tree!$AE:$AE,Tree!$A:$A,'Pre-Harvest Plots_rpt'!$B50,Tree!$B:$B,'Pre-Harvest Plots_rpt'!$D50,Tree!$F:$F,"L")-R50,1))</f>
        <v/>
      </c>
      <c r="W50" s="124" t="str">
        <f>IF(B50="","",SUMIFS(Tree!$AY:$AY,Tree!$A:$A,'Pre-Harvest Plots_rpt'!$B50,Tree!$B:$B,'Pre-Harvest Plots_rpt'!$D50,Tree!$F:$F,"L")/1000)</f>
        <v/>
      </c>
      <c r="X50" s="158" t="str">
        <f>IF(B50="","",ROUND((SUMIFS(Tree!$AW:$AW,Tree!$A:$A,'Pre-Harvest Plots_rpt'!$B50,Tree!$B:$B,'Pre-Harvest Plots_rpt'!$D50,Tree!$F:$F,"L")/1000)-W50,1))</f>
        <v/>
      </c>
      <c r="Y50" s="135"/>
      <c r="Z50" s="161" t="str">
        <f>IF(IF(B50="","",SUMIFS(Tree!$O:$O,Tree!$A:$A,'Pre-Harvest Plots_rpt'!$B50,Tree!$B:$B,'Pre-Harvest Plots_rpt'!$D50,Tree!$F:$F,"D"))=0,"",IF(B50="","",SUMIFS(Tree!$O:$O,Tree!$A:$A,'Pre-Harvest Plots_rpt'!$B50,Tree!$B:$B,'Pre-Harvest Plots_rpt'!$D50,Tree!$F:$F,"D")))</f>
        <v/>
      </c>
      <c r="AA50" s="125" t="str">
        <f t="shared" si="6"/>
        <v/>
      </c>
      <c r="AB50" s="125" t="str">
        <f>IF(Z50="","",SUMIFS(Tree!$R:$R,Tree!$A:$A,'Pre-Harvest Plots_rpt'!$B50,Tree!$B:$B,'Pre-Harvest Plots_rpt'!$D50,Tree!$F:$F,"D"))</f>
        <v/>
      </c>
      <c r="AC50" s="126" t="str">
        <f>IF(Z50="","",SUMIFS(Tree!$AM:$AM,Tree!$A:$A,'Pre-Harvest Plots_rpt'!$B50,Tree!$B:$B,'Pre-Harvest Plots_rpt'!$D50,Tree!$F:$F,"D"))</f>
        <v/>
      </c>
      <c r="AD50" s="162" t="str">
        <f>IF(Z50="","",SUMIFS(Tree!$AW:$AW,Tree!$A:$A,'Pre-Harvest Plots_rpt'!$B50,Tree!$B:$B,'Pre-Harvest Plots_rpt'!$D50,Tree!$F:$F,"D")/1000)</f>
        <v/>
      </c>
      <c r="AE50" s="47"/>
      <c r="AF50" s="4"/>
      <c r="AG50" s="4"/>
      <c r="AH50" s="4"/>
    </row>
    <row r="51" spans="1:34" ht="12.75" customHeight="1" x14ac:dyDescent="0.25">
      <c r="A51" s="48">
        <v>48</v>
      </c>
      <c r="B51" s="171" t="str">
        <f>IF(A51&lt;=SUM(Stand!$H$3:$H$29),VLOOKUP(A51,Stand!$A$3:$C$29,3,TRUE),"")</f>
        <v/>
      </c>
      <c r="C51" s="172" t="str">
        <f t="shared" si="9"/>
        <v/>
      </c>
      <c r="D51" s="173" t="str">
        <f>IF(B51="","",VLOOKUP(B51&amp;C51,Plot!$B$2:$D$199,3,FALSE))</f>
        <v/>
      </c>
      <c r="E51" s="130"/>
      <c r="F51" s="152" t="str">
        <f>IF(B51="","",SUMIFS(Tree!$O:$O,Tree!$A:$A,'Pre-Harvest Plots_rpt'!$B51,Tree!$B:$B,'Pre-Harvest Plots_rpt'!$D51,Tree!$F:$F,"L"))</f>
        <v/>
      </c>
      <c r="G51" s="153" t="str">
        <f>IFERROR(IF(D51="","",SUMIFS(Tree!$P:$P,Tree!$A:$A,'Pre-Harvest Plots_rpt'!$B51,Tree!$B:$B,'Pre-Harvest Plots_rpt'!$D51)/$F51),"")</f>
        <v/>
      </c>
      <c r="H51" s="122" t="str">
        <f t="shared" si="7"/>
        <v/>
      </c>
      <c r="I51" s="121" t="str">
        <f>IF(OR($F51=0,$F51=""),"",SUMIFS(Tree!$R:$R,Tree!$A:$A,'Pre-Harvest Plots_rpt'!$B51,Tree!$B:$B,'Pre-Harvest Plots_rpt'!$D51,Tree!$F:$F,"L"))</f>
        <v/>
      </c>
      <c r="J51" s="121" t="str">
        <f>IF(OR($F51=0,$F51=""),"",IF(SUMIFS(Tree!$W:$W,Tree!$A:$A,'Pre-Harvest Plots_rpt'!$B51,Tree!$B:$B,'Pre-Harvest Plots_rpt'!$D51,Tree!$F:$F,"L")=0,0,AVERAGEIFS(Tree!$W:$W,Tree!$A:$A,'Pre-Harvest Plots_rpt'!$B51,Tree!$B:$B,'Pre-Harvest Plots_rpt'!$D51,Tree!$F:$F,"L")))</f>
        <v/>
      </c>
      <c r="K51" s="121" t="str">
        <f>IF($F51="","",SUMIFS(Tree!$S:$S,Tree!$A:$A,'Pre-Harvest Plots_rpt'!$B51,Tree!$B:$B,'Pre-Harvest Plots_rpt'!$D51,Tree!$F:$F,"L"))</f>
        <v/>
      </c>
      <c r="L51" s="154" t="str">
        <f t="shared" si="8"/>
        <v/>
      </c>
      <c r="M51" s="135"/>
      <c r="N51" s="192" t="str">
        <f>IF(B51="","",SUMIFS(Tree!$AM:$AM,Tree!$A:$A,'Pre-Harvest Plots_rpt'!$B51,Tree!$B:$B,'Pre-Harvest Plots_rpt'!$D51,Tree!$F:$F,"L"))</f>
        <v/>
      </c>
      <c r="O51" s="122" t="str">
        <f>IF(B51="","",SUMIFS(Tree!$AN:$AN,Tree!$A:$A,'Pre-Harvest Plots_rpt'!$B51,Tree!$B:$B,'Pre-Harvest Plots_rpt'!$D51,Tree!$F:$F,"L"))</f>
        <v/>
      </c>
      <c r="P51" s="122" t="str">
        <f>IF(B51="","",SUMIFS(Tree!$AO:$AO,Tree!$A:$A,'Pre-Harvest Plots_rpt'!$B51,Tree!$B:$B,'Pre-Harvest Plots_rpt'!$D51,Tree!$F:$F,"L"))</f>
        <v/>
      </c>
      <c r="Q51" s="122" t="str">
        <f>IF(B51="","",SUMIFS(Tree!$AP:$AP,Tree!$A:$A,'Pre-Harvest Plots_rpt'!$B51,Tree!$B:$B,'Pre-Harvest Plots_rpt'!$D51,Tree!$F:$F,"L"))</f>
        <v/>
      </c>
      <c r="R51" s="123" t="str">
        <f>IF(B51="","",SUMIFS(Tree!$AQ:$AQ,Tree!$A:$A,'Pre-Harvest Plots_rpt'!$B51,Tree!$B:$B,'Pre-Harvest Plots_rpt'!$D51,Tree!$F:$F,"L"))</f>
        <v/>
      </c>
      <c r="S51" s="122" t="str">
        <f>IF(B51="","",SUMIFS(Tree!$AJ:$AJ,Tree!$A:$A,'Pre-Harvest Plots_rpt'!$B51,Tree!$B:$B,'Pre-Harvest Plots_rpt'!$D51,Tree!$F:$F,"L")-O51)</f>
        <v/>
      </c>
      <c r="T51" s="122" t="str">
        <f>IF(B51="","",SUMIFS(Tree!$AK:$AK,Tree!$A:$A,'Pre-Harvest Plots_rpt'!$B51,Tree!$B:$B,'Pre-Harvest Plots_rpt'!$D51,Tree!$F:$F,"L")-P51)</f>
        <v/>
      </c>
      <c r="U51" s="122" t="str">
        <f>IF(B51="","",SUMIFS(Tree!$AL:$AL,Tree!$A:$A,'Pre-Harvest Plots_rpt'!$B51,Tree!$B:$B,'Pre-Harvest Plots_rpt'!$D51,Tree!$F:$F,"L")-Q51)</f>
        <v/>
      </c>
      <c r="V51" s="123" t="str">
        <f>IF(B51="","",ROUND(SUMIFS(Tree!$AE:$AE,Tree!$A:$A,'Pre-Harvest Plots_rpt'!$B51,Tree!$B:$B,'Pre-Harvest Plots_rpt'!$D51,Tree!$F:$F,"L")-R51,1))</f>
        <v/>
      </c>
      <c r="W51" s="124" t="str">
        <f>IF(B51="","",SUMIFS(Tree!$AY:$AY,Tree!$A:$A,'Pre-Harvest Plots_rpt'!$B51,Tree!$B:$B,'Pre-Harvest Plots_rpt'!$D51,Tree!$F:$F,"L")/1000)</f>
        <v/>
      </c>
      <c r="X51" s="158" t="str">
        <f>IF(B51="","",ROUND((SUMIFS(Tree!$AW:$AW,Tree!$A:$A,'Pre-Harvest Plots_rpt'!$B51,Tree!$B:$B,'Pre-Harvest Plots_rpt'!$D51,Tree!$F:$F,"L")/1000)-W51,1))</f>
        <v/>
      </c>
      <c r="Y51" s="135"/>
      <c r="Z51" s="161" t="str">
        <f>IF(IF(B51="","",SUMIFS(Tree!$O:$O,Tree!$A:$A,'Pre-Harvest Plots_rpt'!$B51,Tree!$B:$B,'Pre-Harvest Plots_rpt'!$D51,Tree!$F:$F,"D"))=0,"",IF(B51="","",SUMIFS(Tree!$O:$O,Tree!$A:$A,'Pre-Harvest Plots_rpt'!$B51,Tree!$B:$B,'Pre-Harvest Plots_rpt'!$D51,Tree!$F:$F,"D")))</f>
        <v/>
      </c>
      <c r="AA51" s="125" t="str">
        <f t="shared" si="6"/>
        <v/>
      </c>
      <c r="AB51" s="125" t="str">
        <f>IF(Z51="","",SUMIFS(Tree!$R:$R,Tree!$A:$A,'Pre-Harvest Plots_rpt'!$B51,Tree!$B:$B,'Pre-Harvest Plots_rpt'!$D51,Tree!$F:$F,"D"))</f>
        <v/>
      </c>
      <c r="AC51" s="126" t="str">
        <f>IF(Z51="","",SUMIFS(Tree!$AM:$AM,Tree!$A:$A,'Pre-Harvest Plots_rpt'!$B51,Tree!$B:$B,'Pre-Harvest Plots_rpt'!$D51,Tree!$F:$F,"D"))</f>
        <v/>
      </c>
      <c r="AD51" s="162" t="str">
        <f>IF(Z51="","",SUMIFS(Tree!$AW:$AW,Tree!$A:$A,'Pre-Harvest Plots_rpt'!$B51,Tree!$B:$B,'Pre-Harvest Plots_rpt'!$D51,Tree!$F:$F,"D")/1000)</f>
        <v/>
      </c>
      <c r="AE51" s="47"/>
      <c r="AF51" s="4"/>
      <c r="AG51" s="4"/>
      <c r="AH51" s="4"/>
    </row>
    <row r="52" spans="1:34" ht="12.75" customHeight="1" x14ac:dyDescent="0.25">
      <c r="A52" s="48">
        <v>49</v>
      </c>
      <c r="B52" s="171" t="str">
        <f>IF(A52&lt;=SUM(Stand!$H$3:$H$29),VLOOKUP(A52,Stand!$A$3:$C$29,3,TRUE),"")</f>
        <v/>
      </c>
      <c r="C52" s="172" t="str">
        <f t="shared" si="9"/>
        <v/>
      </c>
      <c r="D52" s="173" t="str">
        <f>IF(B52="","",VLOOKUP(B52&amp;C52,Plot!$B$2:$D$199,3,FALSE))</f>
        <v/>
      </c>
      <c r="E52" s="130"/>
      <c r="F52" s="152" t="str">
        <f>IF(B52="","",SUMIFS(Tree!$O:$O,Tree!$A:$A,'Pre-Harvest Plots_rpt'!$B52,Tree!$B:$B,'Pre-Harvest Plots_rpt'!$D52,Tree!$F:$F,"L"))</f>
        <v/>
      </c>
      <c r="G52" s="153" t="str">
        <f>IFERROR(IF(D52="","",SUMIFS(Tree!$P:$P,Tree!$A:$A,'Pre-Harvest Plots_rpt'!$B52,Tree!$B:$B,'Pre-Harvest Plots_rpt'!$D52)/$F52),"")</f>
        <v/>
      </c>
      <c r="H52" s="122" t="str">
        <f t="shared" si="7"/>
        <v/>
      </c>
      <c r="I52" s="121" t="str">
        <f>IF(OR($F52=0,$F52=""),"",SUMIFS(Tree!$R:$R,Tree!$A:$A,'Pre-Harvest Plots_rpt'!$B52,Tree!$B:$B,'Pre-Harvest Plots_rpt'!$D52,Tree!$F:$F,"L"))</f>
        <v/>
      </c>
      <c r="J52" s="121" t="str">
        <f>IF(OR($F52=0,$F52=""),"",IF(SUMIFS(Tree!$W:$W,Tree!$A:$A,'Pre-Harvest Plots_rpt'!$B52,Tree!$B:$B,'Pre-Harvest Plots_rpt'!$D52,Tree!$F:$F,"L")=0,0,AVERAGEIFS(Tree!$W:$W,Tree!$A:$A,'Pre-Harvest Plots_rpt'!$B52,Tree!$B:$B,'Pre-Harvest Plots_rpt'!$D52,Tree!$F:$F,"L")))</f>
        <v/>
      </c>
      <c r="K52" s="121" t="str">
        <f>IF($F52="","",SUMIFS(Tree!$S:$S,Tree!$A:$A,'Pre-Harvest Plots_rpt'!$B52,Tree!$B:$B,'Pre-Harvest Plots_rpt'!$D52,Tree!$F:$F,"L"))</f>
        <v/>
      </c>
      <c r="L52" s="154" t="str">
        <f t="shared" si="8"/>
        <v/>
      </c>
      <c r="M52" s="135"/>
      <c r="N52" s="192" t="str">
        <f>IF(B52="","",SUMIFS(Tree!$AM:$AM,Tree!$A:$A,'Pre-Harvest Plots_rpt'!$B52,Tree!$B:$B,'Pre-Harvest Plots_rpt'!$D52,Tree!$F:$F,"L"))</f>
        <v/>
      </c>
      <c r="O52" s="122" t="str">
        <f>IF(B52="","",SUMIFS(Tree!$AN:$AN,Tree!$A:$A,'Pre-Harvest Plots_rpt'!$B52,Tree!$B:$B,'Pre-Harvest Plots_rpt'!$D52,Tree!$F:$F,"L"))</f>
        <v/>
      </c>
      <c r="P52" s="122" t="str">
        <f>IF(B52="","",SUMIFS(Tree!$AO:$AO,Tree!$A:$A,'Pre-Harvest Plots_rpt'!$B52,Tree!$B:$B,'Pre-Harvest Plots_rpt'!$D52,Tree!$F:$F,"L"))</f>
        <v/>
      </c>
      <c r="Q52" s="122" t="str">
        <f>IF(B52="","",SUMIFS(Tree!$AP:$AP,Tree!$A:$A,'Pre-Harvest Plots_rpt'!$B52,Tree!$B:$B,'Pre-Harvest Plots_rpt'!$D52,Tree!$F:$F,"L"))</f>
        <v/>
      </c>
      <c r="R52" s="123" t="str">
        <f>IF(B52="","",SUMIFS(Tree!$AQ:$AQ,Tree!$A:$A,'Pre-Harvest Plots_rpt'!$B52,Tree!$B:$B,'Pre-Harvest Plots_rpt'!$D52,Tree!$F:$F,"L"))</f>
        <v/>
      </c>
      <c r="S52" s="122" t="str">
        <f>IF(B52="","",SUMIFS(Tree!$AJ:$AJ,Tree!$A:$A,'Pre-Harvest Plots_rpt'!$B52,Tree!$B:$B,'Pre-Harvest Plots_rpt'!$D52,Tree!$F:$F,"L")-O52)</f>
        <v/>
      </c>
      <c r="T52" s="122" t="str">
        <f>IF(B52="","",SUMIFS(Tree!$AK:$AK,Tree!$A:$A,'Pre-Harvest Plots_rpt'!$B52,Tree!$B:$B,'Pre-Harvest Plots_rpt'!$D52,Tree!$F:$F,"L")-P52)</f>
        <v/>
      </c>
      <c r="U52" s="122" t="str">
        <f>IF(B52="","",SUMIFS(Tree!$AL:$AL,Tree!$A:$A,'Pre-Harvest Plots_rpt'!$B52,Tree!$B:$B,'Pre-Harvest Plots_rpt'!$D52,Tree!$F:$F,"L")-Q52)</f>
        <v/>
      </c>
      <c r="V52" s="123" t="str">
        <f>IF(B52="","",ROUND(SUMIFS(Tree!$AE:$AE,Tree!$A:$A,'Pre-Harvest Plots_rpt'!$B52,Tree!$B:$B,'Pre-Harvest Plots_rpt'!$D52,Tree!$F:$F,"L")-R52,1))</f>
        <v/>
      </c>
      <c r="W52" s="124" t="str">
        <f>IF(B52="","",SUMIFS(Tree!$AY:$AY,Tree!$A:$A,'Pre-Harvest Plots_rpt'!$B52,Tree!$B:$B,'Pre-Harvest Plots_rpt'!$D52,Tree!$F:$F,"L")/1000)</f>
        <v/>
      </c>
      <c r="X52" s="158" t="str">
        <f>IF(B52="","",ROUND((SUMIFS(Tree!$AW:$AW,Tree!$A:$A,'Pre-Harvest Plots_rpt'!$B52,Tree!$B:$B,'Pre-Harvest Plots_rpt'!$D52,Tree!$F:$F,"L")/1000)-W52,1))</f>
        <v/>
      </c>
      <c r="Y52" s="135"/>
      <c r="Z52" s="161" t="str">
        <f>IF(IF(B52="","",SUMIFS(Tree!$O:$O,Tree!$A:$A,'Pre-Harvest Plots_rpt'!$B52,Tree!$B:$B,'Pre-Harvest Plots_rpt'!$D52,Tree!$F:$F,"D"))=0,"",IF(B52="","",SUMIFS(Tree!$O:$O,Tree!$A:$A,'Pre-Harvest Plots_rpt'!$B52,Tree!$B:$B,'Pre-Harvest Plots_rpt'!$D52,Tree!$F:$F,"D")))</f>
        <v/>
      </c>
      <c r="AA52" s="125" t="str">
        <f t="shared" si="6"/>
        <v/>
      </c>
      <c r="AB52" s="125" t="str">
        <f>IF(Z52="","",SUMIFS(Tree!$R:$R,Tree!$A:$A,'Pre-Harvest Plots_rpt'!$B52,Tree!$B:$B,'Pre-Harvest Plots_rpt'!$D52,Tree!$F:$F,"D"))</f>
        <v/>
      </c>
      <c r="AC52" s="126" t="str">
        <f>IF(Z52="","",SUMIFS(Tree!$AM:$AM,Tree!$A:$A,'Pre-Harvest Plots_rpt'!$B52,Tree!$B:$B,'Pre-Harvest Plots_rpt'!$D52,Tree!$F:$F,"D"))</f>
        <v/>
      </c>
      <c r="AD52" s="162" t="str">
        <f>IF(Z52="","",SUMIFS(Tree!$AW:$AW,Tree!$A:$A,'Pre-Harvest Plots_rpt'!$B52,Tree!$B:$B,'Pre-Harvest Plots_rpt'!$D52,Tree!$F:$F,"D")/1000)</f>
        <v/>
      </c>
      <c r="AE52" s="47"/>
      <c r="AF52" s="4"/>
      <c r="AG52" s="4"/>
      <c r="AH52" s="4"/>
    </row>
    <row r="53" spans="1:34" ht="12.75" customHeight="1" x14ac:dyDescent="0.25">
      <c r="A53" s="48">
        <v>50</v>
      </c>
      <c r="B53" s="171" t="str">
        <f>IF(A53&lt;=SUM(Stand!$H$3:$H$29),VLOOKUP(A53,Stand!$A$3:$C$29,3,TRUE),"")</f>
        <v/>
      </c>
      <c r="C53" s="172" t="str">
        <f t="shared" si="9"/>
        <v/>
      </c>
      <c r="D53" s="173" t="str">
        <f>IF(B53="","",VLOOKUP(B53&amp;C53,Plot!$B$2:$D$199,3,FALSE))</f>
        <v/>
      </c>
      <c r="E53" s="130"/>
      <c r="F53" s="152" t="str">
        <f>IF(B53="","",SUMIFS(Tree!$O:$O,Tree!$A:$A,'Pre-Harvest Plots_rpt'!$B53,Tree!$B:$B,'Pre-Harvest Plots_rpt'!$D53,Tree!$F:$F,"L"))</f>
        <v/>
      </c>
      <c r="G53" s="153" t="str">
        <f>IFERROR(IF(D53="","",SUMIFS(Tree!$P:$P,Tree!$A:$A,'Pre-Harvest Plots_rpt'!$B53,Tree!$B:$B,'Pre-Harvest Plots_rpt'!$D53)/$F53),"")</f>
        <v/>
      </c>
      <c r="H53" s="122" t="str">
        <f t="shared" si="7"/>
        <v/>
      </c>
      <c r="I53" s="121" t="str">
        <f>IF(OR($F53=0,$F53=""),"",SUMIFS(Tree!$R:$R,Tree!$A:$A,'Pre-Harvest Plots_rpt'!$B53,Tree!$B:$B,'Pre-Harvest Plots_rpt'!$D53,Tree!$F:$F,"L"))</f>
        <v/>
      </c>
      <c r="J53" s="121" t="str">
        <f>IF(OR($F53=0,$F53=""),"",IF(SUMIFS(Tree!$W:$W,Tree!$A:$A,'Pre-Harvest Plots_rpt'!$B53,Tree!$B:$B,'Pre-Harvest Plots_rpt'!$D53,Tree!$F:$F,"L")=0,0,AVERAGEIFS(Tree!$W:$W,Tree!$A:$A,'Pre-Harvest Plots_rpt'!$B53,Tree!$B:$B,'Pre-Harvest Plots_rpt'!$D53,Tree!$F:$F,"L")))</f>
        <v/>
      </c>
      <c r="K53" s="121" t="str">
        <f>IF($F53="","",SUMIFS(Tree!$S:$S,Tree!$A:$A,'Pre-Harvest Plots_rpt'!$B53,Tree!$B:$B,'Pre-Harvest Plots_rpt'!$D53,Tree!$F:$F,"L"))</f>
        <v/>
      </c>
      <c r="L53" s="154" t="str">
        <f t="shared" si="8"/>
        <v/>
      </c>
      <c r="M53" s="135"/>
      <c r="N53" s="192" t="str">
        <f>IF(B53="","",SUMIFS(Tree!$AM:$AM,Tree!$A:$A,'Pre-Harvest Plots_rpt'!$B53,Tree!$B:$B,'Pre-Harvest Plots_rpt'!$D53,Tree!$F:$F,"L"))</f>
        <v/>
      </c>
      <c r="O53" s="122" t="str">
        <f>IF(B53="","",SUMIFS(Tree!$AN:$AN,Tree!$A:$A,'Pre-Harvest Plots_rpt'!$B53,Tree!$B:$B,'Pre-Harvest Plots_rpt'!$D53,Tree!$F:$F,"L"))</f>
        <v/>
      </c>
      <c r="P53" s="122" t="str">
        <f>IF(B53="","",SUMIFS(Tree!$AO:$AO,Tree!$A:$A,'Pre-Harvest Plots_rpt'!$B53,Tree!$B:$B,'Pre-Harvest Plots_rpt'!$D53,Tree!$F:$F,"L"))</f>
        <v/>
      </c>
      <c r="Q53" s="122" t="str">
        <f>IF(B53="","",SUMIFS(Tree!$AP:$AP,Tree!$A:$A,'Pre-Harvest Plots_rpt'!$B53,Tree!$B:$B,'Pre-Harvest Plots_rpt'!$D53,Tree!$F:$F,"L"))</f>
        <v/>
      </c>
      <c r="R53" s="123" t="str">
        <f>IF(B53="","",SUMIFS(Tree!$AQ:$AQ,Tree!$A:$A,'Pre-Harvest Plots_rpt'!$B53,Tree!$B:$B,'Pre-Harvest Plots_rpt'!$D53,Tree!$F:$F,"L"))</f>
        <v/>
      </c>
      <c r="S53" s="122" t="str">
        <f>IF(B53="","",SUMIFS(Tree!$AJ:$AJ,Tree!$A:$A,'Pre-Harvest Plots_rpt'!$B53,Tree!$B:$B,'Pre-Harvest Plots_rpt'!$D53,Tree!$F:$F,"L")-O53)</f>
        <v/>
      </c>
      <c r="T53" s="122" t="str">
        <f>IF(B53="","",SUMIFS(Tree!$AK:$AK,Tree!$A:$A,'Pre-Harvest Plots_rpt'!$B53,Tree!$B:$B,'Pre-Harvest Plots_rpt'!$D53,Tree!$F:$F,"L")-P53)</f>
        <v/>
      </c>
      <c r="U53" s="122" t="str">
        <f>IF(B53="","",SUMIFS(Tree!$AL:$AL,Tree!$A:$A,'Pre-Harvest Plots_rpt'!$B53,Tree!$B:$B,'Pre-Harvest Plots_rpt'!$D53,Tree!$F:$F,"L")-Q53)</f>
        <v/>
      </c>
      <c r="V53" s="123" t="str">
        <f>IF(B53="","",ROUND(SUMIFS(Tree!$AE:$AE,Tree!$A:$A,'Pre-Harvest Plots_rpt'!$B53,Tree!$B:$B,'Pre-Harvest Plots_rpt'!$D53,Tree!$F:$F,"L")-R53,1))</f>
        <v/>
      </c>
      <c r="W53" s="124" t="str">
        <f>IF(B53="","",SUMIFS(Tree!$AY:$AY,Tree!$A:$A,'Pre-Harvest Plots_rpt'!$B53,Tree!$B:$B,'Pre-Harvest Plots_rpt'!$D53,Tree!$F:$F,"L")/1000)</f>
        <v/>
      </c>
      <c r="X53" s="158" t="str">
        <f>IF(B53="","",ROUND((SUMIFS(Tree!$AW:$AW,Tree!$A:$A,'Pre-Harvest Plots_rpt'!$B53,Tree!$B:$B,'Pre-Harvest Plots_rpt'!$D53,Tree!$F:$F,"L")/1000)-W53,1))</f>
        <v/>
      </c>
      <c r="Y53" s="135"/>
      <c r="Z53" s="161" t="str">
        <f>IF(IF(B53="","",SUMIFS(Tree!$O:$O,Tree!$A:$A,'Pre-Harvest Plots_rpt'!$B53,Tree!$B:$B,'Pre-Harvest Plots_rpt'!$D53,Tree!$F:$F,"D"))=0,"",IF(B53="","",SUMIFS(Tree!$O:$O,Tree!$A:$A,'Pre-Harvest Plots_rpt'!$B53,Tree!$B:$B,'Pre-Harvest Plots_rpt'!$D53,Tree!$F:$F,"D")))</f>
        <v/>
      </c>
      <c r="AA53" s="125" t="str">
        <f t="shared" si="6"/>
        <v/>
      </c>
      <c r="AB53" s="125" t="str">
        <f>IF(Z53="","",SUMIFS(Tree!$R:$R,Tree!$A:$A,'Pre-Harvest Plots_rpt'!$B53,Tree!$B:$B,'Pre-Harvest Plots_rpt'!$D53,Tree!$F:$F,"D"))</f>
        <v/>
      </c>
      <c r="AC53" s="126" t="str">
        <f>IF(Z53="","",SUMIFS(Tree!$AM:$AM,Tree!$A:$A,'Pre-Harvest Plots_rpt'!$B53,Tree!$B:$B,'Pre-Harvest Plots_rpt'!$D53,Tree!$F:$F,"D"))</f>
        <v/>
      </c>
      <c r="AD53" s="162" t="str">
        <f>IF(Z53="","",SUMIFS(Tree!$AW:$AW,Tree!$A:$A,'Pre-Harvest Plots_rpt'!$B53,Tree!$B:$B,'Pre-Harvest Plots_rpt'!$D53,Tree!$F:$F,"D")/1000)</f>
        <v/>
      </c>
      <c r="AE53" s="47"/>
      <c r="AF53" s="4"/>
      <c r="AG53" s="4"/>
      <c r="AH53" s="4"/>
    </row>
    <row r="54" spans="1:34" ht="12.75" customHeight="1" x14ac:dyDescent="0.25">
      <c r="A54" s="48">
        <v>51</v>
      </c>
      <c r="B54" s="171" t="str">
        <f>IF(A54&lt;=SUM(Stand!$H$3:$H$29),VLOOKUP(A54,Stand!$A$3:$C$29,3,TRUE),"")</f>
        <v/>
      </c>
      <c r="C54" s="172" t="str">
        <f t="shared" si="9"/>
        <v/>
      </c>
      <c r="D54" s="173" t="str">
        <f>IF(B54="","",VLOOKUP(B54&amp;C54,Plot!$B$2:$D$199,3,FALSE))</f>
        <v/>
      </c>
      <c r="E54" s="130"/>
      <c r="F54" s="152" t="str">
        <f>IF(B54="","",SUMIFS(Tree!$O:$O,Tree!$A:$A,'Pre-Harvest Plots_rpt'!$B54,Tree!$B:$B,'Pre-Harvest Plots_rpt'!$D54,Tree!$F:$F,"L"))</f>
        <v/>
      </c>
      <c r="G54" s="153" t="str">
        <f>IFERROR(IF(D54="","",SUMIFS(Tree!$P:$P,Tree!$A:$A,'Pre-Harvest Plots_rpt'!$B54,Tree!$B:$B,'Pre-Harvest Plots_rpt'!$D54)/$F54),"")</f>
        <v/>
      </c>
      <c r="H54" s="122" t="str">
        <f t="shared" si="7"/>
        <v/>
      </c>
      <c r="I54" s="121" t="str">
        <f>IF(OR($F54=0,$F54=""),"",SUMIFS(Tree!$R:$R,Tree!$A:$A,'Pre-Harvest Plots_rpt'!$B54,Tree!$B:$B,'Pre-Harvest Plots_rpt'!$D54,Tree!$F:$F,"L"))</f>
        <v/>
      </c>
      <c r="J54" s="121" t="str">
        <f>IF(OR($F54=0,$F54=""),"",IF(SUMIFS(Tree!$W:$W,Tree!$A:$A,'Pre-Harvest Plots_rpt'!$B54,Tree!$B:$B,'Pre-Harvest Plots_rpt'!$D54,Tree!$F:$F,"L")=0,0,AVERAGEIFS(Tree!$W:$W,Tree!$A:$A,'Pre-Harvest Plots_rpt'!$B54,Tree!$B:$B,'Pre-Harvest Plots_rpt'!$D54,Tree!$F:$F,"L")))</f>
        <v/>
      </c>
      <c r="K54" s="121" t="str">
        <f>IF($F54="","",SUMIFS(Tree!$S:$S,Tree!$A:$A,'Pre-Harvest Plots_rpt'!$B54,Tree!$B:$B,'Pre-Harvest Plots_rpt'!$D54,Tree!$F:$F,"L"))</f>
        <v/>
      </c>
      <c r="L54" s="154" t="str">
        <f t="shared" si="8"/>
        <v/>
      </c>
      <c r="M54" s="135"/>
      <c r="N54" s="192" t="str">
        <f>IF(B54="","",SUMIFS(Tree!$AM:$AM,Tree!$A:$A,'Pre-Harvest Plots_rpt'!$B54,Tree!$B:$B,'Pre-Harvest Plots_rpt'!$D54,Tree!$F:$F,"L"))</f>
        <v/>
      </c>
      <c r="O54" s="122" t="str">
        <f>IF(B54="","",SUMIFS(Tree!$AN:$AN,Tree!$A:$A,'Pre-Harvest Plots_rpt'!$B54,Tree!$B:$B,'Pre-Harvest Plots_rpt'!$D54,Tree!$F:$F,"L"))</f>
        <v/>
      </c>
      <c r="P54" s="122" t="str">
        <f>IF(B54="","",SUMIFS(Tree!$AO:$AO,Tree!$A:$A,'Pre-Harvest Plots_rpt'!$B54,Tree!$B:$B,'Pre-Harvest Plots_rpt'!$D54,Tree!$F:$F,"L"))</f>
        <v/>
      </c>
      <c r="Q54" s="122" t="str">
        <f>IF(B54="","",SUMIFS(Tree!$AP:$AP,Tree!$A:$A,'Pre-Harvest Plots_rpt'!$B54,Tree!$B:$B,'Pre-Harvest Plots_rpt'!$D54,Tree!$F:$F,"L"))</f>
        <v/>
      </c>
      <c r="R54" s="123" t="str">
        <f>IF(B54="","",SUMIFS(Tree!$AQ:$AQ,Tree!$A:$A,'Pre-Harvest Plots_rpt'!$B54,Tree!$B:$B,'Pre-Harvest Plots_rpt'!$D54,Tree!$F:$F,"L"))</f>
        <v/>
      </c>
      <c r="S54" s="122" t="str">
        <f>IF(B54="","",SUMIFS(Tree!$AJ:$AJ,Tree!$A:$A,'Pre-Harvest Plots_rpt'!$B54,Tree!$B:$B,'Pre-Harvest Plots_rpt'!$D54,Tree!$F:$F,"L")-O54)</f>
        <v/>
      </c>
      <c r="T54" s="122" t="str">
        <f>IF(B54="","",SUMIFS(Tree!$AK:$AK,Tree!$A:$A,'Pre-Harvest Plots_rpt'!$B54,Tree!$B:$B,'Pre-Harvest Plots_rpt'!$D54,Tree!$F:$F,"L")-P54)</f>
        <v/>
      </c>
      <c r="U54" s="122" t="str">
        <f>IF(B54="","",SUMIFS(Tree!$AL:$AL,Tree!$A:$A,'Pre-Harvest Plots_rpt'!$B54,Tree!$B:$B,'Pre-Harvest Plots_rpt'!$D54,Tree!$F:$F,"L")-Q54)</f>
        <v/>
      </c>
      <c r="V54" s="123" t="str">
        <f>IF(B54="","",ROUND(SUMIFS(Tree!$AE:$AE,Tree!$A:$A,'Pre-Harvest Plots_rpt'!$B54,Tree!$B:$B,'Pre-Harvest Plots_rpt'!$D54,Tree!$F:$F,"L")-R54,1))</f>
        <v/>
      </c>
      <c r="W54" s="124" t="str">
        <f>IF(B54="","",SUMIFS(Tree!$AY:$AY,Tree!$A:$A,'Pre-Harvest Plots_rpt'!$B54,Tree!$B:$B,'Pre-Harvest Plots_rpt'!$D54,Tree!$F:$F,"L")/1000)</f>
        <v/>
      </c>
      <c r="X54" s="158" t="str">
        <f>IF(B54="","",ROUND((SUMIFS(Tree!$AW:$AW,Tree!$A:$A,'Pre-Harvest Plots_rpt'!$B54,Tree!$B:$B,'Pre-Harvest Plots_rpt'!$D54,Tree!$F:$F,"L")/1000)-W54,1))</f>
        <v/>
      </c>
      <c r="Y54" s="135"/>
      <c r="Z54" s="161" t="str">
        <f>IF(IF(B54="","",SUMIFS(Tree!$O:$O,Tree!$A:$A,'Pre-Harvest Plots_rpt'!$B54,Tree!$B:$B,'Pre-Harvest Plots_rpt'!$D54,Tree!$F:$F,"D"))=0,"",IF(B54="","",SUMIFS(Tree!$O:$O,Tree!$A:$A,'Pre-Harvest Plots_rpt'!$B54,Tree!$B:$B,'Pre-Harvest Plots_rpt'!$D54,Tree!$F:$F,"D")))</f>
        <v/>
      </c>
      <c r="AA54" s="125" t="str">
        <f t="shared" si="6"/>
        <v/>
      </c>
      <c r="AB54" s="125" t="str">
        <f>IF(Z54="","",SUMIFS(Tree!$R:$R,Tree!$A:$A,'Pre-Harvest Plots_rpt'!$B54,Tree!$B:$B,'Pre-Harvest Plots_rpt'!$D54,Tree!$F:$F,"D"))</f>
        <v/>
      </c>
      <c r="AC54" s="126" t="str">
        <f>IF(Z54="","",SUMIFS(Tree!$AM:$AM,Tree!$A:$A,'Pre-Harvest Plots_rpt'!$B54,Tree!$B:$B,'Pre-Harvest Plots_rpt'!$D54,Tree!$F:$F,"D"))</f>
        <v/>
      </c>
      <c r="AD54" s="162" t="str">
        <f>IF(Z54="","",SUMIFS(Tree!$AW:$AW,Tree!$A:$A,'Pre-Harvest Plots_rpt'!$B54,Tree!$B:$B,'Pre-Harvest Plots_rpt'!$D54,Tree!$F:$F,"D")/1000)</f>
        <v/>
      </c>
      <c r="AE54" s="47"/>
      <c r="AF54" s="4"/>
      <c r="AG54" s="4"/>
      <c r="AH54" s="4"/>
    </row>
    <row r="55" spans="1:34" ht="12.75" customHeight="1" x14ac:dyDescent="0.25">
      <c r="A55" s="48">
        <v>52</v>
      </c>
      <c r="B55" s="171" t="str">
        <f>IF(A55&lt;=SUM(Stand!$H$3:$H$29),VLOOKUP(A55,Stand!$A$3:$C$29,3,TRUE),"")</f>
        <v/>
      </c>
      <c r="C55" s="172" t="str">
        <f t="shared" si="9"/>
        <v/>
      </c>
      <c r="D55" s="173" t="str">
        <f>IF(B55="","",VLOOKUP(B55&amp;C55,Plot!$B$2:$D$199,3,FALSE))</f>
        <v/>
      </c>
      <c r="E55" s="130"/>
      <c r="F55" s="152" t="str">
        <f>IF(B55="","",SUMIFS(Tree!$O:$O,Tree!$A:$A,'Pre-Harvest Plots_rpt'!$B55,Tree!$B:$B,'Pre-Harvest Plots_rpt'!$D55,Tree!$F:$F,"L"))</f>
        <v/>
      </c>
      <c r="G55" s="153" t="str">
        <f>IFERROR(IF(D55="","",SUMIFS(Tree!$P:$P,Tree!$A:$A,'Pre-Harvest Plots_rpt'!$B55,Tree!$B:$B,'Pre-Harvest Plots_rpt'!$D55)/$F55),"")</f>
        <v/>
      </c>
      <c r="H55" s="122" t="str">
        <f t="shared" si="7"/>
        <v/>
      </c>
      <c r="I55" s="121" t="str">
        <f>IF(OR($F55=0,$F55=""),"",SUMIFS(Tree!$R:$R,Tree!$A:$A,'Pre-Harvest Plots_rpt'!$B55,Tree!$B:$B,'Pre-Harvest Plots_rpt'!$D55,Tree!$F:$F,"L"))</f>
        <v/>
      </c>
      <c r="J55" s="121" t="str">
        <f>IF(OR($F55=0,$F55=""),"",IF(SUMIFS(Tree!$W:$W,Tree!$A:$A,'Pre-Harvest Plots_rpt'!$B55,Tree!$B:$B,'Pre-Harvest Plots_rpt'!$D55,Tree!$F:$F,"L")=0,0,AVERAGEIFS(Tree!$W:$W,Tree!$A:$A,'Pre-Harvest Plots_rpt'!$B55,Tree!$B:$B,'Pre-Harvest Plots_rpt'!$D55,Tree!$F:$F,"L")))</f>
        <v/>
      </c>
      <c r="K55" s="121" t="str">
        <f>IF($F55="","",SUMIFS(Tree!$S:$S,Tree!$A:$A,'Pre-Harvest Plots_rpt'!$B55,Tree!$B:$B,'Pre-Harvest Plots_rpt'!$D55,Tree!$F:$F,"L"))</f>
        <v/>
      </c>
      <c r="L55" s="154" t="str">
        <f t="shared" si="8"/>
        <v/>
      </c>
      <c r="M55" s="135"/>
      <c r="N55" s="192" t="str">
        <f>IF(B55="","",SUMIFS(Tree!$AM:$AM,Tree!$A:$A,'Pre-Harvest Plots_rpt'!$B55,Tree!$B:$B,'Pre-Harvest Plots_rpt'!$D55,Tree!$F:$F,"L"))</f>
        <v/>
      </c>
      <c r="O55" s="122" t="str">
        <f>IF(B55="","",SUMIFS(Tree!$AN:$AN,Tree!$A:$A,'Pre-Harvest Plots_rpt'!$B55,Tree!$B:$B,'Pre-Harvest Plots_rpt'!$D55,Tree!$F:$F,"L"))</f>
        <v/>
      </c>
      <c r="P55" s="122" t="str">
        <f>IF(B55="","",SUMIFS(Tree!$AO:$AO,Tree!$A:$A,'Pre-Harvest Plots_rpt'!$B55,Tree!$B:$B,'Pre-Harvest Plots_rpt'!$D55,Tree!$F:$F,"L"))</f>
        <v/>
      </c>
      <c r="Q55" s="122" t="str">
        <f>IF(B55="","",SUMIFS(Tree!$AP:$AP,Tree!$A:$A,'Pre-Harvest Plots_rpt'!$B55,Tree!$B:$B,'Pre-Harvest Plots_rpt'!$D55,Tree!$F:$F,"L"))</f>
        <v/>
      </c>
      <c r="R55" s="123" t="str">
        <f>IF(B55="","",SUMIFS(Tree!$AQ:$AQ,Tree!$A:$A,'Pre-Harvest Plots_rpt'!$B55,Tree!$B:$B,'Pre-Harvest Plots_rpt'!$D55,Tree!$F:$F,"L"))</f>
        <v/>
      </c>
      <c r="S55" s="122" t="str">
        <f>IF(B55="","",SUMIFS(Tree!$AJ:$AJ,Tree!$A:$A,'Pre-Harvest Plots_rpt'!$B55,Tree!$B:$B,'Pre-Harvest Plots_rpt'!$D55,Tree!$F:$F,"L")-O55)</f>
        <v/>
      </c>
      <c r="T55" s="122" t="str">
        <f>IF(B55="","",SUMIFS(Tree!$AK:$AK,Tree!$A:$A,'Pre-Harvest Plots_rpt'!$B55,Tree!$B:$B,'Pre-Harvest Plots_rpt'!$D55,Tree!$F:$F,"L")-P55)</f>
        <v/>
      </c>
      <c r="U55" s="122" t="str">
        <f>IF(B55="","",SUMIFS(Tree!$AL:$AL,Tree!$A:$A,'Pre-Harvest Plots_rpt'!$B55,Tree!$B:$B,'Pre-Harvest Plots_rpt'!$D55,Tree!$F:$F,"L")-Q55)</f>
        <v/>
      </c>
      <c r="V55" s="123" t="str">
        <f>IF(B55="","",ROUND(SUMIFS(Tree!$AE:$AE,Tree!$A:$A,'Pre-Harvest Plots_rpt'!$B55,Tree!$B:$B,'Pre-Harvest Plots_rpt'!$D55,Tree!$F:$F,"L")-R55,1))</f>
        <v/>
      </c>
      <c r="W55" s="124" t="str">
        <f>IF(B55="","",SUMIFS(Tree!$AY:$AY,Tree!$A:$A,'Pre-Harvest Plots_rpt'!$B55,Tree!$B:$B,'Pre-Harvest Plots_rpt'!$D55,Tree!$F:$F,"L")/1000)</f>
        <v/>
      </c>
      <c r="X55" s="158" t="str">
        <f>IF(B55="","",ROUND((SUMIFS(Tree!$AW:$AW,Tree!$A:$A,'Pre-Harvest Plots_rpt'!$B55,Tree!$B:$B,'Pre-Harvest Plots_rpt'!$D55,Tree!$F:$F,"L")/1000)-W55,1))</f>
        <v/>
      </c>
      <c r="Y55" s="135"/>
      <c r="Z55" s="161" t="str">
        <f>IF(IF(B55="","",SUMIFS(Tree!$O:$O,Tree!$A:$A,'Pre-Harvest Plots_rpt'!$B55,Tree!$B:$B,'Pre-Harvest Plots_rpt'!$D55,Tree!$F:$F,"D"))=0,"",IF(B55="","",SUMIFS(Tree!$O:$O,Tree!$A:$A,'Pre-Harvest Plots_rpt'!$B55,Tree!$B:$B,'Pre-Harvest Plots_rpt'!$D55,Tree!$F:$F,"D")))</f>
        <v/>
      </c>
      <c r="AA55" s="125" t="str">
        <f t="shared" si="6"/>
        <v/>
      </c>
      <c r="AB55" s="125" t="str">
        <f>IF(Z55="","",SUMIFS(Tree!$R:$R,Tree!$A:$A,'Pre-Harvest Plots_rpt'!$B55,Tree!$B:$B,'Pre-Harvest Plots_rpt'!$D55,Tree!$F:$F,"D"))</f>
        <v/>
      </c>
      <c r="AC55" s="126" t="str">
        <f>IF(Z55="","",SUMIFS(Tree!$AM:$AM,Tree!$A:$A,'Pre-Harvest Plots_rpt'!$B55,Tree!$B:$B,'Pre-Harvest Plots_rpt'!$D55,Tree!$F:$F,"D"))</f>
        <v/>
      </c>
      <c r="AD55" s="162" t="str">
        <f>IF(Z55="","",SUMIFS(Tree!$AW:$AW,Tree!$A:$A,'Pre-Harvest Plots_rpt'!$B55,Tree!$B:$B,'Pre-Harvest Plots_rpt'!$D55,Tree!$F:$F,"D")/1000)</f>
        <v/>
      </c>
      <c r="AE55" s="47"/>
      <c r="AF55" s="4"/>
      <c r="AG55" s="4"/>
      <c r="AH55" s="4"/>
    </row>
    <row r="56" spans="1:34" ht="12.75" customHeight="1" x14ac:dyDescent="0.25">
      <c r="A56" s="48">
        <v>53</v>
      </c>
      <c r="B56" s="171" t="str">
        <f>IF(A56&lt;=SUM(Stand!$H$3:$H$29),VLOOKUP(A56,Stand!$A$3:$C$29,3,TRUE),"")</f>
        <v/>
      </c>
      <c r="C56" s="172" t="str">
        <f t="shared" si="9"/>
        <v/>
      </c>
      <c r="D56" s="173" t="str">
        <f>IF(B56="","",VLOOKUP(B56&amp;C56,Plot!$B$2:$D$199,3,FALSE))</f>
        <v/>
      </c>
      <c r="E56" s="130"/>
      <c r="F56" s="152" t="str">
        <f>IF(B56="","",SUMIFS(Tree!$O:$O,Tree!$A:$A,'Pre-Harvest Plots_rpt'!$B56,Tree!$B:$B,'Pre-Harvest Plots_rpt'!$D56,Tree!$F:$F,"L"))</f>
        <v/>
      </c>
      <c r="G56" s="153" t="str">
        <f>IFERROR(IF(D56="","",SUMIFS(Tree!$P:$P,Tree!$A:$A,'Pre-Harvest Plots_rpt'!$B56,Tree!$B:$B,'Pre-Harvest Plots_rpt'!$D56)/$F56),"")</f>
        <v/>
      </c>
      <c r="H56" s="122" t="str">
        <f t="shared" si="7"/>
        <v/>
      </c>
      <c r="I56" s="121" t="str">
        <f>IF(OR($F56=0,$F56=""),"",SUMIFS(Tree!$R:$R,Tree!$A:$A,'Pre-Harvest Plots_rpt'!$B56,Tree!$B:$B,'Pre-Harvest Plots_rpt'!$D56,Tree!$F:$F,"L"))</f>
        <v/>
      </c>
      <c r="J56" s="121" t="str">
        <f>IF(OR($F56=0,$F56=""),"",IF(SUMIFS(Tree!$W:$W,Tree!$A:$A,'Pre-Harvest Plots_rpt'!$B56,Tree!$B:$B,'Pre-Harvest Plots_rpt'!$D56,Tree!$F:$F,"L")=0,0,AVERAGEIFS(Tree!$W:$W,Tree!$A:$A,'Pre-Harvest Plots_rpt'!$B56,Tree!$B:$B,'Pre-Harvest Plots_rpt'!$D56,Tree!$F:$F,"L")))</f>
        <v/>
      </c>
      <c r="K56" s="121" t="str">
        <f>IF($F56="","",SUMIFS(Tree!$S:$S,Tree!$A:$A,'Pre-Harvest Plots_rpt'!$B56,Tree!$B:$B,'Pre-Harvest Plots_rpt'!$D56,Tree!$F:$F,"L"))</f>
        <v/>
      </c>
      <c r="L56" s="154" t="str">
        <f t="shared" si="8"/>
        <v/>
      </c>
      <c r="M56" s="135"/>
      <c r="N56" s="192" t="str">
        <f>IF(B56="","",SUMIFS(Tree!$AM:$AM,Tree!$A:$A,'Pre-Harvest Plots_rpt'!$B56,Tree!$B:$B,'Pre-Harvest Plots_rpt'!$D56,Tree!$F:$F,"L"))</f>
        <v/>
      </c>
      <c r="O56" s="122" t="str">
        <f>IF(B56="","",SUMIFS(Tree!$AN:$AN,Tree!$A:$A,'Pre-Harvest Plots_rpt'!$B56,Tree!$B:$B,'Pre-Harvest Plots_rpt'!$D56,Tree!$F:$F,"L"))</f>
        <v/>
      </c>
      <c r="P56" s="122" t="str">
        <f>IF(B56="","",SUMIFS(Tree!$AO:$AO,Tree!$A:$A,'Pre-Harvest Plots_rpt'!$B56,Tree!$B:$B,'Pre-Harvest Plots_rpt'!$D56,Tree!$F:$F,"L"))</f>
        <v/>
      </c>
      <c r="Q56" s="122" t="str">
        <f>IF(B56="","",SUMIFS(Tree!$AP:$AP,Tree!$A:$A,'Pre-Harvest Plots_rpt'!$B56,Tree!$B:$B,'Pre-Harvest Plots_rpt'!$D56,Tree!$F:$F,"L"))</f>
        <v/>
      </c>
      <c r="R56" s="123" t="str">
        <f>IF(B56="","",SUMIFS(Tree!$AQ:$AQ,Tree!$A:$A,'Pre-Harvest Plots_rpt'!$B56,Tree!$B:$B,'Pre-Harvest Plots_rpt'!$D56,Tree!$F:$F,"L"))</f>
        <v/>
      </c>
      <c r="S56" s="122" t="str">
        <f>IF(B56="","",SUMIFS(Tree!$AJ:$AJ,Tree!$A:$A,'Pre-Harvest Plots_rpt'!$B56,Tree!$B:$B,'Pre-Harvest Plots_rpt'!$D56,Tree!$F:$F,"L")-O56)</f>
        <v/>
      </c>
      <c r="T56" s="122" t="str">
        <f>IF(B56="","",SUMIFS(Tree!$AK:$AK,Tree!$A:$A,'Pre-Harvest Plots_rpt'!$B56,Tree!$B:$B,'Pre-Harvest Plots_rpt'!$D56,Tree!$F:$F,"L")-P56)</f>
        <v/>
      </c>
      <c r="U56" s="122" t="str">
        <f>IF(B56="","",SUMIFS(Tree!$AL:$AL,Tree!$A:$A,'Pre-Harvest Plots_rpt'!$B56,Tree!$B:$B,'Pre-Harvest Plots_rpt'!$D56,Tree!$F:$F,"L")-Q56)</f>
        <v/>
      </c>
      <c r="V56" s="123" t="str">
        <f>IF(B56="","",ROUND(SUMIFS(Tree!$AE:$AE,Tree!$A:$A,'Pre-Harvest Plots_rpt'!$B56,Tree!$B:$B,'Pre-Harvest Plots_rpt'!$D56,Tree!$F:$F,"L")-R56,1))</f>
        <v/>
      </c>
      <c r="W56" s="124" t="str">
        <f>IF(B56="","",SUMIFS(Tree!$AY:$AY,Tree!$A:$A,'Pre-Harvest Plots_rpt'!$B56,Tree!$B:$B,'Pre-Harvest Plots_rpt'!$D56,Tree!$F:$F,"L")/1000)</f>
        <v/>
      </c>
      <c r="X56" s="158" t="str">
        <f>IF(B56="","",ROUND((SUMIFS(Tree!$AW:$AW,Tree!$A:$A,'Pre-Harvest Plots_rpt'!$B56,Tree!$B:$B,'Pre-Harvest Plots_rpt'!$D56,Tree!$F:$F,"L")/1000)-W56,1))</f>
        <v/>
      </c>
      <c r="Y56" s="135"/>
      <c r="Z56" s="161" t="str">
        <f>IF(IF(B56="","",SUMIFS(Tree!$O:$O,Tree!$A:$A,'Pre-Harvest Plots_rpt'!$B56,Tree!$B:$B,'Pre-Harvest Plots_rpt'!$D56,Tree!$F:$F,"D"))=0,"",IF(B56="","",SUMIFS(Tree!$O:$O,Tree!$A:$A,'Pre-Harvest Plots_rpt'!$B56,Tree!$B:$B,'Pre-Harvest Plots_rpt'!$D56,Tree!$F:$F,"D")))</f>
        <v/>
      </c>
      <c r="AA56" s="125" t="str">
        <f t="shared" si="6"/>
        <v/>
      </c>
      <c r="AB56" s="125" t="str">
        <f>IF(Z56="","",SUMIFS(Tree!$R:$R,Tree!$A:$A,'Pre-Harvest Plots_rpt'!$B56,Tree!$B:$B,'Pre-Harvest Plots_rpt'!$D56,Tree!$F:$F,"D"))</f>
        <v/>
      </c>
      <c r="AC56" s="126" t="str">
        <f>IF(Z56="","",SUMIFS(Tree!$AM:$AM,Tree!$A:$A,'Pre-Harvest Plots_rpt'!$B56,Tree!$B:$B,'Pre-Harvest Plots_rpt'!$D56,Tree!$F:$F,"D"))</f>
        <v/>
      </c>
      <c r="AD56" s="162" t="str">
        <f>IF(Z56="","",SUMIFS(Tree!$AW:$AW,Tree!$A:$A,'Pre-Harvest Plots_rpt'!$B56,Tree!$B:$B,'Pre-Harvest Plots_rpt'!$D56,Tree!$F:$F,"D")/1000)</f>
        <v/>
      </c>
      <c r="AE56" s="47"/>
      <c r="AF56" s="4"/>
      <c r="AG56" s="4"/>
      <c r="AH56" s="4"/>
    </row>
    <row r="57" spans="1:34" ht="12.75" customHeight="1" x14ac:dyDescent="0.25">
      <c r="A57" s="48">
        <v>54</v>
      </c>
      <c r="B57" s="171" t="str">
        <f>IF(A57&lt;=SUM(Stand!$H$3:$H$29),VLOOKUP(A57,Stand!$A$3:$C$29,3,TRUE),"")</f>
        <v/>
      </c>
      <c r="C57" s="172" t="str">
        <f t="shared" si="9"/>
        <v/>
      </c>
      <c r="D57" s="173" t="str">
        <f>IF(B57="","",VLOOKUP(B57&amp;C57,Plot!$B$2:$D$199,3,FALSE))</f>
        <v/>
      </c>
      <c r="E57" s="130"/>
      <c r="F57" s="152" t="str">
        <f>IF(B57="","",SUMIFS(Tree!$O:$O,Tree!$A:$A,'Pre-Harvest Plots_rpt'!$B57,Tree!$B:$B,'Pre-Harvest Plots_rpt'!$D57,Tree!$F:$F,"L"))</f>
        <v/>
      </c>
      <c r="G57" s="153" t="str">
        <f>IFERROR(IF(D57="","",SUMIFS(Tree!$P:$P,Tree!$A:$A,'Pre-Harvest Plots_rpt'!$B57,Tree!$B:$B,'Pre-Harvest Plots_rpt'!$D57)/$F57),"")</f>
        <v/>
      </c>
      <c r="H57" s="122" t="str">
        <f t="shared" si="7"/>
        <v/>
      </c>
      <c r="I57" s="121" t="str">
        <f>IF(OR($F57=0,$F57=""),"",SUMIFS(Tree!$R:$R,Tree!$A:$A,'Pre-Harvest Plots_rpt'!$B57,Tree!$B:$B,'Pre-Harvest Plots_rpt'!$D57,Tree!$F:$F,"L"))</f>
        <v/>
      </c>
      <c r="J57" s="121" t="str">
        <f>IF(OR($F57=0,$F57=""),"",IF(SUMIFS(Tree!$W:$W,Tree!$A:$A,'Pre-Harvest Plots_rpt'!$B57,Tree!$B:$B,'Pre-Harvest Plots_rpt'!$D57,Tree!$F:$F,"L")=0,0,AVERAGEIFS(Tree!$W:$W,Tree!$A:$A,'Pre-Harvest Plots_rpt'!$B57,Tree!$B:$B,'Pre-Harvest Plots_rpt'!$D57,Tree!$F:$F,"L")))</f>
        <v/>
      </c>
      <c r="K57" s="121" t="str">
        <f>IF($F57="","",SUMIFS(Tree!$S:$S,Tree!$A:$A,'Pre-Harvest Plots_rpt'!$B57,Tree!$B:$B,'Pre-Harvest Plots_rpt'!$D57,Tree!$F:$F,"L"))</f>
        <v/>
      </c>
      <c r="L57" s="154" t="str">
        <f t="shared" si="8"/>
        <v/>
      </c>
      <c r="M57" s="135"/>
      <c r="N57" s="192" t="str">
        <f>IF(B57="","",SUMIFS(Tree!$AM:$AM,Tree!$A:$A,'Pre-Harvest Plots_rpt'!$B57,Tree!$B:$B,'Pre-Harvest Plots_rpt'!$D57,Tree!$F:$F,"L"))</f>
        <v/>
      </c>
      <c r="O57" s="122" t="str">
        <f>IF(B57="","",SUMIFS(Tree!$AN:$AN,Tree!$A:$A,'Pre-Harvest Plots_rpt'!$B57,Tree!$B:$B,'Pre-Harvest Plots_rpt'!$D57,Tree!$F:$F,"L"))</f>
        <v/>
      </c>
      <c r="P57" s="122" t="str">
        <f>IF(B57="","",SUMIFS(Tree!$AO:$AO,Tree!$A:$A,'Pre-Harvest Plots_rpt'!$B57,Tree!$B:$B,'Pre-Harvest Plots_rpt'!$D57,Tree!$F:$F,"L"))</f>
        <v/>
      </c>
      <c r="Q57" s="122" t="str">
        <f>IF(B57="","",SUMIFS(Tree!$AP:$AP,Tree!$A:$A,'Pre-Harvest Plots_rpt'!$B57,Tree!$B:$B,'Pre-Harvest Plots_rpt'!$D57,Tree!$F:$F,"L"))</f>
        <v/>
      </c>
      <c r="R57" s="123" t="str">
        <f>IF(B57="","",SUMIFS(Tree!$AQ:$AQ,Tree!$A:$A,'Pre-Harvest Plots_rpt'!$B57,Tree!$B:$B,'Pre-Harvest Plots_rpt'!$D57,Tree!$F:$F,"L"))</f>
        <v/>
      </c>
      <c r="S57" s="122" t="str">
        <f>IF(B57="","",SUMIFS(Tree!$AJ:$AJ,Tree!$A:$A,'Pre-Harvest Plots_rpt'!$B57,Tree!$B:$B,'Pre-Harvest Plots_rpt'!$D57,Tree!$F:$F,"L")-O57)</f>
        <v/>
      </c>
      <c r="T57" s="122" t="str">
        <f>IF(B57="","",SUMIFS(Tree!$AK:$AK,Tree!$A:$A,'Pre-Harvest Plots_rpt'!$B57,Tree!$B:$B,'Pre-Harvest Plots_rpt'!$D57,Tree!$F:$F,"L")-P57)</f>
        <v/>
      </c>
      <c r="U57" s="122" t="str">
        <f>IF(B57="","",SUMIFS(Tree!$AL:$AL,Tree!$A:$A,'Pre-Harvest Plots_rpt'!$B57,Tree!$B:$B,'Pre-Harvest Plots_rpt'!$D57,Tree!$F:$F,"L")-Q57)</f>
        <v/>
      </c>
      <c r="V57" s="123" t="str">
        <f>IF(B57="","",ROUND(SUMIFS(Tree!$AE:$AE,Tree!$A:$A,'Pre-Harvest Plots_rpt'!$B57,Tree!$B:$B,'Pre-Harvest Plots_rpt'!$D57,Tree!$F:$F,"L")-R57,1))</f>
        <v/>
      </c>
      <c r="W57" s="124" t="str">
        <f>IF(B57="","",SUMIFS(Tree!$AY:$AY,Tree!$A:$A,'Pre-Harvest Plots_rpt'!$B57,Tree!$B:$B,'Pre-Harvest Plots_rpt'!$D57,Tree!$F:$F,"L")/1000)</f>
        <v/>
      </c>
      <c r="X57" s="158" t="str">
        <f>IF(B57="","",ROUND((SUMIFS(Tree!$AW:$AW,Tree!$A:$A,'Pre-Harvest Plots_rpt'!$B57,Tree!$B:$B,'Pre-Harvest Plots_rpt'!$D57,Tree!$F:$F,"L")/1000)-W57,1))</f>
        <v/>
      </c>
      <c r="Y57" s="135"/>
      <c r="Z57" s="161" t="str">
        <f>IF(IF(B57="","",SUMIFS(Tree!$O:$O,Tree!$A:$A,'Pre-Harvest Plots_rpt'!$B57,Tree!$B:$B,'Pre-Harvest Plots_rpt'!$D57,Tree!$F:$F,"D"))=0,"",IF(B57="","",SUMIFS(Tree!$O:$O,Tree!$A:$A,'Pre-Harvest Plots_rpt'!$B57,Tree!$B:$B,'Pre-Harvest Plots_rpt'!$D57,Tree!$F:$F,"D")))</f>
        <v/>
      </c>
      <c r="AA57" s="125" t="str">
        <f t="shared" si="6"/>
        <v/>
      </c>
      <c r="AB57" s="125" t="str">
        <f>IF(Z57="","",SUMIFS(Tree!$R:$R,Tree!$A:$A,'Pre-Harvest Plots_rpt'!$B57,Tree!$B:$B,'Pre-Harvest Plots_rpt'!$D57,Tree!$F:$F,"D"))</f>
        <v/>
      </c>
      <c r="AC57" s="126" t="str">
        <f>IF(Z57="","",SUMIFS(Tree!$AM:$AM,Tree!$A:$A,'Pre-Harvest Plots_rpt'!$B57,Tree!$B:$B,'Pre-Harvest Plots_rpt'!$D57,Tree!$F:$F,"D"))</f>
        <v/>
      </c>
      <c r="AD57" s="162" t="str">
        <f>IF(Z57="","",SUMIFS(Tree!$AW:$AW,Tree!$A:$A,'Pre-Harvest Plots_rpt'!$B57,Tree!$B:$B,'Pre-Harvest Plots_rpt'!$D57,Tree!$F:$F,"D")/1000)</f>
        <v/>
      </c>
      <c r="AE57" s="47"/>
      <c r="AF57" s="4"/>
      <c r="AG57" s="4"/>
      <c r="AH57" s="4"/>
    </row>
    <row r="58" spans="1:34" ht="12.75" customHeight="1" x14ac:dyDescent="0.25">
      <c r="A58" s="48">
        <v>55</v>
      </c>
      <c r="B58" s="171" t="str">
        <f>IF(A58&lt;=SUM(Stand!$H$3:$H$29),VLOOKUP(A58,Stand!$A$3:$C$29,3,TRUE),"")</f>
        <v/>
      </c>
      <c r="C58" s="172" t="str">
        <f t="shared" si="9"/>
        <v/>
      </c>
      <c r="D58" s="173" t="str">
        <f>IF(B58="","",VLOOKUP(B58&amp;C58,Plot!$B$2:$D$199,3,FALSE))</f>
        <v/>
      </c>
      <c r="E58" s="130"/>
      <c r="F58" s="152" t="str">
        <f>IF(B58="","",SUMIFS(Tree!$O:$O,Tree!$A:$A,'Pre-Harvest Plots_rpt'!$B58,Tree!$B:$B,'Pre-Harvest Plots_rpt'!$D58,Tree!$F:$F,"L"))</f>
        <v/>
      </c>
      <c r="G58" s="153" t="str">
        <f>IFERROR(IF(D58="","",SUMIFS(Tree!$P:$P,Tree!$A:$A,'Pre-Harvest Plots_rpt'!$B58,Tree!$B:$B,'Pre-Harvest Plots_rpt'!$D58)/$F58),"")</f>
        <v/>
      </c>
      <c r="H58" s="122" t="str">
        <f t="shared" si="7"/>
        <v/>
      </c>
      <c r="I58" s="121" t="str">
        <f>IF(OR($F58=0,$F58=""),"",SUMIFS(Tree!$R:$R,Tree!$A:$A,'Pre-Harvest Plots_rpt'!$B58,Tree!$B:$B,'Pre-Harvest Plots_rpt'!$D58,Tree!$F:$F,"L"))</f>
        <v/>
      </c>
      <c r="J58" s="121" t="str">
        <f>IF(OR($F58=0,$F58=""),"",IF(SUMIFS(Tree!$W:$W,Tree!$A:$A,'Pre-Harvest Plots_rpt'!$B58,Tree!$B:$B,'Pre-Harvest Plots_rpt'!$D58,Tree!$F:$F,"L")=0,0,AVERAGEIFS(Tree!$W:$W,Tree!$A:$A,'Pre-Harvest Plots_rpt'!$B58,Tree!$B:$B,'Pre-Harvest Plots_rpt'!$D58,Tree!$F:$F,"L")))</f>
        <v/>
      </c>
      <c r="K58" s="121" t="str">
        <f>IF($F58="","",SUMIFS(Tree!$S:$S,Tree!$A:$A,'Pre-Harvest Plots_rpt'!$B58,Tree!$B:$B,'Pre-Harvest Plots_rpt'!$D58,Tree!$F:$F,"L"))</f>
        <v/>
      </c>
      <c r="L58" s="154" t="str">
        <f t="shared" si="8"/>
        <v/>
      </c>
      <c r="M58" s="135"/>
      <c r="N58" s="192" t="str">
        <f>IF(B58="","",SUMIFS(Tree!$AM:$AM,Tree!$A:$A,'Pre-Harvest Plots_rpt'!$B58,Tree!$B:$B,'Pre-Harvest Plots_rpt'!$D58,Tree!$F:$F,"L"))</f>
        <v/>
      </c>
      <c r="O58" s="122" t="str">
        <f>IF(B58="","",SUMIFS(Tree!$AN:$AN,Tree!$A:$A,'Pre-Harvest Plots_rpt'!$B58,Tree!$B:$B,'Pre-Harvest Plots_rpt'!$D58,Tree!$F:$F,"L"))</f>
        <v/>
      </c>
      <c r="P58" s="122" t="str">
        <f>IF(B58="","",SUMIFS(Tree!$AO:$AO,Tree!$A:$A,'Pre-Harvest Plots_rpt'!$B58,Tree!$B:$B,'Pre-Harvest Plots_rpt'!$D58,Tree!$F:$F,"L"))</f>
        <v/>
      </c>
      <c r="Q58" s="122" t="str">
        <f>IF(B58="","",SUMIFS(Tree!$AP:$AP,Tree!$A:$A,'Pre-Harvest Plots_rpt'!$B58,Tree!$B:$B,'Pre-Harvest Plots_rpt'!$D58,Tree!$F:$F,"L"))</f>
        <v/>
      </c>
      <c r="R58" s="123" t="str">
        <f>IF(B58="","",SUMIFS(Tree!$AQ:$AQ,Tree!$A:$A,'Pre-Harvest Plots_rpt'!$B58,Tree!$B:$B,'Pre-Harvest Plots_rpt'!$D58,Tree!$F:$F,"L"))</f>
        <v/>
      </c>
      <c r="S58" s="122" t="str">
        <f>IF(B58="","",SUMIFS(Tree!$AJ:$AJ,Tree!$A:$A,'Pre-Harvest Plots_rpt'!$B58,Tree!$B:$B,'Pre-Harvest Plots_rpt'!$D58,Tree!$F:$F,"L")-O58)</f>
        <v/>
      </c>
      <c r="T58" s="122" t="str">
        <f>IF(B58="","",SUMIFS(Tree!$AK:$AK,Tree!$A:$A,'Pre-Harvest Plots_rpt'!$B58,Tree!$B:$B,'Pre-Harvest Plots_rpt'!$D58,Tree!$F:$F,"L")-P58)</f>
        <v/>
      </c>
      <c r="U58" s="122" t="str">
        <f>IF(B58="","",SUMIFS(Tree!$AL:$AL,Tree!$A:$A,'Pre-Harvest Plots_rpt'!$B58,Tree!$B:$B,'Pre-Harvest Plots_rpt'!$D58,Tree!$F:$F,"L")-Q58)</f>
        <v/>
      </c>
      <c r="V58" s="123" t="str">
        <f>IF(B58="","",ROUND(SUMIFS(Tree!$AE:$AE,Tree!$A:$A,'Pre-Harvest Plots_rpt'!$B58,Tree!$B:$B,'Pre-Harvest Plots_rpt'!$D58,Tree!$F:$F,"L")-R58,1))</f>
        <v/>
      </c>
      <c r="W58" s="124" t="str">
        <f>IF(B58="","",SUMIFS(Tree!$AY:$AY,Tree!$A:$A,'Pre-Harvest Plots_rpt'!$B58,Tree!$B:$B,'Pre-Harvest Plots_rpt'!$D58,Tree!$F:$F,"L")/1000)</f>
        <v/>
      </c>
      <c r="X58" s="158" t="str">
        <f>IF(B58="","",ROUND((SUMIFS(Tree!$AW:$AW,Tree!$A:$A,'Pre-Harvest Plots_rpt'!$B58,Tree!$B:$B,'Pre-Harvest Plots_rpt'!$D58,Tree!$F:$F,"L")/1000)-W58,1))</f>
        <v/>
      </c>
      <c r="Y58" s="135"/>
      <c r="Z58" s="161" t="str">
        <f>IF(IF(B58="","",SUMIFS(Tree!$O:$O,Tree!$A:$A,'Pre-Harvest Plots_rpt'!$B58,Tree!$B:$B,'Pre-Harvest Plots_rpt'!$D58,Tree!$F:$F,"D"))=0,"",IF(B58="","",SUMIFS(Tree!$O:$O,Tree!$A:$A,'Pre-Harvest Plots_rpt'!$B58,Tree!$B:$B,'Pre-Harvest Plots_rpt'!$D58,Tree!$F:$F,"D")))</f>
        <v/>
      </c>
      <c r="AA58" s="125" t="str">
        <f t="shared" si="6"/>
        <v/>
      </c>
      <c r="AB58" s="125" t="str">
        <f>IF(Z58="","",SUMIFS(Tree!$R:$R,Tree!$A:$A,'Pre-Harvest Plots_rpt'!$B58,Tree!$B:$B,'Pre-Harvest Plots_rpt'!$D58,Tree!$F:$F,"D"))</f>
        <v/>
      </c>
      <c r="AC58" s="126" t="str">
        <f>IF(Z58="","",SUMIFS(Tree!$AM:$AM,Tree!$A:$A,'Pre-Harvest Plots_rpt'!$B58,Tree!$B:$B,'Pre-Harvest Plots_rpt'!$D58,Tree!$F:$F,"D"))</f>
        <v/>
      </c>
      <c r="AD58" s="162" t="str">
        <f>IF(Z58="","",SUMIFS(Tree!$AW:$AW,Tree!$A:$A,'Pre-Harvest Plots_rpt'!$B58,Tree!$B:$B,'Pre-Harvest Plots_rpt'!$D58,Tree!$F:$F,"D")/1000)</f>
        <v/>
      </c>
      <c r="AE58" s="47"/>
      <c r="AF58" s="4"/>
      <c r="AG58" s="4"/>
      <c r="AH58" s="4"/>
    </row>
    <row r="59" spans="1:34" ht="12.75" customHeight="1" x14ac:dyDescent="0.25">
      <c r="A59" s="48">
        <v>56</v>
      </c>
      <c r="B59" s="171" t="str">
        <f>IF(A59&lt;=SUM(Stand!$H$3:$H$29),VLOOKUP(A59,Stand!$A$3:$C$29,3,TRUE),"")</f>
        <v/>
      </c>
      <c r="C59" s="172" t="str">
        <f t="shared" si="9"/>
        <v/>
      </c>
      <c r="D59" s="173" t="str">
        <f>IF(B59="","",VLOOKUP(B59&amp;C59,Plot!$B$2:$D$199,3,FALSE))</f>
        <v/>
      </c>
      <c r="E59" s="130"/>
      <c r="F59" s="152" t="str">
        <f>IF(B59="","",SUMIFS(Tree!$O:$O,Tree!$A:$A,'Pre-Harvest Plots_rpt'!$B59,Tree!$B:$B,'Pre-Harvest Plots_rpt'!$D59,Tree!$F:$F,"L"))</f>
        <v/>
      </c>
      <c r="G59" s="153" t="str">
        <f>IFERROR(IF(D59="","",SUMIFS(Tree!$P:$P,Tree!$A:$A,'Pre-Harvest Plots_rpt'!$B59,Tree!$B:$B,'Pre-Harvest Plots_rpt'!$D59)/$F59),"")</f>
        <v/>
      </c>
      <c r="H59" s="122" t="str">
        <f t="shared" si="7"/>
        <v/>
      </c>
      <c r="I59" s="121" t="str">
        <f>IF(OR($F59=0,$F59=""),"",SUMIFS(Tree!$R:$R,Tree!$A:$A,'Pre-Harvest Plots_rpt'!$B59,Tree!$B:$B,'Pre-Harvest Plots_rpt'!$D59,Tree!$F:$F,"L"))</f>
        <v/>
      </c>
      <c r="J59" s="121" t="str">
        <f>IF(OR($F59=0,$F59=""),"",IF(SUMIFS(Tree!$W:$W,Tree!$A:$A,'Pre-Harvest Plots_rpt'!$B59,Tree!$B:$B,'Pre-Harvest Plots_rpt'!$D59,Tree!$F:$F,"L")=0,0,AVERAGEIFS(Tree!$W:$W,Tree!$A:$A,'Pre-Harvest Plots_rpt'!$B59,Tree!$B:$B,'Pre-Harvest Plots_rpt'!$D59,Tree!$F:$F,"L")))</f>
        <v/>
      </c>
      <c r="K59" s="121" t="str">
        <f>IF($F59="","",SUMIFS(Tree!$S:$S,Tree!$A:$A,'Pre-Harvest Plots_rpt'!$B59,Tree!$B:$B,'Pre-Harvest Plots_rpt'!$D59,Tree!$F:$F,"L"))</f>
        <v/>
      </c>
      <c r="L59" s="154" t="str">
        <f t="shared" si="8"/>
        <v/>
      </c>
      <c r="M59" s="135"/>
      <c r="N59" s="192" t="str">
        <f>IF(B59="","",SUMIFS(Tree!$AM:$AM,Tree!$A:$A,'Pre-Harvest Plots_rpt'!$B59,Tree!$B:$B,'Pre-Harvest Plots_rpt'!$D59,Tree!$F:$F,"L"))</f>
        <v/>
      </c>
      <c r="O59" s="122" t="str">
        <f>IF(B59="","",SUMIFS(Tree!$AN:$AN,Tree!$A:$A,'Pre-Harvest Plots_rpt'!$B59,Tree!$B:$B,'Pre-Harvest Plots_rpt'!$D59,Tree!$F:$F,"L"))</f>
        <v/>
      </c>
      <c r="P59" s="122" t="str">
        <f>IF(B59="","",SUMIFS(Tree!$AO:$AO,Tree!$A:$A,'Pre-Harvest Plots_rpt'!$B59,Tree!$B:$B,'Pre-Harvest Plots_rpt'!$D59,Tree!$F:$F,"L"))</f>
        <v/>
      </c>
      <c r="Q59" s="122" t="str">
        <f>IF(B59="","",SUMIFS(Tree!$AP:$AP,Tree!$A:$A,'Pre-Harvest Plots_rpt'!$B59,Tree!$B:$B,'Pre-Harvest Plots_rpt'!$D59,Tree!$F:$F,"L"))</f>
        <v/>
      </c>
      <c r="R59" s="123" t="str">
        <f>IF(B59="","",SUMIFS(Tree!$AQ:$AQ,Tree!$A:$A,'Pre-Harvest Plots_rpt'!$B59,Tree!$B:$B,'Pre-Harvest Plots_rpt'!$D59,Tree!$F:$F,"L"))</f>
        <v/>
      </c>
      <c r="S59" s="122" t="str">
        <f>IF(B59="","",SUMIFS(Tree!$AJ:$AJ,Tree!$A:$A,'Pre-Harvest Plots_rpt'!$B59,Tree!$B:$B,'Pre-Harvest Plots_rpt'!$D59,Tree!$F:$F,"L")-O59)</f>
        <v/>
      </c>
      <c r="T59" s="122" t="str">
        <f>IF(B59="","",SUMIFS(Tree!$AK:$AK,Tree!$A:$A,'Pre-Harvest Plots_rpt'!$B59,Tree!$B:$B,'Pre-Harvest Plots_rpt'!$D59,Tree!$F:$F,"L")-P59)</f>
        <v/>
      </c>
      <c r="U59" s="122" t="str">
        <f>IF(B59="","",SUMIFS(Tree!$AL:$AL,Tree!$A:$A,'Pre-Harvest Plots_rpt'!$B59,Tree!$B:$B,'Pre-Harvest Plots_rpt'!$D59,Tree!$F:$F,"L")-Q59)</f>
        <v/>
      </c>
      <c r="V59" s="123" t="str">
        <f>IF(B59="","",ROUND(SUMIFS(Tree!$AE:$AE,Tree!$A:$A,'Pre-Harvest Plots_rpt'!$B59,Tree!$B:$B,'Pre-Harvest Plots_rpt'!$D59,Tree!$F:$F,"L")-R59,1))</f>
        <v/>
      </c>
      <c r="W59" s="124" t="str">
        <f>IF(B59="","",SUMIFS(Tree!$AY:$AY,Tree!$A:$A,'Pre-Harvest Plots_rpt'!$B59,Tree!$B:$B,'Pre-Harvest Plots_rpt'!$D59,Tree!$F:$F,"L")/1000)</f>
        <v/>
      </c>
      <c r="X59" s="158" t="str">
        <f>IF(B59="","",ROUND((SUMIFS(Tree!$AW:$AW,Tree!$A:$A,'Pre-Harvest Plots_rpt'!$B59,Tree!$B:$B,'Pre-Harvest Plots_rpt'!$D59,Tree!$F:$F,"L")/1000)-W59,1))</f>
        <v/>
      </c>
      <c r="Y59" s="135"/>
      <c r="Z59" s="161" t="str">
        <f>IF(IF(B59="","",SUMIFS(Tree!$O:$O,Tree!$A:$A,'Pre-Harvest Plots_rpt'!$B59,Tree!$B:$B,'Pre-Harvest Plots_rpt'!$D59,Tree!$F:$F,"D"))=0,"",IF(B59="","",SUMIFS(Tree!$O:$O,Tree!$A:$A,'Pre-Harvest Plots_rpt'!$B59,Tree!$B:$B,'Pre-Harvest Plots_rpt'!$D59,Tree!$F:$F,"D")))</f>
        <v/>
      </c>
      <c r="AA59" s="125" t="str">
        <f t="shared" si="6"/>
        <v/>
      </c>
      <c r="AB59" s="125" t="str">
        <f>IF(Z59="","",SUMIFS(Tree!$R:$R,Tree!$A:$A,'Pre-Harvest Plots_rpt'!$B59,Tree!$B:$B,'Pre-Harvest Plots_rpt'!$D59,Tree!$F:$F,"D"))</f>
        <v/>
      </c>
      <c r="AC59" s="126" t="str">
        <f>IF(Z59="","",SUMIFS(Tree!$AM:$AM,Tree!$A:$A,'Pre-Harvest Plots_rpt'!$B59,Tree!$B:$B,'Pre-Harvest Plots_rpt'!$D59,Tree!$F:$F,"D"))</f>
        <v/>
      </c>
      <c r="AD59" s="162" t="str">
        <f>IF(Z59="","",SUMIFS(Tree!$AW:$AW,Tree!$A:$A,'Pre-Harvest Plots_rpt'!$B59,Tree!$B:$B,'Pre-Harvest Plots_rpt'!$D59,Tree!$F:$F,"D")/1000)</f>
        <v/>
      </c>
      <c r="AE59" s="47"/>
      <c r="AF59" s="4"/>
      <c r="AG59" s="4"/>
      <c r="AH59" s="4"/>
    </row>
    <row r="60" spans="1:34" ht="12.75" customHeight="1" x14ac:dyDescent="0.25">
      <c r="A60" s="48">
        <v>57</v>
      </c>
      <c r="B60" s="171" t="str">
        <f>IF(A60&lt;=SUM(Stand!$H$3:$H$29),VLOOKUP(A60,Stand!$A$3:$C$29,3,TRUE),"")</f>
        <v/>
      </c>
      <c r="C60" s="172" t="str">
        <f t="shared" si="9"/>
        <v/>
      </c>
      <c r="D60" s="173" t="str">
        <f>IF(B60="","",VLOOKUP(B60&amp;C60,Plot!$B$2:$D$199,3,FALSE))</f>
        <v/>
      </c>
      <c r="E60" s="130"/>
      <c r="F60" s="152" t="str">
        <f>IF(B60="","",SUMIFS(Tree!$O:$O,Tree!$A:$A,'Pre-Harvest Plots_rpt'!$B60,Tree!$B:$B,'Pre-Harvest Plots_rpt'!$D60,Tree!$F:$F,"L"))</f>
        <v/>
      </c>
      <c r="G60" s="153" t="str">
        <f>IFERROR(IF(D60="","",SUMIFS(Tree!$P:$P,Tree!$A:$A,'Pre-Harvest Plots_rpt'!$B60,Tree!$B:$B,'Pre-Harvest Plots_rpt'!$D60)/$F60),"")</f>
        <v/>
      </c>
      <c r="H60" s="122" t="str">
        <f t="shared" si="7"/>
        <v/>
      </c>
      <c r="I60" s="121" t="str">
        <f>IF(OR($F60=0,$F60=""),"",SUMIFS(Tree!$R:$R,Tree!$A:$A,'Pre-Harvest Plots_rpt'!$B60,Tree!$B:$B,'Pre-Harvest Plots_rpt'!$D60,Tree!$F:$F,"L"))</f>
        <v/>
      </c>
      <c r="J60" s="121" t="str">
        <f>IF(OR($F60=0,$F60=""),"",IF(SUMIFS(Tree!$W:$W,Tree!$A:$A,'Pre-Harvest Plots_rpt'!$B60,Tree!$B:$B,'Pre-Harvest Plots_rpt'!$D60,Tree!$F:$F,"L")=0,0,AVERAGEIFS(Tree!$W:$W,Tree!$A:$A,'Pre-Harvest Plots_rpt'!$B60,Tree!$B:$B,'Pre-Harvest Plots_rpt'!$D60,Tree!$F:$F,"L")))</f>
        <v/>
      </c>
      <c r="K60" s="121" t="str">
        <f>IF($F60="","",SUMIFS(Tree!$S:$S,Tree!$A:$A,'Pre-Harvest Plots_rpt'!$B60,Tree!$B:$B,'Pre-Harvest Plots_rpt'!$D60,Tree!$F:$F,"L"))</f>
        <v/>
      </c>
      <c r="L60" s="154" t="str">
        <f t="shared" si="8"/>
        <v/>
      </c>
      <c r="M60" s="135"/>
      <c r="N60" s="192" t="str">
        <f>IF(B60="","",SUMIFS(Tree!$AM:$AM,Tree!$A:$A,'Pre-Harvest Plots_rpt'!$B60,Tree!$B:$B,'Pre-Harvest Plots_rpt'!$D60,Tree!$F:$F,"L"))</f>
        <v/>
      </c>
      <c r="O60" s="122" t="str">
        <f>IF(B60="","",SUMIFS(Tree!$AN:$AN,Tree!$A:$A,'Pre-Harvest Plots_rpt'!$B60,Tree!$B:$B,'Pre-Harvest Plots_rpt'!$D60,Tree!$F:$F,"L"))</f>
        <v/>
      </c>
      <c r="P60" s="122" t="str">
        <f>IF(B60="","",SUMIFS(Tree!$AO:$AO,Tree!$A:$A,'Pre-Harvest Plots_rpt'!$B60,Tree!$B:$B,'Pre-Harvest Plots_rpt'!$D60,Tree!$F:$F,"L"))</f>
        <v/>
      </c>
      <c r="Q60" s="122" t="str">
        <f>IF(B60="","",SUMIFS(Tree!$AP:$AP,Tree!$A:$A,'Pre-Harvest Plots_rpt'!$B60,Tree!$B:$B,'Pre-Harvest Plots_rpt'!$D60,Tree!$F:$F,"L"))</f>
        <v/>
      </c>
      <c r="R60" s="123" t="str">
        <f>IF(B60="","",SUMIFS(Tree!$AQ:$AQ,Tree!$A:$A,'Pre-Harvest Plots_rpt'!$B60,Tree!$B:$B,'Pre-Harvest Plots_rpt'!$D60,Tree!$F:$F,"L"))</f>
        <v/>
      </c>
      <c r="S60" s="122" t="str">
        <f>IF(B60="","",SUMIFS(Tree!$AJ:$AJ,Tree!$A:$A,'Pre-Harvest Plots_rpt'!$B60,Tree!$B:$B,'Pre-Harvest Plots_rpt'!$D60,Tree!$F:$F,"L")-O60)</f>
        <v/>
      </c>
      <c r="T60" s="122" t="str">
        <f>IF(B60="","",SUMIFS(Tree!$AK:$AK,Tree!$A:$A,'Pre-Harvest Plots_rpt'!$B60,Tree!$B:$B,'Pre-Harvest Plots_rpt'!$D60,Tree!$F:$F,"L")-P60)</f>
        <v/>
      </c>
      <c r="U60" s="122" t="str">
        <f>IF(B60="","",SUMIFS(Tree!$AL:$AL,Tree!$A:$A,'Pre-Harvest Plots_rpt'!$B60,Tree!$B:$B,'Pre-Harvest Plots_rpt'!$D60,Tree!$F:$F,"L")-Q60)</f>
        <v/>
      </c>
      <c r="V60" s="123" t="str">
        <f>IF(B60="","",ROUND(SUMIFS(Tree!$AE:$AE,Tree!$A:$A,'Pre-Harvest Plots_rpt'!$B60,Tree!$B:$B,'Pre-Harvest Plots_rpt'!$D60,Tree!$F:$F,"L")-R60,1))</f>
        <v/>
      </c>
      <c r="W60" s="124" t="str">
        <f>IF(B60="","",SUMIFS(Tree!$AY:$AY,Tree!$A:$A,'Pre-Harvest Plots_rpt'!$B60,Tree!$B:$B,'Pre-Harvest Plots_rpt'!$D60,Tree!$F:$F,"L")/1000)</f>
        <v/>
      </c>
      <c r="X60" s="158" t="str">
        <f>IF(B60="","",ROUND((SUMIFS(Tree!$AW:$AW,Tree!$A:$A,'Pre-Harvest Plots_rpt'!$B60,Tree!$B:$B,'Pre-Harvest Plots_rpt'!$D60,Tree!$F:$F,"L")/1000)-W60,1))</f>
        <v/>
      </c>
      <c r="Y60" s="135"/>
      <c r="Z60" s="161" t="str">
        <f>IF(IF(B60="","",SUMIFS(Tree!$O:$O,Tree!$A:$A,'Pre-Harvest Plots_rpt'!$B60,Tree!$B:$B,'Pre-Harvest Plots_rpt'!$D60,Tree!$F:$F,"D"))=0,"",IF(B60="","",SUMIFS(Tree!$O:$O,Tree!$A:$A,'Pre-Harvest Plots_rpt'!$B60,Tree!$B:$B,'Pre-Harvest Plots_rpt'!$D60,Tree!$F:$F,"D")))</f>
        <v/>
      </c>
      <c r="AA60" s="125" t="str">
        <f t="shared" si="6"/>
        <v/>
      </c>
      <c r="AB60" s="125" t="str">
        <f>IF(Z60="","",SUMIFS(Tree!$R:$R,Tree!$A:$A,'Pre-Harvest Plots_rpt'!$B60,Tree!$B:$B,'Pre-Harvest Plots_rpt'!$D60,Tree!$F:$F,"D"))</f>
        <v/>
      </c>
      <c r="AC60" s="126" t="str">
        <f>IF(Z60="","",SUMIFS(Tree!$AM:$AM,Tree!$A:$A,'Pre-Harvest Plots_rpt'!$B60,Tree!$B:$B,'Pre-Harvest Plots_rpt'!$D60,Tree!$F:$F,"D"))</f>
        <v/>
      </c>
      <c r="AD60" s="162" t="str">
        <f>IF(Z60="","",SUMIFS(Tree!$AW:$AW,Tree!$A:$A,'Pre-Harvest Plots_rpt'!$B60,Tree!$B:$B,'Pre-Harvest Plots_rpt'!$D60,Tree!$F:$F,"D")/1000)</f>
        <v/>
      </c>
      <c r="AE60" s="47"/>
      <c r="AF60" s="4"/>
      <c r="AG60" s="4"/>
      <c r="AH60" s="4"/>
    </row>
    <row r="61" spans="1:34" ht="12.75" customHeight="1" x14ac:dyDescent="0.25">
      <c r="A61" s="48">
        <v>58</v>
      </c>
      <c r="B61" s="171" t="str">
        <f>IF(A61&lt;=SUM(Stand!$H$3:$H$29),VLOOKUP(A61,Stand!$A$3:$C$29,3,TRUE),"")</f>
        <v/>
      </c>
      <c r="C61" s="172" t="str">
        <f t="shared" si="9"/>
        <v/>
      </c>
      <c r="D61" s="173" t="str">
        <f>IF(B61="","",VLOOKUP(B61&amp;C61,Plot!$B$2:$D$199,3,FALSE))</f>
        <v/>
      </c>
      <c r="E61" s="130"/>
      <c r="F61" s="152" t="str">
        <f>IF(B61="","",SUMIFS(Tree!$O:$O,Tree!$A:$A,'Pre-Harvest Plots_rpt'!$B61,Tree!$B:$B,'Pre-Harvest Plots_rpt'!$D61,Tree!$F:$F,"L"))</f>
        <v/>
      </c>
      <c r="G61" s="153" t="str">
        <f>IFERROR(IF(D61="","",SUMIFS(Tree!$P:$P,Tree!$A:$A,'Pre-Harvest Plots_rpt'!$B61,Tree!$B:$B,'Pre-Harvest Plots_rpt'!$D61)/$F61),"")</f>
        <v/>
      </c>
      <c r="H61" s="122" t="str">
        <f t="shared" si="7"/>
        <v/>
      </c>
      <c r="I61" s="121" t="str">
        <f>IF(OR($F61=0,$F61=""),"",SUMIFS(Tree!$R:$R,Tree!$A:$A,'Pre-Harvest Plots_rpt'!$B61,Tree!$B:$B,'Pre-Harvest Plots_rpt'!$D61,Tree!$F:$F,"L"))</f>
        <v/>
      </c>
      <c r="J61" s="121" t="str">
        <f>IF(OR($F61=0,$F61=""),"",IF(SUMIFS(Tree!$W:$W,Tree!$A:$A,'Pre-Harvest Plots_rpt'!$B61,Tree!$B:$B,'Pre-Harvest Plots_rpt'!$D61,Tree!$F:$F,"L")=0,0,AVERAGEIFS(Tree!$W:$W,Tree!$A:$A,'Pre-Harvest Plots_rpt'!$B61,Tree!$B:$B,'Pre-Harvest Plots_rpt'!$D61,Tree!$F:$F,"L")))</f>
        <v/>
      </c>
      <c r="K61" s="121" t="str">
        <f>IF($F61="","",SUMIFS(Tree!$S:$S,Tree!$A:$A,'Pre-Harvest Plots_rpt'!$B61,Tree!$B:$B,'Pre-Harvest Plots_rpt'!$D61,Tree!$F:$F,"L"))</f>
        <v/>
      </c>
      <c r="L61" s="154" t="str">
        <f t="shared" si="8"/>
        <v/>
      </c>
      <c r="M61" s="135"/>
      <c r="N61" s="192" t="str">
        <f>IF(B61="","",SUMIFS(Tree!$AM:$AM,Tree!$A:$A,'Pre-Harvest Plots_rpt'!$B61,Tree!$B:$B,'Pre-Harvest Plots_rpt'!$D61,Tree!$F:$F,"L"))</f>
        <v/>
      </c>
      <c r="O61" s="122" t="str">
        <f>IF(B61="","",SUMIFS(Tree!$AN:$AN,Tree!$A:$A,'Pre-Harvest Plots_rpt'!$B61,Tree!$B:$B,'Pre-Harvest Plots_rpt'!$D61,Tree!$F:$F,"L"))</f>
        <v/>
      </c>
      <c r="P61" s="122" t="str">
        <f>IF(B61="","",SUMIFS(Tree!$AO:$AO,Tree!$A:$A,'Pre-Harvest Plots_rpt'!$B61,Tree!$B:$B,'Pre-Harvest Plots_rpt'!$D61,Tree!$F:$F,"L"))</f>
        <v/>
      </c>
      <c r="Q61" s="122" t="str">
        <f>IF(B61="","",SUMIFS(Tree!$AP:$AP,Tree!$A:$A,'Pre-Harvest Plots_rpt'!$B61,Tree!$B:$B,'Pre-Harvest Plots_rpt'!$D61,Tree!$F:$F,"L"))</f>
        <v/>
      </c>
      <c r="R61" s="123" t="str">
        <f>IF(B61="","",SUMIFS(Tree!$AQ:$AQ,Tree!$A:$A,'Pre-Harvest Plots_rpt'!$B61,Tree!$B:$B,'Pre-Harvest Plots_rpt'!$D61,Tree!$F:$F,"L"))</f>
        <v/>
      </c>
      <c r="S61" s="122" t="str">
        <f>IF(B61="","",SUMIFS(Tree!$AJ:$AJ,Tree!$A:$A,'Pre-Harvest Plots_rpt'!$B61,Tree!$B:$B,'Pre-Harvest Plots_rpt'!$D61,Tree!$F:$F,"L")-O61)</f>
        <v/>
      </c>
      <c r="T61" s="122" t="str">
        <f>IF(B61="","",SUMIFS(Tree!$AK:$AK,Tree!$A:$A,'Pre-Harvest Plots_rpt'!$B61,Tree!$B:$B,'Pre-Harvest Plots_rpt'!$D61,Tree!$F:$F,"L")-P61)</f>
        <v/>
      </c>
      <c r="U61" s="122" t="str">
        <f>IF(B61="","",SUMIFS(Tree!$AL:$AL,Tree!$A:$A,'Pre-Harvest Plots_rpt'!$B61,Tree!$B:$B,'Pre-Harvest Plots_rpt'!$D61,Tree!$F:$F,"L")-Q61)</f>
        <v/>
      </c>
      <c r="V61" s="123" t="str">
        <f>IF(B61="","",ROUND(SUMIFS(Tree!$AE:$AE,Tree!$A:$A,'Pre-Harvest Plots_rpt'!$B61,Tree!$B:$B,'Pre-Harvest Plots_rpt'!$D61,Tree!$F:$F,"L")-R61,1))</f>
        <v/>
      </c>
      <c r="W61" s="124" t="str">
        <f>IF(B61="","",SUMIFS(Tree!$AY:$AY,Tree!$A:$A,'Pre-Harvest Plots_rpt'!$B61,Tree!$B:$B,'Pre-Harvest Plots_rpt'!$D61,Tree!$F:$F,"L")/1000)</f>
        <v/>
      </c>
      <c r="X61" s="158" t="str">
        <f>IF(B61="","",ROUND((SUMIFS(Tree!$AW:$AW,Tree!$A:$A,'Pre-Harvest Plots_rpt'!$B61,Tree!$B:$B,'Pre-Harvest Plots_rpt'!$D61,Tree!$F:$F,"L")/1000)-W61,1))</f>
        <v/>
      </c>
      <c r="Y61" s="135"/>
      <c r="Z61" s="161" t="str">
        <f>IF(IF(B61="","",SUMIFS(Tree!$O:$O,Tree!$A:$A,'Pre-Harvest Plots_rpt'!$B61,Tree!$B:$B,'Pre-Harvest Plots_rpt'!$D61,Tree!$F:$F,"D"))=0,"",IF(B61="","",SUMIFS(Tree!$O:$O,Tree!$A:$A,'Pre-Harvest Plots_rpt'!$B61,Tree!$B:$B,'Pre-Harvest Plots_rpt'!$D61,Tree!$F:$F,"D")))</f>
        <v/>
      </c>
      <c r="AA61" s="125" t="str">
        <f t="shared" si="6"/>
        <v/>
      </c>
      <c r="AB61" s="125" t="str">
        <f>IF(Z61="","",SUMIFS(Tree!$R:$R,Tree!$A:$A,'Pre-Harvest Plots_rpt'!$B61,Tree!$B:$B,'Pre-Harvest Plots_rpt'!$D61,Tree!$F:$F,"D"))</f>
        <v/>
      </c>
      <c r="AC61" s="126" t="str">
        <f>IF(Z61="","",SUMIFS(Tree!$AM:$AM,Tree!$A:$A,'Pre-Harvest Plots_rpt'!$B61,Tree!$B:$B,'Pre-Harvest Plots_rpt'!$D61,Tree!$F:$F,"D"))</f>
        <v/>
      </c>
      <c r="AD61" s="162" t="str">
        <f>IF(Z61="","",SUMIFS(Tree!$AW:$AW,Tree!$A:$A,'Pre-Harvest Plots_rpt'!$B61,Tree!$B:$B,'Pre-Harvest Plots_rpt'!$D61,Tree!$F:$F,"D")/1000)</f>
        <v/>
      </c>
      <c r="AE61" s="47"/>
      <c r="AF61" s="4"/>
      <c r="AG61" s="4"/>
      <c r="AH61" s="4"/>
    </row>
    <row r="62" spans="1:34" ht="12.75" customHeight="1" x14ac:dyDescent="0.25">
      <c r="A62" s="48">
        <v>59</v>
      </c>
      <c r="B62" s="171" t="str">
        <f>IF(A62&lt;=SUM(Stand!$H$3:$H$29),VLOOKUP(A62,Stand!$A$3:$C$29,3,TRUE),"")</f>
        <v/>
      </c>
      <c r="C62" s="172" t="str">
        <f t="shared" si="9"/>
        <v/>
      </c>
      <c r="D62" s="173" t="str">
        <f>IF(B62="","",VLOOKUP(B62&amp;C62,Plot!$B$2:$D$199,3,FALSE))</f>
        <v/>
      </c>
      <c r="E62" s="130"/>
      <c r="F62" s="152" t="str">
        <f>IF(B62="","",SUMIFS(Tree!$O:$O,Tree!$A:$A,'Pre-Harvest Plots_rpt'!$B62,Tree!$B:$B,'Pre-Harvest Plots_rpt'!$D62,Tree!$F:$F,"L"))</f>
        <v/>
      </c>
      <c r="G62" s="153" t="str">
        <f>IFERROR(IF(D62="","",SUMIFS(Tree!$P:$P,Tree!$A:$A,'Pre-Harvest Plots_rpt'!$B62,Tree!$B:$B,'Pre-Harvest Plots_rpt'!$D62)/$F62),"")</f>
        <v/>
      </c>
      <c r="H62" s="122" t="str">
        <f t="shared" si="7"/>
        <v/>
      </c>
      <c r="I62" s="121" t="str">
        <f>IF(OR($F62=0,$F62=""),"",SUMIFS(Tree!$R:$R,Tree!$A:$A,'Pre-Harvest Plots_rpt'!$B62,Tree!$B:$B,'Pre-Harvest Plots_rpt'!$D62,Tree!$F:$F,"L"))</f>
        <v/>
      </c>
      <c r="J62" s="121" t="str">
        <f>IF(OR($F62=0,$F62=""),"",IF(SUMIFS(Tree!$W:$W,Tree!$A:$A,'Pre-Harvest Plots_rpt'!$B62,Tree!$B:$B,'Pre-Harvest Plots_rpt'!$D62,Tree!$F:$F,"L")=0,0,AVERAGEIFS(Tree!$W:$W,Tree!$A:$A,'Pre-Harvest Plots_rpt'!$B62,Tree!$B:$B,'Pre-Harvest Plots_rpt'!$D62,Tree!$F:$F,"L")))</f>
        <v/>
      </c>
      <c r="K62" s="121" t="str">
        <f>IF($F62="","",SUMIFS(Tree!$S:$S,Tree!$A:$A,'Pre-Harvest Plots_rpt'!$B62,Tree!$B:$B,'Pre-Harvest Plots_rpt'!$D62,Tree!$F:$F,"L"))</f>
        <v/>
      </c>
      <c r="L62" s="154" t="str">
        <f t="shared" si="8"/>
        <v/>
      </c>
      <c r="M62" s="135"/>
      <c r="N62" s="192" t="str">
        <f>IF(B62="","",SUMIFS(Tree!$AM:$AM,Tree!$A:$A,'Pre-Harvest Plots_rpt'!$B62,Tree!$B:$B,'Pre-Harvest Plots_rpt'!$D62,Tree!$F:$F,"L"))</f>
        <v/>
      </c>
      <c r="O62" s="122" t="str">
        <f>IF(B62="","",SUMIFS(Tree!$AN:$AN,Tree!$A:$A,'Pre-Harvest Plots_rpt'!$B62,Tree!$B:$B,'Pre-Harvest Plots_rpt'!$D62,Tree!$F:$F,"L"))</f>
        <v/>
      </c>
      <c r="P62" s="122" t="str">
        <f>IF(B62="","",SUMIFS(Tree!$AO:$AO,Tree!$A:$A,'Pre-Harvest Plots_rpt'!$B62,Tree!$B:$B,'Pre-Harvest Plots_rpt'!$D62,Tree!$F:$F,"L"))</f>
        <v/>
      </c>
      <c r="Q62" s="122" t="str">
        <f>IF(B62="","",SUMIFS(Tree!$AP:$AP,Tree!$A:$A,'Pre-Harvest Plots_rpt'!$B62,Tree!$B:$B,'Pre-Harvest Plots_rpt'!$D62,Tree!$F:$F,"L"))</f>
        <v/>
      </c>
      <c r="R62" s="123" t="str">
        <f>IF(B62="","",SUMIFS(Tree!$AQ:$AQ,Tree!$A:$A,'Pre-Harvest Plots_rpt'!$B62,Tree!$B:$B,'Pre-Harvest Plots_rpt'!$D62,Tree!$F:$F,"L"))</f>
        <v/>
      </c>
      <c r="S62" s="122" t="str">
        <f>IF(B62="","",SUMIFS(Tree!$AJ:$AJ,Tree!$A:$A,'Pre-Harvest Plots_rpt'!$B62,Tree!$B:$B,'Pre-Harvest Plots_rpt'!$D62,Tree!$F:$F,"L")-O62)</f>
        <v/>
      </c>
      <c r="T62" s="122" t="str">
        <f>IF(B62="","",SUMIFS(Tree!$AK:$AK,Tree!$A:$A,'Pre-Harvest Plots_rpt'!$B62,Tree!$B:$B,'Pre-Harvest Plots_rpt'!$D62,Tree!$F:$F,"L")-P62)</f>
        <v/>
      </c>
      <c r="U62" s="122" t="str">
        <f>IF(B62="","",SUMIFS(Tree!$AL:$AL,Tree!$A:$A,'Pre-Harvest Plots_rpt'!$B62,Tree!$B:$B,'Pre-Harvest Plots_rpt'!$D62,Tree!$F:$F,"L")-Q62)</f>
        <v/>
      </c>
      <c r="V62" s="123" t="str">
        <f>IF(B62="","",ROUND(SUMIFS(Tree!$AE:$AE,Tree!$A:$A,'Pre-Harvest Plots_rpt'!$B62,Tree!$B:$B,'Pre-Harvest Plots_rpt'!$D62,Tree!$F:$F,"L")-R62,1))</f>
        <v/>
      </c>
      <c r="W62" s="124" t="str">
        <f>IF(B62="","",SUMIFS(Tree!$AY:$AY,Tree!$A:$A,'Pre-Harvest Plots_rpt'!$B62,Tree!$B:$B,'Pre-Harvest Plots_rpt'!$D62,Tree!$F:$F,"L")/1000)</f>
        <v/>
      </c>
      <c r="X62" s="158" t="str">
        <f>IF(B62="","",ROUND((SUMIFS(Tree!$AW:$AW,Tree!$A:$A,'Pre-Harvest Plots_rpt'!$B62,Tree!$B:$B,'Pre-Harvest Plots_rpt'!$D62,Tree!$F:$F,"L")/1000)-W62,1))</f>
        <v/>
      </c>
      <c r="Y62" s="135"/>
      <c r="Z62" s="161" t="str">
        <f>IF(IF(B62="","",SUMIFS(Tree!$O:$O,Tree!$A:$A,'Pre-Harvest Plots_rpt'!$B62,Tree!$B:$B,'Pre-Harvest Plots_rpt'!$D62,Tree!$F:$F,"D"))=0,"",IF(B62="","",SUMIFS(Tree!$O:$O,Tree!$A:$A,'Pre-Harvest Plots_rpt'!$B62,Tree!$B:$B,'Pre-Harvest Plots_rpt'!$D62,Tree!$F:$F,"D")))</f>
        <v/>
      </c>
      <c r="AA62" s="125" t="str">
        <f t="shared" si="6"/>
        <v/>
      </c>
      <c r="AB62" s="125" t="str">
        <f>IF(Z62="","",SUMIFS(Tree!$R:$R,Tree!$A:$A,'Pre-Harvest Plots_rpt'!$B62,Tree!$B:$B,'Pre-Harvest Plots_rpt'!$D62,Tree!$F:$F,"D"))</f>
        <v/>
      </c>
      <c r="AC62" s="126" t="str">
        <f>IF(Z62="","",SUMIFS(Tree!$AM:$AM,Tree!$A:$A,'Pre-Harvest Plots_rpt'!$B62,Tree!$B:$B,'Pre-Harvest Plots_rpt'!$D62,Tree!$F:$F,"D"))</f>
        <v/>
      </c>
      <c r="AD62" s="162" t="str">
        <f>IF(Z62="","",SUMIFS(Tree!$AW:$AW,Tree!$A:$A,'Pre-Harvest Plots_rpt'!$B62,Tree!$B:$B,'Pre-Harvest Plots_rpt'!$D62,Tree!$F:$F,"D")/1000)</f>
        <v/>
      </c>
      <c r="AE62" s="47"/>
      <c r="AF62" s="4"/>
      <c r="AG62" s="4"/>
      <c r="AH62" s="4"/>
    </row>
    <row r="63" spans="1:34" ht="12.75" customHeight="1" x14ac:dyDescent="0.25">
      <c r="A63" s="48">
        <v>60</v>
      </c>
      <c r="B63" s="171" t="str">
        <f>IF(A63&lt;=SUM(Stand!$H$3:$H$29),VLOOKUP(A63,Stand!$A$3:$C$29,3,TRUE),"")</f>
        <v/>
      </c>
      <c r="C63" s="172" t="str">
        <f t="shared" si="9"/>
        <v/>
      </c>
      <c r="D63" s="173" t="str">
        <f>IF(B63="","",VLOOKUP(B63&amp;C63,Plot!$B$2:$D$199,3,FALSE))</f>
        <v/>
      </c>
      <c r="E63" s="130"/>
      <c r="F63" s="152" t="str">
        <f>IF(B63="","",SUMIFS(Tree!$O:$O,Tree!$A:$A,'Pre-Harvest Plots_rpt'!$B63,Tree!$B:$B,'Pre-Harvest Plots_rpt'!$D63,Tree!$F:$F,"L"))</f>
        <v/>
      </c>
      <c r="G63" s="153" t="str">
        <f>IFERROR(IF(D63="","",SUMIFS(Tree!$P:$P,Tree!$A:$A,'Pre-Harvest Plots_rpt'!$B63,Tree!$B:$B,'Pre-Harvest Plots_rpt'!$D63)/$F63),"")</f>
        <v/>
      </c>
      <c r="H63" s="122" t="str">
        <f t="shared" si="7"/>
        <v/>
      </c>
      <c r="I63" s="121" t="str">
        <f>IF(OR($F63=0,$F63=""),"",SUMIFS(Tree!$R:$R,Tree!$A:$A,'Pre-Harvest Plots_rpt'!$B63,Tree!$B:$B,'Pre-Harvest Plots_rpt'!$D63,Tree!$F:$F,"L"))</f>
        <v/>
      </c>
      <c r="J63" s="121" t="str">
        <f>IF(OR($F63=0,$F63=""),"",IF(SUMIFS(Tree!$W:$W,Tree!$A:$A,'Pre-Harvest Plots_rpt'!$B63,Tree!$B:$B,'Pre-Harvest Plots_rpt'!$D63,Tree!$F:$F,"L")=0,0,AVERAGEIFS(Tree!$W:$W,Tree!$A:$A,'Pre-Harvest Plots_rpt'!$B63,Tree!$B:$B,'Pre-Harvest Plots_rpt'!$D63,Tree!$F:$F,"L")))</f>
        <v/>
      </c>
      <c r="K63" s="121" t="str">
        <f>IF($F63="","",SUMIFS(Tree!$S:$S,Tree!$A:$A,'Pre-Harvest Plots_rpt'!$B63,Tree!$B:$B,'Pre-Harvest Plots_rpt'!$D63,Tree!$F:$F,"L"))</f>
        <v/>
      </c>
      <c r="L63" s="154" t="str">
        <f t="shared" si="8"/>
        <v/>
      </c>
      <c r="M63" s="135"/>
      <c r="N63" s="192" t="str">
        <f>IF(B63="","",SUMIFS(Tree!$AM:$AM,Tree!$A:$A,'Pre-Harvest Plots_rpt'!$B63,Tree!$B:$B,'Pre-Harvest Plots_rpt'!$D63,Tree!$F:$F,"L"))</f>
        <v/>
      </c>
      <c r="O63" s="122" t="str">
        <f>IF(B63="","",SUMIFS(Tree!$AN:$AN,Tree!$A:$A,'Pre-Harvest Plots_rpt'!$B63,Tree!$B:$B,'Pre-Harvest Plots_rpt'!$D63,Tree!$F:$F,"L"))</f>
        <v/>
      </c>
      <c r="P63" s="122" t="str">
        <f>IF(B63="","",SUMIFS(Tree!$AO:$AO,Tree!$A:$A,'Pre-Harvest Plots_rpt'!$B63,Tree!$B:$B,'Pre-Harvest Plots_rpt'!$D63,Tree!$F:$F,"L"))</f>
        <v/>
      </c>
      <c r="Q63" s="122" t="str">
        <f>IF(B63="","",SUMIFS(Tree!$AP:$AP,Tree!$A:$A,'Pre-Harvest Plots_rpt'!$B63,Tree!$B:$B,'Pre-Harvest Plots_rpt'!$D63,Tree!$F:$F,"L"))</f>
        <v/>
      </c>
      <c r="R63" s="123" t="str">
        <f>IF(B63="","",SUMIFS(Tree!$AQ:$AQ,Tree!$A:$A,'Pre-Harvest Plots_rpt'!$B63,Tree!$B:$B,'Pre-Harvest Plots_rpt'!$D63,Tree!$F:$F,"L"))</f>
        <v/>
      </c>
      <c r="S63" s="122" t="str">
        <f>IF(B63="","",SUMIFS(Tree!$AJ:$AJ,Tree!$A:$A,'Pre-Harvest Plots_rpt'!$B63,Tree!$B:$B,'Pre-Harvest Plots_rpt'!$D63,Tree!$F:$F,"L")-O63)</f>
        <v/>
      </c>
      <c r="T63" s="122" t="str">
        <f>IF(B63="","",SUMIFS(Tree!$AK:$AK,Tree!$A:$A,'Pre-Harvest Plots_rpt'!$B63,Tree!$B:$B,'Pre-Harvest Plots_rpt'!$D63,Tree!$F:$F,"L")-P63)</f>
        <v/>
      </c>
      <c r="U63" s="122" t="str">
        <f>IF(B63="","",SUMIFS(Tree!$AL:$AL,Tree!$A:$A,'Pre-Harvest Plots_rpt'!$B63,Tree!$B:$B,'Pre-Harvest Plots_rpt'!$D63,Tree!$F:$F,"L")-Q63)</f>
        <v/>
      </c>
      <c r="V63" s="123" t="str">
        <f>IF(B63="","",ROUND(SUMIFS(Tree!$AE:$AE,Tree!$A:$A,'Pre-Harvest Plots_rpt'!$B63,Tree!$B:$B,'Pre-Harvest Plots_rpt'!$D63,Tree!$F:$F,"L")-R63,1))</f>
        <v/>
      </c>
      <c r="W63" s="124" t="str">
        <f>IF(B63="","",SUMIFS(Tree!$AY:$AY,Tree!$A:$A,'Pre-Harvest Plots_rpt'!$B63,Tree!$B:$B,'Pre-Harvest Plots_rpt'!$D63,Tree!$F:$F,"L")/1000)</f>
        <v/>
      </c>
      <c r="X63" s="158" t="str">
        <f>IF(B63="","",ROUND((SUMIFS(Tree!$AW:$AW,Tree!$A:$A,'Pre-Harvest Plots_rpt'!$B63,Tree!$B:$B,'Pre-Harvest Plots_rpt'!$D63,Tree!$F:$F,"L")/1000)-W63,1))</f>
        <v/>
      </c>
      <c r="Y63" s="135"/>
      <c r="Z63" s="161" t="str">
        <f>IF(IF(B63="","",SUMIFS(Tree!$O:$O,Tree!$A:$A,'Pre-Harvest Plots_rpt'!$B63,Tree!$B:$B,'Pre-Harvest Plots_rpt'!$D63,Tree!$F:$F,"D"))=0,"",IF(B63="","",SUMIFS(Tree!$O:$O,Tree!$A:$A,'Pre-Harvest Plots_rpt'!$B63,Tree!$B:$B,'Pre-Harvest Plots_rpt'!$D63,Tree!$F:$F,"D")))</f>
        <v/>
      </c>
      <c r="AA63" s="125" t="str">
        <f t="shared" si="6"/>
        <v/>
      </c>
      <c r="AB63" s="125" t="str">
        <f>IF(Z63="","",SUMIFS(Tree!$R:$R,Tree!$A:$A,'Pre-Harvest Plots_rpt'!$B63,Tree!$B:$B,'Pre-Harvest Plots_rpt'!$D63,Tree!$F:$F,"D"))</f>
        <v/>
      </c>
      <c r="AC63" s="126" t="str">
        <f>IF(Z63="","",SUMIFS(Tree!$AM:$AM,Tree!$A:$A,'Pre-Harvest Plots_rpt'!$B63,Tree!$B:$B,'Pre-Harvest Plots_rpt'!$D63,Tree!$F:$F,"D"))</f>
        <v/>
      </c>
      <c r="AD63" s="162" t="str">
        <f>IF(Z63="","",SUMIFS(Tree!$AW:$AW,Tree!$A:$A,'Pre-Harvest Plots_rpt'!$B63,Tree!$B:$B,'Pre-Harvest Plots_rpt'!$D63,Tree!$F:$F,"D")/1000)</f>
        <v/>
      </c>
      <c r="AE63" s="47"/>
      <c r="AF63" s="4"/>
      <c r="AG63" s="4"/>
      <c r="AH63" s="4"/>
    </row>
    <row r="64" spans="1:34" ht="12.75" customHeight="1" x14ac:dyDescent="0.25">
      <c r="A64" s="48">
        <v>61</v>
      </c>
      <c r="B64" s="171" t="str">
        <f>IF(A64&lt;=SUM(Stand!$H$3:$H$29),VLOOKUP(A64,Stand!$A$3:$C$29,3,TRUE),"")</f>
        <v/>
      </c>
      <c r="C64" s="172" t="str">
        <f t="shared" si="9"/>
        <v/>
      </c>
      <c r="D64" s="173" t="str">
        <f>IF(B64="","",VLOOKUP(B64&amp;C64,Plot!$B$2:$D$199,3,FALSE))</f>
        <v/>
      </c>
      <c r="E64" s="130"/>
      <c r="F64" s="152" t="str">
        <f>IF(B64="","",SUMIFS(Tree!$O:$O,Tree!$A:$A,'Pre-Harvest Plots_rpt'!$B64,Tree!$B:$B,'Pre-Harvest Plots_rpt'!$D64,Tree!$F:$F,"L"))</f>
        <v/>
      </c>
      <c r="G64" s="153" t="str">
        <f>IFERROR(IF(D64="","",SUMIFS(Tree!$P:$P,Tree!$A:$A,'Pre-Harvest Plots_rpt'!$B64,Tree!$B:$B,'Pre-Harvest Plots_rpt'!$D64)/$F64),"")</f>
        <v/>
      </c>
      <c r="H64" s="122" t="str">
        <f t="shared" si="7"/>
        <v/>
      </c>
      <c r="I64" s="121" t="str">
        <f>IF(OR($F64=0,$F64=""),"",SUMIFS(Tree!$R:$R,Tree!$A:$A,'Pre-Harvest Plots_rpt'!$B64,Tree!$B:$B,'Pre-Harvest Plots_rpt'!$D64,Tree!$F:$F,"L"))</f>
        <v/>
      </c>
      <c r="J64" s="121" t="str">
        <f>IF(OR($F64=0,$F64=""),"",IF(SUMIFS(Tree!$W:$W,Tree!$A:$A,'Pre-Harvest Plots_rpt'!$B64,Tree!$B:$B,'Pre-Harvest Plots_rpt'!$D64,Tree!$F:$F,"L")=0,0,AVERAGEIFS(Tree!$W:$W,Tree!$A:$A,'Pre-Harvest Plots_rpt'!$B64,Tree!$B:$B,'Pre-Harvest Plots_rpt'!$D64,Tree!$F:$F,"L")))</f>
        <v/>
      </c>
      <c r="K64" s="121" t="str">
        <f>IF($F64="","",SUMIFS(Tree!$S:$S,Tree!$A:$A,'Pre-Harvest Plots_rpt'!$B64,Tree!$B:$B,'Pre-Harvest Plots_rpt'!$D64,Tree!$F:$F,"L"))</f>
        <v/>
      </c>
      <c r="L64" s="154" t="str">
        <f t="shared" si="8"/>
        <v/>
      </c>
      <c r="M64" s="135"/>
      <c r="N64" s="192" t="str">
        <f>IF(B64="","",SUMIFS(Tree!$AM:$AM,Tree!$A:$A,'Pre-Harvest Plots_rpt'!$B64,Tree!$B:$B,'Pre-Harvest Plots_rpt'!$D64,Tree!$F:$F,"L"))</f>
        <v/>
      </c>
      <c r="O64" s="122" t="str">
        <f>IF(B64="","",SUMIFS(Tree!$AN:$AN,Tree!$A:$A,'Pre-Harvest Plots_rpt'!$B64,Tree!$B:$B,'Pre-Harvest Plots_rpt'!$D64,Tree!$F:$F,"L"))</f>
        <v/>
      </c>
      <c r="P64" s="122" t="str">
        <f>IF(B64="","",SUMIFS(Tree!$AO:$AO,Tree!$A:$A,'Pre-Harvest Plots_rpt'!$B64,Tree!$B:$B,'Pre-Harvest Plots_rpt'!$D64,Tree!$F:$F,"L"))</f>
        <v/>
      </c>
      <c r="Q64" s="122" t="str">
        <f>IF(B64="","",SUMIFS(Tree!$AP:$AP,Tree!$A:$A,'Pre-Harvest Plots_rpt'!$B64,Tree!$B:$B,'Pre-Harvest Plots_rpt'!$D64,Tree!$F:$F,"L"))</f>
        <v/>
      </c>
      <c r="R64" s="123" t="str">
        <f>IF(B64="","",SUMIFS(Tree!$AQ:$AQ,Tree!$A:$A,'Pre-Harvest Plots_rpt'!$B64,Tree!$B:$B,'Pre-Harvest Plots_rpt'!$D64,Tree!$F:$F,"L"))</f>
        <v/>
      </c>
      <c r="S64" s="122" t="str">
        <f>IF(B64="","",SUMIFS(Tree!$AJ:$AJ,Tree!$A:$A,'Pre-Harvest Plots_rpt'!$B64,Tree!$B:$B,'Pre-Harvest Plots_rpt'!$D64,Tree!$F:$F,"L")-O64)</f>
        <v/>
      </c>
      <c r="T64" s="122" t="str">
        <f>IF(B64="","",SUMIFS(Tree!$AK:$AK,Tree!$A:$A,'Pre-Harvest Plots_rpt'!$B64,Tree!$B:$B,'Pre-Harvest Plots_rpt'!$D64,Tree!$F:$F,"L")-P64)</f>
        <v/>
      </c>
      <c r="U64" s="122" t="str">
        <f>IF(B64="","",SUMIFS(Tree!$AL:$AL,Tree!$A:$A,'Pre-Harvest Plots_rpt'!$B64,Tree!$B:$B,'Pre-Harvest Plots_rpt'!$D64,Tree!$F:$F,"L")-Q64)</f>
        <v/>
      </c>
      <c r="V64" s="123" t="str">
        <f>IF(B64="","",ROUND(SUMIFS(Tree!$AE:$AE,Tree!$A:$A,'Pre-Harvest Plots_rpt'!$B64,Tree!$B:$B,'Pre-Harvest Plots_rpt'!$D64,Tree!$F:$F,"L")-R64,1))</f>
        <v/>
      </c>
      <c r="W64" s="124" t="str">
        <f>IF(B64="","",SUMIFS(Tree!$AY:$AY,Tree!$A:$A,'Pre-Harvest Plots_rpt'!$B64,Tree!$B:$B,'Pre-Harvest Plots_rpt'!$D64,Tree!$F:$F,"L")/1000)</f>
        <v/>
      </c>
      <c r="X64" s="158" t="str">
        <f>IF(B64="","",ROUND((SUMIFS(Tree!$AW:$AW,Tree!$A:$A,'Pre-Harvest Plots_rpt'!$B64,Tree!$B:$B,'Pre-Harvest Plots_rpt'!$D64,Tree!$F:$F,"L")/1000)-W64,1))</f>
        <v/>
      </c>
      <c r="Y64" s="135"/>
      <c r="Z64" s="161" t="str">
        <f>IF(IF(B64="","",SUMIFS(Tree!$O:$O,Tree!$A:$A,'Pre-Harvest Plots_rpt'!$B64,Tree!$B:$B,'Pre-Harvest Plots_rpt'!$D64,Tree!$F:$F,"D"))=0,"",IF(B64="","",SUMIFS(Tree!$O:$O,Tree!$A:$A,'Pre-Harvest Plots_rpt'!$B64,Tree!$B:$B,'Pre-Harvest Plots_rpt'!$D64,Tree!$F:$F,"D")))</f>
        <v/>
      </c>
      <c r="AA64" s="125" t="str">
        <f t="shared" si="6"/>
        <v/>
      </c>
      <c r="AB64" s="125" t="str">
        <f>IF(Z64="","",SUMIFS(Tree!$R:$R,Tree!$A:$A,'Pre-Harvest Plots_rpt'!$B64,Tree!$B:$B,'Pre-Harvest Plots_rpt'!$D64,Tree!$F:$F,"D"))</f>
        <v/>
      </c>
      <c r="AC64" s="126" t="str">
        <f>IF(Z64="","",SUMIFS(Tree!$AM:$AM,Tree!$A:$A,'Pre-Harvest Plots_rpt'!$B64,Tree!$B:$B,'Pre-Harvest Plots_rpt'!$D64,Tree!$F:$F,"D"))</f>
        <v/>
      </c>
      <c r="AD64" s="162" t="str">
        <f>IF(Z64="","",SUMIFS(Tree!$AW:$AW,Tree!$A:$A,'Pre-Harvest Plots_rpt'!$B64,Tree!$B:$B,'Pre-Harvest Plots_rpt'!$D64,Tree!$F:$F,"D")/1000)</f>
        <v/>
      </c>
      <c r="AE64" s="47"/>
      <c r="AF64" s="4"/>
      <c r="AG64" s="4"/>
      <c r="AH64" s="4"/>
    </row>
    <row r="65" spans="1:34" ht="12.75" customHeight="1" x14ac:dyDescent="0.25">
      <c r="A65" s="48">
        <v>62</v>
      </c>
      <c r="B65" s="171" t="str">
        <f>IF(A65&lt;=SUM(Stand!$H$3:$H$29),VLOOKUP(A65,Stand!$A$3:$C$29,3,TRUE),"")</f>
        <v/>
      </c>
      <c r="C65" s="172" t="str">
        <f t="shared" si="9"/>
        <v/>
      </c>
      <c r="D65" s="173" t="str">
        <f>IF(B65="","",VLOOKUP(B65&amp;C65,Plot!$B$2:$D$199,3,FALSE))</f>
        <v/>
      </c>
      <c r="E65" s="130"/>
      <c r="F65" s="152" t="str">
        <f>IF(B65="","",SUMIFS(Tree!$O:$O,Tree!$A:$A,'Pre-Harvest Plots_rpt'!$B65,Tree!$B:$B,'Pre-Harvest Plots_rpt'!$D65,Tree!$F:$F,"L"))</f>
        <v/>
      </c>
      <c r="G65" s="153" t="str">
        <f>IFERROR(IF(D65="","",SUMIFS(Tree!$P:$P,Tree!$A:$A,'Pre-Harvest Plots_rpt'!$B65,Tree!$B:$B,'Pre-Harvest Plots_rpt'!$D65)/$F65),"")</f>
        <v/>
      </c>
      <c r="H65" s="122" t="str">
        <f t="shared" si="7"/>
        <v/>
      </c>
      <c r="I65" s="121" t="str">
        <f>IF(OR($F65=0,$F65=""),"",SUMIFS(Tree!$R:$R,Tree!$A:$A,'Pre-Harvest Plots_rpt'!$B65,Tree!$B:$B,'Pre-Harvest Plots_rpt'!$D65,Tree!$F:$F,"L"))</f>
        <v/>
      </c>
      <c r="J65" s="121" t="str">
        <f>IF(OR($F65=0,$F65=""),"",IF(SUMIFS(Tree!$W:$W,Tree!$A:$A,'Pre-Harvest Plots_rpt'!$B65,Tree!$B:$B,'Pre-Harvest Plots_rpt'!$D65,Tree!$F:$F,"L")=0,0,AVERAGEIFS(Tree!$W:$W,Tree!$A:$A,'Pre-Harvest Plots_rpt'!$B65,Tree!$B:$B,'Pre-Harvest Plots_rpt'!$D65,Tree!$F:$F,"L")))</f>
        <v/>
      </c>
      <c r="K65" s="121" t="str">
        <f>IF($F65="","",SUMIFS(Tree!$S:$S,Tree!$A:$A,'Pre-Harvest Plots_rpt'!$B65,Tree!$B:$B,'Pre-Harvest Plots_rpt'!$D65,Tree!$F:$F,"L"))</f>
        <v/>
      </c>
      <c r="L65" s="154" t="str">
        <f t="shared" si="8"/>
        <v/>
      </c>
      <c r="M65" s="135"/>
      <c r="N65" s="192" t="str">
        <f>IF(B65="","",SUMIFS(Tree!$AM:$AM,Tree!$A:$A,'Pre-Harvest Plots_rpt'!$B65,Tree!$B:$B,'Pre-Harvest Plots_rpt'!$D65,Tree!$F:$F,"L"))</f>
        <v/>
      </c>
      <c r="O65" s="122" t="str">
        <f>IF(B65="","",SUMIFS(Tree!$AN:$AN,Tree!$A:$A,'Pre-Harvest Plots_rpt'!$B65,Tree!$B:$B,'Pre-Harvest Plots_rpt'!$D65,Tree!$F:$F,"L"))</f>
        <v/>
      </c>
      <c r="P65" s="122" t="str">
        <f>IF(B65="","",SUMIFS(Tree!$AO:$AO,Tree!$A:$A,'Pre-Harvest Plots_rpt'!$B65,Tree!$B:$B,'Pre-Harvest Plots_rpt'!$D65,Tree!$F:$F,"L"))</f>
        <v/>
      </c>
      <c r="Q65" s="122" t="str">
        <f>IF(B65="","",SUMIFS(Tree!$AP:$AP,Tree!$A:$A,'Pre-Harvest Plots_rpt'!$B65,Tree!$B:$B,'Pre-Harvest Plots_rpt'!$D65,Tree!$F:$F,"L"))</f>
        <v/>
      </c>
      <c r="R65" s="123" t="str">
        <f>IF(B65="","",SUMIFS(Tree!$AQ:$AQ,Tree!$A:$A,'Pre-Harvest Plots_rpt'!$B65,Tree!$B:$B,'Pre-Harvest Plots_rpt'!$D65,Tree!$F:$F,"L"))</f>
        <v/>
      </c>
      <c r="S65" s="122" t="str">
        <f>IF(B65="","",SUMIFS(Tree!$AJ:$AJ,Tree!$A:$A,'Pre-Harvest Plots_rpt'!$B65,Tree!$B:$B,'Pre-Harvest Plots_rpt'!$D65,Tree!$F:$F,"L")-O65)</f>
        <v/>
      </c>
      <c r="T65" s="122" t="str">
        <f>IF(B65="","",SUMIFS(Tree!$AK:$AK,Tree!$A:$A,'Pre-Harvest Plots_rpt'!$B65,Tree!$B:$B,'Pre-Harvest Plots_rpt'!$D65,Tree!$F:$F,"L")-P65)</f>
        <v/>
      </c>
      <c r="U65" s="122" t="str">
        <f>IF(B65="","",SUMIFS(Tree!$AL:$AL,Tree!$A:$A,'Pre-Harvest Plots_rpt'!$B65,Tree!$B:$B,'Pre-Harvest Plots_rpt'!$D65,Tree!$F:$F,"L")-Q65)</f>
        <v/>
      </c>
      <c r="V65" s="123" t="str">
        <f>IF(B65="","",ROUND(SUMIFS(Tree!$AE:$AE,Tree!$A:$A,'Pre-Harvest Plots_rpt'!$B65,Tree!$B:$B,'Pre-Harvest Plots_rpt'!$D65,Tree!$F:$F,"L")-R65,1))</f>
        <v/>
      </c>
      <c r="W65" s="124" t="str">
        <f>IF(B65="","",SUMIFS(Tree!$AY:$AY,Tree!$A:$A,'Pre-Harvest Plots_rpt'!$B65,Tree!$B:$B,'Pre-Harvest Plots_rpt'!$D65,Tree!$F:$F,"L")/1000)</f>
        <v/>
      </c>
      <c r="X65" s="158" t="str">
        <f>IF(B65="","",ROUND((SUMIFS(Tree!$AW:$AW,Tree!$A:$A,'Pre-Harvest Plots_rpt'!$B65,Tree!$B:$B,'Pre-Harvest Plots_rpt'!$D65,Tree!$F:$F,"L")/1000)-W65,1))</f>
        <v/>
      </c>
      <c r="Y65" s="135"/>
      <c r="Z65" s="161" t="str">
        <f>IF(IF(B65="","",SUMIFS(Tree!$O:$O,Tree!$A:$A,'Pre-Harvest Plots_rpt'!$B65,Tree!$B:$B,'Pre-Harvest Plots_rpt'!$D65,Tree!$F:$F,"D"))=0,"",IF(B65="","",SUMIFS(Tree!$O:$O,Tree!$A:$A,'Pre-Harvest Plots_rpt'!$B65,Tree!$B:$B,'Pre-Harvest Plots_rpt'!$D65,Tree!$F:$F,"D")))</f>
        <v/>
      </c>
      <c r="AA65" s="125" t="str">
        <f t="shared" si="6"/>
        <v/>
      </c>
      <c r="AB65" s="125" t="str">
        <f>IF(Z65="","",SUMIFS(Tree!$R:$R,Tree!$A:$A,'Pre-Harvest Plots_rpt'!$B65,Tree!$B:$B,'Pre-Harvest Plots_rpt'!$D65,Tree!$F:$F,"D"))</f>
        <v/>
      </c>
      <c r="AC65" s="126" t="str">
        <f>IF(Z65="","",SUMIFS(Tree!$AM:$AM,Tree!$A:$A,'Pre-Harvest Plots_rpt'!$B65,Tree!$B:$B,'Pre-Harvest Plots_rpt'!$D65,Tree!$F:$F,"D"))</f>
        <v/>
      </c>
      <c r="AD65" s="162" t="str">
        <f>IF(Z65="","",SUMIFS(Tree!$AW:$AW,Tree!$A:$A,'Pre-Harvest Plots_rpt'!$B65,Tree!$B:$B,'Pre-Harvest Plots_rpt'!$D65,Tree!$F:$F,"D")/1000)</f>
        <v/>
      </c>
      <c r="AE65" s="47"/>
      <c r="AF65" s="4"/>
      <c r="AG65" s="4"/>
      <c r="AH65" s="4"/>
    </row>
    <row r="66" spans="1:34" ht="12.75" customHeight="1" x14ac:dyDescent="0.25">
      <c r="A66" s="48">
        <v>63</v>
      </c>
      <c r="B66" s="171" t="str">
        <f>IF(A66&lt;=SUM(Stand!$H$3:$H$29),VLOOKUP(A66,Stand!$A$3:$C$29,3,TRUE),"")</f>
        <v/>
      </c>
      <c r="C66" s="172" t="str">
        <f t="shared" si="9"/>
        <v/>
      </c>
      <c r="D66" s="173" t="str">
        <f>IF(B66="","",VLOOKUP(B66&amp;C66,Plot!$B$2:$D$199,3,FALSE))</f>
        <v/>
      </c>
      <c r="E66" s="130"/>
      <c r="F66" s="152" t="str">
        <f>IF(B66="","",SUMIFS(Tree!$O:$O,Tree!$A:$A,'Pre-Harvest Plots_rpt'!$B66,Tree!$B:$B,'Pre-Harvest Plots_rpt'!$D66,Tree!$F:$F,"L"))</f>
        <v/>
      </c>
      <c r="G66" s="153" t="str">
        <f>IFERROR(IF(D66="","",SUMIFS(Tree!$P:$P,Tree!$A:$A,'Pre-Harvest Plots_rpt'!$B66,Tree!$B:$B,'Pre-Harvest Plots_rpt'!$D66)/$F66),"")</f>
        <v/>
      </c>
      <c r="H66" s="122" t="str">
        <f t="shared" si="7"/>
        <v/>
      </c>
      <c r="I66" s="121" t="str">
        <f>IF(OR($F66=0,$F66=""),"",SUMIFS(Tree!$R:$R,Tree!$A:$A,'Pre-Harvest Plots_rpt'!$B66,Tree!$B:$B,'Pre-Harvest Plots_rpt'!$D66,Tree!$F:$F,"L"))</f>
        <v/>
      </c>
      <c r="J66" s="121" t="str">
        <f>IF(OR($F66=0,$F66=""),"",IF(SUMIFS(Tree!$W:$W,Tree!$A:$A,'Pre-Harvest Plots_rpt'!$B66,Tree!$B:$B,'Pre-Harvest Plots_rpt'!$D66,Tree!$F:$F,"L")=0,0,AVERAGEIFS(Tree!$W:$W,Tree!$A:$A,'Pre-Harvest Plots_rpt'!$B66,Tree!$B:$B,'Pre-Harvest Plots_rpt'!$D66,Tree!$F:$F,"L")))</f>
        <v/>
      </c>
      <c r="K66" s="121" t="str">
        <f>IF($F66="","",SUMIFS(Tree!$S:$S,Tree!$A:$A,'Pre-Harvest Plots_rpt'!$B66,Tree!$B:$B,'Pre-Harvest Plots_rpt'!$D66,Tree!$F:$F,"L"))</f>
        <v/>
      </c>
      <c r="L66" s="154" t="str">
        <f t="shared" si="8"/>
        <v/>
      </c>
      <c r="M66" s="135"/>
      <c r="N66" s="192" t="str">
        <f>IF(B66="","",SUMIFS(Tree!$AM:$AM,Tree!$A:$A,'Pre-Harvest Plots_rpt'!$B66,Tree!$B:$B,'Pre-Harvest Plots_rpt'!$D66,Tree!$F:$F,"L"))</f>
        <v/>
      </c>
      <c r="O66" s="122" t="str">
        <f>IF(B66="","",SUMIFS(Tree!$AN:$AN,Tree!$A:$A,'Pre-Harvest Plots_rpt'!$B66,Tree!$B:$B,'Pre-Harvest Plots_rpt'!$D66,Tree!$F:$F,"L"))</f>
        <v/>
      </c>
      <c r="P66" s="122" t="str">
        <f>IF(B66="","",SUMIFS(Tree!$AO:$AO,Tree!$A:$A,'Pre-Harvest Plots_rpt'!$B66,Tree!$B:$B,'Pre-Harvest Plots_rpt'!$D66,Tree!$F:$F,"L"))</f>
        <v/>
      </c>
      <c r="Q66" s="122" t="str">
        <f>IF(B66="","",SUMIFS(Tree!$AP:$AP,Tree!$A:$A,'Pre-Harvest Plots_rpt'!$B66,Tree!$B:$B,'Pre-Harvest Plots_rpt'!$D66,Tree!$F:$F,"L"))</f>
        <v/>
      </c>
      <c r="R66" s="123" t="str">
        <f>IF(B66="","",SUMIFS(Tree!$AQ:$AQ,Tree!$A:$A,'Pre-Harvest Plots_rpt'!$B66,Tree!$B:$B,'Pre-Harvest Plots_rpt'!$D66,Tree!$F:$F,"L"))</f>
        <v/>
      </c>
      <c r="S66" s="122" t="str">
        <f>IF(B66="","",SUMIFS(Tree!$AJ:$AJ,Tree!$A:$A,'Pre-Harvest Plots_rpt'!$B66,Tree!$B:$B,'Pre-Harvest Plots_rpt'!$D66,Tree!$F:$F,"L")-O66)</f>
        <v/>
      </c>
      <c r="T66" s="122" t="str">
        <f>IF(B66="","",SUMIFS(Tree!$AK:$AK,Tree!$A:$A,'Pre-Harvest Plots_rpt'!$B66,Tree!$B:$B,'Pre-Harvest Plots_rpt'!$D66,Tree!$F:$F,"L")-P66)</f>
        <v/>
      </c>
      <c r="U66" s="122" t="str">
        <f>IF(B66="","",SUMIFS(Tree!$AL:$AL,Tree!$A:$A,'Pre-Harvest Plots_rpt'!$B66,Tree!$B:$B,'Pre-Harvest Plots_rpt'!$D66,Tree!$F:$F,"L")-Q66)</f>
        <v/>
      </c>
      <c r="V66" s="123" t="str">
        <f>IF(B66="","",ROUND(SUMIFS(Tree!$AE:$AE,Tree!$A:$A,'Pre-Harvest Plots_rpt'!$B66,Tree!$B:$B,'Pre-Harvest Plots_rpt'!$D66,Tree!$F:$F,"L")-R66,1))</f>
        <v/>
      </c>
      <c r="W66" s="124" t="str">
        <f>IF(B66="","",SUMIFS(Tree!$AY:$AY,Tree!$A:$A,'Pre-Harvest Plots_rpt'!$B66,Tree!$B:$B,'Pre-Harvest Plots_rpt'!$D66,Tree!$F:$F,"L")/1000)</f>
        <v/>
      </c>
      <c r="X66" s="158" t="str">
        <f>IF(B66="","",ROUND((SUMIFS(Tree!$AW:$AW,Tree!$A:$A,'Pre-Harvest Plots_rpt'!$B66,Tree!$B:$B,'Pre-Harvest Plots_rpt'!$D66,Tree!$F:$F,"L")/1000)-W66,1))</f>
        <v/>
      </c>
      <c r="Y66" s="135"/>
      <c r="Z66" s="161" t="str">
        <f>IF(IF(B66="","",SUMIFS(Tree!$O:$O,Tree!$A:$A,'Pre-Harvest Plots_rpt'!$B66,Tree!$B:$B,'Pre-Harvest Plots_rpt'!$D66,Tree!$F:$F,"D"))=0,"",IF(B66="","",SUMIFS(Tree!$O:$O,Tree!$A:$A,'Pre-Harvest Plots_rpt'!$B66,Tree!$B:$B,'Pre-Harvest Plots_rpt'!$D66,Tree!$F:$F,"D")))</f>
        <v/>
      </c>
      <c r="AA66" s="125" t="str">
        <f t="shared" si="6"/>
        <v/>
      </c>
      <c r="AB66" s="125" t="str">
        <f>IF(Z66="","",SUMIFS(Tree!$R:$R,Tree!$A:$A,'Pre-Harvest Plots_rpt'!$B66,Tree!$B:$B,'Pre-Harvest Plots_rpt'!$D66,Tree!$F:$F,"D"))</f>
        <v/>
      </c>
      <c r="AC66" s="126" t="str">
        <f>IF(Z66="","",SUMIFS(Tree!$AM:$AM,Tree!$A:$A,'Pre-Harvest Plots_rpt'!$B66,Tree!$B:$B,'Pre-Harvest Plots_rpt'!$D66,Tree!$F:$F,"D"))</f>
        <v/>
      </c>
      <c r="AD66" s="162" t="str">
        <f>IF(Z66="","",SUMIFS(Tree!$AW:$AW,Tree!$A:$A,'Pre-Harvest Plots_rpt'!$B66,Tree!$B:$B,'Pre-Harvest Plots_rpt'!$D66,Tree!$F:$F,"D")/1000)</f>
        <v/>
      </c>
      <c r="AE66" s="47"/>
      <c r="AF66" s="4"/>
      <c r="AG66" s="4"/>
      <c r="AH66" s="4"/>
    </row>
    <row r="67" spans="1:34" ht="12.75" customHeight="1" x14ac:dyDescent="0.25">
      <c r="A67" s="48">
        <v>64</v>
      </c>
      <c r="B67" s="171" t="str">
        <f>IF(A67&lt;=SUM(Stand!$H$3:$H$29),VLOOKUP(A67,Stand!$A$3:$C$29,3,TRUE),"")</f>
        <v/>
      </c>
      <c r="C67" s="172" t="str">
        <f t="shared" si="9"/>
        <v/>
      </c>
      <c r="D67" s="173" t="str">
        <f>IF(B67="","",VLOOKUP(B67&amp;C67,Plot!$B$2:$D$199,3,FALSE))</f>
        <v/>
      </c>
      <c r="E67" s="130"/>
      <c r="F67" s="152" t="str">
        <f>IF(B67="","",SUMIFS(Tree!$O:$O,Tree!$A:$A,'Pre-Harvest Plots_rpt'!$B67,Tree!$B:$B,'Pre-Harvest Plots_rpt'!$D67,Tree!$F:$F,"L"))</f>
        <v/>
      </c>
      <c r="G67" s="153" t="str">
        <f>IFERROR(IF(D67="","",SUMIFS(Tree!$P:$P,Tree!$A:$A,'Pre-Harvest Plots_rpt'!$B67,Tree!$B:$B,'Pre-Harvest Plots_rpt'!$D67)/$F67),"")</f>
        <v/>
      </c>
      <c r="H67" s="122" t="str">
        <f t="shared" si="7"/>
        <v/>
      </c>
      <c r="I67" s="121" t="str">
        <f>IF(OR($F67=0,$F67=""),"",SUMIFS(Tree!$R:$R,Tree!$A:$A,'Pre-Harvest Plots_rpt'!$B67,Tree!$B:$B,'Pre-Harvest Plots_rpt'!$D67,Tree!$F:$F,"L"))</f>
        <v/>
      </c>
      <c r="J67" s="121" t="str">
        <f>IF(OR($F67=0,$F67=""),"",IF(SUMIFS(Tree!$W:$W,Tree!$A:$A,'Pre-Harvest Plots_rpt'!$B67,Tree!$B:$B,'Pre-Harvest Plots_rpt'!$D67,Tree!$F:$F,"L")=0,0,AVERAGEIFS(Tree!$W:$W,Tree!$A:$A,'Pre-Harvest Plots_rpt'!$B67,Tree!$B:$B,'Pre-Harvest Plots_rpt'!$D67,Tree!$F:$F,"L")))</f>
        <v/>
      </c>
      <c r="K67" s="121" t="str">
        <f>IF($F67="","",SUMIFS(Tree!$S:$S,Tree!$A:$A,'Pre-Harvest Plots_rpt'!$B67,Tree!$B:$B,'Pre-Harvest Plots_rpt'!$D67,Tree!$F:$F,"L"))</f>
        <v/>
      </c>
      <c r="L67" s="154" t="str">
        <f t="shared" si="8"/>
        <v/>
      </c>
      <c r="M67" s="135"/>
      <c r="N67" s="192" t="str">
        <f>IF(B67="","",SUMIFS(Tree!$AM:$AM,Tree!$A:$A,'Pre-Harvest Plots_rpt'!$B67,Tree!$B:$B,'Pre-Harvest Plots_rpt'!$D67,Tree!$F:$F,"L"))</f>
        <v/>
      </c>
      <c r="O67" s="122" t="str">
        <f>IF(B67="","",SUMIFS(Tree!$AN:$AN,Tree!$A:$A,'Pre-Harvest Plots_rpt'!$B67,Tree!$B:$B,'Pre-Harvest Plots_rpt'!$D67,Tree!$F:$F,"L"))</f>
        <v/>
      </c>
      <c r="P67" s="122" t="str">
        <f>IF(B67="","",SUMIFS(Tree!$AO:$AO,Tree!$A:$A,'Pre-Harvest Plots_rpt'!$B67,Tree!$B:$B,'Pre-Harvest Plots_rpt'!$D67,Tree!$F:$F,"L"))</f>
        <v/>
      </c>
      <c r="Q67" s="122" t="str">
        <f>IF(B67="","",SUMIFS(Tree!$AP:$AP,Tree!$A:$A,'Pre-Harvest Plots_rpt'!$B67,Tree!$B:$B,'Pre-Harvest Plots_rpt'!$D67,Tree!$F:$F,"L"))</f>
        <v/>
      </c>
      <c r="R67" s="123" t="str">
        <f>IF(B67="","",SUMIFS(Tree!$AQ:$AQ,Tree!$A:$A,'Pre-Harvest Plots_rpt'!$B67,Tree!$B:$B,'Pre-Harvest Plots_rpt'!$D67,Tree!$F:$F,"L"))</f>
        <v/>
      </c>
      <c r="S67" s="122" t="str">
        <f>IF(B67="","",SUMIFS(Tree!$AJ:$AJ,Tree!$A:$A,'Pre-Harvest Plots_rpt'!$B67,Tree!$B:$B,'Pre-Harvest Plots_rpt'!$D67,Tree!$F:$F,"L")-O67)</f>
        <v/>
      </c>
      <c r="T67" s="122" t="str">
        <f>IF(B67="","",SUMIFS(Tree!$AK:$AK,Tree!$A:$A,'Pre-Harvest Plots_rpt'!$B67,Tree!$B:$B,'Pre-Harvest Plots_rpt'!$D67,Tree!$F:$F,"L")-P67)</f>
        <v/>
      </c>
      <c r="U67" s="122" t="str">
        <f>IF(B67="","",SUMIFS(Tree!$AL:$AL,Tree!$A:$A,'Pre-Harvest Plots_rpt'!$B67,Tree!$B:$B,'Pre-Harvest Plots_rpt'!$D67,Tree!$F:$F,"L")-Q67)</f>
        <v/>
      </c>
      <c r="V67" s="123" t="str">
        <f>IF(B67="","",ROUND(SUMIFS(Tree!$AE:$AE,Tree!$A:$A,'Pre-Harvest Plots_rpt'!$B67,Tree!$B:$B,'Pre-Harvest Plots_rpt'!$D67,Tree!$F:$F,"L")-R67,1))</f>
        <v/>
      </c>
      <c r="W67" s="124" t="str">
        <f>IF(B67="","",SUMIFS(Tree!$AY:$AY,Tree!$A:$A,'Pre-Harvest Plots_rpt'!$B67,Tree!$B:$B,'Pre-Harvest Plots_rpt'!$D67,Tree!$F:$F,"L")/1000)</f>
        <v/>
      </c>
      <c r="X67" s="158" t="str">
        <f>IF(B67="","",ROUND((SUMIFS(Tree!$AW:$AW,Tree!$A:$A,'Pre-Harvest Plots_rpt'!$B67,Tree!$B:$B,'Pre-Harvest Plots_rpt'!$D67,Tree!$F:$F,"L")/1000)-W67,1))</f>
        <v/>
      </c>
      <c r="Y67" s="135"/>
      <c r="Z67" s="161" t="str">
        <f>IF(IF(B67="","",SUMIFS(Tree!$O:$O,Tree!$A:$A,'Pre-Harvest Plots_rpt'!$B67,Tree!$B:$B,'Pre-Harvest Plots_rpt'!$D67,Tree!$F:$F,"D"))=0,"",IF(B67="","",SUMIFS(Tree!$O:$O,Tree!$A:$A,'Pre-Harvest Plots_rpt'!$B67,Tree!$B:$B,'Pre-Harvest Plots_rpt'!$D67,Tree!$F:$F,"D")))</f>
        <v/>
      </c>
      <c r="AA67" s="125" t="str">
        <f t="shared" si="6"/>
        <v/>
      </c>
      <c r="AB67" s="125" t="str">
        <f>IF(Z67="","",SUMIFS(Tree!$R:$R,Tree!$A:$A,'Pre-Harvest Plots_rpt'!$B67,Tree!$B:$B,'Pre-Harvest Plots_rpt'!$D67,Tree!$F:$F,"D"))</f>
        <v/>
      </c>
      <c r="AC67" s="126" t="str">
        <f>IF(Z67="","",SUMIFS(Tree!$AM:$AM,Tree!$A:$A,'Pre-Harvest Plots_rpt'!$B67,Tree!$B:$B,'Pre-Harvest Plots_rpt'!$D67,Tree!$F:$F,"D"))</f>
        <v/>
      </c>
      <c r="AD67" s="162" t="str">
        <f>IF(Z67="","",SUMIFS(Tree!$AW:$AW,Tree!$A:$A,'Pre-Harvest Plots_rpt'!$B67,Tree!$B:$B,'Pre-Harvest Plots_rpt'!$D67,Tree!$F:$F,"D")/1000)</f>
        <v/>
      </c>
      <c r="AE67" s="47"/>
      <c r="AF67" s="4"/>
      <c r="AG67" s="4"/>
      <c r="AH67" s="4"/>
    </row>
    <row r="68" spans="1:34" ht="12.75" customHeight="1" x14ac:dyDescent="0.25">
      <c r="A68" s="48">
        <v>65</v>
      </c>
      <c r="B68" s="171" t="str">
        <f>IF(A68&lt;=SUM(Stand!$H$3:$H$29),VLOOKUP(A68,Stand!$A$3:$C$29,3,TRUE),"")</f>
        <v/>
      </c>
      <c r="C68" s="172" t="str">
        <f t="shared" si="9"/>
        <v/>
      </c>
      <c r="D68" s="173" t="str">
        <f>IF(B68="","",VLOOKUP(B68&amp;C68,Plot!$B$2:$D$199,3,FALSE))</f>
        <v/>
      </c>
      <c r="E68" s="130"/>
      <c r="F68" s="152" t="str">
        <f>IF(B68="","",SUMIFS(Tree!$O:$O,Tree!$A:$A,'Pre-Harvest Plots_rpt'!$B68,Tree!$B:$B,'Pre-Harvest Plots_rpt'!$D68,Tree!$F:$F,"L"))</f>
        <v/>
      </c>
      <c r="G68" s="153" t="str">
        <f>IFERROR(IF(D68="","",SUMIFS(Tree!$P:$P,Tree!$A:$A,'Pre-Harvest Plots_rpt'!$B68,Tree!$B:$B,'Pre-Harvest Plots_rpt'!$D68)/$F68),"")</f>
        <v/>
      </c>
      <c r="H68" s="122" t="str">
        <f t="shared" si="7"/>
        <v/>
      </c>
      <c r="I68" s="121" t="str">
        <f>IF(OR($F68=0,$F68=""),"",SUMIFS(Tree!$R:$R,Tree!$A:$A,'Pre-Harvest Plots_rpt'!$B68,Tree!$B:$B,'Pre-Harvest Plots_rpt'!$D68,Tree!$F:$F,"L"))</f>
        <v/>
      </c>
      <c r="J68" s="121" t="str">
        <f>IF(OR($F68=0,$F68=""),"",IF(SUMIFS(Tree!$W:$W,Tree!$A:$A,'Pre-Harvest Plots_rpt'!$B68,Tree!$B:$B,'Pre-Harvest Plots_rpt'!$D68,Tree!$F:$F,"L")=0,0,AVERAGEIFS(Tree!$W:$W,Tree!$A:$A,'Pre-Harvest Plots_rpt'!$B68,Tree!$B:$B,'Pre-Harvest Plots_rpt'!$D68,Tree!$F:$F,"L")))</f>
        <v/>
      </c>
      <c r="K68" s="121" t="str">
        <f>IF($F68="","",SUMIFS(Tree!$S:$S,Tree!$A:$A,'Pre-Harvest Plots_rpt'!$B68,Tree!$B:$B,'Pre-Harvest Plots_rpt'!$D68,Tree!$F:$F,"L"))</f>
        <v/>
      </c>
      <c r="L68" s="154" t="str">
        <f t="shared" si="8"/>
        <v/>
      </c>
      <c r="M68" s="135"/>
      <c r="N68" s="192" t="str">
        <f>IF(B68="","",SUMIFS(Tree!$AM:$AM,Tree!$A:$A,'Pre-Harvest Plots_rpt'!$B68,Tree!$B:$B,'Pre-Harvest Plots_rpt'!$D68,Tree!$F:$F,"L"))</f>
        <v/>
      </c>
      <c r="O68" s="122" t="str">
        <f>IF(B68="","",SUMIFS(Tree!$AN:$AN,Tree!$A:$A,'Pre-Harvest Plots_rpt'!$B68,Tree!$B:$B,'Pre-Harvest Plots_rpt'!$D68,Tree!$F:$F,"L"))</f>
        <v/>
      </c>
      <c r="P68" s="122" t="str">
        <f>IF(B68="","",SUMIFS(Tree!$AO:$AO,Tree!$A:$A,'Pre-Harvest Plots_rpt'!$B68,Tree!$B:$B,'Pre-Harvest Plots_rpt'!$D68,Tree!$F:$F,"L"))</f>
        <v/>
      </c>
      <c r="Q68" s="122" t="str">
        <f>IF(B68="","",SUMIFS(Tree!$AP:$AP,Tree!$A:$A,'Pre-Harvest Plots_rpt'!$B68,Tree!$B:$B,'Pre-Harvest Plots_rpt'!$D68,Tree!$F:$F,"L"))</f>
        <v/>
      </c>
      <c r="R68" s="123" t="str">
        <f>IF(B68="","",SUMIFS(Tree!$AQ:$AQ,Tree!$A:$A,'Pre-Harvest Plots_rpt'!$B68,Tree!$B:$B,'Pre-Harvest Plots_rpt'!$D68,Tree!$F:$F,"L"))</f>
        <v/>
      </c>
      <c r="S68" s="122" t="str">
        <f>IF(B68="","",SUMIFS(Tree!$AJ:$AJ,Tree!$A:$A,'Pre-Harvest Plots_rpt'!$B68,Tree!$B:$B,'Pre-Harvest Plots_rpt'!$D68,Tree!$F:$F,"L")-O68)</f>
        <v/>
      </c>
      <c r="T68" s="122" t="str">
        <f>IF(B68="","",SUMIFS(Tree!$AK:$AK,Tree!$A:$A,'Pre-Harvest Plots_rpt'!$B68,Tree!$B:$B,'Pre-Harvest Plots_rpt'!$D68,Tree!$F:$F,"L")-P68)</f>
        <v/>
      </c>
      <c r="U68" s="122" t="str">
        <f>IF(B68="","",SUMIFS(Tree!$AL:$AL,Tree!$A:$A,'Pre-Harvest Plots_rpt'!$B68,Tree!$B:$B,'Pre-Harvest Plots_rpt'!$D68,Tree!$F:$F,"L")-Q68)</f>
        <v/>
      </c>
      <c r="V68" s="123" t="str">
        <f>IF(B68="","",ROUND(SUMIFS(Tree!$AE:$AE,Tree!$A:$A,'Pre-Harvest Plots_rpt'!$B68,Tree!$B:$B,'Pre-Harvest Plots_rpt'!$D68,Tree!$F:$F,"L")-R68,1))</f>
        <v/>
      </c>
      <c r="W68" s="124" t="str">
        <f>IF(B68="","",SUMIFS(Tree!$AY:$AY,Tree!$A:$A,'Pre-Harvest Plots_rpt'!$B68,Tree!$B:$B,'Pre-Harvest Plots_rpt'!$D68,Tree!$F:$F,"L")/1000)</f>
        <v/>
      </c>
      <c r="X68" s="158" t="str">
        <f>IF(B68="","",ROUND((SUMIFS(Tree!$AW:$AW,Tree!$A:$A,'Pre-Harvest Plots_rpt'!$B68,Tree!$B:$B,'Pre-Harvest Plots_rpt'!$D68,Tree!$F:$F,"L")/1000)-W68,1))</f>
        <v/>
      </c>
      <c r="Y68" s="135"/>
      <c r="Z68" s="161" t="str">
        <f>IF(IF(B68="","",SUMIFS(Tree!$O:$O,Tree!$A:$A,'Pre-Harvest Plots_rpt'!$B68,Tree!$B:$B,'Pre-Harvest Plots_rpt'!$D68,Tree!$F:$F,"D"))=0,"",IF(B68="","",SUMIFS(Tree!$O:$O,Tree!$A:$A,'Pre-Harvest Plots_rpt'!$B68,Tree!$B:$B,'Pre-Harvest Plots_rpt'!$D68,Tree!$F:$F,"D")))</f>
        <v/>
      </c>
      <c r="AA68" s="125" t="str">
        <f t="shared" si="6"/>
        <v/>
      </c>
      <c r="AB68" s="125" t="str">
        <f>IF(Z68="","",SUMIFS(Tree!$R:$R,Tree!$A:$A,'Pre-Harvest Plots_rpt'!$B68,Tree!$B:$B,'Pre-Harvest Plots_rpt'!$D68,Tree!$F:$F,"D"))</f>
        <v/>
      </c>
      <c r="AC68" s="126" t="str">
        <f>IF(Z68="","",SUMIFS(Tree!$AM:$AM,Tree!$A:$A,'Pre-Harvest Plots_rpt'!$B68,Tree!$B:$B,'Pre-Harvest Plots_rpt'!$D68,Tree!$F:$F,"D"))</f>
        <v/>
      </c>
      <c r="AD68" s="162" t="str">
        <f>IF(Z68="","",SUMIFS(Tree!$AW:$AW,Tree!$A:$A,'Pre-Harvest Plots_rpt'!$B68,Tree!$B:$B,'Pre-Harvest Plots_rpt'!$D68,Tree!$F:$F,"D")/1000)</f>
        <v/>
      </c>
      <c r="AE68" s="47"/>
      <c r="AF68" s="4"/>
      <c r="AG68" s="4"/>
      <c r="AH68" s="4"/>
    </row>
    <row r="69" spans="1:34" ht="12.75" customHeight="1" x14ac:dyDescent="0.25">
      <c r="A69" s="48">
        <v>66</v>
      </c>
      <c r="B69" s="171" t="str">
        <f>IF(A69&lt;=SUM(Stand!$H$3:$H$29),VLOOKUP(A69,Stand!$A$3:$C$29,3,TRUE),"")</f>
        <v/>
      </c>
      <c r="C69" s="172" t="str">
        <f t="shared" si="9"/>
        <v/>
      </c>
      <c r="D69" s="173" t="str">
        <f>IF(B69="","",VLOOKUP(B69&amp;C69,Plot!$B$2:$D$199,3,FALSE))</f>
        <v/>
      </c>
      <c r="E69" s="130"/>
      <c r="F69" s="152" t="str">
        <f>IF(B69="","",SUMIFS(Tree!$O:$O,Tree!$A:$A,'Pre-Harvest Plots_rpt'!$B69,Tree!$B:$B,'Pre-Harvest Plots_rpt'!$D69,Tree!$F:$F,"L"))</f>
        <v/>
      </c>
      <c r="G69" s="153" t="str">
        <f>IFERROR(IF(D69="","",SUMIFS(Tree!$P:$P,Tree!$A:$A,'Pre-Harvest Plots_rpt'!$B69,Tree!$B:$B,'Pre-Harvest Plots_rpt'!$D69)/$F69),"")</f>
        <v/>
      </c>
      <c r="H69" s="122" t="str">
        <f t="shared" si="7"/>
        <v/>
      </c>
      <c r="I69" s="121" t="str">
        <f>IF(OR($F69=0,$F69=""),"",SUMIFS(Tree!$R:$R,Tree!$A:$A,'Pre-Harvest Plots_rpt'!$B69,Tree!$B:$B,'Pre-Harvest Plots_rpt'!$D69,Tree!$F:$F,"L"))</f>
        <v/>
      </c>
      <c r="J69" s="121" t="str">
        <f>IF(OR($F69=0,$F69=""),"",IF(SUMIFS(Tree!$W:$W,Tree!$A:$A,'Pre-Harvest Plots_rpt'!$B69,Tree!$B:$B,'Pre-Harvest Plots_rpt'!$D69,Tree!$F:$F,"L")=0,0,AVERAGEIFS(Tree!$W:$W,Tree!$A:$A,'Pre-Harvest Plots_rpt'!$B69,Tree!$B:$B,'Pre-Harvest Plots_rpt'!$D69,Tree!$F:$F,"L")))</f>
        <v/>
      </c>
      <c r="K69" s="121" t="str">
        <f>IF($F69="","",SUMIFS(Tree!$S:$S,Tree!$A:$A,'Pre-Harvest Plots_rpt'!$B69,Tree!$B:$B,'Pre-Harvest Plots_rpt'!$D69,Tree!$F:$F,"L"))</f>
        <v/>
      </c>
      <c r="L69" s="154" t="str">
        <f t="shared" si="8"/>
        <v/>
      </c>
      <c r="M69" s="135"/>
      <c r="N69" s="192" t="str">
        <f>IF(B69="","",SUMIFS(Tree!$AM:$AM,Tree!$A:$A,'Pre-Harvest Plots_rpt'!$B69,Tree!$B:$B,'Pre-Harvest Plots_rpt'!$D69,Tree!$F:$F,"L"))</f>
        <v/>
      </c>
      <c r="O69" s="122" t="str">
        <f>IF(B69="","",SUMIFS(Tree!$AN:$AN,Tree!$A:$A,'Pre-Harvest Plots_rpt'!$B69,Tree!$B:$B,'Pre-Harvest Plots_rpt'!$D69,Tree!$F:$F,"L"))</f>
        <v/>
      </c>
      <c r="P69" s="122" t="str">
        <f>IF(B69="","",SUMIFS(Tree!$AO:$AO,Tree!$A:$A,'Pre-Harvest Plots_rpt'!$B69,Tree!$B:$B,'Pre-Harvest Plots_rpt'!$D69,Tree!$F:$F,"L"))</f>
        <v/>
      </c>
      <c r="Q69" s="122" t="str">
        <f>IF(B69="","",SUMIFS(Tree!$AP:$AP,Tree!$A:$A,'Pre-Harvest Plots_rpt'!$B69,Tree!$B:$B,'Pre-Harvest Plots_rpt'!$D69,Tree!$F:$F,"L"))</f>
        <v/>
      </c>
      <c r="R69" s="123" t="str">
        <f>IF(B69="","",SUMIFS(Tree!$AQ:$AQ,Tree!$A:$A,'Pre-Harvest Plots_rpt'!$B69,Tree!$B:$B,'Pre-Harvest Plots_rpt'!$D69,Tree!$F:$F,"L"))</f>
        <v/>
      </c>
      <c r="S69" s="122" t="str">
        <f>IF(B69="","",SUMIFS(Tree!$AJ:$AJ,Tree!$A:$A,'Pre-Harvest Plots_rpt'!$B69,Tree!$B:$B,'Pre-Harvest Plots_rpt'!$D69,Tree!$F:$F,"L")-O69)</f>
        <v/>
      </c>
      <c r="T69" s="122" t="str">
        <f>IF(B69="","",SUMIFS(Tree!$AK:$AK,Tree!$A:$A,'Pre-Harvest Plots_rpt'!$B69,Tree!$B:$B,'Pre-Harvest Plots_rpt'!$D69,Tree!$F:$F,"L")-P69)</f>
        <v/>
      </c>
      <c r="U69" s="122" t="str">
        <f>IF(B69="","",SUMIFS(Tree!$AL:$AL,Tree!$A:$A,'Pre-Harvest Plots_rpt'!$B69,Tree!$B:$B,'Pre-Harvest Plots_rpt'!$D69,Tree!$F:$F,"L")-Q69)</f>
        <v/>
      </c>
      <c r="V69" s="123" t="str">
        <f>IF(B69="","",ROUND(SUMIFS(Tree!$AE:$AE,Tree!$A:$A,'Pre-Harvest Plots_rpt'!$B69,Tree!$B:$B,'Pre-Harvest Plots_rpt'!$D69,Tree!$F:$F,"L")-R69,1))</f>
        <v/>
      </c>
      <c r="W69" s="124" t="str">
        <f>IF(B69="","",SUMIFS(Tree!$AY:$AY,Tree!$A:$A,'Pre-Harvest Plots_rpt'!$B69,Tree!$B:$B,'Pre-Harvest Plots_rpt'!$D69,Tree!$F:$F,"L")/1000)</f>
        <v/>
      </c>
      <c r="X69" s="158" t="str">
        <f>IF(B69="","",ROUND((SUMIFS(Tree!$AW:$AW,Tree!$A:$A,'Pre-Harvest Plots_rpt'!$B69,Tree!$B:$B,'Pre-Harvest Plots_rpt'!$D69,Tree!$F:$F,"L")/1000)-W69,1))</f>
        <v/>
      </c>
      <c r="Y69" s="135"/>
      <c r="Z69" s="161" t="str">
        <f>IF(IF(B69="","",SUMIFS(Tree!$O:$O,Tree!$A:$A,'Pre-Harvest Plots_rpt'!$B69,Tree!$B:$B,'Pre-Harvest Plots_rpt'!$D69,Tree!$F:$F,"D"))=0,"",IF(B69="","",SUMIFS(Tree!$O:$O,Tree!$A:$A,'Pre-Harvest Plots_rpt'!$B69,Tree!$B:$B,'Pre-Harvest Plots_rpt'!$D69,Tree!$F:$F,"D")))</f>
        <v/>
      </c>
      <c r="AA69" s="125" t="str">
        <f t="shared" ref="AA69:AA132" si="10">IF(Z69="","",IF(Z69="","",((AB69/Z69)/0.005454)^0.5))</f>
        <v/>
      </c>
      <c r="AB69" s="125" t="str">
        <f>IF(Z69="","",SUMIFS(Tree!$R:$R,Tree!$A:$A,'Pre-Harvest Plots_rpt'!$B69,Tree!$B:$B,'Pre-Harvest Plots_rpt'!$D69,Tree!$F:$F,"D"))</f>
        <v/>
      </c>
      <c r="AC69" s="126" t="str">
        <f>IF(Z69="","",SUMIFS(Tree!$AM:$AM,Tree!$A:$A,'Pre-Harvest Plots_rpt'!$B69,Tree!$B:$B,'Pre-Harvest Plots_rpt'!$D69,Tree!$F:$F,"D"))</f>
        <v/>
      </c>
      <c r="AD69" s="162" t="str">
        <f>IF(Z69="","",SUMIFS(Tree!$AW:$AW,Tree!$A:$A,'Pre-Harvest Plots_rpt'!$B69,Tree!$B:$B,'Pre-Harvest Plots_rpt'!$D69,Tree!$F:$F,"D")/1000)</f>
        <v/>
      </c>
      <c r="AE69" s="47"/>
      <c r="AF69" s="4"/>
      <c r="AG69" s="4"/>
      <c r="AH69" s="4"/>
    </row>
    <row r="70" spans="1:34" ht="12.75" customHeight="1" x14ac:dyDescent="0.25">
      <c r="A70" s="48">
        <v>67</v>
      </c>
      <c r="B70" s="171" t="str">
        <f>IF(A70&lt;=SUM(Stand!$H$3:$H$29),VLOOKUP(A70,Stand!$A$3:$C$29,3,TRUE),"")</f>
        <v/>
      </c>
      <c r="C70" s="172" t="str">
        <f t="shared" si="9"/>
        <v/>
      </c>
      <c r="D70" s="173" t="str">
        <f>IF(B70="","",VLOOKUP(B70&amp;C70,Plot!$B$2:$D$199,3,FALSE))</f>
        <v/>
      </c>
      <c r="E70" s="130"/>
      <c r="F70" s="152" t="str">
        <f>IF(B70="","",SUMIFS(Tree!$O:$O,Tree!$A:$A,'Pre-Harvest Plots_rpt'!$B70,Tree!$B:$B,'Pre-Harvest Plots_rpt'!$D70,Tree!$F:$F,"L"))</f>
        <v/>
      </c>
      <c r="G70" s="153" t="str">
        <f>IFERROR(IF(D70="","",SUMIFS(Tree!$P:$P,Tree!$A:$A,'Pre-Harvest Plots_rpt'!$B70,Tree!$B:$B,'Pre-Harvest Plots_rpt'!$D70)/$F70),"")</f>
        <v/>
      </c>
      <c r="H70" s="122" t="str">
        <f t="shared" si="7"/>
        <v/>
      </c>
      <c r="I70" s="121" t="str">
        <f>IF(OR($F70=0,$F70=""),"",SUMIFS(Tree!$R:$R,Tree!$A:$A,'Pre-Harvest Plots_rpt'!$B70,Tree!$B:$B,'Pre-Harvest Plots_rpt'!$D70,Tree!$F:$F,"L"))</f>
        <v/>
      </c>
      <c r="J70" s="121" t="str">
        <f>IF(OR($F70=0,$F70=""),"",IF(SUMIFS(Tree!$W:$W,Tree!$A:$A,'Pre-Harvest Plots_rpt'!$B70,Tree!$B:$B,'Pre-Harvest Plots_rpt'!$D70,Tree!$F:$F,"L")=0,0,AVERAGEIFS(Tree!$W:$W,Tree!$A:$A,'Pre-Harvest Plots_rpt'!$B70,Tree!$B:$B,'Pre-Harvest Plots_rpt'!$D70,Tree!$F:$F,"L")))</f>
        <v/>
      </c>
      <c r="K70" s="121" t="str">
        <f>IF($F70="","",SUMIFS(Tree!$S:$S,Tree!$A:$A,'Pre-Harvest Plots_rpt'!$B70,Tree!$B:$B,'Pre-Harvest Plots_rpt'!$D70,Tree!$F:$F,"L"))</f>
        <v/>
      </c>
      <c r="L70" s="154" t="str">
        <f t="shared" si="8"/>
        <v/>
      </c>
      <c r="M70" s="135"/>
      <c r="N70" s="192" t="str">
        <f>IF(B70="","",SUMIFS(Tree!$AM:$AM,Tree!$A:$A,'Pre-Harvest Plots_rpt'!$B70,Tree!$B:$B,'Pre-Harvest Plots_rpt'!$D70,Tree!$F:$F,"L"))</f>
        <v/>
      </c>
      <c r="O70" s="122" t="str">
        <f>IF(B70="","",SUMIFS(Tree!$AN:$AN,Tree!$A:$A,'Pre-Harvest Plots_rpt'!$B70,Tree!$B:$B,'Pre-Harvest Plots_rpt'!$D70,Tree!$F:$F,"L"))</f>
        <v/>
      </c>
      <c r="P70" s="122" t="str">
        <f>IF(B70="","",SUMIFS(Tree!$AO:$AO,Tree!$A:$A,'Pre-Harvest Plots_rpt'!$B70,Tree!$B:$B,'Pre-Harvest Plots_rpt'!$D70,Tree!$F:$F,"L"))</f>
        <v/>
      </c>
      <c r="Q70" s="122" t="str">
        <f>IF(B70="","",SUMIFS(Tree!$AP:$AP,Tree!$A:$A,'Pre-Harvest Plots_rpt'!$B70,Tree!$B:$B,'Pre-Harvest Plots_rpt'!$D70,Tree!$F:$F,"L"))</f>
        <v/>
      </c>
      <c r="R70" s="123" t="str">
        <f>IF(B70="","",SUMIFS(Tree!$AQ:$AQ,Tree!$A:$A,'Pre-Harvest Plots_rpt'!$B70,Tree!$B:$B,'Pre-Harvest Plots_rpt'!$D70,Tree!$F:$F,"L"))</f>
        <v/>
      </c>
      <c r="S70" s="122" t="str">
        <f>IF(B70="","",SUMIFS(Tree!$AJ:$AJ,Tree!$A:$A,'Pre-Harvest Plots_rpt'!$B70,Tree!$B:$B,'Pre-Harvest Plots_rpt'!$D70,Tree!$F:$F,"L")-O70)</f>
        <v/>
      </c>
      <c r="T70" s="122" t="str">
        <f>IF(B70="","",SUMIFS(Tree!$AK:$AK,Tree!$A:$A,'Pre-Harvest Plots_rpt'!$B70,Tree!$B:$B,'Pre-Harvest Plots_rpt'!$D70,Tree!$F:$F,"L")-P70)</f>
        <v/>
      </c>
      <c r="U70" s="122" t="str">
        <f>IF(B70="","",SUMIFS(Tree!$AL:$AL,Tree!$A:$A,'Pre-Harvest Plots_rpt'!$B70,Tree!$B:$B,'Pre-Harvest Plots_rpt'!$D70,Tree!$F:$F,"L")-Q70)</f>
        <v/>
      </c>
      <c r="V70" s="123" t="str">
        <f>IF(B70="","",ROUND(SUMIFS(Tree!$AE:$AE,Tree!$A:$A,'Pre-Harvest Plots_rpt'!$B70,Tree!$B:$B,'Pre-Harvest Plots_rpt'!$D70,Tree!$F:$F,"L")-R70,1))</f>
        <v/>
      </c>
      <c r="W70" s="124" t="str">
        <f>IF(B70="","",SUMIFS(Tree!$AY:$AY,Tree!$A:$A,'Pre-Harvest Plots_rpt'!$B70,Tree!$B:$B,'Pre-Harvest Plots_rpt'!$D70,Tree!$F:$F,"L")/1000)</f>
        <v/>
      </c>
      <c r="X70" s="158" t="str">
        <f>IF(B70="","",ROUND((SUMIFS(Tree!$AW:$AW,Tree!$A:$A,'Pre-Harvest Plots_rpt'!$B70,Tree!$B:$B,'Pre-Harvest Plots_rpt'!$D70,Tree!$F:$F,"L")/1000)-W70,1))</f>
        <v/>
      </c>
      <c r="Y70" s="135"/>
      <c r="Z70" s="161" t="str">
        <f>IF(IF(B70="","",SUMIFS(Tree!$O:$O,Tree!$A:$A,'Pre-Harvest Plots_rpt'!$B70,Tree!$B:$B,'Pre-Harvest Plots_rpt'!$D70,Tree!$F:$F,"D"))=0,"",IF(B70="","",SUMIFS(Tree!$O:$O,Tree!$A:$A,'Pre-Harvest Plots_rpt'!$B70,Tree!$B:$B,'Pre-Harvest Plots_rpt'!$D70,Tree!$F:$F,"D")))</f>
        <v/>
      </c>
      <c r="AA70" s="125" t="str">
        <f t="shared" si="10"/>
        <v/>
      </c>
      <c r="AB70" s="125" t="str">
        <f>IF(Z70="","",SUMIFS(Tree!$R:$R,Tree!$A:$A,'Pre-Harvest Plots_rpt'!$B70,Tree!$B:$B,'Pre-Harvest Plots_rpt'!$D70,Tree!$F:$F,"D"))</f>
        <v/>
      </c>
      <c r="AC70" s="126" t="str">
        <f>IF(Z70="","",SUMIFS(Tree!$AM:$AM,Tree!$A:$A,'Pre-Harvest Plots_rpt'!$B70,Tree!$B:$B,'Pre-Harvest Plots_rpt'!$D70,Tree!$F:$F,"D"))</f>
        <v/>
      </c>
      <c r="AD70" s="162" t="str">
        <f>IF(Z70="","",SUMIFS(Tree!$AW:$AW,Tree!$A:$A,'Pre-Harvest Plots_rpt'!$B70,Tree!$B:$B,'Pre-Harvest Plots_rpt'!$D70,Tree!$F:$F,"D")/1000)</f>
        <v/>
      </c>
      <c r="AE70" s="47"/>
      <c r="AF70" s="4"/>
      <c r="AG70" s="4"/>
      <c r="AH70" s="4"/>
    </row>
    <row r="71" spans="1:34" ht="12.75" customHeight="1" x14ac:dyDescent="0.25">
      <c r="A71" s="48">
        <v>68</v>
      </c>
      <c r="B71" s="171" t="str">
        <f>IF(A71&lt;=SUM(Stand!$H$3:$H$29),VLOOKUP(A71,Stand!$A$3:$C$29,3,TRUE),"")</f>
        <v/>
      </c>
      <c r="C71" s="172" t="str">
        <f t="shared" si="9"/>
        <v/>
      </c>
      <c r="D71" s="173" t="str">
        <f>IF(B71="","",VLOOKUP(B71&amp;C71,Plot!$B$2:$D$199,3,FALSE))</f>
        <v/>
      </c>
      <c r="E71" s="130"/>
      <c r="F71" s="152" t="str">
        <f>IF(B71="","",SUMIFS(Tree!$O:$O,Tree!$A:$A,'Pre-Harvest Plots_rpt'!$B71,Tree!$B:$B,'Pre-Harvest Plots_rpt'!$D71,Tree!$F:$F,"L"))</f>
        <v/>
      </c>
      <c r="G71" s="153" t="str">
        <f>IFERROR(IF(D71="","",SUMIFS(Tree!$P:$P,Tree!$A:$A,'Pre-Harvest Plots_rpt'!$B71,Tree!$B:$B,'Pre-Harvest Plots_rpt'!$D71)/$F71),"")</f>
        <v/>
      </c>
      <c r="H71" s="122" t="str">
        <f t="shared" si="7"/>
        <v/>
      </c>
      <c r="I71" s="121" t="str">
        <f>IF(OR($F71=0,$F71=""),"",SUMIFS(Tree!$R:$R,Tree!$A:$A,'Pre-Harvest Plots_rpt'!$B71,Tree!$B:$B,'Pre-Harvest Plots_rpt'!$D71,Tree!$F:$F,"L"))</f>
        <v/>
      </c>
      <c r="J71" s="121" t="str">
        <f>IF(OR($F71=0,$F71=""),"",IF(SUMIFS(Tree!$W:$W,Tree!$A:$A,'Pre-Harvest Plots_rpt'!$B71,Tree!$B:$B,'Pre-Harvest Plots_rpt'!$D71,Tree!$F:$F,"L")=0,0,AVERAGEIFS(Tree!$W:$W,Tree!$A:$A,'Pre-Harvest Plots_rpt'!$B71,Tree!$B:$B,'Pre-Harvest Plots_rpt'!$D71,Tree!$F:$F,"L")))</f>
        <v/>
      </c>
      <c r="K71" s="121" t="str">
        <f>IF($F71="","",SUMIFS(Tree!$S:$S,Tree!$A:$A,'Pre-Harvest Plots_rpt'!$B71,Tree!$B:$B,'Pre-Harvest Plots_rpt'!$D71,Tree!$F:$F,"L"))</f>
        <v/>
      </c>
      <c r="L71" s="154" t="str">
        <f t="shared" si="8"/>
        <v/>
      </c>
      <c r="M71" s="135"/>
      <c r="N71" s="192" t="str">
        <f>IF(B71="","",SUMIFS(Tree!$AM:$AM,Tree!$A:$A,'Pre-Harvest Plots_rpt'!$B71,Tree!$B:$B,'Pre-Harvest Plots_rpt'!$D71,Tree!$F:$F,"L"))</f>
        <v/>
      </c>
      <c r="O71" s="122" t="str">
        <f>IF(B71="","",SUMIFS(Tree!$AN:$AN,Tree!$A:$A,'Pre-Harvest Plots_rpt'!$B71,Tree!$B:$B,'Pre-Harvest Plots_rpt'!$D71,Tree!$F:$F,"L"))</f>
        <v/>
      </c>
      <c r="P71" s="122" t="str">
        <f>IF(B71="","",SUMIFS(Tree!$AO:$AO,Tree!$A:$A,'Pre-Harvest Plots_rpt'!$B71,Tree!$B:$B,'Pre-Harvest Plots_rpt'!$D71,Tree!$F:$F,"L"))</f>
        <v/>
      </c>
      <c r="Q71" s="122" t="str">
        <f>IF(B71="","",SUMIFS(Tree!$AP:$AP,Tree!$A:$A,'Pre-Harvest Plots_rpt'!$B71,Tree!$B:$B,'Pre-Harvest Plots_rpt'!$D71,Tree!$F:$F,"L"))</f>
        <v/>
      </c>
      <c r="R71" s="123" t="str">
        <f>IF(B71="","",SUMIFS(Tree!$AQ:$AQ,Tree!$A:$A,'Pre-Harvest Plots_rpt'!$B71,Tree!$B:$B,'Pre-Harvest Plots_rpt'!$D71,Tree!$F:$F,"L"))</f>
        <v/>
      </c>
      <c r="S71" s="122" t="str">
        <f>IF(B71="","",SUMIFS(Tree!$AJ:$AJ,Tree!$A:$A,'Pre-Harvest Plots_rpt'!$B71,Tree!$B:$B,'Pre-Harvest Plots_rpt'!$D71,Tree!$F:$F,"L")-O71)</f>
        <v/>
      </c>
      <c r="T71" s="122" t="str">
        <f>IF(B71="","",SUMIFS(Tree!$AK:$AK,Tree!$A:$A,'Pre-Harvest Plots_rpt'!$B71,Tree!$B:$B,'Pre-Harvest Plots_rpt'!$D71,Tree!$F:$F,"L")-P71)</f>
        <v/>
      </c>
      <c r="U71" s="122" t="str">
        <f>IF(B71="","",SUMIFS(Tree!$AL:$AL,Tree!$A:$A,'Pre-Harvest Plots_rpt'!$B71,Tree!$B:$B,'Pre-Harvest Plots_rpt'!$D71,Tree!$F:$F,"L")-Q71)</f>
        <v/>
      </c>
      <c r="V71" s="123" t="str">
        <f>IF(B71="","",ROUND(SUMIFS(Tree!$AE:$AE,Tree!$A:$A,'Pre-Harvest Plots_rpt'!$B71,Tree!$B:$B,'Pre-Harvest Plots_rpt'!$D71,Tree!$F:$F,"L")-R71,1))</f>
        <v/>
      </c>
      <c r="W71" s="124" t="str">
        <f>IF(B71="","",SUMIFS(Tree!$AY:$AY,Tree!$A:$A,'Pre-Harvest Plots_rpt'!$B71,Tree!$B:$B,'Pre-Harvest Plots_rpt'!$D71,Tree!$F:$F,"L")/1000)</f>
        <v/>
      </c>
      <c r="X71" s="158" t="str">
        <f>IF(B71="","",ROUND((SUMIFS(Tree!$AW:$AW,Tree!$A:$A,'Pre-Harvest Plots_rpt'!$B71,Tree!$B:$B,'Pre-Harvest Plots_rpt'!$D71,Tree!$F:$F,"L")/1000)-W71,1))</f>
        <v/>
      </c>
      <c r="Y71" s="135"/>
      <c r="Z71" s="161" t="str">
        <f>IF(IF(B71="","",SUMIFS(Tree!$O:$O,Tree!$A:$A,'Pre-Harvest Plots_rpt'!$B71,Tree!$B:$B,'Pre-Harvest Plots_rpt'!$D71,Tree!$F:$F,"D"))=0,"",IF(B71="","",SUMIFS(Tree!$O:$O,Tree!$A:$A,'Pre-Harvest Plots_rpt'!$B71,Tree!$B:$B,'Pre-Harvest Plots_rpt'!$D71,Tree!$F:$F,"D")))</f>
        <v/>
      </c>
      <c r="AA71" s="125" t="str">
        <f t="shared" si="10"/>
        <v/>
      </c>
      <c r="AB71" s="125" t="str">
        <f>IF(Z71="","",SUMIFS(Tree!$R:$R,Tree!$A:$A,'Pre-Harvest Plots_rpt'!$B71,Tree!$B:$B,'Pre-Harvest Plots_rpt'!$D71,Tree!$F:$F,"D"))</f>
        <v/>
      </c>
      <c r="AC71" s="126" t="str">
        <f>IF(Z71="","",SUMIFS(Tree!$AM:$AM,Tree!$A:$A,'Pre-Harvest Plots_rpt'!$B71,Tree!$B:$B,'Pre-Harvest Plots_rpt'!$D71,Tree!$F:$F,"D"))</f>
        <v/>
      </c>
      <c r="AD71" s="162" t="str">
        <f>IF(Z71="","",SUMIFS(Tree!$AW:$AW,Tree!$A:$A,'Pre-Harvest Plots_rpt'!$B71,Tree!$B:$B,'Pre-Harvest Plots_rpt'!$D71,Tree!$F:$F,"D")/1000)</f>
        <v/>
      </c>
      <c r="AE71" s="47"/>
      <c r="AF71" s="4"/>
      <c r="AG71" s="4"/>
      <c r="AH71" s="4"/>
    </row>
    <row r="72" spans="1:34" ht="12.75" customHeight="1" x14ac:dyDescent="0.25">
      <c r="A72" s="48">
        <v>69</v>
      </c>
      <c r="B72" s="171" t="str">
        <f>IF(A72&lt;=SUM(Stand!$H$3:$H$29),VLOOKUP(A72,Stand!$A$3:$C$29,3,TRUE),"")</f>
        <v/>
      </c>
      <c r="C72" s="172" t="str">
        <f t="shared" si="9"/>
        <v/>
      </c>
      <c r="D72" s="173" t="str">
        <f>IF(B72="","",VLOOKUP(B72&amp;C72,Plot!$B$2:$D$199,3,FALSE))</f>
        <v/>
      </c>
      <c r="E72" s="130"/>
      <c r="F72" s="152" t="str">
        <f>IF(B72="","",SUMIFS(Tree!$O:$O,Tree!$A:$A,'Pre-Harvest Plots_rpt'!$B72,Tree!$B:$B,'Pre-Harvest Plots_rpt'!$D72,Tree!$F:$F,"L"))</f>
        <v/>
      </c>
      <c r="G72" s="153" t="str">
        <f>IFERROR(IF(D72="","",SUMIFS(Tree!$P:$P,Tree!$A:$A,'Pre-Harvest Plots_rpt'!$B72,Tree!$B:$B,'Pre-Harvest Plots_rpt'!$D72)/$F72),"")</f>
        <v/>
      </c>
      <c r="H72" s="122" t="str">
        <f t="shared" si="7"/>
        <v/>
      </c>
      <c r="I72" s="121" t="str">
        <f>IF(OR($F72=0,$F72=""),"",SUMIFS(Tree!$R:$R,Tree!$A:$A,'Pre-Harvest Plots_rpt'!$B72,Tree!$B:$B,'Pre-Harvest Plots_rpt'!$D72,Tree!$F:$F,"L"))</f>
        <v/>
      </c>
      <c r="J72" s="121" t="str">
        <f>IF(OR($F72=0,$F72=""),"",IF(SUMIFS(Tree!$W:$W,Tree!$A:$A,'Pre-Harvest Plots_rpt'!$B72,Tree!$B:$B,'Pre-Harvest Plots_rpt'!$D72,Tree!$F:$F,"L")=0,0,AVERAGEIFS(Tree!$W:$W,Tree!$A:$A,'Pre-Harvest Plots_rpt'!$B72,Tree!$B:$B,'Pre-Harvest Plots_rpt'!$D72,Tree!$F:$F,"L")))</f>
        <v/>
      </c>
      <c r="K72" s="121" t="str">
        <f>IF($F72="","",SUMIFS(Tree!$S:$S,Tree!$A:$A,'Pre-Harvest Plots_rpt'!$B72,Tree!$B:$B,'Pre-Harvest Plots_rpt'!$D72,Tree!$F:$F,"L"))</f>
        <v/>
      </c>
      <c r="L72" s="154" t="str">
        <f t="shared" si="8"/>
        <v/>
      </c>
      <c r="M72" s="135"/>
      <c r="N72" s="192" t="str">
        <f>IF(B72="","",SUMIFS(Tree!$AM:$AM,Tree!$A:$A,'Pre-Harvest Plots_rpt'!$B72,Tree!$B:$B,'Pre-Harvest Plots_rpt'!$D72,Tree!$F:$F,"L"))</f>
        <v/>
      </c>
      <c r="O72" s="122" t="str">
        <f>IF(B72="","",SUMIFS(Tree!$AN:$AN,Tree!$A:$A,'Pre-Harvest Plots_rpt'!$B72,Tree!$B:$B,'Pre-Harvest Plots_rpt'!$D72,Tree!$F:$F,"L"))</f>
        <v/>
      </c>
      <c r="P72" s="122" t="str">
        <f>IF(B72="","",SUMIFS(Tree!$AO:$AO,Tree!$A:$A,'Pre-Harvest Plots_rpt'!$B72,Tree!$B:$B,'Pre-Harvest Plots_rpt'!$D72,Tree!$F:$F,"L"))</f>
        <v/>
      </c>
      <c r="Q72" s="122" t="str">
        <f>IF(B72="","",SUMIFS(Tree!$AP:$AP,Tree!$A:$A,'Pre-Harvest Plots_rpt'!$B72,Tree!$B:$B,'Pre-Harvest Plots_rpt'!$D72,Tree!$F:$F,"L"))</f>
        <v/>
      </c>
      <c r="R72" s="123" t="str">
        <f>IF(B72="","",SUMIFS(Tree!$AQ:$AQ,Tree!$A:$A,'Pre-Harvest Plots_rpt'!$B72,Tree!$B:$B,'Pre-Harvest Plots_rpt'!$D72,Tree!$F:$F,"L"))</f>
        <v/>
      </c>
      <c r="S72" s="122" t="str">
        <f>IF(B72="","",SUMIFS(Tree!$AJ:$AJ,Tree!$A:$A,'Pre-Harvest Plots_rpt'!$B72,Tree!$B:$B,'Pre-Harvest Plots_rpt'!$D72,Tree!$F:$F,"L")-O72)</f>
        <v/>
      </c>
      <c r="T72" s="122" t="str">
        <f>IF(B72="","",SUMIFS(Tree!$AK:$AK,Tree!$A:$A,'Pre-Harvest Plots_rpt'!$B72,Tree!$B:$B,'Pre-Harvest Plots_rpt'!$D72,Tree!$F:$F,"L")-P72)</f>
        <v/>
      </c>
      <c r="U72" s="122" t="str">
        <f>IF(B72="","",SUMIFS(Tree!$AL:$AL,Tree!$A:$A,'Pre-Harvest Plots_rpt'!$B72,Tree!$B:$B,'Pre-Harvest Plots_rpt'!$D72,Tree!$F:$F,"L")-Q72)</f>
        <v/>
      </c>
      <c r="V72" s="123" t="str">
        <f>IF(B72="","",ROUND(SUMIFS(Tree!$AE:$AE,Tree!$A:$A,'Pre-Harvest Plots_rpt'!$B72,Tree!$B:$B,'Pre-Harvest Plots_rpt'!$D72,Tree!$F:$F,"L")-R72,1))</f>
        <v/>
      </c>
      <c r="W72" s="124" t="str">
        <f>IF(B72="","",SUMIFS(Tree!$AY:$AY,Tree!$A:$A,'Pre-Harvest Plots_rpt'!$B72,Tree!$B:$B,'Pre-Harvest Plots_rpt'!$D72,Tree!$F:$F,"L")/1000)</f>
        <v/>
      </c>
      <c r="X72" s="158" t="str">
        <f>IF(B72="","",ROUND((SUMIFS(Tree!$AW:$AW,Tree!$A:$A,'Pre-Harvest Plots_rpt'!$B72,Tree!$B:$B,'Pre-Harvest Plots_rpt'!$D72,Tree!$F:$F,"L")/1000)-W72,1))</f>
        <v/>
      </c>
      <c r="Y72" s="135"/>
      <c r="Z72" s="161" t="str">
        <f>IF(IF(B72="","",SUMIFS(Tree!$O:$O,Tree!$A:$A,'Pre-Harvest Plots_rpt'!$B72,Tree!$B:$B,'Pre-Harvest Plots_rpt'!$D72,Tree!$F:$F,"D"))=0,"",IF(B72="","",SUMIFS(Tree!$O:$O,Tree!$A:$A,'Pre-Harvest Plots_rpt'!$B72,Tree!$B:$B,'Pre-Harvest Plots_rpt'!$D72,Tree!$F:$F,"D")))</f>
        <v/>
      </c>
      <c r="AA72" s="125" t="str">
        <f t="shared" si="10"/>
        <v/>
      </c>
      <c r="AB72" s="125" t="str">
        <f>IF(Z72="","",SUMIFS(Tree!$R:$R,Tree!$A:$A,'Pre-Harvest Plots_rpt'!$B72,Tree!$B:$B,'Pre-Harvest Plots_rpt'!$D72,Tree!$F:$F,"D"))</f>
        <v/>
      </c>
      <c r="AC72" s="126" t="str">
        <f>IF(Z72="","",SUMIFS(Tree!$AM:$AM,Tree!$A:$A,'Pre-Harvest Plots_rpt'!$B72,Tree!$B:$B,'Pre-Harvest Plots_rpt'!$D72,Tree!$F:$F,"D"))</f>
        <v/>
      </c>
      <c r="AD72" s="162" t="str">
        <f>IF(Z72="","",SUMIFS(Tree!$AW:$AW,Tree!$A:$A,'Pre-Harvest Plots_rpt'!$B72,Tree!$B:$B,'Pre-Harvest Plots_rpt'!$D72,Tree!$F:$F,"D")/1000)</f>
        <v/>
      </c>
      <c r="AE72" s="47"/>
      <c r="AF72" s="4"/>
      <c r="AG72" s="4"/>
      <c r="AH72" s="4"/>
    </row>
    <row r="73" spans="1:34" ht="12.75" customHeight="1" x14ac:dyDescent="0.25">
      <c r="A73" s="48">
        <v>70</v>
      </c>
      <c r="B73" s="171" t="str">
        <f>IF(A73&lt;=SUM(Stand!$H$3:$H$29),VLOOKUP(A73,Stand!$A$3:$C$29,3,TRUE),"")</f>
        <v/>
      </c>
      <c r="C73" s="172" t="str">
        <f t="shared" si="9"/>
        <v/>
      </c>
      <c r="D73" s="173" t="str">
        <f>IF(B73="","",VLOOKUP(B73&amp;C73,Plot!$B$2:$D$199,3,FALSE))</f>
        <v/>
      </c>
      <c r="E73" s="130"/>
      <c r="F73" s="152" t="str">
        <f>IF(B73="","",SUMIFS(Tree!$O:$O,Tree!$A:$A,'Pre-Harvest Plots_rpt'!$B73,Tree!$B:$B,'Pre-Harvest Plots_rpt'!$D73,Tree!$F:$F,"L"))</f>
        <v/>
      </c>
      <c r="G73" s="153" t="str">
        <f>IFERROR(IF(D73="","",SUMIFS(Tree!$P:$P,Tree!$A:$A,'Pre-Harvest Plots_rpt'!$B73,Tree!$B:$B,'Pre-Harvest Plots_rpt'!$D73)/$F73),"")</f>
        <v/>
      </c>
      <c r="H73" s="122" t="str">
        <f t="shared" si="7"/>
        <v/>
      </c>
      <c r="I73" s="121" t="str">
        <f>IF(OR($F73=0,$F73=""),"",SUMIFS(Tree!$R:$R,Tree!$A:$A,'Pre-Harvest Plots_rpt'!$B73,Tree!$B:$B,'Pre-Harvest Plots_rpt'!$D73,Tree!$F:$F,"L"))</f>
        <v/>
      </c>
      <c r="J73" s="121" t="str">
        <f>IF(OR($F73=0,$F73=""),"",IF(SUMIFS(Tree!$W:$W,Tree!$A:$A,'Pre-Harvest Plots_rpt'!$B73,Tree!$B:$B,'Pre-Harvest Plots_rpt'!$D73,Tree!$F:$F,"L")=0,0,AVERAGEIFS(Tree!$W:$W,Tree!$A:$A,'Pre-Harvest Plots_rpt'!$B73,Tree!$B:$B,'Pre-Harvest Plots_rpt'!$D73,Tree!$F:$F,"L")))</f>
        <v/>
      </c>
      <c r="K73" s="121" t="str">
        <f>IF($F73="","",SUMIFS(Tree!$S:$S,Tree!$A:$A,'Pre-Harvest Plots_rpt'!$B73,Tree!$B:$B,'Pre-Harvest Plots_rpt'!$D73,Tree!$F:$F,"L"))</f>
        <v/>
      </c>
      <c r="L73" s="154" t="str">
        <f t="shared" si="8"/>
        <v/>
      </c>
      <c r="M73" s="135"/>
      <c r="N73" s="192" t="str">
        <f>IF(B73="","",SUMIFS(Tree!$AM:$AM,Tree!$A:$A,'Pre-Harvest Plots_rpt'!$B73,Tree!$B:$B,'Pre-Harvest Plots_rpt'!$D73,Tree!$F:$F,"L"))</f>
        <v/>
      </c>
      <c r="O73" s="122" t="str">
        <f>IF(B73="","",SUMIFS(Tree!$AN:$AN,Tree!$A:$A,'Pre-Harvest Plots_rpt'!$B73,Tree!$B:$B,'Pre-Harvest Plots_rpt'!$D73,Tree!$F:$F,"L"))</f>
        <v/>
      </c>
      <c r="P73" s="122" t="str">
        <f>IF(B73="","",SUMIFS(Tree!$AO:$AO,Tree!$A:$A,'Pre-Harvest Plots_rpt'!$B73,Tree!$B:$B,'Pre-Harvest Plots_rpt'!$D73,Tree!$F:$F,"L"))</f>
        <v/>
      </c>
      <c r="Q73" s="122" t="str">
        <f>IF(B73="","",SUMIFS(Tree!$AP:$AP,Tree!$A:$A,'Pre-Harvest Plots_rpt'!$B73,Tree!$B:$B,'Pre-Harvest Plots_rpt'!$D73,Tree!$F:$F,"L"))</f>
        <v/>
      </c>
      <c r="R73" s="123" t="str">
        <f>IF(B73="","",SUMIFS(Tree!$AQ:$AQ,Tree!$A:$A,'Pre-Harvest Plots_rpt'!$B73,Tree!$B:$B,'Pre-Harvest Plots_rpt'!$D73,Tree!$F:$F,"L"))</f>
        <v/>
      </c>
      <c r="S73" s="122" t="str">
        <f>IF(B73="","",SUMIFS(Tree!$AJ:$AJ,Tree!$A:$A,'Pre-Harvest Plots_rpt'!$B73,Tree!$B:$B,'Pre-Harvest Plots_rpt'!$D73,Tree!$F:$F,"L")-O73)</f>
        <v/>
      </c>
      <c r="T73" s="122" t="str">
        <f>IF(B73="","",SUMIFS(Tree!$AK:$AK,Tree!$A:$A,'Pre-Harvest Plots_rpt'!$B73,Tree!$B:$B,'Pre-Harvest Plots_rpt'!$D73,Tree!$F:$F,"L")-P73)</f>
        <v/>
      </c>
      <c r="U73" s="122" t="str">
        <f>IF(B73="","",SUMIFS(Tree!$AL:$AL,Tree!$A:$A,'Pre-Harvest Plots_rpt'!$B73,Tree!$B:$B,'Pre-Harvest Plots_rpt'!$D73,Tree!$F:$F,"L")-Q73)</f>
        <v/>
      </c>
      <c r="V73" s="123" t="str">
        <f>IF(B73="","",ROUND(SUMIFS(Tree!$AE:$AE,Tree!$A:$A,'Pre-Harvest Plots_rpt'!$B73,Tree!$B:$B,'Pre-Harvest Plots_rpt'!$D73,Tree!$F:$F,"L")-R73,1))</f>
        <v/>
      </c>
      <c r="W73" s="124" t="str">
        <f>IF(B73="","",SUMIFS(Tree!$AY:$AY,Tree!$A:$A,'Pre-Harvest Plots_rpt'!$B73,Tree!$B:$B,'Pre-Harvest Plots_rpt'!$D73,Tree!$F:$F,"L")/1000)</f>
        <v/>
      </c>
      <c r="X73" s="158" t="str">
        <f>IF(B73="","",ROUND((SUMIFS(Tree!$AW:$AW,Tree!$A:$A,'Pre-Harvest Plots_rpt'!$B73,Tree!$B:$B,'Pre-Harvest Plots_rpt'!$D73,Tree!$F:$F,"L")/1000)-W73,1))</f>
        <v/>
      </c>
      <c r="Y73" s="135"/>
      <c r="Z73" s="161" t="str">
        <f>IF(IF(B73="","",SUMIFS(Tree!$O:$O,Tree!$A:$A,'Pre-Harvest Plots_rpt'!$B73,Tree!$B:$B,'Pre-Harvest Plots_rpt'!$D73,Tree!$F:$F,"D"))=0,"",IF(B73="","",SUMIFS(Tree!$O:$O,Tree!$A:$A,'Pre-Harvest Plots_rpt'!$B73,Tree!$B:$B,'Pre-Harvest Plots_rpt'!$D73,Tree!$F:$F,"D")))</f>
        <v/>
      </c>
      <c r="AA73" s="125" t="str">
        <f t="shared" si="10"/>
        <v/>
      </c>
      <c r="AB73" s="125" t="str">
        <f>IF(Z73="","",SUMIFS(Tree!$R:$R,Tree!$A:$A,'Pre-Harvest Plots_rpt'!$B73,Tree!$B:$B,'Pre-Harvest Plots_rpt'!$D73,Tree!$F:$F,"D"))</f>
        <v/>
      </c>
      <c r="AC73" s="126" t="str">
        <f>IF(Z73="","",SUMIFS(Tree!$AM:$AM,Tree!$A:$A,'Pre-Harvest Plots_rpt'!$B73,Tree!$B:$B,'Pre-Harvest Plots_rpt'!$D73,Tree!$F:$F,"D"))</f>
        <v/>
      </c>
      <c r="AD73" s="162" t="str">
        <f>IF(Z73="","",SUMIFS(Tree!$AW:$AW,Tree!$A:$A,'Pre-Harvest Plots_rpt'!$B73,Tree!$B:$B,'Pre-Harvest Plots_rpt'!$D73,Tree!$F:$F,"D")/1000)</f>
        <v/>
      </c>
      <c r="AE73" s="47"/>
      <c r="AF73" s="4"/>
      <c r="AG73" s="4"/>
      <c r="AH73" s="4"/>
    </row>
    <row r="74" spans="1:34" ht="12.75" customHeight="1" x14ac:dyDescent="0.25">
      <c r="A74" s="48">
        <v>71</v>
      </c>
      <c r="B74" s="171" t="str">
        <f>IF(A74&lt;=SUM(Stand!$H$3:$H$29),VLOOKUP(A74,Stand!$A$3:$C$29,3,TRUE),"")</f>
        <v/>
      </c>
      <c r="C74" s="172" t="str">
        <f t="shared" si="9"/>
        <v/>
      </c>
      <c r="D74" s="173" t="str">
        <f>IF(B74="","",VLOOKUP(B74&amp;C74,Plot!$B$2:$D$199,3,FALSE))</f>
        <v/>
      </c>
      <c r="E74" s="130"/>
      <c r="F74" s="152" t="str">
        <f>IF(B74="","",SUMIFS(Tree!$O:$O,Tree!$A:$A,'Pre-Harvest Plots_rpt'!$B74,Tree!$B:$B,'Pre-Harvest Plots_rpt'!$D74,Tree!$F:$F,"L"))</f>
        <v/>
      </c>
      <c r="G74" s="153" t="str">
        <f>IFERROR(IF(D74="","",SUMIFS(Tree!$P:$P,Tree!$A:$A,'Pre-Harvest Plots_rpt'!$B74,Tree!$B:$B,'Pre-Harvest Plots_rpt'!$D74)/$F74),"")</f>
        <v/>
      </c>
      <c r="H74" s="122" t="str">
        <f t="shared" si="7"/>
        <v/>
      </c>
      <c r="I74" s="121" t="str">
        <f>IF(OR($F74=0,$F74=""),"",SUMIFS(Tree!$R:$R,Tree!$A:$A,'Pre-Harvest Plots_rpt'!$B74,Tree!$B:$B,'Pre-Harvest Plots_rpt'!$D74,Tree!$F:$F,"L"))</f>
        <v/>
      </c>
      <c r="J74" s="121" t="str">
        <f>IF(OR($F74=0,$F74=""),"",IF(SUMIFS(Tree!$W:$W,Tree!$A:$A,'Pre-Harvest Plots_rpt'!$B74,Tree!$B:$B,'Pre-Harvest Plots_rpt'!$D74,Tree!$F:$F,"L")=0,0,AVERAGEIFS(Tree!$W:$W,Tree!$A:$A,'Pre-Harvest Plots_rpt'!$B74,Tree!$B:$B,'Pre-Harvest Plots_rpt'!$D74,Tree!$F:$F,"L")))</f>
        <v/>
      </c>
      <c r="K74" s="121" t="str">
        <f>IF($F74="","",SUMIFS(Tree!$S:$S,Tree!$A:$A,'Pre-Harvest Plots_rpt'!$B74,Tree!$B:$B,'Pre-Harvest Plots_rpt'!$D74,Tree!$F:$F,"L"))</f>
        <v/>
      </c>
      <c r="L74" s="154" t="str">
        <f t="shared" si="8"/>
        <v/>
      </c>
      <c r="M74" s="135"/>
      <c r="N74" s="192" t="str">
        <f>IF(B74="","",SUMIFS(Tree!$AM:$AM,Tree!$A:$A,'Pre-Harvest Plots_rpt'!$B74,Tree!$B:$B,'Pre-Harvest Plots_rpt'!$D74,Tree!$F:$F,"L"))</f>
        <v/>
      </c>
      <c r="O74" s="122" t="str">
        <f>IF(B74="","",SUMIFS(Tree!$AN:$AN,Tree!$A:$A,'Pre-Harvest Plots_rpt'!$B74,Tree!$B:$B,'Pre-Harvest Plots_rpt'!$D74,Tree!$F:$F,"L"))</f>
        <v/>
      </c>
      <c r="P74" s="122" t="str">
        <f>IF(B74="","",SUMIFS(Tree!$AO:$AO,Tree!$A:$A,'Pre-Harvest Plots_rpt'!$B74,Tree!$B:$B,'Pre-Harvest Plots_rpt'!$D74,Tree!$F:$F,"L"))</f>
        <v/>
      </c>
      <c r="Q74" s="122" t="str">
        <f>IF(B74="","",SUMIFS(Tree!$AP:$AP,Tree!$A:$A,'Pre-Harvest Plots_rpt'!$B74,Tree!$B:$B,'Pre-Harvest Plots_rpt'!$D74,Tree!$F:$F,"L"))</f>
        <v/>
      </c>
      <c r="R74" s="123" t="str">
        <f>IF(B74="","",SUMIFS(Tree!$AQ:$AQ,Tree!$A:$A,'Pre-Harvest Plots_rpt'!$B74,Tree!$B:$B,'Pre-Harvest Plots_rpt'!$D74,Tree!$F:$F,"L"))</f>
        <v/>
      </c>
      <c r="S74" s="122" t="str">
        <f>IF(B74="","",SUMIFS(Tree!$AJ:$AJ,Tree!$A:$A,'Pre-Harvest Plots_rpt'!$B74,Tree!$B:$B,'Pre-Harvest Plots_rpt'!$D74,Tree!$F:$F,"L")-O74)</f>
        <v/>
      </c>
      <c r="T74" s="122" t="str">
        <f>IF(B74="","",SUMIFS(Tree!$AK:$AK,Tree!$A:$A,'Pre-Harvest Plots_rpt'!$B74,Tree!$B:$B,'Pre-Harvest Plots_rpt'!$D74,Tree!$F:$F,"L")-P74)</f>
        <v/>
      </c>
      <c r="U74" s="122" t="str">
        <f>IF(B74="","",SUMIFS(Tree!$AL:$AL,Tree!$A:$A,'Pre-Harvest Plots_rpt'!$B74,Tree!$B:$B,'Pre-Harvest Plots_rpt'!$D74,Tree!$F:$F,"L")-Q74)</f>
        <v/>
      </c>
      <c r="V74" s="123" t="str">
        <f>IF(B74="","",ROUND(SUMIFS(Tree!$AE:$AE,Tree!$A:$A,'Pre-Harvest Plots_rpt'!$B74,Tree!$B:$B,'Pre-Harvest Plots_rpt'!$D74,Tree!$F:$F,"L")-R74,1))</f>
        <v/>
      </c>
      <c r="W74" s="124" t="str">
        <f>IF(B74="","",SUMIFS(Tree!$AY:$AY,Tree!$A:$A,'Pre-Harvest Plots_rpt'!$B74,Tree!$B:$B,'Pre-Harvest Plots_rpt'!$D74,Tree!$F:$F,"L")/1000)</f>
        <v/>
      </c>
      <c r="X74" s="158" t="str">
        <f>IF(B74="","",ROUND((SUMIFS(Tree!$AW:$AW,Tree!$A:$A,'Pre-Harvest Plots_rpt'!$B74,Tree!$B:$B,'Pre-Harvest Plots_rpt'!$D74,Tree!$F:$F,"L")/1000)-W74,1))</f>
        <v/>
      </c>
      <c r="Y74" s="135"/>
      <c r="Z74" s="161" t="str">
        <f>IF(IF(B74="","",SUMIFS(Tree!$O:$O,Tree!$A:$A,'Pre-Harvest Plots_rpt'!$B74,Tree!$B:$B,'Pre-Harvest Plots_rpt'!$D74,Tree!$F:$F,"D"))=0,"",IF(B74="","",SUMIFS(Tree!$O:$O,Tree!$A:$A,'Pre-Harvest Plots_rpt'!$B74,Tree!$B:$B,'Pre-Harvest Plots_rpt'!$D74,Tree!$F:$F,"D")))</f>
        <v/>
      </c>
      <c r="AA74" s="125" t="str">
        <f t="shared" si="10"/>
        <v/>
      </c>
      <c r="AB74" s="125" t="str">
        <f>IF(Z74="","",SUMIFS(Tree!$R:$R,Tree!$A:$A,'Pre-Harvest Plots_rpt'!$B74,Tree!$B:$B,'Pre-Harvest Plots_rpt'!$D74,Tree!$F:$F,"D"))</f>
        <v/>
      </c>
      <c r="AC74" s="126" t="str">
        <f>IF(Z74="","",SUMIFS(Tree!$AM:$AM,Tree!$A:$A,'Pre-Harvest Plots_rpt'!$B74,Tree!$B:$B,'Pre-Harvest Plots_rpt'!$D74,Tree!$F:$F,"D"))</f>
        <v/>
      </c>
      <c r="AD74" s="162" t="str">
        <f>IF(Z74="","",SUMIFS(Tree!$AW:$AW,Tree!$A:$A,'Pre-Harvest Plots_rpt'!$B74,Tree!$B:$B,'Pre-Harvest Plots_rpt'!$D74,Tree!$F:$F,"D")/1000)</f>
        <v/>
      </c>
      <c r="AE74" s="47"/>
      <c r="AF74" s="4"/>
      <c r="AG74" s="4"/>
      <c r="AH74" s="4"/>
    </row>
    <row r="75" spans="1:34" ht="12.75" customHeight="1" x14ac:dyDescent="0.25">
      <c r="A75" s="48">
        <v>72</v>
      </c>
      <c r="B75" s="171" t="str">
        <f>IF(A75&lt;=SUM(Stand!$H$3:$H$29),VLOOKUP(A75,Stand!$A$3:$C$29,3,TRUE),"")</f>
        <v/>
      </c>
      <c r="C75" s="172" t="str">
        <f t="shared" si="9"/>
        <v/>
      </c>
      <c r="D75" s="173" t="str">
        <f>IF(B75="","",VLOOKUP(B75&amp;C75,Plot!$B$2:$D$199,3,FALSE))</f>
        <v/>
      </c>
      <c r="E75" s="130"/>
      <c r="F75" s="152" t="str">
        <f>IF(B75="","",SUMIFS(Tree!$O:$O,Tree!$A:$A,'Pre-Harvest Plots_rpt'!$B75,Tree!$B:$B,'Pre-Harvest Plots_rpt'!$D75,Tree!$F:$F,"L"))</f>
        <v/>
      </c>
      <c r="G75" s="153" t="str">
        <f>IFERROR(IF(D75="","",SUMIFS(Tree!$P:$P,Tree!$A:$A,'Pre-Harvest Plots_rpt'!$B75,Tree!$B:$B,'Pre-Harvest Plots_rpt'!$D75)/$F75),"")</f>
        <v/>
      </c>
      <c r="H75" s="122" t="str">
        <f t="shared" si="7"/>
        <v/>
      </c>
      <c r="I75" s="121" t="str">
        <f>IF(OR($F75=0,$F75=""),"",SUMIFS(Tree!$R:$R,Tree!$A:$A,'Pre-Harvest Plots_rpt'!$B75,Tree!$B:$B,'Pre-Harvest Plots_rpt'!$D75,Tree!$F:$F,"L"))</f>
        <v/>
      </c>
      <c r="J75" s="121" t="str">
        <f>IF(OR($F75=0,$F75=""),"",IF(SUMIFS(Tree!$W:$W,Tree!$A:$A,'Pre-Harvest Plots_rpt'!$B75,Tree!$B:$B,'Pre-Harvest Plots_rpt'!$D75,Tree!$F:$F,"L")=0,0,AVERAGEIFS(Tree!$W:$W,Tree!$A:$A,'Pre-Harvest Plots_rpt'!$B75,Tree!$B:$B,'Pre-Harvest Plots_rpt'!$D75,Tree!$F:$F,"L")))</f>
        <v/>
      </c>
      <c r="K75" s="121" t="str">
        <f>IF($F75="","",SUMIFS(Tree!$S:$S,Tree!$A:$A,'Pre-Harvest Plots_rpt'!$B75,Tree!$B:$B,'Pre-Harvest Plots_rpt'!$D75,Tree!$F:$F,"L"))</f>
        <v/>
      </c>
      <c r="L75" s="154" t="str">
        <f t="shared" si="8"/>
        <v/>
      </c>
      <c r="M75" s="135"/>
      <c r="N75" s="192" t="str">
        <f>IF(B75="","",SUMIFS(Tree!$AM:$AM,Tree!$A:$A,'Pre-Harvest Plots_rpt'!$B75,Tree!$B:$B,'Pre-Harvest Plots_rpt'!$D75,Tree!$F:$F,"L"))</f>
        <v/>
      </c>
      <c r="O75" s="122" t="str">
        <f>IF(B75="","",SUMIFS(Tree!$AN:$AN,Tree!$A:$A,'Pre-Harvest Plots_rpt'!$B75,Tree!$B:$B,'Pre-Harvest Plots_rpt'!$D75,Tree!$F:$F,"L"))</f>
        <v/>
      </c>
      <c r="P75" s="122" t="str">
        <f>IF(B75="","",SUMIFS(Tree!$AO:$AO,Tree!$A:$A,'Pre-Harvest Plots_rpt'!$B75,Tree!$B:$B,'Pre-Harvest Plots_rpt'!$D75,Tree!$F:$F,"L"))</f>
        <v/>
      </c>
      <c r="Q75" s="122" t="str">
        <f>IF(B75="","",SUMIFS(Tree!$AP:$AP,Tree!$A:$A,'Pre-Harvest Plots_rpt'!$B75,Tree!$B:$B,'Pre-Harvest Plots_rpt'!$D75,Tree!$F:$F,"L"))</f>
        <v/>
      </c>
      <c r="R75" s="123" t="str">
        <f>IF(B75="","",SUMIFS(Tree!$AQ:$AQ,Tree!$A:$A,'Pre-Harvest Plots_rpt'!$B75,Tree!$B:$B,'Pre-Harvest Plots_rpt'!$D75,Tree!$F:$F,"L"))</f>
        <v/>
      </c>
      <c r="S75" s="122" t="str">
        <f>IF(B75="","",SUMIFS(Tree!$AJ:$AJ,Tree!$A:$A,'Pre-Harvest Plots_rpt'!$B75,Tree!$B:$B,'Pre-Harvest Plots_rpt'!$D75,Tree!$F:$F,"L")-O75)</f>
        <v/>
      </c>
      <c r="T75" s="122" t="str">
        <f>IF(B75="","",SUMIFS(Tree!$AK:$AK,Tree!$A:$A,'Pre-Harvest Plots_rpt'!$B75,Tree!$B:$B,'Pre-Harvest Plots_rpt'!$D75,Tree!$F:$F,"L")-P75)</f>
        <v/>
      </c>
      <c r="U75" s="122" t="str">
        <f>IF(B75="","",SUMIFS(Tree!$AL:$AL,Tree!$A:$A,'Pre-Harvest Plots_rpt'!$B75,Tree!$B:$B,'Pre-Harvest Plots_rpt'!$D75,Tree!$F:$F,"L")-Q75)</f>
        <v/>
      </c>
      <c r="V75" s="123" t="str">
        <f>IF(B75="","",ROUND(SUMIFS(Tree!$AE:$AE,Tree!$A:$A,'Pre-Harvest Plots_rpt'!$B75,Tree!$B:$B,'Pre-Harvest Plots_rpt'!$D75,Tree!$F:$F,"L")-R75,1))</f>
        <v/>
      </c>
      <c r="W75" s="124" t="str">
        <f>IF(B75="","",SUMIFS(Tree!$AY:$AY,Tree!$A:$A,'Pre-Harvest Plots_rpt'!$B75,Tree!$B:$B,'Pre-Harvest Plots_rpt'!$D75,Tree!$F:$F,"L")/1000)</f>
        <v/>
      </c>
      <c r="X75" s="158" t="str">
        <f>IF(B75="","",ROUND((SUMIFS(Tree!$AW:$AW,Tree!$A:$A,'Pre-Harvest Plots_rpt'!$B75,Tree!$B:$B,'Pre-Harvest Plots_rpt'!$D75,Tree!$F:$F,"L")/1000)-W75,1))</f>
        <v/>
      </c>
      <c r="Y75" s="135"/>
      <c r="Z75" s="161" t="str">
        <f>IF(IF(B75="","",SUMIFS(Tree!$O:$O,Tree!$A:$A,'Pre-Harvest Plots_rpt'!$B75,Tree!$B:$B,'Pre-Harvest Plots_rpt'!$D75,Tree!$F:$F,"D"))=0,"",IF(B75="","",SUMIFS(Tree!$O:$O,Tree!$A:$A,'Pre-Harvest Plots_rpt'!$B75,Tree!$B:$B,'Pre-Harvest Plots_rpt'!$D75,Tree!$F:$F,"D")))</f>
        <v/>
      </c>
      <c r="AA75" s="125" t="str">
        <f t="shared" si="10"/>
        <v/>
      </c>
      <c r="AB75" s="125" t="str">
        <f>IF(Z75="","",SUMIFS(Tree!$R:$R,Tree!$A:$A,'Pre-Harvest Plots_rpt'!$B75,Tree!$B:$B,'Pre-Harvest Plots_rpt'!$D75,Tree!$F:$F,"D"))</f>
        <v/>
      </c>
      <c r="AC75" s="126" t="str">
        <f>IF(Z75="","",SUMIFS(Tree!$AM:$AM,Tree!$A:$A,'Pre-Harvest Plots_rpt'!$B75,Tree!$B:$B,'Pre-Harvest Plots_rpt'!$D75,Tree!$F:$F,"D"))</f>
        <v/>
      </c>
      <c r="AD75" s="162" t="str">
        <f>IF(Z75="","",SUMIFS(Tree!$AW:$AW,Tree!$A:$A,'Pre-Harvest Plots_rpt'!$B75,Tree!$B:$B,'Pre-Harvest Plots_rpt'!$D75,Tree!$F:$F,"D")/1000)</f>
        <v/>
      </c>
      <c r="AE75" s="47"/>
      <c r="AF75" s="4"/>
      <c r="AG75" s="4"/>
      <c r="AH75" s="4"/>
    </row>
    <row r="76" spans="1:34" ht="12.75" customHeight="1" x14ac:dyDescent="0.25">
      <c r="A76" s="48">
        <v>73</v>
      </c>
      <c r="B76" s="171" t="str">
        <f>IF(A76&lt;=SUM(Stand!$H$3:$H$29),VLOOKUP(A76,Stand!$A$3:$C$29,3,TRUE),"")</f>
        <v/>
      </c>
      <c r="C76" s="172" t="str">
        <f t="shared" si="9"/>
        <v/>
      </c>
      <c r="D76" s="173" t="str">
        <f>IF(B76="","",VLOOKUP(B76&amp;C76,Plot!$B$2:$D$199,3,FALSE))</f>
        <v/>
      </c>
      <c r="E76" s="130"/>
      <c r="F76" s="152" t="str">
        <f>IF(B76="","",SUMIFS(Tree!$O:$O,Tree!$A:$A,'Pre-Harvest Plots_rpt'!$B76,Tree!$B:$B,'Pre-Harvest Plots_rpt'!$D76,Tree!$F:$F,"L"))</f>
        <v/>
      </c>
      <c r="G76" s="153" t="str">
        <f>IFERROR(IF(D76="","",SUMIFS(Tree!$P:$P,Tree!$A:$A,'Pre-Harvest Plots_rpt'!$B76,Tree!$B:$B,'Pre-Harvest Plots_rpt'!$D76)/$F76),"")</f>
        <v/>
      </c>
      <c r="H76" s="122" t="str">
        <f t="shared" si="7"/>
        <v/>
      </c>
      <c r="I76" s="121" t="str">
        <f>IF(OR($F76=0,$F76=""),"",SUMIFS(Tree!$R:$R,Tree!$A:$A,'Pre-Harvest Plots_rpt'!$B76,Tree!$B:$B,'Pre-Harvest Plots_rpt'!$D76,Tree!$F:$F,"L"))</f>
        <v/>
      </c>
      <c r="J76" s="121" t="str">
        <f>IF(OR($F76=0,$F76=""),"",IF(SUMIFS(Tree!$W:$W,Tree!$A:$A,'Pre-Harvest Plots_rpt'!$B76,Tree!$B:$B,'Pre-Harvest Plots_rpt'!$D76,Tree!$F:$F,"L")=0,0,AVERAGEIFS(Tree!$W:$W,Tree!$A:$A,'Pre-Harvest Plots_rpt'!$B76,Tree!$B:$B,'Pre-Harvest Plots_rpt'!$D76,Tree!$F:$F,"L")))</f>
        <v/>
      </c>
      <c r="K76" s="121" t="str">
        <f>IF($F76="","",SUMIFS(Tree!$S:$S,Tree!$A:$A,'Pre-Harvest Plots_rpt'!$B76,Tree!$B:$B,'Pre-Harvest Plots_rpt'!$D76,Tree!$F:$F,"L"))</f>
        <v/>
      </c>
      <c r="L76" s="154" t="str">
        <f t="shared" si="8"/>
        <v/>
      </c>
      <c r="M76" s="135"/>
      <c r="N76" s="192" t="str">
        <f>IF(B76="","",SUMIFS(Tree!$AM:$AM,Tree!$A:$A,'Pre-Harvest Plots_rpt'!$B76,Tree!$B:$B,'Pre-Harvest Plots_rpt'!$D76,Tree!$F:$F,"L"))</f>
        <v/>
      </c>
      <c r="O76" s="122" t="str">
        <f>IF(B76="","",SUMIFS(Tree!$AN:$AN,Tree!$A:$A,'Pre-Harvest Plots_rpt'!$B76,Tree!$B:$B,'Pre-Harvest Plots_rpt'!$D76,Tree!$F:$F,"L"))</f>
        <v/>
      </c>
      <c r="P76" s="122" t="str">
        <f>IF(B76="","",SUMIFS(Tree!$AO:$AO,Tree!$A:$A,'Pre-Harvest Plots_rpt'!$B76,Tree!$B:$B,'Pre-Harvest Plots_rpt'!$D76,Tree!$F:$F,"L"))</f>
        <v/>
      </c>
      <c r="Q76" s="122" t="str">
        <f>IF(B76="","",SUMIFS(Tree!$AP:$AP,Tree!$A:$A,'Pre-Harvest Plots_rpt'!$B76,Tree!$B:$B,'Pre-Harvest Plots_rpt'!$D76,Tree!$F:$F,"L"))</f>
        <v/>
      </c>
      <c r="R76" s="123" t="str">
        <f>IF(B76="","",SUMIFS(Tree!$AQ:$AQ,Tree!$A:$A,'Pre-Harvest Plots_rpt'!$B76,Tree!$B:$B,'Pre-Harvest Plots_rpt'!$D76,Tree!$F:$F,"L"))</f>
        <v/>
      </c>
      <c r="S76" s="122" t="str">
        <f>IF(B76="","",SUMIFS(Tree!$AJ:$AJ,Tree!$A:$A,'Pre-Harvest Plots_rpt'!$B76,Tree!$B:$B,'Pre-Harvest Plots_rpt'!$D76,Tree!$F:$F,"L")-O76)</f>
        <v/>
      </c>
      <c r="T76" s="122" t="str">
        <f>IF(B76="","",SUMIFS(Tree!$AK:$AK,Tree!$A:$A,'Pre-Harvest Plots_rpt'!$B76,Tree!$B:$B,'Pre-Harvest Plots_rpt'!$D76,Tree!$F:$F,"L")-P76)</f>
        <v/>
      </c>
      <c r="U76" s="122" t="str">
        <f>IF(B76="","",SUMIFS(Tree!$AL:$AL,Tree!$A:$A,'Pre-Harvest Plots_rpt'!$B76,Tree!$B:$B,'Pre-Harvest Plots_rpt'!$D76,Tree!$F:$F,"L")-Q76)</f>
        <v/>
      </c>
      <c r="V76" s="123" t="str">
        <f>IF(B76="","",ROUND(SUMIFS(Tree!$AE:$AE,Tree!$A:$A,'Pre-Harvest Plots_rpt'!$B76,Tree!$B:$B,'Pre-Harvest Plots_rpt'!$D76,Tree!$F:$F,"L")-R76,1))</f>
        <v/>
      </c>
      <c r="W76" s="124" t="str">
        <f>IF(B76="","",SUMIFS(Tree!$AY:$AY,Tree!$A:$A,'Pre-Harvest Plots_rpt'!$B76,Tree!$B:$B,'Pre-Harvest Plots_rpt'!$D76,Tree!$F:$F,"L")/1000)</f>
        <v/>
      </c>
      <c r="X76" s="158" t="str">
        <f>IF(B76="","",ROUND((SUMIFS(Tree!$AW:$AW,Tree!$A:$A,'Pre-Harvest Plots_rpt'!$B76,Tree!$B:$B,'Pre-Harvest Plots_rpt'!$D76,Tree!$F:$F,"L")/1000)-W76,1))</f>
        <v/>
      </c>
      <c r="Y76" s="135"/>
      <c r="Z76" s="161" t="str">
        <f>IF(IF(B76="","",SUMIFS(Tree!$O:$O,Tree!$A:$A,'Pre-Harvest Plots_rpt'!$B76,Tree!$B:$B,'Pre-Harvest Plots_rpt'!$D76,Tree!$F:$F,"D"))=0,"",IF(B76="","",SUMIFS(Tree!$O:$O,Tree!$A:$A,'Pre-Harvest Plots_rpt'!$B76,Tree!$B:$B,'Pre-Harvest Plots_rpt'!$D76,Tree!$F:$F,"D")))</f>
        <v/>
      </c>
      <c r="AA76" s="125" t="str">
        <f t="shared" si="10"/>
        <v/>
      </c>
      <c r="AB76" s="125" t="str">
        <f>IF(Z76="","",SUMIFS(Tree!$R:$R,Tree!$A:$A,'Pre-Harvest Plots_rpt'!$B76,Tree!$B:$B,'Pre-Harvest Plots_rpt'!$D76,Tree!$F:$F,"D"))</f>
        <v/>
      </c>
      <c r="AC76" s="126" t="str">
        <f>IF(Z76="","",SUMIFS(Tree!$AM:$AM,Tree!$A:$A,'Pre-Harvest Plots_rpt'!$B76,Tree!$B:$B,'Pre-Harvest Plots_rpt'!$D76,Tree!$F:$F,"D"))</f>
        <v/>
      </c>
      <c r="AD76" s="162" t="str">
        <f>IF(Z76="","",SUMIFS(Tree!$AW:$AW,Tree!$A:$A,'Pre-Harvest Plots_rpt'!$B76,Tree!$B:$B,'Pre-Harvest Plots_rpt'!$D76,Tree!$F:$F,"D")/1000)</f>
        <v/>
      </c>
      <c r="AE76" s="47"/>
      <c r="AF76" s="4"/>
      <c r="AG76" s="4"/>
      <c r="AH76" s="4"/>
    </row>
    <row r="77" spans="1:34" ht="12.75" customHeight="1" x14ac:dyDescent="0.25">
      <c r="A77" s="48">
        <v>74</v>
      </c>
      <c r="B77" s="171" t="str">
        <f>IF(A77&lt;=SUM(Stand!$H$3:$H$29),VLOOKUP(A77,Stand!$A$3:$C$29,3,TRUE),"")</f>
        <v/>
      </c>
      <c r="C77" s="172" t="str">
        <f t="shared" si="9"/>
        <v/>
      </c>
      <c r="D77" s="173" t="str">
        <f>IF(B77="","",VLOOKUP(B77&amp;C77,Plot!$B$2:$D$199,3,FALSE))</f>
        <v/>
      </c>
      <c r="E77" s="130"/>
      <c r="F77" s="152" t="str">
        <f>IF(B77="","",SUMIFS(Tree!$O:$O,Tree!$A:$A,'Pre-Harvest Plots_rpt'!$B77,Tree!$B:$B,'Pre-Harvest Plots_rpt'!$D77,Tree!$F:$F,"L"))</f>
        <v/>
      </c>
      <c r="G77" s="153" t="str">
        <f>IFERROR(IF(D77="","",SUMIFS(Tree!$P:$P,Tree!$A:$A,'Pre-Harvest Plots_rpt'!$B77,Tree!$B:$B,'Pre-Harvest Plots_rpt'!$D77)/$F77),"")</f>
        <v/>
      </c>
      <c r="H77" s="122" t="str">
        <f t="shared" ref="H77:H140" si="11">IF(F77=0,"",IF(F77="","",((I77/F77)/0.005454)^0.5))</f>
        <v/>
      </c>
      <c r="I77" s="121" t="str">
        <f>IF(OR($F77=0,$F77=""),"",SUMIFS(Tree!$R:$R,Tree!$A:$A,'Pre-Harvest Plots_rpt'!$B77,Tree!$B:$B,'Pre-Harvest Plots_rpt'!$D77,Tree!$F:$F,"L"))</f>
        <v/>
      </c>
      <c r="J77" s="121" t="str">
        <f>IF(OR($F77=0,$F77=""),"",IF(SUMIFS(Tree!$W:$W,Tree!$A:$A,'Pre-Harvest Plots_rpt'!$B77,Tree!$B:$B,'Pre-Harvest Plots_rpt'!$D77,Tree!$F:$F,"L")=0,0,AVERAGEIFS(Tree!$W:$W,Tree!$A:$A,'Pre-Harvest Plots_rpt'!$B77,Tree!$B:$B,'Pre-Harvest Plots_rpt'!$D77,Tree!$F:$F,"L")))</f>
        <v/>
      </c>
      <c r="K77" s="121" t="str">
        <f>IF($F77="","",SUMIFS(Tree!$S:$S,Tree!$A:$A,'Pre-Harvest Plots_rpt'!$B77,Tree!$B:$B,'Pre-Harvest Plots_rpt'!$D77,Tree!$F:$F,"L"))</f>
        <v/>
      </c>
      <c r="L77" s="154" t="str">
        <f t="shared" ref="L77:L140" si="12">IF($F77="","",IF(D77=0,0,I77/(H77^0.5)))</f>
        <v/>
      </c>
      <c r="M77" s="135"/>
      <c r="N77" s="192" t="str">
        <f>IF(B77="","",SUMIFS(Tree!$AM:$AM,Tree!$A:$A,'Pre-Harvest Plots_rpt'!$B77,Tree!$B:$B,'Pre-Harvest Plots_rpt'!$D77,Tree!$F:$F,"L"))</f>
        <v/>
      </c>
      <c r="O77" s="122" t="str">
        <f>IF(B77="","",SUMIFS(Tree!$AN:$AN,Tree!$A:$A,'Pre-Harvest Plots_rpt'!$B77,Tree!$B:$B,'Pre-Harvest Plots_rpt'!$D77,Tree!$F:$F,"L"))</f>
        <v/>
      </c>
      <c r="P77" s="122" t="str">
        <f>IF(B77="","",SUMIFS(Tree!$AO:$AO,Tree!$A:$A,'Pre-Harvest Plots_rpt'!$B77,Tree!$B:$B,'Pre-Harvest Plots_rpt'!$D77,Tree!$F:$F,"L"))</f>
        <v/>
      </c>
      <c r="Q77" s="122" t="str">
        <f>IF(B77="","",SUMIFS(Tree!$AP:$AP,Tree!$A:$A,'Pre-Harvest Plots_rpt'!$B77,Tree!$B:$B,'Pre-Harvest Plots_rpt'!$D77,Tree!$F:$F,"L"))</f>
        <v/>
      </c>
      <c r="R77" s="123" t="str">
        <f>IF(B77="","",SUMIFS(Tree!$AQ:$AQ,Tree!$A:$A,'Pre-Harvest Plots_rpt'!$B77,Tree!$B:$B,'Pre-Harvest Plots_rpt'!$D77,Tree!$F:$F,"L"))</f>
        <v/>
      </c>
      <c r="S77" s="122" t="str">
        <f>IF(B77="","",SUMIFS(Tree!$AJ:$AJ,Tree!$A:$A,'Pre-Harvest Plots_rpt'!$B77,Tree!$B:$B,'Pre-Harvest Plots_rpt'!$D77,Tree!$F:$F,"L")-O77)</f>
        <v/>
      </c>
      <c r="T77" s="122" t="str">
        <f>IF(B77="","",SUMIFS(Tree!$AK:$AK,Tree!$A:$A,'Pre-Harvest Plots_rpt'!$B77,Tree!$B:$B,'Pre-Harvest Plots_rpt'!$D77,Tree!$F:$F,"L")-P77)</f>
        <v/>
      </c>
      <c r="U77" s="122" t="str">
        <f>IF(B77="","",SUMIFS(Tree!$AL:$AL,Tree!$A:$A,'Pre-Harvest Plots_rpt'!$B77,Tree!$B:$B,'Pre-Harvest Plots_rpt'!$D77,Tree!$F:$F,"L")-Q77)</f>
        <v/>
      </c>
      <c r="V77" s="123" t="str">
        <f>IF(B77="","",ROUND(SUMIFS(Tree!$AE:$AE,Tree!$A:$A,'Pre-Harvest Plots_rpt'!$B77,Tree!$B:$B,'Pre-Harvest Plots_rpt'!$D77,Tree!$F:$F,"L")-R77,1))</f>
        <v/>
      </c>
      <c r="W77" s="124" t="str">
        <f>IF(B77="","",SUMIFS(Tree!$AY:$AY,Tree!$A:$A,'Pre-Harvest Plots_rpt'!$B77,Tree!$B:$B,'Pre-Harvest Plots_rpt'!$D77,Tree!$F:$F,"L")/1000)</f>
        <v/>
      </c>
      <c r="X77" s="158" t="str">
        <f>IF(B77="","",ROUND((SUMIFS(Tree!$AW:$AW,Tree!$A:$A,'Pre-Harvest Plots_rpt'!$B77,Tree!$B:$B,'Pre-Harvest Plots_rpt'!$D77,Tree!$F:$F,"L")/1000)-W77,1))</f>
        <v/>
      </c>
      <c r="Y77" s="135"/>
      <c r="Z77" s="161" t="str">
        <f>IF(IF(B77="","",SUMIFS(Tree!$O:$O,Tree!$A:$A,'Pre-Harvest Plots_rpt'!$B77,Tree!$B:$B,'Pre-Harvest Plots_rpt'!$D77,Tree!$F:$F,"D"))=0,"",IF(B77="","",SUMIFS(Tree!$O:$O,Tree!$A:$A,'Pre-Harvest Plots_rpt'!$B77,Tree!$B:$B,'Pre-Harvest Plots_rpt'!$D77,Tree!$F:$F,"D")))</f>
        <v/>
      </c>
      <c r="AA77" s="125" t="str">
        <f t="shared" si="10"/>
        <v/>
      </c>
      <c r="AB77" s="125" t="str">
        <f>IF(Z77="","",SUMIFS(Tree!$R:$R,Tree!$A:$A,'Pre-Harvest Plots_rpt'!$B77,Tree!$B:$B,'Pre-Harvest Plots_rpt'!$D77,Tree!$F:$F,"D"))</f>
        <v/>
      </c>
      <c r="AC77" s="126" t="str">
        <f>IF(Z77="","",SUMIFS(Tree!$AM:$AM,Tree!$A:$A,'Pre-Harvest Plots_rpt'!$B77,Tree!$B:$B,'Pre-Harvest Plots_rpt'!$D77,Tree!$F:$F,"D"))</f>
        <v/>
      </c>
      <c r="AD77" s="162" t="str">
        <f>IF(Z77="","",SUMIFS(Tree!$AW:$AW,Tree!$A:$A,'Pre-Harvest Plots_rpt'!$B77,Tree!$B:$B,'Pre-Harvest Plots_rpt'!$D77,Tree!$F:$F,"D")/1000)</f>
        <v/>
      </c>
      <c r="AE77" s="47"/>
      <c r="AF77" s="4"/>
      <c r="AG77" s="4"/>
      <c r="AH77" s="4"/>
    </row>
    <row r="78" spans="1:34" ht="12.75" customHeight="1" x14ac:dyDescent="0.25">
      <c r="A78" s="48">
        <v>75</v>
      </c>
      <c r="B78" s="171" t="str">
        <f>IF(A78&lt;=SUM(Stand!$H$3:$H$29),VLOOKUP(A78,Stand!$A$3:$C$29,3,TRUE),"")</f>
        <v/>
      </c>
      <c r="C78" s="172" t="str">
        <f t="shared" ref="C78:C141" si="13">IF(LEN(B78)&gt;0,IF(B78=B77,C77+1,1),"")</f>
        <v/>
      </c>
      <c r="D78" s="173" t="str">
        <f>IF(B78="","",VLOOKUP(B78&amp;C78,Plot!$B$2:$D$199,3,FALSE))</f>
        <v/>
      </c>
      <c r="E78" s="130"/>
      <c r="F78" s="152" t="str">
        <f>IF(B78="","",SUMIFS(Tree!$O:$O,Tree!$A:$A,'Pre-Harvest Plots_rpt'!$B78,Tree!$B:$B,'Pre-Harvest Plots_rpt'!$D78,Tree!$F:$F,"L"))</f>
        <v/>
      </c>
      <c r="G78" s="153" t="str">
        <f>IFERROR(IF(D78="","",SUMIFS(Tree!$P:$P,Tree!$A:$A,'Pre-Harvest Plots_rpt'!$B78,Tree!$B:$B,'Pre-Harvest Plots_rpt'!$D78)/$F78),"")</f>
        <v/>
      </c>
      <c r="H78" s="122" t="str">
        <f t="shared" si="11"/>
        <v/>
      </c>
      <c r="I78" s="121" t="str">
        <f>IF(OR($F78=0,$F78=""),"",SUMIFS(Tree!$R:$R,Tree!$A:$A,'Pre-Harvest Plots_rpt'!$B78,Tree!$B:$B,'Pre-Harvest Plots_rpt'!$D78,Tree!$F:$F,"L"))</f>
        <v/>
      </c>
      <c r="J78" s="121" t="str">
        <f>IF(OR($F78=0,$F78=""),"",IF(SUMIFS(Tree!$W:$W,Tree!$A:$A,'Pre-Harvest Plots_rpt'!$B78,Tree!$B:$B,'Pre-Harvest Plots_rpt'!$D78,Tree!$F:$F,"L")=0,0,AVERAGEIFS(Tree!$W:$W,Tree!$A:$A,'Pre-Harvest Plots_rpt'!$B78,Tree!$B:$B,'Pre-Harvest Plots_rpt'!$D78,Tree!$F:$F,"L")))</f>
        <v/>
      </c>
      <c r="K78" s="121" t="str">
        <f>IF($F78="","",SUMIFS(Tree!$S:$S,Tree!$A:$A,'Pre-Harvest Plots_rpt'!$B78,Tree!$B:$B,'Pre-Harvest Plots_rpt'!$D78,Tree!$F:$F,"L"))</f>
        <v/>
      </c>
      <c r="L78" s="154" t="str">
        <f t="shared" si="12"/>
        <v/>
      </c>
      <c r="M78" s="135"/>
      <c r="N78" s="192" t="str">
        <f>IF(B78="","",SUMIFS(Tree!$AM:$AM,Tree!$A:$A,'Pre-Harvest Plots_rpt'!$B78,Tree!$B:$B,'Pre-Harvest Plots_rpt'!$D78,Tree!$F:$F,"L"))</f>
        <v/>
      </c>
      <c r="O78" s="122" t="str">
        <f>IF(B78="","",SUMIFS(Tree!$AN:$AN,Tree!$A:$A,'Pre-Harvest Plots_rpt'!$B78,Tree!$B:$B,'Pre-Harvest Plots_rpt'!$D78,Tree!$F:$F,"L"))</f>
        <v/>
      </c>
      <c r="P78" s="122" t="str">
        <f>IF(B78="","",SUMIFS(Tree!$AO:$AO,Tree!$A:$A,'Pre-Harvest Plots_rpt'!$B78,Tree!$B:$B,'Pre-Harvest Plots_rpt'!$D78,Tree!$F:$F,"L"))</f>
        <v/>
      </c>
      <c r="Q78" s="122" t="str">
        <f>IF(B78="","",SUMIFS(Tree!$AP:$AP,Tree!$A:$A,'Pre-Harvest Plots_rpt'!$B78,Tree!$B:$B,'Pre-Harvest Plots_rpt'!$D78,Tree!$F:$F,"L"))</f>
        <v/>
      </c>
      <c r="R78" s="123" t="str">
        <f>IF(B78="","",SUMIFS(Tree!$AQ:$AQ,Tree!$A:$A,'Pre-Harvest Plots_rpt'!$B78,Tree!$B:$B,'Pre-Harvest Plots_rpt'!$D78,Tree!$F:$F,"L"))</f>
        <v/>
      </c>
      <c r="S78" s="122" t="str">
        <f>IF(B78="","",SUMIFS(Tree!$AJ:$AJ,Tree!$A:$A,'Pre-Harvest Plots_rpt'!$B78,Tree!$B:$B,'Pre-Harvest Plots_rpt'!$D78,Tree!$F:$F,"L")-O78)</f>
        <v/>
      </c>
      <c r="T78" s="122" t="str">
        <f>IF(B78="","",SUMIFS(Tree!$AK:$AK,Tree!$A:$A,'Pre-Harvest Plots_rpt'!$B78,Tree!$B:$B,'Pre-Harvest Plots_rpt'!$D78,Tree!$F:$F,"L")-P78)</f>
        <v/>
      </c>
      <c r="U78" s="122" t="str">
        <f>IF(B78="","",SUMIFS(Tree!$AL:$AL,Tree!$A:$A,'Pre-Harvest Plots_rpt'!$B78,Tree!$B:$B,'Pre-Harvest Plots_rpt'!$D78,Tree!$F:$F,"L")-Q78)</f>
        <v/>
      </c>
      <c r="V78" s="123" t="str">
        <f>IF(B78="","",ROUND(SUMIFS(Tree!$AE:$AE,Tree!$A:$A,'Pre-Harvest Plots_rpt'!$B78,Tree!$B:$B,'Pre-Harvest Plots_rpt'!$D78,Tree!$F:$F,"L")-R78,1))</f>
        <v/>
      </c>
      <c r="W78" s="124" t="str">
        <f>IF(B78="","",SUMIFS(Tree!$AY:$AY,Tree!$A:$A,'Pre-Harvest Plots_rpt'!$B78,Tree!$B:$B,'Pre-Harvest Plots_rpt'!$D78,Tree!$F:$F,"L")/1000)</f>
        <v/>
      </c>
      <c r="X78" s="158" t="str">
        <f>IF(B78="","",ROUND((SUMIFS(Tree!$AW:$AW,Tree!$A:$A,'Pre-Harvest Plots_rpt'!$B78,Tree!$B:$B,'Pre-Harvest Plots_rpt'!$D78,Tree!$F:$F,"L")/1000)-W78,1))</f>
        <v/>
      </c>
      <c r="Y78" s="135"/>
      <c r="Z78" s="161" t="str">
        <f>IF(IF(B78="","",SUMIFS(Tree!$O:$O,Tree!$A:$A,'Pre-Harvest Plots_rpt'!$B78,Tree!$B:$B,'Pre-Harvest Plots_rpt'!$D78,Tree!$F:$F,"D"))=0,"",IF(B78="","",SUMIFS(Tree!$O:$O,Tree!$A:$A,'Pre-Harvest Plots_rpt'!$B78,Tree!$B:$B,'Pre-Harvest Plots_rpt'!$D78,Tree!$F:$F,"D")))</f>
        <v/>
      </c>
      <c r="AA78" s="125" t="str">
        <f t="shared" si="10"/>
        <v/>
      </c>
      <c r="AB78" s="125" t="str">
        <f>IF(Z78="","",SUMIFS(Tree!$R:$R,Tree!$A:$A,'Pre-Harvest Plots_rpt'!$B78,Tree!$B:$B,'Pre-Harvest Plots_rpt'!$D78,Tree!$F:$F,"D"))</f>
        <v/>
      </c>
      <c r="AC78" s="126" t="str">
        <f>IF(Z78="","",SUMIFS(Tree!$AM:$AM,Tree!$A:$A,'Pre-Harvest Plots_rpt'!$B78,Tree!$B:$B,'Pre-Harvest Plots_rpt'!$D78,Tree!$F:$F,"D"))</f>
        <v/>
      </c>
      <c r="AD78" s="162" t="str">
        <f>IF(Z78="","",SUMIFS(Tree!$AW:$AW,Tree!$A:$A,'Pre-Harvest Plots_rpt'!$B78,Tree!$B:$B,'Pre-Harvest Plots_rpt'!$D78,Tree!$F:$F,"D")/1000)</f>
        <v/>
      </c>
      <c r="AE78" s="47"/>
      <c r="AF78" s="4"/>
      <c r="AG78" s="4"/>
      <c r="AH78" s="4"/>
    </row>
    <row r="79" spans="1:34" ht="12.75" customHeight="1" x14ac:dyDescent="0.25">
      <c r="A79" s="48">
        <v>76</v>
      </c>
      <c r="B79" s="171" t="str">
        <f>IF(A79&lt;=SUM(Stand!$H$3:$H$29),VLOOKUP(A79,Stand!$A$3:$C$29,3,TRUE),"")</f>
        <v/>
      </c>
      <c r="C79" s="172" t="str">
        <f t="shared" si="13"/>
        <v/>
      </c>
      <c r="D79" s="173" t="str">
        <f>IF(B79="","",VLOOKUP(B79&amp;C79,Plot!$B$2:$D$199,3,FALSE))</f>
        <v/>
      </c>
      <c r="E79" s="130"/>
      <c r="F79" s="152" t="str">
        <f>IF(B79="","",SUMIFS(Tree!$O:$O,Tree!$A:$A,'Pre-Harvest Plots_rpt'!$B79,Tree!$B:$B,'Pre-Harvest Plots_rpt'!$D79,Tree!$F:$F,"L"))</f>
        <v/>
      </c>
      <c r="G79" s="153" t="str">
        <f>IFERROR(IF(D79="","",SUMIFS(Tree!$P:$P,Tree!$A:$A,'Pre-Harvest Plots_rpt'!$B79,Tree!$B:$B,'Pre-Harvest Plots_rpt'!$D79)/$F79),"")</f>
        <v/>
      </c>
      <c r="H79" s="122" t="str">
        <f t="shared" si="11"/>
        <v/>
      </c>
      <c r="I79" s="121" t="str">
        <f>IF(OR($F79=0,$F79=""),"",SUMIFS(Tree!$R:$R,Tree!$A:$A,'Pre-Harvest Plots_rpt'!$B79,Tree!$B:$B,'Pre-Harvest Plots_rpt'!$D79,Tree!$F:$F,"L"))</f>
        <v/>
      </c>
      <c r="J79" s="121" t="str">
        <f>IF(OR($F79=0,$F79=""),"",IF(SUMIFS(Tree!$W:$W,Tree!$A:$A,'Pre-Harvest Plots_rpt'!$B79,Tree!$B:$B,'Pre-Harvest Plots_rpt'!$D79,Tree!$F:$F,"L")=0,0,AVERAGEIFS(Tree!$W:$W,Tree!$A:$A,'Pre-Harvest Plots_rpt'!$B79,Tree!$B:$B,'Pre-Harvest Plots_rpt'!$D79,Tree!$F:$F,"L")))</f>
        <v/>
      </c>
      <c r="K79" s="121" t="str">
        <f>IF($F79="","",SUMIFS(Tree!$S:$S,Tree!$A:$A,'Pre-Harvest Plots_rpt'!$B79,Tree!$B:$B,'Pre-Harvest Plots_rpt'!$D79,Tree!$F:$F,"L"))</f>
        <v/>
      </c>
      <c r="L79" s="154" t="str">
        <f t="shared" si="12"/>
        <v/>
      </c>
      <c r="M79" s="135"/>
      <c r="N79" s="192" t="str">
        <f>IF(B79="","",SUMIFS(Tree!$AM:$AM,Tree!$A:$A,'Pre-Harvest Plots_rpt'!$B79,Tree!$B:$B,'Pre-Harvest Plots_rpt'!$D79,Tree!$F:$F,"L"))</f>
        <v/>
      </c>
      <c r="O79" s="122" t="str">
        <f>IF(B79="","",SUMIFS(Tree!$AN:$AN,Tree!$A:$A,'Pre-Harvest Plots_rpt'!$B79,Tree!$B:$B,'Pre-Harvest Plots_rpt'!$D79,Tree!$F:$F,"L"))</f>
        <v/>
      </c>
      <c r="P79" s="122" t="str">
        <f>IF(B79="","",SUMIFS(Tree!$AO:$AO,Tree!$A:$A,'Pre-Harvest Plots_rpt'!$B79,Tree!$B:$B,'Pre-Harvest Plots_rpt'!$D79,Tree!$F:$F,"L"))</f>
        <v/>
      </c>
      <c r="Q79" s="122" t="str">
        <f>IF(B79="","",SUMIFS(Tree!$AP:$AP,Tree!$A:$A,'Pre-Harvest Plots_rpt'!$B79,Tree!$B:$B,'Pre-Harvest Plots_rpt'!$D79,Tree!$F:$F,"L"))</f>
        <v/>
      </c>
      <c r="R79" s="123" t="str">
        <f>IF(B79="","",SUMIFS(Tree!$AQ:$AQ,Tree!$A:$A,'Pre-Harvest Plots_rpt'!$B79,Tree!$B:$B,'Pre-Harvest Plots_rpt'!$D79,Tree!$F:$F,"L"))</f>
        <v/>
      </c>
      <c r="S79" s="122" t="str">
        <f>IF(B79="","",SUMIFS(Tree!$AJ:$AJ,Tree!$A:$A,'Pre-Harvest Plots_rpt'!$B79,Tree!$B:$B,'Pre-Harvest Plots_rpt'!$D79,Tree!$F:$F,"L")-O79)</f>
        <v/>
      </c>
      <c r="T79" s="122" t="str">
        <f>IF(B79="","",SUMIFS(Tree!$AK:$AK,Tree!$A:$A,'Pre-Harvest Plots_rpt'!$B79,Tree!$B:$B,'Pre-Harvest Plots_rpt'!$D79,Tree!$F:$F,"L")-P79)</f>
        <v/>
      </c>
      <c r="U79" s="122" t="str">
        <f>IF(B79="","",SUMIFS(Tree!$AL:$AL,Tree!$A:$A,'Pre-Harvest Plots_rpt'!$B79,Tree!$B:$B,'Pre-Harvest Plots_rpt'!$D79,Tree!$F:$F,"L")-Q79)</f>
        <v/>
      </c>
      <c r="V79" s="123" t="str">
        <f>IF(B79="","",ROUND(SUMIFS(Tree!$AE:$AE,Tree!$A:$A,'Pre-Harvest Plots_rpt'!$B79,Tree!$B:$B,'Pre-Harvest Plots_rpt'!$D79,Tree!$F:$F,"L")-R79,1))</f>
        <v/>
      </c>
      <c r="W79" s="124" t="str">
        <f>IF(B79="","",SUMIFS(Tree!$AY:$AY,Tree!$A:$A,'Pre-Harvest Plots_rpt'!$B79,Tree!$B:$B,'Pre-Harvest Plots_rpt'!$D79,Tree!$F:$F,"L")/1000)</f>
        <v/>
      </c>
      <c r="X79" s="158" t="str">
        <f>IF(B79="","",ROUND((SUMIFS(Tree!$AW:$AW,Tree!$A:$A,'Pre-Harvest Plots_rpt'!$B79,Tree!$B:$B,'Pre-Harvest Plots_rpt'!$D79,Tree!$F:$F,"L")/1000)-W79,1))</f>
        <v/>
      </c>
      <c r="Y79" s="135"/>
      <c r="Z79" s="161" t="str">
        <f>IF(IF(B79="","",SUMIFS(Tree!$O:$O,Tree!$A:$A,'Pre-Harvest Plots_rpt'!$B79,Tree!$B:$B,'Pre-Harvest Plots_rpt'!$D79,Tree!$F:$F,"D"))=0,"",IF(B79="","",SUMIFS(Tree!$O:$O,Tree!$A:$A,'Pre-Harvest Plots_rpt'!$B79,Tree!$B:$B,'Pre-Harvest Plots_rpt'!$D79,Tree!$F:$F,"D")))</f>
        <v/>
      </c>
      <c r="AA79" s="125" t="str">
        <f t="shared" si="10"/>
        <v/>
      </c>
      <c r="AB79" s="125" t="str">
        <f>IF(Z79="","",SUMIFS(Tree!$R:$R,Tree!$A:$A,'Pre-Harvest Plots_rpt'!$B79,Tree!$B:$B,'Pre-Harvest Plots_rpt'!$D79,Tree!$F:$F,"D"))</f>
        <v/>
      </c>
      <c r="AC79" s="126" t="str">
        <f>IF(Z79="","",SUMIFS(Tree!$AM:$AM,Tree!$A:$A,'Pre-Harvest Plots_rpt'!$B79,Tree!$B:$B,'Pre-Harvest Plots_rpt'!$D79,Tree!$F:$F,"D"))</f>
        <v/>
      </c>
      <c r="AD79" s="162" t="str">
        <f>IF(Z79="","",SUMIFS(Tree!$AW:$AW,Tree!$A:$A,'Pre-Harvest Plots_rpt'!$B79,Tree!$B:$B,'Pre-Harvest Plots_rpt'!$D79,Tree!$F:$F,"D")/1000)</f>
        <v/>
      </c>
      <c r="AE79" s="47"/>
      <c r="AF79" s="4"/>
      <c r="AG79" s="4"/>
      <c r="AH79" s="4"/>
    </row>
    <row r="80" spans="1:34" ht="12.75" customHeight="1" x14ac:dyDescent="0.25">
      <c r="A80" s="48">
        <v>77</v>
      </c>
      <c r="B80" s="171" t="str">
        <f>IF(A80&lt;=SUM(Stand!$H$3:$H$29),VLOOKUP(A80,Stand!$A$3:$C$29,3,TRUE),"")</f>
        <v/>
      </c>
      <c r="C80" s="172" t="str">
        <f t="shared" si="13"/>
        <v/>
      </c>
      <c r="D80" s="173" t="str">
        <f>IF(B80="","",VLOOKUP(B80&amp;C80,Plot!$B$2:$D$199,3,FALSE))</f>
        <v/>
      </c>
      <c r="E80" s="130"/>
      <c r="F80" s="152" t="str">
        <f>IF(B80="","",SUMIFS(Tree!$O:$O,Tree!$A:$A,'Pre-Harvest Plots_rpt'!$B80,Tree!$B:$B,'Pre-Harvest Plots_rpt'!$D80,Tree!$F:$F,"L"))</f>
        <v/>
      </c>
      <c r="G80" s="153" t="str">
        <f>IFERROR(IF(D80="","",SUMIFS(Tree!$P:$P,Tree!$A:$A,'Pre-Harvest Plots_rpt'!$B80,Tree!$B:$B,'Pre-Harvest Plots_rpt'!$D80)/$F80),"")</f>
        <v/>
      </c>
      <c r="H80" s="122" t="str">
        <f t="shared" si="11"/>
        <v/>
      </c>
      <c r="I80" s="121" t="str">
        <f>IF(OR($F80=0,$F80=""),"",SUMIFS(Tree!$R:$R,Tree!$A:$A,'Pre-Harvest Plots_rpt'!$B80,Tree!$B:$B,'Pre-Harvest Plots_rpt'!$D80,Tree!$F:$F,"L"))</f>
        <v/>
      </c>
      <c r="J80" s="121" t="str">
        <f>IF(OR($F80=0,$F80=""),"",IF(SUMIFS(Tree!$W:$W,Tree!$A:$A,'Pre-Harvest Plots_rpt'!$B80,Tree!$B:$B,'Pre-Harvest Plots_rpt'!$D80,Tree!$F:$F,"L")=0,0,AVERAGEIFS(Tree!$W:$W,Tree!$A:$A,'Pre-Harvest Plots_rpt'!$B80,Tree!$B:$B,'Pre-Harvest Plots_rpt'!$D80,Tree!$F:$F,"L")))</f>
        <v/>
      </c>
      <c r="K80" s="121" t="str">
        <f>IF($F80="","",SUMIFS(Tree!$S:$S,Tree!$A:$A,'Pre-Harvest Plots_rpt'!$B80,Tree!$B:$B,'Pre-Harvest Plots_rpt'!$D80,Tree!$F:$F,"L"))</f>
        <v/>
      </c>
      <c r="L80" s="154" t="str">
        <f t="shared" si="12"/>
        <v/>
      </c>
      <c r="M80" s="135"/>
      <c r="N80" s="192" t="str">
        <f>IF(B80="","",SUMIFS(Tree!$AM:$AM,Tree!$A:$A,'Pre-Harvest Plots_rpt'!$B80,Tree!$B:$B,'Pre-Harvest Plots_rpt'!$D80,Tree!$F:$F,"L"))</f>
        <v/>
      </c>
      <c r="O80" s="122" t="str">
        <f>IF(B80="","",SUMIFS(Tree!$AN:$AN,Tree!$A:$A,'Pre-Harvest Plots_rpt'!$B80,Tree!$B:$B,'Pre-Harvest Plots_rpt'!$D80,Tree!$F:$F,"L"))</f>
        <v/>
      </c>
      <c r="P80" s="122" t="str">
        <f>IF(B80="","",SUMIFS(Tree!$AO:$AO,Tree!$A:$A,'Pre-Harvest Plots_rpt'!$B80,Tree!$B:$B,'Pre-Harvest Plots_rpt'!$D80,Tree!$F:$F,"L"))</f>
        <v/>
      </c>
      <c r="Q80" s="122" t="str">
        <f>IF(B80="","",SUMIFS(Tree!$AP:$AP,Tree!$A:$A,'Pre-Harvest Plots_rpt'!$B80,Tree!$B:$B,'Pre-Harvest Plots_rpt'!$D80,Tree!$F:$F,"L"))</f>
        <v/>
      </c>
      <c r="R80" s="123" t="str">
        <f>IF(B80="","",SUMIFS(Tree!$AQ:$AQ,Tree!$A:$A,'Pre-Harvest Plots_rpt'!$B80,Tree!$B:$B,'Pre-Harvest Plots_rpt'!$D80,Tree!$F:$F,"L"))</f>
        <v/>
      </c>
      <c r="S80" s="122" t="str">
        <f>IF(B80="","",SUMIFS(Tree!$AJ:$AJ,Tree!$A:$A,'Pre-Harvest Plots_rpt'!$B80,Tree!$B:$B,'Pre-Harvest Plots_rpt'!$D80,Tree!$F:$F,"L")-O80)</f>
        <v/>
      </c>
      <c r="T80" s="122" t="str">
        <f>IF(B80="","",SUMIFS(Tree!$AK:$AK,Tree!$A:$A,'Pre-Harvest Plots_rpt'!$B80,Tree!$B:$B,'Pre-Harvest Plots_rpt'!$D80,Tree!$F:$F,"L")-P80)</f>
        <v/>
      </c>
      <c r="U80" s="122" t="str">
        <f>IF(B80="","",SUMIFS(Tree!$AL:$AL,Tree!$A:$A,'Pre-Harvest Plots_rpt'!$B80,Tree!$B:$B,'Pre-Harvest Plots_rpt'!$D80,Tree!$F:$F,"L")-Q80)</f>
        <v/>
      </c>
      <c r="V80" s="123" t="str">
        <f>IF(B80="","",ROUND(SUMIFS(Tree!$AE:$AE,Tree!$A:$A,'Pre-Harvest Plots_rpt'!$B80,Tree!$B:$B,'Pre-Harvest Plots_rpt'!$D80,Tree!$F:$F,"L")-R80,1))</f>
        <v/>
      </c>
      <c r="W80" s="124" t="str">
        <f>IF(B80="","",SUMIFS(Tree!$AY:$AY,Tree!$A:$A,'Pre-Harvest Plots_rpt'!$B80,Tree!$B:$B,'Pre-Harvest Plots_rpt'!$D80,Tree!$F:$F,"L")/1000)</f>
        <v/>
      </c>
      <c r="X80" s="158" t="str">
        <f>IF(B80="","",ROUND((SUMIFS(Tree!$AW:$AW,Tree!$A:$A,'Pre-Harvest Plots_rpt'!$B80,Tree!$B:$B,'Pre-Harvest Plots_rpt'!$D80,Tree!$F:$F,"L")/1000)-W80,1))</f>
        <v/>
      </c>
      <c r="Y80" s="135"/>
      <c r="Z80" s="161" t="str">
        <f>IF(IF(B80="","",SUMIFS(Tree!$O:$O,Tree!$A:$A,'Pre-Harvest Plots_rpt'!$B80,Tree!$B:$B,'Pre-Harvest Plots_rpt'!$D80,Tree!$F:$F,"D"))=0,"",IF(B80="","",SUMIFS(Tree!$O:$O,Tree!$A:$A,'Pre-Harvest Plots_rpt'!$B80,Tree!$B:$B,'Pre-Harvest Plots_rpt'!$D80,Tree!$F:$F,"D")))</f>
        <v/>
      </c>
      <c r="AA80" s="125" t="str">
        <f t="shared" si="10"/>
        <v/>
      </c>
      <c r="AB80" s="125" t="str">
        <f>IF(Z80="","",SUMIFS(Tree!$R:$R,Tree!$A:$A,'Pre-Harvest Plots_rpt'!$B80,Tree!$B:$B,'Pre-Harvest Plots_rpt'!$D80,Tree!$F:$F,"D"))</f>
        <v/>
      </c>
      <c r="AC80" s="126" t="str">
        <f>IF(Z80="","",SUMIFS(Tree!$AM:$AM,Tree!$A:$A,'Pre-Harvest Plots_rpt'!$B80,Tree!$B:$B,'Pre-Harvest Plots_rpt'!$D80,Tree!$F:$F,"D"))</f>
        <v/>
      </c>
      <c r="AD80" s="162" t="str">
        <f>IF(Z80="","",SUMIFS(Tree!$AW:$AW,Tree!$A:$A,'Pre-Harvest Plots_rpt'!$B80,Tree!$B:$B,'Pre-Harvest Plots_rpt'!$D80,Tree!$F:$F,"D")/1000)</f>
        <v/>
      </c>
      <c r="AE80" s="47"/>
      <c r="AF80" s="4"/>
      <c r="AG80" s="4"/>
      <c r="AH80" s="4"/>
    </row>
    <row r="81" spans="1:34" ht="12.75" customHeight="1" x14ac:dyDescent="0.25">
      <c r="A81" s="48">
        <v>78</v>
      </c>
      <c r="B81" s="171" t="str">
        <f>IF(A81&lt;=SUM(Stand!$H$3:$H$29),VLOOKUP(A81,Stand!$A$3:$C$29,3,TRUE),"")</f>
        <v/>
      </c>
      <c r="C81" s="172" t="str">
        <f t="shared" si="13"/>
        <v/>
      </c>
      <c r="D81" s="173" t="str">
        <f>IF(B81="","",VLOOKUP(B81&amp;C81,Plot!$B$2:$D$199,3,FALSE))</f>
        <v/>
      </c>
      <c r="E81" s="130"/>
      <c r="F81" s="152" t="str">
        <f>IF(B81="","",SUMIFS(Tree!$O:$O,Tree!$A:$A,'Pre-Harvest Plots_rpt'!$B81,Tree!$B:$B,'Pre-Harvest Plots_rpt'!$D81,Tree!$F:$F,"L"))</f>
        <v/>
      </c>
      <c r="G81" s="153" t="str">
        <f>IFERROR(IF(D81="","",SUMIFS(Tree!$P:$P,Tree!$A:$A,'Pre-Harvest Plots_rpt'!$B81,Tree!$B:$B,'Pre-Harvest Plots_rpt'!$D81)/$F81),"")</f>
        <v/>
      </c>
      <c r="H81" s="122" t="str">
        <f t="shared" si="11"/>
        <v/>
      </c>
      <c r="I81" s="121" t="str">
        <f>IF(OR($F81=0,$F81=""),"",SUMIFS(Tree!$R:$R,Tree!$A:$A,'Pre-Harvest Plots_rpt'!$B81,Tree!$B:$B,'Pre-Harvest Plots_rpt'!$D81,Tree!$F:$F,"L"))</f>
        <v/>
      </c>
      <c r="J81" s="121" t="str">
        <f>IF(OR($F81=0,$F81=""),"",IF(SUMIFS(Tree!$W:$W,Tree!$A:$A,'Pre-Harvest Plots_rpt'!$B81,Tree!$B:$B,'Pre-Harvest Plots_rpt'!$D81,Tree!$F:$F,"L")=0,0,AVERAGEIFS(Tree!$W:$W,Tree!$A:$A,'Pre-Harvest Plots_rpt'!$B81,Tree!$B:$B,'Pre-Harvest Plots_rpt'!$D81,Tree!$F:$F,"L")))</f>
        <v/>
      </c>
      <c r="K81" s="121" t="str">
        <f>IF($F81="","",SUMIFS(Tree!$S:$S,Tree!$A:$A,'Pre-Harvest Plots_rpt'!$B81,Tree!$B:$B,'Pre-Harvest Plots_rpt'!$D81,Tree!$F:$F,"L"))</f>
        <v/>
      </c>
      <c r="L81" s="154" t="str">
        <f t="shared" si="12"/>
        <v/>
      </c>
      <c r="M81" s="135"/>
      <c r="N81" s="192" t="str">
        <f>IF(B81="","",SUMIFS(Tree!$AM:$AM,Tree!$A:$A,'Pre-Harvest Plots_rpt'!$B81,Tree!$B:$B,'Pre-Harvest Plots_rpt'!$D81,Tree!$F:$F,"L"))</f>
        <v/>
      </c>
      <c r="O81" s="122" t="str">
        <f>IF(B81="","",SUMIFS(Tree!$AN:$AN,Tree!$A:$A,'Pre-Harvest Plots_rpt'!$B81,Tree!$B:$B,'Pre-Harvest Plots_rpt'!$D81,Tree!$F:$F,"L"))</f>
        <v/>
      </c>
      <c r="P81" s="122" t="str">
        <f>IF(B81="","",SUMIFS(Tree!$AO:$AO,Tree!$A:$A,'Pre-Harvest Plots_rpt'!$B81,Tree!$B:$B,'Pre-Harvest Plots_rpt'!$D81,Tree!$F:$F,"L"))</f>
        <v/>
      </c>
      <c r="Q81" s="122" t="str">
        <f>IF(B81="","",SUMIFS(Tree!$AP:$AP,Tree!$A:$A,'Pre-Harvest Plots_rpt'!$B81,Tree!$B:$B,'Pre-Harvest Plots_rpt'!$D81,Tree!$F:$F,"L"))</f>
        <v/>
      </c>
      <c r="R81" s="123" t="str">
        <f>IF(B81="","",SUMIFS(Tree!$AQ:$AQ,Tree!$A:$A,'Pre-Harvest Plots_rpt'!$B81,Tree!$B:$B,'Pre-Harvest Plots_rpt'!$D81,Tree!$F:$F,"L"))</f>
        <v/>
      </c>
      <c r="S81" s="122" t="str">
        <f>IF(B81="","",SUMIFS(Tree!$AJ:$AJ,Tree!$A:$A,'Pre-Harvest Plots_rpt'!$B81,Tree!$B:$B,'Pre-Harvest Plots_rpt'!$D81,Tree!$F:$F,"L")-O81)</f>
        <v/>
      </c>
      <c r="T81" s="122" t="str">
        <f>IF(B81="","",SUMIFS(Tree!$AK:$AK,Tree!$A:$A,'Pre-Harvest Plots_rpt'!$B81,Tree!$B:$B,'Pre-Harvest Plots_rpt'!$D81,Tree!$F:$F,"L")-P81)</f>
        <v/>
      </c>
      <c r="U81" s="122" t="str">
        <f>IF(B81="","",SUMIFS(Tree!$AL:$AL,Tree!$A:$A,'Pre-Harvest Plots_rpt'!$B81,Tree!$B:$B,'Pre-Harvest Plots_rpt'!$D81,Tree!$F:$F,"L")-Q81)</f>
        <v/>
      </c>
      <c r="V81" s="123" t="str">
        <f>IF(B81="","",ROUND(SUMIFS(Tree!$AE:$AE,Tree!$A:$A,'Pre-Harvest Plots_rpt'!$B81,Tree!$B:$B,'Pre-Harvest Plots_rpt'!$D81,Tree!$F:$F,"L")-R81,1))</f>
        <v/>
      </c>
      <c r="W81" s="124" t="str">
        <f>IF(B81="","",SUMIFS(Tree!$AY:$AY,Tree!$A:$A,'Pre-Harvest Plots_rpt'!$B81,Tree!$B:$B,'Pre-Harvest Plots_rpt'!$D81,Tree!$F:$F,"L")/1000)</f>
        <v/>
      </c>
      <c r="X81" s="158" t="str">
        <f>IF(B81="","",ROUND((SUMIFS(Tree!$AW:$AW,Tree!$A:$A,'Pre-Harvest Plots_rpt'!$B81,Tree!$B:$B,'Pre-Harvest Plots_rpt'!$D81,Tree!$F:$F,"L")/1000)-W81,1))</f>
        <v/>
      </c>
      <c r="Y81" s="135"/>
      <c r="Z81" s="161" t="str">
        <f>IF(IF(B81="","",SUMIFS(Tree!$O:$O,Tree!$A:$A,'Pre-Harvest Plots_rpt'!$B81,Tree!$B:$B,'Pre-Harvest Plots_rpt'!$D81,Tree!$F:$F,"D"))=0,"",IF(B81="","",SUMIFS(Tree!$O:$O,Tree!$A:$A,'Pre-Harvest Plots_rpt'!$B81,Tree!$B:$B,'Pre-Harvest Plots_rpt'!$D81,Tree!$F:$F,"D")))</f>
        <v/>
      </c>
      <c r="AA81" s="125" t="str">
        <f t="shared" si="10"/>
        <v/>
      </c>
      <c r="AB81" s="125" t="str">
        <f>IF(Z81="","",SUMIFS(Tree!$R:$R,Tree!$A:$A,'Pre-Harvest Plots_rpt'!$B81,Tree!$B:$B,'Pre-Harvest Plots_rpt'!$D81,Tree!$F:$F,"D"))</f>
        <v/>
      </c>
      <c r="AC81" s="126" t="str">
        <f>IF(Z81="","",SUMIFS(Tree!$AM:$AM,Tree!$A:$A,'Pre-Harvest Plots_rpt'!$B81,Tree!$B:$B,'Pre-Harvest Plots_rpt'!$D81,Tree!$F:$F,"D"))</f>
        <v/>
      </c>
      <c r="AD81" s="162" t="str">
        <f>IF(Z81="","",SUMIFS(Tree!$AW:$AW,Tree!$A:$A,'Pre-Harvest Plots_rpt'!$B81,Tree!$B:$B,'Pre-Harvest Plots_rpt'!$D81,Tree!$F:$F,"D")/1000)</f>
        <v/>
      </c>
      <c r="AE81" s="47"/>
      <c r="AF81" s="4"/>
      <c r="AG81" s="4"/>
      <c r="AH81" s="4"/>
    </row>
    <row r="82" spans="1:34" ht="12.75" customHeight="1" x14ac:dyDescent="0.25">
      <c r="A82" s="48">
        <v>79</v>
      </c>
      <c r="B82" s="171" t="str">
        <f>IF(A82&lt;=SUM(Stand!$H$3:$H$29),VLOOKUP(A82,Stand!$A$3:$C$29,3,TRUE),"")</f>
        <v/>
      </c>
      <c r="C82" s="172" t="str">
        <f t="shared" si="13"/>
        <v/>
      </c>
      <c r="D82" s="173" t="str">
        <f>IF(B82="","",VLOOKUP(B82&amp;C82,Plot!$B$2:$D$199,3,FALSE))</f>
        <v/>
      </c>
      <c r="E82" s="130"/>
      <c r="F82" s="152" t="str">
        <f>IF(B82="","",SUMIFS(Tree!$O:$O,Tree!$A:$A,'Pre-Harvest Plots_rpt'!$B82,Tree!$B:$B,'Pre-Harvest Plots_rpt'!$D82,Tree!$F:$F,"L"))</f>
        <v/>
      </c>
      <c r="G82" s="153" t="str">
        <f>IFERROR(IF(D82="","",SUMIFS(Tree!$P:$P,Tree!$A:$A,'Pre-Harvest Plots_rpt'!$B82,Tree!$B:$B,'Pre-Harvest Plots_rpt'!$D82)/$F82),"")</f>
        <v/>
      </c>
      <c r="H82" s="122" t="str">
        <f t="shared" si="11"/>
        <v/>
      </c>
      <c r="I82" s="121" t="str">
        <f>IF(OR($F82=0,$F82=""),"",SUMIFS(Tree!$R:$R,Tree!$A:$A,'Pre-Harvest Plots_rpt'!$B82,Tree!$B:$B,'Pre-Harvest Plots_rpt'!$D82,Tree!$F:$F,"L"))</f>
        <v/>
      </c>
      <c r="J82" s="121" t="str">
        <f>IF(OR($F82=0,$F82=""),"",IF(SUMIFS(Tree!$W:$W,Tree!$A:$A,'Pre-Harvest Plots_rpt'!$B82,Tree!$B:$B,'Pre-Harvest Plots_rpt'!$D82,Tree!$F:$F,"L")=0,0,AVERAGEIFS(Tree!$W:$W,Tree!$A:$A,'Pre-Harvest Plots_rpt'!$B82,Tree!$B:$B,'Pre-Harvest Plots_rpt'!$D82,Tree!$F:$F,"L")))</f>
        <v/>
      </c>
      <c r="K82" s="121" t="str">
        <f>IF($F82="","",SUMIFS(Tree!$S:$S,Tree!$A:$A,'Pre-Harvest Plots_rpt'!$B82,Tree!$B:$B,'Pre-Harvest Plots_rpt'!$D82,Tree!$F:$F,"L"))</f>
        <v/>
      </c>
      <c r="L82" s="154" t="str">
        <f t="shared" si="12"/>
        <v/>
      </c>
      <c r="M82" s="135"/>
      <c r="N82" s="192" t="str">
        <f>IF(B82="","",SUMIFS(Tree!$AM:$AM,Tree!$A:$A,'Pre-Harvest Plots_rpt'!$B82,Tree!$B:$B,'Pre-Harvest Plots_rpt'!$D82,Tree!$F:$F,"L"))</f>
        <v/>
      </c>
      <c r="O82" s="122" t="str">
        <f>IF(B82="","",SUMIFS(Tree!$AN:$AN,Tree!$A:$A,'Pre-Harvest Plots_rpt'!$B82,Tree!$B:$B,'Pre-Harvest Plots_rpt'!$D82,Tree!$F:$F,"L"))</f>
        <v/>
      </c>
      <c r="P82" s="122" t="str">
        <f>IF(B82="","",SUMIFS(Tree!$AO:$AO,Tree!$A:$A,'Pre-Harvest Plots_rpt'!$B82,Tree!$B:$B,'Pre-Harvest Plots_rpt'!$D82,Tree!$F:$F,"L"))</f>
        <v/>
      </c>
      <c r="Q82" s="122" t="str">
        <f>IF(B82="","",SUMIFS(Tree!$AP:$AP,Tree!$A:$A,'Pre-Harvest Plots_rpt'!$B82,Tree!$B:$B,'Pre-Harvest Plots_rpt'!$D82,Tree!$F:$F,"L"))</f>
        <v/>
      </c>
      <c r="R82" s="123" t="str">
        <f>IF(B82="","",SUMIFS(Tree!$AQ:$AQ,Tree!$A:$A,'Pre-Harvest Plots_rpt'!$B82,Tree!$B:$B,'Pre-Harvest Plots_rpt'!$D82,Tree!$F:$F,"L"))</f>
        <v/>
      </c>
      <c r="S82" s="122" t="str">
        <f>IF(B82="","",SUMIFS(Tree!$AJ:$AJ,Tree!$A:$A,'Pre-Harvest Plots_rpt'!$B82,Tree!$B:$B,'Pre-Harvest Plots_rpt'!$D82,Tree!$F:$F,"L")-O82)</f>
        <v/>
      </c>
      <c r="T82" s="122" t="str">
        <f>IF(B82="","",SUMIFS(Tree!$AK:$AK,Tree!$A:$A,'Pre-Harvest Plots_rpt'!$B82,Tree!$B:$B,'Pre-Harvest Plots_rpt'!$D82,Tree!$F:$F,"L")-P82)</f>
        <v/>
      </c>
      <c r="U82" s="122" t="str">
        <f>IF(B82="","",SUMIFS(Tree!$AL:$AL,Tree!$A:$A,'Pre-Harvest Plots_rpt'!$B82,Tree!$B:$B,'Pre-Harvest Plots_rpt'!$D82,Tree!$F:$F,"L")-Q82)</f>
        <v/>
      </c>
      <c r="V82" s="123" t="str">
        <f>IF(B82="","",ROUND(SUMIFS(Tree!$AE:$AE,Tree!$A:$A,'Pre-Harvest Plots_rpt'!$B82,Tree!$B:$B,'Pre-Harvest Plots_rpt'!$D82,Tree!$F:$F,"L")-R82,1))</f>
        <v/>
      </c>
      <c r="W82" s="124" t="str">
        <f>IF(B82="","",SUMIFS(Tree!$AY:$AY,Tree!$A:$A,'Pre-Harvest Plots_rpt'!$B82,Tree!$B:$B,'Pre-Harvest Plots_rpt'!$D82,Tree!$F:$F,"L")/1000)</f>
        <v/>
      </c>
      <c r="X82" s="158" t="str">
        <f>IF(B82="","",ROUND((SUMIFS(Tree!$AW:$AW,Tree!$A:$A,'Pre-Harvest Plots_rpt'!$B82,Tree!$B:$B,'Pre-Harvest Plots_rpt'!$D82,Tree!$F:$F,"L")/1000)-W82,1))</f>
        <v/>
      </c>
      <c r="Y82" s="135"/>
      <c r="Z82" s="161" t="str">
        <f>IF(IF(B82="","",SUMIFS(Tree!$O:$O,Tree!$A:$A,'Pre-Harvest Plots_rpt'!$B82,Tree!$B:$B,'Pre-Harvest Plots_rpt'!$D82,Tree!$F:$F,"D"))=0,"",IF(B82="","",SUMIFS(Tree!$O:$O,Tree!$A:$A,'Pre-Harvest Plots_rpt'!$B82,Tree!$B:$B,'Pre-Harvest Plots_rpt'!$D82,Tree!$F:$F,"D")))</f>
        <v/>
      </c>
      <c r="AA82" s="125" t="str">
        <f t="shared" si="10"/>
        <v/>
      </c>
      <c r="AB82" s="125" t="str">
        <f>IF(Z82="","",SUMIFS(Tree!$R:$R,Tree!$A:$A,'Pre-Harvest Plots_rpt'!$B82,Tree!$B:$B,'Pre-Harvest Plots_rpt'!$D82,Tree!$F:$F,"D"))</f>
        <v/>
      </c>
      <c r="AC82" s="126" t="str">
        <f>IF(Z82="","",SUMIFS(Tree!$AM:$AM,Tree!$A:$A,'Pre-Harvest Plots_rpt'!$B82,Tree!$B:$B,'Pre-Harvest Plots_rpt'!$D82,Tree!$F:$F,"D"))</f>
        <v/>
      </c>
      <c r="AD82" s="162" t="str">
        <f>IF(Z82="","",SUMIFS(Tree!$AW:$AW,Tree!$A:$A,'Pre-Harvest Plots_rpt'!$B82,Tree!$B:$B,'Pre-Harvest Plots_rpt'!$D82,Tree!$F:$F,"D")/1000)</f>
        <v/>
      </c>
      <c r="AE82" s="47"/>
      <c r="AF82" s="4"/>
      <c r="AG82" s="4"/>
      <c r="AH82" s="4"/>
    </row>
    <row r="83" spans="1:34" ht="12.75" customHeight="1" x14ac:dyDescent="0.25">
      <c r="A83" s="48">
        <v>80</v>
      </c>
      <c r="B83" s="171" t="str">
        <f>IF(A83&lt;=SUM(Stand!$H$3:$H$29),VLOOKUP(A83,Stand!$A$3:$C$29,3,TRUE),"")</f>
        <v/>
      </c>
      <c r="C83" s="172" t="str">
        <f t="shared" si="13"/>
        <v/>
      </c>
      <c r="D83" s="173" t="str">
        <f>IF(B83="","",VLOOKUP(B83&amp;C83,Plot!$B$2:$D$199,3,FALSE))</f>
        <v/>
      </c>
      <c r="E83" s="130"/>
      <c r="F83" s="152" t="str">
        <f>IF(B83="","",SUMIFS(Tree!$O:$O,Tree!$A:$A,'Pre-Harvest Plots_rpt'!$B83,Tree!$B:$B,'Pre-Harvest Plots_rpt'!$D83,Tree!$F:$F,"L"))</f>
        <v/>
      </c>
      <c r="G83" s="153" t="str">
        <f>IFERROR(IF(D83="","",SUMIFS(Tree!$P:$P,Tree!$A:$A,'Pre-Harvest Plots_rpt'!$B83,Tree!$B:$B,'Pre-Harvest Plots_rpt'!$D83)/$F83),"")</f>
        <v/>
      </c>
      <c r="H83" s="122" t="str">
        <f t="shared" si="11"/>
        <v/>
      </c>
      <c r="I83" s="121" t="str">
        <f>IF(OR($F83=0,$F83=""),"",SUMIFS(Tree!$R:$R,Tree!$A:$A,'Pre-Harvest Plots_rpt'!$B83,Tree!$B:$B,'Pre-Harvest Plots_rpt'!$D83,Tree!$F:$F,"L"))</f>
        <v/>
      </c>
      <c r="J83" s="121" t="str">
        <f>IF(OR($F83=0,$F83=""),"",IF(SUMIFS(Tree!$W:$W,Tree!$A:$A,'Pre-Harvest Plots_rpt'!$B83,Tree!$B:$B,'Pre-Harvest Plots_rpt'!$D83,Tree!$F:$F,"L")=0,0,AVERAGEIFS(Tree!$W:$W,Tree!$A:$A,'Pre-Harvest Plots_rpt'!$B83,Tree!$B:$B,'Pre-Harvest Plots_rpt'!$D83,Tree!$F:$F,"L")))</f>
        <v/>
      </c>
      <c r="K83" s="121" t="str">
        <f>IF($F83="","",SUMIFS(Tree!$S:$S,Tree!$A:$A,'Pre-Harvest Plots_rpt'!$B83,Tree!$B:$B,'Pre-Harvest Plots_rpt'!$D83,Tree!$F:$F,"L"))</f>
        <v/>
      </c>
      <c r="L83" s="154" t="str">
        <f t="shared" si="12"/>
        <v/>
      </c>
      <c r="M83" s="135"/>
      <c r="N83" s="192" t="str">
        <f>IF(B83="","",SUMIFS(Tree!$AM:$AM,Tree!$A:$A,'Pre-Harvest Plots_rpt'!$B83,Tree!$B:$B,'Pre-Harvest Plots_rpt'!$D83,Tree!$F:$F,"L"))</f>
        <v/>
      </c>
      <c r="O83" s="122" t="str">
        <f>IF(B83="","",SUMIFS(Tree!$AN:$AN,Tree!$A:$A,'Pre-Harvest Plots_rpt'!$B83,Tree!$B:$B,'Pre-Harvest Plots_rpt'!$D83,Tree!$F:$F,"L"))</f>
        <v/>
      </c>
      <c r="P83" s="122" t="str">
        <f>IF(B83="","",SUMIFS(Tree!$AO:$AO,Tree!$A:$A,'Pre-Harvest Plots_rpt'!$B83,Tree!$B:$B,'Pre-Harvest Plots_rpt'!$D83,Tree!$F:$F,"L"))</f>
        <v/>
      </c>
      <c r="Q83" s="122" t="str">
        <f>IF(B83="","",SUMIFS(Tree!$AP:$AP,Tree!$A:$A,'Pre-Harvest Plots_rpt'!$B83,Tree!$B:$B,'Pre-Harvest Plots_rpt'!$D83,Tree!$F:$F,"L"))</f>
        <v/>
      </c>
      <c r="R83" s="123" t="str">
        <f>IF(B83="","",SUMIFS(Tree!$AQ:$AQ,Tree!$A:$A,'Pre-Harvest Plots_rpt'!$B83,Tree!$B:$B,'Pre-Harvest Plots_rpt'!$D83,Tree!$F:$F,"L"))</f>
        <v/>
      </c>
      <c r="S83" s="122" t="str">
        <f>IF(B83="","",SUMIFS(Tree!$AJ:$AJ,Tree!$A:$A,'Pre-Harvest Plots_rpt'!$B83,Tree!$B:$B,'Pre-Harvest Plots_rpt'!$D83,Tree!$F:$F,"L")-O83)</f>
        <v/>
      </c>
      <c r="T83" s="122" t="str">
        <f>IF(B83="","",SUMIFS(Tree!$AK:$AK,Tree!$A:$A,'Pre-Harvest Plots_rpt'!$B83,Tree!$B:$B,'Pre-Harvest Plots_rpt'!$D83,Tree!$F:$F,"L")-P83)</f>
        <v/>
      </c>
      <c r="U83" s="122" t="str">
        <f>IF(B83="","",SUMIFS(Tree!$AL:$AL,Tree!$A:$A,'Pre-Harvest Plots_rpt'!$B83,Tree!$B:$B,'Pre-Harvest Plots_rpt'!$D83,Tree!$F:$F,"L")-Q83)</f>
        <v/>
      </c>
      <c r="V83" s="123" t="str">
        <f>IF(B83="","",ROUND(SUMIFS(Tree!$AE:$AE,Tree!$A:$A,'Pre-Harvest Plots_rpt'!$B83,Tree!$B:$B,'Pre-Harvest Plots_rpt'!$D83,Tree!$F:$F,"L")-R83,1))</f>
        <v/>
      </c>
      <c r="W83" s="124" t="str">
        <f>IF(B83="","",SUMIFS(Tree!$AY:$AY,Tree!$A:$A,'Pre-Harvest Plots_rpt'!$B83,Tree!$B:$B,'Pre-Harvest Plots_rpt'!$D83,Tree!$F:$F,"L")/1000)</f>
        <v/>
      </c>
      <c r="X83" s="158" t="str">
        <f>IF(B83="","",ROUND((SUMIFS(Tree!$AW:$AW,Tree!$A:$A,'Pre-Harvest Plots_rpt'!$B83,Tree!$B:$B,'Pre-Harvest Plots_rpt'!$D83,Tree!$F:$F,"L")/1000)-W83,1))</f>
        <v/>
      </c>
      <c r="Y83" s="135"/>
      <c r="Z83" s="161" t="str">
        <f>IF(IF(B83="","",SUMIFS(Tree!$O:$O,Tree!$A:$A,'Pre-Harvest Plots_rpt'!$B83,Tree!$B:$B,'Pre-Harvest Plots_rpt'!$D83,Tree!$F:$F,"D"))=0,"",IF(B83="","",SUMIFS(Tree!$O:$O,Tree!$A:$A,'Pre-Harvest Plots_rpt'!$B83,Tree!$B:$B,'Pre-Harvest Plots_rpt'!$D83,Tree!$F:$F,"D")))</f>
        <v/>
      </c>
      <c r="AA83" s="125" t="str">
        <f t="shared" si="10"/>
        <v/>
      </c>
      <c r="AB83" s="125" t="str">
        <f>IF(Z83="","",SUMIFS(Tree!$R:$R,Tree!$A:$A,'Pre-Harvest Plots_rpt'!$B83,Tree!$B:$B,'Pre-Harvest Plots_rpt'!$D83,Tree!$F:$F,"D"))</f>
        <v/>
      </c>
      <c r="AC83" s="126" t="str">
        <f>IF(Z83="","",SUMIFS(Tree!$AM:$AM,Tree!$A:$A,'Pre-Harvest Plots_rpt'!$B83,Tree!$B:$B,'Pre-Harvest Plots_rpt'!$D83,Tree!$F:$F,"D"))</f>
        <v/>
      </c>
      <c r="AD83" s="162" t="str">
        <f>IF(Z83="","",SUMIFS(Tree!$AW:$AW,Tree!$A:$A,'Pre-Harvest Plots_rpt'!$B83,Tree!$B:$B,'Pre-Harvest Plots_rpt'!$D83,Tree!$F:$F,"D")/1000)</f>
        <v/>
      </c>
      <c r="AE83" s="47"/>
      <c r="AF83" s="4"/>
      <c r="AG83" s="4"/>
      <c r="AH83" s="4"/>
    </row>
    <row r="84" spans="1:34" ht="12.75" customHeight="1" x14ac:dyDescent="0.25">
      <c r="A84" s="48">
        <v>81</v>
      </c>
      <c r="B84" s="171" t="str">
        <f>IF(A84&lt;=SUM(Stand!$H$3:$H$29),VLOOKUP(A84,Stand!$A$3:$C$29,3,TRUE),"")</f>
        <v/>
      </c>
      <c r="C84" s="172" t="str">
        <f t="shared" si="13"/>
        <v/>
      </c>
      <c r="D84" s="173" t="str">
        <f>IF(B84="","",VLOOKUP(B84&amp;C84,Plot!$B$2:$D$199,3,FALSE))</f>
        <v/>
      </c>
      <c r="E84" s="130"/>
      <c r="F84" s="152" t="str">
        <f>IF(B84="","",SUMIFS(Tree!$O:$O,Tree!$A:$A,'Pre-Harvest Plots_rpt'!$B84,Tree!$B:$B,'Pre-Harvest Plots_rpt'!$D84,Tree!$F:$F,"L"))</f>
        <v/>
      </c>
      <c r="G84" s="153" t="str">
        <f>IFERROR(IF(D84="","",SUMIFS(Tree!$P:$P,Tree!$A:$A,'Pre-Harvest Plots_rpt'!$B84,Tree!$B:$B,'Pre-Harvest Plots_rpt'!$D84)/$F84),"")</f>
        <v/>
      </c>
      <c r="H84" s="122" t="str">
        <f t="shared" si="11"/>
        <v/>
      </c>
      <c r="I84" s="121" t="str">
        <f>IF(OR($F84=0,$F84=""),"",SUMIFS(Tree!$R:$R,Tree!$A:$A,'Pre-Harvest Plots_rpt'!$B84,Tree!$B:$B,'Pre-Harvest Plots_rpt'!$D84,Tree!$F:$F,"L"))</f>
        <v/>
      </c>
      <c r="J84" s="121" t="str">
        <f>IF(OR($F84=0,$F84=""),"",IF(SUMIFS(Tree!$W:$W,Tree!$A:$A,'Pre-Harvest Plots_rpt'!$B84,Tree!$B:$B,'Pre-Harvest Plots_rpt'!$D84,Tree!$F:$F,"L")=0,0,AVERAGEIFS(Tree!$W:$W,Tree!$A:$A,'Pre-Harvest Plots_rpt'!$B84,Tree!$B:$B,'Pre-Harvest Plots_rpt'!$D84,Tree!$F:$F,"L")))</f>
        <v/>
      </c>
      <c r="K84" s="121" t="str">
        <f>IF($F84="","",SUMIFS(Tree!$S:$S,Tree!$A:$A,'Pre-Harvest Plots_rpt'!$B84,Tree!$B:$B,'Pre-Harvest Plots_rpt'!$D84,Tree!$F:$F,"L"))</f>
        <v/>
      </c>
      <c r="L84" s="154" t="str">
        <f t="shared" si="12"/>
        <v/>
      </c>
      <c r="M84" s="135"/>
      <c r="N84" s="192" t="str">
        <f>IF(B84="","",SUMIFS(Tree!$AM:$AM,Tree!$A:$A,'Pre-Harvest Plots_rpt'!$B84,Tree!$B:$B,'Pre-Harvest Plots_rpt'!$D84,Tree!$F:$F,"L"))</f>
        <v/>
      </c>
      <c r="O84" s="122" t="str">
        <f>IF(B84="","",SUMIFS(Tree!$AN:$AN,Tree!$A:$A,'Pre-Harvest Plots_rpt'!$B84,Tree!$B:$B,'Pre-Harvest Plots_rpt'!$D84,Tree!$F:$F,"L"))</f>
        <v/>
      </c>
      <c r="P84" s="122" t="str">
        <f>IF(B84="","",SUMIFS(Tree!$AO:$AO,Tree!$A:$A,'Pre-Harvest Plots_rpt'!$B84,Tree!$B:$B,'Pre-Harvest Plots_rpt'!$D84,Tree!$F:$F,"L"))</f>
        <v/>
      </c>
      <c r="Q84" s="122" t="str">
        <f>IF(B84="","",SUMIFS(Tree!$AP:$AP,Tree!$A:$A,'Pre-Harvest Plots_rpt'!$B84,Tree!$B:$B,'Pre-Harvest Plots_rpt'!$D84,Tree!$F:$F,"L"))</f>
        <v/>
      </c>
      <c r="R84" s="123" t="str">
        <f>IF(B84="","",SUMIFS(Tree!$AQ:$AQ,Tree!$A:$A,'Pre-Harvest Plots_rpt'!$B84,Tree!$B:$B,'Pre-Harvest Plots_rpt'!$D84,Tree!$F:$F,"L"))</f>
        <v/>
      </c>
      <c r="S84" s="122" t="str">
        <f>IF(B84="","",SUMIFS(Tree!$AJ:$AJ,Tree!$A:$A,'Pre-Harvest Plots_rpt'!$B84,Tree!$B:$B,'Pre-Harvest Plots_rpt'!$D84,Tree!$F:$F,"L")-O84)</f>
        <v/>
      </c>
      <c r="T84" s="122" t="str">
        <f>IF(B84="","",SUMIFS(Tree!$AK:$AK,Tree!$A:$A,'Pre-Harvest Plots_rpt'!$B84,Tree!$B:$B,'Pre-Harvest Plots_rpt'!$D84,Tree!$F:$F,"L")-P84)</f>
        <v/>
      </c>
      <c r="U84" s="122" t="str">
        <f>IF(B84="","",SUMIFS(Tree!$AL:$AL,Tree!$A:$A,'Pre-Harvest Plots_rpt'!$B84,Tree!$B:$B,'Pre-Harvest Plots_rpt'!$D84,Tree!$F:$F,"L")-Q84)</f>
        <v/>
      </c>
      <c r="V84" s="123" t="str">
        <f>IF(B84="","",ROUND(SUMIFS(Tree!$AE:$AE,Tree!$A:$A,'Pre-Harvest Plots_rpt'!$B84,Tree!$B:$B,'Pre-Harvest Plots_rpt'!$D84,Tree!$F:$F,"L")-R84,1))</f>
        <v/>
      </c>
      <c r="W84" s="124" t="str">
        <f>IF(B84="","",SUMIFS(Tree!$AY:$AY,Tree!$A:$A,'Pre-Harvest Plots_rpt'!$B84,Tree!$B:$B,'Pre-Harvest Plots_rpt'!$D84,Tree!$F:$F,"L")/1000)</f>
        <v/>
      </c>
      <c r="X84" s="158" t="str">
        <f>IF(B84="","",ROUND((SUMIFS(Tree!$AW:$AW,Tree!$A:$A,'Pre-Harvest Plots_rpt'!$B84,Tree!$B:$B,'Pre-Harvest Plots_rpt'!$D84,Tree!$F:$F,"L")/1000)-W84,1))</f>
        <v/>
      </c>
      <c r="Y84" s="135"/>
      <c r="Z84" s="161" t="str">
        <f>IF(IF(B84="","",SUMIFS(Tree!$O:$O,Tree!$A:$A,'Pre-Harvest Plots_rpt'!$B84,Tree!$B:$B,'Pre-Harvest Plots_rpt'!$D84,Tree!$F:$F,"D"))=0,"",IF(B84="","",SUMIFS(Tree!$O:$O,Tree!$A:$A,'Pre-Harvest Plots_rpt'!$B84,Tree!$B:$B,'Pre-Harvest Plots_rpt'!$D84,Tree!$F:$F,"D")))</f>
        <v/>
      </c>
      <c r="AA84" s="125" t="str">
        <f t="shared" si="10"/>
        <v/>
      </c>
      <c r="AB84" s="125" t="str">
        <f>IF(Z84="","",SUMIFS(Tree!$R:$R,Tree!$A:$A,'Pre-Harvest Plots_rpt'!$B84,Tree!$B:$B,'Pre-Harvest Plots_rpt'!$D84,Tree!$F:$F,"D"))</f>
        <v/>
      </c>
      <c r="AC84" s="126" t="str">
        <f>IF(Z84="","",SUMIFS(Tree!$AM:$AM,Tree!$A:$A,'Pre-Harvest Plots_rpt'!$B84,Tree!$B:$B,'Pre-Harvest Plots_rpt'!$D84,Tree!$F:$F,"D"))</f>
        <v/>
      </c>
      <c r="AD84" s="162" t="str">
        <f>IF(Z84="","",SUMIFS(Tree!$AW:$AW,Tree!$A:$A,'Pre-Harvest Plots_rpt'!$B84,Tree!$B:$B,'Pre-Harvest Plots_rpt'!$D84,Tree!$F:$F,"D")/1000)</f>
        <v/>
      </c>
      <c r="AE84" s="47"/>
      <c r="AF84" s="4"/>
      <c r="AG84" s="4"/>
      <c r="AH84" s="4"/>
    </row>
    <row r="85" spans="1:34" ht="12.75" customHeight="1" x14ac:dyDescent="0.25">
      <c r="A85" s="48">
        <v>82</v>
      </c>
      <c r="B85" s="171" t="str">
        <f>IF(A85&lt;=SUM(Stand!$H$3:$H$29),VLOOKUP(A85,Stand!$A$3:$C$29,3,TRUE),"")</f>
        <v/>
      </c>
      <c r="C85" s="172" t="str">
        <f t="shared" si="13"/>
        <v/>
      </c>
      <c r="D85" s="173" t="str">
        <f>IF(B85="","",VLOOKUP(B85&amp;C85,Plot!$B$2:$D$199,3,FALSE))</f>
        <v/>
      </c>
      <c r="E85" s="130"/>
      <c r="F85" s="152" t="str">
        <f>IF(B85="","",SUMIFS(Tree!$O:$O,Tree!$A:$A,'Pre-Harvest Plots_rpt'!$B85,Tree!$B:$B,'Pre-Harvest Plots_rpt'!$D85,Tree!$F:$F,"L"))</f>
        <v/>
      </c>
      <c r="G85" s="153" t="str">
        <f>IFERROR(IF(D85="","",SUMIFS(Tree!$P:$P,Tree!$A:$A,'Pre-Harvest Plots_rpt'!$B85,Tree!$B:$B,'Pre-Harvest Plots_rpt'!$D85)/$F85),"")</f>
        <v/>
      </c>
      <c r="H85" s="122" t="str">
        <f t="shared" si="11"/>
        <v/>
      </c>
      <c r="I85" s="121" t="str">
        <f>IF(OR($F85=0,$F85=""),"",SUMIFS(Tree!$R:$R,Tree!$A:$A,'Pre-Harvest Plots_rpt'!$B85,Tree!$B:$B,'Pre-Harvest Plots_rpt'!$D85,Tree!$F:$F,"L"))</f>
        <v/>
      </c>
      <c r="J85" s="121" t="str">
        <f>IF(OR($F85=0,$F85=""),"",IF(SUMIFS(Tree!$W:$W,Tree!$A:$A,'Pre-Harvest Plots_rpt'!$B85,Tree!$B:$B,'Pre-Harvest Plots_rpt'!$D85,Tree!$F:$F,"L")=0,0,AVERAGEIFS(Tree!$W:$W,Tree!$A:$A,'Pre-Harvest Plots_rpt'!$B85,Tree!$B:$B,'Pre-Harvest Plots_rpt'!$D85,Tree!$F:$F,"L")))</f>
        <v/>
      </c>
      <c r="K85" s="121" t="str">
        <f>IF($F85="","",SUMIFS(Tree!$S:$S,Tree!$A:$A,'Pre-Harvest Plots_rpt'!$B85,Tree!$B:$B,'Pre-Harvest Plots_rpt'!$D85,Tree!$F:$F,"L"))</f>
        <v/>
      </c>
      <c r="L85" s="154" t="str">
        <f t="shared" si="12"/>
        <v/>
      </c>
      <c r="M85" s="135"/>
      <c r="N85" s="192" t="str">
        <f>IF(B85="","",SUMIFS(Tree!$AM:$AM,Tree!$A:$A,'Pre-Harvest Plots_rpt'!$B85,Tree!$B:$B,'Pre-Harvest Plots_rpt'!$D85,Tree!$F:$F,"L"))</f>
        <v/>
      </c>
      <c r="O85" s="122" t="str">
        <f>IF(B85="","",SUMIFS(Tree!$AN:$AN,Tree!$A:$A,'Pre-Harvest Plots_rpt'!$B85,Tree!$B:$B,'Pre-Harvest Plots_rpt'!$D85,Tree!$F:$F,"L"))</f>
        <v/>
      </c>
      <c r="P85" s="122" t="str">
        <f>IF(B85="","",SUMIFS(Tree!$AO:$AO,Tree!$A:$A,'Pre-Harvest Plots_rpt'!$B85,Tree!$B:$B,'Pre-Harvest Plots_rpt'!$D85,Tree!$F:$F,"L"))</f>
        <v/>
      </c>
      <c r="Q85" s="122" t="str">
        <f>IF(B85="","",SUMIFS(Tree!$AP:$AP,Tree!$A:$A,'Pre-Harvest Plots_rpt'!$B85,Tree!$B:$B,'Pre-Harvest Plots_rpt'!$D85,Tree!$F:$F,"L"))</f>
        <v/>
      </c>
      <c r="R85" s="123" t="str">
        <f>IF(B85="","",SUMIFS(Tree!$AQ:$AQ,Tree!$A:$A,'Pre-Harvest Plots_rpt'!$B85,Tree!$B:$B,'Pre-Harvest Plots_rpt'!$D85,Tree!$F:$F,"L"))</f>
        <v/>
      </c>
      <c r="S85" s="122" t="str">
        <f>IF(B85="","",SUMIFS(Tree!$AJ:$AJ,Tree!$A:$A,'Pre-Harvest Plots_rpt'!$B85,Tree!$B:$B,'Pre-Harvest Plots_rpt'!$D85,Tree!$F:$F,"L")-O85)</f>
        <v/>
      </c>
      <c r="T85" s="122" t="str">
        <f>IF(B85="","",SUMIFS(Tree!$AK:$AK,Tree!$A:$A,'Pre-Harvest Plots_rpt'!$B85,Tree!$B:$B,'Pre-Harvest Plots_rpt'!$D85,Tree!$F:$F,"L")-P85)</f>
        <v/>
      </c>
      <c r="U85" s="122" t="str">
        <f>IF(B85="","",SUMIFS(Tree!$AL:$AL,Tree!$A:$A,'Pre-Harvest Plots_rpt'!$B85,Tree!$B:$B,'Pre-Harvest Plots_rpt'!$D85,Tree!$F:$F,"L")-Q85)</f>
        <v/>
      </c>
      <c r="V85" s="123" t="str">
        <f>IF(B85="","",ROUND(SUMIFS(Tree!$AE:$AE,Tree!$A:$A,'Pre-Harvest Plots_rpt'!$B85,Tree!$B:$B,'Pre-Harvest Plots_rpt'!$D85,Tree!$F:$F,"L")-R85,1))</f>
        <v/>
      </c>
      <c r="W85" s="124" t="str">
        <f>IF(B85="","",SUMIFS(Tree!$AY:$AY,Tree!$A:$A,'Pre-Harvest Plots_rpt'!$B85,Tree!$B:$B,'Pre-Harvest Plots_rpt'!$D85,Tree!$F:$F,"L")/1000)</f>
        <v/>
      </c>
      <c r="X85" s="158" t="str">
        <f>IF(B85="","",ROUND((SUMIFS(Tree!$AW:$AW,Tree!$A:$A,'Pre-Harvest Plots_rpt'!$B85,Tree!$B:$B,'Pre-Harvest Plots_rpt'!$D85,Tree!$F:$F,"L")/1000)-W85,1))</f>
        <v/>
      </c>
      <c r="Y85" s="135"/>
      <c r="Z85" s="161" t="str">
        <f>IF(IF(B85="","",SUMIFS(Tree!$O:$O,Tree!$A:$A,'Pre-Harvest Plots_rpt'!$B85,Tree!$B:$B,'Pre-Harvest Plots_rpt'!$D85,Tree!$F:$F,"D"))=0,"",IF(B85="","",SUMIFS(Tree!$O:$O,Tree!$A:$A,'Pre-Harvest Plots_rpt'!$B85,Tree!$B:$B,'Pre-Harvest Plots_rpt'!$D85,Tree!$F:$F,"D")))</f>
        <v/>
      </c>
      <c r="AA85" s="125" t="str">
        <f t="shared" si="10"/>
        <v/>
      </c>
      <c r="AB85" s="125" t="str">
        <f>IF(Z85="","",SUMIFS(Tree!$R:$R,Tree!$A:$A,'Pre-Harvest Plots_rpt'!$B85,Tree!$B:$B,'Pre-Harvest Plots_rpt'!$D85,Tree!$F:$F,"D"))</f>
        <v/>
      </c>
      <c r="AC85" s="126" t="str">
        <f>IF(Z85="","",SUMIFS(Tree!$AM:$AM,Tree!$A:$A,'Pre-Harvest Plots_rpt'!$B85,Tree!$B:$B,'Pre-Harvest Plots_rpt'!$D85,Tree!$F:$F,"D"))</f>
        <v/>
      </c>
      <c r="AD85" s="162" t="str">
        <f>IF(Z85="","",SUMIFS(Tree!$AW:$AW,Tree!$A:$A,'Pre-Harvest Plots_rpt'!$B85,Tree!$B:$B,'Pre-Harvest Plots_rpt'!$D85,Tree!$F:$F,"D")/1000)</f>
        <v/>
      </c>
      <c r="AE85" s="47"/>
      <c r="AF85" s="4"/>
      <c r="AG85" s="4"/>
      <c r="AH85" s="4"/>
    </row>
    <row r="86" spans="1:34" ht="12.75" customHeight="1" x14ac:dyDescent="0.25">
      <c r="A86" s="48">
        <v>83</v>
      </c>
      <c r="B86" s="171" t="str">
        <f>IF(A86&lt;=SUM(Stand!$H$3:$H$29),VLOOKUP(A86,Stand!$A$3:$C$29,3,TRUE),"")</f>
        <v/>
      </c>
      <c r="C86" s="172" t="str">
        <f t="shared" si="13"/>
        <v/>
      </c>
      <c r="D86" s="173" t="str">
        <f>IF(B86="","",VLOOKUP(B86&amp;C86,Plot!$B$2:$D$199,3,FALSE))</f>
        <v/>
      </c>
      <c r="E86" s="130"/>
      <c r="F86" s="152" t="str">
        <f>IF(B86="","",SUMIFS(Tree!$O:$O,Tree!$A:$A,'Pre-Harvest Plots_rpt'!$B86,Tree!$B:$B,'Pre-Harvest Plots_rpt'!$D86,Tree!$F:$F,"L"))</f>
        <v/>
      </c>
      <c r="G86" s="153" t="str">
        <f>IFERROR(IF(D86="","",SUMIFS(Tree!$P:$P,Tree!$A:$A,'Pre-Harvest Plots_rpt'!$B86,Tree!$B:$B,'Pre-Harvest Plots_rpt'!$D86)/$F86),"")</f>
        <v/>
      </c>
      <c r="H86" s="122" t="str">
        <f t="shared" si="11"/>
        <v/>
      </c>
      <c r="I86" s="121" t="str">
        <f>IF(OR($F86=0,$F86=""),"",SUMIFS(Tree!$R:$R,Tree!$A:$A,'Pre-Harvest Plots_rpt'!$B86,Tree!$B:$B,'Pre-Harvest Plots_rpt'!$D86,Tree!$F:$F,"L"))</f>
        <v/>
      </c>
      <c r="J86" s="121" t="str">
        <f>IF(OR($F86=0,$F86=""),"",IF(SUMIFS(Tree!$W:$W,Tree!$A:$A,'Pre-Harvest Plots_rpt'!$B86,Tree!$B:$B,'Pre-Harvest Plots_rpt'!$D86,Tree!$F:$F,"L")=0,0,AVERAGEIFS(Tree!$W:$W,Tree!$A:$A,'Pre-Harvest Plots_rpt'!$B86,Tree!$B:$B,'Pre-Harvest Plots_rpt'!$D86,Tree!$F:$F,"L")))</f>
        <v/>
      </c>
      <c r="K86" s="121" t="str">
        <f>IF($F86="","",SUMIFS(Tree!$S:$S,Tree!$A:$A,'Pre-Harvest Plots_rpt'!$B86,Tree!$B:$B,'Pre-Harvest Plots_rpt'!$D86,Tree!$F:$F,"L"))</f>
        <v/>
      </c>
      <c r="L86" s="154" t="str">
        <f t="shared" si="12"/>
        <v/>
      </c>
      <c r="M86" s="135"/>
      <c r="N86" s="192" t="str">
        <f>IF(B86="","",SUMIFS(Tree!$AM:$AM,Tree!$A:$A,'Pre-Harvest Plots_rpt'!$B86,Tree!$B:$B,'Pre-Harvest Plots_rpt'!$D86,Tree!$F:$F,"L"))</f>
        <v/>
      </c>
      <c r="O86" s="122" t="str">
        <f>IF(B86="","",SUMIFS(Tree!$AN:$AN,Tree!$A:$A,'Pre-Harvest Plots_rpt'!$B86,Tree!$B:$B,'Pre-Harvest Plots_rpt'!$D86,Tree!$F:$F,"L"))</f>
        <v/>
      </c>
      <c r="P86" s="122" t="str">
        <f>IF(B86="","",SUMIFS(Tree!$AO:$AO,Tree!$A:$A,'Pre-Harvest Plots_rpt'!$B86,Tree!$B:$B,'Pre-Harvest Plots_rpt'!$D86,Tree!$F:$F,"L"))</f>
        <v/>
      </c>
      <c r="Q86" s="122" t="str">
        <f>IF(B86="","",SUMIFS(Tree!$AP:$AP,Tree!$A:$A,'Pre-Harvest Plots_rpt'!$B86,Tree!$B:$B,'Pre-Harvest Plots_rpt'!$D86,Tree!$F:$F,"L"))</f>
        <v/>
      </c>
      <c r="R86" s="123" t="str">
        <f>IF(B86="","",SUMIFS(Tree!$AQ:$AQ,Tree!$A:$A,'Pre-Harvest Plots_rpt'!$B86,Tree!$B:$B,'Pre-Harvest Plots_rpt'!$D86,Tree!$F:$F,"L"))</f>
        <v/>
      </c>
      <c r="S86" s="122" t="str">
        <f>IF(B86="","",SUMIFS(Tree!$AJ:$AJ,Tree!$A:$A,'Pre-Harvest Plots_rpt'!$B86,Tree!$B:$B,'Pre-Harvest Plots_rpt'!$D86,Tree!$F:$F,"L")-O86)</f>
        <v/>
      </c>
      <c r="T86" s="122" t="str">
        <f>IF(B86="","",SUMIFS(Tree!$AK:$AK,Tree!$A:$A,'Pre-Harvest Plots_rpt'!$B86,Tree!$B:$B,'Pre-Harvest Plots_rpt'!$D86,Tree!$F:$F,"L")-P86)</f>
        <v/>
      </c>
      <c r="U86" s="122" t="str">
        <f>IF(B86="","",SUMIFS(Tree!$AL:$AL,Tree!$A:$A,'Pre-Harvest Plots_rpt'!$B86,Tree!$B:$B,'Pre-Harvest Plots_rpt'!$D86,Tree!$F:$F,"L")-Q86)</f>
        <v/>
      </c>
      <c r="V86" s="123" t="str">
        <f>IF(B86="","",ROUND(SUMIFS(Tree!$AE:$AE,Tree!$A:$A,'Pre-Harvest Plots_rpt'!$B86,Tree!$B:$B,'Pre-Harvest Plots_rpt'!$D86,Tree!$F:$F,"L")-R86,1))</f>
        <v/>
      </c>
      <c r="W86" s="124" t="str">
        <f>IF(B86="","",SUMIFS(Tree!$AY:$AY,Tree!$A:$A,'Pre-Harvest Plots_rpt'!$B86,Tree!$B:$B,'Pre-Harvest Plots_rpt'!$D86,Tree!$F:$F,"L")/1000)</f>
        <v/>
      </c>
      <c r="X86" s="158" t="str">
        <f>IF(B86="","",ROUND((SUMIFS(Tree!$AW:$AW,Tree!$A:$A,'Pre-Harvest Plots_rpt'!$B86,Tree!$B:$B,'Pre-Harvest Plots_rpt'!$D86,Tree!$F:$F,"L")/1000)-W86,1))</f>
        <v/>
      </c>
      <c r="Y86" s="135"/>
      <c r="Z86" s="161" t="str">
        <f>IF(IF(B86="","",SUMIFS(Tree!$O:$O,Tree!$A:$A,'Pre-Harvest Plots_rpt'!$B86,Tree!$B:$B,'Pre-Harvest Plots_rpt'!$D86,Tree!$F:$F,"D"))=0,"",IF(B86="","",SUMIFS(Tree!$O:$O,Tree!$A:$A,'Pre-Harvest Plots_rpt'!$B86,Tree!$B:$B,'Pre-Harvest Plots_rpt'!$D86,Tree!$F:$F,"D")))</f>
        <v/>
      </c>
      <c r="AA86" s="125" t="str">
        <f t="shared" si="10"/>
        <v/>
      </c>
      <c r="AB86" s="125" t="str">
        <f>IF(Z86="","",SUMIFS(Tree!$R:$R,Tree!$A:$A,'Pre-Harvest Plots_rpt'!$B86,Tree!$B:$B,'Pre-Harvest Plots_rpt'!$D86,Tree!$F:$F,"D"))</f>
        <v/>
      </c>
      <c r="AC86" s="126" t="str">
        <f>IF(Z86="","",SUMIFS(Tree!$AM:$AM,Tree!$A:$A,'Pre-Harvest Plots_rpt'!$B86,Tree!$B:$B,'Pre-Harvest Plots_rpt'!$D86,Tree!$F:$F,"D"))</f>
        <v/>
      </c>
      <c r="AD86" s="162" t="str">
        <f>IF(Z86="","",SUMIFS(Tree!$AW:$AW,Tree!$A:$A,'Pre-Harvest Plots_rpt'!$B86,Tree!$B:$B,'Pre-Harvest Plots_rpt'!$D86,Tree!$F:$F,"D")/1000)</f>
        <v/>
      </c>
      <c r="AE86" s="47"/>
      <c r="AF86" s="4"/>
      <c r="AG86" s="4"/>
      <c r="AH86" s="4"/>
    </row>
    <row r="87" spans="1:34" ht="12.75" customHeight="1" x14ac:dyDescent="0.25">
      <c r="A87" s="48">
        <v>84</v>
      </c>
      <c r="B87" s="171" t="str">
        <f>IF(A87&lt;=SUM(Stand!$H$3:$H$29),VLOOKUP(A87,Stand!$A$3:$C$29,3,TRUE),"")</f>
        <v/>
      </c>
      <c r="C87" s="172" t="str">
        <f t="shared" si="13"/>
        <v/>
      </c>
      <c r="D87" s="173" t="str">
        <f>IF(B87="","",VLOOKUP(B87&amp;C87,Plot!$B$2:$D$199,3,FALSE))</f>
        <v/>
      </c>
      <c r="E87" s="130"/>
      <c r="F87" s="152" t="str">
        <f>IF(B87="","",SUMIFS(Tree!$O:$O,Tree!$A:$A,'Pre-Harvest Plots_rpt'!$B87,Tree!$B:$B,'Pre-Harvest Plots_rpt'!$D87,Tree!$F:$F,"L"))</f>
        <v/>
      </c>
      <c r="G87" s="153" t="str">
        <f>IFERROR(IF(D87="","",SUMIFS(Tree!$P:$P,Tree!$A:$A,'Pre-Harvest Plots_rpt'!$B87,Tree!$B:$B,'Pre-Harvest Plots_rpt'!$D87)/$F87),"")</f>
        <v/>
      </c>
      <c r="H87" s="122" t="str">
        <f t="shared" si="11"/>
        <v/>
      </c>
      <c r="I87" s="121" t="str">
        <f>IF(OR($F87=0,$F87=""),"",SUMIFS(Tree!$R:$R,Tree!$A:$A,'Pre-Harvest Plots_rpt'!$B87,Tree!$B:$B,'Pre-Harvest Plots_rpt'!$D87,Tree!$F:$F,"L"))</f>
        <v/>
      </c>
      <c r="J87" s="121" t="str">
        <f>IF(OR($F87=0,$F87=""),"",IF(SUMIFS(Tree!$W:$W,Tree!$A:$A,'Pre-Harvest Plots_rpt'!$B87,Tree!$B:$B,'Pre-Harvest Plots_rpt'!$D87,Tree!$F:$F,"L")=0,0,AVERAGEIFS(Tree!$W:$W,Tree!$A:$A,'Pre-Harvest Plots_rpt'!$B87,Tree!$B:$B,'Pre-Harvest Plots_rpt'!$D87,Tree!$F:$F,"L")))</f>
        <v/>
      </c>
      <c r="K87" s="121" t="str">
        <f>IF($F87="","",SUMIFS(Tree!$S:$S,Tree!$A:$A,'Pre-Harvest Plots_rpt'!$B87,Tree!$B:$B,'Pre-Harvest Plots_rpt'!$D87,Tree!$F:$F,"L"))</f>
        <v/>
      </c>
      <c r="L87" s="154" t="str">
        <f t="shared" si="12"/>
        <v/>
      </c>
      <c r="M87" s="135"/>
      <c r="N87" s="192" t="str">
        <f>IF(B87="","",SUMIFS(Tree!$AM:$AM,Tree!$A:$A,'Pre-Harvest Plots_rpt'!$B87,Tree!$B:$B,'Pre-Harvest Plots_rpt'!$D87,Tree!$F:$F,"L"))</f>
        <v/>
      </c>
      <c r="O87" s="122" t="str">
        <f>IF(B87="","",SUMIFS(Tree!$AN:$AN,Tree!$A:$A,'Pre-Harvest Plots_rpt'!$B87,Tree!$B:$B,'Pre-Harvest Plots_rpt'!$D87,Tree!$F:$F,"L"))</f>
        <v/>
      </c>
      <c r="P87" s="122" t="str">
        <f>IF(B87="","",SUMIFS(Tree!$AO:$AO,Tree!$A:$A,'Pre-Harvest Plots_rpt'!$B87,Tree!$B:$B,'Pre-Harvest Plots_rpt'!$D87,Tree!$F:$F,"L"))</f>
        <v/>
      </c>
      <c r="Q87" s="122" t="str">
        <f>IF(B87="","",SUMIFS(Tree!$AP:$AP,Tree!$A:$A,'Pre-Harvest Plots_rpt'!$B87,Tree!$B:$B,'Pre-Harvest Plots_rpt'!$D87,Tree!$F:$F,"L"))</f>
        <v/>
      </c>
      <c r="R87" s="123" t="str">
        <f>IF(B87="","",SUMIFS(Tree!$AQ:$AQ,Tree!$A:$A,'Pre-Harvest Plots_rpt'!$B87,Tree!$B:$B,'Pre-Harvest Plots_rpt'!$D87,Tree!$F:$F,"L"))</f>
        <v/>
      </c>
      <c r="S87" s="122" t="str">
        <f>IF(B87="","",SUMIFS(Tree!$AJ:$AJ,Tree!$A:$A,'Pre-Harvest Plots_rpt'!$B87,Tree!$B:$B,'Pre-Harvest Plots_rpt'!$D87,Tree!$F:$F,"L")-O87)</f>
        <v/>
      </c>
      <c r="T87" s="122" t="str">
        <f>IF(B87="","",SUMIFS(Tree!$AK:$AK,Tree!$A:$A,'Pre-Harvest Plots_rpt'!$B87,Tree!$B:$B,'Pre-Harvest Plots_rpt'!$D87,Tree!$F:$F,"L")-P87)</f>
        <v/>
      </c>
      <c r="U87" s="122" t="str">
        <f>IF(B87="","",SUMIFS(Tree!$AL:$AL,Tree!$A:$A,'Pre-Harvest Plots_rpt'!$B87,Tree!$B:$B,'Pre-Harvest Plots_rpt'!$D87,Tree!$F:$F,"L")-Q87)</f>
        <v/>
      </c>
      <c r="V87" s="123" t="str">
        <f>IF(B87="","",ROUND(SUMIFS(Tree!$AE:$AE,Tree!$A:$A,'Pre-Harvest Plots_rpt'!$B87,Tree!$B:$B,'Pre-Harvest Plots_rpt'!$D87,Tree!$F:$F,"L")-R87,1))</f>
        <v/>
      </c>
      <c r="W87" s="124" t="str">
        <f>IF(B87="","",SUMIFS(Tree!$AY:$AY,Tree!$A:$A,'Pre-Harvest Plots_rpt'!$B87,Tree!$B:$B,'Pre-Harvest Plots_rpt'!$D87,Tree!$F:$F,"L")/1000)</f>
        <v/>
      </c>
      <c r="X87" s="158" t="str">
        <f>IF(B87="","",ROUND((SUMIFS(Tree!$AW:$AW,Tree!$A:$A,'Pre-Harvest Plots_rpt'!$B87,Tree!$B:$B,'Pre-Harvest Plots_rpt'!$D87,Tree!$F:$F,"L")/1000)-W87,1))</f>
        <v/>
      </c>
      <c r="Y87" s="135"/>
      <c r="Z87" s="161" t="str">
        <f>IF(IF(B87="","",SUMIFS(Tree!$O:$O,Tree!$A:$A,'Pre-Harvest Plots_rpt'!$B87,Tree!$B:$B,'Pre-Harvest Plots_rpt'!$D87,Tree!$F:$F,"D"))=0,"",IF(B87="","",SUMIFS(Tree!$O:$O,Tree!$A:$A,'Pre-Harvest Plots_rpt'!$B87,Tree!$B:$B,'Pre-Harvest Plots_rpt'!$D87,Tree!$F:$F,"D")))</f>
        <v/>
      </c>
      <c r="AA87" s="125" t="str">
        <f t="shared" si="10"/>
        <v/>
      </c>
      <c r="AB87" s="125" t="str">
        <f>IF(Z87="","",SUMIFS(Tree!$R:$R,Tree!$A:$A,'Pre-Harvest Plots_rpt'!$B87,Tree!$B:$B,'Pre-Harvest Plots_rpt'!$D87,Tree!$F:$F,"D"))</f>
        <v/>
      </c>
      <c r="AC87" s="126" t="str">
        <f>IF(Z87="","",SUMIFS(Tree!$AM:$AM,Tree!$A:$A,'Pre-Harvest Plots_rpt'!$B87,Tree!$B:$B,'Pre-Harvest Plots_rpt'!$D87,Tree!$F:$F,"D"))</f>
        <v/>
      </c>
      <c r="AD87" s="162" t="str">
        <f>IF(Z87="","",SUMIFS(Tree!$AW:$AW,Tree!$A:$A,'Pre-Harvest Plots_rpt'!$B87,Tree!$B:$B,'Pre-Harvest Plots_rpt'!$D87,Tree!$F:$F,"D")/1000)</f>
        <v/>
      </c>
      <c r="AE87" s="47"/>
      <c r="AF87" s="4"/>
      <c r="AG87" s="4"/>
      <c r="AH87" s="4"/>
    </row>
    <row r="88" spans="1:34" ht="12.75" customHeight="1" x14ac:dyDescent="0.25">
      <c r="A88" s="48">
        <v>85</v>
      </c>
      <c r="B88" s="171" t="str">
        <f>IF(A88&lt;=SUM(Stand!$H$3:$H$29),VLOOKUP(A88,Stand!$A$3:$C$29,3,TRUE),"")</f>
        <v/>
      </c>
      <c r="C88" s="172" t="str">
        <f t="shared" si="13"/>
        <v/>
      </c>
      <c r="D88" s="173" t="str">
        <f>IF(B88="","",VLOOKUP(B88&amp;C88,Plot!$B$2:$D$199,3,FALSE))</f>
        <v/>
      </c>
      <c r="E88" s="130"/>
      <c r="F88" s="152" t="str">
        <f>IF(B88="","",SUMIFS(Tree!$O:$O,Tree!$A:$A,'Pre-Harvest Plots_rpt'!$B88,Tree!$B:$B,'Pre-Harvest Plots_rpt'!$D88,Tree!$F:$F,"L"))</f>
        <v/>
      </c>
      <c r="G88" s="153" t="str">
        <f>IFERROR(IF(D88="","",SUMIFS(Tree!$P:$P,Tree!$A:$A,'Pre-Harvest Plots_rpt'!$B88,Tree!$B:$B,'Pre-Harvest Plots_rpt'!$D88)/$F88),"")</f>
        <v/>
      </c>
      <c r="H88" s="122" t="str">
        <f t="shared" si="11"/>
        <v/>
      </c>
      <c r="I88" s="121" t="str">
        <f>IF(OR($F88=0,$F88=""),"",SUMIFS(Tree!$R:$R,Tree!$A:$A,'Pre-Harvest Plots_rpt'!$B88,Tree!$B:$B,'Pre-Harvest Plots_rpt'!$D88,Tree!$F:$F,"L"))</f>
        <v/>
      </c>
      <c r="J88" s="121" t="str">
        <f>IF(OR($F88=0,$F88=""),"",IF(SUMIFS(Tree!$W:$W,Tree!$A:$A,'Pre-Harvest Plots_rpt'!$B88,Tree!$B:$B,'Pre-Harvest Plots_rpt'!$D88,Tree!$F:$F,"L")=0,0,AVERAGEIFS(Tree!$W:$W,Tree!$A:$A,'Pre-Harvest Plots_rpt'!$B88,Tree!$B:$B,'Pre-Harvest Plots_rpt'!$D88,Tree!$F:$F,"L")))</f>
        <v/>
      </c>
      <c r="K88" s="121" t="str">
        <f>IF($F88="","",SUMIFS(Tree!$S:$S,Tree!$A:$A,'Pre-Harvest Plots_rpt'!$B88,Tree!$B:$B,'Pre-Harvest Plots_rpt'!$D88,Tree!$F:$F,"L"))</f>
        <v/>
      </c>
      <c r="L88" s="154" t="str">
        <f t="shared" si="12"/>
        <v/>
      </c>
      <c r="M88" s="135"/>
      <c r="N88" s="192" t="str">
        <f>IF(B88="","",SUMIFS(Tree!$AM:$AM,Tree!$A:$A,'Pre-Harvest Plots_rpt'!$B88,Tree!$B:$B,'Pre-Harvest Plots_rpt'!$D88,Tree!$F:$F,"L"))</f>
        <v/>
      </c>
      <c r="O88" s="122" t="str">
        <f>IF(B88="","",SUMIFS(Tree!$AN:$AN,Tree!$A:$A,'Pre-Harvest Plots_rpt'!$B88,Tree!$B:$B,'Pre-Harvest Plots_rpt'!$D88,Tree!$F:$F,"L"))</f>
        <v/>
      </c>
      <c r="P88" s="122" t="str">
        <f>IF(B88="","",SUMIFS(Tree!$AO:$AO,Tree!$A:$A,'Pre-Harvest Plots_rpt'!$B88,Tree!$B:$B,'Pre-Harvest Plots_rpt'!$D88,Tree!$F:$F,"L"))</f>
        <v/>
      </c>
      <c r="Q88" s="122" t="str">
        <f>IF(B88="","",SUMIFS(Tree!$AP:$AP,Tree!$A:$A,'Pre-Harvest Plots_rpt'!$B88,Tree!$B:$B,'Pre-Harvest Plots_rpt'!$D88,Tree!$F:$F,"L"))</f>
        <v/>
      </c>
      <c r="R88" s="123" t="str">
        <f>IF(B88="","",SUMIFS(Tree!$AQ:$AQ,Tree!$A:$A,'Pre-Harvest Plots_rpt'!$B88,Tree!$B:$B,'Pre-Harvest Plots_rpt'!$D88,Tree!$F:$F,"L"))</f>
        <v/>
      </c>
      <c r="S88" s="122" t="str">
        <f>IF(B88="","",SUMIFS(Tree!$AJ:$AJ,Tree!$A:$A,'Pre-Harvest Plots_rpt'!$B88,Tree!$B:$B,'Pre-Harvest Plots_rpt'!$D88,Tree!$F:$F,"L")-O88)</f>
        <v/>
      </c>
      <c r="T88" s="122" t="str">
        <f>IF(B88="","",SUMIFS(Tree!$AK:$AK,Tree!$A:$A,'Pre-Harvest Plots_rpt'!$B88,Tree!$B:$B,'Pre-Harvest Plots_rpt'!$D88,Tree!$F:$F,"L")-P88)</f>
        <v/>
      </c>
      <c r="U88" s="122" t="str">
        <f>IF(B88="","",SUMIFS(Tree!$AL:$AL,Tree!$A:$A,'Pre-Harvest Plots_rpt'!$B88,Tree!$B:$B,'Pre-Harvest Plots_rpt'!$D88,Tree!$F:$F,"L")-Q88)</f>
        <v/>
      </c>
      <c r="V88" s="123" t="str">
        <f>IF(B88="","",ROUND(SUMIFS(Tree!$AE:$AE,Tree!$A:$A,'Pre-Harvest Plots_rpt'!$B88,Tree!$B:$B,'Pre-Harvest Plots_rpt'!$D88,Tree!$F:$F,"L")-R88,1))</f>
        <v/>
      </c>
      <c r="W88" s="124" t="str">
        <f>IF(B88="","",SUMIFS(Tree!$AY:$AY,Tree!$A:$A,'Pre-Harvest Plots_rpt'!$B88,Tree!$B:$B,'Pre-Harvest Plots_rpt'!$D88,Tree!$F:$F,"L")/1000)</f>
        <v/>
      </c>
      <c r="X88" s="158" t="str">
        <f>IF(B88="","",ROUND((SUMIFS(Tree!$AW:$AW,Tree!$A:$A,'Pre-Harvest Plots_rpt'!$B88,Tree!$B:$B,'Pre-Harvest Plots_rpt'!$D88,Tree!$F:$F,"L")/1000)-W88,1))</f>
        <v/>
      </c>
      <c r="Y88" s="135"/>
      <c r="Z88" s="161" t="str">
        <f>IF(IF(B88="","",SUMIFS(Tree!$O:$O,Tree!$A:$A,'Pre-Harvest Plots_rpt'!$B88,Tree!$B:$B,'Pre-Harvest Plots_rpt'!$D88,Tree!$F:$F,"D"))=0,"",IF(B88="","",SUMIFS(Tree!$O:$O,Tree!$A:$A,'Pre-Harvest Plots_rpt'!$B88,Tree!$B:$B,'Pre-Harvest Plots_rpt'!$D88,Tree!$F:$F,"D")))</f>
        <v/>
      </c>
      <c r="AA88" s="125" t="str">
        <f t="shared" si="10"/>
        <v/>
      </c>
      <c r="AB88" s="125" t="str">
        <f>IF(Z88="","",SUMIFS(Tree!$R:$R,Tree!$A:$A,'Pre-Harvest Plots_rpt'!$B88,Tree!$B:$B,'Pre-Harvest Plots_rpt'!$D88,Tree!$F:$F,"D"))</f>
        <v/>
      </c>
      <c r="AC88" s="126" t="str">
        <f>IF(Z88="","",SUMIFS(Tree!$AM:$AM,Tree!$A:$A,'Pre-Harvest Plots_rpt'!$B88,Tree!$B:$B,'Pre-Harvest Plots_rpt'!$D88,Tree!$F:$F,"D"))</f>
        <v/>
      </c>
      <c r="AD88" s="162" t="str">
        <f>IF(Z88="","",SUMIFS(Tree!$AW:$AW,Tree!$A:$A,'Pre-Harvest Plots_rpt'!$B88,Tree!$B:$B,'Pre-Harvest Plots_rpt'!$D88,Tree!$F:$F,"D")/1000)</f>
        <v/>
      </c>
      <c r="AE88" s="47"/>
      <c r="AF88" s="4"/>
      <c r="AG88" s="4"/>
      <c r="AH88" s="4"/>
    </row>
    <row r="89" spans="1:34" ht="12.75" customHeight="1" x14ac:dyDescent="0.25">
      <c r="A89" s="48">
        <v>86</v>
      </c>
      <c r="B89" s="171" t="str">
        <f>IF(A89&lt;=SUM(Stand!$H$3:$H$29),VLOOKUP(A89,Stand!$A$3:$C$29,3,TRUE),"")</f>
        <v/>
      </c>
      <c r="C89" s="172" t="str">
        <f t="shared" si="13"/>
        <v/>
      </c>
      <c r="D89" s="173" t="str">
        <f>IF(B89="","",VLOOKUP(B89&amp;C89,Plot!$B$2:$D$199,3,FALSE))</f>
        <v/>
      </c>
      <c r="E89" s="130"/>
      <c r="F89" s="152" t="str">
        <f>IF(B89="","",SUMIFS(Tree!$O:$O,Tree!$A:$A,'Pre-Harvest Plots_rpt'!$B89,Tree!$B:$B,'Pre-Harvest Plots_rpt'!$D89,Tree!$F:$F,"L"))</f>
        <v/>
      </c>
      <c r="G89" s="153" t="str">
        <f>IFERROR(IF(D89="","",SUMIFS(Tree!$P:$P,Tree!$A:$A,'Pre-Harvest Plots_rpt'!$B89,Tree!$B:$B,'Pre-Harvest Plots_rpt'!$D89)/$F89),"")</f>
        <v/>
      </c>
      <c r="H89" s="122" t="str">
        <f t="shared" si="11"/>
        <v/>
      </c>
      <c r="I89" s="121" t="str">
        <f>IF(OR($F89=0,$F89=""),"",SUMIFS(Tree!$R:$R,Tree!$A:$A,'Pre-Harvest Plots_rpt'!$B89,Tree!$B:$B,'Pre-Harvest Plots_rpt'!$D89,Tree!$F:$F,"L"))</f>
        <v/>
      </c>
      <c r="J89" s="121" t="str">
        <f>IF(OR($F89=0,$F89=""),"",IF(SUMIFS(Tree!$W:$W,Tree!$A:$A,'Pre-Harvest Plots_rpt'!$B89,Tree!$B:$B,'Pre-Harvest Plots_rpt'!$D89,Tree!$F:$F,"L")=0,0,AVERAGEIFS(Tree!$W:$W,Tree!$A:$A,'Pre-Harvest Plots_rpt'!$B89,Tree!$B:$B,'Pre-Harvest Plots_rpt'!$D89,Tree!$F:$F,"L")))</f>
        <v/>
      </c>
      <c r="K89" s="121" t="str">
        <f>IF($F89="","",SUMIFS(Tree!$S:$S,Tree!$A:$A,'Pre-Harvest Plots_rpt'!$B89,Tree!$B:$B,'Pre-Harvest Plots_rpt'!$D89,Tree!$F:$F,"L"))</f>
        <v/>
      </c>
      <c r="L89" s="154" t="str">
        <f t="shared" si="12"/>
        <v/>
      </c>
      <c r="M89" s="135"/>
      <c r="N89" s="192" t="str">
        <f>IF(B89="","",SUMIFS(Tree!$AM:$AM,Tree!$A:$A,'Pre-Harvest Plots_rpt'!$B89,Tree!$B:$B,'Pre-Harvest Plots_rpt'!$D89,Tree!$F:$F,"L"))</f>
        <v/>
      </c>
      <c r="O89" s="122" t="str">
        <f>IF(B89="","",SUMIFS(Tree!$AN:$AN,Tree!$A:$A,'Pre-Harvest Plots_rpt'!$B89,Tree!$B:$B,'Pre-Harvest Plots_rpt'!$D89,Tree!$F:$F,"L"))</f>
        <v/>
      </c>
      <c r="P89" s="122" t="str">
        <f>IF(B89="","",SUMIFS(Tree!$AO:$AO,Tree!$A:$A,'Pre-Harvest Plots_rpt'!$B89,Tree!$B:$B,'Pre-Harvest Plots_rpt'!$D89,Tree!$F:$F,"L"))</f>
        <v/>
      </c>
      <c r="Q89" s="122" t="str">
        <f>IF(B89="","",SUMIFS(Tree!$AP:$AP,Tree!$A:$A,'Pre-Harvest Plots_rpt'!$B89,Tree!$B:$B,'Pre-Harvest Plots_rpt'!$D89,Tree!$F:$F,"L"))</f>
        <v/>
      </c>
      <c r="R89" s="123" t="str">
        <f>IF(B89="","",SUMIFS(Tree!$AQ:$AQ,Tree!$A:$A,'Pre-Harvest Plots_rpt'!$B89,Tree!$B:$B,'Pre-Harvest Plots_rpt'!$D89,Tree!$F:$F,"L"))</f>
        <v/>
      </c>
      <c r="S89" s="122" t="str">
        <f>IF(B89="","",SUMIFS(Tree!$AJ:$AJ,Tree!$A:$A,'Pre-Harvest Plots_rpt'!$B89,Tree!$B:$B,'Pre-Harvest Plots_rpt'!$D89,Tree!$F:$F,"L")-O89)</f>
        <v/>
      </c>
      <c r="T89" s="122" t="str">
        <f>IF(B89="","",SUMIFS(Tree!$AK:$AK,Tree!$A:$A,'Pre-Harvest Plots_rpt'!$B89,Tree!$B:$B,'Pre-Harvest Plots_rpt'!$D89,Tree!$F:$F,"L")-P89)</f>
        <v/>
      </c>
      <c r="U89" s="122" t="str">
        <f>IF(B89="","",SUMIFS(Tree!$AL:$AL,Tree!$A:$A,'Pre-Harvest Plots_rpt'!$B89,Tree!$B:$B,'Pre-Harvest Plots_rpt'!$D89,Tree!$F:$F,"L")-Q89)</f>
        <v/>
      </c>
      <c r="V89" s="123" t="str">
        <f>IF(B89="","",ROUND(SUMIFS(Tree!$AE:$AE,Tree!$A:$A,'Pre-Harvest Plots_rpt'!$B89,Tree!$B:$B,'Pre-Harvest Plots_rpt'!$D89,Tree!$F:$F,"L")-R89,1))</f>
        <v/>
      </c>
      <c r="W89" s="124" t="str">
        <f>IF(B89="","",SUMIFS(Tree!$AY:$AY,Tree!$A:$A,'Pre-Harvest Plots_rpt'!$B89,Tree!$B:$B,'Pre-Harvest Plots_rpt'!$D89,Tree!$F:$F,"L")/1000)</f>
        <v/>
      </c>
      <c r="X89" s="158" t="str">
        <f>IF(B89="","",ROUND((SUMIFS(Tree!$AW:$AW,Tree!$A:$A,'Pre-Harvest Plots_rpt'!$B89,Tree!$B:$B,'Pre-Harvest Plots_rpt'!$D89,Tree!$F:$F,"L")/1000)-W89,1))</f>
        <v/>
      </c>
      <c r="Y89" s="135"/>
      <c r="Z89" s="161" t="str">
        <f>IF(IF(B89="","",SUMIFS(Tree!$O:$O,Tree!$A:$A,'Pre-Harvest Plots_rpt'!$B89,Tree!$B:$B,'Pre-Harvest Plots_rpt'!$D89,Tree!$F:$F,"D"))=0,"",IF(B89="","",SUMIFS(Tree!$O:$O,Tree!$A:$A,'Pre-Harvest Plots_rpt'!$B89,Tree!$B:$B,'Pre-Harvest Plots_rpt'!$D89,Tree!$F:$F,"D")))</f>
        <v/>
      </c>
      <c r="AA89" s="125" t="str">
        <f t="shared" si="10"/>
        <v/>
      </c>
      <c r="AB89" s="125" t="str">
        <f>IF(Z89="","",SUMIFS(Tree!$R:$R,Tree!$A:$A,'Pre-Harvest Plots_rpt'!$B89,Tree!$B:$B,'Pre-Harvest Plots_rpt'!$D89,Tree!$F:$F,"D"))</f>
        <v/>
      </c>
      <c r="AC89" s="126" t="str">
        <f>IF(Z89="","",SUMIFS(Tree!$AM:$AM,Tree!$A:$A,'Pre-Harvest Plots_rpt'!$B89,Tree!$B:$B,'Pre-Harvest Plots_rpt'!$D89,Tree!$F:$F,"D"))</f>
        <v/>
      </c>
      <c r="AD89" s="162" t="str">
        <f>IF(Z89="","",SUMIFS(Tree!$AW:$AW,Tree!$A:$A,'Pre-Harvest Plots_rpt'!$B89,Tree!$B:$B,'Pre-Harvest Plots_rpt'!$D89,Tree!$F:$F,"D")/1000)</f>
        <v/>
      </c>
      <c r="AE89" s="47"/>
      <c r="AF89" s="4"/>
      <c r="AG89" s="4"/>
      <c r="AH89" s="4"/>
    </row>
    <row r="90" spans="1:34" ht="12.75" customHeight="1" x14ac:dyDescent="0.25">
      <c r="A90" s="48">
        <v>87</v>
      </c>
      <c r="B90" s="171" t="str">
        <f>IF(A90&lt;=SUM(Stand!$H$3:$H$29),VLOOKUP(A90,Stand!$A$3:$C$29,3,TRUE),"")</f>
        <v/>
      </c>
      <c r="C90" s="172" t="str">
        <f t="shared" si="13"/>
        <v/>
      </c>
      <c r="D90" s="173" t="str">
        <f>IF(B90="","",VLOOKUP(B90&amp;C90,Plot!$B$2:$D$199,3,FALSE))</f>
        <v/>
      </c>
      <c r="E90" s="130"/>
      <c r="F90" s="152" t="str">
        <f>IF(B90="","",SUMIFS(Tree!$O:$O,Tree!$A:$A,'Pre-Harvest Plots_rpt'!$B90,Tree!$B:$B,'Pre-Harvest Plots_rpt'!$D90,Tree!$F:$F,"L"))</f>
        <v/>
      </c>
      <c r="G90" s="153" t="str">
        <f>IFERROR(IF(D90="","",SUMIFS(Tree!$P:$P,Tree!$A:$A,'Pre-Harvest Plots_rpt'!$B90,Tree!$B:$B,'Pre-Harvest Plots_rpt'!$D90)/$F90),"")</f>
        <v/>
      </c>
      <c r="H90" s="122" t="str">
        <f t="shared" si="11"/>
        <v/>
      </c>
      <c r="I90" s="121" t="str">
        <f>IF(OR($F90=0,$F90=""),"",SUMIFS(Tree!$R:$R,Tree!$A:$A,'Pre-Harvest Plots_rpt'!$B90,Tree!$B:$B,'Pre-Harvest Plots_rpt'!$D90,Tree!$F:$F,"L"))</f>
        <v/>
      </c>
      <c r="J90" s="121" t="str">
        <f>IF(OR($F90=0,$F90=""),"",IF(SUMIFS(Tree!$W:$W,Tree!$A:$A,'Pre-Harvest Plots_rpt'!$B90,Tree!$B:$B,'Pre-Harvest Plots_rpt'!$D90,Tree!$F:$F,"L")=0,0,AVERAGEIFS(Tree!$W:$W,Tree!$A:$A,'Pre-Harvest Plots_rpt'!$B90,Tree!$B:$B,'Pre-Harvest Plots_rpt'!$D90,Tree!$F:$F,"L")))</f>
        <v/>
      </c>
      <c r="K90" s="121" t="str">
        <f>IF($F90="","",SUMIFS(Tree!$S:$S,Tree!$A:$A,'Pre-Harvest Plots_rpt'!$B90,Tree!$B:$B,'Pre-Harvest Plots_rpt'!$D90,Tree!$F:$F,"L"))</f>
        <v/>
      </c>
      <c r="L90" s="154" t="str">
        <f t="shared" si="12"/>
        <v/>
      </c>
      <c r="M90" s="135"/>
      <c r="N90" s="192" t="str">
        <f>IF(B90="","",SUMIFS(Tree!$AM:$AM,Tree!$A:$A,'Pre-Harvest Plots_rpt'!$B90,Tree!$B:$B,'Pre-Harvest Plots_rpt'!$D90,Tree!$F:$F,"L"))</f>
        <v/>
      </c>
      <c r="O90" s="122" t="str">
        <f>IF(B90="","",SUMIFS(Tree!$AN:$AN,Tree!$A:$A,'Pre-Harvest Plots_rpt'!$B90,Tree!$B:$B,'Pre-Harvest Plots_rpt'!$D90,Tree!$F:$F,"L"))</f>
        <v/>
      </c>
      <c r="P90" s="122" t="str">
        <f>IF(B90="","",SUMIFS(Tree!$AO:$AO,Tree!$A:$A,'Pre-Harvest Plots_rpt'!$B90,Tree!$B:$B,'Pre-Harvest Plots_rpt'!$D90,Tree!$F:$F,"L"))</f>
        <v/>
      </c>
      <c r="Q90" s="122" t="str">
        <f>IF(B90="","",SUMIFS(Tree!$AP:$AP,Tree!$A:$A,'Pre-Harvest Plots_rpt'!$B90,Tree!$B:$B,'Pre-Harvest Plots_rpt'!$D90,Tree!$F:$F,"L"))</f>
        <v/>
      </c>
      <c r="R90" s="123" t="str">
        <f>IF(B90="","",SUMIFS(Tree!$AQ:$AQ,Tree!$A:$A,'Pre-Harvest Plots_rpt'!$B90,Tree!$B:$B,'Pre-Harvest Plots_rpt'!$D90,Tree!$F:$F,"L"))</f>
        <v/>
      </c>
      <c r="S90" s="122" t="str">
        <f>IF(B90="","",SUMIFS(Tree!$AJ:$AJ,Tree!$A:$A,'Pre-Harvest Plots_rpt'!$B90,Tree!$B:$B,'Pre-Harvest Plots_rpt'!$D90,Tree!$F:$F,"L")-O90)</f>
        <v/>
      </c>
      <c r="T90" s="122" t="str">
        <f>IF(B90="","",SUMIFS(Tree!$AK:$AK,Tree!$A:$A,'Pre-Harvest Plots_rpt'!$B90,Tree!$B:$B,'Pre-Harvest Plots_rpt'!$D90,Tree!$F:$F,"L")-P90)</f>
        <v/>
      </c>
      <c r="U90" s="122" t="str">
        <f>IF(B90="","",SUMIFS(Tree!$AL:$AL,Tree!$A:$A,'Pre-Harvest Plots_rpt'!$B90,Tree!$B:$B,'Pre-Harvest Plots_rpt'!$D90,Tree!$F:$F,"L")-Q90)</f>
        <v/>
      </c>
      <c r="V90" s="123" t="str">
        <f>IF(B90="","",ROUND(SUMIFS(Tree!$AE:$AE,Tree!$A:$A,'Pre-Harvest Plots_rpt'!$B90,Tree!$B:$B,'Pre-Harvest Plots_rpt'!$D90,Tree!$F:$F,"L")-R90,1))</f>
        <v/>
      </c>
      <c r="W90" s="124" t="str">
        <f>IF(B90="","",SUMIFS(Tree!$AY:$AY,Tree!$A:$A,'Pre-Harvest Plots_rpt'!$B90,Tree!$B:$B,'Pre-Harvest Plots_rpt'!$D90,Tree!$F:$F,"L")/1000)</f>
        <v/>
      </c>
      <c r="X90" s="158" t="str">
        <f>IF(B90="","",ROUND((SUMIFS(Tree!$AW:$AW,Tree!$A:$A,'Pre-Harvest Plots_rpt'!$B90,Tree!$B:$B,'Pre-Harvest Plots_rpt'!$D90,Tree!$F:$F,"L")/1000)-W90,1))</f>
        <v/>
      </c>
      <c r="Y90" s="135"/>
      <c r="Z90" s="161" t="str">
        <f>IF(IF(B90="","",SUMIFS(Tree!$O:$O,Tree!$A:$A,'Pre-Harvest Plots_rpt'!$B90,Tree!$B:$B,'Pre-Harvest Plots_rpt'!$D90,Tree!$F:$F,"D"))=0,"",IF(B90="","",SUMIFS(Tree!$O:$O,Tree!$A:$A,'Pre-Harvest Plots_rpt'!$B90,Tree!$B:$B,'Pre-Harvest Plots_rpt'!$D90,Tree!$F:$F,"D")))</f>
        <v/>
      </c>
      <c r="AA90" s="125" t="str">
        <f t="shared" si="10"/>
        <v/>
      </c>
      <c r="AB90" s="125" t="str">
        <f>IF(Z90="","",SUMIFS(Tree!$R:$R,Tree!$A:$A,'Pre-Harvest Plots_rpt'!$B90,Tree!$B:$B,'Pre-Harvest Plots_rpt'!$D90,Tree!$F:$F,"D"))</f>
        <v/>
      </c>
      <c r="AC90" s="126" t="str">
        <f>IF(Z90="","",SUMIFS(Tree!$AM:$AM,Tree!$A:$A,'Pre-Harvest Plots_rpt'!$B90,Tree!$B:$B,'Pre-Harvest Plots_rpt'!$D90,Tree!$F:$F,"D"))</f>
        <v/>
      </c>
      <c r="AD90" s="162" t="str">
        <f>IF(Z90="","",SUMIFS(Tree!$AW:$AW,Tree!$A:$A,'Pre-Harvest Plots_rpt'!$B90,Tree!$B:$B,'Pre-Harvest Plots_rpt'!$D90,Tree!$F:$F,"D")/1000)</f>
        <v/>
      </c>
      <c r="AE90" s="47"/>
      <c r="AF90" s="4"/>
      <c r="AG90" s="4"/>
      <c r="AH90" s="4"/>
    </row>
    <row r="91" spans="1:34" ht="12.75" customHeight="1" x14ac:dyDescent="0.25">
      <c r="A91" s="48">
        <v>88</v>
      </c>
      <c r="B91" s="171" t="str">
        <f>IF(A91&lt;=SUM(Stand!$H$3:$H$29),VLOOKUP(A91,Stand!$A$3:$C$29,3,TRUE),"")</f>
        <v/>
      </c>
      <c r="C91" s="172" t="str">
        <f t="shared" si="13"/>
        <v/>
      </c>
      <c r="D91" s="173" t="str">
        <f>IF(B91="","",VLOOKUP(B91&amp;C91,Plot!$B$2:$D$199,3,FALSE))</f>
        <v/>
      </c>
      <c r="E91" s="130"/>
      <c r="F91" s="152" t="str">
        <f>IF(B91="","",SUMIFS(Tree!$O:$O,Tree!$A:$A,'Pre-Harvest Plots_rpt'!$B91,Tree!$B:$B,'Pre-Harvest Plots_rpt'!$D91,Tree!$F:$F,"L"))</f>
        <v/>
      </c>
      <c r="G91" s="153" t="str">
        <f>IFERROR(IF(D91="","",SUMIFS(Tree!$P:$P,Tree!$A:$A,'Pre-Harvest Plots_rpt'!$B91,Tree!$B:$B,'Pre-Harvest Plots_rpt'!$D91)/$F91),"")</f>
        <v/>
      </c>
      <c r="H91" s="122" t="str">
        <f t="shared" si="11"/>
        <v/>
      </c>
      <c r="I91" s="121" t="str">
        <f>IF(OR($F91=0,$F91=""),"",SUMIFS(Tree!$R:$R,Tree!$A:$A,'Pre-Harvest Plots_rpt'!$B91,Tree!$B:$B,'Pre-Harvest Plots_rpt'!$D91,Tree!$F:$F,"L"))</f>
        <v/>
      </c>
      <c r="J91" s="121" t="str">
        <f>IF(OR($F91=0,$F91=""),"",IF(SUMIFS(Tree!$W:$W,Tree!$A:$A,'Pre-Harvest Plots_rpt'!$B91,Tree!$B:$B,'Pre-Harvest Plots_rpt'!$D91,Tree!$F:$F,"L")=0,0,AVERAGEIFS(Tree!$W:$W,Tree!$A:$A,'Pre-Harvest Plots_rpt'!$B91,Tree!$B:$B,'Pre-Harvest Plots_rpt'!$D91,Tree!$F:$F,"L")))</f>
        <v/>
      </c>
      <c r="K91" s="121" t="str">
        <f>IF($F91="","",SUMIFS(Tree!$S:$S,Tree!$A:$A,'Pre-Harvest Plots_rpt'!$B91,Tree!$B:$B,'Pre-Harvest Plots_rpt'!$D91,Tree!$F:$F,"L"))</f>
        <v/>
      </c>
      <c r="L91" s="154" t="str">
        <f t="shared" si="12"/>
        <v/>
      </c>
      <c r="M91" s="135"/>
      <c r="N91" s="192" t="str">
        <f>IF(B91="","",SUMIFS(Tree!$AM:$AM,Tree!$A:$A,'Pre-Harvest Plots_rpt'!$B91,Tree!$B:$B,'Pre-Harvest Plots_rpt'!$D91,Tree!$F:$F,"L"))</f>
        <v/>
      </c>
      <c r="O91" s="122" t="str">
        <f>IF(B91="","",SUMIFS(Tree!$AN:$AN,Tree!$A:$A,'Pre-Harvest Plots_rpt'!$B91,Tree!$B:$B,'Pre-Harvest Plots_rpt'!$D91,Tree!$F:$F,"L"))</f>
        <v/>
      </c>
      <c r="P91" s="122" t="str">
        <f>IF(B91="","",SUMIFS(Tree!$AO:$AO,Tree!$A:$A,'Pre-Harvest Plots_rpt'!$B91,Tree!$B:$B,'Pre-Harvest Plots_rpt'!$D91,Tree!$F:$F,"L"))</f>
        <v/>
      </c>
      <c r="Q91" s="122" t="str">
        <f>IF(B91="","",SUMIFS(Tree!$AP:$AP,Tree!$A:$A,'Pre-Harvest Plots_rpt'!$B91,Tree!$B:$B,'Pre-Harvest Plots_rpt'!$D91,Tree!$F:$F,"L"))</f>
        <v/>
      </c>
      <c r="R91" s="123" t="str">
        <f>IF(B91="","",SUMIFS(Tree!$AQ:$AQ,Tree!$A:$A,'Pre-Harvest Plots_rpt'!$B91,Tree!$B:$B,'Pre-Harvest Plots_rpt'!$D91,Tree!$F:$F,"L"))</f>
        <v/>
      </c>
      <c r="S91" s="122" t="str">
        <f>IF(B91="","",SUMIFS(Tree!$AJ:$AJ,Tree!$A:$A,'Pre-Harvest Plots_rpt'!$B91,Tree!$B:$B,'Pre-Harvest Plots_rpt'!$D91,Tree!$F:$F,"L")-O91)</f>
        <v/>
      </c>
      <c r="T91" s="122" t="str">
        <f>IF(B91="","",SUMIFS(Tree!$AK:$AK,Tree!$A:$A,'Pre-Harvest Plots_rpt'!$B91,Tree!$B:$B,'Pre-Harvest Plots_rpt'!$D91,Tree!$F:$F,"L")-P91)</f>
        <v/>
      </c>
      <c r="U91" s="122" t="str">
        <f>IF(B91="","",SUMIFS(Tree!$AL:$AL,Tree!$A:$A,'Pre-Harvest Plots_rpt'!$B91,Tree!$B:$B,'Pre-Harvest Plots_rpt'!$D91,Tree!$F:$F,"L")-Q91)</f>
        <v/>
      </c>
      <c r="V91" s="123" t="str">
        <f>IF(B91="","",ROUND(SUMIFS(Tree!$AE:$AE,Tree!$A:$A,'Pre-Harvest Plots_rpt'!$B91,Tree!$B:$B,'Pre-Harvest Plots_rpt'!$D91,Tree!$F:$F,"L")-R91,1))</f>
        <v/>
      </c>
      <c r="W91" s="124" t="str">
        <f>IF(B91="","",SUMIFS(Tree!$AY:$AY,Tree!$A:$A,'Pre-Harvest Plots_rpt'!$B91,Tree!$B:$B,'Pre-Harvest Plots_rpt'!$D91,Tree!$F:$F,"L")/1000)</f>
        <v/>
      </c>
      <c r="X91" s="158" t="str">
        <f>IF(B91="","",ROUND((SUMIFS(Tree!$AW:$AW,Tree!$A:$A,'Pre-Harvest Plots_rpt'!$B91,Tree!$B:$B,'Pre-Harvest Plots_rpt'!$D91,Tree!$F:$F,"L")/1000)-W91,1))</f>
        <v/>
      </c>
      <c r="Y91" s="135"/>
      <c r="Z91" s="161" t="str">
        <f>IF(IF(B91="","",SUMIFS(Tree!$O:$O,Tree!$A:$A,'Pre-Harvest Plots_rpt'!$B91,Tree!$B:$B,'Pre-Harvest Plots_rpt'!$D91,Tree!$F:$F,"D"))=0,"",IF(B91="","",SUMIFS(Tree!$O:$O,Tree!$A:$A,'Pre-Harvest Plots_rpt'!$B91,Tree!$B:$B,'Pre-Harvest Plots_rpt'!$D91,Tree!$F:$F,"D")))</f>
        <v/>
      </c>
      <c r="AA91" s="125" t="str">
        <f t="shared" si="10"/>
        <v/>
      </c>
      <c r="AB91" s="125" t="str">
        <f>IF(Z91="","",SUMIFS(Tree!$R:$R,Tree!$A:$A,'Pre-Harvest Plots_rpt'!$B91,Tree!$B:$B,'Pre-Harvest Plots_rpt'!$D91,Tree!$F:$F,"D"))</f>
        <v/>
      </c>
      <c r="AC91" s="126" t="str">
        <f>IF(Z91="","",SUMIFS(Tree!$AM:$AM,Tree!$A:$A,'Pre-Harvest Plots_rpt'!$B91,Tree!$B:$B,'Pre-Harvest Plots_rpt'!$D91,Tree!$F:$F,"D"))</f>
        <v/>
      </c>
      <c r="AD91" s="162" t="str">
        <f>IF(Z91="","",SUMIFS(Tree!$AW:$AW,Tree!$A:$A,'Pre-Harvest Plots_rpt'!$B91,Tree!$B:$B,'Pre-Harvest Plots_rpt'!$D91,Tree!$F:$F,"D")/1000)</f>
        <v/>
      </c>
      <c r="AE91" s="47"/>
      <c r="AF91" s="4"/>
      <c r="AG91" s="4"/>
      <c r="AH91" s="4"/>
    </row>
    <row r="92" spans="1:34" ht="12.75" customHeight="1" x14ac:dyDescent="0.25">
      <c r="A92" s="48">
        <v>89</v>
      </c>
      <c r="B92" s="171" t="str">
        <f>IF(A92&lt;=SUM(Stand!$H$3:$H$29),VLOOKUP(A92,Stand!$A$3:$C$29,3,TRUE),"")</f>
        <v/>
      </c>
      <c r="C92" s="172" t="str">
        <f t="shared" si="13"/>
        <v/>
      </c>
      <c r="D92" s="173" t="str">
        <f>IF(B92="","",VLOOKUP(B92&amp;C92,Plot!$B$2:$D$199,3,FALSE))</f>
        <v/>
      </c>
      <c r="E92" s="130"/>
      <c r="F92" s="152" t="str">
        <f>IF(B92="","",SUMIFS(Tree!$O:$O,Tree!$A:$A,'Pre-Harvest Plots_rpt'!$B92,Tree!$B:$B,'Pre-Harvest Plots_rpt'!$D92,Tree!$F:$F,"L"))</f>
        <v/>
      </c>
      <c r="G92" s="153" t="str">
        <f>IFERROR(IF(D92="","",SUMIFS(Tree!$P:$P,Tree!$A:$A,'Pre-Harvest Plots_rpt'!$B92,Tree!$B:$B,'Pre-Harvest Plots_rpt'!$D92)/$F92),"")</f>
        <v/>
      </c>
      <c r="H92" s="122" t="str">
        <f t="shared" si="11"/>
        <v/>
      </c>
      <c r="I92" s="121" t="str">
        <f>IF(OR($F92=0,$F92=""),"",SUMIFS(Tree!$R:$R,Tree!$A:$A,'Pre-Harvest Plots_rpt'!$B92,Tree!$B:$B,'Pre-Harvest Plots_rpt'!$D92,Tree!$F:$F,"L"))</f>
        <v/>
      </c>
      <c r="J92" s="121" t="str">
        <f>IF(OR($F92=0,$F92=""),"",IF(SUMIFS(Tree!$W:$W,Tree!$A:$A,'Pre-Harvest Plots_rpt'!$B92,Tree!$B:$B,'Pre-Harvest Plots_rpt'!$D92,Tree!$F:$F,"L")=0,0,AVERAGEIFS(Tree!$W:$W,Tree!$A:$A,'Pre-Harvest Plots_rpt'!$B92,Tree!$B:$B,'Pre-Harvest Plots_rpt'!$D92,Tree!$F:$F,"L")))</f>
        <v/>
      </c>
      <c r="K92" s="121" t="str">
        <f>IF($F92="","",SUMIFS(Tree!$S:$S,Tree!$A:$A,'Pre-Harvest Plots_rpt'!$B92,Tree!$B:$B,'Pre-Harvest Plots_rpt'!$D92,Tree!$F:$F,"L"))</f>
        <v/>
      </c>
      <c r="L92" s="154" t="str">
        <f t="shared" si="12"/>
        <v/>
      </c>
      <c r="M92" s="135"/>
      <c r="N92" s="192" t="str">
        <f>IF(B92="","",SUMIFS(Tree!$AM:$AM,Tree!$A:$A,'Pre-Harvest Plots_rpt'!$B92,Tree!$B:$B,'Pre-Harvest Plots_rpt'!$D92,Tree!$F:$F,"L"))</f>
        <v/>
      </c>
      <c r="O92" s="122" t="str">
        <f>IF(B92="","",SUMIFS(Tree!$AN:$AN,Tree!$A:$A,'Pre-Harvest Plots_rpt'!$B92,Tree!$B:$B,'Pre-Harvest Plots_rpt'!$D92,Tree!$F:$F,"L"))</f>
        <v/>
      </c>
      <c r="P92" s="122" t="str">
        <f>IF(B92="","",SUMIFS(Tree!$AO:$AO,Tree!$A:$A,'Pre-Harvest Plots_rpt'!$B92,Tree!$B:$B,'Pre-Harvest Plots_rpt'!$D92,Tree!$F:$F,"L"))</f>
        <v/>
      </c>
      <c r="Q92" s="122" t="str">
        <f>IF(B92="","",SUMIFS(Tree!$AP:$AP,Tree!$A:$A,'Pre-Harvest Plots_rpt'!$B92,Tree!$B:$B,'Pre-Harvest Plots_rpt'!$D92,Tree!$F:$F,"L"))</f>
        <v/>
      </c>
      <c r="R92" s="123" t="str">
        <f>IF(B92="","",SUMIFS(Tree!$AQ:$AQ,Tree!$A:$A,'Pre-Harvest Plots_rpt'!$B92,Tree!$B:$B,'Pre-Harvest Plots_rpt'!$D92,Tree!$F:$F,"L"))</f>
        <v/>
      </c>
      <c r="S92" s="122" t="str">
        <f>IF(B92="","",SUMIFS(Tree!$AJ:$AJ,Tree!$A:$A,'Pre-Harvest Plots_rpt'!$B92,Tree!$B:$B,'Pre-Harvest Plots_rpt'!$D92,Tree!$F:$F,"L")-O92)</f>
        <v/>
      </c>
      <c r="T92" s="122" t="str">
        <f>IF(B92="","",SUMIFS(Tree!$AK:$AK,Tree!$A:$A,'Pre-Harvest Plots_rpt'!$B92,Tree!$B:$B,'Pre-Harvest Plots_rpt'!$D92,Tree!$F:$F,"L")-P92)</f>
        <v/>
      </c>
      <c r="U92" s="122" t="str">
        <f>IF(B92="","",SUMIFS(Tree!$AL:$AL,Tree!$A:$A,'Pre-Harvest Plots_rpt'!$B92,Tree!$B:$B,'Pre-Harvest Plots_rpt'!$D92,Tree!$F:$F,"L")-Q92)</f>
        <v/>
      </c>
      <c r="V92" s="123" t="str">
        <f>IF(B92="","",ROUND(SUMIFS(Tree!$AE:$AE,Tree!$A:$A,'Pre-Harvest Plots_rpt'!$B92,Tree!$B:$B,'Pre-Harvest Plots_rpt'!$D92,Tree!$F:$F,"L")-R92,1))</f>
        <v/>
      </c>
      <c r="W92" s="124" t="str">
        <f>IF(B92="","",SUMIFS(Tree!$AY:$AY,Tree!$A:$A,'Pre-Harvest Plots_rpt'!$B92,Tree!$B:$B,'Pre-Harvest Plots_rpt'!$D92,Tree!$F:$F,"L")/1000)</f>
        <v/>
      </c>
      <c r="X92" s="158" t="str">
        <f>IF(B92="","",ROUND((SUMIFS(Tree!$AW:$AW,Tree!$A:$A,'Pre-Harvest Plots_rpt'!$B92,Tree!$B:$B,'Pre-Harvest Plots_rpt'!$D92,Tree!$F:$F,"L")/1000)-W92,1))</f>
        <v/>
      </c>
      <c r="Y92" s="135"/>
      <c r="Z92" s="161" t="str">
        <f>IF(IF(B92="","",SUMIFS(Tree!$O:$O,Tree!$A:$A,'Pre-Harvest Plots_rpt'!$B92,Tree!$B:$B,'Pre-Harvest Plots_rpt'!$D92,Tree!$F:$F,"D"))=0,"",IF(B92="","",SUMIFS(Tree!$O:$O,Tree!$A:$A,'Pre-Harvest Plots_rpt'!$B92,Tree!$B:$B,'Pre-Harvest Plots_rpt'!$D92,Tree!$F:$F,"D")))</f>
        <v/>
      </c>
      <c r="AA92" s="125" t="str">
        <f t="shared" si="10"/>
        <v/>
      </c>
      <c r="AB92" s="125" t="str">
        <f>IF(Z92="","",SUMIFS(Tree!$R:$R,Tree!$A:$A,'Pre-Harvest Plots_rpt'!$B92,Tree!$B:$B,'Pre-Harvest Plots_rpt'!$D92,Tree!$F:$F,"D"))</f>
        <v/>
      </c>
      <c r="AC92" s="126" t="str">
        <f>IF(Z92="","",SUMIFS(Tree!$AM:$AM,Tree!$A:$A,'Pre-Harvest Plots_rpt'!$B92,Tree!$B:$B,'Pre-Harvest Plots_rpt'!$D92,Tree!$F:$F,"D"))</f>
        <v/>
      </c>
      <c r="AD92" s="162" t="str">
        <f>IF(Z92="","",SUMIFS(Tree!$AW:$AW,Tree!$A:$A,'Pre-Harvest Plots_rpt'!$B92,Tree!$B:$B,'Pre-Harvest Plots_rpt'!$D92,Tree!$F:$F,"D")/1000)</f>
        <v/>
      </c>
      <c r="AE92" s="47"/>
      <c r="AF92" s="4"/>
      <c r="AG92" s="4"/>
      <c r="AH92" s="4"/>
    </row>
    <row r="93" spans="1:34" ht="12.75" customHeight="1" x14ac:dyDescent="0.25">
      <c r="A93" s="48">
        <v>90</v>
      </c>
      <c r="B93" s="171" t="str">
        <f>IF(A93&lt;=SUM(Stand!$H$3:$H$29),VLOOKUP(A93,Stand!$A$3:$C$29,3,TRUE),"")</f>
        <v/>
      </c>
      <c r="C93" s="172" t="str">
        <f t="shared" si="13"/>
        <v/>
      </c>
      <c r="D93" s="173" t="str">
        <f>IF(B93="","",VLOOKUP(B93&amp;C93,Plot!$B$2:$D$199,3,FALSE))</f>
        <v/>
      </c>
      <c r="E93" s="130"/>
      <c r="F93" s="152" t="str">
        <f>IF(B93="","",SUMIFS(Tree!$O:$O,Tree!$A:$A,'Pre-Harvest Plots_rpt'!$B93,Tree!$B:$B,'Pre-Harvest Plots_rpt'!$D93,Tree!$F:$F,"L"))</f>
        <v/>
      </c>
      <c r="G93" s="153" t="str">
        <f>IFERROR(IF(D93="","",SUMIFS(Tree!$P:$P,Tree!$A:$A,'Pre-Harvest Plots_rpt'!$B93,Tree!$B:$B,'Pre-Harvest Plots_rpt'!$D93)/$F93),"")</f>
        <v/>
      </c>
      <c r="H93" s="122" t="str">
        <f t="shared" si="11"/>
        <v/>
      </c>
      <c r="I93" s="121" t="str">
        <f>IF(OR($F93=0,$F93=""),"",SUMIFS(Tree!$R:$R,Tree!$A:$A,'Pre-Harvest Plots_rpt'!$B93,Tree!$B:$B,'Pre-Harvest Plots_rpt'!$D93,Tree!$F:$F,"L"))</f>
        <v/>
      </c>
      <c r="J93" s="121" t="str">
        <f>IF(OR($F93=0,$F93=""),"",IF(SUMIFS(Tree!$W:$W,Tree!$A:$A,'Pre-Harvest Plots_rpt'!$B93,Tree!$B:$B,'Pre-Harvest Plots_rpt'!$D93,Tree!$F:$F,"L")=0,0,AVERAGEIFS(Tree!$W:$W,Tree!$A:$A,'Pre-Harvest Plots_rpt'!$B93,Tree!$B:$B,'Pre-Harvest Plots_rpt'!$D93,Tree!$F:$F,"L")))</f>
        <v/>
      </c>
      <c r="K93" s="121" t="str">
        <f>IF($F93="","",SUMIFS(Tree!$S:$S,Tree!$A:$A,'Pre-Harvest Plots_rpt'!$B93,Tree!$B:$B,'Pre-Harvest Plots_rpt'!$D93,Tree!$F:$F,"L"))</f>
        <v/>
      </c>
      <c r="L93" s="154" t="str">
        <f t="shared" si="12"/>
        <v/>
      </c>
      <c r="M93" s="135"/>
      <c r="N93" s="192" t="str">
        <f>IF(B93="","",SUMIFS(Tree!$AM:$AM,Tree!$A:$A,'Pre-Harvest Plots_rpt'!$B93,Tree!$B:$B,'Pre-Harvest Plots_rpt'!$D93,Tree!$F:$F,"L"))</f>
        <v/>
      </c>
      <c r="O93" s="122" t="str">
        <f>IF(B93="","",SUMIFS(Tree!$AN:$AN,Tree!$A:$A,'Pre-Harvest Plots_rpt'!$B93,Tree!$B:$B,'Pre-Harvest Plots_rpt'!$D93,Tree!$F:$F,"L"))</f>
        <v/>
      </c>
      <c r="P93" s="122" t="str">
        <f>IF(B93="","",SUMIFS(Tree!$AO:$AO,Tree!$A:$A,'Pre-Harvest Plots_rpt'!$B93,Tree!$B:$B,'Pre-Harvest Plots_rpt'!$D93,Tree!$F:$F,"L"))</f>
        <v/>
      </c>
      <c r="Q93" s="122" t="str">
        <f>IF(B93="","",SUMIFS(Tree!$AP:$AP,Tree!$A:$A,'Pre-Harvest Plots_rpt'!$B93,Tree!$B:$B,'Pre-Harvest Plots_rpt'!$D93,Tree!$F:$F,"L"))</f>
        <v/>
      </c>
      <c r="R93" s="123" t="str">
        <f>IF(B93="","",SUMIFS(Tree!$AQ:$AQ,Tree!$A:$A,'Pre-Harvest Plots_rpt'!$B93,Tree!$B:$B,'Pre-Harvest Plots_rpt'!$D93,Tree!$F:$F,"L"))</f>
        <v/>
      </c>
      <c r="S93" s="122" t="str">
        <f>IF(B93="","",SUMIFS(Tree!$AJ:$AJ,Tree!$A:$A,'Pre-Harvest Plots_rpt'!$B93,Tree!$B:$B,'Pre-Harvest Plots_rpt'!$D93,Tree!$F:$F,"L")-O93)</f>
        <v/>
      </c>
      <c r="T93" s="122" t="str">
        <f>IF(B93="","",SUMIFS(Tree!$AK:$AK,Tree!$A:$A,'Pre-Harvest Plots_rpt'!$B93,Tree!$B:$B,'Pre-Harvest Plots_rpt'!$D93,Tree!$F:$F,"L")-P93)</f>
        <v/>
      </c>
      <c r="U93" s="122" t="str">
        <f>IF(B93="","",SUMIFS(Tree!$AL:$AL,Tree!$A:$A,'Pre-Harvest Plots_rpt'!$B93,Tree!$B:$B,'Pre-Harvest Plots_rpt'!$D93,Tree!$F:$F,"L")-Q93)</f>
        <v/>
      </c>
      <c r="V93" s="123" t="str">
        <f>IF(B93="","",ROUND(SUMIFS(Tree!$AE:$AE,Tree!$A:$A,'Pre-Harvest Plots_rpt'!$B93,Tree!$B:$B,'Pre-Harvest Plots_rpt'!$D93,Tree!$F:$F,"L")-R93,1))</f>
        <v/>
      </c>
      <c r="W93" s="124" t="str">
        <f>IF(B93="","",SUMIFS(Tree!$AY:$AY,Tree!$A:$A,'Pre-Harvest Plots_rpt'!$B93,Tree!$B:$B,'Pre-Harvest Plots_rpt'!$D93,Tree!$F:$F,"L")/1000)</f>
        <v/>
      </c>
      <c r="X93" s="158" t="str">
        <f>IF(B93="","",ROUND((SUMIFS(Tree!$AW:$AW,Tree!$A:$A,'Pre-Harvest Plots_rpt'!$B93,Tree!$B:$B,'Pre-Harvest Plots_rpt'!$D93,Tree!$F:$F,"L")/1000)-W93,1))</f>
        <v/>
      </c>
      <c r="Y93" s="135"/>
      <c r="Z93" s="161" t="str">
        <f>IF(IF(B93="","",SUMIFS(Tree!$O:$O,Tree!$A:$A,'Pre-Harvest Plots_rpt'!$B93,Tree!$B:$B,'Pre-Harvest Plots_rpt'!$D93,Tree!$F:$F,"D"))=0,"",IF(B93="","",SUMIFS(Tree!$O:$O,Tree!$A:$A,'Pre-Harvest Plots_rpt'!$B93,Tree!$B:$B,'Pre-Harvest Plots_rpt'!$D93,Tree!$F:$F,"D")))</f>
        <v/>
      </c>
      <c r="AA93" s="125" t="str">
        <f t="shared" si="10"/>
        <v/>
      </c>
      <c r="AB93" s="125" t="str">
        <f>IF(Z93="","",SUMIFS(Tree!$R:$R,Tree!$A:$A,'Pre-Harvest Plots_rpt'!$B93,Tree!$B:$B,'Pre-Harvest Plots_rpt'!$D93,Tree!$F:$F,"D"))</f>
        <v/>
      </c>
      <c r="AC93" s="126" t="str">
        <f>IF(Z93="","",SUMIFS(Tree!$AM:$AM,Tree!$A:$A,'Pre-Harvest Plots_rpt'!$B93,Tree!$B:$B,'Pre-Harvest Plots_rpt'!$D93,Tree!$F:$F,"D"))</f>
        <v/>
      </c>
      <c r="AD93" s="162" t="str">
        <f>IF(Z93="","",SUMIFS(Tree!$AW:$AW,Tree!$A:$A,'Pre-Harvest Plots_rpt'!$B93,Tree!$B:$B,'Pre-Harvest Plots_rpt'!$D93,Tree!$F:$F,"D")/1000)</f>
        <v/>
      </c>
      <c r="AE93" s="47"/>
      <c r="AF93" s="4"/>
      <c r="AG93" s="4"/>
      <c r="AH93" s="4"/>
    </row>
    <row r="94" spans="1:34" ht="12.75" customHeight="1" x14ac:dyDescent="0.25">
      <c r="A94" s="48">
        <v>91</v>
      </c>
      <c r="B94" s="171" t="str">
        <f>IF(A94&lt;=SUM(Stand!$H$3:$H$29),VLOOKUP(A94,Stand!$A$3:$C$29,3,TRUE),"")</f>
        <v/>
      </c>
      <c r="C94" s="172" t="str">
        <f t="shared" si="13"/>
        <v/>
      </c>
      <c r="D94" s="173" t="str">
        <f>IF(B94="","",VLOOKUP(B94&amp;C94,Plot!$B$2:$D$199,3,FALSE))</f>
        <v/>
      </c>
      <c r="E94" s="130"/>
      <c r="F94" s="152" t="str">
        <f>IF(B94="","",SUMIFS(Tree!$O:$O,Tree!$A:$A,'Pre-Harvest Plots_rpt'!$B94,Tree!$B:$B,'Pre-Harvest Plots_rpt'!$D94,Tree!$F:$F,"L"))</f>
        <v/>
      </c>
      <c r="G94" s="153" t="str">
        <f>IFERROR(IF(D94="","",SUMIFS(Tree!$P:$P,Tree!$A:$A,'Pre-Harvest Plots_rpt'!$B94,Tree!$B:$B,'Pre-Harvest Plots_rpt'!$D94)/$F94),"")</f>
        <v/>
      </c>
      <c r="H94" s="122" t="str">
        <f t="shared" si="11"/>
        <v/>
      </c>
      <c r="I94" s="121" t="str">
        <f>IF(OR($F94=0,$F94=""),"",SUMIFS(Tree!$R:$R,Tree!$A:$A,'Pre-Harvest Plots_rpt'!$B94,Tree!$B:$B,'Pre-Harvest Plots_rpt'!$D94,Tree!$F:$F,"L"))</f>
        <v/>
      </c>
      <c r="J94" s="121" t="str">
        <f>IF(OR($F94=0,$F94=""),"",IF(SUMIFS(Tree!$W:$W,Tree!$A:$A,'Pre-Harvest Plots_rpt'!$B94,Tree!$B:$B,'Pre-Harvest Plots_rpt'!$D94,Tree!$F:$F,"L")=0,0,AVERAGEIFS(Tree!$W:$W,Tree!$A:$A,'Pre-Harvest Plots_rpt'!$B94,Tree!$B:$B,'Pre-Harvest Plots_rpt'!$D94,Tree!$F:$F,"L")))</f>
        <v/>
      </c>
      <c r="K94" s="121" t="str">
        <f>IF($F94="","",SUMIFS(Tree!$S:$S,Tree!$A:$A,'Pre-Harvest Plots_rpt'!$B94,Tree!$B:$B,'Pre-Harvest Plots_rpt'!$D94,Tree!$F:$F,"L"))</f>
        <v/>
      </c>
      <c r="L94" s="154" t="str">
        <f t="shared" si="12"/>
        <v/>
      </c>
      <c r="M94" s="135"/>
      <c r="N94" s="192" t="str">
        <f>IF(B94="","",SUMIFS(Tree!$AM:$AM,Tree!$A:$A,'Pre-Harvest Plots_rpt'!$B94,Tree!$B:$B,'Pre-Harvest Plots_rpt'!$D94,Tree!$F:$F,"L"))</f>
        <v/>
      </c>
      <c r="O94" s="122" t="str">
        <f>IF(B94="","",SUMIFS(Tree!$AN:$AN,Tree!$A:$A,'Pre-Harvest Plots_rpt'!$B94,Tree!$B:$B,'Pre-Harvest Plots_rpt'!$D94,Tree!$F:$F,"L"))</f>
        <v/>
      </c>
      <c r="P94" s="122" t="str">
        <f>IF(B94="","",SUMIFS(Tree!$AO:$AO,Tree!$A:$A,'Pre-Harvest Plots_rpt'!$B94,Tree!$B:$B,'Pre-Harvest Plots_rpt'!$D94,Tree!$F:$F,"L"))</f>
        <v/>
      </c>
      <c r="Q94" s="122" t="str">
        <f>IF(B94="","",SUMIFS(Tree!$AP:$AP,Tree!$A:$A,'Pre-Harvest Plots_rpt'!$B94,Tree!$B:$B,'Pre-Harvest Plots_rpt'!$D94,Tree!$F:$F,"L"))</f>
        <v/>
      </c>
      <c r="R94" s="123" t="str">
        <f>IF(B94="","",SUMIFS(Tree!$AQ:$AQ,Tree!$A:$A,'Pre-Harvest Plots_rpt'!$B94,Tree!$B:$B,'Pre-Harvest Plots_rpt'!$D94,Tree!$F:$F,"L"))</f>
        <v/>
      </c>
      <c r="S94" s="122" t="str">
        <f>IF(B94="","",SUMIFS(Tree!$AJ:$AJ,Tree!$A:$A,'Pre-Harvest Plots_rpt'!$B94,Tree!$B:$B,'Pre-Harvest Plots_rpt'!$D94,Tree!$F:$F,"L")-O94)</f>
        <v/>
      </c>
      <c r="T94" s="122" t="str">
        <f>IF(B94="","",SUMIFS(Tree!$AK:$AK,Tree!$A:$A,'Pre-Harvest Plots_rpt'!$B94,Tree!$B:$B,'Pre-Harvest Plots_rpt'!$D94,Tree!$F:$F,"L")-P94)</f>
        <v/>
      </c>
      <c r="U94" s="122" t="str">
        <f>IF(B94="","",SUMIFS(Tree!$AL:$AL,Tree!$A:$A,'Pre-Harvest Plots_rpt'!$B94,Tree!$B:$B,'Pre-Harvest Plots_rpt'!$D94,Tree!$F:$F,"L")-Q94)</f>
        <v/>
      </c>
      <c r="V94" s="123" t="str">
        <f>IF(B94="","",ROUND(SUMIFS(Tree!$AE:$AE,Tree!$A:$A,'Pre-Harvest Plots_rpt'!$B94,Tree!$B:$B,'Pre-Harvest Plots_rpt'!$D94,Tree!$F:$F,"L")-R94,1))</f>
        <v/>
      </c>
      <c r="W94" s="124" t="str">
        <f>IF(B94="","",SUMIFS(Tree!$AY:$AY,Tree!$A:$A,'Pre-Harvest Plots_rpt'!$B94,Tree!$B:$B,'Pre-Harvest Plots_rpt'!$D94,Tree!$F:$F,"L")/1000)</f>
        <v/>
      </c>
      <c r="X94" s="158" t="str">
        <f>IF(B94="","",ROUND((SUMIFS(Tree!$AW:$AW,Tree!$A:$A,'Pre-Harvest Plots_rpt'!$B94,Tree!$B:$B,'Pre-Harvest Plots_rpt'!$D94,Tree!$F:$F,"L")/1000)-W94,1))</f>
        <v/>
      </c>
      <c r="Y94" s="135"/>
      <c r="Z94" s="161" t="str">
        <f>IF(IF(B94="","",SUMIFS(Tree!$O:$O,Tree!$A:$A,'Pre-Harvest Plots_rpt'!$B94,Tree!$B:$B,'Pre-Harvest Plots_rpt'!$D94,Tree!$F:$F,"D"))=0,"",IF(B94="","",SUMIFS(Tree!$O:$O,Tree!$A:$A,'Pre-Harvest Plots_rpt'!$B94,Tree!$B:$B,'Pre-Harvest Plots_rpt'!$D94,Tree!$F:$F,"D")))</f>
        <v/>
      </c>
      <c r="AA94" s="125" t="str">
        <f t="shared" si="10"/>
        <v/>
      </c>
      <c r="AB94" s="125" t="str">
        <f>IF(Z94="","",SUMIFS(Tree!$R:$R,Tree!$A:$A,'Pre-Harvest Plots_rpt'!$B94,Tree!$B:$B,'Pre-Harvest Plots_rpt'!$D94,Tree!$F:$F,"D"))</f>
        <v/>
      </c>
      <c r="AC94" s="126" t="str">
        <f>IF(Z94="","",SUMIFS(Tree!$AM:$AM,Tree!$A:$A,'Pre-Harvest Plots_rpt'!$B94,Tree!$B:$B,'Pre-Harvest Plots_rpt'!$D94,Tree!$F:$F,"D"))</f>
        <v/>
      </c>
      <c r="AD94" s="162" t="str">
        <f>IF(Z94="","",SUMIFS(Tree!$AW:$AW,Tree!$A:$A,'Pre-Harvest Plots_rpt'!$B94,Tree!$B:$B,'Pre-Harvest Plots_rpt'!$D94,Tree!$F:$F,"D")/1000)</f>
        <v/>
      </c>
      <c r="AE94" s="47"/>
      <c r="AF94" s="4"/>
      <c r="AG94" s="4"/>
      <c r="AH94" s="4"/>
    </row>
    <row r="95" spans="1:34" ht="12.75" customHeight="1" x14ac:dyDescent="0.25">
      <c r="A95" s="48">
        <v>92</v>
      </c>
      <c r="B95" s="171" t="str">
        <f>IF(A95&lt;=SUM(Stand!$H$3:$H$29),VLOOKUP(A95,Stand!$A$3:$C$29,3,TRUE),"")</f>
        <v/>
      </c>
      <c r="C95" s="172" t="str">
        <f t="shared" si="13"/>
        <v/>
      </c>
      <c r="D95" s="173" t="str">
        <f>IF(B95="","",VLOOKUP(B95&amp;C95,Plot!$B$2:$D$199,3,FALSE))</f>
        <v/>
      </c>
      <c r="E95" s="130"/>
      <c r="F95" s="152" t="str">
        <f>IF(B95="","",SUMIFS(Tree!$O:$O,Tree!$A:$A,'Pre-Harvest Plots_rpt'!$B95,Tree!$B:$B,'Pre-Harvest Plots_rpt'!$D95,Tree!$F:$F,"L"))</f>
        <v/>
      </c>
      <c r="G95" s="153" t="str">
        <f>IFERROR(IF(D95="","",SUMIFS(Tree!$P:$P,Tree!$A:$A,'Pre-Harvest Plots_rpt'!$B95,Tree!$B:$B,'Pre-Harvest Plots_rpt'!$D95)/$F95),"")</f>
        <v/>
      </c>
      <c r="H95" s="122" t="str">
        <f t="shared" si="11"/>
        <v/>
      </c>
      <c r="I95" s="121" t="str">
        <f>IF(OR($F95=0,$F95=""),"",SUMIFS(Tree!$R:$R,Tree!$A:$A,'Pre-Harvest Plots_rpt'!$B95,Tree!$B:$B,'Pre-Harvest Plots_rpt'!$D95,Tree!$F:$F,"L"))</f>
        <v/>
      </c>
      <c r="J95" s="121" t="str">
        <f>IF(OR($F95=0,$F95=""),"",IF(SUMIFS(Tree!$W:$W,Tree!$A:$A,'Pre-Harvest Plots_rpt'!$B95,Tree!$B:$B,'Pre-Harvest Plots_rpt'!$D95,Tree!$F:$F,"L")=0,0,AVERAGEIFS(Tree!$W:$W,Tree!$A:$A,'Pre-Harvest Plots_rpt'!$B95,Tree!$B:$B,'Pre-Harvest Plots_rpt'!$D95,Tree!$F:$F,"L")))</f>
        <v/>
      </c>
      <c r="K95" s="121" t="str">
        <f>IF($F95="","",SUMIFS(Tree!$S:$S,Tree!$A:$A,'Pre-Harvest Plots_rpt'!$B95,Tree!$B:$B,'Pre-Harvest Plots_rpt'!$D95,Tree!$F:$F,"L"))</f>
        <v/>
      </c>
      <c r="L95" s="154" t="str">
        <f t="shared" si="12"/>
        <v/>
      </c>
      <c r="M95" s="135"/>
      <c r="N95" s="192" t="str">
        <f>IF(B95="","",SUMIFS(Tree!$AM:$AM,Tree!$A:$A,'Pre-Harvest Plots_rpt'!$B95,Tree!$B:$B,'Pre-Harvest Plots_rpt'!$D95,Tree!$F:$F,"L"))</f>
        <v/>
      </c>
      <c r="O95" s="122" t="str">
        <f>IF(B95="","",SUMIFS(Tree!$AN:$AN,Tree!$A:$A,'Pre-Harvest Plots_rpt'!$B95,Tree!$B:$B,'Pre-Harvest Plots_rpt'!$D95,Tree!$F:$F,"L"))</f>
        <v/>
      </c>
      <c r="P95" s="122" t="str">
        <f>IF(B95="","",SUMIFS(Tree!$AO:$AO,Tree!$A:$A,'Pre-Harvest Plots_rpt'!$B95,Tree!$B:$B,'Pre-Harvest Plots_rpt'!$D95,Tree!$F:$F,"L"))</f>
        <v/>
      </c>
      <c r="Q95" s="122" t="str">
        <f>IF(B95="","",SUMIFS(Tree!$AP:$AP,Tree!$A:$A,'Pre-Harvest Plots_rpt'!$B95,Tree!$B:$B,'Pre-Harvest Plots_rpt'!$D95,Tree!$F:$F,"L"))</f>
        <v/>
      </c>
      <c r="R95" s="123" t="str">
        <f>IF(B95="","",SUMIFS(Tree!$AQ:$AQ,Tree!$A:$A,'Pre-Harvest Plots_rpt'!$B95,Tree!$B:$B,'Pre-Harvest Plots_rpt'!$D95,Tree!$F:$F,"L"))</f>
        <v/>
      </c>
      <c r="S95" s="122" t="str">
        <f>IF(B95="","",SUMIFS(Tree!$AJ:$AJ,Tree!$A:$A,'Pre-Harvest Plots_rpt'!$B95,Tree!$B:$B,'Pre-Harvest Plots_rpt'!$D95,Tree!$F:$F,"L")-O95)</f>
        <v/>
      </c>
      <c r="T95" s="122" t="str">
        <f>IF(B95="","",SUMIFS(Tree!$AK:$AK,Tree!$A:$A,'Pre-Harvest Plots_rpt'!$B95,Tree!$B:$B,'Pre-Harvest Plots_rpt'!$D95,Tree!$F:$F,"L")-P95)</f>
        <v/>
      </c>
      <c r="U95" s="122" t="str">
        <f>IF(B95="","",SUMIFS(Tree!$AL:$AL,Tree!$A:$A,'Pre-Harvest Plots_rpt'!$B95,Tree!$B:$B,'Pre-Harvest Plots_rpt'!$D95,Tree!$F:$F,"L")-Q95)</f>
        <v/>
      </c>
      <c r="V95" s="123" t="str">
        <f>IF(B95="","",ROUND(SUMIFS(Tree!$AE:$AE,Tree!$A:$A,'Pre-Harvest Plots_rpt'!$B95,Tree!$B:$B,'Pre-Harvest Plots_rpt'!$D95,Tree!$F:$F,"L")-R95,1))</f>
        <v/>
      </c>
      <c r="W95" s="124" t="str">
        <f>IF(B95="","",SUMIFS(Tree!$AY:$AY,Tree!$A:$A,'Pre-Harvest Plots_rpt'!$B95,Tree!$B:$B,'Pre-Harvest Plots_rpt'!$D95,Tree!$F:$F,"L")/1000)</f>
        <v/>
      </c>
      <c r="X95" s="158" t="str">
        <f>IF(B95="","",ROUND((SUMIFS(Tree!$AW:$AW,Tree!$A:$A,'Pre-Harvest Plots_rpt'!$B95,Tree!$B:$B,'Pre-Harvest Plots_rpt'!$D95,Tree!$F:$F,"L")/1000)-W95,1))</f>
        <v/>
      </c>
      <c r="Y95" s="135"/>
      <c r="Z95" s="161" t="str">
        <f>IF(IF(B95="","",SUMIFS(Tree!$O:$O,Tree!$A:$A,'Pre-Harvest Plots_rpt'!$B95,Tree!$B:$B,'Pre-Harvest Plots_rpt'!$D95,Tree!$F:$F,"D"))=0,"",IF(B95="","",SUMIFS(Tree!$O:$O,Tree!$A:$A,'Pre-Harvest Plots_rpt'!$B95,Tree!$B:$B,'Pre-Harvest Plots_rpt'!$D95,Tree!$F:$F,"D")))</f>
        <v/>
      </c>
      <c r="AA95" s="125" t="str">
        <f t="shared" si="10"/>
        <v/>
      </c>
      <c r="AB95" s="125" t="str">
        <f>IF(Z95="","",SUMIFS(Tree!$R:$R,Tree!$A:$A,'Pre-Harvest Plots_rpt'!$B95,Tree!$B:$B,'Pre-Harvest Plots_rpt'!$D95,Tree!$F:$F,"D"))</f>
        <v/>
      </c>
      <c r="AC95" s="126" t="str">
        <f>IF(Z95="","",SUMIFS(Tree!$AM:$AM,Tree!$A:$A,'Pre-Harvest Plots_rpt'!$B95,Tree!$B:$B,'Pre-Harvest Plots_rpt'!$D95,Tree!$F:$F,"D"))</f>
        <v/>
      </c>
      <c r="AD95" s="162" t="str">
        <f>IF(Z95="","",SUMIFS(Tree!$AW:$AW,Tree!$A:$A,'Pre-Harvest Plots_rpt'!$B95,Tree!$B:$B,'Pre-Harvest Plots_rpt'!$D95,Tree!$F:$F,"D")/1000)</f>
        <v/>
      </c>
      <c r="AE95" s="47"/>
      <c r="AF95" s="4"/>
      <c r="AG95" s="4"/>
      <c r="AH95" s="4"/>
    </row>
    <row r="96" spans="1:34" ht="12.75" customHeight="1" x14ac:dyDescent="0.25">
      <c r="A96" s="48">
        <v>93</v>
      </c>
      <c r="B96" s="171" t="str">
        <f>IF(A96&lt;=SUM(Stand!$H$3:$H$29),VLOOKUP(A96,Stand!$A$3:$C$29,3,TRUE),"")</f>
        <v/>
      </c>
      <c r="C96" s="172" t="str">
        <f t="shared" si="13"/>
        <v/>
      </c>
      <c r="D96" s="173" t="str">
        <f>IF(B96="","",VLOOKUP(B96&amp;C96,Plot!$B$2:$D$199,3,FALSE))</f>
        <v/>
      </c>
      <c r="E96" s="130"/>
      <c r="F96" s="152" t="str">
        <f>IF(B96="","",SUMIFS(Tree!$O:$O,Tree!$A:$A,'Pre-Harvest Plots_rpt'!$B96,Tree!$B:$B,'Pre-Harvest Plots_rpt'!$D96,Tree!$F:$F,"L"))</f>
        <v/>
      </c>
      <c r="G96" s="153" t="str">
        <f>IFERROR(IF(D96="","",SUMIFS(Tree!$P:$P,Tree!$A:$A,'Pre-Harvest Plots_rpt'!$B96,Tree!$B:$B,'Pre-Harvest Plots_rpt'!$D96)/$F96),"")</f>
        <v/>
      </c>
      <c r="H96" s="122" t="str">
        <f t="shared" si="11"/>
        <v/>
      </c>
      <c r="I96" s="121" t="str">
        <f>IF(OR($F96=0,$F96=""),"",SUMIFS(Tree!$R:$R,Tree!$A:$A,'Pre-Harvest Plots_rpt'!$B96,Tree!$B:$B,'Pre-Harvest Plots_rpt'!$D96,Tree!$F:$F,"L"))</f>
        <v/>
      </c>
      <c r="J96" s="121" t="str">
        <f>IF(OR($F96=0,$F96=""),"",IF(SUMIFS(Tree!$W:$W,Tree!$A:$A,'Pre-Harvest Plots_rpt'!$B96,Tree!$B:$B,'Pre-Harvest Plots_rpt'!$D96,Tree!$F:$F,"L")=0,0,AVERAGEIFS(Tree!$W:$W,Tree!$A:$A,'Pre-Harvest Plots_rpt'!$B96,Tree!$B:$B,'Pre-Harvest Plots_rpt'!$D96,Tree!$F:$F,"L")))</f>
        <v/>
      </c>
      <c r="K96" s="121" t="str">
        <f>IF($F96="","",SUMIFS(Tree!$S:$S,Tree!$A:$A,'Pre-Harvest Plots_rpt'!$B96,Tree!$B:$B,'Pre-Harvest Plots_rpt'!$D96,Tree!$F:$F,"L"))</f>
        <v/>
      </c>
      <c r="L96" s="154" t="str">
        <f t="shared" si="12"/>
        <v/>
      </c>
      <c r="M96" s="135"/>
      <c r="N96" s="192" t="str">
        <f>IF(B96="","",SUMIFS(Tree!$AM:$AM,Tree!$A:$A,'Pre-Harvest Plots_rpt'!$B96,Tree!$B:$B,'Pre-Harvest Plots_rpt'!$D96,Tree!$F:$F,"L"))</f>
        <v/>
      </c>
      <c r="O96" s="122" t="str">
        <f>IF(B96="","",SUMIFS(Tree!$AN:$AN,Tree!$A:$A,'Pre-Harvest Plots_rpt'!$B96,Tree!$B:$B,'Pre-Harvest Plots_rpt'!$D96,Tree!$F:$F,"L"))</f>
        <v/>
      </c>
      <c r="P96" s="122" t="str">
        <f>IF(B96="","",SUMIFS(Tree!$AO:$AO,Tree!$A:$A,'Pre-Harvest Plots_rpt'!$B96,Tree!$B:$B,'Pre-Harvest Plots_rpt'!$D96,Tree!$F:$F,"L"))</f>
        <v/>
      </c>
      <c r="Q96" s="122" t="str">
        <f>IF(B96="","",SUMIFS(Tree!$AP:$AP,Tree!$A:$A,'Pre-Harvest Plots_rpt'!$B96,Tree!$B:$B,'Pre-Harvest Plots_rpt'!$D96,Tree!$F:$F,"L"))</f>
        <v/>
      </c>
      <c r="R96" s="123" t="str">
        <f>IF(B96="","",SUMIFS(Tree!$AQ:$AQ,Tree!$A:$A,'Pre-Harvest Plots_rpt'!$B96,Tree!$B:$B,'Pre-Harvest Plots_rpt'!$D96,Tree!$F:$F,"L"))</f>
        <v/>
      </c>
      <c r="S96" s="122" t="str">
        <f>IF(B96="","",SUMIFS(Tree!$AJ:$AJ,Tree!$A:$A,'Pre-Harvest Plots_rpt'!$B96,Tree!$B:$B,'Pre-Harvest Plots_rpt'!$D96,Tree!$F:$F,"L")-O96)</f>
        <v/>
      </c>
      <c r="T96" s="122" t="str">
        <f>IF(B96="","",SUMIFS(Tree!$AK:$AK,Tree!$A:$A,'Pre-Harvest Plots_rpt'!$B96,Tree!$B:$B,'Pre-Harvest Plots_rpt'!$D96,Tree!$F:$F,"L")-P96)</f>
        <v/>
      </c>
      <c r="U96" s="122" t="str">
        <f>IF(B96="","",SUMIFS(Tree!$AL:$AL,Tree!$A:$A,'Pre-Harvest Plots_rpt'!$B96,Tree!$B:$B,'Pre-Harvest Plots_rpt'!$D96,Tree!$F:$F,"L")-Q96)</f>
        <v/>
      </c>
      <c r="V96" s="123" t="str">
        <f>IF(B96="","",ROUND(SUMIFS(Tree!$AE:$AE,Tree!$A:$A,'Pre-Harvest Plots_rpt'!$B96,Tree!$B:$B,'Pre-Harvest Plots_rpt'!$D96,Tree!$F:$F,"L")-R96,1))</f>
        <v/>
      </c>
      <c r="W96" s="124" t="str">
        <f>IF(B96="","",SUMIFS(Tree!$AY:$AY,Tree!$A:$A,'Pre-Harvest Plots_rpt'!$B96,Tree!$B:$B,'Pre-Harvest Plots_rpt'!$D96,Tree!$F:$F,"L")/1000)</f>
        <v/>
      </c>
      <c r="X96" s="158" t="str">
        <f>IF(B96="","",ROUND((SUMIFS(Tree!$AW:$AW,Tree!$A:$A,'Pre-Harvest Plots_rpt'!$B96,Tree!$B:$B,'Pre-Harvest Plots_rpt'!$D96,Tree!$F:$F,"L")/1000)-W96,1))</f>
        <v/>
      </c>
      <c r="Y96" s="135"/>
      <c r="Z96" s="161" t="str">
        <f>IF(IF(B96="","",SUMIFS(Tree!$O:$O,Tree!$A:$A,'Pre-Harvest Plots_rpt'!$B96,Tree!$B:$B,'Pre-Harvest Plots_rpt'!$D96,Tree!$F:$F,"D"))=0,"",IF(B96="","",SUMIFS(Tree!$O:$O,Tree!$A:$A,'Pre-Harvest Plots_rpt'!$B96,Tree!$B:$B,'Pre-Harvest Plots_rpt'!$D96,Tree!$F:$F,"D")))</f>
        <v/>
      </c>
      <c r="AA96" s="125" t="str">
        <f t="shared" si="10"/>
        <v/>
      </c>
      <c r="AB96" s="125" t="str">
        <f>IF(Z96="","",SUMIFS(Tree!$R:$R,Tree!$A:$A,'Pre-Harvest Plots_rpt'!$B96,Tree!$B:$B,'Pre-Harvest Plots_rpt'!$D96,Tree!$F:$F,"D"))</f>
        <v/>
      </c>
      <c r="AC96" s="126" t="str">
        <f>IF(Z96="","",SUMIFS(Tree!$AM:$AM,Tree!$A:$A,'Pre-Harvest Plots_rpt'!$B96,Tree!$B:$B,'Pre-Harvest Plots_rpt'!$D96,Tree!$F:$F,"D"))</f>
        <v/>
      </c>
      <c r="AD96" s="162" t="str">
        <f>IF(Z96="","",SUMIFS(Tree!$AW:$AW,Tree!$A:$A,'Pre-Harvest Plots_rpt'!$B96,Tree!$B:$B,'Pre-Harvest Plots_rpt'!$D96,Tree!$F:$F,"D")/1000)</f>
        <v/>
      </c>
      <c r="AE96" s="47"/>
      <c r="AF96" s="4"/>
      <c r="AG96" s="4"/>
      <c r="AH96" s="4"/>
    </row>
    <row r="97" spans="1:34" ht="12.75" customHeight="1" x14ac:dyDescent="0.25">
      <c r="A97" s="48">
        <v>94</v>
      </c>
      <c r="B97" s="171" t="str">
        <f>IF(A97&lt;=SUM(Stand!$H$3:$H$29),VLOOKUP(A97,Stand!$A$3:$C$29,3,TRUE),"")</f>
        <v/>
      </c>
      <c r="C97" s="172" t="str">
        <f t="shared" si="13"/>
        <v/>
      </c>
      <c r="D97" s="173" t="str">
        <f>IF(B97="","",VLOOKUP(B97&amp;C97,Plot!$B$2:$D$199,3,FALSE))</f>
        <v/>
      </c>
      <c r="E97" s="130"/>
      <c r="F97" s="152" t="str">
        <f>IF(B97="","",SUMIFS(Tree!$O:$O,Tree!$A:$A,'Pre-Harvest Plots_rpt'!$B97,Tree!$B:$B,'Pre-Harvest Plots_rpt'!$D97,Tree!$F:$F,"L"))</f>
        <v/>
      </c>
      <c r="G97" s="153" t="str">
        <f>IFERROR(IF(D97="","",SUMIFS(Tree!$P:$P,Tree!$A:$A,'Pre-Harvest Plots_rpt'!$B97,Tree!$B:$B,'Pre-Harvest Plots_rpt'!$D97)/$F97),"")</f>
        <v/>
      </c>
      <c r="H97" s="122" t="str">
        <f t="shared" si="11"/>
        <v/>
      </c>
      <c r="I97" s="121" t="str">
        <f>IF(OR($F97=0,$F97=""),"",SUMIFS(Tree!$R:$R,Tree!$A:$A,'Pre-Harvest Plots_rpt'!$B97,Tree!$B:$B,'Pre-Harvest Plots_rpt'!$D97,Tree!$F:$F,"L"))</f>
        <v/>
      </c>
      <c r="J97" s="121" t="str">
        <f>IF(OR($F97=0,$F97=""),"",IF(SUMIFS(Tree!$W:$W,Tree!$A:$A,'Pre-Harvest Plots_rpt'!$B97,Tree!$B:$B,'Pre-Harvest Plots_rpt'!$D97,Tree!$F:$F,"L")=0,0,AVERAGEIFS(Tree!$W:$W,Tree!$A:$A,'Pre-Harvest Plots_rpt'!$B97,Tree!$B:$B,'Pre-Harvest Plots_rpt'!$D97,Tree!$F:$F,"L")))</f>
        <v/>
      </c>
      <c r="K97" s="121" t="str">
        <f>IF($F97="","",SUMIFS(Tree!$S:$S,Tree!$A:$A,'Pre-Harvest Plots_rpt'!$B97,Tree!$B:$B,'Pre-Harvest Plots_rpt'!$D97,Tree!$F:$F,"L"))</f>
        <v/>
      </c>
      <c r="L97" s="154" t="str">
        <f t="shared" si="12"/>
        <v/>
      </c>
      <c r="M97" s="135"/>
      <c r="N97" s="192" t="str">
        <f>IF(B97="","",SUMIFS(Tree!$AM:$AM,Tree!$A:$A,'Pre-Harvest Plots_rpt'!$B97,Tree!$B:$B,'Pre-Harvest Plots_rpt'!$D97,Tree!$F:$F,"L"))</f>
        <v/>
      </c>
      <c r="O97" s="122" t="str">
        <f>IF(B97="","",SUMIFS(Tree!$AN:$AN,Tree!$A:$A,'Pre-Harvest Plots_rpt'!$B97,Tree!$B:$B,'Pre-Harvest Plots_rpt'!$D97,Tree!$F:$F,"L"))</f>
        <v/>
      </c>
      <c r="P97" s="122" t="str">
        <f>IF(B97="","",SUMIFS(Tree!$AO:$AO,Tree!$A:$A,'Pre-Harvest Plots_rpt'!$B97,Tree!$B:$B,'Pre-Harvest Plots_rpt'!$D97,Tree!$F:$F,"L"))</f>
        <v/>
      </c>
      <c r="Q97" s="122" t="str">
        <f>IF(B97="","",SUMIFS(Tree!$AP:$AP,Tree!$A:$A,'Pre-Harvest Plots_rpt'!$B97,Tree!$B:$B,'Pre-Harvest Plots_rpt'!$D97,Tree!$F:$F,"L"))</f>
        <v/>
      </c>
      <c r="R97" s="123" t="str">
        <f>IF(B97="","",SUMIFS(Tree!$AQ:$AQ,Tree!$A:$A,'Pre-Harvest Plots_rpt'!$B97,Tree!$B:$B,'Pre-Harvest Plots_rpt'!$D97,Tree!$F:$F,"L"))</f>
        <v/>
      </c>
      <c r="S97" s="122" t="str">
        <f>IF(B97="","",SUMIFS(Tree!$AJ:$AJ,Tree!$A:$A,'Pre-Harvest Plots_rpt'!$B97,Tree!$B:$B,'Pre-Harvest Plots_rpt'!$D97,Tree!$F:$F,"L")-O97)</f>
        <v/>
      </c>
      <c r="T97" s="122" t="str">
        <f>IF(B97="","",SUMIFS(Tree!$AK:$AK,Tree!$A:$A,'Pre-Harvest Plots_rpt'!$B97,Tree!$B:$B,'Pre-Harvest Plots_rpt'!$D97,Tree!$F:$F,"L")-P97)</f>
        <v/>
      </c>
      <c r="U97" s="122" t="str">
        <f>IF(B97="","",SUMIFS(Tree!$AL:$AL,Tree!$A:$A,'Pre-Harvest Plots_rpt'!$B97,Tree!$B:$B,'Pre-Harvest Plots_rpt'!$D97,Tree!$F:$F,"L")-Q97)</f>
        <v/>
      </c>
      <c r="V97" s="123" t="str">
        <f>IF(B97="","",ROUND(SUMIFS(Tree!$AE:$AE,Tree!$A:$A,'Pre-Harvest Plots_rpt'!$B97,Tree!$B:$B,'Pre-Harvest Plots_rpt'!$D97,Tree!$F:$F,"L")-R97,1))</f>
        <v/>
      </c>
      <c r="W97" s="124" t="str">
        <f>IF(B97="","",SUMIFS(Tree!$AY:$AY,Tree!$A:$A,'Pre-Harvest Plots_rpt'!$B97,Tree!$B:$B,'Pre-Harvest Plots_rpt'!$D97,Tree!$F:$F,"L")/1000)</f>
        <v/>
      </c>
      <c r="X97" s="158" t="str">
        <f>IF(B97="","",ROUND((SUMIFS(Tree!$AW:$AW,Tree!$A:$A,'Pre-Harvest Plots_rpt'!$B97,Tree!$B:$B,'Pre-Harvest Plots_rpt'!$D97,Tree!$F:$F,"L")/1000)-W97,1))</f>
        <v/>
      </c>
      <c r="Y97" s="135"/>
      <c r="Z97" s="161" t="str">
        <f>IF(IF(B97="","",SUMIFS(Tree!$O:$O,Tree!$A:$A,'Pre-Harvest Plots_rpt'!$B97,Tree!$B:$B,'Pre-Harvest Plots_rpt'!$D97,Tree!$F:$F,"D"))=0,"",IF(B97="","",SUMIFS(Tree!$O:$O,Tree!$A:$A,'Pre-Harvest Plots_rpt'!$B97,Tree!$B:$B,'Pre-Harvest Plots_rpt'!$D97,Tree!$F:$F,"D")))</f>
        <v/>
      </c>
      <c r="AA97" s="125" t="str">
        <f t="shared" si="10"/>
        <v/>
      </c>
      <c r="AB97" s="125" t="str">
        <f>IF(Z97="","",SUMIFS(Tree!$R:$R,Tree!$A:$A,'Pre-Harvest Plots_rpt'!$B97,Tree!$B:$B,'Pre-Harvest Plots_rpt'!$D97,Tree!$F:$F,"D"))</f>
        <v/>
      </c>
      <c r="AC97" s="126" t="str">
        <f>IF(Z97="","",SUMIFS(Tree!$AM:$AM,Tree!$A:$A,'Pre-Harvest Plots_rpt'!$B97,Tree!$B:$B,'Pre-Harvest Plots_rpt'!$D97,Tree!$F:$F,"D"))</f>
        <v/>
      </c>
      <c r="AD97" s="162" t="str">
        <f>IF(Z97="","",SUMIFS(Tree!$AW:$AW,Tree!$A:$A,'Pre-Harvest Plots_rpt'!$B97,Tree!$B:$B,'Pre-Harvest Plots_rpt'!$D97,Tree!$F:$F,"D")/1000)</f>
        <v/>
      </c>
      <c r="AE97" s="47"/>
      <c r="AF97" s="4"/>
      <c r="AG97" s="4"/>
      <c r="AH97" s="4"/>
    </row>
    <row r="98" spans="1:34" ht="12.75" customHeight="1" x14ac:dyDescent="0.25">
      <c r="A98" s="48">
        <v>95</v>
      </c>
      <c r="B98" s="171" t="str">
        <f>IF(A98&lt;=SUM(Stand!$H$3:$H$29),VLOOKUP(A98,Stand!$A$3:$C$29,3,TRUE),"")</f>
        <v/>
      </c>
      <c r="C98" s="172" t="str">
        <f t="shared" si="13"/>
        <v/>
      </c>
      <c r="D98" s="173" t="str">
        <f>IF(B98="","",VLOOKUP(B98&amp;C98,Plot!$B$2:$D$199,3,FALSE))</f>
        <v/>
      </c>
      <c r="E98" s="130"/>
      <c r="F98" s="152" t="str">
        <f>IF(B98="","",SUMIFS(Tree!$O:$O,Tree!$A:$A,'Pre-Harvest Plots_rpt'!$B98,Tree!$B:$B,'Pre-Harvest Plots_rpt'!$D98,Tree!$F:$F,"L"))</f>
        <v/>
      </c>
      <c r="G98" s="153" t="str">
        <f>IFERROR(IF(D98="","",SUMIFS(Tree!$P:$P,Tree!$A:$A,'Pre-Harvest Plots_rpt'!$B98,Tree!$B:$B,'Pre-Harvest Plots_rpt'!$D98)/$F98),"")</f>
        <v/>
      </c>
      <c r="H98" s="122" t="str">
        <f t="shared" si="11"/>
        <v/>
      </c>
      <c r="I98" s="121" t="str">
        <f>IF(OR($F98=0,$F98=""),"",SUMIFS(Tree!$R:$R,Tree!$A:$A,'Pre-Harvest Plots_rpt'!$B98,Tree!$B:$B,'Pre-Harvest Plots_rpt'!$D98,Tree!$F:$F,"L"))</f>
        <v/>
      </c>
      <c r="J98" s="121" t="str">
        <f>IF(OR($F98=0,$F98=""),"",IF(SUMIFS(Tree!$W:$W,Tree!$A:$A,'Pre-Harvest Plots_rpt'!$B98,Tree!$B:$B,'Pre-Harvest Plots_rpt'!$D98,Tree!$F:$F,"L")=0,0,AVERAGEIFS(Tree!$W:$W,Tree!$A:$A,'Pre-Harvest Plots_rpt'!$B98,Tree!$B:$B,'Pre-Harvest Plots_rpt'!$D98,Tree!$F:$F,"L")))</f>
        <v/>
      </c>
      <c r="K98" s="121" t="str">
        <f>IF($F98="","",SUMIFS(Tree!$S:$S,Tree!$A:$A,'Pre-Harvest Plots_rpt'!$B98,Tree!$B:$B,'Pre-Harvest Plots_rpt'!$D98,Tree!$F:$F,"L"))</f>
        <v/>
      </c>
      <c r="L98" s="154" t="str">
        <f t="shared" si="12"/>
        <v/>
      </c>
      <c r="M98" s="135"/>
      <c r="N98" s="192" t="str">
        <f>IF(B98="","",SUMIFS(Tree!$AM:$AM,Tree!$A:$A,'Pre-Harvest Plots_rpt'!$B98,Tree!$B:$B,'Pre-Harvest Plots_rpt'!$D98,Tree!$F:$F,"L"))</f>
        <v/>
      </c>
      <c r="O98" s="122" t="str">
        <f>IF(B98="","",SUMIFS(Tree!$AN:$AN,Tree!$A:$A,'Pre-Harvest Plots_rpt'!$B98,Tree!$B:$B,'Pre-Harvest Plots_rpt'!$D98,Tree!$F:$F,"L"))</f>
        <v/>
      </c>
      <c r="P98" s="122" t="str">
        <f>IF(B98="","",SUMIFS(Tree!$AO:$AO,Tree!$A:$A,'Pre-Harvest Plots_rpt'!$B98,Tree!$B:$B,'Pre-Harvest Plots_rpt'!$D98,Tree!$F:$F,"L"))</f>
        <v/>
      </c>
      <c r="Q98" s="122" t="str">
        <f>IF(B98="","",SUMIFS(Tree!$AP:$AP,Tree!$A:$A,'Pre-Harvest Plots_rpt'!$B98,Tree!$B:$B,'Pre-Harvest Plots_rpt'!$D98,Tree!$F:$F,"L"))</f>
        <v/>
      </c>
      <c r="R98" s="123" t="str">
        <f>IF(B98="","",SUMIFS(Tree!$AQ:$AQ,Tree!$A:$A,'Pre-Harvest Plots_rpt'!$B98,Tree!$B:$B,'Pre-Harvest Plots_rpt'!$D98,Tree!$F:$F,"L"))</f>
        <v/>
      </c>
      <c r="S98" s="122" t="str">
        <f>IF(B98="","",SUMIFS(Tree!$AJ:$AJ,Tree!$A:$A,'Pre-Harvest Plots_rpt'!$B98,Tree!$B:$B,'Pre-Harvest Plots_rpt'!$D98,Tree!$F:$F,"L")-O98)</f>
        <v/>
      </c>
      <c r="T98" s="122" t="str">
        <f>IF(B98="","",SUMIFS(Tree!$AK:$AK,Tree!$A:$A,'Pre-Harvest Plots_rpt'!$B98,Tree!$B:$B,'Pre-Harvest Plots_rpt'!$D98,Tree!$F:$F,"L")-P98)</f>
        <v/>
      </c>
      <c r="U98" s="122" t="str">
        <f>IF(B98="","",SUMIFS(Tree!$AL:$AL,Tree!$A:$A,'Pre-Harvest Plots_rpt'!$B98,Tree!$B:$B,'Pre-Harvest Plots_rpt'!$D98,Tree!$F:$F,"L")-Q98)</f>
        <v/>
      </c>
      <c r="V98" s="123" t="str">
        <f>IF(B98="","",ROUND(SUMIFS(Tree!$AE:$AE,Tree!$A:$A,'Pre-Harvest Plots_rpt'!$B98,Tree!$B:$B,'Pre-Harvest Plots_rpt'!$D98,Tree!$F:$F,"L")-R98,1))</f>
        <v/>
      </c>
      <c r="W98" s="124" t="str">
        <f>IF(B98="","",SUMIFS(Tree!$AY:$AY,Tree!$A:$A,'Pre-Harvest Plots_rpt'!$B98,Tree!$B:$B,'Pre-Harvest Plots_rpt'!$D98,Tree!$F:$F,"L")/1000)</f>
        <v/>
      </c>
      <c r="X98" s="158" t="str">
        <f>IF(B98="","",ROUND((SUMIFS(Tree!$AW:$AW,Tree!$A:$A,'Pre-Harvest Plots_rpt'!$B98,Tree!$B:$B,'Pre-Harvest Plots_rpt'!$D98,Tree!$F:$F,"L")/1000)-W98,1))</f>
        <v/>
      </c>
      <c r="Y98" s="135"/>
      <c r="Z98" s="161" t="str">
        <f>IF(IF(B98="","",SUMIFS(Tree!$O:$O,Tree!$A:$A,'Pre-Harvest Plots_rpt'!$B98,Tree!$B:$B,'Pre-Harvest Plots_rpt'!$D98,Tree!$F:$F,"D"))=0,"",IF(B98="","",SUMIFS(Tree!$O:$O,Tree!$A:$A,'Pre-Harvest Plots_rpt'!$B98,Tree!$B:$B,'Pre-Harvest Plots_rpt'!$D98,Tree!$F:$F,"D")))</f>
        <v/>
      </c>
      <c r="AA98" s="125" t="str">
        <f t="shared" si="10"/>
        <v/>
      </c>
      <c r="AB98" s="125" t="str">
        <f>IF(Z98="","",SUMIFS(Tree!$R:$R,Tree!$A:$A,'Pre-Harvest Plots_rpt'!$B98,Tree!$B:$B,'Pre-Harvest Plots_rpt'!$D98,Tree!$F:$F,"D"))</f>
        <v/>
      </c>
      <c r="AC98" s="126" t="str">
        <f>IF(Z98="","",SUMIFS(Tree!$AM:$AM,Tree!$A:$A,'Pre-Harvest Plots_rpt'!$B98,Tree!$B:$B,'Pre-Harvest Plots_rpt'!$D98,Tree!$F:$F,"D"))</f>
        <v/>
      </c>
      <c r="AD98" s="162" t="str">
        <f>IF(Z98="","",SUMIFS(Tree!$AW:$AW,Tree!$A:$A,'Pre-Harvest Plots_rpt'!$B98,Tree!$B:$B,'Pre-Harvest Plots_rpt'!$D98,Tree!$F:$F,"D")/1000)</f>
        <v/>
      </c>
      <c r="AE98" s="47"/>
      <c r="AF98" s="4"/>
      <c r="AG98" s="4"/>
      <c r="AH98" s="4"/>
    </row>
    <row r="99" spans="1:34" ht="12.75" customHeight="1" x14ac:dyDescent="0.25">
      <c r="A99" s="48">
        <v>96</v>
      </c>
      <c r="B99" s="171" t="str">
        <f>IF(A99&lt;=SUM(Stand!$H$3:$H$29),VLOOKUP(A99,Stand!$A$3:$C$29,3,TRUE),"")</f>
        <v/>
      </c>
      <c r="C99" s="172" t="str">
        <f t="shared" si="13"/>
        <v/>
      </c>
      <c r="D99" s="173" t="str">
        <f>IF(B99="","",VLOOKUP(B99&amp;C99,Plot!$B$2:$D$199,3,FALSE))</f>
        <v/>
      </c>
      <c r="E99" s="130"/>
      <c r="F99" s="152" t="str">
        <f>IF(B99="","",SUMIFS(Tree!$O:$O,Tree!$A:$A,'Pre-Harvest Plots_rpt'!$B99,Tree!$B:$B,'Pre-Harvest Plots_rpt'!$D99,Tree!$F:$F,"L"))</f>
        <v/>
      </c>
      <c r="G99" s="153" t="str">
        <f>IFERROR(IF(D99="","",SUMIFS(Tree!$P:$P,Tree!$A:$A,'Pre-Harvest Plots_rpt'!$B99,Tree!$B:$B,'Pre-Harvest Plots_rpt'!$D99)/$F99),"")</f>
        <v/>
      </c>
      <c r="H99" s="122" t="str">
        <f t="shared" si="11"/>
        <v/>
      </c>
      <c r="I99" s="121" t="str">
        <f>IF(OR($F99=0,$F99=""),"",SUMIFS(Tree!$R:$R,Tree!$A:$A,'Pre-Harvest Plots_rpt'!$B99,Tree!$B:$B,'Pre-Harvest Plots_rpt'!$D99,Tree!$F:$F,"L"))</f>
        <v/>
      </c>
      <c r="J99" s="121" t="str">
        <f>IF(OR($F99=0,$F99=""),"",IF(SUMIFS(Tree!$W:$W,Tree!$A:$A,'Pre-Harvest Plots_rpt'!$B99,Tree!$B:$B,'Pre-Harvest Plots_rpt'!$D99,Tree!$F:$F,"L")=0,0,AVERAGEIFS(Tree!$W:$W,Tree!$A:$A,'Pre-Harvest Plots_rpt'!$B99,Tree!$B:$B,'Pre-Harvest Plots_rpt'!$D99,Tree!$F:$F,"L")))</f>
        <v/>
      </c>
      <c r="K99" s="121" t="str">
        <f>IF($F99="","",SUMIFS(Tree!$S:$S,Tree!$A:$A,'Pre-Harvest Plots_rpt'!$B99,Tree!$B:$B,'Pre-Harvest Plots_rpt'!$D99,Tree!$F:$F,"L"))</f>
        <v/>
      </c>
      <c r="L99" s="154" t="str">
        <f t="shared" si="12"/>
        <v/>
      </c>
      <c r="M99" s="135"/>
      <c r="N99" s="192" t="str">
        <f>IF(B99="","",SUMIFS(Tree!$AM:$AM,Tree!$A:$A,'Pre-Harvest Plots_rpt'!$B99,Tree!$B:$B,'Pre-Harvest Plots_rpt'!$D99,Tree!$F:$F,"L"))</f>
        <v/>
      </c>
      <c r="O99" s="122" t="str">
        <f>IF(B99="","",SUMIFS(Tree!$AN:$AN,Tree!$A:$A,'Pre-Harvest Plots_rpt'!$B99,Tree!$B:$B,'Pre-Harvest Plots_rpt'!$D99,Tree!$F:$F,"L"))</f>
        <v/>
      </c>
      <c r="P99" s="122" t="str">
        <f>IF(B99="","",SUMIFS(Tree!$AO:$AO,Tree!$A:$A,'Pre-Harvest Plots_rpt'!$B99,Tree!$B:$B,'Pre-Harvest Plots_rpt'!$D99,Tree!$F:$F,"L"))</f>
        <v/>
      </c>
      <c r="Q99" s="122" t="str">
        <f>IF(B99="","",SUMIFS(Tree!$AP:$AP,Tree!$A:$A,'Pre-Harvest Plots_rpt'!$B99,Tree!$B:$B,'Pre-Harvest Plots_rpt'!$D99,Tree!$F:$F,"L"))</f>
        <v/>
      </c>
      <c r="R99" s="123" t="str">
        <f>IF(B99="","",SUMIFS(Tree!$AQ:$AQ,Tree!$A:$A,'Pre-Harvest Plots_rpt'!$B99,Tree!$B:$B,'Pre-Harvest Plots_rpt'!$D99,Tree!$F:$F,"L"))</f>
        <v/>
      </c>
      <c r="S99" s="122" t="str">
        <f>IF(B99="","",SUMIFS(Tree!$AJ:$AJ,Tree!$A:$A,'Pre-Harvest Plots_rpt'!$B99,Tree!$B:$B,'Pre-Harvest Plots_rpt'!$D99,Tree!$F:$F,"L")-O99)</f>
        <v/>
      </c>
      <c r="T99" s="122" t="str">
        <f>IF(B99="","",SUMIFS(Tree!$AK:$AK,Tree!$A:$A,'Pre-Harvest Plots_rpt'!$B99,Tree!$B:$B,'Pre-Harvest Plots_rpt'!$D99,Tree!$F:$F,"L")-P99)</f>
        <v/>
      </c>
      <c r="U99" s="122" t="str">
        <f>IF(B99="","",SUMIFS(Tree!$AL:$AL,Tree!$A:$A,'Pre-Harvest Plots_rpt'!$B99,Tree!$B:$B,'Pre-Harvest Plots_rpt'!$D99,Tree!$F:$F,"L")-Q99)</f>
        <v/>
      </c>
      <c r="V99" s="123" t="str">
        <f>IF(B99="","",ROUND(SUMIFS(Tree!$AE:$AE,Tree!$A:$A,'Pre-Harvest Plots_rpt'!$B99,Tree!$B:$B,'Pre-Harvest Plots_rpt'!$D99,Tree!$F:$F,"L")-R99,1))</f>
        <v/>
      </c>
      <c r="W99" s="124" t="str">
        <f>IF(B99="","",SUMIFS(Tree!$AY:$AY,Tree!$A:$A,'Pre-Harvest Plots_rpt'!$B99,Tree!$B:$B,'Pre-Harvest Plots_rpt'!$D99,Tree!$F:$F,"L")/1000)</f>
        <v/>
      </c>
      <c r="X99" s="158" t="str">
        <f>IF(B99="","",ROUND((SUMIFS(Tree!$AW:$AW,Tree!$A:$A,'Pre-Harvest Plots_rpt'!$B99,Tree!$B:$B,'Pre-Harvest Plots_rpt'!$D99,Tree!$F:$F,"L")/1000)-W99,1))</f>
        <v/>
      </c>
      <c r="Y99" s="135"/>
      <c r="Z99" s="161" t="str">
        <f>IF(IF(B99="","",SUMIFS(Tree!$O:$O,Tree!$A:$A,'Pre-Harvest Plots_rpt'!$B99,Tree!$B:$B,'Pre-Harvest Plots_rpt'!$D99,Tree!$F:$F,"D"))=0,"",IF(B99="","",SUMIFS(Tree!$O:$O,Tree!$A:$A,'Pre-Harvest Plots_rpt'!$B99,Tree!$B:$B,'Pre-Harvest Plots_rpt'!$D99,Tree!$F:$F,"D")))</f>
        <v/>
      </c>
      <c r="AA99" s="125" t="str">
        <f t="shared" si="10"/>
        <v/>
      </c>
      <c r="AB99" s="125" t="str">
        <f>IF(Z99="","",SUMIFS(Tree!$R:$R,Tree!$A:$A,'Pre-Harvest Plots_rpt'!$B99,Tree!$B:$B,'Pre-Harvest Plots_rpt'!$D99,Tree!$F:$F,"D"))</f>
        <v/>
      </c>
      <c r="AC99" s="126" t="str">
        <f>IF(Z99="","",SUMIFS(Tree!$AM:$AM,Tree!$A:$A,'Pre-Harvest Plots_rpt'!$B99,Tree!$B:$B,'Pre-Harvest Plots_rpt'!$D99,Tree!$F:$F,"D"))</f>
        <v/>
      </c>
      <c r="AD99" s="162" t="str">
        <f>IF(Z99="","",SUMIFS(Tree!$AW:$AW,Tree!$A:$A,'Pre-Harvest Plots_rpt'!$B99,Tree!$B:$B,'Pre-Harvest Plots_rpt'!$D99,Tree!$F:$F,"D")/1000)</f>
        <v/>
      </c>
      <c r="AE99" s="47"/>
      <c r="AF99" s="4"/>
      <c r="AG99" s="4"/>
      <c r="AH99" s="4"/>
    </row>
    <row r="100" spans="1:34" ht="12.75" customHeight="1" x14ac:dyDescent="0.25">
      <c r="A100" s="48">
        <v>97</v>
      </c>
      <c r="B100" s="171" t="str">
        <f>IF(A100&lt;=SUM(Stand!$H$3:$H$29),VLOOKUP(A100,Stand!$A$3:$C$29,3,TRUE),"")</f>
        <v/>
      </c>
      <c r="C100" s="172" t="str">
        <f t="shared" si="13"/>
        <v/>
      </c>
      <c r="D100" s="173" t="str">
        <f>IF(B100="","",VLOOKUP(B100&amp;C100,Plot!$B$2:$D$199,3,FALSE))</f>
        <v/>
      </c>
      <c r="E100" s="130"/>
      <c r="F100" s="152" t="str">
        <f>IF(B100="","",SUMIFS(Tree!$O:$O,Tree!$A:$A,'Pre-Harvest Plots_rpt'!$B100,Tree!$B:$B,'Pre-Harvest Plots_rpt'!$D100,Tree!$F:$F,"L"))</f>
        <v/>
      </c>
      <c r="G100" s="153" t="str">
        <f>IFERROR(IF(D100="","",SUMIFS(Tree!$P:$P,Tree!$A:$A,'Pre-Harvest Plots_rpt'!$B100,Tree!$B:$B,'Pre-Harvest Plots_rpt'!$D100)/$F100),"")</f>
        <v/>
      </c>
      <c r="H100" s="122" t="str">
        <f t="shared" si="11"/>
        <v/>
      </c>
      <c r="I100" s="121" t="str">
        <f>IF(OR($F100=0,$F100=""),"",SUMIFS(Tree!$R:$R,Tree!$A:$A,'Pre-Harvest Plots_rpt'!$B100,Tree!$B:$B,'Pre-Harvest Plots_rpt'!$D100,Tree!$F:$F,"L"))</f>
        <v/>
      </c>
      <c r="J100" s="121" t="str">
        <f>IF(OR($F100=0,$F100=""),"",IF(SUMIFS(Tree!$W:$W,Tree!$A:$A,'Pre-Harvest Plots_rpt'!$B100,Tree!$B:$B,'Pre-Harvest Plots_rpt'!$D100,Tree!$F:$F,"L")=0,0,AVERAGEIFS(Tree!$W:$W,Tree!$A:$A,'Pre-Harvest Plots_rpt'!$B100,Tree!$B:$B,'Pre-Harvest Plots_rpt'!$D100,Tree!$F:$F,"L")))</f>
        <v/>
      </c>
      <c r="K100" s="121" t="str">
        <f>IF($F100="","",SUMIFS(Tree!$S:$S,Tree!$A:$A,'Pre-Harvest Plots_rpt'!$B100,Tree!$B:$B,'Pre-Harvest Plots_rpt'!$D100,Tree!$F:$F,"L"))</f>
        <v/>
      </c>
      <c r="L100" s="154" t="str">
        <f t="shared" si="12"/>
        <v/>
      </c>
      <c r="M100" s="135"/>
      <c r="N100" s="192" t="str">
        <f>IF(B100="","",SUMIFS(Tree!$AM:$AM,Tree!$A:$A,'Pre-Harvest Plots_rpt'!$B100,Tree!$B:$B,'Pre-Harvest Plots_rpt'!$D100,Tree!$F:$F,"L"))</f>
        <v/>
      </c>
      <c r="O100" s="122" t="str">
        <f>IF(B100="","",SUMIFS(Tree!$AN:$AN,Tree!$A:$A,'Pre-Harvest Plots_rpt'!$B100,Tree!$B:$B,'Pre-Harvest Plots_rpt'!$D100,Tree!$F:$F,"L"))</f>
        <v/>
      </c>
      <c r="P100" s="122" t="str">
        <f>IF(B100="","",SUMIFS(Tree!$AO:$AO,Tree!$A:$A,'Pre-Harvest Plots_rpt'!$B100,Tree!$B:$B,'Pre-Harvest Plots_rpt'!$D100,Tree!$F:$F,"L"))</f>
        <v/>
      </c>
      <c r="Q100" s="122" t="str">
        <f>IF(B100="","",SUMIFS(Tree!$AP:$AP,Tree!$A:$A,'Pre-Harvest Plots_rpt'!$B100,Tree!$B:$B,'Pre-Harvest Plots_rpt'!$D100,Tree!$F:$F,"L"))</f>
        <v/>
      </c>
      <c r="R100" s="123" t="str">
        <f>IF(B100="","",SUMIFS(Tree!$AQ:$AQ,Tree!$A:$A,'Pre-Harvest Plots_rpt'!$B100,Tree!$B:$B,'Pre-Harvest Plots_rpt'!$D100,Tree!$F:$F,"L"))</f>
        <v/>
      </c>
      <c r="S100" s="122" t="str">
        <f>IF(B100="","",SUMIFS(Tree!$AJ:$AJ,Tree!$A:$A,'Pre-Harvest Plots_rpt'!$B100,Tree!$B:$B,'Pre-Harvest Plots_rpt'!$D100,Tree!$F:$F,"L")-O100)</f>
        <v/>
      </c>
      <c r="T100" s="122" t="str">
        <f>IF(B100="","",SUMIFS(Tree!$AK:$AK,Tree!$A:$A,'Pre-Harvest Plots_rpt'!$B100,Tree!$B:$B,'Pre-Harvest Plots_rpt'!$D100,Tree!$F:$F,"L")-P100)</f>
        <v/>
      </c>
      <c r="U100" s="122" t="str">
        <f>IF(B100="","",SUMIFS(Tree!$AL:$AL,Tree!$A:$A,'Pre-Harvest Plots_rpt'!$B100,Tree!$B:$B,'Pre-Harvest Plots_rpt'!$D100,Tree!$F:$F,"L")-Q100)</f>
        <v/>
      </c>
      <c r="V100" s="123" t="str">
        <f>IF(B100="","",ROUND(SUMIFS(Tree!$AE:$AE,Tree!$A:$A,'Pre-Harvest Plots_rpt'!$B100,Tree!$B:$B,'Pre-Harvest Plots_rpt'!$D100,Tree!$F:$F,"L")-R100,1))</f>
        <v/>
      </c>
      <c r="W100" s="124" t="str">
        <f>IF(B100="","",SUMIFS(Tree!$AY:$AY,Tree!$A:$A,'Pre-Harvest Plots_rpt'!$B100,Tree!$B:$B,'Pre-Harvest Plots_rpt'!$D100,Tree!$F:$F,"L")/1000)</f>
        <v/>
      </c>
      <c r="X100" s="158" t="str">
        <f>IF(B100="","",ROUND((SUMIFS(Tree!$AW:$AW,Tree!$A:$A,'Pre-Harvest Plots_rpt'!$B100,Tree!$B:$B,'Pre-Harvest Plots_rpt'!$D100,Tree!$F:$F,"L")/1000)-W100,1))</f>
        <v/>
      </c>
      <c r="Y100" s="135"/>
      <c r="Z100" s="161" t="str">
        <f>IF(IF(B100="","",SUMIFS(Tree!$O:$O,Tree!$A:$A,'Pre-Harvest Plots_rpt'!$B100,Tree!$B:$B,'Pre-Harvest Plots_rpt'!$D100,Tree!$F:$F,"D"))=0,"",IF(B100="","",SUMIFS(Tree!$O:$O,Tree!$A:$A,'Pre-Harvest Plots_rpt'!$B100,Tree!$B:$B,'Pre-Harvest Plots_rpt'!$D100,Tree!$F:$F,"D")))</f>
        <v/>
      </c>
      <c r="AA100" s="125" t="str">
        <f t="shared" si="10"/>
        <v/>
      </c>
      <c r="AB100" s="125" t="str">
        <f>IF(Z100="","",SUMIFS(Tree!$R:$R,Tree!$A:$A,'Pre-Harvest Plots_rpt'!$B100,Tree!$B:$B,'Pre-Harvest Plots_rpt'!$D100,Tree!$F:$F,"D"))</f>
        <v/>
      </c>
      <c r="AC100" s="126" t="str">
        <f>IF(Z100="","",SUMIFS(Tree!$AM:$AM,Tree!$A:$A,'Pre-Harvest Plots_rpt'!$B100,Tree!$B:$B,'Pre-Harvest Plots_rpt'!$D100,Tree!$F:$F,"D"))</f>
        <v/>
      </c>
      <c r="AD100" s="162" t="str">
        <f>IF(Z100="","",SUMIFS(Tree!$AW:$AW,Tree!$A:$A,'Pre-Harvest Plots_rpt'!$B100,Tree!$B:$B,'Pre-Harvest Plots_rpt'!$D100,Tree!$F:$F,"D")/1000)</f>
        <v/>
      </c>
      <c r="AE100" s="47"/>
      <c r="AF100" s="4"/>
      <c r="AG100" s="4"/>
      <c r="AH100" s="4"/>
    </row>
    <row r="101" spans="1:34" ht="12.75" customHeight="1" x14ac:dyDescent="0.25">
      <c r="A101" s="48">
        <v>98</v>
      </c>
      <c r="B101" s="171" t="str">
        <f>IF(A101&lt;=SUM(Stand!$H$3:$H$29),VLOOKUP(A101,Stand!$A$3:$C$29,3,TRUE),"")</f>
        <v/>
      </c>
      <c r="C101" s="172" t="str">
        <f t="shared" si="13"/>
        <v/>
      </c>
      <c r="D101" s="173" t="str">
        <f>IF(B101="","",VLOOKUP(B101&amp;C101,Plot!$B$2:$D$199,3,FALSE))</f>
        <v/>
      </c>
      <c r="E101" s="130"/>
      <c r="F101" s="152" t="str">
        <f>IF(B101="","",SUMIFS(Tree!$O:$O,Tree!$A:$A,'Pre-Harvest Plots_rpt'!$B101,Tree!$B:$B,'Pre-Harvest Plots_rpt'!$D101,Tree!$F:$F,"L"))</f>
        <v/>
      </c>
      <c r="G101" s="153" t="str">
        <f>IFERROR(IF(D101="","",SUMIFS(Tree!$P:$P,Tree!$A:$A,'Pre-Harvest Plots_rpt'!$B101,Tree!$B:$B,'Pre-Harvest Plots_rpt'!$D101)/$F101),"")</f>
        <v/>
      </c>
      <c r="H101" s="122" t="str">
        <f t="shared" si="11"/>
        <v/>
      </c>
      <c r="I101" s="121" t="str">
        <f>IF(OR($F101=0,$F101=""),"",SUMIFS(Tree!$R:$R,Tree!$A:$A,'Pre-Harvest Plots_rpt'!$B101,Tree!$B:$B,'Pre-Harvest Plots_rpt'!$D101,Tree!$F:$F,"L"))</f>
        <v/>
      </c>
      <c r="J101" s="121" t="str">
        <f>IF(OR($F101=0,$F101=""),"",IF(SUMIFS(Tree!$W:$W,Tree!$A:$A,'Pre-Harvest Plots_rpt'!$B101,Tree!$B:$B,'Pre-Harvest Plots_rpt'!$D101,Tree!$F:$F,"L")=0,0,AVERAGEIFS(Tree!$W:$W,Tree!$A:$A,'Pre-Harvest Plots_rpt'!$B101,Tree!$B:$B,'Pre-Harvest Plots_rpt'!$D101,Tree!$F:$F,"L")))</f>
        <v/>
      </c>
      <c r="K101" s="121" t="str">
        <f>IF($F101="","",SUMIFS(Tree!$S:$S,Tree!$A:$A,'Pre-Harvest Plots_rpt'!$B101,Tree!$B:$B,'Pre-Harvest Plots_rpt'!$D101,Tree!$F:$F,"L"))</f>
        <v/>
      </c>
      <c r="L101" s="154" t="str">
        <f t="shared" si="12"/>
        <v/>
      </c>
      <c r="M101" s="135"/>
      <c r="N101" s="192" t="str">
        <f>IF(B101="","",SUMIFS(Tree!$AM:$AM,Tree!$A:$A,'Pre-Harvest Plots_rpt'!$B101,Tree!$B:$B,'Pre-Harvest Plots_rpt'!$D101,Tree!$F:$F,"L"))</f>
        <v/>
      </c>
      <c r="O101" s="122" t="str">
        <f>IF(B101="","",SUMIFS(Tree!$AN:$AN,Tree!$A:$A,'Pre-Harvest Plots_rpt'!$B101,Tree!$B:$B,'Pre-Harvest Plots_rpt'!$D101,Tree!$F:$F,"L"))</f>
        <v/>
      </c>
      <c r="P101" s="122" t="str">
        <f>IF(B101="","",SUMIFS(Tree!$AO:$AO,Tree!$A:$A,'Pre-Harvest Plots_rpt'!$B101,Tree!$B:$B,'Pre-Harvest Plots_rpt'!$D101,Tree!$F:$F,"L"))</f>
        <v/>
      </c>
      <c r="Q101" s="122" t="str">
        <f>IF(B101="","",SUMIFS(Tree!$AP:$AP,Tree!$A:$A,'Pre-Harvest Plots_rpt'!$B101,Tree!$B:$B,'Pre-Harvest Plots_rpt'!$D101,Tree!$F:$F,"L"))</f>
        <v/>
      </c>
      <c r="R101" s="123" t="str">
        <f>IF(B101="","",SUMIFS(Tree!$AQ:$AQ,Tree!$A:$A,'Pre-Harvest Plots_rpt'!$B101,Tree!$B:$B,'Pre-Harvest Plots_rpt'!$D101,Tree!$F:$F,"L"))</f>
        <v/>
      </c>
      <c r="S101" s="122" t="str">
        <f>IF(B101="","",SUMIFS(Tree!$AJ:$AJ,Tree!$A:$A,'Pre-Harvest Plots_rpt'!$B101,Tree!$B:$B,'Pre-Harvest Plots_rpt'!$D101,Tree!$F:$F,"L")-O101)</f>
        <v/>
      </c>
      <c r="T101" s="122" t="str">
        <f>IF(B101="","",SUMIFS(Tree!$AK:$AK,Tree!$A:$A,'Pre-Harvest Plots_rpt'!$B101,Tree!$B:$B,'Pre-Harvest Plots_rpt'!$D101,Tree!$F:$F,"L")-P101)</f>
        <v/>
      </c>
      <c r="U101" s="122" t="str">
        <f>IF(B101="","",SUMIFS(Tree!$AL:$AL,Tree!$A:$A,'Pre-Harvest Plots_rpt'!$B101,Tree!$B:$B,'Pre-Harvest Plots_rpt'!$D101,Tree!$F:$F,"L")-Q101)</f>
        <v/>
      </c>
      <c r="V101" s="123" t="str">
        <f>IF(B101="","",ROUND(SUMIFS(Tree!$AE:$AE,Tree!$A:$A,'Pre-Harvest Plots_rpt'!$B101,Tree!$B:$B,'Pre-Harvest Plots_rpt'!$D101,Tree!$F:$F,"L")-R101,1))</f>
        <v/>
      </c>
      <c r="W101" s="124" t="str">
        <f>IF(B101="","",SUMIFS(Tree!$AY:$AY,Tree!$A:$A,'Pre-Harvest Plots_rpt'!$B101,Tree!$B:$B,'Pre-Harvest Plots_rpt'!$D101,Tree!$F:$F,"L")/1000)</f>
        <v/>
      </c>
      <c r="X101" s="158" t="str">
        <f>IF(B101="","",ROUND((SUMIFS(Tree!$AW:$AW,Tree!$A:$A,'Pre-Harvest Plots_rpt'!$B101,Tree!$B:$B,'Pre-Harvest Plots_rpt'!$D101,Tree!$F:$F,"L")/1000)-W101,1))</f>
        <v/>
      </c>
      <c r="Y101" s="135"/>
      <c r="Z101" s="161" t="str">
        <f>IF(IF(B101="","",SUMIFS(Tree!$O:$O,Tree!$A:$A,'Pre-Harvest Plots_rpt'!$B101,Tree!$B:$B,'Pre-Harvest Plots_rpt'!$D101,Tree!$F:$F,"D"))=0,"",IF(B101="","",SUMIFS(Tree!$O:$O,Tree!$A:$A,'Pre-Harvest Plots_rpt'!$B101,Tree!$B:$B,'Pre-Harvest Plots_rpt'!$D101,Tree!$F:$F,"D")))</f>
        <v/>
      </c>
      <c r="AA101" s="125" t="str">
        <f t="shared" si="10"/>
        <v/>
      </c>
      <c r="AB101" s="125" t="str">
        <f>IF(Z101="","",SUMIFS(Tree!$R:$R,Tree!$A:$A,'Pre-Harvest Plots_rpt'!$B101,Tree!$B:$B,'Pre-Harvest Plots_rpt'!$D101,Tree!$F:$F,"D"))</f>
        <v/>
      </c>
      <c r="AC101" s="126" t="str">
        <f>IF(Z101="","",SUMIFS(Tree!$AM:$AM,Tree!$A:$A,'Pre-Harvest Plots_rpt'!$B101,Tree!$B:$B,'Pre-Harvest Plots_rpt'!$D101,Tree!$F:$F,"D"))</f>
        <v/>
      </c>
      <c r="AD101" s="162" t="str">
        <f>IF(Z101="","",SUMIFS(Tree!$AW:$AW,Tree!$A:$A,'Pre-Harvest Plots_rpt'!$B101,Tree!$B:$B,'Pre-Harvest Plots_rpt'!$D101,Tree!$F:$F,"D")/1000)</f>
        <v/>
      </c>
      <c r="AE101" s="47"/>
      <c r="AF101" s="4"/>
      <c r="AG101" s="4"/>
      <c r="AH101" s="4"/>
    </row>
    <row r="102" spans="1:34" ht="12.75" customHeight="1" x14ac:dyDescent="0.25">
      <c r="A102" s="48">
        <v>99</v>
      </c>
      <c r="B102" s="171" t="str">
        <f>IF(A102&lt;=SUM(Stand!$H$3:$H$29),VLOOKUP(A102,Stand!$A$3:$C$29,3,TRUE),"")</f>
        <v/>
      </c>
      <c r="C102" s="172" t="str">
        <f t="shared" si="13"/>
        <v/>
      </c>
      <c r="D102" s="173" t="str">
        <f>IF(B102="","",VLOOKUP(B102&amp;C102,Plot!$B$2:$D$199,3,FALSE))</f>
        <v/>
      </c>
      <c r="E102" s="130"/>
      <c r="F102" s="152" t="str">
        <f>IF(B102="","",SUMIFS(Tree!$O:$O,Tree!$A:$A,'Pre-Harvest Plots_rpt'!$B102,Tree!$B:$B,'Pre-Harvest Plots_rpt'!$D102,Tree!$F:$F,"L"))</f>
        <v/>
      </c>
      <c r="G102" s="153" t="str">
        <f>IFERROR(IF(D102="","",SUMIFS(Tree!$P:$P,Tree!$A:$A,'Pre-Harvest Plots_rpt'!$B102,Tree!$B:$B,'Pre-Harvest Plots_rpt'!$D102)/$F102),"")</f>
        <v/>
      </c>
      <c r="H102" s="122" t="str">
        <f t="shared" si="11"/>
        <v/>
      </c>
      <c r="I102" s="121" t="str">
        <f>IF(OR($F102=0,$F102=""),"",SUMIFS(Tree!$R:$R,Tree!$A:$A,'Pre-Harvest Plots_rpt'!$B102,Tree!$B:$B,'Pre-Harvest Plots_rpt'!$D102,Tree!$F:$F,"L"))</f>
        <v/>
      </c>
      <c r="J102" s="121" t="str">
        <f>IF(OR($F102=0,$F102=""),"",IF(SUMIFS(Tree!$W:$W,Tree!$A:$A,'Pre-Harvest Plots_rpt'!$B102,Tree!$B:$B,'Pre-Harvest Plots_rpt'!$D102,Tree!$F:$F,"L")=0,0,AVERAGEIFS(Tree!$W:$W,Tree!$A:$A,'Pre-Harvest Plots_rpt'!$B102,Tree!$B:$B,'Pre-Harvest Plots_rpt'!$D102,Tree!$F:$F,"L")))</f>
        <v/>
      </c>
      <c r="K102" s="121" t="str">
        <f>IF($F102="","",SUMIFS(Tree!$S:$S,Tree!$A:$A,'Pre-Harvest Plots_rpt'!$B102,Tree!$B:$B,'Pre-Harvest Plots_rpt'!$D102,Tree!$F:$F,"L"))</f>
        <v/>
      </c>
      <c r="L102" s="154" t="str">
        <f t="shared" si="12"/>
        <v/>
      </c>
      <c r="M102" s="135"/>
      <c r="N102" s="192" t="str">
        <f>IF(B102="","",SUMIFS(Tree!$AM:$AM,Tree!$A:$A,'Pre-Harvest Plots_rpt'!$B102,Tree!$B:$B,'Pre-Harvest Plots_rpt'!$D102,Tree!$F:$F,"L"))</f>
        <v/>
      </c>
      <c r="O102" s="122" t="str">
        <f>IF(B102="","",SUMIFS(Tree!$AN:$AN,Tree!$A:$A,'Pre-Harvest Plots_rpt'!$B102,Tree!$B:$B,'Pre-Harvest Plots_rpt'!$D102,Tree!$F:$F,"L"))</f>
        <v/>
      </c>
      <c r="P102" s="122" t="str">
        <f>IF(B102="","",SUMIFS(Tree!$AO:$AO,Tree!$A:$A,'Pre-Harvest Plots_rpt'!$B102,Tree!$B:$B,'Pre-Harvest Plots_rpt'!$D102,Tree!$F:$F,"L"))</f>
        <v/>
      </c>
      <c r="Q102" s="122" t="str">
        <f>IF(B102="","",SUMIFS(Tree!$AP:$AP,Tree!$A:$A,'Pre-Harvest Plots_rpt'!$B102,Tree!$B:$B,'Pre-Harvest Plots_rpt'!$D102,Tree!$F:$F,"L"))</f>
        <v/>
      </c>
      <c r="R102" s="123" t="str">
        <f>IF(B102="","",SUMIFS(Tree!$AQ:$AQ,Tree!$A:$A,'Pre-Harvest Plots_rpt'!$B102,Tree!$B:$B,'Pre-Harvest Plots_rpt'!$D102,Tree!$F:$F,"L"))</f>
        <v/>
      </c>
      <c r="S102" s="122" t="str">
        <f>IF(B102="","",SUMIFS(Tree!$AJ:$AJ,Tree!$A:$A,'Pre-Harvest Plots_rpt'!$B102,Tree!$B:$B,'Pre-Harvest Plots_rpt'!$D102,Tree!$F:$F,"L")-O102)</f>
        <v/>
      </c>
      <c r="T102" s="122" t="str">
        <f>IF(B102="","",SUMIFS(Tree!$AK:$AK,Tree!$A:$A,'Pre-Harvest Plots_rpt'!$B102,Tree!$B:$B,'Pre-Harvest Plots_rpt'!$D102,Tree!$F:$F,"L")-P102)</f>
        <v/>
      </c>
      <c r="U102" s="122" t="str">
        <f>IF(B102="","",SUMIFS(Tree!$AL:$AL,Tree!$A:$A,'Pre-Harvest Plots_rpt'!$B102,Tree!$B:$B,'Pre-Harvest Plots_rpt'!$D102,Tree!$F:$F,"L")-Q102)</f>
        <v/>
      </c>
      <c r="V102" s="123" t="str">
        <f>IF(B102="","",ROUND(SUMIFS(Tree!$AE:$AE,Tree!$A:$A,'Pre-Harvest Plots_rpt'!$B102,Tree!$B:$B,'Pre-Harvest Plots_rpt'!$D102,Tree!$F:$F,"L")-R102,1))</f>
        <v/>
      </c>
      <c r="W102" s="124" t="str">
        <f>IF(B102="","",SUMIFS(Tree!$AY:$AY,Tree!$A:$A,'Pre-Harvest Plots_rpt'!$B102,Tree!$B:$B,'Pre-Harvest Plots_rpt'!$D102,Tree!$F:$F,"L")/1000)</f>
        <v/>
      </c>
      <c r="X102" s="158" t="str">
        <f>IF(B102="","",ROUND((SUMIFS(Tree!$AW:$AW,Tree!$A:$A,'Pre-Harvest Plots_rpt'!$B102,Tree!$B:$B,'Pre-Harvest Plots_rpt'!$D102,Tree!$F:$F,"L")/1000)-W102,1))</f>
        <v/>
      </c>
      <c r="Y102" s="135"/>
      <c r="Z102" s="161" t="str">
        <f>IF(IF(B102="","",SUMIFS(Tree!$O:$O,Tree!$A:$A,'Pre-Harvest Plots_rpt'!$B102,Tree!$B:$B,'Pre-Harvest Plots_rpt'!$D102,Tree!$F:$F,"D"))=0,"",IF(B102="","",SUMIFS(Tree!$O:$O,Tree!$A:$A,'Pre-Harvest Plots_rpt'!$B102,Tree!$B:$B,'Pre-Harvest Plots_rpt'!$D102,Tree!$F:$F,"D")))</f>
        <v/>
      </c>
      <c r="AA102" s="125" t="str">
        <f t="shared" si="10"/>
        <v/>
      </c>
      <c r="AB102" s="125" t="str">
        <f>IF(Z102="","",SUMIFS(Tree!$R:$R,Tree!$A:$A,'Pre-Harvest Plots_rpt'!$B102,Tree!$B:$B,'Pre-Harvest Plots_rpt'!$D102,Tree!$F:$F,"D"))</f>
        <v/>
      </c>
      <c r="AC102" s="126" t="str">
        <f>IF(Z102="","",SUMIFS(Tree!$AM:$AM,Tree!$A:$A,'Pre-Harvest Plots_rpt'!$B102,Tree!$B:$B,'Pre-Harvest Plots_rpt'!$D102,Tree!$F:$F,"D"))</f>
        <v/>
      </c>
      <c r="AD102" s="162" t="str">
        <f>IF(Z102="","",SUMIFS(Tree!$AW:$AW,Tree!$A:$A,'Pre-Harvest Plots_rpt'!$B102,Tree!$B:$B,'Pre-Harvest Plots_rpt'!$D102,Tree!$F:$F,"D")/1000)</f>
        <v/>
      </c>
      <c r="AE102" s="47"/>
      <c r="AF102" s="4"/>
      <c r="AG102" s="4"/>
      <c r="AH102" s="4"/>
    </row>
    <row r="103" spans="1:34" ht="12.75" customHeight="1" x14ac:dyDescent="0.25">
      <c r="A103" s="48">
        <v>100</v>
      </c>
      <c r="B103" s="171" t="str">
        <f>IF(A103&lt;=SUM(Stand!$H$3:$H$29),VLOOKUP(A103,Stand!$A$3:$C$29,3,TRUE),"")</f>
        <v/>
      </c>
      <c r="C103" s="172" t="str">
        <f t="shared" si="13"/>
        <v/>
      </c>
      <c r="D103" s="173" t="str">
        <f>IF(B103="","",VLOOKUP(B103&amp;C103,Plot!$B$2:$D$199,3,FALSE))</f>
        <v/>
      </c>
      <c r="E103" s="130"/>
      <c r="F103" s="152" t="str">
        <f>IF(B103="","",SUMIFS(Tree!$O:$O,Tree!$A:$A,'Pre-Harvest Plots_rpt'!$B103,Tree!$B:$B,'Pre-Harvest Plots_rpt'!$D103,Tree!$F:$F,"L"))</f>
        <v/>
      </c>
      <c r="G103" s="153" t="str">
        <f>IFERROR(IF(D103="","",SUMIFS(Tree!$P:$P,Tree!$A:$A,'Pre-Harvest Plots_rpt'!$B103,Tree!$B:$B,'Pre-Harvest Plots_rpt'!$D103)/$F103),"")</f>
        <v/>
      </c>
      <c r="H103" s="122" t="str">
        <f t="shared" si="11"/>
        <v/>
      </c>
      <c r="I103" s="121" t="str">
        <f>IF(OR($F103=0,$F103=""),"",SUMIFS(Tree!$R:$R,Tree!$A:$A,'Pre-Harvest Plots_rpt'!$B103,Tree!$B:$B,'Pre-Harvest Plots_rpt'!$D103,Tree!$F:$F,"L"))</f>
        <v/>
      </c>
      <c r="J103" s="121" t="str">
        <f>IF(OR($F103=0,$F103=""),"",IF(SUMIFS(Tree!$W:$W,Tree!$A:$A,'Pre-Harvest Plots_rpt'!$B103,Tree!$B:$B,'Pre-Harvest Plots_rpt'!$D103,Tree!$F:$F,"L")=0,0,AVERAGEIFS(Tree!$W:$W,Tree!$A:$A,'Pre-Harvest Plots_rpt'!$B103,Tree!$B:$B,'Pre-Harvest Plots_rpt'!$D103,Tree!$F:$F,"L")))</f>
        <v/>
      </c>
      <c r="K103" s="121" t="str">
        <f>IF($F103="","",SUMIFS(Tree!$S:$S,Tree!$A:$A,'Pre-Harvest Plots_rpt'!$B103,Tree!$B:$B,'Pre-Harvest Plots_rpt'!$D103,Tree!$F:$F,"L"))</f>
        <v/>
      </c>
      <c r="L103" s="154" t="str">
        <f t="shared" si="12"/>
        <v/>
      </c>
      <c r="M103" s="135"/>
      <c r="N103" s="192" t="str">
        <f>IF(B103="","",SUMIFS(Tree!$AM:$AM,Tree!$A:$A,'Pre-Harvest Plots_rpt'!$B103,Tree!$B:$B,'Pre-Harvest Plots_rpt'!$D103,Tree!$F:$F,"L"))</f>
        <v/>
      </c>
      <c r="O103" s="122" t="str">
        <f>IF(B103="","",SUMIFS(Tree!$AN:$AN,Tree!$A:$A,'Pre-Harvest Plots_rpt'!$B103,Tree!$B:$B,'Pre-Harvest Plots_rpt'!$D103,Tree!$F:$F,"L"))</f>
        <v/>
      </c>
      <c r="P103" s="122" t="str">
        <f>IF(B103="","",SUMIFS(Tree!$AO:$AO,Tree!$A:$A,'Pre-Harvest Plots_rpt'!$B103,Tree!$B:$B,'Pre-Harvest Plots_rpt'!$D103,Tree!$F:$F,"L"))</f>
        <v/>
      </c>
      <c r="Q103" s="122" t="str">
        <f>IF(B103="","",SUMIFS(Tree!$AP:$AP,Tree!$A:$A,'Pre-Harvest Plots_rpt'!$B103,Tree!$B:$B,'Pre-Harvest Plots_rpt'!$D103,Tree!$F:$F,"L"))</f>
        <v/>
      </c>
      <c r="R103" s="123" t="str">
        <f>IF(B103="","",SUMIFS(Tree!$AQ:$AQ,Tree!$A:$A,'Pre-Harvest Plots_rpt'!$B103,Tree!$B:$B,'Pre-Harvest Plots_rpt'!$D103,Tree!$F:$F,"L"))</f>
        <v/>
      </c>
      <c r="S103" s="122" t="str">
        <f>IF(B103="","",SUMIFS(Tree!$AJ:$AJ,Tree!$A:$A,'Pre-Harvest Plots_rpt'!$B103,Tree!$B:$B,'Pre-Harvest Plots_rpt'!$D103,Tree!$F:$F,"L")-O103)</f>
        <v/>
      </c>
      <c r="T103" s="122" t="str">
        <f>IF(B103="","",SUMIFS(Tree!$AK:$AK,Tree!$A:$A,'Pre-Harvest Plots_rpt'!$B103,Tree!$B:$B,'Pre-Harvest Plots_rpt'!$D103,Tree!$F:$F,"L")-P103)</f>
        <v/>
      </c>
      <c r="U103" s="122" t="str">
        <f>IF(B103="","",SUMIFS(Tree!$AL:$AL,Tree!$A:$A,'Pre-Harvest Plots_rpt'!$B103,Tree!$B:$B,'Pre-Harvest Plots_rpt'!$D103,Tree!$F:$F,"L")-Q103)</f>
        <v/>
      </c>
      <c r="V103" s="123" t="str">
        <f>IF(B103="","",ROUND(SUMIFS(Tree!$AE:$AE,Tree!$A:$A,'Pre-Harvest Plots_rpt'!$B103,Tree!$B:$B,'Pre-Harvest Plots_rpt'!$D103,Tree!$F:$F,"L")-R103,1))</f>
        <v/>
      </c>
      <c r="W103" s="124" t="str">
        <f>IF(B103="","",SUMIFS(Tree!$AY:$AY,Tree!$A:$A,'Pre-Harvest Plots_rpt'!$B103,Tree!$B:$B,'Pre-Harvest Plots_rpt'!$D103,Tree!$F:$F,"L")/1000)</f>
        <v/>
      </c>
      <c r="X103" s="158" t="str">
        <f>IF(B103="","",ROUND((SUMIFS(Tree!$AW:$AW,Tree!$A:$A,'Pre-Harvest Plots_rpt'!$B103,Tree!$B:$B,'Pre-Harvest Plots_rpt'!$D103,Tree!$F:$F,"L")/1000)-W103,1))</f>
        <v/>
      </c>
      <c r="Y103" s="135"/>
      <c r="Z103" s="161" t="str">
        <f>IF(IF(B103="","",SUMIFS(Tree!$O:$O,Tree!$A:$A,'Pre-Harvest Plots_rpt'!$B103,Tree!$B:$B,'Pre-Harvest Plots_rpt'!$D103,Tree!$F:$F,"D"))=0,"",IF(B103="","",SUMIFS(Tree!$O:$O,Tree!$A:$A,'Pre-Harvest Plots_rpt'!$B103,Tree!$B:$B,'Pre-Harvest Plots_rpt'!$D103,Tree!$F:$F,"D")))</f>
        <v/>
      </c>
      <c r="AA103" s="125" t="str">
        <f t="shared" si="10"/>
        <v/>
      </c>
      <c r="AB103" s="125" t="str">
        <f>IF(Z103="","",SUMIFS(Tree!$R:$R,Tree!$A:$A,'Pre-Harvest Plots_rpt'!$B103,Tree!$B:$B,'Pre-Harvest Plots_rpt'!$D103,Tree!$F:$F,"D"))</f>
        <v/>
      </c>
      <c r="AC103" s="126" t="str">
        <f>IF(Z103="","",SUMIFS(Tree!$AM:$AM,Tree!$A:$A,'Pre-Harvest Plots_rpt'!$B103,Tree!$B:$B,'Pre-Harvest Plots_rpt'!$D103,Tree!$F:$F,"D"))</f>
        <v/>
      </c>
      <c r="AD103" s="162" t="str">
        <f>IF(Z103="","",SUMIFS(Tree!$AW:$AW,Tree!$A:$A,'Pre-Harvest Plots_rpt'!$B103,Tree!$B:$B,'Pre-Harvest Plots_rpt'!$D103,Tree!$F:$F,"D")/1000)</f>
        <v/>
      </c>
      <c r="AE103" s="47"/>
      <c r="AF103" s="4"/>
      <c r="AG103" s="4"/>
      <c r="AH103" s="4"/>
    </row>
    <row r="104" spans="1:34" ht="12.75" customHeight="1" x14ac:dyDescent="0.25">
      <c r="A104" s="48">
        <v>101</v>
      </c>
      <c r="B104" s="171" t="str">
        <f>IF(A104&lt;=SUM(Stand!$H$3:$H$29),VLOOKUP(A104,Stand!$A$3:$C$29,3,TRUE),"")</f>
        <v/>
      </c>
      <c r="C104" s="172" t="str">
        <f t="shared" si="13"/>
        <v/>
      </c>
      <c r="D104" s="173" t="str">
        <f>IF(B104="","",VLOOKUP(B104&amp;C104,Plot!$B$2:$D$199,3,FALSE))</f>
        <v/>
      </c>
      <c r="E104" s="130"/>
      <c r="F104" s="152" t="str">
        <f>IF(B104="","",SUMIFS(Tree!$O:$O,Tree!$A:$A,'Pre-Harvest Plots_rpt'!$B104,Tree!$B:$B,'Pre-Harvest Plots_rpt'!$D104,Tree!$F:$F,"L"))</f>
        <v/>
      </c>
      <c r="G104" s="153" t="str">
        <f>IFERROR(IF(D104="","",SUMIFS(Tree!$P:$P,Tree!$A:$A,'Pre-Harvest Plots_rpt'!$B104,Tree!$B:$B,'Pre-Harvest Plots_rpt'!$D104)/$F104),"")</f>
        <v/>
      </c>
      <c r="H104" s="122" t="str">
        <f t="shared" si="11"/>
        <v/>
      </c>
      <c r="I104" s="121" t="str">
        <f>IF(OR($F104=0,$F104=""),"",SUMIFS(Tree!$R:$R,Tree!$A:$A,'Pre-Harvest Plots_rpt'!$B104,Tree!$B:$B,'Pre-Harvest Plots_rpt'!$D104,Tree!$F:$F,"L"))</f>
        <v/>
      </c>
      <c r="J104" s="121" t="str">
        <f>IF(OR($F104=0,$F104=""),"",IF(SUMIFS(Tree!$W:$W,Tree!$A:$A,'Pre-Harvest Plots_rpt'!$B104,Tree!$B:$B,'Pre-Harvest Plots_rpt'!$D104,Tree!$F:$F,"L")=0,0,AVERAGEIFS(Tree!$W:$W,Tree!$A:$A,'Pre-Harvest Plots_rpt'!$B104,Tree!$B:$B,'Pre-Harvest Plots_rpt'!$D104,Tree!$F:$F,"L")))</f>
        <v/>
      </c>
      <c r="K104" s="121" t="str">
        <f>IF($F104="","",SUMIFS(Tree!$S:$S,Tree!$A:$A,'Pre-Harvest Plots_rpt'!$B104,Tree!$B:$B,'Pre-Harvest Plots_rpt'!$D104,Tree!$F:$F,"L"))</f>
        <v/>
      </c>
      <c r="L104" s="154" t="str">
        <f t="shared" si="12"/>
        <v/>
      </c>
      <c r="M104" s="135"/>
      <c r="N104" s="192" t="str">
        <f>IF(B104="","",SUMIFS(Tree!$AM:$AM,Tree!$A:$A,'Pre-Harvest Plots_rpt'!$B104,Tree!$B:$B,'Pre-Harvest Plots_rpt'!$D104,Tree!$F:$F,"L"))</f>
        <v/>
      </c>
      <c r="O104" s="122" t="str">
        <f>IF(B104="","",SUMIFS(Tree!$AN:$AN,Tree!$A:$A,'Pre-Harvest Plots_rpt'!$B104,Tree!$B:$B,'Pre-Harvest Plots_rpt'!$D104,Tree!$F:$F,"L"))</f>
        <v/>
      </c>
      <c r="P104" s="122" t="str">
        <f>IF(B104="","",SUMIFS(Tree!$AO:$AO,Tree!$A:$A,'Pre-Harvest Plots_rpt'!$B104,Tree!$B:$B,'Pre-Harvest Plots_rpt'!$D104,Tree!$F:$F,"L"))</f>
        <v/>
      </c>
      <c r="Q104" s="122" t="str">
        <f>IF(B104="","",SUMIFS(Tree!$AP:$AP,Tree!$A:$A,'Pre-Harvest Plots_rpt'!$B104,Tree!$B:$B,'Pre-Harvest Plots_rpt'!$D104,Tree!$F:$F,"L"))</f>
        <v/>
      </c>
      <c r="R104" s="123" t="str">
        <f>IF(B104="","",SUMIFS(Tree!$AQ:$AQ,Tree!$A:$A,'Pre-Harvest Plots_rpt'!$B104,Tree!$B:$B,'Pre-Harvest Plots_rpt'!$D104,Tree!$F:$F,"L"))</f>
        <v/>
      </c>
      <c r="S104" s="122" t="str">
        <f>IF(B104="","",SUMIFS(Tree!$AJ:$AJ,Tree!$A:$A,'Pre-Harvest Plots_rpt'!$B104,Tree!$B:$B,'Pre-Harvest Plots_rpt'!$D104,Tree!$F:$F,"L")-O104)</f>
        <v/>
      </c>
      <c r="T104" s="122" t="str">
        <f>IF(B104="","",SUMIFS(Tree!$AK:$AK,Tree!$A:$A,'Pre-Harvest Plots_rpt'!$B104,Tree!$B:$B,'Pre-Harvest Plots_rpt'!$D104,Tree!$F:$F,"L")-P104)</f>
        <v/>
      </c>
      <c r="U104" s="122" t="str">
        <f>IF(B104="","",SUMIFS(Tree!$AL:$AL,Tree!$A:$A,'Pre-Harvest Plots_rpt'!$B104,Tree!$B:$B,'Pre-Harvest Plots_rpt'!$D104,Tree!$F:$F,"L")-Q104)</f>
        <v/>
      </c>
      <c r="V104" s="123" t="str">
        <f>IF(B104="","",ROUND(SUMIFS(Tree!$AE:$AE,Tree!$A:$A,'Pre-Harvest Plots_rpt'!$B104,Tree!$B:$B,'Pre-Harvest Plots_rpt'!$D104,Tree!$F:$F,"L")-R104,1))</f>
        <v/>
      </c>
      <c r="W104" s="124" t="str">
        <f>IF(B104="","",SUMIFS(Tree!$AY:$AY,Tree!$A:$A,'Pre-Harvest Plots_rpt'!$B104,Tree!$B:$B,'Pre-Harvest Plots_rpt'!$D104,Tree!$F:$F,"L")/1000)</f>
        <v/>
      </c>
      <c r="X104" s="158" t="str">
        <f>IF(B104="","",ROUND((SUMIFS(Tree!$AW:$AW,Tree!$A:$A,'Pre-Harvest Plots_rpt'!$B104,Tree!$B:$B,'Pre-Harvest Plots_rpt'!$D104,Tree!$F:$F,"L")/1000)-W104,1))</f>
        <v/>
      </c>
      <c r="Y104" s="135"/>
      <c r="Z104" s="161" t="str">
        <f>IF(IF(B104="","",SUMIFS(Tree!$O:$O,Tree!$A:$A,'Pre-Harvest Plots_rpt'!$B104,Tree!$B:$B,'Pre-Harvest Plots_rpt'!$D104,Tree!$F:$F,"D"))=0,"",IF(B104="","",SUMIFS(Tree!$O:$O,Tree!$A:$A,'Pre-Harvest Plots_rpt'!$B104,Tree!$B:$B,'Pre-Harvest Plots_rpt'!$D104,Tree!$F:$F,"D")))</f>
        <v/>
      </c>
      <c r="AA104" s="125" t="str">
        <f t="shared" si="10"/>
        <v/>
      </c>
      <c r="AB104" s="125" t="str">
        <f>IF(Z104="","",SUMIFS(Tree!$R:$R,Tree!$A:$A,'Pre-Harvest Plots_rpt'!$B104,Tree!$B:$B,'Pre-Harvest Plots_rpt'!$D104,Tree!$F:$F,"D"))</f>
        <v/>
      </c>
      <c r="AC104" s="126" t="str">
        <f>IF(Z104="","",SUMIFS(Tree!$AM:$AM,Tree!$A:$A,'Pre-Harvest Plots_rpt'!$B104,Tree!$B:$B,'Pre-Harvest Plots_rpt'!$D104,Tree!$F:$F,"D"))</f>
        <v/>
      </c>
      <c r="AD104" s="162" t="str">
        <f>IF(Z104="","",SUMIFS(Tree!$AW:$AW,Tree!$A:$A,'Pre-Harvest Plots_rpt'!$B104,Tree!$B:$B,'Pre-Harvest Plots_rpt'!$D104,Tree!$F:$F,"D")/1000)</f>
        <v/>
      </c>
      <c r="AE104" s="47"/>
      <c r="AF104" s="4"/>
      <c r="AG104" s="4"/>
      <c r="AH104" s="4"/>
    </row>
    <row r="105" spans="1:34" ht="12.75" customHeight="1" x14ac:dyDescent="0.25">
      <c r="A105" s="48">
        <v>102</v>
      </c>
      <c r="B105" s="171" t="str">
        <f>IF(A105&lt;=SUM(Stand!$H$3:$H$29),VLOOKUP(A105,Stand!$A$3:$C$29,3,TRUE),"")</f>
        <v/>
      </c>
      <c r="C105" s="172" t="str">
        <f t="shared" si="13"/>
        <v/>
      </c>
      <c r="D105" s="173" t="str">
        <f>IF(B105="","",VLOOKUP(B105&amp;C105,Plot!$B$2:$D$199,3,FALSE))</f>
        <v/>
      </c>
      <c r="E105" s="130"/>
      <c r="F105" s="152" t="str">
        <f>IF(B105="","",SUMIFS(Tree!$O:$O,Tree!$A:$A,'Pre-Harvest Plots_rpt'!$B105,Tree!$B:$B,'Pre-Harvest Plots_rpt'!$D105,Tree!$F:$F,"L"))</f>
        <v/>
      </c>
      <c r="G105" s="153" t="str">
        <f>IFERROR(IF(D105="","",SUMIFS(Tree!$P:$P,Tree!$A:$A,'Pre-Harvest Plots_rpt'!$B105,Tree!$B:$B,'Pre-Harvest Plots_rpt'!$D105)/$F105),"")</f>
        <v/>
      </c>
      <c r="H105" s="122" t="str">
        <f t="shared" si="11"/>
        <v/>
      </c>
      <c r="I105" s="121" t="str">
        <f>IF(OR($F105=0,$F105=""),"",SUMIFS(Tree!$R:$R,Tree!$A:$A,'Pre-Harvest Plots_rpt'!$B105,Tree!$B:$B,'Pre-Harvest Plots_rpt'!$D105,Tree!$F:$F,"L"))</f>
        <v/>
      </c>
      <c r="J105" s="121" t="str">
        <f>IF(OR($F105=0,$F105=""),"",IF(SUMIFS(Tree!$W:$W,Tree!$A:$A,'Pre-Harvest Plots_rpt'!$B105,Tree!$B:$B,'Pre-Harvest Plots_rpt'!$D105,Tree!$F:$F,"L")=0,0,AVERAGEIFS(Tree!$W:$W,Tree!$A:$A,'Pre-Harvest Plots_rpt'!$B105,Tree!$B:$B,'Pre-Harvest Plots_rpt'!$D105,Tree!$F:$F,"L")))</f>
        <v/>
      </c>
      <c r="K105" s="121" t="str">
        <f>IF($F105="","",SUMIFS(Tree!$S:$S,Tree!$A:$A,'Pre-Harvest Plots_rpt'!$B105,Tree!$B:$B,'Pre-Harvest Plots_rpt'!$D105,Tree!$F:$F,"L"))</f>
        <v/>
      </c>
      <c r="L105" s="154" t="str">
        <f t="shared" si="12"/>
        <v/>
      </c>
      <c r="M105" s="135"/>
      <c r="N105" s="192" t="str">
        <f>IF(B105="","",SUMIFS(Tree!$AM:$AM,Tree!$A:$A,'Pre-Harvest Plots_rpt'!$B105,Tree!$B:$B,'Pre-Harvest Plots_rpt'!$D105,Tree!$F:$F,"L"))</f>
        <v/>
      </c>
      <c r="O105" s="122" t="str">
        <f>IF(B105="","",SUMIFS(Tree!$AN:$AN,Tree!$A:$A,'Pre-Harvest Plots_rpt'!$B105,Tree!$B:$B,'Pre-Harvest Plots_rpt'!$D105,Tree!$F:$F,"L"))</f>
        <v/>
      </c>
      <c r="P105" s="122" t="str">
        <f>IF(B105="","",SUMIFS(Tree!$AO:$AO,Tree!$A:$A,'Pre-Harvest Plots_rpt'!$B105,Tree!$B:$B,'Pre-Harvest Plots_rpt'!$D105,Tree!$F:$F,"L"))</f>
        <v/>
      </c>
      <c r="Q105" s="122" t="str">
        <f>IF(B105="","",SUMIFS(Tree!$AP:$AP,Tree!$A:$A,'Pre-Harvest Plots_rpt'!$B105,Tree!$B:$B,'Pre-Harvest Plots_rpt'!$D105,Tree!$F:$F,"L"))</f>
        <v/>
      </c>
      <c r="R105" s="123" t="str">
        <f>IF(B105="","",SUMIFS(Tree!$AQ:$AQ,Tree!$A:$A,'Pre-Harvest Plots_rpt'!$B105,Tree!$B:$B,'Pre-Harvest Plots_rpt'!$D105,Tree!$F:$F,"L"))</f>
        <v/>
      </c>
      <c r="S105" s="122" t="str">
        <f>IF(B105="","",SUMIFS(Tree!$AJ:$AJ,Tree!$A:$A,'Pre-Harvest Plots_rpt'!$B105,Tree!$B:$B,'Pre-Harvest Plots_rpt'!$D105,Tree!$F:$F,"L")-O105)</f>
        <v/>
      </c>
      <c r="T105" s="122" t="str">
        <f>IF(B105="","",SUMIFS(Tree!$AK:$AK,Tree!$A:$A,'Pre-Harvest Plots_rpt'!$B105,Tree!$B:$B,'Pre-Harvest Plots_rpt'!$D105,Tree!$F:$F,"L")-P105)</f>
        <v/>
      </c>
      <c r="U105" s="122" t="str">
        <f>IF(B105="","",SUMIFS(Tree!$AL:$AL,Tree!$A:$A,'Pre-Harvest Plots_rpt'!$B105,Tree!$B:$B,'Pre-Harvest Plots_rpt'!$D105,Tree!$F:$F,"L")-Q105)</f>
        <v/>
      </c>
      <c r="V105" s="123" t="str">
        <f>IF(B105="","",ROUND(SUMIFS(Tree!$AE:$AE,Tree!$A:$A,'Pre-Harvest Plots_rpt'!$B105,Tree!$B:$B,'Pre-Harvest Plots_rpt'!$D105,Tree!$F:$F,"L")-R105,1))</f>
        <v/>
      </c>
      <c r="W105" s="124" t="str">
        <f>IF(B105="","",SUMIFS(Tree!$AY:$AY,Tree!$A:$A,'Pre-Harvest Plots_rpt'!$B105,Tree!$B:$B,'Pre-Harvest Plots_rpt'!$D105,Tree!$F:$F,"L")/1000)</f>
        <v/>
      </c>
      <c r="X105" s="158" t="str">
        <f>IF(B105="","",ROUND((SUMIFS(Tree!$AW:$AW,Tree!$A:$A,'Pre-Harvest Plots_rpt'!$B105,Tree!$B:$B,'Pre-Harvest Plots_rpt'!$D105,Tree!$F:$F,"L")/1000)-W105,1))</f>
        <v/>
      </c>
      <c r="Y105" s="135"/>
      <c r="Z105" s="161" t="str">
        <f>IF(IF(B105="","",SUMIFS(Tree!$O:$O,Tree!$A:$A,'Pre-Harvest Plots_rpt'!$B105,Tree!$B:$B,'Pre-Harvest Plots_rpt'!$D105,Tree!$F:$F,"D"))=0,"",IF(B105="","",SUMIFS(Tree!$O:$O,Tree!$A:$A,'Pre-Harvest Plots_rpt'!$B105,Tree!$B:$B,'Pre-Harvest Plots_rpt'!$D105,Tree!$F:$F,"D")))</f>
        <v/>
      </c>
      <c r="AA105" s="125" t="str">
        <f t="shared" si="10"/>
        <v/>
      </c>
      <c r="AB105" s="125" t="str">
        <f>IF(Z105="","",SUMIFS(Tree!$R:$R,Tree!$A:$A,'Pre-Harvest Plots_rpt'!$B105,Tree!$B:$B,'Pre-Harvest Plots_rpt'!$D105,Tree!$F:$F,"D"))</f>
        <v/>
      </c>
      <c r="AC105" s="126" t="str">
        <f>IF(Z105="","",SUMIFS(Tree!$AM:$AM,Tree!$A:$A,'Pre-Harvest Plots_rpt'!$B105,Tree!$B:$B,'Pre-Harvest Plots_rpt'!$D105,Tree!$F:$F,"D"))</f>
        <v/>
      </c>
      <c r="AD105" s="162" t="str">
        <f>IF(Z105="","",SUMIFS(Tree!$AW:$AW,Tree!$A:$A,'Pre-Harvest Plots_rpt'!$B105,Tree!$B:$B,'Pre-Harvest Plots_rpt'!$D105,Tree!$F:$F,"D")/1000)</f>
        <v/>
      </c>
      <c r="AE105" s="47"/>
      <c r="AF105" s="4"/>
      <c r="AG105" s="4"/>
      <c r="AH105" s="4"/>
    </row>
    <row r="106" spans="1:34" ht="12.75" customHeight="1" x14ac:dyDescent="0.25">
      <c r="A106" s="48">
        <v>103</v>
      </c>
      <c r="B106" s="171" t="str">
        <f>IF(A106&lt;=SUM(Stand!$H$3:$H$29),VLOOKUP(A106,Stand!$A$3:$C$29,3,TRUE),"")</f>
        <v/>
      </c>
      <c r="C106" s="172" t="str">
        <f t="shared" si="13"/>
        <v/>
      </c>
      <c r="D106" s="173" t="str">
        <f>IF(B106="","",VLOOKUP(B106&amp;C106,Plot!$B$2:$D$199,3,FALSE))</f>
        <v/>
      </c>
      <c r="E106" s="130"/>
      <c r="F106" s="152" t="str">
        <f>IF(B106="","",SUMIFS(Tree!$O:$O,Tree!$A:$A,'Pre-Harvest Plots_rpt'!$B106,Tree!$B:$B,'Pre-Harvest Plots_rpt'!$D106,Tree!$F:$F,"L"))</f>
        <v/>
      </c>
      <c r="G106" s="153" t="str">
        <f>IFERROR(IF(D106="","",SUMIFS(Tree!$P:$P,Tree!$A:$A,'Pre-Harvest Plots_rpt'!$B106,Tree!$B:$B,'Pre-Harvest Plots_rpt'!$D106)/$F106),"")</f>
        <v/>
      </c>
      <c r="H106" s="122" t="str">
        <f t="shared" si="11"/>
        <v/>
      </c>
      <c r="I106" s="121" t="str">
        <f>IF(OR($F106=0,$F106=""),"",SUMIFS(Tree!$R:$R,Tree!$A:$A,'Pre-Harvest Plots_rpt'!$B106,Tree!$B:$B,'Pre-Harvest Plots_rpt'!$D106,Tree!$F:$F,"L"))</f>
        <v/>
      </c>
      <c r="J106" s="121" t="str">
        <f>IF(OR($F106=0,$F106=""),"",IF(SUMIFS(Tree!$W:$W,Tree!$A:$A,'Pre-Harvest Plots_rpt'!$B106,Tree!$B:$B,'Pre-Harvest Plots_rpt'!$D106,Tree!$F:$F,"L")=0,0,AVERAGEIFS(Tree!$W:$W,Tree!$A:$A,'Pre-Harvest Plots_rpt'!$B106,Tree!$B:$B,'Pre-Harvest Plots_rpt'!$D106,Tree!$F:$F,"L")))</f>
        <v/>
      </c>
      <c r="K106" s="121" t="str">
        <f>IF($F106="","",SUMIFS(Tree!$S:$S,Tree!$A:$A,'Pre-Harvest Plots_rpt'!$B106,Tree!$B:$B,'Pre-Harvest Plots_rpt'!$D106,Tree!$F:$F,"L"))</f>
        <v/>
      </c>
      <c r="L106" s="154" t="str">
        <f t="shared" si="12"/>
        <v/>
      </c>
      <c r="M106" s="135"/>
      <c r="N106" s="192" t="str">
        <f>IF(B106="","",SUMIFS(Tree!$AM:$AM,Tree!$A:$A,'Pre-Harvest Plots_rpt'!$B106,Tree!$B:$B,'Pre-Harvest Plots_rpt'!$D106,Tree!$F:$F,"L"))</f>
        <v/>
      </c>
      <c r="O106" s="122" t="str">
        <f>IF(B106="","",SUMIFS(Tree!$AN:$AN,Tree!$A:$A,'Pre-Harvest Plots_rpt'!$B106,Tree!$B:$B,'Pre-Harvest Plots_rpt'!$D106,Tree!$F:$F,"L"))</f>
        <v/>
      </c>
      <c r="P106" s="122" t="str">
        <f>IF(B106="","",SUMIFS(Tree!$AO:$AO,Tree!$A:$A,'Pre-Harvest Plots_rpt'!$B106,Tree!$B:$B,'Pre-Harvest Plots_rpt'!$D106,Tree!$F:$F,"L"))</f>
        <v/>
      </c>
      <c r="Q106" s="122" t="str">
        <f>IF(B106="","",SUMIFS(Tree!$AP:$AP,Tree!$A:$A,'Pre-Harvest Plots_rpt'!$B106,Tree!$B:$B,'Pre-Harvest Plots_rpt'!$D106,Tree!$F:$F,"L"))</f>
        <v/>
      </c>
      <c r="R106" s="123" t="str">
        <f>IF(B106="","",SUMIFS(Tree!$AQ:$AQ,Tree!$A:$A,'Pre-Harvest Plots_rpt'!$B106,Tree!$B:$B,'Pre-Harvest Plots_rpt'!$D106,Tree!$F:$F,"L"))</f>
        <v/>
      </c>
      <c r="S106" s="122" t="str">
        <f>IF(B106="","",SUMIFS(Tree!$AJ:$AJ,Tree!$A:$A,'Pre-Harvest Plots_rpt'!$B106,Tree!$B:$B,'Pre-Harvest Plots_rpt'!$D106,Tree!$F:$F,"L")-O106)</f>
        <v/>
      </c>
      <c r="T106" s="122" t="str">
        <f>IF(B106="","",SUMIFS(Tree!$AK:$AK,Tree!$A:$A,'Pre-Harvest Plots_rpt'!$B106,Tree!$B:$B,'Pre-Harvest Plots_rpt'!$D106,Tree!$F:$F,"L")-P106)</f>
        <v/>
      </c>
      <c r="U106" s="122" t="str">
        <f>IF(B106="","",SUMIFS(Tree!$AL:$AL,Tree!$A:$A,'Pre-Harvest Plots_rpt'!$B106,Tree!$B:$B,'Pre-Harvest Plots_rpt'!$D106,Tree!$F:$F,"L")-Q106)</f>
        <v/>
      </c>
      <c r="V106" s="123" t="str">
        <f>IF(B106="","",ROUND(SUMIFS(Tree!$AE:$AE,Tree!$A:$A,'Pre-Harvest Plots_rpt'!$B106,Tree!$B:$B,'Pre-Harvest Plots_rpt'!$D106,Tree!$F:$F,"L")-R106,1))</f>
        <v/>
      </c>
      <c r="W106" s="124" t="str">
        <f>IF(B106="","",SUMIFS(Tree!$AY:$AY,Tree!$A:$A,'Pre-Harvest Plots_rpt'!$B106,Tree!$B:$B,'Pre-Harvest Plots_rpt'!$D106,Tree!$F:$F,"L")/1000)</f>
        <v/>
      </c>
      <c r="X106" s="158" t="str">
        <f>IF(B106="","",ROUND((SUMIFS(Tree!$AW:$AW,Tree!$A:$A,'Pre-Harvest Plots_rpt'!$B106,Tree!$B:$B,'Pre-Harvest Plots_rpt'!$D106,Tree!$F:$F,"L")/1000)-W106,1))</f>
        <v/>
      </c>
      <c r="Y106" s="135"/>
      <c r="Z106" s="161" t="str">
        <f>IF(IF(B106="","",SUMIFS(Tree!$O:$O,Tree!$A:$A,'Pre-Harvest Plots_rpt'!$B106,Tree!$B:$B,'Pre-Harvest Plots_rpt'!$D106,Tree!$F:$F,"D"))=0,"",IF(B106="","",SUMIFS(Tree!$O:$O,Tree!$A:$A,'Pre-Harvest Plots_rpt'!$B106,Tree!$B:$B,'Pre-Harvest Plots_rpt'!$D106,Tree!$F:$F,"D")))</f>
        <v/>
      </c>
      <c r="AA106" s="125" t="str">
        <f t="shared" si="10"/>
        <v/>
      </c>
      <c r="AB106" s="125" t="str">
        <f>IF(Z106="","",SUMIFS(Tree!$R:$R,Tree!$A:$A,'Pre-Harvest Plots_rpt'!$B106,Tree!$B:$B,'Pre-Harvest Plots_rpt'!$D106,Tree!$F:$F,"D"))</f>
        <v/>
      </c>
      <c r="AC106" s="126" t="str">
        <f>IF(Z106="","",SUMIFS(Tree!$AM:$AM,Tree!$A:$A,'Pre-Harvest Plots_rpt'!$B106,Tree!$B:$B,'Pre-Harvest Plots_rpt'!$D106,Tree!$F:$F,"D"))</f>
        <v/>
      </c>
      <c r="AD106" s="162" t="str">
        <f>IF(Z106="","",SUMIFS(Tree!$AW:$AW,Tree!$A:$A,'Pre-Harvest Plots_rpt'!$B106,Tree!$B:$B,'Pre-Harvest Plots_rpt'!$D106,Tree!$F:$F,"D")/1000)</f>
        <v/>
      </c>
      <c r="AE106" s="47"/>
      <c r="AF106" s="4"/>
      <c r="AG106" s="4"/>
      <c r="AH106" s="4"/>
    </row>
    <row r="107" spans="1:34" ht="12.75" customHeight="1" x14ac:dyDescent="0.25">
      <c r="A107" s="48">
        <v>104</v>
      </c>
      <c r="B107" s="171" t="str">
        <f>IF(A107&lt;=SUM(Stand!$H$3:$H$29),VLOOKUP(A107,Stand!$A$3:$C$29,3,TRUE),"")</f>
        <v/>
      </c>
      <c r="C107" s="172" t="str">
        <f t="shared" si="13"/>
        <v/>
      </c>
      <c r="D107" s="173" t="str">
        <f>IF(B107="","",VLOOKUP(B107&amp;C107,Plot!$B$2:$D$199,3,FALSE))</f>
        <v/>
      </c>
      <c r="E107" s="130"/>
      <c r="F107" s="152" t="str">
        <f>IF(B107="","",SUMIFS(Tree!$O:$O,Tree!$A:$A,'Pre-Harvest Plots_rpt'!$B107,Tree!$B:$B,'Pre-Harvest Plots_rpt'!$D107,Tree!$F:$F,"L"))</f>
        <v/>
      </c>
      <c r="G107" s="153" t="str">
        <f>IFERROR(IF(D107="","",SUMIFS(Tree!$P:$P,Tree!$A:$A,'Pre-Harvest Plots_rpt'!$B107,Tree!$B:$B,'Pre-Harvest Plots_rpt'!$D107)/$F107),"")</f>
        <v/>
      </c>
      <c r="H107" s="122" t="str">
        <f t="shared" si="11"/>
        <v/>
      </c>
      <c r="I107" s="121" t="str">
        <f>IF(OR($F107=0,$F107=""),"",SUMIFS(Tree!$R:$R,Tree!$A:$A,'Pre-Harvest Plots_rpt'!$B107,Tree!$B:$B,'Pre-Harvest Plots_rpt'!$D107,Tree!$F:$F,"L"))</f>
        <v/>
      </c>
      <c r="J107" s="121" t="str">
        <f>IF(OR($F107=0,$F107=""),"",IF(SUMIFS(Tree!$W:$W,Tree!$A:$A,'Pre-Harvest Plots_rpt'!$B107,Tree!$B:$B,'Pre-Harvest Plots_rpt'!$D107,Tree!$F:$F,"L")=0,0,AVERAGEIFS(Tree!$W:$W,Tree!$A:$A,'Pre-Harvest Plots_rpt'!$B107,Tree!$B:$B,'Pre-Harvest Plots_rpt'!$D107,Tree!$F:$F,"L")))</f>
        <v/>
      </c>
      <c r="K107" s="121" t="str">
        <f>IF($F107="","",SUMIFS(Tree!$S:$S,Tree!$A:$A,'Pre-Harvest Plots_rpt'!$B107,Tree!$B:$B,'Pre-Harvest Plots_rpt'!$D107,Tree!$F:$F,"L"))</f>
        <v/>
      </c>
      <c r="L107" s="154" t="str">
        <f t="shared" si="12"/>
        <v/>
      </c>
      <c r="M107" s="135"/>
      <c r="N107" s="192" t="str">
        <f>IF(B107="","",SUMIFS(Tree!$AM:$AM,Tree!$A:$A,'Pre-Harvest Plots_rpt'!$B107,Tree!$B:$B,'Pre-Harvest Plots_rpt'!$D107,Tree!$F:$F,"L"))</f>
        <v/>
      </c>
      <c r="O107" s="122" t="str">
        <f>IF(B107="","",SUMIFS(Tree!$AN:$AN,Tree!$A:$A,'Pre-Harvest Plots_rpt'!$B107,Tree!$B:$B,'Pre-Harvest Plots_rpt'!$D107,Tree!$F:$F,"L"))</f>
        <v/>
      </c>
      <c r="P107" s="122" t="str">
        <f>IF(B107="","",SUMIFS(Tree!$AO:$AO,Tree!$A:$A,'Pre-Harvest Plots_rpt'!$B107,Tree!$B:$B,'Pre-Harvest Plots_rpt'!$D107,Tree!$F:$F,"L"))</f>
        <v/>
      </c>
      <c r="Q107" s="122" t="str">
        <f>IF(B107="","",SUMIFS(Tree!$AP:$AP,Tree!$A:$A,'Pre-Harvest Plots_rpt'!$B107,Tree!$B:$B,'Pre-Harvest Plots_rpt'!$D107,Tree!$F:$F,"L"))</f>
        <v/>
      </c>
      <c r="R107" s="123" t="str">
        <f>IF(B107="","",SUMIFS(Tree!$AQ:$AQ,Tree!$A:$A,'Pre-Harvest Plots_rpt'!$B107,Tree!$B:$B,'Pre-Harvest Plots_rpt'!$D107,Tree!$F:$F,"L"))</f>
        <v/>
      </c>
      <c r="S107" s="122" t="str">
        <f>IF(B107="","",SUMIFS(Tree!$AJ:$AJ,Tree!$A:$A,'Pre-Harvest Plots_rpt'!$B107,Tree!$B:$B,'Pre-Harvest Plots_rpt'!$D107,Tree!$F:$F,"L")-O107)</f>
        <v/>
      </c>
      <c r="T107" s="122" t="str">
        <f>IF(B107="","",SUMIFS(Tree!$AK:$AK,Tree!$A:$A,'Pre-Harvest Plots_rpt'!$B107,Tree!$B:$B,'Pre-Harvest Plots_rpt'!$D107,Tree!$F:$F,"L")-P107)</f>
        <v/>
      </c>
      <c r="U107" s="122" t="str">
        <f>IF(B107="","",SUMIFS(Tree!$AL:$AL,Tree!$A:$A,'Pre-Harvest Plots_rpt'!$B107,Tree!$B:$B,'Pre-Harvest Plots_rpt'!$D107,Tree!$F:$F,"L")-Q107)</f>
        <v/>
      </c>
      <c r="V107" s="123" t="str">
        <f>IF(B107="","",ROUND(SUMIFS(Tree!$AE:$AE,Tree!$A:$A,'Pre-Harvest Plots_rpt'!$B107,Tree!$B:$B,'Pre-Harvest Plots_rpt'!$D107,Tree!$F:$F,"L")-R107,1))</f>
        <v/>
      </c>
      <c r="W107" s="124" t="str">
        <f>IF(B107="","",SUMIFS(Tree!$AY:$AY,Tree!$A:$A,'Pre-Harvest Plots_rpt'!$B107,Tree!$B:$B,'Pre-Harvest Plots_rpt'!$D107,Tree!$F:$F,"L")/1000)</f>
        <v/>
      </c>
      <c r="X107" s="158" t="str">
        <f>IF(B107="","",ROUND((SUMIFS(Tree!$AW:$AW,Tree!$A:$A,'Pre-Harvest Plots_rpt'!$B107,Tree!$B:$B,'Pre-Harvest Plots_rpt'!$D107,Tree!$F:$F,"L")/1000)-W107,1))</f>
        <v/>
      </c>
      <c r="Y107" s="135"/>
      <c r="Z107" s="161" t="str">
        <f>IF(IF(B107="","",SUMIFS(Tree!$O:$O,Tree!$A:$A,'Pre-Harvest Plots_rpt'!$B107,Tree!$B:$B,'Pre-Harvest Plots_rpt'!$D107,Tree!$F:$F,"D"))=0,"",IF(B107="","",SUMIFS(Tree!$O:$O,Tree!$A:$A,'Pre-Harvest Plots_rpt'!$B107,Tree!$B:$B,'Pre-Harvest Plots_rpt'!$D107,Tree!$F:$F,"D")))</f>
        <v/>
      </c>
      <c r="AA107" s="125" t="str">
        <f t="shared" si="10"/>
        <v/>
      </c>
      <c r="AB107" s="125" t="str">
        <f>IF(Z107="","",SUMIFS(Tree!$R:$R,Tree!$A:$A,'Pre-Harvest Plots_rpt'!$B107,Tree!$B:$B,'Pre-Harvest Plots_rpt'!$D107,Tree!$F:$F,"D"))</f>
        <v/>
      </c>
      <c r="AC107" s="126" t="str">
        <f>IF(Z107="","",SUMIFS(Tree!$AM:$AM,Tree!$A:$A,'Pre-Harvest Plots_rpt'!$B107,Tree!$B:$B,'Pre-Harvest Plots_rpt'!$D107,Tree!$F:$F,"D"))</f>
        <v/>
      </c>
      <c r="AD107" s="162" t="str">
        <f>IF(Z107="","",SUMIFS(Tree!$AW:$AW,Tree!$A:$A,'Pre-Harvest Plots_rpt'!$B107,Tree!$B:$B,'Pre-Harvest Plots_rpt'!$D107,Tree!$F:$F,"D")/1000)</f>
        <v/>
      </c>
      <c r="AE107" s="47"/>
      <c r="AF107" s="4"/>
      <c r="AG107" s="4"/>
      <c r="AH107" s="4"/>
    </row>
    <row r="108" spans="1:34" ht="12.75" customHeight="1" x14ac:dyDescent="0.25">
      <c r="A108" s="48">
        <v>105</v>
      </c>
      <c r="B108" s="171" t="str">
        <f>IF(A108&lt;=SUM(Stand!$H$3:$H$29),VLOOKUP(A108,Stand!$A$3:$C$29,3,TRUE),"")</f>
        <v/>
      </c>
      <c r="C108" s="172" t="str">
        <f t="shared" si="13"/>
        <v/>
      </c>
      <c r="D108" s="173" t="str">
        <f>IF(B108="","",VLOOKUP(B108&amp;C108,Plot!$B$2:$D$199,3,FALSE))</f>
        <v/>
      </c>
      <c r="E108" s="130"/>
      <c r="F108" s="152" t="str">
        <f>IF(B108="","",SUMIFS(Tree!$O:$O,Tree!$A:$A,'Pre-Harvest Plots_rpt'!$B108,Tree!$B:$B,'Pre-Harvest Plots_rpt'!$D108,Tree!$F:$F,"L"))</f>
        <v/>
      </c>
      <c r="G108" s="153" t="str">
        <f>IFERROR(IF(D108="","",SUMIFS(Tree!$P:$P,Tree!$A:$A,'Pre-Harvest Plots_rpt'!$B108,Tree!$B:$B,'Pre-Harvest Plots_rpt'!$D108)/$F108),"")</f>
        <v/>
      </c>
      <c r="H108" s="122" t="str">
        <f t="shared" si="11"/>
        <v/>
      </c>
      <c r="I108" s="121" t="str">
        <f>IF(OR($F108=0,$F108=""),"",SUMIFS(Tree!$R:$R,Tree!$A:$A,'Pre-Harvest Plots_rpt'!$B108,Tree!$B:$B,'Pre-Harvest Plots_rpt'!$D108,Tree!$F:$F,"L"))</f>
        <v/>
      </c>
      <c r="J108" s="121" t="str">
        <f>IF(OR($F108=0,$F108=""),"",IF(SUMIFS(Tree!$W:$W,Tree!$A:$A,'Pre-Harvest Plots_rpt'!$B108,Tree!$B:$B,'Pre-Harvest Plots_rpt'!$D108,Tree!$F:$F,"L")=0,0,AVERAGEIFS(Tree!$W:$W,Tree!$A:$A,'Pre-Harvest Plots_rpt'!$B108,Tree!$B:$B,'Pre-Harvest Plots_rpt'!$D108,Tree!$F:$F,"L")))</f>
        <v/>
      </c>
      <c r="K108" s="121" t="str">
        <f>IF($F108="","",SUMIFS(Tree!$S:$S,Tree!$A:$A,'Pre-Harvest Plots_rpt'!$B108,Tree!$B:$B,'Pre-Harvest Plots_rpt'!$D108,Tree!$F:$F,"L"))</f>
        <v/>
      </c>
      <c r="L108" s="154" t="str">
        <f t="shared" si="12"/>
        <v/>
      </c>
      <c r="M108" s="135"/>
      <c r="N108" s="192" t="str">
        <f>IF(B108="","",SUMIFS(Tree!$AM:$AM,Tree!$A:$A,'Pre-Harvest Plots_rpt'!$B108,Tree!$B:$B,'Pre-Harvest Plots_rpt'!$D108,Tree!$F:$F,"L"))</f>
        <v/>
      </c>
      <c r="O108" s="122" t="str">
        <f>IF(B108="","",SUMIFS(Tree!$AN:$AN,Tree!$A:$A,'Pre-Harvest Plots_rpt'!$B108,Tree!$B:$B,'Pre-Harvest Plots_rpt'!$D108,Tree!$F:$F,"L"))</f>
        <v/>
      </c>
      <c r="P108" s="122" t="str">
        <f>IF(B108="","",SUMIFS(Tree!$AO:$AO,Tree!$A:$A,'Pre-Harvest Plots_rpt'!$B108,Tree!$B:$B,'Pre-Harvest Plots_rpt'!$D108,Tree!$F:$F,"L"))</f>
        <v/>
      </c>
      <c r="Q108" s="122" t="str">
        <f>IF(B108="","",SUMIFS(Tree!$AP:$AP,Tree!$A:$A,'Pre-Harvest Plots_rpt'!$B108,Tree!$B:$B,'Pre-Harvest Plots_rpt'!$D108,Tree!$F:$F,"L"))</f>
        <v/>
      </c>
      <c r="R108" s="123" t="str">
        <f>IF(B108="","",SUMIFS(Tree!$AQ:$AQ,Tree!$A:$A,'Pre-Harvest Plots_rpt'!$B108,Tree!$B:$B,'Pre-Harvest Plots_rpt'!$D108,Tree!$F:$F,"L"))</f>
        <v/>
      </c>
      <c r="S108" s="122" t="str">
        <f>IF(B108="","",SUMIFS(Tree!$AJ:$AJ,Tree!$A:$A,'Pre-Harvest Plots_rpt'!$B108,Tree!$B:$B,'Pre-Harvest Plots_rpt'!$D108,Tree!$F:$F,"L")-O108)</f>
        <v/>
      </c>
      <c r="T108" s="122" t="str">
        <f>IF(B108="","",SUMIFS(Tree!$AK:$AK,Tree!$A:$A,'Pre-Harvest Plots_rpt'!$B108,Tree!$B:$B,'Pre-Harvest Plots_rpt'!$D108,Tree!$F:$F,"L")-P108)</f>
        <v/>
      </c>
      <c r="U108" s="122" t="str">
        <f>IF(B108="","",SUMIFS(Tree!$AL:$AL,Tree!$A:$A,'Pre-Harvest Plots_rpt'!$B108,Tree!$B:$B,'Pre-Harvest Plots_rpt'!$D108,Tree!$F:$F,"L")-Q108)</f>
        <v/>
      </c>
      <c r="V108" s="123" t="str">
        <f>IF(B108="","",ROUND(SUMIFS(Tree!$AE:$AE,Tree!$A:$A,'Pre-Harvest Plots_rpt'!$B108,Tree!$B:$B,'Pre-Harvest Plots_rpt'!$D108,Tree!$F:$F,"L")-R108,1))</f>
        <v/>
      </c>
      <c r="W108" s="124" t="str">
        <f>IF(B108="","",SUMIFS(Tree!$AY:$AY,Tree!$A:$A,'Pre-Harvest Plots_rpt'!$B108,Tree!$B:$B,'Pre-Harvest Plots_rpt'!$D108,Tree!$F:$F,"L")/1000)</f>
        <v/>
      </c>
      <c r="X108" s="158" t="str">
        <f>IF(B108="","",ROUND((SUMIFS(Tree!$AW:$AW,Tree!$A:$A,'Pre-Harvest Plots_rpt'!$B108,Tree!$B:$B,'Pre-Harvest Plots_rpt'!$D108,Tree!$F:$F,"L")/1000)-W108,1))</f>
        <v/>
      </c>
      <c r="Y108" s="135"/>
      <c r="Z108" s="161" t="str">
        <f>IF(IF(B108="","",SUMIFS(Tree!$O:$O,Tree!$A:$A,'Pre-Harvest Plots_rpt'!$B108,Tree!$B:$B,'Pre-Harvest Plots_rpt'!$D108,Tree!$F:$F,"D"))=0,"",IF(B108="","",SUMIFS(Tree!$O:$O,Tree!$A:$A,'Pre-Harvest Plots_rpt'!$B108,Tree!$B:$B,'Pre-Harvest Plots_rpt'!$D108,Tree!$F:$F,"D")))</f>
        <v/>
      </c>
      <c r="AA108" s="125" t="str">
        <f t="shared" si="10"/>
        <v/>
      </c>
      <c r="AB108" s="125" t="str">
        <f>IF(Z108="","",SUMIFS(Tree!$R:$R,Tree!$A:$A,'Pre-Harvest Plots_rpt'!$B108,Tree!$B:$B,'Pre-Harvest Plots_rpt'!$D108,Tree!$F:$F,"D"))</f>
        <v/>
      </c>
      <c r="AC108" s="126" t="str">
        <f>IF(Z108="","",SUMIFS(Tree!$AM:$AM,Tree!$A:$A,'Pre-Harvest Plots_rpt'!$B108,Tree!$B:$B,'Pre-Harvest Plots_rpt'!$D108,Tree!$F:$F,"D"))</f>
        <v/>
      </c>
      <c r="AD108" s="162" t="str">
        <f>IF(Z108="","",SUMIFS(Tree!$AW:$AW,Tree!$A:$A,'Pre-Harvest Plots_rpt'!$B108,Tree!$B:$B,'Pre-Harvest Plots_rpt'!$D108,Tree!$F:$F,"D")/1000)</f>
        <v/>
      </c>
      <c r="AE108" s="47"/>
      <c r="AF108" s="4"/>
      <c r="AG108" s="4"/>
      <c r="AH108" s="4"/>
    </row>
    <row r="109" spans="1:34" ht="12.75" customHeight="1" x14ac:dyDescent="0.25">
      <c r="A109" s="48">
        <v>106</v>
      </c>
      <c r="B109" s="171" t="str">
        <f>IF(A109&lt;=SUM(Stand!$H$3:$H$29),VLOOKUP(A109,Stand!$A$3:$C$29,3,TRUE),"")</f>
        <v/>
      </c>
      <c r="C109" s="172" t="str">
        <f t="shared" si="13"/>
        <v/>
      </c>
      <c r="D109" s="173" t="str">
        <f>IF(B109="","",VLOOKUP(B109&amp;C109,Plot!$B$2:$D$199,3,FALSE))</f>
        <v/>
      </c>
      <c r="E109" s="130"/>
      <c r="F109" s="152" t="str">
        <f>IF(B109="","",SUMIFS(Tree!$O:$O,Tree!$A:$A,'Pre-Harvest Plots_rpt'!$B109,Tree!$B:$B,'Pre-Harvest Plots_rpt'!$D109,Tree!$F:$F,"L"))</f>
        <v/>
      </c>
      <c r="G109" s="153" t="str">
        <f>IFERROR(IF(D109="","",SUMIFS(Tree!$P:$P,Tree!$A:$A,'Pre-Harvest Plots_rpt'!$B109,Tree!$B:$B,'Pre-Harvest Plots_rpt'!$D109)/$F109),"")</f>
        <v/>
      </c>
      <c r="H109" s="122" t="str">
        <f t="shared" si="11"/>
        <v/>
      </c>
      <c r="I109" s="121" t="str">
        <f>IF(OR($F109=0,$F109=""),"",SUMIFS(Tree!$R:$R,Tree!$A:$A,'Pre-Harvest Plots_rpt'!$B109,Tree!$B:$B,'Pre-Harvest Plots_rpt'!$D109,Tree!$F:$F,"L"))</f>
        <v/>
      </c>
      <c r="J109" s="121" t="str">
        <f>IF(OR($F109=0,$F109=""),"",IF(SUMIFS(Tree!$W:$W,Tree!$A:$A,'Pre-Harvest Plots_rpt'!$B109,Tree!$B:$B,'Pre-Harvest Plots_rpt'!$D109,Tree!$F:$F,"L")=0,0,AVERAGEIFS(Tree!$W:$W,Tree!$A:$A,'Pre-Harvest Plots_rpt'!$B109,Tree!$B:$B,'Pre-Harvest Plots_rpt'!$D109,Tree!$F:$F,"L")))</f>
        <v/>
      </c>
      <c r="K109" s="121" t="str">
        <f>IF($F109="","",SUMIFS(Tree!$S:$S,Tree!$A:$A,'Pre-Harvest Plots_rpt'!$B109,Tree!$B:$B,'Pre-Harvest Plots_rpt'!$D109,Tree!$F:$F,"L"))</f>
        <v/>
      </c>
      <c r="L109" s="154" t="str">
        <f t="shared" si="12"/>
        <v/>
      </c>
      <c r="M109" s="135"/>
      <c r="N109" s="192" t="str">
        <f>IF(B109="","",SUMIFS(Tree!$AM:$AM,Tree!$A:$A,'Pre-Harvest Plots_rpt'!$B109,Tree!$B:$B,'Pre-Harvest Plots_rpt'!$D109,Tree!$F:$F,"L"))</f>
        <v/>
      </c>
      <c r="O109" s="122" t="str">
        <f>IF(B109="","",SUMIFS(Tree!$AN:$AN,Tree!$A:$A,'Pre-Harvest Plots_rpt'!$B109,Tree!$B:$B,'Pre-Harvest Plots_rpt'!$D109,Tree!$F:$F,"L"))</f>
        <v/>
      </c>
      <c r="P109" s="122" t="str">
        <f>IF(B109="","",SUMIFS(Tree!$AO:$AO,Tree!$A:$A,'Pre-Harvest Plots_rpt'!$B109,Tree!$B:$B,'Pre-Harvest Plots_rpt'!$D109,Tree!$F:$F,"L"))</f>
        <v/>
      </c>
      <c r="Q109" s="122" t="str">
        <f>IF(B109="","",SUMIFS(Tree!$AP:$AP,Tree!$A:$A,'Pre-Harvest Plots_rpt'!$B109,Tree!$B:$B,'Pre-Harvest Plots_rpt'!$D109,Tree!$F:$F,"L"))</f>
        <v/>
      </c>
      <c r="R109" s="123" t="str">
        <f>IF(B109="","",SUMIFS(Tree!$AQ:$AQ,Tree!$A:$A,'Pre-Harvest Plots_rpt'!$B109,Tree!$B:$B,'Pre-Harvest Plots_rpt'!$D109,Tree!$F:$F,"L"))</f>
        <v/>
      </c>
      <c r="S109" s="122" t="str">
        <f>IF(B109="","",SUMIFS(Tree!$AJ:$AJ,Tree!$A:$A,'Pre-Harvest Plots_rpt'!$B109,Tree!$B:$B,'Pre-Harvest Plots_rpt'!$D109,Tree!$F:$F,"L")-O109)</f>
        <v/>
      </c>
      <c r="T109" s="122" t="str">
        <f>IF(B109="","",SUMIFS(Tree!$AK:$AK,Tree!$A:$A,'Pre-Harvest Plots_rpt'!$B109,Tree!$B:$B,'Pre-Harvest Plots_rpt'!$D109,Tree!$F:$F,"L")-P109)</f>
        <v/>
      </c>
      <c r="U109" s="122" t="str">
        <f>IF(B109="","",SUMIFS(Tree!$AL:$AL,Tree!$A:$A,'Pre-Harvest Plots_rpt'!$B109,Tree!$B:$B,'Pre-Harvest Plots_rpt'!$D109,Tree!$F:$F,"L")-Q109)</f>
        <v/>
      </c>
      <c r="V109" s="123" t="str">
        <f>IF(B109="","",ROUND(SUMIFS(Tree!$AE:$AE,Tree!$A:$A,'Pre-Harvest Plots_rpt'!$B109,Tree!$B:$B,'Pre-Harvest Plots_rpt'!$D109,Tree!$F:$F,"L")-R109,1))</f>
        <v/>
      </c>
      <c r="W109" s="124" t="str">
        <f>IF(B109="","",SUMIFS(Tree!$AY:$AY,Tree!$A:$A,'Pre-Harvest Plots_rpt'!$B109,Tree!$B:$B,'Pre-Harvest Plots_rpt'!$D109,Tree!$F:$F,"L")/1000)</f>
        <v/>
      </c>
      <c r="X109" s="158" t="str">
        <f>IF(B109="","",ROUND((SUMIFS(Tree!$AW:$AW,Tree!$A:$A,'Pre-Harvest Plots_rpt'!$B109,Tree!$B:$B,'Pre-Harvest Plots_rpt'!$D109,Tree!$F:$F,"L")/1000)-W109,1))</f>
        <v/>
      </c>
      <c r="Y109" s="135"/>
      <c r="Z109" s="161" t="str">
        <f>IF(IF(B109="","",SUMIFS(Tree!$O:$O,Tree!$A:$A,'Pre-Harvest Plots_rpt'!$B109,Tree!$B:$B,'Pre-Harvest Plots_rpt'!$D109,Tree!$F:$F,"D"))=0,"",IF(B109="","",SUMIFS(Tree!$O:$O,Tree!$A:$A,'Pre-Harvest Plots_rpt'!$B109,Tree!$B:$B,'Pre-Harvest Plots_rpt'!$D109,Tree!$F:$F,"D")))</f>
        <v/>
      </c>
      <c r="AA109" s="125" t="str">
        <f t="shared" si="10"/>
        <v/>
      </c>
      <c r="AB109" s="125" t="str">
        <f>IF(Z109="","",SUMIFS(Tree!$R:$R,Tree!$A:$A,'Pre-Harvest Plots_rpt'!$B109,Tree!$B:$B,'Pre-Harvest Plots_rpt'!$D109,Tree!$F:$F,"D"))</f>
        <v/>
      </c>
      <c r="AC109" s="126" t="str">
        <f>IF(Z109="","",SUMIFS(Tree!$AM:$AM,Tree!$A:$A,'Pre-Harvest Plots_rpt'!$B109,Tree!$B:$B,'Pre-Harvest Plots_rpt'!$D109,Tree!$F:$F,"D"))</f>
        <v/>
      </c>
      <c r="AD109" s="162" t="str">
        <f>IF(Z109="","",SUMIFS(Tree!$AW:$AW,Tree!$A:$A,'Pre-Harvest Plots_rpt'!$B109,Tree!$B:$B,'Pre-Harvest Plots_rpt'!$D109,Tree!$F:$F,"D")/1000)</f>
        <v/>
      </c>
      <c r="AE109" s="47"/>
      <c r="AF109" s="4"/>
      <c r="AG109" s="4"/>
      <c r="AH109" s="4"/>
    </row>
    <row r="110" spans="1:34" ht="12.75" customHeight="1" x14ac:dyDescent="0.25">
      <c r="A110" s="48">
        <v>107</v>
      </c>
      <c r="B110" s="171" t="str">
        <f>IF(A110&lt;=SUM(Stand!$H$3:$H$29),VLOOKUP(A110,Stand!$A$3:$C$29,3,TRUE),"")</f>
        <v/>
      </c>
      <c r="C110" s="172" t="str">
        <f t="shared" si="13"/>
        <v/>
      </c>
      <c r="D110" s="173" t="str">
        <f>IF(B110="","",VLOOKUP(B110&amp;C110,Plot!$B$2:$D$199,3,FALSE))</f>
        <v/>
      </c>
      <c r="E110" s="130"/>
      <c r="F110" s="152" t="str">
        <f>IF(B110="","",SUMIFS(Tree!$O:$O,Tree!$A:$A,'Pre-Harvest Plots_rpt'!$B110,Tree!$B:$B,'Pre-Harvest Plots_rpt'!$D110,Tree!$F:$F,"L"))</f>
        <v/>
      </c>
      <c r="G110" s="153" t="str">
        <f>IFERROR(IF(D110="","",SUMIFS(Tree!$P:$P,Tree!$A:$A,'Pre-Harvest Plots_rpt'!$B110,Tree!$B:$B,'Pre-Harvest Plots_rpt'!$D110)/$F110),"")</f>
        <v/>
      </c>
      <c r="H110" s="122" t="str">
        <f t="shared" si="11"/>
        <v/>
      </c>
      <c r="I110" s="121" t="str">
        <f>IF(OR($F110=0,$F110=""),"",SUMIFS(Tree!$R:$R,Tree!$A:$A,'Pre-Harvest Plots_rpt'!$B110,Tree!$B:$B,'Pre-Harvest Plots_rpt'!$D110,Tree!$F:$F,"L"))</f>
        <v/>
      </c>
      <c r="J110" s="121" t="str">
        <f>IF(OR($F110=0,$F110=""),"",IF(SUMIFS(Tree!$W:$W,Tree!$A:$A,'Pre-Harvest Plots_rpt'!$B110,Tree!$B:$B,'Pre-Harvest Plots_rpt'!$D110,Tree!$F:$F,"L")=0,0,AVERAGEIFS(Tree!$W:$W,Tree!$A:$A,'Pre-Harvest Plots_rpt'!$B110,Tree!$B:$B,'Pre-Harvest Plots_rpt'!$D110,Tree!$F:$F,"L")))</f>
        <v/>
      </c>
      <c r="K110" s="121" t="str">
        <f>IF($F110="","",SUMIFS(Tree!$S:$S,Tree!$A:$A,'Pre-Harvest Plots_rpt'!$B110,Tree!$B:$B,'Pre-Harvest Plots_rpt'!$D110,Tree!$F:$F,"L"))</f>
        <v/>
      </c>
      <c r="L110" s="154" t="str">
        <f t="shared" si="12"/>
        <v/>
      </c>
      <c r="M110" s="135"/>
      <c r="N110" s="192" t="str">
        <f>IF(B110="","",SUMIFS(Tree!$AM:$AM,Tree!$A:$A,'Pre-Harvest Plots_rpt'!$B110,Tree!$B:$B,'Pre-Harvest Plots_rpt'!$D110,Tree!$F:$F,"L"))</f>
        <v/>
      </c>
      <c r="O110" s="122" t="str">
        <f>IF(B110="","",SUMIFS(Tree!$AN:$AN,Tree!$A:$A,'Pre-Harvest Plots_rpt'!$B110,Tree!$B:$B,'Pre-Harvest Plots_rpt'!$D110,Tree!$F:$F,"L"))</f>
        <v/>
      </c>
      <c r="P110" s="122" t="str">
        <f>IF(B110="","",SUMIFS(Tree!$AO:$AO,Tree!$A:$A,'Pre-Harvest Plots_rpt'!$B110,Tree!$B:$B,'Pre-Harvest Plots_rpt'!$D110,Tree!$F:$F,"L"))</f>
        <v/>
      </c>
      <c r="Q110" s="122" t="str">
        <f>IF(B110="","",SUMIFS(Tree!$AP:$AP,Tree!$A:$A,'Pre-Harvest Plots_rpt'!$B110,Tree!$B:$B,'Pre-Harvest Plots_rpt'!$D110,Tree!$F:$F,"L"))</f>
        <v/>
      </c>
      <c r="R110" s="123" t="str">
        <f>IF(B110="","",SUMIFS(Tree!$AQ:$AQ,Tree!$A:$A,'Pre-Harvest Plots_rpt'!$B110,Tree!$B:$B,'Pre-Harvest Plots_rpt'!$D110,Tree!$F:$F,"L"))</f>
        <v/>
      </c>
      <c r="S110" s="122" t="str">
        <f>IF(B110="","",SUMIFS(Tree!$AJ:$AJ,Tree!$A:$A,'Pre-Harvest Plots_rpt'!$B110,Tree!$B:$B,'Pre-Harvest Plots_rpt'!$D110,Tree!$F:$F,"L")-O110)</f>
        <v/>
      </c>
      <c r="T110" s="122" t="str">
        <f>IF(B110="","",SUMIFS(Tree!$AK:$AK,Tree!$A:$A,'Pre-Harvest Plots_rpt'!$B110,Tree!$B:$B,'Pre-Harvest Plots_rpt'!$D110,Tree!$F:$F,"L")-P110)</f>
        <v/>
      </c>
      <c r="U110" s="122" t="str">
        <f>IF(B110="","",SUMIFS(Tree!$AL:$AL,Tree!$A:$A,'Pre-Harvest Plots_rpt'!$B110,Tree!$B:$B,'Pre-Harvest Plots_rpt'!$D110,Tree!$F:$F,"L")-Q110)</f>
        <v/>
      </c>
      <c r="V110" s="123" t="str">
        <f>IF(B110="","",ROUND(SUMIFS(Tree!$AE:$AE,Tree!$A:$A,'Pre-Harvest Plots_rpt'!$B110,Tree!$B:$B,'Pre-Harvest Plots_rpt'!$D110,Tree!$F:$F,"L")-R110,1))</f>
        <v/>
      </c>
      <c r="W110" s="124" t="str">
        <f>IF(B110="","",SUMIFS(Tree!$AY:$AY,Tree!$A:$A,'Pre-Harvest Plots_rpt'!$B110,Tree!$B:$B,'Pre-Harvest Plots_rpt'!$D110,Tree!$F:$F,"L")/1000)</f>
        <v/>
      </c>
      <c r="X110" s="158" t="str">
        <f>IF(B110="","",ROUND((SUMIFS(Tree!$AW:$AW,Tree!$A:$A,'Pre-Harvest Plots_rpt'!$B110,Tree!$B:$B,'Pre-Harvest Plots_rpt'!$D110,Tree!$F:$F,"L")/1000)-W110,1))</f>
        <v/>
      </c>
      <c r="Y110" s="135"/>
      <c r="Z110" s="161" t="str">
        <f>IF(IF(B110="","",SUMIFS(Tree!$O:$O,Tree!$A:$A,'Pre-Harvest Plots_rpt'!$B110,Tree!$B:$B,'Pre-Harvest Plots_rpt'!$D110,Tree!$F:$F,"D"))=0,"",IF(B110="","",SUMIFS(Tree!$O:$O,Tree!$A:$A,'Pre-Harvest Plots_rpt'!$B110,Tree!$B:$B,'Pre-Harvest Plots_rpt'!$D110,Tree!$F:$F,"D")))</f>
        <v/>
      </c>
      <c r="AA110" s="125" t="str">
        <f t="shared" si="10"/>
        <v/>
      </c>
      <c r="AB110" s="125" t="str">
        <f>IF(Z110="","",SUMIFS(Tree!$R:$R,Tree!$A:$A,'Pre-Harvest Plots_rpt'!$B110,Tree!$B:$B,'Pre-Harvest Plots_rpt'!$D110,Tree!$F:$F,"D"))</f>
        <v/>
      </c>
      <c r="AC110" s="126" t="str">
        <f>IF(Z110="","",SUMIFS(Tree!$AM:$AM,Tree!$A:$A,'Pre-Harvest Plots_rpt'!$B110,Tree!$B:$B,'Pre-Harvest Plots_rpt'!$D110,Tree!$F:$F,"D"))</f>
        <v/>
      </c>
      <c r="AD110" s="162" t="str">
        <f>IF(Z110="","",SUMIFS(Tree!$AW:$AW,Tree!$A:$A,'Pre-Harvest Plots_rpt'!$B110,Tree!$B:$B,'Pre-Harvest Plots_rpt'!$D110,Tree!$F:$F,"D")/1000)</f>
        <v/>
      </c>
      <c r="AE110" s="47"/>
      <c r="AF110" s="4"/>
      <c r="AG110" s="4"/>
      <c r="AH110" s="4"/>
    </row>
    <row r="111" spans="1:34" ht="12.75" customHeight="1" x14ac:dyDescent="0.25">
      <c r="A111" s="48">
        <v>108</v>
      </c>
      <c r="B111" s="171" t="str">
        <f>IF(A111&lt;=SUM(Stand!$H$3:$H$29),VLOOKUP(A111,Stand!$A$3:$C$29,3,TRUE),"")</f>
        <v/>
      </c>
      <c r="C111" s="172" t="str">
        <f t="shared" si="13"/>
        <v/>
      </c>
      <c r="D111" s="173" t="str">
        <f>IF(B111="","",VLOOKUP(B111&amp;C111,Plot!$B$2:$D$199,3,FALSE))</f>
        <v/>
      </c>
      <c r="E111" s="130"/>
      <c r="F111" s="152" t="str">
        <f>IF(B111="","",SUMIFS(Tree!$O:$O,Tree!$A:$A,'Pre-Harvest Plots_rpt'!$B111,Tree!$B:$B,'Pre-Harvest Plots_rpt'!$D111,Tree!$F:$F,"L"))</f>
        <v/>
      </c>
      <c r="G111" s="153" t="str">
        <f>IFERROR(IF(D111="","",SUMIFS(Tree!$P:$P,Tree!$A:$A,'Pre-Harvest Plots_rpt'!$B111,Tree!$B:$B,'Pre-Harvest Plots_rpt'!$D111)/$F111),"")</f>
        <v/>
      </c>
      <c r="H111" s="122" t="str">
        <f t="shared" si="11"/>
        <v/>
      </c>
      <c r="I111" s="121" t="str">
        <f>IF(OR($F111=0,$F111=""),"",SUMIFS(Tree!$R:$R,Tree!$A:$A,'Pre-Harvest Plots_rpt'!$B111,Tree!$B:$B,'Pre-Harvest Plots_rpt'!$D111,Tree!$F:$F,"L"))</f>
        <v/>
      </c>
      <c r="J111" s="121" t="str">
        <f>IF(OR($F111=0,$F111=""),"",IF(SUMIFS(Tree!$W:$W,Tree!$A:$A,'Pre-Harvest Plots_rpt'!$B111,Tree!$B:$B,'Pre-Harvest Plots_rpt'!$D111,Tree!$F:$F,"L")=0,0,AVERAGEIFS(Tree!$W:$W,Tree!$A:$A,'Pre-Harvest Plots_rpt'!$B111,Tree!$B:$B,'Pre-Harvest Plots_rpt'!$D111,Tree!$F:$F,"L")))</f>
        <v/>
      </c>
      <c r="K111" s="121" t="str">
        <f>IF($F111="","",SUMIFS(Tree!$S:$S,Tree!$A:$A,'Pre-Harvest Plots_rpt'!$B111,Tree!$B:$B,'Pre-Harvest Plots_rpt'!$D111,Tree!$F:$F,"L"))</f>
        <v/>
      </c>
      <c r="L111" s="154" t="str">
        <f t="shared" si="12"/>
        <v/>
      </c>
      <c r="M111" s="135"/>
      <c r="N111" s="192" t="str">
        <f>IF(B111="","",SUMIFS(Tree!$AM:$AM,Tree!$A:$A,'Pre-Harvest Plots_rpt'!$B111,Tree!$B:$B,'Pre-Harvest Plots_rpt'!$D111,Tree!$F:$F,"L"))</f>
        <v/>
      </c>
      <c r="O111" s="122" t="str">
        <f>IF(B111="","",SUMIFS(Tree!$AN:$AN,Tree!$A:$A,'Pre-Harvest Plots_rpt'!$B111,Tree!$B:$B,'Pre-Harvest Plots_rpt'!$D111,Tree!$F:$F,"L"))</f>
        <v/>
      </c>
      <c r="P111" s="122" t="str">
        <f>IF(B111="","",SUMIFS(Tree!$AO:$AO,Tree!$A:$A,'Pre-Harvest Plots_rpt'!$B111,Tree!$B:$B,'Pre-Harvest Plots_rpt'!$D111,Tree!$F:$F,"L"))</f>
        <v/>
      </c>
      <c r="Q111" s="122" t="str">
        <f>IF(B111="","",SUMIFS(Tree!$AP:$AP,Tree!$A:$A,'Pre-Harvest Plots_rpt'!$B111,Tree!$B:$B,'Pre-Harvest Plots_rpt'!$D111,Tree!$F:$F,"L"))</f>
        <v/>
      </c>
      <c r="R111" s="123" t="str">
        <f>IF(B111="","",SUMIFS(Tree!$AQ:$AQ,Tree!$A:$A,'Pre-Harvest Plots_rpt'!$B111,Tree!$B:$B,'Pre-Harvest Plots_rpt'!$D111,Tree!$F:$F,"L"))</f>
        <v/>
      </c>
      <c r="S111" s="122" t="str">
        <f>IF(B111="","",SUMIFS(Tree!$AJ:$AJ,Tree!$A:$A,'Pre-Harvest Plots_rpt'!$B111,Tree!$B:$B,'Pre-Harvest Plots_rpt'!$D111,Tree!$F:$F,"L")-O111)</f>
        <v/>
      </c>
      <c r="T111" s="122" t="str">
        <f>IF(B111="","",SUMIFS(Tree!$AK:$AK,Tree!$A:$A,'Pre-Harvest Plots_rpt'!$B111,Tree!$B:$B,'Pre-Harvest Plots_rpt'!$D111,Tree!$F:$F,"L")-P111)</f>
        <v/>
      </c>
      <c r="U111" s="122" t="str">
        <f>IF(B111="","",SUMIFS(Tree!$AL:$AL,Tree!$A:$A,'Pre-Harvest Plots_rpt'!$B111,Tree!$B:$B,'Pre-Harvest Plots_rpt'!$D111,Tree!$F:$F,"L")-Q111)</f>
        <v/>
      </c>
      <c r="V111" s="123" t="str">
        <f>IF(B111="","",ROUND(SUMIFS(Tree!$AE:$AE,Tree!$A:$A,'Pre-Harvest Plots_rpt'!$B111,Tree!$B:$B,'Pre-Harvest Plots_rpt'!$D111,Tree!$F:$F,"L")-R111,1))</f>
        <v/>
      </c>
      <c r="W111" s="124" t="str">
        <f>IF(B111="","",SUMIFS(Tree!$AY:$AY,Tree!$A:$A,'Pre-Harvest Plots_rpt'!$B111,Tree!$B:$B,'Pre-Harvest Plots_rpt'!$D111,Tree!$F:$F,"L")/1000)</f>
        <v/>
      </c>
      <c r="X111" s="158" t="str">
        <f>IF(B111="","",ROUND((SUMIFS(Tree!$AW:$AW,Tree!$A:$A,'Pre-Harvest Plots_rpt'!$B111,Tree!$B:$B,'Pre-Harvest Plots_rpt'!$D111,Tree!$F:$F,"L")/1000)-W111,1))</f>
        <v/>
      </c>
      <c r="Y111" s="135"/>
      <c r="Z111" s="161" t="str">
        <f>IF(IF(B111="","",SUMIFS(Tree!$O:$O,Tree!$A:$A,'Pre-Harvest Plots_rpt'!$B111,Tree!$B:$B,'Pre-Harvest Plots_rpt'!$D111,Tree!$F:$F,"D"))=0,"",IF(B111="","",SUMIFS(Tree!$O:$O,Tree!$A:$A,'Pre-Harvest Plots_rpt'!$B111,Tree!$B:$B,'Pre-Harvest Plots_rpt'!$D111,Tree!$F:$F,"D")))</f>
        <v/>
      </c>
      <c r="AA111" s="125" t="str">
        <f t="shared" si="10"/>
        <v/>
      </c>
      <c r="AB111" s="125" t="str">
        <f>IF(Z111="","",SUMIFS(Tree!$R:$R,Tree!$A:$A,'Pre-Harvest Plots_rpt'!$B111,Tree!$B:$B,'Pre-Harvest Plots_rpt'!$D111,Tree!$F:$F,"D"))</f>
        <v/>
      </c>
      <c r="AC111" s="126" t="str">
        <f>IF(Z111="","",SUMIFS(Tree!$AM:$AM,Tree!$A:$A,'Pre-Harvest Plots_rpt'!$B111,Tree!$B:$B,'Pre-Harvest Plots_rpt'!$D111,Tree!$F:$F,"D"))</f>
        <v/>
      </c>
      <c r="AD111" s="162" t="str">
        <f>IF(Z111="","",SUMIFS(Tree!$AW:$AW,Tree!$A:$A,'Pre-Harvest Plots_rpt'!$B111,Tree!$B:$B,'Pre-Harvest Plots_rpt'!$D111,Tree!$F:$F,"D")/1000)</f>
        <v/>
      </c>
      <c r="AE111" s="47"/>
      <c r="AF111" s="4"/>
      <c r="AG111" s="4"/>
      <c r="AH111" s="4"/>
    </row>
    <row r="112" spans="1:34" ht="12.75" customHeight="1" x14ac:dyDescent="0.25">
      <c r="A112" s="48">
        <v>109</v>
      </c>
      <c r="B112" s="171" t="str">
        <f>IF(A112&lt;=SUM(Stand!$H$3:$H$29),VLOOKUP(A112,Stand!$A$3:$C$29,3,TRUE),"")</f>
        <v/>
      </c>
      <c r="C112" s="172" t="str">
        <f t="shared" si="13"/>
        <v/>
      </c>
      <c r="D112" s="173" t="str">
        <f>IF(B112="","",VLOOKUP(B112&amp;C112,Plot!$B$2:$D$199,3,FALSE))</f>
        <v/>
      </c>
      <c r="E112" s="130"/>
      <c r="F112" s="152" t="str">
        <f>IF(B112="","",SUMIFS(Tree!$O:$O,Tree!$A:$A,'Pre-Harvest Plots_rpt'!$B112,Tree!$B:$B,'Pre-Harvest Plots_rpt'!$D112,Tree!$F:$F,"L"))</f>
        <v/>
      </c>
      <c r="G112" s="153" t="str">
        <f>IFERROR(IF(D112="","",SUMIFS(Tree!$P:$P,Tree!$A:$A,'Pre-Harvest Plots_rpt'!$B112,Tree!$B:$B,'Pre-Harvest Plots_rpt'!$D112)/$F112),"")</f>
        <v/>
      </c>
      <c r="H112" s="122" t="str">
        <f t="shared" si="11"/>
        <v/>
      </c>
      <c r="I112" s="121" t="str">
        <f>IF(OR($F112=0,$F112=""),"",SUMIFS(Tree!$R:$R,Tree!$A:$A,'Pre-Harvest Plots_rpt'!$B112,Tree!$B:$B,'Pre-Harvest Plots_rpt'!$D112,Tree!$F:$F,"L"))</f>
        <v/>
      </c>
      <c r="J112" s="121" t="str">
        <f>IF(OR($F112=0,$F112=""),"",IF(SUMIFS(Tree!$W:$W,Tree!$A:$A,'Pre-Harvest Plots_rpt'!$B112,Tree!$B:$B,'Pre-Harvest Plots_rpt'!$D112,Tree!$F:$F,"L")=0,0,AVERAGEIFS(Tree!$W:$W,Tree!$A:$A,'Pre-Harvest Plots_rpt'!$B112,Tree!$B:$B,'Pre-Harvest Plots_rpt'!$D112,Tree!$F:$F,"L")))</f>
        <v/>
      </c>
      <c r="K112" s="121" t="str">
        <f>IF($F112="","",SUMIFS(Tree!$S:$S,Tree!$A:$A,'Pre-Harvest Plots_rpt'!$B112,Tree!$B:$B,'Pre-Harvest Plots_rpt'!$D112,Tree!$F:$F,"L"))</f>
        <v/>
      </c>
      <c r="L112" s="154" t="str">
        <f t="shared" si="12"/>
        <v/>
      </c>
      <c r="M112" s="135"/>
      <c r="N112" s="192" t="str">
        <f>IF(B112="","",SUMIFS(Tree!$AM:$AM,Tree!$A:$A,'Pre-Harvest Plots_rpt'!$B112,Tree!$B:$B,'Pre-Harvest Plots_rpt'!$D112,Tree!$F:$F,"L"))</f>
        <v/>
      </c>
      <c r="O112" s="122" t="str">
        <f>IF(B112="","",SUMIFS(Tree!$AN:$AN,Tree!$A:$A,'Pre-Harvest Plots_rpt'!$B112,Tree!$B:$B,'Pre-Harvest Plots_rpt'!$D112,Tree!$F:$F,"L"))</f>
        <v/>
      </c>
      <c r="P112" s="122" t="str">
        <f>IF(B112="","",SUMIFS(Tree!$AO:$AO,Tree!$A:$A,'Pre-Harvest Plots_rpt'!$B112,Tree!$B:$B,'Pre-Harvest Plots_rpt'!$D112,Tree!$F:$F,"L"))</f>
        <v/>
      </c>
      <c r="Q112" s="122" t="str">
        <f>IF(B112="","",SUMIFS(Tree!$AP:$AP,Tree!$A:$A,'Pre-Harvest Plots_rpt'!$B112,Tree!$B:$B,'Pre-Harvest Plots_rpt'!$D112,Tree!$F:$F,"L"))</f>
        <v/>
      </c>
      <c r="R112" s="123" t="str">
        <f>IF(B112="","",SUMIFS(Tree!$AQ:$AQ,Tree!$A:$A,'Pre-Harvest Plots_rpt'!$B112,Tree!$B:$B,'Pre-Harvest Plots_rpt'!$D112,Tree!$F:$F,"L"))</f>
        <v/>
      </c>
      <c r="S112" s="122" t="str">
        <f>IF(B112="","",SUMIFS(Tree!$AJ:$AJ,Tree!$A:$A,'Pre-Harvest Plots_rpt'!$B112,Tree!$B:$B,'Pre-Harvest Plots_rpt'!$D112,Tree!$F:$F,"L")-O112)</f>
        <v/>
      </c>
      <c r="T112" s="122" t="str">
        <f>IF(B112="","",SUMIFS(Tree!$AK:$AK,Tree!$A:$A,'Pre-Harvest Plots_rpt'!$B112,Tree!$B:$B,'Pre-Harvest Plots_rpt'!$D112,Tree!$F:$F,"L")-P112)</f>
        <v/>
      </c>
      <c r="U112" s="122" t="str">
        <f>IF(B112="","",SUMIFS(Tree!$AL:$AL,Tree!$A:$A,'Pre-Harvest Plots_rpt'!$B112,Tree!$B:$B,'Pre-Harvest Plots_rpt'!$D112,Tree!$F:$F,"L")-Q112)</f>
        <v/>
      </c>
      <c r="V112" s="123" t="str">
        <f>IF(B112="","",ROUND(SUMIFS(Tree!$AE:$AE,Tree!$A:$A,'Pre-Harvest Plots_rpt'!$B112,Tree!$B:$B,'Pre-Harvest Plots_rpt'!$D112,Tree!$F:$F,"L")-R112,1))</f>
        <v/>
      </c>
      <c r="W112" s="124" t="str">
        <f>IF(B112="","",SUMIFS(Tree!$AY:$AY,Tree!$A:$A,'Pre-Harvest Plots_rpt'!$B112,Tree!$B:$B,'Pre-Harvest Plots_rpt'!$D112,Tree!$F:$F,"L")/1000)</f>
        <v/>
      </c>
      <c r="X112" s="158" t="str">
        <f>IF(B112="","",ROUND((SUMIFS(Tree!$AW:$AW,Tree!$A:$A,'Pre-Harvest Plots_rpt'!$B112,Tree!$B:$B,'Pre-Harvest Plots_rpt'!$D112,Tree!$F:$F,"L")/1000)-W112,1))</f>
        <v/>
      </c>
      <c r="Y112" s="135"/>
      <c r="Z112" s="161" t="str">
        <f>IF(IF(B112="","",SUMIFS(Tree!$O:$O,Tree!$A:$A,'Pre-Harvest Plots_rpt'!$B112,Tree!$B:$B,'Pre-Harvest Plots_rpt'!$D112,Tree!$F:$F,"D"))=0,"",IF(B112="","",SUMIFS(Tree!$O:$O,Tree!$A:$A,'Pre-Harvest Plots_rpt'!$B112,Tree!$B:$B,'Pre-Harvest Plots_rpt'!$D112,Tree!$F:$F,"D")))</f>
        <v/>
      </c>
      <c r="AA112" s="125" t="str">
        <f t="shared" si="10"/>
        <v/>
      </c>
      <c r="AB112" s="125" t="str">
        <f>IF(Z112="","",SUMIFS(Tree!$R:$R,Tree!$A:$A,'Pre-Harvest Plots_rpt'!$B112,Tree!$B:$B,'Pre-Harvest Plots_rpt'!$D112,Tree!$F:$F,"D"))</f>
        <v/>
      </c>
      <c r="AC112" s="126" t="str">
        <f>IF(Z112="","",SUMIFS(Tree!$AM:$AM,Tree!$A:$A,'Pre-Harvest Plots_rpt'!$B112,Tree!$B:$B,'Pre-Harvest Plots_rpt'!$D112,Tree!$F:$F,"D"))</f>
        <v/>
      </c>
      <c r="AD112" s="162" t="str">
        <f>IF(Z112="","",SUMIFS(Tree!$AW:$AW,Tree!$A:$A,'Pre-Harvest Plots_rpt'!$B112,Tree!$B:$B,'Pre-Harvest Plots_rpt'!$D112,Tree!$F:$F,"D")/1000)</f>
        <v/>
      </c>
      <c r="AE112" s="47"/>
      <c r="AF112" s="4"/>
      <c r="AG112" s="4"/>
      <c r="AH112" s="4"/>
    </row>
    <row r="113" spans="1:34" ht="12.75" customHeight="1" x14ac:dyDescent="0.25">
      <c r="A113" s="48">
        <v>110</v>
      </c>
      <c r="B113" s="171" t="str">
        <f>IF(A113&lt;=SUM(Stand!$H$3:$H$29),VLOOKUP(A113,Stand!$A$3:$C$29,3,TRUE),"")</f>
        <v/>
      </c>
      <c r="C113" s="172" t="str">
        <f t="shared" si="13"/>
        <v/>
      </c>
      <c r="D113" s="173" t="str">
        <f>IF(B113="","",VLOOKUP(B113&amp;C113,Plot!$B$2:$D$199,3,FALSE))</f>
        <v/>
      </c>
      <c r="E113" s="130"/>
      <c r="F113" s="152" t="str">
        <f>IF(B113="","",SUMIFS(Tree!$O:$O,Tree!$A:$A,'Pre-Harvest Plots_rpt'!$B113,Tree!$B:$B,'Pre-Harvest Plots_rpt'!$D113,Tree!$F:$F,"L"))</f>
        <v/>
      </c>
      <c r="G113" s="153" t="str">
        <f>IFERROR(IF(D113="","",SUMIFS(Tree!$P:$P,Tree!$A:$A,'Pre-Harvest Plots_rpt'!$B113,Tree!$B:$B,'Pre-Harvest Plots_rpt'!$D113)/$F113),"")</f>
        <v/>
      </c>
      <c r="H113" s="122" t="str">
        <f t="shared" si="11"/>
        <v/>
      </c>
      <c r="I113" s="121" t="str">
        <f>IF(OR($F113=0,$F113=""),"",SUMIFS(Tree!$R:$R,Tree!$A:$A,'Pre-Harvest Plots_rpt'!$B113,Tree!$B:$B,'Pre-Harvest Plots_rpt'!$D113,Tree!$F:$F,"L"))</f>
        <v/>
      </c>
      <c r="J113" s="121" t="str">
        <f>IF(OR($F113=0,$F113=""),"",IF(SUMIFS(Tree!$W:$W,Tree!$A:$A,'Pre-Harvest Plots_rpt'!$B113,Tree!$B:$B,'Pre-Harvest Plots_rpt'!$D113,Tree!$F:$F,"L")=0,0,AVERAGEIFS(Tree!$W:$W,Tree!$A:$A,'Pre-Harvest Plots_rpt'!$B113,Tree!$B:$B,'Pre-Harvest Plots_rpt'!$D113,Tree!$F:$F,"L")))</f>
        <v/>
      </c>
      <c r="K113" s="121" t="str">
        <f>IF($F113="","",SUMIFS(Tree!$S:$S,Tree!$A:$A,'Pre-Harvest Plots_rpt'!$B113,Tree!$B:$B,'Pre-Harvest Plots_rpt'!$D113,Tree!$F:$F,"L"))</f>
        <v/>
      </c>
      <c r="L113" s="154" t="str">
        <f t="shared" si="12"/>
        <v/>
      </c>
      <c r="M113" s="135"/>
      <c r="N113" s="192" t="str">
        <f>IF(B113="","",SUMIFS(Tree!$AM:$AM,Tree!$A:$A,'Pre-Harvest Plots_rpt'!$B113,Tree!$B:$B,'Pre-Harvest Plots_rpt'!$D113,Tree!$F:$F,"L"))</f>
        <v/>
      </c>
      <c r="O113" s="122" t="str">
        <f>IF(B113="","",SUMIFS(Tree!$AN:$AN,Tree!$A:$A,'Pre-Harvest Plots_rpt'!$B113,Tree!$B:$B,'Pre-Harvest Plots_rpt'!$D113,Tree!$F:$F,"L"))</f>
        <v/>
      </c>
      <c r="P113" s="122" t="str">
        <f>IF(B113="","",SUMIFS(Tree!$AO:$AO,Tree!$A:$A,'Pre-Harvest Plots_rpt'!$B113,Tree!$B:$B,'Pre-Harvest Plots_rpt'!$D113,Tree!$F:$F,"L"))</f>
        <v/>
      </c>
      <c r="Q113" s="122" t="str">
        <f>IF(B113="","",SUMIFS(Tree!$AP:$AP,Tree!$A:$A,'Pre-Harvest Plots_rpt'!$B113,Tree!$B:$B,'Pre-Harvest Plots_rpt'!$D113,Tree!$F:$F,"L"))</f>
        <v/>
      </c>
      <c r="R113" s="123" t="str">
        <f>IF(B113="","",SUMIFS(Tree!$AQ:$AQ,Tree!$A:$A,'Pre-Harvest Plots_rpt'!$B113,Tree!$B:$B,'Pre-Harvest Plots_rpt'!$D113,Tree!$F:$F,"L"))</f>
        <v/>
      </c>
      <c r="S113" s="122" t="str">
        <f>IF(B113="","",SUMIFS(Tree!$AJ:$AJ,Tree!$A:$A,'Pre-Harvest Plots_rpt'!$B113,Tree!$B:$B,'Pre-Harvest Plots_rpt'!$D113,Tree!$F:$F,"L")-O113)</f>
        <v/>
      </c>
      <c r="T113" s="122" t="str">
        <f>IF(B113="","",SUMIFS(Tree!$AK:$AK,Tree!$A:$A,'Pre-Harvest Plots_rpt'!$B113,Tree!$B:$B,'Pre-Harvest Plots_rpt'!$D113,Tree!$F:$F,"L")-P113)</f>
        <v/>
      </c>
      <c r="U113" s="122" t="str">
        <f>IF(B113="","",SUMIFS(Tree!$AL:$AL,Tree!$A:$A,'Pre-Harvest Plots_rpt'!$B113,Tree!$B:$B,'Pre-Harvest Plots_rpt'!$D113,Tree!$F:$F,"L")-Q113)</f>
        <v/>
      </c>
      <c r="V113" s="123" t="str">
        <f>IF(B113="","",ROUND(SUMIFS(Tree!$AE:$AE,Tree!$A:$A,'Pre-Harvest Plots_rpt'!$B113,Tree!$B:$B,'Pre-Harvest Plots_rpt'!$D113,Tree!$F:$F,"L")-R113,1))</f>
        <v/>
      </c>
      <c r="W113" s="124" t="str">
        <f>IF(B113="","",SUMIFS(Tree!$AY:$AY,Tree!$A:$A,'Pre-Harvest Plots_rpt'!$B113,Tree!$B:$B,'Pre-Harvest Plots_rpt'!$D113,Tree!$F:$F,"L")/1000)</f>
        <v/>
      </c>
      <c r="X113" s="158" t="str">
        <f>IF(B113="","",ROUND((SUMIFS(Tree!$AW:$AW,Tree!$A:$A,'Pre-Harvest Plots_rpt'!$B113,Tree!$B:$B,'Pre-Harvest Plots_rpt'!$D113,Tree!$F:$F,"L")/1000)-W113,1))</f>
        <v/>
      </c>
      <c r="Y113" s="135"/>
      <c r="Z113" s="161" t="str">
        <f>IF(IF(B113="","",SUMIFS(Tree!$O:$O,Tree!$A:$A,'Pre-Harvest Plots_rpt'!$B113,Tree!$B:$B,'Pre-Harvest Plots_rpt'!$D113,Tree!$F:$F,"D"))=0,"",IF(B113="","",SUMIFS(Tree!$O:$O,Tree!$A:$A,'Pre-Harvest Plots_rpt'!$B113,Tree!$B:$B,'Pre-Harvest Plots_rpt'!$D113,Tree!$F:$F,"D")))</f>
        <v/>
      </c>
      <c r="AA113" s="125" t="str">
        <f t="shared" si="10"/>
        <v/>
      </c>
      <c r="AB113" s="125" t="str">
        <f>IF(Z113="","",SUMIFS(Tree!$R:$R,Tree!$A:$A,'Pre-Harvest Plots_rpt'!$B113,Tree!$B:$B,'Pre-Harvest Plots_rpt'!$D113,Tree!$F:$F,"D"))</f>
        <v/>
      </c>
      <c r="AC113" s="126" t="str">
        <f>IF(Z113="","",SUMIFS(Tree!$AM:$AM,Tree!$A:$A,'Pre-Harvest Plots_rpt'!$B113,Tree!$B:$B,'Pre-Harvest Plots_rpt'!$D113,Tree!$F:$F,"D"))</f>
        <v/>
      </c>
      <c r="AD113" s="162" t="str">
        <f>IF(Z113="","",SUMIFS(Tree!$AW:$AW,Tree!$A:$A,'Pre-Harvest Plots_rpt'!$B113,Tree!$B:$B,'Pre-Harvest Plots_rpt'!$D113,Tree!$F:$F,"D")/1000)</f>
        <v/>
      </c>
      <c r="AE113" s="47"/>
      <c r="AF113" s="4"/>
      <c r="AG113" s="4"/>
      <c r="AH113" s="4"/>
    </row>
    <row r="114" spans="1:34" ht="12.75" customHeight="1" x14ac:dyDescent="0.25">
      <c r="A114" s="48">
        <v>111</v>
      </c>
      <c r="B114" s="171" t="str">
        <f>IF(A114&lt;=SUM(Stand!$H$3:$H$29),VLOOKUP(A114,Stand!$A$3:$C$29,3,TRUE),"")</f>
        <v/>
      </c>
      <c r="C114" s="172" t="str">
        <f t="shared" si="13"/>
        <v/>
      </c>
      <c r="D114" s="173" t="str">
        <f>IF(B114="","",VLOOKUP(B114&amp;C114,Plot!$B$2:$D$199,3,FALSE))</f>
        <v/>
      </c>
      <c r="E114" s="130"/>
      <c r="F114" s="152" t="str">
        <f>IF(B114="","",SUMIFS(Tree!$O:$O,Tree!$A:$A,'Pre-Harvest Plots_rpt'!$B114,Tree!$B:$B,'Pre-Harvest Plots_rpt'!$D114,Tree!$F:$F,"L"))</f>
        <v/>
      </c>
      <c r="G114" s="153" t="str">
        <f>IFERROR(IF(D114="","",SUMIFS(Tree!$P:$P,Tree!$A:$A,'Pre-Harvest Plots_rpt'!$B114,Tree!$B:$B,'Pre-Harvest Plots_rpt'!$D114)/$F114),"")</f>
        <v/>
      </c>
      <c r="H114" s="122" t="str">
        <f t="shared" si="11"/>
        <v/>
      </c>
      <c r="I114" s="121" t="str">
        <f>IF(OR($F114=0,$F114=""),"",SUMIFS(Tree!$R:$R,Tree!$A:$A,'Pre-Harvest Plots_rpt'!$B114,Tree!$B:$B,'Pre-Harvest Plots_rpt'!$D114,Tree!$F:$F,"L"))</f>
        <v/>
      </c>
      <c r="J114" s="121" t="str">
        <f>IF(OR($F114=0,$F114=""),"",IF(SUMIFS(Tree!$W:$W,Tree!$A:$A,'Pre-Harvest Plots_rpt'!$B114,Tree!$B:$B,'Pre-Harvest Plots_rpt'!$D114,Tree!$F:$F,"L")=0,0,AVERAGEIFS(Tree!$W:$W,Tree!$A:$A,'Pre-Harvest Plots_rpt'!$B114,Tree!$B:$B,'Pre-Harvest Plots_rpt'!$D114,Tree!$F:$F,"L")))</f>
        <v/>
      </c>
      <c r="K114" s="121" t="str">
        <f>IF($F114="","",SUMIFS(Tree!$S:$S,Tree!$A:$A,'Pre-Harvest Plots_rpt'!$B114,Tree!$B:$B,'Pre-Harvest Plots_rpt'!$D114,Tree!$F:$F,"L"))</f>
        <v/>
      </c>
      <c r="L114" s="154" t="str">
        <f t="shared" si="12"/>
        <v/>
      </c>
      <c r="M114" s="135"/>
      <c r="N114" s="192" t="str">
        <f>IF(B114="","",SUMIFS(Tree!$AM:$AM,Tree!$A:$A,'Pre-Harvest Plots_rpt'!$B114,Tree!$B:$B,'Pre-Harvest Plots_rpt'!$D114,Tree!$F:$F,"L"))</f>
        <v/>
      </c>
      <c r="O114" s="122" t="str">
        <f>IF(B114="","",SUMIFS(Tree!$AN:$AN,Tree!$A:$A,'Pre-Harvest Plots_rpt'!$B114,Tree!$B:$B,'Pre-Harvest Plots_rpt'!$D114,Tree!$F:$F,"L"))</f>
        <v/>
      </c>
      <c r="P114" s="122" t="str">
        <f>IF(B114="","",SUMIFS(Tree!$AO:$AO,Tree!$A:$A,'Pre-Harvest Plots_rpt'!$B114,Tree!$B:$B,'Pre-Harvest Plots_rpt'!$D114,Tree!$F:$F,"L"))</f>
        <v/>
      </c>
      <c r="Q114" s="122" t="str">
        <f>IF(B114="","",SUMIFS(Tree!$AP:$AP,Tree!$A:$A,'Pre-Harvest Plots_rpt'!$B114,Tree!$B:$B,'Pre-Harvest Plots_rpt'!$D114,Tree!$F:$F,"L"))</f>
        <v/>
      </c>
      <c r="R114" s="123" t="str">
        <f>IF(B114="","",SUMIFS(Tree!$AQ:$AQ,Tree!$A:$A,'Pre-Harvest Plots_rpt'!$B114,Tree!$B:$B,'Pre-Harvest Plots_rpt'!$D114,Tree!$F:$F,"L"))</f>
        <v/>
      </c>
      <c r="S114" s="122" t="str">
        <f>IF(B114="","",SUMIFS(Tree!$AJ:$AJ,Tree!$A:$A,'Pre-Harvest Plots_rpt'!$B114,Tree!$B:$B,'Pre-Harvest Plots_rpt'!$D114,Tree!$F:$F,"L")-O114)</f>
        <v/>
      </c>
      <c r="T114" s="122" t="str">
        <f>IF(B114="","",SUMIFS(Tree!$AK:$AK,Tree!$A:$A,'Pre-Harvest Plots_rpt'!$B114,Tree!$B:$B,'Pre-Harvest Plots_rpt'!$D114,Tree!$F:$F,"L")-P114)</f>
        <v/>
      </c>
      <c r="U114" s="122" t="str">
        <f>IF(B114="","",SUMIFS(Tree!$AL:$AL,Tree!$A:$A,'Pre-Harvest Plots_rpt'!$B114,Tree!$B:$B,'Pre-Harvest Plots_rpt'!$D114,Tree!$F:$F,"L")-Q114)</f>
        <v/>
      </c>
      <c r="V114" s="123" t="str">
        <f>IF(B114="","",ROUND(SUMIFS(Tree!$AE:$AE,Tree!$A:$A,'Pre-Harvest Plots_rpt'!$B114,Tree!$B:$B,'Pre-Harvest Plots_rpt'!$D114,Tree!$F:$F,"L")-R114,1))</f>
        <v/>
      </c>
      <c r="W114" s="124" t="str">
        <f>IF(B114="","",SUMIFS(Tree!$AY:$AY,Tree!$A:$A,'Pre-Harvest Plots_rpt'!$B114,Tree!$B:$B,'Pre-Harvest Plots_rpt'!$D114,Tree!$F:$F,"L")/1000)</f>
        <v/>
      </c>
      <c r="X114" s="158" t="str">
        <f>IF(B114="","",ROUND((SUMIFS(Tree!$AW:$AW,Tree!$A:$A,'Pre-Harvest Plots_rpt'!$B114,Tree!$B:$B,'Pre-Harvest Plots_rpt'!$D114,Tree!$F:$F,"L")/1000)-W114,1))</f>
        <v/>
      </c>
      <c r="Y114" s="135"/>
      <c r="Z114" s="161" t="str">
        <f>IF(IF(B114="","",SUMIFS(Tree!$O:$O,Tree!$A:$A,'Pre-Harvest Plots_rpt'!$B114,Tree!$B:$B,'Pre-Harvest Plots_rpt'!$D114,Tree!$F:$F,"D"))=0,"",IF(B114="","",SUMIFS(Tree!$O:$O,Tree!$A:$A,'Pre-Harvest Plots_rpt'!$B114,Tree!$B:$B,'Pre-Harvest Plots_rpt'!$D114,Tree!$F:$F,"D")))</f>
        <v/>
      </c>
      <c r="AA114" s="125" t="str">
        <f t="shared" si="10"/>
        <v/>
      </c>
      <c r="AB114" s="125" t="str">
        <f>IF(Z114="","",SUMIFS(Tree!$R:$R,Tree!$A:$A,'Pre-Harvest Plots_rpt'!$B114,Tree!$B:$B,'Pre-Harvest Plots_rpt'!$D114,Tree!$F:$F,"D"))</f>
        <v/>
      </c>
      <c r="AC114" s="126" t="str">
        <f>IF(Z114="","",SUMIFS(Tree!$AM:$AM,Tree!$A:$A,'Pre-Harvest Plots_rpt'!$B114,Tree!$B:$B,'Pre-Harvest Plots_rpt'!$D114,Tree!$F:$F,"D"))</f>
        <v/>
      </c>
      <c r="AD114" s="162" t="str">
        <f>IF(Z114="","",SUMIFS(Tree!$AW:$AW,Tree!$A:$A,'Pre-Harvest Plots_rpt'!$B114,Tree!$B:$B,'Pre-Harvest Plots_rpt'!$D114,Tree!$F:$F,"D")/1000)</f>
        <v/>
      </c>
      <c r="AE114" s="47"/>
      <c r="AF114" s="4"/>
      <c r="AG114" s="4"/>
      <c r="AH114" s="4"/>
    </row>
    <row r="115" spans="1:34" ht="12.75" customHeight="1" x14ac:dyDescent="0.25">
      <c r="A115" s="48">
        <v>112</v>
      </c>
      <c r="B115" s="171" t="str">
        <f>IF(A115&lt;=SUM(Stand!$H$3:$H$29),VLOOKUP(A115,Stand!$A$3:$C$29,3,TRUE),"")</f>
        <v/>
      </c>
      <c r="C115" s="172" t="str">
        <f t="shared" si="13"/>
        <v/>
      </c>
      <c r="D115" s="173" t="str">
        <f>IF(B115="","",VLOOKUP(B115&amp;C115,Plot!$B$2:$D$199,3,FALSE))</f>
        <v/>
      </c>
      <c r="E115" s="130"/>
      <c r="F115" s="152" t="str">
        <f>IF(B115="","",SUMIFS(Tree!$O:$O,Tree!$A:$A,'Pre-Harvest Plots_rpt'!$B115,Tree!$B:$B,'Pre-Harvest Plots_rpt'!$D115,Tree!$F:$F,"L"))</f>
        <v/>
      </c>
      <c r="G115" s="153" t="str">
        <f>IFERROR(IF(D115="","",SUMIFS(Tree!$P:$P,Tree!$A:$A,'Pre-Harvest Plots_rpt'!$B115,Tree!$B:$B,'Pre-Harvest Plots_rpt'!$D115)/$F115),"")</f>
        <v/>
      </c>
      <c r="H115" s="122" t="str">
        <f t="shared" si="11"/>
        <v/>
      </c>
      <c r="I115" s="121" t="str">
        <f>IF(OR($F115=0,$F115=""),"",SUMIFS(Tree!$R:$R,Tree!$A:$A,'Pre-Harvest Plots_rpt'!$B115,Tree!$B:$B,'Pre-Harvest Plots_rpt'!$D115,Tree!$F:$F,"L"))</f>
        <v/>
      </c>
      <c r="J115" s="121" t="str">
        <f>IF(OR($F115=0,$F115=""),"",IF(SUMIFS(Tree!$W:$W,Tree!$A:$A,'Pre-Harvest Plots_rpt'!$B115,Tree!$B:$B,'Pre-Harvest Plots_rpt'!$D115,Tree!$F:$F,"L")=0,0,AVERAGEIFS(Tree!$W:$W,Tree!$A:$A,'Pre-Harvest Plots_rpt'!$B115,Tree!$B:$B,'Pre-Harvest Plots_rpt'!$D115,Tree!$F:$F,"L")))</f>
        <v/>
      </c>
      <c r="K115" s="121" t="str">
        <f>IF($F115="","",SUMIFS(Tree!$S:$S,Tree!$A:$A,'Pre-Harvest Plots_rpt'!$B115,Tree!$B:$B,'Pre-Harvest Plots_rpt'!$D115,Tree!$F:$F,"L"))</f>
        <v/>
      </c>
      <c r="L115" s="154" t="str">
        <f t="shared" si="12"/>
        <v/>
      </c>
      <c r="M115" s="135"/>
      <c r="N115" s="192" t="str">
        <f>IF(B115="","",SUMIFS(Tree!$AM:$AM,Tree!$A:$A,'Pre-Harvest Plots_rpt'!$B115,Tree!$B:$B,'Pre-Harvest Plots_rpt'!$D115,Tree!$F:$F,"L"))</f>
        <v/>
      </c>
      <c r="O115" s="122" t="str">
        <f>IF(B115="","",SUMIFS(Tree!$AN:$AN,Tree!$A:$A,'Pre-Harvest Plots_rpt'!$B115,Tree!$B:$B,'Pre-Harvest Plots_rpt'!$D115,Tree!$F:$F,"L"))</f>
        <v/>
      </c>
      <c r="P115" s="122" t="str">
        <f>IF(B115="","",SUMIFS(Tree!$AO:$AO,Tree!$A:$A,'Pre-Harvest Plots_rpt'!$B115,Tree!$B:$B,'Pre-Harvest Plots_rpt'!$D115,Tree!$F:$F,"L"))</f>
        <v/>
      </c>
      <c r="Q115" s="122" t="str">
        <f>IF(B115="","",SUMIFS(Tree!$AP:$AP,Tree!$A:$A,'Pre-Harvest Plots_rpt'!$B115,Tree!$B:$B,'Pre-Harvest Plots_rpt'!$D115,Tree!$F:$F,"L"))</f>
        <v/>
      </c>
      <c r="R115" s="123" t="str">
        <f>IF(B115="","",SUMIFS(Tree!$AQ:$AQ,Tree!$A:$A,'Pre-Harvest Plots_rpt'!$B115,Tree!$B:$B,'Pre-Harvest Plots_rpt'!$D115,Tree!$F:$F,"L"))</f>
        <v/>
      </c>
      <c r="S115" s="122" t="str">
        <f>IF(B115="","",SUMIFS(Tree!$AJ:$AJ,Tree!$A:$A,'Pre-Harvest Plots_rpt'!$B115,Tree!$B:$B,'Pre-Harvest Plots_rpt'!$D115,Tree!$F:$F,"L")-O115)</f>
        <v/>
      </c>
      <c r="T115" s="122" t="str">
        <f>IF(B115="","",SUMIFS(Tree!$AK:$AK,Tree!$A:$A,'Pre-Harvest Plots_rpt'!$B115,Tree!$B:$B,'Pre-Harvest Plots_rpt'!$D115,Tree!$F:$F,"L")-P115)</f>
        <v/>
      </c>
      <c r="U115" s="122" t="str">
        <f>IF(B115="","",SUMIFS(Tree!$AL:$AL,Tree!$A:$A,'Pre-Harvest Plots_rpt'!$B115,Tree!$B:$B,'Pre-Harvest Plots_rpt'!$D115,Tree!$F:$F,"L")-Q115)</f>
        <v/>
      </c>
      <c r="V115" s="123" t="str">
        <f>IF(B115="","",ROUND(SUMIFS(Tree!$AE:$AE,Tree!$A:$A,'Pre-Harvest Plots_rpt'!$B115,Tree!$B:$B,'Pre-Harvest Plots_rpt'!$D115,Tree!$F:$F,"L")-R115,1))</f>
        <v/>
      </c>
      <c r="W115" s="124" t="str">
        <f>IF(B115="","",SUMIFS(Tree!$AY:$AY,Tree!$A:$A,'Pre-Harvest Plots_rpt'!$B115,Tree!$B:$B,'Pre-Harvest Plots_rpt'!$D115,Tree!$F:$F,"L")/1000)</f>
        <v/>
      </c>
      <c r="X115" s="158" t="str">
        <f>IF(B115="","",ROUND((SUMIFS(Tree!$AW:$AW,Tree!$A:$A,'Pre-Harvest Plots_rpt'!$B115,Tree!$B:$B,'Pre-Harvest Plots_rpt'!$D115,Tree!$F:$F,"L")/1000)-W115,1))</f>
        <v/>
      </c>
      <c r="Y115" s="135"/>
      <c r="Z115" s="161" t="str">
        <f>IF(IF(B115="","",SUMIFS(Tree!$O:$O,Tree!$A:$A,'Pre-Harvest Plots_rpt'!$B115,Tree!$B:$B,'Pre-Harvest Plots_rpt'!$D115,Tree!$F:$F,"D"))=0,"",IF(B115="","",SUMIFS(Tree!$O:$O,Tree!$A:$A,'Pre-Harvest Plots_rpt'!$B115,Tree!$B:$B,'Pre-Harvest Plots_rpt'!$D115,Tree!$F:$F,"D")))</f>
        <v/>
      </c>
      <c r="AA115" s="125" t="str">
        <f t="shared" si="10"/>
        <v/>
      </c>
      <c r="AB115" s="125" t="str">
        <f>IF(Z115="","",SUMIFS(Tree!$R:$R,Tree!$A:$A,'Pre-Harvest Plots_rpt'!$B115,Tree!$B:$B,'Pre-Harvest Plots_rpt'!$D115,Tree!$F:$F,"D"))</f>
        <v/>
      </c>
      <c r="AC115" s="126" t="str">
        <f>IF(Z115="","",SUMIFS(Tree!$AM:$AM,Tree!$A:$A,'Pre-Harvest Plots_rpt'!$B115,Tree!$B:$B,'Pre-Harvest Plots_rpt'!$D115,Tree!$F:$F,"D"))</f>
        <v/>
      </c>
      <c r="AD115" s="162" t="str">
        <f>IF(Z115="","",SUMIFS(Tree!$AW:$AW,Tree!$A:$A,'Pre-Harvest Plots_rpt'!$B115,Tree!$B:$B,'Pre-Harvest Plots_rpt'!$D115,Tree!$F:$F,"D")/1000)</f>
        <v/>
      </c>
      <c r="AE115" s="47"/>
      <c r="AF115" s="4"/>
      <c r="AG115" s="4"/>
      <c r="AH115" s="4"/>
    </row>
    <row r="116" spans="1:34" ht="12.75" customHeight="1" x14ac:dyDescent="0.25">
      <c r="A116" s="48">
        <v>113</v>
      </c>
      <c r="B116" s="171" t="str">
        <f>IF(A116&lt;=SUM(Stand!$H$3:$H$29),VLOOKUP(A116,Stand!$A$3:$C$29,3,TRUE),"")</f>
        <v/>
      </c>
      <c r="C116" s="172" t="str">
        <f t="shared" si="13"/>
        <v/>
      </c>
      <c r="D116" s="173" t="str">
        <f>IF(B116="","",VLOOKUP(B116&amp;C116,Plot!$B$2:$D$199,3,FALSE))</f>
        <v/>
      </c>
      <c r="E116" s="130"/>
      <c r="F116" s="152" t="str">
        <f>IF(B116="","",SUMIFS(Tree!$O:$O,Tree!$A:$A,'Pre-Harvest Plots_rpt'!$B116,Tree!$B:$B,'Pre-Harvest Plots_rpt'!$D116,Tree!$F:$F,"L"))</f>
        <v/>
      </c>
      <c r="G116" s="153" t="str">
        <f>IFERROR(IF(D116="","",SUMIFS(Tree!$P:$P,Tree!$A:$A,'Pre-Harvest Plots_rpt'!$B116,Tree!$B:$B,'Pre-Harvest Plots_rpt'!$D116)/$F116),"")</f>
        <v/>
      </c>
      <c r="H116" s="122" t="str">
        <f t="shared" si="11"/>
        <v/>
      </c>
      <c r="I116" s="121" t="str">
        <f>IF(OR($F116=0,$F116=""),"",SUMIFS(Tree!$R:$R,Tree!$A:$A,'Pre-Harvest Plots_rpt'!$B116,Tree!$B:$B,'Pre-Harvest Plots_rpt'!$D116,Tree!$F:$F,"L"))</f>
        <v/>
      </c>
      <c r="J116" s="121" t="str">
        <f>IF(OR($F116=0,$F116=""),"",IF(SUMIFS(Tree!$W:$W,Tree!$A:$A,'Pre-Harvest Plots_rpt'!$B116,Tree!$B:$B,'Pre-Harvest Plots_rpt'!$D116,Tree!$F:$F,"L")=0,0,AVERAGEIFS(Tree!$W:$W,Tree!$A:$A,'Pre-Harvest Plots_rpt'!$B116,Tree!$B:$B,'Pre-Harvest Plots_rpt'!$D116,Tree!$F:$F,"L")))</f>
        <v/>
      </c>
      <c r="K116" s="121" t="str">
        <f>IF($F116="","",SUMIFS(Tree!$S:$S,Tree!$A:$A,'Pre-Harvest Plots_rpt'!$B116,Tree!$B:$B,'Pre-Harvest Plots_rpt'!$D116,Tree!$F:$F,"L"))</f>
        <v/>
      </c>
      <c r="L116" s="154" t="str">
        <f t="shared" si="12"/>
        <v/>
      </c>
      <c r="M116" s="135"/>
      <c r="N116" s="192" t="str">
        <f>IF(B116="","",SUMIFS(Tree!$AM:$AM,Tree!$A:$A,'Pre-Harvest Plots_rpt'!$B116,Tree!$B:$B,'Pre-Harvest Plots_rpt'!$D116,Tree!$F:$F,"L"))</f>
        <v/>
      </c>
      <c r="O116" s="122" t="str">
        <f>IF(B116="","",SUMIFS(Tree!$AN:$AN,Tree!$A:$A,'Pre-Harvest Plots_rpt'!$B116,Tree!$B:$B,'Pre-Harvest Plots_rpt'!$D116,Tree!$F:$F,"L"))</f>
        <v/>
      </c>
      <c r="P116" s="122" t="str">
        <f>IF(B116="","",SUMIFS(Tree!$AO:$AO,Tree!$A:$A,'Pre-Harvest Plots_rpt'!$B116,Tree!$B:$B,'Pre-Harvest Plots_rpt'!$D116,Tree!$F:$F,"L"))</f>
        <v/>
      </c>
      <c r="Q116" s="122" t="str">
        <f>IF(B116="","",SUMIFS(Tree!$AP:$AP,Tree!$A:$A,'Pre-Harvest Plots_rpt'!$B116,Tree!$B:$B,'Pre-Harvest Plots_rpt'!$D116,Tree!$F:$F,"L"))</f>
        <v/>
      </c>
      <c r="R116" s="123" t="str">
        <f>IF(B116="","",SUMIFS(Tree!$AQ:$AQ,Tree!$A:$A,'Pre-Harvest Plots_rpt'!$B116,Tree!$B:$B,'Pre-Harvest Plots_rpt'!$D116,Tree!$F:$F,"L"))</f>
        <v/>
      </c>
      <c r="S116" s="122" t="str">
        <f>IF(B116="","",SUMIFS(Tree!$AJ:$AJ,Tree!$A:$A,'Pre-Harvest Plots_rpt'!$B116,Tree!$B:$B,'Pre-Harvest Plots_rpt'!$D116,Tree!$F:$F,"L")-O116)</f>
        <v/>
      </c>
      <c r="T116" s="122" t="str">
        <f>IF(B116="","",SUMIFS(Tree!$AK:$AK,Tree!$A:$A,'Pre-Harvest Plots_rpt'!$B116,Tree!$B:$B,'Pre-Harvest Plots_rpt'!$D116,Tree!$F:$F,"L")-P116)</f>
        <v/>
      </c>
      <c r="U116" s="122" t="str">
        <f>IF(B116="","",SUMIFS(Tree!$AL:$AL,Tree!$A:$A,'Pre-Harvest Plots_rpt'!$B116,Tree!$B:$B,'Pre-Harvest Plots_rpt'!$D116,Tree!$F:$F,"L")-Q116)</f>
        <v/>
      </c>
      <c r="V116" s="123" t="str">
        <f>IF(B116="","",ROUND(SUMIFS(Tree!$AE:$AE,Tree!$A:$A,'Pre-Harvest Plots_rpt'!$B116,Tree!$B:$B,'Pre-Harvest Plots_rpt'!$D116,Tree!$F:$F,"L")-R116,1))</f>
        <v/>
      </c>
      <c r="W116" s="124" t="str">
        <f>IF(B116="","",SUMIFS(Tree!$AY:$AY,Tree!$A:$A,'Pre-Harvest Plots_rpt'!$B116,Tree!$B:$B,'Pre-Harvest Plots_rpt'!$D116,Tree!$F:$F,"L")/1000)</f>
        <v/>
      </c>
      <c r="X116" s="158" t="str">
        <f>IF(B116="","",ROUND((SUMIFS(Tree!$AW:$AW,Tree!$A:$A,'Pre-Harvest Plots_rpt'!$B116,Tree!$B:$B,'Pre-Harvest Plots_rpt'!$D116,Tree!$F:$F,"L")/1000)-W116,1))</f>
        <v/>
      </c>
      <c r="Y116" s="135"/>
      <c r="Z116" s="161" t="str">
        <f>IF(IF(B116="","",SUMIFS(Tree!$O:$O,Tree!$A:$A,'Pre-Harvest Plots_rpt'!$B116,Tree!$B:$B,'Pre-Harvest Plots_rpt'!$D116,Tree!$F:$F,"D"))=0,"",IF(B116="","",SUMIFS(Tree!$O:$O,Tree!$A:$A,'Pre-Harvest Plots_rpt'!$B116,Tree!$B:$B,'Pre-Harvest Plots_rpt'!$D116,Tree!$F:$F,"D")))</f>
        <v/>
      </c>
      <c r="AA116" s="125" t="str">
        <f t="shared" si="10"/>
        <v/>
      </c>
      <c r="AB116" s="125" t="str">
        <f>IF(Z116="","",SUMIFS(Tree!$R:$R,Tree!$A:$A,'Pre-Harvest Plots_rpt'!$B116,Tree!$B:$B,'Pre-Harvest Plots_rpt'!$D116,Tree!$F:$F,"D"))</f>
        <v/>
      </c>
      <c r="AC116" s="126" t="str">
        <f>IF(Z116="","",SUMIFS(Tree!$AM:$AM,Tree!$A:$A,'Pre-Harvest Plots_rpt'!$B116,Tree!$B:$B,'Pre-Harvest Plots_rpt'!$D116,Tree!$F:$F,"D"))</f>
        <v/>
      </c>
      <c r="AD116" s="162" t="str">
        <f>IF(Z116="","",SUMIFS(Tree!$AW:$AW,Tree!$A:$A,'Pre-Harvest Plots_rpt'!$B116,Tree!$B:$B,'Pre-Harvest Plots_rpt'!$D116,Tree!$F:$F,"D")/1000)</f>
        <v/>
      </c>
      <c r="AE116" s="47"/>
      <c r="AF116" s="4"/>
      <c r="AG116" s="4"/>
      <c r="AH116" s="4"/>
    </row>
    <row r="117" spans="1:34" ht="12.75" customHeight="1" x14ac:dyDescent="0.25">
      <c r="A117" s="48">
        <v>114</v>
      </c>
      <c r="B117" s="171" t="str">
        <f>IF(A117&lt;=SUM(Stand!$H$3:$H$29),VLOOKUP(A117,Stand!$A$3:$C$29,3,TRUE),"")</f>
        <v/>
      </c>
      <c r="C117" s="172" t="str">
        <f t="shared" si="13"/>
        <v/>
      </c>
      <c r="D117" s="173" t="str">
        <f>IF(B117="","",VLOOKUP(B117&amp;C117,Plot!$B$2:$D$199,3,FALSE))</f>
        <v/>
      </c>
      <c r="E117" s="130"/>
      <c r="F117" s="152" t="str">
        <f>IF(B117="","",SUMIFS(Tree!$O:$O,Tree!$A:$A,'Pre-Harvest Plots_rpt'!$B117,Tree!$B:$B,'Pre-Harvest Plots_rpt'!$D117,Tree!$F:$F,"L"))</f>
        <v/>
      </c>
      <c r="G117" s="153" t="str">
        <f>IFERROR(IF(D117="","",SUMIFS(Tree!$P:$P,Tree!$A:$A,'Pre-Harvest Plots_rpt'!$B117,Tree!$B:$B,'Pre-Harvest Plots_rpt'!$D117)/$F117),"")</f>
        <v/>
      </c>
      <c r="H117" s="122" t="str">
        <f t="shared" si="11"/>
        <v/>
      </c>
      <c r="I117" s="121" t="str">
        <f>IF(OR($F117=0,$F117=""),"",SUMIFS(Tree!$R:$R,Tree!$A:$A,'Pre-Harvest Plots_rpt'!$B117,Tree!$B:$B,'Pre-Harvest Plots_rpt'!$D117,Tree!$F:$F,"L"))</f>
        <v/>
      </c>
      <c r="J117" s="121" t="str">
        <f>IF(OR($F117=0,$F117=""),"",IF(SUMIFS(Tree!$W:$W,Tree!$A:$A,'Pre-Harvest Plots_rpt'!$B117,Tree!$B:$B,'Pre-Harvest Plots_rpt'!$D117,Tree!$F:$F,"L")=0,0,AVERAGEIFS(Tree!$W:$W,Tree!$A:$A,'Pre-Harvest Plots_rpt'!$B117,Tree!$B:$B,'Pre-Harvest Plots_rpt'!$D117,Tree!$F:$F,"L")))</f>
        <v/>
      </c>
      <c r="K117" s="121" t="str">
        <f>IF($F117="","",SUMIFS(Tree!$S:$S,Tree!$A:$A,'Pre-Harvest Plots_rpt'!$B117,Tree!$B:$B,'Pre-Harvest Plots_rpt'!$D117,Tree!$F:$F,"L"))</f>
        <v/>
      </c>
      <c r="L117" s="154" t="str">
        <f t="shared" si="12"/>
        <v/>
      </c>
      <c r="M117" s="135"/>
      <c r="N117" s="192" t="str">
        <f>IF(B117="","",SUMIFS(Tree!$AM:$AM,Tree!$A:$A,'Pre-Harvest Plots_rpt'!$B117,Tree!$B:$B,'Pre-Harvest Plots_rpt'!$D117,Tree!$F:$F,"L"))</f>
        <v/>
      </c>
      <c r="O117" s="122" t="str">
        <f>IF(B117="","",SUMIFS(Tree!$AN:$AN,Tree!$A:$A,'Pre-Harvest Plots_rpt'!$B117,Tree!$B:$B,'Pre-Harvest Plots_rpt'!$D117,Tree!$F:$F,"L"))</f>
        <v/>
      </c>
      <c r="P117" s="122" t="str">
        <f>IF(B117="","",SUMIFS(Tree!$AO:$AO,Tree!$A:$A,'Pre-Harvest Plots_rpt'!$B117,Tree!$B:$B,'Pre-Harvest Plots_rpt'!$D117,Tree!$F:$F,"L"))</f>
        <v/>
      </c>
      <c r="Q117" s="122" t="str">
        <f>IF(B117="","",SUMIFS(Tree!$AP:$AP,Tree!$A:$A,'Pre-Harvest Plots_rpt'!$B117,Tree!$B:$B,'Pre-Harvest Plots_rpt'!$D117,Tree!$F:$F,"L"))</f>
        <v/>
      </c>
      <c r="R117" s="123" t="str">
        <f>IF(B117="","",SUMIFS(Tree!$AQ:$AQ,Tree!$A:$A,'Pre-Harvest Plots_rpt'!$B117,Tree!$B:$B,'Pre-Harvest Plots_rpt'!$D117,Tree!$F:$F,"L"))</f>
        <v/>
      </c>
      <c r="S117" s="122" t="str">
        <f>IF(B117="","",SUMIFS(Tree!$AJ:$AJ,Tree!$A:$A,'Pre-Harvest Plots_rpt'!$B117,Tree!$B:$B,'Pre-Harvest Plots_rpt'!$D117,Tree!$F:$F,"L")-O117)</f>
        <v/>
      </c>
      <c r="T117" s="122" t="str">
        <f>IF(B117="","",SUMIFS(Tree!$AK:$AK,Tree!$A:$A,'Pre-Harvest Plots_rpt'!$B117,Tree!$B:$B,'Pre-Harvest Plots_rpt'!$D117,Tree!$F:$F,"L")-P117)</f>
        <v/>
      </c>
      <c r="U117" s="122" t="str">
        <f>IF(B117="","",SUMIFS(Tree!$AL:$AL,Tree!$A:$A,'Pre-Harvest Plots_rpt'!$B117,Tree!$B:$B,'Pre-Harvest Plots_rpt'!$D117,Tree!$F:$F,"L")-Q117)</f>
        <v/>
      </c>
      <c r="V117" s="123" t="str">
        <f>IF(B117="","",ROUND(SUMIFS(Tree!$AE:$AE,Tree!$A:$A,'Pre-Harvest Plots_rpt'!$B117,Tree!$B:$B,'Pre-Harvest Plots_rpt'!$D117,Tree!$F:$F,"L")-R117,1))</f>
        <v/>
      </c>
      <c r="W117" s="124" t="str">
        <f>IF(B117="","",SUMIFS(Tree!$AY:$AY,Tree!$A:$A,'Pre-Harvest Plots_rpt'!$B117,Tree!$B:$B,'Pre-Harvest Plots_rpt'!$D117,Tree!$F:$F,"L")/1000)</f>
        <v/>
      </c>
      <c r="X117" s="158" t="str">
        <f>IF(B117="","",ROUND((SUMIFS(Tree!$AW:$AW,Tree!$A:$A,'Pre-Harvest Plots_rpt'!$B117,Tree!$B:$B,'Pre-Harvest Plots_rpt'!$D117,Tree!$F:$F,"L")/1000)-W117,1))</f>
        <v/>
      </c>
      <c r="Y117" s="135"/>
      <c r="Z117" s="161" t="str">
        <f>IF(IF(B117="","",SUMIFS(Tree!$O:$O,Tree!$A:$A,'Pre-Harvest Plots_rpt'!$B117,Tree!$B:$B,'Pre-Harvest Plots_rpt'!$D117,Tree!$F:$F,"D"))=0,"",IF(B117="","",SUMIFS(Tree!$O:$O,Tree!$A:$A,'Pre-Harvest Plots_rpt'!$B117,Tree!$B:$B,'Pre-Harvest Plots_rpt'!$D117,Tree!$F:$F,"D")))</f>
        <v/>
      </c>
      <c r="AA117" s="125" t="str">
        <f t="shared" si="10"/>
        <v/>
      </c>
      <c r="AB117" s="125" t="str">
        <f>IF(Z117="","",SUMIFS(Tree!$R:$R,Tree!$A:$A,'Pre-Harvest Plots_rpt'!$B117,Tree!$B:$B,'Pre-Harvest Plots_rpt'!$D117,Tree!$F:$F,"D"))</f>
        <v/>
      </c>
      <c r="AC117" s="126" t="str">
        <f>IF(Z117="","",SUMIFS(Tree!$AM:$AM,Tree!$A:$A,'Pre-Harvest Plots_rpt'!$B117,Tree!$B:$B,'Pre-Harvest Plots_rpt'!$D117,Tree!$F:$F,"D"))</f>
        <v/>
      </c>
      <c r="AD117" s="162" t="str">
        <f>IF(Z117="","",SUMIFS(Tree!$AW:$AW,Tree!$A:$A,'Pre-Harvest Plots_rpt'!$B117,Tree!$B:$B,'Pre-Harvest Plots_rpt'!$D117,Tree!$F:$F,"D")/1000)</f>
        <v/>
      </c>
      <c r="AE117" s="47"/>
      <c r="AF117" s="4"/>
      <c r="AG117" s="4"/>
      <c r="AH117" s="4"/>
    </row>
    <row r="118" spans="1:34" ht="12.75" customHeight="1" x14ac:dyDescent="0.25">
      <c r="A118" s="48">
        <v>115</v>
      </c>
      <c r="B118" s="171" t="str">
        <f>IF(A118&lt;=SUM(Stand!$H$3:$H$29),VLOOKUP(A118,Stand!$A$3:$C$29,3,TRUE),"")</f>
        <v/>
      </c>
      <c r="C118" s="172" t="str">
        <f t="shared" si="13"/>
        <v/>
      </c>
      <c r="D118" s="173" t="str">
        <f>IF(B118="","",VLOOKUP(B118&amp;C118,Plot!$B$2:$D$199,3,FALSE))</f>
        <v/>
      </c>
      <c r="E118" s="130"/>
      <c r="F118" s="152" t="str">
        <f>IF(B118="","",SUMIFS(Tree!$O:$O,Tree!$A:$A,'Pre-Harvest Plots_rpt'!$B118,Tree!$B:$B,'Pre-Harvest Plots_rpt'!$D118,Tree!$F:$F,"L"))</f>
        <v/>
      </c>
      <c r="G118" s="153" t="str">
        <f>IFERROR(IF(D118="","",SUMIFS(Tree!$P:$P,Tree!$A:$A,'Pre-Harvest Plots_rpt'!$B118,Tree!$B:$B,'Pre-Harvest Plots_rpt'!$D118)/$F118),"")</f>
        <v/>
      </c>
      <c r="H118" s="122" t="str">
        <f t="shared" si="11"/>
        <v/>
      </c>
      <c r="I118" s="121" t="str">
        <f>IF(OR($F118=0,$F118=""),"",SUMIFS(Tree!$R:$R,Tree!$A:$A,'Pre-Harvest Plots_rpt'!$B118,Tree!$B:$B,'Pre-Harvest Plots_rpt'!$D118,Tree!$F:$F,"L"))</f>
        <v/>
      </c>
      <c r="J118" s="121" t="str">
        <f>IF(OR($F118=0,$F118=""),"",IF(SUMIFS(Tree!$W:$W,Tree!$A:$A,'Pre-Harvest Plots_rpt'!$B118,Tree!$B:$B,'Pre-Harvest Plots_rpt'!$D118,Tree!$F:$F,"L")=0,0,AVERAGEIFS(Tree!$W:$W,Tree!$A:$A,'Pre-Harvest Plots_rpt'!$B118,Tree!$B:$B,'Pre-Harvest Plots_rpt'!$D118,Tree!$F:$F,"L")))</f>
        <v/>
      </c>
      <c r="K118" s="121" t="str">
        <f>IF($F118="","",SUMIFS(Tree!$S:$S,Tree!$A:$A,'Pre-Harvest Plots_rpt'!$B118,Tree!$B:$B,'Pre-Harvest Plots_rpt'!$D118,Tree!$F:$F,"L"))</f>
        <v/>
      </c>
      <c r="L118" s="154" t="str">
        <f t="shared" si="12"/>
        <v/>
      </c>
      <c r="M118" s="135"/>
      <c r="N118" s="192" t="str">
        <f>IF(B118="","",SUMIFS(Tree!$AM:$AM,Tree!$A:$A,'Pre-Harvest Plots_rpt'!$B118,Tree!$B:$B,'Pre-Harvest Plots_rpt'!$D118,Tree!$F:$F,"L"))</f>
        <v/>
      </c>
      <c r="O118" s="122" t="str">
        <f>IF(B118="","",SUMIFS(Tree!$AN:$AN,Tree!$A:$A,'Pre-Harvest Plots_rpt'!$B118,Tree!$B:$B,'Pre-Harvest Plots_rpt'!$D118,Tree!$F:$F,"L"))</f>
        <v/>
      </c>
      <c r="P118" s="122" t="str">
        <f>IF(B118="","",SUMIFS(Tree!$AO:$AO,Tree!$A:$A,'Pre-Harvest Plots_rpt'!$B118,Tree!$B:$B,'Pre-Harvest Plots_rpt'!$D118,Tree!$F:$F,"L"))</f>
        <v/>
      </c>
      <c r="Q118" s="122" t="str">
        <f>IF(B118="","",SUMIFS(Tree!$AP:$AP,Tree!$A:$A,'Pre-Harvest Plots_rpt'!$B118,Tree!$B:$B,'Pre-Harvest Plots_rpt'!$D118,Tree!$F:$F,"L"))</f>
        <v/>
      </c>
      <c r="R118" s="123" t="str">
        <f>IF(B118="","",SUMIFS(Tree!$AQ:$AQ,Tree!$A:$A,'Pre-Harvest Plots_rpt'!$B118,Tree!$B:$B,'Pre-Harvest Plots_rpt'!$D118,Tree!$F:$F,"L"))</f>
        <v/>
      </c>
      <c r="S118" s="122" t="str">
        <f>IF(B118="","",SUMIFS(Tree!$AJ:$AJ,Tree!$A:$A,'Pre-Harvest Plots_rpt'!$B118,Tree!$B:$B,'Pre-Harvest Plots_rpt'!$D118,Tree!$F:$F,"L")-O118)</f>
        <v/>
      </c>
      <c r="T118" s="122" t="str">
        <f>IF(B118="","",SUMIFS(Tree!$AK:$AK,Tree!$A:$A,'Pre-Harvest Plots_rpt'!$B118,Tree!$B:$B,'Pre-Harvest Plots_rpt'!$D118,Tree!$F:$F,"L")-P118)</f>
        <v/>
      </c>
      <c r="U118" s="122" t="str">
        <f>IF(B118="","",SUMIFS(Tree!$AL:$AL,Tree!$A:$A,'Pre-Harvest Plots_rpt'!$B118,Tree!$B:$B,'Pre-Harvest Plots_rpt'!$D118,Tree!$F:$F,"L")-Q118)</f>
        <v/>
      </c>
      <c r="V118" s="123" t="str">
        <f>IF(B118="","",ROUND(SUMIFS(Tree!$AE:$AE,Tree!$A:$A,'Pre-Harvest Plots_rpt'!$B118,Tree!$B:$B,'Pre-Harvest Plots_rpt'!$D118,Tree!$F:$F,"L")-R118,1))</f>
        <v/>
      </c>
      <c r="W118" s="124" t="str">
        <f>IF(B118="","",SUMIFS(Tree!$AY:$AY,Tree!$A:$A,'Pre-Harvest Plots_rpt'!$B118,Tree!$B:$B,'Pre-Harvest Plots_rpt'!$D118,Tree!$F:$F,"L")/1000)</f>
        <v/>
      </c>
      <c r="X118" s="158" t="str">
        <f>IF(B118="","",ROUND((SUMIFS(Tree!$AW:$AW,Tree!$A:$A,'Pre-Harvest Plots_rpt'!$B118,Tree!$B:$B,'Pre-Harvest Plots_rpt'!$D118,Tree!$F:$F,"L")/1000)-W118,1))</f>
        <v/>
      </c>
      <c r="Y118" s="135"/>
      <c r="Z118" s="161" t="str">
        <f>IF(IF(B118="","",SUMIFS(Tree!$O:$O,Tree!$A:$A,'Pre-Harvest Plots_rpt'!$B118,Tree!$B:$B,'Pre-Harvest Plots_rpt'!$D118,Tree!$F:$F,"D"))=0,"",IF(B118="","",SUMIFS(Tree!$O:$O,Tree!$A:$A,'Pre-Harvest Plots_rpt'!$B118,Tree!$B:$B,'Pre-Harvest Plots_rpt'!$D118,Tree!$F:$F,"D")))</f>
        <v/>
      </c>
      <c r="AA118" s="125" t="str">
        <f t="shared" si="10"/>
        <v/>
      </c>
      <c r="AB118" s="125" t="str">
        <f>IF(Z118="","",SUMIFS(Tree!$R:$R,Tree!$A:$A,'Pre-Harvest Plots_rpt'!$B118,Tree!$B:$B,'Pre-Harvest Plots_rpt'!$D118,Tree!$F:$F,"D"))</f>
        <v/>
      </c>
      <c r="AC118" s="126" t="str">
        <f>IF(Z118="","",SUMIFS(Tree!$AM:$AM,Tree!$A:$A,'Pre-Harvest Plots_rpt'!$B118,Tree!$B:$B,'Pre-Harvest Plots_rpt'!$D118,Tree!$F:$F,"D"))</f>
        <v/>
      </c>
      <c r="AD118" s="162" t="str">
        <f>IF(Z118="","",SUMIFS(Tree!$AW:$AW,Tree!$A:$A,'Pre-Harvest Plots_rpt'!$B118,Tree!$B:$B,'Pre-Harvest Plots_rpt'!$D118,Tree!$F:$F,"D")/1000)</f>
        <v/>
      </c>
      <c r="AE118" s="47"/>
      <c r="AF118" s="4"/>
      <c r="AG118" s="4"/>
      <c r="AH118" s="4"/>
    </row>
    <row r="119" spans="1:34" ht="12.75" customHeight="1" x14ac:dyDescent="0.25">
      <c r="A119" s="48">
        <v>116</v>
      </c>
      <c r="B119" s="171" t="str">
        <f>IF(A119&lt;=SUM(Stand!$H$3:$H$29),VLOOKUP(A119,Stand!$A$3:$C$29,3,TRUE),"")</f>
        <v/>
      </c>
      <c r="C119" s="172" t="str">
        <f t="shared" si="13"/>
        <v/>
      </c>
      <c r="D119" s="173" t="str">
        <f>IF(B119="","",VLOOKUP(B119&amp;C119,Plot!$B$2:$D$199,3,FALSE))</f>
        <v/>
      </c>
      <c r="E119" s="130"/>
      <c r="F119" s="152" t="str">
        <f>IF(B119="","",SUMIFS(Tree!$O:$O,Tree!$A:$A,'Pre-Harvest Plots_rpt'!$B119,Tree!$B:$B,'Pre-Harvest Plots_rpt'!$D119,Tree!$F:$F,"L"))</f>
        <v/>
      </c>
      <c r="G119" s="153" t="str">
        <f>IFERROR(IF(D119="","",SUMIFS(Tree!$P:$P,Tree!$A:$A,'Pre-Harvest Plots_rpt'!$B119,Tree!$B:$B,'Pre-Harvest Plots_rpt'!$D119)/$F119),"")</f>
        <v/>
      </c>
      <c r="H119" s="122" t="str">
        <f t="shared" si="11"/>
        <v/>
      </c>
      <c r="I119" s="121" t="str">
        <f>IF(OR($F119=0,$F119=""),"",SUMIFS(Tree!$R:$R,Tree!$A:$A,'Pre-Harvest Plots_rpt'!$B119,Tree!$B:$B,'Pre-Harvest Plots_rpt'!$D119,Tree!$F:$F,"L"))</f>
        <v/>
      </c>
      <c r="J119" s="121" t="str">
        <f>IF(OR($F119=0,$F119=""),"",IF(SUMIFS(Tree!$W:$W,Tree!$A:$A,'Pre-Harvest Plots_rpt'!$B119,Tree!$B:$B,'Pre-Harvest Plots_rpt'!$D119,Tree!$F:$F,"L")=0,0,AVERAGEIFS(Tree!$W:$W,Tree!$A:$A,'Pre-Harvest Plots_rpt'!$B119,Tree!$B:$B,'Pre-Harvest Plots_rpt'!$D119,Tree!$F:$F,"L")))</f>
        <v/>
      </c>
      <c r="K119" s="121" t="str">
        <f>IF($F119="","",SUMIFS(Tree!$S:$S,Tree!$A:$A,'Pre-Harvest Plots_rpt'!$B119,Tree!$B:$B,'Pre-Harvest Plots_rpt'!$D119,Tree!$F:$F,"L"))</f>
        <v/>
      </c>
      <c r="L119" s="154" t="str">
        <f t="shared" si="12"/>
        <v/>
      </c>
      <c r="M119" s="135"/>
      <c r="N119" s="192" t="str">
        <f>IF(B119="","",SUMIFS(Tree!$AM:$AM,Tree!$A:$A,'Pre-Harvest Plots_rpt'!$B119,Tree!$B:$B,'Pre-Harvest Plots_rpt'!$D119,Tree!$F:$F,"L"))</f>
        <v/>
      </c>
      <c r="O119" s="122" t="str">
        <f>IF(B119="","",SUMIFS(Tree!$AN:$AN,Tree!$A:$A,'Pre-Harvest Plots_rpt'!$B119,Tree!$B:$B,'Pre-Harvest Plots_rpt'!$D119,Tree!$F:$F,"L"))</f>
        <v/>
      </c>
      <c r="P119" s="122" t="str">
        <f>IF(B119="","",SUMIFS(Tree!$AO:$AO,Tree!$A:$A,'Pre-Harvest Plots_rpt'!$B119,Tree!$B:$B,'Pre-Harvest Plots_rpt'!$D119,Tree!$F:$F,"L"))</f>
        <v/>
      </c>
      <c r="Q119" s="122" t="str">
        <f>IF(B119="","",SUMIFS(Tree!$AP:$AP,Tree!$A:$A,'Pre-Harvest Plots_rpt'!$B119,Tree!$B:$B,'Pre-Harvest Plots_rpt'!$D119,Tree!$F:$F,"L"))</f>
        <v/>
      </c>
      <c r="R119" s="123" t="str">
        <f>IF(B119="","",SUMIFS(Tree!$AQ:$AQ,Tree!$A:$A,'Pre-Harvest Plots_rpt'!$B119,Tree!$B:$B,'Pre-Harvest Plots_rpt'!$D119,Tree!$F:$F,"L"))</f>
        <v/>
      </c>
      <c r="S119" s="122" t="str">
        <f>IF(B119="","",SUMIFS(Tree!$AJ:$AJ,Tree!$A:$A,'Pre-Harvest Plots_rpt'!$B119,Tree!$B:$B,'Pre-Harvest Plots_rpt'!$D119,Tree!$F:$F,"L")-O119)</f>
        <v/>
      </c>
      <c r="T119" s="122" t="str">
        <f>IF(B119="","",SUMIFS(Tree!$AK:$AK,Tree!$A:$A,'Pre-Harvest Plots_rpt'!$B119,Tree!$B:$B,'Pre-Harvest Plots_rpt'!$D119,Tree!$F:$F,"L")-P119)</f>
        <v/>
      </c>
      <c r="U119" s="122" t="str">
        <f>IF(B119="","",SUMIFS(Tree!$AL:$AL,Tree!$A:$A,'Pre-Harvest Plots_rpt'!$B119,Tree!$B:$B,'Pre-Harvest Plots_rpt'!$D119,Tree!$F:$F,"L")-Q119)</f>
        <v/>
      </c>
      <c r="V119" s="123" t="str">
        <f>IF(B119="","",ROUND(SUMIFS(Tree!$AE:$AE,Tree!$A:$A,'Pre-Harvest Plots_rpt'!$B119,Tree!$B:$B,'Pre-Harvest Plots_rpt'!$D119,Tree!$F:$F,"L")-R119,1))</f>
        <v/>
      </c>
      <c r="W119" s="124" t="str">
        <f>IF(B119="","",SUMIFS(Tree!$AY:$AY,Tree!$A:$A,'Pre-Harvest Plots_rpt'!$B119,Tree!$B:$B,'Pre-Harvest Plots_rpt'!$D119,Tree!$F:$F,"L")/1000)</f>
        <v/>
      </c>
      <c r="X119" s="158" t="str">
        <f>IF(B119="","",ROUND((SUMIFS(Tree!$AW:$AW,Tree!$A:$A,'Pre-Harvest Plots_rpt'!$B119,Tree!$B:$B,'Pre-Harvest Plots_rpt'!$D119,Tree!$F:$F,"L")/1000)-W119,1))</f>
        <v/>
      </c>
      <c r="Y119" s="135"/>
      <c r="Z119" s="161" t="str">
        <f>IF(IF(B119="","",SUMIFS(Tree!$O:$O,Tree!$A:$A,'Pre-Harvest Plots_rpt'!$B119,Tree!$B:$B,'Pre-Harvest Plots_rpt'!$D119,Tree!$F:$F,"D"))=0,"",IF(B119="","",SUMIFS(Tree!$O:$O,Tree!$A:$A,'Pre-Harvest Plots_rpt'!$B119,Tree!$B:$B,'Pre-Harvest Plots_rpt'!$D119,Tree!$F:$F,"D")))</f>
        <v/>
      </c>
      <c r="AA119" s="125" t="str">
        <f t="shared" si="10"/>
        <v/>
      </c>
      <c r="AB119" s="125" t="str">
        <f>IF(Z119="","",SUMIFS(Tree!$R:$R,Tree!$A:$A,'Pre-Harvest Plots_rpt'!$B119,Tree!$B:$B,'Pre-Harvest Plots_rpt'!$D119,Tree!$F:$F,"D"))</f>
        <v/>
      </c>
      <c r="AC119" s="126" t="str">
        <f>IF(Z119="","",SUMIFS(Tree!$AM:$AM,Tree!$A:$A,'Pre-Harvest Plots_rpt'!$B119,Tree!$B:$B,'Pre-Harvest Plots_rpt'!$D119,Tree!$F:$F,"D"))</f>
        <v/>
      </c>
      <c r="AD119" s="162" t="str">
        <f>IF(Z119="","",SUMIFS(Tree!$AW:$AW,Tree!$A:$A,'Pre-Harvest Plots_rpt'!$B119,Tree!$B:$B,'Pre-Harvest Plots_rpt'!$D119,Tree!$F:$F,"D")/1000)</f>
        <v/>
      </c>
      <c r="AE119" s="47"/>
      <c r="AF119" s="4"/>
      <c r="AG119" s="4"/>
      <c r="AH119" s="4"/>
    </row>
    <row r="120" spans="1:34" ht="12.75" customHeight="1" x14ac:dyDescent="0.25">
      <c r="A120" s="48">
        <v>117</v>
      </c>
      <c r="B120" s="171" t="str">
        <f>IF(A120&lt;=SUM(Stand!$H$3:$H$29),VLOOKUP(A120,Stand!$A$3:$C$29,3,TRUE),"")</f>
        <v/>
      </c>
      <c r="C120" s="172" t="str">
        <f t="shared" si="13"/>
        <v/>
      </c>
      <c r="D120" s="173" t="str">
        <f>IF(B120="","",VLOOKUP(B120&amp;C120,Plot!$B$2:$D$199,3,FALSE))</f>
        <v/>
      </c>
      <c r="E120" s="130"/>
      <c r="F120" s="152" t="str">
        <f>IF(B120="","",SUMIFS(Tree!$O:$O,Tree!$A:$A,'Pre-Harvest Plots_rpt'!$B120,Tree!$B:$B,'Pre-Harvest Plots_rpt'!$D120,Tree!$F:$F,"L"))</f>
        <v/>
      </c>
      <c r="G120" s="153" t="str">
        <f>IFERROR(IF(D120="","",SUMIFS(Tree!$P:$P,Tree!$A:$A,'Pre-Harvest Plots_rpt'!$B120,Tree!$B:$B,'Pre-Harvest Plots_rpt'!$D120)/$F120),"")</f>
        <v/>
      </c>
      <c r="H120" s="122" t="str">
        <f t="shared" si="11"/>
        <v/>
      </c>
      <c r="I120" s="121" t="str">
        <f>IF(OR($F120=0,$F120=""),"",SUMIFS(Tree!$R:$R,Tree!$A:$A,'Pre-Harvest Plots_rpt'!$B120,Tree!$B:$B,'Pre-Harvest Plots_rpt'!$D120,Tree!$F:$F,"L"))</f>
        <v/>
      </c>
      <c r="J120" s="121" t="str">
        <f>IF(OR($F120=0,$F120=""),"",IF(SUMIFS(Tree!$W:$W,Tree!$A:$A,'Pre-Harvest Plots_rpt'!$B120,Tree!$B:$B,'Pre-Harvest Plots_rpt'!$D120,Tree!$F:$F,"L")=0,0,AVERAGEIFS(Tree!$W:$W,Tree!$A:$A,'Pre-Harvest Plots_rpt'!$B120,Tree!$B:$B,'Pre-Harvest Plots_rpt'!$D120,Tree!$F:$F,"L")))</f>
        <v/>
      </c>
      <c r="K120" s="121" t="str">
        <f>IF($F120="","",SUMIFS(Tree!$S:$S,Tree!$A:$A,'Pre-Harvest Plots_rpt'!$B120,Tree!$B:$B,'Pre-Harvest Plots_rpt'!$D120,Tree!$F:$F,"L"))</f>
        <v/>
      </c>
      <c r="L120" s="154" t="str">
        <f t="shared" si="12"/>
        <v/>
      </c>
      <c r="M120" s="135"/>
      <c r="N120" s="192" t="str">
        <f>IF(B120="","",SUMIFS(Tree!$AM:$AM,Tree!$A:$A,'Pre-Harvest Plots_rpt'!$B120,Tree!$B:$B,'Pre-Harvest Plots_rpt'!$D120,Tree!$F:$F,"L"))</f>
        <v/>
      </c>
      <c r="O120" s="122" t="str">
        <f>IF(B120="","",SUMIFS(Tree!$AN:$AN,Tree!$A:$A,'Pre-Harvest Plots_rpt'!$B120,Tree!$B:$B,'Pre-Harvest Plots_rpt'!$D120,Tree!$F:$F,"L"))</f>
        <v/>
      </c>
      <c r="P120" s="122" t="str">
        <f>IF(B120="","",SUMIFS(Tree!$AO:$AO,Tree!$A:$A,'Pre-Harvest Plots_rpt'!$B120,Tree!$B:$B,'Pre-Harvest Plots_rpt'!$D120,Tree!$F:$F,"L"))</f>
        <v/>
      </c>
      <c r="Q120" s="122" t="str">
        <f>IF(B120="","",SUMIFS(Tree!$AP:$AP,Tree!$A:$A,'Pre-Harvest Plots_rpt'!$B120,Tree!$B:$B,'Pre-Harvest Plots_rpt'!$D120,Tree!$F:$F,"L"))</f>
        <v/>
      </c>
      <c r="R120" s="123" t="str">
        <f>IF(B120="","",SUMIFS(Tree!$AQ:$AQ,Tree!$A:$A,'Pre-Harvest Plots_rpt'!$B120,Tree!$B:$B,'Pre-Harvest Plots_rpt'!$D120,Tree!$F:$F,"L"))</f>
        <v/>
      </c>
      <c r="S120" s="122" t="str">
        <f>IF(B120="","",SUMIFS(Tree!$AJ:$AJ,Tree!$A:$A,'Pre-Harvest Plots_rpt'!$B120,Tree!$B:$B,'Pre-Harvest Plots_rpt'!$D120,Tree!$F:$F,"L")-O120)</f>
        <v/>
      </c>
      <c r="T120" s="122" t="str">
        <f>IF(B120="","",SUMIFS(Tree!$AK:$AK,Tree!$A:$A,'Pre-Harvest Plots_rpt'!$B120,Tree!$B:$B,'Pre-Harvest Plots_rpt'!$D120,Tree!$F:$F,"L")-P120)</f>
        <v/>
      </c>
      <c r="U120" s="122" t="str">
        <f>IF(B120="","",SUMIFS(Tree!$AL:$AL,Tree!$A:$A,'Pre-Harvest Plots_rpt'!$B120,Tree!$B:$B,'Pre-Harvest Plots_rpt'!$D120,Tree!$F:$F,"L")-Q120)</f>
        <v/>
      </c>
      <c r="V120" s="123" t="str">
        <f>IF(B120="","",ROUND(SUMIFS(Tree!$AE:$AE,Tree!$A:$A,'Pre-Harvest Plots_rpt'!$B120,Tree!$B:$B,'Pre-Harvest Plots_rpt'!$D120,Tree!$F:$F,"L")-R120,1))</f>
        <v/>
      </c>
      <c r="W120" s="124" t="str">
        <f>IF(B120="","",SUMIFS(Tree!$AY:$AY,Tree!$A:$A,'Pre-Harvest Plots_rpt'!$B120,Tree!$B:$B,'Pre-Harvest Plots_rpt'!$D120,Tree!$F:$F,"L")/1000)</f>
        <v/>
      </c>
      <c r="X120" s="158" t="str">
        <f>IF(B120="","",ROUND((SUMIFS(Tree!$AW:$AW,Tree!$A:$A,'Pre-Harvest Plots_rpt'!$B120,Tree!$B:$B,'Pre-Harvest Plots_rpt'!$D120,Tree!$F:$F,"L")/1000)-W120,1))</f>
        <v/>
      </c>
      <c r="Y120" s="135"/>
      <c r="Z120" s="161" t="str">
        <f>IF(IF(B120="","",SUMIFS(Tree!$O:$O,Tree!$A:$A,'Pre-Harvest Plots_rpt'!$B120,Tree!$B:$B,'Pre-Harvest Plots_rpt'!$D120,Tree!$F:$F,"D"))=0,"",IF(B120="","",SUMIFS(Tree!$O:$O,Tree!$A:$A,'Pre-Harvest Plots_rpt'!$B120,Tree!$B:$B,'Pre-Harvest Plots_rpt'!$D120,Tree!$F:$F,"D")))</f>
        <v/>
      </c>
      <c r="AA120" s="125" t="str">
        <f t="shared" si="10"/>
        <v/>
      </c>
      <c r="AB120" s="125" t="str">
        <f>IF(Z120="","",SUMIFS(Tree!$R:$R,Tree!$A:$A,'Pre-Harvest Plots_rpt'!$B120,Tree!$B:$B,'Pre-Harvest Plots_rpt'!$D120,Tree!$F:$F,"D"))</f>
        <v/>
      </c>
      <c r="AC120" s="126" t="str">
        <f>IF(Z120="","",SUMIFS(Tree!$AM:$AM,Tree!$A:$A,'Pre-Harvest Plots_rpt'!$B120,Tree!$B:$B,'Pre-Harvest Plots_rpt'!$D120,Tree!$F:$F,"D"))</f>
        <v/>
      </c>
      <c r="AD120" s="162" t="str">
        <f>IF(Z120="","",SUMIFS(Tree!$AW:$AW,Tree!$A:$A,'Pre-Harvest Plots_rpt'!$B120,Tree!$B:$B,'Pre-Harvest Plots_rpt'!$D120,Tree!$F:$F,"D")/1000)</f>
        <v/>
      </c>
      <c r="AE120" s="47"/>
      <c r="AF120" s="4"/>
      <c r="AG120" s="4"/>
      <c r="AH120" s="4"/>
    </row>
    <row r="121" spans="1:34" ht="12.75" customHeight="1" x14ac:dyDescent="0.25">
      <c r="A121" s="48">
        <v>118</v>
      </c>
      <c r="B121" s="171" t="str">
        <f>IF(A121&lt;=SUM(Stand!$H$3:$H$29),VLOOKUP(A121,Stand!$A$3:$C$29,3,TRUE),"")</f>
        <v/>
      </c>
      <c r="C121" s="172" t="str">
        <f t="shared" si="13"/>
        <v/>
      </c>
      <c r="D121" s="173" t="str">
        <f>IF(B121="","",VLOOKUP(B121&amp;C121,Plot!$B$2:$D$199,3,FALSE))</f>
        <v/>
      </c>
      <c r="E121" s="130"/>
      <c r="F121" s="152" t="str">
        <f>IF(B121="","",SUMIFS(Tree!$O:$O,Tree!$A:$A,'Pre-Harvest Plots_rpt'!$B121,Tree!$B:$B,'Pre-Harvest Plots_rpt'!$D121,Tree!$F:$F,"L"))</f>
        <v/>
      </c>
      <c r="G121" s="153" t="str">
        <f>IFERROR(IF(D121="","",SUMIFS(Tree!$P:$P,Tree!$A:$A,'Pre-Harvest Plots_rpt'!$B121,Tree!$B:$B,'Pre-Harvest Plots_rpt'!$D121)/$F121),"")</f>
        <v/>
      </c>
      <c r="H121" s="122" t="str">
        <f t="shared" si="11"/>
        <v/>
      </c>
      <c r="I121" s="121" t="str">
        <f>IF(OR($F121=0,$F121=""),"",SUMIFS(Tree!$R:$R,Tree!$A:$A,'Pre-Harvest Plots_rpt'!$B121,Tree!$B:$B,'Pre-Harvest Plots_rpt'!$D121,Tree!$F:$F,"L"))</f>
        <v/>
      </c>
      <c r="J121" s="121" t="str">
        <f>IF(OR($F121=0,$F121=""),"",IF(SUMIFS(Tree!$W:$W,Tree!$A:$A,'Pre-Harvest Plots_rpt'!$B121,Tree!$B:$B,'Pre-Harvest Plots_rpt'!$D121,Tree!$F:$F,"L")=0,0,AVERAGEIFS(Tree!$W:$W,Tree!$A:$A,'Pre-Harvest Plots_rpt'!$B121,Tree!$B:$B,'Pre-Harvest Plots_rpt'!$D121,Tree!$F:$F,"L")))</f>
        <v/>
      </c>
      <c r="K121" s="121" t="str">
        <f>IF($F121="","",SUMIFS(Tree!$S:$S,Tree!$A:$A,'Pre-Harvest Plots_rpt'!$B121,Tree!$B:$B,'Pre-Harvest Plots_rpt'!$D121,Tree!$F:$F,"L"))</f>
        <v/>
      </c>
      <c r="L121" s="154" t="str">
        <f t="shared" si="12"/>
        <v/>
      </c>
      <c r="M121" s="135"/>
      <c r="N121" s="192" t="str">
        <f>IF(B121="","",SUMIFS(Tree!$AM:$AM,Tree!$A:$A,'Pre-Harvest Plots_rpt'!$B121,Tree!$B:$B,'Pre-Harvest Plots_rpt'!$D121,Tree!$F:$F,"L"))</f>
        <v/>
      </c>
      <c r="O121" s="122" t="str">
        <f>IF(B121="","",SUMIFS(Tree!$AN:$AN,Tree!$A:$A,'Pre-Harvest Plots_rpt'!$B121,Tree!$B:$B,'Pre-Harvest Plots_rpt'!$D121,Tree!$F:$F,"L"))</f>
        <v/>
      </c>
      <c r="P121" s="122" t="str">
        <f>IF(B121="","",SUMIFS(Tree!$AO:$AO,Tree!$A:$A,'Pre-Harvest Plots_rpt'!$B121,Tree!$B:$B,'Pre-Harvest Plots_rpt'!$D121,Tree!$F:$F,"L"))</f>
        <v/>
      </c>
      <c r="Q121" s="122" t="str">
        <f>IF(B121="","",SUMIFS(Tree!$AP:$AP,Tree!$A:$A,'Pre-Harvest Plots_rpt'!$B121,Tree!$B:$B,'Pre-Harvest Plots_rpt'!$D121,Tree!$F:$F,"L"))</f>
        <v/>
      </c>
      <c r="R121" s="123" t="str">
        <f>IF(B121="","",SUMIFS(Tree!$AQ:$AQ,Tree!$A:$A,'Pre-Harvest Plots_rpt'!$B121,Tree!$B:$B,'Pre-Harvest Plots_rpt'!$D121,Tree!$F:$F,"L"))</f>
        <v/>
      </c>
      <c r="S121" s="122" t="str">
        <f>IF(B121="","",SUMIFS(Tree!$AJ:$AJ,Tree!$A:$A,'Pre-Harvest Plots_rpt'!$B121,Tree!$B:$B,'Pre-Harvest Plots_rpt'!$D121,Tree!$F:$F,"L")-O121)</f>
        <v/>
      </c>
      <c r="T121" s="122" t="str">
        <f>IF(B121="","",SUMIFS(Tree!$AK:$AK,Tree!$A:$A,'Pre-Harvest Plots_rpt'!$B121,Tree!$B:$B,'Pre-Harvest Plots_rpt'!$D121,Tree!$F:$F,"L")-P121)</f>
        <v/>
      </c>
      <c r="U121" s="122" t="str">
        <f>IF(B121="","",SUMIFS(Tree!$AL:$AL,Tree!$A:$A,'Pre-Harvest Plots_rpt'!$B121,Tree!$B:$B,'Pre-Harvest Plots_rpt'!$D121,Tree!$F:$F,"L")-Q121)</f>
        <v/>
      </c>
      <c r="V121" s="123" t="str">
        <f>IF(B121="","",ROUND(SUMIFS(Tree!$AE:$AE,Tree!$A:$A,'Pre-Harvest Plots_rpt'!$B121,Tree!$B:$B,'Pre-Harvest Plots_rpt'!$D121,Tree!$F:$F,"L")-R121,1))</f>
        <v/>
      </c>
      <c r="W121" s="124" t="str">
        <f>IF(B121="","",SUMIFS(Tree!$AY:$AY,Tree!$A:$A,'Pre-Harvest Plots_rpt'!$B121,Tree!$B:$B,'Pre-Harvest Plots_rpt'!$D121,Tree!$F:$F,"L")/1000)</f>
        <v/>
      </c>
      <c r="X121" s="158" t="str">
        <f>IF(B121="","",ROUND((SUMIFS(Tree!$AW:$AW,Tree!$A:$A,'Pre-Harvest Plots_rpt'!$B121,Tree!$B:$B,'Pre-Harvest Plots_rpt'!$D121,Tree!$F:$F,"L")/1000)-W121,1))</f>
        <v/>
      </c>
      <c r="Y121" s="135"/>
      <c r="Z121" s="161" t="str">
        <f>IF(IF(B121="","",SUMIFS(Tree!$O:$O,Tree!$A:$A,'Pre-Harvest Plots_rpt'!$B121,Tree!$B:$B,'Pre-Harvest Plots_rpt'!$D121,Tree!$F:$F,"D"))=0,"",IF(B121="","",SUMIFS(Tree!$O:$O,Tree!$A:$A,'Pre-Harvest Plots_rpt'!$B121,Tree!$B:$B,'Pre-Harvest Plots_rpt'!$D121,Tree!$F:$F,"D")))</f>
        <v/>
      </c>
      <c r="AA121" s="125" t="str">
        <f t="shared" si="10"/>
        <v/>
      </c>
      <c r="AB121" s="125" t="str">
        <f>IF(Z121="","",SUMIFS(Tree!$R:$R,Tree!$A:$A,'Pre-Harvest Plots_rpt'!$B121,Tree!$B:$B,'Pre-Harvest Plots_rpt'!$D121,Tree!$F:$F,"D"))</f>
        <v/>
      </c>
      <c r="AC121" s="126" t="str">
        <f>IF(Z121="","",SUMIFS(Tree!$AM:$AM,Tree!$A:$A,'Pre-Harvest Plots_rpt'!$B121,Tree!$B:$B,'Pre-Harvest Plots_rpt'!$D121,Tree!$F:$F,"D"))</f>
        <v/>
      </c>
      <c r="AD121" s="162" t="str">
        <f>IF(Z121="","",SUMIFS(Tree!$AW:$AW,Tree!$A:$A,'Pre-Harvest Plots_rpt'!$B121,Tree!$B:$B,'Pre-Harvest Plots_rpt'!$D121,Tree!$F:$F,"D")/1000)</f>
        <v/>
      </c>
      <c r="AE121" s="47"/>
      <c r="AF121" s="4"/>
      <c r="AG121" s="4"/>
      <c r="AH121" s="4"/>
    </row>
    <row r="122" spans="1:34" ht="12.75" customHeight="1" x14ac:dyDescent="0.25">
      <c r="A122" s="48">
        <v>119</v>
      </c>
      <c r="B122" s="171" t="str">
        <f>IF(A122&lt;=SUM(Stand!$H$3:$H$29),VLOOKUP(A122,Stand!$A$3:$C$29,3,TRUE),"")</f>
        <v/>
      </c>
      <c r="C122" s="172" t="str">
        <f t="shared" si="13"/>
        <v/>
      </c>
      <c r="D122" s="173" t="str">
        <f>IF(B122="","",VLOOKUP(B122&amp;C122,Plot!$B$2:$D$199,3,FALSE))</f>
        <v/>
      </c>
      <c r="E122" s="130"/>
      <c r="F122" s="152" t="str">
        <f>IF(B122="","",SUMIFS(Tree!$O:$O,Tree!$A:$A,'Pre-Harvest Plots_rpt'!$B122,Tree!$B:$B,'Pre-Harvest Plots_rpt'!$D122,Tree!$F:$F,"L"))</f>
        <v/>
      </c>
      <c r="G122" s="153" t="str">
        <f>IFERROR(IF(D122="","",SUMIFS(Tree!$P:$P,Tree!$A:$A,'Pre-Harvest Plots_rpt'!$B122,Tree!$B:$B,'Pre-Harvest Plots_rpt'!$D122)/$F122),"")</f>
        <v/>
      </c>
      <c r="H122" s="122" t="str">
        <f t="shared" si="11"/>
        <v/>
      </c>
      <c r="I122" s="121" t="str">
        <f>IF(OR($F122=0,$F122=""),"",SUMIFS(Tree!$R:$R,Tree!$A:$A,'Pre-Harvest Plots_rpt'!$B122,Tree!$B:$B,'Pre-Harvest Plots_rpt'!$D122,Tree!$F:$F,"L"))</f>
        <v/>
      </c>
      <c r="J122" s="121" t="str">
        <f>IF(OR($F122=0,$F122=""),"",IF(SUMIFS(Tree!$W:$W,Tree!$A:$A,'Pre-Harvest Plots_rpt'!$B122,Tree!$B:$B,'Pre-Harvest Plots_rpt'!$D122,Tree!$F:$F,"L")=0,0,AVERAGEIFS(Tree!$W:$W,Tree!$A:$A,'Pre-Harvest Plots_rpt'!$B122,Tree!$B:$B,'Pre-Harvest Plots_rpt'!$D122,Tree!$F:$F,"L")))</f>
        <v/>
      </c>
      <c r="K122" s="121" t="str">
        <f>IF($F122="","",SUMIFS(Tree!$S:$S,Tree!$A:$A,'Pre-Harvest Plots_rpt'!$B122,Tree!$B:$B,'Pre-Harvest Plots_rpt'!$D122,Tree!$F:$F,"L"))</f>
        <v/>
      </c>
      <c r="L122" s="154" t="str">
        <f t="shared" si="12"/>
        <v/>
      </c>
      <c r="M122" s="135"/>
      <c r="N122" s="192" t="str">
        <f>IF(B122="","",SUMIFS(Tree!$AM:$AM,Tree!$A:$A,'Pre-Harvest Plots_rpt'!$B122,Tree!$B:$B,'Pre-Harvest Plots_rpt'!$D122,Tree!$F:$F,"L"))</f>
        <v/>
      </c>
      <c r="O122" s="122" t="str">
        <f>IF(B122="","",SUMIFS(Tree!$AN:$AN,Tree!$A:$A,'Pre-Harvest Plots_rpt'!$B122,Tree!$B:$B,'Pre-Harvest Plots_rpt'!$D122,Tree!$F:$F,"L"))</f>
        <v/>
      </c>
      <c r="P122" s="122" t="str">
        <f>IF(B122="","",SUMIFS(Tree!$AO:$AO,Tree!$A:$A,'Pre-Harvest Plots_rpt'!$B122,Tree!$B:$B,'Pre-Harvest Plots_rpt'!$D122,Tree!$F:$F,"L"))</f>
        <v/>
      </c>
      <c r="Q122" s="122" t="str">
        <f>IF(B122="","",SUMIFS(Tree!$AP:$AP,Tree!$A:$A,'Pre-Harvest Plots_rpt'!$B122,Tree!$B:$B,'Pre-Harvest Plots_rpt'!$D122,Tree!$F:$F,"L"))</f>
        <v/>
      </c>
      <c r="R122" s="123" t="str">
        <f>IF(B122="","",SUMIFS(Tree!$AQ:$AQ,Tree!$A:$A,'Pre-Harvest Plots_rpt'!$B122,Tree!$B:$B,'Pre-Harvest Plots_rpt'!$D122,Tree!$F:$F,"L"))</f>
        <v/>
      </c>
      <c r="S122" s="122" t="str">
        <f>IF(B122="","",SUMIFS(Tree!$AJ:$AJ,Tree!$A:$A,'Pre-Harvest Plots_rpt'!$B122,Tree!$B:$B,'Pre-Harvest Plots_rpt'!$D122,Tree!$F:$F,"L")-O122)</f>
        <v/>
      </c>
      <c r="T122" s="122" t="str">
        <f>IF(B122="","",SUMIFS(Tree!$AK:$AK,Tree!$A:$A,'Pre-Harvest Plots_rpt'!$B122,Tree!$B:$B,'Pre-Harvest Plots_rpt'!$D122,Tree!$F:$F,"L")-P122)</f>
        <v/>
      </c>
      <c r="U122" s="122" t="str">
        <f>IF(B122="","",SUMIFS(Tree!$AL:$AL,Tree!$A:$A,'Pre-Harvest Plots_rpt'!$B122,Tree!$B:$B,'Pre-Harvest Plots_rpt'!$D122,Tree!$F:$F,"L")-Q122)</f>
        <v/>
      </c>
      <c r="V122" s="123" t="str">
        <f>IF(B122="","",ROUND(SUMIFS(Tree!$AE:$AE,Tree!$A:$A,'Pre-Harvest Plots_rpt'!$B122,Tree!$B:$B,'Pre-Harvest Plots_rpt'!$D122,Tree!$F:$F,"L")-R122,1))</f>
        <v/>
      </c>
      <c r="W122" s="124" t="str">
        <f>IF(B122="","",SUMIFS(Tree!$AY:$AY,Tree!$A:$A,'Pre-Harvest Plots_rpt'!$B122,Tree!$B:$B,'Pre-Harvest Plots_rpt'!$D122,Tree!$F:$F,"L")/1000)</f>
        <v/>
      </c>
      <c r="X122" s="158" t="str">
        <f>IF(B122="","",ROUND((SUMIFS(Tree!$AW:$AW,Tree!$A:$A,'Pre-Harvest Plots_rpt'!$B122,Tree!$B:$B,'Pre-Harvest Plots_rpt'!$D122,Tree!$F:$F,"L")/1000)-W122,1))</f>
        <v/>
      </c>
      <c r="Y122" s="135"/>
      <c r="Z122" s="161" t="str">
        <f>IF(IF(B122="","",SUMIFS(Tree!$O:$O,Tree!$A:$A,'Pre-Harvest Plots_rpt'!$B122,Tree!$B:$B,'Pre-Harvest Plots_rpt'!$D122,Tree!$F:$F,"D"))=0,"",IF(B122="","",SUMIFS(Tree!$O:$O,Tree!$A:$A,'Pre-Harvest Plots_rpt'!$B122,Tree!$B:$B,'Pre-Harvest Plots_rpt'!$D122,Tree!$F:$F,"D")))</f>
        <v/>
      </c>
      <c r="AA122" s="125" t="str">
        <f t="shared" si="10"/>
        <v/>
      </c>
      <c r="AB122" s="125" t="str">
        <f>IF(Z122="","",SUMIFS(Tree!$R:$R,Tree!$A:$A,'Pre-Harvest Plots_rpt'!$B122,Tree!$B:$B,'Pre-Harvest Plots_rpt'!$D122,Tree!$F:$F,"D"))</f>
        <v/>
      </c>
      <c r="AC122" s="126" t="str">
        <f>IF(Z122="","",SUMIFS(Tree!$AM:$AM,Tree!$A:$A,'Pre-Harvest Plots_rpt'!$B122,Tree!$B:$B,'Pre-Harvest Plots_rpt'!$D122,Tree!$F:$F,"D"))</f>
        <v/>
      </c>
      <c r="AD122" s="162" t="str">
        <f>IF(Z122="","",SUMIFS(Tree!$AW:$AW,Tree!$A:$A,'Pre-Harvest Plots_rpt'!$B122,Tree!$B:$B,'Pre-Harvest Plots_rpt'!$D122,Tree!$F:$F,"D")/1000)</f>
        <v/>
      </c>
      <c r="AE122" s="47"/>
      <c r="AF122" s="4"/>
      <c r="AG122" s="4"/>
      <c r="AH122" s="4"/>
    </row>
    <row r="123" spans="1:34" ht="12.75" customHeight="1" x14ac:dyDescent="0.25">
      <c r="A123" s="48">
        <v>120</v>
      </c>
      <c r="B123" s="171" t="str">
        <f>IF(A123&lt;=SUM(Stand!$H$3:$H$29),VLOOKUP(A123,Stand!$A$3:$C$29,3,TRUE),"")</f>
        <v/>
      </c>
      <c r="C123" s="172" t="str">
        <f t="shared" si="13"/>
        <v/>
      </c>
      <c r="D123" s="173" t="str">
        <f>IF(B123="","",VLOOKUP(B123&amp;C123,Plot!$B$2:$D$199,3,FALSE))</f>
        <v/>
      </c>
      <c r="E123" s="130"/>
      <c r="F123" s="152" t="str">
        <f>IF(B123="","",SUMIFS(Tree!$O:$O,Tree!$A:$A,'Pre-Harvest Plots_rpt'!$B123,Tree!$B:$B,'Pre-Harvest Plots_rpt'!$D123,Tree!$F:$F,"L"))</f>
        <v/>
      </c>
      <c r="G123" s="153" t="str">
        <f>IFERROR(IF(D123="","",SUMIFS(Tree!$P:$P,Tree!$A:$A,'Pre-Harvest Plots_rpt'!$B123,Tree!$B:$B,'Pre-Harvest Plots_rpt'!$D123)/$F123),"")</f>
        <v/>
      </c>
      <c r="H123" s="122" t="str">
        <f t="shared" si="11"/>
        <v/>
      </c>
      <c r="I123" s="121" t="str">
        <f>IF(OR($F123=0,$F123=""),"",SUMIFS(Tree!$R:$R,Tree!$A:$A,'Pre-Harvest Plots_rpt'!$B123,Tree!$B:$B,'Pre-Harvest Plots_rpt'!$D123,Tree!$F:$F,"L"))</f>
        <v/>
      </c>
      <c r="J123" s="121" t="str">
        <f>IF(OR($F123=0,$F123=""),"",IF(SUMIFS(Tree!$W:$W,Tree!$A:$A,'Pre-Harvest Plots_rpt'!$B123,Tree!$B:$B,'Pre-Harvest Plots_rpt'!$D123,Tree!$F:$F,"L")=0,0,AVERAGEIFS(Tree!$W:$W,Tree!$A:$A,'Pre-Harvest Plots_rpt'!$B123,Tree!$B:$B,'Pre-Harvest Plots_rpt'!$D123,Tree!$F:$F,"L")))</f>
        <v/>
      </c>
      <c r="K123" s="121" t="str">
        <f>IF($F123="","",SUMIFS(Tree!$S:$S,Tree!$A:$A,'Pre-Harvest Plots_rpt'!$B123,Tree!$B:$B,'Pre-Harvest Plots_rpt'!$D123,Tree!$F:$F,"L"))</f>
        <v/>
      </c>
      <c r="L123" s="154" t="str">
        <f t="shared" si="12"/>
        <v/>
      </c>
      <c r="M123" s="135"/>
      <c r="N123" s="192" t="str">
        <f>IF(B123="","",SUMIFS(Tree!$AM:$AM,Tree!$A:$A,'Pre-Harvest Plots_rpt'!$B123,Tree!$B:$B,'Pre-Harvest Plots_rpt'!$D123,Tree!$F:$F,"L"))</f>
        <v/>
      </c>
      <c r="O123" s="122" t="str">
        <f>IF(B123="","",SUMIFS(Tree!$AN:$AN,Tree!$A:$A,'Pre-Harvest Plots_rpt'!$B123,Tree!$B:$B,'Pre-Harvest Plots_rpt'!$D123,Tree!$F:$F,"L"))</f>
        <v/>
      </c>
      <c r="P123" s="122" t="str">
        <f>IF(B123="","",SUMIFS(Tree!$AO:$AO,Tree!$A:$A,'Pre-Harvest Plots_rpt'!$B123,Tree!$B:$B,'Pre-Harvest Plots_rpt'!$D123,Tree!$F:$F,"L"))</f>
        <v/>
      </c>
      <c r="Q123" s="122" t="str">
        <f>IF(B123="","",SUMIFS(Tree!$AP:$AP,Tree!$A:$A,'Pre-Harvest Plots_rpt'!$B123,Tree!$B:$B,'Pre-Harvest Plots_rpt'!$D123,Tree!$F:$F,"L"))</f>
        <v/>
      </c>
      <c r="R123" s="123" t="str">
        <f>IF(B123="","",SUMIFS(Tree!$AQ:$AQ,Tree!$A:$A,'Pre-Harvest Plots_rpt'!$B123,Tree!$B:$B,'Pre-Harvest Plots_rpt'!$D123,Tree!$F:$F,"L"))</f>
        <v/>
      </c>
      <c r="S123" s="122" t="str">
        <f>IF(B123="","",SUMIFS(Tree!$AJ:$AJ,Tree!$A:$A,'Pre-Harvest Plots_rpt'!$B123,Tree!$B:$B,'Pre-Harvest Plots_rpt'!$D123,Tree!$F:$F,"L")-O123)</f>
        <v/>
      </c>
      <c r="T123" s="122" t="str">
        <f>IF(B123="","",SUMIFS(Tree!$AK:$AK,Tree!$A:$A,'Pre-Harvest Plots_rpt'!$B123,Tree!$B:$B,'Pre-Harvest Plots_rpt'!$D123,Tree!$F:$F,"L")-P123)</f>
        <v/>
      </c>
      <c r="U123" s="122" t="str">
        <f>IF(B123="","",SUMIFS(Tree!$AL:$AL,Tree!$A:$A,'Pre-Harvest Plots_rpt'!$B123,Tree!$B:$B,'Pre-Harvest Plots_rpt'!$D123,Tree!$F:$F,"L")-Q123)</f>
        <v/>
      </c>
      <c r="V123" s="123" t="str">
        <f>IF(B123="","",ROUND(SUMIFS(Tree!$AE:$AE,Tree!$A:$A,'Pre-Harvest Plots_rpt'!$B123,Tree!$B:$B,'Pre-Harvest Plots_rpt'!$D123,Tree!$F:$F,"L")-R123,1))</f>
        <v/>
      </c>
      <c r="W123" s="124" t="str">
        <f>IF(B123="","",SUMIFS(Tree!$AY:$AY,Tree!$A:$A,'Pre-Harvest Plots_rpt'!$B123,Tree!$B:$B,'Pre-Harvest Plots_rpt'!$D123,Tree!$F:$F,"L")/1000)</f>
        <v/>
      </c>
      <c r="X123" s="158" t="str">
        <f>IF(B123="","",ROUND((SUMIFS(Tree!$AW:$AW,Tree!$A:$A,'Pre-Harvest Plots_rpt'!$B123,Tree!$B:$B,'Pre-Harvest Plots_rpt'!$D123,Tree!$F:$F,"L")/1000)-W123,1))</f>
        <v/>
      </c>
      <c r="Y123" s="135"/>
      <c r="Z123" s="161" t="str">
        <f>IF(IF(B123="","",SUMIFS(Tree!$O:$O,Tree!$A:$A,'Pre-Harvest Plots_rpt'!$B123,Tree!$B:$B,'Pre-Harvest Plots_rpt'!$D123,Tree!$F:$F,"D"))=0,"",IF(B123="","",SUMIFS(Tree!$O:$O,Tree!$A:$A,'Pre-Harvest Plots_rpt'!$B123,Tree!$B:$B,'Pre-Harvest Plots_rpt'!$D123,Tree!$F:$F,"D")))</f>
        <v/>
      </c>
      <c r="AA123" s="125" t="str">
        <f t="shared" si="10"/>
        <v/>
      </c>
      <c r="AB123" s="125" t="str">
        <f>IF(Z123="","",SUMIFS(Tree!$R:$R,Tree!$A:$A,'Pre-Harvest Plots_rpt'!$B123,Tree!$B:$B,'Pre-Harvest Plots_rpt'!$D123,Tree!$F:$F,"D"))</f>
        <v/>
      </c>
      <c r="AC123" s="126" t="str">
        <f>IF(Z123="","",SUMIFS(Tree!$AM:$AM,Tree!$A:$A,'Pre-Harvest Plots_rpt'!$B123,Tree!$B:$B,'Pre-Harvest Plots_rpt'!$D123,Tree!$F:$F,"D"))</f>
        <v/>
      </c>
      <c r="AD123" s="162" t="str">
        <f>IF(Z123="","",SUMIFS(Tree!$AW:$AW,Tree!$A:$A,'Pre-Harvest Plots_rpt'!$B123,Tree!$B:$B,'Pre-Harvest Plots_rpt'!$D123,Tree!$F:$F,"D")/1000)</f>
        <v/>
      </c>
      <c r="AE123" s="47"/>
      <c r="AF123" s="4"/>
      <c r="AG123" s="4"/>
      <c r="AH123" s="4"/>
    </row>
    <row r="124" spans="1:34" ht="12.75" customHeight="1" x14ac:dyDescent="0.25">
      <c r="A124" s="48">
        <v>121</v>
      </c>
      <c r="B124" s="171" t="str">
        <f>IF(A124&lt;=SUM(Stand!$H$3:$H$29),VLOOKUP(A124,Stand!$A$3:$C$29,3,TRUE),"")</f>
        <v/>
      </c>
      <c r="C124" s="172" t="str">
        <f t="shared" si="13"/>
        <v/>
      </c>
      <c r="D124" s="173" t="str">
        <f>IF(B124="","",VLOOKUP(B124&amp;C124,Plot!$B$2:$D$199,3,FALSE))</f>
        <v/>
      </c>
      <c r="E124" s="130"/>
      <c r="F124" s="152" t="str">
        <f>IF(B124="","",SUMIFS(Tree!$O:$O,Tree!$A:$A,'Pre-Harvest Plots_rpt'!$B124,Tree!$B:$B,'Pre-Harvest Plots_rpt'!$D124,Tree!$F:$F,"L"))</f>
        <v/>
      </c>
      <c r="G124" s="153" t="str">
        <f>IFERROR(IF(D124="","",SUMIFS(Tree!$P:$P,Tree!$A:$A,'Pre-Harvest Plots_rpt'!$B124,Tree!$B:$B,'Pre-Harvest Plots_rpt'!$D124)/$F124),"")</f>
        <v/>
      </c>
      <c r="H124" s="122" t="str">
        <f t="shared" si="11"/>
        <v/>
      </c>
      <c r="I124" s="121" t="str">
        <f>IF(OR($F124=0,$F124=""),"",SUMIFS(Tree!$R:$R,Tree!$A:$A,'Pre-Harvest Plots_rpt'!$B124,Tree!$B:$B,'Pre-Harvest Plots_rpt'!$D124,Tree!$F:$F,"L"))</f>
        <v/>
      </c>
      <c r="J124" s="121" t="str">
        <f>IF(OR($F124=0,$F124=""),"",IF(SUMIFS(Tree!$W:$W,Tree!$A:$A,'Pre-Harvest Plots_rpt'!$B124,Tree!$B:$B,'Pre-Harvest Plots_rpt'!$D124,Tree!$F:$F,"L")=0,0,AVERAGEIFS(Tree!$W:$W,Tree!$A:$A,'Pre-Harvest Plots_rpt'!$B124,Tree!$B:$B,'Pre-Harvest Plots_rpt'!$D124,Tree!$F:$F,"L")))</f>
        <v/>
      </c>
      <c r="K124" s="121" t="str">
        <f>IF($F124="","",SUMIFS(Tree!$S:$S,Tree!$A:$A,'Pre-Harvest Plots_rpt'!$B124,Tree!$B:$B,'Pre-Harvest Plots_rpt'!$D124,Tree!$F:$F,"L"))</f>
        <v/>
      </c>
      <c r="L124" s="154" t="str">
        <f t="shared" si="12"/>
        <v/>
      </c>
      <c r="M124" s="135"/>
      <c r="N124" s="192" t="str">
        <f>IF(B124="","",SUMIFS(Tree!$AM:$AM,Tree!$A:$A,'Pre-Harvest Plots_rpt'!$B124,Tree!$B:$B,'Pre-Harvest Plots_rpt'!$D124,Tree!$F:$F,"L"))</f>
        <v/>
      </c>
      <c r="O124" s="122" t="str">
        <f>IF(B124="","",SUMIFS(Tree!$AN:$AN,Tree!$A:$A,'Pre-Harvest Plots_rpt'!$B124,Tree!$B:$B,'Pre-Harvest Plots_rpt'!$D124,Tree!$F:$F,"L"))</f>
        <v/>
      </c>
      <c r="P124" s="122" t="str">
        <f>IF(B124="","",SUMIFS(Tree!$AO:$AO,Tree!$A:$A,'Pre-Harvest Plots_rpt'!$B124,Tree!$B:$B,'Pre-Harvest Plots_rpt'!$D124,Tree!$F:$F,"L"))</f>
        <v/>
      </c>
      <c r="Q124" s="122" t="str">
        <f>IF(B124="","",SUMIFS(Tree!$AP:$AP,Tree!$A:$A,'Pre-Harvest Plots_rpt'!$B124,Tree!$B:$B,'Pre-Harvest Plots_rpt'!$D124,Tree!$F:$F,"L"))</f>
        <v/>
      </c>
      <c r="R124" s="123" t="str">
        <f>IF(B124="","",SUMIFS(Tree!$AQ:$AQ,Tree!$A:$A,'Pre-Harvest Plots_rpt'!$B124,Tree!$B:$B,'Pre-Harvest Plots_rpt'!$D124,Tree!$F:$F,"L"))</f>
        <v/>
      </c>
      <c r="S124" s="122" t="str">
        <f>IF(B124="","",SUMIFS(Tree!$AJ:$AJ,Tree!$A:$A,'Pre-Harvest Plots_rpt'!$B124,Tree!$B:$B,'Pre-Harvest Plots_rpt'!$D124,Tree!$F:$F,"L")-O124)</f>
        <v/>
      </c>
      <c r="T124" s="122" t="str">
        <f>IF(B124="","",SUMIFS(Tree!$AK:$AK,Tree!$A:$A,'Pre-Harvest Plots_rpt'!$B124,Tree!$B:$B,'Pre-Harvest Plots_rpt'!$D124,Tree!$F:$F,"L")-P124)</f>
        <v/>
      </c>
      <c r="U124" s="122" t="str">
        <f>IF(B124="","",SUMIFS(Tree!$AL:$AL,Tree!$A:$A,'Pre-Harvest Plots_rpt'!$B124,Tree!$B:$B,'Pre-Harvest Plots_rpt'!$D124,Tree!$F:$F,"L")-Q124)</f>
        <v/>
      </c>
      <c r="V124" s="123" t="str">
        <f>IF(B124="","",ROUND(SUMIFS(Tree!$AE:$AE,Tree!$A:$A,'Pre-Harvest Plots_rpt'!$B124,Tree!$B:$B,'Pre-Harvest Plots_rpt'!$D124,Tree!$F:$F,"L")-R124,1))</f>
        <v/>
      </c>
      <c r="W124" s="124" t="str">
        <f>IF(B124="","",SUMIFS(Tree!$AY:$AY,Tree!$A:$A,'Pre-Harvest Plots_rpt'!$B124,Tree!$B:$B,'Pre-Harvest Plots_rpt'!$D124,Tree!$F:$F,"L")/1000)</f>
        <v/>
      </c>
      <c r="X124" s="158" t="str">
        <f>IF(B124="","",ROUND((SUMIFS(Tree!$AW:$AW,Tree!$A:$A,'Pre-Harvest Plots_rpt'!$B124,Tree!$B:$B,'Pre-Harvest Plots_rpt'!$D124,Tree!$F:$F,"L")/1000)-W124,1))</f>
        <v/>
      </c>
      <c r="Y124" s="135"/>
      <c r="Z124" s="161" t="str">
        <f>IF(IF(B124="","",SUMIFS(Tree!$O:$O,Tree!$A:$A,'Pre-Harvest Plots_rpt'!$B124,Tree!$B:$B,'Pre-Harvest Plots_rpt'!$D124,Tree!$F:$F,"D"))=0,"",IF(B124="","",SUMIFS(Tree!$O:$O,Tree!$A:$A,'Pre-Harvest Plots_rpt'!$B124,Tree!$B:$B,'Pre-Harvest Plots_rpt'!$D124,Tree!$F:$F,"D")))</f>
        <v/>
      </c>
      <c r="AA124" s="125" t="str">
        <f t="shared" si="10"/>
        <v/>
      </c>
      <c r="AB124" s="125" t="str">
        <f>IF(Z124="","",SUMIFS(Tree!$R:$R,Tree!$A:$A,'Pre-Harvest Plots_rpt'!$B124,Tree!$B:$B,'Pre-Harvest Plots_rpt'!$D124,Tree!$F:$F,"D"))</f>
        <v/>
      </c>
      <c r="AC124" s="126" t="str">
        <f>IF(Z124="","",SUMIFS(Tree!$AM:$AM,Tree!$A:$A,'Pre-Harvest Plots_rpt'!$B124,Tree!$B:$B,'Pre-Harvest Plots_rpt'!$D124,Tree!$F:$F,"D"))</f>
        <v/>
      </c>
      <c r="AD124" s="162" t="str">
        <f>IF(Z124="","",SUMIFS(Tree!$AW:$AW,Tree!$A:$A,'Pre-Harvest Plots_rpt'!$B124,Tree!$B:$B,'Pre-Harvest Plots_rpt'!$D124,Tree!$F:$F,"D")/1000)</f>
        <v/>
      </c>
      <c r="AE124" s="47"/>
      <c r="AF124" s="4"/>
      <c r="AG124" s="4"/>
      <c r="AH124" s="4"/>
    </row>
    <row r="125" spans="1:34" ht="12.75" customHeight="1" x14ac:dyDescent="0.25">
      <c r="A125" s="48">
        <v>122</v>
      </c>
      <c r="B125" s="171" t="str">
        <f>IF(A125&lt;=SUM(Stand!$H$3:$H$29),VLOOKUP(A125,Stand!$A$3:$C$29,3,TRUE),"")</f>
        <v/>
      </c>
      <c r="C125" s="172" t="str">
        <f t="shared" si="13"/>
        <v/>
      </c>
      <c r="D125" s="173" t="str">
        <f>IF(B125="","",VLOOKUP(B125&amp;C125,Plot!$B$2:$D$199,3,FALSE))</f>
        <v/>
      </c>
      <c r="E125" s="130"/>
      <c r="F125" s="152" t="str">
        <f>IF(B125="","",SUMIFS(Tree!$O:$O,Tree!$A:$A,'Pre-Harvest Plots_rpt'!$B125,Tree!$B:$B,'Pre-Harvest Plots_rpt'!$D125,Tree!$F:$F,"L"))</f>
        <v/>
      </c>
      <c r="G125" s="153" t="str">
        <f>IFERROR(IF(D125="","",SUMIFS(Tree!$P:$P,Tree!$A:$A,'Pre-Harvest Plots_rpt'!$B125,Tree!$B:$B,'Pre-Harvest Plots_rpt'!$D125)/$F125),"")</f>
        <v/>
      </c>
      <c r="H125" s="122" t="str">
        <f t="shared" si="11"/>
        <v/>
      </c>
      <c r="I125" s="121" t="str">
        <f>IF(OR($F125=0,$F125=""),"",SUMIFS(Tree!$R:$R,Tree!$A:$A,'Pre-Harvest Plots_rpt'!$B125,Tree!$B:$B,'Pre-Harvest Plots_rpt'!$D125,Tree!$F:$F,"L"))</f>
        <v/>
      </c>
      <c r="J125" s="121" t="str">
        <f>IF(OR($F125=0,$F125=""),"",IF(SUMIFS(Tree!$W:$W,Tree!$A:$A,'Pre-Harvest Plots_rpt'!$B125,Tree!$B:$B,'Pre-Harvest Plots_rpt'!$D125,Tree!$F:$F,"L")=0,0,AVERAGEIFS(Tree!$W:$W,Tree!$A:$A,'Pre-Harvest Plots_rpt'!$B125,Tree!$B:$B,'Pre-Harvest Plots_rpt'!$D125,Tree!$F:$F,"L")))</f>
        <v/>
      </c>
      <c r="K125" s="121" t="str">
        <f>IF($F125="","",SUMIFS(Tree!$S:$S,Tree!$A:$A,'Pre-Harvest Plots_rpt'!$B125,Tree!$B:$B,'Pre-Harvest Plots_rpt'!$D125,Tree!$F:$F,"L"))</f>
        <v/>
      </c>
      <c r="L125" s="154" t="str">
        <f t="shared" si="12"/>
        <v/>
      </c>
      <c r="M125" s="135"/>
      <c r="N125" s="192" t="str">
        <f>IF(B125="","",SUMIFS(Tree!$AM:$AM,Tree!$A:$A,'Pre-Harvest Plots_rpt'!$B125,Tree!$B:$B,'Pre-Harvest Plots_rpt'!$D125,Tree!$F:$F,"L"))</f>
        <v/>
      </c>
      <c r="O125" s="122" t="str">
        <f>IF(B125="","",SUMIFS(Tree!$AN:$AN,Tree!$A:$A,'Pre-Harvest Plots_rpt'!$B125,Tree!$B:$B,'Pre-Harvest Plots_rpt'!$D125,Tree!$F:$F,"L"))</f>
        <v/>
      </c>
      <c r="P125" s="122" t="str">
        <f>IF(B125="","",SUMIFS(Tree!$AO:$AO,Tree!$A:$A,'Pre-Harvest Plots_rpt'!$B125,Tree!$B:$B,'Pre-Harvest Plots_rpt'!$D125,Tree!$F:$F,"L"))</f>
        <v/>
      </c>
      <c r="Q125" s="122" t="str">
        <f>IF(B125="","",SUMIFS(Tree!$AP:$AP,Tree!$A:$A,'Pre-Harvest Plots_rpt'!$B125,Tree!$B:$B,'Pre-Harvest Plots_rpt'!$D125,Tree!$F:$F,"L"))</f>
        <v/>
      </c>
      <c r="R125" s="123" t="str">
        <f>IF(B125="","",SUMIFS(Tree!$AQ:$AQ,Tree!$A:$A,'Pre-Harvest Plots_rpt'!$B125,Tree!$B:$B,'Pre-Harvest Plots_rpt'!$D125,Tree!$F:$F,"L"))</f>
        <v/>
      </c>
      <c r="S125" s="122" t="str">
        <f>IF(B125="","",SUMIFS(Tree!$AJ:$AJ,Tree!$A:$A,'Pre-Harvest Plots_rpt'!$B125,Tree!$B:$B,'Pre-Harvest Plots_rpt'!$D125,Tree!$F:$F,"L")-O125)</f>
        <v/>
      </c>
      <c r="T125" s="122" t="str">
        <f>IF(B125="","",SUMIFS(Tree!$AK:$AK,Tree!$A:$A,'Pre-Harvest Plots_rpt'!$B125,Tree!$B:$B,'Pre-Harvest Plots_rpt'!$D125,Tree!$F:$F,"L")-P125)</f>
        <v/>
      </c>
      <c r="U125" s="122" t="str">
        <f>IF(B125="","",SUMIFS(Tree!$AL:$AL,Tree!$A:$A,'Pre-Harvest Plots_rpt'!$B125,Tree!$B:$B,'Pre-Harvest Plots_rpt'!$D125,Tree!$F:$F,"L")-Q125)</f>
        <v/>
      </c>
      <c r="V125" s="123" t="str">
        <f>IF(B125="","",ROUND(SUMIFS(Tree!$AE:$AE,Tree!$A:$A,'Pre-Harvest Plots_rpt'!$B125,Tree!$B:$B,'Pre-Harvest Plots_rpt'!$D125,Tree!$F:$F,"L")-R125,1))</f>
        <v/>
      </c>
      <c r="W125" s="124" t="str">
        <f>IF(B125="","",SUMIFS(Tree!$AY:$AY,Tree!$A:$A,'Pre-Harvest Plots_rpt'!$B125,Tree!$B:$B,'Pre-Harvest Plots_rpt'!$D125,Tree!$F:$F,"L")/1000)</f>
        <v/>
      </c>
      <c r="X125" s="158" t="str">
        <f>IF(B125="","",ROUND((SUMIFS(Tree!$AW:$AW,Tree!$A:$A,'Pre-Harvest Plots_rpt'!$B125,Tree!$B:$B,'Pre-Harvest Plots_rpt'!$D125,Tree!$F:$F,"L")/1000)-W125,1))</f>
        <v/>
      </c>
      <c r="Y125" s="135"/>
      <c r="Z125" s="161" t="str">
        <f>IF(IF(B125="","",SUMIFS(Tree!$O:$O,Tree!$A:$A,'Pre-Harvest Plots_rpt'!$B125,Tree!$B:$B,'Pre-Harvest Plots_rpt'!$D125,Tree!$F:$F,"D"))=0,"",IF(B125="","",SUMIFS(Tree!$O:$O,Tree!$A:$A,'Pre-Harvest Plots_rpt'!$B125,Tree!$B:$B,'Pre-Harvest Plots_rpt'!$D125,Tree!$F:$F,"D")))</f>
        <v/>
      </c>
      <c r="AA125" s="125" t="str">
        <f t="shared" si="10"/>
        <v/>
      </c>
      <c r="AB125" s="125" t="str">
        <f>IF(Z125="","",SUMIFS(Tree!$R:$R,Tree!$A:$A,'Pre-Harvest Plots_rpt'!$B125,Tree!$B:$B,'Pre-Harvest Plots_rpt'!$D125,Tree!$F:$F,"D"))</f>
        <v/>
      </c>
      <c r="AC125" s="126" t="str">
        <f>IF(Z125="","",SUMIFS(Tree!$AM:$AM,Tree!$A:$A,'Pre-Harvest Plots_rpt'!$B125,Tree!$B:$B,'Pre-Harvest Plots_rpt'!$D125,Tree!$F:$F,"D"))</f>
        <v/>
      </c>
      <c r="AD125" s="162" t="str">
        <f>IF(Z125="","",SUMIFS(Tree!$AW:$AW,Tree!$A:$A,'Pre-Harvest Plots_rpt'!$B125,Tree!$B:$B,'Pre-Harvest Plots_rpt'!$D125,Tree!$F:$F,"D")/1000)</f>
        <v/>
      </c>
      <c r="AE125" s="47"/>
      <c r="AF125" s="4"/>
      <c r="AG125" s="4"/>
      <c r="AH125" s="4"/>
    </row>
    <row r="126" spans="1:34" ht="12.75" customHeight="1" x14ac:dyDescent="0.25">
      <c r="A126" s="48">
        <v>123</v>
      </c>
      <c r="B126" s="171" t="str">
        <f>IF(A126&lt;=SUM(Stand!$H$3:$H$29),VLOOKUP(A126,Stand!$A$3:$C$29,3,TRUE),"")</f>
        <v/>
      </c>
      <c r="C126" s="172" t="str">
        <f t="shared" si="13"/>
        <v/>
      </c>
      <c r="D126" s="173" t="str">
        <f>IF(B126="","",VLOOKUP(B126&amp;C126,Plot!$B$2:$D$199,3,FALSE))</f>
        <v/>
      </c>
      <c r="E126" s="130"/>
      <c r="F126" s="152" t="str">
        <f>IF(B126="","",SUMIFS(Tree!$O:$O,Tree!$A:$A,'Pre-Harvest Plots_rpt'!$B126,Tree!$B:$B,'Pre-Harvest Plots_rpt'!$D126,Tree!$F:$F,"L"))</f>
        <v/>
      </c>
      <c r="G126" s="153" t="str">
        <f>IFERROR(IF(D126="","",SUMIFS(Tree!$P:$P,Tree!$A:$A,'Pre-Harvest Plots_rpt'!$B126,Tree!$B:$B,'Pre-Harvest Plots_rpt'!$D126)/$F126),"")</f>
        <v/>
      </c>
      <c r="H126" s="122" t="str">
        <f t="shared" si="11"/>
        <v/>
      </c>
      <c r="I126" s="121" t="str">
        <f>IF(OR($F126=0,$F126=""),"",SUMIFS(Tree!$R:$R,Tree!$A:$A,'Pre-Harvest Plots_rpt'!$B126,Tree!$B:$B,'Pre-Harvest Plots_rpt'!$D126,Tree!$F:$F,"L"))</f>
        <v/>
      </c>
      <c r="J126" s="121" t="str">
        <f>IF(OR($F126=0,$F126=""),"",IF(SUMIFS(Tree!$W:$W,Tree!$A:$A,'Pre-Harvest Plots_rpt'!$B126,Tree!$B:$B,'Pre-Harvest Plots_rpt'!$D126,Tree!$F:$F,"L")=0,0,AVERAGEIFS(Tree!$W:$W,Tree!$A:$A,'Pre-Harvest Plots_rpt'!$B126,Tree!$B:$B,'Pre-Harvest Plots_rpt'!$D126,Tree!$F:$F,"L")))</f>
        <v/>
      </c>
      <c r="K126" s="121" t="str">
        <f>IF($F126="","",SUMIFS(Tree!$S:$S,Tree!$A:$A,'Pre-Harvest Plots_rpt'!$B126,Tree!$B:$B,'Pre-Harvest Plots_rpt'!$D126,Tree!$F:$F,"L"))</f>
        <v/>
      </c>
      <c r="L126" s="154" t="str">
        <f t="shared" si="12"/>
        <v/>
      </c>
      <c r="M126" s="135"/>
      <c r="N126" s="192" t="str">
        <f>IF(B126="","",SUMIFS(Tree!$AM:$AM,Tree!$A:$A,'Pre-Harvest Plots_rpt'!$B126,Tree!$B:$B,'Pre-Harvest Plots_rpt'!$D126,Tree!$F:$F,"L"))</f>
        <v/>
      </c>
      <c r="O126" s="122" t="str">
        <f>IF(B126="","",SUMIFS(Tree!$AN:$AN,Tree!$A:$A,'Pre-Harvest Plots_rpt'!$B126,Tree!$B:$B,'Pre-Harvest Plots_rpt'!$D126,Tree!$F:$F,"L"))</f>
        <v/>
      </c>
      <c r="P126" s="122" t="str">
        <f>IF(B126="","",SUMIFS(Tree!$AO:$AO,Tree!$A:$A,'Pre-Harvest Plots_rpt'!$B126,Tree!$B:$B,'Pre-Harvest Plots_rpt'!$D126,Tree!$F:$F,"L"))</f>
        <v/>
      </c>
      <c r="Q126" s="122" t="str">
        <f>IF(B126="","",SUMIFS(Tree!$AP:$AP,Tree!$A:$A,'Pre-Harvest Plots_rpt'!$B126,Tree!$B:$B,'Pre-Harvest Plots_rpt'!$D126,Tree!$F:$F,"L"))</f>
        <v/>
      </c>
      <c r="R126" s="123" t="str">
        <f>IF(B126="","",SUMIFS(Tree!$AQ:$AQ,Tree!$A:$A,'Pre-Harvest Plots_rpt'!$B126,Tree!$B:$B,'Pre-Harvest Plots_rpt'!$D126,Tree!$F:$F,"L"))</f>
        <v/>
      </c>
      <c r="S126" s="122" t="str">
        <f>IF(B126="","",SUMIFS(Tree!$AJ:$AJ,Tree!$A:$A,'Pre-Harvest Plots_rpt'!$B126,Tree!$B:$B,'Pre-Harvest Plots_rpt'!$D126,Tree!$F:$F,"L")-O126)</f>
        <v/>
      </c>
      <c r="T126" s="122" t="str">
        <f>IF(B126="","",SUMIFS(Tree!$AK:$AK,Tree!$A:$A,'Pre-Harvest Plots_rpt'!$B126,Tree!$B:$B,'Pre-Harvest Plots_rpt'!$D126,Tree!$F:$F,"L")-P126)</f>
        <v/>
      </c>
      <c r="U126" s="122" t="str">
        <f>IF(B126="","",SUMIFS(Tree!$AL:$AL,Tree!$A:$A,'Pre-Harvest Plots_rpt'!$B126,Tree!$B:$B,'Pre-Harvest Plots_rpt'!$D126,Tree!$F:$F,"L")-Q126)</f>
        <v/>
      </c>
      <c r="V126" s="123" t="str">
        <f>IF(B126="","",ROUND(SUMIFS(Tree!$AE:$AE,Tree!$A:$A,'Pre-Harvest Plots_rpt'!$B126,Tree!$B:$B,'Pre-Harvest Plots_rpt'!$D126,Tree!$F:$F,"L")-R126,1))</f>
        <v/>
      </c>
      <c r="W126" s="124" t="str">
        <f>IF(B126="","",SUMIFS(Tree!$AY:$AY,Tree!$A:$A,'Pre-Harvest Plots_rpt'!$B126,Tree!$B:$B,'Pre-Harvest Plots_rpt'!$D126,Tree!$F:$F,"L")/1000)</f>
        <v/>
      </c>
      <c r="X126" s="158" t="str">
        <f>IF(B126="","",ROUND((SUMIFS(Tree!$AW:$AW,Tree!$A:$A,'Pre-Harvest Plots_rpt'!$B126,Tree!$B:$B,'Pre-Harvest Plots_rpt'!$D126,Tree!$F:$F,"L")/1000)-W126,1))</f>
        <v/>
      </c>
      <c r="Y126" s="135"/>
      <c r="Z126" s="161" t="str">
        <f>IF(IF(B126="","",SUMIFS(Tree!$O:$O,Tree!$A:$A,'Pre-Harvest Plots_rpt'!$B126,Tree!$B:$B,'Pre-Harvest Plots_rpt'!$D126,Tree!$F:$F,"D"))=0,"",IF(B126="","",SUMIFS(Tree!$O:$O,Tree!$A:$A,'Pre-Harvest Plots_rpt'!$B126,Tree!$B:$B,'Pre-Harvest Plots_rpt'!$D126,Tree!$F:$F,"D")))</f>
        <v/>
      </c>
      <c r="AA126" s="125" t="str">
        <f t="shared" si="10"/>
        <v/>
      </c>
      <c r="AB126" s="125" t="str">
        <f>IF(Z126="","",SUMIFS(Tree!$R:$R,Tree!$A:$A,'Pre-Harvest Plots_rpt'!$B126,Tree!$B:$B,'Pre-Harvest Plots_rpt'!$D126,Tree!$F:$F,"D"))</f>
        <v/>
      </c>
      <c r="AC126" s="126" t="str">
        <f>IF(Z126="","",SUMIFS(Tree!$AM:$AM,Tree!$A:$A,'Pre-Harvest Plots_rpt'!$B126,Tree!$B:$B,'Pre-Harvest Plots_rpt'!$D126,Tree!$F:$F,"D"))</f>
        <v/>
      </c>
      <c r="AD126" s="162" t="str">
        <f>IF(Z126="","",SUMIFS(Tree!$AW:$AW,Tree!$A:$A,'Pre-Harvest Plots_rpt'!$B126,Tree!$B:$B,'Pre-Harvest Plots_rpt'!$D126,Tree!$F:$F,"D")/1000)</f>
        <v/>
      </c>
      <c r="AE126" s="47"/>
      <c r="AF126" s="4"/>
      <c r="AG126" s="4"/>
      <c r="AH126" s="4"/>
    </row>
    <row r="127" spans="1:34" ht="12.75" customHeight="1" x14ac:dyDescent="0.25">
      <c r="A127" s="48">
        <v>124</v>
      </c>
      <c r="B127" s="171" t="str">
        <f>IF(A127&lt;=SUM(Stand!$H$3:$H$29),VLOOKUP(A127,Stand!$A$3:$C$29,3,TRUE),"")</f>
        <v/>
      </c>
      <c r="C127" s="172" t="str">
        <f t="shared" si="13"/>
        <v/>
      </c>
      <c r="D127" s="173" t="str">
        <f>IF(B127="","",VLOOKUP(B127&amp;C127,Plot!$B$2:$D$199,3,FALSE))</f>
        <v/>
      </c>
      <c r="E127" s="130"/>
      <c r="F127" s="152" t="str">
        <f>IF(B127="","",SUMIFS(Tree!$O:$O,Tree!$A:$A,'Pre-Harvest Plots_rpt'!$B127,Tree!$B:$B,'Pre-Harvest Plots_rpt'!$D127,Tree!$F:$F,"L"))</f>
        <v/>
      </c>
      <c r="G127" s="153" t="str">
        <f>IFERROR(IF(D127="","",SUMIFS(Tree!$P:$P,Tree!$A:$A,'Pre-Harvest Plots_rpt'!$B127,Tree!$B:$B,'Pre-Harvest Plots_rpt'!$D127)/$F127),"")</f>
        <v/>
      </c>
      <c r="H127" s="122" t="str">
        <f t="shared" si="11"/>
        <v/>
      </c>
      <c r="I127" s="121" t="str">
        <f>IF(OR($F127=0,$F127=""),"",SUMIFS(Tree!$R:$R,Tree!$A:$A,'Pre-Harvest Plots_rpt'!$B127,Tree!$B:$B,'Pre-Harvest Plots_rpt'!$D127,Tree!$F:$F,"L"))</f>
        <v/>
      </c>
      <c r="J127" s="121" t="str">
        <f>IF(OR($F127=0,$F127=""),"",IF(SUMIFS(Tree!$W:$W,Tree!$A:$A,'Pre-Harvest Plots_rpt'!$B127,Tree!$B:$B,'Pre-Harvest Plots_rpt'!$D127,Tree!$F:$F,"L")=0,0,AVERAGEIFS(Tree!$W:$W,Tree!$A:$A,'Pre-Harvest Plots_rpt'!$B127,Tree!$B:$B,'Pre-Harvest Plots_rpt'!$D127,Tree!$F:$F,"L")))</f>
        <v/>
      </c>
      <c r="K127" s="121" t="str">
        <f>IF($F127="","",SUMIFS(Tree!$S:$S,Tree!$A:$A,'Pre-Harvest Plots_rpt'!$B127,Tree!$B:$B,'Pre-Harvest Plots_rpt'!$D127,Tree!$F:$F,"L"))</f>
        <v/>
      </c>
      <c r="L127" s="154" t="str">
        <f t="shared" si="12"/>
        <v/>
      </c>
      <c r="M127" s="135"/>
      <c r="N127" s="192" t="str">
        <f>IF(B127="","",SUMIFS(Tree!$AM:$AM,Tree!$A:$A,'Pre-Harvest Plots_rpt'!$B127,Tree!$B:$B,'Pre-Harvest Plots_rpt'!$D127,Tree!$F:$F,"L"))</f>
        <v/>
      </c>
      <c r="O127" s="122" t="str">
        <f>IF(B127="","",SUMIFS(Tree!$AN:$AN,Tree!$A:$A,'Pre-Harvest Plots_rpt'!$B127,Tree!$B:$B,'Pre-Harvest Plots_rpt'!$D127,Tree!$F:$F,"L"))</f>
        <v/>
      </c>
      <c r="P127" s="122" t="str">
        <f>IF(B127="","",SUMIFS(Tree!$AO:$AO,Tree!$A:$A,'Pre-Harvest Plots_rpt'!$B127,Tree!$B:$B,'Pre-Harvest Plots_rpt'!$D127,Tree!$F:$F,"L"))</f>
        <v/>
      </c>
      <c r="Q127" s="122" t="str">
        <f>IF(B127="","",SUMIFS(Tree!$AP:$AP,Tree!$A:$A,'Pre-Harvest Plots_rpt'!$B127,Tree!$B:$B,'Pre-Harvest Plots_rpt'!$D127,Tree!$F:$F,"L"))</f>
        <v/>
      </c>
      <c r="R127" s="123" t="str">
        <f>IF(B127="","",SUMIFS(Tree!$AQ:$AQ,Tree!$A:$A,'Pre-Harvest Plots_rpt'!$B127,Tree!$B:$B,'Pre-Harvest Plots_rpt'!$D127,Tree!$F:$F,"L"))</f>
        <v/>
      </c>
      <c r="S127" s="122" t="str">
        <f>IF(B127="","",SUMIFS(Tree!$AJ:$AJ,Tree!$A:$A,'Pre-Harvest Plots_rpt'!$B127,Tree!$B:$B,'Pre-Harvest Plots_rpt'!$D127,Tree!$F:$F,"L")-O127)</f>
        <v/>
      </c>
      <c r="T127" s="122" t="str">
        <f>IF(B127="","",SUMIFS(Tree!$AK:$AK,Tree!$A:$A,'Pre-Harvest Plots_rpt'!$B127,Tree!$B:$B,'Pre-Harvest Plots_rpt'!$D127,Tree!$F:$F,"L")-P127)</f>
        <v/>
      </c>
      <c r="U127" s="122" t="str">
        <f>IF(B127="","",SUMIFS(Tree!$AL:$AL,Tree!$A:$A,'Pre-Harvest Plots_rpt'!$B127,Tree!$B:$B,'Pre-Harvest Plots_rpt'!$D127,Tree!$F:$F,"L")-Q127)</f>
        <v/>
      </c>
      <c r="V127" s="123" t="str">
        <f>IF(B127="","",ROUND(SUMIFS(Tree!$AE:$AE,Tree!$A:$A,'Pre-Harvest Plots_rpt'!$B127,Tree!$B:$B,'Pre-Harvest Plots_rpt'!$D127,Tree!$F:$F,"L")-R127,1))</f>
        <v/>
      </c>
      <c r="W127" s="124" t="str">
        <f>IF(B127="","",SUMIFS(Tree!$AY:$AY,Tree!$A:$A,'Pre-Harvest Plots_rpt'!$B127,Tree!$B:$B,'Pre-Harvest Plots_rpt'!$D127,Tree!$F:$F,"L")/1000)</f>
        <v/>
      </c>
      <c r="X127" s="158" t="str">
        <f>IF(B127="","",ROUND((SUMIFS(Tree!$AW:$AW,Tree!$A:$A,'Pre-Harvest Plots_rpt'!$B127,Tree!$B:$B,'Pre-Harvest Plots_rpt'!$D127,Tree!$F:$F,"L")/1000)-W127,1))</f>
        <v/>
      </c>
      <c r="Y127" s="135"/>
      <c r="Z127" s="161" t="str">
        <f>IF(IF(B127="","",SUMIFS(Tree!$O:$O,Tree!$A:$A,'Pre-Harvest Plots_rpt'!$B127,Tree!$B:$B,'Pre-Harvest Plots_rpt'!$D127,Tree!$F:$F,"D"))=0,"",IF(B127="","",SUMIFS(Tree!$O:$O,Tree!$A:$A,'Pre-Harvest Plots_rpt'!$B127,Tree!$B:$B,'Pre-Harvest Plots_rpt'!$D127,Tree!$F:$F,"D")))</f>
        <v/>
      </c>
      <c r="AA127" s="125" t="str">
        <f t="shared" si="10"/>
        <v/>
      </c>
      <c r="AB127" s="125" t="str">
        <f>IF(Z127="","",SUMIFS(Tree!$R:$R,Tree!$A:$A,'Pre-Harvest Plots_rpt'!$B127,Tree!$B:$B,'Pre-Harvest Plots_rpt'!$D127,Tree!$F:$F,"D"))</f>
        <v/>
      </c>
      <c r="AC127" s="126" t="str">
        <f>IF(Z127="","",SUMIFS(Tree!$AM:$AM,Tree!$A:$A,'Pre-Harvest Plots_rpt'!$B127,Tree!$B:$B,'Pre-Harvest Plots_rpt'!$D127,Tree!$F:$F,"D"))</f>
        <v/>
      </c>
      <c r="AD127" s="162" t="str">
        <f>IF(Z127="","",SUMIFS(Tree!$AW:$AW,Tree!$A:$A,'Pre-Harvest Plots_rpt'!$B127,Tree!$B:$B,'Pre-Harvest Plots_rpt'!$D127,Tree!$F:$F,"D")/1000)</f>
        <v/>
      </c>
      <c r="AE127" s="47"/>
      <c r="AF127" s="4"/>
      <c r="AG127" s="4"/>
      <c r="AH127" s="4"/>
    </row>
    <row r="128" spans="1:34" ht="12.75" customHeight="1" x14ac:dyDescent="0.25">
      <c r="A128" s="48">
        <v>125</v>
      </c>
      <c r="B128" s="171" t="str">
        <f>IF(A128&lt;=SUM(Stand!$H$3:$H$29),VLOOKUP(A128,Stand!$A$3:$C$29,3,TRUE),"")</f>
        <v/>
      </c>
      <c r="C128" s="172" t="str">
        <f t="shared" si="13"/>
        <v/>
      </c>
      <c r="D128" s="173" t="str">
        <f>IF(B128="","",VLOOKUP(B128&amp;C128,Plot!$B$2:$D$199,3,FALSE))</f>
        <v/>
      </c>
      <c r="E128" s="130"/>
      <c r="F128" s="152" t="str">
        <f>IF(B128="","",SUMIFS(Tree!$O:$O,Tree!$A:$A,'Pre-Harvest Plots_rpt'!$B128,Tree!$B:$B,'Pre-Harvest Plots_rpt'!$D128,Tree!$F:$F,"L"))</f>
        <v/>
      </c>
      <c r="G128" s="153" t="str">
        <f>IFERROR(IF(D128="","",SUMIFS(Tree!$P:$P,Tree!$A:$A,'Pre-Harvest Plots_rpt'!$B128,Tree!$B:$B,'Pre-Harvest Plots_rpt'!$D128)/$F128),"")</f>
        <v/>
      </c>
      <c r="H128" s="122" t="str">
        <f t="shared" si="11"/>
        <v/>
      </c>
      <c r="I128" s="121" t="str">
        <f>IF(OR($F128=0,$F128=""),"",SUMIFS(Tree!$R:$R,Tree!$A:$A,'Pre-Harvest Plots_rpt'!$B128,Tree!$B:$B,'Pre-Harvest Plots_rpt'!$D128,Tree!$F:$F,"L"))</f>
        <v/>
      </c>
      <c r="J128" s="121" t="str">
        <f>IF(OR($F128=0,$F128=""),"",IF(SUMIFS(Tree!$W:$W,Tree!$A:$A,'Pre-Harvest Plots_rpt'!$B128,Tree!$B:$B,'Pre-Harvest Plots_rpt'!$D128,Tree!$F:$F,"L")=0,0,AVERAGEIFS(Tree!$W:$W,Tree!$A:$A,'Pre-Harvest Plots_rpt'!$B128,Tree!$B:$B,'Pre-Harvest Plots_rpt'!$D128,Tree!$F:$F,"L")))</f>
        <v/>
      </c>
      <c r="K128" s="121" t="str">
        <f>IF($F128="","",SUMIFS(Tree!$S:$S,Tree!$A:$A,'Pre-Harvest Plots_rpt'!$B128,Tree!$B:$B,'Pre-Harvest Plots_rpt'!$D128,Tree!$F:$F,"L"))</f>
        <v/>
      </c>
      <c r="L128" s="154" t="str">
        <f t="shared" si="12"/>
        <v/>
      </c>
      <c r="M128" s="135"/>
      <c r="N128" s="192" t="str">
        <f>IF(B128="","",SUMIFS(Tree!$AM:$AM,Tree!$A:$A,'Pre-Harvest Plots_rpt'!$B128,Tree!$B:$B,'Pre-Harvest Plots_rpt'!$D128,Tree!$F:$F,"L"))</f>
        <v/>
      </c>
      <c r="O128" s="122" t="str">
        <f>IF(B128="","",SUMIFS(Tree!$AN:$AN,Tree!$A:$A,'Pre-Harvest Plots_rpt'!$B128,Tree!$B:$B,'Pre-Harvest Plots_rpt'!$D128,Tree!$F:$F,"L"))</f>
        <v/>
      </c>
      <c r="P128" s="122" t="str">
        <f>IF(B128="","",SUMIFS(Tree!$AO:$AO,Tree!$A:$A,'Pre-Harvest Plots_rpt'!$B128,Tree!$B:$B,'Pre-Harvest Plots_rpt'!$D128,Tree!$F:$F,"L"))</f>
        <v/>
      </c>
      <c r="Q128" s="122" t="str">
        <f>IF(B128="","",SUMIFS(Tree!$AP:$AP,Tree!$A:$A,'Pre-Harvest Plots_rpt'!$B128,Tree!$B:$B,'Pre-Harvest Plots_rpt'!$D128,Tree!$F:$F,"L"))</f>
        <v/>
      </c>
      <c r="R128" s="123" t="str">
        <f>IF(B128="","",SUMIFS(Tree!$AQ:$AQ,Tree!$A:$A,'Pre-Harvest Plots_rpt'!$B128,Tree!$B:$B,'Pre-Harvest Plots_rpt'!$D128,Tree!$F:$F,"L"))</f>
        <v/>
      </c>
      <c r="S128" s="122" t="str">
        <f>IF(B128="","",SUMIFS(Tree!$AJ:$AJ,Tree!$A:$A,'Pre-Harvest Plots_rpt'!$B128,Tree!$B:$B,'Pre-Harvest Plots_rpt'!$D128,Tree!$F:$F,"L")-O128)</f>
        <v/>
      </c>
      <c r="T128" s="122" t="str">
        <f>IF(B128="","",SUMIFS(Tree!$AK:$AK,Tree!$A:$A,'Pre-Harvest Plots_rpt'!$B128,Tree!$B:$B,'Pre-Harvest Plots_rpt'!$D128,Tree!$F:$F,"L")-P128)</f>
        <v/>
      </c>
      <c r="U128" s="122" t="str">
        <f>IF(B128="","",SUMIFS(Tree!$AL:$AL,Tree!$A:$A,'Pre-Harvest Plots_rpt'!$B128,Tree!$B:$B,'Pre-Harvest Plots_rpt'!$D128,Tree!$F:$F,"L")-Q128)</f>
        <v/>
      </c>
      <c r="V128" s="123" t="str">
        <f>IF(B128="","",ROUND(SUMIFS(Tree!$AE:$AE,Tree!$A:$A,'Pre-Harvest Plots_rpt'!$B128,Tree!$B:$B,'Pre-Harvest Plots_rpt'!$D128,Tree!$F:$F,"L")-R128,1))</f>
        <v/>
      </c>
      <c r="W128" s="124" t="str">
        <f>IF(B128="","",SUMIFS(Tree!$AY:$AY,Tree!$A:$A,'Pre-Harvest Plots_rpt'!$B128,Tree!$B:$B,'Pre-Harvest Plots_rpt'!$D128,Tree!$F:$F,"L")/1000)</f>
        <v/>
      </c>
      <c r="X128" s="158" t="str">
        <f>IF(B128="","",ROUND((SUMIFS(Tree!$AW:$AW,Tree!$A:$A,'Pre-Harvest Plots_rpt'!$B128,Tree!$B:$B,'Pre-Harvest Plots_rpt'!$D128,Tree!$F:$F,"L")/1000)-W128,1))</f>
        <v/>
      </c>
      <c r="Y128" s="135"/>
      <c r="Z128" s="161" t="str">
        <f>IF(IF(B128="","",SUMIFS(Tree!$O:$O,Tree!$A:$A,'Pre-Harvest Plots_rpt'!$B128,Tree!$B:$B,'Pre-Harvest Plots_rpt'!$D128,Tree!$F:$F,"D"))=0,"",IF(B128="","",SUMIFS(Tree!$O:$O,Tree!$A:$A,'Pre-Harvest Plots_rpt'!$B128,Tree!$B:$B,'Pre-Harvest Plots_rpt'!$D128,Tree!$F:$F,"D")))</f>
        <v/>
      </c>
      <c r="AA128" s="125" t="str">
        <f t="shared" si="10"/>
        <v/>
      </c>
      <c r="AB128" s="125" t="str">
        <f>IF(Z128="","",SUMIFS(Tree!$R:$R,Tree!$A:$A,'Pre-Harvest Plots_rpt'!$B128,Tree!$B:$B,'Pre-Harvest Plots_rpt'!$D128,Tree!$F:$F,"D"))</f>
        <v/>
      </c>
      <c r="AC128" s="126" t="str">
        <f>IF(Z128="","",SUMIFS(Tree!$AM:$AM,Tree!$A:$A,'Pre-Harvest Plots_rpt'!$B128,Tree!$B:$B,'Pre-Harvest Plots_rpt'!$D128,Tree!$F:$F,"D"))</f>
        <v/>
      </c>
      <c r="AD128" s="162" t="str">
        <f>IF(Z128="","",SUMIFS(Tree!$AW:$AW,Tree!$A:$A,'Pre-Harvest Plots_rpt'!$B128,Tree!$B:$B,'Pre-Harvest Plots_rpt'!$D128,Tree!$F:$F,"D")/1000)</f>
        <v/>
      </c>
      <c r="AE128" s="47"/>
      <c r="AF128" s="4"/>
      <c r="AG128" s="4"/>
      <c r="AH128" s="4"/>
    </row>
    <row r="129" spans="1:34" ht="12.75" customHeight="1" x14ac:dyDescent="0.25">
      <c r="A129" s="48">
        <v>126</v>
      </c>
      <c r="B129" s="171" t="str">
        <f>IF(A129&lt;=SUM(Stand!$H$3:$H$29),VLOOKUP(A129,Stand!$A$3:$C$29,3,TRUE),"")</f>
        <v/>
      </c>
      <c r="C129" s="172" t="str">
        <f t="shared" si="13"/>
        <v/>
      </c>
      <c r="D129" s="173" t="str">
        <f>IF(B129="","",VLOOKUP(B129&amp;C129,Plot!$B$2:$D$199,3,FALSE))</f>
        <v/>
      </c>
      <c r="E129" s="130"/>
      <c r="F129" s="152" t="str">
        <f>IF(B129="","",SUMIFS(Tree!$O:$O,Tree!$A:$A,'Pre-Harvest Plots_rpt'!$B129,Tree!$B:$B,'Pre-Harvest Plots_rpt'!$D129,Tree!$F:$F,"L"))</f>
        <v/>
      </c>
      <c r="G129" s="153" t="str">
        <f>IFERROR(IF(D129="","",SUMIFS(Tree!$P:$P,Tree!$A:$A,'Pre-Harvest Plots_rpt'!$B129,Tree!$B:$B,'Pre-Harvest Plots_rpt'!$D129)/$F129),"")</f>
        <v/>
      </c>
      <c r="H129" s="122" t="str">
        <f t="shared" si="11"/>
        <v/>
      </c>
      <c r="I129" s="121" t="str">
        <f>IF(OR($F129=0,$F129=""),"",SUMIFS(Tree!$R:$R,Tree!$A:$A,'Pre-Harvest Plots_rpt'!$B129,Tree!$B:$B,'Pre-Harvest Plots_rpt'!$D129,Tree!$F:$F,"L"))</f>
        <v/>
      </c>
      <c r="J129" s="121" t="str">
        <f>IF(OR($F129=0,$F129=""),"",IF(SUMIFS(Tree!$W:$W,Tree!$A:$A,'Pre-Harvest Plots_rpt'!$B129,Tree!$B:$B,'Pre-Harvest Plots_rpt'!$D129,Tree!$F:$F,"L")=0,0,AVERAGEIFS(Tree!$W:$W,Tree!$A:$A,'Pre-Harvest Plots_rpt'!$B129,Tree!$B:$B,'Pre-Harvest Plots_rpt'!$D129,Tree!$F:$F,"L")))</f>
        <v/>
      </c>
      <c r="K129" s="121" t="str">
        <f>IF($F129="","",SUMIFS(Tree!$S:$S,Tree!$A:$A,'Pre-Harvest Plots_rpt'!$B129,Tree!$B:$B,'Pre-Harvest Plots_rpt'!$D129,Tree!$F:$F,"L"))</f>
        <v/>
      </c>
      <c r="L129" s="154" t="str">
        <f t="shared" si="12"/>
        <v/>
      </c>
      <c r="M129" s="135"/>
      <c r="N129" s="192" t="str">
        <f>IF(B129="","",SUMIFS(Tree!$AM:$AM,Tree!$A:$A,'Pre-Harvest Plots_rpt'!$B129,Tree!$B:$B,'Pre-Harvest Plots_rpt'!$D129,Tree!$F:$F,"L"))</f>
        <v/>
      </c>
      <c r="O129" s="122" t="str">
        <f>IF(B129="","",SUMIFS(Tree!$AN:$AN,Tree!$A:$A,'Pre-Harvest Plots_rpt'!$B129,Tree!$B:$B,'Pre-Harvest Plots_rpt'!$D129,Tree!$F:$F,"L"))</f>
        <v/>
      </c>
      <c r="P129" s="122" t="str">
        <f>IF(B129="","",SUMIFS(Tree!$AO:$AO,Tree!$A:$A,'Pre-Harvest Plots_rpt'!$B129,Tree!$B:$B,'Pre-Harvest Plots_rpt'!$D129,Tree!$F:$F,"L"))</f>
        <v/>
      </c>
      <c r="Q129" s="122" t="str">
        <f>IF(B129="","",SUMIFS(Tree!$AP:$AP,Tree!$A:$A,'Pre-Harvest Plots_rpt'!$B129,Tree!$B:$B,'Pre-Harvest Plots_rpt'!$D129,Tree!$F:$F,"L"))</f>
        <v/>
      </c>
      <c r="R129" s="123" t="str">
        <f>IF(B129="","",SUMIFS(Tree!$AQ:$AQ,Tree!$A:$A,'Pre-Harvest Plots_rpt'!$B129,Tree!$B:$B,'Pre-Harvest Plots_rpt'!$D129,Tree!$F:$F,"L"))</f>
        <v/>
      </c>
      <c r="S129" s="122" t="str">
        <f>IF(B129="","",SUMIFS(Tree!$AJ:$AJ,Tree!$A:$A,'Pre-Harvest Plots_rpt'!$B129,Tree!$B:$B,'Pre-Harvest Plots_rpt'!$D129,Tree!$F:$F,"L")-O129)</f>
        <v/>
      </c>
      <c r="T129" s="122" t="str">
        <f>IF(B129="","",SUMIFS(Tree!$AK:$AK,Tree!$A:$A,'Pre-Harvest Plots_rpt'!$B129,Tree!$B:$B,'Pre-Harvest Plots_rpt'!$D129,Tree!$F:$F,"L")-P129)</f>
        <v/>
      </c>
      <c r="U129" s="122" t="str">
        <f>IF(B129="","",SUMIFS(Tree!$AL:$AL,Tree!$A:$A,'Pre-Harvest Plots_rpt'!$B129,Tree!$B:$B,'Pre-Harvest Plots_rpt'!$D129,Tree!$F:$F,"L")-Q129)</f>
        <v/>
      </c>
      <c r="V129" s="123" t="str">
        <f>IF(B129="","",ROUND(SUMIFS(Tree!$AE:$AE,Tree!$A:$A,'Pre-Harvest Plots_rpt'!$B129,Tree!$B:$B,'Pre-Harvest Plots_rpt'!$D129,Tree!$F:$F,"L")-R129,1))</f>
        <v/>
      </c>
      <c r="W129" s="124" t="str">
        <f>IF(B129="","",SUMIFS(Tree!$AY:$AY,Tree!$A:$A,'Pre-Harvest Plots_rpt'!$B129,Tree!$B:$B,'Pre-Harvest Plots_rpt'!$D129,Tree!$F:$F,"L")/1000)</f>
        <v/>
      </c>
      <c r="X129" s="158" t="str">
        <f>IF(B129="","",ROUND((SUMIFS(Tree!$AW:$AW,Tree!$A:$A,'Pre-Harvest Plots_rpt'!$B129,Tree!$B:$B,'Pre-Harvest Plots_rpt'!$D129,Tree!$F:$F,"L")/1000)-W129,1))</f>
        <v/>
      </c>
      <c r="Y129" s="135"/>
      <c r="Z129" s="161" t="str">
        <f>IF(IF(B129="","",SUMIFS(Tree!$O:$O,Tree!$A:$A,'Pre-Harvest Plots_rpt'!$B129,Tree!$B:$B,'Pre-Harvest Plots_rpt'!$D129,Tree!$F:$F,"D"))=0,"",IF(B129="","",SUMIFS(Tree!$O:$O,Tree!$A:$A,'Pre-Harvest Plots_rpt'!$B129,Tree!$B:$B,'Pre-Harvest Plots_rpt'!$D129,Tree!$F:$F,"D")))</f>
        <v/>
      </c>
      <c r="AA129" s="125" t="str">
        <f t="shared" si="10"/>
        <v/>
      </c>
      <c r="AB129" s="125" t="str">
        <f>IF(Z129="","",SUMIFS(Tree!$R:$R,Tree!$A:$A,'Pre-Harvest Plots_rpt'!$B129,Tree!$B:$B,'Pre-Harvest Plots_rpt'!$D129,Tree!$F:$F,"D"))</f>
        <v/>
      </c>
      <c r="AC129" s="126" t="str">
        <f>IF(Z129="","",SUMIFS(Tree!$AM:$AM,Tree!$A:$A,'Pre-Harvest Plots_rpt'!$B129,Tree!$B:$B,'Pre-Harvest Plots_rpt'!$D129,Tree!$F:$F,"D"))</f>
        <v/>
      </c>
      <c r="AD129" s="162" t="str">
        <f>IF(Z129="","",SUMIFS(Tree!$AW:$AW,Tree!$A:$A,'Pre-Harvest Plots_rpt'!$B129,Tree!$B:$B,'Pre-Harvest Plots_rpt'!$D129,Tree!$F:$F,"D")/1000)</f>
        <v/>
      </c>
      <c r="AE129" s="47"/>
      <c r="AF129" s="4"/>
      <c r="AG129" s="4"/>
      <c r="AH129" s="4"/>
    </row>
    <row r="130" spans="1:34" ht="12.75" customHeight="1" x14ac:dyDescent="0.25">
      <c r="A130" s="48">
        <v>127</v>
      </c>
      <c r="B130" s="171" t="str">
        <f>IF(A130&lt;=SUM(Stand!$H$3:$H$29),VLOOKUP(A130,Stand!$A$3:$C$29,3,TRUE),"")</f>
        <v/>
      </c>
      <c r="C130" s="172" t="str">
        <f t="shared" si="13"/>
        <v/>
      </c>
      <c r="D130" s="173" t="str">
        <f>IF(B130="","",VLOOKUP(B130&amp;C130,Plot!$B$2:$D$199,3,FALSE))</f>
        <v/>
      </c>
      <c r="E130" s="130"/>
      <c r="F130" s="152" t="str">
        <f>IF(B130="","",SUMIFS(Tree!$O:$O,Tree!$A:$A,'Pre-Harvest Plots_rpt'!$B130,Tree!$B:$B,'Pre-Harvest Plots_rpt'!$D130,Tree!$F:$F,"L"))</f>
        <v/>
      </c>
      <c r="G130" s="153" t="str">
        <f>IFERROR(IF(D130="","",SUMIFS(Tree!$P:$P,Tree!$A:$A,'Pre-Harvest Plots_rpt'!$B130,Tree!$B:$B,'Pre-Harvest Plots_rpt'!$D130)/$F130),"")</f>
        <v/>
      </c>
      <c r="H130" s="122" t="str">
        <f t="shared" si="11"/>
        <v/>
      </c>
      <c r="I130" s="121" t="str">
        <f>IF(OR($F130=0,$F130=""),"",SUMIFS(Tree!$R:$R,Tree!$A:$A,'Pre-Harvest Plots_rpt'!$B130,Tree!$B:$B,'Pre-Harvest Plots_rpt'!$D130,Tree!$F:$F,"L"))</f>
        <v/>
      </c>
      <c r="J130" s="121" t="str">
        <f>IF(OR($F130=0,$F130=""),"",IF(SUMIFS(Tree!$W:$W,Tree!$A:$A,'Pre-Harvest Plots_rpt'!$B130,Tree!$B:$B,'Pre-Harvest Plots_rpt'!$D130,Tree!$F:$F,"L")=0,0,AVERAGEIFS(Tree!$W:$W,Tree!$A:$A,'Pre-Harvest Plots_rpt'!$B130,Tree!$B:$B,'Pre-Harvest Plots_rpt'!$D130,Tree!$F:$F,"L")))</f>
        <v/>
      </c>
      <c r="K130" s="121" t="str">
        <f>IF($F130="","",SUMIFS(Tree!$S:$S,Tree!$A:$A,'Pre-Harvest Plots_rpt'!$B130,Tree!$B:$B,'Pre-Harvest Plots_rpt'!$D130,Tree!$F:$F,"L"))</f>
        <v/>
      </c>
      <c r="L130" s="154" t="str">
        <f t="shared" si="12"/>
        <v/>
      </c>
      <c r="M130" s="135"/>
      <c r="N130" s="192" t="str">
        <f>IF(B130="","",SUMIFS(Tree!$AM:$AM,Tree!$A:$A,'Pre-Harvest Plots_rpt'!$B130,Tree!$B:$B,'Pre-Harvest Plots_rpt'!$D130,Tree!$F:$F,"L"))</f>
        <v/>
      </c>
      <c r="O130" s="122" t="str">
        <f>IF(B130="","",SUMIFS(Tree!$AN:$AN,Tree!$A:$A,'Pre-Harvest Plots_rpt'!$B130,Tree!$B:$B,'Pre-Harvest Plots_rpt'!$D130,Tree!$F:$F,"L"))</f>
        <v/>
      </c>
      <c r="P130" s="122" t="str">
        <f>IF(B130="","",SUMIFS(Tree!$AO:$AO,Tree!$A:$A,'Pre-Harvest Plots_rpt'!$B130,Tree!$B:$B,'Pre-Harvest Plots_rpt'!$D130,Tree!$F:$F,"L"))</f>
        <v/>
      </c>
      <c r="Q130" s="122" t="str">
        <f>IF(B130="","",SUMIFS(Tree!$AP:$AP,Tree!$A:$A,'Pre-Harvest Plots_rpt'!$B130,Tree!$B:$B,'Pre-Harvest Plots_rpt'!$D130,Tree!$F:$F,"L"))</f>
        <v/>
      </c>
      <c r="R130" s="123" t="str">
        <f>IF(B130="","",SUMIFS(Tree!$AQ:$AQ,Tree!$A:$A,'Pre-Harvest Plots_rpt'!$B130,Tree!$B:$B,'Pre-Harvest Plots_rpt'!$D130,Tree!$F:$F,"L"))</f>
        <v/>
      </c>
      <c r="S130" s="122" t="str">
        <f>IF(B130="","",SUMIFS(Tree!$AJ:$AJ,Tree!$A:$A,'Pre-Harvest Plots_rpt'!$B130,Tree!$B:$B,'Pre-Harvest Plots_rpt'!$D130,Tree!$F:$F,"L")-O130)</f>
        <v/>
      </c>
      <c r="T130" s="122" t="str">
        <f>IF(B130="","",SUMIFS(Tree!$AK:$AK,Tree!$A:$A,'Pre-Harvest Plots_rpt'!$B130,Tree!$B:$B,'Pre-Harvest Plots_rpt'!$D130,Tree!$F:$F,"L")-P130)</f>
        <v/>
      </c>
      <c r="U130" s="122" t="str">
        <f>IF(B130="","",SUMIFS(Tree!$AL:$AL,Tree!$A:$A,'Pre-Harvest Plots_rpt'!$B130,Tree!$B:$B,'Pre-Harvest Plots_rpt'!$D130,Tree!$F:$F,"L")-Q130)</f>
        <v/>
      </c>
      <c r="V130" s="123" t="str">
        <f>IF(B130="","",ROUND(SUMIFS(Tree!$AE:$AE,Tree!$A:$A,'Pre-Harvest Plots_rpt'!$B130,Tree!$B:$B,'Pre-Harvest Plots_rpt'!$D130,Tree!$F:$F,"L")-R130,1))</f>
        <v/>
      </c>
      <c r="W130" s="124" t="str">
        <f>IF(B130="","",SUMIFS(Tree!$AY:$AY,Tree!$A:$A,'Pre-Harvest Plots_rpt'!$B130,Tree!$B:$B,'Pre-Harvest Plots_rpt'!$D130,Tree!$F:$F,"L")/1000)</f>
        <v/>
      </c>
      <c r="X130" s="158" t="str">
        <f>IF(B130="","",ROUND((SUMIFS(Tree!$AW:$AW,Tree!$A:$A,'Pre-Harvest Plots_rpt'!$B130,Tree!$B:$B,'Pre-Harvest Plots_rpt'!$D130,Tree!$F:$F,"L")/1000)-W130,1))</f>
        <v/>
      </c>
      <c r="Y130" s="135"/>
      <c r="Z130" s="161" t="str">
        <f>IF(IF(B130="","",SUMIFS(Tree!$O:$O,Tree!$A:$A,'Pre-Harvest Plots_rpt'!$B130,Tree!$B:$B,'Pre-Harvest Plots_rpt'!$D130,Tree!$F:$F,"D"))=0,"",IF(B130="","",SUMIFS(Tree!$O:$O,Tree!$A:$A,'Pre-Harvest Plots_rpt'!$B130,Tree!$B:$B,'Pre-Harvest Plots_rpt'!$D130,Tree!$F:$F,"D")))</f>
        <v/>
      </c>
      <c r="AA130" s="125" t="str">
        <f t="shared" si="10"/>
        <v/>
      </c>
      <c r="AB130" s="125" t="str">
        <f>IF(Z130="","",SUMIFS(Tree!$R:$R,Tree!$A:$A,'Pre-Harvest Plots_rpt'!$B130,Tree!$B:$B,'Pre-Harvest Plots_rpt'!$D130,Tree!$F:$F,"D"))</f>
        <v/>
      </c>
      <c r="AC130" s="126" t="str">
        <f>IF(Z130="","",SUMIFS(Tree!$AM:$AM,Tree!$A:$A,'Pre-Harvest Plots_rpt'!$B130,Tree!$B:$B,'Pre-Harvest Plots_rpt'!$D130,Tree!$F:$F,"D"))</f>
        <v/>
      </c>
      <c r="AD130" s="162" t="str">
        <f>IF(Z130="","",SUMIFS(Tree!$AW:$AW,Tree!$A:$A,'Pre-Harvest Plots_rpt'!$B130,Tree!$B:$B,'Pre-Harvest Plots_rpt'!$D130,Tree!$F:$F,"D")/1000)</f>
        <v/>
      </c>
      <c r="AE130" s="47"/>
      <c r="AF130" s="4"/>
      <c r="AG130" s="4"/>
      <c r="AH130" s="4"/>
    </row>
    <row r="131" spans="1:34" ht="12.75" customHeight="1" x14ac:dyDescent="0.25">
      <c r="A131" s="48">
        <v>128</v>
      </c>
      <c r="B131" s="171" t="str">
        <f>IF(A131&lt;=SUM(Stand!$H$3:$H$29),VLOOKUP(A131,Stand!$A$3:$C$29,3,TRUE),"")</f>
        <v/>
      </c>
      <c r="C131" s="172" t="str">
        <f t="shared" si="13"/>
        <v/>
      </c>
      <c r="D131" s="173" t="str">
        <f>IF(B131="","",VLOOKUP(B131&amp;C131,Plot!$B$2:$D$199,3,FALSE))</f>
        <v/>
      </c>
      <c r="E131" s="130"/>
      <c r="F131" s="152" t="str">
        <f>IF(B131="","",SUMIFS(Tree!$O:$O,Tree!$A:$A,'Pre-Harvest Plots_rpt'!$B131,Tree!$B:$B,'Pre-Harvest Plots_rpt'!$D131,Tree!$F:$F,"L"))</f>
        <v/>
      </c>
      <c r="G131" s="153" t="str">
        <f>IFERROR(IF(D131="","",SUMIFS(Tree!$P:$P,Tree!$A:$A,'Pre-Harvest Plots_rpt'!$B131,Tree!$B:$B,'Pre-Harvest Plots_rpt'!$D131)/$F131),"")</f>
        <v/>
      </c>
      <c r="H131" s="122" t="str">
        <f t="shared" si="11"/>
        <v/>
      </c>
      <c r="I131" s="121" t="str">
        <f>IF(OR($F131=0,$F131=""),"",SUMIFS(Tree!$R:$R,Tree!$A:$A,'Pre-Harvest Plots_rpt'!$B131,Tree!$B:$B,'Pre-Harvest Plots_rpt'!$D131,Tree!$F:$F,"L"))</f>
        <v/>
      </c>
      <c r="J131" s="121" t="str">
        <f>IF(OR($F131=0,$F131=""),"",IF(SUMIFS(Tree!$W:$W,Tree!$A:$A,'Pre-Harvest Plots_rpt'!$B131,Tree!$B:$B,'Pre-Harvest Plots_rpt'!$D131,Tree!$F:$F,"L")=0,0,AVERAGEIFS(Tree!$W:$W,Tree!$A:$A,'Pre-Harvest Plots_rpt'!$B131,Tree!$B:$B,'Pre-Harvest Plots_rpt'!$D131,Tree!$F:$F,"L")))</f>
        <v/>
      </c>
      <c r="K131" s="121" t="str">
        <f>IF($F131="","",SUMIFS(Tree!$S:$S,Tree!$A:$A,'Pre-Harvest Plots_rpt'!$B131,Tree!$B:$B,'Pre-Harvest Plots_rpt'!$D131,Tree!$F:$F,"L"))</f>
        <v/>
      </c>
      <c r="L131" s="154" t="str">
        <f t="shared" si="12"/>
        <v/>
      </c>
      <c r="M131" s="135"/>
      <c r="N131" s="192" t="str">
        <f>IF(B131="","",SUMIFS(Tree!$AM:$AM,Tree!$A:$A,'Pre-Harvest Plots_rpt'!$B131,Tree!$B:$B,'Pre-Harvest Plots_rpt'!$D131,Tree!$F:$F,"L"))</f>
        <v/>
      </c>
      <c r="O131" s="122" t="str">
        <f>IF(B131="","",SUMIFS(Tree!$AN:$AN,Tree!$A:$A,'Pre-Harvest Plots_rpt'!$B131,Tree!$B:$B,'Pre-Harvest Plots_rpt'!$D131,Tree!$F:$F,"L"))</f>
        <v/>
      </c>
      <c r="P131" s="122" t="str">
        <f>IF(B131="","",SUMIFS(Tree!$AO:$AO,Tree!$A:$A,'Pre-Harvest Plots_rpt'!$B131,Tree!$B:$B,'Pre-Harvest Plots_rpt'!$D131,Tree!$F:$F,"L"))</f>
        <v/>
      </c>
      <c r="Q131" s="122" t="str">
        <f>IF(B131="","",SUMIFS(Tree!$AP:$AP,Tree!$A:$A,'Pre-Harvest Plots_rpt'!$B131,Tree!$B:$B,'Pre-Harvest Plots_rpt'!$D131,Tree!$F:$F,"L"))</f>
        <v/>
      </c>
      <c r="R131" s="123" t="str">
        <f>IF(B131="","",SUMIFS(Tree!$AQ:$AQ,Tree!$A:$A,'Pre-Harvest Plots_rpt'!$B131,Tree!$B:$B,'Pre-Harvest Plots_rpt'!$D131,Tree!$F:$F,"L"))</f>
        <v/>
      </c>
      <c r="S131" s="122" t="str">
        <f>IF(B131="","",SUMIFS(Tree!$AJ:$AJ,Tree!$A:$A,'Pre-Harvest Plots_rpt'!$B131,Tree!$B:$B,'Pre-Harvest Plots_rpt'!$D131,Tree!$F:$F,"L")-O131)</f>
        <v/>
      </c>
      <c r="T131" s="122" t="str">
        <f>IF(B131="","",SUMIFS(Tree!$AK:$AK,Tree!$A:$A,'Pre-Harvest Plots_rpt'!$B131,Tree!$B:$B,'Pre-Harvest Plots_rpt'!$D131,Tree!$F:$F,"L")-P131)</f>
        <v/>
      </c>
      <c r="U131" s="122" t="str">
        <f>IF(B131="","",SUMIFS(Tree!$AL:$AL,Tree!$A:$A,'Pre-Harvest Plots_rpt'!$B131,Tree!$B:$B,'Pre-Harvest Plots_rpt'!$D131,Tree!$F:$F,"L")-Q131)</f>
        <v/>
      </c>
      <c r="V131" s="123" t="str">
        <f>IF(B131="","",ROUND(SUMIFS(Tree!$AE:$AE,Tree!$A:$A,'Pre-Harvest Plots_rpt'!$B131,Tree!$B:$B,'Pre-Harvest Plots_rpt'!$D131,Tree!$F:$F,"L")-R131,1))</f>
        <v/>
      </c>
      <c r="W131" s="124" t="str">
        <f>IF(B131="","",SUMIFS(Tree!$AY:$AY,Tree!$A:$A,'Pre-Harvest Plots_rpt'!$B131,Tree!$B:$B,'Pre-Harvest Plots_rpt'!$D131,Tree!$F:$F,"L")/1000)</f>
        <v/>
      </c>
      <c r="X131" s="158" t="str">
        <f>IF(B131="","",ROUND((SUMIFS(Tree!$AW:$AW,Tree!$A:$A,'Pre-Harvest Plots_rpt'!$B131,Tree!$B:$B,'Pre-Harvest Plots_rpt'!$D131,Tree!$F:$F,"L")/1000)-W131,1))</f>
        <v/>
      </c>
      <c r="Y131" s="135"/>
      <c r="Z131" s="161" t="str">
        <f>IF(IF(B131="","",SUMIFS(Tree!$O:$O,Tree!$A:$A,'Pre-Harvest Plots_rpt'!$B131,Tree!$B:$B,'Pre-Harvest Plots_rpt'!$D131,Tree!$F:$F,"D"))=0,"",IF(B131="","",SUMIFS(Tree!$O:$O,Tree!$A:$A,'Pre-Harvest Plots_rpt'!$B131,Tree!$B:$B,'Pre-Harvest Plots_rpt'!$D131,Tree!$F:$F,"D")))</f>
        <v/>
      </c>
      <c r="AA131" s="125" t="str">
        <f t="shared" si="10"/>
        <v/>
      </c>
      <c r="AB131" s="125" t="str">
        <f>IF(Z131="","",SUMIFS(Tree!$R:$R,Tree!$A:$A,'Pre-Harvest Plots_rpt'!$B131,Tree!$B:$B,'Pre-Harvest Plots_rpt'!$D131,Tree!$F:$F,"D"))</f>
        <v/>
      </c>
      <c r="AC131" s="126" t="str">
        <f>IF(Z131="","",SUMIFS(Tree!$AM:$AM,Tree!$A:$A,'Pre-Harvest Plots_rpt'!$B131,Tree!$B:$B,'Pre-Harvest Plots_rpt'!$D131,Tree!$F:$F,"D"))</f>
        <v/>
      </c>
      <c r="AD131" s="162" t="str">
        <f>IF(Z131="","",SUMIFS(Tree!$AW:$AW,Tree!$A:$A,'Pre-Harvest Plots_rpt'!$B131,Tree!$B:$B,'Pre-Harvest Plots_rpt'!$D131,Tree!$F:$F,"D")/1000)</f>
        <v/>
      </c>
      <c r="AE131" s="47"/>
      <c r="AF131" s="4"/>
      <c r="AG131" s="4"/>
      <c r="AH131" s="4"/>
    </row>
    <row r="132" spans="1:34" ht="12.75" customHeight="1" x14ac:dyDescent="0.25">
      <c r="A132" s="48">
        <v>129</v>
      </c>
      <c r="B132" s="171" t="str">
        <f>IF(A132&lt;=SUM(Stand!$H$3:$H$29),VLOOKUP(A132,Stand!$A$3:$C$29,3,TRUE),"")</f>
        <v/>
      </c>
      <c r="C132" s="172" t="str">
        <f t="shared" si="13"/>
        <v/>
      </c>
      <c r="D132" s="173" t="str">
        <f>IF(B132="","",VLOOKUP(B132&amp;C132,Plot!$B$2:$D$199,3,FALSE))</f>
        <v/>
      </c>
      <c r="E132" s="130"/>
      <c r="F132" s="152" t="str">
        <f>IF(B132="","",SUMIFS(Tree!$O:$O,Tree!$A:$A,'Pre-Harvest Plots_rpt'!$B132,Tree!$B:$B,'Pre-Harvest Plots_rpt'!$D132,Tree!$F:$F,"L"))</f>
        <v/>
      </c>
      <c r="G132" s="153" t="str">
        <f>IFERROR(IF(D132="","",SUMIFS(Tree!$P:$P,Tree!$A:$A,'Pre-Harvest Plots_rpt'!$B132,Tree!$B:$B,'Pre-Harvest Plots_rpt'!$D132)/$F132),"")</f>
        <v/>
      </c>
      <c r="H132" s="122" t="str">
        <f t="shared" si="11"/>
        <v/>
      </c>
      <c r="I132" s="121" t="str">
        <f>IF(OR($F132=0,$F132=""),"",SUMIFS(Tree!$R:$R,Tree!$A:$A,'Pre-Harvest Plots_rpt'!$B132,Tree!$B:$B,'Pre-Harvest Plots_rpt'!$D132,Tree!$F:$F,"L"))</f>
        <v/>
      </c>
      <c r="J132" s="121" t="str">
        <f>IF(OR($F132=0,$F132=""),"",IF(SUMIFS(Tree!$W:$W,Tree!$A:$A,'Pre-Harvest Plots_rpt'!$B132,Tree!$B:$B,'Pre-Harvest Plots_rpt'!$D132,Tree!$F:$F,"L")=0,0,AVERAGEIFS(Tree!$W:$W,Tree!$A:$A,'Pre-Harvest Plots_rpt'!$B132,Tree!$B:$B,'Pre-Harvest Plots_rpt'!$D132,Tree!$F:$F,"L")))</f>
        <v/>
      </c>
      <c r="K132" s="121" t="str">
        <f>IF($F132="","",SUMIFS(Tree!$S:$S,Tree!$A:$A,'Pre-Harvest Plots_rpt'!$B132,Tree!$B:$B,'Pre-Harvest Plots_rpt'!$D132,Tree!$F:$F,"L"))</f>
        <v/>
      </c>
      <c r="L132" s="154" t="str">
        <f t="shared" si="12"/>
        <v/>
      </c>
      <c r="M132" s="135"/>
      <c r="N132" s="192" t="str">
        <f>IF(B132="","",SUMIFS(Tree!$AM:$AM,Tree!$A:$A,'Pre-Harvest Plots_rpt'!$B132,Tree!$B:$B,'Pre-Harvest Plots_rpt'!$D132,Tree!$F:$F,"L"))</f>
        <v/>
      </c>
      <c r="O132" s="122" t="str">
        <f>IF(B132="","",SUMIFS(Tree!$AN:$AN,Tree!$A:$A,'Pre-Harvest Plots_rpt'!$B132,Tree!$B:$B,'Pre-Harvest Plots_rpt'!$D132,Tree!$F:$F,"L"))</f>
        <v/>
      </c>
      <c r="P132" s="122" t="str">
        <f>IF(B132="","",SUMIFS(Tree!$AO:$AO,Tree!$A:$A,'Pre-Harvest Plots_rpt'!$B132,Tree!$B:$B,'Pre-Harvest Plots_rpt'!$D132,Tree!$F:$F,"L"))</f>
        <v/>
      </c>
      <c r="Q132" s="122" t="str">
        <f>IF(B132="","",SUMIFS(Tree!$AP:$AP,Tree!$A:$A,'Pre-Harvest Plots_rpt'!$B132,Tree!$B:$B,'Pre-Harvest Plots_rpt'!$D132,Tree!$F:$F,"L"))</f>
        <v/>
      </c>
      <c r="R132" s="123" t="str">
        <f>IF(B132="","",SUMIFS(Tree!$AQ:$AQ,Tree!$A:$A,'Pre-Harvest Plots_rpt'!$B132,Tree!$B:$B,'Pre-Harvest Plots_rpt'!$D132,Tree!$F:$F,"L"))</f>
        <v/>
      </c>
      <c r="S132" s="122" t="str">
        <f>IF(B132="","",SUMIFS(Tree!$AJ:$AJ,Tree!$A:$A,'Pre-Harvest Plots_rpt'!$B132,Tree!$B:$B,'Pre-Harvest Plots_rpt'!$D132,Tree!$F:$F,"L")-O132)</f>
        <v/>
      </c>
      <c r="T132" s="122" t="str">
        <f>IF(B132="","",SUMIFS(Tree!$AK:$AK,Tree!$A:$A,'Pre-Harvest Plots_rpt'!$B132,Tree!$B:$B,'Pre-Harvest Plots_rpt'!$D132,Tree!$F:$F,"L")-P132)</f>
        <v/>
      </c>
      <c r="U132" s="122" t="str">
        <f>IF(B132="","",SUMIFS(Tree!$AL:$AL,Tree!$A:$A,'Pre-Harvest Plots_rpt'!$B132,Tree!$B:$B,'Pre-Harvest Plots_rpt'!$D132,Tree!$F:$F,"L")-Q132)</f>
        <v/>
      </c>
      <c r="V132" s="123" t="str">
        <f>IF(B132="","",ROUND(SUMIFS(Tree!$AE:$AE,Tree!$A:$A,'Pre-Harvest Plots_rpt'!$B132,Tree!$B:$B,'Pre-Harvest Plots_rpt'!$D132,Tree!$F:$F,"L")-R132,1))</f>
        <v/>
      </c>
      <c r="W132" s="124" t="str">
        <f>IF(B132="","",SUMIFS(Tree!$AY:$AY,Tree!$A:$A,'Pre-Harvest Plots_rpt'!$B132,Tree!$B:$B,'Pre-Harvest Plots_rpt'!$D132,Tree!$F:$F,"L")/1000)</f>
        <v/>
      </c>
      <c r="X132" s="158" t="str">
        <f>IF(B132="","",ROUND((SUMIFS(Tree!$AW:$AW,Tree!$A:$A,'Pre-Harvest Plots_rpt'!$B132,Tree!$B:$B,'Pre-Harvest Plots_rpt'!$D132,Tree!$F:$F,"L")/1000)-W132,1))</f>
        <v/>
      </c>
      <c r="Y132" s="135"/>
      <c r="Z132" s="161" t="str">
        <f>IF(IF(B132="","",SUMIFS(Tree!$O:$O,Tree!$A:$A,'Pre-Harvest Plots_rpt'!$B132,Tree!$B:$B,'Pre-Harvest Plots_rpt'!$D132,Tree!$F:$F,"D"))=0,"",IF(B132="","",SUMIFS(Tree!$O:$O,Tree!$A:$A,'Pre-Harvest Plots_rpt'!$B132,Tree!$B:$B,'Pre-Harvest Plots_rpt'!$D132,Tree!$F:$F,"D")))</f>
        <v/>
      </c>
      <c r="AA132" s="125" t="str">
        <f t="shared" si="10"/>
        <v/>
      </c>
      <c r="AB132" s="125" t="str">
        <f>IF(Z132="","",SUMIFS(Tree!$R:$R,Tree!$A:$A,'Pre-Harvest Plots_rpt'!$B132,Tree!$B:$B,'Pre-Harvest Plots_rpt'!$D132,Tree!$F:$F,"D"))</f>
        <v/>
      </c>
      <c r="AC132" s="126" t="str">
        <f>IF(Z132="","",SUMIFS(Tree!$AM:$AM,Tree!$A:$A,'Pre-Harvest Plots_rpt'!$B132,Tree!$B:$B,'Pre-Harvest Plots_rpt'!$D132,Tree!$F:$F,"D"))</f>
        <v/>
      </c>
      <c r="AD132" s="162" t="str">
        <f>IF(Z132="","",SUMIFS(Tree!$AW:$AW,Tree!$A:$A,'Pre-Harvest Plots_rpt'!$B132,Tree!$B:$B,'Pre-Harvest Plots_rpt'!$D132,Tree!$F:$F,"D")/1000)</f>
        <v/>
      </c>
      <c r="AE132" s="47"/>
      <c r="AF132" s="4"/>
      <c r="AG132" s="4"/>
      <c r="AH132" s="4"/>
    </row>
    <row r="133" spans="1:34" ht="12.75" customHeight="1" x14ac:dyDescent="0.25">
      <c r="A133" s="48">
        <v>130</v>
      </c>
      <c r="B133" s="171" t="str">
        <f>IF(A133&lt;=SUM(Stand!$H$3:$H$29),VLOOKUP(A133,Stand!$A$3:$C$29,3,TRUE),"")</f>
        <v/>
      </c>
      <c r="C133" s="172" t="str">
        <f t="shared" si="13"/>
        <v/>
      </c>
      <c r="D133" s="173" t="str">
        <f>IF(B133="","",VLOOKUP(B133&amp;C133,Plot!$B$2:$D$199,3,FALSE))</f>
        <v/>
      </c>
      <c r="E133" s="130"/>
      <c r="F133" s="152" t="str">
        <f>IF(B133="","",SUMIFS(Tree!$O:$O,Tree!$A:$A,'Pre-Harvest Plots_rpt'!$B133,Tree!$B:$B,'Pre-Harvest Plots_rpt'!$D133,Tree!$F:$F,"L"))</f>
        <v/>
      </c>
      <c r="G133" s="153" t="str">
        <f>IFERROR(IF(D133="","",SUMIFS(Tree!$P:$P,Tree!$A:$A,'Pre-Harvest Plots_rpt'!$B133,Tree!$B:$B,'Pre-Harvest Plots_rpt'!$D133)/$F133),"")</f>
        <v/>
      </c>
      <c r="H133" s="122" t="str">
        <f t="shared" si="11"/>
        <v/>
      </c>
      <c r="I133" s="121" t="str">
        <f>IF(OR($F133=0,$F133=""),"",SUMIFS(Tree!$R:$R,Tree!$A:$A,'Pre-Harvest Plots_rpt'!$B133,Tree!$B:$B,'Pre-Harvest Plots_rpt'!$D133,Tree!$F:$F,"L"))</f>
        <v/>
      </c>
      <c r="J133" s="121" t="str">
        <f>IF(OR($F133=0,$F133=""),"",IF(SUMIFS(Tree!$W:$W,Tree!$A:$A,'Pre-Harvest Plots_rpt'!$B133,Tree!$B:$B,'Pre-Harvest Plots_rpt'!$D133,Tree!$F:$F,"L")=0,0,AVERAGEIFS(Tree!$W:$W,Tree!$A:$A,'Pre-Harvest Plots_rpt'!$B133,Tree!$B:$B,'Pre-Harvest Plots_rpt'!$D133,Tree!$F:$F,"L")))</f>
        <v/>
      </c>
      <c r="K133" s="121" t="str">
        <f>IF($F133="","",SUMIFS(Tree!$S:$S,Tree!$A:$A,'Pre-Harvest Plots_rpt'!$B133,Tree!$B:$B,'Pre-Harvest Plots_rpt'!$D133,Tree!$F:$F,"L"))</f>
        <v/>
      </c>
      <c r="L133" s="154" t="str">
        <f t="shared" si="12"/>
        <v/>
      </c>
      <c r="M133" s="135"/>
      <c r="N133" s="192" t="str">
        <f>IF(B133="","",SUMIFS(Tree!$AM:$AM,Tree!$A:$A,'Pre-Harvest Plots_rpt'!$B133,Tree!$B:$B,'Pre-Harvest Plots_rpt'!$D133,Tree!$F:$F,"L"))</f>
        <v/>
      </c>
      <c r="O133" s="122" t="str">
        <f>IF(B133="","",SUMIFS(Tree!$AN:$AN,Tree!$A:$A,'Pre-Harvest Plots_rpt'!$B133,Tree!$B:$B,'Pre-Harvest Plots_rpt'!$D133,Tree!$F:$F,"L"))</f>
        <v/>
      </c>
      <c r="P133" s="122" t="str">
        <f>IF(B133="","",SUMIFS(Tree!$AO:$AO,Tree!$A:$A,'Pre-Harvest Plots_rpt'!$B133,Tree!$B:$B,'Pre-Harvest Plots_rpt'!$D133,Tree!$F:$F,"L"))</f>
        <v/>
      </c>
      <c r="Q133" s="122" t="str">
        <f>IF(B133="","",SUMIFS(Tree!$AP:$AP,Tree!$A:$A,'Pre-Harvest Plots_rpt'!$B133,Tree!$B:$B,'Pre-Harvest Plots_rpt'!$D133,Tree!$F:$F,"L"))</f>
        <v/>
      </c>
      <c r="R133" s="123" t="str">
        <f>IF(B133="","",SUMIFS(Tree!$AQ:$AQ,Tree!$A:$A,'Pre-Harvest Plots_rpt'!$B133,Tree!$B:$B,'Pre-Harvest Plots_rpt'!$D133,Tree!$F:$F,"L"))</f>
        <v/>
      </c>
      <c r="S133" s="122" t="str">
        <f>IF(B133="","",SUMIFS(Tree!$AJ:$AJ,Tree!$A:$A,'Pre-Harvest Plots_rpt'!$B133,Tree!$B:$B,'Pre-Harvest Plots_rpt'!$D133,Tree!$F:$F,"L")-O133)</f>
        <v/>
      </c>
      <c r="T133" s="122" t="str">
        <f>IF(B133="","",SUMIFS(Tree!$AK:$AK,Tree!$A:$A,'Pre-Harvest Plots_rpt'!$B133,Tree!$B:$B,'Pre-Harvest Plots_rpt'!$D133,Tree!$F:$F,"L")-P133)</f>
        <v/>
      </c>
      <c r="U133" s="122" t="str">
        <f>IF(B133="","",SUMIFS(Tree!$AL:$AL,Tree!$A:$A,'Pre-Harvest Plots_rpt'!$B133,Tree!$B:$B,'Pre-Harvest Plots_rpt'!$D133,Tree!$F:$F,"L")-Q133)</f>
        <v/>
      </c>
      <c r="V133" s="123" t="str">
        <f>IF(B133="","",ROUND(SUMIFS(Tree!$AE:$AE,Tree!$A:$A,'Pre-Harvest Plots_rpt'!$B133,Tree!$B:$B,'Pre-Harvest Plots_rpt'!$D133,Tree!$F:$F,"L")-R133,1))</f>
        <v/>
      </c>
      <c r="W133" s="124" t="str">
        <f>IF(B133="","",SUMIFS(Tree!$AY:$AY,Tree!$A:$A,'Pre-Harvest Plots_rpt'!$B133,Tree!$B:$B,'Pre-Harvest Plots_rpt'!$D133,Tree!$F:$F,"L")/1000)</f>
        <v/>
      </c>
      <c r="X133" s="158" t="str">
        <f>IF(B133="","",ROUND((SUMIFS(Tree!$AW:$AW,Tree!$A:$A,'Pre-Harvest Plots_rpt'!$B133,Tree!$B:$B,'Pre-Harvest Plots_rpt'!$D133,Tree!$F:$F,"L")/1000)-W133,1))</f>
        <v/>
      </c>
      <c r="Y133" s="135"/>
      <c r="Z133" s="161" t="str">
        <f>IF(IF(B133="","",SUMIFS(Tree!$O:$O,Tree!$A:$A,'Pre-Harvest Plots_rpt'!$B133,Tree!$B:$B,'Pre-Harvest Plots_rpt'!$D133,Tree!$F:$F,"D"))=0,"",IF(B133="","",SUMIFS(Tree!$O:$O,Tree!$A:$A,'Pre-Harvest Plots_rpt'!$B133,Tree!$B:$B,'Pre-Harvest Plots_rpt'!$D133,Tree!$F:$F,"D")))</f>
        <v/>
      </c>
      <c r="AA133" s="125" t="str">
        <f t="shared" ref="AA133:AA196" si="14">IF(Z133="","",IF(Z133="","",((AB133/Z133)/0.005454)^0.5))</f>
        <v/>
      </c>
      <c r="AB133" s="125" t="str">
        <f>IF(Z133="","",SUMIFS(Tree!$R:$R,Tree!$A:$A,'Pre-Harvest Plots_rpt'!$B133,Tree!$B:$B,'Pre-Harvest Plots_rpt'!$D133,Tree!$F:$F,"D"))</f>
        <v/>
      </c>
      <c r="AC133" s="126" t="str">
        <f>IF(Z133="","",SUMIFS(Tree!$AM:$AM,Tree!$A:$A,'Pre-Harvest Plots_rpt'!$B133,Tree!$B:$B,'Pre-Harvest Plots_rpt'!$D133,Tree!$F:$F,"D"))</f>
        <v/>
      </c>
      <c r="AD133" s="162" t="str">
        <f>IF(Z133="","",SUMIFS(Tree!$AW:$AW,Tree!$A:$A,'Pre-Harvest Plots_rpt'!$B133,Tree!$B:$B,'Pre-Harvest Plots_rpt'!$D133,Tree!$F:$F,"D")/1000)</f>
        <v/>
      </c>
      <c r="AE133" s="47"/>
      <c r="AF133" s="4"/>
      <c r="AG133" s="4"/>
      <c r="AH133" s="4"/>
    </row>
    <row r="134" spans="1:34" ht="12.75" customHeight="1" x14ac:dyDescent="0.25">
      <c r="A134" s="48">
        <v>131</v>
      </c>
      <c r="B134" s="171" t="str">
        <f>IF(A134&lt;=SUM(Stand!$H$3:$H$29),VLOOKUP(A134,Stand!$A$3:$C$29,3,TRUE),"")</f>
        <v/>
      </c>
      <c r="C134" s="172" t="str">
        <f t="shared" si="13"/>
        <v/>
      </c>
      <c r="D134" s="173" t="str">
        <f>IF(B134="","",VLOOKUP(B134&amp;C134,Plot!$B$2:$D$199,3,FALSE))</f>
        <v/>
      </c>
      <c r="E134" s="130"/>
      <c r="F134" s="152" t="str">
        <f>IF(B134="","",SUMIFS(Tree!$O:$O,Tree!$A:$A,'Pre-Harvest Plots_rpt'!$B134,Tree!$B:$B,'Pre-Harvest Plots_rpt'!$D134,Tree!$F:$F,"L"))</f>
        <v/>
      </c>
      <c r="G134" s="153" t="str">
        <f>IFERROR(IF(D134="","",SUMIFS(Tree!$P:$P,Tree!$A:$A,'Pre-Harvest Plots_rpt'!$B134,Tree!$B:$B,'Pre-Harvest Plots_rpt'!$D134)/$F134),"")</f>
        <v/>
      </c>
      <c r="H134" s="122" t="str">
        <f t="shared" si="11"/>
        <v/>
      </c>
      <c r="I134" s="121" t="str">
        <f>IF(OR($F134=0,$F134=""),"",SUMIFS(Tree!$R:$R,Tree!$A:$A,'Pre-Harvest Plots_rpt'!$B134,Tree!$B:$B,'Pre-Harvest Plots_rpt'!$D134,Tree!$F:$F,"L"))</f>
        <v/>
      </c>
      <c r="J134" s="121" t="str">
        <f>IF(OR($F134=0,$F134=""),"",IF(SUMIFS(Tree!$W:$W,Tree!$A:$A,'Pre-Harvest Plots_rpt'!$B134,Tree!$B:$B,'Pre-Harvest Plots_rpt'!$D134,Tree!$F:$F,"L")=0,0,AVERAGEIFS(Tree!$W:$W,Tree!$A:$A,'Pre-Harvest Plots_rpt'!$B134,Tree!$B:$B,'Pre-Harvest Plots_rpt'!$D134,Tree!$F:$F,"L")))</f>
        <v/>
      </c>
      <c r="K134" s="121" t="str">
        <f>IF($F134="","",SUMIFS(Tree!$S:$S,Tree!$A:$A,'Pre-Harvest Plots_rpt'!$B134,Tree!$B:$B,'Pre-Harvest Plots_rpt'!$D134,Tree!$F:$F,"L"))</f>
        <v/>
      </c>
      <c r="L134" s="154" t="str">
        <f t="shared" si="12"/>
        <v/>
      </c>
      <c r="M134" s="135"/>
      <c r="N134" s="192" t="str">
        <f>IF(B134="","",SUMIFS(Tree!$AM:$AM,Tree!$A:$A,'Pre-Harvest Plots_rpt'!$B134,Tree!$B:$B,'Pre-Harvest Plots_rpt'!$D134,Tree!$F:$F,"L"))</f>
        <v/>
      </c>
      <c r="O134" s="122" t="str">
        <f>IF(B134="","",SUMIFS(Tree!$AN:$AN,Tree!$A:$A,'Pre-Harvest Plots_rpt'!$B134,Tree!$B:$B,'Pre-Harvest Plots_rpt'!$D134,Tree!$F:$F,"L"))</f>
        <v/>
      </c>
      <c r="P134" s="122" t="str">
        <f>IF(B134="","",SUMIFS(Tree!$AO:$AO,Tree!$A:$A,'Pre-Harvest Plots_rpt'!$B134,Tree!$B:$B,'Pre-Harvest Plots_rpt'!$D134,Tree!$F:$F,"L"))</f>
        <v/>
      </c>
      <c r="Q134" s="122" t="str">
        <f>IF(B134="","",SUMIFS(Tree!$AP:$AP,Tree!$A:$A,'Pre-Harvest Plots_rpt'!$B134,Tree!$B:$B,'Pre-Harvest Plots_rpt'!$D134,Tree!$F:$F,"L"))</f>
        <v/>
      </c>
      <c r="R134" s="123" t="str">
        <f>IF(B134="","",SUMIFS(Tree!$AQ:$AQ,Tree!$A:$A,'Pre-Harvest Plots_rpt'!$B134,Tree!$B:$B,'Pre-Harvest Plots_rpt'!$D134,Tree!$F:$F,"L"))</f>
        <v/>
      </c>
      <c r="S134" s="122" t="str">
        <f>IF(B134="","",SUMIFS(Tree!$AJ:$AJ,Tree!$A:$A,'Pre-Harvest Plots_rpt'!$B134,Tree!$B:$B,'Pre-Harvest Plots_rpt'!$D134,Tree!$F:$F,"L")-O134)</f>
        <v/>
      </c>
      <c r="T134" s="122" t="str">
        <f>IF(B134="","",SUMIFS(Tree!$AK:$AK,Tree!$A:$A,'Pre-Harvest Plots_rpt'!$B134,Tree!$B:$B,'Pre-Harvest Plots_rpt'!$D134,Tree!$F:$F,"L")-P134)</f>
        <v/>
      </c>
      <c r="U134" s="122" t="str">
        <f>IF(B134="","",SUMIFS(Tree!$AL:$AL,Tree!$A:$A,'Pre-Harvest Plots_rpt'!$B134,Tree!$B:$B,'Pre-Harvest Plots_rpt'!$D134,Tree!$F:$F,"L")-Q134)</f>
        <v/>
      </c>
      <c r="V134" s="123" t="str">
        <f>IF(B134="","",ROUND(SUMIFS(Tree!$AE:$AE,Tree!$A:$A,'Pre-Harvest Plots_rpt'!$B134,Tree!$B:$B,'Pre-Harvest Plots_rpt'!$D134,Tree!$F:$F,"L")-R134,1))</f>
        <v/>
      </c>
      <c r="W134" s="124" t="str">
        <f>IF(B134="","",SUMIFS(Tree!$AY:$AY,Tree!$A:$A,'Pre-Harvest Plots_rpt'!$B134,Tree!$B:$B,'Pre-Harvest Plots_rpt'!$D134,Tree!$F:$F,"L")/1000)</f>
        <v/>
      </c>
      <c r="X134" s="158" t="str">
        <f>IF(B134="","",ROUND((SUMIFS(Tree!$AW:$AW,Tree!$A:$A,'Pre-Harvest Plots_rpt'!$B134,Tree!$B:$B,'Pre-Harvest Plots_rpt'!$D134,Tree!$F:$F,"L")/1000)-W134,1))</f>
        <v/>
      </c>
      <c r="Y134" s="135"/>
      <c r="Z134" s="161" t="str">
        <f>IF(IF(B134="","",SUMIFS(Tree!$O:$O,Tree!$A:$A,'Pre-Harvest Plots_rpt'!$B134,Tree!$B:$B,'Pre-Harvest Plots_rpt'!$D134,Tree!$F:$F,"D"))=0,"",IF(B134="","",SUMIFS(Tree!$O:$O,Tree!$A:$A,'Pre-Harvest Plots_rpt'!$B134,Tree!$B:$B,'Pre-Harvest Plots_rpt'!$D134,Tree!$F:$F,"D")))</f>
        <v/>
      </c>
      <c r="AA134" s="125" t="str">
        <f t="shared" si="14"/>
        <v/>
      </c>
      <c r="AB134" s="125" t="str">
        <f>IF(Z134="","",SUMIFS(Tree!$R:$R,Tree!$A:$A,'Pre-Harvest Plots_rpt'!$B134,Tree!$B:$B,'Pre-Harvest Plots_rpt'!$D134,Tree!$F:$F,"D"))</f>
        <v/>
      </c>
      <c r="AC134" s="126" t="str">
        <f>IF(Z134="","",SUMIFS(Tree!$AM:$AM,Tree!$A:$A,'Pre-Harvest Plots_rpt'!$B134,Tree!$B:$B,'Pre-Harvest Plots_rpt'!$D134,Tree!$F:$F,"D"))</f>
        <v/>
      </c>
      <c r="AD134" s="162" t="str">
        <f>IF(Z134="","",SUMIFS(Tree!$AW:$AW,Tree!$A:$A,'Pre-Harvest Plots_rpt'!$B134,Tree!$B:$B,'Pre-Harvest Plots_rpt'!$D134,Tree!$F:$F,"D")/1000)</f>
        <v/>
      </c>
      <c r="AE134" s="47"/>
      <c r="AF134" s="4"/>
      <c r="AG134" s="4"/>
      <c r="AH134" s="4"/>
    </row>
    <row r="135" spans="1:34" ht="12.75" customHeight="1" x14ac:dyDescent="0.25">
      <c r="A135" s="48">
        <v>132</v>
      </c>
      <c r="B135" s="171" t="str">
        <f>IF(A135&lt;=SUM(Stand!$H$3:$H$29),VLOOKUP(A135,Stand!$A$3:$C$29,3,TRUE),"")</f>
        <v/>
      </c>
      <c r="C135" s="172" t="str">
        <f t="shared" si="13"/>
        <v/>
      </c>
      <c r="D135" s="173" t="str">
        <f>IF(B135="","",VLOOKUP(B135&amp;C135,Plot!$B$2:$D$199,3,FALSE))</f>
        <v/>
      </c>
      <c r="E135" s="130"/>
      <c r="F135" s="152" t="str">
        <f>IF(B135="","",SUMIFS(Tree!$O:$O,Tree!$A:$A,'Pre-Harvest Plots_rpt'!$B135,Tree!$B:$B,'Pre-Harvest Plots_rpt'!$D135,Tree!$F:$F,"L"))</f>
        <v/>
      </c>
      <c r="G135" s="153" t="str">
        <f>IFERROR(IF(D135="","",SUMIFS(Tree!$P:$P,Tree!$A:$A,'Pre-Harvest Plots_rpt'!$B135,Tree!$B:$B,'Pre-Harvest Plots_rpt'!$D135)/$F135),"")</f>
        <v/>
      </c>
      <c r="H135" s="122" t="str">
        <f t="shared" si="11"/>
        <v/>
      </c>
      <c r="I135" s="121" t="str">
        <f>IF(OR($F135=0,$F135=""),"",SUMIFS(Tree!$R:$R,Tree!$A:$A,'Pre-Harvest Plots_rpt'!$B135,Tree!$B:$B,'Pre-Harvest Plots_rpt'!$D135,Tree!$F:$F,"L"))</f>
        <v/>
      </c>
      <c r="J135" s="121" t="str">
        <f>IF(OR($F135=0,$F135=""),"",IF(SUMIFS(Tree!$W:$W,Tree!$A:$A,'Pre-Harvest Plots_rpt'!$B135,Tree!$B:$B,'Pre-Harvest Plots_rpt'!$D135,Tree!$F:$F,"L")=0,0,AVERAGEIFS(Tree!$W:$W,Tree!$A:$A,'Pre-Harvest Plots_rpt'!$B135,Tree!$B:$B,'Pre-Harvest Plots_rpt'!$D135,Tree!$F:$F,"L")))</f>
        <v/>
      </c>
      <c r="K135" s="121" t="str">
        <f>IF($F135="","",SUMIFS(Tree!$S:$S,Tree!$A:$A,'Pre-Harvest Plots_rpt'!$B135,Tree!$B:$B,'Pre-Harvest Plots_rpt'!$D135,Tree!$F:$F,"L"))</f>
        <v/>
      </c>
      <c r="L135" s="154" t="str">
        <f t="shared" si="12"/>
        <v/>
      </c>
      <c r="M135" s="135"/>
      <c r="N135" s="192" t="str">
        <f>IF(B135="","",SUMIFS(Tree!$AM:$AM,Tree!$A:$A,'Pre-Harvest Plots_rpt'!$B135,Tree!$B:$B,'Pre-Harvest Plots_rpt'!$D135,Tree!$F:$F,"L"))</f>
        <v/>
      </c>
      <c r="O135" s="122" t="str">
        <f>IF(B135="","",SUMIFS(Tree!$AN:$AN,Tree!$A:$A,'Pre-Harvest Plots_rpt'!$B135,Tree!$B:$B,'Pre-Harvest Plots_rpt'!$D135,Tree!$F:$F,"L"))</f>
        <v/>
      </c>
      <c r="P135" s="122" t="str">
        <f>IF(B135="","",SUMIFS(Tree!$AO:$AO,Tree!$A:$A,'Pre-Harvest Plots_rpt'!$B135,Tree!$B:$B,'Pre-Harvest Plots_rpt'!$D135,Tree!$F:$F,"L"))</f>
        <v/>
      </c>
      <c r="Q135" s="122" t="str">
        <f>IF(B135="","",SUMIFS(Tree!$AP:$AP,Tree!$A:$A,'Pre-Harvest Plots_rpt'!$B135,Tree!$B:$B,'Pre-Harvest Plots_rpt'!$D135,Tree!$F:$F,"L"))</f>
        <v/>
      </c>
      <c r="R135" s="123" t="str">
        <f>IF(B135="","",SUMIFS(Tree!$AQ:$AQ,Tree!$A:$A,'Pre-Harvest Plots_rpt'!$B135,Tree!$B:$B,'Pre-Harvest Plots_rpt'!$D135,Tree!$F:$F,"L"))</f>
        <v/>
      </c>
      <c r="S135" s="122" t="str">
        <f>IF(B135="","",SUMIFS(Tree!$AJ:$AJ,Tree!$A:$A,'Pre-Harvest Plots_rpt'!$B135,Tree!$B:$B,'Pre-Harvest Plots_rpt'!$D135,Tree!$F:$F,"L")-O135)</f>
        <v/>
      </c>
      <c r="T135" s="122" t="str">
        <f>IF(B135="","",SUMIFS(Tree!$AK:$AK,Tree!$A:$A,'Pre-Harvest Plots_rpt'!$B135,Tree!$B:$B,'Pre-Harvest Plots_rpt'!$D135,Tree!$F:$F,"L")-P135)</f>
        <v/>
      </c>
      <c r="U135" s="122" t="str">
        <f>IF(B135="","",SUMIFS(Tree!$AL:$AL,Tree!$A:$A,'Pre-Harvest Plots_rpt'!$B135,Tree!$B:$B,'Pre-Harvest Plots_rpt'!$D135,Tree!$F:$F,"L")-Q135)</f>
        <v/>
      </c>
      <c r="V135" s="123" t="str">
        <f>IF(B135="","",ROUND(SUMIFS(Tree!$AE:$AE,Tree!$A:$A,'Pre-Harvest Plots_rpt'!$B135,Tree!$B:$B,'Pre-Harvest Plots_rpt'!$D135,Tree!$F:$F,"L")-R135,1))</f>
        <v/>
      </c>
      <c r="W135" s="124" t="str">
        <f>IF(B135="","",SUMIFS(Tree!$AY:$AY,Tree!$A:$A,'Pre-Harvest Plots_rpt'!$B135,Tree!$B:$B,'Pre-Harvest Plots_rpt'!$D135,Tree!$F:$F,"L")/1000)</f>
        <v/>
      </c>
      <c r="X135" s="158" t="str">
        <f>IF(B135="","",ROUND((SUMIFS(Tree!$AW:$AW,Tree!$A:$A,'Pre-Harvest Plots_rpt'!$B135,Tree!$B:$B,'Pre-Harvest Plots_rpt'!$D135,Tree!$F:$F,"L")/1000)-W135,1))</f>
        <v/>
      </c>
      <c r="Y135" s="135"/>
      <c r="Z135" s="161" t="str">
        <f>IF(IF(B135="","",SUMIFS(Tree!$O:$O,Tree!$A:$A,'Pre-Harvest Plots_rpt'!$B135,Tree!$B:$B,'Pre-Harvest Plots_rpt'!$D135,Tree!$F:$F,"D"))=0,"",IF(B135="","",SUMIFS(Tree!$O:$O,Tree!$A:$A,'Pre-Harvest Plots_rpt'!$B135,Tree!$B:$B,'Pre-Harvest Plots_rpt'!$D135,Tree!$F:$F,"D")))</f>
        <v/>
      </c>
      <c r="AA135" s="125" t="str">
        <f t="shared" si="14"/>
        <v/>
      </c>
      <c r="AB135" s="125" t="str">
        <f>IF(Z135="","",SUMIFS(Tree!$R:$R,Tree!$A:$A,'Pre-Harvest Plots_rpt'!$B135,Tree!$B:$B,'Pre-Harvest Plots_rpt'!$D135,Tree!$F:$F,"D"))</f>
        <v/>
      </c>
      <c r="AC135" s="126" t="str">
        <f>IF(Z135="","",SUMIFS(Tree!$AM:$AM,Tree!$A:$A,'Pre-Harvest Plots_rpt'!$B135,Tree!$B:$B,'Pre-Harvest Plots_rpt'!$D135,Tree!$F:$F,"D"))</f>
        <v/>
      </c>
      <c r="AD135" s="162" t="str">
        <f>IF(Z135="","",SUMIFS(Tree!$AW:$AW,Tree!$A:$A,'Pre-Harvest Plots_rpt'!$B135,Tree!$B:$B,'Pre-Harvest Plots_rpt'!$D135,Tree!$F:$F,"D")/1000)</f>
        <v/>
      </c>
      <c r="AE135" s="47"/>
      <c r="AF135" s="4"/>
      <c r="AG135" s="4"/>
      <c r="AH135" s="4"/>
    </row>
    <row r="136" spans="1:34" ht="12.75" customHeight="1" x14ac:dyDescent="0.25">
      <c r="A136" s="48">
        <v>133</v>
      </c>
      <c r="B136" s="171" t="str">
        <f>IF(A136&lt;=SUM(Stand!$H$3:$H$29),VLOOKUP(A136,Stand!$A$3:$C$29,3,TRUE),"")</f>
        <v/>
      </c>
      <c r="C136" s="172" t="str">
        <f t="shared" si="13"/>
        <v/>
      </c>
      <c r="D136" s="173" t="str">
        <f>IF(B136="","",VLOOKUP(B136&amp;C136,Plot!$B$2:$D$199,3,FALSE))</f>
        <v/>
      </c>
      <c r="E136" s="130"/>
      <c r="F136" s="152" t="str">
        <f>IF(B136="","",SUMIFS(Tree!$O:$O,Tree!$A:$A,'Pre-Harvest Plots_rpt'!$B136,Tree!$B:$B,'Pre-Harvest Plots_rpt'!$D136,Tree!$F:$F,"L"))</f>
        <v/>
      </c>
      <c r="G136" s="153" t="str">
        <f>IFERROR(IF(D136="","",SUMIFS(Tree!$P:$P,Tree!$A:$A,'Pre-Harvest Plots_rpt'!$B136,Tree!$B:$B,'Pre-Harvest Plots_rpt'!$D136)/$F136),"")</f>
        <v/>
      </c>
      <c r="H136" s="122" t="str">
        <f t="shared" si="11"/>
        <v/>
      </c>
      <c r="I136" s="121" t="str">
        <f>IF(OR($F136=0,$F136=""),"",SUMIFS(Tree!$R:$R,Tree!$A:$A,'Pre-Harvest Plots_rpt'!$B136,Tree!$B:$B,'Pre-Harvest Plots_rpt'!$D136,Tree!$F:$F,"L"))</f>
        <v/>
      </c>
      <c r="J136" s="121" t="str">
        <f>IF(OR($F136=0,$F136=""),"",IF(SUMIFS(Tree!$W:$W,Tree!$A:$A,'Pre-Harvest Plots_rpt'!$B136,Tree!$B:$B,'Pre-Harvest Plots_rpt'!$D136,Tree!$F:$F,"L")=0,0,AVERAGEIFS(Tree!$W:$W,Tree!$A:$A,'Pre-Harvest Plots_rpt'!$B136,Tree!$B:$B,'Pre-Harvest Plots_rpt'!$D136,Tree!$F:$F,"L")))</f>
        <v/>
      </c>
      <c r="K136" s="121" t="str">
        <f>IF($F136="","",SUMIFS(Tree!$S:$S,Tree!$A:$A,'Pre-Harvest Plots_rpt'!$B136,Tree!$B:$B,'Pre-Harvest Plots_rpt'!$D136,Tree!$F:$F,"L"))</f>
        <v/>
      </c>
      <c r="L136" s="154" t="str">
        <f t="shared" si="12"/>
        <v/>
      </c>
      <c r="M136" s="135"/>
      <c r="N136" s="192" t="str">
        <f>IF(B136="","",SUMIFS(Tree!$AM:$AM,Tree!$A:$A,'Pre-Harvest Plots_rpt'!$B136,Tree!$B:$B,'Pre-Harvest Plots_rpt'!$D136,Tree!$F:$F,"L"))</f>
        <v/>
      </c>
      <c r="O136" s="122" t="str">
        <f>IF(B136="","",SUMIFS(Tree!$AN:$AN,Tree!$A:$A,'Pre-Harvest Plots_rpt'!$B136,Tree!$B:$B,'Pre-Harvest Plots_rpt'!$D136,Tree!$F:$F,"L"))</f>
        <v/>
      </c>
      <c r="P136" s="122" t="str">
        <f>IF(B136="","",SUMIFS(Tree!$AO:$AO,Tree!$A:$A,'Pre-Harvest Plots_rpt'!$B136,Tree!$B:$B,'Pre-Harvest Plots_rpt'!$D136,Tree!$F:$F,"L"))</f>
        <v/>
      </c>
      <c r="Q136" s="122" t="str">
        <f>IF(B136="","",SUMIFS(Tree!$AP:$AP,Tree!$A:$A,'Pre-Harvest Plots_rpt'!$B136,Tree!$B:$B,'Pre-Harvest Plots_rpt'!$D136,Tree!$F:$F,"L"))</f>
        <v/>
      </c>
      <c r="R136" s="123" t="str">
        <f>IF(B136="","",SUMIFS(Tree!$AQ:$AQ,Tree!$A:$A,'Pre-Harvest Plots_rpt'!$B136,Tree!$B:$B,'Pre-Harvest Plots_rpt'!$D136,Tree!$F:$F,"L"))</f>
        <v/>
      </c>
      <c r="S136" s="122" t="str">
        <f>IF(B136="","",SUMIFS(Tree!$AJ:$AJ,Tree!$A:$A,'Pre-Harvest Plots_rpt'!$B136,Tree!$B:$B,'Pre-Harvest Plots_rpt'!$D136,Tree!$F:$F,"L")-O136)</f>
        <v/>
      </c>
      <c r="T136" s="122" t="str">
        <f>IF(B136="","",SUMIFS(Tree!$AK:$AK,Tree!$A:$A,'Pre-Harvest Plots_rpt'!$B136,Tree!$B:$B,'Pre-Harvest Plots_rpt'!$D136,Tree!$F:$F,"L")-P136)</f>
        <v/>
      </c>
      <c r="U136" s="122" t="str">
        <f>IF(B136="","",SUMIFS(Tree!$AL:$AL,Tree!$A:$A,'Pre-Harvest Plots_rpt'!$B136,Tree!$B:$B,'Pre-Harvest Plots_rpt'!$D136,Tree!$F:$F,"L")-Q136)</f>
        <v/>
      </c>
      <c r="V136" s="123" t="str">
        <f>IF(B136="","",ROUND(SUMIFS(Tree!$AE:$AE,Tree!$A:$A,'Pre-Harvest Plots_rpt'!$B136,Tree!$B:$B,'Pre-Harvest Plots_rpt'!$D136,Tree!$F:$F,"L")-R136,1))</f>
        <v/>
      </c>
      <c r="W136" s="124" t="str">
        <f>IF(B136="","",SUMIFS(Tree!$AY:$AY,Tree!$A:$A,'Pre-Harvest Plots_rpt'!$B136,Tree!$B:$B,'Pre-Harvest Plots_rpt'!$D136,Tree!$F:$F,"L")/1000)</f>
        <v/>
      </c>
      <c r="X136" s="158" t="str">
        <f>IF(B136="","",ROUND((SUMIFS(Tree!$AW:$AW,Tree!$A:$A,'Pre-Harvest Plots_rpt'!$B136,Tree!$B:$B,'Pre-Harvest Plots_rpt'!$D136,Tree!$F:$F,"L")/1000)-W136,1))</f>
        <v/>
      </c>
      <c r="Y136" s="135"/>
      <c r="Z136" s="161" t="str">
        <f>IF(IF(B136="","",SUMIFS(Tree!$O:$O,Tree!$A:$A,'Pre-Harvest Plots_rpt'!$B136,Tree!$B:$B,'Pre-Harvest Plots_rpt'!$D136,Tree!$F:$F,"D"))=0,"",IF(B136="","",SUMIFS(Tree!$O:$O,Tree!$A:$A,'Pre-Harvest Plots_rpt'!$B136,Tree!$B:$B,'Pre-Harvest Plots_rpt'!$D136,Tree!$F:$F,"D")))</f>
        <v/>
      </c>
      <c r="AA136" s="125" t="str">
        <f t="shared" si="14"/>
        <v/>
      </c>
      <c r="AB136" s="125" t="str">
        <f>IF(Z136="","",SUMIFS(Tree!$R:$R,Tree!$A:$A,'Pre-Harvest Plots_rpt'!$B136,Tree!$B:$B,'Pre-Harvest Plots_rpt'!$D136,Tree!$F:$F,"D"))</f>
        <v/>
      </c>
      <c r="AC136" s="126" t="str">
        <f>IF(Z136="","",SUMIFS(Tree!$AM:$AM,Tree!$A:$A,'Pre-Harvest Plots_rpt'!$B136,Tree!$B:$B,'Pre-Harvest Plots_rpt'!$D136,Tree!$F:$F,"D"))</f>
        <v/>
      </c>
      <c r="AD136" s="162" t="str">
        <f>IF(Z136="","",SUMIFS(Tree!$AW:$AW,Tree!$A:$A,'Pre-Harvest Plots_rpt'!$B136,Tree!$B:$B,'Pre-Harvest Plots_rpt'!$D136,Tree!$F:$F,"D")/1000)</f>
        <v/>
      </c>
      <c r="AE136" s="47"/>
      <c r="AF136" s="4"/>
      <c r="AG136" s="4"/>
      <c r="AH136" s="4"/>
    </row>
    <row r="137" spans="1:34" ht="12.75" customHeight="1" x14ac:dyDescent="0.25">
      <c r="A137" s="48">
        <v>134</v>
      </c>
      <c r="B137" s="171" t="str">
        <f>IF(A137&lt;=SUM(Stand!$H$3:$H$29),VLOOKUP(A137,Stand!$A$3:$C$29,3,TRUE),"")</f>
        <v/>
      </c>
      <c r="C137" s="172" t="str">
        <f t="shared" si="13"/>
        <v/>
      </c>
      <c r="D137" s="173" t="str">
        <f>IF(B137="","",VLOOKUP(B137&amp;C137,Plot!$B$2:$D$199,3,FALSE))</f>
        <v/>
      </c>
      <c r="E137" s="130"/>
      <c r="F137" s="152" t="str">
        <f>IF(B137="","",SUMIFS(Tree!$O:$O,Tree!$A:$A,'Pre-Harvest Plots_rpt'!$B137,Tree!$B:$B,'Pre-Harvest Plots_rpt'!$D137,Tree!$F:$F,"L"))</f>
        <v/>
      </c>
      <c r="G137" s="153" t="str">
        <f>IFERROR(IF(D137="","",SUMIFS(Tree!$P:$P,Tree!$A:$A,'Pre-Harvest Plots_rpt'!$B137,Tree!$B:$B,'Pre-Harvest Plots_rpt'!$D137)/$F137),"")</f>
        <v/>
      </c>
      <c r="H137" s="122" t="str">
        <f t="shared" si="11"/>
        <v/>
      </c>
      <c r="I137" s="121" t="str">
        <f>IF(OR($F137=0,$F137=""),"",SUMIFS(Tree!$R:$R,Tree!$A:$A,'Pre-Harvest Plots_rpt'!$B137,Tree!$B:$B,'Pre-Harvest Plots_rpt'!$D137,Tree!$F:$F,"L"))</f>
        <v/>
      </c>
      <c r="J137" s="121" t="str">
        <f>IF(OR($F137=0,$F137=""),"",IF(SUMIFS(Tree!$W:$W,Tree!$A:$A,'Pre-Harvest Plots_rpt'!$B137,Tree!$B:$B,'Pre-Harvest Plots_rpt'!$D137,Tree!$F:$F,"L")=0,0,AVERAGEIFS(Tree!$W:$W,Tree!$A:$A,'Pre-Harvest Plots_rpt'!$B137,Tree!$B:$B,'Pre-Harvest Plots_rpt'!$D137,Tree!$F:$F,"L")))</f>
        <v/>
      </c>
      <c r="K137" s="121" t="str">
        <f>IF($F137="","",SUMIFS(Tree!$S:$S,Tree!$A:$A,'Pre-Harvest Plots_rpt'!$B137,Tree!$B:$B,'Pre-Harvest Plots_rpt'!$D137,Tree!$F:$F,"L"))</f>
        <v/>
      </c>
      <c r="L137" s="154" t="str">
        <f t="shared" si="12"/>
        <v/>
      </c>
      <c r="M137" s="135"/>
      <c r="N137" s="192" t="str">
        <f>IF(B137="","",SUMIFS(Tree!$AM:$AM,Tree!$A:$A,'Pre-Harvest Plots_rpt'!$B137,Tree!$B:$B,'Pre-Harvest Plots_rpt'!$D137,Tree!$F:$F,"L"))</f>
        <v/>
      </c>
      <c r="O137" s="122" t="str">
        <f>IF(B137="","",SUMIFS(Tree!$AN:$AN,Tree!$A:$A,'Pre-Harvest Plots_rpt'!$B137,Tree!$B:$B,'Pre-Harvest Plots_rpt'!$D137,Tree!$F:$F,"L"))</f>
        <v/>
      </c>
      <c r="P137" s="122" t="str">
        <f>IF(B137="","",SUMIFS(Tree!$AO:$AO,Tree!$A:$A,'Pre-Harvest Plots_rpt'!$B137,Tree!$B:$B,'Pre-Harvest Plots_rpt'!$D137,Tree!$F:$F,"L"))</f>
        <v/>
      </c>
      <c r="Q137" s="122" t="str">
        <f>IF(B137="","",SUMIFS(Tree!$AP:$AP,Tree!$A:$A,'Pre-Harvest Plots_rpt'!$B137,Tree!$B:$B,'Pre-Harvest Plots_rpt'!$D137,Tree!$F:$F,"L"))</f>
        <v/>
      </c>
      <c r="R137" s="123" t="str">
        <f>IF(B137="","",SUMIFS(Tree!$AQ:$AQ,Tree!$A:$A,'Pre-Harvest Plots_rpt'!$B137,Tree!$B:$B,'Pre-Harvest Plots_rpt'!$D137,Tree!$F:$F,"L"))</f>
        <v/>
      </c>
      <c r="S137" s="122" t="str">
        <f>IF(B137="","",SUMIFS(Tree!$AJ:$AJ,Tree!$A:$A,'Pre-Harvest Plots_rpt'!$B137,Tree!$B:$B,'Pre-Harvest Plots_rpt'!$D137,Tree!$F:$F,"L")-O137)</f>
        <v/>
      </c>
      <c r="T137" s="122" t="str">
        <f>IF(B137="","",SUMIFS(Tree!$AK:$AK,Tree!$A:$A,'Pre-Harvest Plots_rpt'!$B137,Tree!$B:$B,'Pre-Harvest Plots_rpt'!$D137,Tree!$F:$F,"L")-P137)</f>
        <v/>
      </c>
      <c r="U137" s="122" t="str">
        <f>IF(B137="","",SUMIFS(Tree!$AL:$AL,Tree!$A:$A,'Pre-Harvest Plots_rpt'!$B137,Tree!$B:$B,'Pre-Harvest Plots_rpt'!$D137,Tree!$F:$F,"L")-Q137)</f>
        <v/>
      </c>
      <c r="V137" s="123" t="str">
        <f>IF(B137="","",ROUND(SUMIFS(Tree!$AE:$AE,Tree!$A:$A,'Pre-Harvest Plots_rpt'!$B137,Tree!$B:$B,'Pre-Harvest Plots_rpt'!$D137,Tree!$F:$F,"L")-R137,1))</f>
        <v/>
      </c>
      <c r="W137" s="124" t="str">
        <f>IF(B137="","",SUMIFS(Tree!$AY:$AY,Tree!$A:$A,'Pre-Harvest Plots_rpt'!$B137,Tree!$B:$B,'Pre-Harvest Plots_rpt'!$D137,Tree!$F:$F,"L")/1000)</f>
        <v/>
      </c>
      <c r="X137" s="158" t="str">
        <f>IF(B137="","",ROUND((SUMIFS(Tree!$AW:$AW,Tree!$A:$A,'Pre-Harvest Plots_rpt'!$B137,Tree!$B:$B,'Pre-Harvest Plots_rpt'!$D137,Tree!$F:$F,"L")/1000)-W137,1))</f>
        <v/>
      </c>
      <c r="Y137" s="135"/>
      <c r="Z137" s="161" t="str">
        <f>IF(IF(B137="","",SUMIFS(Tree!$O:$O,Tree!$A:$A,'Pre-Harvest Plots_rpt'!$B137,Tree!$B:$B,'Pre-Harvest Plots_rpt'!$D137,Tree!$F:$F,"D"))=0,"",IF(B137="","",SUMIFS(Tree!$O:$O,Tree!$A:$A,'Pre-Harvest Plots_rpt'!$B137,Tree!$B:$B,'Pre-Harvest Plots_rpt'!$D137,Tree!$F:$F,"D")))</f>
        <v/>
      </c>
      <c r="AA137" s="125" t="str">
        <f t="shared" si="14"/>
        <v/>
      </c>
      <c r="AB137" s="125" t="str">
        <f>IF(Z137="","",SUMIFS(Tree!$R:$R,Tree!$A:$A,'Pre-Harvest Plots_rpt'!$B137,Tree!$B:$B,'Pre-Harvest Plots_rpt'!$D137,Tree!$F:$F,"D"))</f>
        <v/>
      </c>
      <c r="AC137" s="126" t="str">
        <f>IF(Z137="","",SUMIFS(Tree!$AM:$AM,Tree!$A:$A,'Pre-Harvest Plots_rpt'!$B137,Tree!$B:$B,'Pre-Harvest Plots_rpt'!$D137,Tree!$F:$F,"D"))</f>
        <v/>
      </c>
      <c r="AD137" s="162" t="str">
        <f>IF(Z137="","",SUMIFS(Tree!$AW:$AW,Tree!$A:$A,'Pre-Harvest Plots_rpt'!$B137,Tree!$B:$B,'Pre-Harvest Plots_rpt'!$D137,Tree!$F:$F,"D")/1000)</f>
        <v/>
      </c>
      <c r="AE137" s="47"/>
      <c r="AF137" s="4"/>
      <c r="AG137" s="4"/>
      <c r="AH137" s="4"/>
    </row>
    <row r="138" spans="1:34" ht="12.75" customHeight="1" x14ac:dyDescent="0.25">
      <c r="A138" s="48">
        <v>135</v>
      </c>
      <c r="B138" s="171" t="str">
        <f>IF(A138&lt;=SUM(Stand!$H$3:$H$29),VLOOKUP(A138,Stand!$A$3:$C$29,3,TRUE),"")</f>
        <v/>
      </c>
      <c r="C138" s="172" t="str">
        <f t="shared" si="13"/>
        <v/>
      </c>
      <c r="D138" s="173" t="str">
        <f>IF(B138="","",VLOOKUP(B138&amp;C138,Plot!$B$2:$D$199,3,FALSE))</f>
        <v/>
      </c>
      <c r="E138" s="130"/>
      <c r="F138" s="152" t="str">
        <f>IF(B138="","",SUMIFS(Tree!$O:$O,Tree!$A:$A,'Pre-Harvest Plots_rpt'!$B138,Tree!$B:$B,'Pre-Harvest Plots_rpt'!$D138,Tree!$F:$F,"L"))</f>
        <v/>
      </c>
      <c r="G138" s="153" t="str">
        <f>IFERROR(IF(D138="","",SUMIFS(Tree!$P:$P,Tree!$A:$A,'Pre-Harvest Plots_rpt'!$B138,Tree!$B:$B,'Pre-Harvest Plots_rpt'!$D138)/$F138),"")</f>
        <v/>
      </c>
      <c r="H138" s="122" t="str">
        <f t="shared" si="11"/>
        <v/>
      </c>
      <c r="I138" s="121" t="str">
        <f>IF(OR($F138=0,$F138=""),"",SUMIFS(Tree!$R:$R,Tree!$A:$A,'Pre-Harvest Plots_rpt'!$B138,Tree!$B:$B,'Pre-Harvest Plots_rpt'!$D138,Tree!$F:$F,"L"))</f>
        <v/>
      </c>
      <c r="J138" s="121" t="str">
        <f>IF(OR($F138=0,$F138=""),"",IF(SUMIFS(Tree!$W:$W,Tree!$A:$A,'Pre-Harvest Plots_rpt'!$B138,Tree!$B:$B,'Pre-Harvest Plots_rpt'!$D138,Tree!$F:$F,"L")=0,0,AVERAGEIFS(Tree!$W:$W,Tree!$A:$A,'Pre-Harvest Plots_rpt'!$B138,Tree!$B:$B,'Pre-Harvest Plots_rpt'!$D138,Tree!$F:$F,"L")))</f>
        <v/>
      </c>
      <c r="K138" s="121" t="str">
        <f>IF($F138="","",SUMIFS(Tree!$S:$S,Tree!$A:$A,'Pre-Harvest Plots_rpt'!$B138,Tree!$B:$B,'Pre-Harvest Plots_rpt'!$D138,Tree!$F:$F,"L"))</f>
        <v/>
      </c>
      <c r="L138" s="154" t="str">
        <f t="shared" si="12"/>
        <v/>
      </c>
      <c r="M138" s="135"/>
      <c r="N138" s="192" t="str">
        <f>IF(B138="","",SUMIFS(Tree!$AM:$AM,Tree!$A:$A,'Pre-Harvest Plots_rpt'!$B138,Tree!$B:$B,'Pre-Harvest Plots_rpt'!$D138,Tree!$F:$F,"L"))</f>
        <v/>
      </c>
      <c r="O138" s="122" t="str">
        <f>IF(B138="","",SUMIFS(Tree!$AN:$AN,Tree!$A:$A,'Pre-Harvest Plots_rpt'!$B138,Tree!$B:$B,'Pre-Harvest Plots_rpt'!$D138,Tree!$F:$F,"L"))</f>
        <v/>
      </c>
      <c r="P138" s="122" t="str">
        <f>IF(B138="","",SUMIFS(Tree!$AO:$AO,Tree!$A:$A,'Pre-Harvest Plots_rpt'!$B138,Tree!$B:$B,'Pre-Harvest Plots_rpt'!$D138,Tree!$F:$F,"L"))</f>
        <v/>
      </c>
      <c r="Q138" s="122" t="str">
        <f>IF(B138="","",SUMIFS(Tree!$AP:$AP,Tree!$A:$A,'Pre-Harvest Plots_rpt'!$B138,Tree!$B:$B,'Pre-Harvest Plots_rpt'!$D138,Tree!$F:$F,"L"))</f>
        <v/>
      </c>
      <c r="R138" s="123" t="str">
        <f>IF(B138="","",SUMIFS(Tree!$AQ:$AQ,Tree!$A:$A,'Pre-Harvest Plots_rpt'!$B138,Tree!$B:$B,'Pre-Harvest Plots_rpt'!$D138,Tree!$F:$F,"L"))</f>
        <v/>
      </c>
      <c r="S138" s="122" t="str">
        <f>IF(B138="","",SUMIFS(Tree!$AJ:$AJ,Tree!$A:$A,'Pre-Harvest Plots_rpt'!$B138,Tree!$B:$B,'Pre-Harvest Plots_rpt'!$D138,Tree!$F:$F,"L")-O138)</f>
        <v/>
      </c>
      <c r="T138" s="122" t="str">
        <f>IF(B138="","",SUMIFS(Tree!$AK:$AK,Tree!$A:$A,'Pre-Harvest Plots_rpt'!$B138,Tree!$B:$B,'Pre-Harvest Plots_rpt'!$D138,Tree!$F:$F,"L")-P138)</f>
        <v/>
      </c>
      <c r="U138" s="122" t="str">
        <f>IF(B138="","",SUMIFS(Tree!$AL:$AL,Tree!$A:$A,'Pre-Harvest Plots_rpt'!$B138,Tree!$B:$B,'Pre-Harvest Plots_rpt'!$D138,Tree!$F:$F,"L")-Q138)</f>
        <v/>
      </c>
      <c r="V138" s="123" t="str">
        <f>IF(B138="","",ROUND(SUMIFS(Tree!$AE:$AE,Tree!$A:$A,'Pre-Harvest Plots_rpt'!$B138,Tree!$B:$B,'Pre-Harvest Plots_rpt'!$D138,Tree!$F:$F,"L")-R138,1))</f>
        <v/>
      </c>
      <c r="W138" s="124" t="str">
        <f>IF(B138="","",SUMIFS(Tree!$AY:$AY,Tree!$A:$A,'Pre-Harvest Plots_rpt'!$B138,Tree!$B:$B,'Pre-Harvest Plots_rpt'!$D138,Tree!$F:$F,"L")/1000)</f>
        <v/>
      </c>
      <c r="X138" s="158" t="str">
        <f>IF(B138="","",ROUND((SUMIFS(Tree!$AW:$AW,Tree!$A:$A,'Pre-Harvest Plots_rpt'!$B138,Tree!$B:$B,'Pre-Harvest Plots_rpt'!$D138,Tree!$F:$F,"L")/1000)-W138,1))</f>
        <v/>
      </c>
      <c r="Y138" s="135"/>
      <c r="Z138" s="161" t="str">
        <f>IF(IF(B138="","",SUMIFS(Tree!$O:$O,Tree!$A:$A,'Pre-Harvest Plots_rpt'!$B138,Tree!$B:$B,'Pre-Harvest Plots_rpt'!$D138,Tree!$F:$F,"D"))=0,"",IF(B138="","",SUMIFS(Tree!$O:$O,Tree!$A:$A,'Pre-Harvest Plots_rpt'!$B138,Tree!$B:$B,'Pre-Harvest Plots_rpt'!$D138,Tree!$F:$F,"D")))</f>
        <v/>
      </c>
      <c r="AA138" s="125" t="str">
        <f t="shared" si="14"/>
        <v/>
      </c>
      <c r="AB138" s="125" t="str">
        <f>IF(Z138="","",SUMIFS(Tree!$R:$R,Tree!$A:$A,'Pre-Harvest Plots_rpt'!$B138,Tree!$B:$B,'Pre-Harvest Plots_rpt'!$D138,Tree!$F:$F,"D"))</f>
        <v/>
      </c>
      <c r="AC138" s="126" t="str">
        <f>IF(Z138="","",SUMIFS(Tree!$AM:$AM,Tree!$A:$A,'Pre-Harvest Plots_rpt'!$B138,Tree!$B:$B,'Pre-Harvest Plots_rpt'!$D138,Tree!$F:$F,"D"))</f>
        <v/>
      </c>
      <c r="AD138" s="162" t="str">
        <f>IF(Z138="","",SUMIFS(Tree!$AW:$AW,Tree!$A:$A,'Pre-Harvest Plots_rpt'!$B138,Tree!$B:$B,'Pre-Harvest Plots_rpt'!$D138,Tree!$F:$F,"D")/1000)</f>
        <v/>
      </c>
      <c r="AE138" s="47"/>
      <c r="AF138" s="4"/>
      <c r="AG138" s="4"/>
      <c r="AH138" s="4"/>
    </row>
    <row r="139" spans="1:34" ht="12.75" customHeight="1" x14ac:dyDescent="0.25">
      <c r="A139" s="48">
        <v>136</v>
      </c>
      <c r="B139" s="171" t="str">
        <f>IF(A139&lt;=SUM(Stand!$H$3:$H$29),VLOOKUP(A139,Stand!$A$3:$C$29,3,TRUE),"")</f>
        <v/>
      </c>
      <c r="C139" s="172" t="str">
        <f t="shared" si="13"/>
        <v/>
      </c>
      <c r="D139" s="173" t="str">
        <f>IF(B139="","",VLOOKUP(B139&amp;C139,Plot!$B$2:$D$199,3,FALSE))</f>
        <v/>
      </c>
      <c r="E139" s="130"/>
      <c r="F139" s="152" t="str">
        <f>IF(B139="","",SUMIFS(Tree!$O:$O,Tree!$A:$A,'Pre-Harvest Plots_rpt'!$B139,Tree!$B:$B,'Pre-Harvest Plots_rpt'!$D139,Tree!$F:$F,"L"))</f>
        <v/>
      </c>
      <c r="G139" s="153" t="str">
        <f>IFERROR(IF(D139="","",SUMIFS(Tree!$P:$P,Tree!$A:$A,'Pre-Harvest Plots_rpt'!$B139,Tree!$B:$B,'Pre-Harvest Plots_rpt'!$D139)/$F139),"")</f>
        <v/>
      </c>
      <c r="H139" s="122" t="str">
        <f t="shared" si="11"/>
        <v/>
      </c>
      <c r="I139" s="121" t="str">
        <f>IF(OR($F139=0,$F139=""),"",SUMIFS(Tree!$R:$R,Tree!$A:$A,'Pre-Harvest Plots_rpt'!$B139,Tree!$B:$B,'Pre-Harvest Plots_rpt'!$D139,Tree!$F:$F,"L"))</f>
        <v/>
      </c>
      <c r="J139" s="121" t="str">
        <f>IF(OR($F139=0,$F139=""),"",IF(SUMIFS(Tree!$W:$W,Tree!$A:$A,'Pre-Harvest Plots_rpt'!$B139,Tree!$B:$B,'Pre-Harvest Plots_rpt'!$D139,Tree!$F:$F,"L")=0,0,AVERAGEIFS(Tree!$W:$W,Tree!$A:$A,'Pre-Harvest Plots_rpt'!$B139,Tree!$B:$B,'Pre-Harvest Plots_rpt'!$D139,Tree!$F:$F,"L")))</f>
        <v/>
      </c>
      <c r="K139" s="121" t="str">
        <f>IF($F139="","",SUMIFS(Tree!$S:$S,Tree!$A:$A,'Pre-Harvest Plots_rpt'!$B139,Tree!$B:$B,'Pre-Harvest Plots_rpt'!$D139,Tree!$F:$F,"L"))</f>
        <v/>
      </c>
      <c r="L139" s="154" t="str">
        <f t="shared" si="12"/>
        <v/>
      </c>
      <c r="M139" s="135"/>
      <c r="N139" s="192" t="str">
        <f>IF(B139="","",SUMIFS(Tree!$AM:$AM,Tree!$A:$A,'Pre-Harvest Plots_rpt'!$B139,Tree!$B:$B,'Pre-Harvest Plots_rpt'!$D139,Tree!$F:$F,"L"))</f>
        <v/>
      </c>
      <c r="O139" s="122" t="str">
        <f>IF(B139="","",SUMIFS(Tree!$AN:$AN,Tree!$A:$A,'Pre-Harvest Plots_rpt'!$B139,Tree!$B:$B,'Pre-Harvest Plots_rpt'!$D139,Tree!$F:$F,"L"))</f>
        <v/>
      </c>
      <c r="P139" s="122" t="str">
        <f>IF(B139="","",SUMIFS(Tree!$AO:$AO,Tree!$A:$A,'Pre-Harvest Plots_rpt'!$B139,Tree!$B:$B,'Pre-Harvest Plots_rpt'!$D139,Tree!$F:$F,"L"))</f>
        <v/>
      </c>
      <c r="Q139" s="122" t="str">
        <f>IF(B139="","",SUMIFS(Tree!$AP:$AP,Tree!$A:$A,'Pre-Harvest Plots_rpt'!$B139,Tree!$B:$B,'Pre-Harvest Plots_rpt'!$D139,Tree!$F:$F,"L"))</f>
        <v/>
      </c>
      <c r="R139" s="123" t="str">
        <f>IF(B139="","",SUMIFS(Tree!$AQ:$AQ,Tree!$A:$A,'Pre-Harvest Plots_rpt'!$B139,Tree!$B:$B,'Pre-Harvest Plots_rpt'!$D139,Tree!$F:$F,"L"))</f>
        <v/>
      </c>
      <c r="S139" s="122" t="str">
        <f>IF(B139="","",SUMIFS(Tree!$AJ:$AJ,Tree!$A:$A,'Pre-Harvest Plots_rpt'!$B139,Tree!$B:$B,'Pre-Harvest Plots_rpt'!$D139,Tree!$F:$F,"L")-O139)</f>
        <v/>
      </c>
      <c r="T139" s="122" t="str">
        <f>IF(B139="","",SUMIFS(Tree!$AK:$AK,Tree!$A:$A,'Pre-Harvest Plots_rpt'!$B139,Tree!$B:$B,'Pre-Harvest Plots_rpt'!$D139,Tree!$F:$F,"L")-P139)</f>
        <v/>
      </c>
      <c r="U139" s="122" t="str">
        <f>IF(B139="","",SUMIFS(Tree!$AL:$AL,Tree!$A:$A,'Pre-Harvest Plots_rpt'!$B139,Tree!$B:$B,'Pre-Harvest Plots_rpt'!$D139,Tree!$F:$F,"L")-Q139)</f>
        <v/>
      </c>
      <c r="V139" s="123" t="str">
        <f>IF(B139="","",ROUND(SUMIFS(Tree!$AE:$AE,Tree!$A:$A,'Pre-Harvest Plots_rpt'!$B139,Tree!$B:$B,'Pre-Harvest Plots_rpt'!$D139,Tree!$F:$F,"L")-R139,1))</f>
        <v/>
      </c>
      <c r="W139" s="124" t="str">
        <f>IF(B139="","",SUMIFS(Tree!$AY:$AY,Tree!$A:$A,'Pre-Harvest Plots_rpt'!$B139,Tree!$B:$B,'Pre-Harvest Plots_rpt'!$D139,Tree!$F:$F,"L")/1000)</f>
        <v/>
      </c>
      <c r="X139" s="158" t="str">
        <f>IF(B139="","",ROUND((SUMIFS(Tree!$AW:$AW,Tree!$A:$A,'Pre-Harvest Plots_rpt'!$B139,Tree!$B:$B,'Pre-Harvest Plots_rpt'!$D139,Tree!$F:$F,"L")/1000)-W139,1))</f>
        <v/>
      </c>
      <c r="Y139" s="135"/>
      <c r="Z139" s="161" t="str">
        <f>IF(IF(B139="","",SUMIFS(Tree!$O:$O,Tree!$A:$A,'Pre-Harvest Plots_rpt'!$B139,Tree!$B:$B,'Pre-Harvest Plots_rpt'!$D139,Tree!$F:$F,"D"))=0,"",IF(B139="","",SUMIFS(Tree!$O:$O,Tree!$A:$A,'Pre-Harvest Plots_rpt'!$B139,Tree!$B:$B,'Pre-Harvest Plots_rpt'!$D139,Tree!$F:$F,"D")))</f>
        <v/>
      </c>
      <c r="AA139" s="125" t="str">
        <f t="shared" si="14"/>
        <v/>
      </c>
      <c r="AB139" s="125" t="str">
        <f>IF(Z139="","",SUMIFS(Tree!$R:$R,Tree!$A:$A,'Pre-Harvest Plots_rpt'!$B139,Tree!$B:$B,'Pre-Harvest Plots_rpt'!$D139,Tree!$F:$F,"D"))</f>
        <v/>
      </c>
      <c r="AC139" s="126" t="str">
        <f>IF(Z139="","",SUMIFS(Tree!$AM:$AM,Tree!$A:$A,'Pre-Harvest Plots_rpt'!$B139,Tree!$B:$B,'Pre-Harvest Plots_rpt'!$D139,Tree!$F:$F,"D"))</f>
        <v/>
      </c>
      <c r="AD139" s="162" t="str">
        <f>IF(Z139="","",SUMIFS(Tree!$AW:$AW,Tree!$A:$A,'Pre-Harvest Plots_rpt'!$B139,Tree!$B:$B,'Pre-Harvest Plots_rpt'!$D139,Tree!$F:$F,"D")/1000)</f>
        <v/>
      </c>
      <c r="AE139" s="47"/>
      <c r="AF139" s="4"/>
      <c r="AG139" s="4"/>
      <c r="AH139" s="4"/>
    </row>
    <row r="140" spans="1:34" ht="12.75" customHeight="1" x14ac:dyDescent="0.25">
      <c r="A140" s="48">
        <v>137</v>
      </c>
      <c r="B140" s="171" t="str">
        <f>IF(A140&lt;=SUM(Stand!$H$3:$H$29),VLOOKUP(A140,Stand!$A$3:$C$29,3,TRUE),"")</f>
        <v/>
      </c>
      <c r="C140" s="172" t="str">
        <f t="shared" si="13"/>
        <v/>
      </c>
      <c r="D140" s="173" t="str">
        <f>IF(B140="","",VLOOKUP(B140&amp;C140,Plot!$B$2:$D$199,3,FALSE))</f>
        <v/>
      </c>
      <c r="E140" s="130"/>
      <c r="F140" s="152" t="str">
        <f>IF(B140="","",SUMIFS(Tree!$O:$O,Tree!$A:$A,'Pre-Harvest Plots_rpt'!$B140,Tree!$B:$B,'Pre-Harvest Plots_rpt'!$D140,Tree!$F:$F,"L"))</f>
        <v/>
      </c>
      <c r="G140" s="153" t="str">
        <f>IFERROR(IF(D140="","",SUMIFS(Tree!$P:$P,Tree!$A:$A,'Pre-Harvest Plots_rpt'!$B140,Tree!$B:$B,'Pre-Harvest Plots_rpt'!$D140)/$F140),"")</f>
        <v/>
      </c>
      <c r="H140" s="122" t="str">
        <f t="shared" si="11"/>
        <v/>
      </c>
      <c r="I140" s="121" t="str">
        <f>IF(OR($F140=0,$F140=""),"",SUMIFS(Tree!$R:$R,Tree!$A:$A,'Pre-Harvest Plots_rpt'!$B140,Tree!$B:$B,'Pre-Harvest Plots_rpt'!$D140,Tree!$F:$F,"L"))</f>
        <v/>
      </c>
      <c r="J140" s="121" t="str">
        <f>IF(OR($F140=0,$F140=""),"",IF(SUMIFS(Tree!$W:$W,Tree!$A:$A,'Pre-Harvest Plots_rpt'!$B140,Tree!$B:$B,'Pre-Harvest Plots_rpt'!$D140,Tree!$F:$F,"L")=0,0,AVERAGEIFS(Tree!$W:$W,Tree!$A:$A,'Pre-Harvest Plots_rpt'!$B140,Tree!$B:$B,'Pre-Harvest Plots_rpt'!$D140,Tree!$F:$F,"L")))</f>
        <v/>
      </c>
      <c r="K140" s="121" t="str">
        <f>IF($F140="","",SUMIFS(Tree!$S:$S,Tree!$A:$A,'Pre-Harvest Plots_rpt'!$B140,Tree!$B:$B,'Pre-Harvest Plots_rpt'!$D140,Tree!$F:$F,"L"))</f>
        <v/>
      </c>
      <c r="L140" s="154" t="str">
        <f t="shared" si="12"/>
        <v/>
      </c>
      <c r="M140" s="135"/>
      <c r="N140" s="192" t="str">
        <f>IF(B140="","",SUMIFS(Tree!$AM:$AM,Tree!$A:$A,'Pre-Harvest Plots_rpt'!$B140,Tree!$B:$B,'Pre-Harvest Plots_rpt'!$D140,Tree!$F:$F,"L"))</f>
        <v/>
      </c>
      <c r="O140" s="122" t="str">
        <f>IF(B140="","",SUMIFS(Tree!$AN:$AN,Tree!$A:$A,'Pre-Harvest Plots_rpt'!$B140,Tree!$B:$B,'Pre-Harvest Plots_rpt'!$D140,Tree!$F:$F,"L"))</f>
        <v/>
      </c>
      <c r="P140" s="122" t="str">
        <f>IF(B140="","",SUMIFS(Tree!$AO:$AO,Tree!$A:$A,'Pre-Harvest Plots_rpt'!$B140,Tree!$B:$B,'Pre-Harvest Plots_rpt'!$D140,Tree!$F:$F,"L"))</f>
        <v/>
      </c>
      <c r="Q140" s="122" t="str">
        <f>IF(B140="","",SUMIFS(Tree!$AP:$AP,Tree!$A:$A,'Pre-Harvest Plots_rpt'!$B140,Tree!$B:$B,'Pre-Harvest Plots_rpt'!$D140,Tree!$F:$F,"L"))</f>
        <v/>
      </c>
      <c r="R140" s="123" t="str">
        <f>IF(B140="","",SUMIFS(Tree!$AQ:$AQ,Tree!$A:$A,'Pre-Harvest Plots_rpt'!$B140,Tree!$B:$B,'Pre-Harvest Plots_rpt'!$D140,Tree!$F:$F,"L"))</f>
        <v/>
      </c>
      <c r="S140" s="122" t="str">
        <f>IF(B140="","",SUMIFS(Tree!$AJ:$AJ,Tree!$A:$A,'Pre-Harvest Plots_rpt'!$B140,Tree!$B:$B,'Pre-Harvest Plots_rpt'!$D140,Tree!$F:$F,"L")-O140)</f>
        <v/>
      </c>
      <c r="T140" s="122" t="str">
        <f>IF(B140="","",SUMIFS(Tree!$AK:$AK,Tree!$A:$A,'Pre-Harvest Plots_rpt'!$B140,Tree!$B:$B,'Pre-Harvest Plots_rpt'!$D140,Tree!$F:$F,"L")-P140)</f>
        <v/>
      </c>
      <c r="U140" s="122" t="str">
        <f>IF(B140="","",SUMIFS(Tree!$AL:$AL,Tree!$A:$A,'Pre-Harvest Plots_rpt'!$B140,Tree!$B:$B,'Pre-Harvest Plots_rpt'!$D140,Tree!$F:$F,"L")-Q140)</f>
        <v/>
      </c>
      <c r="V140" s="123" t="str">
        <f>IF(B140="","",ROUND(SUMIFS(Tree!$AE:$AE,Tree!$A:$A,'Pre-Harvest Plots_rpt'!$B140,Tree!$B:$B,'Pre-Harvest Plots_rpt'!$D140,Tree!$F:$F,"L")-R140,1))</f>
        <v/>
      </c>
      <c r="W140" s="124" t="str">
        <f>IF(B140="","",SUMIFS(Tree!$AY:$AY,Tree!$A:$A,'Pre-Harvest Plots_rpt'!$B140,Tree!$B:$B,'Pre-Harvest Plots_rpt'!$D140,Tree!$F:$F,"L")/1000)</f>
        <v/>
      </c>
      <c r="X140" s="158" t="str">
        <f>IF(B140="","",ROUND((SUMIFS(Tree!$AW:$AW,Tree!$A:$A,'Pre-Harvest Plots_rpt'!$B140,Tree!$B:$B,'Pre-Harvest Plots_rpt'!$D140,Tree!$F:$F,"L")/1000)-W140,1))</f>
        <v/>
      </c>
      <c r="Y140" s="135"/>
      <c r="Z140" s="161" t="str">
        <f>IF(IF(B140="","",SUMIFS(Tree!$O:$O,Tree!$A:$A,'Pre-Harvest Plots_rpt'!$B140,Tree!$B:$B,'Pre-Harvest Plots_rpt'!$D140,Tree!$F:$F,"D"))=0,"",IF(B140="","",SUMIFS(Tree!$O:$O,Tree!$A:$A,'Pre-Harvest Plots_rpt'!$B140,Tree!$B:$B,'Pre-Harvest Plots_rpt'!$D140,Tree!$F:$F,"D")))</f>
        <v/>
      </c>
      <c r="AA140" s="125" t="str">
        <f t="shared" si="14"/>
        <v/>
      </c>
      <c r="AB140" s="125" t="str">
        <f>IF(Z140="","",SUMIFS(Tree!$R:$R,Tree!$A:$A,'Pre-Harvest Plots_rpt'!$B140,Tree!$B:$B,'Pre-Harvest Plots_rpt'!$D140,Tree!$F:$F,"D"))</f>
        <v/>
      </c>
      <c r="AC140" s="126" t="str">
        <f>IF(Z140="","",SUMIFS(Tree!$AM:$AM,Tree!$A:$A,'Pre-Harvest Plots_rpt'!$B140,Tree!$B:$B,'Pre-Harvest Plots_rpt'!$D140,Tree!$F:$F,"D"))</f>
        <v/>
      </c>
      <c r="AD140" s="162" t="str">
        <f>IF(Z140="","",SUMIFS(Tree!$AW:$AW,Tree!$A:$A,'Pre-Harvest Plots_rpt'!$B140,Tree!$B:$B,'Pre-Harvest Plots_rpt'!$D140,Tree!$F:$F,"D")/1000)</f>
        <v/>
      </c>
      <c r="AE140" s="47"/>
      <c r="AF140" s="4"/>
      <c r="AG140" s="4"/>
      <c r="AH140" s="4"/>
    </row>
    <row r="141" spans="1:34" ht="12.75" customHeight="1" x14ac:dyDescent="0.25">
      <c r="A141" s="48">
        <v>138</v>
      </c>
      <c r="B141" s="171" t="str">
        <f>IF(A141&lt;=SUM(Stand!$H$3:$H$29),VLOOKUP(A141,Stand!$A$3:$C$29,3,TRUE),"")</f>
        <v/>
      </c>
      <c r="C141" s="172" t="str">
        <f t="shared" si="13"/>
        <v/>
      </c>
      <c r="D141" s="173" t="str">
        <f>IF(B141="","",VLOOKUP(B141&amp;C141,Plot!$B$2:$D$199,3,FALSE))</f>
        <v/>
      </c>
      <c r="E141" s="130"/>
      <c r="F141" s="152" t="str">
        <f>IF(B141="","",SUMIFS(Tree!$O:$O,Tree!$A:$A,'Pre-Harvest Plots_rpt'!$B141,Tree!$B:$B,'Pre-Harvest Plots_rpt'!$D141,Tree!$F:$F,"L"))</f>
        <v/>
      </c>
      <c r="G141" s="153" t="str">
        <f>IFERROR(IF(D141="","",SUMIFS(Tree!$P:$P,Tree!$A:$A,'Pre-Harvest Plots_rpt'!$B141,Tree!$B:$B,'Pre-Harvest Plots_rpt'!$D141)/$F141),"")</f>
        <v/>
      </c>
      <c r="H141" s="122" t="str">
        <f t="shared" ref="H141:H199" si="15">IF(F141=0,"",IF(F141="","",((I141/F141)/0.005454)^0.5))</f>
        <v/>
      </c>
      <c r="I141" s="121" t="str">
        <f>IF(OR($F141=0,$F141=""),"",SUMIFS(Tree!$R:$R,Tree!$A:$A,'Pre-Harvest Plots_rpt'!$B141,Tree!$B:$B,'Pre-Harvest Plots_rpt'!$D141,Tree!$F:$F,"L"))</f>
        <v/>
      </c>
      <c r="J141" s="121" t="str">
        <f>IF(OR($F141=0,$F141=""),"",IF(SUMIFS(Tree!$W:$W,Tree!$A:$A,'Pre-Harvest Plots_rpt'!$B141,Tree!$B:$B,'Pre-Harvest Plots_rpt'!$D141,Tree!$F:$F,"L")=0,0,AVERAGEIFS(Tree!$W:$W,Tree!$A:$A,'Pre-Harvest Plots_rpt'!$B141,Tree!$B:$B,'Pre-Harvest Plots_rpt'!$D141,Tree!$F:$F,"L")))</f>
        <v/>
      </c>
      <c r="K141" s="121" t="str">
        <f>IF($F141="","",SUMIFS(Tree!$S:$S,Tree!$A:$A,'Pre-Harvest Plots_rpt'!$B141,Tree!$B:$B,'Pre-Harvest Plots_rpt'!$D141,Tree!$F:$F,"L"))</f>
        <v/>
      </c>
      <c r="L141" s="154" t="str">
        <f t="shared" ref="L141:L199" si="16">IF($F141="","",IF(D141=0,0,I141/(H141^0.5)))</f>
        <v/>
      </c>
      <c r="M141" s="135"/>
      <c r="N141" s="192" t="str">
        <f>IF(B141="","",SUMIFS(Tree!$AM:$AM,Tree!$A:$A,'Pre-Harvest Plots_rpt'!$B141,Tree!$B:$B,'Pre-Harvest Plots_rpt'!$D141,Tree!$F:$F,"L"))</f>
        <v/>
      </c>
      <c r="O141" s="122" t="str">
        <f>IF(B141="","",SUMIFS(Tree!$AN:$AN,Tree!$A:$A,'Pre-Harvest Plots_rpt'!$B141,Tree!$B:$B,'Pre-Harvest Plots_rpt'!$D141,Tree!$F:$F,"L"))</f>
        <v/>
      </c>
      <c r="P141" s="122" t="str">
        <f>IF(B141="","",SUMIFS(Tree!$AO:$AO,Tree!$A:$A,'Pre-Harvest Plots_rpt'!$B141,Tree!$B:$B,'Pre-Harvest Plots_rpt'!$D141,Tree!$F:$F,"L"))</f>
        <v/>
      </c>
      <c r="Q141" s="122" t="str">
        <f>IF(B141="","",SUMIFS(Tree!$AP:$AP,Tree!$A:$A,'Pre-Harvest Plots_rpt'!$B141,Tree!$B:$B,'Pre-Harvest Plots_rpt'!$D141,Tree!$F:$F,"L"))</f>
        <v/>
      </c>
      <c r="R141" s="123" t="str">
        <f>IF(B141="","",SUMIFS(Tree!$AQ:$AQ,Tree!$A:$A,'Pre-Harvest Plots_rpt'!$B141,Tree!$B:$B,'Pre-Harvest Plots_rpt'!$D141,Tree!$F:$F,"L"))</f>
        <v/>
      </c>
      <c r="S141" s="122" t="str">
        <f>IF(B141="","",SUMIFS(Tree!$AJ:$AJ,Tree!$A:$A,'Pre-Harvest Plots_rpt'!$B141,Tree!$B:$B,'Pre-Harvest Plots_rpt'!$D141,Tree!$F:$F,"L")-O141)</f>
        <v/>
      </c>
      <c r="T141" s="122" t="str">
        <f>IF(B141="","",SUMIFS(Tree!$AK:$AK,Tree!$A:$A,'Pre-Harvest Plots_rpt'!$B141,Tree!$B:$B,'Pre-Harvest Plots_rpt'!$D141,Tree!$F:$F,"L")-P141)</f>
        <v/>
      </c>
      <c r="U141" s="122" t="str">
        <f>IF(B141="","",SUMIFS(Tree!$AL:$AL,Tree!$A:$A,'Pre-Harvest Plots_rpt'!$B141,Tree!$B:$B,'Pre-Harvest Plots_rpt'!$D141,Tree!$F:$F,"L")-Q141)</f>
        <v/>
      </c>
      <c r="V141" s="123" t="str">
        <f>IF(B141="","",ROUND(SUMIFS(Tree!$AE:$AE,Tree!$A:$A,'Pre-Harvest Plots_rpt'!$B141,Tree!$B:$B,'Pre-Harvest Plots_rpt'!$D141,Tree!$F:$F,"L")-R141,1))</f>
        <v/>
      </c>
      <c r="W141" s="124" t="str">
        <f>IF(B141="","",SUMIFS(Tree!$AY:$AY,Tree!$A:$A,'Pre-Harvest Plots_rpt'!$B141,Tree!$B:$B,'Pre-Harvest Plots_rpt'!$D141,Tree!$F:$F,"L")/1000)</f>
        <v/>
      </c>
      <c r="X141" s="158" t="str">
        <f>IF(B141="","",ROUND((SUMIFS(Tree!$AW:$AW,Tree!$A:$A,'Pre-Harvest Plots_rpt'!$B141,Tree!$B:$B,'Pre-Harvest Plots_rpt'!$D141,Tree!$F:$F,"L")/1000)-W141,1))</f>
        <v/>
      </c>
      <c r="Y141" s="135"/>
      <c r="Z141" s="161" t="str">
        <f>IF(IF(B141="","",SUMIFS(Tree!$O:$O,Tree!$A:$A,'Pre-Harvest Plots_rpt'!$B141,Tree!$B:$B,'Pre-Harvest Plots_rpt'!$D141,Tree!$F:$F,"D"))=0,"",IF(B141="","",SUMIFS(Tree!$O:$O,Tree!$A:$A,'Pre-Harvest Plots_rpt'!$B141,Tree!$B:$B,'Pre-Harvest Plots_rpt'!$D141,Tree!$F:$F,"D")))</f>
        <v/>
      </c>
      <c r="AA141" s="125" t="str">
        <f t="shared" si="14"/>
        <v/>
      </c>
      <c r="AB141" s="125" t="str">
        <f>IF(Z141="","",SUMIFS(Tree!$R:$R,Tree!$A:$A,'Pre-Harvest Plots_rpt'!$B141,Tree!$B:$B,'Pre-Harvest Plots_rpt'!$D141,Tree!$F:$F,"D"))</f>
        <v/>
      </c>
      <c r="AC141" s="126" t="str">
        <f>IF(Z141="","",SUMIFS(Tree!$AM:$AM,Tree!$A:$A,'Pre-Harvest Plots_rpt'!$B141,Tree!$B:$B,'Pre-Harvest Plots_rpt'!$D141,Tree!$F:$F,"D"))</f>
        <v/>
      </c>
      <c r="AD141" s="162" t="str">
        <f>IF(Z141="","",SUMIFS(Tree!$AW:$AW,Tree!$A:$A,'Pre-Harvest Plots_rpt'!$B141,Tree!$B:$B,'Pre-Harvest Plots_rpt'!$D141,Tree!$F:$F,"D")/1000)</f>
        <v/>
      </c>
      <c r="AE141" s="47"/>
      <c r="AF141" s="4"/>
      <c r="AG141" s="4"/>
      <c r="AH141" s="4"/>
    </row>
    <row r="142" spans="1:34" ht="12.75" customHeight="1" x14ac:dyDescent="0.25">
      <c r="A142" s="48">
        <v>139</v>
      </c>
      <c r="B142" s="171" t="str">
        <f>IF(A142&lt;=SUM(Stand!$H$3:$H$29),VLOOKUP(A142,Stand!$A$3:$C$29,3,TRUE),"")</f>
        <v/>
      </c>
      <c r="C142" s="172" t="str">
        <f t="shared" ref="C142:C199" si="17">IF(LEN(B142)&gt;0,IF(B142=B141,C141+1,1),"")</f>
        <v/>
      </c>
      <c r="D142" s="173" t="str">
        <f>IF(B142="","",VLOOKUP(B142&amp;C142,Plot!$B$2:$D$199,3,FALSE))</f>
        <v/>
      </c>
      <c r="E142" s="130"/>
      <c r="F142" s="152" t="str">
        <f>IF(B142="","",SUMIFS(Tree!$O:$O,Tree!$A:$A,'Pre-Harvest Plots_rpt'!$B142,Tree!$B:$B,'Pre-Harvest Plots_rpt'!$D142,Tree!$F:$F,"L"))</f>
        <v/>
      </c>
      <c r="G142" s="153" t="str">
        <f>IFERROR(IF(D142="","",SUMIFS(Tree!$P:$P,Tree!$A:$A,'Pre-Harvest Plots_rpt'!$B142,Tree!$B:$B,'Pre-Harvest Plots_rpt'!$D142)/$F142),"")</f>
        <v/>
      </c>
      <c r="H142" s="122" t="str">
        <f t="shared" si="15"/>
        <v/>
      </c>
      <c r="I142" s="121" t="str">
        <f>IF(OR($F142=0,$F142=""),"",SUMIFS(Tree!$R:$R,Tree!$A:$A,'Pre-Harvest Plots_rpt'!$B142,Tree!$B:$B,'Pre-Harvest Plots_rpt'!$D142,Tree!$F:$F,"L"))</f>
        <v/>
      </c>
      <c r="J142" s="121" t="str">
        <f>IF(OR($F142=0,$F142=""),"",IF(SUMIFS(Tree!$W:$W,Tree!$A:$A,'Pre-Harvest Plots_rpt'!$B142,Tree!$B:$B,'Pre-Harvest Plots_rpt'!$D142,Tree!$F:$F,"L")=0,0,AVERAGEIFS(Tree!$W:$W,Tree!$A:$A,'Pre-Harvest Plots_rpt'!$B142,Tree!$B:$B,'Pre-Harvest Plots_rpt'!$D142,Tree!$F:$F,"L")))</f>
        <v/>
      </c>
      <c r="K142" s="121" t="str">
        <f>IF($F142="","",SUMIFS(Tree!$S:$S,Tree!$A:$A,'Pre-Harvest Plots_rpt'!$B142,Tree!$B:$B,'Pre-Harvest Plots_rpt'!$D142,Tree!$F:$F,"L"))</f>
        <v/>
      </c>
      <c r="L142" s="154" t="str">
        <f t="shared" si="16"/>
        <v/>
      </c>
      <c r="M142" s="135"/>
      <c r="N142" s="192" t="str">
        <f>IF(B142="","",SUMIFS(Tree!$AM:$AM,Tree!$A:$A,'Pre-Harvest Plots_rpt'!$B142,Tree!$B:$B,'Pre-Harvest Plots_rpt'!$D142,Tree!$F:$F,"L"))</f>
        <v/>
      </c>
      <c r="O142" s="122" t="str">
        <f>IF(B142="","",SUMIFS(Tree!$AN:$AN,Tree!$A:$A,'Pre-Harvest Plots_rpt'!$B142,Tree!$B:$B,'Pre-Harvest Plots_rpt'!$D142,Tree!$F:$F,"L"))</f>
        <v/>
      </c>
      <c r="P142" s="122" t="str">
        <f>IF(B142="","",SUMIFS(Tree!$AO:$AO,Tree!$A:$A,'Pre-Harvest Plots_rpt'!$B142,Tree!$B:$B,'Pre-Harvest Plots_rpt'!$D142,Tree!$F:$F,"L"))</f>
        <v/>
      </c>
      <c r="Q142" s="122" t="str">
        <f>IF(B142="","",SUMIFS(Tree!$AP:$AP,Tree!$A:$A,'Pre-Harvest Plots_rpt'!$B142,Tree!$B:$B,'Pre-Harvest Plots_rpt'!$D142,Tree!$F:$F,"L"))</f>
        <v/>
      </c>
      <c r="R142" s="123" t="str">
        <f>IF(B142="","",SUMIFS(Tree!$AQ:$AQ,Tree!$A:$A,'Pre-Harvest Plots_rpt'!$B142,Tree!$B:$B,'Pre-Harvest Plots_rpt'!$D142,Tree!$F:$F,"L"))</f>
        <v/>
      </c>
      <c r="S142" s="122" t="str">
        <f>IF(B142="","",SUMIFS(Tree!$AJ:$AJ,Tree!$A:$A,'Pre-Harvest Plots_rpt'!$B142,Tree!$B:$B,'Pre-Harvest Plots_rpt'!$D142,Tree!$F:$F,"L")-O142)</f>
        <v/>
      </c>
      <c r="T142" s="122" t="str">
        <f>IF(B142="","",SUMIFS(Tree!$AK:$AK,Tree!$A:$A,'Pre-Harvest Plots_rpt'!$B142,Tree!$B:$B,'Pre-Harvest Plots_rpt'!$D142,Tree!$F:$F,"L")-P142)</f>
        <v/>
      </c>
      <c r="U142" s="122" t="str">
        <f>IF(B142="","",SUMIFS(Tree!$AL:$AL,Tree!$A:$A,'Pre-Harvest Plots_rpt'!$B142,Tree!$B:$B,'Pre-Harvest Plots_rpt'!$D142,Tree!$F:$F,"L")-Q142)</f>
        <v/>
      </c>
      <c r="V142" s="123" t="str">
        <f>IF(B142="","",ROUND(SUMIFS(Tree!$AE:$AE,Tree!$A:$A,'Pre-Harvest Plots_rpt'!$B142,Tree!$B:$B,'Pre-Harvest Plots_rpt'!$D142,Tree!$F:$F,"L")-R142,1))</f>
        <v/>
      </c>
      <c r="W142" s="124" t="str">
        <f>IF(B142="","",SUMIFS(Tree!$AY:$AY,Tree!$A:$A,'Pre-Harvest Plots_rpt'!$B142,Tree!$B:$B,'Pre-Harvest Plots_rpt'!$D142,Tree!$F:$F,"L")/1000)</f>
        <v/>
      </c>
      <c r="X142" s="158" t="str">
        <f>IF(B142="","",ROUND((SUMIFS(Tree!$AW:$AW,Tree!$A:$A,'Pre-Harvest Plots_rpt'!$B142,Tree!$B:$B,'Pre-Harvest Plots_rpt'!$D142,Tree!$F:$F,"L")/1000)-W142,1))</f>
        <v/>
      </c>
      <c r="Y142" s="135"/>
      <c r="Z142" s="161" t="str">
        <f>IF(IF(B142="","",SUMIFS(Tree!$O:$O,Tree!$A:$A,'Pre-Harvest Plots_rpt'!$B142,Tree!$B:$B,'Pre-Harvest Plots_rpt'!$D142,Tree!$F:$F,"D"))=0,"",IF(B142="","",SUMIFS(Tree!$O:$O,Tree!$A:$A,'Pre-Harvest Plots_rpt'!$B142,Tree!$B:$B,'Pre-Harvest Plots_rpt'!$D142,Tree!$F:$F,"D")))</f>
        <v/>
      </c>
      <c r="AA142" s="125" t="str">
        <f t="shared" si="14"/>
        <v/>
      </c>
      <c r="AB142" s="125" t="str">
        <f>IF(Z142="","",SUMIFS(Tree!$R:$R,Tree!$A:$A,'Pre-Harvest Plots_rpt'!$B142,Tree!$B:$B,'Pre-Harvest Plots_rpt'!$D142,Tree!$F:$F,"D"))</f>
        <v/>
      </c>
      <c r="AC142" s="126" t="str">
        <f>IF(Z142="","",SUMIFS(Tree!$AM:$AM,Tree!$A:$A,'Pre-Harvest Plots_rpt'!$B142,Tree!$B:$B,'Pre-Harvest Plots_rpt'!$D142,Tree!$F:$F,"D"))</f>
        <v/>
      </c>
      <c r="AD142" s="162" t="str">
        <f>IF(Z142="","",SUMIFS(Tree!$AW:$AW,Tree!$A:$A,'Pre-Harvest Plots_rpt'!$B142,Tree!$B:$B,'Pre-Harvest Plots_rpt'!$D142,Tree!$F:$F,"D")/1000)</f>
        <v/>
      </c>
      <c r="AE142" s="47"/>
      <c r="AF142" s="4"/>
      <c r="AG142" s="4"/>
      <c r="AH142" s="4"/>
    </row>
    <row r="143" spans="1:34" ht="12.75" customHeight="1" x14ac:dyDescent="0.25">
      <c r="A143" s="48">
        <v>140</v>
      </c>
      <c r="B143" s="171" t="str">
        <f>IF(A143&lt;=SUM(Stand!$H$3:$H$29),VLOOKUP(A143,Stand!$A$3:$C$29,3,TRUE),"")</f>
        <v/>
      </c>
      <c r="C143" s="172" t="str">
        <f t="shared" si="17"/>
        <v/>
      </c>
      <c r="D143" s="173" t="str">
        <f>IF(B143="","",VLOOKUP(B143&amp;C143,Plot!$B$2:$D$199,3,FALSE))</f>
        <v/>
      </c>
      <c r="E143" s="130"/>
      <c r="F143" s="152" t="str">
        <f>IF(B143="","",SUMIFS(Tree!$O:$O,Tree!$A:$A,'Pre-Harvest Plots_rpt'!$B143,Tree!$B:$B,'Pre-Harvest Plots_rpt'!$D143,Tree!$F:$F,"L"))</f>
        <v/>
      </c>
      <c r="G143" s="153" t="str">
        <f>IFERROR(IF(D143="","",SUMIFS(Tree!$P:$P,Tree!$A:$A,'Pre-Harvest Plots_rpt'!$B143,Tree!$B:$B,'Pre-Harvest Plots_rpt'!$D143)/$F143),"")</f>
        <v/>
      </c>
      <c r="H143" s="122" t="str">
        <f t="shared" si="15"/>
        <v/>
      </c>
      <c r="I143" s="121" t="str">
        <f>IF(OR($F143=0,$F143=""),"",SUMIFS(Tree!$R:$R,Tree!$A:$A,'Pre-Harvest Plots_rpt'!$B143,Tree!$B:$B,'Pre-Harvest Plots_rpt'!$D143,Tree!$F:$F,"L"))</f>
        <v/>
      </c>
      <c r="J143" s="121" t="str">
        <f>IF(OR($F143=0,$F143=""),"",IF(SUMIFS(Tree!$W:$W,Tree!$A:$A,'Pre-Harvest Plots_rpt'!$B143,Tree!$B:$B,'Pre-Harvest Plots_rpt'!$D143,Tree!$F:$F,"L")=0,0,AVERAGEIFS(Tree!$W:$W,Tree!$A:$A,'Pre-Harvest Plots_rpt'!$B143,Tree!$B:$B,'Pre-Harvest Plots_rpt'!$D143,Tree!$F:$F,"L")))</f>
        <v/>
      </c>
      <c r="K143" s="121" t="str">
        <f>IF($F143="","",SUMIFS(Tree!$S:$S,Tree!$A:$A,'Pre-Harvest Plots_rpt'!$B143,Tree!$B:$B,'Pre-Harvest Plots_rpt'!$D143,Tree!$F:$F,"L"))</f>
        <v/>
      </c>
      <c r="L143" s="154" t="str">
        <f t="shared" si="16"/>
        <v/>
      </c>
      <c r="M143" s="135"/>
      <c r="N143" s="192" t="str">
        <f>IF(B143="","",SUMIFS(Tree!$AM:$AM,Tree!$A:$A,'Pre-Harvest Plots_rpt'!$B143,Tree!$B:$B,'Pre-Harvest Plots_rpt'!$D143,Tree!$F:$F,"L"))</f>
        <v/>
      </c>
      <c r="O143" s="122" t="str">
        <f>IF(B143="","",SUMIFS(Tree!$AN:$AN,Tree!$A:$A,'Pre-Harvest Plots_rpt'!$B143,Tree!$B:$B,'Pre-Harvest Plots_rpt'!$D143,Tree!$F:$F,"L"))</f>
        <v/>
      </c>
      <c r="P143" s="122" t="str">
        <f>IF(B143="","",SUMIFS(Tree!$AO:$AO,Tree!$A:$A,'Pre-Harvest Plots_rpt'!$B143,Tree!$B:$B,'Pre-Harvest Plots_rpt'!$D143,Tree!$F:$F,"L"))</f>
        <v/>
      </c>
      <c r="Q143" s="122" t="str">
        <f>IF(B143="","",SUMIFS(Tree!$AP:$AP,Tree!$A:$A,'Pre-Harvest Plots_rpt'!$B143,Tree!$B:$B,'Pre-Harvest Plots_rpt'!$D143,Tree!$F:$F,"L"))</f>
        <v/>
      </c>
      <c r="R143" s="123" t="str">
        <f>IF(B143="","",SUMIFS(Tree!$AQ:$AQ,Tree!$A:$A,'Pre-Harvest Plots_rpt'!$B143,Tree!$B:$B,'Pre-Harvest Plots_rpt'!$D143,Tree!$F:$F,"L"))</f>
        <v/>
      </c>
      <c r="S143" s="122" t="str">
        <f>IF(B143="","",SUMIFS(Tree!$AJ:$AJ,Tree!$A:$A,'Pre-Harvest Plots_rpt'!$B143,Tree!$B:$B,'Pre-Harvest Plots_rpt'!$D143,Tree!$F:$F,"L")-O143)</f>
        <v/>
      </c>
      <c r="T143" s="122" t="str">
        <f>IF(B143="","",SUMIFS(Tree!$AK:$AK,Tree!$A:$A,'Pre-Harvest Plots_rpt'!$B143,Tree!$B:$B,'Pre-Harvest Plots_rpt'!$D143,Tree!$F:$F,"L")-P143)</f>
        <v/>
      </c>
      <c r="U143" s="122" t="str">
        <f>IF(B143="","",SUMIFS(Tree!$AL:$AL,Tree!$A:$A,'Pre-Harvest Plots_rpt'!$B143,Tree!$B:$B,'Pre-Harvest Plots_rpt'!$D143,Tree!$F:$F,"L")-Q143)</f>
        <v/>
      </c>
      <c r="V143" s="123" t="str">
        <f>IF(B143="","",ROUND(SUMIFS(Tree!$AE:$AE,Tree!$A:$A,'Pre-Harvest Plots_rpt'!$B143,Tree!$B:$B,'Pre-Harvest Plots_rpt'!$D143,Tree!$F:$F,"L")-R143,1))</f>
        <v/>
      </c>
      <c r="W143" s="124" t="str">
        <f>IF(B143="","",SUMIFS(Tree!$AY:$AY,Tree!$A:$A,'Pre-Harvest Plots_rpt'!$B143,Tree!$B:$B,'Pre-Harvest Plots_rpt'!$D143,Tree!$F:$F,"L")/1000)</f>
        <v/>
      </c>
      <c r="X143" s="158" t="str">
        <f>IF(B143="","",ROUND((SUMIFS(Tree!$AW:$AW,Tree!$A:$A,'Pre-Harvest Plots_rpt'!$B143,Tree!$B:$B,'Pre-Harvest Plots_rpt'!$D143,Tree!$F:$F,"L")/1000)-W143,1))</f>
        <v/>
      </c>
      <c r="Y143" s="135"/>
      <c r="Z143" s="161" t="str">
        <f>IF(IF(B143="","",SUMIFS(Tree!$O:$O,Tree!$A:$A,'Pre-Harvest Plots_rpt'!$B143,Tree!$B:$B,'Pre-Harvest Plots_rpt'!$D143,Tree!$F:$F,"D"))=0,"",IF(B143="","",SUMIFS(Tree!$O:$O,Tree!$A:$A,'Pre-Harvest Plots_rpt'!$B143,Tree!$B:$B,'Pre-Harvest Plots_rpt'!$D143,Tree!$F:$F,"D")))</f>
        <v/>
      </c>
      <c r="AA143" s="125" t="str">
        <f t="shared" si="14"/>
        <v/>
      </c>
      <c r="AB143" s="125" t="str">
        <f>IF(Z143="","",SUMIFS(Tree!$R:$R,Tree!$A:$A,'Pre-Harvest Plots_rpt'!$B143,Tree!$B:$B,'Pre-Harvest Plots_rpt'!$D143,Tree!$F:$F,"D"))</f>
        <v/>
      </c>
      <c r="AC143" s="126" t="str">
        <f>IF(Z143="","",SUMIFS(Tree!$AM:$AM,Tree!$A:$A,'Pre-Harvest Plots_rpt'!$B143,Tree!$B:$B,'Pre-Harvest Plots_rpt'!$D143,Tree!$F:$F,"D"))</f>
        <v/>
      </c>
      <c r="AD143" s="162" t="str">
        <f>IF(Z143="","",SUMIFS(Tree!$AW:$AW,Tree!$A:$A,'Pre-Harvest Plots_rpt'!$B143,Tree!$B:$B,'Pre-Harvest Plots_rpt'!$D143,Tree!$F:$F,"D")/1000)</f>
        <v/>
      </c>
      <c r="AE143" s="47"/>
      <c r="AF143" s="4"/>
      <c r="AG143" s="4"/>
      <c r="AH143" s="4"/>
    </row>
    <row r="144" spans="1:34" ht="12.75" customHeight="1" x14ac:dyDescent="0.25">
      <c r="A144" s="48">
        <v>141</v>
      </c>
      <c r="B144" s="171" t="str">
        <f>IF(A144&lt;=SUM(Stand!$H$3:$H$29),VLOOKUP(A144,Stand!$A$3:$C$29,3,TRUE),"")</f>
        <v/>
      </c>
      <c r="C144" s="172" t="str">
        <f t="shared" si="17"/>
        <v/>
      </c>
      <c r="D144" s="173" t="str">
        <f>IF(B144="","",VLOOKUP(B144&amp;C144,Plot!$B$2:$D$199,3,FALSE))</f>
        <v/>
      </c>
      <c r="E144" s="130"/>
      <c r="F144" s="152" t="str">
        <f>IF(B144="","",SUMIFS(Tree!$O:$O,Tree!$A:$A,'Pre-Harvest Plots_rpt'!$B144,Tree!$B:$B,'Pre-Harvest Plots_rpt'!$D144,Tree!$F:$F,"L"))</f>
        <v/>
      </c>
      <c r="G144" s="153" t="str">
        <f>IFERROR(IF(D144="","",SUMIFS(Tree!$P:$P,Tree!$A:$A,'Pre-Harvest Plots_rpt'!$B144,Tree!$B:$B,'Pre-Harvest Plots_rpt'!$D144)/$F144),"")</f>
        <v/>
      </c>
      <c r="H144" s="122" t="str">
        <f t="shared" si="15"/>
        <v/>
      </c>
      <c r="I144" s="121" t="str">
        <f>IF(OR($F144=0,$F144=""),"",SUMIFS(Tree!$R:$R,Tree!$A:$A,'Pre-Harvest Plots_rpt'!$B144,Tree!$B:$B,'Pre-Harvest Plots_rpt'!$D144,Tree!$F:$F,"L"))</f>
        <v/>
      </c>
      <c r="J144" s="121" t="str">
        <f>IF(OR($F144=0,$F144=""),"",IF(SUMIFS(Tree!$W:$W,Tree!$A:$A,'Pre-Harvest Plots_rpt'!$B144,Tree!$B:$B,'Pre-Harvest Plots_rpt'!$D144,Tree!$F:$F,"L")=0,0,AVERAGEIFS(Tree!$W:$W,Tree!$A:$A,'Pre-Harvest Plots_rpt'!$B144,Tree!$B:$B,'Pre-Harvest Plots_rpt'!$D144,Tree!$F:$F,"L")))</f>
        <v/>
      </c>
      <c r="K144" s="121" t="str">
        <f>IF($F144="","",SUMIFS(Tree!$S:$S,Tree!$A:$A,'Pre-Harvest Plots_rpt'!$B144,Tree!$B:$B,'Pre-Harvest Plots_rpt'!$D144,Tree!$F:$F,"L"))</f>
        <v/>
      </c>
      <c r="L144" s="154" t="str">
        <f t="shared" si="16"/>
        <v/>
      </c>
      <c r="M144" s="135"/>
      <c r="N144" s="192" t="str">
        <f>IF(B144="","",SUMIFS(Tree!$AM:$AM,Tree!$A:$A,'Pre-Harvest Plots_rpt'!$B144,Tree!$B:$B,'Pre-Harvest Plots_rpt'!$D144,Tree!$F:$F,"L"))</f>
        <v/>
      </c>
      <c r="O144" s="122" t="str">
        <f>IF(B144="","",SUMIFS(Tree!$AN:$AN,Tree!$A:$A,'Pre-Harvest Plots_rpt'!$B144,Tree!$B:$B,'Pre-Harvest Plots_rpt'!$D144,Tree!$F:$F,"L"))</f>
        <v/>
      </c>
      <c r="P144" s="122" t="str">
        <f>IF(B144="","",SUMIFS(Tree!$AO:$AO,Tree!$A:$A,'Pre-Harvest Plots_rpt'!$B144,Tree!$B:$B,'Pre-Harvest Plots_rpt'!$D144,Tree!$F:$F,"L"))</f>
        <v/>
      </c>
      <c r="Q144" s="122" t="str">
        <f>IF(B144="","",SUMIFS(Tree!$AP:$AP,Tree!$A:$A,'Pre-Harvest Plots_rpt'!$B144,Tree!$B:$B,'Pre-Harvest Plots_rpt'!$D144,Tree!$F:$F,"L"))</f>
        <v/>
      </c>
      <c r="R144" s="123" t="str">
        <f>IF(B144="","",SUMIFS(Tree!$AQ:$AQ,Tree!$A:$A,'Pre-Harvest Plots_rpt'!$B144,Tree!$B:$B,'Pre-Harvest Plots_rpt'!$D144,Tree!$F:$F,"L"))</f>
        <v/>
      </c>
      <c r="S144" s="122" t="str">
        <f>IF(B144="","",SUMIFS(Tree!$AJ:$AJ,Tree!$A:$A,'Pre-Harvest Plots_rpt'!$B144,Tree!$B:$B,'Pre-Harvest Plots_rpt'!$D144,Tree!$F:$F,"L")-O144)</f>
        <v/>
      </c>
      <c r="T144" s="122" t="str">
        <f>IF(B144="","",SUMIFS(Tree!$AK:$AK,Tree!$A:$A,'Pre-Harvest Plots_rpt'!$B144,Tree!$B:$B,'Pre-Harvest Plots_rpt'!$D144,Tree!$F:$F,"L")-P144)</f>
        <v/>
      </c>
      <c r="U144" s="122" t="str">
        <f>IF(B144="","",SUMIFS(Tree!$AL:$AL,Tree!$A:$A,'Pre-Harvest Plots_rpt'!$B144,Tree!$B:$B,'Pre-Harvest Plots_rpt'!$D144,Tree!$F:$F,"L")-Q144)</f>
        <v/>
      </c>
      <c r="V144" s="123" t="str">
        <f>IF(B144="","",ROUND(SUMIFS(Tree!$AE:$AE,Tree!$A:$A,'Pre-Harvest Plots_rpt'!$B144,Tree!$B:$B,'Pre-Harvest Plots_rpt'!$D144,Tree!$F:$F,"L")-R144,1))</f>
        <v/>
      </c>
      <c r="W144" s="124" t="str">
        <f>IF(B144="","",SUMIFS(Tree!$AY:$AY,Tree!$A:$A,'Pre-Harvest Plots_rpt'!$B144,Tree!$B:$B,'Pre-Harvest Plots_rpt'!$D144,Tree!$F:$F,"L")/1000)</f>
        <v/>
      </c>
      <c r="X144" s="158" t="str">
        <f>IF(B144="","",ROUND((SUMIFS(Tree!$AW:$AW,Tree!$A:$A,'Pre-Harvest Plots_rpt'!$B144,Tree!$B:$B,'Pre-Harvest Plots_rpt'!$D144,Tree!$F:$F,"L")/1000)-W144,1))</f>
        <v/>
      </c>
      <c r="Y144" s="135"/>
      <c r="Z144" s="161" t="str">
        <f>IF(IF(B144="","",SUMIFS(Tree!$O:$O,Tree!$A:$A,'Pre-Harvest Plots_rpt'!$B144,Tree!$B:$B,'Pre-Harvest Plots_rpt'!$D144,Tree!$F:$F,"D"))=0,"",IF(B144="","",SUMIFS(Tree!$O:$O,Tree!$A:$A,'Pre-Harvest Plots_rpt'!$B144,Tree!$B:$B,'Pre-Harvest Plots_rpt'!$D144,Tree!$F:$F,"D")))</f>
        <v/>
      </c>
      <c r="AA144" s="125" t="str">
        <f t="shared" si="14"/>
        <v/>
      </c>
      <c r="AB144" s="125" t="str">
        <f>IF(Z144="","",SUMIFS(Tree!$R:$R,Tree!$A:$A,'Pre-Harvest Plots_rpt'!$B144,Tree!$B:$B,'Pre-Harvest Plots_rpt'!$D144,Tree!$F:$F,"D"))</f>
        <v/>
      </c>
      <c r="AC144" s="126" t="str">
        <f>IF(Z144="","",SUMIFS(Tree!$AM:$AM,Tree!$A:$A,'Pre-Harvest Plots_rpt'!$B144,Tree!$B:$B,'Pre-Harvest Plots_rpt'!$D144,Tree!$F:$F,"D"))</f>
        <v/>
      </c>
      <c r="AD144" s="162" t="str">
        <f>IF(Z144="","",SUMIFS(Tree!$AW:$AW,Tree!$A:$A,'Pre-Harvest Plots_rpt'!$B144,Tree!$B:$B,'Pre-Harvest Plots_rpt'!$D144,Tree!$F:$F,"D")/1000)</f>
        <v/>
      </c>
      <c r="AE144" s="47"/>
      <c r="AF144" s="4"/>
      <c r="AG144" s="4"/>
      <c r="AH144" s="4"/>
    </row>
    <row r="145" spans="1:34" ht="12.75" customHeight="1" x14ac:dyDescent="0.25">
      <c r="A145" s="48">
        <v>142</v>
      </c>
      <c r="B145" s="171" t="str">
        <f>IF(A145&lt;=SUM(Stand!$H$3:$H$29),VLOOKUP(A145,Stand!$A$3:$C$29,3,TRUE),"")</f>
        <v/>
      </c>
      <c r="C145" s="172" t="str">
        <f t="shared" si="17"/>
        <v/>
      </c>
      <c r="D145" s="173" t="str">
        <f>IF(B145="","",VLOOKUP(B145&amp;C145,Plot!$B$2:$D$199,3,FALSE))</f>
        <v/>
      </c>
      <c r="E145" s="130"/>
      <c r="F145" s="152" t="str">
        <f>IF(B145="","",SUMIFS(Tree!$O:$O,Tree!$A:$A,'Pre-Harvest Plots_rpt'!$B145,Tree!$B:$B,'Pre-Harvest Plots_rpt'!$D145,Tree!$F:$F,"L"))</f>
        <v/>
      </c>
      <c r="G145" s="153" t="str">
        <f>IFERROR(IF(D145="","",SUMIFS(Tree!$P:$P,Tree!$A:$A,'Pre-Harvest Plots_rpt'!$B145,Tree!$B:$B,'Pre-Harvest Plots_rpt'!$D145)/$F145),"")</f>
        <v/>
      </c>
      <c r="H145" s="122" t="str">
        <f t="shared" si="15"/>
        <v/>
      </c>
      <c r="I145" s="121" t="str">
        <f>IF(OR($F145=0,$F145=""),"",SUMIFS(Tree!$R:$R,Tree!$A:$A,'Pre-Harvest Plots_rpt'!$B145,Tree!$B:$B,'Pre-Harvest Plots_rpt'!$D145,Tree!$F:$F,"L"))</f>
        <v/>
      </c>
      <c r="J145" s="121" t="str">
        <f>IF(OR($F145=0,$F145=""),"",IF(SUMIFS(Tree!$W:$W,Tree!$A:$A,'Pre-Harvest Plots_rpt'!$B145,Tree!$B:$B,'Pre-Harvest Plots_rpt'!$D145,Tree!$F:$F,"L")=0,0,AVERAGEIFS(Tree!$W:$W,Tree!$A:$A,'Pre-Harvest Plots_rpt'!$B145,Tree!$B:$B,'Pre-Harvest Plots_rpt'!$D145,Tree!$F:$F,"L")))</f>
        <v/>
      </c>
      <c r="K145" s="121" t="str">
        <f>IF($F145="","",SUMIFS(Tree!$S:$S,Tree!$A:$A,'Pre-Harvest Plots_rpt'!$B145,Tree!$B:$B,'Pre-Harvest Plots_rpt'!$D145,Tree!$F:$F,"L"))</f>
        <v/>
      </c>
      <c r="L145" s="154" t="str">
        <f t="shared" si="16"/>
        <v/>
      </c>
      <c r="M145" s="135"/>
      <c r="N145" s="192" t="str">
        <f>IF(B145="","",SUMIFS(Tree!$AM:$AM,Tree!$A:$A,'Pre-Harvest Plots_rpt'!$B145,Tree!$B:$B,'Pre-Harvest Plots_rpt'!$D145,Tree!$F:$F,"L"))</f>
        <v/>
      </c>
      <c r="O145" s="122" t="str">
        <f>IF(B145="","",SUMIFS(Tree!$AN:$AN,Tree!$A:$A,'Pre-Harvest Plots_rpt'!$B145,Tree!$B:$B,'Pre-Harvest Plots_rpt'!$D145,Tree!$F:$F,"L"))</f>
        <v/>
      </c>
      <c r="P145" s="122" t="str">
        <f>IF(B145="","",SUMIFS(Tree!$AO:$AO,Tree!$A:$A,'Pre-Harvest Plots_rpt'!$B145,Tree!$B:$B,'Pre-Harvest Plots_rpt'!$D145,Tree!$F:$F,"L"))</f>
        <v/>
      </c>
      <c r="Q145" s="122" t="str">
        <f>IF(B145="","",SUMIFS(Tree!$AP:$AP,Tree!$A:$A,'Pre-Harvest Plots_rpt'!$B145,Tree!$B:$B,'Pre-Harvest Plots_rpt'!$D145,Tree!$F:$F,"L"))</f>
        <v/>
      </c>
      <c r="R145" s="123" t="str">
        <f>IF(B145="","",SUMIFS(Tree!$AQ:$AQ,Tree!$A:$A,'Pre-Harvest Plots_rpt'!$B145,Tree!$B:$B,'Pre-Harvest Plots_rpt'!$D145,Tree!$F:$F,"L"))</f>
        <v/>
      </c>
      <c r="S145" s="122" t="str">
        <f>IF(B145="","",SUMIFS(Tree!$AJ:$AJ,Tree!$A:$A,'Pre-Harvest Plots_rpt'!$B145,Tree!$B:$B,'Pre-Harvest Plots_rpt'!$D145,Tree!$F:$F,"L")-O145)</f>
        <v/>
      </c>
      <c r="T145" s="122" t="str">
        <f>IF(B145="","",SUMIFS(Tree!$AK:$AK,Tree!$A:$A,'Pre-Harvest Plots_rpt'!$B145,Tree!$B:$B,'Pre-Harvest Plots_rpt'!$D145,Tree!$F:$F,"L")-P145)</f>
        <v/>
      </c>
      <c r="U145" s="122" t="str">
        <f>IF(B145="","",SUMIFS(Tree!$AL:$AL,Tree!$A:$A,'Pre-Harvest Plots_rpt'!$B145,Tree!$B:$B,'Pre-Harvest Plots_rpt'!$D145,Tree!$F:$F,"L")-Q145)</f>
        <v/>
      </c>
      <c r="V145" s="123" t="str">
        <f>IF(B145="","",ROUND(SUMIFS(Tree!$AE:$AE,Tree!$A:$A,'Pre-Harvest Plots_rpt'!$B145,Tree!$B:$B,'Pre-Harvest Plots_rpt'!$D145,Tree!$F:$F,"L")-R145,1))</f>
        <v/>
      </c>
      <c r="W145" s="124" t="str">
        <f>IF(B145="","",SUMIFS(Tree!$AY:$AY,Tree!$A:$A,'Pre-Harvest Plots_rpt'!$B145,Tree!$B:$B,'Pre-Harvest Plots_rpt'!$D145,Tree!$F:$F,"L")/1000)</f>
        <v/>
      </c>
      <c r="X145" s="158" t="str">
        <f>IF(B145="","",ROUND((SUMIFS(Tree!$AW:$AW,Tree!$A:$A,'Pre-Harvest Plots_rpt'!$B145,Tree!$B:$B,'Pre-Harvest Plots_rpt'!$D145,Tree!$F:$F,"L")/1000)-W145,1))</f>
        <v/>
      </c>
      <c r="Y145" s="135"/>
      <c r="Z145" s="161" t="str">
        <f>IF(IF(B145="","",SUMIFS(Tree!$O:$O,Tree!$A:$A,'Pre-Harvest Plots_rpt'!$B145,Tree!$B:$B,'Pre-Harvest Plots_rpt'!$D145,Tree!$F:$F,"D"))=0,"",IF(B145="","",SUMIFS(Tree!$O:$O,Tree!$A:$A,'Pre-Harvest Plots_rpt'!$B145,Tree!$B:$B,'Pre-Harvest Plots_rpt'!$D145,Tree!$F:$F,"D")))</f>
        <v/>
      </c>
      <c r="AA145" s="125" t="str">
        <f t="shared" si="14"/>
        <v/>
      </c>
      <c r="AB145" s="125" t="str">
        <f>IF(Z145="","",SUMIFS(Tree!$R:$R,Tree!$A:$A,'Pre-Harvest Plots_rpt'!$B145,Tree!$B:$B,'Pre-Harvest Plots_rpt'!$D145,Tree!$F:$F,"D"))</f>
        <v/>
      </c>
      <c r="AC145" s="126" t="str">
        <f>IF(Z145="","",SUMIFS(Tree!$AM:$AM,Tree!$A:$A,'Pre-Harvest Plots_rpt'!$B145,Tree!$B:$B,'Pre-Harvest Plots_rpt'!$D145,Tree!$F:$F,"D"))</f>
        <v/>
      </c>
      <c r="AD145" s="162" t="str">
        <f>IF(Z145="","",SUMIFS(Tree!$AW:$AW,Tree!$A:$A,'Pre-Harvest Plots_rpt'!$B145,Tree!$B:$B,'Pre-Harvest Plots_rpt'!$D145,Tree!$F:$F,"D")/1000)</f>
        <v/>
      </c>
      <c r="AE145" s="47"/>
      <c r="AF145" s="4"/>
      <c r="AG145" s="4"/>
      <c r="AH145" s="4"/>
    </row>
    <row r="146" spans="1:34" ht="12.75" customHeight="1" x14ac:dyDescent="0.25">
      <c r="A146" s="48">
        <v>143</v>
      </c>
      <c r="B146" s="171" t="str">
        <f>IF(A146&lt;=SUM(Stand!$H$3:$H$29),VLOOKUP(A146,Stand!$A$3:$C$29,3,TRUE),"")</f>
        <v/>
      </c>
      <c r="C146" s="172" t="str">
        <f t="shared" si="17"/>
        <v/>
      </c>
      <c r="D146" s="173" t="str">
        <f>IF(B146="","",VLOOKUP(B146&amp;C146,Plot!$B$2:$D$199,3,FALSE))</f>
        <v/>
      </c>
      <c r="E146" s="130"/>
      <c r="F146" s="152" t="str">
        <f>IF(B146="","",SUMIFS(Tree!$O:$O,Tree!$A:$A,'Pre-Harvest Plots_rpt'!$B146,Tree!$B:$B,'Pre-Harvest Plots_rpt'!$D146,Tree!$F:$F,"L"))</f>
        <v/>
      </c>
      <c r="G146" s="153" t="str">
        <f>IFERROR(IF(D146="","",SUMIFS(Tree!$P:$P,Tree!$A:$A,'Pre-Harvest Plots_rpt'!$B146,Tree!$B:$B,'Pre-Harvest Plots_rpt'!$D146)/$F146),"")</f>
        <v/>
      </c>
      <c r="H146" s="122" t="str">
        <f t="shared" si="15"/>
        <v/>
      </c>
      <c r="I146" s="121" t="str">
        <f>IF(OR($F146=0,$F146=""),"",SUMIFS(Tree!$R:$R,Tree!$A:$A,'Pre-Harvest Plots_rpt'!$B146,Tree!$B:$B,'Pre-Harvest Plots_rpt'!$D146,Tree!$F:$F,"L"))</f>
        <v/>
      </c>
      <c r="J146" s="121" t="str">
        <f>IF(OR($F146=0,$F146=""),"",IF(SUMIFS(Tree!$W:$W,Tree!$A:$A,'Pre-Harvest Plots_rpt'!$B146,Tree!$B:$B,'Pre-Harvest Plots_rpt'!$D146,Tree!$F:$F,"L")=0,0,AVERAGEIFS(Tree!$W:$W,Tree!$A:$A,'Pre-Harvest Plots_rpt'!$B146,Tree!$B:$B,'Pre-Harvest Plots_rpt'!$D146,Tree!$F:$F,"L")))</f>
        <v/>
      </c>
      <c r="K146" s="121" t="str">
        <f>IF($F146="","",SUMIFS(Tree!$S:$S,Tree!$A:$A,'Pre-Harvest Plots_rpt'!$B146,Tree!$B:$B,'Pre-Harvest Plots_rpt'!$D146,Tree!$F:$F,"L"))</f>
        <v/>
      </c>
      <c r="L146" s="154" t="str">
        <f t="shared" si="16"/>
        <v/>
      </c>
      <c r="M146" s="135"/>
      <c r="N146" s="192" t="str">
        <f>IF(B146="","",SUMIFS(Tree!$AM:$AM,Tree!$A:$A,'Pre-Harvest Plots_rpt'!$B146,Tree!$B:$B,'Pre-Harvest Plots_rpt'!$D146,Tree!$F:$F,"L"))</f>
        <v/>
      </c>
      <c r="O146" s="122" t="str">
        <f>IF(B146="","",SUMIFS(Tree!$AN:$AN,Tree!$A:$A,'Pre-Harvest Plots_rpt'!$B146,Tree!$B:$B,'Pre-Harvest Plots_rpt'!$D146,Tree!$F:$F,"L"))</f>
        <v/>
      </c>
      <c r="P146" s="122" t="str">
        <f>IF(B146="","",SUMIFS(Tree!$AO:$AO,Tree!$A:$A,'Pre-Harvest Plots_rpt'!$B146,Tree!$B:$B,'Pre-Harvest Plots_rpt'!$D146,Tree!$F:$F,"L"))</f>
        <v/>
      </c>
      <c r="Q146" s="122" t="str">
        <f>IF(B146="","",SUMIFS(Tree!$AP:$AP,Tree!$A:$A,'Pre-Harvest Plots_rpt'!$B146,Tree!$B:$B,'Pre-Harvest Plots_rpt'!$D146,Tree!$F:$F,"L"))</f>
        <v/>
      </c>
      <c r="R146" s="123" t="str">
        <f>IF(B146="","",SUMIFS(Tree!$AQ:$AQ,Tree!$A:$A,'Pre-Harvest Plots_rpt'!$B146,Tree!$B:$B,'Pre-Harvest Plots_rpt'!$D146,Tree!$F:$F,"L"))</f>
        <v/>
      </c>
      <c r="S146" s="122" t="str">
        <f>IF(B146="","",SUMIFS(Tree!$AJ:$AJ,Tree!$A:$A,'Pre-Harvest Plots_rpt'!$B146,Tree!$B:$B,'Pre-Harvest Plots_rpt'!$D146,Tree!$F:$F,"L")-O146)</f>
        <v/>
      </c>
      <c r="T146" s="122" t="str">
        <f>IF(B146="","",SUMIFS(Tree!$AK:$AK,Tree!$A:$A,'Pre-Harvest Plots_rpt'!$B146,Tree!$B:$B,'Pre-Harvest Plots_rpt'!$D146,Tree!$F:$F,"L")-P146)</f>
        <v/>
      </c>
      <c r="U146" s="122" t="str">
        <f>IF(B146="","",SUMIFS(Tree!$AL:$AL,Tree!$A:$A,'Pre-Harvest Plots_rpt'!$B146,Tree!$B:$B,'Pre-Harvest Plots_rpt'!$D146,Tree!$F:$F,"L")-Q146)</f>
        <v/>
      </c>
      <c r="V146" s="123" t="str">
        <f>IF(B146="","",ROUND(SUMIFS(Tree!$AE:$AE,Tree!$A:$A,'Pre-Harvest Plots_rpt'!$B146,Tree!$B:$B,'Pre-Harvest Plots_rpt'!$D146,Tree!$F:$F,"L")-R146,1))</f>
        <v/>
      </c>
      <c r="W146" s="124" t="str">
        <f>IF(B146="","",SUMIFS(Tree!$AY:$AY,Tree!$A:$A,'Pre-Harvest Plots_rpt'!$B146,Tree!$B:$B,'Pre-Harvest Plots_rpt'!$D146,Tree!$F:$F,"L")/1000)</f>
        <v/>
      </c>
      <c r="X146" s="158" t="str">
        <f>IF(B146="","",ROUND((SUMIFS(Tree!$AW:$AW,Tree!$A:$A,'Pre-Harvest Plots_rpt'!$B146,Tree!$B:$B,'Pre-Harvest Plots_rpt'!$D146,Tree!$F:$F,"L")/1000)-W146,1))</f>
        <v/>
      </c>
      <c r="Y146" s="135"/>
      <c r="Z146" s="161" t="str">
        <f>IF(IF(B146="","",SUMIFS(Tree!$O:$O,Tree!$A:$A,'Pre-Harvest Plots_rpt'!$B146,Tree!$B:$B,'Pre-Harvest Plots_rpt'!$D146,Tree!$F:$F,"D"))=0,"",IF(B146="","",SUMIFS(Tree!$O:$O,Tree!$A:$A,'Pre-Harvest Plots_rpt'!$B146,Tree!$B:$B,'Pre-Harvest Plots_rpt'!$D146,Tree!$F:$F,"D")))</f>
        <v/>
      </c>
      <c r="AA146" s="125" t="str">
        <f t="shared" si="14"/>
        <v/>
      </c>
      <c r="AB146" s="125" t="str">
        <f>IF(Z146="","",SUMIFS(Tree!$R:$R,Tree!$A:$A,'Pre-Harvest Plots_rpt'!$B146,Tree!$B:$B,'Pre-Harvest Plots_rpt'!$D146,Tree!$F:$F,"D"))</f>
        <v/>
      </c>
      <c r="AC146" s="126" t="str">
        <f>IF(Z146="","",SUMIFS(Tree!$AM:$AM,Tree!$A:$A,'Pre-Harvest Plots_rpt'!$B146,Tree!$B:$B,'Pre-Harvest Plots_rpt'!$D146,Tree!$F:$F,"D"))</f>
        <v/>
      </c>
      <c r="AD146" s="162" t="str">
        <f>IF(Z146="","",SUMIFS(Tree!$AW:$AW,Tree!$A:$A,'Pre-Harvest Plots_rpt'!$B146,Tree!$B:$B,'Pre-Harvest Plots_rpt'!$D146,Tree!$F:$F,"D")/1000)</f>
        <v/>
      </c>
      <c r="AE146" s="47"/>
      <c r="AF146" s="4"/>
      <c r="AG146" s="4"/>
      <c r="AH146" s="4"/>
    </row>
    <row r="147" spans="1:34" ht="12.75" customHeight="1" x14ac:dyDescent="0.25">
      <c r="A147" s="48">
        <v>144</v>
      </c>
      <c r="B147" s="171" t="str">
        <f>IF(A147&lt;=SUM(Stand!$H$3:$H$29),VLOOKUP(A147,Stand!$A$3:$C$29,3,TRUE),"")</f>
        <v/>
      </c>
      <c r="C147" s="172" t="str">
        <f t="shared" si="17"/>
        <v/>
      </c>
      <c r="D147" s="173" t="str">
        <f>IF(B147="","",VLOOKUP(B147&amp;C147,Plot!$B$2:$D$199,3,FALSE))</f>
        <v/>
      </c>
      <c r="E147" s="130"/>
      <c r="F147" s="152" t="str">
        <f>IF(B147="","",SUMIFS(Tree!$O:$O,Tree!$A:$A,'Pre-Harvest Plots_rpt'!$B147,Tree!$B:$B,'Pre-Harvest Plots_rpt'!$D147,Tree!$F:$F,"L"))</f>
        <v/>
      </c>
      <c r="G147" s="153" t="str">
        <f>IFERROR(IF(D147="","",SUMIFS(Tree!$P:$P,Tree!$A:$A,'Pre-Harvest Plots_rpt'!$B147,Tree!$B:$B,'Pre-Harvest Plots_rpt'!$D147)/$F147),"")</f>
        <v/>
      </c>
      <c r="H147" s="122" t="str">
        <f t="shared" si="15"/>
        <v/>
      </c>
      <c r="I147" s="121" t="str">
        <f>IF(OR($F147=0,$F147=""),"",SUMIFS(Tree!$R:$R,Tree!$A:$A,'Pre-Harvest Plots_rpt'!$B147,Tree!$B:$B,'Pre-Harvest Plots_rpt'!$D147,Tree!$F:$F,"L"))</f>
        <v/>
      </c>
      <c r="J147" s="121" t="str">
        <f>IF(OR($F147=0,$F147=""),"",IF(SUMIFS(Tree!$W:$W,Tree!$A:$A,'Pre-Harvest Plots_rpt'!$B147,Tree!$B:$B,'Pre-Harvest Plots_rpt'!$D147,Tree!$F:$F,"L")=0,0,AVERAGEIFS(Tree!$W:$W,Tree!$A:$A,'Pre-Harvest Plots_rpt'!$B147,Tree!$B:$B,'Pre-Harvest Plots_rpt'!$D147,Tree!$F:$F,"L")))</f>
        <v/>
      </c>
      <c r="K147" s="121" t="str">
        <f>IF($F147="","",SUMIFS(Tree!$S:$S,Tree!$A:$A,'Pre-Harvest Plots_rpt'!$B147,Tree!$B:$B,'Pre-Harvest Plots_rpt'!$D147,Tree!$F:$F,"L"))</f>
        <v/>
      </c>
      <c r="L147" s="154" t="str">
        <f t="shared" si="16"/>
        <v/>
      </c>
      <c r="M147" s="135"/>
      <c r="N147" s="192" t="str">
        <f>IF(B147="","",SUMIFS(Tree!$AM:$AM,Tree!$A:$A,'Pre-Harvest Plots_rpt'!$B147,Tree!$B:$B,'Pre-Harvest Plots_rpt'!$D147,Tree!$F:$F,"L"))</f>
        <v/>
      </c>
      <c r="O147" s="122" t="str">
        <f>IF(B147="","",SUMIFS(Tree!$AN:$AN,Tree!$A:$A,'Pre-Harvest Plots_rpt'!$B147,Tree!$B:$B,'Pre-Harvest Plots_rpt'!$D147,Tree!$F:$F,"L"))</f>
        <v/>
      </c>
      <c r="P147" s="122" t="str">
        <f>IF(B147="","",SUMIFS(Tree!$AO:$AO,Tree!$A:$A,'Pre-Harvest Plots_rpt'!$B147,Tree!$B:$B,'Pre-Harvest Plots_rpt'!$D147,Tree!$F:$F,"L"))</f>
        <v/>
      </c>
      <c r="Q147" s="122" t="str">
        <f>IF(B147="","",SUMIFS(Tree!$AP:$AP,Tree!$A:$A,'Pre-Harvest Plots_rpt'!$B147,Tree!$B:$B,'Pre-Harvest Plots_rpt'!$D147,Tree!$F:$F,"L"))</f>
        <v/>
      </c>
      <c r="R147" s="123" t="str">
        <f>IF(B147="","",SUMIFS(Tree!$AQ:$AQ,Tree!$A:$A,'Pre-Harvest Plots_rpt'!$B147,Tree!$B:$B,'Pre-Harvest Plots_rpt'!$D147,Tree!$F:$F,"L"))</f>
        <v/>
      </c>
      <c r="S147" s="122" t="str">
        <f>IF(B147="","",SUMIFS(Tree!$AJ:$AJ,Tree!$A:$A,'Pre-Harvest Plots_rpt'!$B147,Tree!$B:$B,'Pre-Harvest Plots_rpt'!$D147,Tree!$F:$F,"L")-O147)</f>
        <v/>
      </c>
      <c r="T147" s="122" t="str">
        <f>IF(B147="","",SUMIFS(Tree!$AK:$AK,Tree!$A:$A,'Pre-Harvest Plots_rpt'!$B147,Tree!$B:$B,'Pre-Harvest Plots_rpt'!$D147,Tree!$F:$F,"L")-P147)</f>
        <v/>
      </c>
      <c r="U147" s="122" t="str">
        <f>IF(B147="","",SUMIFS(Tree!$AL:$AL,Tree!$A:$A,'Pre-Harvest Plots_rpt'!$B147,Tree!$B:$B,'Pre-Harvest Plots_rpt'!$D147,Tree!$F:$F,"L")-Q147)</f>
        <v/>
      </c>
      <c r="V147" s="123" t="str">
        <f>IF(B147="","",ROUND(SUMIFS(Tree!$AE:$AE,Tree!$A:$A,'Pre-Harvest Plots_rpt'!$B147,Tree!$B:$B,'Pre-Harvest Plots_rpt'!$D147,Tree!$F:$F,"L")-R147,1))</f>
        <v/>
      </c>
      <c r="W147" s="124" t="str">
        <f>IF(B147="","",SUMIFS(Tree!$AY:$AY,Tree!$A:$A,'Pre-Harvest Plots_rpt'!$B147,Tree!$B:$B,'Pre-Harvest Plots_rpt'!$D147,Tree!$F:$F,"L")/1000)</f>
        <v/>
      </c>
      <c r="X147" s="158" t="str">
        <f>IF(B147="","",ROUND((SUMIFS(Tree!$AW:$AW,Tree!$A:$A,'Pre-Harvest Plots_rpt'!$B147,Tree!$B:$B,'Pre-Harvest Plots_rpt'!$D147,Tree!$F:$F,"L")/1000)-W147,1))</f>
        <v/>
      </c>
      <c r="Y147" s="135"/>
      <c r="Z147" s="161" t="str">
        <f>IF(IF(B147="","",SUMIFS(Tree!$O:$O,Tree!$A:$A,'Pre-Harvest Plots_rpt'!$B147,Tree!$B:$B,'Pre-Harvest Plots_rpt'!$D147,Tree!$F:$F,"D"))=0,"",IF(B147="","",SUMIFS(Tree!$O:$O,Tree!$A:$A,'Pre-Harvest Plots_rpt'!$B147,Tree!$B:$B,'Pre-Harvest Plots_rpt'!$D147,Tree!$F:$F,"D")))</f>
        <v/>
      </c>
      <c r="AA147" s="125" t="str">
        <f t="shared" si="14"/>
        <v/>
      </c>
      <c r="AB147" s="125" t="str">
        <f>IF(Z147="","",SUMIFS(Tree!$R:$R,Tree!$A:$A,'Pre-Harvest Plots_rpt'!$B147,Tree!$B:$B,'Pre-Harvest Plots_rpt'!$D147,Tree!$F:$F,"D"))</f>
        <v/>
      </c>
      <c r="AC147" s="126" t="str">
        <f>IF(Z147="","",SUMIFS(Tree!$AM:$AM,Tree!$A:$A,'Pre-Harvest Plots_rpt'!$B147,Tree!$B:$B,'Pre-Harvest Plots_rpt'!$D147,Tree!$F:$F,"D"))</f>
        <v/>
      </c>
      <c r="AD147" s="162" t="str">
        <f>IF(Z147="","",SUMIFS(Tree!$AW:$AW,Tree!$A:$A,'Pre-Harvest Plots_rpt'!$B147,Tree!$B:$B,'Pre-Harvest Plots_rpt'!$D147,Tree!$F:$F,"D")/1000)</f>
        <v/>
      </c>
      <c r="AE147" s="47"/>
      <c r="AF147" s="4"/>
      <c r="AG147" s="4"/>
      <c r="AH147" s="4"/>
    </row>
    <row r="148" spans="1:34" ht="12.75" customHeight="1" x14ac:dyDescent="0.25">
      <c r="A148" s="48">
        <v>145</v>
      </c>
      <c r="B148" s="171" t="str">
        <f>IF(A148&lt;=SUM(Stand!$H$3:$H$29),VLOOKUP(A148,Stand!$A$3:$C$29,3,TRUE),"")</f>
        <v/>
      </c>
      <c r="C148" s="172" t="str">
        <f t="shared" si="17"/>
        <v/>
      </c>
      <c r="D148" s="173" t="str">
        <f>IF(B148="","",VLOOKUP(B148&amp;C148,Plot!$B$2:$D$199,3,FALSE))</f>
        <v/>
      </c>
      <c r="E148" s="130"/>
      <c r="F148" s="152" t="str">
        <f>IF(B148="","",SUMIFS(Tree!$O:$O,Tree!$A:$A,'Pre-Harvest Plots_rpt'!$B148,Tree!$B:$B,'Pre-Harvest Plots_rpt'!$D148,Tree!$F:$F,"L"))</f>
        <v/>
      </c>
      <c r="G148" s="153" t="str">
        <f>IFERROR(IF(D148="","",SUMIFS(Tree!$P:$P,Tree!$A:$A,'Pre-Harvest Plots_rpt'!$B148,Tree!$B:$B,'Pre-Harvest Plots_rpt'!$D148)/$F148),"")</f>
        <v/>
      </c>
      <c r="H148" s="122" t="str">
        <f t="shared" si="15"/>
        <v/>
      </c>
      <c r="I148" s="121" t="str">
        <f>IF(OR($F148=0,$F148=""),"",SUMIFS(Tree!$R:$R,Tree!$A:$A,'Pre-Harvest Plots_rpt'!$B148,Tree!$B:$B,'Pre-Harvest Plots_rpt'!$D148,Tree!$F:$F,"L"))</f>
        <v/>
      </c>
      <c r="J148" s="121" t="str">
        <f>IF(OR($F148=0,$F148=""),"",IF(SUMIFS(Tree!$W:$W,Tree!$A:$A,'Pre-Harvest Plots_rpt'!$B148,Tree!$B:$B,'Pre-Harvest Plots_rpt'!$D148,Tree!$F:$F,"L")=0,0,AVERAGEIFS(Tree!$W:$W,Tree!$A:$A,'Pre-Harvest Plots_rpt'!$B148,Tree!$B:$B,'Pre-Harvest Plots_rpt'!$D148,Tree!$F:$F,"L")))</f>
        <v/>
      </c>
      <c r="K148" s="121" t="str">
        <f>IF($F148="","",SUMIFS(Tree!$S:$S,Tree!$A:$A,'Pre-Harvest Plots_rpt'!$B148,Tree!$B:$B,'Pre-Harvest Plots_rpt'!$D148,Tree!$F:$F,"L"))</f>
        <v/>
      </c>
      <c r="L148" s="154" t="str">
        <f t="shared" si="16"/>
        <v/>
      </c>
      <c r="M148" s="135"/>
      <c r="N148" s="192" t="str">
        <f>IF(B148="","",SUMIFS(Tree!$AM:$AM,Tree!$A:$A,'Pre-Harvest Plots_rpt'!$B148,Tree!$B:$B,'Pre-Harvest Plots_rpt'!$D148,Tree!$F:$F,"L"))</f>
        <v/>
      </c>
      <c r="O148" s="122" t="str">
        <f>IF(B148="","",SUMIFS(Tree!$AN:$AN,Tree!$A:$A,'Pre-Harvest Plots_rpt'!$B148,Tree!$B:$B,'Pre-Harvest Plots_rpt'!$D148,Tree!$F:$F,"L"))</f>
        <v/>
      </c>
      <c r="P148" s="122" t="str">
        <f>IF(B148="","",SUMIFS(Tree!$AO:$AO,Tree!$A:$A,'Pre-Harvest Plots_rpt'!$B148,Tree!$B:$B,'Pre-Harvest Plots_rpt'!$D148,Tree!$F:$F,"L"))</f>
        <v/>
      </c>
      <c r="Q148" s="122" t="str">
        <f>IF(B148="","",SUMIFS(Tree!$AP:$AP,Tree!$A:$A,'Pre-Harvest Plots_rpt'!$B148,Tree!$B:$B,'Pre-Harvest Plots_rpt'!$D148,Tree!$F:$F,"L"))</f>
        <v/>
      </c>
      <c r="R148" s="123" t="str">
        <f>IF(B148="","",SUMIFS(Tree!$AQ:$AQ,Tree!$A:$A,'Pre-Harvest Plots_rpt'!$B148,Tree!$B:$B,'Pre-Harvest Plots_rpt'!$D148,Tree!$F:$F,"L"))</f>
        <v/>
      </c>
      <c r="S148" s="122" t="str">
        <f>IF(B148="","",SUMIFS(Tree!$AJ:$AJ,Tree!$A:$A,'Pre-Harvest Plots_rpt'!$B148,Tree!$B:$B,'Pre-Harvest Plots_rpt'!$D148,Tree!$F:$F,"L")-O148)</f>
        <v/>
      </c>
      <c r="T148" s="122" t="str">
        <f>IF(B148="","",SUMIFS(Tree!$AK:$AK,Tree!$A:$A,'Pre-Harvest Plots_rpt'!$B148,Tree!$B:$B,'Pre-Harvest Plots_rpt'!$D148,Tree!$F:$F,"L")-P148)</f>
        <v/>
      </c>
      <c r="U148" s="122" t="str">
        <f>IF(B148="","",SUMIFS(Tree!$AL:$AL,Tree!$A:$A,'Pre-Harvest Plots_rpt'!$B148,Tree!$B:$B,'Pre-Harvest Plots_rpt'!$D148,Tree!$F:$F,"L")-Q148)</f>
        <v/>
      </c>
      <c r="V148" s="123" t="str">
        <f>IF(B148="","",ROUND(SUMIFS(Tree!$AE:$AE,Tree!$A:$A,'Pre-Harvest Plots_rpt'!$B148,Tree!$B:$B,'Pre-Harvest Plots_rpt'!$D148,Tree!$F:$F,"L")-R148,1))</f>
        <v/>
      </c>
      <c r="W148" s="124" t="str">
        <f>IF(B148="","",SUMIFS(Tree!$AY:$AY,Tree!$A:$A,'Pre-Harvest Plots_rpt'!$B148,Tree!$B:$B,'Pre-Harvest Plots_rpt'!$D148,Tree!$F:$F,"L")/1000)</f>
        <v/>
      </c>
      <c r="X148" s="158" t="str">
        <f>IF(B148="","",ROUND((SUMIFS(Tree!$AW:$AW,Tree!$A:$A,'Pre-Harvest Plots_rpt'!$B148,Tree!$B:$B,'Pre-Harvest Plots_rpt'!$D148,Tree!$F:$F,"L")/1000)-W148,1))</f>
        <v/>
      </c>
      <c r="Y148" s="135"/>
      <c r="Z148" s="161" t="str">
        <f>IF(IF(B148="","",SUMIFS(Tree!$O:$O,Tree!$A:$A,'Pre-Harvest Plots_rpt'!$B148,Tree!$B:$B,'Pre-Harvest Plots_rpt'!$D148,Tree!$F:$F,"D"))=0,"",IF(B148="","",SUMIFS(Tree!$O:$O,Tree!$A:$A,'Pre-Harvest Plots_rpt'!$B148,Tree!$B:$B,'Pre-Harvest Plots_rpt'!$D148,Tree!$F:$F,"D")))</f>
        <v/>
      </c>
      <c r="AA148" s="125" t="str">
        <f t="shared" si="14"/>
        <v/>
      </c>
      <c r="AB148" s="125" t="str">
        <f>IF(Z148="","",SUMIFS(Tree!$R:$R,Tree!$A:$A,'Pre-Harvest Plots_rpt'!$B148,Tree!$B:$B,'Pre-Harvest Plots_rpt'!$D148,Tree!$F:$F,"D"))</f>
        <v/>
      </c>
      <c r="AC148" s="126" t="str">
        <f>IF(Z148="","",SUMIFS(Tree!$AM:$AM,Tree!$A:$A,'Pre-Harvest Plots_rpt'!$B148,Tree!$B:$B,'Pre-Harvest Plots_rpt'!$D148,Tree!$F:$F,"D"))</f>
        <v/>
      </c>
      <c r="AD148" s="162" t="str">
        <f>IF(Z148="","",SUMIFS(Tree!$AW:$AW,Tree!$A:$A,'Pre-Harvest Plots_rpt'!$B148,Tree!$B:$B,'Pre-Harvest Plots_rpt'!$D148,Tree!$F:$F,"D")/1000)</f>
        <v/>
      </c>
      <c r="AE148" s="47"/>
      <c r="AF148" s="4"/>
      <c r="AG148" s="4"/>
      <c r="AH148" s="4"/>
    </row>
    <row r="149" spans="1:34" ht="12.75" customHeight="1" x14ac:dyDescent="0.25">
      <c r="A149" s="48">
        <v>146</v>
      </c>
      <c r="B149" s="171" t="str">
        <f>IF(A149&lt;=SUM(Stand!$H$3:$H$29),VLOOKUP(A149,Stand!$A$3:$C$29,3,TRUE),"")</f>
        <v/>
      </c>
      <c r="C149" s="172" t="str">
        <f t="shared" si="17"/>
        <v/>
      </c>
      <c r="D149" s="173" t="str">
        <f>IF(B149="","",VLOOKUP(B149&amp;C149,Plot!$B$2:$D$199,3,FALSE))</f>
        <v/>
      </c>
      <c r="E149" s="130"/>
      <c r="F149" s="152" t="str">
        <f>IF(B149="","",SUMIFS(Tree!$O:$O,Tree!$A:$A,'Pre-Harvest Plots_rpt'!$B149,Tree!$B:$B,'Pre-Harvest Plots_rpt'!$D149,Tree!$F:$F,"L"))</f>
        <v/>
      </c>
      <c r="G149" s="153" t="str">
        <f>IFERROR(IF(D149="","",SUMIFS(Tree!$P:$P,Tree!$A:$A,'Pre-Harvest Plots_rpt'!$B149,Tree!$B:$B,'Pre-Harvest Plots_rpt'!$D149)/$F149),"")</f>
        <v/>
      </c>
      <c r="H149" s="122" t="str">
        <f t="shared" si="15"/>
        <v/>
      </c>
      <c r="I149" s="121" t="str">
        <f>IF(OR($F149=0,$F149=""),"",SUMIFS(Tree!$R:$R,Tree!$A:$A,'Pre-Harvest Plots_rpt'!$B149,Tree!$B:$B,'Pre-Harvest Plots_rpt'!$D149,Tree!$F:$F,"L"))</f>
        <v/>
      </c>
      <c r="J149" s="121" t="str">
        <f>IF(OR($F149=0,$F149=""),"",IF(SUMIFS(Tree!$W:$W,Tree!$A:$A,'Pre-Harvest Plots_rpt'!$B149,Tree!$B:$B,'Pre-Harvest Plots_rpt'!$D149,Tree!$F:$F,"L")=0,0,AVERAGEIFS(Tree!$W:$W,Tree!$A:$A,'Pre-Harvest Plots_rpt'!$B149,Tree!$B:$B,'Pre-Harvest Plots_rpt'!$D149,Tree!$F:$F,"L")))</f>
        <v/>
      </c>
      <c r="K149" s="121" t="str">
        <f>IF($F149="","",SUMIFS(Tree!$S:$S,Tree!$A:$A,'Pre-Harvest Plots_rpt'!$B149,Tree!$B:$B,'Pre-Harvest Plots_rpt'!$D149,Tree!$F:$F,"L"))</f>
        <v/>
      </c>
      <c r="L149" s="154" t="str">
        <f t="shared" si="16"/>
        <v/>
      </c>
      <c r="M149" s="135"/>
      <c r="N149" s="192" t="str">
        <f>IF(B149="","",SUMIFS(Tree!$AM:$AM,Tree!$A:$A,'Pre-Harvest Plots_rpt'!$B149,Tree!$B:$B,'Pre-Harvest Plots_rpt'!$D149,Tree!$F:$F,"L"))</f>
        <v/>
      </c>
      <c r="O149" s="122" t="str">
        <f>IF(B149="","",SUMIFS(Tree!$AN:$AN,Tree!$A:$A,'Pre-Harvest Plots_rpt'!$B149,Tree!$B:$B,'Pre-Harvest Plots_rpt'!$D149,Tree!$F:$F,"L"))</f>
        <v/>
      </c>
      <c r="P149" s="122" t="str">
        <f>IF(B149="","",SUMIFS(Tree!$AO:$AO,Tree!$A:$A,'Pre-Harvest Plots_rpt'!$B149,Tree!$B:$B,'Pre-Harvest Plots_rpt'!$D149,Tree!$F:$F,"L"))</f>
        <v/>
      </c>
      <c r="Q149" s="122" t="str">
        <f>IF(B149="","",SUMIFS(Tree!$AP:$AP,Tree!$A:$A,'Pre-Harvest Plots_rpt'!$B149,Tree!$B:$B,'Pre-Harvest Plots_rpt'!$D149,Tree!$F:$F,"L"))</f>
        <v/>
      </c>
      <c r="R149" s="123" t="str">
        <f>IF(B149="","",SUMIFS(Tree!$AQ:$AQ,Tree!$A:$A,'Pre-Harvest Plots_rpt'!$B149,Tree!$B:$B,'Pre-Harvest Plots_rpt'!$D149,Tree!$F:$F,"L"))</f>
        <v/>
      </c>
      <c r="S149" s="122" t="str">
        <f>IF(B149="","",SUMIFS(Tree!$AJ:$AJ,Tree!$A:$A,'Pre-Harvest Plots_rpt'!$B149,Tree!$B:$B,'Pre-Harvest Plots_rpt'!$D149,Tree!$F:$F,"L")-O149)</f>
        <v/>
      </c>
      <c r="T149" s="122" t="str">
        <f>IF(B149="","",SUMIFS(Tree!$AK:$AK,Tree!$A:$A,'Pre-Harvest Plots_rpt'!$B149,Tree!$B:$B,'Pre-Harvest Plots_rpt'!$D149,Tree!$F:$F,"L")-P149)</f>
        <v/>
      </c>
      <c r="U149" s="122" t="str">
        <f>IF(B149="","",SUMIFS(Tree!$AL:$AL,Tree!$A:$A,'Pre-Harvest Plots_rpt'!$B149,Tree!$B:$B,'Pre-Harvest Plots_rpt'!$D149,Tree!$F:$F,"L")-Q149)</f>
        <v/>
      </c>
      <c r="V149" s="123" t="str">
        <f>IF(B149="","",ROUND(SUMIFS(Tree!$AE:$AE,Tree!$A:$A,'Pre-Harvest Plots_rpt'!$B149,Tree!$B:$B,'Pre-Harvest Plots_rpt'!$D149,Tree!$F:$F,"L")-R149,1))</f>
        <v/>
      </c>
      <c r="W149" s="124" t="str">
        <f>IF(B149="","",SUMIFS(Tree!$AY:$AY,Tree!$A:$A,'Pre-Harvest Plots_rpt'!$B149,Tree!$B:$B,'Pre-Harvest Plots_rpt'!$D149,Tree!$F:$F,"L")/1000)</f>
        <v/>
      </c>
      <c r="X149" s="158" t="str">
        <f>IF(B149="","",ROUND((SUMIFS(Tree!$AW:$AW,Tree!$A:$A,'Pre-Harvest Plots_rpt'!$B149,Tree!$B:$B,'Pre-Harvest Plots_rpt'!$D149,Tree!$F:$F,"L")/1000)-W149,1))</f>
        <v/>
      </c>
      <c r="Y149" s="135"/>
      <c r="Z149" s="161" t="str">
        <f>IF(IF(B149="","",SUMIFS(Tree!$O:$O,Tree!$A:$A,'Pre-Harvest Plots_rpt'!$B149,Tree!$B:$B,'Pre-Harvest Plots_rpt'!$D149,Tree!$F:$F,"D"))=0,"",IF(B149="","",SUMIFS(Tree!$O:$O,Tree!$A:$A,'Pre-Harvest Plots_rpt'!$B149,Tree!$B:$B,'Pre-Harvest Plots_rpt'!$D149,Tree!$F:$F,"D")))</f>
        <v/>
      </c>
      <c r="AA149" s="125" t="str">
        <f t="shared" si="14"/>
        <v/>
      </c>
      <c r="AB149" s="125" t="str">
        <f>IF(Z149="","",SUMIFS(Tree!$R:$R,Tree!$A:$A,'Pre-Harvest Plots_rpt'!$B149,Tree!$B:$B,'Pre-Harvest Plots_rpt'!$D149,Tree!$F:$F,"D"))</f>
        <v/>
      </c>
      <c r="AC149" s="126" t="str">
        <f>IF(Z149="","",SUMIFS(Tree!$AM:$AM,Tree!$A:$A,'Pre-Harvest Plots_rpt'!$B149,Tree!$B:$B,'Pre-Harvest Plots_rpt'!$D149,Tree!$F:$F,"D"))</f>
        <v/>
      </c>
      <c r="AD149" s="162" t="str">
        <f>IF(Z149="","",SUMIFS(Tree!$AW:$AW,Tree!$A:$A,'Pre-Harvest Plots_rpt'!$B149,Tree!$B:$B,'Pre-Harvest Plots_rpt'!$D149,Tree!$F:$F,"D")/1000)</f>
        <v/>
      </c>
      <c r="AE149" s="47"/>
      <c r="AF149" s="4"/>
      <c r="AG149" s="4"/>
      <c r="AH149" s="4"/>
    </row>
    <row r="150" spans="1:34" ht="12.75" customHeight="1" x14ac:dyDescent="0.25">
      <c r="A150" s="48">
        <v>147</v>
      </c>
      <c r="B150" s="171" t="str">
        <f>IF(A150&lt;=SUM(Stand!$H$3:$H$29),VLOOKUP(A150,Stand!$A$3:$C$29,3,TRUE),"")</f>
        <v/>
      </c>
      <c r="C150" s="172" t="str">
        <f t="shared" si="17"/>
        <v/>
      </c>
      <c r="D150" s="173" t="str">
        <f>IF(B150="","",VLOOKUP(B150&amp;C150,Plot!$B$2:$D$199,3,FALSE))</f>
        <v/>
      </c>
      <c r="E150" s="130"/>
      <c r="F150" s="152" t="str">
        <f>IF(B150="","",SUMIFS(Tree!$O:$O,Tree!$A:$A,'Pre-Harvest Plots_rpt'!$B150,Tree!$B:$B,'Pre-Harvest Plots_rpt'!$D150,Tree!$F:$F,"L"))</f>
        <v/>
      </c>
      <c r="G150" s="153" t="str">
        <f>IFERROR(IF(D150="","",SUMIFS(Tree!$P:$P,Tree!$A:$A,'Pre-Harvest Plots_rpt'!$B150,Tree!$B:$B,'Pre-Harvest Plots_rpt'!$D150)/$F150),"")</f>
        <v/>
      </c>
      <c r="H150" s="122" t="str">
        <f t="shared" si="15"/>
        <v/>
      </c>
      <c r="I150" s="121" t="str">
        <f>IF(OR($F150=0,$F150=""),"",SUMIFS(Tree!$R:$R,Tree!$A:$A,'Pre-Harvest Plots_rpt'!$B150,Tree!$B:$B,'Pre-Harvest Plots_rpt'!$D150,Tree!$F:$F,"L"))</f>
        <v/>
      </c>
      <c r="J150" s="121" t="str">
        <f>IF(OR($F150=0,$F150=""),"",IF(SUMIFS(Tree!$W:$W,Tree!$A:$A,'Pre-Harvest Plots_rpt'!$B150,Tree!$B:$B,'Pre-Harvest Plots_rpt'!$D150,Tree!$F:$F,"L")=0,0,AVERAGEIFS(Tree!$W:$W,Tree!$A:$A,'Pre-Harvest Plots_rpt'!$B150,Tree!$B:$B,'Pre-Harvest Plots_rpt'!$D150,Tree!$F:$F,"L")))</f>
        <v/>
      </c>
      <c r="K150" s="121" t="str">
        <f>IF($F150="","",SUMIFS(Tree!$S:$S,Tree!$A:$A,'Pre-Harvest Plots_rpt'!$B150,Tree!$B:$B,'Pre-Harvest Plots_rpt'!$D150,Tree!$F:$F,"L"))</f>
        <v/>
      </c>
      <c r="L150" s="154" t="str">
        <f t="shared" si="16"/>
        <v/>
      </c>
      <c r="M150" s="135"/>
      <c r="N150" s="192" t="str">
        <f>IF(B150="","",SUMIFS(Tree!$AM:$AM,Tree!$A:$A,'Pre-Harvest Plots_rpt'!$B150,Tree!$B:$B,'Pre-Harvest Plots_rpt'!$D150,Tree!$F:$F,"L"))</f>
        <v/>
      </c>
      <c r="O150" s="122" t="str">
        <f>IF(B150="","",SUMIFS(Tree!$AN:$AN,Tree!$A:$A,'Pre-Harvest Plots_rpt'!$B150,Tree!$B:$B,'Pre-Harvest Plots_rpt'!$D150,Tree!$F:$F,"L"))</f>
        <v/>
      </c>
      <c r="P150" s="122" t="str">
        <f>IF(B150="","",SUMIFS(Tree!$AO:$AO,Tree!$A:$A,'Pre-Harvest Plots_rpt'!$B150,Tree!$B:$B,'Pre-Harvest Plots_rpt'!$D150,Tree!$F:$F,"L"))</f>
        <v/>
      </c>
      <c r="Q150" s="122" t="str">
        <f>IF(B150="","",SUMIFS(Tree!$AP:$AP,Tree!$A:$A,'Pre-Harvest Plots_rpt'!$B150,Tree!$B:$B,'Pre-Harvest Plots_rpt'!$D150,Tree!$F:$F,"L"))</f>
        <v/>
      </c>
      <c r="R150" s="123" t="str">
        <f>IF(B150="","",SUMIFS(Tree!$AQ:$AQ,Tree!$A:$A,'Pre-Harvest Plots_rpt'!$B150,Tree!$B:$B,'Pre-Harvest Plots_rpt'!$D150,Tree!$F:$F,"L"))</f>
        <v/>
      </c>
      <c r="S150" s="122" t="str">
        <f>IF(B150="","",SUMIFS(Tree!$AJ:$AJ,Tree!$A:$A,'Pre-Harvest Plots_rpt'!$B150,Tree!$B:$B,'Pre-Harvest Plots_rpt'!$D150,Tree!$F:$F,"L")-O150)</f>
        <v/>
      </c>
      <c r="T150" s="122" t="str">
        <f>IF(B150="","",SUMIFS(Tree!$AK:$AK,Tree!$A:$A,'Pre-Harvest Plots_rpt'!$B150,Tree!$B:$B,'Pre-Harvest Plots_rpt'!$D150,Tree!$F:$F,"L")-P150)</f>
        <v/>
      </c>
      <c r="U150" s="122" t="str">
        <f>IF(B150="","",SUMIFS(Tree!$AL:$AL,Tree!$A:$A,'Pre-Harvest Plots_rpt'!$B150,Tree!$B:$B,'Pre-Harvest Plots_rpt'!$D150,Tree!$F:$F,"L")-Q150)</f>
        <v/>
      </c>
      <c r="V150" s="123" t="str">
        <f>IF(B150="","",ROUND(SUMIFS(Tree!$AE:$AE,Tree!$A:$A,'Pre-Harvest Plots_rpt'!$B150,Tree!$B:$B,'Pre-Harvest Plots_rpt'!$D150,Tree!$F:$F,"L")-R150,1))</f>
        <v/>
      </c>
      <c r="W150" s="124" t="str">
        <f>IF(B150="","",SUMIFS(Tree!$AY:$AY,Tree!$A:$A,'Pre-Harvest Plots_rpt'!$B150,Tree!$B:$B,'Pre-Harvest Plots_rpt'!$D150,Tree!$F:$F,"L")/1000)</f>
        <v/>
      </c>
      <c r="X150" s="158" t="str">
        <f>IF(B150="","",ROUND((SUMIFS(Tree!$AW:$AW,Tree!$A:$A,'Pre-Harvest Plots_rpt'!$B150,Tree!$B:$B,'Pre-Harvest Plots_rpt'!$D150,Tree!$F:$F,"L")/1000)-W150,1))</f>
        <v/>
      </c>
      <c r="Y150" s="135"/>
      <c r="Z150" s="161" t="str">
        <f>IF(IF(B150="","",SUMIFS(Tree!$O:$O,Tree!$A:$A,'Pre-Harvest Plots_rpt'!$B150,Tree!$B:$B,'Pre-Harvest Plots_rpt'!$D150,Tree!$F:$F,"D"))=0,"",IF(B150="","",SUMIFS(Tree!$O:$O,Tree!$A:$A,'Pre-Harvest Plots_rpt'!$B150,Tree!$B:$B,'Pre-Harvest Plots_rpt'!$D150,Tree!$F:$F,"D")))</f>
        <v/>
      </c>
      <c r="AA150" s="125" t="str">
        <f t="shared" si="14"/>
        <v/>
      </c>
      <c r="AB150" s="125" t="str">
        <f>IF(Z150="","",SUMIFS(Tree!$R:$R,Tree!$A:$A,'Pre-Harvest Plots_rpt'!$B150,Tree!$B:$B,'Pre-Harvest Plots_rpt'!$D150,Tree!$F:$F,"D"))</f>
        <v/>
      </c>
      <c r="AC150" s="126" t="str">
        <f>IF(Z150="","",SUMIFS(Tree!$AM:$AM,Tree!$A:$A,'Pre-Harvest Plots_rpt'!$B150,Tree!$B:$B,'Pre-Harvest Plots_rpt'!$D150,Tree!$F:$F,"D"))</f>
        <v/>
      </c>
      <c r="AD150" s="162" t="str">
        <f>IF(Z150="","",SUMIFS(Tree!$AW:$AW,Tree!$A:$A,'Pre-Harvest Plots_rpt'!$B150,Tree!$B:$B,'Pre-Harvest Plots_rpt'!$D150,Tree!$F:$F,"D")/1000)</f>
        <v/>
      </c>
      <c r="AE150" s="47"/>
      <c r="AF150" s="4"/>
      <c r="AG150" s="4"/>
      <c r="AH150" s="4"/>
    </row>
    <row r="151" spans="1:34" ht="12.75" customHeight="1" x14ac:dyDescent="0.25">
      <c r="A151" s="48">
        <v>148</v>
      </c>
      <c r="B151" s="171" t="str">
        <f>IF(A151&lt;=SUM(Stand!$H$3:$H$29),VLOOKUP(A151,Stand!$A$3:$C$29,3,TRUE),"")</f>
        <v/>
      </c>
      <c r="C151" s="172" t="str">
        <f t="shared" si="17"/>
        <v/>
      </c>
      <c r="D151" s="173" t="str">
        <f>IF(B151="","",VLOOKUP(B151&amp;C151,Plot!$B$2:$D$199,3,FALSE))</f>
        <v/>
      </c>
      <c r="E151" s="130"/>
      <c r="F151" s="152" t="str">
        <f>IF(B151="","",SUMIFS(Tree!$O:$O,Tree!$A:$A,'Pre-Harvest Plots_rpt'!$B151,Tree!$B:$B,'Pre-Harvest Plots_rpt'!$D151,Tree!$F:$F,"L"))</f>
        <v/>
      </c>
      <c r="G151" s="153" t="str">
        <f>IFERROR(IF(D151="","",SUMIFS(Tree!$P:$P,Tree!$A:$A,'Pre-Harvest Plots_rpt'!$B151,Tree!$B:$B,'Pre-Harvest Plots_rpt'!$D151)/$F151),"")</f>
        <v/>
      </c>
      <c r="H151" s="122" t="str">
        <f t="shared" si="15"/>
        <v/>
      </c>
      <c r="I151" s="121" t="str">
        <f>IF(OR($F151=0,$F151=""),"",SUMIFS(Tree!$R:$R,Tree!$A:$A,'Pre-Harvest Plots_rpt'!$B151,Tree!$B:$B,'Pre-Harvest Plots_rpt'!$D151,Tree!$F:$F,"L"))</f>
        <v/>
      </c>
      <c r="J151" s="121" t="str">
        <f>IF(OR($F151=0,$F151=""),"",IF(SUMIFS(Tree!$W:$W,Tree!$A:$A,'Pre-Harvest Plots_rpt'!$B151,Tree!$B:$B,'Pre-Harvest Plots_rpt'!$D151,Tree!$F:$F,"L")=0,0,AVERAGEIFS(Tree!$W:$W,Tree!$A:$A,'Pre-Harvest Plots_rpt'!$B151,Tree!$B:$B,'Pre-Harvest Plots_rpt'!$D151,Tree!$F:$F,"L")))</f>
        <v/>
      </c>
      <c r="K151" s="121" t="str">
        <f>IF($F151="","",SUMIFS(Tree!$S:$S,Tree!$A:$A,'Pre-Harvest Plots_rpt'!$B151,Tree!$B:$B,'Pre-Harvest Plots_rpt'!$D151,Tree!$F:$F,"L"))</f>
        <v/>
      </c>
      <c r="L151" s="154" t="str">
        <f t="shared" si="16"/>
        <v/>
      </c>
      <c r="M151" s="135"/>
      <c r="N151" s="192" t="str">
        <f>IF(B151="","",SUMIFS(Tree!$AM:$AM,Tree!$A:$A,'Pre-Harvest Plots_rpt'!$B151,Tree!$B:$B,'Pre-Harvest Plots_rpt'!$D151,Tree!$F:$F,"L"))</f>
        <v/>
      </c>
      <c r="O151" s="122" t="str">
        <f>IF(B151="","",SUMIFS(Tree!$AN:$AN,Tree!$A:$A,'Pre-Harvest Plots_rpt'!$B151,Tree!$B:$B,'Pre-Harvest Plots_rpt'!$D151,Tree!$F:$F,"L"))</f>
        <v/>
      </c>
      <c r="P151" s="122" t="str">
        <f>IF(B151="","",SUMIFS(Tree!$AO:$AO,Tree!$A:$A,'Pre-Harvest Plots_rpt'!$B151,Tree!$B:$B,'Pre-Harvest Plots_rpt'!$D151,Tree!$F:$F,"L"))</f>
        <v/>
      </c>
      <c r="Q151" s="122" t="str">
        <f>IF(B151="","",SUMIFS(Tree!$AP:$AP,Tree!$A:$A,'Pre-Harvest Plots_rpt'!$B151,Tree!$B:$B,'Pre-Harvest Plots_rpt'!$D151,Tree!$F:$F,"L"))</f>
        <v/>
      </c>
      <c r="R151" s="123" t="str">
        <f>IF(B151="","",SUMIFS(Tree!$AQ:$AQ,Tree!$A:$A,'Pre-Harvest Plots_rpt'!$B151,Tree!$B:$B,'Pre-Harvest Plots_rpt'!$D151,Tree!$F:$F,"L"))</f>
        <v/>
      </c>
      <c r="S151" s="122" t="str">
        <f>IF(B151="","",SUMIFS(Tree!$AJ:$AJ,Tree!$A:$A,'Pre-Harvest Plots_rpt'!$B151,Tree!$B:$B,'Pre-Harvest Plots_rpt'!$D151,Tree!$F:$F,"L")-O151)</f>
        <v/>
      </c>
      <c r="T151" s="122" t="str">
        <f>IF(B151="","",SUMIFS(Tree!$AK:$AK,Tree!$A:$A,'Pre-Harvest Plots_rpt'!$B151,Tree!$B:$B,'Pre-Harvest Plots_rpt'!$D151,Tree!$F:$F,"L")-P151)</f>
        <v/>
      </c>
      <c r="U151" s="122" t="str">
        <f>IF(B151="","",SUMIFS(Tree!$AL:$AL,Tree!$A:$A,'Pre-Harvest Plots_rpt'!$B151,Tree!$B:$B,'Pre-Harvest Plots_rpt'!$D151,Tree!$F:$F,"L")-Q151)</f>
        <v/>
      </c>
      <c r="V151" s="123" t="str">
        <f>IF(B151="","",ROUND(SUMIFS(Tree!$AE:$AE,Tree!$A:$A,'Pre-Harvest Plots_rpt'!$B151,Tree!$B:$B,'Pre-Harvest Plots_rpt'!$D151,Tree!$F:$F,"L")-R151,1))</f>
        <v/>
      </c>
      <c r="W151" s="124" t="str">
        <f>IF(B151="","",SUMIFS(Tree!$AY:$AY,Tree!$A:$A,'Pre-Harvest Plots_rpt'!$B151,Tree!$B:$B,'Pre-Harvest Plots_rpt'!$D151,Tree!$F:$F,"L")/1000)</f>
        <v/>
      </c>
      <c r="X151" s="158" t="str">
        <f>IF(B151="","",ROUND((SUMIFS(Tree!$AW:$AW,Tree!$A:$A,'Pre-Harvest Plots_rpt'!$B151,Tree!$B:$B,'Pre-Harvest Plots_rpt'!$D151,Tree!$F:$F,"L")/1000)-W151,1))</f>
        <v/>
      </c>
      <c r="Y151" s="135"/>
      <c r="Z151" s="161" t="str">
        <f>IF(IF(B151="","",SUMIFS(Tree!$O:$O,Tree!$A:$A,'Pre-Harvest Plots_rpt'!$B151,Tree!$B:$B,'Pre-Harvest Plots_rpt'!$D151,Tree!$F:$F,"D"))=0,"",IF(B151="","",SUMIFS(Tree!$O:$O,Tree!$A:$A,'Pre-Harvest Plots_rpt'!$B151,Tree!$B:$B,'Pre-Harvest Plots_rpt'!$D151,Tree!$F:$F,"D")))</f>
        <v/>
      </c>
      <c r="AA151" s="125" t="str">
        <f t="shared" si="14"/>
        <v/>
      </c>
      <c r="AB151" s="125" t="str">
        <f>IF(Z151="","",SUMIFS(Tree!$R:$R,Tree!$A:$A,'Pre-Harvest Plots_rpt'!$B151,Tree!$B:$B,'Pre-Harvest Plots_rpt'!$D151,Tree!$F:$F,"D"))</f>
        <v/>
      </c>
      <c r="AC151" s="126" t="str">
        <f>IF(Z151="","",SUMIFS(Tree!$AM:$AM,Tree!$A:$A,'Pre-Harvest Plots_rpt'!$B151,Tree!$B:$B,'Pre-Harvest Plots_rpt'!$D151,Tree!$F:$F,"D"))</f>
        <v/>
      </c>
      <c r="AD151" s="162" t="str">
        <f>IF(Z151="","",SUMIFS(Tree!$AW:$AW,Tree!$A:$A,'Pre-Harvest Plots_rpt'!$B151,Tree!$B:$B,'Pre-Harvest Plots_rpt'!$D151,Tree!$F:$F,"D")/1000)</f>
        <v/>
      </c>
      <c r="AE151" s="47"/>
      <c r="AF151" s="4"/>
      <c r="AG151" s="4"/>
      <c r="AH151" s="4"/>
    </row>
    <row r="152" spans="1:34" ht="12.75" customHeight="1" x14ac:dyDescent="0.25">
      <c r="A152" s="48">
        <v>149</v>
      </c>
      <c r="B152" s="171" t="str">
        <f>IF(A152&lt;=SUM(Stand!$H$3:$H$29),VLOOKUP(A152,Stand!$A$3:$C$29,3,TRUE),"")</f>
        <v/>
      </c>
      <c r="C152" s="172" t="str">
        <f t="shared" si="17"/>
        <v/>
      </c>
      <c r="D152" s="173" t="str">
        <f>IF(B152="","",VLOOKUP(B152&amp;C152,Plot!$B$2:$D$199,3,FALSE))</f>
        <v/>
      </c>
      <c r="E152" s="130"/>
      <c r="F152" s="152" t="str">
        <f>IF(B152="","",SUMIFS(Tree!$O:$O,Tree!$A:$A,'Pre-Harvest Plots_rpt'!$B152,Tree!$B:$B,'Pre-Harvest Plots_rpt'!$D152,Tree!$F:$F,"L"))</f>
        <v/>
      </c>
      <c r="G152" s="153" t="str">
        <f>IFERROR(IF(D152="","",SUMIFS(Tree!$P:$P,Tree!$A:$A,'Pre-Harvest Plots_rpt'!$B152,Tree!$B:$B,'Pre-Harvest Plots_rpt'!$D152)/$F152),"")</f>
        <v/>
      </c>
      <c r="H152" s="122" t="str">
        <f t="shared" si="15"/>
        <v/>
      </c>
      <c r="I152" s="121" t="str">
        <f>IF(OR($F152=0,$F152=""),"",SUMIFS(Tree!$R:$R,Tree!$A:$A,'Pre-Harvest Plots_rpt'!$B152,Tree!$B:$B,'Pre-Harvest Plots_rpt'!$D152,Tree!$F:$F,"L"))</f>
        <v/>
      </c>
      <c r="J152" s="121" t="str">
        <f>IF(OR($F152=0,$F152=""),"",IF(SUMIFS(Tree!$W:$W,Tree!$A:$A,'Pre-Harvest Plots_rpt'!$B152,Tree!$B:$B,'Pre-Harvest Plots_rpt'!$D152,Tree!$F:$F,"L")=0,0,AVERAGEIFS(Tree!$W:$W,Tree!$A:$A,'Pre-Harvest Plots_rpt'!$B152,Tree!$B:$B,'Pre-Harvest Plots_rpt'!$D152,Tree!$F:$F,"L")))</f>
        <v/>
      </c>
      <c r="K152" s="121" t="str">
        <f>IF($F152="","",SUMIFS(Tree!$S:$S,Tree!$A:$A,'Pre-Harvest Plots_rpt'!$B152,Tree!$B:$B,'Pre-Harvest Plots_rpt'!$D152,Tree!$F:$F,"L"))</f>
        <v/>
      </c>
      <c r="L152" s="154" t="str">
        <f t="shared" si="16"/>
        <v/>
      </c>
      <c r="M152" s="135"/>
      <c r="N152" s="192" t="str">
        <f>IF(B152="","",SUMIFS(Tree!$AM:$AM,Tree!$A:$A,'Pre-Harvest Plots_rpt'!$B152,Tree!$B:$B,'Pre-Harvest Plots_rpt'!$D152,Tree!$F:$F,"L"))</f>
        <v/>
      </c>
      <c r="O152" s="122" t="str">
        <f>IF(B152="","",SUMIFS(Tree!$AN:$AN,Tree!$A:$A,'Pre-Harvest Plots_rpt'!$B152,Tree!$B:$B,'Pre-Harvest Plots_rpt'!$D152,Tree!$F:$F,"L"))</f>
        <v/>
      </c>
      <c r="P152" s="122" t="str">
        <f>IF(B152="","",SUMIFS(Tree!$AO:$AO,Tree!$A:$A,'Pre-Harvest Plots_rpt'!$B152,Tree!$B:$B,'Pre-Harvest Plots_rpt'!$D152,Tree!$F:$F,"L"))</f>
        <v/>
      </c>
      <c r="Q152" s="122" t="str">
        <f>IF(B152="","",SUMIFS(Tree!$AP:$AP,Tree!$A:$A,'Pre-Harvest Plots_rpt'!$B152,Tree!$B:$B,'Pre-Harvest Plots_rpt'!$D152,Tree!$F:$F,"L"))</f>
        <v/>
      </c>
      <c r="R152" s="123" t="str">
        <f>IF(B152="","",SUMIFS(Tree!$AQ:$AQ,Tree!$A:$A,'Pre-Harvest Plots_rpt'!$B152,Tree!$B:$B,'Pre-Harvest Plots_rpt'!$D152,Tree!$F:$F,"L"))</f>
        <v/>
      </c>
      <c r="S152" s="122" t="str">
        <f>IF(B152="","",SUMIFS(Tree!$AJ:$AJ,Tree!$A:$A,'Pre-Harvest Plots_rpt'!$B152,Tree!$B:$B,'Pre-Harvest Plots_rpt'!$D152,Tree!$F:$F,"L")-O152)</f>
        <v/>
      </c>
      <c r="T152" s="122" t="str">
        <f>IF(B152="","",SUMIFS(Tree!$AK:$AK,Tree!$A:$A,'Pre-Harvest Plots_rpt'!$B152,Tree!$B:$B,'Pre-Harvest Plots_rpt'!$D152,Tree!$F:$F,"L")-P152)</f>
        <v/>
      </c>
      <c r="U152" s="122" t="str">
        <f>IF(B152="","",SUMIFS(Tree!$AL:$AL,Tree!$A:$A,'Pre-Harvest Plots_rpt'!$B152,Tree!$B:$B,'Pre-Harvest Plots_rpt'!$D152,Tree!$F:$F,"L")-Q152)</f>
        <v/>
      </c>
      <c r="V152" s="123" t="str">
        <f>IF(B152="","",ROUND(SUMIFS(Tree!$AE:$AE,Tree!$A:$A,'Pre-Harvest Plots_rpt'!$B152,Tree!$B:$B,'Pre-Harvest Plots_rpt'!$D152,Tree!$F:$F,"L")-R152,1))</f>
        <v/>
      </c>
      <c r="W152" s="124" t="str">
        <f>IF(B152="","",SUMIFS(Tree!$AY:$AY,Tree!$A:$A,'Pre-Harvest Plots_rpt'!$B152,Tree!$B:$B,'Pre-Harvest Plots_rpt'!$D152,Tree!$F:$F,"L")/1000)</f>
        <v/>
      </c>
      <c r="X152" s="158" t="str">
        <f>IF(B152="","",ROUND((SUMIFS(Tree!$AW:$AW,Tree!$A:$A,'Pre-Harvest Plots_rpt'!$B152,Tree!$B:$B,'Pre-Harvest Plots_rpt'!$D152,Tree!$F:$F,"L")/1000)-W152,1))</f>
        <v/>
      </c>
      <c r="Y152" s="135"/>
      <c r="Z152" s="161" t="str">
        <f>IF(IF(B152="","",SUMIFS(Tree!$O:$O,Tree!$A:$A,'Pre-Harvest Plots_rpt'!$B152,Tree!$B:$B,'Pre-Harvest Plots_rpt'!$D152,Tree!$F:$F,"D"))=0,"",IF(B152="","",SUMIFS(Tree!$O:$O,Tree!$A:$A,'Pre-Harvest Plots_rpt'!$B152,Tree!$B:$B,'Pre-Harvest Plots_rpt'!$D152,Tree!$F:$F,"D")))</f>
        <v/>
      </c>
      <c r="AA152" s="125" t="str">
        <f t="shared" si="14"/>
        <v/>
      </c>
      <c r="AB152" s="125" t="str">
        <f>IF(Z152="","",SUMIFS(Tree!$R:$R,Tree!$A:$A,'Pre-Harvest Plots_rpt'!$B152,Tree!$B:$B,'Pre-Harvest Plots_rpt'!$D152,Tree!$F:$F,"D"))</f>
        <v/>
      </c>
      <c r="AC152" s="126" t="str">
        <f>IF(Z152="","",SUMIFS(Tree!$AM:$AM,Tree!$A:$A,'Pre-Harvest Plots_rpt'!$B152,Tree!$B:$B,'Pre-Harvest Plots_rpt'!$D152,Tree!$F:$F,"D"))</f>
        <v/>
      </c>
      <c r="AD152" s="162" t="str">
        <f>IF(Z152="","",SUMIFS(Tree!$AW:$AW,Tree!$A:$A,'Pre-Harvest Plots_rpt'!$B152,Tree!$B:$B,'Pre-Harvest Plots_rpt'!$D152,Tree!$F:$F,"D")/1000)</f>
        <v/>
      </c>
      <c r="AE152" s="47"/>
      <c r="AF152" s="4"/>
      <c r="AG152" s="4"/>
      <c r="AH152" s="4"/>
    </row>
    <row r="153" spans="1:34" ht="12.75" customHeight="1" x14ac:dyDescent="0.25">
      <c r="A153" s="48">
        <v>150</v>
      </c>
      <c r="B153" s="171" t="str">
        <f>IF(A153&lt;=SUM(Stand!$H$3:$H$29),VLOOKUP(A153,Stand!$A$3:$C$29,3,TRUE),"")</f>
        <v/>
      </c>
      <c r="C153" s="172" t="str">
        <f t="shared" si="17"/>
        <v/>
      </c>
      <c r="D153" s="173" t="str">
        <f>IF(B153="","",VLOOKUP(B153&amp;C153,Plot!$B$2:$D$199,3,FALSE))</f>
        <v/>
      </c>
      <c r="E153" s="130"/>
      <c r="F153" s="152" t="str">
        <f>IF(B153="","",SUMIFS(Tree!$O:$O,Tree!$A:$A,'Pre-Harvest Plots_rpt'!$B153,Tree!$B:$B,'Pre-Harvest Plots_rpt'!$D153,Tree!$F:$F,"L"))</f>
        <v/>
      </c>
      <c r="G153" s="153" t="str">
        <f>IFERROR(IF(D153="","",SUMIFS(Tree!$P:$P,Tree!$A:$A,'Pre-Harvest Plots_rpt'!$B153,Tree!$B:$B,'Pre-Harvest Plots_rpt'!$D153)/$F153),"")</f>
        <v/>
      </c>
      <c r="H153" s="122" t="str">
        <f t="shared" si="15"/>
        <v/>
      </c>
      <c r="I153" s="121" t="str">
        <f>IF(OR($F153=0,$F153=""),"",SUMIFS(Tree!$R:$R,Tree!$A:$A,'Pre-Harvest Plots_rpt'!$B153,Tree!$B:$B,'Pre-Harvest Plots_rpt'!$D153,Tree!$F:$F,"L"))</f>
        <v/>
      </c>
      <c r="J153" s="121" t="str">
        <f>IF(OR($F153=0,$F153=""),"",IF(SUMIFS(Tree!$W:$W,Tree!$A:$A,'Pre-Harvest Plots_rpt'!$B153,Tree!$B:$B,'Pre-Harvest Plots_rpt'!$D153,Tree!$F:$F,"L")=0,0,AVERAGEIFS(Tree!$W:$W,Tree!$A:$A,'Pre-Harvest Plots_rpt'!$B153,Tree!$B:$B,'Pre-Harvest Plots_rpt'!$D153,Tree!$F:$F,"L")))</f>
        <v/>
      </c>
      <c r="K153" s="121" t="str">
        <f>IF($F153="","",SUMIFS(Tree!$S:$S,Tree!$A:$A,'Pre-Harvest Plots_rpt'!$B153,Tree!$B:$B,'Pre-Harvest Plots_rpt'!$D153,Tree!$F:$F,"L"))</f>
        <v/>
      </c>
      <c r="L153" s="154" t="str">
        <f t="shared" si="16"/>
        <v/>
      </c>
      <c r="M153" s="135"/>
      <c r="N153" s="192" t="str">
        <f>IF(B153="","",SUMIFS(Tree!$AM:$AM,Tree!$A:$A,'Pre-Harvest Plots_rpt'!$B153,Tree!$B:$B,'Pre-Harvest Plots_rpt'!$D153,Tree!$F:$F,"L"))</f>
        <v/>
      </c>
      <c r="O153" s="122" t="str">
        <f>IF(B153="","",SUMIFS(Tree!$AN:$AN,Tree!$A:$A,'Pre-Harvest Plots_rpt'!$B153,Tree!$B:$B,'Pre-Harvest Plots_rpt'!$D153,Tree!$F:$F,"L"))</f>
        <v/>
      </c>
      <c r="P153" s="122" t="str">
        <f>IF(B153="","",SUMIFS(Tree!$AO:$AO,Tree!$A:$A,'Pre-Harvest Plots_rpt'!$B153,Tree!$B:$B,'Pre-Harvest Plots_rpt'!$D153,Tree!$F:$F,"L"))</f>
        <v/>
      </c>
      <c r="Q153" s="122" t="str">
        <f>IF(B153="","",SUMIFS(Tree!$AP:$AP,Tree!$A:$A,'Pre-Harvest Plots_rpt'!$B153,Tree!$B:$B,'Pre-Harvest Plots_rpt'!$D153,Tree!$F:$F,"L"))</f>
        <v/>
      </c>
      <c r="R153" s="123" t="str">
        <f>IF(B153="","",SUMIFS(Tree!$AQ:$AQ,Tree!$A:$A,'Pre-Harvest Plots_rpt'!$B153,Tree!$B:$B,'Pre-Harvest Plots_rpt'!$D153,Tree!$F:$F,"L"))</f>
        <v/>
      </c>
      <c r="S153" s="122" t="str">
        <f>IF(B153="","",SUMIFS(Tree!$AJ:$AJ,Tree!$A:$A,'Pre-Harvest Plots_rpt'!$B153,Tree!$B:$B,'Pre-Harvest Plots_rpt'!$D153,Tree!$F:$F,"L")-O153)</f>
        <v/>
      </c>
      <c r="T153" s="122" t="str">
        <f>IF(B153="","",SUMIFS(Tree!$AK:$AK,Tree!$A:$A,'Pre-Harvest Plots_rpt'!$B153,Tree!$B:$B,'Pre-Harvest Plots_rpt'!$D153,Tree!$F:$F,"L")-P153)</f>
        <v/>
      </c>
      <c r="U153" s="122" t="str">
        <f>IF(B153="","",SUMIFS(Tree!$AL:$AL,Tree!$A:$A,'Pre-Harvest Plots_rpt'!$B153,Tree!$B:$B,'Pre-Harvest Plots_rpt'!$D153,Tree!$F:$F,"L")-Q153)</f>
        <v/>
      </c>
      <c r="V153" s="123" t="str">
        <f>IF(B153="","",ROUND(SUMIFS(Tree!$AE:$AE,Tree!$A:$A,'Pre-Harvest Plots_rpt'!$B153,Tree!$B:$B,'Pre-Harvest Plots_rpt'!$D153,Tree!$F:$F,"L")-R153,1))</f>
        <v/>
      </c>
      <c r="W153" s="124" t="str">
        <f>IF(B153="","",SUMIFS(Tree!$AY:$AY,Tree!$A:$A,'Pre-Harvest Plots_rpt'!$B153,Tree!$B:$B,'Pre-Harvest Plots_rpt'!$D153,Tree!$F:$F,"L")/1000)</f>
        <v/>
      </c>
      <c r="X153" s="158" t="str">
        <f>IF(B153="","",ROUND((SUMIFS(Tree!$AW:$AW,Tree!$A:$A,'Pre-Harvest Plots_rpt'!$B153,Tree!$B:$B,'Pre-Harvest Plots_rpt'!$D153,Tree!$F:$F,"L")/1000)-W153,1))</f>
        <v/>
      </c>
      <c r="Y153" s="135"/>
      <c r="Z153" s="161" t="str">
        <f>IF(IF(B153="","",SUMIFS(Tree!$O:$O,Tree!$A:$A,'Pre-Harvest Plots_rpt'!$B153,Tree!$B:$B,'Pre-Harvest Plots_rpt'!$D153,Tree!$F:$F,"D"))=0,"",IF(B153="","",SUMIFS(Tree!$O:$O,Tree!$A:$A,'Pre-Harvest Plots_rpt'!$B153,Tree!$B:$B,'Pre-Harvest Plots_rpt'!$D153,Tree!$F:$F,"D")))</f>
        <v/>
      </c>
      <c r="AA153" s="125" t="str">
        <f t="shared" si="14"/>
        <v/>
      </c>
      <c r="AB153" s="125" t="str">
        <f>IF(Z153="","",SUMIFS(Tree!$R:$R,Tree!$A:$A,'Pre-Harvest Plots_rpt'!$B153,Tree!$B:$B,'Pre-Harvest Plots_rpt'!$D153,Tree!$F:$F,"D"))</f>
        <v/>
      </c>
      <c r="AC153" s="126" t="str">
        <f>IF(Z153="","",SUMIFS(Tree!$AM:$AM,Tree!$A:$A,'Pre-Harvest Plots_rpt'!$B153,Tree!$B:$B,'Pre-Harvest Plots_rpt'!$D153,Tree!$F:$F,"D"))</f>
        <v/>
      </c>
      <c r="AD153" s="162" t="str">
        <f>IF(Z153="","",SUMIFS(Tree!$AW:$AW,Tree!$A:$A,'Pre-Harvest Plots_rpt'!$B153,Tree!$B:$B,'Pre-Harvest Plots_rpt'!$D153,Tree!$F:$F,"D")/1000)</f>
        <v/>
      </c>
      <c r="AE153" s="47"/>
      <c r="AF153" s="4"/>
      <c r="AG153" s="4"/>
      <c r="AH153" s="4"/>
    </row>
    <row r="154" spans="1:34" ht="12.75" customHeight="1" x14ac:dyDescent="0.25">
      <c r="A154" s="48">
        <v>151</v>
      </c>
      <c r="B154" s="171" t="str">
        <f>IF(A154&lt;=SUM(Stand!$H$3:$H$29),VLOOKUP(A154,Stand!$A$3:$C$29,3,TRUE),"")</f>
        <v/>
      </c>
      <c r="C154" s="172" t="str">
        <f t="shared" si="17"/>
        <v/>
      </c>
      <c r="D154" s="173" t="str">
        <f>IF(B154="","",VLOOKUP(B154&amp;C154,Plot!$B$2:$D$199,3,FALSE))</f>
        <v/>
      </c>
      <c r="E154" s="130"/>
      <c r="F154" s="152" t="str">
        <f>IF(B154="","",SUMIFS(Tree!$O:$O,Tree!$A:$A,'Pre-Harvest Plots_rpt'!$B154,Tree!$B:$B,'Pre-Harvest Plots_rpt'!$D154,Tree!$F:$F,"L"))</f>
        <v/>
      </c>
      <c r="G154" s="153" t="str">
        <f>IFERROR(IF(D154="","",SUMIFS(Tree!$P:$P,Tree!$A:$A,'Pre-Harvest Plots_rpt'!$B154,Tree!$B:$B,'Pre-Harvest Plots_rpt'!$D154)/$F154),"")</f>
        <v/>
      </c>
      <c r="H154" s="122" t="str">
        <f t="shared" si="15"/>
        <v/>
      </c>
      <c r="I154" s="121" t="str">
        <f>IF(OR($F154=0,$F154=""),"",SUMIFS(Tree!$R:$R,Tree!$A:$A,'Pre-Harvest Plots_rpt'!$B154,Tree!$B:$B,'Pre-Harvest Plots_rpt'!$D154,Tree!$F:$F,"L"))</f>
        <v/>
      </c>
      <c r="J154" s="121" t="str">
        <f>IF(OR($F154=0,$F154=""),"",IF(SUMIFS(Tree!$W:$W,Tree!$A:$A,'Pre-Harvest Plots_rpt'!$B154,Tree!$B:$B,'Pre-Harvest Plots_rpt'!$D154,Tree!$F:$F,"L")=0,0,AVERAGEIFS(Tree!$W:$W,Tree!$A:$A,'Pre-Harvest Plots_rpt'!$B154,Tree!$B:$B,'Pre-Harvest Plots_rpt'!$D154,Tree!$F:$F,"L")))</f>
        <v/>
      </c>
      <c r="K154" s="121" t="str">
        <f>IF($F154="","",SUMIFS(Tree!$S:$S,Tree!$A:$A,'Pre-Harvest Plots_rpt'!$B154,Tree!$B:$B,'Pre-Harvest Plots_rpt'!$D154,Tree!$F:$F,"L"))</f>
        <v/>
      </c>
      <c r="L154" s="154" t="str">
        <f t="shared" si="16"/>
        <v/>
      </c>
      <c r="M154" s="135"/>
      <c r="N154" s="192" t="str">
        <f>IF(B154="","",SUMIFS(Tree!$AM:$AM,Tree!$A:$A,'Pre-Harvest Plots_rpt'!$B154,Tree!$B:$B,'Pre-Harvest Plots_rpt'!$D154,Tree!$F:$F,"L"))</f>
        <v/>
      </c>
      <c r="O154" s="122" t="str">
        <f>IF(B154="","",SUMIFS(Tree!$AN:$AN,Tree!$A:$A,'Pre-Harvest Plots_rpt'!$B154,Tree!$B:$B,'Pre-Harvest Plots_rpt'!$D154,Tree!$F:$F,"L"))</f>
        <v/>
      </c>
      <c r="P154" s="122" t="str">
        <f>IF(B154="","",SUMIFS(Tree!$AO:$AO,Tree!$A:$A,'Pre-Harvest Plots_rpt'!$B154,Tree!$B:$B,'Pre-Harvest Plots_rpt'!$D154,Tree!$F:$F,"L"))</f>
        <v/>
      </c>
      <c r="Q154" s="122" t="str">
        <f>IF(B154="","",SUMIFS(Tree!$AP:$AP,Tree!$A:$A,'Pre-Harvest Plots_rpt'!$B154,Tree!$B:$B,'Pre-Harvest Plots_rpt'!$D154,Tree!$F:$F,"L"))</f>
        <v/>
      </c>
      <c r="R154" s="123" t="str">
        <f>IF(B154="","",SUMIFS(Tree!$AQ:$AQ,Tree!$A:$A,'Pre-Harvest Plots_rpt'!$B154,Tree!$B:$B,'Pre-Harvest Plots_rpt'!$D154,Tree!$F:$F,"L"))</f>
        <v/>
      </c>
      <c r="S154" s="122" t="str">
        <f>IF(B154="","",SUMIFS(Tree!$AJ:$AJ,Tree!$A:$A,'Pre-Harvest Plots_rpt'!$B154,Tree!$B:$B,'Pre-Harvest Plots_rpt'!$D154,Tree!$F:$F,"L")-O154)</f>
        <v/>
      </c>
      <c r="T154" s="122" t="str">
        <f>IF(B154="","",SUMIFS(Tree!$AK:$AK,Tree!$A:$A,'Pre-Harvest Plots_rpt'!$B154,Tree!$B:$B,'Pre-Harvest Plots_rpt'!$D154,Tree!$F:$F,"L")-P154)</f>
        <v/>
      </c>
      <c r="U154" s="122" t="str">
        <f>IF(B154="","",SUMIFS(Tree!$AL:$AL,Tree!$A:$A,'Pre-Harvest Plots_rpt'!$B154,Tree!$B:$B,'Pre-Harvest Plots_rpt'!$D154,Tree!$F:$F,"L")-Q154)</f>
        <v/>
      </c>
      <c r="V154" s="123" t="str">
        <f>IF(B154="","",ROUND(SUMIFS(Tree!$AE:$AE,Tree!$A:$A,'Pre-Harvest Plots_rpt'!$B154,Tree!$B:$B,'Pre-Harvest Plots_rpt'!$D154,Tree!$F:$F,"L")-R154,1))</f>
        <v/>
      </c>
      <c r="W154" s="124" t="str">
        <f>IF(B154="","",SUMIFS(Tree!$AY:$AY,Tree!$A:$A,'Pre-Harvest Plots_rpt'!$B154,Tree!$B:$B,'Pre-Harvest Plots_rpt'!$D154,Tree!$F:$F,"L")/1000)</f>
        <v/>
      </c>
      <c r="X154" s="158" t="str">
        <f>IF(B154="","",ROUND((SUMIFS(Tree!$AW:$AW,Tree!$A:$A,'Pre-Harvest Plots_rpt'!$B154,Tree!$B:$B,'Pre-Harvest Plots_rpt'!$D154,Tree!$F:$F,"L")/1000)-W154,1))</f>
        <v/>
      </c>
      <c r="Y154" s="135"/>
      <c r="Z154" s="161" t="str">
        <f>IF(IF(B154="","",SUMIFS(Tree!$O:$O,Tree!$A:$A,'Pre-Harvest Plots_rpt'!$B154,Tree!$B:$B,'Pre-Harvest Plots_rpt'!$D154,Tree!$F:$F,"D"))=0,"",IF(B154="","",SUMIFS(Tree!$O:$O,Tree!$A:$A,'Pre-Harvest Plots_rpt'!$B154,Tree!$B:$B,'Pre-Harvest Plots_rpt'!$D154,Tree!$F:$F,"D")))</f>
        <v/>
      </c>
      <c r="AA154" s="125" t="str">
        <f t="shared" si="14"/>
        <v/>
      </c>
      <c r="AB154" s="125" t="str">
        <f>IF(Z154="","",SUMIFS(Tree!$R:$R,Tree!$A:$A,'Pre-Harvest Plots_rpt'!$B154,Tree!$B:$B,'Pre-Harvest Plots_rpt'!$D154,Tree!$F:$F,"D"))</f>
        <v/>
      </c>
      <c r="AC154" s="126" t="str">
        <f>IF(Z154="","",SUMIFS(Tree!$AM:$AM,Tree!$A:$A,'Pre-Harvest Plots_rpt'!$B154,Tree!$B:$B,'Pre-Harvest Plots_rpt'!$D154,Tree!$F:$F,"D"))</f>
        <v/>
      </c>
      <c r="AD154" s="162" t="str">
        <f>IF(Z154="","",SUMIFS(Tree!$AW:$AW,Tree!$A:$A,'Pre-Harvest Plots_rpt'!$B154,Tree!$B:$B,'Pre-Harvest Plots_rpt'!$D154,Tree!$F:$F,"D")/1000)</f>
        <v/>
      </c>
      <c r="AE154" s="47"/>
      <c r="AF154" s="4"/>
      <c r="AG154" s="4"/>
      <c r="AH154" s="4"/>
    </row>
    <row r="155" spans="1:34" ht="12.75" customHeight="1" x14ac:dyDescent="0.25">
      <c r="A155" s="48">
        <v>152</v>
      </c>
      <c r="B155" s="171" t="str">
        <f>IF(A155&lt;=SUM(Stand!$H$3:$H$29),VLOOKUP(A155,Stand!$A$3:$C$29,3,TRUE),"")</f>
        <v/>
      </c>
      <c r="C155" s="172" t="str">
        <f t="shared" si="17"/>
        <v/>
      </c>
      <c r="D155" s="173" t="str">
        <f>IF(B155="","",VLOOKUP(B155&amp;C155,Plot!$B$2:$D$199,3,FALSE))</f>
        <v/>
      </c>
      <c r="E155" s="130"/>
      <c r="F155" s="152" t="str">
        <f>IF(B155="","",SUMIFS(Tree!$O:$O,Tree!$A:$A,'Pre-Harvest Plots_rpt'!$B155,Tree!$B:$B,'Pre-Harvest Plots_rpt'!$D155,Tree!$F:$F,"L"))</f>
        <v/>
      </c>
      <c r="G155" s="153" t="str">
        <f>IFERROR(IF(D155="","",SUMIFS(Tree!$P:$P,Tree!$A:$A,'Pre-Harvest Plots_rpt'!$B155,Tree!$B:$B,'Pre-Harvest Plots_rpt'!$D155)/$F155),"")</f>
        <v/>
      </c>
      <c r="H155" s="122" t="str">
        <f t="shared" si="15"/>
        <v/>
      </c>
      <c r="I155" s="121" t="str">
        <f>IF(OR($F155=0,$F155=""),"",SUMIFS(Tree!$R:$R,Tree!$A:$A,'Pre-Harvest Plots_rpt'!$B155,Tree!$B:$B,'Pre-Harvest Plots_rpt'!$D155,Tree!$F:$F,"L"))</f>
        <v/>
      </c>
      <c r="J155" s="121" t="str">
        <f>IF(OR($F155=0,$F155=""),"",IF(SUMIFS(Tree!$W:$W,Tree!$A:$A,'Pre-Harvest Plots_rpt'!$B155,Tree!$B:$B,'Pre-Harvest Plots_rpt'!$D155,Tree!$F:$F,"L")=0,0,AVERAGEIFS(Tree!$W:$W,Tree!$A:$A,'Pre-Harvest Plots_rpt'!$B155,Tree!$B:$B,'Pre-Harvest Plots_rpt'!$D155,Tree!$F:$F,"L")))</f>
        <v/>
      </c>
      <c r="K155" s="121" t="str">
        <f>IF($F155="","",SUMIFS(Tree!$S:$S,Tree!$A:$A,'Pre-Harvest Plots_rpt'!$B155,Tree!$B:$B,'Pre-Harvest Plots_rpt'!$D155,Tree!$F:$F,"L"))</f>
        <v/>
      </c>
      <c r="L155" s="154" t="str">
        <f t="shared" si="16"/>
        <v/>
      </c>
      <c r="M155" s="135"/>
      <c r="N155" s="192" t="str">
        <f>IF(B155="","",SUMIFS(Tree!$AM:$AM,Tree!$A:$A,'Pre-Harvest Plots_rpt'!$B155,Tree!$B:$B,'Pre-Harvest Plots_rpt'!$D155,Tree!$F:$F,"L"))</f>
        <v/>
      </c>
      <c r="O155" s="122" t="str">
        <f>IF(B155="","",SUMIFS(Tree!$AN:$AN,Tree!$A:$A,'Pre-Harvest Plots_rpt'!$B155,Tree!$B:$B,'Pre-Harvest Plots_rpt'!$D155,Tree!$F:$F,"L"))</f>
        <v/>
      </c>
      <c r="P155" s="122" t="str">
        <f>IF(B155="","",SUMIFS(Tree!$AO:$AO,Tree!$A:$A,'Pre-Harvest Plots_rpt'!$B155,Tree!$B:$B,'Pre-Harvest Plots_rpt'!$D155,Tree!$F:$F,"L"))</f>
        <v/>
      </c>
      <c r="Q155" s="122" t="str">
        <f>IF(B155="","",SUMIFS(Tree!$AP:$AP,Tree!$A:$A,'Pre-Harvest Plots_rpt'!$B155,Tree!$B:$B,'Pre-Harvest Plots_rpt'!$D155,Tree!$F:$F,"L"))</f>
        <v/>
      </c>
      <c r="R155" s="123" t="str">
        <f>IF(B155="","",SUMIFS(Tree!$AQ:$AQ,Tree!$A:$A,'Pre-Harvest Plots_rpt'!$B155,Tree!$B:$B,'Pre-Harvest Plots_rpt'!$D155,Tree!$F:$F,"L"))</f>
        <v/>
      </c>
      <c r="S155" s="122" t="str">
        <f>IF(B155="","",SUMIFS(Tree!$AJ:$AJ,Tree!$A:$A,'Pre-Harvest Plots_rpt'!$B155,Tree!$B:$B,'Pre-Harvest Plots_rpt'!$D155,Tree!$F:$F,"L")-O155)</f>
        <v/>
      </c>
      <c r="T155" s="122" t="str">
        <f>IF(B155="","",SUMIFS(Tree!$AK:$AK,Tree!$A:$A,'Pre-Harvest Plots_rpt'!$B155,Tree!$B:$B,'Pre-Harvest Plots_rpt'!$D155,Tree!$F:$F,"L")-P155)</f>
        <v/>
      </c>
      <c r="U155" s="122" t="str">
        <f>IF(B155="","",SUMIFS(Tree!$AL:$AL,Tree!$A:$A,'Pre-Harvest Plots_rpt'!$B155,Tree!$B:$B,'Pre-Harvest Plots_rpt'!$D155,Tree!$F:$F,"L")-Q155)</f>
        <v/>
      </c>
      <c r="V155" s="123" t="str">
        <f>IF(B155="","",ROUND(SUMIFS(Tree!$AE:$AE,Tree!$A:$A,'Pre-Harvest Plots_rpt'!$B155,Tree!$B:$B,'Pre-Harvest Plots_rpt'!$D155,Tree!$F:$F,"L")-R155,1))</f>
        <v/>
      </c>
      <c r="W155" s="124" t="str">
        <f>IF(B155="","",SUMIFS(Tree!$AY:$AY,Tree!$A:$A,'Pre-Harvest Plots_rpt'!$B155,Tree!$B:$B,'Pre-Harvest Plots_rpt'!$D155,Tree!$F:$F,"L")/1000)</f>
        <v/>
      </c>
      <c r="X155" s="158" t="str">
        <f>IF(B155="","",ROUND((SUMIFS(Tree!$AW:$AW,Tree!$A:$A,'Pre-Harvest Plots_rpt'!$B155,Tree!$B:$B,'Pre-Harvest Plots_rpt'!$D155,Tree!$F:$F,"L")/1000)-W155,1))</f>
        <v/>
      </c>
      <c r="Y155" s="135"/>
      <c r="Z155" s="161" t="str">
        <f>IF(IF(B155="","",SUMIFS(Tree!$O:$O,Tree!$A:$A,'Pre-Harvest Plots_rpt'!$B155,Tree!$B:$B,'Pre-Harvest Plots_rpt'!$D155,Tree!$F:$F,"D"))=0,"",IF(B155="","",SUMIFS(Tree!$O:$O,Tree!$A:$A,'Pre-Harvest Plots_rpt'!$B155,Tree!$B:$B,'Pre-Harvest Plots_rpt'!$D155,Tree!$F:$F,"D")))</f>
        <v/>
      </c>
      <c r="AA155" s="125" t="str">
        <f t="shared" si="14"/>
        <v/>
      </c>
      <c r="AB155" s="125" t="str">
        <f>IF(Z155="","",SUMIFS(Tree!$R:$R,Tree!$A:$A,'Pre-Harvest Plots_rpt'!$B155,Tree!$B:$B,'Pre-Harvest Plots_rpt'!$D155,Tree!$F:$F,"D"))</f>
        <v/>
      </c>
      <c r="AC155" s="126" t="str">
        <f>IF(Z155="","",SUMIFS(Tree!$AM:$AM,Tree!$A:$A,'Pre-Harvest Plots_rpt'!$B155,Tree!$B:$B,'Pre-Harvest Plots_rpt'!$D155,Tree!$F:$F,"D"))</f>
        <v/>
      </c>
      <c r="AD155" s="162" t="str">
        <f>IF(Z155="","",SUMIFS(Tree!$AW:$AW,Tree!$A:$A,'Pre-Harvest Plots_rpt'!$B155,Tree!$B:$B,'Pre-Harvest Plots_rpt'!$D155,Tree!$F:$F,"D")/1000)</f>
        <v/>
      </c>
      <c r="AE155" s="47"/>
      <c r="AF155" s="4"/>
      <c r="AG155" s="4"/>
      <c r="AH155" s="4"/>
    </row>
    <row r="156" spans="1:34" ht="12.75" customHeight="1" x14ac:dyDescent="0.25">
      <c r="A156" s="48">
        <v>153</v>
      </c>
      <c r="B156" s="171" t="str">
        <f>IF(A156&lt;=SUM(Stand!$H$3:$H$29),VLOOKUP(A156,Stand!$A$3:$C$29,3,TRUE),"")</f>
        <v/>
      </c>
      <c r="C156" s="172" t="str">
        <f t="shared" si="17"/>
        <v/>
      </c>
      <c r="D156" s="173" t="str">
        <f>IF(B156="","",VLOOKUP(B156&amp;C156,Plot!$B$2:$D$199,3,FALSE))</f>
        <v/>
      </c>
      <c r="E156" s="130"/>
      <c r="F156" s="152" t="str">
        <f>IF(B156="","",SUMIFS(Tree!$O:$O,Tree!$A:$A,'Pre-Harvest Plots_rpt'!$B156,Tree!$B:$B,'Pre-Harvest Plots_rpt'!$D156,Tree!$F:$F,"L"))</f>
        <v/>
      </c>
      <c r="G156" s="153" t="str">
        <f>IFERROR(IF(D156="","",SUMIFS(Tree!$P:$P,Tree!$A:$A,'Pre-Harvest Plots_rpt'!$B156,Tree!$B:$B,'Pre-Harvest Plots_rpt'!$D156)/$F156),"")</f>
        <v/>
      </c>
      <c r="H156" s="122" t="str">
        <f t="shared" si="15"/>
        <v/>
      </c>
      <c r="I156" s="121" t="str">
        <f>IF(OR($F156=0,$F156=""),"",SUMIFS(Tree!$R:$R,Tree!$A:$A,'Pre-Harvest Plots_rpt'!$B156,Tree!$B:$B,'Pre-Harvest Plots_rpt'!$D156,Tree!$F:$F,"L"))</f>
        <v/>
      </c>
      <c r="J156" s="121" t="str">
        <f>IF(OR($F156=0,$F156=""),"",IF(SUMIFS(Tree!$W:$W,Tree!$A:$A,'Pre-Harvest Plots_rpt'!$B156,Tree!$B:$B,'Pre-Harvest Plots_rpt'!$D156,Tree!$F:$F,"L")=0,0,AVERAGEIFS(Tree!$W:$W,Tree!$A:$A,'Pre-Harvest Plots_rpt'!$B156,Tree!$B:$B,'Pre-Harvest Plots_rpt'!$D156,Tree!$F:$F,"L")))</f>
        <v/>
      </c>
      <c r="K156" s="121" t="str">
        <f>IF($F156="","",SUMIFS(Tree!$S:$S,Tree!$A:$A,'Pre-Harvest Plots_rpt'!$B156,Tree!$B:$B,'Pre-Harvest Plots_rpt'!$D156,Tree!$F:$F,"L"))</f>
        <v/>
      </c>
      <c r="L156" s="154" t="str">
        <f t="shared" si="16"/>
        <v/>
      </c>
      <c r="M156" s="135"/>
      <c r="N156" s="192" t="str">
        <f>IF(B156="","",SUMIFS(Tree!$AM:$AM,Tree!$A:$A,'Pre-Harvest Plots_rpt'!$B156,Tree!$B:$B,'Pre-Harvest Plots_rpt'!$D156,Tree!$F:$F,"L"))</f>
        <v/>
      </c>
      <c r="O156" s="122" t="str">
        <f>IF(B156="","",SUMIFS(Tree!$AN:$AN,Tree!$A:$A,'Pre-Harvest Plots_rpt'!$B156,Tree!$B:$B,'Pre-Harvest Plots_rpt'!$D156,Tree!$F:$F,"L"))</f>
        <v/>
      </c>
      <c r="P156" s="122" t="str">
        <f>IF(B156="","",SUMIFS(Tree!$AO:$AO,Tree!$A:$A,'Pre-Harvest Plots_rpt'!$B156,Tree!$B:$B,'Pre-Harvest Plots_rpt'!$D156,Tree!$F:$F,"L"))</f>
        <v/>
      </c>
      <c r="Q156" s="122" t="str">
        <f>IF(B156="","",SUMIFS(Tree!$AP:$AP,Tree!$A:$A,'Pre-Harvest Plots_rpt'!$B156,Tree!$B:$B,'Pre-Harvest Plots_rpt'!$D156,Tree!$F:$F,"L"))</f>
        <v/>
      </c>
      <c r="R156" s="123" t="str">
        <f>IF(B156="","",SUMIFS(Tree!$AQ:$AQ,Tree!$A:$A,'Pre-Harvest Plots_rpt'!$B156,Tree!$B:$B,'Pre-Harvest Plots_rpt'!$D156,Tree!$F:$F,"L"))</f>
        <v/>
      </c>
      <c r="S156" s="122" t="str">
        <f>IF(B156="","",SUMIFS(Tree!$AJ:$AJ,Tree!$A:$A,'Pre-Harvest Plots_rpt'!$B156,Tree!$B:$B,'Pre-Harvest Plots_rpt'!$D156,Tree!$F:$F,"L")-O156)</f>
        <v/>
      </c>
      <c r="T156" s="122" t="str">
        <f>IF(B156="","",SUMIFS(Tree!$AK:$AK,Tree!$A:$A,'Pre-Harvest Plots_rpt'!$B156,Tree!$B:$B,'Pre-Harvest Plots_rpt'!$D156,Tree!$F:$F,"L")-P156)</f>
        <v/>
      </c>
      <c r="U156" s="122" t="str">
        <f>IF(B156="","",SUMIFS(Tree!$AL:$AL,Tree!$A:$A,'Pre-Harvest Plots_rpt'!$B156,Tree!$B:$B,'Pre-Harvest Plots_rpt'!$D156,Tree!$F:$F,"L")-Q156)</f>
        <v/>
      </c>
      <c r="V156" s="123" t="str">
        <f>IF(B156="","",ROUND(SUMIFS(Tree!$AE:$AE,Tree!$A:$A,'Pre-Harvest Plots_rpt'!$B156,Tree!$B:$B,'Pre-Harvest Plots_rpt'!$D156,Tree!$F:$F,"L")-R156,1))</f>
        <v/>
      </c>
      <c r="W156" s="124" t="str">
        <f>IF(B156="","",SUMIFS(Tree!$AY:$AY,Tree!$A:$A,'Pre-Harvest Plots_rpt'!$B156,Tree!$B:$B,'Pre-Harvest Plots_rpt'!$D156,Tree!$F:$F,"L")/1000)</f>
        <v/>
      </c>
      <c r="X156" s="158" t="str">
        <f>IF(B156="","",ROUND((SUMIFS(Tree!$AW:$AW,Tree!$A:$A,'Pre-Harvest Plots_rpt'!$B156,Tree!$B:$B,'Pre-Harvest Plots_rpt'!$D156,Tree!$F:$F,"L")/1000)-W156,1))</f>
        <v/>
      </c>
      <c r="Y156" s="135"/>
      <c r="Z156" s="161" t="str">
        <f>IF(IF(B156="","",SUMIFS(Tree!$O:$O,Tree!$A:$A,'Pre-Harvest Plots_rpt'!$B156,Tree!$B:$B,'Pre-Harvest Plots_rpt'!$D156,Tree!$F:$F,"D"))=0,"",IF(B156="","",SUMIFS(Tree!$O:$O,Tree!$A:$A,'Pre-Harvest Plots_rpt'!$B156,Tree!$B:$B,'Pre-Harvest Plots_rpt'!$D156,Tree!$F:$F,"D")))</f>
        <v/>
      </c>
      <c r="AA156" s="125" t="str">
        <f t="shared" si="14"/>
        <v/>
      </c>
      <c r="AB156" s="125" t="str">
        <f>IF(Z156="","",SUMIFS(Tree!$R:$R,Tree!$A:$A,'Pre-Harvest Plots_rpt'!$B156,Tree!$B:$B,'Pre-Harvest Plots_rpt'!$D156,Tree!$F:$F,"D"))</f>
        <v/>
      </c>
      <c r="AC156" s="126" t="str">
        <f>IF(Z156="","",SUMIFS(Tree!$AM:$AM,Tree!$A:$A,'Pre-Harvest Plots_rpt'!$B156,Tree!$B:$B,'Pre-Harvest Plots_rpt'!$D156,Tree!$F:$F,"D"))</f>
        <v/>
      </c>
      <c r="AD156" s="162" t="str">
        <f>IF(Z156="","",SUMIFS(Tree!$AW:$AW,Tree!$A:$A,'Pre-Harvest Plots_rpt'!$B156,Tree!$B:$B,'Pre-Harvest Plots_rpt'!$D156,Tree!$F:$F,"D")/1000)</f>
        <v/>
      </c>
      <c r="AE156" s="47"/>
      <c r="AF156" s="4"/>
      <c r="AG156" s="4"/>
      <c r="AH156" s="4"/>
    </row>
    <row r="157" spans="1:34" ht="12.75" customHeight="1" x14ac:dyDescent="0.25">
      <c r="A157" s="48">
        <v>154</v>
      </c>
      <c r="B157" s="171" t="str">
        <f>IF(A157&lt;=SUM(Stand!$H$3:$H$29),VLOOKUP(A157,Stand!$A$3:$C$29,3,TRUE),"")</f>
        <v/>
      </c>
      <c r="C157" s="172" t="str">
        <f t="shared" si="17"/>
        <v/>
      </c>
      <c r="D157" s="173" t="str">
        <f>IF(B157="","",VLOOKUP(B157&amp;C157,Plot!$B$2:$D$199,3,FALSE))</f>
        <v/>
      </c>
      <c r="E157" s="130"/>
      <c r="F157" s="152" t="str">
        <f>IF(B157="","",SUMIFS(Tree!$O:$O,Tree!$A:$A,'Pre-Harvest Plots_rpt'!$B157,Tree!$B:$B,'Pre-Harvest Plots_rpt'!$D157,Tree!$F:$F,"L"))</f>
        <v/>
      </c>
      <c r="G157" s="153" t="str">
        <f>IFERROR(IF(D157="","",SUMIFS(Tree!$P:$P,Tree!$A:$A,'Pre-Harvest Plots_rpt'!$B157,Tree!$B:$B,'Pre-Harvest Plots_rpt'!$D157)/$F157),"")</f>
        <v/>
      </c>
      <c r="H157" s="122" t="str">
        <f t="shared" si="15"/>
        <v/>
      </c>
      <c r="I157" s="121" t="str">
        <f>IF(OR($F157=0,$F157=""),"",SUMIFS(Tree!$R:$R,Tree!$A:$A,'Pre-Harvest Plots_rpt'!$B157,Tree!$B:$B,'Pre-Harvest Plots_rpt'!$D157,Tree!$F:$F,"L"))</f>
        <v/>
      </c>
      <c r="J157" s="121" t="str">
        <f>IF(OR($F157=0,$F157=""),"",IF(SUMIFS(Tree!$W:$W,Tree!$A:$A,'Pre-Harvest Plots_rpt'!$B157,Tree!$B:$B,'Pre-Harvest Plots_rpt'!$D157,Tree!$F:$F,"L")=0,0,AVERAGEIFS(Tree!$W:$W,Tree!$A:$A,'Pre-Harvest Plots_rpt'!$B157,Tree!$B:$B,'Pre-Harvest Plots_rpt'!$D157,Tree!$F:$F,"L")))</f>
        <v/>
      </c>
      <c r="K157" s="121" t="str">
        <f>IF($F157="","",SUMIFS(Tree!$S:$S,Tree!$A:$A,'Pre-Harvest Plots_rpt'!$B157,Tree!$B:$B,'Pre-Harvest Plots_rpt'!$D157,Tree!$F:$F,"L"))</f>
        <v/>
      </c>
      <c r="L157" s="154" t="str">
        <f t="shared" si="16"/>
        <v/>
      </c>
      <c r="M157" s="135"/>
      <c r="N157" s="192" t="str">
        <f>IF(B157="","",SUMIFS(Tree!$AM:$AM,Tree!$A:$A,'Pre-Harvest Plots_rpt'!$B157,Tree!$B:$B,'Pre-Harvest Plots_rpt'!$D157,Tree!$F:$F,"L"))</f>
        <v/>
      </c>
      <c r="O157" s="122" t="str">
        <f>IF(B157="","",SUMIFS(Tree!$AN:$AN,Tree!$A:$A,'Pre-Harvest Plots_rpt'!$B157,Tree!$B:$B,'Pre-Harvest Plots_rpt'!$D157,Tree!$F:$F,"L"))</f>
        <v/>
      </c>
      <c r="P157" s="122" t="str">
        <f>IF(B157="","",SUMIFS(Tree!$AO:$AO,Tree!$A:$A,'Pre-Harvest Plots_rpt'!$B157,Tree!$B:$B,'Pre-Harvest Plots_rpt'!$D157,Tree!$F:$F,"L"))</f>
        <v/>
      </c>
      <c r="Q157" s="122" t="str">
        <f>IF(B157="","",SUMIFS(Tree!$AP:$AP,Tree!$A:$A,'Pre-Harvest Plots_rpt'!$B157,Tree!$B:$B,'Pre-Harvest Plots_rpt'!$D157,Tree!$F:$F,"L"))</f>
        <v/>
      </c>
      <c r="R157" s="123" t="str">
        <f>IF(B157="","",SUMIFS(Tree!$AQ:$AQ,Tree!$A:$A,'Pre-Harvest Plots_rpt'!$B157,Tree!$B:$B,'Pre-Harvest Plots_rpt'!$D157,Tree!$F:$F,"L"))</f>
        <v/>
      </c>
      <c r="S157" s="122" t="str">
        <f>IF(B157="","",SUMIFS(Tree!$AJ:$AJ,Tree!$A:$A,'Pre-Harvest Plots_rpt'!$B157,Tree!$B:$B,'Pre-Harvest Plots_rpt'!$D157,Tree!$F:$F,"L")-O157)</f>
        <v/>
      </c>
      <c r="T157" s="122" t="str">
        <f>IF(B157="","",SUMIFS(Tree!$AK:$AK,Tree!$A:$A,'Pre-Harvest Plots_rpt'!$B157,Tree!$B:$B,'Pre-Harvest Plots_rpt'!$D157,Tree!$F:$F,"L")-P157)</f>
        <v/>
      </c>
      <c r="U157" s="122" t="str">
        <f>IF(B157="","",SUMIFS(Tree!$AL:$AL,Tree!$A:$A,'Pre-Harvest Plots_rpt'!$B157,Tree!$B:$B,'Pre-Harvest Plots_rpt'!$D157,Tree!$F:$F,"L")-Q157)</f>
        <v/>
      </c>
      <c r="V157" s="123" t="str">
        <f>IF(B157="","",ROUND(SUMIFS(Tree!$AE:$AE,Tree!$A:$A,'Pre-Harvest Plots_rpt'!$B157,Tree!$B:$B,'Pre-Harvest Plots_rpt'!$D157,Tree!$F:$F,"L")-R157,1))</f>
        <v/>
      </c>
      <c r="W157" s="124" t="str">
        <f>IF(B157="","",SUMIFS(Tree!$AY:$AY,Tree!$A:$A,'Pre-Harvest Plots_rpt'!$B157,Tree!$B:$B,'Pre-Harvest Plots_rpt'!$D157,Tree!$F:$F,"L")/1000)</f>
        <v/>
      </c>
      <c r="X157" s="158" t="str">
        <f>IF(B157="","",ROUND((SUMIFS(Tree!$AW:$AW,Tree!$A:$A,'Pre-Harvest Plots_rpt'!$B157,Tree!$B:$B,'Pre-Harvest Plots_rpt'!$D157,Tree!$F:$F,"L")/1000)-W157,1))</f>
        <v/>
      </c>
      <c r="Y157" s="135"/>
      <c r="Z157" s="161" t="str">
        <f>IF(IF(B157="","",SUMIFS(Tree!$O:$O,Tree!$A:$A,'Pre-Harvest Plots_rpt'!$B157,Tree!$B:$B,'Pre-Harvest Plots_rpt'!$D157,Tree!$F:$F,"D"))=0,"",IF(B157="","",SUMIFS(Tree!$O:$O,Tree!$A:$A,'Pre-Harvest Plots_rpt'!$B157,Tree!$B:$B,'Pre-Harvest Plots_rpt'!$D157,Tree!$F:$F,"D")))</f>
        <v/>
      </c>
      <c r="AA157" s="125" t="str">
        <f t="shared" si="14"/>
        <v/>
      </c>
      <c r="AB157" s="125" t="str">
        <f>IF(Z157="","",SUMIFS(Tree!$R:$R,Tree!$A:$A,'Pre-Harvest Plots_rpt'!$B157,Tree!$B:$B,'Pre-Harvest Plots_rpt'!$D157,Tree!$F:$F,"D"))</f>
        <v/>
      </c>
      <c r="AC157" s="126" t="str">
        <f>IF(Z157="","",SUMIFS(Tree!$AM:$AM,Tree!$A:$A,'Pre-Harvest Plots_rpt'!$B157,Tree!$B:$B,'Pre-Harvest Plots_rpt'!$D157,Tree!$F:$F,"D"))</f>
        <v/>
      </c>
      <c r="AD157" s="162" t="str">
        <f>IF(Z157="","",SUMIFS(Tree!$AW:$AW,Tree!$A:$A,'Pre-Harvest Plots_rpt'!$B157,Tree!$B:$B,'Pre-Harvest Plots_rpt'!$D157,Tree!$F:$F,"D")/1000)</f>
        <v/>
      </c>
      <c r="AE157" s="47"/>
      <c r="AF157" s="4"/>
      <c r="AG157" s="4"/>
      <c r="AH157" s="4"/>
    </row>
    <row r="158" spans="1:34" ht="12.75" customHeight="1" x14ac:dyDescent="0.25">
      <c r="A158" s="48">
        <v>155</v>
      </c>
      <c r="B158" s="171" t="str">
        <f>IF(A158&lt;=SUM(Stand!$H$3:$H$29),VLOOKUP(A158,Stand!$A$3:$C$29,3,TRUE),"")</f>
        <v/>
      </c>
      <c r="C158" s="172" t="str">
        <f t="shared" si="17"/>
        <v/>
      </c>
      <c r="D158" s="173" t="str">
        <f>IF(B158="","",VLOOKUP(B158&amp;C158,Plot!$B$2:$D$199,3,FALSE))</f>
        <v/>
      </c>
      <c r="E158" s="130"/>
      <c r="F158" s="152" t="str">
        <f>IF(B158="","",SUMIFS(Tree!$O:$O,Tree!$A:$A,'Pre-Harvest Plots_rpt'!$B158,Tree!$B:$B,'Pre-Harvest Plots_rpt'!$D158,Tree!$F:$F,"L"))</f>
        <v/>
      </c>
      <c r="G158" s="153" t="str">
        <f>IFERROR(IF(D158="","",SUMIFS(Tree!$P:$P,Tree!$A:$A,'Pre-Harvest Plots_rpt'!$B158,Tree!$B:$B,'Pre-Harvest Plots_rpt'!$D158)/$F158),"")</f>
        <v/>
      </c>
      <c r="H158" s="122" t="str">
        <f t="shared" si="15"/>
        <v/>
      </c>
      <c r="I158" s="121" t="str">
        <f>IF(OR($F158=0,$F158=""),"",SUMIFS(Tree!$R:$R,Tree!$A:$A,'Pre-Harvest Plots_rpt'!$B158,Tree!$B:$B,'Pre-Harvest Plots_rpt'!$D158,Tree!$F:$F,"L"))</f>
        <v/>
      </c>
      <c r="J158" s="121" t="str">
        <f>IF(OR($F158=0,$F158=""),"",IF(SUMIFS(Tree!$W:$W,Tree!$A:$A,'Pre-Harvest Plots_rpt'!$B158,Tree!$B:$B,'Pre-Harvest Plots_rpt'!$D158,Tree!$F:$F,"L")=0,0,AVERAGEIFS(Tree!$W:$W,Tree!$A:$A,'Pre-Harvest Plots_rpt'!$B158,Tree!$B:$B,'Pre-Harvest Plots_rpt'!$D158,Tree!$F:$F,"L")))</f>
        <v/>
      </c>
      <c r="K158" s="121" t="str">
        <f>IF($F158="","",SUMIFS(Tree!$S:$S,Tree!$A:$A,'Pre-Harvest Plots_rpt'!$B158,Tree!$B:$B,'Pre-Harvest Plots_rpt'!$D158,Tree!$F:$F,"L"))</f>
        <v/>
      </c>
      <c r="L158" s="154" t="str">
        <f t="shared" si="16"/>
        <v/>
      </c>
      <c r="M158" s="135"/>
      <c r="N158" s="192" t="str">
        <f>IF(B158="","",SUMIFS(Tree!$AM:$AM,Tree!$A:$A,'Pre-Harvest Plots_rpt'!$B158,Tree!$B:$B,'Pre-Harvest Plots_rpt'!$D158,Tree!$F:$F,"L"))</f>
        <v/>
      </c>
      <c r="O158" s="122" t="str">
        <f>IF(B158="","",SUMIFS(Tree!$AN:$AN,Tree!$A:$A,'Pre-Harvest Plots_rpt'!$B158,Tree!$B:$B,'Pre-Harvest Plots_rpt'!$D158,Tree!$F:$F,"L"))</f>
        <v/>
      </c>
      <c r="P158" s="122" t="str">
        <f>IF(B158="","",SUMIFS(Tree!$AO:$AO,Tree!$A:$A,'Pre-Harvest Plots_rpt'!$B158,Tree!$B:$B,'Pre-Harvest Plots_rpt'!$D158,Tree!$F:$F,"L"))</f>
        <v/>
      </c>
      <c r="Q158" s="122" t="str">
        <f>IF(B158="","",SUMIFS(Tree!$AP:$AP,Tree!$A:$A,'Pre-Harvest Plots_rpt'!$B158,Tree!$B:$B,'Pre-Harvest Plots_rpt'!$D158,Tree!$F:$F,"L"))</f>
        <v/>
      </c>
      <c r="R158" s="123" t="str">
        <f>IF(B158="","",SUMIFS(Tree!$AQ:$AQ,Tree!$A:$A,'Pre-Harvest Plots_rpt'!$B158,Tree!$B:$B,'Pre-Harvest Plots_rpt'!$D158,Tree!$F:$F,"L"))</f>
        <v/>
      </c>
      <c r="S158" s="122" t="str">
        <f>IF(B158="","",SUMIFS(Tree!$AJ:$AJ,Tree!$A:$A,'Pre-Harvest Plots_rpt'!$B158,Tree!$B:$B,'Pre-Harvest Plots_rpt'!$D158,Tree!$F:$F,"L")-O158)</f>
        <v/>
      </c>
      <c r="T158" s="122" t="str">
        <f>IF(B158="","",SUMIFS(Tree!$AK:$AK,Tree!$A:$A,'Pre-Harvest Plots_rpt'!$B158,Tree!$B:$B,'Pre-Harvest Plots_rpt'!$D158,Tree!$F:$F,"L")-P158)</f>
        <v/>
      </c>
      <c r="U158" s="122" t="str">
        <f>IF(B158="","",SUMIFS(Tree!$AL:$AL,Tree!$A:$A,'Pre-Harvest Plots_rpt'!$B158,Tree!$B:$B,'Pre-Harvest Plots_rpt'!$D158,Tree!$F:$F,"L")-Q158)</f>
        <v/>
      </c>
      <c r="V158" s="123" t="str">
        <f>IF(B158="","",ROUND(SUMIFS(Tree!$AE:$AE,Tree!$A:$A,'Pre-Harvest Plots_rpt'!$B158,Tree!$B:$B,'Pre-Harvest Plots_rpt'!$D158,Tree!$F:$F,"L")-R158,1))</f>
        <v/>
      </c>
      <c r="W158" s="124" t="str">
        <f>IF(B158="","",SUMIFS(Tree!$AY:$AY,Tree!$A:$A,'Pre-Harvest Plots_rpt'!$B158,Tree!$B:$B,'Pre-Harvest Plots_rpt'!$D158,Tree!$F:$F,"L")/1000)</f>
        <v/>
      </c>
      <c r="X158" s="158" t="str">
        <f>IF(B158="","",ROUND((SUMIFS(Tree!$AW:$AW,Tree!$A:$A,'Pre-Harvest Plots_rpt'!$B158,Tree!$B:$B,'Pre-Harvest Plots_rpt'!$D158,Tree!$F:$F,"L")/1000)-W158,1))</f>
        <v/>
      </c>
      <c r="Y158" s="135"/>
      <c r="Z158" s="161" t="str">
        <f>IF(IF(B158="","",SUMIFS(Tree!$O:$O,Tree!$A:$A,'Pre-Harvest Plots_rpt'!$B158,Tree!$B:$B,'Pre-Harvest Plots_rpt'!$D158,Tree!$F:$F,"D"))=0,"",IF(B158="","",SUMIFS(Tree!$O:$O,Tree!$A:$A,'Pre-Harvest Plots_rpt'!$B158,Tree!$B:$B,'Pre-Harvest Plots_rpt'!$D158,Tree!$F:$F,"D")))</f>
        <v/>
      </c>
      <c r="AA158" s="125" t="str">
        <f t="shared" si="14"/>
        <v/>
      </c>
      <c r="AB158" s="125" t="str">
        <f>IF(Z158="","",SUMIFS(Tree!$R:$R,Tree!$A:$A,'Pre-Harvest Plots_rpt'!$B158,Tree!$B:$B,'Pre-Harvest Plots_rpt'!$D158,Tree!$F:$F,"D"))</f>
        <v/>
      </c>
      <c r="AC158" s="126" t="str">
        <f>IF(Z158="","",SUMIFS(Tree!$AM:$AM,Tree!$A:$A,'Pre-Harvest Plots_rpt'!$B158,Tree!$B:$B,'Pre-Harvest Plots_rpt'!$D158,Tree!$F:$F,"D"))</f>
        <v/>
      </c>
      <c r="AD158" s="162" t="str">
        <f>IF(Z158="","",SUMIFS(Tree!$AW:$AW,Tree!$A:$A,'Pre-Harvest Plots_rpt'!$B158,Tree!$B:$B,'Pre-Harvest Plots_rpt'!$D158,Tree!$F:$F,"D")/1000)</f>
        <v/>
      </c>
      <c r="AE158" s="47"/>
      <c r="AF158" s="4"/>
      <c r="AG158" s="4"/>
      <c r="AH158" s="4"/>
    </row>
    <row r="159" spans="1:34" ht="12.75" customHeight="1" x14ac:dyDescent="0.25">
      <c r="A159" s="48">
        <v>156</v>
      </c>
      <c r="B159" s="171" t="str">
        <f>IF(A159&lt;=SUM(Stand!$H$3:$H$29),VLOOKUP(A159,Stand!$A$3:$C$29,3,TRUE),"")</f>
        <v/>
      </c>
      <c r="C159" s="172" t="str">
        <f t="shared" si="17"/>
        <v/>
      </c>
      <c r="D159" s="173" t="str">
        <f>IF(B159="","",VLOOKUP(B159&amp;C159,Plot!$B$2:$D$199,3,FALSE))</f>
        <v/>
      </c>
      <c r="E159" s="130"/>
      <c r="F159" s="152" t="str">
        <f>IF(B159="","",SUMIFS(Tree!$O:$O,Tree!$A:$A,'Pre-Harvest Plots_rpt'!$B159,Tree!$B:$B,'Pre-Harvest Plots_rpt'!$D159,Tree!$F:$F,"L"))</f>
        <v/>
      </c>
      <c r="G159" s="153" t="str">
        <f>IFERROR(IF(D159="","",SUMIFS(Tree!$P:$P,Tree!$A:$A,'Pre-Harvest Plots_rpt'!$B159,Tree!$B:$B,'Pre-Harvest Plots_rpt'!$D159)/$F159),"")</f>
        <v/>
      </c>
      <c r="H159" s="122" t="str">
        <f t="shared" si="15"/>
        <v/>
      </c>
      <c r="I159" s="121" t="str">
        <f>IF(OR($F159=0,$F159=""),"",SUMIFS(Tree!$R:$R,Tree!$A:$A,'Pre-Harvest Plots_rpt'!$B159,Tree!$B:$B,'Pre-Harvest Plots_rpt'!$D159,Tree!$F:$F,"L"))</f>
        <v/>
      </c>
      <c r="J159" s="121" t="str">
        <f>IF(OR($F159=0,$F159=""),"",IF(SUMIFS(Tree!$W:$W,Tree!$A:$A,'Pre-Harvest Plots_rpt'!$B159,Tree!$B:$B,'Pre-Harvest Plots_rpt'!$D159,Tree!$F:$F,"L")=0,0,AVERAGEIFS(Tree!$W:$W,Tree!$A:$A,'Pre-Harvest Plots_rpt'!$B159,Tree!$B:$B,'Pre-Harvest Plots_rpt'!$D159,Tree!$F:$F,"L")))</f>
        <v/>
      </c>
      <c r="K159" s="121" t="str">
        <f>IF($F159="","",SUMIFS(Tree!$S:$S,Tree!$A:$A,'Pre-Harvest Plots_rpt'!$B159,Tree!$B:$B,'Pre-Harvest Plots_rpt'!$D159,Tree!$F:$F,"L"))</f>
        <v/>
      </c>
      <c r="L159" s="154" t="str">
        <f t="shared" si="16"/>
        <v/>
      </c>
      <c r="M159" s="135"/>
      <c r="N159" s="192" t="str">
        <f>IF(B159="","",SUMIFS(Tree!$AM:$AM,Tree!$A:$A,'Pre-Harvest Plots_rpt'!$B159,Tree!$B:$B,'Pre-Harvest Plots_rpt'!$D159,Tree!$F:$F,"L"))</f>
        <v/>
      </c>
      <c r="O159" s="122" t="str">
        <f>IF(B159="","",SUMIFS(Tree!$AN:$AN,Tree!$A:$A,'Pre-Harvest Plots_rpt'!$B159,Tree!$B:$B,'Pre-Harvest Plots_rpt'!$D159,Tree!$F:$F,"L"))</f>
        <v/>
      </c>
      <c r="P159" s="122" t="str">
        <f>IF(B159="","",SUMIFS(Tree!$AO:$AO,Tree!$A:$A,'Pre-Harvest Plots_rpt'!$B159,Tree!$B:$B,'Pre-Harvest Plots_rpt'!$D159,Tree!$F:$F,"L"))</f>
        <v/>
      </c>
      <c r="Q159" s="122" t="str">
        <f>IF(B159="","",SUMIFS(Tree!$AP:$AP,Tree!$A:$A,'Pre-Harvest Plots_rpt'!$B159,Tree!$B:$B,'Pre-Harvest Plots_rpt'!$D159,Tree!$F:$F,"L"))</f>
        <v/>
      </c>
      <c r="R159" s="123" t="str">
        <f>IF(B159="","",SUMIFS(Tree!$AQ:$AQ,Tree!$A:$A,'Pre-Harvest Plots_rpt'!$B159,Tree!$B:$B,'Pre-Harvest Plots_rpt'!$D159,Tree!$F:$F,"L"))</f>
        <v/>
      </c>
      <c r="S159" s="122" t="str">
        <f>IF(B159="","",SUMIFS(Tree!$AJ:$AJ,Tree!$A:$A,'Pre-Harvest Plots_rpt'!$B159,Tree!$B:$B,'Pre-Harvest Plots_rpt'!$D159,Tree!$F:$F,"L")-O159)</f>
        <v/>
      </c>
      <c r="T159" s="122" t="str">
        <f>IF(B159="","",SUMIFS(Tree!$AK:$AK,Tree!$A:$A,'Pre-Harvest Plots_rpt'!$B159,Tree!$B:$B,'Pre-Harvest Plots_rpt'!$D159,Tree!$F:$F,"L")-P159)</f>
        <v/>
      </c>
      <c r="U159" s="122" t="str">
        <f>IF(B159="","",SUMIFS(Tree!$AL:$AL,Tree!$A:$A,'Pre-Harvest Plots_rpt'!$B159,Tree!$B:$B,'Pre-Harvest Plots_rpt'!$D159,Tree!$F:$F,"L")-Q159)</f>
        <v/>
      </c>
      <c r="V159" s="123" t="str">
        <f>IF(B159="","",ROUND(SUMIFS(Tree!$AE:$AE,Tree!$A:$A,'Pre-Harvest Plots_rpt'!$B159,Tree!$B:$B,'Pre-Harvest Plots_rpt'!$D159,Tree!$F:$F,"L")-R159,1))</f>
        <v/>
      </c>
      <c r="W159" s="124" t="str">
        <f>IF(B159="","",SUMIFS(Tree!$AY:$AY,Tree!$A:$A,'Pre-Harvest Plots_rpt'!$B159,Tree!$B:$B,'Pre-Harvest Plots_rpt'!$D159,Tree!$F:$F,"L")/1000)</f>
        <v/>
      </c>
      <c r="X159" s="158" t="str">
        <f>IF(B159="","",ROUND((SUMIFS(Tree!$AW:$AW,Tree!$A:$A,'Pre-Harvest Plots_rpt'!$B159,Tree!$B:$B,'Pre-Harvest Plots_rpt'!$D159,Tree!$F:$F,"L")/1000)-W159,1))</f>
        <v/>
      </c>
      <c r="Y159" s="135"/>
      <c r="Z159" s="161" t="str">
        <f>IF(IF(B159="","",SUMIFS(Tree!$O:$O,Tree!$A:$A,'Pre-Harvest Plots_rpt'!$B159,Tree!$B:$B,'Pre-Harvest Plots_rpt'!$D159,Tree!$F:$F,"D"))=0,"",IF(B159="","",SUMIFS(Tree!$O:$O,Tree!$A:$A,'Pre-Harvest Plots_rpt'!$B159,Tree!$B:$B,'Pre-Harvest Plots_rpt'!$D159,Tree!$F:$F,"D")))</f>
        <v/>
      </c>
      <c r="AA159" s="125" t="str">
        <f t="shared" si="14"/>
        <v/>
      </c>
      <c r="AB159" s="125" t="str">
        <f>IF(Z159="","",SUMIFS(Tree!$R:$R,Tree!$A:$A,'Pre-Harvest Plots_rpt'!$B159,Tree!$B:$B,'Pre-Harvest Plots_rpt'!$D159,Tree!$F:$F,"D"))</f>
        <v/>
      </c>
      <c r="AC159" s="126" t="str">
        <f>IF(Z159="","",SUMIFS(Tree!$AM:$AM,Tree!$A:$A,'Pre-Harvest Plots_rpt'!$B159,Tree!$B:$B,'Pre-Harvest Plots_rpt'!$D159,Tree!$F:$F,"D"))</f>
        <v/>
      </c>
      <c r="AD159" s="162" t="str">
        <f>IF(Z159="","",SUMIFS(Tree!$AW:$AW,Tree!$A:$A,'Pre-Harvest Plots_rpt'!$B159,Tree!$B:$B,'Pre-Harvest Plots_rpt'!$D159,Tree!$F:$F,"D")/1000)</f>
        <v/>
      </c>
      <c r="AE159" s="47"/>
      <c r="AF159" s="4"/>
      <c r="AG159" s="4"/>
      <c r="AH159" s="4"/>
    </row>
    <row r="160" spans="1:34" ht="12.75" customHeight="1" x14ac:dyDescent="0.25">
      <c r="A160" s="48">
        <v>157</v>
      </c>
      <c r="B160" s="171" t="str">
        <f>IF(A160&lt;=SUM(Stand!$H$3:$H$29),VLOOKUP(A160,Stand!$A$3:$C$29,3,TRUE),"")</f>
        <v/>
      </c>
      <c r="C160" s="172" t="str">
        <f t="shared" si="17"/>
        <v/>
      </c>
      <c r="D160" s="173" t="str">
        <f>IF(B160="","",VLOOKUP(B160&amp;C160,Plot!$B$2:$D$199,3,FALSE))</f>
        <v/>
      </c>
      <c r="E160" s="130"/>
      <c r="F160" s="152" t="str">
        <f>IF(B160="","",SUMIFS(Tree!$O:$O,Tree!$A:$A,'Pre-Harvest Plots_rpt'!$B160,Tree!$B:$B,'Pre-Harvest Plots_rpt'!$D160,Tree!$F:$F,"L"))</f>
        <v/>
      </c>
      <c r="G160" s="153" t="str">
        <f>IFERROR(IF(D160="","",SUMIFS(Tree!$P:$P,Tree!$A:$A,'Pre-Harvest Plots_rpt'!$B160,Tree!$B:$B,'Pre-Harvest Plots_rpt'!$D160)/$F160),"")</f>
        <v/>
      </c>
      <c r="H160" s="122" t="str">
        <f t="shared" si="15"/>
        <v/>
      </c>
      <c r="I160" s="121" t="str">
        <f>IF(OR($F160=0,$F160=""),"",SUMIFS(Tree!$R:$R,Tree!$A:$A,'Pre-Harvest Plots_rpt'!$B160,Tree!$B:$B,'Pre-Harvest Plots_rpt'!$D160,Tree!$F:$F,"L"))</f>
        <v/>
      </c>
      <c r="J160" s="121" t="str">
        <f>IF(OR($F160=0,$F160=""),"",IF(SUMIFS(Tree!$W:$W,Tree!$A:$A,'Pre-Harvest Plots_rpt'!$B160,Tree!$B:$B,'Pre-Harvest Plots_rpt'!$D160,Tree!$F:$F,"L")=0,0,AVERAGEIFS(Tree!$W:$W,Tree!$A:$A,'Pre-Harvest Plots_rpt'!$B160,Tree!$B:$B,'Pre-Harvest Plots_rpt'!$D160,Tree!$F:$F,"L")))</f>
        <v/>
      </c>
      <c r="K160" s="121" t="str">
        <f>IF($F160="","",SUMIFS(Tree!$S:$S,Tree!$A:$A,'Pre-Harvest Plots_rpt'!$B160,Tree!$B:$B,'Pre-Harvest Plots_rpt'!$D160,Tree!$F:$F,"L"))</f>
        <v/>
      </c>
      <c r="L160" s="154" t="str">
        <f t="shared" si="16"/>
        <v/>
      </c>
      <c r="M160" s="135"/>
      <c r="N160" s="192" t="str">
        <f>IF(B160="","",SUMIFS(Tree!$AM:$AM,Tree!$A:$A,'Pre-Harvest Plots_rpt'!$B160,Tree!$B:$B,'Pre-Harvest Plots_rpt'!$D160,Tree!$F:$F,"L"))</f>
        <v/>
      </c>
      <c r="O160" s="122" t="str">
        <f>IF(B160="","",SUMIFS(Tree!$AN:$AN,Tree!$A:$A,'Pre-Harvest Plots_rpt'!$B160,Tree!$B:$B,'Pre-Harvest Plots_rpt'!$D160,Tree!$F:$F,"L"))</f>
        <v/>
      </c>
      <c r="P160" s="122" t="str">
        <f>IF(B160="","",SUMIFS(Tree!$AO:$AO,Tree!$A:$A,'Pre-Harvest Plots_rpt'!$B160,Tree!$B:$B,'Pre-Harvest Plots_rpt'!$D160,Tree!$F:$F,"L"))</f>
        <v/>
      </c>
      <c r="Q160" s="122" t="str">
        <f>IF(B160="","",SUMIFS(Tree!$AP:$AP,Tree!$A:$A,'Pre-Harvest Plots_rpt'!$B160,Tree!$B:$B,'Pre-Harvest Plots_rpt'!$D160,Tree!$F:$F,"L"))</f>
        <v/>
      </c>
      <c r="R160" s="123" t="str">
        <f>IF(B160="","",SUMIFS(Tree!$AQ:$AQ,Tree!$A:$A,'Pre-Harvest Plots_rpt'!$B160,Tree!$B:$B,'Pre-Harvest Plots_rpt'!$D160,Tree!$F:$F,"L"))</f>
        <v/>
      </c>
      <c r="S160" s="122" t="str">
        <f>IF(B160="","",SUMIFS(Tree!$AJ:$AJ,Tree!$A:$A,'Pre-Harvest Plots_rpt'!$B160,Tree!$B:$B,'Pre-Harvest Plots_rpt'!$D160,Tree!$F:$F,"L")-O160)</f>
        <v/>
      </c>
      <c r="T160" s="122" t="str">
        <f>IF(B160="","",SUMIFS(Tree!$AK:$AK,Tree!$A:$A,'Pre-Harvest Plots_rpt'!$B160,Tree!$B:$B,'Pre-Harvest Plots_rpt'!$D160,Tree!$F:$F,"L")-P160)</f>
        <v/>
      </c>
      <c r="U160" s="122" t="str">
        <f>IF(B160="","",SUMIFS(Tree!$AL:$AL,Tree!$A:$A,'Pre-Harvest Plots_rpt'!$B160,Tree!$B:$B,'Pre-Harvest Plots_rpt'!$D160,Tree!$F:$F,"L")-Q160)</f>
        <v/>
      </c>
      <c r="V160" s="123" t="str">
        <f>IF(B160="","",ROUND(SUMIFS(Tree!$AE:$AE,Tree!$A:$A,'Pre-Harvest Plots_rpt'!$B160,Tree!$B:$B,'Pre-Harvest Plots_rpt'!$D160,Tree!$F:$F,"L")-R160,1))</f>
        <v/>
      </c>
      <c r="W160" s="124" t="str">
        <f>IF(B160="","",SUMIFS(Tree!$AY:$AY,Tree!$A:$A,'Pre-Harvest Plots_rpt'!$B160,Tree!$B:$B,'Pre-Harvest Plots_rpt'!$D160,Tree!$F:$F,"L")/1000)</f>
        <v/>
      </c>
      <c r="X160" s="158" t="str">
        <f>IF(B160="","",ROUND((SUMIFS(Tree!$AW:$AW,Tree!$A:$A,'Pre-Harvest Plots_rpt'!$B160,Tree!$B:$B,'Pre-Harvest Plots_rpt'!$D160,Tree!$F:$F,"L")/1000)-W160,1))</f>
        <v/>
      </c>
      <c r="Y160" s="135"/>
      <c r="Z160" s="161" t="str">
        <f>IF(IF(B160="","",SUMIFS(Tree!$O:$O,Tree!$A:$A,'Pre-Harvest Plots_rpt'!$B160,Tree!$B:$B,'Pre-Harvest Plots_rpt'!$D160,Tree!$F:$F,"D"))=0,"",IF(B160="","",SUMIFS(Tree!$O:$O,Tree!$A:$A,'Pre-Harvest Plots_rpt'!$B160,Tree!$B:$B,'Pre-Harvest Plots_rpt'!$D160,Tree!$F:$F,"D")))</f>
        <v/>
      </c>
      <c r="AA160" s="125" t="str">
        <f t="shared" si="14"/>
        <v/>
      </c>
      <c r="AB160" s="125" t="str">
        <f>IF(Z160="","",SUMIFS(Tree!$R:$R,Tree!$A:$A,'Pre-Harvest Plots_rpt'!$B160,Tree!$B:$B,'Pre-Harvest Plots_rpt'!$D160,Tree!$F:$F,"D"))</f>
        <v/>
      </c>
      <c r="AC160" s="126" t="str">
        <f>IF(Z160="","",SUMIFS(Tree!$AM:$AM,Tree!$A:$A,'Pre-Harvest Plots_rpt'!$B160,Tree!$B:$B,'Pre-Harvest Plots_rpt'!$D160,Tree!$F:$F,"D"))</f>
        <v/>
      </c>
      <c r="AD160" s="162" t="str">
        <f>IF(Z160="","",SUMIFS(Tree!$AW:$AW,Tree!$A:$A,'Pre-Harvest Plots_rpt'!$B160,Tree!$B:$B,'Pre-Harvest Plots_rpt'!$D160,Tree!$F:$F,"D")/1000)</f>
        <v/>
      </c>
      <c r="AE160" s="47"/>
      <c r="AF160" s="4"/>
      <c r="AG160" s="4"/>
      <c r="AH160" s="4"/>
    </row>
    <row r="161" spans="1:34" ht="12.75" customHeight="1" x14ac:dyDescent="0.25">
      <c r="A161" s="48">
        <v>158</v>
      </c>
      <c r="B161" s="171" t="str">
        <f>IF(A161&lt;=SUM(Stand!$H$3:$H$29),VLOOKUP(A161,Stand!$A$3:$C$29,3,TRUE),"")</f>
        <v/>
      </c>
      <c r="C161" s="172" t="str">
        <f t="shared" si="17"/>
        <v/>
      </c>
      <c r="D161" s="173" t="str">
        <f>IF(B161="","",VLOOKUP(B161&amp;C161,Plot!$B$2:$D$199,3,FALSE))</f>
        <v/>
      </c>
      <c r="E161" s="130"/>
      <c r="F161" s="152" t="str">
        <f>IF(B161="","",SUMIFS(Tree!$O:$O,Tree!$A:$A,'Pre-Harvest Plots_rpt'!$B161,Tree!$B:$B,'Pre-Harvest Plots_rpt'!$D161,Tree!$F:$F,"L"))</f>
        <v/>
      </c>
      <c r="G161" s="153" t="str">
        <f>IFERROR(IF(D161="","",SUMIFS(Tree!$P:$P,Tree!$A:$A,'Pre-Harvest Plots_rpt'!$B161,Tree!$B:$B,'Pre-Harvest Plots_rpt'!$D161)/$F161),"")</f>
        <v/>
      </c>
      <c r="H161" s="122" t="str">
        <f t="shared" si="15"/>
        <v/>
      </c>
      <c r="I161" s="121" t="str">
        <f>IF(OR($F161=0,$F161=""),"",SUMIFS(Tree!$R:$R,Tree!$A:$A,'Pre-Harvest Plots_rpt'!$B161,Tree!$B:$B,'Pre-Harvest Plots_rpt'!$D161,Tree!$F:$F,"L"))</f>
        <v/>
      </c>
      <c r="J161" s="121" t="str">
        <f>IF(OR($F161=0,$F161=""),"",IF(SUMIFS(Tree!$W:$W,Tree!$A:$A,'Pre-Harvest Plots_rpt'!$B161,Tree!$B:$B,'Pre-Harvest Plots_rpt'!$D161,Tree!$F:$F,"L")=0,0,AVERAGEIFS(Tree!$W:$W,Tree!$A:$A,'Pre-Harvest Plots_rpt'!$B161,Tree!$B:$B,'Pre-Harvest Plots_rpt'!$D161,Tree!$F:$F,"L")))</f>
        <v/>
      </c>
      <c r="K161" s="121" t="str">
        <f>IF($F161="","",SUMIFS(Tree!$S:$S,Tree!$A:$A,'Pre-Harvest Plots_rpt'!$B161,Tree!$B:$B,'Pre-Harvest Plots_rpt'!$D161,Tree!$F:$F,"L"))</f>
        <v/>
      </c>
      <c r="L161" s="154" t="str">
        <f t="shared" si="16"/>
        <v/>
      </c>
      <c r="M161" s="135"/>
      <c r="N161" s="192" t="str">
        <f>IF(B161="","",SUMIFS(Tree!$AM:$AM,Tree!$A:$A,'Pre-Harvest Plots_rpt'!$B161,Tree!$B:$B,'Pre-Harvest Plots_rpt'!$D161,Tree!$F:$F,"L"))</f>
        <v/>
      </c>
      <c r="O161" s="122" t="str">
        <f>IF(B161="","",SUMIFS(Tree!$AN:$AN,Tree!$A:$A,'Pre-Harvest Plots_rpt'!$B161,Tree!$B:$B,'Pre-Harvest Plots_rpt'!$D161,Tree!$F:$F,"L"))</f>
        <v/>
      </c>
      <c r="P161" s="122" t="str">
        <f>IF(B161="","",SUMIFS(Tree!$AO:$AO,Tree!$A:$A,'Pre-Harvest Plots_rpt'!$B161,Tree!$B:$B,'Pre-Harvest Plots_rpt'!$D161,Tree!$F:$F,"L"))</f>
        <v/>
      </c>
      <c r="Q161" s="122" t="str">
        <f>IF(B161="","",SUMIFS(Tree!$AP:$AP,Tree!$A:$A,'Pre-Harvest Plots_rpt'!$B161,Tree!$B:$B,'Pre-Harvest Plots_rpt'!$D161,Tree!$F:$F,"L"))</f>
        <v/>
      </c>
      <c r="R161" s="123" t="str">
        <f>IF(B161="","",SUMIFS(Tree!$AQ:$AQ,Tree!$A:$A,'Pre-Harvest Plots_rpt'!$B161,Tree!$B:$B,'Pre-Harvest Plots_rpt'!$D161,Tree!$F:$F,"L"))</f>
        <v/>
      </c>
      <c r="S161" s="122" t="str">
        <f>IF(B161="","",SUMIFS(Tree!$AJ:$AJ,Tree!$A:$A,'Pre-Harvest Plots_rpt'!$B161,Tree!$B:$B,'Pre-Harvest Plots_rpt'!$D161,Tree!$F:$F,"L")-O161)</f>
        <v/>
      </c>
      <c r="T161" s="122" t="str">
        <f>IF(B161="","",SUMIFS(Tree!$AK:$AK,Tree!$A:$A,'Pre-Harvest Plots_rpt'!$B161,Tree!$B:$B,'Pre-Harvest Plots_rpt'!$D161,Tree!$F:$F,"L")-P161)</f>
        <v/>
      </c>
      <c r="U161" s="122" t="str">
        <f>IF(B161="","",SUMIFS(Tree!$AL:$AL,Tree!$A:$A,'Pre-Harvest Plots_rpt'!$B161,Tree!$B:$B,'Pre-Harvest Plots_rpt'!$D161,Tree!$F:$F,"L")-Q161)</f>
        <v/>
      </c>
      <c r="V161" s="123" t="str">
        <f>IF(B161="","",ROUND(SUMIFS(Tree!$AE:$AE,Tree!$A:$A,'Pre-Harvest Plots_rpt'!$B161,Tree!$B:$B,'Pre-Harvest Plots_rpt'!$D161,Tree!$F:$F,"L")-R161,1))</f>
        <v/>
      </c>
      <c r="W161" s="124" t="str">
        <f>IF(B161="","",SUMIFS(Tree!$AY:$AY,Tree!$A:$A,'Pre-Harvest Plots_rpt'!$B161,Tree!$B:$B,'Pre-Harvest Plots_rpt'!$D161,Tree!$F:$F,"L")/1000)</f>
        <v/>
      </c>
      <c r="X161" s="158" t="str">
        <f>IF(B161="","",ROUND((SUMIFS(Tree!$AW:$AW,Tree!$A:$A,'Pre-Harvest Plots_rpt'!$B161,Tree!$B:$B,'Pre-Harvest Plots_rpt'!$D161,Tree!$F:$F,"L")/1000)-W161,1))</f>
        <v/>
      </c>
      <c r="Y161" s="135"/>
      <c r="Z161" s="161" t="str">
        <f>IF(IF(B161="","",SUMIFS(Tree!$O:$O,Tree!$A:$A,'Pre-Harvest Plots_rpt'!$B161,Tree!$B:$B,'Pre-Harvest Plots_rpt'!$D161,Tree!$F:$F,"D"))=0,"",IF(B161="","",SUMIFS(Tree!$O:$O,Tree!$A:$A,'Pre-Harvest Plots_rpt'!$B161,Tree!$B:$B,'Pre-Harvest Plots_rpt'!$D161,Tree!$F:$F,"D")))</f>
        <v/>
      </c>
      <c r="AA161" s="125" t="str">
        <f t="shared" si="14"/>
        <v/>
      </c>
      <c r="AB161" s="125" t="str">
        <f>IF(Z161="","",SUMIFS(Tree!$R:$R,Tree!$A:$A,'Pre-Harvest Plots_rpt'!$B161,Tree!$B:$B,'Pre-Harvest Plots_rpt'!$D161,Tree!$F:$F,"D"))</f>
        <v/>
      </c>
      <c r="AC161" s="126" t="str">
        <f>IF(Z161="","",SUMIFS(Tree!$AM:$AM,Tree!$A:$A,'Pre-Harvest Plots_rpt'!$B161,Tree!$B:$B,'Pre-Harvest Plots_rpt'!$D161,Tree!$F:$F,"D"))</f>
        <v/>
      </c>
      <c r="AD161" s="162" t="str">
        <f>IF(Z161="","",SUMIFS(Tree!$AW:$AW,Tree!$A:$A,'Pre-Harvest Plots_rpt'!$B161,Tree!$B:$B,'Pre-Harvest Plots_rpt'!$D161,Tree!$F:$F,"D")/1000)</f>
        <v/>
      </c>
      <c r="AE161" s="47"/>
      <c r="AF161" s="4"/>
      <c r="AG161" s="4"/>
      <c r="AH161" s="4"/>
    </row>
    <row r="162" spans="1:34" ht="12.75" customHeight="1" x14ac:dyDescent="0.25">
      <c r="A162" s="48">
        <v>159</v>
      </c>
      <c r="B162" s="171" t="str">
        <f>IF(A162&lt;=SUM(Stand!$H$3:$H$29),VLOOKUP(A162,Stand!$A$3:$C$29,3,TRUE),"")</f>
        <v/>
      </c>
      <c r="C162" s="172" t="str">
        <f t="shared" si="17"/>
        <v/>
      </c>
      <c r="D162" s="173" t="str">
        <f>IF(B162="","",VLOOKUP(B162&amp;C162,Plot!$B$2:$D$199,3,FALSE))</f>
        <v/>
      </c>
      <c r="E162" s="130"/>
      <c r="F162" s="152" t="str">
        <f>IF(B162="","",SUMIFS(Tree!$O:$O,Tree!$A:$A,'Pre-Harvest Plots_rpt'!$B162,Tree!$B:$B,'Pre-Harvest Plots_rpt'!$D162,Tree!$F:$F,"L"))</f>
        <v/>
      </c>
      <c r="G162" s="153" t="str">
        <f>IFERROR(IF(D162="","",SUMIFS(Tree!$P:$P,Tree!$A:$A,'Pre-Harvest Plots_rpt'!$B162,Tree!$B:$B,'Pre-Harvest Plots_rpt'!$D162)/$F162),"")</f>
        <v/>
      </c>
      <c r="H162" s="122" t="str">
        <f t="shared" si="15"/>
        <v/>
      </c>
      <c r="I162" s="121" t="str">
        <f>IF(OR($F162=0,$F162=""),"",SUMIFS(Tree!$R:$R,Tree!$A:$A,'Pre-Harvest Plots_rpt'!$B162,Tree!$B:$B,'Pre-Harvest Plots_rpt'!$D162,Tree!$F:$F,"L"))</f>
        <v/>
      </c>
      <c r="J162" s="121" t="str">
        <f>IF(OR($F162=0,$F162=""),"",IF(SUMIFS(Tree!$W:$W,Tree!$A:$A,'Pre-Harvest Plots_rpt'!$B162,Tree!$B:$B,'Pre-Harvest Plots_rpt'!$D162,Tree!$F:$F,"L")=0,0,AVERAGEIFS(Tree!$W:$W,Tree!$A:$A,'Pre-Harvest Plots_rpt'!$B162,Tree!$B:$B,'Pre-Harvest Plots_rpt'!$D162,Tree!$F:$F,"L")))</f>
        <v/>
      </c>
      <c r="K162" s="121" t="str">
        <f>IF($F162="","",SUMIFS(Tree!$S:$S,Tree!$A:$A,'Pre-Harvest Plots_rpt'!$B162,Tree!$B:$B,'Pre-Harvest Plots_rpt'!$D162,Tree!$F:$F,"L"))</f>
        <v/>
      </c>
      <c r="L162" s="154" t="str">
        <f t="shared" si="16"/>
        <v/>
      </c>
      <c r="M162" s="135"/>
      <c r="N162" s="192" t="str">
        <f>IF(B162="","",SUMIFS(Tree!$AM:$AM,Tree!$A:$A,'Pre-Harvest Plots_rpt'!$B162,Tree!$B:$B,'Pre-Harvest Plots_rpt'!$D162,Tree!$F:$F,"L"))</f>
        <v/>
      </c>
      <c r="O162" s="122" t="str">
        <f>IF(B162="","",SUMIFS(Tree!$AN:$AN,Tree!$A:$A,'Pre-Harvest Plots_rpt'!$B162,Tree!$B:$B,'Pre-Harvest Plots_rpt'!$D162,Tree!$F:$F,"L"))</f>
        <v/>
      </c>
      <c r="P162" s="122" t="str">
        <f>IF(B162="","",SUMIFS(Tree!$AO:$AO,Tree!$A:$A,'Pre-Harvest Plots_rpt'!$B162,Tree!$B:$B,'Pre-Harvest Plots_rpt'!$D162,Tree!$F:$F,"L"))</f>
        <v/>
      </c>
      <c r="Q162" s="122" t="str">
        <f>IF(B162="","",SUMIFS(Tree!$AP:$AP,Tree!$A:$A,'Pre-Harvest Plots_rpt'!$B162,Tree!$B:$B,'Pre-Harvest Plots_rpt'!$D162,Tree!$F:$F,"L"))</f>
        <v/>
      </c>
      <c r="R162" s="123" t="str">
        <f>IF(B162="","",SUMIFS(Tree!$AQ:$AQ,Tree!$A:$A,'Pre-Harvest Plots_rpt'!$B162,Tree!$B:$B,'Pre-Harvest Plots_rpt'!$D162,Tree!$F:$F,"L"))</f>
        <v/>
      </c>
      <c r="S162" s="122" t="str">
        <f>IF(B162="","",SUMIFS(Tree!$AJ:$AJ,Tree!$A:$A,'Pre-Harvest Plots_rpt'!$B162,Tree!$B:$B,'Pre-Harvest Plots_rpt'!$D162,Tree!$F:$F,"L")-O162)</f>
        <v/>
      </c>
      <c r="T162" s="122" t="str">
        <f>IF(B162="","",SUMIFS(Tree!$AK:$AK,Tree!$A:$A,'Pre-Harvest Plots_rpt'!$B162,Tree!$B:$B,'Pre-Harvest Plots_rpt'!$D162,Tree!$F:$F,"L")-P162)</f>
        <v/>
      </c>
      <c r="U162" s="122" t="str">
        <f>IF(B162="","",SUMIFS(Tree!$AL:$AL,Tree!$A:$A,'Pre-Harvest Plots_rpt'!$B162,Tree!$B:$B,'Pre-Harvest Plots_rpt'!$D162,Tree!$F:$F,"L")-Q162)</f>
        <v/>
      </c>
      <c r="V162" s="123" t="str">
        <f>IF(B162="","",ROUND(SUMIFS(Tree!$AE:$AE,Tree!$A:$A,'Pre-Harvest Plots_rpt'!$B162,Tree!$B:$B,'Pre-Harvest Plots_rpt'!$D162,Tree!$F:$F,"L")-R162,1))</f>
        <v/>
      </c>
      <c r="W162" s="124" t="str">
        <f>IF(B162="","",SUMIFS(Tree!$AY:$AY,Tree!$A:$A,'Pre-Harvest Plots_rpt'!$B162,Tree!$B:$B,'Pre-Harvest Plots_rpt'!$D162,Tree!$F:$F,"L")/1000)</f>
        <v/>
      </c>
      <c r="X162" s="158" t="str">
        <f>IF(B162="","",ROUND((SUMIFS(Tree!$AW:$AW,Tree!$A:$A,'Pre-Harvest Plots_rpt'!$B162,Tree!$B:$B,'Pre-Harvest Plots_rpt'!$D162,Tree!$F:$F,"L")/1000)-W162,1))</f>
        <v/>
      </c>
      <c r="Y162" s="135"/>
      <c r="Z162" s="161" t="str">
        <f>IF(IF(B162="","",SUMIFS(Tree!$O:$O,Tree!$A:$A,'Pre-Harvest Plots_rpt'!$B162,Tree!$B:$B,'Pre-Harvest Plots_rpt'!$D162,Tree!$F:$F,"D"))=0,"",IF(B162="","",SUMIFS(Tree!$O:$O,Tree!$A:$A,'Pre-Harvest Plots_rpt'!$B162,Tree!$B:$B,'Pre-Harvest Plots_rpt'!$D162,Tree!$F:$F,"D")))</f>
        <v/>
      </c>
      <c r="AA162" s="125" t="str">
        <f t="shared" si="14"/>
        <v/>
      </c>
      <c r="AB162" s="125" t="str">
        <f>IF(Z162="","",SUMIFS(Tree!$R:$R,Tree!$A:$A,'Pre-Harvest Plots_rpt'!$B162,Tree!$B:$B,'Pre-Harvest Plots_rpt'!$D162,Tree!$F:$F,"D"))</f>
        <v/>
      </c>
      <c r="AC162" s="126" t="str">
        <f>IF(Z162="","",SUMIFS(Tree!$AM:$AM,Tree!$A:$A,'Pre-Harvest Plots_rpt'!$B162,Tree!$B:$B,'Pre-Harvest Plots_rpt'!$D162,Tree!$F:$F,"D"))</f>
        <v/>
      </c>
      <c r="AD162" s="162" t="str">
        <f>IF(Z162="","",SUMIFS(Tree!$AW:$AW,Tree!$A:$A,'Pre-Harvest Plots_rpt'!$B162,Tree!$B:$B,'Pre-Harvest Plots_rpt'!$D162,Tree!$F:$F,"D")/1000)</f>
        <v/>
      </c>
      <c r="AE162" s="47"/>
      <c r="AF162" s="4"/>
      <c r="AG162" s="4"/>
      <c r="AH162" s="4"/>
    </row>
    <row r="163" spans="1:34" ht="12.75" customHeight="1" x14ac:dyDescent="0.25">
      <c r="A163" s="48">
        <v>160</v>
      </c>
      <c r="B163" s="171" t="str">
        <f>IF(A163&lt;=SUM(Stand!$H$3:$H$29),VLOOKUP(A163,Stand!$A$3:$C$29,3,TRUE),"")</f>
        <v/>
      </c>
      <c r="C163" s="172" t="str">
        <f t="shared" si="17"/>
        <v/>
      </c>
      <c r="D163" s="173" t="str">
        <f>IF(B163="","",VLOOKUP(B163&amp;C163,Plot!$B$2:$D$199,3,FALSE))</f>
        <v/>
      </c>
      <c r="E163" s="130"/>
      <c r="F163" s="152" t="str">
        <f>IF(B163="","",SUMIFS(Tree!$O:$O,Tree!$A:$A,'Pre-Harvest Plots_rpt'!$B163,Tree!$B:$B,'Pre-Harvest Plots_rpt'!$D163,Tree!$F:$F,"L"))</f>
        <v/>
      </c>
      <c r="G163" s="153" t="str">
        <f>IFERROR(IF(D163="","",SUMIFS(Tree!$P:$P,Tree!$A:$A,'Pre-Harvest Plots_rpt'!$B163,Tree!$B:$B,'Pre-Harvest Plots_rpt'!$D163)/$F163),"")</f>
        <v/>
      </c>
      <c r="H163" s="122" t="str">
        <f t="shared" si="15"/>
        <v/>
      </c>
      <c r="I163" s="121" t="str">
        <f>IF(OR($F163=0,$F163=""),"",SUMIFS(Tree!$R:$R,Tree!$A:$A,'Pre-Harvest Plots_rpt'!$B163,Tree!$B:$B,'Pre-Harvest Plots_rpt'!$D163,Tree!$F:$F,"L"))</f>
        <v/>
      </c>
      <c r="J163" s="121" t="str">
        <f>IF(OR($F163=0,$F163=""),"",IF(SUMIFS(Tree!$W:$W,Tree!$A:$A,'Pre-Harvest Plots_rpt'!$B163,Tree!$B:$B,'Pre-Harvest Plots_rpt'!$D163,Tree!$F:$F,"L")=0,0,AVERAGEIFS(Tree!$W:$W,Tree!$A:$A,'Pre-Harvest Plots_rpt'!$B163,Tree!$B:$B,'Pre-Harvest Plots_rpt'!$D163,Tree!$F:$F,"L")))</f>
        <v/>
      </c>
      <c r="K163" s="121" t="str">
        <f>IF($F163="","",SUMIFS(Tree!$S:$S,Tree!$A:$A,'Pre-Harvest Plots_rpt'!$B163,Tree!$B:$B,'Pre-Harvest Plots_rpt'!$D163,Tree!$F:$F,"L"))</f>
        <v/>
      </c>
      <c r="L163" s="154" t="str">
        <f t="shared" si="16"/>
        <v/>
      </c>
      <c r="M163" s="135"/>
      <c r="N163" s="192" t="str">
        <f>IF(B163="","",SUMIFS(Tree!$AM:$AM,Tree!$A:$A,'Pre-Harvest Plots_rpt'!$B163,Tree!$B:$B,'Pre-Harvest Plots_rpt'!$D163,Tree!$F:$F,"L"))</f>
        <v/>
      </c>
      <c r="O163" s="122" t="str">
        <f>IF(B163="","",SUMIFS(Tree!$AN:$AN,Tree!$A:$A,'Pre-Harvest Plots_rpt'!$B163,Tree!$B:$B,'Pre-Harvest Plots_rpt'!$D163,Tree!$F:$F,"L"))</f>
        <v/>
      </c>
      <c r="P163" s="122" t="str">
        <f>IF(B163="","",SUMIFS(Tree!$AO:$AO,Tree!$A:$A,'Pre-Harvest Plots_rpt'!$B163,Tree!$B:$B,'Pre-Harvest Plots_rpt'!$D163,Tree!$F:$F,"L"))</f>
        <v/>
      </c>
      <c r="Q163" s="122" t="str">
        <f>IF(B163="","",SUMIFS(Tree!$AP:$AP,Tree!$A:$A,'Pre-Harvest Plots_rpt'!$B163,Tree!$B:$B,'Pre-Harvest Plots_rpt'!$D163,Tree!$F:$F,"L"))</f>
        <v/>
      </c>
      <c r="R163" s="123" t="str">
        <f>IF(B163="","",SUMIFS(Tree!$AQ:$AQ,Tree!$A:$A,'Pre-Harvest Plots_rpt'!$B163,Tree!$B:$B,'Pre-Harvest Plots_rpt'!$D163,Tree!$F:$F,"L"))</f>
        <v/>
      </c>
      <c r="S163" s="122" t="str">
        <f>IF(B163="","",SUMIFS(Tree!$AJ:$AJ,Tree!$A:$A,'Pre-Harvest Plots_rpt'!$B163,Tree!$B:$B,'Pre-Harvest Plots_rpt'!$D163,Tree!$F:$F,"L")-O163)</f>
        <v/>
      </c>
      <c r="T163" s="122" t="str">
        <f>IF(B163="","",SUMIFS(Tree!$AK:$AK,Tree!$A:$A,'Pre-Harvest Plots_rpt'!$B163,Tree!$B:$B,'Pre-Harvest Plots_rpt'!$D163,Tree!$F:$F,"L")-P163)</f>
        <v/>
      </c>
      <c r="U163" s="122" t="str">
        <f>IF(B163="","",SUMIFS(Tree!$AL:$AL,Tree!$A:$A,'Pre-Harvest Plots_rpt'!$B163,Tree!$B:$B,'Pre-Harvest Plots_rpt'!$D163,Tree!$F:$F,"L")-Q163)</f>
        <v/>
      </c>
      <c r="V163" s="123" t="str">
        <f>IF(B163="","",ROUND(SUMIFS(Tree!$AE:$AE,Tree!$A:$A,'Pre-Harvest Plots_rpt'!$B163,Tree!$B:$B,'Pre-Harvest Plots_rpt'!$D163,Tree!$F:$F,"L")-R163,1))</f>
        <v/>
      </c>
      <c r="W163" s="124" t="str">
        <f>IF(B163="","",SUMIFS(Tree!$AY:$AY,Tree!$A:$A,'Pre-Harvest Plots_rpt'!$B163,Tree!$B:$B,'Pre-Harvest Plots_rpt'!$D163,Tree!$F:$F,"L")/1000)</f>
        <v/>
      </c>
      <c r="X163" s="158" t="str">
        <f>IF(B163="","",ROUND((SUMIFS(Tree!$AW:$AW,Tree!$A:$A,'Pre-Harvest Plots_rpt'!$B163,Tree!$B:$B,'Pre-Harvest Plots_rpt'!$D163,Tree!$F:$F,"L")/1000)-W163,1))</f>
        <v/>
      </c>
      <c r="Y163" s="135"/>
      <c r="Z163" s="161" t="str">
        <f>IF(IF(B163="","",SUMIFS(Tree!$O:$O,Tree!$A:$A,'Pre-Harvest Plots_rpt'!$B163,Tree!$B:$B,'Pre-Harvest Plots_rpt'!$D163,Tree!$F:$F,"D"))=0,"",IF(B163="","",SUMIFS(Tree!$O:$O,Tree!$A:$A,'Pre-Harvest Plots_rpt'!$B163,Tree!$B:$B,'Pre-Harvest Plots_rpt'!$D163,Tree!$F:$F,"D")))</f>
        <v/>
      </c>
      <c r="AA163" s="125" t="str">
        <f t="shared" si="14"/>
        <v/>
      </c>
      <c r="AB163" s="125" t="str">
        <f>IF(Z163="","",SUMIFS(Tree!$R:$R,Tree!$A:$A,'Pre-Harvest Plots_rpt'!$B163,Tree!$B:$B,'Pre-Harvest Plots_rpt'!$D163,Tree!$F:$F,"D"))</f>
        <v/>
      </c>
      <c r="AC163" s="126" t="str">
        <f>IF(Z163="","",SUMIFS(Tree!$AM:$AM,Tree!$A:$A,'Pre-Harvest Plots_rpt'!$B163,Tree!$B:$B,'Pre-Harvest Plots_rpt'!$D163,Tree!$F:$F,"D"))</f>
        <v/>
      </c>
      <c r="AD163" s="162" t="str">
        <f>IF(Z163="","",SUMIFS(Tree!$AW:$AW,Tree!$A:$A,'Pre-Harvest Plots_rpt'!$B163,Tree!$B:$B,'Pre-Harvest Plots_rpt'!$D163,Tree!$F:$F,"D")/1000)</f>
        <v/>
      </c>
      <c r="AE163" s="47"/>
      <c r="AF163" s="4"/>
      <c r="AG163" s="4"/>
      <c r="AH163" s="4"/>
    </row>
    <row r="164" spans="1:34" ht="12.75" customHeight="1" x14ac:dyDescent="0.25">
      <c r="A164" s="48">
        <v>161</v>
      </c>
      <c r="B164" s="171" t="str">
        <f>IF(A164&lt;=SUM(Stand!$H$3:$H$29),VLOOKUP(A164,Stand!$A$3:$C$29,3,TRUE),"")</f>
        <v/>
      </c>
      <c r="C164" s="172" t="str">
        <f t="shared" si="17"/>
        <v/>
      </c>
      <c r="D164" s="173" t="str">
        <f>IF(B164="","",VLOOKUP(B164&amp;C164,Plot!$B$2:$D$199,3,FALSE))</f>
        <v/>
      </c>
      <c r="E164" s="130"/>
      <c r="F164" s="152" t="str">
        <f>IF(B164="","",SUMIFS(Tree!$O:$O,Tree!$A:$A,'Pre-Harvest Plots_rpt'!$B164,Tree!$B:$B,'Pre-Harvest Plots_rpt'!$D164,Tree!$F:$F,"L"))</f>
        <v/>
      </c>
      <c r="G164" s="153" t="str">
        <f>IFERROR(IF(D164="","",SUMIFS(Tree!$P:$P,Tree!$A:$A,'Pre-Harvest Plots_rpt'!$B164,Tree!$B:$B,'Pre-Harvest Plots_rpt'!$D164)/$F164),"")</f>
        <v/>
      </c>
      <c r="H164" s="122" t="str">
        <f t="shared" si="15"/>
        <v/>
      </c>
      <c r="I164" s="121" t="str">
        <f>IF(OR($F164=0,$F164=""),"",SUMIFS(Tree!$R:$R,Tree!$A:$A,'Pre-Harvest Plots_rpt'!$B164,Tree!$B:$B,'Pre-Harvest Plots_rpt'!$D164,Tree!$F:$F,"L"))</f>
        <v/>
      </c>
      <c r="J164" s="121" t="str">
        <f>IF(OR($F164=0,$F164=""),"",IF(SUMIFS(Tree!$W:$W,Tree!$A:$A,'Pre-Harvest Plots_rpt'!$B164,Tree!$B:$B,'Pre-Harvest Plots_rpt'!$D164,Tree!$F:$F,"L")=0,0,AVERAGEIFS(Tree!$W:$W,Tree!$A:$A,'Pre-Harvest Plots_rpt'!$B164,Tree!$B:$B,'Pre-Harvest Plots_rpt'!$D164,Tree!$F:$F,"L")))</f>
        <v/>
      </c>
      <c r="K164" s="121" t="str">
        <f>IF($F164="","",SUMIFS(Tree!$S:$S,Tree!$A:$A,'Pre-Harvest Plots_rpt'!$B164,Tree!$B:$B,'Pre-Harvest Plots_rpt'!$D164,Tree!$F:$F,"L"))</f>
        <v/>
      </c>
      <c r="L164" s="154" t="str">
        <f t="shared" si="16"/>
        <v/>
      </c>
      <c r="M164" s="135"/>
      <c r="N164" s="192" t="str">
        <f>IF(B164="","",SUMIFS(Tree!$AM:$AM,Tree!$A:$A,'Pre-Harvest Plots_rpt'!$B164,Tree!$B:$B,'Pre-Harvest Plots_rpt'!$D164,Tree!$F:$F,"L"))</f>
        <v/>
      </c>
      <c r="O164" s="122" t="str">
        <f>IF(B164="","",SUMIFS(Tree!$AN:$AN,Tree!$A:$A,'Pre-Harvest Plots_rpt'!$B164,Tree!$B:$B,'Pre-Harvest Plots_rpt'!$D164,Tree!$F:$F,"L"))</f>
        <v/>
      </c>
      <c r="P164" s="122" t="str">
        <f>IF(B164="","",SUMIFS(Tree!$AO:$AO,Tree!$A:$A,'Pre-Harvest Plots_rpt'!$B164,Tree!$B:$B,'Pre-Harvest Plots_rpt'!$D164,Tree!$F:$F,"L"))</f>
        <v/>
      </c>
      <c r="Q164" s="122" t="str">
        <f>IF(B164="","",SUMIFS(Tree!$AP:$AP,Tree!$A:$A,'Pre-Harvest Plots_rpt'!$B164,Tree!$B:$B,'Pre-Harvest Plots_rpt'!$D164,Tree!$F:$F,"L"))</f>
        <v/>
      </c>
      <c r="R164" s="123" t="str">
        <f>IF(B164="","",SUMIFS(Tree!$AQ:$AQ,Tree!$A:$A,'Pre-Harvest Plots_rpt'!$B164,Tree!$B:$B,'Pre-Harvest Plots_rpt'!$D164,Tree!$F:$F,"L"))</f>
        <v/>
      </c>
      <c r="S164" s="122" t="str">
        <f>IF(B164="","",SUMIFS(Tree!$AJ:$AJ,Tree!$A:$A,'Pre-Harvest Plots_rpt'!$B164,Tree!$B:$B,'Pre-Harvest Plots_rpt'!$D164,Tree!$F:$F,"L")-O164)</f>
        <v/>
      </c>
      <c r="T164" s="122" t="str">
        <f>IF(B164="","",SUMIFS(Tree!$AK:$AK,Tree!$A:$A,'Pre-Harvest Plots_rpt'!$B164,Tree!$B:$B,'Pre-Harvest Plots_rpt'!$D164,Tree!$F:$F,"L")-P164)</f>
        <v/>
      </c>
      <c r="U164" s="122" t="str">
        <f>IF(B164="","",SUMIFS(Tree!$AL:$AL,Tree!$A:$A,'Pre-Harvest Plots_rpt'!$B164,Tree!$B:$B,'Pre-Harvest Plots_rpt'!$D164,Tree!$F:$F,"L")-Q164)</f>
        <v/>
      </c>
      <c r="V164" s="123" t="str">
        <f>IF(B164="","",ROUND(SUMIFS(Tree!$AE:$AE,Tree!$A:$A,'Pre-Harvest Plots_rpt'!$B164,Tree!$B:$B,'Pre-Harvest Plots_rpt'!$D164,Tree!$F:$F,"L")-R164,1))</f>
        <v/>
      </c>
      <c r="W164" s="124" t="str">
        <f>IF(B164="","",SUMIFS(Tree!$AY:$AY,Tree!$A:$A,'Pre-Harvest Plots_rpt'!$B164,Tree!$B:$B,'Pre-Harvest Plots_rpt'!$D164,Tree!$F:$F,"L")/1000)</f>
        <v/>
      </c>
      <c r="X164" s="158" t="str">
        <f>IF(B164="","",ROUND((SUMIFS(Tree!$AW:$AW,Tree!$A:$A,'Pre-Harvest Plots_rpt'!$B164,Tree!$B:$B,'Pre-Harvest Plots_rpt'!$D164,Tree!$F:$F,"L")/1000)-W164,1))</f>
        <v/>
      </c>
      <c r="Y164" s="135"/>
      <c r="Z164" s="161" t="str">
        <f>IF(IF(B164="","",SUMIFS(Tree!$O:$O,Tree!$A:$A,'Pre-Harvest Plots_rpt'!$B164,Tree!$B:$B,'Pre-Harvest Plots_rpt'!$D164,Tree!$F:$F,"D"))=0,"",IF(B164="","",SUMIFS(Tree!$O:$O,Tree!$A:$A,'Pre-Harvest Plots_rpt'!$B164,Tree!$B:$B,'Pre-Harvest Plots_rpt'!$D164,Tree!$F:$F,"D")))</f>
        <v/>
      </c>
      <c r="AA164" s="125" t="str">
        <f t="shared" si="14"/>
        <v/>
      </c>
      <c r="AB164" s="125" t="str">
        <f>IF(Z164="","",SUMIFS(Tree!$R:$R,Tree!$A:$A,'Pre-Harvest Plots_rpt'!$B164,Tree!$B:$B,'Pre-Harvest Plots_rpt'!$D164,Tree!$F:$F,"D"))</f>
        <v/>
      </c>
      <c r="AC164" s="126" t="str">
        <f>IF(Z164="","",SUMIFS(Tree!$AM:$AM,Tree!$A:$A,'Pre-Harvest Plots_rpt'!$B164,Tree!$B:$B,'Pre-Harvest Plots_rpt'!$D164,Tree!$F:$F,"D"))</f>
        <v/>
      </c>
      <c r="AD164" s="162" t="str">
        <f>IF(Z164="","",SUMIFS(Tree!$AW:$AW,Tree!$A:$A,'Pre-Harvest Plots_rpt'!$B164,Tree!$B:$B,'Pre-Harvest Plots_rpt'!$D164,Tree!$F:$F,"D")/1000)</f>
        <v/>
      </c>
      <c r="AE164" s="47"/>
      <c r="AF164" s="4"/>
      <c r="AG164" s="4"/>
      <c r="AH164" s="4"/>
    </row>
    <row r="165" spans="1:34" ht="12.75" customHeight="1" x14ac:dyDescent="0.25">
      <c r="A165" s="48">
        <v>162</v>
      </c>
      <c r="B165" s="171" t="str">
        <f>IF(A165&lt;=SUM(Stand!$H$3:$H$29),VLOOKUP(A165,Stand!$A$3:$C$29,3,TRUE),"")</f>
        <v/>
      </c>
      <c r="C165" s="172" t="str">
        <f t="shared" si="17"/>
        <v/>
      </c>
      <c r="D165" s="173" t="str">
        <f>IF(B165="","",VLOOKUP(B165&amp;C165,Plot!$B$2:$D$199,3,FALSE))</f>
        <v/>
      </c>
      <c r="E165" s="130"/>
      <c r="F165" s="152" t="str">
        <f>IF(B165="","",SUMIFS(Tree!$O:$O,Tree!$A:$A,'Pre-Harvest Plots_rpt'!$B165,Tree!$B:$B,'Pre-Harvest Plots_rpt'!$D165,Tree!$F:$F,"L"))</f>
        <v/>
      </c>
      <c r="G165" s="153" t="str">
        <f>IFERROR(IF(D165="","",SUMIFS(Tree!$P:$P,Tree!$A:$A,'Pre-Harvest Plots_rpt'!$B165,Tree!$B:$B,'Pre-Harvest Plots_rpt'!$D165)/$F165),"")</f>
        <v/>
      </c>
      <c r="H165" s="122" t="str">
        <f t="shared" si="15"/>
        <v/>
      </c>
      <c r="I165" s="121" t="str">
        <f>IF(OR($F165=0,$F165=""),"",SUMIFS(Tree!$R:$R,Tree!$A:$A,'Pre-Harvest Plots_rpt'!$B165,Tree!$B:$B,'Pre-Harvest Plots_rpt'!$D165,Tree!$F:$F,"L"))</f>
        <v/>
      </c>
      <c r="J165" s="121" t="str">
        <f>IF(OR($F165=0,$F165=""),"",IF(SUMIFS(Tree!$W:$W,Tree!$A:$A,'Pre-Harvest Plots_rpt'!$B165,Tree!$B:$B,'Pre-Harvest Plots_rpt'!$D165,Tree!$F:$F,"L")=0,0,AVERAGEIFS(Tree!$W:$W,Tree!$A:$A,'Pre-Harvest Plots_rpt'!$B165,Tree!$B:$B,'Pre-Harvest Plots_rpt'!$D165,Tree!$F:$F,"L")))</f>
        <v/>
      </c>
      <c r="K165" s="121" t="str">
        <f>IF($F165="","",SUMIFS(Tree!$S:$S,Tree!$A:$A,'Pre-Harvest Plots_rpt'!$B165,Tree!$B:$B,'Pre-Harvest Plots_rpt'!$D165,Tree!$F:$F,"L"))</f>
        <v/>
      </c>
      <c r="L165" s="154" t="str">
        <f t="shared" si="16"/>
        <v/>
      </c>
      <c r="M165" s="135"/>
      <c r="N165" s="192" t="str">
        <f>IF(B165="","",SUMIFS(Tree!$AM:$AM,Tree!$A:$A,'Pre-Harvest Plots_rpt'!$B165,Tree!$B:$B,'Pre-Harvest Plots_rpt'!$D165,Tree!$F:$F,"L"))</f>
        <v/>
      </c>
      <c r="O165" s="122" t="str">
        <f>IF(B165="","",SUMIFS(Tree!$AN:$AN,Tree!$A:$A,'Pre-Harvest Plots_rpt'!$B165,Tree!$B:$B,'Pre-Harvest Plots_rpt'!$D165,Tree!$F:$F,"L"))</f>
        <v/>
      </c>
      <c r="P165" s="122" t="str">
        <f>IF(B165="","",SUMIFS(Tree!$AO:$AO,Tree!$A:$A,'Pre-Harvest Plots_rpt'!$B165,Tree!$B:$B,'Pre-Harvest Plots_rpt'!$D165,Tree!$F:$F,"L"))</f>
        <v/>
      </c>
      <c r="Q165" s="122" t="str">
        <f>IF(B165="","",SUMIFS(Tree!$AP:$AP,Tree!$A:$A,'Pre-Harvest Plots_rpt'!$B165,Tree!$B:$B,'Pre-Harvest Plots_rpt'!$D165,Tree!$F:$F,"L"))</f>
        <v/>
      </c>
      <c r="R165" s="123" t="str">
        <f>IF(B165="","",SUMIFS(Tree!$AQ:$AQ,Tree!$A:$A,'Pre-Harvest Plots_rpt'!$B165,Tree!$B:$B,'Pre-Harvest Plots_rpt'!$D165,Tree!$F:$F,"L"))</f>
        <v/>
      </c>
      <c r="S165" s="122" t="str">
        <f>IF(B165="","",SUMIFS(Tree!$AJ:$AJ,Tree!$A:$A,'Pre-Harvest Plots_rpt'!$B165,Tree!$B:$B,'Pre-Harvest Plots_rpt'!$D165,Tree!$F:$F,"L")-O165)</f>
        <v/>
      </c>
      <c r="T165" s="122" t="str">
        <f>IF(B165="","",SUMIFS(Tree!$AK:$AK,Tree!$A:$A,'Pre-Harvest Plots_rpt'!$B165,Tree!$B:$B,'Pre-Harvest Plots_rpt'!$D165,Tree!$F:$F,"L")-P165)</f>
        <v/>
      </c>
      <c r="U165" s="122" t="str">
        <f>IF(B165="","",SUMIFS(Tree!$AL:$AL,Tree!$A:$A,'Pre-Harvest Plots_rpt'!$B165,Tree!$B:$B,'Pre-Harvest Plots_rpt'!$D165,Tree!$F:$F,"L")-Q165)</f>
        <v/>
      </c>
      <c r="V165" s="123" t="str">
        <f>IF(B165="","",ROUND(SUMIFS(Tree!$AE:$AE,Tree!$A:$A,'Pre-Harvest Plots_rpt'!$B165,Tree!$B:$B,'Pre-Harvest Plots_rpt'!$D165,Tree!$F:$F,"L")-R165,1))</f>
        <v/>
      </c>
      <c r="W165" s="124" t="str">
        <f>IF(B165="","",SUMIFS(Tree!$AY:$AY,Tree!$A:$A,'Pre-Harvest Plots_rpt'!$B165,Tree!$B:$B,'Pre-Harvest Plots_rpt'!$D165,Tree!$F:$F,"L")/1000)</f>
        <v/>
      </c>
      <c r="X165" s="158" t="str">
        <f>IF(B165="","",ROUND((SUMIFS(Tree!$AW:$AW,Tree!$A:$A,'Pre-Harvest Plots_rpt'!$B165,Tree!$B:$B,'Pre-Harvest Plots_rpt'!$D165,Tree!$F:$F,"L")/1000)-W165,1))</f>
        <v/>
      </c>
      <c r="Y165" s="135"/>
      <c r="Z165" s="161" t="str">
        <f>IF(IF(B165="","",SUMIFS(Tree!$O:$O,Tree!$A:$A,'Pre-Harvest Plots_rpt'!$B165,Tree!$B:$B,'Pre-Harvest Plots_rpt'!$D165,Tree!$F:$F,"D"))=0,"",IF(B165="","",SUMIFS(Tree!$O:$O,Tree!$A:$A,'Pre-Harvest Plots_rpt'!$B165,Tree!$B:$B,'Pre-Harvest Plots_rpt'!$D165,Tree!$F:$F,"D")))</f>
        <v/>
      </c>
      <c r="AA165" s="125" t="str">
        <f t="shared" si="14"/>
        <v/>
      </c>
      <c r="AB165" s="125" t="str">
        <f>IF(Z165="","",SUMIFS(Tree!$R:$R,Tree!$A:$A,'Pre-Harvest Plots_rpt'!$B165,Tree!$B:$B,'Pre-Harvest Plots_rpt'!$D165,Tree!$F:$F,"D"))</f>
        <v/>
      </c>
      <c r="AC165" s="126" t="str">
        <f>IF(Z165="","",SUMIFS(Tree!$AM:$AM,Tree!$A:$A,'Pre-Harvest Plots_rpt'!$B165,Tree!$B:$B,'Pre-Harvest Plots_rpt'!$D165,Tree!$F:$F,"D"))</f>
        <v/>
      </c>
      <c r="AD165" s="162" t="str">
        <f>IF(Z165="","",SUMIFS(Tree!$AW:$AW,Tree!$A:$A,'Pre-Harvest Plots_rpt'!$B165,Tree!$B:$B,'Pre-Harvest Plots_rpt'!$D165,Tree!$F:$F,"D")/1000)</f>
        <v/>
      </c>
      <c r="AE165" s="47"/>
      <c r="AF165" s="4"/>
      <c r="AG165" s="4"/>
      <c r="AH165" s="4"/>
    </row>
    <row r="166" spans="1:34" ht="12.75" customHeight="1" x14ac:dyDescent="0.25">
      <c r="A166" s="48">
        <v>163</v>
      </c>
      <c r="B166" s="171" t="str">
        <f>IF(A166&lt;=SUM(Stand!$H$3:$H$29),VLOOKUP(A166,Stand!$A$3:$C$29,3,TRUE),"")</f>
        <v/>
      </c>
      <c r="C166" s="172" t="str">
        <f t="shared" si="17"/>
        <v/>
      </c>
      <c r="D166" s="173" t="str">
        <f>IF(B166="","",VLOOKUP(B166&amp;C166,Plot!$B$2:$D$199,3,FALSE))</f>
        <v/>
      </c>
      <c r="E166" s="130"/>
      <c r="F166" s="152" t="str">
        <f>IF(B166="","",SUMIFS(Tree!$O:$O,Tree!$A:$A,'Pre-Harvest Plots_rpt'!$B166,Tree!$B:$B,'Pre-Harvest Plots_rpt'!$D166,Tree!$F:$F,"L"))</f>
        <v/>
      </c>
      <c r="G166" s="153" t="str">
        <f>IFERROR(IF(D166="","",SUMIFS(Tree!$P:$P,Tree!$A:$A,'Pre-Harvest Plots_rpt'!$B166,Tree!$B:$B,'Pre-Harvest Plots_rpt'!$D166)/$F166),"")</f>
        <v/>
      </c>
      <c r="H166" s="122" t="str">
        <f t="shared" si="15"/>
        <v/>
      </c>
      <c r="I166" s="121" t="str">
        <f>IF(OR($F166=0,$F166=""),"",SUMIFS(Tree!$R:$R,Tree!$A:$A,'Pre-Harvest Plots_rpt'!$B166,Tree!$B:$B,'Pre-Harvest Plots_rpt'!$D166,Tree!$F:$F,"L"))</f>
        <v/>
      </c>
      <c r="J166" s="121" t="str">
        <f>IF(OR($F166=0,$F166=""),"",IF(SUMIFS(Tree!$W:$W,Tree!$A:$A,'Pre-Harvest Plots_rpt'!$B166,Tree!$B:$B,'Pre-Harvest Plots_rpt'!$D166,Tree!$F:$F,"L")=0,0,AVERAGEIFS(Tree!$W:$W,Tree!$A:$A,'Pre-Harvest Plots_rpt'!$B166,Tree!$B:$B,'Pre-Harvest Plots_rpt'!$D166,Tree!$F:$F,"L")))</f>
        <v/>
      </c>
      <c r="K166" s="121" t="str">
        <f>IF($F166="","",SUMIFS(Tree!$S:$S,Tree!$A:$A,'Pre-Harvest Plots_rpt'!$B166,Tree!$B:$B,'Pre-Harvest Plots_rpt'!$D166,Tree!$F:$F,"L"))</f>
        <v/>
      </c>
      <c r="L166" s="154" t="str">
        <f t="shared" si="16"/>
        <v/>
      </c>
      <c r="M166" s="135"/>
      <c r="N166" s="192" t="str">
        <f>IF(B166="","",SUMIFS(Tree!$AM:$AM,Tree!$A:$A,'Pre-Harvest Plots_rpt'!$B166,Tree!$B:$B,'Pre-Harvest Plots_rpt'!$D166,Tree!$F:$F,"L"))</f>
        <v/>
      </c>
      <c r="O166" s="122" t="str">
        <f>IF(B166="","",SUMIFS(Tree!$AN:$AN,Tree!$A:$A,'Pre-Harvest Plots_rpt'!$B166,Tree!$B:$B,'Pre-Harvest Plots_rpt'!$D166,Tree!$F:$F,"L"))</f>
        <v/>
      </c>
      <c r="P166" s="122" t="str">
        <f>IF(B166="","",SUMIFS(Tree!$AO:$AO,Tree!$A:$A,'Pre-Harvest Plots_rpt'!$B166,Tree!$B:$B,'Pre-Harvest Plots_rpt'!$D166,Tree!$F:$F,"L"))</f>
        <v/>
      </c>
      <c r="Q166" s="122" t="str">
        <f>IF(B166="","",SUMIFS(Tree!$AP:$AP,Tree!$A:$A,'Pre-Harvest Plots_rpt'!$B166,Tree!$B:$B,'Pre-Harvest Plots_rpt'!$D166,Tree!$F:$F,"L"))</f>
        <v/>
      </c>
      <c r="R166" s="123" t="str">
        <f>IF(B166="","",SUMIFS(Tree!$AQ:$AQ,Tree!$A:$A,'Pre-Harvest Plots_rpt'!$B166,Tree!$B:$B,'Pre-Harvest Plots_rpt'!$D166,Tree!$F:$F,"L"))</f>
        <v/>
      </c>
      <c r="S166" s="122" t="str">
        <f>IF(B166="","",SUMIFS(Tree!$AJ:$AJ,Tree!$A:$A,'Pre-Harvest Plots_rpt'!$B166,Tree!$B:$B,'Pre-Harvest Plots_rpt'!$D166,Tree!$F:$F,"L")-O166)</f>
        <v/>
      </c>
      <c r="T166" s="122" t="str">
        <f>IF(B166="","",SUMIFS(Tree!$AK:$AK,Tree!$A:$A,'Pre-Harvest Plots_rpt'!$B166,Tree!$B:$B,'Pre-Harvest Plots_rpt'!$D166,Tree!$F:$F,"L")-P166)</f>
        <v/>
      </c>
      <c r="U166" s="122" t="str">
        <f>IF(B166="","",SUMIFS(Tree!$AL:$AL,Tree!$A:$A,'Pre-Harvest Plots_rpt'!$B166,Tree!$B:$B,'Pre-Harvest Plots_rpt'!$D166,Tree!$F:$F,"L")-Q166)</f>
        <v/>
      </c>
      <c r="V166" s="123" t="str">
        <f>IF(B166="","",ROUND(SUMIFS(Tree!$AE:$AE,Tree!$A:$A,'Pre-Harvest Plots_rpt'!$B166,Tree!$B:$B,'Pre-Harvest Plots_rpt'!$D166,Tree!$F:$F,"L")-R166,1))</f>
        <v/>
      </c>
      <c r="W166" s="124" t="str">
        <f>IF(B166="","",SUMIFS(Tree!$AY:$AY,Tree!$A:$A,'Pre-Harvest Plots_rpt'!$B166,Tree!$B:$B,'Pre-Harvest Plots_rpt'!$D166,Tree!$F:$F,"L")/1000)</f>
        <v/>
      </c>
      <c r="X166" s="158" t="str">
        <f>IF(B166="","",ROUND((SUMIFS(Tree!$AW:$AW,Tree!$A:$A,'Pre-Harvest Plots_rpt'!$B166,Tree!$B:$B,'Pre-Harvest Plots_rpt'!$D166,Tree!$F:$F,"L")/1000)-W166,1))</f>
        <v/>
      </c>
      <c r="Y166" s="135"/>
      <c r="Z166" s="161" t="str">
        <f>IF(IF(B166="","",SUMIFS(Tree!$O:$O,Tree!$A:$A,'Pre-Harvest Plots_rpt'!$B166,Tree!$B:$B,'Pre-Harvest Plots_rpt'!$D166,Tree!$F:$F,"D"))=0,"",IF(B166="","",SUMIFS(Tree!$O:$O,Tree!$A:$A,'Pre-Harvest Plots_rpt'!$B166,Tree!$B:$B,'Pre-Harvest Plots_rpt'!$D166,Tree!$F:$F,"D")))</f>
        <v/>
      </c>
      <c r="AA166" s="125" t="str">
        <f t="shared" si="14"/>
        <v/>
      </c>
      <c r="AB166" s="125" t="str">
        <f>IF(Z166="","",SUMIFS(Tree!$R:$R,Tree!$A:$A,'Pre-Harvest Plots_rpt'!$B166,Tree!$B:$B,'Pre-Harvest Plots_rpt'!$D166,Tree!$F:$F,"D"))</f>
        <v/>
      </c>
      <c r="AC166" s="126" t="str">
        <f>IF(Z166="","",SUMIFS(Tree!$AM:$AM,Tree!$A:$A,'Pre-Harvest Plots_rpt'!$B166,Tree!$B:$B,'Pre-Harvest Plots_rpt'!$D166,Tree!$F:$F,"D"))</f>
        <v/>
      </c>
      <c r="AD166" s="162" t="str">
        <f>IF(Z166="","",SUMIFS(Tree!$AW:$AW,Tree!$A:$A,'Pre-Harvest Plots_rpt'!$B166,Tree!$B:$B,'Pre-Harvest Plots_rpt'!$D166,Tree!$F:$F,"D")/1000)</f>
        <v/>
      </c>
      <c r="AE166" s="47"/>
      <c r="AF166" s="4"/>
      <c r="AG166" s="4"/>
      <c r="AH166" s="4"/>
    </row>
    <row r="167" spans="1:34" ht="12.75" customHeight="1" x14ac:dyDescent="0.25">
      <c r="A167" s="48">
        <v>164</v>
      </c>
      <c r="B167" s="171" t="str">
        <f>IF(A167&lt;=SUM(Stand!$H$3:$H$29),VLOOKUP(A167,Stand!$A$3:$C$29,3,TRUE),"")</f>
        <v/>
      </c>
      <c r="C167" s="172" t="str">
        <f t="shared" si="17"/>
        <v/>
      </c>
      <c r="D167" s="173" t="str">
        <f>IF(B167="","",VLOOKUP(B167&amp;C167,Plot!$B$2:$D$199,3,FALSE))</f>
        <v/>
      </c>
      <c r="E167" s="130"/>
      <c r="F167" s="152" t="str">
        <f>IF(B167="","",SUMIFS(Tree!$O:$O,Tree!$A:$A,'Pre-Harvest Plots_rpt'!$B167,Tree!$B:$B,'Pre-Harvest Plots_rpt'!$D167,Tree!$F:$F,"L"))</f>
        <v/>
      </c>
      <c r="G167" s="153" t="str">
        <f>IFERROR(IF(D167="","",SUMIFS(Tree!$P:$P,Tree!$A:$A,'Pre-Harvest Plots_rpt'!$B167,Tree!$B:$B,'Pre-Harvest Plots_rpt'!$D167)/$F167),"")</f>
        <v/>
      </c>
      <c r="H167" s="122" t="str">
        <f t="shared" si="15"/>
        <v/>
      </c>
      <c r="I167" s="121" t="str">
        <f>IF(OR($F167=0,$F167=""),"",SUMIFS(Tree!$R:$R,Tree!$A:$A,'Pre-Harvest Plots_rpt'!$B167,Tree!$B:$B,'Pre-Harvest Plots_rpt'!$D167,Tree!$F:$F,"L"))</f>
        <v/>
      </c>
      <c r="J167" s="121" t="str">
        <f>IF(OR($F167=0,$F167=""),"",IF(SUMIFS(Tree!$W:$W,Tree!$A:$A,'Pre-Harvest Plots_rpt'!$B167,Tree!$B:$B,'Pre-Harvest Plots_rpt'!$D167,Tree!$F:$F,"L")=0,0,AVERAGEIFS(Tree!$W:$W,Tree!$A:$A,'Pre-Harvest Plots_rpt'!$B167,Tree!$B:$B,'Pre-Harvest Plots_rpt'!$D167,Tree!$F:$F,"L")))</f>
        <v/>
      </c>
      <c r="K167" s="121" t="str">
        <f>IF($F167="","",SUMIFS(Tree!$S:$S,Tree!$A:$A,'Pre-Harvest Plots_rpt'!$B167,Tree!$B:$B,'Pre-Harvest Plots_rpt'!$D167,Tree!$F:$F,"L"))</f>
        <v/>
      </c>
      <c r="L167" s="154" t="str">
        <f t="shared" si="16"/>
        <v/>
      </c>
      <c r="M167" s="135"/>
      <c r="N167" s="192" t="str">
        <f>IF(B167="","",SUMIFS(Tree!$AM:$AM,Tree!$A:$A,'Pre-Harvest Plots_rpt'!$B167,Tree!$B:$B,'Pre-Harvest Plots_rpt'!$D167,Tree!$F:$F,"L"))</f>
        <v/>
      </c>
      <c r="O167" s="122" t="str">
        <f>IF(B167="","",SUMIFS(Tree!$AN:$AN,Tree!$A:$A,'Pre-Harvest Plots_rpt'!$B167,Tree!$B:$B,'Pre-Harvest Plots_rpt'!$D167,Tree!$F:$F,"L"))</f>
        <v/>
      </c>
      <c r="P167" s="122" t="str">
        <f>IF(B167="","",SUMIFS(Tree!$AO:$AO,Tree!$A:$A,'Pre-Harvest Plots_rpt'!$B167,Tree!$B:$B,'Pre-Harvest Plots_rpt'!$D167,Tree!$F:$F,"L"))</f>
        <v/>
      </c>
      <c r="Q167" s="122" t="str">
        <f>IF(B167="","",SUMIFS(Tree!$AP:$AP,Tree!$A:$A,'Pre-Harvest Plots_rpt'!$B167,Tree!$B:$B,'Pre-Harvest Plots_rpt'!$D167,Tree!$F:$F,"L"))</f>
        <v/>
      </c>
      <c r="R167" s="123" t="str">
        <f>IF(B167="","",SUMIFS(Tree!$AQ:$AQ,Tree!$A:$A,'Pre-Harvest Plots_rpt'!$B167,Tree!$B:$B,'Pre-Harvest Plots_rpt'!$D167,Tree!$F:$F,"L"))</f>
        <v/>
      </c>
      <c r="S167" s="122" t="str">
        <f>IF(B167="","",SUMIFS(Tree!$AJ:$AJ,Tree!$A:$A,'Pre-Harvest Plots_rpt'!$B167,Tree!$B:$B,'Pre-Harvest Plots_rpt'!$D167,Tree!$F:$F,"L")-O167)</f>
        <v/>
      </c>
      <c r="T167" s="122" t="str">
        <f>IF(B167="","",SUMIFS(Tree!$AK:$AK,Tree!$A:$A,'Pre-Harvest Plots_rpt'!$B167,Tree!$B:$B,'Pre-Harvest Plots_rpt'!$D167,Tree!$F:$F,"L")-P167)</f>
        <v/>
      </c>
      <c r="U167" s="122" t="str">
        <f>IF(B167="","",SUMIFS(Tree!$AL:$AL,Tree!$A:$A,'Pre-Harvest Plots_rpt'!$B167,Tree!$B:$B,'Pre-Harvest Plots_rpt'!$D167,Tree!$F:$F,"L")-Q167)</f>
        <v/>
      </c>
      <c r="V167" s="123" t="str">
        <f>IF(B167="","",ROUND(SUMIFS(Tree!$AE:$AE,Tree!$A:$A,'Pre-Harvest Plots_rpt'!$B167,Tree!$B:$B,'Pre-Harvest Plots_rpt'!$D167,Tree!$F:$F,"L")-R167,1))</f>
        <v/>
      </c>
      <c r="W167" s="124" t="str">
        <f>IF(B167="","",SUMIFS(Tree!$AY:$AY,Tree!$A:$A,'Pre-Harvest Plots_rpt'!$B167,Tree!$B:$B,'Pre-Harvest Plots_rpt'!$D167,Tree!$F:$F,"L")/1000)</f>
        <v/>
      </c>
      <c r="X167" s="158" t="str">
        <f>IF(B167="","",ROUND((SUMIFS(Tree!$AW:$AW,Tree!$A:$A,'Pre-Harvest Plots_rpt'!$B167,Tree!$B:$B,'Pre-Harvest Plots_rpt'!$D167,Tree!$F:$F,"L")/1000)-W167,1))</f>
        <v/>
      </c>
      <c r="Y167" s="135"/>
      <c r="Z167" s="161" t="str">
        <f>IF(IF(B167="","",SUMIFS(Tree!$O:$O,Tree!$A:$A,'Pre-Harvest Plots_rpt'!$B167,Tree!$B:$B,'Pre-Harvest Plots_rpt'!$D167,Tree!$F:$F,"D"))=0,"",IF(B167="","",SUMIFS(Tree!$O:$O,Tree!$A:$A,'Pre-Harvest Plots_rpt'!$B167,Tree!$B:$B,'Pre-Harvest Plots_rpt'!$D167,Tree!$F:$F,"D")))</f>
        <v/>
      </c>
      <c r="AA167" s="125" t="str">
        <f t="shared" si="14"/>
        <v/>
      </c>
      <c r="AB167" s="125" t="str">
        <f>IF(Z167="","",SUMIFS(Tree!$R:$R,Tree!$A:$A,'Pre-Harvest Plots_rpt'!$B167,Tree!$B:$B,'Pre-Harvest Plots_rpt'!$D167,Tree!$F:$F,"D"))</f>
        <v/>
      </c>
      <c r="AC167" s="126" t="str">
        <f>IF(Z167="","",SUMIFS(Tree!$AM:$AM,Tree!$A:$A,'Pre-Harvest Plots_rpt'!$B167,Tree!$B:$B,'Pre-Harvest Plots_rpt'!$D167,Tree!$F:$F,"D"))</f>
        <v/>
      </c>
      <c r="AD167" s="162" t="str">
        <f>IF(Z167="","",SUMIFS(Tree!$AW:$AW,Tree!$A:$A,'Pre-Harvest Plots_rpt'!$B167,Tree!$B:$B,'Pre-Harvest Plots_rpt'!$D167,Tree!$F:$F,"D")/1000)</f>
        <v/>
      </c>
      <c r="AE167" s="47"/>
      <c r="AF167" s="4"/>
      <c r="AG167" s="4"/>
      <c r="AH167" s="4"/>
    </row>
    <row r="168" spans="1:34" ht="12.75" customHeight="1" x14ac:dyDescent="0.25">
      <c r="A168" s="48">
        <v>165</v>
      </c>
      <c r="B168" s="171" t="str">
        <f>IF(A168&lt;=SUM(Stand!$H$3:$H$29),VLOOKUP(A168,Stand!$A$3:$C$29,3,TRUE),"")</f>
        <v/>
      </c>
      <c r="C168" s="172" t="str">
        <f t="shared" si="17"/>
        <v/>
      </c>
      <c r="D168" s="173" t="str">
        <f>IF(B168="","",VLOOKUP(B168&amp;C168,Plot!$B$2:$D$199,3,FALSE))</f>
        <v/>
      </c>
      <c r="E168" s="130"/>
      <c r="F168" s="152" t="str">
        <f>IF(B168="","",SUMIFS(Tree!$O:$O,Tree!$A:$A,'Pre-Harvest Plots_rpt'!$B168,Tree!$B:$B,'Pre-Harvest Plots_rpt'!$D168,Tree!$F:$F,"L"))</f>
        <v/>
      </c>
      <c r="G168" s="153" t="str">
        <f>IFERROR(IF(D168="","",SUMIFS(Tree!$P:$P,Tree!$A:$A,'Pre-Harvest Plots_rpt'!$B168,Tree!$B:$B,'Pre-Harvest Plots_rpt'!$D168)/$F168),"")</f>
        <v/>
      </c>
      <c r="H168" s="122" t="str">
        <f t="shared" si="15"/>
        <v/>
      </c>
      <c r="I168" s="121" t="str">
        <f>IF(OR($F168=0,$F168=""),"",SUMIFS(Tree!$R:$R,Tree!$A:$A,'Pre-Harvest Plots_rpt'!$B168,Tree!$B:$B,'Pre-Harvest Plots_rpt'!$D168,Tree!$F:$F,"L"))</f>
        <v/>
      </c>
      <c r="J168" s="121" t="str">
        <f>IF(OR($F168=0,$F168=""),"",IF(SUMIFS(Tree!$W:$W,Tree!$A:$A,'Pre-Harvest Plots_rpt'!$B168,Tree!$B:$B,'Pre-Harvest Plots_rpt'!$D168,Tree!$F:$F,"L")=0,0,AVERAGEIFS(Tree!$W:$W,Tree!$A:$A,'Pre-Harvest Plots_rpt'!$B168,Tree!$B:$B,'Pre-Harvest Plots_rpt'!$D168,Tree!$F:$F,"L")))</f>
        <v/>
      </c>
      <c r="K168" s="121" t="str">
        <f>IF($F168="","",SUMIFS(Tree!$S:$S,Tree!$A:$A,'Pre-Harvest Plots_rpt'!$B168,Tree!$B:$B,'Pre-Harvest Plots_rpt'!$D168,Tree!$F:$F,"L"))</f>
        <v/>
      </c>
      <c r="L168" s="154" t="str">
        <f t="shared" si="16"/>
        <v/>
      </c>
      <c r="M168" s="135"/>
      <c r="N168" s="192" t="str">
        <f>IF(B168="","",SUMIFS(Tree!$AM:$AM,Tree!$A:$A,'Pre-Harvest Plots_rpt'!$B168,Tree!$B:$B,'Pre-Harvest Plots_rpt'!$D168,Tree!$F:$F,"L"))</f>
        <v/>
      </c>
      <c r="O168" s="122" t="str">
        <f>IF(B168="","",SUMIFS(Tree!$AN:$AN,Tree!$A:$A,'Pre-Harvest Plots_rpt'!$B168,Tree!$B:$B,'Pre-Harvest Plots_rpt'!$D168,Tree!$F:$F,"L"))</f>
        <v/>
      </c>
      <c r="P168" s="122" t="str">
        <f>IF(B168="","",SUMIFS(Tree!$AO:$AO,Tree!$A:$A,'Pre-Harvest Plots_rpt'!$B168,Tree!$B:$B,'Pre-Harvest Plots_rpt'!$D168,Tree!$F:$F,"L"))</f>
        <v/>
      </c>
      <c r="Q168" s="122" t="str">
        <f>IF(B168="","",SUMIFS(Tree!$AP:$AP,Tree!$A:$A,'Pre-Harvest Plots_rpt'!$B168,Tree!$B:$B,'Pre-Harvest Plots_rpt'!$D168,Tree!$F:$F,"L"))</f>
        <v/>
      </c>
      <c r="R168" s="123" t="str">
        <f>IF(B168="","",SUMIFS(Tree!$AQ:$AQ,Tree!$A:$A,'Pre-Harvest Plots_rpt'!$B168,Tree!$B:$B,'Pre-Harvest Plots_rpt'!$D168,Tree!$F:$F,"L"))</f>
        <v/>
      </c>
      <c r="S168" s="122" t="str">
        <f>IF(B168="","",SUMIFS(Tree!$AJ:$AJ,Tree!$A:$A,'Pre-Harvest Plots_rpt'!$B168,Tree!$B:$B,'Pre-Harvest Plots_rpt'!$D168,Tree!$F:$F,"L")-O168)</f>
        <v/>
      </c>
      <c r="T168" s="122" t="str">
        <f>IF(B168="","",SUMIFS(Tree!$AK:$AK,Tree!$A:$A,'Pre-Harvest Plots_rpt'!$B168,Tree!$B:$B,'Pre-Harvest Plots_rpt'!$D168,Tree!$F:$F,"L")-P168)</f>
        <v/>
      </c>
      <c r="U168" s="122" t="str">
        <f>IF(B168="","",SUMIFS(Tree!$AL:$AL,Tree!$A:$A,'Pre-Harvest Plots_rpt'!$B168,Tree!$B:$B,'Pre-Harvest Plots_rpt'!$D168,Tree!$F:$F,"L")-Q168)</f>
        <v/>
      </c>
      <c r="V168" s="123" t="str">
        <f>IF(B168="","",ROUND(SUMIFS(Tree!$AE:$AE,Tree!$A:$A,'Pre-Harvest Plots_rpt'!$B168,Tree!$B:$B,'Pre-Harvest Plots_rpt'!$D168,Tree!$F:$F,"L")-R168,1))</f>
        <v/>
      </c>
      <c r="W168" s="124" t="str">
        <f>IF(B168="","",SUMIFS(Tree!$AY:$AY,Tree!$A:$A,'Pre-Harvest Plots_rpt'!$B168,Tree!$B:$B,'Pre-Harvest Plots_rpt'!$D168,Tree!$F:$F,"L")/1000)</f>
        <v/>
      </c>
      <c r="X168" s="158" t="str">
        <f>IF(B168="","",ROUND((SUMIFS(Tree!$AW:$AW,Tree!$A:$A,'Pre-Harvest Plots_rpt'!$B168,Tree!$B:$B,'Pre-Harvest Plots_rpt'!$D168,Tree!$F:$F,"L")/1000)-W168,1))</f>
        <v/>
      </c>
      <c r="Y168" s="135"/>
      <c r="Z168" s="161" t="str">
        <f>IF(IF(B168="","",SUMIFS(Tree!$O:$O,Tree!$A:$A,'Pre-Harvest Plots_rpt'!$B168,Tree!$B:$B,'Pre-Harvest Plots_rpt'!$D168,Tree!$F:$F,"D"))=0,"",IF(B168="","",SUMIFS(Tree!$O:$O,Tree!$A:$A,'Pre-Harvest Plots_rpt'!$B168,Tree!$B:$B,'Pre-Harvest Plots_rpt'!$D168,Tree!$F:$F,"D")))</f>
        <v/>
      </c>
      <c r="AA168" s="125" t="str">
        <f t="shared" si="14"/>
        <v/>
      </c>
      <c r="AB168" s="125" t="str">
        <f>IF(Z168="","",SUMIFS(Tree!$R:$R,Tree!$A:$A,'Pre-Harvest Plots_rpt'!$B168,Tree!$B:$B,'Pre-Harvest Plots_rpt'!$D168,Tree!$F:$F,"D"))</f>
        <v/>
      </c>
      <c r="AC168" s="126" t="str">
        <f>IF(Z168="","",SUMIFS(Tree!$AM:$AM,Tree!$A:$A,'Pre-Harvest Plots_rpt'!$B168,Tree!$B:$B,'Pre-Harvest Plots_rpt'!$D168,Tree!$F:$F,"D"))</f>
        <v/>
      </c>
      <c r="AD168" s="162" t="str">
        <f>IF(Z168="","",SUMIFS(Tree!$AW:$AW,Tree!$A:$A,'Pre-Harvest Plots_rpt'!$B168,Tree!$B:$B,'Pre-Harvest Plots_rpt'!$D168,Tree!$F:$F,"D")/1000)</f>
        <v/>
      </c>
      <c r="AE168" s="47"/>
      <c r="AF168" s="4"/>
      <c r="AG168" s="4"/>
      <c r="AH168" s="4"/>
    </row>
    <row r="169" spans="1:34" ht="12.75" customHeight="1" x14ac:dyDescent="0.25">
      <c r="A169" s="48">
        <v>166</v>
      </c>
      <c r="B169" s="171" t="str">
        <f>IF(A169&lt;=SUM(Stand!$H$3:$H$29),VLOOKUP(A169,Stand!$A$3:$C$29,3,TRUE),"")</f>
        <v/>
      </c>
      <c r="C169" s="172" t="str">
        <f t="shared" si="17"/>
        <v/>
      </c>
      <c r="D169" s="173" t="str">
        <f>IF(B169="","",VLOOKUP(B169&amp;C169,Plot!$B$2:$D$199,3,FALSE))</f>
        <v/>
      </c>
      <c r="E169" s="130"/>
      <c r="F169" s="152" t="str">
        <f>IF(B169="","",SUMIFS(Tree!$O:$O,Tree!$A:$A,'Pre-Harvest Plots_rpt'!$B169,Tree!$B:$B,'Pre-Harvest Plots_rpt'!$D169,Tree!$F:$F,"L"))</f>
        <v/>
      </c>
      <c r="G169" s="153" t="str">
        <f>IFERROR(IF(D169="","",SUMIFS(Tree!$P:$P,Tree!$A:$A,'Pre-Harvest Plots_rpt'!$B169,Tree!$B:$B,'Pre-Harvest Plots_rpt'!$D169)/$F169),"")</f>
        <v/>
      </c>
      <c r="H169" s="122" t="str">
        <f t="shared" si="15"/>
        <v/>
      </c>
      <c r="I169" s="121" t="str">
        <f>IF(OR($F169=0,$F169=""),"",SUMIFS(Tree!$R:$R,Tree!$A:$A,'Pre-Harvest Plots_rpt'!$B169,Tree!$B:$B,'Pre-Harvest Plots_rpt'!$D169,Tree!$F:$F,"L"))</f>
        <v/>
      </c>
      <c r="J169" s="121" t="str">
        <f>IF(OR($F169=0,$F169=""),"",IF(SUMIFS(Tree!$W:$W,Tree!$A:$A,'Pre-Harvest Plots_rpt'!$B169,Tree!$B:$B,'Pre-Harvest Plots_rpt'!$D169,Tree!$F:$F,"L")=0,0,AVERAGEIFS(Tree!$W:$W,Tree!$A:$A,'Pre-Harvest Plots_rpt'!$B169,Tree!$B:$B,'Pre-Harvest Plots_rpt'!$D169,Tree!$F:$F,"L")))</f>
        <v/>
      </c>
      <c r="K169" s="121" t="str">
        <f>IF($F169="","",SUMIFS(Tree!$S:$S,Tree!$A:$A,'Pre-Harvest Plots_rpt'!$B169,Tree!$B:$B,'Pre-Harvest Plots_rpt'!$D169,Tree!$F:$F,"L"))</f>
        <v/>
      </c>
      <c r="L169" s="154" t="str">
        <f t="shared" si="16"/>
        <v/>
      </c>
      <c r="M169" s="135"/>
      <c r="N169" s="192" t="str">
        <f>IF(B169="","",SUMIFS(Tree!$AM:$AM,Tree!$A:$A,'Pre-Harvest Plots_rpt'!$B169,Tree!$B:$B,'Pre-Harvest Plots_rpt'!$D169,Tree!$F:$F,"L"))</f>
        <v/>
      </c>
      <c r="O169" s="122" t="str">
        <f>IF(B169="","",SUMIFS(Tree!$AN:$AN,Tree!$A:$A,'Pre-Harvest Plots_rpt'!$B169,Tree!$B:$B,'Pre-Harvest Plots_rpt'!$D169,Tree!$F:$F,"L"))</f>
        <v/>
      </c>
      <c r="P169" s="122" t="str">
        <f>IF(B169="","",SUMIFS(Tree!$AO:$AO,Tree!$A:$A,'Pre-Harvest Plots_rpt'!$B169,Tree!$B:$B,'Pre-Harvest Plots_rpt'!$D169,Tree!$F:$F,"L"))</f>
        <v/>
      </c>
      <c r="Q169" s="122" t="str">
        <f>IF(B169="","",SUMIFS(Tree!$AP:$AP,Tree!$A:$A,'Pre-Harvest Plots_rpt'!$B169,Tree!$B:$B,'Pre-Harvest Plots_rpt'!$D169,Tree!$F:$F,"L"))</f>
        <v/>
      </c>
      <c r="R169" s="123" t="str">
        <f>IF(B169="","",SUMIFS(Tree!$AQ:$AQ,Tree!$A:$A,'Pre-Harvest Plots_rpt'!$B169,Tree!$B:$B,'Pre-Harvest Plots_rpt'!$D169,Tree!$F:$F,"L"))</f>
        <v/>
      </c>
      <c r="S169" s="122" t="str">
        <f>IF(B169="","",SUMIFS(Tree!$AJ:$AJ,Tree!$A:$A,'Pre-Harvest Plots_rpt'!$B169,Tree!$B:$B,'Pre-Harvest Plots_rpt'!$D169,Tree!$F:$F,"L")-O169)</f>
        <v/>
      </c>
      <c r="T169" s="122" t="str">
        <f>IF(B169="","",SUMIFS(Tree!$AK:$AK,Tree!$A:$A,'Pre-Harvest Plots_rpt'!$B169,Tree!$B:$B,'Pre-Harvest Plots_rpt'!$D169,Tree!$F:$F,"L")-P169)</f>
        <v/>
      </c>
      <c r="U169" s="122" t="str">
        <f>IF(B169="","",SUMIFS(Tree!$AL:$AL,Tree!$A:$A,'Pre-Harvest Plots_rpt'!$B169,Tree!$B:$B,'Pre-Harvest Plots_rpt'!$D169,Tree!$F:$F,"L")-Q169)</f>
        <v/>
      </c>
      <c r="V169" s="123" t="str">
        <f>IF(B169="","",ROUND(SUMIFS(Tree!$AE:$AE,Tree!$A:$A,'Pre-Harvest Plots_rpt'!$B169,Tree!$B:$B,'Pre-Harvest Plots_rpt'!$D169,Tree!$F:$F,"L")-R169,1))</f>
        <v/>
      </c>
      <c r="W169" s="124" t="str">
        <f>IF(B169="","",SUMIFS(Tree!$AY:$AY,Tree!$A:$A,'Pre-Harvest Plots_rpt'!$B169,Tree!$B:$B,'Pre-Harvest Plots_rpt'!$D169,Tree!$F:$F,"L")/1000)</f>
        <v/>
      </c>
      <c r="X169" s="158" t="str">
        <f>IF(B169="","",ROUND((SUMIFS(Tree!$AW:$AW,Tree!$A:$A,'Pre-Harvest Plots_rpt'!$B169,Tree!$B:$B,'Pre-Harvest Plots_rpt'!$D169,Tree!$F:$F,"L")/1000)-W169,1))</f>
        <v/>
      </c>
      <c r="Y169" s="135"/>
      <c r="Z169" s="161" t="str">
        <f>IF(IF(B169="","",SUMIFS(Tree!$O:$O,Tree!$A:$A,'Pre-Harvest Plots_rpt'!$B169,Tree!$B:$B,'Pre-Harvest Plots_rpt'!$D169,Tree!$F:$F,"D"))=0,"",IF(B169="","",SUMIFS(Tree!$O:$O,Tree!$A:$A,'Pre-Harvest Plots_rpt'!$B169,Tree!$B:$B,'Pre-Harvest Plots_rpt'!$D169,Tree!$F:$F,"D")))</f>
        <v/>
      </c>
      <c r="AA169" s="125" t="str">
        <f t="shared" si="14"/>
        <v/>
      </c>
      <c r="AB169" s="125" t="str">
        <f>IF(Z169="","",SUMIFS(Tree!$R:$R,Tree!$A:$A,'Pre-Harvest Plots_rpt'!$B169,Tree!$B:$B,'Pre-Harvest Plots_rpt'!$D169,Tree!$F:$F,"D"))</f>
        <v/>
      </c>
      <c r="AC169" s="126" t="str">
        <f>IF(Z169="","",SUMIFS(Tree!$AM:$AM,Tree!$A:$A,'Pre-Harvest Plots_rpt'!$B169,Tree!$B:$B,'Pre-Harvest Plots_rpt'!$D169,Tree!$F:$F,"D"))</f>
        <v/>
      </c>
      <c r="AD169" s="162" t="str">
        <f>IF(Z169="","",SUMIFS(Tree!$AW:$AW,Tree!$A:$A,'Pre-Harvest Plots_rpt'!$B169,Tree!$B:$B,'Pre-Harvest Plots_rpt'!$D169,Tree!$F:$F,"D")/1000)</f>
        <v/>
      </c>
      <c r="AE169" s="47"/>
      <c r="AF169" s="4"/>
      <c r="AG169" s="4"/>
      <c r="AH169" s="4"/>
    </row>
    <row r="170" spans="1:34" ht="12.75" customHeight="1" x14ac:dyDescent="0.25">
      <c r="A170" s="48">
        <v>167</v>
      </c>
      <c r="B170" s="171" t="str">
        <f>IF(A170&lt;=SUM(Stand!$H$3:$H$29),VLOOKUP(A170,Stand!$A$3:$C$29,3,TRUE),"")</f>
        <v/>
      </c>
      <c r="C170" s="172" t="str">
        <f t="shared" si="17"/>
        <v/>
      </c>
      <c r="D170" s="173" t="str">
        <f>IF(B170="","",VLOOKUP(B170&amp;C170,Plot!$B$2:$D$199,3,FALSE))</f>
        <v/>
      </c>
      <c r="E170" s="130"/>
      <c r="F170" s="152" t="str">
        <f>IF(B170="","",SUMIFS(Tree!$O:$O,Tree!$A:$A,'Pre-Harvest Plots_rpt'!$B170,Tree!$B:$B,'Pre-Harvest Plots_rpt'!$D170,Tree!$F:$F,"L"))</f>
        <v/>
      </c>
      <c r="G170" s="153" t="str">
        <f>IFERROR(IF(D170="","",SUMIFS(Tree!$P:$P,Tree!$A:$A,'Pre-Harvest Plots_rpt'!$B170,Tree!$B:$B,'Pre-Harvest Plots_rpt'!$D170)/$F170),"")</f>
        <v/>
      </c>
      <c r="H170" s="122" t="str">
        <f t="shared" si="15"/>
        <v/>
      </c>
      <c r="I170" s="121" t="str">
        <f>IF(OR($F170=0,$F170=""),"",SUMIFS(Tree!$R:$R,Tree!$A:$A,'Pre-Harvest Plots_rpt'!$B170,Tree!$B:$B,'Pre-Harvest Plots_rpt'!$D170,Tree!$F:$F,"L"))</f>
        <v/>
      </c>
      <c r="J170" s="121" t="str">
        <f>IF(OR($F170=0,$F170=""),"",IF(SUMIFS(Tree!$W:$W,Tree!$A:$A,'Pre-Harvest Plots_rpt'!$B170,Tree!$B:$B,'Pre-Harvest Plots_rpt'!$D170,Tree!$F:$F,"L")=0,0,AVERAGEIFS(Tree!$W:$W,Tree!$A:$A,'Pre-Harvest Plots_rpt'!$B170,Tree!$B:$B,'Pre-Harvest Plots_rpt'!$D170,Tree!$F:$F,"L")))</f>
        <v/>
      </c>
      <c r="K170" s="121" t="str">
        <f>IF($F170="","",SUMIFS(Tree!$S:$S,Tree!$A:$A,'Pre-Harvest Plots_rpt'!$B170,Tree!$B:$B,'Pre-Harvest Plots_rpt'!$D170,Tree!$F:$F,"L"))</f>
        <v/>
      </c>
      <c r="L170" s="154" t="str">
        <f t="shared" si="16"/>
        <v/>
      </c>
      <c r="M170" s="135"/>
      <c r="N170" s="192" t="str">
        <f>IF(B170="","",SUMIFS(Tree!$AM:$AM,Tree!$A:$A,'Pre-Harvest Plots_rpt'!$B170,Tree!$B:$B,'Pre-Harvest Plots_rpt'!$D170,Tree!$F:$F,"L"))</f>
        <v/>
      </c>
      <c r="O170" s="122" t="str">
        <f>IF(B170="","",SUMIFS(Tree!$AN:$AN,Tree!$A:$A,'Pre-Harvest Plots_rpt'!$B170,Tree!$B:$B,'Pre-Harvest Plots_rpt'!$D170,Tree!$F:$F,"L"))</f>
        <v/>
      </c>
      <c r="P170" s="122" t="str">
        <f>IF(B170="","",SUMIFS(Tree!$AO:$AO,Tree!$A:$A,'Pre-Harvest Plots_rpt'!$B170,Tree!$B:$B,'Pre-Harvest Plots_rpt'!$D170,Tree!$F:$F,"L"))</f>
        <v/>
      </c>
      <c r="Q170" s="122" t="str">
        <f>IF(B170="","",SUMIFS(Tree!$AP:$AP,Tree!$A:$A,'Pre-Harvest Plots_rpt'!$B170,Tree!$B:$B,'Pre-Harvest Plots_rpt'!$D170,Tree!$F:$F,"L"))</f>
        <v/>
      </c>
      <c r="R170" s="123" t="str">
        <f>IF(B170="","",SUMIFS(Tree!$AQ:$AQ,Tree!$A:$A,'Pre-Harvest Plots_rpt'!$B170,Tree!$B:$B,'Pre-Harvest Plots_rpt'!$D170,Tree!$F:$F,"L"))</f>
        <v/>
      </c>
      <c r="S170" s="122" t="str">
        <f>IF(B170="","",SUMIFS(Tree!$AJ:$AJ,Tree!$A:$A,'Pre-Harvest Plots_rpt'!$B170,Tree!$B:$B,'Pre-Harvest Plots_rpt'!$D170,Tree!$F:$F,"L")-O170)</f>
        <v/>
      </c>
      <c r="T170" s="122" t="str">
        <f>IF(B170="","",SUMIFS(Tree!$AK:$AK,Tree!$A:$A,'Pre-Harvest Plots_rpt'!$B170,Tree!$B:$B,'Pre-Harvest Plots_rpt'!$D170,Tree!$F:$F,"L")-P170)</f>
        <v/>
      </c>
      <c r="U170" s="122" t="str">
        <f>IF(B170="","",SUMIFS(Tree!$AL:$AL,Tree!$A:$A,'Pre-Harvest Plots_rpt'!$B170,Tree!$B:$B,'Pre-Harvest Plots_rpt'!$D170,Tree!$F:$F,"L")-Q170)</f>
        <v/>
      </c>
      <c r="V170" s="123" t="str">
        <f>IF(B170="","",ROUND(SUMIFS(Tree!$AE:$AE,Tree!$A:$A,'Pre-Harvest Plots_rpt'!$B170,Tree!$B:$B,'Pre-Harvest Plots_rpt'!$D170,Tree!$F:$F,"L")-R170,1))</f>
        <v/>
      </c>
      <c r="W170" s="124" t="str">
        <f>IF(B170="","",SUMIFS(Tree!$AY:$AY,Tree!$A:$A,'Pre-Harvest Plots_rpt'!$B170,Tree!$B:$B,'Pre-Harvest Plots_rpt'!$D170,Tree!$F:$F,"L")/1000)</f>
        <v/>
      </c>
      <c r="X170" s="158" t="str">
        <f>IF(B170="","",ROUND((SUMIFS(Tree!$AW:$AW,Tree!$A:$A,'Pre-Harvest Plots_rpt'!$B170,Tree!$B:$B,'Pre-Harvest Plots_rpt'!$D170,Tree!$F:$F,"L")/1000)-W170,1))</f>
        <v/>
      </c>
      <c r="Y170" s="135"/>
      <c r="Z170" s="161" t="str">
        <f>IF(IF(B170="","",SUMIFS(Tree!$O:$O,Tree!$A:$A,'Pre-Harvest Plots_rpt'!$B170,Tree!$B:$B,'Pre-Harvest Plots_rpt'!$D170,Tree!$F:$F,"D"))=0,"",IF(B170="","",SUMIFS(Tree!$O:$O,Tree!$A:$A,'Pre-Harvest Plots_rpt'!$B170,Tree!$B:$B,'Pre-Harvest Plots_rpt'!$D170,Tree!$F:$F,"D")))</f>
        <v/>
      </c>
      <c r="AA170" s="125" t="str">
        <f t="shared" si="14"/>
        <v/>
      </c>
      <c r="AB170" s="125" t="str">
        <f>IF(Z170="","",SUMIFS(Tree!$R:$R,Tree!$A:$A,'Pre-Harvest Plots_rpt'!$B170,Tree!$B:$B,'Pre-Harvest Plots_rpt'!$D170,Tree!$F:$F,"D"))</f>
        <v/>
      </c>
      <c r="AC170" s="126" t="str">
        <f>IF(Z170="","",SUMIFS(Tree!$AM:$AM,Tree!$A:$A,'Pre-Harvest Plots_rpt'!$B170,Tree!$B:$B,'Pre-Harvest Plots_rpt'!$D170,Tree!$F:$F,"D"))</f>
        <v/>
      </c>
      <c r="AD170" s="162" t="str">
        <f>IF(Z170="","",SUMIFS(Tree!$AW:$AW,Tree!$A:$A,'Pre-Harvest Plots_rpt'!$B170,Tree!$B:$B,'Pre-Harvest Plots_rpt'!$D170,Tree!$F:$F,"D")/1000)</f>
        <v/>
      </c>
      <c r="AE170" s="47"/>
      <c r="AF170" s="4"/>
      <c r="AG170" s="4"/>
      <c r="AH170" s="4"/>
    </row>
    <row r="171" spans="1:34" ht="12.75" customHeight="1" x14ac:dyDescent="0.25">
      <c r="A171" s="48">
        <v>168</v>
      </c>
      <c r="B171" s="171" t="str">
        <f>IF(A171&lt;=SUM(Stand!$H$3:$H$29),VLOOKUP(A171,Stand!$A$3:$C$29,3,TRUE),"")</f>
        <v/>
      </c>
      <c r="C171" s="172" t="str">
        <f t="shared" si="17"/>
        <v/>
      </c>
      <c r="D171" s="173" t="str">
        <f>IF(B171="","",VLOOKUP(B171&amp;C171,Plot!$B$2:$D$199,3,FALSE))</f>
        <v/>
      </c>
      <c r="E171" s="130"/>
      <c r="F171" s="152" t="str">
        <f>IF(B171="","",SUMIFS(Tree!$O:$O,Tree!$A:$A,'Pre-Harvest Plots_rpt'!$B171,Tree!$B:$B,'Pre-Harvest Plots_rpt'!$D171,Tree!$F:$F,"L"))</f>
        <v/>
      </c>
      <c r="G171" s="153" t="str">
        <f>IFERROR(IF(D171="","",SUMIFS(Tree!$P:$P,Tree!$A:$A,'Pre-Harvest Plots_rpt'!$B171,Tree!$B:$B,'Pre-Harvest Plots_rpt'!$D171)/$F171),"")</f>
        <v/>
      </c>
      <c r="H171" s="122" t="str">
        <f t="shared" si="15"/>
        <v/>
      </c>
      <c r="I171" s="121" t="str">
        <f>IF(OR($F171=0,$F171=""),"",SUMIFS(Tree!$R:$R,Tree!$A:$A,'Pre-Harvest Plots_rpt'!$B171,Tree!$B:$B,'Pre-Harvest Plots_rpt'!$D171,Tree!$F:$F,"L"))</f>
        <v/>
      </c>
      <c r="J171" s="121" t="str">
        <f>IF(OR($F171=0,$F171=""),"",IF(SUMIFS(Tree!$W:$W,Tree!$A:$A,'Pre-Harvest Plots_rpt'!$B171,Tree!$B:$B,'Pre-Harvest Plots_rpt'!$D171,Tree!$F:$F,"L")=0,0,AVERAGEIFS(Tree!$W:$W,Tree!$A:$A,'Pre-Harvest Plots_rpt'!$B171,Tree!$B:$B,'Pre-Harvest Plots_rpt'!$D171,Tree!$F:$F,"L")))</f>
        <v/>
      </c>
      <c r="K171" s="121" t="str">
        <f>IF($F171="","",SUMIFS(Tree!$S:$S,Tree!$A:$A,'Pre-Harvest Plots_rpt'!$B171,Tree!$B:$B,'Pre-Harvest Plots_rpt'!$D171,Tree!$F:$F,"L"))</f>
        <v/>
      </c>
      <c r="L171" s="154" t="str">
        <f t="shared" si="16"/>
        <v/>
      </c>
      <c r="M171" s="135"/>
      <c r="N171" s="192" t="str">
        <f>IF(B171="","",SUMIFS(Tree!$AM:$AM,Tree!$A:$A,'Pre-Harvest Plots_rpt'!$B171,Tree!$B:$B,'Pre-Harvest Plots_rpt'!$D171,Tree!$F:$F,"L"))</f>
        <v/>
      </c>
      <c r="O171" s="122" t="str">
        <f>IF(B171="","",SUMIFS(Tree!$AN:$AN,Tree!$A:$A,'Pre-Harvest Plots_rpt'!$B171,Tree!$B:$B,'Pre-Harvest Plots_rpt'!$D171,Tree!$F:$F,"L"))</f>
        <v/>
      </c>
      <c r="P171" s="122" t="str">
        <f>IF(B171="","",SUMIFS(Tree!$AO:$AO,Tree!$A:$A,'Pre-Harvest Plots_rpt'!$B171,Tree!$B:$B,'Pre-Harvest Plots_rpt'!$D171,Tree!$F:$F,"L"))</f>
        <v/>
      </c>
      <c r="Q171" s="122" t="str">
        <f>IF(B171="","",SUMIFS(Tree!$AP:$AP,Tree!$A:$A,'Pre-Harvest Plots_rpt'!$B171,Tree!$B:$B,'Pre-Harvest Plots_rpt'!$D171,Tree!$F:$F,"L"))</f>
        <v/>
      </c>
      <c r="R171" s="123" t="str">
        <f>IF(B171="","",SUMIFS(Tree!$AQ:$AQ,Tree!$A:$A,'Pre-Harvest Plots_rpt'!$B171,Tree!$B:$B,'Pre-Harvest Plots_rpt'!$D171,Tree!$F:$F,"L"))</f>
        <v/>
      </c>
      <c r="S171" s="122" t="str">
        <f>IF(B171="","",SUMIFS(Tree!$AJ:$AJ,Tree!$A:$A,'Pre-Harvest Plots_rpt'!$B171,Tree!$B:$B,'Pre-Harvest Plots_rpt'!$D171,Tree!$F:$F,"L")-O171)</f>
        <v/>
      </c>
      <c r="T171" s="122" t="str">
        <f>IF(B171="","",SUMIFS(Tree!$AK:$AK,Tree!$A:$A,'Pre-Harvest Plots_rpt'!$B171,Tree!$B:$B,'Pre-Harvest Plots_rpt'!$D171,Tree!$F:$F,"L")-P171)</f>
        <v/>
      </c>
      <c r="U171" s="122" t="str">
        <f>IF(B171="","",SUMIFS(Tree!$AL:$AL,Tree!$A:$A,'Pre-Harvest Plots_rpt'!$B171,Tree!$B:$B,'Pre-Harvest Plots_rpt'!$D171,Tree!$F:$F,"L")-Q171)</f>
        <v/>
      </c>
      <c r="V171" s="123" t="str">
        <f>IF(B171="","",ROUND(SUMIFS(Tree!$AE:$AE,Tree!$A:$A,'Pre-Harvest Plots_rpt'!$B171,Tree!$B:$B,'Pre-Harvest Plots_rpt'!$D171,Tree!$F:$F,"L")-R171,1))</f>
        <v/>
      </c>
      <c r="W171" s="124" t="str">
        <f>IF(B171="","",SUMIFS(Tree!$AY:$AY,Tree!$A:$A,'Pre-Harvest Plots_rpt'!$B171,Tree!$B:$B,'Pre-Harvest Plots_rpt'!$D171,Tree!$F:$F,"L")/1000)</f>
        <v/>
      </c>
      <c r="X171" s="158" t="str">
        <f>IF(B171="","",ROUND((SUMIFS(Tree!$AW:$AW,Tree!$A:$A,'Pre-Harvest Plots_rpt'!$B171,Tree!$B:$B,'Pre-Harvest Plots_rpt'!$D171,Tree!$F:$F,"L")/1000)-W171,1))</f>
        <v/>
      </c>
      <c r="Y171" s="135"/>
      <c r="Z171" s="161" t="str">
        <f>IF(IF(B171="","",SUMIFS(Tree!$O:$O,Tree!$A:$A,'Pre-Harvest Plots_rpt'!$B171,Tree!$B:$B,'Pre-Harvest Plots_rpt'!$D171,Tree!$F:$F,"D"))=0,"",IF(B171="","",SUMIFS(Tree!$O:$O,Tree!$A:$A,'Pre-Harvest Plots_rpt'!$B171,Tree!$B:$B,'Pre-Harvest Plots_rpt'!$D171,Tree!$F:$F,"D")))</f>
        <v/>
      </c>
      <c r="AA171" s="125" t="str">
        <f t="shared" si="14"/>
        <v/>
      </c>
      <c r="AB171" s="125" t="str">
        <f>IF(Z171="","",SUMIFS(Tree!$R:$R,Tree!$A:$A,'Pre-Harvest Plots_rpt'!$B171,Tree!$B:$B,'Pre-Harvest Plots_rpt'!$D171,Tree!$F:$F,"D"))</f>
        <v/>
      </c>
      <c r="AC171" s="126" t="str">
        <f>IF(Z171="","",SUMIFS(Tree!$AM:$AM,Tree!$A:$A,'Pre-Harvest Plots_rpt'!$B171,Tree!$B:$B,'Pre-Harvest Plots_rpt'!$D171,Tree!$F:$F,"D"))</f>
        <v/>
      </c>
      <c r="AD171" s="162" t="str">
        <f>IF(Z171="","",SUMIFS(Tree!$AW:$AW,Tree!$A:$A,'Pre-Harvest Plots_rpt'!$B171,Tree!$B:$B,'Pre-Harvest Plots_rpt'!$D171,Tree!$F:$F,"D")/1000)</f>
        <v/>
      </c>
      <c r="AE171" s="47"/>
      <c r="AF171" s="4"/>
      <c r="AG171" s="4"/>
      <c r="AH171" s="4"/>
    </row>
    <row r="172" spans="1:34" ht="12.75" customHeight="1" x14ac:dyDescent="0.25">
      <c r="A172" s="48">
        <v>169</v>
      </c>
      <c r="B172" s="171" t="str">
        <f>IF(A172&lt;=SUM(Stand!$H$3:$H$29),VLOOKUP(A172,Stand!$A$3:$C$29,3,TRUE),"")</f>
        <v/>
      </c>
      <c r="C172" s="172" t="str">
        <f t="shared" si="17"/>
        <v/>
      </c>
      <c r="D172" s="173" t="str">
        <f>IF(B172="","",VLOOKUP(B172&amp;C172,Plot!$B$2:$D$199,3,FALSE))</f>
        <v/>
      </c>
      <c r="E172" s="130"/>
      <c r="F172" s="152" t="str">
        <f>IF(B172="","",SUMIFS(Tree!$O:$O,Tree!$A:$A,'Pre-Harvest Plots_rpt'!$B172,Tree!$B:$B,'Pre-Harvest Plots_rpt'!$D172,Tree!$F:$F,"L"))</f>
        <v/>
      </c>
      <c r="G172" s="153" t="str">
        <f>IFERROR(IF(D172="","",SUMIFS(Tree!$P:$P,Tree!$A:$A,'Pre-Harvest Plots_rpt'!$B172,Tree!$B:$B,'Pre-Harvest Plots_rpt'!$D172)/$F172),"")</f>
        <v/>
      </c>
      <c r="H172" s="122" t="str">
        <f t="shared" si="15"/>
        <v/>
      </c>
      <c r="I172" s="121" t="str">
        <f>IF(OR($F172=0,$F172=""),"",SUMIFS(Tree!$R:$R,Tree!$A:$A,'Pre-Harvest Plots_rpt'!$B172,Tree!$B:$B,'Pre-Harvest Plots_rpt'!$D172,Tree!$F:$F,"L"))</f>
        <v/>
      </c>
      <c r="J172" s="121" t="str">
        <f>IF(OR($F172=0,$F172=""),"",IF(SUMIFS(Tree!$W:$W,Tree!$A:$A,'Pre-Harvest Plots_rpt'!$B172,Tree!$B:$B,'Pre-Harvest Plots_rpt'!$D172,Tree!$F:$F,"L")=0,0,AVERAGEIFS(Tree!$W:$W,Tree!$A:$A,'Pre-Harvest Plots_rpt'!$B172,Tree!$B:$B,'Pre-Harvest Plots_rpt'!$D172,Tree!$F:$F,"L")))</f>
        <v/>
      </c>
      <c r="K172" s="121" t="str">
        <f>IF($F172="","",SUMIFS(Tree!$S:$S,Tree!$A:$A,'Pre-Harvest Plots_rpt'!$B172,Tree!$B:$B,'Pre-Harvest Plots_rpt'!$D172,Tree!$F:$F,"L"))</f>
        <v/>
      </c>
      <c r="L172" s="154" t="str">
        <f t="shared" si="16"/>
        <v/>
      </c>
      <c r="M172" s="135"/>
      <c r="N172" s="192" t="str">
        <f>IF(B172="","",SUMIFS(Tree!$AM:$AM,Tree!$A:$A,'Pre-Harvest Plots_rpt'!$B172,Tree!$B:$B,'Pre-Harvest Plots_rpt'!$D172,Tree!$F:$F,"L"))</f>
        <v/>
      </c>
      <c r="O172" s="122" t="str">
        <f>IF(B172="","",SUMIFS(Tree!$AN:$AN,Tree!$A:$A,'Pre-Harvest Plots_rpt'!$B172,Tree!$B:$B,'Pre-Harvest Plots_rpt'!$D172,Tree!$F:$F,"L"))</f>
        <v/>
      </c>
      <c r="P172" s="122" t="str">
        <f>IF(B172="","",SUMIFS(Tree!$AO:$AO,Tree!$A:$A,'Pre-Harvest Plots_rpt'!$B172,Tree!$B:$B,'Pre-Harvest Plots_rpt'!$D172,Tree!$F:$F,"L"))</f>
        <v/>
      </c>
      <c r="Q172" s="122" t="str">
        <f>IF(B172="","",SUMIFS(Tree!$AP:$AP,Tree!$A:$A,'Pre-Harvest Plots_rpt'!$B172,Tree!$B:$B,'Pre-Harvest Plots_rpt'!$D172,Tree!$F:$F,"L"))</f>
        <v/>
      </c>
      <c r="R172" s="123" t="str">
        <f>IF(B172="","",SUMIFS(Tree!$AQ:$AQ,Tree!$A:$A,'Pre-Harvest Plots_rpt'!$B172,Tree!$B:$B,'Pre-Harvest Plots_rpt'!$D172,Tree!$F:$F,"L"))</f>
        <v/>
      </c>
      <c r="S172" s="122" t="str">
        <f>IF(B172="","",SUMIFS(Tree!$AJ:$AJ,Tree!$A:$A,'Pre-Harvest Plots_rpt'!$B172,Tree!$B:$B,'Pre-Harvest Plots_rpt'!$D172,Tree!$F:$F,"L")-O172)</f>
        <v/>
      </c>
      <c r="T172" s="122" t="str">
        <f>IF(B172="","",SUMIFS(Tree!$AK:$AK,Tree!$A:$A,'Pre-Harvest Plots_rpt'!$B172,Tree!$B:$B,'Pre-Harvest Plots_rpt'!$D172,Tree!$F:$F,"L")-P172)</f>
        <v/>
      </c>
      <c r="U172" s="122" t="str">
        <f>IF(B172="","",SUMIFS(Tree!$AL:$AL,Tree!$A:$A,'Pre-Harvest Plots_rpt'!$B172,Tree!$B:$B,'Pre-Harvest Plots_rpt'!$D172,Tree!$F:$F,"L")-Q172)</f>
        <v/>
      </c>
      <c r="V172" s="123" t="str">
        <f>IF(B172="","",ROUND(SUMIFS(Tree!$AE:$AE,Tree!$A:$A,'Pre-Harvest Plots_rpt'!$B172,Tree!$B:$B,'Pre-Harvest Plots_rpt'!$D172,Tree!$F:$F,"L")-R172,1))</f>
        <v/>
      </c>
      <c r="W172" s="124" t="str">
        <f>IF(B172="","",SUMIFS(Tree!$AY:$AY,Tree!$A:$A,'Pre-Harvest Plots_rpt'!$B172,Tree!$B:$B,'Pre-Harvest Plots_rpt'!$D172,Tree!$F:$F,"L")/1000)</f>
        <v/>
      </c>
      <c r="X172" s="158" t="str">
        <f>IF(B172="","",ROUND((SUMIFS(Tree!$AW:$AW,Tree!$A:$A,'Pre-Harvest Plots_rpt'!$B172,Tree!$B:$B,'Pre-Harvest Plots_rpt'!$D172,Tree!$F:$F,"L")/1000)-W172,1))</f>
        <v/>
      </c>
      <c r="Y172" s="135"/>
      <c r="Z172" s="161" t="str">
        <f>IF(IF(B172="","",SUMIFS(Tree!$O:$O,Tree!$A:$A,'Pre-Harvest Plots_rpt'!$B172,Tree!$B:$B,'Pre-Harvest Plots_rpt'!$D172,Tree!$F:$F,"D"))=0,"",IF(B172="","",SUMIFS(Tree!$O:$O,Tree!$A:$A,'Pre-Harvest Plots_rpt'!$B172,Tree!$B:$B,'Pre-Harvest Plots_rpt'!$D172,Tree!$F:$F,"D")))</f>
        <v/>
      </c>
      <c r="AA172" s="125" t="str">
        <f t="shared" si="14"/>
        <v/>
      </c>
      <c r="AB172" s="125" t="str">
        <f>IF(Z172="","",SUMIFS(Tree!$R:$R,Tree!$A:$A,'Pre-Harvest Plots_rpt'!$B172,Tree!$B:$B,'Pre-Harvest Plots_rpt'!$D172,Tree!$F:$F,"D"))</f>
        <v/>
      </c>
      <c r="AC172" s="126" t="str">
        <f>IF(Z172="","",SUMIFS(Tree!$AM:$AM,Tree!$A:$A,'Pre-Harvest Plots_rpt'!$B172,Tree!$B:$B,'Pre-Harvest Plots_rpt'!$D172,Tree!$F:$F,"D"))</f>
        <v/>
      </c>
      <c r="AD172" s="162" t="str">
        <f>IF(Z172="","",SUMIFS(Tree!$AW:$AW,Tree!$A:$A,'Pre-Harvest Plots_rpt'!$B172,Tree!$B:$B,'Pre-Harvest Plots_rpt'!$D172,Tree!$F:$F,"D")/1000)</f>
        <v/>
      </c>
      <c r="AE172" s="47"/>
      <c r="AF172" s="4"/>
      <c r="AG172" s="4"/>
      <c r="AH172" s="4"/>
    </row>
    <row r="173" spans="1:34" ht="12.75" customHeight="1" x14ac:dyDescent="0.25">
      <c r="A173" s="48">
        <v>170</v>
      </c>
      <c r="B173" s="171" t="str">
        <f>IF(A173&lt;=SUM(Stand!$H$3:$H$29),VLOOKUP(A173,Stand!$A$3:$C$29,3,TRUE),"")</f>
        <v/>
      </c>
      <c r="C173" s="172" t="str">
        <f t="shared" si="17"/>
        <v/>
      </c>
      <c r="D173" s="173" t="str">
        <f>IF(B173="","",VLOOKUP(B173&amp;C173,Plot!$B$2:$D$199,3,FALSE))</f>
        <v/>
      </c>
      <c r="E173" s="130"/>
      <c r="F173" s="152" t="str">
        <f>IF(B173="","",SUMIFS(Tree!$O:$O,Tree!$A:$A,'Pre-Harvest Plots_rpt'!$B173,Tree!$B:$B,'Pre-Harvest Plots_rpt'!$D173,Tree!$F:$F,"L"))</f>
        <v/>
      </c>
      <c r="G173" s="153" t="str">
        <f>IFERROR(IF(D173="","",SUMIFS(Tree!$P:$P,Tree!$A:$A,'Pre-Harvest Plots_rpt'!$B173,Tree!$B:$B,'Pre-Harvest Plots_rpt'!$D173)/$F173),"")</f>
        <v/>
      </c>
      <c r="H173" s="122" t="str">
        <f t="shared" si="15"/>
        <v/>
      </c>
      <c r="I173" s="121" t="str">
        <f>IF(OR($F173=0,$F173=""),"",SUMIFS(Tree!$R:$R,Tree!$A:$A,'Pre-Harvest Plots_rpt'!$B173,Tree!$B:$B,'Pre-Harvest Plots_rpt'!$D173,Tree!$F:$F,"L"))</f>
        <v/>
      </c>
      <c r="J173" s="121" t="str">
        <f>IF(OR($F173=0,$F173=""),"",IF(SUMIFS(Tree!$W:$W,Tree!$A:$A,'Pre-Harvest Plots_rpt'!$B173,Tree!$B:$B,'Pre-Harvest Plots_rpt'!$D173,Tree!$F:$F,"L")=0,0,AVERAGEIFS(Tree!$W:$W,Tree!$A:$A,'Pre-Harvest Plots_rpt'!$B173,Tree!$B:$B,'Pre-Harvest Plots_rpt'!$D173,Tree!$F:$F,"L")))</f>
        <v/>
      </c>
      <c r="K173" s="121" t="str">
        <f>IF($F173="","",SUMIFS(Tree!$S:$S,Tree!$A:$A,'Pre-Harvest Plots_rpt'!$B173,Tree!$B:$B,'Pre-Harvest Plots_rpt'!$D173,Tree!$F:$F,"L"))</f>
        <v/>
      </c>
      <c r="L173" s="154" t="str">
        <f t="shared" si="16"/>
        <v/>
      </c>
      <c r="M173" s="135"/>
      <c r="N173" s="192" t="str">
        <f>IF(B173="","",SUMIFS(Tree!$AM:$AM,Tree!$A:$A,'Pre-Harvest Plots_rpt'!$B173,Tree!$B:$B,'Pre-Harvest Plots_rpt'!$D173,Tree!$F:$F,"L"))</f>
        <v/>
      </c>
      <c r="O173" s="122" t="str">
        <f>IF(B173="","",SUMIFS(Tree!$AN:$AN,Tree!$A:$A,'Pre-Harvest Plots_rpt'!$B173,Tree!$B:$B,'Pre-Harvest Plots_rpt'!$D173,Tree!$F:$F,"L"))</f>
        <v/>
      </c>
      <c r="P173" s="122" t="str">
        <f>IF(B173="","",SUMIFS(Tree!$AO:$AO,Tree!$A:$A,'Pre-Harvest Plots_rpt'!$B173,Tree!$B:$B,'Pre-Harvest Plots_rpt'!$D173,Tree!$F:$F,"L"))</f>
        <v/>
      </c>
      <c r="Q173" s="122" t="str">
        <f>IF(B173="","",SUMIFS(Tree!$AP:$AP,Tree!$A:$A,'Pre-Harvest Plots_rpt'!$B173,Tree!$B:$B,'Pre-Harvest Plots_rpt'!$D173,Tree!$F:$F,"L"))</f>
        <v/>
      </c>
      <c r="R173" s="123" t="str">
        <f>IF(B173="","",SUMIFS(Tree!$AQ:$AQ,Tree!$A:$A,'Pre-Harvest Plots_rpt'!$B173,Tree!$B:$B,'Pre-Harvest Plots_rpt'!$D173,Tree!$F:$F,"L"))</f>
        <v/>
      </c>
      <c r="S173" s="122" t="str">
        <f>IF(B173="","",SUMIFS(Tree!$AJ:$AJ,Tree!$A:$A,'Pre-Harvest Plots_rpt'!$B173,Tree!$B:$B,'Pre-Harvest Plots_rpt'!$D173,Tree!$F:$F,"L")-O173)</f>
        <v/>
      </c>
      <c r="T173" s="122" t="str">
        <f>IF(B173="","",SUMIFS(Tree!$AK:$AK,Tree!$A:$A,'Pre-Harvest Plots_rpt'!$B173,Tree!$B:$B,'Pre-Harvest Plots_rpt'!$D173,Tree!$F:$F,"L")-P173)</f>
        <v/>
      </c>
      <c r="U173" s="122" t="str">
        <f>IF(B173="","",SUMIFS(Tree!$AL:$AL,Tree!$A:$A,'Pre-Harvest Plots_rpt'!$B173,Tree!$B:$B,'Pre-Harvest Plots_rpt'!$D173,Tree!$F:$F,"L")-Q173)</f>
        <v/>
      </c>
      <c r="V173" s="123" t="str">
        <f>IF(B173="","",ROUND(SUMIFS(Tree!$AE:$AE,Tree!$A:$A,'Pre-Harvest Plots_rpt'!$B173,Tree!$B:$B,'Pre-Harvest Plots_rpt'!$D173,Tree!$F:$F,"L")-R173,1))</f>
        <v/>
      </c>
      <c r="W173" s="124" t="str">
        <f>IF(B173="","",SUMIFS(Tree!$AY:$AY,Tree!$A:$A,'Pre-Harvest Plots_rpt'!$B173,Tree!$B:$B,'Pre-Harvest Plots_rpt'!$D173,Tree!$F:$F,"L")/1000)</f>
        <v/>
      </c>
      <c r="X173" s="158" t="str">
        <f>IF(B173="","",ROUND((SUMIFS(Tree!$AW:$AW,Tree!$A:$A,'Pre-Harvest Plots_rpt'!$B173,Tree!$B:$B,'Pre-Harvest Plots_rpt'!$D173,Tree!$F:$F,"L")/1000)-W173,1))</f>
        <v/>
      </c>
      <c r="Y173" s="135"/>
      <c r="Z173" s="161" t="str">
        <f>IF(IF(B173="","",SUMIFS(Tree!$O:$O,Tree!$A:$A,'Pre-Harvest Plots_rpt'!$B173,Tree!$B:$B,'Pre-Harvest Plots_rpt'!$D173,Tree!$F:$F,"D"))=0,"",IF(B173="","",SUMIFS(Tree!$O:$O,Tree!$A:$A,'Pre-Harvest Plots_rpt'!$B173,Tree!$B:$B,'Pre-Harvest Plots_rpt'!$D173,Tree!$F:$F,"D")))</f>
        <v/>
      </c>
      <c r="AA173" s="125" t="str">
        <f t="shared" si="14"/>
        <v/>
      </c>
      <c r="AB173" s="125" t="str">
        <f>IF(Z173="","",SUMIFS(Tree!$R:$R,Tree!$A:$A,'Pre-Harvest Plots_rpt'!$B173,Tree!$B:$B,'Pre-Harvest Plots_rpt'!$D173,Tree!$F:$F,"D"))</f>
        <v/>
      </c>
      <c r="AC173" s="126" t="str">
        <f>IF(Z173="","",SUMIFS(Tree!$AM:$AM,Tree!$A:$A,'Pre-Harvest Plots_rpt'!$B173,Tree!$B:$B,'Pre-Harvest Plots_rpt'!$D173,Tree!$F:$F,"D"))</f>
        <v/>
      </c>
      <c r="AD173" s="162" t="str">
        <f>IF(Z173="","",SUMIFS(Tree!$AW:$AW,Tree!$A:$A,'Pre-Harvest Plots_rpt'!$B173,Tree!$B:$B,'Pre-Harvest Plots_rpt'!$D173,Tree!$F:$F,"D")/1000)</f>
        <v/>
      </c>
      <c r="AE173" s="47"/>
      <c r="AF173" s="4"/>
      <c r="AG173" s="4"/>
      <c r="AH173" s="4"/>
    </row>
    <row r="174" spans="1:34" ht="12.75" customHeight="1" x14ac:dyDescent="0.25">
      <c r="A174" s="48">
        <v>171</v>
      </c>
      <c r="B174" s="171" t="str">
        <f>IF(A174&lt;=SUM(Stand!$H$3:$H$29),VLOOKUP(A174,Stand!$A$3:$C$29,3,TRUE),"")</f>
        <v/>
      </c>
      <c r="C174" s="172" t="str">
        <f t="shared" si="17"/>
        <v/>
      </c>
      <c r="D174" s="173" t="str">
        <f>IF(B174="","",VLOOKUP(B174&amp;C174,Plot!$B$2:$D$199,3,FALSE))</f>
        <v/>
      </c>
      <c r="E174" s="130"/>
      <c r="F174" s="152" t="str">
        <f>IF(B174="","",SUMIFS(Tree!$O:$O,Tree!$A:$A,'Pre-Harvest Plots_rpt'!$B174,Tree!$B:$B,'Pre-Harvest Plots_rpt'!$D174,Tree!$F:$F,"L"))</f>
        <v/>
      </c>
      <c r="G174" s="153" t="str">
        <f>IFERROR(IF(D174="","",SUMIFS(Tree!$P:$P,Tree!$A:$A,'Pre-Harvest Plots_rpt'!$B174,Tree!$B:$B,'Pre-Harvest Plots_rpt'!$D174)/$F174),"")</f>
        <v/>
      </c>
      <c r="H174" s="122" t="str">
        <f t="shared" si="15"/>
        <v/>
      </c>
      <c r="I174" s="121" t="str">
        <f>IF(OR($F174=0,$F174=""),"",SUMIFS(Tree!$R:$R,Tree!$A:$A,'Pre-Harvest Plots_rpt'!$B174,Tree!$B:$B,'Pre-Harvest Plots_rpt'!$D174,Tree!$F:$F,"L"))</f>
        <v/>
      </c>
      <c r="J174" s="121" t="str">
        <f>IF(OR($F174=0,$F174=""),"",IF(SUMIFS(Tree!$W:$W,Tree!$A:$A,'Pre-Harvest Plots_rpt'!$B174,Tree!$B:$B,'Pre-Harvest Plots_rpt'!$D174,Tree!$F:$F,"L")=0,0,AVERAGEIFS(Tree!$W:$W,Tree!$A:$A,'Pre-Harvest Plots_rpt'!$B174,Tree!$B:$B,'Pre-Harvest Plots_rpt'!$D174,Tree!$F:$F,"L")))</f>
        <v/>
      </c>
      <c r="K174" s="121" t="str">
        <f>IF($F174="","",SUMIFS(Tree!$S:$S,Tree!$A:$A,'Pre-Harvest Plots_rpt'!$B174,Tree!$B:$B,'Pre-Harvest Plots_rpt'!$D174,Tree!$F:$F,"L"))</f>
        <v/>
      </c>
      <c r="L174" s="154" t="str">
        <f t="shared" si="16"/>
        <v/>
      </c>
      <c r="M174" s="135"/>
      <c r="N174" s="192" t="str">
        <f>IF(B174="","",SUMIFS(Tree!$AM:$AM,Tree!$A:$A,'Pre-Harvest Plots_rpt'!$B174,Tree!$B:$B,'Pre-Harvest Plots_rpt'!$D174,Tree!$F:$F,"L"))</f>
        <v/>
      </c>
      <c r="O174" s="122" t="str">
        <f>IF(B174="","",SUMIFS(Tree!$AN:$AN,Tree!$A:$A,'Pre-Harvest Plots_rpt'!$B174,Tree!$B:$B,'Pre-Harvest Plots_rpt'!$D174,Tree!$F:$F,"L"))</f>
        <v/>
      </c>
      <c r="P174" s="122" t="str">
        <f>IF(B174="","",SUMIFS(Tree!$AO:$AO,Tree!$A:$A,'Pre-Harvest Plots_rpt'!$B174,Tree!$B:$B,'Pre-Harvest Plots_rpt'!$D174,Tree!$F:$F,"L"))</f>
        <v/>
      </c>
      <c r="Q174" s="122" t="str">
        <f>IF(B174="","",SUMIFS(Tree!$AP:$AP,Tree!$A:$A,'Pre-Harvest Plots_rpt'!$B174,Tree!$B:$B,'Pre-Harvest Plots_rpt'!$D174,Tree!$F:$F,"L"))</f>
        <v/>
      </c>
      <c r="R174" s="123" t="str">
        <f>IF(B174="","",SUMIFS(Tree!$AQ:$AQ,Tree!$A:$A,'Pre-Harvest Plots_rpt'!$B174,Tree!$B:$B,'Pre-Harvest Plots_rpt'!$D174,Tree!$F:$F,"L"))</f>
        <v/>
      </c>
      <c r="S174" s="122" t="str">
        <f>IF(B174="","",SUMIFS(Tree!$AJ:$AJ,Tree!$A:$A,'Pre-Harvest Plots_rpt'!$B174,Tree!$B:$B,'Pre-Harvest Plots_rpt'!$D174,Tree!$F:$F,"L")-O174)</f>
        <v/>
      </c>
      <c r="T174" s="122" t="str">
        <f>IF(B174="","",SUMIFS(Tree!$AK:$AK,Tree!$A:$A,'Pre-Harvest Plots_rpt'!$B174,Tree!$B:$B,'Pre-Harvest Plots_rpt'!$D174,Tree!$F:$F,"L")-P174)</f>
        <v/>
      </c>
      <c r="U174" s="122" t="str">
        <f>IF(B174="","",SUMIFS(Tree!$AL:$AL,Tree!$A:$A,'Pre-Harvest Plots_rpt'!$B174,Tree!$B:$B,'Pre-Harvest Plots_rpt'!$D174,Tree!$F:$F,"L")-Q174)</f>
        <v/>
      </c>
      <c r="V174" s="123" t="str">
        <f>IF(B174="","",ROUND(SUMIFS(Tree!$AE:$AE,Tree!$A:$A,'Pre-Harvest Plots_rpt'!$B174,Tree!$B:$B,'Pre-Harvest Plots_rpt'!$D174,Tree!$F:$F,"L")-R174,1))</f>
        <v/>
      </c>
      <c r="W174" s="124" t="str">
        <f>IF(B174="","",SUMIFS(Tree!$AY:$AY,Tree!$A:$A,'Pre-Harvest Plots_rpt'!$B174,Tree!$B:$B,'Pre-Harvest Plots_rpt'!$D174,Tree!$F:$F,"L")/1000)</f>
        <v/>
      </c>
      <c r="X174" s="158" t="str">
        <f>IF(B174="","",ROUND((SUMIFS(Tree!$AW:$AW,Tree!$A:$A,'Pre-Harvest Plots_rpt'!$B174,Tree!$B:$B,'Pre-Harvest Plots_rpt'!$D174,Tree!$F:$F,"L")/1000)-W174,1))</f>
        <v/>
      </c>
      <c r="Y174" s="135"/>
      <c r="Z174" s="161" t="str">
        <f>IF(IF(B174="","",SUMIFS(Tree!$O:$O,Tree!$A:$A,'Pre-Harvest Plots_rpt'!$B174,Tree!$B:$B,'Pre-Harvest Plots_rpt'!$D174,Tree!$F:$F,"D"))=0,"",IF(B174="","",SUMIFS(Tree!$O:$O,Tree!$A:$A,'Pre-Harvest Plots_rpt'!$B174,Tree!$B:$B,'Pre-Harvest Plots_rpt'!$D174,Tree!$F:$F,"D")))</f>
        <v/>
      </c>
      <c r="AA174" s="125" t="str">
        <f t="shared" si="14"/>
        <v/>
      </c>
      <c r="AB174" s="125" t="str">
        <f>IF(Z174="","",SUMIFS(Tree!$R:$R,Tree!$A:$A,'Pre-Harvest Plots_rpt'!$B174,Tree!$B:$B,'Pre-Harvest Plots_rpt'!$D174,Tree!$F:$F,"D"))</f>
        <v/>
      </c>
      <c r="AC174" s="126" t="str">
        <f>IF(Z174="","",SUMIFS(Tree!$AM:$AM,Tree!$A:$A,'Pre-Harvest Plots_rpt'!$B174,Tree!$B:$B,'Pre-Harvest Plots_rpt'!$D174,Tree!$F:$F,"D"))</f>
        <v/>
      </c>
      <c r="AD174" s="162" t="str">
        <f>IF(Z174="","",SUMIFS(Tree!$AW:$AW,Tree!$A:$A,'Pre-Harvest Plots_rpt'!$B174,Tree!$B:$B,'Pre-Harvest Plots_rpt'!$D174,Tree!$F:$F,"D")/1000)</f>
        <v/>
      </c>
      <c r="AE174" s="47"/>
      <c r="AF174" s="4"/>
      <c r="AG174" s="4"/>
      <c r="AH174" s="4"/>
    </row>
    <row r="175" spans="1:34" ht="12.75" customHeight="1" x14ac:dyDescent="0.25">
      <c r="A175" s="48">
        <v>172</v>
      </c>
      <c r="B175" s="171" t="str">
        <f>IF(A175&lt;=SUM(Stand!$H$3:$H$29),VLOOKUP(A175,Stand!$A$3:$C$29,3,TRUE),"")</f>
        <v/>
      </c>
      <c r="C175" s="172" t="str">
        <f t="shared" si="17"/>
        <v/>
      </c>
      <c r="D175" s="173" t="str">
        <f>IF(B175="","",VLOOKUP(B175&amp;C175,Plot!$B$2:$D$199,3,FALSE))</f>
        <v/>
      </c>
      <c r="E175" s="130"/>
      <c r="F175" s="152" t="str">
        <f>IF(B175="","",SUMIFS(Tree!$O:$O,Tree!$A:$A,'Pre-Harvest Plots_rpt'!$B175,Tree!$B:$B,'Pre-Harvest Plots_rpt'!$D175,Tree!$F:$F,"L"))</f>
        <v/>
      </c>
      <c r="G175" s="153" t="str">
        <f>IFERROR(IF(D175="","",SUMIFS(Tree!$P:$P,Tree!$A:$A,'Pre-Harvest Plots_rpt'!$B175,Tree!$B:$B,'Pre-Harvest Plots_rpt'!$D175)/$F175),"")</f>
        <v/>
      </c>
      <c r="H175" s="122" t="str">
        <f t="shared" si="15"/>
        <v/>
      </c>
      <c r="I175" s="121" t="str">
        <f>IF(OR($F175=0,$F175=""),"",SUMIFS(Tree!$R:$R,Tree!$A:$A,'Pre-Harvest Plots_rpt'!$B175,Tree!$B:$B,'Pre-Harvest Plots_rpt'!$D175,Tree!$F:$F,"L"))</f>
        <v/>
      </c>
      <c r="J175" s="121" t="str">
        <f>IF(OR($F175=0,$F175=""),"",IF(SUMIFS(Tree!$W:$W,Tree!$A:$A,'Pre-Harvest Plots_rpt'!$B175,Tree!$B:$B,'Pre-Harvest Plots_rpt'!$D175,Tree!$F:$F,"L")=0,0,AVERAGEIFS(Tree!$W:$W,Tree!$A:$A,'Pre-Harvest Plots_rpt'!$B175,Tree!$B:$B,'Pre-Harvest Plots_rpt'!$D175,Tree!$F:$F,"L")))</f>
        <v/>
      </c>
      <c r="K175" s="121" t="str">
        <f>IF($F175="","",SUMIFS(Tree!$S:$S,Tree!$A:$A,'Pre-Harvest Plots_rpt'!$B175,Tree!$B:$B,'Pre-Harvest Plots_rpt'!$D175,Tree!$F:$F,"L"))</f>
        <v/>
      </c>
      <c r="L175" s="154" t="str">
        <f t="shared" si="16"/>
        <v/>
      </c>
      <c r="M175" s="135"/>
      <c r="N175" s="192" t="str">
        <f>IF(B175="","",SUMIFS(Tree!$AM:$AM,Tree!$A:$A,'Pre-Harvest Plots_rpt'!$B175,Tree!$B:$B,'Pre-Harvest Plots_rpt'!$D175,Tree!$F:$F,"L"))</f>
        <v/>
      </c>
      <c r="O175" s="122" t="str">
        <f>IF(B175="","",SUMIFS(Tree!$AN:$AN,Tree!$A:$A,'Pre-Harvest Plots_rpt'!$B175,Tree!$B:$B,'Pre-Harvest Plots_rpt'!$D175,Tree!$F:$F,"L"))</f>
        <v/>
      </c>
      <c r="P175" s="122" t="str">
        <f>IF(B175="","",SUMIFS(Tree!$AO:$AO,Tree!$A:$A,'Pre-Harvest Plots_rpt'!$B175,Tree!$B:$B,'Pre-Harvest Plots_rpt'!$D175,Tree!$F:$F,"L"))</f>
        <v/>
      </c>
      <c r="Q175" s="122" t="str">
        <f>IF(B175="","",SUMIFS(Tree!$AP:$AP,Tree!$A:$A,'Pre-Harvest Plots_rpt'!$B175,Tree!$B:$B,'Pre-Harvest Plots_rpt'!$D175,Tree!$F:$F,"L"))</f>
        <v/>
      </c>
      <c r="R175" s="123" t="str">
        <f>IF(B175="","",SUMIFS(Tree!$AQ:$AQ,Tree!$A:$A,'Pre-Harvest Plots_rpt'!$B175,Tree!$B:$B,'Pre-Harvest Plots_rpt'!$D175,Tree!$F:$F,"L"))</f>
        <v/>
      </c>
      <c r="S175" s="122" t="str">
        <f>IF(B175="","",SUMIFS(Tree!$AJ:$AJ,Tree!$A:$A,'Pre-Harvest Plots_rpt'!$B175,Tree!$B:$B,'Pre-Harvest Plots_rpt'!$D175,Tree!$F:$F,"L")-O175)</f>
        <v/>
      </c>
      <c r="T175" s="122" t="str">
        <f>IF(B175="","",SUMIFS(Tree!$AK:$AK,Tree!$A:$A,'Pre-Harvest Plots_rpt'!$B175,Tree!$B:$B,'Pre-Harvest Plots_rpt'!$D175,Tree!$F:$F,"L")-P175)</f>
        <v/>
      </c>
      <c r="U175" s="122" t="str">
        <f>IF(B175="","",SUMIFS(Tree!$AL:$AL,Tree!$A:$A,'Pre-Harvest Plots_rpt'!$B175,Tree!$B:$B,'Pre-Harvest Plots_rpt'!$D175,Tree!$F:$F,"L")-Q175)</f>
        <v/>
      </c>
      <c r="V175" s="123" t="str">
        <f>IF(B175="","",ROUND(SUMIFS(Tree!$AE:$AE,Tree!$A:$A,'Pre-Harvest Plots_rpt'!$B175,Tree!$B:$B,'Pre-Harvest Plots_rpt'!$D175,Tree!$F:$F,"L")-R175,1))</f>
        <v/>
      </c>
      <c r="W175" s="124" t="str">
        <f>IF(B175="","",SUMIFS(Tree!$AY:$AY,Tree!$A:$A,'Pre-Harvest Plots_rpt'!$B175,Tree!$B:$B,'Pre-Harvest Plots_rpt'!$D175,Tree!$F:$F,"L")/1000)</f>
        <v/>
      </c>
      <c r="X175" s="158" t="str">
        <f>IF(B175="","",ROUND((SUMIFS(Tree!$AW:$AW,Tree!$A:$A,'Pre-Harvest Plots_rpt'!$B175,Tree!$B:$B,'Pre-Harvest Plots_rpt'!$D175,Tree!$F:$F,"L")/1000)-W175,1))</f>
        <v/>
      </c>
      <c r="Y175" s="135"/>
      <c r="Z175" s="161" t="str">
        <f>IF(IF(B175="","",SUMIFS(Tree!$O:$O,Tree!$A:$A,'Pre-Harvest Plots_rpt'!$B175,Tree!$B:$B,'Pre-Harvest Plots_rpt'!$D175,Tree!$F:$F,"D"))=0,"",IF(B175="","",SUMIFS(Tree!$O:$O,Tree!$A:$A,'Pre-Harvest Plots_rpt'!$B175,Tree!$B:$B,'Pre-Harvest Plots_rpt'!$D175,Tree!$F:$F,"D")))</f>
        <v/>
      </c>
      <c r="AA175" s="125" t="str">
        <f t="shared" si="14"/>
        <v/>
      </c>
      <c r="AB175" s="125" t="str">
        <f>IF(Z175="","",SUMIFS(Tree!$R:$R,Tree!$A:$A,'Pre-Harvest Plots_rpt'!$B175,Tree!$B:$B,'Pre-Harvest Plots_rpt'!$D175,Tree!$F:$F,"D"))</f>
        <v/>
      </c>
      <c r="AC175" s="126" t="str">
        <f>IF(Z175="","",SUMIFS(Tree!$AM:$AM,Tree!$A:$A,'Pre-Harvest Plots_rpt'!$B175,Tree!$B:$B,'Pre-Harvest Plots_rpt'!$D175,Tree!$F:$F,"D"))</f>
        <v/>
      </c>
      <c r="AD175" s="162" t="str">
        <f>IF(Z175="","",SUMIFS(Tree!$AW:$AW,Tree!$A:$A,'Pre-Harvest Plots_rpt'!$B175,Tree!$B:$B,'Pre-Harvest Plots_rpt'!$D175,Tree!$F:$F,"D")/1000)</f>
        <v/>
      </c>
      <c r="AE175" s="47"/>
      <c r="AF175" s="4"/>
      <c r="AG175" s="4"/>
      <c r="AH175" s="4"/>
    </row>
    <row r="176" spans="1:34" ht="12.75" customHeight="1" x14ac:dyDescent="0.25">
      <c r="A176" s="48">
        <v>173</v>
      </c>
      <c r="B176" s="171" t="str">
        <f>IF(A176&lt;=SUM(Stand!$H$3:$H$29),VLOOKUP(A176,Stand!$A$3:$C$29,3,TRUE),"")</f>
        <v/>
      </c>
      <c r="C176" s="172" t="str">
        <f t="shared" si="17"/>
        <v/>
      </c>
      <c r="D176" s="173" t="str">
        <f>IF(B176="","",VLOOKUP(B176&amp;C176,Plot!$B$2:$D$199,3,FALSE))</f>
        <v/>
      </c>
      <c r="E176" s="130"/>
      <c r="F176" s="152" t="str">
        <f>IF(B176="","",SUMIFS(Tree!$O:$O,Tree!$A:$A,'Pre-Harvest Plots_rpt'!$B176,Tree!$B:$B,'Pre-Harvest Plots_rpt'!$D176,Tree!$F:$F,"L"))</f>
        <v/>
      </c>
      <c r="G176" s="153" t="str">
        <f>IFERROR(IF(D176="","",SUMIFS(Tree!$P:$P,Tree!$A:$A,'Pre-Harvest Plots_rpt'!$B176,Tree!$B:$B,'Pre-Harvest Plots_rpt'!$D176)/$F176),"")</f>
        <v/>
      </c>
      <c r="H176" s="122" t="str">
        <f t="shared" si="15"/>
        <v/>
      </c>
      <c r="I176" s="121" t="str">
        <f>IF(OR($F176=0,$F176=""),"",SUMIFS(Tree!$R:$R,Tree!$A:$A,'Pre-Harvest Plots_rpt'!$B176,Tree!$B:$B,'Pre-Harvest Plots_rpt'!$D176,Tree!$F:$F,"L"))</f>
        <v/>
      </c>
      <c r="J176" s="121" t="str">
        <f>IF(OR($F176=0,$F176=""),"",IF(SUMIFS(Tree!$W:$W,Tree!$A:$A,'Pre-Harvest Plots_rpt'!$B176,Tree!$B:$B,'Pre-Harvest Plots_rpt'!$D176,Tree!$F:$F,"L")=0,0,AVERAGEIFS(Tree!$W:$W,Tree!$A:$A,'Pre-Harvest Plots_rpt'!$B176,Tree!$B:$B,'Pre-Harvest Plots_rpt'!$D176,Tree!$F:$F,"L")))</f>
        <v/>
      </c>
      <c r="K176" s="121" t="str">
        <f>IF($F176="","",SUMIFS(Tree!$S:$S,Tree!$A:$A,'Pre-Harvest Plots_rpt'!$B176,Tree!$B:$B,'Pre-Harvest Plots_rpt'!$D176,Tree!$F:$F,"L"))</f>
        <v/>
      </c>
      <c r="L176" s="154" t="str">
        <f t="shared" si="16"/>
        <v/>
      </c>
      <c r="M176" s="135"/>
      <c r="N176" s="192" t="str">
        <f>IF(B176="","",SUMIFS(Tree!$AM:$AM,Tree!$A:$A,'Pre-Harvest Plots_rpt'!$B176,Tree!$B:$B,'Pre-Harvest Plots_rpt'!$D176,Tree!$F:$F,"L"))</f>
        <v/>
      </c>
      <c r="O176" s="122" t="str">
        <f>IF(B176="","",SUMIFS(Tree!$AN:$AN,Tree!$A:$A,'Pre-Harvest Plots_rpt'!$B176,Tree!$B:$B,'Pre-Harvest Plots_rpt'!$D176,Tree!$F:$F,"L"))</f>
        <v/>
      </c>
      <c r="P176" s="122" t="str">
        <f>IF(B176="","",SUMIFS(Tree!$AO:$AO,Tree!$A:$A,'Pre-Harvest Plots_rpt'!$B176,Tree!$B:$B,'Pre-Harvest Plots_rpt'!$D176,Tree!$F:$F,"L"))</f>
        <v/>
      </c>
      <c r="Q176" s="122" t="str">
        <f>IF(B176="","",SUMIFS(Tree!$AP:$AP,Tree!$A:$A,'Pre-Harvest Plots_rpt'!$B176,Tree!$B:$B,'Pre-Harvest Plots_rpt'!$D176,Tree!$F:$F,"L"))</f>
        <v/>
      </c>
      <c r="R176" s="123" t="str">
        <f>IF(B176="","",SUMIFS(Tree!$AQ:$AQ,Tree!$A:$A,'Pre-Harvest Plots_rpt'!$B176,Tree!$B:$B,'Pre-Harvest Plots_rpt'!$D176,Tree!$F:$F,"L"))</f>
        <v/>
      </c>
      <c r="S176" s="122" t="str">
        <f>IF(B176="","",SUMIFS(Tree!$AJ:$AJ,Tree!$A:$A,'Pre-Harvest Plots_rpt'!$B176,Tree!$B:$B,'Pre-Harvest Plots_rpt'!$D176,Tree!$F:$F,"L")-O176)</f>
        <v/>
      </c>
      <c r="T176" s="122" t="str">
        <f>IF(B176="","",SUMIFS(Tree!$AK:$AK,Tree!$A:$A,'Pre-Harvest Plots_rpt'!$B176,Tree!$B:$B,'Pre-Harvest Plots_rpt'!$D176,Tree!$F:$F,"L")-P176)</f>
        <v/>
      </c>
      <c r="U176" s="122" t="str">
        <f>IF(B176="","",SUMIFS(Tree!$AL:$AL,Tree!$A:$A,'Pre-Harvest Plots_rpt'!$B176,Tree!$B:$B,'Pre-Harvest Plots_rpt'!$D176,Tree!$F:$F,"L")-Q176)</f>
        <v/>
      </c>
      <c r="V176" s="123" t="str">
        <f>IF(B176="","",ROUND(SUMIFS(Tree!$AE:$AE,Tree!$A:$A,'Pre-Harvest Plots_rpt'!$B176,Tree!$B:$B,'Pre-Harvest Plots_rpt'!$D176,Tree!$F:$F,"L")-R176,1))</f>
        <v/>
      </c>
      <c r="W176" s="124" t="str">
        <f>IF(B176="","",SUMIFS(Tree!$AY:$AY,Tree!$A:$A,'Pre-Harvest Plots_rpt'!$B176,Tree!$B:$B,'Pre-Harvest Plots_rpt'!$D176,Tree!$F:$F,"L")/1000)</f>
        <v/>
      </c>
      <c r="X176" s="158" t="str">
        <f>IF(B176="","",ROUND((SUMIFS(Tree!$AW:$AW,Tree!$A:$A,'Pre-Harvest Plots_rpt'!$B176,Tree!$B:$B,'Pre-Harvest Plots_rpt'!$D176,Tree!$F:$F,"L")/1000)-W176,1))</f>
        <v/>
      </c>
      <c r="Y176" s="135"/>
      <c r="Z176" s="161" t="str">
        <f>IF(IF(B176="","",SUMIFS(Tree!$O:$O,Tree!$A:$A,'Pre-Harvest Plots_rpt'!$B176,Tree!$B:$B,'Pre-Harvest Plots_rpt'!$D176,Tree!$F:$F,"D"))=0,"",IF(B176="","",SUMIFS(Tree!$O:$O,Tree!$A:$A,'Pre-Harvest Plots_rpt'!$B176,Tree!$B:$B,'Pre-Harvest Plots_rpt'!$D176,Tree!$F:$F,"D")))</f>
        <v/>
      </c>
      <c r="AA176" s="125" t="str">
        <f t="shared" si="14"/>
        <v/>
      </c>
      <c r="AB176" s="125" t="str">
        <f>IF(Z176="","",SUMIFS(Tree!$R:$R,Tree!$A:$A,'Pre-Harvest Plots_rpt'!$B176,Tree!$B:$B,'Pre-Harvest Plots_rpt'!$D176,Tree!$F:$F,"D"))</f>
        <v/>
      </c>
      <c r="AC176" s="126" t="str">
        <f>IF(Z176="","",SUMIFS(Tree!$AM:$AM,Tree!$A:$A,'Pre-Harvest Plots_rpt'!$B176,Tree!$B:$B,'Pre-Harvest Plots_rpt'!$D176,Tree!$F:$F,"D"))</f>
        <v/>
      </c>
      <c r="AD176" s="162" t="str">
        <f>IF(Z176="","",SUMIFS(Tree!$AW:$AW,Tree!$A:$A,'Pre-Harvest Plots_rpt'!$B176,Tree!$B:$B,'Pre-Harvest Plots_rpt'!$D176,Tree!$F:$F,"D")/1000)</f>
        <v/>
      </c>
      <c r="AE176" s="47"/>
      <c r="AF176" s="4"/>
      <c r="AG176" s="4"/>
      <c r="AH176" s="4"/>
    </row>
    <row r="177" spans="1:34" ht="12.75" customHeight="1" x14ac:dyDescent="0.25">
      <c r="A177" s="48">
        <v>174</v>
      </c>
      <c r="B177" s="171" t="str">
        <f>IF(A177&lt;=SUM(Stand!$H$3:$H$29),VLOOKUP(A177,Stand!$A$3:$C$29,3,TRUE),"")</f>
        <v/>
      </c>
      <c r="C177" s="172" t="str">
        <f t="shared" si="17"/>
        <v/>
      </c>
      <c r="D177" s="173" t="str">
        <f>IF(B177="","",VLOOKUP(B177&amp;C177,Plot!$B$2:$D$199,3,FALSE))</f>
        <v/>
      </c>
      <c r="E177" s="130"/>
      <c r="F177" s="152" t="str">
        <f>IF(B177="","",SUMIFS(Tree!$O:$O,Tree!$A:$A,'Pre-Harvest Plots_rpt'!$B177,Tree!$B:$B,'Pre-Harvest Plots_rpt'!$D177,Tree!$F:$F,"L"))</f>
        <v/>
      </c>
      <c r="G177" s="153" t="str">
        <f>IFERROR(IF(D177="","",SUMIFS(Tree!$P:$P,Tree!$A:$A,'Pre-Harvest Plots_rpt'!$B177,Tree!$B:$B,'Pre-Harvest Plots_rpt'!$D177)/$F177),"")</f>
        <v/>
      </c>
      <c r="H177" s="122" t="str">
        <f t="shared" si="15"/>
        <v/>
      </c>
      <c r="I177" s="121" t="str">
        <f>IF(OR($F177=0,$F177=""),"",SUMIFS(Tree!$R:$R,Tree!$A:$A,'Pre-Harvest Plots_rpt'!$B177,Tree!$B:$B,'Pre-Harvest Plots_rpt'!$D177,Tree!$F:$F,"L"))</f>
        <v/>
      </c>
      <c r="J177" s="121" t="str">
        <f>IF(OR($F177=0,$F177=""),"",IF(SUMIFS(Tree!$W:$W,Tree!$A:$A,'Pre-Harvest Plots_rpt'!$B177,Tree!$B:$B,'Pre-Harvest Plots_rpt'!$D177,Tree!$F:$F,"L")=0,0,AVERAGEIFS(Tree!$W:$W,Tree!$A:$A,'Pre-Harvest Plots_rpt'!$B177,Tree!$B:$B,'Pre-Harvest Plots_rpt'!$D177,Tree!$F:$F,"L")))</f>
        <v/>
      </c>
      <c r="K177" s="121" t="str">
        <f>IF($F177="","",SUMIFS(Tree!$S:$S,Tree!$A:$A,'Pre-Harvest Plots_rpt'!$B177,Tree!$B:$B,'Pre-Harvest Plots_rpt'!$D177,Tree!$F:$F,"L"))</f>
        <v/>
      </c>
      <c r="L177" s="154" t="str">
        <f t="shared" si="16"/>
        <v/>
      </c>
      <c r="M177" s="135"/>
      <c r="N177" s="192" t="str">
        <f>IF(B177="","",SUMIFS(Tree!$AM:$AM,Tree!$A:$A,'Pre-Harvest Plots_rpt'!$B177,Tree!$B:$B,'Pre-Harvest Plots_rpt'!$D177,Tree!$F:$F,"L"))</f>
        <v/>
      </c>
      <c r="O177" s="122" t="str">
        <f>IF(B177="","",SUMIFS(Tree!$AN:$AN,Tree!$A:$A,'Pre-Harvest Plots_rpt'!$B177,Tree!$B:$B,'Pre-Harvest Plots_rpt'!$D177,Tree!$F:$F,"L"))</f>
        <v/>
      </c>
      <c r="P177" s="122" t="str">
        <f>IF(B177="","",SUMIFS(Tree!$AO:$AO,Tree!$A:$A,'Pre-Harvest Plots_rpt'!$B177,Tree!$B:$B,'Pre-Harvest Plots_rpt'!$D177,Tree!$F:$F,"L"))</f>
        <v/>
      </c>
      <c r="Q177" s="122" t="str">
        <f>IF(B177="","",SUMIFS(Tree!$AP:$AP,Tree!$A:$A,'Pre-Harvest Plots_rpt'!$B177,Tree!$B:$B,'Pre-Harvest Plots_rpt'!$D177,Tree!$F:$F,"L"))</f>
        <v/>
      </c>
      <c r="R177" s="123" t="str">
        <f>IF(B177="","",SUMIFS(Tree!$AQ:$AQ,Tree!$A:$A,'Pre-Harvest Plots_rpt'!$B177,Tree!$B:$B,'Pre-Harvest Plots_rpt'!$D177,Tree!$F:$F,"L"))</f>
        <v/>
      </c>
      <c r="S177" s="122" t="str">
        <f>IF(B177="","",SUMIFS(Tree!$AJ:$AJ,Tree!$A:$A,'Pre-Harvest Plots_rpt'!$B177,Tree!$B:$B,'Pre-Harvest Plots_rpt'!$D177,Tree!$F:$F,"L")-O177)</f>
        <v/>
      </c>
      <c r="T177" s="122" t="str">
        <f>IF(B177="","",SUMIFS(Tree!$AK:$AK,Tree!$A:$A,'Pre-Harvest Plots_rpt'!$B177,Tree!$B:$B,'Pre-Harvest Plots_rpt'!$D177,Tree!$F:$F,"L")-P177)</f>
        <v/>
      </c>
      <c r="U177" s="122" t="str">
        <f>IF(B177="","",SUMIFS(Tree!$AL:$AL,Tree!$A:$A,'Pre-Harvest Plots_rpt'!$B177,Tree!$B:$B,'Pre-Harvest Plots_rpt'!$D177,Tree!$F:$F,"L")-Q177)</f>
        <v/>
      </c>
      <c r="V177" s="123" t="str">
        <f>IF(B177="","",ROUND(SUMIFS(Tree!$AE:$AE,Tree!$A:$A,'Pre-Harvest Plots_rpt'!$B177,Tree!$B:$B,'Pre-Harvest Plots_rpt'!$D177,Tree!$F:$F,"L")-R177,1))</f>
        <v/>
      </c>
      <c r="W177" s="124" t="str">
        <f>IF(B177="","",SUMIFS(Tree!$AY:$AY,Tree!$A:$A,'Pre-Harvest Plots_rpt'!$B177,Tree!$B:$B,'Pre-Harvest Plots_rpt'!$D177,Tree!$F:$F,"L")/1000)</f>
        <v/>
      </c>
      <c r="X177" s="158" t="str">
        <f>IF(B177="","",ROUND((SUMIFS(Tree!$AW:$AW,Tree!$A:$A,'Pre-Harvest Plots_rpt'!$B177,Tree!$B:$B,'Pre-Harvest Plots_rpt'!$D177,Tree!$F:$F,"L")/1000)-W177,1))</f>
        <v/>
      </c>
      <c r="Y177" s="135"/>
      <c r="Z177" s="161" t="str">
        <f>IF(IF(B177="","",SUMIFS(Tree!$O:$O,Tree!$A:$A,'Pre-Harvest Plots_rpt'!$B177,Tree!$B:$B,'Pre-Harvest Plots_rpt'!$D177,Tree!$F:$F,"D"))=0,"",IF(B177="","",SUMIFS(Tree!$O:$O,Tree!$A:$A,'Pre-Harvest Plots_rpt'!$B177,Tree!$B:$B,'Pre-Harvest Plots_rpt'!$D177,Tree!$F:$F,"D")))</f>
        <v/>
      </c>
      <c r="AA177" s="125" t="str">
        <f t="shared" si="14"/>
        <v/>
      </c>
      <c r="AB177" s="125" t="str">
        <f>IF(Z177="","",SUMIFS(Tree!$R:$R,Tree!$A:$A,'Pre-Harvest Plots_rpt'!$B177,Tree!$B:$B,'Pre-Harvest Plots_rpt'!$D177,Tree!$F:$F,"D"))</f>
        <v/>
      </c>
      <c r="AC177" s="126" t="str">
        <f>IF(Z177="","",SUMIFS(Tree!$AM:$AM,Tree!$A:$A,'Pre-Harvest Plots_rpt'!$B177,Tree!$B:$B,'Pre-Harvest Plots_rpt'!$D177,Tree!$F:$F,"D"))</f>
        <v/>
      </c>
      <c r="AD177" s="162" t="str">
        <f>IF(Z177="","",SUMIFS(Tree!$AW:$AW,Tree!$A:$A,'Pre-Harvest Plots_rpt'!$B177,Tree!$B:$B,'Pre-Harvest Plots_rpt'!$D177,Tree!$F:$F,"D")/1000)</f>
        <v/>
      </c>
      <c r="AE177" s="47"/>
      <c r="AF177" s="4"/>
      <c r="AG177" s="4"/>
      <c r="AH177" s="4"/>
    </row>
    <row r="178" spans="1:34" ht="12.75" customHeight="1" x14ac:dyDescent="0.25">
      <c r="A178" s="48">
        <v>175</v>
      </c>
      <c r="B178" s="171" t="str">
        <f>IF(A178&lt;=SUM(Stand!$H$3:$H$29),VLOOKUP(A178,Stand!$A$3:$C$29,3,TRUE),"")</f>
        <v/>
      </c>
      <c r="C178" s="172" t="str">
        <f t="shared" si="17"/>
        <v/>
      </c>
      <c r="D178" s="173" t="str">
        <f>IF(B178="","",VLOOKUP(B178&amp;C178,Plot!$B$2:$D$199,3,FALSE))</f>
        <v/>
      </c>
      <c r="E178" s="130"/>
      <c r="F178" s="152" t="str">
        <f>IF(B178="","",SUMIFS(Tree!$O:$O,Tree!$A:$A,'Pre-Harvest Plots_rpt'!$B178,Tree!$B:$B,'Pre-Harvest Plots_rpt'!$D178,Tree!$F:$F,"L"))</f>
        <v/>
      </c>
      <c r="G178" s="153" t="str">
        <f>IFERROR(IF(D178="","",SUMIFS(Tree!$P:$P,Tree!$A:$A,'Pre-Harvest Plots_rpt'!$B178,Tree!$B:$B,'Pre-Harvest Plots_rpt'!$D178)/$F178),"")</f>
        <v/>
      </c>
      <c r="H178" s="122" t="str">
        <f t="shared" si="15"/>
        <v/>
      </c>
      <c r="I178" s="121" t="str">
        <f>IF(OR($F178=0,$F178=""),"",SUMIFS(Tree!$R:$R,Tree!$A:$A,'Pre-Harvest Plots_rpt'!$B178,Tree!$B:$B,'Pre-Harvest Plots_rpt'!$D178,Tree!$F:$F,"L"))</f>
        <v/>
      </c>
      <c r="J178" s="121" t="str">
        <f>IF(OR($F178=0,$F178=""),"",IF(SUMIFS(Tree!$W:$W,Tree!$A:$A,'Pre-Harvest Plots_rpt'!$B178,Tree!$B:$B,'Pre-Harvest Plots_rpt'!$D178,Tree!$F:$F,"L")=0,0,AVERAGEIFS(Tree!$W:$W,Tree!$A:$A,'Pre-Harvest Plots_rpt'!$B178,Tree!$B:$B,'Pre-Harvest Plots_rpt'!$D178,Tree!$F:$F,"L")))</f>
        <v/>
      </c>
      <c r="K178" s="121" t="str">
        <f>IF($F178="","",SUMIFS(Tree!$S:$S,Tree!$A:$A,'Pre-Harvest Plots_rpt'!$B178,Tree!$B:$B,'Pre-Harvest Plots_rpt'!$D178,Tree!$F:$F,"L"))</f>
        <v/>
      </c>
      <c r="L178" s="154" t="str">
        <f t="shared" si="16"/>
        <v/>
      </c>
      <c r="M178" s="135"/>
      <c r="N178" s="192" t="str">
        <f>IF(B178="","",SUMIFS(Tree!$AM:$AM,Tree!$A:$A,'Pre-Harvest Plots_rpt'!$B178,Tree!$B:$B,'Pre-Harvest Plots_rpt'!$D178,Tree!$F:$F,"L"))</f>
        <v/>
      </c>
      <c r="O178" s="122" t="str">
        <f>IF(B178="","",SUMIFS(Tree!$AN:$AN,Tree!$A:$A,'Pre-Harvest Plots_rpt'!$B178,Tree!$B:$B,'Pre-Harvest Plots_rpt'!$D178,Tree!$F:$F,"L"))</f>
        <v/>
      </c>
      <c r="P178" s="122" t="str">
        <f>IF(B178="","",SUMIFS(Tree!$AO:$AO,Tree!$A:$A,'Pre-Harvest Plots_rpt'!$B178,Tree!$B:$B,'Pre-Harvest Plots_rpt'!$D178,Tree!$F:$F,"L"))</f>
        <v/>
      </c>
      <c r="Q178" s="122" t="str">
        <f>IF(B178="","",SUMIFS(Tree!$AP:$AP,Tree!$A:$A,'Pre-Harvest Plots_rpt'!$B178,Tree!$B:$B,'Pre-Harvest Plots_rpt'!$D178,Tree!$F:$F,"L"))</f>
        <v/>
      </c>
      <c r="R178" s="123" t="str">
        <f>IF(B178="","",SUMIFS(Tree!$AQ:$AQ,Tree!$A:$A,'Pre-Harvest Plots_rpt'!$B178,Tree!$B:$B,'Pre-Harvest Plots_rpt'!$D178,Tree!$F:$F,"L"))</f>
        <v/>
      </c>
      <c r="S178" s="122" t="str">
        <f>IF(B178="","",SUMIFS(Tree!$AJ:$AJ,Tree!$A:$A,'Pre-Harvest Plots_rpt'!$B178,Tree!$B:$B,'Pre-Harvest Plots_rpt'!$D178,Tree!$F:$F,"L")-O178)</f>
        <v/>
      </c>
      <c r="T178" s="122" t="str">
        <f>IF(B178="","",SUMIFS(Tree!$AK:$AK,Tree!$A:$A,'Pre-Harvest Plots_rpt'!$B178,Tree!$B:$B,'Pre-Harvest Plots_rpt'!$D178,Tree!$F:$F,"L")-P178)</f>
        <v/>
      </c>
      <c r="U178" s="122" t="str">
        <f>IF(B178="","",SUMIFS(Tree!$AL:$AL,Tree!$A:$A,'Pre-Harvest Plots_rpt'!$B178,Tree!$B:$B,'Pre-Harvest Plots_rpt'!$D178,Tree!$F:$F,"L")-Q178)</f>
        <v/>
      </c>
      <c r="V178" s="123" t="str">
        <f>IF(B178="","",ROUND(SUMIFS(Tree!$AE:$AE,Tree!$A:$A,'Pre-Harvest Plots_rpt'!$B178,Tree!$B:$B,'Pre-Harvest Plots_rpt'!$D178,Tree!$F:$F,"L")-R178,1))</f>
        <v/>
      </c>
      <c r="W178" s="124" t="str">
        <f>IF(B178="","",SUMIFS(Tree!$AY:$AY,Tree!$A:$A,'Pre-Harvest Plots_rpt'!$B178,Tree!$B:$B,'Pre-Harvest Plots_rpt'!$D178,Tree!$F:$F,"L")/1000)</f>
        <v/>
      </c>
      <c r="X178" s="158" t="str">
        <f>IF(B178="","",ROUND((SUMIFS(Tree!$AW:$AW,Tree!$A:$A,'Pre-Harvest Plots_rpt'!$B178,Tree!$B:$B,'Pre-Harvest Plots_rpt'!$D178,Tree!$F:$F,"L")/1000)-W178,1))</f>
        <v/>
      </c>
      <c r="Y178" s="135"/>
      <c r="Z178" s="161" t="str">
        <f>IF(IF(B178="","",SUMIFS(Tree!$O:$O,Tree!$A:$A,'Pre-Harvest Plots_rpt'!$B178,Tree!$B:$B,'Pre-Harvest Plots_rpt'!$D178,Tree!$F:$F,"D"))=0,"",IF(B178="","",SUMIFS(Tree!$O:$O,Tree!$A:$A,'Pre-Harvest Plots_rpt'!$B178,Tree!$B:$B,'Pre-Harvest Plots_rpt'!$D178,Tree!$F:$F,"D")))</f>
        <v/>
      </c>
      <c r="AA178" s="125" t="str">
        <f t="shared" si="14"/>
        <v/>
      </c>
      <c r="AB178" s="125" t="str">
        <f>IF(Z178="","",SUMIFS(Tree!$R:$R,Tree!$A:$A,'Pre-Harvest Plots_rpt'!$B178,Tree!$B:$B,'Pre-Harvest Plots_rpt'!$D178,Tree!$F:$F,"D"))</f>
        <v/>
      </c>
      <c r="AC178" s="126" t="str">
        <f>IF(Z178="","",SUMIFS(Tree!$AM:$AM,Tree!$A:$A,'Pre-Harvest Plots_rpt'!$B178,Tree!$B:$B,'Pre-Harvest Plots_rpt'!$D178,Tree!$F:$F,"D"))</f>
        <v/>
      </c>
      <c r="AD178" s="162" t="str">
        <f>IF(Z178="","",SUMIFS(Tree!$AW:$AW,Tree!$A:$A,'Pre-Harvest Plots_rpt'!$B178,Tree!$B:$B,'Pre-Harvest Plots_rpt'!$D178,Tree!$F:$F,"D")/1000)</f>
        <v/>
      </c>
      <c r="AE178" s="47"/>
      <c r="AF178" s="4"/>
      <c r="AG178" s="4"/>
      <c r="AH178" s="4"/>
    </row>
    <row r="179" spans="1:34" ht="12.75" customHeight="1" x14ac:dyDescent="0.25">
      <c r="A179" s="48">
        <v>176</v>
      </c>
      <c r="B179" s="171" t="str">
        <f>IF(A179&lt;=SUM(Stand!$H$3:$H$29),VLOOKUP(A179,Stand!$A$3:$C$29,3,TRUE),"")</f>
        <v/>
      </c>
      <c r="C179" s="172" t="str">
        <f t="shared" si="17"/>
        <v/>
      </c>
      <c r="D179" s="173" t="str">
        <f>IF(B179="","",VLOOKUP(B179&amp;C179,Plot!$B$2:$D$199,3,FALSE))</f>
        <v/>
      </c>
      <c r="E179" s="130"/>
      <c r="F179" s="152" t="str">
        <f>IF(B179="","",SUMIFS(Tree!$O:$O,Tree!$A:$A,'Pre-Harvest Plots_rpt'!$B179,Tree!$B:$B,'Pre-Harvest Plots_rpt'!$D179,Tree!$F:$F,"L"))</f>
        <v/>
      </c>
      <c r="G179" s="153" t="str">
        <f>IFERROR(IF(D179="","",SUMIFS(Tree!$P:$P,Tree!$A:$A,'Pre-Harvest Plots_rpt'!$B179,Tree!$B:$B,'Pre-Harvest Plots_rpt'!$D179)/$F179),"")</f>
        <v/>
      </c>
      <c r="H179" s="122" t="str">
        <f t="shared" si="15"/>
        <v/>
      </c>
      <c r="I179" s="121" t="str">
        <f>IF(OR($F179=0,$F179=""),"",SUMIFS(Tree!$R:$R,Tree!$A:$A,'Pre-Harvest Plots_rpt'!$B179,Tree!$B:$B,'Pre-Harvest Plots_rpt'!$D179,Tree!$F:$F,"L"))</f>
        <v/>
      </c>
      <c r="J179" s="121" t="str">
        <f>IF(OR($F179=0,$F179=""),"",IF(SUMIFS(Tree!$W:$W,Tree!$A:$A,'Pre-Harvest Plots_rpt'!$B179,Tree!$B:$B,'Pre-Harvest Plots_rpt'!$D179,Tree!$F:$F,"L")=0,0,AVERAGEIFS(Tree!$W:$W,Tree!$A:$A,'Pre-Harvest Plots_rpt'!$B179,Tree!$B:$B,'Pre-Harvest Plots_rpt'!$D179,Tree!$F:$F,"L")))</f>
        <v/>
      </c>
      <c r="K179" s="121" t="str">
        <f>IF($F179="","",SUMIFS(Tree!$S:$S,Tree!$A:$A,'Pre-Harvest Plots_rpt'!$B179,Tree!$B:$B,'Pre-Harvest Plots_rpt'!$D179,Tree!$F:$F,"L"))</f>
        <v/>
      </c>
      <c r="L179" s="154" t="str">
        <f t="shared" si="16"/>
        <v/>
      </c>
      <c r="M179" s="135"/>
      <c r="N179" s="192" t="str">
        <f>IF(B179="","",SUMIFS(Tree!$AM:$AM,Tree!$A:$A,'Pre-Harvest Plots_rpt'!$B179,Tree!$B:$B,'Pre-Harvest Plots_rpt'!$D179,Tree!$F:$F,"L"))</f>
        <v/>
      </c>
      <c r="O179" s="122" t="str">
        <f>IF(B179="","",SUMIFS(Tree!$AN:$AN,Tree!$A:$A,'Pre-Harvest Plots_rpt'!$B179,Tree!$B:$B,'Pre-Harvest Plots_rpt'!$D179,Tree!$F:$F,"L"))</f>
        <v/>
      </c>
      <c r="P179" s="122" t="str">
        <f>IF(B179="","",SUMIFS(Tree!$AO:$AO,Tree!$A:$A,'Pre-Harvest Plots_rpt'!$B179,Tree!$B:$B,'Pre-Harvest Plots_rpt'!$D179,Tree!$F:$F,"L"))</f>
        <v/>
      </c>
      <c r="Q179" s="122" t="str">
        <f>IF(B179="","",SUMIFS(Tree!$AP:$AP,Tree!$A:$A,'Pre-Harvest Plots_rpt'!$B179,Tree!$B:$B,'Pre-Harvest Plots_rpt'!$D179,Tree!$F:$F,"L"))</f>
        <v/>
      </c>
      <c r="R179" s="123" t="str">
        <f>IF(B179="","",SUMIFS(Tree!$AQ:$AQ,Tree!$A:$A,'Pre-Harvest Plots_rpt'!$B179,Tree!$B:$B,'Pre-Harvest Plots_rpt'!$D179,Tree!$F:$F,"L"))</f>
        <v/>
      </c>
      <c r="S179" s="122" t="str">
        <f>IF(B179="","",SUMIFS(Tree!$AJ:$AJ,Tree!$A:$A,'Pre-Harvest Plots_rpt'!$B179,Tree!$B:$B,'Pre-Harvest Plots_rpt'!$D179,Tree!$F:$F,"L")-O179)</f>
        <v/>
      </c>
      <c r="T179" s="122" t="str">
        <f>IF(B179="","",SUMIFS(Tree!$AK:$AK,Tree!$A:$A,'Pre-Harvest Plots_rpt'!$B179,Tree!$B:$B,'Pre-Harvest Plots_rpt'!$D179,Tree!$F:$F,"L")-P179)</f>
        <v/>
      </c>
      <c r="U179" s="122" t="str">
        <f>IF(B179="","",SUMIFS(Tree!$AL:$AL,Tree!$A:$A,'Pre-Harvest Plots_rpt'!$B179,Tree!$B:$B,'Pre-Harvest Plots_rpt'!$D179,Tree!$F:$F,"L")-Q179)</f>
        <v/>
      </c>
      <c r="V179" s="123" t="str">
        <f>IF(B179="","",ROUND(SUMIFS(Tree!$AE:$AE,Tree!$A:$A,'Pre-Harvest Plots_rpt'!$B179,Tree!$B:$B,'Pre-Harvest Plots_rpt'!$D179,Tree!$F:$F,"L")-R179,1))</f>
        <v/>
      </c>
      <c r="W179" s="124" t="str">
        <f>IF(B179="","",SUMIFS(Tree!$AY:$AY,Tree!$A:$A,'Pre-Harvest Plots_rpt'!$B179,Tree!$B:$B,'Pre-Harvest Plots_rpt'!$D179,Tree!$F:$F,"L")/1000)</f>
        <v/>
      </c>
      <c r="X179" s="158" t="str">
        <f>IF(B179="","",ROUND((SUMIFS(Tree!$AW:$AW,Tree!$A:$A,'Pre-Harvest Plots_rpt'!$B179,Tree!$B:$B,'Pre-Harvest Plots_rpt'!$D179,Tree!$F:$F,"L")/1000)-W179,1))</f>
        <v/>
      </c>
      <c r="Y179" s="135"/>
      <c r="Z179" s="161" t="str">
        <f>IF(IF(B179="","",SUMIFS(Tree!$O:$O,Tree!$A:$A,'Pre-Harvest Plots_rpt'!$B179,Tree!$B:$B,'Pre-Harvest Plots_rpt'!$D179,Tree!$F:$F,"D"))=0,"",IF(B179="","",SUMIFS(Tree!$O:$O,Tree!$A:$A,'Pre-Harvest Plots_rpt'!$B179,Tree!$B:$B,'Pre-Harvest Plots_rpt'!$D179,Tree!$F:$F,"D")))</f>
        <v/>
      </c>
      <c r="AA179" s="125" t="str">
        <f t="shared" si="14"/>
        <v/>
      </c>
      <c r="AB179" s="125" t="str">
        <f>IF(Z179="","",SUMIFS(Tree!$R:$R,Tree!$A:$A,'Pre-Harvest Plots_rpt'!$B179,Tree!$B:$B,'Pre-Harvest Plots_rpt'!$D179,Tree!$F:$F,"D"))</f>
        <v/>
      </c>
      <c r="AC179" s="126" t="str">
        <f>IF(Z179="","",SUMIFS(Tree!$AM:$AM,Tree!$A:$A,'Pre-Harvest Plots_rpt'!$B179,Tree!$B:$B,'Pre-Harvest Plots_rpt'!$D179,Tree!$F:$F,"D"))</f>
        <v/>
      </c>
      <c r="AD179" s="162" t="str">
        <f>IF(Z179="","",SUMIFS(Tree!$AW:$AW,Tree!$A:$A,'Pre-Harvest Plots_rpt'!$B179,Tree!$B:$B,'Pre-Harvest Plots_rpt'!$D179,Tree!$F:$F,"D")/1000)</f>
        <v/>
      </c>
      <c r="AE179" s="47"/>
      <c r="AF179" s="4"/>
      <c r="AG179" s="4"/>
      <c r="AH179" s="4"/>
    </row>
    <row r="180" spans="1:34" ht="12.75" customHeight="1" x14ac:dyDescent="0.25">
      <c r="A180" s="48">
        <v>177</v>
      </c>
      <c r="B180" s="171" t="str">
        <f>IF(A180&lt;=SUM(Stand!$H$3:$H$29),VLOOKUP(A180,Stand!$A$3:$C$29,3,TRUE),"")</f>
        <v/>
      </c>
      <c r="C180" s="172" t="str">
        <f t="shared" si="17"/>
        <v/>
      </c>
      <c r="D180" s="173" t="str">
        <f>IF(B180="","",VLOOKUP(B180&amp;C180,Plot!$B$2:$D$199,3,FALSE))</f>
        <v/>
      </c>
      <c r="E180" s="130"/>
      <c r="F180" s="152" t="str">
        <f>IF(B180="","",SUMIFS(Tree!$O:$O,Tree!$A:$A,'Pre-Harvest Plots_rpt'!$B180,Tree!$B:$B,'Pre-Harvest Plots_rpt'!$D180,Tree!$F:$F,"L"))</f>
        <v/>
      </c>
      <c r="G180" s="153" t="str">
        <f>IFERROR(IF(D180="","",SUMIFS(Tree!$P:$P,Tree!$A:$A,'Pre-Harvest Plots_rpt'!$B180,Tree!$B:$B,'Pre-Harvest Plots_rpt'!$D180)/$F180),"")</f>
        <v/>
      </c>
      <c r="H180" s="122" t="str">
        <f t="shared" si="15"/>
        <v/>
      </c>
      <c r="I180" s="121" t="str">
        <f>IF(OR($F180=0,$F180=""),"",SUMIFS(Tree!$R:$R,Tree!$A:$A,'Pre-Harvest Plots_rpt'!$B180,Tree!$B:$B,'Pre-Harvest Plots_rpt'!$D180,Tree!$F:$F,"L"))</f>
        <v/>
      </c>
      <c r="J180" s="121" t="str">
        <f>IF(OR($F180=0,$F180=""),"",IF(SUMIFS(Tree!$W:$W,Tree!$A:$A,'Pre-Harvest Plots_rpt'!$B180,Tree!$B:$B,'Pre-Harvest Plots_rpt'!$D180,Tree!$F:$F,"L")=0,0,AVERAGEIFS(Tree!$W:$W,Tree!$A:$A,'Pre-Harvest Plots_rpt'!$B180,Tree!$B:$B,'Pre-Harvest Plots_rpt'!$D180,Tree!$F:$F,"L")))</f>
        <v/>
      </c>
      <c r="K180" s="121" t="str">
        <f>IF($F180="","",SUMIFS(Tree!$S:$S,Tree!$A:$A,'Pre-Harvest Plots_rpt'!$B180,Tree!$B:$B,'Pre-Harvest Plots_rpt'!$D180,Tree!$F:$F,"L"))</f>
        <v/>
      </c>
      <c r="L180" s="154" t="str">
        <f t="shared" si="16"/>
        <v/>
      </c>
      <c r="M180" s="135"/>
      <c r="N180" s="192" t="str">
        <f>IF(B180="","",SUMIFS(Tree!$AM:$AM,Tree!$A:$A,'Pre-Harvest Plots_rpt'!$B180,Tree!$B:$B,'Pre-Harvest Plots_rpt'!$D180,Tree!$F:$F,"L"))</f>
        <v/>
      </c>
      <c r="O180" s="122" t="str">
        <f>IF(B180="","",SUMIFS(Tree!$AN:$AN,Tree!$A:$A,'Pre-Harvest Plots_rpt'!$B180,Tree!$B:$B,'Pre-Harvest Plots_rpt'!$D180,Tree!$F:$F,"L"))</f>
        <v/>
      </c>
      <c r="P180" s="122" t="str">
        <f>IF(B180="","",SUMIFS(Tree!$AO:$AO,Tree!$A:$A,'Pre-Harvest Plots_rpt'!$B180,Tree!$B:$B,'Pre-Harvest Plots_rpt'!$D180,Tree!$F:$F,"L"))</f>
        <v/>
      </c>
      <c r="Q180" s="122" t="str">
        <f>IF(B180="","",SUMIFS(Tree!$AP:$AP,Tree!$A:$A,'Pre-Harvest Plots_rpt'!$B180,Tree!$B:$B,'Pre-Harvest Plots_rpt'!$D180,Tree!$F:$F,"L"))</f>
        <v/>
      </c>
      <c r="R180" s="123" t="str">
        <f>IF(B180="","",SUMIFS(Tree!$AQ:$AQ,Tree!$A:$A,'Pre-Harvest Plots_rpt'!$B180,Tree!$B:$B,'Pre-Harvest Plots_rpt'!$D180,Tree!$F:$F,"L"))</f>
        <v/>
      </c>
      <c r="S180" s="122" t="str">
        <f>IF(B180="","",SUMIFS(Tree!$AJ:$AJ,Tree!$A:$A,'Pre-Harvest Plots_rpt'!$B180,Tree!$B:$B,'Pre-Harvest Plots_rpt'!$D180,Tree!$F:$F,"L")-O180)</f>
        <v/>
      </c>
      <c r="T180" s="122" t="str">
        <f>IF(B180="","",SUMIFS(Tree!$AK:$AK,Tree!$A:$A,'Pre-Harvest Plots_rpt'!$B180,Tree!$B:$B,'Pre-Harvest Plots_rpt'!$D180,Tree!$F:$F,"L")-P180)</f>
        <v/>
      </c>
      <c r="U180" s="122" t="str">
        <f>IF(B180="","",SUMIFS(Tree!$AL:$AL,Tree!$A:$A,'Pre-Harvest Plots_rpt'!$B180,Tree!$B:$B,'Pre-Harvest Plots_rpt'!$D180,Tree!$F:$F,"L")-Q180)</f>
        <v/>
      </c>
      <c r="V180" s="123" t="str">
        <f>IF(B180="","",ROUND(SUMIFS(Tree!$AE:$AE,Tree!$A:$A,'Pre-Harvest Plots_rpt'!$B180,Tree!$B:$B,'Pre-Harvest Plots_rpt'!$D180,Tree!$F:$F,"L")-R180,1))</f>
        <v/>
      </c>
      <c r="W180" s="124" t="str">
        <f>IF(B180="","",SUMIFS(Tree!$AY:$AY,Tree!$A:$A,'Pre-Harvest Plots_rpt'!$B180,Tree!$B:$B,'Pre-Harvest Plots_rpt'!$D180,Tree!$F:$F,"L")/1000)</f>
        <v/>
      </c>
      <c r="X180" s="158" t="str">
        <f>IF(B180="","",ROUND((SUMIFS(Tree!$AW:$AW,Tree!$A:$A,'Pre-Harvest Plots_rpt'!$B180,Tree!$B:$B,'Pre-Harvest Plots_rpt'!$D180,Tree!$F:$F,"L")/1000)-W180,1))</f>
        <v/>
      </c>
      <c r="Y180" s="135"/>
      <c r="Z180" s="161" t="str">
        <f>IF(IF(B180="","",SUMIFS(Tree!$O:$O,Tree!$A:$A,'Pre-Harvest Plots_rpt'!$B180,Tree!$B:$B,'Pre-Harvest Plots_rpt'!$D180,Tree!$F:$F,"D"))=0,"",IF(B180="","",SUMIFS(Tree!$O:$O,Tree!$A:$A,'Pre-Harvest Plots_rpt'!$B180,Tree!$B:$B,'Pre-Harvest Plots_rpt'!$D180,Tree!$F:$F,"D")))</f>
        <v/>
      </c>
      <c r="AA180" s="125" t="str">
        <f t="shared" si="14"/>
        <v/>
      </c>
      <c r="AB180" s="125" t="str">
        <f>IF(Z180="","",SUMIFS(Tree!$R:$R,Tree!$A:$A,'Pre-Harvest Plots_rpt'!$B180,Tree!$B:$B,'Pre-Harvest Plots_rpt'!$D180,Tree!$F:$F,"D"))</f>
        <v/>
      </c>
      <c r="AC180" s="126" t="str">
        <f>IF(Z180="","",SUMIFS(Tree!$AM:$AM,Tree!$A:$A,'Pre-Harvest Plots_rpt'!$B180,Tree!$B:$B,'Pre-Harvest Plots_rpt'!$D180,Tree!$F:$F,"D"))</f>
        <v/>
      </c>
      <c r="AD180" s="162" t="str">
        <f>IF(Z180="","",SUMIFS(Tree!$AW:$AW,Tree!$A:$A,'Pre-Harvest Plots_rpt'!$B180,Tree!$B:$B,'Pre-Harvest Plots_rpt'!$D180,Tree!$F:$F,"D")/1000)</f>
        <v/>
      </c>
      <c r="AE180" s="47"/>
      <c r="AF180" s="4"/>
      <c r="AG180" s="4"/>
      <c r="AH180" s="4"/>
    </row>
    <row r="181" spans="1:34" ht="12.75" customHeight="1" x14ac:dyDescent="0.25">
      <c r="A181" s="48">
        <v>178</v>
      </c>
      <c r="B181" s="171" t="str">
        <f>IF(A181&lt;=SUM(Stand!$H$3:$H$29),VLOOKUP(A181,Stand!$A$3:$C$29,3,TRUE),"")</f>
        <v/>
      </c>
      <c r="C181" s="172" t="str">
        <f t="shared" si="17"/>
        <v/>
      </c>
      <c r="D181" s="173" t="str">
        <f>IF(B181="","",VLOOKUP(B181&amp;C181,Plot!$B$2:$D$199,3,FALSE))</f>
        <v/>
      </c>
      <c r="E181" s="130"/>
      <c r="F181" s="152" t="str">
        <f>IF(B181="","",SUMIFS(Tree!$O:$O,Tree!$A:$A,'Pre-Harvest Plots_rpt'!$B181,Tree!$B:$B,'Pre-Harvest Plots_rpt'!$D181,Tree!$F:$F,"L"))</f>
        <v/>
      </c>
      <c r="G181" s="153" t="str">
        <f>IFERROR(IF(D181="","",SUMIFS(Tree!$P:$P,Tree!$A:$A,'Pre-Harvest Plots_rpt'!$B181,Tree!$B:$B,'Pre-Harvest Plots_rpt'!$D181)/$F181),"")</f>
        <v/>
      </c>
      <c r="H181" s="122" t="str">
        <f t="shared" si="15"/>
        <v/>
      </c>
      <c r="I181" s="121" t="str">
        <f>IF(OR($F181=0,$F181=""),"",SUMIFS(Tree!$R:$R,Tree!$A:$A,'Pre-Harvest Plots_rpt'!$B181,Tree!$B:$B,'Pre-Harvest Plots_rpt'!$D181,Tree!$F:$F,"L"))</f>
        <v/>
      </c>
      <c r="J181" s="121" t="str">
        <f>IF(OR($F181=0,$F181=""),"",IF(SUMIFS(Tree!$W:$W,Tree!$A:$A,'Pre-Harvest Plots_rpt'!$B181,Tree!$B:$B,'Pre-Harvest Plots_rpt'!$D181,Tree!$F:$F,"L")=0,0,AVERAGEIFS(Tree!$W:$W,Tree!$A:$A,'Pre-Harvest Plots_rpt'!$B181,Tree!$B:$B,'Pre-Harvest Plots_rpt'!$D181,Tree!$F:$F,"L")))</f>
        <v/>
      </c>
      <c r="K181" s="121" t="str">
        <f>IF($F181="","",SUMIFS(Tree!$S:$S,Tree!$A:$A,'Pre-Harvest Plots_rpt'!$B181,Tree!$B:$B,'Pre-Harvest Plots_rpt'!$D181,Tree!$F:$F,"L"))</f>
        <v/>
      </c>
      <c r="L181" s="154" t="str">
        <f t="shared" si="16"/>
        <v/>
      </c>
      <c r="M181" s="135"/>
      <c r="N181" s="192" t="str">
        <f>IF(B181="","",SUMIFS(Tree!$AM:$AM,Tree!$A:$A,'Pre-Harvest Plots_rpt'!$B181,Tree!$B:$B,'Pre-Harvest Plots_rpt'!$D181,Tree!$F:$F,"L"))</f>
        <v/>
      </c>
      <c r="O181" s="122" t="str">
        <f>IF(B181="","",SUMIFS(Tree!$AN:$AN,Tree!$A:$A,'Pre-Harvest Plots_rpt'!$B181,Tree!$B:$B,'Pre-Harvest Plots_rpt'!$D181,Tree!$F:$F,"L"))</f>
        <v/>
      </c>
      <c r="P181" s="122" t="str">
        <f>IF(B181="","",SUMIFS(Tree!$AO:$AO,Tree!$A:$A,'Pre-Harvest Plots_rpt'!$B181,Tree!$B:$B,'Pre-Harvest Plots_rpt'!$D181,Tree!$F:$F,"L"))</f>
        <v/>
      </c>
      <c r="Q181" s="122" t="str">
        <f>IF(B181="","",SUMIFS(Tree!$AP:$AP,Tree!$A:$A,'Pre-Harvest Plots_rpt'!$B181,Tree!$B:$B,'Pre-Harvest Plots_rpt'!$D181,Tree!$F:$F,"L"))</f>
        <v/>
      </c>
      <c r="R181" s="123" t="str">
        <f>IF(B181="","",SUMIFS(Tree!$AQ:$AQ,Tree!$A:$A,'Pre-Harvest Plots_rpt'!$B181,Tree!$B:$B,'Pre-Harvest Plots_rpt'!$D181,Tree!$F:$F,"L"))</f>
        <v/>
      </c>
      <c r="S181" s="122" t="str">
        <f>IF(B181="","",SUMIFS(Tree!$AJ:$AJ,Tree!$A:$A,'Pre-Harvest Plots_rpt'!$B181,Tree!$B:$B,'Pre-Harvest Plots_rpt'!$D181,Tree!$F:$F,"L")-O181)</f>
        <v/>
      </c>
      <c r="T181" s="122" t="str">
        <f>IF(B181="","",SUMIFS(Tree!$AK:$AK,Tree!$A:$A,'Pre-Harvest Plots_rpt'!$B181,Tree!$B:$B,'Pre-Harvest Plots_rpt'!$D181,Tree!$F:$F,"L")-P181)</f>
        <v/>
      </c>
      <c r="U181" s="122" t="str">
        <f>IF(B181="","",SUMIFS(Tree!$AL:$AL,Tree!$A:$A,'Pre-Harvest Plots_rpt'!$B181,Tree!$B:$B,'Pre-Harvest Plots_rpt'!$D181,Tree!$F:$F,"L")-Q181)</f>
        <v/>
      </c>
      <c r="V181" s="123" t="str">
        <f>IF(B181="","",ROUND(SUMIFS(Tree!$AE:$AE,Tree!$A:$A,'Pre-Harvest Plots_rpt'!$B181,Tree!$B:$B,'Pre-Harvest Plots_rpt'!$D181,Tree!$F:$F,"L")-R181,1))</f>
        <v/>
      </c>
      <c r="W181" s="124" t="str">
        <f>IF(B181="","",SUMIFS(Tree!$AY:$AY,Tree!$A:$A,'Pre-Harvest Plots_rpt'!$B181,Tree!$B:$B,'Pre-Harvest Plots_rpt'!$D181,Tree!$F:$F,"L")/1000)</f>
        <v/>
      </c>
      <c r="X181" s="158" t="str">
        <f>IF(B181="","",ROUND((SUMIFS(Tree!$AW:$AW,Tree!$A:$A,'Pre-Harvest Plots_rpt'!$B181,Tree!$B:$B,'Pre-Harvest Plots_rpt'!$D181,Tree!$F:$F,"L")/1000)-W181,1))</f>
        <v/>
      </c>
      <c r="Y181" s="135"/>
      <c r="Z181" s="161" t="str">
        <f>IF(IF(B181="","",SUMIFS(Tree!$O:$O,Tree!$A:$A,'Pre-Harvest Plots_rpt'!$B181,Tree!$B:$B,'Pre-Harvest Plots_rpt'!$D181,Tree!$F:$F,"D"))=0,"",IF(B181="","",SUMIFS(Tree!$O:$O,Tree!$A:$A,'Pre-Harvest Plots_rpt'!$B181,Tree!$B:$B,'Pre-Harvest Plots_rpt'!$D181,Tree!$F:$F,"D")))</f>
        <v/>
      </c>
      <c r="AA181" s="125" t="str">
        <f t="shared" si="14"/>
        <v/>
      </c>
      <c r="AB181" s="125" t="str">
        <f>IF(Z181="","",SUMIFS(Tree!$R:$R,Tree!$A:$A,'Pre-Harvest Plots_rpt'!$B181,Tree!$B:$B,'Pre-Harvest Plots_rpt'!$D181,Tree!$F:$F,"D"))</f>
        <v/>
      </c>
      <c r="AC181" s="126" t="str">
        <f>IF(Z181="","",SUMIFS(Tree!$AM:$AM,Tree!$A:$A,'Pre-Harvest Plots_rpt'!$B181,Tree!$B:$B,'Pre-Harvest Plots_rpt'!$D181,Tree!$F:$F,"D"))</f>
        <v/>
      </c>
      <c r="AD181" s="162" t="str">
        <f>IF(Z181="","",SUMIFS(Tree!$AW:$AW,Tree!$A:$A,'Pre-Harvest Plots_rpt'!$B181,Tree!$B:$B,'Pre-Harvest Plots_rpt'!$D181,Tree!$F:$F,"D")/1000)</f>
        <v/>
      </c>
      <c r="AE181" s="47"/>
      <c r="AF181" s="4"/>
      <c r="AG181" s="4"/>
      <c r="AH181" s="4"/>
    </row>
    <row r="182" spans="1:34" ht="12.75" customHeight="1" x14ac:dyDescent="0.25">
      <c r="A182" s="48">
        <v>179</v>
      </c>
      <c r="B182" s="171" t="str">
        <f>IF(A182&lt;=SUM(Stand!$H$3:$H$29),VLOOKUP(A182,Stand!$A$3:$C$29,3,TRUE),"")</f>
        <v/>
      </c>
      <c r="C182" s="172" t="str">
        <f t="shared" si="17"/>
        <v/>
      </c>
      <c r="D182" s="173" t="str">
        <f>IF(B182="","",VLOOKUP(B182&amp;C182,Plot!$B$2:$D$199,3,FALSE))</f>
        <v/>
      </c>
      <c r="E182" s="130"/>
      <c r="F182" s="152" t="str">
        <f>IF(B182="","",SUMIFS(Tree!$O:$O,Tree!$A:$A,'Pre-Harvest Plots_rpt'!$B182,Tree!$B:$B,'Pre-Harvest Plots_rpt'!$D182,Tree!$F:$F,"L"))</f>
        <v/>
      </c>
      <c r="G182" s="153" t="str">
        <f>IFERROR(IF(D182="","",SUMIFS(Tree!$P:$P,Tree!$A:$A,'Pre-Harvest Plots_rpt'!$B182,Tree!$B:$B,'Pre-Harvest Plots_rpt'!$D182)/$F182),"")</f>
        <v/>
      </c>
      <c r="H182" s="122" t="str">
        <f t="shared" si="15"/>
        <v/>
      </c>
      <c r="I182" s="121" t="str">
        <f>IF(OR($F182=0,$F182=""),"",SUMIFS(Tree!$R:$R,Tree!$A:$A,'Pre-Harvest Plots_rpt'!$B182,Tree!$B:$B,'Pre-Harvest Plots_rpt'!$D182,Tree!$F:$F,"L"))</f>
        <v/>
      </c>
      <c r="J182" s="121" t="str">
        <f>IF(OR($F182=0,$F182=""),"",IF(SUMIFS(Tree!$W:$W,Tree!$A:$A,'Pre-Harvest Plots_rpt'!$B182,Tree!$B:$B,'Pre-Harvest Plots_rpt'!$D182,Tree!$F:$F,"L")=0,0,AVERAGEIFS(Tree!$W:$W,Tree!$A:$A,'Pre-Harvest Plots_rpt'!$B182,Tree!$B:$B,'Pre-Harvest Plots_rpt'!$D182,Tree!$F:$F,"L")))</f>
        <v/>
      </c>
      <c r="K182" s="121" t="str">
        <f>IF($F182="","",SUMIFS(Tree!$S:$S,Tree!$A:$A,'Pre-Harvest Plots_rpt'!$B182,Tree!$B:$B,'Pre-Harvest Plots_rpt'!$D182,Tree!$F:$F,"L"))</f>
        <v/>
      </c>
      <c r="L182" s="154" t="str">
        <f t="shared" si="16"/>
        <v/>
      </c>
      <c r="M182" s="135"/>
      <c r="N182" s="192" t="str">
        <f>IF(B182="","",SUMIFS(Tree!$AM:$AM,Tree!$A:$A,'Pre-Harvest Plots_rpt'!$B182,Tree!$B:$B,'Pre-Harvest Plots_rpt'!$D182,Tree!$F:$F,"L"))</f>
        <v/>
      </c>
      <c r="O182" s="122" t="str">
        <f>IF(B182="","",SUMIFS(Tree!$AN:$AN,Tree!$A:$A,'Pre-Harvest Plots_rpt'!$B182,Tree!$B:$B,'Pre-Harvest Plots_rpt'!$D182,Tree!$F:$F,"L"))</f>
        <v/>
      </c>
      <c r="P182" s="122" t="str">
        <f>IF(B182="","",SUMIFS(Tree!$AO:$AO,Tree!$A:$A,'Pre-Harvest Plots_rpt'!$B182,Tree!$B:$B,'Pre-Harvest Plots_rpt'!$D182,Tree!$F:$F,"L"))</f>
        <v/>
      </c>
      <c r="Q182" s="122" t="str">
        <f>IF(B182="","",SUMIFS(Tree!$AP:$AP,Tree!$A:$A,'Pre-Harvest Plots_rpt'!$B182,Tree!$B:$B,'Pre-Harvest Plots_rpt'!$D182,Tree!$F:$F,"L"))</f>
        <v/>
      </c>
      <c r="R182" s="123" t="str">
        <f>IF(B182="","",SUMIFS(Tree!$AQ:$AQ,Tree!$A:$A,'Pre-Harvest Plots_rpt'!$B182,Tree!$B:$B,'Pre-Harvest Plots_rpt'!$D182,Tree!$F:$F,"L"))</f>
        <v/>
      </c>
      <c r="S182" s="122" t="str">
        <f>IF(B182="","",SUMIFS(Tree!$AJ:$AJ,Tree!$A:$A,'Pre-Harvest Plots_rpt'!$B182,Tree!$B:$B,'Pre-Harvest Plots_rpt'!$D182,Tree!$F:$F,"L")-O182)</f>
        <v/>
      </c>
      <c r="T182" s="122" t="str">
        <f>IF(B182="","",SUMIFS(Tree!$AK:$AK,Tree!$A:$A,'Pre-Harvest Plots_rpt'!$B182,Tree!$B:$B,'Pre-Harvest Plots_rpt'!$D182,Tree!$F:$F,"L")-P182)</f>
        <v/>
      </c>
      <c r="U182" s="122" t="str">
        <f>IF(B182="","",SUMIFS(Tree!$AL:$AL,Tree!$A:$A,'Pre-Harvest Plots_rpt'!$B182,Tree!$B:$B,'Pre-Harvest Plots_rpt'!$D182,Tree!$F:$F,"L")-Q182)</f>
        <v/>
      </c>
      <c r="V182" s="123" t="str">
        <f>IF(B182="","",ROUND(SUMIFS(Tree!$AE:$AE,Tree!$A:$A,'Pre-Harvest Plots_rpt'!$B182,Tree!$B:$B,'Pre-Harvest Plots_rpt'!$D182,Tree!$F:$F,"L")-R182,1))</f>
        <v/>
      </c>
      <c r="W182" s="124" t="str">
        <f>IF(B182="","",SUMIFS(Tree!$AY:$AY,Tree!$A:$A,'Pre-Harvest Plots_rpt'!$B182,Tree!$B:$B,'Pre-Harvest Plots_rpt'!$D182,Tree!$F:$F,"L")/1000)</f>
        <v/>
      </c>
      <c r="X182" s="158" t="str">
        <f>IF(B182="","",ROUND((SUMIFS(Tree!$AW:$AW,Tree!$A:$A,'Pre-Harvest Plots_rpt'!$B182,Tree!$B:$B,'Pre-Harvest Plots_rpt'!$D182,Tree!$F:$F,"L")/1000)-W182,1))</f>
        <v/>
      </c>
      <c r="Y182" s="135"/>
      <c r="Z182" s="161" t="str">
        <f>IF(IF(B182="","",SUMIFS(Tree!$O:$O,Tree!$A:$A,'Pre-Harvest Plots_rpt'!$B182,Tree!$B:$B,'Pre-Harvest Plots_rpt'!$D182,Tree!$F:$F,"D"))=0,"",IF(B182="","",SUMIFS(Tree!$O:$O,Tree!$A:$A,'Pre-Harvest Plots_rpt'!$B182,Tree!$B:$B,'Pre-Harvest Plots_rpt'!$D182,Tree!$F:$F,"D")))</f>
        <v/>
      </c>
      <c r="AA182" s="125" t="str">
        <f t="shared" si="14"/>
        <v/>
      </c>
      <c r="AB182" s="125" t="str">
        <f>IF(Z182="","",SUMIFS(Tree!$R:$R,Tree!$A:$A,'Pre-Harvest Plots_rpt'!$B182,Tree!$B:$B,'Pre-Harvest Plots_rpt'!$D182,Tree!$F:$F,"D"))</f>
        <v/>
      </c>
      <c r="AC182" s="126" t="str">
        <f>IF(Z182="","",SUMIFS(Tree!$AM:$AM,Tree!$A:$A,'Pre-Harvest Plots_rpt'!$B182,Tree!$B:$B,'Pre-Harvest Plots_rpt'!$D182,Tree!$F:$F,"D"))</f>
        <v/>
      </c>
      <c r="AD182" s="162" t="str">
        <f>IF(Z182="","",SUMIFS(Tree!$AW:$AW,Tree!$A:$A,'Pre-Harvest Plots_rpt'!$B182,Tree!$B:$B,'Pre-Harvest Plots_rpt'!$D182,Tree!$F:$F,"D")/1000)</f>
        <v/>
      </c>
      <c r="AE182" s="47"/>
      <c r="AF182" s="4"/>
      <c r="AG182" s="4"/>
      <c r="AH182" s="4"/>
    </row>
    <row r="183" spans="1:34" ht="12.75" customHeight="1" x14ac:dyDescent="0.25">
      <c r="A183" s="48">
        <v>180</v>
      </c>
      <c r="B183" s="171" t="str">
        <f>IF(A183&lt;=SUM(Stand!$H$3:$H$29),VLOOKUP(A183,Stand!$A$3:$C$29,3,TRUE),"")</f>
        <v/>
      </c>
      <c r="C183" s="172" t="str">
        <f t="shared" si="17"/>
        <v/>
      </c>
      <c r="D183" s="173" t="str">
        <f>IF(B183="","",VLOOKUP(B183&amp;C183,Plot!$B$2:$D$199,3,FALSE))</f>
        <v/>
      </c>
      <c r="E183" s="130"/>
      <c r="F183" s="152" t="str">
        <f>IF(B183="","",SUMIFS(Tree!$O:$O,Tree!$A:$A,'Pre-Harvest Plots_rpt'!$B183,Tree!$B:$B,'Pre-Harvest Plots_rpt'!$D183,Tree!$F:$F,"L"))</f>
        <v/>
      </c>
      <c r="G183" s="153" t="str">
        <f>IFERROR(IF(D183="","",SUMIFS(Tree!$P:$P,Tree!$A:$A,'Pre-Harvest Plots_rpt'!$B183,Tree!$B:$B,'Pre-Harvest Plots_rpt'!$D183)/$F183),"")</f>
        <v/>
      </c>
      <c r="H183" s="122" t="str">
        <f t="shared" si="15"/>
        <v/>
      </c>
      <c r="I183" s="121" t="str">
        <f>IF(OR($F183=0,$F183=""),"",SUMIFS(Tree!$R:$R,Tree!$A:$A,'Pre-Harvest Plots_rpt'!$B183,Tree!$B:$B,'Pre-Harvest Plots_rpt'!$D183,Tree!$F:$F,"L"))</f>
        <v/>
      </c>
      <c r="J183" s="121" t="str">
        <f>IF(OR($F183=0,$F183=""),"",IF(SUMIFS(Tree!$W:$W,Tree!$A:$A,'Pre-Harvest Plots_rpt'!$B183,Tree!$B:$B,'Pre-Harvest Plots_rpt'!$D183,Tree!$F:$F,"L")=0,0,AVERAGEIFS(Tree!$W:$W,Tree!$A:$A,'Pre-Harvest Plots_rpt'!$B183,Tree!$B:$B,'Pre-Harvest Plots_rpt'!$D183,Tree!$F:$F,"L")))</f>
        <v/>
      </c>
      <c r="K183" s="121" t="str">
        <f>IF($F183="","",SUMIFS(Tree!$S:$S,Tree!$A:$A,'Pre-Harvest Plots_rpt'!$B183,Tree!$B:$B,'Pre-Harvest Plots_rpt'!$D183,Tree!$F:$F,"L"))</f>
        <v/>
      </c>
      <c r="L183" s="154" t="str">
        <f t="shared" si="16"/>
        <v/>
      </c>
      <c r="M183" s="135"/>
      <c r="N183" s="192" t="str">
        <f>IF(B183="","",SUMIFS(Tree!$AM:$AM,Tree!$A:$A,'Pre-Harvest Plots_rpt'!$B183,Tree!$B:$B,'Pre-Harvest Plots_rpt'!$D183,Tree!$F:$F,"L"))</f>
        <v/>
      </c>
      <c r="O183" s="122" t="str">
        <f>IF(B183="","",SUMIFS(Tree!$AN:$AN,Tree!$A:$A,'Pre-Harvest Plots_rpt'!$B183,Tree!$B:$B,'Pre-Harvest Plots_rpt'!$D183,Tree!$F:$F,"L"))</f>
        <v/>
      </c>
      <c r="P183" s="122" t="str">
        <f>IF(B183="","",SUMIFS(Tree!$AO:$AO,Tree!$A:$A,'Pre-Harvest Plots_rpt'!$B183,Tree!$B:$B,'Pre-Harvest Plots_rpt'!$D183,Tree!$F:$F,"L"))</f>
        <v/>
      </c>
      <c r="Q183" s="122" t="str">
        <f>IF(B183="","",SUMIFS(Tree!$AP:$AP,Tree!$A:$A,'Pre-Harvest Plots_rpt'!$B183,Tree!$B:$B,'Pre-Harvest Plots_rpt'!$D183,Tree!$F:$F,"L"))</f>
        <v/>
      </c>
      <c r="R183" s="123" t="str">
        <f>IF(B183="","",SUMIFS(Tree!$AQ:$AQ,Tree!$A:$A,'Pre-Harvest Plots_rpt'!$B183,Tree!$B:$B,'Pre-Harvest Plots_rpt'!$D183,Tree!$F:$F,"L"))</f>
        <v/>
      </c>
      <c r="S183" s="122" t="str">
        <f>IF(B183="","",SUMIFS(Tree!$AJ:$AJ,Tree!$A:$A,'Pre-Harvest Plots_rpt'!$B183,Tree!$B:$B,'Pre-Harvest Plots_rpt'!$D183,Tree!$F:$F,"L")-O183)</f>
        <v/>
      </c>
      <c r="T183" s="122" t="str">
        <f>IF(B183="","",SUMIFS(Tree!$AK:$AK,Tree!$A:$A,'Pre-Harvest Plots_rpt'!$B183,Tree!$B:$B,'Pre-Harvest Plots_rpt'!$D183,Tree!$F:$F,"L")-P183)</f>
        <v/>
      </c>
      <c r="U183" s="122" t="str">
        <f>IF(B183="","",SUMIFS(Tree!$AL:$AL,Tree!$A:$A,'Pre-Harvest Plots_rpt'!$B183,Tree!$B:$B,'Pre-Harvest Plots_rpt'!$D183,Tree!$F:$F,"L")-Q183)</f>
        <v/>
      </c>
      <c r="V183" s="123" t="str">
        <f>IF(B183="","",ROUND(SUMIFS(Tree!$AE:$AE,Tree!$A:$A,'Pre-Harvest Plots_rpt'!$B183,Tree!$B:$B,'Pre-Harvest Plots_rpt'!$D183,Tree!$F:$F,"L")-R183,1))</f>
        <v/>
      </c>
      <c r="W183" s="124" t="str">
        <f>IF(B183="","",SUMIFS(Tree!$AY:$AY,Tree!$A:$A,'Pre-Harvest Plots_rpt'!$B183,Tree!$B:$B,'Pre-Harvest Plots_rpt'!$D183,Tree!$F:$F,"L")/1000)</f>
        <v/>
      </c>
      <c r="X183" s="158" t="str">
        <f>IF(B183="","",ROUND((SUMIFS(Tree!$AW:$AW,Tree!$A:$A,'Pre-Harvest Plots_rpt'!$B183,Tree!$B:$B,'Pre-Harvest Plots_rpt'!$D183,Tree!$F:$F,"L")/1000)-W183,1))</f>
        <v/>
      </c>
      <c r="Y183" s="135"/>
      <c r="Z183" s="161" t="str">
        <f>IF(IF(B183="","",SUMIFS(Tree!$O:$O,Tree!$A:$A,'Pre-Harvest Plots_rpt'!$B183,Tree!$B:$B,'Pre-Harvest Plots_rpt'!$D183,Tree!$F:$F,"D"))=0,"",IF(B183="","",SUMIFS(Tree!$O:$O,Tree!$A:$A,'Pre-Harvest Plots_rpt'!$B183,Tree!$B:$B,'Pre-Harvest Plots_rpt'!$D183,Tree!$F:$F,"D")))</f>
        <v/>
      </c>
      <c r="AA183" s="125" t="str">
        <f t="shared" si="14"/>
        <v/>
      </c>
      <c r="AB183" s="125" t="str">
        <f>IF(Z183="","",SUMIFS(Tree!$R:$R,Tree!$A:$A,'Pre-Harvest Plots_rpt'!$B183,Tree!$B:$B,'Pre-Harvest Plots_rpt'!$D183,Tree!$F:$F,"D"))</f>
        <v/>
      </c>
      <c r="AC183" s="126" t="str">
        <f>IF(Z183="","",SUMIFS(Tree!$AM:$AM,Tree!$A:$A,'Pre-Harvest Plots_rpt'!$B183,Tree!$B:$B,'Pre-Harvest Plots_rpt'!$D183,Tree!$F:$F,"D"))</f>
        <v/>
      </c>
      <c r="AD183" s="162" t="str">
        <f>IF(Z183="","",SUMIFS(Tree!$AW:$AW,Tree!$A:$A,'Pre-Harvest Plots_rpt'!$B183,Tree!$B:$B,'Pre-Harvest Plots_rpt'!$D183,Tree!$F:$F,"D")/1000)</f>
        <v/>
      </c>
      <c r="AE183" s="47"/>
      <c r="AF183" s="4"/>
      <c r="AG183" s="4"/>
      <c r="AH183" s="4"/>
    </row>
    <row r="184" spans="1:34" ht="12.75" customHeight="1" x14ac:dyDescent="0.25">
      <c r="A184" s="48">
        <v>181</v>
      </c>
      <c r="B184" s="171" t="str">
        <f>IF(A184&lt;=SUM(Stand!$H$3:$H$29),VLOOKUP(A184,Stand!$A$3:$C$29,3,TRUE),"")</f>
        <v/>
      </c>
      <c r="C184" s="172" t="str">
        <f t="shared" si="17"/>
        <v/>
      </c>
      <c r="D184" s="173" t="str">
        <f>IF(B184="","",VLOOKUP(B184&amp;C184,Plot!$B$2:$D$199,3,FALSE))</f>
        <v/>
      </c>
      <c r="E184" s="130"/>
      <c r="F184" s="152" t="str">
        <f>IF(B184="","",SUMIFS(Tree!$O:$O,Tree!$A:$A,'Pre-Harvest Plots_rpt'!$B184,Tree!$B:$B,'Pre-Harvest Plots_rpt'!$D184,Tree!$F:$F,"L"))</f>
        <v/>
      </c>
      <c r="G184" s="153" t="str">
        <f>IFERROR(IF(D184="","",SUMIFS(Tree!$P:$P,Tree!$A:$A,'Pre-Harvest Plots_rpt'!$B184,Tree!$B:$B,'Pre-Harvest Plots_rpt'!$D184)/$F184),"")</f>
        <v/>
      </c>
      <c r="H184" s="122" t="str">
        <f t="shared" si="15"/>
        <v/>
      </c>
      <c r="I184" s="121" t="str">
        <f>IF(OR($F184=0,$F184=""),"",SUMIFS(Tree!$R:$R,Tree!$A:$A,'Pre-Harvest Plots_rpt'!$B184,Tree!$B:$B,'Pre-Harvest Plots_rpt'!$D184,Tree!$F:$F,"L"))</f>
        <v/>
      </c>
      <c r="J184" s="121" t="str">
        <f>IF(OR($F184=0,$F184=""),"",IF(SUMIFS(Tree!$W:$W,Tree!$A:$A,'Pre-Harvest Plots_rpt'!$B184,Tree!$B:$B,'Pre-Harvest Plots_rpt'!$D184,Tree!$F:$F,"L")=0,0,AVERAGEIFS(Tree!$W:$W,Tree!$A:$A,'Pre-Harvest Plots_rpt'!$B184,Tree!$B:$B,'Pre-Harvest Plots_rpt'!$D184,Tree!$F:$F,"L")))</f>
        <v/>
      </c>
      <c r="K184" s="121" t="str">
        <f>IF($F184="","",SUMIFS(Tree!$S:$S,Tree!$A:$A,'Pre-Harvest Plots_rpt'!$B184,Tree!$B:$B,'Pre-Harvest Plots_rpt'!$D184,Tree!$F:$F,"L"))</f>
        <v/>
      </c>
      <c r="L184" s="154" t="str">
        <f t="shared" si="16"/>
        <v/>
      </c>
      <c r="M184" s="135"/>
      <c r="N184" s="192" t="str">
        <f>IF(B184="","",SUMIFS(Tree!$AM:$AM,Tree!$A:$A,'Pre-Harvest Plots_rpt'!$B184,Tree!$B:$B,'Pre-Harvest Plots_rpt'!$D184,Tree!$F:$F,"L"))</f>
        <v/>
      </c>
      <c r="O184" s="122" t="str">
        <f>IF(B184="","",SUMIFS(Tree!$AN:$AN,Tree!$A:$A,'Pre-Harvest Plots_rpt'!$B184,Tree!$B:$B,'Pre-Harvest Plots_rpt'!$D184,Tree!$F:$F,"L"))</f>
        <v/>
      </c>
      <c r="P184" s="122" t="str">
        <f>IF(B184="","",SUMIFS(Tree!$AO:$AO,Tree!$A:$A,'Pre-Harvest Plots_rpt'!$B184,Tree!$B:$B,'Pre-Harvest Plots_rpt'!$D184,Tree!$F:$F,"L"))</f>
        <v/>
      </c>
      <c r="Q184" s="122" t="str">
        <f>IF(B184="","",SUMIFS(Tree!$AP:$AP,Tree!$A:$A,'Pre-Harvest Plots_rpt'!$B184,Tree!$B:$B,'Pre-Harvest Plots_rpt'!$D184,Tree!$F:$F,"L"))</f>
        <v/>
      </c>
      <c r="R184" s="123" t="str">
        <f>IF(B184="","",SUMIFS(Tree!$AQ:$AQ,Tree!$A:$A,'Pre-Harvest Plots_rpt'!$B184,Tree!$B:$B,'Pre-Harvest Plots_rpt'!$D184,Tree!$F:$F,"L"))</f>
        <v/>
      </c>
      <c r="S184" s="122" t="str">
        <f>IF(B184="","",SUMIFS(Tree!$AJ:$AJ,Tree!$A:$A,'Pre-Harvest Plots_rpt'!$B184,Tree!$B:$B,'Pre-Harvest Plots_rpt'!$D184,Tree!$F:$F,"L")-O184)</f>
        <v/>
      </c>
      <c r="T184" s="122" t="str">
        <f>IF(B184="","",SUMIFS(Tree!$AK:$AK,Tree!$A:$A,'Pre-Harvest Plots_rpt'!$B184,Tree!$B:$B,'Pre-Harvest Plots_rpt'!$D184,Tree!$F:$F,"L")-P184)</f>
        <v/>
      </c>
      <c r="U184" s="122" t="str">
        <f>IF(B184="","",SUMIFS(Tree!$AL:$AL,Tree!$A:$A,'Pre-Harvest Plots_rpt'!$B184,Tree!$B:$B,'Pre-Harvest Plots_rpt'!$D184,Tree!$F:$F,"L")-Q184)</f>
        <v/>
      </c>
      <c r="V184" s="123" t="str">
        <f>IF(B184="","",ROUND(SUMIFS(Tree!$AE:$AE,Tree!$A:$A,'Pre-Harvest Plots_rpt'!$B184,Tree!$B:$B,'Pre-Harvest Plots_rpt'!$D184,Tree!$F:$F,"L")-R184,1))</f>
        <v/>
      </c>
      <c r="W184" s="124" t="str">
        <f>IF(B184="","",SUMIFS(Tree!$AY:$AY,Tree!$A:$A,'Pre-Harvest Plots_rpt'!$B184,Tree!$B:$B,'Pre-Harvest Plots_rpt'!$D184,Tree!$F:$F,"L")/1000)</f>
        <v/>
      </c>
      <c r="X184" s="158" t="str">
        <f>IF(B184="","",ROUND((SUMIFS(Tree!$AW:$AW,Tree!$A:$A,'Pre-Harvest Plots_rpt'!$B184,Tree!$B:$B,'Pre-Harvest Plots_rpt'!$D184,Tree!$F:$F,"L")/1000)-W184,1))</f>
        <v/>
      </c>
      <c r="Y184" s="135"/>
      <c r="Z184" s="161" t="str">
        <f>IF(IF(B184="","",SUMIFS(Tree!$O:$O,Tree!$A:$A,'Pre-Harvest Plots_rpt'!$B184,Tree!$B:$B,'Pre-Harvest Plots_rpt'!$D184,Tree!$F:$F,"D"))=0,"",IF(B184="","",SUMIFS(Tree!$O:$O,Tree!$A:$A,'Pre-Harvest Plots_rpt'!$B184,Tree!$B:$B,'Pre-Harvest Plots_rpt'!$D184,Tree!$F:$F,"D")))</f>
        <v/>
      </c>
      <c r="AA184" s="125" t="str">
        <f t="shared" si="14"/>
        <v/>
      </c>
      <c r="AB184" s="125" t="str">
        <f>IF(Z184="","",SUMIFS(Tree!$R:$R,Tree!$A:$A,'Pre-Harvest Plots_rpt'!$B184,Tree!$B:$B,'Pre-Harvest Plots_rpt'!$D184,Tree!$F:$F,"D"))</f>
        <v/>
      </c>
      <c r="AC184" s="126" t="str">
        <f>IF(Z184="","",SUMIFS(Tree!$AM:$AM,Tree!$A:$A,'Pre-Harvest Plots_rpt'!$B184,Tree!$B:$B,'Pre-Harvest Plots_rpt'!$D184,Tree!$F:$F,"D"))</f>
        <v/>
      </c>
      <c r="AD184" s="162" t="str">
        <f>IF(Z184="","",SUMIFS(Tree!$AW:$AW,Tree!$A:$A,'Pre-Harvest Plots_rpt'!$B184,Tree!$B:$B,'Pre-Harvest Plots_rpt'!$D184,Tree!$F:$F,"D")/1000)</f>
        <v/>
      </c>
      <c r="AE184" s="47"/>
      <c r="AF184" s="4"/>
      <c r="AG184" s="4"/>
      <c r="AH184" s="4"/>
    </row>
    <row r="185" spans="1:34" ht="12.75" customHeight="1" x14ac:dyDescent="0.25">
      <c r="A185" s="48">
        <v>182</v>
      </c>
      <c r="B185" s="171" t="str">
        <f>IF(A185&lt;=SUM(Stand!$H$3:$H$29),VLOOKUP(A185,Stand!$A$3:$C$29,3,TRUE),"")</f>
        <v/>
      </c>
      <c r="C185" s="172" t="str">
        <f t="shared" si="17"/>
        <v/>
      </c>
      <c r="D185" s="173" t="str">
        <f>IF(B185="","",VLOOKUP(B185&amp;C185,Plot!$B$2:$D$199,3,FALSE))</f>
        <v/>
      </c>
      <c r="E185" s="130"/>
      <c r="F185" s="152" t="str">
        <f>IF(B185="","",SUMIFS(Tree!$O:$O,Tree!$A:$A,'Pre-Harvest Plots_rpt'!$B185,Tree!$B:$B,'Pre-Harvest Plots_rpt'!$D185,Tree!$F:$F,"L"))</f>
        <v/>
      </c>
      <c r="G185" s="153" t="str">
        <f>IFERROR(IF(D185="","",SUMIFS(Tree!$P:$P,Tree!$A:$A,'Pre-Harvest Plots_rpt'!$B185,Tree!$B:$B,'Pre-Harvest Plots_rpt'!$D185)/$F185),"")</f>
        <v/>
      </c>
      <c r="H185" s="122" t="str">
        <f t="shared" si="15"/>
        <v/>
      </c>
      <c r="I185" s="121" t="str">
        <f>IF(OR($F185=0,$F185=""),"",SUMIFS(Tree!$R:$R,Tree!$A:$A,'Pre-Harvest Plots_rpt'!$B185,Tree!$B:$B,'Pre-Harvest Plots_rpt'!$D185,Tree!$F:$F,"L"))</f>
        <v/>
      </c>
      <c r="J185" s="121" t="str">
        <f>IF(OR($F185=0,$F185=""),"",IF(SUMIFS(Tree!$W:$W,Tree!$A:$A,'Pre-Harvest Plots_rpt'!$B185,Tree!$B:$B,'Pre-Harvest Plots_rpt'!$D185,Tree!$F:$F,"L")=0,0,AVERAGEIFS(Tree!$W:$W,Tree!$A:$A,'Pre-Harvest Plots_rpt'!$B185,Tree!$B:$B,'Pre-Harvest Plots_rpt'!$D185,Tree!$F:$F,"L")))</f>
        <v/>
      </c>
      <c r="K185" s="121" t="str">
        <f>IF($F185="","",SUMIFS(Tree!$S:$S,Tree!$A:$A,'Pre-Harvest Plots_rpt'!$B185,Tree!$B:$B,'Pre-Harvest Plots_rpt'!$D185,Tree!$F:$F,"L"))</f>
        <v/>
      </c>
      <c r="L185" s="154" t="str">
        <f t="shared" si="16"/>
        <v/>
      </c>
      <c r="M185" s="135"/>
      <c r="N185" s="192" t="str">
        <f>IF(B185="","",SUMIFS(Tree!$AM:$AM,Tree!$A:$A,'Pre-Harvest Plots_rpt'!$B185,Tree!$B:$B,'Pre-Harvest Plots_rpt'!$D185,Tree!$F:$F,"L"))</f>
        <v/>
      </c>
      <c r="O185" s="122" t="str">
        <f>IF(B185="","",SUMIFS(Tree!$AN:$AN,Tree!$A:$A,'Pre-Harvest Plots_rpt'!$B185,Tree!$B:$B,'Pre-Harvest Plots_rpt'!$D185,Tree!$F:$F,"L"))</f>
        <v/>
      </c>
      <c r="P185" s="122" t="str">
        <f>IF(B185="","",SUMIFS(Tree!$AO:$AO,Tree!$A:$A,'Pre-Harvest Plots_rpt'!$B185,Tree!$B:$B,'Pre-Harvest Plots_rpt'!$D185,Tree!$F:$F,"L"))</f>
        <v/>
      </c>
      <c r="Q185" s="122" t="str">
        <f>IF(B185="","",SUMIFS(Tree!$AP:$AP,Tree!$A:$A,'Pre-Harvest Plots_rpt'!$B185,Tree!$B:$B,'Pre-Harvest Plots_rpt'!$D185,Tree!$F:$F,"L"))</f>
        <v/>
      </c>
      <c r="R185" s="123" t="str">
        <f>IF(B185="","",SUMIFS(Tree!$AQ:$AQ,Tree!$A:$A,'Pre-Harvest Plots_rpt'!$B185,Tree!$B:$B,'Pre-Harvest Plots_rpt'!$D185,Tree!$F:$F,"L"))</f>
        <v/>
      </c>
      <c r="S185" s="122" t="str">
        <f>IF(B185="","",SUMIFS(Tree!$AJ:$AJ,Tree!$A:$A,'Pre-Harvest Plots_rpt'!$B185,Tree!$B:$B,'Pre-Harvest Plots_rpt'!$D185,Tree!$F:$F,"L")-O185)</f>
        <v/>
      </c>
      <c r="T185" s="122" t="str">
        <f>IF(B185="","",SUMIFS(Tree!$AK:$AK,Tree!$A:$A,'Pre-Harvest Plots_rpt'!$B185,Tree!$B:$B,'Pre-Harvest Plots_rpt'!$D185,Tree!$F:$F,"L")-P185)</f>
        <v/>
      </c>
      <c r="U185" s="122" t="str">
        <f>IF(B185="","",SUMIFS(Tree!$AL:$AL,Tree!$A:$A,'Pre-Harvest Plots_rpt'!$B185,Tree!$B:$B,'Pre-Harvest Plots_rpt'!$D185,Tree!$F:$F,"L")-Q185)</f>
        <v/>
      </c>
      <c r="V185" s="123" t="str">
        <f>IF(B185="","",ROUND(SUMIFS(Tree!$AE:$AE,Tree!$A:$A,'Pre-Harvest Plots_rpt'!$B185,Tree!$B:$B,'Pre-Harvest Plots_rpt'!$D185,Tree!$F:$F,"L")-R185,1))</f>
        <v/>
      </c>
      <c r="W185" s="124" t="str">
        <f>IF(B185="","",SUMIFS(Tree!$AY:$AY,Tree!$A:$A,'Pre-Harvest Plots_rpt'!$B185,Tree!$B:$B,'Pre-Harvest Plots_rpt'!$D185,Tree!$F:$F,"L")/1000)</f>
        <v/>
      </c>
      <c r="X185" s="158" t="str">
        <f>IF(B185="","",ROUND((SUMIFS(Tree!$AW:$AW,Tree!$A:$A,'Pre-Harvest Plots_rpt'!$B185,Tree!$B:$B,'Pre-Harvest Plots_rpt'!$D185,Tree!$F:$F,"L")/1000)-W185,1))</f>
        <v/>
      </c>
      <c r="Y185" s="135"/>
      <c r="Z185" s="161" t="str">
        <f>IF(IF(B185="","",SUMIFS(Tree!$O:$O,Tree!$A:$A,'Pre-Harvest Plots_rpt'!$B185,Tree!$B:$B,'Pre-Harvest Plots_rpt'!$D185,Tree!$F:$F,"D"))=0,"",IF(B185="","",SUMIFS(Tree!$O:$O,Tree!$A:$A,'Pre-Harvest Plots_rpt'!$B185,Tree!$B:$B,'Pre-Harvest Plots_rpt'!$D185,Tree!$F:$F,"D")))</f>
        <v/>
      </c>
      <c r="AA185" s="125" t="str">
        <f t="shared" si="14"/>
        <v/>
      </c>
      <c r="AB185" s="125" t="str">
        <f>IF(Z185="","",SUMIFS(Tree!$R:$R,Tree!$A:$A,'Pre-Harvest Plots_rpt'!$B185,Tree!$B:$B,'Pre-Harvest Plots_rpt'!$D185,Tree!$F:$F,"D"))</f>
        <v/>
      </c>
      <c r="AC185" s="126" t="str">
        <f>IF(Z185="","",SUMIFS(Tree!$AM:$AM,Tree!$A:$A,'Pre-Harvest Plots_rpt'!$B185,Tree!$B:$B,'Pre-Harvest Plots_rpt'!$D185,Tree!$F:$F,"D"))</f>
        <v/>
      </c>
      <c r="AD185" s="162" t="str">
        <f>IF(Z185="","",SUMIFS(Tree!$AW:$AW,Tree!$A:$A,'Pre-Harvest Plots_rpt'!$B185,Tree!$B:$B,'Pre-Harvest Plots_rpt'!$D185,Tree!$F:$F,"D")/1000)</f>
        <v/>
      </c>
      <c r="AE185" s="47"/>
      <c r="AF185" s="4"/>
      <c r="AG185" s="4"/>
      <c r="AH185" s="4"/>
    </row>
    <row r="186" spans="1:34" ht="12.75" customHeight="1" x14ac:dyDescent="0.25">
      <c r="A186" s="48">
        <v>183</v>
      </c>
      <c r="B186" s="171" t="str">
        <f>IF(A186&lt;=SUM(Stand!$H$3:$H$29),VLOOKUP(A186,Stand!$A$3:$C$29,3,TRUE),"")</f>
        <v/>
      </c>
      <c r="C186" s="172" t="str">
        <f t="shared" si="17"/>
        <v/>
      </c>
      <c r="D186" s="173" t="str">
        <f>IF(B186="","",VLOOKUP(B186&amp;C186,Plot!$B$2:$D$199,3,FALSE))</f>
        <v/>
      </c>
      <c r="E186" s="130"/>
      <c r="F186" s="152" t="str">
        <f>IF(B186="","",SUMIFS(Tree!$O:$O,Tree!$A:$A,'Pre-Harvest Plots_rpt'!$B186,Tree!$B:$B,'Pre-Harvest Plots_rpt'!$D186,Tree!$F:$F,"L"))</f>
        <v/>
      </c>
      <c r="G186" s="153" t="str">
        <f>IFERROR(IF(D186="","",SUMIFS(Tree!$P:$P,Tree!$A:$A,'Pre-Harvest Plots_rpt'!$B186,Tree!$B:$B,'Pre-Harvest Plots_rpt'!$D186)/$F186),"")</f>
        <v/>
      </c>
      <c r="H186" s="122" t="str">
        <f t="shared" si="15"/>
        <v/>
      </c>
      <c r="I186" s="121" t="str">
        <f>IF(OR($F186=0,$F186=""),"",SUMIFS(Tree!$R:$R,Tree!$A:$A,'Pre-Harvest Plots_rpt'!$B186,Tree!$B:$B,'Pre-Harvest Plots_rpt'!$D186,Tree!$F:$F,"L"))</f>
        <v/>
      </c>
      <c r="J186" s="121" t="str">
        <f>IF(OR($F186=0,$F186=""),"",IF(SUMIFS(Tree!$W:$W,Tree!$A:$A,'Pre-Harvest Plots_rpt'!$B186,Tree!$B:$B,'Pre-Harvest Plots_rpt'!$D186,Tree!$F:$F,"L")=0,0,AVERAGEIFS(Tree!$W:$W,Tree!$A:$A,'Pre-Harvest Plots_rpt'!$B186,Tree!$B:$B,'Pre-Harvest Plots_rpt'!$D186,Tree!$F:$F,"L")))</f>
        <v/>
      </c>
      <c r="K186" s="121" t="str">
        <f>IF($F186="","",SUMIFS(Tree!$S:$S,Tree!$A:$A,'Pre-Harvest Plots_rpt'!$B186,Tree!$B:$B,'Pre-Harvest Plots_rpt'!$D186,Tree!$F:$F,"L"))</f>
        <v/>
      </c>
      <c r="L186" s="154" t="str">
        <f t="shared" si="16"/>
        <v/>
      </c>
      <c r="M186" s="135"/>
      <c r="N186" s="192" t="str">
        <f>IF(B186="","",SUMIFS(Tree!$AM:$AM,Tree!$A:$A,'Pre-Harvest Plots_rpt'!$B186,Tree!$B:$B,'Pre-Harvest Plots_rpt'!$D186,Tree!$F:$F,"L"))</f>
        <v/>
      </c>
      <c r="O186" s="122" t="str">
        <f>IF(B186="","",SUMIFS(Tree!$AN:$AN,Tree!$A:$A,'Pre-Harvest Plots_rpt'!$B186,Tree!$B:$B,'Pre-Harvest Plots_rpt'!$D186,Tree!$F:$F,"L"))</f>
        <v/>
      </c>
      <c r="P186" s="122" t="str">
        <f>IF(B186="","",SUMIFS(Tree!$AO:$AO,Tree!$A:$A,'Pre-Harvest Plots_rpt'!$B186,Tree!$B:$B,'Pre-Harvest Plots_rpt'!$D186,Tree!$F:$F,"L"))</f>
        <v/>
      </c>
      <c r="Q186" s="122" t="str">
        <f>IF(B186="","",SUMIFS(Tree!$AP:$AP,Tree!$A:$A,'Pre-Harvest Plots_rpt'!$B186,Tree!$B:$B,'Pre-Harvest Plots_rpt'!$D186,Tree!$F:$F,"L"))</f>
        <v/>
      </c>
      <c r="R186" s="123" t="str">
        <f>IF(B186="","",SUMIFS(Tree!$AQ:$AQ,Tree!$A:$A,'Pre-Harvest Plots_rpt'!$B186,Tree!$B:$B,'Pre-Harvest Plots_rpt'!$D186,Tree!$F:$F,"L"))</f>
        <v/>
      </c>
      <c r="S186" s="122" t="str">
        <f>IF(B186="","",SUMIFS(Tree!$AJ:$AJ,Tree!$A:$A,'Pre-Harvest Plots_rpt'!$B186,Tree!$B:$B,'Pre-Harvest Plots_rpt'!$D186,Tree!$F:$F,"L")-O186)</f>
        <v/>
      </c>
      <c r="T186" s="122" t="str">
        <f>IF(B186="","",SUMIFS(Tree!$AK:$AK,Tree!$A:$A,'Pre-Harvest Plots_rpt'!$B186,Tree!$B:$B,'Pre-Harvest Plots_rpt'!$D186,Tree!$F:$F,"L")-P186)</f>
        <v/>
      </c>
      <c r="U186" s="122" t="str">
        <f>IF(B186="","",SUMIFS(Tree!$AL:$AL,Tree!$A:$A,'Pre-Harvest Plots_rpt'!$B186,Tree!$B:$B,'Pre-Harvest Plots_rpt'!$D186,Tree!$F:$F,"L")-Q186)</f>
        <v/>
      </c>
      <c r="V186" s="123" t="str">
        <f>IF(B186="","",ROUND(SUMIFS(Tree!$AE:$AE,Tree!$A:$A,'Pre-Harvest Plots_rpt'!$B186,Tree!$B:$B,'Pre-Harvest Plots_rpt'!$D186,Tree!$F:$F,"L")-R186,1))</f>
        <v/>
      </c>
      <c r="W186" s="124" t="str">
        <f>IF(B186="","",SUMIFS(Tree!$AY:$AY,Tree!$A:$A,'Pre-Harvest Plots_rpt'!$B186,Tree!$B:$B,'Pre-Harvest Plots_rpt'!$D186,Tree!$F:$F,"L")/1000)</f>
        <v/>
      </c>
      <c r="X186" s="158" t="str">
        <f>IF(B186="","",ROUND((SUMIFS(Tree!$AW:$AW,Tree!$A:$A,'Pre-Harvest Plots_rpt'!$B186,Tree!$B:$B,'Pre-Harvest Plots_rpt'!$D186,Tree!$F:$F,"L")/1000)-W186,1))</f>
        <v/>
      </c>
      <c r="Y186" s="135"/>
      <c r="Z186" s="161" t="str">
        <f>IF(IF(B186="","",SUMIFS(Tree!$O:$O,Tree!$A:$A,'Pre-Harvest Plots_rpt'!$B186,Tree!$B:$B,'Pre-Harvest Plots_rpt'!$D186,Tree!$F:$F,"D"))=0,"",IF(B186="","",SUMIFS(Tree!$O:$O,Tree!$A:$A,'Pre-Harvest Plots_rpt'!$B186,Tree!$B:$B,'Pre-Harvest Plots_rpt'!$D186,Tree!$F:$F,"D")))</f>
        <v/>
      </c>
      <c r="AA186" s="125" t="str">
        <f t="shared" si="14"/>
        <v/>
      </c>
      <c r="AB186" s="125" t="str">
        <f>IF(Z186="","",SUMIFS(Tree!$R:$R,Tree!$A:$A,'Pre-Harvest Plots_rpt'!$B186,Tree!$B:$B,'Pre-Harvest Plots_rpt'!$D186,Tree!$F:$F,"D"))</f>
        <v/>
      </c>
      <c r="AC186" s="126" t="str">
        <f>IF(Z186="","",SUMIFS(Tree!$AM:$AM,Tree!$A:$A,'Pre-Harvest Plots_rpt'!$B186,Tree!$B:$B,'Pre-Harvest Plots_rpt'!$D186,Tree!$F:$F,"D"))</f>
        <v/>
      </c>
      <c r="AD186" s="162" t="str">
        <f>IF(Z186="","",SUMIFS(Tree!$AW:$AW,Tree!$A:$A,'Pre-Harvest Plots_rpt'!$B186,Tree!$B:$B,'Pre-Harvest Plots_rpt'!$D186,Tree!$F:$F,"D")/1000)</f>
        <v/>
      </c>
      <c r="AE186" s="47"/>
      <c r="AF186" s="4"/>
      <c r="AG186" s="4"/>
      <c r="AH186" s="4"/>
    </row>
    <row r="187" spans="1:34" ht="12.75" customHeight="1" x14ac:dyDescent="0.25">
      <c r="A187" s="48">
        <v>184</v>
      </c>
      <c r="B187" s="171" t="str">
        <f>IF(A187&lt;=SUM(Stand!$H$3:$H$29),VLOOKUP(A187,Stand!$A$3:$C$29,3,TRUE),"")</f>
        <v/>
      </c>
      <c r="C187" s="172" t="str">
        <f t="shared" si="17"/>
        <v/>
      </c>
      <c r="D187" s="173" t="str">
        <f>IF(B187="","",VLOOKUP(B187&amp;C187,Plot!$B$2:$D$199,3,FALSE))</f>
        <v/>
      </c>
      <c r="E187" s="130"/>
      <c r="F187" s="152" t="str">
        <f>IF(B187="","",SUMIFS(Tree!$O:$O,Tree!$A:$A,'Pre-Harvest Plots_rpt'!$B187,Tree!$B:$B,'Pre-Harvest Plots_rpt'!$D187,Tree!$F:$F,"L"))</f>
        <v/>
      </c>
      <c r="G187" s="153" t="str">
        <f>IFERROR(IF(D187="","",SUMIFS(Tree!$P:$P,Tree!$A:$A,'Pre-Harvest Plots_rpt'!$B187,Tree!$B:$B,'Pre-Harvest Plots_rpt'!$D187)/$F187),"")</f>
        <v/>
      </c>
      <c r="H187" s="122" t="str">
        <f t="shared" si="15"/>
        <v/>
      </c>
      <c r="I187" s="121" t="str">
        <f>IF(OR($F187=0,$F187=""),"",SUMIFS(Tree!$R:$R,Tree!$A:$A,'Pre-Harvest Plots_rpt'!$B187,Tree!$B:$B,'Pre-Harvest Plots_rpt'!$D187,Tree!$F:$F,"L"))</f>
        <v/>
      </c>
      <c r="J187" s="121" t="str">
        <f>IF(OR($F187=0,$F187=""),"",IF(SUMIFS(Tree!$W:$W,Tree!$A:$A,'Pre-Harvest Plots_rpt'!$B187,Tree!$B:$B,'Pre-Harvest Plots_rpt'!$D187,Tree!$F:$F,"L")=0,0,AVERAGEIFS(Tree!$W:$W,Tree!$A:$A,'Pre-Harvest Plots_rpt'!$B187,Tree!$B:$B,'Pre-Harvest Plots_rpt'!$D187,Tree!$F:$F,"L")))</f>
        <v/>
      </c>
      <c r="K187" s="121" t="str">
        <f>IF($F187="","",SUMIFS(Tree!$S:$S,Tree!$A:$A,'Pre-Harvest Plots_rpt'!$B187,Tree!$B:$B,'Pre-Harvest Plots_rpt'!$D187,Tree!$F:$F,"L"))</f>
        <v/>
      </c>
      <c r="L187" s="154" t="str">
        <f t="shared" si="16"/>
        <v/>
      </c>
      <c r="M187" s="135"/>
      <c r="N187" s="192" t="str">
        <f>IF(B187="","",SUMIFS(Tree!$AM:$AM,Tree!$A:$A,'Pre-Harvest Plots_rpt'!$B187,Tree!$B:$B,'Pre-Harvest Plots_rpt'!$D187,Tree!$F:$F,"L"))</f>
        <v/>
      </c>
      <c r="O187" s="122" t="str">
        <f>IF(B187="","",SUMIFS(Tree!$AN:$AN,Tree!$A:$A,'Pre-Harvest Plots_rpt'!$B187,Tree!$B:$B,'Pre-Harvest Plots_rpt'!$D187,Tree!$F:$F,"L"))</f>
        <v/>
      </c>
      <c r="P187" s="122" t="str">
        <f>IF(B187="","",SUMIFS(Tree!$AO:$AO,Tree!$A:$A,'Pre-Harvest Plots_rpt'!$B187,Tree!$B:$B,'Pre-Harvest Plots_rpt'!$D187,Tree!$F:$F,"L"))</f>
        <v/>
      </c>
      <c r="Q187" s="122" t="str">
        <f>IF(B187="","",SUMIFS(Tree!$AP:$AP,Tree!$A:$A,'Pre-Harvest Plots_rpt'!$B187,Tree!$B:$B,'Pre-Harvest Plots_rpt'!$D187,Tree!$F:$F,"L"))</f>
        <v/>
      </c>
      <c r="R187" s="123" t="str">
        <f>IF(B187="","",SUMIFS(Tree!$AQ:$AQ,Tree!$A:$A,'Pre-Harvest Plots_rpt'!$B187,Tree!$B:$B,'Pre-Harvest Plots_rpt'!$D187,Tree!$F:$F,"L"))</f>
        <v/>
      </c>
      <c r="S187" s="122" t="str">
        <f>IF(B187="","",SUMIFS(Tree!$AJ:$AJ,Tree!$A:$A,'Pre-Harvest Plots_rpt'!$B187,Tree!$B:$B,'Pre-Harvest Plots_rpt'!$D187,Tree!$F:$F,"L")-O187)</f>
        <v/>
      </c>
      <c r="T187" s="122" t="str">
        <f>IF(B187="","",SUMIFS(Tree!$AK:$AK,Tree!$A:$A,'Pre-Harvest Plots_rpt'!$B187,Tree!$B:$B,'Pre-Harvest Plots_rpt'!$D187,Tree!$F:$F,"L")-P187)</f>
        <v/>
      </c>
      <c r="U187" s="122" t="str">
        <f>IF(B187="","",SUMIFS(Tree!$AL:$AL,Tree!$A:$A,'Pre-Harvest Plots_rpt'!$B187,Tree!$B:$B,'Pre-Harvest Plots_rpt'!$D187,Tree!$F:$F,"L")-Q187)</f>
        <v/>
      </c>
      <c r="V187" s="123" t="str">
        <f>IF(B187="","",ROUND(SUMIFS(Tree!$AE:$AE,Tree!$A:$A,'Pre-Harvest Plots_rpt'!$B187,Tree!$B:$B,'Pre-Harvest Plots_rpt'!$D187,Tree!$F:$F,"L")-R187,1))</f>
        <v/>
      </c>
      <c r="W187" s="124" t="str">
        <f>IF(B187="","",SUMIFS(Tree!$AY:$AY,Tree!$A:$A,'Pre-Harvest Plots_rpt'!$B187,Tree!$B:$B,'Pre-Harvest Plots_rpt'!$D187,Tree!$F:$F,"L")/1000)</f>
        <v/>
      </c>
      <c r="X187" s="158" t="str">
        <f>IF(B187="","",ROUND((SUMIFS(Tree!$AW:$AW,Tree!$A:$A,'Pre-Harvest Plots_rpt'!$B187,Tree!$B:$B,'Pre-Harvest Plots_rpt'!$D187,Tree!$F:$F,"L")/1000)-W187,1))</f>
        <v/>
      </c>
      <c r="Y187" s="135"/>
      <c r="Z187" s="161" t="str">
        <f>IF(IF(B187="","",SUMIFS(Tree!$O:$O,Tree!$A:$A,'Pre-Harvest Plots_rpt'!$B187,Tree!$B:$B,'Pre-Harvest Plots_rpt'!$D187,Tree!$F:$F,"D"))=0,"",IF(B187="","",SUMIFS(Tree!$O:$O,Tree!$A:$A,'Pre-Harvest Plots_rpt'!$B187,Tree!$B:$B,'Pre-Harvest Plots_rpt'!$D187,Tree!$F:$F,"D")))</f>
        <v/>
      </c>
      <c r="AA187" s="125" t="str">
        <f t="shared" si="14"/>
        <v/>
      </c>
      <c r="AB187" s="125" t="str">
        <f>IF(Z187="","",SUMIFS(Tree!$R:$R,Tree!$A:$A,'Pre-Harvest Plots_rpt'!$B187,Tree!$B:$B,'Pre-Harvest Plots_rpt'!$D187,Tree!$F:$F,"D"))</f>
        <v/>
      </c>
      <c r="AC187" s="126" t="str">
        <f>IF(Z187="","",SUMIFS(Tree!$AM:$AM,Tree!$A:$A,'Pre-Harvest Plots_rpt'!$B187,Tree!$B:$B,'Pre-Harvest Plots_rpt'!$D187,Tree!$F:$F,"D"))</f>
        <v/>
      </c>
      <c r="AD187" s="162" t="str">
        <f>IF(Z187="","",SUMIFS(Tree!$AW:$AW,Tree!$A:$A,'Pre-Harvest Plots_rpt'!$B187,Tree!$B:$B,'Pre-Harvest Plots_rpt'!$D187,Tree!$F:$F,"D")/1000)</f>
        <v/>
      </c>
      <c r="AE187" s="47"/>
      <c r="AF187" s="4"/>
      <c r="AG187" s="4"/>
      <c r="AH187" s="4"/>
    </row>
    <row r="188" spans="1:34" ht="12.75" customHeight="1" x14ac:dyDescent="0.25">
      <c r="A188" s="48">
        <v>185</v>
      </c>
      <c r="B188" s="171" t="str">
        <f>IF(A188&lt;=SUM(Stand!$H$3:$H$29),VLOOKUP(A188,Stand!$A$3:$C$29,3,TRUE),"")</f>
        <v/>
      </c>
      <c r="C188" s="172" t="str">
        <f t="shared" si="17"/>
        <v/>
      </c>
      <c r="D188" s="173" t="str">
        <f>IF(B188="","",VLOOKUP(B188&amp;C188,Plot!$B$2:$D$199,3,FALSE))</f>
        <v/>
      </c>
      <c r="E188" s="130"/>
      <c r="F188" s="152" t="str">
        <f>IF(B188="","",SUMIFS(Tree!$O:$O,Tree!$A:$A,'Pre-Harvest Plots_rpt'!$B188,Tree!$B:$B,'Pre-Harvest Plots_rpt'!$D188,Tree!$F:$F,"L"))</f>
        <v/>
      </c>
      <c r="G188" s="153" t="str">
        <f>IFERROR(IF(D188="","",SUMIFS(Tree!$P:$P,Tree!$A:$A,'Pre-Harvest Plots_rpt'!$B188,Tree!$B:$B,'Pre-Harvest Plots_rpt'!$D188)/$F188),"")</f>
        <v/>
      </c>
      <c r="H188" s="122" t="str">
        <f t="shared" si="15"/>
        <v/>
      </c>
      <c r="I188" s="121" t="str">
        <f>IF(OR($F188=0,$F188=""),"",SUMIFS(Tree!$R:$R,Tree!$A:$A,'Pre-Harvest Plots_rpt'!$B188,Tree!$B:$B,'Pre-Harvest Plots_rpt'!$D188,Tree!$F:$F,"L"))</f>
        <v/>
      </c>
      <c r="J188" s="121" t="str">
        <f>IF(OR($F188=0,$F188=""),"",IF(SUMIFS(Tree!$W:$W,Tree!$A:$A,'Pre-Harvest Plots_rpt'!$B188,Tree!$B:$B,'Pre-Harvest Plots_rpt'!$D188,Tree!$F:$F,"L")=0,0,AVERAGEIFS(Tree!$W:$W,Tree!$A:$A,'Pre-Harvest Plots_rpt'!$B188,Tree!$B:$B,'Pre-Harvest Plots_rpt'!$D188,Tree!$F:$F,"L")))</f>
        <v/>
      </c>
      <c r="K188" s="121" t="str">
        <f>IF($F188="","",SUMIFS(Tree!$S:$S,Tree!$A:$A,'Pre-Harvest Plots_rpt'!$B188,Tree!$B:$B,'Pre-Harvest Plots_rpt'!$D188,Tree!$F:$F,"L"))</f>
        <v/>
      </c>
      <c r="L188" s="154" t="str">
        <f t="shared" si="16"/>
        <v/>
      </c>
      <c r="M188" s="135"/>
      <c r="N188" s="192" t="str">
        <f>IF(B188="","",SUMIFS(Tree!$AM:$AM,Tree!$A:$A,'Pre-Harvest Plots_rpt'!$B188,Tree!$B:$B,'Pre-Harvest Plots_rpt'!$D188,Tree!$F:$F,"L"))</f>
        <v/>
      </c>
      <c r="O188" s="122" t="str">
        <f>IF(B188="","",SUMIFS(Tree!$AN:$AN,Tree!$A:$A,'Pre-Harvest Plots_rpt'!$B188,Tree!$B:$B,'Pre-Harvest Plots_rpt'!$D188,Tree!$F:$F,"L"))</f>
        <v/>
      </c>
      <c r="P188" s="122" t="str">
        <f>IF(B188="","",SUMIFS(Tree!$AO:$AO,Tree!$A:$A,'Pre-Harvest Plots_rpt'!$B188,Tree!$B:$B,'Pre-Harvest Plots_rpt'!$D188,Tree!$F:$F,"L"))</f>
        <v/>
      </c>
      <c r="Q188" s="122" t="str">
        <f>IF(B188="","",SUMIFS(Tree!$AP:$AP,Tree!$A:$A,'Pre-Harvest Plots_rpt'!$B188,Tree!$B:$B,'Pre-Harvest Plots_rpt'!$D188,Tree!$F:$F,"L"))</f>
        <v/>
      </c>
      <c r="R188" s="123" t="str">
        <f>IF(B188="","",SUMIFS(Tree!$AQ:$AQ,Tree!$A:$A,'Pre-Harvest Plots_rpt'!$B188,Tree!$B:$B,'Pre-Harvest Plots_rpt'!$D188,Tree!$F:$F,"L"))</f>
        <v/>
      </c>
      <c r="S188" s="122" t="str">
        <f>IF(B188="","",SUMIFS(Tree!$AJ:$AJ,Tree!$A:$A,'Pre-Harvest Plots_rpt'!$B188,Tree!$B:$B,'Pre-Harvest Plots_rpt'!$D188,Tree!$F:$F,"L")-O188)</f>
        <v/>
      </c>
      <c r="T188" s="122" t="str">
        <f>IF(B188="","",SUMIFS(Tree!$AK:$AK,Tree!$A:$A,'Pre-Harvest Plots_rpt'!$B188,Tree!$B:$B,'Pre-Harvest Plots_rpt'!$D188,Tree!$F:$F,"L")-P188)</f>
        <v/>
      </c>
      <c r="U188" s="122" t="str">
        <f>IF(B188="","",SUMIFS(Tree!$AL:$AL,Tree!$A:$A,'Pre-Harvest Plots_rpt'!$B188,Tree!$B:$B,'Pre-Harvest Plots_rpt'!$D188,Tree!$F:$F,"L")-Q188)</f>
        <v/>
      </c>
      <c r="V188" s="123" t="str">
        <f>IF(B188="","",ROUND(SUMIFS(Tree!$AE:$AE,Tree!$A:$A,'Pre-Harvest Plots_rpt'!$B188,Tree!$B:$B,'Pre-Harvest Plots_rpt'!$D188,Tree!$F:$F,"L")-R188,1))</f>
        <v/>
      </c>
      <c r="W188" s="124" t="str">
        <f>IF(B188="","",SUMIFS(Tree!$AY:$AY,Tree!$A:$A,'Pre-Harvest Plots_rpt'!$B188,Tree!$B:$B,'Pre-Harvest Plots_rpt'!$D188,Tree!$F:$F,"L")/1000)</f>
        <v/>
      </c>
      <c r="X188" s="158" t="str">
        <f>IF(B188="","",ROUND((SUMIFS(Tree!$AW:$AW,Tree!$A:$A,'Pre-Harvest Plots_rpt'!$B188,Tree!$B:$B,'Pre-Harvest Plots_rpt'!$D188,Tree!$F:$F,"L")/1000)-W188,1))</f>
        <v/>
      </c>
      <c r="Y188" s="135"/>
      <c r="Z188" s="161" t="str">
        <f>IF(IF(B188="","",SUMIFS(Tree!$O:$O,Tree!$A:$A,'Pre-Harvest Plots_rpt'!$B188,Tree!$B:$B,'Pre-Harvest Plots_rpt'!$D188,Tree!$F:$F,"D"))=0,"",IF(B188="","",SUMIFS(Tree!$O:$O,Tree!$A:$A,'Pre-Harvest Plots_rpt'!$B188,Tree!$B:$B,'Pre-Harvest Plots_rpt'!$D188,Tree!$F:$F,"D")))</f>
        <v/>
      </c>
      <c r="AA188" s="125" t="str">
        <f t="shared" si="14"/>
        <v/>
      </c>
      <c r="AB188" s="125" t="str">
        <f>IF(Z188="","",SUMIFS(Tree!$R:$R,Tree!$A:$A,'Pre-Harvest Plots_rpt'!$B188,Tree!$B:$B,'Pre-Harvest Plots_rpt'!$D188,Tree!$F:$F,"D"))</f>
        <v/>
      </c>
      <c r="AC188" s="126" t="str">
        <f>IF(Z188="","",SUMIFS(Tree!$AM:$AM,Tree!$A:$A,'Pre-Harvest Plots_rpt'!$B188,Tree!$B:$B,'Pre-Harvest Plots_rpt'!$D188,Tree!$F:$F,"D"))</f>
        <v/>
      </c>
      <c r="AD188" s="162" t="str">
        <f>IF(Z188="","",SUMIFS(Tree!$AW:$AW,Tree!$A:$A,'Pre-Harvest Plots_rpt'!$B188,Tree!$B:$B,'Pre-Harvest Plots_rpt'!$D188,Tree!$F:$F,"D")/1000)</f>
        <v/>
      </c>
      <c r="AE188" s="47"/>
      <c r="AF188" s="4"/>
      <c r="AG188" s="4"/>
      <c r="AH188" s="4"/>
    </row>
    <row r="189" spans="1:34" ht="12.75" customHeight="1" x14ac:dyDescent="0.25">
      <c r="A189" s="48">
        <v>186</v>
      </c>
      <c r="B189" s="171" t="str">
        <f>IF(A189&lt;=SUM(Stand!$H$3:$H$29),VLOOKUP(A189,Stand!$A$3:$C$29,3,TRUE),"")</f>
        <v/>
      </c>
      <c r="C189" s="172" t="str">
        <f t="shared" si="17"/>
        <v/>
      </c>
      <c r="D189" s="173" t="str">
        <f>IF(B189="","",VLOOKUP(B189&amp;C189,Plot!$B$2:$D$199,3,FALSE))</f>
        <v/>
      </c>
      <c r="E189" s="130"/>
      <c r="F189" s="152" t="str">
        <f>IF(B189="","",SUMIFS(Tree!$O:$O,Tree!$A:$A,'Pre-Harvest Plots_rpt'!$B189,Tree!$B:$B,'Pre-Harvest Plots_rpt'!$D189,Tree!$F:$F,"L"))</f>
        <v/>
      </c>
      <c r="G189" s="153" t="str">
        <f>IFERROR(IF(D189="","",SUMIFS(Tree!$P:$P,Tree!$A:$A,'Pre-Harvest Plots_rpt'!$B189,Tree!$B:$B,'Pre-Harvest Plots_rpt'!$D189)/$F189),"")</f>
        <v/>
      </c>
      <c r="H189" s="122" t="str">
        <f t="shared" si="15"/>
        <v/>
      </c>
      <c r="I189" s="121" t="str">
        <f>IF(OR($F189=0,$F189=""),"",SUMIFS(Tree!$R:$R,Tree!$A:$A,'Pre-Harvest Plots_rpt'!$B189,Tree!$B:$B,'Pre-Harvest Plots_rpt'!$D189,Tree!$F:$F,"L"))</f>
        <v/>
      </c>
      <c r="J189" s="121" t="str">
        <f>IF(OR($F189=0,$F189=""),"",IF(SUMIFS(Tree!$W:$W,Tree!$A:$A,'Pre-Harvest Plots_rpt'!$B189,Tree!$B:$B,'Pre-Harvest Plots_rpt'!$D189,Tree!$F:$F,"L")=0,0,AVERAGEIFS(Tree!$W:$W,Tree!$A:$A,'Pre-Harvest Plots_rpt'!$B189,Tree!$B:$B,'Pre-Harvest Plots_rpt'!$D189,Tree!$F:$F,"L")))</f>
        <v/>
      </c>
      <c r="K189" s="121" t="str">
        <f>IF($F189="","",SUMIFS(Tree!$S:$S,Tree!$A:$A,'Pre-Harvest Plots_rpt'!$B189,Tree!$B:$B,'Pre-Harvest Plots_rpt'!$D189,Tree!$F:$F,"L"))</f>
        <v/>
      </c>
      <c r="L189" s="154" t="str">
        <f t="shared" si="16"/>
        <v/>
      </c>
      <c r="M189" s="135"/>
      <c r="N189" s="192" t="str">
        <f>IF(B189="","",SUMIFS(Tree!$AM:$AM,Tree!$A:$A,'Pre-Harvest Plots_rpt'!$B189,Tree!$B:$B,'Pre-Harvest Plots_rpt'!$D189,Tree!$F:$F,"L"))</f>
        <v/>
      </c>
      <c r="O189" s="122" t="str">
        <f>IF(B189="","",SUMIFS(Tree!$AN:$AN,Tree!$A:$A,'Pre-Harvest Plots_rpt'!$B189,Tree!$B:$B,'Pre-Harvest Plots_rpt'!$D189,Tree!$F:$F,"L"))</f>
        <v/>
      </c>
      <c r="P189" s="122" t="str">
        <f>IF(B189="","",SUMIFS(Tree!$AO:$AO,Tree!$A:$A,'Pre-Harvest Plots_rpt'!$B189,Tree!$B:$B,'Pre-Harvest Plots_rpt'!$D189,Tree!$F:$F,"L"))</f>
        <v/>
      </c>
      <c r="Q189" s="122" t="str">
        <f>IF(B189="","",SUMIFS(Tree!$AP:$AP,Tree!$A:$A,'Pre-Harvest Plots_rpt'!$B189,Tree!$B:$B,'Pre-Harvest Plots_rpt'!$D189,Tree!$F:$F,"L"))</f>
        <v/>
      </c>
      <c r="R189" s="123" t="str">
        <f>IF(B189="","",SUMIFS(Tree!$AQ:$AQ,Tree!$A:$A,'Pre-Harvest Plots_rpt'!$B189,Tree!$B:$B,'Pre-Harvest Plots_rpt'!$D189,Tree!$F:$F,"L"))</f>
        <v/>
      </c>
      <c r="S189" s="122" t="str">
        <f>IF(B189="","",SUMIFS(Tree!$AJ:$AJ,Tree!$A:$A,'Pre-Harvest Plots_rpt'!$B189,Tree!$B:$B,'Pre-Harvest Plots_rpt'!$D189,Tree!$F:$F,"L")-O189)</f>
        <v/>
      </c>
      <c r="T189" s="122" t="str">
        <f>IF(B189="","",SUMIFS(Tree!$AK:$AK,Tree!$A:$A,'Pre-Harvest Plots_rpt'!$B189,Tree!$B:$B,'Pre-Harvest Plots_rpt'!$D189,Tree!$F:$F,"L")-P189)</f>
        <v/>
      </c>
      <c r="U189" s="122" t="str">
        <f>IF(B189="","",SUMIFS(Tree!$AL:$AL,Tree!$A:$A,'Pre-Harvest Plots_rpt'!$B189,Tree!$B:$B,'Pre-Harvest Plots_rpt'!$D189,Tree!$F:$F,"L")-Q189)</f>
        <v/>
      </c>
      <c r="V189" s="123" t="str">
        <f>IF(B189="","",ROUND(SUMIFS(Tree!$AE:$AE,Tree!$A:$A,'Pre-Harvest Plots_rpt'!$B189,Tree!$B:$B,'Pre-Harvest Plots_rpt'!$D189,Tree!$F:$F,"L")-R189,1))</f>
        <v/>
      </c>
      <c r="W189" s="124" t="str">
        <f>IF(B189="","",SUMIFS(Tree!$AY:$AY,Tree!$A:$A,'Pre-Harvest Plots_rpt'!$B189,Tree!$B:$B,'Pre-Harvest Plots_rpt'!$D189,Tree!$F:$F,"L")/1000)</f>
        <v/>
      </c>
      <c r="X189" s="158" t="str">
        <f>IF(B189="","",ROUND((SUMIFS(Tree!$AW:$AW,Tree!$A:$A,'Pre-Harvest Plots_rpt'!$B189,Tree!$B:$B,'Pre-Harvest Plots_rpt'!$D189,Tree!$F:$F,"L")/1000)-W189,1))</f>
        <v/>
      </c>
      <c r="Y189" s="135"/>
      <c r="Z189" s="161" t="str">
        <f>IF(IF(B189="","",SUMIFS(Tree!$O:$O,Tree!$A:$A,'Pre-Harvest Plots_rpt'!$B189,Tree!$B:$B,'Pre-Harvest Plots_rpt'!$D189,Tree!$F:$F,"D"))=0,"",IF(B189="","",SUMIFS(Tree!$O:$O,Tree!$A:$A,'Pre-Harvest Plots_rpt'!$B189,Tree!$B:$B,'Pre-Harvest Plots_rpt'!$D189,Tree!$F:$F,"D")))</f>
        <v/>
      </c>
      <c r="AA189" s="125" t="str">
        <f t="shared" si="14"/>
        <v/>
      </c>
      <c r="AB189" s="125" t="str">
        <f>IF(Z189="","",SUMIFS(Tree!$R:$R,Tree!$A:$A,'Pre-Harvest Plots_rpt'!$B189,Tree!$B:$B,'Pre-Harvest Plots_rpt'!$D189,Tree!$F:$F,"D"))</f>
        <v/>
      </c>
      <c r="AC189" s="126" t="str">
        <f>IF(Z189="","",SUMIFS(Tree!$AM:$AM,Tree!$A:$A,'Pre-Harvest Plots_rpt'!$B189,Tree!$B:$B,'Pre-Harvest Plots_rpt'!$D189,Tree!$F:$F,"D"))</f>
        <v/>
      </c>
      <c r="AD189" s="162" t="str">
        <f>IF(Z189="","",SUMIFS(Tree!$AW:$AW,Tree!$A:$A,'Pre-Harvest Plots_rpt'!$B189,Tree!$B:$B,'Pre-Harvest Plots_rpt'!$D189,Tree!$F:$F,"D")/1000)</f>
        <v/>
      </c>
      <c r="AE189" s="47"/>
      <c r="AF189" s="4"/>
      <c r="AG189" s="4"/>
      <c r="AH189" s="4"/>
    </row>
    <row r="190" spans="1:34" ht="12.75" customHeight="1" x14ac:dyDescent="0.25">
      <c r="A190" s="48">
        <v>187</v>
      </c>
      <c r="B190" s="171" t="str">
        <f>IF(A190&lt;=SUM(Stand!$H$3:$H$29),VLOOKUP(A190,Stand!$A$3:$C$29,3,TRUE),"")</f>
        <v/>
      </c>
      <c r="C190" s="172" t="str">
        <f t="shared" si="17"/>
        <v/>
      </c>
      <c r="D190" s="173" t="str">
        <f>IF(B190="","",VLOOKUP(B190&amp;C190,Plot!$B$2:$D$199,3,FALSE))</f>
        <v/>
      </c>
      <c r="E190" s="130"/>
      <c r="F190" s="152" t="str">
        <f>IF(B190="","",SUMIFS(Tree!$O:$O,Tree!$A:$A,'Pre-Harvest Plots_rpt'!$B190,Tree!$B:$B,'Pre-Harvest Plots_rpt'!$D190,Tree!$F:$F,"L"))</f>
        <v/>
      </c>
      <c r="G190" s="153" t="str">
        <f>IFERROR(IF(D190="","",SUMIFS(Tree!$P:$P,Tree!$A:$A,'Pre-Harvest Plots_rpt'!$B190,Tree!$B:$B,'Pre-Harvest Plots_rpt'!$D190)/$F190),"")</f>
        <v/>
      </c>
      <c r="H190" s="122" t="str">
        <f t="shared" si="15"/>
        <v/>
      </c>
      <c r="I190" s="121" t="str">
        <f>IF(OR($F190=0,$F190=""),"",SUMIFS(Tree!$R:$R,Tree!$A:$A,'Pre-Harvest Plots_rpt'!$B190,Tree!$B:$B,'Pre-Harvest Plots_rpt'!$D190,Tree!$F:$F,"L"))</f>
        <v/>
      </c>
      <c r="J190" s="121" t="str">
        <f>IF(OR($F190=0,$F190=""),"",IF(SUMIFS(Tree!$W:$W,Tree!$A:$A,'Pre-Harvest Plots_rpt'!$B190,Tree!$B:$B,'Pre-Harvest Plots_rpt'!$D190,Tree!$F:$F,"L")=0,0,AVERAGEIFS(Tree!$W:$W,Tree!$A:$A,'Pre-Harvest Plots_rpt'!$B190,Tree!$B:$B,'Pre-Harvest Plots_rpt'!$D190,Tree!$F:$F,"L")))</f>
        <v/>
      </c>
      <c r="K190" s="121" t="str">
        <f>IF($F190="","",SUMIFS(Tree!$S:$S,Tree!$A:$A,'Pre-Harvest Plots_rpt'!$B190,Tree!$B:$B,'Pre-Harvest Plots_rpt'!$D190,Tree!$F:$F,"L"))</f>
        <v/>
      </c>
      <c r="L190" s="154" t="str">
        <f t="shared" si="16"/>
        <v/>
      </c>
      <c r="M190" s="135"/>
      <c r="N190" s="192" t="str">
        <f>IF(B190="","",SUMIFS(Tree!$AM:$AM,Tree!$A:$A,'Pre-Harvest Plots_rpt'!$B190,Tree!$B:$B,'Pre-Harvest Plots_rpt'!$D190,Tree!$F:$F,"L"))</f>
        <v/>
      </c>
      <c r="O190" s="122" t="str">
        <f>IF(B190="","",SUMIFS(Tree!$AN:$AN,Tree!$A:$A,'Pre-Harvest Plots_rpt'!$B190,Tree!$B:$B,'Pre-Harvest Plots_rpt'!$D190,Tree!$F:$F,"L"))</f>
        <v/>
      </c>
      <c r="P190" s="122" t="str">
        <f>IF(B190="","",SUMIFS(Tree!$AO:$AO,Tree!$A:$A,'Pre-Harvest Plots_rpt'!$B190,Tree!$B:$B,'Pre-Harvest Plots_rpt'!$D190,Tree!$F:$F,"L"))</f>
        <v/>
      </c>
      <c r="Q190" s="122" t="str">
        <f>IF(B190="","",SUMIFS(Tree!$AP:$AP,Tree!$A:$A,'Pre-Harvest Plots_rpt'!$B190,Tree!$B:$B,'Pre-Harvest Plots_rpt'!$D190,Tree!$F:$F,"L"))</f>
        <v/>
      </c>
      <c r="R190" s="123" t="str">
        <f>IF(B190="","",SUMIFS(Tree!$AQ:$AQ,Tree!$A:$A,'Pre-Harvest Plots_rpt'!$B190,Tree!$B:$B,'Pre-Harvest Plots_rpt'!$D190,Tree!$F:$F,"L"))</f>
        <v/>
      </c>
      <c r="S190" s="122" t="str">
        <f>IF(B190="","",SUMIFS(Tree!$AJ:$AJ,Tree!$A:$A,'Pre-Harvest Plots_rpt'!$B190,Tree!$B:$B,'Pre-Harvest Plots_rpt'!$D190,Tree!$F:$F,"L")-O190)</f>
        <v/>
      </c>
      <c r="T190" s="122" t="str">
        <f>IF(B190="","",SUMIFS(Tree!$AK:$AK,Tree!$A:$A,'Pre-Harvest Plots_rpt'!$B190,Tree!$B:$B,'Pre-Harvest Plots_rpt'!$D190,Tree!$F:$F,"L")-P190)</f>
        <v/>
      </c>
      <c r="U190" s="122" t="str">
        <f>IF(B190="","",SUMIFS(Tree!$AL:$AL,Tree!$A:$A,'Pre-Harvest Plots_rpt'!$B190,Tree!$B:$B,'Pre-Harvest Plots_rpt'!$D190,Tree!$F:$F,"L")-Q190)</f>
        <v/>
      </c>
      <c r="V190" s="123" t="str">
        <f>IF(B190="","",ROUND(SUMIFS(Tree!$AE:$AE,Tree!$A:$A,'Pre-Harvest Plots_rpt'!$B190,Tree!$B:$B,'Pre-Harvest Plots_rpt'!$D190,Tree!$F:$F,"L")-R190,1))</f>
        <v/>
      </c>
      <c r="W190" s="124" t="str">
        <f>IF(B190="","",SUMIFS(Tree!$AY:$AY,Tree!$A:$A,'Pre-Harvest Plots_rpt'!$B190,Tree!$B:$B,'Pre-Harvest Plots_rpt'!$D190,Tree!$F:$F,"L")/1000)</f>
        <v/>
      </c>
      <c r="X190" s="158" t="str">
        <f>IF(B190="","",ROUND((SUMIFS(Tree!$AW:$AW,Tree!$A:$A,'Pre-Harvest Plots_rpt'!$B190,Tree!$B:$B,'Pre-Harvest Plots_rpt'!$D190,Tree!$F:$F,"L")/1000)-W190,1))</f>
        <v/>
      </c>
      <c r="Y190" s="135"/>
      <c r="Z190" s="161" t="str">
        <f>IF(IF(B190="","",SUMIFS(Tree!$O:$O,Tree!$A:$A,'Pre-Harvest Plots_rpt'!$B190,Tree!$B:$B,'Pre-Harvest Plots_rpt'!$D190,Tree!$F:$F,"D"))=0,"",IF(B190="","",SUMIFS(Tree!$O:$O,Tree!$A:$A,'Pre-Harvest Plots_rpt'!$B190,Tree!$B:$B,'Pre-Harvest Plots_rpt'!$D190,Tree!$F:$F,"D")))</f>
        <v/>
      </c>
      <c r="AA190" s="125" t="str">
        <f t="shared" si="14"/>
        <v/>
      </c>
      <c r="AB190" s="125" t="str">
        <f>IF(Z190="","",SUMIFS(Tree!$R:$R,Tree!$A:$A,'Pre-Harvest Plots_rpt'!$B190,Tree!$B:$B,'Pre-Harvest Plots_rpt'!$D190,Tree!$F:$F,"D"))</f>
        <v/>
      </c>
      <c r="AC190" s="126" t="str">
        <f>IF(Z190="","",SUMIFS(Tree!$AM:$AM,Tree!$A:$A,'Pre-Harvest Plots_rpt'!$B190,Tree!$B:$B,'Pre-Harvest Plots_rpt'!$D190,Tree!$F:$F,"D"))</f>
        <v/>
      </c>
      <c r="AD190" s="162" t="str">
        <f>IF(Z190="","",SUMIFS(Tree!$AW:$AW,Tree!$A:$A,'Pre-Harvest Plots_rpt'!$B190,Tree!$B:$B,'Pre-Harvest Plots_rpt'!$D190,Tree!$F:$F,"D")/1000)</f>
        <v/>
      </c>
      <c r="AE190" s="47"/>
      <c r="AF190" s="4"/>
      <c r="AG190" s="4"/>
      <c r="AH190" s="4"/>
    </row>
    <row r="191" spans="1:34" ht="12.75" customHeight="1" x14ac:dyDescent="0.25">
      <c r="A191" s="48">
        <v>188</v>
      </c>
      <c r="B191" s="171" t="str">
        <f>IF(A191&lt;=SUM(Stand!$H$3:$H$29),VLOOKUP(A191,Stand!$A$3:$C$29,3,TRUE),"")</f>
        <v/>
      </c>
      <c r="C191" s="172" t="str">
        <f t="shared" si="17"/>
        <v/>
      </c>
      <c r="D191" s="173" t="str">
        <f>IF(B191="","",VLOOKUP(B191&amp;C191,Plot!$B$2:$D$199,3,FALSE))</f>
        <v/>
      </c>
      <c r="E191" s="130"/>
      <c r="F191" s="152" t="str">
        <f>IF(B191="","",SUMIFS(Tree!$O:$O,Tree!$A:$A,'Pre-Harvest Plots_rpt'!$B191,Tree!$B:$B,'Pre-Harvest Plots_rpt'!$D191,Tree!$F:$F,"L"))</f>
        <v/>
      </c>
      <c r="G191" s="153" t="str">
        <f>IFERROR(IF(D191="","",SUMIFS(Tree!$P:$P,Tree!$A:$A,'Pre-Harvest Plots_rpt'!$B191,Tree!$B:$B,'Pre-Harvest Plots_rpt'!$D191)/$F191),"")</f>
        <v/>
      </c>
      <c r="H191" s="122" t="str">
        <f t="shared" si="15"/>
        <v/>
      </c>
      <c r="I191" s="121" t="str">
        <f>IF(OR($F191=0,$F191=""),"",SUMIFS(Tree!$R:$R,Tree!$A:$A,'Pre-Harvest Plots_rpt'!$B191,Tree!$B:$B,'Pre-Harvest Plots_rpt'!$D191,Tree!$F:$F,"L"))</f>
        <v/>
      </c>
      <c r="J191" s="121" t="str">
        <f>IF(OR($F191=0,$F191=""),"",IF(SUMIFS(Tree!$W:$W,Tree!$A:$A,'Pre-Harvest Plots_rpt'!$B191,Tree!$B:$B,'Pre-Harvest Plots_rpt'!$D191,Tree!$F:$F,"L")=0,0,AVERAGEIFS(Tree!$W:$W,Tree!$A:$A,'Pre-Harvest Plots_rpt'!$B191,Tree!$B:$B,'Pre-Harvest Plots_rpt'!$D191,Tree!$F:$F,"L")))</f>
        <v/>
      </c>
      <c r="K191" s="121" t="str">
        <f>IF($F191="","",SUMIFS(Tree!$S:$S,Tree!$A:$A,'Pre-Harvest Plots_rpt'!$B191,Tree!$B:$B,'Pre-Harvest Plots_rpt'!$D191,Tree!$F:$F,"L"))</f>
        <v/>
      </c>
      <c r="L191" s="154" t="str">
        <f t="shared" si="16"/>
        <v/>
      </c>
      <c r="M191" s="135"/>
      <c r="N191" s="192" t="str">
        <f>IF(B191="","",SUMIFS(Tree!$AM:$AM,Tree!$A:$A,'Pre-Harvest Plots_rpt'!$B191,Tree!$B:$B,'Pre-Harvest Plots_rpt'!$D191,Tree!$F:$F,"L"))</f>
        <v/>
      </c>
      <c r="O191" s="122" t="str">
        <f>IF(B191="","",SUMIFS(Tree!$AN:$AN,Tree!$A:$A,'Pre-Harvest Plots_rpt'!$B191,Tree!$B:$B,'Pre-Harvest Plots_rpt'!$D191,Tree!$F:$F,"L"))</f>
        <v/>
      </c>
      <c r="P191" s="122" t="str">
        <f>IF(B191="","",SUMIFS(Tree!$AO:$AO,Tree!$A:$A,'Pre-Harvest Plots_rpt'!$B191,Tree!$B:$B,'Pre-Harvest Plots_rpt'!$D191,Tree!$F:$F,"L"))</f>
        <v/>
      </c>
      <c r="Q191" s="122" t="str">
        <f>IF(B191="","",SUMIFS(Tree!$AP:$AP,Tree!$A:$A,'Pre-Harvest Plots_rpt'!$B191,Tree!$B:$B,'Pre-Harvest Plots_rpt'!$D191,Tree!$F:$F,"L"))</f>
        <v/>
      </c>
      <c r="R191" s="123" t="str">
        <f>IF(B191="","",SUMIFS(Tree!$AQ:$AQ,Tree!$A:$A,'Pre-Harvest Plots_rpt'!$B191,Tree!$B:$B,'Pre-Harvest Plots_rpt'!$D191,Tree!$F:$F,"L"))</f>
        <v/>
      </c>
      <c r="S191" s="122" t="str">
        <f>IF(B191="","",SUMIFS(Tree!$AJ:$AJ,Tree!$A:$A,'Pre-Harvest Plots_rpt'!$B191,Tree!$B:$B,'Pre-Harvest Plots_rpt'!$D191,Tree!$F:$F,"L")-O191)</f>
        <v/>
      </c>
      <c r="T191" s="122" t="str">
        <f>IF(B191="","",SUMIFS(Tree!$AK:$AK,Tree!$A:$A,'Pre-Harvest Plots_rpt'!$B191,Tree!$B:$B,'Pre-Harvest Plots_rpt'!$D191,Tree!$F:$F,"L")-P191)</f>
        <v/>
      </c>
      <c r="U191" s="122" t="str">
        <f>IF(B191="","",SUMIFS(Tree!$AL:$AL,Tree!$A:$A,'Pre-Harvest Plots_rpt'!$B191,Tree!$B:$B,'Pre-Harvest Plots_rpt'!$D191,Tree!$F:$F,"L")-Q191)</f>
        <v/>
      </c>
      <c r="V191" s="123" t="str">
        <f>IF(B191="","",ROUND(SUMIFS(Tree!$AE:$AE,Tree!$A:$A,'Pre-Harvest Plots_rpt'!$B191,Tree!$B:$B,'Pre-Harvest Plots_rpt'!$D191,Tree!$F:$F,"L")-R191,1))</f>
        <v/>
      </c>
      <c r="W191" s="124" t="str">
        <f>IF(B191="","",SUMIFS(Tree!$AY:$AY,Tree!$A:$A,'Pre-Harvest Plots_rpt'!$B191,Tree!$B:$B,'Pre-Harvest Plots_rpt'!$D191,Tree!$F:$F,"L")/1000)</f>
        <v/>
      </c>
      <c r="X191" s="158" t="str">
        <f>IF(B191="","",ROUND((SUMIFS(Tree!$AW:$AW,Tree!$A:$A,'Pre-Harvest Plots_rpt'!$B191,Tree!$B:$B,'Pre-Harvest Plots_rpt'!$D191,Tree!$F:$F,"L")/1000)-W191,1))</f>
        <v/>
      </c>
      <c r="Y191" s="135"/>
      <c r="Z191" s="161" t="str">
        <f>IF(IF(B191="","",SUMIFS(Tree!$O:$O,Tree!$A:$A,'Pre-Harvest Plots_rpt'!$B191,Tree!$B:$B,'Pre-Harvest Plots_rpt'!$D191,Tree!$F:$F,"D"))=0,"",IF(B191="","",SUMIFS(Tree!$O:$O,Tree!$A:$A,'Pre-Harvest Plots_rpt'!$B191,Tree!$B:$B,'Pre-Harvest Plots_rpt'!$D191,Tree!$F:$F,"D")))</f>
        <v/>
      </c>
      <c r="AA191" s="125" t="str">
        <f t="shared" si="14"/>
        <v/>
      </c>
      <c r="AB191" s="125" t="str">
        <f>IF(Z191="","",SUMIFS(Tree!$R:$R,Tree!$A:$A,'Pre-Harvest Plots_rpt'!$B191,Tree!$B:$B,'Pre-Harvest Plots_rpt'!$D191,Tree!$F:$F,"D"))</f>
        <v/>
      </c>
      <c r="AC191" s="126" t="str">
        <f>IF(Z191="","",SUMIFS(Tree!$AM:$AM,Tree!$A:$A,'Pre-Harvest Plots_rpt'!$B191,Tree!$B:$B,'Pre-Harvest Plots_rpt'!$D191,Tree!$F:$F,"D"))</f>
        <v/>
      </c>
      <c r="AD191" s="162" t="str">
        <f>IF(Z191="","",SUMIFS(Tree!$AW:$AW,Tree!$A:$A,'Pre-Harvest Plots_rpt'!$B191,Tree!$B:$B,'Pre-Harvest Plots_rpt'!$D191,Tree!$F:$F,"D")/1000)</f>
        <v/>
      </c>
      <c r="AE191" s="47"/>
      <c r="AF191" s="4"/>
      <c r="AG191" s="4"/>
      <c r="AH191" s="4"/>
    </row>
    <row r="192" spans="1:34" ht="12.75" customHeight="1" x14ac:dyDescent="0.25">
      <c r="A192" s="48">
        <v>189</v>
      </c>
      <c r="B192" s="171" t="str">
        <f>IF(A192&lt;=SUM(Stand!$H$3:$H$29),VLOOKUP(A192,Stand!$A$3:$C$29,3,TRUE),"")</f>
        <v/>
      </c>
      <c r="C192" s="172" t="str">
        <f t="shared" si="17"/>
        <v/>
      </c>
      <c r="D192" s="173" t="str">
        <f>IF(B192="","",VLOOKUP(B192&amp;C192,Plot!$B$2:$D$199,3,FALSE))</f>
        <v/>
      </c>
      <c r="E192" s="130"/>
      <c r="F192" s="152" t="str">
        <f>IF(B192="","",SUMIFS(Tree!$O:$O,Tree!$A:$A,'Pre-Harvest Plots_rpt'!$B192,Tree!$B:$B,'Pre-Harvest Plots_rpt'!$D192,Tree!$F:$F,"L"))</f>
        <v/>
      </c>
      <c r="G192" s="153" t="str">
        <f>IFERROR(IF(D192="","",SUMIFS(Tree!$P:$P,Tree!$A:$A,'Pre-Harvest Plots_rpt'!$B192,Tree!$B:$B,'Pre-Harvest Plots_rpt'!$D192)/$F192),"")</f>
        <v/>
      </c>
      <c r="H192" s="122" t="str">
        <f t="shared" si="15"/>
        <v/>
      </c>
      <c r="I192" s="121" t="str">
        <f>IF(OR($F192=0,$F192=""),"",SUMIFS(Tree!$R:$R,Tree!$A:$A,'Pre-Harvest Plots_rpt'!$B192,Tree!$B:$B,'Pre-Harvest Plots_rpt'!$D192,Tree!$F:$F,"L"))</f>
        <v/>
      </c>
      <c r="J192" s="121" t="str">
        <f>IF(OR($F192=0,$F192=""),"",IF(SUMIFS(Tree!$W:$W,Tree!$A:$A,'Pre-Harvest Plots_rpt'!$B192,Tree!$B:$B,'Pre-Harvest Plots_rpt'!$D192,Tree!$F:$F,"L")=0,0,AVERAGEIFS(Tree!$W:$W,Tree!$A:$A,'Pre-Harvest Plots_rpt'!$B192,Tree!$B:$B,'Pre-Harvest Plots_rpt'!$D192,Tree!$F:$F,"L")))</f>
        <v/>
      </c>
      <c r="K192" s="121" t="str">
        <f>IF($F192="","",SUMIFS(Tree!$S:$S,Tree!$A:$A,'Pre-Harvest Plots_rpt'!$B192,Tree!$B:$B,'Pre-Harvest Plots_rpt'!$D192,Tree!$F:$F,"L"))</f>
        <v/>
      </c>
      <c r="L192" s="154" t="str">
        <f t="shared" si="16"/>
        <v/>
      </c>
      <c r="M192" s="135"/>
      <c r="N192" s="192" t="str">
        <f>IF(B192="","",SUMIFS(Tree!$AM:$AM,Tree!$A:$A,'Pre-Harvest Plots_rpt'!$B192,Tree!$B:$B,'Pre-Harvest Plots_rpt'!$D192,Tree!$F:$F,"L"))</f>
        <v/>
      </c>
      <c r="O192" s="122" t="str">
        <f>IF(B192="","",SUMIFS(Tree!$AN:$AN,Tree!$A:$A,'Pre-Harvest Plots_rpt'!$B192,Tree!$B:$B,'Pre-Harvest Plots_rpt'!$D192,Tree!$F:$F,"L"))</f>
        <v/>
      </c>
      <c r="P192" s="122" t="str">
        <f>IF(B192="","",SUMIFS(Tree!$AO:$AO,Tree!$A:$A,'Pre-Harvest Plots_rpt'!$B192,Tree!$B:$B,'Pre-Harvest Plots_rpt'!$D192,Tree!$F:$F,"L"))</f>
        <v/>
      </c>
      <c r="Q192" s="122" t="str">
        <f>IF(B192="","",SUMIFS(Tree!$AP:$AP,Tree!$A:$A,'Pre-Harvest Plots_rpt'!$B192,Tree!$B:$B,'Pre-Harvest Plots_rpt'!$D192,Tree!$F:$F,"L"))</f>
        <v/>
      </c>
      <c r="R192" s="123" t="str">
        <f>IF(B192="","",SUMIFS(Tree!$AQ:$AQ,Tree!$A:$A,'Pre-Harvest Plots_rpt'!$B192,Tree!$B:$B,'Pre-Harvest Plots_rpt'!$D192,Tree!$F:$F,"L"))</f>
        <v/>
      </c>
      <c r="S192" s="122" t="str">
        <f>IF(B192="","",SUMIFS(Tree!$AJ:$AJ,Tree!$A:$A,'Pre-Harvest Plots_rpt'!$B192,Tree!$B:$B,'Pre-Harvest Plots_rpt'!$D192,Tree!$F:$F,"L")-O192)</f>
        <v/>
      </c>
      <c r="T192" s="122" t="str">
        <f>IF(B192="","",SUMIFS(Tree!$AK:$AK,Tree!$A:$A,'Pre-Harvest Plots_rpt'!$B192,Tree!$B:$B,'Pre-Harvest Plots_rpt'!$D192,Tree!$F:$F,"L")-P192)</f>
        <v/>
      </c>
      <c r="U192" s="122" t="str">
        <f>IF(B192="","",SUMIFS(Tree!$AL:$AL,Tree!$A:$A,'Pre-Harvest Plots_rpt'!$B192,Tree!$B:$B,'Pre-Harvest Plots_rpt'!$D192,Tree!$F:$F,"L")-Q192)</f>
        <v/>
      </c>
      <c r="V192" s="123" t="str">
        <f>IF(B192="","",ROUND(SUMIFS(Tree!$AE:$AE,Tree!$A:$A,'Pre-Harvest Plots_rpt'!$B192,Tree!$B:$B,'Pre-Harvest Plots_rpt'!$D192,Tree!$F:$F,"L")-R192,1))</f>
        <v/>
      </c>
      <c r="W192" s="124" t="str">
        <f>IF(B192="","",SUMIFS(Tree!$AY:$AY,Tree!$A:$A,'Pre-Harvest Plots_rpt'!$B192,Tree!$B:$B,'Pre-Harvest Plots_rpt'!$D192,Tree!$F:$F,"L")/1000)</f>
        <v/>
      </c>
      <c r="X192" s="158" t="str">
        <f>IF(B192="","",ROUND((SUMIFS(Tree!$AW:$AW,Tree!$A:$A,'Pre-Harvest Plots_rpt'!$B192,Tree!$B:$B,'Pre-Harvest Plots_rpt'!$D192,Tree!$F:$F,"L")/1000)-W192,1))</f>
        <v/>
      </c>
      <c r="Y192" s="135"/>
      <c r="Z192" s="161" t="str">
        <f>IF(IF(B192="","",SUMIFS(Tree!$O:$O,Tree!$A:$A,'Pre-Harvest Plots_rpt'!$B192,Tree!$B:$B,'Pre-Harvest Plots_rpt'!$D192,Tree!$F:$F,"D"))=0,"",IF(B192="","",SUMIFS(Tree!$O:$O,Tree!$A:$A,'Pre-Harvest Plots_rpt'!$B192,Tree!$B:$B,'Pre-Harvest Plots_rpt'!$D192,Tree!$F:$F,"D")))</f>
        <v/>
      </c>
      <c r="AA192" s="125" t="str">
        <f t="shared" si="14"/>
        <v/>
      </c>
      <c r="AB192" s="125" t="str">
        <f>IF(Z192="","",SUMIFS(Tree!$R:$R,Tree!$A:$A,'Pre-Harvest Plots_rpt'!$B192,Tree!$B:$B,'Pre-Harvest Plots_rpt'!$D192,Tree!$F:$F,"D"))</f>
        <v/>
      </c>
      <c r="AC192" s="126" t="str">
        <f>IF(Z192="","",SUMIFS(Tree!$AM:$AM,Tree!$A:$A,'Pre-Harvest Plots_rpt'!$B192,Tree!$B:$B,'Pre-Harvest Plots_rpt'!$D192,Tree!$F:$F,"D"))</f>
        <v/>
      </c>
      <c r="AD192" s="162" t="str">
        <f>IF(Z192="","",SUMIFS(Tree!$AW:$AW,Tree!$A:$A,'Pre-Harvest Plots_rpt'!$B192,Tree!$B:$B,'Pre-Harvest Plots_rpt'!$D192,Tree!$F:$F,"D")/1000)</f>
        <v/>
      </c>
      <c r="AE192" s="47"/>
      <c r="AF192" s="4"/>
      <c r="AG192" s="4"/>
      <c r="AH192" s="4"/>
    </row>
    <row r="193" spans="1:34" ht="12.75" customHeight="1" x14ac:dyDescent="0.25">
      <c r="A193" s="48">
        <v>190</v>
      </c>
      <c r="B193" s="171" t="str">
        <f>IF(A193&lt;=SUM(Stand!$H$3:$H$29),VLOOKUP(A193,Stand!$A$3:$C$29,3,TRUE),"")</f>
        <v/>
      </c>
      <c r="C193" s="172" t="str">
        <f t="shared" si="17"/>
        <v/>
      </c>
      <c r="D193" s="173" t="str">
        <f>IF(B193="","",VLOOKUP(B193&amp;C193,Plot!$B$2:$D$199,3,FALSE))</f>
        <v/>
      </c>
      <c r="E193" s="130"/>
      <c r="F193" s="152" t="str">
        <f>IF(B193="","",SUMIFS(Tree!$O:$O,Tree!$A:$A,'Pre-Harvest Plots_rpt'!$B193,Tree!$B:$B,'Pre-Harvest Plots_rpt'!$D193,Tree!$F:$F,"L"))</f>
        <v/>
      </c>
      <c r="G193" s="153" t="str">
        <f>IFERROR(IF(D193="","",SUMIFS(Tree!$P:$P,Tree!$A:$A,'Pre-Harvest Plots_rpt'!$B193,Tree!$B:$B,'Pre-Harvest Plots_rpt'!$D193)/$F193),"")</f>
        <v/>
      </c>
      <c r="H193" s="122" t="str">
        <f t="shared" si="15"/>
        <v/>
      </c>
      <c r="I193" s="121" t="str">
        <f>IF(OR($F193=0,$F193=""),"",SUMIFS(Tree!$R:$R,Tree!$A:$A,'Pre-Harvest Plots_rpt'!$B193,Tree!$B:$B,'Pre-Harvest Plots_rpt'!$D193,Tree!$F:$F,"L"))</f>
        <v/>
      </c>
      <c r="J193" s="121" t="str">
        <f>IF(OR($F193=0,$F193=""),"",IF(SUMIFS(Tree!$W:$W,Tree!$A:$A,'Pre-Harvest Plots_rpt'!$B193,Tree!$B:$B,'Pre-Harvest Plots_rpt'!$D193,Tree!$F:$F,"L")=0,0,AVERAGEIFS(Tree!$W:$W,Tree!$A:$A,'Pre-Harvest Plots_rpt'!$B193,Tree!$B:$B,'Pre-Harvest Plots_rpt'!$D193,Tree!$F:$F,"L")))</f>
        <v/>
      </c>
      <c r="K193" s="121" t="str">
        <f>IF($F193="","",SUMIFS(Tree!$S:$S,Tree!$A:$A,'Pre-Harvest Plots_rpt'!$B193,Tree!$B:$B,'Pre-Harvest Plots_rpt'!$D193,Tree!$F:$F,"L"))</f>
        <v/>
      </c>
      <c r="L193" s="154" t="str">
        <f t="shared" si="16"/>
        <v/>
      </c>
      <c r="M193" s="135"/>
      <c r="N193" s="192" t="str">
        <f>IF(B193="","",SUMIFS(Tree!$AM:$AM,Tree!$A:$A,'Pre-Harvest Plots_rpt'!$B193,Tree!$B:$B,'Pre-Harvest Plots_rpt'!$D193,Tree!$F:$F,"L"))</f>
        <v/>
      </c>
      <c r="O193" s="122" t="str">
        <f>IF(B193="","",SUMIFS(Tree!$AN:$AN,Tree!$A:$A,'Pre-Harvest Plots_rpt'!$B193,Tree!$B:$B,'Pre-Harvest Plots_rpt'!$D193,Tree!$F:$F,"L"))</f>
        <v/>
      </c>
      <c r="P193" s="122" t="str">
        <f>IF(B193="","",SUMIFS(Tree!$AO:$AO,Tree!$A:$A,'Pre-Harvest Plots_rpt'!$B193,Tree!$B:$B,'Pre-Harvest Plots_rpt'!$D193,Tree!$F:$F,"L"))</f>
        <v/>
      </c>
      <c r="Q193" s="122" t="str">
        <f>IF(B193="","",SUMIFS(Tree!$AP:$AP,Tree!$A:$A,'Pre-Harvest Plots_rpt'!$B193,Tree!$B:$B,'Pre-Harvest Plots_rpt'!$D193,Tree!$F:$F,"L"))</f>
        <v/>
      </c>
      <c r="R193" s="123" t="str">
        <f>IF(B193="","",SUMIFS(Tree!$AQ:$AQ,Tree!$A:$A,'Pre-Harvest Plots_rpt'!$B193,Tree!$B:$B,'Pre-Harvest Plots_rpt'!$D193,Tree!$F:$F,"L"))</f>
        <v/>
      </c>
      <c r="S193" s="122" t="str">
        <f>IF(B193="","",SUMIFS(Tree!$AJ:$AJ,Tree!$A:$A,'Pre-Harvest Plots_rpt'!$B193,Tree!$B:$B,'Pre-Harvest Plots_rpt'!$D193,Tree!$F:$F,"L")-O193)</f>
        <v/>
      </c>
      <c r="T193" s="122" t="str">
        <f>IF(B193="","",SUMIFS(Tree!$AK:$AK,Tree!$A:$A,'Pre-Harvest Plots_rpt'!$B193,Tree!$B:$B,'Pre-Harvest Plots_rpt'!$D193,Tree!$F:$F,"L")-P193)</f>
        <v/>
      </c>
      <c r="U193" s="122" t="str">
        <f>IF(B193="","",SUMIFS(Tree!$AL:$AL,Tree!$A:$A,'Pre-Harvest Plots_rpt'!$B193,Tree!$B:$B,'Pre-Harvest Plots_rpt'!$D193,Tree!$F:$F,"L")-Q193)</f>
        <v/>
      </c>
      <c r="V193" s="123" t="str">
        <f>IF(B193="","",ROUND(SUMIFS(Tree!$AE:$AE,Tree!$A:$A,'Pre-Harvest Plots_rpt'!$B193,Tree!$B:$B,'Pre-Harvest Plots_rpt'!$D193,Tree!$F:$F,"L")-R193,1))</f>
        <v/>
      </c>
      <c r="W193" s="124" t="str">
        <f>IF(B193="","",SUMIFS(Tree!$AY:$AY,Tree!$A:$A,'Pre-Harvest Plots_rpt'!$B193,Tree!$B:$B,'Pre-Harvest Plots_rpt'!$D193,Tree!$F:$F,"L")/1000)</f>
        <v/>
      </c>
      <c r="X193" s="158" t="str">
        <f>IF(B193="","",ROUND((SUMIFS(Tree!$AW:$AW,Tree!$A:$A,'Pre-Harvest Plots_rpt'!$B193,Tree!$B:$B,'Pre-Harvest Plots_rpt'!$D193,Tree!$F:$F,"L")/1000)-W193,1))</f>
        <v/>
      </c>
      <c r="Y193" s="135"/>
      <c r="Z193" s="161" t="str">
        <f>IF(IF(B193="","",SUMIFS(Tree!$O:$O,Tree!$A:$A,'Pre-Harvest Plots_rpt'!$B193,Tree!$B:$B,'Pre-Harvest Plots_rpt'!$D193,Tree!$F:$F,"D"))=0,"",IF(B193="","",SUMIFS(Tree!$O:$O,Tree!$A:$A,'Pre-Harvest Plots_rpt'!$B193,Tree!$B:$B,'Pre-Harvest Plots_rpt'!$D193,Tree!$F:$F,"D")))</f>
        <v/>
      </c>
      <c r="AA193" s="125" t="str">
        <f t="shared" si="14"/>
        <v/>
      </c>
      <c r="AB193" s="125" t="str">
        <f>IF(Z193="","",SUMIFS(Tree!$R:$R,Tree!$A:$A,'Pre-Harvest Plots_rpt'!$B193,Tree!$B:$B,'Pre-Harvest Plots_rpt'!$D193,Tree!$F:$F,"D"))</f>
        <v/>
      </c>
      <c r="AC193" s="126" t="str">
        <f>IF(Z193="","",SUMIFS(Tree!$AM:$AM,Tree!$A:$A,'Pre-Harvest Plots_rpt'!$B193,Tree!$B:$B,'Pre-Harvest Plots_rpt'!$D193,Tree!$F:$F,"D"))</f>
        <v/>
      </c>
      <c r="AD193" s="162" t="str">
        <f>IF(Z193="","",SUMIFS(Tree!$AW:$AW,Tree!$A:$A,'Pre-Harvest Plots_rpt'!$B193,Tree!$B:$B,'Pre-Harvest Plots_rpt'!$D193,Tree!$F:$F,"D")/1000)</f>
        <v/>
      </c>
      <c r="AE193" s="47"/>
      <c r="AF193" s="4"/>
      <c r="AG193" s="4"/>
      <c r="AH193" s="4"/>
    </row>
    <row r="194" spans="1:34" ht="12.75" customHeight="1" x14ac:dyDescent="0.25">
      <c r="A194" s="48">
        <v>191</v>
      </c>
      <c r="B194" s="171" t="str">
        <f>IF(A194&lt;=SUM(Stand!$H$3:$H$29),VLOOKUP(A194,Stand!$A$3:$C$29,3,TRUE),"")</f>
        <v/>
      </c>
      <c r="C194" s="172" t="str">
        <f t="shared" si="17"/>
        <v/>
      </c>
      <c r="D194" s="173" t="str">
        <f>IF(B194="","",VLOOKUP(B194&amp;C194,Plot!$B$2:$D$199,3,FALSE))</f>
        <v/>
      </c>
      <c r="E194" s="130"/>
      <c r="F194" s="152" t="str">
        <f>IF(B194="","",SUMIFS(Tree!$O:$O,Tree!$A:$A,'Pre-Harvest Plots_rpt'!$B194,Tree!$B:$B,'Pre-Harvest Plots_rpt'!$D194,Tree!$F:$F,"L"))</f>
        <v/>
      </c>
      <c r="G194" s="153" t="str">
        <f>IFERROR(IF(D194="","",SUMIFS(Tree!$P:$P,Tree!$A:$A,'Pre-Harvest Plots_rpt'!$B194,Tree!$B:$B,'Pre-Harvest Plots_rpt'!$D194)/$F194),"")</f>
        <v/>
      </c>
      <c r="H194" s="122" t="str">
        <f t="shared" si="15"/>
        <v/>
      </c>
      <c r="I194" s="121" t="str">
        <f>IF(OR($F194=0,$F194=""),"",SUMIFS(Tree!$R:$R,Tree!$A:$A,'Pre-Harvest Plots_rpt'!$B194,Tree!$B:$B,'Pre-Harvest Plots_rpt'!$D194,Tree!$F:$F,"L"))</f>
        <v/>
      </c>
      <c r="J194" s="121" t="str">
        <f>IF(OR($F194=0,$F194=""),"",IF(SUMIFS(Tree!$W:$W,Tree!$A:$A,'Pre-Harvest Plots_rpt'!$B194,Tree!$B:$B,'Pre-Harvest Plots_rpt'!$D194,Tree!$F:$F,"L")=0,0,AVERAGEIFS(Tree!$W:$W,Tree!$A:$A,'Pre-Harvest Plots_rpt'!$B194,Tree!$B:$B,'Pre-Harvest Plots_rpt'!$D194,Tree!$F:$F,"L")))</f>
        <v/>
      </c>
      <c r="K194" s="121" t="str">
        <f>IF($F194="","",SUMIFS(Tree!$S:$S,Tree!$A:$A,'Pre-Harvest Plots_rpt'!$B194,Tree!$B:$B,'Pre-Harvest Plots_rpt'!$D194,Tree!$F:$F,"L"))</f>
        <v/>
      </c>
      <c r="L194" s="154" t="str">
        <f t="shared" si="16"/>
        <v/>
      </c>
      <c r="M194" s="135"/>
      <c r="N194" s="192" t="str">
        <f>IF(B194="","",SUMIFS(Tree!$AM:$AM,Tree!$A:$A,'Pre-Harvest Plots_rpt'!$B194,Tree!$B:$B,'Pre-Harvest Plots_rpt'!$D194,Tree!$F:$F,"L"))</f>
        <v/>
      </c>
      <c r="O194" s="122" t="str">
        <f>IF(B194="","",SUMIFS(Tree!$AN:$AN,Tree!$A:$A,'Pre-Harvest Plots_rpt'!$B194,Tree!$B:$B,'Pre-Harvest Plots_rpt'!$D194,Tree!$F:$F,"L"))</f>
        <v/>
      </c>
      <c r="P194" s="122" t="str">
        <f>IF(B194="","",SUMIFS(Tree!$AO:$AO,Tree!$A:$A,'Pre-Harvest Plots_rpt'!$B194,Tree!$B:$B,'Pre-Harvest Plots_rpt'!$D194,Tree!$F:$F,"L"))</f>
        <v/>
      </c>
      <c r="Q194" s="122" t="str">
        <f>IF(B194="","",SUMIFS(Tree!$AP:$AP,Tree!$A:$A,'Pre-Harvest Plots_rpt'!$B194,Tree!$B:$B,'Pre-Harvest Plots_rpt'!$D194,Tree!$F:$F,"L"))</f>
        <v/>
      </c>
      <c r="R194" s="123" t="str">
        <f>IF(B194="","",SUMIFS(Tree!$AQ:$AQ,Tree!$A:$A,'Pre-Harvest Plots_rpt'!$B194,Tree!$B:$B,'Pre-Harvest Plots_rpt'!$D194,Tree!$F:$F,"L"))</f>
        <v/>
      </c>
      <c r="S194" s="122" t="str">
        <f>IF(B194="","",SUMIFS(Tree!$AJ:$AJ,Tree!$A:$A,'Pre-Harvest Plots_rpt'!$B194,Tree!$B:$B,'Pre-Harvest Plots_rpt'!$D194,Tree!$F:$F,"L")-O194)</f>
        <v/>
      </c>
      <c r="T194" s="122" t="str">
        <f>IF(B194="","",SUMIFS(Tree!$AK:$AK,Tree!$A:$A,'Pre-Harvest Plots_rpt'!$B194,Tree!$B:$B,'Pre-Harvest Plots_rpt'!$D194,Tree!$F:$F,"L")-P194)</f>
        <v/>
      </c>
      <c r="U194" s="122" t="str">
        <f>IF(B194="","",SUMIFS(Tree!$AL:$AL,Tree!$A:$A,'Pre-Harvest Plots_rpt'!$B194,Tree!$B:$B,'Pre-Harvest Plots_rpt'!$D194,Tree!$F:$F,"L")-Q194)</f>
        <v/>
      </c>
      <c r="V194" s="123" t="str">
        <f>IF(B194="","",ROUND(SUMIFS(Tree!$AE:$AE,Tree!$A:$A,'Pre-Harvest Plots_rpt'!$B194,Tree!$B:$B,'Pre-Harvest Plots_rpt'!$D194,Tree!$F:$F,"L")-R194,1))</f>
        <v/>
      </c>
      <c r="W194" s="124" t="str">
        <f>IF(B194="","",SUMIFS(Tree!$AY:$AY,Tree!$A:$A,'Pre-Harvest Plots_rpt'!$B194,Tree!$B:$B,'Pre-Harvest Plots_rpt'!$D194,Tree!$F:$F,"L")/1000)</f>
        <v/>
      </c>
      <c r="X194" s="158" t="str">
        <f>IF(B194="","",ROUND((SUMIFS(Tree!$AW:$AW,Tree!$A:$A,'Pre-Harvest Plots_rpt'!$B194,Tree!$B:$B,'Pre-Harvest Plots_rpt'!$D194,Tree!$F:$F,"L")/1000)-W194,1))</f>
        <v/>
      </c>
      <c r="Y194" s="135"/>
      <c r="Z194" s="161" t="str">
        <f>IF(IF(B194="","",SUMIFS(Tree!$O:$O,Tree!$A:$A,'Pre-Harvest Plots_rpt'!$B194,Tree!$B:$B,'Pre-Harvest Plots_rpt'!$D194,Tree!$F:$F,"D"))=0,"",IF(B194="","",SUMIFS(Tree!$O:$O,Tree!$A:$A,'Pre-Harvest Plots_rpt'!$B194,Tree!$B:$B,'Pre-Harvest Plots_rpt'!$D194,Tree!$F:$F,"D")))</f>
        <v/>
      </c>
      <c r="AA194" s="125" t="str">
        <f t="shared" si="14"/>
        <v/>
      </c>
      <c r="AB194" s="125" t="str">
        <f>IF(Z194="","",SUMIFS(Tree!$R:$R,Tree!$A:$A,'Pre-Harvest Plots_rpt'!$B194,Tree!$B:$B,'Pre-Harvest Plots_rpt'!$D194,Tree!$F:$F,"D"))</f>
        <v/>
      </c>
      <c r="AC194" s="126" t="str">
        <f>IF(Z194="","",SUMIFS(Tree!$AM:$AM,Tree!$A:$A,'Pre-Harvest Plots_rpt'!$B194,Tree!$B:$B,'Pre-Harvest Plots_rpt'!$D194,Tree!$F:$F,"D"))</f>
        <v/>
      </c>
      <c r="AD194" s="162" t="str">
        <f>IF(Z194="","",SUMIFS(Tree!$AW:$AW,Tree!$A:$A,'Pre-Harvest Plots_rpt'!$B194,Tree!$B:$B,'Pre-Harvest Plots_rpt'!$D194,Tree!$F:$F,"D")/1000)</f>
        <v/>
      </c>
      <c r="AE194" s="47"/>
      <c r="AF194" s="4"/>
      <c r="AG194" s="4"/>
      <c r="AH194" s="4"/>
    </row>
    <row r="195" spans="1:34" ht="12.75" customHeight="1" x14ac:dyDescent="0.25">
      <c r="A195" s="48">
        <v>192</v>
      </c>
      <c r="B195" s="171" t="str">
        <f>IF(A195&lt;=SUM(Stand!$H$3:$H$29),VLOOKUP(A195,Stand!$A$3:$C$29,3,TRUE),"")</f>
        <v/>
      </c>
      <c r="C195" s="172" t="str">
        <f t="shared" si="17"/>
        <v/>
      </c>
      <c r="D195" s="173" t="str">
        <f>IF(B195="","",VLOOKUP(B195&amp;C195,Plot!$B$2:$D$199,3,FALSE))</f>
        <v/>
      </c>
      <c r="E195" s="130"/>
      <c r="F195" s="152" t="str">
        <f>IF(B195="","",SUMIFS(Tree!$O:$O,Tree!$A:$A,'Pre-Harvest Plots_rpt'!$B195,Tree!$B:$B,'Pre-Harvest Plots_rpt'!$D195,Tree!$F:$F,"L"))</f>
        <v/>
      </c>
      <c r="G195" s="153" t="str">
        <f>IFERROR(IF(D195="","",SUMIFS(Tree!$P:$P,Tree!$A:$A,'Pre-Harvest Plots_rpt'!$B195,Tree!$B:$B,'Pre-Harvest Plots_rpt'!$D195)/$F195),"")</f>
        <v/>
      </c>
      <c r="H195" s="122" t="str">
        <f t="shared" si="15"/>
        <v/>
      </c>
      <c r="I195" s="121" t="str">
        <f>IF(OR($F195=0,$F195=""),"",SUMIFS(Tree!$R:$R,Tree!$A:$A,'Pre-Harvest Plots_rpt'!$B195,Tree!$B:$B,'Pre-Harvest Plots_rpt'!$D195,Tree!$F:$F,"L"))</f>
        <v/>
      </c>
      <c r="J195" s="121" t="str">
        <f>IF(OR($F195=0,$F195=""),"",IF(SUMIFS(Tree!$W:$W,Tree!$A:$A,'Pre-Harvest Plots_rpt'!$B195,Tree!$B:$B,'Pre-Harvest Plots_rpt'!$D195,Tree!$F:$F,"L")=0,0,AVERAGEIFS(Tree!$W:$W,Tree!$A:$A,'Pre-Harvest Plots_rpt'!$B195,Tree!$B:$B,'Pre-Harvest Plots_rpt'!$D195,Tree!$F:$F,"L")))</f>
        <v/>
      </c>
      <c r="K195" s="121" t="str">
        <f>IF($F195="","",SUMIFS(Tree!$S:$S,Tree!$A:$A,'Pre-Harvest Plots_rpt'!$B195,Tree!$B:$B,'Pre-Harvest Plots_rpt'!$D195,Tree!$F:$F,"L"))</f>
        <v/>
      </c>
      <c r="L195" s="154" t="str">
        <f t="shared" si="16"/>
        <v/>
      </c>
      <c r="M195" s="135"/>
      <c r="N195" s="192" t="str">
        <f>IF(B195="","",SUMIFS(Tree!$AM:$AM,Tree!$A:$A,'Pre-Harvest Plots_rpt'!$B195,Tree!$B:$B,'Pre-Harvest Plots_rpt'!$D195,Tree!$F:$F,"L"))</f>
        <v/>
      </c>
      <c r="O195" s="122" t="str">
        <f>IF(B195="","",SUMIFS(Tree!$AN:$AN,Tree!$A:$A,'Pre-Harvest Plots_rpt'!$B195,Tree!$B:$B,'Pre-Harvest Plots_rpt'!$D195,Tree!$F:$F,"L"))</f>
        <v/>
      </c>
      <c r="P195" s="122" t="str">
        <f>IF(B195="","",SUMIFS(Tree!$AO:$AO,Tree!$A:$A,'Pre-Harvest Plots_rpt'!$B195,Tree!$B:$B,'Pre-Harvest Plots_rpt'!$D195,Tree!$F:$F,"L"))</f>
        <v/>
      </c>
      <c r="Q195" s="122" t="str">
        <f>IF(B195="","",SUMIFS(Tree!$AP:$AP,Tree!$A:$A,'Pre-Harvest Plots_rpt'!$B195,Tree!$B:$B,'Pre-Harvest Plots_rpt'!$D195,Tree!$F:$F,"L"))</f>
        <v/>
      </c>
      <c r="R195" s="123" t="str">
        <f>IF(B195="","",SUMIFS(Tree!$AQ:$AQ,Tree!$A:$A,'Pre-Harvest Plots_rpt'!$B195,Tree!$B:$B,'Pre-Harvest Plots_rpt'!$D195,Tree!$F:$F,"L"))</f>
        <v/>
      </c>
      <c r="S195" s="122" t="str">
        <f>IF(B195="","",SUMIFS(Tree!$AJ:$AJ,Tree!$A:$A,'Pre-Harvest Plots_rpt'!$B195,Tree!$B:$B,'Pre-Harvest Plots_rpt'!$D195,Tree!$F:$F,"L")-O195)</f>
        <v/>
      </c>
      <c r="T195" s="122" t="str">
        <f>IF(B195="","",SUMIFS(Tree!$AK:$AK,Tree!$A:$A,'Pre-Harvest Plots_rpt'!$B195,Tree!$B:$B,'Pre-Harvest Plots_rpt'!$D195,Tree!$F:$F,"L")-P195)</f>
        <v/>
      </c>
      <c r="U195" s="122" t="str">
        <f>IF(B195="","",SUMIFS(Tree!$AL:$AL,Tree!$A:$A,'Pre-Harvest Plots_rpt'!$B195,Tree!$B:$B,'Pre-Harvest Plots_rpt'!$D195,Tree!$F:$F,"L")-Q195)</f>
        <v/>
      </c>
      <c r="V195" s="123" t="str">
        <f>IF(B195="","",ROUND(SUMIFS(Tree!$AE:$AE,Tree!$A:$A,'Pre-Harvest Plots_rpt'!$B195,Tree!$B:$B,'Pre-Harvest Plots_rpt'!$D195,Tree!$F:$F,"L")-R195,1))</f>
        <v/>
      </c>
      <c r="W195" s="124" t="str">
        <f>IF(B195="","",SUMIFS(Tree!$AY:$AY,Tree!$A:$A,'Pre-Harvest Plots_rpt'!$B195,Tree!$B:$B,'Pre-Harvest Plots_rpt'!$D195,Tree!$F:$F,"L")/1000)</f>
        <v/>
      </c>
      <c r="X195" s="158" t="str">
        <f>IF(B195="","",ROUND((SUMIFS(Tree!$AW:$AW,Tree!$A:$A,'Pre-Harvest Plots_rpt'!$B195,Tree!$B:$B,'Pre-Harvest Plots_rpt'!$D195,Tree!$F:$F,"L")/1000)-W195,1))</f>
        <v/>
      </c>
      <c r="Y195" s="135"/>
      <c r="Z195" s="161" t="str">
        <f>IF(IF(B195="","",SUMIFS(Tree!$O:$O,Tree!$A:$A,'Pre-Harvest Plots_rpt'!$B195,Tree!$B:$B,'Pre-Harvest Plots_rpt'!$D195,Tree!$F:$F,"D"))=0,"",IF(B195="","",SUMIFS(Tree!$O:$O,Tree!$A:$A,'Pre-Harvest Plots_rpt'!$B195,Tree!$B:$B,'Pre-Harvest Plots_rpt'!$D195,Tree!$F:$F,"D")))</f>
        <v/>
      </c>
      <c r="AA195" s="125" t="str">
        <f t="shared" si="14"/>
        <v/>
      </c>
      <c r="AB195" s="125" t="str">
        <f>IF(Z195="","",SUMIFS(Tree!$R:$R,Tree!$A:$A,'Pre-Harvest Plots_rpt'!$B195,Tree!$B:$B,'Pre-Harvest Plots_rpt'!$D195,Tree!$F:$F,"D"))</f>
        <v/>
      </c>
      <c r="AC195" s="126" t="str">
        <f>IF(Z195="","",SUMIFS(Tree!$AM:$AM,Tree!$A:$A,'Pre-Harvest Plots_rpt'!$B195,Tree!$B:$B,'Pre-Harvest Plots_rpt'!$D195,Tree!$F:$F,"D"))</f>
        <v/>
      </c>
      <c r="AD195" s="162" t="str">
        <f>IF(Z195="","",SUMIFS(Tree!$AW:$AW,Tree!$A:$A,'Pre-Harvest Plots_rpt'!$B195,Tree!$B:$B,'Pre-Harvest Plots_rpt'!$D195,Tree!$F:$F,"D")/1000)</f>
        <v/>
      </c>
      <c r="AE195" s="47"/>
      <c r="AF195" s="4"/>
      <c r="AG195" s="4"/>
      <c r="AH195" s="4"/>
    </row>
    <row r="196" spans="1:34" ht="12.75" customHeight="1" x14ac:dyDescent="0.25">
      <c r="A196" s="48">
        <v>193</v>
      </c>
      <c r="B196" s="171" t="str">
        <f>IF(A196&lt;=SUM(Stand!$H$3:$H$29),VLOOKUP(A196,Stand!$A$3:$C$29,3,TRUE),"")</f>
        <v/>
      </c>
      <c r="C196" s="172" t="str">
        <f t="shared" si="17"/>
        <v/>
      </c>
      <c r="D196" s="173" t="str">
        <f>IF(B196="","",VLOOKUP(B196&amp;C196,Plot!$B$2:$D$199,3,FALSE))</f>
        <v/>
      </c>
      <c r="E196" s="130"/>
      <c r="F196" s="152" t="str">
        <f>IF(B196="","",SUMIFS(Tree!$O:$O,Tree!$A:$A,'Pre-Harvest Plots_rpt'!$B196,Tree!$B:$B,'Pre-Harvest Plots_rpt'!$D196,Tree!$F:$F,"L"))</f>
        <v/>
      </c>
      <c r="G196" s="153" t="str">
        <f>IFERROR(IF(D196="","",SUMIFS(Tree!$P:$P,Tree!$A:$A,'Pre-Harvest Plots_rpt'!$B196,Tree!$B:$B,'Pre-Harvest Plots_rpt'!$D196)/$F196),"")</f>
        <v/>
      </c>
      <c r="H196" s="122" t="str">
        <f t="shared" si="15"/>
        <v/>
      </c>
      <c r="I196" s="121" t="str">
        <f>IF(OR($F196=0,$F196=""),"",SUMIFS(Tree!$R:$R,Tree!$A:$A,'Pre-Harvest Plots_rpt'!$B196,Tree!$B:$B,'Pre-Harvest Plots_rpt'!$D196,Tree!$F:$F,"L"))</f>
        <v/>
      </c>
      <c r="J196" s="121" t="str">
        <f>IF(OR($F196=0,$F196=""),"",IF(SUMIFS(Tree!$W:$W,Tree!$A:$A,'Pre-Harvest Plots_rpt'!$B196,Tree!$B:$B,'Pre-Harvest Plots_rpt'!$D196,Tree!$F:$F,"L")=0,0,AVERAGEIFS(Tree!$W:$W,Tree!$A:$A,'Pre-Harvest Plots_rpt'!$B196,Tree!$B:$B,'Pre-Harvest Plots_rpt'!$D196,Tree!$F:$F,"L")))</f>
        <v/>
      </c>
      <c r="K196" s="121" t="str">
        <f>IF($F196="","",SUMIFS(Tree!$S:$S,Tree!$A:$A,'Pre-Harvest Plots_rpt'!$B196,Tree!$B:$B,'Pre-Harvest Plots_rpt'!$D196,Tree!$F:$F,"L"))</f>
        <v/>
      </c>
      <c r="L196" s="154" t="str">
        <f t="shared" si="16"/>
        <v/>
      </c>
      <c r="M196" s="135"/>
      <c r="N196" s="192" t="str">
        <f>IF(B196="","",SUMIFS(Tree!$AM:$AM,Tree!$A:$A,'Pre-Harvest Plots_rpt'!$B196,Tree!$B:$B,'Pre-Harvest Plots_rpt'!$D196,Tree!$F:$F,"L"))</f>
        <v/>
      </c>
      <c r="O196" s="122" t="str">
        <f>IF(B196="","",SUMIFS(Tree!$AN:$AN,Tree!$A:$A,'Pre-Harvest Plots_rpt'!$B196,Tree!$B:$B,'Pre-Harvest Plots_rpt'!$D196,Tree!$F:$F,"L"))</f>
        <v/>
      </c>
      <c r="P196" s="122" t="str">
        <f>IF(B196="","",SUMIFS(Tree!$AO:$AO,Tree!$A:$A,'Pre-Harvest Plots_rpt'!$B196,Tree!$B:$B,'Pre-Harvest Plots_rpt'!$D196,Tree!$F:$F,"L"))</f>
        <v/>
      </c>
      <c r="Q196" s="122" t="str">
        <f>IF(B196="","",SUMIFS(Tree!$AP:$AP,Tree!$A:$A,'Pre-Harvest Plots_rpt'!$B196,Tree!$B:$B,'Pre-Harvest Plots_rpt'!$D196,Tree!$F:$F,"L"))</f>
        <v/>
      </c>
      <c r="R196" s="123" t="str">
        <f>IF(B196="","",SUMIFS(Tree!$AQ:$AQ,Tree!$A:$A,'Pre-Harvest Plots_rpt'!$B196,Tree!$B:$B,'Pre-Harvest Plots_rpt'!$D196,Tree!$F:$F,"L"))</f>
        <v/>
      </c>
      <c r="S196" s="122" t="str">
        <f>IF(B196="","",SUMIFS(Tree!$AJ:$AJ,Tree!$A:$A,'Pre-Harvest Plots_rpt'!$B196,Tree!$B:$B,'Pre-Harvest Plots_rpt'!$D196,Tree!$F:$F,"L")-O196)</f>
        <v/>
      </c>
      <c r="T196" s="122" t="str">
        <f>IF(B196="","",SUMIFS(Tree!$AK:$AK,Tree!$A:$A,'Pre-Harvest Plots_rpt'!$B196,Tree!$B:$B,'Pre-Harvest Plots_rpt'!$D196,Tree!$F:$F,"L")-P196)</f>
        <v/>
      </c>
      <c r="U196" s="122" t="str">
        <f>IF(B196="","",SUMIFS(Tree!$AL:$AL,Tree!$A:$A,'Pre-Harvest Plots_rpt'!$B196,Tree!$B:$B,'Pre-Harvest Plots_rpt'!$D196,Tree!$F:$F,"L")-Q196)</f>
        <v/>
      </c>
      <c r="V196" s="123" t="str">
        <f>IF(B196="","",ROUND(SUMIFS(Tree!$AE:$AE,Tree!$A:$A,'Pre-Harvest Plots_rpt'!$B196,Tree!$B:$B,'Pre-Harvest Plots_rpt'!$D196,Tree!$F:$F,"L")-R196,1))</f>
        <v/>
      </c>
      <c r="W196" s="124" t="str">
        <f>IF(B196="","",SUMIFS(Tree!$AY:$AY,Tree!$A:$A,'Pre-Harvest Plots_rpt'!$B196,Tree!$B:$B,'Pre-Harvest Plots_rpt'!$D196,Tree!$F:$F,"L")/1000)</f>
        <v/>
      </c>
      <c r="X196" s="158" t="str">
        <f>IF(B196="","",ROUND((SUMIFS(Tree!$AW:$AW,Tree!$A:$A,'Pre-Harvest Plots_rpt'!$B196,Tree!$B:$B,'Pre-Harvest Plots_rpt'!$D196,Tree!$F:$F,"L")/1000)-W196,1))</f>
        <v/>
      </c>
      <c r="Y196" s="135"/>
      <c r="Z196" s="161" t="str">
        <f>IF(IF(B196="","",SUMIFS(Tree!$O:$O,Tree!$A:$A,'Pre-Harvest Plots_rpt'!$B196,Tree!$B:$B,'Pre-Harvest Plots_rpt'!$D196,Tree!$F:$F,"D"))=0,"",IF(B196="","",SUMIFS(Tree!$O:$O,Tree!$A:$A,'Pre-Harvest Plots_rpt'!$B196,Tree!$B:$B,'Pre-Harvest Plots_rpt'!$D196,Tree!$F:$F,"D")))</f>
        <v/>
      </c>
      <c r="AA196" s="125" t="str">
        <f t="shared" si="14"/>
        <v/>
      </c>
      <c r="AB196" s="125" t="str">
        <f>IF(Z196="","",SUMIFS(Tree!$R:$R,Tree!$A:$A,'Pre-Harvest Plots_rpt'!$B196,Tree!$B:$B,'Pre-Harvest Plots_rpt'!$D196,Tree!$F:$F,"D"))</f>
        <v/>
      </c>
      <c r="AC196" s="126" t="str">
        <f>IF(Z196="","",SUMIFS(Tree!$AM:$AM,Tree!$A:$A,'Pre-Harvest Plots_rpt'!$B196,Tree!$B:$B,'Pre-Harvest Plots_rpt'!$D196,Tree!$F:$F,"D"))</f>
        <v/>
      </c>
      <c r="AD196" s="162" t="str">
        <f>IF(Z196="","",SUMIFS(Tree!$AW:$AW,Tree!$A:$A,'Pre-Harvest Plots_rpt'!$B196,Tree!$B:$B,'Pre-Harvest Plots_rpt'!$D196,Tree!$F:$F,"D")/1000)</f>
        <v/>
      </c>
      <c r="AE196" s="47"/>
      <c r="AF196" s="4"/>
      <c r="AG196" s="4"/>
      <c r="AH196" s="4"/>
    </row>
    <row r="197" spans="1:34" ht="12.75" customHeight="1" x14ac:dyDescent="0.25">
      <c r="A197" s="48">
        <v>194</v>
      </c>
      <c r="B197" s="171" t="str">
        <f>IF(A197&lt;=SUM(Stand!$H$3:$H$29),VLOOKUP(A197,Stand!$A$3:$C$29,3,TRUE),"")</f>
        <v/>
      </c>
      <c r="C197" s="172" t="str">
        <f t="shared" si="17"/>
        <v/>
      </c>
      <c r="D197" s="173" t="str">
        <f>IF(B197="","",VLOOKUP(B197&amp;C197,Plot!$B$2:$D$199,3,FALSE))</f>
        <v/>
      </c>
      <c r="E197" s="130"/>
      <c r="F197" s="152" t="str">
        <f>IF(B197="","",SUMIFS(Tree!$O:$O,Tree!$A:$A,'Pre-Harvest Plots_rpt'!$B197,Tree!$B:$B,'Pre-Harvest Plots_rpt'!$D197,Tree!$F:$F,"L"))</f>
        <v/>
      </c>
      <c r="G197" s="153" t="str">
        <f>IFERROR(IF(D197="","",SUMIFS(Tree!$P:$P,Tree!$A:$A,'Pre-Harvest Plots_rpt'!$B197,Tree!$B:$B,'Pre-Harvest Plots_rpt'!$D197)/$F197),"")</f>
        <v/>
      </c>
      <c r="H197" s="122" t="str">
        <f t="shared" si="15"/>
        <v/>
      </c>
      <c r="I197" s="121" t="str">
        <f>IF(OR($F197=0,$F197=""),"",SUMIFS(Tree!$R:$R,Tree!$A:$A,'Pre-Harvest Plots_rpt'!$B197,Tree!$B:$B,'Pre-Harvest Plots_rpt'!$D197,Tree!$F:$F,"L"))</f>
        <v/>
      </c>
      <c r="J197" s="121" t="str">
        <f>IF(OR($F197=0,$F197=""),"",IF(SUMIFS(Tree!$W:$W,Tree!$A:$A,'Pre-Harvest Plots_rpt'!$B197,Tree!$B:$B,'Pre-Harvest Plots_rpt'!$D197,Tree!$F:$F,"L")=0,0,AVERAGEIFS(Tree!$W:$W,Tree!$A:$A,'Pre-Harvest Plots_rpt'!$B197,Tree!$B:$B,'Pre-Harvest Plots_rpt'!$D197,Tree!$F:$F,"L")))</f>
        <v/>
      </c>
      <c r="K197" s="121" t="str">
        <f>IF($F197="","",SUMIFS(Tree!$S:$S,Tree!$A:$A,'Pre-Harvest Plots_rpt'!$B197,Tree!$B:$B,'Pre-Harvest Plots_rpt'!$D197,Tree!$F:$F,"L"))</f>
        <v/>
      </c>
      <c r="L197" s="154" t="str">
        <f t="shared" si="16"/>
        <v/>
      </c>
      <c r="M197" s="135"/>
      <c r="N197" s="192" t="str">
        <f>IF(B197="","",SUMIFS(Tree!$AM:$AM,Tree!$A:$A,'Pre-Harvest Plots_rpt'!$B197,Tree!$B:$B,'Pre-Harvest Plots_rpt'!$D197,Tree!$F:$F,"L"))</f>
        <v/>
      </c>
      <c r="O197" s="122" t="str">
        <f>IF(B197="","",SUMIFS(Tree!$AN:$AN,Tree!$A:$A,'Pre-Harvest Plots_rpt'!$B197,Tree!$B:$B,'Pre-Harvest Plots_rpt'!$D197,Tree!$F:$F,"L"))</f>
        <v/>
      </c>
      <c r="P197" s="122" t="str">
        <f>IF(B197="","",SUMIFS(Tree!$AO:$AO,Tree!$A:$A,'Pre-Harvest Plots_rpt'!$B197,Tree!$B:$B,'Pre-Harvest Plots_rpt'!$D197,Tree!$F:$F,"L"))</f>
        <v/>
      </c>
      <c r="Q197" s="122" t="str">
        <f>IF(B197="","",SUMIFS(Tree!$AP:$AP,Tree!$A:$A,'Pre-Harvest Plots_rpt'!$B197,Tree!$B:$B,'Pre-Harvest Plots_rpt'!$D197,Tree!$F:$F,"L"))</f>
        <v/>
      </c>
      <c r="R197" s="123" t="str">
        <f>IF(B197="","",SUMIFS(Tree!$AQ:$AQ,Tree!$A:$A,'Pre-Harvest Plots_rpt'!$B197,Tree!$B:$B,'Pre-Harvest Plots_rpt'!$D197,Tree!$F:$F,"L"))</f>
        <v/>
      </c>
      <c r="S197" s="122" t="str">
        <f>IF(B197="","",SUMIFS(Tree!$AJ:$AJ,Tree!$A:$A,'Pre-Harvest Plots_rpt'!$B197,Tree!$B:$B,'Pre-Harvest Plots_rpt'!$D197,Tree!$F:$F,"L")-O197)</f>
        <v/>
      </c>
      <c r="T197" s="122" t="str">
        <f>IF(B197="","",SUMIFS(Tree!$AK:$AK,Tree!$A:$A,'Pre-Harvest Plots_rpt'!$B197,Tree!$B:$B,'Pre-Harvest Plots_rpt'!$D197,Tree!$F:$F,"L")-P197)</f>
        <v/>
      </c>
      <c r="U197" s="122" t="str">
        <f>IF(B197="","",SUMIFS(Tree!$AL:$AL,Tree!$A:$A,'Pre-Harvest Plots_rpt'!$B197,Tree!$B:$B,'Pre-Harvest Plots_rpt'!$D197,Tree!$F:$F,"L")-Q197)</f>
        <v/>
      </c>
      <c r="V197" s="123" t="str">
        <f>IF(B197="","",ROUND(SUMIFS(Tree!$AE:$AE,Tree!$A:$A,'Pre-Harvest Plots_rpt'!$B197,Tree!$B:$B,'Pre-Harvest Plots_rpt'!$D197,Tree!$F:$F,"L")-R197,1))</f>
        <v/>
      </c>
      <c r="W197" s="124" t="str">
        <f>IF(B197="","",SUMIFS(Tree!$AY:$AY,Tree!$A:$A,'Pre-Harvest Plots_rpt'!$B197,Tree!$B:$B,'Pre-Harvest Plots_rpt'!$D197,Tree!$F:$F,"L")/1000)</f>
        <v/>
      </c>
      <c r="X197" s="158" t="str">
        <f>IF(B197="","",ROUND((SUMIFS(Tree!$AW:$AW,Tree!$A:$A,'Pre-Harvest Plots_rpt'!$B197,Tree!$B:$B,'Pre-Harvest Plots_rpt'!$D197,Tree!$F:$F,"L")/1000)-W197,1))</f>
        <v/>
      </c>
      <c r="Y197" s="135"/>
      <c r="Z197" s="161" t="str">
        <f>IF(IF(B197="","",SUMIFS(Tree!$O:$O,Tree!$A:$A,'Pre-Harvest Plots_rpt'!$B197,Tree!$B:$B,'Pre-Harvest Plots_rpt'!$D197,Tree!$F:$F,"D"))=0,"",IF(B197="","",SUMIFS(Tree!$O:$O,Tree!$A:$A,'Pre-Harvest Plots_rpt'!$B197,Tree!$B:$B,'Pre-Harvest Plots_rpt'!$D197,Tree!$F:$F,"D")))</f>
        <v/>
      </c>
      <c r="AA197" s="125" t="str">
        <f t="shared" ref="AA197:AA199" si="18">IF(Z197="","",IF(Z197="","",((AB197/Z197)/0.005454)^0.5))</f>
        <v/>
      </c>
      <c r="AB197" s="125" t="str">
        <f>IF(Z197="","",SUMIFS(Tree!$R:$R,Tree!$A:$A,'Pre-Harvest Plots_rpt'!$B197,Tree!$B:$B,'Pre-Harvest Plots_rpt'!$D197,Tree!$F:$F,"D"))</f>
        <v/>
      </c>
      <c r="AC197" s="126" t="str">
        <f>IF(Z197="","",SUMIFS(Tree!$AM:$AM,Tree!$A:$A,'Pre-Harvest Plots_rpt'!$B197,Tree!$B:$B,'Pre-Harvest Plots_rpt'!$D197,Tree!$F:$F,"D"))</f>
        <v/>
      </c>
      <c r="AD197" s="162" t="str">
        <f>IF(Z197="","",SUMIFS(Tree!$AW:$AW,Tree!$A:$A,'Pre-Harvest Plots_rpt'!$B197,Tree!$B:$B,'Pre-Harvest Plots_rpt'!$D197,Tree!$F:$F,"D")/1000)</f>
        <v/>
      </c>
      <c r="AE197" s="47"/>
      <c r="AF197" s="4"/>
      <c r="AG197" s="4"/>
      <c r="AH197" s="4"/>
    </row>
    <row r="198" spans="1:34" ht="12.75" customHeight="1" x14ac:dyDescent="0.25">
      <c r="A198" s="48">
        <v>195</v>
      </c>
      <c r="B198" s="171" t="str">
        <f>IF(A198&lt;=SUM(Stand!$H$3:$H$29),VLOOKUP(A198,Stand!$A$3:$C$29,3,TRUE),"")</f>
        <v/>
      </c>
      <c r="C198" s="172" t="str">
        <f t="shared" si="17"/>
        <v/>
      </c>
      <c r="D198" s="173" t="str">
        <f>IF(B198="","",VLOOKUP(B198&amp;C198,Plot!$B$2:$D$199,3,FALSE))</f>
        <v/>
      </c>
      <c r="E198" s="130"/>
      <c r="F198" s="152" t="str">
        <f>IF(B198="","",SUMIFS(Tree!$O:$O,Tree!$A:$A,'Pre-Harvest Plots_rpt'!$B198,Tree!$B:$B,'Pre-Harvest Plots_rpt'!$D198,Tree!$F:$F,"L"))</f>
        <v/>
      </c>
      <c r="G198" s="153" t="str">
        <f>IFERROR(IF(D198="","",SUMIFS(Tree!$P:$P,Tree!$A:$A,'Pre-Harvest Plots_rpt'!$B198,Tree!$B:$B,'Pre-Harvest Plots_rpt'!$D198)/$F198),"")</f>
        <v/>
      </c>
      <c r="H198" s="122" t="str">
        <f t="shared" si="15"/>
        <v/>
      </c>
      <c r="I198" s="121" t="str">
        <f>IF(OR($F198=0,$F198=""),"",SUMIFS(Tree!$R:$R,Tree!$A:$A,'Pre-Harvest Plots_rpt'!$B198,Tree!$B:$B,'Pre-Harvest Plots_rpt'!$D198,Tree!$F:$F,"L"))</f>
        <v/>
      </c>
      <c r="J198" s="121" t="str">
        <f>IF(OR($F198=0,$F198=""),"",IF(SUMIFS(Tree!$W:$W,Tree!$A:$A,'Pre-Harvest Plots_rpt'!$B198,Tree!$B:$B,'Pre-Harvest Plots_rpt'!$D198,Tree!$F:$F,"L")=0,0,AVERAGEIFS(Tree!$W:$W,Tree!$A:$A,'Pre-Harvest Plots_rpt'!$B198,Tree!$B:$B,'Pre-Harvest Plots_rpt'!$D198,Tree!$F:$F,"L")))</f>
        <v/>
      </c>
      <c r="K198" s="121" t="str">
        <f>IF($F198="","",SUMIFS(Tree!$S:$S,Tree!$A:$A,'Pre-Harvest Plots_rpt'!$B198,Tree!$B:$B,'Pre-Harvest Plots_rpt'!$D198,Tree!$F:$F,"L"))</f>
        <v/>
      </c>
      <c r="L198" s="154" t="str">
        <f t="shared" si="16"/>
        <v/>
      </c>
      <c r="M198" s="135"/>
      <c r="N198" s="192" t="str">
        <f>IF(B198="","",SUMIFS(Tree!$AM:$AM,Tree!$A:$A,'Pre-Harvest Plots_rpt'!$B198,Tree!$B:$B,'Pre-Harvest Plots_rpt'!$D198,Tree!$F:$F,"L"))</f>
        <v/>
      </c>
      <c r="O198" s="122" t="str">
        <f>IF(B198="","",SUMIFS(Tree!$AN:$AN,Tree!$A:$A,'Pre-Harvest Plots_rpt'!$B198,Tree!$B:$B,'Pre-Harvest Plots_rpt'!$D198,Tree!$F:$F,"L"))</f>
        <v/>
      </c>
      <c r="P198" s="122" t="str">
        <f>IF(B198="","",SUMIFS(Tree!$AO:$AO,Tree!$A:$A,'Pre-Harvest Plots_rpt'!$B198,Tree!$B:$B,'Pre-Harvest Plots_rpt'!$D198,Tree!$F:$F,"L"))</f>
        <v/>
      </c>
      <c r="Q198" s="122" t="str">
        <f>IF(B198="","",SUMIFS(Tree!$AP:$AP,Tree!$A:$A,'Pre-Harvest Plots_rpt'!$B198,Tree!$B:$B,'Pre-Harvest Plots_rpt'!$D198,Tree!$F:$F,"L"))</f>
        <v/>
      </c>
      <c r="R198" s="123" t="str">
        <f>IF(B198="","",SUMIFS(Tree!$AQ:$AQ,Tree!$A:$A,'Pre-Harvest Plots_rpt'!$B198,Tree!$B:$B,'Pre-Harvest Plots_rpt'!$D198,Tree!$F:$F,"L"))</f>
        <v/>
      </c>
      <c r="S198" s="122" t="str">
        <f>IF(B198="","",SUMIFS(Tree!$AJ:$AJ,Tree!$A:$A,'Pre-Harvest Plots_rpt'!$B198,Tree!$B:$B,'Pre-Harvest Plots_rpt'!$D198,Tree!$F:$F,"L")-O198)</f>
        <v/>
      </c>
      <c r="T198" s="122" t="str">
        <f>IF(B198="","",SUMIFS(Tree!$AK:$AK,Tree!$A:$A,'Pre-Harvest Plots_rpt'!$B198,Tree!$B:$B,'Pre-Harvest Plots_rpt'!$D198,Tree!$F:$F,"L")-P198)</f>
        <v/>
      </c>
      <c r="U198" s="122" t="str">
        <f>IF(B198="","",SUMIFS(Tree!$AL:$AL,Tree!$A:$A,'Pre-Harvest Plots_rpt'!$B198,Tree!$B:$B,'Pre-Harvest Plots_rpt'!$D198,Tree!$F:$F,"L")-Q198)</f>
        <v/>
      </c>
      <c r="V198" s="123" t="str">
        <f>IF(B198="","",ROUND(SUMIFS(Tree!$AE:$AE,Tree!$A:$A,'Pre-Harvest Plots_rpt'!$B198,Tree!$B:$B,'Pre-Harvest Plots_rpt'!$D198,Tree!$F:$F,"L")-R198,1))</f>
        <v/>
      </c>
      <c r="W198" s="124" t="str">
        <f>IF(B198="","",SUMIFS(Tree!$AY:$AY,Tree!$A:$A,'Pre-Harvest Plots_rpt'!$B198,Tree!$B:$B,'Pre-Harvest Plots_rpt'!$D198,Tree!$F:$F,"L")/1000)</f>
        <v/>
      </c>
      <c r="X198" s="158" t="str">
        <f>IF(B198="","",ROUND((SUMIFS(Tree!$AW:$AW,Tree!$A:$A,'Pre-Harvest Plots_rpt'!$B198,Tree!$B:$B,'Pre-Harvest Plots_rpt'!$D198,Tree!$F:$F,"L")/1000)-W198,1))</f>
        <v/>
      </c>
      <c r="Y198" s="135"/>
      <c r="Z198" s="161" t="str">
        <f>IF(IF(B198="","",SUMIFS(Tree!$O:$O,Tree!$A:$A,'Pre-Harvest Plots_rpt'!$B198,Tree!$B:$B,'Pre-Harvest Plots_rpt'!$D198,Tree!$F:$F,"D"))=0,"",IF(B198="","",SUMIFS(Tree!$O:$O,Tree!$A:$A,'Pre-Harvest Plots_rpt'!$B198,Tree!$B:$B,'Pre-Harvest Plots_rpt'!$D198,Tree!$F:$F,"D")))</f>
        <v/>
      </c>
      <c r="AA198" s="125" t="str">
        <f t="shared" si="18"/>
        <v/>
      </c>
      <c r="AB198" s="125" t="str">
        <f>IF(Z198="","",SUMIFS(Tree!$R:$R,Tree!$A:$A,'Pre-Harvest Plots_rpt'!$B198,Tree!$B:$B,'Pre-Harvest Plots_rpt'!$D198,Tree!$F:$F,"D"))</f>
        <v/>
      </c>
      <c r="AC198" s="126" t="str">
        <f>IF(Z198="","",SUMIFS(Tree!$AM:$AM,Tree!$A:$A,'Pre-Harvest Plots_rpt'!$B198,Tree!$B:$B,'Pre-Harvest Plots_rpt'!$D198,Tree!$F:$F,"D"))</f>
        <v/>
      </c>
      <c r="AD198" s="162" t="str">
        <f>IF(Z198="","",SUMIFS(Tree!$AW:$AW,Tree!$A:$A,'Pre-Harvest Plots_rpt'!$B198,Tree!$B:$B,'Pre-Harvest Plots_rpt'!$D198,Tree!$F:$F,"D")/1000)</f>
        <v/>
      </c>
      <c r="AE198" s="47"/>
      <c r="AF198" s="4"/>
      <c r="AG198" s="4"/>
      <c r="AH198" s="4"/>
    </row>
    <row r="199" spans="1:34" ht="12.75" customHeight="1" thickBot="1" x14ac:dyDescent="0.3">
      <c r="A199" s="48">
        <v>196</v>
      </c>
      <c r="B199" s="174" t="str">
        <f>IF(A199&lt;=SUM(Stand!$H$3:$H$29),VLOOKUP(A199,Stand!$A$3:$C$29,3,TRUE),"")</f>
        <v/>
      </c>
      <c r="C199" s="175" t="str">
        <f t="shared" si="17"/>
        <v/>
      </c>
      <c r="D199" s="176" t="str">
        <f>IF(B199="","",VLOOKUP(B199&amp;C199,Plot!$B$2:$D$199,3,FALSE))</f>
        <v/>
      </c>
      <c r="E199" s="130"/>
      <c r="F199" s="152" t="str">
        <f>IF(B199="","",SUMIFS(Tree!$O:$O,Tree!$A:$A,'Pre-Harvest Plots_rpt'!$B199,Tree!$B:$B,'Pre-Harvest Plots_rpt'!$D199,Tree!$F:$F,"L"))</f>
        <v/>
      </c>
      <c r="G199" s="153" t="str">
        <f>IFERROR(IF(D199="","",SUMIFS(Tree!$P:$P,Tree!$A:$A,'Pre-Harvest Plots_rpt'!$B199,Tree!$B:$B,'Pre-Harvest Plots_rpt'!$D199)/$F199),"")</f>
        <v/>
      </c>
      <c r="H199" s="122" t="str">
        <f t="shared" si="15"/>
        <v/>
      </c>
      <c r="I199" s="121" t="str">
        <f>IF(OR($F199=0,$F199=""),"",SUMIFS(Tree!$R:$R,Tree!$A:$A,'Pre-Harvest Plots_rpt'!$B199,Tree!$B:$B,'Pre-Harvest Plots_rpt'!$D199,Tree!$F:$F,"L"))</f>
        <v/>
      </c>
      <c r="J199" s="121" t="str">
        <f>IF(OR($F199=0,$F199=""),"",IF(SUMIFS(Tree!$W:$W,Tree!$A:$A,'Pre-Harvest Plots_rpt'!$B199,Tree!$B:$B,'Pre-Harvest Plots_rpt'!$D199,Tree!$F:$F,"L")=0,0,AVERAGEIFS(Tree!$W:$W,Tree!$A:$A,'Pre-Harvest Plots_rpt'!$B199,Tree!$B:$B,'Pre-Harvest Plots_rpt'!$D199,Tree!$F:$F,"L")))</f>
        <v/>
      </c>
      <c r="K199" s="121" t="str">
        <f>IF($F199="","",SUMIFS(Tree!$S:$S,Tree!$A:$A,'Pre-Harvest Plots_rpt'!$B199,Tree!$B:$B,'Pre-Harvest Plots_rpt'!$D199,Tree!$F:$F,"L"))</f>
        <v/>
      </c>
      <c r="L199" s="154" t="str">
        <f t="shared" si="16"/>
        <v/>
      </c>
      <c r="M199" s="135"/>
      <c r="N199" s="192" t="str">
        <f>IF(B199="","",SUMIFS(Tree!$AM:$AM,Tree!$A:$A,'Pre-Harvest Plots_rpt'!$B199,Tree!$B:$B,'Pre-Harvest Plots_rpt'!$D199,Tree!$F:$F,"L"))</f>
        <v/>
      </c>
      <c r="O199" s="122" t="str">
        <f>IF(B199="","",SUMIFS(Tree!$AN:$AN,Tree!$A:$A,'Pre-Harvest Plots_rpt'!$B199,Tree!$B:$B,'Pre-Harvest Plots_rpt'!$D199,Tree!$F:$F,"L"))</f>
        <v/>
      </c>
      <c r="P199" s="122" t="str">
        <f>IF(B199="","",SUMIFS(Tree!$AO:$AO,Tree!$A:$A,'Pre-Harvest Plots_rpt'!$B199,Tree!$B:$B,'Pre-Harvest Plots_rpt'!$D199,Tree!$F:$F,"L"))</f>
        <v/>
      </c>
      <c r="Q199" s="122" t="str">
        <f>IF(B199="","",SUMIFS(Tree!$AP:$AP,Tree!$A:$A,'Pre-Harvest Plots_rpt'!$B199,Tree!$B:$B,'Pre-Harvest Plots_rpt'!$D199,Tree!$F:$F,"L"))</f>
        <v/>
      </c>
      <c r="R199" s="123" t="str">
        <f>IF(B199="","",SUMIFS(Tree!$AQ:$AQ,Tree!$A:$A,'Pre-Harvest Plots_rpt'!$B199,Tree!$B:$B,'Pre-Harvest Plots_rpt'!$D199,Tree!$F:$F,"L"))</f>
        <v/>
      </c>
      <c r="S199" s="122" t="str">
        <f>IF(B199="","",SUMIFS(Tree!$AJ:$AJ,Tree!$A:$A,'Pre-Harvest Plots_rpt'!$B199,Tree!$B:$B,'Pre-Harvest Plots_rpt'!$D199,Tree!$F:$F,"L")-O199)</f>
        <v/>
      </c>
      <c r="T199" s="122" t="str">
        <f>IF(B199="","",SUMIFS(Tree!$AK:$AK,Tree!$A:$A,'Pre-Harvest Plots_rpt'!$B199,Tree!$B:$B,'Pre-Harvest Plots_rpt'!$D199,Tree!$F:$F,"L")-P199)</f>
        <v/>
      </c>
      <c r="U199" s="122" t="str">
        <f>IF(B199="","",SUMIFS(Tree!$AL:$AL,Tree!$A:$A,'Pre-Harvest Plots_rpt'!$B199,Tree!$B:$B,'Pre-Harvest Plots_rpt'!$D199,Tree!$F:$F,"L")-Q199)</f>
        <v/>
      </c>
      <c r="V199" s="123" t="str">
        <f>IF(B199="","",ROUND(SUMIFS(Tree!$AE:$AE,Tree!$A:$A,'Pre-Harvest Plots_rpt'!$B199,Tree!$B:$B,'Pre-Harvest Plots_rpt'!$D199,Tree!$F:$F,"L")-R199,1))</f>
        <v/>
      </c>
      <c r="W199" s="124" t="str">
        <f>IF(B199="","",SUMIFS(Tree!$AY:$AY,Tree!$A:$A,'Pre-Harvest Plots_rpt'!$B199,Tree!$B:$B,'Pre-Harvest Plots_rpt'!$D199,Tree!$F:$F,"L")/1000)</f>
        <v/>
      </c>
      <c r="X199" s="158" t="str">
        <f>IF(B199="","",ROUND((SUMIFS(Tree!$AW:$AW,Tree!$A:$A,'Pre-Harvest Plots_rpt'!$B199,Tree!$B:$B,'Pre-Harvest Plots_rpt'!$D199,Tree!$F:$F,"L")/1000)-W199,1))</f>
        <v/>
      </c>
      <c r="Y199" s="135"/>
      <c r="Z199" s="161" t="str">
        <f>IF(IF(B199="","",SUMIFS(Tree!$O:$O,Tree!$A:$A,'Pre-Harvest Plots_rpt'!$B199,Tree!$B:$B,'Pre-Harvest Plots_rpt'!$D199,Tree!$F:$F,"D"))=0,"",IF(B199="","",SUMIFS(Tree!$O:$O,Tree!$A:$A,'Pre-Harvest Plots_rpt'!$B199,Tree!$B:$B,'Pre-Harvest Plots_rpt'!$D199,Tree!$F:$F,"D")))</f>
        <v/>
      </c>
      <c r="AA199" s="125" t="str">
        <f t="shared" si="18"/>
        <v/>
      </c>
      <c r="AB199" s="125" t="str">
        <f>IF(Z199="","",SUMIFS(Tree!$R:$R,Tree!$A:$A,'Pre-Harvest Plots_rpt'!$B199,Tree!$B:$B,'Pre-Harvest Plots_rpt'!$D199,Tree!$F:$F,"D"))</f>
        <v/>
      </c>
      <c r="AC199" s="126" t="str">
        <f>IF(Z199="","",SUMIFS(Tree!$AM:$AM,Tree!$A:$A,'Pre-Harvest Plots_rpt'!$B199,Tree!$B:$B,'Pre-Harvest Plots_rpt'!$D199,Tree!$F:$F,"D"))</f>
        <v/>
      </c>
      <c r="AD199" s="162" t="str">
        <f>IF(Z199="","",SUMIFS(Tree!$AW:$AW,Tree!$A:$A,'Pre-Harvest Plots_rpt'!$B199,Tree!$B:$B,'Pre-Harvest Plots_rpt'!$D199,Tree!$F:$F,"D")/1000)</f>
        <v/>
      </c>
      <c r="AE199" s="47"/>
      <c r="AF199" s="4"/>
      <c r="AG199" s="4"/>
      <c r="AH199" s="4"/>
    </row>
    <row r="200" spans="1:34" s="132" customFormat="1" ht="12.75" customHeight="1" x14ac:dyDescent="0.25">
      <c r="A200" s="137"/>
      <c r="B200" s="141"/>
      <c r="C200" s="142"/>
      <c r="D200" s="143"/>
      <c r="E200" s="143"/>
      <c r="F200" s="144"/>
      <c r="G200" s="145"/>
      <c r="H200" s="145"/>
      <c r="I200" s="144"/>
      <c r="J200" s="144"/>
      <c r="K200" s="144"/>
      <c r="L200" s="144"/>
      <c r="M200" s="144"/>
      <c r="N200" s="146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4"/>
      <c r="Z200" s="144"/>
      <c r="AA200" s="144"/>
      <c r="AB200" s="144"/>
      <c r="AC200" s="144"/>
      <c r="AD200" s="144"/>
      <c r="AE200" s="138"/>
      <c r="AF200" s="136"/>
      <c r="AG200" s="136"/>
      <c r="AH200" s="136"/>
    </row>
    <row r="201" spans="1:34" s="132" customFormat="1" ht="12.75" customHeight="1" x14ac:dyDescent="0.25">
      <c r="A201" s="137"/>
      <c r="B201" s="139"/>
      <c r="C201" s="136"/>
      <c r="D201" s="131"/>
      <c r="E201" s="131"/>
      <c r="F201" s="58"/>
      <c r="G201" s="140"/>
      <c r="H201" s="140"/>
      <c r="I201" s="58"/>
      <c r="J201" s="58"/>
      <c r="K201" s="58"/>
      <c r="L201" s="58"/>
      <c r="M201" s="135"/>
      <c r="N201" s="135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35"/>
      <c r="Z201" s="58"/>
      <c r="AA201" s="58"/>
      <c r="AB201" s="58"/>
      <c r="AC201" s="58"/>
      <c r="AD201" s="58"/>
      <c r="AE201" s="138"/>
      <c r="AF201" s="136"/>
      <c r="AG201" s="136"/>
      <c r="AH201" s="136"/>
    </row>
    <row r="202" spans="1:34" s="132" customFormat="1" ht="12.75" customHeight="1" x14ac:dyDescent="0.25">
      <c r="A202" s="137"/>
      <c r="B202" s="139"/>
      <c r="C202" s="136"/>
      <c r="D202" s="131"/>
      <c r="E202" s="131"/>
      <c r="F202" s="58"/>
      <c r="G202" s="140"/>
      <c r="H202" s="140"/>
      <c r="I202" s="58"/>
      <c r="J202" s="58"/>
      <c r="K202" s="58"/>
      <c r="L202" s="58"/>
      <c r="M202" s="135"/>
      <c r="N202" s="135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35"/>
      <c r="Z202" s="58"/>
      <c r="AA202" s="58"/>
      <c r="AB202" s="58"/>
      <c r="AC202" s="58"/>
      <c r="AD202" s="58"/>
      <c r="AE202" s="138"/>
      <c r="AF202" s="136"/>
      <c r="AG202" s="136"/>
      <c r="AH202" s="136"/>
    </row>
    <row r="203" spans="1:34" s="132" customFormat="1" ht="12.75" customHeight="1" x14ac:dyDescent="0.25">
      <c r="A203" s="137"/>
      <c r="B203" s="139"/>
      <c r="C203" s="136"/>
      <c r="D203" s="131"/>
      <c r="E203" s="131"/>
      <c r="F203" s="58"/>
      <c r="G203" s="140"/>
      <c r="H203" s="140"/>
      <c r="I203" s="58"/>
      <c r="J203" s="58"/>
      <c r="K203" s="58"/>
      <c r="L203" s="58"/>
      <c r="M203" s="135"/>
      <c r="N203" s="135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35"/>
      <c r="Z203" s="58"/>
      <c r="AA203" s="58"/>
      <c r="AB203" s="58"/>
      <c r="AC203" s="58"/>
      <c r="AD203" s="58"/>
      <c r="AE203" s="138"/>
      <c r="AF203" s="136"/>
      <c r="AG203" s="136"/>
      <c r="AH203" s="136"/>
    </row>
    <row r="204" spans="1:34" s="132" customFormat="1" ht="12.75" customHeight="1" x14ac:dyDescent="0.25">
      <c r="A204" s="137"/>
      <c r="B204" s="139"/>
      <c r="C204" s="136"/>
      <c r="D204" s="131"/>
      <c r="E204" s="131"/>
      <c r="F204" s="58"/>
      <c r="G204" s="140"/>
      <c r="H204" s="140"/>
      <c r="I204" s="58"/>
      <c r="J204" s="58"/>
      <c r="K204" s="58"/>
      <c r="L204" s="58"/>
      <c r="M204" s="135"/>
      <c r="N204" s="135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35"/>
      <c r="Z204" s="58"/>
      <c r="AA204" s="58"/>
      <c r="AB204" s="58"/>
      <c r="AC204" s="58"/>
      <c r="AD204" s="58"/>
      <c r="AE204" s="138"/>
      <c r="AF204" s="136"/>
      <c r="AG204" s="136"/>
      <c r="AH204" s="136"/>
    </row>
    <row r="205" spans="1:34" s="132" customFormat="1" ht="12.75" customHeight="1" x14ac:dyDescent="0.25">
      <c r="A205" s="137"/>
      <c r="B205" s="139"/>
      <c r="C205" s="136"/>
      <c r="D205" s="131"/>
      <c r="E205" s="131"/>
      <c r="F205" s="58"/>
      <c r="G205" s="140"/>
      <c r="H205" s="140"/>
      <c r="I205" s="58"/>
      <c r="J205" s="58"/>
      <c r="K205" s="58"/>
      <c r="L205" s="58"/>
      <c r="M205" s="135"/>
      <c r="N205" s="135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35"/>
      <c r="Z205" s="58"/>
      <c r="AA205" s="58"/>
      <c r="AB205" s="58"/>
      <c r="AC205" s="58"/>
      <c r="AD205" s="58"/>
      <c r="AE205" s="138"/>
      <c r="AF205" s="136"/>
      <c r="AG205" s="136"/>
      <c r="AH205" s="136"/>
    </row>
    <row r="206" spans="1:34" s="132" customFormat="1" ht="12.75" customHeight="1" x14ac:dyDescent="0.25">
      <c r="A206" s="137"/>
      <c r="B206" s="139"/>
      <c r="C206" s="136"/>
      <c r="D206" s="131"/>
      <c r="E206" s="131"/>
      <c r="F206" s="58"/>
      <c r="G206" s="140"/>
      <c r="H206" s="140"/>
      <c r="I206" s="58"/>
      <c r="J206" s="58"/>
      <c r="K206" s="58"/>
      <c r="L206" s="58"/>
      <c r="M206" s="135"/>
      <c r="N206" s="135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35"/>
      <c r="Z206" s="58"/>
      <c r="AA206" s="58"/>
      <c r="AB206" s="58"/>
      <c r="AC206" s="58"/>
      <c r="AD206" s="58"/>
      <c r="AE206" s="138"/>
      <c r="AF206" s="136"/>
      <c r="AG206" s="136"/>
      <c r="AH206" s="136"/>
    </row>
    <row r="207" spans="1:34" s="132" customFormat="1" ht="12.75" customHeight="1" x14ac:dyDescent="0.25">
      <c r="A207" s="137"/>
      <c r="B207" s="139"/>
      <c r="C207" s="136"/>
      <c r="D207" s="131"/>
      <c r="E207" s="131"/>
      <c r="F207" s="58"/>
      <c r="G207" s="140"/>
      <c r="H207" s="140"/>
      <c r="I207" s="58"/>
      <c r="J207" s="58"/>
      <c r="K207" s="58"/>
      <c r="L207" s="58"/>
      <c r="M207" s="135"/>
      <c r="N207" s="135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35"/>
      <c r="Z207" s="58"/>
      <c r="AA207" s="58"/>
      <c r="AB207" s="58"/>
      <c r="AC207" s="58"/>
      <c r="AD207" s="58"/>
      <c r="AE207" s="138"/>
      <c r="AF207" s="136"/>
      <c r="AG207" s="136"/>
      <c r="AH207" s="136"/>
    </row>
    <row r="208" spans="1:34" s="132" customFormat="1" ht="12.75" customHeight="1" x14ac:dyDescent="0.25">
      <c r="A208" s="137"/>
      <c r="B208" s="139"/>
      <c r="C208" s="136"/>
      <c r="D208" s="131"/>
      <c r="E208" s="131"/>
      <c r="F208" s="58"/>
      <c r="G208" s="140"/>
      <c r="H208" s="140"/>
      <c r="I208" s="58"/>
      <c r="J208" s="58"/>
      <c r="K208" s="58"/>
      <c r="L208" s="58"/>
      <c r="M208" s="135"/>
      <c r="N208" s="135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35"/>
      <c r="Z208" s="58"/>
      <c r="AA208" s="58"/>
      <c r="AB208" s="58"/>
      <c r="AC208" s="58"/>
      <c r="AD208" s="58"/>
      <c r="AE208" s="138"/>
      <c r="AF208" s="136"/>
      <c r="AG208" s="136"/>
      <c r="AH208" s="136"/>
    </row>
    <row r="209" spans="1:34" s="132" customFormat="1" ht="12.75" customHeight="1" x14ac:dyDescent="0.25">
      <c r="A209" s="137"/>
      <c r="B209" s="139"/>
      <c r="C209" s="136"/>
      <c r="D209" s="131"/>
      <c r="E209" s="131"/>
      <c r="F209" s="58"/>
      <c r="G209" s="140"/>
      <c r="H209" s="140"/>
      <c r="I209" s="58"/>
      <c r="J209" s="58"/>
      <c r="K209" s="58"/>
      <c r="L209" s="58"/>
      <c r="M209" s="135"/>
      <c r="N209" s="135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35"/>
      <c r="Z209" s="58"/>
      <c r="AA209" s="58"/>
      <c r="AB209" s="58"/>
      <c r="AC209" s="58"/>
      <c r="AD209" s="58"/>
      <c r="AE209" s="138"/>
      <c r="AF209" s="136"/>
      <c r="AG209" s="136"/>
      <c r="AH209" s="136"/>
    </row>
    <row r="210" spans="1:34" s="132" customFormat="1" ht="12.75" customHeight="1" x14ac:dyDescent="0.25">
      <c r="A210" s="137"/>
      <c r="B210" s="139"/>
      <c r="C210" s="136"/>
      <c r="D210" s="131"/>
      <c r="E210" s="131"/>
      <c r="F210" s="58"/>
      <c r="G210" s="140"/>
      <c r="H210" s="140"/>
      <c r="I210" s="58"/>
      <c r="J210" s="58"/>
      <c r="K210" s="58"/>
      <c r="L210" s="58"/>
      <c r="M210" s="135"/>
      <c r="N210" s="135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35"/>
      <c r="Z210" s="58"/>
      <c r="AA210" s="58"/>
      <c r="AB210" s="58"/>
      <c r="AC210" s="58"/>
      <c r="AD210" s="58"/>
      <c r="AE210" s="138"/>
      <c r="AF210" s="136"/>
      <c r="AG210" s="136"/>
      <c r="AH210" s="136"/>
    </row>
    <row r="211" spans="1:34" s="132" customFormat="1" ht="12.75" customHeight="1" x14ac:dyDescent="0.25">
      <c r="A211" s="137"/>
      <c r="B211" s="139"/>
      <c r="C211" s="136"/>
      <c r="D211" s="131"/>
      <c r="E211" s="131"/>
      <c r="F211" s="58"/>
      <c r="G211" s="140"/>
      <c r="H211" s="140"/>
      <c r="I211" s="58"/>
      <c r="J211" s="58"/>
      <c r="K211" s="58"/>
      <c r="L211" s="58"/>
      <c r="M211" s="135"/>
      <c r="N211" s="135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35"/>
      <c r="Z211" s="58"/>
      <c r="AA211" s="58"/>
      <c r="AB211" s="58"/>
      <c r="AC211" s="58"/>
      <c r="AD211" s="58"/>
      <c r="AE211" s="138"/>
      <c r="AF211" s="136"/>
      <c r="AG211" s="136"/>
      <c r="AH211" s="136"/>
    </row>
    <row r="212" spans="1:34" s="132" customFormat="1" ht="12.75" customHeight="1" x14ac:dyDescent="0.25">
      <c r="A212" s="137"/>
      <c r="B212" s="139"/>
      <c r="C212" s="136"/>
      <c r="D212" s="131"/>
      <c r="E212" s="131"/>
      <c r="F212" s="58"/>
      <c r="G212" s="140"/>
      <c r="H212" s="140"/>
      <c r="I212" s="58"/>
      <c r="J212" s="58"/>
      <c r="K212" s="58"/>
      <c r="L212" s="58"/>
      <c r="M212" s="135"/>
      <c r="N212" s="135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35"/>
      <c r="Z212" s="58"/>
      <c r="AA212" s="58"/>
      <c r="AB212" s="58"/>
      <c r="AC212" s="58"/>
      <c r="AD212" s="58"/>
      <c r="AE212" s="138"/>
      <c r="AF212" s="136"/>
      <c r="AG212" s="136"/>
      <c r="AH212" s="136"/>
    </row>
    <row r="213" spans="1:34" s="132" customFormat="1" ht="12.75" customHeight="1" x14ac:dyDescent="0.25">
      <c r="A213" s="137"/>
      <c r="B213" s="139"/>
      <c r="C213" s="136"/>
      <c r="D213" s="131"/>
      <c r="E213" s="131"/>
      <c r="F213" s="58"/>
      <c r="G213" s="140"/>
      <c r="H213" s="140"/>
      <c r="I213" s="58"/>
      <c r="J213" s="58"/>
      <c r="K213" s="58"/>
      <c r="L213" s="58"/>
      <c r="M213" s="135"/>
      <c r="N213" s="135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35"/>
      <c r="Z213" s="58"/>
      <c r="AA213" s="58"/>
      <c r="AB213" s="58"/>
      <c r="AC213" s="58"/>
      <c r="AD213" s="58"/>
      <c r="AE213" s="138"/>
      <c r="AF213" s="136"/>
      <c r="AG213" s="136"/>
      <c r="AH213" s="136"/>
    </row>
    <row r="214" spans="1:34" s="132" customFormat="1" ht="12.75" customHeight="1" x14ac:dyDescent="0.25">
      <c r="A214" s="137"/>
      <c r="B214" s="139"/>
      <c r="C214" s="136"/>
      <c r="D214" s="131"/>
      <c r="E214" s="131"/>
      <c r="F214" s="58"/>
      <c r="G214" s="140"/>
      <c r="H214" s="140"/>
      <c r="I214" s="58"/>
      <c r="J214" s="58"/>
      <c r="K214" s="58"/>
      <c r="L214" s="58"/>
      <c r="M214" s="135"/>
      <c r="N214" s="135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35"/>
      <c r="Z214" s="58"/>
      <c r="AA214" s="58"/>
      <c r="AB214" s="58"/>
      <c r="AC214" s="58"/>
      <c r="AD214" s="58"/>
      <c r="AE214" s="138"/>
      <c r="AF214" s="136"/>
      <c r="AG214" s="136"/>
      <c r="AH214" s="136"/>
    </row>
    <row r="215" spans="1:34" s="132" customFormat="1" ht="12.75" customHeight="1" x14ac:dyDescent="0.25">
      <c r="A215" s="137"/>
      <c r="B215" s="139"/>
      <c r="C215" s="136"/>
      <c r="D215" s="131"/>
      <c r="E215" s="131"/>
      <c r="F215" s="58"/>
      <c r="G215" s="140"/>
      <c r="H215" s="140"/>
      <c r="I215" s="58"/>
      <c r="J215" s="58"/>
      <c r="K215" s="58"/>
      <c r="L215" s="58"/>
      <c r="M215" s="135"/>
      <c r="N215" s="135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35"/>
      <c r="Z215" s="58"/>
      <c r="AA215" s="58"/>
      <c r="AB215" s="58"/>
      <c r="AC215" s="58"/>
      <c r="AD215" s="58"/>
      <c r="AE215" s="138"/>
      <c r="AF215" s="136"/>
      <c r="AG215" s="136"/>
      <c r="AH215" s="136"/>
    </row>
    <row r="216" spans="1:34" s="132" customFormat="1" ht="12.75" customHeight="1" x14ac:dyDescent="0.25">
      <c r="A216" s="137"/>
      <c r="B216" s="139"/>
      <c r="C216" s="136"/>
      <c r="D216" s="131"/>
      <c r="E216" s="131"/>
      <c r="F216" s="58"/>
      <c r="G216" s="140"/>
      <c r="H216" s="140"/>
      <c r="I216" s="58"/>
      <c r="J216" s="58"/>
      <c r="K216" s="58"/>
      <c r="L216" s="58"/>
      <c r="M216" s="135"/>
      <c r="N216" s="135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35"/>
      <c r="Z216" s="58"/>
      <c r="AA216" s="58"/>
      <c r="AB216" s="58"/>
      <c r="AC216" s="58"/>
      <c r="AD216" s="58"/>
      <c r="AE216" s="138"/>
      <c r="AF216" s="136"/>
      <c r="AG216" s="136"/>
      <c r="AH216" s="136"/>
    </row>
    <row r="217" spans="1:34" s="132" customFormat="1" ht="12.75" customHeight="1" x14ac:dyDescent="0.25">
      <c r="A217" s="137"/>
      <c r="B217" s="139"/>
      <c r="C217" s="136"/>
      <c r="D217" s="131"/>
      <c r="E217" s="131"/>
      <c r="F217" s="58"/>
      <c r="G217" s="140"/>
      <c r="H217" s="140"/>
      <c r="I217" s="58"/>
      <c r="J217" s="58"/>
      <c r="K217" s="58"/>
      <c r="L217" s="58"/>
      <c r="M217" s="135"/>
      <c r="N217" s="135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35"/>
      <c r="Z217" s="58"/>
      <c r="AA217" s="58"/>
      <c r="AB217" s="58"/>
      <c r="AC217" s="58"/>
      <c r="AD217" s="58"/>
      <c r="AE217" s="138"/>
      <c r="AF217" s="136"/>
      <c r="AG217" s="136"/>
      <c r="AH217" s="136"/>
    </row>
    <row r="218" spans="1:34" s="132" customFormat="1" ht="12.75" customHeight="1" x14ac:dyDescent="0.25">
      <c r="A218" s="137"/>
      <c r="B218" s="139"/>
      <c r="C218" s="136"/>
      <c r="D218" s="131"/>
      <c r="E218" s="131"/>
      <c r="F218" s="58"/>
      <c r="G218" s="140"/>
      <c r="H218" s="140"/>
      <c r="I218" s="58"/>
      <c r="J218" s="58"/>
      <c r="K218" s="58"/>
      <c r="L218" s="58"/>
      <c r="M218" s="135"/>
      <c r="N218" s="135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35"/>
      <c r="Z218" s="58"/>
      <c r="AA218" s="58"/>
      <c r="AB218" s="58"/>
      <c r="AC218" s="58"/>
      <c r="AD218" s="58"/>
      <c r="AE218" s="138"/>
      <c r="AF218" s="136"/>
      <c r="AG218" s="136"/>
      <c r="AH218" s="136"/>
    </row>
    <row r="219" spans="1:34" s="132" customFormat="1" ht="12.75" customHeight="1" x14ac:dyDescent="0.25">
      <c r="A219" s="137"/>
      <c r="B219" s="139"/>
      <c r="C219" s="136"/>
      <c r="D219" s="131"/>
      <c r="E219" s="131"/>
      <c r="F219" s="58"/>
      <c r="G219" s="140"/>
      <c r="H219" s="140"/>
      <c r="I219" s="58"/>
      <c r="J219" s="58"/>
      <c r="K219" s="58"/>
      <c r="L219" s="58"/>
      <c r="M219" s="135"/>
      <c r="N219" s="135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35"/>
      <c r="Z219" s="58"/>
      <c r="AA219" s="58"/>
      <c r="AB219" s="58"/>
      <c r="AC219" s="58"/>
      <c r="AD219" s="58"/>
      <c r="AE219" s="138"/>
      <c r="AF219" s="136"/>
      <c r="AG219" s="136"/>
      <c r="AH219" s="136"/>
    </row>
    <row r="220" spans="1:34" s="132" customFormat="1" ht="12.75" customHeight="1" x14ac:dyDescent="0.25">
      <c r="A220" s="137"/>
      <c r="B220" s="139"/>
      <c r="C220" s="136"/>
      <c r="D220" s="131"/>
      <c r="E220" s="131"/>
      <c r="F220" s="58"/>
      <c r="G220" s="140"/>
      <c r="H220" s="140"/>
      <c r="I220" s="58"/>
      <c r="J220" s="58"/>
      <c r="K220" s="58"/>
      <c r="L220" s="58"/>
      <c r="M220" s="135"/>
      <c r="N220" s="135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35"/>
      <c r="Z220" s="58"/>
      <c r="AA220" s="58"/>
      <c r="AB220" s="58"/>
      <c r="AC220" s="58"/>
      <c r="AD220" s="58"/>
      <c r="AE220" s="138"/>
      <c r="AF220" s="136"/>
      <c r="AG220" s="136"/>
      <c r="AH220" s="136"/>
    </row>
    <row r="221" spans="1:34" s="132" customFormat="1" ht="12.75" customHeight="1" x14ac:dyDescent="0.25">
      <c r="A221" s="137"/>
      <c r="B221" s="139"/>
      <c r="C221" s="136"/>
      <c r="D221" s="131"/>
      <c r="E221" s="131"/>
      <c r="F221" s="58"/>
      <c r="G221" s="140"/>
      <c r="H221" s="140"/>
      <c r="I221" s="58"/>
      <c r="J221" s="58"/>
      <c r="K221" s="58"/>
      <c r="L221" s="58"/>
      <c r="M221" s="135"/>
      <c r="N221" s="135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35"/>
      <c r="Z221" s="58"/>
      <c r="AA221" s="58"/>
      <c r="AB221" s="58"/>
      <c r="AC221" s="58"/>
      <c r="AD221" s="58"/>
      <c r="AE221" s="138"/>
      <c r="AF221" s="136"/>
      <c r="AG221" s="136"/>
      <c r="AH221" s="136"/>
    </row>
    <row r="222" spans="1:34" s="132" customFormat="1" ht="12.75" customHeight="1" x14ac:dyDescent="0.25">
      <c r="A222" s="137"/>
      <c r="B222" s="139"/>
      <c r="C222" s="136"/>
      <c r="D222" s="131"/>
      <c r="E222" s="131"/>
      <c r="F222" s="58"/>
      <c r="G222" s="140"/>
      <c r="H222" s="140"/>
      <c r="I222" s="58"/>
      <c r="J222" s="58"/>
      <c r="K222" s="58"/>
      <c r="L222" s="58"/>
      <c r="M222" s="135"/>
      <c r="N222" s="135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35"/>
      <c r="Z222" s="58"/>
      <c r="AA222" s="58"/>
      <c r="AB222" s="58"/>
      <c r="AC222" s="58"/>
      <c r="AD222" s="58"/>
      <c r="AE222" s="138"/>
      <c r="AF222" s="136"/>
      <c r="AG222" s="136"/>
      <c r="AH222" s="136"/>
    </row>
    <row r="223" spans="1:34" s="132" customFormat="1" ht="12.75" customHeight="1" x14ac:dyDescent="0.25">
      <c r="A223" s="137"/>
      <c r="B223" s="139"/>
      <c r="C223" s="136"/>
      <c r="D223" s="131"/>
      <c r="E223" s="131"/>
      <c r="F223" s="58"/>
      <c r="G223" s="140"/>
      <c r="H223" s="140"/>
      <c r="I223" s="58"/>
      <c r="J223" s="58"/>
      <c r="K223" s="58"/>
      <c r="L223" s="58"/>
      <c r="M223" s="135"/>
      <c r="N223" s="135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35"/>
      <c r="Z223" s="58"/>
      <c r="AA223" s="58"/>
      <c r="AB223" s="58"/>
      <c r="AC223" s="58"/>
      <c r="AD223" s="58"/>
      <c r="AE223" s="138"/>
      <c r="AF223" s="136"/>
      <c r="AG223" s="136"/>
      <c r="AH223" s="136"/>
    </row>
    <row r="224" spans="1:34" s="132" customFormat="1" ht="12.75" customHeight="1" x14ac:dyDescent="0.25">
      <c r="A224" s="137"/>
      <c r="B224" s="139"/>
      <c r="C224" s="136"/>
      <c r="D224" s="131"/>
      <c r="E224" s="131"/>
      <c r="F224" s="58"/>
      <c r="G224" s="140"/>
      <c r="H224" s="140"/>
      <c r="I224" s="58"/>
      <c r="J224" s="58"/>
      <c r="K224" s="58"/>
      <c r="L224" s="58"/>
      <c r="M224" s="135"/>
      <c r="N224" s="135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35"/>
      <c r="Z224" s="58"/>
      <c r="AA224" s="58"/>
      <c r="AB224" s="58"/>
      <c r="AC224" s="58"/>
      <c r="AD224" s="58"/>
      <c r="AE224" s="138"/>
      <c r="AF224" s="136"/>
      <c r="AG224" s="136"/>
      <c r="AH224" s="136"/>
    </row>
    <row r="225" spans="1:34" s="132" customFormat="1" ht="12.75" customHeight="1" x14ac:dyDescent="0.25">
      <c r="A225" s="137"/>
      <c r="B225" s="139"/>
      <c r="C225" s="136"/>
      <c r="D225" s="131"/>
      <c r="E225" s="131"/>
      <c r="F225" s="58"/>
      <c r="G225" s="140"/>
      <c r="H225" s="140"/>
      <c r="I225" s="58"/>
      <c r="J225" s="58"/>
      <c r="K225" s="58"/>
      <c r="L225" s="58"/>
      <c r="M225" s="135"/>
      <c r="N225" s="135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35"/>
      <c r="Z225" s="58"/>
      <c r="AA225" s="58"/>
      <c r="AB225" s="58"/>
      <c r="AC225" s="58"/>
      <c r="AD225" s="58"/>
      <c r="AE225" s="138"/>
      <c r="AF225" s="136"/>
      <c r="AG225" s="136"/>
      <c r="AH225" s="136"/>
    </row>
    <row r="226" spans="1:34" s="132" customFormat="1" ht="12.75" customHeight="1" x14ac:dyDescent="0.25">
      <c r="A226" s="137"/>
      <c r="B226" s="139"/>
      <c r="C226" s="136"/>
      <c r="D226" s="131"/>
      <c r="E226" s="131"/>
      <c r="F226" s="58"/>
      <c r="G226" s="140"/>
      <c r="H226" s="140"/>
      <c r="I226" s="58"/>
      <c r="J226" s="58"/>
      <c r="K226" s="58"/>
      <c r="L226" s="58"/>
      <c r="M226" s="135"/>
      <c r="N226" s="135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35"/>
      <c r="Z226" s="58"/>
      <c r="AA226" s="58"/>
      <c r="AB226" s="58"/>
      <c r="AC226" s="58"/>
      <c r="AD226" s="58"/>
      <c r="AE226" s="138"/>
      <c r="AF226" s="136"/>
      <c r="AG226" s="136"/>
      <c r="AH226" s="136"/>
    </row>
    <row r="227" spans="1:34" s="132" customFormat="1" ht="12.75" customHeight="1" x14ac:dyDescent="0.25">
      <c r="A227" s="137"/>
      <c r="B227" s="139"/>
      <c r="C227" s="136"/>
      <c r="D227" s="131"/>
      <c r="E227" s="131"/>
      <c r="F227" s="58"/>
      <c r="G227" s="140"/>
      <c r="H227" s="140"/>
      <c r="I227" s="58"/>
      <c r="J227" s="58"/>
      <c r="K227" s="58"/>
      <c r="L227" s="58"/>
      <c r="M227" s="135"/>
      <c r="N227" s="135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35"/>
      <c r="Z227" s="58"/>
      <c r="AA227" s="58"/>
      <c r="AB227" s="58"/>
      <c r="AC227" s="58"/>
      <c r="AD227" s="58"/>
      <c r="AE227" s="138"/>
      <c r="AF227" s="136"/>
      <c r="AG227" s="136"/>
      <c r="AH227" s="136"/>
    </row>
    <row r="228" spans="1:34" s="132" customFormat="1" ht="12.75" customHeight="1" x14ac:dyDescent="0.25">
      <c r="A228" s="137"/>
      <c r="B228" s="139"/>
      <c r="C228" s="136"/>
      <c r="D228" s="131"/>
      <c r="E228" s="131"/>
      <c r="F228" s="58"/>
      <c r="G228" s="140"/>
      <c r="H228" s="140"/>
      <c r="I228" s="58"/>
      <c r="J228" s="58"/>
      <c r="K228" s="58"/>
      <c r="L228" s="58"/>
      <c r="M228" s="135"/>
      <c r="N228" s="135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35"/>
      <c r="Z228" s="58"/>
      <c r="AA228" s="58"/>
      <c r="AB228" s="58"/>
      <c r="AC228" s="58"/>
      <c r="AD228" s="58"/>
      <c r="AE228" s="138"/>
      <c r="AF228" s="136"/>
      <c r="AG228" s="136"/>
      <c r="AH228" s="136"/>
    </row>
    <row r="229" spans="1:34" s="132" customFormat="1" ht="12.75" customHeight="1" x14ac:dyDescent="0.25">
      <c r="A229" s="137"/>
      <c r="B229" s="139"/>
      <c r="C229" s="136"/>
      <c r="D229" s="131"/>
      <c r="E229" s="131"/>
      <c r="F229" s="58"/>
      <c r="G229" s="140"/>
      <c r="H229" s="140"/>
      <c r="I229" s="58"/>
      <c r="J229" s="58"/>
      <c r="K229" s="58"/>
      <c r="L229" s="58"/>
      <c r="M229" s="135"/>
      <c r="N229" s="135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35"/>
      <c r="Z229" s="58"/>
      <c r="AA229" s="58"/>
      <c r="AB229" s="58"/>
      <c r="AC229" s="58"/>
      <c r="AD229" s="58"/>
      <c r="AE229" s="138"/>
      <c r="AF229" s="136"/>
      <c r="AG229" s="136"/>
      <c r="AH229" s="136"/>
    </row>
    <row r="230" spans="1:34" s="132" customFormat="1" ht="12.75" customHeight="1" x14ac:dyDescent="0.25">
      <c r="A230" s="137"/>
      <c r="B230" s="139"/>
      <c r="C230" s="136"/>
      <c r="D230" s="131"/>
      <c r="E230" s="131"/>
      <c r="F230" s="58"/>
      <c r="G230" s="140"/>
      <c r="H230" s="140"/>
      <c r="I230" s="58"/>
      <c r="J230" s="58"/>
      <c r="K230" s="58"/>
      <c r="L230" s="58"/>
      <c r="M230" s="135"/>
      <c r="N230" s="135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35"/>
      <c r="Z230" s="58"/>
      <c r="AA230" s="58"/>
      <c r="AB230" s="58"/>
      <c r="AC230" s="58"/>
      <c r="AD230" s="58"/>
      <c r="AE230" s="138"/>
      <c r="AF230" s="136"/>
      <c r="AG230" s="136"/>
      <c r="AH230" s="136"/>
    </row>
    <row r="231" spans="1:34" s="132" customFormat="1" ht="12.75" customHeight="1" x14ac:dyDescent="0.25">
      <c r="A231" s="137"/>
      <c r="B231" s="139"/>
      <c r="C231" s="136"/>
      <c r="D231" s="131"/>
      <c r="E231" s="131"/>
      <c r="F231" s="58"/>
      <c r="G231" s="140"/>
      <c r="H231" s="140"/>
      <c r="I231" s="58"/>
      <c r="J231" s="58"/>
      <c r="K231" s="58"/>
      <c r="L231" s="58"/>
      <c r="M231" s="135"/>
      <c r="N231" s="135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35"/>
      <c r="Z231" s="58"/>
      <c r="AA231" s="58"/>
      <c r="AB231" s="58"/>
      <c r="AC231" s="58"/>
      <c r="AD231" s="58"/>
      <c r="AE231" s="138"/>
      <c r="AF231" s="136"/>
      <c r="AG231" s="136"/>
      <c r="AH231" s="136"/>
    </row>
    <row r="232" spans="1:34" s="132" customFormat="1" ht="12.75" customHeight="1" x14ac:dyDescent="0.25">
      <c r="A232" s="137"/>
      <c r="B232" s="139"/>
      <c r="C232" s="136"/>
      <c r="D232" s="131"/>
      <c r="E232" s="131"/>
      <c r="F232" s="58"/>
      <c r="G232" s="140"/>
      <c r="H232" s="140"/>
      <c r="I232" s="58"/>
      <c r="J232" s="58"/>
      <c r="K232" s="58"/>
      <c r="L232" s="58"/>
      <c r="M232" s="135"/>
      <c r="N232" s="135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35"/>
      <c r="Z232" s="58"/>
      <c r="AA232" s="58"/>
      <c r="AB232" s="58"/>
      <c r="AC232" s="58"/>
      <c r="AD232" s="58"/>
      <c r="AE232" s="138"/>
      <c r="AF232" s="136"/>
      <c r="AG232" s="136"/>
      <c r="AH232" s="136"/>
    </row>
    <row r="233" spans="1:34" s="132" customFormat="1" ht="12.75" customHeight="1" x14ac:dyDescent="0.25">
      <c r="A233" s="137"/>
      <c r="B233" s="139"/>
      <c r="C233" s="136"/>
      <c r="D233" s="131"/>
      <c r="E233" s="131"/>
      <c r="F233" s="58"/>
      <c r="G233" s="140"/>
      <c r="H233" s="140"/>
      <c r="I233" s="58"/>
      <c r="J233" s="58"/>
      <c r="K233" s="58"/>
      <c r="L233" s="58"/>
      <c r="M233" s="135"/>
      <c r="N233" s="135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35"/>
      <c r="Z233" s="58"/>
      <c r="AA233" s="58"/>
      <c r="AB233" s="58"/>
      <c r="AC233" s="58"/>
      <c r="AD233" s="58"/>
      <c r="AE233" s="138"/>
      <c r="AF233" s="136"/>
      <c r="AG233" s="136"/>
      <c r="AH233" s="136"/>
    </row>
    <row r="234" spans="1:34" s="132" customFormat="1" ht="12.75" customHeight="1" x14ac:dyDescent="0.25">
      <c r="A234" s="137"/>
      <c r="B234" s="139"/>
      <c r="C234" s="136"/>
      <c r="D234" s="131"/>
      <c r="E234" s="131"/>
      <c r="F234" s="58"/>
      <c r="G234" s="140"/>
      <c r="H234" s="140"/>
      <c r="I234" s="58"/>
      <c r="J234" s="58"/>
      <c r="K234" s="58"/>
      <c r="L234" s="58"/>
      <c r="M234" s="135"/>
      <c r="N234" s="135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35"/>
      <c r="Z234" s="58"/>
      <c r="AA234" s="58"/>
      <c r="AB234" s="58"/>
      <c r="AC234" s="58"/>
      <c r="AD234" s="58"/>
      <c r="AE234" s="138"/>
      <c r="AF234" s="136"/>
      <c r="AG234" s="136"/>
      <c r="AH234" s="136"/>
    </row>
    <row r="235" spans="1:34" s="132" customFormat="1" ht="12.75" customHeight="1" x14ac:dyDescent="0.25">
      <c r="A235" s="137"/>
      <c r="B235" s="139"/>
      <c r="C235" s="136"/>
      <c r="D235" s="131"/>
      <c r="E235" s="131"/>
      <c r="F235" s="58"/>
      <c r="G235" s="140"/>
      <c r="H235" s="140"/>
      <c r="I235" s="58"/>
      <c r="J235" s="58"/>
      <c r="K235" s="58"/>
      <c r="L235" s="58"/>
      <c r="M235" s="135"/>
      <c r="N235" s="135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35"/>
      <c r="Z235" s="58"/>
      <c r="AA235" s="58"/>
      <c r="AB235" s="58"/>
      <c r="AC235" s="58"/>
      <c r="AD235" s="58"/>
      <c r="AE235" s="138"/>
      <c r="AF235" s="136"/>
      <c r="AG235" s="136"/>
      <c r="AH235" s="136"/>
    </row>
    <row r="236" spans="1:34" s="132" customFormat="1" ht="12.75" customHeight="1" x14ac:dyDescent="0.25">
      <c r="A236" s="137"/>
      <c r="B236" s="139"/>
      <c r="C236" s="136"/>
      <c r="D236" s="131"/>
      <c r="E236" s="131"/>
      <c r="F236" s="58"/>
      <c r="G236" s="140"/>
      <c r="H236" s="140"/>
      <c r="I236" s="58"/>
      <c r="J236" s="58"/>
      <c r="K236" s="58"/>
      <c r="L236" s="58"/>
      <c r="M236" s="135"/>
      <c r="N236" s="135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35"/>
      <c r="Z236" s="58"/>
      <c r="AA236" s="58"/>
      <c r="AB236" s="58"/>
      <c r="AC236" s="58"/>
      <c r="AD236" s="58"/>
      <c r="AE236" s="138"/>
      <c r="AF236" s="136"/>
      <c r="AG236" s="136"/>
      <c r="AH236" s="136"/>
    </row>
    <row r="237" spans="1:34" s="132" customFormat="1" ht="12.75" customHeight="1" x14ac:dyDescent="0.25">
      <c r="A237" s="137"/>
      <c r="B237" s="139"/>
      <c r="C237" s="136"/>
      <c r="D237" s="131"/>
      <c r="E237" s="131"/>
      <c r="F237" s="58"/>
      <c r="G237" s="140"/>
      <c r="H237" s="140"/>
      <c r="I237" s="58"/>
      <c r="J237" s="58"/>
      <c r="K237" s="58"/>
      <c r="L237" s="58"/>
      <c r="M237" s="135"/>
      <c r="N237" s="135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35"/>
      <c r="Z237" s="58"/>
      <c r="AA237" s="58"/>
      <c r="AB237" s="58"/>
      <c r="AC237" s="58"/>
      <c r="AD237" s="58"/>
      <c r="AE237" s="138"/>
      <c r="AF237" s="136"/>
      <c r="AG237" s="136"/>
      <c r="AH237" s="136"/>
    </row>
    <row r="238" spans="1:34" s="132" customFormat="1" ht="12.75" customHeight="1" x14ac:dyDescent="0.25">
      <c r="A238" s="137"/>
      <c r="B238" s="139"/>
      <c r="C238" s="136"/>
      <c r="D238" s="131"/>
      <c r="E238" s="131"/>
      <c r="F238" s="58"/>
      <c r="G238" s="140"/>
      <c r="H238" s="140"/>
      <c r="I238" s="58"/>
      <c r="J238" s="58"/>
      <c r="K238" s="58"/>
      <c r="L238" s="58"/>
      <c r="M238" s="135"/>
      <c r="N238" s="135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35"/>
      <c r="Z238" s="58"/>
      <c r="AA238" s="58"/>
      <c r="AB238" s="58"/>
      <c r="AC238" s="58"/>
      <c r="AD238" s="58"/>
      <c r="AE238" s="138"/>
      <c r="AF238" s="136"/>
      <c r="AG238" s="136"/>
      <c r="AH238" s="136"/>
    </row>
    <row r="239" spans="1:34" s="132" customFormat="1" ht="12.75" customHeight="1" x14ac:dyDescent="0.25">
      <c r="A239" s="137"/>
      <c r="B239" s="139"/>
      <c r="C239" s="136"/>
      <c r="D239" s="131"/>
      <c r="E239" s="131"/>
      <c r="F239" s="58"/>
      <c r="G239" s="140"/>
      <c r="H239" s="140"/>
      <c r="I239" s="58"/>
      <c r="J239" s="58"/>
      <c r="K239" s="58"/>
      <c r="L239" s="58"/>
      <c r="M239" s="135"/>
      <c r="N239" s="135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35"/>
      <c r="Z239" s="58"/>
      <c r="AA239" s="58"/>
      <c r="AB239" s="58"/>
      <c r="AC239" s="58"/>
      <c r="AD239" s="58"/>
      <c r="AE239" s="138"/>
      <c r="AF239" s="136"/>
      <c r="AG239" s="136"/>
      <c r="AH239" s="136"/>
    </row>
    <row r="240" spans="1:34" s="132" customFormat="1" ht="12.75" customHeight="1" x14ac:dyDescent="0.25">
      <c r="A240" s="137"/>
      <c r="B240" s="139"/>
      <c r="C240" s="136"/>
      <c r="D240" s="131"/>
      <c r="E240" s="131"/>
      <c r="F240" s="58"/>
      <c r="G240" s="140"/>
      <c r="H240" s="140"/>
      <c r="I240" s="58"/>
      <c r="J240" s="58"/>
      <c r="K240" s="58"/>
      <c r="L240" s="58"/>
      <c r="M240" s="135"/>
      <c r="N240" s="135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35"/>
      <c r="Z240" s="58"/>
      <c r="AA240" s="58"/>
      <c r="AB240" s="58"/>
      <c r="AC240" s="58"/>
      <c r="AD240" s="58"/>
      <c r="AE240" s="138"/>
      <c r="AF240" s="136"/>
      <c r="AG240" s="136"/>
      <c r="AH240" s="136"/>
    </row>
    <row r="241" spans="1:34" s="132" customFormat="1" ht="12.75" customHeight="1" x14ac:dyDescent="0.25">
      <c r="A241" s="137"/>
      <c r="B241" s="139"/>
      <c r="C241" s="136"/>
      <c r="D241" s="131"/>
      <c r="E241" s="131"/>
      <c r="F241" s="58"/>
      <c r="G241" s="140"/>
      <c r="H241" s="140"/>
      <c r="I241" s="58"/>
      <c r="J241" s="58"/>
      <c r="K241" s="58"/>
      <c r="L241" s="58"/>
      <c r="M241" s="135"/>
      <c r="N241" s="135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35"/>
      <c r="Z241" s="58"/>
      <c r="AA241" s="58"/>
      <c r="AB241" s="58"/>
      <c r="AC241" s="58"/>
      <c r="AD241" s="58"/>
      <c r="AE241" s="138"/>
      <c r="AF241" s="136"/>
      <c r="AG241" s="136"/>
      <c r="AH241" s="136"/>
    </row>
    <row r="242" spans="1:34" s="132" customFormat="1" ht="12.75" customHeight="1" x14ac:dyDescent="0.25">
      <c r="A242" s="137"/>
      <c r="B242" s="139"/>
      <c r="C242" s="136"/>
      <c r="D242" s="131"/>
      <c r="E242" s="131"/>
      <c r="F242" s="58"/>
      <c r="G242" s="140"/>
      <c r="H242" s="140"/>
      <c r="I242" s="58"/>
      <c r="J242" s="58"/>
      <c r="K242" s="58"/>
      <c r="L242" s="58"/>
      <c r="M242" s="135"/>
      <c r="N242" s="135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35"/>
      <c r="Z242" s="58"/>
      <c r="AA242" s="58"/>
      <c r="AB242" s="58"/>
      <c r="AC242" s="58"/>
      <c r="AD242" s="58"/>
      <c r="AE242" s="138"/>
      <c r="AF242" s="136"/>
      <c r="AG242" s="136"/>
      <c r="AH242" s="136"/>
    </row>
    <row r="243" spans="1:34" s="132" customFormat="1" ht="12.75" customHeight="1" x14ac:dyDescent="0.25">
      <c r="A243" s="137"/>
      <c r="B243" s="139"/>
      <c r="C243" s="136"/>
      <c r="D243" s="131"/>
      <c r="E243" s="131"/>
      <c r="F243" s="58"/>
      <c r="G243" s="140"/>
      <c r="H243" s="140"/>
      <c r="I243" s="58"/>
      <c r="J243" s="58"/>
      <c r="K243" s="58"/>
      <c r="L243" s="58"/>
      <c r="M243" s="135"/>
      <c r="N243" s="135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35"/>
      <c r="Z243" s="58"/>
      <c r="AA243" s="58"/>
      <c r="AB243" s="58"/>
      <c r="AC243" s="58"/>
      <c r="AD243" s="58"/>
      <c r="AE243" s="138"/>
      <c r="AF243" s="136"/>
      <c r="AG243" s="136"/>
      <c r="AH243" s="136"/>
    </row>
    <row r="244" spans="1:34" s="132" customFormat="1" ht="12.75" customHeight="1" x14ac:dyDescent="0.25">
      <c r="A244" s="137"/>
      <c r="B244" s="139"/>
      <c r="C244" s="136"/>
      <c r="D244" s="131"/>
      <c r="E244" s="131"/>
      <c r="F244" s="58"/>
      <c r="G244" s="140"/>
      <c r="H244" s="140"/>
      <c r="I244" s="58"/>
      <c r="J244" s="58"/>
      <c r="K244" s="58"/>
      <c r="L244" s="58"/>
      <c r="M244" s="135"/>
      <c r="N244" s="135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35"/>
      <c r="Z244" s="58"/>
      <c r="AA244" s="58"/>
      <c r="AB244" s="58"/>
      <c r="AC244" s="58"/>
      <c r="AD244" s="58"/>
      <c r="AE244" s="138"/>
      <c r="AF244" s="136"/>
      <c r="AG244" s="136"/>
      <c r="AH244" s="136"/>
    </row>
    <row r="245" spans="1:34" s="132" customFormat="1" ht="12.75" customHeight="1" x14ac:dyDescent="0.25">
      <c r="A245" s="137"/>
      <c r="B245" s="139"/>
      <c r="C245" s="136"/>
      <c r="D245" s="131"/>
      <c r="E245" s="131"/>
      <c r="F245" s="58"/>
      <c r="G245" s="140"/>
      <c r="H245" s="140"/>
      <c r="I245" s="58"/>
      <c r="J245" s="58"/>
      <c r="K245" s="58"/>
      <c r="L245" s="58"/>
      <c r="M245" s="135"/>
      <c r="N245" s="135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35"/>
      <c r="Z245" s="58"/>
      <c r="AA245" s="58"/>
      <c r="AB245" s="58"/>
      <c r="AC245" s="58"/>
      <c r="AD245" s="58"/>
      <c r="AE245" s="138"/>
      <c r="AF245" s="136"/>
      <c r="AG245" s="136"/>
      <c r="AH245" s="136"/>
    </row>
    <row r="246" spans="1:34" s="132" customFormat="1" ht="12.75" customHeight="1" x14ac:dyDescent="0.25">
      <c r="A246" s="137"/>
      <c r="B246" s="139"/>
      <c r="C246" s="136"/>
      <c r="D246" s="131"/>
      <c r="E246" s="131"/>
      <c r="F246" s="58"/>
      <c r="G246" s="140"/>
      <c r="H246" s="140"/>
      <c r="I246" s="58"/>
      <c r="J246" s="58"/>
      <c r="K246" s="58"/>
      <c r="L246" s="58"/>
      <c r="M246" s="135"/>
      <c r="N246" s="135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35"/>
      <c r="Z246" s="58"/>
      <c r="AA246" s="58"/>
      <c r="AB246" s="58"/>
      <c r="AC246" s="58"/>
      <c r="AD246" s="58"/>
      <c r="AE246" s="138"/>
      <c r="AF246" s="136"/>
      <c r="AG246" s="136"/>
      <c r="AH246" s="136"/>
    </row>
    <row r="247" spans="1:34" s="132" customFormat="1" ht="12.75" customHeight="1" x14ac:dyDescent="0.25">
      <c r="A247" s="137"/>
      <c r="B247" s="139"/>
      <c r="C247" s="136"/>
      <c r="D247" s="131"/>
      <c r="E247" s="131"/>
      <c r="F247" s="58"/>
      <c r="G247" s="140"/>
      <c r="H247" s="140"/>
      <c r="I247" s="58"/>
      <c r="J247" s="58"/>
      <c r="K247" s="58"/>
      <c r="L247" s="58"/>
      <c r="M247" s="135"/>
      <c r="N247" s="135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35"/>
      <c r="Z247" s="58"/>
      <c r="AA247" s="58"/>
      <c r="AB247" s="58"/>
      <c r="AC247" s="58"/>
      <c r="AD247" s="58"/>
      <c r="AE247" s="138"/>
      <c r="AF247" s="136"/>
      <c r="AG247" s="136"/>
      <c r="AH247" s="136"/>
    </row>
    <row r="248" spans="1:34" s="132" customFormat="1" ht="12.75" customHeight="1" x14ac:dyDescent="0.25">
      <c r="A248" s="137"/>
      <c r="B248" s="139"/>
      <c r="C248" s="136"/>
      <c r="D248" s="131"/>
      <c r="E248" s="131"/>
      <c r="F248" s="58"/>
      <c r="G248" s="140"/>
      <c r="H248" s="140"/>
      <c r="I248" s="58"/>
      <c r="J248" s="58"/>
      <c r="K248" s="58"/>
      <c r="L248" s="58"/>
      <c r="M248" s="135"/>
      <c r="N248" s="135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35"/>
      <c r="Z248" s="58"/>
      <c r="AA248" s="58"/>
      <c r="AB248" s="58"/>
      <c r="AC248" s="58"/>
      <c r="AD248" s="58"/>
      <c r="AE248" s="138"/>
      <c r="AF248" s="136"/>
      <c r="AG248" s="136"/>
      <c r="AH248" s="136"/>
    </row>
    <row r="249" spans="1:34" s="132" customFormat="1" ht="12.75" customHeight="1" x14ac:dyDescent="0.25">
      <c r="A249" s="137"/>
      <c r="B249" s="139"/>
      <c r="C249" s="136"/>
      <c r="D249" s="131"/>
      <c r="E249" s="131"/>
      <c r="F249" s="58"/>
      <c r="G249" s="140"/>
      <c r="H249" s="140"/>
      <c r="I249" s="58"/>
      <c r="J249" s="58"/>
      <c r="K249" s="58"/>
      <c r="L249" s="58"/>
      <c r="M249" s="135"/>
      <c r="N249" s="135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35"/>
      <c r="Z249" s="58"/>
      <c r="AA249" s="58"/>
      <c r="AB249" s="58"/>
      <c r="AC249" s="58"/>
      <c r="AD249" s="58"/>
      <c r="AE249" s="138"/>
      <c r="AF249" s="136"/>
      <c r="AG249" s="136"/>
      <c r="AH249" s="136"/>
    </row>
    <row r="250" spans="1:34" s="132" customFormat="1" ht="12.75" customHeight="1" x14ac:dyDescent="0.25">
      <c r="A250" s="137"/>
      <c r="B250" s="139"/>
      <c r="C250" s="136"/>
      <c r="D250" s="131"/>
      <c r="E250" s="131"/>
      <c r="F250" s="58"/>
      <c r="G250" s="140"/>
      <c r="H250" s="140"/>
      <c r="I250" s="58"/>
      <c r="J250" s="58"/>
      <c r="K250" s="58"/>
      <c r="L250" s="58"/>
      <c r="M250" s="135"/>
      <c r="N250" s="135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35"/>
      <c r="Z250" s="58"/>
      <c r="AA250" s="58"/>
      <c r="AB250" s="58"/>
      <c r="AC250" s="58"/>
      <c r="AD250" s="58"/>
      <c r="AE250" s="138"/>
      <c r="AF250" s="136"/>
      <c r="AG250" s="136"/>
      <c r="AH250" s="136"/>
    </row>
    <row r="251" spans="1:34" s="132" customFormat="1" ht="12.75" customHeight="1" x14ac:dyDescent="0.25">
      <c r="A251" s="137"/>
      <c r="B251" s="139"/>
      <c r="C251" s="136"/>
      <c r="D251" s="131"/>
      <c r="E251" s="131"/>
      <c r="F251" s="58"/>
      <c r="G251" s="140"/>
      <c r="H251" s="140"/>
      <c r="I251" s="58"/>
      <c r="J251" s="58"/>
      <c r="K251" s="58"/>
      <c r="L251" s="58"/>
      <c r="M251" s="135"/>
      <c r="N251" s="135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35"/>
      <c r="Z251" s="58"/>
      <c r="AA251" s="58"/>
      <c r="AB251" s="58"/>
      <c r="AC251" s="58"/>
      <c r="AD251" s="58"/>
      <c r="AE251" s="138"/>
      <c r="AF251" s="136"/>
      <c r="AG251" s="136"/>
      <c r="AH251" s="136"/>
    </row>
    <row r="252" spans="1:34" s="132" customFormat="1" ht="12.75" customHeight="1" x14ac:dyDescent="0.25">
      <c r="A252" s="137"/>
      <c r="B252" s="139"/>
      <c r="C252" s="136"/>
      <c r="D252" s="131"/>
      <c r="E252" s="131"/>
      <c r="F252" s="58"/>
      <c r="G252" s="140"/>
      <c r="H252" s="140"/>
      <c r="I252" s="58"/>
      <c r="J252" s="58"/>
      <c r="K252" s="58"/>
      <c r="L252" s="58"/>
      <c r="M252" s="135"/>
      <c r="N252" s="135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35"/>
      <c r="Z252" s="58"/>
      <c r="AA252" s="58"/>
      <c r="AB252" s="58"/>
      <c r="AC252" s="58"/>
      <c r="AD252" s="58"/>
      <c r="AE252" s="138"/>
      <c r="AF252" s="136"/>
      <c r="AG252" s="136"/>
      <c r="AH252" s="136"/>
    </row>
    <row r="253" spans="1:34" s="132" customFormat="1" ht="12.75" customHeight="1" x14ac:dyDescent="0.25">
      <c r="A253" s="137"/>
      <c r="B253" s="139"/>
      <c r="C253" s="136"/>
      <c r="D253" s="131"/>
      <c r="E253" s="131"/>
      <c r="F253" s="58"/>
      <c r="G253" s="140"/>
      <c r="H253" s="140"/>
      <c r="I253" s="58"/>
      <c r="J253" s="58"/>
      <c r="K253" s="58"/>
      <c r="L253" s="58"/>
      <c r="M253" s="135"/>
      <c r="N253" s="135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35"/>
      <c r="Z253" s="58"/>
      <c r="AA253" s="58"/>
      <c r="AB253" s="58"/>
      <c r="AC253" s="58"/>
      <c r="AD253" s="58"/>
      <c r="AE253" s="138"/>
      <c r="AF253" s="136"/>
      <c r="AG253" s="136"/>
      <c r="AH253" s="136"/>
    </row>
    <row r="254" spans="1:34" s="132" customFormat="1" ht="12.75" customHeight="1" x14ac:dyDescent="0.25">
      <c r="A254" s="137"/>
      <c r="B254" s="139"/>
      <c r="C254" s="136"/>
      <c r="D254" s="131"/>
      <c r="E254" s="131"/>
      <c r="F254" s="58"/>
      <c r="G254" s="140"/>
      <c r="H254" s="140"/>
      <c r="I254" s="58"/>
      <c r="J254" s="58"/>
      <c r="K254" s="58"/>
      <c r="L254" s="58"/>
      <c r="M254" s="135"/>
      <c r="N254" s="135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35"/>
      <c r="Z254" s="58"/>
      <c r="AA254" s="58"/>
      <c r="AB254" s="58"/>
      <c r="AC254" s="58"/>
      <c r="AD254" s="58"/>
      <c r="AE254" s="138"/>
      <c r="AF254" s="136"/>
      <c r="AG254" s="136"/>
      <c r="AH254" s="136"/>
    </row>
    <row r="255" spans="1:34" s="132" customFormat="1" ht="12.75" customHeight="1" x14ac:dyDescent="0.25">
      <c r="A255" s="137"/>
      <c r="B255" s="139"/>
      <c r="C255" s="136"/>
      <c r="D255" s="131"/>
      <c r="E255" s="131"/>
      <c r="F255" s="58"/>
      <c r="G255" s="140"/>
      <c r="H255" s="140"/>
      <c r="I255" s="58"/>
      <c r="J255" s="58"/>
      <c r="K255" s="58"/>
      <c r="L255" s="58"/>
      <c r="M255" s="135"/>
      <c r="N255" s="135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35"/>
      <c r="Z255" s="58"/>
      <c r="AA255" s="58"/>
      <c r="AB255" s="58"/>
      <c r="AC255" s="58"/>
      <c r="AD255" s="58"/>
      <c r="AE255" s="138"/>
      <c r="AF255" s="136"/>
      <c r="AG255" s="136"/>
      <c r="AH255" s="136"/>
    </row>
    <row r="256" spans="1:34" s="132" customFormat="1" ht="12.75" customHeight="1" x14ac:dyDescent="0.25">
      <c r="A256" s="137"/>
      <c r="B256" s="139"/>
      <c r="C256" s="136"/>
      <c r="D256" s="131"/>
      <c r="E256" s="131"/>
      <c r="F256" s="58"/>
      <c r="G256" s="140"/>
      <c r="H256" s="140"/>
      <c r="I256" s="58"/>
      <c r="J256" s="58"/>
      <c r="K256" s="58"/>
      <c r="L256" s="58"/>
      <c r="M256" s="135"/>
      <c r="N256" s="135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35"/>
      <c r="Z256" s="58"/>
      <c r="AA256" s="58"/>
      <c r="AB256" s="58"/>
      <c r="AC256" s="58"/>
      <c r="AD256" s="58"/>
      <c r="AE256" s="138"/>
      <c r="AF256" s="136"/>
      <c r="AG256" s="136"/>
      <c r="AH256" s="136"/>
    </row>
    <row r="257" spans="1:34" s="132" customFormat="1" ht="12.75" customHeight="1" x14ac:dyDescent="0.25">
      <c r="A257" s="137"/>
      <c r="B257" s="139"/>
      <c r="C257" s="136"/>
      <c r="D257" s="131"/>
      <c r="E257" s="131"/>
      <c r="F257" s="58"/>
      <c r="G257" s="140"/>
      <c r="H257" s="140"/>
      <c r="I257" s="58"/>
      <c r="J257" s="58"/>
      <c r="K257" s="58"/>
      <c r="L257" s="58"/>
      <c r="M257" s="135"/>
      <c r="N257" s="135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35"/>
      <c r="Z257" s="58"/>
      <c r="AA257" s="58"/>
      <c r="AB257" s="58"/>
      <c r="AC257" s="58"/>
      <c r="AD257" s="58"/>
      <c r="AE257" s="138"/>
      <c r="AF257" s="136"/>
      <c r="AG257" s="136"/>
      <c r="AH257" s="136"/>
    </row>
    <row r="258" spans="1:34" s="132" customFormat="1" ht="12.75" customHeight="1" x14ac:dyDescent="0.25">
      <c r="A258" s="137"/>
      <c r="B258" s="139"/>
      <c r="C258" s="136"/>
      <c r="D258" s="131"/>
      <c r="E258" s="131"/>
      <c r="F258" s="58"/>
      <c r="G258" s="140"/>
      <c r="H258" s="140"/>
      <c r="I258" s="58"/>
      <c r="J258" s="58"/>
      <c r="K258" s="58"/>
      <c r="L258" s="58"/>
      <c r="M258" s="135"/>
      <c r="N258" s="135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35"/>
      <c r="Z258" s="58"/>
      <c r="AA258" s="58"/>
      <c r="AB258" s="58"/>
      <c r="AC258" s="58"/>
      <c r="AD258" s="58"/>
      <c r="AE258" s="138"/>
      <c r="AF258" s="136"/>
      <c r="AG258" s="136"/>
      <c r="AH258" s="136"/>
    </row>
    <row r="259" spans="1:34" s="132" customFormat="1" ht="12.75" customHeight="1" x14ac:dyDescent="0.25">
      <c r="A259" s="137"/>
      <c r="B259" s="139"/>
      <c r="C259" s="136"/>
      <c r="D259" s="131"/>
      <c r="E259" s="131"/>
      <c r="F259" s="58"/>
      <c r="G259" s="140"/>
      <c r="H259" s="140"/>
      <c r="I259" s="58"/>
      <c r="J259" s="58"/>
      <c r="K259" s="58"/>
      <c r="L259" s="58"/>
      <c r="M259" s="135"/>
      <c r="N259" s="135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35"/>
      <c r="Z259" s="58"/>
      <c r="AA259" s="58"/>
      <c r="AB259" s="58"/>
      <c r="AC259" s="58"/>
      <c r="AD259" s="58"/>
      <c r="AE259" s="138"/>
      <c r="AF259" s="136"/>
      <c r="AG259" s="136"/>
      <c r="AH259" s="136"/>
    </row>
    <row r="260" spans="1:34" s="132" customFormat="1" ht="12.75" customHeight="1" x14ac:dyDescent="0.25">
      <c r="A260" s="137"/>
      <c r="B260" s="139"/>
      <c r="C260" s="136"/>
      <c r="D260" s="131"/>
      <c r="E260" s="131"/>
      <c r="F260" s="58"/>
      <c r="G260" s="140"/>
      <c r="H260" s="140"/>
      <c r="I260" s="58"/>
      <c r="J260" s="58"/>
      <c r="K260" s="58"/>
      <c r="L260" s="58"/>
      <c r="M260" s="135"/>
      <c r="N260" s="135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35"/>
      <c r="Z260" s="58"/>
      <c r="AA260" s="58"/>
      <c r="AB260" s="58"/>
      <c r="AC260" s="58"/>
      <c r="AD260" s="58"/>
      <c r="AE260" s="138"/>
      <c r="AF260" s="136"/>
      <c r="AG260" s="136"/>
      <c r="AH260" s="136"/>
    </row>
    <row r="261" spans="1:34" s="132" customFormat="1" ht="12.75" customHeight="1" x14ac:dyDescent="0.25">
      <c r="A261" s="137"/>
      <c r="B261" s="139"/>
      <c r="C261" s="136"/>
      <c r="D261" s="131"/>
      <c r="E261" s="131"/>
      <c r="F261" s="58"/>
      <c r="G261" s="140"/>
      <c r="H261" s="140"/>
      <c r="I261" s="58"/>
      <c r="J261" s="58"/>
      <c r="K261" s="58"/>
      <c r="L261" s="58"/>
      <c r="M261" s="135"/>
      <c r="N261" s="135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35"/>
      <c r="Z261" s="58"/>
      <c r="AA261" s="58"/>
      <c r="AB261" s="58"/>
      <c r="AC261" s="58"/>
      <c r="AD261" s="58"/>
      <c r="AE261" s="138"/>
      <c r="AF261" s="136"/>
      <c r="AG261" s="136"/>
      <c r="AH261" s="136"/>
    </row>
    <row r="262" spans="1:34" s="132" customFormat="1" ht="12.75" customHeight="1" x14ac:dyDescent="0.25">
      <c r="A262" s="137"/>
      <c r="B262" s="139"/>
      <c r="C262" s="136"/>
      <c r="D262" s="131"/>
      <c r="E262" s="131"/>
      <c r="F262" s="58"/>
      <c r="G262" s="140"/>
      <c r="H262" s="140"/>
      <c r="I262" s="58"/>
      <c r="J262" s="58"/>
      <c r="K262" s="58"/>
      <c r="L262" s="58"/>
      <c r="M262" s="135"/>
      <c r="N262" s="135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35"/>
      <c r="Z262" s="58"/>
      <c r="AA262" s="58"/>
      <c r="AB262" s="58"/>
      <c r="AC262" s="58"/>
      <c r="AD262" s="58"/>
      <c r="AE262" s="138"/>
      <c r="AF262" s="136"/>
      <c r="AG262" s="136"/>
      <c r="AH262" s="136"/>
    </row>
    <row r="263" spans="1:34" s="132" customFormat="1" ht="12.75" customHeight="1" x14ac:dyDescent="0.25">
      <c r="A263" s="137"/>
      <c r="B263" s="139"/>
      <c r="C263" s="136"/>
      <c r="D263" s="131"/>
      <c r="E263" s="131"/>
      <c r="F263" s="58"/>
      <c r="G263" s="140"/>
      <c r="H263" s="140"/>
      <c r="I263" s="58"/>
      <c r="J263" s="58"/>
      <c r="K263" s="58"/>
      <c r="L263" s="58"/>
      <c r="M263" s="135"/>
      <c r="N263" s="135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35"/>
      <c r="Z263" s="58"/>
      <c r="AA263" s="58"/>
      <c r="AB263" s="58"/>
      <c r="AC263" s="58"/>
      <c r="AD263" s="58"/>
      <c r="AE263" s="138"/>
      <c r="AF263" s="136"/>
      <c r="AG263" s="136"/>
      <c r="AH263" s="136"/>
    </row>
    <row r="264" spans="1:34" s="132" customFormat="1" ht="12.75" customHeight="1" x14ac:dyDescent="0.25">
      <c r="A264" s="137"/>
      <c r="B264" s="139"/>
      <c r="C264" s="136"/>
      <c r="D264" s="131"/>
      <c r="E264" s="131"/>
      <c r="F264" s="58"/>
      <c r="G264" s="140"/>
      <c r="H264" s="140"/>
      <c r="I264" s="58"/>
      <c r="J264" s="58"/>
      <c r="K264" s="58"/>
      <c r="L264" s="58"/>
      <c r="M264" s="135"/>
      <c r="N264" s="135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35"/>
      <c r="Z264" s="58"/>
      <c r="AA264" s="58"/>
      <c r="AB264" s="58"/>
      <c r="AC264" s="58"/>
      <c r="AD264" s="58"/>
      <c r="AE264" s="138"/>
      <c r="AF264" s="136"/>
      <c r="AG264" s="136"/>
      <c r="AH264" s="136"/>
    </row>
    <row r="265" spans="1:34" s="132" customFormat="1" ht="12.75" customHeight="1" x14ac:dyDescent="0.25">
      <c r="A265" s="137"/>
      <c r="B265" s="139"/>
      <c r="C265" s="136"/>
      <c r="D265" s="131"/>
      <c r="E265" s="131"/>
      <c r="F265" s="58"/>
      <c r="G265" s="140"/>
      <c r="H265" s="140"/>
      <c r="I265" s="58"/>
      <c r="J265" s="58"/>
      <c r="K265" s="58"/>
      <c r="L265" s="58"/>
      <c r="M265" s="135"/>
      <c r="N265" s="135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35"/>
      <c r="Z265" s="58"/>
      <c r="AA265" s="58"/>
      <c r="AB265" s="58"/>
      <c r="AC265" s="58"/>
      <c r="AD265" s="58"/>
      <c r="AE265" s="138"/>
      <c r="AF265" s="136"/>
      <c r="AG265" s="136"/>
      <c r="AH265" s="136"/>
    </row>
    <row r="266" spans="1:34" s="132" customFormat="1" ht="12.75" customHeight="1" x14ac:dyDescent="0.25">
      <c r="A266" s="137"/>
      <c r="B266" s="139"/>
      <c r="C266" s="136"/>
      <c r="D266" s="131"/>
      <c r="E266" s="131"/>
      <c r="F266" s="58"/>
      <c r="G266" s="140"/>
      <c r="H266" s="140"/>
      <c r="I266" s="58"/>
      <c r="J266" s="58"/>
      <c r="K266" s="58"/>
      <c r="L266" s="58"/>
      <c r="M266" s="135"/>
      <c r="N266" s="135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35"/>
      <c r="Z266" s="58"/>
      <c r="AA266" s="58"/>
      <c r="AB266" s="58"/>
      <c r="AC266" s="58"/>
      <c r="AD266" s="58"/>
      <c r="AE266" s="138"/>
      <c r="AF266" s="136"/>
      <c r="AG266" s="136"/>
      <c r="AH266" s="136"/>
    </row>
    <row r="267" spans="1:34" s="132" customFormat="1" ht="12.75" customHeight="1" x14ac:dyDescent="0.25">
      <c r="A267" s="137"/>
      <c r="B267" s="139"/>
      <c r="C267" s="136"/>
      <c r="D267" s="131"/>
      <c r="E267" s="131"/>
      <c r="F267" s="58"/>
      <c r="G267" s="140"/>
      <c r="H267" s="140"/>
      <c r="I267" s="58"/>
      <c r="J267" s="58"/>
      <c r="K267" s="58"/>
      <c r="L267" s="58"/>
      <c r="M267" s="135"/>
      <c r="N267" s="135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35"/>
      <c r="Z267" s="58"/>
      <c r="AA267" s="58"/>
      <c r="AB267" s="58"/>
      <c r="AC267" s="58"/>
      <c r="AD267" s="58"/>
      <c r="AE267" s="138"/>
      <c r="AF267" s="136"/>
      <c r="AG267" s="136"/>
      <c r="AH267" s="136"/>
    </row>
    <row r="268" spans="1:34" s="132" customFormat="1" ht="12.75" customHeight="1" x14ac:dyDescent="0.25">
      <c r="A268" s="137"/>
      <c r="B268" s="139"/>
      <c r="C268" s="136"/>
      <c r="D268" s="131"/>
      <c r="E268" s="131"/>
      <c r="F268" s="58"/>
      <c r="G268" s="140"/>
      <c r="H268" s="140"/>
      <c r="I268" s="58"/>
      <c r="J268" s="58"/>
      <c r="K268" s="58"/>
      <c r="L268" s="58"/>
      <c r="M268" s="135"/>
      <c r="N268" s="135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35"/>
      <c r="Z268" s="58"/>
      <c r="AA268" s="58"/>
      <c r="AB268" s="58"/>
      <c r="AC268" s="58"/>
      <c r="AD268" s="58"/>
      <c r="AE268" s="138"/>
      <c r="AF268" s="136"/>
      <c r="AG268" s="136"/>
      <c r="AH268" s="136"/>
    </row>
    <row r="269" spans="1:34" s="132" customFormat="1" ht="12.75" customHeight="1" x14ac:dyDescent="0.25">
      <c r="A269" s="137"/>
      <c r="B269" s="139"/>
      <c r="C269" s="136"/>
      <c r="D269" s="131"/>
      <c r="E269" s="131"/>
      <c r="F269" s="58"/>
      <c r="G269" s="140"/>
      <c r="H269" s="140"/>
      <c r="I269" s="58"/>
      <c r="J269" s="58"/>
      <c r="K269" s="58"/>
      <c r="L269" s="58"/>
      <c r="M269" s="135"/>
      <c r="N269" s="135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35"/>
      <c r="Z269" s="58"/>
      <c r="AA269" s="58"/>
      <c r="AB269" s="58"/>
      <c r="AC269" s="58"/>
      <c r="AD269" s="58"/>
      <c r="AE269" s="138"/>
      <c r="AF269" s="136"/>
      <c r="AG269" s="136"/>
      <c r="AH269" s="136"/>
    </row>
    <row r="270" spans="1:34" s="132" customFormat="1" ht="12.75" customHeight="1" x14ac:dyDescent="0.25">
      <c r="A270" s="137"/>
      <c r="B270" s="139"/>
      <c r="C270" s="136"/>
      <c r="D270" s="131"/>
      <c r="E270" s="131"/>
      <c r="F270" s="58"/>
      <c r="G270" s="140"/>
      <c r="H270" s="140"/>
      <c r="I270" s="58"/>
      <c r="J270" s="58"/>
      <c r="K270" s="58"/>
      <c r="L270" s="58"/>
      <c r="M270" s="135"/>
      <c r="N270" s="135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35"/>
      <c r="Z270" s="58"/>
      <c r="AA270" s="58"/>
      <c r="AB270" s="58"/>
      <c r="AC270" s="58"/>
      <c r="AD270" s="58"/>
      <c r="AE270" s="138"/>
      <c r="AF270" s="136"/>
      <c r="AG270" s="136"/>
      <c r="AH270" s="136"/>
    </row>
    <row r="271" spans="1:34" s="132" customFormat="1" ht="12.75" customHeight="1" x14ac:dyDescent="0.25">
      <c r="A271" s="137"/>
      <c r="B271" s="139"/>
      <c r="C271" s="136"/>
      <c r="D271" s="131"/>
      <c r="E271" s="131"/>
      <c r="F271" s="58"/>
      <c r="G271" s="140"/>
      <c r="H271" s="140"/>
      <c r="I271" s="58"/>
      <c r="J271" s="58"/>
      <c r="K271" s="58"/>
      <c r="L271" s="58"/>
      <c r="M271" s="135"/>
      <c r="N271" s="135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35"/>
      <c r="Z271" s="58"/>
      <c r="AA271" s="58"/>
      <c r="AB271" s="58"/>
      <c r="AC271" s="58"/>
      <c r="AD271" s="58"/>
      <c r="AE271" s="138"/>
      <c r="AF271" s="136"/>
      <c r="AG271" s="136"/>
      <c r="AH271" s="136"/>
    </row>
    <row r="272" spans="1:34" s="132" customFormat="1" ht="12.75" customHeight="1" x14ac:dyDescent="0.25">
      <c r="A272" s="137"/>
      <c r="B272" s="139"/>
      <c r="C272" s="136"/>
      <c r="D272" s="131"/>
      <c r="E272" s="131"/>
      <c r="F272" s="58"/>
      <c r="G272" s="140"/>
      <c r="H272" s="140"/>
      <c r="I272" s="58"/>
      <c r="J272" s="58"/>
      <c r="K272" s="58"/>
      <c r="L272" s="58"/>
      <c r="M272" s="135"/>
      <c r="N272" s="135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35"/>
      <c r="Z272" s="58"/>
      <c r="AA272" s="58"/>
      <c r="AB272" s="58"/>
      <c r="AC272" s="58"/>
      <c r="AD272" s="58"/>
      <c r="AE272" s="138"/>
      <c r="AF272" s="136"/>
      <c r="AG272" s="136"/>
      <c r="AH272" s="136"/>
    </row>
    <row r="273" spans="1:34" s="132" customFormat="1" ht="12.75" customHeight="1" x14ac:dyDescent="0.25">
      <c r="A273" s="137"/>
      <c r="B273" s="139"/>
      <c r="C273" s="136"/>
      <c r="D273" s="131"/>
      <c r="E273" s="131"/>
      <c r="F273" s="58"/>
      <c r="G273" s="140"/>
      <c r="H273" s="140"/>
      <c r="I273" s="58"/>
      <c r="J273" s="58"/>
      <c r="K273" s="58"/>
      <c r="L273" s="58"/>
      <c r="M273" s="135"/>
      <c r="N273" s="135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35"/>
      <c r="Z273" s="58"/>
      <c r="AA273" s="58"/>
      <c r="AB273" s="58"/>
      <c r="AC273" s="58"/>
      <c r="AD273" s="58"/>
      <c r="AE273" s="138"/>
      <c r="AF273" s="136"/>
      <c r="AG273" s="136"/>
      <c r="AH273" s="136"/>
    </row>
    <row r="274" spans="1:34" s="132" customFormat="1" ht="12.75" customHeight="1" x14ac:dyDescent="0.25">
      <c r="A274" s="137"/>
      <c r="B274" s="139"/>
      <c r="C274" s="136"/>
      <c r="D274" s="131"/>
      <c r="E274" s="131"/>
      <c r="F274" s="58"/>
      <c r="G274" s="140"/>
      <c r="H274" s="140"/>
      <c r="I274" s="58"/>
      <c r="J274" s="58"/>
      <c r="K274" s="58"/>
      <c r="L274" s="58"/>
      <c r="M274" s="135"/>
      <c r="N274" s="135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35"/>
      <c r="Z274" s="58"/>
      <c r="AA274" s="58"/>
      <c r="AB274" s="58"/>
      <c r="AC274" s="58"/>
      <c r="AD274" s="58"/>
      <c r="AE274" s="138"/>
      <c r="AF274" s="136"/>
      <c r="AG274" s="136"/>
      <c r="AH274" s="136"/>
    </row>
    <row r="275" spans="1:34" s="132" customFormat="1" ht="12.75" customHeight="1" x14ac:dyDescent="0.25">
      <c r="A275" s="137"/>
      <c r="B275" s="139"/>
      <c r="C275" s="136"/>
      <c r="D275" s="131"/>
      <c r="E275" s="131"/>
      <c r="F275" s="58"/>
      <c r="G275" s="140"/>
      <c r="H275" s="140"/>
      <c r="I275" s="58"/>
      <c r="J275" s="58"/>
      <c r="K275" s="58"/>
      <c r="L275" s="58"/>
      <c r="M275" s="135"/>
      <c r="N275" s="135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35"/>
      <c r="Z275" s="58"/>
      <c r="AA275" s="58"/>
      <c r="AB275" s="58"/>
      <c r="AC275" s="58"/>
      <c r="AD275" s="58"/>
      <c r="AE275" s="138"/>
      <c r="AF275" s="136"/>
      <c r="AG275" s="136"/>
      <c r="AH275" s="136"/>
    </row>
    <row r="276" spans="1:34" s="132" customFormat="1" ht="12.75" customHeight="1" x14ac:dyDescent="0.25">
      <c r="A276" s="137"/>
      <c r="B276" s="139"/>
      <c r="C276" s="136"/>
      <c r="D276" s="131"/>
      <c r="E276" s="131"/>
      <c r="F276" s="58"/>
      <c r="G276" s="140"/>
      <c r="H276" s="140"/>
      <c r="I276" s="58"/>
      <c r="J276" s="58"/>
      <c r="K276" s="58"/>
      <c r="L276" s="58"/>
      <c r="M276" s="135"/>
      <c r="N276" s="135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35"/>
      <c r="Z276" s="58"/>
      <c r="AA276" s="58"/>
      <c r="AB276" s="58"/>
      <c r="AC276" s="58"/>
      <c r="AD276" s="58"/>
      <c r="AE276" s="138"/>
      <c r="AF276" s="136"/>
      <c r="AG276" s="136"/>
      <c r="AH276" s="136"/>
    </row>
    <row r="277" spans="1:34" s="132" customFormat="1" ht="12.75" customHeight="1" x14ac:dyDescent="0.25">
      <c r="A277" s="137"/>
      <c r="B277" s="139"/>
      <c r="C277" s="136"/>
      <c r="D277" s="131"/>
      <c r="E277" s="131"/>
      <c r="F277" s="58"/>
      <c r="G277" s="140"/>
      <c r="H277" s="140"/>
      <c r="I277" s="58"/>
      <c r="J277" s="58"/>
      <c r="K277" s="58"/>
      <c r="L277" s="58"/>
      <c r="M277" s="135"/>
      <c r="N277" s="135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35"/>
      <c r="Z277" s="58"/>
      <c r="AA277" s="58"/>
      <c r="AB277" s="58"/>
      <c r="AC277" s="58"/>
      <c r="AD277" s="58"/>
      <c r="AE277" s="138"/>
      <c r="AF277" s="136"/>
      <c r="AG277" s="136"/>
      <c r="AH277" s="136"/>
    </row>
    <row r="278" spans="1:34" s="132" customFormat="1" ht="12.75" customHeight="1" x14ac:dyDescent="0.25">
      <c r="A278" s="137"/>
      <c r="B278" s="139"/>
      <c r="C278" s="136"/>
      <c r="D278" s="131"/>
      <c r="E278" s="131"/>
      <c r="F278" s="58"/>
      <c r="G278" s="140"/>
      <c r="H278" s="140"/>
      <c r="I278" s="58"/>
      <c r="J278" s="58"/>
      <c r="K278" s="58"/>
      <c r="L278" s="58"/>
      <c r="M278" s="135"/>
      <c r="N278" s="135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35"/>
      <c r="Z278" s="58"/>
      <c r="AA278" s="58"/>
      <c r="AB278" s="58"/>
      <c r="AC278" s="58"/>
      <c r="AD278" s="58"/>
      <c r="AE278" s="138"/>
      <c r="AF278" s="136"/>
      <c r="AG278" s="136"/>
      <c r="AH278" s="136"/>
    </row>
    <row r="279" spans="1:34" s="132" customFormat="1" ht="12.75" customHeight="1" x14ac:dyDescent="0.25">
      <c r="A279" s="137"/>
      <c r="B279" s="139"/>
      <c r="C279" s="136"/>
      <c r="D279" s="131"/>
      <c r="E279" s="131"/>
      <c r="F279" s="58"/>
      <c r="G279" s="140"/>
      <c r="H279" s="140"/>
      <c r="I279" s="58"/>
      <c r="J279" s="58"/>
      <c r="K279" s="58"/>
      <c r="L279" s="58"/>
      <c r="M279" s="135"/>
      <c r="N279" s="135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35"/>
      <c r="Z279" s="58"/>
      <c r="AA279" s="58"/>
      <c r="AB279" s="58"/>
      <c r="AC279" s="58"/>
      <c r="AD279" s="58"/>
      <c r="AE279" s="138"/>
      <c r="AF279" s="136"/>
      <c r="AG279" s="136"/>
      <c r="AH279" s="136"/>
    </row>
    <row r="280" spans="1:34" s="132" customFormat="1" ht="12.75" customHeight="1" x14ac:dyDescent="0.25">
      <c r="A280" s="137"/>
      <c r="B280" s="139"/>
      <c r="C280" s="136"/>
      <c r="D280" s="131"/>
      <c r="E280" s="131"/>
      <c r="F280" s="58"/>
      <c r="G280" s="140"/>
      <c r="H280" s="140"/>
      <c r="I280" s="58"/>
      <c r="J280" s="58"/>
      <c r="K280" s="58"/>
      <c r="L280" s="58"/>
      <c r="M280" s="135"/>
      <c r="N280" s="135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35"/>
      <c r="Z280" s="58"/>
      <c r="AA280" s="58"/>
      <c r="AB280" s="58"/>
      <c r="AC280" s="58"/>
      <c r="AD280" s="58"/>
      <c r="AE280" s="138"/>
      <c r="AF280" s="136"/>
      <c r="AG280" s="136"/>
      <c r="AH280" s="136"/>
    </row>
    <row r="281" spans="1:34" s="132" customFormat="1" ht="12.75" customHeight="1" x14ac:dyDescent="0.25">
      <c r="A281" s="137"/>
      <c r="B281" s="139"/>
      <c r="C281" s="136"/>
      <c r="D281" s="131"/>
      <c r="E281" s="131"/>
      <c r="F281" s="58"/>
      <c r="G281" s="140"/>
      <c r="H281" s="140"/>
      <c r="I281" s="58"/>
      <c r="J281" s="58"/>
      <c r="K281" s="58"/>
      <c r="L281" s="58"/>
      <c r="M281" s="135"/>
      <c r="N281" s="135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35"/>
      <c r="Z281" s="58"/>
      <c r="AA281" s="58"/>
      <c r="AB281" s="58"/>
      <c r="AC281" s="58"/>
      <c r="AD281" s="58"/>
      <c r="AE281" s="138"/>
      <c r="AF281" s="136"/>
      <c r="AG281" s="136"/>
      <c r="AH281" s="136"/>
    </row>
    <row r="282" spans="1:34" s="132" customFormat="1" ht="12.75" customHeight="1" x14ac:dyDescent="0.25">
      <c r="A282" s="137"/>
      <c r="B282" s="139"/>
      <c r="C282" s="136"/>
      <c r="D282" s="131"/>
      <c r="E282" s="131"/>
      <c r="F282" s="58"/>
      <c r="G282" s="140"/>
      <c r="H282" s="140"/>
      <c r="I282" s="58"/>
      <c r="J282" s="58"/>
      <c r="K282" s="58"/>
      <c r="L282" s="58"/>
      <c r="M282" s="135"/>
      <c r="N282" s="135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35"/>
      <c r="Z282" s="58"/>
      <c r="AA282" s="58"/>
      <c r="AB282" s="58"/>
      <c r="AC282" s="58"/>
      <c r="AD282" s="58"/>
      <c r="AE282" s="138"/>
      <c r="AF282" s="136"/>
      <c r="AG282" s="136"/>
      <c r="AH282" s="136"/>
    </row>
    <row r="283" spans="1:34" s="132" customFormat="1" ht="12.75" customHeight="1" x14ac:dyDescent="0.25">
      <c r="A283" s="137"/>
      <c r="B283" s="139"/>
      <c r="C283" s="136"/>
      <c r="D283" s="131"/>
      <c r="E283" s="131"/>
      <c r="F283" s="58"/>
      <c r="G283" s="140"/>
      <c r="H283" s="140"/>
      <c r="I283" s="58"/>
      <c r="J283" s="58"/>
      <c r="K283" s="58"/>
      <c r="L283" s="58"/>
      <c r="M283" s="135"/>
      <c r="N283" s="135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35"/>
      <c r="Z283" s="58"/>
      <c r="AA283" s="58"/>
      <c r="AB283" s="58"/>
      <c r="AC283" s="58"/>
      <c r="AD283" s="58"/>
      <c r="AE283" s="138"/>
      <c r="AF283" s="136"/>
      <c r="AG283" s="136"/>
      <c r="AH283" s="136"/>
    </row>
    <row r="284" spans="1:34" s="132" customFormat="1" ht="12.75" customHeight="1" x14ac:dyDescent="0.25">
      <c r="A284" s="137"/>
      <c r="B284" s="139"/>
      <c r="C284" s="136"/>
      <c r="D284" s="131"/>
      <c r="E284" s="131"/>
      <c r="F284" s="58"/>
      <c r="G284" s="140"/>
      <c r="H284" s="140"/>
      <c r="I284" s="58"/>
      <c r="J284" s="58"/>
      <c r="K284" s="58"/>
      <c r="L284" s="58"/>
      <c r="M284" s="135"/>
      <c r="N284" s="135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35"/>
      <c r="Z284" s="58"/>
      <c r="AA284" s="58"/>
      <c r="AB284" s="58"/>
      <c r="AC284" s="58"/>
      <c r="AD284" s="58"/>
      <c r="AE284" s="138"/>
      <c r="AF284" s="136"/>
      <c r="AG284" s="136"/>
      <c r="AH284" s="136"/>
    </row>
    <row r="285" spans="1:34" s="132" customFormat="1" ht="12.75" customHeight="1" x14ac:dyDescent="0.25">
      <c r="A285" s="137"/>
      <c r="B285" s="139"/>
      <c r="C285" s="136"/>
      <c r="D285" s="131"/>
      <c r="E285" s="131"/>
      <c r="F285" s="58"/>
      <c r="G285" s="140"/>
      <c r="H285" s="140"/>
      <c r="I285" s="58"/>
      <c r="J285" s="58"/>
      <c r="K285" s="58"/>
      <c r="L285" s="58"/>
      <c r="M285" s="135"/>
      <c r="N285" s="135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35"/>
      <c r="Z285" s="58"/>
      <c r="AA285" s="58"/>
      <c r="AB285" s="58"/>
      <c r="AC285" s="58"/>
      <c r="AD285" s="58"/>
      <c r="AE285" s="138"/>
      <c r="AF285" s="136"/>
      <c r="AG285" s="136"/>
      <c r="AH285" s="136"/>
    </row>
    <row r="286" spans="1:34" s="132" customFormat="1" ht="12.75" customHeight="1" x14ac:dyDescent="0.25">
      <c r="A286" s="137"/>
      <c r="B286" s="139"/>
      <c r="C286" s="136"/>
      <c r="D286" s="131"/>
      <c r="E286" s="131"/>
      <c r="F286" s="58"/>
      <c r="G286" s="140"/>
      <c r="H286" s="140"/>
      <c r="I286" s="58"/>
      <c r="J286" s="58"/>
      <c r="K286" s="58"/>
      <c r="L286" s="58"/>
      <c r="M286" s="135"/>
      <c r="N286" s="135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35"/>
      <c r="Z286" s="58"/>
      <c r="AA286" s="58"/>
      <c r="AB286" s="58"/>
      <c r="AC286" s="58"/>
      <c r="AD286" s="58"/>
      <c r="AE286" s="138"/>
      <c r="AF286" s="136"/>
      <c r="AG286" s="136"/>
      <c r="AH286" s="136"/>
    </row>
    <row r="287" spans="1:34" s="132" customFormat="1" ht="12.75" customHeight="1" x14ac:dyDescent="0.25">
      <c r="A287" s="137"/>
      <c r="B287" s="139"/>
      <c r="C287" s="136"/>
      <c r="D287" s="131"/>
      <c r="E287" s="131"/>
      <c r="F287" s="58"/>
      <c r="G287" s="140"/>
      <c r="H287" s="140"/>
      <c r="I287" s="58"/>
      <c r="J287" s="58"/>
      <c r="K287" s="58"/>
      <c r="L287" s="58"/>
      <c r="M287" s="135"/>
      <c r="N287" s="135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35"/>
      <c r="Z287" s="58"/>
      <c r="AA287" s="58"/>
      <c r="AB287" s="58"/>
      <c r="AC287" s="58"/>
      <c r="AD287" s="58"/>
      <c r="AE287" s="138"/>
      <c r="AF287" s="136"/>
      <c r="AG287" s="136"/>
      <c r="AH287" s="136"/>
    </row>
    <row r="288" spans="1:34" s="132" customFormat="1" ht="12.75" customHeight="1" x14ac:dyDescent="0.25">
      <c r="A288" s="137"/>
      <c r="B288" s="139"/>
      <c r="C288" s="136"/>
      <c r="D288" s="131"/>
      <c r="E288" s="131"/>
      <c r="F288" s="58"/>
      <c r="G288" s="140"/>
      <c r="H288" s="140"/>
      <c r="I288" s="58"/>
      <c r="J288" s="58"/>
      <c r="K288" s="58"/>
      <c r="L288" s="58"/>
      <c r="M288" s="135"/>
      <c r="N288" s="135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35"/>
      <c r="Z288" s="58"/>
      <c r="AA288" s="58"/>
      <c r="AB288" s="58"/>
      <c r="AC288" s="58"/>
      <c r="AD288" s="58"/>
      <c r="AE288" s="138"/>
      <c r="AF288" s="136"/>
      <c r="AG288" s="136"/>
      <c r="AH288" s="136"/>
    </row>
    <row r="289" spans="1:34" s="132" customFormat="1" ht="12.75" customHeight="1" x14ac:dyDescent="0.25">
      <c r="A289" s="137"/>
      <c r="B289" s="139"/>
      <c r="C289" s="136"/>
      <c r="D289" s="131"/>
      <c r="E289" s="131"/>
      <c r="F289" s="58"/>
      <c r="G289" s="140"/>
      <c r="H289" s="140"/>
      <c r="I289" s="58"/>
      <c r="J289" s="58"/>
      <c r="K289" s="58"/>
      <c r="L289" s="58"/>
      <c r="M289" s="135"/>
      <c r="N289" s="135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35"/>
      <c r="Z289" s="58"/>
      <c r="AA289" s="58"/>
      <c r="AB289" s="58"/>
      <c r="AC289" s="58"/>
      <c r="AD289" s="58"/>
      <c r="AE289" s="138"/>
      <c r="AF289" s="136"/>
      <c r="AG289" s="136"/>
      <c r="AH289" s="136"/>
    </row>
    <row r="290" spans="1:34" s="132" customFormat="1" ht="12.75" customHeight="1" x14ac:dyDescent="0.25">
      <c r="A290" s="137"/>
      <c r="B290" s="139"/>
      <c r="C290" s="136"/>
      <c r="D290" s="131"/>
      <c r="E290" s="131"/>
      <c r="F290" s="58"/>
      <c r="G290" s="140"/>
      <c r="H290" s="140"/>
      <c r="I290" s="58"/>
      <c r="J290" s="58"/>
      <c r="K290" s="58"/>
      <c r="L290" s="58"/>
      <c r="M290" s="135"/>
      <c r="N290" s="135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35"/>
      <c r="Z290" s="58"/>
      <c r="AA290" s="58"/>
      <c r="AB290" s="58"/>
      <c r="AC290" s="58"/>
      <c r="AD290" s="58"/>
      <c r="AE290" s="138"/>
      <c r="AF290" s="136"/>
      <c r="AG290" s="136"/>
      <c r="AH290" s="136"/>
    </row>
    <row r="291" spans="1:34" s="132" customFormat="1" ht="12.75" customHeight="1" x14ac:dyDescent="0.25">
      <c r="A291" s="137"/>
      <c r="B291" s="139"/>
      <c r="C291" s="136"/>
      <c r="D291" s="131"/>
      <c r="E291" s="131"/>
      <c r="F291" s="58"/>
      <c r="G291" s="140"/>
      <c r="H291" s="140"/>
      <c r="I291" s="58"/>
      <c r="J291" s="58"/>
      <c r="K291" s="58"/>
      <c r="L291" s="58"/>
      <c r="M291" s="135"/>
      <c r="N291" s="135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35"/>
      <c r="Z291" s="58"/>
      <c r="AA291" s="58"/>
      <c r="AB291" s="58"/>
      <c r="AC291" s="58"/>
      <c r="AD291" s="58"/>
      <c r="AE291" s="138"/>
      <c r="AF291" s="136"/>
      <c r="AG291" s="136"/>
      <c r="AH291" s="136"/>
    </row>
    <row r="292" spans="1:34" s="132" customFormat="1" ht="12.75" customHeight="1" x14ac:dyDescent="0.25">
      <c r="A292" s="137"/>
      <c r="B292" s="139"/>
      <c r="C292" s="136"/>
      <c r="D292" s="131"/>
      <c r="E292" s="131"/>
      <c r="F292" s="58"/>
      <c r="G292" s="140"/>
      <c r="H292" s="140"/>
      <c r="I292" s="58"/>
      <c r="J292" s="58"/>
      <c r="K292" s="58"/>
      <c r="L292" s="58"/>
      <c r="M292" s="135"/>
      <c r="N292" s="135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35"/>
      <c r="Z292" s="58"/>
      <c r="AA292" s="58"/>
      <c r="AB292" s="58"/>
      <c r="AC292" s="58"/>
      <c r="AD292" s="58"/>
      <c r="AE292" s="138"/>
      <c r="AF292" s="136"/>
      <c r="AG292" s="136"/>
      <c r="AH292" s="136"/>
    </row>
    <row r="293" spans="1:34" s="132" customFormat="1" ht="12.75" customHeight="1" x14ac:dyDescent="0.25">
      <c r="A293" s="137"/>
      <c r="B293" s="139"/>
      <c r="C293" s="136"/>
      <c r="D293" s="131"/>
      <c r="E293" s="131"/>
      <c r="F293" s="58"/>
      <c r="G293" s="140"/>
      <c r="H293" s="140"/>
      <c r="I293" s="58"/>
      <c r="J293" s="58"/>
      <c r="K293" s="58"/>
      <c r="L293" s="58"/>
      <c r="M293" s="135"/>
      <c r="N293" s="135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35"/>
      <c r="Z293" s="58"/>
      <c r="AA293" s="58"/>
      <c r="AB293" s="58"/>
      <c r="AC293" s="58"/>
      <c r="AD293" s="58"/>
      <c r="AE293" s="138"/>
      <c r="AF293" s="136"/>
      <c r="AG293" s="136"/>
      <c r="AH293" s="136"/>
    </row>
    <row r="294" spans="1:34" s="132" customFormat="1" ht="12.75" customHeight="1" x14ac:dyDescent="0.25">
      <c r="A294" s="137"/>
      <c r="B294" s="139"/>
      <c r="C294" s="136"/>
      <c r="D294" s="131"/>
      <c r="E294" s="131"/>
      <c r="F294" s="58"/>
      <c r="G294" s="140"/>
      <c r="H294" s="140"/>
      <c r="I294" s="58"/>
      <c r="J294" s="58"/>
      <c r="K294" s="58"/>
      <c r="L294" s="58"/>
      <c r="M294" s="135"/>
      <c r="N294" s="135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35"/>
      <c r="Z294" s="58"/>
      <c r="AA294" s="58"/>
      <c r="AB294" s="58"/>
      <c r="AC294" s="58"/>
      <c r="AD294" s="58"/>
      <c r="AE294" s="138"/>
      <c r="AF294" s="136"/>
      <c r="AG294" s="136"/>
      <c r="AH294" s="136"/>
    </row>
    <row r="295" spans="1:34" s="132" customFormat="1" ht="12.75" customHeight="1" x14ac:dyDescent="0.25">
      <c r="A295" s="137"/>
      <c r="B295" s="139"/>
      <c r="C295" s="136"/>
      <c r="D295" s="131"/>
      <c r="E295" s="131"/>
      <c r="F295" s="58"/>
      <c r="G295" s="140"/>
      <c r="H295" s="140"/>
      <c r="I295" s="58"/>
      <c r="J295" s="58"/>
      <c r="K295" s="58"/>
      <c r="L295" s="58"/>
      <c r="M295" s="135"/>
      <c r="N295" s="135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35"/>
      <c r="Z295" s="58"/>
      <c r="AA295" s="58"/>
      <c r="AB295" s="58"/>
      <c r="AC295" s="58"/>
      <c r="AD295" s="58"/>
      <c r="AE295" s="138"/>
      <c r="AF295" s="136"/>
      <c r="AG295" s="136"/>
      <c r="AH295" s="136"/>
    </row>
    <row r="296" spans="1:34" s="132" customFormat="1" ht="12.75" customHeight="1" x14ac:dyDescent="0.25">
      <c r="A296" s="137"/>
      <c r="B296" s="139"/>
      <c r="C296" s="136"/>
      <c r="D296" s="131"/>
      <c r="E296" s="131"/>
      <c r="F296" s="58"/>
      <c r="G296" s="140"/>
      <c r="H296" s="140"/>
      <c r="I296" s="58"/>
      <c r="J296" s="58"/>
      <c r="K296" s="58"/>
      <c r="L296" s="58"/>
      <c r="M296" s="135"/>
      <c r="N296" s="135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35"/>
      <c r="Z296" s="58"/>
      <c r="AA296" s="58"/>
      <c r="AB296" s="58"/>
      <c r="AC296" s="58"/>
      <c r="AD296" s="58"/>
      <c r="AE296" s="138"/>
      <c r="AF296" s="136"/>
      <c r="AG296" s="136"/>
      <c r="AH296" s="136"/>
    </row>
    <row r="297" spans="1:34" s="132" customFormat="1" ht="12.75" customHeight="1" x14ac:dyDescent="0.25">
      <c r="A297" s="137"/>
      <c r="B297" s="139"/>
      <c r="C297" s="136"/>
      <c r="D297" s="131"/>
      <c r="E297" s="131"/>
      <c r="F297" s="58"/>
      <c r="G297" s="140"/>
      <c r="H297" s="140"/>
      <c r="I297" s="58"/>
      <c r="J297" s="58"/>
      <c r="K297" s="58"/>
      <c r="L297" s="58"/>
      <c r="M297" s="135"/>
      <c r="N297" s="135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35"/>
      <c r="Z297" s="58"/>
      <c r="AA297" s="58"/>
      <c r="AB297" s="58"/>
      <c r="AC297" s="58"/>
      <c r="AD297" s="58"/>
      <c r="AE297" s="138"/>
      <c r="AF297" s="136"/>
      <c r="AG297" s="136"/>
      <c r="AH297" s="136"/>
    </row>
    <row r="298" spans="1:34" s="132" customFormat="1" ht="12.75" customHeight="1" x14ac:dyDescent="0.25">
      <c r="A298" s="137"/>
      <c r="B298" s="139"/>
      <c r="C298" s="136"/>
      <c r="D298" s="131"/>
      <c r="E298" s="131"/>
      <c r="F298" s="58"/>
      <c r="G298" s="140"/>
      <c r="H298" s="140"/>
      <c r="I298" s="58"/>
      <c r="J298" s="58"/>
      <c r="K298" s="58"/>
      <c r="L298" s="58"/>
      <c r="M298" s="135"/>
      <c r="N298" s="135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35"/>
      <c r="Z298" s="58"/>
      <c r="AA298" s="58"/>
      <c r="AB298" s="58"/>
      <c r="AC298" s="58"/>
      <c r="AD298" s="58"/>
      <c r="AE298" s="138"/>
      <c r="AF298" s="136"/>
      <c r="AG298" s="136"/>
      <c r="AH298" s="136"/>
    </row>
    <row r="299" spans="1:34" s="132" customFormat="1" ht="12.75" customHeight="1" x14ac:dyDescent="0.25">
      <c r="A299" s="137"/>
      <c r="B299" s="139"/>
      <c r="C299" s="136"/>
      <c r="D299" s="131"/>
      <c r="E299" s="131"/>
      <c r="F299" s="58"/>
      <c r="G299" s="140"/>
      <c r="H299" s="140"/>
      <c r="I299" s="58"/>
      <c r="J299" s="58"/>
      <c r="K299" s="58"/>
      <c r="L299" s="58"/>
      <c r="M299" s="135"/>
      <c r="N299" s="135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35"/>
      <c r="Z299" s="58"/>
      <c r="AA299" s="58"/>
      <c r="AB299" s="58"/>
      <c r="AC299" s="58"/>
      <c r="AD299" s="58"/>
      <c r="AE299" s="138"/>
      <c r="AF299" s="136"/>
      <c r="AG299" s="136"/>
      <c r="AH299" s="136"/>
    </row>
    <row r="300" spans="1:34" s="132" customFormat="1" ht="12.75" customHeight="1" x14ac:dyDescent="0.25">
      <c r="A300" s="137"/>
      <c r="B300" s="139"/>
      <c r="C300" s="136"/>
      <c r="D300" s="131"/>
      <c r="E300" s="131"/>
      <c r="F300" s="58"/>
      <c r="G300" s="140"/>
      <c r="H300" s="140"/>
      <c r="I300" s="58"/>
      <c r="J300" s="58"/>
      <c r="K300" s="58"/>
      <c r="L300" s="58"/>
      <c r="M300" s="135"/>
      <c r="N300" s="135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35"/>
      <c r="Z300" s="58"/>
      <c r="AA300" s="58"/>
      <c r="AB300" s="58"/>
      <c r="AC300" s="58"/>
      <c r="AD300" s="58"/>
      <c r="AE300" s="138"/>
      <c r="AF300" s="136"/>
      <c r="AG300" s="136"/>
      <c r="AH300" s="136"/>
    </row>
    <row r="301" spans="1:34" s="132" customFormat="1" ht="12.75" customHeight="1" x14ac:dyDescent="0.25">
      <c r="A301" s="137"/>
      <c r="B301" s="139"/>
      <c r="C301" s="136"/>
      <c r="D301" s="131"/>
      <c r="E301" s="131"/>
      <c r="F301" s="58"/>
      <c r="G301" s="140"/>
      <c r="H301" s="140"/>
      <c r="I301" s="58"/>
      <c r="J301" s="58"/>
      <c r="K301" s="58"/>
      <c r="L301" s="58"/>
      <c r="M301" s="135"/>
      <c r="N301" s="135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35"/>
      <c r="Z301" s="58"/>
      <c r="AA301" s="58"/>
      <c r="AB301" s="58"/>
      <c r="AC301" s="58"/>
      <c r="AD301" s="58"/>
      <c r="AE301" s="138"/>
      <c r="AF301" s="136"/>
      <c r="AG301" s="136"/>
      <c r="AH301" s="136"/>
    </row>
    <row r="302" spans="1:34" s="132" customFormat="1" ht="12.75" customHeight="1" x14ac:dyDescent="0.25">
      <c r="A302" s="137"/>
      <c r="B302" s="139"/>
      <c r="C302" s="136"/>
      <c r="D302" s="131"/>
      <c r="E302" s="131"/>
      <c r="F302" s="58"/>
      <c r="G302" s="140"/>
      <c r="H302" s="140"/>
      <c r="I302" s="58"/>
      <c r="J302" s="58"/>
      <c r="K302" s="58"/>
      <c r="L302" s="58"/>
      <c r="M302" s="135"/>
      <c r="N302" s="135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35"/>
      <c r="Z302" s="58"/>
      <c r="AA302" s="58"/>
      <c r="AB302" s="58"/>
      <c r="AC302" s="58"/>
      <c r="AD302" s="58"/>
      <c r="AE302" s="138"/>
      <c r="AF302" s="136"/>
      <c r="AG302" s="136"/>
      <c r="AH302" s="136"/>
    </row>
    <row r="303" spans="1:34" s="132" customFormat="1" ht="12.75" customHeight="1" x14ac:dyDescent="0.25">
      <c r="A303" s="137"/>
      <c r="B303" s="139"/>
      <c r="C303" s="136"/>
      <c r="D303" s="131"/>
      <c r="E303" s="131"/>
      <c r="F303" s="58"/>
      <c r="G303" s="140"/>
      <c r="H303" s="140"/>
      <c r="I303" s="58"/>
      <c r="J303" s="58"/>
      <c r="K303" s="58"/>
      <c r="L303" s="58"/>
      <c r="M303" s="135"/>
      <c r="N303" s="135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35"/>
      <c r="Z303" s="58"/>
      <c r="AA303" s="58"/>
      <c r="AB303" s="58"/>
      <c r="AC303" s="58"/>
      <c r="AD303" s="58"/>
      <c r="AE303" s="138"/>
      <c r="AF303" s="136"/>
      <c r="AG303" s="136"/>
      <c r="AH303" s="136"/>
    </row>
    <row r="304" spans="1:34" s="132" customFormat="1" ht="12.75" customHeight="1" x14ac:dyDescent="0.25">
      <c r="A304" s="137"/>
      <c r="B304" s="139"/>
      <c r="C304" s="136"/>
      <c r="D304" s="131"/>
      <c r="E304" s="131"/>
      <c r="F304" s="58"/>
      <c r="G304" s="140"/>
      <c r="H304" s="140"/>
      <c r="I304" s="58"/>
      <c r="J304" s="58"/>
      <c r="K304" s="58"/>
      <c r="L304" s="58"/>
      <c r="M304" s="135"/>
      <c r="N304" s="135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35"/>
      <c r="Z304" s="58"/>
      <c r="AA304" s="58"/>
      <c r="AB304" s="58"/>
      <c r="AC304" s="58"/>
      <c r="AD304" s="58"/>
      <c r="AE304" s="138"/>
      <c r="AF304" s="136"/>
      <c r="AG304" s="136"/>
      <c r="AH304" s="136"/>
    </row>
    <row r="305" spans="1:34" s="132" customFormat="1" ht="12.75" customHeight="1" x14ac:dyDescent="0.25">
      <c r="A305" s="137"/>
      <c r="B305" s="139"/>
      <c r="C305" s="136"/>
      <c r="D305" s="131"/>
      <c r="E305" s="131"/>
      <c r="F305" s="58"/>
      <c r="G305" s="140"/>
      <c r="H305" s="140"/>
      <c r="I305" s="58"/>
      <c r="J305" s="58"/>
      <c r="K305" s="58"/>
      <c r="L305" s="58"/>
      <c r="M305" s="135"/>
      <c r="N305" s="135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35"/>
      <c r="Z305" s="58"/>
      <c r="AA305" s="58"/>
      <c r="AB305" s="58"/>
      <c r="AC305" s="58"/>
      <c r="AD305" s="58"/>
      <c r="AE305" s="138"/>
      <c r="AF305" s="136"/>
      <c r="AG305" s="136"/>
      <c r="AH305" s="136"/>
    </row>
    <row r="306" spans="1:34" s="132" customFormat="1" ht="12.75" customHeight="1" x14ac:dyDescent="0.25">
      <c r="A306" s="137"/>
      <c r="B306" s="139"/>
      <c r="C306" s="136"/>
      <c r="D306" s="131"/>
      <c r="E306" s="131"/>
      <c r="F306" s="58"/>
      <c r="G306" s="140"/>
      <c r="H306" s="140"/>
      <c r="I306" s="58"/>
      <c r="J306" s="58"/>
      <c r="K306" s="58"/>
      <c r="L306" s="58"/>
      <c r="M306" s="135"/>
      <c r="N306" s="135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35"/>
      <c r="Z306" s="58"/>
      <c r="AA306" s="58"/>
      <c r="AB306" s="58"/>
      <c r="AC306" s="58"/>
      <c r="AD306" s="58"/>
      <c r="AE306" s="138"/>
      <c r="AF306" s="136"/>
      <c r="AG306" s="136"/>
      <c r="AH306" s="136"/>
    </row>
    <row r="307" spans="1:34" s="132" customFormat="1" ht="12.75" customHeight="1" x14ac:dyDescent="0.25">
      <c r="A307" s="137"/>
      <c r="B307" s="139"/>
      <c r="C307" s="136"/>
      <c r="D307" s="131"/>
      <c r="E307" s="131"/>
      <c r="F307" s="58"/>
      <c r="G307" s="140"/>
      <c r="H307" s="140"/>
      <c r="I307" s="58"/>
      <c r="J307" s="58"/>
      <c r="K307" s="58"/>
      <c r="L307" s="58"/>
      <c r="M307" s="135"/>
      <c r="N307" s="135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35"/>
      <c r="Z307" s="58"/>
      <c r="AA307" s="58"/>
      <c r="AB307" s="58"/>
      <c r="AC307" s="58"/>
      <c r="AD307" s="58"/>
      <c r="AE307" s="138"/>
      <c r="AF307" s="136"/>
      <c r="AG307" s="136"/>
      <c r="AH307" s="136"/>
    </row>
    <row r="308" spans="1:34" s="132" customFormat="1" ht="12.75" customHeight="1" x14ac:dyDescent="0.25">
      <c r="A308" s="137"/>
      <c r="B308" s="139"/>
      <c r="C308" s="136"/>
      <c r="D308" s="131"/>
      <c r="E308" s="131"/>
      <c r="F308" s="58"/>
      <c r="G308" s="140"/>
      <c r="H308" s="140"/>
      <c r="I308" s="58"/>
      <c r="J308" s="58"/>
      <c r="K308" s="58"/>
      <c r="L308" s="58"/>
      <c r="M308" s="135"/>
      <c r="N308" s="135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35"/>
      <c r="Z308" s="58"/>
      <c r="AA308" s="58"/>
      <c r="AB308" s="58"/>
      <c r="AC308" s="58"/>
      <c r="AD308" s="58"/>
      <c r="AE308" s="138"/>
      <c r="AF308" s="136"/>
      <c r="AG308" s="136"/>
      <c r="AH308" s="136"/>
    </row>
    <row r="309" spans="1:34" s="132" customFormat="1" ht="12.75" customHeight="1" x14ac:dyDescent="0.25">
      <c r="A309" s="137"/>
      <c r="B309" s="139"/>
      <c r="C309" s="136"/>
      <c r="D309" s="131"/>
      <c r="E309" s="131"/>
      <c r="F309" s="58"/>
      <c r="G309" s="140"/>
      <c r="H309" s="140"/>
      <c r="I309" s="58"/>
      <c r="J309" s="58"/>
      <c r="K309" s="58"/>
      <c r="L309" s="58"/>
      <c r="M309" s="135"/>
      <c r="N309" s="135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35"/>
      <c r="Z309" s="58"/>
      <c r="AA309" s="58"/>
      <c r="AB309" s="58"/>
      <c r="AC309" s="58"/>
      <c r="AD309" s="58"/>
      <c r="AE309" s="138"/>
      <c r="AF309" s="136"/>
      <c r="AG309" s="136"/>
      <c r="AH309" s="136"/>
    </row>
    <row r="310" spans="1:34" s="132" customFormat="1" ht="12.75" customHeight="1" x14ac:dyDescent="0.25">
      <c r="A310" s="137"/>
      <c r="B310" s="139"/>
      <c r="C310" s="136"/>
      <c r="D310" s="131"/>
      <c r="E310" s="131"/>
      <c r="F310" s="58"/>
      <c r="G310" s="140"/>
      <c r="H310" s="140"/>
      <c r="I310" s="58"/>
      <c r="J310" s="58"/>
      <c r="K310" s="58"/>
      <c r="L310" s="58"/>
      <c r="M310" s="135"/>
      <c r="N310" s="135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35"/>
      <c r="Z310" s="58"/>
      <c r="AA310" s="58"/>
      <c r="AB310" s="58"/>
      <c r="AC310" s="58"/>
      <c r="AD310" s="58"/>
      <c r="AE310" s="138"/>
      <c r="AF310" s="136"/>
      <c r="AG310" s="136"/>
      <c r="AH310" s="136"/>
    </row>
    <row r="311" spans="1:34" s="132" customFormat="1" ht="12.75" customHeight="1" x14ac:dyDescent="0.25">
      <c r="A311" s="137"/>
      <c r="B311" s="139"/>
      <c r="C311" s="136"/>
      <c r="D311" s="131"/>
      <c r="E311" s="131"/>
      <c r="F311" s="58"/>
      <c r="G311" s="140"/>
      <c r="H311" s="140"/>
      <c r="I311" s="58"/>
      <c r="J311" s="58"/>
      <c r="K311" s="58"/>
      <c r="L311" s="58"/>
      <c r="M311" s="135"/>
      <c r="N311" s="135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35"/>
      <c r="Z311" s="58"/>
      <c r="AA311" s="58"/>
      <c r="AB311" s="58"/>
      <c r="AC311" s="58"/>
      <c r="AD311" s="58"/>
      <c r="AE311" s="138"/>
      <c r="AF311" s="136"/>
      <c r="AG311" s="136"/>
      <c r="AH311" s="136"/>
    </row>
    <row r="312" spans="1:34" s="132" customFormat="1" ht="12.75" customHeight="1" x14ac:dyDescent="0.25">
      <c r="A312" s="137"/>
      <c r="B312" s="139"/>
      <c r="C312" s="136"/>
      <c r="D312" s="131"/>
      <c r="E312" s="131"/>
      <c r="F312" s="58"/>
      <c r="G312" s="140"/>
      <c r="H312" s="140"/>
      <c r="I312" s="58"/>
      <c r="J312" s="58"/>
      <c r="K312" s="58"/>
      <c r="L312" s="58"/>
      <c r="M312" s="135"/>
      <c r="N312" s="135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35"/>
      <c r="Z312" s="58"/>
      <c r="AA312" s="58"/>
      <c r="AB312" s="58"/>
      <c r="AC312" s="58"/>
      <c r="AD312" s="58"/>
      <c r="AE312" s="138"/>
      <c r="AF312" s="136"/>
      <c r="AG312" s="136"/>
      <c r="AH312" s="136"/>
    </row>
    <row r="313" spans="1:34" s="132" customFormat="1" ht="12.75" customHeight="1" x14ac:dyDescent="0.25">
      <c r="A313" s="137"/>
      <c r="B313" s="139"/>
      <c r="C313" s="136"/>
      <c r="D313" s="131"/>
      <c r="E313" s="131"/>
      <c r="F313" s="58"/>
      <c r="G313" s="140"/>
      <c r="H313" s="140"/>
      <c r="I313" s="58"/>
      <c r="J313" s="58"/>
      <c r="K313" s="58"/>
      <c r="L313" s="58"/>
      <c r="M313" s="135"/>
      <c r="N313" s="135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35"/>
      <c r="Z313" s="58"/>
      <c r="AA313" s="58"/>
      <c r="AB313" s="58"/>
      <c r="AC313" s="58"/>
      <c r="AD313" s="58"/>
      <c r="AE313" s="138"/>
      <c r="AF313" s="136"/>
      <c r="AG313" s="136"/>
      <c r="AH313" s="136"/>
    </row>
    <row r="314" spans="1:34" s="132" customFormat="1" ht="12.75" customHeight="1" x14ac:dyDescent="0.25">
      <c r="A314" s="137"/>
      <c r="B314" s="139"/>
      <c r="C314" s="136"/>
      <c r="D314" s="131"/>
      <c r="E314" s="131"/>
      <c r="F314" s="58"/>
      <c r="G314" s="140"/>
      <c r="H314" s="140"/>
      <c r="I314" s="58"/>
      <c r="J314" s="58"/>
      <c r="K314" s="58"/>
      <c r="L314" s="58"/>
      <c r="M314" s="135"/>
      <c r="N314" s="135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35"/>
      <c r="Z314" s="58"/>
      <c r="AA314" s="58"/>
      <c r="AB314" s="58"/>
      <c r="AC314" s="58"/>
      <c r="AD314" s="58"/>
      <c r="AE314" s="138"/>
      <c r="AF314" s="136"/>
      <c r="AG314" s="136"/>
      <c r="AH314" s="136"/>
    </row>
    <row r="315" spans="1:34" s="132" customFormat="1" ht="12.75" customHeight="1" x14ac:dyDescent="0.25">
      <c r="A315" s="137"/>
      <c r="B315" s="139"/>
      <c r="C315" s="136"/>
      <c r="D315" s="131"/>
      <c r="E315" s="131"/>
      <c r="F315" s="58"/>
      <c r="G315" s="140"/>
      <c r="H315" s="140"/>
      <c r="I315" s="58"/>
      <c r="J315" s="58"/>
      <c r="K315" s="58"/>
      <c r="L315" s="58"/>
      <c r="M315" s="135"/>
      <c r="N315" s="135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35"/>
      <c r="Z315" s="58"/>
      <c r="AA315" s="58"/>
      <c r="AB315" s="58"/>
      <c r="AC315" s="58"/>
      <c r="AD315" s="58"/>
      <c r="AE315" s="138"/>
      <c r="AF315" s="136"/>
      <c r="AG315" s="136"/>
      <c r="AH315" s="136"/>
    </row>
    <row r="316" spans="1:34" s="132" customFormat="1" ht="12.75" customHeight="1" x14ac:dyDescent="0.25">
      <c r="A316" s="137"/>
      <c r="B316" s="139"/>
      <c r="C316" s="136"/>
      <c r="D316" s="131"/>
      <c r="E316" s="131"/>
      <c r="F316" s="58"/>
      <c r="G316" s="140"/>
      <c r="H316" s="140"/>
      <c r="I316" s="58"/>
      <c r="J316" s="58"/>
      <c r="K316" s="58"/>
      <c r="L316" s="58"/>
      <c r="M316" s="135"/>
      <c r="N316" s="135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35"/>
      <c r="Z316" s="58"/>
      <c r="AA316" s="58"/>
      <c r="AB316" s="58"/>
      <c r="AC316" s="58"/>
      <c r="AD316" s="58"/>
      <c r="AE316" s="138"/>
      <c r="AF316" s="136"/>
      <c r="AG316" s="136"/>
      <c r="AH316" s="136"/>
    </row>
    <row r="317" spans="1:34" s="132" customFormat="1" ht="12.75" customHeight="1" x14ac:dyDescent="0.25">
      <c r="A317" s="137"/>
      <c r="B317" s="139"/>
      <c r="C317" s="136"/>
      <c r="D317" s="131"/>
      <c r="E317" s="131"/>
      <c r="F317" s="58"/>
      <c r="G317" s="140"/>
      <c r="H317" s="140"/>
      <c r="I317" s="58"/>
      <c r="J317" s="58"/>
      <c r="K317" s="58"/>
      <c r="L317" s="58"/>
      <c r="M317" s="135"/>
      <c r="N317" s="135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35"/>
      <c r="Z317" s="58"/>
      <c r="AA317" s="58"/>
      <c r="AB317" s="58"/>
      <c r="AC317" s="58"/>
      <c r="AD317" s="58"/>
      <c r="AE317" s="138"/>
      <c r="AF317" s="136"/>
      <c r="AG317" s="136"/>
      <c r="AH317" s="136"/>
    </row>
    <row r="318" spans="1:34" s="132" customFormat="1" ht="12.75" customHeight="1" x14ac:dyDescent="0.25">
      <c r="A318" s="137"/>
      <c r="B318" s="139"/>
      <c r="C318" s="136"/>
      <c r="D318" s="131"/>
      <c r="E318" s="131"/>
      <c r="F318" s="58"/>
      <c r="G318" s="140"/>
      <c r="H318" s="140"/>
      <c r="I318" s="58"/>
      <c r="J318" s="58"/>
      <c r="K318" s="58"/>
      <c r="L318" s="58"/>
      <c r="M318" s="135"/>
      <c r="N318" s="135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35"/>
      <c r="Z318" s="58"/>
      <c r="AA318" s="58"/>
      <c r="AB318" s="58"/>
      <c r="AC318" s="58"/>
      <c r="AD318" s="58"/>
      <c r="AE318" s="138"/>
      <c r="AF318" s="136"/>
      <c r="AG318" s="136"/>
      <c r="AH318" s="136"/>
    </row>
    <row r="319" spans="1:34" s="132" customFormat="1" ht="12.75" customHeight="1" x14ac:dyDescent="0.25">
      <c r="A319" s="137"/>
      <c r="B319" s="139"/>
      <c r="C319" s="136"/>
      <c r="D319" s="131"/>
      <c r="E319" s="131"/>
      <c r="F319" s="58"/>
      <c r="G319" s="140"/>
      <c r="H319" s="140"/>
      <c r="I319" s="58"/>
      <c r="J319" s="58"/>
      <c r="K319" s="58"/>
      <c r="L319" s="58"/>
      <c r="M319" s="135"/>
      <c r="N319" s="135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35"/>
      <c r="Z319" s="58"/>
      <c r="AA319" s="58"/>
      <c r="AB319" s="58"/>
      <c r="AC319" s="58"/>
      <c r="AD319" s="58"/>
      <c r="AE319" s="138"/>
      <c r="AF319" s="136"/>
      <c r="AG319" s="136"/>
      <c r="AH319" s="136"/>
    </row>
    <row r="320" spans="1:34" s="132" customFormat="1" ht="12.75" customHeight="1" x14ac:dyDescent="0.25">
      <c r="A320" s="137"/>
      <c r="B320" s="139"/>
      <c r="C320" s="136"/>
      <c r="D320" s="131"/>
      <c r="E320" s="131"/>
      <c r="F320" s="58"/>
      <c r="G320" s="140"/>
      <c r="H320" s="140"/>
      <c r="I320" s="58"/>
      <c r="J320" s="58"/>
      <c r="K320" s="58"/>
      <c r="L320" s="58"/>
      <c r="M320" s="135"/>
      <c r="N320" s="135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35"/>
      <c r="Z320" s="58"/>
      <c r="AA320" s="58"/>
      <c r="AB320" s="58"/>
      <c r="AC320" s="58"/>
      <c r="AD320" s="58"/>
      <c r="AE320" s="138"/>
      <c r="AF320" s="136"/>
      <c r="AG320" s="136"/>
      <c r="AH320" s="136"/>
    </row>
    <row r="321" spans="1:34" s="132" customFormat="1" ht="12.75" customHeight="1" x14ac:dyDescent="0.25">
      <c r="A321" s="137"/>
      <c r="B321" s="139"/>
      <c r="C321" s="136"/>
      <c r="D321" s="131"/>
      <c r="E321" s="131"/>
      <c r="F321" s="58"/>
      <c r="G321" s="140"/>
      <c r="H321" s="140"/>
      <c r="I321" s="58"/>
      <c r="J321" s="58"/>
      <c r="K321" s="58"/>
      <c r="L321" s="58"/>
      <c r="M321" s="135"/>
      <c r="N321" s="135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35"/>
      <c r="Z321" s="58"/>
      <c r="AA321" s="58"/>
      <c r="AB321" s="58"/>
      <c r="AC321" s="58"/>
      <c r="AD321" s="58"/>
      <c r="AE321" s="138"/>
      <c r="AF321" s="136"/>
      <c r="AG321" s="136"/>
      <c r="AH321" s="136"/>
    </row>
    <row r="322" spans="1:34" s="132" customFormat="1" ht="12.75" customHeight="1" x14ac:dyDescent="0.25">
      <c r="A322" s="137"/>
      <c r="B322" s="139"/>
      <c r="C322" s="136"/>
      <c r="D322" s="131"/>
      <c r="E322" s="131"/>
      <c r="F322" s="58"/>
      <c r="G322" s="140"/>
      <c r="H322" s="140"/>
      <c r="I322" s="58"/>
      <c r="J322" s="58"/>
      <c r="K322" s="58"/>
      <c r="L322" s="58"/>
      <c r="M322" s="135"/>
      <c r="N322" s="135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35"/>
      <c r="Z322" s="58"/>
      <c r="AA322" s="58"/>
      <c r="AB322" s="58"/>
      <c r="AC322" s="58"/>
      <c r="AD322" s="58"/>
      <c r="AE322" s="138"/>
      <c r="AF322" s="136"/>
      <c r="AG322" s="136"/>
      <c r="AH322" s="136"/>
    </row>
    <row r="323" spans="1:34" s="132" customFormat="1" ht="12.75" customHeight="1" x14ac:dyDescent="0.25">
      <c r="A323" s="137"/>
      <c r="B323" s="139"/>
      <c r="C323" s="136"/>
      <c r="D323" s="131"/>
      <c r="E323" s="131"/>
      <c r="F323" s="58"/>
      <c r="G323" s="140"/>
      <c r="H323" s="140"/>
      <c r="I323" s="58"/>
      <c r="J323" s="58"/>
      <c r="K323" s="58"/>
      <c r="L323" s="58"/>
      <c r="M323" s="135"/>
      <c r="N323" s="135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35"/>
      <c r="Z323" s="58"/>
      <c r="AA323" s="58"/>
      <c r="AB323" s="58"/>
      <c r="AC323" s="58"/>
      <c r="AD323" s="58"/>
      <c r="AE323" s="138"/>
      <c r="AF323" s="136"/>
      <c r="AG323" s="136"/>
      <c r="AH323" s="136"/>
    </row>
    <row r="324" spans="1:34" s="132" customFormat="1" ht="12.75" customHeight="1" x14ac:dyDescent="0.25">
      <c r="A324" s="137"/>
      <c r="B324" s="139"/>
      <c r="C324" s="136"/>
      <c r="D324" s="131"/>
      <c r="E324" s="131"/>
      <c r="F324" s="58"/>
      <c r="G324" s="140"/>
      <c r="H324" s="140"/>
      <c r="I324" s="58"/>
      <c r="J324" s="58"/>
      <c r="K324" s="58"/>
      <c r="L324" s="58"/>
      <c r="M324" s="135"/>
      <c r="N324" s="135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35"/>
      <c r="Z324" s="58"/>
      <c r="AA324" s="58"/>
      <c r="AB324" s="58"/>
      <c r="AC324" s="58"/>
      <c r="AD324" s="58"/>
      <c r="AE324" s="138"/>
      <c r="AF324" s="136"/>
      <c r="AG324" s="136"/>
      <c r="AH324" s="136"/>
    </row>
    <row r="325" spans="1:34" s="132" customFormat="1" ht="12.75" customHeight="1" x14ac:dyDescent="0.25">
      <c r="A325" s="137"/>
      <c r="B325" s="139"/>
      <c r="C325" s="136"/>
      <c r="D325" s="131"/>
      <c r="E325" s="131"/>
      <c r="F325" s="58"/>
      <c r="G325" s="140"/>
      <c r="H325" s="140"/>
      <c r="I325" s="58"/>
      <c r="J325" s="58"/>
      <c r="K325" s="58"/>
      <c r="L325" s="58"/>
      <c r="M325" s="135"/>
      <c r="N325" s="135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35"/>
      <c r="Z325" s="58"/>
      <c r="AA325" s="58"/>
      <c r="AB325" s="58"/>
      <c r="AC325" s="58"/>
      <c r="AD325" s="58"/>
      <c r="AE325" s="138"/>
      <c r="AF325" s="136"/>
      <c r="AG325" s="136"/>
      <c r="AH325" s="136"/>
    </row>
    <row r="326" spans="1:34" s="132" customFormat="1" ht="12.75" customHeight="1" x14ac:dyDescent="0.25">
      <c r="A326" s="137"/>
      <c r="B326" s="139"/>
      <c r="C326" s="136"/>
      <c r="D326" s="131"/>
      <c r="E326" s="131"/>
      <c r="F326" s="58"/>
      <c r="G326" s="140"/>
      <c r="H326" s="140"/>
      <c r="I326" s="58"/>
      <c r="J326" s="58"/>
      <c r="K326" s="58"/>
      <c r="L326" s="58"/>
      <c r="M326" s="135"/>
      <c r="N326" s="135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35"/>
      <c r="Z326" s="58"/>
      <c r="AA326" s="58"/>
      <c r="AB326" s="58"/>
      <c r="AC326" s="58"/>
      <c r="AD326" s="58"/>
      <c r="AE326" s="138"/>
      <c r="AF326" s="136"/>
      <c r="AG326" s="136"/>
      <c r="AH326" s="136"/>
    </row>
    <row r="327" spans="1:34" s="132" customFormat="1" ht="12.75" customHeight="1" x14ac:dyDescent="0.25">
      <c r="A327" s="137"/>
      <c r="B327" s="139"/>
      <c r="C327" s="136"/>
      <c r="D327" s="131"/>
      <c r="E327" s="131"/>
      <c r="F327" s="58"/>
      <c r="G327" s="140"/>
      <c r="H327" s="140"/>
      <c r="I327" s="58"/>
      <c r="J327" s="58"/>
      <c r="K327" s="58"/>
      <c r="L327" s="58"/>
      <c r="M327" s="135"/>
      <c r="N327" s="135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35"/>
      <c r="Z327" s="58"/>
      <c r="AA327" s="58"/>
      <c r="AB327" s="58"/>
      <c r="AC327" s="58"/>
      <c r="AD327" s="58"/>
      <c r="AE327" s="138"/>
      <c r="AF327" s="136"/>
      <c r="AG327" s="136"/>
      <c r="AH327" s="136"/>
    </row>
    <row r="328" spans="1:34" s="132" customFormat="1" ht="12.75" customHeight="1" x14ac:dyDescent="0.25">
      <c r="A328" s="137"/>
      <c r="B328" s="139"/>
      <c r="C328" s="136"/>
      <c r="D328" s="131"/>
      <c r="E328" s="131"/>
      <c r="F328" s="58"/>
      <c r="G328" s="140"/>
      <c r="H328" s="140"/>
      <c r="I328" s="58"/>
      <c r="J328" s="58"/>
      <c r="K328" s="58"/>
      <c r="L328" s="58"/>
      <c r="M328" s="135"/>
      <c r="N328" s="135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35"/>
      <c r="Z328" s="58"/>
      <c r="AA328" s="58"/>
      <c r="AB328" s="58"/>
      <c r="AC328" s="58"/>
      <c r="AD328" s="58"/>
      <c r="AE328" s="138"/>
      <c r="AF328" s="136"/>
      <c r="AG328" s="136"/>
      <c r="AH328" s="136"/>
    </row>
    <row r="329" spans="1:34" s="132" customFormat="1" ht="12.75" customHeight="1" x14ac:dyDescent="0.25">
      <c r="A329" s="137"/>
      <c r="B329" s="139"/>
      <c r="C329" s="136"/>
      <c r="D329" s="131"/>
      <c r="E329" s="131"/>
      <c r="F329" s="58"/>
      <c r="G329" s="140"/>
      <c r="H329" s="140"/>
      <c r="I329" s="58"/>
      <c r="J329" s="58"/>
      <c r="K329" s="58"/>
      <c r="L329" s="58"/>
      <c r="M329" s="135"/>
      <c r="N329" s="135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35"/>
      <c r="Z329" s="58"/>
      <c r="AA329" s="58"/>
      <c r="AB329" s="58"/>
      <c r="AC329" s="58"/>
      <c r="AD329" s="58"/>
      <c r="AE329" s="138"/>
      <c r="AF329" s="136"/>
      <c r="AG329" s="136"/>
      <c r="AH329" s="136"/>
    </row>
    <row r="330" spans="1:34" s="132" customFormat="1" ht="12.75" customHeight="1" x14ac:dyDescent="0.25">
      <c r="A330" s="137"/>
      <c r="B330" s="139"/>
      <c r="C330" s="136"/>
      <c r="D330" s="131"/>
      <c r="E330" s="131"/>
      <c r="F330" s="58"/>
      <c r="G330" s="140"/>
      <c r="H330" s="140"/>
      <c r="I330" s="58"/>
      <c r="J330" s="58"/>
      <c r="K330" s="58"/>
      <c r="L330" s="58"/>
      <c r="M330" s="135"/>
      <c r="N330" s="135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35"/>
      <c r="Z330" s="58"/>
      <c r="AA330" s="58"/>
      <c r="AB330" s="58"/>
      <c r="AC330" s="58"/>
      <c r="AD330" s="58"/>
      <c r="AE330" s="138"/>
      <c r="AF330" s="136"/>
      <c r="AG330" s="136"/>
      <c r="AH330" s="136"/>
    </row>
    <row r="331" spans="1:34" s="132" customFormat="1" ht="12.75" customHeight="1" x14ac:dyDescent="0.25">
      <c r="A331" s="137"/>
      <c r="B331" s="139"/>
      <c r="C331" s="136"/>
      <c r="D331" s="131"/>
      <c r="E331" s="131"/>
      <c r="F331" s="58"/>
      <c r="G331" s="140"/>
      <c r="H331" s="140"/>
      <c r="I331" s="58"/>
      <c r="J331" s="58"/>
      <c r="K331" s="58"/>
      <c r="L331" s="58"/>
      <c r="M331" s="135"/>
      <c r="N331" s="135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35"/>
      <c r="Z331" s="58"/>
      <c r="AA331" s="58"/>
      <c r="AB331" s="58"/>
      <c r="AC331" s="58"/>
      <c r="AD331" s="58"/>
      <c r="AE331" s="138"/>
      <c r="AF331" s="136"/>
      <c r="AG331" s="136"/>
      <c r="AH331" s="136"/>
    </row>
    <row r="332" spans="1:34" s="132" customFormat="1" ht="12.75" customHeight="1" x14ac:dyDescent="0.25">
      <c r="A332" s="137"/>
      <c r="B332" s="139"/>
      <c r="C332" s="136"/>
      <c r="D332" s="131"/>
      <c r="E332" s="131"/>
      <c r="F332" s="58"/>
      <c r="G332" s="140"/>
      <c r="H332" s="140"/>
      <c r="I332" s="58"/>
      <c r="J332" s="58"/>
      <c r="K332" s="58"/>
      <c r="L332" s="58"/>
      <c r="M332" s="135"/>
      <c r="N332" s="135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35"/>
      <c r="Z332" s="58"/>
      <c r="AA332" s="58"/>
      <c r="AB332" s="58"/>
      <c r="AC332" s="58"/>
      <c r="AD332" s="58"/>
      <c r="AE332" s="138"/>
      <c r="AF332" s="136"/>
      <c r="AG332" s="136"/>
      <c r="AH332" s="136"/>
    </row>
    <row r="333" spans="1:34" s="132" customFormat="1" ht="12.75" customHeight="1" x14ac:dyDescent="0.25">
      <c r="A333" s="137"/>
      <c r="B333" s="139"/>
      <c r="C333" s="136"/>
      <c r="D333" s="131"/>
      <c r="E333" s="131"/>
      <c r="F333" s="58"/>
      <c r="G333" s="140"/>
      <c r="H333" s="140"/>
      <c r="I333" s="58"/>
      <c r="J333" s="58"/>
      <c r="K333" s="58"/>
      <c r="L333" s="58"/>
      <c r="M333" s="135"/>
      <c r="N333" s="135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35"/>
      <c r="Z333" s="58"/>
      <c r="AA333" s="58"/>
      <c r="AB333" s="58"/>
      <c r="AC333" s="58"/>
      <c r="AD333" s="58"/>
      <c r="AE333" s="138"/>
      <c r="AF333" s="136"/>
      <c r="AG333" s="136"/>
      <c r="AH333" s="136"/>
    </row>
    <row r="334" spans="1:34" s="132" customFormat="1" ht="12.75" customHeight="1" x14ac:dyDescent="0.25">
      <c r="A334" s="137"/>
      <c r="B334" s="139"/>
      <c r="C334" s="136"/>
      <c r="D334" s="131"/>
      <c r="E334" s="131"/>
      <c r="F334" s="58"/>
      <c r="G334" s="140"/>
      <c r="H334" s="140"/>
      <c r="I334" s="58"/>
      <c r="J334" s="58"/>
      <c r="K334" s="58"/>
      <c r="L334" s="58"/>
      <c r="M334" s="135"/>
      <c r="N334" s="135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35"/>
      <c r="Z334" s="58"/>
      <c r="AA334" s="58"/>
      <c r="AB334" s="58"/>
      <c r="AC334" s="58"/>
      <c r="AD334" s="58"/>
      <c r="AE334" s="138"/>
      <c r="AF334" s="136"/>
      <c r="AG334" s="136"/>
      <c r="AH334" s="136"/>
    </row>
    <row r="335" spans="1:34" s="132" customFormat="1" ht="12.75" customHeight="1" x14ac:dyDescent="0.25">
      <c r="A335" s="137"/>
      <c r="B335" s="139"/>
      <c r="C335" s="136"/>
      <c r="D335" s="131"/>
      <c r="E335" s="131"/>
      <c r="F335" s="58"/>
      <c r="G335" s="140"/>
      <c r="H335" s="140"/>
      <c r="I335" s="58"/>
      <c r="J335" s="58"/>
      <c r="K335" s="58"/>
      <c r="L335" s="58"/>
      <c r="M335" s="135"/>
      <c r="N335" s="135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35"/>
      <c r="Z335" s="58"/>
      <c r="AA335" s="58"/>
      <c r="AB335" s="58"/>
      <c r="AC335" s="58"/>
      <c r="AD335" s="58"/>
      <c r="AE335" s="138"/>
      <c r="AF335" s="136"/>
      <c r="AG335" s="136"/>
      <c r="AH335" s="136"/>
    </row>
    <row r="336" spans="1:34" s="132" customFormat="1" ht="12.75" customHeight="1" x14ac:dyDescent="0.25">
      <c r="A336" s="137"/>
      <c r="B336" s="139"/>
      <c r="C336" s="136"/>
      <c r="D336" s="131"/>
      <c r="E336" s="131"/>
      <c r="F336" s="58"/>
      <c r="G336" s="140"/>
      <c r="H336" s="140"/>
      <c r="I336" s="58"/>
      <c r="J336" s="58"/>
      <c r="K336" s="58"/>
      <c r="L336" s="58"/>
      <c r="M336" s="135"/>
      <c r="N336" s="135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35"/>
      <c r="Z336" s="58"/>
      <c r="AA336" s="58"/>
      <c r="AB336" s="58"/>
      <c r="AC336" s="58"/>
      <c r="AD336" s="58"/>
      <c r="AE336" s="138"/>
      <c r="AF336" s="136"/>
      <c r="AG336" s="136"/>
      <c r="AH336" s="136"/>
    </row>
    <row r="337" spans="1:34" s="132" customFormat="1" ht="12.75" customHeight="1" x14ac:dyDescent="0.25">
      <c r="A337" s="137"/>
      <c r="B337" s="139"/>
      <c r="C337" s="136"/>
      <c r="D337" s="131"/>
      <c r="E337" s="131"/>
      <c r="F337" s="58"/>
      <c r="G337" s="140"/>
      <c r="H337" s="140"/>
      <c r="I337" s="58"/>
      <c r="J337" s="58"/>
      <c r="K337" s="58"/>
      <c r="L337" s="58"/>
      <c r="M337" s="135"/>
      <c r="N337" s="135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35"/>
      <c r="Z337" s="58"/>
      <c r="AA337" s="58"/>
      <c r="AB337" s="58"/>
      <c r="AC337" s="58"/>
      <c r="AD337" s="58"/>
      <c r="AE337" s="138"/>
      <c r="AF337" s="136"/>
      <c r="AG337" s="136"/>
      <c r="AH337" s="136"/>
    </row>
    <row r="338" spans="1:34" s="132" customFormat="1" ht="12.75" customHeight="1" x14ac:dyDescent="0.25">
      <c r="A338" s="137"/>
      <c r="B338" s="139"/>
      <c r="C338" s="136"/>
      <c r="D338" s="131"/>
      <c r="E338" s="131"/>
      <c r="F338" s="58"/>
      <c r="G338" s="140"/>
      <c r="H338" s="140"/>
      <c r="I338" s="58"/>
      <c r="J338" s="58"/>
      <c r="K338" s="58"/>
      <c r="L338" s="58"/>
      <c r="M338" s="135"/>
      <c r="N338" s="135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35"/>
      <c r="Z338" s="58"/>
      <c r="AA338" s="58"/>
      <c r="AB338" s="58"/>
      <c r="AC338" s="58"/>
      <c r="AD338" s="58"/>
      <c r="AE338" s="138"/>
      <c r="AF338" s="136"/>
      <c r="AG338" s="136"/>
      <c r="AH338" s="136"/>
    </row>
    <row r="339" spans="1:34" s="132" customFormat="1" ht="12.75" customHeight="1" x14ac:dyDescent="0.25">
      <c r="A339" s="137"/>
      <c r="B339" s="139"/>
      <c r="C339" s="136"/>
      <c r="D339" s="131"/>
      <c r="E339" s="131"/>
      <c r="F339" s="58"/>
      <c r="G339" s="140"/>
      <c r="H339" s="140"/>
      <c r="I339" s="58"/>
      <c r="J339" s="58"/>
      <c r="K339" s="58"/>
      <c r="L339" s="58"/>
      <c r="M339" s="135"/>
      <c r="N339" s="135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35"/>
      <c r="Z339" s="58"/>
      <c r="AA339" s="58"/>
      <c r="AB339" s="58"/>
      <c r="AC339" s="58"/>
      <c r="AD339" s="58"/>
      <c r="AE339" s="138"/>
      <c r="AF339" s="136"/>
      <c r="AG339" s="136"/>
      <c r="AH339" s="136"/>
    </row>
    <row r="340" spans="1:34" s="132" customFormat="1" ht="12.75" customHeight="1" x14ac:dyDescent="0.25">
      <c r="A340" s="137"/>
      <c r="B340" s="139"/>
      <c r="C340" s="136"/>
      <c r="D340" s="131"/>
      <c r="E340" s="131"/>
      <c r="F340" s="58"/>
      <c r="G340" s="140"/>
      <c r="H340" s="140"/>
      <c r="I340" s="58"/>
      <c r="J340" s="58"/>
      <c r="K340" s="58"/>
      <c r="L340" s="58"/>
      <c r="M340" s="135"/>
      <c r="N340" s="135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35"/>
      <c r="Z340" s="58"/>
      <c r="AA340" s="58"/>
      <c r="AB340" s="58"/>
      <c r="AC340" s="58"/>
      <c r="AD340" s="58"/>
      <c r="AE340" s="138"/>
      <c r="AF340" s="136"/>
      <c r="AG340" s="136"/>
      <c r="AH340" s="136"/>
    </row>
    <row r="341" spans="1:34" s="132" customFormat="1" ht="12.75" customHeight="1" x14ac:dyDescent="0.25">
      <c r="A341" s="137"/>
      <c r="B341" s="139"/>
      <c r="C341" s="136"/>
      <c r="D341" s="131"/>
      <c r="E341" s="131"/>
      <c r="F341" s="58"/>
      <c r="G341" s="140"/>
      <c r="H341" s="140"/>
      <c r="I341" s="58"/>
      <c r="J341" s="58"/>
      <c r="K341" s="58"/>
      <c r="L341" s="58"/>
      <c r="M341" s="135"/>
      <c r="N341" s="135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35"/>
      <c r="Z341" s="58"/>
      <c r="AA341" s="58"/>
      <c r="AB341" s="58"/>
      <c r="AC341" s="58"/>
      <c r="AD341" s="58"/>
      <c r="AE341" s="138"/>
      <c r="AF341" s="136"/>
      <c r="AG341" s="136"/>
      <c r="AH341" s="136"/>
    </row>
    <row r="342" spans="1:34" s="132" customFormat="1" ht="12.75" customHeight="1" x14ac:dyDescent="0.25">
      <c r="A342" s="137"/>
      <c r="B342" s="139"/>
      <c r="C342" s="136"/>
      <c r="D342" s="131"/>
      <c r="E342" s="131"/>
      <c r="F342" s="58"/>
      <c r="G342" s="140"/>
      <c r="H342" s="140"/>
      <c r="I342" s="58"/>
      <c r="J342" s="58"/>
      <c r="K342" s="58"/>
      <c r="L342" s="58"/>
      <c r="M342" s="135"/>
      <c r="N342" s="135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35"/>
      <c r="Z342" s="58"/>
      <c r="AA342" s="58"/>
      <c r="AB342" s="58"/>
      <c r="AC342" s="58"/>
      <c r="AD342" s="58"/>
      <c r="AE342" s="138"/>
      <c r="AF342" s="136"/>
      <c r="AG342" s="136"/>
      <c r="AH342" s="136"/>
    </row>
    <row r="343" spans="1:34" s="132" customFormat="1" ht="12.75" customHeight="1" x14ac:dyDescent="0.25">
      <c r="A343" s="137"/>
      <c r="B343" s="139"/>
      <c r="C343" s="136"/>
      <c r="D343" s="131"/>
      <c r="E343" s="131"/>
      <c r="F343" s="58"/>
      <c r="G343" s="140"/>
      <c r="H343" s="140"/>
      <c r="I343" s="58"/>
      <c r="J343" s="58"/>
      <c r="K343" s="58"/>
      <c r="L343" s="58"/>
      <c r="M343" s="135"/>
      <c r="N343" s="135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35"/>
      <c r="Z343" s="58"/>
      <c r="AA343" s="58"/>
      <c r="AB343" s="58"/>
      <c r="AC343" s="58"/>
      <c r="AD343" s="58"/>
      <c r="AE343" s="138"/>
      <c r="AF343" s="136"/>
      <c r="AG343" s="136"/>
      <c r="AH343" s="136"/>
    </row>
    <row r="344" spans="1:34" s="132" customFormat="1" ht="12.75" customHeight="1" x14ac:dyDescent="0.25">
      <c r="A344" s="137"/>
      <c r="B344" s="139"/>
      <c r="C344" s="136"/>
      <c r="D344" s="131"/>
      <c r="E344" s="131"/>
      <c r="F344" s="58"/>
      <c r="G344" s="140"/>
      <c r="H344" s="140"/>
      <c r="I344" s="58"/>
      <c r="J344" s="58"/>
      <c r="K344" s="58"/>
      <c r="L344" s="58"/>
      <c r="M344" s="135"/>
      <c r="N344" s="135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35"/>
      <c r="Z344" s="58"/>
      <c r="AA344" s="58"/>
      <c r="AB344" s="58"/>
      <c r="AC344" s="58"/>
      <c r="AD344" s="58"/>
      <c r="AE344" s="138"/>
      <c r="AF344" s="136"/>
      <c r="AG344" s="136"/>
      <c r="AH344" s="136"/>
    </row>
    <row r="345" spans="1:34" s="132" customFormat="1" ht="12.75" customHeight="1" x14ac:dyDescent="0.25">
      <c r="A345" s="137"/>
      <c r="B345" s="139"/>
      <c r="C345" s="136"/>
      <c r="D345" s="131"/>
      <c r="E345" s="131"/>
      <c r="F345" s="58"/>
      <c r="G345" s="140"/>
      <c r="H345" s="140"/>
      <c r="I345" s="58"/>
      <c r="J345" s="58"/>
      <c r="K345" s="58"/>
      <c r="L345" s="58"/>
      <c r="M345" s="135"/>
      <c r="N345" s="135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35"/>
      <c r="Z345" s="58"/>
      <c r="AA345" s="58"/>
      <c r="AB345" s="58"/>
      <c r="AC345" s="58"/>
      <c r="AD345" s="58"/>
      <c r="AE345" s="138"/>
      <c r="AF345" s="136"/>
      <c r="AG345" s="136"/>
      <c r="AH345" s="136"/>
    </row>
    <row r="346" spans="1:34" s="132" customFormat="1" ht="12.75" customHeight="1" x14ac:dyDescent="0.25">
      <c r="A346" s="137"/>
      <c r="B346" s="139"/>
      <c r="C346" s="136"/>
      <c r="D346" s="131"/>
      <c r="E346" s="131"/>
      <c r="F346" s="58"/>
      <c r="G346" s="140"/>
      <c r="H346" s="140"/>
      <c r="I346" s="58"/>
      <c r="J346" s="58"/>
      <c r="K346" s="58"/>
      <c r="L346" s="58"/>
      <c r="M346" s="135"/>
      <c r="N346" s="135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35"/>
      <c r="Z346" s="58"/>
      <c r="AA346" s="58"/>
      <c r="AB346" s="58"/>
      <c r="AC346" s="58"/>
      <c r="AD346" s="58"/>
      <c r="AE346" s="138"/>
      <c r="AF346" s="136"/>
      <c r="AG346" s="136"/>
      <c r="AH346" s="136"/>
    </row>
    <row r="347" spans="1:34" s="132" customFormat="1" ht="12.75" customHeight="1" x14ac:dyDescent="0.25">
      <c r="A347" s="137"/>
      <c r="B347" s="139"/>
      <c r="C347" s="136"/>
      <c r="D347" s="131"/>
      <c r="E347" s="131"/>
      <c r="F347" s="58"/>
      <c r="G347" s="140"/>
      <c r="H347" s="140"/>
      <c r="I347" s="58"/>
      <c r="J347" s="58"/>
      <c r="K347" s="58"/>
      <c r="L347" s="58"/>
      <c r="M347" s="135"/>
      <c r="N347" s="135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35"/>
      <c r="Z347" s="58"/>
      <c r="AA347" s="58"/>
      <c r="AB347" s="58"/>
      <c r="AC347" s="58"/>
      <c r="AD347" s="58"/>
      <c r="AE347" s="138"/>
      <c r="AF347" s="136"/>
      <c r="AG347" s="136"/>
      <c r="AH347" s="136"/>
    </row>
    <row r="348" spans="1:34" s="132" customFormat="1" ht="12.75" customHeight="1" x14ac:dyDescent="0.25">
      <c r="A348" s="137"/>
      <c r="B348" s="139"/>
      <c r="C348" s="136"/>
      <c r="D348" s="131"/>
      <c r="E348" s="131"/>
      <c r="F348" s="58"/>
      <c r="G348" s="140"/>
      <c r="H348" s="140"/>
      <c r="I348" s="58"/>
      <c r="J348" s="58"/>
      <c r="K348" s="58"/>
      <c r="L348" s="58"/>
      <c r="M348" s="135"/>
      <c r="N348" s="135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35"/>
      <c r="Z348" s="58"/>
      <c r="AA348" s="58"/>
      <c r="AB348" s="58"/>
      <c r="AC348" s="58"/>
      <c r="AD348" s="58"/>
      <c r="AE348" s="138"/>
      <c r="AF348" s="136"/>
      <c r="AG348" s="136"/>
      <c r="AH348" s="136"/>
    </row>
    <row r="349" spans="1:34" s="132" customFormat="1" ht="12.75" customHeight="1" x14ac:dyDescent="0.25">
      <c r="A349" s="137"/>
      <c r="B349" s="139"/>
      <c r="C349" s="136"/>
      <c r="D349" s="131"/>
      <c r="E349" s="131"/>
      <c r="F349" s="58"/>
      <c r="G349" s="140"/>
      <c r="H349" s="140"/>
      <c r="I349" s="58"/>
      <c r="J349" s="58"/>
      <c r="K349" s="58"/>
      <c r="L349" s="58"/>
      <c r="M349" s="135"/>
      <c r="N349" s="135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35"/>
      <c r="Z349" s="58"/>
      <c r="AA349" s="58"/>
      <c r="AB349" s="58"/>
      <c r="AC349" s="58"/>
      <c r="AD349" s="58"/>
      <c r="AE349" s="138"/>
      <c r="AF349" s="136"/>
      <c r="AG349" s="136"/>
      <c r="AH349" s="136"/>
    </row>
    <row r="350" spans="1:34" s="132" customFormat="1" ht="12.75" customHeight="1" x14ac:dyDescent="0.25">
      <c r="A350" s="137"/>
      <c r="B350" s="139"/>
      <c r="C350" s="136"/>
      <c r="D350" s="131"/>
      <c r="E350" s="131"/>
      <c r="F350" s="58"/>
      <c r="G350" s="140"/>
      <c r="H350" s="140"/>
      <c r="I350" s="58"/>
      <c r="J350" s="58"/>
      <c r="K350" s="58"/>
      <c r="L350" s="58"/>
      <c r="M350" s="135"/>
      <c r="N350" s="135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35"/>
      <c r="Z350" s="58"/>
      <c r="AA350" s="58"/>
      <c r="AB350" s="58"/>
      <c r="AC350" s="58"/>
      <c r="AD350" s="58"/>
      <c r="AE350" s="138"/>
      <c r="AF350" s="136"/>
      <c r="AG350" s="136"/>
      <c r="AH350" s="136"/>
    </row>
    <row r="351" spans="1:34" s="132" customFormat="1" ht="12.75" customHeight="1" x14ac:dyDescent="0.25">
      <c r="A351" s="137"/>
      <c r="B351" s="139"/>
      <c r="C351" s="136"/>
      <c r="D351" s="131"/>
      <c r="E351" s="131"/>
      <c r="F351" s="58"/>
      <c r="G351" s="140"/>
      <c r="H351" s="140"/>
      <c r="I351" s="58"/>
      <c r="J351" s="58"/>
      <c r="K351" s="58"/>
      <c r="L351" s="58"/>
      <c r="M351" s="135"/>
      <c r="N351" s="135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35"/>
      <c r="Z351" s="58"/>
      <c r="AA351" s="58"/>
      <c r="AB351" s="58"/>
      <c r="AC351" s="58"/>
      <c r="AD351" s="58"/>
      <c r="AE351" s="138"/>
      <c r="AF351" s="136"/>
      <c r="AG351" s="136"/>
      <c r="AH351" s="136"/>
    </row>
    <row r="352" spans="1:34" s="132" customFormat="1" ht="12.75" customHeight="1" x14ac:dyDescent="0.25">
      <c r="A352" s="137"/>
      <c r="B352" s="139"/>
      <c r="C352" s="136"/>
      <c r="D352" s="131"/>
      <c r="E352" s="131"/>
      <c r="F352" s="58"/>
      <c r="G352" s="140"/>
      <c r="H352" s="140"/>
      <c r="I352" s="58"/>
      <c r="J352" s="58"/>
      <c r="K352" s="58"/>
      <c r="L352" s="58"/>
      <c r="M352" s="135"/>
      <c r="N352" s="135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35"/>
      <c r="Z352" s="58"/>
      <c r="AA352" s="58"/>
      <c r="AB352" s="58"/>
      <c r="AC352" s="58"/>
      <c r="AD352" s="58"/>
      <c r="AE352" s="138"/>
      <c r="AF352" s="136"/>
      <c r="AG352" s="136"/>
      <c r="AH352" s="136"/>
    </row>
    <row r="353" spans="1:34" s="132" customFormat="1" ht="12.75" customHeight="1" x14ac:dyDescent="0.25">
      <c r="A353" s="137"/>
      <c r="B353" s="139"/>
      <c r="C353" s="136"/>
      <c r="D353" s="131"/>
      <c r="E353" s="131"/>
      <c r="F353" s="58"/>
      <c r="G353" s="140"/>
      <c r="H353" s="140"/>
      <c r="I353" s="58"/>
      <c r="J353" s="58"/>
      <c r="K353" s="58"/>
      <c r="L353" s="58"/>
      <c r="M353" s="135"/>
      <c r="N353" s="135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35"/>
      <c r="Z353" s="58"/>
      <c r="AA353" s="58"/>
      <c r="AB353" s="58"/>
      <c r="AC353" s="58"/>
      <c r="AD353" s="58"/>
      <c r="AE353" s="138"/>
      <c r="AF353" s="136"/>
      <c r="AG353" s="136"/>
      <c r="AH353" s="136"/>
    </row>
    <row r="354" spans="1:34" s="132" customFormat="1" ht="12.75" customHeight="1" x14ac:dyDescent="0.25">
      <c r="A354" s="137"/>
      <c r="B354" s="139"/>
      <c r="C354" s="136"/>
      <c r="D354" s="131"/>
      <c r="E354" s="131"/>
      <c r="F354" s="58"/>
      <c r="G354" s="140"/>
      <c r="H354" s="140"/>
      <c r="I354" s="58"/>
      <c r="J354" s="58"/>
      <c r="K354" s="58"/>
      <c r="L354" s="58"/>
      <c r="M354" s="135"/>
      <c r="N354" s="135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35"/>
      <c r="Z354" s="58"/>
      <c r="AA354" s="58"/>
      <c r="AB354" s="58"/>
      <c r="AC354" s="58"/>
      <c r="AD354" s="58"/>
      <c r="AE354" s="138"/>
      <c r="AF354" s="136"/>
      <c r="AG354" s="136"/>
      <c r="AH354" s="136"/>
    </row>
    <row r="355" spans="1:34" s="132" customFormat="1" ht="12.75" customHeight="1" x14ac:dyDescent="0.25">
      <c r="A355" s="137"/>
      <c r="B355" s="139"/>
      <c r="C355" s="136"/>
      <c r="D355" s="131"/>
      <c r="E355" s="131"/>
      <c r="F355" s="58"/>
      <c r="G355" s="140"/>
      <c r="H355" s="140"/>
      <c r="I355" s="58"/>
      <c r="J355" s="58"/>
      <c r="K355" s="58"/>
      <c r="L355" s="58"/>
      <c r="M355" s="135"/>
      <c r="N355" s="135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35"/>
      <c r="Z355" s="58"/>
      <c r="AA355" s="58"/>
      <c r="AB355" s="58"/>
      <c r="AC355" s="58"/>
      <c r="AD355" s="58"/>
      <c r="AE355" s="138"/>
      <c r="AF355" s="136"/>
      <c r="AG355" s="136"/>
      <c r="AH355" s="136"/>
    </row>
    <row r="356" spans="1:34" s="132" customFormat="1" ht="12.75" customHeight="1" x14ac:dyDescent="0.25">
      <c r="A356" s="137"/>
      <c r="B356" s="139"/>
      <c r="C356" s="136"/>
      <c r="D356" s="131"/>
      <c r="E356" s="131"/>
      <c r="F356" s="58"/>
      <c r="G356" s="140"/>
      <c r="H356" s="140"/>
      <c r="I356" s="58"/>
      <c r="J356" s="58"/>
      <c r="K356" s="58"/>
      <c r="L356" s="58"/>
      <c r="M356" s="135"/>
      <c r="N356" s="135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35"/>
      <c r="Z356" s="58"/>
      <c r="AA356" s="58"/>
      <c r="AB356" s="58"/>
      <c r="AC356" s="58"/>
      <c r="AD356" s="58"/>
      <c r="AE356" s="138"/>
      <c r="AF356" s="136"/>
      <c r="AG356" s="136"/>
      <c r="AH356" s="136"/>
    </row>
    <row r="357" spans="1:34" s="132" customFormat="1" ht="12.75" customHeight="1" x14ac:dyDescent="0.25">
      <c r="A357" s="137"/>
      <c r="B357" s="139"/>
      <c r="C357" s="136"/>
      <c r="D357" s="131"/>
      <c r="E357" s="131"/>
      <c r="F357" s="58"/>
      <c r="G357" s="140"/>
      <c r="H357" s="140"/>
      <c r="I357" s="58"/>
      <c r="J357" s="58"/>
      <c r="K357" s="58"/>
      <c r="L357" s="58"/>
      <c r="M357" s="135"/>
      <c r="N357" s="135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35"/>
      <c r="Z357" s="58"/>
      <c r="AA357" s="58"/>
      <c r="AB357" s="58"/>
      <c r="AC357" s="58"/>
      <c r="AD357" s="58"/>
      <c r="AE357" s="138"/>
      <c r="AF357" s="136"/>
      <c r="AG357" s="136"/>
      <c r="AH357" s="136"/>
    </row>
    <row r="358" spans="1:34" s="132" customFormat="1" ht="12.75" customHeight="1" x14ac:dyDescent="0.25">
      <c r="A358" s="137"/>
      <c r="B358" s="139"/>
      <c r="C358" s="136"/>
      <c r="D358" s="131"/>
      <c r="E358" s="131"/>
      <c r="F358" s="58"/>
      <c r="G358" s="140"/>
      <c r="H358" s="140"/>
      <c r="I358" s="58"/>
      <c r="J358" s="58"/>
      <c r="K358" s="58"/>
      <c r="L358" s="58"/>
      <c r="M358" s="135"/>
      <c r="N358" s="135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35"/>
      <c r="Z358" s="58"/>
      <c r="AA358" s="58"/>
      <c r="AB358" s="58"/>
      <c r="AC358" s="58"/>
      <c r="AD358" s="58"/>
      <c r="AE358" s="138"/>
      <c r="AF358" s="136"/>
      <c r="AG358" s="136"/>
      <c r="AH358" s="136"/>
    </row>
    <row r="359" spans="1:34" s="132" customFormat="1" ht="12.75" customHeight="1" x14ac:dyDescent="0.25">
      <c r="A359" s="137"/>
      <c r="B359" s="139"/>
      <c r="C359" s="136"/>
      <c r="D359" s="131"/>
      <c r="E359" s="131"/>
      <c r="F359" s="58"/>
      <c r="G359" s="140"/>
      <c r="H359" s="140"/>
      <c r="I359" s="58"/>
      <c r="J359" s="58"/>
      <c r="K359" s="58"/>
      <c r="L359" s="58"/>
      <c r="M359" s="135"/>
      <c r="N359" s="135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35"/>
      <c r="Z359" s="58"/>
      <c r="AA359" s="58"/>
      <c r="AB359" s="58"/>
      <c r="AC359" s="58"/>
      <c r="AD359" s="58"/>
      <c r="AE359" s="138"/>
      <c r="AF359" s="136"/>
      <c r="AG359" s="136"/>
      <c r="AH359" s="136"/>
    </row>
    <row r="360" spans="1:34" s="132" customFormat="1" ht="12.75" customHeight="1" x14ac:dyDescent="0.25">
      <c r="A360" s="137"/>
      <c r="B360" s="139"/>
      <c r="C360" s="136"/>
      <c r="D360" s="131"/>
      <c r="E360" s="131"/>
      <c r="F360" s="58"/>
      <c r="G360" s="140"/>
      <c r="H360" s="140"/>
      <c r="I360" s="58"/>
      <c r="J360" s="58"/>
      <c r="K360" s="58"/>
      <c r="L360" s="58"/>
      <c r="M360" s="135"/>
      <c r="N360" s="135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35"/>
      <c r="Z360" s="58"/>
      <c r="AA360" s="58"/>
      <c r="AB360" s="58"/>
      <c r="AC360" s="58"/>
      <c r="AD360" s="58"/>
      <c r="AE360" s="138"/>
      <c r="AF360" s="136"/>
      <c r="AG360" s="136"/>
      <c r="AH360" s="136"/>
    </row>
    <row r="361" spans="1:34" s="132" customFormat="1" ht="12.75" customHeight="1" x14ac:dyDescent="0.25">
      <c r="A361" s="137"/>
      <c r="B361" s="139"/>
      <c r="C361" s="136"/>
      <c r="D361" s="131"/>
      <c r="E361" s="131"/>
      <c r="F361" s="58"/>
      <c r="G361" s="140"/>
      <c r="H361" s="140"/>
      <c r="I361" s="58"/>
      <c r="J361" s="58"/>
      <c r="K361" s="58"/>
      <c r="L361" s="58"/>
      <c r="M361" s="135"/>
      <c r="N361" s="135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35"/>
      <c r="Z361" s="58"/>
      <c r="AA361" s="58"/>
      <c r="AB361" s="58"/>
      <c r="AC361" s="58"/>
      <c r="AD361" s="58"/>
      <c r="AE361" s="138"/>
      <c r="AF361" s="136"/>
      <c r="AG361" s="136"/>
      <c r="AH361" s="136"/>
    </row>
    <row r="362" spans="1:34" s="132" customFormat="1" ht="12.75" customHeight="1" x14ac:dyDescent="0.25">
      <c r="A362" s="137"/>
      <c r="B362" s="139"/>
      <c r="C362" s="136"/>
      <c r="D362" s="131"/>
      <c r="E362" s="131"/>
      <c r="F362" s="58"/>
      <c r="G362" s="140"/>
      <c r="H362" s="140"/>
      <c r="I362" s="58"/>
      <c r="J362" s="58"/>
      <c r="K362" s="58"/>
      <c r="L362" s="58"/>
      <c r="M362" s="135"/>
      <c r="N362" s="135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35"/>
      <c r="Z362" s="58"/>
      <c r="AA362" s="58"/>
      <c r="AB362" s="58"/>
      <c r="AC362" s="58"/>
      <c r="AD362" s="58"/>
      <c r="AE362" s="138"/>
      <c r="AF362" s="136"/>
      <c r="AG362" s="136"/>
      <c r="AH362" s="136"/>
    </row>
    <row r="363" spans="1:34" s="132" customFormat="1" ht="12.75" customHeight="1" x14ac:dyDescent="0.25">
      <c r="A363" s="137"/>
      <c r="B363" s="139"/>
      <c r="C363" s="136"/>
      <c r="D363" s="131"/>
      <c r="E363" s="131"/>
      <c r="F363" s="58"/>
      <c r="G363" s="140"/>
      <c r="H363" s="140"/>
      <c r="I363" s="58"/>
      <c r="J363" s="58"/>
      <c r="K363" s="58"/>
      <c r="L363" s="58"/>
      <c r="M363" s="135"/>
      <c r="N363" s="135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35"/>
      <c r="Z363" s="58"/>
      <c r="AA363" s="58"/>
      <c r="AB363" s="58"/>
      <c r="AC363" s="58"/>
      <c r="AD363" s="58"/>
      <c r="AE363" s="138"/>
      <c r="AF363" s="136"/>
      <c r="AG363" s="136"/>
      <c r="AH363" s="136"/>
    </row>
    <row r="364" spans="1:34" s="132" customFormat="1" ht="12.75" customHeight="1" x14ac:dyDescent="0.25">
      <c r="A364" s="137"/>
      <c r="B364" s="139"/>
      <c r="C364" s="136"/>
      <c r="D364" s="131"/>
      <c r="E364" s="131"/>
      <c r="F364" s="58"/>
      <c r="G364" s="140"/>
      <c r="H364" s="140"/>
      <c r="I364" s="58"/>
      <c r="J364" s="58"/>
      <c r="K364" s="58"/>
      <c r="L364" s="58"/>
      <c r="M364" s="135"/>
      <c r="N364" s="135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35"/>
      <c r="Z364" s="58"/>
      <c r="AA364" s="58"/>
      <c r="AB364" s="58"/>
      <c r="AC364" s="58"/>
      <c r="AD364" s="58"/>
      <c r="AE364" s="138"/>
      <c r="AF364" s="136"/>
      <c r="AG364" s="136"/>
      <c r="AH364" s="136"/>
    </row>
    <row r="365" spans="1:34" s="132" customFormat="1" ht="12.75" customHeight="1" x14ac:dyDescent="0.25">
      <c r="A365" s="137"/>
      <c r="B365" s="139"/>
      <c r="C365" s="136"/>
      <c r="D365" s="131"/>
      <c r="E365" s="131"/>
      <c r="F365" s="58"/>
      <c r="G365" s="140"/>
      <c r="H365" s="140"/>
      <c r="I365" s="58"/>
      <c r="J365" s="58"/>
      <c r="K365" s="58"/>
      <c r="L365" s="58"/>
      <c r="M365" s="135"/>
      <c r="N365" s="135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35"/>
      <c r="Z365" s="58"/>
      <c r="AA365" s="58"/>
      <c r="AB365" s="58"/>
      <c r="AC365" s="58"/>
      <c r="AD365" s="58"/>
      <c r="AE365" s="138"/>
      <c r="AF365" s="136"/>
      <c r="AG365" s="136"/>
      <c r="AH365" s="136"/>
    </row>
    <row r="366" spans="1:34" s="132" customFormat="1" ht="12.75" customHeight="1" x14ac:dyDescent="0.25">
      <c r="A366" s="137"/>
      <c r="B366" s="139"/>
      <c r="C366" s="136"/>
      <c r="D366" s="131"/>
      <c r="E366" s="131"/>
      <c r="F366" s="58"/>
      <c r="G366" s="140"/>
      <c r="H366" s="140"/>
      <c r="I366" s="58"/>
      <c r="J366" s="58"/>
      <c r="K366" s="58"/>
      <c r="L366" s="58"/>
      <c r="M366" s="135"/>
      <c r="N366" s="135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35"/>
      <c r="Z366" s="58"/>
      <c r="AA366" s="58"/>
      <c r="AB366" s="58"/>
      <c r="AC366" s="58"/>
      <c r="AD366" s="58"/>
      <c r="AE366" s="138"/>
      <c r="AF366" s="136"/>
      <c r="AG366" s="136"/>
      <c r="AH366" s="136"/>
    </row>
    <row r="367" spans="1:34" s="132" customFormat="1" ht="12.75" customHeight="1" x14ac:dyDescent="0.25">
      <c r="A367" s="137"/>
      <c r="B367" s="139"/>
      <c r="C367" s="136"/>
      <c r="D367" s="131"/>
      <c r="E367" s="131"/>
      <c r="F367" s="58"/>
      <c r="G367" s="140"/>
      <c r="H367" s="140"/>
      <c r="I367" s="58"/>
      <c r="J367" s="58"/>
      <c r="K367" s="58"/>
      <c r="L367" s="58"/>
      <c r="M367" s="135"/>
      <c r="N367" s="135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35"/>
      <c r="Z367" s="58"/>
      <c r="AA367" s="58"/>
      <c r="AB367" s="58"/>
      <c r="AC367" s="58"/>
      <c r="AD367" s="58"/>
      <c r="AE367" s="138"/>
      <c r="AF367" s="136"/>
      <c r="AG367" s="136"/>
      <c r="AH367" s="136"/>
    </row>
    <row r="368" spans="1:34" s="132" customFormat="1" ht="12.75" customHeight="1" x14ac:dyDescent="0.25">
      <c r="A368" s="137"/>
      <c r="B368" s="139"/>
      <c r="C368" s="136"/>
      <c r="D368" s="131"/>
      <c r="E368" s="131"/>
      <c r="F368" s="58"/>
      <c r="G368" s="140"/>
      <c r="H368" s="140"/>
      <c r="I368" s="58"/>
      <c r="J368" s="58"/>
      <c r="K368" s="58"/>
      <c r="L368" s="58"/>
      <c r="M368" s="135"/>
      <c r="N368" s="135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35"/>
      <c r="Z368" s="58"/>
      <c r="AA368" s="58"/>
      <c r="AB368" s="58"/>
      <c r="AC368" s="58"/>
      <c r="AD368" s="58"/>
      <c r="AE368" s="138"/>
      <c r="AF368" s="136"/>
      <c r="AG368" s="136"/>
      <c r="AH368" s="136"/>
    </row>
    <row r="369" spans="1:34" s="132" customFormat="1" ht="12.75" customHeight="1" x14ac:dyDescent="0.25">
      <c r="A369" s="137"/>
      <c r="B369" s="139"/>
      <c r="C369" s="136"/>
      <c r="D369" s="131"/>
      <c r="E369" s="131"/>
      <c r="F369" s="58"/>
      <c r="G369" s="140"/>
      <c r="H369" s="140"/>
      <c r="I369" s="58"/>
      <c r="J369" s="58"/>
      <c r="K369" s="58"/>
      <c r="L369" s="58"/>
      <c r="M369" s="135"/>
      <c r="N369" s="135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35"/>
      <c r="Z369" s="58"/>
      <c r="AA369" s="58"/>
      <c r="AB369" s="58"/>
      <c r="AC369" s="58"/>
      <c r="AD369" s="58"/>
      <c r="AE369" s="138"/>
      <c r="AF369" s="136"/>
      <c r="AG369" s="136"/>
      <c r="AH369" s="136"/>
    </row>
    <row r="370" spans="1:34" s="132" customFormat="1" ht="12.75" customHeight="1" x14ac:dyDescent="0.25">
      <c r="A370" s="137"/>
      <c r="B370" s="139"/>
      <c r="C370" s="136"/>
      <c r="D370" s="131"/>
      <c r="E370" s="131"/>
      <c r="F370" s="58"/>
      <c r="G370" s="140"/>
      <c r="H370" s="140"/>
      <c r="I370" s="58"/>
      <c r="J370" s="58"/>
      <c r="K370" s="58"/>
      <c r="L370" s="58"/>
      <c r="M370" s="135"/>
      <c r="N370" s="135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35"/>
      <c r="Z370" s="58"/>
      <c r="AA370" s="58"/>
      <c r="AB370" s="58"/>
      <c r="AC370" s="58"/>
      <c r="AD370" s="58"/>
      <c r="AE370" s="138"/>
      <c r="AF370" s="136"/>
      <c r="AG370" s="136"/>
      <c r="AH370" s="136"/>
    </row>
    <row r="371" spans="1:34" s="132" customFormat="1" ht="12.75" customHeight="1" x14ac:dyDescent="0.25">
      <c r="A371" s="137"/>
      <c r="B371" s="139"/>
      <c r="C371" s="136"/>
      <c r="D371" s="131"/>
      <c r="E371" s="131"/>
      <c r="F371" s="58"/>
      <c r="G371" s="140"/>
      <c r="H371" s="140"/>
      <c r="I371" s="58"/>
      <c r="J371" s="58"/>
      <c r="K371" s="58"/>
      <c r="L371" s="58"/>
      <c r="M371" s="135"/>
      <c r="N371" s="135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35"/>
      <c r="Z371" s="58"/>
      <c r="AA371" s="58"/>
      <c r="AB371" s="58"/>
      <c r="AC371" s="58"/>
      <c r="AD371" s="58"/>
      <c r="AE371" s="138"/>
      <c r="AF371" s="136"/>
      <c r="AG371" s="136"/>
      <c r="AH371" s="136"/>
    </row>
    <row r="372" spans="1:34" s="132" customFormat="1" ht="12.75" customHeight="1" x14ac:dyDescent="0.25">
      <c r="A372" s="137"/>
      <c r="B372" s="139"/>
      <c r="C372" s="136"/>
      <c r="D372" s="131"/>
      <c r="E372" s="131"/>
      <c r="F372" s="58"/>
      <c r="G372" s="140"/>
      <c r="H372" s="140"/>
      <c r="I372" s="58"/>
      <c r="J372" s="58"/>
      <c r="K372" s="58"/>
      <c r="L372" s="58"/>
      <c r="M372" s="135"/>
      <c r="N372" s="135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35"/>
      <c r="Z372" s="58"/>
      <c r="AA372" s="58"/>
      <c r="AB372" s="58"/>
      <c r="AC372" s="58"/>
      <c r="AD372" s="58"/>
      <c r="AE372" s="138"/>
      <c r="AF372" s="136"/>
      <c r="AG372" s="136"/>
      <c r="AH372" s="136"/>
    </row>
    <row r="373" spans="1:34" s="132" customFormat="1" ht="12.75" customHeight="1" x14ac:dyDescent="0.25">
      <c r="A373" s="137"/>
      <c r="B373" s="139"/>
      <c r="C373" s="136"/>
      <c r="D373" s="131"/>
      <c r="E373" s="131"/>
      <c r="F373" s="58"/>
      <c r="G373" s="140"/>
      <c r="H373" s="140"/>
      <c r="I373" s="58"/>
      <c r="J373" s="58"/>
      <c r="K373" s="58"/>
      <c r="L373" s="58"/>
      <c r="M373" s="135"/>
      <c r="N373" s="135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35"/>
      <c r="Z373" s="58"/>
      <c r="AA373" s="58"/>
      <c r="AB373" s="58"/>
      <c r="AC373" s="58"/>
      <c r="AD373" s="58"/>
      <c r="AE373" s="138"/>
      <c r="AF373" s="136"/>
      <c r="AG373" s="136"/>
      <c r="AH373" s="136"/>
    </row>
    <row r="374" spans="1:34" s="132" customFormat="1" ht="12.75" customHeight="1" x14ac:dyDescent="0.25">
      <c r="A374" s="137"/>
      <c r="B374" s="139"/>
      <c r="C374" s="136"/>
      <c r="D374" s="131"/>
      <c r="E374" s="131"/>
      <c r="F374" s="58"/>
      <c r="G374" s="140"/>
      <c r="H374" s="140"/>
      <c r="I374" s="58"/>
      <c r="J374" s="58"/>
      <c r="K374" s="58"/>
      <c r="L374" s="58"/>
      <c r="M374" s="135"/>
      <c r="N374" s="135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35"/>
      <c r="Z374" s="58"/>
      <c r="AA374" s="58"/>
      <c r="AB374" s="58"/>
      <c r="AC374" s="58"/>
      <c r="AD374" s="58"/>
      <c r="AE374" s="138"/>
      <c r="AF374" s="136"/>
      <c r="AG374" s="136"/>
      <c r="AH374" s="136"/>
    </row>
    <row r="375" spans="1:34" s="132" customFormat="1" ht="12.75" customHeight="1" x14ac:dyDescent="0.25">
      <c r="A375" s="137"/>
      <c r="B375" s="139"/>
      <c r="C375" s="136"/>
      <c r="D375" s="131"/>
      <c r="E375" s="131"/>
      <c r="F375" s="58"/>
      <c r="G375" s="140"/>
      <c r="H375" s="140"/>
      <c r="I375" s="58"/>
      <c r="J375" s="58"/>
      <c r="K375" s="58"/>
      <c r="L375" s="58"/>
      <c r="M375" s="135"/>
      <c r="N375" s="135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35"/>
      <c r="Z375" s="58"/>
      <c r="AA375" s="58"/>
      <c r="AB375" s="58"/>
      <c r="AC375" s="58"/>
      <c r="AD375" s="58"/>
      <c r="AE375" s="138"/>
      <c r="AF375" s="136"/>
      <c r="AG375" s="136"/>
      <c r="AH375" s="136"/>
    </row>
    <row r="376" spans="1:34" s="132" customFormat="1" ht="12.75" customHeight="1" x14ac:dyDescent="0.25">
      <c r="A376" s="137"/>
      <c r="B376" s="139"/>
      <c r="C376" s="136"/>
      <c r="D376" s="131"/>
      <c r="E376" s="131"/>
      <c r="F376" s="58"/>
      <c r="G376" s="140"/>
      <c r="H376" s="140"/>
      <c r="I376" s="58"/>
      <c r="J376" s="58"/>
      <c r="K376" s="58"/>
      <c r="L376" s="58"/>
      <c r="M376" s="135"/>
      <c r="N376" s="135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35"/>
      <c r="Z376" s="58"/>
      <c r="AA376" s="58"/>
      <c r="AB376" s="58"/>
      <c r="AC376" s="58"/>
      <c r="AD376" s="58"/>
      <c r="AE376" s="138"/>
      <c r="AF376" s="136"/>
      <c r="AG376" s="136"/>
      <c r="AH376" s="136"/>
    </row>
    <row r="377" spans="1:34" s="132" customFormat="1" ht="12.75" customHeight="1" x14ac:dyDescent="0.25">
      <c r="A377" s="137"/>
      <c r="B377" s="139"/>
      <c r="C377" s="136"/>
      <c r="D377" s="131"/>
      <c r="E377" s="131"/>
      <c r="F377" s="58"/>
      <c r="G377" s="140"/>
      <c r="H377" s="140"/>
      <c r="I377" s="58"/>
      <c r="J377" s="58"/>
      <c r="K377" s="58"/>
      <c r="L377" s="58"/>
      <c r="M377" s="135"/>
      <c r="N377" s="135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35"/>
      <c r="Z377" s="58"/>
      <c r="AA377" s="58"/>
      <c r="AB377" s="58"/>
      <c r="AC377" s="58"/>
      <c r="AD377" s="58"/>
      <c r="AE377" s="138"/>
      <c r="AF377" s="136"/>
      <c r="AG377" s="136"/>
      <c r="AH377" s="136"/>
    </row>
    <row r="378" spans="1:34" s="132" customFormat="1" ht="12.75" customHeight="1" x14ac:dyDescent="0.25">
      <c r="A378" s="137"/>
      <c r="B378" s="139"/>
      <c r="C378" s="136"/>
      <c r="D378" s="131"/>
      <c r="E378" s="131"/>
      <c r="F378" s="58"/>
      <c r="G378" s="140"/>
      <c r="H378" s="140"/>
      <c r="I378" s="58"/>
      <c r="J378" s="58"/>
      <c r="K378" s="58"/>
      <c r="L378" s="58"/>
      <c r="M378" s="135"/>
      <c r="N378" s="135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35"/>
      <c r="Z378" s="58"/>
      <c r="AA378" s="58"/>
      <c r="AB378" s="58"/>
      <c r="AC378" s="58"/>
      <c r="AD378" s="58"/>
      <c r="AE378" s="138"/>
      <c r="AF378" s="136"/>
      <c r="AG378" s="136"/>
      <c r="AH378" s="136"/>
    </row>
    <row r="379" spans="1:34" s="132" customFormat="1" ht="12.75" customHeight="1" x14ac:dyDescent="0.25">
      <c r="A379" s="137"/>
      <c r="B379" s="139"/>
      <c r="C379" s="136"/>
      <c r="D379" s="131"/>
      <c r="E379" s="131"/>
      <c r="F379" s="58"/>
      <c r="G379" s="140"/>
      <c r="H379" s="140"/>
      <c r="I379" s="58"/>
      <c r="J379" s="58"/>
      <c r="K379" s="58"/>
      <c r="L379" s="58"/>
      <c r="M379" s="135"/>
      <c r="N379" s="135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35"/>
      <c r="Z379" s="58"/>
      <c r="AA379" s="58"/>
      <c r="AB379" s="58"/>
      <c r="AC379" s="58"/>
      <c r="AD379" s="58"/>
      <c r="AE379" s="138"/>
      <c r="AF379" s="136"/>
      <c r="AG379" s="136"/>
      <c r="AH379" s="136"/>
    </row>
    <row r="380" spans="1:34" s="132" customFormat="1" ht="12.75" customHeight="1" x14ac:dyDescent="0.25">
      <c r="A380" s="137"/>
      <c r="B380" s="139"/>
      <c r="C380" s="136"/>
      <c r="D380" s="131"/>
      <c r="E380" s="131"/>
      <c r="F380" s="58"/>
      <c r="G380" s="140"/>
      <c r="H380" s="140"/>
      <c r="I380" s="58"/>
      <c r="J380" s="58"/>
      <c r="K380" s="58"/>
      <c r="L380" s="58"/>
      <c r="M380" s="135"/>
      <c r="N380" s="135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35"/>
      <c r="Z380" s="58"/>
      <c r="AA380" s="58"/>
      <c r="AB380" s="58"/>
      <c r="AC380" s="58"/>
      <c r="AD380" s="58"/>
      <c r="AE380" s="138"/>
      <c r="AF380" s="136"/>
      <c r="AG380" s="136"/>
      <c r="AH380" s="136"/>
    </row>
    <row r="381" spans="1:34" s="132" customFormat="1" ht="12.75" customHeight="1" x14ac:dyDescent="0.25">
      <c r="A381" s="137"/>
      <c r="B381" s="139"/>
      <c r="C381" s="136"/>
      <c r="D381" s="131"/>
      <c r="E381" s="131"/>
      <c r="F381" s="58"/>
      <c r="G381" s="140"/>
      <c r="H381" s="140"/>
      <c r="I381" s="58"/>
      <c r="J381" s="58"/>
      <c r="K381" s="58"/>
      <c r="L381" s="58"/>
      <c r="M381" s="135"/>
      <c r="N381" s="135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35"/>
      <c r="Z381" s="58"/>
      <c r="AA381" s="58"/>
      <c r="AB381" s="58"/>
      <c r="AC381" s="58"/>
      <c r="AD381" s="58"/>
      <c r="AE381" s="138"/>
      <c r="AF381" s="136"/>
      <c r="AG381" s="136"/>
      <c r="AH381" s="136"/>
    </row>
    <row r="382" spans="1:34" s="132" customFormat="1" ht="12.75" customHeight="1" x14ac:dyDescent="0.25">
      <c r="A382" s="137"/>
      <c r="B382" s="139"/>
      <c r="C382" s="136"/>
      <c r="D382" s="131"/>
      <c r="E382" s="131"/>
      <c r="F382" s="58"/>
      <c r="G382" s="140"/>
      <c r="H382" s="140"/>
      <c r="I382" s="58"/>
      <c r="J382" s="58"/>
      <c r="K382" s="58"/>
      <c r="L382" s="58"/>
      <c r="M382" s="135"/>
      <c r="N382" s="135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35"/>
      <c r="Z382" s="58"/>
      <c r="AA382" s="58"/>
      <c r="AB382" s="58"/>
      <c r="AC382" s="58"/>
      <c r="AD382" s="58"/>
      <c r="AE382" s="138"/>
      <c r="AF382" s="136"/>
      <c r="AG382" s="136"/>
      <c r="AH382" s="136"/>
    </row>
    <row r="383" spans="1:34" s="132" customFormat="1" ht="12.75" customHeight="1" x14ac:dyDescent="0.25">
      <c r="A383" s="137"/>
      <c r="B383" s="139"/>
      <c r="C383" s="136"/>
      <c r="D383" s="131"/>
      <c r="E383" s="131"/>
      <c r="F383" s="58"/>
      <c r="G383" s="140"/>
      <c r="H383" s="140"/>
      <c r="I383" s="58"/>
      <c r="J383" s="58"/>
      <c r="K383" s="58"/>
      <c r="L383" s="58"/>
      <c r="M383" s="135"/>
      <c r="N383" s="135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35"/>
      <c r="Z383" s="58"/>
      <c r="AA383" s="58"/>
      <c r="AB383" s="58"/>
      <c r="AC383" s="58"/>
      <c r="AD383" s="58"/>
      <c r="AE383" s="138"/>
      <c r="AF383" s="136"/>
      <c r="AG383" s="136"/>
      <c r="AH383" s="136"/>
    </row>
    <row r="384" spans="1:34" s="132" customFormat="1" ht="12.75" customHeight="1" x14ac:dyDescent="0.25">
      <c r="A384" s="137"/>
      <c r="B384" s="139"/>
      <c r="C384" s="136"/>
      <c r="D384" s="131"/>
      <c r="E384" s="131"/>
      <c r="F384" s="58"/>
      <c r="G384" s="140"/>
      <c r="H384" s="140"/>
      <c r="I384" s="58"/>
      <c r="J384" s="58"/>
      <c r="K384" s="58"/>
      <c r="L384" s="58"/>
      <c r="M384" s="135"/>
      <c r="N384" s="135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35"/>
      <c r="Z384" s="58"/>
      <c r="AA384" s="58"/>
      <c r="AB384" s="58"/>
      <c r="AC384" s="58"/>
      <c r="AD384" s="58"/>
      <c r="AE384" s="138"/>
      <c r="AF384" s="136"/>
      <c r="AG384" s="136"/>
      <c r="AH384" s="136"/>
    </row>
    <row r="385" spans="1:34" s="132" customFormat="1" ht="12.75" customHeight="1" x14ac:dyDescent="0.25">
      <c r="A385" s="137"/>
      <c r="B385" s="139"/>
      <c r="C385" s="136"/>
      <c r="D385" s="131"/>
      <c r="E385" s="131"/>
      <c r="F385" s="58"/>
      <c r="G385" s="140"/>
      <c r="H385" s="140"/>
      <c r="I385" s="58"/>
      <c r="J385" s="58"/>
      <c r="K385" s="58"/>
      <c r="L385" s="58"/>
      <c r="M385" s="135"/>
      <c r="N385" s="135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35"/>
      <c r="Z385" s="58"/>
      <c r="AA385" s="58"/>
      <c r="AB385" s="58"/>
      <c r="AC385" s="58"/>
      <c r="AD385" s="58"/>
      <c r="AE385" s="138"/>
      <c r="AF385" s="136"/>
      <c r="AG385" s="136"/>
      <c r="AH385" s="136"/>
    </row>
    <row r="386" spans="1:34" s="132" customFormat="1" ht="12.75" customHeight="1" x14ac:dyDescent="0.25">
      <c r="A386" s="137"/>
      <c r="B386" s="139"/>
      <c r="C386" s="136"/>
      <c r="D386" s="131"/>
      <c r="E386" s="131"/>
      <c r="F386" s="58"/>
      <c r="G386" s="140"/>
      <c r="H386" s="140"/>
      <c r="I386" s="58"/>
      <c r="J386" s="58"/>
      <c r="K386" s="58"/>
      <c r="L386" s="58"/>
      <c r="M386" s="135"/>
      <c r="N386" s="135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35"/>
      <c r="Z386" s="58"/>
      <c r="AA386" s="58"/>
      <c r="AB386" s="58"/>
      <c r="AC386" s="58"/>
      <c r="AD386" s="58"/>
      <c r="AE386" s="138"/>
      <c r="AF386" s="136"/>
      <c r="AG386" s="136"/>
      <c r="AH386" s="136"/>
    </row>
    <row r="387" spans="1:34" s="132" customFormat="1" ht="12.75" customHeight="1" x14ac:dyDescent="0.25">
      <c r="A387" s="137"/>
      <c r="B387" s="139"/>
      <c r="C387" s="136"/>
      <c r="D387" s="131"/>
      <c r="E387" s="131"/>
      <c r="F387" s="58"/>
      <c r="G387" s="140"/>
      <c r="H387" s="140"/>
      <c r="I387" s="58"/>
      <c r="J387" s="58"/>
      <c r="K387" s="58"/>
      <c r="L387" s="58"/>
      <c r="M387" s="135"/>
      <c r="N387" s="135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35"/>
      <c r="Z387" s="58"/>
      <c r="AA387" s="58"/>
      <c r="AB387" s="58"/>
      <c r="AC387" s="58"/>
      <c r="AD387" s="58"/>
      <c r="AE387" s="138"/>
      <c r="AF387" s="136"/>
      <c r="AG387" s="136"/>
      <c r="AH387" s="136"/>
    </row>
    <row r="388" spans="1:34" s="132" customFormat="1" ht="12.75" customHeight="1" x14ac:dyDescent="0.25">
      <c r="A388" s="137"/>
      <c r="B388" s="139"/>
      <c r="C388" s="136"/>
      <c r="D388" s="131"/>
      <c r="E388" s="131"/>
      <c r="F388" s="58"/>
      <c r="G388" s="140"/>
      <c r="H388" s="140"/>
      <c r="I388" s="58"/>
      <c r="J388" s="58"/>
      <c r="K388" s="58"/>
      <c r="L388" s="58"/>
      <c r="M388" s="135"/>
      <c r="N388" s="135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35"/>
      <c r="Z388" s="58"/>
      <c r="AA388" s="58"/>
      <c r="AB388" s="58"/>
      <c r="AC388" s="58"/>
      <c r="AD388" s="58"/>
      <c r="AE388" s="138"/>
      <c r="AF388" s="136"/>
      <c r="AG388" s="136"/>
      <c r="AH388" s="136"/>
    </row>
    <row r="389" spans="1:34" s="132" customFormat="1" ht="12.75" customHeight="1" x14ac:dyDescent="0.25">
      <c r="A389" s="137"/>
      <c r="B389" s="139"/>
      <c r="C389" s="136"/>
      <c r="D389" s="131"/>
      <c r="E389" s="131"/>
      <c r="F389" s="58"/>
      <c r="G389" s="140"/>
      <c r="H389" s="140"/>
      <c r="I389" s="58"/>
      <c r="J389" s="58"/>
      <c r="K389" s="58"/>
      <c r="L389" s="58"/>
      <c r="M389" s="135"/>
      <c r="N389" s="135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35"/>
      <c r="Z389" s="58"/>
      <c r="AA389" s="58"/>
      <c r="AB389" s="58"/>
      <c r="AC389" s="58"/>
      <c r="AD389" s="58"/>
      <c r="AE389" s="138"/>
      <c r="AF389" s="136"/>
      <c r="AG389" s="136"/>
      <c r="AH389" s="136"/>
    </row>
    <row r="390" spans="1:34" s="132" customFormat="1" ht="12.75" customHeight="1" x14ac:dyDescent="0.25">
      <c r="A390" s="137"/>
      <c r="B390" s="139"/>
      <c r="C390" s="136"/>
      <c r="D390" s="131"/>
      <c r="E390" s="131"/>
      <c r="F390" s="58"/>
      <c r="G390" s="140"/>
      <c r="H390" s="140"/>
      <c r="I390" s="58"/>
      <c r="J390" s="58"/>
      <c r="K390" s="58"/>
      <c r="L390" s="58"/>
      <c r="M390" s="135"/>
      <c r="N390" s="135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35"/>
      <c r="Z390" s="58"/>
      <c r="AA390" s="58"/>
      <c r="AB390" s="58"/>
      <c r="AC390" s="58"/>
      <c r="AD390" s="58"/>
      <c r="AE390" s="138"/>
      <c r="AF390" s="136"/>
      <c r="AG390" s="136"/>
      <c r="AH390" s="136"/>
    </row>
    <row r="391" spans="1:34" s="132" customFormat="1" ht="12.75" customHeight="1" x14ac:dyDescent="0.25">
      <c r="A391" s="137"/>
      <c r="B391" s="139"/>
      <c r="C391" s="136"/>
      <c r="D391" s="131"/>
      <c r="E391" s="131"/>
      <c r="F391" s="58"/>
      <c r="G391" s="140"/>
      <c r="H391" s="140"/>
      <c r="I391" s="58"/>
      <c r="J391" s="58"/>
      <c r="K391" s="58"/>
      <c r="L391" s="58"/>
      <c r="M391" s="135"/>
      <c r="N391" s="135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35"/>
      <c r="Z391" s="58"/>
      <c r="AA391" s="58"/>
      <c r="AB391" s="58"/>
      <c r="AC391" s="58"/>
      <c r="AD391" s="58"/>
      <c r="AE391" s="138"/>
      <c r="AF391" s="136"/>
      <c r="AG391" s="136"/>
      <c r="AH391" s="136"/>
    </row>
    <row r="392" spans="1:34" s="132" customFormat="1" ht="12.75" customHeight="1" x14ac:dyDescent="0.25">
      <c r="A392" s="137"/>
      <c r="B392" s="139"/>
      <c r="C392" s="136"/>
      <c r="D392" s="131"/>
      <c r="E392" s="131"/>
      <c r="F392" s="58"/>
      <c r="G392" s="140"/>
      <c r="H392" s="140"/>
      <c r="I392" s="58"/>
      <c r="J392" s="58"/>
      <c r="K392" s="58"/>
      <c r="L392" s="58"/>
      <c r="M392" s="135"/>
      <c r="N392" s="135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35"/>
      <c r="Z392" s="58"/>
      <c r="AA392" s="58"/>
      <c r="AB392" s="58"/>
      <c r="AC392" s="58"/>
      <c r="AD392" s="58"/>
      <c r="AE392" s="138"/>
      <c r="AF392" s="136"/>
      <c r="AG392" s="136"/>
      <c r="AH392" s="136"/>
    </row>
    <row r="393" spans="1:34" s="132" customFormat="1" ht="12.75" customHeight="1" x14ac:dyDescent="0.25">
      <c r="A393" s="137"/>
      <c r="B393" s="139"/>
      <c r="C393" s="136"/>
      <c r="D393" s="131"/>
      <c r="E393" s="131"/>
      <c r="F393" s="58"/>
      <c r="G393" s="140"/>
      <c r="H393" s="140"/>
      <c r="I393" s="58"/>
      <c r="J393" s="58"/>
      <c r="K393" s="58"/>
      <c r="L393" s="58"/>
      <c r="M393" s="135"/>
      <c r="N393" s="135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35"/>
      <c r="Z393" s="58"/>
      <c r="AA393" s="58"/>
      <c r="AB393" s="58"/>
      <c r="AC393" s="58"/>
      <c r="AD393" s="58"/>
      <c r="AE393" s="138"/>
      <c r="AF393" s="136"/>
      <c r="AG393" s="136"/>
      <c r="AH393" s="136"/>
    </row>
    <row r="394" spans="1:34" s="132" customFormat="1" ht="12.75" customHeight="1" x14ac:dyDescent="0.25">
      <c r="A394" s="137"/>
      <c r="B394" s="139"/>
      <c r="C394" s="136"/>
      <c r="D394" s="131"/>
      <c r="E394" s="131"/>
      <c r="F394" s="58"/>
      <c r="G394" s="140"/>
      <c r="H394" s="140"/>
      <c r="I394" s="58"/>
      <c r="J394" s="58"/>
      <c r="K394" s="58"/>
      <c r="L394" s="58"/>
      <c r="M394" s="135"/>
      <c r="N394" s="135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35"/>
      <c r="Z394" s="58"/>
      <c r="AA394" s="58"/>
      <c r="AB394" s="58"/>
      <c r="AC394" s="58"/>
      <c r="AD394" s="58"/>
      <c r="AE394" s="138"/>
      <c r="AF394" s="136"/>
      <c r="AG394" s="136"/>
      <c r="AH394" s="136"/>
    </row>
    <row r="395" spans="1:34" s="132" customFormat="1" ht="12.75" customHeight="1" x14ac:dyDescent="0.25">
      <c r="A395" s="137"/>
      <c r="B395" s="139"/>
      <c r="C395" s="136"/>
      <c r="D395" s="131"/>
      <c r="E395" s="131"/>
      <c r="F395" s="58"/>
      <c r="G395" s="140"/>
      <c r="H395" s="140"/>
      <c r="I395" s="58"/>
      <c r="J395" s="58"/>
      <c r="K395" s="58"/>
      <c r="L395" s="58"/>
      <c r="M395" s="135"/>
      <c r="N395" s="135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35"/>
      <c r="Z395" s="58"/>
      <c r="AA395" s="58"/>
      <c r="AB395" s="58"/>
      <c r="AC395" s="58"/>
      <c r="AD395" s="58"/>
      <c r="AE395" s="138"/>
      <c r="AF395" s="136"/>
      <c r="AG395" s="136"/>
      <c r="AH395" s="136"/>
    </row>
    <row r="396" spans="1:34" s="132" customFormat="1" ht="12.75" customHeight="1" x14ac:dyDescent="0.25">
      <c r="A396" s="137"/>
      <c r="B396" s="139"/>
      <c r="C396" s="136"/>
      <c r="D396" s="131"/>
      <c r="E396" s="131"/>
      <c r="F396" s="58"/>
      <c r="G396" s="140"/>
      <c r="H396" s="140"/>
      <c r="I396" s="58"/>
      <c r="J396" s="58"/>
      <c r="K396" s="58"/>
      <c r="L396" s="58"/>
      <c r="M396" s="135"/>
      <c r="N396" s="135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35"/>
      <c r="Z396" s="58"/>
      <c r="AA396" s="58"/>
      <c r="AB396" s="58"/>
      <c r="AC396" s="58"/>
      <c r="AD396" s="58"/>
      <c r="AE396" s="138"/>
      <c r="AF396" s="136"/>
      <c r="AG396" s="136"/>
      <c r="AH396" s="136"/>
    </row>
    <row r="397" spans="1:34" s="132" customFormat="1" ht="12.75" customHeight="1" x14ac:dyDescent="0.25">
      <c r="A397" s="137"/>
      <c r="B397" s="139"/>
      <c r="C397" s="136"/>
      <c r="D397" s="131"/>
      <c r="E397" s="131"/>
      <c r="F397" s="58"/>
      <c r="G397" s="140"/>
      <c r="H397" s="140"/>
      <c r="I397" s="58"/>
      <c r="J397" s="58"/>
      <c r="K397" s="58"/>
      <c r="L397" s="58"/>
      <c r="M397" s="135"/>
      <c r="N397" s="135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35"/>
      <c r="Z397" s="58"/>
      <c r="AA397" s="58"/>
      <c r="AB397" s="58"/>
      <c r="AC397" s="58"/>
      <c r="AD397" s="58"/>
      <c r="AE397" s="138"/>
      <c r="AF397" s="136"/>
      <c r="AG397" s="136"/>
      <c r="AH397" s="136"/>
    </row>
    <row r="398" spans="1:34" s="132" customFormat="1" ht="12.75" customHeight="1" x14ac:dyDescent="0.25">
      <c r="A398" s="137"/>
      <c r="B398" s="139"/>
      <c r="C398" s="136"/>
      <c r="D398" s="131"/>
      <c r="E398" s="131"/>
      <c r="F398" s="58"/>
      <c r="G398" s="140"/>
      <c r="H398" s="140"/>
      <c r="I398" s="58"/>
      <c r="J398" s="58"/>
      <c r="K398" s="58"/>
      <c r="L398" s="58"/>
      <c r="M398" s="135"/>
      <c r="N398" s="135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35"/>
      <c r="Z398" s="58"/>
      <c r="AA398" s="58"/>
      <c r="AB398" s="58"/>
      <c r="AC398" s="58"/>
      <c r="AD398" s="58"/>
      <c r="AE398" s="138"/>
      <c r="AF398" s="136"/>
      <c r="AG398" s="136"/>
      <c r="AH398" s="136"/>
    </row>
    <row r="399" spans="1:34" s="132" customFormat="1" ht="12.75" customHeight="1" x14ac:dyDescent="0.25">
      <c r="A399" s="137"/>
      <c r="B399" s="139"/>
      <c r="C399" s="136"/>
      <c r="D399" s="131"/>
      <c r="E399" s="131"/>
      <c r="F399" s="58"/>
      <c r="G399" s="140"/>
      <c r="H399" s="140"/>
      <c r="I399" s="58"/>
      <c r="J399" s="58"/>
      <c r="K399" s="58"/>
      <c r="L399" s="58"/>
      <c r="M399" s="135"/>
      <c r="N399" s="135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35"/>
      <c r="Z399" s="58"/>
      <c r="AA399" s="58"/>
      <c r="AB399" s="58"/>
      <c r="AC399" s="58"/>
      <c r="AD399" s="58"/>
      <c r="AE399" s="138"/>
      <c r="AF399" s="136"/>
      <c r="AG399" s="136"/>
      <c r="AH399" s="136"/>
    </row>
    <row r="400" spans="1:34" s="132" customFormat="1" ht="12.75" customHeight="1" x14ac:dyDescent="0.25">
      <c r="A400" s="137"/>
      <c r="B400" s="139"/>
      <c r="C400" s="136"/>
      <c r="D400" s="131"/>
      <c r="E400" s="131"/>
      <c r="F400" s="58"/>
      <c r="G400" s="140"/>
      <c r="H400" s="140"/>
      <c r="I400" s="58"/>
      <c r="J400" s="58"/>
      <c r="K400" s="58"/>
      <c r="L400" s="58"/>
      <c r="M400" s="135"/>
      <c r="N400" s="135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35"/>
      <c r="Z400" s="58"/>
      <c r="AA400" s="58"/>
      <c r="AB400" s="58"/>
      <c r="AC400" s="58"/>
      <c r="AD400" s="58"/>
      <c r="AE400" s="138"/>
      <c r="AF400" s="136"/>
      <c r="AG400" s="136"/>
      <c r="AH400" s="136"/>
    </row>
    <row r="401" spans="1:34" s="132" customFormat="1" ht="12.75" customHeight="1" x14ac:dyDescent="0.25">
      <c r="A401" s="137"/>
      <c r="B401" s="139"/>
      <c r="C401" s="136"/>
      <c r="D401" s="131"/>
      <c r="E401" s="131"/>
      <c r="F401" s="58"/>
      <c r="G401" s="140"/>
      <c r="H401" s="140"/>
      <c r="I401" s="58"/>
      <c r="J401" s="58"/>
      <c r="K401" s="58"/>
      <c r="L401" s="58"/>
      <c r="M401" s="135"/>
      <c r="N401" s="135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35"/>
      <c r="Z401" s="58"/>
      <c r="AA401" s="58"/>
      <c r="AB401" s="58"/>
      <c r="AC401" s="58"/>
      <c r="AD401" s="58"/>
      <c r="AE401" s="138"/>
      <c r="AF401" s="136"/>
      <c r="AG401" s="136"/>
      <c r="AH401" s="136"/>
    </row>
    <row r="402" spans="1:34" s="132" customFormat="1" ht="12.75" customHeight="1" x14ac:dyDescent="0.25">
      <c r="A402" s="137"/>
      <c r="B402" s="139"/>
      <c r="C402" s="136"/>
      <c r="D402" s="131"/>
      <c r="E402" s="131"/>
      <c r="F402" s="58"/>
      <c r="G402" s="140"/>
      <c r="H402" s="140"/>
      <c r="I402" s="58"/>
      <c r="J402" s="58"/>
      <c r="K402" s="58"/>
      <c r="L402" s="58"/>
      <c r="M402" s="135"/>
      <c r="N402" s="135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35"/>
      <c r="Z402" s="58"/>
      <c r="AA402" s="58"/>
      <c r="AB402" s="58"/>
      <c r="AC402" s="58"/>
      <c r="AD402" s="58"/>
      <c r="AE402" s="138"/>
      <c r="AF402" s="136"/>
      <c r="AG402" s="136"/>
      <c r="AH402" s="136"/>
    </row>
    <row r="403" spans="1:34" s="132" customFormat="1" ht="12.75" customHeight="1" x14ac:dyDescent="0.25">
      <c r="A403" s="137"/>
      <c r="B403" s="139"/>
      <c r="C403" s="136"/>
      <c r="D403" s="131"/>
      <c r="E403" s="131"/>
      <c r="F403" s="58"/>
      <c r="G403" s="140"/>
      <c r="H403" s="140"/>
      <c r="I403" s="58"/>
      <c r="J403" s="58"/>
      <c r="K403" s="58"/>
      <c r="L403" s="58"/>
      <c r="M403" s="135"/>
      <c r="N403" s="135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35"/>
      <c r="Z403" s="58"/>
      <c r="AA403" s="58"/>
      <c r="AB403" s="58"/>
      <c r="AC403" s="58"/>
      <c r="AD403" s="58"/>
      <c r="AE403" s="138"/>
      <c r="AF403" s="136"/>
      <c r="AG403" s="136"/>
      <c r="AH403" s="136"/>
    </row>
    <row r="404" spans="1:34" s="132" customFormat="1" ht="12.75" customHeight="1" x14ac:dyDescent="0.25">
      <c r="A404" s="137"/>
      <c r="B404" s="139"/>
      <c r="C404" s="136"/>
      <c r="D404" s="131"/>
      <c r="E404" s="131"/>
      <c r="F404" s="58"/>
      <c r="G404" s="140"/>
      <c r="H404" s="140"/>
      <c r="I404" s="58"/>
      <c r="J404" s="58"/>
      <c r="K404" s="58"/>
      <c r="L404" s="58"/>
      <c r="M404" s="135"/>
      <c r="N404" s="135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35"/>
      <c r="Z404" s="58"/>
      <c r="AA404" s="58"/>
      <c r="AB404" s="58"/>
      <c r="AC404" s="58"/>
      <c r="AD404" s="58"/>
      <c r="AE404" s="138"/>
      <c r="AF404" s="136"/>
      <c r="AG404" s="136"/>
      <c r="AH404" s="136"/>
    </row>
    <row r="405" spans="1:34" s="132" customFormat="1" ht="12.75" customHeight="1" x14ac:dyDescent="0.25">
      <c r="A405" s="137"/>
      <c r="B405" s="139"/>
      <c r="C405" s="136"/>
      <c r="D405" s="131"/>
      <c r="E405" s="131"/>
      <c r="F405" s="58"/>
      <c r="G405" s="140"/>
      <c r="H405" s="140"/>
      <c r="I405" s="58"/>
      <c r="J405" s="58"/>
      <c r="K405" s="58"/>
      <c r="L405" s="58"/>
      <c r="M405" s="135"/>
      <c r="N405" s="135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35"/>
      <c r="Z405" s="58"/>
      <c r="AA405" s="58"/>
      <c r="AB405" s="58"/>
      <c r="AC405" s="58"/>
      <c r="AD405" s="58"/>
      <c r="AE405" s="138"/>
      <c r="AF405" s="136"/>
      <c r="AG405" s="136"/>
      <c r="AH405" s="136"/>
    </row>
    <row r="406" spans="1:34" s="132" customFormat="1" ht="12.75" customHeight="1" x14ac:dyDescent="0.25">
      <c r="A406" s="137"/>
      <c r="B406" s="139"/>
      <c r="C406" s="136"/>
      <c r="D406" s="131"/>
      <c r="E406" s="131"/>
      <c r="F406" s="58"/>
      <c r="G406" s="140"/>
      <c r="H406" s="140"/>
      <c r="I406" s="58"/>
      <c r="J406" s="58"/>
      <c r="K406" s="58"/>
      <c r="L406" s="58"/>
      <c r="M406" s="135"/>
      <c r="N406" s="135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35"/>
      <c r="Z406" s="58"/>
      <c r="AA406" s="58"/>
      <c r="AB406" s="58"/>
      <c r="AC406" s="58"/>
      <c r="AD406" s="58"/>
      <c r="AE406" s="138"/>
      <c r="AF406" s="136"/>
      <c r="AG406" s="136"/>
      <c r="AH406" s="136"/>
    </row>
    <row r="407" spans="1:34" s="132" customFormat="1" ht="12.75" customHeight="1" x14ac:dyDescent="0.25">
      <c r="A407" s="137"/>
      <c r="B407" s="139"/>
      <c r="C407" s="136"/>
      <c r="D407" s="131"/>
      <c r="E407" s="131"/>
      <c r="F407" s="58"/>
      <c r="G407" s="140"/>
      <c r="H407" s="140"/>
      <c r="I407" s="58"/>
      <c r="J407" s="58"/>
      <c r="K407" s="58"/>
      <c r="L407" s="58"/>
      <c r="M407" s="135"/>
      <c r="N407" s="135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35"/>
      <c r="Z407" s="58"/>
      <c r="AA407" s="58"/>
      <c r="AB407" s="58"/>
      <c r="AC407" s="58"/>
      <c r="AD407" s="58"/>
      <c r="AE407" s="138"/>
      <c r="AF407" s="136"/>
      <c r="AG407" s="136"/>
      <c r="AH407" s="136"/>
    </row>
    <row r="408" spans="1:34" s="132" customFormat="1" ht="12.75" customHeight="1" x14ac:dyDescent="0.25">
      <c r="A408" s="137"/>
      <c r="B408" s="139"/>
      <c r="C408" s="136"/>
      <c r="D408" s="131"/>
      <c r="E408" s="131"/>
      <c r="F408" s="58"/>
      <c r="G408" s="140"/>
      <c r="H408" s="140"/>
      <c r="I408" s="58"/>
      <c r="J408" s="58"/>
      <c r="K408" s="58"/>
      <c r="L408" s="58"/>
      <c r="M408" s="135"/>
      <c r="N408" s="135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35"/>
      <c r="Z408" s="58"/>
      <c r="AA408" s="58"/>
      <c r="AB408" s="58"/>
      <c r="AC408" s="58"/>
      <c r="AD408" s="58"/>
      <c r="AE408" s="138"/>
      <c r="AF408" s="136"/>
      <c r="AG408" s="136"/>
      <c r="AH408" s="136"/>
    </row>
    <row r="409" spans="1:34" s="132" customFormat="1" ht="12.75" customHeight="1" x14ac:dyDescent="0.25">
      <c r="A409" s="137"/>
      <c r="B409" s="139"/>
      <c r="C409" s="136"/>
      <c r="D409" s="131"/>
      <c r="E409" s="131"/>
      <c r="F409" s="58"/>
      <c r="G409" s="140"/>
      <c r="H409" s="140"/>
      <c r="I409" s="58"/>
      <c r="J409" s="58"/>
      <c r="K409" s="58"/>
      <c r="L409" s="58"/>
      <c r="M409" s="135"/>
      <c r="N409" s="135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35"/>
      <c r="Z409" s="58"/>
      <c r="AA409" s="58"/>
      <c r="AB409" s="58"/>
      <c r="AC409" s="58"/>
      <c r="AD409" s="58"/>
      <c r="AE409" s="138"/>
      <c r="AF409" s="136"/>
      <c r="AG409" s="136"/>
      <c r="AH409" s="136"/>
    </row>
    <row r="410" spans="1:34" s="132" customFormat="1" ht="12.75" customHeight="1" x14ac:dyDescent="0.25">
      <c r="A410" s="137"/>
      <c r="B410" s="139"/>
      <c r="C410" s="136"/>
      <c r="D410" s="131"/>
      <c r="E410" s="131"/>
      <c r="F410" s="58"/>
      <c r="G410" s="140"/>
      <c r="H410" s="140"/>
      <c r="I410" s="58"/>
      <c r="J410" s="58"/>
      <c r="K410" s="58"/>
      <c r="L410" s="58"/>
      <c r="M410" s="135"/>
      <c r="N410" s="135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35"/>
      <c r="Z410" s="58"/>
      <c r="AA410" s="58"/>
      <c r="AB410" s="58"/>
      <c r="AC410" s="58"/>
      <c r="AD410" s="58"/>
      <c r="AE410" s="138"/>
      <c r="AF410" s="136"/>
      <c r="AG410" s="136"/>
      <c r="AH410" s="136"/>
    </row>
    <row r="411" spans="1:34" s="132" customFormat="1" ht="12.75" customHeight="1" x14ac:dyDescent="0.25">
      <c r="A411" s="137"/>
      <c r="B411" s="139"/>
      <c r="C411" s="136"/>
      <c r="D411" s="131"/>
      <c r="E411" s="131"/>
      <c r="F411" s="58"/>
      <c r="G411" s="140"/>
      <c r="H411" s="140"/>
      <c r="I411" s="58"/>
      <c r="J411" s="58"/>
      <c r="K411" s="58"/>
      <c r="L411" s="58"/>
      <c r="M411" s="135"/>
      <c r="N411" s="135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35"/>
      <c r="Z411" s="58"/>
      <c r="AA411" s="58"/>
      <c r="AB411" s="58"/>
      <c r="AC411" s="58"/>
      <c r="AD411" s="58"/>
      <c r="AE411" s="138"/>
      <c r="AF411" s="136"/>
      <c r="AG411" s="136"/>
      <c r="AH411" s="136"/>
    </row>
    <row r="412" spans="1:34" s="132" customFormat="1" ht="12.75" customHeight="1" x14ac:dyDescent="0.25">
      <c r="A412" s="137"/>
      <c r="B412" s="139"/>
      <c r="C412" s="136"/>
      <c r="D412" s="131"/>
      <c r="E412" s="131"/>
      <c r="F412" s="58"/>
      <c r="G412" s="140"/>
      <c r="H412" s="140"/>
      <c r="I412" s="58"/>
      <c r="J412" s="58"/>
      <c r="K412" s="58"/>
      <c r="L412" s="58"/>
      <c r="M412" s="135"/>
      <c r="N412" s="135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35"/>
      <c r="Z412" s="58"/>
      <c r="AA412" s="58"/>
      <c r="AB412" s="58"/>
      <c r="AC412" s="58"/>
      <c r="AD412" s="58"/>
      <c r="AE412" s="138"/>
      <c r="AF412" s="136"/>
      <c r="AG412" s="136"/>
      <c r="AH412" s="136"/>
    </row>
    <row r="413" spans="1:34" s="132" customFormat="1" ht="12.75" customHeight="1" x14ac:dyDescent="0.25">
      <c r="A413" s="137"/>
      <c r="B413" s="139"/>
      <c r="C413" s="136"/>
      <c r="D413" s="131"/>
      <c r="E413" s="131"/>
      <c r="F413" s="58"/>
      <c r="G413" s="140"/>
      <c r="H413" s="140"/>
      <c r="I413" s="58"/>
      <c r="J413" s="58"/>
      <c r="K413" s="58"/>
      <c r="L413" s="58"/>
      <c r="M413" s="135"/>
      <c r="N413" s="135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35"/>
      <c r="Z413" s="58"/>
      <c r="AA413" s="58"/>
      <c r="AB413" s="58"/>
      <c r="AC413" s="58"/>
      <c r="AD413" s="58"/>
      <c r="AE413" s="138"/>
      <c r="AF413" s="136"/>
      <c r="AG413" s="136"/>
      <c r="AH413" s="136"/>
    </row>
    <row r="414" spans="1:34" s="132" customFormat="1" ht="12.75" customHeight="1" x14ac:dyDescent="0.25">
      <c r="A414" s="137"/>
      <c r="B414" s="139"/>
      <c r="C414" s="136"/>
      <c r="D414" s="131"/>
      <c r="E414" s="131"/>
      <c r="F414" s="58"/>
      <c r="G414" s="140"/>
      <c r="H414" s="140"/>
      <c r="I414" s="58"/>
      <c r="J414" s="58"/>
      <c r="K414" s="58"/>
      <c r="L414" s="58"/>
      <c r="M414" s="135"/>
      <c r="N414" s="135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35"/>
      <c r="Z414" s="58"/>
      <c r="AA414" s="58"/>
      <c r="AB414" s="58"/>
      <c r="AC414" s="58"/>
      <c r="AD414" s="58"/>
      <c r="AE414" s="138"/>
      <c r="AF414" s="136"/>
      <c r="AG414" s="136"/>
      <c r="AH414" s="136"/>
    </row>
    <row r="415" spans="1:34" s="132" customFormat="1" ht="12.75" customHeight="1" x14ac:dyDescent="0.25">
      <c r="A415" s="137"/>
      <c r="B415" s="139"/>
      <c r="C415" s="136"/>
      <c r="D415" s="131"/>
      <c r="E415" s="131"/>
      <c r="F415" s="58"/>
      <c r="G415" s="140"/>
      <c r="H415" s="140"/>
      <c r="I415" s="58"/>
      <c r="J415" s="58"/>
      <c r="K415" s="58"/>
      <c r="L415" s="58"/>
      <c r="M415" s="135"/>
      <c r="N415" s="135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35"/>
      <c r="Z415" s="58"/>
      <c r="AA415" s="58"/>
      <c r="AB415" s="58"/>
      <c r="AC415" s="58"/>
      <c r="AD415" s="58"/>
      <c r="AE415" s="138"/>
      <c r="AF415" s="136"/>
      <c r="AG415" s="136"/>
      <c r="AH415" s="136"/>
    </row>
    <row r="416" spans="1:34" s="132" customFormat="1" ht="12.75" customHeight="1" x14ac:dyDescent="0.25">
      <c r="A416" s="137"/>
      <c r="B416" s="139"/>
      <c r="C416" s="136"/>
      <c r="D416" s="131"/>
      <c r="E416" s="131"/>
      <c r="F416" s="58"/>
      <c r="G416" s="140"/>
      <c r="H416" s="140"/>
      <c r="I416" s="58"/>
      <c r="J416" s="58"/>
      <c r="K416" s="58"/>
      <c r="L416" s="58"/>
      <c r="M416" s="135"/>
      <c r="N416" s="135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35"/>
      <c r="Z416" s="58"/>
      <c r="AA416" s="58"/>
      <c r="AB416" s="58"/>
      <c r="AC416" s="58"/>
      <c r="AD416" s="58"/>
      <c r="AE416" s="138"/>
      <c r="AF416" s="136"/>
      <c r="AG416" s="136"/>
      <c r="AH416" s="136"/>
    </row>
    <row r="417" spans="1:34" s="132" customFormat="1" ht="12.75" customHeight="1" x14ac:dyDescent="0.25">
      <c r="A417" s="137"/>
      <c r="B417" s="139"/>
      <c r="C417" s="136"/>
      <c r="D417" s="131"/>
      <c r="E417" s="131"/>
      <c r="F417" s="58"/>
      <c r="G417" s="140"/>
      <c r="H417" s="140"/>
      <c r="I417" s="58"/>
      <c r="J417" s="58"/>
      <c r="K417" s="58"/>
      <c r="L417" s="58"/>
      <c r="M417" s="135"/>
      <c r="N417" s="135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35"/>
      <c r="Z417" s="58"/>
      <c r="AA417" s="58"/>
      <c r="AB417" s="58"/>
      <c r="AC417" s="58"/>
      <c r="AD417" s="58"/>
      <c r="AE417" s="138"/>
      <c r="AF417" s="136"/>
      <c r="AG417" s="136"/>
      <c r="AH417" s="136"/>
    </row>
    <row r="418" spans="1:34" s="132" customFormat="1" ht="12.75" customHeight="1" x14ac:dyDescent="0.25">
      <c r="A418" s="137"/>
      <c r="B418" s="139"/>
      <c r="C418" s="136"/>
      <c r="D418" s="131"/>
      <c r="E418" s="131"/>
      <c r="F418" s="58"/>
      <c r="G418" s="140"/>
      <c r="H418" s="140"/>
      <c r="I418" s="58"/>
      <c r="J418" s="58"/>
      <c r="K418" s="58"/>
      <c r="L418" s="58"/>
      <c r="M418" s="135"/>
      <c r="N418" s="135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35"/>
      <c r="Z418" s="58"/>
      <c r="AA418" s="58"/>
      <c r="AB418" s="58"/>
      <c r="AC418" s="58"/>
      <c r="AD418" s="58"/>
      <c r="AE418" s="138"/>
      <c r="AF418" s="136"/>
      <c r="AG418" s="136"/>
      <c r="AH418" s="136"/>
    </row>
    <row r="419" spans="1:34" s="132" customFormat="1" ht="12.75" customHeight="1" x14ac:dyDescent="0.25">
      <c r="A419" s="137"/>
      <c r="B419" s="139"/>
      <c r="C419" s="136"/>
      <c r="D419" s="131"/>
      <c r="E419" s="131"/>
      <c r="F419" s="58"/>
      <c r="G419" s="140"/>
      <c r="H419" s="140"/>
      <c r="I419" s="58"/>
      <c r="J419" s="58"/>
      <c r="K419" s="58"/>
      <c r="L419" s="58"/>
      <c r="M419" s="135"/>
      <c r="N419" s="135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35"/>
      <c r="Z419" s="58"/>
      <c r="AA419" s="58"/>
      <c r="AB419" s="58"/>
      <c r="AC419" s="58"/>
      <c r="AD419" s="58"/>
      <c r="AE419" s="138"/>
      <c r="AF419" s="136"/>
      <c r="AG419" s="136"/>
      <c r="AH419" s="136"/>
    </row>
    <row r="420" spans="1:34" s="132" customFormat="1" ht="12.75" customHeight="1" x14ac:dyDescent="0.25">
      <c r="A420" s="137"/>
      <c r="B420" s="139"/>
      <c r="C420" s="136"/>
      <c r="D420" s="131"/>
      <c r="E420" s="131"/>
      <c r="F420" s="58"/>
      <c r="G420" s="140"/>
      <c r="H420" s="140"/>
      <c r="I420" s="58"/>
      <c r="J420" s="58"/>
      <c r="K420" s="58"/>
      <c r="L420" s="58"/>
      <c r="M420" s="135"/>
      <c r="N420" s="135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35"/>
      <c r="Z420" s="58"/>
      <c r="AA420" s="58"/>
      <c r="AB420" s="58"/>
      <c r="AC420" s="58"/>
      <c r="AD420" s="58"/>
      <c r="AE420" s="138"/>
      <c r="AF420" s="136"/>
      <c r="AG420" s="136"/>
      <c r="AH420" s="136"/>
    </row>
    <row r="421" spans="1:34" s="132" customFormat="1" ht="12.75" customHeight="1" x14ac:dyDescent="0.25">
      <c r="A421" s="137"/>
      <c r="B421" s="139"/>
      <c r="C421" s="136"/>
      <c r="D421" s="131"/>
      <c r="E421" s="131"/>
      <c r="F421" s="58"/>
      <c r="G421" s="140"/>
      <c r="H421" s="140"/>
      <c r="I421" s="58"/>
      <c r="J421" s="58"/>
      <c r="K421" s="58"/>
      <c r="L421" s="58"/>
      <c r="M421" s="135"/>
      <c r="N421" s="135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35"/>
      <c r="Z421" s="58"/>
      <c r="AA421" s="58"/>
      <c r="AB421" s="58"/>
      <c r="AC421" s="58"/>
      <c r="AD421" s="58"/>
      <c r="AE421" s="138"/>
      <c r="AF421" s="136"/>
      <c r="AG421" s="136"/>
      <c r="AH421" s="136"/>
    </row>
    <row r="422" spans="1:34" s="132" customFormat="1" ht="12.75" customHeight="1" x14ac:dyDescent="0.25">
      <c r="A422" s="137"/>
      <c r="B422" s="139"/>
      <c r="C422" s="136"/>
      <c r="D422" s="131"/>
      <c r="E422" s="131"/>
      <c r="F422" s="58"/>
      <c r="G422" s="140"/>
      <c r="H422" s="140"/>
      <c r="I422" s="58"/>
      <c r="J422" s="58"/>
      <c r="K422" s="58"/>
      <c r="L422" s="58"/>
      <c r="M422" s="135"/>
      <c r="N422" s="135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35"/>
      <c r="Z422" s="58"/>
      <c r="AA422" s="58"/>
      <c r="AB422" s="58"/>
      <c r="AC422" s="58"/>
      <c r="AD422" s="58"/>
      <c r="AE422" s="138"/>
      <c r="AF422" s="136"/>
      <c r="AG422" s="136"/>
      <c r="AH422" s="136"/>
    </row>
    <row r="423" spans="1:34" s="132" customFormat="1" ht="12.75" customHeight="1" x14ac:dyDescent="0.25">
      <c r="A423" s="137"/>
      <c r="B423" s="139"/>
      <c r="C423" s="136"/>
      <c r="D423" s="131"/>
      <c r="E423" s="131"/>
      <c r="F423" s="58"/>
      <c r="G423" s="140"/>
      <c r="H423" s="140"/>
      <c r="I423" s="58"/>
      <c r="J423" s="58"/>
      <c r="K423" s="58"/>
      <c r="L423" s="58"/>
      <c r="M423" s="135"/>
      <c r="N423" s="135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35"/>
      <c r="Z423" s="58"/>
      <c r="AA423" s="58"/>
      <c r="AB423" s="58"/>
      <c r="AC423" s="58"/>
      <c r="AD423" s="58"/>
      <c r="AE423" s="138"/>
      <c r="AF423" s="136"/>
      <c r="AG423" s="136"/>
      <c r="AH423" s="136"/>
    </row>
    <row r="424" spans="1:34" s="132" customFormat="1" ht="12.75" customHeight="1" x14ac:dyDescent="0.25">
      <c r="A424" s="137"/>
      <c r="B424" s="139"/>
      <c r="C424" s="136"/>
      <c r="D424" s="131"/>
      <c r="E424" s="131"/>
      <c r="F424" s="58"/>
      <c r="G424" s="140"/>
      <c r="H424" s="140"/>
      <c r="I424" s="58"/>
      <c r="J424" s="58"/>
      <c r="K424" s="58"/>
      <c r="L424" s="58"/>
      <c r="M424" s="135"/>
      <c r="N424" s="135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35"/>
      <c r="Z424" s="58"/>
      <c r="AA424" s="58"/>
      <c r="AB424" s="58"/>
      <c r="AC424" s="58"/>
      <c r="AD424" s="58"/>
      <c r="AE424" s="138"/>
      <c r="AF424" s="136"/>
      <c r="AG424" s="136"/>
      <c r="AH424" s="136"/>
    </row>
    <row r="425" spans="1:34" s="132" customFormat="1" ht="12.75" customHeight="1" x14ac:dyDescent="0.25">
      <c r="A425" s="137"/>
      <c r="B425" s="139"/>
      <c r="C425" s="136"/>
      <c r="D425" s="131"/>
      <c r="E425" s="131"/>
      <c r="F425" s="58"/>
      <c r="G425" s="140"/>
      <c r="H425" s="140"/>
      <c r="I425" s="58"/>
      <c r="J425" s="58"/>
      <c r="K425" s="58"/>
      <c r="L425" s="58"/>
      <c r="M425" s="135"/>
      <c r="N425" s="135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35"/>
      <c r="Z425" s="58"/>
      <c r="AA425" s="58"/>
      <c r="AB425" s="58"/>
      <c r="AC425" s="58"/>
      <c r="AD425" s="58"/>
      <c r="AE425" s="138"/>
      <c r="AF425" s="136"/>
      <c r="AG425" s="136"/>
      <c r="AH425" s="136"/>
    </row>
    <row r="426" spans="1:34" s="132" customFormat="1" ht="12.75" customHeight="1" x14ac:dyDescent="0.25">
      <c r="A426" s="137"/>
      <c r="B426" s="139"/>
      <c r="C426" s="136"/>
      <c r="D426" s="131"/>
      <c r="E426" s="131"/>
      <c r="F426" s="58"/>
      <c r="G426" s="140"/>
      <c r="H426" s="140"/>
      <c r="I426" s="58"/>
      <c r="J426" s="58"/>
      <c r="K426" s="58"/>
      <c r="L426" s="58"/>
      <c r="M426" s="135"/>
      <c r="N426" s="135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35"/>
      <c r="Z426" s="58"/>
      <c r="AA426" s="58"/>
      <c r="AB426" s="58"/>
      <c r="AC426" s="58"/>
      <c r="AD426" s="58"/>
      <c r="AE426" s="138"/>
      <c r="AF426" s="136"/>
      <c r="AG426" s="136"/>
      <c r="AH426" s="136"/>
    </row>
    <row r="427" spans="1:34" s="132" customFormat="1" ht="12.75" customHeight="1" x14ac:dyDescent="0.25">
      <c r="A427" s="137"/>
      <c r="B427" s="139"/>
      <c r="C427" s="136"/>
      <c r="D427" s="131"/>
      <c r="E427" s="131"/>
      <c r="F427" s="58"/>
      <c r="G427" s="140"/>
      <c r="H427" s="140"/>
      <c r="I427" s="58"/>
      <c r="J427" s="58"/>
      <c r="K427" s="58"/>
      <c r="L427" s="58"/>
      <c r="M427" s="135"/>
      <c r="N427" s="135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35"/>
      <c r="Z427" s="58"/>
      <c r="AA427" s="58"/>
      <c r="AB427" s="58"/>
      <c r="AC427" s="58"/>
      <c r="AD427" s="58"/>
      <c r="AE427" s="138"/>
      <c r="AF427" s="136"/>
      <c r="AG427" s="136"/>
      <c r="AH427" s="136"/>
    </row>
    <row r="428" spans="1:34" s="132" customFormat="1" ht="12.75" customHeight="1" x14ac:dyDescent="0.25">
      <c r="A428" s="137"/>
      <c r="B428" s="139"/>
      <c r="C428" s="136"/>
      <c r="D428" s="131"/>
      <c r="E428" s="131"/>
      <c r="F428" s="58"/>
      <c r="G428" s="140"/>
      <c r="H428" s="140"/>
      <c r="I428" s="58"/>
      <c r="J428" s="58"/>
      <c r="K428" s="58"/>
      <c r="L428" s="58"/>
      <c r="M428" s="135"/>
      <c r="N428" s="135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35"/>
      <c r="Z428" s="58"/>
      <c r="AA428" s="58"/>
      <c r="AB428" s="58"/>
      <c r="AC428" s="58"/>
      <c r="AD428" s="58"/>
      <c r="AE428" s="138"/>
      <c r="AF428" s="136"/>
      <c r="AG428" s="136"/>
      <c r="AH428" s="136"/>
    </row>
    <row r="429" spans="1:34" s="132" customFormat="1" ht="12.75" customHeight="1" x14ac:dyDescent="0.25">
      <c r="A429" s="137"/>
      <c r="B429" s="139"/>
      <c r="C429" s="136"/>
      <c r="D429" s="131"/>
      <c r="E429" s="131"/>
      <c r="F429" s="58"/>
      <c r="G429" s="140"/>
      <c r="H429" s="140"/>
      <c r="I429" s="58"/>
      <c r="J429" s="58"/>
      <c r="K429" s="58"/>
      <c r="L429" s="58"/>
      <c r="M429" s="135"/>
      <c r="N429" s="135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35"/>
      <c r="Z429" s="58"/>
      <c r="AA429" s="58"/>
      <c r="AB429" s="58"/>
      <c r="AC429" s="58"/>
      <c r="AD429" s="58"/>
      <c r="AE429" s="138"/>
      <c r="AF429" s="136"/>
      <c r="AG429" s="136"/>
      <c r="AH429" s="136"/>
    </row>
    <row r="430" spans="1:34" s="132" customFormat="1" ht="12.75" customHeight="1" x14ac:dyDescent="0.25">
      <c r="A430" s="137"/>
      <c r="B430" s="139"/>
      <c r="C430" s="136"/>
      <c r="D430" s="131"/>
      <c r="E430" s="131"/>
      <c r="F430" s="58"/>
      <c r="G430" s="140"/>
      <c r="H430" s="140"/>
      <c r="I430" s="58"/>
      <c r="J430" s="58"/>
      <c r="K430" s="58"/>
      <c r="L430" s="58"/>
      <c r="M430" s="135"/>
      <c r="N430" s="135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35"/>
      <c r="Z430" s="58"/>
      <c r="AA430" s="58"/>
      <c r="AB430" s="58"/>
      <c r="AC430" s="58"/>
      <c r="AD430" s="58"/>
      <c r="AE430" s="138"/>
      <c r="AF430" s="136"/>
      <c r="AG430" s="136"/>
      <c r="AH430" s="136"/>
    </row>
    <row r="431" spans="1:34" s="132" customFormat="1" ht="12.75" customHeight="1" x14ac:dyDescent="0.25">
      <c r="A431" s="137"/>
      <c r="B431" s="139"/>
      <c r="C431" s="136"/>
      <c r="D431" s="131"/>
      <c r="E431" s="131"/>
      <c r="F431" s="58"/>
      <c r="G431" s="140"/>
      <c r="H431" s="140"/>
      <c r="I431" s="58"/>
      <c r="J431" s="58"/>
      <c r="K431" s="58"/>
      <c r="L431" s="58"/>
      <c r="M431" s="135"/>
      <c r="N431" s="135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35"/>
      <c r="Z431" s="58"/>
      <c r="AA431" s="58"/>
      <c r="AB431" s="58"/>
      <c r="AC431" s="58"/>
      <c r="AD431" s="58"/>
      <c r="AE431" s="138"/>
      <c r="AF431" s="136"/>
      <c r="AG431" s="136"/>
      <c r="AH431" s="136"/>
    </row>
    <row r="432" spans="1:34" s="132" customFormat="1" ht="12.75" customHeight="1" x14ac:dyDescent="0.25">
      <c r="A432" s="137"/>
      <c r="B432" s="139"/>
      <c r="C432" s="136"/>
      <c r="D432" s="131"/>
      <c r="E432" s="131"/>
      <c r="F432" s="58"/>
      <c r="G432" s="140"/>
      <c r="H432" s="140"/>
      <c r="I432" s="58"/>
      <c r="J432" s="58"/>
      <c r="K432" s="58"/>
      <c r="L432" s="58"/>
      <c r="M432" s="135"/>
      <c r="N432" s="135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35"/>
      <c r="Z432" s="58"/>
      <c r="AA432" s="58"/>
      <c r="AB432" s="58"/>
      <c r="AC432" s="58"/>
      <c r="AD432" s="58"/>
      <c r="AE432" s="138"/>
      <c r="AF432" s="136"/>
      <c r="AG432" s="136"/>
      <c r="AH432" s="136"/>
    </row>
    <row r="433" spans="1:34" s="132" customFormat="1" ht="12.75" customHeight="1" x14ac:dyDescent="0.25">
      <c r="A433" s="137"/>
      <c r="B433" s="139"/>
      <c r="C433" s="136"/>
      <c r="D433" s="131"/>
      <c r="E433" s="131"/>
      <c r="F433" s="58"/>
      <c r="G433" s="140"/>
      <c r="H433" s="140"/>
      <c r="I433" s="58"/>
      <c r="J433" s="58"/>
      <c r="K433" s="58"/>
      <c r="L433" s="58"/>
      <c r="M433" s="135"/>
      <c r="N433" s="135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35"/>
      <c r="Z433" s="58"/>
      <c r="AA433" s="58"/>
      <c r="AB433" s="58"/>
      <c r="AC433" s="58"/>
      <c r="AD433" s="58"/>
      <c r="AE433" s="138"/>
      <c r="AF433" s="136"/>
      <c r="AG433" s="136"/>
      <c r="AH433" s="136"/>
    </row>
    <row r="434" spans="1:34" s="132" customFormat="1" ht="12.75" customHeight="1" x14ac:dyDescent="0.25">
      <c r="A434" s="137"/>
      <c r="B434" s="139"/>
      <c r="C434" s="136"/>
      <c r="D434" s="131"/>
      <c r="E434" s="131"/>
      <c r="F434" s="58"/>
      <c r="G434" s="140"/>
      <c r="H434" s="140"/>
      <c r="I434" s="58"/>
      <c r="J434" s="58"/>
      <c r="K434" s="58"/>
      <c r="L434" s="58"/>
      <c r="M434" s="135"/>
      <c r="N434" s="135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35"/>
      <c r="Z434" s="58"/>
      <c r="AA434" s="58"/>
      <c r="AB434" s="58"/>
      <c r="AC434" s="58"/>
      <c r="AD434" s="58"/>
      <c r="AE434" s="138"/>
      <c r="AF434" s="136"/>
      <c r="AG434" s="136"/>
      <c r="AH434" s="136"/>
    </row>
    <row r="435" spans="1:34" s="132" customFormat="1" ht="12.75" customHeight="1" x14ac:dyDescent="0.25">
      <c r="A435" s="137"/>
      <c r="B435" s="139"/>
      <c r="C435" s="136"/>
      <c r="D435" s="131"/>
      <c r="E435" s="131"/>
      <c r="F435" s="58"/>
      <c r="G435" s="140"/>
      <c r="H435" s="140"/>
      <c r="I435" s="58"/>
      <c r="J435" s="58"/>
      <c r="K435" s="58"/>
      <c r="L435" s="58"/>
      <c r="M435" s="135"/>
      <c r="N435" s="135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35"/>
      <c r="Z435" s="58"/>
      <c r="AA435" s="58"/>
      <c r="AB435" s="58"/>
      <c r="AC435" s="58"/>
      <c r="AD435" s="58"/>
      <c r="AE435" s="138"/>
      <c r="AF435" s="136"/>
      <c r="AG435" s="136"/>
      <c r="AH435" s="136"/>
    </row>
    <row r="436" spans="1:34" s="132" customFormat="1" ht="12.75" customHeight="1" x14ac:dyDescent="0.25">
      <c r="A436" s="137"/>
      <c r="B436" s="139"/>
      <c r="C436" s="136"/>
      <c r="D436" s="131"/>
      <c r="E436" s="131"/>
      <c r="F436" s="58"/>
      <c r="G436" s="140"/>
      <c r="H436" s="140"/>
      <c r="I436" s="58"/>
      <c r="J436" s="58"/>
      <c r="K436" s="58"/>
      <c r="L436" s="58"/>
      <c r="M436" s="135"/>
      <c r="N436" s="135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35"/>
      <c r="Z436" s="58"/>
      <c r="AA436" s="58"/>
      <c r="AB436" s="58"/>
      <c r="AC436" s="58"/>
      <c r="AD436" s="58"/>
      <c r="AE436" s="138"/>
      <c r="AF436" s="136"/>
      <c r="AG436" s="136"/>
      <c r="AH436" s="136"/>
    </row>
    <row r="437" spans="1:34" s="132" customFormat="1" ht="12.75" customHeight="1" x14ac:dyDescent="0.25">
      <c r="A437" s="137"/>
      <c r="B437" s="139"/>
      <c r="C437" s="136"/>
      <c r="D437" s="131"/>
      <c r="E437" s="131"/>
      <c r="F437" s="58"/>
      <c r="G437" s="140"/>
      <c r="H437" s="140"/>
      <c r="I437" s="58"/>
      <c r="J437" s="58"/>
      <c r="K437" s="58"/>
      <c r="L437" s="58"/>
      <c r="M437" s="135"/>
      <c r="N437" s="135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35"/>
      <c r="Z437" s="58"/>
      <c r="AA437" s="58"/>
      <c r="AB437" s="58"/>
      <c r="AC437" s="58"/>
      <c r="AD437" s="58"/>
      <c r="AE437" s="138"/>
      <c r="AF437" s="136"/>
      <c r="AG437" s="136"/>
      <c r="AH437" s="136"/>
    </row>
    <row r="438" spans="1:34" s="132" customFormat="1" ht="12.75" customHeight="1" x14ac:dyDescent="0.25">
      <c r="A438" s="137"/>
      <c r="B438" s="139"/>
      <c r="C438" s="136"/>
      <c r="D438" s="131"/>
      <c r="E438" s="131"/>
      <c r="F438" s="58"/>
      <c r="G438" s="140"/>
      <c r="H438" s="140"/>
      <c r="I438" s="58"/>
      <c r="J438" s="58"/>
      <c r="K438" s="58"/>
      <c r="L438" s="58"/>
      <c r="M438" s="135"/>
      <c r="N438" s="135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35"/>
      <c r="Z438" s="58"/>
      <c r="AA438" s="58"/>
      <c r="AB438" s="58"/>
      <c r="AC438" s="58"/>
      <c r="AD438" s="58"/>
      <c r="AE438" s="138"/>
      <c r="AF438" s="136"/>
      <c r="AG438" s="136"/>
      <c r="AH438" s="136"/>
    </row>
    <row r="439" spans="1:34" s="132" customFormat="1" ht="12.75" customHeight="1" x14ac:dyDescent="0.25">
      <c r="A439" s="137"/>
      <c r="B439" s="139"/>
      <c r="C439" s="136"/>
      <c r="D439" s="131"/>
      <c r="E439" s="131"/>
      <c r="F439" s="58"/>
      <c r="G439" s="140"/>
      <c r="H439" s="140"/>
      <c r="I439" s="58"/>
      <c r="J439" s="58"/>
      <c r="K439" s="58"/>
      <c r="L439" s="58"/>
      <c r="M439" s="135"/>
      <c r="N439" s="135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35"/>
      <c r="Z439" s="58"/>
      <c r="AA439" s="58"/>
      <c r="AB439" s="58"/>
      <c r="AC439" s="58"/>
      <c r="AD439" s="58"/>
      <c r="AE439" s="138"/>
      <c r="AF439" s="136"/>
      <c r="AG439" s="136"/>
      <c r="AH439" s="136"/>
    </row>
    <row r="440" spans="1:34" s="132" customFormat="1" ht="12.75" customHeight="1" x14ac:dyDescent="0.25">
      <c r="A440" s="137"/>
      <c r="B440" s="139"/>
      <c r="C440" s="136"/>
      <c r="D440" s="131"/>
      <c r="E440" s="131"/>
      <c r="F440" s="58"/>
      <c r="G440" s="140"/>
      <c r="H440" s="140"/>
      <c r="I440" s="58"/>
      <c r="J440" s="58"/>
      <c r="K440" s="58"/>
      <c r="L440" s="58"/>
      <c r="M440" s="135"/>
      <c r="N440" s="135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35"/>
      <c r="Z440" s="58"/>
      <c r="AA440" s="58"/>
      <c r="AB440" s="58"/>
      <c r="AC440" s="58"/>
      <c r="AD440" s="58"/>
      <c r="AE440" s="138"/>
      <c r="AF440" s="136"/>
      <c r="AG440" s="136"/>
      <c r="AH440" s="136"/>
    </row>
    <row r="441" spans="1:34" s="132" customFormat="1" ht="12.75" customHeight="1" x14ac:dyDescent="0.25">
      <c r="A441" s="137"/>
      <c r="B441" s="139"/>
      <c r="C441" s="136"/>
      <c r="D441" s="131"/>
      <c r="E441" s="131"/>
      <c r="F441" s="58"/>
      <c r="G441" s="140"/>
      <c r="H441" s="140"/>
      <c r="I441" s="58"/>
      <c r="J441" s="58"/>
      <c r="K441" s="58"/>
      <c r="L441" s="58"/>
      <c r="M441" s="135"/>
      <c r="N441" s="135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35"/>
      <c r="Z441" s="58"/>
      <c r="AA441" s="58"/>
      <c r="AB441" s="58"/>
      <c r="AC441" s="58"/>
      <c r="AD441" s="58"/>
      <c r="AE441" s="138"/>
      <c r="AF441" s="136"/>
      <c r="AG441" s="136"/>
      <c r="AH441" s="136"/>
    </row>
    <row r="442" spans="1:34" s="132" customFormat="1" ht="12.75" customHeight="1" x14ac:dyDescent="0.25">
      <c r="A442" s="137"/>
      <c r="B442" s="139"/>
      <c r="C442" s="136"/>
      <c r="D442" s="131"/>
      <c r="E442" s="131"/>
      <c r="F442" s="58"/>
      <c r="G442" s="140"/>
      <c r="H442" s="140"/>
      <c r="I442" s="58"/>
      <c r="J442" s="58"/>
      <c r="K442" s="58"/>
      <c r="L442" s="58"/>
      <c r="M442" s="135"/>
      <c r="N442" s="135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35"/>
      <c r="Z442" s="58"/>
      <c r="AA442" s="58"/>
      <c r="AB442" s="58"/>
      <c r="AC442" s="58"/>
      <c r="AD442" s="58"/>
      <c r="AE442" s="138"/>
      <c r="AF442" s="136"/>
      <c r="AG442" s="136"/>
      <c r="AH442" s="136"/>
    </row>
    <row r="443" spans="1:34" s="132" customFormat="1" ht="12.75" customHeight="1" x14ac:dyDescent="0.25">
      <c r="A443" s="137"/>
      <c r="B443" s="139"/>
      <c r="C443" s="136"/>
      <c r="D443" s="131"/>
      <c r="E443" s="131"/>
      <c r="F443" s="58"/>
      <c r="G443" s="140"/>
      <c r="H443" s="140"/>
      <c r="I443" s="58"/>
      <c r="J443" s="58"/>
      <c r="K443" s="58"/>
      <c r="L443" s="58"/>
      <c r="M443" s="135"/>
      <c r="N443" s="135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35"/>
      <c r="Z443" s="58"/>
      <c r="AA443" s="58"/>
      <c r="AB443" s="58"/>
      <c r="AC443" s="58"/>
      <c r="AD443" s="58"/>
      <c r="AE443" s="138"/>
      <c r="AF443" s="136"/>
      <c r="AG443" s="136"/>
      <c r="AH443" s="136"/>
    </row>
    <row r="444" spans="1:34" s="132" customFormat="1" ht="12.75" customHeight="1" x14ac:dyDescent="0.25">
      <c r="A444" s="137"/>
      <c r="B444" s="139"/>
      <c r="C444" s="136"/>
      <c r="D444" s="131"/>
      <c r="E444" s="131"/>
      <c r="F444" s="58"/>
      <c r="G444" s="140"/>
      <c r="H444" s="140"/>
      <c r="I444" s="58"/>
      <c r="J444" s="58"/>
      <c r="K444" s="58"/>
      <c r="L444" s="58"/>
      <c r="M444" s="135"/>
      <c r="N444" s="135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35"/>
      <c r="Z444" s="58"/>
      <c r="AA444" s="58"/>
      <c r="AB444" s="58"/>
      <c r="AC444" s="58"/>
      <c r="AD444" s="58"/>
      <c r="AE444" s="138"/>
      <c r="AF444" s="136"/>
      <c r="AG444" s="136"/>
      <c r="AH444" s="136"/>
    </row>
    <row r="445" spans="1:34" s="132" customFormat="1" ht="12.75" customHeight="1" x14ac:dyDescent="0.25">
      <c r="A445" s="137"/>
      <c r="B445" s="139"/>
      <c r="C445" s="136"/>
      <c r="D445" s="131"/>
      <c r="E445" s="131"/>
      <c r="F445" s="58"/>
      <c r="G445" s="140"/>
      <c r="H445" s="140"/>
      <c r="I445" s="58"/>
      <c r="J445" s="58"/>
      <c r="K445" s="58"/>
      <c r="L445" s="58"/>
      <c r="M445" s="135"/>
      <c r="N445" s="135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35"/>
      <c r="Z445" s="58"/>
      <c r="AA445" s="58"/>
      <c r="AB445" s="58"/>
      <c r="AC445" s="58"/>
      <c r="AD445" s="58"/>
      <c r="AE445" s="138"/>
      <c r="AF445" s="136"/>
      <c r="AG445" s="136"/>
      <c r="AH445" s="136"/>
    </row>
    <row r="446" spans="1:34" s="132" customFormat="1" ht="12.75" customHeight="1" x14ac:dyDescent="0.25">
      <c r="A446" s="137"/>
      <c r="B446" s="139"/>
      <c r="C446" s="136"/>
      <c r="D446" s="131"/>
      <c r="E446" s="131"/>
      <c r="F446" s="58"/>
      <c r="G446" s="140"/>
      <c r="H446" s="140"/>
      <c r="I446" s="58"/>
      <c r="J446" s="58"/>
      <c r="K446" s="58"/>
      <c r="L446" s="58"/>
      <c r="M446" s="135"/>
      <c r="N446" s="135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35"/>
      <c r="Z446" s="58"/>
      <c r="AA446" s="58"/>
      <c r="AB446" s="58"/>
      <c r="AC446" s="58"/>
      <c r="AD446" s="58"/>
      <c r="AE446" s="138"/>
      <c r="AF446" s="136"/>
      <c r="AG446" s="136"/>
      <c r="AH446" s="136"/>
    </row>
    <row r="447" spans="1:34" s="132" customFormat="1" ht="12.75" customHeight="1" x14ac:dyDescent="0.25">
      <c r="A447" s="137"/>
      <c r="B447" s="139"/>
      <c r="C447" s="136"/>
      <c r="D447" s="131"/>
      <c r="E447" s="131"/>
      <c r="F447" s="58"/>
      <c r="G447" s="140"/>
      <c r="H447" s="140"/>
      <c r="I447" s="58"/>
      <c r="J447" s="58"/>
      <c r="K447" s="58"/>
      <c r="L447" s="58"/>
      <c r="M447" s="135"/>
      <c r="N447" s="135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35"/>
      <c r="Z447" s="58"/>
      <c r="AA447" s="58"/>
      <c r="AB447" s="58"/>
      <c r="AC447" s="58"/>
      <c r="AD447" s="58"/>
      <c r="AE447" s="138"/>
      <c r="AF447" s="136"/>
      <c r="AG447" s="136"/>
      <c r="AH447" s="136"/>
    </row>
    <row r="448" spans="1:34" s="132" customFormat="1" ht="12.75" customHeight="1" x14ac:dyDescent="0.25">
      <c r="A448" s="137"/>
      <c r="B448" s="139"/>
      <c r="C448" s="136"/>
      <c r="D448" s="131"/>
      <c r="E448" s="131"/>
      <c r="F448" s="58"/>
      <c r="G448" s="140"/>
      <c r="H448" s="140"/>
      <c r="I448" s="58"/>
      <c r="J448" s="58"/>
      <c r="K448" s="58"/>
      <c r="L448" s="58"/>
      <c r="M448" s="135"/>
      <c r="N448" s="135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35"/>
      <c r="Z448" s="58"/>
      <c r="AA448" s="58"/>
      <c r="AB448" s="58"/>
      <c r="AC448" s="58"/>
      <c r="AD448" s="58"/>
      <c r="AE448" s="138"/>
      <c r="AF448" s="136"/>
      <c r="AG448" s="136"/>
      <c r="AH448" s="136"/>
    </row>
    <row r="449" spans="1:34" s="132" customFormat="1" ht="12.75" customHeight="1" x14ac:dyDescent="0.25">
      <c r="A449" s="137"/>
      <c r="B449" s="139"/>
      <c r="C449" s="136"/>
      <c r="D449" s="131"/>
      <c r="E449" s="131"/>
      <c r="F449" s="58"/>
      <c r="G449" s="140"/>
      <c r="H449" s="140"/>
      <c r="I449" s="58"/>
      <c r="J449" s="58"/>
      <c r="K449" s="58"/>
      <c r="L449" s="58"/>
      <c r="M449" s="135"/>
      <c r="N449" s="135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35"/>
      <c r="Z449" s="58"/>
      <c r="AA449" s="58"/>
      <c r="AB449" s="58"/>
      <c r="AC449" s="58"/>
      <c r="AD449" s="58"/>
      <c r="AE449" s="138"/>
      <c r="AF449" s="136"/>
      <c r="AG449" s="136"/>
      <c r="AH449" s="136"/>
    </row>
    <row r="450" spans="1:34" s="132" customFormat="1" ht="12.75" customHeight="1" x14ac:dyDescent="0.25">
      <c r="A450" s="137"/>
      <c r="B450" s="139"/>
      <c r="C450" s="136"/>
      <c r="D450" s="131"/>
      <c r="E450" s="131"/>
      <c r="F450" s="58"/>
      <c r="G450" s="140"/>
      <c r="H450" s="140"/>
      <c r="I450" s="58"/>
      <c r="J450" s="58"/>
      <c r="K450" s="58"/>
      <c r="L450" s="58"/>
      <c r="M450" s="135"/>
      <c r="N450" s="135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35"/>
      <c r="Z450" s="58"/>
      <c r="AA450" s="58"/>
      <c r="AB450" s="58"/>
      <c r="AC450" s="58"/>
      <c r="AD450" s="58"/>
      <c r="AE450" s="138"/>
      <c r="AF450" s="136"/>
      <c r="AG450" s="136"/>
      <c r="AH450" s="136"/>
    </row>
    <row r="451" spans="1:34" s="132" customFormat="1" ht="12.75" customHeight="1" x14ac:dyDescent="0.25">
      <c r="A451" s="137"/>
      <c r="B451" s="139"/>
      <c r="C451" s="136"/>
      <c r="D451" s="131"/>
      <c r="E451" s="131"/>
      <c r="F451" s="58"/>
      <c r="G451" s="140"/>
      <c r="H451" s="140"/>
      <c r="I451" s="58"/>
      <c r="J451" s="58"/>
      <c r="K451" s="58"/>
      <c r="L451" s="58"/>
      <c r="M451" s="135"/>
      <c r="N451" s="135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35"/>
      <c r="Z451" s="58"/>
      <c r="AA451" s="58"/>
      <c r="AB451" s="58"/>
      <c r="AC451" s="58"/>
      <c r="AD451" s="58"/>
      <c r="AE451" s="138"/>
      <c r="AF451" s="136"/>
      <c r="AG451" s="136"/>
      <c r="AH451" s="136"/>
    </row>
    <row r="452" spans="1:34" s="132" customFormat="1" ht="12.75" customHeight="1" x14ac:dyDescent="0.25">
      <c r="A452" s="137"/>
      <c r="B452" s="139"/>
      <c r="C452" s="136"/>
      <c r="D452" s="131"/>
      <c r="E452" s="131"/>
      <c r="F452" s="58"/>
      <c r="G452" s="140"/>
      <c r="H452" s="140"/>
      <c r="I452" s="58"/>
      <c r="J452" s="58"/>
      <c r="K452" s="58"/>
      <c r="L452" s="58"/>
      <c r="M452" s="135"/>
      <c r="N452" s="135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35"/>
      <c r="Z452" s="58"/>
      <c r="AA452" s="58"/>
      <c r="AB452" s="58"/>
      <c r="AC452" s="58"/>
      <c r="AD452" s="58"/>
      <c r="AE452" s="138"/>
      <c r="AF452" s="136"/>
      <c r="AG452" s="136"/>
      <c r="AH452" s="136"/>
    </row>
    <row r="453" spans="1:34" s="132" customFormat="1" ht="12.75" customHeight="1" x14ac:dyDescent="0.25">
      <c r="A453" s="137"/>
      <c r="B453" s="139"/>
      <c r="C453" s="136"/>
      <c r="D453" s="131"/>
      <c r="E453" s="131"/>
      <c r="F453" s="58"/>
      <c r="G453" s="140"/>
      <c r="H453" s="140"/>
      <c r="I453" s="58"/>
      <c r="J453" s="58"/>
      <c r="K453" s="58"/>
      <c r="L453" s="58"/>
      <c r="M453" s="135"/>
      <c r="N453" s="135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35"/>
      <c r="Z453" s="58"/>
      <c r="AA453" s="58"/>
      <c r="AB453" s="58"/>
      <c r="AC453" s="58"/>
      <c r="AD453" s="58"/>
      <c r="AE453" s="138"/>
      <c r="AF453" s="136"/>
      <c r="AG453" s="136"/>
      <c r="AH453" s="136"/>
    </row>
    <row r="454" spans="1:34" s="132" customFormat="1" ht="12.75" customHeight="1" x14ac:dyDescent="0.25">
      <c r="A454" s="137"/>
      <c r="B454" s="139"/>
      <c r="C454" s="136"/>
      <c r="D454" s="131"/>
      <c r="E454" s="131"/>
      <c r="F454" s="58"/>
      <c r="G454" s="140"/>
      <c r="H454" s="140"/>
      <c r="I454" s="58"/>
      <c r="J454" s="58"/>
      <c r="K454" s="58"/>
      <c r="L454" s="58"/>
      <c r="M454" s="135"/>
      <c r="N454" s="135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35"/>
      <c r="Z454" s="58"/>
      <c r="AA454" s="58"/>
      <c r="AB454" s="58"/>
      <c r="AC454" s="58"/>
      <c r="AD454" s="58"/>
      <c r="AE454" s="138"/>
      <c r="AF454" s="136"/>
      <c r="AG454" s="136"/>
      <c r="AH454" s="136"/>
    </row>
    <row r="455" spans="1:34" s="132" customFormat="1" ht="12.75" customHeight="1" x14ac:dyDescent="0.25">
      <c r="A455" s="137"/>
      <c r="B455" s="139"/>
      <c r="C455" s="136"/>
      <c r="D455" s="131"/>
      <c r="E455" s="131"/>
      <c r="F455" s="58"/>
      <c r="G455" s="140"/>
      <c r="H455" s="140"/>
      <c r="I455" s="58"/>
      <c r="J455" s="58"/>
      <c r="K455" s="58"/>
      <c r="L455" s="58"/>
      <c r="M455" s="135"/>
      <c r="N455" s="135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35"/>
      <c r="Z455" s="58"/>
      <c r="AA455" s="58"/>
      <c r="AB455" s="58"/>
      <c r="AC455" s="58"/>
      <c r="AD455" s="58"/>
      <c r="AE455" s="138"/>
      <c r="AF455" s="136"/>
      <c r="AG455" s="136"/>
      <c r="AH455" s="136"/>
    </row>
    <row r="456" spans="1:34" s="132" customFormat="1" ht="12.75" customHeight="1" x14ac:dyDescent="0.25">
      <c r="A456" s="137"/>
      <c r="B456" s="139"/>
      <c r="C456" s="136"/>
      <c r="D456" s="131"/>
      <c r="E456" s="131"/>
      <c r="F456" s="58"/>
      <c r="G456" s="140"/>
      <c r="H456" s="140"/>
      <c r="I456" s="58"/>
      <c r="J456" s="58"/>
      <c r="K456" s="58"/>
      <c r="L456" s="58"/>
      <c r="M456" s="135"/>
      <c r="N456" s="135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35"/>
      <c r="Z456" s="58"/>
      <c r="AA456" s="58"/>
      <c r="AB456" s="58"/>
      <c r="AC456" s="58"/>
      <c r="AD456" s="58"/>
      <c r="AE456" s="138"/>
      <c r="AF456" s="136"/>
      <c r="AG456" s="136"/>
      <c r="AH456" s="136"/>
    </row>
    <row r="457" spans="1:34" s="132" customFormat="1" ht="12.75" customHeight="1" x14ac:dyDescent="0.25">
      <c r="A457" s="137"/>
      <c r="B457" s="139"/>
      <c r="C457" s="136"/>
      <c r="D457" s="131"/>
      <c r="E457" s="131"/>
      <c r="F457" s="58"/>
      <c r="G457" s="140"/>
      <c r="H457" s="140"/>
      <c r="I457" s="58"/>
      <c r="J457" s="58"/>
      <c r="K457" s="58"/>
      <c r="L457" s="58"/>
      <c r="M457" s="135"/>
      <c r="N457" s="135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35"/>
      <c r="Z457" s="58"/>
      <c r="AA457" s="58"/>
      <c r="AB457" s="58"/>
      <c r="AC457" s="58"/>
      <c r="AD457" s="58"/>
      <c r="AE457" s="138"/>
      <c r="AF457" s="136"/>
      <c r="AG457" s="136"/>
      <c r="AH457" s="136"/>
    </row>
    <row r="458" spans="1:34" s="132" customFormat="1" ht="12.75" customHeight="1" x14ac:dyDescent="0.25">
      <c r="A458" s="137"/>
      <c r="B458" s="139"/>
      <c r="C458" s="136"/>
      <c r="D458" s="131"/>
      <c r="E458" s="131"/>
      <c r="F458" s="58"/>
      <c r="G458" s="140"/>
      <c r="H458" s="140"/>
      <c r="I458" s="58"/>
      <c r="J458" s="58"/>
      <c r="K458" s="58"/>
      <c r="L458" s="58"/>
      <c r="M458" s="135"/>
      <c r="N458" s="135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35"/>
      <c r="Z458" s="58"/>
      <c r="AA458" s="58"/>
      <c r="AB458" s="58"/>
      <c r="AC458" s="58"/>
      <c r="AD458" s="58"/>
      <c r="AE458" s="138"/>
      <c r="AF458" s="136"/>
      <c r="AG458" s="136"/>
      <c r="AH458" s="136"/>
    </row>
    <row r="459" spans="1:34" s="132" customFormat="1" ht="12.75" customHeight="1" x14ac:dyDescent="0.25">
      <c r="A459" s="137"/>
      <c r="B459" s="139"/>
      <c r="C459" s="136"/>
      <c r="D459" s="131"/>
      <c r="E459" s="131"/>
      <c r="F459" s="58"/>
      <c r="G459" s="140"/>
      <c r="H459" s="140"/>
      <c r="I459" s="58"/>
      <c r="J459" s="58"/>
      <c r="K459" s="58"/>
      <c r="L459" s="58"/>
      <c r="M459" s="135"/>
      <c r="N459" s="135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35"/>
      <c r="Z459" s="58"/>
      <c r="AA459" s="58"/>
      <c r="AB459" s="58"/>
      <c r="AC459" s="58"/>
      <c r="AD459" s="58"/>
      <c r="AE459" s="138"/>
      <c r="AF459" s="136"/>
      <c r="AG459" s="136"/>
      <c r="AH459" s="136"/>
    </row>
    <row r="460" spans="1:34" s="132" customFormat="1" ht="12.75" customHeight="1" x14ac:dyDescent="0.25">
      <c r="A460" s="137"/>
      <c r="B460" s="139"/>
      <c r="C460" s="136"/>
      <c r="D460" s="131"/>
      <c r="E460" s="131"/>
      <c r="F460" s="58"/>
      <c r="G460" s="140"/>
      <c r="H460" s="140"/>
      <c r="I460" s="58"/>
      <c r="J460" s="58"/>
      <c r="K460" s="58"/>
      <c r="L460" s="58"/>
      <c r="M460" s="135"/>
      <c r="N460" s="135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35"/>
      <c r="Z460" s="58"/>
      <c r="AA460" s="58"/>
      <c r="AB460" s="58"/>
      <c r="AC460" s="58"/>
      <c r="AD460" s="58"/>
      <c r="AE460" s="138"/>
      <c r="AF460" s="136"/>
      <c r="AG460" s="136"/>
      <c r="AH460" s="136"/>
    </row>
    <row r="461" spans="1:34" s="132" customFormat="1" ht="12.75" customHeight="1" x14ac:dyDescent="0.25">
      <c r="A461" s="137"/>
      <c r="B461" s="139"/>
      <c r="C461" s="136"/>
      <c r="D461" s="131"/>
      <c r="E461" s="131"/>
      <c r="F461" s="58"/>
      <c r="G461" s="140"/>
      <c r="H461" s="140"/>
      <c r="I461" s="58"/>
      <c r="J461" s="58"/>
      <c r="K461" s="58"/>
      <c r="L461" s="58"/>
      <c r="M461" s="135"/>
      <c r="N461" s="135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35"/>
      <c r="Z461" s="58"/>
      <c r="AA461" s="58"/>
      <c r="AB461" s="58"/>
      <c r="AC461" s="58"/>
      <c r="AD461" s="58"/>
      <c r="AE461" s="138"/>
      <c r="AF461" s="136"/>
      <c r="AG461" s="136"/>
      <c r="AH461" s="136"/>
    </row>
    <row r="462" spans="1:34" s="132" customFormat="1" ht="12.75" customHeight="1" x14ac:dyDescent="0.25">
      <c r="A462" s="137"/>
      <c r="B462" s="139"/>
      <c r="C462" s="136"/>
      <c r="D462" s="131"/>
      <c r="E462" s="131"/>
      <c r="F462" s="58"/>
      <c r="G462" s="140"/>
      <c r="H462" s="140"/>
      <c r="I462" s="58"/>
      <c r="J462" s="58"/>
      <c r="K462" s="58"/>
      <c r="L462" s="58"/>
      <c r="M462" s="135"/>
      <c r="N462" s="135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35"/>
      <c r="Z462" s="58"/>
      <c r="AA462" s="58"/>
      <c r="AB462" s="58"/>
      <c r="AC462" s="58"/>
      <c r="AD462" s="58"/>
      <c r="AE462" s="138"/>
      <c r="AF462" s="136"/>
      <c r="AG462" s="136"/>
      <c r="AH462" s="136"/>
    </row>
    <row r="463" spans="1:34" s="132" customFormat="1" ht="12.75" customHeight="1" x14ac:dyDescent="0.25">
      <c r="A463" s="137"/>
      <c r="B463" s="139"/>
      <c r="C463" s="136"/>
      <c r="D463" s="131"/>
      <c r="E463" s="131"/>
      <c r="F463" s="58"/>
      <c r="G463" s="140"/>
      <c r="H463" s="140"/>
      <c r="I463" s="58"/>
      <c r="J463" s="58"/>
      <c r="K463" s="58"/>
      <c r="L463" s="58"/>
      <c r="M463" s="135"/>
      <c r="N463" s="135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35"/>
      <c r="Z463" s="58"/>
      <c r="AA463" s="58"/>
      <c r="AB463" s="58"/>
      <c r="AC463" s="58"/>
      <c r="AD463" s="58"/>
      <c r="AE463" s="138"/>
      <c r="AF463" s="136"/>
      <c r="AG463" s="136"/>
      <c r="AH463" s="136"/>
    </row>
    <row r="464" spans="1:34" s="132" customFormat="1" ht="12.75" customHeight="1" x14ac:dyDescent="0.25">
      <c r="A464" s="137"/>
      <c r="B464" s="139"/>
      <c r="C464" s="136"/>
      <c r="D464" s="131"/>
      <c r="E464" s="131"/>
      <c r="F464" s="58"/>
      <c r="G464" s="140"/>
      <c r="H464" s="140"/>
      <c r="I464" s="58"/>
      <c r="J464" s="58"/>
      <c r="K464" s="58"/>
      <c r="L464" s="58"/>
      <c r="M464" s="135"/>
      <c r="N464" s="135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35"/>
      <c r="Z464" s="58"/>
      <c r="AA464" s="58"/>
      <c r="AB464" s="58"/>
      <c r="AC464" s="58"/>
      <c r="AD464" s="58"/>
      <c r="AE464" s="138"/>
      <c r="AF464" s="136"/>
      <c r="AG464" s="136"/>
      <c r="AH464" s="136"/>
    </row>
    <row r="465" spans="1:34" s="132" customFormat="1" ht="12.75" customHeight="1" x14ac:dyDescent="0.25">
      <c r="A465" s="137"/>
      <c r="B465" s="139"/>
      <c r="C465" s="136"/>
      <c r="D465" s="131"/>
      <c r="E465" s="131"/>
      <c r="F465" s="58"/>
      <c r="G465" s="140"/>
      <c r="H465" s="140"/>
      <c r="I465" s="58"/>
      <c r="J465" s="58"/>
      <c r="K465" s="58"/>
      <c r="L465" s="58"/>
      <c r="M465" s="135"/>
      <c r="N465" s="135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35"/>
      <c r="Z465" s="58"/>
      <c r="AA465" s="58"/>
      <c r="AB465" s="58"/>
      <c r="AC465" s="58"/>
      <c r="AD465" s="58"/>
      <c r="AE465" s="138"/>
      <c r="AF465" s="136"/>
      <c r="AG465" s="136"/>
      <c r="AH465" s="136"/>
    </row>
    <row r="466" spans="1:34" s="132" customFormat="1" ht="12.75" customHeight="1" x14ac:dyDescent="0.25">
      <c r="A466" s="137"/>
      <c r="B466" s="139"/>
      <c r="C466" s="136"/>
      <c r="D466" s="131"/>
      <c r="E466" s="131"/>
      <c r="F466" s="58"/>
      <c r="G466" s="140"/>
      <c r="H466" s="140"/>
      <c r="I466" s="58"/>
      <c r="J466" s="58"/>
      <c r="K466" s="58"/>
      <c r="L466" s="58"/>
      <c r="M466" s="135"/>
      <c r="N466" s="135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35"/>
      <c r="Z466" s="58"/>
      <c r="AA466" s="58"/>
      <c r="AB466" s="58"/>
      <c r="AC466" s="58"/>
      <c r="AD466" s="58"/>
      <c r="AE466" s="138"/>
      <c r="AF466" s="136"/>
      <c r="AG466" s="136"/>
      <c r="AH466" s="136"/>
    </row>
    <row r="467" spans="1:34" s="132" customFormat="1" ht="12.75" customHeight="1" x14ac:dyDescent="0.25">
      <c r="A467" s="137"/>
      <c r="B467" s="139"/>
      <c r="C467" s="136"/>
      <c r="D467" s="131"/>
      <c r="E467" s="131"/>
      <c r="F467" s="58"/>
      <c r="G467" s="140"/>
      <c r="H467" s="140"/>
      <c r="I467" s="58"/>
      <c r="J467" s="58"/>
      <c r="K467" s="58"/>
      <c r="L467" s="58"/>
      <c r="M467" s="135"/>
      <c r="N467" s="135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35"/>
      <c r="Z467" s="58"/>
      <c r="AA467" s="58"/>
      <c r="AB467" s="58"/>
      <c r="AC467" s="58"/>
      <c r="AD467" s="58"/>
      <c r="AE467" s="138"/>
      <c r="AF467" s="136"/>
      <c r="AG467" s="136"/>
      <c r="AH467" s="136"/>
    </row>
    <row r="468" spans="1:34" s="132" customFormat="1" ht="12.75" customHeight="1" x14ac:dyDescent="0.25">
      <c r="A468" s="137"/>
      <c r="B468" s="139"/>
      <c r="C468" s="136"/>
      <c r="D468" s="131"/>
      <c r="E468" s="131"/>
      <c r="F468" s="58"/>
      <c r="G468" s="140"/>
      <c r="H468" s="140"/>
      <c r="I468" s="58"/>
      <c r="J468" s="58"/>
      <c r="K468" s="58"/>
      <c r="L468" s="58"/>
      <c r="M468" s="135"/>
      <c r="N468" s="135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35"/>
      <c r="Z468" s="58"/>
      <c r="AA468" s="58"/>
      <c r="AB468" s="58"/>
      <c r="AC468" s="58"/>
      <c r="AD468" s="58"/>
      <c r="AE468" s="138"/>
      <c r="AF468" s="136"/>
      <c r="AG468" s="136"/>
      <c r="AH468" s="136"/>
    </row>
    <row r="469" spans="1:34" s="132" customFormat="1" ht="12.75" customHeight="1" x14ac:dyDescent="0.25">
      <c r="A469" s="137"/>
      <c r="B469" s="139"/>
      <c r="C469" s="136"/>
      <c r="D469" s="131"/>
      <c r="E469" s="131"/>
      <c r="F469" s="58"/>
      <c r="G469" s="140"/>
      <c r="H469" s="140"/>
      <c r="I469" s="58"/>
      <c r="J469" s="58"/>
      <c r="K469" s="58"/>
      <c r="L469" s="58"/>
      <c r="M469" s="135"/>
      <c r="N469" s="135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35"/>
      <c r="Z469" s="58"/>
      <c r="AA469" s="58"/>
      <c r="AB469" s="58"/>
      <c r="AC469" s="58"/>
      <c r="AD469" s="58"/>
      <c r="AE469" s="138"/>
      <c r="AF469" s="136"/>
      <c r="AG469" s="136"/>
      <c r="AH469" s="136"/>
    </row>
    <row r="470" spans="1:34" s="132" customFormat="1" ht="12.75" customHeight="1" x14ac:dyDescent="0.25">
      <c r="A470" s="137"/>
      <c r="B470" s="139"/>
      <c r="C470" s="136"/>
      <c r="D470" s="131"/>
      <c r="E470" s="131"/>
      <c r="F470" s="58"/>
      <c r="G470" s="140"/>
      <c r="H470" s="140"/>
      <c r="I470" s="58"/>
      <c r="J470" s="58"/>
      <c r="K470" s="58"/>
      <c r="L470" s="58"/>
      <c r="M470" s="135"/>
      <c r="N470" s="135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35"/>
      <c r="Z470" s="58"/>
      <c r="AA470" s="58"/>
      <c r="AB470" s="58"/>
      <c r="AC470" s="58"/>
      <c r="AD470" s="58"/>
      <c r="AE470" s="138"/>
      <c r="AF470" s="136"/>
      <c r="AG470" s="136"/>
      <c r="AH470" s="136"/>
    </row>
    <row r="471" spans="1:34" s="132" customFormat="1" ht="12.75" customHeight="1" x14ac:dyDescent="0.25">
      <c r="A471" s="137"/>
      <c r="B471" s="139"/>
      <c r="C471" s="136"/>
      <c r="D471" s="131"/>
      <c r="E471" s="131"/>
      <c r="F471" s="58"/>
      <c r="G471" s="140"/>
      <c r="H471" s="140"/>
      <c r="I471" s="58"/>
      <c r="J471" s="58"/>
      <c r="K471" s="58"/>
      <c r="L471" s="58"/>
      <c r="M471" s="135"/>
      <c r="N471" s="135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35"/>
      <c r="Z471" s="58"/>
      <c r="AA471" s="58"/>
      <c r="AB471" s="58"/>
      <c r="AC471" s="58"/>
      <c r="AD471" s="58"/>
      <c r="AE471" s="138"/>
      <c r="AF471" s="136"/>
      <c r="AG471" s="136"/>
      <c r="AH471" s="136"/>
    </row>
    <row r="472" spans="1:34" s="132" customFormat="1" ht="12.75" customHeight="1" x14ac:dyDescent="0.25">
      <c r="A472" s="137"/>
      <c r="B472" s="139"/>
      <c r="C472" s="136"/>
      <c r="D472" s="131"/>
      <c r="E472" s="131"/>
      <c r="F472" s="58"/>
      <c r="G472" s="140"/>
      <c r="H472" s="140"/>
      <c r="I472" s="58"/>
      <c r="J472" s="58"/>
      <c r="K472" s="58"/>
      <c r="L472" s="58"/>
      <c r="M472" s="135"/>
      <c r="N472" s="135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35"/>
      <c r="Z472" s="58"/>
      <c r="AA472" s="58"/>
      <c r="AB472" s="58"/>
      <c r="AC472" s="58"/>
      <c r="AD472" s="58"/>
      <c r="AE472" s="138"/>
      <c r="AF472" s="136"/>
      <c r="AG472" s="136"/>
      <c r="AH472" s="136"/>
    </row>
    <row r="473" spans="1:34" s="132" customFormat="1" ht="12.75" customHeight="1" x14ac:dyDescent="0.25">
      <c r="A473" s="137"/>
      <c r="B473" s="139"/>
      <c r="C473" s="136"/>
      <c r="D473" s="131"/>
      <c r="E473" s="131"/>
      <c r="F473" s="58"/>
      <c r="G473" s="140"/>
      <c r="H473" s="140"/>
      <c r="I473" s="58"/>
      <c r="J473" s="58"/>
      <c r="K473" s="58"/>
      <c r="L473" s="58"/>
      <c r="M473" s="135"/>
      <c r="N473" s="135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35"/>
      <c r="Z473" s="58"/>
      <c r="AA473" s="58"/>
      <c r="AB473" s="58"/>
      <c r="AC473" s="58"/>
      <c r="AD473" s="58"/>
      <c r="AE473" s="138"/>
      <c r="AF473" s="136"/>
      <c r="AG473" s="136"/>
      <c r="AH473" s="136"/>
    </row>
    <row r="474" spans="1:34" s="132" customFormat="1" ht="12.75" customHeight="1" x14ac:dyDescent="0.25">
      <c r="A474" s="137"/>
      <c r="B474" s="139"/>
      <c r="C474" s="136"/>
      <c r="D474" s="131"/>
      <c r="E474" s="131"/>
      <c r="F474" s="58"/>
      <c r="G474" s="140"/>
      <c r="H474" s="140"/>
      <c r="I474" s="58"/>
      <c r="J474" s="58"/>
      <c r="K474" s="58"/>
      <c r="L474" s="58"/>
      <c r="M474" s="135"/>
      <c r="N474" s="135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35"/>
      <c r="Z474" s="58"/>
      <c r="AA474" s="58"/>
      <c r="AB474" s="58"/>
      <c r="AC474" s="58"/>
      <c r="AD474" s="58"/>
      <c r="AE474" s="138"/>
      <c r="AF474" s="136"/>
      <c r="AG474" s="136"/>
      <c r="AH474" s="136"/>
    </row>
    <row r="475" spans="1:34" s="132" customFormat="1" ht="12.75" customHeight="1" x14ac:dyDescent="0.25">
      <c r="A475" s="137"/>
      <c r="B475" s="139"/>
      <c r="C475" s="136"/>
      <c r="D475" s="131"/>
      <c r="E475" s="131"/>
      <c r="F475" s="58"/>
      <c r="G475" s="140"/>
      <c r="H475" s="140"/>
      <c r="I475" s="58"/>
      <c r="J475" s="58"/>
      <c r="K475" s="58"/>
      <c r="L475" s="58"/>
      <c r="M475" s="135"/>
      <c r="N475" s="135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35"/>
      <c r="Z475" s="58"/>
      <c r="AA475" s="58"/>
      <c r="AB475" s="58"/>
      <c r="AC475" s="58"/>
      <c r="AD475" s="58"/>
      <c r="AE475" s="138"/>
      <c r="AF475" s="136"/>
      <c r="AG475" s="136"/>
      <c r="AH475" s="136"/>
    </row>
    <row r="476" spans="1:34" s="132" customFormat="1" ht="12.75" customHeight="1" x14ac:dyDescent="0.25">
      <c r="A476" s="137"/>
      <c r="B476" s="139"/>
      <c r="C476" s="136"/>
      <c r="D476" s="131"/>
      <c r="E476" s="131"/>
      <c r="F476" s="58"/>
      <c r="G476" s="140"/>
      <c r="H476" s="140"/>
      <c r="I476" s="58"/>
      <c r="J476" s="58"/>
      <c r="K476" s="58"/>
      <c r="L476" s="58"/>
      <c r="M476" s="135"/>
      <c r="N476" s="135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35"/>
      <c r="Z476" s="58"/>
      <c r="AA476" s="58"/>
      <c r="AB476" s="58"/>
      <c r="AC476" s="58"/>
      <c r="AD476" s="58"/>
      <c r="AE476" s="138"/>
      <c r="AF476" s="136"/>
      <c r="AG476" s="136"/>
      <c r="AH476" s="136"/>
    </row>
    <row r="477" spans="1:34" s="132" customFormat="1" ht="12.75" customHeight="1" x14ac:dyDescent="0.25">
      <c r="A477" s="137"/>
      <c r="B477" s="139"/>
      <c r="C477" s="136"/>
      <c r="D477" s="131"/>
      <c r="E477" s="131"/>
      <c r="F477" s="58"/>
      <c r="G477" s="140"/>
      <c r="H477" s="140"/>
      <c r="I477" s="58"/>
      <c r="J477" s="58"/>
      <c r="K477" s="58"/>
      <c r="L477" s="58"/>
      <c r="M477" s="135"/>
      <c r="N477" s="135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35"/>
      <c r="Z477" s="58"/>
      <c r="AA477" s="58"/>
      <c r="AB477" s="58"/>
      <c r="AC477" s="58"/>
      <c r="AD477" s="58"/>
      <c r="AE477" s="138"/>
      <c r="AF477" s="136"/>
      <c r="AG477" s="136"/>
      <c r="AH477" s="136"/>
    </row>
    <row r="478" spans="1:34" s="132" customFormat="1" ht="12.75" customHeight="1" x14ac:dyDescent="0.25">
      <c r="A478" s="137"/>
      <c r="B478" s="139"/>
      <c r="C478" s="136"/>
      <c r="D478" s="131"/>
      <c r="E478" s="131"/>
      <c r="F478" s="58"/>
      <c r="G478" s="140"/>
      <c r="H478" s="140"/>
      <c r="I478" s="58"/>
      <c r="J478" s="58"/>
      <c r="K478" s="58"/>
      <c r="L478" s="58"/>
      <c r="M478" s="135"/>
      <c r="N478" s="135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35"/>
      <c r="Z478" s="58"/>
      <c r="AA478" s="58"/>
      <c r="AB478" s="58"/>
      <c r="AC478" s="58"/>
      <c r="AD478" s="58"/>
      <c r="AE478" s="138"/>
      <c r="AF478" s="136"/>
      <c r="AG478" s="136"/>
      <c r="AH478" s="136"/>
    </row>
    <row r="479" spans="1:34" s="132" customFormat="1" ht="12.75" customHeight="1" x14ac:dyDescent="0.25">
      <c r="A479" s="137"/>
      <c r="B479" s="139"/>
      <c r="C479" s="136"/>
      <c r="D479" s="131"/>
      <c r="E479" s="131"/>
      <c r="F479" s="58"/>
      <c r="G479" s="140"/>
      <c r="H479" s="140"/>
      <c r="I479" s="58"/>
      <c r="J479" s="58"/>
      <c r="K479" s="58"/>
      <c r="L479" s="58"/>
      <c r="M479" s="135"/>
      <c r="N479" s="135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35"/>
      <c r="Z479" s="58"/>
      <c r="AA479" s="58"/>
      <c r="AB479" s="58"/>
      <c r="AC479" s="58"/>
      <c r="AD479" s="58"/>
      <c r="AE479" s="138"/>
      <c r="AF479" s="136"/>
      <c r="AG479" s="136"/>
      <c r="AH479" s="136"/>
    </row>
    <row r="480" spans="1:34" s="132" customFormat="1" ht="12.75" customHeight="1" x14ac:dyDescent="0.25">
      <c r="A480" s="137"/>
      <c r="B480" s="139"/>
      <c r="C480" s="136"/>
      <c r="D480" s="131"/>
      <c r="E480" s="131"/>
      <c r="F480" s="58"/>
      <c r="G480" s="140"/>
      <c r="H480" s="140"/>
      <c r="I480" s="58"/>
      <c r="J480" s="58"/>
      <c r="K480" s="58"/>
      <c r="L480" s="58"/>
      <c r="M480" s="135"/>
      <c r="N480" s="135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35"/>
      <c r="Z480" s="58"/>
      <c r="AA480" s="58"/>
      <c r="AB480" s="58"/>
      <c r="AC480" s="58"/>
      <c r="AD480" s="58"/>
      <c r="AE480" s="138"/>
      <c r="AF480" s="136"/>
      <c r="AG480" s="136"/>
      <c r="AH480" s="136"/>
    </row>
    <row r="481" spans="1:34" s="132" customFormat="1" ht="12.75" customHeight="1" x14ac:dyDescent="0.25">
      <c r="A481" s="137"/>
      <c r="B481" s="139"/>
      <c r="C481" s="136"/>
      <c r="D481" s="131"/>
      <c r="E481" s="131"/>
      <c r="F481" s="58"/>
      <c r="G481" s="140"/>
      <c r="H481" s="140"/>
      <c r="I481" s="58"/>
      <c r="J481" s="58"/>
      <c r="K481" s="58"/>
      <c r="L481" s="58"/>
      <c r="M481" s="135"/>
      <c r="N481" s="135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35"/>
      <c r="Z481" s="58"/>
      <c r="AA481" s="58"/>
      <c r="AB481" s="58"/>
      <c r="AC481" s="58"/>
      <c r="AD481" s="58"/>
      <c r="AE481" s="138"/>
      <c r="AF481" s="136"/>
      <c r="AG481" s="136"/>
      <c r="AH481" s="136"/>
    </row>
    <row r="482" spans="1:34" s="132" customFormat="1" ht="12.75" customHeight="1" x14ac:dyDescent="0.25">
      <c r="A482" s="137"/>
      <c r="B482" s="139"/>
      <c r="C482" s="136"/>
      <c r="D482" s="131"/>
      <c r="E482" s="131"/>
      <c r="F482" s="58"/>
      <c r="G482" s="140"/>
      <c r="H482" s="140"/>
      <c r="I482" s="58"/>
      <c r="J482" s="58"/>
      <c r="K482" s="58"/>
      <c r="L482" s="58"/>
      <c r="M482" s="135"/>
      <c r="N482" s="135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35"/>
      <c r="Z482" s="58"/>
      <c r="AA482" s="58"/>
      <c r="AB482" s="58"/>
      <c r="AC482" s="58"/>
      <c r="AD482" s="58"/>
      <c r="AE482" s="138"/>
      <c r="AF482" s="136"/>
      <c r="AG482" s="136"/>
      <c r="AH482" s="136"/>
    </row>
    <row r="483" spans="1:34" s="132" customFormat="1" ht="12.75" customHeight="1" x14ac:dyDescent="0.25">
      <c r="A483" s="137"/>
      <c r="B483" s="139"/>
      <c r="C483" s="136"/>
      <c r="D483" s="131"/>
      <c r="E483" s="131"/>
      <c r="F483" s="58"/>
      <c r="G483" s="140"/>
      <c r="H483" s="140"/>
      <c r="I483" s="58"/>
      <c r="J483" s="58"/>
      <c r="K483" s="58"/>
      <c r="L483" s="58"/>
      <c r="M483" s="135"/>
      <c r="N483" s="135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35"/>
      <c r="Z483" s="58"/>
      <c r="AA483" s="58"/>
      <c r="AB483" s="58"/>
      <c r="AC483" s="58"/>
      <c r="AD483" s="58"/>
      <c r="AE483" s="138"/>
      <c r="AF483" s="136"/>
      <c r="AG483" s="136"/>
      <c r="AH483" s="136"/>
    </row>
    <row r="484" spans="1:34" s="132" customFormat="1" ht="12.75" customHeight="1" x14ac:dyDescent="0.25">
      <c r="A484" s="137"/>
      <c r="B484" s="139"/>
      <c r="C484" s="136"/>
      <c r="D484" s="131"/>
      <c r="E484" s="131"/>
      <c r="F484" s="58"/>
      <c r="G484" s="140"/>
      <c r="H484" s="140"/>
      <c r="I484" s="58"/>
      <c r="J484" s="58"/>
      <c r="K484" s="58"/>
      <c r="L484" s="58"/>
      <c r="M484" s="135"/>
      <c r="N484" s="135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35"/>
      <c r="Z484" s="58"/>
      <c r="AA484" s="58"/>
      <c r="AB484" s="58"/>
      <c r="AC484" s="58"/>
      <c r="AD484" s="58"/>
      <c r="AE484" s="138"/>
      <c r="AF484" s="136"/>
      <c r="AG484" s="136"/>
      <c r="AH484" s="136"/>
    </row>
    <row r="485" spans="1:34" s="132" customFormat="1" ht="12.75" customHeight="1" x14ac:dyDescent="0.25">
      <c r="A485" s="137"/>
      <c r="B485" s="139"/>
      <c r="C485" s="136"/>
      <c r="D485" s="131"/>
      <c r="E485" s="131"/>
      <c r="F485" s="58"/>
      <c r="G485" s="140"/>
      <c r="H485" s="140"/>
      <c r="I485" s="58"/>
      <c r="J485" s="58"/>
      <c r="K485" s="58"/>
      <c r="L485" s="58"/>
      <c r="M485" s="135"/>
      <c r="N485" s="135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35"/>
      <c r="Z485" s="58"/>
      <c r="AA485" s="58"/>
      <c r="AB485" s="58"/>
      <c r="AC485" s="58"/>
      <c r="AD485" s="58"/>
      <c r="AE485" s="138"/>
      <c r="AF485" s="136"/>
      <c r="AG485" s="136"/>
      <c r="AH485" s="136"/>
    </row>
    <row r="486" spans="1:34" s="132" customFormat="1" ht="12.75" customHeight="1" x14ac:dyDescent="0.25">
      <c r="A486" s="137"/>
      <c r="B486" s="139"/>
      <c r="C486" s="136"/>
      <c r="D486" s="131"/>
      <c r="E486" s="131"/>
      <c r="F486" s="58"/>
      <c r="G486" s="140"/>
      <c r="H486" s="140"/>
      <c r="I486" s="58"/>
      <c r="J486" s="58"/>
      <c r="K486" s="58"/>
      <c r="L486" s="58"/>
      <c r="M486" s="135"/>
      <c r="N486" s="135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35"/>
      <c r="Z486" s="58"/>
      <c r="AA486" s="58"/>
      <c r="AB486" s="58"/>
      <c r="AC486" s="58"/>
      <c r="AD486" s="58"/>
      <c r="AE486" s="138"/>
      <c r="AF486" s="136"/>
      <c r="AG486" s="136"/>
      <c r="AH486" s="136"/>
    </row>
    <row r="487" spans="1:34" s="132" customFormat="1" ht="12.75" customHeight="1" x14ac:dyDescent="0.25">
      <c r="A487" s="137"/>
      <c r="B487" s="139"/>
      <c r="C487" s="136"/>
      <c r="D487" s="131"/>
      <c r="E487" s="131"/>
      <c r="F487" s="58"/>
      <c r="G487" s="140"/>
      <c r="H487" s="140"/>
      <c r="I487" s="58"/>
      <c r="J487" s="58"/>
      <c r="K487" s="58"/>
      <c r="L487" s="58"/>
      <c r="M487" s="135"/>
      <c r="N487" s="135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35"/>
      <c r="Z487" s="58"/>
      <c r="AA487" s="58"/>
      <c r="AB487" s="58"/>
      <c r="AC487" s="58"/>
      <c r="AD487" s="58"/>
      <c r="AE487" s="138"/>
      <c r="AF487" s="136"/>
      <c r="AG487" s="136"/>
      <c r="AH487" s="136"/>
    </row>
    <row r="488" spans="1:34" s="132" customFormat="1" ht="12.75" customHeight="1" x14ac:dyDescent="0.25">
      <c r="A488" s="137"/>
      <c r="B488" s="139"/>
      <c r="C488" s="136"/>
      <c r="D488" s="131"/>
      <c r="E488" s="131"/>
      <c r="F488" s="58"/>
      <c r="G488" s="140"/>
      <c r="H488" s="140"/>
      <c r="I488" s="58"/>
      <c r="J488" s="58"/>
      <c r="K488" s="58"/>
      <c r="L488" s="58"/>
      <c r="M488" s="135"/>
      <c r="N488" s="135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35"/>
      <c r="Z488" s="58"/>
      <c r="AA488" s="58"/>
      <c r="AB488" s="58"/>
      <c r="AC488" s="58"/>
      <c r="AD488" s="58"/>
      <c r="AE488" s="138"/>
      <c r="AF488" s="136"/>
      <c r="AG488" s="136"/>
      <c r="AH488" s="136"/>
    </row>
    <row r="489" spans="1:34" s="132" customFormat="1" ht="12.75" customHeight="1" x14ac:dyDescent="0.25">
      <c r="A489" s="137"/>
      <c r="B489" s="139"/>
      <c r="C489" s="136"/>
      <c r="D489" s="131"/>
      <c r="E489" s="131"/>
      <c r="F489" s="58"/>
      <c r="G489" s="140"/>
      <c r="H489" s="140"/>
      <c r="I489" s="58"/>
      <c r="J489" s="58"/>
      <c r="K489" s="58"/>
      <c r="L489" s="58"/>
      <c r="M489" s="135"/>
      <c r="N489" s="135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35"/>
      <c r="Z489" s="58"/>
      <c r="AA489" s="58"/>
      <c r="AB489" s="58"/>
      <c r="AC489" s="58"/>
      <c r="AD489" s="58"/>
      <c r="AE489" s="138"/>
      <c r="AF489" s="136"/>
      <c r="AG489" s="136"/>
      <c r="AH489" s="136"/>
    </row>
    <row r="490" spans="1:34" s="132" customFormat="1" ht="12.75" customHeight="1" x14ac:dyDescent="0.25">
      <c r="A490" s="137"/>
      <c r="B490" s="139"/>
      <c r="C490" s="136"/>
      <c r="D490" s="131"/>
      <c r="E490" s="131"/>
      <c r="F490" s="58"/>
      <c r="G490" s="140"/>
      <c r="H490" s="140"/>
      <c r="I490" s="58"/>
      <c r="J490" s="58"/>
      <c r="K490" s="58"/>
      <c r="L490" s="58"/>
      <c r="M490" s="135"/>
      <c r="N490" s="135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35"/>
      <c r="Z490" s="58"/>
      <c r="AA490" s="58"/>
      <c r="AB490" s="58"/>
      <c r="AC490" s="58"/>
      <c r="AD490" s="58"/>
      <c r="AE490" s="138"/>
      <c r="AF490" s="136"/>
      <c r="AG490" s="136"/>
      <c r="AH490" s="136"/>
    </row>
    <row r="491" spans="1:34" s="132" customFormat="1" ht="12.75" customHeight="1" x14ac:dyDescent="0.25">
      <c r="A491" s="137"/>
      <c r="B491" s="139"/>
      <c r="C491" s="136"/>
      <c r="D491" s="131"/>
      <c r="E491" s="131"/>
      <c r="F491" s="58"/>
      <c r="G491" s="140"/>
      <c r="H491" s="140"/>
      <c r="I491" s="58"/>
      <c r="J491" s="58"/>
      <c r="K491" s="58"/>
      <c r="L491" s="58"/>
      <c r="M491" s="135"/>
      <c r="N491" s="135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35"/>
      <c r="Z491" s="58"/>
      <c r="AA491" s="58"/>
      <c r="AB491" s="58"/>
      <c r="AC491" s="58"/>
      <c r="AD491" s="58"/>
      <c r="AE491" s="138"/>
      <c r="AF491" s="136"/>
      <c r="AG491" s="136"/>
      <c r="AH491" s="136"/>
    </row>
    <row r="492" spans="1:34" s="132" customFormat="1" ht="12.75" customHeight="1" x14ac:dyDescent="0.25">
      <c r="A492" s="137"/>
      <c r="B492" s="139"/>
      <c r="C492" s="136"/>
      <c r="D492" s="131"/>
      <c r="E492" s="131"/>
      <c r="F492" s="58"/>
      <c r="G492" s="140"/>
      <c r="H492" s="140"/>
      <c r="I492" s="58"/>
      <c r="J492" s="58"/>
      <c r="K492" s="58"/>
      <c r="L492" s="58"/>
      <c r="M492" s="135"/>
      <c r="N492" s="135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35"/>
      <c r="Z492" s="58"/>
      <c r="AA492" s="58"/>
      <c r="AB492" s="58"/>
      <c r="AC492" s="58"/>
      <c r="AD492" s="58"/>
      <c r="AE492" s="138"/>
      <c r="AF492" s="136"/>
      <c r="AG492" s="136"/>
      <c r="AH492" s="136"/>
    </row>
    <row r="493" spans="1:34" s="132" customFormat="1" ht="12.75" customHeight="1" x14ac:dyDescent="0.25">
      <c r="A493" s="137"/>
      <c r="B493" s="139"/>
      <c r="C493" s="136"/>
      <c r="D493" s="131"/>
      <c r="E493" s="131"/>
      <c r="F493" s="58"/>
      <c r="G493" s="140"/>
      <c r="H493" s="140"/>
      <c r="I493" s="58"/>
      <c r="J493" s="58"/>
      <c r="K493" s="58"/>
      <c r="L493" s="58"/>
      <c r="M493" s="135"/>
      <c r="N493" s="135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35"/>
      <c r="Z493" s="58"/>
      <c r="AA493" s="58"/>
      <c r="AB493" s="58"/>
      <c r="AC493" s="58"/>
      <c r="AD493" s="58"/>
      <c r="AE493" s="138"/>
      <c r="AF493" s="136"/>
      <c r="AG493" s="136"/>
      <c r="AH493" s="136"/>
    </row>
    <row r="494" spans="1:34" s="132" customFormat="1" ht="12.75" customHeight="1" x14ac:dyDescent="0.25">
      <c r="A494" s="137"/>
      <c r="B494" s="139"/>
      <c r="C494" s="136"/>
      <c r="D494" s="131"/>
      <c r="E494" s="131"/>
      <c r="F494" s="58"/>
      <c r="G494" s="140"/>
      <c r="H494" s="140"/>
      <c r="I494" s="58"/>
      <c r="J494" s="58"/>
      <c r="K494" s="58"/>
      <c r="L494" s="58"/>
      <c r="M494" s="135"/>
      <c r="N494" s="135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35"/>
      <c r="Z494" s="58"/>
      <c r="AA494" s="58"/>
      <c r="AB494" s="58"/>
      <c r="AC494" s="58"/>
      <c r="AD494" s="58"/>
      <c r="AE494" s="138"/>
      <c r="AF494" s="136"/>
      <c r="AG494" s="136"/>
      <c r="AH494" s="136"/>
    </row>
    <row r="495" spans="1:34" s="132" customFormat="1" ht="12.75" customHeight="1" x14ac:dyDescent="0.25">
      <c r="A495" s="137"/>
      <c r="B495" s="139"/>
      <c r="C495" s="136"/>
      <c r="D495" s="131"/>
      <c r="E495" s="131"/>
      <c r="F495" s="58"/>
      <c r="G495" s="140"/>
      <c r="H495" s="140"/>
      <c r="I495" s="58"/>
      <c r="J495" s="58"/>
      <c r="K495" s="58"/>
      <c r="L495" s="58"/>
      <c r="M495" s="135"/>
      <c r="N495" s="135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35"/>
      <c r="Z495" s="58"/>
      <c r="AA495" s="58"/>
      <c r="AB495" s="58"/>
      <c r="AC495" s="58"/>
      <c r="AD495" s="58"/>
      <c r="AE495" s="138"/>
      <c r="AF495" s="136"/>
      <c r="AG495" s="136"/>
      <c r="AH495" s="136"/>
    </row>
    <row r="496" spans="1:34" s="132" customFormat="1" ht="12.75" customHeight="1" x14ac:dyDescent="0.25">
      <c r="A496" s="137"/>
      <c r="B496" s="139"/>
      <c r="C496" s="136"/>
      <c r="D496" s="131"/>
      <c r="E496" s="131"/>
      <c r="F496" s="58"/>
      <c r="G496" s="140"/>
      <c r="H496" s="140"/>
      <c r="I496" s="58"/>
      <c r="J496" s="58"/>
      <c r="K496" s="58"/>
      <c r="L496" s="58"/>
      <c r="M496" s="135"/>
      <c r="N496" s="135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35"/>
      <c r="Z496" s="58"/>
      <c r="AA496" s="58"/>
      <c r="AB496" s="58"/>
      <c r="AC496" s="58"/>
      <c r="AD496" s="58"/>
      <c r="AE496" s="138"/>
      <c r="AF496" s="136"/>
      <c r="AG496" s="136"/>
      <c r="AH496" s="136"/>
    </row>
    <row r="497" spans="1:34" s="132" customFormat="1" ht="12.75" customHeight="1" x14ac:dyDescent="0.25">
      <c r="A497" s="137"/>
      <c r="B497" s="139"/>
      <c r="C497" s="136"/>
      <c r="D497" s="131"/>
      <c r="E497" s="131"/>
      <c r="F497" s="58"/>
      <c r="G497" s="140"/>
      <c r="H497" s="140"/>
      <c r="I497" s="58"/>
      <c r="J497" s="58"/>
      <c r="K497" s="58"/>
      <c r="L497" s="58"/>
      <c r="M497" s="135"/>
      <c r="N497" s="135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35"/>
      <c r="Z497" s="58"/>
      <c r="AA497" s="58"/>
      <c r="AB497" s="58"/>
      <c r="AC497" s="58"/>
      <c r="AD497" s="58"/>
      <c r="AE497" s="138"/>
      <c r="AF497" s="136"/>
      <c r="AG497" s="136"/>
      <c r="AH497" s="136"/>
    </row>
    <row r="498" spans="1:34" s="132" customFormat="1" ht="12.75" customHeight="1" x14ac:dyDescent="0.25">
      <c r="A498" s="137"/>
      <c r="B498" s="139"/>
      <c r="C498" s="136"/>
      <c r="D498" s="131"/>
      <c r="E498" s="131"/>
      <c r="F498" s="58"/>
      <c r="G498" s="140"/>
      <c r="H498" s="140"/>
      <c r="I498" s="58"/>
      <c r="J498" s="58"/>
      <c r="K498" s="58"/>
      <c r="L498" s="58"/>
      <c r="M498" s="135"/>
      <c r="N498" s="135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35"/>
      <c r="Z498" s="58"/>
      <c r="AA498" s="58"/>
      <c r="AB498" s="58"/>
      <c r="AC498" s="58"/>
      <c r="AD498" s="58"/>
      <c r="AE498" s="138"/>
      <c r="AF498" s="136"/>
      <c r="AG498" s="136"/>
      <c r="AH498" s="136"/>
    </row>
    <row r="499" spans="1:34" s="132" customFormat="1" ht="12.75" customHeight="1" x14ac:dyDescent="0.25">
      <c r="A499" s="137"/>
      <c r="B499" s="139"/>
      <c r="C499" s="136"/>
      <c r="D499" s="131"/>
      <c r="E499" s="131"/>
      <c r="F499" s="58"/>
      <c r="G499" s="140"/>
      <c r="H499" s="140"/>
      <c r="I499" s="58"/>
      <c r="J499" s="58"/>
      <c r="K499" s="58"/>
      <c r="L499" s="58"/>
      <c r="M499" s="135"/>
      <c r="N499" s="135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35"/>
      <c r="Z499" s="58"/>
      <c r="AA499" s="58"/>
      <c r="AB499" s="58"/>
      <c r="AC499" s="58"/>
      <c r="AD499" s="58"/>
      <c r="AE499" s="138"/>
      <c r="AF499" s="136"/>
      <c r="AG499" s="136"/>
      <c r="AH499" s="136"/>
    </row>
    <row r="500" spans="1:34" s="132" customFormat="1" ht="12.75" customHeight="1" x14ac:dyDescent="0.25">
      <c r="A500" s="137"/>
      <c r="B500" s="139"/>
      <c r="C500" s="136"/>
      <c r="D500" s="131"/>
      <c r="E500" s="131"/>
      <c r="F500" s="58"/>
      <c r="G500" s="140"/>
      <c r="H500" s="140"/>
      <c r="I500" s="58"/>
      <c r="J500" s="58"/>
      <c r="K500" s="58"/>
      <c r="L500" s="58"/>
      <c r="M500" s="135"/>
      <c r="N500" s="135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35"/>
      <c r="Z500" s="58"/>
      <c r="AA500" s="58"/>
      <c r="AB500" s="58"/>
      <c r="AC500" s="58"/>
      <c r="AD500" s="58"/>
      <c r="AE500" s="138"/>
      <c r="AF500" s="136"/>
      <c r="AG500" s="136"/>
      <c r="AH500" s="136"/>
    </row>
    <row r="501" spans="1:34" s="132" customFormat="1" ht="12.75" customHeight="1" x14ac:dyDescent="0.25">
      <c r="A501" s="137"/>
      <c r="B501" s="139"/>
      <c r="C501" s="136"/>
      <c r="D501" s="131"/>
      <c r="E501" s="131"/>
      <c r="F501" s="58"/>
      <c r="G501" s="140"/>
      <c r="H501" s="140"/>
      <c r="I501" s="58"/>
      <c r="J501" s="58"/>
      <c r="K501" s="58"/>
      <c r="L501" s="58"/>
      <c r="M501" s="135"/>
      <c r="N501" s="135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35"/>
      <c r="Z501" s="58"/>
      <c r="AA501" s="58"/>
      <c r="AB501" s="58"/>
      <c r="AC501" s="58"/>
      <c r="AD501" s="58"/>
      <c r="AE501" s="138"/>
      <c r="AF501" s="136"/>
      <c r="AG501" s="136"/>
      <c r="AH501" s="136"/>
    </row>
    <row r="502" spans="1:34" s="132" customFormat="1" ht="12.75" customHeight="1" x14ac:dyDescent="0.25">
      <c r="A502" s="137"/>
      <c r="B502" s="139"/>
      <c r="C502" s="136"/>
      <c r="D502" s="131"/>
      <c r="E502" s="131"/>
      <c r="F502" s="58"/>
      <c r="G502" s="140"/>
      <c r="H502" s="140"/>
      <c r="I502" s="58"/>
      <c r="J502" s="58"/>
      <c r="K502" s="58"/>
      <c r="L502" s="58"/>
      <c r="M502" s="135"/>
      <c r="N502" s="135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35"/>
      <c r="Z502" s="58"/>
      <c r="AA502" s="58"/>
      <c r="AB502" s="58"/>
      <c r="AC502" s="58"/>
      <c r="AD502" s="58"/>
      <c r="AE502" s="138"/>
      <c r="AF502" s="136"/>
      <c r="AG502" s="136"/>
      <c r="AH502" s="136"/>
    </row>
    <row r="503" spans="1:34" s="132" customFormat="1" ht="12.75" customHeight="1" x14ac:dyDescent="0.25">
      <c r="A503" s="137"/>
      <c r="B503" s="139"/>
      <c r="C503" s="136"/>
      <c r="D503" s="131"/>
      <c r="E503" s="131"/>
      <c r="F503" s="58"/>
      <c r="G503" s="140"/>
      <c r="H503" s="140"/>
      <c r="I503" s="58"/>
      <c r="J503" s="58"/>
      <c r="K503" s="58"/>
      <c r="L503" s="58"/>
      <c r="M503" s="135"/>
      <c r="N503" s="135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35"/>
      <c r="Z503" s="58"/>
      <c r="AA503" s="58"/>
      <c r="AB503" s="58"/>
      <c r="AC503" s="58"/>
      <c r="AD503" s="58"/>
      <c r="AE503" s="138"/>
      <c r="AF503" s="136"/>
      <c r="AG503" s="136"/>
      <c r="AH503" s="136"/>
    </row>
    <row r="504" spans="1:34" s="132" customFormat="1" ht="12.75" customHeight="1" x14ac:dyDescent="0.25">
      <c r="A504" s="137"/>
      <c r="B504" s="139"/>
      <c r="C504" s="136"/>
      <c r="D504" s="131"/>
      <c r="E504" s="131"/>
      <c r="F504" s="58"/>
      <c r="G504" s="140"/>
      <c r="H504" s="140"/>
      <c r="I504" s="58"/>
      <c r="J504" s="58"/>
      <c r="K504" s="58"/>
      <c r="L504" s="58"/>
      <c r="M504" s="135"/>
      <c r="N504" s="135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35"/>
      <c r="Z504" s="58"/>
      <c r="AA504" s="58"/>
      <c r="AB504" s="58"/>
      <c r="AC504" s="58"/>
      <c r="AD504" s="58"/>
      <c r="AE504" s="138"/>
      <c r="AF504" s="136"/>
      <c r="AG504" s="136"/>
      <c r="AH504" s="136"/>
    </row>
    <row r="505" spans="1:34" s="132" customFormat="1" ht="12.75" customHeight="1" x14ac:dyDescent="0.25">
      <c r="A505" s="137"/>
      <c r="B505" s="139"/>
      <c r="C505" s="136"/>
      <c r="D505" s="131"/>
      <c r="E505" s="131"/>
      <c r="F505" s="58"/>
      <c r="G505" s="140"/>
      <c r="H505" s="140"/>
      <c r="I505" s="58"/>
      <c r="J505" s="58"/>
      <c r="K505" s="58"/>
      <c r="L505" s="58"/>
      <c r="M505" s="135"/>
      <c r="N505" s="135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35"/>
      <c r="Z505" s="58"/>
      <c r="AA505" s="58"/>
      <c r="AB505" s="58"/>
      <c r="AC505" s="58"/>
      <c r="AD505" s="58"/>
      <c r="AE505" s="138"/>
      <c r="AF505" s="136"/>
      <c r="AG505" s="136"/>
      <c r="AH505" s="136"/>
    </row>
    <row r="506" spans="1:34" s="132" customFormat="1" ht="12.75" customHeight="1" x14ac:dyDescent="0.25">
      <c r="A506" s="137"/>
      <c r="B506" s="139"/>
      <c r="C506" s="136"/>
      <c r="D506" s="131"/>
      <c r="E506" s="131"/>
      <c r="F506" s="58"/>
      <c r="G506" s="140"/>
      <c r="H506" s="140"/>
      <c r="I506" s="58"/>
      <c r="J506" s="58"/>
      <c r="K506" s="58"/>
      <c r="L506" s="58"/>
      <c r="M506" s="135"/>
      <c r="N506" s="135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35"/>
      <c r="Z506" s="58"/>
      <c r="AA506" s="58"/>
      <c r="AB506" s="58"/>
      <c r="AC506" s="58"/>
      <c r="AD506" s="58"/>
      <c r="AE506" s="138"/>
      <c r="AF506" s="136"/>
      <c r="AG506" s="136"/>
      <c r="AH506" s="136"/>
    </row>
    <row r="507" spans="1:34" s="132" customFormat="1" ht="12.75" customHeight="1" x14ac:dyDescent="0.25">
      <c r="A507" s="137"/>
      <c r="B507" s="139"/>
      <c r="C507" s="136"/>
      <c r="D507" s="131"/>
      <c r="E507" s="131"/>
      <c r="F507" s="58"/>
      <c r="G507" s="140"/>
      <c r="H507" s="140"/>
      <c r="I507" s="58"/>
      <c r="J507" s="58"/>
      <c r="K507" s="58"/>
      <c r="L507" s="58"/>
      <c r="M507" s="135"/>
      <c r="N507" s="135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35"/>
      <c r="Z507" s="58"/>
      <c r="AA507" s="58"/>
      <c r="AB507" s="58"/>
      <c r="AC507" s="58"/>
      <c r="AD507" s="58"/>
      <c r="AE507" s="138"/>
      <c r="AF507" s="136"/>
      <c r="AG507" s="136"/>
      <c r="AH507" s="136"/>
    </row>
    <row r="508" spans="1:34" s="132" customFormat="1" ht="12.75" customHeight="1" x14ac:dyDescent="0.25">
      <c r="A508" s="137"/>
      <c r="B508" s="139"/>
      <c r="C508" s="136"/>
      <c r="D508" s="131"/>
      <c r="E508" s="131"/>
      <c r="F508" s="58"/>
      <c r="G508" s="140"/>
      <c r="H508" s="140"/>
      <c r="I508" s="58"/>
      <c r="J508" s="58"/>
      <c r="K508" s="58"/>
      <c r="L508" s="58"/>
      <c r="M508" s="135"/>
      <c r="N508" s="135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35"/>
      <c r="Z508" s="58"/>
      <c r="AA508" s="58"/>
      <c r="AB508" s="58"/>
      <c r="AC508" s="58"/>
      <c r="AD508" s="58"/>
      <c r="AE508" s="138"/>
      <c r="AF508" s="136"/>
      <c r="AG508" s="136"/>
      <c r="AH508" s="136"/>
    </row>
    <row r="509" spans="1:34" s="132" customFormat="1" ht="12.75" customHeight="1" x14ac:dyDescent="0.25">
      <c r="A509" s="137"/>
      <c r="B509" s="139"/>
      <c r="C509" s="136"/>
      <c r="D509" s="131"/>
      <c r="E509" s="131"/>
      <c r="F509" s="58"/>
      <c r="G509" s="140"/>
      <c r="H509" s="140"/>
      <c r="I509" s="58"/>
      <c r="J509" s="58"/>
      <c r="K509" s="58"/>
      <c r="L509" s="58"/>
      <c r="M509" s="135"/>
      <c r="N509" s="135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35"/>
      <c r="Z509" s="58"/>
      <c r="AA509" s="58"/>
      <c r="AB509" s="58"/>
      <c r="AC509" s="58"/>
      <c r="AD509" s="58"/>
      <c r="AE509" s="138"/>
      <c r="AF509" s="136"/>
      <c r="AG509" s="136"/>
      <c r="AH509" s="136"/>
    </row>
    <row r="510" spans="1:34" s="132" customFormat="1" ht="12.75" customHeight="1" x14ac:dyDescent="0.25">
      <c r="A510" s="137"/>
      <c r="B510" s="139"/>
      <c r="C510" s="136"/>
      <c r="D510" s="131"/>
      <c r="E510" s="131"/>
      <c r="F510" s="58"/>
      <c r="G510" s="140"/>
      <c r="H510" s="140"/>
      <c r="I510" s="58"/>
      <c r="J510" s="58"/>
      <c r="K510" s="58"/>
      <c r="L510" s="58"/>
      <c r="M510" s="135"/>
      <c r="N510" s="135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35"/>
      <c r="Z510" s="58"/>
      <c r="AA510" s="58"/>
      <c r="AB510" s="58"/>
      <c r="AC510" s="58"/>
      <c r="AD510" s="58"/>
      <c r="AE510" s="138"/>
      <c r="AF510" s="136"/>
      <c r="AG510" s="136"/>
      <c r="AH510" s="136"/>
    </row>
    <row r="511" spans="1:34" s="132" customFormat="1" ht="12.75" customHeight="1" x14ac:dyDescent="0.25">
      <c r="A511" s="137"/>
      <c r="B511" s="139"/>
      <c r="C511" s="136"/>
      <c r="D511" s="131"/>
      <c r="E511" s="131"/>
      <c r="F511" s="58"/>
      <c r="G511" s="140"/>
      <c r="H511" s="140"/>
      <c r="I511" s="58"/>
      <c r="J511" s="58"/>
      <c r="K511" s="58"/>
      <c r="L511" s="58"/>
      <c r="M511" s="135"/>
      <c r="N511" s="135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35"/>
      <c r="Z511" s="58"/>
      <c r="AA511" s="58"/>
      <c r="AB511" s="58"/>
      <c r="AC511" s="58"/>
      <c r="AD511" s="58"/>
      <c r="AE511" s="138"/>
      <c r="AF511" s="136"/>
      <c r="AG511" s="136"/>
      <c r="AH511" s="136"/>
    </row>
    <row r="512" spans="1:34" s="132" customFormat="1" ht="12.75" customHeight="1" x14ac:dyDescent="0.25">
      <c r="A512" s="137"/>
      <c r="B512" s="139"/>
      <c r="C512" s="136"/>
      <c r="D512" s="131"/>
      <c r="E512" s="131"/>
      <c r="F512" s="58"/>
      <c r="G512" s="140"/>
      <c r="H512" s="140"/>
      <c r="I512" s="58"/>
      <c r="J512" s="58"/>
      <c r="K512" s="58"/>
      <c r="L512" s="58"/>
      <c r="M512" s="135"/>
      <c r="N512" s="135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35"/>
      <c r="Z512" s="58"/>
      <c r="AA512" s="58"/>
      <c r="AB512" s="58"/>
      <c r="AC512" s="58"/>
      <c r="AD512" s="58"/>
      <c r="AE512" s="138"/>
      <c r="AF512" s="136"/>
      <c r="AG512" s="136"/>
      <c r="AH512" s="136"/>
    </row>
    <row r="513" spans="1:34" s="132" customFormat="1" ht="12.75" customHeight="1" x14ac:dyDescent="0.25">
      <c r="A513" s="137"/>
      <c r="B513" s="139"/>
      <c r="C513" s="136"/>
      <c r="D513" s="131"/>
      <c r="E513" s="131"/>
      <c r="F513" s="58"/>
      <c r="G513" s="140"/>
      <c r="H513" s="140"/>
      <c r="I513" s="58"/>
      <c r="J513" s="58"/>
      <c r="K513" s="58"/>
      <c r="L513" s="58"/>
      <c r="M513" s="135"/>
      <c r="N513" s="135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35"/>
      <c r="Z513" s="58"/>
      <c r="AA513" s="58"/>
      <c r="AB513" s="58"/>
      <c r="AC513" s="58"/>
      <c r="AD513" s="58"/>
      <c r="AE513" s="138"/>
      <c r="AF513" s="136"/>
      <c r="AG513" s="136"/>
      <c r="AH513" s="136"/>
    </row>
    <row r="514" spans="1:34" s="132" customFormat="1" ht="12.75" customHeight="1" x14ac:dyDescent="0.25">
      <c r="A514" s="137"/>
      <c r="B514" s="139"/>
      <c r="C514" s="136"/>
      <c r="D514" s="131"/>
      <c r="E514" s="131"/>
      <c r="F514" s="58"/>
      <c r="G514" s="140"/>
      <c r="H514" s="140"/>
      <c r="I514" s="58"/>
      <c r="J514" s="58"/>
      <c r="K514" s="58"/>
      <c r="L514" s="58"/>
      <c r="M514" s="135"/>
      <c r="N514" s="135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35"/>
      <c r="Z514" s="58"/>
      <c r="AA514" s="58"/>
      <c r="AB514" s="58"/>
      <c r="AC514" s="58"/>
      <c r="AD514" s="58"/>
      <c r="AE514" s="138"/>
      <c r="AF514" s="136"/>
      <c r="AG514" s="136"/>
      <c r="AH514" s="136"/>
    </row>
    <row r="515" spans="1:34" s="132" customFormat="1" ht="12.75" customHeight="1" x14ac:dyDescent="0.25">
      <c r="A515" s="137"/>
      <c r="B515" s="139"/>
      <c r="C515" s="136"/>
      <c r="D515" s="131"/>
      <c r="E515" s="131"/>
      <c r="F515" s="58"/>
      <c r="G515" s="140"/>
      <c r="H515" s="140"/>
      <c r="I515" s="58"/>
      <c r="J515" s="58"/>
      <c r="K515" s="58"/>
      <c r="L515" s="58"/>
      <c r="M515" s="135"/>
      <c r="N515" s="135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35"/>
      <c r="Z515" s="58"/>
      <c r="AA515" s="58"/>
      <c r="AB515" s="58"/>
      <c r="AC515" s="58"/>
      <c r="AD515" s="58"/>
      <c r="AE515" s="138"/>
      <c r="AF515" s="136"/>
      <c r="AG515" s="136"/>
      <c r="AH515" s="136"/>
    </row>
    <row r="516" spans="1:34" s="132" customFormat="1" ht="12.75" customHeight="1" x14ac:dyDescent="0.25">
      <c r="A516" s="137"/>
      <c r="B516" s="139"/>
      <c r="C516" s="136"/>
      <c r="D516" s="131"/>
      <c r="E516" s="131"/>
      <c r="F516" s="58"/>
      <c r="G516" s="140"/>
      <c r="H516" s="140"/>
      <c r="I516" s="58"/>
      <c r="J516" s="58"/>
      <c r="K516" s="58"/>
      <c r="L516" s="58"/>
      <c r="M516" s="135"/>
      <c r="N516" s="135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35"/>
      <c r="Z516" s="58"/>
      <c r="AA516" s="58"/>
      <c r="AB516" s="58"/>
      <c r="AC516" s="58"/>
      <c r="AD516" s="58"/>
      <c r="AE516" s="138"/>
      <c r="AF516" s="136"/>
      <c r="AG516" s="136"/>
      <c r="AH516" s="136"/>
    </row>
    <row r="517" spans="1:34" s="132" customFormat="1" ht="12.75" customHeight="1" x14ac:dyDescent="0.25">
      <c r="A517" s="137"/>
      <c r="B517" s="139"/>
      <c r="C517" s="136"/>
      <c r="D517" s="131"/>
      <c r="E517" s="131"/>
      <c r="F517" s="58"/>
      <c r="G517" s="140"/>
      <c r="H517" s="140"/>
      <c r="I517" s="58"/>
      <c r="J517" s="58"/>
      <c r="K517" s="58"/>
      <c r="L517" s="58"/>
      <c r="M517" s="135"/>
      <c r="N517" s="135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35"/>
      <c r="Z517" s="58"/>
      <c r="AA517" s="58"/>
      <c r="AB517" s="58"/>
      <c r="AC517" s="58"/>
      <c r="AD517" s="58"/>
      <c r="AE517" s="138"/>
      <c r="AF517" s="136"/>
      <c r="AG517" s="136"/>
      <c r="AH517" s="136"/>
    </row>
    <row r="518" spans="1:34" s="132" customFormat="1" ht="12.75" customHeight="1" x14ac:dyDescent="0.25">
      <c r="A518" s="137"/>
      <c r="B518" s="139"/>
      <c r="C518" s="136"/>
      <c r="D518" s="131"/>
      <c r="E518" s="131"/>
      <c r="F518" s="58"/>
      <c r="G518" s="140"/>
      <c r="H518" s="140"/>
      <c r="I518" s="58"/>
      <c r="J518" s="58"/>
      <c r="K518" s="58"/>
      <c r="L518" s="58"/>
      <c r="M518" s="135"/>
      <c r="N518" s="135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35"/>
      <c r="Z518" s="58"/>
      <c r="AA518" s="58"/>
      <c r="AB518" s="58"/>
      <c r="AC518" s="58"/>
      <c r="AD518" s="58"/>
      <c r="AE518" s="138"/>
      <c r="AF518" s="136"/>
      <c r="AG518" s="136"/>
      <c r="AH518" s="136"/>
    </row>
    <row r="519" spans="1:34" s="132" customFormat="1" ht="12.75" customHeight="1" x14ac:dyDescent="0.25">
      <c r="A519" s="137"/>
      <c r="B519" s="139"/>
      <c r="C519" s="136"/>
      <c r="D519" s="131"/>
      <c r="E519" s="131"/>
      <c r="F519" s="58"/>
      <c r="G519" s="140"/>
      <c r="H519" s="140"/>
      <c r="I519" s="58"/>
      <c r="J519" s="58"/>
      <c r="K519" s="58"/>
      <c r="L519" s="58"/>
      <c r="M519" s="135"/>
      <c r="N519" s="135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35"/>
      <c r="Z519" s="58"/>
      <c r="AA519" s="58"/>
      <c r="AB519" s="58"/>
      <c r="AC519" s="58"/>
      <c r="AD519" s="58"/>
      <c r="AE519" s="138"/>
      <c r="AF519" s="136"/>
      <c r="AG519" s="136"/>
      <c r="AH519" s="136"/>
    </row>
    <row r="520" spans="1:34" s="132" customFormat="1" ht="12.75" customHeight="1" x14ac:dyDescent="0.25">
      <c r="A520" s="137"/>
      <c r="B520" s="139"/>
      <c r="C520" s="136"/>
      <c r="D520" s="131"/>
      <c r="E520" s="131"/>
      <c r="F520" s="58"/>
      <c r="G520" s="140"/>
      <c r="H520" s="140"/>
      <c r="I520" s="58"/>
      <c r="J520" s="58"/>
      <c r="K520" s="58"/>
      <c r="L520" s="58"/>
      <c r="M520" s="135"/>
      <c r="N520" s="135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35"/>
      <c r="Z520" s="58"/>
      <c r="AA520" s="58"/>
      <c r="AB520" s="58"/>
      <c r="AC520" s="58"/>
      <c r="AD520" s="58"/>
      <c r="AE520" s="138"/>
      <c r="AF520" s="136"/>
      <c r="AG520" s="136"/>
      <c r="AH520" s="136"/>
    </row>
    <row r="521" spans="1:34" s="132" customFormat="1" ht="12.75" customHeight="1" x14ac:dyDescent="0.25">
      <c r="A521" s="137"/>
      <c r="B521" s="139"/>
      <c r="C521" s="136"/>
      <c r="D521" s="131"/>
      <c r="E521" s="131"/>
      <c r="F521" s="58"/>
      <c r="G521" s="140"/>
      <c r="H521" s="140"/>
      <c r="I521" s="58"/>
      <c r="J521" s="58"/>
      <c r="K521" s="58"/>
      <c r="L521" s="58"/>
      <c r="M521" s="135"/>
      <c r="N521" s="135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35"/>
      <c r="Z521" s="58"/>
      <c r="AA521" s="58"/>
      <c r="AB521" s="58"/>
      <c r="AC521" s="58"/>
      <c r="AD521" s="58"/>
      <c r="AE521" s="138"/>
      <c r="AF521" s="136"/>
      <c r="AG521" s="136"/>
      <c r="AH521" s="136"/>
    </row>
    <row r="522" spans="1:34" s="132" customFormat="1" ht="12.75" customHeight="1" x14ac:dyDescent="0.25">
      <c r="A522" s="137"/>
      <c r="B522" s="139"/>
      <c r="C522" s="136"/>
      <c r="D522" s="131"/>
      <c r="E522" s="131"/>
      <c r="F522" s="58"/>
      <c r="G522" s="140"/>
      <c r="H522" s="140"/>
      <c r="I522" s="58"/>
      <c r="J522" s="58"/>
      <c r="K522" s="58"/>
      <c r="L522" s="58"/>
      <c r="M522" s="135"/>
      <c r="N522" s="135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35"/>
      <c r="Z522" s="58"/>
      <c r="AA522" s="58"/>
      <c r="AB522" s="58"/>
      <c r="AC522" s="58"/>
      <c r="AD522" s="58"/>
      <c r="AE522" s="138"/>
      <c r="AF522" s="136"/>
      <c r="AG522" s="136"/>
      <c r="AH522" s="136"/>
    </row>
    <row r="523" spans="1:34" s="132" customFormat="1" ht="12.75" customHeight="1" x14ac:dyDescent="0.25">
      <c r="A523" s="137"/>
      <c r="B523" s="139"/>
      <c r="C523" s="136"/>
      <c r="D523" s="131"/>
      <c r="E523" s="131"/>
      <c r="F523" s="58"/>
      <c r="G523" s="140"/>
      <c r="H523" s="140"/>
      <c r="I523" s="58"/>
      <c r="J523" s="58"/>
      <c r="K523" s="58"/>
      <c r="L523" s="58"/>
      <c r="M523" s="135"/>
      <c r="N523" s="135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35"/>
      <c r="Z523" s="58"/>
      <c r="AA523" s="58"/>
      <c r="AB523" s="58"/>
      <c r="AC523" s="58"/>
      <c r="AD523" s="58"/>
      <c r="AE523" s="138"/>
      <c r="AF523" s="136"/>
      <c r="AG523" s="136"/>
      <c r="AH523" s="136"/>
    </row>
    <row r="524" spans="1:34" s="132" customFormat="1" ht="12.75" customHeight="1" x14ac:dyDescent="0.25">
      <c r="A524" s="137"/>
      <c r="B524" s="139"/>
      <c r="C524" s="136"/>
      <c r="D524" s="131"/>
      <c r="E524" s="131"/>
      <c r="F524" s="58"/>
      <c r="G524" s="140"/>
      <c r="H524" s="140"/>
      <c r="I524" s="58"/>
      <c r="J524" s="58"/>
      <c r="K524" s="58"/>
      <c r="L524" s="58"/>
      <c r="M524" s="135"/>
      <c r="N524" s="135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35"/>
      <c r="Z524" s="58"/>
      <c r="AA524" s="58"/>
      <c r="AB524" s="58"/>
      <c r="AC524" s="58"/>
      <c r="AD524" s="58"/>
      <c r="AE524" s="138"/>
      <c r="AF524" s="136"/>
      <c r="AG524" s="136"/>
      <c r="AH524" s="136"/>
    </row>
    <row r="525" spans="1:34" s="132" customFormat="1" ht="12.75" customHeight="1" x14ac:dyDescent="0.25">
      <c r="A525" s="137"/>
      <c r="B525" s="139"/>
      <c r="C525" s="136"/>
      <c r="D525" s="131"/>
      <c r="E525" s="131"/>
      <c r="F525" s="58"/>
      <c r="G525" s="140"/>
      <c r="H525" s="140"/>
      <c r="I525" s="58"/>
      <c r="J525" s="58"/>
      <c r="K525" s="58"/>
      <c r="L525" s="58"/>
      <c r="M525" s="135"/>
      <c r="N525" s="135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35"/>
      <c r="Z525" s="58"/>
      <c r="AA525" s="58"/>
      <c r="AB525" s="58"/>
      <c r="AC525" s="58"/>
      <c r="AD525" s="58"/>
      <c r="AE525" s="138"/>
      <c r="AF525" s="136"/>
      <c r="AG525" s="136"/>
      <c r="AH525" s="136"/>
    </row>
    <row r="526" spans="1:34" s="132" customFormat="1" ht="12.75" customHeight="1" x14ac:dyDescent="0.25">
      <c r="A526" s="137"/>
      <c r="B526" s="139"/>
      <c r="C526" s="136"/>
      <c r="D526" s="131"/>
      <c r="E526" s="131"/>
      <c r="F526" s="58"/>
      <c r="G526" s="140"/>
      <c r="H526" s="140"/>
      <c r="I526" s="58"/>
      <c r="J526" s="58"/>
      <c r="K526" s="58"/>
      <c r="L526" s="58"/>
      <c r="M526" s="135"/>
      <c r="N526" s="135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35"/>
      <c r="Z526" s="58"/>
      <c r="AA526" s="58"/>
      <c r="AB526" s="58"/>
      <c r="AC526" s="58"/>
      <c r="AD526" s="58"/>
      <c r="AE526" s="138"/>
      <c r="AF526" s="136"/>
      <c r="AG526" s="136"/>
      <c r="AH526" s="136"/>
    </row>
    <row r="527" spans="1:34" s="132" customFormat="1" ht="12.75" customHeight="1" x14ac:dyDescent="0.25">
      <c r="A527" s="137"/>
      <c r="B527" s="139"/>
      <c r="C527" s="136"/>
      <c r="D527" s="131"/>
      <c r="E527" s="131"/>
      <c r="F527" s="58"/>
      <c r="G527" s="140"/>
      <c r="H527" s="140"/>
      <c r="I527" s="58"/>
      <c r="J527" s="58"/>
      <c r="K527" s="58"/>
      <c r="L527" s="58"/>
      <c r="M527" s="135"/>
      <c r="N527" s="135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35"/>
      <c r="Z527" s="58"/>
      <c r="AA527" s="58"/>
      <c r="AB527" s="58"/>
      <c r="AC527" s="58"/>
      <c r="AD527" s="58"/>
      <c r="AE527" s="138"/>
      <c r="AF527" s="136"/>
      <c r="AG527" s="136"/>
      <c r="AH527" s="136"/>
    </row>
    <row r="528" spans="1:34" s="132" customFormat="1" ht="12.75" customHeight="1" x14ac:dyDescent="0.25">
      <c r="A528" s="137"/>
      <c r="B528" s="139"/>
      <c r="C528" s="136"/>
      <c r="D528" s="131"/>
      <c r="E528" s="131"/>
      <c r="F528" s="58"/>
      <c r="G528" s="140"/>
      <c r="H528" s="140"/>
      <c r="I528" s="58"/>
      <c r="J528" s="58"/>
      <c r="K528" s="58"/>
      <c r="L528" s="58"/>
      <c r="M528" s="135"/>
      <c r="N528" s="135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35"/>
      <c r="Z528" s="58"/>
      <c r="AA528" s="58"/>
      <c r="AB528" s="58"/>
      <c r="AC528" s="58"/>
      <c r="AD528" s="58"/>
      <c r="AE528" s="138"/>
      <c r="AF528" s="136"/>
      <c r="AG528" s="136"/>
      <c r="AH528" s="136"/>
    </row>
    <row r="529" spans="1:34" s="132" customFormat="1" ht="12.75" customHeight="1" x14ac:dyDescent="0.25">
      <c r="A529" s="137"/>
      <c r="B529" s="139"/>
      <c r="C529" s="136"/>
      <c r="D529" s="131"/>
      <c r="E529" s="131"/>
      <c r="F529" s="58"/>
      <c r="G529" s="140"/>
      <c r="H529" s="140"/>
      <c r="I529" s="58"/>
      <c r="J529" s="58"/>
      <c r="K529" s="58"/>
      <c r="L529" s="58"/>
      <c r="M529" s="135"/>
      <c r="N529" s="135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35"/>
      <c r="Z529" s="58"/>
      <c r="AA529" s="58"/>
      <c r="AB529" s="58"/>
      <c r="AC529" s="58"/>
      <c r="AD529" s="58"/>
      <c r="AE529" s="138"/>
      <c r="AF529" s="136"/>
      <c r="AG529" s="136"/>
      <c r="AH529" s="136"/>
    </row>
    <row r="530" spans="1:34" s="132" customFormat="1" ht="12.75" customHeight="1" x14ac:dyDescent="0.25">
      <c r="A530" s="137"/>
      <c r="B530" s="139"/>
      <c r="C530" s="136"/>
      <c r="D530" s="131"/>
      <c r="E530" s="131"/>
      <c r="F530" s="58"/>
      <c r="G530" s="140"/>
      <c r="H530" s="140"/>
      <c r="I530" s="58"/>
      <c r="J530" s="58"/>
      <c r="K530" s="58"/>
      <c r="L530" s="58"/>
      <c r="M530" s="135"/>
      <c r="N530" s="135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35"/>
      <c r="Z530" s="58"/>
      <c r="AA530" s="58"/>
      <c r="AB530" s="58"/>
      <c r="AC530" s="58"/>
      <c r="AD530" s="58"/>
      <c r="AE530" s="138"/>
      <c r="AF530" s="136"/>
      <c r="AG530" s="136"/>
      <c r="AH530" s="136"/>
    </row>
    <row r="531" spans="1:34" s="132" customFormat="1" ht="12.75" customHeight="1" x14ac:dyDescent="0.25">
      <c r="A531" s="137"/>
      <c r="B531" s="139"/>
      <c r="C531" s="136"/>
      <c r="D531" s="131"/>
      <c r="E531" s="131"/>
      <c r="F531" s="58"/>
      <c r="G531" s="140"/>
      <c r="H531" s="140"/>
      <c r="I531" s="58"/>
      <c r="J531" s="58"/>
      <c r="K531" s="58"/>
      <c r="L531" s="58"/>
      <c r="M531" s="135"/>
      <c r="N531" s="135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35"/>
      <c r="Z531" s="58"/>
      <c r="AA531" s="58"/>
      <c r="AB531" s="58"/>
      <c r="AC531" s="58"/>
      <c r="AD531" s="58"/>
      <c r="AE531" s="138"/>
      <c r="AF531" s="136"/>
      <c r="AG531" s="136"/>
      <c r="AH531" s="136"/>
    </row>
    <row r="532" spans="1:34" s="132" customFormat="1" ht="12.75" customHeight="1" x14ac:dyDescent="0.25">
      <c r="A532" s="137"/>
      <c r="B532" s="139"/>
      <c r="C532" s="136"/>
      <c r="D532" s="131"/>
      <c r="E532" s="131"/>
      <c r="F532" s="58"/>
      <c r="G532" s="140"/>
      <c r="H532" s="140"/>
      <c r="I532" s="58"/>
      <c r="J532" s="58"/>
      <c r="K532" s="58"/>
      <c r="L532" s="58"/>
      <c r="M532" s="135"/>
      <c r="N532" s="135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35"/>
      <c r="Z532" s="58"/>
      <c r="AA532" s="58"/>
      <c r="AB532" s="58"/>
      <c r="AC532" s="58"/>
      <c r="AD532" s="58"/>
      <c r="AE532" s="138"/>
      <c r="AF532" s="136"/>
      <c r="AG532" s="136"/>
      <c r="AH532" s="136"/>
    </row>
    <row r="533" spans="1:34" s="132" customFormat="1" ht="12.75" customHeight="1" x14ac:dyDescent="0.25">
      <c r="A533" s="137"/>
      <c r="B533" s="139"/>
      <c r="C533" s="136"/>
      <c r="D533" s="131"/>
      <c r="E533" s="131"/>
      <c r="F533" s="58"/>
      <c r="G533" s="140"/>
      <c r="H533" s="140"/>
      <c r="I533" s="58"/>
      <c r="J533" s="58"/>
      <c r="K533" s="58"/>
      <c r="L533" s="58"/>
      <c r="M533" s="135"/>
      <c r="N533" s="135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35"/>
      <c r="Z533" s="58"/>
      <c r="AA533" s="58"/>
      <c r="AB533" s="58"/>
      <c r="AC533" s="58"/>
      <c r="AD533" s="58"/>
      <c r="AE533" s="138"/>
      <c r="AF533" s="136"/>
      <c r="AG533" s="136"/>
      <c r="AH533" s="136"/>
    </row>
    <row r="534" spans="1:34" s="132" customFormat="1" ht="12.75" customHeight="1" x14ac:dyDescent="0.25">
      <c r="A534" s="137"/>
      <c r="B534" s="139"/>
      <c r="C534" s="136"/>
      <c r="D534" s="131"/>
      <c r="E534" s="131"/>
      <c r="F534" s="58"/>
      <c r="G534" s="140"/>
      <c r="H534" s="140"/>
      <c r="I534" s="58"/>
      <c r="J534" s="58"/>
      <c r="K534" s="58"/>
      <c r="L534" s="58"/>
      <c r="M534" s="135"/>
      <c r="N534" s="135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35"/>
      <c r="Z534" s="58"/>
      <c r="AA534" s="58"/>
      <c r="AB534" s="58"/>
      <c r="AC534" s="58"/>
      <c r="AD534" s="58"/>
      <c r="AE534" s="138"/>
      <c r="AF534" s="136"/>
      <c r="AG534" s="136"/>
      <c r="AH534" s="136"/>
    </row>
    <row r="535" spans="1:34" s="132" customFormat="1" ht="12.75" customHeight="1" x14ac:dyDescent="0.25">
      <c r="A535" s="137"/>
      <c r="B535" s="139"/>
      <c r="C535" s="136"/>
      <c r="D535" s="131"/>
      <c r="E535" s="131"/>
      <c r="F535" s="58"/>
      <c r="G535" s="140"/>
      <c r="H535" s="140"/>
      <c r="I535" s="58"/>
      <c r="J535" s="58"/>
      <c r="K535" s="58"/>
      <c r="L535" s="58"/>
      <c r="M535" s="135"/>
      <c r="N535" s="135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35"/>
      <c r="Z535" s="58"/>
      <c r="AA535" s="58"/>
      <c r="AB535" s="58"/>
      <c r="AC535" s="58"/>
      <c r="AD535" s="58"/>
      <c r="AE535" s="138"/>
      <c r="AF535" s="136"/>
      <c r="AG535" s="136"/>
      <c r="AH535" s="136"/>
    </row>
    <row r="536" spans="1:34" s="132" customFormat="1" ht="12.75" customHeight="1" x14ac:dyDescent="0.25">
      <c r="A536" s="137"/>
      <c r="B536" s="139"/>
      <c r="C536" s="136"/>
      <c r="D536" s="131"/>
      <c r="E536" s="131"/>
      <c r="F536" s="58"/>
      <c r="G536" s="140"/>
      <c r="H536" s="140"/>
      <c r="I536" s="58"/>
      <c r="J536" s="58"/>
      <c r="K536" s="58"/>
      <c r="L536" s="58"/>
      <c r="M536" s="135"/>
      <c r="N536" s="135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35"/>
      <c r="Z536" s="58"/>
      <c r="AA536" s="58"/>
      <c r="AB536" s="58"/>
      <c r="AC536" s="58"/>
      <c r="AD536" s="58"/>
      <c r="AE536" s="138"/>
      <c r="AF536" s="136"/>
      <c r="AG536" s="136"/>
      <c r="AH536" s="136"/>
    </row>
    <row r="537" spans="1:34" s="132" customFormat="1" ht="12.75" customHeight="1" x14ac:dyDescent="0.25">
      <c r="A537" s="137"/>
      <c r="B537" s="139"/>
      <c r="C537" s="136"/>
      <c r="D537" s="131"/>
      <c r="E537" s="131"/>
      <c r="F537" s="58"/>
      <c r="G537" s="140"/>
      <c r="H537" s="140"/>
      <c r="I537" s="58"/>
      <c r="J537" s="58"/>
      <c r="K537" s="58"/>
      <c r="L537" s="58"/>
      <c r="M537" s="135"/>
      <c r="N537" s="135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35"/>
      <c r="Z537" s="58"/>
      <c r="AA537" s="58"/>
      <c r="AB537" s="58"/>
      <c r="AC537" s="58"/>
      <c r="AD537" s="58"/>
      <c r="AE537" s="138"/>
      <c r="AF537" s="136"/>
      <c r="AG537" s="136"/>
      <c r="AH537" s="136"/>
    </row>
    <row r="538" spans="1:34" s="132" customFormat="1" ht="12.75" customHeight="1" x14ac:dyDescent="0.25">
      <c r="A538" s="137"/>
      <c r="B538" s="139"/>
      <c r="C538" s="136"/>
      <c r="D538" s="131"/>
      <c r="E538" s="131"/>
      <c r="F538" s="58"/>
      <c r="G538" s="140"/>
      <c r="H538" s="140"/>
      <c r="I538" s="58"/>
      <c r="J538" s="58"/>
      <c r="K538" s="58"/>
      <c r="L538" s="58"/>
      <c r="M538" s="135"/>
      <c r="N538" s="135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35"/>
      <c r="Z538" s="58"/>
      <c r="AA538" s="58"/>
      <c r="AB538" s="58"/>
      <c r="AC538" s="58"/>
      <c r="AD538" s="58"/>
      <c r="AE538" s="138"/>
      <c r="AF538" s="136"/>
      <c r="AG538" s="136"/>
      <c r="AH538" s="136"/>
    </row>
    <row r="539" spans="1:34" s="132" customFormat="1" ht="12.75" customHeight="1" x14ac:dyDescent="0.25">
      <c r="A539" s="137"/>
      <c r="B539" s="139"/>
      <c r="C539" s="136"/>
      <c r="D539" s="131"/>
      <c r="E539" s="131"/>
      <c r="F539" s="58"/>
      <c r="G539" s="140"/>
      <c r="H539" s="140"/>
      <c r="I539" s="58"/>
      <c r="J539" s="58"/>
      <c r="K539" s="58"/>
      <c r="L539" s="58"/>
      <c r="M539" s="135"/>
      <c r="N539" s="135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35"/>
      <c r="Z539" s="58"/>
      <c r="AA539" s="58"/>
      <c r="AB539" s="58"/>
      <c r="AC539" s="58"/>
      <c r="AD539" s="58"/>
      <c r="AE539" s="138"/>
      <c r="AF539" s="136"/>
      <c r="AG539" s="136"/>
      <c r="AH539" s="136"/>
    </row>
    <row r="540" spans="1:34" s="132" customFormat="1" ht="12.75" customHeight="1" x14ac:dyDescent="0.25">
      <c r="A540" s="137"/>
      <c r="B540" s="139"/>
      <c r="C540" s="136"/>
      <c r="D540" s="131"/>
      <c r="E540" s="131"/>
      <c r="F540" s="58"/>
      <c r="G540" s="140"/>
      <c r="H540" s="140"/>
      <c r="I540" s="58"/>
      <c r="J540" s="58"/>
      <c r="K540" s="58"/>
      <c r="L540" s="58"/>
      <c r="M540" s="135"/>
      <c r="N540" s="135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35"/>
      <c r="Z540" s="58"/>
      <c r="AA540" s="58"/>
      <c r="AB540" s="58"/>
      <c r="AC540" s="58"/>
      <c r="AD540" s="58"/>
      <c r="AE540" s="138"/>
      <c r="AF540" s="136"/>
      <c r="AG540" s="136"/>
      <c r="AH540" s="136"/>
    </row>
    <row r="541" spans="1:34" s="132" customFormat="1" ht="12.75" customHeight="1" x14ac:dyDescent="0.25">
      <c r="A541" s="137"/>
      <c r="B541" s="139"/>
      <c r="C541" s="136"/>
      <c r="D541" s="131"/>
      <c r="E541" s="131"/>
      <c r="F541" s="58"/>
      <c r="G541" s="140"/>
      <c r="H541" s="140"/>
      <c r="I541" s="58"/>
      <c r="J541" s="58"/>
      <c r="K541" s="58"/>
      <c r="L541" s="58"/>
      <c r="M541" s="135"/>
      <c r="N541" s="135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35"/>
      <c r="Z541" s="58"/>
      <c r="AA541" s="58"/>
      <c r="AB541" s="58"/>
      <c r="AC541" s="58"/>
      <c r="AD541" s="58"/>
      <c r="AE541" s="138"/>
      <c r="AF541" s="136"/>
      <c r="AG541" s="136"/>
      <c r="AH541" s="136"/>
    </row>
    <row r="542" spans="1:34" s="132" customFormat="1" ht="12.75" customHeight="1" x14ac:dyDescent="0.25">
      <c r="A542" s="137"/>
      <c r="B542" s="139"/>
      <c r="C542" s="136"/>
      <c r="D542" s="131"/>
      <c r="E542" s="131"/>
      <c r="F542" s="58"/>
      <c r="G542" s="140"/>
      <c r="H542" s="140"/>
      <c r="I542" s="58"/>
      <c r="J542" s="58"/>
      <c r="K542" s="58"/>
      <c r="L542" s="58"/>
      <c r="M542" s="135"/>
      <c r="N542" s="135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35"/>
      <c r="Z542" s="58"/>
      <c r="AA542" s="58"/>
      <c r="AB542" s="58"/>
      <c r="AC542" s="58"/>
      <c r="AD542" s="58"/>
      <c r="AE542" s="138"/>
      <c r="AF542" s="136"/>
      <c r="AG542" s="136"/>
      <c r="AH542" s="136"/>
    </row>
    <row r="543" spans="1:34" s="132" customFormat="1" ht="12.75" customHeight="1" x14ac:dyDescent="0.25">
      <c r="A543" s="137"/>
      <c r="B543" s="139"/>
      <c r="C543" s="136"/>
      <c r="D543" s="131"/>
      <c r="E543" s="131"/>
      <c r="F543" s="58"/>
      <c r="G543" s="140"/>
      <c r="H543" s="140"/>
      <c r="I543" s="58"/>
      <c r="J543" s="58"/>
      <c r="K543" s="58"/>
      <c r="L543" s="58"/>
      <c r="M543" s="135"/>
      <c r="N543" s="135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35"/>
      <c r="Z543" s="58"/>
      <c r="AA543" s="58"/>
      <c r="AB543" s="58"/>
      <c r="AC543" s="58"/>
      <c r="AD543" s="58"/>
      <c r="AE543" s="138"/>
      <c r="AF543" s="136"/>
      <c r="AG543" s="136"/>
      <c r="AH543" s="136"/>
    </row>
    <row r="544" spans="1:34" s="132" customFormat="1" ht="12.75" customHeight="1" x14ac:dyDescent="0.25">
      <c r="A544" s="137"/>
      <c r="B544" s="139"/>
      <c r="C544" s="136"/>
      <c r="D544" s="131"/>
      <c r="E544" s="131"/>
      <c r="F544" s="58"/>
      <c r="G544" s="140"/>
      <c r="H544" s="140"/>
      <c r="I544" s="58"/>
      <c r="J544" s="58"/>
      <c r="K544" s="58"/>
      <c r="L544" s="58"/>
      <c r="M544" s="135"/>
      <c r="N544" s="135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35"/>
      <c r="Z544" s="58"/>
      <c r="AA544" s="58"/>
      <c r="AB544" s="58"/>
      <c r="AC544" s="58"/>
      <c r="AD544" s="58"/>
      <c r="AE544" s="138"/>
      <c r="AF544" s="136"/>
      <c r="AG544" s="136"/>
      <c r="AH544" s="136"/>
    </row>
    <row r="545" spans="1:34" s="132" customFormat="1" ht="12.75" customHeight="1" x14ac:dyDescent="0.25">
      <c r="A545" s="137"/>
      <c r="B545" s="139"/>
      <c r="C545" s="136"/>
      <c r="D545" s="131"/>
      <c r="E545" s="131"/>
      <c r="F545" s="58"/>
      <c r="G545" s="140"/>
      <c r="H545" s="140"/>
      <c r="I545" s="58"/>
      <c r="J545" s="58"/>
      <c r="K545" s="58"/>
      <c r="L545" s="58"/>
      <c r="M545" s="135"/>
      <c r="N545" s="135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35"/>
      <c r="Z545" s="58"/>
      <c r="AA545" s="58"/>
      <c r="AB545" s="58"/>
      <c r="AC545" s="58"/>
      <c r="AD545" s="58"/>
      <c r="AE545" s="138"/>
      <c r="AF545" s="136"/>
      <c r="AG545" s="136"/>
      <c r="AH545" s="136"/>
    </row>
    <row r="546" spans="1:34" s="132" customFormat="1" ht="12.75" customHeight="1" x14ac:dyDescent="0.25">
      <c r="A546" s="137"/>
      <c r="B546" s="139"/>
      <c r="C546" s="136"/>
      <c r="D546" s="131"/>
      <c r="E546" s="131"/>
      <c r="F546" s="58"/>
      <c r="G546" s="140"/>
      <c r="H546" s="140"/>
      <c r="I546" s="58"/>
      <c r="J546" s="58"/>
      <c r="K546" s="58"/>
      <c r="L546" s="58"/>
      <c r="M546" s="135"/>
      <c r="N546" s="135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35"/>
      <c r="Z546" s="58"/>
      <c r="AA546" s="58"/>
      <c r="AB546" s="58"/>
      <c r="AC546" s="58"/>
      <c r="AD546" s="58"/>
      <c r="AE546" s="138"/>
      <c r="AF546" s="136"/>
      <c r="AG546" s="136"/>
      <c r="AH546" s="136"/>
    </row>
    <row r="547" spans="1:34" s="132" customFormat="1" ht="12.75" customHeight="1" x14ac:dyDescent="0.25">
      <c r="A547" s="137"/>
      <c r="B547" s="139"/>
      <c r="C547" s="136"/>
      <c r="D547" s="131"/>
      <c r="E547" s="131"/>
      <c r="F547" s="58"/>
      <c r="G547" s="140"/>
      <c r="H547" s="140"/>
      <c r="I547" s="58"/>
      <c r="J547" s="58"/>
      <c r="K547" s="58"/>
      <c r="L547" s="58"/>
      <c r="M547" s="135"/>
      <c r="N547" s="135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35"/>
      <c r="Z547" s="58"/>
      <c r="AA547" s="58"/>
      <c r="AB547" s="58"/>
      <c r="AC547" s="58"/>
      <c r="AD547" s="58"/>
      <c r="AE547" s="138"/>
      <c r="AF547" s="136"/>
      <c r="AG547" s="136"/>
      <c r="AH547" s="136"/>
    </row>
    <row r="548" spans="1:34" s="132" customFormat="1" ht="12.75" customHeight="1" x14ac:dyDescent="0.25">
      <c r="A548" s="137"/>
      <c r="B548" s="139"/>
      <c r="C548" s="136"/>
      <c r="D548" s="131"/>
      <c r="E548" s="131"/>
      <c r="F548" s="58"/>
      <c r="G548" s="140"/>
      <c r="H548" s="140"/>
      <c r="I548" s="58"/>
      <c r="J548" s="58"/>
      <c r="K548" s="58"/>
      <c r="L548" s="58"/>
      <c r="M548" s="135"/>
      <c r="N548" s="135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35"/>
      <c r="Z548" s="58"/>
      <c r="AA548" s="58"/>
      <c r="AB548" s="58"/>
      <c r="AC548" s="58"/>
      <c r="AD548" s="58"/>
      <c r="AE548" s="138"/>
      <c r="AF548" s="136"/>
      <c r="AG548" s="136"/>
      <c r="AH548" s="136"/>
    </row>
    <row r="549" spans="1:34" s="132" customFormat="1" ht="12.75" customHeight="1" x14ac:dyDescent="0.25">
      <c r="A549" s="137"/>
      <c r="B549" s="139"/>
      <c r="C549" s="136"/>
      <c r="D549" s="131"/>
      <c r="E549" s="131"/>
      <c r="F549" s="58"/>
      <c r="G549" s="140"/>
      <c r="H549" s="140"/>
      <c r="I549" s="58"/>
      <c r="J549" s="58"/>
      <c r="K549" s="58"/>
      <c r="L549" s="58"/>
      <c r="M549" s="135"/>
      <c r="N549" s="135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35"/>
      <c r="Z549" s="58"/>
      <c r="AA549" s="58"/>
      <c r="AB549" s="58"/>
      <c r="AC549" s="58"/>
      <c r="AD549" s="58"/>
      <c r="AE549" s="138"/>
      <c r="AF549" s="136"/>
      <c r="AG549" s="136"/>
      <c r="AH549" s="136"/>
    </row>
    <row r="550" spans="1:34" s="132" customFormat="1" ht="12.75" customHeight="1" x14ac:dyDescent="0.25">
      <c r="A550" s="137"/>
      <c r="B550" s="139"/>
      <c r="C550" s="136"/>
      <c r="D550" s="131"/>
      <c r="E550" s="131"/>
      <c r="F550" s="58"/>
      <c r="G550" s="140"/>
      <c r="H550" s="140"/>
      <c r="I550" s="58"/>
      <c r="J550" s="58"/>
      <c r="K550" s="58"/>
      <c r="L550" s="58"/>
      <c r="M550" s="135"/>
      <c r="N550" s="135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35"/>
      <c r="Z550" s="58"/>
      <c r="AA550" s="58"/>
      <c r="AB550" s="58"/>
      <c r="AC550" s="58"/>
      <c r="AD550" s="58"/>
      <c r="AE550" s="138"/>
      <c r="AF550" s="136"/>
      <c r="AG550" s="136"/>
      <c r="AH550" s="136"/>
    </row>
    <row r="551" spans="1:34" s="132" customFormat="1" ht="12.75" customHeight="1" x14ac:dyDescent="0.25">
      <c r="A551" s="137"/>
      <c r="B551" s="139"/>
      <c r="C551" s="136"/>
      <c r="D551" s="131"/>
      <c r="E551" s="131"/>
      <c r="F551" s="58"/>
      <c r="G551" s="140"/>
      <c r="H551" s="140"/>
      <c r="I551" s="58"/>
      <c r="J551" s="58"/>
      <c r="K551" s="58"/>
      <c r="L551" s="58"/>
      <c r="M551" s="135"/>
      <c r="N551" s="135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35"/>
      <c r="Z551" s="58"/>
      <c r="AA551" s="58"/>
      <c r="AB551" s="58"/>
      <c r="AC551" s="58"/>
      <c r="AD551" s="58"/>
      <c r="AE551" s="138"/>
      <c r="AF551" s="136"/>
      <c r="AG551" s="136"/>
      <c r="AH551" s="136"/>
    </row>
    <row r="552" spans="1:34" s="132" customFormat="1" ht="12.75" customHeight="1" x14ac:dyDescent="0.25">
      <c r="A552" s="137"/>
      <c r="B552" s="139"/>
      <c r="C552" s="136"/>
      <c r="D552" s="131"/>
      <c r="E552" s="131"/>
      <c r="F552" s="58"/>
      <c r="G552" s="140"/>
      <c r="H552" s="140"/>
      <c r="I552" s="58"/>
      <c r="J552" s="58"/>
      <c r="K552" s="58"/>
      <c r="L552" s="58"/>
      <c r="M552" s="135"/>
      <c r="N552" s="135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35"/>
      <c r="Z552" s="58"/>
      <c r="AA552" s="58"/>
      <c r="AB552" s="58"/>
      <c r="AC552" s="58"/>
      <c r="AD552" s="58"/>
      <c r="AE552" s="138"/>
      <c r="AF552" s="136"/>
      <c r="AG552" s="136"/>
      <c r="AH552" s="136"/>
    </row>
    <row r="553" spans="1:34" s="132" customFormat="1" ht="12.75" customHeight="1" x14ac:dyDescent="0.25">
      <c r="A553" s="137"/>
      <c r="B553" s="139"/>
      <c r="C553" s="136"/>
      <c r="D553" s="131"/>
      <c r="E553" s="131"/>
      <c r="F553" s="58"/>
      <c r="G553" s="140"/>
      <c r="H553" s="140"/>
      <c r="I553" s="58"/>
      <c r="J553" s="58"/>
      <c r="K553" s="58"/>
      <c r="L553" s="58"/>
      <c r="M553" s="135"/>
      <c r="N553" s="135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35"/>
      <c r="Z553" s="58"/>
      <c r="AA553" s="58"/>
      <c r="AB553" s="58"/>
      <c r="AC553" s="58"/>
      <c r="AD553" s="58"/>
      <c r="AE553" s="138"/>
      <c r="AF553" s="136"/>
      <c r="AG553" s="136"/>
      <c r="AH553" s="136"/>
    </row>
    <row r="554" spans="1:34" s="132" customFormat="1" ht="12.75" customHeight="1" x14ac:dyDescent="0.25">
      <c r="A554" s="137"/>
      <c r="B554" s="139"/>
      <c r="C554" s="136"/>
      <c r="D554" s="131"/>
      <c r="E554" s="131"/>
      <c r="F554" s="58"/>
      <c r="G554" s="140"/>
      <c r="H554" s="140"/>
      <c r="I554" s="58"/>
      <c r="J554" s="58"/>
      <c r="K554" s="58"/>
      <c r="L554" s="58"/>
      <c r="M554" s="135"/>
      <c r="N554" s="135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35"/>
      <c r="Z554" s="58"/>
      <c r="AA554" s="58"/>
      <c r="AB554" s="58"/>
      <c r="AC554" s="58"/>
      <c r="AD554" s="58"/>
      <c r="AE554" s="138"/>
      <c r="AF554" s="136"/>
      <c r="AG554" s="136"/>
      <c r="AH554" s="136"/>
    </row>
    <row r="555" spans="1:34" s="132" customFormat="1" ht="12.75" customHeight="1" x14ac:dyDescent="0.25">
      <c r="A555" s="137"/>
      <c r="B555" s="139"/>
      <c r="C555" s="136"/>
      <c r="D555" s="131"/>
      <c r="E555" s="131"/>
      <c r="F555" s="58"/>
      <c r="G555" s="140"/>
      <c r="H555" s="140"/>
      <c r="I555" s="58"/>
      <c r="J555" s="58"/>
      <c r="K555" s="58"/>
      <c r="L555" s="58"/>
      <c r="M555" s="135"/>
      <c r="N555" s="135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35"/>
      <c r="Z555" s="58"/>
      <c r="AA555" s="58"/>
      <c r="AB555" s="58"/>
      <c r="AC555" s="58"/>
      <c r="AD555" s="58"/>
      <c r="AE555" s="138"/>
      <c r="AF555" s="136"/>
      <c r="AG555" s="136"/>
      <c r="AH555" s="136"/>
    </row>
    <row r="556" spans="1:34" s="132" customFormat="1" ht="12.75" customHeight="1" x14ac:dyDescent="0.25">
      <c r="A556" s="137"/>
      <c r="B556" s="139"/>
      <c r="C556" s="136"/>
      <c r="D556" s="131"/>
      <c r="E556" s="131"/>
      <c r="F556" s="58"/>
      <c r="G556" s="140"/>
      <c r="H556" s="140"/>
      <c r="I556" s="58"/>
      <c r="J556" s="58"/>
      <c r="K556" s="58"/>
      <c r="L556" s="58"/>
      <c r="M556" s="135"/>
      <c r="N556" s="135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35"/>
      <c r="Z556" s="58"/>
      <c r="AA556" s="58"/>
      <c r="AB556" s="58"/>
      <c r="AC556" s="58"/>
      <c r="AD556" s="58"/>
      <c r="AE556" s="138"/>
      <c r="AF556" s="136"/>
      <c r="AG556" s="136"/>
      <c r="AH556" s="136"/>
    </row>
    <row r="557" spans="1:34" s="132" customFormat="1" ht="12.75" customHeight="1" x14ac:dyDescent="0.25">
      <c r="A557" s="137"/>
      <c r="B557" s="139"/>
      <c r="C557" s="136"/>
      <c r="D557" s="131"/>
      <c r="E557" s="131"/>
      <c r="F557" s="58"/>
      <c r="G557" s="140"/>
      <c r="H557" s="140"/>
      <c r="I557" s="58"/>
      <c r="J557" s="58"/>
      <c r="K557" s="58"/>
      <c r="L557" s="58"/>
      <c r="M557" s="135"/>
      <c r="N557" s="135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35"/>
      <c r="Z557" s="58"/>
      <c r="AA557" s="58"/>
      <c r="AB557" s="58"/>
      <c r="AC557" s="58"/>
      <c r="AD557" s="58"/>
      <c r="AE557" s="138"/>
      <c r="AF557" s="136"/>
      <c r="AG557" s="136"/>
      <c r="AH557" s="136"/>
    </row>
    <row r="558" spans="1:34" s="132" customFormat="1" ht="12.75" customHeight="1" x14ac:dyDescent="0.25">
      <c r="A558" s="137"/>
      <c r="B558" s="139"/>
      <c r="C558" s="136"/>
      <c r="D558" s="131"/>
      <c r="E558" s="131"/>
      <c r="F558" s="58"/>
      <c r="G558" s="140"/>
      <c r="H558" s="140"/>
      <c r="I558" s="58"/>
      <c r="J558" s="58"/>
      <c r="K558" s="58"/>
      <c r="L558" s="58"/>
      <c r="M558" s="135"/>
      <c r="N558" s="135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35"/>
      <c r="Z558" s="58"/>
      <c r="AA558" s="58"/>
      <c r="AB558" s="58"/>
      <c r="AC558" s="58"/>
      <c r="AD558" s="58"/>
      <c r="AE558" s="138"/>
      <c r="AF558" s="136"/>
      <c r="AG558" s="136"/>
      <c r="AH558" s="136"/>
    </row>
    <row r="559" spans="1:34" s="132" customFormat="1" ht="12.75" customHeight="1" x14ac:dyDescent="0.25">
      <c r="A559" s="137"/>
      <c r="B559" s="139"/>
      <c r="C559" s="136"/>
      <c r="D559" s="131"/>
      <c r="E559" s="131"/>
      <c r="F559" s="58"/>
      <c r="G559" s="140"/>
      <c r="H559" s="140"/>
      <c r="I559" s="58"/>
      <c r="J559" s="58"/>
      <c r="K559" s="58"/>
      <c r="L559" s="58"/>
      <c r="M559" s="135"/>
      <c r="N559" s="135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35"/>
      <c r="Z559" s="58"/>
      <c r="AA559" s="58"/>
      <c r="AB559" s="58"/>
      <c r="AC559" s="58"/>
      <c r="AD559" s="58"/>
      <c r="AE559" s="138"/>
      <c r="AF559" s="136"/>
      <c r="AG559" s="136"/>
      <c r="AH559" s="136"/>
    </row>
    <row r="560" spans="1:34" s="132" customFormat="1" ht="12.75" customHeight="1" x14ac:dyDescent="0.25">
      <c r="A560" s="137"/>
      <c r="B560" s="139"/>
      <c r="C560" s="136"/>
      <c r="D560" s="131"/>
      <c r="E560" s="131"/>
      <c r="F560" s="58"/>
      <c r="G560" s="140"/>
      <c r="H560" s="140"/>
      <c r="I560" s="58"/>
      <c r="J560" s="58"/>
      <c r="K560" s="58"/>
      <c r="L560" s="58"/>
      <c r="M560" s="135"/>
      <c r="N560" s="135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35"/>
      <c r="Z560" s="58"/>
      <c r="AA560" s="58"/>
      <c r="AB560" s="58"/>
      <c r="AC560" s="58"/>
      <c r="AD560" s="58"/>
      <c r="AE560" s="138"/>
      <c r="AF560" s="136"/>
      <c r="AG560" s="136"/>
      <c r="AH560" s="136"/>
    </row>
    <row r="561" spans="1:34" s="132" customFormat="1" ht="12.75" customHeight="1" x14ac:dyDescent="0.25">
      <c r="A561" s="137"/>
      <c r="B561" s="139"/>
      <c r="C561" s="136"/>
      <c r="D561" s="131"/>
      <c r="E561" s="131"/>
      <c r="F561" s="58"/>
      <c r="G561" s="140"/>
      <c r="H561" s="140"/>
      <c r="I561" s="58"/>
      <c r="J561" s="58"/>
      <c r="K561" s="58"/>
      <c r="L561" s="58"/>
      <c r="M561" s="135"/>
      <c r="N561" s="135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35"/>
      <c r="Z561" s="58"/>
      <c r="AA561" s="58"/>
      <c r="AB561" s="58"/>
      <c r="AC561" s="58"/>
      <c r="AD561" s="58"/>
      <c r="AE561" s="138"/>
      <c r="AF561" s="136"/>
      <c r="AG561" s="136"/>
      <c r="AH561" s="136"/>
    </row>
    <row r="562" spans="1:34" s="132" customFormat="1" ht="12.75" customHeight="1" x14ac:dyDescent="0.25">
      <c r="A562" s="137"/>
      <c r="B562" s="139"/>
      <c r="C562" s="136"/>
      <c r="D562" s="131"/>
      <c r="E562" s="131"/>
      <c r="F562" s="58"/>
      <c r="G562" s="140"/>
      <c r="H562" s="140"/>
      <c r="I562" s="58"/>
      <c r="J562" s="58"/>
      <c r="K562" s="58"/>
      <c r="L562" s="58"/>
      <c r="M562" s="135"/>
      <c r="N562" s="135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35"/>
      <c r="Z562" s="58"/>
      <c r="AA562" s="58"/>
      <c r="AB562" s="58"/>
      <c r="AC562" s="58"/>
      <c r="AD562" s="58"/>
      <c r="AE562" s="138"/>
      <c r="AF562" s="136"/>
      <c r="AG562" s="136"/>
      <c r="AH562" s="136"/>
    </row>
    <row r="563" spans="1:34" s="132" customFormat="1" ht="12.75" customHeight="1" x14ac:dyDescent="0.25">
      <c r="A563" s="137"/>
      <c r="B563" s="139"/>
      <c r="C563" s="136"/>
      <c r="D563" s="131"/>
      <c r="E563" s="131"/>
      <c r="F563" s="58"/>
      <c r="G563" s="140"/>
      <c r="H563" s="140"/>
      <c r="I563" s="58"/>
      <c r="J563" s="58"/>
      <c r="K563" s="58"/>
      <c r="L563" s="58"/>
      <c r="M563" s="135"/>
      <c r="N563" s="135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35"/>
      <c r="Z563" s="58"/>
      <c r="AA563" s="58"/>
      <c r="AB563" s="58"/>
      <c r="AC563" s="58"/>
      <c r="AD563" s="58"/>
      <c r="AE563" s="138"/>
      <c r="AF563" s="136"/>
      <c r="AG563" s="136"/>
      <c r="AH563" s="136"/>
    </row>
    <row r="564" spans="1:34" s="132" customFormat="1" ht="12.75" customHeight="1" x14ac:dyDescent="0.25">
      <c r="A564" s="137"/>
      <c r="B564" s="139"/>
      <c r="C564" s="136"/>
      <c r="D564" s="131"/>
      <c r="E564" s="131"/>
      <c r="F564" s="58"/>
      <c r="G564" s="140"/>
      <c r="H564" s="140"/>
      <c r="I564" s="58"/>
      <c r="J564" s="58"/>
      <c r="K564" s="58"/>
      <c r="L564" s="58"/>
      <c r="M564" s="135"/>
      <c r="N564" s="135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35"/>
      <c r="Z564" s="58"/>
      <c r="AA564" s="58"/>
      <c r="AB564" s="58"/>
      <c r="AC564" s="58"/>
      <c r="AD564" s="58"/>
      <c r="AE564" s="138"/>
      <c r="AF564" s="136"/>
      <c r="AG564" s="136"/>
      <c r="AH564" s="136"/>
    </row>
    <row r="565" spans="1:34" s="132" customFormat="1" ht="12.75" customHeight="1" x14ac:dyDescent="0.25">
      <c r="A565" s="137"/>
      <c r="B565" s="139"/>
      <c r="C565" s="136"/>
      <c r="D565" s="131"/>
      <c r="E565" s="131"/>
      <c r="F565" s="58"/>
      <c r="G565" s="140"/>
      <c r="H565" s="140"/>
      <c r="I565" s="58"/>
      <c r="J565" s="58"/>
      <c r="K565" s="58"/>
      <c r="L565" s="58"/>
      <c r="M565" s="135"/>
      <c r="N565" s="135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35"/>
      <c r="Z565" s="58"/>
      <c r="AA565" s="58"/>
      <c r="AB565" s="58"/>
      <c r="AC565" s="58"/>
      <c r="AD565" s="58"/>
      <c r="AE565" s="138"/>
      <c r="AF565" s="136"/>
      <c r="AG565" s="136"/>
      <c r="AH565" s="136"/>
    </row>
    <row r="566" spans="1:34" s="132" customFormat="1" ht="12.75" customHeight="1" x14ac:dyDescent="0.25">
      <c r="A566" s="137"/>
      <c r="B566" s="139"/>
      <c r="C566" s="136"/>
      <c r="D566" s="131"/>
      <c r="E566" s="131"/>
      <c r="F566" s="58"/>
      <c r="G566" s="140"/>
      <c r="H566" s="140"/>
      <c r="I566" s="58"/>
      <c r="J566" s="58"/>
      <c r="K566" s="58"/>
      <c r="L566" s="58"/>
      <c r="M566" s="135"/>
      <c r="N566" s="135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35"/>
      <c r="Z566" s="58"/>
      <c r="AA566" s="58"/>
      <c r="AB566" s="58"/>
      <c r="AC566" s="58"/>
      <c r="AD566" s="58"/>
      <c r="AE566" s="138"/>
      <c r="AF566" s="136"/>
      <c r="AG566" s="136"/>
      <c r="AH566" s="136"/>
    </row>
    <row r="567" spans="1:34" s="132" customFormat="1" ht="12.75" customHeight="1" x14ac:dyDescent="0.25">
      <c r="A567" s="137"/>
      <c r="B567" s="139"/>
      <c r="C567" s="136"/>
      <c r="D567" s="131"/>
      <c r="E567" s="131"/>
      <c r="F567" s="58"/>
      <c r="G567" s="140"/>
      <c r="H567" s="140"/>
      <c r="I567" s="58"/>
      <c r="J567" s="58"/>
      <c r="K567" s="58"/>
      <c r="L567" s="58"/>
      <c r="M567" s="135"/>
      <c r="N567" s="135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35"/>
      <c r="Z567" s="58"/>
      <c r="AA567" s="58"/>
      <c r="AB567" s="58"/>
      <c r="AC567" s="58"/>
      <c r="AD567" s="58"/>
      <c r="AE567" s="138"/>
      <c r="AF567" s="136"/>
      <c r="AG567" s="136"/>
      <c r="AH567" s="136"/>
    </row>
    <row r="568" spans="1:34" s="132" customFormat="1" ht="12.75" customHeight="1" x14ac:dyDescent="0.25">
      <c r="A568" s="137"/>
      <c r="B568" s="139"/>
      <c r="C568" s="136"/>
      <c r="D568" s="131"/>
      <c r="E568" s="131"/>
      <c r="F568" s="58"/>
      <c r="G568" s="140"/>
      <c r="H568" s="140"/>
      <c r="I568" s="58"/>
      <c r="J568" s="58"/>
      <c r="K568" s="58"/>
      <c r="L568" s="58"/>
      <c r="M568" s="135"/>
      <c r="N568" s="135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35"/>
      <c r="Z568" s="58"/>
      <c r="AA568" s="58"/>
      <c r="AB568" s="58"/>
      <c r="AC568" s="58"/>
      <c r="AD568" s="58"/>
      <c r="AE568" s="138"/>
      <c r="AF568" s="136"/>
      <c r="AG568" s="136"/>
      <c r="AH568" s="136"/>
    </row>
    <row r="569" spans="1:34" s="132" customFormat="1" ht="12.75" customHeight="1" x14ac:dyDescent="0.25">
      <c r="A569" s="137"/>
      <c r="B569" s="139"/>
      <c r="C569" s="136"/>
      <c r="D569" s="131"/>
      <c r="E569" s="131"/>
      <c r="F569" s="58"/>
      <c r="G569" s="140"/>
      <c r="H569" s="140"/>
      <c r="I569" s="58"/>
      <c r="J569" s="58"/>
      <c r="K569" s="58"/>
      <c r="L569" s="58"/>
      <c r="M569" s="135"/>
      <c r="N569" s="135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35"/>
      <c r="Z569" s="58"/>
      <c r="AA569" s="58"/>
      <c r="AB569" s="58"/>
      <c r="AC569" s="58"/>
      <c r="AD569" s="58"/>
      <c r="AE569" s="138"/>
      <c r="AF569" s="136"/>
      <c r="AG569" s="136"/>
      <c r="AH569" s="136"/>
    </row>
    <row r="570" spans="1:34" s="132" customFormat="1" ht="12.75" customHeight="1" x14ac:dyDescent="0.25">
      <c r="A570" s="137"/>
      <c r="B570" s="139"/>
      <c r="C570" s="136"/>
      <c r="D570" s="131"/>
      <c r="E570" s="131"/>
      <c r="F570" s="58"/>
      <c r="G570" s="140"/>
      <c r="H570" s="140"/>
      <c r="I570" s="58"/>
      <c r="J570" s="58"/>
      <c r="K570" s="58"/>
      <c r="L570" s="58"/>
      <c r="M570" s="135"/>
      <c r="N570" s="135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35"/>
      <c r="Z570" s="58"/>
      <c r="AA570" s="58"/>
      <c r="AB570" s="58"/>
      <c r="AC570" s="58"/>
      <c r="AD570" s="58"/>
      <c r="AE570" s="138"/>
      <c r="AF570" s="136"/>
      <c r="AG570" s="136"/>
      <c r="AH570" s="136"/>
    </row>
    <row r="571" spans="1:34" s="132" customFormat="1" ht="12.75" customHeight="1" x14ac:dyDescent="0.25">
      <c r="A571" s="137"/>
      <c r="B571" s="139"/>
      <c r="C571" s="136"/>
      <c r="D571" s="131"/>
      <c r="E571" s="131"/>
      <c r="F571" s="58"/>
      <c r="G571" s="140"/>
      <c r="H571" s="140"/>
      <c r="I571" s="58"/>
      <c r="J571" s="58"/>
      <c r="K571" s="58"/>
      <c r="L571" s="58"/>
      <c r="M571" s="135"/>
      <c r="N571" s="135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35"/>
      <c r="Z571" s="58"/>
      <c r="AA571" s="58"/>
      <c r="AB571" s="58"/>
      <c r="AC571" s="58"/>
      <c r="AD571" s="58"/>
      <c r="AE571" s="138"/>
      <c r="AF571" s="136"/>
      <c r="AG571" s="136"/>
      <c r="AH571" s="136"/>
    </row>
    <row r="572" spans="1:34" s="132" customFormat="1" ht="12.75" customHeight="1" x14ac:dyDescent="0.25">
      <c r="A572" s="137"/>
      <c r="B572" s="139"/>
      <c r="C572" s="136"/>
      <c r="D572" s="131"/>
      <c r="E572" s="131"/>
      <c r="F572" s="58"/>
      <c r="G572" s="140"/>
      <c r="H572" s="140"/>
      <c r="I572" s="58"/>
      <c r="J572" s="58"/>
      <c r="K572" s="58"/>
      <c r="L572" s="58"/>
      <c r="M572" s="135"/>
      <c r="N572" s="135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35"/>
      <c r="Z572" s="58"/>
      <c r="AA572" s="58"/>
      <c r="AB572" s="58"/>
      <c r="AC572" s="58"/>
      <c r="AD572" s="58"/>
      <c r="AE572" s="138"/>
      <c r="AF572" s="136"/>
      <c r="AG572" s="136"/>
      <c r="AH572" s="136"/>
    </row>
    <row r="573" spans="1:34" s="132" customFormat="1" ht="12.75" customHeight="1" x14ac:dyDescent="0.25">
      <c r="A573" s="137"/>
      <c r="B573" s="139"/>
      <c r="C573" s="136"/>
      <c r="D573" s="131"/>
      <c r="E573" s="131"/>
      <c r="F573" s="58"/>
      <c r="G573" s="140"/>
      <c r="H573" s="140"/>
      <c r="I573" s="58"/>
      <c r="J573" s="58"/>
      <c r="K573" s="58"/>
      <c r="L573" s="58"/>
      <c r="M573" s="135"/>
      <c r="N573" s="135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35"/>
      <c r="Z573" s="58"/>
      <c r="AA573" s="58"/>
      <c r="AB573" s="58"/>
      <c r="AC573" s="58"/>
      <c r="AD573" s="58"/>
      <c r="AE573" s="138"/>
      <c r="AF573" s="136"/>
      <c r="AG573" s="136"/>
      <c r="AH573" s="136"/>
    </row>
    <row r="574" spans="1:34" s="132" customFormat="1" ht="12.75" customHeight="1" x14ac:dyDescent="0.25">
      <c r="A574" s="137"/>
      <c r="B574" s="139"/>
      <c r="C574" s="136"/>
      <c r="D574" s="131"/>
      <c r="E574" s="131"/>
      <c r="F574" s="58"/>
      <c r="G574" s="140"/>
      <c r="H574" s="140"/>
      <c r="I574" s="58"/>
      <c r="J574" s="58"/>
      <c r="K574" s="58"/>
      <c r="L574" s="58"/>
      <c r="M574" s="135"/>
      <c r="N574" s="135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35"/>
      <c r="Z574" s="58"/>
      <c r="AA574" s="58"/>
      <c r="AB574" s="58"/>
      <c r="AC574" s="58"/>
      <c r="AD574" s="58"/>
      <c r="AE574" s="138"/>
      <c r="AF574" s="136"/>
      <c r="AG574" s="136"/>
      <c r="AH574" s="136"/>
    </row>
    <row r="575" spans="1:34" s="132" customFormat="1" ht="12.75" customHeight="1" x14ac:dyDescent="0.25">
      <c r="A575" s="137"/>
      <c r="B575" s="139"/>
      <c r="C575" s="136"/>
      <c r="D575" s="131"/>
      <c r="E575" s="131"/>
      <c r="F575" s="58"/>
      <c r="G575" s="140"/>
      <c r="H575" s="140"/>
      <c r="I575" s="58"/>
      <c r="J575" s="58"/>
      <c r="K575" s="58"/>
      <c r="L575" s="58"/>
      <c r="M575" s="135"/>
      <c r="N575" s="135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35"/>
      <c r="Z575" s="58"/>
      <c r="AA575" s="58"/>
      <c r="AB575" s="58"/>
      <c r="AC575" s="58"/>
      <c r="AD575" s="58"/>
      <c r="AE575" s="138"/>
      <c r="AF575" s="136"/>
      <c r="AG575" s="136"/>
      <c r="AH575" s="136"/>
    </row>
    <row r="576" spans="1:34" s="132" customFormat="1" ht="12.75" customHeight="1" x14ac:dyDescent="0.25">
      <c r="A576" s="137"/>
      <c r="B576" s="139"/>
      <c r="C576" s="136"/>
      <c r="D576" s="131"/>
      <c r="E576" s="131"/>
      <c r="F576" s="58"/>
      <c r="G576" s="140"/>
      <c r="H576" s="140"/>
      <c r="I576" s="58"/>
      <c r="J576" s="58"/>
      <c r="K576" s="58"/>
      <c r="L576" s="58"/>
      <c r="M576" s="135"/>
      <c r="N576" s="135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35"/>
      <c r="Z576" s="58"/>
      <c r="AA576" s="58"/>
      <c r="AB576" s="58"/>
      <c r="AC576" s="58"/>
      <c r="AD576" s="58"/>
      <c r="AE576" s="138"/>
      <c r="AF576" s="136"/>
      <c r="AG576" s="136"/>
      <c r="AH576" s="136"/>
    </row>
    <row r="577" spans="1:34" s="132" customFormat="1" ht="12.75" customHeight="1" x14ac:dyDescent="0.25">
      <c r="A577" s="137"/>
      <c r="B577" s="139"/>
      <c r="C577" s="136"/>
      <c r="D577" s="131"/>
      <c r="E577" s="131"/>
      <c r="F577" s="58"/>
      <c r="G577" s="140"/>
      <c r="H577" s="140"/>
      <c r="I577" s="58"/>
      <c r="J577" s="58"/>
      <c r="K577" s="58"/>
      <c r="L577" s="58"/>
      <c r="M577" s="135"/>
      <c r="N577" s="135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35"/>
      <c r="Z577" s="58"/>
      <c r="AA577" s="58"/>
      <c r="AB577" s="58"/>
      <c r="AC577" s="58"/>
      <c r="AD577" s="58"/>
      <c r="AE577" s="138"/>
      <c r="AF577" s="136"/>
      <c r="AG577" s="136"/>
      <c r="AH577" s="136"/>
    </row>
    <row r="578" spans="1:34" s="132" customFormat="1" ht="12.75" customHeight="1" x14ac:dyDescent="0.25">
      <c r="A578" s="137"/>
      <c r="B578" s="139"/>
      <c r="C578" s="136"/>
      <c r="D578" s="131"/>
      <c r="E578" s="131"/>
      <c r="F578" s="58"/>
      <c r="G578" s="140"/>
      <c r="H578" s="140"/>
      <c r="I578" s="58"/>
      <c r="J578" s="58"/>
      <c r="K578" s="58"/>
      <c r="L578" s="58"/>
      <c r="M578" s="135"/>
      <c r="N578" s="135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35"/>
      <c r="Z578" s="58"/>
      <c r="AA578" s="58"/>
      <c r="AB578" s="58"/>
      <c r="AC578" s="58"/>
      <c r="AD578" s="58"/>
      <c r="AE578" s="138"/>
      <c r="AF578" s="136"/>
      <c r="AG578" s="136"/>
      <c r="AH578" s="136"/>
    </row>
    <row r="579" spans="1:34" s="132" customFormat="1" ht="12.75" customHeight="1" x14ac:dyDescent="0.25">
      <c r="A579" s="137"/>
      <c r="B579" s="139"/>
      <c r="C579" s="136"/>
      <c r="D579" s="131"/>
      <c r="E579" s="131"/>
      <c r="F579" s="58"/>
      <c r="G579" s="140"/>
      <c r="H579" s="140"/>
      <c r="I579" s="58"/>
      <c r="J579" s="58"/>
      <c r="K579" s="58"/>
      <c r="L579" s="58"/>
      <c r="M579" s="135"/>
      <c r="N579" s="135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35"/>
      <c r="Z579" s="58"/>
      <c r="AA579" s="58"/>
      <c r="AB579" s="58"/>
      <c r="AC579" s="58"/>
      <c r="AD579" s="58"/>
      <c r="AE579" s="138"/>
      <c r="AF579" s="136"/>
      <c r="AG579" s="136"/>
      <c r="AH579" s="136"/>
    </row>
    <row r="580" spans="1:34" s="132" customFormat="1" ht="12.75" customHeight="1" x14ac:dyDescent="0.25">
      <c r="A580" s="137"/>
      <c r="B580" s="139"/>
      <c r="C580" s="136"/>
      <c r="D580" s="131"/>
      <c r="E580" s="131"/>
      <c r="F580" s="58"/>
      <c r="G580" s="140"/>
      <c r="H580" s="140"/>
      <c r="I580" s="58"/>
      <c r="J580" s="58"/>
      <c r="K580" s="58"/>
      <c r="L580" s="58"/>
      <c r="M580" s="135"/>
      <c r="N580" s="135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35"/>
      <c r="Z580" s="58"/>
      <c r="AA580" s="58"/>
      <c r="AB580" s="58"/>
      <c r="AC580" s="58"/>
      <c r="AD580" s="58"/>
      <c r="AE580" s="138"/>
      <c r="AF580" s="136"/>
      <c r="AG580" s="136"/>
      <c r="AH580" s="136"/>
    </row>
    <row r="581" spans="1:34" s="132" customFormat="1" ht="12.75" customHeight="1" x14ac:dyDescent="0.25">
      <c r="A581" s="137"/>
      <c r="B581" s="139"/>
      <c r="C581" s="136"/>
      <c r="D581" s="131"/>
      <c r="E581" s="131"/>
      <c r="F581" s="58"/>
      <c r="G581" s="140"/>
      <c r="H581" s="140"/>
      <c r="I581" s="58"/>
      <c r="J581" s="58"/>
      <c r="K581" s="58"/>
      <c r="L581" s="58"/>
      <c r="M581" s="135"/>
      <c r="N581" s="135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35"/>
      <c r="Z581" s="58"/>
      <c r="AA581" s="58"/>
      <c r="AB581" s="58"/>
      <c r="AC581" s="58"/>
      <c r="AD581" s="58"/>
      <c r="AE581" s="138"/>
      <c r="AF581" s="136"/>
      <c r="AG581" s="136"/>
      <c r="AH581" s="136"/>
    </row>
    <row r="582" spans="1:34" s="132" customFormat="1" ht="12.75" customHeight="1" x14ac:dyDescent="0.25">
      <c r="A582" s="137"/>
      <c r="B582" s="139"/>
      <c r="C582" s="136"/>
      <c r="D582" s="131"/>
      <c r="E582" s="131"/>
      <c r="F582" s="58"/>
      <c r="G582" s="140"/>
      <c r="H582" s="140"/>
      <c r="I582" s="58"/>
      <c r="J582" s="58"/>
      <c r="K582" s="58"/>
      <c r="L582" s="58"/>
      <c r="M582" s="135"/>
      <c r="N582" s="135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35"/>
      <c r="Z582" s="58"/>
      <c r="AA582" s="58"/>
      <c r="AB582" s="58"/>
      <c r="AC582" s="58"/>
      <c r="AD582" s="58"/>
      <c r="AE582" s="138"/>
      <c r="AF582" s="136"/>
      <c r="AG582" s="136"/>
      <c r="AH582" s="136"/>
    </row>
    <row r="583" spans="1:34" s="132" customFormat="1" ht="12.75" customHeight="1" x14ac:dyDescent="0.25">
      <c r="A583" s="137"/>
      <c r="B583" s="139"/>
      <c r="C583" s="136"/>
      <c r="D583" s="131"/>
      <c r="E583" s="131"/>
      <c r="F583" s="58"/>
      <c r="G583" s="140"/>
      <c r="H583" s="140"/>
      <c r="I583" s="58"/>
      <c r="J583" s="58"/>
      <c r="K583" s="58"/>
      <c r="L583" s="58"/>
      <c r="M583" s="135"/>
      <c r="N583" s="135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35"/>
      <c r="Z583" s="58"/>
      <c r="AA583" s="58"/>
      <c r="AB583" s="58"/>
      <c r="AC583" s="58"/>
      <c r="AD583" s="58"/>
      <c r="AE583" s="138"/>
      <c r="AF583" s="136"/>
      <c r="AG583" s="136"/>
      <c r="AH583" s="136"/>
    </row>
    <row r="584" spans="1:34" s="132" customFormat="1" ht="12.75" customHeight="1" x14ac:dyDescent="0.25">
      <c r="A584" s="137"/>
      <c r="B584" s="139"/>
      <c r="C584" s="136"/>
      <c r="D584" s="131"/>
      <c r="E584" s="131"/>
      <c r="F584" s="58"/>
      <c r="G584" s="140"/>
      <c r="H584" s="140"/>
      <c r="I584" s="58"/>
      <c r="J584" s="58"/>
      <c r="K584" s="58"/>
      <c r="L584" s="58"/>
      <c r="M584" s="135"/>
      <c r="N584" s="135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35"/>
      <c r="Z584" s="58"/>
      <c r="AA584" s="58"/>
      <c r="AB584" s="58"/>
      <c r="AC584" s="58"/>
      <c r="AD584" s="58"/>
      <c r="AE584" s="138"/>
      <c r="AF584" s="136"/>
      <c r="AG584" s="136"/>
      <c r="AH584" s="136"/>
    </row>
    <row r="585" spans="1:34" s="132" customFormat="1" ht="12.75" customHeight="1" x14ac:dyDescent="0.25">
      <c r="A585" s="137"/>
      <c r="B585" s="139"/>
      <c r="C585" s="136"/>
      <c r="D585" s="131"/>
      <c r="E585" s="131"/>
      <c r="F585" s="58"/>
      <c r="G585" s="140"/>
      <c r="H585" s="140"/>
      <c r="I585" s="58"/>
      <c r="J585" s="58"/>
      <c r="K585" s="58"/>
      <c r="L585" s="58"/>
      <c r="M585" s="135"/>
      <c r="N585" s="135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35"/>
      <c r="Z585" s="58"/>
      <c r="AA585" s="58"/>
      <c r="AB585" s="58"/>
      <c r="AC585" s="58"/>
      <c r="AD585" s="58"/>
      <c r="AE585" s="138"/>
      <c r="AF585" s="136"/>
      <c r="AG585" s="136"/>
      <c r="AH585" s="136"/>
    </row>
    <row r="586" spans="1:34" s="132" customFormat="1" ht="12.75" customHeight="1" x14ac:dyDescent="0.25">
      <c r="A586" s="137"/>
      <c r="B586" s="139"/>
      <c r="C586" s="136"/>
      <c r="D586" s="131"/>
      <c r="E586" s="131"/>
      <c r="F586" s="58"/>
      <c r="G586" s="140"/>
      <c r="H586" s="140"/>
      <c r="I586" s="58"/>
      <c r="J586" s="58"/>
      <c r="K586" s="58"/>
      <c r="L586" s="58"/>
      <c r="M586" s="135"/>
      <c r="N586" s="135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35"/>
      <c r="Z586" s="58"/>
      <c r="AA586" s="58"/>
      <c r="AB586" s="58"/>
      <c r="AC586" s="58"/>
      <c r="AD586" s="58"/>
      <c r="AE586" s="138"/>
      <c r="AF586" s="136"/>
      <c r="AG586" s="136"/>
      <c r="AH586" s="136"/>
    </row>
    <row r="587" spans="1:34" s="132" customFormat="1" ht="12.75" customHeight="1" x14ac:dyDescent="0.25">
      <c r="A587" s="137"/>
      <c r="B587" s="139"/>
      <c r="C587" s="136"/>
      <c r="D587" s="131"/>
      <c r="E587" s="131"/>
      <c r="F587" s="58"/>
      <c r="G587" s="140"/>
      <c r="H587" s="140"/>
      <c r="I587" s="58"/>
      <c r="J587" s="58"/>
      <c r="K587" s="58"/>
      <c r="L587" s="58"/>
      <c r="M587" s="135"/>
      <c r="N587" s="135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35"/>
      <c r="Z587" s="58"/>
      <c r="AA587" s="58"/>
      <c r="AB587" s="58"/>
      <c r="AC587" s="58"/>
      <c r="AD587" s="58"/>
      <c r="AE587" s="138"/>
      <c r="AF587" s="136"/>
      <c r="AG587" s="136"/>
      <c r="AH587" s="136"/>
    </row>
    <row r="588" spans="1:34" s="132" customFormat="1" ht="12.75" customHeight="1" x14ac:dyDescent="0.25">
      <c r="A588" s="137"/>
      <c r="B588" s="139"/>
      <c r="C588" s="136"/>
      <c r="D588" s="131"/>
      <c r="E588" s="131"/>
      <c r="F588" s="58"/>
      <c r="G588" s="140"/>
      <c r="H588" s="140"/>
      <c r="I588" s="58"/>
      <c r="J588" s="58"/>
      <c r="K588" s="58"/>
      <c r="L588" s="58"/>
      <c r="M588" s="135"/>
      <c r="N588" s="135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35"/>
      <c r="Z588" s="58"/>
      <c r="AA588" s="58"/>
      <c r="AB588" s="58"/>
      <c r="AC588" s="58"/>
      <c r="AD588" s="58"/>
      <c r="AE588" s="138"/>
      <c r="AF588" s="136"/>
      <c r="AG588" s="136"/>
      <c r="AH588" s="136"/>
    </row>
    <row r="589" spans="1:34" s="132" customFormat="1" ht="12.75" customHeight="1" x14ac:dyDescent="0.25">
      <c r="A589" s="137"/>
      <c r="B589" s="139"/>
      <c r="C589" s="136"/>
      <c r="D589" s="131"/>
      <c r="E589" s="131"/>
      <c r="F589" s="58"/>
      <c r="G589" s="140"/>
      <c r="H589" s="140"/>
      <c r="I589" s="58"/>
      <c r="J589" s="58"/>
      <c r="K589" s="58"/>
      <c r="L589" s="58"/>
      <c r="M589" s="135"/>
      <c r="N589" s="135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35"/>
      <c r="Z589" s="58"/>
      <c r="AA589" s="58"/>
      <c r="AB589" s="58"/>
      <c r="AC589" s="58"/>
      <c r="AD589" s="58"/>
      <c r="AE589" s="138"/>
      <c r="AF589" s="136"/>
      <c r="AG589" s="136"/>
      <c r="AH589" s="136"/>
    </row>
    <row r="590" spans="1:34" s="132" customFormat="1" ht="12.75" customHeight="1" x14ac:dyDescent="0.25">
      <c r="A590" s="137"/>
      <c r="B590" s="139"/>
      <c r="C590" s="136"/>
      <c r="D590" s="131"/>
      <c r="E590" s="131"/>
      <c r="F590" s="58"/>
      <c r="G590" s="140"/>
      <c r="H590" s="140"/>
      <c r="I590" s="58"/>
      <c r="J590" s="58"/>
      <c r="K590" s="58"/>
      <c r="L590" s="58"/>
      <c r="M590" s="135"/>
      <c r="N590" s="135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35"/>
      <c r="Z590" s="58"/>
      <c r="AA590" s="58"/>
      <c r="AB590" s="58"/>
      <c r="AC590" s="58"/>
      <c r="AD590" s="58"/>
      <c r="AE590" s="138"/>
      <c r="AF590" s="136"/>
      <c r="AG590" s="136"/>
      <c r="AH590" s="136"/>
    </row>
    <row r="591" spans="1:34" s="132" customFormat="1" ht="12.75" customHeight="1" x14ac:dyDescent="0.25">
      <c r="A591" s="137"/>
      <c r="B591" s="139"/>
      <c r="C591" s="136"/>
      <c r="D591" s="131"/>
      <c r="E591" s="131"/>
      <c r="F591" s="58"/>
      <c r="G591" s="140"/>
      <c r="H591" s="140"/>
      <c r="I591" s="58"/>
      <c r="J591" s="58"/>
      <c r="K591" s="58"/>
      <c r="L591" s="58"/>
      <c r="M591" s="135"/>
      <c r="N591" s="135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35"/>
      <c r="Z591" s="58"/>
      <c r="AA591" s="58"/>
      <c r="AB591" s="58"/>
      <c r="AC591" s="58"/>
      <c r="AD591" s="58"/>
      <c r="AE591" s="138"/>
      <c r="AF591" s="136"/>
      <c r="AG591" s="136"/>
      <c r="AH591" s="136"/>
    </row>
    <row r="592" spans="1:34" s="132" customFormat="1" ht="12.75" customHeight="1" x14ac:dyDescent="0.25">
      <c r="A592" s="137"/>
      <c r="B592" s="139"/>
      <c r="C592" s="136"/>
      <c r="D592" s="131"/>
      <c r="E592" s="131"/>
      <c r="F592" s="58"/>
      <c r="G592" s="140"/>
      <c r="H592" s="140"/>
      <c r="I592" s="58"/>
      <c r="J592" s="58"/>
      <c r="K592" s="58"/>
      <c r="L592" s="58"/>
      <c r="M592" s="135"/>
      <c r="N592" s="135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35"/>
      <c r="Z592" s="58"/>
      <c r="AA592" s="58"/>
      <c r="AB592" s="58"/>
      <c r="AC592" s="58"/>
      <c r="AD592" s="58"/>
      <c r="AE592" s="138"/>
      <c r="AF592" s="136"/>
      <c r="AG592" s="136"/>
      <c r="AH592" s="136"/>
    </row>
    <row r="593" spans="1:34" s="132" customFormat="1" ht="12.75" customHeight="1" x14ac:dyDescent="0.25">
      <c r="A593" s="137"/>
      <c r="B593" s="139"/>
      <c r="C593" s="136"/>
      <c r="D593" s="131"/>
      <c r="E593" s="131"/>
      <c r="F593" s="58"/>
      <c r="G593" s="140"/>
      <c r="H593" s="140"/>
      <c r="I593" s="58"/>
      <c r="J593" s="58"/>
      <c r="K593" s="58"/>
      <c r="L593" s="58"/>
      <c r="M593" s="135"/>
      <c r="N593" s="135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35"/>
      <c r="Z593" s="58"/>
      <c r="AA593" s="58"/>
      <c r="AB593" s="58"/>
      <c r="AC593" s="58"/>
      <c r="AD593" s="58"/>
      <c r="AE593" s="138"/>
      <c r="AF593" s="136"/>
      <c r="AG593" s="136"/>
      <c r="AH593" s="136"/>
    </row>
    <row r="594" spans="1:34" s="132" customFormat="1" ht="12.75" customHeight="1" x14ac:dyDescent="0.25">
      <c r="A594" s="137"/>
      <c r="B594" s="139"/>
      <c r="C594" s="136"/>
      <c r="D594" s="131"/>
      <c r="E594" s="131"/>
      <c r="F594" s="58"/>
      <c r="G594" s="140"/>
      <c r="H594" s="140"/>
      <c r="I594" s="58"/>
      <c r="J594" s="58"/>
      <c r="K594" s="58"/>
      <c r="L594" s="58"/>
      <c r="M594" s="135"/>
      <c r="N594" s="135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35"/>
      <c r="Z594" s="58"/>
      <c r="AA594" s="58"/>
      <c r="AB594" s="58"/>
      <c r="AC594" s="58"/>
      <c r="AD594" s="58"/>
      <c r="AE594" s="138"/>
      <c r="AF594" s="136"/>
      <c r="AG594" s="136"/>
      <c r="AH594" s="136"/>
    </row>
    <row r="595" spans="1:34" s="132" customFormat="1" ht="12.75" customHeight="1" x14ac:dyDescent="0.25">
      <c r="A595" s="137"/>
      <c r="B595" s="139"/>
      <c r="C595" s="136"/>
      <c r="D595" s="131"/>
      <c r="E595" s="131"/>
      <c r="F595" s="58"/>
      <c r="G595" s="140"/>
      <c r="H595" s="140"/>
      <c r="I595" s="58"/>
      <c r="J595" s="58"/>
      <c r="K595" s="58"/>
      <c r="L595" s="58"/>
      <c r="M595" s="135"/>
      <c r="N595" s="135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35"/>
      <c r="Z595" s="58"/>
      <c r="AA595" s="58"/>
      <c r="AB595" s="58"/>
      <c r="AC595" s="58"/>
      <c r="AD595" s="58"/>
      <c r="AE595" s="138"/>
      <c r="AF595" s="136"/>
      <c r="AG595" s="136"/>
      <c r="AH595" s="136"/>
    </row>
    <row r="596" spans="1:34" s="132" customFormat="1" ht="12.75" customHeight="1" x14ac:dyDescent="0.25">
      <c r="A596" s="137"/>
      <c r="B596" s="139"/>
      <c r="C596" s="136"/>
      <c r="D596" s="131"/>
      <c r="E596" s="131"/>
      <c r="F596" s="58"/>
      <c r="G596" s="140"/>
      <c r="H596" s="140"/>
      <c r="I596" s="58"/>
      <c r="J596" s="58"/>
      <c r="K596" s="58"/>
      <c r="L596" s="58"/>
      <c r="M596" s="135"/>
      <c r="N596" s="135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35"/>
      <c r="Z596" s="58"/>
      <c r="AA596" s="58"/>
      <c r="AB596" s="58"/>
      <c r="AC596" s="58"/>
      <c r="AD596" s="58"/>
      <c r="AE596" s="138"/>
      <c r="AF596" s="136"/>
      <c r="AG596" s="136"/>
      <c r="AH596" s="136"/>
    </row>
    <row r="597" spans="1:34" s="132" customFormat="1" ht="12.75" customHeight="1" x14ac:dyDescent="0.25">
      <c r="A597" s="137"/>
      <c r="B597" s="139"/>
      <c r="C597" s="136"/>
      <c r="D597" s="131"/>
      <c r="E597" s="131"/>
      <c r="F597" s="58"/>
      <c r="G597" s="140"/>
      <c r="H597" s="140"/>
      <c r="I597" s="58"/>
      <c r="J597" s="58"/>
      <c r="K597" s="58"/>
      <c r="L597" s="58"/>
      <c r="M597" s="135"/>
      <c r="N597" s="135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35"/>
      <c r="Z597" s="58"/>
      <c r="AA597" s="58"/>
      <c r="AB597" s="58"/>
      <c r="AC597" s="58"/>
      <c r="AD597" s="58"/>
      <c r="AE597" s="138"/>
      <c r="AF597" s="136"/>
      <c r="AG597" s="136"/>
      <c r="AH597" s="136"/>
    </row>
    <row r="598" spans="1:34" s="132" customFormat="1" ht="12.75" customHeight="1" x14ac:dyDescent="0.25">
      <c r="A598" s="137"/>
      <c r="B598" s="139"/>
      <c r="C598" s="136"/>
      <c r="D598" s="131"/>
      <c r="E598" s="131"/>
      <c r="F598" s="58"/>
      <c r="G598" s="140"/>
      <c r="H598" s="140"/>
      <c r="I598" s="58"/>
      <c r="J598" s="58"/>
      <c r="K598" s="58"/>
      <c r="L598" s="58"/>
      <c r="M598" s="135"/>
      <c r="N598" s="135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35"/>
      <c r="Z598" s="58"/>
      <c r="AA598" s="58"/>
      <c r="AB598" s="58"/>
      <c r="AC598" s="58"/>
      <c r="AD598" s="58"/>
      <c r="AE598" s="138"/>
      <c r="AF598" s="136"/>
      <c r="AG598" s="136"/>
      <c r="AH598" s="136"/>
    </row>
    <row r="599" spans="1:34" s="132" customFormat="1" ht="12.75" customHeight="1" x14ac:dyDescent="0.25">
      <c r="A599" s="137"/>
      <c r="B599" s="139"/>
      <c r="C599" s="136"/>
      <c r="D599" s="131"/>
      <c r="E599" s="131"/>
      <c r="F599" s="58"/>
      <c r="G599" s="140"/>
      <c r="H599" s="140"/>
      <c r="I599" s="58"/>
      <c r="J599" s="58"/>
      <c r="K599" s="58"/>
      <c r="L599" s="58"/>
      <c r="M599" s="135"/>
      <c r="N599" s="135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35"/>
      <c r="Z599" s="58"/>
      <c r="AA599" s="58"/>
      <c r="AB599" s="58"/>
      <c r="AC599" s="58"/>
      <c r="AD599" s="58"/>
      <c r="AE599" s="138"/>
      <c r="AF599" s="136"/>
      <c r="AG599" s="136"/>
      <c r="AH599" s="136"/>
    </row>
    <row r="600" spans="1:34" s="132" customFormat="1" ht="12.75" customHeight="1" x14ac:dyDescent="0.25">
      <c r="A600" s="137"/>
      <c r="B600" s="139"/>
      <c r="C600" s="136"/>
      <c r="D600" s="131"/>
      <c r="E600" s="131"/>
      <c r="F600" s="58"/>
      <c r="G600" s="140"/>
      <c r="H600" s="140"/>
      <c r="I600" s="58"/>
      <c r="J600" s="58"/>
      <c r="K600" s="58"/>
      <c r="L600" s="58"/>
      <c r="M600" s="135"/>
      <c r="N600" s="135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35"/>
      <c r="Z600" s="58"/>
      <c r="AA600" s="58"/>
      <c r="AB600" s="58"/>
      <c r="AC600" s="58"/>
      <c r="AD600" s="58"/>
      <c r="AE600" s="138"/>
      <c r="AF600" s="136"/>
      <c r="AG600" s="136"/>
      <c r="AH600" s="136"/>
    </row>
    <row r="601" spans="1:34" s="132" customFormat="1" ht="12.75" customHeight="1" x14ac:dyDescent="0.25">
      <c r="A601" s="137"/>
      <c r="B601" s="139"/>
      <c r="C601" s="136"/>
      <c r="D601" s="131"/>
      <c r="E601" s="131"/>
      <c r="F601" s="58"/>
      <c r="G601" s="140"/>
      <c r="H601" s="140"/>
      <c r="I601" s="58"/>
      <c r="J601" s="58"/>
      <c r="K601" s="58"/>
      <c r="L601" s="58"/>
      <c r="M601" s="135"/>
      <c r="N601" s="135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35"/>
      <c r="Z601" s="58"/>
      <c r="AA601" s="58"/>
      <c r="AB601" s="58"/>
      <c r="AC601" s="58"/>
      <c r="AD601" s="58"/>
      <c r="AE601" s="138"/>
      <c r="AF601" s="136"/>
      <c r="AG601" s="136"/>
      <c r="AH601" s="136"/>
    </row>
    <row r="602" spans="1:34" s="132" customFormat="1" ht="12.75" customHeight="1" x14ac:dyDescent="0.25">
      <c r="A602" s="137"/>
      <c r="B602" s="139"/>
      <c r="C602" s="136"/>
      <c r="D602" s="131"/>
      <c r="E602" s="131"/>
      <c r="F602" s="58"/>
      <c r="G602" s="140"/>
      <c r="H602" s="140"/>
      <c r="I602" s="58"/>
      <c r="J602" s="58"/>
      <c r="K602" s="58"/>
      <c r="L602" s="58"/>
      <c r="M602" s="135"/>
      <c r="N602" s="135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35"/>
      <c r="Z602" s="58"/>
      <c r="AA602" s="58"/>
      <c r="AB602" s="58"/>
      <c r="AC602" s="58"/>
      <c r="AD602" s="58"/>
      <c r="AE602" s="138"/>
      <c r="AF602" s="136"/>
      <c r="AG602" s="136"/>
      <c r="AH602" s="136"/>
    </row>
    <row r="603" spans="1:34" s="132" customFormat="1" ht="12.75" customHeight="1" x14ac:dyDescent="0.25">
      <c r="A603" s="137"/>
      <c r="B603" s="139"/>
      <c r="C603" s="136"/>
      <c r="D603" s="131"/>
      <c r="E603" s="131"/>
      <c r="F603" s="58"/>
      <c r="G603" s="140"/>
      <c r="H603" s="140"/>
      <c r="I603" s="58"/>
      <c r="J603" s="58"/>
      <c r="K603" s="58"/>
      <c r="L603" s="58"/>
      <c r="M603" s="135"/>
      <c r="N603" s="135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35"/>
      <c r="Z603" s="58"/>
      <c r="AA603" s="58"/>
      <c r="AB603" s="58"/>
      <c r="AC603" s="58"/>
      <c r="AD603" s="58"/>
      <c r="AE603" s="138"/>
      <c r="AF603" s="136"/>
      <c r="AG603" s="136"/>
      <c r="AH603" s="136"/>
    </row>
    <row r="604" spans="1:34" s="132" customFormat="1" ht="12.75" customHeight="1" x14ac:dyDescent="0.25">
      <c r="A604" s="137"/>
      <c r="B604" s="139"/>
      <c r="C604" s="136"/>
      <c r="D604" s="131"/>
      <c r="E604" s="131"/>
      <c r="F604" s="58"/>
      <c r="G604" s="140"/>
      <c r="H604" s="140"/>
      <c r="I604" s="58"/>
      <c r="J604" s="58"/>
      <c r="K604" s="58"/>
      <c r="L604" s="58"/>
      <c r="M604" s="135"/>
      <c r="N604" s="135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35"/>
      <c r="Z604" s="58"/>
      <c r="AA604" s="58"/>
      <c r="AB604" s="58"/>
      <c r="AC604" s="58"/>
      <c r="AD604" s="58"/>
      <c r="AE604" s="138"/>
      <c r="AF604" s="136"/>
      <c r="AG604" s="136"/>
      <c r="AH604" s="136"/>
    </row>
    <row r="605" spans="1:34" s="132" customFormat="1" ht="12.75" customHeight="1" x14ac:dyDescent="0.25">
      <c r="A605" s="137"/>
      <c r="B605" s="139"/>
      <c r="C605" s="136"/>
      <c r="D605" s="131"/>
      <c r="E605" s="131"/>
      <c r="F605" s="58"/>
      <c r="G605" s="140"/>
      <c r="H605" s="140"/>
      <c r="I605" s="58"/>
      <c r="J605" s="58"/>
      <c r="K605" s="58"/>
      <c r="L605" s="58"/>
      <c r="M605" s="135"/>
      <c r="N605" s="135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35"/>
      <c r="Z605" s="58"/>
      <c r="AA605" s="58"/>
      <c r="AB605" s="58"/>
      <c r="AC605" s="58"/>
      <c r="AD605" s="58"/>
      <c r="AE605" s="138"/>
      <c r="AF605" s="136"/>
      <c r="AG605" s="136"/>
      <c r="AH605" s="136"/>
    </row>
    <row r="606" spans="1:34" s="132" customFormat="1" ht="12.75" customHeight="1" x14ac:dyDescent="0.25">
      <c r="A606" s="137"/>
      <c r="B606" s="139"/>
      <c r="C606" s="136"/>
      <c r="D606" s="131"/>
      <c r="E606" s="131"/>
      <c r="F606" s="58"/>
      <c r="G606" s="140"/>
      <c r="H606" s="140"/>
      <c r="I606" s="58"/>
      <c r="J606" s="58"/>
      <c r="K606" s="58"/>
      <c r="L606" s="58"/>
      <c r="M606" s="135"/>
      <c r="N606" s="135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35"/>
      <c r="Z606" s="58"/>
      <c r="AA606" s="58"/>
      <c r="AB606" s="58"/>
      <c r="AC606" s="58"/>
      <c r="AD606" s="58"/>
      <c r="AE606" s="138"/>
      <c r="AF606" s="136"/>
      <c r="AG606" s="136"/>
      <c r="AH606" s="136"/>
    </row>
    <row r="607" spans="1:34" s="132" customFormat="1" ht="12.75" customHeight="1" x14ac:dyDescent="0.25">
      <c r="A607" s="137"/>
      <c r="B607" s="139"/>
      <c r="C607" s="136"/>
      <c r="D607" s="131"/>
      <c r="E607" s="131"/>
      <c r="F607" s="58"/>
      <c r="G607" s="140"/>
      <c r="H607" s="140"/>
      <c r="I607" s="58"/>
      <c r="J607" s="58"/>
      <c r="K607" s="58"/>
      <c r="L607" s="58"/>
      <c r="M607" s="135"/>
      <c r="N607" s="135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35"/>
      <c r="Z607" s="58"/>
      <c r="AA607" s="58"/>
      <c r="AB607" s="58"/>
      <c r="AC607" s="58"/>
      <c r="AD607" s="58"/>
      <c r="AE607" s="138"/>
      <c r="AF607" s="136"/>
      <c r="AG607" s="136"/>
      <c r="AH607" s="136"/>
    </row>
    <row r="608" spans="1:34" s="132" customFormat="1" ht="12.75" customHeight="1" x14ac:dyDescent="0.25">
      <c r="A608" s="137"/>
      <c r="B608" s="139"/>
      <c r="C608" s="136"/>
      <c r="D608" s="131"/>
      <c r="E608" s="131"/>
      <c r="F608" s="58"/>
      <c r="G608" s="140"/>
      <c r="H608" s="140"/>
      <c r="I608" s="58"/>
      <c r="J608" s="58"/>
      <c r="K608" s="58"/>
      <c r="L608" s="58"/>
      <c r="M608" s="135"/>
      <c r="N608" s="135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35"/>
      <c r="Z608" s="58"/>
      <c r="AA608" s="58"/>
      <c r="AB608" s="58"/>
      <c r="AC608" s="58"/>
      <c r="AD608" s="58"/>
      <c r="AE608" s="138"/>
      <c r="AF608" s="136"/>
      <c r="AG608" s="136"/>
      <c r="AH608" s="136"/>
    </row>
    <row r="609" spans="1:34" s="132" customFormat="1" ht="12.75" customHeight="1" x14ac:dyDescent="0.25">
      <c r="A609" s="137"/>
      <c r="B609" s="139"/>
      <c r="C609" s="136"/>
      <c r="D609" s="131"/>
      <c r="E609" s="131"/>
      <c r="F609" s="58"/>
      <c r="G609" s="140"/>
      <c r="H609" s="140"/>
      <c r="I609" s="58"/>
      <c r="J609" s="58"/>
      <c r="K609" s="58"/>
      <c r="L609" s="58"/>
      <c r="M609" s="135"/>
      <c r="N609" s="135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35"/>
      <c r="Z609" s="58"/>
      <c r="AA609" s="58"/>
      <c r="AB609" s="58"/>
      <c r="AC609" s="58"/>
      <c r="AD609" s="58"/>
      <c r="AE609" s="138"/>
      <c r="AF609" s="136"/>
      <c r="AG609" s="136"/>
      <c r="AH609" s="136"/>
    </row>
    <row r="610" spans="1:34" s="132" customFormat="1" ht="12.75" customHeight="1" x14ac:dyDescent="0.25">
      <c r="A610" s="137"/>
      <c r="B610" s="139"/>
      <c r="C610" s="136"/>
      <c r="D610" s="131"/>
      <c r="E610" s="131"/>
      <c r="F610" s="58"/>
      <c r="G610" s="140"/>
      <c r="H610" s="140"/>
      <c r="I610" s="58"/>
      <c r="J610" s="58"/>
      <c r="K610" s="58"/>
      <c r="L610" s="58"/>
      <c r="M610" s="135"/>
      <c r="N610" s="135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35"/>
      <c r="Z610" s="58"/>
      <c r="AA610" s="58"/>
      <c r="AB610" s="58"/>
      <c r="AC610" s="58"/>
      <c r="AD610" s="58"/>
      <c r="AE610" s="138"/>
      <c r="AF610" s="136"/>
      <c r="AG610" s="136"/>
      <c r="AH610" s="136"/>
    </row>
    <row r="611" spans="1:34" s="132" customFormat="1" ht="12.75" customHeight="1" x14ac:dyDescent="0.25">
      <c r="A611" s="137"/>
      <c r="B611" s="139"/>
      <c r="C611" s="136"/>
      <c r="D611" s="131"/>
      <c r="E611" s="131"/>
      <c r="F611" s="58"/>
      <c r="G611" s="140"/>
      <c r="H611" s="140"/>
      <c r="I611" s="58"/>
      <c r="J611" s="58"/>
      <c r="K611" s="58"/>
      <c r="L611" s="58"/>
      <c r="M611" s="135"/>
      <c r="N611" s="135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35"/>
      <c r="Z611" s="58"/>
      <c r="AA611" s="58"/>
      <c r="AB611" s="58"/>
      <c r="AC611" s="58"/>
      <c r="AD611" s="58"/>
      <c r="AE611" s="138"/>
      <c r="AF611" s="136"/>
      <c r="AG611" s="136"/>
      <c r="AH611" s="136"/>
    </row>
    <row r="612" spans="1:34" s="132" customFormat="1" ht="12.75" customHeight="1" x14ac:dyDescent="0.25">
      <c r="A612" s="137"/>
      <c r="B612" s="139"/>
      <c r="C612" s="136"/>
      <c r="D612" s="131"/>
      <c r="E612" s="131"/>
      <c r="F612" s="58"/>
      <c r="G612" s="140"/>
      <c r="H612" s="140"/>
      <c r="I612" s="58"/>
      <c r="J612" s="58"/>
      <c r="K612" s="58"/>
      <c r="L612" s="58"/>
      <c r="M612" s="135"/>
      <c r="N612" s="135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35"/>
      <c r="Z612" s="58"/>
      <c r="AA612" s="58"/>
      <c r="AB612" s="58"/>
      <c r="AC612" s="58"/>
      <c r="AD612" s="58"/>
      <c r="AE612" s="138"/>
      <c r="AF612" s="136"/>
      <c r="AG612" s="136"/>
      <c r="AH612" s="136"/>
    </row>
    <row r="613" spans="1:34" s="132" customFormat="1" ht="12.75" customHeight="1" x14ac:dyDescent="0.25">
      <c r="A613" s="137"/>
      <c r="B613" s="139"/>
      <c r="C613" s="136"/>
      <c r="D613" s="131"/>
      <c r="E613" s="131"/>
      <c r="F613" s="58"/>
      <c r="G613" s="140"/>
      <c r="H613" s="140"/>
      <c r="I613" s="58"/>
      <c r="J613" s="58"/>
      <c r="K613" s="58"/>
      <c r="L613" s="58"/>
      <c r="M613" s="135"/>
      <c r="N613" s="135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35"/>
      <c r="Z613" s="58"/>
      <c r="AA613" s="58"/>
      <c r="AB613" s="58"/>
      <c r="AC613" s="58"/>
      <c r="AD613" s="58"/>
      <c r="AE613" s="138"/>
      <c r="AF613" s="136"/>
      <c r="AG613" s="136"/>
      <c r="AH613" s="136"/>
    </row>
    <row r="614" spans="1:34" s="132" customFormat="1" ht="12.75" customHeight="1" x14ac:dyDescent="0.25">
      <c r="A614" s="137"/>
      <c r="B614" s="139"/>
      <c r="C614" s="136"/>
      <c r="D614" s="131"/>
      <c r="E614" s="131"/>
      <c r="F614" s="58"/>
      <c r="G614" s="140"/>
      <c r="H614" s="140"/>
      <c r="I614" s="58"/>
      <c r="J614" s="58"/>
      <c r="K614" s="58"/>
      <c r="L614" s="58"/>
      <c r="M614" s="135"/>
      <c r="N614" s="135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35"/>
      <c r="Z614" s="58"/>
      <c r="AA614" s="58"/>
      <c r="AB614" s="58"/>
      <c r="AC614" s="58"/>
      <c r="AD614" s="58"/>
      <c r="AE614" s="138"/>
      <c r="AF614" s="136"/>
      <c r="AG614" s="136"/>
      <c r="AH614" s="136"/>
    </row>
    <row r="615" spans="1:34" s="132" customFormat="1" ht="12.75" customHeight="1" x14ac:dyDescent="0.25">
      <c r="A615" s="137"/>
      <c r="B615" s="139"/>
      <c r="C615" s="136"/>
      <c r="D615" s="131"/>
      <c r="E615" s="131"/>
      <c r="F615" s="58"/>
      <c r="G615" s="140"/>
      <c r="H615" s="140"/>
      <c r="I615" s="58"/>
      <c r="J615" s="58"/>
      <c r="K615" s="58"/>
      <c r="L615" s="58"/>
      <c r="M615" s="135"/>
      <c r="N615" s="135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35"/>
      <c r="Z615" s="58"/>
      <c r="AA615" s="58"/>
      <c r="AB615" s="58"/>
      <c r="AC615" s="58"/>
      <c r="AD615" s="58"/>
      <c r="AE615" s="138"/>
      <c r="AF615" s="136"/>
      <c r="AG615" s="136"/>
      <c r="AH615" s="136"/>
    </row>
    <row r="616" spans="1:34" s="132" customFormat="1" ht="12.75" customHeight="1" x14ac:dyDescent="0.25">
      <c r="A616" s="137"/>
      <c r="B616" s="139"/>
      <c r="C616" s="136"/>
      <c r="D616" s="131"/>
      <c r="E616" s="131"/>
      <c r="F616" s="58"/>
      <c r="G616" s="140"/>
      <c r="H616" s="140"/>
      <c r="I616" s="58"/>
      <c r="J616" s="58"/>
      <c r="K616" s="58"/>
      <c r="L616" s="58"/>
      <c r="M616" s="135"/>
      <c r="N616" s="135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35"/>
      <c r="Z616" s="58"/>
      <c r="AA616" s="58"/>
      <c r="AB616" s="58"/>
      <c r="AC616" s="58"/>
      <c r="AD616" s="58"/>
      <c r="AE616" s="138"/>
      <c r="AF616" s="136"/>
      <c r="AG616" s="136"/>
      <c r="AH616" s="136"/>
    </row>
    <row r="617" spans="1:34" s="132" customFormat="1" ht="12.75" customHeight="1" x14ac:dyDescent="0.25">
      <c r="A617" s="137"/>
      <c r="B617" s="139"/>
      <c r="C617" s="136"/>
      <c r="D617" s="131"/>
      <c r="E617" s="131"/>
      <c r="F617" s="58"/>
      <c r="G617" s="140"/>
      <c r="H617" s="140"/>
      <c r="I617" s="58"/>
      <c r="J617" s="58"/>
      <c r="K617" s="58"/>
      <c r="L617" s="58"/>
      <c r="M617" s="135"/>
      <c r="N617" s="135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35"/>
      <c r="Z617" s="58"/>
      <c r="AA617" s="58"/>
      <c r="AB617" s="58"/>
      <c r="AC617" s="58"/>
      <c r="AD617" s="58"/>
      <c r="AE617" s="138"/>
      <c r="AF617" s="136"/>
      <c r="AG617" s="136"/>
      <c r="AH617" s="136"/>
    </row>
    <row r="618" spans="1:34" s="132" customFormat="1" ht="12.75" customHeight="1" x14ac:dyDescent="0.25">
      <c r="A618" s="137"/>
      <c r="B618" s="139"/>
      <c r="C618" s="136"/>
      <c r="D618" s="131"/>
      <c r="E618" s="131"/>
      <c r="F618" s="58"/>
      <c r="G618" s="140"/>
      <c r="H618" s="140"/>
      <c r="I618" s="58"/>
      <c r="J618" s="58"/>
      <c r="K618" s="58"/>
      <c r="L618" s="58"/>
      <c r="M618" s="135"/>
      <c r="N618" s="135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35"/>
      <c r="Z618" s="58"/>
      <c r="AA618" s="58"/>
      <c r="AB618" s="58"/>
      <c r="AC618" s="58"/>
      <c r="AD618" s="58"/>
      <c r="AE618" s="138"/>
      <c r="AF618" s="136"/>
      <c r="AG618" s="136"/>
      <c r="AH618" s="136"/>
    </row>
    <row r="619" spans="1:34" s="132" customFormat="1" ht="12.75" customHeight="1" x14ac:dyDescent="0.25">
      <c r="A619" s="137"/>
      <c r="B619" s="139"/>
      <c r="C619" s="136"/>
      <c r="D619" s="131"/>
      <c r="E619" s="131"/>
      <c r="F619" s="58"/>
      <c r="G619" s="140"/>
      <c r="H619" s="140"/>
      <c r="I619" s="58"/>
      <c r="J619" s="58"/>
      <c r="K619" s="58"/>
      <c r="L619" s="58"/>
      <c r="M619" s="135"/>
      <c r="N619" s="135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35"/>
      <c r="Z619" s="58"/>
      <c r="AA619" s="58"/>
      <c r="AB619" s="58"/>
      <c r="AC619" s="58"/>
      <c r="AD619" s="58"/>
      <c r="AE619" s="138"/>
      <c r="AF619" s="136"/>
      <c r="AG619" s="136"/>
      <c r="AH619" s="136"/>
    </row>
    <row r="620" spans="1:34" s="132" customFormat="1" ht="12.75" customHeight="1" x14ac:dyDescent="0.25">
      <c r="A620" s="137"/>
      <c r="B620" s="139"/>
      <c r="C620" s="136"/>
      <c r="D620" s="131"/>
      <c r="E620" s="131"/>
      <c r="F620" s="58"/>
      <c r="G620" s="140"/>
      <c r="H620" s="140"/>
      <c r="I620" s="58"/>
      <c r="J620" s="58"/>
      <c r="K620" s="58"/>
      <c r="L620" s="58"/>
      <c r="M620" s="135"/>
      <c r="N620" s="135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35"/>
      <c r="Z620" s="58"/>
      <c r="AA620" s="58"/>
      <c r="AB620" s="58"/>
      <c r="AC620" s="58"/>
      <c r="AD620" s="58"/>
      <c r="AE620" s="138"/>
      <c r="AF620" s="136"/>
      <c r="AG620" s="136"/>
      <c r="AH620" s="136"/>
    </row>
    <row r="621" spans="1:34" s="132" customFormat="1" ht="12.75" customHeight="1" x14ac:dyDescent="0.25">
      <c r="A621" s="137"/>
      <c r="B621" s="139"/>
      <c r="C621" s="136"/>
      <c r="D621" s="131"/>
      <c r="E621" s="131"/>
      <c r="F621" s="58"/>
      <c r="G621" s="140"/>
      <c r="H621" s="140"/>
      <c r="I621" s="58"/>
      <c r="J621" s="58"/>
      <c r="K621" s="58"/>
      <c r="L621" s="58"/>
      <c r="M621" s="135"/>
      <c r="N621" s="135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35"/>
      <c r="Z621" s="58"/>
      <c r="AA621" s="58"/>
      <c r="AB621" s="58"/>
      <c r="AC621" s="58"/>
      <c r="AD621" s="58"/>
      <c r="AE621" s="138"/>
      <c r="AF621" s="136"/>
      <c r="AG621" s="136"/>
      <c r="AH621" s="136"/>
    </row>
    <row r="622" spans="1:34" s="132" customFormat="1" ht="12.75" customHeight="1" x14ac:dyDescent="0.25">
      <c r="A622" s="137"/>
      <c r="B622" s="139"/>
      <c r="C622" s="136"/>
      <c r="D622" s="131"/>
      <c r="E622" s="131"/>
      <c r="F622" s="58"/>
      <c r="G622" s="140"/>
      <c r="H622" s="140"/>
      <c r="I622" s="58"/>
      <c r="J622" s="58"/>
      <c r="K622" s="58"/>
      <c r="L622" s="58"/>
      <c r="M622" s="135"/>
      <c r="N622" s="135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35"/>
      <c r="Z622" s="58"/>
      <c r="AA622" s="58"/>
      <c r="AB622" s="58"/>
      <c r="AC622" s="58"/>
      <c r="AD622" s="58"/>
      <c r="AE622" s="138"/>
      <c r="AF622" s="136"/>
      <c r="AG622" s="136"/>
      <c r="AH622" s="136"/>
    </row>
    <row r="623" spans="1:34" s="132" customFormat="1" ht="12.75" customHeight="1" x14ac:dyDescent="0.25">
      <c r="A623" s="137"/>
      <c r="B623" s="139"/>
      <c r="C623" s="136"/>
      <c r="D623" s="131"/>
      <c r="E623" s="131"/>
      <c r="F623" s="58"/>
      <c r="G623" s="140"/>
      <c r="H623" s="140"/>
      <c r="I623" s="58"/>
      <c r="J623" s="58"/>
      <c r="K623" s="58"/>
      <c r="L623" s="58"/>
      <c r="M623" s="135"/>
      <c r="N623" s="135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35"/>
      <c r="Z623" s="58"/>
      <c r="AA623" s="58"/>
      <c r="AB623" s="58"/>
      <c r="AC623" s="58"/>
      <c r="AD623" s="58"/>
      <c r="AE623" s="138"/>
      <c r="AF623" s="136"/>
      <c r="AG623" s="136"/>
      <c r="AH623" s="136"/>
    </row>
    <row r="624" spans="1:34" s="132" customFormat="1" ht="12.75" customHeight="1" x14ac:dyDescent="0.25">
      <c r="A624" s="137"/>
      <c r="B624" s="139"/>
      <c r="C624" s="136"/>
      <c r="D624" s="131"/>
      <c r="E624" s="131"/>
      <c r="F624" s="58"/>
      <c r="G624" s="140"/>
      <c r="H624" s="140"/>
      <c r="I624" s="58"/>
      <c r="J624" s="58"/>
      <c r="K624" s="58"/>
      <c r="L624" s="58"/>
      <c r="M624" s="135"/>
      <c r="N624" s="135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35"/>
      <c r="Z624" s="58"/>
      <c r="AA624" s="58"/>
      <c r="AB624" s="58"/>
      <c r="AC624" s="58"/>
      <c r="AD624" s="58"/>
      <c r="AE624" s="138"/>
      <c r="AF624" s="136"/>
      <c r="AG624" s="136"/>
      <c r="AH624" s="136"/>
    </row>
    <row r="625" spans="1:34" s="132" customFormat="1" ht="12.75" customHeight="1" x14ac:dyDescent="0.25">
      <c r="A625" s="137"/>
      <c r="B625" s="139"/>
      <c r="C625" s="136"/>
      <c r="D625" s="131"/>
      <c r="E625" s="131"/>
      <c r="F625" s="58"/>
      <c r="G625" s="140"/>
      <c r="H625" s="140"/>
      <c r="I625" s="58"/>
      <c r="J625" s="58"/>
      <c r="K625" s="58"/>
      <c r="L625" s="58"/>
      <c r="M625" s="135"/>
      <c r="N625" s="135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35"/>
      <c r="Z625" s="58"/>
      <c r="AA625" s="58"/>
      <c r="AB625" s="58"/>
      <c r="AC625" s="58"/>
      <c r="AD625" s="58"/>
      <c r="AE625" s="138"/>
      <c r="AF625" s="136"/>
      <c r="AG625" s="136"/>
      <c r="AH625" s="136"/>
    </row>
    <row r="626" spans="1:34" s="132" customFormat="1" ht="12.75" customHeight="1" x14ac:dyDescent="0.25">
      <c r="A626" s="137"/>
      <c r="B626" s="139"/>
      <c r="C626" s="136"/>
      <c r="D626" s="131"/>
      <c r="E626" s="131"/>
      <c r="F626" s="58"/>
      <c r="G626" s="140"/>
      <c r="H626" s="140"/>
      <c r="I626" s="58"/>
      <c r="J626" s="58"/>
      <c r="K626" s="58"/>
      <c r="L626" s="58"/>
      <c r="M626" s="135"/>
      <c r="N626" s="135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35"/>
      <c r="Z626" s="58"/>
      <c r="AA626" s="58"/>
      <c r="AB626" s="58"/>
      <c r="AC626" s="58"/>
      <c r="AD626" s="58"/>
      <c r="AE626" s="138"/>
      <c r="AF626" s="136"/>
      <c r="AG626" s="136"/>
      <c r="AH626" s="136"/>
    </row>
    <row r="627" spans="1:34" s="132" customFormat="1" ht="12.75" customHeight="1" x14ac:dyDescent="0.25">
      <c r="A627" s="137"/>
      <c r="B627" s="139"/>
      <c r="C627" s="136"/>
      <c r="D627" s="131"/>
      <c r="E627" s="131"/>
      <c r="F627" s="58"/>
      <c r="G627" s="140"/>
      <c r="H627" s="140"/>
      <c r="I627" s="58"/>
      <c r="J627" s="58"/>
      <c r="K627" s="58"/>
      <c r="L627" s="58"/>
      <c r="M627" s="135"/>
      <c r="N627" s="135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35"/>
      <c r="Z627" s="58"/>
      <c r="AA627" s="58"/>
      <c r="AB627" s="58"/>
      <c r="AC627" s="58"/>
      <c r="AD627" s="58"/>
      <c r="AE627" s="138"/>
      <c r="AF627" s="136"/>
      <c r="AG627" s="136"/>
      <c r="AH627" s="136"/>
    </row>
    <row r="628" spans="1:34" s="132" customFormat="1" ht="12.75" customHeight="1" x14ac:dyDescent="0.25">
      <c r="A628" s="137"/>
      <c r="B628" s="139"/>
      <c r="C628" s="136"/>
      <c r="D628" s="131"/>
      <c r="E628" s="131"/>
      <c r="F628" s="58"/>
      <c r="G628" s="140"/>
      <c r="H628" s="140"/>
      <c r="I628" s="58"/>
      <c r="J628" s="58"/>
      <c r="K628" s="58"/>
      <c r="L628" s="58"/>
      <c r="M628" s="135"/>
      <c r="N628" s="135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35"/>
      <c r="Z628" s="58"/>
      <c r="AA628" s="58"/>
      <c r="AB628" s="58"/>
      <c r="AC628" s="58"/>
      <c r="AD628" s="58"/>
      <c r="AE628" s="138"/>
      <c r="AF628" s="136"/>
      <c r="AG628" s="136"/>
      <c r="AH628" s="136"/>
    </row>
    <row r="629" spans="1:34" s="132" customFormat="1" ht="12.75" customHeight="1" x14ac:dyDescent="0.25">
      <c r="A629" s="137"/>
      <c r="B629" s="139"/>
      <c r="C629" s="136"/>
      <c r="D629" s="131"/>
      <c r="E629" s="131"/>
      <c r="F629" s="58"/>
      <c r="G629" s="140"/>
      <c r="H629" s="140"/>
      <c r="I629" s="58"/>
      <c r="J629" s="58"/>
      <c r="K629" s="58"/>
      <c r="L629" s="58"/>
      <c r="M629" s="135"/>
      <c r="N629" s="135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35"/>
      <c r="Z629" s="58"/>
      <c r="AA629" s="58"/>
      <c r="AB629" s="58"/>
      <c r="AC629" s="58"/>
      <c r="AD629" s="58"/>
      <c r="AE629" s="138"/>
      <c r="AF629" s="136"/>
      <c r="AG629" s="136"/>
      <c r="AH629" s="136"/>
    </row>
    <row r="630" spans="1:34" s="132" customFormat="1" ht="12.75" customHeight="1" x14ac:dyDescent="0.25">
      <c r="A630" s="137"/>
      <c r="B630" s="139"/>
      <c r="C630" s="136"/>
      <c r="D630" s="131"/>
      <c r="E630" s="131"/>
      <c r="F630" s="58"/>
      <c r="G630" s="140"/>
      <c r="H630" s="140"/>
      <c r="I630" s="58"/>
      <c r="J630" s="58"/>
      <c r="K630" s="58"/>
      <c r="L630" s="58"/>
      <c r="M630" s="135"/>
      <c r="N630" s="135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35"/>
      <c r="Z630" s="58"/>
      <c r="AA630" s="58"/>
      <c r="AB630" s="58"/>
      <c r="AC630" s="58"/>
      <c r="AD630" s="58"/>
      <c r="AE630" s="138"/>
      <c r="AF630" s="136"/>
      <c r="AG630" s="136"/>
      <c r="AH630" s="136"/>
    </row>
    <row r="631" spans="1:34" s="132" customFormat="1" ht="12.75" customHeight="1" x14ac:dyDescent="0.25">
      <c r="A631" s="137"/>
      <c r="B631" s="139"/>
      <c r="C631" s="136"/>
      <c r="D631" s="131"/>
      <c r="E631" s="131"/>
      <c r="F631" s="58"/>
      <c r="G631" s="140"/>
      <c r="H631" s="140"/>
      <c r="I631" s="58"/>
      <c r="J631" s="58"/>
      <c r="K631" s="58"/>
      <c r="L631" s="58"/>
      <c r="M631" s="135"/>
      <c r="N631" s="135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35"/>
      <c r="Z631" s="58"/>
      <c r="AA631" s="58"/>
      <c r="AB631" s="58"/>
      <c r="AC631" s="58"/>
      <c r="AD631" s="58"/>
      <c r="AE631" s="138"/>
      <c r="AF631" s="136"/>
      <c r="AG631" s="136"/>
      <c r="AH631" s="136"/>
    </row>
    <row r="632" spans="1:34" s="132" customFormat="1" ht="12.75" customHeight="1" x14ac:dyDescent="0.25">
      <c r="A632" s="137"/>
      <c r="B632" s="139"/>
      <c r="C632" s="136"/>
      <c r="D632" s="131"/>
      <c r="E632" s="131"/>
      <c r="F632" s="58"/>
      <c r="G632" s="140"/>
      <c r="H632" s="140"/>
      <c r="I632" s="58"/>
      <c r="J632" s="58"/>
      <c r="K632" s="58"/>
      <c r="L632" s="58"/>
      <c r="M632" s="135"/>
      <c r="N632" s="135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35"/>
      <c r="Z632" s="58"/>
      <c r="AA632" s="58"/>
      <c r="AB632" s="58"/>
      <c r="AC632" s="58"/>
      <c r="AD632" s="58"/>
      <c r="AE632" s="138"/>
      <c r="AF632" s="136"/>
      <c r="AG632" s="136"/>
      <c r="AH632" s="136"/>
    </row>
    <row r="633" spans="1:34" s="132" customFormat="1" ht="12.75" customHeight="1" x14ac:dyDescent="0.25">
      <c r="A633" s="137"/>
      <c r="B633" s="139"/>
      <c r="C633" s="136"/>
      <c r="D633" s="131"/>
      <c r="E633" s="131"/>
      <c r="F633" s="58"/>
      <c r="G633" s="140"/>
      <c r="H633" s="140"/>
      <c r="I633" s="58"/>
      <c r="J633" s="58"/>
      <c r="K633" s="58"/>
      <c r="L633" s="58"/>
      <c r="M633" s="135"/>
      <c r="N633" s="135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35"/>
      <c r="Z633" s="58"/>
      <c r="AA633" s="58"/>
      <c r="AB633" s="58"/>
      <c r="AC633" s="58"/>
      <c r="AD633" s="58"/>
      <c r="AE633" s="138"/>
      <c r="AF633" s="136"/>
      <c r="AG633" s="136"/>
      <c r="AH633" s="136"/>
    </row>
    <row r="634" spans="1:34" s="132" customFormat="1" ht="12.75" customHeight="1" x14ac:dyDescent="0.25">
      <c r="A634" s="137"/>
      <c r="B634" s="139"/>
      <c r="C634" s="136"/>
      <c r="D634" s="131"/>
      <c r="E634" s="131"/>
      <c r="F634" s="58"/>
      <c r="G634" s="140"/>
      <c r="H634" s="140"/>
      <c r="I634" s="58"/>
      <c r="J634" s="58"/>
      <c r="K634" s="58"/>
      <c r="L634" s="58"/>
      <c r="M634" s="135"/>
      <c r="N634" s="135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35"/>
      <c r="Z634" s="58"/>
      <c r="AA634" s="58"/>
      <c r="AB634" s="58"/>
      <c r="AC634" s="58"/>
      <c r="AD634" s="58"/>
      <c r="AE634" s="138"/>
      <c r="AF634" s="136"/>
      <c r="AG634" s="136"/>
      <c r="AH634" s="136"/>
    </row>
    <row r="635" spans="1:34" s="132" customFormat="1" ht="12.75" customHeight="1" x14ac:dyDescent="0.25">
      <c r="A635" s="137"/>
      <c r="B635" s="139"/>
      <c r="C635" s="136"/>
      <c r="D635" s="131"/>
      <c r="E635" s="131"/>
      <c r="F635" s="58"/>
      <c r="G635" s="140"/>
      <c r="H635" s="140"/>
      <c r="I635" s="58"/>
      <c r="J635" s="58"/>
      <c r="K635" s="58"/>
      <c r="L635" s="58"/>
      <c r="M635" s="135"/>
      <c r="N635" s="135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35"/>
      <c r="Z635" s="58"/>
      <c r="AA635" s="58"/>
      <c r="AB635" s="58"/>
      <c r="AC635" s="58"/>
      <c r="AD635" s="58"/>
      <c r="AE635" s="138"/>
      <c r="AF635" s="136"/>
      <c r="AG635" s="136"/>
      <c r="AH635" s="136"/>
    </row>
    <row r="636" spans="1:34" s="132" customFormat="1" ht="12.75" customHeight="1" x14ac:dyDescent="0.25">
      <c r="A636" s="137"/>
      <c r="B636" s="139"/>
      <c r="C636" s="136"/>
      <c r="D636" s="131"/>
      <c r="E636" s="131"/>
      <c r="F636" s="58"/>
      <c r="G636" s="140"/>
      <c r="H636" s="140"/>
      <c r="I636" s="58"/>
      <c r="J636" s="58"/>
      <c r="K636" s="58"/>
      <c r="L636" s="58"/>
      <c r="M636" s="135"/>
      <c r="N636" s="135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35"/>
      <c r="Z636" s="58"/>
      <c r="AA636" s="58"/>
      <c r="AB636" s="58"/>
      <c r="AC636" s="58"/>
      <c r="AD636" s="58"/>
      <c r="AE636" s="138"/>
      <c r="AF636" s="136"/>
      <c r="AG636" s="136"/>
      <c r="AH636" s="136"/>
    </row>
    <row r="637" spans="1:34" s="132" customFormat="1" ht="12.75" customHeight="1" x14ac:dyDescent="0.25">
      <c r="A637" s="137"/>
      <c r="B637" s="139"/>
      <c r="C637" s="136"/>
      <c r="D637" s="131"/>
      <c r="E637" s="131"/>
      <c r="F637" s="58"/>
      <c r="G637" s="140"/>
      <c r="H637" s="140"/>
      <c r="I637" s="58"/>
      <c r="J637" s="58"/>
      <c r="K637" s="58"/>
      <c r="L637" s="58"/>
      <c r="M637" s="135"/>
      <c r="N637" s="135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35"/>
      <c r="Z637" s="58"/>
      <c r="AA637" s="58"/>
      <c r="AB637" s="58"/>
      <c r="AC637" s="58"/>
      <c r="AD637" s="58"/>
      <c r="AE637" s="138"/>
      <c r="AF637" s="136"/>
      <c r="AG637" s="136"/>
      <c r="AH637" s="136"/>
    </row>
    <row r="638" spans="1:34" s="132" customFormat="1" ht="12.75" customHeight="1" x14ac:dyDescent="0.25">
      <c r="A638" s="137"/>
      <c r="B638" s="139"/>
      <c r="C638" s="136"/>
      <c r="D638" s="131"/>
      <c r="E638" s="131"/>
      <c r="F638" s="58"/>
      <c r="G638" s="140"/>
      <c r="H638" s="140"/>
      <c r="I638" s="58"/>
      <c r="J638" s="58"/>
      <c r="K638" s="58"/>
      <c r="L638" s="58"/>
      <c r="M638" s="135"/>
      <c r="N638" s="135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35"/>
      <c r="Z638" s="58"/>
      <c r="AA638" s="58"/>
      <c r="AB638" s="58"/>
      <c r="AC638" s="58"/>
      <c r="AD638" s="58"/>
      <c r="AE638" s="138"/>
      <c r="AF638" s="136"/>
      <c r="AG638" s="136"/>
      <c r="AH638" s="136"/>
    </row>
    <row r="639" spans="1:34" s="132" customFormat="1" ht="12.75" customHeight="1" x14ac:dyDescent="0.25">
      <c r="A639" s="137"/>
      <c r="B639" s="139"/>
      <c r="C639" s="136"/>
      <c r="D639" s="131"/>
      <c r="E639" s="131"/>
      <c r="F639" s="58"/>
      <c r="G639" s="140"/>
      <c r="H639" s="140"/>
      <c r="I639" s="58"/>
      <c r="J639" s="58"/>
      <c r="K639" s="58"/>
      <c r="L639" s="58"/>
      <c r="M639" s="135"/>
      <c r="N639" s="135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35"/>
      <c r="Z639" s="58"/>
      <c r="AA639" s="58"/>
      <c r="AB639" s="58"/>
      <c r="AC639" s="58"/>
      <c r="AD639" s="58"/>
      <c r="AE639" s="138"/>
      <c r="AF639" s="136"/>
      <c r="AG639" s="136"/>
      <c r="AH639" s="136"/>
    </row>
    <row r="640" spans="1:34" s="132" customFormat="1" ht="12.75" customHeight="1" x14ac:dyDescent="0.25">
      <c r="A640" s="137"/>
      <c r="B640" s="139"/>
      <c r="C640" s="136"/>
      <c r="D640" s="131"/>
      <c r="E640" s="131"/>
      <c r="F640" s="58"/>
      <c r="G640" s="140"/>
      <c r="H640" s="140"/>
      <c r="I640" s="58"/>
      <c r="J640" s="58"/>
      <c r="K640" s="58"/>
      <c r="L640" s="58"/>
      <c r="M640" s="135"/>
      <c r="N640" s="135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35"/>
      <c r="Z640" s="58"/>
      <c r="AA640" s="58"/>
      <c r="AB640" s="58"/>
      <c r="AC640" s="58"/>
      <c r="AD640" s="58"/>
      <c r="AE640" s="138"/>
      <c r="AF640" s="136"/>
      <c r="AG640" s="136"/>
      <c r="AH640" s="136"/>
    </row>
    <row r="641" spans="1:34" s="132" customFormat="1" ht="12.75" customHeight="1" x14ac:dyDescent="0.25">
      <c r="A641" s="137"/>
      <c r="B641" s="139"/>
      <c r="C641" s="136"/>
      <c r="D641" s="131"/>
      <c r="E641" s="131"/>
      <c r="F641" s="58"/>
      <c r="G641" s="140"/>
      <c r="H641" s="140"/>
      <c r="I641" s="58"/>
      <c r="J641" s="58"/>
      <c r="K641" s="58"/>
      <c r="L641" s="58"/>
      <c r="M641" s="135"/>
      <c r="N641" s="135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35"/>
      <c r="Z641" s="58"/>
      <c r="AA641" s="58"/>
      <c r="AB641" s="58"/>
      <c r="AC641" s="58"/>
      <c r="AD641" s="58"/>
      <c r="AE641" s="138"/>
      <c r="AF641" s="136"/>
      <c r="AG641" s="136"/>
      <c r="AH641" s="136"/>
    </row>
    <row r="642" spans="1:34" s="132" customFormat="1" ht="12.75" customHeight="1" x14ac:dyDescent="0.25">
      <c r="A642" s="137"/>
      <c r="B642" s="139"/>
      <c r="C642" s="136"/>
      <c r="D642" s="131"/>
      <c r="E642" s="131"/>
      <c r="F642" s="58"/>
      <c r="G642" s="140"/>
      <c r="H642" s="140"/>
      <c r="I642" s="58"/>
      <c r="J642" s="58"/>
      <c r="K642" s="58"/>
      <c r="L642" s="58"/>
      <c r="M642" s="135"/>
      <c r="N642" s="135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35"/>
      <c r="Z642" s="58"/>
      <c r="AA642" s="58"/>
      <c r="AB642" s="58"/>
      <c r="AC642" s="58"/>
      <c r="AD642" s="58"/>
      <c r="AE642" s="138"/>
      <c r="AF642" s="136"/>
      <c r="AG642" s="136"/>
      <c r="AH642" s="136"/>
    </row>
    <row r="643" spans="1:34" s="132" customFormat="1" ht="12.75" customHeight="1" x14ac:dyDescent="0.25">
      <c r="A643" s="137"/>
      <c r="B643" s="139"/>
      <c r="C643" s="136"/>
      <c r="D643" s="131"/>
      <c r="E643" s="131"/>
      <c r="F643" s="58"/>
      <c r="G643" s="140"/>
      <c r="H643" s="140"/>
      <c r="I643" s="58"/>
      <c r="J643" s="58"/>
      <c r="K643" s="58"/>
      <c r="L643" s="58"/>
      <c r="M643" s="135"/>
      <c r="N643" s="135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35"/>
      <c r="Z643" s="58"/>
      <c r="AA643" s="58"/>
      <c r="AB643" s="58"/>
      <c r="AC643" s="58"/>
      <c r="AD643" s="58"/>
      <c r="AE643" s="138"/>
      <c r="AF643" s="136"/>
      <c r="AG643" s="136"/>
      <c r="AH643" s="136"/>
    </row>
    <row r="644" spans="1:34" s="132" customFormat="1" ht="12.75" customHeight="1" x14ac:dyDescent="0.25">
      <c r="A644" s="137"/>
      <c r="B644" s="139"/>
      <c r="C644" s="136"/>
      <c r="D644" s="131"/>
      <c r="E644" s="131"/>
      <c r="F644" s="58"/>
      <c r="G644" s="140"/>
      <c r="H644" s="140"/>
      <c r="I644" s="58"/>
      <c r="J644" s="58"/>
      <c r="K644" s="58"/>
      <c r="L644" s="58"/>
      <c r="M644" s="135"/>
      <c r="N644" s="135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35"/>
      <c r="Z644" s="58"/>
      <c r="AA644" s="58"/>
      <c r="AB644" s="58"/>
      <c r="AC644" s="58"/>
      <c r="AD644" s="58"/>
      <c r="AE644" s="138"/>
      <c r="AF644" s="136"/>
      <c r="AG644" s="136"/>
      <c r="AH644" s="136"/>
    </row>
    <row r="645" spans="1:34" s="132" customFormat="1" ht="12.75" customHeight="1" x14ac:dyDescent="0.25">
      <c r="A645" s="137"/>
      <c r="B645" s="139"/>
      <c r="C645" s="136"/>
      <c r="D645" s="131"/>
      <c r="E645" s="131"/>
      <c r="F645" s="58"/>
      <c r="G645" s="140"/>
      <c r="H645" s="140"/>
      <c r="I645" s="58"/>
      <c r="J645" s="58"/>
      <c r="K645" s="58"/>
      <c r="L645" s="58"/>
      <c r="M645" s="135"/>
      <c r="N645" s="135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35"/>
      <c r="Z645" s="58"/>
      <c r="AA645" s="58"/>
      <c r="AB645" s="58"/>
      <c r="AC645" s="58"/>
      <c r="AD645" s="58"/>
      <c r="AE645" s="138"/>
      <c r="AF645" s="136"/>
      <c r="AG645" s="136"/>
      <c r="AH645" s="136"/>
    </row>
    <row r="646" spans="1:34" s="132" customFormat="1" ht="12.75" customHeight="1" x14ac:dyDescent="0.25">
      <c r="A646" s="137"/>
      <c r="B646" s="139"/>
      <c r="C646" s="136"/>
      <c r="D646" s="131"/>
      <c r="E646" s="131"/>
      <c r="F646" s="58"/>
      <c r="G646" s="140"/>
      <c r="H646" s="140"/>
      <c r="I646" s="58"/>
      <c r="J646" s="58"/>
      <c r="K646" s="58"/>
      <c r="L646" s="58"/>
      <c r="M646" s="135"/>
      <c r="N646" s="135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35"/>
      <c r="Z646" s="58"/>
      <c r="AA646" s="58"/>
      <c r="AB646" s="58"/>
      <c r="AC646" s="58"/>
      <c r="AD646" s="58"/>
      <c r="AE646" s="138"/>
      <c r="AF646" s="136"/>
      <c r="AG646" s="136"/>
      <c r="AH646" s="136"/>
    </row>
    <row r="647" spans="1:34" s="132" customFormat="1" ht="12.75" customHeight="1" x14ac:dyDescent="0.25">
      <c r="A647" s="137"/>
      <c r="B647" s="139"/>
      <c r="C647" s="136"/>
      <c r="D647" s="131"/>
      <c r="E647" s="131"/>
      <c r="F647" s="58"/>
      <c r="G647" s="140"/>
      <c r="H647" s="140"/>
      <c r="I647" s="58"/>
      <c r="J647" s="58"/>
      <c r="K647" s="58"/>
      <c r="L647" s="58"/>
      <c r="M647" s="135"/>
      <c r="N647" s="135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35"/>
      <c r="Z647" s="58"/>
      <c r="AA647" s="58"/>
      <c r="AB647" s="58"/>
      <c r="AC647" s="58"/>
      <c r="AD647" s="58"/>
      <c r="AE647" s="138"/>
      <c r="AF647" s="136"/>
      <c r="AG647" s="136"/>
      <c r="AH647" s="136"/>
    </row>
    <row r="648" spans="1:34" s="132" customFormat="1" ht="12.75" customHeight="1" x14ac:dyDescent="0.25">
      <c r="A648" s="137"/>
      <c r="B648" s="139"/>
      <c r="C648" s="136"/>
      <c r="D648" s="131"/>
      <c r="E648" s="131"/>
      <c r="F648" s="58"/>
      <c r="G648" s="140"/>
      <c r="H648" s="140"/>
      <c r="I648" s="58"/>
      <c r="J648" s="58"/>
      <c r="K648" s="58"/>
      <c r="L648" s="58"/>
      <c r="M648" s="135"/>
      <c r="N648" s="135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35"/>
      <c r="Z648" s="58"/>
      <c r="AA648" s="58"/>
      <c r="AB648" s="58"/>
      <c r="AC648" s="58"/>
      <c r="AD648" s="58"/>
      <c r="AE648" s="138"/>
      <c r="AF648" s="136"/>
      <c r="AG648" s="136"/>
      <c r="AH648" s="136"/>
    </row>
    <row r="649" spans="1:34" s="132" customFormat="1" ht="12.75" customHeight="1" x14ac:dyDescent="0.25">
      <c r="A649" s="137"/>
      <c r="B649" s="139"/>
      <c r="C649" s="136"/>
      <c r="D649" s="131"/>
      <c r="E649" s="131"/>
      <c r="F649" s="58"/>
      <c r="G649" s="140"/>
      <c r="H649" s="140"/>
      <c r="I649" s="58"/>
      <c r="J649" s="58"/>
      <c r="K649" s="58"/>
      <c r="L649" s="58"/>
      <c r="M649" s="135"/>
      <c r="N649" s="135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35"/>
      <c r="Z649" s="58"/>
      <c r="AA649" s="58"/>
      <c r="AB649" s="58"/>
      <c r="AC649" s="58"/>
      <c r="AD649" s="58"/>
      <c r="AE649" s="138"/>
      <c r="AF649" s="136"/>
      <c r="AG649" s="136"/>
      <c r="AH649" s="136"/>
    </row>
    <row r="650" spans="1:34" s="132" customFormat="1" ht="12.75" customHeight="1" x14ac:dyDescent="0.25">
      <c r="A650" s="137"/>
      <c r="B650" s="139"/>
      <c r="C650" s="136"/>
      <c r="D650" s="131"/>
      <c r="E650" s="131"/>
      <c r="F650" s="58"/>
      <c r="G650" s="140"/>
      <c r="H650" s="140"/>
      <c r="I650" s="58"/>
      <c r="J650" s="58"/>
      <c r="K650" s="58"/>
      <c r="L650" s="58"/>
      <c r="M650" s="135"/>
      <c r="N650" s="135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35"/>
      <c r="Z650" s="58"/>
      <c r="AA650" s="58"/>
      <c r="AB650" s="58"/>
      <c r="AC650" s="58"/>
      <c r="AD650" s="58"/>
      <c r="AE650" s="138"/>
      <c r="AF650" s="136"/>
      <c r="AG650" s="136"/>
      <c r="AH650" s="136"/>
    </row>
    <row r="651" spans="1:34" s="132" customFormat="1" ht="12.75" customHeight="1" x14ac:dyDescent="0.25">
      <c r="A651" s="137"/>
      <c r="B651" s="139"/>
      <c r="C651" s="136"/>
      <c r="D651" s="131"/>
      <c r="E651" s="131"/>
      <c r="F651" s="58"/>
      <c r="G651" s="140"/>
      <c r="H651" s="140"/>
      <c r="I651" s="58"/>
      <c r="J651" s="58"/>
      <c r="K651" s="58"/>
      <c r="L651" s="58"/>
      <c r="M651" s="135"/>
      <c r="N651" s="135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35"/>
      <c r="Z651" s="58"/>
      <c r="AA651" s="58"/>
      <c r="AB651" s="58"/>
      <c r="AC651" s="58"/>
      <c r="AD651" s="58"/>
      <c r="AE651" s="138"/>
      <c r="AF651" s="136"/>
      <c r="AG651" s="136"/>
      <c r="AH651" s="136"/>
    </row>
    <row r="652" spans="1:34" s="132" customFormat="1" ht="12.75" customHeight="1" x14ac:dyDescent="0.25">
      <c r="A652" s="137"/>
      <c r="B652" s="139"/>
      <c r="C652" s="136"/>
      <c r="D652" s="131"/>
      <c r="E652" s="131"/>
      <c r="F652" s="58"/>
      <c r="G652" s="140"/>
      <c r="H652" s="140"/>
      <c r="I652" s="58"/>
      <c r="J652" s="58"/>
      <c r="K652" s="58"/>
      <c r="L652" s="58"/>
      <c r="M652" s="135"/>
      <c r="N652" s="135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35"/>
      <c r="Z652" s="58"/>
      <c r="AA652" s="58"/>
      <c r="AB652" s="58"/>
      <c r="AC652" s="58"/>
      <c r="AD652" s="58"/>
      <c r="AE652" s="138"/>
      <c r="AF652" s="136"/>
      <c r="AG652" s="136"/>
      <c r="AH652" s="136"/>
    </row>
    <row r="653" spans="1:34" s="132" customFormat="1" ht="12.75" customHeight="1" x14ac:dyDescent="0.25">
      <c r="A653" s="137"/>
      <c r="B653" s="139"/>
      <c r="C653" s="136"/>
      <c r="D653" s="131"/>
      <c r="E653" s="131"/>
      <c r="F653" s="58"/>
      <c r="G653" s="140"/>
      <c r="H653" s="140"/>
      <c r="I653" s="58"/>
      <c r="J653" s="58"/>
      <c r="K653" s="58"/>
      <c r="L653" s="58"/>
      <c r="M653" s="135"/>
      <c r="N653" s="135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35"/>
      <c r="Z653" s="58"/>
      <c r="AA653" s="58"/>
      <c r="AB653" s="58"/>
      <c r="AC653" s="58"/>
      <c r="AD653" s="58"/>
      <c r="AE653" s="138"/>
      <c r="AF653" s="136"/>
      <c r="AG653" s="136"/>
      <c r="AH653" s="136"/>
    </row>
    <row r="654" spans="1:34" s="132" customFormat="1" ht="12.75" customHeight="1" x14ac:dyDescent="0.25">
      <c r="A654" s="137"/>
      <c r="B654" s="139"/>
      <c r="C654" s="136"/>
      <c r="D654" s="131"/>
      <c r="E654" s="131"/>
      <c r="F654" s="58"/>
      <c r="G654" s="140"/>
      <c r="H654" s="140"/>
      <c r="I654" s="58"/>
      <c r="J654" s="58"/>
      <c r="K654" s="58"/>
      <c r="L654" s="58"/>
      <c r="M654" s="135"/>
      <c r="N654" s="135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35"/>
      <c r="Z654" s="58"/>
      <c r="AA654" s="58"/>
      <c r="AB654" s="58"/>
      <c r="AC654" s="58"/>
      <c r="AD654" s="58"/>
      <c r="AE654" s="138"/>
      <c r="AF654" s="136"/>
      <c r="AG654" s="136"/>
      <c r="AH654" s="136"/>
    </row>
    <row r="655" spans="1:34" s="132" customFormat="1" ht="12.75" customHeight="1" x14ac:dyDescent="0.25">
      <c r="A655" s="137"/>
      <c r="B655" s="139"/>
      <c r="C655" s="136"/>
      <c r="D655" s="131"/>
      <c r="E655" s="131"/>
      <c r="F655" s="58"/>
      <c r="G655" s="140"/>
      <c r="H655" s="140"/>
      <c r="I655" s="58"/>
      <c r="J655" s="58"/>
      <c r="K655" s="58"/>
      <c r="L655" s="58"/>
      <c r="M655" s="135"/>
      <c r="N655" s="135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35"/>
      <c r="Z655" s="58"/>
      <c r="AA655" s="58"/>
      <c r="AB655" s="58"/>
      <c r="AC655" s="58"/>
      <c r="AD655" s="58"/>
      <c r="AE655" s="138"/>
      <c r="AF655" s="136"/>
      <c r="AG655" s="136"/>
      <c r="AH655" s="136"/>
    </row>
    <row r="656" spans="1:34" s="132" customFormat="1" ht="12.75" customHeight="1" x14ac:dyDescent="0.25">
      <c r="A656" s="137"/>
      <c r="B656" s="139"/>
      <c r="C656" s="136"/>
      <c r="D656" s="131"/>
      <c r="E656" s="131"/>
      <c r="F656" s="58"/>
      <c r="G656" s="140"/>
      <c r="H656" s="140"/>
      <c r="I656" s="58"/>
      <c r="J656" s="58"/>
      <c r="K656" s="58"/>
      <c r="L656" s="58"/>
      <c r="M656" s="135"/>
      <c r="N656" s="135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35"/>
      <c r="Z656" s="58"/>
      <c r="AA656" s="58"/>
      <c r="AB656" s="58"/>
      <c r="AC656" s="58"/>
      <c r="AD656" s="58"/>
      <c r="AE656" s="138"/>
      <c r="AF656" s="136"/>
      <c r="AG656" s="136"/>
      <c r="AH656" s="136"/>
    </row>
    <row r="657" spans="1:34" s="132" customFormat="1" ht="12.75" customHeight="1" x14ac:dyDescent="0.25">
      <c r="A657" s="137"/>
      <c r="B657" s="139"/>
      <c r="C657" s="136"/>
      <c r="D657" s="131"/>
      <c r="E657" s="131"/>
      <c r="F657" s="58"/>
      <c r="G657" s="140"/>
      <c r="H657" s="140"/>
      <c r="I657" s="58"/>
      <c r="J657" s="58"/>
      <c r="K657" s="58"/>
      <c r="L657" s="58"/>
      <c r="M657" s="135"/>
      <c r="N657" s="135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35"/>
      <c r="Z657" s="58"/>
      <c r="AA657" s="58"/>
      <c r="AB657" s="58"/>
      <c r="AC657" s="58"/>
      <c r="AD657" s="58"/>
      <c r="AE657" s="138"/>
      <c r="AF657" s="136"/>
      <c r="AG657" s="136"/>
      <c r="AH657" s="136"/>
    </row>
    <row r="658" spans="1:34" s="132" customFormat="1" ht="12.75" customHeight="1" x14ac:dyDescent="0.25">
      <c r="A658" s="137"/>
      <c r="B658" s="139"/>
      <c r="C658" s="136"/>
      <c r="D658" s="131"/>
      <c r="E658" s="131"/>
      <c r="F658" s="58"/>
      <c r="G658" s="140"/>
      <c r="H658" s="140"/>
      <c r="I658" s="58"/>
      <c r="J658" s="58"/>
      <c r="K658" s="58"/>
      <c r="L658" s="58"/>
      <c r="M658" s="135"/>
      <c r="N658" s="135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35"/>
      <c r="Z658" s="58"/>
      <c r="AA658" s="58"/>
      <c r="AB658" s="58"/>
      <c r="AC658" s="58"/>
      <c r="AD658" s="58"/>
      <c r="AE658" s="138"/>
      <c r="AF658" s="136"/>
      <c r="AG658" s="136"/>
      <c r="AH658" s="136"/>
    </row>
    <row r="659" spans="1:34" s="132" customFormat="1" ht="12.75" customHeight="1" x14ac:dyDescent="0.25">
      <c r="A659" s="137"/>
      <c r="B659" s="139"/>
      <c r="C659" s="136"/>
      <c r="D659" s="131"/>
      <c r="E659" s="131"/>
      <c r="F659" s="58"/>
      <c r="G659" s="140"/>
      <c r="H659" s="140"/>
      <c r="I659" s="58"/>
      <c r="J659" s="58"/>
      <c r="K659" s="58"/>
      <c r="L659" s="58"/>
      <c r="M659" s="135"/>
      <c r="N659" s="135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35"/>
      <c r="Z659" s="58"/>
      <c r="AA659" s="58"/>
      <c r="AB659" s="58"/>
      <c r="AC659" s="58"/>
      <c r="AD659" s="58"/>
      <c r="AE659" s="138"/>
      <c r="AF659" s="136"/>
      <c r="AG659" s="136"/>
      <c r="AH659" s="136"/>
    </row>
    <row r="660" spans="1:34" s="132" customFormat="1" ht="12.75" customHeight="1" x14ac:dyDescent="0.25">
      <c r="A660" s="137"/>
      <c r="B660" s="139"/>
      <c r="C660" s="136"/>
      <c r="D660" s="131"/>
      <c r="E660" s="131"/>
      <c r="F660" s="58"/>
      <c r="G660" s="140"/>
      <c r="H660" s="140"/>
      <c r="I660" s="58"/>
      <c r="J660" s="58"/>
      <c r="K660" s="58"/>
      <c r="L660" s="58"/>
      <c r="M660" s="135"/>
      <c r="N660" s="135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35"/>
      <c r="Z660" s="58"/>
      <c r="AA660" s="58"/>
      <c r="AB660" s="58"/>
      <c r="AC660" s="58"/>
      <c r="AD660" s="58"/>
      <c r="AE660" s="138"/>
      <c r="AF660" s="136"/>
      <c r="AG660" s="136"/>
      <c r="AH660" s="136"/>
    </row>
    <row r="661" spans="1:34" s="132" customFormat="1" ht="12.75" customHeight="1" x14ac:dyDescent="0.25">
      <c r="A661" s="137"/>
      <c r="B661" s="139"/>
      <c r="C661" s="136"/>
      <c r="D661" s="131"/>
      <c r="E661" s="131"/>
      <c r="F661" s="58"/>
      <c r="G661" s="140"/>
      <c r="H661" s="140"/>
      <c r="I661" s="58"/>
      <c r="J661" s="58"/>
      <c r="K661" s="58"/>
      <c r="L661" s="58"/>
      <c r="M661" s="135"/>
      <c r="N661" s="135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35"/>
      <c r="Z661" s="58"/>
      <c r="AA661" s="58"/>
      <c r="AB661" s="58"/>
      <c r="AC661" s="58"/>
      <c r="AD661" s="58"/>
      <c r="AE661" s="138"/>
      <c r="AF661" s="136"/>
      <c r="AG661" s="136"/>
      <c r="AH661" s="136"/>
    </row>
    <row r="662" spans="1:34" s="132" customFormat="1" ht="12.75" customHeight="1" x14ac:dyDescent="0.25">
      <c r="A662" s="137"/>
      <c r="B662" s="139"/>
      <c r="C662" s="136"/>
      <c r="D662" s="131"/>
      <c r="E662" s="131"/>
      <c r="F662" s="58"/>
      <c r="G662" s="140"/>
      <c r="H662" s="140"/>
      <c r="I662" s="58"/>
      <c r="J662" s="58"/>
      <c r="K662" s="58"/>
      <c r="L662" s="58"/>
      <c r="M662" s="135"/>
      <c r="N662" s="135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35"/>
      <c r="Z662" s="58"/>
      <c r="AA662" s="58"/>
      <c r="AB662" s="58"/>
      <c r="AC662" s="58"/>
      <c r="AD662" s="58"/>
      <c r="AE662" s="138"/>
      <c r="AF662" s="136"/>
      <c r="AG662" s="136"/>
      <c r="AH662" s="136"/>
    </row>
    <row r="663" spans="1:34" s="132" customFormat="1" ht="12.75" customHeight="1" x14ac:dyDescent="0.25">
      <c r="A663" s="137"/>
      <c r="B663" s="139"/>
      <c r="C663" s="136"/>
      <c r="D663" s="131"/>
      <c r="E663" s="131"/>
      <c r="F663" s="58"/>
      <c r="G663" s="140"/>
      <c r="H663" s="140"/>
      <c r="I663" s="58"/>
      <c r="J663" s="58"/>
      <c r="K663" s="58"/>
      <c r="L663" s="58"/>
      <c r="M663" s="135"/>
      <c r="N663" s="135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35"/>
      <c r="Z663" s="58"/>
      <c r="AA663" s="58"/>
      <c r="AB663" s="58"/>
      <c r="AC663" s="58"/>
      <c r="AD663" s="58"/>
      <c r="AE663" s="138"/>
      <c r="AF663" s="136"/>
      <c r="AG663" s="136"/>
      <c r="AH663" s="136"/>
    </row>
    <row r="664" spans="1:34" s="132" customFormat="1" ht="12.75" customHeight="1" x14ac:dyDescent="0.25">
      <c r="A664" s="137"/>
      <c r="B664" s="139"/>
      <c r="C664" s="136"/>
      <c r="D664" s="131"/>
      <c r="E664" s="131"/>
      <c r="F664" s="58"/>
      <c r="G664" s="140"/>
      <c r="H664" s="140"/>
      <c r="I664" s="58"/>
      <c r="J664" s="58"/>
      <c r="K664" s="58"/>
      <c r="L664" s="58"/>
      <c r="M664" s="135"/>
      <c r="N664" s="135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35"/>
      <c r="Z664" s="58"/>
      <c r="AA664" s="58"/>
      <c r="AB664" s="58"/>
      <c r="AC664" s="58"/>
      <c r="AD664" s="58"/>
      <c r="AE664" s="138"/>
      <c r="AF664" s="136"/>
      <c r="AG664" s="136"/>
      <c r="AH664" s="136"/>
    </row>
    <row r="665" spans="1:34" s="132" customFormat="1" ht="12.75" customHeight="1" x14ac:dyDescent="0.25">
      <c r="A665" s="137"/>
      <c r="B665" s="139"/>
      <c r="C665" s="136"/>
      <c r="D665" s="131"/>
      <c r="E665" s="131"/>
      <c r="F665" s="58"/>
      <c r="G665" s="140"/>
      <c r="H665" s="140"/>
      <c r="I665" s="58"/>
      <c r="J665" s="58"/>
      <c r="K665" s="58"/>
      <c r="L665" s="58"/>
      <c r="M665" s="135"/>
      <c r="N665" s="135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35"/>
      <c r="Z665" s="58"/>
      <c r="AA665" s="58"/>
      <c r="AB665" s="58"/>
      <c r="AC665" s="58"/>
      <c r="AD665" s="58"/>
      <c r="AE665" s="138"/>
      <c r="AF665" s="136"/>
      <c r="AG665" s="136"/>
      <c r="AH665" s="136"/>
    </row>
    <row r="666" spans="1:34" s="132" customFormat="1" ht="12.75" customHeight="1" x14ac:dyDescent="0.25">
      <c r="A666" s="137"/>
      <c r="B666" s="139"/>
      <c r="C666" s="136"/>
      <c r="D666" s="131"/>
      <c r="E666" s="131"/>
      <c r="F666" s="58"/>
      <c r="G666" s="140"/>
      <c r="H666" s="140"/>
      <c r="I666" s="58"/>
      <c r="J666" s="58"/>
      <c r="K666" s="58"/>
      <c r="L666" s="58"/>
      <c r="M666" s="135"/>
      <c r="N666" s="135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35"/>
      <c r="Z666" s="58"/>
      <c r="AA666" s="58"/>
      <c r="AB666" s="58"/>
      <c r="AC666" s="58"/>
      <c r="AD666" s="58"/>
      <c r="AE666" s="138"/>
      <c r="AF666" s="136"/>
      <c r="AG666" s="136"/>
      <c r="AH666" s="136"/>
    </row>
    <row r="667" spans="1:34" s="132" customFormat="1" ht="12.75" customHeight="1" x14ac:dyDescent="0.25">
      <c r="A667" s="137"/>
      <c r="B667" s="139"/>
      <c r="C667" s="136"/>
      <c r="D667" s="131"/>
      <c r="E667" s="131"/>
      <c r="F667" s="58"/>
      <c r="G667" s="140"/>
      <c r="H667" s="140"/>
      <c r="I667" s="58"/>
      <c r="J667" s="58"/>
      <c r="K667" s="58"/>
      <c r="L667" s="58"/>
      <c r="M667" s="135"/>
      <c r="N667" s="135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35"/>
      <c r="Z667" s="58"/>
      <c r="AA667" s="58"/>
      <c r="AB667" s="58"/>
      <c r="AC667" s="58"/>
      <c r="AD667" s="58"/>
      <c r="AE667" s="138"/>
      <c r="AF667" s="136"/>
      <c r="AG667" s="136"/>
      <c r="AH667" s="136"/>
    </row>
    <row r="668" spans="1:34" s="132" customFormat="1" ht="12.75" customHeight="1" x14ac:dyDescent="0.25">
      <c r="A668" s="137"/>
      <c r="B668" s="139"/>
      <c r="C668" s="136"/>
      <c r="D668" s="131"/>
      <c r="E668" s="131"/>
      <c r="F668" s="58"/>
      <c r="G668" s="140"/>
      <c r="H668" s="140"/>
      <c r="I668" s="58"/>
      <c r="J668" s="58"/>
      <c r="K668" s="58"/>
      <c r="L668" s="58"/>
      <c r="M668" s="135"/>
      <c r="N668" s="135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35"/>
      <c r="Z668" s="58"/>
      <c r="AA668" s="58"/>
      <c r="AB668" s="58"/>
      <c r="AC668" s="58"/>
      <c r="AD668" s="58"/>
      <c r="AE668" s="138"/>
      <c r="AF668" s="136"/>
      <c r="AG668" s="136"/>
      <c r="AH668" s="136"/>
    </row>
    <row r="669" spans="1:34" s="132" customFormat="1" ht="12.75" customHeight="1" x14ac:dyDescent="0.25">
      <c r="A669" s="137"/>
      <c r="B669" s="139"/>
      <c r="C669" s="136"/>
      <c r="D669" s="131"/>
      <c r="E669" s="131"/>
      <c r="F669" s="58"/>
      <c r="G669" s="140"/>
      <c r="H669" s="140"/>
      <c r="I669" s="58"/>
      <c r="J669" s="58"/>
      <c r="K669" s="58"/>
      <c r="L669" s="58"/>
      <c r="M669" s="135"/>
      <c r="N669" s="135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35"/>
      <c r="Z669" s="58"/>
      <c r="AA669" s="58"/>
      <c r="AB669" s="58"/>
      <c r="AC669" s="58"/>
      <c r="AD669" s="58"/>
      <c r="AE669" s="138"/>
      <c r="AF669" s="136"/>
      <c r="AG669" s="136"/>
      <c r="AH669" s="136"/>
    </row>
    <row r="670" spans="1:34" s="132" customFormat="1" ht="12.75" customHeight="1" x14ac:dyDescent="0.25">
      <c r="A670" s="137"/>
      <c r="B670" s="139"/>
      <c r="C670" s="136"/>
      <c r="D670" s="131"/>
      <c r="E670" s="131"/>
      <c r="F670" s="58"/>
      <c r="G670" s="140"/>
      <c r="H670" s="140"/>
      <c r="I670" s="58"/>
      <c r="J670" s="58"/>
      <c r="K670" s="58"/>
      <c r="L670" s="58"/>
      <c r="M670" s="135"/>
      <c r="N670" s="135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35"/>
      <c r="Z670" s="58"/>
      <c r="AA670" s="58"/>
      <c r="AB670" s="58"/>
      <c r="AC670" s="58"/>
      <c r="AD670" s="58"/>
      <c r="AE670" s="138"/>
      <c r="AF670" s="136"/>
      <c r="AG670" s="136"/>
      <c r="AH670" s="136"/>
    </row>
    <row r="671" spans="1:34" s="132" customFormat="1" ht="12.75" customHeight="1" x14ac:dyDescent="0.25">
      <c r="A671" s="137"/>
      <c r="B671" s="139"/>
      <c r="C671" s="136"/>
      <c r="D671" s="131"/>
      <c r="E671" s="131"/>
      <c r="F671" s="58"/>
      <c r="G671" s="140"/>
      <c r="H671" s="140"/>
      <c r="I671" s="58"/>
      <c r="J671" s="58"/>
      <c r="K671" s="58"/>
      <c r="L671" s="58"/>
      <c r="M671" s="135"/>
      <c r="N671" s="135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35"/>
      <c r="Z671" s="58"/>
      <c r="AA671" s="58"/>
      <c r="AB671" s="58"/>
      <c r="AC671" s="58"/>
      <c r="AD671" s="58"/>
      <c r="AE671" s="138"/>
      <c r="AF671" s="136"/>
      <c r="AG671" s="136"/>
      <c r="AH671" s="136"/>
    </row>
    <row r="672" spans="1:34" s="132" customFormat="1" ht="12.75" customHeight="1" x14ac:dyDescent="0.25">
      <c r="A672" s="137"/>
      <c r="B672" s="139"/>
      <c r="C672" s="136"/>
      <c r="D672" s="131"/>
      <c r="E672" s="131"/>
      <c r="F672" s="58"/>
      <c r="G672" s="140"/>
      <c r="H672" s="140"/>
      <c r="I672" s="58"/>
      <c r="J672" s="58"/>
      <c r="K672" s="58"/>
      <c r="L672" s="58"/>
      <c r="M672" s="135"/>
      <c r="N672" s="135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35"/>
      <c r="Z672" s="58"/>
      <c r="AA672" s="58"/>
      <c r="AB672" s="58"/>
      <c r="AC672" s="58"/>
      <c r="AD672" s="58"/>
      <c r="AE672" s="138"/>
      <c r="AF672" s="136"/>
      <c r="AG672" s="136"/>
      <c r="AH672" s="136"/>
    </row>
    <row r="673" spans="1:34" s="132" customFormat="1" ht="12.75" customHeight="1" x14ac:dyDescent="0.25">
      <c r="A673" s="137"/>
      <c r="B673" s="139"/>
      <c r="C673" s="136"/>
      <c r="D673" s="131"/>
      <c r="E673" s="131"/>
      <c r="F673" s="58"/>
      <c r="G673" s="140"/>
      <c r="H673" s="140"/>
      <c r="I673" s="58"/>
      <c r="J673" s="58"/>
      <c r="K673" s="58"/>
      <c r="L673" s="58"/>
      <c r="M673" s="135"/>
      <c r="N673" s="135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35"/>
      <c r="Z673" s="58"/>
      <c r="AA673" s="58"/>
      <c r="AB673" s="58"/>
      <c r="AC673" s="58"/>
      <c r="AD673" s="58"/>
      <c r="AE673" s="138"/>
      <c r="AF673" s="136"/>
      <c r="AG673" s="136"/>
      <c r="AH673" s="136"/>
    </row>
    <row r="674" spans="1:34" s="132" customFormat="1" ht="12.75" customHeight="1" x14ac:dyDescent="0.25">
      <c r="A674" s="137"/>
      <c r="B674" s="139"/>
      <c r="C674" s="136"/>
      <c r="D674" s="131"/>
      <c r="E674" s="131"/>
      <c r="F674" s="58"/>
      <c r="G674" s="140"/>
      <c r="H674" s="140"/>
      <c r="I674" s="58"/>
      <c r="J674" s="58"/>
      <c r="K674" s="58"/>
      <c r="L674" s="58"/>
      <c r="M674" s="135"/>
      <c r="N674" s="135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35"/>
      <c r="Z674" s="58"/>
      <c r="AA674" s="58"/>
      <c r="AB674" s="58"/>
      <c r="AC674" s="58"/>
      <c r="AD674" s="58"/>
      <c r="AE674" s="138"/>
      <c r="AF674" s="136"/>
      <c r="AG674" s="136"/>
      <c r="AH674" s="136"/>
    </row>
    <row r="675" spans="1:34" s="132" customFormat="1" ht="12.75" customHeight="1" x14ac:dyDescent="0.25">
      <c r="A675" s="137"/>
      <c r="B675" s="139"/>
      <c r="C675" s="136"/>
      <c r="D675" s="131"/>
      <c r="E675" s="131"/>
      <c r="F675" s="58"/>
      <c r="G675" s="140"/>
      <c r="H675" s="140"/>
      <c r="I675" s="58"/>
      <c r="J675" s="58"/>
      <c r="K675" s="58"/>
      <c r="L675" s="58"/>
      <c r="M675" s="135"/>
      <c r="N675" s="135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35"/>
      <c r="Z675" s="58"/>
      <c r="AA675" s="58"/>
      <c r="AB675" s="58"/>
      <c r="AC675" s="58"/>
      <c r="AD675" s="58"/>
      <c r="AE675" s="138"/>
      <c r="AF675" s="136"/>
      <c r="AG675" s="136"/>
      <c r="AH675" s="136"/>
    </row>
    <row r="676" spans="1:34" s="132" customFormat="1" ht="12.75" customHeight="1" x14ac:dyDescent="0.25">
      <c r="A676" s="137"/>
      <c r="B676" s="139"/>
      <c r="C676" s="136"/>
      <c r="D676" s="131"/>
      <c r="E676" s="131"/>
      <c r="F676" s="58"/>
      <c r="G676" s="140"/>
      <c r="H676" s="140"/>
      <c r="I676" s="58"/>
      <c r="J676" s="58"/>
      <c r="K676" s="58"/>
      <c r="L676" s="58"/>
      <c r="M676" s="135"/>
      <c r="N676" s="135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35"/>
      <c r="Z676" s="58"/>
      <c r="AA676" s="58"/>
      <c r="AB676" s="58"/>
      <c r="AC676" s="58"/>
      <c r="AD676" s="58"/>
      <c r="AE676" s="138"/>
      <c r="AF676" s="136"/>
      <c r="AG676" s="136"/>
      <c r="AH676" s="136"/>
    </row>
    <row r="677" spans="1:34" s="132" customFormat="1" ht="12.75" customHeight="1" x14ac:dyDescent="0.25">
      <c r="A677" s="137"/>
      <c r="B677" s="139"/>
      <c r="C677" s="136"/>
      <c r="D677" s="131"/>
      <c r="E677" s="131"/>
      <c r="F677" s="58"/>
      <c r="G677" s="140"/>
      <c r="H677" s="140"/>
      <c r="I677" s="58"/>
      <c r="J677" s="58"/>
      <c r="K677" s="58"/>
      <c r="L677" s="58"/>
      <c r="M677" s="135"/>
      <c r="N677" s="135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35"/>
      <c r="Z677" s="58"/>
      <c r="AA677" s="58"/>
      <c r="AB677" s="58"/>
      <c r="AC677" s="58"/>
      <c r="AD677" s="58"/>
      <c r="AE677" s="138"/>
      <c r="AF677" s="136"/>
      <c r="AG677" s="136"/>
      <c r="AH677" s="136"/>
    </row>
    <row r="678" spans="1:34" s="132" customFormat="1" ht="12.75" customHeight="1" x14ac:dyDescent="0.25">
      <c r="A678" s="137"/>
      <c r="B678" s="139"/>
      <c r="C678" s="136"/>
      <c r="D678" s="131"/>
      <c r="E678" s="131"/>
      <c r="F678" s="58"/>
      <c r="G678" s="140"/>
      <c r="H678" s="140"/>
      <c r="I678" s="58"/>
      <c r="J678" s="58"/>
      <c r="K678" s="58"/>
      <c r="L678" s="58"/>
      <c r="M678" s="135"/>
      <c r="N678" s="135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35"/>
      <c r="Z678" s="58"/>
      <c r="AA678" s="58"/>
      <c r="AB678" s="58"/>
      <c r="AC678" s="58"/>
      <c r="AD678" s="58"/>
      <c r="AE678" s="138"/>
      <c r="AF678" s="136"/>
      <c r="AG678" s="136"/>
      <c r="AH678" s="136"/>
    </row>
    <row r="679" spans="1:34" s="132" customFormat="1" ht="12.75" customHeight="1" x14ac:dyDescent="0.25">
      <c r="A679" s="137"/>
      <c r="B679" s="139"/>
      <c r="C679" s="136"/>
      <c r="D679" s="131"/>
      <c r="E679" s="131"/>
      <c r="F679" s="58"/>
      <c r="G679" s="140"/>
      <c r="H679" s="140"/>
      <c r="I679" s="58"/>
      <c r="J679" s="58"/>
      <c r="K679" s="58"/>
      <c r="L679" s="58"/>
      <c r="M679" s="135"/>
      <c r="N679" s="135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35"/>
      <c r="Z679" s="58"/>
      <c r="AA679" s="58"/>
      <c r="AB679" s="58"/>
      <c r="AC679" s="58"/>
      <c r="AD679" s="58"/>
      <c r="AE679" s="138"/>
      <c r="AF679" s="136"/>
      <c r="AG679" s="136"/>
      <c r="AH679" s="136"/>
    </row>
    <row r="680" spans="1:34" s="132" customFormat="1" ht="12.75" customHeight="1" x14ac:dyDescent="0.25">
      <c r="A680" s="137"/>
      <c r="B680" s="139"/>
      <c r="C680" s="136"/>
      <c r="D680" s="131"/>
      <c r="E680" s="131"/>
      <c r="F680" s="58"/>
      <c r="G680" s="140"/>
      <c r="H680" s="140"/>
      <c r="I680" s="58"/>
      <c r="J680" s="58"/>
      <c r="K680" s="58"/>
      <c r="L680" s="58"/>
      <c r="M680" s="135"/>
      <c r="N680" s="135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35"/>
      <c r="Z680" s="58"/>
      <c r="AA680" s="58"/>
      <c r="AB680" s="58"/>
      <c r="AC680" s="58"/>
      <c r="AD680" s="58"/>
      <c r="AE680" s="138"/>
      <c r="AF680" s="136"/>
      <c r="AG680" s="136"/>
      <c r="AH680" s="136"/>
    </row>
    <row r="681" spans="1:34" s="132" customFormat="1" ht="12.75" customHeight="1" x14ac:dyDescent="0.25">
      <c r="A681" s="137"/>
      <c r="B681" s="139"/>
      <c r="C681" s="136"/>
      <c r="D681" s="131"/>
      <c r="E681" s="131"/>
      <c r="F681" s="58"/>
      <c r="G681" s="140"/>
      <c r="H681" s="140"/>
      <c r="I681" s="58"/>
      <c r="J681" s="58"/>
      <c r="K681" s="58"/>
      <c r="L681" s="58"/>
      <c r="M681" s="135"/>
      <c r="N681" s="135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35"/>
      <c r="Z681" s="58"/>
      <c r="AA681" s="58"/>
      <c r="AB681" s="58"/>
      <c r="AC681" s="58"/>
      <c r="AD681" s="58"/>
      <c r="AE681" s="138"/>
      <c r="AF681" s="136"/>
      <c r="AG681" s="136"/>
      <c r="AH681" s="136"/>
    </row>
    <row r="682" spans="1:34" s="132" customFormat="1" ht="12.75" customHeight="1" x14ac:dyDescent="0.25">
      <c r="A682" s="137"/>
      <c r="B682" s="139"/>
      <c r="C682" s="136"/>
      <c r="D682" s="131"/>
      <c r="E682" s="131"/>
      <c r="F682" s="58"/>
      <c r="G682" s="140"/>
      <c r="H682" s="140"/>
      <c r="I682" s="58"/>
      <c r="J682" s="58"/>
      <c r="K682" s="58"/>
      <c r="L682" s="58"/>
      <c r="M682" s="135"/>
      <c r="N682" s="135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35"/>
      <c r="Z682" s="58"/>
      <c r="AA682" s="58"/>
      <c r="AB682" s="58"/>
      <c r="AC682" s="58"/>
      <c r="AD682" s="58"/>
      <c r="AE682" s="138"/>
      <c r="AF682" s="136"/>
      <c r="AG682" s="136"/>
      <c r="AH682" s="136"/>
    </row>
    <row r="683" spans="1:34" s="132" customFormat="1" ht="12.75" customHeight="1" x14ac:dyDescent="0.25">
      <c r="A683" s="137"/>
      <c r="B683" s="139"/>
      <c r="C683" s="136"/>
      <c r="D683" s="131"/>
      <c r="E683" s="131"/>
      <c r="F683" s="58"/>
      <c r="G683" s="140"/>
      <c r="H683" s="140"/>
      <c r="I683" s="58"/>
      <c r="J683" s="58"/>
      <c r="K683" s="58"/>
      <c r="L683" s="58"/>
      <c r="M683" s="135"/>
      <c r="N683" s="135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35"/>
      <c r="Z683" s="58"/>
      <c r="AA683" s="58"/>
      <c r="AB683" s="58"/>
      <c r="AC683" s="58"/>
      <c r="AD683" s="58"/>
      <c r="AE683" s="138"/>
      <c r="AF683" s="136"/>
      <c r="AG683" s="136"/>
      <c r="AH683" s="136"/>
    </row>
    <row r="684" spans="1:34" s="132" customFormat="1" ht="12.75" customHeight="1" x14ac:dyDescent="0.25">
      <c r="A684" s="137"/>
      <c r="B684" s="139"/>
      <c r="C684" s="136"/>
      <c r="D684" s="131"/>
      <c r="E684" s="131"/>
      <c r="F684" s="58"/>
      <c r="G684" s="140"/>
      <c r="H684" s="140"/>
      <c r="I684" s="58"/>
      <c r="J684" s="58"/>
      <c r="K684" s="58"/>
      <c r="L684" s="58"/>
      <c r="M684" s="135"/>
      <c r="N684" s="135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35"/>
      <c r="Z684" s="58"/>
      <c r="AA684" s="58"/>
      <c r="AB684" s="58"/>
      <c r="AC684" s="58"/>
      <c r="AD684" s="58"/>
      <c r="AE684" s="138"/>
      <c r="AF684" s="136"/>
      <c r="AG684" s="136"/>
      <c r="AH684" s="136"/>
    </row>
    <row r="685" spans="1:34" s="132" customFormat="1" ht="12.75" customHeight="1" x14ac:dyDescent="0.25">
      <c r="A685" s="137"/>
      <c r="B685" s="139"/>
      <c r="C685" s="136"/>
      <c r="D685" s="131"/>
      <c r="E685" s="131"/>
      <c r="F685" s="58"/>
      <c r="G685" s="140"/>
      <c r="H685" s="140"/>
      <c r="I685" s="58"/>
      <c r="J685" s="58"/>
      <c r="K685" s="58"/>
      <c r="L685" s="58"/>
      <c r="M685" s="135"/>
      <c r="N685" s="135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35"/>
      <c r="Z685" s="58"/>
      <c r="AA685" s="58"/>
      <c r="AB685" s="58"/>
      <c r="AC685" s="58"/>
      <c r="AD685" s="58"/>
      <c r="AE685" s="138"/>
      <c r="AF685" s="136"/>
      <c r="AG685" s="136"/>
      <c r="AH685" s="136"/>
    </row>
    <row r="686" spans="1:34" s="132" customFormat="1" ht="12.75" customHeight="1" x14ac:dyDescent="0.25">
      <c r="A686" s="137"/>
      <c r="B686" s="139"/>
      <c r="C686" s="136"/>
      <c r="D686" s="131"/>
      <c r="E686" s="131"/>
      <c r="F686" s="58"/>
      <c r="G686" s="140"/>
      <c r="H686" s="140"/>
      <c r="I686" s="58"/>
      <c r="J686" s="58"/>
      <c r="K686" s="58"/>
      <c r="L686" s="58"/>
      <c r="M686" s="135"/>
      <c r="N686" s="135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35"/>
      <c r="Z686" s="58"/>
      <c r="AA686" s="58"/>
      <c r="AB686" s="58"/>
      <c r="AC686" s="58"/>
      <c r="AD686" s="58"/>
      <c r="AE686" s="138"/>
      <c r="AF686" s="136"/>
      <c r="AG686" s="136"/>
      <c r="AH686" s="136"/>
    </row>
    <row r="687" spans="1:34" s="132" customFormat="1" ht="12.75" customHeight="1" x14ac:dyDescent="0.25">
      <c r="A687" s="137"/>
      <c r="B687" s="139"/>
      <c r="C687" s="136"/>
      <c r="D687" s="131"/>
      <c r="E687" s="131"/>
      <c r="F687" s="58"/>
      <c r="G687" s="140"/>
      <c r="H687" s="140"/>
      <c r="I687" s="58"/>
      <c r="J687" s="58"/>
      <c r="K687" s="58"/>
      <c r="L687" s="58"/>
      <c r="M687" s="135"/>
      <c r="N687" s="135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35"/>
      <c r="Z687" s="58"/>
      <c r="AA687" s="58"/>
      <c r="AB687" s="58"/>
      <c r="AC687" s="58"/>
      <c r="AD687" s="58"/>
      <c r="AE687" s="138"/>
      <c r="AF687" s="136"/>
      <c r="AG687" s="136"/>
      <c r="AH687" s="136"/>
    </row>
    <row r="688" spans="1:34" s="132" customFormat="1" ht="12.75" customHeight="1" x14ac:dyDescent="0.25">
      <c r="A688" s="137"/>
      <c r="B688" s="139"/>
      <c r="C688" s="136"/>
      <c r="D688" s="131"/>
      <c r="E688" s="131"/>
      <c r="F688" s="58"/>
      <c r="G688" s="140"/>
      <c r="H688" s="140"/>
      <c r="I688" s="58"/>
      <c r="J688" s="58"/>
      <c r="K688" s="58"/>
      <c r="L688" s="58"/>
      <c r="M688" s="135"/>
      <c r="N688" s="135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35"/>
      <c r="Z688" s="58"/>
      <c r="AA688" s="58"/>
      <c r="AB688" s="58"/>
      <c r="AC688" s="58"/>
      <c r="AD688" s="58"/>
      <c r="AE688" s="138"/>
      <c r="AF688" s="136"/>
      <c r="AG688" s="136"/>
      <c r="AH688" s="136"/>
    </row>
    <row r="689" spans="1:34" s="132" customFormat="1" ht="12.75" customHeight="1" x14ac:dyDescent="0.25">
      <c r="A689" s="137"/>
      <c r="B689" s="139"/>
      <c r="C689" s="136"/>
      <c r="D689" s="131"/>
      <c r="E689" s="131"/>
      <c r="F689" s="58"/>
      <c r="G689" s="140"/>
      <c r="H689" s="140"/>
      <c r="I689" s="58"/>
      <c r="J689" s="58"/>
      <c r="K689" s="58"/>
      <c r="L689" s="58"/>
      <c r="M689" s="135"/>
      <c r="N689" s="135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35"/>
      <c r="Z689" s="58"/>
      <c r="AA689" s="58"/>
      <c r="AB689" s="58"/>
      <c r="AC689" s="58"/>
      <c r="AD689" s="58"/>
      <c r="AE689" s="138"/>
      <c r="AF689" s="136"/>
      <c r="AG689" s="136"/>
      <c r="AH689" s="136"/>
    </row>
    <row r="690" spans="1:34" s="132" customFormat="1" ht="12.75" customHeight="1" x14ac:dyDescent="0.25">
      <c r="A690" s="137"/>
      <c r="B690" s="139"/>
      <c r="C690" s="136"/>
      <c r="D690" s="131"/>
      <c r="E690" s="131"/>
      <c r="F690" s="58"/>
      <c r="G690" s="140"/>
      <c r="H690" s="140"/>
      <c r="I690" s="58"/>
      <c r="J690" s="58"/>
      <c r="K690" s="58"/>
      <c r="L690" s="58"/>
      <c r="M690" s="135"/>
      <c r="N690" s="135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35"/>
      <c r="Z690" s="58"/>
      <c r="AA690" s="58"/>
      <c r="AB690" s="58"/>
      <c r="AC690" s="58"/>
      <c r="AD690" s="58"/>
      <c r="AE690" s="138"/>
      <c r="AF690" s="136"/>
      <c r="AG690" s="136"/>
      <c r="AH690" s="136"/>
    </row>
    <row r="691" spans="1:34" s="132" customFormat="1" ht="12.75" customHeight="1" x14ac:dyDescent="0.25">
      <c r="A691" s="137"/>
      <c r="B691" s="139"/>
      <c r="C691" s="136"/>
      <c r="D691" s="131"/>
      <c r="E691" s="131"/>
      <c r="F691" s="58"/>
      <c r="G691" s="140"/>
      <c r="H691" s="140"/>
      <c r="I691" s="58"/>
      <c r="J691" s="58"/>
      <c r="K691" s="58"/>
      <c r="L691" s="58"/>
      <c r="M691" s="135"/>
      <c r="N691" s="135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35"/>
      <c r="Z691" s="58"/>
      <c r="AA691" s="58"/>
      <c r="AB691" s="58"/>
      <c r="AC691" s="58"/>
      <c r="AD691" s="58"/>
      <c r="AE691" s="138"/>
      <c r="AF691" s="136"/>
      <c r="AG691" s="136"/>
      <c r="AH691" s="136"/>
    </row>
    <row r="692" spans="1:34" s="132" customFormat="1" ht="12.75" customHeight="1" x14ac:dyDescent="0.25">
      <c r="A692" s="137"/>
      <c r="B692" s="139"/>
      <c r="C692" s="136"/>
      <c r="D692" s="131"/>
      <c r="E692" s="131"/>
      <c r="F692" s="58"/>
      <c r="G692" s="140"/>
      <c r="H692" s="140"/>
      <c r="I692" s="58"/>
      <c r="J692" s="58"/>
      <c r="K692" s="58"/>
      <c r="L692" s="58"/>
      <c r="M692" s="135"/>
      <c r="N692" s="135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35"/>
      <c r="Z692" s="58"/>
      <c r="AA692" s="58"/>
      <c r="AB692" s="58"/>
      <c r="AC692" s="58"/>
      <c r="AD692" s="58"/>
      <c r="AE692" s="138"/>
      <c r="AF692" s="136"/>
      <c r="AG692" s="136"/>
      <c r="AH692" s="136"/>
    </row>
    <row r="693" spans="1:34" s="132" customFormat="1" ht="12.75" customHeight="1" x14ac:dyDescent="0.25">
      <c r="A693" s="137"/>
      <c r="B693" s="139"/>
      <c r="C693" s="136"/>
      <c r="D693" s="131"/>
      <c r="E693" s="131"/>
      <c r="F693" s="58"/>
      <c r="G693" s="140"/>
      <c r="H693" s="140"/>
      <c r="I693" s="58"/>
      <c r="J693" s="58"/>
      <c r="K693" s="58"/>
      <c r="L693" s="58"/>
      <c r="M693" s="135"/>
      <c r="N693" s="135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35"/>
      <c r="Z693" s="58"/>
      <c r="AA693" s="58"/>
      <c r="AB693" s="58"/>
      <c r="AC693" s="58"/>
      <c r="AD693" s="58"/>
      <c r="AE693" s="138"/>
      <c r="AF693" s="136"/>
      <c r="AG693" s="136"/>
      <c r="AH693" s="136"/>
    </row>
    <row r="694" spans="1:34" s="132" customFormat="1" ht="12.75" customHeight="1" x14ac:dyDescent="0.25">
      <c r="A694" s="137"/>
      <c r="B694" s="139"/>
      <c r="C694" s="136"/>
      <c r="D694" s="131"/>
      <c r="E694" s="131"/>
      <c r="F694" s="58"/>
      <c r="G694" s="140"/>
      <c r="H694" s="140"/>
      <c r="I694" s="58"/>
      <c r="J694" s="58"/>
      <c r="K694" s="58"/>
      <c r="L694" s="58"/>
      <c r="M694" s="135"/>
      <c r="N694" s="135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35"/>
      <c r="Z694" s="58"/>
      <c r="AA694" s="58"/>
      <c r="AB694" s="58"/>
      <c r="AC694" s="58"/>
      <c r="AD694" s="58"/>
      <c r="AE694" s="138"/>
      <c r="AF694" s="136"/>
      <c r="AG694" s="136"/>
      <c r="AH694" s="136"/>
    </row>
    <row r="695" spans="1:34" s="132" customFormat="1" ht="12.75" customHeight="1" x14ac:dyDescent="0.25">
      <c r="A695" s="137"/>
      <c r="B695" s="139"/>
      <c r="C695" s="136"/>
      <c r="D695" s="131"/>
      <c r="E695" s="131"/>
      <c r="F695" s="58"/>
      <c r="G695" s="140"/>
      <c r="H695" s="140"/>
      <c r="I695" s="58"/>
      <c r="J695" s="58"/>
      <c r="K695" s="58"/>
      <c r="L695" s="58"/>
      <c r="M695" s="135"/>
      <c r="N695" s="135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35"/>
      <c r="Z695" s="58"/>
      <c r="AA695" s="58"/>
      <c r="AB695" s="58"/>
      <c r="AC695" s="58"/>
      <c r="AD695" s="58"/>
      <c r="AE695" s="138"/>
      <c r="AF695" s="136"/>
      <c r="AG695" s="136"/>
      <c r="AH695" s="136"/>
    </row>
    <row r="696" spans="1:34" s="132" customFormat="1" ht="12.75" customHeight="1" x14ac:dyDescent="0.25">
      <c r="A696" s="137"/>
      <c r="B696" s="139"/>
      <c r="C696" s="136"/>
      <c r="D696" s="131"/>
      <c r="E696" s="131"/>
      <c r="F696" s="58"/>
      <c r="G696" s="140"/>
      <c r="H696" s="140"/>
      <c r="I696" s="58"/>
      <c r="J696" s="58"/>
      <c r="K696" s="58"/>
      <c r="L696" s="58"/>
      <c r="M696" s="135"/>
      <c r="N696" s="135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35"/>
      <c r="Z696" s="58"/>
      <c r="AA696" s="58"/>
      <c r="AB696" s="58"/>
      <c r="AC696" s="58"/>
      <c r="AD696" s="58"/>
      <c r="AE696" s="138"/>
      <c r="AF696" s="136"/>
      <c r="AG696" s="136"/>
      <c r="AH696" s="136"/>
    </row>
    <row r="697" spans="1:34" s="132" customFormat="1" ht="12.75" customHeight="1" x14ac:dyDescent="0.25">
      <c r="A697" s="137"/>
      <c r="B697" s="139"/>
      <c r="C697" s="136"/>
      <c r="D697" s="131"/>
      <c r="E697" s="131"/>
      <c r="F697" s="58"/>
      <c r="G697" s="140"/>
      <c r="H697" s="140"/>
      <c r="I697" s="58"/>
      <c r="J697" s="58"/>
      <c r="K697" s="58"/>
      <c r="L697" s="58"/>
      <c r="M697" s="135"/>
      <c r="N697" s="135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35"/>
      <c r="Z697" s="58"/>
      <c r="AA697" s="58"/>
      <c r="AB697" s="58"/>
      <c r="AC697" s="58"/>
      <c r="AD697" s="58"/>
      <c r="AE697" s="138"/>
      <c r="AF697" s="136"/>
      <c r="AG697" s="136"/>
      <c r="AH697" s="136"/>
    </row>
    <row r="698" spans="1:34" s="132" customFormat="1" ht="12.75" customHeight="1" x14ac:dyDescent="0.25">
      <c r="A698" s="137"/>
      <c r="B698" s="139"/>
      <c r="C698" s="136"/>
      <c r="D698" s="131"/>
      <c r="E698" s="131"/>
      <c r="F698" s="58"/>
      <c r="G698" s="140"/>
      <c r="H698" s="140"/>
      <c r="I698" s="58"/>
      <c r="J698" s="58"/>
      <c r="K698" s="58"/>
      <c r="L698" s="58"/>
      <c r="M698" s="135"/>
      <c r="N698" s="135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35"/>
      <c r="Z698" s="58"/>
      <c r="AA698" s="58"/>
      <c r="AB698" s="58"/>
      <c r="AC698" s="58"/>
      <c r="AD698" s="58"/>
      <c r="AE698" s="138"/>
      <c r="AF698" s="136"/>
      <c r="AG698" s="136"/>
      <c r="AH698" s="136"/>
    </row>
    <row r="699" spans="1:34" s="132" customFormat="1" ht="12.75" customHeight="1" x14ac:dyDescent="0.25">
      <c r="A699" s="137"/>
      <c r="B699" s="139"/>
      <c r="C699" s="136"/>
      <c r="D699" s="131"/>
      <c r="E699" s="131"/>
      <c r="F699" s="58"/>
      <c r="G699" s="140"/>
      <c r="H699" s="140"/>
      <c r="I699" s="58"/>
      <c r="J699" s="58"/>
      <c r="K699" s="58"/>
      <c r="L699" s="58"/>
      <c r="M699" s="135"/>
      <c r="N699" s="135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35"/>
      <c r="Z699" s="58"/>
      <c r="AA699" s="58"/>
      <c r="AB699" s="58"/>
      <c r="AC699" s="58"/>
      <c r="AD699" s="58"/>
      <c r="AE699" s="138"/>
      <c r="AF699" s="136"/>
      <c r="AG699" s="136"/>
      <c r="AH699" s="136"/>
    </row>
    <row r="700" spans="1:34" s="132" customFormat="1" ht="12.75" customHeight="1" x14ac:dyDescent="0.25">
      <c r="A700" s="137"/>
      <c r="B700" s="139"/>
      <c r="C700" s="136"/>
      <c r="D700" s="131"/>
      <c r="E700" s="131"/>
      <c r="F700" s="58"/>
      <c r="G700" s="140"/>
      <c r="H700" s="140"/>
      <c r="I700" s="58"/>
      <c r="J700" s="58"/>
      <c r="K700" s="58"/>
      <c r="L700" s="58"/>
      <c r="M700" s="135"/>
      <c r="N700" s="135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35"/>
      <c r="Z700" s="58"/>
      <c r="AA700" s="58"/>
      <c r="AB700" s="58"/>
      <c r="AC700" s="58"/>
      <c r="AD700" s="58"/>
      <c r="AE700" s="138"/>
      <c r="AF700" s="136"/>
      <c r="AG700" s="136"/>
      <c r="AH700" s="136"/>
    </row>
    <row r="701" spans="1:34" s="132" customFormat="1" ht="12.75" customHeight="1" x14ac:dyDescent="0.25">
      <c r="A701" s="137"/>
      <c r="B701" s="139"/>
      <c r="C701" s="136"/>
      <c r="D701" s="131"/>
      <c r="E701" s="131"/>
      <c r="F701" s="58"/>
      <c r="G701" s="140"/>
      <c r="H701" s="140"/>
      <c r="I701" s="58"/>
      <c r="J701" s="58"/>
      <c r="K701" s="58"/>
      <c r="L701" s="58"/>
      <c r="M701" s="135"/>
      <c r="N701" s="135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35"/>
      <c r="Z701" s="58"/>
      <c r="AA701" s="58"/>
      <c r="AB701" s="58"/>
      <c r="AC701" s="58"/>
      <c r="AD701" s="58"/>
      <c r="AE701" s="138"/>
      <c r="AF701" s="136"/>
      <c r="AG701" s="136"/>
      <c r="AH701" s="136"/>
    </row>
    <row r="702" spans="1:34" s="132" customFormat="1" ht="12.75" customHeight="1" x14ac:dyDescent="0.25">
      <c r="A702" s="137"/>
      <c r="B702" s="139"/>
      <c r="C702" s="136"/>
      <c r="D702" s="131"/>
      <c r="E702" s="131"/>
      <c r="F702" s="58"/>
      <c r="G702" s="140"/>
      <c r="H702" s="140"/>
      <c r="I702" s="58"/>
      <c r="J702" s="58"/>
      <c r="K702" s="58"/>
      <c r="L702" s="58"/>
      <c r="M702" s="135"/>
      <c r="N702" s="135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35"/>
      <c r="Z702" s="58"/>
      <c r="AA702" s="58"/>
      <c r="AB702" s="58"/>
      <c r="AC702" s="58"/>
      <c r="AD702" s="58"/>
      <c r="AE702" s="138"/>
      <c r="AF702" s="136"/>
      <c r="AG702" s="136"/>
      <c r="AH702" s="136"/>
    </row>
    <row r="703" spans="1:34" s="132" customFormat="1" ht="12.75" customHeight="1" x14ac:dyDescent="0.25">
      <c r="A703" s="137"/>
      <c r="B703" s="139"/>
      <c r="C703" s="136"/>
      <c r="D703" s="131"/>
      <c r="E703" s="131"/>
      <c r="F703" s="58"/>
      <c r="G703" s="140"/>
      <c r="H703" s="140"/>
      <c r="I703" s="58"/>
      <c r="J703" s="58"/>
      <c r="K703" s="58"/>
      <c r="L703" s="58"/>
      <c r="M703" s="135"/>
      <c r="N703" s="135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35"/>
      <c r="Z703" s="58"/>
      <c r="AA703" s="58"/>
      <c r="AB703" s="58"/>
      <c r="AC703" s="58"/>
      <c r="AD703" s="58"/>
      <c r="AE703" s="138"/>
      <c r="AF703" s="136"/>
      <c r="AG703" s="136"/>
      <c r="AH703" s="136"/>
    </row>
    <row r="704" spans="1:34" s="132" customFormat="1" ht="12.75" customHeight="1" x14ac:dyDescent="0.25">
      <c r="A704" s="137"/>
      <c r="B704" s="139"/>
      <c r="C704" s="136"/>
      <c r="D704" s="131"/>
      <c r="E704" s="131"/>
      <c r="F704" s="58"/>
      <c r="G704" s="140"/>
      <c r="H704" s="140"/>
      <c r="I704" s="58"/>
      <c r="J704" s="58"/>
      <c r="K704" s="58"/>
      <c r="L704" s="58"/>
      <c r="M704" s="135"/>
      <c r="N704" s="135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35"/>
      <c r="Z704" s="58"/>
      <c r="AA704" s="58"/>
      <c r="AB704" s="58"/>
      <c r="AC704" s="58"/>
      <c r="AD704" s="58"/>
      <c r="AE704" s="138"/>
      <c r="AF704" s="136"/>
      <c r="AG704" s="136"/>
      <c r="AH704" s="136"/>
    </row>
    <row r="705" spans="1:34" s="132" customFormat="1" ht="12.75" customHeight="1" x14ac:dyDescent="0.25">
      <c r="A705" s="137"/>
      <c r="B705" s="139"/>
      <c r="C705" s="136"/>
      <c r="D705" s="131"/>
      <c r="E705" s="131"/>
      <c r="F705" s="58"/>
      <c r="G705" s="140"/>
      <c r="H705" s="140"/>
      <c r="I705" s="58"/>
      <c r="J705" s="58"/>
      <c r="K705" s="58"/>
      <c r="L705" s="58"/>
      <c r="M705" s="135"/>
      <c r="N705" s="135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35"/>
      <c r="Z705" s="58"/>
      <c r="AA705" s="58"/>
      <c r="AB705" s="58"/>
      <c r="AC705" s="58"/>
      <c r="AD705" s="58"/>
      <c r="AE705" s="138"/>
      <c r="AF705" s="136"/>
      <c r="AG705" s="136"/>
      <c r="AH705" s="136"/>
    </row>
    <row r="706" spans="1:34" s="132" customFormat="1" ht="12.75" customHeight="1" x14ac:dyDescent="0.25">
      <c r="A706" s="137"/>
      <c r="B706" s="139"/>
      <c r="C706" s="136"/>
      <c r="D706" s="131"/>
      <c r="E706" s="131"/>
      <c r="F706" s="58"/>
      <c r="G706" s="140"/>
      <c r="H706" s="140"/>
      <c r="I706" s="58"/>
      <c r="J706" s="58"/>
      <c r="K706" s="58"/>
      <c r="L706" s="58"/>
      <c r="M706" s="135"/>
      <c r="N706" s="135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35"/>
      <c r="Z706" s="58"/>
      <c r="AA706" s="58"/>
      <c r="AB706" s="58"/>
      <c r="AC706" s="58"/>
      <c r="AD706" s="58"/>
      <c r="AE706" s="138"/>
      <c r="AF706" s="136"/>
      <c r="AG706" s="136"/>
      <c r="AH706" s="136"/>
    </row>
    <row r="707" spans="1:34" s="132" customFormat="1" ht="12.75" customHeight="1" x14ac:dyDescent="0.25">
      <c r="A707" s="137"/>
      <c r="B707" s="139"/>
      <c r="C707" s="136"/>
      <c r="D707" s="131"/>
      <c r="E707" s="131"/>
      <c r="F707" s="58"/>
      <c r="G707" s="140"/>
      <c r="H707" s="140"/>
      <c r="I707" s="58"/>
      <c r="J707" s="58"/>
      <c r="K707" s="58"/>
      <c r="L707" s="58"/>
      <c r="M707" s="135"/>
      <c r="N707" s="135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35"/>
      <c r="Z707" s="58"/>
      <c r="AA707" s="58"/>
      <c r="AB707" s="58"/>
      <c r="AC707" s="58"/>
      <c r="AD707" s="58"/>
      <c r="AE707" s="138"/>
      <c r="AF707" s="136"/>
      <c r="AG707" s="136"/>
      <c r="AH707" s="136"/>
    </row>
    <row r="708" spans="1:34" s="132" customFormat="1" ht="12.75" customHeight="1" x14ac:dyDescent="0.25">
      <c r="A708" s="137"/>
      <c r="B708" s="139"/>
      <c r="C708" s="136"/>
      <c r="D708" s="131"/>
      <c r="E708" s="131"/>
      <c r="F708" s="58"/>
      <c r="G708" s="140"/>
      <c r="H708" s="140"/>
      <c r="I708" s="58"/>
      <c r="J708" s="58"/>
      <c r="K708" s="58"/>
      <c r="L708" s="58"/>
      <c r="M708" s="135"/>
      <c r="N708" s="135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35"/>
      <c r="Z708" s="58"/>
      <c r="AA708" s="58"/>
      <c r="AB708" s="58"/>
      <c r="AC708" s="58"/>
      <c r="AD708" s="58"/>
      <c r="AE708" s="138"/>
      <c r="AF708" s="136"/>
      <c r="AG708" s="136"/>
      <c r="AH708" s="136"/>
    </row>
    <row r="709" spans="1:34" s="132" customFormat="1" ht="12.75" customHeight="1" x14ac:dyDescent="0.25">
      <c r="A709" s="137"/>
      <c r="B709" s="139"/>
      <c r="C709" s="136"/>
      <c r="D709" s="131"/>
      <c r="E709" s="131"/>
      <c r="F709" s="58"/>
      <c r="G709" s="140"/>
      <c r="H709" s="140"/>
      <c r="I709" s="58"/>
      <c r="J709" s="58"/>
      <c r="K709" s="58"/>
      <c r="L709" s="58"/>
      <c r="M709" s="135"/>
      <c r="N709" s="135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35"/>
      <c r="Z709" s="58"/>
      <c r="AA709" s="58"/>
      <c r="AB709" s="58"/>
      <c r="AC709" s="58"/>
      <c r="AD709" s="58"/>
      <c r="AE709" s="138"/>
      <c r="AF709" s="136"/>
      <c r="AG709" s="136"/>
      <c r="AH709" s="136"/>
    </row>
    <row r="710" spans="1:34" s="132" customFormat="1" ht="12.75" customHeight="1" x14ac:dyDescent="0.25">
      <c r="A710" s="137"/>
      <c r="B710" s="139"/>
      <c r="C710" s="136"/>
      <c r="D710" s="131"/>
      <c r="E710" s="131"/>
      <c r="F710" s="58"/>
      <c r="G710" s="140"/>
      <c r="H710" s="140"/>
      <c r="I710" s="58"/>
      <c r="J710" s="58"/>
      <c r="K710" s="58"/>
      <c r="L710" s="58"/>
      <c r="M710" s="135"/>
      <c r="N710" s="135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35"/>
      <c r="Z710" s="58"/>
      <c r="AA710" s="58"/>
      <c r="AB710" s="58"/>
      <c r="AC710" s="58"/>
      <c r="AD710" s="58"/>
      <c r="AE710" s="138"/>
      <c r="AF710" s="136"/>
      <c r="AG710" s="136"/>
      <c r="AH710" s="136"/>
    </row>
    <row r="711" spans="1:34" s="132" customFormat="1" ht="12.75" customHeight="1" x14ac:dyDescent="0.25">
      <c r="A711" s="137"/>
      <c r="B711" s="139"/>
      <c r="C711" s="136"/>
      <c r="D711" s="131"/>
      <c r="E711" s="131"/>
      <c r="F711" s="58"/>
      <c r="G711" s="140"/>
      <c r="H711" s="140"/>
      <c r="I711" s="58"/>
      <c r="J711" s="58"/>
      <c r="K711" s="58"/>
      <c r="L711" s="58"/>
      <c r="M711" s="135"/>
      <c r="N711" s="135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35"/>
      <c r="Z711" s="58"/>
      <c r="AA711" s="58"/>
      <c r="AB711" s="58"/>
      <c r="AC711" s="58"/>
      <c r="AD711" s="58"/>
      <c r="AE711" s="138"/>
      <c r="AF711" s="136"/>
      <c r="AG711" s="136"/>
      <c r="AH711" s="136"/>
    </row>
    <row r="712" spans="1:34" s="132" customFormat="1" ht="12.75" customHeight="1" x14ac:dyDescent="0.25">
      <c r="A712" s="137"/>
      <c r="B712" s="139"/>
      <c r="C712" s="136"/>
      <c r="D712" s="131"/>
      <c r="E712" s="131"/>
      <c r="F712" s="58"/>
      <c r="G712" s="140"/>
      <c r="H712" s="140"/>
      <c r="I712" s="58"/>
      <c r="J712" s="58"/>
      <c r="K712" s="58"/>
      <c r="L712" s="58"/>
      <c r="M712" s="135"/>
      <c r="N712" s="135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35"/>
      <c r="Z712" s="58"/>
      <c r="AA712" s="58"/>
      <c r="AB712" s="58"/>
      <c r="AC712" s="58"/>
      <c r="AD712" s="58"/>
      <c r="AE712" s="138"/>
      <c r="AF712" s="136"/>
      <c r="AG712" s="136"/>
      <c r="AH712" s="136"/>
    </row>
    <row r="713" spans="1:34" s="132" customFormat="1" ht="12.75" customHeight="1" x14ac:dyDescent="0.25">
      <c r="A713" s="137"/>
      <c r="B713" s="139"/>
      <c r="C713" s="136"/>
      <c r="D713" s="131"/>
      <c r="E713" s="131"/>
      <c r="F713" s="58"/>
      <c r="G713" s="140"/>
      <c r="H713" s="140"/>
      <c r="I713" s="58"/>
      <c r="J713" s="58"/>
      <c r="K713" s="58"/>
      <c r="L713" s="58"/>
      <c r="M713" s="135"/>
      <c r="N713" s="135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35"/>
      <c r="Z713" s="58"/>
      <c r="AA713" s="58"/>
      <c r="AB713" s="58"/>
      <c r="AC713" s="58"/>
      <c r="AD713" s="58"/>
      <c r="AE713" s="138"/>
      <c r="AF713" s="136"/>
      <c r="AG713" s="136"/>
      <c r="AH713" s="136"/>
    </row>
    <row r="714" spans="1:34" s="132" customFormat="1" ht="12.75" customHeight="1" x14ac:dyDescent="0.25">
      <c r="A714" s="137"/>
      <c r="B714" s="139"/>
      <c r="C714" s="136"/>
      <c r="D714" s="131"/>
      <c r="E714" s="131"/>
      <c r="F714" s="58"/>
      <c r="G714" s="140"/>
      <c r="H714" s="140"/>
      <c r="I714" s="58"/>
      <c r="J714" s="58"/>
      <c r="K714" s="58"/>
      <c r="L714" s="58"/>
      <c r="M714" s="135"/>
      <c r="N714" s="135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35"/>
      <c r="Z714" s="58"/>
      <c r="AA714" s="58"/>
      <c r="AB714" s="58"/>
      <c r="AC714" s="58"/>
      <c r="AD714" s="58"/>
      <c r="AE714" s="138"/>
      <c r="AF714" s="136"/>
      <c r="AG714" s="136"/>
      <c r="AH714" s="136"/>
    </row>
    <row r="715" spans="1:34" s="132" customFormat="1" ht="12.75" customHeight="1" x14ac:dyDescent="0.25">
      <c r="A715" s="137"/>
      <c r="B715" s="139"/>
      <c r="C715" s="136"/>
      <c r="D715" s="131"/>
      <c r="E715" s="131"/>
      <c r="F715" s="58"/>
      <c r="G715" s="140"/>
      <c r="H715" s="140"/>
      <c r="I715" s="58"/>
      <c r="J715" s="58"/>
      <c r="K715" s="58"/>
      <c r="L715" s="58"/>
      <c r="M715" s="135"/>
      <c r="N715" s="135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35"/>
      <c r="Z715" s="58"/>
      <c r="AA715" s="58"/>
      <c r="AB715" s="58"/>
      <c r="AC715" s="58"/>
      <c r="AD715" s="58"/>
      <c r="AE715" s="138"/>
      <c r="AF715" s="136"/>
      <c r="AG715" s="136"/>
      <c r="AH715" s="136"/>
    </row>
    <row r="716" spans="1:34" s="132" customFormat="1" ht="12.75" customHeight="1" x14ac:dyDescent="0.25">
      <c r="A716" s="137"/>
      <c r="B716" s="139"/>
      <c r="C716" s="136"/>
      <c r="D716" s="131"/>
      <c r="E716" s="131"/>
      <c r="F716" s="58"/>
      <c r="G716" s="140"/>
      <c r="H716" s="140"/>
      <c r="I716" s="58"/>
      <c r="J716" s="58"/>
      <c r="K716" s="58"/>
      <c r="L716" s="58"/>
      <c r="M716" s="135"/>
      <c r="N716" s="135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35"/>
      <c r="Z716" s="58"/>
      <c r="AA716" s="58"/>
      <c r="AB716" s="58"/>
      <c r="AC716" s="58"/>
      <c r="AD716" s="58"/>
      <c r="AE716" s="138"/>
      <c r="AF716" s="136"/>
      <c r="AG716" s="136"/>
      <c r="AH716" s="136"/>
    </row>
    <row r="717" spans="1:34" s="132" customFormat="1" ht="12.75" customHeight="1" x14ac:dyDescent="0.25">
      <c r="A717" s="137"/>
      <c r="B717" s="139"/>
      <c r="C717" s="136"/>
      <c r="D717" s="131"/>
      <c r="E717" s="131"/>
      <c r="F717" s="58"/>
      <c r="G717" s="140"/>
      <c r="H717" s="140"/>
      <c r="I717" s="58"/>
      <c r="J717" s="58"/>
      <c r="K717" s="58"/>
      <c r="L717" s="58"/>
      <c r="M717" s="135"/>
      <c r="N717" s="135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35"/>
      <c r="Z717" s="58"/>
      <c r="AA717" s="58"/>
      <c r="AB717" s="58"/>
      <c r="AC717" s="58"/>
      <c r="AD717" s="58"/>
      <c r="AE717" s="138"/>
      <c r="AF717" s="136"/>
      <c r="AG717" s="136"/>
      <c r="AH717" s="136"/>
    </row>
    <row r="718" spans="1:34" s="132" customFormat="1" ht="12.75" customHeight="1" x14ac:dyDescent="0.25">
      <c r="A718" s="137"/>
      <c r="B718" s="139"/>
      <c r="C718" s="136"/>
      <c r="D718" s="131"/>
      <c r="E718" s="131"/>
      <c r="F718" s="58"/>
      <c r="G718" s="140"/>
      <c r="H718" s="140"/>
      <c r="I718" s="58"/>
      <c r="J718" s="58"/>
      <c r="K718" s="58"/>
      <c r="L718" s="58"/>
      <c r="M718" s="135"/>
      <c r="N718" s="135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35"/>
      <c r="Z718" s="58"/>
      <c r="AA718" s="58"/>
      <c r="AB718" s="58"/>
      <c r="AC718" s="58"/>
      <c r="AD718" s="58"/>
      <c r="AE718" s="138"/>
      <c r="AF718" s="136"/>
      <c r="AG718" s="136"/>
      <c r="AH718" s="136"/>
    </row>
    <row r="719" spans="1:34" s="132" customFormat="1" ht="12.75" customHeight="1" x14ac:dyDescent="0.25">
      <c r="A719" s="137"/>
      <c r="B719" s="139"/>
      <c r="C719" s="136"/>
      <c r="D719" s="131"/>
      <c r="E719" s="131"/>
      <c r="F719" s="58"/>
      <c r="G719" s="140"/>
      <c r="H719" s="140"/>
      <c r="I719" s="58"/>
      <c r="J719" s="58"/>
      <c r="K719" s="58"/>
      <c r="L719" s="58"/>
      <c r="M719" s="135"/>
      <c r="N719" s="135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35"/>
      <c r="Z719" s="58"/>
      <c r="AA719" s="58"/>
      <c r="AB719" s="58"/>
      <c r="AC719" s="58"/>
      <c r="AD719" s="58"/>
      <c r="AE719" s="138"/>
      <c r="AF719" s="136"/>
      <c r="AG719" s="136"/>
      <c r="AH719" s="136"/>
    </row>
    <row r="720" spans="1:34" s="132" customFormat="1" ht="12.75" customHeight="1" x14ac:dyDescent="0.25">
      <c r="A720" s="137"/>
      <c r="B720" s="139"/>
      <c r="C720" s="136"/>
      <c r="D720" s="131"/>
      <c r="E720" s="131"/>
      <c r="F720" s="58"/>
      <c r="G720" s="140"/>
      <c r="H720" s="140"/>
      <c r="I720" s="58"/>
      <c r="J720" s="58"/>
      <c r="K720" s="58"/>
      <c r="L720" s="58"/>
      <c r="M720" s="135"/>
      <c r="N720" s="135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35"/>
      <c r="Z720" s="58"/>
      <c r="AA720" s="58"/>
      <c r="AB720" s="58"/>
      <c r="AC720" s="58"/>
      <c r="AD720" s="58"/>
      <c r="AE720" s="138"/>
      <c r="AF720" s="136"/>
      <c r="AG720" s="136"/>
      <c r="AH720" s="136"/>
    </row>
    <row r="721" spans="1:34" s="132" customFormat="1" ht="12.75" customHeight="1" x14ac:dyDescent="0.25">
      <c r="A721" s="137"/>
      <c r="B721" s="139"/>
      <c r="C721" s="136"/>
      <c r="D721" s="131"/>
      <c r="E721" s="131"/>
      <c r="F721" s="58"/>
      <c r="G721" s="140"/>
      <c r="H721" s="140"/>
      <c r="I721" s="58"/>
      <c r="J721" s="58"/>
      <c r="K721" s="58"/>
      <c r="L721" s="58"/>
      <c r="M721" s="135"/>
      <c r="N721" s="135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35"/>
      <c r="Z721" s="58"/>
      <c r="AA721" s="58"/>
      <c r="AB721" s="58"/>
      <c r="AC721" s="58"/>
      <c r="AD721" s="58"/>
      <c r="AE721" s="138"/>
      <c r="AF721" s="136"/>
      <c r="AG721" s="136"/>
      <c r="AH721" s="136"/>
    </row>
    <row r="722" spans="1:34" s="132" customFormat="1" ht="12.75" customHeight="1" x14ac:dyDescent="0.25">
      <c r="A722" s="137"/>
      <c r="B722" s="139"/>
      <c r="C722" s="136"/>
      <c r="D722" s="131"/>
      <c r="E722" s="131"/>
      <c r="F722" s="58"/>
      <c r="G722" s="140"/>
      <c r="H722" s="140"/>
      <c r="I722" s="58"/>
      <c r="J722" s="58"/>
      <c r="K722" s="58"/>
      <c r="L722" s="58"/>
      <c r="M722" s="135"/>
      <c r="N722" s="135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35"/>
      <c r="Z722" s="58"/>
      <c r="AA722" s="58"/>
      <c r="AB722" s="58"/>
      <c r="AC722" s="58"/>
      <c r="AD722" s="58"/>
      <c r="AE722" s="138"/>
      <c r="AF722" s="136"/>
      <c r="AG722" s="136"/>
      <c r="AH722" s="136"/>
    </row>
    <row r="723" spans="1:34" s="132" customFormat="1" ht="12.75" customHeight="1" x14ac:dyDescent="0.25">
      <c r="A723" s="137"/>
      <c r="B723" s="139"/>
      <c r="C723" s="136"/>
      <c r="D723" s="131"/>
      <c r="E723" s="131"/>
      <c r="F723" s="58"/>
      <c r="G723" s="140"/>
      <c r="H723" s="140"/>
      <c r="I723" s="58"/>
      <c r="J723" s="58"/>
      <c r="K723" s="58"/>
      <c r="L723" s="58"/>
      <c r="M723" s="135"/>
      <c r="N723" s="135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35"/>
      <c r="Z723" s="58"/>
      <c r="AA723" s="58"/>
      <c r="AB723" s="58"/>
      <c r="AC723" s="58"/>
      <c r="AD723" s="58"/>
      <c r="AE723" s="138"/>
      <c r="AF723" s="136"/>
      <c r="AG723" s="136"/>
      <c r="AH723" s="136"/>
    </row>
    <row r="724" spans="1:34" s="132" customFormat="1" ht="12.75" customHeight="1" x14ac:dyDescent="0.25">
      <c r="A724" s="137"/>
      <c r="B724" s="139"/>
      <c r="C724" s="136"/>
      <c r="D724" s="131"/>
      <c r="E724" s="131"/>
      <c r="F724" s="58"/>
      <c r="G724" s="140"/>
      <c r="H724" s="140"/>
      <c r="I724" s="58"/>
      <c r="J724" s="58"/>
      <c r="K724" s="58"/>
      <c r="L724" s="58"/>
      <c r="M724" s="135"/>
      <c r="N724" s="135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35"/>
      <c r="Z724" s="58"/>
      <c r="AA724" s="58"/>
      <c r="AB724" s="58"/>
      <c r="AC724" s="58"/>
      <c r="AD724" s="58"/>
      <c r="AE724" s="138"/>
      <c r="AF724" s="136"/>
      <c r="AG724" s="136"/>
      <c r="AH724" s="136"/>
    </row>
    <row r="725" spans="1:34" s="132" customFormat="1" ht="12.75" customHeight="1" x14ac:dyDescent="0.25">
      <c r="A725" s="137"/>
      <c r="B725" s="139"/>
      <c r="C725" s="136"/>
      <c r="D725" s="131"/>
      <c r="E725" s="131"/>
      <c r="F725" s="58"/>
      <c r="G725" s="140"/>
      <c r="H725" s="140"/>
      <c r="I725" s="58"/>
      <c r="J725" s="58"/>
      <c r="K725" s="58"/>
      <c r="L725" s="58"/>
      <c r="M725" s="135"/>
      <c r="N725" s="135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35"/>
      <c r="Z725" s="58"/>
      <c r="AA725" s="58"/>
      <c r="AB725" s="58"/>
      <c r="AC725" s="58"/>
      <c r="AD725" s="58"/>
      <c r="AE725" s="138"/>
      <c r="AF725" s="136"/>
      <c r="AG725" s="136"/>
      <c r="AH725" s="136"/>
    </row>
    <row r="726" spans="1:34" s="132" customFormat="1" ht="12.75" customHeight="1" x14ac:dyDescent="0.25">
      <c r="A726" s="137"/>
      <c r="B726" s="139"/>
      <c r="C726" s="136"/>
      <c r="D726" s="131"/>
      <c r="E726" s="131"/>
      <c r="F726" s="58"/>
      <c r="G726" s="140"/>
      <c r="H726" s="140"/>
      <c r="I726" s="58"/>
      <c r="J726" s="58"/>
      <c r="K726" s="58"/>
      <c r="L726" s="58"/>
      <c r="M726" s="135"/>
      <c r="N726" s="135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35"/>
      <c r="Z726" s="58"/>
      <c r="AA726" s="58"/>
      <c r="AB726" s="58"/>
      <c r="AC726" s="58"/>
      <c r="AD726" s="58"/>
      <c r="AE726" s="138"/>
      <c r="AF726" s="136"/>
      <c r="AG726" s="136"/>
      <c r="AH726" s="136"/>
    </row>
    <row r="727" spans="1:34" s="132" customFormat="1" ht="12.75" customHeight="1" x14ac:dyDescent="0.25">
      <c r="A727" s="137"/>
      <c r="B727" s="139"/>
      <c r="C727" s="136"/>
      <c r="D727" s="131"/>
      <c r="E727" s="131"/>
      <c r="F727" s="58"/>
      <c r="G727" s="140"/>
      <c r="H727" s="140"/>
      <c r="I727" s="58"/>
      <c r="J727" s="58"/>
      <c r="K727" s="58"/>
      <c r="L727" s="58"/>
      <c r="M727" s="135"/>
      <c r="N727" s="135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35"/>
      <c r="Z727" s="58"/>
      <c r="AA727" s="58"/>
      <c r="AB727" s="58"/>
      <c r="AC727" s="58"/>
      <c r="AD727" s="58"/>
      <c r="AE727" s="138"/>
      <c r="AF727" s="136"/>
      <c r="AG727" s="136"/>
      <c r="AH727" s="136"/>
    </row>
    <row r="728" spans="1:34" s="132" customFormat="1" ht="12.75" customHeight="1" x14ac:dyDescent="0.25">
      <c r="A728" s="137"/>
      <c r="B728" s="139"/>
      <c r="C728" s="136"/>
      <c r="D728" s="131"/>
      <c r="E728" s="131"/>
      <c r="F728" s="58"/>
      <c r="G728" s="140"/>
      <c r="H728" s="140"/>
      <c r="I728" s="58"/>
      <c r="J728" s="58"/>
      <c r="K728" s="58"/>
      <c r="L728" s="58"/>
      <c r="M728" s="135"/>
      <c r="N728" s="135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35"/>
      <c r="Z728" s="58"/>
      <c r="AA728" s="58"/>
      <c r="AB728" s="58"/>
      <c r="AC728" s="58"/>
      <c r="AD728" s="58"/>
      <c r="AE728" s="138"/>
      <c r="AF728" s="136"/>
      <c r="AG728" s="136"/>
      <c r="AH728" s="136"/>
    </row>
    <row r="729" spans="1:34" s="132" customFormat="1" ht="12.75" customHeight="1" x14ac:dyDescent="0.25">
      <c r="A729" s="137"/>
      <c r="B729" s="139"/>
      <c r="C729" s="136"/>
      <c r="D729" s="131"/>
      <c r="E729" s="131"/>
      <c r="F729" s="58"/>
      <c r="G729" s="140"/>
      <c r="H729" s="140"/>
      <c r="I729" s="58"/>
      <c r="J729" s="58"/>
      <c r="K729" s="58"/>
      <c r="L729" s="58"/>
      <c r="M729" s="135"/>
      <c r="N729" s="135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35"/>
      <c r="Z729" s="58"/>
      <c r="AA729" s="58"/>
      <c r="AB729" s="58"/>
      <c r="AC729" s="58"/>
      <c r="AD729" s="58"/>
      <c r="AE729" s="138"/>
      <c r="AF729" s="136"/>
      <c r="AG729" s="136"/>
      <c r="AH729" s="136"/>
    </row>
    <row r="730" spans="1:34" s="132" customFormat="1" ht="12.75" customHeight="1" x14ac:dyDescent="0.25">
      <c r="A730" s="137"/>
      <c r="B730" s="139"/>
      <c r="C730" s="136"/>
      <c r="D730" s="131"/>
      <c r="E730" s="131"/>
      <c r="F730" s="58"/>
      <c r="G730" s="140"/>
      <c r="H730" s="140"/>
      <c r="I730" s="58"/>
      <c r="J730" s="58"/>
      <c r="K730" s="58"/>
      <c r="L730" s="58"/>
      <c r="M730" s="135"/>
      <c r="N730" s="135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35"/>
      <c r="Z730" s="58"/>
      <c r="AA730" s="58"/>
      <c r="AB730" s="58"/>
      <c r="AC730" s="58"/>
      <c r="AD730" s="58"/>
      <c r="AE730" s="138"/>
      <c r="AF730" s="136"/>
      <c r="AG730" s="136"/>
      <c r="AH730" s="136"/>
    </row>
    <row r="731" spans="1:34" s="132" customFormat="1" ht="12.75" customHeight="1" x14ac:dyDescent="0.25">
      <c r="A731" s="137"/>
      <c r="B731" s="139"/>
      <c r="C731" s="136"/>
      <c r="D731" s="131"/>
      <c r="E731" s="131"/>
      <c r="F731" s="58"/>
      <c r="G731" s="140"/>
      <c r="H731" s="140"/>
      <c r="I731" s="58"/>
      <c r="J731" s="58"/>
      <c r="K731" s="58"/>
      <c r="L731" s="58"/>
      <c r="M731" s="135"/>
      <c r="N731" s="135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35"/>
      <c r="Z731" s="58"/>
      <c r="AA731" s="58"/>
      <c r="AB731" s="58"/>
      <c r="AC731" s="58"/>
      <c r="AD731" s="58"/>
      <c r="AE731" s="138"/>
      <c r="AF731" s="136"/>
      <c r="AG731" s="136"/>
      <c r="AH731" s="136"/>
    </row>
    <row r="732" spans="1:34" s="132" customFormat="1" ht="12.75" customHeight="1" x14ac:dyDescent="0.25">
      <c r="A732" s="137"/>
      <c r="B732" s="139"/>
      <c r="C732" s="136"/>
      <c r="D732" s="131"/>
      <c r="E732" s="131"/>
      <c r="F732" s="58"/>
      <c r="G732" s="140"/>
      <c r="H732" s="140"/>
      <c r="I732" s="58"/>
      <c r="J732" s="58"/>
      <c r="K732" s="58"/>
      <c r="L732" s="58"/>
      <c r="M732" s="135"/>
      <c r="N732" s="135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35"/>
      <c r="Z732" s="58"/>
      <c r="AA732" s="58"/>
      <c r="AB732" s="58"/>
      <c r="AC732" s="58"/>
      <c r="AD732" s="58"/>
      <c r="AE732" s="138"/>
      <c r="AF732" s="136"/>
      <c r="AG732" s="136"/>
      <c r="AH732" s="136"/>
    </row>
    <row r="733" spans="1:34" s="132" customFormat="1" ht="12.75" customHeight="1" x14ac:dyDescent="0.25">
      <c r="A733" s="137"/>
      <c r="B733" s="139"/>
      <c r="C733" s="136"/>
      <c r="D733" s="131"/>
      <c r="E733" s="131"/>
      <c r="F733" s="58"/>
      <c r="G733" s="140"/>
      <c r="H733" s="140"/>
      <c r="I733" s="58"/>
      <c r="J733" s="58"/>
      <c r="K733" s="58"/>
      <c r="L733" s="58"/>
      <c r="M733" s="135"/>
      <c r="N733" s="135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35"/>
      <c r="Z733" s="58"/>
      <c r="AA733" s="58"/>
      <c r="AB733" s="58"/>
      <c r="AC733" s="58"/>
      <c r="AD733" s="58"/>
      <c r="AE733" s="138"/>
      <c r="AF733" s="136"/>
      <c r="AG733" s="136"/>
      <c r="AH733" s="136"/>
    </row>
    <row r="734" spans="1:34" s="132" customFormat="1" ht="12.75" customHeight="1" x14ac:dyDescent="0.25">
      <c r="A734" s="137"/>
      <c r="B734" s="139"/>
      <c r="C734" s="136"/>
      <c r="D734" s="131"/>
      <c r="E734" s="131"/>
      <c r="F734" s="58"/>
      <c r="G734" s="140"/>
      <c r="H734" s="140"/>
      <c r="I734" s="58"/>
      <c r="J734" s="58"/>
      <c r="K734" s="58"/>
      <c r="L734" s="58"/>
      <c r="M734" s="135"/>
      <c r="N734" s="135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35"/>
      <c r="Z734" s="58"/>
      <c r="AA734" s="58"/>
      <c r="AB734" s="58"/>
      <c r="AC734" s="58"/>
      <c r="AD734" s="58"/>
      <c r="AE734" s="138"/>
      <c r="AF734" s="136"/>
      <c r="AG734" s="136"/>
      <c r="AH734" s="136"/>
    </row>
    <row r="735" spans="1:34" s="132" customFormat="1" ht="12.75" customHeight="1" x14ac:dyDescent="0.25">
      <c r="A735" s="137"/>
      <c r="B735" s="139"/>
      <c r="C735" s="136"/>
      <c r="D735" s="131"/>
      <c r="E735" s="131"/>
      <c r="F735" s="58"/>
      <c r="G735" s="140"/>
      <c r="H735" s="140"/>
      <c r="I735" s="58"/>
      <c r="J735" s="58"/>
      <c r="K735" s="58"/>
      <c r="L735" s="58"/>
      <c r="M735" s="135"/>
      <c r="N735" s="135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35"/>
      <c r="Z735" s="58"/>
      <c r="AA735" s="58"/>
      <c r="AB735" s="58"/>
      <c r="AC735" s="58"/>
      <c r="AD735" s="58"/>
      <c r="AE735" s="138"/>
      <c r="AF735" s="136"/>
      <c r="AG735" s="136"/>
      <c r="AH735" s="136"/>
    </row>
    <row r="736" spans="1:34" s="132" customFormat="1" ht="12.75" customHeight="1" x14ac:dyDescent="0.25">
      <c r="A736" s="137"/>
      <c r="B736" s="139"/>
      <c r="C736" s="136"/>
      <c r="D736" s="131"/>
      <c r="E736" s="131"/>
      <c r="F736" s="58"/>
      <c r="G736" s="140"/>
      <c r="H736" s="140"/>
      <c r="I736" s="58"/>
      <c r="J736" s="58"/>
      <c r="K736" s="58"/>
      <c r="L736" s="58"/>
      <c r="M736" s="135"/>
      <c r="N736" s="135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35"/>
      <c r="Z736" s="58"/>
      <c r="AA736" s="58"/>
      <c r="AB736" s="58"/>
      <c r="AC736" s="58"/>
      <c r="AD736" s="58"/>
      <c r="AE736" s="138"/>
      <c r="AF736" s="136"/>
      <c r="AG736" s="136"/>
      <c r="AH736" s="136"/>
    </row>
    <row r="737" spans="1:34" s="132" customFormat="1" ht="12.75" customHeight="1" x14ac:dyDescent="0.25">
      <c r="A737" s="137"/>
      <c r="B737" s="139"/>
      <c r="C737" s="136"/>
      <c r="D737" s="131"/>
      <c r="E737" s="131"/>
      <c r="F737" s="58"/>
      <c r="G737" s="140"/>
      <c r="H737" s="140"/>
      <c r="I737" s="58"/>
      <c r="J737" s="58"/>
      <c r="K737" s="58"/>
      <c r="L737" s="58"/>
      <c r="M737" s="135"/>
      <c r="N737" s="135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35"/>
      <c r="Z737" s="58"/>
      <c r="AA737" s="58"/>
      <c r="AB737" s="58"/>
      <c r="AC737" s="58"/>
      <c r="AD737" s="58"/>
      <c r="AE737" s="138"/>
      <c r="AF737" s="136"/>
      <c r="AG737" s="136"/>
      <c r="AH737" s="136"/>
    </row>
    <row r="738" spans="1:34" s="132" customFormat="1" ht="12.75" customHeight="1" x14ac:dyDescent="0.25">
      <c r="A738" s="137"/>
      <c r="B738" s="139"/>
      <c r="C738" s="136"/>
      <c r="D738" s="131"/>
      <c r="E738" s="131"/>
      <c r="F738" s="58"/>
      <c r="G738" s="140"/>
      <c r="H738" s="140"/>
      <c r="I738" s="58"/>
      <c r="J738" s="58"/>
      <c r="K738" s="58"/>
      <c r="L738" s="58"/>
      <c r="M738" s="135"/>
      <c r="N738" s="135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35"/>
      <c r="Z738" s="58"/>
      <c r="AA738" s="58"/>
      <c r="AB738" s="58"/>
      <c r="AC738" s="58"/>
      <c r="AD738" s="58"/>
      <c r="AE738" s="138"/>
      <c r="AF738" s="136"/>
      <c r="AG738" s="136"/>
      <c r="AH738" s="136"/>
    </row>
    <row r="739" spans="1:34" s="132" customFormat="1" ht="12.75" customHeight="1" x14ac:dyDescent="0.25">
      <c r="A739" s="137"/>
      <c r="B739" s="139"/>
      <c r="C739" s="136"/>
      <c r="D739" s="131"/>
      <c r="E739" s="131"/>
      <c r="F739" s="58"/>
      <c r="G739" s="140"/>
      <c r="H739" s="140"/>
      <c r="I739" s="58"/>
      <c r="J739" s="58"/>
      <c r="K739" s="58"/>
      <c r="L739" s="58"/>
      <c r="M739" s="135"/>
      <c r="N739" s="135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35"/>
      <c r="Z739" s="58"/>
      <c r="AA739" s="58"/>
      <c r="AB739" s="58"/>
      <c r="AC739" s="58"/>
      <c r="AD739" s="58"/>
      <c r="AE739" s="138"/>
      <c r="AF739" s="136"/>
      <c r="AG739" s="136"/>
      <c r="AH739" s="136"/>
    </row>
    <row r="740" spans="1:34" s="132" customFormat="1" ht="12.75" customHeight="1" x14ac:dyDescent="0.25">
      <c r="A740" s="137"/>
      <c r="B740" s="139"/>
      <c r="C740" s="136"/>
      <c r="D740" s="131"/>
      <c r="E740" s="131"/>
      <c r="F740" s="58"/>
      <c r="G740" s="140"/>
      <c r="H740" s="140"/>
      <c r="I740" s="58"/>
      <c r="J740" s="58"/>
      <c r="K740" s="58"/>
      <c r="L740" s="58"/>
      <c r="M740" s="135"/>
      <c r="N740" s="135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35"/>
      <c r="Z740" s="58"/>
      <c r="AA740" s="58"/>
      <c r="AB740" s="58"/>
      <c r="AC740" s="58"/>
      <c r="AD740" s="58"/>
      <c r="AE740" s="138"/>
      <c r="AF740" s="136"/>
      <c r="AG740" s="136"/>
      <c r="AH740" s="136"/>
    </row>
    <row r="741" spans="1:34" s="132" customFormat="1" ht="12.75" customHeight="1" x14ac:dyDescent="0.25">
      <c r="A741" s="137"/>
      <c r="B741" s="139"/>
      <c r="C741" s="136"/>
      <c r="D741" s="131"/>
      <c r="E741" s="131"/>
      <c r="F741" s="58"/>
      <c r="G741" s="140"/>
      <c r="H741" s="140"/>
      <c r="I741" s="58"/>
      <c r="J741" s="58"/>
      <c r="K741" s="58"/>
      <c r="L741" s="58"/>
      <c r="M741" s="135"/>
      <c r="N741" s="135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35"/>
      <c r="Z741" s="58"/>
      <c r="AA741" s="58"/>
      <c r="AB741" s="58"/>
      <c r="AC741" s="58"/>
      <c r="AD741" s="58"/>
      <c r="AE741" s="138"/>
      <c r="AF741" s="136"/>
      <c r="AG741" s="136"/>
      <c r="AH741" s="136"/>
    </row>
    <row r="742" spans="1:34" s="132" customFormat="1" ht="12.75" customHeight="1" x14ac:dyDescent="0.25">
      <c r="A742" s="137"/>
      <c r="B742" s="139"/>
      <c r="C742" s="136"/>
      <c r="D742" s="131"/>
      <c r="E742" s="131"/>
      <c r="F742" s="58"/>
      <c r="G742" s="140"/>
      <c r="H742" s="140"/>
      <c r="I742" s="58"/>
      <c r="J742" s="58"/>
      <c r="K742" s="58"/>
      <c r="L742" s="58"/>
      <c r="M742" s="135"/>
      <c r="N742" s="135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35"/>
      <c r="Z742" s="58"/>
      <c r="AA742" s="58"/>
      <c r="AB742" s="58"/>
      <c r="AC742" s="58"/>
      <c r="AD742" s="58"/>
      <c r="AE742" s="138"/>
      <c r="AF742" s="136"/>
      <c r="AG742" s="136"/>
      <c r="AH742" s="136"/>
    </row>
    <row r="743" spans="1:34" s="132" customFormat="1" ht="12.75" customHeight="1" x14ac:dyDescent="0.25">
      <c r="A743" s="137"/>
      <c r="B743" s="139"/>
      <c r="C743" s="136"/>
      <c r="D743" s="131"/>
      <c r="E743" s="131"/>
      <c r="F743" s="58"/>
      <c r="G743" s="140"/>
      <c r="H743" s="140"/>
      <c r="I743" s="58"/>
      <c r="J743" s="58"/>
      <c r="K743" s="58"/>
      <c r="L743" s="58"/>
      <c r="M743" s="135"/>
      <c r="N743" s="135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35"/>
      <c r="Z743" s="58"/>
      <c r="AA743" s="58"/>
      <c r="AB743" s="58"/>
      <c r="AC743" s="58"/>
      <c r="AD743" s="58"/>
      <c r="AE743" s="138"/>
      <c r="AF743" s="136"/>
      <c r="AG743" s="136"/>
      <c r="AH743" s="136"/>
    </row>
    <row r="744" spans="1:34" s="132" customFormat="1" ht="12.75" customHeight="1" x14ac:dyDescent="0.25">
      <c r="A744" s="137"/>
      <c r="B744" s="139"/>
      <c r="C744" s="136"/>
      <c r="D744" s="131"/>
      <c r="E744" s="131"/>
      <c r="F744" s="58"/>
      <c r="G744" s="140"/>
      <c r="H744" s="140"/>
      <c r="I744" s="58"/>
      <c r="J744" s="58"/>
      <c r="K744" s="58"/>
      <c r="L744" s="58"/>
      <c r="M744" s="135"/>
      <c r="N744" s="135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35"/>
      <c r="Z744" s="58"/>
      <c r="AA744" s="58"/>
      <c r="AB744" s="58"/>
      <c r="AC744" s="58"/>
      <c r="AD744" s="58"/>
      <c r="AE744" s="138"/>
      <c r="AF744" s="136"/>
      <c r="AG744" s="136"/>
      <c r="AH744" s="136"/>
    </row>
    <row r="745" spans="1:34" s="132" customFormat="1" ht="12.75" customHeight="1" x14ac:dyDescent="0.25">
      <c r="A745" s="137"/>
      <c r="B745" s="139"/>
      <c r="C745" s="136"/>
      <c r="D745" s="131"/>
      <c r="E745" s="131"/>
      <c r="F745" s="58"/>
      <c r="G745" s="140"/>
      <c r="H745" s="140"/>
      <c r="I745" s="58"/>
      <c r="J745" s="58"/>
      <c r="K745" s="58"/>
      <c r="L745" s="58"/>
      <c r="M745" s="135"/>
      <c r="N745" s="135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35"/>
      <c r="Z745" s="58"/>
      <c r="AA745" s="58"/>
      <c r="AB745" s="58"/>
      <c r="AC745" s="58"/>
      <c r="AD745" s="58"/>
      <c r="AE745" s="138"/>
      <c r="AF745" s="136"/>
      <c r="AG745" s="136"/>
      <c r="AH745" s="136"/>
    </row>
    <row r="746" spans="1:34" s="132" customFormat="1" ht="12.75" customHeight="1" x14ac:dyDescent="0.25">
      <c r="A746" s="137"/>
      <c r="B746" s="139"/>
      <c r="C746" s="136"/>
      <c r="D746" s="131"/>
      <c r="E746" s="131"/>
      <c r="F746" s="58"/>
      <c r="G746" s="140"/>
      <c r="H746" s="140"/>
      <c r="I746" s="58"/>
      <c r="J746" s="58"/>
      <c r="K746" s="58"/>
      <c r="L746" s="58"/>
      <c r="M746" s="135"/>
      <c r="N746" s="135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35"/>
      <c r="Z746" s="58"/>
      <c r="AA746" s="58"/>
      <c r="AB746" s="58"/>
      <c r="AC746" s="58"/>
      <c r="AD746" s="58"/>
      <c r="AE746" s="138"/>
      <c r="AF746" s="136"/>
      <c r="AG746" s="136"/>
      <c r="AH746" s="136"/>
    </row>
    <row r="747" spans="1:34" s="132" customFormat="1" ht="12.75" customHeight="1" x14ac:dyDescent="0.25">
      <c r="A747" s="137"/>
      <c r="B747" s="139"/>
      <c r="C747" s="136"/>
      <c r="D747" s="131"/>
      <c r="E747" s="131"/>
      <c r="F747" s="58"/>
      <c r="G747" s="140"/>
      <c r="H747" s="140"/>
      <c r="I747" s="58"/>
      <c r="J747" s="58"/>
      <c r="K747" s="58"/>
      <c r="L747" s="58"/>
      <c r="M747" s="135"/>
      <c r="N747" s="135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35"/>
      <c r="Z747" s="58"/>
      <c r="AA747" s="58"/>
      <c r="AB747" s="58"/>
      <c r="AC747" s="58"/>
      <c r="AD747" s="58"/>
      <c r="AE747" s="138"/>
      <c r="AF747" s="136"/>
      <c r="AG747" s="136"/>
      <c r="AH747" s="136"/>
    </row>
    <row r="748" spans="1:34" s="132" customFormat="1" ht="12.75" customHeight="1" x14ac:dyDescent="0.25">
      <c r="A748" s="137"/>
      <c r="B748" s="139"/>
      <c r="C748" s="136"/>
      <c r="D748" s="131"/>
      <c r="E748" s="131"/>
      <c r="F748" s="58"/>
      <c r="G748" s="140"/>
      <c r="H748" s="140"/>
      <c r="I748" s="58"/>
      <c r="J748" s="58"/>
      <c r="K748" s="58"/>
      <c r="L748" s="58"/>
      <c r="M748" s="135"/>
      <c r="N748" s="135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35"/>
      <c r="Z748" s="58"/>
      <c r="AA748" s="58"/>
      <c r="AB748" s="58"/>
      <c r="AC748" s="58"/>
      <c r="AD748" s="58"/>
      <c r="AE748" s="138"/>
      <c r="AF748" s="136"/>
      <c r="AG748" s="136"/>
      <c r="AH748" s="136"/>
    </row>
    <row r="749" spans="1:34" s="132" customFormat="1" ht="12.75" customHeight="1" x14ac:dyDescent="0.25">
      <c r="A749" s="137"/>
      <c r="B749" s="139"/>
      <c r="C749" s="136"/>
      <c r="D749" s="131"/>
      <c r="E749" s="131"/>
      <c r="F749" s="58"/>
      <c r="G749" s="140"/>
      <c r="H749" s="140"/>
      <c r="I749" s="58"/>
      <c r="J749" s="58"/>
      <c r="K749" s="58"/>
      <c r="L749" s="58"/>
      <c r="M749" s="135"/>
      <c r="N749" s="135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35"/>
      <c r="Z749" s="58"/>
      <c r="AA749" s="58"/>
      <c r="AB749" s="58"/>
      <c r="AC749" s="58"/>
      <c r="AD749" s="58"/>
      <c r="AE749" s="138"/>
      <c r="AF749" s="136"/>
      <c r="AG749" s="136"/>
      <c r="AH749" s="136"/>
    </row>
    <row r="750" spans="1:34" s="132" customFormat="1" ht="12.75" customHeight="1" x14ac:dyDescent="0.25">
      <c r="A750" s="137"/>
      <c r="B750" s="139"/>
      <c r="C750" s="136"/>
      <c r="D750" s="131"/>
      <c r="E750" s="131"/>
      <c r="F750" s="58"/>
      <c r="G750" s="140"/>
      <c r="H750" s="140"/>
      <c r="I750" s="58"/>
      <c r="J750" s="58"/>
      <c r="K750" s="58"/>
      <c r="L750" s="58"/>
      <c r="M750" s="135"/>
      <c r="N750" s="135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35"/>
      <c r="Z750" s="58"/>
      <c r="AA750" s="58"/>
      <c r="AB750" s="58"/>
      <c r="AC750" s="58"/>
      <c r="AD750" s="58"/>
      <c r="AE750" s="138"/>
      <c r="AF750" s="136"/>
      <c r="AG750" s="136"/>
      <c r="AH750" s="136"/>
    </row>
    <row r="751" spans="1:34" s="132" customFormat="1" ht="12.75" customHeight="1" x14ac:dyDescent="0.25">
      <c r="A751" s="137"/>
      <c r="B751" s="139"/>
      <c r="C751" s="136"/>
      <c r="D751" s="131"/>
      <c r="E751" s="131"/>
      <c r="F751" s="58"/>
      <c r="G751" s="140"/>
      <c r="H751" s="140"/>
      <c r="I751" s="58"/>
      <c r="J751" s="58"/>
      <c r="K751" s="58"/>
      <c r="L751" s="58"/>
      <c r="M751" s="135"/>
      <c r="N751" s="135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35"/>
      <c r="Z751" s="58"/>
      <c r="AA751" s="58"/>
      <c r="AB751" s="58"/>
      <c r="AC751" s="58"/>
      <c r="AD751" s="58"/>
      <c r="AE751" s="138"/>
      <c r="AF751" s="136"/>
      <c r="AG751" s="136"/>
      <c r="AH751" s="136"/>
    </row>
    <row r="752" spans="1:34" s="132" customFormat="1" ht="12.75" customHeight="1" x14ac:dyDescent="0.25">
      <c r="A752" s="137"/>
      <c r="B752" s="139"/>
      <c r="C752" s="136"/>
      <c r="D752" s="131"/>
      <c r="E752" s="131"/>
      <c r="F752" s="58"/>
      <c r="G752" s="140"/>
      <c r="H752" s="140"/>
      <c r="I752" s="58"/>
      <c r="J752" s="58"/>
      <c r="K752" s="58"/>
      <c r="L752" s="58"/>
      <c r="M752" s="135"/>
      <c r="N752" s="135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35"/>
      <c r="Z752" s="58"/>
      <c r="AA752" s="58"/>
      <c r="AB752" s="58"/>
      <c r="AC752" s="58"/>
      <c r="AD752" s="58"/>
      <c r="AE752" s="138"/>
      <c r="AF752" s="136"/>
      <c r="AG752" s="136"/>
      <c r="AH752" s="136"/>
    </row>
    <row r="753" spans="1:34" s="132" customFormat="1" ht="12.75" customHeight="1" x14ac:dyDescent="0.25">
      <c r="A753" s="137"/>
      <c r="B753" s="139"/>
      <c r="C753" s="136"/>
      <c r="D753" s="131"/>
      <c r="E753" s="131"/>
      <c r="F753" s="58"/>
      <c r="G753" s="140"/>
      <c r="H753" s="140"/>
      <c r="I753" s="58"/>
      <c r="J753" s="58"/>
      <c r="K753" s="58"/>
      <c r="L753" s="58"/>
      <c r="M753" s="135"/>
      <c r="N753" s="135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35"/>
      <c r="Z753" s="58"/>
      <c r="AA753" s="58"/>
      <c r="AB753" s="58"/>
      <c r="AC753" s="58"/>
      <c r="AD753" s="58"/>
      <c r="AE753" s="138"/>
      <c r="AF753" s="136"/>
      <c r="AG753" s="136"/>
      <c r="AH753" s="136"/>
    </row>
    <row r="754" spans="1:34" s="132" customFormat="1" ht="12.75" customHeight="1" x14ac:dyDescent="0.25">
      <c r="A754" s="137"/>
      <c r="B754" s="139"/>
      <c r="C754" s="136"/>
      <c r="D754" s="131"/>
      <c r="E754" s="131"/>
      <c r="F754" s="58"/>
      <c r="G754" s="140"/>
      <c r="H754" s="140"/>
      <c r="I754" s="58"/>
      <c r="J754" s="58"/>
      <c r="K754" s="58"/>
      <c r="L754" s="58"/>
      <c r="M754" s="135"/>
      <c r="N754" s="135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35"/>
      <c r="Z754" s="58"/>
      <c r="AA754" s="58"/>
      <c r="AB754" s="58"/>
      <c r="AC754" s="58"/>
      <c r="AD754" s="58"/>
      <c r="AE754" s="138"/>
      <c r="AF754" s="136"/>
      <c r="AG754" s="136"/>
      <c r="AH754" s="136"/>
    </row>
    <row r="755" spans="1:34" s="132" customFormat="1" ht="12.75" customHeight="1" x14ac:dyDescent="0.25">
      <c r="A755" s="137"/>
      <c r="B755" s="139"/>
      <c r="C755" s="136"/>
      <c r="D755" s="131"/>
      <c r="E755" s="131"/>
      <c r="F755" s="58"/>
      <c r="G755" s="140"/>
      <c r="H755" s="140"/>
      <c r="I755" s="58"/>
      <c r="J755" s="58"/>
      <c r="K755" s="58"/>
      <c r="L755" s="58"/>
      <c r="M755" s="135"/>
      <c r="N755" s="135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35"/>
      <c r="Z755" s="58"/>
      <c r="AA755" s="58"/>
      <c r="AB755" s="58"/>
      <c r="AC755" s="58"/>
      <c r="AD755" s="58"/>
      <c r="AE755" s="138"/>
      <c r="AF755" s="136"/>
      <c r="AG755" s="136"/>
      <c r="AH755" s="136"/>
    </row>
    <row r="756" spans="1:34" s="132" customFormat="1" ht="12.75" customHeight="1" x14ac:dyDescent="0.25">
      <c r="A756" s="137"/>
      <c r="B756" s="139"/>
      <c r="C756" s="136"/>
      <c r="D756" s="131"/>
      <c r="E756" s="131"/>
      <c r="F756" s="58"/>
      <c r="G756" s="140"/>
      <c r="H756" s="140"/>
      <c r="I756" s="58"/>
      <c r="J756" s="58"/>
      <c r="K756" s="58"/>
      <c r="L756" s="58"/>
      <c r="M756" s="135"/>
      <c r="N756" s="135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35"/>
      <c r="Z756" s="58"/>
      <c r="AA756" s="58"/>
      <c r="AB756" s="58"/>
      <c r="AC756" s="58"/>
      <c r="AD756" s="58"/>
      <c r="AE756" s="138"/>
      <c r="AF756" s="136"/>
      <c r="AG756" s="136"/>
      <c r="AH756" s="136"/>
    </row>
    <row r="757" spans="1:34" s="132" customFormat="1" ht="12.75" customHeight="1" x14ac:dyDescent="0.25">
      <c r="A757" s="137"/>
      <c r="B757" s="139"/>
      <c r="C757" s="136"/>
      <c r="D757" s="131"/>
      <c r="E757" s="131"/>
      <c r="F757" s="58"/>
      <c r="G757" s="140"/>
      <c r="H757" s="140"/>
      <c r="I757" s="58"/>
      <c r="J757" s="58"/>
      <c r="K757" s="58"/>
      <c r="L757" s="58"/>
      <c r="M757" s="135"/>
      <c r="N757" s="135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35"/>
      <c r="Z757" s="58"/>
      <c r="AA757" s="58"/>
      <c r="AB757" s="58"/>
      <c r="AC757" s="58"/>
      <c r="AD757" s="58"/>
      <c r="AE757" s="138"/>
      <c r="AF757" s="136"/>
      <c r="AG757" s="136"/>
      <c r="AH757" s="136"/>
    </row>
    <row r="758" spans="1:34" s="132" customFormat="1" ht="12.75" customHeight="1" x14ac:dyDescent="0.25">
      <c r="A758" s="137"/>
      <c r="B758" s="139"/>
      <c r="C758" s="136"/>
      <c r="D758" s="131"/>
      <c r="E758" s="131"/>
      <c r="F758" s="58"/>
      <c r="G758" s="140"/>
      <c r="H758" s="140"/>
      <c r="I758" s="58"/>
      <c r="J758" s="58"/>
      <c r="K758" s="58"/>
      <c r="L758" s="58"/>
      <c r="M758" s="135"/>
      <c r="N758" s="135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35"/>
      <c r="Z758" s="58"/>
      <c r="AA758" s="58"/>
      <c r="AB758" s="58"/>
      <c r="AC758" s="58"/>
      <c r="AD758" s="58"/>
      <c r="AE758" s="138"/>
      <c r="AF758" s="136"/>
      <c r="AG758" s="136"/>
      <c r="AH758" s="136"/>
    </row>
    <row r="759" spans="1:34" s="132" customFormat="1" ht="12.75" customHeight="1" x14ac:dyDescent="0.25">
      <c r="A759" s="137"/>
      <c r="B759" s="139"/>
      <c r="C759" s="136"/>
      <c r="D759" s="131"/>
      <c r="E759" s="131"/>
      <c r="F759" s="58"/>
      <c r="G759" s="140"/>
      <c r="H759" s="140"/>
      <c r="I759" s="58"/>
      <c r="J759" s="58"/>
      <c r="K759" s="58"/>
      <c r="L759" s="58"/>
      <c r="M759" s="135"/>
      <c r="N759" s="135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35"/>
      <c r="Z759" s="58"/>
      <c r="AA759" s="58"/>
      <c r="AB759" s="58"/>
      <c r="AC759" s="58"/>
      <c r="AD759" s="58"/>
      <c r="AE759" s="138"/>
      <c r="AF759" s="136"/>
      <c r="AG759" s="136"/>
      <c r="AH759" s="136"/>
    </row>
    <row r="760" spans="1:34" s="132" customFormat="1" ht="12.75" customHeight="1" x14ac:dyDescent="0.25">
      <c r="A760" s="137"/>
      <c r="B760" s="139"/>
      <c r="C760" s="136"/>
      <c r="D760" s="131"/>
      <c r="E760" s="131"/>
      <c r="F760" s="58"/>
      <c r="G760" s="140"/>
      <c r="H760" s="140"/>
      <c r="I760" s="58"/>
      <c r="J760" s="58"/>
      <c r="K760" s="58"/>
      <c r="L760" s="58"/>
      <c r="M760" s="135"/>
      <c r="N760" s="135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35"/>
      <c r="Z760" s="58"/>
      <c r="AA760" s="58"/>
      <c r="AB760" s="58"/>
      <c r="AC760" s="58"/>
      <c r="AD760" s="58"/>
      <c r="AE760" s="138"/>
      <c r="AF760" s="136"/>
      <c r="AG760" s="136"/>
      <c r="AH760" s="136"/>
    </row>
    <row r="761" spans="1:34" s="132" customFormat="1" ht="12.75" customHeight="1" x14ac:dyDescent="0.25">
      <c r="A761" s="137"/>
      <c r="B761" s="139"/>
      <c r="C761" s="136"/>
      <c r="D761" s="131"/>
      <c r="E761" s="131"/>
      <c r="F761" s="58"/>
      <c r="G761" s="140"/>
      <c r="H761" s="140"/>
      <c r="I761" s="58"/>
      <c r="J761" s="58"/>
      <c r="K761" s="58"/>
      <c r="L761" s="58"/>
      <c r="M761" s="135"/>
      <c r="N761" s="135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35"/>
      <c r="Z761" s="58"/>
      <c r="AA761" s="58"/>
      <c r="AB761" s="58"/>
      <c r="AC761" s="58"/>
      <c r="AD761" s="58"/>
      <c r="AE761" s="138"/>
      <c r="AF761" s="136"/>
      <c r="AG761" s="136"/>
      <c r="AH761" s="136"/>
    </row>
    <row r="762" spans="1:34" s="132" customFormat="1" ht="12.75" customHeight="1" x14ac:dyDescent="0.25">
      <c r="A762" s="137"/>
      <c r="B762" s="139"/>
      <c r="C762" s="136"/>
      <c r="D762" s="131"/>
      <c r="E762" s="131"/>
      <c r="F762" s="58"/>
      <c r="G762" s="140"/>
      <c r="H762" s="140"/>
      <c r="I762" s="58"/>
      <c r="J762" s="58"/>
      <c r="K762" s="58"/>
      <c r="L762" s="58"/>
      <c r="M762" s="135"/>
      <c r="N762" s="135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35"/>
      <c r="Z762" s="58"/>
      <c r="AA762" s="58"/>
      <c r="AB762" s="58"/>
      <c r="AC762" s="58"/>
      <c r="AD762" s="58"/>
      <c r="AE762" s="138"/>
      <c r="AF762" s="136"/>
      <c r="AG762" s="136"/>
      <c r="AH762" s="136"/>
    </row>
    <row r="763" spans="1:34" s="132" customFormat="1" ht="12.75" customHeight="1" x14ac:dyDescent="0.25">
      <c r="A763" s="137"/>
      <c r="B763" s="139"/>
      <c r="C763" s="136"/>
      <c r="D763" s="131"/>
      <c r="E763" s="131"/>
      <c r="F763" s="58"/>
      <c r="G763" s="140"/>
      <c r="H763" s="140"/>
      <c r="I763" s="58"/>
      <c r="J763" s="58"/>
      <c r="K763" s="58"/>
      <c r="L763" s="58"/>
      <c r="M763" s="135"/>
      <c r="N763" s="135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35"/>
      <c r="Z763" s="58"/>
      <c r="AA763" s="58"/>
      <c r="AB763" s="58"/>
      <c r="AC763" s="58"/>
      <c r="AD763" s="58"/>
      <c r="AE763" s="138"/>
      <c r="AF763" s="136"/>
      <c r="AG763" s="136"/>
      <c r="AH763" s="136"/>
    </row>
    <row r="764" spans="1:34" s="132" customFormat="1" ht="12.75" customHeight="1" x14ac:dyDescent="0.25">
      <c r="A764" s="137"/>
      <c r="B764" s="139"/>
      <c r="C764" s="136"/>
      <c r="D764" s="131"/>
      <c r="E764" s="131"/>
      <c r="F764" s="58"/>
      <c r="G764" s="140"/>
      <c r="H764" s="140"/>
      <c r="I764" s="58"/>
      <c r="J764" s="58"/>
      <c r="K764" s="58"/>
      <c r="L764" s="58"/>
      <c r="M764" s="135"/>
      <c r="N764" s="135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35"/>
      <c r="Z764" s="58"/>
      <c r="AA764" s="58"/>
      <c r="AB764" s="58"/>
      <c r="AC764" s="58"/>
      <c r="AD764" s="58"/>
      <c r="AE764" s="138"/>
      <c r="AF764" s="136"/>
      <c r="AG764" s="136"/>
      <c r="AH764" s="136"/>
    </row>
    <row r="765" spans="1:34" s="132" customFormat="1" ht="12.75" customHeight="1" x14ac:dyDescent="0.25">
      <c r="A765" s="137"/>
      <c r="B765" s="139"/>
      <c r="C765" s="136"/>
      <c r="D765" s="131"/>
      <c r="E765" s="131"/>
      <c r="F765" s="58"/>
      <c r="G765" s="140"/>
      <c r="H765" s="140"/>
      <c r="I765" s="58"/>
      <c r="J765" s="58"/>
      <c r="K765" s="58"/>
      <c r="L765" s="58"/>
      <c r="M765" s="135"/>
      <c r="N765" s="135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35"/>
      <c r="Z765" s="58"/>
      <c r="AA765" s="58"/>
      <c r="AB765" s="58"/>
      <c r="AC765" s="58"/>
      <c r="AD765" s="58"/>
      <c r="AE765" s="138"/>
      <c r="AF765" s="136"/>
      <c r="AG765" s="136"/>
      <c r="AH765" s="136"/>
    </row>
    <row r="766" spans="1:34" s="132" customFormat="1" ht="12.75" customHeight="1" x14ac:dyDescent="0.25">
      <c r="A766" s="137"/>
      <c r="B766" s="139"/>
      <c r="C766" s="136"/>
      <c r="D766" s="131"/>
      <c r="E766" s="131"/>
      <c r="F766" s="58"/>
      <c r="G766" s="140"/>
      <c r="H766" s="140"/>
      <c r="I766" s="58"/>
      <c r="J766" s="58"/>
      <c r="K766" s="58"/>
      <c r="L766" s="58"/>
      <c r="M766" s="135"/>
      <c r="N766" s="135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35"/>
      <c r="Z766" s="58"/>
      <c r="AA766" s="58"/>
      <c r="AB766" s="58"/>
      <c r="AC766" s="58"/>
      <c r="AD766" s="58"/>
      <c r="AE766" s="138"/>
      <c r="AF766" s="136"/>
      <c r="AG766" s="136"/>
      <c r="AH766" s="136"/>
    </row>
    <row r="767" spans="1:34" s="132" customFormat="1" ht="12.75" customHeight="1" x14ac:dyDescent="0.25">
      <c r="A767" s="137"/>
      <c r="B767" s="139"/>
      <c r="C767" s="136"/>
      <c r="D767" s="131"/>
      <c r="E767" s="131"/>
      <c r="F767" s="58"/>
      <c r="G767" s="140"/>
      <c r="H767" s="140"/>
      <c r="I767" s="58"/>
      <c r="J767" s="58"/>
      <c r="K767" s="58"/>
      <c r="L767" s="58"/>
      <c r="M767" s="135"/>
      <c r="N767" s="135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35"/>
      <c r="Z767" s="58"/>
      <c r="AA767" s="58"/>
      <c r="AB767" s="58"/>
      <c r="AC767" s="58"/>
      <c r="AD767" s="58"/>
      <c r="AE767" s="138"/>
      <c r="AF767" s="136"/>
      <c r="AG767" s="136"/>
      <c r="AH767" s="136"/>
    </row>
    <row r="768" spans="1:34" s="132" customFormat="1" ht="12.75" customHeight="1" x14ac:dyDescent="0.25">
      <c r="A768" s="137"/>
      <c r="B768" s="139"/>
      <c r="C768" s="136"/>
      <c r="D768" s="131"/>
      <c r="E768" s="131"/>
      <c r="F768" s="58"/>
      <c r="G768" s="140"/>
      <c r="H768" s="140"/>
      <c r="I768" s="58"/>
      <c r="J768" s="58"/>
      <c r="K768" s="58"/>
      <c r="L768" s="58"/>
      <c r="M768" s="135"/>
      <c r="N768" s="135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35"/>
      <c r="Z768" s="58"/>
      <c r="AA768" s="58"/>
      <c r="AB768" s="58"/>
      <c r="AC768" s="58"/>
      <c r="AD768" s="58"/>
      <c r="AE768" s="138"/>
      <c r="AF768" s="136"/>
      <c r="AG768" s="136"/>
      <c r="AH768" s="136"/>
    </row>
    <row r="769" spans="1:34" s="132" customFormat="1" ht="12.75" customHeight="1" x14ac:dyDescent="0.25">
      <c r="A769" s="137"/>
      <c r="B769" s="139"/>
      <c r="C769" s="136"/>
      <c r="D769" s="131"/>
      <c r="E769" s="131"/>
      <c r="F769" s="58"/>
      <c r="G769" s="140"/>
      <c r="H769" s="140"/>
      <c r="I769" s="58"/>
      <c r="J769" s="58"/>
      <c r="K769" s="58"/>
      <c r="L769" s="58"/>
      <c r="M769" s="135"/>
      <c r="N769" s="135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35"/>
      <c r="Z769" s="58"/>
      <c r="AA769" s="58"/>
      <c r="AB769" s="58"/>
      <c r="AC769" s="58"/>
      <c r="AD769" s="58"/>
      <c r="AE769" s="138"/>
      <c r="AF769" s="136"/>
      <c r="AG769" s="136"/>
      <c r="AH769" s="136"/>
    </row>
    <row r="770" spans="1:34" s="132" customFormat="1" ht="12.75" customHeight="1" x14ac:dyDescent="0.25">
      <c r="A770" s="137"/>
      <c r="B770" s="139"/>
      <c r="C770" s="136"/>
      <c r="D770" s="131"/>
      <c r="E770" s="131"/>
      <c r="F770" s="58"/>
      <c r="G770" s="140"/>
      <c r="H770" s="140"/>
      <c r="I770" s="58"/>
      <c r="J770" s="58"/>
      <c r="K770" s="58"/>
      <c r="L770" s="58"/>
      <c r="M770" s="135"/>
      <c r="N770" s="135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35"/>
      <c r="Z770" s="58"/>
      <c r="AA770" s="58"/>
      <c r="AB770" s="58"/>
      <c r="AC770" s="58"/>
      <c r="AD770" s="58"/>
      <c r="AE770" s="138"/>
      <c r="AF770" s="136"/>
      <c r="AG770" s="136"/>
      <c r="AH770" s="136"/>
    </row>
    <row r="771" spans="1:34" s="132" customFormat="1" ht="12.75" customHeight="1" x14ac:dyDescent="0.25">
      <c r="A771" s="137"/>
      <c r="B771" s="139"/>
      <c r="C771" s="136"/>
      <c r="D771" s="131"/>
      <c r="E771" s="131"/>
      <c r="F771" s="58"/>
      <c r="G771" s="140"/>
      <c r="H771" s="140"/>
      <c r="I771" s="58"/>
      <c r="J771" s="58"/>
      <c r="K771" s="58"/>
      <c r="L771" s="58"/>
      <c r="M771" s="135"/>
      <c r="N771" s="135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35"/>
      <c r="Z771" s="58"/>
      <c r="AA771" s="58"/>
      <c r="AB771" s="58"/>
      <c r="AC771" s="58"/>
      <c r="AD771" s="58"/>
      <c r="AE771" s="138"/>
      <c r="AF771" s="136"/>
      <c r="AG771" s="136"/>
      <c r="AH771" s="136"/>
    </row>
    <row r="772" spans="1:34" s="132" customFormat="1" ht="12.75" customHeight="1" x14ac:dyDescent="0.25">
      <c r="A772" s="137"/>
      <c r="B772" s="139"/>
      <c r="C772" s="136"/>
      <c r="D772" s="131"/>
      <c r="E772" s="131"/>
      <c r="F772" s="58"/>
      <c r="G772" s="140"/>
      <c r="H772" s="140"/>
      <c r="I772" s="58"/>
      <c r="J772" s="58"/>
      <c r="K772" s="58"/>
      <c r="L772" s="58"/>
      <c r="M772" s="135"/>
      <c r="N772" s="135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35"/>
      <c r="Z772" s="58"/>
      <c r="AA772" s="58"/>
      <c r="AB772" s="58"/>
      <c r="AC772" s="58"/>
      <c r="AD772" s="58"/>
      <c r="AE772" s="138"/>
      <c r="AF772" s="136"/>
      <c r="AG772" s="136"/>
      <c r="AH772" s="136"/>
    </row>
    <row r="773" spans="1:34" s="132" customFormat="1" ht="12.75" customHeight="1" x14ac:dyDescent="0.25">
      <c r="A773" s="137"/>
      <c r="B773" s="139"/>
      <c r="C773" s="136"/>
      <c r="D773" s="131"/>
      <c r="E773" s="131"/>
      <c r="F773" s="58"/>
      <c r="G773" s="140"/>
      <c r="H773" s="140"/>
      <c r="I773" s="58"/>
      <c r="J773" s="58"/>
      <c r="K773" s="58"/>
      <c r="L773" s="58"/>
      <c r="M773" s="135"/>
      <c r="N773" s="135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35"/>
      <c r="Z773" s="58"/>
      <c r="AA773" s="58"/>
      <c r="AB773" s="58"/>
      <c r="AC773" s="58"/>
      <c r="AD773" s="58"/>
      <c r="AE773" s="138"/>
      <c r="AF773" s="136"/>
      <c r="AG773" s="136"/>
      <c r="AH773" s="136"/>
    </row>
    <row r="774" spans="1:34" s="132" customFormat="1" ht="12.75" customHeight="1" x14ac:dyDescent="0.25">
      <c r="A774" s="137"/>
      <c r="B774" s="139"/>
      <c r="C774" s="136"/>
      <c r="D774" s="131"/>
      <c r="E774" s="131"/>
      <c r="F774" s="58"/>
      <c r="G774" s="140"/>
      <c r="H774" s="140"/>
      <c r="I774" s="58"/>
      <c r="J774" s="58"/>
      <c r="K774" s="58"/>
      <c r="L774" s="58"/>
      <c r="M774" s="135"/>
      <c r="N774" s="135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35"/>
      <c r="Z774" s="58"/>
      <c r="AA774" s="58"/>
      <c r="AB774" s="58"/>
      <c r="AC774" s="58"/>
      <c r="AD774" s="58"/>
      <c r="AE774" s="138"/>
      <c r="AF774" s="136"/>
      <c r="AG774" s="136"/>
      <c r="AH774" s="136"/>
    </row>
    <row r="775" spans="1:34" s="132" customFormat="1" ht="12.75" customHeight="1" x14ac:dyDescent="0.25">
      <c r="A775" s="137"/>
      <c r="B775" s="139"/>
      <c r="C775" s="136"/>
      <c r="D775" s="131"/>
      <c r="E775" s="131"/>
      <c r="F775" s="58"/>
      <c r="G775" s="140"/>
      <c r="H775" s="140"/>
      <c r="I775" s="58"/>
      <c r="J775" s="58"/>
      <c r="K775" s="58"/>
      <c r="L775" s="58"/>
      <c r="M775" s="135"/>
      <c r="N775" s="135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35"/>
      <c r="Z775" s="58"/>
      <c r="AA775" s="58"/>
      <c r="AB775" s="58"/>
      <c r="AC775" s="58"/>
      <c r="AD775" s="58"/>
      <c r="AE775" s="138"/>
      <c r="AF775" s="136"/>
      <c r="AG775" s="136"/>
      <c r="AH775" s="136"/>
    </row>
    <row r="776" spans="1:34" s="132" customFormat="1" ht="12.75" customHeight="1" x14ac:dyDescent="0.25">
      <c r="A776" s="137"/>
      <c r="B776" s="139"/>
      <c r="C776" s="136"/>
      <c r="D776" s="131"/>
      <c r="E776" s="131"/>
      <c r="F776" s="58"/>
      <c r="G776" s="140"/>
      <c r="H776" s="140"/>
      <c r="I776" s="58"/>
      <c r="J776" s="58"/>
      <c r="K776" s="58"/>
      <c r="L776" s="58"/>
      <c r="M776" s="135"/>
      <c r="N776" s="135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35"/>
      <c r="Z776" s="58"/>
      <c r="AA776" s="58"/>
      <c r="AB776" s="58"/>
      <c r="AC776" s="58"/>
      <c r="AD776" s="58"/>
      <c r="AE776" s="138"/>
      <c r="AF776" s="136"/>
      <c r="AG776" s="136"/>
      <c r="AH776" s="136"/>
    </row>
    <row r="777" spans="1:34" s="132" customFormat="1" ht="12.75" customHeight="1" x14ac:dyDescent="0.25">
      <c r="A777" s="137"/>
      <c r="B777" s="139"/>
      <c r="C777" s="136"/>
      <c r="D777" s="131"/>
      <c r="E777" s="131"/>
      <c r="F777" s="58"/>
      <c r="G777" s="140"/>
      <c r="H777" s="140"/>
      <c r="I777" s="58"/>
      <c r="J777" s="58"/>
      <c r="K777" s="58"/>
      <c r="L777" s="58"/>
      <c r="M777" s="135"/>
      <c r="N777" s="135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35"/>
      <c r="Z777" s="58"/>
      <c r="AA777" s="58"/>
      <c r="AB777" s="58"/>
      <c r="AC777" s="58"/>
      <c r="AD777" s="58"/>
      <c r="AE777" s="138"/>
      <c r="AF777" s="136"/>
      <c r="AG777" s="136"/>
      <c r="AH777" s="136"/>
    </row>
    <row r="778" spans="1:34" s="132" customFormat="1" ht="12.75" customHeight="1" x14ac:dyDescent="0.25">
      <c r="A778" s="137"/>
      <c r="B778" s="139"/>
      <c r="C778" s="136"/>
      <c r="D778" s="131"/>
      <c r="E778" s="131"/>
      <c r="F778" s="58"/>
      <c r="G778" s="140"/>
      <c r="H778" s="140"/>
      <c r="I778" s="58"/>
      <c r="J778" s="58"/>
      <c r="K778" s="58"/>
      <c r="L778" s="58"/>
      <c r="M778" s="135"/>
      <c r="N778" s="135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35"/>
      <c r="Z778" s="58"/>
      <c r="AA778" s="58"/>
      <c r="AB778" s="58"/>
      <c r="AC778" s="58"/>
      <c r="AD778" s="58"/>
      <c r="AE778" s="138"/>
      <c r="AF778" s="136"/>
      <c r="AG778" s="136"/>
      <c r="AH778" s="136"/>
    </row>
    <row r="779" spans="1:34" s="132" customFormat="1" ht="12.75" customHeight="1" x14ac:dyDescent="0.25">
      <c r="A779" s="137"/>
      <c r="B779" s="139"/>
      <c r="C779" s="136"/>
      <c r="D779" s="131"/>
      <c r="E779" s="131"/>
      <c r="F779" s="58"/>
      <c r="G779" s="140"/>
      <c r="H779" s="140"/>
      <c r="I779" s="58"/>
      <c r="J779" s="58"/>
      <c r="K779" s="58"/>
      <c r="L779" s="58"/>
      <c r="M779" s="135"/>
      <c r="N779" s="135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35"/>
      <c r="Z779" s="58"/>
      <c r="AA779" s="58"/>
      <c r="AB779" s="58"/>
      <c r="AC779" s="58"/>
      <c r="AD779" s="58"/>
      <c r="AE779" s="138"/>
      <c r="AF779" s="136"/>
      <c r="AG779" s="136"/>
      <c r="AH779" s="136"/>
    </row>
    <row r="780" spans="1:34" s="132" customFormat="1" ht="12.75" customHeight="1" x14ac:dyDescent="0.25">
      <c r="A780" s="137"/>
      <c r="B780" s="139"/>
      <c r="C780" s="136"/>
      <c r="D780" s="131"/>
      <c r="E780" s="131"/>
      <c r="F780" s="58"/>
      <c r="G780" s="140"/>
      <c r="H780" s="140"/>
      <c r="I780" s="58"/>
      <c r="J780" s="58"/>
      <c r="K780" s="58"/>
      <c r="L780" s="58"/>
      <c r="M780" s="135"/>
      <c r="N780" s="135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35"/>
      <c r="Z780" s="58"/>
      <c r="AA780" s="58"/>
      <c r="AB780" s="58"/>
      <c r="AC780" s="58"/>
      <c r="AD780" s="58"/>
      <c r="AE780" s="138"/>
      <c r="AF780" s="136"/>
      <c r="AG780" s="136"/>
      <c r="AH780" s="136"/>
    </row>
    <row r="781" spans="1:34" s="132" customFormat="1" ht="12.75" customHeight="1" x14ac:dyDescent="0.25">
      <c r="A781" s="137"/>
      <c r="B781" s="139"/>
      <c r="C781" s="136"/>
      <c r="D781" s="131"/>
      <c r="E781" s="131"/>
      <c r="F781" s="58"/>
      <c r="G781" s="140"/>
      <c r="H781" s="140"/>
      <c r="I781" s="58"/>
      <c r="J781" s="58"/>
      <c r="K781" s="58"/>
      <c r="L781" s="58"/>
      <c r="M781" s="135"/>
      <c r="N781" s="135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35"/>
      <c r="Z781" s="58"/>
      <c r="AA781" s="58"/>
      <c r="AB781" s="58"/>
      <c r="AC781" s="58"/>
      <c r="AD781" s="58"/>
      <c r="AE781" s="138"/>
      <c r="AF781" s="136"/>
      <c r="AG781" s="136"/>
      <c r="AH781" s="136"/>
    </row>
    <row r="782" spans="1:34" s="132" customFormat="1" ht="12.75" customHeight="1" x14ac:dyDescent="0.25">
      <c r="A782" s="137"/>
      <c r="B782" s="139"/>
      <c r="C782" s="136"/>
      <c r="D782" s="131"/>
      <c r="E782" s="131"/>
      <c r="F782" s="58"/>
      <c r="G782" s="140"/>
      <c r="H782" s="140"/>
      <c r="I782" s="58"/>
      <c r="J782" s="58"/>
      <c r="K782" s="58"/>
      <c r="L782" s="58"/>
      <c r="M782" s="135"/>
      <c r="N782" s="135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35"/>
      <c r="Z782" s="58"/>
      <c r="AA782" s="58"/>
      <c r="AB782" s="58"/>
      <c r="AC782" s="58"/>
      <c r="AD782" s="58"/>
      <c r="AE782" s="138"/>
      <c r="AF782" s="136"/>
      <c r="AG782" s="136"/>
      <c r="AH782" s="136"/>
    </row>
    <row r="783" spans="1:34" s="132" customFormat="1" ht="12.75" customHeight="1" x14ac:dyDescent="0.25">
      <c r="A783" s="137"/>
      <c r="B783" s="139"/>
      <c r="C783" s="136"/>
      <c r="D783" s="131"/>
      <c r="E783" s="131"/>
      <c r="F783" s="58"/>
      <c r="G783" s="140"/>
      <c r="H783" s="140"/>
      <c r="I783" s="58"/>
      <c r="J783" s="58"/>
      <c r="K783" s="58"/>
      <c r="L783" s="58"/>
      <c r="M783" s="135"/>
      <c r="N783" s="135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35"/>
      <c r="Z783" s="58"/>
      <c r="AA783" s="58"/>
      <c r="AB783" s="58"/>
      <c r="AC783" s="58"/>
      <c r="AD783" s="58"/>
      <c r="AE783" s="138"/>
      <c r="AF783" s="136"/>
      <c r="AG783" s="136"/>
      <c r="AH783" s="136"/>
    </row>
    <row r="784" spans="1:34" s="132" customFormat="1" ht="12.75" customHeight="1" x14ac:dyDescent="0.25">
      <c r="A784" s="137"/>
      <c r="B784" s="139"/>
      <c r="C784" s="136"/>
      <c r="D784" s="131"/>
      <c r="E784" s="131"/>
      <c r="F784" s="58"/>
      <c r="G784" s="140"/>
      <c r="H784" s="140"/>
      <c r="I784" s="58"/>
      <c r="J784" s="58"/>
      <c r="K784" s="58"/>
      <c r="L784" s="58"/>
      <c r="M784" s="135"/>
      <c r="N784" s="135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35"/>
      <c r="Z784" s="58"/>
      <c r="AA784" s="58"/>
      <c r="AB784" s="58"/>
      <c r="AC784" s="58"/>
      <c r="AD784" s="58"/>
      <c r="AE784" s="138"/>
      <c r="AF784" s="136"/>
      <c r="AG784" s="136"/>
      <c r="AH784" s="136"/>
    </row>
    <row r="785" spans="1:34" s="132" customFormat="1" ht="12.75" customHeight="1" x14ac:dyDescent="0.25">
      <c r="A785" s="137"/>
      <c r="B785" s="139"/>
      <c r="C785" s="136"/>
      <c r="D785" s="131"/>
      <c r="E785" s="131"/>
      <c r="F785" s="58"/>
      <c r="G785" s="140"/>
      <c r="H785" s="140"/>
      <c r="I785" s="58"/>
      <c r="J785" s="58"/>
      <c r="K785" s="58"/>
      <c r="L785" s="58"/>
      <c r="M785" s="135"/>
      <c r="N785" s="135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35"/>
      <c r="Z785" s="58"/>
      <c r="AA785" s="58"/>
      <c r="AB785" s="58"/>
      <c r="AC785" s="58"/>
      <c r="AD785" s="58"/>
      <c r="AE785" s="138"/>
      <c r="AF785" s="136"/>
      <c r="AG785" s="136"/>
      <c r="AH785" s="136"/>
    </row>
    <row r="786" spans="1:34" s="132" customFormat="1" ht="12.75" customHeight="1" x14ac:dyDescent="0.25">
      <c r="A786" s="137"/>
      <c r="B786" s="139"/>
      <c r="C786" s="136"/>
      <c r="D786" s="131"/>
      <c r="E786" s="131"/>
      <c r="F786" s="58"/>
      <c r="G786" s="140"/>
      <c r="H786" s="140"/>
      <c r="I786" s="58"/>
      <c r="J786" s="58"/>
      <c r="K786" s="58"/>
      <c r="L786" s="58"/>
      <c r="M786" s="135"/>
      <c r="N786" s="135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35"/>
      <c r="Z786" s="58"/>
      <c r="AA786" s="58"/>
      <c r="AB786" s="58"/>
      <c r="AC786" s="58"/>
      <c r="AD786" s="58"/>
      <c r="AE786" s="138"/>
      <c r="AF786" s="136"/>
      <c r="AG786" s="136"/>
      <c r="AH786" s="136"/>
    </row>
    <row r="787" spans="1:34" s="132" customFormat="1" ht="12.75" customHeight="1" x14ac:dyDescent="0.25">
      <c r="A787" s="137"/>
      <c r="B787" s="139"/>
      <c r="C787" s="136"/>
      <c r="D787" s="131"/>
      <c r="E787" s="131"/>
      <c r="F787" s="58"/>
      <c r="G787" s="140"/>
      <c r="H787" s="140"/>
      <c r="I787" s="58"/>
      <c r="J787" s="58"/>
      <c r="K787" s="58"/>
      <c r="L787" s="58"/>
      <c r="M787" s="135"/>
      <c r="N787" s="135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35"/>
      <c r="Z787" s="58"/>
      <c r="AA787" s="58"/>
      <c r="AB787" s="58"/>
      <c r="AC787" s="58"/>
      <c r="AD787" s="58"/>
      <c r="AE787" s="138"/>
      <c r="AF787" s="136"/>
      <c r="AG787" s="136"/>
      <c r="AH787" s="136"/>
    </row>
    <row r="788" spans="1:34" s="132" customFormat="1" ht="12.75" customHeight="1" x14ac:dyDescent="0.25">
      <c r="A788" s="137"/>
      <c r="B788" s="139"/>
      <c r="C788" s="136"/>
      <c r="D788" s="131"/>
      <c r="E788" s="131"/>
      <c r="F788" s="58"/>
      <c r="G788" s="140"/>
      <c r="H788" s="140"/>
      <c r="I788" s="58"/>
      <c r="J788" s="58"/>
      <c r="K788" s="58"/>
      <c r="L788" s="58"/>
      <c r="M788" s="135"/>
      <c r="N788" s="135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35"/>
      <c r="Z788" s="58"/>
      <c r="AA788" s="58"/>
      <c r="AB788" s="58"/>
      <c r="AC788" s="58"/>
      <c r="AD788" s="58"/>
      <c r="AE788" s="138"/>
      <c r="AF788" s="136"/>
      <c r="AG788" s="136"/>
      <c r="AH788" s="136"/>
    </row>
    <row r="789" spans="1:34" s="132" customFormat="1" ht="12.75" customHeight="1" x14ac:dyDescent="0.25">
      <c r="A789" s="137"/>
      <c r="B789" s="139"/>
      <c r="C789" s="136"/>
      <c r="D789" s="131"/>
      <c r="E789" s="131"/>
      <c r="F789" s="58"/>
      <c r="G789" s="140"/>
      <c r="H789" s="140"/>
      <c r="I789" s="58"/>
      <c r="J789" s="58"/>
      <c r="K789" s="58"/>
      <c r="L789" s="58"/>
      <c r="M789" s="135"/>
      <c r="N789" s="135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35"/>
      <c r="Z789" s="58"/>
      <c r="AA789" s="58"/>
      <c r="AB789" s="58"/>
      <c r="AC789" s="58"/>
      <c r="AD789" s="58"/>
      <c r="AE789" s="138"/>
      <c r="AF789" s="136"/>
      <c r="AG789" s="136"/>
      <c r="AH789" s="136"/>
    </row>
    <row r="790" spans="1:34" s="132" customFormat="1" ht="12.75" customHeight="1" x14ac:dyDescent="0.25">
      <c r="A790" s="137"/>
      <c r="B790" s="139"/>
      <c r="C790" s="136"/>
      <c r="D790" s="131"/>
      <c r="E790" s="131"/>
      <c r="F790" s="58"/>
      <c r="G790" s="140"/>
      <c r="H790" s="140"/>
      <c r="I790" s="58"/>
      <c r="J790" s="58"/>
      <c r="K790" s="58"/>
      <c r="L790" s="58"/>
      <c r="M790" s="135"/>
      <c r="N790" s="135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35"/>
      <c r="Z790" s="58"/>
      <c r="AA790" s="58"/>
      <c r="AB790" s="58"/>
      <c r="AC790" s="58"/>
      <c r="AD790" s="58"/>
      <c r="AE790" s="138"/>
      <c r="AF790" s="136"/>
      <c r="AG790" s="136"/>
      <c r="AH790" s="136"/>
    </row>
    <row r="791" spans="1:34" s="132" customFormat="1" ht="12.75" customHeight="1" x14ac:dyDescent="0.25">
      <c r="A791" s="137"/>
      <c r="B791" s="139"/>
      <c r="C791" s="136"/>
      <c r="D791" s="131"/>
      <c r="E791" s="131"/>
      <c r="F791" s="58"/>
      <c r="G791" s="140"/>
      <c r="H791" s="140"/>
      <c r="I791" s="58"/>
      <c r="J791" s="58"/>
      <c r="K791" s="58"/>
      <c r="L791" s="58"/>
      <c r="M791" s="135"/>
      <c r="N791" s="135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35"/>
      <c r="Z791" s="58"/>
      <c r="AA791" s="58"/>
      <c r="AB791" s="58"/>
      <c r="AC791" s="58"/>
      <c r="AD791" s="58"/>
      <c r="AE791" s="138"/>
      <c r="AF791" s="136"/>
      <c r="AG791" s="136"/>
      <c r="AH791" s="136"/>
    </row>
    <row r="792" spans="1:34" s="132" customFormat="1" ht="12.75" customHeight="1" x14ac:dyDescent="0.25">
      <c r="A792" s="137"/>
      <c r="B792" s="139"/>
      <c r="C792" s="136"/>
      <c r="D792" s="131"/>
      <c r="E792" s="131"/>
      <c r="F792" s="58"/>
      <c r="G792" s="140"/>
      <c r="H792" s="140"/>
      <c r="I792" s="58"/>
      <c r="J792" s="58"/>
      <c r="K792" s="58"/>
      <c r="L792" s="58"/>
      <c r="M792" s="135"/>
      <c r="N792" s="135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35"/>
      <c r="Z792" s="58"/>
      <c r="AA792" s="58"/>
      <c r="AB792" s="58"/>
      <c r="AC792" s="58"/>
      <c r="AD792" s="58"/>
      <c r="AE792" s="138"/>
      <c r="AF792" s="136"/>
      <c r="AG792" s="136"/>
      <c r="AH792" s="136"/>
    </row>
    <row r="793" spans="1:34" s="132" customFormat="1" ht="12.75" customHeight="1" x14ac:dyDescent="0.25">
      <c r="A793" s="137"/>
      <c r="B793" s="139"/>
      <c r="C793" s="136"/>
      <c r="D793" s="131"/>
      <c r="E793" s="131"/>
      <c r="F793" s="58"/>
      <c r="G793" s="140"/>
      <c r="H793" s="140"/>
      <c r="I793" s="58"/>
      <c r="J793" s="58"/>
      <c r="K793" s="58"/>
      <c r="L793" s="58"/>
      <c r="M793" s="135"/>
      <c r="N793" s="135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35"/>
      <c r="Z793" s="58"/>
      <c r="AA793" s="58"/>
      <c r="AB793" s="58"/>
      <c r="AC793" s="58"/>
      <c r="AD793" s="58"/>
      <c r="AE793" s="138"/>
      <c r="AF793" s="136"/>
      <c r="AG793" s="136"/>
      <c r="AH793" s="136"/>
    </row>
    <row r="794" spans="1:34" s="132" customFormat="1" ht="12.75" customHeight="1" x14ac:dyDescent="0.25">
      <c r="A794" s="137"/>
      <c r="B794" s="139"/>
      <c r="C794" s="136"/>
      <c r="D794" s="131"/>
      <c r="E794" s="131"/>
      <c r="F794" s="58"/>
      <c r="G794" s="140"/>
      <c r="H794" s="140"/>
      <c r="I794" s="58"/>
      <c r="J794" s="58"/>
      <c r="K794" s="58"/>
      <c r="L794" s="58"/>
      <c r="M794" s="135"/>
      <c r="N794" s="135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35"/>
      <c r="Z794" s="58"/>
      <c r="AA794" s="58"/>
      <c r="AB794" s="58"/>
      <c r="AC794" s="58"/>
      <c r="AD794" s="58"/>
      <c r="AE794" s="138"/>
      <c r="AF794" s="136"/>
      <c r="AG794" s="136"/>
      <c r="AH794" s="136"/>
    </row>
    <row r="795" spans="1:34" s="132" customFormat="1" ht="12.75" customHeight="1" x14ac:dyDescent="0.25">
      <c r="A795" s="137"/>
      <c r="B795" s="139"/>
      <c r="C795" s="136"/>
      <c r="D795" s="131"/>
      <c r="E795" s="131"/>
      <c r="F795" s="58"/>
      <c r="G795" s="140"/>
      <c r="H795" s="140"/>
      <c r="I795" s="58"/>
      <c r="J795" s="58"/>
      <c r="K795" s="58"/>
      <c r="L795" s="58"/>
      <c r="M795" s="135"/>
      <c r="N795" s="135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35"/>
      <c r="Z795" s="58"/>
      <c r="AA795" s="58"/>
      <c r="AB795" s="58"/>
      <c r="AC795" s="58"/>
      <c r="AD795" s="58"/>
      <c r="AE795" s="138"/>
      <c r="AF795" s="136"/>
      <c r="AG795" s="136"/>
      <c r="AH795" s="136"/>
    </row>
    <row r="796" spans="1:34" s="132" customFormat="1" ht="12.75" customHeight="1" x14ac:dyDescent="0.25">
      <c r="A796" s="137"/>
      <c r="B796" s="139"/>
      <c r="C796" s="136"/>
      <c r="D796" s="131"/>
      <c r="E796" s="131"/>
      <c r="F796" s="58"/>
      <c r="G796" s="140"/>
      <c r="H796" s="140"/>
      <c r="I796" s="58"/>
      <c r="J796" s="58"/>
      <c r="K796" s="58"/>
      <c r="L796" s="58"/>
      <c r="M796" s="135"/>
      <c r="N796" s="135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35"/>
      <c r="Z796" s="58"/>
      <c r="AA796" s="58"/>
      <c r="AB796" s="58"/>
      <c r="AC796" s="58"/>
      <c r="AD796" s="58"/>
      <c r="AE796" s="138"/>
      <c r="AF796" s="136"/>
      <c r="AG796" s="136"/>
      <c r="AH796" s="136"/>
    </row>
    <row r="797" spans="1:34" s="132" customFormat="1" ht="12.75" customHeight="1" x14ac:dyDescent="0.25">
      <c r="A797" s="137"/>
      <c r="B797" s="139"/>
      <c r="C797" s="136"/>
      <c r="D797" s="131"/>
      <c r="E797" s="131"/>
      <c r="F797" s="58"/>
      <c r="G797" s="140"/>
      <c r="H797" s="140"/>
      <c r="I797" s="58"/>
      <c r="J797" s="58"/>
      <c r="K797" s="58"/>
      <c r="L797" s="58"/>
      <c r="M797" s="135"/>
      <c r="N797" s="135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35"/>
      <c r="Z797" s="58"/>
      <c r="AA797" s="58"/>
      <c r="AB797" s="58"/>
      <c r="AC797" s="58"/>
      <c r="AD797" s="58"/>
      <c r="AE797" s="138"/>
      <c r="AF797" s="136"/>
      <c r="AG797" s="136"/>
      <c r="AH797" s="136"/>
    </row>
    <row r="798" spans="1:34" s="132" customFormat="1" ht="12.75" customHeight="1" x14ac:dyDescent="0.25">
      <c r="A798" s="137"/>
      <c r="B798" s="139"/>
      <c r="C798" s="136"/>
      <c r="D798" s="131"/>
      <c r="E798" s="131"/>
      <c r="F798" s="58"/>
      <c r="G798" s="140"/>
      <c r="H798" s="140"/>
      <c r="I798" s="58"/>
      <c r="J798" s="58"/>
      <c r="K798" s="58"/>
      <c r="L798" s="58"/>
      <c r="M798" s="135"/>
      <c r="N798" s="135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35"/>
      <c r="Z798" s="58"/>
      <c r="AA798" s="58"/>
      <c r="AB798" s="58"/>
      <c r="AC798" s="58"/>
      <c r="AD798" s="58"/>
      <c r="AE798" s="138"/>
      <c r="AF798" s="136"/>
      <c r="AG798" s="136"/>
      <c r="AH798" s="136"/>
    </row>
    <row r="799" spans="1:34" s="132" customFormat="1" ht="12.75" customHeight="1" x14ac:dyDescent="0.25">
      <c r="A799" s="137"/>
      <c r="B799" s="139"/>
      <c r="C799" s="136"/>
      <c r="D799" s="131"/>
      <c r="E799" s="131"/>
      <c r="F799" s="58"/>
      <c r="G799" s="140"/>
      <c r="H799" s="140"/>
      <c r="I799" s="58"/>
      <c r="J799" s="58"/>
      <c r="K799" s="58"/>
      <c r="L799" s="58"/>
      <c r="M799" s="135"/>
      <c r="N799" s="135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35"/>
      <c r="Z799" s="58"/>
      <c r="AA799" s="58"/>
      <c r="AB799" s="58"/>
      <c r="AC799" s="58"/>
      <c r="AD799" s="58"/>
      <c r="AE799" s="138"/>
      <c r="AF799" s="136"/>
      <c r="AG799" s="136"/>
      <c r="AH799" s="136"/>
    </row>
    <row r="800" spans="1:34" s="132" customFormat="1" ht="12.75" customHeight="1" x14ac:dyDescent="0.25">
      <c r="A800" s="137"/>
      <c r="B800" s="139"/>
      <c r="C800" s="136"/>
      <c r="D800" s="131"/>
      <c r="E800" s="131"/>
      <c r="F800" s="58"/>
      <c r="G800" s="140"/>
      <c r="H800" s="140"/>
      <c r="I800" s="58"/>
      <c r="J800" s="58"/>
      <c r="K800" s="58"/>
      <c r="L800" s="58"/>
      <c r="M800" s="135"/>
      <c r="N800" s="135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35"/>
      <c r="Z800" s="58"/>
      <c r="AA800" s="58"/>
      <c r="AB800" s="58"/>
      <c r="AC800" s="58"/>
      <c r="AD800" s="58"/>
      <c r="AE800" s="138"/>
      <c r="AF800" s="136"/>
      <c r="AG800" s="136"/>
      <c r="AH800" s="136"/>
    </row>
    <row r="801" spans="1:34" s="132" customFormat="1" ht="12.75" customHeight="1" x14ac:dyDescent="0.25">
      <c r="A801" s="137"/>
      <c r="B801" s="139"/>
      <c r="C801" s="136"/>
      <c r="D801" s="131"/>
      <c r="E801" s="131"/>
      <c r="F801" s="58"/>
      <c r="G801" s="140"/>
      <c r="H801" s="140"/>
      <c r="I801" s="58"/>
      <c r="J801" s="58"/>
      <c r="K801" s="58"/>
      <c r="L801" s="58"/>
      <c r="M801" s="135"/>
      <c r="N801" s="135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35"/>
      <c r="Z801" s="58"/>
      <c r="AA801" s="58"/>
      <c r="AB801" s="58"/>
      <c r="AC801" s="58"/>
      <c r="AD801" s="58"/>
      <c r="AE801" s="138"/>
      <c r="AF801" s="136"/>
      <c r="AG801" s="136"/>
      <c r="AH801" s="136"/>
    </row>
    <row r="802" spans="1:34" s="132" customFormat="1" ht="12.75" customHeight="1" x14ac:dyDescent="0.25">
      <c r="A802" s="137"/>
      <c r="B802" s="139"/>
      <c r="C802" s="136"/>
      <c r="D802" s="131"/>
      <c r="E802" s="131"/>
      <c r="F802" s="58"/>
      <c r="G802" s="140"/>
      <c r="H802" s="140"/>
      <c r="I802" s="58"/>
      <c r="J802" s="58"/>
      <c r="K802" s="58"/>
      <c r="L802" s="58"/>
      <c r="M802" s="135"/>
      <c r="N802" s="135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35"/>
      <c r="Z802" s="58"/>
      <c r="AA802" s="58"/>
      <c r="AB802" s="58"/>
      <c r="AC802" s="58"/>
      <c r="AD802" s="58"/>
      <c r="AE802" s="138"/>
      <c r="AF802" s="136"/>
      <c r="AG802" s="136"/>
      <c r="AH802" s="136"/>
    </row>
    <row r="803" spans="1:34" s="132" customFormat="1" ht="12.75" customHeight="1" x14ac:dyDescent="0.25">
      <c r="A803" s="137"/>
      <c r="B803" s="139"/>
      <c r="C803" s="136"/>
      <c r="D803" s="131"/>
      <c r="E803" s="131"/>
      <c r="F803" s="58"/>
      <c r="G803" s="140"/>
      <c r="H803" s="140"/>
      <c r="I803" s="58"/>
      <c r="J803" s="58"/>
      <c r="K803" s="58"/>
      <c r="L803" s="58"/>
      <c r="M803" s="135"/>
      <c r="N803" s="135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35"/>
      <c r="Z803" s="58"/>
      <c r="AA803" s="58"/>
      <c r="AB803" s="58"/>
      <c r="AC803" s="58"/>
      <c r="AD803" s="58"/>
      <c r="AE803" s="138"/>
      <c r="AF803" s="136"/>
      <c r="AG803" s="136"/>
      <c r="AH803" s="136"/>
    </row>
    <row r="804" spans="1:34" s="132" customFormat="1" ht="12.75" customHeight="1" x14ac:dyDescent="0.25">
      <c r="A804" s="137"/>
      <c r="B804" s="139"/>
      <c r="C804" s="136"/>
      <c r="D804" s="131"/>
      <c r="E804" s="131"/>
      <c r="F804" s="58"/>
      <c r="G804" s="140"/>
      <c r="H804" s="140"/>
      <c r="I804" s="58"/>
      <c r="J804" s="58"/>
      <c r="K804" s="58"/>
      <c r="L804" s="58"/>
      <c r="M804" s="135"/>
      <c r="N804" s="135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35"/>
      <c r="Z804" s="58"/>
      <c r="AA804" s="58"/>
      <c r="AB804" s="58"/>
      <c r="AC804" s="58"/>
      <c r="AD804" s="58"/>
      <c r="AE804" s="138"/>
      <c r="AF804" s="136"/>
      <c r="AG804" s="136"/>
      <c r="AH804" s="136"/>
    </row>
    <row r="805" spans="1:34" s="132" customFormat="1" ht="12.75" customHeight="1" x14ac:dyDescent="0.25">
      <c r="A805" s="137"/>
      <c r="B805" s="139"/>
      <c r="C805" s="136"/>
      <c r="D805" s="131"/>
      <c r="E805" s="131"/>
      <c r="F805" s="58"/>
      <c r="G805" s="140"/>
      <c r="H805" s="140"/>
      <c r="I805" s="58"/>
      <c r="J805" s="58"/>
      <c r="K805" s="58"/>
      <c r="L805" s="58"/>
      <c r="M805" s="135"/>
      <c r="N805" s="135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35"/>
      <c r="Z805" s="58"/>
      <c r="AA805" s="58"/>
      <c r="AB805" s="58"/>
      <c r="AC805" s="58"/>
      <c r="AD805" s="58"/>
      <c r="AE805" s="138"/>
      <c r="AF805" s="136"/>
      <c r="AG805" s="136"/>
      <c r="AH805" s="136"/>
    </row>
    <row r="806" spans="1:34" s="132" customFormat="1" ht="12.75" customHeight="1" x14ac:dyDescent="0.25">
      <c r="A806" s="137"/>
      <c r="B806" s="139"/>
      <c r="C806" s="136"/>
      <c r="D806" s="131"/>
      <c r="E806" s="131"/>
      <c r="F806" s="58"/>
      <c r="G806" s="140"/>
      <c r="H806" s="140"/>
      <c r="I806" s="58"/>
      <c r="J806" s="58"/>
      <c r="K806" s="58"/>
      <c r="L806" s="58"/>
      <c r="M806" s="135"/>
      <c r="N806" s="135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35"/>
      <c r="Z806" s="58"/>
      <c r="AA806" s="58"/>
      <c r="AB806" s="58"/>
      <c r="AC806" s="58"/>
      <c r="AD806" s="58"/>
      <c r="AE806" s="138"/>
      <c r="AF806" s="136"/>
      <c r="AG806" s="136"/>
      <c r="AH806" s="136"/>
    </row>
    <row r="807" spans="1:34" s="132" customFormat="1" ht="12.75" customHeight="1" x14ac:dyDescent="0.25">
      <c r="A807" s="137"/>
      <c r="B807" s="139"/>
      <c r="C807" s="136"/>
      <c r="D807" s="131"/>
      <c r="E807" s="131"/>
      <c r="F807" s="58"/>
      <c r="G807" s="140"/>
      <c r="H807" s="140"/>
      <c r="I807" s="58"/>
      <c r="J807" s="58"/>
      <c r="K807" s="58"/>
      <c r="L807" s="58"/>
      <c r="M807" s="135"/>
      <c r="N807" s="135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35"/>
      <c r="Z807" s="58"/>
      <c r="AA807" s="58"/>
      <c r="AB807" s="58"/>
      <c r="AC807" s="58"/>
      <c r="AD807" s="58"/>
      <c r="AE807" s="138"/>
      <c r="AF807" s="136"/>
      <c r="AG807" s="136"/>
      <c r="AH807" s="136"/>
    </row>
    <row r="808" spans="1:34" s="132" customFormat="1" ht="12.75" customHeight="1" x14ac:dyDescent="0.25">
      <c r="A808" s="137"/>
      <c r="B808" s="139"/>
      <c r="C808" s="136"/>
      <c r="D808" s="131"/>
      <c r="E808" s="131"/>
      <c r="F808" s="58"/>
      <c r="G808" s="140"/>
      <c r="H808" s="140"/>
      <c r="I808" s="58"/>
      <c r="J808" s="58"/>
      <c r="K808" s="58"/>
      <c r="L808" s="58"/>
      <c r="M808" s="135"/>
      <c r="N808" s="135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35"/>
      <c r="Z808" s="58"/>
      <c r="AA808" s="58"/>
      <c r="AB808" s="58"/>
      <c r="AC808" s="58"/>
      <c r="AD808" s="58"/>
      <c r="AE808" s="138"/>
      <c r="AF808" s="136"/>
      <c r="AG808" s="136"/>
      <c r="AH808" s="136"/>
    </row>
    <row r="809" spans="1:34" s="132" customFormat="1" ht="12.75" customHeight="1" x14ac:dyDescent="0.25">
      <c r="A809" s="137"/>
      <c r="B809" s="139"/>
      <c r="C809" s="136"/>
      <c r="D809" s="131"/>
      <c r="E809" s="131"/>
      <c r="F809" s="58"/>
      <c r="G809" s="140"/>
      <c r="H809" s="140"/>
      <c r="I809" s="58"/>
      <c r="J809" s="58"/>
      <c r="K809" s="58"/>
      <c r="L809" s="58"/>
      <c r="M809" s="135"/>
      <c r="N809" s="135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35"/>
      <c r="Z809" s="58"/>
      <c r="AA809" s="58"/>
      <c r="AB809" s="58"/>
      <c r="AC809" s="58"/>
      <c r="AD809" s="58"/>
      <c r="AE809" s="138"/>
      <c r="AF809" s="136"/>
      <c r="AG809" s="136"/>
      <c r="AH809" s="136"/>
    </row>
    <row r="810" spans="1:34" s="132" customFormat="1" ht="12.75" customHeight="1" x14ac:dyDescent="0.25">
      <c r="A810" s="137"/>
      <c r="B810" s="139"/>
      <c r="C810" s="136"/>
      <c r="D810" s="131"/>
      <c r="E810" s="131"/>
      <c r="F810" s="58"/>
      <c r="G810" s="140"/>
      <c r="H810" s="140"/>
      <c r="I810" s="58"/>
      <c r="J810" s="58"/>
      <c r="K810" s="58"/>
      <c r="L810" s="58"/>
      <c r="M810" s="135"/>
      <c r="N810" s="135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35"/>
      <c r="Z810" s="58"/>
      <c r="AA810" s="58"/>
      <c r="AB810" s="58"/>
      <c r="AC810" s="58"/>
      <c r="AD810" s="58"/>
      <c r="AE810" s="138"/>
      <c r="AF810" s="136"/>
      <c r="AG810" s="136"/>
      <c r="AH810" s="136"/>
    </row>
    <row r="811" spans="1:34" s="132" customFormat="1" ht="12.75" customHeight="1" x14ac:dyDescent="0.25">
      <c r="A811" s="137"/>
      <c r="B811" s="139"/>
      <c r="C811" s="136"/>
      <c r="D811" s="131"/>
      <c r="E811" s="131"/>
      <c r="F811" s="58"/>
      <c r="G811" s="140"/>
      <c r="H811" s="140"/>
      <c r="I811" s="58"/>
      <c r="J811" s="58"/>
      <c r="K811" s="58"/>
      <c r="L811" s="58"/>
      <c r="M811" s="135"/>
      <c r="N811" s="135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35"/>
      <c r="Z811" s="58"/>
      <c r="AA811" s="58"/>
      <c r="AB811" s="58"/>
      <c r="AC811" s="58"/>
      <c r="AD811" s="58"/>
      <c r="AE811" s="138"/>
      <c r="AF811" s="136"/>
      <c r="AG811" s="136"/>
      <c r="AH811" s="136"/>
    </row>
    <row r="812" spans="1:34" s="132" customFormat="1" ht="12.75" customHeight="1" x14ac:dyDescent="0.25">
      <c r="A812" s="137"/>
      <c r="B812" s="139"/>
      <c r="C812" s="136"/>
      <c r="D812" s="131"/>
      <c r="E812" s="131"/>
      <c r="F812" s="58"/>
      <c r="G812" s="140"/>
      <c r="H812" s="140"/>
      <c r="I812" s="58"/>
      <c r="J812" s="58"/>
      <c r="K812" s="58"/>
      <c r="L812" s="58"/>
      <c r="M812" s="135"/>
      <c r="N812" s="135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35"/>
      <c r="Z812" s="58"/>
      <c r="AA812" s="58"/>
      <c r="AB812" s="58"/>
      <c r="AC812" s="58"/>
      <c r="AD812" s="58"/>
      <c r="AE812" s="138"/>
      <c r="AF812" s="136"/>
      <c r="AG812" s="136"/>
      <c r="AH812" s="136"/>
    </row>
    <row r="813" spans="1:34" s="132" customFormat="1" ht="12.75" customHeight="1" x14ac:dyDescent="0.25">
      <c r="A813" s="137"/>
      <c r="B813" s="139"/>
      <c r="C813" s="136"/>
      <c r="D813" s="131"/>
      <c r="E813" s="131"/>
      <c r="F813" s="58"/>
      <c r="G813" s="140"/>
      <c r="H813" s="140"/>
      <c r="I813" s="58"/>
      <c r="J813" s="58"/>
      <c r="K813" s="58"/>
      <c r="L813" s="58"/>
      <c r="M813" s="135"/>
      <c r="N813" s="135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35"/>
      <c r="Z813" s="58"/>
      <c r="AA813" s="58"/>
      <c r="AB813" s="58"/>
      <c r="AC813" s="58"/>
      <c r="AD813" s="58"/>
      <c r="AE813" s="138"/>
      <c r="AF813" s="136"/>
      <c r="AG813" s="136"/>
      <c r="AH813" s="136"/>
    </row>
    <row r="814" spans="1:34" s="132" customFormat="1" ht="12.75" customHeight="1" x14ac:dyDescent="0.25">
      <c r="A814" s="137"/>
      <c r="B814" s="139"/>
      <c r="C814" s="136"/>
      <c r="D814" s="131"/>
      <c r="E814" s="131"/>
      <c r="F814" s="58"/>
      <c r="G814" s="140"/>
      <c r="H814" s="140"/>
      <c r="I814" s="58"/>
      <c r="J814" s="58"/>
      <c r="K814" s="58"/>
      <c r="L814" s="58"/>
      <c r="M814" s="135"/>
      <c r="N814" s="135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35"/>
      <c r="Z814" s="58"/>
      <c r="AA814" s="58"/>
      <c r="AB814" s="58"/>
      <c r="AC814" s="58"/>
      <c r="AD814" s="58"/>
      <c r="AE814" s="138"/>
      <c r="AF814" s="136"/>
      <c r="AG814" s="136"/>
      <c r="AH814" s="136"/>
    </row>
    <row r="815" spans="1:34" s="132" customFormat="1" ht="12.75" customHeight="1" x14ac:dyDescent="0.25">
      <c r="A815" s="137"/>
      <c r="B815" s="139"/>
      <c r="C815" s="136"/>
      <c r="D815" s="131"/>
      <c r="E815" s="131"/>
      <c r="F815" s="58"/>
      <c r="G815" s="140"/>
      <c r="H815" s="140"/>
      <c r="I815" s="58"/>
      <c r="J815" s="58"/>
      <c r="K815" s="58"/>
      <c r="L815" s="58"/>
      <c r="M815" s="135"/>
      <c r="N815" s="135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35"/>
      <c r="Z815" s="58"/>
      <c r="AA815" s="58"/>
      <c r="AB815" s="58"/>
      <c r="AC815" s="58"/>
      <c r="AD815" s="58"/>
      <c r="AE815" s="138"/>
      <c r="AF815" s="136"/>
      <c r="AG815" s="136"/>
      <c r="AH815" s="136"/>
    </row>
    <row r="816" spans="1:34" s="132" customFormat="1" ht="12.75" customHeight="1" x14ac:dyDescent="0.25">
      <c r="A816" s="137"/>
      <c r="B816" s="139"/>
      <c r="C816" s="136"/>
      <c r="D816" s="131"/>
      <c r="E816" s="131"/>
      <c r="F816" s="58"/>
      <c r="G816" s="140"/>
      <c r="H816" s="140"/>
      <c r="I816" s="58"/>
      <c r="J816" s="58"/>
      <c r="K816" s="58"/>
      <c r="L816" s="58"/>
      <c r="M816" s="135"/>
      <c r="N816" s="135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35"/>
      <c r="Z816" s="58"/>
      <c r="AA816" s="58"/>
      <c r="AB816" s="58"/>
      <c r="AC816" s="58"/>
      <c r="AD816" s="58"/>
      <c r="AE816" s="138"/>
      <c r="AF816" s="136"/>
      <c r="AG816" s="136"/>
      <c r="AH816" s="136"/>
    </row>
    <row r="817" spans="1:34" s="132" customFormat="1" ht="12.75" customHeight="1" x14ac:dyDescent="0.25">
      <c r="A817" s="137"/>
      <c r="B817" s="139"/>
      <c r="C817" s="136"/>
      <c r="D817" s="131"/>
      <c r="E817" s="131"/>
      <c r="F817" s="58"/>
      <c r="G817" s="140"/>
      <c r="H817" s="140"/>
      <c r="I817" s="58"/>
      <c r="J817" s="58"/>
      <c r="K817" s="58"/>
      <c r="L817" s="58"/>
      <c r="M817" s="135"/>
      <c r="N817" s="135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35"/>
      <c r="Z817" s="58"/>
      <c r="AA817" s="58"/>
      <c r="AB817" s="58"/>
      <c r="AC817" s="58"/>
      <c r="AD817" s="58"/>
      <c r="AE817" s="138"/>
      <c r="AF817" s="136"/>
      <c r="AG817" s="136"/>
      <c r="AH817" s="136"/>
    </row>
    <row r="818" spans="1:34" s="132" customFormat="1" ht="12.75" customHeight="1" x14ac:dyDescent="0.25">
      <c r="A818" s="137"/>
      <c r="B818" s="139"/>
      <c r="C818" s="136"/>
      <c r="D818" s="131"/>
      <c r="E818" s="131"/>
      <c r="F818" s="58"/>
      <c r="G818" s="140"/>
      <c r="H818" s="140"/>
      <c r="I818" s="58"/>
      <c r="J818" s="58"/>
      <c r="K818" s="58"/>
      <c r="L818" s="58"/>
      <c r="M818" s="135"/>
      <c r="N818" s="135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35"/>
      <c r="Z818" s="58"/>
      <c r="AA818" s="58"/>
      <c r="AB818" s="58"/>
      <c r="AC818" s="58"/>
      <c r="AD818" s="58"/>
      <c r="AE818" s="138"/>
      <c r="AF818" s="136"/>
      <c r="AG818" s="136"/>
      <c r="AH818" s="136"/>
    </row>
    <row r="819" spans="1:34" s="132" customFormat="1" ht="12.75" customHeight="1" x14ac:dyDescent="0.25">
      <c r="A819" s="137"/>
      <c r="B819" s="139"/>
      <c r="C819" s="136"/>
      <c r="D819" s="131"/>
      <c r="E819" s="131"/>
      <c r="F819" s="58"/>
      <c r="G819" s="140"/>
      <c r="H819" s="140"/>
      <c r="I819" s="58"/>
      <c r="J819" s="58"/>
      <c r="K819" s="58"/>
      <c r="L819" s="58"/>
      <c r="M819" s="135"/>
      <c r="N819" s="135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35"/>
      <c r="Z819" s="58"/>
      <c r="AA819" s="58"/>
      <c r="AB819" s="58"/>
      <c r="AC819" s="58"/>
      <c r="AD819" s="58"/>
      <c r="AE819" s="138"/>
      <c r="AF819" s="136"/>
      <c r="AG819" s="136"/>
      <c r="AH819" s="136"/>
    </row>
    <row r="820" spans="1:34" s="132" customFormat="1" ht="12.75" customHeight="1" x14ac:dyDescent="0.25">
      <c r="A820" s="137"/>
      <c r="B820" s="139"/>
      <c r="C820" s="136"/>
      <c r="D820" s="131"/>
      <c r="E820" s="131"/>
      <c r="F820" s="58"/>
      <c r="G820" s="140"/>
      <c r="H820" s="140"/>
      <c r="I820" s="58"/>
      <c r="J820" s="58"/>
      <c r="K820" s="58"/>
      <c r="L820" s="58"/>
      <c r="M820" s="135"/>
      <c r="N820" s="135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35"/>
      <c r="Z820" s="58"/>
      <c r="AA820" s="58"/>
      <c r="AB820" s="58"/>
      <c r="AC820" s="58"/>
      <c r="AD820" s="58"/>
      <c r="AE820" s="138"/>
      <c r="AF820" s="136"/>
      <c r="AG820" s="136"/>
      <c r="AH820" s="136"/>
    </row>
    <row r="821" spans="1:34" s="132" customFormat="1" ht="12.75" customHeight="1" x14ac:dyDescent="0.25">
      <c r="A821" s="137"/>
      <c r="B821" s="139"/>
      <c r="C821" s="136"/>
      <c r="D821" s="131"/>
      <c r="E821" s="131"/>
      <c r="F821" s="58"/>
      <c r="G821" s="140"/>
      <c r="H821" s="140"/>
      <c r="I821" s="58"/>
      <c r="J821" s="58"/>
      <c r="K821" s="58"/>
      <c r="L821" s="58"/>
      <c r="M821" s="135"/>
      <c r="N821" s="135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35"/>
      <c r="Z821" s="58"/>
      <c r="AA821" s="58"/>
      <c r="AB821" s="58"/>
      <c r="AC821" s="58"/>
      <c r="AD821" s="58"/>
      <c r="AE821" s="138"/>
      <c r="AF821" s="136"/>
      <c r="AG821" s="136"/>
      <c r="AH821" s="136"/>
    </row>
    <row r="822" spans="1:34" s="132" customFormat="1" ht="12.75" customHeight="1" x14ac:dyDescent="0.25">
      <c r="A822" s="137"/>
      <c r="B822" s="139"/>
      <c r="C822" s="136"/>
      <c r="D822" s="131"/>
      <c r="E822" s="131"/>
      <c r="F822" s="58"/>
      <c r="G822" s="140"/>
      <c r="H822" s="140"/>
      <c r="I822" s="58"/>
      <c r="J822" s="58"/>
      <c r="K822" s="58"/>
      <c r="L822" s="58"/>
      <c r="M822" s="135"/>
      <c r="N822" s="135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35"/>
      <c r="Z822" s="58"/>
      <c r="AA822" s="58"/>
      <c r="AB822" s="58"/>
      <c r="AC822" s="58"/>
      <c r="AD822" s="58"/>
      <c r="AE822" s="138"/>
      <c r="AF822" s="136"/>
      <c r="AG822" s="136"/>
      <c r="AH822" s="136"/>
    </row>
    <row r="823" spans="1:34" s="132" customFormat="1" ht="12.75" customHeight="1" x14ac:dyDescent="0.25">
      <c r="A823" s="137"/>
      <c r="B823" s="139"/>
      <c r="C823" s="136"/>
      <c r="D823" s="131"/>
      <c r="E823" s="131"/>
      <c r="F823" s="58"/>
      <c r="G823" s="140"/>
      <c r="H823" s="140"/>
      <c r="I823" s="58"/>
      <c r="J823" s="58"/>
      <c r="K823" s="58"/>
      <c r="L823" s="58"/>
      <c r="M823" s="135"/>
      <c r="N823" s="135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35"/>
      <c r="Z823" s="58"/>
      <c r="AA823" s="58"/>
      <c r="AB823" s="58"/>
      <c r="AC823" s="58"/>
      <c r="AD823" s="58"/>
      <c r="AE823" s="138"/>
      <c r="AF823" s="136"/>
      <c r="AG823" s="136"/>
      <c r="AH823" s="136"/>
    </row>
    <row r="824" spans="1:34" s="132" customFormat="1" ht="12.75" customHeight="1" x14ac:dyDescent="0.25">
      <c r="A824" s="137"/>
      <c r="B824" s="139"/>
      <c r="C824" s="136"/>
      <c r="D824" s="131"/>
      <c r="E824" s="131"/>
      <c r="F824" s="58"/>
      <c r="G824" s="140"/>
      <c r="H824" s="140"/>
      <c r="I824" s="58"/>
      <c r="J824" s="58"/>
      <c r="K824" s="58"/>
      <c r="L824" s="58"/>
      <c r="M824" s="135"/>
      <c r="N824" s="135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35"/>
      <c r="Z824" s="58"/>
      <c r="AA824" s="58"/>
      <c r="AB824" s="58"/>
      <c r="AC824" s="58"/>
      <c r="AD824" s="58"/>
      <c r="AE824" s="138"/>
      <c r="AF824" s="136"/>
      <c r="AG824" s="136"/>
      <c r="AH824" s="136"/>
    </row>
    <row r="825" spans="1:34" s="132" customFormat="1" ht="12.75" customHeight="1" x14ac:dyDescent="0.25">
      <c r="A825" s="137"/>
      <c r="B825" s="139"/>
      <c r="C825" s="136"/>
      <c r="D825" s="131"/>
      <c r="E825" s="131"/>
      <c r="F825" s="58"/>
      <c r="G825" s="140"/>
      <c r="H825" s="140"/>
      <c r="I825" s="58"/>
      <c r="J825" s="58"/>
      <c r="K825" s="58"/>
      <c r="L825" s="58"/>
      <c r="M825" s="135"/>
      <c r="N825" s="135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35"/>
      <c r="Z825" s="58"/>
      <c r="AA825" s="58"/>
      <c r="AB825" s="58"/>
      <c r="AC825" s="58"/>
      <c r="AD825" s="58"/>
      <c r="AE825" s="138"/>
      <c r="AF825" s="136"/>
      <c r="AG825" s="136"/>
      <c r="AH825" s="136"/>
    </row>
    <row r="826" spans="1:34" s="132" customFormat="1" ht="12.75" customHeight="1" x14ac:dyDescent="0.25">
      <c r="A826" s="137"/>
      <c r="B826" s="139"/>
      <c r="C826" s="136"/>
      <c r="D826" s="131"/>
      <c r="E826" s="131"/>
      <c r="F826" s="58"/>
      <c r="G826" s="140"/>
      <c r="H826" s="140"/>
      <c r="I826" s="58"/>
      <c r="J826" s="58"/>
      <c r="K826" s="58"/>
      <c r="L826" s="58"/>
      <c r="M826" s="135"/>
      <c r="N826" s="135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35"/>
      <c r="Z826" s="58"/>
      <c r="AA826" s="58"/>
      <c r="AB826" s="58"/>
      <c r="AC826" s="58"/>
      <c r="AD826" s="58"/>
      <c r="AE826" s="138"/>
      <c r="AF826" s="136"/>
      <c r="AG826" s="136"/>
      <c r="AH826" s="136"/>
    </row>
    <row r="827" spans="1:34" s="132" customFormat="1" ht="12.75" customHeight="1" x14ac:dyDescent="0.25">
      <c r="A827" s="137"/>
      <c r="B827" s="139"/>
      <c r="C827" s="136"/>
      <c r="D827" s="131"/>
      <c r="E827" s="131"/>
      <c r="F827" s="58"/>
      <c r="G827" s="140"/>
      <c r="H827" s="140"/>
      <c r="I827" s="58"/>
      <c r="J827" s="58"/>
      <c r="K827" s="58"/>
      <c r="L827" s="58"/>
      <c r="M827" s="135"/>
      <c r="N827" s="135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35"/>
      <c r="Z827" s="58"/>
      <c r="AA827" s="58"/>
      <c r="AB827" s="58"/>
      <c r="AC827" s="58"/>
      <c r="AD827" s="58"/>
      <c r="AE827" s="138"/>
      <c r="AF827" s="136"/>
      <c r="AG827" s="136"/>
      <c r="AH827" s="136"/>
    </row>
    <row r="828" spans="1:34" s="132" customFormat="1" ht="12.75" customHeight="1" x14ac:dyDescent="0.25">
      <c r="A828" s="137"/>
      <c r="B828" s="139"/>
      <c r="C828" s="136"/>
      <c r="D828" s="131"/>
      <c r="E828" s="131"/>
      <c r="F828" s="58"/>
      <c r="G828" s="140"/>
      <c r="H828" s="140"/>
      <c r="I828" s="58"/>
      <c r="J828" s="58"/>
      <c r="K828" s="58"/>
      <c r="L828" s="58"/>
      <c r="M828" s="135"/>
      <c r="N828" s="135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35"/>
      <c r="Z828" s="58"/>
      <c r="AA828" s="58"/>
      <c r="AB828" s="58"/>
      <c r="AC828" s="58"/>
      <c r="AD828" s="58"/>
      <c r="AE828" s="138"/>
      <c r="AF828" s="136"/>
      <c r="AG828" s="136"/>
      <c r="AH828" s="136"/>
    </row>
    <row r="829" spans="1:34" s="132" customFormat="1" ht="12.75" customHeight="1" x14ac:dyDescent="0.25">
      <c r="A829" s="137"/>
      <c r="B829" s="139"/>
      <c r="C829" s="136"/>
      <c r="D829" s="131"/>
      <c r="E829" s="131"/>
      <c r="F829" s="58"/>
      <c r="G829" s="140"/>
      <c r="H829" s="140"/>
      <c r="I829" s="58"/>
      <c r="J829" s="58"/>
      <c r="K829" s="58"/>
      <c r="L829" s="58"/>
      <c r="M829" s="135"/>
      <c r="N829" s="135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35"/>
      <c r="Z829" s="58"/>
      <c r="AA829" s="58"/>
      <c r="AB829" s="58"/>
      <c r="AC829" s="58"/>
      <c r="AD829" s="58"/>
      <c r="AE829" s="138"/>
      <c r="AF829" s="136"/>
      <c r="AG829" s="136"/>
      <c r="AH829" s="136"/>
    </row>
    <row r="830" spans="1:34" s="132" customFormat="1" ht="12.75" customHeight="1" x14ac:dyDescent="0.25">
      <c r="A830" s="137"/>
      <c r="B830" s="139"/>
      <c r="C830" s="136"/>
      <c r="D830" s="131"/>
      <c r="E830" s="131"/>
      <c r="F830" s="58"/>
      <c r="G830" s="140"/>
      <c r="H830" s="140"/>
      <c r="I830" s="58"/>
      <c r="J830" s="58"/>
      <c r="K830" s="58"/>
      <c r="L830" s="58"/>
      <c r="M830" s="135"/>
      <c r="N830" s="135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35"/>
      <c r="Z830" s="58"/>
      <c r="AA830" s="58"/>
      <c r="AB830" s="58"/>
      <c r="AC830" s="58"/>
      <c r="AD830" s="58"/>
      <c r="AE830" s="138"/>
      <c r="AF830" s="136"/>
      <c r="AG830" s="136"/>
      <c r="AH830" s="136"/>
    </row>
    <row r="831" spans="1:34" s="132" customFormat="1" ht="12.75" customHeight="1" x14ac:dyDescent="0.25">
      <c r="A831" s="137"/>
      <c r="B831" s="139"/>
      <c r="C831" s="136"/>
      <c r="D831" s="131"/>
      <c r="E831" s="131"/>
      <c r="F831" s="58"/>
      <c r="G831" s="140"/>
      <c r="H831" s="140"/>
      <c r="I831" s="58"/>
      <c r="J831" s="58"/>
      <c r="K831" s="58"/>
      <c r="L831" s="58"/>
      <c r="M831" s="135"/>
      <c r="N831" s="135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35"/>
      <c r="Z831" s="58"/>
      <c r="AA831" s="58"/>
      <c r="AB831" s="58"/>
      <c r="AC831" s="58"/>
      <c r="AD831" s="58"/>
      <c r="AE831" s="138"/>
      <c r="AF831" s="136"/>
      <c r="AG831" s="136"/>
      <c r="AH831" s="136"/>
    </row>
    <row r="832" spans="1:34" s="132" customFormat="1" ht="12.75" customHeight="1" x14ac:dyDescent="0.25">
      <c r="A832" s="137"/>
      <c r="B832" s="139"/>
      <c r="C832" s="136"/>
      <c r="D832" s="131"/>
      <c r="E832" s="131"/>
      <c r="F832" s="58"/>
      <c r="G832" s="140"/>
      <c r="H832" s="140"/>
      <c r="I832" s="58"/>
      <c r="J832" s="58"/>
      <c r="K832" s="58"/>
      <c r="L832" s="58"/>
      <c r="M832" s="135"/>
      <c r="N832" s="135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35"/>
      <c r="Z832" s="58"/>
      <c r="AA832" s="58"/>
      <c r="AB832" s="58"/>
      <c r="AC832" s="58"/>
      <c r="AD832" s="58"/>
      <c r="AE832" s="138"/>
      <c r="AF832" s="136"/>
      <c r="AG832" s="136"/>
      <c r="AH832" s="136"/>
    </row>
    <row r="833" spans="1:34" s="132" customFormat="1" ht="12.75" customHeight="1" x14ac:dyDescent="0.25">
      <c r="A833" s="137"/>
      <c r="B833" s="139"/>
      <c r="C833" s="136"/>
      <c r="D833" s="131"/>
      <c r="E833" s="131"/>
      <c r="F833" s="58"/>
      <c r="G833" s="140"/>
      <c r="H833" s="140"/>
      <c r="I833" s="58"/>
      <c r="J833" s="58"/>
      <c r="K833" s="58"/>
      <c r="L833" s="58"/>
      <c r="M833" s="135"/>
      <c r="N833" s="135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35"/>
      <c r="Z833" s="58"/>
      <c r="AA833" s="58"/>
      <c r="AB833" s="58"/>
      <c r="AC833" s="58"/>
      <c r="AD833" s="58"/>
      <c r="AE833" s="138"/>
      <c r="AF833" s="136"/>
      <c r="AG833" s="136"/>
      <c r="AH833" s="136"/>
    </row>
    <row r="834" spans="1:34" s="132" customFormat="1" ht="12.75" customHeight="1" x14ac:dyDescent="0.25">
      <c r="A834" s="137"/>
      <c r="B834" s="139"/>
      <c r="C834" s="136"/>
      <c r="D834" s="131"/>
      <c r="E834" s="131"/>
      <c r="F834" s="58"/>
      <c r="G834" s="140"/>
      <c r="H834" s="140"/>
      <c r="I834" s="58"/>
      <c r="J834" s="58"/>
      <c r="K834" s="58"/>
      <c r="L834" s="58"/>
      <c r="M834" s="135"/>
      <c r="N834" s="135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35"/>
      <c r="Z834" s="58"/>
      <c r="AA834" s="58"/>
      <c r="AB834" s="58"/>
      <c r="AC834" s="58"/>
      <c r="AD834" s="58"/>
      <c r="AE834" s="138"/>
      <c r="AF834" s="136"/>
      <c r="AG834" s="136"/>
      <c r="AH834" s="136"/>
    </row>
    <row r="835" spans="1:34" s="132" customFormat="1" ht="12.75" customHeight="1" x14ac:dyDescent="0.25">
      <c r="A835" s="137"/>
      <c r="B835" s="139"/>
      <c r="C835" s="136"/>
      <c r="D835" s="131"/>
      <c r="E835" s="131"/>
      <c r="F835" s="58"/>
      <c r="G835" s="140"/>
      <c r="H835" s="140"/>
      <c r="I835" s="58"/>
      <c r="J835" s="58"/>
      <c r="K835" s="58"/>
      <c r="L835" s="58"/>
      <c r="M835" s="135"/>
      <c r="N835" s="135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35"/>
      <c r="Z835" s="58"/>
      <c r="AA835" s="58"/>
      <c r="AB835" s="58"/>
      <c r="AC835" s="58"/>
      <c r="AD835" s="58"/>
      <c r="AE835" s="138"/>
      <c r="AF835" s="136"/>
      <c r="AG835" s="136"/>
      <c r="AH835" s="136"/>
    </row>
    <row r="836" spans="1:34" s="132" customFormat="1" ht="12.75" customHeight="1" x14ac:dyDescent="0.25">
      <c r="A836" s="137"/>
      <c r="B836" s="139"/>
      <c r="C836" s="136"/>
      <c r="D836" s="131"/>
      <c r="E836" s="131"/>
      <c r="F836" s="58"/>
      <c r="G836" s="140"/>
      <c r="H836" s="140"/>
      <c r="I836" s="58"/>
      <c r="J836" s="58"/>
      <c r="K836" s="58"/>
      <c r="L836" s="58"/>
      <c r="M836" s="135"/>
      <c r="N836" s="135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35"/>
      <c r="Z836" s="58"/>
      <c r="AA836" s="58"/>
      <c r="AB836" s="58"/>
      <c r="AC836" s="58"/>
      <c r="AD836" s="58"/>
      <c r="AE836" s="138"/>
      <c r="AF836" s="136"/>
      <c r="AG836" s="136"/>
      <c r="AH836" s="136"/>
    </row>
    <row r="837" spans="1:34" s="132" customFormat="1" ht="12.75" customHeight="1" x14ac:dyDescent="0.25">
      <c r="A837" s="137"/>
      <c r="B837" s="139"/>
      <c r="C837" s="136"/>
      <c r="D837" s="131"/>
      <c r="E837" s="131"/>
      <c r="F837" s="58"/>
      <c r="G837" s="140"/>
      <c r="H837" s="140"/>
      <c r="I837" s="58"/>
      <c r="J837" s="58"/>
      <c r="K837" s="58"/>
      <c r="L837" s="58"/>
      <c r="M837" s="135"/>
      <c r="N837" s="135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35"/>
      <c r="Z837" s="58"/>
      <c r="AA837" s="58"/>
      <c r="AB837" s="58"/>
      <c r="AC837" s="58"/>
      <c r="AD837" s="58"/>
      <c r="AE837" s="138"/>
      <c r="AF837" s="136"/>
      <c r="AG837" s="136"/>
      <c r="AH837" s="136"/>
    </row>
    <row r="838" spans="1:34" s="132" customFormat="1" ht="12.75" customHeight="1" x14ac:dyDescent="0.25">
      <c r="A838" s="137"/>
      <c r="B838" s="139"/>
      <c r="C838" s="136"/>
      <c r="D838" s="131"/>
      <c r="E838" s="131"/>
      <c r="F838" s="58"/>
      <c r="G838" s="140"/>
      <c r="H838" s="140"/>
      <c r="I838" s="58"/>
      <c r="J838" s="58"/>
      <c r="K838" s="58"/>
      <c r="L838" s="58"/>
      <c r="M838" s="135"/>
      <c r="N838" s="135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35"/>
      <c r="Z838" s="58"/>
      <c r="AA838" s="58"/>
      <c r="AB838" s="58"/>
      <c r="AC838" s="58"/>
      <c r="AD838" s="58"/>
      <c r="AE838" s="138"/>
      <c r="AF838" s="136"/>
      <c r="AG838" s="136"/>
      <c r="AH838" s="136"/>
    </row>
    <row r="839" spans="1:34" s="132" customFormat="1" ht="12.75" customHeight="1" x14ac:dyDescent="0.25">
      <c r="A839" s="137"/>
      <c r="B839" s="139"/>
      <c r="C839" s="136"/>
      <c r="D839" s="131"/>
      <c r="E839" s="131"/>
      <c r="F839" s="58"/>
      <c r="G839" s="140"/>
      <c r="H839" s="140"/>
      <c r="I839" s="58"/>
      <c r="J839" s="58"/>
      <c r="K839" s="58"/>
      <c r="L839" s="58"/>
      <c r="M839" s="135"/>
      <c r="N839" s="135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35"/>
      <c r="Z839" s="58"/>
      <c r="AA839" s="58"/>
      <c r="AB839" s="58"/>
      <c r="AC839" s="58"/>
      <c r="AD839" s="58"/>
      <c r="AE839" s="138"/>
      <c r="AF839" s="136"/>
      <c r="AG839" s="136"/>
      <c r="AH839" s="136"/>
    </row>
    <row r="840" spans="1:34" s="132" customFormat="1" ht="12.75" customHeight="1" x14ac:dyDescent="0.25">
      <c r="A840" s="137"/>
      <c r="B840" s="139"/>
      <c r="C840" s="136"/>
      <c r="D840" s="131"/>
      <c r="E840" s="131"/>
      <c r="F840" s="58"/>
      <c r="G840" s="140"/>
      <c r="H840" s="140"/>
      <c r="I840" s="58"/>
      <c r="J840" s="58"/>
      <c r="K840" s="58"/>
      <c r="L840" s="58"/>
      <c r="M840" s="135"/>
      <c r="N840" s="135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35"/>
      <c r="Z840" s="58"/>
      <c r="AA840" s="58"/>
      <c r="AB840" s="58"/>
      <c r="AC840" s="58"/>
      <c r="AD840" s="58"/>
      <c r="AE840" s="138"/>
      <c r="AF840" s="136"/>
      <c r="AG840" s="136"/>
      <c r="AH840" s="136"/>
    </row>
    <row r="841" spans="1:34" s="132" customFormat="1" ht="12.75" customHeight="1" x14ac:dyDescent="0.25">
      <c r="A841" s="137"/>
      <c r="B841" s="139"/>
      <c r="C841" s="136"/>
      <c r="D841" s="131"/>
      <c r="E841" s="131"/>
      <c r="F841" s="58"/>
      <c r="G841" s="140"/>
      <c r="H841" s="140"/>
      <c r="I841" s="58"/>
      <c r="J841" s="58"/>
      <c r="K841" s="58"/>
      <c r="L841" s="58"/>
      <c r="M841" s="135"/>
      <c r="N841" s="135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35"/>
      <c r="Z841" s="58"/>
      <c r="AA841" s="58"/>
      <c r="AB841" s="58"/>
      <c r="AC841" s="58"/>
      <c r="AD841" s="58"/>
      <c r="AE841" s="138"/>
      <c r="AF841" s="136"/>
      <c r="AG841" s="136"/>
      <c r="AH841" s="136"/>
    </row>
    <row r="842" spans="1:34" s="132" customFormat="1" ht="12.75" customHeight="1" x14ac:dyDescent="0.25">
      <c r="A842" s="137"/>
      <c r="B842" s="139"/>
      <c r="C842" s="136"/>
      <c r="D842" s="131"/>
      <c r="E842" s="131"/>
      <c r="F842" s="58"/>
      <c r="G842" s="140"/>
      <c r="H842" s="140"/>
      <c r="I842" s="58"/>
      <c r="J842" s="58"/>
      <c r="K842" s="58"/>
      <c r="L842" s="58"/>
      <c r="M842" s="135"/>
      <c r="N842" s="135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35"/>
      <c r="Z842" s="58"/>
      <c r="AA842" s="58"/>
      <c r="AB842" s="58"/>
      <c r="AC842" s="58"/>
      <c r="AD842" s="58"/>
      <c r="AE842" s="138"/>
      <c r="AF842" s="136"/>
      <c r="AG842" s="136"/>
      <c r="AH842" s="136"/>
    </row>
    <row r="843" spans="1:34" s="132" customFormat="1" ht="12.75" customHeight="1" x14ac:dyDescent="0.25">
      <c r="A843" s="137"/>
      <c r="B843" s="139"/>
      <c r="C843" s="136"/>
      <c r="D843" s="131"/>
      <c r="E843" s="131"/>
      <c r="F843" s="58"/>
      <c r="G843" s="140"/>
      <c r="H843" s="140"/>
      <c r="I843" s="58"/>
      <c r="J843" s="58"/>
      <c r="K843" s="58"/>
      <c r="L843" s="58"/>
      <c r="M843" s="135"/>
      <c r="N843" s="135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35"/>
      <c r="Z843" s="58"/>
      <c r="AA843" s="58"/>
      <c r="AB843" s="58"/>
      <c r="AC843" s="58"/>
      <c r="AD843" s="58"/>
      <c r="AE843" s="138"/>
      <c r="AF843" s="136"/>
      <c r="AG843" s="136"/>
      <c r="AH843" s="136"/>
    </row>
    <row r="844" spans="1:34" s="132" customFormat="1" ht="12.75" customHeight="1" x14ac:dyDescent="0.25">
      <c r="A844" s="137"/>
      <c r="B844" s="139"/>
      <c r="C844" s="136"/>
      <c r="D844" s="131"/>
      <c r="E844" s="131"/>
      <c r="F844" s="58"/>
      <c r="G844" s="140"/>
      <c r="H844" s="140"/>
      <c r="I844" s="58"/>
      <c r="J844" s="58"/>
      <c r="K844" s="58"/>
      <c r="L844" s="58"/>
      <c r="M844" s="135"/>
      <c r="N844" s="135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35"/>
      <c r="Z844" s="58"/>
      <c r="AA844" s="58"/>
      <c r="AB844" s="58"/>
      <c r="AC844" s="58"/>
      <c r="AD844" s="58"/>
      <c r="AE844" s="138"/>
      <c r="AF844" s="136"/>
      <c r="AG844" s="136"/>
      <c r="AH844" s="136"/>
    </row>
    <row r="845" spans="1:34" s="132" customFormat="1" ht="12.75" customHeight="1" x14ac:dyDescent="0.25">
      <c r="A845" s="137"/>
      <c r="B845" s="139"/>
      <c r="C845" s="136"/>
      <c r="D845" s="131"/>
      <c r="E845" s="131"/>
      <c r="F845" s="58"/>
      <c r="G845" s="140"/>
      <c r="H845" s="140"/>
      <c r="I845" s="58"/>
      <c r="J845" s="58"/>
      <c r="K845" s="58"/>
      <c r="L845" s="58"/>
      <c r="M845" s="135"/>
      <c r="N845" s="135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35"/>
      <c r="Z845" s="58"/>
      <c r="AA845" s="58"/>
      <c r="AB845" s="58"/>
      <c r="AC845" s="58"/>
      <c r="AD845" s="58"/>
      <c r="AE845" s="138"/>
      <c r="AF845" s="136"/>
      <c r="AG845" s="136"/>
      <c r="AH845" s="136"/>
    </row>
    <row r="846" spans="1:34" s="132" customFormat="1" ht="12.75" customHeight="1" x14ac:dyDescent="0.25">
      <c r="A846" s="137"/>
      <c r="B846" s="139"/>
      <c r="C846" s="136"/>
      <c r="D846" s="131"/>
      <c r="E846" s="131"/>
      <c r="F846" s="58"/>
      <c r="G846" s="140"/>
      <c r="H846" s="140"/>
      <c r="I846" s="58"/>
      <c r="J846" s="58"/>
      <c r="K846" s="58"/>
      <c r="L846" s="58"/>
      <c r="M846" s="135"/>
      <c r="N846" s="135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35"/>
      <c r="Z846" s="58"/>
      <c r="AA846" s="58"/>
      <c r="AB846" s="58"/>
      <c r="AC846" s="58"/>
      <c r="AD846" s="58"/>
      <c r="AE846" s="138"/>
      <c r="AF846" s="136"/>
      <c r="AG846" s="136"/>
      <c r="AH846" s="136"/>
    </row>
    <row r="847" spans="1:34" s="132" customFormat="1" ht="12.75" customHeight="1" x14ac:dyDescent="0.25">
      <c r="A847" s="137"/>
      <c r="B847" s="139"/>
      <c r="C847" s="136"/>
      <c r="D847" s="131"/>
      <c r="E847" s="131"/>
      <c r="F847" s="58"/>
      <c r="G847" s="140"/>
      <c r="H847" s="140"/>
      <c r="I847" s="58"/>
      <c r="J847" s="58"/>
      <c r="K847" s="58"/>
      <c r="L847" s="58"/>
      <c r="M847" s="135"/>
      <c r="N847" s="135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35"/>
      <c r="Z847" s="58"/>
      <c r="AA847" s="58"/>
      <c r="AB847" s="58"/>
      <c r="AC847" s="58"/>
      <c r="AD847" s="58"/>
      <c r="AE847" s="138"/>
      <c r="AF847" s="136"/>
      <c r="AG847" s="136"/>
      <c r="AH847" s="136"/>
    </row>
    <row r="848" spans="1:34" s="132" customFormat="1" ht="12.75" customHeight="1" x14ac:dyDescent="0.25">
      <c r="A848" s="137"/>
      <c r="B848" s="139"/>
      <c r="C848" s="136"/>
      <c r="D848" s="131"/>
      <c r="E848" s="131"/>
      <c r="F848" s="58"/>
      <c r="G848" s="140"/>
      <c r="H848" s="140"/>
      <c r="I848" s="58"/>
      <c r="J848" s="58"/>
      <c r="K848" s="58"/>
      <c r="L848" s="58"/>
      <c r="M848" s="135"/>
      <c r="N848" s="135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35"/>
      <c r="Z848" s="58"/>
      <c r="AA848" s="58"/>
      <c r="AB848" s="58"/>
      <c r="AC848" s="58"/>
      <c r="AD848" s="58"/>
      <c r="AE848" s="138"/>
      <c r="AF848" s="136"/>
      <c r="AG848" s="136"/>
      <c r="AH848" s="136"/>
    </row>
    <row r="849" spans="1:34" s="132" customFormat="1" ht="12.75" customHeight="1" x14ac:dyDescent="0.25">
      <c r="A849" s="137"/>
      <c r="B849" s="139"/>
      <c r="C849" s="136"/>
      <c r="D849" s="131"/>
      <c r="E849" s="131"/>
      <c r="F849" s="58"/>
      <c r="G849" s="140"/>
      <c r="H849" s="140"/>
      <c r="I849" s="58"/>
      <c r="J849" s="58"/>
      <c r="K849" s="58"/>
      <c r="L849" s="58"/>
      <c r="M849" s="135"/>
      <c r="N849" s="135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35"/>
      <c r="Z849" s="58"/>
      <c r="AA849" s="58"/>
      <c r="AB849" s="58"/>
      <c r="AC849" s="58"/>
      <c r="AD849" s="58"/>
      <c r="AE849" s="138"/>
      <c r="AF849" s="136"/>
      <c r="AG849" s="136"/>
      <c r="AH849" s="136"/>
    </row>
    <row r="850" spans="1:34" s="132" customFormat="1" ht="12.75" customHeight="1" x14ac:dyDescent="0.25">
      <c r="A850" s="137"/>
      <c r="B850" s="139"/>
      <c r="C850" s="136"/>
      <c r="D850" s="131"/>
      <c r="E850" s="131"/>
      <c r="F850" s="58"/>
      <c r="G850" s="140"/>
      <c r="H850" s="140"/>
      <c r="I850" s="58"/>
      <c r="J850" s="58"/>
      <c r="K850" s="58"/>
      <c r="L850" s="58"/>
      <c r="M850" s="135"/>
      <c r="N850" s="135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35"/>
      <c r="Z850" s="58"/>
      <c r="AA850" s="58"/>
      <c r="AB850" s="58"/>
      <c r="AC850" s="58"/>
      <c r="AD850" s="58"/>
      <c r="AE850" s="138"/>
      <c r="AF850" s="136"/>
      <c r="AG850" s="136"/>
      <c r="AH850" s="136"/>
    </row>
    <row r="851" spans="1:34" s="132" customFormat="1" ht="12.75" customHeight="1" x14ac:dyDescent="0.25">
      <c r="A851" s="137"/>
      <c r="B851" s="139"/>
      <c r="C851" s="136"/>
      <c r="D851" s="131"/>
      <c r="E851" s="131"/>
      <c r="F851" s="58"/>
      <c r="G851" s="140"/>
      <c r="H851" s="140"/>
      <c r="I851" s="58"/>
      <c r="J851" s="58"/>
      <c r="K851" s="58"/>
      <c r="L851" s="58"/>
      <c r="M851" s="135"/>
      <c r="N851" s="135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35"/>
      <c r="Z851" s="58"/>
      <c r="AA851" s="58"/>
      <c r="AB851" s="58"/>
      <c r="AC851" s="58"/>
      <c r="AD851" s="58"/>
      <c r="AE851" s="138"/>
      <c r="AF851" s="136"/>
      <c r="AG851" s="136"/>
      <c r="AH851" s="136"/>
    </row>
    <row r="852" spans="1:34" s="132" customFormat="1" ht="12.75" customHeight="1" x14ac:dyDescent="0.25">
      <c r="A852" s="137"/>
      <c r="B852" s="139"/>
      <c r="C852" s="136"/>
      <c r="D852" s="131"/>
      <c r="E852" s="131"/>
      <c r="F852" s="58"/>
      <c r="G852" s="140"/>
      <c r="H852" s="140"/>
      <c r="I852" s="58"/>
      <c r="J852" s="58"/>
      <c r="K852" s="58"/>
      <c r="L852" s="58"/>
      <c r="M852" s="135"/>
      <c r="N852" s="135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35"/>
      <c r="Z852" s="58"/>
      <c r="AA852" s="58"/>
      <c r="AB852" s="58"/>
      <c r="AC852" s="58"/>
      <c r="AD852" s="58"/>
      <c r="AE852" s="138"/>
      <c r="AF852" s="136"/>
      <c r="AG852" s="136"/>
      <c r="AH852" s="136"/>
    </row>
    <row r="853" spans="1:34" s="132" customFormat="1" ht="12.75" customHeight="1" x14ac:dyDescent="0.25">
      <c r="A853" s="137"/>
      <c r="B853" s="139"/>
      <c r="C853" s="136"/>
      <c r="D853" s="131"/>
      <c r="E853" s="131"/>
      <c r="F853" s="58"/>
      <c r="G853" s="140"/>
      <c r="H853" s="140"/>
      <c r="I853" s="58"/>
      <c r="J853" s="58"/>
      <c r="K853" s="58"/>
      <c r="L853" s="58"/>
      <c r="M853" s="135"/>
      <c r="N853" s="135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35"/>
      <c r="Z853" s="58"/>
      <c r="AA853" s="58"/>
      <c r="AB853" s="58"/>
      <c r="AC853" s="58"/>
      <c r="AD853" s="58"/>
      <c r="AE853" s="138"/>
      <c r="AF853" s="136"/>
      <c r="AG853" s="136"/>
      <c r="AH853" s="136"/>
    </row>
    <row r="854" spans="1:34" s="132" customFormat="1" ht="12.75" customHeight="1" x14ac:dyDescent="0.25">
      <c r="A854" s="137"/>
      <c r="B854" s="139"/>
      <c r="C854" s="136"/>
      <c r="D854" s="131"/>
      <c r="E854" s="131"/>
      <c r="F854" s="58"/>
      <c r="G854" s="140"/>
      <c r="H854" s="140"/>
      <c r="I854" s="58"/>
      <c r="J854" s="58"/>
      <c r="K854" s="58"/>
      <c r="L854" s="58"/>
      <c r="M854" s="135"/>
      <c r="N854" s="135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35"/>
      <c r="Z854" s="58"/>
      <c r="AA854" s="58"/>
      <c r="AB854" s="58"/>
      <c r="AC854" s="58"/>
      <c r="AD854" s="58"/>
      <c r="AE854" s="138"/>
      <c r="AF854" s="136"/>
      <c r="AG854" s="136"/>
      <c r="AH854" s="136"/>
    </row>
    <row r="855" spans="1:34" s="132" customFormat="1" ht="12.75" customHeight="1" x14ac:dyDescent="0.25">
      <c r="A855" s="137"/>
      <c r="B855" s="139"/>
      <c r="C855" s="136"/>
      <c r="D855" s="131"/>
      <c r="E855" s="131"/>
      <c r="F855" s="58"/>
      <c r="G855" s="140"/>
      <c r="H855" s="140"/>
      <c r="I855" s="58"/>
      <c r="J855" s="58"/>
      <c r="K855" s="58"/>
      <c r="L855" s="58"/>
      <c r="M855" s="135"/>
      <c r="N855" s="135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35"/>
      <c r="Z855" s="58"/>
      <c r="AA855" s="58"/>
      <c r="AB855" s="58"/>
      <c r="AC855" s="58"/>
      <c r="AD855" s="58"/>
      <c r="AE855" s="138"/>
      <c r="AF855" s="136"/>
      <c r="AG855" s="136"/>
      <c r="AH855" s="136"/>
    </row>
    <row r="856" spans="1:34" s="132" customFormat="1" ht="12.75" customHeight="1" x14ac:dyDescent="0.25">
      <c r="A856" s="137"/>
      <c r="B856" s="139"/>
      <c r="C856" s="136"/>
      <c r="D856" s="131"/>
      <c r="E856" s="131"/>
      <c r="F856" s="58"/>
      <c r="G856" s="140"/>
      <c r="H856" s="140"/>
      <c r="I856" s="58"/>
      <c r="J856" s="58"/>
      <c r="K856" s="58"/>
      <c r="L856" s="58"/>
      <c r="M856" s="135"/>
      <c r="N856" s="135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35"/>
      <c r="Z856" s="58"/>
      <c r="AA856" s="58"/>
      <c r="AB856" s="58"/>
      <c r="AC856" s="58"/>
      <c r="AD856" s="58"/>
      <c r="AE856" s="138"/>
      <c r="AF856" s="136"/>
      <c r="AG856" s="136"/>
      <c r="AH856" s="136"/>
    </row>
    <row r="857" spans="1:34" s="132" customFormat="1" ht="12.75" customHeight="1" x14ac:dyDescent="0.25">
      <c r="A857" s="137"/>
      <c r="B857" s="139"/>
      <c r="C857" s="136"/>
      <c r="D857" s="131"/>
      <c r="E857" s="131"/>
      <c r="F857" s="58"/>
      <c r="G857" s="140"/>
      <c r="H857" s="140"/>
      <c r="I857" s="58"/>
      <c r="J857" s="58"/>
      <c r="K857" s="58"/>
      <c r="L857" s="58"/>
      <c r="M857" s="135"/>
      <c r="N857" s="135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35"/>
      <c r="Z857" s="58"/>
      <c r="AA857" s="58"/>
      <c r="AB857" s="58"/>
      <c r="AC857" s="58"/>
      <c r="AD857" s="58"/>
      <c r="AE857" s="138"/>
      <c r="AF857" s="136"/>
      <c r="AG857" s="136"/>
      <c r="AH857" s="136"/>
    </row>
    <row r="858" spans="1:34" s="132" customFormat="1" ht="12.75" customHeight="1" x14ac:dyDescent="0.25">
      <c r="A858" s="137"/>
      <c r="B858" s="139"/>
      <c r="C858" s="136"/>
      <c r="D858" s="131"/>
      <c r="E858" s="131"/>
      <c r="F858" s="58"/>
      <c r="G858" s="140"/>
      <c r="H858" s="140"/>
      <c r="I858" s="58"/>
      <c r="J858" s="58"/>
      <c r="K858" s="58"/>
      <c r="L858" s="58"/>
      <c r="M858" s="135"/>
      <c r="N858" s="135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35"/>
      <c r="Z858" s="58"/>
      <c r="AA858" s="58"/>
      <c r="AB858" s="58"/>
      <c r="AC858" s="58"/>
      <c r="AD858" s="58"/>
      <c r="AE858" s="138"/>
      <c r="AF858" s="136"/>
      <c r="AG858" s="136"/>
      <c r="AH858" s="136"/>
    </row>
    <row r="859" spans="1:34" s="132" customFormat="1" ht="12.75" customHeight="1" x14ac:dyDescent="0.25">
      <c r="A859" s="137"/>
      <c r="B859" s="139"/>
      <c r="C859" s="136"/>
      <c r="D859" s="131"/>
      <c r="E859" s="131"/>
      <c r="F859" s="58"/>
      <c r="G859" s="140"/>
      <c r="H859" s="140"/>
      <c r="I859" s="58"/>
      <c r="J859" s="58"/>
      <c r="K859" s="58"/>
      <c r="L859" s="58"/>
      <c r="M859" s="135"/>
      <c r="N859" s="135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35"/>
      <c r="Z859" s="58"/>
      <c r="AA859" s="58"/>
      <c r="AB859" s="58"/>
      <c r="AC859" s="58"/>
      <c r="AD859" s="58"/>
      <c r="AE859" s="138"/>
      <c r="AF859" s="136"/>
      <c r="AG859" s="136"/>
      <c r="AH859" s="136"/>
    </row>
    <row r="860" spans="1:34" s="132" customFormat="1" ht="12.75" customHeight="1" x14ac:dyDescent="0.25">
      <c r="A860" s="137"/>
      <c r="B860" s="139"/>
      <c r="C860" s="136"/>
      <c r="D860" s="131"/>
      <c r="E860" s="131"/>
      <c r="F860" s="58"/>
      <c r="G860" s="140"/>
      <c r="H860" s="140"/>
      <c r="I860" s="58"/>
      <c r="J860" s="58"/>
      <c r="K860" s="58"/>
      <c r="L860" s="58"/>
      <c r="M860" s="135"/>
      <c r="N860" s="135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35"/>
      <c r="Z860" s="58"/>
      <c r="AA860" s="58"/>
      <c r="AB860" s="58"/>
      <c r="AC860" s="58"/>
      <c r="AD860" s="58"/>
      <c r="AE860" s="138"/>
      <c r="AF860" s="136"/>
      <c r="AG860" s="136"/>
      <c r="AH860" s="136"/>
    </row>
    <row r="861" spans="1:34" s="132" customFormat="1" ht="12.75" customHeight="1" x14ac:dyDescent="0.25">
      <c r="A861" s="137"/>
      <c r="B861" s="139"/>
      <c r="C861" s="136"/>
      <c r="D861" s="131"/>
      <c r="E861" s="131"/>
      <c r="F861" s="58"/>
      <c r="G861" s="140"/>
      <c r="H861" s="140"/>
      <c r="I861" s="58"/>
      <c r="J861" s="58"/>
      <c r="K861" s="58"/>
      <c r="L861" s="58"/>
      <c r="M861" s="135"/>
      <c r="N861" s="135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35"/>
      <c r="Z861" s="58"/>
      <c r="AA861" s="58"/>
      <c r="AB861" s="58"/>
      <c r="AC861" s="58"/>
      <c r="AD861" s="58"/>
      <c r="AE861" s="138"/>
      <c r="AF861" s="136"/>
      <c r="AG861" s="136"/>
      <c r="AH861" s="136"/>
    </row>
    <row r="862" spans="1:34" s="132" customFormat="1" ht="12.75" customHeight="1" x14ac:dyDescent="0.25">
      <c r="A862" s="137"/>
      <c r="B862" s="139"/>
      <c r="C862" s="136"/>
      <c r="D862" s="131"/>
      <c r="E862" s="131"/>
      <c r="F862" s="58"/>
      <c r="G862" s="140"/>
      <c r="H862" s="140"/>
      <c r="I862" s="58"/>
      <c r="J862" s="58"/>
      <c r="K862" s="58"/>
      <c r="L862" s="58"/>
      <c r="M862" s="135"/>
      <c r="N862" s="135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35"/>
      <c r="Z862" s="58"/>
      <c r="AA862" s="58"/>
      <c r="AB862" s="58"/>
      <c r="AC862" s="58"/>
      <c r="AD862" s="58"/>
      <c r="AE862" s="138"/>
      <c r="AF862" s="136"/>
      <c r="AG862" s="136"/>
      <c r="AH862" s="136"/>
    </row>
    <row r="863" spans="1:34" s="132" customFormat="1" ht="12.75" customHeight="1" x14ac:dyDescent="0.25">
      <c r="A863" s="137"/>
      <c r="B863" s="139"/>
      <c r="C863" s="136"/>
      <c r="D863" s="131"/>
      <c r="E863" s="131"/>
      <c r="F863" s="58"/>
      <c r="G863" s="140"/>
      <c r="H863" s="140"/>
      <c r="I863" s="58"/>
      <c r="J863" s="58"/>
      <c r="K863" s="58"/>
      <c r="L863" s="58"/>
      <c r="M863" s="135"/>
      <c r="N863" s="135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35"/>
      <c r="Z863" s="58"/>
      <c r="AA863" s="58"/>
      <c r="AB863" s="58"/>
      <c r="AC863" s="58"/>
      <c r="AD863" s="58"/>
      <c r="AE863" s="138"/>
      <c r="AF863" s="136"/>
      <c r="AG863" s="136"/>
      <c r="AH863" s="136"/>
    </row>
    <row r="864" spans="1:34" s="132" customFormat="1" ht="12.75" customHeight="1" x14ac:dyDescent="0.25">
      <c r="A864" s="137"/>
      <c r="B864" s="139"/>
      <c r="C864" s="136"/>
      <c r="D864" s="131"/>
      <c r="E864" s="131"/>
      <c r="F864" s="58"/>
      <c r="G864" s="140"/>
      <c r="H864" s="140"/>
      <c r="I864" s="58"/>
      <c r="J864" s="58"/>
      <c r="K864" s="58"/>
      <c r="L864" s="58"/>
      <c r="M864" s="135"/>
      <c r="N864" s="135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35"/>
      <c r="Z864" s="58"/>
      <c r="AA864" s="58"/>
      <c r="AB864" s="58"/>
      <c r="AC864" s="58"/>
      <c r="AD864" s="58"/>
      <c r="AE864" s="138"/>
      <c r="AF864" s="136"/>
      <c r="AG864" s="136"/>
      <c r="AH864" s="136"/>
    </row>
    <row r="865" spans="1:34" s="132" customFormat="1" ht="12.75" customHeight="1" x14ac:dyDescent="0.25">
      <c r="A865" s="137"/>
      <c r="B865" s="139"/>
      <c r="C865" s="136"/>
      <c r="D865" s="131"/>
      <c r="E865" s="131"/>
      <c r="F865" s="58"/>
      <c r="G865" s="140"/>
      <c r="H865" s="140"/>
      <c r="I865" s="58"/>
      <c r="J865" s="58"/>
      <c r="K865" s="58"/>
      <c r="L865" s="58"/>
      <c r="M865" s="135"/>
      <c r="N865" s="135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35"/>
      <c r="Z865" s="58"/>
      <c r="AA865" s="58"/>
      <c r="AB865" s="58"/>
      <c r="AC865" s="58"/>
      <c r="AD865" s="58"/>
      <c r="AE865" s="138"/>
      <c r="AF865" s="136"/>
      <c r="AG865" s="136"/>
      <c r="AH865" s="136"/>
    </row>
    <row r="866" spans="1:34" s="132" customFormat="1" ht="12.75" customHeight="1" x14ac:dyDescent="0.25">
      <c r="A866" s="137"/>
      <c r="B866" s="139"/>
      <c r="C866" s="136"/>
      <c r="D866" s="131"/>
      <c r="E866" s="131"/>
      <c r="F866" s="58"/>
      <c r="G866" s="140"/>
      <c r="H866" s="140"/>
      <c r="I866" s="58"/>
      <c r="J866" s="58"/>
      <c r="K866" s="58"/>
      <c r="L866" s="58"/>
      <c r="M866" s="135"/>
      <c r="N866" s="135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35"/>
      <c r="Z866" s="58"/>
      <c r="AA866" s="58"/>
      <c r="AB866" s="58"/>
      <c r="AC866" s="58"/>
      <c r="AD866" s="58"/>
      <c r="AE866" s="138"/>
      <c r="AF866" s="136"/>
      <c r="AG866" s="136"/>
      <c r="AH866" s="136"/>
    </row>
    <row r="867" spans="1:34" s="132" customFormat="1" ht="12.75" customHeight="1" x14ac:dyDescent="0.25">
      <c r="A867" s="137"/>
      <c r="B867" s="139"/>
      <c r="C867" s="136"/>
      <c r="D867" s="131"/>
      <c r="E867" s="131"/>
      <c r="F867" s="58"/>
      <c r="G867" s="140"/>
      <c r="H867" s="140"/>
      <c r="I867" s="58"/>
      <c r="J867" s="58"/>
      <c r="K867" s="58"/>
      <c r="L867" s="58"/>
      <c r="M867" s="135"/>
      <c r="N867" s="135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35"/>
      <c r="Z867" s="58"/>
      <c r="AA867" s="58"/>
      <c r="AB867" s="58"/>
      <c r="AC867" s="58"/>
      <c r="AD867" s="58"/>
      <c r="AE867" s="138"/>
      <c r="AF867" s="136"/>
      <c r="AG867" s="136"/>
      <c r="AH867" s="136"/>
    </row>
    <row r="868" spans="1:34" s="132" customFormat="1" ht="12.75" customHeight="1" x14ac:dyDescent="0.25">
      <c r="A868" s="137"/>
      <c r="B868" s="139"/>
      <c r="C868" s="136"/>
      <c r="D868" s="131"/>
      <c r="E868" s="131"/>
      <c r="F868" s="58"/>
      <c r="G868" s="140"/>
      <c r="H868" s="140"/>
      <c r="I868" s="58"/>
      <c r="J868" s="58"/>
      <c r="K868" s="58"/>
      <c r="L868" s="58"/>
      <c r="M868" s="135"/>
      <c r="N868" s="135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35"/>
      <c r="Z868" s="58"/>
      <c r="AA868" s="58"/>
      <c r="AB868" s="58"/>
      <c r="AC868" s="58"/>
      <c r="AD868" s="58"/>
      <c r="AE868" s="138"/>
      <c r="AF868" s="136"/>
      <c r="AG868" s="136"/>
      <c r="AH868" s="136"/>
    </row>
    <row r="869" spans="1:34" s="132" customFormat="1" ht="12.75" customHeight="1" x14ac:dyDescent="0.25">
      <c r="A869" s="137"/>
      <c r="B869" s="139"/>
      <c r="C869" s="136"/>
      <c r="D869" s="131"/>
      <c r="E869" s="131"/>
      <c r="F869" s="58"/>
      <c r="G869" s="140"/>
      <c r="H869" s="140"/>
      <c r="I869" s="58"/>
      <c r="J869" s="58"/>
      <c r="K869" s="58"/>
      <c r="L869" s="58"/>
      <c r="M869" s="135"/>
      <c r="N869" s="135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35"/>
      <c r="Z869" s="58"/>
      <c r="AA869" s="58"/>
      <c r="AB869" s="58"/>
      <c r="AC869" s="58"/>
      <c r="AD869" s="58"/>
      <c r="AE869" s="138"/>
      <c r="AF869" s="136"/>
      <c r="AG869" s="136"/>
      <c r="AH869" s="136"/>
    </row>
    <row r="870" spans="1:34" s="132" customFormat="1" ht="12.75" customHeight="1" x14ac:dyDescent="0.25">
      <c r="A870" s="137"/>
      <c r="B870" s="139"/>
      <c r="C870" s="136"/>
      <c r="D870" s="131"/>
      <c r="E870" s="131"/>
      <c r="F870" s="58"/>
      <c r="G870" s="140"/>
      <c r="H870" s="140"/>
      <c r="I870" s="58"/>
      <c r="J870" s="58"/>
      <c r="K870" s="58"/>
      <c r="L870" s="58"/>
      <c r="M870" s="135"/>
      <c r="N870" s="135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35"/>
      <c r="Z870" s="58"/>
      <c r="AA870" s="58"/>
      <c r="AB870" s="58"/>
      <c r="AC870" s="58"/>
      <c r="AD870" s="58"/>
      <c r="AE870" s="138"/>
      <c r="AF870" s="136"/>
      <c r="AG870" s="136"/>
      <c r="AH870" s="136"/>
    </row>
    <row r="871" spans="1:34" s="132" customFormat="1" ht="12.75" customHeight="1" x14ac:dyDescent="0.25">
      <c r="A871" s="137"/>
      <c r="B871" s="139"/>
      <c r="C871" s="136"/>
      <c r="D871" s="131"/>
      <c r="E871" s="131"/>
      <c r="F871" s="58"/>
      <c r="G871" s="140"/>
      <c r="H871" s="140"/>
      <c r="I871" s="58"/>
      <c r="J871" s="58"/>
      <c r="K871" s="58"/>
      <c r="L871" s="58"/>
      <c r="M871" s="135"/>
      <c r="N871" s="135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35"/>
      <c r="Z871" s="58"/>
      <c r="AA871" s="58"/>
      <c r="AB871" s="58"/>
      <c r="AC871" s="58"/>
      <c r="AD871" s="58"/>
      <c r="AE871" s="138"/>
      <c r="AF871" s="136"/>
      <c r="AG871" s="136"/>
      <c r="AH871" s="136"/>
    </row>
    <row r="872" spans="1:34" s="132" customFormat="1" ht="12.75" customHeight="1" x14ac:dyDescent="0.25">
      <c r="A872" s="137"/>
      <c r="B872" s="139"/>
      <c r="C872" s="136"/>
      <c r="D872" s="131"/>
      <c r="E872" s="131"/>
      <c r="F872" s="58"/>
      <c r="G872" s="140"/>
      <c r="H872" s="140"/>
      <c r="I872" s="58"/>
      <c r="J872" s="58"/>
      <c r="K872" s="58"/>
      <c r="L872" s="58"/>
      <c r="M872" s="135"/>
      <c r="N872" s="135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35"/>
      <c r="Z872" s="58"/>
      <c r="AA872" s="58"/>
      <c r="AB872" s="58"/>
      <c r="AC872" s="58"/>
      <c r="AD872" s="58"/>
      <c r="AE872" s="138"/>
      <c r="AF872" s="136"/>
      <c r="AG872" s="136"/>
      <c r="AH872" s="136"/>
    </row>
    <row r="873" spans="1:34" s="132" customFormat="1" ht="12.75" customHeight="1" x14ac:dyDescent="0.25">
      <c r="A873" s="137"/>
      <c r="B873" s="139"/>
      <c r="C873" s="136"/>
      <c r="D873" s="131"/>
      <c r="E873" s="131"/>
      <c r="F873" s="58"/>
      <c r="G873" s="140"/>
      <c r="H873" s="140"/>
      <c r="I873" s="58"/>
      <c r="J873" s="58"/>
      <c r="K873" s="58"/>
      <c r="L873" s="58"/>
      <c r="M873" s="135"/>
      <c r="N873" s="135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35"/>
      <c r="Z873" s="58"/>
      <c r="AA873" s="58"/>
      <c r="AB873" s="58"/>
      <c r="AC873" s="58"/>
      <c r="AD873" s="58"/>
      <c r="AE873" s="138"/>
      <c r="AF873" s="136"/>
      <c r="AG873" s="136"/>
      <c r="AH873" s="136"/>
    </row>
    <row r="874" spans="1:34" s="132" customFormat="1" ht="12.75" customHeight="1" x14ac:dyDescent="0.25">
      <c r="A874" s="137"/>
      <c r="B874" s="139"/>
      <c r="C874" s="136"/>
      <c r="D874" s="131"/>
      <c r="E874" s="131"/>
      <c r="F874" s="58"/>
      <c r="G874" s="140"/>
      <c r="H874" s="140"/>
      <c r="I874" s="58"/>
      <c r="J874" s="58"/>
      <c r="K874" s="58"/>
      <c r="L874" s="58"/>
      <c r="M874" s="135"/>
      <c r="N874" s="135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35"/>
      <c r="Z874" s="58"/>
      <c r="AA874" s="58"/>
      <c r="AB874" s="58"/>
      <c r="AC874" s="58"/>
      <c r="AD874" s="58"/>
      <c r="AE874" s="138"/>
      <c r="AF874" s="136"/>
      <c r="AG874" s="136"/>
      <c r="AH874" s="136"/>
    </row>
    <row r="875" spans="1:34" s="132" customFormat="1" ht="12.75" customHeight="1" x14ac:dyDescent="0.25">
      <c r="A875" s="137"/>
      <c r="B875" s="139"/>
      <c r="C875" s="136"/>
      <c r="D875" s="131"/>
      <c r="E875" s="131"/>
      <c r="F875" s="58"/>
      <c r="G875" s="140"/>
      <c r="H875" s="140"/>
      <c r="I875" s="58"/>
      <c r="J875" s="58"/>
      <c r="K875" s="58"/>
      <c r="L875" s="58"/>
      <c r="M875" s="135"/>
      <c r="N875" s="135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35"/>
      <c r="Z875" s="58"/>
      <c r="AA875" s="58"/>
      <c r="AB875" s="58"/>
      <c r="AC875" s="58"/>
      <c r="AD875" s="58"/>
      <c r="AE875" s="138"/>
      <c r="AF875" s="136"/>
      <c r="AG875" s="136"/>
      <c r="AH875" s="136"/>
    </row>
    <row r="876" spans="1:34" s="132" customFormat="1" ht="12.75" customHeight="1" x14ac:dyDescent="0.25">
      <c r="A876" s="137"/>
      <c r="B876" s="139"/>
      <c r="C876" s="136"/>
      <c r="D876" s="131"/>
      <c r="E876" s="131"/>
      <c r="F876" s="58"/>
      <c r="G876" s="140"/>
      <c r="H876" s="140"/>
      <c r="I876" s="58"/>
      <c r="J876" s="58"/>
      <c r="K876" s="58"/>
      <c r="L876" s="58"/>
      <c r="M876" s="135"/>
      <c r="N876" s="135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35"/>
      <c r="Z876" s="58"/>
      <c r="AA876" s="58"/>
      <c r="AB876" s="58"/>
      <c r="AC876" s="58"/>
      <c r="AD876" s="58"/>
      <c r="AE876" s="138"/>
      <c r="AF876" s="136"/>
      <c r="AG876" s="136"/>
      <c r="AH876" s="136"/>
    </row>
    <row r="877" spans="1:34" s="132" customFormat="1" ht="12.75" customHeight="1" x14ac:dyDescent="0.25">
      <c r="A877" s="137"/>
      <c r="B877" s="139"/>
      <c r="C877" s="136"/>
      <c r="D877" s="131"/>
      <c r="E877" s="131"/>
      <c r="F877" s="58"/>
      <c r="G877" s="140"/>
      <c r="H877" s="140"/>
      <c r="I877" s="58"/>
      <c r="J877" s="58"/>
      <c r="K877" s="58"/>
      <c r="L877" s="58"/>
      <c r="M877" s="135"/>
      <c r="N877" s="135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35"/>
      <c r="Z877" s="58"/>
      <c r="AA877" s="58"/>
      <c r="AB877" s="58"/>
      <c r="AC877" s="58"/>
      <c r="AD877" s="58"/>
      <c r="AE877" s="138"/>
      <c r="AF877" s="136"/>
      <c r="AG877" s="136"/>
      <c r="AH877" s="136"/>
    </row>
    <row r="878" spans="1:34" s="132" customFormat="1" ht="12.75" customHeight="1" x14ac:dyDescent="0.25">
      <c r="A878" s="137"/>
      <c r="B878" s="139"/>
      <c r="C878" s="136"/>
      <c r="D878" s="131"/>
      <c r="E878" s="131"/>
      <c r="F878" s="58"/>
      <c r="G878" s="140"/>
      <c r="H878" s="140"/>
      <c r="I878" s="58"/>
      <c r="J878" s="58"/>
      <c r="K878" s="58"/>
      <c r="L878" s="58"/>
      <c r="M878" s="135"/>
      <c r="N878" s="135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35"/>
      <c r="Z878" s="58"/>
      <c r="AA878" s="58"/>
      <c r="AB878" s="58"/>
      <c r="AC878" s="58"/>
      <c r="AD878" s="58"/>
      <c r="AE878" s="138"/>
      <c r="AF878" s="136"/>
      <c r="AG878" s="136"/>
      <c r="AH878" s="136"/>
    </row>
    <row r="879" spans="1:34" s="132" customFormat="1" ht="12.75" customHeight="1" x14ac:dyDescent="0.25">
      <c r="A879" s="137"/>
      <c r="B879" s="139"/>
      <c r="C879" s="136"/>
      <c r="D879" s="131"/>
      <c r="E879" s="131"/>
      <c r="F879" s="58"/>
      <c r="G879" s="140"/>
      <c r="H879" s="140"/>
      <c r="I879" s="58"/>
      <c r="J879" s="58"/>
      <c r="K879" s="58"/>
      <c r="L879" s="58"/>
      <c r="M879" s="135"/>
      <c r="N879" s="135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35"/>
      <c r="Z879" s="58"/>
      <c r="AA879" s="58"/>
      <c r="AB879" s="58"/>
      <c r="AC879" s="58"/>
      <c r="AD879" s="58"/>
      <c r="AE879" s="138"/>
      <c r="AF879" s="136"/>
      <c r="AG879" s="136"/>
      <c r="AH879" s="136"/>
    </row>
    <row r="880" spans="1:34" s="132" customFormat="1" ht="12.75" customHeight="1" x14ac:dyDescent="0.25">
      <c r="A880" s="137"/>
      <c r="B880" s="139"/>
      <c r="C880" s="136"/>
      <c r="D880" s="131"/>
      <c r="E880" s="131"/>
      <c r="F880" s="58"/>
      <c r="G880" s="140"/>
      <c r="H880" s="140"/>
      <c r="I880" s="58"/>
      <c r="J880" s="58"/>
      <c r="K880" s="58"/>
      <c r="L880" s="58"/>
      <c r="M880" s="135"/>
      <c r="N880" s="135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35"/>
      <c r="Z880" s="58"/>
      <c r="AA880" s="58"/>
      <c r="AB880" s="58"/>
      <c r="AC880" s="58"/>
      <c r="AD880" s="58"/>
      <c r="AE880" s="138"/>
      <c r="AF880" s="136"/>
      <c r="AG880" s="136"/>
      <c r="AH880" s="136"/>
    </row>
    <row r="881" spans="1:34" s="132" customFormat="1" ht="12.75" customHeight="1" x14ac:dyDescent="0.25">
      <c r="A881" s="137"/>
      <c r="B881" s="139"/>
      <c r="C881" s="136"/>
      <c r="D881" s="131"/>
      <c r="E881" s="131"/>
      <c r="F881" s="58"/>
      <c r="G881" s="140"/>
      <c r="H881" s="140"/>
      <c r="I881" s="58"/>
      <c r="J881" s="58"/>
      <c r="K881" s="58"/>
      <c r="L881" s="58"/>
      <c r="M881" s="135"/>
      <c r="N881" s="135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35"/>
      <c r="Z881" s="58"/>
      <c r="AA881" s="58"/>
      <c r="AB881" s="58"/>
      <c r="AC881" s="58"/>
      <c r="AD881" s="58"/>
      <c r="AE881" s="138"/>
      <c r="AF881" s="136"/>
      <c r="AG881" s="136"/>
      <c r="AH881" s="136"/>
    </row>
    <row r="882" spans="1:34" s="132" customFormat="1" ht="12.75" customHeight="1" x14ac:dyDescent="0.25">
      <c r="A882" s="137"/>
      <c r="B882" s="139"/>
      <c r="C882" s="136"/>
      <c r="D882" s="131"/>
      <c r="E882" s="131"/>
      <c r="F882" s="58"/>
      <c r="G882" s="140"/>
      <c r="H882" s="140"/>
      <c r="I882" s="58"/>
      <c r="J882" s="58"/>
      <c r="K882" s="58"/>
      <c r="L882" s="58"/>
      <c r="M882" s="135"/>
      <c r="N882" s="135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35"/>
      <c r="Z882" s="58"/>
      <c r="AA882" s="58"/>
      <c r="AB882" s="58"/>
      <c r="AC882" s="58"/>
      <c r="AD882" s="58"/>
      <c r="AE882" s="138"/>
      <c r="AF882" s="136"/>
      <c r="AG882" s="136"/>
      <c r="AH882" s="136"/>
    </row>
    <row r="883" spans="1:34" s="132" customFormat="1" ht="12.75" customHeight="1" x14ac:dyDescent="0.25">
      <c r="A883" s="137"/>
      <c r="B883" s="139"/>
      <c r="C883" s="136"/>
      <c r="D883" s="131"/>
      <c r="E883" s="131"/>
      <c r="F883" s="58"/>
      <c r="G883" s="140"/>
      <c r="H883" s="140"/>
      <c r="I883" s="58"/>
      <c r="J883" s="58"/>
      <c r="K883" s="58"/>
      <c r="L883" s="58"/>
      <c r="M883" s="135"/>
      <c r="N883" s="135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35"/>
      <c r="Z883" s="58"/>
      <c r="AA883" s="58"/>
      <c r="AB883" s="58"/>
      <c r="AC883" s="58"/>
      <c r="AD883" s="58"/>
      <c r="AE883" s="138"/>
      <c r="AF883" s="136"/>
      <c r="AG883" s="136"/>
      <c r="AH883" s="136"/>
    </row>
    <row r="884" spans="1:34" s="132" customFormat="1" ht="12.75" customHeight="1" x14ac:dyDescent="0.25">
      <c r="A884" s="137"/>
      <c r="B884" s="139"/>
      <c r="C884" s="136"/>
      <c r="D884" s="131"/>
      <c r="E884" s="131"/>
      <c r="F884" s="58"/>
      <c r="G884" s="140"/>
      <c r="H884" s="140"/>
      <c r="I884" s="58"/>
      <c r="J884" s="58"/>
      <c r="K884" s="58"/>
      <c r="L884" s="58"/>
      <c r="M884" s="135"/>
      <c r="N884" s="135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35"/>
      <c r="Z884" s="58"/>
      <c r="AA884" s="58"/>
      <c r="AB884" s="58"/>
      <c r="AC884" s="58"/>
      <c r="AD884" s="58"/>
      <c r="AE884" s="138"/>
      <c r="AF884" s="136"/>
      <c r="AG884" s="136"/>
      <c r="AH884" s="136"/>
    </row>
    <row r="885" spans="1:34" s="132" customFormat="1" ht="12.75" customHeight="1" x14ac:dyDescent="0.25">
      <c r="A885" s="137"/>
      <c r="B885" s="139"/>
      <c r="C885" s="136"/>
      <c r="D885" s="131"/>
      <c r="E885" s="131"/>
      <c r="F885" s="58"/>
      <c r="G885" s="140"/>
      <c r="H885" s="140"/>
      <c r="I885" s="58"/>
      <c r="J885" s="58"/>
      <c r="K885" s="58"/>
      <c r="L885" s="58"/>
      <c r="M885" s="135"/>
      <c r="N885" s="135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35"/>
      <c r="Z885" s="58"/>
      <c r="AA885" s="58"/>
      <c r="AB885" s="58"/>
      <c r="AC885" s="58"/>
      <c r="AD885" s="58"/>
      <c r="AE885" s="138"/>
      <c r="AF885" s="136"/>
      <c r="AG885" s="136"/>
      <c r="AH885" s="136"/>
    </row>
    <row r="886" spans="1:34" s="132" customFormat="1" ht="12.75" customHeight="1" x14ac:dyDescent="0.25">
      <c r="A886" s="137"/>
      <c r="B886" s="139"/>
      <c r="C886" s="136"/>
      <c r="D886" s="131"/>
      <c r="E886" s="131"/>
      <c r="F886" s="58"/>
      <c r="G886" s="140"/>
      <c r="H886" s="140"/>
      <c r="I886" s="58"/>
      <c r="J886" s="58"/>
      <c r="K886" s="58"/>
      <c r="L886" s="58"/>
      <c r="M886" s="135"/>
      <c r="N886" s="135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35"/>
      <c r="Z886" s="58"/>
      <c r="AA886" s="58"/>
      <c r="AB886" s="58"/>
      <c r="AC886" s="58"/>
      <c r="AD886" s="58"/>
      <c r="AE886" s="138"/>
      <c r="AF886" s="136"/>
      <c r="AG886" s="136"/>
      <c r="AH886" s="136"/>
    </row>
    <row r="887" spans="1:34" s="132" customFormat="1" ht="12.75" customHeight="1" x14ac:dyDescent="0.25">
      <c r="A887" s="137"/>
      <c r="B887" s="139"/>
      <c r="C887" s="136"/>
      <c r="D887" s="131"/>
      <c r="E887" s="131"/>
      <c r="F887" s="58"/>
      <c r="G887" s="140"/>
      <c r="H887" s="140"/>
      <c r="I887" s="58"/>
      <c r="J887" s="58"/>
      <c r="K887" s="58"/>
      <c r="L887" s="58"/>
      <c r="M887" s="135"/>
      <c r="N887" s="135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35"/>
      <c r="Z887" s="58"/>
      <c r="AA887" s="58"/>
      <c r="AB887" s="58"/>
      <c r="AC887" s="58"/>
      <c r="AD887" s="58"/>
      <c r="AE887" s="138"/>
      <c r="AF887" s="136"/>
      <c r="AG887" s="136"/>
      <c r="AH887" s="136"/>
    </row>
    <row r="888" spans="1:34" s="132" customFormat="1" ht="12.75" customHeight="1" x14ac:dyDescent="0.25">
      <c r="A888" s="137"/>
      <c r="B888" s="139"/>
      <c r="C888" s="136"/>
      <c r="D888" s="131"/>
      <c r="E888" s="131"/>
      <c r="F888" s="58"/>
      <c r="G888" s="140"/>
      <c r="H888" s="140"/>
      <c r="I888" s="58"/>
      <c r="J888" s="58"/>
      <c r="K888" s="58"/>
      <c r="L888" s="58"/>
      <c r="M888" s="135"/>
      <c r="N888" s="135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35"/>
      <c r="Z888" s="58"/>
      <c r="AA888" s="58"/>
      <c r="AB888" s="58"/>
      <c r="AC888" s="58"/>
      <c r="AD888" s="58"/>
      <c r="AE888" s="138"/>
      <c r="AF888" s="136"/>
      <c r="AG888" s="136"/>
      <c r="AH888" s="136"/>
    </row>
    <row r="889" spans="1:34" s="132" customFormat="1" ht="12.75" customHeight="1" x14ac:dyDescent="0.25">
      <c r="A889" s="137"/>
      <c r="B889" s="139"/>
      <c r="C889" s="136"/>
      <c r="D889" s="131"/>
      <c r="E889" s="131"/>
      <c r="F889" s="58"/>
      <c r="G889" s="140"/>
      <c r="H889" s="140"/>
      <c r="I889" s="58"/>
      <c r="J889" s="58"/>
      <c r="K889" s="58"/>
      <c r="L889" s="58"/>
      <c r="M889" s="135"/>
      <c r="N889" s="135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35"/>
      <c r="Z889" s="58"/>
      <c r="AA889" s="58"/>
      <c r="AB889" s="58"/>
      <c r="AC889" s="58"/>
      <c r="AD889" s="58"/>
      <c r="AE889" s="138"/>
      <c r="AF889" s="136"/>
      <c r="AG889" s="136"/>
      <c r="AH889" s="136"/>
    </row>
    <row r="890" spans="1:34" s="132" customFormat="1" ht="12.75" customHeight="1" x14ac:dyDescent="0.25">
      <c r="A890" s="137"/>
      <c r="B890" s="139"/>
      <c r="C890" s="136"/>
      <c r="D890" s="131"/>
      <c r="E890" s="131"/>
      <c r="F890" s="58"/>
      <c r="G890" s="140"/>
      <c r="H890" s="140"/>
      <c r="I890" s="58"/>
      <c r="J890" s="58"/>
      <c r="K890" s="58"/>
      <c r="L890" s="58"/>
      <c r="M890" s="135"/>
      <c r="N890" s="135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35"/>
      <c r="Z890" s="58"/>
      <c r="AA890" s="58"/>
      <c r="AB890" s="58"/>
      <c r="AC890" s="58"/>
      <c r="AD890" s="58"/>
      <c r="AE890" s="138"/>
      <c r="AF890" s="136"/>
      <c r="AG890" s="136"/>
      <c r="AH890" s="136"/>
    </row>
    <row r="891" spans="1:34" s="132" customFormat="1" ht="12.75" customHeight="1" x14ac:dyDescent="0.25">
      <c r="A891" s="137"/>
      <c r="B891" s="139"/>
      <c r="C891" s="136"/>
      <c r="D891" s="131"/>
      <c r="E891" s="131"/>
      <c r="F891" s="58"/>
      <c r="G891" s="140"/>
      <c r="H891" s="140"/>
      <c r="I891" s="58"/>
      <c r="J891" s="58"/>
      <c r="K891" s="58"/>
      <c r="L891" s="58"/>
      <c r="M891" s="135"/>
      <c r="N891" s="135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35"/>
      <c r="Z891" s="58"/>
      <c r="AA891" s="58"/>
      <c r="AB891" s="58"/>
      <c r="AC891" s="58"/>
      <c r="AD891" s="58"/>
      <c r="AE891" s="138"/>
      <c r="AF891" s="136"/>
      <c r="AG891" s="136"/>
      <c r="AH891" s="136"/>
    </row>
    <row r="892" spans="1:34" s="132" customFormat="1" ht="12.75" customHeight="1" x14ac:dyDescent="0.25">
      <c r="A892" s="137"/>
      <c r="B892" s="139"/>
      <c r="C892" s="136"/>
      <c r="D892" s="131"/>
      <c r="E892" s="131"/>
      <c r="F892" s="58"/>
      <c r="G892" s="140"/>
      <c r="H892" s="140"/>
      <c r="I892" s="58"/>
      <c r="J892" s="58"/>
      <c r="K892" s="58"/>
      <c r="L892" s="58"/>
      <c r="M892" s="135"/>
      <c r="N892" s="135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35"/>
      <c r="Z892" s="58"/>
      <c r="AA892" s="58"/>
      <c r="AB892" s="58"/>
      <c r="AC892" s="58"/>
      <c r="AD892" s="58"/>
      <c r="AE892" s="138"/>
      <c r="AF892" s="136"/>
      <c r="AG892" s="136"/>
      <c r="AH892" s="136"/>
    </row>
    <row r="893" spans="1:34" s="132" customFormat="1" ht="12.75" customHeight="1" x14ac:dyDescent="0.25">
      <c r="A893" s="137"/>
      <c r="B893" s="139"/>
      <c r="C893" s="136"/>
      <c r="D893" s="131"/>
      <c r="E893" s="131"/>
      <c r="F893" s="58"/>
      <c r="G893" s="140"/>
      <c r="H893" s="140"/>
      <c r="I893" s="58"/>
      <c r="J893" s="58"/>
      <c r="K893" s="58"/>
      <c r="L893" s="58"/>
      <c r="M893" s="135"/>
      <c r="N893" s="135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35"/>
      <c r="Z893" s="58"/>
      <c r="AA893" s="58"/>
      <c r="AB893" s="58"/>
      <c r="AC893" s="58"/>
      <c r="AD893" s="58"/>
      <c r="AE893" s="138"/>
      <c r="AF893" s="136"/>
      <c r="AG893" s="136"/>
      <c r="AH893" s="136"/>
    </row>
    <row r="894" spans="1:34" s="132" customFormat="1" ht="12.75" customHeight="1" x14ac:dyDescent="0.25">
      <c r="A894" s="137"/>
      <c r="B894" s="139"/>
      <c r="C894" s="136"/>
      <c r="D894" s="131"/>
      <c r="E894" s="131"/>
      <c r="F894" s="58"/>
      <c r="G894" s="140"/>
      <c r="H894" s="140"/>
      <c r="I894" s="58"/>
      <c r="J894" s="58"/>
      <c r="K894" s="58"/>
      <c r="L894" s="58"/>
      <c r="M894" s="135"/>
      <c r="N894" s="135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35"/>
      <c r="Z894" s="58"/>
      <c r="AA894" s="58"/>
      <c r="AB894" s="58"/>
      <c r="AC894" s="58"/>
      <c r="AD894" s="58"/>
      <c r="AE894" s="138"/>
      <c r="AF894" s="136"/>
      <c r="AG894" s="136"/>
      <c r="AH894" s="136"/>
    </row>
    <row r="895" spans="1:34" s="132" customFormat="1" ht="12.75" customHeight="1" x14ac:dyDescent="0.25">
      <c r="A895" s="137"/>
      <c r="B895" s="139"/>
      <c r="C895" s="136"/>
      <c r="D895" s="131"/>
      <c r="E895" s="131"/>
      <c r="F895" s="58"/>
      <c r="G895" s="140"/>
      <c r="H895" s="140"/>
      <c r="I895" s="58"/>
      <c r="J895" s="58"/>
      <c r="K895" s="58"/>
      <c r="L895" s="58"/>
      <c r="M895" s="135"/>
      <c r="N895" s="135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35"/>
      <c r="Z895" s="58"/>
      <c r="AA895" s="58"/>
      <c r="AB895" s="58"/>
      <c r="AC895" s="58"/>
      <c r="AD895" s="58"/>
      <c r="AE895" s="138"/>
      <c r="AF895" s="136"/>
      <c r="AG895" s="136"/>
      <c r="AH895" s="136"/>
    </row>
    <row r="896" spans="1:34" s="132" customFormat="1" ht="12.75" customHeight="1" x14ac:dyDescent="0.25">
      <c r="A896" s="137"/>
      <c r="B896" s="139"/>
      <c r="C896" s="136"/>
      <c r="D896" s="131"/>
      <c r="E896" s="131"/>
      <c r="F896" s="58"/>
      <c r="G896" s="140"/>
      <c r="H896" s="140"/>
      <c r="I896" s="58"/>
      <c r="J896" s="58"/>
      <c r="K896" s="58"/>
      <c r="L896" s="58"/>
      <c r="M896" s="135"/>
      <c r="N896" s="135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35"/>
      <c r="Z896" s="58"/>
      <c r="AA896" s="58"/>
      <c r="AB896" s="58"/>
      <c r="AC896" s="58"/>
      <c r="AD896" s="58"/>
      <c r="AE896" s="138"/>
      <c r="AF896" s="136"/>
      <c r="AG896" s="136"/>
      <c r="AH896" s="136"/>
    </row>
    <row r="897" spans="1:34" s="132" customFormat="1" ht="12.75" customHeight="1" x14ac:dyDescent="0.25">
      <c r="A897" s="137"/>
      <c r="B897" s="139"/>
      <c r="C897" s="136"/>
      <c r="D897" s="131"/>
      <c r="E897" s="131"/>
      <c r="F897" s="58"/>
      <c r="G897" s="140"/>
      <c r="H897" s="140"/>
      <c r="I897" s="58"/>
      <c r="J897" s="58"/>
      <c r="K897" s="58"/>
      <c r="L897" s="58"/>
      <c r="M897" s="135"/>
      <c r="N897" s="135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35"/>
      <c r="Z897" s="58"/>
      <c r="AA897" s="58"/>
      <c r="AB897" s="58"/>
      <c r="AC897" s="58"/>
      <c r="AD897" s="58"/>
      <c r="AE897" s="138"/>
      <c r="AF897" s="136"/>
      <c r="AG897" s="136"/>
      <c r="AH897" s="136"/>
    </row>
    <row r="898" spans="1:34" s="132" customFormat="1" ht="12.75" customHeight="1" x14ac:dyDescent="0.25">
      <c r="A898" s="137"/>
      <c r="B898" s="139"/>
      <c r="C898" s="136"/>
      <c r="D898" s="131"/>
      <c r="E898" s="131"/>
      <c r="F898" s="58"/>
      <c r="G898" s="140"/>
      <c r="H898" s="140"/>
      <c r="I898" s="58"/>
      <c r="J898" s="58"/>
      <c r="K898" s="58"/>
      <c r="L898" s="58"/>
      <c r="M898" s="135"/>
      <c r="N898" s="135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35"/>
      <c r="Z898" s="58"/>
      <c r="AA898" s="58"/>
      <c r="AB898" s="58"/>
      <c r="AC898" s="58"/>
      <c r="AD898" s="58"/>
      <c r="AE898" s="138"/>
      <c r="AF898" s="136"/>
      <c r="AG898" s="136"/>
      <c r="AH898" s="136"/>
    </row>
    <row r="899" spans="1:34" s="132" customFormat="1" ht="12.75" customHeight="1" x14ac:dyDescent="0.25">
      <c r="A899" s="137"/>
      <c r="B899" s="139"/>
      <c r="C899" s="136"/>
      <c r="D899" s="131"/>
      <c r="E899" s="131"/>
      <c r="F899" s="58"/>
      <c r="G899" s="140"/>
      <c r="H899" s="140"/>
      <c r="I899" s="58"/>
      <c r="J899" s="58"/>
      <c r="K899" s="58"/>
      <c r="L899" s="58"/>
      <c r="M899" s="135"/>
      <c r="N899" s="135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35"/>
      <c r="Z899" s="58"/>
      <c r="AA899" s="58"/>
      <c r="AB899" s="58"/>
      <c r="AC899" s="58"/>
      <c r="AD899" s="58"/>
      <c r="AE899" s="138"/>
      <c r="AF899" s="136"/>
      <c r="AG899" s="136"/>
      <c r="AH899" s="136"/>
    </row>
    <row r="900" spans="1:34" s="132" customFormat="1" ht="12.75" customHeight="1" x14ac:dyDescent="0.25">
      <c r="A900" s="137"/>
      <c r="B900" s="139"/>
      <c r="C900" s="136"/>
      <c r="D900" s="131"/>
      <c r="E900" s="131"/>
      <c r="F900" s="58"/>
      <c r="G900" s="140"/>
      <c r="H900" s="140"/>
      <c r="I900" s="58"/>
      <c r="J900" s="58"/>
      <c r="K900" s="58"/>
      <c r="L900" s="58"/>
      <c r="M900" s="135"/>
      <c r="N900" s="135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35"/>
      <c r="Z900" s="58"/>
      <c r="AA900" s="58"/>
      <c r="AB900" s="58"/>
      <c r="AC900" s="58"/>
      <c r="AD900" s="58"/>
      <c r="AE900" s="138"/>
      <c r="AF900" s="136"/>
      <c r="AG900" s="136"/>
      <c r="AH900" s="136"/>
    </row>
    <row r="901" spans="1:34" s="132" customFormat="1" ht="12.75" customHeight="1" x14ac:dyDescent="0.25">
      <c r="A901" s="137"/>
      <c r="B901" s="139"/>
      <c r="C901" s="136"/>
      <c r="D901" s="131"/>
      <c r="E901" s="131"/>
      <c r="F901" s="58"/>
      <c r="G901" s="140"/>
      <c r="H901" s="140"/>
      <c r="I901" s="58"/>
      <c r="J901" s="58"/>
      <c r="K901" s="58"/>
      <c r="L901" s="58"/>
      <c r="M901" s="135"/>
      <c r="N901" s="135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35"/>
      <c r="Z901" s="58"/>
      <c r="AA901" s="58"/>
      <c r="AB901" s="58"/>
      <c r="AC901" s="58"/>
      <c r="AD901" s="58"/>
      <c r="AE901" s="138"/>
      <c r="AF901" s="136"/>
      <c r="AG901" s="136"/>
      <c r="AH901" s="136"/>
    </row>
    <row r="902" spans="1:34" s="132" customFormat="1" ht="12.75" customHeight="1" x14ac:dyDescent="0.25">
      <c r="A902" s="137"/>
      <c r="B902" s="139"/>
      <c r="C902" s="136"/>
      <c r="D902" s="131"/>
      <c r="E902" s="131"/>
      <c r="F902" s="58"/>
      <c r="G902" s="140"/>
      <c r="H902" s="140"/>
      <c r="I902" s="58"/>
      <c r="J902" s="58"/>
      <c r="K902" s="58"/>
      <c r="L902" s="58"/>
      <c r="M902" s="135"/>
      <c r="N902" s="135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35"/>
      <c r="Z902" s="58"/>
      <c r="AA902" s="58"/>
      <c r="AB902" s="58"/>
      <c r="AC902" s="58"/>
      <c r="AD902" s="58"/>
      <c r="AE902" s="138"/>
      <c r="AF902" s="136"/>
      <c r="AG902" s="136"/>
      <c r="AH902" s="136"/>
    </row>
    <row r="903" spans="1:34" s="132" customFormat="1" ht="12.75" customHeight="1" x14ac:dyDescent="0.25">
      <c r="A903" s="137"/>
      <c r="B903" s="139"/>
      <c r="C903" s="136"/>
      <c r="D903" s="131"/>
      <c r="E903" s="131"/>
      <c r="F903" s="58"/>
      <c r="G903" s="140"/>
      <c r="H903" s="140"/>
      <c r="I903" s="58"/>
      <c r="J903" s="58"/>
      <c r="K903" s="58"/>
      <c r="L903" s="58"/>
      <c r="M903" s="135"/>
      <c r="N903" s="135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35"/>
      <c r="Z903" s="58"/>
      <c r="AA903" s="58"/>
      <c r="AB903" s="58"/>
      <c r="AC903" s="58"/>
      <c r="AD903" s="58"/>
      <c r="AE903" s="138"/>
      <c r="AF903" s="136"/>
      <c r="AG903" s="136"/>
      <c r="AH903" s="136"/>
    </row>
    <row r="904" spans="1:34" s="132" customFormat="1" ht="12.75" customHeight="1" x14ac:dyDescent="0.25">
      <c r="A904" s="137"/>
      <c r="B904" s="139"/>
      <c r="C904" s="136"/>
      <c r="D904" s="131"/>
      <c r="E904" s="131"/>
      <c r="F904" s="58"/>
      <c r="G904" s="140"/>
      <c r="H904" s="140"/>
      <c r="I904" s="58"/>
      <c r="J904" s="58"/>
      <c r="K904" s="58"/>
      <c r="L904" s="58"/>
      <c r="M904" s="135"/>
      <c r="N904" s="135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35"/>
      <c r="Z904" s="58"/>
      <c r="AA904" s="58"/>
      <c r="AB904" s="58"/>
      <c r="AC904" s="58"/>
      <c r="AD904" s="58"/>
      <c r="AE904" s="138"/>
      <c r="AF904" s="136"/>
      <c r="AG904" s="136"/>
      <c r="AH904" s="136"/>
    </row>
    <row r="905" spans="1:34" s="132" customFormat="1" ht="12.75" customHeight="1" x14ac:dyDescent="0.25">
      <c r="A905" s="137"/>
      <c r="B905" s="139"/>
      <c r="C905" s="136"/>
      <c r="D905" s="131"/>
      <c r="E905" s="131"/>
      <c r="F905" s="58"/>
      <c r="G905" s="140"/>
      <c r="H905" s="140"/>
      <c r="I905" s="58"/>
      <c r="J905" s="58"/>
      <c r="K905" s="58"/>
      <c r="L905" s="58"/>
      <c r="M905" s="135"/>
      <c r="N905" s="135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35"/>
      <c r="Z905" s="58"/>
      <c r="AA905" s="58"/>
      <c r="AB905" s="58"/>
      <c r="AC905" s="58"/>
      <c r="AD905" s="58"/>
      <c r="AE905" s="138"/>
      <c r="AF905" s="136"/>
      <c r="AG905" s="136"/>
      <c r="AH905" s="136"/>
    </row>
    <row r="906" spans="1:34" s="132" customFormat="1" ht="12.75" customHeight="1" x14ac:dyDescent="0.25">
      <c r="A906" s="137"/>
      <c r="B906" s="139"/>
      <c r="C906" s="136"/>
      <c r="D906" s="131"/>
      <c r="E906" s="131"/>
      <c r="F906" s="58"/>
      <c r="G906" s="140"/>
      <c r="H906" s="140"/>
      <c r="I906" s="58"/>
      <c r="J906" s="58"/>
      <c r="K906" s="58"/>
      <c r="L906" s="58"/>
      <c r="M906" s="135"/>
      <c r="N906" s="135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35"/>
      <c r="Z906" s="58"/>
      <c r="AA906" s="58"/>
      <c r="AB906" s="58"/>
      <c r="AC906" s="58"/>
      <c r="AD906" s="58"/>
      <c r="AE906" s="138"/>
      <c r="AF906" s="136"/>
      <c r="AG906" s="136"/>
      <c r="AH906" s="136"/>
    </row>
    <row r="907" spans="1:34" s="132" customFormat="1" ht="12.75" customHeight="1" x14ac:dyDescent="0.25">
      <c r="A907" s="137"/>
      <c r="B907" s="139"/>
      <c r="C907" s="136"/>
      <c r="D907" s="131"/>
      <c r="E907" s="131"/>
      <c r="F907" s="58"/>
      <c r="G907" s="140"/>
      <c r="H907" s="140"/>
      <c r="I907" s="58"/>
      <c r="J907" s="58"/>
      <c r="K907" s="58"/>
      <c r="L907" s="58"/>
      <c r="M907" s="135"/>
      <c r="N907" s="135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35"/>
      <c r="Z907" s="58"/>
      <c r="AA907" s="58"/>
      <c r="AB907" s="58"/>
      <c r="AC907" s="58"/>
      <c r="AD907" s="58"/>
      <c r="AE907" s="138"/>
      <c r="AF907" s="136"/>
      <c r="AG907" s="136"/>
      <c r="AH907" s="136"/>
    </row>
    <row r="908" spans="1:34" s="132" customFormat="1" ht="12.75" customHeight="1" x14ac:dyDescent="0.25">
      <c r="A908" s="137"/>
      <c r="B908" s="139"/>
      <c r="C908" s="136"/>
      <c r="D908" s="131"/>
      <c r="E908" s="131"/>
      <c r="F908" s="58"/>
      <c r="G908" s="140"/>
      <c r="H908" s="140"/>
      <c r="I908" s="58"/>
      <c r="J908" s="58"/>
      <c r="K908" s="58"/>
      <c r="L908" s="58"/>
      <c r="M908" s="135"/>
      <c r="N908" s="135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35"/>
      <c r="Z908" s="58"/>
      <c r="AA908" s="58"/>
      <c r="AB908" s="58"/>
      <c r="AC908" s="58"/>
      <c r="AD908" s="58"/>
      <c r="AE908" s="138"/>
      <c r="AF908" s="136"/>
      <c r="AG908" s="136"/>
      <c r="AH908" s="136"/>
    </row>
    <row r="909" spans="1:34" s="132" customFormat="1" ht="12.75" customHeight="1" x14ac:dyDescent="0.25">
      <c r="A909" s="137"/>
      <c r="B909" s="139"/>
      <c r="C909" s="136"/>
      <c r="D909" s="131"/>
      <c r="E909" s="131"/>
      <c r="F909" s="58"/>
      <c r="G909" s="140"/>
      <c r="H909" s="140"/>
      <c r="I909" s="58"/>
      <c r="J909" s="58"/>
      <c r="K909" s="58"/>
      <c r="L909" s="58"/>
      <c r="M909" s="135"/>
      <c r="N909" s="135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35"/>
      <c r="Z909" s="58"/>
      <c r="AA909" s="58"/>
      <c r="AB909" s="58"/>
      <c r="AC909" s="58"/>
      <c r="AD909" s="58"/>
      <c r="AE909" s="138"/>
      <c r="AF909" s="136"/>
      <c r="AG909" s="136"/>
      <c r="AH909" s="136"/>
    </row>
    <row r="910" spans="1:34" s="132" customFormat="1" ht="12.75" customHeight="1" x14ac:dyDescent="0.25">
      <c r="A910" s="137"/>
      <c r="B910" s="139"/>
      <c r="C910" s="136"/>
      <c r="D910" s="131"/>
      <c r="E910" s="131"/>
      <c r="F910" s="58"/>
      <c r="G910" s="140"/>
      <c r="H910" s="140"/>
      <c r="I910" s="58"/>
      <c r="J910" s="58"/>
      <c r="K910" s="58"/>
      <c r="L910" s="58"/>
      <c r="M910" s="135"/>
      <c r="N910" s="135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35"/>
      <c r="Z910" s="58"/>
      <c r="AA910" s="58"/>
      <c r="AB910" s="58"/>
      <c r="AC910" s="58"/>
      <c r="AD910" s="58"/>
      <c r="AE910" s="138"/>
      <c r="AF910" s="136"/>
      <c r="AG910" s="136"/>
      <c r="AH910" s="136"/>
    </row>
    <row r="911" spans="1:34" s="132" customFormat="1" ht="12.75" customHeight="1" x14ac:dyDescent="0.25">
      <c r="A911" s="137"/>
      <c r="B911" s="139"/>
      <c r="C911" s="136"/>
      <c r="D911" s="131"/>
      <c r="E911" s="131"/>
      <c r="F911" s="58"/>
      <c r="G911" s="140"/>
      <c r="H911" s="140"/>
      <c r="I911" s="58"/>
      <c r="J911" s="58"/>
      <c r="K911" s="58"/>
      <c r="L911" s="58"/>
      <c r="M911" s="135"/>
      <c r="N911" s="135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35"/>
      <c r="Z911" s="58"/>
      <c r="AA911" s="58"/>
      <c r="AB911" s="58"/>
      <c r="AC911" s="58"/>
      <c r="AD911" s="58"/>
      <c r="AE911" s="138"/>
      <c r="AF911" s="136"/>
      <c r="AG911" s="136"/>
      <c r="AH911" s="136"/>
    </row>
    <row r="912" spans="1:34" s="132" customFormat="1" ht="12.75" customHeight="1" x14ac:dyDescent="0.25">
      <c r="A912" s="137"/>
      <c r="B912" s="139"/>
      <c r="C912" s="136"/>
      <c r="D912" s="131"/>
      <c r="E912" s="131"/>
      <c r="F912" s="58"/>
      <c r="G912" s="140"/>
      <c r="H912" s="140"/>
      <c r="I912" s="58"/>
      <c r="J912" s="58"/>
      <c r="K912" s="58"/>
      <c r="L912" s="58"/>
      <c r="M912" s="135"/>
      <c r="N912" s="135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35"/>
      <c r="Z912" s="58"/>
      <c r="AA912" s="58"/>
      <c r="AB912" s="58"/>
      <c r="AC912" s="58"/>
      <c r="AD912" s="58"/>
      <c r="AE912" s="138"/>
      <c r="AF912" s="136"/>
      <c r="AG912" s="136"/>
      <c r="AH912" s="136"/>
    </row>
    <row r="913" spans="1:34" s="132" customFormat="1" ht="12.75" customHeight="1" x14ac:dyDescent="0.25">
      <c r="A913" s="137"/>
      <c r="B913" s="139"/>
      <c r="C913" s="136"/>
      <c r="D913" s="131"/>
      <c r="E913" s="131"/>
      <c r="F913" s="58"/>
      <c r="G913" s="140"/>
      <c r="H913" s="140"/>
      <c r="I913" s="58"/>
      <c r="J913" s="58"/>
      <c r="K913" s="58"/>
      <c r="L913" s="58"/>
      <c r="M913" s="135"/>
      <c r="N913" s="135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35"/>
      <c r="Z913" s="58"/>
      <c r="AA913" s="58"/>
      <c r="AB913" s="58"/>
      <c r="AC913" s="58"/>
      <c r="AD913" s="58"/>
      <c r="AE913" s="138"/>
      <c r="AF913" s="136"/>
      <c r="AG913" s="136"/>
      <c r="AH913" s="136"/>
    </row>
    <row r="914" spans="1:34" s="132" customFormat="1" ht="12.75" customHeight="1" x14ac:dyDescent="0.25">
      <c r="A914" s="137"/>
      <c r="B914" s="139"/>
      <c r="C914" s="136"/>
      <c r="D914" s="131"/>
      <c r="E914" s="131"/>
      <c r="F914" s="58"/>
      <c r="G914" s="140"/>
      <c r="H914" s="140"/>
      <c r="I914" s="58"/>
      <c r="J914" s="58"/>
      <c r="K914" s="58"/>
      <c r="L914" s="58"/>
      <c r="M914" s="135"/>
      <c r="N914" s="135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35"/>
      <c r="Z914" s="58"/>
      <c r="AA914" s="58"/>
      <c r="AB914" s="58"/>
      <c r="AC914" s="58"/>
      <c r="AD914" s="58"/>
      <c r="AE914" s="138"/>
      <c r="AF914" s="136"/>
      <c r="AG914" s="136"/>
      <c r="AH914" s="136"/>
    </row>
    <row r="915" spans="1:34" s="132" customFormat="1" ht="12.75" customHeight="1" x14ac:dyDescent="0.25">
      <c r="A915" s="137"/>
      <c r="B915" s="139"/>
      <c r="C915" s="136"/>
      <c r="D915" s="131"/>
      <c r="E915" s="131"/>
      <c r="F915" s="58"/>
      <c r="G915" s="140"/>
      <c r="H915" s="140"/>
      <c r="I915" s="58"/>
      <c r="J915" s="58"/>
      <c r="K915" s="58"/>
      <c r="L915" s="58"/>
      <c r="M915" s="135"/>
      <c r="N915" s="135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35"/>
      <c r="Z915" s="58"/>
      <c r="AA915" s="58"/>
      <c r="AB915" s="58"/>
      <c r="AC915" s="58"/>
      <c r="AD915" s="58"/>
      <c r="AE915" s="138"/>
      <c r="AF915" s="136"/>
      <c r="AG915" s="136"/>
      <c r="AH915" s="136"/>
    </row>
    <row r="916" spans="1:34" s="132" customFormat="1" ht="12.75" customHeight="1" x14ac:dyDescent="0.25">
      <c r="A916" s="137"/>
      <c r="B916" s="139"/>
      <c r="C916" s="136"/>
      <c r="D916" s="131"/>
      <c r="E916" s="131"/>
      <c r="F916" s="58"/>
      <c r="G916" s="140"/>
      <c r="H916" s="140"/>
      <c r="I916" s="58"/>
      <c r="J916" s="58"/>
      <c r="K916" s="58"/>
      <c r="L916" s="58"/>
      <c r="M916" s="135"/>
      <c r="N916" s="135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35"/>
      <c r="Z916" s="58"/>
      <c r="AA916" s="58"/>
      <c r="AB916" s="58"/>
      <c r="AC916" s="58"/>
      <c r="AD916" s="58"/>
      <c r="AE916" s="138"/>
      <c r="AF916" s="136"/>
      <c r="AG916" s="136"/>
      <c r="AH916" s="136"/>
    </row>
    <row r="917" spans="1:34" s="132" customFormat="1" ht="12.75" customHeight="1" x14ac:dyDescent="0.25">
      <c r="A917" s="137"/>
      <c r="B917" s="139"/>
      <c r="C917" s="136"/>
      <c r="D917" s="131"/>
      <c r="E917" s="131"/>
      <c r="F917" s="58"/>
      <c r="G917" s="140"/>
      <c r="H917" s="140"/>
      <c r="I917" s="58"/>
      <c r="J917" s="58"/>
      <c r="K917" s="58"/>
      <c r="L917" s="58"/>
      <c r="M917" s="135"/>
      <c r="N917" s="135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35"/>
      <c r="Z917" s="58"/>
      <c r="AA917" s="58"/>
      <c r="AB917" s="58"/>
      <c r="AC917" s="58"/>
      <c r="AD917" s="58"/>
      <c r="AE917" s="138"/>
      <c r="AF917" s="136"/>
      <c r="AG917" s="136"/>
      <c r="AH917" s="136"/>
    </row>
    <row r="918" spans="1:34" s="132" customFormat="1" ht="12.75" customHeight="1" x14ac:dyDescent="0.25">
      <c r="A918" s="137"/>
      <c r="B918" s="139"/>
      <c r="C918" s="136"/>
      <c r="D918" s="131"/>
      <c r="E918" s="131"/>
      <c r="F918" s="58"/>
      <c r="G918" s="140"/>
      <c r="H918" s="140"/>
      <c r="I918" s="58"/>
      <c r="J918" s="58"/>
      <c r="K918" s="58"/>
      <c r="L918" s="58"/>
      <c r="M918" s="135"/>
      <c r="N918" s="135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35"/>
      <c r="Z918" s="58"/>
      <c r="AA918" s="58"/>
      <c r="AB918" s="58"/>
      <c r="AC918" s="58"/>
      <c r="AD918" s="58"/>
      <c r="AE918" s="138"/>
      <c r="AF918" s="136"/>
      <c r="AG918" s="136"/>
      <c r="AH918" s="136"/>
    </row>
    <row r="919" spans="1:34" s="132" customFormat="1" ht="12.75" customHeight="1" x14ac:dyDescent="0.25">
      <c r="A919" s="137"/>
      <c r="B919" s="139"/>
      <c r="C919" s="136"/>
      <c r="D919" s="131"/>
      <c r="E919" s="131"/>
      <c r="F919" s="58"/>
      <c r="G919" s="140"/>
      <c r="H919" s="140"/>
      <c r="I919" s="58"/>
      <c r="J919" s="58"/>
      <c r="K919" s="58"/>
      <c r="L919" s="58"/>
      <c r="M919" s="135"/>
      <c r="N919" s="135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35"/>
      <c r="Z919" s="58"/>
      <c r="AA919" s="58"/>
      <c r="AB919" s="58"/>
      <c r="AC919" s="58"/>
      <c r="AD919" s="58"/>
      <c r="AE919" s="138"/>
      <c r="AF919" s="136"/>
      <c r="AG919" s="136"/>
      <c r="AH919" s="136"/>
    </row>
    <row r="920" spans="1:34" s="132" customFormat="1" ht="12.75" customHeight="1" x14ac:dyDescent="0.25">
      <c r="A920" s="137"/>
      <c r="B920" s="139"/>
      <c r="C920" s="136"/>
      <c r="D920" s="131"/>
      <c r="E920" s="131"/>
      <c r="F920" s="58"/>
      <c r="G920" s="140"/>
      <c r="H920" s="140"/>
      <c r="I920" s="58"/>
      <c r="J920" s="58"/>
      <c r="K920" s="58"/>
      <c r="L920" s="58"/>
      <c r="M920" s="135"/>
      <c r="N920" s="135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35"/>
      <c r="Z920" s="58"/>
      <c r="AA920" s="58"/>
      <c r="AB920" s="58"/>
      <c r="AC920" s="58"/>
      <c r="AD920" s="58"/>
      <c r="AE920" s="138"/>
      <c r="AF920" s="136"/>
      <c r="AG920" s="136"/>
      <c r="AH920" s="136"/>
    </row>
    <row r="921" spans="1:34" s="132" customFormat="1" ht="12.75" customHeight="1" x14ac:dyDescent="0.25">
      <c r="A921" s="137"/>
      <c r="B921" s="139"/>
      <c r="C921" s="136"/>
      <c r="D921" s="131"/>
      <c r="E921" s="131"/>
      <c r="F921" s="58"/>
      <c r="G921" s="140"/>
      <c r="H921" s="140"/>
      <c r="I921" s="58"/>
      <c r="J921" s="58"/>
      <c r="K921" s="58"/>
      <c r="L921" s="58"/>
      <c r="M921" s="135"/>
      <c r="N921" s="135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35"/>
      <c r="Z921" s="58"/>
      <c r="AA921" s="58"/>
      <c r="AB921" s="58"/>
      <c r="AC921" s="58"/>
      <c r="AD921" s="58"/>
      <c r="AE921" s="138"/>
      <c r="AF921" s="136"/>
      <c r="AG921" s="136"/>
      <c r="AH921" s="136"/>
    </row>
    <row r="922" spans="1:34" s="132" customFormat="1" ht="12.75" customHeight="1" x14ac:dyDescent="0.25">
      <c r="A922" s="137"/>
      <c r="B922" s="139"/>
      <c r="C922" s="136"/>
      <c r="D922" s="131"/>
      <c r="E922" s="131"/>
      <c r="F922" s="58"/>
      <c r="G922" s="140"/>
      <c r="H922" s="140"/>
      <c r="I922" s="58"/>
      <c r="J922" s="58"/>
      <c r="K922" s="58"/>
      <c r="L922" s="58"/>
      <c r="M922" s="135"/>
      <c r="N922" s="135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35"/>
      <c r="Z922" s="58"/>
      <c r="AA922" s="58"/>
      <c r="AB922" s="58"/>
      <c r="AC922" s="58"/>
      <c r="AD922" s="58"/>
      <c r="AE922" s="138"/>
      <c r="AF922" s="136"/>
      <c r="AG922" s="136"/>
      <c r="AH922" s="136"/>
    </row>
    <row r="923" spans="1:34" s="132" customFormat="1" ht="12.75" customHeight="1" x14ac:dyDescent="0.25">
      <c r="A923" s="137"/>
      <c r="B923" s="139"/>
      <c r="C923" s="136"/>
      <c r="D923" s="131"/>
      <c r="E923" s="131"/>
      <c r="F923" s="58"/>
      <c r="G923" s="140"/>
      <c r="H923" s="140"/>
      <c r="I923" s="58"/>
      <c r="J923" s="58"/>
      <c r="K923" s="58"/>
      <c r="L923" s="58"/>
      <c r="M923" s="135"/>
      <c r="N923" s="135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35"/>
      <c r="Z923" s="58"/>
      <c r="AA923" s="58"/>
      <c r="AB923" s="58"/>
      <c r="AC923" s="58"/>
      <c r="AD923" s="58"/>
      <c r="AE923" s="138"/>
      <c r="AF923" s="136"/>
      <c r="AG923" s="136"/>
      <c r="AH923" s="136"/>
    </row>
    <row r="924" spans="1:34" s="132" customFormat="1" ht="12.75" customHeight="1" x14ac:dyDescent="0.25">
      <c r="A924" s="137"/>
      <c r="B924" s="139"/>
      <c r="C924" s="136"/>
      <c r="D924" s="131"/>
      <c r="E924" s="131"/>
      <c r="F924" s="58"/>
      <c r="G924" s="140"/>
      <c r="H924" s="140"/>
      <c r="I924" s="58"/>
      <c r="J924" s="58"/>
      <c r="K924" s="58"/>
      <c r="L924" s="58"/>
      <c r="M924" s="135"/>
      <c r="N924" s="135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35"/>
      <c r="Z924" s="58"/>
      <c r="AA924" s="58"/>
      <c r="AB924" s="58"/>
      <c r="AC924" s="58"/>
      <c r="AD924" s="58"/>
      <c r="AE924" s="138"/>
      <c r="AF924" s="136"/>
      <c r="AG924" s="136"/>
      <c r="AH924" s="136"/>
    </row>
    <row r="925" spans="1:34" s="132" customFormat="1" ht="12.75" customHeight="1" x14ac:dyDescent="0.25">
      <c r="A925" s="137"/>
      <c r="B925" s="139"/>
      <c r="C925" s="136"/>
      <c r="D925" s="131"/>
      <c r="E925" s="131"/>
      <c r="F925" s="58"/>
      <c r="G925" s="140"/>
      <c r="H925" s="140"/>
      <c r="I925" s="58"/>
      <c r="J925" s="58"/>
      <c r="K925" s="58"/>
      <c r="L925" s="58"/>
      <c r="M925" s="135"/>
      <c r="N925" s="135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35"/>
      <c r="Z925" s="58"/>
      <c r="AA925" s="58"/>
      <c r="AB925" s="58"/>
      <c r="AC925" s="58"/>
      <c r="AD925" s="58"/>
      <c r="AE925" s="138"/>
      <c r="AF925" s="136"/>
      <c r="AG925" s="136"/>
      <c r="AH925" s="136"/>
    </row>
    <row r="926" spans="1:34" s="132" customFormat="1" ht="12.75" customHeight="1" x14ac:dyDescent="0.25">
      <c r="A926" s="137"/>
      <c r="B926" s="139"/>
      <c r="C926" s="136"/>
      <c r="D926" s="131"/>
      <c r="E926" s="131"/>
      <c r="F926" s="58"/>
      <c r="G926" s="140"/>
      <c r="H926" s="140"/>
      <c r="I926" s="58"/>
      <c r="J926" s="58"/>
      <c r="K926" s="58"/>
      <c r="L926" s="58"/>
      <c r="M926" s="135"/>
      <c r="N926" s="135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35"/>
      <c r="Z926" s="58"/>
      <c r="AA926" s="58"/>
      <c r="AB926" s="58"/>
      <c r="AC926" s="58"/>
      <c r="AD926" s="58"/>
      <c r="AE926" s="138"/>
      <c r="AF926" s="136"/>
      <c r="AG926" s="136"/>
      <c r="AH926" s="136"/>
    </row>
    <row r="927" spans="1:34" s="132" customFormat="1" ht="12.75" customHeight="1" x14ac:dyDescent="0.25">
      <c r="A927" s="137"/>
      <c r="B927" s="139"/>
      <c r="C927" s="136"/>
      <c r="D927" s="131"/>
      <c r="E927" s="131"/>
      <c r="F927" s="58"/>
      <c r="G927" s="140"/>
      <c r="H927" s="140"/>
      <c r="I927" s="58"/>
      <c r="J927" s="58"/>
      <c r="K927" s="58"/>
      <c r="L927" s="58"/>
      <c r="M927" s="135"/>
      <c r="N927" s="135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35"/>
      <c r="Z927" s="58"/>
      <c r="AA927" s="58"/>
      <c r="AB927" s="58"/>
      <c r="AC927" s="58"/>
      <c r="AD927" s="58"/>
      <c r="AE927" s="138"/>
      <c r="AF927" s="136"/>
      <c r="AG927" s="136"/>
      <c r="AH927" s="136"/>
    </row>
    <row r="928" spans="1:34" s="132" customFormat="1" ht="12.75" customHeight="1" x14ac:dyDescent="0.25">
      <c r="A928" s="137"/>
      <c r="B928" s="139"/>
      <c r="C928" s="136"/>
      <c r="D928" s="131"/>
      <c r="E928" s="131"/>
      <c r="F928" s="58"/>
      <c r="G928" s="140"/>
      <c r="H928" s="140"/>
      <c r="I928" s="58"/>
      <c r="J928" s="58"/>
      <c r="K928" s="58"/>
      <c r="L928" s="58"/>
      <c r="M928" s="135"/>
      <c r="N928" s="135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35"/>
      <c r="Z928" s="58"/>
      <c r="AA928" s="58"/>
      <c r="AB928" s="58"/>
      <c r="AC928" s="58"/>
      <c r="AD928" s="58"/>
      <c r="AE928" s="138"/>
      <c r="AF928" s="136"/>
      <c r="AG928" s="136"/>
      <c r="AH928" s="136"/>
    </row>
    <row r="929" spans="1:34" s="132" customFormat="1" ht="12.75" customHeight="1" x14ac:dyDescent="0.25">
      <c r="A929" s="137"/>
      <c r="B929" s="139"/>
      <c r="C929" s="136"/>
      <c r="D929" s="131"/>
      <c r="E929" s="131"/>
      <c r="F929" s="58"/>
      <c r="G929" s="140"/>
      <c r="H929" s="140"/>
      <c r="I929" s="58"/>
      <c r="J929" s="58"/>
      <c r="K929" s="58"/>
      <c r="L929" s="58"/>
      <c r="M929" s="135"/>
      <c r="N929" s="135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35"/>
      <c r="Z929" s="58"/>
      <c r="AA929" s="58"/>
      <c r="AB929" s="58"/>
      <c r="AC929" s="58"/>
      <c r="AD929" s="58"/>
      <c r="AE929" s="138"/>
      <c r="AF929" s="136"/>
      <c r="AG929" s="136"/>
      <c r="AH929" s="136"/>
    </row>
    <row r="930" spans="1:34" s="132" customFormat="1" ht="12.75" customHeight="1" x14ac:dyDescent="0.25">
      <c r="A930" s="137"/>
      <c r="B930" s="139"/>
      <c r="C930" s="136"/>
      <c r="D930" s="131"/>
      <c r="E930" s="131"/>
      <c r="F930" s="58"/>
      <c r="G930" s="140"/>
      <c r="H930" s="140"/>
      <c r="I930" s="58"/>
      <c r="J930" s="58"/>
      <c r="K930" s="58"/>
      <c r="L930" s="58"/>
      <c r="M930" s="135"/>
      <c r="N930" s="135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35"/>
      <c r="Z930" s="58"/>
      <c r="AA930" s="58"/>
      <c r="AB930" s="58"/>
      <c r="AC930" s="58"/>
      <c r="AD930" s="58"/>
      <c r="AE930" s="138"/>
      <c r="AF930" s="136"/>
      <c r="AG930" s="136"/>
      <c r="AH930" s="136"/>
    </row>
    <row r="931" spans="1:34" s="132" customFormat="1" ht="12.75" customHeight="1" x14ac:dyDescent="0.25">
      <c r="A931" s="137"/>
      <c r="B931" s="139"/>
      <c r="C931" s="136"/>
      <c r="D931" s="131"/>
      <c r="E931" s="131"/>
      <c r="F931" s="58"/>
      <c r="G931" s="140"/>
      <c r="H931" s="140"/>
      <c r="I931" s="58"/>
      <c r="J931" s="58"/>
      <c r="K931" s="58"/>
      <c r="L931" s="58"/>
      <c r="M931" s="135"/>
      <c r="N931" s="135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35"/>
      <c r="Z931" s="58"/>
      <c r="AA931" s="58"/>
      <c r="AB931" s="58"/>
      <c r="AC931" s="58"/>
      <c r="AD931" s="58"/>
      <c r="AE931" s="138"/>
      <c r="AF931" s="136"/>
      <c r="AG931" s="136"/>
      <c r="AH931" s="136"/>
    </row>
    <row r="932" spans="1:34" s="132" customFormat="1" ht="12.75" customHeight="1" x14ac:dyDescent="0.25">
      <c r="A932" s="137"/>
      <c r="B932" s="139"/>
      <c r="C932" s="136"/>
      <c r="D932" s="131"/>
      <c r="E932" s="131"/>
      <c r="F932" s="58"/>
      <c r="G932" s="140"/>
      <c r="H932" s="140"/>
      <c r="I932" s="58"/>
      <c r="J932" s="58"/>
      <c r="K932" s="58"/>
      <c r="L932" s="58"/>
      <c r="M932" s="135"/>
      <c r="N932" s="135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35"/>
      <c r="Z932" s="58"/>
      <c r="AA932" s="58"/>
      <c r="AB932" s="58"/>
      <c r="AC932" s="58"/>
      <c r="AD932" s="58"/>
      <c r="AE932" s="138"/>
      <c r="AF932" s="136"/>
      <c r="AG932" s="136"/>
      <c r="AH932" s="136"/>
    </row>
    <row r="933" spans="1:34" s="132" customFormat="1" ht="12.75" customHeight="1" x14ac:dyDescent="0.25">
      <c r="A933" s="137"/>
      <c r="B933" s="139"/>
      <c r="C933" s="136"/>
      <c r="D933" s="131"/>
      <c r="E933" s="131"/>
      <c r="F933" s="58"/>
      <c r="G933" s="140"/>
      <c r="H933" s="140"/>
      <c r="I933" s="58"/>
      <c r="J933" s="58"/>
      <c r="K933" s="58"/>
      <c r="L933" s="58"/>
      <c r="M933" s="135"/>
      <c r="N933" s="135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35"/>
      <c r="Z933" s="58"/>
      <c r="AA933" s="58"/>
      <c r="AB933" s="58"/>
      <c r="AC933" s="58"/>
      <c r="AD933" s="58"/>
      <c r="AE933" s="138"/>
      <c r="AF933" s="136"/>
      <c r="AG933" s="136"/>
      <c r="AH933" s="136"/>
    </row>
    <row r="934" spans="1:34" s="132" customFormat="1" ht="12.75" customHeight="1" x14ac:dyDescent="0.25">
      <c r="A934" s="137"/>
      <c r="B934" s="139"/>
      <c r="C934" s="136"/>
      <c r="D934" s="131"/>
      <c r="E934" s="131"/>
      <c r="F934" s="58"/>
      <c r="G934" s="140"/>
      <c r="H934" s="140"/>
      <c r="I934" s="58"/>
      <c r="J934" s="58"/>
      <c r="K934" s="58"/>
      <c r="L934" s="58"/>
      <c r="M934" s="135"/>
      <c r="N934" s="135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35"/>
      <c r="Z934" s="58"/>
      <c r="AA934" s="58"/>
      <c r="AB934" s="58"/>
      <c r="AC934" s="58"/>
      <c r="AD934" s="58"/>
      <c r="AE934" s="138"/>
      <c r="AF934" s="136"/>
      <c r="AG934" s="136"/>
      <c r="AH934" s="136"/>
    </row>
    <row r="935" spans="1:34" s="132" customFormat="1" ht="12.75" customHeight="1" x14ac:dyDescent="0.25">
      <c r="A935" s="137"/>
      <c r="B935" s="139"/>
      <c r="C935" s="136"/>
      <c r="D935" s="131"/>
      <c r="E935" s="131"/>
      <c r="F935" s="58"/>
      <c r="G935" s="140"/>
      <c r="H935" s="140"/>
      <c r="I935" s="58"/>
      <c r="J935" s="58"/>
      <c r="K935" s="58"/>
      <c r="L935" s="58"/>
      <c r="M935" s="135"/>
      <c r="N935" s="135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35"/>
      <c r="Z935" s="58"/>
      <c r="AA935" s="58"/>
      <c r="AB935" s="58"/>
      <c r="AC935" s="58"/>
      <c r="AD935" s="58"/>
      <c r="AE935" s="138"/>
      <c r="AF935" s="136"/>
      <c r="AG935" s="136"/>
      <c r="AH935" s="136"/>
    </row>
    <row r="936" spans="1:34" s="132" customFormat="1" ht="12.75" customHeight="1" x14ac:dyDescent="0.25">
      <c r="A936" s="137"/>
      <c r="B936" s="139"/>
      <c r="C936" s="136"/>
      <c r="D936" s="131"/>
      <c r="E936" s="131"/>
      <c r="F936" s="58"/>
      <c r="G936" s="140"/>
      <c r="H936" s="140"/>
      <c r="I936" s="58"/>
      <c r="J936" s="58"/>
      <c r="K936" s="58"/>
      <c r="L936" s="58"/>
      <c r="M936" s="135"/>
      <c r="N936" s="135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35"/>
      <c r="Z936" s="58"/>
      <c r="AA936" s="58"/>
      <c r="AB936" s="58"/>
      <c r="AC936" s="58"/>
      <c r="AD936" s="58"/>
      <c r="AE936" s="138"/>
      <c r="AF936" s="136"/>
      <c r="AG936" s="136"/>
      <c r="AH936" s="136"/>
    </row>
    <row r="937" spans="1:34" s="132" customFormat="1" ht="12.75" customHeight="1" x14ac:dyDescent="0.25">
      <c r="A937" s="137"/>
      <c r="B937" s="139"/>
      <c r="C937" s="136"/>
      <c r="D937" s="131"/>
      <c r="E937" s="131"/>
      <c r="F937" s="58"/>
      <c r="G937" s="140"/>
      <c r="H937" s="140"/>
      <c r="I937" s="58"/>
      <c r="J937" s="58"/>
      <c r="K937" s="58"/>
      <c r="L937" s="58"/>
      <c r="M937" s="135"/>
      <c r="N937" s="135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35"/>
      <c r="Z937" s="58"/>
      <c r="AA937" s="58"/>
      <c r="AB937" s="58"/>
      <c r="AC937" s="58"/>
      <c r="AD937" s="58"/>
      <c r="AE937" s="138"/>
      <c r="AF937" s="136"/>
      <c r="AG937" s="136"/>
      <c r="AH937" s="136"/>
    </row>
    <row r="938" spans="1:34" s="132" customFormat="1" ht="12.75" customHeight="1" x14ac:dyDescent="0.25">
      <c r="A938" s="137"/>
      <c r="B938" s="139"/>
      <c r="C938" s="136"/>
      <c r="D938" s="131"/>
      <c r="E938" s="131"/>
      <c r="F938" s="58"/>
      <c r="G938" s="140"/>
      <c r="H938" s="140"/>
      <c r="I938" s="58"/>
      <c r="J938" s="58"/>
      <c r="K938" s="58"/>
      <c r="L938" s="58"/>
      <c r="M938" s="135"/>
      <c r="N938" s="135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35"/>
      <c r="Z938" s="58"/>
      <c r="AA938" s="58"/>
      <c r="AB938" s="58"/>
      <c r="AC938" s="58"/>
      <c r="AD938" s="58"/>
      <c r="AE938" s="138"/>
      <c r="AF938" s="136"/>
      <c r="AG938" s="136"/>
      <c r="AH938" s="136"/>
    </row>
    <row r="939" spans="1:34" s="132" customFormat="1" ht="12.75" customHeight="1" x14ac:dyDescent="0.25">
      <c r="A939" s="137"/>
      <c r="B939" s="139"/>
      <c r="C939" s="136"/>
      <c r="D939" s="131"/>
      <c r="E939" s="131"/>
      <c r="F939" s="58"/>
      <c r="G939" s="140"/>
      <c r="H939" s="140"/>
      <c r="I939" s="58"/>
      <c r="J939" s="58"/>
      <c r="K939" s="58"/>
      <c r="L939" s="58"/>
      <c r="M939" s="135"/>
      <c r="N939" s="135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35"/>
      <c r="Z939" s="58"/>
      <c r="AA939" s="58"/>
      <c r="AB939" s="58"/>
      <c r="AC939" s="58"/>
      <c r="AD939" s="58"/>
      <c r="AE939" s="138"/>
      <c r="AF939" s="136"/>
      <c r="AG939" s="136"/>
      <c r="AH939" s="136"/>
    </row>
    <row r="940" spans="1:34" s="132" customFormat="1" ht="12.75" customHeight="1" x14ac:dyDescent="0.25">
      <c r="A940" s="137"/>
      <c r="B940" s="139"/>
      <c r="C940" s="136"/>
      <c r="D940" s="131"/>
      <c r="E940" s="131"/>
      <c r="F940" s="58"/>
      <c r="G940" s="140"/>
      <c r="H940" s="140"/>
      <c r="I940" s="58"/>
      <c r="J940" s="58"/>
      <c r="K940" s="58"/>
      <c r="L940" s="58"/>
      <c r="M940" s="135"/>
      <c r="N940" s="135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35"/>
      <c r="Z940" s="58"/>
      <c r="AA940" s="58"/>
      <c r="AB940" s="58"/>
      <c r="AC940" s="58"/>
      <c r="AD940" s="58"/>
      <c r="AE940" s="138"/>
      <c r="AF940" s="136"/>
      <c r="AG940" s="136"/>
      <c r="AH940" s="136"/>
    </row>
    <row r="941" spans="1:34" s="132" customFormat="1" ht="12.75" customHeight="1" x14ac:dyDescent="0.25">
      <c r="A941" s="137"/>
      <c r="B941" s="139"/>
      <c r="C941" s="136"/>
      <c r="D941" s="131"/>
      <c r="E941" s="131"/>
      <c r="F941" s="58"/>
      <c r="G941" s="140"/>
      <c r="H941" s="140"/>
      <c r="I941" s="58"/>
      <c r="J941" s="58"/>
      <c r="K941" s="58"/>
      <c r="L941" s="58"/>
      <c r="M941" s="135"/>
      <c r="N941" s="135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35"/>
      <c r="Z941" s="58"/>
      <c r="AA941" s="58"/>
      <c r="AB941" s="58"/>
      <c r="AC941" s="58"/>
      <c r="AD941" s="58"/>
      <c r="AE941" s="138"/>
      <c r="AF941" s="136"/>
      <c r="AG941" s="136"/>
      <c r="AH941" s="136"/>
    </row>
    <row r="942" spans="1:34" s="132" customFormat="1" ht="12.75" customHeight="1" x14ac:dyDescent="0.25">
      <c r="A942" s="137"/>
      <c r="B942" s="139"/>
      <c r="C942" s="136"/>
      <c r="D942" s="131"/>
      <c r="E942" s="131"/>
      <c r="F942" s="58"/>
      <c r="G942" s="140"/>
      <c r="H942" s="140"/>
      <c r="I942" s="58"/>
      <c r="J942" s="58"/>
      <c r="K942" s="58"/>
      <c r="L942" s="58"/>
      <c r="M942" s="135"/>
      <c r="N942" s="135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35"/>
      <c r="Z942" s="58"/>
      <c r="AA942" s="58"/>
      <c r="AB942" s="58"/>
      <c r="AC942" s="58"/>
      <c r="AD942" s="58"/>
      <c r="AE942" s="138"/>
      <c r="AF942" s="136"/>
      <c r="AG942" s="136"/>
      <c r="AH942" s="136"/>
    </row>
    <row r="943" spans="1:34" s="132" customFormat="1" ht="12.75" customHeight="1" x14ac:dyDescent="0.25">
      <c r="A943" s="137"/>
      <c r="B943" s="139"/>
      <c r="C943" s="136"/>
      <c r="D943" s="131"/>
      <c r="E943" s="131"/>
      <c r="F943" s="58"/>
      <c r="G943" s="140"/>
      <c r="H943" s="140"/>
      <c r="I943" s="58"/>
      <c r="J943" s="58"/>
      <c r="K943" s="58"/>
      <c r="L943" s="58"/>
      <c r="M943" s="135"/>
      <c r="N943" s="135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35"/>
      <c r="Z943" s="58"/>
      <c r="AA943" s="58"/>
      <c r="AB943" s="58"/>
      <c r="AC943" s="58"/>
      <c r="AD943" s="58"/>
      <c r="AE943" s="138"/>
      <c r="AF943" s="136"/>
      <c r="AG943" s="136"/>
      <c r="AH943" s="136"/>
    </row>
    <row r="944" spans="1:34" s="132" customFormat="1" ht="12.75" customHeight="1" x14ac:dyDescent="0.25">
      <c r="A944" s="137"/>
      <c r="B944" s="139"/>
      <c r="C944" s="136"/>
      <c r="D944" s="131"/>
      <c r="E944" s="131"/>
      <c r="F944" s="58"/>
      <c r="G944" s="140"/>
      <c r="H944" s="140"/>
      <c r="I944" s="58"/>
      <c r="J944" s="58"/>
      <c r="K944" s="58"/>
      <c r="L944" s="58"/>
      <c r="M944" s="135"/>
      <c r="N944" s="135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35"/>
      <c r="Z944" s="58"/>
      <c r="AA944" s="58"/>
      <c r="AB944" s="58"/>
      <c r="AC944" s="58"/>
      <c r="AD944" s="58"/>
      <c r="AE944" s="138"/>
      <c r="AF944" s="136"/>
      <c r="AG944" s="136"/>
      <c r="AH944" s="136"/>
    </row>
    <row r="945" spans="1:34" s="132" customFormat="1" ht="12.75" customHeight="1" x14ac:dyDescent="0.25">
      <c r="A945" s="137"/>
      <c r="B945" s="139"/>
      <c r="C945" s="136"/>
      <c r="D945" s="131"/>
      <c r="E945" s="131"/>
      <c r="F945" s="58"/>
      <c r="G945" s="140"/>
      <c r="H945" s="140"/>
      <c r="I945" s="58"/>
      <c r="J945" s="58"/>
      <c r="K945" s="58"/>
      <c r="L945" s="58"/>
      <c r="M945" s="135"/>
      <c r="N945" s="135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35"/>
      <c r="Z945" s="58"/>
      <c r="AA945" s="58"/>
      <c r="AB945" s="58"/>
      <c r="AC945" s="58"/>
      <c r="AD945" s="58"/>
      <c r="AE945" s="138"/>
      <c r="AF945" s="136"/>
      <c r="AG945" s="136"/>
      <c r="AH945" s="136"/>
    </row>
    <row r="946" spans="1:34" s="132" customFormat="1" ht="12.75" customHeight="1" x14ac:dyDescent="0.25">
      <c r="A946" s="137"/>
      <c r="B946" s="139"/>
      <c r="C946" s="136"/>
      <c r="D946" s="131"/>
      <c r="E946" s="131"/>
      <c r="F946" s="58"/>
      <c r="G946" s="140"/>
      <c r="H946" s="140"/>
      <c r="I946" s="58"/>
      <c r="J946" s="58"/>
      <c r="K946" s="58"/>
      <c r="L946" s="58"/>
      <c r="M946" s="135"/>
      <c r="N946" s="135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35"/>
      <c r="Z946" s="58"/>
      <c r="AA946" s="58"/>
      <c r="AB946" s="58"/>
      <c r="AC946" s="58"/>
      <c r="AD946" s="58"/>
      <c r="AE946" s="138"/>
      <c r="AF946" s="136"/>
      <c r="AG946" s="136"/>
      <c r="AH946" s="136"/>
    </row>
    <row r="947" spans="1:34" s="132" customFormat="1" ht="12.75" customHeight="1" x14ac:dyDescent="0.25">
      <c r="A947" s="137"/>
      <c r="B947" s="139"/>
      <c r="C947" s="136"/>
      <c r="D947" s="131"/>
      <c r="E947" s="131"/>
      <c r="F947" s="58"/>
      <c r="G947" s="140"/>
      <c r="H947" s="140"/>
      <c r="I947" s="58"/>
      <c r="J947" s="58"/>
      <c r="K947" s="58"/>
      <c r="L947" s="58"/>
      <c r="M947" s="135"/>
      <c r="N947" s="135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35"/>
      <c r="Z947" s="58"/>
      <c r="AA947" s="58"/>
      <c r="AB947" s="58"/>
      <c r="AC947" s="58"/>
      <c r="AD947" s="58"/>
      <c r="AE947" s="138"/>
      <c r="AF947" s="136"/>
      <c r="AG947" s="136"/>
      <c r="AH947" s="136"/>
    </row>
    <row r="948" spans="1:34" s="132" customFormat="1" ht="12.75" customHeight="1" x14ac:dyDescent="0.25">
      <c r="A948" s="137"/>
      <c r="B948" s="139"/>
      <c r="C948" s="136"/>
      <c r="D948" s="131"/>
      <c r="E948" s="131"/>
      <c r="F948" s="58"/>
      <c r="G948" s="140"/>
      <c r="H948" s="140"/>
      <c r="I948" s="58"/>
      <c r="J948" s="58"/>
      <c r="K948" s="58"/>
      <c r="L948" s="58"/>
      <c r="M948" s="135"/>
      <c r="N948" s="135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35"/>
      <c r="Z948" s="58"/>
      <c r="AA948" s="58"/>
      <c r="AB948" s="58"/>
      <c r="AC948" s="58"/>
      <c r="AD948" s="58"/>
      <c r="AE948" s="138"/>
      <c r="AF948" s="136"/>
      <c r="AG948" s="136"/>
      <c r="AH948" s="136"/>
    </row>
    <row r="949" spans="1:34" s="132" customFormat="1" ht="12.75" customHeight="1" x14ac:dyDescent="0.25">
      <c r="A949" s="137"/>
      <c r="B949" s="139"/>
      <c r="C949" s="136"/>
      <c r="D949" s="131"/>
      <c r="E949" s="131"/>
      <c r="F949" s="58"/>
      <c r="G949" s="140"/>
      <c r="H949" s="140"/>
      <c r="I949" s="58"/>
      <c r="J949" s="58"/>
      <c r="K949" s="58"/>
      <c r="L949" s="58"/>
      <c r="M949" s="135"/>
      <c r="N949" s="135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35"/>
      <c r="Z949" s="58"/>
      <c r="AA949" s="58"/>
      <c r="AB949" s="58"/>
      <c r="AC949" s="58"/>
      <c r="AD949" s="58"/>
      <c r="AE949" s="138"/>
      <c r="AF949" s="136"/>
      <c r="AG949" s="136"/>
      <c r="AH949" s="136"/>
    </row>
    <row r="950" spans="1:34" s="132" customFormat="1" ht="12.75" customHeight="1" x14ac:dyDescent="0.25">
      <c r="A950" s="137"/>
      <c r="B950" s="139"/>
      <c r="C950" s="136"/>
      <c r="D950" s="131"/>
      <c r="E950" s="131"/>
      <c r="F950" s="58"/>
      <c r="G950" s="140"/>
      <c r="H950" s="140"/>
      <c r="I950" s="58"/>
      <c r="J950" s="58"/>
      <c r="K950" s="58"/>
      <c r="L950" s="58"/>
      <c r="M950" s="135"/>
      <c r="N950" s="135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35"/>
      <c r="Z950" s="58"/>
      <c r="AA950" s="58"/>
      <c r="AB950" s="58"/>
      <c r="AC950" s="58"/>
      <c r="AD950" s="58"/>
      <c r="AE950" s="138"/>
      <c r="AF950" s="136"/>
      <c r="AG950" s="136"/>
      <c r="AH950" s="136"/>
    </row>
    <row r="951" spans="1:34" s="132" customFormat="1" ht="12.75" customHeight="1" x14ac:dyDescent="0.25">
      <c r="A951" s="137"/>
      <c r="B951" s="139"/>
      <c r="C951" s="136"/>
      <c r="D951" s="131"/>
      <c r="E951" s="131"/>
      <c r="F951" s="58"/>
      <c r="G951" s="140"/>
      <c r="H951" s="140"/>
      <c r="I951" s="58"/>
      <c r="J951" s="58"/>
      <c r="K951" s="58"/>
      <c r="L951" s="58"/>
      <c r="M951" s="135"/>
      <c r="N951" s="135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35"/>
      <c r="Z951" s="58"/>
      <c r="AA951" s="58"/>
      <c r="AB951" s="58"/>
      <c r="AC951" s="58"/>
      <c r="AD951" s="58"/>
      <c r="AE951" s="138"/>
      <c r="AF951" s="136"/>
      <c r="AG951" s="136"/>
      <c r="AH951" s="136"/>
    </row>
    <row r="952" spans="1:34" s="132" customFormat="1" ht="12.75" customHeight="1" x14ac:dyDescent="0.25">
      <c r="A952" s="137"/>
      <c r="B952" s="139"/>
      <c r="C952" s="136"/>
      <c r="D952" s="131"/>
      <c r="E952" s="131"/>
      <c r="F952" s="58"/>
      <c r="G952" s="140"/>
      <c r="H952" s="140"/>
      <c r="I952" s="58"/>
      <c r="J952" s="58"/>
      <c r="K952" s="58"/>
      <c r="L952" s="58"/>
      <c r="M952" s="135"/>
      <c r="N952" s="135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35"/>
      <c r="Z952" s="58"/>
      <c r="AA952" s="58"/>
      <c r="AB952" s="58"/>
      <c r="AC952" s="58"/>
      <c r="AD952" s="58"/>
      <c r="AE952" s="138"/>
      <c r="AF952" s="136"/>
      <c r="AG952" s="136"/>
      <c r="AH952" s="136"/>
    </row>
    <row r="953" spans="1:34" s="132" customFormat="1" ht="12.75" customHeight="1" x14ac:dyDescent="0.25">
      <c r="A953" s="137"/>
      <c r="B953" s="139"/>
      <c r="C953" s="136"/>
      <c r="D953" s="131"/>
      <c r="E953" s="131"/>
      <c r="F953" s="58"/>
      <c r="G953" s="140"/>
      <c r="H953" s="140"/>
      <c r="I953" s="58"/>
      <c r="J953" s="58"/>
      <c r="K953" s="58"/>
      <c r="L953" s="58"/>
      <c r="M953" s="135"/>
      <c r="N953" s="135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35"/>
      <c r="Z953" s="58"/>
      <c r="AA953" s="58"/>
      <c r="AB953" s="58"/>
      <c r="AC953" s="58"/>
      <c r="AD953" s="58"/>
      <c r="AE953" s="138"/>
      <c r="AF953" s="136"/>
      <c r="AG953" s="136"/>
      <c r="AH953" s="136"/>
    </row>
    <row r="954" spans="1:34" s="132" customFormat="1" ht="12.75" customHeight="1" x14ac:dyDescent="0.25">
      <c r="A954" s="137"/>
      <c r="B954" s="139"/>
      <c r="C954" s="136"/>
      <c r="D954" s="131"/>
      <c r="E954" s="131"/>
      <c r="F954" s="58"/>
      <c r="G954" s="140"/>
      <c r="H954" s="140"/>
      <c r="I954" s="58"/>
      <c r="J954" s="58"/>
      <c r="K954" s="58"/>
      <c r="L954" s="58"/>
      <c r="M954" s="135"/>
      <c r="N954" s="135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35"/>
      <c r="Z954" s="58"/>
      <c r="AA954" s="58"/>
      <c r="AB954" s="58"/>
      <c r="AC954" s="58"/>
      <c r="AD954" s="58"/>
      <c r="AE954" s="138"/>
      <c r="AF954" s="136"/>
      <c r="AG954" s="136"/>
      <c r="AH954" s="136"/>
    </row>
    <row r="955" spans="1:34" s="132" customFormat="1" ht="12.75" customHeight="1" x14ac:dyDescent="0.25">
      <c r="A955" s="137"/>
      <c r="B955" s="139"/>
      <c r="C955" s="136"/>
      <c r="D955" s="131"/>
      <c r="E955" s="131"/>
      <c r="F955" s="58"/>
      <c r="G955" s="140"/>
      <c r="H955" s="140"/>
      <c r="I955" s="58"/>
      <c r="J955" s="58"/>
      <c r="K955" s="58"/>
      <c r="L955" s="58"/>
      <c r="M955" s="135"/>
      <c r="N955" s="135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35"/>
      <c r="Z955" s="58"/>
      <c r="AA955" s="58"/>
      <c r="AB955" s="58"/>
      <c r="AC955" s="58"/>
      <c r="AD955" s="58"/>
      <c r="AE955" s="138"/>
      <c r="AF955" s="136"/>
      <c r="AG955" s="136"/>
      <c r="AH955" s="136"/>
    </row>
    <row r="956" spans="1:34" s="132" customFormat="1" ht="12.75" customHeight="1" x14ac:dyDescent="0.25">
      <c r="A956" s="137"/>
      <c r="B956" s="139"/>
      <c r="C956" s="136"/>
      <c r="D956" s="131"/>
      <c r="E956" s="131"/>
      <c r="F956" s="58"/>
      <c r="G956" s="140"/>
      <c r="H956" s="140"/>
      <c r="I956" s="58"/>
      <c r="J956" s="58"/>
      <c r="K956" s="58"/>
      <c r="L956" s="58"/>
      <c r="M956" s="135"/>
      <c r="N956" s="135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35"/>
      <c r="Z956" s="58"/>
      <c r="AA956" s="58"/>
      <c r="AB956" s="58"/>
      <c r="AC956" s="58"/>
      <c r="AD956" s="58"/>
      <c r="AE956" s="138"/>
      <c r="AF956" s="136"/>
      <c r="AG956" s="136"/>
      <c r="AH956" s="136"/>
    </row>
    <row r="957" spans="1:34" s="132" customFormat="1" ht="12.75" customHeight="1" x14ac:dyDescent="0.25">
      <c r="A957" s="137"/>
      <c r="B957" s="139"/>
      <c r="C957" s="136"/>
      <c r="D957" s="131"/>
      <c r="E957" s="131"/>
      <c r="F957" s="58"/>
      <c r="G957" s="140"/>
      <c r="H957" s="140"/>
      <c r="I957" s="58"/>
      <c r="J957" s="58"/>
      <c r="K957" s="58"/>
      <c r="L957" s="58"/>
      <c r="M957" s="135"/>
      <c r="N957" s="135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35"/>
      <c r="Z957" s="58"/>
      <c r="AA957" s="58"/>
      <c r="AB957" s="58"/>
      <c r="AC957" s="58"/>
      <c r="AD957" s="58"/>
      <c r="AE957" s="138"/>
      <c r="AF957" s="136"/>
      <c r="AG957" s="136"/>
      <c r="AH957" s="136"/>
    </row>
    <row r="958" spans="1:34" s="132" customFormat="1" ht="12.75" customHeight="1" x14ac:dyDescent="0.25">
      <c r="A958" s="137"/>
      <c r="B958" s="139"/>
      <c r="C958" s="136"/>
      <c r="D958" s="131"/>
      <c r="E958" s="131"/>
      <c r="F958" s="58"/>
      <c r="G958" s="140"/>
      <c r="H958" s="140"/>
      <c r="I958" s="58"/>
      <c r="J958" s="58"/>
      <c r="K958" s="58"/>
      <c r="L958" s="58"/>
      <c r="M958" s="135"/>
      <c r="N958" s="135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35"/>
      <c r="Z958" s="58"/>
      <c r="AA958" s="58"/>
      <c r="AB958" s="58"/>
      <c r="AC958" s="58"/>
      <c r="AD958" s="58"/>
      <c r="AE958" s="138"/>
      <c r="AF958" s="136"/>
      <c r="AG958" s="136"/>
      <c r="AH958" s="136"/>
    </row>
    <row r="959" spans="1:34" s="132" customFormat="1" ht="12.75" customHeight="1" x14ac:dyDescent="0.25">
      <c r="A959" s="137"/>
      <c r="B959" s="139"/>
      <c r="C959" s="136"/>
      <c r="D959" s="131"/>
      <c r="E959" s="131"/>
      <c r="F959" s="58"/>
      <c r="G959" s="140"/>
      <c r="H959" s="140"/>
      <c r="I959" s="58"/>
      <c r="J959" s="58"/>
      <c r="K959" s="58"/>
      <c r="L959" s="58"/>
      <c r="M959" s="135"/>
      <c r="N959" s="135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35"/>
      <c r="Z959" s="58"/>
      <c r="AA959" s="58"/>
      <c r="AB959" s="58"/>
      <c r="AC959" s="58"/>
      <c r="AD959" s="58"/>
      <c r="AE959" s="138"/>
      <c r="AF959" s="136"/>
      <c r="AG959" s="136"/>
      <c r="AH959" s="136"/>
    </row>
    <row r="960" spans="1:34" s="132" customFormat="1" ht="12.75" customHeight="1" x14ac:dyDescent="0.25">
      <c r="A960" s="137"/>
      <c r="B960" s="139"/>
      <c r="C960" s="136"/>
      <c r="D960" s="131"/>
      <c r="E960" s="131"/>
      <c r="F960" s="58"/>
      <c r="G960" s="140"/>
      <c r="H960" s="140"/>
      <c r="I960" s="58"/>
      <c r="J960" s="58"/>
      <c r="K960" s="58"/>
      <c r="L960" s="58"/>
      <c r="M960" s="135"/>
      <c r="N960" s="135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35"/>
      <c r="Z960" s="58"/>
      <c r="AA960" s="58"/>
      <c r="AB960" s="58"/>
      <c r="AC960" s="58"/>
      <c r="AD960" s="58"/>
      <c r="AE960" s="138"/>
      <c r="AF960" s="136"/>
      <c r="AG960" s="136"/>
      <c r="AH960" s="136"/>
    </row>
    <row r="961" spans="1:34" s="132" customFormat="1" ht="12.75" customHeight="1" x14ac:dyDescent="0.25">
      <c r="A961" s="137"/>
      <c r="B961" s="139"/>
      <c r="C961" s="136"/>
      <c r="D961" s="131"/>
      <c r="E961" s="131"/>
      <c r="F961" s="58"/>
      <c r="G961" s="140"/>
      <c r="H961" s="140"/>
      <c r="I961" s="58"/>
      <c r="J961" s="58"/>
      <c r="K961" s="58"/>
      <c r="L961" s="58"/>
      <c r="M961" s="135"/>
      <c r="N961" s="135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35"/>
      <c r="Z961" s="58"/>
      <c r="AA961" s="58"/>
      <c r="AB961" s="58"/>
      <c r="AC961" s="58"/>
      <c r="AD961" s="58"/>
      <c r="AE961" s="138"/>
      <c r="AF961" s="136"/>
      <c r="AG961" s="136"/>
      <c r="AH961" s="136"/>
    </row>
    <row r="962" spans="1:34" s="132" customFormat="1" ht="12.75" customHeight="1" x14ac:dyDescent="0.25">
      <c r="A962" s="137"/>
      <c r="B962" s="139"/>
      <c r="C962" s="136"/>
      <c r="D962" s="131"/>
      <c r="E962" s="131"/>
      <c r="F962" s="58"/>
      <c r="G962" s="140"/>
      <c r="H962" s="140"/>
      <c r="I962" s="58"/>
      <c r="J962" s="58"/>
      <c r="K962" s="58"/>
      <c r="L962" s="58"/>
      <c r="M962" s="135"/>
      <c r="N962" s="135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35"/>
      <c r="Z962" s="58"/>
      <c r="AA962" s="58"/>
      <c r="AB962" s="58"/>
      <c r="AC962" s="58"/>
      <c r="AD962" s="58"/>
      <c r="AE962" s="138"/>
      <c r="AF962" s="136"/>
      <c r="AG962" s="136"/>
      <c r="AH962" s="136"/>
    </row>
    <row r="963" spans="1:34" s="132" customFormat="1" ht="12.75" customHeight="1" x14ac:dyDescent="0.25">
      <c r="A963" s="137"/>
      <c r="B963" s="139"/>
      <c r="C963" s="136"/>
      <c r="D963" s="131"/>
      <c r="E963" s="131"/>
      <c r="F963" s="58"/>
      <c r="G963" s="140"/>
      <c r="H963" s="140"/>
      <c r="I963" s="58"/>
      <c r="J963" s="58"/>
      <c r="K963" s="58"/>
      <c r="L963" s="58"/>
      <c r="M963" s="135"/>
      <c r="N963" s="135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35"/>
      <c r="Z963" s="58"/>
      <c r="AA963" s="58"/>
      <c r="AB963" s="58"/>
      <c r="AC963" s="58"/>
      <c r="AD963" s="58"/>
      <c r="AE963" s="138"/>
      <c r="AF963" s="136"/>
      <c r="AG963" s="136"/>
      <c r="AH963" s="136"/>
    </row>
    <row r="964" spans="1:34" s="132" customFormat="1" ht="12.75" customHeight="1" x14ac:dyDescent="0.25">
      <c r="A964" s="137"/>
      <c r="B964" s="139"/>
      <c r="C964" s="136"/>
      <c r="D964" s="131"/>
      <c r="E964" s="131"/>
      <c r="F964" s="58"/>
      <c r="G964" s="140"/>
      <c r="H964" s="140"/>
      <c r="I964" s="58"/>
      <c r="J964" s="58"/>
      <c r="K964" s="58"/>
      <c r="L964" s="58"/>
      <c r="M964" s="135"/>
      <c r="N964" s="135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35"/>
      <c r="Z964" s="58"/>
      <c r="AA964" s="58"/>
      <c r="AB964" s="58"/>
      <c r="AC964" s="58"/>
      <c r="AD964" s="58"/>
      <c r="AE964" s="138"/>
      <c r="AF964" s="136"/>
      <c r="AG964" s="136"/>
      <c r="AH964" s="136"/>
    </row>
    <row r="965" spans="1:34" s="132" customFormat="1" ht="12.75" customHeight="1" x14ac:dyDescent="0.25">
      <c r="A965" s="137"/>
      <c r="B965" s="139"/>
      <c r="C965" s="136"/>
      <c r="D965" s="131"/>
      <c r="E965" s="131"/>
      <c r="F965" s="58"/>
      <c r="G965" s="140"/>
      <c r="H965" s="140"/>
      <c r="I965" s="58"/>
      <c r="J965" s="58"/>
      <c r="K965" s="58"/>
      <c r="L965" s="58"/>
      <c r="M965" s="135"/>
      <c r="N965" s="135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35"/>
      <c r="Z965" s="58"/>
      <c r="AA965" s="58"/>
      <c r="AB965" s="58"/>
      <c r="AC965" s="58"/>
      <c r="AD965" s="58"/>
      <c r="AE965" s="138"/>
      <c r="AF965" s="136"/>
      <c r="AG965" s="136"/>
      <c r="AH965" s="136"/>
    </row>
    <row r="966" spans="1:34" s="132" customFormat="1" ht="12.75" customHeight="1" x14ac:dyDescent="0.25">
      <c r="A966" s="137"/>
      <c r="B966" s="139"/>
      <c r="C966" s="136"/>
      <c r="D966" s="131"/>
      <c r="E966" s="131"/>
      <c r="F966" s="58"/>
      <c r="G966" s="140"/>
      <c r="H966" s="140"/>
      <c r="I966" s="58"/>
      <c r="J966" s="58"/>
      <c r="K966" s="58"/>
      <c r="L966" s="58"/>
      <c r="M966" s="135"/>
      <c r="N966" s="135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35"/>
      <c r="Z966" s="58"/>
      <c r="AA966" s="58"/>
      <c r="AB966" s="58"/>
      <c r="AC966" s="58"/>
      <c r="AD966" s="58"/>
      <c r="AE966" s="138"/>
      <c r="AF966" s="136"/>
      <c r="AG966" s="136"/>
      <c r="AH966" s="136"/>
    </row>
    <row r="967" spans="1:34" s="132" customFormat="1" ht="12.75" customHeight="1" x14ac:dyDescent="0.25">
      <c r="A967" s="137"/>
      <c r="B967" s="139"/>
      <c r="C967" s="136"/>
      <c r="D967" s="131"/>
      <c r="E967" s="131"/>
      <c r="F967" s="58"/>
      <c r="G967" s="140"/>
      <c r="H967" s="140"/>
      <c r="I967" s="58"/>
      <c r="J967" s="58"/>
      <c r="K967" s="58"/>
      <c r="L967" s="58"/>
      <c r="M967" s="135"/>
      <c r="N967" s="135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35"/>
      <c r="Z967" s="58"/>
      <c r="AA967" s="58"/>
      <c r="AB967" s="58"/>
      <c r="AC967" s="58"/>
      <c r="AD967" s="58"/>
      <c r="AE967" s="138"/>
      <c r="AF967" s="136"/>
      <c r="AG967" s="136"/>
      <c r="AH967" s="136"/>
    </row>
    <row r="968" spans="1:34" s="132" customFormat="1" ht="12.75" customHeight="1" x14ac:dyDescent="0.25">
      <c r="A968" s="137"/>
      <c r="B968" s="139"/>
      <c r="C968" s="136"/>
      <c r="D968" s="131"/>
      <c r="E968" s="131"/>
      <c r="F968" s="58"/>
      <c r="G968" s="140"/>
      <c r="H968" s="140"/>
      <c r="I968" s="58"/>
      <c r="J968" s="58"/>
      <c r="K968" s="58"/>
      <c r="L968" s="58"/>
      <c r="M968" s="135"/>
      <c r="N968" s="135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35"/>
      <c r="Z968" s="58"/>
      <c r="AA968" s="58"/>
      <c r="AB968" s="58"/>
      <c r="AC968" s="58"/>
      <c r="AD968" s="58"/>
      <c r="AE968" s="138"/>
      <c r="AF968" s="136"/>
      <c r="AG968" s="136"/>
      <c r="AH968" s="136"/>
    </row>
    <row r="969" spans="1:34" s="132" customFormat="1" ht="12.75" customHeight="1" x14ac:dyDescent="0.25">
      <c r="A969" s="137"/>
      <c r="B969" s="139"/>
      <c r="C969" s="136"/>
      <c r="D969" s="131"/>
      <c r="E969" s="131"/>
      <c r="F969" s="58"/>
      <c r="G969" s="140"/>
      <c r="H969" s="140"/>
      <c r="I969" s="58"/>
      <c r="J969" s="58"/>
      <c r="K969" s="58"/>
      <c r="L969" s="58"/>
      <c r="M969" s="135"/>
      <c r="N969" s="135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35"/>
      <c r="Z969" s="58"/>
      <c r="AA969" s="58"/>
      <c r="AB969" s="58"/>
      <c r="AC969" s="58"/>
      <c r="AD969" s="58"/>
      <c r="AE969" s="138"/>
      <c r="AF969" s="136"/>
      <c r="AG969" s="136"/>
      <c r="AH969" s="136"/>
    </row>
    <row r="970" spans="1:34" s="132" customFormat="1" ht="12.75" customHeight="1" x14ac:dyDescent="0.25">
      <c r="A970" s="137"/>
      <c r="B970" s="139"/>
      <c r="C970" s="136"/>
      <c r="D970" s="131"/>
      <c r="E970" s="131"/>
      <c r="F970" s="58"/>
      <c r="G970" s="140"/>
      <c r="H970" s="140"/>
      <c r="I970" s="58"/>
      <c r="J970" s="58"/>
      <c r="K970" s="58"/>
      <c r="L970" s="58"/>
      <c r="M970" s="135"/>
      <c r="N970" s="135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35"/>
      <c r="Z970" s="58"/>
      <c r="AA970" s="58"/>
      <c r="AB970" s="58"/>
      <c r="AC970" s="58"/>
      <c r="AD970" s="58"/>
      <c r="AE970" s="138"/>
      <c r="AF970" s="136"/>
      <c r="AG970" s="136"/>
      <c r="AH970" s="136"/>
    </row>
    <row r="971" spans="1:34" s="132" customFormat="1" ht="12.75" customHeight="1" x14ac:dyDescent="0.25">
      <c r="A971" s="137"/>
      <c r="B971" s="139"/>
      <c r="C971" s="136"/>
      <c r="D971" s="131"/>
      <c r="E971" s="131"/>
      <c r="F971" s="58"/>
      <c r="G971" s="140"/>
      <c r="H971" s="140"/>
      <c r="I971" s="58"/>
      <c r="J971" s="58"/>
      <c r="K971" s="58"/>
      <c r="L971" s="58"/>
      <c r="M971" s="135"/>
      <c r="N971" s="135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35"/>
      <c r="Z971" s="58"/>
      <c r="AA971" s="58"/>
      <c r="AB971" s="58"/>
      <c r="AC971" s="58"/>
      <c r="AD971" s="58"/>
      <c r="AE971" s="138"/>
      <c r="AF971" s="136"/>
      <c r="AG971" s="136"/>
      <c r="AH971" s="136"/>
    </row>
    <row r="972" spans="1:34" s="132" customFormat="1" ht="12.75" customHeight="1" x14ac:dyDescent="0.25">
      <c r="A972" s="137"/>
      <c r="B972" s="139"/>
      <c r="C972" s="136"/>
      <c r="D972" s="131"/>
      <c r="E972" s="131"/>
      <c r="F972" s="58"/>
      <c r="G972" s="140"/>
      <c r="H972" s="140"/>
      <c r="I972" s="58"/>
      <c r="J972" s="58"/>
      <c r="K972" s="58"/>
      <c r="L972" s="58"/>
      <c r="M972" s="135"/>
      <c r="N972" s="135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35"/>
      <c r="Z972" s="58"/>
      <c r="AA972" s="58"/>
      <c r="AB972" s="58"/>
      <c r="AC972" s="58"/>
      <c r="AD972" s="58"/>
      <c r="AE972" s="138"/>
      <c r="AF972" s="136"/>
      <c r="AG972" s="136"/>
      <c r="AH972" s="136"/>
    </row>
    <row r="973" spans="1:34" s="132" customFormat="1" ht="12.75" customHeight="1" x14ac:dyDescent="0.25">
      <c r="A973" s="137"/>
      <c r="B973" s="139"/>
      <c r="C973" s="136"/>
      <c r="D973" s="131"/>
      <c r="E973" s="131"/>
      <c r="F973" s="58"/>
      <c r="G973" s="140"/>
      <c r="H973" s="140"/>
      <c r="I973" s="58"/>
      <c r="J973" s="58"/>
      <c r="K973" s="58"/>
      <c r="L973" s="58"/>
      <c r="M973" s="135"/>
      <c r="N973" s="135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35"/>
      <c r="Z973" s="58"/>
      <c r="AA973" s="58"/>
      <c r="AB973" s="58"/>
      <c r="AC973" s="58"/>
      <c r="AD973" s="58"/>
      <c r="AE973" s="138"/>
      <c r="AF973" s="136"/>
      <c r="AG973" s="136"/>
      <c r="AH973" s="136"/>
    </row>
    <row r="974" spans="1:34" s="132" customFormat="1" ht="12.75" customHeight="1" x14ac:dyDescent="0.25">
      <c r="A974" s="137"/>
      <c r="B974" s="139"/>
      <c r="C974" s="136"/>
      <c r="D974" s="131"/>
      <c r="E974" s="131"/>
      <c r="F974" s="58"/>
      <c r="G974" s="140"/>
      <c r="H974" s="140"/>
      <c r="I974" s="58"/>
      <c r="J974" s="58"/>
      <c r="K974" s="58"/>
      <c r="L974" s="58"/>
      <c r="M974" s="135"/>
      <c r="N974" s="135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35"/>
      <c r="Z974" s="58"/>
      <c r="AA974" s="58"/>
      <c r="AB974" s="58"/>
      <c r="AC974" s="58"/>
      <c r="AD974" s="58"/>
      <c r="AE974" s="138"/>
      <c r="AF974" s="136"/>
      <c r="AG974" s="136"/>
      <c r="AH974" s="136"/>
    </row>
    <row r="975" spans="1:34" s="132" customFormat="1" ht="12.75" customHeight="1" x14ac:dyDescent="0.25">
      <c r="A975" s="137"/>
      <c r="B975" s="139"/>
      <c r="C975" s="136"/>
      <c r="D975" s="131"/>
      <c r="E975" s="131"/>
      <c r="F975" s="58"/>
      <c r="G975" s="140"/>
      <c r="H975" s="140"/>
      <c r="I975" s="58"/>
      <c r="J975" s="58"/>
      <c r="K975" s="58"/>
      <c r="L975" s="58"/>
      <c r="M975" s="135"/>
      <c r="N975" s="135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35"/>
      <c r="Z975" s="58"/>
      <c r="AA975" s="58"/>
      <c r="AB975" s="58"/>
      <c r="AC975" s="58"/>
      <c r="AD975" s="58"/>
      <c r="AE975" s="138"/>
      <c r="AF975" s="136"/>
      <c r="AG975" s="136"/>
      <c r="AH975" s="136"/>
    </row>
    <row r="976" spans="1:34" s="132" customFormat="1" ht="12.75" customHeight="1" x14ac:dyDescent="0.25">
      <c r="A976" s="137"/>
      <c r="B976" s="139"/>
      <c r="C976" s="136"/>
      <c r="D976" s="131"/>
      <c r="E976" s="131"/>
      <c r="F976" s="58"/>
      <c r="G976" s="140"/>
      <c r="H976" s="140"/>
      <c r="I976" s="58"/>
      <c r="J976" s="58"/>
      <c r="K976" s="58"/>
      <c r="L976" s="58"/>
      <c r="M976" s="135"/>
      <c r="N976" s="135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35"/>
      <c r="Z976" s="58"/>
      <c r="AA976" s="58"/>
      <c r="AB976" s="58"/>
      <c r="AC976" s="58"/>
      <c r="AD976" s="58"/>
      <c r="AE976" s="138"/>
      <c r="AF976" s="136"/>
      <c r="AG976" s="136"/>
      <c r="AH976" s="136"/>
    </row>
    <row r="977" spans="1:34" s="132" customFormat="1" ht="12.75" customHeight="1" x14ac:dyDescent="0.25">
      <c r="A977" s="137"/>
      <c r="B977" s="139"/>
      <c r="C977" s="136"/>
      <c r="D977" s="131"/>
      <c r="E977" s="131"/>
      <c r="F977" s="58"/>
      <c r="G977" s="140"/>
      <c r="H977" s="140"/>
      <c r="I977" s="58"/>
      <c r="J977" s="58"/>
      <c r="K977" s="58"/>
      <c r="L977" s="58"/>
      <c r="M977" s="135"/>
      <c r="N977" s="135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35"/>
      <c r="Z977" s="58"/>
      <c r="AA977" s="58"/>
      <c r="AB977" s="58"/>
      <c r="AC977" s="58"/>
      <c r="AD977" s="58"/>
      <c r="AE977" s="138"/>
      <c r="AF977" s="136"/>
      <c r="AG977" s="136"/>
      <c r="AH977" s="136"/>
    </row>
    <row r="978" spans="1:34" s="132" customFormat="1" ht="12.75" customHeight="1" x14ac:dyDescent="0.25">
      <c r="A978" s="137"/>
      <c r="B978" s="139"/>
      <c r="C978" s="136"/>
      <c r="D978" s="131"/>
      <c r="E978" s="131"/>
      <c r="F978" s="58"/>
      <c r="G978" s="140"/>
      <c r="H978" s="140"/>
      <c r="I978" s="58"/>
      <c r="J978" s="58"/>
      <c r="K978" s="58"/>
      <c r="L978" s="58"/>
      <c r="M978" s="135"/>
      <c r="N978" s="135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35"/>
      <c r="Z978" s="58"/>
      <c r="AA978" s="58"/>
      <c r="AB978" s="58"/>
      <c r="AC978" s="58"/>
      <c r="AD978" s="58"/>
      <c r="AE978" s="138"/>
      <c r="AF978" s="136"/>
      <c r="AG978" s="136"/>
      <c r="AH978" s="136"/>
    </row>
    <row r="979" spans="1:34" s="132" customFormat="1" ht="12.75" customHeight="1" x14ac:dyDescent="0.25">
      <c r="A979" s="137"/>
      <c r="B979" s="139"/>
      <c r="C979" s="136"/>
      <c r="D979" s="131"/>
      <c r="E979" s="131"/>
      <c r="F979" s="58"/>
      <c r="G979" s="140"/>
      <c r="H979" s="140"/>
      <c r="I979" s="58"/>
      <c r="J979" s="58"/>
      <c r="K979" s="58"/>
      <c r="L979" s="58"/>
      <c r="M979" s="135"/>
      <c r="N979" s="135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35"/>
      <c r="Z979" s="58"/>
      <c r="AA979" s="58"/>
      <c r="AB979" s="58"/>
      <c r="AC979" s="58"/>
      <c r="AD979" s="58"/>
      <c r="AE979" s="138"/>
      <c r="AF979" s="136"/>
      <c r="AG979" s="136"/>
      <c r="AH979" s="136"/>
    </row>
    <row r="980" spans="1:34" s="132" customFormat="1" ht="12.75" customHeight="1" x14ac:dyDescent="0.25">
      <c r="A980" s="137"/>
      <c r="B980" s="139"/>
      <c r="C980" s="136"/>
      <c r="D980" s="131"/>
      <c r="E980" s="131"/>
      <c r="F980" s="58"/>
      <c r="G980" s="140"/>
      <c r="H980" s="140"/>
      <c r="I980" s="58"/>
      <c r="J980" s="58"/>
      <c r="K980" s="58"/>
      <c r="L980" s="58"/>
      <c r="M980" s="135"/>
      <c r="N980" s="135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35"/>
      <c r="Z980" s="58"/>
      <c r="AA980" s="58"/>
      <c r="AB980" s="58"/>
      <c r="AC980" s="58"/>
      <c r="AD980" s="58"/>
      <c r="AE980" s="138"/>
      <c r="AF980" s="136"/>
      <c r="AG980" s="136"/>
      <c r="AH980" s="136"/>
    </row>
    <row r="981" spans="1:34" s="132" customFormat="1" ht="12.75" customHeight="1" x14ac:dyDescent="0.25">
      <c r="A981" s="137"/>
      <c r="B981" s="139"/>
      <c r="C981" s="136"/>
      <c r="D981" s="131"/>
      <c r="E981" s="131"/>
      <c r="F981" s="58"/>
      <c r="G981" s="140"/>
      <c r="H981" s="140"/>
      <c r="I981" s="58"/>
      <c r="J981" s="58"/>
      <c r="K981" s="58"/>
      <c r="L981" s="58"/>
      <c r="M981" s="135"/>
      <c r="N981" s="135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35"/>
      <c r="Z981" s="58"/>
      <c r="AA981" s="58"/>
      <c r="AB981" s="58"/>
      <c r="AC981" s="58"/>
      <c r="AD981" s="58"/>
      <c r="AE981" s="138"/>
      <c r="AF981" s="136"/>
      <c r="AG981" s="136"/>
      <c r="AH981" s="136"/>
    </row>
    <row r="982" spans="1:34" s="132" customFormat="1" ht="12.75" customHeight="1" x14ac:dyDescent="0.25">
      <c r="A982" s="137"/>
      <c r="B982" s="139"/>
      <c r="C982" s="136"/>
      <c r="D982" s="131"/>
      <c r="E982" s="131"/>
      <c r="F982" s="58"/>
      <c r="G982" s="140"/>
      <c r="H982" s="140"/>
      <c r="I982" s="58"/>
      <c r="J982" s="58"/>
      <c r="K982" s="58"/>
      <c r="L982" s="58"/>
      <c r="M982" s="135"/>
      <c r="N982" s="135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35"/>
      <c r="Z982" s="58"/>
      <c r="AA982" s="58"/>
      <c r="AB982" s="58"/>
      <c r="AC982" s="58"/>
      <c r="AD982" s="58"/>
      <c r="AE982" s="138"/>
      <c r="AF982" s="136"/>
      <c r="AG982" s="136"/>
      <c r="AH982" s="136"/>
    </row>
    <row r="983" spans="1:34" s="132" customFormat="1" ht="12.75" customHeight="1" x14ac:dyDescent="0.25">
      <c r="A983" s="137"/>
      <c r="B983" s="139"/>
      <c r="C983" s="136"/>
      <c r="D983" s="131"/>
      <c r="E983" s="131"/>
      <c r="F983" s="58"/>
      <c r="G983" s="140"/>
      <c r="H983" s="140"/>
      <c r="I983" s="58"/>
      <c r="J983" s="58"/>
      <c r="K983" s="58"/>
      <c r="L983" s="58"/>
      <c r="M983" s="135"/>
      <c r="N983" s="135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35"/>
      <c r="Z983" s="58"/>
      <c r="AA983" s="58"/>
      <c r="AB983" s="58"/>
      <c r="AC983" s="58"/>
      <c r="AD983" s="58"/>
      <c r="AE983" s="138"/>
      <c r="AF983" s="136"/>
      <c r="AG983" s="136"/>
      <c r="AH983" s="136"/>
    </row>
    <row r="984" spans="1:34" s="132" customFormat="1" ht="12.75" customHeight="1" x14ac:dyDescent="0.25">
      <c r="A984" s="137"/>
      <c r="B984" s="139"/>
      <c r="C984" s="136"/>
      <c r="D984" s="131"/>
      <c r="E984" s="131"/>
      <c r="F984" s="58"/>
      <c r="G984" s="140"/>
      <c r="H984" s="140"/>
      <c r="I984" s="58"/>
      <c r="J984" s="58"/>
      <c r="K984" s="58"/>
      <c r="L984" s="58"/>
      <c r="M984" s="135"/>
      <c r="N984" s="135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35"/>
      <c r="Z984" s="58"/>
      <c r="AA984" s="58"/>
      <c r="AB984" s="58"/>
      <c r="AC984" s="58"/>
      <c r="AD984" s="58"/>
      <c r="AE984" s="138"/>
      <c r="AF984" s="136"/>
      <c r="AG984" s="136"/>
      <c r="AH984" s="136"/>
    </row>
    <row r="985" spans="1:34" s="132" customFormat="1" ht="12.75" customHeight="1" x14ac:dyDescent="0.25">
      <c r="A985" s="137"/>
      <c r="B985" s="139"/>
      <c r="C985" s="136"/>
      <c r="D985" s="131"/>
      <c r="E985" s="131"/>
      <c r="F985" s="58"/>
      <c r="G985" s="140"/>
      <c r="H985" s="140"/>
      <c r="I985" s="58"/>
      <c r="J985" s="58"/>
      <c r="K985" s="58"/>
      <c r="L985" s="58"/>
      <c r="M985" s="135"/>
      <c r="N985" s="135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35"/>
      <c r="Z985" s="58"/>
      <c r="AA985" s="58"/>
      <c r="AB985" s="58"/>
      <c r="AC985" s="58"/>
      <c r="AD985" s="58"/>
      <c r="AE985" s="138"/>
      <c r="AF985" s="136"/>
      <c r="AG985" s="136"/>
      <c r="AH985" s="136"/>
    </row>
    <row r="986" spans="1:34" s="132" customFormat="1" ht="12.75" customHeight="1" x14ac:dyDescent="0.25">
      <c r="A986" s="137"/>
      <c r="B986" s="139"/>
      <c r="C986" s="136"/>
      <c r="D986" s="131"/>
      <c r="E986" s="131"/>
      <c r="F986" s="58"/>
      <c r="G986" s="140"/>
      <c r="H986" s="140"/>
      <c r="I986" s="58"/>
      <c r="J986" s="58"/>
      <c r="K986" s="58"/>
      <c r="L986" s="58"/>
      <c r="M986" s="135"/>
      <c r="N986" s="135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35"/>
      <c r="Z986" s="58"/>
      <c r="AA986" s="58"/>
      <c r="AB986" s="58"/>
      <c r="AC986" s="58"/>
      <c r="AD986" s="58"/>
      <c r="AE986" s="138"/>
      <c r="AF986" s="136"/>
      <c r="AG986" s="136"/>
      <c r="AH986" s="136"/>
    </row>
    <row r="987" spans="1:34" s="132" customFormat="1" ht="12.75" customHeight="1" x14ac:dyDescent="0.25">
      <c r="A987" s="137"/>
      <c r="B987" s="139"/>
      <c r="C987" s="136"/>
      <c r="D987" s="131"/>
      <c r="E987" s="131"/>
      <c r="F987" s="58"/>
      <c r="G987" s="140"/>
      <c r="H987" s="140"/>
      <c r="I987" s="58"/>
      <c r="J987" s="58"/>
      <c r="K987" s="58"/>
      <c r="L987" s="58"/>
      <c r="M987" s="135"/>
      <c r="N987" s="135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35"/>
      <c r="Z987" s="58"/>
      <c r="AA987" s="58"/>
      <c r="AB987" s="58"/>
      <c r="AC987" s="58"/>
      <c r="AD987" s="58"/>
      <c r="AE987" s="138"/>
      <c r="AF987" s="136"/>
      <c r="AG987" s="136"/>
      <c r="AH987" s="136"/>
    </row>
    <row r="988" spans="1:34" s="132" customFormat="1" ht="12.75" customHeight="1" x14ac:dyDescent="0.25">
      <c r="A988" s="137"/>
      <c r="B988" s="139"/>
      <c r="C988" s="136"/>
      <c r="D988" s="131"/>
      <c r="E988" s="131"/>
      <c r="F988" s="58"/>
      <c r="G988" s="140"/>
      <c r="H988" s="140"/>
      <c r="I988" s="58"/>
      <c r="J988" s="58"/>
      <c r="K988" s="58"/>
      <c r="L988" s="58"/>
      <c r="M988" s="135"/>
      <c r="N988" s="135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35"/>
      <c r="Z988" s="58"/>
      <c r="AA988" s="58"/>
      <c r="AB988" s="58"/>
      <c r="AC988" s="58"/>
      <c r="AD988" s="58"/>
      <c r="AE988" s="138"/>
      <c r="AF988" s="136"/>
      <c r="AG988" s="136"/>
      <c r="AH988" s="136"/>
    </row>
    <row r="989" spans="1:34" s="132" customFormat="1" ht="12.75" customHeight="1" x14ac:dyDescent="0.25">
      <c r="A989" s="137"/>
      <c r="B989" s="139"/>
      <c r="C989" s="136"/>
      <c r="D989" s="131"/>
      <c r="E989" s="131"/>
      <c r="F989" s="58"/>
      <c r="G989" s="140"/>
      <c r="H989" s="140"/>
      <c r="I989" s="58"/>
      <c r="J989" s="58"/>
      <c r="K989" s="58"/>
      <c r="L989" s="58"/>
      <c r="M989" s="135"/>
      <c r="N989" s="135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35"/>
      <c r="Z989" s="58"/>
      <c r="AA989" s="58"/>
      <c r="AB989" s="58"/>
      <c r="AC989" s="58"/>
      <c r="AD989" s="58"/>
      <c r="AE989" s="138"/>
      <c r="AF989" s="136"/>
      <c r="AG989" s="136"/>
      <c r="AH989" s="136"/>
    </row>
    <row r="990" spans="1:34" s="132" customFormat="1" ht="12.75" customHeight="1" x14ac:dyDescent="0.25">
      <c r="A990" s="137"/>
      <c r="B990" s="139"/>
      <c r="C990" s="136"/>
      <c r="D990" s="131"/>
      <c r="E990" s="131"/>
      <c r="F990" s="58"/>
      <c r="G990" s="140"/>
      <c r="H990" s="140"/>
      <c r="I990" s="58"/>
      <c r="J990" s="58"/>
      <c r="K990" s="58"/>
      <c r="L990" s="58"/>
      <c r="M990" s="135"/>
      <c r="N990" s="135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35"/>
      <c r="Z990" s="58"/>
      <c r="AA990" s="58"/>
      <c r="AB990" s="58"/>
      <c r="AC990" s="58"/>
      <c r="AD990" s="58"/>
      <c r="AE990" s="138"/>
      <c r="AF990" s="136"/>
      <c r="AG990" s="136"/>
      <c r="AH990" s="136"/>
    </row>
    <row r="991" spans="1:34" s="132" customFormat="1" ht="12.75" customHeight="1" x14ac:dyDescent="0.25">
      <c r="A991" s="137"/>
      <c r="B991" s="139"/>
      <c r="C991" s="136"/>
      <c r="D991" s="131"/>
      <c r="E991" s="131"/>
      <c r="F991" s="58"/>
      <c r="G991" s="140"/>
      <c r="H991" s="140"/>
      <c r="I991" s="58"/>
      <c r="J991" s="58"/>
      <c r="K991" s="58"/>
      <c r="L991" s="58"/>
      <c r="M991" s="135"/>
      <c r="N991" s="135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35"/>
      <c r="Z991" s="58"/>
      <c r="AA991" s="58"/>
      <c r="AB991" s="58"/>
      <c r="AC991" s="58"/>
      <c r="AD991" s="58"/>
      <c r="AE991" s="138"/>
      <c r="AF991" s="136"/>
      <c r="AG991" s="136"/>
      <c r="AH991" s="136"/>
    </row>
    <row r="992" spans="1:34" s="132" customFormat="1" ht="12.75" customHeight="1" x14ac:dyDescent="0.25">
      <c r="A992" s="137"/>
      <c r="B992" s="139"/>
      <c r="C992" s="136"/>
      <c r="D992" s="131"/>
      <c r="E992" s="131"/>
      <c r="F992" s="58"/>
      <c r="G992" s="140"/>
      <c r="H992" s="140"/>
      <c r="I992" s="58"/>
      <c r="J992" s="58"/>
      <c r="K992" s="58"/>
      <c r="L992" s="58"/>
      <c r="M992" s="135"/>
      <c r="N992" s="135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35"/>
      <c r="Z992" s="58"/>
      <c r="AA992" s="58"/>
      <c r="AB992" s="58"/>
      <c r="AC992" s="58"/>
      <c r="AD992" s="58"/>
      <c r="AE992" s="138"/>
      <c r="AF992" s="136"/>
      <c r="AG992" s="136"/>
      <c r="AH992" s="136"/>
    </row>
    <row r="993" spans="1:34" s="132" customFormat="1" ht="12.75" customHeight="1" x14ac:dyDescent="0.25">
      <c r="A993" s="137"/>
      <c r="B993" s="139"/>
      <c r="C993" s="136"/>
      <c r="D993" s="131"/>
      <c r="E993" s="131"/>
      <c r="F993" s="58"/>
      <c r="G993" s="140"/>
      <c r="H993" s="140"/>
      <c r="I993" s="58"/>
      <c r="J993" s="58"/>
      <c r="K993" s="58"/>
      <c r="L993" s="58"/>
      <c r="M993" s="135"/>
      <c r="N993" s="135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35"/>
      <c r="Z993" s="58"/>
      <c r="AA993" s="58"/>
      <c r="AB993" s="58"/>
      <c r="AC993" s="58"/>
      <c r="AD993" s="58"/>
      <c r="AE993" s="138"/>
      <c r="AF993" s="136"/>
      <c r="AG993" s="136"/>
      <c r="AH993" s="136"/>
    </row>
    <row r="994" spans="1:34" s="132" customFormat="1" ht="12.75" customHeight="1" x14ac:dyDescent="0.25">
      <c r="A994" s="137"/>
      <c r="B994" s="139"/>
      <c r="C994" s="136"/>
      <c r="D994" s="131"/>
      <c r="E994" s="131"/>
      <c r="F994" s="58"/>
      <c r="G994" s="140"/>
      <c r="H994" s="140"/>
      <c r="I994" s="58"/>
      <c r="J994" s="58"/>
      <c r="K994" s="58"/>
      <c r="L994" s="58"/>
      <c r="M994" s="135"/>
      <c r="N994" s="135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35"/>
      <c r="Z994" s="58"/>
      <c r="AA994" s="58"/>
      <c r="AB994" s="58"/>
      <c r="AC994" s="58"/>
      <c r="AD994" s="58"/>
      <c r="AE994" s="138"/>
      <c r="AF994" s="136"/>
      <c r="AG994" s="136"/>
      <c r="AH994" s="136"/>
    </row>
    <row r="995" spans="1:34" s="132" customFormat="1" ht="12.75" customHeight="1" x14ac:dyDescent="0.25">
      <c r="A995" s="137"/>
      <c r="B995" s="139"/>
      <c r="C995" s="136"/>
      <c r="D995" s="131"/>
      <c r="E995" s="131"/>
      <c r="F995" s="58"/>
      <c r="G995" s="140"/>
      <c r="H995" s="140"/>
      <c r="I995" s="58"/>
      <c r="J995" s="58"/>
      <c r="K995" s="58"/>
      <c r="L995" s="58"/>
      <c r="M995" s="135"/>
      <c r="N995" s="135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35"/>
      <c r="Z995" s="58"/>
      <c r="AA995" s="58"/>
      <c r="AB995" s="58"/>
      <c r="AC995" s="58"/>
      <c r="AD995" s="58"/>
      <c r="AE995" s="138"/>
      <c r="AF995" s="136"/>
      <c r="AG995" s="136"/>
      <c r="AH995" s="136"/>
    </row>
    <row r="996" spans="1:34" s="132" customFormat="1" ht="12.75" customHeight="1" x14ac:dyDescent="0.25">
      <c r="A996" s="137"/>
      <c r="B996" s="139"/>
      <c r="C996" s="136"/>
      <c r="D996" s="131"/>
      <c r="E996" s="131"/>
      <c r="F996" s="58"/>
      <c r="G996" s="140"/>
      <c r="H996" s="140"/>
      <c r="I996" s="58"/>
      <c r="J996" s="58"/>
      <c r="K996" s="58"/>
      <c r="L996" s="58"/>
      <c r="M996" s="135"/>
      <c r="N996" s="135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35"/>
      <c r="Z996" s="58"/>
      <c r="AA996" s="58"/>
      <c r="AB996" s="58"/>
      <c r="AC996" s="58"/>
      <c r="AD996" s="58"/>
      <c r="AE996" s="138"/>
      <c r="AF996" s="136"/>
      <c r="AG996" s="136"/>
      <c r="AH996" s="136"/>
    </row>
    <row r="997" spans="1:34" s="132" customFormat="1" ht="12.75" customHeight="1" x14ac:dyDescent="0.25">
      <c r="A997" s="137"/>
      <c r="B997" s="139"/>
      <c r="C997" s="136"/>
      <c r="D997" s="131"/>
      <c r="E997" s="131"/>
      <c r="F997" s="58"/>
      <c r="G997" s="140"/>
      <c r="H997" s="140"/>
      <c r="I997" s="58"/>
      <c r="J997" s="58"/>
      <c r="K997" s="58"/>
      <c r="L997" s="58"/>
      <c r="M997" s="135"/>
      <c r="N997" s="135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35"/>
      <c r="Z997" s="58"/>
      <c r="AA997" s="58"/>
      <c r="AB997" s="58"/>
      <c r="AC997" s="58"/>
      <c r="AD997" s="58"/>
      <c r="AE997" s="138"/>
      <c r="AF997" s="136"/>
      <c r="AG997" s="136"/>
      <c r="AH997" s="136"/>
    </row>
    <row r="998" spans="1:34" s="132" customFormat="1" ht="12.75" customHeight="1" x14ac:dyDescent="0.25">
      <c r="A998" s="137"/>
      <c r="B998" s="139"/>
      <c r="C998" s="136"/>
      <c r="D998" s="131"/>
      <c r="E998" s="131"/>
      <c r="F998" s="58"/>
      <c r="G998" s="140"/>
      <c r="H998" s="140"/>
      <c r="I998" s="58"/>
      <c r="J998" s="58"/>
      <c r="K998" s="58"/>
      <c r="L998" s="58"/>
      <c r="M998" s="135"/>
      <c r="N998" s="135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35"/>
      <c r="Z998" s="58"/>
      <c r="AA998" s="58"/>
      <c r="AB998" s="58"/>
      <c r="AC998" s="58"/>
      <c r="AD998" s="58"/>
      <c r="AE998" s="138"/>
      <c r="AF998" s="136"/>
      <c r="AG998" s="136"/>
      <c r="AH998" s="136"/>
    </row>
    <row r="999" spans="1:34" s="132" customFormat="1" ht="12.75" customHeight="1" x14ac:dyDescent="0.25">
      <c r="A999" s="137"/>
      <c r="B999" s="139"/>
      <c r="C999" s="136"/>
      <c r="D999" s="131"/>
      <c r="E999" s="131"/>
      <c r="F999" s="58"/>
      <c r="G999" s="140"/>
      <c r="H999" s="140"/>
      <c r="I999" s="58"/>
      <c r="J999" s="58"/>
      <c r="K999" s="58"/>
      <c r="L999" s="58"/>
      <c r="M999" s="135"/>
      <c r="N999" s="135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35"/>
      <c r="Z999" s="58"/>
      <c r="AA999" s="58"/>
      <c r="AB999" s="58"/>
      <c r="AC999" s="58"/>
      <c r="AD999" s="58"/>
      <c r="AE999" s="138"/>
      <c r="AF999" s="136"/>
      <c r="AG999" s="136"/>
      <c r="AH999" s="136"/>
    </row>
    <row r="1000" spans="1:34" s="132" customFormat="1" ht="12.75" customHeight="1" x14ac:dyDescent="0.25">
      <c r="A1000" s="137"/>
      <c r="B1000" s="139"/>
      <c r="C1000" s="136"/>
      <c r="D1000" s="131"/>
      <c r="E1000" s="131"/>
      <c r="F1000" s="58"/>
      <c r="G1000" s="140"/>
      <c r="H1000" s="140"/>
      <c r="I1000" s="58"/>
      <c r="J1000" s="58"/>
      <c r="K1000" s="58"/>
      <c r="L1000" s="58"/>
      <c r="M1000" s="135"/>
      <c r="N1000" s="135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35"/>
      <c r="Z1000" s="58"/>
      <c r="AA1000" s="58"/>
      <c r="AB1000" s="58"/>
      <c r="AC1000" s="58"/>
      <c r="AD1000" s="58"/>
      <c r="AE1000" s="138"/>
      <c r="AF1000" s="136"/>
      <c r="AG1000" s="136"/>
      <c r="AH1000" s="136"/>
    </row>
    <row r="1001" spans="1:34" s="132" customFormat="1" ht="12.75" customHeight="1" x14ac:dyDescent="0.25">
      <c r="A1001" s="137"/>
      <c r="B1001" s="139"/>
      <c r="C1001" s="136"/>
      <c r="D1001" s="131"/>
      <c r="E1001" s="131"/>
      <c r="F1001" s="58"/>
      <c r="G1001" s="140"/>
      <c r="H1001" s="140"/>
      <c r="I1001" s="58"/>
      <c r="J1001" s="58"/>
      <c r="K1001" s="58"/>
      <c r="L1001" s="58"/>
      <c r="M1001" s="135"/>
      <c r="N1001" s="135"/>
      <c r="O1001" s="140"/>
      <c r="P1001" s="140"/>
      <c r="Q1001" s="140"/>
      <c r="R1001" s="140"/>
      <c r="S1001" s="140"/>
      <c r="T1001" s="140"/>
      <c r="U1001" s="140"/>
      <c r="V1001" s="140"/>
      <c r="W1001" s="140"/>
      <c r="X1001" s="140"/>
      <c r="Y1001" s="135"/>
      <c r="Z1001" s="58"/>
      <c r="AA1001" s="58"/>
      <c r="AB1001" s="58"/>
      <c r="AC1001" s="58"/>
      <c r="AD1001" s="58"/>
      <c r="AE1001" s="138"/>
      <c r="AF1001" s="136"/>
      <c r="AG1001" s="136"/>
      <c r="AH1001" s="136"/>
    </row>
    <row r="1002" spans="1:34" s="132" customFormat="1" ht="12.75" customHeight="1" x14ac:dyDescent="0.25">
      <c r="A1002" s="137"/>
      <c r="B1002" s="139"/>
      <c r="C1002" s="136"/>
      <c r="D1002" s="131"/>
      <c r="E1002" s="131"/>
      <c r="F1002" s="58"/>
      <c r="G1002" s="140"/>
      <c r="H1002" s="140"/>
      <c r="I1002" s="58"/>
      <c r="J1002" s="58"/>
      <c r="K1002" s="58"/>
      <c r="L1002" s="58"/>
      <c r="M1002" s="135"/>
      <c r="N1002" s="135"/>
      <c r="O1002" s="140"/>
      <c r="P1002" s="140"/>
      <c r="Q1002" s="140"/>
      <c r="R1002" s="140"/>
      <c r="S1002" s="140"/>
      <c r="T1002" s="140"/>
      <c r="U1002" s="140"/>
      <c r="V1002" s="140"/>
      <c r="W1002" s="140"/>
      <c r="X1002" s="140"/>
      <c r="Y1002" s="135"/>
      <c r="Z1002" s="58"/>
      <c r="AA1002" s="58"/>
      <c r="AB1002" s="58"/>
      <c r="AC1002" s="58"/>
      <c r="AD1002" s="58"/>
      <c r="AE1002" s="138"/>
      <c r="AF1002" s="136"/>
      <c r="AG1002" s="136"/>
      <c r="AH1002" s="136"/>
    </row>
    <row r="1003" spans="1:34" s="132" customFormat="1" ht="12.75" customHeight="1" x14ac:dyDescent="0.25">
      <c r="A1003" s="137"/>
      <c r="B1003" s="139"/>
      <c r="C1003" s="136"/>
      <c r="D1003" s="131"/>
      <c r="E1003" s="131"/>
      <c r="F1003" s="58"/>
      <c r="G1003" s="140"/>
      <c r="H1003" s="140"/>
      <c r="I1003" s="58"/>
      <c r="J1003" s="58"/>
      <c r="K1003" s="58"/>
      <c r="L1003" s="58"/>
      <c r="M1003" s="135"/>
      <c r="N1003" s="135"/>
      <c r="O1003" s="140"/>
      <c r="P1003" s="140"/>
      <c r="Q1003" s="140"/>
      <c r="R1003" s="140"/>
      <c r="S1003" s="140"/>
      <c r="T1003" s="140"/>
      <c r="U1003" s="140"/>
      <c r="V1003" s="140"/>
      <c r="W1003" s="140"/>
      <c r="X1003" s="140"/>
      <c r="Y1003" s="135"/>
      <c r="Z1003" s="58"/>
      <c r="AA1003" s="58"/>
      <c r="AB1003" s="58"/>
      <c r="AC1003" s="58"/>
      <c r="AD1003" s="58"/>
      <c r="AE1003" s="138"/>
      <c r="AF1003" s="136"/>
      <c r="AG1003" s="136"/>
      <c r="AH1003" s="136"/>
    </row>
    <row r="1004" spans="1:34" s="132" customFormat="1" ht="12.75" customHeight="1" x14ac:dyDescent="0.25">
      <c r="A1004" s="137"/>
      <c r="B1004" s="139"/>
      <c r="C1004" s="136"/>
      <c r="D1004" s="131"/>
      <c r="E1004" s="131"/>
      <c r="F1004" s="58"/>
      <c r="G1004" s="140"/>
      <c r="H1004" s="140"/>
      <c r="I1004" s="58"/>
      <c r="J1004" s="58"/>
      <c r="K1004" s="58"/>
      <c r="L1004" s="58"/>
      <c r="M1004" s="135"/>
      <c r="N1004" s="135"/>
      <c r="O1004" s="140"/>
      <c r="P1004" s="140"/>
      <c r="Q1004" s="140"/>
      <c r="R1004" s="140"/>
      <c r="S1004" s="140"/>
      <c r="T1004" s="140"/>
      <c r="U1004" s="140"/>
      <c r="V1004" s="140"/>
      <c r="W1004" s="140"/>
      <c r="X1004" s="140"/>
      <c r="Y1004" s="135"/>
      <c r="Z1004" s="58"/>
      <c r="AA1004" s="58"/>
      <c r="AB1004" s="58"/>
      <c r="AC1004" s="58"/>
      <c r="AD1004" s="58"/>
      <c r="AE1004" s="138"/>
      <c r="AF1004" s="136"/>
      <c r="AG1004" s="136"/>
      <c r="AH1004" s="136"/>
    </row>
    <row r="1005" spans="1:34" s="132" customFormat="1" ht="12.75" customHeight="1" x14ac:dyDescent="0.25">
      <c r="A1005" s="137"/>
      <c r="B1005" s="139"/>
      <c r="C1005" s="136"/>
      <c r="D1005" s="131"/>
      <c r="E1005" s="131"/>
      <c r="F1005" s="58"/>
      <c r="G1005" s="140"/>
      <c r="H1005" s="140"/>
      <c r="I1005" s="58"/>
      <c r="J1005" s="58"/>
      <c r="K1005" s="58"/>
      <c r="L1005" s="58"/>
      <c r="M1005" s="135"/>
      <c r="N1005" s="135"/>
      <c r="O1005" s="140"/>
      <c r="P1005" s="140"/>
      <c r="Q1005" s="140"/>
      <c r="R1005" s="140"/>
      <c r="S1005" s="140"/>
      <c r="T1005" s="140"/>
      <c r="U1005" s="140"/>
      <c r="V1005" s="140"/>
      <c r="W1005" s="140"/>
      <c r="X1005" s="140"/>
      <c r="Y1005" s="135"/>
      <c r="Z1005" s="58"/>
      <c r="AA1005" s="58"/>
      <c r="AB1005" s="58"/>
      <c r="AC1005" s="58"/>
      <c r="AD1005" s="58"/>
      <c r="AE1005" s="138"/>
      <c r="AF1005" s="136"/>
      <c r="AG1005" s="136"/>
      <c r="AH1005" s="136"/>
    </row>
    <row r="1006" spans="1:34" s="132" customFormat="1" ht="12.75" customHeight="1" x14ac:dyDescent="0.25">
      <c r="A1006" s="137"/>
      <c r="B1006" s="139"/>
      <c r="C1006" s="136"/>
      <c r="D1006" s="131"/>
      <c r="E1006" s="131"/>
      <c r="F1006" s="58"/>
      <c r="G1006" s="140"/>
      <c r="H1006" s="140"/>
      <c r="I1006" s="58"/>
      <c r="J1006" s="58"/>
      <c r="K1006" s="58"/>
      <c r="L1006" s="58"/>
      <c r="M1006" s="135"/>
      <c r="N1006" s="135"/>
      <c r="O1006" s="140"/>
      <c r="P1006" s="140"/>
      <c r="Q1006" s="140"/>
      <c r="R1006" s="140"/>
      <c r="S1006" s="140"/>
      <c r="T1006" s="140"/>
      <c r="U1006" s="140"/>
      <c r="V1006" s="140"/>
      <c r="W1006" s="140"/>
      <c r="X1006" s="140"/>
      <c r="Y1006" s="135"/>
      <c r="Z1006" s="58"/>
      <c r="AA1006" s="58"/>
      <c r="AB1006" s="58"/>
      <c r="AC1006" s="58"/>
      <c r="AD1006" s="58"/>
      <c r="AE1006" s="138"/>
      <c r="AF1006" s="136"/>
      <c r="AG1006" s="136"/>
      <c r="AH1006" s="136"/>
    </row>
    <row r="1007" spans="1:34" s="132" customFormat="1" ht="12.75" customHeight="1" x14ac:dyDescent="0.25">
      <c r="A1007" s="137"/>
      <c r="B1007" s="139"/>
      <c r="C1007" s="136"/>
      <c r="D1007" s="131"/>
      <c r="E1007" s="131"/>
      <c r="F1007" s="58"/>
      <c r="G1007" s="140"/>
      <c r="H1007" s="140"/>
      <c r="I1007" s="58"/>
      <c r="J1007" s="58"/>
      <c r="K1007" s="58"/>
      <c r="L1007" s="58"/>
      <c r="M1007" s="135"/>
      <c r="N1007" s="135"/>
      <c r="O1007" s="140"/>
      <c r="P1007" s="140"/>
      <c r="Q1007" s="140"/>
      <c r="R1007" s="140"/>
      <c r="S1007" s="140"/>
      <c r="T1007" s="140"/>
      <c r="U1007" s="140"/>
      <c r="V1007" s="140"/>
      <c r="W1007" s="140"/>
      <c r="X1007" s="140"/>
      <c r="Y1007" s="135"/>
      <c r="Z1007" s="58"/>
      <c r="AA1007" s="58"/>
      <c r="AB1007" s="58"/>
      <c r="AC1007" s="58"/>
      <c r="AD1007" s="58"/>
      <c r="AE1007" s="138"/>
      <c r="AF1007" s="136"/>
      <c r="AG1007" s="136"/>
      <c r="AH1007" s="136"/>
    </row>
    <row r="1008" spans="1:34" s="132" customFormat="1" ht="12.75" customHeight="1" x14ac:dyDescent="0.25">
      <c r="A1008" s="137"/>
      <c r="B1008" s="139"/>
      <c r="C1008" s="136"/>
      <c r="D1008" s="131"/>
      <c r="E1008" s="131"/>
      <c r="F1008" s="58"/>
      <c r="G1008" s="140"/>
      <c r="H1008" s="140"/>
      <c r="I1008" s="58"/>
      <c r="J1008" s="58"/>
      <c r="K1008" s="58"/>
      <c r="L1008" s="58"/>
      <c r="M1008" s="135"/>
      <c r="N1008" s="135"/>
      <c r="O1008" s="140"/>
      <c r="P1008" s="140"/>
      <c r="Q1008" s="140"/>
      <c r="R1008" s="140"/>
      <c r="S1008" s="140"/>
      <c r="T1008" s="140"/>
      <c r="U1008" s="140"/>
      <c r="V1008" s="140"/>
      <c r="W1008" s="140"/>
      <c r="X1008" s="140"/>
      <c r="Y1008" s="135"/>
      <c r="Z1008" s="58"/>
      <c r="AA1008" s="58"/>
      <c r="AB1008" s="58"/>
      <c r="AC1008" s="58"/>
      <c r="AD1008" s="58"/>
      <c r="AE1008" s="138"/>
      <c r="AF1008" s="136"/>
      <c r="AG1008" s="136"/>
      <c r="AH1008" s="136"/>
    </row>
    <row r="1009" spans="1:34" s="132" customFormat="1" ht="12.75" customHeight="1" x14ac:dyDescent="0.25">
      <c r="A1009" s="137"/>
      <c r="B1009" s="139"/>
      <c r="C1009" s="136"/>
      <c r="D1009" s="131"/>
      <c r="E1009" s="131"/>
      <c r="F1009" s="58"/>
      <c r="G1009" s="140"/>
      <c r="H1009" s="140"/>
      <c r="I1009" s="58"/>
      <c r="J1009" s="58"/>
      <c r="K1009" s="58"/>
      <c r="L1009" s="58"/>
      <c r="M1009" s="135"/>
      <c r="N1009" s="135"/>
      <c r="O1009" s="140"/>
      <c r="P1009" s="140"/>
      <c r="Q1009" s="140"/>
      <c r="R1009" s="140"/>
      <c r="S1009" s="140"/>
      <c r="T1009" s="140"/>
      <c r="U1009" s="140"/>
      <c r="V1009" s="140"/>
      <c r="W1009" s="140"/>
      <c r="X1009" s="140"/>
      <c r="Y1009" s="135"/>
      <c r="Z1009" s="58"/>
      <c r="AA1009" s="58"/>
      <c r="AB1009" s="58"/>
      <c r="AC1009" s="58"/>
      <c r="AD1009" s="58"/>
      <c r="AE1009" s="138"/>
      <c r="AF1009" s="136"/>
      <c r="AG1009" s="136"/>
      <c r="AH1009" s="136"/>
    </row>
    <row r="1010" spans="1:34" s="132" customFormat="1" ht="12.75" customHeight="1" x14ac:dyDescent="0.25">
      <c r="A1010" s="137"/>
      <c r="B1010" s="139"/>
      <c r="C1010" s="136"/>
      <c r="D1010" s="131"/>
      <c r="E1010" s="131"/>
      <c r="F1010" s="58"/>
      <c r="G1010" s="140"/>
      <c r="H1010" s="140"/>
      <c r="I1010" s="58"/>
      <c r="J1010" s="58"/>
      <c r="K1010" s="58"/>
      <c r="L1010" s="58"/>
      <c r="M1010" s="135"/>
      <c r="N1010" s="135"/>
      <c r="O1010" s="140"/>
      <c r="P1010" s="140"/>
      <c r="Q1010" s="140"/>
      <c r="R1010" s="140"/>
      <c r="S1010" s="140"/>
      <c r="T1010" s="140"/>
      <c r="U1010" s="140"/>
      <c r="V1010" s="140"/>
      <c r="W1010" s="140"/>
      <c r="X1010" s="140"/>
      <c r="Y1010" s="135"/>
      <c r="Z1010" s="58"/>
      <c r="AA1010" s="58"/>
      <c r="AB1010" s="58"/>
      <c r="AC1010" s="58"/>
      <c r="AD1010" s="58"/>
      <c r="AE1010" s="138"/>
      <c r="AF1010" s="136"/>
      <c r="AG1010" s="136"/>
      <c r="AH1010" s="136"/>
    </row>
    <row r="1011" spans="1:34" s="132" customFormat="1" ht="12.75" customHeight="1" x14ac:dyDescent="0.25">
      <c r="A1011" s="137"/>
      <c r="B1011" s="139"/>
      <c r="C1011" s="136"/>
      <c r="D1011" s="131"/>
      <c r="E1011" s="131"/>
      <c r="F1011" s="58"/>
      <c r="G1011" s="140"/>
      <c r="H1011" s="140"/>
      <c r="I1011" s="58"/>
      <c r="J1011" s="58"/>
      <c r="K1011" s="58"/>
      <c r="L1011" s="58"/>
      <c r="M1011" s="135"/>
      <c r="N1011" s="135"/>
      <c r="O1011" s="140"/>
      <c r="P1011" s="140"/>
      <c r="Q1011" s="140"/>
      <c r="R1011" s="140"/>
      <c r="S1011" s="140"/>
      <c r="T1011" s="140"/>
      <c r="U1011" s="140"/>
      <c r="V1011" s="140"/>
      <c r="W1011" s="140"/>
      <c r="X1011" s="140"/>
      <c r="Y1011" s="135"/>
      <c r="Z1011" s="58"/>
      <c r="AA1011" s="58"/>
      <c r="AB1011" s="58"/>
      <c r="AC1011" s="58"/>
      <c r="AD1011" s="58"/>
      <c r="AE1011" s="138"/>
      <c r="AF1011" s="136"/>
      <c r="AG1011" s="136"/>
      <c r="AH1011" s="136"/>
    </row>
    <row r="1012" spans="1:34" s="132" customFormat="1" ht="12.75" customHeight="1" x14ac:dyDescent="0.25">
      <c r="A1012" s="137"/>
      <c r="B1012" s="139"/>
      <c r="C1012" s="136"/>
      <c r="D1012" s="131"/>
      <c r="E1012" s="131"/>
      <c r="F1012" s="58"/>
      <c r="G1012" s="140"/>
      <c r="H1012" s="140"/>
      <c r="I1012" s="58"/>
      <c r="J1012" s="58"/>
      <c r="K1012" s="58"/>
      <c r="L1012" s="58"/>
      <c r="M1012" s="135"/>
      <c r="N1012" s="135"/>
      <c r="O1012" s="140"/>
      <c r="P1012" s="140"/>
      <c r="Q1012" s="140"/>
      <c r="R1012" s="140"/>
      <c r="S1012" s="140"/>
      <c r="T1012" s="140"/>
      <c r="U1012" s="140"/>
      <c r="V1012" s="140"/>
      <c r="W1012" s="140"/>
      <c r="X1012" s="140"/>
      <c r="Y1012" s="135"/>
      <c r="Z1012" s="58"/>
      <c r="AA1012" s="58"/>
      <c r="AB1012" s="58"/>
      <c r="AC1012" s="58"/>
      <c r="AD1012" s="58"/>
      <c r="AE1012" s="138"/>
      <c r="AF1012" s="136"/>
      <c r="AG1012" s="136"/>
      <c r="AH1012" s="136"/>
    </row>
    <row r="1013" spans="1:34" s="132" customFormat="1" ht="12.75" customHeight="1" x14ac:dyDescent="0.25">
      <c r="A1013" s="137"/>
      <c r="B1013" s="139"/>
      <c r="C1013" s="136"/>
      <c r="D1013" s="131"/>
      <c r="E1013" s="131"/>
      <c r="F1013" s="58"/>
      <c r="G1013" s="140"/>
      <c r="H1013" s="140"/>
      <c r="I1013" s="58"/>
      <c r="J1013" s="58"/>
      <c r="K1013" s="58"/>
      <c r="L1013" s="58"/>
      <c r="M1013" s="135"/>
      <c r="N1013" s="135"/>
      <c r="O1013" s="140"/>
      <c r="P1013" s="140"/>
      <c r="Q1013" s="140"/>
      <c r="R1013" s="140"/>
      <c r="S1013" s="140"/>
      <c r="T1013" s="140"/>
      <c r="U1013" s="140"/>
      <c r="V1013" s="140"/>
      <c r="W1013" s="140"/>
      <c r="X1013" s="140"/>
      <c r="Y1013" s="135"/>
      <c r="Z1013" s="58"/>
      <c r="AA1013" s="58"/>
      <c r="AB1013" s="58"/>
      <c r="AC1013" s="58"/>
      <c r="AD1013" s="58"/>
      <c r="AE1013" s="138"/>
      <c r="AF1013" s="136"/>
      <c r="AG1013" s="136"/>
      <c r="AH1013" s="136"/>
    </row>
    <row r="1014" spans="1:34" s="132" customFormat="1" ht="12.75" customHeight="1" x14ac:dyDescent="0.25">
      <c r="A1014" s="137"/>
      <c r="B1014" s="139"/>
      <c r="C1014" s="136"/>
      <c r="D1014" s="131"/>
      <c r="E1014" s="131"/>
      <c r="F1014" s="58"/>
      <c r="G1014" s="140"/>
      <c r="H1014" s="140"/>
      <c r="I1014" s="58"/>
      <c r="J1014" s="58"/>
      <c r="K1014" s="58"/>
      <c r="L1014" s="58"/>
      <c r="M1014" s="135"/>
      <c r="N1014" s="135"/>
      <c r="O1014" s="140"/>
      <c r="P1014" s="140"/>
      <c r="Q1014" s="140"/>
      <c r="R1014" s="140"/>
      <c r="S1014" s="140"/>
      <c r="T1014" s="140"/>
      <c r="U1014" s="140"/>
      <c r="V1014" s="140"/>
      <c r="W1014" s="140"/>
      <c r="X1014" s="140"/>
      <c r="Y1014" s="135"/>
      <c r="Z1014" s="58"/>
      <c r="AA1014" s="58"/>
      <c r="AB1014" s="58"/>
      <c r="AC1014" s="58"/>
      <c r="AD1014" s="58"/>
      <c r="AE1014" s="138"/>
      <c r="AF1014" s="136"/>
      <c r="AG1014" s="136"/>
      <c r="AH1014" s="136"/>
    </row>
    <row r="1015" spans="1:34" s="132" customFormat="1" ht="12.75" customHeight="1" x14ac:dyDescent="0.25">
      <c r="A1015" s="137"/>
      <c r="B1015" s="139"/>
      <c r="C1015" s="136"/>
      <c r="D1015" s="131"/>
      <c r="E1015" s="131"/>
      <c r="F1015" s="58"/>
      <c r="G1015" s="140"/>
      <c r="H1015" s="140"/>
      <c r="I1015" s="58"/>
      <c r="J1015" s="58"/>
      <c r="K1015" s="58"/>
      <c r="L1015" s="58"/>
      <c r="M1015" s="135"/>
      <c r="N1015" s="135"/>
      <c r="O1015" s="140"/>
      <c r="P1015" s="140"/>
      <c r="Q1015" s="140"/>
      <c r="R1015" s="140"/>
      <c r="S1015" s="140"/>
      <c r="T1015" s="140"/>
      <c r="U1015" s="140"/>
      <c r="V1015" s="140"/>
      <c r="W1015" s="140"/>
      <c r="X1015" s="140"/>
      <c r="Y1015" s="135"/>
      <c r="Z1015" s="58"/>
      <c r="AA1015" s="58"/>
      <c r="AB1015" s="58"/>
      <c r="AC1015" s="58"/>
      <c r="AD1015" s="58"/>
      <c r="AE1015" s="138"/>
      <c r="AF1015" s="136"/>
      <c r="AG1015" s="136"/>
      <c r="AH1015" s="136"/>
    </row>
    <row r="1016" spans="1:34" s="132" customFormat="1" ht="12.75" customHeight="1" x14ac:dyDescent="0.25">
      <c r="A1016" s="137"/>
      <c r="B1016" s="139"/>
      <c r="C1016" s="136"/>
      <c r="D1016" s="131"/>
      <c r="E1016" s="131"/>
      <c r="F1016" s="58"/>
      <c r="G1016" s="140"/>
      <c r="H1016" s="140"/>
      <c r="I1016" s="58"/>
      <c r="J1016" s="58"/>
      <c r="K1016" s="58"/>
      <c r="L1016" s="58"/>
      <c r="M1016" s="135"/>
      <c r="N1016" s="135"/>
      <c r="O1016" s="140"/>
      <c r="P1016" s="140"/>
      <c r="Q1016" s="140"/>
      <c r="R1016" s="140"/>
      <c r="S1016" s="140"/>
      <c r="T1016" s="140"/>
      <c r="U1016" s="140"/>
      <c r="V1016" s="140"/>
      <c r="W1016" s="140"/>
      <c r="X1016" s="140"/>
      <c r="Y1016" s="135"/>
      <c r="Z1016" s="58"/>
      <c r="AA1016" s="58"/>
      <c r="AB1016" s="58"/>
      <c r="AC1016" s="58"/>
      <c r="AD1016" s="58"/>
      <c r="AE1016" s="138"/>
      <c r="AF1016" s="136"/>
      <c r="AG1016" s="136"/>
      <c r="AH1016" s="136"/>
    </row>
    <row r="1017" spans="1:34" s="132" customFormat="1" ht="12.75" customHeight="1" x14ac:dyDescent="0.25">
      <c r="A1017" s="137"/>
      <c r="B1017" s="139"/>
      <c r="C1017" s="136"/>
      <c r="D1017" s="131"/>
      <c r="E1017" s="131"/>
      <c r="F1017" s="58"/>
      <c r="G1017" s="140"/>
      <c r="H1017" s="140"/>
      <c r="I1017" s="58"/>
      <c r="J1017" s="58"/>
      <c r="K1017" s="58"/>
      <c r="L1017" s="58"/>
      <c r="M1017" s="135"/>
      <c r="N1017" s="135"/>
      <c r="O1017" s="140"/>
      <c r="P1017" s="140"/>
      <c r="Q1017" s="140"/>
      <c r="R1017" s="140"/>
      <c r="S1017" s="140"/>
      <c r="T1017" s="140"/>
      <c r="U1017" s="140"/>
      <c r="V1017" s="140"/>
      <c r="W1017" s="140"/>
      <c r="X1017" s="140"/>
      <c r="Y1017" s="135"/>
      <c r="Z1017" s="58"/>
      <c r="AA1017" s="58"/>
      <c r="AB1017" s="58"/>
      <c r="AC1017" s="58"/>
      <c r="AD1017" s="58"/>
      <c r="AE1017" s="138"/>
      <c r="AF1017" s="136"/>
      <c r="AG1017" s="136"/>
      <c r="AH1017" s="136"/>
    </row>
    <row r="1018" spans="1:34" s="132" customFormat="1" ht="12.75" customHeight="1" x14ac:dyDescent="0.25">
      <c r="A1018" s="137"/>
      <c r="B1018" s="139"/>
      <c r="C1018" s="136"/>
      <c r="D1018" s="131"/>
      <c r="E1018" s="131"/>
      <c r="F1018" s="58"/>
      <c r="G1018" s="140"/>
      <c r="H1018" s="140"/>
      <c r="I1018" s="58"/>
      <c r="J1018" s="58"/>
      <c r="K1018" s="58"/>
      <c r="L1018" s="58"/>
      <c r="M1018" s="135"/>
      <c r="N1018" s="135"/>
      <c r="O1018" s="140"/>
      <c r="P1018" s="140"/>
      <c r="Q1018" s="140"/>
      <c r="R1018" s="140"/>
      <c r="S1018" s="140"/>
      <c r="T1018" s="140"/>
      <c r="U1018" s="140"/>
      <c r="V1018" s="140"/>
      <c r="W1018" s="140"/>
      <c r="X1018" s="140"/>
      <c r="Y1018" s="135"/>
      <c r="Z1018" s="58"/>
      <c r="AA1018" s="58"/>
      <c r="AB1018" s="58"/>
      <c r="AC1018" s="58"/>
      <c r="AD1018" s="58"/>
      <c r="AE1018" s="138"/>
      <c r="AF1018" s="136"/>
      <c r="AG1018" s="136"/>
      <c r="AH1018" s="136"/>
    </row>
    <row r="1019" spans="1:34" s="132" customFormat="1" ht="12.75" customHeight="1" x14ac:dyDescent="0.25">
      <c r="A1019" s="137"/>
      <c r="B1019" s="139"/>
      <c r="C1019" s="136"/>
      <c r="D1019" s="131"/>
      <c r="E1019" s="131"/>
      <c r="F1019" s="58"/>
      <c r="G1019" s="140"/>
      <c r="H1019" s="140"/>
      <c r="I1019" s="58"/>
      <c r="J1019" s="58"/>
      <c r="K1019" s="58"/>
      <c r="L1019" s="58"/>
      <c r="M1019" s="135"/>
      <c r="N1019" s="135"/>
      <c r="O1019" s="140"/>
      <c r="P1019" s="140"/>
      <c r="Q1019" s="140"/>
      <c r="R1019" s="140"/>
      <c r="S1019" s="140"/>
      <c r="T1019" s="140"/>
      <c r="U1019" s="140"/>
      <c r="V1019" s="140"/>
      <c r="W1019" s="140"/>
      <c r="X1019" s="140"/>
      <c r="Y1019" s="135"/>
      <c r="Z1019" s="58"/>
      <c r="AA1019" s="58"/>
      <c r="AB1019" s="58"/>
      <c r="AC1019" s="58"/>
      <c r="AD1019" s="58"/>
      <c r="AE1019" s="138"/>
      <c r="AF1019" s="136"/>
      <c r="AG1019" s="136"/>
      <c r="AH1019" s="136"/>
    </row>
    <row r="1020" spans="1:34" s="132" customFormat="1" ht="12.75" customHeight="1" x14ac:dyDescent="0.25">
      <c r="A1020" s="137"/>
      <c r="B1020" s="139"/>
      <c r="C1020" s="136"/>
      <c r="D1020" s="131"/>
      <c r="E1020" s="131"/>
      <c r="F1020" s="58"/>
      <c r="G1020" s="140"/>
      <c r="H1020" s="140"/>
      <c r="I1020" s="58"/>
      <c r="J1020" s="58"/>
      <c r="K1020" s="58"/>
      <c r="L1020" s="58"/>
      <c r="M1020" s="135"/>
      <c r="N1020" s="135"/>
      <c r="O1020" s="140"/>
      <c r="P1020" s="140"/>
      <c r="Q1020" s="140"/>
      <c r="R1020" s="140"/>
      <c r="S1020" s="140"/>
      <c r="T1020" s="140"/>
      <c r="U1020" s="140"/>
      <c r="V1020" s="140"/>
      <c r="W1020" s="140"/>
      <c r="X1020" s="140"/>
      <c r="Y1020" s="135"/>
      <c r="Z1020" s="58"/>
      <c r="AA1020" s="58"/>
      <c r="AB1020" s="58"/>
      <c r="AC1020" s="58"/>
      <c r="AD1020" s="58"/>
      <c r="AE1020" s="138"/>
      <c r="AF1020" s="136"/>
      <c r="AG1020" s="136"/>
      <c r="AH1020" s="136"/>
    </row>
    <row r="1021" spans="1:34" s="132" customFormat="1" ht="12.75" customHeight="1" x14ac:dyDescent="0.25">
      <c r="A1021" s="137"/>
      <c r="B1021" s="139"/>
      <c r="C1021" s="136"/>
      <c r="D1021" s="131"/>
      <c r="E1021" s="131"/>
      <c r="F1021" s="58"/>
      <c r="G1021" s="140"/>
      <c r="H1021" s="140"/>
      <c r="I1021" s="58"/>
      <c r="J1021" s="58"/>
      <c r="K1021" s="58"/>
      <c r="L1021" s="58"/>
      <c r="M1021" s="135"/>
      <c r="N1021" s="135"/>
      <c r="O1021" s="140"/>
      <c r="P1021" s="140"/>
      <c r="Q1021" s="140"/>
      <c r="R1021" s="140"/>
      <c r="S1021" s="140"/>
      <c r="T1021" s="140"/>
      <c r="U1021" s="140"/>
      <c r="V1021" s="140"/>
      <c r="W1021" s="140"/>
      <c r="X1021" s="140"/>
      <c r="Y1021" s="135"/>
      <c r="Z1021" s="58"/>
      <c r="AA1021" s="58"/>
      <c r="AB1021" s="58"/>
      <c r="AC1021" s="58"/>
      <c r="AD1021" s="58"/>
      <c r="AE1021" s="138"/>
      <c r="AF1021" s="136"/>
      <c r="AG1021" s="136"/>
      <c r="AH1021" s="136"/>
    </row>
    <row r="1022" spans="1:34" s="132" customFormat="1" ht="12.75" customHeight="1" x14ac:dyDescent="0.25">
      <c r="A1022" s="137"/>
      <c r="B1022" s="139"/>
      <c r="C1022" s="136"/>
      <c r="D1022" s="131"/>
      <c r="E1022" s="131"/>
      <c r="F1022" s="58"/>
      <c r="G1022" s="140"/>
      <c r="H1022" s="140"/>
      <c r="I1022" s="58"/>
      <c r="J1022" s="58"/>
      <c r="K1022" s="58"/>
      <c r="L1022" s="58"/>
      <c r="M1022" s="135"/>
      <c r="N1022" s="135"/>
      <c r="O1022" s="140"/>
      <c r="P1022" s="140"/>
      <c r="Q1022" s="140"/>
      <c r="R1022" s="140"/>
      <c r="S1022" s="140"/>
      <c r="T1022" s="140"/>
      <c r="U1022" s="140"/>
      <c r="V1022" s="140"/>
      <c r="W1022" s="140"/>
      <c r="X1022" s="140"/>
      <c r="Y1022" s="135"/>
      <c r="Z1022" s="58"/>
      <c r="AA1022" s="58"/>
      <c r="AB1022" s="58"/>
      <c r="AC1022" s="58"/>
      <c r="AD1022" s="58"/>
      <c r="AE1022" s="138"/>
      <c r="AF1022" s="136"/>
      <c r="AG1022" s="136"/>
      <c r="AH1022" s="136"/>
    </row>
    <row r="1023" spans="1:34" s="132" customFormat="1" ht="12.75" customHeight="1" x14ac:dyDescent="0.25">
      <c r="A1023" s="137"/>
      <c r="B1023" s="139"/>
      <c r="C1023" s="136"/>
      <c r="D1023" s="131"/>
      <c r="E1023" s="131"/>
      <c r="F1023" s="58"/>
      <c r="G1023" s="140"/>
      <c r="H1023" s="140"/>
      <c r="I1023" s="58"/>
      <c r="J1023" s="58"/>
      <c r="K1023" s="58"/>
      <c r="L1023" s="58"/>
      <c r="M1023" s="135"/>
      <c r="N1023" s="135"/>
      <c r="O1023" s="140"/>
      <c r="P1023" s="140"/>
      <c r="Q1023" s="140"/>
      <c r="R1023" s="140"/>
      <c r="S1023" s="140"/>
      <c r="T1023" s="140"/>
      <c r="U1023" s="140"/>
      <c r="V1023" s="140"/>
      <c r="W1023" s="140"/>
      <c r="X1023" s="140"/>
      <c r="Y1023" s="135"/>
      <c r="Z1023" s="58"/>
      <c r="AA1023" s="58"/>
      <c r="AB1023" s="58"/>
      <c r="AC1023" s="58"/>
      <c r="AD1023" s="58"/>
      <c r="AE1023" s="138"/>
      <c r="AF1023" s="136"/>
      <c r="AG1023" s="136"/>
      <c r="AH1023" s="136"/>
    </row>
    <row r="1024" spans="1:34" s="132" customFormat="1" ht="12.75" customHeight="1" x14ac:dyDescent="0.25">
      <c r="A1024" s="137"/>
      <c r="B1024" s="139"/>
      <c r="C1024" s="136"/>
      <c r="D1024" s="131"/>
      <c r="E1024" s="131"/>
      <c r="F1024" s="58"/>
      <c r="G1024" s="140"/>
      <c r="H1024" s="140"/>
      <c r="I1024" s="58"/>
      <c r="J1024" s="58"/>
      <c r="K1024" s="58"/>
      <c r="L1024" s="58"/>
      <c r="M1024" s="135"/>
      <c r="N1024" s="135"/>
      <c r="O1024" s="140"/>
      <c r="P1024" s="140"/>
      <c r="Q1024" s="140"/>
      <c r="R1024" s="140"/>
      <c r="S1024" s="140"/>
      <c r="T1024" s="140"/>
      <c r="U1024" s="140"/>
      <c r="V1024" s="140"/>
      <c r="W1024" s="140"/>
      <c r="X1024" s="140"/>
      <c r="Y1024" s="135"/>
      <c r="Z1024" s="58"/>
      <c r="AA1024" s="58"/>
      <c r="AB1024" s="58"/>
      <c r="AC1024" s="58"/>
      <c r="AD1024" s="58"/>
      <c r="AE1024" s="138"/>
      <c r="AF1024" s="136"/>
      <c r="AG1024" s="136"/>
      <c r="AH1024" s="136"/>
    </row>
    <row r="1025" spans="1:34" s="132" customFormat="1" ht="12.75" customHeight="1" x14ac:dyDescent="0.25">
      <c r="A1025" s="137"/>
      <c r="B1025" s="139"/>
      <c r="C1025" s="136"/>
      <c r="D1025" s="131"/>
      <c r="E1025" s="131"/>
      <c r="F1025" s="58"/>
      <c r="G1025" s="140"/>
      <c r="H1025" s="140"/>
      <c r="I1025" s="58"/>
      <c r="J1025" s="58"/>
      <c r="K1025" s="58"/>
      <c r="L1025" s="58"/>
      <c r="M1025" s="135"/>
      <c r="N1025" s="135"/>
      <c r="O1025" s="140"/>
      <c r="P1025" s="140"/>
      <c r="Q1025" s="140"/>
      <c r="R1025" s="140"/>
      <c r="S1025" s="140"/>
      <c r="T1025" s="140"/>
      <c r="U1025" s="140"/>
      <c r="V1025" s="140"/>
      <c r="W1025" s="140"/>
      <c r="X1025" s="140"/>
      <c r="Y1025" s="135"/>
      <c r="Z1025" s="58"/>
      <c r="AA1025" s="58"/>
      <c r="AB1025" s="58"/>
      <c r="AC1025" s="58"/>
      <c r="AD1025" s="58"/>
      <c r="AE1025" s="138"/>
      <c r="AF1025" s="136"/>
      <c r="AG1025" s="136"/>
      <c r="AH1025" s="136"/>
    </row>
    <row r="1026" spans="1:34" s="132" customFormat="1" ht="12.75" customHeight="1" x14ac:dyDescent="0.25">
      <c r="A1026" s="137"/>
      <c r="B1026" s="139"/>
      <c r="C1026" s="136"/>
      <c r="D1026" s="131"/>
      <c r="E1026" s="131"/>
      <c r="F1026" s="58"/>
      <c r="G1026" s="140"/>
      <c r="H1026" s="140"/>
      <c r="I1026" s="58"/>
      <c r="J1026" s="58"/>
      <c r="K1026" s="58"/>
      <c r="L1026" s="58"/>
      <c r="M1026" s="135"/>
      <c r="N1026" s="135"/>
      <c r="O1026" s="140"/>
      <c r="P1026" s="140"/>
      <c r="Q1026" s="140"/>
      <c r="R1026" s="140"/>
      <c r="S1026" s="140"/>
      <c r="T1026" s="140"/>
      <c r="U1026" s="140"/>
      <c r="V1026" s="140"/>
      <c r="W1026" s="140"/>
      <c r="X1026" s="140"/>
      <c r="Y1026" s="135"/>
      <c r="Z1026" s="58"/>
      <c r="AA1026" s="58"/>
      <c r="AB1026" s="58"/>
      <c r="AC1026" s="58"/>
      <c r="AD1026" s="58"/>
      <c r="AE1026" s="138"/>
      <c r="AF1026" s="136"/>
      <c r="AG1026" s="136"/>
      <c r="AH1026" s="136"/>
    </row>
    <row r="1027" spans="1:34" s="132" customFormat="1" ht="12.75" customHeight="1" x14ac:dyDescent="0.25">
      <c r="A1027" s="137"/>
      <c r="B1027" s="139"/>
      <c r="C1027" s="136"/>
      <c r="D1027" s="131"/>
      <c r="E1027" s="131"/>
      <c r="F1027" s="58"/>
      <c r="G1027" s="140"/>
      <c r="H1027" s="140"/>
      <c r="I1027" s="58"/>
      <c r="J1027" s="58"/>
      <c r="K1027" s="58"/>
      <c r="L1027" s="58"/>
      <c r="M1027" s="135"/>
      <c r="N1027" s="135"/>
      <c r="O1027" s="140"/>
      <c r="P1027" s="140"/>
      <c r="Q1027" s="140"/>
      <c r="R1027" s="140"/>
      <c r="S1027" s="140"/>
      <c r="T1027" s="140"/>
      <c r="U1027" s="140"/>
      <c r="V1027" s="140"/>
      <c r="W1027" s="140"/>
      <c r="X1027" s="140"/>
      <c r="Y1027" s="135"/>
      <c r="Z1027" s="58"/>
      <c r="AA1027" s="58"/>
      <c r="AB1027" s="58"/>
      <c r="AC1027" s="58"/>
      <c r="AD1027" s="58"/>
      <c r="AE1027" s="138"/>
      <c r="AF1027" s="136"/>
      <c r="AG1027" s="136"/>
      <c r="AH1027" s="136"/>
    </row>
    <row r="1028" spans="1:34" s="132" customFormat="1" ht="12.75" customHeight="1" x14ac:dyDescent="0.25">
      <c r="A1028" s="137"/>
      <c r="B1028" s="139"/>
      <c r="C1028" s="136"/>
      <c r="D1028" s="131"/>
      <c r="E1028" s="131"/>
      <c r="F1028" s="58"/>
      <c r="G1028" s="140"/>
      <c r="H1028" s="140"/>
      <c r="I1028" s="58"/>
      <c r="J1028" s="58"/>
      <c r="K1028" s="58"/>
      <c r="L1028" s="58"/>
      <c r="M1028" s="135"/>
      <c r="N1028" s="135"/>
      <c r="O1028" s="140"/>
      <c r="P1028" s="140"/>
      <c r="Q1028" s="140"/>
      <c r="R1028" s="140"/>
      <c r="S1028" s="140"/>
      <c r="T1028" s="140"/>
      <c r="U1028" s="140"/>
      <c r="V1028" s="140"/>
      <c r="W1028" s="140"/>
      <c r="X1028" s="140"/>
      <c r="Y1028" s="135"/>
      <c r="Z1028" s="58"/>
      <c r="AA1028" s="58"/>
      <c r="AB1028" s="58"/>
      <c r="AC1028" s="58"/>
      <c r="AD1028" s="58"/>
      <c r="AE1028" s="138"/>
      <c r="AF1028" s="136"/>
      <c r="AG1028" s="136"/>
      <c r="AH1028" s="136"/>
    </row>
    <row r="1029" spans="1:34" s="132" customFormat="1" ht="12.75" customHeight="1" x14ac:dyDescent="0.25">
      <c r="A1029" s="137"/>
      <c r="B1029" s="139"/>
      <c r="C1029" s="136"/>
      <c r="D1029" s="131"/>
      <c r="E1029" s="131"/>
      <c r="F1029" s="58"/>
      <c r="G1029" s="140"/>
      <c r="H1029" s="140"/>
      <c r="I1029" s="58"/>
      <c r="J1029" s="58"/>
      <c r="K1029" s="58"/>
      <c r="L1029" s="58"/>
      <c r="M1029" s="135"/>
      <c r="N1029" s="135"/>
      <c r="O1029" s="140"/>
      <c r="P1029" s="140"/>
      <c r="Q1029" s="140"/>
      <c r="R1029" s="140"/>
      <c r="S1029" s="140"/>
      <c r="T1029" s="140"/>
      <c r="U1029" s="140"/>
      <c r="V1029" s="140"/>
      <c r="W1029" s="140"/>
      <c r="X1029" s="140"/>
      <c r="Y1029" s="135"/>
      <c r="Z1029" s="58"/>
      <c r="AA1029" s="58"/>
      <c r="AB1029" s="58"/>
      <c r="AC1029" s="58"/>
      <c r="AD1029" s="58"/>
      <c r="AE1029" s="138"/>
      <c r="AF1029" s="136"/>
      <c r="AG1029" s="136"/>
      <c r="AH1029" s="136"/>
    </row>
    <row r="1030" spans="1:34" s="132" customFormat="1" ht="12.75" customHeight="1" x14ac:dyDescent="0.25">
      <c r="A1030" s="137"/>
      <c r="B1030" s="139"/>
      <c r="C1030" s="136"/>
      <c r="D1030" s="131"/>
      <c r="E1030" s="131"/>
      <c r="F1030" s="58"/>
      <c r="G1030" s="140"/>
      <c r="H1030" s="140"/>
      <c r="I1030" s="58"/>
      <c r="J1030" s="58"/>
      <c r="K1030" s="58"/>
      <c r="L1030" s="58"/>
      <c r="M1030" s="135"/>
      <c r="N1030" s="135"/>
      <c r="O1030" s="140"/>
      <c r="P1030" s="140"/>
      <c r="Q1030" s="140"/>
      <c r="R1030" s="140"/>
      <c r="S1030" s="140"/>
      <c r="T1030" s="140"/>
      <c r="U1030" s="140"/>
      <c r="V1030" s="140"/>
      <c r="W1030" s="140"/>
      <c r="X1030" s="140"/>
      <c r="Y1030" s="135"/>
      <c r="Z1030" s="58"/>
      <c r="AA1030" s="58"/>
      <c r="AB1030" s="58"/>
      <c r="AC1030" s="58"/>
      <c r="AD1030" s="58"/>
      <c r="AE1030" s="138"/>
      <c r="AF1030" s="136"/>
      <c r="AG1030" s="136"/>
      <c r="AH1030" s="136"/>
    </row>
    <row r="1031" spans="1:34" s="132" customFormat="1" ht="12.75" customHeight="1" x14ac:dyDescent="0.25">
      <c r="A1031" s="137"/>
      <c r="B1031" s="139"/>
      <c r="C1031" s="136"/>
      <c r="D1031" s="131"/>
      <c r="E1031" s="131"/>
      <c r="F1031" s="58"/>
      <c r="G1031" s="140"/>
      <c r="H1031" s="140"/>
      <c r="I1031" s="58"/>
      <c r="J1031" s="58"/>
      <c r="K1031" s="58"/>
      <c r="L1031" s="58"/>
      <c r="M1031" s="135"/>
      <c r="N1031" s="135"/>
      <c r="O1031" s="140"/>
      <c r="P1031" s="140"/>
      <c r="Q1031" s="140"/>
      <c r="R1031" s="140"/>
      <c r="S1031" s="140"/>
      <c r="T1031" s="140"/>
      <c r="U1031" s="140"/>
      <c r="V1031" s="140"/>
      <c r="W1031" s="140"/>
      <c r="X1031" s="140"/>
      <c r="Y1031" s="135"/>
      <c r="Z1031" s="58"/>
      <c r="AA1031" s="58"/>
      <c r="AB1031" s="58"/>
      <c r="AC1031" s="58"/>
      <c r="AD1031" s="58"/>
      <c r="AE1031" s="138"/>
      <c r="AF1031" s="136"/>
      <c r="AG1031" s="136"/>
      <c r="AH1031" s="136"/>
    </row>
    <row r="1032" spans="1:34" s="132" customFormat="1" ht="12.75" customHeight="1" x14ac:dyDescent="0.25">
      <c r="A1032" s="137"/>
      <c r="B1032" s="139"/>
      <c r="C1032" s="136"/>
      <c r="D1032" s="131"/>
      <c r="E1032" s="131"/>
      <c r="F1032" s="58"/>
      <c r="G1032" s="140"/>
      <c r="H1032" s="140"/>
      <c r="I1032" s="58"/>
      <c r="J1032" s="58"/>
      <c r="K1032" s="58"/>
      <c r="L1032" s="58"/>
      <c r="M1032" s="135"/>
      <c r="N1032" s="135"/>
      <c r="O1032" s="140"/>
      <c r="P1032" s="140"/>
      <c r="Q1032" s="140"/>
      <c r="R1032" s="140"/>
      <c r="S1032" s="140"/>
      <c r="T1032" s="140"/>
      <c r="U1032" s="140"/>
      <c r="V1032" s="140"/>
      <c r="W1032" s="140"/>
      <c r="X1032" s="140"/>
      <c r="Y1032" s="135"/>
      <c r="Z1032" s="58"/>
      <c r="AA1032" s="58"/>
      <c r="AB1032" s="58"/>
      <c r="AC1032" s="58"/>
      <c r="AD1032" s="58"/>
      <c r="AE1032" s="138"/>
      <c r="AF1032" s="136"/>
      <c r="AG1032" s="136"/>
      <c r="AH1032" s="136"/>
    </row>
    <row r="1033" spans="1:34" s="132" customFormat="1" ht="12.75" customHeight="1" x14ac:dyDescent="0.25">
      <c r="A1033" s="137"/>
      <c r="B1033" s="139"/>
      <c r="C1033" s="136"/>
      <c r="D1033" s="131"/>
      <c r="E1033" s="131"/>
      <c r="F1033" s="58"/>
      <c r="G1033" s="140"/>
      <c r="H1033" s="140"/>
      <c r="I1033" s="58"/>
      <c r="J1033" s="58"/>
      <c r="K1033" s="58"/>
      <c r="L1033" s="58"/>
      <c r="M1033" s="135"/>
      <c r="N1033" s="135"/>
      <c r="O1033" s="140"/>
      <c r="P1033" s="140"/>
      <c r="Q1033" s="140"/>
      <c r="R1033" s="140"/>
      <c r="S1033" s="140"/>
      <c r="T1033" s="140"/>
      <c r="U1033" s="140"/>
      <c r="V1033" s="140"/>
      <c r="W1033" s="140"/>
      <c r="X1033" s="140"/>
      <c r="Y1033" s="135"/>
      <c r="Z1033" s="58"/>
      <c r="AA1033" s="58"/>
      <c r="AB1033" s="58"/>
      <c r="AC1033" s="58"/>
      <c r="AD1033" s="58"/>
      <c r="AE1033" s="138"/>
      <c r="AF1033" s="136"/>
      <c r="AG1033" s="136"/>
      <c r="AH1033" s="136"/>
    </row>
    <row r="1034" spans="1:34" s="132" customFormat="1" ht="12.75" customHeight="1" x14ac:dyDescent="0.25">
      <c r="A1034" s="137"/>
      <c r="B1034" s="139"/>
      <c r="C1034" s="136"/>
      <c r="D1034" s="131"/>
      <c r="E1034" s="131"/>
      <c r="F1034" s="58"/>
      <c r="G1034" s="140"/>
      <c r="H1034" s="140"/>
      <c r="I1034" s="58"/>
      <c r="J1034" s="58"/>
      <c r="K1034" s="58"/>
      <c r="L1034" s="58"/>
      <c r="M1034" s="135"/>
      <c r="N1034" s="135"/>
      <c r="O1034" s="140"/>
      <c r="P1034" s="140"/>
      <c r="Q1034" s="140"/>
      <c r="R1034" s="140"/>
      <c r="S1034" s="140"/>
      <c r="T1034" s="140"/>
      <c r="U1034" s="140"/>
      <c r="V1034" s="140"/>
      <c r="W1034" s="140"/>
      <c r="X1034" s="140"/>
      <c r="Y1034" s="135"/>
      <c r="Z1034" s="58"/>
      <c r="AA1034" s="58"/>
      <c r="AB1034" s="58"/>
      <c r="AC1034" s="58"/>
      <c r="AD1034" s="58"/>
      <c r="AE1034" s="138"/>
      <c r="AF1034" s="136"/>
      <c r="AG1034" s="136"/>
      <c r="AH1034" s="136"/>
    </row>
    <row r="1035" spans="1:34" s="132" customFormat="1" ht="12.75" customHeight="1" x14ac:dyDescent="0.25">
      <c r="A1035" s="137"/>
      <c r="B1035" s="139"/>
      <c r="C1035" s="136"/>
      <c r="D1035" s="131"/>
      <c r="E1035" s="131"/>
      <c r="F1035" s="58"/>
      <c r="G1035" s="140"/>
      <c r="H1035" s="140"/>
      <c r="I1035" s="58"/>
      <c r="J1035" s="58"/>
      <c r="K1035" s="58"/>
      <c r="L1035" s="58"/>
      <c r="M1035" s="135"/>
      <c r="N1035" s="135"/>
      <c r="O1035" s="140"/>
      <c r="P1035" s="140"/>
      <c r="Q1035" s="140"/>
      <c r="R1035" s="140"/>
      <c r="S1035" s="140"/>
      <c r="T1035" s="140"/>
      <c r="U1035" s="140"/>
      <c r="V1035" s="140"/>
      <c r="W1035" s="140"/>
      <c r="X1035" s="140"/>
      <c r="Y1035" s="135"/>
      <c r="Z1035" s="58"/>
      <c r="AA1035" s="58"/>
      <c r="AB1035" s="58"/>
      <c r="AC1035" s="58"/>
      <c r="AD1035" s="58"/>
      <c r="AE1035" s="138"/>
      <c r="AF1035" s="136"/>
      <c r="AG1035" s="136"/>
      <c r="AH1035" s="136"/>
    </row>
    <row r="1036" spans="1:34" s="132" customFormat="1" ht="12.75" customHeight="1" x14ac:dyDescent="0.25">
      <c r="A1036" s="137"/>
      <c r="B1036" s="139"/>
      <c r="C1036" s="136"/>
      <c r="D1036" s="131"/>
      <c r="E1036" s="131"/>
      <c r="F1036" s="58"/>
      <c r="G1036" s="140"/>
      <c r="H1036" s="140"/>
      <c r="I1036" s="58"/>
      <c r="J1036" s="58"/>
      <c r="K1036" s="58"/>
      <c r="L1036" s="58"/>
      <c r="M1036" s="135"/>
      <c r="N1036" s="135"/>
      <c r="O1036" s="140"/>
      <c r="P1036" s="140"/>
      <c r="Q1036" s="140"/>
      <c r="R1036" s="140"/>
      <c r="S1036" s="140"/>
      <c r="T1036" s="140"/>
      <c r="U1036" s="140"/>
      <c r="V1036" s="140"/>
      <c r="W1036" s="140"/>
      <c r="X1036" s="140"/>
      <c r="Y1036" s="135"/>
      <c r="Z1036" s="58"/>
      <c r="AA1036" s="58"/>
      <c r="AB1036" s="58"/>
      <c r="AC1036" s="58"/>
      <c r="AD1036" s="58"/>
      <c r="AE1036" s="138"/>
      <c r="AF1036" s="136"/>
      <c r="AG1036" s="136"/>
      <c r="AH1036" s="136"/>
    </row>
    <row r="1037" spans="1:34" s="132" customFormat="1" ht="12.75" customHeight="1" x14ac:dyDescent="0.25">
      <c r="A1037" s="137"/>
      <c r="B1037" s="139"/>
      <c r="C1037" s="136"/>
      <c r="D1037" s="131"/>
      <c r="E1037" s="131"/>
      <c r="F1037" s="58"/>
      <c r="G1037" s="140"/>
      <c r="H1037" s="140"/>
      <c r="I1037" s="58"/>
      <c r="J1037" s="58"/>
      <c r="K1037" s="58"/>
      <c r="L1037" s="58"/>
      <c r="M1037" s="135"/>
      <c r="N1037" s="135"/>
      <c r="O1037" s="140"/>
      <c r="P1037" s="140"/>
      <c r="Q1037" s="140"/>
      <c r="R1037" s="140"/>
      <c r="S1037" s="140"/>
      <c r="T1037" s="140"/>
      <c r="U1037" s="140"/>
      <c r="V1037" s="140"/>
      <c r="W1037" s="140"/>
      <c r="X1037" s="140"/>
      <c r="Y1037" s="135"/>
      <c r="Z1037" s="58"/>
      <c r="AA1037" s="58"/>
      <c r="AB1037" s="58"/>
      <c r="AC1037" s="58"/>
      <c r="AD1037" s="58"/>
      <c r="AE1037" s="138"/>
      <c r="AF1037" s="136"/>
      <c r="AG1037" s="136"/>
      <c r="AH1037" s="136"/>
    </row>
    <row r="1038" spans="1:34" s="132" customFormat="1" ht="12.75" customHeight="1" x14ac:dyDescent="0.25">
      <c r="A1038" s="137"/>
      <c r="B1038" s="139"/>
      <c r="C1038" s="136"/>
      <c r="D1038" s="131"/>
      <c r="E1038" s="131"/>
      <c r="F1038" s="58"/>
      <c r="G1038" s="140"/>
      <c r="H1038" s="140"/>
      <c r="I1038" s="58"/>
      <c r="J1038" s="58"/>
      <c r="K1038" s="58"/>
      <c r="L1038" s="58"/>
      <c r="M1038" s="135"/>
      <c r="N1038" s="135"/>
      <c r="O1038" s="140"/>
      <c r="P1038" s="140"/>
      <c r="Q1038" s="140"/>
      <c r="R1038" s="140"/>
      <c r="S1038" s="140"/>
      <c r="T1038" s="140"/>
      <c r="U1038" s="140"/>
      <c r="V1038" s="140"/>
      <c r="W1038" s="140"/>
      <c r="X1038" s="140"/>
      <c r="Y1038" s="135"/>
      <c r="Z1038" s="58"/>
      <c r="AA1038" s="58"/>
      <c r="AB1038" s="58"/>
      <c r="AC1038" s="58"/>
      <c r="AD1038" s="58"/>
      <c r="AE1038" s="138"/>
      <c r="AF1038" s="136"/>
      <c r="AG1038" s="136"/>
      <c r="AH1038" s="136"/>
    </row>
    <row r="1039" spans="1:34" s="132" customFormat="1" ht="12.75" customHeight="1" x14ac:dyDescent="0.25">
      <c r="A1039" s="137"/>
      <c r="B1039" s="139"/>
      <c r="C1039" s="136"/>
      <c r="D1039" s="131"/>
      <c r="E1039" s="131"/>
      <c r="F1039" s="58"/>
      <c r="G1039" s="140"/>
      <c r="H1039" s="140"/>
      <c r="I1039" s="58"/>
      <c r="J1039" s="58"/>
      <c r="K1039" s="58"/>
      <c r="L1039" s="58"/>
      <c r="M1039" s="135"/>
      <c r="N1039" s="135"/>
      <c r="O1039" s="140"/>
      <c r="P1039" s="140"/>
      <c r="Q1039" s="140"/>
      <c r="R1039" s="140"/>
      <c r="S1039" s="140"/>
      <c r="T1039" s="140"/>
      <c r="U1039" s="140"/>
      <c r="V1039" s="140"/>
      <c r="W1039" s="140"/>
      <c r="X1039" s="140"/>
      <c r="Y1039" s="135"/>
      <c r="Z1039" s="58"/>
      <c r="AA1039" s="58"/>
      <c r="AB1039" s="58"/>
      <c r="AC1039" s="58"/>
      <c r="AD1039" s="58"/>
      <c r="AE1039" s="138"/>
      <c r="AF1039" s="136"/>
      <c r="AG1039" s="136"/>
      <c r="AH1039" s="136"/>
    </row>
    <row r="1040" spans="1:34" s="132" customFormat="1" ht="12.75" customHeight="1" x14ac:dyDescent="0.25">
      <c r="A1040" s="137"/>
      <c r="B1040" s="139"/>
      <c r="C1040" s="136"/>
      <c r="D1040" s="131"/>
      <c r="E1040" s="131"/>
      <c r="F1040" s="58"/>
      <c r="G1040" s="140"/>
      <c r="H1040" s="140"/>
      <c r="I1040" s="58"/>
      <c r="J1040" s="58"/>
      <c r="K1040" s="58"/>
      <c r="L1040" s="58"/>
      <c r="M1040" s="135"/>
      <c r="N1040" s="135"/>
      <c r="O1040" s="140"/>
      <c r="P1040" s="140"/>
      <c r="Q1040" s="140"/>
      <c r="R1040" s="140"/>
      <c r="S1040" s="140"/>
      <c r="T1040" s="140"/>
      <c r="U1040" s="140"/>
      <c r="V1040" s="140"/>
      <c r="W1040" s="140"/>
      <c r="X1040" s="140"/>
      <c r="Y1040" s="135"/>
      <c r="Z1040" s="58"/>
      <c r="AA1040" s="58"/>
      <c r="AB1040" s="58"/>
      <c r="AC1040" s="58"/>
      <c r="AD1040" s="58"/>
      <c r="AE1040" s="138"/>
      <c r="AF1040" s="136"/>
      <c r="AG1040" s="136"/>
      <c r="AH1040" s="136"/>
    </row>
    <row r="1041" spans="1:34" s="132" customFormat="1" ht="12.75" customHeight="1" x14ac:dyDescent="0.25">
      <c r="A1041" s="137"/>
      <c r="B1041" s="139"/>
      <c r="C1041" s="136"/>
      <c r="D1041" s="131"/>
      <c r="E1041" s="131"/>
      <c r="F1041" s="58"/>
      <c r="G1041" s="140"/>
      <c r="H1041" s="140"/>
      <c r="I1041" s="58"/>
      <c r="J1041" s="58"/>
      <c r="K1041" s="58"/>
      <c r="L1041" s="58"/>
      <c r="M1041" s="135"/>
      <c r="N1041" s="135"/>
      <c r="O1041" s="140"/>
      <c r="P1041" s="140"/>
      <c r="Q1041" s="140"/>
      <c r="R1041" s="140"/>
      <c r="S1041" s="140"/>
      <c r="T1041" s="140"/>
      <c r="U1041" s="140"/>
      <c r="V1041" s="140"/>
      <c r="W1041" s="140"/>
      <c r="X1041" s="140"/>
      <c r="Y1041" s="135"/>
      <c r="Z1041" s="58"/>
      <c r="AA1041" s="58"/>
      <c r="AB1041" s="58"/>
      <c r="AC1041" s="58"/>
      <c r="AD1041" s="58"/>
      <c r="AE1041" s="138"/>
      <c r="AF1041" s="136"/>
      <c r="AG1041" s="136"/>
      <c r="AH1041" s="136"/>
    </row>
    <row r="1042" spans="1:34" s="132" customFormat="1" ht="12.75" customHeight="1" x14ac:dyDescent="0.25">
      <c r="A1042" s="137"/>
      <c r="B1042" s="139"/>
      <c r="C1042" s="136"/>
      <c r="D1042" s="131"/>
      <c r="E1042" s="131"/>
      <c r="F1042" s="58"/>
      <c r="G1042" s="140"/>
      <c r="H1042" s="140"/>
      <c r="I1042" s="58"/>
      <c r="J1042" s="58"/>
      <c r="K1042" s="58"/>
      <c r="L1042" s="58"/>
      <c r="M1042" s="135"/>
      <c r="N1042" s="135"/>
      <c r="O1042" s="140"/>
      <c r="P1042" s="140"/>
      <c r="Q1042" s="140"/>
      <c r="R1042" s="140"/>
      <c r="S1042" s="140"/>
      <c r="T1042" s="140"/>
      <c r="U1042" s="140"/>
      <c r="V1042" s="140"/>
      <c r="W1042" s="140"/>
      <c r="X1042" s="140"/>
      <c r="Y1042" s="135"/>
      <c r="Z1042" s="58"/>
      <c r="AA1042" s="58"/>
      <c r="AB1042" s="58"/>
      <c r="AC1042" s="58"/>
      <c r="AD1042" s="58"/>
      <c r="AE1042" s="138"/>
      <c r="AF1042" s="136"/>
      <c r="AG1042" s="136"/>
      <c r="AH1042" s="136"/>
    </row>
    <row r="1043" spans="1:34" s="132" customFormat="1" ht="12.75" customHeight="1" x14ac:dyDescent="0.25">
      <c r="A1043" s="137"/>
      <c r="B1043" s="139"/>
      <c r="C1043" s="136"/>
      <c r="D1043" s="131"/>
      <c r="E1043" s="131"/>
      <c r="F1043" s="58"/>
      <c r="G1043" s="140"/>
      <c r="H1043" s="140"/>
      <c r="I1043" s="58"/>
      <c r="J1043" s="58"/>
      <c r="K1043" s="58"/>
      <c r="L1043" s="58"/>
      <c r="M1043" s="135"/>
      <c r="N1043" s="135"/>
      <c r="O1043" s="140"/>
      <c r="P1043" s="140"/>
      <c r="Q1043" s="140"/>
      <c r="R1043" s="140"/>
      <c r="S1043" s="140"/>
      <c r="T1043" s="140"/>
      <c r="U1043" s="140"/>
      <c r="V1043" s="140"/>
      <c r="W1043" s="140"/>
      <c r="X1043" s="140"/>
      <c r="Y1043" s="135"/>
      <c r="Z1043" s="58"/>
      <c r="AA1043" s="58"/>
      <c r="AB1043" s="58"/>
      <c r="AC1043" s="58"/>
      <c r="AD1043" s="58"/>
      <c r="AE1043" s="138"/>
      <c r="AF1043" s="136"/>
      <c r="AG1043" s="136"/>
      <c r="AH1043" s="136"/>
    </row>
    <row r="1044" spans="1:34" s="132" customFormat="1" ht="12.75" customHeight="1" x14ac:dyDescent="0.25">
      <c r="A1044" s="137"/>
      <c r="B1044" s="139"/>
      <c r="C1044" s="136"/>
      <c r="D1044" s="131"/>
      <c r="E1044" s="131"/>
      <c r="F1044" s="58"/>
      <c r="G1044" s="140"/>
      <c r="H1044" s="140"/>
      <c r="I1044" s="58"/>
      <c r="J1044" s="58"/>
      <c r="K1044" s="58"/>
      <c r="L1044" s="58"/>
      <c r="M1044" s="135"/>
      <c r="N1044" s="135"/>
      <c r="O1044" s="140"/>
      <c r="P1044" s="140"/>
      <c r="Q1044" s="140"/>
      <c r="R1044" s="140"/>
      <c r="S1044" s="140"/>
      <c r="T1044" s="140"/>
      <c r="U1044" s="140"/>
      <c r="V1044" s="140"/>
      <c r="W1044" s="140"/>
      <c r="X1044" s="140"/>
      <c r="Y1044" s="135"/>
      <c r="Z1044" s="58"/>
      <c r="AA1044" s="58"/>
      <c r="AB1044" s="58"/>
      <c r="AC1044" s="58"/>
      <c r="AD1044" s="58"/>
      <c r="AE1044" s="138"/>
      <c r="AF1044" s="136"/>
      <c r="AG1044" s="136"/>
      <c r="AH1044" s="136"/>
    </row>
    <row r="1045" spans="1:34" s="132" customFormat="1" ht="12.75" customHeight="1" x14ac:dyDescent="0.25">
      <c r="A1045" s="137"/>
      <c r="B1045" s="139"/>
      <c r="C1045" s="136"/>
      <c r="D1045" s="131"/>
      <c r="E1045" s="131"/>
      <c r="F1045" s="58"/>
      <c r="G1045" s="140"/>
      <c r="H1045" s="140"/>
      <c r="I1045" s="58"/>
      <c r="J1045" s="58"/>
      <c r="K1045" s="58"/>
      <c r="L1045" s="58"/>
      <c r="M1045" s="135"/>
      <c r="N1045" s="135"/>
      <c r="O1045" s="140"/>
      <c r="P1045" s="140"/>
      <c r="Q1045" s="140"/>
      <c r="R1045" s="140"/>
      <c r="S1045" s="140"/>
      <c r="T1045" s="140"/>
      <c r="U1045" s="140"/>
      <c r="V1045" s="140"/>
      <c r="W1045" s="140"/>
      <c r="X1045" s="140"/>
      <c r="Y1045" s="135"/>
      <c r="Z1045" s="58"/>
      <c r="AA1045" s="58"/>
      <c r="AB1045" s="58"/>
      <c r="AC1045" s="58"/>
      <c r="AD1045" s="58"/>
      <c r="AE1045" s="138"/>
      <c r="AF1045" s="136"/>
      <c r="AG1045" s="136"/>
      <c r="AH1045" s="136"/>
    </row>
    <row r="1046" spans="1:34" s="132" customFormat="1" ht="12.75" customHeight="1" x14ac:dyDescent="0.25">
      <c r="A1046" s="137"/>
      <c r="B1046" s="139"/>
      <c r="C1046" s="136"/>
      <c r="D1046" s="131"/>
      <c r="E1046" s="131"/>
      <c r="F1046" s="58"/>
      <c r="G1046" s="140"/>
      <c r="H1046" s="140"/>
      <c r="I1046" s="58"/>
      <c r="J1046" s="58"/>
      <c r="K1046" s="58"/>
      <c r="L1046" s="58"/>
      <c r="M1046" s="135"/>
      <c r="N1046" s="135"/>
      <c r="O1046" s="140"/>
      <c r="P1046" s="140"/>
      <c r="Q1046" s="140"/>
      <c r="R1046" s="140"/>
      <c r="S1046" s="140"/>
      <c r="T1046" s="140"/>
      <c r="U1046" s="140"/>
      <c r="V1046" s="140"/>
      <c r="W1046" s="140"/>
      <c r="X1046" s="140"/>
      <c r="Y1046" s="135"/>
      <c r="Z1046" s="58"/>
      <c r="AA1046" s="58"/>
      <c r="AB1046" s="58"/>
      <c r="AC1046" s="58"/>
      <c r="AD1046" s="58"/>
      <c r="AE1046" s="138"/>
      <c r="AF1046" s="136"/>
      <c r="AG1046" s="136"/>
      <c r="AH1046" s="136"/>
    </row>
    <row r="1047" spans="1:34" s="132" customFormat="1" ht="12.75" customHeight="1" x14ac:dyDescent="0.25">
      <c r="A1047" s="137"/>
      <c r="B1047" s="139"/>
      <c r="C1047" s="136"/>
      <c r="D1047" s="131"/>
      <c r="E1047" s="131"/>
      <c r="F1047" s="58"/>
      <c r="G1047" s="140"/>
      <c r="H1047" s="140"/>
      <c r="I1047" s="58"/>
      <c r="J1047" s="58"/>
      <c r="K1047" s="58"/>
      <c r="L1047" s="58"/>
      <c r="M1047" s="135"/>
      <c r="N1047" s="135"/>
      <c r="O1047" s="140"/>
      <c r="P1047" s="140"/>
      <c r="Q1047" s="140"/>
      <c r="R1047" s="140"/>
      <c r="S1047" s="140"/>
      <c r="T1047" s="140"/>
      <c r="U1047" s="140"/>
      <c r="V1047" s="140"/>
      <c r="W1047" s="140"/>
      <c r="X1047" s="140"/>
      <c r="Y1047" s="135"/>
      <c r="Z1047" s="58"/>
      <c r="AA1047" s="58"/>
      <c r="AB1047" s="58"/>
      <c r="AC1047" s="58"/>
      <c r="AD1047" s="58"/>
      <c r="AE1047" s="138"/>
      <c r="AF1047" s="136"/>
      <c r="AG1047" s="136"/>
      <c r="AH1047" s="136"/>
    </row>
    <row r="1048" spans="1:34" s="132" customFormat="1" ht="12.75" customHeight="1" x14ac:dyDescent="0.25">
      <c r="A1048" s="137"/>
      <c r="B1048" s="139"/>
      <c r="C1048" s="136"/>
      <c r="D1048" s="131"/>
      <c r="E1048" s="131"/>
      <c r="F1048" s="58"/>
      <c r="G1048" s="140"/>
      <c r="H1048" s="140"/>
      <c r="I1048" s="58"/>
      <c r="J1048" s="58"/>
      <c r="K1048" s="58"/>
      <c r="L1048" s="58"/>
      <c r="M1048" s="135"/>
      <c r="N1048" s="135"/>
      <c r="O1048" s="140"/>
      <c r="P1048" s="140"/>
      <c r="Q1048" s="140"/>
      <c r="R1048" s="140"/>
      <c r="S1048" s="140"/>
      <c r="T1048" s="140"/>
      <c r="U1048" s="140"/>
      <c r="V1048" s="140"/>
      <c r="W1048" s="140"/>
      <c r="X1048" s="140"/>
      <c r="Y1048" s="135"/>
      <c r="Z1048" s="58"/>
      <c r="AA1048" s="58"/>
      <c r="AB1048" s="58"/>
      <c r="AC1048" s="58"/>
      <c r="AD1048" s="58"/>
      <c r="AE1048" s="138"/>
      <c r="AF1048" s="136"/>
      <c r="AG1048" s="136"/>
      <c r="AH1048" s="136"/>
    </row>
    <row r="1049" spans="1:34" s="132" customFormat="1" ht="12.75" customHeight="1" x14ac:dyDescent="0.25">
      <c r="A1049" s="137"/>
      <c r="B1049" s="139"/>
      <c r="C1049" s="136"/>
      <c r="D1049" s="131"/>
      <c r="E1049" s="131"/>
      <c r="F1049" s="58"/>
      <c r="G1049" s="140"/>
      <c r="H1049" s="140"/>
      <c r="I1049" s="58"/>
      <c r="J1049" s="58"/>
      <c r="K1049" s="58"/>
      <c r="L1049" s="58"/>
      <c r="M1049" s="135"/>
      <c r="N1049" s="135"/>
      <c r="O1049" s="140"/>
      <c r="P1049" s="140"/>
      <c r="Q1049" s="140"/>
      <c r="R1049" s="140"/>
      <c r="S1049" s="140"/>
      <c r="T1049" s="140"/>
      <c r="U1049" s="140"/>
      <c r="V1049" s="140"/>
      <c r="W1049" s="140"/>
      <c r="X1049" s="140"/>
      <c r="Y1049" s="135"/>
      <c r="Z1049" s="58"/>
      <c r="AA1049" s="58"/>
      <c r="AB1049" s="58"/>
      <c r="AC1049" s="58"/>
      <c r="AD1049" s="58"/>
      <c r="AE1049" s="138"/>
      <c r="AF1049" s="136"/>
      <c r="AG1049" s="136"/>
      <c r="AH1049" s="136"/>
    </row>
    <row r="1050" spans="1:34" s="132" customFormat="1" ht="12.75" customHeight="1" x14ac:dyDescent="0.25">
      <c r="A1050" s="137"/>
      <c r="B1050" s="139"/>
      <c r="C1050" s="136"/>
      <c r="D1050" s="131"/>
      <c r="E1050" s="131"/>
      <c r="F1050" s="58"/>
      <c r="G1050" s="140"/>
      <c r="H1050" s="140"/>
      <c r="I1050" s="58"/>
      <c r="J1050" s="58"/>
      <c r="K1050" s="58"/>
      <c r="L1050" s="58"/>
      <c r="M1050" s="135"/>
      <c r="N1050" s="135"/>
      <c r="O1050" s="140"/>
      <c r="P1050" s="140"/>
      <c r="Q1050" s="140"/>
      <c r="R1050" s="140"/>
      <c r="S1050" s="140"/>
      <c r="T1050" s="140"/>
      <c r="U1050" s="140"/>
      <c r="V1050" s="140"/>
      <c r="W1050" s="140"/>
      <c r="X1050" s="140"/>
      <c r="Y1050" s="135"/>
      <c r="Z1050" s="58"/>
      <c r="AA1050" s="58"/>
      <c r="AB1050" s="58"/>
      <c r="AC1050" s="58"/>
      <c r="AD1050" s="58"/>
      <c r="AE1050" s="138"/>
      <c r="AF1050" s="136"/>
      <c r="AG1050" s="136"/>
      <c r="AH1050" s="136"/>
    </row>
    <row r="1051" spans="1:34" s="132" customFormat="1" ht="12.75" customHeight="1" x14ac:dyDescent="0.25">
      <c r="A1051" s="137"/>
      <c r="B1051" s="139"/>
      <c r="C1051" s="136"/>
      <c r="D1051" s="131"/>
      <c r="E1051" s="131"/>
      <c r="F1051" s="58"/>
      <c r="G1051" s="140"/>
      <c r="H1051" s="140"/>
      <c r="I1051" s="58"/>
      <c r="J1051" s="58"/>
      <c r="K1051" s="58"/>
      <c r="L1051" s="58"/>
      <c r="M1051" s="135"/>
      <c r="N1051" s="135"/>
      <c r="O1051" s="140"/>
      <c r="P1051" s="140"/>
      <c r="Q1051" s="140"/>
      <c r="R1051" s="140"/>
      <c r="S1051" s="140"/>
      <c r="T1051" s="140"/>
      <c r="U1051" s="140"/>
      <c r="V1051" s="140"/>
      <c r="W1051" s="140"/>
      <c r="X1051" s="140"/>
      <c r="Y1051" s="135"/>
      <c r="Z1051" s="58"/>
      <c r="AA1051" s="58"/>
      <c r="AB1051" s="58"/>
      <c r="AC1051" s="58"/>
      <c r="AD1051" s="58"/>
      <c r="AE1051" s="138"/>
      <c r="AF1051" s="136"/>
      <c r="AG1051" s="136"/>
      <c r="AH1051" s="136"/>
    </row>
    <row r="1052" spans="1:34" s="132" customFormat="1" ht="15" customHeight="1" x14ac:dyDescent="0.25">
      <c r="A1052" s="110"/>
      <c r="M1052" s="110"/>
      <c r="N1052" s="110"/>
      <c r="Y1052" s="110"/>
      <c r="AE1052" s="110"/>
    </row>
    <row r="1053" spans="1:34" ht="15" customHeight="1" x14ac:dyDescent="0.25">
      <c r="N1053" s="29"/>
    </row>
  </sheetData>
  <sheetProtection algorithmName="SHA-512" hashValue="lyLg6NX59FrIf8UAN8Ss8GecdpZxqTog6A1T6vnkdCsU10me9yTvrxcTpv3DgFa2HUO5Cfb0xfmOA3/5eHWNlw==" saltValue="8s+wxYcL4u8m3AiBKlJQWg==" spinCount="100000" sheet="1" objects="1" scenarios="1"/>
  <mergeCells count="4">
    <mergeCell ref="Z2:AD2"/>
    <mergeCell ref="B1:D2"/>
    <mergeCell ref="N2:X2"/>
    <mergeCell ref="F2:L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AH1053"/>
  <sheetViews>
    <sheetView topLeftCell="B1" zoomScale="75" zoomScaleNormal="75" zoomScalePageLayoutView="85" workbookViewId="0">
      <pane xSplit="3" ySplit="3" topLeftCell="E117" activePane="bottomRight" state="frozen"/>
      <selection activeCell="B1" sqref="B1:D2"/>
      <selection pane="topRight" activeCell="B1" sqref="B1:D2"/>
      <selection pane="bottomLeft" activeCell="B1" sqref="B1:D2"/>
      <selection pane="bottomRight" activeCell="S127" sqref="S127"/>
    </sheetView>
  </sheetViews>
  <sheetFormatPr defaultColWidth="17.21875" defaultRowHeight="13.2" x14ac:dyDescent="0.25"/>
  <cols>
    <col min="1" max="1" width="8.77734375" style="29" hidden="1" customWidth="1"/>
    <col min="2" max="2" width="17.77734375" style="61" customWidth="1"/>
    <col min="3" max="3" width="5.44140625" style="61" hidden="1" customWidth="1"/>
    <col min="4" max="4" width="6.44140625" style="61" customWidth="1"/>
    <col min="5" max="5" width="2.44140625" style="132" customWidth="1"/>
    <col min="6" max="6" width="8.44140625" style="61" customWidth="1"/>
    <col min="7" max="7" width="7.21875" style="61" customWidth="1"/>
    <col min="8" max="8" width="6.21875" style="61" customWidth="1"/>
    <col min="9" max="9" width="6.44140625" style="61" customWidth="1"/>
    <col min="10" max="10" width="10.21875" style="61" customWidth="1"/>
    <col min="11" max="11" width="6.44140625" style="61" customWidth="1"/>
    <col min="12" max="12" width="8.44140625" style="61" bestFit="1" customWidth="1"/>
    <col min="13" max="13" width="2.21875" style="110" customWidth="1"/>
    <col min="14" max="14" width="10.44140625" style="61" bestFit="1" customWidth="1"/>
    <col min="15" max="15" width="13.44140625" style="61" bestFit="1" customWidth="1"/>
    <col min="16" max="16" width="16.21875" style="61" bestFit="1" customWidth="1"/>
    <col min="17" max="17" width="16.21875" style="61" customWidth="1"/>
    <col min="18" max="19" width="15.21875" style="61" customWidth="1"/>
    <col min="20" max="21" width="16.21875" style="61" customWidth="1"/>
    <col min="22" max="22" width="10.44140625" style="61" customWidth="1"/>
    <col min="23" max="24" width="10.77734375" style="61" bestFit="1" customWidth="1"/>
    <col min="25" max="25" width="2.21875" style="110" customWidth="1"/>
    <col min="26" max="26" width="8" style="61" customWidth="1"/>
    <col min="27" max="27" width="7.44140625" style="61" customWidth="1"/>
    <col min="28" max="28" width="6.21875" style="61" customWidth="1"/>
    <col min="29" max="29" width="10.44140625" style="61" bestFit="1" customWidth="1"/>
    <col min="30" max="30" width="11" style="61" customWidth="1"/>
    <col min="31" max="31" width="9.21875" style="29" customWidth="1"/>
    <col min="32" max="34" width="8.77734375" style="61" customWidth="1"/>
    <col min="35" max="16384" width="17.21875" style="61"/>
  </cols>
  <sheetData>
    <row r="1" spans="1:34" ht="15.75" customHeight="1" thickBot="1" x14ac:dyDescent="0.35">
      <c r="A1" s="48"/>
      <c r="B1" s="572" t="s">
        <v>234</v>
      </c>
      <c r="C1" s="572"/>
      <c r="D1" s="572"/>
      <c r="E1" s="281"/>
      <c r="F1" s="3"/>
      <c r="H1" s="3"/>
      <c r="I1" s="3"/>
      <c r="J1" s="3"/>
      <c r="K1" s="3"/>
      <c r="L1" s="3"/>
      <c r="M1" s="13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33"/>
      <c r="Z1" s="3"/>
      <c r="AA1" s="3"/>
      <c r="AB1" s="3"/>
      <c r="AC1" s="3"/>
      <c r="AD1" s="3"/>
      <c r="AE1" s="47"/>
      <c r="AF1" s="18"/>
      <c r="AG1" s="18"/>
      <c r="AH1" s="18"/>
    </row>
    <row r="2" spans="1:34" ht="17.25" customHeight="1" thickBot="1" x14ac:dyDescent="0.3">
      <c r="A2" s="84"/>
      <c r="B2" s="577"/>
      <c r="C2" s="577"/>
      <c r="D2" s="577"/>
      <c r="E2" s="281"/>
      <c r="F2" s="569" t="s">
        <v>215</v>
      </c>
      <c r="G2" s="570"/>
      <c r="H2" s="570"/>
      <c r="I2" s="570"/>
      <c r="J2" s="570"/>
      <c r="K2" s="570"/>
      <c r="L2" s="571"/>
      <c r="M2" s="134"/>
      <c r="N2" s="574" t="s">
        <v>217</v>
      </c>
      <c r="O2" s="575"/>
      <c r="P2" s="575"/>
      <c r="Q2" s="575"/>
      <c r="R2" s="575"/>
      <c r="S2" s="575"/>
      <c r="T2" s="575"/>
      <c r="U2" s="575"/>
      <c r="V2" s="575"/>
      <c r="W2" s="575"/>
      <c r="X2" s="576"/>
      <c r="Y2" s="129"/>
      <c r="Z2" s="569" t="s">
        <v>218</v>
      </c>
      <c r="AA2" s="570"/>
      <c r="AB2" s="570"/>
      <c r="AC2" s="570"/>
      <c r="AD2" s="571"/>
      <c r="AE2" s="49"/>
      <c r="AF2" s="7"/>
      <c r="AG2" s="7"/>
      <c r="AH2" s="7"/>
    </row>
    <row r="3" spans="1:34" ht="52.8" x14ac:dyDescent="0.25">
      <c r="A3" s="51"/>
      <c r="B3" s="168" t="s">
        <v>82</v>
      </c>
      <c r="C3" s="169" t="s">
        <v>83</v>
      </c>
      <c r="D3" s="170" t="s">
        <v>84</v>
      </c>
      <c r="E3" s="129"/>
      <c r="F3" s="147" t="s">
        <v>85</v>
      </c>
      <c r="G3" s="148" t="s">
        <v>248</v>
      </c>
      <c r="H3" s="149" t="s">
        <v>249</v>
      </c>
      <c r="I3" s="150" t="s">
        <v>39</v>
      </c>
      <c r="J3" s="150" t="s">
        <v>232</v>
      </c>
      <c r="K3" s="150" t="s">
        <v>88</v>
      </c>
      <c r="L3" s="151" t="s">
        <v>89</v>
      </c>
      <c r="M3" s="134"/>
      <c r="N3" s="191" t="s">
        <v>158</v>
      </c>
      <c r="O3" s="149" t="s">
        <v>155</v>
      </c>
      <c r="P3" s="149" t="s">
        <v>224</v>
      </c>
      <c r="Q3" s="149" t="s">
        <v>223</v>
      </c>
      <c r="R3" s="155" t="s">
        <v>171</v>
      </c>
      <c r="S3" s="149" t="s">
        <v>228</v>
      </c>
      <c r="T3" s="149" t="s">
        <v>225</v>
      </c>
      <c r="U3" s="149" t="s">
        <v>226</v>
      </c>
      <c r="V3" s="155" t="s">
        <v>227</v>
      </c>
      <c r="W3" s="155" t="s">
        <v>159</v>
      </c>
      <c r="X3" s="156" t="s">
        <v>166</v>
      </c>
      <c r="Y3" s="129"/>
      <c r="Z3" s="159" t="s">
        <v>165</v>
      </c>
      <c r="AA3" s="150" t="s">
        <v>153</v>
      </c>
      <c r="AB3" s="150" t="s">
        <v>154</v>
      </c>
      <c r="AC3" s="149" t="s">
        <v>156</v>
      </c>
      <c r="AD3" s="160" t="s">
        <v>219</v>
      </c>
      <c r="AE3" s="50"/>
      <c r="AF3" s="6"/>
      <c r="AG3" s="6"/>
      <c r="AH3" s="6"/>
    </row>
    <row r="4" spans="1:34" ht="12.75" customHeight="1" x14ac:dyDescent="0.25">
      <c r="A4" s="48">
        <v>1</v>
      </c>
      <c r="B4" s="171" t="str">
        <f>IF(A4&lt;=SUM(Stand!$H$3:$H$29),VLOOKUP(A4,Stand!$A$3:$C$29,3,TRUE),"")</f>
        <v/>
      </c>
      <c r="C4" s="172" t="str">
        <f t="shared" ref="C4:C67" si="0">IF(LEN(B4)&gt;0,IF(B4=B3,C3+1,1),"")</f>
        <v/>
      </c>
      <c r="D4" s="173" t="str">
        <f>IF(B4="","",VLOOKUP(B4&amp;C4,Plot!$B$2:$D$199,3,FALSE))</f>
        <v/>
      </c>
      <c r="E4" s="130"/>
      <c r="F4" s="152" t="str">
        <f>IF(B4="","",SUMIFS(Tree!$O:$O,Tree!$A:$A,'Pre-Harvest Plots_rpt'!$B4,Tree!$B:$B,'Pre-Harvest Plots_rpt'!$D4,Tree!$F:$F,"L",Tree!$K:$K,"&lt;&gt;"&amp;"Y"))</f>
        <v/>
      </c>
      <c r="G4" s="153" t="str">
        <f>IFERROR(IF(D4="","",SUMIFS(Tree!$P:$P,Tree!$A:$A,'Pre-Harvest Plots_rpt'!$B4,Tree!$B:$B,'Pre-Harvest Plots_rpt'!$D4,Tree!$K:$K,"&lt;&gt;"&amp;"Y")/$F4),"")</f>
        <v/>
      </c>
      <c r="H4" s="122" t="str">
        <f t="shared" ref="H4:H67" si="1">IF(F4=0,"",IF(F4="","",((I4/F4)/0.005454)^0.5))</f>
        <v/>
      </c>
      <c r="I4" s="121" t="str">
        <f>IF(OR($F4=0,$F4=""),"",SUMIFS(Tree!$R:$R,Tree!$A:$A,'Pre-Harvest Plots_rpt'!$B4,Tree!$B:$B,'Pre-Harvest Plots_rpt'!$D4,Tree!$F:$F,"L",Tree!$K:$K,"&lt;&gt;"&amp;"Y"))</f>
        <v/>
      </c>
      <c r="J4" s="121" t="str">
        <f>IF(OR($F4=0,$F4=""),"",IF(SUMIFS(Tree!$W:$W,Tree!$A:$A,'Pre-Harvest Plots_rpt'!$B4,Tree!$B:$B,'Pre-Harvest Plots_rpt'!$D4,Tree!$F:$F,"L",Tree!$K:$K,"&lt;&gt;"&amp;"Y")=0,0,AVERAGEIFS(Tree!$W:$W,Tree!$A:$A,'Pre-Harvest Plots_rpt'!$B4,Tree!$B:$B,'Pre-Harvest Plots_rpt'!$D4,Tree!$F:$F,"L",Tree!$K:$K,"&lt;&gt;"&amp;"Y")))</f>
        <v/>
      </c>
      <c r="K4" s="121" t="str">
        <f>IF($F4="","",SUMIFS(Tree!$S:$S,Tree!$A:$A,'Pre-Harvest Plots_rpt'!$B4,Tree!$B:$B,'Pre-Harvest Plots_rpt'!$D4,Tree!$F:$F,"L",Tree!$K:$K,"&lt;&gt;"&amp;"Y"))</f>
        <v/>
      </c>
      <c r="L4" s="154" t="str">
        <f t="shared" ref="L4:L67" si="2">IF($F4="","",IF(D4=0,0,I4/(H4^0.5)))</f>
        <v/>
      </c>
      <c r="M4" s="135"/>
      <c r="N4" s="192" t="str">
        <f>IF(B4="","",SUMIFS(Tree!$AM:$AM,Tree!$A:$A,'Pre-Harvest Plots_rpt'!$B4,Tree!$B:$B,'Pre-Harvest Plots_rpt'!$D4,Tree!$F:$F,"L",Tree!$K:$K,"&lt;&gt;"&amp;"Y"))</f>
        <v/>
      </c>
      <c r="O4" s="122" t="str">
        <f>IF(B4="","",SUMIFS(Tree!$AN:$AN,Tree!$A:$A,'Pre-Harvest Plots_rpt'!$B4,Tree!$B:$B,'Pre-Harvest Plots_rpt'!$D4,Tree!$F:$F,"L",Tree!$K:$K,"&lt;&gt;"&amp;"Y"))</f>
        <v/>
      </c>
      <c r="P4" s="122" t="str">
        <f>IF(B4="","",SUMIFS(Tree!$AO:$AO,Tree!$A:$A,'Pre-Harvest Plots_rpt'!$B4,Tree!$B:$B,'Pre-Harvest Plots_rpt'!$D4,Tree!$F:$F,"L",Tree!$K:$K,"&lt;&gt;"&amp;"Y"))</f>
        <v/>
      </c>
      <c r="Q4" s="122" t="str">
        <f>IF(B4="","",SUMIFS(Tree!$AP:$AP,Tree!$A:$A,'Pre-Harvest Plots_rpt'!$B4,Tree!$B:$B,'Pre-Harvest Plots_rpt'!$D4,Tree!$F:$F,"L",Tree!$K:$K,"&lt;&gt;"&amp;"Y"))</f>
        <v/>
      </c>
      <c r="R4" s="123" t="str">
        <f>IF(B4="","",SUMIFS(Tree!$AQ:$AQ,Tree!$A:$A,'Pre-Harvest Plots_rpt'!$B4,Tree!$B:$B,'Pre-Harvest Plots_rpt'!$D4,Tree!$F:$F,"L",Tree!$K:$K,"&lt;&gt;"&amp;"Y"))</f>
        <v/>
      </c>
      <c r="S4" s="122" t="str">
        <f>IF(B4="","",SUMIFS(Tree!$AJ:$AJ,Tree!$A:$A,'Pre-Harvest Plots_rpt'!$B4,Tree!$B:$B,'Pre-Harvest Plots_rpt'!$D4,Tree!$F:$F,"L",Tree!$K:$K,"&lt;&gt;"&amp;"Y")-O4)</f>
        <v/>
      </c>
      <c r="T4" s="122" t="str">
        <f>IF(B4="","",SUMIFS(Tree!$AK:$AK,Tree!$A:$A,'Pre-Harvest Plots_rpt'!$B4,Tree!$B:$B,'Pre-Harvest Plots_rpt'!$D4,Tree!$F:$F,"L",Tree!$K:$K,"&lt;&gt;"&amp;"Y")-P4)</f>
        <v/>
      </c>
      <c r="U4" s="122" t="str">
        <f>IF(B4="","",SUMIFS(Tree!$AL:$AL,Tree!$A:$A,'Pre-Harvest Plots_rpt'!$B4,Tree!$B:$B,'Pre-Harvest Plots_rpt'!$D4,Tree!$F:$F,"L",Tree!$K:$K,"&lt;&gt;"&amp;"Y")-Q4)</f>
        <v/>
      </c>
      <c r="V4" s="123" t="str">
        <f>IF(B4="","",ROUND(SUMIFS(Tree!$AE:$AE,Tree!$A:$A,'Pre-Harvest Plots_rpt'!$B4,Tree!$B:$B,'Pre-Harvest Plots_rpt'!$D4,Tree!$F:$F,"L",Tree!$K:$K,"&lt;&gt;"&amp;"Y")-R4,1))</f>
        <v/>
      </c>
      <c r="W4" s="124" t="str">
        <f>IF(B4="","",SUMIFS(Tree!$AY:$AY,Tree!$A:$A,'Pre-Harvest Plots_rpt'!$B4,Tree!$B:$B,'Pre-Harvest Plots_rpt'!$D4,Tree!$F:$F,"L",Tree!$K:$K,"&lt;&gt;"&amp;"Y")/1000)</f>
        <v/>
      </c>
      <c r="X4" s="158" t="str">
        <f>IF(B4="","",ROUND((SUMIFS(Tree!$AW:$AW,Tree!$A:$A,'Pre-Harvest Plots_rpt'!$B4,Tree!$B:$B,'Pre-Harvest Plots_rpt'!$D4,Tree!$F:$F,"L",Tree!$K:$K,"&lt;&gt;"&amp;"Y")/1000)-W4,1))</f>
        <v/>
      </c>
      <c r="Y4" s="135"/>
      <c r="Z4" s="161" t="str">
        <f>IF(IF(B4="","",SUMIFS(Tree!$O:$O,Tree!$A:$A,'Pre-Harvest Plots_rpt'!$B4,Tree!$B:$B,'Pre-Harvest Plots_rpt'!$D4,Tree!$F:$F,"D",Tree!$K:$K,"&lt;&gt;"&amp;"Y"))=0,"",IF(B4="","",SUMIFS(Tree!$O:$O,Tree!$A:$A,'Pre-Harvest Plots_rpt'!$B4,Tree!$B:$B,'Pre-Harvest Plots_rpt'!$D4,Tree!$F:$F,"D",Tree!$K:$K,"&lt;&gt;"&amp;"Y")))</f>
        <v/>
      </c>
      <c r="AA4" s="125" t="str">
        <f t="shared" ref="AA4:AA67" si="3">IF(Z4="","",IF(Z4="","",((AB4/Z4)/0.005454)^0.5))</f>
        <v/>
      </c>
      <c r="AB4" s="125" t="str">
        <f>IF(Z4="","",SUMIFS(Tree!$R:$R,Tree!$A:$A,'Pre-Harvest Plots_rpt'!$B4,Tree!$B:$B,'Pre-Harvest Plots_rpt'!$D4,Tree!$F:$F,"D",Tree!$K:$K,"&lt;&gt;"&amp;"Y"))</f>
        <v/>
      </c>
      <c r="AC4" s="126" t="str">
        <f>IF(Z4="","",SUMIFS(Tree!$AM:$AM,Tree!$A:$A,'Pre-Harvest Plots_rpt'!$B4,Tree!$B:$B,'Pre-Harvest Plots_rpt'!$D4,Tree!$F:$F,"D",Tree!$K:$K,"&lt;&gt;"&amp;"Y"))</f>
        <v/>
      </c>
      <c r="AD4" s="162" t="str">
        <f>IF(Z4="","",SUMIFS(Tree!$AW:$AW,Tree!$A:$A,'Pre-Harvest Plots_rpt'!$B4,Tree!$B:$B,'Pre-Harvest Plots_rpt'!$D4,Tree!$F:$F,"D",Tree!$K:$K,"&lt;&gt;"&amp;"Y")/1000)</f>
        <v/>
      </c>
      <c r="AE4" s="47"/>
      <c r="AF4" s="18"/>
      <c r="AG4" s="18"/>
      <c r="AH4" s="18"/>
    </row>
    <row r="5" spans="1:34" ht="12.75" customHeight="1" x14ac:dyDescent="0.25">
      <c r="A5" s="48">
        <v>2</v>
      </c>
      <c r="B5" s="171" t="str">
        <f>IF(A5&lt;=SUM(Stand!$H$3:$H$29),VLOOKUP(A5,Stand!$A$3:$C$29,3,TRUE),"")</f>
        <v/>
      </c>
      <c r="C5" s="172" t="str">
        <f t="shared" si="0"/>
        <v/>
      </c>
      <c r="D5" s="173" t="str">
        <f>IF(B5="","",VLOOKUP(B5&amp;C5,Plot!$B$2:$D$199,3,FALSE))</f>
        <v/>
      </c>
      <c r="E5" s="130"/>
      <c r="F5" s="152" t="str">
        <f>IF(B5="","",SUMIFS(Tree!$O:$O,Tree!$A:$A,'Pre-Harvest Plots_rpt'!$B5,Tree!$B:$B,'Pre-Harvest Plots_rpt'!$D5,Tree!$F:$F,"L",Tree!$K:$K,"&lt;&gt;"&amp;"Y"))</f>
        <v/>
      </c>
      <c r="G5" s="153" t="str">
        <f>IFERROR(IF(D5="","",SUMIFS(Tree!$P:$P,Tree!$A:$A,'Pre-Harvest Plots_rpt'!$B5,Tree!$B:$B,'Pre-Harvest Plots_rpt'!$D5,Tree!$K:$K,"&lt;&gt;"&amp;"Y")/$F5),"")</f>
        <v/>
      </c>
      <c r="H5" s="122" t="str">
        <f t="shared" si="1"/>
        <v/>
      </c>
      <c r="I5" s="121" t="str">
        <f>IF(OR($F5=0,$F5=""),"",SUMIFS(Tree!$R:$R,Tree!$A:$A,'Pre-Harvest Plots_rpt'!$B5,Tree!$B:$B,'Pre-Harvest Plots_rpt'!$D5,Tree!$F:$F,"L",Tree!$K:$K,"&lt;&gt;"&amp;"Y"))</f>
        <v/>
      </c>
      <c r="J5" s="121" t="str">
        <f>IF(OR($F5=0,$F5=""),"",IF(SUMIFS(Tree!$W:$W,Tree!$A:$A,'Pre-Harvest Plots_rpt'!$B5,Tree!$B:$B,'Pre-Harvest Plots_rpt'!$D5,Tree!$F:$F,"L",Tree!$K:$K,"&lt;&gt;"&amp;"Y")=0,0,AVERAGEIFS(Tree!$W:$W,Tree!$A:$A,'Pre-Harvest Plots_rpt'!$B5,Tree!$B:$B,'Pre-Harvest Plots_rpt'!$D5,Tree!$F:$F,"L",Tree!$K:$K,"&lt;&gt;"&amp;"Y")))</f>
        <v/>
      </c>
      <c r="K5" s="121" t="str">
        <f>IF($F5="","",SUMIFS(Tree!$S:$S,Tree!$A:$A,'Pre-Harvest Plots_rpt'!$B5,Tree!$B:$B,'Pre-Harvest Plots_rpt'!$D5,Tree!$F:$F,"L",Tree!$K:$K,"&lt;&gt;"&amp;"Y"))</f>
        <v/>
      </c>
      <c r="L5" s="154" t="str">
        <f t="shared" si="2"/>
        <v/>
      </c>
      <c r="M5" s="135"/>
      <c r="N5" s="192" t="str">
        <f>IF(B5="","",SUMIFS(Tree!$AM:$AM,Tree!$A:$A,'Pre-Harvest Plots_rpt'!$B5,Tree!$B:$B,'Pre-Harvest Plots_rpt'!$D5,Tree!$F:$F,"L",Tree!$K:$K,"&lt;&gt;"&amp;"Y"))</f>
        <v/>
      </c>
      <c r="O5" s="122" t="str">
        <f>IF(B5="","",SUMIFS(Tree!$AN:$AN,Tree!$A:$A,'Pre-Harvest Plots_rpt'!$B5,Tree!$B:$B,'Pre-Harvest Plots_rpt'!$D5,Tree!$F:$F,"L",Tree!$K:$K,"&lt;&gt;"&amp;"Y"))</f>
        <v/>
      </c>
      <c r="P5" s="122" t="str">
        <f>IF(B5="","",SUMIFS(Tree!$AO:$AO,Tree!$A:$A,'Pre-Harvest Plots_rpt'!$B5,Tree!$B:$B,'Pre-Harvest Plots_rpt'!$D5,Tree!$F:$F,"L",Tree!$K:$K,"&lt;&gt;"&amp;"Y"))</f>
        <v/>
      </c>
      <c r="Q5" s="122" t="str">
        <f>IF(B5="","",SUMIFS(Tree!$AP:$AP,Tree!$A:$A,'Pre-Harvest Plots_rpt'!$B5,Tree!$B:$B,'Pre-Harvest Plots_rpt'!$D5,Tree!$F:$F,"L",Tree!$K:$K,"&lt;&gt;"&amp;"Y"))</f>
        <v/>
      </c>
      <c r="R5" s="123" t="str">
        <f>IF(B5="","",SUMIFS(Tree!$AQ:$AQ,Tree!$A:$A,'Pre-Harvest Plots_rpt'!$B5,Tree!$B:$B,'Pre-Harvest Plots_rpt'!$D5,Tree!$F:$F,"L",Tree!$K:$K,"&lt;&gt;"&amp;"Y"))</f>
        <v/>
      </c>
      <c r="S5" s="122" t="str">
        <f>IF(B5="","",SUMIFS(Tree!$AJ:$AJ,Tree!$A:$A,'Pre-Harvest Plots_rpt'!$B5,Tree!$B:$B,'Pre-Harvest Plots_rpt'!$D5,Tree!$F:$F,"L",Tree!$K:$K,"&lt;&gt;"&amp;"Y")-O5)</f>
        <v/>
      </c>
      <c r="T5" s="122" t="str">
        <f>IF(B5="","",SUMIFS(Tree!$AK:$AK,Tree!$A:$A,'Pre-Harvest Plots_rpt'!$B5,Tree!$B:$B,'Pre-Harvest Plots_rpt'!$D5,Tree!$F:$F,"L",Tree!$K:$K,"&lt;&gt;"&amp;"Y")-P5)</f>
        <v/>
      </c>
      <c r="U5" s="122" t="str">
        <f>IF(B5="","",SUMIFS(Tree!$AL:$AL,Tree!$A:$A,'Pre-Harvest Plots_rpt'!$B5,Tree!$B:$B,'Pre-Harvest Plots_rpt'!$D5,Tree!$F:$F,"L",Tree!$K:$K,"&lt;&gt;"&amp;"Y")-Q5)</f>
        <v/>
      </c>
      <c r="V5" s="123" t="str">
        <f>IF(B5="","",ROUND(SUMIFS(Tree!$AE:$AE,Tree!$A:$A,'Pre-Harvest Plots_rpt'!$B5,Tree!$B:$B,'Pre-Harvest Plots_rpt'!$D5,Tree!$F:$F,"L",Tree!$K:$K,"&lt;&gt;"&amp;"Y")-R5,1))</f>
        <v/>
      </c>
      <c r="W5" s="124" t="str">
        <f>IF(B5="","",SUMIFS(Tree!$AY:$AY,Tree!$A:$A,'Pre-Harvest Plots_rpt'!$B5,Tree!$B:$B,'Pre-Harvest Plots_rpt'!$D5,Tree!$F:$F,"L",Tree!$K:$K,"&lt;&gt;"&amp;"Y")/1000)</f>
        <v/>
      </c>
      <c r="X5" s="158" t="str">
        <f>IF(B5="","",ROUND((SUMIFS(Tree!$AW:$AW,Tree!$A:$A,'Pre-Harvest Plots_rpt'!$B5,Tree!$B:$B,'Pre-Harvest Plots_rpt'!$D5,Tree!$F:$F,"L",Tree!$K:$K,"&lt;&gt;"&amp;"Y")/1000)-W5,1))</f>
        <v/>
      </c>
      <c r="Y5" s="135"/>
      <c r="Z5" s="161" t="str">
        <f>IF(IF(B5="","",SUMIFS(Tree!$O:$O,Tree!$A:$A,'Pre-Harvest Plots_rpt'!$B5,Tree!$B:$B,'Pre-Harvest Plots_rpt'!$D5,Tree!$F:$F,"D",Tree!$K:$K,"&lt;&gt;"&amp;"Y"))=0,"",IF(B5="","",SUMIFS(Tree!$O:$O,Tree!$A:$A,'Pre-Harvest Plots_rpt'!$B5,Tree!$B:$B,'Pre-Harvest Plots_rpt'!$D5,Tree!$F:$F,"D",Tree!$K:$K,"&lt;&gt;"&amp;"Y")))</f>
        <v/>
      </c>
      <c r="AA5" s="125" t="str">
        <f t="shared" si="3"/>
        <v/>
      </c>
      <c r="AB5" s="125" t="str">
        <f>IF(Z5="","",SUMIFS(Tree!$R:$R,Tree!$A:$A,'Pre-Harvest Plots_rpt'!$B5,Tree!$B:$B,'Pre-Harvest Plots_rpt'!$D5,Tree!$F:$F,"D",Tree!$K:$K,"&lt;&gt;"&amp;"Y"))</f>
        <v/>
      </c>
      <c r="AC5" s="126" t="str">
        <f>IF(Z5="","",SUMIFS(Tree!$AM:$AM,Tree!$A:$A,'Pre-Harvest Plots_rpt'!$B5,Tree!$B:$B,'Pre-Harvest Plots_rpt'!$D5,Tree!$F:$F,"D",Tree!$K:$K,"&lt;&gt;"&amp;"Y"))</f>
        <v/>
      </c>
      <c r="AD5" s="162" t="str">
        <f>IF(Z5="","",SUMIFS(Tree!$AW:$AW,Tree!$A:$A,'Pre-Harvest Plots_rpt'!$B5,Tree!$B:$B,'Pre-Harvest Plots_rpt'!$D5,Tree!$F:$F,"D",Tree!$K:$K,"&lt;&gt;"&amp;"Y")/1000)</f>
        <v/>
      </c>
      <c r="AE5" s="47"/>
      <c r="AF5" s="18"/>
      <c r="AG5" s="18"/>
      <c r="AH5" s="18"/>
    </row>
    <row r="6" spans="1:34" ht="12.75" customHeight="1" x14ac:dyDescent="0.25">
      <c r="A6" s="48">
        <v>3</v>
      </c>
      <c r="B6" s="171" t="str">
        <f>IF(A6&lt;=SUM(Stand!$H$3:$H$29),VLOOKUP(A6,Stand!$A$3:$C$29,3,TRUE),"")</f>
        <v/>
      </c>
      <c r="C6" s="172" t="str">
        <f t="shared" si="0"/>
        <v/>
      </c>
      <c r="D6" s="173" t="str">
        <f>IF(B6="","",VLOOKUP(B6&amp;C6,Plot!$B$2:$D$199,3,FALSE))</f>
        <v/>
      </c>
      <c r="E6" s="130"/>
      <c r="F6" s="152" t="str">
        <f>IF(B6="","",SUMIFS(Tree!$O:$O,Tree!$A:$A,'Pre-Harvest Plots_rpt'!$B6,Tree!$B:$B,'Pre-Harvest Plots_rpt'!$D6,Tree!$F:$F,"L",Tree!$K:$K,"&lt;&gt;"&amp;"Y"))</f>
        <v/>
      </c>
      <c r="G6" s="153" t="str">
        <f>IFERROR(IF(D6="","",SUMIFS(Tree!$P:$P,Tree!$A:$A,'Pre-Harvest Plots_rpt'!$B6,Tree!$B:$B,'Pre-Harvest Plots_rpt'!$D6,Tree!$K:$K,"&lt;&gt;"&amp;"Y")/$F6),"")</f>
        <v/>
      </c>
      <c r="H6" s="122" t="str">
        <f t="shared" si="1"/>
        <v/>
      </c>
      <c r="I6" s="121" t="str">
        <f>IF(OR($F6=0,$F6=""),"",SUMIFS(Tree!$R:$R,Tree!$A:$A,'Pre-Harvest Plots_rpt'!$B6,Tree!$B:$B,'Pre-Harvest Plots_rpt'!$D6,Tree!$F:$F,"L",Tree!$K:$K,"&lt;&gt;"&amp;"Y"))</f>
        <v/>
      </c>
      <c r="J6" s="121" t="str">
        <f>IF(OR($F6=0,$F6=""),"",IF(SUMIFS(Tree!$W:$W,Tree!$A:$A,'Pre-Harvest Plots_rpt'!$B6,Tree!$B:$B,'Pre-Harvest Plots_rpt'!$D6,Tree!$F:$F,"L",Tree!$K:$K,"&lt;&gt;"&amp;"Y")=0,0,AVERAGEIFS(Tree!$W:$W,Tree!$A:$A,'Pre-Harvest Plots_rpt'!$B6,Tree!$B:$B,'Pre-Harvest Plots_rpt'!$D6,Tree!$F:$F,"L",Tree!$K:$K,"&lt;&gt;"&amp;"Y")))</f>
        <v/>
      </c>
      <c r="K6" s="121" t="str">
        <f>IF($F6="","",SUMIFS(Tree!$S:$S,Tree!$A:$A,'Pre-Harvest Plots_rpt'!$B6,Tree!$B:$B,'Pre-Harvest Plots_rpt'!$D6,Tree!$F:$F,"L",Tree!$K:$K,"&lt;&gt;"&amp;"Y"))</f>
        <v/>
      </c>
      <c r="L6" s="154" t="str">
        <f t="shared" si="2"/>
        <v/>
      </c>
      <c r="M6" s="135"/>
      <c r="N6" s="192" t="str">
        <f>IF(B6="","",SUMIFS(Tree!$AM:$AM,Tree!$A:$A,'Pre-Harvest Plots_rpt'!$B6,Tree!$B:$B,'Pre-Harvest Plots_rpt'!$D6,Tree!$F:$F,"L",Tree!$K:$K,"&lt;&gt;"&amp;"Y"))</f>
        <v/>
      </c>
      <c r="O6" s="122" t="str">
        <f>IF(B6="","",SUMIFS(Tree!$AN:$AN,Tree!$A:$A,'Pre-Harvest Plots_rpt'!$B6,Tree!$B:$B,'Pre-Harvest Plots_rpt'!$D6,Tree!$F:$F,"L",Tree!$K:$K,"&lt;&gt;"&amp;"Y"))</f>
        <v/>
      </c>
      <c r="P6" s="122" t="str">
        <f>IF(B6="","",SUMIFS(Tree!$AO:$AO,Tree!$A:$A,'Pre-Harvest Plots_rpt'!$B6,Tree!$B:$B,'Pre-Harvest Plots_rpt'!$D6,Tree!$F:$F,"L",Tree!$K:$K,"&lt;&gt;"&amp;"Y"))</f>
        <v/>
      </c>
      <c r="Q6" s="122" t="str">
        <f>IF(B6="","",SUMIFS(Tree!$AP:$AP,Tree!$A:$A,'Pre-Harvest Plots_rpt'!$B6,Tree!$B:$B,'Pre-Harvest Plots_rpt'!$D6,Tree!$F:$F,"L",Tree!$K:$K,"&lt;&gt;"&amp;"Y"))</f>
        <v/>
      </c>
      <c r="R6" s="123" t="str">
        <f>IF(B6="","",SUMIFS(Tree!$AQ:$AQ,Tree!$A:$A,'Pre-Harvest Plots_rpt'!$B6,Tree!$B:$B,'Pre-Harvest Plots_rpt'!$D6,Tree!$F:$F,"L",Tree!$K:$K,"&lt;&gt;"&amp;"Y"))</f>
        <v/>
      </c>
      <c r="S6" s="122" t="str">
        <f>IF(B6="","",SUMIFS(Tree!$AJ:$AJ,Tree!$A:$A,'Pre-Harvest Plots_rpt'!$B6,Tree!$B:$B,'Pre-Harvest Plots_rpt'!$D6,Tree!$F:$F,"L",Tree!$K:$K,"&lt;&gt;"&amp;"Y")-O6)</f>
        <v/>
      </c>
      <c r="T6" s="122" t="str">
        <f>IF(B6="","",SUMIFS(Tree!$AK:$AK,Tree!$A:$A,'Pre-Harvest Plots_rpt'!$B6,Tree!$B:$B,'Pre-Harvest Plots_rpt'!$D6,Tree!$F:$F,"L",Tree!$K:$K,"&lt;&gt;"&amp;"Y")-P6)</f>
        <v/>
      </c>
      <c r="U6" s="122" t="str">
        <f>IF(B6="","",SUMIFS(Tree!$AL:$AL,Tree!$A:$A,'Pre-Harvest Plots_rpt'!$B6,Tree!$B:$B,'Pre-Harvest Plots_rpt'!$D6,Tree!$F:$F,"L",Tree!$K:$K,"&lt;&gt;"&amp;"Y")-Q6)</f>
        <v/>
      </c>
      <c r="V6" s="123" t="str">
        <f>IF(B6="","",ROUND(SUMIFS(Tree!$AE:$AE,Tree!$A:$A,'Pre-Harvest Plots_rpt'!$B6,Tree!$B:$B,'Pre-Harvest Plots_rpt'!$D6,Tree!$F:$F,"L",Tree!$K:$K,"&lt;&gt;"&amp;"Y")-R6,1))</f>
        <v/>
      </c>
      <c r="W6" s="124" t="str">
        <f>IF(B6="","",SUMIFS(Tree!$AY:$AY,Tree!$A:$A,'Pre-Harvest Plots_rpt'!$B6,Tree!$B:$B,'Pre-Harvest Plots_rpt'!$D6,Tree!$F:$F,"L",Tree!$K:$K,"&lt;&gt;"&amp;"Y")/1000)</f>
        <v/>
      </c>
      <c r="X6" s="158" t="str">
        <f>IF(B6="","",ROUND((SUMIFS(Tree!$AW:$AW,Tree!$A:$A,'Pre-Harvest Plots_rpt'!$B6,Tree!$B:$B,'Pre-Harvest Plots_rpt'!$D6,Tree!$F:$F,"L",Tree!$K:$K,"&lt;&gt;"&amp;"Y")/1000)-W6,1))</f>
        <v/>
      </c>
      <c r="Y6" s="135"/>
      <c r="Z6" s="161" t="str">
        <f>IF(IF(B6="","",SUMIFS(Tree!$O:$O,Tree!$A:$A,'Pre-Harvest Plots_rpt'!$B6,Tree!$B:$B,'Pre-Harvest Plots_rpt'!$D6,Tree!$F:$F,"D",Tree!$K:$K,"&lt;&gt;"&amp;"Y"))=0,"",IF(B6="","",SUMIFS(Tree!$O:$O,Tree!$A:$A,'Pre-Harvest Plots_rpt'!$B6,Tree!$B:$B,'Pre-Harvest Plots_rpt'!$D6,Tree!$F:$F,"D",Tree!$K:$K,"&lt;&gt;"&amp;"Y")))</f>
        <v/>
      </c>
      <c r="AA6" s="125" t="str">
        <f t="shared" si="3"/>
        <v/>
      </c>
      <c r="AB6" s="125" t="str">
        <f>IF(Z6="","",SUMIFS(Tree!$R:$R,Tree!$A:$A,'Pre-Harvest Plots_rpt'!$B6,Tree!$B:$B,'Pre-Harvest Plots_rpt'!$D6,Tree!$F:$F,"D",Tree!$K:$K,"&lt;&gt;"&amp;"Y"))</f>
        <v/>
      </c>
      <c r="AC6" s="126" t="str">
        <f>IF(Z6="","",SUMIFS(Tree!$AM:$AM,Tree!$A:$A,'Pre-Harvest Plots_rpt'!$B6,Tree!$B:$B,'Pre-Harvest Plots_rpt'!$D6,Tree!$F:$F,"D",Tree!$K:$K,"&lt;&gt;"&amp;"Y"))</f>
        <v/>
      </c>
      <c r="AD6" s="162" t="str">
        <f>IF(Z6="","",SUMIFS(Tree!$AW:$AW,Tree!$A:$A,'Pre-Harvest Plots_rpt'!$B6,Tree!$B:$B,'Pre-Harvest Plots_rpt'!$D6,Tree!$F:$F,"D",Tree!$K:$K,"&lt;&gt;"&amp;"Y")/1000)</f>
        <v/>
      </c>
      <c r="AE6" s="47"/>
      <c r="AF6" s="18"/>
      <c r="AG6" s="18"/>
      <c r="AH6" s="18"/>
    </row>
    <row r="7" spans="1:34" ht="12.75" customHeight="1" x14ac:dyDescent="0.25">
      <c r="A7" s="48">
        <v>4</v>
      </c>
      <c r="B7" s="171" t="str">
        <f>IF(A7&lt;=SUM(Stand!$H$3:$H$29),VLOOKUP(A7,Stand!$A$3:$C$29,3,TRUE),"")</f>
        <v/>
      </c>
      <c r="C7" s="172" t="str">
        <f t="shared" si="0"/>
        <v/>
      </c>
      <c r="D7" s="173" t="str">
        <f>IF(B7="","",VLOOKUP(B7&amp;C7,Plot!$B$2:$D$199,3,FALSE))</f>
        <v/>
      </c>
      <c r="E7" s="130"/>
      <c r="F7" s="152" t="str">
        <f>IF(B7="","",SUMIFS(Tree!$O:$O,Tree!$A:$A,'Pre-Harvest Plots_rpt'!$B7,Tree!$B:$B,'Pre-Harvest Plots_rpt'!$D7,Tree!$F:$F,"L",Tree!$K:$K,"&lt;&gt;"&amp;"Y"))</f>
        <v/>
      </c>
      <c r="G7" s="153" t="str">
        <f>IFERROR(IF(D7="","",SUMIFS(Tree!$P:$P,Tree!$A:$A,'Pre-Harvest Plots_rpt'!$B7,Tree!$B:$B,'Pre-Harvest Plots_rpt'!$D7,Tree!$K:$K,"&lt;&gt;"&amp;"Y")/$F7),"")</f>
        <v/>
      </c>
      <c r="H7" s="122" t="str">
        <f t="shared" si="1"/>
        <v/>
      </c>
      <c r="I7" s="121" t="str">
        <f>IF(OR($F7=0,$F7=""),"",SUMIFS(Tree!$R:$R,Tree!$A:$A,'Pre-Harvest Plots_rpt'!$B7,Tree!$B:$B,'Pre-Harvest Plots_rpt'!$D7,Tree!$F:$F,"L",Tree!$K:$K,"&lt;&gt;"&amp;"Y"))</f>
        <v/>
      </c>
      <c r="J7" s="121" t="str">
        <f>IF(OR($F7=0,$F7=""),"",IF(SUMIFS(Tree!$W:$W,Tree!$A:$A,'Pre-Harvest Plots_rpt'!$B7,Tree!$B:$B,'Pre-Harvest Plots_rpt'!$D7,Tree!$F:$F,"L",Tree!$K:$K,"&lt;&gt;"&amp;"Y")=0,0,AVERAGEIFS(Tree!$W:$W,Tree!$A:$A,'Pre-Harvest Plots_rpt'!$B7,Tree!$B:$B,'Pre-Harvest Plots_rpt'!$D7,Tree!$F:$F,"L",Tree!$K:$K,"&lt;&gt;"&amp;"Y")))</f>
        <v/>
      </c>
      <c r="K7" s="121" t="str">
        <f>IF($F7="","",SUMIFS(Tree!$S:$S,Tree!$A:$A,'Pre-Harvest Plots_rpt'!$B7,Tree!$B:$B,'Pre-Harvest Plots_rpt'!$D7,Tree!$F:$F,"L",Tree!$K:$K,"&lt;&gt;"&amp;"Y"))</f>
        <v/>
      </c>
      <c r="L7" s="154" t="str">
        <f t="shared" si="2"/>
        <v/>
      </c>
      <c r="M7" s="135"/>
      <c r="N7" s="192" t="str">
        <f>IF(B7="","",SUMIFS(Tree!$AM:$AM,Tree!$A:$A,'Pre-Harvest Plots_rpt'!$B7,Tree!$B:$B,'Pre-Harvest Plots_rpt'!$D7,Tree!$F:$F,"L",Tree!$K:$K,"&lt;&gt;"&amp;"Y"))</f>
        <v/>
      </c>
      <c r="O7" s="122" t="str">
        <f>IF(B7="","",SUMIFS(Tree!$AN:$AN,Tree!$A:$A,'Pre-Harvest Plots_rpt'!$B7,Tree!$B:$B,'Pre-Harvest Plots_rpt'!$D7,Tree!$F:$F,"L",Tree!$K:$K,"&lt;&gt;"&amp;"Y"))</f>
        <v/>
      </c>
      <c r="P7" s="122" t="str">
        <f>IF(B7="","",SUMIFS(Tree!$AO:$AO,Tree!$A:$A,'Pre-Harvest Plots_rpt'!$B7,Tree!$B:$B,'Pre-Harvest Plots_rpt'!$D7,Tree!$F:$F,"L",Tree!$K:$K,"&lt;&gt;"&amp;"Y"))</f>
        <v/>
      </c>
      <c r="Q7" s="122" t="str">
        <f>IF(B7="","",SUMIFS(Tree!$AP:$AP,Tree!$A:$A,'Pre-Harvest Plots_rpt'!$B7,Tree!$B:$B,'Pre-Harvest Plots_rpt'!$D7,Tree!$F:$F,"L",Tree!$K:$K,"&lt;&gt;"&amp;"Y"))</f>
        <v/>
      </c>
      <c r="R7" s="123" t="str">
        <f>IF(B7="","",SUMIFS(Tree!$AQ:$AQ,Tree!$A:$A,'Pre-Harvest Plots_rpt'!$B7,Tree!$B:$B,'Pre-Harvest Plots_rpt'!$D7,Tree!$F:$F,"L",Tree!$K:$K,"&lt;&gt;"&amp;"Y"))</f>
        <v/>
      </c>
      <c r="S7" s="122" t="str">
        <f>IF(B7="","",SUMIFS(Tree!$AJ:$AJ,Tree!$A:$A,'Pre-Harvest Plots_rpt'!$B7,Tree!$B:$B,'Pre-Harvest Plots_rpt'!$D7,Tree!$F:$F,"L",Tree!$K:$K,"&lt;&gt;"&amp;"Y")-O7)</f>
        <v/>
      </c>
      <c r="T7" s="122" t="str">
        <f>IF(B7="","",SUMIFS(Tree!$AK:$AK,Tree!$A:$A,'Pre-Harvest Plots_rpt'!$B7,Tree!$B:$B,'Pre-Harvest Plots_rpt'!$D7,Tree!$F:$F,"L",Tree!$K:$K,"&lt;&gt;"&amp;"Y")-P7)</f>
        <v/>
      </c>
      <c r="U7" s="122" t="str">
        <f>IF(B7="","",SUMIFS(Tree!$AL:$AL,Tree!$A:$A,'Pre-Harvest Plots_rpt'!$B7,Tree!$B:$B,'Pre-Harvest Plots_rpt'!$D7,Tree!$F:$F,"L",Tree!$K:$K,"&lt;&gt;"&amp;"Y")-Q7)</f>
        <v/>
      </c>
      <c r="V7" s="123" t="str">
        <f>IF(B7="","",ROUND(SUMIFS(Tree!$AE:$AE,Tree!$A:$A,'Pre-Harvest Plots_rpt'!$B7,Tree!$B:$B,'Pre-Harvest Plots_rpt'!$D7,Tree!$F:$F,"L",Tree!$K:$K,"&lt;&gt;"&amp;"Y")-R7,1))</f>
        <v/>
      </c>
      <c r="W7" s="124" t="str">
        <f>IF(B7="","",SUMIFS(Tree!$AY:$AY,Tree!$A:$A,'Pre-Harvest Plots_rpt'!$B7,Tree!$B:$B,'Pre-Harvest Plots_rpt'!$D7,Tree!$F:$F,"L",Tree!$K:$K,"&lt;&gt;"&amp;"Y")/1000)</f>
        <v/>
      </c>
      <c r="X7" s="158" t="str">
        <f>IF(B7="","",ROUND((SUMIFS(Tree!$AW:$AW,Tree!$A:$A,'Pre-Harvest Plots_rpt'!$B7,Tree!$B:$B,'Pre-Harvest Plots_rpt'!$D7,Tree!$F:$F,"L",Tree!$K:$K,"&lt;&gt;"&amp;"Y")/1000)-W7,1))</f>
        <v/>
      </c>
      <c r="Y7" s="135"/>
      <c r="Z7" s="161" t="str">
        <f>IF(IF(B7="","",SUMIFS(Tree!$O:$O,Tree!$A:$A,'Pre-Harvest Plots_rpt'!$B7,Tree!$B:$B,'Pre-Harvest Plots_rpt'!$D7,Tree!$F:$F,"D",Tree!$K:$K,"&lt;&gt;"&amp;"Y"))=0,"",IF(B7="","",SUMIFS(Tree!$O:$O,Tree!$A:$A,'Pre-Harvest Plots_rpt'!$B7,Tree!$B:$B,'Pre-Harvest Plots_rpt'!$D7,Tree!$F:$F,"D",Tree!$K:$K,"&lt;&gt;"&amp;"Y")))</f>
        <v/>
      </c>
      <c r="AA7" s="125" t="str">
        <f t="shared" si="3"/>
        <v/>
      </c>
      <c r="AB7" s="125" t="str">
        <f>IF(Z7="","",SUMIFS(Tree!$R:$R,Tree!$A:$A,'Pre-Harvest Plots_rpt'!$B7,Tree!$B:$B,'Pre-Harvest Plots_rpt'!$D7,Tree!$F:$F,"D",Tree!$K:$K,"&lt;&gt;"&amp;"Y"))</f>
        <v/>
      </c>
      <c r="AC7" s="126" t="str">
        <f>IF(Z7="","",SUMIFS(Tree!$AM:$AM,Tree!$A:$A,'Pre-Harvest Plots_rpt'!$B7,Tree!$B:$B,'Pre-Harvest Plots_rpt'!$D7,Tree!$F:$F,"D",Tree!$K:$K,"&lt;&gt;"&amp;"Y"))</f>
        <v/>
      </c>
      <c r="AD7" s="162" t="str">
        <f>IF(Z7="","",SUMIFS(Tree!$AW:$AW,Tree!$A:$A,'Pre-Harvest Plots_rpt'!$B7,Tree!$B:$B,'Pre-Harvest Plots_rpt'!$D7,Tree!$F:$F,"D",Tree!$K:$K,"&lt;&gt;"&amp;"Y")/1000)</f>
        <v/>
      </c>
      <c r="AE7" s="47"/>
      <c r="AF7" s="18"/>
      <c r="AG7" s="18"/>
      <c r="AH7" s="18"/>
    </row>
    <row r="8" spans="1:34" ht="12.75" customHeight="1" x14ac:dyDescent="0.25">
      <c r="A8" s="48">
        <v>5</v>
      </c>
      <c r="B8" s="171" t="str">
        <f>IF(A8&lt;=SUM(Stand!$H$3:$H$29),VLOOKUP(A8,Stand!$A$3:$C$29,3,TRUE),"")</f>
        <v/>
      </c>
      <c r="C8" s="172" t="str">
        <f t="shared" si="0"/>
        <v/>
      </c>
      <c r="D8" s="173" t="str">
        <f>IF(B8="","",VLOOKUP(B8&amp;C8,Plot!$B$2:$D$199,3,FALSE))</f>
        <v/>
      </c>
      <c r="E8" s="130"/>
      <c r="F8" s="152" t="str">
        <f>IF(B8="","",SUMIFS(Tree!$O:$O,Tree!$A:$A,'Pre-Harvest Plots_rpt'!$B8,Tree!$B:$B,'Pre-Harvest Plots_rpt'!$D8,Tree!$F:$F,"L",Tree!$K:$K,"&lt;&gt;"&amp;"Y"))</f>
        <v/>
      </c>
      <c r="G8" s="153" t="str">
        <f>IFERROR(IF(D8="","",SUMIFS(Tree!$P:$P,Tree!$A:$A,'Pre-Harvest Plots_rpt'!$B8,Tree!$B:$B,'Pre-Harvest Plots_rpt'!$D8,Tree!$K:$K,"&lt;&gt;"&amp;"Y")/$F8),"")</f>
        <v/>
      </c>
      <c r="H8" s="122" t="str">
        <f t="shared" si="1"/>
        <v/>
      </c>
      <c r="I8" s="121" t="str">
        <f>IF(OR($F8=0,$F8=""),"",SUMIFS(Tree!$R:$R,Tree!$A:$A,'Pre-Harvest Plots_rpt'!$B8,Tree!$B:$B,'Pre-Harvest Plots_rpt'!$D8,Tree!$F:$F,"L",Tree!$K:$K,"&lt;&gt;"&amp;"Y"))</f>
        <v/>
      </c>
      <c r="J8" s="121" t="str">
        <f>IF(OR($F8=0,$F8=""),"",IF(SUMIFS(Tree!$W:$W,Tree!$A:$A,'Pre-Harvest Plots_rpt'!$B8,Tree!$B:$B,'Pre-Harvest Plots_rpt'!$D8,Tree!$F:$F,"L",Tree!$K:$K,"&lt;&gt;"&amp;"Y")=0,0,AVERAGEIFS(Tree!$W:$W,Tree!$A:$A,'Pre-Harvest Plots_rpt'!$B8,Tree!$B:$B,'Pre-Harvest Plots_rpt'!$D8,Tree!$F:$F,"L",Tree!$K:$K,"&lt;&gt;"&amp;"Y")))</f>
        <v/>
      </c>
      <c r="K8" s="121" t="str">
        <f>IF($F8="","",SUMIFS(Tree!$S:$S,Tree!$A:$A,'Pre-Harvest Plots_rpt'!$B8,Tree!$B:$B,'Pre-Harvest Plots_rpt'!$D8,Tree!$F:$F,"L",Tree!$K:$K,"&lt;&gt;"&amp;"Y"))</f>
        <v/>
      </c>
      <c r="L8" s="154" t="str">
        <f t="shared" si="2"/>
        <v/>
      </c>
      <c r="M8" s="135"/>
      <c r="N8" s="192" t="str">
        <f>IF(B8="","",SUMIFS(Tree!$AM:$AM,Tree!$A:$A,'Pre-Harvest Plots_rpt'!$B8,Tree!$B:$B,'Pre-Harvest Plots_rpt'!$D8,Tree!$F:$F,"L",Tree!$K:$K,"&lt;&gt;"&amp;"Y"))</f>
        <v/>
      </c>
      <c r="O8" s="122" t="str">
        <f>IF(B8="","",SUMIFS(Tree!$AN:$AN,Tree!$A:$A,'Pre-Harvest Plots_rpt'!$B8,Tree!$B:$B,'Pre-Harvest Plots_rpt'!$D8,Tree!$F:$F,"L",Tree!$K:$K,"&lt;&gt;"&amp;"Y"))</f>
        <v/>
      </c>
      <c r="P8" s="122" t="str">
        <f>IF(B8="","",SUMIFS(Tree!$AO:$AO,Tree!$A:$A,'Pre-Harvest Plots_rpt'!$B8,Tree!$B:$B,'Pre-Harvest Plots_rpt'!$D8,Tree!$F:$F,"L",Tree!$K:$K,"&lt;&gt;"&amp;"Y"))</f>
        <v/>
      </c>
      <c r="Q8" s="122" t="str">
        <f>IF(B8="","",SUMIFS(Tree!$AP:$AP,Tree!$A:$A,'Pre-Harvest Plots_rpt'!$B8,Tree!$B:$B,'Pre-Harvest Plots_rpt'!$D8,Tree!$F:$F,"L",Tree!$K:$K,"&lt;&gt;"&amp;"Y"))</f>
        <v/>
      </c>
      <c r="R8" s="123" t="str">
        <f>IF(B8="","",SUMIFS(Tree!$AQ:$AQ,Tree!$A:$A,'Pre-Harvest Plots_rpt'!$B8,Tree!$B:$B,'Pre-Harvest Plots_rpt'!$D8,Tree!$F:$F,"L",Tree!$K:$K,"&lt;&gt;"&amp;"Y"))</f>
        <v/>
      </c>
      <c r="S8" s="122" t="str">
        <f>IF(B8="","",SUMIFS(Tree!$AJ:$AJ,Tree!$A:$A,'Pre-Harvest Plots_rpt'!$B8,Tree!$B:$B,'Pre-Harvest Plots_rpt'!$D8,Tree!$F:$F,"L",Tree!$K:$K,"&lt;&gt;"&amp;"Y")-O8)</f>
        <v/>
      </c>
      <c r="T8" s="122" t="str">
        <f>IF(B8="","",SUMIFS(Tree!$AK:$AK,Tree!$A:$A,'Pre-Harvest Plots_rpt'!$B8,Tree!$B:$B,'Pre-Harvest Plots_rpt'!$D8,Tree!$F:$F,"L",Tree!$K:$K,"&lt;&gt;"&amp;"Y")-P8)</f>
        <v/>
      </c>
      <c r="U8" s="122" t="str">
        <f>IF(B8="","",SUMIFS(Tree!$AL:$AL,Tree!$A:$A,'Pre-Harvest Plots_rpt'!$B8,Tree!$B:$B,'Pre-Harvest Plots_rpt'!$D8,Tree!$F:$F,"L",Tree!$K:$K,"&lt;&gt;"&amp;"Y")-Q8)</f>
        <v/>
      </c>
      <c r="V8" s="123" t="str">
        <f>IF(B8="","",ROUND(SUMIFS(Tree!$AE:$AE,Tree!$A:$A,'Pre-Harvest Plots_rpt'!$B8,Tree!$B:$B,'Pre-Harvest Plots_rpt'!$D8,Tree!$F:$F,"L",Tree!$K:$K,"&lt;&gt;"&amp;"Y")-R8,1))</f>
        <v/>
      </c>
      <c r="W8" s="124" t="str">
        <f>IF(B8="","",SUMIFS(Tree!$AY:$AY,Tree!$A:$A,'Pre-Harvest Plots_rpt'!$B8,Tree!$B:$B,'Pre-Harvest Plots_rpt'!$D8,Tree!$F:$F,"L",Tree!$K:$K,"&lt;&gt;"&amp;"Y")/1000)</f>
        <v/>
      </c>
      <c r="X8" s="158" t="str">
        <f>IF(B8="","",ROUND((SUMIFS(Tree!$AW:$AW,Tree!$A:$A,'Pre-Harvest Plots_rpt'!$B8,Tree!$B:$B,'Pre-Harvest Plots_rpt'!$D8,Tree!$F:$F,"L",Tree!$K:$K,"&lt;&gt;"&amp;"Y")/1000)-W8,1))</f>
        <v/>
      </c>
      <c r="Y8" s="135"/>
      <c r="Z8" s="161" t="str">
        <f>IF(IF(B8="","",SUMIFS(Tree!$O:$O,Tree!$A:$A,'Pre-Harvest Plots_rpt'!$B8,Tree!$B:$B,'Pre-Harvest Plots_rpt'!$D8,Tree!$F:$F,"D",Tree!$K:$K,"&lt;&gt;"&amp;"Y"))=0,"",IF(B8="","",SUMIFS(Tree!$O:$O,Tree!$A:$A,'Pre-Harvest Plots_rpt'!$B8,Tree!$B:$B,'Pre-Harvest Plots_rpt'!$D8,Tree!$F:$F,"D",Tree!$K:$K,"&lt;&gt;"&amp;"Y")))</f>
        <v/>
      </c>
      <c r="AA8" s="125" t="str">
        <f t="shared" si="3"/>
        <v/>
      </c>
      <c r="AB8" s="125" t="str">
        <f>IF(Z8="","",SUMIFS(Tree!$R:$R,Tree!$A:$A,'Pre-Harvest Plots_rpt'!$B8,Tree!$B:$B,'Pre-Harvest Plots_rpt'!$D8,Tree!$F:$F,"D",Tree!$K:$K,"&lt;&gt;"&amp;"Y"))</f>
        <v/>
      </c>
      <c r="AC8" s="126" t="str">
        <f>IF(Z8="","",SUMIFS(Tree!$AM:$AM,Tree!$A:$A,'Pre-Harvest Plots_rpt'!$B8,Tree!$B:$B,'Pre-Harvest Plots_rpt'!$D8,Tree!$F:$F,"D",Tree!$K:$K,"&lt;&gt;"&amp;"Y"))</f>
        <v/>
      </c>
      <c r="AD8" s="162" t="str">
        <f>IF(Z8="","",SUMIFS(Tree!$AW:$AW,Tree!$A:$A,'Pre-Harvest Plots_rpt'!$B8,Tree!$B:$B,'Pre-Harvest Plots_rpt'!$D8,Tree!$F:$F,"D",Tree!$K:$K,"&lt;&gt;"&amp;"Y")/1000)</f>
        <v/>
      </c>
      <c r="AE8" s="47"/>
      <c r="AF8" s="18"/>
      <c r="AG8" s="18"/>
      <c r="AH8" s="18"/>
    </row>
    <row r="9" spans="1:34" ht="12.75" customHeight="1" x14ac:dyDescent="0.25">
      <c r="A9" s="48">
        <v>6</v>
      </c>
      <c r="B9" s="171" t="str">
        <f>IF(A9&lt;=SUM(Stand!$H$3:$H$29),VLOOKUP(A9,Stand!$A$3:$C$29,3,TRUE),"")</f>
        <v/>
      </c>
      <c r="C9" s="172" t="str">
        <f t="shared" si="0"/>
        <v/>
      </c>
      <c r="D9" s="173" t="str">
        <f>IF(B9="","",VLOOKUP(B9&amp;C9,Plot!$B$2:$D$199,3,FALSE))</f>
        <v/>
      </c>
      <c r="E9" s="130"/>
      <c r="F9" s="152" t="str">
        <f>IF(B9="","",SUMIFS(Tree!$O:$O,Tree!$A:$A,'Pre-Harvest Plots_rpt'!$B9,Tree!$B:$B,'Pre-Harvest Plots_rpt'!$D9,Tree!$F:$F,"L",Tree!$K:$K,"&lt;&gt;"&amp;"Y"))</f>
        <v/>
      </c>
      <c r="G9" s="153" t="str">
        <f>IFERROR(IF(D9="","",SUMIFS(Tree!$P:$P,Tree!$A:$A,'Pre-Harvest Plots_rpt'!$B9,Tree!$B:$B,'Pre-Harvest Plots_rpt'!$D9,Tree!$K:$K,"&lt;&gt;"&amp;"Y")/$F9),"")</f>
        <v/>
      </c>
      <c r="H9" s="122" t="str">
        <f t="shared" si="1"/>
        <v/>
      </c>
      <c r="I9" s="121" t="str">
        <f>IF(OR($F9=0,$F9=""),"",SUMIFS(Tree!$R:$R,Tree!$A:$A,'Pre-Harvest Plots_rpt'!$B9,Tree!$B:$B,'Pre-Harvest Plots_rpt'!$D9,Tree!$F:$F,"L",Tree!$K:$K,"&lt;&gt;"&amp;"Y"))</f>
        <v/>
      </c>
      <c r="J9" s="121" t="str">
        <f>IF(OR($F9=0,$F9=""),"",IF(SUMIFS(Tree!$W:$W,Tree!$A:$A,'Pre-Harvest Plots_rpt'!$B9,Tree!$B:$B,'Pre-Harvest Plots_rpt'!$D9,Tree!$F:$F,"L",Tree!$K:$K,"&lt;&gt;"&amp;"Y")=0,0,AVERAGEIFS(Tree!$W:$W,Tree!$A:$A,'Pre-Harvest Plots_rpt'!$B9,Tree!$B:$B,'Pre-Harvest Plots_rpt'!$D9,Tree!$F:$F,"L",Tree!$K:$K,"&lt;&gt;"&amp;"Y")))</f>
        <v/>
      </c>
      <c r="K9" s="121" t="str">
        <f>IF($F9="","",SUMIFS(Tree!$S:$S,Tree!$A:$A,'Pre-Harvest Plots_rpt'!$B9,Tree!$B:$B,'Pre-Harvest Plots_rpt'!$D9,Tree!$F:$F,"L",Tree!$K:$K,"&lt;&gt;"&amp;"Y"))</f>
        <v/>
      </c>
      <c r="L9" s="154" t="str">
        <f t="shared" si="2"/>
        <v/>
      </c>
      <c r="M9" s="135"/>
      <c r="N9" s="192" t="str">
        <f>IF(B9="","",SUMIFS(Tree!$AM:$AM,Tree!$A:$A,'Pre-Harvest Plots_rpt'!$B9,Tree!$B:$B,'Pre-Harvest Plots_rpt'!$D9,Tree!$F:$F,"L",Tree!$K:$K,"&lt;&gt;"&amp;"Y"))</f>
        <v/>
      </c>
      <c r="O9" s="122" t="str">
        <f>IF(B9="","",SUMIFS(Tree!$AN:$AN,Tree!$A:$A,'Pre-Harvest Plots_rpt'!$B9,Tree!$B:$B,'Pre-Harvest Plots_rpt'!$D9,Tree!$F:$F,"L",Tree!$K:$K,"&lt;&gt;"&amp;"Y"))</f>
        <v/>
      </c>
      <c r="P9" s="122" t="str">
        <f>IF(B9="","",SUMIFS(Tree!$AO:$AO,Tree!$A:$A,'Pre-Harvest Plots_rpt'!$B9,Tree!$B:$B,'Pre-Harvest Plots_rpt'!$D9,Tree!$F:$F,"L",Tree!$K:$K,"&lt;&gt;"&amp;"Y"))</f>
        <v/>
      </c>
      <c r="Q9" s="122" t="str">
        <f>IF(B9="","",SUMIFS(Tree!$AP:$AP,Tree!$A:$A,'Pre-Harvest Plots_rpt'!$B9,Tree!$B:$B,'Pre-Harvest Plots_rpt'!$D9,Tree!$F:$F,"L",Tree!$K:$K,"&lt;&gt;"&amp;"Y"))</f>
        <v/>
      </c>
      <c r="R9" s="123" t="str">
        <f>IF(B9="","",SUMIFS(Tree!$AQ:$AQ,Tree!$A:$A,'Pre-Harvest Plots_rpt'!$B9,Tree!$B:$B,'Pre-Harvest Plots_rpt'!$D9,Tree!$F:$F,"L",Tree!$K:$K,"&lt;&gt;"&amp;"Y"))</f>
        <v/>
      </c>
      <c r="S9" s="122" t="str">
        <f>IF(B9="","",SUMIFS(Tree!$AJ:$AJ,Tree!$A:$A,'Pre-Harvest Plots_rpt'!$B9,Tree!$B:$B,'Pre-Harvest Plots_rpt'!$D9,Tree!$F:$F,"L",Tree!$K:$K,"&lt;&gt;"&amp;"Y")-O9)</f>
        <v/>
      </c>
      <c r="T9" s="122" t="str">
        <f>IF(B9="","",SUMIFS(Tree!$AK:$AK,Tree!$A:$A,'Pre-Harvest Plots_rpt'!$B9,Tree!$B:$B,'Pre-Harvest Plots_rpt'!$D9,Tree!$F:$F,"L",Tree!$K:$K,"&lt;&gt;"&amp;"Y")-P9)</f>
        <v/>
      </c>
      <c r="U9" s="122" t="str">
        <f>IF(B9="","",SUMIFS(Tree!$AL:$AL,Tree!$A:$A,'Pre-Harvest Plots_rpt'!$B9,Tree!$B:$B,'Pre-Harvest Plots_rpt'!$D9,Tree!$F:$F,"L",Tree!$K:$K,"&lt;&gt;"&amp;"Y")-Q9)</f>
        <v/>
      </c>
      <c r="V9" s="123" t="str">
        <f>IF(B9="","",ROUND(SUMIFS(Tree!$AE:$AE,Tree!$A:$A,'Pre-Harvest Plots_rpt'!$B9,Tree!$B:$B,'Pre-Harvest Plots_rpt'!$D9,Tree!$F:$F,"L",Tree!$K:$K,"&lt;&gt;"&amp;"Y")-R9,1))</f>
        <v/>
      </c>
      <c r="W9" s="124" t="str">
        <f>IF(B9="","",SUMIFS(Tree!$AY:$AY,Tree!$A:$A,'Pre-Harvest Plots_rpt'!$B9,Tree!$B:$B,'Pre-Harvest Plots_rpt'!$D9,Tree!$F:$F,"L",Tree!$K:$K,"&lt;&gt;"&amp;"Y")/1000)</f>
        <v/>
      </c>
      <c r="X9" s="158" t="str">
        <f>IF(B9="","",ROUND((SUMIFS(Tree!$AW:$AW,Tree!$A:$A,'Pre-Harvest Plots_rpt'!$B9,Tree!$B:$B,'Pre-Harvest Plots_rpt'!$D9,Tree!$F:$F,"L",Tree!$K:$K,"&lt;&gt;"&amp;"Y")/1000)-W9,1))</f>
        <v/>
      </c>
      <c r="Y9" s="135"/>
      <c r="Z9" s="161" t="str">
        <f>IF(IF(B9="","",SUMIFS(Tree!$O:$O,Tree!$A:$A,'Pre-Harvest Plots_rpt'!$B9,Tree!$B:$B,'Pre-Harvest Plots_rpt'!$D9,Tree!$F:$F,"D",Tree!$K:$K,"&lt;&gt;"&amp;"Y"))=0,"",IF(B9="","",SUMIFS(Tree!$O:$O,Tree!$A:$A,'Pre-Harvest Plots_rpt'!$B9,Tree!$B:$B,'Pre-Harvest Plots_rpt'!$D9,Tree!$F:$F,"D",Tree!$K:$K,"&lt;&gt;"&amp;"Y")))</f>
        <v/>
      </c>
      <c r="AA9" s="125" t="str">
        <f t="shared" si="3"/>
        <v/>
      </c>
      <c r="AB9" s="125" t="str">
        <f>IF(Z9="","",SUMIFS(Tree!$R:$R,Tree!$A:$A,'Pre-Harvest Plots_rpt'!$B9,Tree!$B:$B,'Pre-Harvest Plots_rpt'!$D9,Tree!$F:$F,"D",Tree!$K:$K,"&lt;&gt;"&amp;"Y"))</f>
        <v/>
      </c>
      <c r="AC9" s="126" t="str">
        <f>IF(Z9="","",SUMIFS(Tree!$AM:$AM,Tree!$A:$A,'Pre-Harvest Plots_rpt'!$B9,Tree!$B:$B,'Pre-Harvest Plots_rpt'!$D9,Tree!$F:$F,"D",Tree!$K:$K,"&lt;&gt;"&amp;"Y"))</f>
        <v/>
      </c>
      <c r="AD9" s="162" t="str">
        <f>IF(Z9="","",SUMIFS(Tree!$AW:$AW,Tree!$A:$A,'Pre-Harvest Plots_rpt'!$B9,Tree!$B:$B,'Pre-Harvest Plots_rpt'!$D9,Tree!$F:$F,"D",Tree!$K:$K,"&lt;&gt;"&amp;"Y")/1000)</f>
        <v/>
      </c>
      <c r="AE9" s="47"/>
      <c r="AF9" s="18"/>
      <c r="AG9" s="18"/>
      <c r="AH9" s="18"/>
    </row>
    <row r="10" spans="1:34" ht="12.75" customHeight="1" x14ac:dyDescent="0.25">
      <c r="A10" s="48">
        <v>7</v>
      </c>
      <c r="B10" s="171" t="str">
        <f>IF(A10&lt;=SUM(Stand!$H$3:$H$29),VLOOKUP(A10,Stand!$A$3:$C$29,3,TRUE),"")</f>
        <v/>
      </c>
      <c r="C10" s="172" t="str">
        <f t="shared" si="0"/>
        <v/>
      </c>
      <c r="D10" s="173" t="str">
        <f>IF(B10="","",VLOOKUP(B10&amp;C10,Plot!$B$2:$D$199,3,FALSE))</f>
        <v/>
      </c>
      <c r="E10" s="130"/>
      <c r="F10" s="152" t="str">
        <f>IF(B10="","",SUMIFS(Tree!$O:$O,Tree!$A:$A,'Pre-Harvest Plots_rpt'!$B10,Tree!$B:$B,'Pre-Harvest Plots_rpt'!$D10,Tree!$F:$F,"L",Tree!$K:$K,"&lt;&gt;"&amp;"Y"))</f>
        <v/>
      </c>
      <c r="G10" s="153" t="str">
        <f>IFERROR(IF(D10="","",SUMIFS(Tree!$P:$P,Tree!$A:$A,'Pre-Harvest Plots_rpt'!$B10,Tree!$B:$B,'Pre-Harvest Plots_rpt'!$D10,Tree!$K:$K,"&lt;&gt;"&amp;"Y")/$F10),"")</f>
        <v/>
      </c>
      <c r="H10" s="122" t="str">
        <f t="shared" si="1"/>
        <v/>
      </c>
      <c r="I10" s="121" t="str">
        <f>IF(OR($F10=0,$F10=""),"",SUMIFS(Tree!$R:$R,Tree!$A:$A,'Pre-Harvest Plots_rpt'!$B10,Tree!$B:$B,'Pre-Harvest Plots_rpt'!$D10,Tree!$F:$F,"L",Tree!$K:$K,"&lt;&gt;"&amp;"Y"))</f>
        <v/>
      </c>
      <c r="J10" s="121" t="str">
        <f>IF(OR($F10=0,$F10=""),"",IF(SUMIFS(Tree!$W:$W,Tree!$A:$A,'Pre-Harvest Plots_rpt'!$B10,Tree!$B:$B,'Pre-Harvest Plots_rpt'!$D10,Tree!$F:$F,"L",Tree!$K:$K,"&lt;&gt;"&amp;"Y")=0,0,AVERAGEIFS(Tree!$W:$W,Tree!$A:$A,'Pre-Harvest Plots_rpt'!$B10,Tree!$B:$B,'Pre-Harvest Plots_rpt'!$D10,Tree!$F:$F,"L",Tree!$K:$K,"&lt;&gt;"&amp;"Y")))</f>
        <v/>
      </c>
      <c r="K10" s="121" t="str">
        <f>IF($F10="","",SUMIFS(Tree!$S:$S,Tree!$A:$A,'Pre-Harvest Plots_rpt'!$B10,Tree!$B:$B,'Pre-Harvest Plots_rpt'!$D10,Tree!$F:$F,"L",Tree!$K:$K,"&lt;&gt;"&amp;"Y"))</f>
        <v/>
      </c>
      <c r="L10" s="154" t="str">
        <f t="shared" si="2"/>
        <v/>
      </c>
      <c r="M10" s="135"/>
      <c r="N10" s="192" t="str">
        <f>IF(B10="","",SUMIFS(Tree!$AM:$AM,Tree!$A:$A,'Pre-Harvest Plots_rpt'!$B10,Tree!$B:$B,'Pre-Harvest Plots_rpt'!$D10,Tree!$F:$F,"L",Tree!$K:$K,"&lt;&gt;"&amp;"Y"))</f>
        <v/>
      </c>
      <c r="O10" s="122" t="str">
        <f>IF(B10="","",SUMIFS(Tree!$AN:$AN,Tree!$A:$A,'Pre-Harvest Plots_rpt'!$B10,Tree!$B:$B,'Pre-Harvest Plots_rpt'!$D10,Tree!$F:$F,"L",Tree!$K:$K,"&lt;&gt;"&amp;"Y"))</f>
        <v/>
      </c>
      <c r="P10" s="122" t="str">
        <f>IF(B10="","",SUMIFS(Tree!$AO:$AO,Tree!$A:$A,'Pre-Harvest Plots_rpt'!$B10,Tree!$B:$B,'Pre-Harvest Plots_rpt'!$D10,Tree!$F:$F,"L",Tree!$K:$K,"&lt;&gt;"&amp;"Y"))</f>
        <v/>
      </c>
      <c r="Q10" s="122" t="str">
        <f>IF(B10="","",SUMIFS(Tree!$AP:$AP,Tree!$A:$A,'Pre-Harvest Plots_rpt'!$B10,Tree!$B:$B,'Pre-Harvest Plots_rpt'!$D10,Tree!$F:$F,"L",Tree!$K:$K,"&lt;&gt;"&amp;"Y"))</f>
        <v/>
      </c>
      <c r="R10" s="123" t="str">
        <f>IF(B10="","",SUMIFS(Tree!$AQ:$AQ,Tree!$A:$A,'Pre-Harvest Plots_rpt'!$B10,Tree!$B:$B,'Pre-Harvest Plots_rpt'!$D10,Tree!$F:$F,"L",Tree!$K:$K,"&lt;&gt;"&amp;"Y"))</f>
        <v/>
      </c>
      <c r="S10" s="122" t="str">
        <f>IF(B10="","",SUMIFS(Tree!$AJ:$AJ,Tree!$A:$A,'Pre-Harvest Plots_rpt'!$B10,Tree!$B:$B,'Pre-Harvest Plots_rpt'!$D10,Tree!$F:$F,"L",Tree!$K:$K,"&lt;&gt;"&amp;"Y")-O10)</f>
        <v/>
      </c>
      <c r="T10" s="122" t="str">
        <f>IF(B10="","",SUMIFS(Tree!$AK:$AK,Tree!$A:$A,'Pre-Harvest Plots_rpt'!$B10,Tree!$B:$B,'Pre-Harvest Plots_rpt'!$D10,Tree!$F:$F,"L",Tree!$K:$K,"&lt;&gt;"&amp;"Y")-P10)</f>
        <v/>
      </c>
      <c r="U10" s="122" t="str">
        <f>IF(B10="","",SUMIFS(Tree!$AL:$AL,Tree!$A:$A,'Pre-Harvest Plots_rpt'!$B10,Tree!$B:$B,'Pre-Harvest Plots_rpt'!$D10,Tree!$F:$F,"L",Tree!$K:$K,"&lt;&gt;"&amp;"Y")-Q10)</f>
        <v/>
      </c>
      <c r="V10" s="123" t="str">
        <f>IF(B10="","",ROUND(SUMIFS(Tree!$AE:$AE,Tree!$A:$A,'Pre-Harvest Plots_rpt'!$B10,Tree!$B:$B,'Pre-Harvest Plots_rpt'!$D10,Tree!$F:$F,"L",Tree!$K:$K,"&lt;&gt;"&amp;"Y")-R10,1))</f>
        <v/>
      </c>
      <c r="W10" s="124" t="str">
        <f>IF(B10="","",SUMIFS(Tree!$AY:$AY,Tree!$A:$A,'Pre-Harvest Plots_rpt'!$B10,Tree!$B:$B,'Pre-Harvest Plots_rpt'!$D10,Tree!$F:$F,"L",Tree!$K:$K,"&lt;&gt;"&amp;"Y")/1000)</f>
        <v/>
      </c>
      <c r="X10" s="158" t="str">
        <f>IF(B10="","",ROUND((SUMIFS(Tree!$AW:$AW,Tree!$A:$A,'Pre-Harvest Plots_rpt'!$B10,Tree!$B:$B,'Pre-Harvest Plots_rpt'!$D10,Tree!$F:$F,"L",Tree!$K:$K,"&lt;&gt;"&amp;"Y")/1000)-W10,1))</f>
        <v/>
      </c>
      <c r="Y10" s="135"/>
      <c r="Z10" s="161" t="str">
        <f>IF(IF(B10="","",SUMIFS(Tree!$O:$O,Tree!$A:$A,'Pre-Harvest Plots_rpt'!$B10,Tree!$B:$B,'Pre-Harvest Plots_rpt'!$D10,Tree!$F:$F,"D",Tree!$K:$K,"&lt;&gt;"&amp;"Y"))=0,"",IF(B10="","",SUMIFS(Tree!$O:$O,Tree!$A:$A,'Pre-Harvest Plots_rpt'!$B10,Tree!$B:$B,'Pre-Harvest Plots_rpt'!$D10,Tree!$F:$F,"D",Tree!$K:$K,"&lt;&gt;"&amp;"Y")))</f>
        <v/>
      </c>
      <c r="AA10" s="125" t="str">
        <f t="shared" si="3"/>
        <v/>
      </c>
      <c r="AB10" s="125" t="str">
        <f>IF(Z10="","",SUMIFS(Tree!$R:$R,Tree!$A:$A,'Pre-Harvest Plots_rpt'!$B10,Tree!$B:$B,'Pre-Harvest Plots_rpt'!$D10,Tree!$F:$F,"D",Tree!$K:$K,"&lt;&gt;"&amp;"Y"))</f>
        <v/>
      </c>
      <c r="AC10" s="126" t="str">
        <f>IF(Z10="","",SUMIFS(Tree!$AM:$AM,Tree!$A:$A,'Pre-Harvest Plots_rpt'!$B10,Tree!$B:$B,'Pre-Harvest Plots_rpt'!$D10,Tree!$F:$F,"D",Tree!$K:$K,"&lt;&gt;"&amp;"Y"))</f>
        <v/>
      </c>
      <c r="AD10" s="162" t="str">
        <f>IF(Z10="","",SUMIFS(Tree!$AW:$AW,Tree!$A:$A,'Pre-Harvest Plots_rpt'!$B10,Tree!$B:$B,'Pre-Harvest Plots_rpt'!$D10,Tree!$F:$F,"D",Tree!$K:$K,"&lt;&gt;"&amp;"Y")/1000)</f>
        <v/>
      </c>
      <c r="AE10" s="47"/>
      <c r="AF10" s="18"/>
      <c r="AG10" s="18"/>
      <c r="AH10" s="18"/>
    </row>
    <row r="11" spans="1:34" ht="12.75" customHeight="1" x14ac:dyDescent="0.25">
      <c r="A11" s="48">
        <v>8</v>
      </c>
      <c r="B11" s="171" t="str">
        <f>IF(A11&lt;=SUM(Stand!$H$3:$H$29),VLOOKUP(A11,Stand!$A$3:$C$29,3,TRUE),"")</f>
        <v/>
      </c>
      <c r="C11" s="172" t="str">
        <f t="shared" si="0"/>
        <v/>
      </c>
      <c r="D11" s="173" t="str">
        <f>IF(B11="","",VLOOKUP(B11&amp;C11,Plot!$B$2:$D$199,3,FALSE))</f>
        <v/>
      </c>
      <c r="E11" s="130"/>
      <c r="F11" s="152" t="str">
        <f>IF(B11="","",SUMIFS(Tree!$O:$O,Tree!$A:$A,'Pre-Harvest Plots_rpt'!$B11,Tree!$B:$B,'Pre-Harvest Plots_rpt'!$D11,Tree!$F:$F,"L",Tree!$K:$K,"&lt;&gt;"&amp;"Y"))</f>
        <v/>
      </c>
      <c r="G11" s="153" t="str">
        <f>IFERROR(IF(D11="","",SUMIFS(Tree!$P:$P,Tree!$A:$A,'Pre-Harvest Plots_rpt'!$B11,Tree!$B:$B,'Pre-Harvest Plots_rpt'!$D11,Tree!$K:$K,"&lt;&gt;"&amp;"Y")/$F11),"")</f>
        <v/>
      </c>
      <c r="H11" s="122" t="str">
        <f t="shared" si="1"/>
        <v/>
      </c>
      <c r="I11" s="121" t="str">
        <f>IF(OR($F11=0,$F11=""),"",SUMIFS(Tree!$R:$R,Tree!$A:$A,'Pre-Harvest Plots_rpt'!$B11,Tree!$B:$B,'Pre-Harvest Plots_rpt'!$D11,Tree!$F:$F,"L",Tree!$K:$K,"&lt;&gt;"&amp;"Y"))</f>
        <v/>
      </c>
      <c r="J11" s="121" t="str">
        <f>IF(OR($F11=0,$F11=""),"",IF(SUMIFS(Tree!$W:$W,Tree!$A:$A,'Pre-Harvest Plots_rpt'!$B11,Tree!$B:$B,'Pre-Harvest Plots_rpt'!$D11,Tree!$F:$F,"L",Tree!$K:$K,"&lt;&gt;"&amp;"Y")=0,0,AVERAGEIFS(Tree!$W:$W,Tree!$A:$A,'Pre-Harvest Plots_rpt'!$B11,Tree!$B:$B,'Pre-Harvest Plots_rpt'!$D11,Tree!$F:$F,"L",Tree!$K:$K,"&lt;&gt;"&amp;"Y")))</f>
        <v/>
      </c>
      <c r="K11" s="121" t="str">
        <f>IF($F11="","",SUMIFS(Tree!$S:$S,Tree!$A:$A,'Pre-Harvest Plots_rpt'!$B11,Tree!$B:$B,'Pre-Harvest Plots_rpt'!$D11,Tree!$F:$F,"L",Tree!$K:$K,"&lt;&gt;"&amp;"Y"))</f>
        <v/>
      </c>
      <c r="L11" s="154" t="str">
        <f t="shared" si="2"/>
        <v/>
      </c>
      <c r="M11" s="135"/>
      <c r="N11" s="192" t="str">
        <f>IF(B11="","",SUMIFS(Tree!$AM:$AM,Tree!$A:$A,'Pre-Harvest Plots_rpt'!$B11,Tree!$B:$B,'Pre-Harvest Plots_rpt'!$D11,Tree!$F:$F,"L",Tree!$K:$K,"&lt;&gt;"&amp;"Y"))</f>
        <v/>
      </c>
      <c r="O11" s="122" t="str">
        <f>IF(B11="","",SUMIFS(Tree!$AN:$AN,Tree!$A:$A,'Pre-Harvest Plots_rpt'!$B11,Tree!$B:$B,'Pre-Harvest Plots_rpt'!$D11,Tree!$F:$F,"L",Tree!$K:$K,"&lt;&gt;"&amp;"Y"))</f>
        <v/>
      </c>
      <c r="P11" s="122" t="str">
        <f>IF(B11="","",SUMIFS(Tree!$AO:$AO,Tree!$A:$A,'Pre-Harvest Plots_rpt'!$B11,Tree!$B:$B,'Pre-Harvest Plots_rpt'!$D11,Tree!$F:$F,"L",Tree!$K:$K,"&lt;&gt;"&amp;"Y"))</f>
        <v/>
      </c>
      <c r="Q11" s="122" t="str">
        <f>IF(B11="","",SUMIFS(Tree!$AP:$AP,Tree!$A:$A,'Pre-Harvest Plots_rpt'!$B11,Tree!$B:$B,'Pre-Harvest Plots_rpt'!$D11,Tree!$F:$F,"L",Tree!$K:$K,"&lt;&gt;"&amp;"Y"))</f>
        <v/>
      </c>
      <c r="R11" s="123" t="str">
        <f>IF(B11="","",SUMIFS(Tree!$AQ:$AQ,Tree!$A:$A,'Pre-Harvest Plots_rpt'!$B11,Tree!$B:$B,'Pre-Harvest Plots_rpt'!$D11,Tree!$F:$F,"L",Tree!$K:$K,"&lt;&gt;"&amp;"Y"))</f>
        <v/>
      </c>
      <c r="S11" s="122" t="str">
        <f>IF(B11="","",SUMIFS(Tree!$AJ:$AJ,Tree!$A:$A,'Pre-Harvest Plots_rpt'!$B11,Tree!$B:$B,'Pre-Harvest Plots_rpt'!$D11,Tree!$F:$F,"L",Tree!$K:$K,"&lt;&gt;"&amp;"Y")-O11)</f>
        <v/>
      </c>
      <c r="T11" s="122" t="str">
        <f>IF(B11="","",SUMIFS(Tree!$AK:$AK,Tree!$A:$A,'Pre-Harvest Plots_rpt'!$B11,Tree!$B:$B,'Pre-Harvest Plots_rpt'!$D11,Tree!$F:$F,"L",Tree!$K:$K,"&lt;&gt;"&amp;"Y")-P11)</f>
        <v/>
      </c>
      <c r="U11" s="122" t="str">
        <f>IF(B11="","",SUMIFS(Tree!$AL:$AL,Tree!$A:$A,'Pre-Harvest Plots_rpt'!$B11,Tree!$B:$B,'Pre-Harvest Plots_rpt'!$D11,Tree!$F:$F,"L",Tree!$K:$K,"&lt;&gt;"&amp;"Y")-Q11)</f>
        <v/>
      </c>
      <c r="V11" s="123" t="str">
        <f>IF(B11="","",ROUND(SUMIFS(Tree!$AE:$AE,Tree!$A:$A,'Pre-Harvest Plots_rpt'!$B11,Tree!$B:$B,'Pre-Harvest Plots_rpt'!$D11,Tree!$F:$F,"L",Tree!$K:$K,"&lt;&gt;"&amp;"Y")-R11,1))</f>
        <v/>
      </c>
      <c r="W11" s="124" t="str">
        <f>IF(B11="","",SUMIFS(Tree!$AY:$AY,Tree!$A:$A,'Pre-Harvest Plots_rpt'!$B11,Tree!$B:$B,'Pre-Harvest Plots_rpt'!$D11,Tree!$F:$F,"L",Tree!$K:$K,"&lt;&gt;"&amp;"Y")/1000)</f>
        <v/>
      </c>
      <c r="X11" s="158" t="str">
        <f>IF(B11="","",ROUND((SUMIFS(Tree!$AW:$AW,Tree!$A:$A,'Pre-Harvest Plots_rpt'!$B11,Tree!$B:$B,'Pre-Harvest Plots_rpt'!$D11,Tree!$F:$F,"L",Tree!$K:$K,"&lt;&gt;"&amp;"Y")/1000)-W11,1))</f>
        <v/>
      </c>
      <c r="Y11" s="135"/>
      <c r="Z11" s="161" t="str">
        <f>IF(IF(B11="","",SUMIFS(Tree!$O:$O,Tree!$A:$A,'Pre-Harvest Plots_rpt'!$B11,Tree!$B:$B,'Pre-Harvest Plots_rpt'!$D11,Tree!$F:$F,"D",Tree!$K:$K,"&lt;&gt;"&amp;"Y"))=0,"",IF(B11="","",SUMIFS(Tree!$O:$O,Tree!$A:$A,'Pre-Harvest Plots_rpt'!$B11,Tree!$B:$B,'Pre-Harvest Plots_rpt'!$D11,Tree!$F:$F,"D",Tree!$K:$K,"&lt;&gt;"&amp;"Y")))</f>
        <v/>
      </c>
      <c r="AA11" s="125" t="str">
        <f t="shared" si="3"/>
        <v/>
      </c>
      <c r="AB11" s="125" t="str">
        <f>IF(Z11="","",SUMIFS(Tree!$R:$R,Tree!$A:$A,'Pre-Harvest Plots_rpt'!$B11,Tree!$B:$B,'Pre-Harvest Plots_rpt'!$D11,Tree!$F:$F,"D",Tree!$K:$K,"&lt;&gt;"&amp;"Y"))</f>
        <v/>
      </c>
      <c r="AC11" s="126" t="str">
        <f>IF(Z11="","",SUMIFS(Tree!$AM:$AM,Tree!$A:$A,'Pre-Harvest Plots_rpt'!$B11,Tree!$B:$B,'Pre-Harvest Plots_rpt'!$D11,Tree!$F:$F,"D",Tree!$K:$K,"&lt;&gt;"&amp;"Y"))</f>
        <v/>
      </c>
      <c r="AD11" s="162" t="str">
        <f>IF(Z11="","",SUMIFS(Tree!$AW:$AW,Tree!$A:$A,'Pre-Harvest Plots_rpt'!$B11,Tree!$B:$B,'Pre-Harvest Plots_rpt'!$D11,Tree!$F:$F,"D",Tree!$K:$K,"&lt;&gt;"&amp;"Y")/1000)</f>
        <v/>
      </c>
      <c r="AE11" s="47"/>
      <c r="AF11" s="18"/>
      <c r="AG11" s="18"/>
      <c r="AH11" s="18"/>
    </row>
    <row r="12" spans="1:34" ht="12.75" customHeight="1" x14ac:dyDescent="0.25">
      <c r="A12" s="48">
        <v>9</v>
      </c>
      <c r="B12" s="171" t="str">
        <f>IF(A12&lt;=SUM(Stand!$H$3:$H$29),VLOOKUP(A12,Stand!$A$3:$C$29,3,TRUE),"")</f>
        <v/>
      </c>
      <c r="C12" s="172" t="str">
        <f t="shared" si="0"/>
        <v/>
      </c>
      <c r="D12" s="173" t="str">
        <f>IF(B12="","",VLOOKUP(B12&amp;C12,Plot!$B$2:$D$199,3,FALSE))</f>
        <v/>
      </c>
      <c r="E12" s="130"/>
      <c r="F12" s="152" t="str">
        <f>IF(B12="","",SUMIFS(Tree!$O:$O,Tree!$A:$A,'Pre-Harvest Plots_rpt'!$B12,Tree!$B:$B,'Pre-Harvest Plots_rpt'!$D12,Tree!$F:$F,"L",Tree!$K:$K,"&lt;&gt;"&amp;"Y"))</f>
        <v/>
      </c>
      <c r="G12" s="153" t="str">
        <f>IFERROR(IF(D12="","",SUMIFS(Tree!$P:$P,Tree!$A:$A,'Pre-Harvest Plots_rpt'!$B12,Tree!$B:$B,'Pre-Harvest Plots_rpt'!$D12,Tree!$K:$K,"&lt;&gt;"&amp;"Y")/$F12),"")</f>
        <v/>
      </c>
      <c r="H12" s="122" t="str">
        <f t="shared" si="1"/>
        <v/>
      </c>
      <c r="I12" s="121" t="str">
        <f>IF(OR($F12=0,$F12=""),"",SUMIFS(Tree!$R:$R,Tree!$A:$A,'Pre-Harvest Plots_rpt'!$B12,Tree!$B:$B,'Pre-Harvest Plots_rpt'!$D12,Tree!$F:$F,"L",Tree!$K:$K,"&lt;&gt;"&amp;"Y"))</f>
        <v/>
      </c>
      <c r="J12" s="121" t="str">
        <f>IF(OR($F12=0,$F12=""),"",IF(SUMIFS(Tree!$W:$W,Tree!$A:$A,'Pre-Harvest Plots_rpt'!$B12,Tree!$B:$B,'Pre-Harvest Plots_rpt'!$D12,Tree!$F:$F,"L",Tree!$K:$K,"&lt;&gt;"&amp;"Y")=0,0,AVERAGEIFS(Tree!$W:$W,Tree!$A:$A,'Pre-Harvest Plots_rpt'!$B12,Tree!$B:$B,'Pre-Harvest Plots_rpt'!$D12,Tree!$F:$F,"L",Tree!$K:$K,"&lt;&gt;"&amp;"Y")))</f>
        <v/>
      </c>
      <c r="K12" s="121" t="str">
        <f>IF($F12="","",SUMIFS(Tree!$S:$S,Tree!$A:$A,'Pre-Harvest Plots_rpt'!$B12,Tree!$B:$B,'Pre-Harvest Plots_rpt'!$D12,Tree!$F:$F,"L",Tree!$K:$K,"&lt;&gt;"&amp;"Y"))</f>
        <v/>
      </c>
      <c r="L12" s="154" t="str">
        <f t="shared" si="2"/>
        <v/>
      </c>
      <c r="M12" s="135"/>
      <c r="N12" s="192" t="str">
        <f>IF(B12="","",SUMIFS(Tree!$AM:$AM,Tree!$A:$A,'Pre-Harvest Plots_rpt'!$B12,Tree!$B:$B,'Pre-Harvest Plots_rpt'!$D12,Tree!$F:$F,"L",Tree!$K:$K,"&lt;&gt;"&amp;"Y"))</f>
        <v/>
      </c>
      <c r="O12" s="122" t="str">
        <f>IF(B12="","",SUMIFS(Tree!$AN:$AN,Tree!$A:$A,'Pre-Harvest Plots_rpt'!$B12,Tree!$B:$B,'Pre-Harvest Plots_rpt'!$D12,Tree!$F:$F,"L",Tree!$K:$K,"&lt;&gt;"&amp;"Y"))</f>
        <v/>
      </c>
      <c r="P12" s="122" t="str">
        <f>IF(B12="","",SUMIFS(Tree!$AO:$AO,Tree!$A:$A,'Pre-Harvest Plots_rpt'!$B12,Tree!$B:$B,'Pre-Harvest Plots_rpt'!$D12,Tree!$F:$F,"L",Tree!$K:$K,"&lt;&gt;"&amp;"Y"))</f>
        <v/>
      </c>
      <c r="Q12" s="122" t="str">
        <f>IF(B12="","",SUMIFS(Tree!$AP:$AP,Tree!$A:$A,'Pre-Harvest Plots_rpt'!$B12,Tree!$B:$B,'Pre-Harvest Plots_rpt'!$D12,Tree!$F:$F,"L",Tree!$K:$K,"&lt;&gt;"&amp;"Y"))</f>
        <v/>
      </c>
      <c r="R12" s="123" t="str">
        <f>IF(B12="","",SUMIFS(Tree!$AQ:$AQ,Tree!$A:$A,'Pre-Harvest Plots_rpt'!$B12,Tree!$B:$B,'Pre-Harvest Plots_rpt'!$D12,Tree!$F:$F,"L",Tree!$K:$K,"&lt;&gt;"&amp;"Y"))</f>
        <v/>
      </c>
      <c r="S12" s="122" t="str">
        <f>IF(B12="","",SUMIFS(Tree!$AJ:$AJ,Tree!$A:$A,'Pre-Harvest Plots_rpt'!$B12,Tree!$B:$B,'Pre-Harvest Plots_rpt'!$D12,Tree!$F:$F,"L",Tree!$K:$K,"&lt;&gt;"&amp;"Y")-O12)</f>
        <v/>
      </c>
      <c r="T12" s="122" t="str">
        <f>IF(B12="","",SUMIFS(Tree!$AK:$AK,Tree!$A:$A,'Pre-Harvest Plots_rpt'!$B12,Tree!$B:$B,'Pre-Harvest Plots_rpt'!$D12,Tree!$F:$F,"L",Tree!$K:$K,"&lt;&gt;"&amp;"Y")-P12)</f>
        <v/>
      </c>
      <c r="U12" s="122" t="str">
        <f>IF(B12="","",SUMIFS(Tree!$AL:$AL,Tree!$A:$A,'Pre-Harvest Plots_rpt'!$B12,Tree!$B:$B,'Pre-Harvest Plots_rpt'!$D12,Tree!$F:$F,"L",Tree!$K:$K,"&lt;&gt;"&amp;"Y")-Q12)</f>
        <v/>
      </c>
      <c r="V12" s="123" t="str">
        <f>IF(B12="","",ROUND(SUMIFS(Tree!$AE:$AE,Tree!$A:$A,'Pre-Harvest Plots_rpt'!$B12,Tree!$B:$B,'Pre-Harvest Plots_rpt'!$D12,Tree!$F:$F,"L",Tree!$K:$K,"&lt;&gt;"&amp;"Y")-R12,1))</f>
        <v/>
      </c>
      <c r="W12" s="124" t="str">
        <f>IF(B12="","",SUMIFS(Tree!$AY:$AY,Tree!$A:$A,'Pre-Harvest Plots_rpt'!$B12,Tree!$B:$B,'Pre-Harvest Plots_rpt'!$D12,Tree!$F:$F,"L",Tree!$K:$K,"&lt;&gt;"&amp;"Y")/1000)</f>
        <v/>
      </c>
      <c r="X12" s="158" t="str">
        <f>IF(B12="","",ROUND((SUMIFS(Tree!$AW:$AW,Tree!$A:$A,'Pre-Harvest Plots_rpt'!$B12,Tree!$B:$B,'Pre-Harvest Plots_rpt'!$D12,Tree!$F:$F,"L",Tree!$K:$K,"&lt;&gt;"&amp;"Y")/1000)-W12,1))</f>
        <v/>
      </c>
      <c r="Y12" s="135"/>
      <c r="Z12" s="161" t="str">
        <f>IF(IF(B12="","",SUMIFS(Tree!$O:$O,Tree!$A:$A,'Pre-Harvest Plots_rpt'!$B12,Tree!$B:$B,'Pre-Harvest Plots_rpt'!$D12,Tree!$F:$F,"D",Tree!$K:$K,"&lt;&gt;"&amp;"Y"))=0,"",IF(B12="","",SUMIFS(Tree!$O:$O,Tree!$A:$A,'Pre-Harvest Plots_rpt'!$B12,Tree!$B:$B,'Pre-Harvest Plots_rpt'!$D12,Tree!$F:$F,"D",Tree!$K:$K,"&lt;&gt;"&amp;"Y")))</f>
        <v/>
      </c>
      <c r="AA12" s="125" t="str">
        <f t="shared" si="3"/>
        <v/>
      </c>
      <c r="AB12" s="125" t="str">
        <f>IF(Z12="","",SUMIFS(Tree!$R:$R,Tree!$A:$A,'Pre-Harvest Plots_rpt'!$B12,Tree!$B:$B,'Pre-Harvest Plots_rpt'!$D12,Tree!$F:$F,"D",Tree!$K:$K,"&lt;&gt;"&amp;"Y"))</f>
        <v/>
      </c>
      <c r="AC12" s="126" t="str">
        <f>IF(Z12="","",SUMIFS(Tree!$AM:$AM,Tree!$A:$A,'Pre-Harvest Plots_rpt'!$B12,Tree!$B:$B,'Pre-Harvest Plots_rpt'!$D12,Tree!$F:$F,"D",Tree!$K:$K,"&lt;&gt;"&amp;"Y"))</f>
        <v/>
      </c>
      <c r="AD12" s="162" t="str">
        <f>IF(Z12="","",SUMIFS(Tree!$AW:$AW,Tree!$A:$A,'Pre-Harvest Plots_rpt'!$B12,Tree!$B:$B,'Pre-Harvest Plots_rpt'!$D12,Tree!$F:$F,"D",Tree!$K:$K,"&lt;&gt;"&amp;"Y")/1000)</f>
        <v/>
      </c>
      <c r="AE12" s="47"/>
      <c r="AF12" s="18"/>
      <c r="AG12" s="18"/>
      <c r="AH12" s="18"/>
    </row>
    <row r="13" spans="1:34" ht="12.75" customHeight="1" x14ac:dyDescent="0.25">
      <c r="A13" s="48">
        <v>10</v>
      </c>
      <c r="B13" s="171" t="str">
        <f>IF(A13&lt;=SUM(Stand!$H$3:$H$29),VLOOKUP(A13,Stand!$A$3:$C$29,3,TRUE),"")</f>
        <v/>
      </c>
      <c r="C13" s="172" t="str">
        <f t="shared" si="0"/>
        <v/>
      </c>
      <c r="D13" s="173" t="str">
        <f>IF(B13="","",VLOOKUP(B13&amp;C13,Plot!$B$2:$D$199,3,FALSE))</f>
        <v/>
      </c>
      <c r="E13" s="130"/>
      <c r="F13" s="152" t="str">
        <f>IF(B13="","",SUMIFS(Tree!$O:$O,Tree!$A:$A,'Pre-Harvest Plots_rpt'!$B13,Tree!$B:$B,'Pre-Harvest Plots_rpt'!$D13,Tree!$F:$F,"L",Tree!$K:$K,"&lt;&gt;"&amp;"Y"))</f>
        <v/>
      </c>
      <c r="G13" s="153" t="str">
        <f>IFERROR(IF(D13="","",SUMIFS(Tree!$P:$P,Tree!$A:$A,'Pre-Harvest Plots_rpt'!$B13,Tree!$B:$B,'Pre-Harvest Plots_rpt'!$D13,Tree!$K:$K,"&lt;&gt;"&amp;"Y")/$F13),"")</f>
        <v/>
      </c>
      <c r="H13" s="122" t="str">
        <f t="shared" si="1"/>
        <v/>
      </c>
      <c r="I13" s="121" t="str">
        <f>IF(OR($F13=0,$F13=""),"",SUMIFS(Tree!$R:$R,Tree!$A:$A,'Pre-Harvest Plots_rpt'!$B13,Tree!$B:$B,'Pre-Harvest Plots_rpt'!$D13,Tree!$F:$F,"L",Tree!$K:$K,"&lt;&gt;"&amp;"Y"))</f>
        <v/>
      </c>
      <c r="J13" s="121" t="str">
        <f>IF(OR($F13=0,$F13=""),"",IF(SUMIFS(Tree!$W:$W,Tree!$A:$A,'Pre-Harvest Plots_rpt'!$B13,Tree!$B:$B,'Pre-Harvest Plots_rpt'!$D13,Tree!$F:$F,"L",Tree!$K:$K,"&lt;&gt;"&amp;"Y")=0,0,AVERAGEIFS(Tree!$W:$W,Tree!$A:$A,'Pre-Harvest Plots_rpt'!$B13,Tree!$B:$B,'Pre-Harvest Plots_rpt'!$D13,Tree!$F:$F,"L",Tree!$K:$K,"&lt;&gt;"&amp;"Y")))</f>
        <v/>
      </c>
      <c r="K13" s="121" t="str">
        <f>IF($F13="","",SUMIFS(Tree!$S:$S,Tree!$A:$A,'Pre-Harvest Plots_rpt'!$B13,Tree!$B:$B,'Pre-Harvest Plots_rpt'!$D13,Tree!$F:$F,"L",Tree!$K:$K,"&lt;&gt;"&amp;"Y"))</f>
        <v/>
      </c>
      <c r="L13" s="154" t="str">
        <f t="shared" si="2"/>
        <v/>
      </c>
      <c r="M13" s="135"/>
      <c r="N13" s="192" t="str">
        <f>IF(B13="","",SUMIFS(Tree!$AM:$AM,Tree!$A:$A,'Pre-Harvest Plots_rpt'!$B13,Tree!$B:$B,'Pre-Harvest Plots_rpt'!$D13,Tree!$F:$F,"L",Tree!$K:$K,"&lt;&gt;"&amp;"Y"))</f>
        <v/>
      </c>
      <c r="O13" s="122" t="str">
        <f>IF(B13="","",SUMIFS(Tree!$AN:$AN,Tree!$A:$A,'Pre-Harvest Plots_rpt'!$B13,Tree!$B:$B,'Pre-Harvest Plots_rpt'!$D13,Tree!$F:$F,"L",Tree!$K:$K,"&lt;&gt;"&amp;"Y"))</f>
        <v/>
      </c>
      <c r="P13" s="122" t="str">
        <f>IF(B13="","",SUMIFS(Tree!$AO:$AO,Tree!$A:$A,'Pre-Harvest Plots_rpt'!$B13,Tree!$B:$B,'Pre-Harvest Plots_rpt'!$D13,Tree!$F:$F,"L",Tree!$K:$K,"&lt;&gt;"&amp;"Y"))</f>
        <v/>
      </c>
      <c r="Q13" s="122" t="str">
        <f>IF(B13="","",SUMIFS(Tree!$AP:$AP,Tree!$A:$A,'Pre-Harvest Plots_rpt'!$B13,Tree!$B:$B,'Pre-Harvest Plots_rpt'!$D13,Tree!$F:$F,"L",Tree!$K:$K,"&lt;&gt;"&amp;"Y"))</f>
        <v/>
      </c>
      <c r="R13" s="123" t="str">
        <f>IF(B13="","",SUMIFS(Tree!$AQ:$AQ,Tree!$A:$A,'Pre-Harvest Plots_rpt'!$B13,Tree!$B:$B,'Pre-Harvest Plots_rpt'!$D13,Tree!$F:$F,"L",Tree!$K:$K,"&lt;&gt;"&amp;"Y"))</f>
        <v/>
      </c>
      <c r="S13" s="122" t="str">
        <f>IF(B13="","",SUMIFS(Tree!$AJ:$AJ,Tree!$A:$A,'Pre-Harvest Plots_rpt'!$B13,Tree!$B:$B,'Pre-Harvest Plots_rpt'!$D13,Tree!$F:$F,"L",Tree!$K:$K,"&lt;&gt;"&amp;"Y")-O13)</f>
        <v/>
      </c>
      <c r="T13" s="122" t="str">
        <f>IF(B13="","",SUMIFS(Tree!$AK:$AK,Tree!$A:$A,'Pre-Harvest Plots_rpt'!$B13,Tree!$B:$B,'Pre-Harvest Plots_rpt'!$D13,Tree!$F:$F,"L",Tree!$K:$K,"&lt;&gt;"&amp;"Y")-P13)</f>
        <v/>
      </c>
      <c r="U13" s="122" t="str">
        <f>IF(B13="","",SUMIFS(Tree!$AL:$AL,Tree!$A:$A,'Pre-Harvest Plots_rpt'!$B13,Tree!$B:$B,'Pre-Harvest Plots_rpt'!$D13,Tree!$F:$F,"L",Tree!$K:$K,"&lt;&gt;"&amp;"Y")-Q13)</f>
        <v/>
      </c>
      <c r="V13" s="123" t="str">
        <f>IF(B13="","",ROUND(SUMIFS(Tree!$AE:$AE,Tree!$A:$A,'Pre-Harvest Plots_rpt'!$B13,Tree!$B:$B,'Pre-Harvest Plots_rpt'!$D13,Tree!$F:$F,"L",Tree!$K:$K,"&lt;&gt;"&amp;"Y")-R13,1))</f>
        <v/>
      </c>
      <c r="W13" s="124" t="str">
        <f>IF(B13="","",SUMIFS(Tree!$AY:$AY,Tree!$A:$A,'Pre-Harvest Plots_rpt'!$B13,Tree!$B:$B,'Pre-Harvest Plots_rpt'!$D13,Tree!$F:$F,"L",Tree!$K:$K,"&lt;&gt;"&amp;"Y")/1000)</f>
        <v/>
      </c>
      <c r="X13" s="158" t="str">
        <f>IF(B13="","",ROUND((SUMIFS(Tree!$AW:$AW,Tree!$A:$A,'Pre-Harvest Plots_rpt'!$B13,Tree!$B:$B,'Pre-Harvest Plots_rpt'!$D13,Tree!$F:$F,"L",Tree!$K:$K,"&lt;&gt;"&amp;"Y")/1000)-W13,1))</f>
        <v/>
      </c>
      <c r="Y13" s="135"/>
      <c r="Z13" s="161" t="str">
        <f>IF(IF(B13="","",SUMIFS(Tree!$O:$O,Tree!$A:$A,'Pre-Harvest Plots_rpt'!$B13,Tree!$B:$B,'Pre-Harvest Plots_rpt'!$D13,Tree!$F:$F,"D",Tree!$K:$K,"&lt;&gt;"&amp;"Y"))=0,"",IF(B13="","",SUMIFS(Tree!$O:$O,Tree!$A:$A,'Pre-Harvest Plots_rpt'!$B13,Tree!$B:$B,'Pre-Harvest Plots_rpt'!$D13,Tree!$F:$F,"D",Tree!$K:$K,"&lt;&gt;"&amp;"Y")))</f>
        <v/>
      </c>
      <c r="AA13" s="125" t="str">
        <f t="shared" si="3"/>
        <v/>
      </c>
      <c r="AB13" s="125" t="str">
        <f>IF(Z13="","",SUMIFS(Tree!$R:$R,Tree!$A:$A,'Pre-Harvest Plots_rpt'!$B13,Tree!$B:$B,'Pre-Harvest Plots_rpt'!$D13,Tree!$F:$F,"D",Tree!$K:$K,"&lt;&gt;"&amp;"Y"))</f>
        <v/>
      </c>
      <c r="AC13" s="126" t="str">
        <f>IF(Z13="","",SUMIFS(Tree!$AM:$AM,Tree!$A:$A,'Pre-Harvest Plots_rpt'!$B13,Tree!$B:$B,'Pre-Harvest Plots_rpt'!$D13,Tree!$F:$F,"D",Tree!$K:$K,"&lt;&gt;"&amp;"Y"))</f>
        <v/>
      </c>
      <c r="AD13" s="162" t="str">
        <f>IF(Z13="","",SUMIFS(Tree!$AW:$AW,Tree!$A:$A,'Pre-Harvest Plots_rpt'!$B13,Tree!$B:$B,'Pre-Harvest Plots_rpt'!$D13,Tree!$F:$F,"D",Tree!$K:$K,"&lt;&gt;"&amp;"Y")/1000)</f>
        <v/>
      </c>
      <c r="AE13" s="47"/>
      <c r="AF13" s="18"/>
      <c r="AG13" s="18"/>
      <c r="AH13" s="18"/>
    </row>
    <row r="14" spans="1:34" ht="12.75" customHeight="1" x14ac:dyDescent="0.25">
      <c r="A14" s="48">
        <v>11</v>
      </c>
      <c r="B14" s="171" t="str">
        <f>IF(A14&lt;=SUM(Stand!$H$3:$H$29),VLOOKUP(A14,Stand!$A$3:$C$29,3,TRUE),"")</f>
        <v/>
      </c>
      <c r="C14" s="172" t="str">
        <f t="shared" si="0"/>
        <v/>
      </c>
      <c r="D14" s="173" t="str">
        <f>IF(B14="","",VLOOKUP(B14&amp;C14,Plot!$B$2:$D$199,3,FALSE))</f>
        <v/>
      </c>
      <c r="E14" s="130"/>
      <c r="F14" s="152" t="str">
        <f>IF(B14="","",SUMIFS(Tree!$O:$O,Tree!$A:$A,'Pre-Harvest Plots_rpt'!$B14,Tree!$B:$B,'Pre-Harvest Plots_rpt'!$D14,Tree!$F:$F,"L",Tree!$K:$K,"&lt;&gt;"&amp;"Y"))</f>
        <v/>
      </c>
      <c r="G14" s="153" t="str">
        <f>IFERROR(IF(D14="","",SUMIFS(Tree!$P:$P,Tree!$A:$A,'Pre-Harvest Plots_rpt'!$B14,Tree!$B:$B,'Pre-Harvest Plots_rpt'!$D14,Tree!$K:$K,"&lt;&gt;"&amp;"Y")/$F14),"")</f>
        <v/>
      </c>
      <c r="H14" s="122" t="str">
        <f t="shared" si="1"/>
        <v/>
      </c>
      <c r="I14" s="121" t="str">
        <f>IF(OR($F14=0,$F14=""),"",SUMIFS(Tree!$R:$R,Tree!$A:$A,'Pre-Harvest Plots_rpt'!$B14,Tree!$B:$B,'Pre-Harvest Plots_rpt'!$D14,Tree!$F:$F,"L",Tree!$K:$K,"&lt;&gt;"&amp;"Y"))</f>
        <v/>
      </c>
      <c r="J14" s="121" t="str">
        <f>IF(OR($F14=0,$F14=""),"",IF(SUMIFS(Tree!$W:$W,Tree!$A:$A,'Pre-Harvest Plots_rpt'!$B14,Tree!$B:$B,'Pre-Harvest Plots_rpt'!$D14,Tree!$F:$F,"L",Tree!$K:$K,"&lt;&gt;"&amp;"Y")=0,0,AVERAGEIFS(Tree!$W:$W,Tree!$A:$A,'Pre-Harvest Plots_rpt'!$B14,Tree!$B:$B,'Pre-Harvest Plots_rpt'!$D14,Tree!$F:$F,"L",Tree!$K:$K,"&lt;&gt;"&amp;"Y")))</f>
        <v/>
      </c>
      <c r="K14" s="121" t="str">
        <f>IF($F14="","",SUMIFS(Tree!$S:$S,Tree!$A:$A,'Pre-Harvest Plots_rpt'!$B14,Tree!$B:$B,'Pre-Harvest Plots_rpt'!$D14,Tree!$F:$F,"L",Tree!$K:$K,"&lt;&gt;"&amp;"Y"))</f>
        <v/>
      </c>
      <c r="L14" s="154" t="str">
        <f t="shared" si="2"/>
        <v/>
      </c>
      <c r="M14" s="135"/>
      <c r="N14" s="192" t="str">
        <f>IF(B14="","",SUMIFS(Tree!$AM:$AM,Tree!$A:$A,'Pre-Harvest Plots_rpt'!$B14,Tree!$B:$B,'Pre-Harvest Plots_rpt'!$D14,Tree!$F:$F,"L",Tree!$K:$K,"&lt;&gt;"&amp;"Y"))</f>
        <v/>
      </c>
      <c r="O14" s="122" t="str">
        <f>IF(B14="","",SUMIFS(Tree!$AN:$AN,Tree!$A:$A,'Pre-Harvest Plots_rpt'!$B14,Tree!$B:$B,'Pre-Harvest Plots_rpt'!$D14,Tree!$F:$F,"L",Tree!$K:$K,"&lt;&gt;"&amp;"Y"))</f>
        <v/>
      </c>
      <c r="P14" s="122" t="str">
        <f>IF(B14="","",SUMIFS(Tree!$AO:$AO,Tree!$A:$A,'Pre-Harvest Plots_rpt'!$B14,Tree!$B:$B,'Pre-Harvest Plots_rpt'!$D14,Tree!$F:$F,"L",Tree!$K:$K,"&lt;&gt;"&amp;"Y"))</f>
        <v/>
      </c>
      <c r="Q14" s="122" t="str">
        <f>IF(B14="","",SUMIFS(Tree!$AP:$AP,Tree!$A:$A,'Pre-Harvest Plots_rpt'!$B14,Tree!$B:$B,'Pre-Harvest Plots_rpt'!$D14,Tree!$F:$F,"L",Tree!$K:$K,"&lt;&gt;"&amp;"Y"))</f>
        <v/>
      </c>
      <c r="R14" s="123" t="str">
        <f>IF(B14="","",SUMIFS(Tree!$AQ:$AQ,Tree!$A:$A,'Pre-Harvest Plots_rpt'!$B14,Tree!$B:$B,'Pre-Harvest Plots_rpt'!$D14,Tree!$F:$F,"L",Tree!$K:$K,"&lt;&gt;"&amp;"Y"))</f>
        <v/>
      </c>
      <c r="S14" s="122" t="str">
        <f>IF(B14="","",SUMIFS(Tree!$AJ:$AJ,Tree!$A:$A,'Pre-Harvest Plots_rpt'!$B14,Tree!$B:$B,'Pre-Harvest Plots_rpt'!$D14,Tree!$F:$F,"L",Tree!$K:$K,"&lt;&gt;"&amp;"Y")-O14)</f>
        <v/>
      </c>
      <c r="T14" s="122" t="str">
        <f>IF(B14="","",SUMIFS(Tree!$AK:$AK,Tree!$A:$A,'Pre-Harvest Plots_rpt'!$B14,Tree!$B:$B,'Pre-Harvest Plots_rpt'!$D14,Tree!$F:$F,"L",Tree!$K:$K,"&lt;&gt;"&amp;"Y")-P14)</f>
        <v/>
      </c>
      <c r="U14" s="122" t="str">
        <f>IF(B14="","",SUMIFS(Tree!$AL:$AL,Tree!$A:$A,'Pre-Harvest Plots_rpt'!$B14,Tree!$B:$B,'Pre-Harvest Plots_rpt'!$D14,Tree!$F:$F,"L",Tree!$K:$K,"&lt;&gt;"&amp;"Y")-Q14)</f>
        <v/>
      </c>
      <c r="V14" s="123" t="str">
        <f>IF(B14="","",ROUND(SUMIFS(Tree!$AE:$AE,Tree!$A:$A,'Pre-Harvest Plots_rpt'!$B14,Tree!$B:$B,'Pre-Harvest Plots_rpt'!$D14,Tree!$F:$F,"L",Tree!$K:$K,"&lt;&gt;"&amp;"Y")-R14,1))</f>
        <v/>
      </c>
      <c r="W14" s="124" t="str">
        <f>IF(B14="","",SUMIFS(Tree!$AY:$AY,Tree!$A:$A,'Pre-Harvest Plots_rpt'!$B14,Tree!$B:$B,'Pre-Harvest Plots_rpt'!$D14,Tree!$F:$F,"L",Tree!$K:$K,"&lt;&gt;"&amp;"Y")/1000)</f>
        <v/>
      </c>
      <c r="X14" s="158" t="str">
        <f>IF(B14="","",ROUND((SUMIFS(Tree!$AW:$AW,Tree!$A:$A,'Pre-Harvest Plots_rpt'!$B14,Tree!$B:$B,'Pre-Harvest Plots_rpt'!$D14,Tree!$F:$F,"L",Tree!$K:$K,"&lt;&gt;"&amp;"Y")/1000)-W14,1))</f>
        <v/>
      </c>
      <c r="Y14" s="135"/>
      <c r="Z14" s="161" t="str">
        <f>IF(IF(B14="","",SUMIFS(Tree!$O:$O,Tree!$A:$A,'Pre-Harvest Plots_rpt'!$B14,Tree!$B:$B,'Pre-Harvest Plots_rpt'!$D14,Tree!$F:$F,"D",Tree!$K:$K,"&lt;&gt;"&amp;"Y"))=0,"",IF(B14="","",SUMIFS(Tree!$O:$O,Tree!$A:$A,'Pre-Harvest Plots_rpt'!$B14,Tree!$B:$B,'Pre-Harvest Plots_rpt'!$D14,Tree!$F:$F,"D",Tree!$K:$K,"&lt;&gt;"&amp;"Y")))</f>
        <v/>
      </c>
      <c r="AA14" s="125" t="str">
        <f t="shared" si="3"/>
        <v/>
      </c>
      <c r="AB14" s="125" t="str">
        <f>IF(Z14="","",SUMIFS(Tree!$R:$R,Tree!$A:$A,'Pre-Harvest Plots_rpt'!$B14,Tree!$B:$B,'Pre-Harvest Plots_rpt'!$D14,Tree!$F:$F,"D",Tree!$K:$K,"&lt;&gt;"&amp;"Y"))</f>
        <v/>
      </c>
      <c r="AC14" s="126" t="str">
        <f>IF(Z14="","",SUMIFS(Tree!$AM:$AM,Tree!$A:$A,'Pre-Harvest Plots_rpt'!$B14,Tree!$B:$B,'Pre-Harvest Plots_rpt'!$D14,Tree!$F:$F,"D",Tree!$K:$K,"&lt;&gt;"&amp;"Y"))</f>
        <v/>
      </c>
      <c r="AD14" s="162" t="str">
        <f>IF(Z14="","",SUMIFS(Tree!$AW:$AW,Tree!$A:$A,'Pre-Harvest Plots_rpt'!$B14,Tree!$B:$B,'Pre-Harvest Plots_rpt'!$D14,Tree!$F:$F,"D",Tree!$K:$K,"&lt;&gt;"&amp;"Y")/1000)</f>
        <v/>
      </c>
      <c r="AE14" s="47"/>
      <c r="AF14" s="18"/>
      <c r="AG14" s="18"/>
      <c r="AH14" s="18"/>
    </row>
    <row r="15" spans="1:34" ht="12.75" customHeight="1" x14ac:dyDescent="0.25">
      <c r="A15" s="48">
        <v>12</v>
      </c>
      <c r="B15" s="171" t="str">
        <f>IF(A15&lt;=SUM(Stand!$H$3:$H$29),VLOOKUP(A15,Stand!$A$3:$C$29,3,TRUE),"")</f>
        <v/>
      </c>
      <c r="C15" s="172" t="str">
        <f t="shared" si="0"/>
        <v/>
      </c>
      <c r="D15" s="173" t="str">
        <f>IF(B15="","",VLOOKUP(B15&amp;C15,Plot!$B$2:$D$199,3,FALSE))</f>
        <v/>
      </c>
      <c r="E15" s="130"/>
      <c r="F15" s="152" t="str">
        <f>IF(B15="","",SUMIFS(Tree!$O:$O,Tree!$A:$A,'Pre-Harvest Plots_rpt'!$B15,Tree!$B:$B,'Pre-Harvest Plots_rpt'!$D15,Tree!$F:$F,"L",Tree!$K:$K,"&lt;&gt;"&amp;"Y"))</f>
        <v/>
      </c>
      <c r="G15" s="153" t="str">
        <f>IFERROR(IF(D15="","",SUMIFS(Tree!$P:$P,Tree!$A:$A,'Pre-Harvest Plots_rpt'!$B15,Tree!$B:$B,'Pre-Harvest Plots_rpt'!$D15,Tree!$K:$K,"&lt;&gt;"&amp;"Y")/$F15),"")</f>
        <v/>
      </c>
      <c r="H15" s="122" t="str">
        <f t="shared" si="1"/>
        <v/>
      </c>
      <c r="I15" s="121" t="str">
        <f>IF(OR($F15=0,$F15=""),"",SUMIFS(Tree!$R:$R,Tree!$A:$A,'Pre-Harvest Plots_rpt'!$B15,Tree!$B:$B,'Pre-Harvest Plots_rpt'!$D15,Tree!$F:$F,"L",Tree!$K:$K,"&lt;&gt;"&amp;"Y"))</f>
        <v/>
      </c>
      <c r="J15" s="121" t="str">
        <f>IF(OR($F15=0,$F15=""),"",IF(SUMIFS(Tree!$W:$W,Tree!$A:$A,'Pre-Harvest Plots_rpt'!$B15,Tree!$B:$B,'Pre-Harvest Plots_rpt'!$D15,Tree!$F:$F,"L",Tree!$K:$K,"&lt;&gt;"&amp;"Y")=0,0,AVERAGEIFS(Tree!$W:$W,Tree!$A:$A,'Pre-Harvest Plots_rpt'!$B15,Tree!$B:$B,'Pre-Harvest Plots_rpt'!$D15,Tree!$F:$F,"L",Tree!$K:$K,"&lt;&gt;"&amp;"Y")))</f>
        <v/>
      </c>
      <c r="K15" s="121" t="str">
        <f>IF($F15="","",SUMIFS(Tree!$S:$S,Tree!$A:$A,'Pre-Harvest Plots_rpt'!$B15,Tree!$B:$B,'Pre-Harvest Plots_rpt'!$D15,Tree!$F:$F,"L",Tree!$K:$K,"&lt;&gt;"&amp;"Y"))</f>
        <v/>
      </c>
      <c r="L15" s="154" t="str">
        <f t="shared" si="2"/>
        <v/>
      </c>
      <c r="M15" s="135"/>
      <c r="N15" s="192" t="str">
        <f>IF(B15="","",SUMIFS(Tree!$AM:$AM,Tree!$A:$A,'Pre-Harvest Plots_rpt'!$B15,Tree!$B:$B,'Pre-Harvest Plots_rpt'!$D15,Tree!$F:$F,"L",Tree!$K:$K,"&lt;&gt;"&amp;"Y"))</f>
        <v/>
      </c>
      <c r="O15" s="122" t="str">
        <f>IF(B15="","",SUMIFS(Tree!$AN:$AN,Tree!$A:$A,'Pre-Harvest Plots_rpt'!$B15,Tree!$B:$B,'Pre-Harvest Plots_rpt'!$D15,Tree!$F:$F,"L",Tree!$K:$K,"&lt;&gt;"&amp;"Y"))</f>
        <v/>
      </c>
      <c r="P15" s="122" t="str">
        <f>IF(B15="","",SUMIFS(Tree!$AO:$AO,Tree!$A:$A,'Pre-Harvest Plots_rpt'!$B15,Tree!$B:$B,'Pre-Harvest Plots_rpt'!$D15,Tree!$F:$F,"L",Tree!$K:$K,"&lt;&gt;"&amp;"Y"))</f>
        <v/>
      </c>
      <c r="Q15" s="122" t="str">
        <f>IF(B15="","",SUMIFS(Tree!$AP:$AP,Tree!$A:$A,'Pre-Harvest Plots_rpt'!$B15,Tree!$B:$B,'Pre-Harvest Plots_rpt'!$D15,Tree!$F:$F,"L",Tree!$K:$K,"&lt;&gt;"&amp;"Y"))</f>
        <v/>
      </c>
      <c r="R15" s="123" t="str">
        <f>IF(B15="","",SUMIFS(Tree!$AQ:$AQ,Tree!$A:$A,'Pre-Harvest Plots_rpt'!$B15,Tree!$B:$B,'Pre-Harvest Plots_rpt'!$D15,Tree!$F:$F,"L",Tree!$K:$K,"&lt;&gt;"&amp;"Y"))</f>
        <v/>
      </c>
      <c r="S15" s="122" t="str">
        <f>IF(B15="","",SUMIFS(Tree!$AJ:$AJ,Tree!$A:$A,'Pre-Harvest Plots_rpt'!$B15,Tree!$B:$B,'Pre-Harvest Plots_rpt'!$D15,Tree!$F:$F,"L",Tree!$K:$K,"&lt;&gt;"&amp;"Y")-O15)</f>
        <v/>
      </c>
      <c r="T15" s="122" t="str">
        <f>IF(B15="","",SUMIFS(Tree!$AK:$AK,Tree!$A:$A,'Pre-Harvest Plots_rpt'!$B15,Tree!$B:$B,'Pre-Harvest Plots_rpt'!$D15,Tree!$F:$F,"L",Tree!$K:$K,"&lt;&gt;"&amp;"Y")-P15)</f>
        <v/>
      </c>
      <c r="U15" s="122" t="str">
        <f>IF(B15="","",SUMIFS(Tree!$AL:$AL,Tree!$A:$A,'Pre-Harvest Plots_rpt'!$B15,Tree!$B:$B,'Pre-Harvest Plots_rpt'!$D15,Tree!$F:$F,"L",Tree!$K:$K,"&lt;&gt;"&amp;"Y")-Q15)</f>
        <v/>
      </c>
      <c r="V15" s="123" t="str">
        <f>IF(B15="","",ROUND(SUMIFS(Tree!$AE:$AE,Tree!$A:$A,'Pre-Harvest Plots_rpt'!$B15,Tree!$B:$B,'Pre-Harvest Plots_rpt'!$D15,Tree!$F:$F,"L",Tree!$K:$K,"&lt;&gt;"&amp;"Y")-R15,1))</f>
        <v/>
      </c>
      <c r="W15" s="124" t="str">
        <f>IF(B15="","",SUMIFS(Tree!$AY:$AY,Tree!$A:$A,'Pre-Harvest Plots_rpt'!$B15,Tree!$B:$B,'Pre-Harvest Plots_rpt'!$D15,Tree!$F:$F,"L",Tree!$K:$K,"&lt;&gt;"&amp;"Y")/1000)</f>
        <v/>
      </c>
      <c r="X15" s="158" t="str">
        <f>IF(B15="","",ROUND((SUMIFS(Tree!$AW:$AW,Tree!$A:$A,'Pre-Harvest Plots_rpt'!$B15,Tree!$B:$B,'Pre-Harvest Plots_rpt'!$D15,Tree!$F:$F,"L",Tree!$K:$K,"&lt;&gt;"&amp;"Y")/1000)-W15,1))</f>
        <v/>
      </c>
      <c r="Y15" s="135"/>
      <c r="Z15" s="161" t="str">
        <f>IF(IF(B15="","",SUMIFS(Tree!$O:$O,Tree!$A:$A,'Pre-Harvest Plots_rpt'!$B15,Tree!$B:$B,'Pre-Harvest Plots_rpt'!$D15,Tree!$F:$F,"D",Tree!$K:$K,"&lt;&gt;"&amp;"Y"))=0,"",IF(B15="","",SUMIFS(Tree!$O:$O,Tree!$A:$A,'Pre-Harvest Plots_rpt'!$B15,Tree!$B:$B,'Pre-Harvest Plots_rpt'!$D15,Tree!$F:$F,"D",Tree!$K:$K,"&lt;&gt;"&amp;"Y")))</f>
        <v/>
      </c>
      <c r="AA15" s="125" t="str">
        <f t="shared" si="3"/>
        <v/>
      </c>
      <c r="AB15" s="125" t="str">
        <f>IF(Z15="","",SUMIFS(Tree!$R:$R,Tree!$A:$A,'Pre-Harvest Plots_rpt'!$B15,Tree!$B:$B,'Pre-Harvest Plots_rpt'!$D15,Tree!$F:$F,"D",Tree!$K:$K,"&lt;&gt;"&amp;"Y"))</f>
        <v/>
      </c>
      <c r="AC15" s="126" t="str">
        <f>IF(Z15="","",SUMIFS(Tree!$AM:$AM,Tree!$A:$A,'Pre-Harvest Plots_rpt'!$B15,Tree!$B:$B,'Pre-Harvest Plots_rpt'!$D15,Tree!$F:$F,"D",Tree!$K:$K,"&lt;&gt;"&amp;"Y"))</f>
        <v/>
      </c>
      <c r="AD15" s="162" t="str">
        <f>IF(Z15="","",SUMIFS(Tree!$AW:$AW,Tree!$A:$A,'Pre-Harvest Plots_rpt'!$B15,Tree!$B:$B,'Pre-Harvest Plots_rpt'!$D15,Tree!$F:$F,"D",Tree!$K:$K,"&lt;&gt;"&amp;"Y")/1000)</f>
        <v/>
      </c>
      <c r="AE15" s="47"/>
      <c r="AF15" s="18"/>
      <c r="AG15" s="18"/>
      <c r="AH15" s="18"/>
    </row>
    <row r="16" spans="1:34" ht="12.75" customHeight="1" x14ac:dyDescent="0.25">
      <c r="A16" s="48">
        <v>13</v>
      </c>
      <c r="B16" s="171" t="str">
        <f>IF(A16&lt;=SUM(Stand!$H$3:$H$29),VLOOKUP(A16,Stand!$A$3:$C$29,3,TRUE),"")</f>
        <v/>
      </c>
      <c r="C16" s="172" t="str">
        <f t="shared" si="0"/>
        <v/>
      </c>
      <c r="D16" s="173" t="str">
        <f>IF(B16="","",VLOOKUP(B16&amp;C16,Plot!$B$2:$D$199,3,FALSE))</f>
        <v/>
      </c>
      <c r="E16" s="130"/>
      <c r="F16" s="152" t="str">
        <f>IF(B16="","",SUMIFS(Tree!$O:$O,Tree!$A:$A,'Pre-Harvest Plots_rpt'!$B16,Tree!$B:$B,'Pre-Harvest Plots_rpt'!$D16,Tree!$F:$F,"L",Tree!$K:$K,"&lt;&gt;"&amp;"Y"))</f>
        <v/>
      </c>
      <c r="G16" s="153" t="str">
        <f>IFERROR(IF(D16="","",SUMIFS(Tree!$P:$P,Tree!$A:$A,'Pre-Harvest Plots_rpt'!$B16,Tree!$B:$B,'Pre-Harvest Plots_rpt'!$D16,Tree!$K:$K,"&lt;&gt;"&amp;"Y")/$F16),"")</f>
        <v/>
      </c>
      <c r="H16" s="122" t="str">
        <f t="shared" si="1"/>
        <v/>
      </c>
      <c r="I16" s="121" t="str">
        <f>IF(OR($F16=0,$F16=""),"",SUMIFS(Tree!$R:$R,Tree!$A:$A,'Pre-Harvest Plots_rpt'!$B16,Tree!$B:$B,'Pre-Harvest Plots_rpt'!$D16,Tree!$F:$F,"L",Tree!$K:$K,"&lt;&gt;"&amp;"Y"))</f>
        <v/>
      </c>
      <c r="J16" s="121" t="str">
        <f>IF(OR($F16=0,$F16=""),"",IF(SUMIFS(Tree!$W:$W,Tree!$A:$A,'Pre-Harvest Plots_rpt'!$B16,Tree!$B:$B,'Pre-Harvest Plots_rpt'!$D16,Tree!$F:$F,"L",Tree!$K:$K,"&lt;&gt;"&amp;"Y")=0,0,AVERAGEIFS(Tree!$W:$W,Tree!$A:$A,'Pre-Harvest Plots_rpt'!$B16,Tree!$B:$B,'Pre-Harvest Plots_rpt'!$D16,Tree!$F:$F,"L",Tree!$K:$K,"&lt;&gt;"&amp;"Y")))</f>
        <v/>
      </c>
      <c r="K16" s="121" t="str">
        <f>IF($F16="","",SUMIFS(Tree!$S:$S,Tree!$A:$A,'Pre-Harvest Plots_rpt'!$B16,Tree!$B:$B,'Pre-Harvest Plots_rpt'!$D16,Tree!$F:$F,"L",Tree!$K:$K,"&lt;&gt;"&amp;"Y"))</f>
        <v/>
      </c>
      <c r="L16" s="154" t="str">
        <f t="shared" si="2"/>
        <v/>
      </c>
      <c r="M16" s="135"/>
      <c r="N16" s="192" t="str">
        <f>IF(B16="","",SUMIFS(Tree!$AM:$AM,Tree!$A:$A,'Pre-Harvest Plots_rpt'!$B16,Tree!$B:$B,'Pre-Harvest Plots_rpt'!$D16,Tree!$F:$F,"L",Tree!$K:$K,"&lt;&gt;"&amp;"Y"))</f>
        <v/>
      </c>
      <c r="O16" s="122" t="str">
        <f>IF(B16="","",SUMIFS(Tree!$AN:$AN,Tree!$A:$A,'Pre-Harvest Plots_rpt'!$B16,Tree!$B:$B,'Pre-Harvest Plots_rpt'!$D16,Tree!$F:$F,"L",Tree!$K:$K,"&lt;&gt;"&amp;"Y"))</f>
        <v/>
      </c>
      <c r="P16" s="122" t="str">
        <f>IF(B16="","",SUMIFS(Tree!$AO:$AO,Tree!$A:$A,'Pre-Harvest Plots_rpt'!$B16,Tree!$B:$B,'Pre-Harvest Plots_rpt'!$D16,Tree!$F:$F,"L",Tree!$K:$K,"&lt;&gt;"&amp;"Y"))</f>
        <v/>
      </c>
      <c r="Q16" s="122" t="str">
        <f>IF(B16="","",SUMIFS(Tree!$AP:$AP,Tree!$A:$A,'Pre-Harvest Plots_rpt'!$B16,Tree!$B:$B,'Pre-Harvest Plots_rpt'!$D16,Tree!$F:$F,"L",Tree!$K:$K,"&lt;&gt;"&amp;"Y"))</f>
        <v/>
      </c>
      <c r="R16" s="123" t="str">
        <f>IF(B16="","",SUMIFS(Tree!$AQ:$AQ,Tree!$A:$A,'Pre-Harvest Plots_rpt'!$B16,Tree!$B:$B,'Pre-Harvest Plots_rpt'!$D16,Tree!$F:$F,"L",Tree!$K:$K,"&lt;&gt;"&amp;"Y"))</f>
        <v/>
      </c>
      <c r="S16" s="122" t="str">
        <f>IF(B16="","",SUMIFS(Tree!$AJ:$AJ,Tree!$A:$A,'Pre-Harvest Plots_rpt'!$B16,Tree!$B:$B,'Pre-Harvest Plots_rpt'!$D16,Tree!$F:$F,"L",Tree!$K:$K,"&lt;&gt;"&amp;"Y")-O16)</f>
        <v/>
      </c>
      <c r="T16" s="122" t="str">
        <f>IF(B16="","",SUMIFS(Tree!$AK:$AK,Tree!$A:$A,'Pre-Harvest Plots_rpt'!$B16,Tree!$B:$B,'Pre-Harvest Plots_rpt'!$D16,Tree!$F:$F,"L",Tree!$K:$K,"&lt;&gt;"&amp;"Y")-P16)</f>
        <v/>
      </c>
      <c r="U16" s="122" t="str">
        <f>IF(B16="","",SUMIFS(Tree!$AL:$AL,Tree!$A:$A,'Pre-Harvest Plots_rpt'!$B16,Tree!$B:$B,'Pre-Harvest Plots_rpt'!$D16,Tree!$F:$F,"L",Tree!$K:$K,"&lt;&gt;"&amp;"Y")-Q16)</f>
        <v/>
      </c>
      <c r="V16" s="123" t="str">
        <f>IF(B16="","",ROUND(SUMIFS(Tree!$AE:$AE,Tree!$A:$A,'Pre-Harvest Plots_rpt'!$B16,Tree!$B:$B,'Pre-Harvest Plots_rpt'!$D16,Tree!$F:$F,"L",Tree!$K:$K,"&lt;&gt;"&amp;"Y")-R16,1))</f>
        <v/>
      </c>
      <c r="W16" s="124" t="str">
        <f>IF(B16="","",SUMIFS(Tree!$AY:$AY,Tree!$A:$A,'Pre-Harvest Plots_rpt'!$B16,Tree!$B:$B,'Pre-Harvest Plots_rpt'!$D16,Tree!$F:$F,"L",Tree!$K:$K,"&lt;&gt;"&amp;"Y")/1000)</f>
        <v/>
      </c>
      <c r="X16" s="158" t="str">
        <f>IF(B16="","",ROUND((SUMIFS(Tree!$AW:$AW,Tree!$A:$A,'Pre-Harvest Plots_rpt'!$B16,Tree!$B:$B,'Pre-Harvest Plots_rpt'!$D16,Tree!$F:$F,"L",Tree!$K:$K,"&lt;&gt;"&amp;"Y")/1000)-W16,1))</f>
        <v/>
      </c>
      <c r="Y16" s="135"/>
      <c r="Z16" s="161" t="str">
        <f>IF(IF(B16="","",SUMIFS(Tree!$O:$O,Tree!$A:$A,'Pre-Harvest Plots_rpt'!$B16,Tree!$B:$B,'Pre-Harvest Plots_rpt'!$D16,Tree!$F:$F,"D",Tree!$K:$K,"&lt;&gt;"&amp;"Y"))=0,"",IF(B16="","",SUMIFS(Tree!$O:$O,Tree!$A:$A,'Pre-Harvest Plots_rpt'!$B16,Tree!$B:$B,'Pre-Harvest Plots_rpt'!$D16,Tree!$F:$F,"D",Tree!$K:$K,"&lt;&gt;"&amp;"Y")))</f>
        <v/>
      </c>
      <c r="AA16" s="125" t="str">
        <f t="shared" si="3"/>
        <v/>
      </c>
      <c r="AB16" s="125" t="str">
        <f>IF(Z16="","",SUMIFS(Tree!$R:$R,Tree!$A:$A,'Pre-Harvest Plots_rpt'!$B16,Tree!$B:$B,'Pre-Harvest Plots_rpt'!$D16,Tree!$F:$F,"D",Tree!$K:$K,"&lt;&gt;"&amp;"Y"))</f>
        <v/>
      </c>
      <c r="AC16" s="126" t="str">
        <f>IF(Z16="","",SUMIFS(Tree!$AM:$AM,Tree!$A:$A,'Pre-Harvest Plots_rpt'!$B16,Tree!$B:$B,'Pre-Harvest Plots_rpt'!$D16,Tree!$F:$F,"D",Tree!$K:$K,"&lt;&gt;"&amp;"Y"))</f>
        <v/>
      </c>
      <c r="AD16" s="162" t="str">
        <f>IF(Z16="","",SUMIFS(Tree!$AW:$AW,Tree!$A:$A,'Pre-Harvest Plots_rpt'!$B16,Tree!$B:$B,'Pre-Harvest Plots_rpt'!$D16,Tree!$F:$F,"D",Tree!$K:$K,"&lt;&gt;"&amp;"Y")/1000)</f>
        <v/>
      </c>
      <c r="AE16" s="47"/>
      <c r="AF16" s="18"/>
      <c r="AG16" s="18"/>
      <c r="AH16" s="18"/>
    </row>
    <row r="17" spans="1:34" ht="12.75" customHeight="1" x14ac:dyDescent="0.25">
      <c r="A17" s="48">
        <v>14</v>
      </c>
      <c r="B17" s="171" t="str">
        <f>IF(A17&lt;=SUM(Stand!$H$3:$H$29),VLOOKUP(A17,Stand!$A$3:$C$29,3,TRUE),"")</f>
        <v/>
      </c>
      <c r="C17" s="172" t="str">
        <f t="shared" si="0"/>
        <v/>
      </c>
      <c r="D17" s="173" t="str">
        <f>IF(B17="","",VLOOKUP(B17&amp;C17,Plot!$B$2:$D$199,3,FALSE))</f>
        <v/>
      </c>
      <c r="E17" s="130"/>
      <c r="F17" s="152" t="str">
        <f>IF(B17="","",SUMIFS(Tree!$O:$O,Tree!$A:$A,'Pre-Harvest Plots_rpt'!$B17,Tree!$B:$B,'Pre-Harvest Plots_rpt'!$D17,Tree!$F:$F,"L",Tree!$K:$K,"&lt;&gt;"&amp;"Y"))</f>
        <v/>
      </c>
      <c r="G17" s="153" t="str">
        <f>IFERROR(IF(D17="","",SUMIFS(Tree!$P:$P,Tree!$A:$A,'Pre-Harvest Plots_rpt'!$B17,Tree!$B:$B,'Pre-Harvest Plots_rpt'!$D17,Tree!$K:$K,"&lt;&gt;"&amp;"Y")/$F17),"")</f>
        <v/>
      </c>
      <c r="H17" s="122" t="str">
        <f t="shared" si="1"/>
        <v/>
      </c>
      <c r="I17" s="121" t="str">
        <f>IF(OR($F17=0,$F17=""),"",SUMIFS(Tree!$R:$R,Tree!$A:$A,'Pre-Harvest Plots_rpt'!$B17,Tree!$B:$B,'Pre-Harvest Plots_rpt'!$D17,Tree!$F:$F,"L",Tree!$K:$K,"&lt;&gt;"&amp;"Y"))</f>
        <v/>
      </c>
      <c r="J17" s="121" t="str">
        <f>IF(OR($F17=0,$F17=""),"",IF(SUMIFS(Tree!$W:$W,Tree!$A:$A,'Pre-Harvest Plots_rpt'!$B17,Tree!$B:$B,'Pre-Harvest Plots_rpt'!$D17,Tree!$F:$F,"L",Tree!$K:$K,"&lt;&gt;"&amp;"Y")=0,0,AVERAGEIFS(Tree!$W:$W,Tree!$A:$A,'Pre-Harvest Plots_rpt'!$B17,Tree!$B:$B,'Pre-Harvest Plots_rpt'!$D17,Tree!$F:$F,"L",Tree!$K:$K,"&lt;&gt;"&amp;"Y")))</f>
        <v/>
      </c>
      <c r="K17" s="121" t="str">
        <f>IF($F17="","",SUMIFS(Tree!$S:$S,Tree!$A:$A,'Pre-Harvest Plots_rpt'!$B17,Tree!$B:$B,'Pre-Harvest Plots_rpt'!$D17,Tree!$F:$F,"L",Tree!$K:$K,"&lt;&gt;"&amp;"Y"))</f>
        <v/>
      </c>
      <c r="L17" s="154" t="str">
        <f t="shared" si="2"/>
        <v/>
      </c>
      <c r="M17" s="135"/>
      <c r="N17" s="192" t="str">
        <f>IF(B17="","",SUMIFS(Tree!$AM:$AM,Tree!$A:$A,'Pre-Harvest Plots_rpt'!$B17,Tree!$B:$B,'Pre-Harvest Plots_rpt'!$D17,Tree!$F:$F,"L",Tree!$K:$K,"&lt;&gt;"&amp;"Y"))</f>
        <v/>
      </c>
      <c r="O17" s="122" t="str">
        <f>IF(B17="","",SUMIFS(Tree!$AN:$AN,Tree!$A:$A,'Pre-Harvest Plots_rpt'!$B17,Tree!$B:$B,'Pre-Harvest Plots_rpt'!$D17,Tree!$F:$F,"L",Tree!$K:$K,"&lt;&gt;"&amp;"Y"))</f>
        <v/>
      </c>
      <c r="P17" s="122" t="str">
        <f>IF(B17="","",SUMIFS(Tree!$AO:$AO,Tree!$A:$A,'Pre-Harvest Plots_rpt'!$B17,Tree!$B:$B,'Pre-Harvest Plots_rpt'!$D17,Tree!$F:$F,"L",Tree!$K:$K,"&lt;&gt;"&amp;"Y"))</f>
        <v/>
      </c>
      <c r="Q17" s="122" t="str">
        <f>IF(B17="","",SUMIFS(Tree!$AP:$AP,Tree!$A:$A,'Pre-Harvest Plots_rpt'!$B17,Tree!$B:$B,'Pre-Harvest Plots_rpt'!$D17,Tree!$F:$F,"L",Tree!$K:$K,"&lt;&gt;"&amp;"Y"))</f>
        <v/>
      </c>
      <c r="R17" s="123" t="str">
        <f>IF(B17="","",SUMIFS(Tree!$AQ:$AQ,Tree!$A:$A,'Pre-Harvest Plots_rpt'!$B17,Tree!$B:$B,'Pre-Harvest Plots_rpt'!$D17,Tree!$F:$F,"L",Tree!$K:$K,"&lt;&gt;"&amp;"Y"))</f>
        <v/>
      </c>
      <c r="S17" s="122" t="str">
        <f>IF(B17="","",SUMIFS(Tree!$AJ:$AJ,Tree!$A:$A,'Pre-Harvest Plots_rpt'!$B17,Tree!$B:$B,'Pre-Harvest Plots_rpt'!$D17,Tree!$F:$F,"L",Tree!$K:$K,"&lt;&gt;"&amp;"Y")-O17)</f>
        <v/>
      </c>
      <c r="T17" s="122" t="str">
        <f>IF(B17="","",SUMIFS(Tree!$AK:$AK,Tree!$A:$A,'Pre-Harvest Plots_rpt'!$B17,Tree!$B:$B,'Pre-Harvest Plots_rpt'!$D17,Tree!$F:$F,"L",Tree!$K:$K,"&lt;&gt;"&amp;"Y")-P17)</f>
        <v/>
      </c>
      <c r="U17" s="122" t="str">
        <f>IF(B17="","",SUMIFS(Tree!$AL:$AL,Tree!$A:$A,'Pre-Harvest Plots_rpt'!$B17,Tree!$B:$B,'Pre-Harvest Plots_rpt'!$D17,Tree!$F:$F,"L",Tree!$K:$K,"&lt;&gt;"&amp;"Y")-Q17)</f>
        <v/>
      </c>
      <c r="V17" s="123" t="str">
        <f>IF(B17="","",ROUND(SUMIFS(Tree!$AE:$AE,Tree!$A:$A,'Pre-Harvest Plots_rpt'!$B17,Tree!$B:$B,'Pre-Harvest Plots_rpt'!$D17,Tree!$F:$F,"L",Tree!$K:$K,"&lt;&gt;"&amp;"Y")-R17,1))</f>
        <v/>
      </c>
      <c r="W17" s="124" t="str">
        <f>IF(B17="","",SUMIFS(Tree!$AY:$AY,Tree!$A:$A,'Pre-Harvest Plots_rpt'!$B17,Tree!$B:$B,'Pre-Harvest Plots_rpt'!$D17,Tree!$F:$F,"L",Tree!$K:$K,"&lt;&gt;"&amp;"Y")/1000)</f>
        <v/>
      </c>
      <c r="X17" s="158" t="str">
        <f>IF(B17="","",ROUND((SUMIFS(Tree!$AW:$AW,Tree!$A:$A,'Pre-Harvest Plots_rpt'!$B17,Tree!$B:$B,'Pre-Harvest Plots_rpt'!$D17,Tree!$F:$F,"L",Tree!$K:$K,"&lt;&gt;"&amp;"Y")/1000)-W17,1))</f>
        <v/>
      </c>
      <c r="Y17" s="135"/>
      <c r="Z17" s="161" t="str">
        <f>IF(IF(B17="","",SUMIFS(Tree!$O:$O,Tree!$A:$A,'Pre-Harvest Plots_rpt'!$B17,Tree!$B:$B,'Pre-Harvest Plots_rpt'!$D17,Tree!$F:$F,"D",Tree!$K:$K,"&lt;&gt;"&amp;"Y"))=0,"",IF(B17="","",SUMIFS(Tree!$O:$O,Tree!$A:$A,'Pre-Harvest Plots_rpt'!$B17,Tree!$B:$B,'Pre-Harvest Plots_rpt'!$D17,Tree!$F:$F,"D",Tree!$K:$K,"&lt;&gt;"&amp;"Y")))</f>
        <v/>
      </c>
      <c r="AA17" s="125" t="str">
        <f t="shared" si="3"/>
        <v/>
      </c>
      <c r="AB17" s="125" t="str">
        <f>IF(Z17="","",SUMIFS(Tree!$R:$R,Tree!$A:$A,'Pre-Harvest Plots_rpt'!$B17,Tree!$B:$B,'Pre-Harvest Plots_rpt'!$D17,Tree!$F:$F,"D",Tree!$K:$K,"&lt;&gt;"&amp;"Y"))</f>
        <v/>
      </c>
      <c r="AC17" s="126" t="str">
        <f>IF(Z17="","",SUMIFS(Tree!$AM:$AM,Tree!$A:$A,'Pre-Harvest Plots_rpt'!$B17,Tree!$B:$B,'Pre-Harvest Plots_rpt'!$D17,Tree!$F:$F,"D",Tree!$K:$K,"&lt;&gt;"&amp;"Y"))</f>
        <v/>
      </c>
      <c r="AD17" s="162" t="str">
        <f>IF(Z17="","",SUMIFS(Tree!$AW:$AW,Tree!$A:$A,'Pre-Harvest Plots_rpt'!$B17,Tree!$B:$B,'Pre-Harvest Plots_rpt'!$D17,Tree!$F:$F,"D",Tree!$K:$K,"&lt;&gt;"&amp;"Y")/1000)</f>
        <v/>
      </c>
      <c r="AE17" s="47"/>
      <c r="AF17" s="18"/>
      <c r="AG17" s="18"/>
      <c r="AH17" s="18"/>
    </row>
    <row r="18" spans="1:34" ht="12.75" customHeight="1" x14ac:dyDescent="0.25">
      <c r="A18" s="48">
        <v>15</v>
      </c>
      <c r="B18" s="171" t="str">
        <f>IF(A18&lt;=SUM(Stand!$H$3:$H$29),VLOOKUP(A18,Stand!$A$3:$C$29,3,TRUE),"")</f>
        <v/>
      </c>
      <c r="C18" s="172" t="str">
        <f t="shared" si="0"/>
        <v/>
      </c>
      <c r="D18" s="173" t="str">
        <f>IF(B18="","",VLOOKUP(B18&amp;C18,Plot!$B$2:$D$199,3,FALSE))</f>
        <v/>
      </c>
      <c r="E18" s="130"/>
      <c r="F18" s="152" t="str">
        <f>IF(B18="","",SUMIFS(Tree!$O:$O,Tree!$A:$A,'Pre-Harvest Plots_rpt'!$B18,Tree!$B:$B,'Pre-Harvest Plots_rpt'!$D18,Tree!$F:$F,"L",Tree!$K:$K,"&lt;&gt;"&amp;"Y"))</f>
        <v/>
      </c>
      <c r="G18" s="153" t="str">
        <f>IFERROR(IF(D18="","",SUMIFS(Tree!$P:$P,Tree!$A:$A,'Pre-Harvest Plots_rpt'!$B18,Tree!$B:$B,'Pre-Harvest Plots_rpt'!$D18,Tree!$K:$K,"&lt;&gt;"&amp;"Y")/$F18),"")</f>
        <v/>
      </c>
      <c r="H18" s="122" t="str">
        <f t="shared" si="1"/>
        <v/>
      </c>
      <c r="I18" s="121" t="str">
        <f>IF(OR($F18=0,$F18=""),"",SUMIFS(Tree!$R:$R,Tree!$A:$A,'Pre-Harvest Plots_rpt'!$B18,Tree!$B:$B,'Pre-Harvest Plots_rpt'!$D18,Tree!$F:$F,"L",Tree!$K:$K,"&lt;&gt;"&amp;"Y"))</f>
        <v/>
      </c>
      <c r="J18" s="121" t="str">
        <f>IF(OR($F18=0,$F18=""),"",IF(SUMIFS(Tree!$W:$W,Tree!$A:$A,'Pre-Harvest Plots_rpt'!$B18,Tree!$B:$B,'Pre-Harvest Plots_rpt'!$D18,Tree!$F:$F,"L",Tree!$K:$K,"&lt;&gt;"&amp;"Y")=0,0,AVERAGEIFS(Tree!$W:$W,Tree!$A:$A,'Pre-Harvest Plots_rpt'!$B18,Tree!$B:$B,'Pre-Harvest Plots_rpt'!$D18,Tree!$F:$F,"L",Tree!$K:$K,"&lt;&gt;"&amp;"Y")))</f>
        <v/>
      </c>
      <c r="K18" s="121" t="str">
        <f>IF($F18="","",SUMIFS(Tree!$S:$S,Tree!$A:$A,'Pre-Harvest Plots_rpt'!$B18,Tree!$B:$B,'Pre-Harvest Plots_rpt'!$D18,Tree!$F:$F,"L",Tree!$K:$K,"&lt;&gt;"&amp;"Y"))</f>
        <v/>
      </c>
      <c r="L18" s="154" t="str">
        <f t="shared" si="2"/>
        <v/>
      </c>
      <c r="M18" s="135"/>
      <c r="N18" s="192" t="str">
        <f>IF(B18="","",SUMIFS(Tree!$AM:$AM,Tree!$A:$A,'Pre-Harvest Plots_rpt'!$B18,Tree!$B:$B,'Pre-Harvest Plots_rpt'!$D18,Tree!$F:$F,"L",Tree!$K:$K,"&lt;&gt;"&amp;"Y"))</f>
        <v/>
      </c>
      <c r="O18" s="122" t="str">
        <f>IF(B18="","",SUMIFS(Tree!$AN:$AN,Tree!$A:$A,'Pre-Harvest Plots_rpt'!$B18,Tree!$B:$B,'Pre-Harvest Plots_rpt'!$D18,Tree!$F:$F,"L",Tree!$K:$K,"&lt;&gt;"&amp;"Y"))</f>
        <v/>
      </c>
      <c r="P18" s="122" t="str">
        <f>IF(B18="","",SUMIFS(Tree!$AO:$AO,Tree!$A:$A,'Pre-Harvest Plots_rpt'!$B18,Tree!$B:$B,'Pre-Harvest Plots_rpt'!$D18,Tree!$F:$F,"L",Tree!$K:$K,"&lt;&gt;"&amp;"Y"))</f>
        <v/>
      </c>
      <c r="Q18" s="122" t="str">
        <f>IF(B18="","",SUMIFS(Tree!$AP:$AP,Tree!$A:$A,'Pre-Harvest Plots_rpt'!$B18,Tree!$B:$B,'Pre-Harvest Plots_rpt'!$D18,Tree!$F:$F,"L",Tree!$K:$K,"&lt;&gt;"&amp;"Y"))</f>
        <v/>
      </c>
      <c r="R18" s="123" t="str">
        <f>IF(B18="","",SUMIFS(Tree!$AQ:$AQ,Tree!$A:$A,'Pre-Harvest Plots_rpt'!$B18,Tree!$B:$B,'Pre-Harvest Plots_rpt'!$D18,Tree!$F:$F,"L",Tree!$K:$K,"&lt;&gt;"&amp;"Y"))</f>
        <v/>
      </c>
      <c r="S18" s="122" t="str">
        <f>IF(B18="","",SUMIFS(Tree!$AJ:$AJ,Tree!$A:$A,'Pre-Harvest Plots_rpt'!$B18,Tree!$B:$B,'Pre-Harvest Plots_rpt'!$D18,Tree!$F:$F,"L",Tree!$K:$K,"&lt;&gt;"&amp;"Y")-O18)</f>
        <v/>
      </c>
      <c r="T18" s="122" t="str">
        <f>IF(B18="","",SUMIFS(Tree!$AK:$AK,Tree!$A:$A,'Pre-Harvest Plots_rpt'!$B18,Tree!$B:$B,'Pre-Harvest Plots_rpt'!$D18,Tree!$F:$F,"L",Tree!$K:$K,"&lt;&gt;"&amp;"Y")-P18)</f>
        <v/>
      </c>
      <c r="U18" s="122" t="str">
        <f>IF(B18="","",SUMIFS(Tree!$AL:$AL,Tree!$A:$A,'Pre-Harvest Plots_rpt'!$B18,Tree!$B:$B,'Pre-Harvest Plots_rpt'!$D18,Tree!$F:$F,"L",Tree!$K:$K,"&lt;&gt;"&amp;"Y")-Q18)</f>
        <v/>
      </c>
      <c r="V18" s="123" t="str">
        <f>IF(B18="","",ROUND(SUMIFS(Tree!$AE:$AE,Tree!$A:$A,'Pre-Harvest Plots_rpt'!$B18,Tree!$B:$B,'Pre-Harvest Plots_rpt'!$D18,Tree!$F:$F,"L",Tree!$K:$K,"&lt;&gt;"&amp;"Y")-R18,1))</f>
        <v/>
      </c>
      <c r="W18" s="124" t="str">
        <f>IF(B18="","",SUMIFS(Tree!$AY:$AY,Tree!$A:$A,'Pre-Harvest Plots_rpt'!$B18,Tree!$B:$B,'Pre-Harvest Plots_rpt'!$D18,Tree!$F:$F,"L",Tree!$K:$K,"&lt;&gt;"&amp;"Y")/1000)</f>
        <v/>
      </c>
      <c r="X18" s="158" t="str">
        <f>IF(B18="","",ROUND((SUMIFS(Tree!$AW:$AW,Tree!$A:$A,'Pre-Harvest Plots_rpt'!$B18,Tree!$B:$B,'Pre-Harvest Plots_rpt'!$D18,Tree!$F:$F,"L",Tree!$K:$K,"&lt;&gt;"&amp;"Y")/1000)-W18,1))</f>
        <v/>
      </c>
      <c r="Y18" s="135"/>
      <c r="Z18" s="161" t="str">
        <f>IF(IF(B18="","",SUMIFS(Tree!$O:$O,Tree!$A:$A,'Pre-Harvest Plots_rpt'!$B18,Tree!$B:$B,'Pre-Harvest Plots_rpt'!$D18,Tree!$F:$F,"D",Tree!$K:$K,"&lt;&gt;"&amp;"Y"))=0,"",IF(B18="","",SUMIFS(Tree!$O:$O,Tree!$A:$A,'Pre-Harvest Plots_rpt'!$B18,Tree!$B:$B,'Pre-Harvest Plots_rpt'!$D18,Tree!$F:$F,"D",Tree!$K:$K,"&lt;&gt;"&amp;"Y")))</f>
        <v/>
      </c>
      <c r="AA18" s="125" t="str">
        <f t="shared" si="3"/>
        <v/>
      </c>
      <c r="AB18" s="125" t="str">
        <f>IF(Z18="","",SUMIFS(Tree!$R:$R,Tree!$A:$A,'Pre-Harvest Plots_rpt'!$B18,Tree!$B:$B,'Pre-Harvest Plots_rpt'!$D18,Tree!$F:$F,"D",Tree!$K:$K,"&lt;&gt;"&amp;"Y"))</f>
        <v/>
      </c>
      <c r="AC18" s="126" t="str">
        <f>IF(Z18="","",SUMIFS(Tree!$AM:$AM,Tree!$A:$A,'Pre-Harvest Plots_rpt'!$B18,Tree!$B:$B,'Pre-Harvest Plots_rpt'!$D18,Tree!$F:$F,"D",Tree!$K:$K,"&lt;&gt;"&amp;"Y"))</f>
        <v/>
      </c>
      <c r="AD18" s="162" t="str">
        <f>IF(Z18="","",SUMIFS(Tree!$AW:$AW,Tree!$A:$A,'Pre-Harvest Plots_rpt'!$B18,Tree!$B:$B,'Pre-Harvest Plots_rpt'!$D18,Tree!$F:$F,"D",Tree!$K:$K,"&lt;&gt;"&amp;"Y")/1000)</f>
        <v/>
      </c>
      <c r="AE18" s="47"/>
      <c r="AF18" s="18"/>
      <c r="AG18" s="18"/>
      <c r="AH18" s="18"/>
    </row>
    <row r="19" spans="1:34" ht="12.75" customHeight="1" x14ac:dyDescent="0.25">
      <c r="A19" s="48">
        <v>16</v>
      </c>
      <c r="B19" s="171" t="str">
        <f>IF(A19&lt;=SUM(Stand!$H$3:$H$29),VLOOKUP(A19,Stand!$A$3:$C$29,3,TRUE),"")</f>
        <v/>
      </c>
      <c r="C19" s="172" t="str">
        <f t="shared" si="0"/>
        <v/>
      </c>
      <c r="D19" s="173" t="str">
        <f>IF(B19="","",VLOOKUP(B19&amp;C19,Plot!$B$2:$D$199,3,FALSE))</f>
        <v/>
      </c>
      <c r="E19" s="130"/>
      <c r="F19" s="152" t="str">
        <f>IF(B19="","",SUMIFS(Tree!$O:$O,Tree!$A:$A,'Pre-Harvest Plots_rpt'!$B19,Tree!$B:$B,'Pre-Harvest Plots_rpt'!$D19,Tree!$F:$F,"L",Tree!$K:$K,"&lt;&gt;"&amp;"Y"))</f>
        <v/>
      </c>
      <c r="G19" s="153" t="str">
        <f>IFERROR(IF(D19="","",SUMIFS(Tree!$P:$P,Tree!$A:$A,'Pre-Harvest Plots_rpt'!$B19,Tree!$B:$B,'Pre-Harvest Plots_rpt'!$D19,Tree!$K:$K,"&lt;&gt;"&amp;"Y")/$F19),"")</f>
        <v/>
      </c>
      <c r="H19" s="122" t="str">
        <f t="shared" si="1"/>
        <v/>
      </c>
      <c r="I19" s="121" t="str">
        <f>IF(OR($F19=0,$F19=""),"",SUMIFS(Tree!$R:$R,Tree!$A:$A,'Pre-Harvest Plots_rpt'!$B19,Tree!$B:$B,'Pre-Harvest Plots_rpt'!$D19,Tree!$F:$F,"L",Tree!$K:$K,"&lt;&gt;"&amp;"Y"))</f>
        <v/>
      </c>
      <c r="J19" s="121" t="str">
        <f>IF(OR($F19=0,$F19=""),"",IF(SUMIFS(Tree!$W:$W,Tree!$A:$A,'Pre-Harvest Plots_rpt'!$B19,Tree!$B:$B,'Pre-Harvest Plots_rpt'!$D19,Tree!$F:$F,"L",Tree!$K:$K,"&lt;&gt;"&amp;"Y")=0,0,AVERAGEIFS(Tree!$W:$W,Tree!$A:$A,'Pre-Harvest Plots_rpt'!$B19,Tree!$B:$B,'Pre-Harvest Plots_rpt'!$D19,Tree!$F:$F,"L",Tree!$K:$K,"&lt;&gt;"&amp;"Y")))</f>
        <v/>
      </c>
      <c r="K19" s="121" t="str">
        <f>IF($F19="","",SUMIFS(Tree!$S:$S,Tree!$A:$A,'Pre-Harvest Plots_rpt'!$B19,Tree!$B:$B,'Pre-Harvest Plots_rpt'!$D19,Tree!$F:$F,"L",Tree!$K:$K,"&lt;&gt;"&amp;"Y"))</f>
        <v/>
      </c>
      <c r="L19" s="154" t="str">
        <f t="shared" si="2"/>
        <v/>
      </c>
      <c r="M19" s="135"/>
      <c r="N19" s="192" t="str">
        <f>IF(B19="","",SUMIFS(Tree!$AM:$AM,Tree!$A:$A,'Pre-Harvest Plots_rpt'!$B19,Tree!$B:$B,'Pre-Harvest Plots_rpt'!$D19,Tree!$F:$F,"L",Tree!$K:$K,"&lt;&gt;"&amp;"Y"))</f>
        <v/>
      </c>
      <c r="O19" s="122" t="str">
        <f>IF(B19="","",SUMIFS(Tree!$AN:$AN,Tree!$A:$A,'Pre-Harvest Plots_rpt'!$B19,Tree!$B:$B,'Pre-Harvest Plots_rpt'!$D19,Tree!$F:$F,"L",Tree!$K:$K,"&lt;&gt;"&amp;"Y"))</f>
        <v/>
      </c>
      <c r="P19" s="122" t="str">
        <f>IF(B19="","",SUMIFS(Tree!$AO:$AO,Tree!$A:$A,'Pre-Harvest Plots_rpt'!$B19,Tree!$B:$B,'Pre-Harvest Plots_rpt'!$D19,Tree!$F:$F,"L",Tree!$K:$K,"&lt;&gt;"&amp;"Y"))</f>
        <v/>
      </c>
      <c r="Q19" s="122" t="str">
        <f>IF(B19="","",SUMIFS(Tree!$AP:$AP,Tree!$A:$A,'Pre-Harvest Plots_rpt'!$B19,Tree!$B:$B,'Pre-Harvest Plots_rpt'!$D19,Tree!$F:$F,"L",Tree!$K:$K,"&lt;&gt;"&amp;"Y"))</f>
        <v/>
      </c>
      <c r="R19" s="123" t="str">
        <f>IF(B19="","",SUMIFS(Tree!$AQ:$AQ,Tree!$A:$A,'Pre-Harvest Plots_rpt'!$B19,Tree!$B:$B,'Pre-Harvest Plots_rpt'!$D19,Tree!$F:$F,"L",Tree!$K:$K,"&lt;&gt;"&amp;"Y"))</f>
        <v/>
      </c>
      <c r="S19" s="122" t="str">
        <f>IF(B19="","",SUMIFS(Tree!$AJ:$AJ,Tree!$A:$A,'Pre-Harvest Plots_rpt'!$B19,Tree!$B:$B,'Pre-Harvest Plots_rpt'!$D19,Tree!$F:$F,"L",Tree!$K:$K,"&lt;&gt;"&amp;"Y")-O19)</f>
        <v/>
      </c>
      <c r="T19" s="122" t="str">
        <f>IF(B19="","",SUMIFS(Tree!$AK:$AK,Tree!$A:$A,'Pre-Harvest Plots_rpt'!$B19,Tree!$B:$B,'Pre-Harvest Plots_rpt'!$D19,Tree!$F:$F,"L",Tree!$K:$K,"&lt;&gt;"&amp;"Y")-P19)</f>
        <v/>
      </c>
      <c r="U19" s="122" t="str">
        <f>IF(B19="","",SUMIFS(Tree!$AL:$AL,Tree!$A:$A,'Pre-Harvest Plots_rpt'!$B19,Tree!$B:$B,'Pre-Harvest Plots_rpt'!$D19,Tree!$F:$F,"L",Tree!$K:$K,"&lt;&gt;"&amp;"Y")-Q19)</f>
        <v/>
      </c>
      <c r="V19" s="123" t="str">
        <f>IF(B19="","",ROUND(SUMIFS(Tree!$AE:$AE,Tree!$A:$A,'Pre-Harvest Plots_rpt'!$B19,Tree!$B:$B,'Pre-Harvest Plots_rpt'!$D19,Tree!$F:$F,"L",Tree!$K:$K,"&lt;&gt;"&amp;"Y")-R19,1))</f>
        <v/>
      </c>
      <c r="W19" s="124" t="str">
        <f>IF(B19="","",SUMIFS(Tree!$AY:$AY,Tree!$A:$A,'Pre-Harvest Plots_rpt'!$B19,Tree!$B:$B,'Pre-Harvest Plots_rpt'!$D19,Tree!$F:$F,"L",Tree!$K:$K,"&lt;&gt;"&amp;"Y")/1000)</f>
        <v/>
      </c>
      <c r="X19" s="158" t="str">
        <f>IF(B19="","",ROUND((SUMIFS(Tree!$AW:$AW,Tree!$A:$A,'Pre-Harvest Plots_rpt'!$B19,Tree!$B:$B,'Pre-Harvest Plots_rpt'!$D19,Tree!$F:$F,"L",Tree!$K:$K,"&lt;&gt;"&amp;"Y")/1000)-W19,1))</f>
        <v/>
      </c>
      <c r="Y19" s="135"/>
      <c r="Z19" s="161" t="str">
        <f>IF(IF(B19="","",SUMIFS(Tree!$O:$O,Tree!$A:$A,'Pre-Harvest Plots_rpt'!$B19,Tree!$B:$B,'Pre-Harvest Plots_rpt'!$D19,Tree!$F:$F,"D",Tree!$K:$K,"&lt;&gt;"&amp;"Y"))=0,"",IF(B19="","",SUMIFS(Tree!$O:$O,Tree!$A:$A,'Pre-Harvest Plots_rpt'!$B19,Tree!$B:$B,'Pre-Harvest Plots_rpt'!$D19,Tree!$F:$F,"D",Tree!$K:$K,"&lt;&gt;"&amp;"Y")))</f>
        <v/>
      </c>
      <c r="AA19" s="125" t="str">
        <f t="shared" si="3"/>
        <v/>
      </c>
      <c r="AB19" s="125" t="str">
        <f>IF(Z19="","",SUMIFS(Tree!$R:$R,Tree!$A:$A,'Pre-Harvest Plots_rpt'!$B19,Tree!$B:$B,'Pre-Harvest Plots_rpt'!$D19,Tree!$F:$F,"D",Tree!$K:$K,"&lt;&gt;"&amp;"Y"))</f>
        <v/>
      </c>
      <c r="AC19" s="126" t="str">
        <f>IF(Z19="","",SUMIFS(Tree!$AM:$AM,Tree!$A:$A,'Pre-Harvest Plots_rpt'!$B19,Tree!$B:$B,'Pre-Harvest Plots_rpt'!$D19,Tree!$F:$F,"D",Tree!$K:$K,"&lt;&gt;"&amp;"Y"))</f>
        <v/>
      </c>
      <c r="AD19" s="162" t="str">
        <f>IF(Z19="","",SUMIFS(Tree!$AW:$AW,Tree!$A:$A,'Pre-Harvest Plots_rpt'!$B19,Tree!$B:$B,'Pre-Harvest Plots_rpt'!$D19,Tree!$F:$F,"D",Tree!$K:$K,"&lt;&gt;"&amp;"Y")/1000)</f>
        <v/>
      </c>
      <c r="AE19" s="47"/>
      <c r="AF19" s="18"/>
      <c r="AG19" s="18"/>
      <c r="AH19" s="18"/>
    </row>
    <row r="20" spans="1:34" ht="12.75" customHeight="1" x14ac:dyDescent="0.25">
      <c r="A20" s="48">
        <v>17</v>
      </c>
      <c r="B20" s="171" t="str">
        <f>IF(A20&lt;=SUM(Stand!$H$3:$H$29),VLOOKUP(A20,Stand!$A$3:$C$29,3,TRUE),"")</f>
        <v/>
      </c>
      <c r="C20" s="172" t="str">
        <f t="shared" si="0"/>
        <v/>
      </c>
      <c r="D20" s="173" t="str">
        <f>IF(B20="","",VLOOKUP(B20&amp;C20,Plot!$B$2:$D$199,3,FALSE))</f>
        <v/>
      </c>
      <c r="E20" s="130"/>
      <c r="F20" s="152" t="str">
        <f>IF(B20="","",SUMIFS(Tree!$O:$O,Tree!$A:$A,'Pre-Harvest Plots_rpt'!$B20,Tree!$B:$B,'Pre-Harvest Plots_rpt'!$D20,Tree!$F:$F,"L",Tree!$K:$K,"&lt;&gt;"&amp;"Y"))</f>
        <v/>
      </c>
      <c r="G20" s="153" t="str">
        <f>IFERROR(IF(D20="","",SUMIFS(Tree!$P:$P,Tree!$A:$A,'Pre-Harvest Plots_rpt'!$B20,Tree!$B:$B,'Pre-Harvest Plots_rpt'!$D20,Tree!$K:$K,"&lt;&gt;"&amp;"Y")/$F20),"")</f>
        <v/>
      </c>
      <c r="H20" s="122" t="str">
        <f t="shared" si="1"/>
        <v/>
      </c>
      <c r="I20" s="121" t="str">
        <f>IF(OR($F20=0,$F20=""),"",SUMIFS(Tree!$R:$R,Tree!$A:$A,'Pre-Harvest Plots_rpt'!$B20,Tree!$B:$B,'Pre-Harvest Plots_rpt'!$D20,Tree!$F:$F,"L",Tree!$K:$K,"&lt;&gt;"&amp;"Y"))</f>
        <v/>
      </c>
      <c r="J20" s="121" t="str">
        <f>IF(OR($F20=0,$F20=""),"",IF(SUMIFS(Tree!$W:$W,Tree!$A:$A,'Pre-Harvest Plots_rpt'!$B20,Tree!$B:$B,'Pre-Harvest Plots_rpt'!$D20,Tree!$F:$F,"L",Tree!$K:$K,"&lt;&gt;"&amp;"Y")=0,0,AVERAGEIFS(Tree!$W:$W,Tree!$A:$A,'Pre-Harvest Plots_rpt'!$B20,Tree!$B:$B,'Pre-Harvest Plots_rpt'!$D20,Tree!$F:$F,"L",Tree!$K:$K,"&lt;&gt;"&amp;"Y")))</f>
        <v/>
      </c>
      <c r="K20" s="121" t="str">
        <f>IF($F20="","",SUMIFS(Tree!$S:$S,Tree!$A:$A,'Pre-Harvest Plots_rpt'!$B20,Tree!$B:$B,'Pre-Harvest Plots_rpt'!$D20,Tree!$F:$F,"L",Tree!$K:$K,"&lt;&gt;"&amp;"Y"))</f>
        <v/>
      </c>
      <c r="L20" s="154" t="str">
        <f t="shared" si="2"/>
        <v/>
      </c>
      <c r="M20" s="135"/>
      <c r="N20" s="192" t="str">
        <f>IF(B20="","",SUMIFS(Tree!$AM:$AM,Tree!$A:$A,'Pre-Harvest Plots_rpt'!$B20,Tree!$B:$B,'Pre-Harvest Plots_rpt'!$D20,Tree!$F:$F,"L",Tree!$K:$K,"&lt;&gt;"&amp;"Y"))</f>
        <v/>
      </c>
      <c r="O20" s="122" t="str">
        <f>IF(B20="","",SUMIFS(Tree!$AN:$AN,Tree!$A:$A,'Pre-Harvest Plots_rpt'!$B20,Tree!$B:$B,'Pre-Harvest Plots_rpt'!$D20,Tree!$F:$F,"L",Tree!$K:$K,"&lt;&gt;"&amp;"Y"))</f>
        <v/>
      </c>
      <c r="P20" s="122" t="str">
        <f>IF(B20="","",SUMIFS(Tree!$AO:$AO,Tree!$A:$A,'Pre-Harvest Plots_rpt'!$B20,Tree!$B:$B,'Pre-Harvest Plots_rpt'!$D20,Tree!$F:$F,"L",Tree!$K:$K,"&lt;&gt;"&amp;"Y"))</f>
        <v/>
      </c>
      <c r="Q20" s="122" t="str">
        <f>IF(B20="","",SUMIFS(Tree!$AP:$AP,Tree!$A:$A,'Pre-Harvest Plots_rpt'!$B20,Tree!$B:$B,'Pre-Harvest Plots_rpt'!$D20,Tree!$F:$F,"L",Tree!$K:$K,"&lt;&gt;"&amp;"Y"))</f>
        <v/>
      </c>
      <c r="R20" s="123" t="str">
        <f>IF(B20="","",SUMIFS(Tree!$AQ:$AQ,Tree!$A:$A,'Pre-Harvest Plots_rpt'!$B20,Tree!$B:$B,'Pre-Harvest Plots_rpt'!$D20,Tree!$F:$F,"L",Tree!$K:$K,"&lt;&gt;"&amp;"Y"))</f>
        <v/>
      </c>
      <c r="S20" s="122" t="str">
        <f>IF(B20="","",SUMIFS(Tree!$AJ:$AJ,Tree!$A:$A,'Pre-Harvest Plots_rpt'!$B20,Tree!$B:$B,'Pre-Harvest Plots_rpt'!$D20,Tree!$F:$F,"L",Tree!$K:$K,"&lt;&gt;"&amp;"Y")-O20)</f>
        <v/>
      </c>
      <c r="T20" s="122" t="str">
        <f>IF(B20="","",SUMIFS(Tree!$AK:$AK,Tree!$A:$A,'Pre-Harvest Plots_rpt'!$B20,Tree!$B:$B,'Pre-Harvest Plots_rpt'!$D20,Tree!$F:$F,"L",Tree!$K:$K,"&lt;&gt;"&amp;"Y")-P20)</f>
        <v/>
      </c>
      <c r="U20" s="122" t="str">
        <f>IF(B20="","",SUMIFS(Tree!$AL:$AL,Tree!$A:$A,'Pre-Harvest Plots_rpt'!$B20,Tree!$B:$B,'Pre-Harvest Plots_rpt'!$D20,Tree!$F:$F,"L",Tree!$K:$K,"&lt;&gt;"&amp;"Y")-Q20)</f>
        <v/>
      </c>
      <c r="V20" s="123" t="str">
        <f>IF(B20="","",ROUND(SUMIFS(Tree!$AE:$AE,Tree!$A:$A,'Pre-Harvest Plots_rpt'!$B20,Tree!$B:$B,'Pre-Harvest Plots_rpt'!$D20,Tree!$F:$F,"L",Tree!$K:$K,"&lt;&gt;"&amp;"Y")-R20,1))</f>
        <v/>
      </c>
      <c r="W20" s="124" t="str">
        <f>IF(B20="","",SUMIFS(Tree!$AY:$AY,Tree!$A:$A,'Pre-Harvest Plots_rpt'!$B20,Tree!$B:$B,'Pre-Harvest Plots_rpt'!$D20,Tree!$F:$F,"L",Tree!$K:$K,"&lt;&gt;"&amp;"Y")/1000)</f>
        <v/>
      </c>
      <c r="X20" s="158" t="str">
        <f>IF(B20="","",ROUND((SUMIFS(Tree!$AW:$AW,Tree!$A:$A,'Pre-Harvest Plots_rpt'!$B20,Tree!$B:$B,'Pre-Harvest Plots_rpt'!$D20,Tree!$F:$F,"L",Tree!$K:$K,"&lt;&gt;"&amp;"Y")/1000)-W20,1))</f>
        <v/>
      </c>
      <c r="Y20" s="135"/>
      <c r="Z20" s="161" t="str">
        <f>IF(IF(B20="","",SUMIFS(Tree!$O:$O,Tree!$A:$A,'Pre-Harvest Plots_rpt'!$B20,Tree!$B:$B,'Pre-Harvest Plots_rpt'!$D20,Tree!$F:$F,"D",Tree!$K:$K,"&lt;&gt;"&amp;"Y"))=0,"",IF(B20="","",SUMIFS(Tree!$O:$O,Tree!$A:$A,'Pre-Harvest Plots_rpt'!$B20,Tree!$B:$B,'Pre-Harvest Plots_rpt'!$D20,Tree!$F:$F,"D",Tree!$K:$K,"&lt;&gt;"&amp;"Y")))</f>
        <v/>
      </c>
      <c r="AA20" s="125" t="str">
        <f t="shared" si="3"/>
        <v/>
      </c>
      <c r="AB20" s="125" t="str">
        <f>IF(Z20="","",SUMIFS(Tree!$R:$R,Tree!$A:$A,'Pre-Harvest Plots_rpt'!$B20,Tree!$B:$B,'Pre-Harvest Plots_rpt'!$D20,Tree!$F:$F,"D",Tree!$K:$K,"&lt;&gt;"&amp;"Y"))</f>
        <v/>
      </c>
      <c r="AC20" s="126" t="str">
        <f>IF(Z20="","",SUMIFS(Tree!$AM:$AM,Tree!$A:$A,'Pre-Harvest Plots_rpt'!$B20,Tree!$B:$B,'Pre-Harvest Plots_rpt'!$D20,Tree!$F:$F,"D",Tree!$K:$K,"&lt;&gt;"&amp;"Y"))</f>
        <v/>
      </c>
      <c r="AD20" s="162" t="str">
        <f>IF(Z20="","",SUMIFS(Tree!$AW:$AW,Tree!$A:$A,'Pre-Harvest Plots_rpt'!$B20,Tree!$B:$B,'Pre-Harvest Plots_rpt'!$D20,Tree!$F:$F,"D",Tree!$K:$K,"&lt;&gt;"&amp;"Y")/1000)</f>
        <v/>
      </c>
      <c r="AE20" s="47"/>
      <c r="AF20" s="18"/>
      <c r="AG20" s="18"/>
      <c r="AH20" s="18"/>
    </row>
    <row r="21" spans="1:34" ht="12.75" customHeight="1" x14ac:dyDescent="0.25">
      <c r="A21" s="48">
        <v>18</v>
      </c>
      <c r="B21" s="171" t="str">
        <f>IF(A21&lt;=SUM(Stand!$H$3:$H$29),VLOOKUP(A21,Stand!$A$3:$C$29,3,TRUE),"")</f>
        <v/>
      </c>
      <c r="C21" s="172" t="str">
        <f t="shared" si="0"/>
        <v/>
      </c>
      <c r="D21" s="173" t="str">
        <f>IF(B21="","",VLOOKUP(B21&amp;C21,Plot!$B$2:$D$199,3,FALSE))</f>
        <v/>
      </c>
      <c r="E21" s="130"/>
      <c r="F21" s="152" t="str">
        <f>IF(B21="","",SUMIFS(Tree!$O:$O,Tree!$A:$A,'Pre-Harvest Plots_rpt'!$B21,Tree!$B:$B,'Pre-Harvest Plots_rpt'!$D21,Tree!$F:$F,"L",Tree!$K:$K,"&lt;&gt;"&amp;"Y"))</f>
        <v/>
      </c>
      <c r="G21" s="153" t="str">
        <f>IFERROR(IF(D21="","",SUMIFS(Tree!$P:$P,Tree!$A:$A,'Pre-Harvest Plots_rpt'!$B21,Tree!$B:$B,'Pre-Harvest Plots_rpt'!$D21,Tree!$K:$K,"&lt;&gt;"&amp;"Y")/$F21),"")</f>
        <v/>
      </c>
      <c r="H21" s="122" t="str">
        <f t="shared" si="1"/>
        <v/>
      </c>
      <c r="I21" s="121" t="str">
        <f>IF(OR($F21=0,$F21=""),"",SUMIFS(Tree!$R:$R,Tree!$A:$A,'Pre-Harvest Plots_rpt'!$B21,Tree!$B:$B,'Pre-Harvest Plots_rpt'!$D21,Tree!$F:$F,"L",Tree!$K:$K,"&lt;&gt;"&amp;"Y"))</f>
        <v/>
      </c>
      <c r="J21" s="121" t="str">
        <f>IF(OR($F21=0,$F21=""),"",IF(SUMIFS(Tree!$W:$W,Tree!$A:$A,'Pre-Harvest Plots_rpt'!$B21,Tree!$B:$B,'Pre-Harvest Plots_rpt'!$D21,Tree!$F:$F,"L",Tree!$K:$K,"&lt;&gt;"&amp;"Y")=0,0,AVERAGEIFS(Tree!$W:$W,Tree!$A:$A,'Pre-Harvest Plots_rpt'!$B21,Tree!$B:$B,'Pre-Harvest Plots_rpt'!$D21,Tree!$F:$F,"L",Tree!$K:$K,"&lt;&gt;"&amp;"Y")))</f>
        <v/>
      </c>
      <c r="K21" s="121" t="str">
        <f>IF($F21="","",SUMIFS(Tree!$S:$S,Tree!$A:$A,'Pre-Harvest Plots_rpt'!$B21,Tree!$B:$B,'Pre-Harvest Plots_rpt'!$D21,Tree!$F:$F,"L",Tree!$K:$K,"&lt;&gt;"&amp;"Y"))</f>
        <v/>
      </c>
      <c r="L21" s="154" t="str">
        <f t="shared" si="2"/>
        <v/>
      </c>
      <c r="M21" s="135"/>
      <c r="N21" s="192" t="str">
        <f>IF(B21="","",SUMIFS(Tree!$AM:$AM,Tree!$A:$A,'Pre-Harvest Plots_rpt'!$B21,Tree!$B:$B,'Pre-Harvest Plots_rpt'!$D21,Tree!$F:$F,"L",Tree!$K:$K,"&lt;&gt;"&amp;"Y"))</f>
        <v/>
      </c>
      <c r="O21" s="122" t="str">
        <f>IF(B21="","",SUMIFS(Tree!$AN:$AN,Tree!$A:$A,'Pre-Harvest Plots_rpt'!$B21,Tree!$B:$B,'Pre-Harvest Plots_rpt'!$D21,Tree!$F:$F,"L",Tree!$K:$K,"&lt;&gt;"&amp;"Y"))</f>
        <v/>
      </c>
      <c r="P21" s="122" t="str">
        <f>IF(B21="","",SUMIFS(Tree!$AO:$AO,Tree!$A:$A,'Pre-Harvest Plots_rpt'!$B21,Tree!$B:$B,'Pre-Harvest Plots_rpt'!$D21,Tree!$F:$F,"L",Tree!$K:$K,"&lt;&gt;"&amp;"Y"))</f>
        <v/>
      </c>
      <c r="Q21" s="122" t="str">
        <f>IF(B21="","",SUMIFS(Tree!$AP:$AP,Tree!$A:$A,'Pre-Harvest Plots_rpt'!$B21,Tree!$B:$B,'Pre-Harvest Plots_rpt'!$D21,Tree!$F:$F,"L",Tree!$K:$K,"&lt;&gt;"&amp;"Y"))</f>
        <v/>
      </c>
      <c r="R21" s="123" t="str">
        <f>IF(B21="","",SUMIFS(Tree!$AQ:$AQ,Tree!$A:$A,'Pre-Harvest Plots_rpt'!$B21,Tree!$B:$B,'Pre-Harvest Plots_rpt'!$D21,Tree!$F:$F,"L",Tree!$K:$K,"&lt;&gt;"&amp;"Y"))</f>
        <v/>
      </c>
      <c r="S21" s="122" t="str">
        <f>IF(B21="","",SUMIFS(Tree!$AJ:$AJ,Tree!$A:$A,'Pre-Harvest Plots_rpt'!$B21,Tree!$B:$B,'Pre-Harvest Plots_rpt'!$D21,Tree!$F:$F,"L",Tree!$K:$K,"&lt;&gt;"&amp;"Y")-O21)</f>
        <v/>
      </c>
      <c r="T21" s="122" t="str">
        <f>IF(B21="","",SUMIFS(Tree!$AK:$AK,Tree!$A:$A,'Pre-Harvest Plots_rpt'!$B21,Tree!$B:$B,'Pre-Harvest Plots_rpt'!$D21,Tree!$F:$F,"L",Tree!$K:$K,"&lt;&gt;"&amp;"Y")-P21)</f>
        <v/>
      </c>
      <c r="U21" s="122" t="str">
        <f>IF(B21="","",SUMIFS(Tree!$AL:$AL,Tree!$A:$A,'Pre-Harvest Plots_rpt'!$B21,Tree!$B:$B,'Pre-Harvest Plots_rpt'!$D21,Tree!$F:$F,"L",Tree!$K:$K,"&lt;&gt;"&amp;"Y")-Q21)</f>
        <v/>
      </c>
      <c r="V21" s="123" t="str">
        <f>IF(B21="","",ROUND(SUMIFS(Tree!$AE:$AE,Tree!$A:$A,'Pre-Harvest Plots_rpt'!$B21,Tree!$B:$B,'Pre-Harvest Plots_rpt'!$D21,Tree!$F:$F,"L",Tree!$K:$K,"&lt;&gt;"&amp;"Y")-R21,1))</f>
        <v/>
      </c>
      <c r="W21" s="124" t="str">
        <f>IF(B21="","",SUMIFS(Tree!$AY:$AY,Tree!$A:$A,'Pre-Harvest Plots_rpt'!$B21,Tree!$B:$B,'Pre-Harvest Plots_rpt'!$D21,Tree!$F:$F,"L",Tree!$K:$K,"&lt;&gt;"&amp;"Y")/1000)</f>
        <v/>
      </c>
      <c r="X21" s="158" t="str">
        <f>IF(B21="","",ROUND((SUMIFS(Tree!$AW:$AW,Tree!$A:$A,'Pre-Harvest Plots_rpt'!$B21,Tree!$B:$B,'Pre-Harvest Plots_rpt'!$D21,Tree!$F:$F,"L",Tree!$K:$K,"&lt;&gt;"&amp;"Y")/1000)-W21,1))</f>
        <v/>
      </c>
      <c r="Y21" s="135"/>
      <c r="Z21" s="161" t="str">
        <f>IF(IF(B21="","",SUMIFS(Tree!$O:$O,Tree!$A:$A,'Pre-Harvest Plots_rpt'!$B21,Tree!$B:$B,'Pre-Harvest Plots_rpt'!$D21,Tree!$F:$F,"D",Tree!$K:$K,"&lt;&gt;"&amp;"Y"))=0,"",IF(B21="","",SUMIFS(Tree!$O:$O,Tree!$A:$A,'Pre-Harvest Plots_rpt'!$B21,Tree!$B:$B,'Pre-Harvest Plots_rpt'!$D21,Tree!$F:$F,"D",Tree!$K:$K,"&lt;&gt;"&amp;"Y")))</f>
        <v/>
      </c>
      <c r="AA21" s="125" t="str">
        <f t="shared" si="3"/>
        <v/>
      </c>
      <c r="AB21" s="125" t="str">
        <f>IF(Z21="","",SUMIFS(Tree!$R:$R,Tree!$A:$A,'Pre-Harvest Plots_rpt'!$B21,Tree!$B:$B,'Pre-Harvest Plots_rpt'!$D21,Tree!$F:$F,"D",Tree!$K:$K,"&lt;&gt;"&amp;"Y"))</f>
        <v/>
      </c>
      <c r="AC21" s="126" t="str">
        <f>IF(Z21="","",SUMIFS(Tree!$AM:$AM,Tree!$A:$A,'Pre-Harvest Plots_rpt'!$B21,Tree!$B:$B,'Pre-Harvest Plots_rpt'!$D21,Tree!$F:$F,"D",Tree!$K:$K,"&lt;&gt;"&amp;"Y"))</f>
        <v/>
      </c>
      <c r="AD21" s="162" t="str">
        <f>IF(Z21="","",SUMIFS(Tree!$AW:$AW,Tree!$A:$A,'Pre-Harvest Plots_rpt'!$B21,Tree!$B:$B,'Pre-Harvest Plots_rpt'!$D21,Tree!$F:$F,"D",Tree!$K:$K,"&lt;&gt;"&amp;"Y")/1000)</f>
        <v/>
      </c>
      <c r="AE21" s="47"/>
      <c r="AF21" s="18"/>
      <c r="AG21" s="18"/>
      <c r="AH21" s="18"/>
    </row>
    <row r="22" spans="1:34" ht="12.75" customHeight="1" x14ac:dyDescent="0.25">
      <c r="A22" s="48">
        <v>19</v>
      </c>
      <c r="B22" s="171" t="str">
        <f>IF(A22&lt;=SUM(Stand!$H$3:$H$29),VLOOKUP(A22,Stand!$A$3:$C$29,3,TRUE),"")</f>
        <v/>
      </c>
      <c r="C22" s="172" t="str">
        <f t="shared" si="0"/>
        <v/>
      </c>
      <c r="D22" s="173" t="str">
        <f>IF(B22="","",VLOOKUP(B22&amp;C22,Plot!$B$2:$D$199,3,FALSE))</f>
        <v/>
      </c>
      <c r="E22" s="130"/>
      <c r="F22" s="152" t="str">
        <f>IF(B22="","",SUMIFS(Tree!$O:$O,Tree!$A:$A,'Pre-Harvest Plots_rpt'!$B22,Tree!$B:$B,'Pre-Harvest Plots_rpt'!$D22,Tree!$F:$F,"L",Tree!$K:$K,"&lt;&gt;"&amp;"Y"))</f>
        <v/>
      </c>
      <c r="G22" s="153" t="str">
        <f>IFERROR(IF(D22="","",SUMIFS(Tree!$P:$P,Tree!$A:$A,'Pre-Harvest Plots_rpt'!$B22,Tree!$B:$B,'Pre-Harvest Plots_rpt'!$D22,Tree!$K:$K,"&lt;&gt;"&amp;"Y")/$F22),"")</f>
        <v/>
      </c>
      <c r="H22" s="122" t="str">
        <f t="shared" si="1"/>
        <v/>
      </c>
      <c r="I22" s="121" t="str">
        <f>IF(OR($F22=0,$F22=""),"",SUMIFS(Tree!$R:$R,Tree!$A:$A,'Pre-Harvest Plots_rpt'!$B22,Tree!$B:$B,'Pre-Harvest Plots_rpt'!$D22,Tree!$F:$F,"L",Tree!$K:$K,"&lt;&gt;"&amp;"Y"))</f>
        <v/>
      </c>
      <c r="J22" s="121" t="str">
        <f>IF(OR($F22=0,$F22=""),"",IF(SUMIFS(Tree!$W:$W,Tree!$A:$A,'Pre-Harvest Plots_rpt'!$B22,Tree!$B:$B,'Pre-Harvest Plots_rpt'!$D22,Tree!$F:$F,"L",Tree!$K:$K,"&lt;&gt;"&amp;"Y")=0,0,AVERAGEIFS(Tree!$W:$W,Tree!$A:$A,'Pre-Harvest Plots_rpt'!$B22,Tree!$B:$B,'Pre-Harvest Plots_rpt'!$D22,Tree!$F:$F,"L",Tree!$K:$K,"&lt;&gt;"&amp;"Y")))</f>
        <v/>
      </c>
      <c r="K22" s="121" t="str">
        <f>IF($F22="","",SUMIFS(Tree!$S:$S,Tree!$A:$A,'Pre-Harvest Plots_rpt'!$B22,Tree!$B:$B,'Pre-Harvest Plots_rpt'!$D22,Tree!$F:$F,"L",Tree!$K:$K,"&lt;&gt;"&amp;"Y"))</f>
        <v/>
      </c>
      <c r="L22" s="154" t="str">
        <f t="shared" si="2"/>
        <v/>
      </c>
      <c r="M22" s="135"/>
      <c r="N22" s="192" t="str">
        <f>IF(B22="","",SUMIFS(Tree!$AM:$AM,Tree!$A:$A,'Pre-Harvest Plots_rpt'!$B22,Tree!$B:$B,'Pre-Harvest Plots_rpt'!$D22,Tree!$F:$F,"L",Tree!$K:$K,"&lt;&gt;"&amp;"Y"))</f>
        <v/>
      </c>
      <c r="O22" s="122" t="str">
        <f>IF(B22="","",SUMIFS(Tree!$AN:$AN,Tree!$A:$A,'Pre-Harvest Plots_rpt'!$B22,Tree!$B:$B,'Pre-Harvest Plots_rpt'!$D22,Tree!$F:$F,"L",Tree!$K:$K,"&lt;&gt;"&amp;"Y"))</f>
        <v/>
      </c>
      <c r="P22" s="122" t="str">
        <f>IF(B22="","",SUMIFS(Tree!$AO:$AO,Tree!$A:$A,'Pre-Harvest Plots_rpt'!$B22,Tree!$B:$B,'Pre-Harvest Plots_rpt'!$D22,Tree!$F:$F,"L",Tree!$K:$K,"&lt;&gt;"&amp;"Y"))</f>
        <v/>
      </c>
      <c r="Q22" s="122" t="str">
        <f>IF(B22="","",SUMIFS(Tree!$AP:$AP,Tree!$A:$A,'Pre-Harvest Plots_rpt'!$B22,Tree!$B:$B,'Pre-Harvest Plots_rpt'!$D22,Tree!$F:$F,"L",Tree!$K:$K,"&lt;&gt;"&amp;"Y"))</f>
        <v/>
      </c>
      <c r="R22" s="123" t="str">
        <f>IF(B22="","",SUMIFS(Tree!$AQ:$AQ,Tree!$A:$A,'Pre-Harvest Plots_rpt'!$B22,Tree!$B:$B,'Pre-Harvest Plots_rpt'!$D22,Tree!$F:$F,"L",Tree!$K:$K,"&lt;&gt;"&amp;"Y"))</f>
        <v/>
      </c>
      <c r="S22" s="122" t="str">
        <f>IF(B22="","",SUMIFS(Tree!$AJ:$AJ,Tree!$A:$A,'Pre-Harvest Plots_rpt'!$B22,Tree!$B:$B,'Pre-Harvest Plots_rpt'!$D22,Tree!$F:$F,"L",Tree!$K:$K,"&lt;&gt;"&amp;"Y")-O22)</f>
        <v/>
      </c>
      <c r="T22" s="122" t="str">
        <f>IF(B22="","",SUMIFS(Tree!$AK:$AK,Tree!$A:$A,'Pre-Harvest Plots_rpt'!$B22,Tree!$B:$B,'Pre-Harvest Plots_rpt'!$D22,Tree!$F:$F,"L",Tree!$K:$K,"&lt;&gt;"&amp;"Y")-P22)</f>
        <v/>
      </c>
      <c r="U22" s="122" t="str">
        <f>IF(B22="","",SUMIFS(Tree!$AL:$AL,Tree!$A:$A,'Pre-Harvest Plots_rpt'!$B22,Tree!$B:$B,'Pre-Harvest Plots_rpt'!$D22,Tree!$F:$F,"L",Tree!$K:$K,"&lt;&gt;"&amp;"Y")-Q22)</f>
        <v/>
      </c>
      <c r="V22" s="123" t="str">
        <f>IF(B22="","",ROUND(SUMIFS(Tree!$AE:$AE,Tree!$A:$A,'Pre-Harvest Plots_rpt'!$B22,Tree!$B:$B,'Pre-Harvest Plots_rpt'!$D22,Tree!$F:$F,"L",Tree!$K:$K,"&lt;&gt;"&amp;"Y")-R22,1))</f>
        <v/>
      </c>
      <c r="W22" s="124" t="str">
        <f>IF(B22="","",SUMIFS(Tree!$AY:$AY,Tree!$A:$A,'Pre-Harvest Plots_rpt'!$B22,Tree!$B:$B,'Pre-Harvest Plots_rpt'!$D22,Tree!$F:$F,"L",Tree!$K:$K,"&lt;&gt;"&amp;"Y")/1000)</f>
        <v/>
      </c>
      <c r="X22" s="158" t="str">
        <f>IF(B22="","",ROUND((SUMIFS(Tree!$AW:$AW,Tree!$A:$A,'Pre-Harvest Plots_rpt'!$B22,Tree!$B:$B,'Pre-Harvest Plots_rpt'!$D22,Tree!$F:$F,"L",Tree!$K:$K,"&lt;&gt;"&amp;"Y")/1000)-W22,1))</f>
        <v/>
      </c>
      <c r="Y22" s="135"/>
      <c r="Z22" s="161" t="str">
        <f>IF(IF(B22="","",SUMIFS(Tree!$O:$O,Tree!$A:$A,'Pre-Harvest Plots_rpt'!$B22,Tree!$B:$B,'Pre-Harvest Plots_rpt'!$D22,Tree!$F:$F,"D",Tree!$K:$K,"&lt;&gt;"&amp;"Y"))=0,"",IF(B22="","",SUMIFS(Tree!$O:$O,Tree!$A:$A,'Pre-Harvest Plots_rpt'!$B22,Tree!$B:$B,'Pre-Harvest Plots_rpt'!$D22,Tree!$F:$F,"D",Tree!$K:$K,"&lt;&gt;"&amp;"Y")))</f>
        <v/>
      </c>
      <c r="AA22" s="125" t="str">
        <f t="shared" si="3"/>
        <v/>
      </c>
      <c r="AB22" s="125" t="str">
        <f>IF(Z22="","",SUMIFS(Tree!$R:$R,Tree!$A:$A,'Pre-Harvest Plots_rpt'!$B22,Tree!$B:$B,'Pre-Harvest Plots_rpt'!$D22,Tree!$F:$F,"D",Tree!$K:$K,"&lt;&gt;"&amp;"Y"))</f>
        <v/>
      </c>
      <c r="AC22" s="126" t="str">
        <f>IF(Z22="","",SUMIFS(Tree!$AM:$AM,Tree!$A:$A,'Pre-Harvest Plots_rpt'!$B22,Tree!$B:$B,'Pre-Harvest Plots_rpt'!$D22,Tree!$F:$F,"D",Tree!$K:$K,"&lt;&gt;"&amp;"Y"))</f>
        <v/>
      </c>
      <c r="AD22" s="162" t="str">
        <f>IF(Z22="","",SUMIFS(Tree!$AW:$AW,Tree!$A:$A,'Pre-Harvest Plots_rpt'!$B22,Tree!$B:$B,'Pre-Harvest Plots_rpt'!$D22,Tree!$F:$F,"D",Tree!$K:$K,"&lt;&gt;"&amp;"Y")/1000)</f>
        <v/>
      </c>
      <c r="AE22" s="47"/>
      <c r="AF22" s="18"/>
      <c r="AG22" s="18"/>
      <c r="AH22" s="18"/>
    </row>
    <row r="23" spans="1:34" ht="12.75" customHeight="1" x14ac:dyDescent="0.25">
      <c r="A23" s="48">
        <v>20</v>
      </c>
      <c r="B23" s="171" t="str">
        <f>IF(A23&lt;=SUM(Stand!$H$3:$H$29),VLOOKUP(A23,Stand!$A$3:$C$29,3,TRUE),"")</f>
        <v/>
      </c>
      <c r="C23" s="172" t="str">
        <f t="shared" si="0"/>
        <v/>
      </c>
      <c r="D23" s="173" t="str">
        <f>IF(B23="","",VLOOKUP(B23&amp;C23,Plot!$B$2:$D$199,3,FALSE))</f>
        <v/>
      </c>
      <c r="E23" s="130"/>
      <c r="F23" s="152" t="str">
        <f>IF(B23="","",SUMIFS(Tree!$O:$O,Tree!$A:$A,'Pre-Harvest Plots_rpt'!$B23,Tree!$B:$B,'Pre-Harvest Plots_rpt'!$D23,Tree!$F:$F,"L",Tree!$K:$K,"&lt;&gt;"&amp;"Y"))</f>
        <v/>
      </c>
      <c r="G23" s="153" t="str">
        <f>IFERROR(IF(D23="","",SUMIFS(Tree!$P:$P,Tree!$A:$A,'Pre-Harvest Plots_rpt'!$B23,Tree!$B:$B,'Pre-Harvest Plots_rpt'!$D23,Tree!$K:$K,"&lt;&gt;"&amp;"Y")/$F23),"")</f>
        <v/>
      </c>
      <c r="H23" s="122" t="str">
        <f t="shared" si="1"/>
        <v/>
      </c>
      <c r="I23" s="121" t="str">
        <f>IF(OR($F23=0,$F23=""),"",SUMIFS(Tree!$R:$R,Tree!$A:$A,'Pre-Harvest Plots_rpt'!$B23,Tree!$B:$B,'Pre-Harvest Plots_rpt'!$D23,Tree!$F:$F,"L",Tree!$K:$K,"&lt;&gt;"&amp;"Y"))</f>
        <v/>
      </c>
      <c r="J23" s="121" t="str">
        <f>IF(OR($F23=0,$F23=""),"",IF(SUMIFS(Tree!$W:$W,Tree!$A:$A,'Pre-Harvest Plots_rpt'!$B23,Tree!$B:$B,'Pre-Harvest Plots_rpt'!$D23,Tree!$F:$F,"L",Tree!$K:$K,"&lt;&gt;"&amp;"Y")=0,0,AVERAGEIFS(Tree!$W:$W,Tree!$A:$A,'Pre-Harvest Plots_rpt'!$B23,Tree!$B:$B,'Pre-Harvest Plots_rpt'!$D23,Tree!$F:$F,"L",Tree!$K:$K,"&lt;&gt;"&amp;"Y")))</f>
        <v/>
      </c>
      <c r="K23" s="121" t="str">
        <f>IF($F23="","",SUMIFS(Tree!$S:$S,Tree!$A:$A,'Pre-Harvest Plots_rpt'!$B23,Tree!$B:$B,'Pre-Harvest Plots_rpt'!$D23,Tree!$F:$F,"L",Tree!$K:$K,"&lt;&gt;"&amp;"Y"))</f>
        <v/>
      </c>
      <c r="L23" s="154" t="str">
        <f t="shared" si="2"/>
        <v/>
      </c>
      <c r="M23" s="135"/>
      <c r="N23" s="192" t="str">
        <f>IF(B23="","",SUMIFS(Tree!$AM:$AM,Tree!$A:$A,'Pre-Harvest Plots_rpt'!$B23,Tree!$B:$B,'Pre-Harvest Plots_rpt'!$D23,Tree!$F:$F,"L",Tree!$K:$K,"&lt;&gt;"&amp;"Y"))</f>
        <v/>
      </c>
      <c r="O23" s="122" t="str">
        <f>IF(B23="","",SUMIFS(Tree!$AN:$AN,Tree!$A:$A,'Pre-Harvest Plots_rpt'!$B23,Tree!$B:$B,'Pre-Harvest Plots_rpt'!$D23,Tree!$F:$F,"L",Tree!$K:$K,"&lt;&gt;"&amp;"Y"))</f>
        <v/>
      </c>
      <c r="P23" s="122" t="str">
        <f>IF(B23="","",SUMIFS(Tree!$AO:$AO,Tree!$A:$A,'Pre-Harvest Plots_rpt'!$B23,Tree!$B:$B,'Pre-Harvest Plots_rpt'!$D23,Tree!$F:$F,"L",Tree!$K:$K,"&lt;&gt;"&amp;"Y"))</f>
        <v/>
      </c>
      <c r="Q23" s="122" t="str">
        <f>IF(B23="","",SUMIFS(Tree!$AP:$AP,Tree!$A:$A,'Pre-Harvest Plots_rpt'!$B23,Tree!$B:$B,'Pre-Harvest Plots_rpt'!$D23,Tree!$F:$F,"L",Tree!$K:$K,"&lt;&gt;"&amp;"Y"))</f>
        <v/>
      </c>
      <c r="R23" s="123" t="str">
        <f>IF(B23="","",SUMIFS(Tree!$AQ:$AQ,Tree!$A:$A,'Pre-Harvest Plots_rpt'!$B23,Tree!$B:$B,'Pre-Harvest Plots_rpt'!$D23,Tree!$F:$F,"L",Tree!$K:$K,"&lt;&gt;"&amp;"Y"))</f>
        <v/>
      </c>
      <c r="S23" s="122" t="str">
        <f>IF(B23="","",SUMIFS(Tree!$AJ:$AJ,Tree!$A:$A,'Pre-Harvest Plots_rpt'!$B23,Tree!$B:$B,'Pre-Harvest Plots_rpt'!$D23,Tree!$F:$F,"L",Tree!$K:$K,"&lt;&gt;"&amp;"Y")-O23)</f>
        <v/>
      </c>
      <c r="T23" s="122" t="str">
        <f>IF(B23="","",SUMIFS(Tree!$AK:$AK,Tree!$A:$A,'Pre-Harvest Plots_rpt'!$B23,Tree!$B:$B,'Pre-Harvest Plots_rpt'!$D23,Tree!$F:$F,"L",Tree!$K:$K,"&lt;&gt;"&amp;"Y")-P23)</f>
        <v/>
      </c>
      <c r="U23" s="122" t="str">
        <f>IF(B23="","",SUMIFS(Tree!$AL:$AL,Tree!$A:$A,'Pre-Harvest Plots_rpt'!$B23,Tree!$B:$B,'Pre-Harvest Plots_rpt'!$D23,Tree!$F:$F,"L",Tree!$K:$K,"&lt;&gt;"&amp;"Y")-Q23)</f>
        <v/>
      </c>
      <c r="V23" s="123" t="str">
        <f>IF(B23="","",ROUND(SUMIFS(Tree!$AE:$AE,Tree!$A:$A,'Pre-Harvest Plots_rpt'!$B23,Tree!$B:$B,'Pre-Harvest Plots_rpt'!$D23,Tree!$F:$F,"L",Tree!$K:$K,"&lt;&gt;"&amp;"Y")-R23,1))</f>
        <v/>
      </c>
      <c r="W23" s="124" t="str">
        <f>IF(B23="","",SUMIFS(Tree!$AY:$AY,Tree!$A:$A,'Pre-Harvest Plots_rpt'!$B23,Tree!$B:$B,'Pre-Harvest Plots_rpt'!$D23,Tree!$F:$F,"L",Tree!$K:$K,"&lt;&gt;"&amp;"Y")/1000)</f>
        <v/>
      </c>
      <c r="X23" s="158" t="str">
        <f>IF(B23="","",ROUND((SUMIFS(Tree!$AW:$AW,Tree!$A:$A,'Pre-Harvest Plots_rpt'!$B23,Tree!$B:$B,'Pre-Harvest Plots_rpt'!$D23,Tree!$F:$F,"L",Tree!$K:$K,"&lt;&gt;"&amp;"Y")/1000)-W23,1))</f>
        <v/>
      </c>
      <c r="Y23" s="135"/>
      <c r="Z23" s="161" t="str">
        <f>IF(IF(B23="","",SUMIFS(Tree!$O:$O,Tree!$A:$A,'Pre-Harvest Plots_rpt'!$B23,Tree!$B:$B,'Pre-Harvest Plots_rpt'!$D23,Tree!$F:$F,"D",Tree!$K:$K,"&lt;&gt;"&amp;"Y"))=0,"",IF(B23="","",SUMIFS(Tree!$O:$O,Tree!$A:$A,'Pre-Harvest Plots_rpt'!$B23,Tree!$B:$B,'Pre-Harvest Plots_rpt'!$D23,Tree!$F:$F,"D",Tree!$K:$K,"&lt;&gt;"&amp;"Y")))</f>
        <v/>
      </c>
      <c r="AA23" s="125" t="str">
        <f t="shared" si="3"/>
        <v/>
      </c>
      <c r="AB23" s="125" t="str">
        <f>IF(Z23="","",SUMIFS(Tree!$R:$R,Tree!$A:$A,'Pre-Harvest Plots_rpt'!$B23,Tree!$B:$B,'Pre-Harvest Plots_rpt'!$D23,Tree!$F:$F,"D",Tree!$K:$K,"&lt;&gt;"&amp;"Y"))</f>
        <v/>
      </c>
      <c r="AC23" s="126" t="str">
        <f>IF(Z23="","",SUMIFS(Tree!$AM:$AM,Tree!$A:$A,'Pre-Harvest Plots_rpt'!$B23,Tree!$B:$B,'Pre-Harvest Plots_rpt'!$D23,Tree!$F:$F,"D",Tree!$K:$K,"&lt;&gt;"&amp;"Y"))</f>
        <v/>
      </c>
      <c r="AD23" s="162" t="str">
        <f>IF(Z23="","",SUMIFS(Tree!$AW:$AW,Tree!$A:$A,'Pre-Harvest Plots_rpt'!$B23,Tree!$B:$B,'Pre-Harvest Plots_rpt'!$D23,Tree!$F:$F,"D",Tree!$K:$K,"&lt;&gt;"&amp;"Y")/1000)</f>
        <v/>
      </c>
      <c r="AE23" s="47"/>
      <c r="AF23" s="18"/>
      <c r="AG23" s="18"/>
      <c r="AH23" s="18"/>
    </row>
    <row r="24" spans="1:34" ht="12.75" customHeight="1" x14ac:dyDescent="0.25">
      <c r="A24" s="48">
        <v>21</v>
      </c>
      <c r="B24" s="171" t="str">
        <f>IF(A24&lt;=SUM(Stand!$H$3:$H$29),VLOOKUP(A24,Stand!$A$3:$C$29,3,TRUE),"")</f>
        <v/>
      </c>
      <c r="C24" s="172" t="str">
        <f t="shared" si="0"/>
        <v/>
      </c>
      <c r="D24" s="173" t="str">
        <f>IF(B24="","",VLOOKUP(B24&amp;C24,Plot!$B$2:$D$199,3,FALSE))</f>
        <v/>
      </c>
      <c r="E24" s="130"/>
      <c r="F24" s="152" t="str">
        <f>IF(B24="","",SUMIFS(Tree!$O:$O,Tree!$A:$A,'Pre-Harvest Plots_rpt'!$B24,Tree!$B:$B,'Pre-Harvest Plots_rpt'!$D24,Tree!$F:$F,"L",Tree!$K:$K,"&lt;&gt;"&amp;"Y"))</f>
        <v/>
      </c>
      <c r="G24" s="153" t="str">
        <f>IFERROR(IF(D24="","",SUMIFS(Tree!$P:$P,Tree!$A:$A,'Pre-Harvest Plots_rpt'!$B24,Tree!$B:$B,'Pre-Harvest Plots_rpt'!$D24,Tree!$K:$K,"&lt;&gt;"&amp;"Y")/$F24),"")</f>
        <v/>
      </c>
      <c r="H24" s="122" t="str">
        <f t="shared" si="1"/>
        <v/>
      </c>
      <c r="I24" s="121" t="str">
        <f>IF(OR($F24=0,$F24=""),"",SUMIFS(Tree!$R:$R,Tree!$A:$A,'Pre-Harvest Plots_rpt'!$B24,Tree!$B:$B,'Pre-Harvest Plots_rpt'!$D24,Tree!$F:$F,"L",Tree!$K:$K,"&lt;&gt;"&amp;"Y"))</f>
        <v/>
      </c>
      <c r="J24" s="121" t="str">
        <f>IF(OR($F24=0,$F24=""),"",IF(SUMIFS(Tree!$W:$W,Tree!$A:$A,'Pre-Harvest Plots_rpt'!$B24,Tree!$B:$B,'Pre-Harvest Plots_rpt'!$D24,Tree!$F:$F,"L",Tree!$K:$K,"&lt;&gt;"&amp;"Y")=0,0,AVERAGEIFS(Tree!$W:$W,Tree!$A:$A,'Pre-Harvest Plots_rpt'!$B24,Tree!$B:$B,'Pre-Harvest Plots_rpt'!$D24,Tree!$F:$F,"L",Tree!$K:$K,"&lt;&gt;"&amp;"Y")))</f>
        <v/>
      </c>
      <c r="K24" s="121" t="str">
        <f>IF($F24="","",SUMIFS(Tree!$S:$S,Tree!$A:$A,'Pre-Harvest Plots_rpt'!$B24,Tree!$B:$B,'Pre-Harvest Plots_rpt'!$D24,Tree!$F:$F,"L",Tree!$K:$K,"&lt;&gt;"&amp;"Y"))</f>
        <v/>
      </c>
      <c r="L24" s="154" t="str">
        <f t="shared" si="2"/>
        <v/>
      </c>
      <c r="M24" s="135"/>
      <c r="N24" s="192" t="str">
        <f>IF(B24="","",SUMIFS(Tree!$AM:$AM,Tree!$A:$A,'Pre-Harvest Plots_rpt'!$B24,Tree!$B:$B,'Pre-Harvest Plots_rpt'!$D24,Tree!$F:$F,"L",Tree!$K:$K,"&lt;&gt;"&amp;"Y"))</f>
        <v/>
      </c>
      <c r="O24" s="122" t="str">
        <f>IF(B24="","",SUMIFS(Tree!$AN:$AN,Tree!$A:$A,'Pre-Harvest Plots_rpt'!$B24,Tree!$B:$B,'Pre-Harvest Plots_rpt'!$D24,Tree!$F:$F,"L",Tree!$K:$K,"&lt;&gt;"&amp;"Y"))</f>
        <v/>
      </c>
      <c r="P24" s="122" t="str">
        <f>IF(B24="","",SUMIFS(Tree!$AO:$AO,Tree!$A:$A,'Pre-Harvest Plots_rpt'!$B24,Tree!$B:$B,'Pre-Harvest Plots_rpt'!$D24,Tree!$F:$F,"L",Tree!$K:$K,"&lt;&gt;"&amp;"Y"))</f>
        <v/>
      </c>
      <c r="Q24" s="122" t="str">
        <f>IF(B24="","",SUMIFS(Tree!$AP:$AP,Tree!$A:$A,'Pre-Harvest Plots_rpt'!$B24,Tree!$B:$B,'Pre-Harvest Plots_rpt'!$D24,Tree!$F:$F,"L",Tree!$K:$K,"&lt;&gt;"&amp;"Y"))</f>
        <v/>
      </c>
      <c r="R24" s="123" t="str">
        <f>IF(B24="","",SUMIFS(Tree!$AQ:$AQ,Tree!$A:$A,'Pre-Harvest Plots_rpt'!$B24,Tree!$B:$B,'Pre-Harvest Plots_rpt'!$D24,Tree!$F:$F,"L",Tree!$K:$K,"&lt;&gt;"&amp;"Y"))</f>
        <v/>
      </c>
      <c r="S24" s="122" t="str">
        <f>IF(B24="","",SUMIFS(Tree!$AJ:$AJ,Tree!$A:$A,'Pre-Harvest Plots_rpt'!$B24,Tree!$B:$B,'Pre-Harvest Plots_rpt'!$D24,Tree!$F:$F,"L",Tree!$K:$K,"&lt;&gt;"&amp;"Y")-O24)</f>
        <v/>
      </c>
      <c r="T24" s="122" t="str">
        <f>IF(B24="","",SUMIFS(Tree!$AK:$AK,Tree!$A:$A,'Pre-Harvest Plots_rpt'!$B24,Tree!$B:$B,'Pre-Harvest Plots_rpt'!$D24,Tree!$F:$F,"L",Tree!$K:$K,"&lt;&gt;"&amp;"Y")-P24)</f>
        <v/>
      </c>
      <c r="U24" s="122" t="str">
        <f>IF(B24="","",SUMIFS(Tree!$AL:$AL,Tree!$A:$A,'Pre-Harvest Plots_rpt'!$B24,Tree!$B:$B,'Pre-Harvest Plots_rpt'!$D24,Tree!$F:$F,"L",Tree!$K:$K,"&lt;&gt;"&amp;"Y")-Q24)</f>
        <v/>
      </c>
      <c r="V24" s="123" t="str">
        <f>IF(B24="","",ROUND(SUMIFS(Tree!$AE:$AE,Tree!$A:$A,'Pre-Harvest Plots_rpt'!$B24,Tree!$B:$B,'Pre-Harvest Plots_rpt'!$D24,Tree!$F:$F,"L",Tree!$K:$K,"&lt;&gt;"&amp;"Y")-R24,1))</f>
        <v/>
      </c>
      <c r="W24" s="124" t="str">
        <f>IF(B24="","",SUMIFS(Tree!$AY:$AY,Tree!$A:$A,'Pre-Harvest Plots_rpt'!$B24,Tree!$B:$B,'Pre-Harvest Plots_rpt'!$D24,Tree!$F:$F,"L",Tree!$K:$K,"&lt;&gt;"&amp;"Y")/1000)</f>
        <v/>
      </c>
      <c r="X24" s="158" t="str">
        <f>IF(B24="","",ROUND((SUMIFS(Tree!$AW:$AW,Tree!$A:$A,'Pre-Harvest Plots_rpt'!$B24,Tree!$B:$B,'Pre-Harvest Plots_rpt'!$D24,Tree!$F:$F,"L",Tree!$K:$K,"&lt;&gt;"&amp;"Y")/1000)-W24,1))</f>
        <v/>
      </c>
      <c r="Y24" s="135"/>
      <c r="Z24" s="161" t="str">
        <f>IF(IF(B24="","",SUMIFS(Tree!$O:$O,Tree!$A:$A,'Pre-Harvest Plots_rpt'!$B24,Tree!$B:$B,'Pre-Harvest Plots_rpt'!$D24,Tree!$F:$F,"D",Tree!$K:$K,"&lt;&gt;"&amp;"Y"))=0,"",IF(B24="","",SUMIFS(Tree!$O:$O,Tree!$A:$A,'Pre-Harvest Plots_rpt'!$B24,Tree!$B:$B,'Pre-Harvest Plots_rpt'!$D24,Tree!$F:$F,"D",Tree!$K:$K,"&lt;&gt;"&amp;"Y")))</f>
        <v/>
      </c>
      <c r="AA24" s="125" t="str">
        <f t="shared" si="3"/>
        <v/>
      </c>
      <c r="AB24" s="125" t="str">
        <f>IF(Z24="","",SUMIFS(Tree!$R:$R,Tree!$A:$A,'Pre-Harvest Plots_rpt'!$B24,Tree!$B:$B,'Pre-Harvest Plots_rpt'!$D24,Tree!$F:$F,"D",Tree!$K:$K,"&lt;&gt;"&amp;"Y"))</f>
        <v/>
      </c>
      <c r="AC24" s="126" t="str">
        <f>IF(Z24="","",SUMIFS(Tree!$AM:$AM,Tree!$A:$A,'Pre-Harvest Plots_rpt'!$B24,Tree!$B:$B,'Pre-Harvest Plots_rpt'!$D24,Tree!$F:$F,"D",Tree!$K:$K,"&lt;&gt;"&amp;"Y"))</f>
        <v/>
      </c>
      <c r="AD24" s="162" t="str">
        <f>IF(Z24="","",SUMIFS(Tree!$AW:$AW,Tree!$A:$A,'Pre-Harvest Plots_rpt'!$B24,Tree!$B:$B,'Pre-Harvest Plots_rpt'!$D24,Tree!$F:$F,"D",Tree!$K:$K,"&lt;&gt;"&amp;"Y")/1000)</f>
        <v/>
      </c>
      <c r="AE24" s="47"/>
      <c r="AF24" s="18"/>
      <c r="AG24" s="18"/>
      <c r="AH24" s="18"/>
    </row>
    <row r="25" spans="1:34" ht="12.75" customHeight="1" x14ac:dyDescent="0.25">
      <c r="A25" s="48">
        <v>22</v>
      </c>
      <c r="B25" s="171" t="str">
        <f>IF(A25&lt;=SUM(Stand!$H$3:$H$29),VLOOKUP(A25,Stand!$A$3:$C$29,3,TRUE),"")</f>
        <v/>
      </c>
      <c r="C25" s="172" t="str">
        <f t="shared" si="0"/>
        <v/>
      </c>
      <c r="D25" s="173" t="str">
        <f>IF(B25="","",VLOOKUP(B25&amp;C25,Plot!$B$2:$D$199,3,FALSE))</f>
        <v/>
      </c>
      <c r="E25" s="130"/>
      <c r="F25" s="152" t="str">
        <f>IF(B25="","",SUMIFS(Tree!$O:$O,Tree!$A:$A,'Pre-Harvest Plots_rpt'!$B25,Tree!$B:$B,'Pre-Harvest Plots_rpt'!$D25,Tree!$F:$F,"L",Tree!$K:$K,"&lt;&gt;"&amp;"Y"))</f>
        <v/>
      </c>
      <c r="G25" s="153" t="str">
        <f>IFERROR(IF(D25="","",SUMIFS(Tree!$P:$P,Tree!$A:$A,'Pre-Harvest Plots_rpt'!$B25,Tree!$B:$B,'Pre-Harvest Plots_rpt'!$D25,Tree!$K:$K,"&lt;&gt;"&amp;"Y")/$F25),"")</f>
        <v/>
      </c>
      <c r="H25" s="122" t="str">
        <f t="shared" si="1"/>
        <v/>
      </c>
      <c r="I25" s="121" t="str">
        <f>IF(OR($F25=0,$F25=""),"",SUMIFS(Tree!$R:$R,Tree!$A:$A,'Pre-Harvest Plots_rpt'!$B25,Tree!$B:$B,'Pre-Harvest Plots_rpt'!$D25,Tree!$F:$F,"L",Tree!$K:$K,"&lt;&gt;"&amp;"Y"))</f>
        <v/>
      </c>
      <c r="J25" s="121" t="str">
        <f>IF(OR($F25=0,$F25=""),"",IF(SUMIFS(Tree!$W:$W,Tree!$A:$A,'Pre-Harvest Plots_rpt'!$B25,Tree!$B:$B,'Pre-Harvest Plots_rpt'!$D25,Tree!$F:$F,"L",Tree!$K:$K,"&lt;&gt;"&amp;"Y")=0,0,AVERAGEIFS(Tree!$W:$W,Tree!$A:$A,'Pre-Harvest Plots_rpt'!$B25,Tree!$B:$B,'Pre-Harvest Plots_rpt'!$D25,Tree!$F:$F,"L",Tree!$K:$K,"&lt;&gt;"&amp;"Y")))</f>
        <v/>
      </c>
      <c r="K25" s="121" t="str">
        <f>IF($F25="","",SUMIFS(Tree!$S:$S,Tree!$A:$A,'Pre-Harvest Plots_rpt'!$B25,Tree!$B:$B,'Pre-Harvest Plots_rpt'!$D25,Tree!$F:$F,"L",Tree!$K:$K,"&lt;&gt;"&amp;"Y"))</f>
        <v/>
      </c>
      <c r="L25" s="154" t="str">
        <f t="shared" si="2"/>
        <v/>
      </c>
      <c r="M25" s="135"/>
      <c r="N25" s="192" t="str">
        <f>IF(B25="","",SUMIFS(Tree!$AM:$AM,Tree!$A:$A,'Pre-Harvest Plots_rpt'!$B25,Tree!$B:$B,'Pre-Harvest Plots_rpt'!$D25,Tree!$F:$F,"L",Tree!$K:$K,"&lt;&gt;"&amp;"Y"))</f>
        <v/>
      </c>
      <c r="O25" s="122" t="str">
        <f>IF(B25="","",SUMIFS(Tree!$AN:$AN,Tree!$A:$A,'Pre-Harvest Plots_rpt'!$B25,Tree!$B:$B,'Pre-Harvest Plots_rpt'!$D25,Tree!$F:$F,"L",Tree!$K:$K,"&lt;&gt;"&amp;"Y"))</f>
        <v/>
      </c>
      <c r="P25" s="122" t="str">
        <f>IF(B25="","",SUMIFS(Tree!$AO:$AO,Tree!$A:$A,'Pre-Harvest Plots_rpt'!$B25,Tree!$B:$B,'Pre-Harvest Plots_rpt'!$D25,Tree!$F:$F,"L",Tree!$K:$K,"&lt;&gt;"&amp;"Y"))</f>
        <v/>
      </c>
      <c r="Q25" s="122" t="str">
        <f>IF(B25="","",SUMIFS(Tree!$AP:$AP,Tree!$A:$A,'Pre-Harvest Plots_rpt'!$B25,Tree!$B:$B,'Pre-Harvest Plots_rpt'!$D25,Tree!$F:$F,"L",Tree!$K:$K,"&lt;&gt;"&amp;"Y"))</f>
        <v/>
      </c>
      <c r="R25" s="123" t="str">
        <f>IF(B25="","",SUMIFS(Tree!$AQ:$AQ,Tree!$A:$A,'Pre-Harvest Plots_rpt'!$B25,Tree!$B:$B,'Pre-Harvest Plots_rpt'!$D25,Tree!$F:$F,"L",Tree!$K:$K,"&lt;&gt;"&amp;"Y"))</f>
        <v/>
      </c>
      <c r="S25" s="122" t="str">
        <f>IF(B25="","",SUMIFS(Tree!$AJ:$AJ,Tree!$A:$A,'Pre-Harvest Plots_rpt'!$B25,Tree!$B:$B,'Pre-Harvest Plots_rpt'!$D25,Tree!$F:$F,"L",Tree!$K:$K,"&lt;&gt;"&amp;"Y")-O25)</f>
        <v/>
      </c>
      <c r="T25" s="122" t="str">
        <f>IF(B25="","",SUMIFS(Tree!$AK:$AK,Tree!$A:$A,'Pre-Harvest Plots_rpt'!$B25,Tree!$B:$B,'Pre-Harvest Plots_rpt'!$D25,Tree!$F:$F,"L",Tree!$K:$K,"&lt;&gt;"&amp;"Y")-P25)</f>
        <v/>
      </c>
      <c r="U25" s="122" t="str">
        <f>IF(B25="","",SUMIFS(Tree!$AL:$AL,Tree!$A:$A,'Pre-Harvest Plots_rpt'!$B25,Tree!$B:$B,'Pre-Harvest Plots_rpt'!$D25,Tree!$F:$F,"L",Tree!$K:$K,"&lt;&gt;"&amp;"Y")-Q25)</f>
        <v/>
      </c>
      <c r="V25" s="123" t="str">
        <f>IF(B25="","",ROUND(SUMIFS(Tree!$AE:$AE,Tree!$A:$A,'Pre-Harvest Plots_rpt'!$B25,Tree!$B:$B,'Pre-Harvest Plots_rpt'!$D25,Tree!$F:$F,"L",Tree!$K:$K,"&lt;&gt;"&amp;"Y")-R25,1))</f>
        <v/>
      </c>
      <c r="W25" s="124" t="str">
        <f>IF(B25="","",SUMIFS(Tree!$AY:$AY,Tree!$A:$A,'Pre-Harvest Plots_rpt'!$B25,Tree!$B:$B,'Pre-Harvest Plots_rpt'!$D25,Tree!$F:$F,"L",Tree!$K:$K,"&lt;&gt;"&amp;"Y")/1000)</f>
        <v/>
      </c>
      <c r="X25" s="158" t="str">
        <f>IF(B25="","",ROUND((SUMIFS(Tree!$AW:$AW,Tree!$A:$A,'Pre-Harvest Plots_rpt'!$B25,Tree!$B:$B,'Pre-Harvest Plots_rpt'!$D25,Tree!$F:$F,"L",Tree!$K:$K,"&lt;&gt;"&amp;"Y")/1000)-W25,1))</f>
        <v/>
      </c>
      <c r="Y25" s="135"/>
      <c r="Z25" s="161" t="str">
        <f>IF(IF(B25="","",SUMIFS(Tree!$O:$O,Tree!$A:$A,'Pre-Harvest Plots_rpt'!$B25,Tree!$B:$B,'Pre-Harvest Plots_rpt'!$D25,Tree!$F:$F,"D",Tree!$K:$K,"&lt;&gt;"&amp;"Y"))=0,"",IF(B25="","",SUMIFS(Tree!$O:$O,Tree!$A:$A,'Pre-Harvest Plots_rpt'!$B25,Tree!$B:$B,'Pre-Harvest Plots_rpt'!$D25,Tree!$F:$F,"D",Tree!$K:$K,"&lt;&gt;"&amp;"Y")))</f>
        <v/>
      </c>
      <c r="AA25" s="125" t="str">
        <f t="shared" si="3"/>
        <v/>
      </c>
      <c r="AB25" s="125" t="str">
        <f>IF(Z25="","",SUMIFS(Tree!$R:$R,Tree!$A:$A,'Pre-Harvest Plots_rpt'!$B25,Tree!$B:$B,'Pre-Harvest Plots_rpt'!$D25,Tree!$F:$F,"D",Tree!$K:$K,"&lt;&gt;"&amp;"Y"))</f>
        <v/>
      </c>
      <c r="AC25" s="126" t="str">
        <f>IF(Z25="","",SUMIFS(Tree!$AM:$AM,Tree!$A:$A,'Pre-Harvest Plots_rpt'!$B25,Tree!$B:$B,'Pre-Harvest Plots_rpt'!$D25,Tree!$F:$F,"D",Tree!$K:$K,"&lt;&gt;"&amp;"Y"))</f>
        <v/>
      </c>
      <c r="AD25" s="162" t="str">
        <f>IF(Z25="","",SUMIFS(Tree!$AW:$AW,Tree!$A:$A,'Pre-Harvest Plots_rpt'!$B25,Tree!$B:$B,'Pre-Harvest Plots_rpt'!$D25,Tree!$F:$F,"D",Tree!$K:$K,"&lt;&gt;"&amp;"Y")/1000)</f>
        <v/>
      </c>
      <c r="AE25" s="47"/>
      <c r="AF25" s="18"/>
      <c r="AG25" s="18"/>
      <c r="AH25" s="18"/>
    </row>
    <row r="26" spans="1:34" ht="12.75" customHeight="1" x14ac:dyDescent="0.25">
      <c r="A26" s="48">
        <v>23</v>
      </c>
      <c r="B26" s="171" t="str">
        <f>IF(A26&lt;=SUM(Stand!$H$3:$H$29),VLOOKUP(A26,Stand!$A$3:$C$29,3,TRUE),"")</f>
        <v/>
      </c>
      <c r="C26" s="172" t="str">
        <f t="shared" si="0"/>
        <v/>
      </c>
      <c r="D26" s="173" t="str">
        <f>IF(B26="","",VLOOKUP(B26&amp;C26,Plot!$B$2:$D$199,3,FALSE))</f>
        <v/>
      </c>
      <c r="E26" s="130"/>
      <c r="F26" s="152" t="str">
        <f>IF(B26="","",SUMIFS(Tree!$O:$O,Tree!$A:$A,'Pre-Harvest Plots_rpt'!$B26,Tree!$B:$B,'Pre-Harvest Plots_rpt'!$D26,Tree!$F:$F,"L",Tree!$K:$K,"&lt;&gt;"&amp;"Y"))</f>
        <v/>
      </c>
      <c r="G26" s="153" t="str">
        <f>IFERROR(IF(D26="","",SUMIFS(Tree!$P:$P,Tree!$A:$A,'Pre-Harvest Plots_rpt'!$B26,Tree!$B:$B,'Pre-Harvest Plots_rpt'!$D26,Tree!$K:$K,"&lt;&gt;"&amp;"Y")/$F26),"")</f>
        <v/>
      </c>
      <c r="H26" s="122" t="str">
        <f t="shared" si="1"/>
        <v/>
      </c>
      <c r="I26" s="121" t="str">
        <f>IF(OR($F26=0,$F26=""),"",SUMIFS(Tree!$R:$R,Tree!$A:$A,'Pre-Harvest Plots_rpt'!$B26,Tree!$B:$B,'Pre-Harvest Plots_rpt'!$D26,Tree!$F:$F,"L",Tree!$K:$K,"&lt;&gt;"&amp;"Y"))</f>
        <v/>
      </c>
      <c r="J26" s="121" t="str">
        <f>IF(OR($F26=0,$F26=""),"",IF(SUMIFS(Tree!$W:$W,Tree!$A:$A,'Pre-Harvest Plots_rpt'!$B26,Tree!$B:$B,'Pre-Harvest Plots_rpt'!$D26,Tree!$F:$F,"L",Tree!$K:$K,"&lt;&gt;"&amp;"Y")=0,0,AVERAGEIFS(Tree!$W:$W,Tree!$A:$A,'Pre-Harvest Plots_rpt'!$B26,Tree!$B:$B,'Pre-Harvest Plots_rpt'!$D26,Tree!$F:$F,"L",Tree!$K:$K,"&lt;&gt;"&amp;"Y")))</f>
        <v/>
      </c>
      <c r="K26" s="121" t="str">
        <f>IF($F26="","",SUMIFS(Tree!$S:$S,Tree!$A:$A,'Pre-Harvest Plots_rpt'!$B26,Tree!$B:$B,'Pre-Harvest Plots_rpt'!$D26,Tree!$F:$F,"L",Tree!$K:$K,"&lt;&gt;"&amp;"Y"))</f>
        <v/>
      </c>
      <c r="L26" s="154" t="str">
        <f t="shared" si="2"/>
        <v/>
      </c>
      <c r="M26" s="135"/>
      <c r="N26" s="192" t="str">
        <f>IF(B26="","",SUMIFS(Tree!$AM:$AM,Tree!$A:$A,'Pre-Harvest Plots_rpt'!$B26,Tree!$B:$B,'Pre-Harvest Plots_rpt'!$D26,Tree!$F:$F,"L",Tree!$K:$K,"&lt;&gt;"&amp;"Y"))</f>
        <v/>
      </c>
      <c r="O26" s="122" t="str">
        <f>IF(B26="","",SUMIFS(Tree!$AN:$AN,Tree!$A:$A,'Pre-Harvest Plots_rpt'!$B26,Tree!$B:$B,'Pre-Harvest Plots_rpt'!$D26,Tree!$F:$F,"L",Tree!$K:$K,"&lt;&gt;"&amp;"Y"))</f>
        <v/>
      </c>
      <c r="P26" s="122" t="str">
        <f>IF(B26="","",SUMIFS(Tree!$AO:$AO,Tree!$A:$A,'Pre-Harvest Plots_rpt'!$B26,Tree!$B:$B,'Pre-Harvest Plots_rpt'!$D26,Tree!$F:$F,"L",Tree!$K:$K,"&lt;&gt;"&amp;"Y"))</f>
        <v/>
      </c>
      <c r="Q26" s="122" t="str">
        <f>IF(B26="","",SUMIFS(Tree!$AP:$AP,Tree!$A:$A,'Pre-Harvest Plots_rpt'!$B26,Tree!$B:$B,'Pre-Harvest Plots_rpt'!$D26,Tree!$F:$F,"L",Tree!$K:$K,"&lt;&gt;"&amp;"Y"))</f>
        <v/>
      </c>
      <c r="R26" s="123" t="str">
        <f>IF(B26="","",SUMIFS(Tree!$AQ:$AQ,Tree!$A:$A,'Pre-Harvest Plots_rpt'!$B26,Tree!$B:$B,'Pre-Harvest Plots_rpt'!$D26,Tree!$F:$F,"L",Tree!$K:$K,"&lt;&gt;"&amp;"Y"))</f>
        <v/>
      </c>
      <c r="S26" s="122" t="str">
        <f>IF(B26="","",SUMIFS(Tree!$AJ:$AJ,Tree!$A:$A,'Pre-Harvest Plots_rpt'!$B26,Tree!$B:$B,'Pre-Harvest Plots_rpt'!$D26,Tree!$F:$F,"L",Tree!$K:$K,"&lt;&gt;"&amp;"Y")-O26)</f>
        <v/>
      </c>
      <c r="T26" s="122" t="str">
        <f>IF(B26="","",SUMIFS(Tree!$AK:$AK,Tree!$A:$A,'Pre-Harvest Plots_rpt'!$B26,Tree!$B:$B,'Pre-Harvest Plots_rpt'!$D26,Tree!$F:$F,"L",Tree!$K:$K,"&lt;&gt;"&amp;"Y")-P26)</f>
        <v/>
      </c>
      <c r="U26" s="122" t="str">
        <f>IF(B26="","",SUMIFS(Tree!$AL:$AL,Tree!$A:$A,'Pre-Harvest Plots_rpt'!$B26,Tree!$B:$B,'Pre-Harvest Plots_rpt'!$D26,Tree!$F:$F,"L",Tree!$K:$K,"&lt;&gt;"&amp;"Y")-Q26)</f>
        <v/>
      </c>
      <c r="V26" s="123" t="str">
        <f>IF(B26="","",ROUND(SUMIFS(Tree!$AE:$AE,Tree!$A:$A,'Pre-Harvest Plots_rpt'!$B26,Tree!$B:$B,'Pre-Harvest Plots_rpt'!$D26,Tree!$F:$F,"L",Tree!$K:$K,"&lt;&gt;"&amp;"Y")-R26,1))</f>
        <v/>
      </c>
      <c r="W26" s="124" t="str">
        <f>IF(B26="","",SUMIFS(Tree!$AY:$AY,Tree!$A:$A,'Pre-Harvest Plots_rpt'!$B26,Tree!$B:$B,'Pre-Harvest Plots_rpt'!$D26,Tree!$F:$F,"L",Tree!$K:$K,"&lt;&gt;"&amp;"Y")/1000)</f>
        <v/>
      </c>
      <c r="X26" s="158" t="str">
        <f>IF(B26="","",ROUND((SUMIFS(Tree!$AW:$AW,Tree!$A:$A,'Pre-Harvest Plots_rpt'!$B26,Tree!$B:$B,'Pre-Harvest Plots_rpt'!$D26,Tree!$F:$F,"L",Tree!$K:$K,"&lt;&gt;"&amp;"Y")/1000)-W26,1))</f>
        <v/>
      </c>
      <c r="Y26" s="135"/>
      <c r="Z26" s="161" t="str">
        <f>IF(IF(B26="","",SUMIFS(Tree!$O:$O,Tree!$A:$A,'Pre-Harvest Plots_rpt'!$B26,Tree!$B:$B,'Pre-Harvest Plots_rpt'!$D26,Tree!$F:$F,"D",Tree!$K:$K,"&lt;&gt;"&amp;"Y"))=0,"",IF(B26="","",SUMIFS(Tree!$O:$O,Tree!$A:$A,'Pre-Harvest Plots_rpt'!$B26,Tree!$B:$B,'Pre-Harvest Plots_rpt'!$D26,Tree!$F:$F,"D",Tree!$K:$K,"&lt;&gt;"&amp;"Y")))</f>
        <v/>
      </c>
      <c r="AA26" s="125" t="str">
        <f t="shared" si="3"/>
        <v/>
      </c>
      <c r="AB26" s="125" t="str">
        <f>IF(Z26="","",SUMIFS(Tree!$R:$R,Tree!$A:$A,'Pre-Harvest Plots_rpt'!$B26,Tree!$B:$B,'Pre-Harvest Plots_rpt'!$D26,Tree!$F:$F,"D",Tree!$K:$K,"&lt;&gt;"&amp;"Y"))</f>
        <v/>
      </c>
      <c r="AC26" s="126" t="str">
        <f>IF(Z26="","",SUMIFS(Tree!$AM:$AM,Tree!$A:$A,'Pre-Harvest Plots_rpt'!$B26,Tree!$B:$B,'Pre-Harvest Plots_rpt'!$D26,Tree!$F:$F,"D",Tree!$K:$K,"&lt;&gt;"&amp;"Y"))</f>
        <v/>
      </c>
      <c r="AD26" s="162" t="str">
        <f>IF(Z26="","",SUMIFS(Tree!$AW:$AW,Tree!$A:$A,'Pre-Harvest Plots_rpt'!$B26,Tree!$B:$B,'Pre-Harvest Plots_rpt'!$D26,Tree!$F:$F,"D",Tree!$K:$K,"&lt;&gt;"&amp;"Y")/1000)</f>
        <v/>
      </c>
      <c r="AE26" s="47"/>
      <c r="AF26" s="18"/>
      <c r="AG26" s="18"/>
      <c r="AH26" s="18"/>
    </row>
    <row r="27" spans="1:34" ht="12.75" customHeight="1" x14ac:dyDescent="0.25">
      <c r="A27" s="48">
        <v>24</v>
      </c>
      <c r="B27" s="171" t="str">
        <f>IF(A27&lt;=SUM(Stand!$H$3:$H$29),VLOOKUP(A27,Stand!$A$3:$C$29,3,TRUE),"")</f>
        <v/>
      </c>
      <c r="C27" s="172" t="str">
        <f t="shared" si="0"/>
        <v/>
      </c>
      <c r="D27" s="173" t="str">
        <f>IF(B27="","",VLOOKUP(B27&amp;C27,Plot!$B$2:$D$199,3,FALSE))</f>
        <v/>
      </c>
      <c r="E27" s="130"/>
      <c r="F27" s="152" t="str">
        <f>IF(B27="","",SUMIFS(Tree!$O:$O,Tree!$A:$A,'Pre-Harvest Plots_rpt'!$B27,Tree!$B:$B,'Pre-Harvest Plots_rpt'!$D27,Tree!$F:$F,"L",Tree!$K:$K,"&lt;&gt;"&amp;"Y"))</f>
        <v/>
      </c>
      <c r="G27" s="153" t="str">
        <f>IFERROR(IF(D27="","",SUMIFS(Tree!$P:$P,Tree!$A:$A,'Pre-Harvest Plots_rpt'!$B27,Tree!$B:$B,'Pre-Harvest Plots_rpt'!$D27,Tree!$K:$K,"&lt;&gt;"&amp;"Y")/$F27),"")</f>
        <v/>
      </c>
      <c r="H27" s="122" t="str">
        <f t="shared" si="1"/>
        <v/>
      </c>
      <c r="I27" s="121" t="str">
        <f>IF(OR($F27=0,$F27=""),"",SUMIFS(Tree!$R:$R,Tree!$A:$A,'Pre-Harvest Plots_rpt'!$B27,Tree!$B:$B,'Pre-Harvest Plots_rpt'!$D27,Tree!$F:$F,"L",Tree!$K:$K,"&lt;&gt;"&amp;"Y"))</f>
        <v/>
      </c>
      <c r="J27" s="121" t="str">
        <f>IF(OR($F27=0,$F27=""),"",IF(SUMIFS(Tree!$W:$W,Tree!$A:$A,'Pre-Harvest Plots_rpt'!$B27,Tree!$B:$B,'Pre-Harvest Plots_rpt'!$D27,Tree!$F:$F,"L",Tree!$K:$K,"&lt;&gt;"&amp;"Y")=0,0,AVERAGEIFS(Tree!$W:$W,Tree!$A:$A,'Pre-Harvest Plots_rpt'!$B27,Tree!$B:$B,'Pre-Harvest Plots_rpt'!$D27,Tree!$F:$F,"L",Tree!$K:$K,"&lt;&gt;"&amp;"Y")))</f>
        <v/>
      </c>
      <c r="K27" s="121" t="str">
        <f>IF($F27="","",SUMIFS(Tree!$S:$S,Tree!$A:$A,'Pre-Harvest Plots_rpt'!$B27,Tree!$B:$B,'Pre-Harvest Plots_rpt'!$D27,Tree!$F:$F,"L",Tree!$K:$K,"&lt;&gt;"&amp;"Y"))</f>
        <v/>
      </c>
      <c r="L27" s="154" t="str">
        <f t="shared" si="2"/>
        <v/>
      </c>
      <c r="M27" s="135"/>
      <c r="N27" s="192" t="str">
        <f>IF(B27="","",SUMIFS(Tree!$AM:$AM,Tree!$A:$A,'Pre-Harvest Plots_rpt'!$B27,Tree!$B:$B,'Pre-Harvest Plots_rpt'!$D27,Tree!$F:$F,"L",Tree!$K:$K,"&lt;&gt;"&amp;"Y"))</f>
        <v/>
      </c>
      <c r="O27" s="122" t="str">
        <f>IF(B27="","",SUMIFS(Tree!$AN:$AN,Tree!$A:$A,'Pre-Harvest Plots_rpt'!$B27,Tree!$B:$B,'Pre-Harvest Plots_rpt'!$D27,Tree!$F:$F,"L",Tree!$K:$K,"&lt;&gt;"&amp;"Y"))</f>
        <v/>
      </c>
      <c r="P27" s="122" t="str">
        <f>IF(B27="","",SUMIFS(Tree!$AO:$AO,Tree!$A:$A,'Pre-Harvest Plots_rpt'!$B27,Tree!$B:$B,'Pre-Harvest Plots_rpt'!$D27,Tree!$F:$F,"L",Tree!$K:$K,"&lt;&gt;"&amp;"Y"))</f>
        <v/>
      </c>
      <c r="Q27" s="122" t="str">
        <f>IF(B27="","",SUMIFS(Tree!$AP:$AP,Tree!$A:$A,'Pre-Harvest Plots_rpt'!$B27,Tree!$B:$B,'Pre-Harvest Plots_rpt'!$D27,Tree!$F:$F,"L",Tree!$K:$K,"&lt;&gt;"&amp;"Y"))</f>
        <v/>
      </c>
      <c r="R27" s="123" t="str">
        <f>IF(B27="","",SUMIFS(Tree!$AQ:$AQ,Tree!$A:$A,'Pre-Harvest Plots_rpt'!$B27,Tree!$B:$B,'Pre-Harvest Plots_rpt'!$D27,Tree!$F:$F,"L",Tree!$K:$K,"&lt;&gt;"&amp;"Y"))</f>
        <v/>
      </c>
      <c r="S27" s="122" t="str">
        <f>IF(B27="","",SUMIFS(Tree!$AJ:$AJ,Tree!$A:$A,'Pre-Harvest Plots_rpt'!$B27,Tree!$B:$B,'Pre-Harvest Plots_rpt'!$D27,Tree!$F:$F,"L",Tree!$K:$K,"&lt;&gt;"&amp;"Y")-O27)</f>
        <v/>
      </c>
      <c r="T27" s="122" t="str">
        <f>IF(B27="","",SUMIFS(Tree!$AK:$AK,Tree!$A:$A,'Pre-Harvest Plots_rpt'!$B27,Tree!$B:$B,'Pre-Harvest Plots_rpt'!$D27,Tree!$F:$F,"L",Tree!$K:$K,"&lt;&gt;"&amp;"Y")-P27)</f>
        <v/>
      </c>
      <c r="U27" s="122" t="str">
        <f>IF(B27="","",SUMIFS(Tree!$AL:$AL,Tree!$A:$A,'Pre-Harvest Plots_rpt'!$B27,Tree!$B:$B,'Pre-Harvest Plots_rpt'!$D27,Tree!$F:$F,"L",Tree!$K:$K,"&lt;&gt;"&amp;"Y")-Q27)</f>
        <v/>
      </c>
      <c r="V27" s="123" t="str">
        <f>IF(B27="","",ROUND(SUMIFS(Tree!$AE:$AE,Tree!$A:$A,'Pre-Harvest Plots_rpt'!$B27,Tree!$B:$B,'Pre-Harvest Plots_rpt'!$D27,Tree!$F:$F,"L",Tree!$K:$K,"&lt;&gt;"&amp;"Y")-R27,1))</f>
        <v/>
      </c>
      <c r="W27" s="124" t="str">
        <f>IF(B27="","",SUMIFS(Tree!$AY:$AY,Tree!$A:$A,'Pre-Harvest Plots_rpt'!$B27,Tree!$B:$B,'Pre-Harvest Plots_rpt'!$D27,Tree!$F:$F,"L",Tree!$K:$K,"&lt;&gt;"&amp;"Y")/1000)</f>
        <v/>
      </c>
      <c r="X27" s="158" t="str">
        <f>IF(B27="","",ROUND((SUMIFS(Tree!$AW:$AW,Tree!$A:$A,'Pre-Harvest Plots_rpt'!$B27,Tree!$B:$B,'Pre-Harvest Plots_rpt'!$D27,Tree!$F:$F,"L",Tree!$K:$K,"&lt;&gt;"&amp;"Y")/1000)-W27,1))</f>
        <v/>
      </c>
      <c r="Y27" s="135"/>
      <c r="Z27" s="161" t="str">
        <f>IF(IF(B27="","",SUMIFS(Tree!$O:$O,Tree!$A:$A,'Pre-Harvest Plots_rpt'!$B27,Tree!$B:$B,'Pre-Harvest Plots_rpt'!$D27,Tree!$F:$F,"D",Tree!$K:$K,"&lt;&gt;"&amp;"Y"))=0,"",IF(B27="","",SUMIFS(Tree!$O:$O,Tree!$A:$A,'Pre-Harvest Plots_rpt'!$B27,Tree!$B:$B,'Pre-Harvest Plots_rpt'!$D27,Tree!$F:$F,"D",Tree!$K:$K,"&lt;&gt;"&amp;"Y")))</f>
        <v/>
      </c>
      <c r="AA27" s="125" t="str">
        <f t="shared" si="3"/>
        <v/>
      </c>
      <c r="AB27" s="125" t="str">
        <f>IF(Z27="","",SUMIFS(Tree!$R:$R,Tree!$A:$A,'Pre-Harvest Plots_rpt'!$B27,Tree!$B:$B,'Pre-Harvest Plots_rpt'!$D27,Tree!$F:$F,"D",Tree!$K:$K,"&lt;&gt;"&amp;"Y"))</f>
        <v/>
      </c>
      <c r="AC27" s="126" t="str">
        <f>IF(Z27="","",SUMIFS(Tree!$AM:$AM,Tree!$A:$A,'Pre-Harvest Plots_rpt'!$B27,Tree!$B:$B,'Pre-Harvest Plots_rpt'!$D27,Tree!$F:$F,"D",Tree!$K:$K,"&lt;&gt;"&amp;"Y"))</f>
        <v/>
      </c>
      <c r="AD27" s="162" t="str">
        <f>IF(Z27="","",SUMIFS(Tree!$AW:$AW,Tree!$A:$A,'Pre-Harvest Plots_rpt'!$B27,Tree!$B:$B,'Pre-Harvest Plots_rpt'!$D27,Tree!$F:$F,"D",Tree!$K:$K,"&lt;&gt;"&amp;"Y")/1000)</f>
        <v/>
      </c>
      <c r="AE27" s="47"/>
      <c r="AF27" s="18"/>
      <c r="AG27" s="18"/>
      <c r="AH27" s="18"/>
    </row>
    <row r="28" spans="1:34" ht="12.75" customHeight="1" x14ac:dyDescent="0.25">
      <c r="A28" s="48">
        <v>25</v>
      </c>
      <c r="B28" s="171" t="str">
        <f>IF(A28&lt;=SUM(Stand!$H$3:$H$29),VLOOKUP(A28,Stand!$A$3:$C$29,3,TRUE),"")</f>
        <v/>
      </c>
      <c r="C28" s="172" t="str">
        <f t="shared" si="0"/>
        <v/>
      </c>
      <c r="D28" s="173" t="str">
        <f>IF(B28="","",VLOOKUP(B28&amp;C28,Plot!$B$2:$D$199,3,FALSE))</f>
        <v/>
      </c>
      <c r="E28" s="130"/>
      <c r="F28" s="152" t="str">
        <f>IF(B28="","",SUMIFS(Tree!$O:$O,Tree!$A:$A,'Pre-Harvest Plots_rpt'!$B28,Tree!$B:$B,'Pre-Harvest Plots_rpt'!$D28,Tree!$F:$F,"L",Tree!$K:$K,"&lt;&gt;"&amp;"Y"))</f>
        <v/>
      </c>
      <c r="G28" s="153" t="str">
        <f>IFERROR(IF(D28="","",SUMIFS(Tree!$P:$P,Tree!$A:$A,'Pre-Harvest Plots_rpt'!$B28,Tree!$B:$B,'Pre-Harvest Plots_rpt'!$D28,Tree!$K:$K,"&lt;&gt;"&amp;"Y")/$F28),"")</f>
        <v/>
      </c>
      <c r="H28" s="122" t="str">
        <f t="shared" si="1"/>
        <v/>
      </c>
      <c r="I28" s="121" t="str">
        <f>IF(OR($F28=0,$F28=""),"",SUMIFS(Tree!$R:$R,Tree!$A:$A,'Pre-Harvest Plots_rpt'!$B28,Tree!$B:$B,'Pre-Harvest Plots_rpt'!$D28,Tree!$F:$F,"L",Tree!$K:$K,"&lt;&gt;"&amp;"Y"))</f>
        <v/>
      </c>
      <c r="J28" s="121" t="str">
        <f>IF(OR($F28=0,$F28=""),"",IF(SUMIFS(Tree!$W:$W,Tree!$A:$A,'Pre-Harvest Plots_rpt'!$B28,Tree!$B:$B,'Pre-Harvest Plots_rpt'!$D28,Tree!$F:$F,"L",Tree!$K:$K,"&lt;&gt;"&amp;"Y")=0,0,AVERAGEIFS(Tree!$W:$W,Tree!$A:$A,'Pre-Harvest Plots_rpt'!$B28,Tree!$B:$B,'Pre-Harvest Plots_rpt'!$D28,Tree!$F:$F,"L",Tree!$K:$K,"&lt;&gt;"&amp;"Y")))</f>
        <v/>
      </c>
      <c r="K28" s="121" t="str">
        <f>IF($F28="","",SUMIFS(Tree!$S:$S,Tree!$A:$A,'Pre-Harvest Plots_rpt'!$B28,Tree!$B:$B,'Pre-Harvest Plots_rpt'!$D28,Tree!$F:$F,"L",Tree!$K:$K,"&lt;&gt;"&amp;"Y"))</f>
        <v/>
      </c>
      <c r="L28" s="154" t="str">
        <f t="shared" si="2"/>
        <v/>
      </c>
      <c r="M28" s="135"/>
      <c r="N28" s="192" t="str">
        <f>IF(B28="","",SUMIFS(Tree!$AM:$AM,Tree!$A:$A,'Pre-Harvest Plots_rpt'!$B28,Tree!$B:$B,'Pre-Harvest Plots_rpt'!$D28,Tree!$F:$F,"L",Tree!$K:$K,"&lt;&gt;"&amp;"Y"))</f>
        <v/>
      </c>
      <c r="O28" s="122" t="str">
        <f>IF(B28="","",SUMIFS(Tree!$AN:$AN,Tree!$A:$A,'Pre-Harvest Plots_rpt'!$B28,Tree!$B:$B,'Pre-Harvest Plots_rpt'!$D28,Tree!$F:$F,"L",Tree!$K:$K,"&lt;&gt;"&amp;"Y"))</f>
        <v/>
      </c>
      <c r="P28" s="122" t="str">
        <f>IF(B28="","",SUMIFS(Tree!$AO:$AO,Tree!$A:$A,'Pre-Harvest Plots_rpt'!$B28,Tree!$B:$B,'Pre-Harvest Plots_rpt'!$D28,Tree!$F:$F,"L",Tree!$K:$K,"&lt;&gt;"&amp;"Y"))</f>
        <v/>
      </c>
      <c r="Q28" s="122" t="str">
        <f>IF(B28="","",SUMIFS(Tree!$AP:$AP,Tree!$A:$A,'Pre-Harvest Plots_rpt'!$B28,Tree!$B:$B,'Pre-Harvest Plots_rpt'!$D28,Tree!$F:$F,"L",Tree!$K:$K,"&lt;&gt;"&amp;"Y"))</f>
        <v/>
      </c>
      <c r="R28" s="123" t="str">
        <f>IF(B28="","",SUMIFS(Tree!$AQ:$AQ,Tree!$A:$A,'Pre-Harvest Plots_rpt'!$B28,Tree!$B:$B,'Pre-Harvest Plots_rpt'!$D28,Tree!$F:$F,"L",Tree!$K:$K,"&lt;&gt;"&amp;"Y"))</f>
        <v/>
      </c>
      <c r="S28" s="122" t="str">
        <f>IF(B28="","",SUMIFS(Tree!$AJ:$AJ,Tree!$A:$A,'Pre-Harvest Plots_rpt'!$B28,Tree!$B:$B,'Pre-Harvest Plots_rpt'!$D28,Tree!$F:$F,"L",Tree!$K:$K,"&lt;&gt;"&amp;"Y")-O28)</f>
        <v/>
      </c>
      <c r="T28" s="122" t="str">
        <f>IF(B28="","",SUMIFS(Tree!$AK:$AK,Tree!$A:$A,'Pre-Harvest Plots_rpt'!$B28,Tree!$B:$B,'Pre-Harvest Plots_rpt'!$D28,Tree!$F:$F,"L",Tree!$K:$K,"&lt;&gt;"&amp;"Y")-P28)</f>
        <v/>
      </c>
      <c r="U28" s="122" t="str">
        <f>IF(B28="","",SUMIFS(Tree!$AL:$AL,Tree!$A:$A,'Pre-Harvest Plots_rpt'!$B28,Tree!$B:$B,'Pre-Harvest Plots_rpt'!$D28,Tree!$F:$F,"L",Tree!$K:$K,"&lt;&gt;"&amp;"Y")-Q28)</f>
        <v/>
      </c>
      <c r="V28" s="123" t="str">
        <f>IF(B28="","",ROUND(SUMIFS(Tree!$AE:$AE,Tree!$A:$A,'Pre-Harvest Plots_rpt'!$B28,Tree!$B:$B,'Pre-Harvest Plots_rpt'!$D28,Tree!$F:$F,"L",Tree!$K:$K,"&lt;&gt;"&amp;"Y")-R28,1))</f>
        <v/>
      </c>
      <c r="W28" s="124" t="str">
        <f>IF(B28="","",SUMIFS(Tree!$AY:$AY,Tree!$A:$A,'Pre-Harvest Plots_rpt'!$B28,Tree!$B:$B,'Pre-Harvest Plots_rpt'!$D28,Tree!$F:$F,"L",Tree!$K:$K,"&lt;&gt;"&amp;"Y")/1000)</f>
        <v/>
      </c>
      <c r="X28" s="158" t="str">
        <f>IF(B28="","",ROUND((SUMIFS(Tree!$AW:$AW,Tree!$A:$A,'Pre-Harvest Plots_rpt'!$B28,Tree!$B:$B,'Pre-Harvest Plots_rpt'!$D28,Tree!$F:$F,"L",Tree!$K:$K,"&lt;&gt;"&amp;"Y")/1000)-W28,1))</f>
        <v/>
      </c>
      <c r="Y28" s="135"/>
      <c r="Z28" s="161" t="str">
        <f>IF(IF(B28="","",SUMIFS(Tree!$O:$O,Tree!$A:$A,'Pre-Harvest Plots_rpt'!$B28,Tree!$B:$B,'Pre-Harvest Plots_rpt'!$D28,Tree!$F:$F,"D",Tree!$K:$K,"&lt;&gt;"&amp;"Y"))=0,"",IF(B28="","",SUMIFS(Tree!$O:$O,Tree!$A:$A,'Pre-Harvest Plots_rpt'!$B28,Tree!$B:$B,'Pre-Harvest Plots_rpt'!$D28,Tree!$F:$F,"D",Tree!$K:$K,"&lt;&gt;"&amp;"Y")))</f>
        <v/>
      </c>
      <c r="AA28" s="125" t="str">
        <f t="shared" si="3"/>
        <v/>
      </c>
      <c r="AB28" s="125" t="str">
        <f>IF(Z28="","",SUMIFS(Tree!$R:$R,Tree!$A:$A,'Pre-Harvest Plots_rpt'!$B28,Tree!$B:$B,'Pre-Harvest Plots_rpt'!$D28,Tree!$F:$F,"D",Tree!$K:$K,"&lt;&gt;"&amp;"Y"))</f>
        <v/>
      </c>
      <c r="AC28" s="126" t="str">
        <f>IF(Z28="","",SUMIFS(Tree!$AM:$AM,Tree!$A:$A,'Pre-Harvest Plots_rpt'!$B28,Tree!$B:$B,'Pre-Harvest Plots_rpt'!$D28,Tree!$F:$F,"D",Tree!$K:$K,"&lt;&gt;"&amp;"Y"))</f>
        <v/>
      </c>
      <c r="AD28" s="162" t="str">
        <f>IF(Z28="","",SUMIFS(Tree!$AW:$AW,Tree!$A:$A,'Pre-Harvest Plots_rpt'!$B28,Tree!$B:$B,'Pre-Harvest Plots_rpt'!$D28,Tree!$F:$F,"D",Tree!$K:$K,"&lt;&gt;"&amp;"Y")/1000)</f>
        <v/>
      </c>
      <c r="AE28" s="47"/>
      <c r="AF28" s="18"/>
      <c r="AG28" s="18"/>
      <c r="AH28" s="18"/>
    </row>
    <row r="29" spans="1:34" ht="13.5" customHeight="1" x14ac:dyDescent="0.25">
      <c r="A29" s="48">
        <v>26</v>
      </c>
      <c r="B29" s="171" t="str">
        <f>IF(A29&lt;=SUM(Stand!$H$3:$H$29),VLOOKUP(A29,Stand!$A$3:$C$29,3,TRUE),"")</f>
        <v/>
      </c>
      <c r="C29" s="172" t="str">
        <f t="shared" si="0"/>
        <v/>
      </c>
      <c r="D29" s="173" t="str">
        <f>IF(B29="","",VLOOKUP(B29&amp;C29,Plot!$B$2:$D$199,3,FALSE))</f>
        <v/>
      </c>
      <c r="E29" s="130"/>
      <c r="F29" s="152" t="str">
        <f>IF(B29="","",SUMIFS(Tree!$O:$O,Tree!$A:$A,'Pre-Harvest Plots_rpt'!$B29,Tree!$B:$B,'Pre-Harvest Plots_rpt'!$D29,Tree!$F:$F,"L",Tree!$K:$K,"&lt;&gt;"&amp;"Y"))</f>
        <v/>
      </c>
      <c r="G29" s="153" t="str">
        <f>IFERROR(IF(D29="","",SUMIFS(Tree!$P:$P,Tree!$A:$A,'Pre-Harvest Plots_rpt'!$B29,Tree!$B:$B,'Pre-Harvest Plots_rpt'!$D29,Tree!$K:$K,"&lt;&gt;"&amp;"Y")/$F29),"")</f>
        <v/>
      </c>
      <c r="H29" s="122" t="str">
        <f t="shared" si="1"/>
        <v/>
      </c>
      <c r="I29" s="121" t="str">
        <f>IF(OR($F29=0,$F29=""),"",SUMIFS(Tree!$R:$R,Tree!$A:$A,'Pre-Harvest Plots_rpt'!$B29,Tree!$B:$B,'Pre-Harvest Plots_rpt'!$D29,Tree!$F:$F,"L",Tree!$K:$K,"&lt;&gt;"&amp;"Y"))</f>
        <v/>
      </c>
      <c r="J29" s="121" t="str">
        <f>IF(OR($F29=0,$F29=""),"",IF(SUMIFS(Tree!$W:$W,Tree!$A:$A,'Pre-Harvest Plots_rpt'!$B29,Tree!$B:$B,'Pre-Harvest Plots_rpt'!$D29,Tree!$F:$F,"L",Tree!$K:$K,"&lt;&gt;"&amp;"Y")=0,0,AVERAGEIFS(Tree!$W:$W,Tree!$A:$A,'Pre-Harvest Plots_rpt'!$B29,Tree!$B:$B,'Pre-Harvest Plots_rpt'!$D29,Tree!$F:$F,"L",Tree!$K:$K,"&lt;&gt;"&amp;"Y")))</f>
        <v/>
      </c>
      <c r="K29" s="121" t="str">
        <f>IF($F29="","",SUMIFS(Tree!$S:$S,Tree!$A:$A,'Pre-Harvest Plots_rpt'!$B29,Tree!$B:$B,'Pre-Harvest Plots_rpt'!$D29,Tree!$F:$F,"L",Tree!$K:$K,"&lt;&gt;"&amp;"Y"))</f>
        <v/>
      </c>
      <c r="L29" s="154" t="str">
        <f t="shared" si="2"/>
        <v/>
      </c>
      <c r="M29" s="135"/>
      <c r="N29" s="192" t="str">
        <f>IF(B29="","",SUMIFS(Tree!$AM:$AM,Tree!$A:$A,'Pre-Harvest Plots_rpt'!$B29,Tree!$B:$B,'Pre-Harvest Plots_rpt'!$D29,Tree!$F:$F,"L",Tree!$K:$K,"&lt;&gt;"&amp;"Y"))</f>
        <v/>
      </c>
      <c r="O29" s="122" t="str">
        <f>IF(B29="","",SUMIFS(Tree!$AN:$AN,Tree!$A:$A,'Pre-Harvest Plots_rpt'!$B29,Tree!$B:$B,'Pre-Harvest Plots_rpt'!$D29,Tree!$F:$F,"L",Tree!$K:$K,"&lt;&gt;"&amp;"Y"))</f>
        <v/>
      </c>
      <c r="P29" s="122" t="str">
        <f>IF(B29="","",SUMIFS(Tree!$AO:$AO,Tree!$A:$A,'Pre-Harvest Plots_rpt'!$B29,Tree!$B:$B,'Pre-Harvest Plots_rpt'!$D29,Tree!$F:$F,"L",Tree!$K:$K,"&lt;&gt;"&amp;"Y"))</f>
        <v/>
      </c>
      <c r="Q29" s="122" t="str">
        <f>IF(B29="","",SUMIFS(Tree!$AP:$AP,Tree!$A:$A,'Pre-Harvest Plots_rpt'!$B29,Tree!$B:$B,'Pre-Harvest Plots_rpt'!$D29,Tree!$F:$F,"L",Tree!$K:$K,"&lt;&gt;"&amp;"Y"))</f>
        <v/>
      </c>
      <c r="R29" s="123" t="str">
        <f>IF(B29="","",SUMIFS(Tree!$AQ:$AQ,Tree!$A:$A,'Pre-Harvest Plots_rpt'!$B29,Tree!$B:$B,'Pre-Harvest Plots_rpt'!$D29,Tree!$F:$F,"L",Tree!$K:$K,"&lt;&gt;"&amp;"Y"))</f>
        <v/>
      </c>
      <c r="S29" s="122" t="str">
        <f>IF(B29="","",SUMIFS(Tree!$AJ:$AJ,Tree!$A:$A,'Pre-Harvest Plots_rpt'!$B29,Tree!$B:$B,'Pre-Harvest Plots_rpt'!$D29,Tree!$F:$F,"L",Tree!$K:$K,"&lt;&gt;"&amp;"Y")-O29)</f>
        <v/>
      </c>
      <c r="T29" s="122" t="str">
        <f>IF(B29="","",SUMIFS(Tree!$AK:$AK,Tree!$A:$A,'Pre-Harvest Plots_rpt'!$B29,Tree!$B:$B,'Pre-Harvest Plots_rpt'!$D29,Tree!$F:$F,"L",Tree!$K:$K,"&lt;&gt;"&amp;"Y")-P29)</f>
        <v/>
      </c>
      <c r="U29" s="122" t="str">
        <f>IF(B29="","",SUMIFS(Tree!$AL:$AL,Tree!$A:$A,'Pre-Harvest Plots_rpt'!$B29,Tree!$B:$B,'Pre-Harvest Plots_rpt'!$D29,Tree!$F:$F,"L",Tree!$K:$K,"&lt;&gt;"&amp;"Y")-Q29)</f>
        <v/>
      </c>
      <c r="V29" s="123" t="str">
        <f>IF(B29="","",ROUND(SUMIFS(Tree!$AE:$AE,Tree!$A:$A,'Pre-Harvest Plots_rpt'!$B29,Tree!$B:$B,'Pre-Harvest Plots_rpt'!$D29,Tree!$F:$F,"L",Tree!$K:$K,"&lt;&gt;"&amp;"Y")-R29,1))</f>
        <v/>
      </c>
      <c r="W29" s="124" t="str">
        <f>IF(B29="","",SUMIFS(Tree!$AY:$AY,Tree!$A:$A,'Pre-Harvest Plots_rpt'!$B29,Tree!$B:$B,'Pre-Harvest Plots_rpt'!$D29,Tree!$F:$F,"L",Tree!$K:$K,"&lt;&gt;"&amp;"Y")/1000)</f>
        <v/>
      </c>
      <c r="X29" s="158" t="str">
        <f>IF(B29="","",ROUND((SUMIFS(Tree!$AW:$AW,Tree!$A:$A,'Pre-Harvest Plots_rpt'!$B29,Tree!$B:$B,'Pre-Harvest Plots_rpt'!$D29,Tree!$F:$F,"L",Tree!$K:$K,"&lt;&gt;"&amp;"Y")/1000)-W29,1))</f>
        <v/>
      </c>
      <c r="Y29" s="135"/>
      <c r="Z29" s="161" t="str">
        <f>IF(IF(B29="","",SUMIFS(Tree!$O:$O,Tree!$A:$A,'Pre-Harvest Plots_rpt'!$B29,Tree!$B:$B,'Pre-Harvest Plots_rpt'!$D29,Tree!$F:$F,"D",Tree!$K:$K,"&lt;&gt;"&amp;"Y"))=0,"",IF(B29="","",SUMIFS(Tree!$O:$O,Tree!$A:$A,'Pre-Harvest Plots_rpt'!$B29,Tree!$B:$B,'Pre-Harvest Plots_rpt'!$D29,Tree!$F:$F,"D",Tree!$K:$K,"&lt;&gt;"&amp;"Y")))</f>
        <v/>
      </c>
      <c r="AA29" s="125" t="str">
        <f t="shared" si="3"/>
        <v/>
      </c>
      <c r="AB29" s="125" t="str">
        <f>IF(Z29="","",SUMIFS(Tree!$R:$R,Tree!$A:$A,'Pre-Harvest Plots_rpt'!$B29,Tree!$B:$B,'Pre-Harvest Plots_rpt'!$D29,Tree!$F:$F,"D",Tree!$K:$K,"&lt;&gt;"&amp;"Y"))</f>
        <v/>
      </c>
      <c r="AC29" s="126" t="str">
        <f>IF(Z29="","",SUMIFS(Tree!$AM:$AM,Tree!$A:$A,'Pre-Harvest Plots_rpt'!$B29,Tree!$B:$B,'Pre-Harvest Plots_rpt'!$D29,Tree!$F:$F,"D",Tree!$K:$K,"&lt;&gt;"&amp;"Y"))</f>
        <v/>
      </c>
      <c r="AD29" s="162" t="str">
        <f>IF(Z29="","",SUMIFS(Tree!$AW:$AW,Tree!$A:$A,'Pre-Harvest Plots_rpt'!$B29,Tree!$B:$B,'Pre-Harvest Plots_rpt'!$D29,Tree!$F:$F,"D",Tree!$K:$K,"&lt;&gt;"&amp;"Y")/1000)</f>
        <v/>
      </c>
      <c r="AE29" s="47"/>
      <c r="AF29" s="18"/>
      <c r="AG29" s="18"/>
      <c r="AH29" s="18"/>
    </row>
    <row r="30" spans="1:34" ht="14.25" customHeight="1" x14ac:dyDescent="0.25">
      <c r="A30" s="48">
        <v>27</v>
      </c>
      <c r="B30" s="171" t="str">
        <f>IF(A30&lt;=SUM(Stand!$H$3:$H$29),VLOOKUP(A30,Stand!$A$3:$C$29,3,TRUE),"")</f>
        <v/>
      </c>
      <c r="C30" s="172" t="str">
        <f t="shared" si="0"/>
        <v/>
      </c>
      <c r="D30" s="173" t="str">
        <f>IF(B30="","",VLOOKUP(B30&amp;C30,Plot!$B$2:$D$199,3,FALSE))</f>
        <v/>
      </c>
      <c r="E30" s="130"/>
      <c r="F30" s="152" t="str">
        <f>IF(B30="","",SUMIFS(Tree!$O:$O,Tree!$A:$A,'Pre-Harvest Plots_rpt'!$B30,Tree!$B:$B,'Pre-Harvest Plots_rpt'!$D30,Tree!$F:$F,"L",Tree!$K:$K,"&lt;&gt;"&amp;"Y"))</f>
        <v/>
      </c>
      <c r="G30" s="153" t="str">
        <f>IFERROR(IF(D30="","",SUMIFS(Tree!$P:$P,Tree!$A:$A,'Pre-Harvest Plots_rpt'!$B30,Tree!$B:$B,'Pre-Harvest Plots_rpt'!$D30,Tree!$K:$K,"&lt;&gt;"&amp;"Y")/$F30),"")</f>
        <v/>
      </c>
      <c r="H30" s="122" t="str">
        <f t="shared" si="1"/>
        <v/>
      </c>
      <c r="I30" s="121" t="str">
        <f>IF(OR($F30=0,$F30=""),"",SUMIFS(Tree!$R:$R,Tree!$A:$A,'Pre-Harvest Plots_rpt'!$B30,Tree!$B:$B,'Pre-Harvest Plots_rpt'!$D30,Tree!$F:$F,"L",Tree!$K:$K,"&lt;&gt;"&amp;"Y"))</f>
        <v/>
      </c>
      <c r="J30" s="121" t="str">
        <f>IF(OR($F30=0,$F30=""),"",IF(SUMIFS(Tree!$W:$W,Tree!$A:$A,'Pre-Harvest Plots_rpt'!$B30,Tree!$B:$B,'Pre-Harvest Plots_rpt'!$D30,Tree!$F:$F,"L",Tree!$K:$K,"&lt;&gt;"&amp;"Y")=0,0,AVERAGEIFS(Tree!$W:$W,Tree!$A:$A,'Pre-Harvest Plots_rpt'!$B30,Tree!$B:$B,'Pre-Harvest Plots_rpt'!$D30,Tree!$F:$F,"L",Tree!$K:$K,"&lt;&gt;"&amp;"Y")))</f>
        <v/>
      </c>
      <c r="K30" s="121" t="str">
        <f>IF($F30="","",SUMIFS(Tree!$S:$S,Tree!$A:$A,'Pre-Harvest Plots_rpt'!$B30,Tree!$B:$B,'Pre-Harvest Plots_rpt'!$D30,Tree!$F:$F,"L",Tree!$K:$K,"&lt;&gt;"&amp;"Y"))</f>
        <v/>
      </c>
      <c r="L30" s="154" t="str">
        <f t="shared" si="2"/>
        <v/>
      </c>
      <c r="M30" s="135"/>
      <c r="N30" s="192" t="str">
        <f>IF(B30="","",SUMIFS(Tree!$AM:$AM,Tree!$A:$A,'Pre-Harvest Plots_rpt'!$B30,Tree!$B:$B,'Pre-Harvest Plots_rpt'!$D30,Tree!$F:$F,"L",Tree!$K:$K,"&lt;&gt;"&amp;"Y"))</f>
        <v/>
      </c>
      <c r="O30" s="122" t="str">
        <f>IF(B30="","",SUMIFS(Tree!$AN:$AN,Tree!$A:$A,'Pre-Harvest Plots_rpt'!$B30,Tree!$B:$B,'Pre-Harvest Plots_rpt'!$D30,Tree!$F:$F,"L",Tree!$K:$K,"&lt;&gt;"&amp;"Y"))</f>
        <v/>
      </c>
      <c r="P30" s="122" t="str">
        <f>IF(B30="","",SUMIFS(Tree!$AO:$AO,Tree!$A:$A,'Pre-Harvest Plots_rpt'!$B30,Tree!$B:$B,'Pre-Harvest Plots_rpt'!$D30,Tree!$F:$F,"L",Tree!$K:$K,"&lt;&gt;"&amp;"Y"))</f>
        <v/>
      </c>
      <c r="Q30" s="122" t="str">
        <f>IF(B30="","",SUMIFS(Tree!$AP:$AP,Tree!$A:$A,'Pre-Harvest Plots_rpt'!$B30,Tree!$B:$B,'Pre-Harvest Plots_rpt'!$D30,Tree!$F:$F,"L",Tree!$K:$K,"&lt;&gt;"&amp;"Y"))</f>
        <v/>
      </c>
      <c r="R30" s="123" t="str">
        <f>IF(B30="","",SUMIFS(Tree!$AQ:$AQ,Tree!$A:$A,'Pre-Harvest Plots_rpt'!$B30,Tree!$B:$B,'Pre-Harvest Plots_rpt'!$D30,Tree!$F:$F,"L",Tree!$K:$K,"&lt;&gt;"&amp;"Y"))</f>
        <v/>
      </c>
      <c r="S30" s="122" t="str">
        <f>IF(B30="","",SUMIFS(Tree!$AJ:$AJ,Tree!$A:$A,'Pre-Harvest Plots_rpt'!$B30,Tree!$B:$B,'Pre-Harvest Plots_rpt'!$D30,Tree!$F:$F,"L",Tree!$K:$K,"&lt;&gt;"&amp;"Y")-O30)</f>
        <v/>
      </c>
      <c r="T30" s="122" t="str">
        <f>IF(B30="","",SUMIFS(Tree!$AK:$AK,Tree!$A:$A,'Pre-Harvest Plots_rpt'!$B30,Tree!$B:$B,'Pre-Harvest Plots_rpt'!$D30,Tree!$F:$F,"L",Tree!$K:$K,"&lt;&gt;"&amp;"Y")-P30)</f>
        <v/>
      </c>
      <c r="U30" s="122" t="str">
        <f>IF(B30="","",SUMIFS(Tree!$AL:$AL,Tree!$A:$A,'Pre-Harvest Plots_rpt'!$B30,Tree!$B:$B,'Pre-Harvest Plots_rpt'!$D30,Tree!$F:$F,"L",Tree!$K:$K,"&lt;&gt;"&amp;"Y")-Q30)</f>
        <v/>
      </c>
      <c r="V30" s="123" t="str">
        <f>IF(B30="","",ROUND(SUMIFS(Tree!$AE:$AE,Tree!$A:$A,'Pre-Harvest Plots_rpt'!$B30,Tree!$B:$B,'Pre-Harvest Plots_rpt'!$D30,Tree!$F:$F,"L",Tree!$K:$K,"&lt;&gt;"&amp;"Y")-R30,1))</f>
        <v/>
      </c>
      <c r="W30" s="124" t="str">
        <f>IF(B30="","",SUMIFS(Tree!$AY:$AY,Tree!$A:$A,'Pre-Harvest Plots_rpt'!$B30,Tree!$B:$B,'Pre-Harvest Plots_rpt'!$D30,Tree!$F:$F,"L",Tree!$K:$K,"&lt;&gt;"&amp;"Y")/1000)</f>
        <v/>
      </c>
      <c r="X30" s="158" t="str">
        <f>IF(B30="","",ROUND((SUMIFS(Tree!$AW:$AW,Tree!$A:$A,'Pre-Harvest Plots_rpt'!$B30,Tree!$B:$B,'Pre-Harvest Plots_rpt'!$D30,Tree!$F:$F,"L",Tree!$K:$K,"&lt;&gt;"&amp;"Y")/1000)-W30,1))</f>
        <v/>
      </c>
      <c r="Y30" s="135"/>
      <c r="Z30" s="161" t="str">
        <f>IF(IF(B30="","",SUMIFS(Tree!$O:$O,Tree!$A:$A,'Pre-Harvest Plots_rpt'!$B30,Tree!$B:$B,'Pre-Harvest Plots_rpt'!$D30,Tree!$F:$F,"D",Tree!$K:$K,"&lt;&gt;"&amp;"Y"))=0,"",IF(B30="","",SUMIFS(Tree!$O:$O,Tree!$A:$A,'Pre-Harvest Plots_rpt'!$B30,Tree!$B:$B,'Pre-Harvest Plots_rpt'!$D30,Tree!$F:$F,"D",Tree!$K:$K,"&lt;&gt;"&amp;"Y")))</f>
        <v/>
      </c>
      <c r="AA30" s="125" t="str">
        <f t="shared" si="3"/>
        <v/>
      </c>
      <c r="AB30" s="125" t="str">
        <f>IF(Z30="","",SUMIFS(Tree!$R:$R,Tree!$A:$A,'Pre-Harvest Plots_rpt'!$B30,Tree!$B:$B,'Pre-Harvest Plots_rpt'!$D30,Tree!$F:$F,"D",Tree!$K:$K,"&lt;&gt;"&amp;"Y"))</f>
        <v/>
      </c>
      <c r="AC30" s="126" t="str">
        <f>IF(Z30="","",SUMIFS(Tree!$AM:$AM,Tree!$A:$A,'Pre-Harvest Plots_rpt'!$B30,Tree!$B:$B,'Pre-Harvest Plots_rpt'!$D30,Tree!$F:$F,"D",Tree!$K:$K,"&lt;&gt;"&amp;"Y"))</f>
        <v/>
      </c>
      <c r="AD30" s="162" t="str">
        <f>IF(Z30="","",SUMIFS(Tree!$AW:$AW,Tree!$A:$A,'Pre-Harvest Plots_rpt'!$B30,Tree!$B:$B,'Pre-Harvest Plots_rpt'!$D30,Tree!$F:$F,"D",Tree!$K:$K,"&lt;&gt;"&amp;"Y")/1000)</f>
        <v/>
      </c>
      <c r="AE30" s="47"/>
      <c r="AF30" s="18"/>
      <c r="AG30" s="18"/>
      <c r="AH30" s="18"/>
    </row>
    <row r="31" spans="1:34" ht="15" customHeight="1" x14ac:dyDescent="0.25">
      <c r="A31" s="48">
        <v>28</v>
      </c>
      <c r="B31" s="171" t="str">
        <f>IF(A31&lt;=SUM(Stand!$H$3:$H$29),VLOOKUP(A31,Stand!$A$3:$C$29,3,TRUE),"")</f>
        <v/>
      </c>
      <c r="C31" s="172" t="str">
        <f t="shared" si="0"/>
        <v/>
      </c>
      <c r="D31" s="173" t="str">
        <f>IF(B31="","",VLOOKUP(B31&amp;C31,Plot!$B$2:$D$199,3,FALSE))</f>
        <v/>
      </c>
      <c r="E31" s="130"/>
      <c r="F31" s="152" t="str">
        <f>IF(B31="","",SUMIFS(Tree!$O:$O,Tree!$A:$A,'Pre-Harvest Plots_rpt'!$B31,Tree!$B:$B,'Pre-Harvest Plots_rpt'!$D31,Tree!$F:$F,"L",Tree!$K:$K,"&lt;&gt;"&amp;"Y"))</f>
        <v/>
      </c>
      <c r="G31" s="153" t="str">
        <f>IFERROR(IF(D31="","",SUMIFS(Tree!$P:$P,Tree!$A:$A,'Pre-Harvest Plots_rpt'!$B31,Tree!$B:$B,'Pre-Harvest Plots_rpt'!$D31,Tree!$K:$K,"&lt;&gt;"&amp;"Y")/$F31),"")</f>
        <v/>
      </c>
      <c r="H31" s="122" t="str">
        <f t="shared" si="1"/>
        <v/>
      </c>
      <c r="I31" s="121" t="str">
        <f>IF(OR($F31=0,$F31=""),"",SUMIFS(Tree!$R:$R,Tree!$A:$A,'Pre-Harvest Plots_rpt'!$B31,Tree!$B:$B,'Pre-Harvest Plots_rpt'!$D31,Tree!$F:$F,"L",Tree!$K:$K,"&lt;&gt;"&amp;"Y"))</f>
        <v/>
      </c>
      <c r="J31" s="121" t="str">
        <f>IF(OR($F31=0,$F31=""),"",IF(SUMIFS(Tree!$W:$W,Tree!$A:$A,'Pre-Harvest Plots_rpt'!$B31,Tree!$B:$B,'Pre-Harvest Plots_rpt'!$D31,Tree!$F:$F,"L",Tree!$K:$K,"&lt;&gt;"&amp;"Y")=0,0,AVERAGEIFS(Tree!$W:$W,Tree!$A:$A,'Pre-Harvest Plots_rpt'!$B31,Tree!$B:$B,'Pre-Harvest Plots_rpt'!$D31,Tree!$F:$F,"L",Tree!$K:$K,"&lt;&gt;"&amp;"Y")))</f>
        <v/>
      </c>
      <c r="K31" s="121" t="str">
        <f>IF($F31="","",SUMIFS(Tree!$S:$S,Tree!$A:$A,'Pre-Harvest Plots_rpt'!$B31,Tree!$B:$B,'Pre-Harvest Plots_rpt'!$D31,Tree!$F:$F,"L",Tree!$K:$K,"&lt;&gt;"&amp;"Y"))</f>
        <v/>
      </c>
      <c r="L31" s="154" t="str">
        <f t="shared" si="2"/>
        <v/>
      </c>
      <c r="M31" s="135"/>
      <c r="N31" s="192" t="str">
        <f>IF(B31="","",SUMIFS(Tree!$AM:$AM,Tree!$A:$A,'Pre-Harvest Plots_rpt'!$B31,Tree!$B:$B,'Pre-Harvest Plots_rpt'!$D31,Tree!$F:$F,"L",Tree!$K:$K,"&lt;&gt;"&amp;"Y"))</f>
        <v/>
      </c>
      <c r="O31" s="122" t="str">
        <f>IF(B31="","",SUMIFS(Tree!$AN:$AN,Tree!$A:$A,'Pre-Harvest Plots_rpt'!$B31,Tree!$B:$B,'Pre-Harvest Plots_rpt'!$D31,Tree!$F:$F,"L",Tree!$K:$K,"&lt;&gt;"&amp;"Y"))</f>
        <v/>
      </c>
      <c r="P31" s="122" t="str">
        <f>IF(B31="","",SUMIFS(Tree!$AO:$AO,Tree!$A:$A,'Pre-Harvest Plots_rpt'!$B31,Tree!$B:$B,'Pre-Harvest Plots_rpt'!$D31,Tree!$F:$F,"L",Tree!$K:$K,"&lt;&gt;"&amp;"Y"))</f>
        <v/>
      </c>
      <c r="Q31" s="122" t="str">
        <f>IF(B31="","",SUMIFS(Tree!$AP:$AP,Tree!$A:$A,'Pre-Harvest Plots_rpt'!$B31,Tree!$B:$B,'Pre-Harvest Plots_rpt'!$D31,Tree!$F:$F,"L",Tree!$K:$K,"&lt;&gt;"&amp;"Y"))</f>
        <v/>
      </c>
      <c r="R31" s="123" t="str">
        <f>IF(B31="","",SUMIFS(Tree!$AQ:$AQ,Tree!$A:$A,'Pre-Harvest Plots_rpt'!$B31,Tree!$B:$B,'Pre-Harvest Plots_rpt'!$D31,Tree!$F:$F,"L",Tree!$K:$K,"&lt;&gt;"&amp;"Y"))</f>
        <v/>
      </c>
      <c r="S31" s="122" t="str">
        <f>IF(B31="","",SUMIFS(Tree!$AJ:$AJ,Tree!$A:$A,'Pre-Harvest Plots_rpt'!$B31,Tree!$B:$B,'Pre-Harvest Plots_rpt'!$D31,Tree!$F:$F,"L",Tree!$K:$K,"&lt;&gt;"&amp;"Y")-O31)</f>
        <v/>
      </c>
      <c r="T31" s="122" t="str">
        <f>IF(B31="","",SUMIFS(Tree!$AK:$AK,Tree!$A:$A,'Pre-Harvest Plots_rpt'!$B31,Tree!$B:$B,'Pre-Harvest Plots_rpt'!$D31,Tree!$F:$F,"L",Tree!$K:$K,"&lt;&gt;"&amp;"Y")-P31)</f>
        <v/>
      </c>
      <c r="U31" s="122" t="str">
        <f>IF(B31="","",SUMIFS(Tree!$AL:$AL,Tree!$A:$A,'Pre-Harvest Plots_rpt'!$B31,Tree!$B:$B,'Pre-Harvest Plots_rpt'!$D31,Tree!$F:$F,"L",Tree!$K:$K,"&lt;&gt;"&amp;"Y")-Q31)</f>
        <v/>
      </c>
      <c r="V31" s="123" t="str">
        <f>IF(B31="","",ROUND(SUMIFS(Tree!$AE:$AE,Tree!$A:$A,'Pre-Harvest Plots_rpt'!$B31,Tree!$B:$B,'Pre-Harvest Plots_rpt'!$D31,Tree!$F:$F,"L",Tree!$K:$K,"&lt;&gt;"&amp;"Y")-R31,1))</f>
        <v/>
      </c>
      <c r="W31" s="124" t="str">
        <f>IF(B31="","",SUMIFS(Tree!$AY:$AY,Tree!$A:$A,'Pre-Harvest Plots_rpt'!$B31,Tree!$B:$B,'Pre-Harvest Plots_rpt'!$D31,Tree!$F:$F,"L",Tree!$K:$K,"&lt;&gt;"&amp;"Y")/1000)</f>
        <v/>
      </c>
      <c r="X31" s="158" t="str">
        <f>IF(B31="","",ROUND((SUMIFS(Tree!$AW:$AW,Tree!$A:$A,'Pre-Harvest Plots_rpt'!$B31,Tree!$B:$B,'Pre-Harvest Plots_rpt'!$D31,Tree!$F:$F,"L",Tree!$K:$K,"&lt;&gt;"&amp;"Y")/1000)-W31,1))</f>
        <v/>
      </c>
      <c r="Y31" s="135"/>
      <c r="Z31" s="161" t="str">
        <f>IF(IF(B31="","",SUMIFS(Tree!$O:$O,Tree!$A:$A,'Pre-Harvest Plots_rpt'!$B31,Tree!$B:$B,'Pre-Harvest Plots_rpt'!$D31,Tree!$F:$F,"D",Tree!$K:$K,"&lt;&gt;"&amp;"Y"))=0,"",IF(B31="","",SUMIFS(Tree!$O:$O,Tree!$A:$A,'Pre-Harvest Plots_rpt'!$B31,Tree!$B:$B,'Pre-Harvest Plots_rpt'!$D31,Tree!$F:$F,"D",Tree!$K:$K,"&lt;&gt;"&amp;"Y")))</f>
        <v/>
      </c>
      <c r="AA31" s="125" t="str">
        <f t="shared" si="3"/>
        <v/>
      </c>
      <c r="AB31" s="125" t="str">
        <f>IF(Z31="","",SUMIFS(Tree!$R:$R,Tree!$A:$A,'Pre-Harvest Plots_rpt'!$B31,Tree!$B:$B,'Pre-Harvest Plots_rpt'!$D31,Tree!$F:$F,"D",Tree!$K:$K,"&lt;&gt;"&amp;"Y"))</f>
        <v/>
      </c>
      <c r="AC31" s="126" t="str">
        <f>IF(Z31="","",SUMIFS(Tree!$AM:$AM,Tree!$A:$A,'Pre-Harvest Plots_rpt'!$B31,Tree!$B:$B,'Pre-Harvest Plots_rpt'!$D31,Tree!$F:$F,"D",Tree!$K:$K,"&lt;&gt;"&amp;"Y"))</f>
        <v/>
      </c>
      <c r="AD31" s="162" t="str">
        <f>IF(Z31="","",SUMIFS(Tree!$AW:$AW,Tree!$A:$A,'Pre-Harvest Plots_rpt'!$B31,Tree!$B:$B,'Pre-Harvest Plots_rpt'!$D31,Tree!$F:$F,"D",Tree!$K:$K,"&lt;&gt;"&amp;"Y")/1000)</f>
        <v/>
      </c>
      <c r="AE31" s="47"/>
      <c r="AF31" s="18"/>
      <c r="AG31" s="18"/>
      <c r="AH31" s="18"/>
    </row>
    <row r="32" spans="1:34" ht="16.350000000000001" customHeight="1" x14ac:dyDescent="0.25">
      <c r="A32" s="48">
        <v>29</v>
      </c>
      <c r="B32" s="171" t="str">
        <f>IF(A32&lt;=SUM(Stand!$H$3:$H$29),VLOOKUP(A32,Stand!$A$3:$C$29,3,TRUE),"")</f>
        <v/>
      </c>
      <c r="C32" s="172" t="str">
        <f t="shared" si="0"/>
        <v/>
      </c>
      <c r="D32" s="173" t="str">
        <f>IF(B32="","",VLOOKUP(B32&amp;C32,Plot!$B$2:$D$199,3,FALSE))</f>
        <v/>
      </c>
      <c r="E32" s="130"/>
      <c r="F32" s="152" t="str">
        <f>IF(B32="","",SUMIFS(Tree!$O:$O,Tree!$A:$A,'Pre-Harvest Plots_rpt'!$B32,Tree!$B:$B,'Pre-Harvest Plots_rpt'!$D32,Tree!$F:$F,"L",Tree!$K:$K,"&lt;&gt;"&amp;"Y"))</f>
        <v/>
      </c>
      <c r="G32" s="153" t="str">
        <f>IFERROR(IF(D32="","",SUMIFS(Tree!$P:$P,Tree!$A:$A,'Pre-Harvest Plots_rpt'!$B32,Tree!$B:$B,'Pre-Harvest Plots_rpt'!$D32,Tree!$K:$K,"&lt;&gt;"&amp;"Y")/$F32),"")</f>
        <v/>
      </c>
      <c r="H32" s="122" t="str">
        <f t="shared" si="1"/>
        <v/>
      </c>
      <c r="I32" s="121" t="str">
        <f>IF(OR($F32=0,$F32=""),"",SUMIFS(Tree!$R:$R,Tree!$A:$A,'Pre-Harvest Plots_rpt'!$B32,Tree!$B:$B,'Pre-Harvest Plots_rpt'!$D32,Tree!$F:$F,"L",Tree!$K:$K,"&lt;&gt;"&amp;"Y"))</f>
        <v/>
      </c>
      <c r="J32" s="121" t="str">
        <f>IF(OR($F32=0,$F32=""),"",IF(SUMIFS(Tree!$W:$W,Tree!$A:$A,'Pre-Harvest Plots_rpt'!$B32,Tree!$B:$B,'Pre-Harvest Plots_rpt'!$D32,Tree!$F:$F,"L",Tree!$K:$K,"&lt;&gt;"&amp;"Y")=0,0,AVERAGEIFS(Tree!$W:$W,Tree!$A:$A,'Pre-Harvest Plots_rpt'!$B32,Tree!$B:$B,'Pre-Harvest Plots_rpt'!$D32,Tree!$F:$F,"L",Tree!$K:$K,"&lt;&gt;"&amp;"Y")))</f>
        <v/>
      </c>
      <c r="K32" s="121" t="str">
        <f>IF($F32="","",SUMIFS(Tree!$S:$S,Tree!$A:$A,'Pre-Harvest Plots_rpt'!$B32,Tree!$B:$B,'Pre-Harvest Plots_rpt'!$D32,Tree!$F:$F,"L",Tree!$K:$K,"&lt;&gt;"&amp;"Y"))</f>
        <v/>
      </c>
      <c r="L32" s="154" t="str">
        <f t="shared" si="2"/>
        <v/>
      </c>
      <c r="M32" s="135"/>
      <c r="N32" s="192" t="str">
        <f>IF(B32="","",SUMIFS(Tree!$AM:$AM,Tree!$A:$A,'Pre-Harvest Plots_rpt'!$B32,Tree!$B:$B,'Pre-Harvest Plots_rpt'!$D32,Tree!$F:$F,"L",Tree!$K:$K,"&lt;&gt;"&amp;"Y"))</f>
        <v/>
      </c>
      <c r="O32" s="122" t="str">
        <f>IF(B32="","",SUMIFS(Tree!$AN:$AN,Tree!$A:$A,'Pre-Harvest Plots_rpt'!$B32,Tree!$B:$B,'Pre-Harvest Plots_rpt'!$D32,Tree!$F:$F,"L",Tree!$K:$K,"&lt;&gt;"&amp;"Y"))</f>
        <v/>
      </c>
      <c r="P32" s="122" t="str">
        <f>IF(B32="","",SUMIFS(Tree!$AO:$AO,Tree!$A:$A,'Pre-Harvest Plots_rpt'!$B32,Tree!$B:$B,'Pre-Harvest Plots_rpt'!$D32,Tree!$F:$F,"L",Tree!$K:$K,"&lt;&gt;"&amp;"Y"))</f>
        <v/>
      </c>
      <c r="Q32" s="122" t="str">
        <f>IF(B32="","",SUMIFS(Tree!$AP:$AP,Tree!$A:$A,'Pre-Harvest Plots_rpt'!$B32,Tree!$B:$B,'Pre-Harvest Plots_rpt'!$D32,Tree!$F:$F,"L",Tree!$K:$K,"&lt;&gt;"&amp;"Y"))</f>
        <v/>
      </c>
      <c r="R32" s="123" t="str">
        <f>IF(B32="","",SUMIFS(Tree!$AQ:$AQ,Tree!$A:$A,'Pre-Harvest Plots_rpt'!$B32,Tree!$B:$B,'Pre-Harvest Plots_rpt'!$D32,Tree!$F:$F,"L",Tree!$K:$K,"&lt;&gt;"&amp;"Y"))</f>
        <v/>
      </c>
      <c r="S32" s="122" t="str">
        <f>IF(B32="","",SUMIFS(Tree!$AJ:$AJ,Tree!$A:$A,'Pre-Harvest Plots_rpt'!$B32,Tree!$B:$B,'Pre-Harvest Plots_rpt'!$D32,Tree!$F:$F,"L",Tree!$K:$K,"&lt;&gt;"&amp;"Y")-O32)</f>
        <v/>
      </c>
      <c r="T32" s="122" t="str">
        <f>IF(B32="","",SUMIFS(Tree!$AK:$AK,Tree!$A:$A,'Pre-Harvest Plots_rpt'!$B32,Tree!$B:$B,'Pre-Harvest Plots_rpt'!$D32,Tree!$F:$F,"L",Tree!$K:$K,"&lt;&gt;"&amp;"Y")-P32)</f>
        <v/>
      </c>
      <c r="U32" s="122" t="str">
        <f>IF(B32="","",SUMIFS(Tree!$AL:$AL,Tree!$A:$A,'Pre-Harvest Plots_rpt'!$B32,Tree!$B:$B,'Pre-Harvest Plots_rpt'!$D32,Tree!$F:$F,"L",Tree!$K:$K,"&lt;&gt;"&amp;"Y")-Q32)</f>
        <v/>
      </c>
      <c r="V32" s="123" t="str">
        <f>IF(B32="","",ROUND(SUMIFS(Tree!$AE:$AE,Tree!$A:$A,'Pre-Harvest Plots_rpt'!$B32,Tree!$B:$B,'Pre-Harvest Plots_rpt'!$D32,Tree!$F:$F,"L",Tree!$K:$K,"&lt;&gt;"&amp;"Y")-R32,1))</f>
        <v/>
      </c>
      <c r="W32" s="124" t="str">
        <f>IF(B32="","",SUMIFS(Tree!$AY:$AY,Tree!$A:$A,'Pre-Harvest Plots_rpt'!$B32,Tree!$B:$B,'Pre-Harvest Plots_rpt'!$D32,Tree!$F:$F,"L",Tree!$K:$K,"&lt;&gt;"&amp;"Y")/1000)</f>
        <v/>
      </c>
      <c r="X32" s="158" t="str">
        <f>IF(B32="","",ROUND((SUMIFS(Tree!$AW:$AW,Tree!$A:$A,'Pre-Harvest Plots_rpt'!$B32,Tree!$B:$B,'Pre-Harvest Plots_rpt'!$D32,Tree!$F:$F,"L",Tree!$K:$K,"&lt;&gt;"&amp;"Y")/1000)-W32,1))</f>
        <v/>
      </c>
      <c r="Y32" s="135"/>
      <c r="Z32" s="161" t="str">
        <f>IF(IF(B32="","",SUMIFS(Tree!$O:$O,Tree!$A:$A,'Pre-Harvest Plots_rpt'!$B32,Tree!$B:$B,'Pre-Harvest Plots_rpt'!$D32,Tree!$F:$F,"D",Tree!$K:$K,"&lt;&gt;"&amp;"Y"))=0,"",IF(B32="","",SUMIFS(Tree!$O:$O,Tree!$A:$A,'Pre-Harvest Plots_rpt'!$B32,Tree!$B:$B,'Pre-Harvest Plots_rpt'!$D32,Tree!$F:$F,"D",Tree!$K:$K,"&lt;&gt;"&amp;"Y")))</f>
        <v/>
      </c>
      <c r="AA32" s="125" t="str">
        <f t="shared" si="3"/>
        <v/>
      </c>
      <c r="AB32" s="125" t="str">
        <f>IF(Z32="","",SUMIFS(Tree!$R:$R,Tree!$A:$A,'Pre-Harvest Plots_rpt'!$B32,Tree!$B:$B,'Pre-Harvest Plots_rpt'!$D32,Tree!$F:$F,"D",Tree!$K:$K,"&lt;&gt;"&amp;"Y"))</f>
        <v/>
      </c>
      <c r="AC32" s="126" t="str">
        <f>IF(Z32="","",SUMIFS(Tree!$AM:$AM,Tree!$A:$A,'Pre-Harvest Plots_rpt'!$B32,Tree!$B:$B,'Pre-Harvest Plots_rpt'!$D32,Tree!$F:$F,"D",Tree!$K:$K,"&lt;&gt;"&amp;"Y"))</f>
        <v/>
      </c>
      <c r="AD32" s="162" t="str">
        <f>IF(Z32="","",SUMIFS(Tree!$AW:$AW,Tree!$A:$A,'Pre-Harvest Plots_rpt'!$B32,Tree!$B:$B,'Pre-Harvest Plots_rpt'!$D32,Tree!$F:$F,"D",Tree!$K:$K,"&lt;&gt;"&amp;"Y")/1000)</f>
        <v/>
      </c>
      <c r="AE32" s="47"/>
      <c r="AF32" s="18"/>
      <c r="AG32" s="18"/>
      <c r="AH32" s="18"/>
    </row>
    <row r="33" spans="1:34" ht="12.75" customHeight="1" x14ac:dyDescent="0.25">
      <c r="A33" s="48">
        <v>30</v>
      </c>
      <c r="B33" s="171" t="str">
        <f>IF(A33&lt;=SUM(Stand!$H$3:$H$29),VLOOKUP(A33,Stand!$A$3:$C$29,3,TRUE),"")</f>
        <v/>
      </c>
      <c r="C33" s="172" t="str">
        <f t="shared" si="0"/>
        <v/>
      </c>
      <c r="D33" s="173" t="str">
        <f>IF(B33="","",VLOOKUP(B33&amp;C33,Plot!$B$2:$D$199,3,FALSE))</f>
        <v/>
      </c>
      <c r="E33" s="130"/>
      <c r="F33" s="152" t="str">
        <f>IF(B33="","",SUMIFS(Tree!$O:$O,Tree!$A:$A,'Pre-Harvest Plots_rpt'!$B33,Tree!$B:$B,'Pre-Harvest Plots_rpt'!$D33,Tree!$F:$F,"L",Tree!$K:$K,"&lt;&gt;"&amp;"Y"))</f>
        <v/>
      </c>
      <c r="G33" s="153" t="str">
        <f>IFERROR(IF(D33="","",SUMIFS(Tree!$P:$P,Tree!$A:$A,'Pre-Harvest Plots_rpt'!$B33,Tree!$B:$B,'Pre-Harvest Plots_rpt'!$D33,Tree!$K:$K,"&lt;&gt;"&amp;"Y")/$F33),"")</f>
        <v/>
      </c>
      <c r="H33" s="122" t="str">
        <f t="shared" si="1"/>
        <v/>
      </c>
      <c r="I33" s="121" t="str">
        <f>IF(OR($F33=0,$F33=""),"",SUMIFS(Tree!$R:$R,Tree!$A:$A,'Pre-Harvest Plots_rpt'!$B33,Tree!$B:$B,'Pre-Harvest Plots_rpt'!$D33,Tree!$F:$F,"L",Tree!$K:$K,"&lt;&gt;"&amp;"Y"))</f>
        <v/>
      </c>
      <c r="J33" s="121" t="str">
        <f>IF(OR($F33=0,$F33=""),"",IF(SUMIFS(Tree!$W:$W,Tree!$A:$A,'Pre-Harvest Plots_rpt'!$B33,Tree!$B:$B,'Pre-Harvest Plots_rpt'!$D33,Tree!$F:$F,"L",Tree!$K:$K,"&lt;&gt;"&amp;"Y")=0,0,AVERAGEIFS(Tree!$W:$W,Tree!$A:$A,'Pre-Harvest Plots_rpt'!$B33,Tree!$B:$B,'Pre-Harvest Plots_rpt'!$D33,Tree!$F:$F,"L",Tree!$K:$K,"&lt;&gt;"&amp;"Y")))</f>
        <v/>
      </c>
      <c r="K33" s="121" t="str">
        <f>IF($F33="","",SUMIFS(Tree!$S:$S,Tree!$A:$A,'Pre-Harvest Plots_rpt'!$B33,Tree!$B:$B,'Pre-Harvest Plots_rpt'!$D33,Tree!$F:$F,"L",Tree!$K:$K,"&lt;&gt;"&amp;"Y"))</f>
        <v/>
      </c>
      <c r="L33" s="154" t="str">
        <f t="shared" si="2"/>
        <v/>
      </c>
      <c r="M33" s="135"/>
      <c r="N33" s="192" t="str">
        <f>IF(B33="","",SUMIFS(Tree!$AM:$AM,Tree!$A:$A,'Pre-Harvest Plots_rpt'!$B33,Tree!$B:$B,'Pre-Harvest Plots_rpt'!$D33,Tree!$F:$F,"L",Tree!$K:$K,"&lt;&gt;"&amp;"Y"))</f>
        <v/>
      </c>
      <c r="O33" s="122" t="str">
        <f>IF(B33="","",SUMIFS(Tree!$AN:$AN,Tree!$A:$A,'Pre-Harvest Plots_rpt'!$B33,Tree!$B:$B,'Pre-Harvest Plots_rpt'!$D33,Tree!$F:$F,"L",Tree!$K:$K,"&lt;&gt;"&amp;"Y"))</f>
        <v/>
      </c>
      <c r="P33" s="122" t="str">
        <f>IF(B33="","",SUMIFS(Tree!$AO:$AO,Tree!$A:$A,'Pre-Harvest Plots_rpt'!$B33,Tree!$B:$B,'Pre-Harvest Plots_rpt'!$D33,Tree!$F:$F,"L",Tree!$K:$K,"&lt;&gt;"&amp;"Y"))</f>
        <v/>
      </c>
      <c r="Q33" s="122" t="str">
        <f>IF(B33="","",SUMIFS(Tree!$AP:$AP,Tree!$A:$A,'Pre-Harvest Plots_rpt'!$B33,Tree!$B:$B,'Pre-Harvest Plots_rpt'!$D33,Tree!$F:$F,"L",Tree!$K:$K,"&lt;&gt;"&amp;"Y"))</f>
        <v/>
      </c>
      <c r="R33" s="123" t="str">
        <f>IF(B33="","",SUMIFS(Tree!$AQ:$AQ,Tree!$A:$A,'Pre-Harvest Plots_rpt'!$B33,Tree!$B:$B,'Pre-Harvest Plots_rpt'!$D33,Tree!$F:$F,"L",Tree!$K:$K,"&lt;&gt;"&amp;"Y"))</f>
        <v/>
      </c>
      <c r="S33" s="122" t="str">
        <f>IF(B33="","",SUMIFS(Tree!$AJ:$AJ,Tree!$A:$A,'Pre-Harvest Plots_rpt'!$B33,Tree!$B:$B,'Pre-Harvest Plots_rpt'!$D33,Tree!$F:$F,"L",Tree!$K:$K,"&lt;&gt;"&amp;"Y")-O33)</f>
        <v/>
      </c>
      <c r="T33" s="122" t="str">
        <f>IF(B33="","",SUMIFS(Tree!$AK:$AK,Tree!$A:$A,'Pre-Harvest Plots_rpt'!$B33,Tree!$B:$B,'Pre-Harvest Plots_rpt'!$D33,Tree!$F:$F,"L",Tree!$K:$K,"&lt;&gt;"&amp;"Y")-P33)</f>
        <v/>
      </c>
      <c r="U33" s="122" t="str">
        <f>IF(B33="","",SUMIFS(Tree!$AL:$AL,Tree!$A:$A,'Pre-Harvest Plots_rpt'!$B33,Tree!$B:$B,'Pre-Harvest Plots_rpt'!$D33,Tree!$F:$F,"L",Tree!$K:$K,"&lt;&gt;"&amp;"Y")-Q33)</f>
        <v/>
      </c>
      <c r="V33" s="123" t="str">
        <f>IF(B33="","",ROUND(SUMIFS(Tree!$AE:$AE,Tree!$A:$A,'Pre-Harvest Plots_rpt'!$B33,Tree!$B:$B,'Pre-Harvest Plots_rpt'!$D33,Tree!$F:$F,"L",Tree!$K:$K,"&lt;&gt;"&amp;"Y")-R33,1))</f>
        <v/>
      </c>
      <c r="W33" s="124" t="str">
        <f>IF(B33="","",SUMIFS(Tree!$AY:$AY,Tree!$A:$A,'Pre-Harvest Plots_rpt'!$B33,Tree!$B:$B,'Pre-Harvest Plots_rpt'!$D33,Tree!$F:$F,"L",Tree!$K:$K,"&lt;&gt;"&amp;"Y")/1000)</f>
        <v/>
      </c>
      <c r="X33" s="158" t="str">
        <f>IF(B33="","",ROUND((SUMIFS(Tree!$AW:$AW,Tree!$A:$A,'Pre-Harvest Plots_rpt'!$B33,Tree!$B:$B,'Pre-Harvest Plots_rpt'!$D33,Tree!$F:$F,"L",Tree!$K:$K,"&lt;&gt;"&amp;"Y")/1000)-W33,1))</f>
        <v/>
      </c>
      <c r="Y33" s="135"/>
      <c r="Z33" s="161" t="str">
        <f>IF(IF(B33="","",SUMIFS(Tree!$O:$O,Tree!$A:$A,'Pre-Harvest Plots_rpt'!$B33,Tree!$B:$B,'Pre-Harvest Plots_rpt'!$D33,Tree!$F:$F,"D",Tree!$K:$K,"&lt;&gt;"&amp;"Y"))=0,"",IF(B33="","",SUMIFS(Tree!$O:$O,Tree!$A:$A,'Pre-Harvest Plots_rpt'!$B33,Tree!$B:$B,'Pre-Harvest Plots_rpt'!$D33,Tree!$F:$F,"D",Tree!$K:$K,"&lt;&gt;"&amp;"Y")))</f>
        <v/>
      </c>
      <c r="AA33" s="125" t="str">
        <f t="shared" si="3"/>
        <v/>
      </c>
      <c r="AB33" s="125" t="str">
        <f>IF(Z33="","",SUMIFS(Tree!$R:$R,Tree!$A:$A,'Pre-Harvest Plots_rpt'!$B33,Tree!$B:$B,'Pre-Harvest Plots_rpt'!$D33,Tree!$F:$F,"D",Tree!$K:$K,"&lt;&gt;"&amp;"Y"))</f>
        <v/>
      </c>
      <c r="AC33" s="126" t="str">
        <f>IF(Z33="","",SUMIFS(Tree!$AM:$AM,Tree!$A:$A,'Pre-Harvest Plots_rpt'!$B33,Tree!$B:$B,'Pre-Harvest Plots_rpt'!$D33,Tree!$F:$F,"D",Tree!$K:$K,"&lt;&gt;"&amp;"Y"))</f>
        <v/>
      </c>
      <c r="AD33" s="162" t="str">
        <f>IF(Z33="","",SUMIFS(Tree!$AW:$AW,Tree!$A:$A,'Pre-Harvest Plots_rpt'!$B33,Tree!$B:$B,'Pre-Harvest Plots_rpt'!$D33,Tree!$F:$F,"D",Tree!$K:$K,"&lt;&gt;"&amp;"Y")/1000)</f>
        <v/>
      </c>
      <c r="AE33" s="47"/>
      <c r="AF33" s="18"/>
      <c r="AG33" s="18"/>
      <c r="AH33" s="18"/>
    </row>
    <row r="34" spans="1:34" ht="14.55" customHeight="1" x14ac:dyDescent="0.25">
      <c r="A34" s="48">
        <v>31</v>
      </c>
      <c r="B34" s="171" t="str">
        <f>IF(A34&lt;=SUM(Stand!$H$3:$H$29),VLOOKUP(A34,Stand!$A$3:$C$29,3,TRUE),"")</f>
        <v/>
      </c>
      <c r="C34" s="172" t="str">
        <f t="shared" si="0"/>
        <v/>
      </c>
      <c r="D34" s="173" t="str">
        <f>IF(B34="","",VLOOKUP(B34&amp;C34,Plot!$B$2:$D$199,3,FALSE))</f>
        <v/>
      </c>
      <c r="E34" s="130"/>
      <c r="F34" s="152" t="str">
        <f>IF(B34="","",SUMIFS(Tree!$O:$O,Tree!$A:$A,'Pre-Harvest Plots_rpt'!$B34,Tree!$B:$B,'Pre-Harvest Plots_rpt'!$D34,Tree!$F:$F,"L",Tree!$K:$K,"&lt;&gt;"&amp;"Y"))</f>
        <v/>
      </c>
      <c r="G34" s="153" t="str">
        <f>IFERROR(IF(D34="","",SUMIFS(Tree!$P:$P,Tree!$A:$A,'Pre-Harvest Plots_rpt'!$B34,Tree!$B:$B,'Pre-Harvest Plots_rpt'!$D34,Tree!$K:$K,"&lt;&gt;"&amp;"Y")/$F34),"")</f>
        <v/>
      </c>
      <c r="H34" s="122" t="str">
        <f t="shared" si="1"/>
        <v/>
      </c>
      <c r="I34" s="121" t="str">
        <f>IF(OR($F34=0,$F34=""),"",SUMIFS(Tree!$R:$R,Tree!$A:$A,'Pre-Harvest Plots_rpt'!$B34,Tree!$B:$B,'Pre-Harvest Plots_rpt'!$D34,Tree!$F:$F,"L",Tree!$K:$K,"&lt;&gt;"&amp;"Y"))</f>
        <v/>
      </c>
      <c r="J34" s="121" t="str">
        <f>IF(OR($F34=0,$F34=""),"",IF(SUMIFS(Tree!$W:$W,Tree!$A:$A,'Pre-Harvest Plots_rpt'!$B34,Tree!$B:$B,'Pre-Harvest Plots_rpt'!$D34,Tree!$F:$F,"L",Tree!$K:$K,"&lt;&gt;"&amp;"Y")=0,0,AVERAGEIFS(Tree!$W:$W,Tree!$A:$A,'Pre-Harvest Plots_rpt'!$B34,Tree!$B:$B,'Pre-Harvest Plots_rpt'!$D34,Tree!$F:$F,"L",Tree!$K:$K,"&lt;&gt;"&amp;"Y")))</f>
        <v/>
      </c>
      <c r="K34" s="121" t="str">
        <f>IF($F34="","",SUMIFS(Tree!$S:$S,Tree!$A:$A,'Pre-Harvest Plots_rpt'!$B34,Tree!$B:$B,'Pre-Harvest Plots_rpt'!$D34,Tree!$F:$F,"L",Tree!$K:$K,"&lt;&gt;"&amp;"Y"))</f>
        <v/>
      </c>
      <c r="L34" s="154" t="str">
        <f t="shared" si="2"/>
        <v/>
      </c>
      <c r="M34" s="135"/>
      <c r="N34" s="192" t="str">
        <f>IF(B34="","",SUMIFS(Tree!$AM:$AM,Tree!$A:$A,'Pre-Harvest Plots_rpt'!$B34,Tree!$B:$B,'Pre-Harvest Plots_rpt'!$D34,Tree!$F:$F,"L",Tree!$K:$K,"&lt;&gt;"&amp;"Y"))</f>
        <v/>
      </c>
      <c r="O34" s="122" t="str">
        <f>IF(B34="","",SUMIFS(Tree!$AN:$AN,Tree!$A:$A,'Pre-Harvest Plots_rpt'!$B34,Tree!$B:$B,'Pre-Harvest Plots_rpt'!$D34,Tree!$F:$F,"L",Tree!$K:$K,"&lt;&gt;"&amp;"Y"))</f>
        <v/>
      </c>
      <c r="P34" s="122" t="str">
        <f>IF(B34="","",SUMIFS(Tree!$AO:$AO,Tree!$A:$A,'Pre-Harvest Plots_rpt'!$B34,Tree!$B:$B,'Pre-Harvest Plots_rpt'!$D34,Tree!$F:$F,"L",Tree!$K:$K,"&lt;&gt;"&amp;"Y"))</f>
        <v/>
      </c>
      <c r="Q34" s="122" t="str">
        <f>IF(B34="","",SUMIFS(Tree!$AP:$AP,Tree!$A:$A,'Pre-Harvest Plots_rpt'!$B34,Tree!$B:$B,'Pre-Harvest Plots_rpt'!$D34,Tree!$F:$F,"L",Tree!$K:$K,"&lt;&gt;"&amp;"Y"))</f>
        <v/>
      </c>
      <c r="R34" s="123" t="str">
        <f>IF(B34="","",SUMIFS(Tree!$AQ:$AQ,Tree!$A:$A,'Pre-Harvest Plots_rpt'!$B34,Tree!$B:$B,'Pre-Harvest Plots_rpt'!$D34,Tree!$F:$F,"L",Tree!$K:$K,"&lt;&gt;"&amp;"Y"))</f>
        <v/>
      </c>
      <c r="S34" s="122" t="str">
        <f>IF(B34="","",SUMIFS(Tree!$AJ:$AJ,Tree!$A:$A,'Pre-Harvest Plots_rpt'!$B34,Tree!$B:$B,'Pre-Harvest Plots_rpt'!$D34,Tree!$F:$F,"L",Tree!$K:$K,"&lt;&gt;"&amp;"Y")-O34)</f>
        <v/>
      </c>
      <c r="T34" s="122" t="str">
        <f>IF(B34="","",SUMIFS(Tree!$AK:$AK,Tree!$A:$A,'Pre-Harvest Plots_rpt'!$B34,Tree!$B:$B,'Pre-Harvest Plots_rpt'!$D34,Tree!$F:$F,"L",Tree!$K:$K,"&lt;&gt;"&amp;"Y")-P34)</f>
        <v/>
      </c>
      <c r="U34" s="122" t="str">
        <f>IF(B34="","",SUMIFS(Tree!$AL:$AL,Tree!$A:$A,'Pre-Harvest Plots_rpt'!$B34,Tree!$B:$B,'Pre-Harvest Plots_rpt'!$D34,Tree!$F:$F,"L",Tree!$K:$K,"&lt;&gt;"&amp;"Y")-Q34)</f>
        <v/>
      </c>
      <c r="V34" s="123" t="str">
        <f>IF(B34="","",ROUND(SUMIFS(Tree!$AE:$AE,Tree!$A:$A,'Pre-Harvest Plots_rpt'!$B34,Tree!$B:$B,'Pre-Harvest Plots_rpt'!$D34,Tree!$F:$F,"L",Tree!$K:$K,"&lt;&gt;"&amp;"Y")-R34,1))</f>
        <v/>
      </c>
      <c r="W34" s="124" t="str">
        <f>IF(B34="","",SUMIFS(Tree!$AY:$AY,Tree!$A:$A,'Pre-Harvest Plots_rpt'!$B34,Tree!$B:$B,'Pre-Harvest Plots_rpt'!$D34,Tree!$F:$F,"L",Tree!$K:$K,"&lt;&gt;"&amp;"Y")/1000)</f>
        <v/>
      </c>
      <c r="X34" s="158" t="str">
        <f>IF(B34="","",ROUND((SUMIFS(Tree!$AW:$AW,Tree!$A:$A,'Pre-Harvest Plots_rpt'!$B34,Tree!$B:$B,'Pre-Harvest Plots_rpt'!$D34,Tree!$F:$F,"L",Tree!$K:$K,"&lt;&gt;"&amp;"Y")/1000)-W34,1))</f>
        <v/>
      </c>
      <c r="Y34" s="135"/>
      <c r="Z34" s="161" t="str">
        <f>IF(IF(B34="","",SUMIFS(Tree!$O:$O,Tree!$A:$A,'Pre-Harvest Plots_rpt'!$B34,Tree!$B:$B,'Pre-Harvest Plots_rpt'!$D34,Tree!$F:$F,"D",Tree!$K:$K,"&lt;&gt;"&amp;"Y"))=0,"",IF(B34="","",SUMIFS(Tree!$O:$O,Tree!$A:$A,'Pre-Harvest Plots_rpt'!$B34,Tree!$B:$B,'Pre-Harvest Plots_rpt'!$D34,Tree!$F:$F,"D",Tree!$K:$K,"&lt;&gt;"&amp;"Y")))</f>
        <v/>
      </c>
      <c r="AA34" s="125" t="str">
        <f t="shared" si="3"/>
        <v/>
      </c>
      <c r="AB34" s="125" t="str">
        <f>IF(Z34="","",SUMIFS(Tree!$R:$R,Tree!$A:$A,'Pre-Harvest Plots_rpt'!$B34,Tree!$B:$B,'Pre-Harvest Plots_rpt'!$D34,Tree!$F:$F,"D",Tree!$K:$K,"&lt;&gt;"&amp;"Y"))</f>
        <v/>
      </c>
      <c r="AC34" s="126" t="str">
        <f>IF(Z34="","",SUMIFS(Tree!$AM:$AM,Tree!$A:$A,'Pre-Harvest Plots_rpt'!$B34,Tree!$B:$B,'Pre-Harvest Plots_rpt'!$D34,Tree!$F:$F,"D",Tree!$K:$K,"&lt;&gt;"&amp;"Y"))</f>
        <v/>
      </c>
      <c r="AD34" s="162" t="str">
        <f>IF(Z34="","",SUMIFS(Tree!$AW:$AW,Tree!$A:$A,'Pre-Harvest Plots_rpt'!$B34,Tree!$B:$B,'Pre-Harvest Plots_rpt'!$D34,Tree!$F:$F,"D",Tree!$K:$K,"&lt;&gt;"&amp;"Y")/1000)</f>
        <v/>
      </c>
      <c r="AE34" s="47"/>
      <c r="AF34" s="18"/>
      <c r="AG34" s="18"/>
      <c r="AH34" s="18"/>
    </row>
    <row r="35" spans="1:34" ht="12.75" customHeight="1" x14ac:dyDescent="0.25">
      <c r="A35" s="48">
        <v>32</v>
      </c>
      <c r="B35" s="171" t="str">
        <f>IF(A35&lt;=SUM(Stand!$H$3:$H$29),VLOOKUP(A35,Stand!$A$3:$C$29,3,TRUE),"")</f>
        <v/>
      </c>
      <c r="C35" s="172" t="str">
        <f t="shared" si="0"/>
        <v/>
      </c>
      <c r="D35" s="173" t="str">
        <f>IF(B35="","",VLOOKUP(B35&amp;C35,Plot!$B$2:$D$199,3,FALSE))</f>
        <v/>
      </c>
      <c r="E35" s="130"/>
      <c r="F35" s="152" t="str">
        <f>IF(B35="","",SUMIFS(Tree!$O:$O,Tree!$A:$A,'Pre-Harvest Plots_rpt'!$B35,Tree!$B:$B,'Pre-Harvest Plots_rpt'!$D35,Tree!$F:$F,"L",Tree!$K:$K,"&lt;&gt;"&amp;"Y"))</f>
        <v/>
      </c>
      <c r="G35" s="153" t="str">
        <f>IFERROR(IF(D35="","",SUMIFS(Tree!$P:$P,Tree!$A:$A,'Pre-Harvest Plots_rpt'!$B35,Tree!$B:$B,'Pre-Harvest Plots_rpt'!$D35,Tree!$K:$K,"&lt;&gt;"&amp;"Y")/$F35),"")</f>
        <v/>
      </c>
      <c r="H35" s="122" t="str">
        <f t="shared" si="1"/>
        <v/>
      </c>
      <c r="I35" s="121" t="str">
        <f>IF(OR($F35=0,$F35=""),"",SUMIFS(Tree!$R:$R,Tree!$A:$A,'Pre-Harvest Plots_rpt'!$B35,Tree!$B:$B,'Pre-Harvest Plots_rpt'!$D35,Tree!$F:$F,"L",Tree!$K:$K,"&lt;&gt;"&amp;"Y"))</f>
        <v/>
      </c>
      <c r="J35" s="121" t="str">
        <f>IF(OR($F35=0,$F35=""),"",IF(SUMIFS(Tree!$W:$W,Tree!$A:$A,'Pre-Harvest Plots_rpt'!$B35,Tree!$B:$B,'Pre-Harvest Plots_rpt'!$D35,Tree!$F:$F,"L",Tree!$K:$K,"&lt;&gt;"&amp;"Y")=0,0,AVERAGEIFS(Tree!$W:$W,Tree!$A:$A,'Pre-Harvest Plots_rpt'!$B35,Tree!$B:$B,'Pre-Harvest Plots_rpt'!$D35,Tree!$F:$F,"L",Tree!$K:$K,"&lt;&gt;"&amp;"Y")))</f>
        <v/>
      </c>
      <c r="K35" s="121" t="str">
        <f>IF($F35="","",SUMIFS(Tree!$S:$S,Tree!$A:$A,'Pre-Harvest Plots_rpt'!$B35,Tree!$B:$B,'Pre-Harvest Plots_rpt'!$D35,Tree!$F:$F,"L",Tree!$K:$K,"&lt;&gt;"&amp;"Y"))</f>
        <v/>
      </c>
      <c r="L35" s="154" t="str">
        <f t="shared" si="2"/>
        <v/>
      </c>
      <c r="M35" s="135"/>
      <c r="N35" s="192" t="str">
        <f>IF(B35="","",SUMIFS(Tree!$AM:$AM,Tree!$A:$A,'Pre-Harvest Plots_rpt'!$B35,Tree!$B:$B,'Pre-Harvest Plots_rpt'!$D35,Tree!$F:$F,"L",Tree!$K:$K,"&lt;&gt;"&amp;"Y"))</f>
        <v/>
      </c>
      <c r="O35" s="122" t="str">
        <f>IF(B35="","",SUMIFS(Tree!$AN:$AN,Tree!$A:$A,'Pre-Harvest Plots_rpt'!$B35,Tree!$B:$B,'Pre-Harvest Plots_rpt'!$D35,Tree!$F:$F,"L",Tree!$K:$K,"&lt;&gt;"&amp;"Y"))</f>
        <v/>
      </c>
      <c r="P35" s="122" t="str">
        <f>IF(B35="","",SUMIFS(Tree!$AO:$AO,Tree!$A:$A,'Pre-Harvest Plots_rpt'!$B35,Tree!$B:$B,'Pre-Harvest Plots_rpt'!$D35,Tree!$F:$F,"L",Tree!$K:$K,"&lt;&gt;"&amp;"Y"))</f>
        <v/>
      </c>
      <c r="Q35" s="122" t="str">
        <f>IF(B35="","",SUMIFS(Tree!$AP:$AP,Tree!$A:$A,'Pre-Harvest Plots_rpt'!$B35,Tree!$B:$B,'Pre-Harvest Plots_rpt'!$D35,Tree!$F:$F,"L",Tree!$K:$K,"&lt;&gt;"&amp;"Y"))</f>
        <v/>
      </c>
      <c r="R35" s="123" t="str">
        <f>IF(B35="","",SUMIFS(Tree!$AQ:$AQ,Tree!$A:$A,'Pre-Harvest Plots_rpt'!$B35,Tree!$B:$B,'Pre-Harvest Plots_rpt'!$D35,Tree!$F:$F,"L",Tree!$K:$K,"&lt;&gt;"&amp;"Y"))</f>
        <v/>
      </c>
      <c r="S35" s="122" t="str">
        <f>IF(B35="","",SUMIFS(Tree!$AJ:$AJ,Tree!$A:$A,'Pre-Harvest Plots_rpt'!$B35,Tree!$B:$B,'Pre-Harvest Plots_rpt'!$D35,Tree!$F:$F,"L",Tree!$K:$K,"&lt;&gt;"&amp;"Y")-O35)</f>
        <v/>
      </c>
      <c r="T35" s="122" t="str">
        <f>IF(B35="","",SUMIFS(Tree!$AK:$AK,Tree!$A:$A,'Pre-Harvest Plots_rpt'!$B35,Tree!$B:$B,'Pre-Harvest Plots_rpt'!$D35,Tree!$F:$F,"L",Tree!$K:$K,"&lt;&gt;"&amp;"Y")-P35)</f>
        <v/>
      </c>
      <c r="U35" s="122" t="str">
        <f>IF(B35="","",SUMIFS(Tree!$AL:$AL,Tree!$A:$A,'Pre-Harvest Plots_rpt'!$B35,Tree!$B:$B,'Pre-Harvest Plots_rpt'!$D35,Tree!$F:$F,"L",Tree!$K:$K,"&lt;&gt;"&amp;"Y")-Q35)</f>
        <v/>
      </c>
      <c r="V35" s="123" t="str">
        <f>IF(B35="","",ROUND(SUMIFS(Tree!$AE:$AE,Tree!$A:$A,'Pre-Harvest Plots_rpt'!$B35,Tree!$B:$B,'Pre-Harvest Plots_rpt'!$D35,Tree!$F:$F,"L",Tree!$K:$K,"&lt;&gt;"&amp;"Y")-R35,1))</f>
        <v/>
      </c>
      <c r="W35" s="124" t="str">
        <f>IF(B35="","",SUMIFS(Tree!$AY:$AY,Tree!$A:$A,'Pre-Harvest Plots_rpt'!$B35,Tree!$B:$B,'Pre-Harvest Plots_rpt'!$D35,Tree!$F:$F,"L",Tree!$K:$K,"&lt;&gt;"&amp;"Y")/1000)</f>
        <v/>
      </c>
      <c r="X35" s="158" t="str">
        <f>IF(B35="","",ROUND((SUMIFS(Tree!$AW:$AW,Tree!$A:$A,'Pre-Harvest Plots_rpt'!$B35,Tree!$B:$B,'Pre-Harvest Plots_rpt'!$D35,Tree!$F:$F,"L",Tree!$K:$K,"&lt;&gt;"&amp;"Y")/1000)-W35,1))</f>
        <v/>
      </c>
      <c r="Y35" s="135"/>
      <c r="Z35" s="161" t="str">
        <f>IF(IF(B35="","",SUMIFS(Tree!$O:$O,Tree!$A:$A,'Pre-Harvest Plots_rpt'!$B35,Tree!$B:$B,'Pre-Harvest Plots_rpt'!$D35,Tree!$F:$F,"D",Tree!$K:$K,"&lt;&gt;"&amp;"Y"))=0,"",IF(B35="","",SUMIFS(Tree!$O:$O,Tree!$A:$A,'Pre-Harvest Plots_rpt'!$B35,Tree!$B:$B,'Pre-Harvest Plots_rpt'!$D35,Tree!$F:$F,"D",Tree!$K:$K,"&lt;&gt;"&amp;"Y")))</f>
        <v/>
      </c>
      <c r="AA35" s="125" t="str">
        <f t="shared" si="3"/>
        <v/>
      </c>
      <c r="AB35" s="125" t="str">
        <f>IF(Z35="","",SUMIFS(Tree!$R:$R,Tree!$A:$A,'Pre-Harvest Plots_rpt'!$B35,Tree!$B:$B,'Pre-Harvest Plots_rpt'!$D35,Tree!$F:$F,"D",Tree!$K:$K,"&lt;&gt;"&amp;"Y"))</f>
        <v/>
      </c>
      <c r="AC35" s="126" t="str">
        <f>IF(Z35="","",SUMIFS(Tree!$AM:$AM,Tree!$A:$A,'Pre-Harvest Plots_rpt'!$B35,Tree!$B:$B,'Pre-Harvest Plots_rpt'!$D35,Tree!$F:$F,"D",Tree!$K:$K,"&lt;&gt;"&amp;"Y"))</f>
        <v/>
      </c>
      <c r="AD35" s="162" t="str">
        <f>IF(Z35="","",SUMIFS(Tree!$AW:$AW,Tree!$A:$A,'Pre-Harvest Plots_rpt'!$B35,Tree!$B:$B,'Pre-Harvest Plots_rpt'!$D35,Tree!$F:$F,"D",Tree!$K:$K,"&lt;&gt;"&amp;"Y")/1000)</f>
        <v/>
      </c>
      <c r="AE35" s="47"/>
      <c r="AF35" s="18"/>
      <c r="AG35" s="18"/>
      <c r="AH35" s="18"/>
    </row>
    <row r="36" spans="1:34" ht="12.75" customHeight="1" x14ac:dyDescent="0.25">
      <c r="A36" s="48">
        <v>33</v>
      </c>
      <c r="B36" s="171" t="str">
        <f>IF(A36&lt;=SUM(Stand!$H$3:$H$29),VLOOKUP(A36,Stand!$A$3:$C$29,3,TRUE),"")</f>
        <v/>
      </c>
      <c r="C36" s="172" t="str">
        <f t="shared" si="0"/>
        <v/>
      </c>
      <c r="D36" s="173" t="str">
        <f>IF(B36="","",VLOOKUP(B36&amp;C36,Plot!$B$2:$D$199,3,FALSE))</f>
        <v/>
      </c>
      <c r="E36" s="130"/>
      <c r="F36" s="152" t="str">
        <f>IF(B36="","",SUMIFS(Tree!$O:$O,Tree!$A:$A,'Pre-Harvest Plots_rpt'!$B36,Tree!$B:$B,'Pre-Harvest Plots_rpt'!$D36,Tree!$F:$F,"L",Tree!$K:$K,"&lt;&gt;"&amp;"Y"))</f>
        <v/>
      </c>
      <c r="G36" s="153" t="str">
        <f>IFERROR(IF(D36="","",SUMIFS(Tree!$P:$P,Tree!$A:$A,'Pre-Harvest Plots_rpt'!$B36,Tree!$B:$B,'Pre-Harvest Plots_rpt'!$D36,Tree!$K:$K,"&lt;&gt;"&amp;"Y")/$F36),"")</f>
        <v/>
      </c>
      <c r="H36" s="122" t="str">
        <f t="shared" si="1"/>
        <v/>
      </c>
      <c r="I36" s="121" t="str">
        <f>IF(OR($F36=0,$F36=""),"",SUMIFS(Tree!$R:$R,Tree!$A:$A,'Pre-Harvest Plots_rpt'!$B36,Tree!$B:$B,'Pre-Harvest Plots_rpt'!$D36,Tree!$F:$F,"L",Tree!$K:$K,"&lt;&gt;"&amp;"Y"))</f>
        <v/>
      </c>
      <c r="J36" s="121" t="str">
        <f>IF(OR($F36=0,$F36=""),"",IF(SUMIFS(Tree!$W:$W,Tree!$A:$A,'Pre-Harvest Plots_rpt'!$B36,Tree!$B:$B,'Pre-Harvest Plots_rpt'!$D36,Tree!$F:$F,"L",Tree!$K:$K,"&lt;&gt;"&amp;"Y")=0,0,AVERAGEIFS(Tree!$W:$W,Tree!$A:$A,'Pre-Harvest Plots_rpt'!$B36,Tree!$B:$B,'Pre-Harvest Plots_rpt'!$D36,Tree!$F:$F,"L",Tree!$K:$K,"&lt;&gt;"&amp;"Y")))</f>
        <v/>
      </c>
      <c r="K36" s="121" t="str">
        <f>IF($F36="","",SUMIFS(Tree!$S:$S,Tree!$A:$A,'Pre-Harvest Plots_rpt'!$B36,Tree!$B:$B,'Pre-Harvest Plots_rpt'!$D36,Tree!$F:$F,"L",Tree!$K:$K,"&lt;&gt;"&amp;"Y"))</f>
        <v/>
      </c>
      <c r="L36" s="154" t="str">
        <f t="shared" si="2"/>
        <v/>
      </c>
      <c r="M36" s="135"/>
      <c r="N36" s="192" t="str">
        <f>IF(B36="","",SUMIFS(Tree!$AM:$AM,Tree!$A:$A,'Pre-Harvest Plots_rpt'!$B36,Tree!$B:$B,'Pre-Harvest Plots_rpt'!$D36,Tree!$F:$F,"L",Tree!$K:$K,"&lt;&gt;"&amp;"Y"))</f>
        <v/>
      </c>
      <c r="O36" s="122" t="str">
        <f>IF(B36="","",SUMIFS(Tree!$AN:$AN,Tree!$A:$A,'Pre-Harvest Plots_rpt'!$B36,Tree!$B:$B,'Pre-Harvest Plots_rpt'!$D36,Tree!$F:$F,"L",Tree!$K:$K,"&lt;&gt;"&amp;"Y"))</f>
        <v/>
      </c>
      <c r="P36" s="122" t="str">
        <f>IF(B36="","",SUMIFS(Tree!$AO:$AO,Tree!$A:$A,'Pre-Harvest Plots_rpt'!$B36,Tree!$B:$B,'Pre-Harvest Plots_rpt'!$D36,Tree!$F:$F,"L",Tree!$K:$K,"&lt;&gt;"&amp;"Y"))</f>
        <v/>
      </c>
      <c r="Q36" s="122" t="str">
        <f>IF(B36="","",SUMIFS(Tree!$AP:$AP,Tree!$A:$A,'Pre-Harvest Plots_rpt'!$B36,Tree!$B:$B,'Pre-Harvest Plots_rpt'!$D36,Tree!$F:$F,"L",Tree!$K:$K,"&lt;&gt;"&amp;"Y"))</f>
        <v/>
      </c>
      <c r="R36" s="123" t="str">
        <f>IF(B36="","",SUMIFS(Tree!$AQ:$AQ,Tree!$A:$A,'Pre-Harvest Plots_rpt'!$B36,Tree!$B:$B,'Pre-Harvest Plots_rpt'!$D36,Tree!$F:$F,"L",Tree!$K:$K,"&lt;&gt;"&amp;"Y"))</f>
        <v/>
      </c>
      <c r="S36" s="122" t="str">
        <f>IF(B36="","",SUMIFS(Tree!$AJ:$AJ,Tree!$A:$A,'Pre-Harvest Plots_rpt'!$B36,Tree!$B:$B,'Pre-Harvest Plots_rpt'!$D36,Tree!$F:$F,"L",Tree!$K:$K,"&lt;&gt;"&amp;"Y")-O36)</f>
        <v/>
      </c>
      <c r="T36" s="122" t="str">
        <f>IF(B36="","",SUMIFS(Tree!$AK:$AK,Tree!$A:$A,'Pre-Harvest Plots_rpt'!$B36,Tree!$B:$B,'Pre-Harvest Plots_rpt'!$D36,Tree!$F:$F,"L",Tree!$K:$K,"&lt;&gt;"&amp;"Y")-P36)</f>
        <v/>
      </c>
      <c r="U36" s="122" t="str">
        <f>IF(B36="","",SUMIFS(Tree!$AL:$AL,Tree!$A:$A,'Pre-Harvest Plots_rpt'!$B36,Tree!$B:$B,'Pre-Harvest Plots_rpt'!$D36,Tree!$F:$F,"L",Tree!$K:$K,"&lt;&gt;"&amp;"Y")-Q36)</f>
        <v/>
      </c>
      <c r="V36" s="123" t="str">
        <f>IF(B36="","",ROUND(SUMIFS(Tree!$AE:$AE,Tree!$A:$A,'Pre-Harvest Plots_rpt'!$B36,Tree!$B:$B,'Pre-Harvest Plots_rpt'!$D36,Tree!$F:$F,"L",Tree!$K:$K,"&lt;&gt;"&amp;"Y")-R36,1))</f>
        <v/>
      </c>
      <c r="W36" s="124" t="str">
        <f>IF(B36="","",SUMIFS(Tree!$AY:$AY,Tree!$A:$A,'Pre-Harvest Plots_rpt'!$B36,Tree!$B:$B,'Pre-Harvest Plots_rpt'!$D36,Tree!$F:$F,"L",Tree!$K:$K,"&lt;&gt;"&amp;"Y")/1000)</f>
        <v/>
      </c>
      <c r="X36" s="158" t="str">
        <f>IF(B36="","",ROUND((SUMIFS(Tree!$AW:$AW,Tree!$A:$A,'Pre-Harvest Plots_rpt'!$B36,Tree!$B:$B,'Pre-Harvest Plots_rpt'!$D36,Tree!$F:$F,"L",Tree!$K:$K,"&lt;&gt;"&amp;"Y")/1000)-W36,1))</f>
        <v/>
      </c>
      <c r="Y36" s="135"/>
      <c r="Z36" s="161" t="str">
        <f>IF(IF(B36="","",SUMIFS(Tree!$O:$O,Tree!$A:$A,'Pre-Harvest Plots_rpt'!$B36,Tree!$B:$B,'Pre-Harvest Plots_rpt'!$D36,Tree!$F:$F,"D",Tree!$K:$K,"&lt;&gt;"&amp;"Y"))=0,"",IF(B36="","",SUMIFS(Tree!$O:$O,Tree!$A:$A,'Pre-Harvest Plots_rpt'!$B36,Tree!$B:$B,'Pre-Harvest Plots_rpt'!$D36,Tree!$F:$F,"D",Tree!$K:$K,"&lt;&gt;"&amp;"Y")))</f>
        <v/>
      </c>
      <c r="AA36" s="125" t="str">
        <f t="shared" si="3"/>
        <v/>
      </c>
      <c r="AB36" s="125" t="str">
        <f>IF(Z36="","",SUMIFS(Tree!$R:$R,Tree!$A:$A,'Pre-Harvest Plots_rpt'!$B36,Tree!$B:$B,'Pre-Harvest Plots_rpt'!$D36,Tree!$F:$F,"D",Tree!$K:$K,"&lt;&gt;"&amp;"Y"))</f>
        <v/>
      </c>
      <c r="AC36" s="126" t="str">
        <f>IF(Z36="","",SUMIFS(Tree!$AM:$AM,Tree!$A:$A,'Pre-Harvest Plots_rpt'!$B36,Tree!$B:$B,'Pre-Harvest Plots_rpt'!$D36,Tree!$F:$F,"D",Tree!$K:$K,"&lt;&gt;"&amp;"Y"))</f>
        <v/>
      </c>
      <c r="AD36" s="162" t="str">
        <f>IF(Z36="","",SUMIFS(Tree!$AW:$AW,Tree!$A:$A,'Pre-Harvest Plots_rpt'!$B36,Tree!$B:$B,'Pre-Harvest Plots_rpt'!$D36,Tree!$F:$F,"D",Tree!$K:$K,"&lt;&gt;"&amp;"Y")/1000)</f>
        <v/>
      </c>
      <c r="AE36" s="47"/>
      <c r="AF36" s="18"/>
      <c r="AG36" s="18"/>
      <c r="AH36" s="18"/>
    </row>
    <row r="37" spans="1:34" ht="12.75" customHeight="1" x14ac:dyDescent="0.25">
      <c r="A37" s="48">
        <v>34</v>
      </c>
      <c r="B37" s="171" t="str">
        <f>IF(A37&lt;=SUM(Stand!$H$3:$H$29),VLOOKUP(A37,Stand!$A$3:$C$29,3,TRUE),"")</f>
        <v/>
      </c>
      <c r="C37" s="172" t="str">
        <f t="shared" si="0"/>
        <v/>
      </c>
      <c r="D37" s="173" t="str">
        <f>IF(B37="","",VLOOKUP(B37&amp;C37,Plot!$B$2:$D$199,3,FALSE))</f>
        <v/>
      </c>
      <c r="E37" s="130"/>
      <c r="F37" s="152" t="str">
        <f>IF(B37="","",SUMIFS(Tree!$O:$O,Tree!$A:$A,'Pre-Harvest Plots_rpt'!$B37,Tree!$B:$B,'Pre-Harvest Plots_rpt'!$D37,Tree!$F:$F,"L",Tree!$K:$K,"&lt;&gt;"&amp;"Y"))</f>
        <v/>
      </c>
      <c r="G37" s="153" t="str">
        <f>IFERROR(IF(D37="","",SUMIFS(Tree!$P:$P,Tree!$A:$A,'Pre-Harvest Plots_rpt'!$B37,Tree!$B:$B,'Pre-Harvest Plots_rpt'!$D37,Tree!$K:$K,"&lt;&gt;"&amp;"Y")/$F37),"")</f>
        <v/>
      </c>
      <c r="H37" s="122" t="str">
        <f t="shared" si="1"/>
        <v/>
      </c>
      <c r="I37" s="121" t="str">
        <f>IF(OR($F37=0,$F37=""),"",SUMIFS(Tree!$R:$R,Tree!$A:$A,'Pre-Harvest Plots_rpt'!$B37,Tree!$B:$B,'Pre-Harvest Plots_rpt'!$D37,Tree!$F:$F,"L",Tree!$K:$K,"&lt;&gt;"&amp;"Y"))</f>
        <v/>
      </c>
      <c r="J37" s="121" t="str">
        <f>IF(OR($F37=0,$F37=""),"",IF(SUMIFS(Tree!$W:$W,Tree!$A:$A,'Pre-Harvest Plots_rpt'!$B37,Tree!$B:$B,'Pre-Harvest Plots_rpt'!$D37,Tree!$F:$F,"L",Tree!$K:$K,"&lt;&gt;"&amp;"Y")=0,0,AVERAGEIFS(Tree!$W:$W,Tree!$A:$A,'Pre-Harvest Plots_rpt'!$B37,Tree!$B:$B,'Pre-Harvest Plots_rpt'!$D37,Tree!$F:$F,"L",Tree!$K:$K,"&lt;&gt;"&amp;"Y")))</f>
        <v/>
      </c>
      <c r="K37" s="121" t="str">
        <f>IF($F37="","",SUMIFS(Tree!$S:$S,Tree!$A:$A,'Pre-Harvest Plots_rpt'!$B37,Tree!$B:$B,'Pre-Harvest Plots_rpt'!$D37,Tree!$F:$F,"L",Tree!$K:$K,"&lt;&gt;"&amp;"Y"))</f>
        <v/>
      </c>
      <c r="L37" s="154" t="str">
        <f t="shared" si="2"/>
        <v/>
      </c>
      <c r="M37" s="135"/>
      <c r="N37" s="192" t="str">
        <f>IF(B37="","",SUMIFS(Tree!$AM:$AM,Tree!$A:$A,'Pre-Harvest Plots_rpt'!$B37,Tree!$B:$B,'Pre-Harvest Plots_rpt'!$D37,Tree!$F:$F,"L",Tree!$K:$K,"&lt;&gt;"&amp;"Y"))</f>
        <v/>
      </c>
      <c r="O37" s="122" t="str">
        <f>IF(B37="","",SUMIFS(Tree!$AN:$AN,Tree!$A:$A,'Pre-Harvest Plots_rpt'!$B37,Tree!$B:$B,'Pre-Harvest Plots_rpt'!$D37,Tree!$F:$F,"L",Tree!$K:$K,"&lt;&gt;"&amp;"Y"))</f>
        <v/>
      </c>
      <c r="P37" s="122" t="str">
        <f>IF(B37="","",SUMIFS(Tree!$AO:$AO,Tree!$A:$A,'Pre-Harvest Plots_rpt'!$B37,Tree!$B:$B,'Pre-Harvest Plots_rpt'!$D37,Tree!$F:$F,"L",Tree!$K:$K,"&lt;&gt;"&amp;"Y"))</f>
        <v/>
      </c>
      <c r="Q37" s="122" t="str">
        <f>IF(B37="","",SUMIFS(Tree!$AP:$AP,Tree!$A:$A,'Pre-Harvest Plots_rpt'!$B37,Tree!$B:$B,'Pre-Harvest Plots_rpt'!$D37,Tree!$F:$F,"L",Tree!$K:$K,"&lt;&gt;"&amp;"Y"))</f>
        <v/>
      </c>
      <c r="R37" s="123" t="str">
        <f>IF(B37="","",SUMIFS(Tree!$AQ:$AQ,Tree!$A:$A,'Pre-Harvest Plots_rpt'!$B37,Tree!$B:$B,'Pre-Harvest Plots_rpt'!$D37,Tree!$F:$F,"L",Tree!$K:$K,"&lt;&gt;"&amp;"Y"))</f>
        <v/>
      </c>
      <c r="S37" s="122" t="str">
        <f>IF(B37="","",SUMIFS(Tree!$AJ:$AJ,Tree!$A:$A,'Pre-Harvest Plots_rpt'!$B37,Tree!$B:$B,'Pre-Harvest Plots_rpt'!$D37,Tree!$F:$F,"L",Tree!$K:$K,"&lt;&gt;"&amp;"Y")-O37)</f>
        <v/>
      </c>
      <c r="T37" s="122" t="str">
        <f>IF(B37="","",SUMIFS(Tree!$AK:$AK,Tree!$A:$A,'Pre-Harvest Plots_rpt'!$B37,Tree!$B:$B,'Pre-Harvest Plots_rpt'!$D37,Tree!$F:$F,"L",Tree!$K:$K,"&lt;&gt;"&amp;"Y")-P37)</f>
        <v/>
      </c>
      <c r="U37" s="122" t="str">
        <f>IF(B37="","",SUMIFS(Tree!$AL:$AL,Tree!$A:$A,'Pre-Harvest Plots_rpt'!$B37,Tree!$B:$B,'Pre-Harvest Plots_rpt'!$D37,Tree!$F:$F,"L",Tree!$K:$K,"&lt;&gt;"&amp;"Y")-Q37)</f>
        <v/>
      </c>
      <c r="V37" s="123" t="str">
        <f>IF(B37="","",ROUND(SUMIFS(Tree!$AE:$AE,Tree!$A:$A,'Pre-Harvest Plots_rpt'!$B37,Tree!$B:$B,'Pre-Harvest Plots_rpt'!$D37,Tree!$F:$F,"L",Tree!$K:$K,"&lt;&gt;"&amp;"Y")-R37,1))</f>
        <v/>
      </c>
      <c r="W37" s="124" t="str">
        <f>IF(B37="","",SUMIFS(Tree!$AY:$AY,Tree!$A:$A,'Pre-Harvest Plots_rpt'!$B37,Tree!$B:$B,'Pre-Harvest Plots_rpt'!$D37,Tree!$F:$F,"L",Tree!$K:$K,"&lt;&gt;"&amp;"Y")/1000)</f>
        <v/>
      </c>
      <c r="X37" s="158" t="str">
        <f>IF(B37="","",ROUND((SUMIFS(Tree!$AW:$AW,Tree!$A:$A,'Pre-Harvest Plots_rpt'!$B37,Tree!$B:$B,'Pre-Harvest Plots_rpt'!$D37,Tree!$F:$F,"L",Tree!$K:$K,"&lt;&gt;"&amp;"Y")/1000)-W37,1))</f>
        <v/>
      </c>
      <c r="Y37" s="135"/>
      <c r="Z37" s="161" t="str">
        <f>IF(IF(B37="","",SUMIFS(Tree!$O:$O,Tree!$A:$A,'Pre-Harvest Plots_rpt'!$B37,Tree!$B:$B,'Pre-Harvest Plots_rpt'!$D37,Tree!$F:$F,"D",Tree!$K:$K,"&lt;&gt;"&amp;"Y"))=0,"",IF(B37="","",SUMIFS(Tree!$O:$O,Tree!$A:$A,'Pre-Harvest Plots_rpt'!$B37,Tree!$B:$B,'Pre-Harvest Plots_rpt'!$D37,Tree!$F:$F,"D",Tree!$K:$K,"&lt;&gt;"&amp;"Y")))</f>
        <v/>
      </c>
      <c r="AA37" s="125" t="str">
        <f t="shared" si="3"/>
        <v/>
      </c>
      <c r="AB37" s="125" t="str">
        <f>IF(Z37="","",SUMIFS(Tree!$R:$R,Tree!$A:$A,'Pre-Harvest Plots_rpt'!$B37,Tree!$B:$B,'Pre-Harvest Plots_rpt'!$D37,Tree!$F:$F,"D",Tree!$K:$K,"&lt;&gt;"&amp;"Y"))</f>
        <v/>
      </c>
      <c r="AC37" s="126" t="str">
        <f>IF(Z37="","",SUMIFS(Tree!$AM:$AM,Tree!$A:$A,'Pre-Harvest Plots_rpt'!$B37,Tree!$B:$B,'Pre-Harvest Plots_rpt'!$D37,Tree!$F:$F,"D",Tree!$K:$K,"&lt;&gt;"&amp;"Y"))</f>
        <v/>
      </c>
      <c r="AD37" s="162" t="str">
        <f>IF(Z37="","",SUMIFS(Tree!$AW:$AW,Tree!$A:$A,'Pre-Harvest Plots_rpt'!$B37,Tree!$B:$B,'Pre-Harvest Plots_rpt'!$D37,Tree!$F:$F,"D",Tree!$K:$K,"&lt;&gt;"&amp;"Y")/1000)</f>
        <v/>
      </c>
      <c r="AE37" s="47"/>
      <c r="AF37" s="18"/>
      <c r="AG37" s="18"/>
      <c r="AH37" s="18"/>
    </row>
    <row r="38" spans="1:34" ht="12.75" customHeight="1" x14ac:dyDescent="0.25">
      <c r="A38" s="48">
        <v>35</v>
      </c>
      <c r="B38" s="171" t="str">
        <f>IF(A38&lt;=SUM(Stand!$H$3:$H$29),VLOOKUP(A38,Stand!$A$3:$C$29,3,TRUE),"")</f>
        <v/>
      </c>
      <c r="C38" s="172" t="str">
        <f t="shared" si="0"/>
        <v/>
      </c>
      <c r="D38" s="173" t="str">
        <f>IF(B38="","",VLOOKUP(B38&amp;C38,Plot!$B$2:$D$199,3,FALSE))</f>
        <v/>
      </c>
      <c r="E38" s="130"/>
      <c r="F38" s="152" t="str">
        <f>IF(B38="","",SUMIFS(Tree!$O:$O,Tree!$A:$A,'Pre-Harvest Plots_rpt'!$B38,Tree!$B:$B,'Pre-Harvest Plots_rpt'!$D38,Tree!$F:$F,"L",Tree!$K:$K,"&lt;&gt;"&amp;"Y"))</f>
        <v/>
      </c>
      <c r="G38" s="153" t="str">
        <f>IFERROR(IF(D38="","",SUMIFS(Tree!$P:$P,Tree!$A:$A,'Pre-Harvest Plots_rpt'!$B38,Tree!$B:$B,'Pre-Harvest Plots_rpt'!$D38,Tree!$K:$K,"&lt;&gt;"&amp;"Y")/$F38),"")</f>
        <v/>
      </c>
      <c r="H38" s="122" t="str">
        <f t="shared" si="1"/>
        <v/>
      </c>
      <c r="I38" s="121" t="str">
        <f>IF(OR($F38=0,$F38=""),"",SUMIFS(Tree!$R:$R,Tree!$A:$A,'Pre-Harvest Plots_rpt'!$B38,Tree!$B:$B,'Pre-Harvest Plots_rpt'!$D38,Tree!$F:$F,"L",Tree!$K:$K,"&lt;&gt;"&amp;"Y"))</f>
        <v/>
      </c>
      <c r="J38" s="121" t="str">
        <f>IF(OR($F38=0,$F38=""),"",IF(SUMIFS(Tree!$W:$W,Tree!$A:$A,'Pre-Harvest Plots_rpt'!$B38,Tree!$B:$B,'Pre-Harvest Plots_rpt'!$D38,Tree!$F:$F,"L",Tree!$K:$K,"&lt;&gt;"&amp;"Y")=0,0,AVERAGEIFS(Tree!$W:$W,Tree!$A:$A,'Pre-Harvest Plots_rpt'!$B38,Tree!$B:$B,'Pre-Harvest Plots_rpt'!$D38,Tree!$F:$F,"L",Tree!$K:$K,"&lt;&gt;"&amp;"Y")))</f>
        <v/>
      </c>
      <c r="K38" s="121" t="str">
        <f>IF($F38="","",SUMIFS(Tree!$S:$S,Tree!$A:$A,'Pre-Harvest Plots_rpt'!$B38,Tree!$B:$B,'Pre-Harvest Plots_rpt'!$D38,Tree!$F:$F,"L",Tree!$K:$K,"&lt;&gt;"&amp;"Y"))</f>
        <v/>
      </c>
      <c r="L38" s="154" t="str">
        <f t="shared" si="2"/>
        <v/>
      </c>
      <c r="M38" s="135"/>
      <c r="N38" s="192" t="str">
        <f>IF(B38="","",SUMIFS(Tree!$AM:$AM,Tree!$A:$A,'Pre-Harvest Plots_rpt'!$B38,Tree!$B:$B,'Pre-Harvest Plots_rpt'!$D38,Tree!$F:$F,"L",Tree!$K:$K,"&lt;&gt;"&amp;"Y"))</f>
        <v/>
      </c>
      <c r="O38" s="122" t="str">
        <f>IF(B38="","",SUMIFS(Tree!$AN:$AN,Tree!$A:$A,'Pre-Harvest Plots_rpt'!$B38,Tree!$B:$B,'Pre-Harvest Plots_rpt'!$D38,Tree!$F:$F,"L",Tree!$K:$K,"&lt;&gt;"&amp;"Y"))</f>
        <v/>
      </c>
      <c r="P38" s="122" t="str">
        <f>IF(B38="","",SUMIFS(Tree!$AO:$AO,Tree!$A:$A,'Pre-Harvest Plots_rpt'!$B38,Tree!$B:$B,'Pre-Harvest Plots_rpt'!$D38,Tree!$F:$F,"L",Tree!$K:$K,"&lt;&gt;"&amp;"Y"))</f>
        <v/>
      </c>
      <c r="Q38" s="122" t="str">
        <f>IF(B38="","",SUMIFS(Tree!$AP:$AP,Tree!$A:$A,'Pre-Harvest Plots_rpt'!$B38,Tree!$B:$B,'Pre-Harvest Plots_rpt'!$D38,Tree!$F:$F,"L",Tree!$K:$K,"&lt;&gt;"&amp;"Y"))</f>
        <v/>
      </c>
      <c r="R38" s="123" t="str">
        <f>IF(B38="","",SUMIFS(Tree!$AQ:$AQ,Tree!$A:$A,'Pre-Harvest Plots_rpt'!$B38,Tree!$B:$B,'Pre-Harvest Plots_rpt'!$D38,Tree!$F:$F,"L",Tree!$K:$K,"&lt;&gt;"&amp;"Y"))</f>
        <v/>
      </c>
      <c r="S38" s="122" t="str">
        <f>IF(B38="","",SUMIFS(Tree!$AJ:$AJ,Tree!$A:$A,'Pre-Harvest Plots_rpt'!$B38,Tree!$B:$B,'Pre-Harvest Plots_rpt'!$D38,Tree!$F:$F,"L",Tree!$K:$K,"&lt;&gt;"&amp;"Y")-O38)</f>
        <v/>
      </c>
      <c r="T38" s="122" t="str">
        <f>IF(B38="","",SUMIFS(Tree!$AK:$AK,Tree!$A:$A,'Pre-Harvest Plots_rpt'!$B38,Tree!$B:$B,'Pre-Harvest Plots_rpt'!$D38,Tree!$F:$F,"L",Tree!$K:$K,"&lt;&gt;"&amp;"Y")-P38)</f>
        <v/>
      </c>
      <c r="U38" s="122" t="str">
        <f>IF(B38="","",SUMIFS(Tree!$AL:$AL,Tree!$A:$A,'Pre-Harvest Plots_rpt'!$B38,Tree!$B:$B,'Pre-Harvest Plots_rpt'!$D38,Tree!$F:$F,"L",Tree!$K:$K,"&lt;&gt;"&amp;"Y")-Q38)</f>
        <v/>
      </c>
      <c r="V38" s="123" t="str">
        <f>IF(B38="","",ROUND(SUMIFS(Tree!$AE:$AE,Tree!$A:$A,'Pre-Harvest Plots_rpt'!$B38,Tree!$B:$B,'Pre-Harvest Plots_rpt'!$D38,Tree!$F:$F,"L",Tree!$K:$K,"&lt;&gt;"&amp;"Y")-R38,1))</f>
        <v/>
      </c>
      <c r="W38" s="124" t="str">
        <f>IF(B38="","",SUMIFS(Tree!$AY:$AY,Tree!$A:$A,'Pre-Harvest Plots_rpt'!$B38,Tree!$B:$B,'Pre-Harvest Plots_rpt'!$D38,Tree!$F:$F,"L",Tree!$K:$K,"&lt;&gt;"&amp;"Y")/1000)</f>
        <v/>
      </c>
      <c r="X38" s="158" t="str">
        <f>IF(B38="","",ROUND((SUMIFS(Tree!$AW:$AW,Tree!$A:$A,'Pre-Harvest Plots_rpt'!$B38,Tree!$B:$B,'Pre-Harvest Plots_rpt'!$D38,Tree!$F:$F,"L",Tree!$K:$K,"&lt;&gt;"&amp;"Y")/1000)-W38,1))</f>
        <v/>
      </c>
      <c r="Y38" s="135"/>
      <c r="Z38" s="161" t="str">
        <f>IF(IF(B38="","",SUMIFS(Tree!$O:$O,Tree!$A:$A,'Pre-Harvest Plots_rpt'!$B38,Tree!$B:$B,'Pre-Harvest Plots_rpt'!$D38,Tree!$F:$F,"D",Tree!$K:$K,"&lt;&gt;"&amp;"Y"))=0,"",IF(B38="","",SUMIFS(Tree!$O:$O,Tree!$A:$A,'Pre-Harvest Plots_rpt'!$B38,Tree!$B:$B,'Pre-Harvest Plots_rpt'!$D38,Tree!$F:$F,"D",Tree!$K:$K,"&lt;&gt;"&amp;"Y")))</f>
        <v/>
      </c>
      <c r="AA38" s="125" t="str">
        <f t="shared" si="3"/>
        <v/>
      </c>
      <c r="AB38" s="125" t="str">
        <f>IF(Z38="","",SUMIFS(Tree!$R:$R,Tree!$A:$A,'Pre-Harvest Plots_rpt'!$B38,Tree!$B:$B,'Pre-Harvest Plots_rpt'!$D38,Tree!$F:$F,"D",Tree!$K:$K,"&lt;&gt;"&amp;"Y"))</f>
        <v/>
      </c>
      <c r="AC38" s="126" t="str">
        <f>IF(Z38="","",SUMIFS(Tree!$AM:$AM,Tree!$A:$A,'Pre-Harvest Plots_rpt'!$B38,Tree!$B:$B,'Pre-Harvest Plots_rpt'!$D38,Tree!$F:$F,"D",Tree!$K:$K,"&lt;&gt;"&amp;"Y"))</f>
        <v/>
      </c>
      <c r="AD38" s="162" t="str">
        <f>IF(Z38="","",SUMIFS(Tree!$AW:$AW,Tree!$A:$A,'Pre-Harvest Plots_rpt'!$B38,Tree!$B:$B,'Pre-Harvest Plots_rpt'!$D38,Tree!$F:$F,"D",Tree!$K:$K,"&lt;&gt;"&amp;"Y")/1000)</f>
        <v/>
      </c>
      <c r="AE38" s="47"/>
      <c r="AF38" s="18"/>
      <c r="AG38" s="18"/>
      <c r="AH38" s="18"/>
    </row>
    <row r="39" spans="1:34" ht="12.75" customHeight="1" x14ac:dyDescent="0.25">
      <c r="A39" s="48">
        <v>36</v>
      </c>
      <c r="B39" s="171" t="str">
        <f>IF(A39&lt;=SUM(Stand!$H$3:$H$29),VLOOKUP(A39,Stand!$A$3:$C$29,3,TRUE),"")</f>
        <v/>
      </c>
      <c r="C39" s="172" t="str">
        <f t="shared" si="0"/>
        <v/>
      </c>
      <c r="D39" s="173" t="str">
        <f>IF(B39="","",VLOOKUP(B39&amp;C39,Plot!$B$2:$D$199,3,FALSE))</f>
        <v/>
      </c>
      <c r="E39" s="130"/>
      <c r="F39" s="152" t="str">
        <f>IF(B39="","",SUMIFS(Tree!$O:$O,Tree!$A:$A,'Pre-Harvest Plots_rpt'!$B39,Tree!$B:$B,'Pre-Harvest Plots_rpt'!$D39,Tree!$F:$F,"L",Tree!$K:$K,"&lt;&gt;"&amp;"Y"))</f>
        <v/>
      </c>
      <c r="G39" s="153" t="str">
        <f>IFERROR(IF(D39="","",SUMIFS(Tree!$P:$P,Tree!$A:$A,'Pre-Harvest Plots_rpt'!$B39,Tree!$B:$B,'Pre-Harvest Plots_rpt'!$D39,Tree!$K:$K,"&lt;&gt;"&amp;"Y")/$F39),"")</f>
        <v/>
      </c>
      <c r="H39" s="122" t="str">
        <f t="shared" si="1"/>
        <v/>
      </c>
      <c r="I39" s="121" t="str">
        <f>IF(OR($F39=0,$F39=""),"",SUMIFS(Tree!$R:$R,Tree!$A:$A,'Pre-Harvest Plots_rpt'!$B39,Tree!$B:$B,'Pre-Harvest Plots_rpt'!$D39,Tree!$F:$F,"L",Tree!$K:$K,"&lt;&gt;"&amp;"Y"))</f>
        <v/>
      </c>
      <c r="J39" s="121" t="str">
        <f>IF(OR($F39=0,$F39=""),"",IF(SUMIFS(Tree!$W:$W,Tree!$A:$A,'Pre-Harvest Plots_rpt'!$B39,Tree!$B:$B,'Pre-Harvest Plots_rpt'!$D39,Tree!$F:$F,"L",Tree!$K:$K,"&lt;&gt;"&amp;"Y")=0,0,AVERAGEIFS(Tree!$W:$W,Tree!$A:$A,'Pre-Harvest Plots_rpt'!$B39,Tree!$B:$B,'Pre-Harvest Plots_rpt'!$D39,Tree!$F:$F,"L",Tree!$K:$K,"&lt;&gt;"&amp;"Y")))</f>
        <v/>
      </c>
      <c r="K39" s="121" t="str">
        <f>IF($F39="","",SUMIFS(Tree!$S:$S,Tree!$A:$A,'Pre-Harvest Plots_rpt'!$B39,Tree!$B:$B,'Pre-Harvest Plots_rpt'!$D39,Tree!$F:$F,"L",Tree!$K:$K,"&lt;&gt;"&amp;"Y"))</f>
        <v/>
      </c>
      <c r="L39" s="154" t="str">
        <f t="shared" si="2"/>
        <v/>
      </c>
      <c r="M39" s="135"/>
      <c r="N39" s="192" t="str">
        <f>IF(B39="","",SUMIFS(Tree!$AM:$AM,Tree!$A:$A,'Pre-Harvest Plots_rpt'!$B39,Tree!$B:$B,'Pre-Harvest Plots_rpt'!$D39,Tree!$F:$F,"L",Tree!$K:$K,"&lt;&gt;"&amp;"Y"))</f>
        <v/>
      </c>
      <c r="O39" s="122" t="str">
        <f>IF(B39="","",SUMIFS(Tree!$AN:$AN,Tree!$A:$A,'Pre-Harvest Plots_rpt'!$B39,Tree!$B:$B,'Pre-Harvest Plots_rpt'!$D39,Tree!$F:$F,"L",Tree!$K:$K,"&lt;&gt;"&amp;"Y"))</f>
        <v/>
      </c>
      <c r="P39" s="122" t="str">
        <f>IF(B39="","",SUMIFS(Tree!$AO:$AO,Tree!$A:$A,'Pre-Harvest Plots_rpt'!$B39,Tree!$B:$B,'Pre-Harvest Plots_rpt'!$D39,Tree!$F:$F,"L",Tree!$K:$K,"&lt;&gt;"&amp;"Y"))</f>
        <v/>
      </c>
      <c r="Q39" s="122" t="str">
        <f>IF(B39="","",SUMIFS(Tree!$AP:$AP,Tree!$A:$A,'Pre-Harvest Plots_rpt'!$B39,Tree!$B:$B,'Pre-Harvest Plots_rpt'!$D39,Tree!$F:$F,"L",Tree!$K:$K,"&lt;&gt;"&amp;"Y"))</f>
        <v/>
      </c>
      <c r="R39" s="123" t="str">
        <f>IF(B39="","",SUMIFS(Tree!$AQ:$AQ,Tree!$A:$A,'Pre-Harvest Plots_rpt'!$B39,Tree!$B:$B,'Pre-Harvest Plots_rpt'!$D39,Tree!$F:$F,"L",Tree!$K:$K,"&lt;&gt;"&amp;"Y"))</f>
        <v/>
      </c>
      <c r="S39" s="122" t="str">
        <f>IF(B39="","",SUMIFS(Tree!$AJ:$AJ,Tree!$A:$A,'Pre-Harvest Plots_rpt'!$B39,Tree!$B:$B,'Pre-Harvest Plots_rpt'!$D39,Tree!$F:$F,"L",Tree!$K:$K,"&lt;&gt;"&amp;"Y")-O39)</f>
        <v/>
      </c>
      <c r="T39" s="122" t="str">
        <f>IF(B39="","",SUMIFS(Tree!$AK:$AK,Tree!$A:$A,'Pre-Harvest Plots_rpt'!$B39,Tree!$B:$B,'Pre-Harvest Plots_rpt'!$D39,Tree!$F:$F,"L",Tree!$K:$K,"&lt;&gt;"&amp;"Y")-P39)</f>
        <v/>
      </c>
      <c r="U39" s="122" t="str">
        <f>IF(B39="","",SUMIFS(Tree!$AL:$AL,Tree!$A:$A,'Pre-Harvest Plots_rpt'!$B39,Tree!$B:$B,'Pre-Harvest Plots_rpt'!$D39,Tree!$F:$F,"L",Tree!$K:$K,"&lt;&gt;"&amp;"Y")-Q39)</f>
        <v/>
      </c>
      <c r="V39" s="123" t="str">
        <f>IF(B39="","",ROUND(SUMIFS(Tree!$AE:$AE,Tree!$A:$A,'Pre-Harvest Plots_rpt'!$B39,Tree!$B:$B,'Pre-Harvest Plots_rpt'!$D39,Tree!$F:$F,"L",Tree!$K:$K,"&lt;&gt;"&amp;"Y")-R39,1))</f>
        <v/>
      </c>
      <c r="W39" s="124" t="str">
        <f>IF(B39="","",SUMIFS(Tree!$AY:$AY,Tree!$A:$A,'Pre-Harvest Plots_rpt'!$B39,Tree!$B:$B,'Pre-Harvest Plots_rpt'!$D39,Tree!$F:$F,"L",Tree!$K:$K,"&lt;&gt;"&amp;"Y")/1000)</f>
        <v/>
      </c>
      <c r="X39" s="158" t="str">
        <f>IF(B39="","",ROUND((SUMIFS(Tree!$AW:$AW,Tree!$A:$A,'Pre-Harvest Plots_rpt'!$B39,Tree!$B:$B,'Pre-Harvest Plots_rpt'!$D39,Tree!$F:$F,"L",Tree!$K:$K,"&lt;&gt;"&amp;"Y")/1000)-W39,1))</f>
        <v/>
      </c>
      <c r="Y39" s="135"/>
      <c r="Z39" s="161" t="str">
        <f>IF(IF(B39="","",SUMIFS(Tree!$O:$O,Tree!$A:$A,'Pre-Harvest Plots_rpt'!$B39,Tree!$B:$B,'Pre-Harvest Plots_rpt'!$D39,Tree!$F:$F,"D",Tree!$K:$K,"&lt;&gt;"&amp;"Y"))=0,"",IF(B39="","",SUMIFS(Tree!$O:$O,Tree!$A:$A,'Pre-Harvest Plots_rpt'!$B39,Tree!$B:$B,'Pre-Harvest Plots_rpt'!$D39,Tree!$F:$F,"D",Tree!$K:$K,"&lt;&gt;"&amp;"Y")))</f>
        <v/>
      </c>
      <c r="AA39" s="125" t="str">
        <f t="shared" si="3"/>
        <v/>
      </c>
      <c r="AB39" s="125" t="str">
        <f>IF(Z39="","",SUMIFS(Tree!$R:$R,Tree!$A:$A,'Pre-Harvest Plots_rpt'!$B39,Tree!$B:$B,'Pre-Harvest Plots_rpt'!$D39,Tree!$F:$F,"D",Tree!$K:$K,"&lt;&gt;"&amp;"Y"))</f>
        <v/>
      </c>
      <c r="AC39" s="126" t="str">
        <f>IF(Z39="","",SUMIFS(Tree!$AM:$AM,Tree!$A:$A,'Pre-Harvest Plots_rpt'!$B39,Tree!$B:$B,'Pre-Harvest Plots_rpt'!$D39,Tree!$F:$F,"D",Tree!$K:$K,"&lt;&gt;"&amp;"Y"))</f>
        <v/>
      </c>
      <c r="AD39" s="162" t="str">
        <f>IF(Z39="","",SUMIFS(Tree!$AW:$AW,Tree!$A:$A,'Pre-Harvest Plots_rpt'!$B39,Tree!$B:$B,'Pre-Harvest Plots_rpt'!$D39,Tree!$F:$F,"D",Tree!$K:$K,"&lt;&gt;"&amp;"Y")/1000)</f>
        <v/>
      </c>
      <c r="AE39" s="47"/>
      <c r="AF39" s="18"/>
      <c r="AG39" s="18"/>
      <c r="AH39" s="18"/>
    </row>
    <row r="40" spans="1:34" ht="12.75" customHeight="1" x14ac:dyDescent="0.25">
      <c r="A40" s="48">
        <v>37</v>
      </c>
      <c r="B40" s="171" t="str">
        <f>IF(A40&lt;=SUM(Stand!$H$3:$H$29),VLOOKUP(A40,Stand!$A$3:$C$29,3,TRUE),"")</f>
        <v/>
      </c>
      <c r="C40" s="172" t="str">
        <f t="shared" si="0"/>
        <v/>
      </c>
      <c r="D40" s="173" t="str">
        <f>IF(B40="","",VLOOKUP(B40&amp;C40,Plot!$B$2:$D$199,3,FALSE))</f>
        <v/>
      </c>
      <c r="E40" s="130"/>
      <c r="F40" s="152" t="str">
        <f>IF(B40="","",SUMIFS(Tree!$O:$O,Tree!$A:$A,'Pre-Harvest Plots_rpt'!$B40,Tree!$B:$B,'Pre-Harvest Plots_rpt'!$D40,Tree!$F:$F,"L",Tree!$K:$K,"&lt;&gt;"&amp;"Y"))</f>
        <v/>
      </c>
      <c r="G40" s="153" t="str">
        <f>IFERROR(IF(D40="","",SUMIFS(Tree!$P:$P,Tree!$A:$A,'Pre-Harvest Plots_rpt'!$B40,Tree!$B:$B,'Pre-Harvest Plots_rpt'!$D40,Tree!$K:$K,"&lt;&gt;"&amp;"Y")/$F40),"")</f>
        <v/>
      </c>
      <c r="H40" s="122" t="str">
        <f t="shared" si="1"/>
        <v/>
      </c>
      <c r="I40" s="121" t="str">
        <f>IF(OR($F40=0,$F40=""),"",SUMIFS(Tree!$R:$R,Tree!$A:$A,'Pre-Harvest Plots_rpt'!$B40,Tree!$B:$B,'Pre-Harvest Plots_rpt'!$D40,Tree!$F:$F,"L",Tree!$K:$K,"&lt;&gt;"&amp;"Y"))</f>
        <v/>
      </c>
      <c r="J40" s="121" t="str">
        <f>IF(OR($F40=0,$F40=""),"",IF(SUMIFS(Tree!$W:$W,Tree!$A:$A,'Pre-Harvest Plots_rpt'!$B40,Tree!$B:$B,'Pre-Harvest Plots_rpt'!$D40,Tree!$F:$F,"L",Tree!$K:$K,"&lt;&gt;"&amp;"Y")=0,0,AVERAGEIFS(Tree!$W:$W,Tree!$A:$A,'Pre-Harvest Plots_rpt'!$B40,Tree!$B:$B,'Pre-Harvest Plots_rpt'!$D40,Tree!$F:$F,"L",Tree!$K:$K,"&lt;&gt;"&amp;"Y")))</f>
        <v/>
      </c>
      <c r="K40" s="121" t="str">
        <f>IF($F40="","",SUMIFS(Tree!$S:$S,Tree!$A:$A,'Pre-Harvest Plots_rpt'!$B40,Tree!$B:$B,'Pre-Harvest Plots_rpt'!$D40,Tree!$F:$F,"L",Tree!$K:$K,"&lt;&gt;"&amp;"Y"))</f>
        <v/>
      </c>
      <c r="L40" s="154" t="str">
        <f t="shared" si="2"/>
        <v/>
      </c>
      <c r="M40" s="135"/>
      <c r="N40" s="192" t="str">
        <f>IF(B40="","",SUMIFS(Tree!$AM:$AM,Tree!$A:$A,'Pre-Harvest Plots_rpt'!$B40,Tree!$B:$B,'Pre-Harvest Plots_rpt'!$D40,Tree!$F:$F,"L",Tree!$K:$K,"&lt;&gt;"&amp;"Y"))</f>
        <v/>
      </c>
      <c r="O40" s="122" t="str">
        <f>IF(B40="","",SUMIFS(Tree!$AN:$AN,Tree!$A:$A,'Pre-Harvest Plots_rpt'!$B40,Tree!$B:$B,'Pre-Harvest Plots_rpt'!$D40,Tree!$F:$F,"L",Tree!$K:$K,"&lt;&gt;"&amp;"Y"))</f>
        <v/>
      </c>
      <c r="P40" s="122" t="str">
        <f>IF(B40="","",SUMIFS(Tree!$AO:$AO,Tree!$A:$A,'Pre-Harvest Plots_rpt'!$B40,Tree!$B:$B,'Pre-Harvest Plots_rpt'!$D40,Tree!$F:$F,"L",Tree!$K:$K,"&lt;&gt;"&amp;"Y"))</f>
        <v/>
      </c>
      <c r="Q40" s="122" t="str">
        <f>IF(B40="","",SUMIFS(Tree!$AP:$AP,Tree!$A:$A,'Pre-Harvest Plots_rpt'!$B40,Tree!$B:$B,'Pre-Harvest Plots_rpt'!$D40,Tree!$F:$F,"L",Tree!$K:$K,"&lt;&gt;"&amp;"Y"))</f>
        <v/>
      </c>
      <c r="R40" s="123" t="str">
        <f>IF(B40="","",SUMIFS(Tree!$AQ:$AQ,Tree!$A:$A,'Pre-Harvest Plots_rpt'!$B40,Tree!$B:$B,'Pre-Harvest Plots_rpt'!$D40,Tree!$F:$F,"L",Tree!$K:$K,"&lt;&gt;"&amp;"Y"))</f>
        <v/>
      </c>
      <c r="S40" s="122" t="str">
        <f>IF(B40="","",SUMIFS(Tree!$AJ:$AJ,Tree!$A:$A,'Pre-Harvest Plots_rpt'!$B40,Tree!$B:$B,'Pre-Harvest Plots_rpt'!$D40,Tree!$F:$F,"L",Tree!$K:$K,"&lt;&gt;"&amp;"Y")-O40)</f>
        <v/>
      </c>
      <c r="T40" s="122" t="str">
        <f>IF(B40="","",SUMIFS(Tree!$AK:$AK,Tree!$A:$A,'Pre-Harvest Plots_rpt'!$B40,Tree!$B:$B,'Pre-Harvest Plots_rpt'!$D40,Tree!$F:$F,"L",Tree!$K:$K,"&lt;&gt;"&amp;"Y")-P40)</f>
        <v/>
      </c>
      <c r="U40" s="122" t="str">
        <f>IF(B40="","",SUMIFS(Tree!$AL:$AL,Tree!$A:$A,'Pre-Harvest Plots_rpt'!$B40,Tree!$B:$B,'Pre-Harvest Plots_rpt'!$D40,Tree!$F:$F,"L",Tree!$K:$K,"&lt;&gt;"&amp;"Y")-Q40)</f>
        <v/>
      </c>
      <c r="V40" s="123" t="str">
        <f>IF(B40="","",ROUND(SUMIFS(Tree!$AE:$AE,Tree!$A:$A,'Pre-Harvest Plots_rpt'!$B40,Tree!$B:$B,'Pre-Harvest Plots_rpt'!$D40,Tree!$F:$F,"L",Tree!$K:$K,"&lt;&gt;"&amp;"Y")-R40,1))</f>
        <v/>
      </c>
      <c r="W40" s="124" t="str">
        <f>IF(B40="","",SUMIFS(Tree!$AY:$AY,Tree!$A:$A,'Pre-Harvest Plots_rpt'!$B40,Tree!$B:$B,'Pre-Harvest Plots_rpt'!$D40,Tree!$F:$F,"L",Tree!$K:$K,"&lt;&gt;"&amp;"Y")/1000)</f>
        <v/>
      </c>
      <c r="X40" s="158" t="str">
        <f>IF(B40="","",ROUND((SUMIFS(Tree!$AW:$AW,Tree!$A:$A,'Pre-Harvest Plots_rpt'!$B40,Tree!$B:$B,'Pre-Harvest Plots_rpt'!$D40,Tree!$F:$F,"L",Tree!$K:$K,"&lt;&gt;"&amp;"Y")/1000)-W40,1))</f>
        <v/>
      </c>
      <c r="Y40" s="135"/>
      <c r="Z40" s="161" t="str">
        <f>IF(IF(B40="","",SUMIFS(Tree!$O:$O,Tree!$A:$A,'Pre-Harvest Plots_rpt'!$B40,Tree!$B:$B,'Pre-Harvest Plots_rpt'!$D40,Tree!$F:$F,"D",Tree!$K:$K,"&lt;&gt;"&amp;"Y"))=0,"",IF(B40="","",SUMIFS(Tree!$O:$O,Tree!$A:$A,'Pre-Harvest Plots_rpt'!$B40,Tree!$B:$B,'Pre-Harvest Plots_rpt'!$D40,Tree!$F:$F,"D",Tree!$K:$K,"&lt;&gt;"&amp;"Y")))</f>
        <v/>
      </c>
      <c r="AA40" s="125" t="str">
        <f t="shared" si="3"/>
        <v/>
      </c>
      <c r="AB40" s="125" t="str">
        <f>IF(Z40="","",SUMIFS(Tree!$R:$R,Tree!$A:$A,'Pre-Harvest Plots_rpt'!$B40,Tree!$B:$B,'Pre-Harvest Plots_rpt'!$D40,Tree!$F:$F,"D",Tree!$K:$K,"&lt;&gt;"&amp;"Y"))</f>
        <v/>
      </c>
      <c r="AC40" s="126" t="str">
        <f>IF(Z40="","",SUMIFS(Tree!$AM:$AM,Tree!$A:$A,'Pre-Harvest Plots_rpt'!$B40,Tree!$B:$B,'Pre-Harvest Plots_rpt'!$D40,Tree!$F:$F,"D",Tree!$K:$K,"&lt;&gt;"&amp;"Y"))</f>
        <v/>
      </c>
      <c r="AD40" s="162" t="str">
        <f>IF(Z40="","",SUMIFS(Tree!$AW:$AW,Tree!$A:$A,'Pre-Harvest Plots_rpt'!$B40,Tree!$B:$B,'Pre-Harvest Plots_rpt'!$D40,Tree!$F:$F,"D",Tree!$K:$K,"&lt;&gt;"&amp;"Y")/1000)</f>
        <v/>
      </c>
      <c r="AE40" s="47"/>
      <c r="AF40" s="18"/>
      <c r="AG40" s="18"/>
      <c r="AH40" s="18"/>
    </row>
    <row r="41" spans="1:34" ht="12.75" customHeight="1" x14ac:dyDescent="0.25">
      <c r="A41" s="48">
        <v>38</v>
      </c>
      <c r="B41" s="171" t="str">
        <f>IF(A41&lt;=SUM(Stand!$H$3:$H$29),VLOOKUP(A41,Stand!$A$3:$C$29,3,TRUE),"")</f>
        <v/>
      </c>
      <c r="C41" s="172" t="str">
        <f t="shared" si="0"/>
        <v/>
      </c>
      <c r="D41" s="173" t="str">
        <f>IF(B41="","",VLOOKUP(B41&amp;C41,Plot!$B$2:$D$199,3,FALSE))</f>
        <v/>
      </c>
      <c r="E41" s="130"/>
      <c r="F41" s="152" t="str">
        <f>IF(B41="","",SUMIFS(Tree!$O:$O,Tree!$A:$A,'Pre-Harvest Plots_rpt'!$B41,Tree!$B:$B,'Pre-Harvest Plots_rpt'!$D41,Tree!$F:$F,"L",Tree!$K:$K,"&lt;&gt;"&amp;"Y"))</f>
        <v/>
      </c>
      <c r="G41" s="153" t="str">
        <f>IFERROR(IF(D41="","",SUMIFS(Tree!$P:$P,Tree!$A:$A,'Pre-Harvest Plots_rpt'!$B41,Tree!$B:$B,'Pre-Harvest Plots_rpt'!$D41,Tree!$K:$K,"&lt;&gt;"&amp;"Y")/$F41),"")</f>
        <v/>
      </c>
      <c r="H41" s="122" t="str">
        <f t="shared" si="1"/>
        <v/>
      </c>
      <c r="I41" s="121" t="str">
        <f>IF(OR($F41=0,$F41=""),"",SUMIFS(Tree!$R:$R,Tree!$A:$A,'Pre-Harvest Plots_rpt'!$B41,Tree!$B:$B,'Pre-Harvest Plots_rpt'!$D41,Tree!$F:$F,"L",Tree!$K:$K,"&lt;&gt;"&amp;"Y"))</f>
        <v/>
      </c>
      <c r="J41" s="121" t="str">
        <f>IF(OR($F41=0,$F41=""),"",IF(SUMIFS(Tree!$W:$W,Tree!$A:$A,'Pre-Harvest Plots_rpt'!$B41,Tree!$B:$B,'Pre-Harvest Plots_rpt'!$D41,Tree!$F:$F,"L",Tree!$K:$K,"&lt;&gt;"&amp;"Y")=0,0,AVERAGEIFS(Tree!$W:$W,Tree!$A:$A,'Pre-Harvest Plots_rpt'!$B41,Tree!$B:$B,'Pre-Harvest Plots_rpt'!$D41,Tree!$F:$F,"L",Tree!$K:$K,"&lt;&gt;"&amp;"Y")))</f>
        <v/>
      </c>
      <c r="K41" s="121" t="str">
        <f>IF($F41="","",SUMIFS(Tree!$S:$S,Tree!$A:$A,'Pre-Harvest Plots_rpt'!$B41,Tree!$B:$B,'Pre-Harvest Plots_rpt'!$D41,Tree!$F:$F,"L",Tree!$K:$K,"&lt;&gt;"&amp;"Y"))</f>
        <v/>
      </c>
      <c r="L41" s="154" t="str">
        <f t="shared" si="2"/>
        <v/>
      </c>
      <c r="M41" s="135"/>
      <c r="N41" s="192" t="str">
        <f>IF(B41="","",SUMIFS(Tree!$AM:$AM,Tree!$A:$A,'Pre-Harvest Plots_rpt'!$B41,Tree!$B:$B,'Pre-Harvest Plots_rpt'!$D41,Tree!$F:$F,"L",Tree!$K:$K,"&lt;&gt;"&amp;"Y"))</f>
        <v/>
      </c>
      <c r="O41" s="122" t="str">
        <f>IF(B41="","",SUMIFS(Tree!$AN:$AN,Tree!$A:$A,'Pre-Harvest Plots_rpt'!$B41,Tree!$B:$B,'Pre-Harvest Plots_rpt'!$D41,Tree!$F:$F,"L",Tree!$K:$K,"&lt;&gt;"&amp;"Y"))</f>
        <v/>
      </c>
      <c r="P41" s="122" t="str">
        <f>IF(B41="","",SUMIFS(Tree!$AO:$AO,Tree!$A:$A,'Pre-Harvest Plots_rpt'!$B41,Tree!$B:$B,'Pre-Harvest Plots_rpt'!$D41,Tree!$F:$F,"L",Tree!$K:$K,"&lt;&gt;"&amp;"Y"))</f>
        <v/>
      </c>
      <c r="Q41" s="122" t="str">
        <f>IF(B41="","",SUMIFS(Tree!$AP:$AP,Tree!$A:$A,'Pre-Harvest Plots_rpt'!$B41,Tree!$B:$B,'Pre-Harvest Plots_rpt'!$D41,Tree!$F:$F,"L",Tree!$K:$K,"&lt;&gt;"&amp;"Y"))</f>
        <v/>
      </c>
      <c r="R41" s="123" t="str">
        <f>IF(B41="","",SUMIFS(Tree!$AQ:$AQ,Tree!$A:$A,'Pre-Harvest Plots_rpt'!$B41,Tree!$B:$B,'Pre-Harvest Plots_rpt'!$D41,Tree!$F:$F,"L",Tree!$K:$K,"&lt;&gt;"&amp;"Y"))</f>
        <v/>
      </c>
      <c r="S41" s="122" t="str">
        <f>IF(B41="","",SUMIFS(Tree!$AJ:$AJ,Tree!$A:$A,'Pre-Harvest Plots_rpt'!$B41,Tree!$B:$B,'Pre-Harvest Plots_rpt'!$D41,Tree!$F:$F,"L",Tree!$K:$K,"&lt;&gt;"&amp;"Y")-O41)</f>
        <v/>
      </c>
      <c r="T41" s="122" t="str">
        <f>IF(B41="","",SUMIFS(Tree!$AK:$AK,Tree!$A:$A,'Pre-Harvest Plots_rpt'!$B41,Tree!$B:$B,'Pre-Harvest Plots_rpt'!$D41,Tree!$F:$F,"L",Tree!$K:$K,"&lt;&gt;"&amp;"Y")-P41)</f>
        <v/>
      </c>
      <c r="U41" s="122" t="str">
        <f>IF(B41="","",SUMIFS(Tree!$AL:$AL,Tree!$A:$A,'Pre-Harvest Plots_rpt'!$B41,Tree!$B:$B,'Pre-Harvest Plots_rpt'!$D41,Tree!$F:$F,"L",Tree!$K:$K,"&lt;&gt;"&amp;"Y")-Q41)</f>
        <v/>
      </c>
      <c r="V41" s="123" t="str">
        <f>IF(B41="","",ROUND(SUMIFS(Tree!$AE:$AE,Tree!$A:$A,'Pre-Harvest Plots_rpt'!$B41,Tree!$B:$B,'Pre-Harvest Plots_rpt'!$D41,Tree!$F:$F,"L",Tree!$K:$K,"&lt;&gt;"&amp;"Y")-R41,1))</f>
        <v/>
      </c>
      <c r="W41" s="124" t="str">
        <f>IF(B41="","",SUMIFS(Tree!$AY:$AY,Tree!$A:$A,'Pre-Harvest Plots_rpt'!$B41,Tree!$B:$B,'Pre-Harvest Plots_rpt'!$D41,Tree!$F:$F,"L",Tree!$K:$K,"&lt;&gt;"&amp;"Y")/1000)</f>
        <v/>
      </c>
      <c r="X41" s="158" t="str">
        <f>IF(B41="","",ROUND((SUMIFS(Tree!$AW:$AW,Tree!$A:$A,'Pre-Harvest Plots_rpt'!$B41,Tree!$B:$B,'Pre-Harvest Plots_rpt'!$D41,Tree!$F:$F,"L",Tree!$K:$K,"&lt;&gt;"&amp;"Y")/1000)-W41,1))</f>
        <v/>
      </c>
      <c r="Y41" s="135"/>
      <c r="Z41" s="161" t="str">
        <f>IF(IF(B41="","",SUMIFS(Tree!$O:$O,Tree!$A:$A,'Pre-Harvest Plots_rpt'!$B41,Tree!$B:$B,'Pre-Harvest Plots_rpt'!$D41,Tree!$F:$F,"D",Tree!$K:$K,"&lt;&gt;"&amp;"Y"))=0,"",IF(B41="","",SUMIFS(Tree!$O:$O,Tree!$A:$A,'Pre-Harvest Plots_rpt'!$B41,Tree!$B:$B,'Pre-Harvest Plots_rpt'!$D41,Tree!$F:$F,"D",Tree!$K:$K,"&lt;&gt;"&amp;"Y")))</f>
        <v/>
      </c>
      <c r="AA41" s="125" t="str">
        <f t="shared" si="3"/>
        <v/>
      </c>
      <c r="AB41" s="125" t="str">
        <f>IF(Z41="","",SUMIFS(Tree!$R:$R,Tree!$A:$A,'Pre-Harvest Plots_rpt'!$B41,Tree!$B:$B,'Pre-Harvest Plots_rpt'!$D41,Tree!$F:$F,"D",Tree!$K:$K,"&lt;&gt;"&amp;"Y"))</f>
        <v/>
      </c>
      <c r="AC41" s="126" t="str">
        <f>IF(Z41="","",SUMIFS(Tree!$AM:$AM,Tree!$A:$A,'Pre-Harvest Plots_rpt'!$B41,Tree!$B:$B,'Pre-Harvest Plots_rpt'!$D41,Tree!$F:$F,"D",Tree!$K:$K,"&lt;&gt;"&amp;"Y"))</f>
        <v/>
      </c>
      <c r="AD41" s="162" t="str">
        <f>IF(Z41="","",SUMIFS(Tree!$AW:$AW,Tree!$A:$A,'Pre-Harvest Plots_rpt'!$B41,Tree!$B:$B,'Pre-Harvest Plots_rpt'!$D41,Tree!$F:$F,"D",Tree!$K:$K,"&lt;&gt;"&amp;"Y")/1000)</f>
        <v/>
      </c>
      <c r="AE41" s="47"/>
      <c r="AF41" s="18"/>
      <c r="AG41" s="18"/>
      <c r="AH41" s="18"/>
    </row>
    <row r="42" spans="1:34" ht="12.75" customHeight="1" x14ac:dyDescent="0.25">
      <c r="A42" s="48">
        <v>39</v>
      </c>
      <c r="B42" s="171" t="str">
        <f>IF(A42&lt;=SUM(Stand!$H$3:$H$29),VLOOKUP(A42,Stand!$A$3:$C$29,3,TRUE),"")</f>
        <v/>
      </c>
      <c r="C42" s="172" t="str">
        <f t="shared" si="0"/>
        <v/>
      </c>
      <c r="D42" s="173" t="str">
        <f>IF(B42="","",VLOOKUP(B42&amp;C42,Plot!$B$2:$D$199,3,FALSE))</f>
        <v/>
      </c>
      <c r="E42" s="130"/>
      <c r="F42" s="152" t="str">
        <f>IF(B42="","",SUMIFS(Tree!$O:$O,Tree!$A:$A,'Pre-Harvest Plots_rpt'!$B42,Tree!$B:$B,'Pre-Harvest Plots_rpt'!$D42,Tree!$F:$F,"L",Tree!$K:$K,"&lt;&gt;"&amp;"Y"))</f>
        <v/>
      </c>
      <c r="G42" s="153" t="str">
        <f>IFERROR(IF(D42="","",SUMIFS(Tree!$P:$P,Tree!$A:$A,'Pre-Harvest Plots_rpt'!$B42,Tree!$B:$B,'Pre-Harvest Plots_rpt'!$D42,Tree!$K:$K,"&lt;&gt;"&amp;"Y")/$F42),"")</f>
        <v/>
      </c>
      <c r="H42" s="122" t="str">
        <f t="shared" si="1"/>
        <v/>
      </c>
      <c r="I42" s="121" t="str">
        <f>IF(OR($F42=0,$F42=""),"",SUMIFS(Tree!$R:$R,Tree!$A:$A,'Pre-Harvest Plots_rpt'!$B42,Tree!$B:$B,'Pre-Harvest Plots_rpt'!$D42,Tree!$F:$F,"L",Tree!$K:$K,"&lt;&gt;"&amp;"Y"))</f>
        <v/>
      </c>
      <c r="J42" s="121" t="str">
        <f>IF(OR($F42=0,$F42=""),"",IF(SUMIFS(Tree!$W:$W,Tree!$A:$A,'Pre-Harvest Plots_rpt'!$B42,Tree!$B:$B,'Pre-Harvest Plots_rpt'!$D42,Tree!$F:$F,"L",Tree!$K:$K,"&lt;&gt;"&amp;"Y")=0,0,AVERAGEIFS(Tree!$W:$W,Tree!$A:$A,'Pre-Harvest Plots_rpt'!$B42,Tree!$B:$B,'Pre-Harvest Plots_rpt'!$D42,Tree!$F:$F,"L",Tree!$K:$K,"&lt;&gt;"&amp;"Y")))</f>
        <v/>
      </c>
      <c r="K42" s="121" t="str">
        <f>IF($F42="","",SUMIFS(Tree!$S:$S,Tree!$A:$A,'Pre-Harvest Plots_rpt'!$B42,Tree!$B:$B,'Pre-Harvest Plots_rpt'!$D42,Tree!$F:$F,"L",Tree!$K:$K,"&lt;&gt;"&amp;"Y"))</f>
        <v/>
      </c>
      <c r="L42" s="154" t="str">
        <f t="shared" si="2"/>
        <v/>
      </c>
      <c r="M42" s="135"/>
      <c r="N42" s="192" t="str">
        <f>IF(B42="","",SUMIFS(Tree!$AM:$AM,Tree!$A:$A,'Pre-Harvest Plots_rpt'!$B42,Tree!$B:$B,'Pre-Harvest Plots_rpt'!$D42,Tree!$F:$F,"L",Tree!$K:$K,"&lt;&gt;"&amp;"Y"))</f>
        <v/>
      </c>
      <c r="O42" s="122" t="str">
        <f>IF(B42="","",SUMIFS(Tree!$AN:$AN,Tree!$A:$A,'Pre-Harvest Plots_rpt'!$B42,Tree!$B:$B,'Pre-Harvest Plots_rpt'!$D42,Tree!$F:$F,"L",Tree!$K:$K,"&lt;&gt;"&amp;"Y"))</f>
        <v/>
      </c>
      <c r="P42" s="122" t="str">
        <f>IF(B42="","",SUMIFS(Tree!$AO:$AO,Tree!$A:$A,'Pre-Harvest Plots_rpt'!$B42,Tree!$B:$B,'Pre-Harvest Plots_rpt'!$D42,Tree!$F:$F,"L",Tree!$K:$K,"&lt;&gt;"&amp;"Y"))</f>
        <v/>
      </c>
      <c r="Q42" s="122" t="str">
        <f>IF(B42="","",SUMIFS(Tree!$AP:$AP,Tree!$A:$A,'Pre-Harvest Plots_rpt'!$B42,Tree!$B:$B,'Pre-Harvest Plots_rpt'!$D42,Tree!$F:$F,"L",Tree!$K:$K,"&lt;&gt;"&amp;"Y"))</f>
        <v/>
      </c>
      <c r="R42" s="123" t="str">
        <f>IF(B42="","",SUMIFS(Tree!$AQ:$AQ,Tree!$A:$A,'Pre-Harvest Plots_rpt'!$B42,Tree!$B:$B,'Pre-Harvest Plots_rpt'!$D42,Tree!$F:$F,"L",Tree!$K:$K,"&lt;&gt;"&amp;"Y"))</f>
        <v/>
      </c>
      <c r="S42" s="122" t="str">
        <f>IF(B42="","",SUMIFS(Tree!$AJ:$AJ,Tree!$A:$A,'Pre-Harvest Plots_rpt'!$B42,Tree!$B:$B,'Pre-Harvest Plots_rpt'!$D42,Tree!$F:$F,"L",Tree!$K:$K,"&lt;&gt;"&amp;"Y")-O42)</f>
        <v/>
      </c>
      <c r="T42" s="122" t="str">
        <f>IF(B42="","",SUMIFS(Tree!$AK:$AK,Tree!$A:$A,'Pre-Harvest Plots_rpt'!$B42,Tree!$B:$B,'Pre-Harvest Plots_rpt'!$D42,Tree!$F:$F,"L",Tree!$K:$K,"&lt;&gt;"&amp;"Y")-P42)</f>
        <v/>
      </c>
      <c r="U42" s="122" t="str">
        <f>IF(B42="","",SUMIFS(Tree!$AL:$AL,Tree!$A:$A,'Pre-Harvest Plots_rpt'!$B42,Tree!$B:$B,'Pre-Harvest Plots_rpt'!$D42,Tree!$F:$F,"L",Tree!$K:$K,"&lt;&gt;"&amp;"Y")-Q42)</f>
        <v/>
      </c>
      <c r="V42" s="123" t="str">
        <f>IF(B42="","",ROUND(SUMIFS(Tree!$AE:$AE,Tree!$A:$A,'Pre-Harvest Plots_rpt'!$B42,Tree!$B:$B,'Pre-Harvest Plots_rpt'!$D42,Tree!$F:$F,"L",Tree!$K:$K,"&lt;&gt;"&amp;"Y")-R42,1))</f>
        <v/>
      </c>
      <c r="W42" s="124" t="str">
        <f>IF(B42="","",SUMIFS(Tree!$AY:$AY,Tree!$A:$A,'Pre-Harvest Plots_rpt'!$B42,Tree!$B:$B,'Pre-Harvest Plots_rpt'!$D42,Tree!$F:$F,"L",Tree!$K:$K,"&lt;&gt;"&amp;"Y")/1000)</f>
        <v/>
      </c>
      <c r="X42" s="158" t="str">
        <f>IF(B42="","",ROUND((SUMIFS(Tree!$AW:$AW,Tree!$A:$A,'Pre-Harvest Plots_rpt'!$B42,Tree!$B:$B,'Pre-Harvest Plots_rpt'!$D42,Tree!$F:$F,"L",Tree!$K:$K,"&lt;&gt;"&amp;"Y")/1000)-W42,1))</f>
        <v/>
      </c>
      <c r="Y42" s="135"/>
      <c r="Z42" s="161" t="str">
        <f>IF(IF(B42="","",SUMIFS(Tree!$O:$O,Tree!$A:$A,'Pre-Harvest Plots_rpt'!$B42,Tree!$B:$B,'Pre-Harvest Plots_rpt'!$D42,Tree!$F:$F,"D",Tree!$K:$K,"&lt;&gt;"&amp;"Y"))=0,"",IF(B42="","",SUMIFS(Tree!$O:$O,Tree!$A:$A,'Pre-Harvest Plots_rpt'!$B42,Tree!$B:$B,'Pre-Harvest Plots_rpt'!$D42,Tree!$F:$F,"D",Tree!$K:$K,"&lt;&gt;"&amp;"Y")))</f>
        <v/>
      </c>
      <c r="AA42" s="125" t="str">
        <f t="shared" si="3"/>
        <v/>
      </c>
      <c r="AB42" s="125" t="str">
        <f>IF(Z42="","",SUMIFS(Tree!$R:$R,Tree!$A:$A,'Pre-Harvest Plots_rpt'!$B42,Tree!$B:$B,'Pre-Harvest Plots_rpt'!$D42,Tree!$F:$F,"D",Tree!$K:$K,"&lt;&gt;"&amp;"Y"))</f>
        <v/>
      </c>
      <c r="AC42" s="126" t="str">
        <f>IF(Z42="","",SUMIFS(Tree!$AM:$AM,Tree!$A:$A,'Pre-Harvest Plots_rpt'!$B42,Tree!$B:$B,'Pre-Harvest Plots_rpt'!$D42,Tree!$F:$F,"D",Tree!$K:$K,"&lt;&gt;"&amp;"Y"))</f>
        <v/>
      </c>
      <c r="AD42" s="162" t="str">
        <f>IF(Z42="","",SUMIFS(Tree!$AW:$AW,Tree!$A:$A,'Pre-Harvest Plots_rpt'!$B42,Tree!$B:$B,'Pre-Harvest Plots_rpt'!$D42,Tree!$F:$F,"D",Tree!$K:$K,"&lt;&gt;"&amp;"Y")/1000)</f>
        <v/>
      </c>
      <c r="AE42" s="47"/>
      <c r="AF42" s="18"/>
      <c r="AG42" s="18"/>
      <c r="AH42" s="18"/>
    </row>
    <row r="43" spans="1:34" ht="12.75" customHeight="1" x14ac:dyDescent="0.25">
      <c r="A43" s="48">
        <v>40</v>
      </c>
      <c r="B43" s="171" t="str">
        <f>IF(A43&lt;=SUM(Stand!$H$3:$H$29),VLOOKUP(A43,Stand!$A$3:$C$29,3,TRUE),"")</f>
        <v/>
      </c>
      <c r="C43" s="172" t="str">
        <f t="shared" si="0"/>
        <v/>
      </c>
      <c r="D43" s="173" t="str">
        <f>IF(B43="","",VLOOKUP(B43&amp;C43,Plot!$B$2:$D$199,3,FALSE))</f>
        <v/>
      </c>
      <c r="E43" s="130"/>
      <c r="F43" s="152" t="str">
        <f>IF(B43="","",SUMIFS(Tree!$O:$O,Tree!$A:$A,'Pre-Harvest Plots_rpt'!$B43,Tree!$B:$B,'Pre-Harvest Plots_rpt'!$D43,Tree!$F:$F,"L",Tree!$K:$K,"&lt;&gt;"&amp;"Y"))</f>
        <v/>
      </c>
      <c r="G43" s="153" t="str">
        <f>IFERROR(IF(D43="","",SUMIFS(Tree!$P:$P,Tree!$A:$A,'Pre-Harvest Plots_rpt'!$B43,Tree!$B:$B,'Pre-Harvest Plots_rpt'!$D43,Tree!$K:$K,"&lt;&gt;"&amp;"Y")/$F43),"")</f>
        <v/>
      </c>
      <c r="H43" s="122" t="str">
        <f t="shared" si="1"/>
        <v/>
      </c>
      <c r="I43" s="121" t="str">
        <f>IF(OR($F43=0,$F43=""),"",SUMIFS(Tree!$R:$R,Tree!$A:$A,'Pre-Harvest Plots_rpt'!$B43,Tree!$B:$B,'Pre-Harvest Plots_rpt'!$D43,Tree!$F:$F,"L",Tree!$K:$K,"&lt;&gt;"&amp;"Y"))</f>
        <v/>
      </c>
      <c r="J43" s="121" t="str">
        <f>IF(OR($F43=0,$F43=""),"",IF(SUMIFS(Tree!$W:$W,Tree!$A:$A,'Pre-Harvest Plots_rpt'!$B43,Tree!$B:$B,'Pre-Harvest Plots_rpt'!$D43,Tree!$F:$F,"L",Tree!$K:$K,"&lt;&gt;"&amp;"Y")=0,0,AVERAGEIFS(Tree!$W:$W,Tree!$A:$A,'Pre-Harvest Plots_rpt'!$B43,Tree!$B:$B,'Pre-Harvest Plots_rpt'!$D43,Tree!$F:$F,"L",Tree!$K:$K,"&lt;&gt;"&amp;"Y")))</f>
        <v/>
      </c>
      <c r="K43" s="121" t="str">
        <f>IF($F43="","",SUMIFS(Tree!$S:$S,Tree!$A:$A,'Pre-Harvest Plots_rpt'!$B43,Tree!$B:$B,'Pre-Harvest Plots_rpt'!$D43,Tree!$F:$F,"L",Tree!$K:$K,"&lt;&gt;"&amp;"Y"))</f>
        <v/>
      </c>
      <c r="L43" s="154" t="str">
        <f t="shared" si="2"/>
        <v/>
      </c>
      <c r="M43" s="135"/>
      <c r="N43" s="192" t="str">
        <f>IF(B43="","",SUMIFS(Tree!$AM:$AM,Tree!$A:$A,'Pre-Harvest Plots_rpt'!$B43,Tree!$B:$B,'Pre-Harvest Plots_rpt'!$D43,Tree!$F:$F,"L",Tree!$K:$K,"&lt;&gt;"&amp;"Y"))</f>
        <v/>
      </c>
      <c r="O43" s="122" t="str">
        <f>IF(B43="","",SUMIFS(Tree!$AN:$AN,Tree!$A:$A,'Pre-Harvest Plots_rpt'!$B43,Tree!$B:$B,'Pre-Harvest Plots_rpt'!$D43,Tree!$F:$F,"L",Tree!$K:$K,"&lt;&gt;"&amp;"Y"))</f>
        <v/>
      </c>
      <c r="P43" s="122" t="str">
        <f>IF(B43="","",SUMIFS(Tree!$AO:$AO,Tree!$A:$A,'Pre-Harvest Plots_rpt'!$B43,Tree!$B:$B,'Pre-Harvest Plots_rpt'!$D43,Tree!$F:$F,"L",Tree!$K:$K,"&lt;&gt;"&amp;"Y"))</f>
        <v/>
      </c>
      <c r="Q43" s="122" t="str">
        <f>IF(B43="","",SUMIFS(Tree!$AP:$AP,Tree!$A:$A,'Pre-Harvest Plots_rpt'!$B43,Tree!$B:$B,'Pre-Harvest Plots_rpt'!$D43,Tree!$F:$F,"L",Tree!$K:$K,"&lt;&gt;"&amp;"Y"))</f>
        <v/>
      </c>
      <c r="R43" s="123" t="str">
        <f>IF(B43="","",SUMIFS(Tree!$AQ:$AQ,Tree!$A:$A,'Pre-Harvest Plots_rpt'!$B43,Tree!$B:$B,'Pre-Harvest Plots_rpt'!$D43,Tree!$F:$F,"L",Tree!$K:$K,"&lt;&gt;"&amp;"Y"))</f>
        <v/>
      </c>
      <c r="S43" s="122" t="str">
        <f>IF(B43="","",SUMIFS(Tree!$AJ:$AJ,Tree!$A:$A,'Pre-Harvest Plots_rpt'!$B43,Tree!$B:$B,'Pre-Harvest Plots_rpt'!$D43,Tree!$F:$F,"L",Tree!$K:$K,"&lt;&gt;"&amp;"Y")-O43)</f>
        <v/>
      </c>
      <c r="T43" s="122" t="str">
        <f>IF(B43="","",SUMIFS(Tree!$AK:$AK,Tree!$A:$A,'Pre-Harvest Plots_rpt'!$B43,Tree!$B:$B,'Pre-Harvest Plots_rpt'!$D43,Tree!$F:$F,"L",Tree!$K:$K,"&lt;&gt;"&amp;"Y")-P43)</f>
        <v/>
      </c>
      <c r="U43" s="122" t="str">
        <f>IF(B43="","",SUMIFS(Tree!$AL:$AL,Tree!$A:$A,'Pre-Harvest Plots_rpt'!$B43,Tree!$B:$B,'Pre-Harvest Plots_rpt'!$D43,Tree!$F:$F,"L",Tree!$K:$K,"&lt;&gt;"&amp;"Y")-Q43)</f>
        <v/>
      </c>
      <c r="V43" s="123" t="str">
        <f>IF(B43="","",ROUND(SUMIFS(Tree!$AE:$AE,Tree!$A:$A,'Pre-Harvest Plots_rpt'!$B43,Tree!$B:$B,'Pre-Harvest Plots_rpt'!$D43,Tree!$F:$F,"L",Tree!$K:$K,"&lt;&gt;"&amp;"Y")-R43,1))</f>
        <v/>
      </c>
      <c r="W43" s="124" t="str">
        <f>IF(B43="","",SUMIFS(Tree!$AY:$AY,Tree!$A:$A,'Pre-Harvest Plots_rpt'!$B43,Tree!$B:$B,'Pre-Harvest Plots_rpt'!$D43,Tree!$F:$F,"L",Tree!$K:$K,"&lt;&gt;"&amp;"Y")/1000)</f>
        <v/>
      </c>
      <c r="X43" s="158" t="str">
        <f>IF(B43="","",ROUND((SUMIFS(Tree!$AW:$AW,Tree!$A:$A,'Pre-Harvest Plots_rpt'!$B43,Tree!$B:$B,'Pre-Harvest Plots_rpt'!$D43,Tree!$F:$F,"L",Tree!$K:$K,"&lt;&gt;"&amp;"Y")/1000)-W43,1))</f>
        <v/>
      </c>
      <c r="Y43" s="135"/>
      <c r="Z43" s="161" t="str">
        <f>IF(IF(B43="","",SUMIFS(Tree!$O:$O,Tree!$A:$A,'Pre-Harvest Plots_rpt'!$B43,Tree!$B:$B,'Pre-Harvest Plots_rpt'!$D43,Tree!$F:$F,"D",Tree!$K:$K,"&lt;&gt;"&amp;"Y"))=0,"",IF(B43="","",SUMIFS(Tree!$O:$O,Tree!$A:$A,'Pre-Harvest Plots_rpt'!$B43,Tree!$B:$B,'Pre-Harvest Plots_rpt'!$D43,Tree!$F:$F,"D",Tree!$K:$K,"&lt;&gt;"&amp;"Y")))</f>
        <v/>
      </c>
      <c r="AA43" s="125" t="str">
        <f t="shared" si="3"/>
        <v/>
      </c>
      <c r="AB43" s="125" t="str">
        <f>IF(Z43="","",SUMIFS(Tree!$R:$R,Tree!$A:$A,'Pre-Harvest Plots_rpt'!$B43,Tree!$B:$B,'Pre-Harvest Plots_rpt'!$D43,Tree!$F:$F,"D",Tree!$K:$K,"&lt;&gt;"&amp;"Y"))</f>
        <v/>
      </c>
      <c r="AC43" s="126" t="str">
        <f>IF(Z43="","",SUMIFS(Tree!$AM:$AM,Tree!$A:$A,'Pre-Harvest Plots_rpt'!$B43,Tree!$B:$B,'Pre-Harvest Plots_rpt'!$D43,Tree!$F:$F,"D",Tree!$K:$K,"&lt;&gt;"&amp;"Y"))</f>
        <v/>
      </c>
      <c r="AD43" s="162" t="str">
        <f>IF(Z43="","",SUMIFS(Tree!$AW:$AW,Tree!$A:$A,'Pre-Harvest Plots_rpt'!$B43,Tree!$B:$B,'Pre-Harvest Plots_rpt'!$D43,Tree!$F:$F,"D",Tree!$K:$K,"&lt;&gt;"&amp;"Y")/1000)</f>
        <v/>
      </c>
      <c r="AE43" s="47"/>
      <c r="AF43" s="18"/>
      <c r="AG43" s="18"/>
      <c r="AH43" s="18"/>
    </row>
    <row r="44" spans="1:34" ht="12.75" customHeight="1" x14ac:dyDescent="0.25">
      <c r="A44" s="48">
        <v>41</v>
      </c>
      <c r="B44" s="171" t="str">
        <f>IF(A44&lt;=SUM(Stand!$H$3:$H$29),VLOOKUP(A44,Stand!$A$3:$C$29,3,TRUE),"")</f>
        <v/>
      </c>
      <c r="C44" s="172" t="str">
        <f t="shared" si="0"/>
        <v/>
      </c>
      <c r="D44" s="173" t="str">
        <f>IF(B44="","",VLOOKUP(B44&amp;C44,Plot!$B$2:$D$199,3,FALSE))</f>
        <v/>
      </c>
      <c r="E44" s="130"/>
      <c r="F44" s="152" t="str">
        <f>IF(B44="","",SUMIFS(Tree!$O:$O,Tree!$A:$A,'Pre-Harvest Plots_rpt'!$B44,Tree!$B:$B,'Pre-Harvest Plots_rpt'!$D44,Tree!$F:$F,"L",Tree!$K:$K,"&lt;&gt;"&amp;"Y"))</f>
        <v/>
      </c>
      <c r="G44" s="153" t="str">
        <f>IFERROR(IF(D44="","",SUMIFS(Tree!$P:$P,Tree!$A:$A,'Pre-Harvest Plots_rpt'!$B44,Tree!$B:$B,'Pre-Harvest Plots_rpt'!$D44,Tree!$K:$K,"&lt;&gt;"&amp;"Y")/$F44),"")</f>
        <v/>
      </c>
      <c r="H44" s="122" t="str">
        <f t="shared" si="1"/>
        <v/>
      </c>
      <c r="I44" s="121" t="str">
        <f>IF(OR($F44=0,$F44=""),"",SUMIFS(Tree!$R:$R,Tree!$A:$A,'Pre-Harvest Plots_rpt'!$B44,Tree!$B:$B,'Pre-Harvest Plots_rpt'!$D44,Tree!$F:$F,"L",Tree!$K:$K,"&lt;&gt;"&amp;"Y"))</f>
        <v/>
      </c>
      <c r="J44" s="121" t="str">
        <f>IF(OR($F44=0,$F44=""),"",IF(SUMIFS(Tree!$W:$W,Tree!$A:$A,'Pre-Harvest Plots_rpt'!$B44,Tree!$B:$B,'Pre-Harvest Plots_rpt'!$D44,Tree!$F:$F,"L",Tree!$K:$K,"&lt;&gt;"&amp;"Y")=0,0,AVERAGEIFS(Tree!$W:$W,Tree!$A:$A,'Pre-Harvest Plots_rpt'!$B44,Tree!$B:$B,'Pre-Harvest Plots_rpt'!$D44,Tree!$F:$F,"L",Tree!$K:$K,"&lt;&gt;"&amp;"Y")))</f>
        <v/>
      </c>
      <c r="K44" s="121" t="str">
        <f>IF($F44="","",SUMIFS(Tree!$S:$S,Tree!$A:$A,'Pre-Harvest Plots_rpt'!$B44,Tree!$B:$B,'Pre-Harvest Plots_rpt'!$D44,Tree!$F:$F,"L",Tree!$K:$K,"&lt;&gt;"&amp;"Y"))</f>
        <v/>
      </c>
      <c r="L44" s="154" t="str">
        <f t="shared" si="2"/>
        <v/>
      </c>
      <c r="M44" s="135"/>
      <c r="N44" s="192" t="str">
        <f>IF(B44="","",SUMIFS(Tree!$AM:$AM,Tree!$A:$A,'Pre-Harvest Plots_rpt'!$B44,Tree!$B:$B,'Pre-Harvest Plots_rpt'!$D44,Tree!$F:$F,"L",Tree!$K:$K,"&lt;&gt;"&amp;"Y"))</f>
        <v/>
      </c>
      <c r="O44" s="122" t="str">
        <f>IF(B44="","",SUMIFS(Tree!$AN:$AN,Tree!$A:$A,'Pre-Harvest Plots_rpt'!$B44,Tree!$B:$B,'Pre-Harvest Plots_rpt'!$D44,Tree!$F:$F,"L",Tree!$K:$K,"&lt;&gt;"&amp;"Y"))</f>
        <v/>
      </c>
      <c r="P44" s="122" t="str">
        <f>IF(B44="","",SUMIFS(Tree!$AO:$AO,Tree!$A:$A,'Pre-Harvest Plots_rpt'!$B44,Tree!$B:$B,'Pre-Harvest Plots_rpt'!$D44,Tree!$F:$F,"L",Tree!$K:$K,"&lt;&gt;"&amp;"Y"))</f>
        <v/>
      </c>
      <c r="Q44" s="122" t="str">
        <f>IF(B44="","",SUMIFS(Tree!$AP:$AP,Tree!$A:$A,'Pre-Harvest Plots_rpt'!$B44,Tree!$B:$B,'Pre-Harvest Plots_rpt'!$D44,Tree!$F:$F,"L",Tree!$K:$K,"&lt;&gt;"&amp;"Y"))</f>
        <v/>
      </c>
      <c r="R44" s="123" t="str">
        <f>IF(B44="","",SUMIFS(Tree!$AQ:$AQ,Tree!$A:$A,'Pre-Harvest Plots_rpt'!$B44,Tree!$B:$B,'Pre-Harvest Plots_rpt'!$D44,Tree!$F:$F,"L",Tree!$K:$K,"&lt;&gt;"&amp;"Y"))</f>
        <v/>
      </c>
      <c r="S44" s="122" t="str">
        <f>IF(B44="","",SUMIFS(Tree!$AJ:$AJ,Tree!$A:$A,'Pre-Harvest Plots_rpt'!$B44,Tree!$B:$B,'Pre-Harvest Plots_rpt'!$D44,Tree!$F:$F,"L",Tree!$K:$K,"&lt;&gt;"&amp;"Y")-O44)</f>
        <v/>
      </c>
      <c r="T44" s="122" t="str">
        <f>IF(B44="","",SUMIFS(Tree!$AK:$AK,Tree!$A:$A,'Pre-Harvest Plots_rpt'!$B44,Tree!$B:$B,'Pre-Harvest Plots_rpt'!$D44,Tree!$F:$F,"L",Tree!$K:$K,"&lt;&gt;"&amp;"Y")-P44)</f>
        <v/>
      </c>
      <c r="U44" s="122" t="str">
        <f>IF(B44="","",SUMIFS(Tree!$AL:$AL,Tree!$A:$A,'Pre-Harvest Plots_rpt'!$B44,Tree!$B:$B,'Pre-Harvest Plots_rpt'!$D44,Tree!$F:$F,"L",Tree!$K:$K,"&lt;&gt;"&amp;"Y")-Q44)</f>
        <v/>
      </c>
      <c r="V44" s="123" t="str">
        <f>IF(B44="","",ROUND(SUMIFS(Tree!$AE:$AE,Tree!$A:$A,'Pre-Harvest Plots_rpt'!$B44,Tree!$B:$B,'Pre-Harvest Plots_rpt'!$D44,Tree!$F:$F,"L",Tree!$K:$K,"&lt;&gt;"&amp;"Y")-R44,1))</f>
        <v/>
      </c>
      <c r="W44" s="124" t="str">
        <f>IF(B44="","",SUMIFS(Tree!$AY:$AY,Tree!$A:$A,'Pre-Harvest Plots_rpt'!$B44,Tree!$B:$B,'Pre-Harvest Plots_rpt'!$D44,Tree!$F:$F,"L",Tree!$K:$K,"&lt;&gt;"&amp;"Y")/1000)</f>
        <v/>
      </c>
      <c r="X44" s="158" t="str">
        <f>IF(B44="","",ROUND((SUMIFS(Tree!$AW:$AW,Tree!$A:$A,'Pre-Harvest Plots_rpt'!$B44,Tree!$B:$B,'Pre-Harvest Plots_rpt'!$D44,Tree!$F:$F,"L",Tree!$K:$K,"&lt;&gt;"&amp;"Y")/1000)-W44,1))</f>
        <v/>
      </c>
      <c r="Y44" s="135"/>
      <c r="Z44" s="161" t="str">
        <f>IF(IF(B44="","",SUMIFS(Tree!$O:$O,Tree!$A:$A,'Pre-Harvest Plots_rpt'!$B44,Tree!$B:$B,'Pre-Harvest Plots_rpt'!$D44,Tree!$F:$F,"D",Tree!$K:$K,"&lt;&gt;"&amp;"Y"))=0,"",IF(B44="","",SUMIFS(Tree!$O:$O,Tree!$A:$A,'Pre-Harvest Plots_rpt'!$B44,Tree!$B:$B,'Pre-Harvest Plots_rpt'!$D44,Tree!$F:$F,"D",Tree!$K:$K,"&lt;&gt;"&amp;"Y")))</f>
        <v/>
      </c>
      <c r="AA44" s="125" t="str">
        <f t="shared" si="3"/>
        <v/>
      </c>
      <c r="AB44" s="125" t="str">
        <f>IF(Z44="","",SUMIFS(Tree!$R:$R,Tree!$A:$A,'Pre-Harvest Plots_rpt'!$B44,Tree!$B:$B,'Pre-Harvest Plots_rpt'!$D44,Tree!$F:$F,"D",Tree!$K:$K,"&lt;&gt;"&amp;"Y"))</f>
        <v/>
      </c>
      <c r="AC44" s="126" t="str">
        <f>IF(Z44="","",SUMIFS(Tree!$AM:$AM,Tree!$A:$A,'Pre-Harvest Plots_rpt'!$B44,Tree!$B:$B,'Pre-Harvest Plots_rpt'!$D44,Tree!$F:$F,"D",Tree!$K:$K,"&lt;&gt;"&amp;"Y"))</f>
        <v/>
      </c>
      <c r="AD44" s="162" t="str">
        <f>IF(Z44="","",SUMIFS(Tree!$AW:$AW,Tree!$A:$A,'Pre-Harvest Plots_rpt'!$B44,Tree!$B:$B,'Pre-Harvest Plots_rpt'!$D44,Tree!$F:$F,"D",Tree!$K:$K,"&lt;&gt;"&amp;"Y")/1000)</f>
        <v/>
      </c>
      <c r="AE44" s="47"/>
      <c r="AF44" s="18"/>
      <c r="AG44" s="18"/>
      <c r="AH44" s="18"/>
    </row>
    <row r="45" spans="1:34" ht="12.75" customHeight="1" x14ac:dyDescent="0.25">
      <c r="A45" s="48">
        <v>42</v>
      </c>
      <c r="B45" s="171" t="str">
        <f>IF(A45&lt;=SUM(Stand!$H$3:$H$29),VLOOKUP(A45,Stand!$A$3:$C$29,3,TRUE),"")</f>
        <v/>
      </c>
      <c r="C45" s="172" t="str">
        <f t="shared" si="0"/>
        <v/>
      </c>
      <c r="D45" s="173" t="str">
        <f>IF(B45="","",VLOOKUP(B45&amp;C45,Plot!$B$2:$D$199,3,FALSE))</f>
        <v/>
      </c>
      <c r="E45" s="130"/>
      <c r="F45" s="152" t="str">
        <f>IF(B45="","",SUMIFS(Tree!$O:$O,Tree!$A:$A,'Pre-Harvest Plots_rpt'!$B45,Tree!$B:$B,'Pre-Harvest Plots_rpt'!$D45,Tree!$F:$F,"L",Tree!$K:$K,"&lt;&gt;"&amp;"Y"))</f>
        <v/>
      </c>
      <c r="G45" s="153" t="str">
        <f>IFERROR(IF(D45="","",SUMIFS(Tree!$P:$P,Tree!$A:$A,'Pre-Harvest Plots_rpt'!$B45,Tree!$B:$B,'Pre-Harvest Plots_rpt'!$D45,Tree!$K:$K,"&lt;&gt;"&amp;"Y")/$F45),"")</f>
        <v/>
      </c>
      <c r="H45" s="122" t="str">
        <f t="shared" si="1"/>
        <v/>
      </c>
      <c r="I45" s="121" t="str">
        <f>IF(OR($F45=0,$F45=""),"",SUMIFS(Tree!$R:$R,Tree!$A:$A,'Pre-Harvest Plots_rpt'!$B45,Tree!$B:$B,'Pre-Harvest Plots_rpt'!$D45,Tree!$F:$F,"L",Tree!$K:$K,"&lt;&gt;"&amp;"Y"))</f>
        <v/>
      </c>
      <c r="J45" s="121" t="str">
        <f>IF(OR($F45=0,$F45=""),"",IF(SUMIFS(Tree!$W:$W,Tree!$A:$A,'Pre-Harvest Plots_rpt'!$B45,Tree!$B:$B,'Pre-Harvest Plots_rpt'!$D45,Tree!$F:$F,"L",Tree!$K:$K,"&lt;&gt;"&amp;"Y")=0,0,AVERAGEIFS(Tree!$W:$W,Tree!$A:$A,'Pre-Harvest Plots_rpt'!$B45,Tree!$B:$B,'Pre-Harvest Plots_rpt'!$D45,Tree!$F:$F,"L",Tree!$K:$K,"&lt;&gt;"&amp;"Y")))</f>
        <v/>
      </c>
      <c r="K45" s="121" t="str">
        <f>IF($F45="","",SUMIFS(Tree!$S:$S,Tree!$A:$A,'Pre-Harvest Plots_rpt'!$B45,Tree!$B:$B,'Pre-Harvest Plots_rpt'!$D45,Tree!$F:$F,"L",Tree!$K:$K,"&lt;&gt;"&amp;"Y"))</f>
        <v/>
      </c>
      <c r="L45" s="154" t="str">
        <f t="shared" si="2"/>
        <v/>
      </c>
      <c r="M45" s="135"/>
      <c r="N45" s="192" t="str">
        <f>IF(B45="","",SUMIFS(Tree!$AM:$AM,Tree!$A:$A,'Pre-Harvest Plots_rpt'!$B45,Tree!$B:$B,'Pre-Harvest Plots_rpt'!$D45,Tree!$F:$F,"L",Tree!$K:$K,"&lt;&gt;"&amp;"Y"))</f>
        <v/>
      </c>
      <c r="O45" s="122" t="str">
        <f>IF(B45="","",SUMIFS(Tree!$AN:$AN,Tree!$A:$A,'Pre-Harvest Plots_rpt'!$B45,Tree!$B:$B,'Pre-Harvest Plots_rpt'!$D45,Tree!$F:$F,"L",Tree!$K:$K,"&lt;&gt;"&amp;"Y"))</f>
        <v/>
      </c>
      <c r="P45" s="122" t="str">
        <f>IF(B45="","",SUMIFS(Tree!$AO:$AO,Tree!$A:$A,'Pre-Harvest Plots_rpt'!$B45,Tree!$B:$B,'Pre-Harvest Plots_rpt'!$D45,Tree!$F:$F,"L",Tree!$K:$K,"&lt;&gt;"&amp;"Y"))</f>
        <v/>
      </c>
      <c r="Q45" s="122" t="str">
        <f>IF(B45="","",SUMIFS(Tree!$AP:$AP,Tree!$A:$A,'Pre-Harvest Plots_rpt'!$B45,Tree!$B:$B,'Pre-Harvest Plots_rpt'!$D45,Tree!$F:$F,"L",Tree!$K:$K,"&lt;&gt;"&amp;"Y"))</f>
        <v/>
      </c>
      <c r="R45" s="123" t="str">
        <f>IF(B45="","",SUMIFS(Tree!$AQ:$AQ,Tree!$A:$A,'Pre-Harvest Plots_rpt'!$B45,Tree!$B:$B,'Pre-Harvest Plots_rpt'!$D45,Tree!$F:$F,"L",Tree!$K:$K,"&lt;&gt;"&amp;"Y"))</f>
        <v/>
      </c>
      <c r="S45" s="122" t="str">
        <f>IF(B45="","",SUMIFS(Tree!$AJ:$AJ,Tree!$A:$A,'Pre-Harvest Plots_rpt'!$B45,Tree!$B:$B,'Pre-Harvest Plots_rpt'!$D45,Tree!$F:$F,"L",Tree!$K:$K,"&lt;&gt;"&amp;"Y")-O45)</f>
        <v/>
      </c>
      <c r="T45" s="122" t="str">
        <f>IF(B45="","",SUMIFS(Tree!$AK:$AK,Tree!$A:$A,'Pre-Harvest Plots_rpt'!$B45,Tree!$B:$B,'Pre-Harvest Plots_rpt'!$D45,Tree!$F:$F,"L",Tree!$K:$K,"&lt;&gt;"&amp;"Y")-P45)</f>
        <v/>
      </c>
      <c r="U45" s="122" t="str">
        <f>IF(B45="","",SUMIFS(Tree!$AL:$AL,Tree!$A:$A,'Pre-Harvest Plots_rpt'!$B45,Tree!$B:$B,'Pre-Harvest Plots_rpt'!$D45,Tree!$F:$F,"L",Tree!$K:$K,"&lt;&gt;"&amp;"Y")-Q45)</f>
        <v/>
      </c>
      <c r="V45" s="123" t="str">
        <f>IF(B45="","",ROUND(SUMIFS(Tree!$AE:$AE,Tree!$A:$A,'Pre-Harvest Plots_rpt'!$B45,Tree!$B:$B,'Pre-Harvest Plots_rpt'!$D45,Tree!$F:$F,"L",Tree!$K:$K,"&lt;&gt;"&amp;"Y")-R45,1))</f>
        <v/>
      </c>
      <c r="W45" s="124" t="str">
        <f>IF(B45="","",SUMIFS(Tree!$AY:$AY,Tree!$A:$A,'Pre-Harvest Plots_rpt'!$B45,Tree!$B:$B,'Pre-Harvest Plots_rpt'!$D45,Tree!$F:$F,"L",Tree!$K:$K,"&lt;&gt;"&amp;"Y")/1000)</f>
        <v/>
      </c>
      <c r="X45" s="158" t="str">
        <f>IF(B45="","",ROUND((SUMIFS(Tree!$AW:$AW,Tree!$A:$A,'Pre-Harvest Plots_rpt'!$B45,Tree!$B:$B,'Pre-Harvest Plots_rpt'!$D45,Tree!$F:$F,"L",Tree!$K:$K,"&lt;&gt;"&amp;"Y")/1000)-W45,1))</f>
        <v/>
      </c>
      <c r="Y45" s="135"/>
      <c r="Z45" s="161" t="str">
        <f>IF(IF(B45="","",SUMIFS(Tree!$O:$O,Tree!$A:$A,'Pre-Harvest Plots_rpt'!$B45,Tree!$B:$B,'Pre-Harvest Plots_rpt'!$D45,Tree!$F:$F,"D",Tree!$K:$K,"&lt;&gt;"&amp;"Y"))=0,"",IF(B45="","",SUMIFS(Tree!$O:$O,Tree!$A:$A,'Pre-Harvest Plots_rpt'!$B45,Tree!$B:$B,'Pre-Harvest Plots_rpt'!$D45,Tree!$F:$F,"D",Tree!$K:$K,"&lt;&gt;"&amp;"Y")))</f>
        <v/>
      </c>
      <c r="AA45" s="125" t="str">
        <f t="shared" si="3"/>
        <v/>
      </c>
      <c r="AB45" s="125" t="str">
        <f>IF(Z45="","",SUMIFS(Tree!$R:$R,Tree!$A:$A,'Pre-Harvest Plots_rpt'!$B45,Tree!$B:$B,'Pre-Harvest Plots_rpt'!$D45,Tree!$F:$F,"D",Tree!$K:$K,"&lt;&gt;"&amp;"Y"))</f>
        <v/>
      </c>
      <c r="AC45" s="126" t="str">
        <f>IF(Z45="","",SUMIFS(Tree!$AM:$AM,Tree!$A:$A,'Pre-Harvest Plots_rpt'!$B45,Tree!$B:$B,'Pre-Harvest Plots_rpt'!$D45,Tree!$F:$F,"D",Tree!$K:$K,"&lt;&gt;"&amp;"Y"))</f>
        <v/>
      </c>
      <c r="AD45" s="162" t="str">
        <f>IF(Z45="","",SUMIFS(Tree!$AW:$AW,Tree!$A:$A,'Pre-Harvest Plots_rpt'!$B45,Tree!$B:$B,'Pre-Harvest Plots_rpt'!$D45,Tree!$F:$F,"D",Tree!$K:$K,"&lt;&gt;"&amp;"Y")/1000)</f>
        <v/>
      </c>
      <c r="AE45" s="47"/>
      <c r="AF45" s="18"/>
      <c r="AG45" s="18"/>
      <c r="AH45" s="18"/>
    </row>
    <row r="46" spans="1:34" ht="12.75" customHeight="1" x14ac:dyDescent="0.25">
      <c r="A46" s="48">
        <v>43</v>
      </c>
      <c r="B46" s="171" t="str">
        <f>IF(A46&lt;=SUM(Stand!$H$3:$H$29),VLOOKUP(A46,Stand!$A$3:$C$29,3,TRUE),"")</f>
        <v/>
      </c>
      <c r="C46" s="172" t="str">
        <f t="shared" si="0"/>
        <v/>
      </c>
      <c r="D46" s="173" t="str">
        <f>IF(B46="","",VLOOKUP(B46&amp;C46,Plot!$B$2:$D$199,3,FALSE))</f>
        <v/>
      </c>
      <c r="E46" s="130"/>
      <c r="F46" s="152" t="str">
        <f>IF(B46="","",SUMIFS(Tree!$O:$O,Tree!$A:$A,'Pre-Harvest Plots_rpt'!$B46,Tree!$B:$B,'Pre-Harvest Plots_rpt'!$D46,Tree!$F:$F,"L",Tree!$K:$K,"&lt;&gt;"&amp;"Y"))</f>
        <v/>
      </c>
      <c r="G46" s="153" t="str">
        <f>IFERROR(IF(D46="","",SUMIFS(Tree!$P:$P,Tree!$A:$A,'Pre-Harvest Plots_rpt'!$B46,Tree!$B:$B,'Pre-Harvest Plots_rpt'!$D46,Tree!$K:$K,"&lt;&gt;"&amp;"Y")/$F46),"")</f>
        <v/>
      </c>
      <c r="H46" s="122" t="str">
        <f t="shared" si="1"/>
        <v/>
      </c>
      <c r="I46" s="121" t="str">
        <f>IF(OR($F46=0,$F46=""),"",SUMIFS(Tree!$R:$R,Tree!$A:$A,'Pre-Harvest Plots_rpt'!$B46,Tree!$B:$B,'Pre-Harvest Plots_rpt'!$D46,Tree!$F:$F,"L",Tree!$K:$K,"&lt;&gt;"&amp;"Y"))</f>
        <v/>
      </c>
      <c r="J46" s="121" t="str">
        <f>IF(OR($F46=0,$F46=""),"",IF(SUMIFS(Tree!$W:$W,Tree!$A:$A,'Pre-Harvest Plots_rpt'!$B46,Tree!$B:$B,'Pre-Harvest Plots_rpt'!$D46,Tree!$F:$F,"L",Tree!$K:$K,"&lt;&gt;"&amp;"Y")=0,0,AVERAGEIFS(Tree!$W:$W,Tree!$A:$A,'Pre-Harvest Plots_rpt'!$B46,Tree!$B:$B,'Pre-Harvest Plots_rpt'!$D46,Tree!$F:$F,"L",Tree!$K:$K,"&lt;&gt;"&amp;"Y")))</f>
        <v/>
      </c>
      <c r="K46" s="121" t="str">
        <f>IF($F46="","",SUMIFS(Tree!$S:$S,Tree!$A:$A,'Pre-Harvest Plots_rpt'!$B46,Tree!$B:$B,'Pre-Harvest Plots_rpt'!$D46,Tree!$F:$F,"L",Tree!$K:$K,"&lt;&gt;"&amp;"Y"))</f>
        <v/>
      </c>
      <c r="L46" s="154" t="str">
        <f t="shared" si="2"/>
        <v/>
      </c>
      <c r="M46" s="135"/>
      <c r="N46" s="192" t="str">
        <f>IF(B46="","",SUMIFS(Tree!$AM:$AM,Tree!$A:$A,'Pre-Harvest Plots_rpt'!$B46,Tree!$B:$B,'Pre-Harvest Plots_rpt'!$D46,Tree!$F:$F,"L",Tree!$K:$K,"&lt;&gt;"&amp;"Y"))</f>
        <v/>
      </c>
      <c r="O46" s="122" t="str">
        <f>IF(B46="","",SUMIFS(Tree!$AN:$AN,Tree!$A:$A,'Pre-Harvest Plots_rpt'!$B46,Tree!$B:$B,'Pre-Harvest Plots_rpt'!$D46,Tree!$F:$F,"L",Tree!$K:$K,"&lt;&gt;"&amp;"Y"))</f>
        <v/>
      </c>
      <c r="P46" s="122" t="str">
        <f>IF(B46="","",SUMIFS(Tree!$AO:$AO,Tree!$A:$A,'Pre-Harvest Plots_rpt'!$B46,Tree!$B:$B,'Pre-Harvest Plots_rpt'!$D46,Tree!$F:$F,"L",Tree!$K:$K,"&lt;&gt;"&amp;"Y"))</f>
        <v/>
      </c>
      <c r="Q46" s="122" t="str">
        <f>IF(B46="","",SUMIFS(Tree!$AP:$AP,Tree!$A:$A,'Pre-Harvest Plots_rpt'!$B46,Tree!$B:$B,'Pre-Harvest Plots_rpt'!$D46,Tree!$F:$F,"L",Tree!$K:$K,"&lt;&gt;"&amp;"Y"))</f>
        <v/>
      </c>
      <c r="R46" s="123" t="str">
        <f>IF(B46="","",SUMIFS(Tree!$AQ:$AQ,Tree!$A:$A,'Pre-Harvest Plots_rpt'!$B46,Tree!$B:$B,'Pre-Harvest Plots_rpt'!$D46,Tree!$F:$F,"L",Tree!$K:$K,"&lt;&gt;"&amp;"Y"))</f>
        <v/>
      </c>
      <c r="S46" s="122" t="str">
        <f>IF(B46="","",SUMIFS(Tree!$AJ:$AJ,Tree!$A:$A,'Pre-Harvest Plots_rpt'!$B46,Tree!$B:$B,'Pre-Harvest Plots_rpt'!$D46,Tree!$F:$F,"L",Tree!$K:$K,"&lt;&gt;"&amp;"Y")-O46)</f>
        <v/>
      </c>
      <c r="T46" s="122" t="str">
        <f>IF(B46="","",SUMIFS(Tree!$AK:$AK,Tree!$A:$A,'Pre-Harvest Plots_rpt'!$B46,Tree!$B:$B,'Pre-Harvest Plots_rpt'!$D46,Tree!$F:$F,"L",Tree!$K:$K,"&lt;&gt;"&amp;"Y")-P46)</f>
        <v/>
      </c>
      <c r="U46" s="122" t="str">
        <f>IF(B46="","",SUMIFS(Tree!$AL:$AL,Tree!$A:$A,'Pre-Harvest Plots_rpt'!$B46,Tree!$B:$B,'Pre-Harvest Plots_rpt'!$D46,Tree!$F:$F,"L",Tree!$K:$K,"&lt;&gt;"&amp;"Y")-Q46)</f>
        <v/>
      </c>
      <c r="V46" s="123" t="str">
        <f>IF(B46="","",ROUND(SUMIFS(Tree!$AE:$AE,Tree!$A:$A,'Pre-Harvest Plots_rpt'!$B46,Tree!$B:$B,'Pre-Harvest Plots_rpt'!$D46,Tree!$F:$F,"L",Tree!$K:$K,"&lt;&gt;"&amp;"Y")-R46,1))</f>
        <v/>
      </c>
      <c r="W46" s="124" t="str">
        <f>IF(B46="","",SUMIFS(Tree!$AY:$AY,Tree!$A:$A,'Pre-Harvest Plots_rpt'!$B46,Tree!$B:$B,'Pre-Harvest Plots_rpt'!$D46,Tree!$F:$F,"L",Tree!$K:$K,"&lt;&gt;"&amp;"Y")/1000)</f>
        <v/>
      </c>
      <c r="X46" s="158" t="str">
        <f>IF(B46="","",ROUND((SUMIFS(Tree!$AW:$AW,Tree!$A:$A,'Pre-Harvest Plots_rpt'!$B46,Tree!$B:$B,'Pre-Harvest Plots_rpt'!$D46,Tree!$F:$F,"L",Tree!$K:$K,"&lt;&gt;"&amp;"Y")/1000)-W46,1))</f>
        <v/>
      </c>
      <c r="Y46" s="135"/>
      <c r="Z46" s="161" t="str">
        <f>IF(IF(B46="","",SUMIFS(Tree!$O:$O,Tree!$A:$A,'Pre-Harvest Plots_rpt'!$B46,Tree!$B:$B,'Pre-Harvest Plots_rpt'!$D46,Tree!$F:$F,"D",Tree!$K:$K,"&lt;&gt;"&amp;"Y"))=0,"",IF(B46="","",SUMIFS(Tree!$O:$O,Tree!$A:$A,'Pre-Harvest Plots_rpt'!$B46,Tree!$B:$B,'Pre-Harvest Plots_rpt'!$D46,Tree!$F:$F,"D",Tree!$K:$K,"&lt;&gt;"&amp;"Y")))</f>
        <v/>
      </c>
      <c r="AA46" s="125" t="str">
        <f t="shared" si="3"/>
        <v/>
      </c>
      <c r="AB46" s="125" t="str">
        <f>IF(Z46="","",SUMIFS(Tree!$R:$R,Tree!$A:$A,'Pre-Harvest Plots_rpt'!$B46,Tree!$B:$B,'Pre-Harvest Plots_rpt'!$D46,Tree!$F:$F,"D",Tree!$K:$K,"&lt;&gt;"&amp;"Y"))</f>
        <v/>
      </c>
      <c r="AC46" s="126" t="str">
        <f>IF(Z46="","",SUMIFS(Tree!$AM:$AM,Tree!$A:$A,'Pre-Harvest Plots_rpt'!$B46,Tree!$B:$B,'Pre-Harvest Plots_rpt'!$D46,Tree!$F:$F,"D",Tree!$K:$K,"&lt;&gt;"&amp;"Y"))</f>
        <v/>
      </c>
      <c r="AD46" s="162" t="str">
        <f>IF(Z46="","",SUMIFS(Tree!$AW:$AW,Tree!$A:$A,'Pre-Harvest Plots_rpt'!$B46,Tree!$B:$B,'Pre-Harvest Plots_rpt'!$D46,Tree!$F:$F,"D",Tree!$K:$K,"&lt;&gt;"&amp;"Y")/1000)</f>
        <v/>
      </c>
      <c r="AE46" s="47"/>
      <c r="AF46" s="18"/>
      <c r="AG46" s="18"/>
      <c r="AH46" s="18"/>
    </row>
    <row r="47" spans="1:34" ht="12.75" customHeight="1" x14ac:dyDescent="0.25">
      <c r="A47" s="48">
        <v>44</v>
      </c>
      <c r="B47" s="171" t="str">
        <f>IF(A47&lt;=SUM(Stand!$H$3:$H$29),VLOOKUP(A47,Stand!$A$3:$C$29,3,TRUE),"")</f>
        <v/>
      </c>
      <c r="C47" s="172" t="str">
        <f t="shared" si="0"/>
        <v/>
      </c>
      <c r="D47" s="173" t="str">
        <f>IF(B47="","",VLOOKUP(B47&amp;C47,Plot!$B$2:$D$199,3,FALSE))</f>
        <v/>
      </c>
      <c r="E47" s="130"/>
      <c r="F47" s="152" t="str">
        <f>IF(B47="","",SUMIFS(Tree!$O:$O,Tree!$A:$A,'Pre-Harvest Plots_rpt'!$B47,Tree!$B:$B,'Pre-Harvest Plots_rpt'!$D47,Tree!$F:$F,"L",Tree!$K:$K,"&lt;&gt;"&amp;"Y"))</f>
        <v/>
      </c>
      <c r="G47" s="153" t="str">
        <f>IFERROR(IF(D47="","",SUMIFS(Tree!$P:$P,Tree!$A:$A,'Pre-Harvest Plots_rpt'!$B47,Tree!$B:$B,'Pre-Harvest Plots_rpt'!$D47,Tree!$K:$K,"&lt;&gt;"&amp;"Y")/$F47),"")</f>
        <v/>
      </c>
      <c r="H47" s="122" t="str">
        <f t="shared" si="1"/>
        <v/>
      </c>
      <c r="I47" s="121" t="str">
        <f>IF(OR($F47=0,$F47=""),"",SUMIFS(Tree!$R:$R,Tree!$A:$A,'Pre-Harvest Plots_rpt'!$B47,Tree!$B:$B,'Pre-Harvest Plots_rpt'!$D47,Tree!$F:$F,"L",Tree!$K:$K,"&lt;&gt;"&amp;"Y"))</f>
        <v/>
      </c>
      <c r="J47" s="121" t="str">
        <f>IF(OR($F47=0,$F47=""),"",IF(SUMIFS(Tree!$W:$W,Tree!$A:$A,'Pre-Harvest Plots_rpt'!$B47,Tree!$B:$B,'Pre-Harvest Plots_rpt'!$D47,Tree!$F:$F,"L",Tree!$K:$K,"&lt;&gt;"&amp;"Y")=0,0,AVERAGEIFS(Tree!$W:$W,Tree!$A:$A,'Pre-Harvest Plots_rpt'!$B47,Tree!$B:$B,'Pre-Harvest Plots_rpt'!$D47,Tree!$F:$F,"L",Tree!$K:$K,"&lt;&gt;"&amp;"Y")))</f>
        <v/>
      </c>
      <c r="K47" s="121" t="str">
        <f>IF($F47="","",SUMIFS(Tree!$S:$S,Tree!$A:$A,'Pre-Harvest Plots_rpt'!$B47,Tree!$B:$B,'Pre-Harvest Plots_rpt'!$D47,Tree!$F:$F,"L",Tree!$K:$K,"&lt;&gt;"&amp;"Y"))</f>
        <v/>
      </c>
      <c r="L47" s="154" t="str">
        <f t="shared" si="2"/>
        <v/>
      </c>
      <c r="M47" s="135"/>
      <c r="N47" s="192" t="str">
        <f>IF(B47="","",SUMIFS(Tree!$AM:$AM,Tree!$A:$A,'Pre-Harvest Plots_rpt'!$B47,Tree!$B:$B,'Pre-Harvest Plots_rpt'!$D47,Tree!$F:$F,"L",Tree!$K:$K,"&lt;&gt;"&amp;"Y"))</f>
        <v/>
      </c>
      <c r="O47" s="122" t="str">
        <f>IF(B47="","",SUMIFS(Tree!$AN:$AN,Tree!$A:$A,'Pre-Harvest Plots_rpt'!$B47,Tree!$B:$B,'Pre-Harvest Plots_rpt'!$D47,Tree!$F:$F,"L",Tree!$K:$K,"&lt;&gt;"&amp;"Y"))</f>
        <v/>
      </c>
      <c r="P47" s="122" t="str">
        <f>IF(B47="","",SUMIFS(Tree!$AO:$AO,Tree!$A:$A,'Pre-Harvest Plots_rpt'!$B47,Tree!$B:$B,'Pre-Harvest Plots_rpt'!$D47,Tree!$F:$F,"L",Tree!$K:$K,"&lt;&gt;"&amp;"Y"))</f>
        <v/>
      </c>
      <c r="Q47" s="122" t="str">
        <f>IF(B47="","",SUMIFS(Tree!$AP:$AP,Tree!$A:$A,'Pre-Harvest Plots_rpt'!$B47,Tree!$B:$B,'Pre-Harvest Plots_rpt'!$D47,Tree!$F:$F,"L",Tree!$K:$K,"&lt;&gt;"&amp;"Y"))</f>
        <v/>
      </c>
      <c r="R47" s="123" t="str">
        <f>IF(B47="","",SUMIFS(Tree!$AQ:$AQ,Tree!$A:$A,'Pre-Harvest Plots_rpt'!$B47,Tree!$B:$B,'Pre-Harvest Plots_rpt'!$D47,Tree!$F:$F,"L",Tree!$K:$K,"&lt;&gt;"&amp;"Y"))</f>
        <v/>
      </c>
      <c r="S47" s="122" t="str">
        <f>IF(B47="","",SUMIFS(Tree!$AJ:$AJ,Tree!$A:$A,'Pre-Harvest Plots_rpt'!$B47,Tree!$B:$B,'Pre-Harvest Plots_rpt'!$D47,Tree!$F:$F,"L",Tree!$K:$K,"&lt;&gt;"&amp;"Y")-O47)</f>
        <v/>
      </c>
      <c r="T47" s="122" t="str">
        <f>IF(B47="","",SUMIFS(Tree!$AK:$AK,Tree!$A:$A,'Pre-Harvest Plots_rpt'!$B47,Tree!$B:$B,'Pre-Harvest Plots_rpt'!$D47,Tree!$F:$F,"L",Tree!$K:$K,"&lt;&gt;"&amp;"Y")-P47)</f>
        <v/>
      </c>
      <c r="U47" s="122" t="str">
        <f>IF(B47="","",SUMIFS(Tree!$AL:$AL,Tree!$A:$A,'Pre-Harvest Plots_rpt'!$B47,Tree!$B:$B,'Pre-Harvest Plots_rpt'!$D47,Tree!$F:$F,"L",Tree!$K:$K,"&lt;&gt;"&amp;"Y")-Q47)</f>
        <v/>
      </c>
      <c r="V47" s="123" t="str">
        <f>IF(B47="","",ROUND(SUMIFS(Tree!$AE:$AE,Tree!$A:$A,'Pre-Harvest Plots_rpt'!$B47,Tree!$B:$B,'Pre-Harvest Plots_rpt'!$D47,Tree!$F:$F,"L",Tree!$K:$K,"&lt;&gt;"&amp;"Y")-R47,1))</f>
        <v/>
      </c>
      <c r="W47" s="124" t="str">
        <f>IF(B47="","",SUMIFS(Tree!$AY:$AY,Tree!$A:$A,'Pre-Harvest Plots_rpt'!$B47,Tree!$B:$B,'Pre-Harvest Plots_rpt'!$D47,Tree!$F:$F,"L",Tree!$K:$K,"&lt;&gt;"&amp;"Y")/1000)</f>
        <v/>
      </c>
      <c r="X47" s="158" t="str">
        <f>IF(B47="","",ROUND((SUMIFS(Tree!$AW:$AW,Tree!$A:$A,'Pre-Harvest Plots_rpt'!$B47,Tree!$B:$B,'Pre-Harvest Plots_rpt'!$D47,Tree!$F:$F,"L",Tree!$K:$K,"&lt;&gt;"&amp;"Y")/1000)-W47,1))</f>
        <v/>
      </c>
      <c r="Y47" s="135"/>
      <c r="Z47" s="161" t="str">
        <f>IF(IF(B47="","",SUMIFS(Tree!$O:$O,Tree!$A:$A,'Pre-Harvest Plots_rpt'!$B47,Tree!$B:$B,'Pre-Harvest Plots_rpt'!$D47,Tree!$F:$F,"D",Tree!$K:$K,"&lt;&gt;"&amp;"Y"))=0,"",IF(B47="","",SUMIFS(Tree!$O:$O,Tree!$A:$A,'Pre-Harvest Plots_rpt'!$B47,Tree!$B:$B,'Pre-Harvest Plots_rpt'!$D47,Tree!$F:$F,"D",Tree!$K:$K,"&lt;&gt;"&amp;"Y")))</f>
        <v/>
      </c>
      <c r="AA47" s="125" t="str">
        <f t="shared" si="3"/>
        <v/>
      </c>
      <c r="AB47" s="125" t="str">
        <f>IF(Z47="","",SUMIFS(Tree!$R:$R,Tree!$A:$A,'Pre-Harvest Plots_rpt'!$B47,Tree!$B:$B,'Pre-Harvest Plots_rpt'!$D47,Tree!$F:$F,"D",Tree!$K:$K,"&lt;&gt;"&amp;"Y"))</f>
        <v/>
      </c>
      <c r="AC47" s="126" t="str">
        <f>IF(Z47="","",SUMIFS(Tree!$AM:$AM,Tree!$A:$A,'Pre-Harvest Plots_rpt'!$B47,Tree!$B:$B,'Pre-Harvest Plots_rpt'!$D47,Tree!$F:$F,"D",Tree!$K:$K,"&lt;&gt;"&amp;"Y"))</f>
        <v/>
      </c>
      <c r="AD47" s="162" t="str">
        <f>IF(Z47="","",SUMIFS(Tree!$AW:$AW,Tree!$A:$A,'Pre-Harvest Plots_rpt'!$B47,Tree!$B:$B,'Pre-Harvest Plots_rpt'!$D47,Tree!$F:$F,"D",Tree!$K:$K,"&lt;&gt;"&amp;"Y")/1000)</f>
        <v/>
      </c>
      <c r="AE47" s="47"/>
      <c r="AF47" s="18"/>
      <c r="AG47" s="18"/>
      <c r="AH47" s="18"/>
    </row>
    <row r="48" spans="1:34" ht="12.75" customHeight="1" x14ac:dyDescent="0.25">
      <c r="A48" s="48">
        <v>45</v>
      </c>
      <c r="B48" s="171" t="str">
        <f>IF(A48&lt;=SUM(Stand!$H$3:$H$29),VLOOKUP(A48,Stand!$A$3:$C$29,3,TRUE),"")</f>
        <v/>
      </c>
      <c r="C48" s="172" t="str">
        <f t="shared" si="0"/>
        <v/>
      </c>
      <c r="D48" s="173" t="str">
        <f>IF(B48="","",VLOOKUP(B48&amp;C48,Plot!$B$2:$D$199,3,FALSE))</f>
        <v/>
      </c>
      <c r="E48" s="130"/>
      <c r="F48" s="152" t="str">
        <f>IF(B48="","",SUMIFS(Tree!$O:$O,Tree!$A:$A,'Pre-Harvest Plots_rpt'!$B48,Tree!$B:$B,'Pre-Harvest Plots_rpt'!$D48,Tree!$F:$F,"L",Tree!$K:$K,"&lt;&gt;"&amp;"Y"))</f>
        <v/>
      </c>
      <c r="G48" s="153" t="str">
        <f>IFERROR(IF(D48="","",SUMIFS(Tree!$P:$P,Tree!$A:$A,'Pre-Harvest Plots_rpt'!$B48,Tree!$B:$B,'Pre-Harvest Plots_rpt'!$D48,Tree!$K:$K,"&lt;&gt;"&amp;"Y")/$F48),"")</f>
        <v/>
      </c>
      <c r="H48" s="122" t="str">
        <f t="shared" si="1"/>
        <v/>
      </c>
      <c r="I48" s="121" t="str">
        <f>IF(OR($F48=0,$F48=""),"",SUMIFS(Tree!$R:$R,Tree!$A:$A,'Pre-Harvest Plots_rpt'!$B48,Tree!$B:$B,'Pre-Harvest Plots_rpt'!$D48,Tree!$F:$F,"L",Tree!$K:$K,"&lt;&gt;"&amp;"Y"))</f>
        <v/>
      </c>
      <c r="J48" s="121" t="str">
        <f>IF(OR($F48=0,$F48=""),"",IF(SUMIFS(Tree!$W:$W,Tree!$A:$A,'Pre-Harvest Plots_rpt'!$B48,Tree!$B:$B,'Pre-Harvest Plots_rpt'!$D48,Tree!$F:$F,"L",Tree!$K:$K,"&lt;&gt;"&amp;"Y")=0,0,AVERAGEIFS(Tree!$W:$W,Tree!$A:$A,'Pre-Harvest Plots_rpt'!$B48,Tree!$B:$B,'Pre-Harvest Plots_rpt'!$D48,Tree!$F:$F,"L",Tree!$K:$K,"&lt;&gt;"&amp;"Y")))</f>
        <v/>
      </c>
      <c r="K48" s="121" t="str">
        <f>IF($F48="","",SUMIFS(Tree!$S:$S,Tree!$A:$A,'Pre-Harvest Plots_rpt'!$B48,Tree!$B:$B,'Pre-Harvest Plots_rpt'!$D48,Tree!$F:$F,"L",Tree!$K:$K,"&lt;&gt;"&amp;"Y"))</f>
        <v/>
      </c>
      <c r="L48" s="154" t="str">
        <f t="shared" si="2"/>
        <v/>
      </c>
      <c r="M48" s="135"/>
      <c r="N48" s="192" t="str">
        <f>IF(B48="","",SUMIFS(Tree!$AM:$AM,Tree!$A:$A,'Pre-Harvest Plots_rpt'!$B48,Tree!$B:$B,'Pre-Harvest Plots_rpt'!$D48,Tree!$F:$F,"L",Tree!$K:$K,"&lt;&gt;"&amp;"Y"))</f>
        <v/>
      </c>
      <c r="O48" s="122" t="str">
        <f>IF(B48="","",SUMIFS(Tree!$AN:$AN,Tree!$A:$A,'Pre-Harvest Plots_rpt'!$B48,Tree!$B:$B,'Pre-Harvest Plots_rpt'!$D48,Tree!$F:$F,"L",Tree!$K:$K,"&lt;&gt;"&amp;"Y"))</f>
        <v/>
      </c>
      <c r="P48" s="122" t="str">
        <f>IF(B48="","",SUMIFS(Tree!$AO:$AO,Tree!$A:$A,'Pre-Harvest Plots_rpt'!$B48,Tree!$B:$B,'Pre-Harvest Plots_rpt'!$D48,Tree!$F:$F,"L",Tree!$K:$K,"&lt;&gt;"&amp;"Y"))</f>
        <v/>
      </c>
      <c r="Q48" s="122" t="str">
        <f>IF(B48="","",SUMIFS(Tree!$AP:$AP,Tree!$A:$A,'Pre-Harvest Plots_rpt'!$B48,Tree!$B:$B,'Pre-Harvest Plots_rpt'!$D48,Tree!$F:$F,"L",Tree!$K:$K,"&lt;&gt;"&amp;"Y"))</f>
        <v/>
      </c>
      <c r="R48" s="123" t="str">
        <f>IF(B48="","",SUMIFS(Tree!$AQ:$AQ,Tree!$A:$A,'Pre-Harvest Plots_rpt'!$B48,Tree!$B:$B,'Pre-Harvest Plots_rpt'!$D48,Tree!$F:$F,"L",Tree!$K:$K,"&lt;&gt;"&amp;"Y"))</f>
        <v/>
      </c>
      <c r="S48" s="122" t="str">
        <f>IF(B48="","",SUMIFS(Tree!$AJ:$AJ,Tree!$A:$A,'Pre-Harvest Plots_rpt'!$B48,Tree!$B:$B,'Pre-Harvest Plots_rpt'!$D48,Tree!$F:$F,"L",Tree!$K:$K,"&lt;&gt;"&amp;"Y")-O48)</f>
        <v/>
      </c>
      <c r="T48" s="122" t="str">
        <f>IF(B48="","",SUMIFS(Tree!$AK:$AK,Tree!$A:$A,'Pre-Harvest Plots_rpt'!$B48,Tree!$B:$B,'Pre-Harvest Plots_rpt'!$D48,Tree!$F:$F,"L",Tree!$K:$K,"&lt;&gt;"&amp;"Y")-P48)</f>
        <v/>
      </c>
      <c r="U48" s="122" t="str">
        <f>IF(B48="","",SUMIFS(Tree!$AL:$AL,Tree!$A:$A,'Pre-Harvest Plots_rpt'!$B48,Tree!$B:$B,'Pre-Harvest Plots_rpt'!$D48,Tree!$F:$F,"L",Tree!$K:$K,"&lt;&gt;"&amp;"Y")-Q48)</f>
        <v/>
      </c>
      <c r="V48" s="123" t="str">
        <f>IF(B48="","",ROUND(SUMIFS(Tree!$AE:$AE,Tree!$A:$A,'Pre-Harvest Plots_rpt'!$B48,Tree!$B:$B,'Pre-Harvest Plots_rpt'!$D48,Tree!$F:$F,"L",Tree!$K:$K,"&lt;&gt;"&amp;"Y")-R48,1))</f>
        <v/>
      </c>
      <c r="W48" s="124" t="str">
        <f>IF(B48="","",SUMIFS(Tree!$AY:$AY,Tree!$A:$A,'Pre-Harvest Plots_rpt'!$B48,Tree!$B:$B,'Pre-Harvest Plots_rpt'!$D48,Tree!$F:$F,"L",Tree!$K:$K,"&lt;&gt;"&amp;"Y")/1000)</f>
        <v/>
      </c>
      <c r="X48" s="158" t="str">
        <f>IF(B48="","",ROUND((SUMIFS(Tree!$AW:$AW,Tree!$A:$A,'Pre-Harvest Plots_rpt'!$B48,Tree!$B:$B,'Pre-Harvest Plots_rpt'!$D48,Tree!$F:$F,"L",Tree!$K:$K,"&lt;&gt;"&amp;"Y")/1000)-W48,1))</f>
        <v/>
      </c>
      <c r="Y48" s="135"/>
      <c r="Z48" s="161" t="str">
        <f>IF(IF(B48="","",SUMIFS(Tree!$O:$O,Tree!$A:$A,'Pre-Harvest Plots_rpt'!$B48,Tree!$B:$B,'Pre-Harvest Plots_rpt'!$D48,Tree!$F:$F,"D",Tree!$K:$K,"&lt;&gt;"&amp;"Y"))=0,"",IF(B48="","",SUMIFS(Tree!$O:$O,Tree!$A:$A,'Pre-Harvest Plots_rpt'!$B48,Tree!$B:$B,'Pre-Harvest Plots_rpt'!$D48,Tree!$F:$F,"D",Tree!$K:$K,"&lt;&gt;"&amp;"Y")))</f>
        <v/>
      </c>
      <c r="AA48" s="125" t="str">
        <f t="shared" si="3"/>
        <v/>
      </c>
      <c r="AB48" s="125" t="str">
        <f>IF(Z48="","",SUMIFS(Tree!$R:$R,Tree!$A:$A,'Pre-Harvest Plots_rpt'!$B48,Tree!$B:$B,'Pre-Harvest Plots_rpt'!$D48,Tree!$F:$F,"D",Tree!$K:$K,"&lt;&gt;"&amp;"Y"))</f>
        <v/>
      </c>
      <c r="AC48" s="126" t="str">
        <f>IF(Z48="","",SUMIFS(Tree!$AM:$AM,Tree!$A:$A,'Pre-Harvest Plots_rpt'!$B48,Tree!$B:$B,'Pre-Harvest Plots_rpt'!$D48,Tree!$F:$F,"D",Tree!$K:$K,"&lt;&gt;"&amp;"Y"))</f>
        <v/>
      </c>
      <c r="AD48" s="162" t="str">
        <f>IF(Z48="","",SUMIFS(Tree!$AW:$AW,Tree!$A:$A,'Pre-Harvest Plots_rpt'!$B48,Tree!$B:$B,'Pre-Harvest Plots_rpt'!$D48,Tree!$F:$F,"D",Tree!$K:$K,"&lt;&gt;"&amp;"Y")/1000)</f>
        <v/>
      </c>
      <c r="AE48" s="47"/>
      <c r="AF48" s="18"/>
      <c r="AG48" s="18"/>
      <c r="AH48" s="18"/>
    </row>
    <row r="49" spans="1:34" ht="12.75" customHeight="1" x14ac:dyDescent="0.25">
      <c r="A49" s="48">
        <v>46</v>
      </c>
      <c r="B49" s="171" t="str">
        <f>IF(A49&lt;=SUM(Stand!$H$3:$H$29),VLOOKUP(A49,Stand!$A$3:$C$29,3,TRUE),"")</f>
        <v/>
      </c>
      <c r="C49" s="172" t="str">
        <f t="shared" si="0"/>
        <v/>
      </c>
      <c r="D49" s="173" t="str">
        <f>IF(B49="","",VLOOKUP(B49&amp;C49,Plot!$B$2:$D$199,3,FALSE))</f>
        <v/>
      </c>
      <c r="E49" s="130"/>
      <c r="F49" s="152" t="str">
        <f>IF(B49="","",SUMIFS(Tree!$O:$O,Tree!$A:$A,'Pre-Harvest Plots_rpt'!$B49,Tree!$B:$B,'Pre-Harvest Plots_rpt'!$D49,Tree!$F:$F,"L",Tree!$K:$K,"&lt;&gt;"&amp;"Y"))</f>
        <v/>
      </c>
      <c r="G49" s="153" t="str">
        <f>IFERROR(IF(D49="","",SUMIFS(Tree!$P:$P,Tree!$A:$A,'Pre-Harvest Plots_rpt'!$B49,Tree!$B:$B,'Pre-Harvest Plots_rpt'!$D49,Tree!$K:$K,"&lt;&gt;"&amp;"Y")/$F49),"")</f>
        <v/>
      </c>
      <c r="H49" s="122" t="str">
        <f t="shared" si="1"/>
        <v/>
      </c>
      <c r="I49" s="121" t="str">
        <f>IF(OR($F49=0,$F49=""),"",SUMIFS(Tree!$R:$R,Tree!$A:$A,'Pre-Harvest Plots_rpt'!$B49,Tree!$B:$B,'Pre-Harvest Plots_rpt'!$D49,Tree!$F:$F,"L",Tree!$K:$K,"&lt;&gt;"&amp;"Y"))</f>
        <v/>
      </c>
      <c r="J49" s="121" t="str">
        <f>IF(OR($F49=0,$F49=""),"",IF(SUMIFS(Tree!$W:$W,Tree!$A:$A,'Pre-Harvest Plots_rpt'!$B49,Tree!$B:$B,'Pre-Harvest Plots_rpt'!$D49,Tree!$F:$F,"L",Tree!$K:$K,"&lt;&gt;"&amp;"Y")=0,0,AVERAGEIFS(Tree!$W:$W,Tree!$A:$A,'Pre-Harvest Plots_rpt'!$B49,Tree!$B:$B,'Pre-Harvest Plots_rpt'!$D49,Tree!$F:$F,"L",Tree!$K:$K,"&lt;&gt;"&amp;"Y")))</f>
        <v/>
      </c>
      <c r="K49" s="121" t="str">
        <f>IF($F49="","",SUMIFS(Tree!$S:$S,Tree!$A:$A,'Pre-Harvest Plots_rpt'!$B49,Tree!$B:$B,'Pre-Harvest Plots_rpt'!$D49,Tree!$F:$F,"L",Tree!$K:$K,"&lt;&gt;"&amp;"Y"))</f>
        <v/>
      </c>
      <c r="L49" s="154" t="str">
        <f t="shared" si="2"/>
        <v/>
      </c>
      <c r="M49" s="135"/>
      <c r="N49" s="192" t="str">
        <f>IF(B49="","",SUMIFS(Tree!$AM:$AM,Tree!$A:$A,'Pre-Harvest Plots_rpt'!$B49,Tree!$B:$B,'Pre-Harvest Plots_rpt'!$D49,Tree!$F:$F,"L",Tree!$K:$K,"&lt;&gt;"&amp;"Y"))</f>
        <v/>
      </c>
      <c r="O49" s="122" t="str">
        <f>IF(B49="","",SUMIFS(Tree!$AN:$AN,Tree!$A:$A,'Pre-Harvest Plots_rpt'!$B49,Tree!$B:$B,'Pre-Harvest Plots_rpt'!$D49,Tree!$F:$F,"L",Tree!$K:$K,"&lt;&gt;"&amp;"Y"))</f>
        <v/>
      </c>
      <c r="P49" s="122" t="str">
        <f>IF(B49="","",SUMIFS(Tree!$AO:$AO,Tree!$A:$A,'Pre-Harvest Plots_rpt'!$B49,Tree!$B:$B,'Pre-Harvest Plots_rpt'!$D49,Tree!$F:$F,"L",Tree!$K:$K,"&lt;&gt;"&amp;"Y"))</f>
        <v/>
      </c>
      <c r="Q49" s="122" t="str">
        <f>IF(B49="","",SUMIFS(Tree!$AP:$AP,Tree!$A:$A,'Pre-Harvest Plots_rpt'!$B49,Tree!$B:$B,'Pre-Harvest Plots_rpt'!$D49,Tree!$F:$F,"L",Tree!$K:$K,"&lt;&gt;"&amp;"Y"))</f>
        <v/>
      </c>
      <c r="R49" s="123" t="str">
        <f>IF(B49="","",SUMIFS(Tree!$AQ:$AQ,Tree!$A:$A,'Pre-Harvest Plots_rpt'!$B49,Tree!$B:$B,'Pre-Harvest Plots_rpt'!$D49,Tree!$F:$F,"L",Tree!$K:$K,"&lt;&gt;"&amp;"Y"))</f>
        <v/>
      </c>
      <c r="S49" s="122" t="str">
        <f>IF(B49="","",SUMIFS(Tree!$AJ:$AJ,Tree!$A:$A,'Pre-Harvest Plots_rpt'!$B49,Tree!$B:$B,'Pre-Harvest Plots_rpt'!$D49,Tree!$F:$F,"L",Tree!$K:$K,"&lt;&gt;"&amp;"Y")-O49)</f>
        <v/>
      </c>
      <c r="T49" s="122" t="str">
        <f>IF(B49="","",SUMIFS(Tree!$AK:$AK,Tree!$A:$A,'Pre-Harvest Plots_rpt'!$B49,Tree!$B:$B,'Pre-Harvest Plots_rpt'!$D49,Tree!$F:$F,"L",Tree!$K:$K,"&lt;&gt;"&amp;"Y")-P49)</f>
        <v/>
      </c>
      <c r="U49" s="122" t="str">
        <f>IF(B49="","",SUMIFS(Tree!$AL:$AL,Tree!$A:$A,'Pre-Harvest Plots_rpt'!$B49,Tree!$B:$B,'Pre-Harvest Plots_rpt'!$D49,Tree!$F:$F,"L",Tree!$K:$K,"&lt;&gt;"&amp;"Y")-Q49)</f>
        <v/>
      </c>
      <c r="V49" s="123" t="str">
        <f>IF(B49="","",ROUND(SUMIFS(Tree!$AE:$AE,Tree!$A:$A,'Pre-Harvest Plots_rpt'!$B49,Tree!$B:$B,'Pre-Harvest Plots_rpt'!$D49,Tree!$F:$F,"L",Tree!$K:$K,"&lt;&gt;"&amp;"Y")-R49,1))</f>
        <v/>
      </c>
      <c r="W49" s="124" t="str">
        <f>IF(B49="","",SUMIFS(Tree!$AY:$AY,Tree!$A:$A,'Pre-Harvest Plots_rpt'!$B49,Tree!$B:$B,'Pre-Harvest Plots_rpt'!$D49,Tree!$F:$F,"L",Tree!$K:$K,"&lt;&gt;"&amp;"Y")/1000)</f>
        <v/>
      </c>
      <c r="X49" s="158" t="str">
        <f>IF(B49="","",ROUND((SUMIFS(Tree!$AW:$AW,Tree!$A:$A,'Pre-Harvest Plots_rpt'!$B49,Tree!$B:$B,'Pre-Harvest Plots_rpt'!$D49,Tree!$F:$F,"L",Tree!$K:$K,"&lt;&gt;"&amp;"Y")/1000)-W49,1))</f>
        <v/>
      </c>
      <c r="Y49" s="135"/>
      <c r="Z49" s="161" t="str">
        <f>IF(IF(B49="","",SUMIFS(Tree!$O:$O,Tree!$A:$A,'Pre-Harvest Plots_rpt'!$B49,Tree!$B:$B,'Pre-Harvest Plots_rpt'!$D49,Tree!$F:$F,"D",Tree!$K:$K,"&lt;&gt;"&amp;"Y"))=0,"",IF(B49="","",SUMIFS(Tree!$O:$O,Tree!$A:$A,'Pre-Harvest Plots_rpt'!$B49,Tree!$B:$B,'Pre-Harvest Plots_rpt'!$D49,Tree!$F:$F,"D",Tree!$K:$K,"&lt;&gt;"&amp;"Y")))</f>
        <v/>
      </c>
      <c r="AA49" s="125" t="str">
        <f t="shared" si="3"/>
        <v/>
      </c>
      <c r="AB49" s="125" t="str">
        <f>IF(Z49="","",SUMIFS(Tree!$R:$R,Tree!$A:$A,'Pre-Harvest Plots_rpt'!$B49,Tree!$B:$B,'Pre-Harvest Plots_rpt'!$D49,Tree!$F:$F,"D",Tree!$K:$K,"&lt;&gt;"&amp;"Y"))</f>
        <v/>
      </c>
      <c r="AC49" s="126" t="str">
        <f>IF(Z49="","",SUMIFS(Tree!$AM:$AM,Tree!$A:$A,'Pre-Harvest Plots_rpt'!$B49,Tree!$B:$B,'Pre-Harvest Plots_rpt'!$D49,Tree!$F:$F,"D",Tree!$K:$K,"&lt;&gt;"&amp;"Y"))</f>
        <v/>
      </c>
      <c r="AD49" s="162" t="str">
        <f>IF(Z49="","",SUMIFS(Tree!$AW:$AW,Tree!$A:$A,'Pre-Harvest Plots_rpt'!$B49,Tree!$B:$B,'Pre-Harvest Plots_rpt'!$D49,Tree!$F:$F,"D",Tree!$K:$K,"&lt;&gt;"&amp;"Y")/1000)</f>
        <v/>
      </c>
      <c r="AE49" s="47"/>
      <c r="AF49" s="18"/>
      <c r="AG49" s="18"/>
      <c r="AH49" s="18"/>
    </row>
    <row r="50" spans="1:34" ht="12.75" customHeight="1" x14ac:dyDescent="0.25">
      <c r="A50" s="48">
        <v>47</v>
      </c>
      <c r="B50" s="171" t="str">
        <f>IF(A50&lt;=SUM(Stand!$H$3:$H$29),VLOOKUP(A50,Stand!$A$3:$C$29,3,TRUE),"")</f>
        <v/>
      </c>
      <c r="C50" s="172" t="str">
        <f t="shared" si="0"/>
        <v/>
      </c>
      <c r="D50" s="173" t="str">
        <f>IF(B50="","",VLOOKUP(B50&amp;C50,Plot!$B$2:$D$199,3,FALSE))</f>
        <v/>
      </c>
      <c r="E50" s="130"/>
      <c r="F50" s="152" t="str">
        <f>IF(B50="","",SUMIFS(Tree!$O:$O,Tree!$A:$A,'Pre-Harvest Plots_rpt'!$B50,Tree!$B:$B,'Pre-Harvest Plots_rpt'!$D50,Tree!$F:$F,"L",Tree!$K:$K,"&lt;&gt;"&amp;"Y"))</f>
        <v/>
      </c>
      <c r="G50" s="153" t="str">
        <f>IFERROR(IF(D50="","",SUMIFS(Tree!$P:$P,Tree!$A:$A,'Pre-Harvest Plots_rpt'!$B50,Tree!$B:$B,'Pre-Harvest Plots_rpt'!$D50,Tree!$K:$K,"&lt;&gt;"&amp;"Y")/$F50),"")</f>
        <v/>
      </c>
      <c r="H50" s="122" t="str">
        <f t="shared" si="1"/>
        <v/>
      </c>
      <c r="I50" s="121" t="str">
        <f>IF(OR($F50=0,$F50=""),"",SUMIFS(Tree!$R:$R,Tree!$A:$A,'Pre-Harvest Plots_rpt'!$B50,Tree!$B:$B,'Pre-Harvest Plots_rpt'!$D50,Tree!$F:$F,"L",Tree!$K:$K,"&lt;&gt;"&amp;"Y"))</f>
        <v/>
      </c>
      <c r="J50" s="121" t="str">
        <f>IF(OR($F50=0,$F50=""),"",IF(SUMIFS(Tree!$W:$W,Tree!$A:$A,'Pre-Harvest Plots_rpt'!$B50,Tree!$B:$B,'Pre-Harvest Plots_rpt'!$D50,Tree!$F:$F,"L",Tree!$K:$K,"&lt;&gt;"&amp;"Y")=0,0,AVERAGEIFS(Tree!$W:$W,Tree!$A:$A,'Pre-Harvest Plots_rpt'!$B50,Tree!$B:$B,'Pre-Harvest Plots_rpt'!$D50,Tree!$F:$F,"L",Tree!$K:$K,"&lt;&gt;"&amp;"Y")))</f>
        <v/>
      </c>
      <c r="K50" s="121" t="str">
        <f>IF($F50="","",SUMIFS(Tree!$S:$S,Tree!$A:$A,'Pre-Harvest Plots_rpt'!$B50,Tree!$B:$B,'Pre-Harvest Plots_rpt'!$D50,Tree!$F:$F,"L",Tree!$K:$K,"&lt;&gt;"&amp;"Y"))</f>
        <v/>
      </c>
      <c r="L50" s="154" t="str">
        <f t="shared" si="2"/>
        <v/>
      </c>
      <c r="M50" s="135"/>
      <c r="N50" s="192" t="str">
        <f>IF(B50="","",SUMIFS(Tree!$AM:$AM,Tree!$A:$A,'Pre-Harvest Plots_rpt'!$B50,Tree!$B:$B,'Pre-Harvest Plots_rpt'!$D50,Tree!$F:$F,"L",Tree!$K:$K,"&lt;&gt;"&amp;"Y"))</f>
        <v/>
      </c>
      <c r="O50" s="122" t="str">
        <f>IF(B50="","",SUMIFS(Tree!$AN:$AN,Tree!$A:$A,'Pre-Harvest Plots_rpt'!$B50,Tree!$B:$B,'Pre-Harvest Plots_rpt'!$D50,Tree!$F:$F,"L",Tree!$K:$K,"&lt;&gt;"&amp;"Y"))</f>
        <v/>
      </c>
      <c r="P50" s="122" t="str">
        <f>IF(B50="","",SUMIFS(Tree!$AO:$AO,Tree!$A:$A,'Pre-Harvest Plots_rpt'!$B50,Tree!$B:$B,'Pre-Harvest Plots_rpt'!$D50,Tree!$F:$F,"L",Tree!$K:$K,"&lt;&gt;"&amp;"Y"))</f>
        <v/>
      </c>
      <c r="Q50" s="122" t="str">
        <f>IF(B50="","",SUMIFS(Tree!$AP:$AP,Tree!$A:$A,'Pre-Harvest Plots_rpt'!$B50,Tree!$B:$B,'Pre-Harvest Plots_rpt'!$D50,Tree!$F:$F,"L",Tree!$K:$K,"&lt;&gt;"&amp;"Y"))</f>
        <v/>
      </c>
      <c r="R50" s="123" t="str">
        <f>IF(B50="","",SUMIFS(Tree!$AQ:$AQ,Tree!$A:$A,'Pre-Harvest Plots_rpt'!$B50,Tree!$B:$B,'Pre-Harvest Plots_rpt'!$D50,Tree!$F:$F,"L",Tree!$K:$K,"&lt;&gt;"&amp;"Y"))</f>
        <v/>
      </c>
      <c r="S50" s="122" t="str">
        <f>IF(B50="","",SUMIFS(Tree!$AJ:$AJ,Tree!$A:$A,'Pre-Harvest Plots_rpt'!$B50,Tree!$B:$B,'Pre-Harvest Plots_rpt'!$D50,Tree!$F:$F,"L",Tree!$K:$K,"&lt;&gt;"&amp;"Y")-O50)</f>
        <v/>
      </c>
      <c r="T50" s="122" t="str">
        <f>IF(B50="","",SUMIFS(Tree!$AK:$AK,Tree!$A:$A,'Pre-Harvest Plots_rpt'!$B50,Tree!$B:$B,'Pre-Harvest Plots_rpt'!$D50,Tree!$F:$F,"L",Tree!$K:$K,"&lt;&gt;"&amp;"Y")-P50)</f>
        <v/>
      </c>
      <c r="U50" s="122" t="str">
        <f>IF(B50="","",SUMIFS(Tree!$AL:$AL,Tree!$A:$A,'Pre-Harvest Plots_rpt'!$B50,Tree!$B:$B,'Pre-Harvest Plots_rpt'!$D50,Tree!$F:$F,"L",Tree!$K:$K,"&lt;&gt;"&amp;"Y")-Q50)</f>
        <v/>
      </c>
      <c r="V50" s="123" t="str">
        <f>IF(B50="","",ROUND(SUMIFS(Tree!$AE:$AE,Tree!$A:$A,'Pre-Harvest Plots_rpt'!$B50,Tree!$B:$B,'Pre-Harvest Plots_rpt'!$D50,Tree!$F:$F,"L",Tree!$K:$K,"&lt;&gt;"&amp;"Y")-R50,1))</f>
        <v/>
      </c>
      <c r="W50" s="124" t="str">
        <f>IF(B50="","",SUMIFS(Tree!$AY:$AY,Tree!$A:$A,'Pre-Harvest Plots_rpt'!$B50,Tree!$B:$B,'Pre-Harvest Plots_rpt'!$D50,Tree!$F:$F,"L",Tree!$K:$K,"&lt;&gt;"&amp;"Y")/1000)</f>
        <v/>
      </c>
      <c r="X50" s="158" t="str">
        <f>IF(B50="","",ROUND((SUMIFS(Tree!$AW:$AW,Tree!$A:$A,'Pre-Harvest Plots_rpt'!$B50,Tree!$B:$B,'Pre-Harvest Plots_rpt'!$D50,Tree!$F:$F,"L",Tree!$K:$K,"&lt;&gt;"&amp;"Y")/1000)-W50,1))</f>
        <v/>
      </c>
      <c r="Y50" s="135"/>
      <c r="Z50" s="161" t="str">
        <f>IF(IF(B50="","",SUMIFS(Tree!$O:$O,Tree!$A:$A,'Pre-Harvest Plots_rpt'!$B50,Tree!$B:$B,'Pre-Harvest Plots_rpt'!$D50,Tree!$F:$F,"D",Tree!$K:$K,"&lt;&gt;"&amp;"Y"))=0,"",IF(B50="","",SUMIFS(Tree!$O:$O,Tree!$A:$A,'Pre-Harvest Plots_rpt'!$B50,Tree!$B:$B,'Pre-Harvest Plots_rpt'!$D50,Tree!$F:$F,"D",Tree!$K:$K,"&lt;&gt;"&amp;"Y")))</f>
        <v/>
      </c>
      <c r="AA50" s="125" t="str">
        <f t="shared" si="3"/>
        <v/>
      </c>
      <c r="AB50" s="125" t="str">
        <f>IF(Z50="","",SUMIFS(Tree!$R:$R,Tree!$A:$A,'Pre-Harvest Plots_rpt'!$B50,Tree!$B:$B,'Pre-Harvest Plots_rpt'!$D50,Tree!$F:$F,"D",Tree!$K:$K,"&lt;&gt;"&amp;"Y"))</f>
        <v/>
      </c>
      <c r="AC50" s="126" t="str">
        <f>IF(Z50="","",SUMIFS(Tree!$AM:$AM,Tree!$A:$A,'Pre-Harvest Plots_rpt'!$B50,Tree!$B:$B,'Pre-Harvest Plots_rpt'!$D50,Tree!$F:$F,"D",Tree!$K:$K,"&lt;&gt;"&amp;"Y"))</f>
        <v/>
      </c>
      <c r="AD50" s="162" t="str">
        <f>IF(Z50="","",SUMIFS(Tree!$AW:$AW,Tree!$A:$A,'Pre-Harvest Plots_rpt'!$B50,Tree!$B:$B,'Pre-Harvest Plots_rpt'!$D50,Tree!$F:$F,"D",Tree!$K:$K,"&lt;&gt;"&amp;"Y")/1000)</f>
        <v/>
      </c>
      <c r="AE50" s="47"/>
      <c r="AF50" s="18"/>
      <c r="AG50" s="18"/>
      <c r="AH50" s="18"/>
    </row>
    <row r="51" spans="1:34" ht="12.75" customHeight="1" x14ac:dyDescent="0.25">
      <c r="A51" s="48">
        <v>48</v>
      </c>
      <c r="B51" s="171" t="str">
        <f>IF(A51&lt;=SUM(Stand!$H$3:$H$29),VLOOKUP(A51,Stand!$A$3:$C$29,3,TRUE),"")</f>
        <v/>
      </c>
      <c r="C51" s="172" t="str">
        <f t="shared" si="0"/>
        <v/>
      </c>
      <c r="D51" s="173" t="str">
        <f>IF(B51="","",VLOOKUP(B51&amp;C51,Plot!$B$2:$D$199,3,FALSE))</f>
        <v/>
      </c>
      <c r="E51" s="130"/>
      <c r="F51" s="152" t="str">
        <f>IF(B51="","",SUMIFS(Tree!$O:$O,Tree!$A:$A,'Pre-Harvest Plots_rpt'!$B51,Tree!$B:$B,'Pre-Harvest Plots_rpt'!$D51,Tree!$F:$F,"L",Tree!$K:$K,"&lt;&gt;"&amp;"Y"))</f>
        <v/>
      </c>
      <c r="G51" s="153" t="str">
        <f>IFERROR(IF(D51="","",SUMIFS(Tree!$P:$P,Tree!$A:$A,'Pre-Harvest Plots_rpt'!$B51,Tree!$B:$B,'Pre-Harvest Plots_rpt'!$D51,Tree!$K:$K,"&lt;&gt;"&amp;"Y")/$F51),"")</f>
        <v/>
      </c>
      <c r="H51" s="122" t="str">
        <f t="shared" si="1"/>
        <v/>
      </c>
      <c r="I51" s="121" t="str">
        <f>IF(OR($F51=0,$F51=""),"",SUMIFS(Tree!$R:$R,Tree!$A:$A,'Pre-Harvest Plots_rpt'!$B51,Tree!$B:$B,'Pre-Harvest Plots_rpt'!$D51,Tree!$F:$F,"L",Tree!$K:$K,"&lt;&gt;"&amp;"Y"))</f>
        <v/>
      </c>
      <c r="J51" s="121" t="str">
        <f>IF(OR($F51=0,$F51=""),"",IF(SUMIFS(Tree!$W:$W,Tree!$A:$A,'Pre-Harvest Plots_rpt'!$B51,Tree!$B:$B,'Pre-Harvest Plots_rpt'!$D51,Tree!$F:$F,"L",Tree!$K:$K,"&lt;&gt;"&amp;"Y")=0,0,AVERAGEIFS(Tree!$W:$W,Tree!$A:$A,'Pre-Harvest Plots_rpt'!$B51,Tree!$B:$B,'Pre-Harvest Plots_rpt'!$D51,Tree!$F:$F,"L",Tree!$K:$K,"&lt;&gt;"&amp;"Y")))</f>
        <v/>
      </c>
      <c r="K51" s="121" t="str">
        <f>IF($F51="","",SUMIFS(Tree!$S:$S,Tree!$A:$A,'Pre-Harvest Plots_rpt'!$B51,Tree!$B:$B,'Pre-Harvest Plots_rpt'!$D51,Tree!$F:$F,"L",Tree!$K:$K,"&lt;&gt;"&amp;"Y"))</f>
        <v/>
      </c>
      <c r="L51" s="154" t="str">
        <f t="shared" si="2"/>
        <v/>
      </c>
      <c r="M51" s="135"/>
      <c r="N51" s="192" t="str">
        <f>IF(B51="","",SUMIFS(Tree!$AM:$AM,Tree!$A:$A,'Pre-Harvest Plots_rpt'!$B51,Tree!$B:$B,'Pre-Harvest Plots_rpt'!$D51,Tree!$F:$F,"L",Tree!$K:$K,"&lt;&gt;"&amp;"Y"))</f>
        <v/>
      </c>
      <c r="O51" s="122" t="str">
        <f>IF(B51="","",SUMIFS(Tree!$AN:$AN,Tree!$A:$A,'Pre-Harvest Plots_rpt'!$B51,Tree!$B:$B,'Pre-Harvest Plots_rpt'!$D51,Tree!$F:$F,"L",Tree!$K:$K,"&lt;&gt;"&amp;"Y"))</f>
        <v/>
      </c>
      <c r="P51" s="122" t="str">
        <f>IF(B51="","",SUMIFS(Tree!$AO:$AO,Tree!$A:$A,'Pre-Harvest Plots_rpt'!$B51,Tree!$B:$B,'Pre-Harvest Plots_rpt'!$D51,Tree!$F:$F,"L",Tree!$K:$K,"&lt;&gt;"&amp;"Y"))</f>
        <v/>
      </c>
      <c r="Q51" s="122" t="str">
        <f>IF(B51="","",SUMIFS(Tree!$AP:$AP,Tree!$A:$A,'Pre-Harvest Plots_rpt'!$B51,Tree!$B:$B,'Pre-Harvest Plots_rpt'!$D51,Tree!$F:$F,"L",Tree!$K:$K,"&lt;&gt;"&amp;"Y"))</f>
        <v/>
      </c>
      <c r="R51" s="123" t="str">
        <f>IF(B51="","",SUMIFS(Tree!$AQ:$AQ,Tree!$A:$A,'Pre-Harvest Plots_rpt'!$B51,Tree!$B:$B,'Pre-Harvest Plots_rpt'!$D51,Tree!$F:$F,"L",Tree!$K:$K,"&lt;&gt;"&amp;"Y"))</f>
        <v/>
      </c>
      <c r="S51" s="122" t="str">
        <f>IF(B51="","",SUMIFS(Tree!$AJ:$AJ,Tree!$A:$A,'Pre-Harvest Plots_rpt'!$B51,Tree!$B:$B,'Pre-Harvest Plots_rpt'!$D51,Tree!$F:$F,"L",Tree!$K:$K,"&lt;&gt;"&amp;"Y")-O51)</f>
        <v/>
      </c>
      <c r="T51" s="122" t="str">
        <f>IF(B51="","",SUMIFS(Tree!$AK:$AK,Tree!$A:$A,'Pre-Harvest Plots_rpt'!$B51,Tree!$B:$B,'Pre-Harvest Plots_rpt'!$D51,Tree!$F:$F,"L",Tree!$K:$K,"&lt;&gt;"&amp;"Y")-P51)</f>
        <v/>
      </c>
      <c r="U51" s="122" t="str">
        <f>IF(B51="","",SUMIFS(Tree!$AL:$AL,Tree!$A:$A,'Pre-Harvest Plots_rpt'!$B51,Tree!$B:$B,'Pre-Harvest Plots_rpt'!$D51,Tree!$F:$F,"L",Tree!$K:$K,"&lt;&gt;"&amp;"Y")-Q51)</f>
        <v/>
      </c>
      <c r="V51" s="123" t="str">
        <f>IF(B51="","",ROUND(SUMIFS(Tree!$AE:$AE,Tree!$A:$A,'Pre-Harvest Plots_rpt'!$B51,Tree!$B:$B,'Pre-Harvest Plots_rpt'!$D51,Tree!$F:$F,"L",Tree!$K:$K,"&lt;&gt;"&amp;"Y")-R51,1))</f>
        <v/>
      </c>
      <c r="W51" s="124" t="str">
        <f>IF(B51="","",SUMIFS(Tree!$AY:$AY,Tree!$A:$A,'Pre-Harvest Plots_rpt'!$B51,Tree!$B:$B,'Pre-Harvest Plots_rpt'!$D51,Tree!$F:$F,"L",Tree!$K:$K,"&lt;&gt;"&amp;"Y")/1000)</f>
        <v/>
      </c>
      <c r="X51" s="158" t="str">
        <f>IF(B51="","",ROUND((SUMIFS(Tree!$AW:$AW,Tree!$A:$A,'Pre-Harvest Plots_rpt'!$B51,Tree!$B:$B,'Pre-Harvest Plots_rpt'!$D51,Tree!$F:$F,"L",Tree!$K:$K,"&lt;&gt;"&amp;"Y")/1000)-W51,1))</f>
        <v/>
      </c>
      <c r="Y51" s="135"/>
      <c r="Z51" s="161" t="str">
        <f>IF(IF(B51="","",SUMIFS(Tree!$O:$O,Tree!$A:$A,'Pre-Harvest Plots_rpt'!$B51,Tree!$B:$B,'Pre-Harvest Plots_rpt'!$D51,Tree!$F:$F,"D",Tree!$K:$K,"&lt;&gt;"&amp;"Y"))=0,"",IF(B51="","",SUMIFS(Tree!$O:$O,Tree!$A:$A,'Pre-Harvest Plots_rpt'!$B51,Tree!$B:$B,'Pre-Harvest Plots_rpt'!$D51,Tree!$F:$F,"D",Tree!$K:$K,"&lt;&gt;"&amp;"Y")))</f>
        <v/>
      </c>
      <c r="AA51" s="125" t="str">
        <f t="shared" si="3"/>
        <v/>
      </c>
      <c r="AB51" s="125" t="str">
        <f>IF(Z51="","",SUMIFS(Tree!$R:$R,Tree!$A:$A,'Pre-Harvest Plots_rpt'!$B51,Tree!$B:$B,'Pre-Harvest Plots_rpt'!$D51,Tree!$F:$F,"D",Tree!$K:$K,"&lt;&gt;"&amp;"Y"))</f>
        <v/>
      </c>
      <c r="AC51" s="126" t="str">
        <f>IF(Z51="","",SUMIFS(Tree!$AM:$AM,Tree!$A:$A,'Pre-Harvest Plots_rpt'!$B51,Tree!$B:$B,'Pre-Harvest Plots_rpt'!$D51,Tree!$F:$F,"D",Tree!$K:$K,"&lt;&gt;"&amp;"Y"))</f>
        <v/>
      </c>
      <c r="AD51" s="162" t="str">
        <f>IF(Z51="","",SUMIFS(Tree!$AW:$AW,Tree!$A:$A,'Pre-Harvest Plots_rpt'!$B51,Tree!$B:$B,'Pre-Harvest Plots_rpt'!$D51,Tree!$F:$F,"D",Tree!$K:$K,"&lt;&gt;"&amp;"Y")/1000)</f>
        <v/>
      </c>
      <c r="AE51" s="47"/>
      <c r="AF51" s="18"/>
      <c r="AG51" s="18"/>
      <c r="AH51" s="18"/>
    </row>
    <row r="52" spans="1:34" ht="12.75" customHeight="1" x14ac:dyDescent="0.25">
      <c r="A52" s="48">
        <v>49</v>
      </c>
      <c r="B52" s="171" t="str">
        <f>IF(A52&lt;=SUM(Stand!$H$3:$H$29),VLOOKUP(A52,Stand!$A$3:$C$29,3,TRUE),"")</f>
        <v/>
      </c>
      <c r="C52" s="172" t="str">
        <f t="shared" si="0"/>
        <v/>
      </c>
      <c r="D52" s="173" t="str">
        <f>IF(B52="","",VLOOKUP(B52&amp;C52,Plot!$B$2:$D$199,3,FALSE))</f>
        <v/>
      </c>
      <c r="E52" s="130"/>
      <c r="F52" s="152" t="str">
        <f>IF(B52="","",SUMIFS(Tree!$O:$O,Tree!$A:$A,'Pre-Harvest Plots_rpt'!$B52,Tree!$B:$B,'Pre-Harvest Plots_rpt'!$D52,Tree!$F:$F,"L",Tree!$K:$K,"&lt;&gt;"&amp;"Y"))</f>
        <v/>
      </c>
      <c r="G52" s="153" t="str">
        <f>IFERROR(IF(D52="","",SUMIFS(Tree!$P:$P,Tree!$A:$A,'Pre-Harvest Plots_rpt'!$B52,Tree!$B:$B,'Pre-Harvest Plots_rpt'!$D52,Tree!$K:$K,"&lt;&gt;"&amp;"Y")/$F52),"")</f>
        <v/>
      </c>
      <c r="H52" s="122" t="str">
        <f t="shared" si="1"/>
        <v/>
      </c>
      <c r="I52" s="121" t="str">
        <f>IF(OR($F52=0,$F52=""),"",SUMIFS(Tree!$R:$R,Tree!$A:$A,'Pre-Harvest Plots_rpt'!$B52,Tree!$B:$B,'Pre-Harvest Plots_rpt'!$D52,Tree!$F:$F,"L",Tree!$K:$K,"&lt;&gt;"&amp;"Y"))</f>
        <v/>
      </c>
      <c r="J52" s="121" t="str">
        <f>IF(OR($F52=0,$F52=""),"",IF(SUMIFS(Tree!$W:$W,Tree!$A:$A,'Pre-Harvest Plots_rpt'!$B52,Tree!$B:$B,'Pre-Harvest Plots_rpt'!$D52,Tree!$F:$F,"L",Tree!$K:$K,"&lt;&gt;"&amp;"Y")=0,0,AVERAGEIFS(Tree!$W:$W,Tree!$A:$A,'Pre-Harvest Plots_rpt'!$B52,Tree!$B:$B,'Pre-Harvest Plots_rpt'!$D52,Tree!$F:$F,"L",Tree!$K:$K,"&lt;&gt;"&amp;"Y")))</f>
        <v/>
      </c>
      <c r="K52" s="121" t="str">
        <f>IF($F52="","",SUMIFS(Tree!$S:$S,Tree!$A:$A,'Pre-Harvest Plots_rpt'!$B52,Tree!$B:$B,'Pre-Harvest Plots_rpt'!$D52,Tree!$F:$F,"L",Tree!$K:$K,"&lt;&gt;"&amp;"Y"))</f>
        <v/>
      </c>
      <c r="L52" s="154" t="str">
        <f t="shared" si="2"/>
        <v/>
      </c>
      <c r="M52" s="135"/>
      <c r="N52" s="192" t="str">
        <f>IF(B52="","",SUMIFS(Tree!$AM:$AM,Tree!$A:$A,'Pre-Harvest Plots_rpt'!$B52,Tree!$B:$B,'Pre-Harvest Plots_rpt'!$D52,Tree!$F:$F,"L",Tree!$K:$K,"&lt;&gt;"&amp;"Y"))</f>
        <v/>
      </c>
      <c r="O52" s="122" t="str">
        <f>IF(B52="","",SUMIFS(Tree!$AN:$AN,Tree!$A:$A,'Pre-Harvest Plots_rpt'!$B52,Tree!$B:$B,'Pre-Harvest Plots_rpt'!$D52,Tree!$F:$F,"L",Tree!$K:$K,"&lt;&gt;"&amp;"Y"))</f>
        <v/>
      </c>
      <c r="P52" s="122" t="str">
        <f>IF(B52="","",SUMIFS(Tree!$AO:$AO,Tree!$A:$A,'Pre-Harvest Plots_rpt'!$B52,Tree!$B:$B,'Pre-Harvest Plots_rpt'!$D52,Tree!$F:$F,"L",Tree!$K:$K,"&lt;&gt;"&amp;"Y"))</f>
        <v/>
      </c>
      <c r="Q52" s="122" t="str">
        <f>IF(B52="","",SUMIFS(Tree!$AP:$AP,Tree!$A:$A,'Pre-Harvest Plots_rpt'!$B52,Tree!$B:$B,'Pre-Harvest Plots_rpt'!$D52,Tree!$F:$F,"L",Tree!$K:$K,"&lt;&gt;"&amp;"Y"))</f>
        <v/>
      </c>
      <c r="R52" s="123" t="str">
        <f>IF(B52="","",SUMIFS(Tree!$AQ:$AQ,Tree!$A:$A,'Pre-Harvest Plots_rpt'!$B52,Tree!$B:$B,'Pre-Harvest Plots_rpt'!$D52,Tree!$F:$F,"L",Tree!$K:$K,"&lt;&gt;"&amp;"Y"))</f>
        <v/>
      </c>
      <c r="S52" s="122" t="str">
        <f>IF(B52="","",SUMIFS(Tree!$AJ:$AJ,Tree!$A:$A,'Pre-Harvest Plots_rpt'!$B52,Tree!$B:$B,'Pre-Harvest Plots_rpt'!$D52,Tree!$F:$F,"L",Tree!$K:$K,"&lt;&gt;"&amp;"Y")-O52)</f>
        <v/>
      </c>
      <c r="T52" s="122" t="str">
        <f>IF(B52="","",SUMIFS(Tree!$AK:$AK,Tree!$A:$A,'Pre-Harvest Plots_rpt'!$B52,Tree!$B:$B,'Pre-Harvest Plots_rpt'!$D52,Tree!$F:$F,"L",Tree!$K:$K,"&lt;&gt;"&amp;"Y")-P52)</f>
        <v/>
      </c>
      <c r="U52" s="122" t="str">
        <f>IF(B52="","",SUMIFS(Tree!$AL:$AL,Tree!$A:$A,'Pre-Harvest Plots_rpt'!$B52,Tree!$B:$B,'Pre-Harvest Plots_rpt'!$D52,Tree!$F:$F,"L",Tree!$K:$K,"&lt;&gt;"&amp;"Y")-Q52)</f>
        <v/>
      </c>
      <c r="V52" s="123" t="str">
        <f>IF(B52="","",ROUND(SUMIFS(Tree!$AE:$AE,Tree!$A:$A,'Pre-Harvest Plots_rpt'!$B52,Tree!$B:$B,'Pre-Harvest Plots_rpt'!$D52,Tree!$F:$F,"L",Tree!$K:$K,"&lt;&gt;"&amp;"Y")-R52,1))</f>
        <v/>
      </c>
      <c r="W52" s="124" t="str">
        <f>IF(B52="","",SUMIFS(Tree!$AY:$AY,Tree!$A:$A,'Pre-Harvest Plots_rpt'!$B52,Tree!$B:$B,'Pre-Harvest Plots_rpt'!$D52,Tree!$F:$F,"L",Tree!$K:$K,"&lt;&gt;"&amp;"Y")/1000)</f>
        <v/>
      </c>
      <c r="X52" s="158" t="str">
        <f>IF(B52="","",ROUND((SUMIFS(Tree!$AW:$AW,Tree!$A:$A,'Pre-Harvest Plots_rpt'!$B52,Tree!$B:$B,'Pre-Harvest Plots_rpt'!$D52,Tree!$F:$F,"L",Tree!$K:$K,"&lt;&gt;"&amp;"Y")/1000)-W52,1))</f>
        <v/>
      </c>
      <c r="Y52" s="135"/>
      <c r="Z52" s="161" t="str">
        <f>IF(IF(B52="","",SUMIFS(Tree!$O:$O,Tree!$A:$A,'Pre-Harvest Plots_rpt'!$B52,Tree!$B:$B,'Pre-Harvest Plots_rpt'!$D52,Tree!$F:$F,"D",Tree!$K:$K,"&lt;&gt;"&amp;"Y"))=0,"",IF(B52="","",SUMIFS(Tree!$O:$O,Tree!$A:$A,'Pre-Harvest Plots_rpt'!$B52,Tree!$B:$B,'Pre-Harvest Plots_rpt'!$D52,Tree!$F:$F,"D",Tree!$K:$K,"&lt;&gt;"&amp;"Y")))</f>
        <v/>
      </c>
      <c r="AA52" s="125" t="str">
        <f t="shared" si="3"/>
        <v/>
      </c>
      <c r="AB52" s="125" t="str">
        <f>IF(Z52="","",SUMIFS(Tree!$R:$R,Tree!$A:$A,'Pre-Harvest Plots_rpt'!$B52,Tree!$B:$B,'Pre-Harvest Plots_rpt'!$D52,Tree!$F:$F,"D",Tree!$K:$K,"&lt;&gt;"&amp;"Y"))</f>
        <v/>
      </c>
      <c r="AC52" s="126" t="str">
        <f>IF(Z52="","",SUMIFS(Tree!$AM:$AM,Tree!$A:$A,'Pre-Harvest Plots_rpt'!$B52,Tree!$B:$B,'Pre-Harvest Plots_rpt'!$D52,Tree!$F:$F,"D",Tree!$K:$K,"&lt;&gt;"&amp;"Y"))</f>
        <v/>
      </c>
      <c r="AD52" s="162" t="str">
        <f>IF(Z52="","",SUMIFS(Tree!$AW:$AW,Tree!$A:$A,'Pre-Harvest Plots_rpt'!$B52,Tree!$B:$B,'Pre-Harvest Plots_rpt'!$D52,Tree!$F:$F,"D",Tree!$K:$K,"&lt;&gt;"&amp;"Y")/1000)</f>
        <v/>
      </c>
      <c r="AE52" s="47"/>
      <c r="AF52" s="18"/>
      <c r="AG52" s="18"/>
      <c r="AH52" s="18"/>
    </row>
    <row r="53" spans="1:34" ht="12.75" customHeight="1" x14ac:dyDescent="0.25">
      <c r="A53" s="48">
        <v>50</v>
      </c>
      <c r="B53" s="171" t="str">
        <f>IF(A53&lt;=SUM(Stand!$H$3:$H$29),VLOOKUP(A53,Stand!$A$3:$C$29,3,TRUE),"")</f>
        <v/>
      </c>
      <c r="C53" s="172" t="str">
        <f t="shared" si="0"/>
        <v/>
      </c>
      <c r="D53" s="173" t="str">
        <f>IF(B53="","",VLOOKUP(B53&amp;C53,Plot!$B$2:$D$199,3,FALSE))</f>
        <v/>
      </c>
      <c r="E53" s="130"/>
      <c r="F53" s="152" t="str">
        <f>IF(B53="","",SUMIFS(Tree!$O:$O,Tree!$A:$A,'Pre-Harvest Plots_rpt'!$B53,Tree!$B:$B,'Pre-Harvest Plots_rpt'!$D53,Tree!$F:$F,"L",Tree!$K:$K,"&lt;&gt;"&amp;"Y"))</f>
        <v/>
      </c>
      <c r="G53" s="153" t="str">
        <f>IFERROR(IF(D53="","",SUMIFS(Tree!$P:$P,Tree!$A:$A,'Pre-Harvest Plots_rpt'!$B53,Tree!$B:$B,'Pre-Harvest Plots_rpt'!$D53,Tree!$K:$K,"&lt;&gt;"&amp;"Y")/$F53),"")</f>
        <v/>
      </c>
      <c r="H53" s="122" t="str">
        <f t="shared" si="1"/>
        <v/>
      </c>
      <c r="I53" s="121" t="str">
        <f>IF(OR($F53=0,$F53=""),"",SUMIFS(Tree!$R:$R,Tree!$A:$A,'Pre-Harvest Plots_rpt'!$B53,Tree!$B:$B,'Pre-Harvest Plots_rpt'!$D53,Tree!$F:$F,"L",Tree!$K:$K,"&lt;&gt;"&amp;"Y"))</f>
        <v/>
      </c>
      <c r="J53" s="121" t="str">
        <f>IF(OR($F53=0,$F53=""),"",IF(SUMIFS(Tree!$W:$W,Tree!$A:$A,'Pre-Harvest Plots_rpt'!$B53,Tree!$B:$B,'Pre-Harvest Plots_rpt'!$D53,Tree!$F:$F,"L",Tree!$K:$K,"&lt;&gt;"&amp;"Y")=0,0,AVERAGEIFS(Tree!$W:$W,Tree!$A:$A,'Pre-Harvest Plots_rpt'!$B53,Tree!$B:$B,'Pre-Harvest Plots_rpt'!$D53,Tree!$F:$F,"L",Tree!$K:$K,"&lt;&gt;"&amp;"Y")))</f>
        <v/>
      </c>
      <c r="K53" s="121" t="str">
        <f>IF($F53="","",SUMIFS(Tree!$S:$S,Tree!$A:$A,'Pre-Harvest Plots_rpt'!$B53,Tree!$B:$B,'Pre-Harvest Plots_rpt'!$D53,Tree!$F:$F,"L",Tree!$K:$K,"&lt;&gt;"&amp;"Y"))</f>
        <v/>
      </c>
      <c r="L53" s="154" t="str">
        <f t="shared" si="2"/>
        <v/>
      </c>
      <c r="M53" s="135"/>
      <c r="N53" s="192" t="str">
        <f>IF(B53="","",SUMIFS(Tree!$AM:$AM,Tree!$A:$A,'Pre-Harvest Plots_rpt'!$B53,Tree!$B:$B,'Pre-Harvest Plots_rpt'!$D53,Tree!$F:$F,"L",Tree!$K:$K,"&lt;&gt;"&amp;"Y"))</f>
        <v/>
      </c>
      <c r="O53" s="122" t="str">
        <f>IF(B53="","",SUMIFS(Tree!$AN:$AN,Tree!$A:$A,'Pre-Harvest Plots_rpt'!$B53,Tree!$B:$B,'Pre-Harvest Plots_rpt'!$D53,Tree!$F:$F,"L",Tree!$K:$K,"&lt;&gt;"&amp;"Y"))</f>
        <v/>
      </c>
      <c r="P53" s="122" t="str">
        <f>IF(B53="","",SUMIFS(Tree!$AO:$AO,Tree!$A:$A,'Pre-Harvest Plots_rpt'!$B53,Tree!$B:$B,'Pre-Harvest Plots_rpt'!$D53,Tree!$F:$F,"L",Tree!$K:$K,"&lt;&gt;"&amp;"Y"))</f>
        <v/>
      </c>
      <c r="Q53" s="122" t="str">
        <f>IF(B53="","",SUMIFS(Tree!$AP:$AP,Tree!$A:$A,'Pre-Harvest Plots_rpt'!$B53,Tree!$B:$B,'Pre-Harvest Plots_rpt'!$D53,Tree!$F:$F,"L",Tree!$K:$K,"&lt;&gt;"&amp;"Y"))</f>
        <v/>
      </c>
      <c r="R53" s="123" t="str">
        <f>IF(B53="","",SUMIFS(Tree!$AQ:$AQ,Tree!$A:$A,'Pre-Harvest Plots_rpt'!$B53,Tree!$B:$B,'Pre-Harvest Plots_rpt'!$D53,Tree!$F:$F,"L",Tree!$K:$K,"&lt;&gt;"&amp;"Y"))</f>
        <v/>
      </c>
      <c r="S53" s="122" t="str">
        <f>IF(B53="","",SUMIFS(Tree!$AJ:$AJ,Tree!$A:$A,'Pre-Harvest Plots_rpt'!$B53,Tree!$B:$B,'Pre-Harvest Plots_rpt'!$D53,Tree!$F:$F,"L",Tree!$K:$K,"&lt;&gt;"&amp;"Y")-O53)</f>
        <v/>
      </c>
      <c r="T53" s="122" t="str">
        <f>IF(B53="","",SUMIFS(Tree!$AK:$AK,Tree!$A:$A,'Pre-Harvest Plots_rpt'!$B53,Tree!$B:$B,'Pre-Harvest Plots_rpt'!$D53,Tree!$F:$F,"L",Tree!$K:$K,"&lt;&gt;"&amp;"Y")-P53)</f>
        <v/>
      </c>
      <c r="U53" s="122" t="str">
        <f>IF(B53="","",SUMIFS(Tree!$AL:$AL,Tree!$A:$A,'Pre-Harvest Plots_rpt'!$B53,Tree!$B:$B,'Pre-Harvest Plots_rpt'!$D53,Tree!$F:$F,"L",Tree!$K:$K,"&lt;&gt;"&amp;"Y")-Q53)</f>
        <v/>
      </c>
      <c r="V53" s="123" t="str">
        <f>IF(B53="","",ROUND(SUMIFS(Tree!$AE:$AE,Tree!$A:$A,'Pre-Harvest Plots_rpt'!$B53,Tree!$B:$B,'Pre-Harvest Plots_rpt'!$D53,Tree!$F:$F,"L",Tree!$K:$K,"&lt;&gt;"&amp;"Y")-R53,1))</f>
        <v/>
      </c>
      <c r="W53" s="124" t="str">
        <f>IF(B53="","",SUMIFS(Tree!$AY:$AY,Tree!$A:$A,'Pre-Harvest Plots_rpt'!$B53,Tree!$B:$B,'Pre-Harvest Plots_rpt'!$D53,Tree!$F:$F,"L",Tree!$K:$K,"&lt;&gt;"&amp;"Y")/1000)</f>
        <v/>
      </c>
      <c r="X53" s="158" t="str">
        <f>IF(B53="","",ROUND((SUMIFS(Tree!$AW:$AW,Tree!$A:$A,'Pre-Harvest Plots_rpt'!$B53,Tree!$B:$B,'Pre-Harvest Plots_rpt'!$D53,Tree!$F:$F,"L",Tree!$K:$K,"&lt;&gt;"&amp;"Y")/1000)-W53,1))</f>
        <v/>
      </c>
      <c r="Y53" s="135"/>
      <c r="Z53" s="161" t="str">
        <f>IF(IF(B53="","",SUMIFS(Tree!$O:$O,Tree!$A:$A,'Pre-Harvest Plots_rpt'!$B53,Tree!$B:$B,'Pre-Harvest Plots_rpt'!$D53,Tree!$F:$F,"D",Tree!$K:$K,"&lt;&gt;"&amp;"Y"))=0,"",IF(B53="","",SUMIFS(Tree!$O:$O,Tree!$A:$A,'Pre-Harvest Plots_rpt'!$B53,Tree!$B:$B,'Pre-Harvest Plots_rpt'!$D53,Tree!$F:$F,"D",Tree!$K:$K,"&lt;&gt;"&amp;"Y")))</f>
        <v/>
      </c>
      <c r="AA53" s="125" t="str">
        <f t="shared" si="3"/>
        <v/>
      </c>
      <c r="AB53" s="125" t="str">
        <f>IF(Z53="","",SUMIFS(Tree!$R:$R,Tree!$A:$A,'Pre-Harvest Plots_rpt'!$B53,Tree!$B:$B,'Pre-Harvest Plots_rpt'!$D53,Tree!$F:$F,"D",Tree!$K:$K,"&lt;&gt;"&amp;"Y"))</f>
        <v/>
      </c>
      <c r="AC53" s="126" t="str">
        <f>IF(Z53="","",SUMIFS(Tree!$AM:$AM,Tree!$A:$A,'Pre-Harvest Plots_rpt'!$B53,Tree!$B:$B,'Pre-Harvest Plots_rpt'!$D53,Tree!$F:$F,"D",Tree!$K:$K,"&lt;&gt;"&amp;"Y"))</f>
        <v/>
      </c>
      <c r="AD53" s="162" t="str">
        <f>IF(Z53="","",SUMIFS(Tree!$AW:$AW,Tree!$A:$A,'Pre-Harvest Plots_rpt'!$B53,Tree!$B:$B,'Pre-Harvest Plots_rpt'!$D53,Tree!$F:$F,"D",Tree!$K:$K,"&lt;&gt;"&amp;"Y")/1000)</f>
        <v/>
      </c>
      <c r="AE53" s="47"/>
      <c r="AF53" s="18"/>
      <c r="AG53" s="18"/>
      <c r="AH53" s="18"/>
    </row>
    <row r="54" spans="1:34" ht="12.75" customHeight="1" x14ac:dyDescent="0.25">
      <c r="A54" s="48">
        <v>51</v>
      </c>
      <c r="B54" s="171" t="str">
        <f>IF(A54&lt;=SUM(Stand!$H$3:$H$29),VLOOKUP(A54,Stand!$A$3:$C$29,3,TRUE),"")</f>
        <v/>
      </c>
      <c r="C54" s="172" t="str">
        <f t="shared" si="0"/>
        <v/>
      </c>
      <c r="D54" s="173" t="str">
        <f>IF(B54="","",VLOOKUP(B54&amp;C54,Plot!$B$2:$D$199,3,FALSE))</f>
        <v/>
      </c>
      <c r="E54" s="130"/>
      <c r="F54" s="152" t="str">
        <f>IF(B54="","",SUMIFS(Tree!$O:$O,Tree!$A:$A,'Pre-Harvest Plots_rpt'!$B54,Tree!$B:$B,'Pre-Harvest Plots_rpt'!$D54,Tree!$F:$F,"L",Tree!$K:$K,"&lt;&gt;"&amp;"Y"))</f>
        <v/>
      </c>
      <c r="G54" s="153" t="str">
        <f>IFERROR(IF(D54="","",SUMIFS(Tree!$P:$P,Tree!$A:$A,'Pre-Harvest Plots_rpt'!$B54,Tree!$B:$B,'Pre-Harvest Plots_rpt'!$D54,Tree!$K:$K,"&lt;&gt;"&amp;"Y")/$F54),"")</f>
        <v/>
      </c>
      <c r="H54" s="122" t="str">
        <f t="shared" si="1"/>
        <v/>
      </c>
      <c r="I54" s="121" t="str">
        <f>IF(OR($F54=0,$F54=""),"",SUMIFS(Tree!$R:$R,Tree!$A:$A,'Pre-Harvest Plots_rpt'!$B54,Tree!$B:$B,'Pre-Harvest Plots_rpt'!$D54,Tree!$F:$F,"L",Tree!$K:$K,"&lt;&gt;"&amp;"Y"))</f>
        <v/>
      </c>
      <c r="J54" s="121" t="str">
        <f>IF(OR($F54=0,$F54=""),"",IF(SUMIFS(Tree!$W:$W,Tree!$A:$A,'Pre-Harvest Plots_rpt'!$B54,Tree!$B:$B,'Pre-Harvest Plots_rpt'!$D54,Tree!$F:$F,"L",Tree!$K:$K,"&lt;&gt;"&amp;"Y")=0,0,AVERAGEIFS(Tree!$W:$W,Tree!$A:$A,'Pre-Harvest Plots_rpt'!$B54,Tree!$B:$B,'Pre-Harvest Plots_rpt'!$D54,Tree!$F:$F,"L",Tree!$K:$K,"&lt;&gt;"&amp;"Y")))</f>
        <v/>
      </c>
      <c r="K54" s="121" t="str">
        <f>IF($F54="","",SUMIFS(Tree!$S:$S,Tree!$A:$A,'Pre-Harvest Plots_rpt'!$B54,Tree!$B:$B,'Pre-Harvest Plots_rpt'!$D54,Tree!$F:$F,"L",Tree!$K:$K,"&lt;&gt;"&amp;"Y"))</f>
        <v/>
      </c>
      <c r="L54" s="154" t="str">
        <f t="shared" si="2"/>
        <v/>
      </c>
      <c r="M54" s="135"/>
      <c r="N54" s="192" t="str">
        <f>IF(B54="","",SUMIFS(Tree!$AM:$AM,Tree!$A:$A,'Pre-Harvest Plots_rpt'!$B54,Tree!$B:$B,'Pre-Harvest Plots_rpt'!$D54,Tree!$F:$F,"L",Tree!$K:$K,"&lt;&gt;"&amp;"Y"))</f>
        <v/>
      </c>
      <c r="O54" s="122" t="str">
        <f>IF(B54="","",SUMIFS(Tree!$AN:$AN,Tree!$A:$A,'Pre-Harvest Plots_rpt'!$B54,Tree!$B:$B,'Pre-Harvest Plots_rpt'!$D54,Tree!$F:$F,"L",Tree!$K:$K,"&lt;&gt;"&amp;"Y"))</f>
        <v/>
      </c>
      <c r="P54" s="122" t="str">
        <f>IF(B54="","",SUMIFS(Tree!$AO:$AO,Tree!$A:$A,'Pre-Harvest Plots_rpt'!$B54,Tree!$B:$B,'Pre-Harvest Plots_rpt'!$D54,Tree!$F:$F,"L",Tree!$K:$K,"&lt;&gt;"&amp;"Y"))</f>
        <v/>
      </c>
      <c r="Q54" s="122" t="str">
        <f>IF(B54="","",SUMIFS(Tree!$AP:$AP,Tree!$A:$A,'Pre-Harvest Plots_rpt'!$B54,Tree!$B:$B,'Pre-Harvest Plots_rpt'!$D54,Tree!$F:$F,"L",Tree!$K:$K,"&lt;&gt;"&amp;"Y"))</f>
        <v/>
      </c>
      <c r="R54" s="123" t="str">
        <f>IF(B54="","",SUMIFS(Tree!$AQ:$AQ,Tree!$A:$A,'Pre-Harvest Plots_rpt'!$B54,Tree!$B:$B,'Pre-Harvest Plots_rpt'!$D54,Tree!$F:$F,"L",Tree!$K:$K,"&lt;&gt;"&amp;"Y"))</f>
        <v/>
      </c>
      <c r="S54" s="122" t="str">
        <f>IF(B54="","",SUMIFS(Tree!$AJ:$AJ,Tree!$A:$A,'Pre-Harvest Plots_rpt'!$B54,Tree!$B:$B,'Pre-Harvest Plots_rpt'!$D54,Tree!$F:$F,"L",Tree!$K:$K,"&lt;&gt;"&amp;"Y")-O54)</f>
        <v/>
      </c>
      <c r="T54" s="122" t="str">
        <f>IF(B54="","",SUMIFS(Tree!$AK:$AK,Tree!$A:$A,'Pre-Harvest Plots_rpt'!$B54,Tree!$B:$B,'Pre-Harvest Plots_rpt'!$D54,Tree!$F:$F,"L",Tree!$K:$K,"&lt;&gt;"&amp;"Y")-P54)</f>
        <v/>
      </c>
      <c r="U54" s="122" t="str">
        <f>IF(B54="","",SUMIFS(Tree!$AL:$AL,Tree!$A:$A,'Pre-Harvest Plots_rpt'!$B54,Tree!$B:$B,'Pre-Harvest Plots_rpt'!$D54,Tree!$F:$F,"L",Tree!$K:$K,"&lt;&gt;"&amp;"Y")-Q54)</f>
        <v/>
      </c>
      <c r="V54" s="123" t="str">
        <f>IF(B54="","",ROUND(SUMIFS(Tree!$AE:$AE,Tree!$A:$A,'Pre-Harvest Plots_rpt'!$B54,Tree!$B:$B,'Pre-Harvest Plots_rpt'!$D54,Tree!$F:$F,"L",Tree!$K:$K,"&lt;&gt;"&amp;"Y")-R54,1))</f>
        <v/>
      </c>
      <c r="W54" s="124" t="str">
        <f>IF(B54="","",SUMIFS(Tree!$AY:$AY,Tree!$A:$A,'Pre-Harvest Plots_rpt'!$B54,Tree!$B:$B,'Pre-Harvest Plots_rpt'!$D54,Tree!$F:$F,"L",Tree!$K:$K,"&lt;&gt;"&amp;"Y")/1000)</f>
        <v/>
      </c>
      <c r="X54" s="158" t="str">
        <f>IF(B54="","",ROUND((SUMIFS(Tree!$AW:$AW,Tree!$A:$A,'Pre-Harvest Plots_rpt'!$B54,Tree!$B:$B,'Pre-Harvest Plots_rpt'!$D54,Tree!$F:$F,"L",Tree!$K:$K,"&lt;&gt;"&amp;"Y")/1000)-W54,1))</f>
        <v/>
      </c>
      <c r="Y54" s="135"/>
      <c r="Z54" s="161" t="str">
        <f>IF(IF(B54="","",SUMIFS(Tree!$O:$O,Tree!$A:$A,'Pre-Harvest Plots_rpt'!$B54,Tree!$B:$B,'Pre-Harvest Plots_rpt'!$D54,Tree!$F:$F,"D",Tree!$K:$K,"&lt;&gt;"&amp;"Y"))=0,"",IF(B54="","",SUMIFS(Tree!$O:$O,Tree!$A:$A,'Pre-Harvest Plots_rpt'!$B54,Tree!$B:$B,'Pre-Harvest Plots_rpt'!$D54,Tree!$F:$F,"D",Tree!$K:$K,"&lt;&gt;"&amp;"Y")))</f>
        <v/>
      </c>
      <c r="AA54" s="125" t="str">
        <f t="shared" si="3"/>
        <v/>
      </c>
      <c r="AB54" s="125" t="str">
        <f>IF(Z54="","",SUMIFS(Tree!$R:$R,Tree!$A:$A,'Pre-Harvest Plots_rpt'!$B54,Tree!$B:$B,'Pre-Harvest Plots_rpt'!$D54,Tree!$F:$F,"D",Tree!$K:$K,"&lt;&gt;"&amp;"Y"))</f>
        <v/>
      </c>
      <c r="AC54" s="126" t="str">
        <f>IF(Z54="","",SUMIFS(Tree!$AM:$AM,Tree!$A:$A,'Pre-Harvest Plots_rpt'!$B54,Tree!$B:$B,'Pre-Harvest Plots_rpt'!$D54,Tree!$F:$F,"D",Tree!$K:$K,"&lt;&gt;"&amp;"Y"))</f>
        <v/>
      </c>
      <c r="AD54" s="162" t="str">
        <f>IF(Z54="","",SUMIFS(Tree!$AW:$AW,Tree!$A:$A,'Pre-Harvest Plots_rpt'!$B54,Tree!$B:$B,'Pre-Harvest Plots_rpt'!$D54,Tree!$F:$F,"D",Tree!$K:$K,"&lt;&gt;"&amp;"Y")/1000)</f>
        <v/>
      </c>
      <c r="AE54" s="47"/>
      <c r="AF54" s="18"/>
      <c r="AG54" s="18"/>
      <c r="AH54" s="18"/>
    </row>
    <row r="55" spans="1:34" ht="12.75" customHeight="1" x14ac:dyDescent="0.25">
      <c r="A55" s="48">
        <v>52</v>
      </c>
      <c r="B55" s="171" t="str">
        <f>IF(A55&lt;=SUM(Stand!$H$3:$H$29),VLOOKUP(A55,Stand!$A$3:$C$29,3,TRUE),"")</f>
        <v/>
      </c>
      <c r="C55" s="172" t="str">
        <f t="shared" si="0"/>
        <v/>
      </c>
      <c r="D55" s="173" t="str">
        <f>IF(B55="","",VLOOKUP(B55&amp;C55,Plot!$B$2:$D$199,3,FALSE))</f>
        <v/>
      </c>
      <c r="E55" s="130"/>
      <c r="F55" s="152" t="str">
        <f>IF(B55="","",SUMIFS(Tree!$O:$O,Tree!$A:$A,'Pre-Harvest Plots_rpt'!$B55,Tree!$B:$B,'Pre-Harvest Plots_rpt'!$D55,Tree!$F:$F,"L",Tree!$K:$K,"&lt;&gt;"&amp;"Y"))</f>
        <v/>
      </c>
      <c r="G55" s="153" t="str">
        <f>IFERROR(IF(D55="","",SUMIFS(Tree!$P:$P,Tree!$A:$A,'Pre-Harvest Plots_rpt'!$B55,Tree!$B:$B,'Pre-Harvest Plots_rpt'!$D55,Tree!$K:$K,"&lt;&gt;"&amp;"Y")/$F55),"")</f>
        <v/>
      </c>
      <c r="H55" s="122" t="str">
        <f t="shared" si="1"/>
        <v/>
      </c>
      <c r="I55" s="121" t="str">
        <f>IF(OR($F55=0,$F55=""),"",SUMIFS(Tree!$R:$R,Tree!$A:$A,'Pre-Harvest Plots_rpt'!$B55,Tree!$B:$B,'Pre-Harvest Plots_rpt'!$D55,Tree!$F:$F,"L",Tree!$K:$K,"&lt;&gt;"&amp;"Y"))</f>
        <v/>
      </c>
      <c r="J55" s="121" t="str">
        <f>IF(OR($F55=0,$F55=""),"",IF(SUMIFS(Tree!$W:$W,Tree!$A:$A,'Pre-Harvest Plots_rpt'!$B55,Tree!$B:$B,'Pre-Harvest Plots_rpt'!$D55,Tree!$F:$F,"L",Tree!$K:$K,"&lt;&gt;"&amp;"Y")=0,0,AVERAGEIFS(Tree!$W:$W,Tree!$A:$A,'Pre-Harvest Plots_rpt'!$B55,Tree!$B:$B,'Pre-Harvest Plots_rpt'!$D55,Tree!$F:$F,"L",Tree!$K:$K,"&lt;&gt;"&amp;"Y")))</f>
        <v/>
      </c>
      <c r="K55" s="121" t="str">
        <f>IF($F55="","",SUMIFS(Tree!$S:$S,Tree!$A:$A,'Pre-Harvest Plots_rpt'!$B55,Tree!$B:$B,'Pre-Harvest Plots_rpt'!$D55,Tree!$F:$F,"L",Tree!$K:$K,"&lt;&gt;"&amp;"Y"))</f>
        <v/>
      </c>
      <c r="L55" s="154" t="str">
        <f t="shared" si="2"/>
        <v/>
      </c>
      <c r="M55" s="135"/>
      <c r="N55" s="192" t="str">
        <f>IF(B55="","",SUMIFS(Tree!$AM:$AM,Tree!$A:$A,'Pre-Harvest Plots_rpt'!$B55,Tree!$B:$B,'Pre-Harvest Plots_rpt'!$D55,Tree!$F:$F,"L",Tree!$K:$K,"&lt;&gt;"&amp;"Y"))</f>
        <v/>
      </c>
      <c r="O55" s="122" t="str">
        <f>IF(B55="","",SUMIFS(Tree!$AN:$AN,Tree!$A:$A,'Pre-Harvest Plots_rpt'!$B55,Tree!$B:$B,'Pre-Harvest Plots_rpt'!$D55,Tree!$F:$F,"L",Tree!$K:$K,"&lt;&gt;"&amp;"Y"))</f>
        <v/>
      </c>
      <c r="P55" s="122" t="str">
        <f>IF(B55="","",SUMIFS(Tree!$AO:$AO,Tree!$A:$A,'Pre-Harvest Plots_rpt'!$B55,Tree!$B:$B,'Pre-Harvest Plots_rpt'!$D55,Tree!$F:$F,"L",Tree!$K:$K,"&lt;&gt;"&amp;"Y"))</f>
        <v/>
      </c>
      <c r="Q55" s="122" t="str">
        <f>IF(B55="","",SUMIFS(Tree!$AP:$AP,Tree!$A:$A,'Pre-Harvest Plots_rpt'!$B55,Tree!$B:$B,'Pre-Harvest Plots_rpt'!$D55,Tree!$F:$F,"L",Tree!$K:$K,"&lt;&gt;"&amp;"Y"))</f>
        <v/>
      </c>
      <c r="R55" s="123" t="str">
        <f>IF(B55="","",SUMIFS(Tree!$AQ:$AQ,Tree!$A:$A,'Pre-Harvest Plots_rpt'!$B55,Tree!$B:$B,'Pre-Harvest Plots_rpt'!$D55,Tree!$F:$F,"L",Tree!$K:$K,"&lt;&gt;"&amp;"Y"))</f>
        <v/>
      </c>
      <c r="S55" s="122" t="str">
        <f>IF(B55="","",SUMIFS(Tree!$AJ:$AJ,Tree!$A:$A,'Pre-Harvest Plots_rpt'!$B55,Tree!$B:$B,'Pre-Harvest Plots_rpt'!$D55,Tree!$F:$F,"L",Tree!$K:$K,"&lt;&gt;"&amp;"Y")-O55)</f>
        <v/>
      </c>
      <c r="T55" s="122" t="str">
        <f>IF(B55="","",SUMIFS(Tree!$AK:$AK,Tree!$A:$A,'Pre-Harvest Plots_rpt'!$B55,Tree!$B:$B,'Pre-Harvest Plots_rpt'!$D55,Tree!$F:$F,"L",Tree!$K:$K,"&lt;&gt;"&amp;"Y")-P55)</f>
        <v/>
      </c>
      <c r="U55" s="122" t="str">
        <f>IF(B55="","",SUMIFS(Tree!$AL:$AL,Tree!$A:$A,'Pre-Harvest Plots_rpt'!$B55,Tree!$B:$B,'Pre-Harvest Plots_rpt'!$D55,Tree!$F:$F,"L",Tree!$K:$K,"&lt;&gt;"&amp;"Y")-Q55)</f>
        <v/>
      </c>
      <c r="V55" s="123" t="str">
        <f>IF(B55="","",ROUND(SUMIFS(Tree!$AE:$AE,Tree!$A:$A,'Pre-Harvest Plots_rpt'!$B55,Tree!$B:$B,'Pre-Harvest Plots_rpt'!$D55,Tree!$F:$F,"L",Tree!$K:$K,"&lt;&gt;"&amp;"Y")-R55,1))</f>
        <v/>
      </c>
      <c r="W55" s="124" t="str">
        <f>IF(B55="","",SUMIFS(Tree!$AY:$AY,Tree!$A:$A,'Pre-Harvest Plots_rpt'!$B55,Tree!$B:$B,'Pre-Harvest Plots_rpt'!$D55,Tree!$F:$F,"L",Tree!$K:$K,"&lt;&gt;"&amp;"Y")/1000)</f>
        <v/>
      </c>
      <c r="X55" s="158" t="str">
        <f>IF(B55="","",ROUND((SUMIFS(Tree!$AW:$AW,Tree!$A:$A,'Pre-Harvest Plots_rpt'!$B55,Tree!$B:$B,'Pre-Harvest Plots_rpt'!$D55,Tree!$F:$F,"L",Tree!$K:$K,"&lt;&gt;"&amp;"Y")/1000)-W55,1))</f>
        <v/>
      </c>
      <c r="Y55" s="135"/>
      <c r="Z55" s="161" t="str">
        <f>IF(IF(B55="","",SUMIFS(Tree!$O:$O,Tree!$A:$A,'Pre-Harvest Plots_rpt'!$B55,Tree!$B:$B,'Pre-Harvest Plots_rpt'!$D55,Tree!$F:$F,"D",Tree!$K:$K,"&lt;&gt;"&amp;"Y"))=0,"",IF(B55="","",SUMIFS(Tree!$O:$O,Tree!$A:$A,'Pre-Harvest Plots_rpt'!$B55,Tree!$B:$B,'Pre-Harvest Plots_rpt'!$D55,Tree!$F:$F,"D",Tree!$K:$K,"&lt;&gt;"&amp;"Y")))</f>
        <v/>
      </c>
      <c r="AA55" s="125" t="str">
        <f t="shared" si="3"/>
        <v/>
      </c>
      <c r="AB55" s="125" t="str">
        <f>IF(Z55="","",SUMIFS(Tree!$R:$R,Tree!$A:$A,'Pre-Harvest Plots_rpt'!$B55,Tree!$B:$B,'Pre-Harvest Plots_rpt'!$D55,Tree!$F:$F,"D",Tree!$K:$K,"&lt;&gt;"&amp;"Y"))</f>
        <v/>
      </c>
      <c r="AC55" s="126" t="str">
        <f>IF(Z55="","",SUMIFS(Tree!$AM:$AM,Tree!$A:$A,'Pre-Harvest Plots_rpt'!$B55,Tree!$B:$B,'Pre-Harvest Plots_rpt'!$D55,Tree!$F:$F,"D",Tree!$K:$K,"&lt;&gt;"&amp;"Y"))</f>
        <v/>
      </c>
      <c r="AD55" s="162" t="str">
        <f>IF(Z55="","",SUMIFS(Tree!$AW:$AW,Tree!$A:$A,'Pre-Harvest Plots_rpt'!$B55,Tree!$B:$B,'Pre-Harvest Plots_rpt'!$D55,Tree!$F:$F,"D",Tree!$K:$K,"&lt;&gt;"&amp;"Y")/1000)</f>
        <v/>
      </c>
      <c r="AE55" s="47"/>
      <c r="AF55" s="18"/>
      <c r="AG55" s="18"/>
      <c r="AH55" s="18"/>
    </row>
    <row r="56" spans="1:34" ht="12.75" customHeight="1" x14ac:dyDescent="0.25">
      <c r="A56" s="48">
        <v>53</v>
      </c>
      <c r="B56" s="171" t="str">
        <f>IF(A56&lt;=SUM(Stand!$H$3:$H$29),VLOOKUP(A56,Stand!$A$3:$C$29,3,TRUE),"")</f>
        <v/>
      </c>
      <c r="C56" s="172" t="str">
        <f t="shared" si="0"/>
        <v/>
      </c>
      <c r="D56" s="173" t="str">
        <f>IF(B56="","",VLOOKUP(B56&amp;C56,Plot!$B$2:$D$199,3,FALSE))</f>
        <v/>
      </c>
      <c r="E56" s="130"/>
      <c r="F56" s="152" t="str">
        <f>IF(B56="","",SUMIFS(Tree!$O:$O,Tree!$A:$A,'Pre-Harvest Plots_rpt'!$B56,Tree!$B:$B,'Pre-Harvest Plots_rpt'!$D56,Tree!$F:$F,"L",Tree!$K:$K,"&lt;&gt;"&amp;"Y"))</f>
        <v/>
      </c>
      <c r="G56" s="153" t="str">
        <f>IFERROR(IF(D56="","",SUMIFS(Tree!$P:$P,Tree!$A:$A,'Pre-Harvest Plots_rpt'!$B56,Tree!$B:$B,'Pre-Harvest Plots_rpt'!$D56,Tree!$K:$K,"&lt;&gt;"&amp;"Y")/$F56),"")</f>
        <v/>
      </c>
      <c r="H56" s="122" t="str">
        <f t="shared" si="1"/>
        <v/>
      </c>
      <c r="I56" s="121" t="str">
        <f>IF(OR($F56=0,$F56=""),"",SUMIFS(Tree!$R:$R,Tree!$A:$A,'Pre-Harvest Plots_rpt'!$B56,Tree!$B:$B,'Pre-Harvest Plots_rpt'!$D56,Tree!$F:$F,"L",Tree!$K:$K,"&lt;&gt;"&amp;"Y"))</f>
        <v/>
      </c>
      <c r="J56" s="121" t="str">
        <f>IF(OR($F56=0,$F56=""),"",IF(SUMIFS(Tree!$W:$W,Tree!$A:$A,'Pre-Harvest Plots_rpt'!$B56,Tree!$B:$B,'Pre-Harvest Plots_rpt'!$D56,Tree!$F:$F,"L",Tree!$K:$K,"&lt;&gt;"&amp;"Y")=0,0,AVERAGEIFS(Tree!$W:$W,Tree!$A:$A,'Pre-Harvest Plots_rpt'!$B56,Tree!$B:$B,'Pre-Harvest Plots_rpt'!$D56,Tree!$F:$F,"L",Tree!$K:$K,"&lt;&gt;"&amp;"Y")))</f>
        <v/>
      </c>
      <c r="K56" s="121" t="str">
        <f>IF($F56="","",SUMIFS(Tree!$S:$S,Tree!$A:$A,'Pre-Harvest Plots_rpt'!$B56,Tree!$B:$B,'Pre-Harvest Plots_rpt'!$D56,Tree!$F:$F,"L",Tree!$K:$K,"&lt;&gt;"&amp;"Y"))</f>
        <v/>
      </c>
      <c r="L56" s="154" t="str">
        <f t="shared" si="2"/>
        <v/>
      </c>
      <c r="M56" s="135"/>
      <c r="N56" s="192" t="str">
        <f>IF(B56="","",SUMIFS(Tree!$AM:$AM,Tree!$A:$A,'Pre-Harvest Plots_rpt'!$B56,Tree!$B:$B,'Pre-Harvest Plots_rpt'!$D56,Tree!$F:$F,"L",Tree!$K:$K,"&lt;&gt;"&amp;"Y"))</f>
        <v/>
      </c>
      <c r="O56" s="122" t="str">
        <f>IF(B56="","",SUMIFS(Tree!$AN:$AN,Tree!$A:$A,'Pre-Harvest Plots_rpt'!$B56,Tree!$B:$B,'Pre-Harvest Plots_rpt'!$D56,Tree!$F:$F,"L",Tree!$K:$K,"&lt;&gt;"&amp;"Y"))</f>
        <v/>
      </c>
      <c r="P56" s="122" t="str">
        <f>IF(B56="","",SUMIFS(Tree!$AO:$AO,Tree!$A:$A,'Pre-Harvest Plots_rpt'!$B56,Tree!$B:$B,'Pre-Harvest Plots_rpt'!$D56,Tree!$F:$F,"L",Tree!$K:$K,"&lt;&gt;"&amp;"Y"))</f>
        <v/>
      </c>
      <c r="Q56" s="122" t="str">
        <f>IF(B56="","",SUMIFS(Tree!$AP:$AP,Tree!$A:$A,'Pre-Harvest Plots_rpt'!$B56,Tree!$B:$B,'Pre-Harvest Plots_rpt'!$D56,Tree!$F:$F,"L",Tree!$K:$K,"&lt;&gt;"&amp;"Y"))</f>
        <v/>
      </c>
      <c r="R56" s="123" t="str">
        <f>IF(B56="","",SUMIFS(Tree!$AQ:$AQ,Tree!$A:$A,'Pre-Harvest Plots_rpt'!$B56,Tree!$B:$B,'Pre-Harvest Plots_rpt'!$D56,Tree!$F:$F,"L",Tree!$K:$K,"&lt;&gt;"&amp;"Y"))</f>
        <v/>
      </c>
      <c r="S56" s="122" t="str">
        <f>IF(B56="","",SUMIFS(Tree!$AJ:$AJ,Tree!$A:$A,'Pre-Harvest Plots_rpt'!$B56,Tree!$B:$B,'Pre-Harvest Plots_rpt'!$D56,Tree!$F:$F,"L",Tree!$K:$K,"&lt;&gt;"&amp;"Y")-O56)</f>
        <v/>
      </c>
      <c r="T56" s="122" t="str">
        <f>IF(B56="","",SUMIFS(Tree!$AK:$AK,Tree!$A:$A,'Pre-Harvest Plots_rpt'!$B56,Tree!$B:$B,'Pre-Harvest Plots_rpt'!$D56,Tree!$F:$F,"L",Tree!$K:$K,"&lt;&gt;"&amp;"Y")-P56)</f>
        <v/>
      </c>
      <c r="U56" s="122" t="str">
        <f>IF(B56="","",SUMIFS(Tree!$AL:$AL,Tree!$A:$A,'Pre-Harvest Plots_rpt'!$B56,Tree!$B:$B,'Pre-Harvest Plots_rpt'!$D56,Tree!$F:$F,"L",Tree!$K:$K,"&lt;&gt;"&amp;"Y")-Q56)</f>
        <v/>
      </c>
      <c r="V56" s="123" t="str">
        <f>IF(B56="","",ROUND(SUMIFS(Tree!$AE:$AE,Tree!$A:$A,'Pre-Harvest Plots_rpt'!$B56,Tree!$B:$B,'Pre-Harvest Plots_rpt'!$D56,Tree!$F:$F,"L",Tree!$K:$K,"&lt;&gt;"&amp;"Y")-R56,1))</f>
        <v/>
      </c>
      <c r="W56" s="124" t="str">
        <f>IF(B56="","",SUMIFS(Tree!$AY:$AY,Tree!$A:$A,'Pre-Harvest Plots_rpt'!$B56,Tree!$B:$B,'Pre-Harvest Plots_rpt'!$D56,Tree!$F:$F,"L",Tree!$K:$K,"&lt;&gt;"&amp;"Y")/1000)</f>
        <v/>
      </c>
      <c r="X56" s="158" t="str">
        <f>IF(B56="","",ROUND((SUMIFS(Tree!$AW:$AW,Tree!$A:$A,'Pre-Harvest Plots_rpt'!$B56,Tree!$B:$B,'Pre-Harvest Plots_rpt'!$D56,Tree!$F:$F,"L",Tree!$K:$K,"&lt;&gt;"&amp;"Y")/1000)-W56,1))</f>
        <v/>
      </c>
      <c r="Y56" s="135"/>
      <c r="Z56" s="161" t="str">
        <f>IF(IF(B56="","",SUMIFS(Tree!$O:$O,Tree!$A:$A,'Pre-Harvest Plots_rpt'!$B56,Tree!$B:$B,'Pre-Harvest Plots_rpt'!$D56,Tree!$F:$F,"D",Tree!$K:$K,"&lt;&gt;"&amp;"Y"))=0,"",IF(B56="","",SUMIFS(Tree!$O:$O,Tree!$A:$A,'Pre-Harvest Plots_rpt'!$B56,Tree!$B:$B,'Pre-Harvest Plots_rpt'!$D56,Tree!$F:$F,"D",Tree!$K:$K,"&lt;&gt;"&amp;"Y")))</f>
        <v/>
      </c>
      <c r="AA56" s="125" t="str">
        <f t="shared" si="3"/>
        <v/>
      </c>
      <c r="AB56" s="125" t="str">
        <f>IF(Z56="","",SUMIFS(Tree!$R:$R,Tree!$A:$A,'Pre-Harvest Plots_rpt'!$B56,Tree!$B:$B,'Pre-Harvest Plots_rpt'!$D56,Tree!$F:$F,"D",Tree!$K:$K,"&lt;&gt;"&amp;"Y"))</f>
        <v/>
      </c>
      <c r="AC56" s="126" t="str">
        <f>IF(Z56="","",SUMIFS(Tree!$AM:$AM,Tree!$A:$A,'Pre-Harvest Plots_rpt'!$B56,Tree!$B:$B,'Pre-Harvest Plots_rpt'!$D56,Tree!$F:$F,"D",Tree!$K:$K,"&lt;&gt;"&amp;"Y"))</f>
        <v/>
      </c>
      <c r="AD56" s="162" t="str">
        <f>IF(Z56="","",SUMIFS(Tree!$AW:$AW,Tree!$A:$A,'Pre-Harvest Plots_rpt'!$B56,Tree!$B:$B,'Pre-Harvest Plots_rpt'!$D56,Tree!$F:$F,"D",Tree!$K:$K,"&lt;&gt;"&amp;"Y")/1000)</f>
        <v/>
      </c>
      <c r="AE56" s="47"/>
      <c r="AF56" s="18"/>
      <c r="AG56" s="18"/>
      <c r="AH56" s="18"/>
    </row>
    <row r="57" spans="1:34" ht="12.75" customHeight="1" x14ac:dyDescent="0.25">
      <c r="A57" s="48">
        <v>54</v>
      </c>
      <c r="B57" s="171" t="str">
        <f>IF(A57&lt;=SUM(Stand!$H$3:$H$29),VLOOKUP(A57,Stand!$A$3:$C$29,3,TRUE),"")</f>
        <v/>
      </c>
      <c r="C57" s="172" t="str">
        <f t="shared" si="0"/>
        <v/>
      </c>
      <c r="D57" s="173" t="str">
        <f>IF(B57="","",VLOOKUP(B57&amp;C57,Plot!$B$2:$D$199,3,FALSE))</f>
        <v/>
      </c>
      <c r="E57" s="130"/>
      <c r="F57" s="152" t="str">
        <f>IF(B57="","",SUMIFS(Tree!$O:$O,Tree!$A:$A,'Pre-Harvest Plots_rpt'!$B57,Tree!$B:$B,'Pre-Harvest Plots_rpt'!$D57,Tree!$F:$F,"L",Tree!$K:$K,"&lt;&gt;"&amp;"Y"))</f>
        <v/>
      </c>
      <c r="G57" s="153" t="str">
        <f>IFERROR(IF(D57="","",SUMIFS(Tree!$P:$P,Tree!$A:$A,'Pre-Harvest Plots_rpt'!$B57,Tree!$B:$B,'Pre-Harvest Plots_rpt'!$D57,Tree!$K:$K,"&lt;&gt;"&amp;"Y")/$F57),"")</f>
        <v/>
      </c>
      <c r="H57" s="122" t="str">
        <f t="shared" si="1"/>
        <v/>
      </c>
      <c r="I57" s="121" t="str">
        <f>IF(OR($F57=0,$F57=""),"",SUMIFS(Tree!$R:$R,Tree!$A:$A,'Pre-Harvest Plots_rpt'!$B57,Tree!$B:$B,'Pre-Harvest Plots_rpt'!$D57,Tree!$F:$F,"L",Tree!$K:$K,"&lt;&gt;"&amp;"Y"))</f>
        <v/>
      </c>
      <c r="J57" s="121" t="str">
        <f>IF(OR($F57=0,$F57=""),"",IF(SUMIFS(Tree!$W:$W,Tree!$A:$A,'Pre-Harvest Plots_rpt'!$B57,Tree!$B:$B,'Pre-Harvest Plots_rpt'!$D57,Tree!$F:$F,"L",Tree!$K:$K,"&lt;&gt;"&amp;"Y")=0,0,AVERAGEIFS(Tree!$W:$W,Tree!$A:$A,'Pre-Harvest Plots_rpt'!$B57,Tree!$B:$B,'Pre-Harvest Plots_rpt'!$D57,Tree!$F:$F,"L",Tree!$K:$K,"&lt;&gt;"&amp;"Y")))</f>
        <v/>
      </c>
      <c r="K57" s="121" t="str">
        <f>IF($F57="","",SUMIFS(Tree!$S:$S,Tree!$A:$A,'Pre-Harvest Plots_rpt'!$B57,Tree!$B:$B,'Pre-Harvest Plots_rpt'!$D57,Tree!$F:$F,"L",Tree!$K:$K,"&lt;&gt;"&amp;"Y"))</f>
        <v/>
      </c>
      <c r="L57" s="154" t="str">
        <f t="shared" si="2"/>
        <v/>
      </c>
      <c r="M57" s="135"/>
      <c r="N57" s="192" t="str">
        <f>IF(B57="","",SUMIFS(Tree!$AM:$AM,Tree!$A:$A,'Pre-Harvest Plots_rpt'!$B57,Tree!$B:$B,'Pre-Harvest Plots_rpt'!$D57,Tree!$F:$F,"L",Tree!$K:$K,"&lt;&gt;"&amp;"Y"))</f>
        <v/>
      </c>
      <c r="O57" s="122" t="str">
        <f>IF(B57="","",SUMIFS(Tree!$AN:$AN,Tree!$A:$A,'Pre-Harvest Plots_rpt'!$B57,Tree!$B:$B,'Pre-Harvest Plots_rpt'!$D57,Tree!$F:$F,"L",Tree!$K:$K,"&lt;&gt;"&amp;"Y"))</f>
        <v/>
      </c>
      <c r="P57" s="122" t="str">
        <f>IF(B57="","",SUMIFS(Tree!$AO:$AO,Tree!$A:$A,'Pre-Harvest Plots_rpt'!$B57,Tree!$B:$B,'Pre-Harvest Plots_rpt'!$D57,Tree!$F:$F,"L",Tree!$K:$K,"&lt;&gt;"&amp;"Y"))</f>
        <v/>
      </c>
      <c r="Q57" s="122" t="str">
        <f>IF(B57="","",SUMIFS(Tree!$AP:$AP,Tree!$A:$A,'Pre-Harvest Plots_rpt'!$B57,Tree!$B:$B,'Pre-Harvest Plots_rpt'!$D57,Tree!$F:$F,"L",Tree!$K:$K,"&lt;&gt;"&amp;"Y"))</f>
        <v/>
      </c>
      <c r="R57" s="123" t="str">
        <f>IF(B57="","",SUMIFS(Tree!$AQ:$AQ,Tree!$A:$A,'Pre-Harvest Plots_rpt'!$B57,Tree!$B:$B,'Pre-Harvest Plots_rpt'!$D57,Tree!$F:$F,"L",Tree!$K:$K,"&lt;&gt;"&amp;"Y"))</f>
        <v/>
      </c>
      <c r="S57" s="122" t="str">
        <f>IF(B57="","",SUMIFS(Tree!$AJ:$AJ,Tree!$A:$A,'Pre-Harvest Plots_rpt'!$B57,Tree!$B:$B,'Pre-Harvest Plots_rpt'!$D57,Tree!$F:$F,"L",Tree!$K:$K,"&lt;&gt;"&amp;"Y")-O57)</f>
        <v/>
      </c>
      <c r="T57" s="122" t="str">
        <f>IF(B57="","",SUMIFS(Tree!$AK:$AK,Tree!$A:$A,'Pre-Harvest Plots_rpt'!$B57,Tree!$B:$B,'Pre-Harvest Plots_rpt'!$D57,Tree!$F:$F,"L",Tree!$K:$K,"&lt;&gt;"&amp;"Y")-P57)</f>
        <v/>
      </c>
      <c r="U57" s="122" t="str">
        <f>IF(B57="","",SUMIFS(Tree!$AL:$AL,Tree!$A:$A,'Pre-Harvest Plots_rpt'!$B57,Tree!$B:$B,'Pre-Harvest Plots_rpt'!$D57,Tree!$F:$F,"L",Tree!$K:$K,"&lt;&gt;"&amp;"Y")-Q57)</f>
        <v/>
      </c>
      <c r="V57" s="123" t="str">
        <f>IF(B57="","",ROUND(SUMIFS(Tree!$AE:$AE,Tree!$A:$A,'Pre-Harvest Plots_rpt'!$B57,Tree!$B:$B,'Pre-Harvest Plots_rpt'!$D57,Tree!$F:$F,"L",Tree!$K:$K,"&lt;&gt;"&amp;"Y")-R57,1))</f>
        <v/>
      </c>
      <c r="W57" s="124" t="str">
        <f>IF(B57="","",SUMIFS(Tree!$AY:$AY,Tree!$A:$A,'Pre-Harvest Plots_rpt'!$B57,Tree!$B:$B,'Pre-Harvest Plots_rpt'!$D57,Tree!$F:$F,"L",Tree!$K:$K,"&lt;&gt;"&amp;"Y")/1000)</f>
        <v/>
      </c>
      <c r="X57" s="158" t="str">
        <f>IF(B57="","",ROUND((SUMIFS(Tree!$AW:$AW,Tree!$A:$A,'Pre-Harvest Plots_rpt'!$B57,Tree!$B:$B,'Pre-Harvest Plots_rpt'!$D57,Tree!$F:$F,"L",Tree!$K:$K,"&lt;&gt;"&amp;"Y")/1000)-W57,1))</f>
        <v/>
      </c>
      <c r="Y57" s="135"/>
      <c r="Z57" s="161" t="str">
        <f>IF(IF(B57="","",SUMIFS(Tree!$O:$O,Tree!$A:$A,'Pre-Harvest Plots_rpt'!$B57,Tree!$B:$B,'Pre-Harvest Plots_rpt'!$D57,Tree!$F:$F,"D",Tree!$K:$K,"&lt;&gt;"&amp;"Y"))=0,"",IF(B57="","",SUMIFS(Tree!$O:$O,Tree!$A:$A,'Pre-Harvest Plots_rpt'!$B57,Tree!$B:$B,'Pre-Harvest Plots_rpt'!$D57,Tree!$F:$F,"D",Tree!$K:$K,"&lt;&gt;"&amp;"Y")))</f>
        <v/>
      </c>
      <c r="AA57" s="125" t="str">
        <f t="shared" si="3"/>
        <v/>
      </c>
      <c r="AB57" s="125" t="str">
        <f>IF(Z57="","",SUMIFS(Tree!$R:$R,Tree!$A:$A,'Pre-Harvest Plots_rpt'!$B57,Tree!$B:$B,'Pre-Harvest Plots_rpt'!$D57,Tree!$F:$F,"D",Tree!$K:$K,"&lt;&gt;"&amp;"Y"))</f>
        <v/>
      </c>
      <c r="AC57" s="126" t="str">
        <f>IF(Z57="","",SUMIFS(Tree!$AM:$AM,Tree!$A:$A,'Pre-Harvest Plots_rpt'!$B57,Tree!$B:$B,'Pre-Harvest Plots_rpt'!$D57,Tree!$F:$F,"D",Tree!$K:$K,"&lt;&gt;"&amp;"Y"))</f>
        <v/>
      </c>
      <c r="AD57" s="162" t="str">
        <f>IF(Z57="","",SUMIFS(Tree!$AW:$AW,Tree!$A:$A,'Pre-Harvest Plots_rpt'!$B57,Tree!$B:$B,'Pre-Harvest Plots_rpt'!$D57,Tree!$F:$F,"D",Tree!$K:$K,"&lt;&gt;"&amp;"Y")/1000)</f>
        <v/>
      </c>
      <c r="AE57" s="47"/>
      <c r="AF57" s="18"/>
      <c r="AG57" s="18"/>
      <c r="AH57" s="18"/>
    </row>
    <row r="58" spans="1:34" ht="12.75" customHeight="1" x14ac:dyDescent="0.25">
      <c r="A58" s="48">
        <v>55</v>
      </c>
      <c r="B58" s="171" t="str">
        <f>IF(A58&lt;=SUM(Stand!$H$3:$H$29),VLOOKUP(A58,Stand!$A$3:$C$29,3,TRUE),"")</f>
        <v/>
      </c>
      <c r="C58" s="172" t="str">
        <f t="shared" si="0"/>
        <v/>
      </c>
      <c r="D58" s="173" t="str">
        <f>IF(B58="","",VLOOKUP(B58&amp;C58,Plot!$B$2:$D$199,3,FALSE))</f>
        <v/>
      </c>
      <c r="E58" s="130"/>
      <c r="F58" s="152" t="str">
        <f>IF(B58="","",SUMIFS(Tree!$O:$O,Tree!$A:$A,'Pre-Harvest Plots_rpt'!$B58,Tree!$B:$B,'Pre-Harvest Plots_rpt'!$D58,Tree!$F:$F,"L",Tree!$K:$K,"&lt;&gt;"&amp;"Y"))</f>
        <v/>
      </c>
      <c r="G58" s="153" t="str">
        <f>IFERROR(IF(D58="","",SUMIFS(Tree!$P:$P,Tree!$A:$A,'Pre-Harvest Plots_rpt'!$B58,Tree!$B:$B,'Pre-Harvest Plots_rpt'!$D58,Tree!$K:$K,"&lt;&gt;"&amp;"Y")/$F58),"")</f>
        <v/>
      </c>
      <c r="H58" s="122" t="str">
        <f t="shared" si="1"/>
        <v/>
      </c>
      <c r="I58" s="121" t="str">
        <f>IF(OR($F58=0,$F58=""),"",SUMIFS(Tree!$R:$R,Tree!$A:$A,'Pre-Harvest Plots_rpt'!$B58,Tree!$B:$B,'Pre-Harvest Plots_rpt'!$D58,Tree!$F:$F,"L",Tree!$K:$K,"&lt;&gt;"&amp;"Y"))</f>
        <v/>
      </c>
      <c r="J58" s="121" t="str">
        <f>IF(OR($F58=0,$F58=""),"",IF(SUMIFS(Tree!$W:$W,Tree!$A:$A,'Pre-Harvest Plots_rpt'!$B58,Tree!$B:$B,'Pre-Harvest Plots_rpt'!$D58,Tree!$F:$F,"L",Tree!$K:$K,"&lt;&gt;"&amp;"Y")=0,0,AVERAGEIFS(Tree!$W:$W,Tree!$A:$A,'Pre-Harvest Plots_rpt'!$B58,Tree!$B:$B,'Pre-Harvest Plots_rpt'!$D58,Tree!$F:$F,"L",Tree!$K:$K,"&lt;&gt;"&amp;"Y")))</f>
        <v/>
      </c>
      <c r="K58" s="121" t="str">
        <f>IF($F58="","",SUMIFS(Tree!$S:$S,Tree!$A:$A,'Pre-Harvest Plots_rpt'!$B58,Tree!$B:$B,'Pre-Harvest Plots_rpt'!$D58,Tree!$F:$F,"L",Tree!$K:$K,"&lt;&gt;"&amp;"Y"))</f>
        <v/>
      </c>
      <c r="L58" s="154" t="str">
        <f t="shared" si="2"/>
        <v/>
      </c>
      <c r="M58" s="135"/>
      <c r="N58" s="192" t="str">
        <f>IF(B58="","",SUMIFS(Tree!$AM:$AM,Tree!$A:$A,'Pre-Harvest Plots_rpt'!$B58,Tree!$B:$B,'Pre-Harvest Plots_rpt'!$D58,Tree!$F:$F,"L",Tree!$K:$K,"&lt;&gt;"&amp;"Y"))</f>
        <v/>
      </c>
      <c r="O58" s="122" t="str">
        <f>IF(B58="","",SUMIFS(Tree!$AN:$AN,Tree!$A:$A,'Pre-Harvest Plots_rpt'!$B58,Tree!$B:$B,'Pre-Harvest Plots_rpt'!$D58,Tree!$F:$F,"L",Tree!$K:$K,"&lt;&gt;"&amp;"Y"))</f>
        <v/>
      </c>
      <c r="P58" s="122" t="str">
        <f>IF(B58="","",SUMIFS(Tree!$AO:$AO,Tree!$A:$A,'Pre-Harvest Plots_rpt'!$B58,Tree!$B:$B,'Pre-Harvest Plots_rpt'!$D58,Tree!$F:$F,"L",Tree!$K:$K,"&lt;&gt;"&amp;"Y"))</f>
        <v/>
      </c>
      <c r="Q58" s="122" t="str">
        <f>IF(B58="","",SUMIFS(Tree!$AP:$AP,Tree!$A:$A,'Pre-Harvest Plots_rpt'!$B58,Tree!$B:$B,'Pre-Harvest Plots_rpt'!$D58,Tree!$F:$F,"L",Tree!$K:$K,"&lt;&gt;"&amp;"Y"))</f>
        <v/>
      </c>
      <c r="R58" s="123" t="str">
        <f>IF(B58="","",SUMIFS(Tree!$AQ:$AQ,Tree!$A:$A,'Pre-Harvest Plots_rpt'!$B58,Tree!$B:$B,'Pre-Harvest Plots_rpt'!$D58,Tree!$F:$F,"L",Tree!$K:$K,"&lt;&gt;"&amp;"Y"))</f>
        <v/>
      </c>
      <c r="S58" s="122" t="str">
        <f>IF(B58="","",SUMIFS(Tree!$AJ:$AJ,Tree!$A:$A,'Pre-Harvest Plots_rpt'!$B58,Tree!$B:$B,'Pre-Harvest Plots_rpt'!$D58,Tree!$F:$F,"L",Tree!$K:$K,"&lt;&gt;"&amp;"Y")-O58)</f>
        <v/>
      </c>
      <c r="T58" s="122" t="str">
        <f>IF(B58="","",SUMIFS(Tree!$AK:$AK,Tree!$A:$A,'Pre-Harvest Plots_rpt'!$B58,Tree!$B:$B,'Pre-Harvest Plots_rpt'!$D58,Tree!$F:$F,"L",Tree!$K:$K,"&lt;&gt;"&amp;"Y")-P58)</f>
        <v/>
      </c>
      <c r="U58" s="122" t="str">
        <f>IF(B58="","",SUMIFS(Tree!$AL:$AL,Tree!$A:$A,'Pre-Harvest Plots_rpt'!$B58,Tree!$B:$B,'Pre-Harvest Plots_rpt'!$D58,Tree!$F:$F,"L",Tree!$K:$K,"&lt;&gt;"&amp;"Y")-Q58)</f>
        <v/>
      </c>
      <c r="V58" s="123" t="str">
        <f>IF(B58="","",ROUND(SUMIFS(Tree!$AE:$AE,Tree!$A:$A,'Pre-Harvest Plots_rpt'!$B58,Tree!$B:$B,'Pre-Harvest Plots_rpt'!$D58,Tree!$F:$F,"L",Tree!$K:$K,"&lt;&gt;"&amp;"Y")-R58,1))</f>
        <v/>
      </c>
      <c r="W58" s="124" t="str">
        <f>IF(B58="","",SUMIFS(Tree!$AY:$AY,Tree!$A:$A,'Pre-Harvest Plots_rpt'!$B58,Tree!$B:$B,'Pre-Harvest Plots_rpt'!$D58,Tree!$F:$F,"L",Tree!$K:$K,"&lt;&gt;"&amp;"Y")/1000)</f>
        <v/>
      </c>
      <c r="X58" s="158" t="str">
        <f>IF(B58="","",ROUND((SUMIFS(Tree!$AW:$AW,Tree!$A:$A,'Pre-Harvest Plots_rpt'!$B58,Tree!$B:$B,'Pre-Harvest Plots_rpt'!$D58,Tree!$F:$F,"L",Tree!$K:$K,"&lt;&gt;"&amp;"Y")/1000)-W58,1))</f>
        <v/>
      </c>
      <c r="Y58" s="135"/>
      <c r="Z58" s="161" t="str">
        <f>IF(IF(B58="","",SUMIFS(Tree!$O:$O,Tree!$A:$A,'Pre-Harvest Plots_rpt'!$B58,Tree!$B:$B,'Pre-Harvest Plots_rpt'!$D58,Tree!$F:$F,"D",Tree!$K:$K,"&lt;&gt;"&amp;"Y"))=0,"",IF(B58="","",SUMIFS(Tree!$O:$O,Tree!$A:$A,'Pre-Harvest Plots_rpt'!$B58,Tree!$B:$B,'Pre-Harvest Plots_rpt'!$D58,Tree!$F:$F,"D",Tree!$K:$K,"&lt;&gt;"&amp;"Y")))</f>
        <v/>
      </c>
      <c r="AA58" s="125" t="str">
        <f t="shared" si="3"/>
        <v/>
      </c>
      <c r="AB58" s="125" t="str">
        <f>IF(Z58="","",SUMIFS(Tree!$R:$R,Tree!$A:$A,'Pre-Harvest Plots_rpt'!$B58,Tree!$B:$B,'Pre-Harvest Plots_rpt'!$D58,Tree!$F:$F,"D",Tree!$K:$K,"&lt;&gt;"&amp;"Y"))</f>
        <v/>
      </c>
      <c r="AC58" s="126" t="str">
        <f>IF(Z58="","",SUMIFS(Tree!$AM:$AM,Tree!$A:$A,'Pre-Harvest Plots_rpt'!$B58,Tree!$B:$B,'Pre-Harvest Plots_rpt'!$D58,Tree!$F:$F,"D",Tree!$K:$K,"&lt;&gt;"&amp;"Y"))</f>
        <v/>
      </c>
      <c r="AD58" s="162" t="str">
        <f>IF(Z58="","",SUMIFS(Tree!$AW:$AW,Tree!$A:$A,'Pre-Harvest Plots_rpt'!$B58,Tree!$B:$B,'Pre-Harvest Plots_rpt'!$D58,Tree!$F:$F,"D",Tree!$K:$K,"&lt;&gt;"&amp;"Y")/1000)</f>
        <v/>
      </c>
      <c r="AE58" s="47"/>
      <c r="AF58" s="18"/>
      <c r="AG58" s="18"/>
      <c r="AH58" s="18"/>
    </row>
    <row r="59" spans="1:34" ht="12.75" customHeight="1" x14ac:dyDescent="0.25">
      <c r="A59" s="48">
        <v>56</v>
      </c>
      <c r="B59" s="171" t="str">
        <f>IF(A59&lt;=SUM(Stand!$H$3:$H$29),VLOOKUP(A59,Stand!$A$3:$C$29,3,TRUE),"")</f>
        <v/>
      </c>
      <c r="C59" s="172" t="str">
        <f t="shared" si="0"/>
        <v/>
      </c>
      <c r="D59" s="173" t="str">
        <f>IF(B59="","",VLOOKUP(B59&amp;C59,Plot!$B$2:$D$199,3,FALSE))</f>
        <v/>
      </c>
      <c r="E59" s="130"/>
      <c r="F59" s="152" t="str">
        <f>IF(B59="","",SUMIFS(Tree!$O:$O,Tree!$A:$A,'Pre-Harvest Plots_rpt'!$B59,Tree!$B:$B,'Pre-Harvest Plots_rpt'!$D59,Tree!$F:$F,"L",Tree!$K:$K,"&lt;&gt;"&amp;"Y"))</f>
        <v/>
      </c>
      <c r="G59" s="153" t="str">
        <f>IFERROR(IF(D59="","",SUMIFS(Tree!$P:$P,Tree!$A:$A,'Pre-Harvest Plots_rpt'!$B59,Tree!$B:$B,'Pre-Harvest Plots_rpt'!$D59,Tree!$K:$K,"&lt;&gt;"&amp;"Y")/$F59),"")</f>
        <v/>
      </c>
      <c r="H59" s="122" t="str">
        <f t="shared" si="1"/>
        <v/>
      </c>
      <c r="I59" s="121" t="str">
        <f>IF(OR($F59=0,$F59=""),"",SUMIFS(Tree!$R:$R,Tree!$A:$A,'Pre-Harvest Plots_rpt'!$B59,Tree!$B:$B,'Pre-Harvest Plots_rpt'!$D59,Tree!$F:$F,"L",Tree!$K:$K,"&lt;&gt;"&amp;"Y"))</f>
        <v/>
      </c>
      <c r="J59" s="121" t="str">
        <f>IF(OR($F59=0,$F59=""),"",IF(SUMIFS(Tree!$W:$W,Tree!$A:$A,'Pre-Harvest Plots_rpt'!$B59,Tree!$B:$B,'Pre-Harvest Plots_rpt'!$D59,Tree!$F:$F,"L",Tree!$K:$K,"&lt;&gt;"&amp;"Y")=0,0,AVERAGEIFS(Tree!$W:$W,Tree!$A:$A,'Pre-Harvest Plots_rpt'!$B59,Tree!$B:$B,'Pre-Harvest Plots_rpt'!$D59,Tree!$F:$F,"L",Tree!$K:$K,"&lt;&gt;"&amp;"Y")))</f>
        <v/>
      </c>
      <c r="K59" s="121" t="str">
        <f>IF($F59="","",SUMIFS(Tree!$S:$S,Tree!$A:$A,'Pre-Harvest Plots_rpt'!$B59,Tree!$B:$B,'Pre-Harvest Plots_rpt'!$D59,Tree!$F:$F,"L",Tree!$K:$K,"&lt;&gt;"&amp;"Y"))</f>
        <v/>
      </c>
      <c r="L59" s="154" t="str">
        <f t="shared" si="2"/>
        <v/>
      </c>
      <c r="M59" s="135"/>
      <c r="N59" s="192" t="str">
        <f>IF(B59="","",SUMIFS(Tree!$AM:$AM,Tree!$A:$A,'Pre-Harvest Plots_rpt'!$B59,Tree!$B:$B,'Pre-Harvest Plots_rpt'!$D59,Tree!$F:$F,"L",Tree!$K:$K,"&lt;&gt;"&amp;"Y"))</f>
        <v/>
      </c>
      <c r="O59" s="122" t="str">
        <f>IF(B59="","",SUMIFS(Tree!$AN:$AN,Tree!$A:$A,'Pre-Harvest Plots_rpt'!$B59,Tree!$B:$B,'Pre-Harvest Plots_rpt'!$D59,Tree!$F:$F,"L",Tree!$K:$K,"&lt;&gt;"&amp;"Y"))</f>
        <v/>
      </c>
      <c r="P59" s="122" t="str">
        <f>IF(B59="","",SUMIFS(Tree!$AO:$AO,Tree!$A:$A,'Pre-Harvest Plots_rpt'!$B59,Tree!$B:$B,'Pre-Harvest Plots_rpt'!$D59,Tree!$F:$F,"L",Tree!$K:$K,"&lt;&gt;"&amp;"Y"))</f>
        <v/>
      </c>
      <c r="Q59" s="122" t="str">
        <f>IF(B59="","",SUMIFS(Tree!$AP:$AP,Tree!$A:$A,'Pre-Harvest Plots_rpt'!$B59,Tree!$B:$B,'Pre-Harvest Plots_rpt'!$D59,Tree!$F:$F,"L",Tree!$K:$K,"&lt;&gt;"&amp;"Y"))</f>
        <v/>
      </c>
      <c r="R59" s="123" t="str">
        <f>IF(B59="","",SUMIFS(Tree!$AQ:$AQ,Tree!$A:$A,'Pre-Harvest Plots_rpt'!$B59,Tree!$B:$B,'Pre-Harvest Plots_rpt'!$D59,Tree!$F:$F,"L",Tree!$K:$K,"&lt;&gt;"&amp;"Y"))</f>
        <v/>
      </c>
      <c r="S59" s="122" t="str">
        <f>IF(B59="","",SUMIFS(Tree!$AJ:$AJ,Tree!$A:$A,'Pre-Harvest Plots_rpt'!$B59,Tree!$B:$B,'Pre-Harvest Plots_rpt'!$D59,Tree!$F:$F,"L",Tree!$K:$K,"&lt;&gt;"&amp;"Y")-O59)</f>
        <v/>
      </c>
      <c r="T59" s="122" t="str">
        <f>IF(B59="","",SUMIFS(Tree!$AK:$AK,Tree!$A:$A,'Pre-Harvest Plots_rpt'!$B59,Tree!$B:$B,'Pre-Harvest Plots_rpt'!$D59,Tree!$F:$F,"L",Tree!$K:$K,"&lt;&gt;"&amp;"Y")-P59)</f>
        <v/>
      </c>
      <c r="U59" s="122" t="str">
        <f>IF(B59="","",SUMIFS(Tree!$AL:$AL,Tree!$A:$A,'Pre-Harvest Plots_rpt'!$B59,Tree!$B:$B,'Pre-Harvest Plots_rpt'!$D59,Tree!$F:$F,"L",Tree!$K:$K,"&lt;&gt;"&amp;"Y")-Q59)</f>
        <v/>
      </c>
      <c r="V59" s="123" t="str">
        <f>IF(B59="","",ROUND(SUMIFS(Tree!$AE:$AE,Tree!$A:$A,'Pre-Harvest Plots_rpt'!$B59,Tree!$B:$B,'Pre-Harvest Plots_rpt'!$D59,Tree!$F:$F,"L",Tree!$K:$K,"&lt;&gt;"&amp;"Y")-R59,1))</f>
        <v/>
      </c>
      <c r="W59" s="124" t="str">
        <f>IF(B59="","",SUMIFS(Tree!$AY:$AY,Tree!$A:$A,'Pre-Harvest Plots_rpt'!$B59,Tree!$B:$B,'Pre-Harvest Plots_rpt'!$D59,Tree!$F:$F,"L",Tree!$K:$K,"&lt;&gt;"&amp;"Y")/1000)</f>
        <v/>
      </c>
      <c r="X59" s="158" t="str">
        <f>IF(B59="","",ROUND((SUMIFS(Tree!$AW:$AW,Tree!$A:$A,'Pre-Harvest Plots_rpt'!$B59,Tree!$B:$B,'Pre-Harvest Plots_rpt'!$D59,Tree!$F:$F,"L",Tree!$K:$K,"&lt;&gt;"&amp;"Y")/1000)-W59,1))</f>
        <v/>
      </c>
      <c r="Y59" s="135"/>
      <c r="Z59" s="161" t="str">
        <f>IF(IF(B59="","",SUMIFS(Tree!$O:$O,Tree!$A:$A,'Pre-Harvest Plots_rpt'!$B59,Tree!$B:$B,'Pre-Harvest Plots_rpt'!$D59,Tree!$F:$F,"D",Tree!$K:$K,"&lt;&gt;"&amp;"Y"))=0,"",IF(B59="","",SUMIFS(Tree!$O:$O,Tree!$A:$A,'Pre-Harvest Plots_rpt'!$B59,Tree!$B:$B,'Pre-Harvest Plots_rpt'!$D59,Tree!$F:$F,"D",Tree!$K:$K,"&lt;&gt;"&amp;"Y")))</f>
        <v/>
      </c>
      <c r="AA59" s="125" t="str">
        <f t="shared" si="3"/>
        <v/>
      </c>
      <c r="AB59" s="125" t="str">
        <f>IF(Z59="","",SUMIFS(Tree!$R:$R,Tree!$A:$A,'Pre-Harvest Plots_rpt'!$B59,Tree!$B:$B,'Pre-Harvest Plots_rpt'!$D59,Tree!$F:$F,"D",Tree!$K:$K,"&lt;&gt;"&amp;"Y"))</f>
        <v/>
      </c>
      <c r="AC59" s="126" t="str">
        <f>IF(Z59="","",SUMIFS(Tree!$AM:$AM,Tree!$A:$A,'Pre-Harvest Plots_rpt'!$B59,Tree!$B:$B,'Pre-Harvest Plots_rpt'!$D59,Tree!$F:$F,"D",Tree!$K:$K,"&lt;&gt;"&amp;"Y"))</f>
        <v/>
      </c>
      <c r="AD59" s="162" t="str">
        <f>IF(Z59="","",SUMIFS(Tree!$AW:$AW,Tree!$A:$A,'Pre-Harvest Plots_rpt'!$B59,Tree!$B:$B,'Pre-Harvest Plots_rpt'!$D59,Tree!$F:$F,"D",Tree!$K:$K,"&lt;&gt;"&amp;"Y")/1000)</f>
        <v/>
      </c>
      <c r="AE59" s="47"/>
      <c r="AF59" s="18"/>
      <c r="AG59" s="18"/>
      <c r="AH59" s="18"/>
    </row>
    <row r="60" spans="1:34" ht="12.75" customHeight="1" x14ac:dyDescent="0.25">
      <c r="A60" s="48">
        <v>57</v>
      </c>
      <c r="B60" s="171" t="str">
        <f>IF(A60&lt;=SUM(Stand!$H$3:$H$29),VLOOKUP(A60,Stand!$A$3:$C$29,3,TRUE),"")</f>
        <v/>
      </c>
      <c r="C60" s="172" t="str">
        <f t="shared" si="0"/>
        <v/>
      </c>
      <c r="D60" s="173" t="str">
        <f>IF(B60="","",VLOOKUP(B60&amp;C60,Plot!$B$2:$D$199,3,FALSE))</f>
        <v/>
      </c>
      <c r="E60" s="130"/>
      <c r="F60" s="152" t="str">
        <f>IF(B60="","",SUMIFS(Tree!$O:$O,Tree!$A:$A,'Pre-Harvest Plots_rpt'!$B60,Tree!$B:$B,'Pre-Harvest Plots_rpt'!$D60,Tree!$F:$F,"L",Tree!$K:$K,"&lt;&gt;"&amp;"Y"))</f>
        <v/>
      </c>
      <c r="G60" s="153" t="str">
        <f>IFERROR(IF(D60="","",SUMIFS(Tree!$P:$P,Tree!$A:$A,'Pre-Harvest Plots_rpt'!$B60,Tree!$B:$B,'Pre-Harvest Plots_rpt'!$D60,Tree!$K:$K,"&lt;&gt;"&amp;"Y")/$F60),"")</f>
        <v/>
      </c>
      <c r="H60" s="122" t="str">
        <f t="shared" si="1"/>
        <v/>
      </c>
      <c r="I60" s="121" t="str">
        <f>IF(OR($F60=0,$F60=""),"",SUMIFS(Tree!$R:$R,Tree!$A:$A,'Pre-Harvest Plots_rpt'!$B60,Tree!$B:$B,'Pre-Harvest Plots_rpt'!$D60,Tree!$F:$F,"L",Tree!$K:$K,"&lt;&gt;"&amp;"Y"))</f>
        <v/>
      </c>
      <c r="J60" s="121" t="str">
        <f>IF(OR($F60=0,$F60=""),"",IF(SUMIFS(Tree!$W:$W,Tree!$A:$A,'Pre-Harvest Plots_rpt'!$B60,Tree!$B:$B,'Pre-Harvest Plots_rpt'!$D60,Tree!$F:$F,"L",Tree!$K:$K,"&lt;&gt;"&amp;"Y")=0,0,AVERAGEIFS(Tree!$W:$W,Tree!$A:$A,'Pre-Harvest Plots_rpt'!$B60,Tree!$B:$B,'Pre-Harvest Plots_rpt'!$D60,Tree!$F:$F,"L",Tree!$K:$K,"&lt;&gt;"&amp;"Y")))</f>
        <v/>
      </c>
      <c r="K60" s="121" t="str">
        <f>IF($F60="","",SUMIFS(Tree!$S:$S,Tree!$A:$A,'Pre-Harvest Plots_rpt'!$B60,Tree!$B:$B,'Pre-Harvest Plots_rpt'!$D60,Tree!$F:$F,"L",Tree!$K:$K,"&lt;&gt;"&amp;"Y"))</f>
        <v/>
      </c>
      <c r="L60" s="154" t="str">
        <f t="shared" si="2"/>
        <v/>
      </c>
      <c r="M60" s="135"/>
      <c r="N60" s="192" t="str">
        <f>IF(B60="","",SUMIFS(Tree!$AM:$AM,Tree!$A:$A,'Pre-Harvest Plots_rpt'!$B60,Tree!$B:$B,'Pre-Harvest Plots_rpt'!$D60,Tree!$F:$F,"L",Tree!$K:$K,"&lt;&gt;"&amp;"Y"))</f>
        <v/>
      </c>
      <c r="O60" s="122" t="str">
        <f>IF(B60="","",SUMIFS(Tree!$AN:$AN,Tree!$A:$A,'Pre-Harvest Plots_rpt'!$B60,Tree!$B:$B,'Pre-Harvest Plots_rpt'!$D60,Tree!$F:$F,"L",Tree!$K:$K,"&lt;&gt;"&amp;"Y"))</f>
        <v/>
      </c>
      <c r="P60" s="122" t="str">
        <f>IF(B60="","",SUMIFS(Tree!$AO:$AO,Tree!$A:$A,'Pre-Harvest Plots_rpt'!$B60,Tree!$B:$B,'Pre-Harvest Plots_rpt'!$D60,Tree!$F:$F,"L",Tree!$K:$K,"&lt;&gt;"&amp;"Y"))</f>
        <v/>
      </c>
      <c r="Q60" s="122" t="str">
        <f>IF(B60="","",SUMIFS(Tree!$AP:$AP,Tree!$A:$A,'Pre-Harvest Plots_rpt'!$B60,Tree!$B:$B,'Pre-Harvest Plots_rpt'!$D60,Tree!$F:$F,"L",Tree!$K:$K,"&lt;&gt;"&amp;"Y"))</f>
        <v/>
      </c>
      <c r="R60" s="123" t="str">
        <f>IF(B60="","",SUMIFS(Tree!$AQ:$AQ,Tree!$A:$A,'Pre-Harvest Plots_rpt'!$B60,Tree!$B:$B,'Pre-Harvest Plots_rpt'!$D60,Tree!$F:$F,"L",Tree!$K:$K,"&lt;&gt;"&amp;"Y"))</f>
        <v/>
      </c>
      <c r="S60" s="122" t="str">
        <f>IF(B60="","",SUMIFS(Tree!$AJ:$AJ,Tree!$A:$A,'Pre-Harvest Plots_rpt'!$B60,Tree!$B:$B,'Pre-Harvest Plots_rpt'!$D60,Tree!$F:$F,"L",Tree!$K:$K,"&lt;&gt;"&amp;"Y")-O60)</f>
        <v/>
      </c>
      <c r="T60" s="122" t="str">
        <f>IF(B60="","",SUMIFS(Tree!$AK:$AK,Tree!$A:$A,'Pre-Harvest Plots_rpt'!$B60,Tree!$B:$B,'Pre-Harvest Plots_rpt'!$D60,Tree!$F:$F,"L",Tree!$K:$K,"&lt;&gt;"&amp;"Y")-P60)</f>
        <v/>
      </c>
      <c r="U60" s="122" t="str">
        <f>IF(B60="","",SUMIFS(Tree!$AL:$AL,Tree!$A:$A,'Pre-Harvest Plots_rpt'!$B60,Tree!$B:$B,'Pre-Harvest Plots_rpt'!$D60,Tree!$F:$F,"L",Tree!$K:$K,"&lt;&gt;"&amp;"Y")-Q60)</f>
        <v/>
      </c>
      <c r="V60" s="123" t="str">
        <f>IF(B60="","",ROUND(SUMIFS(Tree!$AE:$AE,Tree!$A:$A,'Pre-Harvest Plots_rpt'!$B60,Tree!$B:$B,'Pre-Harvest Plots_rpt'!$D60,Tree!$F:$F,"L",Tree!$K:$K,"&lt;&gt;"&amp;"Y")-R60,1))</f>
        <v/>
      </c>
      <c r="W60" s="124" t="str">
        <f>IF(B60="","",SUMIFS(Tree!$AY:$AY,Tree!$A:$A,'Pre-Harvest Plots_rpt'!$B60,Tree!$B:$B,'Pre-Harvest Plots_rpt'!$D60,Tree!$F:$F,"L",Tree!$K:$K,"&lt;&gt;"&amp;"Y")/1000)</f>
        <v/>
      </c>
      <c r="X60" s="158" t="str">
        <f>IF(B60="","",ROUND((SUMIFS(Tree!$AW:$AW,Tree!$A:$A,'Pre-Harvest Plots_rpt'!$B60,Tree!$B:$B,'Pre-Harvest Plots_rpt'!$D60,Tree!$F:$F,"L",Tree!$K:$K,"&lt;&gt;"&amp;"Y")/1000)-W60,1))</f>
        <v/>
      </c>
      <c r="Y60" s="135"/>
      <c r="Z60" s="161" t="str">
        <f>IF(IF(B60="","",SUMIFS(Tree!$O:$O,Tree!$A:$A,'Pre-Harvest Plots_rpt'!$B60,Tree!$B:$B,'Pre-Harvest Plots_rpt'!$D60,Tree!$F:$F,"D",Tree!$K:$K,"&lt;&gt;"&amp;"Y"))=0,"",IF(B60="","",SUMIFS(Tree!$O:$O,Tree!$A:$A,'Pre-Harvest Plots_rpt'!$B60,Tree!$B:$B,'Pre-Harvest Plots_rpt'!$D60,Tree!$F:$F,"D",Tree!$K:$K,"&lt;&gt;"&amp;"Y")))</f>
        <v/>
      </c>
      <c r="AA60" s="125" t="str">
        <f t="shared" si="3"/>
        <v/>
      </c>
      <c r="AB60" s="125" t="str">
        <f>IF(Z60="","",SUMIFS(Tree!$R:$R,Tree!$A:$A,'Pre-Harvest Plots_rpt'!$B60,Tree!$B:$B,'Pre-Harvest Plots_rpt'!$D60,Tree!$F:$F,"D",Tree!$K:$K,"&lt;&gt;"&amp;"Y"))</f>
        <v/>
      </c>
      <c r="AC60" s="126" t="str">
        <f>IF(Z60="","",SUMIFS(Tree!$AM:$AM,Tree!$A:$A,'Pre-Harvest Plots_rpt'!$B60,Tree!$B:$B,'Pre-Harvest Plots_rpt'!$D60,Tree!$F:$F,"D",Tree!$K:$K,"&lt;&gt;"&amp;"Y"))</f>
        <v/>
      </c>
      <c r="AD60" s="162" t="str">
        <f>IF(Z60="","",SUMIFS(Tree!$AW:$AW,Tree!$A:$A,'Pre-Harvest Plots_rpt'!$B60,Tree!$B:$B,'Pre-Harvest Plots_rpt'!$D60,Tree!$F:$F,"D",Tree!$K:$K,"&lt;&gt;"&amp;"Y")/1000)</f>
        <v/>
      </c>
      <c r="AE60" s="47"/>
      <c r="AF60" s="18"/>
      <c r="AG60" s="18"/>
      <c r="AH60" s="18"/>
    </row>
    <row r="61" spans="1:34" ht="12.75" customHeight="1" x14ac:dyDescent="0.25">
      <c r="A61" s="48">
        <v>58</v>
      </c>
      <c r="B61" s="171" t="str">
        <f>IF(A61&lt;=SUM(Stand!$H$3:$H$29),VLOOKUP(A61,Stand!$A$3:$C$29,3,TRUE),"")</f>
        <v/>
      </c>
      <c r="C61" s="172" t="str">
        <f t="shared" si="0"/>
        <v/>
      </c>
      <c r="D61" s="173" t="str">
        <f>IF(B61="","",VLOOKUP(B61&amp;C61,Plot!$B$2:$D$199,3,FALSE))</f>
        <v/>
      </c>
      <c r="E61" s="130"/>
      <c r="F61" s="152" t="str">
        <f>IF(B61="","",SUMIFS(Tree!$O:$O,Tree!$A:$A,'Pre-Harvest Plots_rpt'!$B61,Tree!$B:$B,'Pre-Harvest Plots_rpt'!$D61,Tree!$F:$F,"L",Tree!$K:$K,"&lt;&gt;"&amp;"Y"))</f>
        <v/>
      </c>
      <c r="G61" s="153" t="str">
        <f>IFERROR(IF(D61="","",SUMIFS(Tree!$P:$P,Tree!$A:$A,'Pre-Harvest Plots_rpt'!$B61,Tree!$B:$B,'Pre-Harvest Plots_rpt'!$D61,Tree!$K:$K,"&lt;&gt;"&amp;"Y")/$F61),"")</f>
        <v/>
      </c>
      <c r="H61" s="122" t="str">
        <f t="shared" si="1"/>
        <v/>
      </c>
      <c r="I61" s="121" t="str">
        <f>IF(OR($F61=0,$F61=""),"",SUMIFS(Tree!$R:$R,Tree!$A:$A,'Pre-Harvest Plots_rpt'!$B61,Tree!$B:$B,'Pre-Harvest Plots_rpt'!$D61,Tree!$F:$F,"L",Tree!$K:$K,"&lt;&gt;"&amp;"Y"))</f>
        <v/>
      </c>
      <c r="J61" s="121" t="str">
        <f>IF(OR($F61=0,$F61=""),"",IF(SUMIFS(Tree!$W:$W,Tree!$A:$A,'Pre-Harvest Plots_rpt'!$B61,Tree!$B:$B,'Pre-Harvest Plots_rpt'!$D61,Tree!$F:$F,"L",Tree!$K:$K,"&lt;&gt;"&amp;"Y")=0,0,AVERAGEIFS(Tree!$W:$W,Tree!$A:$A,'Pre-Harvest Plots_rpt'!$B61,Tree!$B:$B,'Pre-Harvest Plots_rpt'!$D61,Tree!$F:$F,"L",Tree!$K:$K,"&lt;&gt;"&amp;"Y")))</f>
        <v/>
      </c>
      <c r="K61" s="121" t="str">
        <f>IF($F61="","",SUMIFS(Tree!$S:$S,Tree!$A:$A,'Pre-Harvest Plots_rpt'!$B61,Tree!$B:$B,'Pre-Harvest Plots_rpt'!$D61,Tree!$F:$F,"L",Tree!$K:$K,"&lt;&gt;"&amp;"Y"))</f>
        <v/>
      </c>
      <c r="L61" s="154" t="str">
        <f t="shared" si="2"/>
        <v/>
      </c>
      <c r="M61" s="135"/>
      <c r="N61" s="192" t="str">
        <f>IF(B61="","",SUMIFS(Tree!$AM:$AM,Tree!$A:$A,'Pre-Harvest Plots_rpt'!$B61,Tree!$B:$B,'Pre-Harvest Plots_rpt'!$D61,Tree!$F:$F,"L",Tree!$K:$K,"&lt;&gt;"&amp;"Y"))</f>
        <v/>
      </c>
      <c r="O61" s="122" t="str">
        <f>IF(B61="","",SUMIFS(Tree!$AN:$AN,Tree!$A:$A,'Pre-Harvest Plots_rpt'!$B61,Tree!$B:$B,'Pre-Harvest Plots_rpt'!$D61,Tree!$F:$F,"L",Tree!$K:$K,"&lt;&gt;"&amp;"Y"))</f>
        <v/>
      </c>
      <c r="P61" s="122" t="str">
        <f>IF(B61="","",SUMIFS(Tree!$AO:$AO,Tree!$A:$A,'Pre-Harvest Plots_rpt'!$B61,Tree!$B:$B,'Pre-Harvest Plots_rpt'!$D61,Tree!$F:$F,"L",Tree!$K:$K,"&lt;&gt;"&amp;"Y"))</f>
        <v/>
      </c>
      <c r="Q61" s="122" t="str">
        <f>IF(B61="","",SUMIFS(Tree!$AP:$AP,Tree!$A:$A,'Pre-Harvest Plots_rpt'!$B61,Tree!$B:$B,'Pre-Harvest Plots_rpt'!$D61,Tree!$F:$F,"L",Tree!$K:$K,"&lt;&gt;"&amp;"Y"))</f>
        <v/>
      </c>
      <c r="R61" s="123" t="str">
        <f>IF(B61="","",SUMIFS(Tree!$AQ:$AQ,Tree!$A:$A,'Pre-Harvest Plots_rpt'!$B61,Tree!$B:$B,'Pre-Harvest Plots_rpt'!$D61,Tree!$F:$F,"L",Tree!$K:$K,"&lt;&gt;"&amp;"Y"))</f>
        <v/>
      </c>
      <c r="S61" s="122" t="str">
        <f>IF(B61="","",SUMIFS(Tree!$AJ:$AJ,Tree!$A:$A,'Pre-Harvest Plots_rpt'!$B61,Tree!$B:$B,'Pre-Harvest Plots_rpt'!$D61,Tree!$F:$F,"L",Tree!$K:$K,"&lt;&gt;"&amp;"Y")-O61)</f>
        <v/>
      </c>
      <c r="T61" s="122" t="str">
        <f>IF(B61="","",SUMIFS(Tree!$AK:$AK,Tree!$A:$A,'Pre-Harvest Plots_rpt'!$B61,Tree!$B:$B,'Pre-Harvest Plots_rpt'!$D61,Tree!$F:$F,"L",Tree!$K:$K,"&lt;&gt;"&amp;"Y")-P61)</f>
        <v/>
      </c>
      <c r="U61" s="122" t="str">
        <f>IF(B61="","",SUMIFS(Tree!$AL:$AL,Tree!$A:$A,'Pre-Harvest Plots_rpt'!$B61,Tree!$B:$B,'Pre-Harvest Plots_rpt'!$D61,Tree!$F:$F,"L",Tree!$K:$K,"&lt;&gt;"&amp;"Y")-Q61)</f>
        <v/>
      </c>
      <c r="V61" s="123" t="str">
        <f>IF(B61="","",ROUND(SUMIFS(Tree!$AE:$AE,Tree!$A:$A,'Pre-Harvest Plots_rpt'!$B61,Tree!$B:$B,'Pre-Harvest Plots_rpt'!$D61,Tree!$F:$F,"L",Tree!$K:$K,"&lt;&gt;"&amp;"Y")-R61,1))</f>
        <v/>
      </c>
      <c r="W61" s="124" t="str">
        <f>IF(B61="","",SUMIFS(Tree!$AY:$AY,Tree!$A:$A,'Pre-Harvest Plots_rpt'!$B61,Tree!$B:$B,'Pre-Harvest Plots_rpt'!$D61,Tree!$F:$F,"L",Tree!$K:$K,"&lt;&gt;"&amp;"Y")/1000)</f>
        <v/>
      </c>
      <c r="X61" s="158" t="str">
        <f>IF(B61="","",ROUND((SUMIFS(Tree!$AW:$AW,Tree!$A:$A,'Pre-Harvest Plots_rpt'!$B61,Tree!$B:$B,'Pre-Harvest Plots_rpt'!$D61,Tree!$F:$F,"L",Tree!$K:$K,"&lt;&gt;"&amp;"Y")/1000)-W61,1))</f>
        <v/>
      </c>
      <c r="Y61" s="135"/>
      <c r="Z61" s="161" t="str">
        <f>IF(IF(B61="","",SUMIFS(Tree!$O:$O,Tree!$A:$A,'Pre-Harvest Plots_rpt'!$B61,Tree!$B:$B,'Pre-Harvest Plots_rpt'!$D61,Tree!$F:$F,"D",Tree!$K:$K,"&lt;&gt;"&amp;"Y"))=0,"",IF(B61="","",SUMIFS(Tree!$O:$O,Tree!$A:$A,'Pre-Harvest Plots_rpt'!$B61,Tree!$B:$B,'Pre-Harvest Plots_rpt'!$D61,Tree!$F:$F,"D",Tree!$K:$K,"&lt;&gt;"&amp;"Y")))</f>
        <v/>
      </c>
      <c r="AA61" s="125" t="str">
        <f t="shared" si="3"/>
        <v/>
      </c>
      <c r="AB61" s="125" t="str">
        <f>IF(Z61="","",SUMIFS(Tree!$R:$R,Tree!$A:$A,'Pre-Harvest Plots_rpt'!$B61,Tree!$B:$B,'Pre-Harvest Plots_rpt'!$D61,Tree!$F:$F,"D",Tree!$K:$K,"&lt;&gt;"&amp;"Y"))</f>
        <v/>
      </c>
      <c r="AC61" s="126" t="str">
        <f>IF(Z61="","",SUMIFS(Tree!$AM:$AM,Tree!$A:$A,'Pre-Harvest Plots_rpt'!$B61,Tree!$B:$B,'Pre-Harvest Plots_rpt'!$D61,Tree!$F:$F,"D",Tree!$K:$K,"&lt;&gt;"&amp;"Y"))</f>
        <v/>
      </c>
      <c r="AD61" s="162" t="str">
        <f>IF(Z61="","",SUMIFS(Tree!$AW:$AW,Tree!$A:$A,'Pre-Harvest Plots_rpt'!$B61,Tree!$B:$B,'Pre-Harvest Plots_rpt'!$D61,Tree!$F:$F,"D",Tree!$K:$K,"&lt;&gt;"&amp;"Y")/1000)</f>
        <v/>
      </c>
      <c r="AE61" s="47"/>
      <c r="AF61" s="18"/>
      <c r="AG61" s="18"/>
      <c r="AH61" s="18"/>
    </row>
    <row r="62" spans="1:34" ht="12.75" customHeight="1" x14ac:dyDescent="0.25">
      <c r="A62" s="48">
        <v>59</v>
      </c>
      <c r="B62" s="171" t="str">
        <f>IF(A62&lt;=SUM(Stand!$H$3:$H$29),VLOOKUP(A62,Stand!$A$3:$C$29,3,TRUE),"")</f>
        <v/>
      </c>
      <c r="C62" s="172" t="str">
        <f t="shared" si="0"/>
        <v/>
      </c>
      <c r="D62" s="173" t="str">
        <f>IF(B62="","",VLOOKUP(B62&amp;C62,Plot!$B$2:$D$199,3,FALSE))</f>
        <v/>
      </c>
      <c r="E62" s="130"/>
      <c r="F62" s="152" t="str">
        <f>IF(B62="","",SUMIFS(Tree!$O:$O,Tree!$A:$A,'Pre-Harvest Plots_rpt'!$B62,Tree!$B:$B,'Pre-Harvest Plots_rpt'!$D62,Tree!$F:$F,"L",Tree!$K:$K,"&lt;&gt;"&amp;"Y"))</f>
        <v/>
      </c>
      <c r="G62" s="153" t="str">
        <f>IFERROR(IF(D62="","",SUMIFS(Tree!$P:$P,Tree!$A:$A,'Pre-Harvest Plots_rpt'!$B62,Tree!$B:$B,'Pre-Harvest Plots_rpt'!$D62,Tree!$K:$K,"&lt;&gt;"&amp;"Y")/$F62),"")</f>
        <v/>
      </c>
      <c r="H62" s="122" t="str">
        <f t="shared" si="1"/>
        <v/>
      </c>
      <c r="I62" s="121" t="str">
        <f>IF(OR($F62=0,$F62=""),"",SUMIFS(Tree!$R:$R,Tree!$A:$A,'Pre-Harvest Plots_rpt'!$B62,Tree!$B:$B,'Pre-Harvest Plots_rpt'!$D62,Tree!$F:$F,"L",Tree!$K:$K,"&lt;&gt;"&amp;"Y"))</f>
        <v/>
      </c>
      <c r="J62" s="121" t="str">
        <f>IF(OR($F62=0,$F62=""),"",IF(SUMIFS(Tree!$W:$W,Tree!$A:$A,'Pre-Harvest Plots_rpt'!$B62,Tree!$B:$B,'Pre-Harvest Plots_rpt'!$D62,Tree!$F:$F,"L",Tree!$K:$K,"&lt;&gt;"&amp;"Y")=0,0,AVERAGEIFS(Tree!$W:$W,Tree!$A:$A,'Pre-Harvest Plots_rpt'!$B62,Tree!$B:$B,'Pre-Harvest Plots_rpt'!$D62,Tree!$F:$F,"L",Tree!$K:$K,"&lt;&gt;"&amp;"Y")))</f>
        <v/>
      </c>
      <c r="K62" s="121" t="str">
        <f>IF($F62="","",SUMIFS(Tree!$S:$S,Tree!$A:$A,'Pre-Harvest Plots_rpt'!$B62,Tree!$B:$B,'Pre-Harvest Plots_rpt'!$D62,Tree!$F:$F,"L",Tree!$K:$K,"&lt;&gt;"&amp;"Y"))</f>
        <v/>
      </c>
      <c r="L62" s="154" t="str">
        <f t="shared" si="2"/>
        <v/>
      </c>
      <c r="M62" s="135"/>
      <c r="N62" s="192" t="str">
        <f>IF(B62="","",SUMIFS(Tree!$AM:$AM,Tree!$A:$A,'Pre-Harvest Plots_rpt'!$B62,Tree!$B:$B,'Pre-Harvest Plots_rpt'!$D62,Tree!$F:$F,"L",Tree!$K:$K,"&lt;&gt;"&amp;"Y"))</f>
        <v/>
      </c>
      <c r="O62" s="122" t="str">
        <f>IF(B62="","",SUMIFS(Tree!$AN:$AN,Tree!$A:$A,'Pre-Harvest Plots_rpt'!$B62,Tree!$B:$B,'Pre-Harvest Plots_rpt'!$D62,Tree!$F:$F,"L",Tree!$K:$K,"&lt;&gt;"&amp;"Y"))</f>
        <v/>
      </c>
      <c r="P62" s="122" t="str">
        <f>IF(B62="","",SUMIFS(Tree!$AO:$AO,Tree!$A:$A,'Pre-Harvest Plots_rpt'!$B62,Tree!$B:$B,'Pre-Harvest Plots_rpt'!$D62,Tree!$F:$F,"L",Tree!$K:$K,"&lt;&gt;"&amp;"Y"))</f>
        <v/>
      </c>
      <c r="Q62" s="122" t="str">
        <f>IF(B62="","",SUMIFS(Tree!$AP:$AP,Tree!$A:$A,'Pre-Harvest Plots_rpt'!$B62,Tree!$B:$B,'Pre-Harvest Plots_rpt'!$D62,Tree!$F:$F,"L",Tree!$K:$K,"&lt;&gt;"&amp;"Y"))</f>
        <v/>
      </c>
      <c r="R62" s="123" t="str">
        <f>IF(B62="","",SUMIFS(Tree!$AQ:$AQ,Tree!$A:$A,'Pre-Harvest Plots_rpt'!$B62,Tree!$B:$B,'Pre-Harvest Plots_rpt'!$D62,Tree!$F:$F,"L",Tree!$K:$K,"&lt;&gt;"&amp;"Y"))</f>
        <v/>
      </c>
      <c r="S62" s="122" t="str">
        <f>IF(B62="","",SUMIFS(Tree!$AJ:$AJ,Tree!$A:$A,'Pre-Harvest Plots_rpt'!$B62,Tree!$B:$B,'Pre-Harvest Plots_rpt'!$D62,Tree!$F:$F,"L",Tree!$K:$K,"&lt;&gt;"&amp;"Y")-O62)</f>
        <v/>
      </c>
      <c r="T62" s="122" t="str">
        <f>IF(B62="","",SUMIFS(Tree!$AK:$AK,Tree!$A:$A,'Pre-Harvest Plots_rpt'!$B62,Tree!$B:$B,'Pre-Harvest Plots_rpt'!$D62,Tree!$F:$F,"L",Tree!$K:$K,"&lt;&gt;"&amp;"Y")-P62)</f>
        <v/>
      </c>
      <c r="U62" s="122" t="str">
        <f>IF(B62="","",SUMIFS(Tree!$AL:$AL,Tree!$A:$A,'Pre-Harvest Plots_rpt'!$B62,Tree!$B:$B,'Pre-Harvest Plots_rpt'!$D62,Tree!$F:$F,"L",Tree!$K:$K,"&lt;&gt;"&amp;"Y")-Q62)</f>
        <v/>
      </c>
      <c r="V62" s="123" t="str">
        <f>IF(B62="","",ROUND(SUMIFS(Tree!$AE:$AE,Tree!$A:$A,'Pre-Harvest Plots_rpt'!$B62,Tree!$B:$B,'Pre-Harvest Plots_rpt'!$D62,Tree!$F:$F,"L",Tree!$K:$K,"&lt;&gt;"&amp;"Y")-R62,1))</f>
        <v/>
      </c>
      <c r="W62" s="124" t="str">
        <f>IF(B62="","",SUMIFS(Tree!$AY:$AY,Tree!$A:$A,'Pre-Harvest Plots_rpt'!$B62,Tree!$B:$B,'Pre-Harvest Plots_rpt'!$D62,Tree!$F:$F,"L",Tree!$K:$K,"&lt;&gt;"&amp;"Y")/1000)</f>
        <v/>
      </c>
      <c r="X62" s="158" t="str">
        <f>IF(B62="","",ROUND((SUMIFS(Tree!$AW:$AW,Tree!$A:$A,'Pre-Harvest Plots_rpt'!$B62,Tree!$B:$B,'Pre-Harvest Plots_rpt'!$D62,Tree!$F:$F,"L",Tree!$K:$K,"&lt;&gt;"&amp;"Y")/1000)-W62,1))</f>
        <v/>
      </c>
      <c r="Y62" s="135"/>
      <c r="Z62" s="161" t="str">
        <f>IF(IF(B62="","",SUMIFS(Tree!$O:$O,Tree!$A:$A,'Pre-Harvest Plots_rpt'!$B62,Tree!$B:$B,'Pre-Harvest Plots_rpt'!$D62,Tree!$F:$F,"D",Tree!$K:$K,"&lt;&gt;"&amp;"Y"))=0,"",IF(B62="","",SUMIFS(Tree!$O:$O,Tree!$A:$A,'Pre-Harvest Plots_rpt'!$B62,Tree!$B:$B,'Pre-Harvest Plots_rpt'!$D62,Tree!$F:$F,"D",Tree!$K:$K,"&lt;&gt;"&amp;"Y")))</f>
        <v/>
      </c>
      <c r="AA62" s="125" t="str">
        <f t="shared" si="3"/>
        <v/>
      </c>
      <c r="AB62" s="125" t="str">
        <f>IF(Z62="","",SUMIFS(Tree!$R:$R,Tree!$A:$A,'Pre-Harvest Plots_rpt'!$B62,Tree!$B:$B,'Pre-Harvest Plots_rpt'!$D62,Tree!$F:$F,"D",Tree!$K:$K,"&lt;&gt;"&amp;"Y"))</f>
        <v/>
      </c>
      <c r="AC62" s="126" t="str">
        <f>IF(Z62="","",SUMIFS(Tree!$AM:$AM,Tree!$A:$A,'Pre-Harvest Plots_rpt'!$B62,Tree!$B:$B,'Pre-Harvest Plots_rpt'!$D62,Tree!$F:$F,"D",Tree!$K:$K,"&lt;&gt;"&amp;"Y"))</f>
        <v/>
      </c>
      <c r="AD62" s="162" t="str">
        <f>IF(Z62="","",SUMIFS(Tree!$AW:$AW,Tree!$A:$A,'Pre-Harvest Plots_rpt'!$B62,Tree!$B:$B,'Pre-Harvest Plots_rpt'!$D62,Tree!$F:$F,"D",Tree!$K:$K,"&lt;&gt;"&amp;"Y")/1000)</f>
        <v/>
      </c>
      <c r="AE62" s="47"/>
      <c r="AF62" s="18"/>
      <c r="AG62" s="18"/>
      <c r="AH62" s="18"/>
    </row>
    <row r="63" spans="1:34" ht="12.75" customHeight="1" x14ac:dyDescent="0.25">
      <c r="A63" s="48">
        <v>60</v>
      </c>
      <c r="B63" s="171" t="str">
        <f>IF(A63&lt;=SUM(Stand!$H$3:$H$29),VLOOKUP(A63,Stand!$A$3:$C$29,3,TRUE),"")</f>
        <v/>
      </c>
      <c r="C63" s="172" t="str">
        <f t="shared" si="0"/>
        <v/>
      </c>
      <c r="D63" s="173" t="str">
        <f>IF(B63="","",VLOOKUP(B63&amp;C63,Plot!$B$2:$D$199,3,FALSE))</f>
        <v/>
      </c>
      <c r="E63" s="130"/>
      <c r="F63" s="152" t="str">
        <f>IF(B63="","",SUMIFS(Tree!$O:$O,Tree!$A:$A,'Pre-Harvest Plots_rpt'!$B63,Tree!$B:$B,'Pre-Harvest Plots_rpt'!$D63,Tree!$F:$F,"L",Tree!$K:$K,"&lt;&gt;"&amp;"Y"))</f>
        <v/>
      </c>
      <c r="G63" s="153" t="str">
        <f>IFERROR(IF(D63="","",SUMIFS(Tree!$P:$P,Tree!$A:$A,'Pre-Harvest Plots_rpt'!$B63,Tree!$B:$B,'Pre-Harvest Plots_rpt'!$D63,Tree!$K:$K,"&lt;&gt;"&amp;"Y")/$F63),"")</f>
        <v/>
      </c>
      <c r="H63" s="122" t="str">
        <f t="shared" si="1"/>
        <v/>
      </c>
      <c r="I63" s="121" t="str">
        <f>IF(OR($F63=0,$F63=""),"",SUMIFS(Tree!$R:$R,Tree!$A:$A,'Pre-Harvest Plots_rpt'!$B63,Tree!$B:$B,'Pre-Harvest Plots_rpt'!$D63,Tree!$F:$F,"L",Tree!$K:$K,"&lt;&gt;"&amp;"Y"))</f>
        <v/>
      </c>
      <c r="J63" s="121" t="str">
        <f>IF(OR($F63=0,$F63=""),"",IF(SUMIFS(Tree!$W:$W,Tree!$A:$A,'Pre-Harvest Plots_rpt'!$B63,Tree!$B:$B,'Pre-Harvest Plots_rpt'!$D63,Tree!$F:$F,"L",Tree!$K:$K,"&lt;&gt;"&amp;"Y")=0,0,AVERAGEIFS(Tree!$W:$W,Tree!$A:$A,'Pre-Harvest Plots_rpt'!$B63,Tree!$B:$B,'Pre-Harvest Plots_rpt'!$D63,Tree!$F:$F,"L",Tree!$K:$K,"&lt;&gt;"&amp;"Y")))</f>
        <v/>
      </c>
      <c r="K63" s="121" t="str">
        <f>IF($F63="","",SUMIFS(Tree!$S:$S,Tree!$A:$A,'Pre-Harvest Plots_rpt'!$B63,Tree!$B:$B,'Pre-Harvest Plots_rpt'!$D63,Tree!$F:$F,"L",Tree!$K:$K,"&lt;&gt;"&amp;"Y"))</f>
        <v/>
      </c>
      <c r="L63" s="154" t="str">
        <f t="shared" si="2"/>
        <v/>
      </c>
      <c r="M63" s="135"/>
      <c r="N63" s="192" t="str">
        <f>IF(B63="","",SUMIFS(Tree!$AM:$AM,Tree!$A:$A,'Pre-Harvest Plots_rpt'!$B63,Tree!$B:$B,'Pre-Harvest Plots_rpt'!$D63,Tree!$F:$F,"L",Tree!$K:$K,"&lt;&gt;"&amp;"Y"))</f>
        <v/>
      </c>
      <c r="O63" s="122" t="str">
        <f>IF(B63="","",SUMIFS(Tree!$AN:$AN,Tree!$A:$A,'Pre-Harvest Plots_rpt'!$B63,Tree!$B:$B,'Pre-Harvest Plots_rpt'!$D63,Tree!$F:$F,"L",Tree!$K:$K,"&lt;&gt;"&amp;"Y"))</f>
        <v/>
      </c>
      <c r="P63" s="122" t="str">
        <f>IF(B63="","",SUMIFS(Tree!$AO:$AO,Tree!$A:$A,'Pre-Harvest Plots_rpt'!$B63,Tree!$B:$B,'Pre-Harvest Plots_rpt'!$D63,Tree!$F:$F,"L",Tree!$K:$K,"&lt;&gt;"&amp;"Y"))</f>
        <v/>
      </c>
      <c r="Q63" s="122" t="str">
        <f>IF(B63="","",SUMIFS(Tree!$AP:$AP,Tree!$A:$A,'Pre-Harvest Plots_rpt'!$B63,Tree!$B:$B,'Pre-Harvest Plots_rpt'!$D63,Tree!$F:$F,"L",Tree!$K:$K,"&lt;&gt;"&amp;"Y"))</f>
        <v/>
      </c>
      <c r="R63" s="123" t="str">
        <f>IF(B63="","",SUMIFS(Tree!$AQ:$AQ,Tree!$A:$A,'Pre-Harvest Plots_rpt'!$B63,Tree!$B:$B,'Pre-Harvest Plots_rpt'!$D63,Tree!$F:$F,"L",Tree!$K:$K,"&lt;&gt;"&amp;"Y"))</f>
        <v/>
      </c>
      <c r="S63" s="122" t="str">
        <f>IF(B63="","",SUMIFS(Tree!$AJ:$AJ,Tree!$A:$A,'Pre-Harvest Plots_rpt'!$B63,Tree!$B:$B,'Pre-Harvest Plots_rpt'!$D63,Tree!$F:$F,"L",Tree!$K:$K,"&lt;&gt;"&amp;"Y")-O63)</f>
        <v/>
      </c>
      <c r="T63" s="122" t="str">
        <f>IF(B63="","",SUMIFS(Tree!$AK:$AK,Tree!$A:$A,'Pre-Harvest Plots_rpt'!$B63,Tree!$B:$B,'Pre-Harvest Plots_rpt'!$D63,Tree!$F:$F,"L",Tree!$K:$K,"&lt;&gt;"&amp;"Y")-P63)</f>
        <v/>
      </c>
      <c r="U63" s="122" t="str">
        <f>IF(B63="","",SUMIFS(Tree!$AL:$AL,Tree!$A:$A,'Pre-Harvest Plots_rpt'!$B63,Tree!$B:$B,'Pre-Harvest Plots_rpt'!$D63,Tree!$F:$F,"L",Tree!$K:$K,"&lt;&gt;"&amp;"Y")-Q63)</f>
        <v/>
      </c>
      <c r="V63" s="123" t="str">
        <f>IF(B63="","",ROUND(SUMIFS(Tree!$AE:$AE,Tree!$A:$A,'Pre-Harvest Plots_rpt'!$B63,Tree!$B:$B,'Pre-Harvest Plots_rpt'!$D63,Tree!$F:$F,"L",Tree!$K:$K,"&lt;&gt;"&amp;"Y")-R63,1))</f>
        <v/>
      </c>
      <c r="W63" s="124" t="str">
        <f>IF(B63="","",SUMIFS(Tree!$AY:$AY,Tree!$A:$A,'Pre-Harvest Plots_rpt'!$B63,Tree!$B:$B,'Pre-Harvest Plots_rpt'!$D63,Tree!$F:$F,"L",Tree!$K:$K,"&lt;&gt;"&amp;"Y")/1000)</f>
        <v/>
      </c>
      <c r="X63" s="158" t="str">
        <f>IF(B63="","",ROUND((SUMIFS(Tree!$AW:$AW,Tree!$A:$A,'Pre-Harvest Plots_rpt'!$B63,Tree!$B:$B,'Pre-Harvest Plots_rpt'!$D63,Tree!$F:$F,"L",Tree!$K:$K,"&lt;&gt;"&amp;"Y")/1000)-W63,1))</f>
        <v/>
      </c>
      <c r="Y63" s="135"/>
      <c r="Z63" s="161" t="str">
        <f>IF(IF(B63="","",SUMIFS(Tree!$O:$O,Tree!$A:$A,'Pre-Harvest Plots_rpt'!$B63,Tree!$B:$B,'Pre-Harvest Plots_rpt'!$D63,Tree!$F:$F,"D",Tree!$K:$K,"&lt;&gt;"&amp;"Y"))=0,"",IF(B63="","",SUMIFS(Tree!$O:$O,Tree!$A:$A,'Pre-Harvest Plots_rpt'!$B63,Tree!$B:$B,'Pre-Harvest Plots_rpt'!$D63,Tree!$F:$F,"D",Tree!$K:$K,"&lt;&gt;"&amp;"Y")))</f>
        <v/>
      </c>
      <c r="AA63" s="125" t="str">
        <f t="shared" si="3"/>
        <v/>
      </c>
      <c r="AB63" s="125" t="str">
        <f>IF(Z63="","",SUMIFS(Tree!$R:$R,Tree!$A:$A,'Pre-Harvest Plots_rpt'!$B63,Tree!$B:$B,'Pre-Harvest Plots_rpt'!$D63,Tree!$F:$F,"D",Tree!$K:$K,"&lt;&gt;"&amp;"Y"))</f>
        <v/>
      </c>
      <c r="AC63" s="126" t="str">
        <f>IF(Z63="","",SUMIFS(Tree!$AM:$AM,Tree!$A:$A,'Pre-Harvest Plots_rpt'!$B63,Tree!$B:$B,'Pre-Harvest Plots_rpt'!$D63,Tree!$F:$F,"D",Tree!$K:$K,"&lt;&gt;"&amp;"Y"))</f>
        <v/>
      </c>
      <c r="AD63" s="162" t="str">
        <f>IF(Z63="","",SUMIFS(Tree!$AW:$AW,Tree!$A:$A,'Pre-Harvest Plots_rpt'!$B63,Tree!$B:$B,'Pre-Harvest Plots_rpt'!$D63,Tree!$F:$F,"D",Tree!$K:$K,"&lt;&gt;"&amp;"Y")/1000)</f>
        <v/>
      </c>
      <c r="AE63" s="47"/>
      <c r="AF63" s="18"/>
      <c r="AG63" s="18"/>
      <c r="AH63" s="18"/>
    </row>
    <row r="64" spans="1:34" ht="12.75" customHeight="1" x14ac:dyDescent="0.25">
      <c r="A64" s="48">
        <v>61</v>
      </c>
      <c r="B64" s="171" t="str">
        <f>IF(A64&lt;=SUM(Stand!$H$3:$H$29),VLOOKUP(A64,Stand!$A$3:$C$29,3,TRUE),"")</f>
        <v/>
      </c>
      <c r="C64" s="172" t="str">
        <f t="shared" si="0"/>
        <v/>
      </c>
      <c r="D64" s="173" t="str">
        <f>IF(B64="","",VLOOKUP(B64&amp;C64,Plot!$B$2:$D$199,3,FALSE))</f>
        <v/>
      </c>
      <c r="E64" s="130"/>
      <c r="F64" s="152" t="str">
        <f>IF(B64="","",SUMIFS(Tree!$O:$O,Tree!$A:$A,'Pre-Harvest Plots_rpt'!$B64,Tree!$B:$B,'Pre-Harvest Plots_rpt'!$D64,Tree!$F:$F,"L",Tree!$K:$K,"&lt;&gt;"&amp;"Y"))</f>
        <v/>
      </c>
      <c r="G64" s="153" t="str">
        <f>IFERROR(IF(D64="","",SUMIFS(Tree!$P:$P,Tree!$A:$A,'Pre-Harvest Plots_rpt'!$B64,Tree!$B:$B,'Pre-Harvest Plots_rpt'!$D64,Tree!$K:$K,"&lt;&gt;"&amp;"Y")/$F64),"")</f>
        <v/>
      </c>
      <c r="H64" s="122" t="str">
        <f t="shared" si="1"/>
        <v/>
      </c>
      <c r="I64" s="121" t="str">
        <f>IF(OR($F64=0,$F64=""),"",SUMIFS(Tree!$R:$R,Tree!$A:$A,'Pre-Harvest Plots_rpt'!$B64,Tree!$B:$B,'Pre-Harvest Plots_rpt'!$D64,Tree!$F:$F,"L",Tree!$K:$K,"&lt;&gt;"&amp;"Y"))</f>
        <v/>
      </c>
      <c r="J64" s="121" t="str">
        <f>IF(OR($F64=0,$F64=""),"",IF(SUMIFS(Tree!$W:$W,Tree!$A:$A,'Pre-Harvest Plots_rpt'!$B64,Tree!$B:$B,'Pre-Harvest Plots_rpt'!$D64,Tree!$F:$F,"L",Tree!$K:$K,"&lt;&gt;"&amp;"Y")=0,0,AVERAGEIFS(Tree!$W:$W,Tree!$A:$A,'Pre-Harvest Plots_rpt'!$B64,Tree!$B:$B,'Pre-Harvest Plots_rpt'!$D64,Tree!$F:$F,"L",Tree!$K:$K,"&lt;&gt;"&amp;"Y")))</f>
        <v/>
      </c>
      <c r="K64" s="121" t="str">
        <f>IF($F64="","",SUMIFS(Tree!$S:$S,Tree!$A:$A,'Pre-Harvest Plots_rpt'!$B64,Tree!$B:$B,'Pre-Harvest Plots_rpt'!$D64,Tree!$F:$F,"L",Tree!$K:$K,"&lt;&gt;"&amp;"Y"))</f>
        <v/>
      </c>
      <c r="L64" s="154" t="str">
        <f t="shared" si="2"/>
        <v/>
      </c>
      <c r="M64" s="135"/>
      <c r="N64" s="192" t="str">
        <f>IF(B64="","",SUMIFS(Tree!$AM:$AM,Tree!$A:$A,'Pre-Harvest Plots_rpt'!$B64,Tree!$B:$B,'Pre-Harvest Plots_rpt'!$D64,Tree!$F:$F,"L",Tree!$K:$K,"&lt;&gt;"&amp;"Y"))</f>
        <v/>
      </c>
      <c r="O64" s="122" t="str">
        <f>IF(B64="","",SUMIFS(Tree!$AN:$AN,Tree!$A:$A,'Pre-Harvest Plots_rpt'!$B64,Tree!$B:$B,'Pre-Harvest Plots_rpt'!$D64,Tree!$F:$F,"L",Tree!$K:$K,"&lt;&gt;"&amp;"Y"))</f>
        <v/>
      </c>
      <c r="P64" s="122" t="str">
        <f>IF(B64="","",SUMIFS(Tree!$AO:$AO,Tree!$A:$A,'Pre-Harvest Plots_rpt'!$B64,Tree!$B:$B,'Pre-Harvest Plots_rpt'!$D64,Tree!$F:$F,"L",Tree!$K:$K,"&lt;&gt;"&amp;"Y"))</f>
        <v/>
      </c>
      <c r="Q64" s="122" t="str">
        <f>IF(B64="","",SUMIFS(Tree!$AP:$AP,Tree!$A:$A,'Pre-Harvest Plots_rpt'!$B64,Tree!$B:$B,'Pre-Harvest Plots_rpt'!$D64,Tree!$F:$F,"L",Tree!$K:$K,"&lt;&gt;"&amp;"Y"))</f>
        <v/>
      </c>
      <c r="R64" s="123" t="str">
        <f>IF(B64="","",SUMIFS(Tree!$AQ:$AQ,Tree!$A:$A,'Pre-Harvest Plots_rpt'!$B64,Tree!$B:$B,'Pre-Harvest Plots_rpt'!$D64,Tree!$F:$F,"L",Tree!$K:$K,"&lt;&gt;"&amp;"Y"))</f>
        <v/>
      </c>
      <c r="S64" s="122" t="str">
        <f>IF(B64="","",SUMIFS(Tree!$AJ:$AJ,Tree!$A:$A,'Pre-Harvest Plots_rpt'!$B64,Tree!$B:$B,'Pre-Harvest Plots_rpt'!$D64,Tree!$F:$F,"L",Tree!$K:$K,"&lt;&gt;"&amp;"Y")-O64)</f>
        <v/>
      </c>
      <c r="T64" s="122" t="str">
        <f>IF(B64="","",SUMIFS(Tree!$AK:$AK,Tree!$A:$A,'Pre-Harvest Plots_rpt'!$B64,Tree!$B:$B,'Pre-Harvest Plots_rpt'!$D64,Tree!$F:$F,"L",Tree!$K:$K,"&lt;&gt;"&amp;"Y")-P64)</f>
        <v/>
      </c>
      <c r="U64" s="122" t="str">
        <f>IF(B64="","",SUMIFS(Tree!$AL:$AL,Tree!$A:$A,'Pre-Harvest Plots_rpt'!$B64,Tree!$B:$B,'Pre-Harvest Plots_rpt'!$D64,Tree!$F:$F,"L",Tree!$K:$K,"&lt;&gt;"&amp;"Y")-Q64)</f>
        <v/>
      </c>
      <c r="V64" s="123" t="str">
        <f>IF(B64="","",ROUND(SUMIFS(Tree!$AE:$AE,Tree!$A:$A,'Pre-Harvest Plots_rpt'!$B64,Tree!$B:$B,'Pre-Harvest Plots_rpt'!$D64,Tree!$F:$F,"L",Tree!$K:$K,"&lt;&gt;"&amp;"Y")-R64,1))</f>
        <v/>
      </c>
      <c r="W64" s="124" t="str">
        <f>IF(B64="","",SUMIFS(Tree!$AY:$AY,Tree!$A:$A,'Pre-Harvest Plots_rpt'!$B64,Tree!$B:$B,'Pre-Harvest Plots_rpt'!$D64,Tree!$F:$F,"L",Tree!$K:$K,"&lt;&gt;"&amp;"Y")/1000)</f>
        <v/>
      </c>
      <c r="X64" s="158" t="str">
        <f>IF(B64="","",ROUND((SUMIFS(Tree!$AW:$AW,Tree!$A:$A,'Pre-Harvest Plots_rpt'!$B64,Tree!$B:$B,'Pre-Harvest Plots_rpt'!$D64,Tree!$F:$F,"L",Tree!$K:$K,"&lt;&gt;"&amp;"Y")/1000)-W64,1))</f>
        <v/>
      </c>
      <c r="Y64" s="135"/>
      <c r="Z64" s="161" t="str">
        <f>IF(IF(B64="","",SUMIFS(Tree!$O:$O,Tree!$A:$A,'Pre-Harvest Plots_rpt'!$B64,Tree!$B:$B,'Pre-Harvest Plots_rpt'!$D64,Tree!$F:$F,"D",Tree!$K:$K,"&lt;&gt;"&amp;"Y"))=0,"",IF(B64="","",SUMIFS(Tree!$O:$O,Tree!$A:$A,'Pre-Harvest Plots_rpt'!$B64,Tree!$B:$B,'Pre-Harvest Plots_rpt'!$D64,Tree!$F:$F,"D",Tree!$K:$K,"&lt;&gt;"&amp;"Y")))</f>
        <v/>
      </c>
      <c r="AA64" s="125" t="str">
        <f t="shared" si="3"/>
        <v/>
      </c>
      <c r="AB64" s="125" t="str">
        <f>IF(Z64="","",SUMIFS(Tree!$R:$R,Tree!$A:$A,'Pre-Harvest Plots_rpt'!$B64,Tree!$B:$B,'Pre-Harvest Plots_rpt'!$D64,Tree!$F:$F,"D",Tree!$K:$K,"&lt;&gt;"&amp;"Y"))</f>
        <v/>
      </c>
      <c r="AC64" s="126" t="str">
        <f>IF(Z64="","",SUMIFS(Tree!$AM:$AM,Tree!$A:$A,'Pre-Harvest Plots_rpt'!$B64,Tree!$B:$B,'Pre-Harvest Plots_rpt'!$D64,Tree!$F:$F,"D",Tree!$K:$K,"&lt;&gt;"&amp;"Y"))</f>
        <v/>
      </c>
      <c r="AD64" s="162" t="str">
        <f>IF(Z64="","",SUMIFS(Tree!$AW:$AW,Tree!$A:$A,'Pre-Harvest Plots_rpt'!$B64,Tree!$B:$B,'Pre-Harvest Plots_rpt'!$D64,Tree!$F:$F,"D",Tree!$K:$K,"&lt;&gt;"&amp;"Y")/1000)</f>
        <v/>
      </c>
      <c r="AE64" s="47"/>
      <c r="AF64" s="18"/>
      <c r="AG64" s="18"/>
      <c r="AH64" s="18"/>
    </row>
    <row r="65" spans="1:34" ht="12.75" customHeight="1" x14ac:dyDescent="0.25">
      <c r="A65" s="48">
        <v>62</v>
      </c>
      <c r="B65" s="171" t="str">
        <f>IF(A65&lt;=SUM(Stand!$H$3:$H$29),VLOOKUP(A65,Stand!$A$3:$C$29,3,TRUE),"")</f>
        <v/>
      </c>
      <c r="C65" s="172" t="str">
        <f t="shared" si="0"/>
        <v/>
      </c>
      <c r="D65" s="173" t="str">
        <f>IF(B65="","",VLOOKUP(B65&amp;C65,Plot!$B$2:$D$199,3,FALSE))</f>
        <v/>
      </c>
      <c r="E65" s="130"/>
      <c r="F65" s="152" t="str">
        <f>IF(B65="","",SUMIFS(Tree!$O:$O,Tree!$A:$A,'Pre-Harvest Plots_rpt'!$B65,Tree!$B:$B,'Pre-Harvest Plots_rpt'!$D65,Tree!$F:$F,"L",Tree!$K:$K,"&lt;&gt;"&amp;"Y"))</f>
        <v/>
      </c>
      <c r="G65" s="153" t="str">
        <f>IFERROR(IF(D65="","",SUMIFS(Tree!$P:$P,Tree!$A:$A,'Pre-Harvest Plots_rpt'!$B65,Tree!$B:$B,'Pre-Harvest Plots_rpt'!$D65,Tree!$K:$K,"&lt;&gt;"&amp;"Y")/$F65),"")</f>
        <v/>
      </c>
      <c r="H65" s="122" t="str">
        <f t="shared" si="1"/>
        <v/>
      </c>
      <c r="I65" s="121" t="str">
        <f>IF(OR($F65=0,$F65=""),"",SUMIFS(Tree!$R:$R,Tree!$A:$A,'Pre-Harvest Plots_rpt'!$B65,Tree!$B:$B,'Pre-Harvest Plots_rpt'!$D65,Tree!$F:$F,"L",Tree!$K:$K,"&lt;&gt;"&amp;"Y"))</f>
        <v/>
      </c>
      <c r="J65" s="121" t="str">
        <f>IF(OR($F65=0,$F65=""),"",IF(SUMIFS(Tree!$W:$W,Tree!$A:$A,'Pre-Harvest Plots_rpt'!$B65,Tree!$B:$B,'Pre-Harvest Plots_rpt'!$D65,Tree!$F:$F,"L",Tree!$K:$K,"&lt;&gt;"&amp;"Y")=0,0,AVERAGEIFS(Tree!$W:$W,Tree!$A:$A,'Pre-Harvest Plots_rpt'!$B65,Tree!$B:$B,'Pre-Harvest Plots_rpt'!$D65,Tree!$F:$F,"L",Tree!$K:$K,"&lt;&gt;"&amp;"Y")))</f>
        <v/>
      </c>
      <c r="K65" s="121" t="str">
        <f>IF($F65="","",SUMIFS(Tree!$S:$S,Tree!$A:$A,'Pre-Harvest Plots_rpt'!$B65,Tree!$B:$B,'Pre-Harvest Plots_rpt'!$D65,Tree!$F:$F,"L",Tree!$K:$K,"&lt;&gt;"&amp;"Y"))</f>
        <v/>
      </c>
      <c r="L65" s="154" t="str">
        <f t="shared" si="2"/>
        <v/>
      </c>
      <c r="M65" s="135"/>
      <c r="N65" s="192" t="str">
        <f>IF(B65="","",SUMIFS(Tree!$AM:$AM,Tree!$A:$A,'Pre-Harvest Plots_rpt'!$B65,Tree!$B:$B,'Pre-Harvest Plots_rpt'!$D65,Tree!$F:$F,"L",Tree!$K:$K,"&lt;&gt;"&amp;"Y"))</f>
        <v/>
      </c>
      <c r="O65" s="122" t="str">
        <f>IF(B65="","",SUMIFS(Tree!$AN:$AN,Tree!$A:$A,'Pre-Harvest Plots_rpt'!$B65,Tree!$B:$B,'Pre-Harvest Plots_rpt'!$D65,Tree!$F:$F,"L",Tree!$K:$K,"&lt;&gt;"&amp;"Y"))</f>
        <v/>
      </c>
      <c r="P65" s="122" t="str">
        <f>IF(B65="","",SUMIFS(Tree!$AO:$AO,Tree!$A:$A,'Pre-Harvest Plots_rpt'!$B65,Tree!$B:$B,'Pre-Harvest Plots_rpt'!$D65,Tree!$F:$F,"L",Tree!$K:$K,"&lt;&gt;"&amp;"Y"))</f>
        <v/>
      </c>
      <c r="Q65" s="122" t="str">
        <f>IF(B65="","",SUMIFS(Tree!$AP:$AP,Tree!$A:$A,'Pre-Harvest Plots_rpt'!$B65,Tree!$B:$B,'Pre-Harvest Plots_rpt'!$D65,Tree!$F:$F,"L",Tree!$K:$K,"&lt;&gt;"&amp;"Y"))</f>
        <v/>
      </c>
      <c r="R65" s="123" t="str">
        <f>IF(B65="","",SUMIFS(Tree!$AQ:$AQ,Tree!$A:$A,'Pre-Harvest Plots_rpt'!$B65,Tree!$B:$B,'Pre-Harvest Plots_rpt'!$D65,Tree!$F:$F,"L",Tree!$K:$K,"&lt;&gt;"&amp;"Y"))</f>
        <v/>
      </c>
      <c r="S65" s="122" t="str">
        <f>IF(B65="","",SUMIFS(Tree!$AJ:$AJ,Tree!$A:$A,'Pre-Harvest Plots_rpt'!$B65,Tree!$B:$B,'Pre-Harvest Plots_rpt'!$D65,Tree!$F:$F,"L",Tree!$K:$K,"&lt;&gt;"&amp;"Y")-O65)</f>
        <v/>
      </c>
      <c r="T65" s="122" t="str">
        <f>IF(B65="","",SUMIFS(Tree!$AK:$AK,Tree!$A:$A,'Pre-Harvest Plots_rpt'!$B65,Tree!$B:$B,'Pre-Harvest Plots_rpt'!$D65,Tree!$F:$F,"L",Tree!$K:$K,"&lt;&gt;"&amp;"Y")-P65)</f>
        <v/>
      </c>
      <c r="U65" s="122" t="str">
        <f>IF(B65="","",SUMIFS(Tree!$AL:$AL,Tree!$A:$A,'Pre-Harvest Plots_rpt'!$B65,Tree!$B:$B,'Pre-Harvest Plots_rpt'!$D65,Tree!$F:$F,"L",Tree!$K:$K,"&lt;&gt;"&amp;"Y")-Q65)</f>
        <v/>
      </c>
      <c r="V65" s="123" t="str">
        <f>IF(B65="","",ROUND(SUMIFS(Tree!$AE:$AE,Tree!$A:$A,'Pre-Harvest Plots_rpt'!$B65,Tree!$B:$B,'Pre-Harvest Plots_rpt'!$D65,Tree!$F:$F,"L",Tree!$K:$K,"&lt;&gt;"&amp;"Y")-R65,1))</f>
        <v/>
      </c>
      <c r="W65" s="124" t="str">
        <f>IF(B65="","",SUMIFS(Tree!$AY:$AY,Tree!$A:$A,'Pre-Harvest Plots_rpt'!$B65,Tree!$B:$B,'Pre-Harvest Plots_rpt'!$D65,Tree!$F:$F,"L",Tree!$K:$K,"&lt;&gt;"&amp;"Y")/1000)</f>
        <v/>
      </c>
      <c r="X65" s="158" t="str">
        <f>IF(B65="","",ROUND((SUMIFS(Tree!$AW:$AW,Tree!$A:$A,'Pre-Harvest Plots_rpt'!$B65,Tree!$B:$B,'Pre-Harvest Plots_rpt'!$D65,Tree!$F:$F,"L",Tree!$K:$K,"&lt;&gt;"&amp;"Y")/1000)-W65,1))</f>
        <v/>
      </c>
      <c r="Y65" s="135"/>
      <c r="Z65" s="161" t="str">
        <f>IF(IF(B65="","",SUMIFS(Tree!$O:$O,Tree!$A:$A,'Pre-Harvest Plots_rpt'!$B65,Tree!$B:$B,'Pre-Harvest Plots_rpt'!$D65,Tree!$F:$F,"D",Tree!$K:$K,"&lt;&gt;"&amp;"Y"))=0,"",IF(B65="","",SUMIFS(Tree!$O:$O,Tree!$A:$A,'Pre-Harvest Plots_rpt'!$B65,Tree!$B:$B,'Pre-Harvest Plots_rpt'!$D65,Tree!$F:$F,"D",Tree!$K:$K,"&lt;&gt;"&amp;"Y")))</f>
        <v/>
      </c>
      <c r="AA65" s="125" t="str">
        <f t="shared" si="3"/>
        <v/>
      </c>
      <c r="AB65" s="125" t="str">
        <f>IF(Z65="","",SUMIFS(Tree!$R:$R,Tree!$A:$A,'Pre-Harvest Plots_rpt'!$B65,Tree!$B:$B,'Pre-Harvest Plots_rpt'!$D65,Tree!$F:$F,"D",Tree!$K:$K,"&lt;&gt;"&amp;"Y"))</f>
        <v/>
      </c>
      <c r="AC65" s="126" t="str">
        <f>IF(Z65="","",SUMIFS(Tree!$AM:$AM,Tree!$A:$A,'Pre-Harvest Plots_rpt'!$B65,Tree!$B:$B,'Pre-Harvest Plots_rpt'!$D65,Tree!$F:$F,"D",Tree!$K:$K,"&lt;&gt;"&amp;"Y"))</f>
        <v/>
      </c>
      <c r="AD65" s="162" t="str">
        <f>IF(Z65="","",SUMIFS(Tree!$AW:$AW,Tree!$A:$A,'Pre-Harvest Plots_rpt'!$B65,Tree!$B:$B,'Pre-Harvest Plots_rpt'!$D65,Tree!$F:$F,"D",Tree!$K:$K,"&lt;&gt;"&amp;"Y")/1000)</f>
        <v/>
      </c>
      <c r="AE65" s="47"/>
      <c r="AF65" s="18"/>
      <c r="AG65" s="18"/>
      <c r="AH65" s="18"/>
    </row>
    <row r="66" spans="1:34" ht="12.75" customHeight="1" x14ac:dyDescent="0.25">
      <c r="A66" s="48">
        <v>63</v>
      </c>
      <c r="B66" s="171" t="str">
        <f>IF(A66&lt;=SUM(Stand!$H$3:$H$29),VLOOKUP(A66,Stand!$A$3:$C$29,3,TRUE),"")</f>
        <v/>
      </c>
      <c r="C66" s="172" t="str">
        <f t="shared" si="0"/>
        <v/>
      </c>
      <c r="D66" s="173" t="str">
        <f>IF(B66="","",VLOOKUP(B66&amp;C66,Plot!$B$2:$D$199,3,FALSE))</f>
        <v/>
      </c>
      <c r="E66" s="130"/>
      <c r="F66" s="152" t="str">
        <f>IF(B66="","",SUMIFS(Tree!$O:$O,Tree!$A:$A,'Pre-Harvest Plots_rpt'!$B66,Tree!$B:$B,'Pre-Harvest Plots_rpt'!$D66,Tree!$F:$F,"L",Tree!$K:$K,"&lt;&gt;"&amp;"Y"))</f>
        <v/>
      </c>
      <c r="G66" s="153" t="str">
        <f>IFERROR(IF(D66="","",SUMIFS(Tree!$P:$P,Tree!$A:$A,'Pre-Harvest Plots_rpt'!$B66,Tree!$B:$B,'Pre-Harvest Plots_rpt'!$D66,Tree!$K:$K,"&lt;&gt;"&amp;"Y")/$F66),"")</f>
        <v/>
      </c>
      <c r="H66" s="122" t="str">
        <f t="shared" si="1"/>
        <v/>
      </c>
      <c r="I66" s="121" t="str">
        <f>IF(OR($F66=0,$F66=""),"",SUMIFS(Tree!$R:$R,Tree!$A:$A,'Pre-Harvest Plots_rpt'!$B66,Tree!$B:$B,'Pre-Harvest Plots_rpt'!$D66,Tree!$F:$F,"L",Tree!$K:$K,"&lt;&gt;"&amp;"Y"))</f>
        <v/>
      </c>
      <c r="J66" s="121" t="str">
        <f>IF(OR($F66=0,$F66=""),"",IF(SUMIFS(Tree!$W:$W,Tree!$A:$A,'Pre-Harvest Plots_rpt'!$B66,Tree!$B:$B,'Pre-Harvest Plots_rpt'!$D66,Tree!$F:$F,"L",Tree!$K:$K,"&lt;&gt;"&amp;"Y")=0,0,AVERAGEIFS(Tree!$W:$W,Tree!$A:$A,'Pre-Harvest Plots_rpt'!$B66,Tree!$B:$B,'Pre-Harvest Plots_rpt'!$D66,Tree!$F:$F,"L",Tree!$K:$K,"&lt;&gt;"&amp;"Y")))</f>
        <v/>
      </c>
      <c r="K66" s="121" t="str">
        <f>IF($F66="","",SUMIFS(Tree!$S:$S,Tree!$A:$A,'Pre-Harvest Plots_rpt'!$B66,Tree!$B:$B,'Pre-Harvest Plots_rpt'!$D66,Tree!$F:$F,"L",Tree!$K:$K,"&lt;&gt;"&amp;"Y"))</f>
        <v/>
      </c>
      <c r="L66" s="154" t="str">
        <f t="shared" si="2"/>
        <v/>
      </c>
      <c r="M66" s="135"/>
      <c r="N66" s="192" t="str">
        <f>IF(B66="","",SUMIFS(Tree!$AM:$AM,Tree!$A:$A,'Pre-Harvest Plots_rpt'!$B66,Tree!$B:$B,'Pre-Harvest Plots_rpt'!$D66,Tree!$F:$F,"L",Tree!$K:$K,"&lt;&gt;"&amp;"Y"))</f>
        <v/>
      </c>
      <c r="O66" s="122" t="str">
        <f>IF(B66="","",SUMIFS(Tree!$AN:$AN,Tree!$A:$A,'Pre-Harvest Plots_rpt'!$B66,Tree!$B:$B,'Pre-Harvest Plots_rpt'!$D66,Tree!$F:$F,"L",Tree!$K:$K,"&lt;&gt;"&amp;"Y"))</f>
        <v/>
      </c>
      <c r="P66" s="122" t="str">
        <f>IF(B66="","",SUMIFS(Tree!$AO:$AO,Tree!$A:$A,'Pre-Harvest Plots_rpt'!$B66,Tree!$B:$B,'Pre-Harvest Plots_rpt'!$D66,Tree!$F:$F,"L",Tree!$K:$K,"&lt;&gt;"&amp;"Y"))</f>
        <v/>
      </c>
      <c r="Q66" s="122" t="str">
        <f>IF(B66="","",SUMIFS(Tree!$AP:$AP,Tree!$A:$A,'Pre-Harvest Plots_rpt'!$B66,Tree!$B:$B,'Pre-Harvest Plots_rpt'!$D66,Tree!$F:$F,"L",Tree!$K:$K,"&lt;&gt;"&amp;"Y"))</f>
        <v/>
      </c>
      <c r="R66" s="123" t="str">
        <f>IF(B66="","",SUMIFS(Tree!$AQ:$AQ,Tree!$A:$A,'Pre-Harvest Plots_rpt'!$B66,Tree!$B:$B,'Pre-Harvest Plots_rpt'!$D66,Tree!$F:$F,"L",Tree!$K:$K,"&lt;&gt;"&amp;"Y"))</f>
        <v/>
      </c>
      <c r="S66" s="122" t="str">
        <f>IF(B66="","",SUMIFS(Tree!$AJ:$AJ,Tree!$A:$A,'Pre-Harvest Plots_rpt'!$B66,Tree!$B:$B,'Pre-Harvest Plots_rpt'!$D66,Tree!$F:$F,"L",Tree!$K:$K,"&lt;&gt;"&amp;"Y")-O66)</f>
        <v/>
      </c>
      <c r="T66" s="122" t="str">
        <f>IF(B66="","",SUMIFS(Tree!$AK:$AK,Tree!$A:$A,'Pre-Harvest Plots_rpt'!$B66,Tree!$B:$B,'Pre-Harvest Plots_rpt'!$D66,Tree!$F:$F,"L",Tree!$K:$K,"&lt;&gt;"&amp;"Y")-P66)</f>
        <v/>
      </c>
      <c r="U66" s="122" t="str">
        <f>IF(B66="","",SUMIFS(Tree!$AL:$AL,Tree!$A:$A,'Pre-Harvest Plots_rpt'!$B66,Tree!$B:$B,'Pre-Harvest Plots_rpt'!$D66,Tree!$F:$F,"L",Tree!$K:$K,"&lt;&gt;"&amp;"Y")-Q66)</f>
        <v/>
      </c>
      <c r="V66" s="123" t="str">
        <f>IF(B66="","",ROUND(SUMIFS(Tree!$AE:$AE,Tree!$A:$A,'Pre-Harvest Plots_rpt'!$B66,Tree!$B:$B,'Pre-Harvest Plots_rpt'!$D66,Tree!$F:$F,"L",Tree!$K:$K,"&lt;&gt;"&amp;"Y")-R66,1))</f>
        <v/>
      </c>
      <c r="W66" s="124" t="str">
        <f>IF(B66="","",SUMIFS(Tree!$AY:$AY,Tree!$A:$A,'Pre-Harvest Plots_rpt'!$B66,Tree!$B:$B,'Pre-Harvest Plots_rpt'!$D66,Tree!$F:$F,"L",Tree!$K:$K,"&lt;&gt;"&amp;"Y")/1000)</f>
        <v/>
      </c>
      <c r="X66" s="158" t="str">
        <f>IF(B66="","",ROUND((SUMIFS(Tree!$AW:$AW,Tree!$A:$A,'Pre-Harvest Plots_rpt'!$B66,Tree!$B:$B,'Pre-Harvest Plots_rpt'!$D66,Tree!$F:$F,"L",Tree!$K:$K,"&lt;&gt;"&amp;"Y")/1000)-W66,1))</f>
        <v/>
      </c>
      <c r="Y66" s="135"/>
      <c r="Z66" s="161" t="str">
        <f>IF(IF(B66="","",SUMIFS(Tree!$O:$O,Tree!$A:$A,'Pre-Harvest Plots_rpt'!$B66,Tree!$B:$B,'Pre-Harvest Plots_rpt'!$D66,Tree!$F:$F,"D",Tree!$K:$K,"&lt;&gt;"&amp;"Y"))=0,"",IF(B66="","",SUMIFS(Tree!$O:$O,Tree!$A:$A,'Pre-Harvest Plots_rpt'!$B66,Tree!$B:$B,'Pre-Harvest Plots_rpt'!$D66,Tree!$F:$F,"D",Tree!$K:$K,"&lt;&gt;"&amp;"Y")))</f>
        <v/>
      </c>
      <c r="AA66" s="125" t="str">
        <f t="shared" si="3"/>
        <v/>
      </c>
      <c r="AB66" s="125" t="str">
        <f>IF(Z66="","",SUMIFS(Tree!$R:$R,Tree!$A:$A,'Pre-Harvest Plots_rpt'!$B66,Tree!$B:$B,'Pre-Harvest Plots_rpt'!$D66,Tree!$F:$F,"D",Tree!$K:$K,"&lt;&gt;"&amp;"Y"))</f>
        <v/>
      </c>
      <c r="AC66" s="126" t="str">
        <f>IF(Z66="","",SUMIFS(Tree!$AM:$AM,Tree!$A:$A,'Pre-Harvest Plots_rpt'!$B66,Tree!$B:$B,'Pre-Harvest Plots_rpt'!$D66,Tree!$F:$F,"D",Tree!$K:$K,"&lt;&gt;"&amp;"Y"))</f>
        <v/>
      </c>
      <c r="AD66" s="162" t="str">
        <f>IF(Z66="","",SUMIFS(Tree!$AW:$AW,Tree!$A:$A,'Pre-Harvest Plots_rpt'!$B66,Tree!$B:$B,'Pre-Harvest Plots_rpt'!$D66,Tree!$F:$F,"D",Tree!$K:$K,"&lt;&gt;"&amp;"Y")/1000)</f>
        <v/>
      </c>
      <c r="AE66" s="47"/>
      <c r="AF66" s="18"/>
      <c r="AG66" s="18"/>
      <c r="AH66" s="18"/>
    </row>
    <row r="67" spans="1:34" ht="12.75" customHeight="1" x14ac:dyDescent="0.25">
      <c r="A67" s="48">
        <v>64</v>
      </c>
      <c r="B67" s="171" t="str">
        <f>IF(A67&lt;=SUM(Stand!$H$3:$H$29),VLOOKUP(A67,Stand!$A$3:$C$29,3,TRUE),"")</f>
        <v/>
      </c>
      <c r="C67" s="172" t="str">
        <f t="shared" si="0"/>
        <v/>
      </c>
      <c r="D67" s="173" t="str">
        <f>IF(B67="","",VLOOKUP(B67&amp;C67,Plot!$B$2:$D$199,3,FALSE))</f>
        <v/>
      </c>
      <c r="E67" s="130"/>
      <c r="F67" s="152" t="str">
        <f>IF(B67="","",SUMIFS(Tree!$O:$O,Tree!$A:$A,'Pre-Harvest Plots_rpt'!$B67,Tree!$B:$B,'Pre-Harvest Plots_rpt'!$D67,Tree!$F:$F,"L",Tree!$K:$K,"&lt;&gt;"&amp;"Y"))</f>
        <v/>
      </c>
      <c r="G67" s="153" t="str">
        <f>IFERROR(IF(D67="","",SUMIFS(Tree!$P:$P,Tree!$A:$A,'Pre-Harvest Plots_rpt'!$B67,Tree!$B:$B,'Pre-Harvest Plots_rpt'!$D67,Tree!$K:$K,"&lt;&gt;"&amp;"Y")/$F67),"")</f>
        <v/>
      </c>
      <c r="H67" s="122" t="str">
        <f t="shared" si="1"/>
        <v/>
      </c>
      <c r="I67" s="121" t="str">
        <f>IF(OR($F67=0,$F67=""),"",SUMIFS(Tree!$R:$R,Tree!$A:$A,'Pre-Harvest Plots_rpt'!$B67,Tree!$B:$B,'Pre-Harvest Plots_rpt'!$D67,Tree!$F:$F,"L",Tree!$K:$K,"&lt;&gt;"&amp;"Y"))</f>
        <v/>
      </c>
      <c r="J67" s="121" t="str">
        <f>IF(OR($F67=0,$F67=""),"",IF(SUMIFS(Tree!$W:$W,Tree!$A:$A,'Pre-Harvest Plots_rpt'!$B67,Tree!$B:$B,'Pre-Harvest Plots_rpt'!$D67,Tree!$F:$F,"L",Tree!$K:$K,"&lt;&gt;"&amp;"Y")=0,0,AVERAGEIFS(Tree!$W:$W,Tree!$A:$A,'Pre-Harvest Plots_rpt'!$B67,Tree!$B:$B,'Pre-Harvest Plots_rpt'!$D67,Tree!$F:$F,"L",Tree!$K:$K,"&lt;&gt;"&amp;"Y")))</f>
        <v/>
      </c>
      <c r="K67" s="121" t="str">
        <f>IF($F67="","",SUMIFS(Tree!$S:$S,Tree!$A:$A,'Pre-Harvest Plots_rpt'!$B67,Tree!$B:$B,'Pre-Harvest Plots_rpt'!$D67,Tree!$F:$F,"L",Tree!$K:$K,"&lt;&gt;"&amp;"Y"))</f>
        <v/>
      </c>
      <c r="L67" s="154" t="str">
        <f t="shared" si="2"/>
        <v/>
      </c>
      <c r="M67" s="135"/>
      <c r="N67" s="192" t="str">
        <f>IF(B67="","",SUMIFS(Tree!$AM:$AM,Tree!$A:$A,'Pre-Harvest Plots_rpt'!$B67,Tree!$B:$B,'Pre-Harvest Plots_rpt'!$D67,Tree!$F:$F,"L",Tree!$K:$K,"&lt;&gt;"&amp;"Y"))</f>
        <v/>
      </c>
      <c r="O67" s="122" t="str">
        <f>IF(B67="","",SUMIFS(Tree!$AN:$AN,Tree!$A:$A,'Pre-Harvest Plots_rpt'!$B67,Tree!$B:$B,'Pre-Harvest Plots_rpt'!$D67,Tree!$F:$F,"L",Tree!$K:$K,"&lt;&gt;"&amp;"Y"))</f>
        <v/>
      </c>
      <c r="P67" s="122" t="str">
        <f>IF(B67="","",SUMIFS(Tree!$AO:$AO,Tree!$A:$A,'Pre-Harvest Plots_rpt'!$B67,Tree!$B:$B,'Pre-Harvest Plots_rpt'!$D67,Tree!$F:$F,"L",Tree!$K:$K,"&lt;&gt;"&amp;"Y"))</f>
        <v/>
      </c>
      <c r="Q67" s="122" t="str">
        <f>IF(B67="","",SUMIFS(Tree!$AP:$AP,Tree!$A:$A,'Pre-Harvest Plots_rpt'!$B67,Tree!$B:$B,'Pre-Harvest Plots_rpt'!$D67,Tree!$F:$F,"L",Tree!$K:$K,"&lt;&gt;"&amp;"Y"))</f>
        <v/>
      </c>
      <c r="R67" s="123" t="str">
        <f>IF(B67="","",SUMIFS(Tree!$AQ:$AQ,Tree!$A:$A,'Pre-Harvest Plots_rpt'!$B67,Tree!$B:$B,'Pre-Harvest Plots_rpt'!$D67,Tree!$F:$F,"L",Tree!$K:$K,"&lt;&gt;"&amp;"Y"))</f>
        <v/>
      </c>
      <c r="S67" s="122" t="str">
        <f>IF(B67="","",SUMIFS(Tree!$AJ:$AJ,Tree!$A:$A,'Pre-Harvest Plots_rpt'!$B67,Tree!$B:$B,'Pre-Harvest Plots_rpt'!$D67,Tree!$F:$F,"L",Tree!$K:$K,"&lt;&gt;"&amp;"Y")-O67)</f>
        <v/>
      </c>
      <c r="T67" s="122" t="str">
        <f>IF(B67="","",SUMIFS(Tree!$AK:$AK,Tree!$A:$A,'Pre-Harvest Plots_rpt'!$B67,Tree!$B:$B,'Pre-Harvest Plots_rpt'!$D67,Tree!$F:$F,"L",Tree!$K:$K,"&lt;&gt;"&amp;"Y")-P67)</f>
        <v/>
      </c>
      <c r="U67" s="122" t="str">
        <f>IF(B67="","",SUMIFS(Tree!$AL:$AL,Tree!$A:$A,'Pre-Harvest Plots_rpt'!$B67,Tree!$B:$B,'Pre-Harvest Plots_rpt'!$D67,Tree!$F:$F,"L",Tree!$K:$K,"&lt;&gt;"&amp;"Y")-Q67)</f>
        <v/>
      </c>
      <c r="V67" s="123" t="str">
        <f>IF(B67="","",ROUND(SUMIFS(Tree!$AE:$AE,Tree!$A:$A,'Pre-Harvest Plots_rpt'!$B67,Tree!$B:$B,'Pre-Harvest Plots_rpt'!$D67,Tree!$F:$F,"L",Tree!$K:$K,"&lt;&gt;"&amp;"Y")-R67,1))</f>
        <v/>
      </c>
      <c r="W67" s="124" t="str">
        <f>IF(B67="","",SUMIFS(Tree!$AY:$AY,Tree!$A:$A,'Pre-Harvest Plots_rpt'!$B67,Tree!$B:$B,'Pre-Harvest Plots_rpt'!$D67,Tree!$F:$F,"L",Tree!$K:$K,"&lt;&gt;"&amp;"Y")/1000)</f>
        <v/>
      </c>
      <c r="X67" s="158" t="str">
        <f>IF(B67="","",ROUND((SUMIFS(Tree!$AW:$AW,Tree!$A:$A,'Pre-Harvest Plots_rpt'!$B67,Tree!$B:$B,'Pre-Harvest Plots_rpt'!$D67,Tree!$F:$F,"L",Tree!$K:$K,"&lt;&gt;"&amp;"Y")/1000)-W67,1))</f>
        <v/>
      </c>
      <c r="Y67" s="135"/>
      <c r="Z67" s="161" t="str">
        <f>IF(IF(B67="","",SUMIFS(Tree!$O:$O,Tree!$A:$A,'Pre-Harvest Plots_rpt'!$B67,Tree!$B:$B,'Pre-Harvest Plots_rpt'!$D67,Tree!$F:$F,"D",Tree!$K:$K,"&lt;&gt;"&amp;"Y"))=0,"",IF(B67="","",SUMIFS(Tree!$O:$O,Tree!$A:$A,'Pre-Harvest Plots_rpt'!$B67,Tree!$B:$B,'Pre-Harvest Plots_rpt'!$D67,Tree!$F:$F,"D",Tree!$K:$K,"&lt;&gt;"&amp;"Y")))</f>
        <v/>
      </c>
      <c r="AA67" s="125" t="str">
        <f t="shared" si="3"/>
        <v/>
      </c>
      <c r="AB67" s="125" t="str">
        <f>IF(Z67="","",SUMIFS(Tree!$R:$R,Tree!$A:$A,'Pre-Harvest Plots_rpt'!$B67,Tree!$B:$B,'Pre-Harvest Plots_rpt'!$D67,Tree!$F:$F,"D",Tree!$K:$K,"&lt;&gt;"&amp;"Y"))</f>
        <v/>
      </c>
      <c r="AC67" s="126" t="str">
        <f>IF(Z67="","",SUMIFS(Tree!$AM:$AM,Tree!$A:$A,'Pre-Harvest Plots_rpt'!$B67,Tree!$B:$B,'Pre-Harvest Plots_rpt'!$D67,Tree!$F:$F,"D",Tree!$K:$K,"&lt;&gt;"&amp;"Y"))</f>
        <v/>
      </c>
      <c r="AD67" s="162" t="str">
        <f>IF(Z67="","",SUMIFS(Tree!$AW:$AW,Tree!$A:$A,'Pre-Harvest Plots_rpt'!$B67,Tree!$B:$B,'Pre-Harvest Plots_rpt'!$D67,Tree!$F:$F,"D",Tree!$K:$K,"&lt;&gt;"&amp;"Y")/1000)</f>
        <v/>
      </c>
      <c r="AE67" s="47"/>
      <c r="AF67" s="18"/>
      <c r="AG67" s="18"/>
      <c r="AH67" s="18"/>
    </row>
    <row r="68" spans="1:34" ht="12.75" customHeight="1" x14ac:dyDescent="0.25">
      <c r="A68" s="48">
        <v>65</v>
      </c>
      <c r="B68" s="171" t="str">
        <f>IF(A68&lt;=SUM(Stand!$H$3:$H$29),VLOOKUP(A68,Stand!$A$3:$C$29,3,TRUE),"")</f>
        <v/>
      </c>
      <c r="C68" s="172" t="str">
        <f t="shared" ref="C68:C131" si="4">IF(LEN(B68)&gt;0,IF(B68=B67,C67+1,1),"")</f>
        <v/>
      </c>
      <c r="D68" s="173" t="str">
        <f>IF(B68="","",VLOOKUP(B68&amp;C68,Plot!$B$2:$D$199,3,FALSE))</f>
        <v/>
      </c>
      <c r="E68" s="130"/>
      <c r="F68" s="152" t="str">
        <f>IF(B68="","",SUMIFS(Tree!$O:$O,Tree!$A:$A,'Pre-Harvest Plots_rpt'!$B68,Tree!$B:$B,'Pre-Harvest Plots_rpt'!$D68,Tree!$F:$F,"L",Tree!$K:$K,"&lt;&gt;"&amp;"Y"))</f>
        <v/>
      </c>
      <c r="G68" s="153" t="str">
        <f>IFERROR(IF(D68="","",SUMIFS(Tree!$P:$P,Tree!$A:$A,'Pre-Harvest Plots_rpt'!$B68,Tree!$B:$B,'Pre-Harvest Plots_rpt'!$D68,Tree!$K:$K,"&lt;&gt;"&amp;"Y")/$F68),"")</f>
        <v/>
      </c>
      <c r="H68" s="122" t="str">
        <f t="shared" ref="H68:H131" si="5">IF(F68=0,"",IF(F68="","",((I68/F68)/0.005454)^0.5))</f>
        <v/>
      </c>
      <c r="I68" s="121" t="str">
        <f>IF(OR($F68=0,$F68=""),"",SUMIFS(Tree!$R:$R,Tree!$A:$A,'Pre-Harvest Plots_rpt'!$B68,Tree!$B:$B,'Pre-Harvest Plots_rpt'!$D68,Tree!$F:$F,"L",Tree!$K:$K,"&lt;&gt;"&amp;"Y"))</f>
        <v/>
      </c>
      <c r="J68" s="121" t="str">
        <f>IF(OR($F68=0,$F68=""),"",IF(SUMIFS(Tree!$W:$W,Tree!$A:$A,'Pre-Harvest Plots_rpt'!$B68,Tree!$B:$B,'Pre-Harvest Plots_rpt'!$D68,Tree!$F:$F,"L",Tree!$K:$K,"&lt;&gt;"&amp;"Y")=0,0,AVERAGEIFS(Tree!$W:$W,Tree!$A:$A,'Pre-Harvest Plots_rpt'!$B68,Tree!$B:$B,'Pre-Harvest Plots_rpt'!$D68,Tree!$F:$F,"L",Tree!$K:$K,"&lt;&gt;"&amp;"Y")))</f>
        <v/>
      </c>
      <c r="K68" s="121" t="str">
        <f>IF($F68="","",SUMIFS(Tree!$S:$S,Tree!$A:$A,'Pre-Harvest Plots_rpt'!$B68,Tree!$B:$B,'Pre-Harvest Plots_rpt'!$D68,Tree!$F:$F,"L",Tree!$K:$K,"&lt;&gt;"&amp;"Y"))</f>
        <v/>
      </c>
      <c r="L68" s="154" t="str">
        <f t="shared" ref="L68:L131" si="6">IF($F68="","",IF(D68=0,0,I68/(H68^0.5)))</f>
        <v/>
      </c>
      <c r="M68" s="135"/>
      <c r="N68" s="192" t="str">
        <f>IF(B68="","",SUMIFS(Tree!$AM:$AM,Tree!$A:$A,'Pre-Harvest Plots_rpt'!$B68,Tree!$B:$B,'Pre-Harvest Plots_rpt'!$D68,Tree!$F:$F,"L",Tree!$K:$K,"&lt;&gt;"&amp;"Y"))</f>
        <v/>
      </c>
      <c r="O68" s="122" t="str">
        <f>IF(B68="","",SUMIFS(Tree!$AN:$AN,Tree!$A:$A,'Pre-Harvest Plots_rpt'!$B68,Tree!$B:$B,'Pre-Harvest Plots_rpt'!$D68,Tree!$F:$F,"L",Tree!$K:$K,"&lt;&gt;"&amp;"Y"))</f>
        <v/>
      </c>
      <c r="P68" s="122" t="str">
        <f>IF(B68="","",SUMIFS(Tree!$AO:$AO,Tree!$A:$A,'Pre-Harvest Plots_rpt'!$B68,Tree!$B:$B,'Pre-Harvest Plots_rpt'!$D68,Tree!$F:$F,"L",Tree!$K:$K,"&lt;&gt;"&amp;"Y"))</f>
        <v/>
      </c>
      <c r="Q68" s="122" t="str">
        <f>IF(B68="","",SUMIFS(Tree!$AP:$AP,Tree!$A:$A,'Pre-Harvest Plots_rpt'!$B68,Tree!$B:$B,'Pre-Harvest Plots_rpt'!$D68,Tree!$F:$F,"L",Tree!$K:$K,"&lt;&gt;"&amp;"Y"))</f>
        <v/>
      </c>
      <c r="R68" s="123" t="str">
        <f>IF(B68="","",SUMIFS(Tree!$AQ:$AQ,Tree!$A:$A,'Pre-Harvest Plots_rpt'!$B68,Tree!$B:$B,'Pre-Harvest Plots_rpt'!$D68,Tree!$F:$F,"L",Tree!$K:$K,"&lt;&gt;"&amp;"Y"))</f>
        <v/>
      </c>
      <c r="S68" s="122" t="str">
        <f>IF(B68="","",SUMIFS(Tree!$AJ:$AJ,Tree!$A:$A,'Pre-Harvest Plots_rpt'!$B68,Tree!$B:$B,'Pre-Harvest Plots_rpt'!$D68,Tree!$F:$F,"L",Tree!$K:$K,"&lt;&gt;"&amp;"Y")-O68)</f>
        <v/>
      </c>
      <c r="T68" s="122" t="str">
        <f>IF(B68="","",SUMIFS(Tree!$AK:$AK,Tree!$A:$A,'Pre-Harvest Plots_rpt'!$B68,Tree!$B:$B,'Pre-Harvest Plots_rpt'!$D68,Tree!$F:$F,"L",Tree!$K:$K,"&lt;&gt;"&amp;"Y")-P68)</f>
        <v/>
      </c>
      <c r="U68" s="122" t="str">
        <f>IF(B68="","",SUMIFS(Tree!$AL:$AL,Tree!$A:$A,'Pre-Harvest Plots_rpt'!$B68,Tree!$B:$B,'Pre-Harvest Plots_rpt'!$D68,Tree!$F:$F,"L",Tree!$K:$K,"&lt;&gt;"&amp;"Y")-Q68)</f>
        <v/>
      </c>
      <c r="V68" s="123" t="str">
        <f>IF(B68="","",ROUND(SUMIFS(Tree!$AE:$AE,Tree!$A:$A,'Pre-Harvest Plots_rpt'!$B68,Tree!$B:$B,'Pre-Harvest Plots_rpt'!$D68,Tree!$F:$F,"L",Tree!$K:$K,"&lt;&gt;"&amp;"Y")-R68,1))</f>
        <v/>
      </c>
      <c r="W68" s="124" t="str">
        <f>IF(B68="","",SUMIFS(Tree!$AY:$AY,Tree!$A:$A,'Pre-Harvest Plots_rpt'!$B68,Tree!$B:$B,'Pre-Harvest Plots_rpt'!$D68,Tree!$F:$F,"L",Tree!$K:$K,"&lt;&gt;"&amp;"Y")/1000)</f>
        <v/>
      </c>
      <c r="X68" s="158" t="str">
        <f>IF(B68="","",ROUND((SUMIFS(Tree!$AW:$AW,Tree!$A:$A,'Pre-Harvest Plots_rpt'!$B68,Tree!$B:$B,'Pre-Harvest Plots_rpt'!$D68,Tree!$F:$F,"L",Tree!$K:$K,"&lt;&gt;"&amp;"Y")/1000)-W68,1))</f>
        <v/>
      </c>
      <c r="Y68" s="135"/>
      <c r="Z68" s="161" t="str">
        <f>IF(IF(B68="","",SUMIFS(Tree!$O:$O,Tree!$A:$A,'Pre-Harvest Plots_rpt'!$B68,Tree!$B:$B,'Pre-Harvest Plots_rpt'!$D68,Tree!$F:$F,"D",Tree!$K:$K,"&lt;&gt;"&amp;"Y"))=0,"",IF(B68="","",SUMIFS(Tree!$O:$O,Tree!$A:$A,'Pre-Harvest Plots_rpt'!$B68,Tree!$B:$B,'Pre-Harvest Plots_rpt'!$D68,Tree!$F:$F,"D",Tree!$K:$K,"&lt;&gt;"&amp;"Y")))</f>
        <v/>
      </c>
      <c r="AA68" s="125" t="str">
        <f t="shared" ref="AA68:AA131" si="7">IF(Z68="","",IF(Z68="","",((AB68/Z68)/0.005454)^0.5))</f>
        <v/>
      </c>
      <c r="AB68" s="125" t="str">
        <f>IF(Z68="","",SUMIFS(Tree!$R:$R,Tree!$A:$A,'Pre-Harvest Plots_rpt'!$B68,Tree!$B:$B,'Pre-Harvest Plots_rpt'!$D68,Tree!$F:$F,"D",Tree!$K:$K,"&lt;&gt;"&amp;"Y"))</f>
        <v/>
      </c>
      <c r="AC68" s="126" t="str">
        <f>IF(Z68="","",SUMIFS(Tree!$AM:$AM,Tree!$A:$A,'Pre-Harvest Plots_rpt'!$B68,Tree!$B:$B,'Pre-Harvest Plots_rpt'!$D68,Tree!$F:$F,"D",Tree!$K:$K,"&lt;&gt;"&amp;"Y"))</f>
        <v/>
      </c>
      <c r="AD68" s="162" t="str">
        <f>IF(Z68="","",SUMIFS(Tree!$AW:$AW,Tree!$A:$A,'Pre-Harvest Plots_rpt'!$B68,Tree!$B:$B,'Pre-Harvest Plots_rpt'!$D68,Tree!$F:$F,"D",Tree!$K:$K,"&lt;&gt;"&amp;"Y")/1000)</f>
        <v/>
      </c>
      <c r="AE68" s="47"/>
      <c r="AF68" s="18"/>
      <c r="AG68" s="18"/>
      <c r="AH68" s="18"/>
    </row>
    <row r="69" spans="1:34" ht="12.75" customHeight="1" x14ac:dyDescent="0.25">
      <c r="A69" s="48">
        <v>66</v>
      </c>
      <c r="B69" s="171" t="str">
        <f>IF(A69&lt;=SUM(Stand!$H$3:$H$29),VLOOKUP(A69,Stand!$A$3:$C$29,3,TRUE),"")</f>
        <v/>
      </c>
      <c r="C69" s="172" t="str">
        <f t="shared" si="4"/>
        <v/>
      </c>
      <c r="D69" s="173" t="str">
        <f>IF(B69="","",VLOOKUP(B69&amp;C69,Plot!$B$2:$D$199,3,FALSE))</f>
        <v/>
      </c>
      <c r="E69" s="130"/>
      <c r="F69" s="152" t="str">
        <f>IF(B69="","",SUMIFS(Tree!$O:$O,Tree!$A:$A,'Pre-Harvest Plots_rpt'!$B69,Tree!$B:$B,'Pre-Harvest Plots_rpt'!$D69,Tree!$F:$F,"L",Tree!$K:$K,"&lt;&gt;"&amp;"Y"))</f>
        <v/>
      </c>
      <c r="G69" s="153" t="str">
        <f>IFERROR(IF(D69="","",SUMIFS(Tree!$P:$P,Tree!$A:$A,'Pre-Harvest Plots_rpt'!$B69,Tree!$B:$B,'Pre-Harvest Plots_rpt'!$D69,Tree!$K:$K,"&lt;&gt;"&amp;"Y")/$F69),"")</f>
        <v/>
      </c>
      <c r="H69" s="122" t="str">
        <f t="shared" si="5"/>
        <v/>
      </c>
      <c r="I69" s="121" t="str">
        <f>IF(OR($F69=0,$F69=""),"",SUMIFS(Tree!$R:$R,Tree!$A:$A,'Pre-Harvest Plots_rpt'!$B69,Tree!$B:$B,'Pre-Harvest Plots_rpt'!$D69,Tree!$F:$F,"L",Tree!$K:$K,"&lt;&gt;"&amp;"Y"))</f>
        <v/>
      </c>
      <c r="J69" s="121" t="str">
        <f>IF(OR($F69=0,$F69=""),"",IF(SUMIFS(Tree!$W:$W,Tree!$A:$A,'Pre-Harvest Plots_rpt'!$B69,Tree!$B:$B,'Pre-Harvest Plots_rpt'!$D69,Tree!$F:$F,"L",Tree!$K:$K,"&lt;&gt;"&amp;"Y")=0,0,AVERAGEIFS(Tree!$W:$W,Tree!$A:$A,'Pre-Harvest Plots_rpt'!$B69,Tree!$B:$B,'Pre-Harvest Plots_rpt'!$D69,Tree!$F:$F,"L",Tree!$K:$K,"&lt;&gt;"&amp;"Y")))</f>
        <v/>
      </c>
      <c r="K69" s="121" t="str">
        <f>IF($F69="","",SUMIFS(Tree!$S:$S,Tree!$A:$A,'Pre-Harvest Plots_rpt'!$B69,Tree!$B:$B,'Pre-Harvest Plots_rpt'!$D69,Tree!$F:$F,"L",Tree!$K:$K,"&lt;&gt;"&amp;"Y"))</f>
        <v/>
      </c>
      <c r="L69" s="154" t="str">
        <f t="shared" si="6"/>
        <v/>
      </c>
      <c r="M69" s="135"/>
      <c r="N69" s="192" t="str">
        <f>IF(B69="","",SUMIFS(Tree!$AM:$AM,Tree!$A:$A,'Pre-Harvest Plots_rpt'!$B69,Tree!$B:$B,'Pre-Harvest Plots_rpt'!$D69,Tree!$F:$F,"L",Tree!$K:$K,"&lt;&gt;"&amp;"Y"))</f>
        <v/>
      </c>
      <c r="O69" s="122" t="str">
        <f>IF(B69="","",SUMIFS(Tree!$AN:$AN,Tree!$A:$A,'Pre-Harvest Plots_rpt'!$B69,Tree!$B:$B,'Pre-Harvest Plots_rpt'!$D69,Tree!$F:$F,"L",Tree!$K:$K,"&lt;&gt;"&amp;"Y"))</f>
        <v/>
      </c>
      <c r="P69" s="122" t="str">
        <f>IF(B69="","",SUMIFS(Tree!$AO:$AO,Tree!$A:$A,'Pre-Harvest Plots_rpt'!$B69,Tree!$B:$B,'Pre-Harvest Plots_rpt'!$D69,Tree!$F:$F,"L",Tree!$K:$K,"&lt;&gt;"&amp;"Y"))</f>
        <v/>
      </c>
      <c r="Q69" s="122" t="str">
        <f>IF(B69="","",SUMIFS(Tree!$AP:$AP,Tree!$A:$A,'Pre-Harvest Plots_rpt'!$B69,Tree!$B:$B,'Pre-Harvest Plots_rpt'!$D69,Tree!$F:$F,"L",Tree!$K:$K,"&lt;&gt;"&amp;"Y"))</f>
        <v/>
      </c>
      <c r="R69" s="123" t="str">
        <f>IF(B69="","",SUMIFS(Tree!$AQ:$AQ,Tree!$A:$A,'Pre-Harvest Plots_rpt'!$B69,Tree!$B:$B,'Pre-Harvest Plots_rpt'!$D69,Tree!$F:$F,"L",Tree!$K:$K,"&lt;&gt;"&amp;"Y"))</f>
        <v/>
      </c>
      <c r="S69" s="122" t="str">
        <f>IF(B69="","",SUMIFS(Tree!$AJ:$AJ,Tree!$A:$A,'Pre-Harvest Plots_rpt'!$B69,Tree!$B:$B,'Pre-Harvest Plots_rpt'!$D69,Tree!$F:$F,"L",Tree!$K:$K,"&lt;&gt;"&amp;"Y")-O69)</f>
        <v/>
      </c>
      <c r="T69" s="122" t="str">
        <f>IF(B69="","",SUMIFS(Tree!$AK:$AK,Tree!$A:$A,'Pre-Harvest Plots_rpt'!$B69,Tree!$B:$B,'Pre-Harvest Plots_rpt'!$D69,Tree!$F:$F,"L",Tree!$K:$K,"&lt;&gt;"&amp;"Y")-P69)</f>
        <v/>
      </c>
      <c r="U69" s="122" t="str">
        <f>IF(B69="","",SUMIFS(Tree!$AL:$AL,Tree!$A:$A,'Pre-Harvest Plots_rpt'!$B69,Tree!$B:$B,'Pre-Harvest Plots_rpt'!$D69,Tree!$F:$F,"L",Tree!$K:$K,"&lt;&gt;"&amp;"Y")-Q69)</f>
        <v/>
      </c>
      <c r="V69" s="123" t="str">
        <f>IF(B69="","",ROUND(SUMIFS(Tree!$AE:$AE,Tree!$A:$A,'Pre-Harvest Plots_rpt'!$B69,Tree!$B:$B,'Pre-Harvest Plots_rpt'!$D69,Tree!$F:$F,"L",Tree!$K:$K,"&lt;&gt;"&amp;"Y")-R69,1))</f>
        <v/>
      </c>
      <c r="W69" s="124" t="str">
        <f>IF(B69="","",SUMIFS(Tree!$AY:$AY,Tree!$A:$A,'Pre-Harvest Plots_rpt'!$B69,Tree!$B:$B,'Pre-Harvest Plots_rpt'!$D69,Tree!$F:$F,"L",Tree!$K:$K,"&lt;&gt;"&amp;"Y")/1000)</f>
        <v/>
      </c>
      <c r="X69" s="158" t="str">
        <f>IF(B69="","",ROUND((SUMIFS(Tree!$AW:$AW,Tree!$A:$A,'Pre-Harvest Plots_rpt'!$B69,Tree!$B:$B,'Pre-Harvest Plots_rpt'!$D69,Tree!$F:$F,"L",Tree!$K:$K,"&lt;&gt;"&amp;"Y")/1000)-W69,1))</f>
        <v/>
      </c>
      <c r="Y69" s="135"/>
      <c r="Z69" s="161" t="str">
        <f>IF(IF(B69="","",SUMIFS(Tree!$O:$O,Tree!$A:$A,'Pre-Harvest Plots_rpt'!$B69,Tree!$B:$B,'Pre-Harvest Plots_rpt'!$D69,Tree!$F:$F,"D",Tree!$K:$K,"&lt;&gt;"&amp;"Y"))=0,"",IF(B69="","",SUMIFS(Tree!$O:$O,Tree!$A:$A,'Pre-Harvest Plots_rpt'!$B69,Tree!$B:$B,'Pre-Harvest Plots_rpt'!$D69,Tree!$F:$F,"D",Tree!$K:$K,"&lt;&gt;"&amp;"Y")))</f>
        <v/>
      </c>
      <c r="AA69" s="125" t="str">
        <f t="shared" si="7"/>
        <v/>
      </c>
      <c r="AB69" s="125" t="str">
        <f>IF(Z69="","",SUMIFS(Tree!$R:$R,Tree!$A:$A,'Pre-Harvest Plots_rpt'!$B69,Tree!$B:$B,'Pre-Harvest Plots_rpt'!$D69,Tree!$F:$F,"D",Tree!$K:$K,"&lt;&gt;"&amp;"Y"))</f>
        <v/>
      </c>
      <c r="AC69" s="126" t="str">
        <f>IF(Z69="","",SUMIFS(Tree!$AM:$AM,Tree!$A:$A,'Pre-Harvest Plots_rpt'!$B69,Tree!$B:$B,'Pre-Harvest Plots_rpt'!$D69,Tree!$F:$F,"D",Tree!$K:$K,"&lt;&gt;"&amp;"Y"))</f>
        <v/>
      </c>
      <c r="AD69" s="162" t="str">
        <f>IF(Z69="","",SUMIFS(Tree!$AW:$AW,Tree!$A:$A,'Pre-Harvest Plots_rpt'!$B69,Tree!$B:$B,'Pre-Harvest Plots_rpt'!$D69,Tree!$F:$F,"D",Tree!$K:$K,"&lt;&gt;"&amp;"Y")/1000)</f>
        <v/>
      </c>
      <c r="AE69" s="47"/>
      <c r="AF69" s="18"/>
      <c r="AG69" s="18"/>
      <c r="AH69" s="18"/>
    </row>
    <row r="70" spans="1:34" ht="12.75" customHeight="1" x14ac:dyDescent="0.25">
      <c r="A70" s="48">
        <v>67</v>
      </c>
      <c r="B70" s="171" t="str">
        <f>IF(A70&lt;=SUM(Stand!$H$3:$H$29),VLOOKUP(A70,Stand!$A$3:$C$29,3,TRUE),"")</f>
        <v/>
      </c>
      <c r="C70" s="172" t="str">
        <f t="shared" si="4"/>
        <v/>
      </c>
      <c r="D70" s="173" t="str">
        <f>IF(B70="","",VLOOKUP(B70&amp;C70,Plot!$B$2:$D$199,3,FALSE))</f>
        <v/>
      </c>
      <c r="E70" s="130"/>
      <c r="F70" s="152" t="str">
        <f>IF(B70="","",SUMIFS(Tree!$O:$O,Tree!$A:$A,'Pre-Harvest Plots_rpt'!$B70,Tree!$B:$B,'Pre-Harvest Plots_rpt'!$D70,Tree!$F:$F,"L",Tree!$K:$K,"&lt;&gt;"&amp;"Y"))</f>
        <v/>
      </c>
      <c r="G70" s="153" t="str">
        <f>IFERROR(IF(D70="","",SUMIFS(Tree!$P:$P,Tree!$A:$A,'Pre-Harvest Plots_rpt'!$B70,Tree!$B:$B,'Pre-Harvest Plots_rpt'!$D70,Tree!$K:$K,"&lt;&gt;"&amp;"Y")/$F70),"")</f>
        <v/>
      </c>
      <c r="H70" s="122" t="str">
        <f t="shared" si="5"/>
        <v/>
      </c>
      <c r="I70" s="121" t="str">
        <f>IF(OR($F70=0,$F70=""),"",SUMIFS(Tree!$R:$R,Tree!$A:$A,'Pre-Harvest Plots_rpt'!$B70,Tree!$B:$B,'Pre-Harvest Plots_rpt'!$D70,Tree!$F:$F,"L",Tree!$K:$K,"&lt;&gt;"&amp;"Y"))</f>
        <v/>
      </c>
      <c r="J70" s="121" t="str">
        <f>IF(OR($F70=0,$F70=""),"",IF(SUMIFS(Tree!$W:$W,Tree!$A:$A,'Pre-Harvest Plots_rpt'!$B70,Tree!$B:$B,'Pre-Harvest Plots_rpt'!$D70,Tree!$F:$F,"L",Tree!$K:$K,"&lt;&gt;"&amp;"Y")=0,0,AVERAGEIFS(Tree!$W:$W,Tree!$A:$A,'Pre-Harvest Plots_rpt'!$B70,Tree!$B:$B,'Pre-Harvest Plots_rpt'!$D70,Tree!$F:$F,"L",Tree!$K:$K,"&lt;&gt;"&amp;"Y")))</f>
        <v/>
      </c>
      <c r="K70" s="121" t="str">
        <f>IF($F70="","",SUMIFS(Tree!$S:$S,Tree!$A:$A,'Pre-Harvest Plots_rpt'!$B70,Tree!$B:$B,'Pre-Harvest Plots_rpt'!$D70,Tree!$F:$F,"L",Tree!$K:$K,"&lt;&gt;"&amp;"Y"))</f>
        <v/>
      </c>
      <c r="L70" s="154" t="str">
        <f t="shared" si="6"/>
        <v/>
      </c>
      <c r="M70" s="135"/>
      <c r="N70" s="192" t="str">
        <f>IF(B70="","",SUMIFS(Tree!$AM:$AM,Tree!$A:$A,'Pre-Harvest Plots_rpt'!$B70,Tree!$B:$B,'Pre-Harvest Plots_rpt'!$D70,Tree!$F:$F,"L",Tree!$K:$K,"&lt;&gt;"&amp;"Y"))</f>
        <v/>
      </c>
      <c r="O70" s="122" t="str">
        <f>IF(B70="","",SUMIFS(Tree!$AN:$AN,Tree!$A:$A,'Pre-Harvest Plots_rpt'!$B70,Tree!$B:$B,'Pre-Harvest Plots_rpt'!$D70,Tree!$F:$F,"L",Tree!$K:$K,"&lt;&gt;"&amp;"Y"))</f>
        <v/>
      </c>
      <c r="P70" s="122" t="str">
        <f>IF(B70="","",SUMIFS(Tree!$AO:$AO,Tree!$A:$A,'Pre-Harvest Plots_rpt'!$B70,Tree!$B:$B,'Pre-Harvest Plots_rpt'!$D70,Tree!$F:$F,"L",Tree!$K:$K,"&lt;&gt;"&amp;"Y"))</f>
        <v/>
      </c>
      <c r="Q70" s="122" t="str">
        <f>IF(B70="","",SUMIFS(Tree!$AP:$AP,Tree!$A:$A,'Pre-Harvest Plots_rpt'!$B70,Tree!$B:$B,'Pre-Harvest Plots_rpt'!$D70,Tree!$F:$F,"L",Tree!$K:$K,"&lt;&gt;"&amp;"Y"))</f>
        <v/>
      </c>
      <c r="R70" s="123" t="str">
        <f>IF(B70="","",SUMIFS(Tree!$AQ:$AQ,Tree!$A:$A,'Pre-Harvest Plots_rpt'!$B70,Tree!$B:$B,'Pre-Harvest Plots_rpt'!$D70,Tree!$F:$F,"L",Tree!$K:$K,"&lt;&gt;"&amp;"Y"))</f>
        <v/>
      </c>
      <c r="S70" s="122" t="str">
        <f>IF(B70="","",SUMIFS(Tree!$AJ:$AJ,Tree!$A:$A,'Pre-Harvest Plots_rpt'!$B70,Tree!$B:$B,'Pre-Harvest Plots_rpt'!$D70,Tree!$F:$F,"L",Tree!$K:$K,"&lt;&gt;"&amp;"Y")-O70)</f>
        <v/>
      </c>
      <c r="T70" s="122" t="str">
        <f>IF(B70="","",SUMIFS(Tree!$AK:$AK,Tree!$A:$A,'Pre-Harvest Plots_rpt'!$B70,Tree!$B:$B,'Pre-Harvest Plots_rpt'!$D70,Tree!$F:$F,"L",Tree!$K:$K,"&lt;&gt;"&amp;"Y")-P70)</f>
        <v/>
      </c>
      <c r="U70" s="122" t="str">
        <f>IF(B70="","",SUMIFS(Tree!$AL:$AL,Tree!$A:$A,'Pre-Harvest Plots_rpt'!$B70,Tree!$B:$B,'Pre-Harvest Plots_rpt'!$D70,Tree!$F:$F,"L",Tree!$K:$K,"&lt;&gt;"&amp;"Y")-Q70)</f>
        <v/>
      </c>
      <c r="V70" s="123" t="str">
        <f>IF(B70="","",ROUND(SUMIFS(Tree!$AE:$AE,Tree!$A:$A,'Pre-Harvest Plots_rpt'!$B70,Tree!$B:$B,'Pre-Harvest Plots_rpt'!$D70,Tree!$F:$F,"L",Tree!$K:$K,"&lt;&gt;"&amp;"Y")-R70,1))</f>
        <v/>
      </c>
      <c r="W70" s="124" t="str">
        <f>IF(B70="","",SUMIFS(Tree!$AY:$AY,Tree!$A:$A,'Pre-Harvest Plots_rpt'!$B70,Tree!$B:$B,'Pre-Harvest Plots_rpt'!$D70,Tree!$F:$F,"L",Tree!$K:$K,"&lt;&gt;"&amp;"Y")/1000)</f>
        <v/>
      </c>
      <c r="X70" s="158" t="str">
        <f>IF(B70="","",ROUND((SUMIFS(Tree!$AW:$AW,Tree!$A:$A,'Pre-Harvest Plots_rpt'!$B70,Tree!$B:$B,'Pre-Harvest Plots_rpt'!$D70,Tree!$F:$F,"L",Tree!$K:$K,"&lt;&gt;"&amp;"Y")/1000)-W70,1))</f>
        <v/>
      </c>
      <c r="Y70" s="135"/>
      <c r="Z70" s="161" t="str">
        <f>IF(IF(B70="","",SUMIFS(Tree!$O:$O,Tree!$A:$A,'Pre-Harvest Plots_rpt'!$B70,Tree!$B:$B,'Pre-Harvest Plots_rpt'!$D70,Tree!$F:$F,"D",Tree!$K:$K,"&lt;&gt;"&amp;"Y"))=0,"",IF(B70="","",SUMIFS(Tree!$O:$O,Tree!$A:$A,'Pre-Harvest Plots_rpt'!$B70,Tree!$B:$B,'Pre-Harvest Plots_rpt'!$D70,Tree!$F:$F,"D",Tree!$K:$K,"&lt;&gt;"&amp;"Y")))</f>
        <v/>
      </c>
      <c r="AA70" s="125" t="str">
        <f t="shared" si="7"/>
        <v/>
      </c>
      <c r="AB70" s="125" t="str">
        <f>IF(Z70="","",SUMIFS(Tree!$R:$R,Tree!$A:$A,'Pre-Harvest Plots_rpt'!$B70,Tree!$B:$B,'Pre-Harvest Plots_rpt'!$D70,Tree!$F:$F,"D",Tree!$K:$K,"&lt;&gt;"&amp;"Y"))</f>
        <v/>
      </c>
      <c r="AC70" s="126" t="str">
        <f>IF(Z70="","",SUMIFS(Tree!$AM:$AM,Tree!$A:$A,'Pre-Harvest Plots_rpt'!$B70,Tree!$B:$B,'Pre-Harvest Plots_rpt'!$D70,Tree!$F:$F,"D",Tree!$K:$K,"&lt;&gt;"&amp;"Y"))</f>
        <v/>
      </c>
      <c r="AD70" s="162" t="str">
        <f>IF(Z70="","",SUMIFS(Tree!$AW:$AW,Tree!$A:$A,'Pre-Harvest Plots_rpt'!$B70,Tree!$B:$B,'Pre-Harvest Plots_rpt'!$D70,Tree!$F:$F,"D",Tree!$K:$K,"&lt;&gt;"&amp;"Y")/1000)</f>
        <v/>
      </c>
      <c r="AE70" s="47"/>
      <c r="AF70" s="18"/>
      <c r="AG70" s="18"/>
      <c r="AH70" s="18"/>
    </row>
    <row r="71" spans="1:34" ht="12.75" customHeight="1" x14ac:dyDescent="0.25">
      <c r="A71" s="48">
        <v>68</v>
      </c>
      <c r="B71" s="171" t="str">
        <f>IF(A71&lt;=SUM(Stand!$H$3:$H$29),VLOOKUP(A71,Stand!$A$3:$C$29,3,TRUE),"")</f>
        <v/>
      </c>
      <c r="C71" s="172" t="str">
        <f t="shared" si="4"/>
        <v/>
      </c>
      <c r="D71" s="173" t="str">
        <f>IF(B71="","",VLOOKUP(B71&amp;C71,Plot!$B$2:$D$199,3,FALSE))</f>
        <v/>
      </c>
      <c r="E71" s="130"/>
      <c r="F71" s="152" t="str">
        <f>IF(B71="","",SUMIFS(Tree!$O:$O,Tree!$A:$A,'Pre-Harvest Plots_rpt'!$B71,Tree!$B:$B,'Pre-Harvest Plots_rpt'!$D71,Tree!$F:$F,"L",Tree!$K:$K,"&lt;&gt;"&amp;"Y"))</f>
        <v/>
      </c>
      <c r="G71" s="153" t="str">
        <f>IFERROR(IF(D71="","",SUMIFS(Tree!$P:$P,Tree!$A:$A,'Pre-Harvest Plots_rpt'!$B71,Tree!$B:$B,'Pre-Harvest Plots_rpt'!$D71,Tree!$K:$K,"&lt;&gt;"&amp;"Y")/$F71),"")</f>
        <v/>
      </c>
      <c r="H71" s="122" t="str">
        <f t="shared" si="5"/>
        <v/>
      </c>
      <c r="I71" s="121" t="str">
        <f>IF(OR($F71=0,$F71=""),"",SUMIFS(Tree!$R:$R,Tree!$A:$A,'Pre-Harvest Plots_rpt'!$B71,Tree!$B:$B,'Pre-Harvest Plots_rpt'!$D71,Tree!$F:$F,"L",Tree!$K:$K,"&lt;&gt;"&amp;"Y"))</f>
        <v/>
      </c>
      <c r="J71" s="121" t="str">
        <f>IF(OR($F71=0,$F71=""),"",IF(SUMIFS(Tree!$W:$W,Tree!$A:$A,'Pre-Harvest Plots_rpt'!$B71,Tree!$B:$B,'Pre-Harvest Plots_rpt'!$D71,Tree!$F:$F,"L",Tree!$K:$K,"&lt;&gt;"&amp;"Y")=0,0,AVERAGEIFS(Tree!$W:$W,Tree!$A:$A,'Pre-Harvest Plots_rpt'!$B71,Tree!$B:$B,'Pre-Harvest Plots_rpt'!$D71,Tree!$F:$F,"L",Tree!$K:$K,"&lt;&gt;"&amp;"Y")))</f>
        <v/>
      </c>
      <c r="K71" s="121" t="str">
        <f>IF($F71="","",SUMIFS(Tree!$S:$S,Tree!$A:$A,'Pre-Harvest Plots_rpt'!$B71,Tree!$B:$B,'Pre-Harvest Plots_rpt'!$D71,Tree!$F:$F,"L",Tree!$K:$K,"&lt;&gt;"&amp;"Y"))</f>
        <v/>
      </c>
      <c r="L71" s="154" t="str">
        <f t="shared" si="6"/>
        <v/>
      </c>
      <c r="M71" s="135"/>
      <c r="N71" s="192" t="str">
        <f>IF(B71="","",SUMIFS(Tree!$AM:$AM,Tree!$A:$A,'Pre-Harvest Plots_rpt'!$B71,Tree!$B:$B,'Pre-Harvest Plots_rpt'!$D71,Tree!$F:$F,"L",Tree!$K:$K,"&lt;&gt;"&amp;"Y"))</f>
        <v/>
      </c>
      <c r="O71" s="122" t="str">
        <f>IF(B71="","",SUMIFS(Tree!$AN:$AN,Tree!$A:$A,'Pre-Harvest Plots_rpt'!$B71,Tree!$B:$B,'Pre-Harvest Plots_rpt'!$D71,Tree!$F:$F,"L",Tree!$K:$K,"&lt;&gt;"&amp;"Y"))</f>
        <v/>
      </c>
      <c r="P71" s="122" t="str">
        <f>IF(B71="","",SUMIFS(Tree!$AO:$AO,Tree!$A:$A,'Pre-Harvest Plots_rpt'!$B71,Tree!$B:$B,'Pre-Harvest Plots_rpt'!$D71,Tree!$F:$F,"L",Tree!$K:$K,"&lt;&gt;"&amp;"Y"))</f>
        <v/>
      </c>
      <c r="Q71" s="122" t="str">
        <f>IF(B71="","",SUMIFS(Tree!$AP:$AP,Tree!$A:$A,'Pre-Harvest Plots_rpt'!$B71,Tree!$B:$B,'Pre-Harvest Plots_rpt'!$D71,Tree!$F:$F,"L",Tree!$K:$K,"&lt;&gt;"&amp;"Y"))</f>
        <v/>
      </c>
      <c r="R71" s="123" t="str">
        <f>IF(B71="","",SUMIFS(Tree!$AQ:$AQ,Tree!$A:$A,'Pre-Harvest Plots_rpt'!$B71,Tree!$B:$B,'Pre-Harvest Plots_rpt'!$D71,Tree!$F:$F,"L",Tree!$K:$K,"&lt;&gt;"&amp;"Y"))</f>
        <v/>
      </c>
      <c r="S71" s="122" t="str">
        <f>IF(B71="","",SUMIFS(Tree!$AJ:$AJ,Tree!$A:$A,'Pre-Harvest Plots_rpt'!$B71,Tree!$B:$B,'Pre-Harvest Plots_rpt'!$D71,Tree!$F:$F,"L",Tree!$K:$K,"&lt;&gt;"&amp;"Y")-O71)</f>
        <v/>
      </c>
      <c r="T71" s="122" t="str">
        <f>IF(B71="","",SUMIFS(Tree!$AK:$AK,Tree!$A:$A,'Pre-Harvest Plots_rpt'!$B71,Tree!$B:$B,'Pre-Harvest Plots_rpt'!$D71,Tree!$F:$F,"L",Tree!$K:$K,"&lt;&gt;"&amp;"Y")-P71)</f>
        <v/>
      </c>
      <c r="U71" s="122" t="str">
        <f>IF(B71="","",SUMIFS(Tree!$AL:$AL,Tree!$A:$A,'Pre-Harvest Plots_rpt'!$B71,Tree!$B:$B,'Pre-Harvest Plots_rpt'!$D71,Tree!$F:$F,"L",Tree!$K:$K,"&lt;&gt;"&amp;"Y")-Q71)</f>
        <v/>
      </c>
      <c r="V71" s="123" t="str">
        <f>IF(B71="","",ROUND(SUMIFS(Tree!$AE:$AE,Tree!$A:$A,'Pre-Harvest Plots_rpt'!$B71,Tree!$B:$B,'Pre-Harvest Plots_rpt'!$D71,Tree!$F:$F,"L",Tree!$K:$K,"&lt;&gt;"&amp;"Y")-R71,1))</f>
        <v/>
      </c>
      <c r="W71" s="124" t="str">
        <f>IF(B71="","",SUMIFS(Tree!$AY:$AY,Tree!$A:$A,'Pre-Harvest Plots_rpt'!$B71,Tree!$B:$B,'Pre-Harvest Plots_rpt'!$D71,Tree!$F:$F,"L",Tree!$K:$K,"&lt;&gt;"&amp;"Y")/1000)</f>
        <v/>
      </c>
      <c r="X71" s="158" t="str">
        <f>IF(B71="","",ROUND((SUMIFS(Tree!$AW:$AW,Tree!$A:$A,'Pre-Harvest Plots_rpt'!$B71,Tree!$B:$B,'Pre-Harvest Plots_rpt'!$D71,Tree!$F:$F,"L",Tree!$K:$K,"&lt;&gt;"&amp;"Y")/1000)-W71,1))</f>
        <v/>
      </c>
      <c r="Y71" s="135"/>
      <c r="Z71" s="161" t="str">
        <f>IF(IF(B71="","",SUMIFS(Tree!$O:$O,Tree!$A:$A,'Pre-Harvest Plots_rpt'!$B71,Tree!$B:$B,'Pre-Harvest Plots_rpt'!$D71,Tree!$F:$F,"D",Tree!$K:$K,"&lt;&gt;"&amp;"Y"))=0,"",IF(B71="","",SUMIFS(Tree!$O:$O,Tree!$A:$A,'Pre-Harvest Plots_rpt'!$B71,Tree!$B:$B,'Pre-Harvest Plots_rpt'!$D71,Tree!$F:$F,"D",Tree!$K:$K,"&lt;&gt;"&amp;"Y")))</f>
        <v/>
      </c>
      <c r="AA71" s="125" t="str">
        <f t="shared" si="7"/>
        <v/>
      </c>
      <c r="AB71" s="125" t="str">
        <f>IF(Z71="","",SUMIFS(Tree!$R:$R,Tree!$A:$A,'Pre-Harvest Plots_rpt'!$B71,Tree!$B:$B,'Pre-Harvest Plots_rpt'!$D71,Tree!$F:$F,"D",Tree!$K:$K,"&lt;&gt;"&amp;"Y"))</f>
        <v/>
      </c>
      <c r="AC71" s="126" t="str">
        <f>IF(Z71="","",SUMIFS(Tree!$AM:$AM,Tree!$A:$A,'Pre-Harvest Plots_rpt'!$B71,Tree!$B:$B,'Pre-Harvest Plots_rpt'!$D71,Tree!$F:$F,"D",Tree!$K:$K,"&lt;&gt;"&amp;"Y"))</f>
        <v/>
      </c>
      <c r="AD71" s="162" t="str">
        <f>IF(Z71="","",SUMIFS(Tree!$AW:$AW,Tree!$A:$A,'Pre-Harvest Plots_rpt'!$B71,Tree!$B:$B,'Pre-Harvest Plots_rpt'!$D71,Tree!$F:$F,"D",Tree!$K:$K,"&lt;&gt;"&amp;"Y")/1000)</f>
        <v/>
      </c>
      <c r="AE71" s="47"/>
      <c r="AF71" s="18"/>
      <c r="AG71" s="18"/>
      <c r="AH71" s="18"/>
    </row>
    <row r="72" spans="1:34" ht="12.75" customHeight="1" x14ac:dyDescent="0.25">
      <c r="A72" s="48">
        <v>69</v>
      </c>
      <c r="B72" s="171" t="str">
        <f>IF(A72&lt;=SUM(Stand!$H$3:$H$29),VLOOKUP(A72,Stand!$A$3:$C$29,3,TRUE),"")</f>
        <v/>
      </c>
      <c r="C72" s="172" t="str">
        <f t="shared" si="4"/>
        <v/>
      </c>
      <c r="D72" s="173" t="str">
        <f>IF(B72="","",VLOOKUP(B72&amp;C72,Plot!$B$2:$D$199,3,FALSE))</f>
        <v/>
      </c>
      <c r="E72" s="130"/>
      <c r="F72" s="152" t="str">
        <f>IF(B72="","",SUMIFS(Tree!$O:$O,Tree!$A:$A,'Pre-Harvest Plots_rpt'!$B72,Tree!$B:$B,'Pre-Harvest Plots_rpt'!$D72,Tree!$F:$F,"L",Tree!$K:$K,"&lt;&gt;"&amp;"Y"))</f>
        <v/>
      </c>
      <c r="G72" s="153" t="str">
        <f>IFERROR(IF(D72="","",SUMIFS(Tree!$P:$P,Tree!$A:$A,'Pre-Harvest Plots_rpt'!$B72,Tree!$B:$B,'Pre-Harvest Plots_rpt'!$D72,Tree!$K:$K,"&lt;&gt;"&amp;"Y")/$F72),"")</f>
        <v/>
      </c>
      <c r="H72" s="122" t="str">
        <f t="shared" si="5"/>
        <v/>
      </c>
      <c r="I72" s="121" t="str">
        <f>IF(OR($F72=0,$F72=""),"",SUMIFS(Tree!$R:$R,Tree!$A:$A,'Pre-Harvest Plots_rpt'!$B72,Tree!$B:$B,'Pre-Harvest Plots_rpt'!$D72,Tree!$F:$F,"L",Tree!$K:$K,"&lt;&gt;"&amp;"Y"))</f>
        <v/>
      </c>
      <c r="J72" s="121" t="str">
        <f>IF(OR($F72=0,$F72=""),"",IF(SUMIFS(Tree!$W:$W,Tree!$A:$A,'Pre-Harvest Plots_rpt'!$B72,Tree!$B:$B,'Pre-Harvest Plots_rpt'!$D72,Tree!$F:$F,"L",Tree!$K:$K,"&lt;&gt;"&amp;"Y")=0,0,AVERAGEIFS(Tree!$W:$W,Tree!$A:$A,'Pre-Harvest Plots_rpt'!$B72,Tree!$B:$B,'Pre-Harvest Plots_rpt'!$D72,Tree!$F:$F,"L",Tree!$K:$K,"&lt;&gt;"&amp;"Y")))</f>
        <v/>
      </c>
      <c r="K72" s="121" t="str">
        <f>IF($F72="","",SUMIFS(Tree!$S:$S,Tree!$A:$A,'Pre-Harvest Plots_rpt'!$B72,Tree!$B:$B,'Pre-Harvest Plots_rpt'!$D72,Tree!$F:$F,"L",Tree!$K:$K,"&lt;&gt;"&amp;"Y"))</f>
        <v/>
      </c>
      <c r="L72" s="154" t="str">
        <f t="shared" si="6"/>
        <v/>
      </c>
      <c r="M72" s="135"/>
      <c r="N72" s="192" t="str">
        <f>IF(B72="","",SUMIFS(Tree!$AM:$AM,Tree!$A:$A,'Pre-Harvest Plots_rpt'!$B72,Tree!$B:$B,'Pre-Harvest Plots_rpt'!$D72,Tree!$F:$F,"L",Tree!$K:$K,"&lt;&gt;"&amp;"Y"))</f>
        <v/>
      </c>
      <c r="O72" s="122" t="str">
        <f>IF(B72="","",SUMIFS(Tree!$AN:$AN,Tree!$A:$A,'Pre-Harvest Plots_rpt'!$B72,Tree!$B:$B,'Pre-Harvest Plots_rpt'!$D72,Tree!$F:$F,"L",Tree!$K:$K,"&lt;&gt;"&amp;"Y"))</f>
        <v/>
      </c>
      <c r="P72" s="122" t="str">
        <f>IF(B72="","",SUMIFS(Tree!$AO:$AO,Tree!$A:$A,'Pre-Harvest Plots_rpt'!$B72,Tree!$B:$B,'Pre-Harvest Plots_rpt'!$D72,Tree!$F:$F,"L",Tree!$K:$K,"&lt;&gt;"&amp;"Y"))</f>
        <v/>
      </c>
      <c r="Q72" s="122" t="str">
        <f>IF(B72="","",SUMIFS(Tree!$AP:$AP,Tree!$A:$A,'Pre-Harvest Plots_rpt'!$B72,Tree!$B:$B,'Pre-Harvest Plots_rpt'!$D72,Tree!$F:$F,"L",Tree!$K:$K,"&lt;&gt;"&amp;"Y"))</f>
        <v/>
      </c>
      <c r="R72" s="123" t="str">
        <f>IF(B72="","",SUMIFS(Tree!$AQ:$AQ,Tree!$A:$A,'Pre-Harvest Plots_rpt'!$B72,Tree!$B:$B,'Pre-Harvest Plots_rpt'!$D72,Tree!$F:$F,"L",Tree!$K:$K,"&lt;&gt;"&amp;"Y"))</f>
        <v/>
      </c>
      <c r="S72" s="122" t="str">
        <f>IF(B72="","",SUMIFS(Tree!$AJ:$AJ,Tree!$A:$A,'Pre-Harvest Plots_rpt'!$B72,Tree!$B:$B,'Pre-Harvest Plots_rpt'!$D72,Tree!$F:$F,"L",Tree!$K:$K,"&lt;&gt;"&amp;"Y")-O72)</f>
        <v/>
      </c>
      <c r="T72" s="122" t="str">
        <f>IF(B72="","",SUMIFS(Tree!$AK:$AK,Tree!$A:$A,'Pre-Harvest Plots_rpt'!$B72,Tree!$B:$B,'Pre-Harvest Plots_rpt'!$D72,Tree!$F:$F,"L",Tree!$K:$K,"&lt;&gt;"&amp;"Y")-P72)</f>
        <v/>
      </c>
      <c r="U72" s="122" t="str">
        <f>IF(B72="","",SUMIFS(Tree!$AL:$AL,Tree!$A:$A,'Pre-Harvest Plots_rpt'!$B72,Tree!$B:$B,'Pre-Harvest Plots_rpt'!$D72,Tree!$F:$F,"L",Tree!$K:$K,"&lt;&gt;"&amp;"Y")-Q72)</f>
        <v/>
      </c>
      <c r="V72" s="123" t="str">
        <f>IF(B72="","",ROUND(SUMIFS(Tree!$AE:$AE,Tree!$A:$A,'Pre-Harvest Plots_rpt'!$B72,Tree!$B:$B,'Pre-Harvest Plots_rpt'!$D72,Tree!$F:$F,"L",Tree!$K:$K,"&lt;&gt;"&amp;"Y")-R72,1))</f>
        <v/>
      </c>
      <c r="W72" s="124" t="str">
        <f>IF(B72="","",SUMIFS(Tree!$AY:$AY,Tree!$A:$A,'Pre-Harvest Plots_rpt'!$B72,Tree!$B:$B,'Pre-Harvest Plots_rpt'!$D72,Tree!$F:$F,"L",Tree!$K:$K,"&lt;&gt;"&amp;"Y")/1000)</f>
        <v/>
      </c>
      <c r="X72" s="158" t="str">
        <f>IF(B72="","",ROUND((SUMIFS(Tree!$AW:$AW,Tree!$A:$A,'Pre-Harvest Plots_rpt'!$B72,Tree!$B:$B,'Pre-Harvest Plots_rpt'!$D72,Tree!$F:$F,"L",Tree!$K:$K,"&lt;&gt;"&amp;"Y")/1000)-W72,1))</f>
        <v/>
      </c>
      <c r="Y72" s="135"/>
      <c r="Z72" s="161" t="str">
        <f>IF(IF(B72="","",SUMIFS(Tree!$O:$O,Tree!$A:$A,'Pre-Harvest Plots_rpt'!$B72,Tree!$B:$B,'Pre-Harvest Plots_rpt'!$D72,Tree!$F:$F,"D",Tree!$K:$K,"&lt;&gt;"&amp;"Y"))=0,"",IF(B72="","",SUMIFS(Tree!$O:$O,Tree!$A:$A,'Pre-Harvest Plots_rpt'!$B72,Tree!$B:$B,'Pre-Harvest Plots_rpt'!$D72,Tree!$F:$F,"D",Tree!$K:$K,"&lt;&gt;"&amp;"Y")))</f>
        <v/>
      </c>
      <c r="AA72" s="125" t="str">
        <f t="shared" si="7"/>
        <v/>
      </c>
      <c r="AB72" s="125" t="str">
        <f>IF(Z72="","",SUMIFS(Tree!$R:$R,Tree!$A:$A,'Pre-Harvest Plots_rpt'!$B72,Tree!$B:$B,'Pre-Harvest Plots_rpt'!$D72,Tree!$F:$F,"D",Tree!$K:$K,"&lt;&gt;"&amp;"Y"))</f>
        <v/>
      </c>
      <c r="AC72" s="126" t="str">
        <f>IF(Z72="","",SUMIFS(Tree!$AM:$AM,Tree!$A:$A,'Pre-Harvest Plots_rpt'!$B72,Tree!$B:$B,'Pre-Harvest Plots_rpt'!$D72,Tree!$F:$F,"D",Tree!$K:$K,"&lt;&gt;"&amp;"Y"))</f>
        <v/>
      </c>
      <c r="AD72" s="162" t="str">
        <f>IF(Z72="","",SUMIFS(Tree!$AW:$AW,Tree!$A:$A,'Pre-Harvest Plots_rpt'!$B72,Tree!$B:$B,'Pre-Harvest Plots_rpt'!$D72,Tree!$F:$F,"D",Tree!$K:$K,"&lt;&gt;"&amp;"Y")/1000)</f>
        <v/>
      </c>
      <c r="AE72" s="47"/>
      <c r="AF72" s="18"/>
      <c r="AG72" s="18"/>
      <c r="AH72" s="18"/>
    </row>
    <row r="73" spans="1:34" ht="12.75" customHeight="1" x14ac:dyDescent="0.25">
      <c r="A73" s="48">
        <v>70</v>
      </c>
      <c r="B73" s="171" t="str">
        <f>IF(A73&lt;=SUM(Stand!$H$3:$H$29),VLOOKUP(A73,Stand!$A$3:$C$29,3,TRUE),"")</f>
        <v/>
      </c>
      <c r="C73" s="172" t="str">
        <f t="shared" si="4"/>
        <v/>
      </c>
      <c r="D73" s="173" t="str">
        <f>IF(B73="","",VLOOKUP(B73&amp;C73,Plot!$B$2:$D$199,3,FALSE))</f>
        <v/>
      </c>
      <c r="E73" s="130"/>
      <c r="F73" s="152" t="str">
        <f>IF(B73="","",SUMIFS(Tree!$O:$O,Tree!$A:$A,'Pre-Harvest Plots_rpt'!$B73,Tree!$B:$B,'Pre-Harvest Plots_rpt'!$D73,Tree!$F:$F,"L",Tree!$K:$K,"&lt;&gt;"&amp;"Y"))</f>
        <v/>
      </c>
      <c r="G73" s="153" t="str">
        <f>IFERROR(IF(D73="","",SUMIFS(Tree!$P:$P,Tree!$A:$A,'Pre-Harvest Plots_rpt'!$B73,Tree!$B:$B,'Pre-Harvest Plots_rpt'!$D73,Tree!$K:$K,"&lt;&gt;"&amp;"Y")/$F73),"")</f>
        <v/>
      </c>
      <c r="H73" s="122" t="str">
        <f t="shared" si="5"/>
        <v/>
      </c>
      <c r="I73" s="121" t="str">
        <f>IF(OR($F73=0,$F73=""),"",SUMIFS(Tree!$R:$R,Tree!$A:$A,'Pre-Harvest Plots_rpt'!$B73,Tree!$B:$B,'Pre-Harvest Plots_rpt'!$D73,Tree!$F:$F,"L",Tree!$K:$K,"&lt;&gt;"&amp;"Y"))</f>
        <v/>
      </c>
      <c r="J73" s="121" t="str">
        <f>IF(OR($F73=0,$F73=""),"",IF(SUMIFS(Tree!$W:$W,Tree!$A:$A,'Pre-Harvest Plots_rpt'!$B73,Tree!$B:$B,'Pre-Harvest Plots_rpt'!$D73,Tree!$F:$F,"L",Tree!$K:$K,"&lt;&gt;"&amp;"Y")=0,0,AVERAGEIFS(Tree!$W:$W,Tree!$A:$A,'Pre-Harvest Plots_rpt'!$B73,Tree!$B:$B,'Pre-Harvest Plots_rpt'!$D73,Tree!$F:$F,"L",Tree!$K:$K,"&lt;&gt;"&amp;"Y")))</f>
        <v/>
      </c>
      <c r="K73" s="121" t="str">
        <f>IF($F73="","",SUMIFS(Tree!$S:$S,Tree!$A:$A,'Pre-Harvest Plots_rpt'!$B73,Tree!$B:$B,'Pre-Harvest Plots_rpt'!$D73,Tree!$F:$F,"L",Tree!$K:$K,"&lt;&gt;"&amp;"Y"))</f>
        <v/>
      </c>
      <c r="L73" s="154" t="str">
        <f t="shared" si="6"/>
        <v/>
      </c>
      <c r="M73" s="135"/>
      <c r="N73" s="192" t="str">
        <f>IF(B73="","",SUMIFS(Tree!$AM:$AM,Tree!$A:$A,'Pre-Harvest Plots_rpt'!$B73,Tree!$B:$B,'Pre-Harvest Plots_rpt'!$D73,Tree!$F:$F,"L",Tree!$K:$K,"&lt;&gt;"&amp;"Y"))</f>
        <v/>
      </c>
      <c r="O73" s="122" t="str">
        <f>IF(B73="","",SUMIFS(Tree!$AN:$AN,Tree!$A:$A,'Pre-Harvest Plots_rpt'!$B73,Tree!$B:$B,'Pre-Harvest Plots_rpt'!$D73,Tree!$F:$F,"L",Tree!$K:$K,"&lt;&gt;"&amp;"Y"))</f>
        <v/>
      </c>
      <c r="P73" s="122" t="str">
        <f>IF(B73="","",SUMIFS(Tree!$AO:$AO,Tree!$A:$A,'Pre-Harvest Plots_rpt'!$B73,Tree!$B:$B,'Pre-Harvest Plots_rpt'!$D73,Tree!$F:$F,"L",Tree!$K:$K,"&lt;&gt;"&amp;"Y"))</f>
        <v/>
      </c>
      <c r="Q73" s="122" t="str">
        <f>IF(B73="","",SUMIFS(Tree!$AP:$AP,Tree!$A:$A,'Pre-Harvest Plots_rpt'!$B73,Tree!$B:$B,'Pre-Harvest Plots_rpt'!$D73,Tree!$F:$F,"L",Tree!$K:$K,"&lt;&gt;"&amp;"Y"))</f>
        <v/>
      </c>
      <c r="R73" s="123" t="str">
        <f>IF(B73="","",SUMIFS(Tree!$AQ:$AQ,Tree!$A:$A,'Pre-Harvest Plots_rpt'!$B73,Tree!$B:$B,'Pre-Harvest Plots_rpt'!$D73,Tree!$F:$F,"L",Tree!$K:$K,"&lt;&gt;"&amp;"Y"))</f>
        <v/>
      </c>
      <c r="S73" s="122" t="str">
        <f>IF(B73="","",SUMIFS(Tree!$AJ:$AJ,Tree!$A:$A,'Pre-Harvest Plots_rpt'!$B73,Tree!$B:$B,'Pre-Harvest Plots_rpt'!$D73,Tree!$F:$F,"L",Tree!$K:$K,"&lt;&gt;"&amp;"Y")-O73)</f>
        <v/>
      </c>
      <c r="T73" s="122" t="str">
        <f>IF(B73="","",SUMIFS(Tree!$AK:$AK,Tree!$A:$A,'Pre-Harvest Plots_rpt'!$B73,Tree!$B:$B,'Pre-Harvest Plots_rpt'!$D73,Tree!$F:$F,"L",Tree!$K:$K,"&lt;&gt;"&amp;"Y")-P73)</f>
        <v/>
      </c>
      <c r="U73" s="122" t="str">
        <f>IF(B73="","",SUMIFS(Tree!$AL:$AL,Tree!$A:$A,'Pre-Harvest Plots_rpt'!$B73,Tree!$B:$B,'Pre-Harvest Plots_rpt'!$D73,Tree!$F:$F,"L",Tree!$K:$K,"&lt;&gt;"&amp;"Y")-Q73)</f>
        <v/>
      </c>
      <c r="V73" s="123" t="str">
        <f>IF(B73="","",ROUND(SUMIFS(Tree!$AE:$AE,Tree!$A:$A,'Pre-Harvest Plots_rpt'!$B73,Tree!$B:$B,'Pre-Harvest Plots_rpt'!$D73,Tree!$F:$F,"L",Tree!$K:$K,"&lt;&gt;"&amp;"Y")-R73,1))</f>
        <v/>
      </c>
      <c r="W73" s="124" t="str">
        <f>IF(B73="","",SUMIFS(Tree!$AY:$AY,Tree!$A:$A,'Pre-Harvest Plots_rpt'!$B73,Tree!$B:$B,'Pre-Harvest Plots_rpt'!$D73,Tree!$F:$F,"L",Tree!$K:$K,"&lt;&gt;"&amp;"Y")/1000)</f>
        <v/>
      </c>
      <c r="X73" s="158" t="str">
        <f>IF(B73="","",ROUND((SUMIFS(Tree!$AW:$AW,Tree!$A:$A,'Pre-Harvest Plots_rpt'!$B73,Tree!$B:$B,'Pre-Harvest Plots_rpt'!$D73,Tree!$F:$F,"L",Tree!$K:$K,"&lt;&gt;"&amp;"Y")/1000)-W73,1))</f>
        <v/>
      </c>
      <c r="Y73" s="135"/>
      <c r="Z73" s="161" t="str">
        <f>IF(IF(B73="","",SUMIFS(Tree!$O:$O,Tree!$A:$A,'Pre-Harvest Plots_rpt'!$B73,Tree!$B:$B,'Pre-Harvest Plots_rpt'!$D73,Tree!$F:$F,"D",Tree!$K:$K,"&lt;&gt;"&amp;"Y"))=0,"",IF(B73="","",SUMIFS(Tree!$O:$O,Tree!$A:$A,'Pre-Harvest Plots_rpt'!$B73,Tree!$B:$B,'Pre-Harvest Plots_rpt'!$D73,Tree!$F:$F,"D",Tree!$K:$K,"&lt;&gt;"&amp;"Y")))</f>
        <v/>
      </c>
      <c r="AA73" s="125" t="str">
        <f t="shared" si="7"/>
        <v/>
      </c>
      <c r="AB73" s="125" t="str">
        <f>IF(Z73="","",SUMIFS(Tree!$R:$R,Tree!$A:$A,'Pre-Harvest Plots_rpt'!$B73,Tree!$B:$B,'Pre-Harvest Plots_rpt'!$D73,Tree!$F:$F,"D",Tree!$K:$K,"&lt;&gt;"&amp;"Y"))</f>
        <v/>
      </c>
      <c r="AC73" s="126" t="str">
        <f>IF(Z73="","",SUMIFS(Tree!$AM:$AM,Tree!$A:$A,'Pre-Harvest Plots_rpt'!$B73,Tree!$B:$B,'Pre-Harvest Plots_rpt'!$D73,Tree!$F:$F,"D",Tree!$K:$K,"&lt;&gt;"&amp;"Y"))</f>
        <v/>
      </c>
      <c r="AD73" s="162" t="str">
        <f>IF(Z73="","",SUMIFS(Tree!$AW:$AW,Tree!$A:$A,'Pre-Harvest Plots_rpt'!$B73,Tree!$B:$B,'Pre-Harvest Plots_rpt'!$D73,Tree!$F:$F,"D",Tree!$K:$K,"&lt;&gt;"&amp;"Y")/1000)</f>
        <v/>
      </c>
      <c r="AE73" s="47"/>
      <c r="AF73" s="18"/>
      <c r="AG73" s="18"/>
      <c r="AH73" s="18"/>
    </row>
    <row r="74" spans="1:34" ht="12.75" customHeight="1" x14ac:dyDescent="0.25">
      <c r="A74" s="48">
        <v>71</v>
      </c>
      <c r="B74" s="171" t="str">
        <f>IF(A74&lt;=SUM(Stand!$H$3:$H$29),VLOOKUP(A74,Stand!$A$3:$C$29,3,TRUE),"")</f>
        <v/>
      </c>
      <c r="C74" s="172" t="str">
        <f t="shared" si="4"/>
        <v/>
      </c>
      <c r="D74" s="173" t="str">
        <f>IF(B74="","",VLOOKUP(B74&amp;C74,Plot!$B$2:$D$199,3,FALSE))</f>
        <v/>
      </c>
      <c r="E74" s="130"/>
      <c r="F74" s="152" t="str">
        <f>IF(B74="","",SUMIFS(Tree!$O:$O,Tree!$A:$A,'Pre-Harvest Plots_rpt'!$B74,Tree!$B:$B,'Pre-Harvest Plots_rpt'!$D74,Tree!$F:$F,"L",Tree!$K:$K,"&lt;&gt;"&amp;"Y"))</f>
        <v/>
      </c>
      <c r="G74" s="153" t="str">
        <f>IFERROR(IF(D74="","",SUMIFS(Tree!$P:$P,Tree!$A:$A,'Pre-Harvest Plots_rpt'!$B74,Tree!$B:$B,'Pre-Harvest Plots_rpt'!$D74,Tree!$K:$K,"&lt;&gt;"&amp;"Y")/$F74),"")</f>
        <v/>
      </c>
      <c r="H74" s="122" t="str">
        <f t="shared" si="5"/>
        <v/>
      </c>
      <c r="I74" s="121" t="str">
        <f>IF(OR($F74=0,$F74=""),"",SUMIFS(Tree!$R:$R,Tree!$A:$A,'Pre-Harvest Plots_rpt'!$B74,Tree!$B:$B,'Pre-Harvest Plots_rpt'!$D74,Tree!$F:$F,"L",Tree!$K:$K,"&lt;&gt;"&amp;"Y"))</f>
        <v/>
      </c>
      <c r="J74" s="121" t="str">
        <f>IF(OR($F74=0,$F74=""),"",IF(SUMIFS(Tree!$W:$W,Tree!$A:$A,'Pre-Harvest Plots_rpt'!$B74,Tree!$B:$B,'Pre-Harvest Plots_rpt'!$D74,Tree!$F:$F,"L",Tree!$K:$K,"&lt;&gt;"&amp;"Y")=0,0,AVERAGEIFS(Tree!$W:$W,Tree!$A:$A,'Pre-Harvest Plots_rpt'!$B74,Tree!$B:$B,'Pre-Harvest Plots_rpt'!$D74,Tree!$F:$F,"L",Tree!$K:$K,"&lt;&gt;"&amp;"Y")))</f>
        <v/>
      </c>
      <c r="K74" s="121" t="str">
        <f>IF($F74="","",SUMIFS(Tree!$S:$S,Tree!$A:$A,'Pre-Harvest Plots_rpt'!$B74,Tree!$B:$B,'Pre-Harvest Plots_rpt'!$D74,Tree!$F:$F,"L",Tree!$K:$K,"&lt;&gt;"&amp;"Y"))</f>
        <v/>
      </c>
      <c r="L74" s="154" t="str">
        <f t="shared" si="6"/>
        <v/>
      </c>
      <c r="M74" s="135"/>
      <c r="N74" s="192" t="str">
        <f>IF(B74="","",SUMIFS(Tree!$AM:$AM,Tree!$A:$A,'Pre-Harvest Plots_rpt'!$B74,Tree!$B:$B,'Pre-Harvest Plots_rpt'!$D74,Tree!$F:$F,"L",Tree!$K:$K,"&lt;&gt;"&amp;"Y"))</f>
        <v/>
      </c>
      <c r="O74" s="122" t="str">
        <f>IF(B74="","",SUMIFS(Tree!$AN:$AN,Tree!$A:$A,'Pre-Harvest Plots_rpt'!$B74,Tree!$B:$B,'Pre-Harvest Plots_rpt'!$D74,Tree!$F:$F,"L",Tree!$K:$K,"&lt;&gt;"&amp;"Y"))</f>
        <v/>
      </c>
      <c r="P74" s="122" t="str">
        <f>IF(B74="","",SUMIFS(Tree!$AO:$AO,Tree!$A:$A,'Pre-Harvest Plots_rpt'!$B74,Tree!$B:$B,'Pre-Harvest Plots_rpt'!$D74,Tree!$F:$F,"L",Tree!$K:$K,"&lt;&gt;"&amp;"Y"))</f>
        <v/>
      </c>
      <c r="Q74" s="122" t="str">
        <f>IF(B74="","",SUMIFS(Tree!$AP:$AP,Tree!$A:$A,'Pre-Harvest Plots_rpt'!$B74,Tree!$B:$B,'Pre-Harvest Plots_rpt'!$D74,Tree!$F:$F,"L",Tree!$K:$K,"&lt;&gt;"&amp;"Y"))</f>
        <v/>
      </c>
      <c r="R74" s="123" t="str">
        <f>IF(B74="","",SUMIFS(Tree!$AQ:$AQ,Tree!$A:$A,'Pre-Harvest Plots_rpt'!$B74,Tree!$B:$B,'Pre-Harvest Plots_rpt'!$D74,Tree!$F:$F,"L",Tree!$K:$K,"&lt;&gt;"&amp;"Y"))</f>
        <v/>
      </c>
      <c r="S74" s="122" t="str">
        <f>IF(B74="","",SUMIFS(Tree!$AJ:$AJ,Tree!$A:$A,'Pre-Harvest Plots_rpt'!$B74,Tree!$B:$B,'Pre-Harvest Plots_rpt'!$D74,Tree!$F:$F,"L",Tree!$K:$K,"&lt;&gt;"&amp;"Y")-O74)</f>
        <v/>
      </c>
      <c r="T74" s="122" t="str">
        <f>IF(B74="","",SUMIFS(Tree!$AK:$AK,Tree!$A:$A,'Pre-Harvest Plots_rpt'!$B74,Tree!$B:$B,'Pre-Harvest Plots_rpt'!$D74,Tree!$F:$F,"L",Tree!$K:$K,"&lt;&gt;"&amp;"Y")-P74)</f>
        <v/>
      </c>
      <c r="U74" s="122" t="str">
        <f>IF(B74="","",SUMIFS(Tree!$AL:$AL,Tree!$A:$A,'Pre-Harvest Plots_rpt'!$B74,Tree!$B:$B,'Pre-Harvest Plots_rpt'!$D74,Tree!$F:$F,"L",Tree!$K:$K,"&lt;&gt;"&amp;"Y")-Q74)</f>
        <v/>
      </c>
      <c r="V74" s="123" t="str">
        <f>IF(B74="","",ROUND(SUMIFS(Tree!$AE:$AE,Tree!$A:$A,'Pre-Harvest Plots_rpt'!$B74,Tree!$B:$B,'Pre-Harvest Plots_rpt'!$D74,Tree!$F:$F,"L",Tree!$K:$K,"&lt;&gt;"&amp;"Y")-R74,1))</f>
        <v/>
      </c>
      <c r="W74" s="124" t="str">
        <f>IF(B74="","",SUMIFS(Tree!$AY:$AY,Tree!$A:$A,'Pre-Harvest Plots_rpt'!$B74,Tree!$B:$B,'Pre-Harvest Plots_rpt'!$D74,Tree!$F:$F,"L",Tree!$K:$K,"&lt;&gt;"&amp;"Y")/1000)</f>
        <v/>
      </c>
      <c r="X74" s="158" t="str">
        <f>IF(B74="","",ROUND((SUMIFS(Tree!$AW:$AW,Tree!$A:$A,'Pre-Harvest Plots_rpt'!$B74,Tree!$B:$B,'Pre-Harvest Plots_rpt'!$D74,Tree!$F:$F,"L",Tree!$K:$K,"&lt;&gt;"&amp;"Y")/1000)-W74,1))</f>
        <v/>
      </c>
      <c r="Y74" s="135"/>
      <c r="Z74" s="161" t="str">
        <f>IF(IF(B74="","",SUMIFS(Tree!$O:$O,Tree!$A:$A,'Pre-Harvest Plots_rpt'!$B74,Tree!$B:$B,'Pre-Harvest Plots_rpt'!$D74,Tree!$F:$F,"D",Tree!$K:$K,"&lt;&gt;"&amp;"Y"))=0,"",IF(B74="","",SUMIFS(Tree!$O:$O,Tree!$A:$A,'Pre-Harvest Plots_rpt'!$B74,Tree!$B:$B,'Pre-Harvest Plots_rpt'!$D74,Tree!$F:$F,"D",Tree!$K:$K,"&lt;&gt;"&amp;"Y")))</f>
        <v/>
      </c>
      <c r="AA74" s="125" t="str">
        <f t="shared" si="7"/>
        <v/>
      </c>
      <c r="AB74" s="125" t="str">
        <f>IF(Z74="","",SUMIFS(Tree!$R:$R,Tree!$A:$A,'Pre-Harvest Plots_rpt'!$B74,Tree!$B:$B,'Pre-Harvest Plots_rpt'!$D74,Tree!$F:$F,"D",Tree!$K:$K,"&lt;&gt;"&amp;"Y"))</f>
        <v/>
      </c>
      <c r="AC74" s="126" t="str">
        <f>IF(Z74="","",SUMIFS(Tree!$AM:$AM,Tree!$A:$A,'Pre-Harvest Plots_rpt'!$B74,Tree!$B:$B,'Pre-Harvest Plots_rpt'!$D74,Tree!$F:$F,"D",Tree!$K:$K,"&lt;&gt;"&amp;"Y"))</f>
        <v/>
      </c>
      <c r="AD74" s="162" t="str">
        <f>IF(Z74="","",SUMIFS(Tree!$AW:$AW,Tree!$A:$A,'Pre-Harvest Plots_rpt'!$B74,Tree!$B:$B,'Pre-Harvest Plots_rpt'!$D74,Tree!$F:$F,"D",Tree!$K:$K,"&lt;&gt;"&amp;"Y")/1000)</f>
        <v/>
      </c>
      <c r="AE74" s="47"/>
      <c r="AF74" s="18"/>
      <c r="AG74" s="18"/>
      <c r="AH74" s="18"/>
    </row>
    <row r="75" spans="1:34" ht="12.75" customHeight="1" x14ac:dyDescent="0.25">
      <c r="A75" s="48">
        <v>72</v>
      </c>
      <c r="B75" s="171" t="str">
        <f>IF(A75&lt;=SUM(Stand!$H$3:$H$29),VLOOKUP(A75,Stand!$A$3:$C$29,3,TRUE),"")</f>
        <v/>
      </c>
      <c r="C75" s="172" t="str">
        <f t="shared" si="4"/>
        <v/>
      </c>
      <c r="D75" s="173" t="str">
        <f>IF(B75="","",VLOOKUP(B75&amp;C75,Plot!$B$2:$D$199,3,FALSE))</f>
        <v/>
      </c>
      <c r="E75" s="130"/>
      <c r="F75" s="152" t="str">
        <f>IF(B75="","",SUMIFS(Tree!$O:$O,Tree!$A:$A,'Pre-Harvest Plots_rpt'!$B75,Tree!$B:$B,'Pre-Harvest Plots_rpt'!$D75,Tree!$F:$F,"L",Tree!$K:$K,"&lt;&gt;"&amp;"Y"))</f>
        <v/>
      </c>
      <c r="G75" s="153" t="str">
        <f>IFERROR(IF(D75="","",SUMIFS(Tree!$P:$P,Tree!$A:$A,'Pre-Harvest Plots_rpt'!$B75,Tree!$B:$B,'Pre-Harvest Plots_rpt'!$D75,Tree!$K:$K,"&lt;&gt;"&amp;"Y")/$F75),"")</f>
        <v/>
      </c>
      <c r="H75" s="122" t="str">
        <f t="shared" si="5"/>
        <v/>
      </c>
      <c r="I75" s="121" t="str">
        <f>IF(OR($F75=0,$F75=""),"",SUMIFS(Tree!$R:$R,Tree!$A:$A,'Pre-Harvest Plots_rpt'!$B75,Tree!$B:$B,'Pre-Harvest Plots_rpt'!$D75,Tree!$F:$F,"L",Tree!$K:$K,"&lt;&gt;"&amp;"Y"))</f>
        <v/>
      </c>
      <c r="J75" s="121" t="str">
        <f>IF(OR($F75=0,$F75=""),"",IF(SUMIFS(Tree!$W:$W,Tree!$A:$A,'Pre-Harvest Plots_rpt'!$B75,Tree!$B:$B,'Pre-Harvest Plots_rpt'!$D75,Tree!$F:$F,"L",Tree!$K:$K,"&lt;&gt;"&amp;"Y")=0,0,AVERAGEIFS(Tree!$W:$W,Tree!$A:$A,'Pre-Harvest Plots_rpt'!$B75,Tree!$B:$B,'Pre-Harvest Plots_rpt'!$D75,Tree!$F:$F,"L",Tree!$K:$K,"&lt;&gt;"&amp;"Y")))</f>
        <v/>
      </c>
      <c r="K75" s="121" t="str">
        <f>IF($F75="","",SUMIFS(Tree!$S:$S,Tree!$A:$A,'Pre-Harvest Plots_rpt'!$B75,Tree!$B:$B,'Pre-Harvest Plots_rpt'!$D75,Tree!$F:$F,"L",Tree!$K:$K,"&lt;&gt;"&amp;"Y"))</f>
        <v/>
      </c>
      <c r="L75" s="154" t="str">
        <f t="shared" si="6"/>
        <v/>
      </c>
      <c r="M75" s="135"/>
      <c r="N75" s="192" t="str">
        <f>IF(B75="","",SUMIFS(Tree!$AM:$AM,Tree!$A:$A,'Pre-Harvest Plots_rpt'!$B75,Tree!$B:$B,'Pre-Harvest Plots_rpt'!$D75,Tree!$F:$F,"L",Tree!$K:$K,"&lt;&gt;"&amp;"Y"))</f>
        <v/>
      </c>
      <c r="O75" s="122" t="str">
        <f>IF(B75="","",SUMIFS(Tree!$AN:$AN,Tree!$A:$A,'Pre-Harvest Plots_rpt'!$B75,Tree!$B:$B,'Pre-Harvest Plots_rpt'!$D75,Tree!$F:$F,"L",Tree!$K:$K,"&lt;&gt;"&amp;"Y"))</f>
        <v/>
      </c>
      <c r="P75" s="122" t="str">
        <f>IF(B75="","",SUMIFS(Tree!$AO:$AO,Tree!$A:$A,'Pre-Harvest Plots_rpt'!$B75,Tree!$B:$B,'Pre-Harvest Plots_rpt'!$D75,Tree!$F:$F,"L",Tree!$K:$K,"&lt;&gt;"&amp;"Y"))</f>
        <v/>
      </c>
      <c r="Q75" s="122" t="str">
        <f>IF(B75="","",SUMIFS(Tree!$AP:$AP,Tree!$A:$A,'Pre-Harvest Plots_rpt'!$B75,Tree!$B:$B,'Pre-Harvest Plots_rpt'!$D75,Tree!$F:$F,"L",Tree!$K:$K,"&lt;&gt;"&amp;"Y"))</f>
        <v/>
      </c>
      <c r="R75" s="123" t="str">
        <f>IF(B75="","",SUMIFS(Tree!$AQ:$AQ,Tree!$A:$A,'Pre-Harvest Plots_rpt'!$B75,Tree!$B:$B,'Pre-Harvest Plots_rpt'!$D75,Tree!$F:$F,"L",Tree!$K:$K,"&lt;&gt;"&amp;"Y"))</f>
        <v/>
      </c>
      <c r="S75" s="122" t="str">
        <f>IF(B75="","",SUMIFS(Tree!$AJ:$AJ,Tree!$A:$A,'Pre-Harvest Plots_rpt'!$B75,Tree!$B:$B,'Pre-Harvest Plots_rpt'!$D75,Tree!$F:$F,"L",Tree!$K:$K,"&lt;&gt;"&amp;"Y")-O75)</f>
        <v/>
      </c>
      <c r="T75" s="122" t="str">
        <f>IF(B75="","",SUMIFS(Tree!$AK:$AK,Tree!$A:$A,'Pre-Harvest Plots_rpt'!$B75,Tree!$B:$B,'Pre-Harvest Plots_rpt'!$D75,Tree!$F:$F,"L",Tree!$K:$K,"&lt;&gt;"&amp;"Y")-P75)</f>
        <v/>
      </c>
      <c r="U75" s="122" t="str">
        <f>IF(B75="","",SUMIFS(Tree!$AL:$AL,Tree!$A:$A,'Pre-Harvest Plots_rpt'!$B75,Tree!$B:$B,'Pre-Harvest Plots_rpt'!$D75,Tree!$F:$F,"L",Tree!$K:$K,"&lt;&gt;"&amp;"Y")-Q75)</f>
        <v/>
      </c>
      <c r="V75" s="123" t="str">
        <f>IF(B75="","",ROUND(SUMIFS(Tree!$AE:$AE,Tree!$A:$A,'Pre-Harvest Plots_rpt'!$B75,Tree!$B:$B,'Pre-Harvest Plots_rpt'!$D75,Tree!$F:$F,"L",Tree!$K:$K,"&lt;&gt;"&amp;"Y")-R75,1))</f>
        <v/>
      </c>
      <c r="W75" s="124" t="str">
        <f>IF(B75="","",SUMIFS(Tree!$AY:$AY,Tree!$A:$A,'Pre-Harvest Plots_rpt'!$B75,Tree!$B:$B,'Pre-Harvest Plots_rpt'!$D75,Tree!$F:$F,"L",Tree!$K:$K,"&lt;&gt;"&amp;"Y")/1000)</f>
        <v/>
      </c>
      <c r="X75" s="158" t="str">
        <f>IF(B75="","",ROUND((SUMIFS(Tree!$AW:$AW,Tree!$A:$A,'Pre-Harvest Plots_rpt'!$B75,Tree!$B:$B,'Pre-Harvest Plots_rpt'!$D75,Tree!$F:$F,"L",Tree!$K:$K,"&lt;&gt;"&amp;"Y")/1000)-W75,1))</f>
        <v/>
      </c>
      <c r="Y75" s="135"/>
      <c r="Z75" s="161" t="str">
        <f>IF(IF(B75="","",SUMIFS(Tree!$O:$O,Tree!$A:$A,'Pre-Harvest Plots_rpt'!$B75,Tree!$B:$B,'Pre-Harvest Plots_rpt'!$D75,Tree!$F:$F,"D",Tree!$K:$K,"&lt;&gt;"&amp;"Y"))=0,"",IF(B75="","",SUMIFS(Tree!$O:$O,Tree!$A:$A,'Pre-Harvest Plots_rpt'!$B75,Tree!$B:$B,'Pre-Harvest Plots_rpt'!$D75,Tree!$F:$F,"D",Tree!$K:$K,"&lt;&gt;"&amp;"Y")))</f>
        <v/>
      </c>
      <c r="AA75" s="125" t="str">
        <f t="shared" si="7"/>
        <v/>
      </c>
      <c r="AB75" s="125" t="str">
        <f>IF(Z75="","",SUMIFS(Tree!$R:$R,Tree!$A:$A,'Pre-Harvest Plots_rpt'!$B75,Tree!$B:$B,'Pre-Harvest Plots_rpt'!$D75,Tree!$F:$F,"D",Tree!$K:$K,"&lt;&gt;"&amp;"Y"))</f>
        <v/>
      </c>
      <c r="AC75" s="126" t="str">
        <f>IF(Z75="","",SUMIFS(Tree!$AM:$AM,Tree!$A:$A,'Pre-Harvest Plots_rpt'!$B75,Tree!$B:$B,'Pre-Harvest Plots_rpt'!$D75,Tree!$F:$F,"D",Tree!$K:$K,"&lt;&gt;"&amp;"Y"))</f>
        <v/>
      </c>
      <c r="AD75" s="162" t="str">
        <f>IF(Z75="","",SUMIFS(Tree!$AW:$AW,Tree!$A:$A,'Pre-Harvest Plots_rpt'!$B75,Tree!$B:$B,'Pre-Harvest Plots_rpt'!$D75,Tree!$F:$F,"D",Tree!$K:$K,"&lt;&gt;"&amp;"Y")/1000)</f>
        <v/>
      </c>
      <c r="AE75" s="47"/>
      <c r="AF75" s="18"/>
      <c r="AG75" s="18"/>
      <c r="AH75" s="18"/>
    </row>
    <row r="76" spans="1:34" ht="12.75" customHeight="1" x14ac:dyDescent="0.25">
      <c r="A76" s="48">
        <v>73</v>
      </c>
      <c r="B76" s="171" t="str">
        <f>IF(A76&lt;=SUM(Stand!$H$3:$H$29),VLOOKUP(A76,Stand!$A$3:$C$29,3,TRUE),"")</f>
        <v/>
      </c>
      <c r="C76" s="172" t="str">
        <f t="shared" si="4"/>
        <v/>
      </c>
      <c r="D76" s="173" t="str">
        <f>IF(B76="","",VLOOKUP(B76&amp;C76,Plot!$B$2:$D$199,3,FALSE))</f>
        <v/>
      </c>
      <c r="E76" s="130"/>
      <c r="F76" s="152" t="str">
        <f>IF(B76="","",SUMIFS(Tree!$O:$O,Tree!$A:$A,'Pre-Harvest Plots_rpt'!$B76,Tree!$B:$B,'Pre-Harvest Plots_rpt'!$D76,Tree!$F:$F,"L",Tree!$K:$K,"&lt;&gt;"&amp;"Y"))</f>
        <v/>
      </c>
      <c r="G76" s="153" t="str">
        <f>IFERROR(IF(D76="","",SUMIFS(Tree!$P:$P,Tree!$A:$A,'Pre-Harvest Plots_rpt'!$B76,Tree!$B:$B,'Pre-Harvest Plots_rpt'!$D76,Tree!$K:$K,"&lt;&gt;"&amp;"Y")/$F76),"")</f>
        <v/>
      </c>
      <c r="H76" s="122" t="str">
        <f t="shared" si="5"/>
        <v/>
      </c>
      <c r="I76" s="121" t="str">
        <f>IF(OR($F76=0,$F76=""),"",SUMIFS(Tree!$R:$R,Tree!$A:$A,'Pre-Harvest Plots_rpt'!$B76,Tree!$B:$B,'Pre-Harvest Plots_rpt'!$D76,Tree!$F:$F,"L",Tree!$K:$K,"&lt;&gt;"&amp;"Y"))</f>
        <v/>
      </c>
      <c r="J76" s="121" t="str">
        <f>IF(OR($F76=0,$F76=""),"",IF(SUMIFS(Tree!$W:$W,Tree!$A:$A,'Pre-Harvest Plots_rpt'!$B76,Tree!$B:$B,'Pre-Harvest Plots_rpt'!$D76,Tree!$F:$F,"L",Tree!$K:$K,"&lt;&gt;"&amp;"Y")=0,0,AVERAGEIFS(Tree!$W:$W,Tree!$A:$A,'Pre-Harvest Plots_rpt'!$B76,Tree!$B:$B,'Pre-Harvest Plots_rpt'!$D76,Tree!$F:$F,"L",Tree!$K:$K,"&lt;&gt;"&amp;"Y")))</f>
        <v/>
      </c>
      <c r="K76" s="121" t="str">
        <f>IF($F76="","",SUMIFS(Tree!$S:$S,Tree!$A:$A,'Pre-Harvest Plots_rpt'!$B76,Tree!$B:$B,'Pre-Harvest Plots_rpt'!$D76,Tree!$F:$F,"L",Tree!$K:$K,"&lt;&gt;"&amp;"Y"))</f>
        <v/>
      </c>
      <c r="L76" s="154" t="str">
        <f t="shared" si="6"/>
        <v/>
      </c>
      <c r="M76" s="135"/>
      <c r="N76" s="192" t="str">
        <f>IF(B76="","",SUMIFS(Tree!$AM:$AM,Tree!$A:$A,'Pre-Harvest Plots_rpt'!$B76,Tree!$B:$B,'Pre-Harvest Plots_rpt'!$D76,Tree!$F:$F,"L",Tree!$K:$K,"&lt;&gt;"&amp;"Y"))</f>
        <v/>
      </c>
      <c r="O76" s="122" t="str">
        <f>IF(B76="","",SUMIFS(Tree!$AN:$AN,Tree!$A:$A,'Pre-Harvest Plots_rpt'!$B76,Tree!$B:$B,'Pre-Harvest Plots_rpt'!$D76,Tree!$F:$F,"L",Tree!$K:$K,"&lt;&gt;"&amp;"Y"))</f>
        <v/>
      </c>
      <c r="P76" s="122" t="str">
        <f>IF(B76="","",SUMIFS(Tree!$AO:$AO,Tree!$A:$A,'Pre-Harvest Plots_rpt'!$B76,Tree!$B:$B,'Pre-Harvest Plots_rpt'!$D76,Tree!$F:$F,"L",Tree!$K:$K,"&lt;&gt;"&amp;"Y"))</f>
        <v/>
      </c>
      <c r="Q76" s="122" t="str">
        <f>IF(B76="","",SUMIFS(Tree!$AP:$AP,Tree!$A:$A,'Pre-Harvest Plots_rpt'!$B76,Tree!$B:$B,'Pre-Harvest Plots_rpt'!$D76,Tree!$F:$F,"L",Tree!$K:$K,"&lt;&gt;"&amp;"Y"))</f>
        <v/>
      </c>
      <c r="R76" s="123" t="str">
        <f>IF(B76="","",SUMIFS(Tree!$AQ:$AQ,Tree!$A:$A,'Pre-Harvest Plots_rpt'!$B76,Tree!$B:$B,'Pre-Harvest Plots_rpt'!$D76,Tree!$F:$F,"L",Tree!$K:$K,"&lt;&gt;"&amp;"Y"))</f>
        <v/>
      </c>
      <c r="S76" s="122" t="str">
        <f>IF(B76="","",SUMIFS(Tree!$AJ:$AJ,Tree!$A:$A,'Pre-Harvest Plots_rpt'!$B76,Tree!$B:$B,'Pre-Harvest Plots_rpt'!$D76,Tree!$F:$F,"L",Tree!$K:$K,"&lt;&gt;"&amp;"Y")-O76)</f>
        <v/>
      </c>
      <c r="T76" s="122" t="str">
        <f>IF(B76="","",SUMIFS(Tree!$AK:$AK,Tree!$A:$A,'Pre-Harvest Plots_rpt'!$B76,Tree!$B:$B,'Pre-Harvest Plots_rpt'!$D76,Tree!$F:$F,"L",Tree!$K:$K,"&lt;&gt;"&amp;"Y")-P76)</f>
        <v/>
      </c>
      <c r="U76" s="122" t="str">
        <f>IF(B76="","",SUMIFS(Tree!$AL:$AL,Tree!$A:$A,'Pre-Harvest Plots_rpt'!$B76,Tree!$B:$B,'Pre-Harvest Plots_rpt'!$D76,Tree!$F:$F,"L",Tree!$K:$K,"&lt;&gt;"&amp;"Y")-Q76)</f>
        <v/>
      </c>
      <c r="V76" s="123" t="str">
        <f>IF(B76="","",ROUND(SUMIFS(Tree!$AE:$AE,Tree!$A:$A,'Pre-Harvest Plots_rpt'!$B76,Tree!$B:$B,'Pre-Harvest Plots_rpt'!$D76,Tree!$F:$F,"L",Tree!$K:$K,"&lt;&gt;"&amp;"Y")-R76,1))</f>
        <v/>
      </c>
      <c r="W76" s="124" t="str">
        <f>IF(B76="","",SUMIFS(Tree!$AY:$AY,Tree!$A:$A,'Pre-Harvest Plots_rpt'!$B76,Tree!$B:$B,'Pre-Harvest Plots_rpt'!$D76,Tree!$F:$F,"L",Tree!$K:$K,"&lt;&gt;"&amp;"Y")/1000)</f>
        <v/>
      </c>
      <c r="X76" s="158" t="str">
        <f>IF(B76="","",ROUND((SUMIFS(Tree!$AW:$AW,Tree!$A:$A,'Pre-Harvest Plots_rpt'!$B76,Tree!$B:$B,'Pre-Harvest Plots_rpt'!$D76,Tree!$F:$F,"L",Tree!$K:$K,"&lt;&gt;"&amp;"Y")/1000)-W76,1))</f>
        <v/>
      </c>
      <c r="Y76" s="135"/>
      <c r="Z76" s="161" t="str">
        <f>IF(IF(B76="","",SUMIFS(Tree!$O:$O,Tree!$A:$A,'Pre-Harvest Plots_rpt'!$B76,Tree!$B:$B,'Pre-Harvest Plots_rpt'!$D76,Tree!$F:$F,"D",Tree!$K:$K,"&lt;&gt;"&amp;"Y"))=0,"",IF(B76="","",SUMIFS(Tree!$O:$O,Tree!$A:$A,'Pre-Harvest Plots_rpt'!$B76,Tree!$B:$B,'Pre-Harvest Plots_rpt'!$D76,Tree!$F:$F,"D",Tree!$K:$K,"&lt;&gt;"&amp;"Y")))</f>
        <v/>
      </c>
      <c r="AA76" s="125" t="str">
        <f t="shared" si="7"/>
        <v/>
      </c>
      <c r="AB76" s="125" t="str">
        <f>IF(Z76="","",SUMIFS(Tree!$R:$R,Tree!$A:$A,'Pre-Harvest Plots_rpt'!$B76,Tree!$B:$B,'Pre-Harvest Plots_rpt'!$D76,Tree!$F:$F,"D",Tree!$K:$K,"&lt;&gt;"&amp;"Y"))</f>
        <v/>
      </c>
      <c r="AC76" s="126" t="str">
        <f>IF(Z76="","",SUMIFS(Tree!$AM:$AM,Tree!$A:$A,'Pre-Harvest Plots_rpt'!$B76,Tree!$B:$B,'Pre-Harvest Plots_rpt'!$D76,Tree!$F:$F,"D",Tree!$K:$K,"&lt;&gt;"&amp;"Y"))</f>
        <v/>
      </c>
      <c r="AD76" s="162" t="str">
        <f>IF(Z76="","",SUMIFS(Tree!$AW:$AW,Tree!$A:$A,'Pre-Harvest Plots_rpt'!$B76,Tree!$B:$B,'Pre-Harvest Plots_rpt'!$D76,Tree!$F:$F,"D",Tree!$K:$K,"&lt;&gt;"&amp;"Y")/1000)</f>
        <v/>
      </c>
      <c r="AE76" s="47"/>
      <c r="AF76" s="18"/>
      <c r="AG76" s="18"/>
      <c r="AH76" s="18"/>
    </row>
    <row r="77" spans="1:34" ht="12.75" customHeight="1" x14ac:dyDescent="0.25">
      <c r="A77" s="48">
        <v>74</v>
      </c>
      <c r="B77" s="171" t="str">
        <f>IF(A77&lt;=SUM(Stand!$H$3:$H$29),VLOOKUP(A77,Stand!$A$3:$C$29,3,TRUE),"")</f>
        <v/>
      </c>
      <c r="C77" s="172" t="str">
        <f t="shared" si="4"/>
        <v/>
      </c>
      <c r="D77" s="173" t="str">
        <f>IF(B77="","",VLOOKUP(B77&amp;C77,Plot!$B$2:$D$199,3,FALSE))</f>
        <v/>
      </c>
      <c r="E77" s="130"/>
      <c r="F77" s="152" t="str">
        <f>IF(B77="","",SUMIFS(Tree!$O:$O,Tree!$A:$A,'Pre-Harvest Plots_rpt'!$B77,Tree!$B:$B,'Pre-Harvest Plots_rpt'!$D77,Tree!$F:$F,"L",Tree!$K:$K,"&lt;&gt;"&amp;"Y"))</f>
        <v/>
      </c>
      <c r="G77" s="153" t="str">
        <f>IFERROR(IF(D77="","",SUMIFS(Tree!$P:$P,Tree!$A:$A,'Pre-Harvest Plots_rpt'!$B77,Tree!$B:$B,'Pre-Harvest Plots_rpt'!$D77,Tree!$K:$K,"&lt;&gt;"&amp;"Y")/$F77),"")</f>
        <v/>
      </c>
      <c r="H77" s="122" t="str">
        <f t="shared" si="5"/>
        <v/>
      </c>
      <c r="I77" s="121" t="str">
        <f>IF(OR($F77=0,$F77=""),"",SUMIFS(Tree!$R:$R,Tree!$A:$A,'Pre-Harvest Plots_rpt'!$B77,Tree!$B:$B,'Pre-Harvest Plots_rpt'!$D77,Tree!$F:$F,"L",Tree!$K:$K,"&lt;&gt;"&amp;"Y"))</f>
        <v/>
      </c>
      <c r="J77" s="121" t="str">
        <f>IF(OR($F77=0,$F77=""),"",IF(SUMIFS(Tree!$W:$W,Tree!$A:$A,'Pre-Harvest Plots_rpt'!$B77,Tree!$B:$B,'Pre-Harvest Plots_rpt'!$D77,Tree!$F:$F,"L",Tree!$K:$K,"&lt;&gt;"&amp;"Y")=0,0,AVERAGEIFS(Tree!$W:$W,Tree!$A:$A,'Pre-Harvest Plots_rpt'!$B77,Tree!$B:$B,'Pre-Harvest Plots_rpt'!$D77,Tree!$F:$F,"L",Tree!$K:$K,"&lt;&gt;"&amp;"Y")))</f>
        <v/>
      </c>
      <c r="K77" s="121" t="str">
        <f>IF($F77="","",SUMIFS(Tree!$S:$S,Tree!$A:$A,'Pre-Harvest Plots_rpt'!$B77,Tree!$B:$B,'Pre-Harvest Plots_rpt'!$D77,Tree!$F:$F,"L",Tree!$K:$K,"&lt;&gt;"&amp;"Y"))</f>
        <v/>
      </c>
      <c r="L77" s="154" t="str">
        <f t="shared" si="6"/>
        <v/>
      </c>
      <c r="M77" s="135"/>
      <c r="N77" s="192" t="str">
        <f>IF(B77="","",SUMIFS(Tree!$AM:$AM,Tree!$A:$A,'Pre-Harvest Plots_rpt'!$B77,Tree!$B:$B,'Pre-Harvest Plots_rpt'!$D77,Tree!$F:$F,"L",Tree!$K:$K,"&lt;&gt;"&amp;"Y"))</f>
        <v/>
      </c>
      <c r="O77" s="122" t="str">
        <f>IF(B77="","",SUMIFS(Tree!$AN:$AN,Tree!$A:$A,'Pre-Harvest Plots_rpt'!$B77,Tree!$B:$B,'Pre-Harvest Plots_rpt'!$D77,Tree!$F:$F,"L",Tree!$K:$K,"&lt;&gt;"&amp;"Y"))</f>
        <v/>
      </c>
      <c r="P77" s="122" t="str">
        <f>IF(B77="","",SUMIFS(Tree!$AO:$AO,Tree!$A:$A,'Pre-Harvest Plots_rpt'!$B77,Tree!$B:$B,'Pre-Harvest Plots_rpt'!$D77,Tree!$F:$F,"L",Tree!$K:$K,"&lt;&gt;"&amp;"Y"))</f>
        <v/>
      </c>
      <c r="Q77" s="122" t="str">
        <f>IF(B77="","",SUMIFS(Tree!$AP:$AP,Tree!$A:$A,'Pre-Harvest Plots_rpt'!$B77,Tree!$B:$B,'Pre-Harvest Plots_rpt'!$D77,Tree!$F:$F,"L",Tree!$K:$K,"&lt;&gt;"&amp;"Y"))</f>
        <v/>
      </c>
      <c r="R77" s="123" t="str">
        <f>IF(B77="","",SUMIFS(Tree!$AQ:$AQ,Tree!$A:$A,'Pre-Harvest Plots_rpt'!$B77,Tree!$B:$B,'Pre-Harvest Plots_rpt'!$D77,Tree!$F:$F,"L",Tree!$K:$K,"&lt;&gt;"&amp;"Y"))</f>
        <v/>
      </c>
      <c r="S77" s="122" t="str">
        <f>IF(B77="","",SUMIFS(Tree!$AJ:$AJ,Tree!$A:$A,'Pre-Harvest Plots_rpt'!$B77,Tree!$B:$B,'Pre-Harvest Plots_rpt'!$D77,Tree!$F:$F,"L",Tree!$K:$K,"&lt;&gt;"&amp;"Y")-O77)</f>
        <v/>
      </c>
      <c r="T77" s="122" t="str">
        <f>IF(B77="","",SUMIFS(Tree!$AK:$AK,Tree!$A:$A,'Pre-Harvest Plots_rpt'!$B77,Tree!$B:$B,'Pre-Harvest Plots_rpt'!$D77,Tree!$F:$F,"L",Tree!$K:$K,"&lt;&gt;"&amp;"Y")-P77)</f>
        <v/>
      </c>
      <c r="U77" s="122" t="str">
        <f>IF(B77="","",SUMIFS(Tree!$AL:$AL,Tree!$A:$A,'Pre-Harvest Plots_rpt'!$B77,Tree!$B:$B,'Pre-Harvest Plots_rpt'!$D77,Tree!$F:$F,"L",Tree!$K:$K,"&lt;&gt;"&amp;"Y")-Q77)</f>
        <v/>
      </c>
      <c r="V77" s="123" t="str">
        <f>IF(B77="","",ROUND(SUMIFS(Tree!$AE:$AE,Tree!$A:$A,'Pre-Harvest Plots_rpt'!$B77,Tree!$B:$B,'Pre-Harvest Plots_rpt'!$D77,Tree!$F:$F,"L",Tree!$K:$K,"&lt;&gt;"&amp;"Y")-R77,1))</f>
        <v/>
      </c>
      <c r="W77" s="124" t="str">
        <f>IF(B77="","",SUMIFS(Tree!$AY:$AY,Tree!$A:$A,'Pre-Harvest Plots_rpt'!$B77,Tree!$B:$B,'Pre-Harvest Plots_rpt'!$D77,Tree!$F:$F,"L",Tree!$K:$K,"&lt;&gt;"&amp;"Y")/1000)</f>
        <v/>
      </c>
      <c r="X77" s="158" t="str">
        <f>IF(B77="","",ROUND((SUMIFS(Tree!$AW:$AW,Tree!$A:$A,'Pre-Harvest Plots_rpt'!$B77,Tree!$B:$B,'Pre-Harvest Plots_rpt'!$D77,Tree!$F:$F,"L",Tree!$K:$K,"&lt;&gt;"&amp;"Y")/1000)-W77,1))</f>
        <v/>
      </c>
      <c r="Y77" s="135"/>
      <c r="Z77" s="161" t="str">
        <f>IF(IF(B77="","",SUMIFS(Tree!$O:$O,Tree!$A:$A,'Pre-Harvest Plots_rpt'!$B77,Tree!$B:$B,'Pre-Harvest Plots_rpt'!$D77,Tree!$F:$F,"D",Tree!$K:$K,"&lt;&gt;"&amp;"Y"))=0,"",IF(B77="","",SUMIFS(Tree!$O:$O,Tree!$A:$A,'Pre-Harvest Plots_rpt'!$B77,Tree!$B:$B,'Pre-Harvest Plots_rpt'!$D77,Tree!$F:$F,"D",Tree!$K:$K,"&lt;&gt;"&amp;"Y")))</f>
        <v/>
      </c>
      <c r="AA77" s="125" t="str">
        <f t="shared" si="7"/>
        <v/>
      </c>
      <c r="AB77" s="125" t="str">
        <f>IF(Z77="","",SUMIFS(Tree!$R:$R,Tree!$A:$A,'Pre-Harvest Plots_rpt'!$B77,Tree!$B:$B,'Pre-Harvest Plots_rpt'!$D77,Tree!$F:$F,"D",Tree!$K:$K,"&lt;&gt;"&amp;"Y"))</f>
        <v/>
      </c>
      <c r="AC77" s="126" t="str">
        <f>IF(Z77="","",SUMIFS(Tree!$AM:$AM,Tree!$A:$A,'Pre-Harvest Plots_rpt'!$B77,Tree!$B:$B,'Pre-Harvest Plots_rpt'!$D77,Tree!$F:$F,"D",Tree!$K:$K,"&lt;&gt;"&amp;"Y"))</f>
        <v/>
      </c>
      <c r="AD77" s="162" t="str">
        <f>IF(Z77="","",SUMIFS(Tree!$AW:$AW,Tree!$A:$A,'Pre-Harvest Plots_rpt'!$B77,Tree!$B:$B,'Pre-Harvest Plots_rpt'!$D77,Tree!$F:$F,"D",Tree!$K:$K,"&lt;&gt;"&amp;"Y")/1000)</f>
        <v/>
      </c>
      <c r="AE77" s="47"/>
      <c r="AF77" s="18"/>
      <c r="AG77" s="18"/>
      <c r="AH77" s="18"/>
    </row>
    <row r="78" spans="1:34" ht="12.75" customHeight="1" x14ac:dyDescent="0.25">
      <c r="A78" s="48">
        <v>75</v>
      </c>
      <c r="B78" s="171" t="str">
        <f>IF(A78&lt;=SUM(Stand!$H$3:$H$29),VLOOKUP(A78,Stand!$A$3:$C$29,3,TRUE),"")</f>
        <v/>
      </c>
      <c r="C78" s="172" t="str">
        <f t="shared" si="4"/>
        <v/>
      </c>
      <c r="D78" s="173" t="str">
        <f>IF(B78="","",VLOOKUP(B78&amp;C78,Plot!$B$2:$D$199,3,FALSE))</f>
        <v/>
      </c>
      <c r="E78" s="130"/>
      <c r="F78" s="152" t="str">
        <f>IF(B78="","",SUMIFS(Tree!$O:$O,Tree!$A:$A,'Pre-Harvest Plots_rpt'!$B78,Tree!$B:$B,'Pre-Harvest Plots_rpt'!$D78,Tree!$F:$F,"L",Tree!$K:$K,"&lt;&gt;"&amp;"Y"))</f>
        <v/>
      </c>
      <c r="G78" s="153" t="str">
        <f>IFERROR(IF(D78="","",SUMIFS(Tree!$P:$P,Tree!$A:$A,'Pre-Harvest Plots_rpt'!$B78,Tree!$B:$B,'Pre-Harvest Plots_rpt'!$D78,Tree!$K:$K,"&lt;&gt;"&amp;"Y")/$F78),"")</f>
        <v/>
      </c>
      <c r="H78" s="122" t="str">
        <f t="shared" si="5"/>
        <v/>
      </c>
      <c r="I78" s="121" t="str">
        <f>IF(OR($F78=0,$F78=""),"",SUMIFS(Tree!$R:$R,Tree!$A:$A,'Pre-Harvest Plots_rpt'!$B78,Tree!$B:$B,'Pre-Harvest Plots_rpt'!$D78,Tree!$F:$F,"L",Tree!$K:$K,"&lt;&gt;"&amp;"Y"))</f>
        <v/>
      </c>
      <c r="J78" s="121" t="str">
        <f>IF(OR($F78=0,$F78=""),"",IF(SUMIFS(Tree!$W:$W,Tree!$A:$A,'Pre-Harvest Plots_rpt'!$B78,Tree!$B:$B,'Pre-Harvest Plots_rpt'!$D78,Tree!$F:$F,"L",Tree!$K:$K,"&lt;&gt;"&amp;"Y")=0,0,AVERAGEIFS(Tree!$W:$W,Tree!$A:$A,'Pre-Harvest Plots_rpt'!$B78,Tree!$B:$B,'Pre-Harvest Plots_rpt'!$D78,Tree!$F:$F,"L",Tree!$K:$K,"&lt;&gt;"&amp;"Y")))</f>
        <v/>
      </c>
      <c r="K78" s="121" t="str">
        <f>IF($F78="","",SUMIFS(Tree!$S:$S,Tree!$A:$A,'Pre-Harvest Plots_rpt'!$B78,Tree!$B:$B,'Pre-Harvest Plots_rpt'!$D78,Tree!$F:$F,"L",Tree!$K:$K,"&lt;&gt;"&amp;"Y"))</f>
        <v/>
      </c>
      <c r="L78" s="154" t="str">
        <f t="shared" si="6"/>
        <v/>
      </c>
      <c r="M78" s="135"/>
      <c r="N78" s="192" t="str">
        <f>IF(B78="","",SUMIFS(Tree!$AM:$AM,Tree!$A:$A,'Pre-Harvest Plots_rpt'!$B78,Tree!$B:$B,'Pre-Harvest Plots_rpt'!$D78,Tree!$F:$F,"L",Tree!$K:$K,"&lt;&gt;"&amp;"Y"))</f>
        <v/>
      </c>
      <c r="O78" s="122" t="str">
        <f>IF(B78="","",SUMIFS(Tree!$AN:$AN,Tree!$A:$A,'Pre-Harvest Plots_rpt'!$B78,Tree!$B:$B,'Pre-Harvest Plots_rpt'!$D78,Tree!$F:$F,"L",Tree!$K:$K,"&lt;&gt;"&amp;"Y"))</f>
        <v/>
      </c>
      <c r="P78" s="122" t="str">
        <f>IF(B78="","",SUMIFS(Tree!$AO:$AO,Tree!$A:$A,'Pre-Harvest Plots_rpt'!$B78,Tree!$B:$B,'Pre-Harvest Plots_rpt'!$D78,Tree!$F:$F,"L",Tree!$K:$K,"&lt;&gt;"&amp;"Y"))</f>
        <v/>
      </c>
      <c r="Q78" s="122" t="str">
        <f>IF(B78="","",SUMIFS(Tree!$AP:$AP,Tree!$A:$A,'Pre-Harvest Plots_rpt'!$B78,Tree!$B:$B,'Pre-Harvest Plots_rpt'!$D78,Tree!$F:$F,"L",Tree!$K:$K,"&lt;&gt;"&amp;"Y"))</f>
        <v/>
      </c>
      <c r="R78" s="123" t="str">
        <f>IF(B78="","",SUMIFS(Tree!$AQ:$AQ,Tree!$A:$A,'Pre-Harvest Plots_rpt'!$B78,Tree!$B:$B,'Pre-Harvest Plots_rpt'!$D78,Tree!$F:$F,"L",Tree!$K:$K,"&lt;&gt;"&amp;"Y"))</f>
        <v/>
      </c>
      <c r="S78" s="122" t="str">
        <f>IF(B78="","",SUMIFS(Tree!$AJ:$AJ,Tree!$A:$A,'Pre-Harvest Plots_rpt'!$B78,Tree!$B:$B,'Pre-Harvest Plots_rpt'!$D78,Tree!$F:$F,"L",Tree!$K:$K,"&lt;&gt;"&amp;"Y")-O78)</f>
        <v/>
      </c>
      <c r="T78" s="122" t="str">
        <f>IF(B78="","",SUMIFS(Tree!$AK:$AK,Tree!$A:$A,'Pre-Harvest Plots_rpt'!$B78,Tree!$B:$B,'Pre-Harvest Plots_rpt'!$D78,Tree!$F:$F,"L",Tree!$K:$K,"&lt;&gt;"&amp;"Y")-P78)</f>
        <v/>
      </c>
      <c r="U78" s="122" t="str">
        <f>IF(B78="","",SUMIFS(Tree!$AL:$AL,Tree!$A:$A,'Pre-Harvest Plots_rpt'!$B78,Tree!$B:$B,'Pre-Harvest Plots_rpt'!$D78,Tree!$F:$F,"L",Tree!$K:$K,"&lt;&gt;"&amp;"Y")-Q78)</f>
        <v/>
      </c>
      <c r="V78" s="123" t="str">
        <f>IF(B78="","",ROUND(SUMIFS(Tree!$AE:$AE,Tree!$A:$A,'Pre-Harvest Plots_rpt'!$B78,Tree!$B:$B,'Pre-Harvest Plots_rpt'!$D78,Tree!$F:$F,"L",Tree!$K:$K,"&lt;&gt;"&amp;"Y")-R78,1))</f>
        <v/>
      </c>
      <c r="W78" s="124" t="str">
        <f>IF(B78="","",SUMIFS(Tree!$AY:$AY,Tree!$A:$A,'Pre-Harvest Plots_rpt'!$B78,Tree!$B:$B,'Pre-Harvest Plots_rpt'!$D78,Tree!$F:$F,"L",Tree!$K:$K,"&lt;&gt;"&amp;"Y")/1000)</f>
        <v/>
      </c>
      <c r="X78" s="158" t="str">
        <f>IF(B78="","",ROUND((SUMIFS(Tree!$AW:$AW,Tree!$A:$A,'Pre-Harvest Plots_rpt'!$B78,Tree!$B:$B,'Pre-Harvest Plots_rpt'!$D78,Tree!$F:$F,"L",Tree!$K:$K,"&lt;&gt;"&amp;"Y")/1000)-W78,1))</f>
        <v/>
      </c>
      <c r="Y78" s="135"/>
      <c r="Z78" s="161" t="str">
        <f>IF(IF(B78="","",SUMIFS(Tree!$O:$O,Tree!$A:$A,'Pre-Harvest Plots_rpt'!$B78,Tree!$B:$B,'Pre-Harvest Plots_rpt'!$D78,Tree!$F:$F,"D",Tree!$K:$K,"&lt;&gt;"&amp;"Y"))=0,"",IF(B78="","",SUMIFS(Tree!$O:$O,Tree!$A:$A,'Pre-Harvest Plots_rpt'!$B78,Tree!$B:$B,'Pre-Harvest Plots_rpt'!$D78,Tree!$F:$F,"D",Tree!$K:$K,"&lt;&gt;"&amp;"Y")))</f>
        <v/>
      </c>
      <c r="AA78" s="125" t="str">
        <f t="shared" si="7"/>
        <v/>
      </c>
      <c r="AB78" s="125" t="str">
        <f>IF(Z78="","",SUMIFS(Tree!$R:$R,Tree!$A:$A,'Pre-Harvest Plots_rpt'!$B78,Tree!$B:$B,'Pre-Harvest Plots_rpt'!$D78,Tree!$F:$F,"D",Tree!$K:$K,"&lt;&gt;"&amp;"Y"))</f>
        <v/>
      </c>
      <c r="AC78" s="126" t="str">
        <f>IF(Z78="","",SUMIFS(Tree!$AM:$AM,Tree!$A:$A,'Pre-Harvest Plots_rpt'!$B78,Tree!$B:$B,'Pre-Harvest Plots_rpt'!$D78,Tree!$F:$F,"D",Tree!$K:$K,"&lt;&gt;"&amp;"Y"))</f>
        <v/>
      </c>
      <c r="AD78" s="162" t="str">
        <f>IF(Z78="","",SUMIFS(Tree!$AW:$AW,Tree!$A:$A,'Pre-Harvest Plots_rpt'!$B78,Tree!$B:$B,'Pre-Harvest Plots_rpt'!$D78,Tree!$F:$F,"D",Tree!$K:$K,"&lt;&gt;"&amp;"Y")/1000)</f>
        <v/>
      </c>
      <c r="AE78" s="47"/>
      <c r="AF78" s="18"/>
      <c r="AG78" s="18"/>
      <c r="AH78" s="18"/>
    </row>
    <row r="79" spans="1:34" ht="12.75" customHeight="1" x14ac:dyDescent="0.25">
      <c r="A79" s="48">
        <v>76</v>
      </c>
      <c r="B79" s="171" t="str">
        <f>IF(A79&lt;=SUM(Stand!$H$3:$H$29),VLOOKUP(A79,Stand!$A$3:$C$29,3,TRUE),"")</f>
        <v/>
      </c>
      <c r="C79" s="172" t="str">
        <f t="shared" si="4"/>
        <v/>
      </c>
      <c r="D79" s="173" t="str">
        <f>IF(B79="","",VLOOKUP(B79&amp;C79,Plot!$B$2:$D$199,3,FALSE))</f>
        <v/>
      </c>
      <c r="E79" s="130"/>
      <c r="F79" s="152" t="str">
        <f>IF(B79="","",SUMIFS(Tree!$O:$O,Tree!$A:$A,'Pre-Harvest Plots_rpt'!$B79,Tree!$B:$B,'Pre-Harvest Plots_rpt'!$D79,Tree!$F:$F,"L",Tree!$K:$K,"&lt;&gt;"&amp;"Y"))</f>
        <v/>
      </c>
      <c r="G79" s="153" t="str">
        <f>IFERROR(IF(D79="","",SUMIFS(Tree!$P:$P,Tree!$A:$A,'Pre-Harvest Plots_rpt'!$B79,Tree!$B:$B,'Pre-Harvest Plots_rpt'!$D79,Tree!$K:$K,"&lt;&gt;"&amp;"Y")/$F79),"")</f>
        <v/>
      </c>
      <c r="H79" s="122" t="str">
        <f t="shared" si="5"/>
        <v/>
      </c>
      <c r="I79" s="121" t="str">
        <f>IF(OR($F79=0,$F79=""),"",SUMIFS(Tree!$R:$R,Tree!$A:$A,'Pre-Harvest Plots_rpt'!$B79,Tree!$B:$B,'Pre-Harvest Plots_rpt'!$D79,Tree!$F:$F,"L",Tree!$K:$K,"&lt;&gt;"&amp;"Y"))</f>
        <v/>
      </c>
      <c r="J79" s="121" t="str">
        <f>IF(OR($F79=0,$F79=""),"",IF(SUMIFS(Tree!$W:$W,Tree!$A:$A,'Pre-Harvest Plots_rpt'!$B79,Tree!$B:$B,'Pre-Harvest Plots_rpt'!$D79,Tree!$F:$F,"L",Tree!$K:$K,"&lt;&gt;"&amp;"Y")=0,0,AVERAGEIFS(Tree!$W:$W,Tree!$A:$A,'Pre-Harvest Plots_rpt'!$B79,Tree!$B:$B,'Pre-Harvest Plots_rpt'!$D79,Tree!$F:$F,"L",Tree!$K:$K,"&lt;&gt;"&amp;"Y")))</f>
        <v/>
      </c>
      <c r="K79" s="121" t="str">
        <f>IF($F79="","",SUMIFS(Tree!$S:$S,Tree!$A:$A,'Pre-Harvest Plots_rpt'!$B79,Tree!$B:$B,'Pre-Harvest Plots_rpt'!$D79,Tree!$F:$F,"L",Tree!$K:$K,"&lt;&gt;"&amp;"Y"))</f>
        <v/>
      </c>
      <c r="L79" s="154" t="str">
        <f t="shared" si="6"/>
        <v/>
      </c>
      <c r="M79" s="135"/>
      <c r="N79" s="192" t="str">
        <f>IF(B79="","",SUMIFS(Tree!$AM:$AM,Tree!$A:$A,'Pre-Harvest Plots_rpt'!$B79,Tree!$B:$B,'Pre-Harvest Plots_rpt'!$D79,Tree!$F:$F,"L",Tree!$K:$K,"&lt;&gt;"&amp;"Y"))</f>
        <v/>
      </c>
      <c r="O79" s="122" t="str">
        <f>IF(B79="","",SUMIFS(Tree!$AN:$AN,Tree!$A:$A,'Pre-Harvest Plots_rpt'!$B79,Tree!$B:$B,'Pre-Harvest Plots_rpt'!$D79,Tree!$F:$F,"L",Tree!$K:$K,"&lt;&gt;"&amp;"Y"))</f>
        <v/>
      </c>
      <c r="P79" s="122" t="str">
        <f>IF(B79="","",SUMIFS(Tree!$AO:$AO,Tree!$A:$A,'Pre-Harvest Plots_rpt'!$B79,Tree!$B:$B,'Pre-Harvest Plots_rpt'!$D79,Tree!$F:$F,"L",Tree!$K:$K,"&lt;&gt;"&amp;"Y"))</f>
        <v/>
      </c>
      <c r="Q79" s="122" t="str">
        <f>IF(B79="","",SUMIFS(Tree!$AP:$AP,Tree!$A:$A,'Pre-Harvest Plots_rpt'!$B79,Tree!$B:$B,'Pre-Harvest Plots_rpt'!$D79,Tree!$F:$F,"L",Tree!$K:$K,"&lt;&gt;"&amp;"Y"))</f>
        <v/>
      </c>
      <c r="R79" s="123" t="str">
        <f>IF(B79="","",SUMIFS(Tree!$AQ:$AQ,Tree!$A:$A,'Pre-Harvest Plots_rpt'!$B79,Tree!$B:$B,'Pre-Harvest Plots_rpt'!$D79,Tree!$F:$F,"L",Tree!$K:$K,"&lt;&gt;"&amp;"Y"))</f>
        <v/>
      </c>
      <c r="S79" s="122" t="str">
        <f>IF(B79="","",SUMIFS(Tree!$AJ:$AJ,Tree!$A:$A,'Pre-Harvest Plots_rpt'!$B79,Tree!$B:$B,'Pre-Harvest Plots_rpt'!$D79,Tree!$F:$F,"L",Tree!$K:$K,"&lt;&gt;"&amp;"Y")-O79)</f>
        <v/>
      </c>
      <c r="T79" s="122" t="str">
        <f>IF(B79="","",SUMIFS(Tree!$AK:$AK,Tree!$A:$A,'Pre-Harvest Plots_rpt'!$B79,Tree!$B:$B,'Pre-Harvest Plots_rpt'!$D79,Tree!$F:$F,"L",Tree!$K:$K,"&lt;&gt;"&amp;"Y")-P79)</f>
        <v/>
      </c>
      <c r="U79" s="122" t="str">
        <f>IF(B79="","",SUMIFS(Tree!$AL:$AL,Tree!$A:$A,'Pre-Harvest Plots_rpt'!$B79,Tree!$B:$B,'Pre-Harvest Plots_rpt'!$D79,Tree!$F:$F,"L",Tree!$K:$K,"&lt;&gt;"&amp;"Y")-Q79)</f>
        <v/>
      </c>
      <c r="V79" s="123" t="str">
        <f>IF(B79="","",ROUND(SUMIFS(Tree!$AE:$AE,Tree!$A:$A,'Pre-Harvest Plots_rpt'!$B79,Tree!$B:$B,'Pre-Harvest Plots_rpt'!$D79,Tree!$F:$F,"L",Tree!$K:$K,"&lt;&gt;"&amp;"Y")-R79,1))</f>
        <v/>
      </c>
      <c r="W79" s="124" t="str">
        <f>IF(B79="","",SUMIFS(Tree!$AY:$AY,Tree!$A:$A,'Pre-Harvest Plots_rpt'!$B79,Tree!$B:$B,'Pre-Harvest Plots_rpt'!$D79,Tree!$F:$F,"L",Tree!$K:$K,"&lt;&gt;"&amp;"Y")/1000)</f>
        <v/>
      </c>
      <c r="X79" s="158" t="str">
        <f>IF(B79="","",ROUND((SUMIFS(Tree!$AW:$AW,Tree!$A:$A,'Pre-Harvest Plots_rpt'!$B79,Tree!$B:$B,'Pre-Harvest Plots_rpt'!$D79,Tree!$F:$F,"L",Tree!$K:$K,"&lt;&gt;"&amp;"Y")/1000)-W79,1))</f>
        <v/>
      </c>
      <c r="Y79" s="135"/>
      <c r="Z79" s="161" t="str">
        <f>IF(IF(B79="","",SUMIFS(Tree!$O:$O,Tree!$A:$A,'Pre-Harvest Plots_rpt'!$B79,Tree!$B:$B,'Pre-Harvest Plots_rpt'!$D79,Tree!$F:$F,"D",Tree!$K:$K,"&lt;&gt;"&amp;"Y"))=0,"",IF(B79="","",SUMIFS(Tree!$O:$O,Tree!$A:$A,'Pre-Harvest Plots_rpt'!$B79,Tree!$B:$B,'Pre-Harvest Plots_rpt'!$D79,Tree!$F:$F,"D",Tree!$K:$K,"&lt;&gt;"&amp;"Y")))</f>
        <v/>
      </c>
      <c r="AA79" s="125" t="str">
        <f t="shared" si="7"/>
        <v/>
      </c>
      <c r="AB79" s="125" t="str">
        <f>IF(Z79="","",SUMIFS(Tree!$R:$R,Tree!$A:$A,'Pre-Harvest Plots_rpt'!$B79,Tree!$B:$B,'Pre-Harvest Plots_rpt'!$D79,Tree!$F:$F,"D",Tree!$K:$K,"&lt;&gt;"&amp;"Y"))</f>
        <v/>
      </c>
      <c r="AC79" s="126" t="str">
        <f>IF(Z79="","",SUMIFS(Tree!$AM:$AM,Tree!$A:$A,'Pre-Harvest Plots_rpt'!$B79,Tree!$B:$B,'Pre-Harvest Plots_rpt'!$D79,Tree!$F:$F,"D",Tree!$K:$K,"&lt;&gt;"&amp;"Y"))</f>
        <v/>
      </c>
      <c r="AD79" s="162" t="str">
        <f>IF(Z79="","",SUMIFS(Tree!$AW:$AW,Tree!$A:$A,'Pre-Harvest Plots_rpt'!$B79,Tree!$B:$B,'Pre-Harvest Plots_rpt'!$D79,Tree!$F:$F,"D",Tree!$K:$K,"&lt;&gt;"&amp;"Y")/1000)</f>
        <v/>
      </c>
      <c r="AE79" s="47"/>
      <c r="AF79" s="18"/>
      <c r="AG79" s="18"/>
      <c r="AH79" s="18"/>
    </row>
    <row r="80" spans="1:34" ht="12.75" customHeight="1" x14ac:dyDescent="0.25">
      <c r="A80" s="48">
        <v>77</v>
      </c>
      <c r="B80" s="171" t="str">
        <f>IF(A80&lt;=SUM(Stand!$H$3:$H$29),VLOOKUP(A80,Stand!$A$3:$C$29,3,TRUE),"")</f>
        <v/>
      </c>
      <c r="C80" s="172" t="str">
        <f t="shared" si="4"/>
        <v/>
      </c>
      <c r="D80" s="173" t="str">
        <f>IF(B80="","",VLOOKUP(B80&amp;C80,Plot!$B$2:$D$199,3,FALSE))</f>
        <v/>
      </c>
      <c r="E80" s="130"/>
      <c r="F80" s="152" t="str">
        <f>IF(B80="","",SUMIFS(Tree!$O:$O,Tree!$A:$A,'Pre-Harvest Plots_rpt'!$B80,Tree!$B:$B,'Pre-Harvest Plots_rpt'!$D80,Tree!$F:$F,"L",Tree!$K:$K,"&lt;&gt;"&amp;"Y"))</f>
        <v/>
      </c>
      <c r="G80" s="153" t="str">
        <f>IFERROR(IF(D80="","",SUMIFS(Tree!$P:$P,Tree!$A:$A,'Pre-Harvest Plots_rpt'!$B80,Tree!$B:$B,'Pre-Harvest Plots_rpt'!$D80,Tree!$K:$K,"&lt;&gt;"&amp;"Y")/$F80),"")</f>
        <v/>
      </c>
      <c r="H80" s="122" t="str">
        <f t="shared" si="5"/>
        <v/>
      </c>
      <c r="I80" s="121" t="str">
        <f>IF(OR($F80=0,$F80=""),"",SUMIFS(Tree!$R:$R,Tree!$A:$A,'Pre-Harvest Plots_rpt'!$B80,Tree!$B:$B,'Pre-Harvest Plots_rpt'!$D80,Tree!$F:$F,"L",Tree!$K:$K,"&lt;&gt;"&amp;"Y"))</f>
        <v/>
      </c>
      <c r="J80" s="121" t="str">
        <f>IF(OR($F80=0,$F80=""),"",IF(SUMIFS(Tree!$W:$W,Tree!$A:$A,'Pre-Harvest Plots_rpt'!$B80,Tree!$B:$B,'Pre-Harvest Plots_rpt'!$D80,Tree!$F:$F,"L",Tree!$K:$K,"&lt;&gt;"&amp;"Y")=0,0,AVERAGEIFS(Tree!$W:$W,Tree!$A:$A,'Pre-Harvest Plots_rpt'!$B80,Tree!$B:$B,'Pre-Harvest Plots_rpt'!$D80,Tree!$F:$F,"L",Tree!$K:$K,"&lt;&gt;"&amp;"Y")))</f>
        <v/>
      </c>
      <c r="K80" s="121" t="str">
        <f>IF($F80="","",SUMIFS(Tree!$S:$S,Tree!$A:$A,'Pre-Harvest Plots_rpt'!$B80,Tree!$B:$B,'Pre-Harvest Plots_rpt'!$D80,Tree!$F:$F,"L",Tree!$K:$K,"&lt;&gt;"&amp;"Y"))</f>
        <v/>
      </c>
      <c r="L80" s="154" t="str">
        <f t="shared" si="6"/>
        <v/>
      </c>
      <c r="M80" s="135"/>
      <c r="N80" s="192" t="str">
        <f>IF(B80="","",SUMIFS(Tree!$AM:$AM,Tree!$A:$A,'Pre-Harvest Plots_rpt'!$B80,Tree!$B:$B,'Pre-Harvest Plots_rpt'!$D80,Tree!$F:$F,"L",Tree!$K:$K,"&lt;&gt;"&amp;"Y"))</f>
        <v/>
      </c>
      <c r="O80" s="122" t="str">
        <f>IF(B80="","",SUMIFS(Tree!$AN:$AN,Tree!$A:$A,'Pre-Harvest Plots_rpt'!$B80,Tree!$B:$B,'Pre-Harvest Plots_rpt'!$D80,Tree!$F:$F,"L",Tree!$K:$K,"&lt;&gt;"&amp;"Y"))</f>
        <v/>
      </c>
      <c r="P80" s="122" t="str">
        <f>IF(B80="","",SUMIFS(Tree!$AO:$AO,Tree!$A:$A,'Pre-Harvest Plots_rpt'!$B80,Tree!$B:$B,'Pre-Harvest Plots_rpt'!$D80,Tree!$F:$F,"L",Tree!$K:$K,"&lt;&gt;"&amp;"Y"))</f>
        <v/>
      </c>
      <c r="Q80" s="122" t="str">
        <f>IF(B80="","",SUMIFS(Tree!$AP:$AP,Tree!$A:$A,'Pre-Harvest Plots_rpt'!$B80,Tree!$B:$B,'Pre-Harvest Plots_rpt'!$D80,Tree!$F:$F,"L",Tree!$K:$K,"&lt;&gt;"&amp;"Y"))</f>
        <v/>
      </c>
      <c r="R80" s="123" t="str">
        <f>IF(B80="","",SUMIFS(Tree!$AQ:$AQ,Tree!$A:$A,'Pre-Harvest Plots_rpt'!$B80,Tree!$B:$B,'Pre-Harvest Plots_rpt'!$D80,Tree!$F:$F,"L",Tree!$K:$K,"&lt;&gt;"&amp;"Y"))</f>
        <v/>
      </c>
      <c r="S80" s="122" t="str">
        <f>IF(B80="","",SUMIFS(Tree!$AJ:$AJ,Tree!$A:$A,'Pre-Harvest Plots_rpt'!$B80,Tree!$B:$B,'Pre-Harvest Plots_rpt'!$D80,Tree!$F:$F,"L",Tree!$K:$K,"&lt;&gt;"&amp;"Y")-O80)</f>
        <v/>
      </c>
      <c r="T80" s="122" t="str">
        <f>IF(B80="","",SUMIFS(Tree!$AK:$AK,Tree!$A:$A,'Pre-Harvest Plots_rpt'!$B80,Tree!$B:$B,'Pre-Harvest Plots_rpt'!$D80,Tree!$F:$F,"L",Tree!$K:$K,"&lt;&gt;"&amp;"Y")-P80)</f>
        <v/>
      </c>
      <c r="U80" s="122" t="str">
        <f>IF(B80="","",SUMIFS(Tree!$AL:$AL,Tree!$A:$A,'Pre-Harvest Plots_rpt'!$B80,Tree!$B:$B,'Pre-Harvest Plots_rpt'!$D80,Tree!$F:$F,"L",Tree!$K:$K,"&lt;&gt;"&amp;"Y")-Q80)</f>
        <v/>
      </c>
      <c r="V80" s="123" t="str">
        <f>IF(B80="","",ROUND(SUMIFS(Tree!$AE:$AE,Tree!$A:$A,'Pre-Harvest Plots_rpt'!$B80,Tree!$B:$B,'Pre-Harvest Plots_rpt'!$D80,Tree!$F:$F,"L",Tree!$K:$K,"&lt;&gt;"&amp;"Y")-R80,1))</f>
        <v/>
      </c>
      <c r="W80" s="124" t="str">
        <f>IF(B80="","",SUMIFS(Tree!$AY:$AY,Tree!$A:$A,'Pre-Harvest Plots_rpt'!$B80,Tree!$B:$B,'Pre-Harvest Plots_rpt'!$D80,Tree!$F:$F,"L",Tree!$K:$K,"&lt;&gt;"&amp;"Y")/1000)</f>
        <v/>
      </c>
      <c r="X80" s="158" t="str">
        <f>IF(B80="","",ROUND((SUMIFS(Tree!$AW:$AW,Tree!$A:$A,'Pre-Harvest Plots_rpt'!$B80,Tree!$B:$B,'Pre-Harvest Plots_rpt'!$D80,Tree!$F:$F,"L",Tree!$K:$K,"&lt;&gt;"&amp;"Y")/1000)-W80,1))</f>
        <v/>
      </c>
      <c r="Y80" s="135"/>
      <c r="Z80" s="161" t="str">
        <f>IF(IF(B80="","",SUMIFS(Tree!$O:$O,Tree!$A:$A,'Pre-Harvest Plots_rpt'!$B80,Tree!$B:$B,'Pre-Harvest Plots_rpt'!$D80,Tree!$F:$F,"D",Tree!$K:$K,"&lt;&gt;"&amp;"Y"))=0,"",IF(B80="","",SUMIFS(Tree!$O:$O,Tree!$A:$A,'Pre-Harvest Plots_rpt'!$B80,Tree!$B:$B,'Pre-Harvest Plots_rpt'!$D80,Tree!$F:$F,"D",Tree!$K:$K,"&lt;&gt;"&amp;"Y")))</f>
        <v/>
      </c>
      <c r="AA80" s="125" t="str">
        <f t="shared" si="7"/>
        <v/>
      </c>
      <c r="AB80" s="125" t="str">
        <f>IF(Z80="","",SUMIFS(Tree!$R:$R,Tree!$A:$A,'Pre-Harvest Plots_rpt'!$B80,Tree!$B:$B,'Pre-Harvest Plots_rpt'!$D80,Tree!$F:$F,"D",Tree!$K:$K,"&lt;&gt;"&amp;"Y"))</f>
        <v/>
      </c>
      <c r="AC80" s="126" t="str">
        <f>IF(Z80="","",SUMIFS(Tree!$AM:$AM,Tree!$A:$A,'Pre-Harvest Plots_rpt'!$B80,Tree!$B:$B,'Pre-Harvest Plots_rpt'!$D80,Tree!$F:$F,"D",Tree!$K:$K,"&lt;&gt;"&amp;"Y"))</f>
        <v/>
      </c>
      <c r="AD80" s="162" t="str">
        <f>IF(Z80="","",SUMIFS(Tree!$AW:$AW,Tree!$A:$A,'Pre-Harvest Plots_rpt'!$B80,Tree!$B:$B,'Pre-Harvest Plots_rpt'!$D80,Tree!$F:$F,"D",Tree!$K:$K,"&lt;&gt;"&amp;"Y")/1000)</f>
        <v/>
      </c>
      <c r="AE80" s="47"/>
      <c r="AF80" s="18"/>
      <c r="AG80" s="18"/>
      <c r="AH80" s="18"/>
    </row>
    <row r="81" spans="1:34" ht="12.75" customHeight="1" x14ac:dyDescent="0.25">
      <c r="A81" s="48">
        <v>78</v>
      </c>
      <c r="B81" s="171" t="str">
        <f>IF(A81&lt;=SUM(Stand!$H$3:$H$29),VLOOKUP(A81,Stand!$A$3:$C$29,3,TRUE),"")</f>
        <v/>
      </c>
      <c r="C81" s="172" t="str">
        <f t="shared" si="4"/>
        <v/>
      </c>
      <c r="D81" s="173" t="str">
        <f>IF(B81="","",VLOOKUP(B81&amp;C81,Plot!$B$2:$D$199,3,FALSE))</f>
        <v/>
      </c>
      <c r="E81" s="130"/>
      <c r="F81" s="152" t="str">
        <f>IF(B81="","",SUMIFS(Tree!$O:$O,Tree!$A:$A,'Pre-Harvest Plots_rpt'!$B81,Tree!$B:$B,'Pre-Harvest Plots_rpt'!$D81,Tree!$F:$F,"L",Tree!$K:$K,"&lt;&gt;"&amp;"Y"))</f>
        <v/>
      </c>
      <c r="G81" s="153" t="str">
        <f>IFERROR(IF(D81="","",SUMIFS(Tree!$P:$P,Tree!$A:$A,'Pre-Harvest Plots_rpt'!$B81,Tree!$B:$B,'Pre-Harvest Plots_rpt'!$D81,Tree!$K:$K,"&lt;&gt;"&amp;"Y")/$F81),"")</f>
        <v/>
      </c>
      <c r="H81" s="122" t="str">
        <f t="shared" si="5"/>
        <v/>
      </c>
      <c r="I81" s="121" t="str">
        <f>IF(OR($F81=0,$F81=""),"",SUMIFS(Tree!$R:$R,Tree!$A:$A,'Pre-Harvest Plots_rpt'!$B81,Tree!$B:$B,'Pre-Harvest Plots_rpt'!$D81,Tree!$F:$F,"L",Tree!$K:$K,"&lt;&gt;"&amp;"Y"))</f>
        <v/>
      </c>
      <c r="J81" s="121" t="str">
        <f>IF(OR($F81=0,$F81=""),"",IF(SUMIFS(Tree!$W:$W,Tree!$A:$A,'Pre-Harvest Plots_rpt'!$B81,Tree!$B:$B,'Pre-Harvest Plots_rpt'!$D81,Tree!$F:$F,"L",Tree!$K:$K,"&lt;&gt;"&amp;"Y")=0,0,AVERAGEIFS(Tree!$W:$W,Tree!$A:$A,'Pre-Harvest Plots_rpt'!$B81,Tree!$B:$B,'Pre-Harvest Plots_rpt'!$D81,Tree!$F:$F,"L",Tree!$K:$K,"&lt;&gt;"&amp;"Y")))</f>
        <v/>
      </c>
      <c r="K81" s="121" t="str">
        <f>IF($F81="","",SUMIFS(Tree!$S:$S,Tree!$A:$A,'Pre-Harvest Plots_rpt'!$B81,Tree!$B:$B,'Pre-Harvest Plots_rpt'!$D81,Tree!$F:$F,"L",Tree!$K:$K,"&lt;&gt;"&amp;"Y"))</f>
        <v/>
      </c>
      <c r="L81" s="154" t="str">
        <f t="shared" si="6"/>
        <v/>
      </c>
      <c r="M81" s="135"/>
      <c r="N81" s="192" t="str">
        <f>IF(B81="","",SUMIFS(Tree!$AM:$AM,Tree!$A:$A,'Pre-Harvest Plots_rpt'!$B81,Tree!$B:$B,'Pre-Harvest Plots_rpt'!$D81,Tree!$F:$F,"L",Tree!$K:$K,"&lt;&gt;"&amp;"Y"))</f>
        <v/>
      </c>
      <c r="O81" s="122" t="str">
        <f>IF(B81="","",SUMIFS(Tree!$AN:$AN,Tree!$A:$A,'Pre-Harvest Plots_rpt'!$B81,Tree!$B:$B,'Pre-Harvest Plots_rpt'!$D81,Tree!$F:$F,"L",Tree!$K:$K,"&lt;&gt;"&amp;"Y"))</f>
        <v/>
      </c>
      <c r="P81" s="122" t="str">
        <f>IF(B81="","",SUMIFS(Tree!$AO:$AO,Tree!$A:$A,'Pre-Harvest Plots_rpt'!$B81,Tree!$B:$B,'Pre-Harvest Plots_rpt'!$D81,Tree!$F:$F,"L",Tree!$K:$K,"&lt;&gt;"&amp;"Y"))</f>
        <v/>
      </c>
      <c r="Q81" s="122" t="str">
        <f>IF(B81="","",SUMIFS(Tree!$AP:$AP,Tree!$A:$A,'Pre-Harvest Plots_rpt'!$B81,Tree!$B:$B,'Pre-Harvest Plots_rpt'!$D81,Tree!$F:$F,"L",Tree!$K:$K,"&lt;&gt;"&amp;"Y"))</f>
        <v/>
      </c>
      <c r="R81" s="123" t="str">
        <f>IF(B81="","",SUMIFS(Tree!$AQ:$AQ,Tree!$A:$A,'Pre-Harvest Plots_rpt'!$B81,Tree!$B:$B,'Pre-Harvest Plots_rpt'!$D81,Tree!$F:$F,"L",Tree!$K:$K,"&lt;&gt;"&amp;"Y"))</f>
        <v/>
      </c>
      <c r="S81" s="122" t="str">
        <f>IF(B81="","",SUMIFS(Tree!$AJ:$AJ,Tree!$A:$A,'Pre-Harvest Plots_rpt'!$B81,Tree!$B:$B,'Pre-Harvest Plots_rpt'!$D81,Tree!$F:$F,"L",Tree!$K:$K,"&lt;&gt;"&amp;"Y")-O81)</f>
        <v/>
      </c>
      <c r="T81" s="122" t="str">
        <f>IF(B81="","",SUMIFS(Tree!$AK:$AK,Tree!$A:$A,'Pre-Harvest Plots_rpt'!$B81,Tree!$B:$B,'Pre-Harvest Plots_rpt'!$D81,Tree!$F:$F,"L",Tree!$K:$K,"&lt;&gt;"&amp;"Y")-P81)</f>
        <v/>
      </c>
      <c r="U81" s="122" t="str">
        <f>IF(B81="","",SUMIFS(Tree!$AL:$AL,Tree!$A:$A,'Pre-Harvest Plots_rpt'!$B81,Tree!$B:$B,'Pre-Harvest Plots_rpt'!$D81,Tree!$F:$F,"L",Tree!$K:$K,"&lt;&gt;"&amp;"Y")-Q81)</f>
        <v/>
      </c>
      <c r="V81" s="123" t="str">
        <f>IF(B81="","",ROUND(SUMIFS(Tree!$AE:$AE,Tree!$A:$A,'Pre-Harvest Plots_rpt'!$B81,Tree!$B:$B,'Pre-Harvest Plots_rpt'!$D81,Tree!$F:$F,"L",Tree!$K:$K,"&lt;&gt;"&amp;"Y")-R81,1))</f>
        <v/>
      </c>
      <c r="W81" s="124" t="str">
        <f>IF(B81="","",SUMIFS(Tree!$AY:$AY,Tree!$A:$A,'Pre-Harvest Plots_rpt'!$B81,Tree!$B:$B,'Pre-Harvest Plots_rpt'!$D81,Tree!$F:$F,"L",Tree!$K:$K,"&lt;&gt;"&amp;"Y")/1000)</f>
        <v/>
      </c>
      <c r="X81" s="158" t="str">
        <f>IF(B81="","",ROUND((SUMIFS(Tree!$AW:$AW,Tree!$A:$A,'Pre-Harvest Plots_rpt'!$B81,Tree!$B:$B,'Pre-Harvest Plots_rpt'!$D81,Tree!$F:$F,"L",Tree!$K:$K,"&lt;&gt;"&amp;"Y")/1000)-W81,1))</f>
        <v/>
      </c>
      <c r="Y81" s="135"/>
      <c r="Z81" s="161" t="str">
        <f>IF(IF(B81="","",SUMIFS(Tree!$O:$O,Tree!$A:$A,'Pre-Harvest Plots_rpt'!$B81,Tree!$B:$B,'Pre-Harvest Plots_rpt'!$D81,Tree!$F:$F,"D",Tree!$K:$K,"&lt;&gt;"&amp;"Y"))=0,"",IF(B81="","",SUMIFS(Tree!$O:$O,Tree!$A:$A,'Pre-Harvest Plots_rpt'!$B81,Tree!$B:$B,'Pre-Harvest Plots_rpt'!$D81,Tree!$F:$F,"D",Tree!$K:$K,"&lt;&gt;"&amp;"Y")))</f>
        <v/>
      </c>
      <c r="AA81" s="125" t="str">
        <f t="shared" si="7"/>
        <v/>
      </c>
      <c r="AB81" s="125" t="str">
        <f>IF(Z81="","",SUMIFS(Tree!$R:$R,Tree!$A:$A,'Pre-Harvest Plots_rpt'!$B81,Tree!$B:$B,'Pre-Harvest Plots_rpt'!$D81,Tree!$F:$F,"D",Tree!$K:$K,"&lt;&gt;"&amp;"Y"))</f>
        <v/>
      </c>
      <c r="AC81" s="126" t="str">
        <f>IF(Z81="","",SUMIFS(Tree!$AM:$AM,Tree!$A:$A,'Pre-Harvest Plots_rpt'!$B81,Tree!$B:$B,'Pre-Harvest Plots_rpt'!$D81,Tree!$F:$F,"D",Tree!$K:$K,"&lt;&gt;"&amp;"Y"))</f>
        <v/>
      </c>
      <c r="AD81" s="162" t="str">
        <f>IF(Z81="","",SUMIFS(Tree!$AW:$AW,Tree!$A:$A,'Pre-Harvest Plots_rpt'!$B81,Tree!$B:$B,'Pre-Harvest Plots_rpt'!$D81,Tree!$F:$F,"D",Tree!$K:$K,"&lt;&gt;"&amp;"Y")/1000)</f>
        <v/>
      </c>
      <c r="AE81" s="47"/>
      <c r="AF81" s="18"/>
      <c r="AG81" s="18"/>
      <c r="AH81" s="18"/>
    </row>
    <row r="82" spans="1:34" ht="12.75" customHeight="1" x14ac:dyDescent="0.25">
      <c r="A82" s="48">
        <v>79</v>
      </c>
      <c r="B82" s="171" t="str">
        <f>IF(A82&lt;=SUM(Stand!$H$3:$H$29),VLOOKUP(A82,Stand!$A$3:$C$29,3,TRUE),"")</f>
        <v/>
      </c>
      <c r="C82" s="172" t="str">
        <f t="shared" si="4"/>
        <v/>
      </c>
      <c r="D82" s="173" t="str">
        <f>IF(B82="","",VLOOKUP(B82&amp;C82,Plot!$B$2:$D$199,3,FALSE))</f>
        <v/>
      </c>
      <c r="E82" s="130"/>
      <c r="F82" s="152" t="str">
        <f>IF(B82="","",SUMIFS(Tree!$O:$O,Tree!$A:$A,'Pre-Harvest Plots_rpt'!$B82,Tree!$B:$B,'Pre-Harvest Plots_rpt'!$D82,Tree!$F:$F,"L",Tree!$K:$K,"&lt;&gt;"&amp;"Y"))</f>
        <v/>
      </c>
      <c r="G82" s="153" t="str">
        <f>IFERROR(IF(D82="","",SUMIFS(Tree!$P:$P,Tree!$A:$A,'Pre-Harvest Plots_rpt'!$B82,Tree!$B:$B,'Pre-Harvest Plots_rpt'!$D82,Tree!$K:$K,"&lt;&gt;"&amp;"Y")/$F82),"")</f>
        <v/>
      </c>
      <c r="H82" s="122" t="str">
        <f t="shared" si="5"/>
        <v/>
      </c>
      <c r="I82" s="121" t="str">
        <f>IF(OR($F82=0,$F82=""),"",SUMIFS(Tree!$R:$R,Tree!$A:$A,'Pre-Harvest Plots_rpt'!$B82,Tree!$B:$B,'Pre-Harvest Plots_rpt'!$D82,Tree!$F:$F,"L",Tree!$K:$K,"&lt;&gt;"&amp;"Y"))</f>
        <v/>
      </c>
      <c r="J82" s="121" t="str">
        <f>IF(OR($F82=0,$F82=""),"",IF(SUMIFS(Tree!$W:$W,Tree!$A:$A,'Pre-Harvest Plots_rpt'!$B82,Tree!$B:$B,'Pre-Harvest Plots_rpt'!$D82,Tree!$F:$F,"L",Tree!$K:$K,"&lt;&gt;"&amp;"Y")=0,0,AVERAGEIFS(Tree!$W:$W,Tree!$A:$A,'Pre-Harvest Plots_rpt'!$B82,Tree!$B:$B,'Pre-Harvest Plots_rpt'!$D82,Tree!$F:$F,"L",Tree!$K:$K,"&lt;&gt;"&amp;"Y")))</f>
        <v/>
      </c>
      <c r="K82" s="121" t="str">
        <f>IF($F82="","",SUMIFS(Tree!$S:$S,Tree!$A:$A,'Pre-Harvest Plots_rpt'!$B82,Tree!$B:$B,'Pre-Harvest Plots_rpt'!$D82,Tree!$F:$F,"L",Tree!$K:$K,"&lt;&gt;"&amp;"Y"))</f>
        <v/>
      </c>
      <c r="L82" s="154" t="str">
        <f t="shared" si="6"/>
        <v/>
      </c>
      <c r="M82" s="135"/>
      <c r="N82" s="192" t="str">
        <f>IF(B82="","",SUMIFS(Tree!$AM:$AM,Tree!$A:$A,'Pre-Harvest Plots_rpt'!$B82,Tree!$B:$B,'Pre-Harvest Plots_rpt'!$D82,Tree!$F:$F,"L",Tree!$K:$K,"&lt;&gt;"&amp;"Y"))</f>
        <v/>
      </c>
      <c r="O82" s="122" t="str">
        <f>IF(B82="","",SUMIFS(Tree!$AN:$AN,Tree!$A:$A,'Pre-Harvest Plots_rpt'!$B82,Tree!$B:$B,'Pre-Harvest Plots_rpt'!$D82,Tree!$F:$F,"L",Tree!$K:$K,"&lt;&gt;"&amp;"Y"))</f>
        <v/>
      </c>
      <c r="P82" s="122" t="str">
        <f>IF(B82="","",SUMIFS(Tree!$AO:$AO,Tree!$A:$A,'Pre-Harvest Plots_rpt'!$B82,Tree!$B:$B,'Pre-Harvest Plots_rpt'!$D82,Tree!$F:$F,"L",Tree!$K:$K,"&lt;&gt;"&amp;"Y"))</f>
        <v/>
      </c>
      <c r="Q82" s="122" t="str">
        <f>IF(B82="","",SUMIFS(Tree!$AP:$AP,Tree!$A:$A,'Pre-Harvest Plots_rpt'!$B82,Tree!$B:$B,'Pre-Harvest Plots_rpt'!$D82,Tree!$F:$F,"L",Tree!$K:$K,"&lt;&gt;"&amp;"Y"))</f>
        <v/>
      </c>
      <c r="R82" s="123" t="str">
        <f>IF(B82="","",SUMIFS(Tree!$AQ:$AQ,Tree!$A:$A,'Pre-Harvest Plots_rpt'!$B82,Tree!$B:$B,'Pre-Harvest Plots_rpt'!$D82,Tree!$F:$F,"L",Tree!$K:$K,"&lt;&gt;"&amp;"Y"))</f>
        <v/>
      </c>
      <c r="S82" s="122" t="str">
        <f>IF(B82="","",SUMIFS(Tree!$AJ:$AJ,Tree!$A:$A,'Pre-Harvest Plots_rpt'!$B82,Tree!$B:$B,'Pre-Harvest Plots_rpt'!$D82,Tree!$F:$F,"L",Tree!$K:$K,"&lt;&gt;"&amp;"Y")-O82)</f>
        <v/>
      </c>
      <c r="T82" s="122" t="str">
        <f>IF(B82="","",SUMIFS(Tree!$AK:$AK,Tree!$A:$A,'Pre-Harvest Plots_rpt'!$B82,Tree!$B:$B,'Pre-Harvest Plots_rpt'!$D82,Tree!$F:$F,"L",Tree!$K:$K,"&lt;&gt;"&amp;"Y")-P82)</f>
        <v/>
      </c>
      <c r="U82" s="122" t="str">
        <f>IF(B82="","",SUMIFS(Tree!$AL:$AL,Tree!$A:$A,'Pre-Harvest Plots_rpt'!$B82,Tree!$B:$B,'Pre-Harvest Plots_rpt'!$D82,Tree!$F:$F,"L",Tree!$K:$K,"&lt;&gt;"&amp;"Y")-Q82)</f>
        <v/>
      </c>
      <c r="V82" s="123" t="str">
        <f>IF(B82="","",ROUND(SUMIFS(Tree!$AE:$AE,Tree!$A:$A,'Pre-Harvest Plots_rpt'!$B82,Tree!$B:$B,'Pre-Harvest Plots_rpt'!$D82,Tree!$F:$F,"L",Tree!$K:$K,"&lt;&gt;"&amp;"Y")-R82,1))</f>
        <v/>
      </c>
      <c r="W82" s="124" t="str">
        <f>IF(B82="","",SUMIFS(Tree!$AY:$AY,Tree!$A:$A,'Pre-Harvest Plots_rpt'!$B82,Tree!$B:$B,'Pre-Harvest Plots_rpt'!$D82,Tree!$F:$F,"L",Tree!$K:$K,"&lt;&gt;"&amp;"Y")/1000)</f>
        <v/>
      </c>
      <c r="X82" s="158" t="str">
        <f>IF(B82="","",ROUND((SUMIFS(Tree!$AW:$AW,Tree!$A:$A,'Pre-Harvest Plots_rpt'!$B82,Tree!$B:$B,'Pre-Harvest Plots_rpt'!$D82,Tree!$F:$F,"L",Tree!$K:$K,"&lt;&gt;"&amp;"Y")/1000)-W82,1))</f>
        <v/>
      </c>
      <c r="Y82" s="135"/>
      <c r="Z82" s="161" t="str">
        <f>IF(IF(B82="","",SUMIFS(Tree!$O:$O,Tree!$A:$A,'Pre-Harvest Plots_rpt'!$B82,Tree!$B:$B,'Pre-Harvest Plots_rpt'!$D82,Tree!$F:$F,"D",Tree!$K:$K,"&lt;&gt;"&amp;"Y"))=0,"",IF(B82="","",SUMIFS(Tree!$O:$O,Tree!$A:$A,'Pre-Harvest Plots_rpt'!$B82,Tree!$B:$B,'Pre-Harvest Plots_rpt'!$D82,Tree!$F:$F,"D",Tree!$K:$K,"&lt;&gt;"&amp;"Y")))</f>
        <v/>
      </c>
      <c r="AA82" s="125" t="str">
        <f t="shared" si="7"/>
        <v/>
      </c>
      <c r="AB82" s="125" t="str">
        <f>IF(Z82="","",SUMIFS(Tree!$R:$R,Tree!$A:$A,'Pre-Harvest Plots_rpt'!$B82,Tree!$B:$B,'Pre-Harvest Plots_rpt'!$D82,Tree!$F:$F,"D",Tree!$K:$K,"&lt;&gt;"&amp;"Y"))</f>
        <v/>
      </c>
      <c r="AC82" s="126" t="str">
        <f>IF(Z82="","",SUMIFS(Tree!$AM:$AM,Tree!$A:$A,'Pre-Harvest Plots_rpt'!$B82,Tree!$B:$B,'Pre-Harvest Plots_rpt'!$D82,Tree!$F:$F,"D",Tree!$K:$K,"&lt;&gt;"&amp;"Y"))</f>
        <v/>
      </c>
      <c r="AD82" s="162" t="str">
        <f>IF(Z82="","",SUMIFS(Tree!$AW:$AW,Tree!$A:$A,'Pre-Harvest Plots_rpt'!$B82,Tree!$B:$B,'Pre-Harvest Plots_rpt'!$D82,Tree!$F:$F,"D",Tree!$K:$K,"&lt;&gt;"&amp;"Y")/1000)</f>
        <v/>
      </c>
      <c r="AE82" s="47"/>
      <c r="AF82" s="18"/>
      <c r="AG82" s="18"/>
      <c r="AH82" s="18"/>
    </row>
    <row r="83" spans="1:34" ht="12.75" customHeight="1" x14ac:dyDescent="0.25">
      <c r="A83" s="48">
        <v>80</v>
      </c>
      <c r="B83" s="171" t="str">
        <f>IF(A83&lt;=SUM(Stand!$H$3:$H$29),VLOOKUP(A83,Stand!$A$3:$C$29,3,TRUE),"")</f>
        <v/>
      </c>
      <c r="C83" s="172" t="str">
        <f t="shared" si="4"/>
        <v/>
      </c>
      <c r="D83" s="173" t="str">
        <f>IF(B83="","",VLOOKUP(B83&amp;C83,Plot!$B$2:$D$199,3,FALSE))</f>
        <v/>
      </c>
      <c r="E83" s="130"/>
      <c r="F83" s="152" t="str">
        <f>IF(B83="","",SUMIFS(Tree!$O:$O,Tree!$A:$A,'Pre-Harvest Plots_rpt'!$B83,Tree!$B:$B,'Pre-Harvest Plots_rpt'!$D83,Tree!$F:$F,"L",Tree!$K:$K,"&lt;&gt;"&amp;"Y"))</f>
        <v/>
      </c>
      <c r="G83" s="153" t="str">
        <f>IFERROR(IF(D83="","",SUMIFS(Tree!$P:$P,Tree!$A:$A,'Pre-Harvest Plots_rpt'!$B83,Tree!$B:$B,'Pre-Harvest Plots_rpt'!$D83,Tree!$K:$K,"&lt;&gt;"&amp;"Y")/$F83),"")</f>
        <v/>
      </c>
      <c r="H83" s="122" t="str">
        <f t="shared" si="5"/>
        <v/>
      </c>
      <c r="I83" s="121" t="str">
        <f>IF(OR($F83=0,$F83=""),"",SUMIFS(Tree!$R:$R,Tree!$A:$A,'Pre-Harvest Plots_rpt'!$B83,Tree!$B:$B,'Pre-Harvest Plots_rpt'!$D83,Tree!$F:$F,"L",Tree!$K:$K,"&lt;&gt;"&amp;"Y"))</f>
        <v/>
      </c>
      <c r="J83" s="121" t="str">
        <f>IF(OR($F83=0,$F83=""),"",IF(SUMIFS(Tree!$W:$W,Tree!$A:$A,'Pre-Harvest Plots_rpt'!$B83,Tree!$B:$B,'Pre-Harvest Plots_rpt'!$D83,Tree!$F:$F,"L",Tree!$K:$K,"&lt;&gt;"&amp;"Y")=0,0,AVERAGEIFS(Tree!$W:$W,Tree!$A:$A,'Pre-Harvest Plots_rpt'!$B83,Tree!$B:$B,'Pre-Harvest Plots_rpt'!$D83,Tree!$F:$F,"L",Tree!$K:$K,"&lt;&gt;"&amp;"Y")))</f>
        <v/>
      </c>
      <c r="K83" s="121" t="str">
        <f>IF($F83="","",SUMIFS(Tree!$S:$S,Tree!$A:$A,'Pre-Harvest Plots_rpt'!$B83,Tree!$B:$B,'Pre-Harvest Plots_rpt'!$D83,Tree!$F:$F,"L",Tree!$K:$K,"&lt;&gt;"&amp;"Y"))</f>
        <v/>
      </c>
      <c r="L83" s="154" t="str">
        <f t="shared" si="6"/>
        <v/>
      </c>
      <c r="M83" s="135"/>
      <c r="N83" s="192" t="str">
        <f>IF(B83="","",SUMIFS(Tree!$AM:$AM,Tree!$A:$A,'Pre-Harvest Plots_rpt'!$B83,Tree!$B:$B,'Pre-Harvest Plots_rpt'!$D83,Tree!$F:$F,"L",Tree!$K:$K,"&lt;&gt;"&amp;"Y"))</f>
        <v/>
      </c>
      <c r="O83" s="122" t="str">
        <f>IF(B83="","",SUMIFS(Tree!$AN:$AN,Tree!$A:$A,'Pre-Harvest Plots_rpt'!$B83,Tree!$B:$B,'Pre-Harvest Plots_rpt'!$D83,Tree!$F:$F,"L",Tree!$K:$K,"&lt;&gt;"&amp;"Y"))</f>
        <v/>
      </c>
      <c r="P83" s="122" t="str">
        <f>IF(B83="","",SUMIFS(Tree!$AO:$AO,Tree!$A:$A,'Pre-Harvest Plots_rpt'!$B83,Tree!$B:$B,'Pre-Harvest Plots_rpt'!$D83,Tree!$F:$F,"L",Tree!$K:$K,"&lt;&gt;"&amp;"Y"))</f>
        <v/>
      </c>
      <c r="Q83" s="122" t="str">
        <f>IF(B83="","",SUMIFS(Tree!$AP:$AP,Tree!$A:$A,'Pre-Harvest Plots_rpt'!$B83,Tree!$B:$B,'Pre-Harvest Plots_rpt'!$D83,Tree!$F:$F,"L",Tree!$K:$K,"&lt;&gt;"&amp;"Y"))</f>
        <v/>
      </c>
      <c r="R83" s="123" t="str">
        <f>IF(B83="","",SUMIFS(Tree!$AQ:$AQ,Tree!$A:$A,'Pre-Harvest Plots_rpt'!$B83,Tree!$B:$B,'Pre-Harvest Plots_rpt'!$D83,Tree!$F:$F,"L",Tree!$K:$K,"&lt;&gt;"&amp;"Y"))</f>
        <v/>
      </c>
      <c r="S83" s="122" t="str">
        <f>IF(B83="","",SUMIFS(Tree!$AJ:$AJ,Tree!$A:$A,'Pre-Harvest Plots_rpt'!$B83,Tree!$B:$B,'Pre-Harvest Plots_rpt'!$D83,Tree!$F:$F,"L",Tree!$K:$K,"&lt;&gt;"&amp;"Y")-O83)</f>
        <v/>
      </c>
      <c r="T83" s="122" t="str">
        <f>IF(B83="","",SUMIFS(Tree!$AK:$AK,Tree!$A:$A,'Pre-Harvest Plots_rpt'!$B83,Tree!$B:$B,'Pre-Harvest Plots_rpt'!$D83,Tree!$F:$F,"L",Tree!$K:$K,"&lt;&gt;"&amp;"Y")-P83)</f>
        <v/>
      </c>
      <c r="U83" s="122" t="str">
        <f>IF(B83="","",SUMIFS(Tree!$AL:$AL,Tree!$A:$A,'Pre-Harvest Plots_rpt'!$B83,Tree!$B:$B,'Pre-Harvest Plots_rpt'!$D83,Tree!$F:$F,"L",Tree!$K:$K,"&lt;&gt;"&amp;"Y")-Q83)</f>
        <v/>
      </c>
      <c r="V83" s="123" t="str">
        <f>IF(B83="","",ROUND(SUMIFS(Tree!$AE:$AE,Tree!$A:$A,'Pre-Harvest Plots_rpt'!$B83,Tree!$B:$B,'Pre-Harvest Plots_rpt'!$D83,Tree!$F:$F,"L",Tree!$K:$K,"&lt;&gt;"&amp;"Y")-R83,1))</f>
        <v/>
      </c>
      <c r="W83" s="124" t="str">
        <f>IF(B83="","",SUMIFS(Tree!$AY:$AY,Tree!$A:$A,'Pre-Harvest Plots_rpt'!$B83,Tree!$B:$B,'Pre-Harvest Plots_rpt'!$D83,Tree!$F:$F,"L",Tree!$K:$K,"&lt;&gt;"&amp;"Y")/1000)</f>
        <v/>
      </c>
      <c r="X83" s="158" t="str">
        <f>IF(B83="","",ROUND((SUMIFS(Tree!$AW:$AW,Tree!$A:$A,'Pre-Harvest Plots_rpt'!$B83,Tree!$B:$B,'Pre-Harvest Plots_rpt'!$D83,Tree!$F:$F,"L",Tree!$K:$K,"&lt;&gt;"&amp;"Y")/1000)-W83,1))</f>
        <v/>
      </c>
      <c r="Y83" s="135"/>
      <c r="Z83" s="161" t="str">
        <f>IF(IF(B83="","",SUMIFS(Tree!$O:$O,Tree!$A:$A,'Pre-Harvest Plots_rpt'!$B83,Tree!$B:$B,'Pre-Harvest Plots_rpt'!$D83,Tree!$F:$F,"D",Tree!$K:$K,"&lt;&gt;"&amp;"Y"))=0,"",IF(B83="","",SUMIFS(Tree!$O:$O,Tree!$A:$A,'Pre-Harvest Plots_rpt'!$B83,Tree!$B:$B,'Pre-Harvest Plots_rpt'!$D83,Tree!$F:$F,"D",Tree!$K:$K,"&lt;&gt;"&amp;"Y")))</f>
        <v/>
      </c>
      <c r="AA83" s="125" t="str">
        <f t="shared" si="7"/>
        <v/>
      </c>
      <c r="AB83" s="125" t="str">
        <f>IF(Z83="","",SUMIFS(Tree!$R:$R,Tree!$A:$A,'Pre-Harvest Plots_rpt'!$B83,Tree!$B:$B,'Pre-Harvest Plots_rpt'!$D83,Tree!$F:$F,"D",Tree!$K:$K,"&lt;&gt;"&amp;"Y"))</f>
        <v/>
      </c>
      <c r="AC83" s="126" t="str">
        <f>IF(Z83="","",SUMIFS(Tree!$AM:$AM,Tree!$A:$A,'Pre-Harvest Plots_rpt'!$B83,Tree!$B:$B,'Pre-Harvest Plots_rpt'!$D83,Tree!$F:$F,"D",Tree!$K:$K,"&lt;&gt;"&amp;"Y"))</f>
        <v/>
      </c>
      <c r="AD83" s="162" t="str">
        <f>IF(Z83="","",SUMIFS(Tree!$AW:$AW,Tree!$A:$A,'Pre-Harvest Plots_rpt'!$B83,Tree!$B:$B,'Pre-Harvest Plots_rpt'!$D83,Tree!$F:$F,"D",Tree!$K:$K,"&lt;&gt;"&amp;"Y")/1000)</f>
        <v/>
      </c>
      <c r="AE83" s="47"/>
      <c r="AF83" s="18"/>
      <c r="AG83" s="18"/>
      <c r="AH83" s="18"/>
    </row>
    <row r="84" spans="1:34" ht="12.75" customHeight="1" x14ac:dyDescent="0.25">
      <c r="A84" s="48">
        <v>81</v>
      </c>
      <c r="B84" s="171" t="str">
        <f>IF(A84&lt;=SUM(Stand!$H$3:$H$29),VLOOKUP(A84,Stand!$A$3:$C$29,3,TRUE),"")</f>
        <v/>
      </c>
      <c r="C84" s="172" t="str">
        <f t="shared" si="4"/>
        <v/>
      </c>
      <c r="D84" s="173" t="str">
        <f>IF(B84="","",VLOOKUP(B84&amp;C84,Plot!$B$2:$D$199,3,FALSE))</f>
        <v/>
      </c>
      <c r="E84" s="130"/>
      <c r="F84" s="152" t="str">
        <f>IF(B84="","",SUMIFS(Tree!$O:$O,Tree!$A:$A,'Pre-Harvest Plots_rpt'!$B84,Tree!$B:$B,'Pre-Harvest Plots_rpt'!$D84,Tree!$F:$F,"L",Tree!$K:$K,"&lt;&gt;"&amp;"Y"))</f>
        <v/>
      </c>
      <c r="G84" s="153" t="str">
        <f>IFERROR(IF(D84="","",SUMIFS(Tree!$P:$P,Tree!$A:$A,'Pre-Harvest Plots_rpt'!$B84,Tree!$B:$B,'Pre-Harvest Plots_rpt'!$D84,Tree!$K:$K,"&lt;&gt;"&amp;"Y")/$F84),"")</f>
        <v/>
      </c>
      <c r="H84" s="122" t="str">
        <f t="shared" si="5"/>
        <v/>
      </c>
      <c r="I84" s="121" t="str">
        <f>IF(OR($F84=0,$F84=""),"",SUMIFS(Tree!$R:$R,Tree!$A:$A,'Pre-Harvest Plots_rpt'!$B84,Tree!$B:$B,'Pre-Harvest Plots_rpt'!$D84,Tree!$F:$F,"L",Tree!$K:$K,"&lt;&gt;"&amp;"Y"))</f>
        <v/>
      </c>
      <c r="J84" s="121" t="str">
        <f>IF(OR($F84=0,$F84=""),"",IF(SUMIFS(Tree!$W:$W,Tree!$A:$A,'Pre-Harvest Plots_rpt'!$B84,Tree!$B:$B,'Pre-Harvest Plots_rpt'!$D84,Tree!$F:$F,"L",Tree!$K:$K,"&lt;&gt;"&amp;"Y")=0,0,AVERAGEIFS(Tree!$W:$W,Tree!$A:$A,'Pre-Harvest Plots_rpt'!$B84,Tree!$B:$B,'Pre-Harvest Plots_rpt'!$D84,Tree!$F:$F,"L",Tree!$K:$K,"&lt;&gt;"&amp;"Y")))</f>
        <v/>
      </c>
      <c r="K84" s="121" t="str">
        <f>IF($F84="","",SUMIFS(Tree!$S:$S,Tree!$A:$A,'Pre-Harvest Plots_rpt'!$B84,Tree!$B:$B,'Pre-Harvest Plots_rpt'!$D84,Tree!$F:$F,"L",Tree!$K:$K,"&lt;&gt;"&amp;"Y"))</f>
        <v/>
      </c>
      <c r="L84" s="154" t="str">
        <f t="shared" si="6"/>
        <v/>
      </c>
      <c r="M84" s="135"/>
      <c r="N84" s="192" t="str">
        <f>IF(B84="","",SUMIFS(Tree!$AM:$AM,Tree!$A:$A,'Pre-Harvest Plots_rpt'!$B84,Tree!$B:$B,'Pre-Harvest Plots_rpt'!$D84,Tree!$F:$F,"L",Tree!$K:$K,"&lt;&gt;"&amp;"Y"))</f>
        <v/>
      </c>
      <c r="O84" s="122" t="str">
        <f>IF(B84="","",SUMIFS(Tree!$AN:$AN,Tree!$A:$A,'Pre-Harvest Plots_rpt'!$B84,Tree!$B:$B,'Pre-Harvest Plots_rpt'!$D84,Tree!$F:$F,"L",Tree!$K:$K,"&lt;&gt;"&amp;"Y"))</f>
        <v/>
      </c>
      <c r="P84" s="122" t="str">
        <f>IF(B84="","",SUMIFS(Tree!$AO:$AO,Tree!$A:$A,'Pre-Harvest Plots_rpt'!$B84,Tree!$B:$B,'Pre-Harvest Plots_rpt'!$D84,Tree!$F:$F,"L",Tree!$K:$K,"&lt;&gt;"&amp;"Y"))</f>
        <v/>
      </c>
      <c r="Q84" s="122" t="str">
        <f>IF(B84="","",SUMIFS(Tree!$AP:$AP,Tree!$A:$A,'Pre-Harvest Plots_rpt'!$B84,Tree!$B:$B,'Pre-Harvest Plots_rpt'!$D84,Tree!$F:$F,"L",Tree!$K:$K,"&lt;&gt;"&amp;"Y"))</f>
        <v/>
      </c>
      <c r="R84" s="123" t="str">
        <f>IF(B84="","",SUMIFS(Tree!$AQ:$AQ,Tree!$A:$A,'Pre-Harvest Plots_rpt'!$B84,Tree!$B:$B,'Pre-Harvest Plots_rpt'!$D84,Tree!$F:$F,"L",Tree!$K:$K,"&lt;&gt;"&amp;"Y"))</f>
        <v/>
      </c>
      <c r="S84" s="122" t="str">
        <f>IF(B84="","",SUMIFS(Tree!$AJ:$AJ,Tree!$A:$A,'Pre-Harvest Plots_rpt'!$B84,Tree!$B:$B,'Pre-Harvest Plots_rpt'!$D84,Tree!$F:$F,"L",Tree!$K:$K,"&lt;&gt;"&amp;"Y")-O84)</f>
        <v/>
      </c>
      <c r="T84" s="122" t="str">
        <f>IF(B84="","",SUMIFS(Tree!$AK:$AK,Tree!$A:$A,'Pre-Harvest Plots_rpt'!$B84,Tree!$B:$B,'Pre-Harvest Plots_rpt'!$D84,Tree!$F:$F,"L",Tree!$K:$K,"&lt;&gt;"&amp;"Y")-P84)</f>
        <v/>
      </c>
      <c r="U84" s="122" t="str">
        <f>IF(B84="","",SUMIFS(Tree!$AL:$AL,Tree!$A:$A,'Pre-Harvest Plots_rpt'!$B84,Tree!$B:$B,'Pre-Harvest Plots_rpt'!$D84,Tree!$F:$F,"L",Tree!$K:$K,"&lt;&gt;"&amp;"Y")-Q84)</f>
        <v/>
      </c>
      <c r="V84" s="123" t="str">
        <f>IF(B84="","",ROUND(SUMIFS(Tree!$AE:$AE,Tree!$A:$A,'Pre-Harvest Plots_rpt'!$B84,Tree!$B:$B,'Pre-Harvest Plots_rpt'!$D84,Tree!$F:$F,"L",Tree!$K:$K,"&lt;&gt;"&amp;"Y")-R84,1))</f>
        <v/>
      </c>
      <c r="W84" s="124" t="str">
        <f>IF(B84="","",SUMIFS(Tree!$AY:$AY,Tree!$A:$A,'Pre-Harvest Plots_rpt'!$B84,Tree!$B:$B,'Pre-Harvest Plots_rpt'!$D84,Tree!$F:$F,"L",Tree!$K:$K,"&lt;&gt;"&amp;"Y")/1000)</f>
        <v/>
      </c>
      <c r="X84" s="158" t="str">
        <f>IF(B84="","",ROUND((SUMIFS(Tree!$AW:$AW,Tree!$A:$A,'Pre-Harvest Plots_rpt'!$B84,Tree!$B:$B,'Pre-Harvest Plots_rpt'!$D84,Tree!$F:$F,"L",Tree!$K:$K,"&lt;&gt;"&amp;"Y")/1000)-W84,1))</f>
        <v/>
      </c>
      <c r="Y84" s="135"/>
      <c r="Z84" s="161" t="str">
        <f>IF(IF(B84="","",SUMIFS(Tree!$O:$O,Tree!$A:$A,'Pre-Harvest Plots_rpt'!$B84,Tree!$B:$B,'Pre-Harvest Plots_rpt'!$D84,Tree!$F:$F,"D",Tree!$K:$K,"&lt;&gt;"&amp;"Y"))=0,"",IF(B84="","",SUMIFS(Tree!$O:$O,Tree!$A:$A,'Pre-Harvest Plots_rpt'!$B84,Tree!$B:$B,'Pre-Harvest Plots_rpt'!$D84,Tree!$F:$F,"D",Tree!$K:$K,"&lt;&gt;"&amp;"Y")))</f>
        <v/>
      </c>
      <c r="AA84" s="125" t="str">
        <f t="shared" si="7"/>
        <v/>
      </c>
      <c r="AB84" s="125" t="str">
        <f>IF(Z84="","",SUMIFS(Tree!$R:$R,Tree!$A:$A,'Pre-Harvest Plots_rpt'!$B84,Tree!$B:$B,'Pre-Harvest Plots_rpt'!$D84,Tree!$F:$F,"D",Tree!$K:$K,"&lt;&gt;"&amp;"Y"))</f>
        <v/>
      </c>
      <c r="AC84" s="126" t="str">
        <f>IF(Z84="","",SUMIFS(Tree!$AM:$AM,Tree!$A:$A,'Pre-Harvest Plots_rpt'!$B84,Tree!$B:$B,'Pre-Harvest Plots_rpt'!$D84,Tree!$F:$F,"D",Tree!$K:$K,"&lt;&gt;"&amp;"Y"))</f>
        <v/>
      </c>
      <c r="AD84" s="162" t="str">
        <f>IF(Z84="","",SUMIFS(Tree!$AW:$AW,Tree!$A:$A,'Pre-Harvest Plots_rpt'!$B84,Tree!$B:$B,'Pre-Harvest Plots_rpt'!$D84,Tree!$F:$F,"D",Tree!$K:$K,"&lt;&gt;"&amp;"Y")/1000)</f>
        <v/>
      </c>
      <c r="AE84" s="47"/>
      <c r="AF84" s="18"/>
      <c r="AG84" s="18"/>
      <c r="AH84" s="18"/>
    </row>
    <row r="85" spans="1:34" ht="12.75" customHeight="1" x14ac:dyDescent="0.25">
      <c r="A85" s="48">
        <v>82</v>
      </c>
      <c r="B85" s="171" t="str">
        <f>IF(A85&lt;=SUM(Stand!$H$3:$H$29),VLOOKUP(A85,Stand!$A$3:$C$29,3,TRUE),"")</f>
        <v/>
      </c>
      <c r="C85" s="172" t="str">
        <f t="shared" si="4"/>
        <v/>
      </c>
      <c r="D85" s="173" t="str">
        <f>IF(B85="","",VLOOKUP(B85&amp;C85,Plot!$B$2:$D$199,3,FALSE))</f>
        <v/>
      </c>
      <c r="E85" s="130"/>
      <c r="F85" s="152" t="str">
        <f>IF(B85="","",SUMIFS(Tree!$O:$O,Tree!$A:$A,'Pre-Harvest Plots_rpt'!$B85,Tree!$B:$B,'Pre-Harvest Plots_rpt'!$D85,Tree!$F:$F,"L",Tree!$K:$K,"&lt;&gt;"&amp;"Y"))</f>
        <v/>
      </c>
      <c r="G85" s="153" t="str">
        <f>IFERROR(IF(D85="","",SUMIFS(Tree!$P:$P,Tree!$A:$A,'Pre-Harvest Plots_rpt'!$B85,Tree!$B:$B,'Pre-Harvest Plots_rpt'!$D85,Tree!$K:$K,"&lt;&gt;"&amp;"Y")/$F85),"")</f>
        <v/>
      </c>
      <c r="H85" s="122" t="str">
        <f t="shared" si="5"/>
        <v/>
      </c>
      <c r="I85" s="121" t="str">
        <f>IF(OR($F85=0,$F85=""),"",SUMIFS(Tree!$R:$R,Tree!$A:$A,'Pre-Harvest Plots_rpt'!$B85,Tree!$B:$B,'Pre-Harvest Plots_rpt'!$D85,Tree!$F:$F,"L",Tree!$K:$K,"&lt;&gt;"&amp;"Y"))</f>
        <v/>
      </c>
      <c r="J85" s="121" t="str">
        <f>IF(OR($F85=0,$F85=""),"",IF(SUMIFS(Tree!$W:$W,Tree!$A:$A,'Pre-Harvest Plots_rpt'!$B85,Tree!$B:$B,'Pre-Harvest Plots_rpt'!$D85,Tree!$F:$F,"L",Tree!$K:$K,"&lt;&gt;"&amp;"Y")=0,0,AVERAGEIFS(Tree!$W:$W,Tree!$A:$A,'Pre-Harvest Plots_rpt'!$B85,Tree!$B:$B,'Pre-Harvest Plots_rpt'!$D85,Tree!$F:$F,"L",Tree!$K:$K,"&lt;&gt;"&amp;"Y")))</f>
        <v/>
      </c>
      <c r="K85" s="121" t="str">
        <f>IF($F85="","",SUMIFS(Tree!$S:$S,Tree!$A:$A,'Pre-Harvest Plots_rpt'!$B85,Tree!$B:$B,'Pre-Harvest Plots_rpt'!$D85,Tree!$F:$F,"L",Tree!$K:$K,"&lt;&gt;"&amp;"Y"))</f>
        <v/>
      </c>
      <c r="L85" s="154" t="str">
        <f t="shared" si="6"/>
        <v/>
      </c>
      <c r="M85" s="135"/>
      <c r="N85" s="192" t="str">
        <f>IF(B85="","",SUMIFS(Tree!$AM:$AM,Tree!$A:$A,'Pre-Harvest Plots_rpt'!$B85,Tree!$B:$B,'Pre-Harvest Plots_rpt'!$D85,Tree!$F:$F,"L",Tree!$K:$K,"&lt;&gt;"&amp;"Y"))</f>
        <v/>
      </c>
      <c r="O85" s="122" t="str">
        <f>IF(B85="","",SUMIFS(Tree!$AN:$AN,Tree!$A:$A,'Pre-Harvest Plots_rpt'!$B85,Tree!$B:$B,'Pre-Harvest Plots_rpt'!$D85,Tree!$F:$F,"L",Tree!$K:$K,"&lt;&gt;"&amp;"Y"))</f>
        <v/>
      </c>
      <c r="P85" s="122" t="str">
        <f>IF(B85="","",SUMIFS(Tree!$AO:$AO,Tree!$A:$A,'Pre-Harvest Plots_rpt'!$B85,Tree!$B:$B,'Pre-Harvest Plots_rpt'!$D85,Tree!$F:$F,"L",Tree!$K:$K,"&lt;&gt;"&amp;"Y"))</f>
        <v/>
      </c>
      <c r="Q85" s="122" t="str">
        <f>IF(B85="","",SUMIFS(Tree!$AP:$AP,Tree!$A:$A,'Pre-Harvest Plots_rpt'!$B85,Tree!$B:$B,'Pre-Harvest Plots_rpt'!$D85,Tree!$F:$F,"L",Tree!$K:$K,"&lt;&gt;"&amp;"Y"))</f>
        <v/>
      </c>
      <c r="R85" s="123" t="str">
        <f>IF(B85="","",SUMIFS(Tree!$AQ:$AQ,Tree!$A:$A,'Pre-Harvest Plots_rpt'!$B85,Tree!$B:$B,'Pre-Harvest Plots_rpt'!$D85,Tree!$F:$F,"L",Tree!$K:$K,"&lt;&gt;"&amp;"Y"))</f>
        <v/>
      </c>
      <c r="S85" s="122" t="str">
        <f>IF(B85="","",SUMIFS(Tree!$AJ:$AJ,Tree!$A:$A,'Pre-Harvest Plots_rpt'!$B85,Tree!$B:$B,'Pre-Harvest Plots_rpt'!$D85,Tree!$F:$F,"L",Tree!$K:$K,"&lt;&gt;"&amp;"Y")-O85)</f>
        <v/>
      </c>
      <c r="T85" s="122" t="str">
        <f>IF(B85="","",SUMIFS(Tree!$AK:$AK,Tree!$A:$A,'Pre-Harvest Plots_rpt'!$B85,Tree!$B:$B,'Pre-Harvest Plots_rpt'!$D85,Tree!$F:$F,"L",Tree!$K:$K,"&lt;&gt;"&amp;"Y")-P85)</f>
        <v/>
      </c>
      <c r="U85" s="122" t="str">
        <f>IF(B85="","",SUMIFS(Tree!$AL:$AL,Tree!$A:$A,'Pre-Harvest Plots_rpt'!$B85,Tree!$B:$B,'Pre-Harvest Plots_rpt'!$D85,Tree!$F:$F,"L",Tree!$K:$K,"&lt;&gt;"&amp;"Y")-Q85)</f>
        <v/>
      </c>
      <c r="V85" s="123" t="str">
        <f>IF(B85="","",ROUND(SUMIFS(Tree!$AE:$AE,Tree!$A:$A,'Pre-Harvest Plots_rpt'!$B85,Tree!$B:$B,'Pre-Harvest Plots_rpt'!$D85,Tree!$F:$F,"L",Tree!$K:$K,"&lt;&gt;"&amp;"Y")-R85,1))</f>
        <v/>
      </c>
      <c r="W85" s="124" t="str">
        <f>IF(B85="","",SUMIFS(Tree!$AY:$AY,Tree!$A:$A,'Pre-Harvest Plots_rpt'!$B85,Tree!$B:$B,'Pre-Harvest Plots_rpt'!$D85,Tree!$F:$F,"L",Tree!$K:$K,"&lt;&gt;"&amp;"Y")/1000)</f>
        <v/>
      </c>
      <c r="X85" s="158" t="str">
        <f>IF(B85="","",ROUND((SUMIFS(Tree!$AW:$AW,Tree!$A:$A,'Pre-Harvest Plots_rpt'!$B85,Tree!$B:$B,'Pre-Harvest Plots_rpt'!$D85,Tree!$F:$F,"L",Tree!$K:$K,"&lt;&gt;"&amp;"Y")/1000)-W85,1))</f>
        <v/>
      </c>
      <c r="Y85" s="135"/>
      <c r="Z85" s="161" t="str">
        <f>IF(IF(B85="","",SUMIFS(Tree!$O:$O,Tree!$A:$A,'Pre-Harvest Plots_rpt'!$B85,Tree!$B:$B,'Pre-Harvest Plots_rpt'!$D85,Tree!$F:$F,"D",Tree!$K:$K,"&lt;&gt;"&amp;"Y"))=0,"",IF(B85="","",SUMIFS(Tree!$O:$O,Tree!$A:$A,'Pre-Harvest Plots_rpt'!$B85,Tree!$B:$B,'Pre-Harvest Plots_rpt'!$D85,Tree!$F:$F,"D",Tree!$K:$K,"&lt;&gt;"&amp;"Y")))</f>
        <v/>
      </c>
      <c r="AA85" s="125" t="str">
        <f t="shared" si="7"/>
        <v/>
      </c>
      <c r="AB85" s="125" t="str">
        <f>IF(Z85="","",SUMIFS(Tree!$R:$R,Tree!$A:$A,'Pre-Harvest Plots_rpt'!$B85,Tree!$B:$B,'Pre-Harvest Plots_rpt'!$D85,Tree!$F:$F,"D",Tree!$K:$K,"&lt;&gt;"&amp;"Y"))</f>
        <v/>
      </c>
      <c r="AC85" s="126" t="str">
        <f>IF(Z85="","",SUMIFS(Tree!$AM:$AM,Tree!$A:$A,'Pre-Harvest Plots_rpt'!$B85,Tree!$B:$B,'Pre-Harvest Plots_rpt'!$D85,Tree!$F:$F,"D",Tree!$K:$K,"&lt;&gt;"&amp;"Y"))</f>
        <v/>
      </c>
      <c r="AD85" s="162" t="str">
        <f>IF(Z85="","",SUMIFS(Tree!$AW:$AW,Tree!$A:$A,'Pre-Harvest Plots_rpt'!$B85,Tree!$B:$B,'Pre-Harvest Plots_rpt'!$D85,Tree!$F:$F,"D",Tree!$K:$K,"&lt;&gt;"&amp;"Y")/1000)</f>
        <v/>
      </c>
      <c r="AE85" s="47"/>
      <c r="AF85" s="18"/>
      <c r="AG85" s="18"/>
      <c r="AH85" s="18"/>
    </row>
    <row r="86" spans="1:34" ht="12.75" customHeight="1" x14ac:dyDescent="0.25">
      <c r="A86" s="48">
        <v>83</v>
      </c>
      <c r="B86" s="171" t="str">
        <f>IF(A86&lt;=SUM(Stand!$H$3:$H$29),VLOOKUP(A86,Stand!$A$3:$C$29,3,TRUE),"")</f>
        <v/>
      </c>
      <c r="C86" s="172" t="str">
        <f t="shared" si="4"/>
        <v/>
      </c>
      <c r="D86" s="173" t="str">
        <f>IF(B86="","",VLOOKUP(B86&amp;C86,Plot!$B$2:$D$199,3,FALSE))</f>
        <v/>
      </c>
      <c r="E86" s="130"/>
      <c r="F86" s="152" t="str">
        <f>IF(B86="","",SUMIFS(Tree!$O:$O,Tree!$A:$A,'Pre-Harvest Plots_rpt'!$B86,Tree!$B:$B,'Pre-Harvest Plots_rpt'!$D86,Tree!$F:$F,"L",Tree!$K:$K,"&lt;&gt;"&amp;"Y"))</f>
        <v/>
      </c>
      <c r="G86" s="153" t="str">
        <f>IFERROR(IF(D86="","",SUMIFS(Tree!$P:$P,Tree!$A:$A,'Pre-Harvest Plots_rpt'!$B86,Tree!$B:$B,'Pre-Harvest Plots_rpt'!$D86,Tree!$K:$K,"&lt;&gt;"&amp;"Y")/$F86),"")</f>
        <v/>
      </c>
      <c r="H86" s="122" t="str">
        <f t="shared" si="5"/>
        <v/>
      </c>
      <c r="I86" s="121" t="str">
        <f>IF(OR($F86=0,$F86=""),"",SUMIFS(Tree!$R:$R,Tree!$A:$A,'Pre-Harvest Plots_rpt'!$B86,Tree!$B:$B,'Pre-Harvest Plots_rpt'!$D86,Tree!$F:$F,"L",Tree!$K:$K,"&lt;&gt;"&amp;"Y"))</f>
        <v/>
      </c>
      <c r="J86" s="121" t="str">
        <f>IF(OR($F86=0,$F86=""),"",IF(SUMIFS(Tree!$W:$W,Tree!$A:$A,'Pre-Harvest Plots_rpt'!$B86,Tree!$B:$B,'Pre-Harvest Plots_rpt'!$D86,Tree!$F:$F,"L",Tree!$K:$K,"&lt;&gt;"&amp;"Y")=0,0,AVERAGEIFS(Tree!$W:$W,Tree!$A:$A,'Pre-Harvest Plots_rpt'!$B86,Tree!$B:$B,'Pre-Harvest Plots_rpt'!$D86,Tree!$F:$F,"L",Tree!$K:$K,"&lt;&gt;"&amp;"Y")))</f>
        <v/>
      </c>
      <c r="K86" s="121" t="str">
        <f>IF($F86="","",SUMIFS(Tree!$S:$S,Tree!$A:$A,'Pre-Harvest Plots_rpt'!$B86,Tree!$B:$B,'Pre-Harvest Plots_rpt'!$D86,Tree!$F:$F,"L",Tree!$K:$K,"&lt;&gt;"&amp;"Y"))</f>
        <v/>
      </c>
      <c r="L86" s="154" t="str">
        <f t="shared" si="6"/>
        <v/>
      </c>
      <c r="M86" s="135"/>
      <c r="N86" s="192" t="str">
        <f>IF(B86="","",SUMIFS(Tree!$AM:$AM,Tree!$A:$A,'Pre-Harvest Plots_rpt'!$B86,Tree!$B:$B,'Pre-Harvest Plots_rpt'!$D86,Tree!$F:$F,"L",Tree!$K:$K,"&lt;&gt;"&amp;"Y"))</f>
        <v/>
      </c>
      <c r="O86" s="122" t="str">
        <f>IF(B86="","",SUMIFS(Tree!$AN:$AN,Tree!$A:$A,'Pre-Harvest Plots_rpt'!$B86,Tree!$B:$B,'Pre-Harvest Plots_rpt'!$D86,Tree!$F:$F,"L",Tree!$K:$K,"&lt;&gt;"&amp;"Y"))</f>
        <v/>
      </c>
      <c r="P86" s="122" t="str">
        <f>IF(B86="","",SUMIFS(Tree!$AO:$AO,Tree!$A:$A,'Pre-Harvest Plots_rpt'!$B86,Tree!$B:$B,'Pre-Harvest Plots_rpt'!$D86,Tree!$F:$F,"L",Tree!$K:$K,"&lt;&gt;"&amp;"Y"))</f>
        <v/>
      </c>
      <c r="Q86" s="122" t="str">
        <f>IF(B86="","",SUMIFS(Tree!$AP:$AP,Tree!$A:$A,'Pre-Harvest Plots_rpt'!$B86,Tree!$B:$B,'Pre-Harvest Plots_rpt'!$D86,Tree!$F:$F,"L",Tree!$K:$K,"&lt;&gt;"&amp;"Y"))</f>
        <v/>
      </c>
      <c r="R86" s="123" t="str">
        <f>IF(B86="","",SUMIFS(Tree!$AQ:$AQ,Tree!$A:$A,'Pre-Harvest Plots_rpt'!$B86,Tree!$B:$B,'Pre-Harvest Plots_rpt'!$D86,Tree!$F:$F,"L",Tree!$K:$K,"&lt;&gt;"&amp;"Y"))</f>
        <v/>
      </c>
      <c r="S86" s="122" t="str">
        <f>IF(B86="","",SUMIFS(Tree!$AJ:$AJ,Tree!$A:$A,'Pre-Harvest Plots_rpt'!$B86,Tree!$B:$B,'Pre-Harvest Plots_rpt'!$D86,Tree!$F:$F,"L",Tree!$K:$K,"&lt;&gt;"&amp;"Y")-O86)</f>
        <v/>
      </c>
      <c r="T86" s="122" t="str">
        <f>IF(B86="","",SUMIFS(Tree!$AK:$AK,Tree!$A:$A,'Pre-Harvest Plots_rpt'!$B86,Tree!$B:$B,'Pre-Harvest Plots_rpt'!$D86,Tree!$F:$F,"L",Tree!$K:$K,"&lt;&gt;"&amp;"Y")-P86)</f>
        <v/>
      </c>
      <c r="U86" s="122" t="str">
        <f>IF(B86="","",SUMIFS(Tree!$AL:$AL,Tree!$A:$A,'Pre-Harvest Plots_rpt'!$B86,Tree!$B:$B,'Pre-Harvest Plots_rpt'!$D86,Tree!$F:$F,"L",Tree!$K:$K,"&lt;&gt;"&amp;"Y")-Q86)</f>
        <v/>
      </c>
      <c r="V86" s="123" t="str">
        <f>IF(B86="","",ROUND(SUMIFS(Tree!$AE:$AE,Tree!$A:$A,'Pre-Harvest Plots_rpt'!$B86,Tree!$B:$B,'Pre-Harvest Plots_rpt'!$D86,Tree!$F:$F,"L",Tree!$K:$K,"&lt;&gt;"&amp;"Y")-R86,1))</f>
        <v/>
      </c>
      <c r="W86" s="124" t="str">
        <f>IF(B86="","",SUMIFS(Tree!$AY:$AY,Tree!$A:$A,'Pre-Harvest Plots_rpt'!$B86,Tree!$B:$B,'Pre-Harvest Plots_rpt'!$D86,Tree!$F:$F,"L",Tree!$K:$K,"&lt;&gt;"&amp;"Y")/1000)</f>
        <v/>
      </c>
      <c r="X86" s="158" t="str">
        <f>IF(B86="","",ROUND((SUMIFS(Tree!$AW:$AW,Tree!$A:$A,'Pre-Harvest Plots_rpt'!$B86,Tree!$B:$B,'Pre-Harvest Plots_rpt'!$D86,Tree!$F:$F,"L",Tree!$K:$K,"&lt;&gt;"&amp;"Y")/1000)-W86,1))</f>
        <v/>
      </c>
      <c r="Y86" s="135"/>
      <c r="Z86" s="161" t="str">
        <f>IF(IF(B86="","",SUMIFS(Tree!$O:$O,Tree!$A:$A,'Pre-Harvest Plots_rpt'!$B86,Tree!$B:$B,'Pre-Harvest Plots_rpt'!$D86,Tree!$F:$F,"D",Tree!$K:$K,"&lt;&gt;"&amp;"Y"))=0,"",IF(B86="","",SUMIFS(Tree!$O:$O,Tree!$A:$A,'Pre-Harvest Plots_rpt'!$B86,Tree!$B:$B,'Pre-Harvest Plots_rpt'!$D86,Tree!$F:$F,"D",Tree!$K:$K,"&lt;&gt;"&amp;"Y")))</f>
        <v/>
      </c>
      <c r="AA86" s="125" t="str">
        <f t="shared" si="7"/>
        <v/>
      </c>
      <c r="AB86" s="125" t="str">
        <f>IF(Z86="","",SUMIFS(Tree!$R:$R,Tree!$A:$A,'Pre-Harvest Plots_rpt'!$B86,Tree!$B:$B,'Pre-Harvest Plots_rpt'!$D86,Tree!$F:$F,"D",Tree!$K:$K,"&lt;&gt;"&amp;"Y"))</f>
        <v/>
      </c>
      <c r="AC86" s="126" t="str">
        <f>IF(Z86="","",SUMIFS(Tree!$AM:$AM,Tree!$A:$A,'Pre-Harvest Plots_rpt'!$B86,Tree!$B:$B,'Pre-Harvest Plots_rpt'!$D86,Tree!$F:$F,"D",Tree!$K:$K,"&lt;&gt;"&amp;"Y"))</f>
        <v/>
      </c>
      <c r="AD86" s="162" t="str">
        <f>IF(Z86="","",SUMIFS(Tree!$AW:$AW,Tree!$A:$A,'Pre-Harvest Plots_rpt'!$B86,Tree!$B:$B,'Pre-Harvest Plots_rpt'!$D86,Tree!$F:$F,"D",Tree!$K:$K,"&lt;&gt;"&amp;"Y")/1000)</f>
        <v/>
      </c>
      <c r="AE86" s="47"/>
      <c r="AF86" s="18"/>
      <c r="AG86" s="18"/>
      <c r="AH86" s="18"/>
    </row>
    <row r="87" spans="1:34" ht="12.75" customHeight="1" x14ac:dyDescent="0.25">
      <c r="A87" s="48">
        <v>84</v>
      </c>
      <c r="B87" s="171" t="str">
        <f>IF(A87&lt;=SUM(Stand!$H$3:$H$29),VLOOKUP(A87,Stand!$A$3:$C$29,3,TRUE),"")</f>
        <v/>
      </c>
      <c r="C87" s="172" t="str">
        <f t="shared" si="4"/>
        <v/>
      </c>
      <c r="D87" s="173" t="str">
        <f>IF(B87="","",VLOOKUP(B87&amp;C87,Plot!$B$2:$D$199,3,FALSE))</f>
        <v/>
      </c>
      <c r="E87" s="130"/>
      <c r="F87" s="152" t="str">
        <f>IF(B87="","",SUMIFS(Tree!$O:$O,Tree!$A:$A,'Pre-Harvest Plots_rpt'!$B87,Tree!$B:$B,'Pre-Harvest Plots_rpt'!$D87,Tree!$F:$F,"L",Tree!$K:$K,"&lt;&gt;"&amp;"Y"))</f>
        <v/>
      </c>
      <c r="G87" s="153" t="str">
        <f>IFERROR(IF(D87="","",SUMIFS(Tree!$P:$P,Tree!$A:$A,'Pre-Harvest Plots_rpt'!$B87,Tree!$B:$B,'Pre-Harvest Plots_rpt'!$D87,Tree!$K:$K,"&lt;&gt;"&amp;"Y")/$F87),"")</f>
        <v/>
      </c>
      <c r="H87" s="122" t="str">
        <f t="shared" si="5"/>
        <v/>
      </c>
      <c r="I87" s="121" t="str">
        <f>IF(OR($F87=0,$F87=""),"",SUMIFS(Tree!$R:$R,Tree!$A:$A,'Pre-Harvest Plots_rpt'!$B87,Tree!$B:$B,'Pre-Harvest Plots_rpt'!$D87,Tree!$F:$F,"L",Tree!$K:$K,"&lt;&gt;"&amp;"Y"))</f>
        <v/>
      </c>
      <c r="J87" s="121" t="str">
        <f>IF(OR($F87=0,$F87=""),"",IF(SUMIFS(Tree!$W:$W,Tree!$A:$A,'Pre-Harvest Plots_rpt'!$B87,Tree!$B:$B,'Pre-Harvest Plots_rpt'!$D87,Tree!$F:$F,"L",Tree!$K:$K,"&lt;&gt;"&amp;"Y")=0,0,AVERAGEIFS(Tree!$W:$W,Tree!$A:$A,'Pre-Harvest Plots_rpt'!$B87,Tree!$B:$B,'Pre-Harvest Plots_rpt'!$D87,Tree!$F:$F,"L",Tree!$K:$K,"&lt;&gt;"&amp;"Y")))</f>
        <v/>
      </c>
      <c r="K87" s="121" t="str">
        <f>IF($F87="","",SUMIFS(Tree!$S:$S,Tree!$A:$A,'Pre-Harvest Plots_rpt'!$B87,Tree!$B:$B,'Pre-Harvest Plots_rpt'!$D87,Tree!$F:$F,"L",Tree!$K:$K,"&lt;&gt;"&amp;"Y"))</f>
        <v/>
      </c>
      <c r="L87" s="154" t="str">
        <f t="shared" si="6"/>
        <v/>
      </c>
      <c r="M87" s="135"/>
      <c r="N87" s="192" t="str">
        <f>IF(B87="","",SUMIFS(Tree!$AM:$AM,Tree!$A:$A,'Pre-Harvest Plots_rpt'!$B87,Tree!$B:$B,'Pre-Harvest Plots_rpt'!$D87,Tree!$F:$F,"L",Tree!$K:$K,"&lt;&gt;"&amp;"Y"))</f>
        <v/>
      </c>
      <c r="O87" s="122" t="str">
        <f>IF(B87="","",SUMIFS(Tree!$AN:$AN,Tree!$A:$A,'Pre-Harvest Plots_rpt'!$B87,Tree!$B:$B,'Pre-Harvest Plots_rpt'!$D87,Tree!$F:$F,"L",Tree!$K:$K,"&lt;&gt;"&amp;"Y"))</f>
        <v/>
      </c>
      <c r="P87" s="122" t="str">
        <f>IF(B87="","",SUMIFS(Tree!$AO:$AO,Tree!$A:$A,'Pre-Harvest Plots_rpt'!$B87,Tree!$B:$B,'Pre-Harvest Plots_rpt'!$D87,Tree!$F:$F,"L",Tree!$K:$K,"&lt;&gt;"&amp;"Y"))</f>
        <v/>
      </c>
      <c r="Q87" s="122" t="str">
        <f>IF(B87="","",SUMIFS(Tree!$AP:$AP,Tree!$A:$A,'Pre-Harvest Plots_rpt'!$B87,Tree!$B:$B,'Pre-Harvest Plots_rpt'!$D87,Tree!$F:$F,"L",Tree!$K:$K,"&lt;&gt;"&amp;"Y"))</f>
        <v/>
      </c>
      <c r="R87" s="123" t="str">
        <f>IF(B87="","",SUMIFS(Tree!$AQ:$AQ,Tree!$A:$A,'Pre-Harvest Plots_rpt'!$B87,Tree!$B:$B,'Pre-Harvest Plots_rpt'!$D87,Tree!$F:$F,"L",Tree!$K:$K,"&lt;&gt;"&amp;"Y"))</f>
        <v/>
      </c>
      <c r="S87" s="122" t="str">
        <f>IF(B87="","",SUMIFS(Tree!$AJ:$AJ,Tree!$A:$A,'Pre-Harvest Plots_rpt'!$B87,Tree!$B:$B,'Pre-Harvest Plots_rpt'!$D87,Tree!$F:$F,"L",Tree!$K:$K,"&lt;&gt;"&amp;"Y")-O87)</f>
        <v/>
      </c>
      <c r="T87" s="122" t="str">
        <f>IF(B87="","",SUMIFS(Tree!$AK:$AK,Tree!$A:$A,'Pre-Harvest Plots_rpt'!$B87,Tree!$B:$B,'Pre-Harvest Plots_rpt'!$D87,Tree!$F:$F,"L",Tree!$K:$K,"&lt;&gt;"&amp;"Y")-P87)</f>
        <v/>
      </c>
      <c r="U87" s="122" t="str">
        <f>IF(B87="","",SUMIFS(Tree!$AL:$AL,Tree!$A:$A,'Pre-Harvest Plots_rpt'!$B87,Tree!$B:$B,'Pre-Harvest Plots_rpt'!$D87,Tree!$F:$F,"L",Tree!$K:$K,"&lt;&gt;"&amp;"Y")-Q87)</f>
        <v/>
      </c>
      <c r="V87" s="123" t="str">
        <f>IF(B87="","",ROUND(SUMIFS(Tree!$AE:$AE,Tree!$A:$A,'Pre-Harvest Plots_rpt'!$B87,Tree!$B:$B,'Pre-Harvest Plots_rpt'!$D87,Tree!$F:$F,"L",Tree!$K:$K,"&lt;&gt;"&amp;"Y")-R87,1))</f>
        <v/>
      </c>
      <c r="W87" s="124" t="str">
        <f>IF(B87="","",SUMIFS(Tree!$AY:$AY,Tree!$A:$A,'Pre-Harvest Plots_rpt'!$B87,Tree!$B:$B,'Pre-Harvest Plots_rpt'!$D87,Tree!$F:$F,"L",Tree!$K:$K,"&lt;&gt;"&amp;"Y")/1000)</f>
        <v/>
      </c>
      <c r="X87" s="158" t="str">
        <f>IF(B87="","",ROUND((SUMIFS(Tree!$AW:$AW,Tree!$A:$A,'Pre-Harvest Plots_rpt'!$B87,Tree!$B:$B,'Pre-Harvest Plots_rpt'!$D87,Tree!$F:$F,"L",Tree!$K:$K,"&lt;&gt;"&amp;"Y")/1000)-W87,1))</f>
        <v/>
      </c>
      <c r="Y87" s="135"/>
      <c r="Z87" s="161" t="str">
        <f>IF(IF(B87="","",SUMIFS(Tree!$O:$O,Tree!$A:$A,'Pre-Harvest Plots_rpt'!$B87,Tree!$B:$B,'Pre-Harvest Plots_rpt'!$D87,Tree!$F:$F,"D",Tree!$K:$K,"&lt;&gt;"&amp;"Y"))=0,"",IF(B87="","",SUMIFS(Tree!$O:$O,Tree!$A:$A,'Pre-Harvest Plots_rpt'!$B87,Tree!$B:$B,'Pre-Harvest Plots_rpt'!$D87,Tree!$F:$F,"D",Tree!$K:$K,"&lt;&gt;"&amp;"Y")))</f>
        <v/>
      </c>
      <c r="AA87" s="125" t="str">
        <f t="shared" si="7"/>
        <v/>
      </c>
      <c r="AB87" s="125" t="str">
        <f>IF(Z87="","",SUMIFS(Tree!$R:$R,Tree!$A:$A,'Pre-Harvest Plots_rpt'!$B87,Tree!$B:$B,'Pre-Harvest Plots_rpt'!$D87,Tree!$F:$F,"D",Tree!$K:$K,"&lt;&gt;"&amp;"Y"))</f>
        <v/>
      </c>
      <c r="AC87" s="126" t="str">
        <f>IF(Z87="","",SUMIFS(Tree!$AM:$AM,Tree!$A:$A,'Pre-Harvest Plots_rpt'!$B87,Tree!$B:$B,'Pre-Harvest Plots_rpt'!$D87,Tree!$F:$F,"D",Tree!$K:$K,"&lt;&gt;"&amp;"Y"))</f>
        <v/>
      </c>
      <c r="AD87" s="162" t="str">
        <f>IF(Z87="","",SUMIFS(Tree!$AW:$AW,Tree!$A:$A,'Pre-Harvest Plots_rpt'!$B87,Tree!$B:$B,'Pre-Harvest Plots_rpt'!$D87,Tree!$F:$F,"D",Tree!$K:$K,"&lt;&gt;"&amp;"Y")/1000)</f>
        <v/>
      </c>
      <c r="AE87" s="47"/>
      <c r="AF87" s="18"/>
      <c r="AG87" s="18"/>
      <c r="AH87" s="18"/>
    </row>
    <row r="88" spans="1:34" ht="12.75" customHeight="1" x14ac:dyDescent="0.25">
      <c r="A88" s="48">
        <v>85</v>
      </c>
      <c r="B88" s="171" t="str">
        <f>IF(A88&lt;=SUM(Stand!$H$3:$H$29),VLOOKUP(A88,Stand!$A$3:$C$29,3,TRUE),"")</f>
        <v/>
      </c>
      <c r="C88" s="172" t="str">
        <f t="shared" si="4"/>
        <v/>
      </c>
      <c r="D88" s="173" t="str">
        <f>IF(B88="","",VLOOKUP(B88&amp;C88,Plot!$B$2:$D$199,3,FALSE))</f>
        <v/>
      </c>
      <c r="E88" s="130"/>
      <c r="F88" s="152" t="str">
        <f>IF(B88="","",SUMIFS(Tree!$O:$O,Tree!$A:$A,'Pre-Harvest Plots_rpt'!$B88,Tree!$B:$B,'Pre-Harvest Plots_rpt'!$D88,Tree!$F:$F,"L",Tree!$K:$K,"&lt;&gt;"&amp;"Y"))</f>
        <v/>
      </c>
      <c r="G88" s="153" t="str">
        <f>IFERROR(IF(D88="","",SUMIFS(Tree!$P:$P,Tree!$A:$A,'Pre-Harvest Plots_rpt'!$B88,Tree!$B:$B,'Pre-Harvest Plots_rpt'!$D88,Tree!$K:$K,"&lt;&gt;"&amp;"Y")/$F88),"")</f>
        <v/>
      </c>
      <c r="H88" s="122" t="str">
        <f t="shared" si="5"/>
        <v/>
      </c>
      <c r="I88" s="121" t="str">
        <f>IF(OR($F88=0,$F88=""),"",SUMIFS(Tree!$R:$R,Tree!$A:$A,'Pre-Harvest Plots_rpt'!$B88,Tree!$B:$B,'Pre-Harvest Plots_rpt'!$D88,Tree!$F:$F,"L",Tree!$K:$K,"&lt;&gt;"&amp;"Y"))</f>
        <v/>
      </c>
      <c r="J88" s="121" t="str">
        <f>IF(OR($F88=0,$F88=""),"",IF(SUMIFS(Tree!$W:$W,Tree!$A:$A,'Pre-Harvest Plots_rpt'!$B88,Tree!$B:$B,'Pre-Harvest Plots_rpt'!$D88,Tree!$F:$F,"L",Tree!$K:$K,"&lt;&gt;"&amp;"Y")=0,0,AVERAGEIFS(Tree!$W:$W,Tree!$A:$A,'Pre-Harvest Plots_rpt'!$B88,Tree!$B:$B,'Pre-Harvest Plots_rpt'!$D88,Tree!$F:$F,"L",Tree!$K:$K,"&lt;&gt;"&amp;"Y")))</f>
        <v/>
      </c>
      <c r="K88" s="121" t="str">
        <f>IF($F88="","",SUMIFS(Tree!$S:$S,Tree!$A:$A,'Pre-Harvest Plots_rpt'!$B88,Tree!$B:$B,'Pre-Harvest Plots_rpt'!$D88,Tree!$F:$F,"L",Tree!$K:$K,"&lt;&gt;"&amp;"Y"))</f>
        <v/>
      </c>
      <c r="L88" s="154" t="str">
        <f t="shared" si="6"/>
        <v/>
      </c>
      <c r="M88" s="135"/>
      <c r="N88" s="192" t="str">
        <f>IF(B88="","",SUMIFS(Tree!$AM:$AM,Tree!$A:$A,'Pre-Harvest Plots_rpt'!$B88,Tree!$B:$B,'Pre-Harvest Plots_rpt'!$D88,Tree!$F:$F,"L",Tree!$K:$K,"&lt;&gt;"&amp;"Y"))</f>
        <v/>
      </c>
      <c r="O88" s="122" t="str">
        <f>IF(B88="","",SUMIFS(Tree!$AN:$AN,Tree!$A:$A,'Pre-Harvest Plots_rpt'!$B88,Tree!$B:$B,'Pre-Harvest Plots_rpt'!$D88,Tree!$F:$F,"L",Tree!$K:$K,"&lt;&gt;"&amp;"Y"))</f>
        <v/>
      </c>
      <c r="P88" s="122" t="str">
        <f>IF(B88="","",SUMIFS(Tree!$AO:$AO,Tree!$A:$A,'Pre-Harvest Plots_rpt'!$B88,Tree!$B:$B,'Pre-Harvest Plots_rpt'!$D88,Tree!$F:$F,"L",Tree!$K:$K,"&lt;&gt;"&amp;"Y"))</f>
        <v/>
      </c>
      <c r="Q88" s="122" t="str">
        <f>IF(B88="","",SUMIFS(Tree!$AP:$AP,Tree!$A:$A,'Pre-Harvest Plots_rpt'!$B88,Tree!$B:$B,'Pre-Harvest Plots_rpt'!$D88,Tree!$F:$F,"L",Tree!$K:$K,"&lt;&gt;"&amp;"Y"))</f>
        <v/>
      </c>
      <c r="R88" s="123" t="str">
        <f>IF(B88="","",SUMIFS(Tree!$AQ:$AQ,Tree!$A:$A,'Pre-Harvest Plots_rpt'!$B88,Tree!$B:$B,'Pre-Harvest Plots_rpt'!$D88,Tree!$F:$F,"L",Tree!$K:$K,"&lt;&gt;"&amp;"Y"))</f>
        <v/>
      </c>
      <c r="S88" s="122" t="str">
        <f>IF(B88="","",SUMIFS(Tree!$AJ:$AJ,Tree!$A:$A,'Pre-Harvest Plots_rpt'!$B88,Tree!$B:$B,'Pre-Harvest Plots_rpt'!$D88,Tree!$F:$F,"L",Tree!$K:$K,"&lt;&gt;"&amp;"Y")-O88)</f>
        <v/>
      </c>
      <c r="T88" s="122" t="str">
        <f>IF(B88="","",SUMIFS(Tree!$AK:$AK,Tree!$A:$A,'Pre-Harvest Plots_rpt'!$B88,Tree!$B:$B,'Pre-Harvest Plots_rpt'!$D88,Tree!$F:$F,"L",Tree!$K:$K,"&lt;&gt;"&amp;"Y")-P88)</f>
        <v/>
      </c>
      <c r="U88" s="122" t="str">
        <f>IF(B88="","",SUMIFS(Tree!$AL:$AL,Tree!$A:$A,'Pre-Harvest Plots_rpt'!$B88,Tree!$B:$B,'Pre-Harvest Plots_rpt'!$D88,Tree!$F:$F,"L",Tree!$K:$K,"&lt;&gt;"&amp;"Y")-Q88)</f>
        <v/>
      </c>
      <c r="V88" s="123" t="str">
        <f>IF(B88="","",ROUND(SUMIFS(Tree!$AE:$AE,Tree!$A:$A,'Pre-Harvest Plots_rpt'!$B88,Tree!$B:$B,'Pre-Harvest Plots_rpt'!$D88,Tree!$F:$F,"L",Tree!$K:$K,"&lt;&gt;"&amp;"Y")-R88,1))</f>
        <v/>
      </c>
      <c r="W88" s="124" t="str">
        <f>IF(B88="","",SUMIFS(Tree!$AY:$AY,Tree!$A:$A,'Pre-Harvest Plots_rpt'!$B88,Tree!$B:$B,'Pre-Harvest Plots_rpt'!$D88,Tree!$F:$F,"L",Tree!$K:$K,"&lt;&gt;"&amp;"Y")/1000)</f>
        <v/>
      </c>
      <c r="X88" s="158" t="str">
        <f>IF(B88="","",ROUND((SUMIFS(Tree!$AW:$AW,Tree!$A:$A,'Pre-Harvest Plots_rpt'!$B88,Tree!$B:$B,'Pre-Harvest Plots_rpt'!$D88,Tree!$F:$F,"L",Tree!$K:$K,"&lt;&gt;"&amp;"Y")/1000)-W88,1))</f>
        <v/>
      </c>
      <c r="Y88" s="135"/>
      <c r="Z88" s="161" t="str">
        <f>IF(IF(B88="","",SUMIFS(Tree!$O:$O,Tree!$A:$A,'Pre-Harvest Plots_rpt'!$B88,Tree!$B:$B,'Pre-Harvest Plots_rpt'!$D88,Tree!$F:$F,"D",Tree!$K:$K,"&lt;&gt;"&amp;"Y"))=0,"",IF(B88="","",SUMIFS(Tree!$O:$O,Tree!$A:$A,'Pre-Harvest Plots_rpt'!$B88,Tree!$B:$B,'Pre-Harvest Plots_rpt'!$D88,Tree!$F:$F,"D",Tree!$K:$K,"&lt;&gt;"&amp;"Y")))</f>
        <v/>
      </c>
      <c r="AA88" s="125" t="str">
        <f t="shared" si="7"/>
        <v/>
      </c>
      <c r="AB88" s="125" t="str">
        <f>IF(Z88="","",SUMIFS(Tree!$R:$R,Tree!$A:$A,'Pre-Harvest Plots_rpt'!$B88,Tree!$B:$B,'Pre-Harvest Plots_rpt'!$D88,Tree!$F:$F,"D",Tree!$K:$K,"&lt;&gt;"&amp;"Y"))</f>
        <v/>
      </c>
      <c r="AC88" s="126" t="str">
        <f>IF(Z88="","",SUMIFS(Tree!$AM:$AM,Tree!$A:$A,'Pre-Harvest Plots_rpt'!$B88,Tree!$B:$B,'Pre-Harvest Plots_rpt'!$D88,Tree!$F:$F,"D",Tree!$K:$K,"&lt;&gt;"&amp;"Y"))</f>
        <v/>
      </c>
      <c r="AD88" s="162" t="str">
        <f>IF(Z88="","",SUMIFS(Tree!$AW:$AW,Tree!$A:$A,'Pre-Harvest Plots_rpt'!$B88,Tree!$B:$B,'Pre-Harvest Plots_rpt'!$D88,Tree!$F:$F,"D",Tree!$K:$K,"&lt;&gt;"&amp;"Y")/1000)</f>
        <v/>
      </c>
      <c r="AE88" s="47"/>
      <c r="AF88" s="18"/>
      <c r="AG88" s="18"/>
      <c r="AH88" s="18"/>
    </row>
    <row r="89" spans="1:34" ht="12.75" customHeight="1" x14ac:dyDescent="0.25">
      <c r="A89" s="48">
        <v>86</v>
      </c>
      <c r="B89" s="171" t="str">
        <f>IF(A89&lt;=SUM(Stand!$H$3:$H$29),VLOOKUP(A89,Stand!$A$3:$C$29,3,TRUE),"")</f>
        <v/>
      </c>
      <c r="C89" s="172" t="str">
        <f t="shared" si="4"/>
        <v/>
      </c>
      <c r="D89" s="173" t="str">
        <f>IF(B89="","",VLOOKUP(B89&amp;C89,Plot!$B$2:$D$199,3,FALSE))</f>
        <v/>
      </c>
      <c r="E89" s="130"/>
      <c r="F89" s="152" t="str">
        <f>IF(B89="","",SUMIFS(Tree!$O:$O,Tree!$A:$A,'Pre-Harvest Plots_rpt'!$B89,Tree!$B:$B,'Pre-Harvest Plots_rpt'!$D89,Tree!$F:$F,"L",Tree!$K:$K,"&lt;&gt;"&amp;"Y"))</f>
        <v/>
      </c>
      <c r="G89" s="153" t="str">
        <f>IFERROR(IF(D89="","",SUMIFS(Tree!$P:$P,Tree!$A:$A,'Pre-Harvest Plots_rpt'!$B89,Tree!$B:$B,'Pre-Harvest Plots_rpt'!$D89,Tree!$K:$K,"&lt;&gt;"&amp;"Y")/$F89),"")</f>
        <v/>
      </c>
      <c r="H89" s="122" t="str">
        <f t="shared" si="5"/>
        <v/>
      </c>
      <c r="I89" s="121" t="str">
        <f>IF(OR($F89=0,$F89=""),"",SUMIFS(Tree!$R:$R,Tree!$A:$A,'Pre-Harvest Plots_rpt'!$B89,Tree!$B:$B,'Pre-Harvest Plots_rpt'!$D89,Tree!$F:$F,"L",Tree!$K:$K,"&lt;&gt;"&amp;"Y"))</f>
        <v/>
      </c>
      <c r="J89" s="121" t="str">
        <f>IF(OR($F89=0,$F89=""),"",IF(SUMIFS(Tree!$W:$W,Tree!$A:$A,'Pre-Harvest Plots_rpt'!$B89,Tree!$B:$B,'Pre-Harvest Plots_rpt'!$D89,Tree!$F:$F,"L",Tree!$K:$K,"&lt;&gt;"&amp;"Y")=0,0,AVERAGEIFS(Tree!$W:$W,Tree!$A:$A,'Pre-Harvest Plots_rpt'!$B89,Tree!$B:$B,'Pre-Harvest Plots_rpt'!$D89,Tree!$F:$F,"L",Tree!$K:$K,"&lt;&gt;"&amp;"Y")))</f>
        <v/>
      </c>
      <c r="K89" s="121" t="str">
        <f>IF($F89="","",SUMIFS(Tree!$S:$S,Tree!$A:$A,'Pre-Harvest Plots_rpt'!$B89,Tree!$B:$B,'Pre-Harvest Plots_rpt'!$D89,Tree!$F:$F,"L",Tree!$K:$K,"&lt;&gt;"&amp;"Y"))</f>
        <v/>
      </c>
      <c r="L89" s="154" t="str">
        <f t="shared" si="6"/>
        <v/>
      </c>
      <c r="M89" s="135"/>
      <c r="N89" s="192" t="str">
        <f>IF(B89="","",SUMIFS(Tree!$AM:$AM,Tree!$A:$A,'Pre-Harvest Plots_rpt'!$B89,Tree!$B:$B,'Pre-Harvest Plots_rpt'!$D89,Tree!$F:$F,"L",Tree!$K:$K,"&lt;&gt;"&amp;"Y"))</f>
        <v/>
      </c>
      <c r="O89" s="122" t="str">
        <f>IF(B89="","",SUMIFS(Tree!$AN:$AN,Tree!$A:$A,'Pre-Harvest Plots_rpt'!$B89,Tree!$B:$B,'Pre-Harvest Plots_rpt'!$D89,Tree!$F:$F,"L",Tree!$K:$K,"&lt;&gt;"&amp;"Y"))</f>
        <v/>
      </c>
      <c r="P89" s="122" t="str">
        <f>IF(B89="","",SUMIFS(Tree!$AO:$AO,Tree!$A:$A,'Pre-Harvest Plots_rpt'!$B89,Tree!$B:$B,'Pre-Harvest Plots_rpt'!$D89,Tree!$F:$F,"L",Tree!$K:$K,"&lt;&gt;"&amp;"Y"))</f>
        <v/>
      </c>
      <c r="Q89" s="122" t="str">
        <f>IF(B89="","",SUMIFS(Tree!$AP:$AP,Tree!$A:$A,'Pre-Harvest Plots_rpt'!$B89,Tree!$B:$B,'Pre-Harvest Plots_rpt'!$D89,Tree!$F:$F,"L",Tree!$K:$K,"&lt;&gt;"&amp;"Y"))</f>
        <v/>
      </c>
      <c r="R89" s="123" t="str">
        <f>IF(B89="","",SUMIFS(Tree!$AQ:$AQ,Tree!$A:$A,'Pre-Harvest Plots_rpt'!$B89,Tree!$B:$B,'Pre-Harvest Plots_rpt'!$D89,Tree!$F:$F,"L",Tree!$K:$K,"&lt;&gt;"&amp;"Y"))</f>
        <v/>
      </c>
      <c r="S89" s="122" t="str">
        <f>IF(B89="","",SUMIFS(Tree!$AJ:$AJ,Tree!$A:$A,'Pre-Harvest Plots_rpt'!$B89,Tree!$B:$B,'Pre-Harvest Plots_rpt'!$D89,Tree!$F:$F,"L",Tree!$K:$K,"&lt;&gt;"&amp;"Y")-O89)</f>
        <v/>
      </c>
      <c r="T89" s="122" t="str">
        <f>IF(B89="","",SUMIFS(Tree!$AK:$AK,Tree!$A:$A,'Pre-Harvest Plots_rpt'!$B89,Tree!$B:$B,'Pre-Harvest Plots_rpt'!$D89,Tree!$F:$F,"L",Tree!$K:$K,"&lt;&gt;"&amp;"Y")-P89)</f>
        <v/>
      </c>
      <c r="U89" s="122" t="str">
        <f>IF(B89="","",SUMIFS(Tree!$AL:$AL,Tree!$A:$A,'Pre-Harvest Plots_rpt'!$B89,Tree!$B:$B,'Pre-Harvest Plots_rpt'!$D89,Tree!$F:$F,"L",Tree!$K:$K,"&lt;&gt;"&amp;"Y")-Q89)</f>
        <v/>
      </c>
      <c r="V89" s="123" t="str">
        <f>IF(B89="","",ROUND(SUMIFS(Tree!$AE:$AE,Tree!$A:$A,'Pre-Harvest Plots_rpt'!$B89,Tree!$B:$B,'Pre-Harvest Plots_rpt'!$D89,Tree!$F:$F,"L",Tree!$K:$K,"&lt;&gt;"&amp;"Y")-R89,1))</f>
        <v/>
      </c>
      <c r="W89" s="124" t="str">
        <f>IF(B89="","",SUMIFS(Tree!$AY:$AY,Tree!$A:$A,'Pre-Harvest Plots_rpt'!$B89,Tree!$B:$B,'Pre-Harvest Plots_rpt'!$D89,Tree!$F:$F,"L",Tree!$K:$K,"&lt;&gt;"&amp;"Y")/1000)</f>
        <v/>
      </c>
      <c r="X89" s="158" t="str">
        <f>IF(B89="","",ROUND((SUMIFS(Tree!$AW:$AW,Tree!$A:$A,'Pre-Harvest Plots_rpt'!$B89,Tree!$B:$B,'Pre-Harvest Plots_rpt'!$D89,Tree!$F:$F,"L",Tree!$K:$K,"&lt;&gt;"&amp;"Y")/1000)-W89,1))</f>
        <v/>
      </c>
      <c r="Y89" s="135"/>
      <c r="Z89" s="161" t="str">
        <f>IF(IF(B89="","",SUMIFS(Tree!$O:$O,Tree!$A:$A,'Pre-Harvest Plots_rpt'!$B89,Tree!$B:$B,'Pre-Harvest Plots_rpt'!$D89,Tree!$F:$F,"D",Tree!$K:$K,"&lt;&gt;"&amp;"Y"))=0,"",IF(B89="","",SUMIFS(Tree!$O:$O,Tree!$A:$A,'Pre-Harvest Plots_rpt'!$B89,Tree!$B:$B,'Pre-Harvest Plots_rpt'!$D89,Tree!$F:$F,"D",Tree!$K:$K,"&lt;&gt;"&amp;"Y")))</f>
        <v/>
      </c>
      <c r="AA89" s="125" t="str">
        <f t="shared" si="7"/>
        <v/>
      </c>
      <c r="AB89" s="125" t="str">
        <f>IF(Z89="","",SUMIFS(Tree!$R:$R,Tree!$A:$A,'Pre-Harvest Plots_rpt'!$B89,Tree!$B:$B,'Pre-Harvest Plots_rpt'!$D89,Tree!$F:$F,"D",Tree!$K:$K,"&lt;&gt;"&amp;"Y"))</f>
        <v/>
      </c>
      <c r="AC89" s="126" t="str">
        <f>IF(Z89="","",SUMIFS(Tree!$AM:$AM,Tree!$A:$A,'Pre-Harvest Plots_rpt'!$B89,Tree!$B:$B,'Pre-Harvest Plots_rpt'!$D89,Tree!$F:$F,"D",Tree!$K:$K,"&lt;&gt;"&amp;"Y"))</f>
        <v/>
      </c>
      <c r="AD89" s="162" t="str">
        <f>IF(Z89="","",SUMIFS(Tree!$AW:$AW,Tree!$A:$A,'Pre-Harvest Plots_rpt'!$B89,Tree!$B:$B,'Pre-Harvest Plots_rpt'!$D89,Tree!$F:$F,"D",Tree!$K:$K,"&lt;&gt;"&amp;"Y")/1000)</f>
        <v/>
      </c>
      <c r="AE89" s="47"/>
      <c r="AF89" s="18"/>
      <c r="AG89" s="18"/>
      <c r="AH89" s="18"/>
    </row>
    <row r="90" spans="1:34" ht="12.75" customHeight="1" x14ac:dyDescent="0.25">
      <c r="A90" s="48">
        <v>87</v>
      </c>
      <c r="B90" s="171" t="str">
        <f>IF(A90&lt;=SUM(Stand!$H$3:$H$29),VLOOKUP(A90,Stand!$A$3:$C$29,3,TRUE),"")</f>
        <v/>
      </c>
      <c r="C90" s="172" t="str">
        <f t="shared" si="4"/>
        <v/>
      </c>
      <c r="D90" s="173" t="str">
        <f>IF(B90="","",VLOOKUP(B90&amp;C90,Plot!$B$2:$D$199,3,FALSE))</f>
        <v/>
      </c>
      <c r="E90" s="130"/>
      <c r="F90" s="152" t="str">
        <f>IF(B90="","",SUMIFS(Tree!$O:$O,Tree!$A:$A,'Pre-Harvest Plots_rpt'!$B90,Tree!$B:$B,'Pre-Harvest Plots_rpt'!$D90,Tree!$F:$F,"L",Tree!$K:$K,"&lt;&gt;"&amp;"Y"))</f>
        <v/>
      </c>
      <c r="G90" s="153" t="str">
        <f>IFERROR(IF(D90="","",SUMIFS(Tree!$P:$P,Tree!$A:$A,'Pre-Harvest Plots_rpt'!$B90,Tree!$B:$B,'Pre-Harvest Plots_rpt'!$D90,Tree!$K:$K,"&lt;&gt;"&amp;"Y")/$F90),"")</f>
        <v/>
      </c>
      <c r="H90" s="122" t="str">
        <f t="shared" si="5"/>
        <v/>
      </c>
      <c r="I90" s="121" t="str">
        <f>IF(OR($F90=0,$F90=""),"",SUMIFS(Tree!$R:$R,Tree!$A:$A,'Pre-Harvest Plots_rpt'!$B90,Tree!$B:$B,'Pre-Harvest Plots_rpt'!$D90,Tree!$F:$F,"L",Tree!$K:$K,"&lt;&gt;"&amp;"Y"))</f>
        <v/>
      </c>
      <c r="J90" s="121" t="str">
        <f>IF(OR($F90=0,$F90=""),"",IF(SUMIFS(Tree!$W:$W,Tree!$A:$A,'Pre-Harvest Plots_rpt'!$B90,Tree!$B:$B,'Pre-Harvest Plots_rpt'!$D90,Tree!$F:$F,"L",Tree!$K:$K,"&lt;&gt;"&amp;"Y")=0,0,AVERAGEIFS(Tree!$W:$W,Tree!$A:$A,'Pre-Harvest Plots_rpt'!$B90,Tree!$B:$B,'Pre-Harvest Plots_rpt'!$D90,Tree!$F:$F,"L",Tree!$K:$K,"&lt;&gt;"&amp;"Y")))</f>
        <v/>
      </c>
      <c r="K90" s="121" t="str">
        <f>IF($F90="","",SUMIFS(Tree!$S:$S,Tree!$A:$A,'Pre-Harvest Plots_rpt'!$B90,Tree!$B:$B,'Pre-Harvest Plots_rpt'!$D90,Tree!$F:$F,"L",Tree!$K:$K,"&lt;&gt;"&amp;"Y"))</f>
        <v/>
      </c>
      <c r="L90" s="154" t="str">
        <f t="shared" si="6"/>
        <v/>
      </c>
      <c r="M90" s="135"/>
      <c r="N90" s="192" t="str">
        <f>IF(B90="","",SUMIFS(Tree!$AM:$AM,Tree!$A:$A,'Pre-Harvest Plots_rpt'!$B90,Tree!$B:$B,'Pre-Harvest Plots_rpt'!$D90,Tree!$F:$F,"L",Tree!$K:$K,"&lt;&gt;"&amp;"Y"))</f>
        <v/>
      </c>
      <c r="O90" s="122" t="str">
        <f>IF(B90="","",SUMIFS(Tree!$AN:$AN,Tree!$A:$A,'Pre-Harvest Plots_rpt'!$B90,Tree!$B:$B,'Pre-Harvest Plots_rpt'!$D90,Tree!$F:$F,"L",Tree!$K:$K,"&lt;&gt;"&amp;"Y"))</f>
        <v/>
      </c>
      <c r="P90" s="122" t="str">
        <f>IF(B90="","",SUMIFS(Tree!$AO:$AO,Tree!$A:$A,'Pre-Harvest Plots_rpt'!$B90,Tree!$B:$B,'Pre-Harvest Plots_rpt'!$D90,Tree!$F:$F,"L",Tree!$K:$K,"&lt;&gt;"&amp;"Y"))</f>
        <v/>
      </c>
      <c r="Q90" s="122" t="str">
        <f>IF(B90="","",SUMIFS(Tree!$AP:$AP,Tree!$A:$A,'Pre-Harvest Plots_rpt'!$B90,Tree!$B:$B,'Pre-Harvest Plots_rpt'!$D90,Tree!$F:$F,"L",Tree!$K:$K,"&lt;&gt;"&amp;"Y"))</f>
        <v/>
      </c>
      <c r="R90" s="123" t="str">
        <f>IF(B90="","",SUMIFS(Tree!$AQ:$AQ,Tree!$A:$A,'Pre-Harvest Plots_rpt'!$B90,Tree!$B:$B,'Pre-Harvest Plots_rpt'!$D90,Tree!$F:$F,"L",Tree!$K:$K,"&lt;&gt;"&amp;"Y"))</f>
        <v/>
      </c>
      <c r="S90" s="122" t="str">
        <f>IF(B90="","",SUMIFS(Tree!$AJ:$AJ,Tree!$A:$A,'Pre-Harvest Plots_rpt'!$B90,Tree!$B:$B,'Pre-Harvest Plots_rpt'!$D90,Tree!$F:$F,"L",Tree!$K:$K,"&lt;&gt;"&amp;"Y")-O90)</f>
        <v/>
      </c>
      <c r="T90" s="122" t="str">
        <f>IF(B90="","",SUMIFS(Tree!$AK:$AK,Tree!$A:$A,'Pre-Harvest Plots_rpt'!$B90,Tree!$B:$B,'Pre-Harvest Plots_rpt'!$D90,Tree!$F:$F,"L",Tree!$K:$K,"&lt;&gt;"&amp;"Y")-P90)</f>
        <v/>
      </c>
      <c r="U90" s="122" t="str">
        <f>IF(B90="","",SUMIFS(Tree!$AL:$AL,Tree!$A:$A,'Pre-Harvest Plots_rpt'!$B90,Tree!$B:$B,'Pre-Harvest Plots_rpt'!$D90,Tree!$F:$F,"L",Tree!$K:$K,"&lt;&gt;"&amp;"Y")-Q90)</f>
        <v/>
      </c>
      <c r="V90" s="123" t="str">
        <f>IF(B90="","",ROUND(SUMIFS(Tree!$AE:$AE,Tree!$A:$A,'Pre-Harvest Plots_rpt'!$B90,Tree!$B:$B,'Pre-Harvest Plots_rpt'!$D90,Tree!$F:$F,"L",Tree!$K:$K,"&lt;&gt;"&amp;"Y")-R90,1))</f>
        <v/>
      </c>
      <c r="W90" s="124" t="str">
        <f>IF(B90="","",SUMIFS(Tree!$AY:$AY,Tree!$A:$A,'Pre-Harvest Plots_rpt'!$B90,Tree!$B:$B,'Pre-Harvest Plots_rpt'!$D90,Tree!$F:$F,"L",Tree!$K:$K,"&lt;&gt;"&amp;"Y")/1000)</f>
        <v/>
      </c>
      <c r="X90" s="158" t="str">
        <f>IF(B90="","",ROUND((SUMIFS(Tree!$AW:$AW,Tree!$A:$A,'Pre-Harvest Plots_rpt'!$B90,Tree!$B:$B,'Pre-Harvest Plots_rpt'!$D90,Tree!$F:$F,"L",Tree!$K:$K,"&lt;&gt;"&amp;"Y")/1000)-W90,1))</f>
        <v/>
      </c>
      <c r="Y90" s="135"/>
      <c r="Z90" s="161" t="str">
        <f>IF(IF(B90="","",SUMIFS(Tree!$O:$O,Tree!$A:$A,'Pre-Harvest Plots_rpt'!$B90,Tree!$B:$B,'Pre-Harvest Plots_rpt'!$D90,Tree!$F:$F,"D",Tree!$K:$K,"&lt;&gt;"&amp;"Y"))=0,"",IF(B90="","",SUMIFS(Tree!$O:$O,Tree!$A:$A,'Pre-Harvest Plots_rpt'!$B90,Tree!$B:$B,'Pre-Harvest Plots_rpt'!$D90,Tree!$F:$F,"D",Tree!$K:$K,"&lt;&gt;"&amp;"Y")))</f>
        <v/>
      </c>
      <c r="AA90" s="125" t="str">
        <f t="shared" si="7"/>
        <v/>
      </c>
      <c r="AB90" s="125" t="str">
        <f>IF(Z90="","",SUMIFS(Tree!$R:$R,Tree!$A:$A,'Pre-Harvest Plots_rpt'!$B90,Tree!$B:$B,'Pre-Harvest Plots_rpt'!$D90,Tree!$F:$F,"D",Tree!$K:$K,"&lt;&gt;"&amp;"Y"))</f>
        <v/>
      </c>
      <c r="AC90" s="126" t="str">
        <f>IF(Z90="","",SUMIFS(Tree!$AM:$AM,Tree!$A:$A,'Pre-Harvest Plots_rpt'!$B90,Tree!$B:$B,'Pre-Harvest Plots_rpt'!$D90,Tree!$F:$F,"D",Tree!$K:$K,"&lt;&gt;"&amp;"Y"))</f>
        <v/>
      </c>
      <c r="AD90" s="162" t="str">
        <f>IF(Z90="","",SUMIFS(Tree!$AW:$AW,Tree!$A:$A,'Pre-Harvest Plots_rpt'!$B90,Tree!$B:$B,'Pre-Harvest Plots_rpt'!$D90,Tree!$F:$F,"D",Tree!$K:$K,"&lt;&gt;"&amp;"Y")/1000)</f>
        <v/>
      </c>
      <c r="AE90" s="47"/>
      <c r="AF90" s="18"/>
      <c r="AG90" s="18"/>
      <c r="AH90" s="18"/>
    </row>
    <row r="91" spans="1:34" ht="12.75" customHeight="1" x14ac:dyDescent="0.25">
      <c r="A91" s="48">
        <v>88</v>
      </c>
      <c r="B91" s="171" t="str">
        <f>IF(A91&lt;=SUM(Stand!$H$3:$H$29),VLOOKUP(A91,Stand!$A$3:$C$29,3,TRUE),"")</f>
        <v/>
      </c>
      <c r="C91" s="172" t="str">
        <f t="shared" si="4"/>
        <v/>
      </c>
      <c r="D91" s="173" t="str">
        <f>IF(B91="","",VLOOKUP(B91&amp;C91,Plot!$B$2:$D$199,3,FALSE))</f>
        <v/>
      </c>
      <c r="E91" s="130"/>
      <c r="F91" s="152" t="str">
        <f>IF(B91="","",SUMIFS(Tree!$O:$O,Tree!$A:$A,'Pre-Harvest Plots_rpt'!$B91,Tree!$B:$B,'Pre-Harvest Plots_rpt'!$D91,Tree!$F:$F,"L",Tree!$K:$K,"&lt;&gt;"&amp;"Y"))</f>
        <v/>
      </c>
      <c r="G91" s="153" t="str">
        <f>IFERROR(IF(D91="","",SUMIFS(Tree!$P:$P,Tree!$A:$A,'Pre-Harvest Plots_rpt'!$B91,Tree!$B:$B,'Pre-Harvest Plots_rpt'!$D91,Tree!$K:$K,"&lt;&gt;"&amp;"Y")/$F91),"")</f>
        <v/>
      </c>
      <c r="H91" s="122" t="str">
        <f t="shared" si="5"/>
        <v/>
      </c>
      <c r="I91" s="121" t="str">
        <f>IF(OR($F91=0,$F91=""),"",SUMIFS(Tree!$R:$R,Tree!$A:$A,'Pre-Harvest Plots_rpt'!$B91,Tree!$B:$B,'Pre-Harvest Plots_rpt'!$D91,Tree!$F:$F,"L",Tree!$K:$K,"&lt;&gt;"&amp;"Y"))</f>
        <v/>
      </c>
      <c r="J91" s="121" t="str">
        <f>IF(OR($F91=0,$F91=""),"",IF(SUMIFS(Tree!$W:$W,Tree!$A:$A,'Pre-Harvest Plots_rpt'!$B91,Tree!$B:$B,'Pre-Harvest Plots_rpt'!$D91,Tree!$F:$F,"L",Tree!$K:$K,"&lt;&gt;"&amp;"Y")=0,0,AVERAGEIFS(Tree!$W:$W,Tree!$A:$A,'Pre-Harvest Plots_rpt'!$B91,Tree!$B:$B,'Pre-Harvest Plots_rpt'!$D91,Tree!$F:$F,"L",Tree!$K:$K,"&lt;&gt;"&amp;"Y")))</f>
        <v/>
      </c>
      <c r="K91" s="121" t="str">
        <f>IF($F91="","",SUMIFS(Tree!$S:$S,Tree!$A:$A,'Pre-Harvest Plots_rpt'!$B91,Tree!$B:$B,'Pre-Harvest Plots_rpt'!$D91,Tree!$F:$F,"L",Tree!$K:$K,"&lt;&gt;"&amp;"Y"))</f>
        <v/>
      </c>
      <c r="L91" s="154" t="str">
        <f t="shared" si="6"/>
        <v/>
      </c>
      <c r="M91" s="135"/>
      <c r="N91" s="192" t="str">
        <f>IF(B91="","",SUMIFS(Tree!$AM:$AM,Tree!$A:$A,'Pre-Harvest Plots_rpt'!$B91,Tree!$B:$B,'Pre-Harvest Plots_rpt'!$D91,Tree!$F:$F,"L",Tree!$K:$K,"&lt;&gt;"&amp;"Y"))</f>
        <v/>
      </c>
      <c r="O91" s="122" t="str">
        <f>IF(B91="","",SUMIFS(Tree!$AN:$AN,Tree!$A:$A,'Pre-Harvest Plots_rpt'!$B91,Tree!$B:$B,'Pre-Harvest Plots_rpt'!$D91,Tree!$F:$F,"L",Tree!$K:$K,"&lt;&gt;"&amp;"Y"))</f>
        <v/>
      </c>
      <c r="P91" s="122" t="str">
        <f>IF(B91="","",SUMIFS(Tree!$AO:$AO,Tree!$A:$A,'Pre-Harvest Plots_rpt'!$B91,Tree!$B:$B,'Pre-Harvest Plots_rpt'!$D91,Tree!$F:$F,"L",Tree!$K:$K,"&lt;&gt;"&amp;"Y"))</f>
        <v/>
      </c>
      <c r="Q91" s="122" t="str">
        <f>IF(B91="","",SUMIFS(Tree!$AP:$AP,Tree!$A:$A,'Pre-Harvest Plots_rpt'!$B91,Tree!$B:$B,'Pre-Harvest Plots_rpt'!$D91,Tree!$F:$F,"L",Tree!$K:$K,"&lt;&gt;"&amp;"Y"))</f>
        <v/>
      </c>
      <c r="R91" s="123" t="str">
        <f>IF(B91="","",SUMIFS(Tree!$AQ:$AQ,Tree!$A:$A,'Pre-Harvest Plots_rpt'!$B91,Tree!$B:$B,'Pre-Harvest Plots_rpt'!$D91,Tree!$F:$F,"L",Tree!$K:$K,"&lt;&gt;"&amp;"Y"))</f>
        <v/>
      </c>
      <c r="S91" s="122" t="str">
        <f>IF(B91="","",SUMIFS(Tree!$AJ:$AJ,Tree!$A:$A,'Pre-Harvest Plots_rpt'!$B91,Tree!$B:$B,'Pre-Harvest Plots_rpt'!$D91,Tree!$F:$F,"L",Tree!$K:$K,"&lt;&gt;"&amp;"Y")-O91)</f>
        <v/>
      </c>
      <c r="T91" s="122" t="str">
        <f>IF(B91="","",SUMIFS(Tree!$AK:$AK,Tree!$A:$A,'Pre-Harvest Plots_rpt'!$B91,Tree!$B:$B,'Pre-Harvest Plots_rpt'!$D91,Tree!$F:$F,"L",Tree!$K:$K,"&lt;&gt;"&amp;"Y")-P91)</f>
        <v/>
      </c>
      <c r="U91" s="122" t="str">
        <f>IF(B91="","",SUMIFS(Tree!$AL:$AL,Tree!$A:$A,'Pre-Harvest Plots_rpt'!$B91,Tree!$B:$B,'Pre-Harvest Plots_rpt'!$D91,Tree!$F:$F,"L",Tree!$K:$K,"&lt;&gt;"&amp;"Y")-Q91)</f>
        <v/>
      </c>
      <c r="V91" s="123" t="str">
        <f>IF(B91="","",ROUND(SUMIFS(Tree!$AE:$AE,Tree!$A:$A,'Pre-Harvest Plots_rpt'!$B91,Tree!$B:$B,'Pre-Harvest Plots_rpt'!$D91,Tree!$F:$F,"L",Tree!$K:$K,"&lt;&gt;"&amp;"Y")-R91,1))</f>
        <v/>
      </c>
      <c r="W91" s="124" t="str">
        <f>IF(B91="","",SUMIFS(Tree!$AY:$AY,Tree!$A:$A,'Pre-Harvest Plots_rpt'!$B91,Tree!$B:$B,'Pre-Harvest Plots_rpt'!$D91,Tree!$F:$F,"L",Tree!$K:$K,"&lt;&gt;"&amp;"Y")/1000)</f>
        <v/>
      </c>
      <c r="X91" s="158" t="str">
        <f>IF(B91="","",ROUND((SUMIFS(Tree!$AW:$AW,Tree!$A:$A,'Pre-Harvest Plots_rpt'!$B91,Tree!$B:$B,'Pre-Harvest Plots_rpt'!$D91,Tree!$F:$F,"L",Tree!$K:$K,"&lt;&gt;"&amp;"Y")/1000)-W91,1))</f>
        <v/>
      </c>
      <c r="Y91" s="135"/>
      <c r="Z91" s="161" t="str">
        <f>IF(IF(B91="","",SUMIFS(Tree!$O:$O,Tree!$A:$A,'Pre-Harvest Plots_rpt'!$B91,Tree!$B:$B,'Pre-Harvest Plots_rpt'!$D91,Tree!$F:$F,"D",Tree!$K:$K,"&lt;&gt;"&amp;"Y"))=0,"",IF(B91="","",SUMIFS(Tree!$O:$O,Tree!$A:$A,'Pre-Harvest Plots_rpt'!$B91,Tree!$B:$B,'Pre-Harvest Plots_rpt'!$D91,Tree!$F:$F,"D",Tree!$K:$K,"&lt;&gt;"&amp;"Y")))</f>
        <v/>
      </c>
      <c r="AA91" s="125" t="str">
        <f t="shared" si="7"/>
        <v/>
      </c>
      <c r="AB91" s="125" t="str">
        <f>IF(Z91="","",SUMIFS(Tree!$R:$R,Tree!$A:$A,'Pre-Harvest Plots_rpt'!$B91,Tree!$B:$B,'Pre-Harvest Plots_rpt'!$D91,Tree!$F:$F,"D",Tree!$K:$K,"&lt;&gt;"&amp;"Y"))</f>
        <v/>
      </c>
      <c r="AC91" s="126" t="str">
        <f>IF(Z91="","",SUMIFS(Tree!$AM:$AM,Tree!$A:$A,'Pre-Harvest Plots_rpt'!$B91,Tree!$B:$B,'Pre-Harvest Plots_rpt'!$D91,Tree!$F:$F,"D",Tree!$K:$K,"&lt;&gt;"&amp;"Y"))</f>
        <v/>
      </c>
      <c r="AD91" s="162" t="str">
        <f>IF(Z91="","",SUMIFS(Tree!$AW:$AW,Tree!$A:$A,'Pre-Harvest Plots_rpt'!$B91,Tree!$B:$B,'Pre-Harvest Plots_rpt'!$D91,Tree!$F:$F,"D",Tree!$K:$K,"&lt;&gt;"&amp;"Y")/1000)</f>
        <v/>
      </c>
      <c r="AE91" s="47"/>
      <c r="AF91" s="18"/>
      <c r="AG91" s="18"/>
      <c r="AH91" s="18"/>
    </row>
    <row r="92" spans="1:34" ht="12.75" customHeight="1" x14ac:dyDescent="0.25">
      <c r="A92" s="48">
        <v>89</v>
      </c>
      <c r="B92" s="171" t="str">
        <f>IF(A92&lt;=SUM(Stand!$H$3:$H$29),VLOOKUP(A92,Stand!$A$3:$C$29,3,TRUE),"")</f>
        <v/>
      </c>
      <c r="C92" s="172" t="str">
        <f t="shared" si="4"/>
        <v/>
      </c>
      <c r="D92" s="173" t="str">
        <f>IF(B92="","",VLOOKUP(B92&amp;C92,Plot!$B$2:$D$199,3,FALSE))</f>
        <v/>
      </c>
      <c r="E92" s="130"/>
      <c r="F92" s="152" t="str">
        <f>IF(B92="","",SUMIFS(Tree!$O:$O,Tree!$A:$A,'Pre-Harvest Plots_rpt'!$B92,Tree!$B:$B,'Pre-Harvest Plots_rpt'!$D92,Tree!$F:$F,"L",Tree!$K:$K,"&lt;&gt;"&amp;"Y"))</f>
        <v/>
      </c>
      <c r="G92" s="153" t="str">
        <f>IFERROR(IF(D92="","",SUMIFS(Tree!$P:$P,Tree!$A:$A,'Pre-Harvest Plots_rpt'!$B92,Tree!$B:$B,'Pre-Harvest Plots_rpt'!$D92,Tree!$K:$K,"&lt;&gt;"&amp;"Y")/$F92),"")</f>
        <v/>
      </c>
      <c r="H92" s="122" t="str">
        <f t="shared" si="5"/>
        <v/>
      </c>
      <c r="I92" s="121" t="str">
        <f>IF(OR($F92=0,$F92=""),"",SUMIFS(Tree!$R:$R,Tree!$A:$A,'Pre-Harvest Plots_rpt'!$B92,Tree!$B:$B,'Pre-Harvest Plots_rpt'!$D92,Tree!$F:$F,"L",Tree!$K:$K,"&lt;&gt;"&amp;"Y"))</f>
        <v/>
      </c>
      <c r="J92" s="121" t="str">
        <f>IF(OR($F92=0,$F92=""),"",IF(SUMIFS(Tree!$W:$W,Tree!$A:$A,'Pre-Harvest Plots_rpt'!$B92,Tree!$B:$B,'Pre-Harvest Plots_rpt'!$D92,Tree!$F:$F,"L",Tree!$K:$K,"&lt;&gt;"&amp;"Y")=0,0,AVERAGEIFS(Tree!$W:$W,Tree!$A:$A,'Pre-Harvest Plots_rpt'!$B92,Tree!$B:$B,'Pre-Harvest Plots_rpt'!$D92,Tree!$F:$F,"L",Tree!$K:$K,"&lt;&gt;"&amp;"Y")))</f>
        <v/>
      </c>
      <c r="K92" s="121" t="str">
        <f>IF($F92="","",SUMIFS(Tree!$S:$S,Tree!$A:$A,'Pre-Harvest Plots_rpt'!$B92,Tree!$B:$B,'Pre-Harvest Plots_rpt'!$D92,Tree!$F:$F,"L",Tree!$K:$K,"&lt;&gt;"&amp;"Y"))</f>
        <v/>
      </c>
      <c r="L92" s="154" t="str">
        <f t="shared" si="6"/>
        <v/>
      </c>
      <c r="M92" s="135"/>
      <c r="N92" s="192" t="str">
        <f>IF(B92="","",SUMIFS(Tree!$AM:$AM,Tree!$A:$A,'Pre-Harvest Plots_rpt'!$B92,Tree!$B:$B,'Pre-Harvest Plots_rpt'!$D92,Tree!$F:$F,"L",Tree!$K:$K,"&lt;&gt;"&amp;"Y"))</f>
        <v/>
      </c>
      <c r="O92" s="122" t="str">
        <f>IF(B92="","",SUMIFS(Tree!$AN:$AN,Tree!$A:$A,'Pre-Harvest Plots_rpt'!$B92,Tree!$B:$B,'Pre-Harvest Plots_rpt'!$D92,Tree!$F:$F,"L",Tree!$K:$K,"&lt;&gt;"&amp;"Y"))</f>
        <v/>
      </c>
      <c r="P92" s="122" t="str">
        <f>IF(B92="","",SUMIFS(Tree!$AO:$AO,Tree!$A:$A,'Pre-Harvest Plots_rpt'!$B92,Tree!$B:$B,'Pre-Harvest Plots_rpt'!$D92,Tree!$F:$F,"L",Tree!$K:$K,"&lt;&gt;"&amp;"Y"))</f>
        <v/>
      </c>
      <c r="Q92" s="122" t="str">
        <f>IF(B92="","",SUMIFS(Tree!$AP:$AP,Tree!$A:$A,'Pre-Harvest Plots_rpt'!$B92,Tree!$B:$B,'Pre-Harvest Plots_rpt'!$D92,Tree!$F:$F,"L",Tree!$K:$K,"&lt;&gt;"&amp;"Y"))</f>
        <v/>
      </c>
      <c r="R92" s="123" t="str">
        <f>IF(B92="","",SUMIFS(Tree!$AQ:$AQ,Tree!$A:$A,'Pre-Harvest Plots_rpt'!$B92,Tree!$B:$B,'Pre-Harvest Plots_rpt'!$D92,Tree!$F:$F,"L",Tree!$K:$K,"&lt;&gt;"&amp;"Y"))</f>
        <v/>
      </c>
      <c r="S92" s="122" t="str">
        <f>IF(B92="","",SUMIFS(Tree!$AJ:$AJ,Tree!$A:$A,'Pre-Harvest Plots_rpt'!$B92,Tree!$B:$B,'Pre-Harvest Plots_rpt'!$D92,Tree!$F:$F,"L",Tree!$K:$K,"&lt;&gt;"&amp;"Y")-O92)</f>
        <v/>
      </c>
      <c r="T92" s="122" t="str">
        <f>IF(B92="","",SUMIFS(Tree!$AK:$AK,Tree!$A:$A,'Pre-Harvest Plots_rpt'!$B92,Tree!$B:$B,'Pre-Harvest Plots_rpt'!$D92,Tree!$F:$F,"L",Tree!$K:$K,"&lt;&gt;"&amp;"Y")-P92)</f>
        <v/>
      </c>
      <c r="U92" s="122" t="str">
        <f>IF(B92="","",SUMIFS(Tree!$AL:$AL,Tree!$A:$A,'Pre-Harvest Plots_rpt'!$B92,Tree!$B:$B,'Pre-Harvest Plots_rpt'!$D92,Tree!$F:$F,"L",Tree!$K:$K,"&lt;&gt;"&amp;"Y")-Q92)</f>
        <v/>
      </c>
      <c r="V92" s="123" t="str">
        <f>IF(B92="","",ROUND(SUMIFS(Tree!$AE:$AE,Tree!$A:$A,'Pre-Harvest Plots_rpt'!$B92,Tree!$B:$B,'Pre-Harvest Plots_rpt'!$D92,Tree!$F:$F,"L",Tree!$K:$K,"&lt;&gt;"&amp;"Y")-R92,1))</f>
        <v/>
      </c>
      <c r="W92" s="124" t="str">
        <f>IF(B92="","",SUMIFS(Tree!$AY:$AY,Tree!$A:$A,'Pre-Harvest Plots_rpt'!$B92,Tree!$B:$B,'Pre-Harvest Plots_rpt'!$D92,Tree!$F:$F,"L",Tree!$K:$K,"&lt;&gt;"&amp;"Y")/1000)</f>
        <v/>
      </c>
      <c r="X92" s="158" t="str">
        <f>IF(B92="","",ROUND((SUMIFS(Tree!$AW:$AW,Tree!$A:$A,'Pre-Harvest Plots_rpt'!$B92,Tree!$B:$B,'Pre-Harvest Plots_rpt'!$D92,Tree!$F:$F,"L",Tree!$K:$K,"&lt;&gt;"&amp;"Y")/1000)-W92,1))</f>
        <v/>
      </c>
      <c r="Y92" s="135"/>
      <c r="Z92" s="161" t="str">
        <f>IF(IF(B92="","",SUMIFS(Tree!$O:$O,Tree!$A:$A,'Pre-Harvest Plots_rpt'!$B92,Tree!$B:$B,'Pre-Harvest Plots_rpt'!$D92,Tree!$F:$F,"D",Tree!$K:$K,"&lt;&gt;"&amp;"Y"))=0,"",IF(B92="","",SUMIFS(Tree!$O:$O,Tree!$A:$A,'Pre-Harvest Plots_rpt'!$B92,Tree!$B:$B,'Pre-Harvest Plots_rpt'!$D92,Tree!$F:$F,"D",Tree!$K:$K,"&lt;&gt;"&amp;"Y")))</f>
        <v/>
      </c>
      <c r="AA92" s="125" t="str">
        <f t="shared" si="7"/>
        <v/>
      </c>
      <c r="AB92" s="125" t="str">
        <f>IF(Z92="","",SUMIFS(Tree!$R:$R,Tree!$A:$A,'Pre-Harvest Plots_rpt'!$B92,Tree!$B:$B,'Pre-Harvest Plots_rpt'!$D92,Tree!$F:$F,"D",Tree!$K:$K,"&lt;&gt;"&amp;"Y"))</f>
        <v/>
      </c>
      <c r="AC92" s="126" t="str">
        <f>IF(Z92="","",SUMIFS(Tree!$AM:$AM,Tree!$A:$A,'Pre-Harvest Plots_rpt'!$B92,Tree!$B:$B,'Pre-Harvest Plots_rpt'!$D92,Tree!$F:$F,"D",Tree!$K:$K,"&lt;&gt;"&amp;"Y"))</f>
        <v/>
      </c>
      <c r="AD92" s="162" t="str">
        <f>IF(Z92="","",SUMIFS(Tree!$AW:$AW,Tree!$A:$A,'Pre-Harvest Plots_rpt'!$B92,Tree!$B:$B,'Pre-Harvest Plots_rpt'!$D92,Tree!$F:$F,"D",Tree!$K:$K,"&lt;&gt;"&amp;"Y")/1000)</f>
        <v/>
      </c>
      <c r="AE92" s="47"/>
      <c r="AF92" s="18"/>
      <c r="AG92" s="18"/>
      <c r="AH92" s="18"/>
    </row>
    <row r="93" spans="1:34" ht="12.75" customHeight="1" x14ac:dyDescent="0.25">
      <c r="A93" s="48">
        <v>90</v>
      </c>
      <c r="B93" s="171" t="str">
        <f>IF(A93&lt;=SUM(Stand!$H$3:$H$29),VLOOKUP(A93,Stand!$A$3:$C$29,3,TRUE),"")</f>
        <v/>
      </c>
      <c r="C93" s="172" t="str">
        <f t="shared" si="4"/>
        <v/>
      </c>
      <c r="D93" s="173" t="str">
        <f>IF(B93="","",VLOOKUP(B93&amp;C93,Plot!$B$2:$D$199,3,FALSE))</f>
        <v/>
      </c>
      <c r="E93" s="130"/>
      <c r="F93" s="152" t="str">
        <f>IF(B93="","",SUMIFS(Tree!$O:$O,Tree!$A:$A,'Pre-Harvest Plots_rpt'!$B93,Tree!$B:$B,'Pre-Harvest Plots_rpt'!$D93,Tree!$F:$F,"L",Tree!$K:$K,"&lt;&gt;"&amp;"Y"))</f>
        <v/>
      </c>
      <c r="G93" s="153" t="str">
        <f>IFERROR(IF(D93="","",SUMIFS(Tree!$P:$P,Tree!$A:$A,'Pre-Harvest Plots_rpt'!$B93,Tree!$B:$B,'Pre-Harvest Plots_rpt'!$D93,Tree!$K:$K,"&lt;&gt;"&amp;"Y")/$F93),"")</f>
        <v/>
      </c>
      <c r="H93" s="122" t="str">
        <f t="shared" si="5"/>
        <v/>
      </c>
      <c r="I93" s="121" t="str">
        <f>IF(OR($F93=0,$F93=""),"",SUMIFS(Tree!$R:$R,Tree!$A:$A,'Pre-Harvest Plots_rpt'!$B93,Tree!$B:$B,'Pre-Harvest Plots_rpt'!$D93,Tree!$F:$F,"L",Tree!$K:$K,"&lt;&gt;"&amp;"Y"))</f>
        <v/>
      </c>
      <c r="J93" s="121" t="str">
        <f>IF(OR($F93=0,$F93=""),"",IF(SUMIFS(Tree!$W:$W,Tree!$A:$A,'Pre-Harvest Plots_rpt'!$B93,Tree!$B:$B,'Pre-Harvest Plots_rpt'!$D93,Tree!$F:$F,"L",Tree!$K:$K,"&lt;&gt;"&amp;"Y")=0,0,AVERAGEIFS(Tree!$W:$W,Tree!$A:$A,'Pre-Harvest Plots_rpt'!$B93,Tree!$B:$B,'Pre-Harvest Plots_rpt'!$D93,Tree!$F:$F,"L",Tree!$K:$K,"&lt;&gt;"&amp;"Y")))</f>
        <v/>
      </c>
      <c r="K93" s="121" t="str">
        <f>IF($F93="","",SUMIFS(Tree!$S:$S,Tree!$A:$A,'Pre-Harvest Plots_rpt'!$B93,Tree!$B:$B,'Pre-Harvest Plots_rpt'!$D93,Tree!$F:$F,"L",Tree!$K:$K,"&lt;&gt;"&amp;"Y"))</f>
        <v/>
      </c>
      <c r="L93" s="154" t="str">
        <f t="shared" si="6"/>
        <v/>
      </c>
      <c r="M93" s="135"/>
      <c r="N93" s="192" t="str">
        <f>IF(B93="","",SUMIFS(Tree!$AM:$AM,Tree!$A:$A,'Pre-Harvest Plots_rpt'!$B93,Tree!$B:$B,'Pre-Harvest Plots_rpt'!$D93,Tree!$F:$F,"L",Tree!$K:$K,"&lt;&gt;"&amp;"Y"))</f>
        <v/>
      </c>
      <c r="O93" s="122" t="str">
        <f>IF(B93="","",SUMIFS(Tree!$AN:$AN,Tree!$A:$A,'Pre-Harvest Plots_rpt'!$B93,Tree!$B:$B,'Pre-Harvest Plots_rpt'!$D93,Tree!$F:$F,"L",Tree!$K:$K,"&lt;&gt;"&amp;"Y"))</f>
        <v/>
      </c>
      <c r="P93" s="122" t="str">
        <f>IF(B93="","",SUMIFS(Tree!$AO:$AO,Tree!$A:$A,'Pre-Harvest Plots_rpt'!$B93,Tree!$B:$B,'Pre-Harvest Plots_rpt'!$D93,Tree!$F:$F,"L",Tree!$K:$K,"&lt;&gt;"&amp;"Y"))</f>
        <v/>
      </c>
      <c r="Q93" s="122" t="str">
        <f>IF(B93="","",SUMIFS(Tree!$AP:$AP,Tree!$A:$A,'Pre-Harvest Plots_rpt'!$B93,Tree!$B:$B,'Pre-Harvest Plots_rpt'!$D93,Tree!$F:$F,"L",Tree!$K:$K,"&lt;&gt;"&amp;"Y"))</f>
        <v/>
      </c>
      <c r="R93" s="123" t="str">
        <f>IF(B93="","",SUMIFS(Tree!$AQ:$AQ,Tree!$A:$A,'Pre-Harvest Plots_rpt'!$B93,Tree!$B:$B,'Pre-Harvest Plots_rpt'!$D93,Tree!$F:$F,"L",Tree!$K:$K,"&lt;&gt;"&amp;"Y"))</f>
        <v/>
      </c>
      <c r="S93" s="122" t="str">
        <f>IF(B93="","",SUMIFS(Tree!$AJ:$AJ,Tree!$A:$A,'Pre-Harvest Plots_rpt'!$B93,Tree!$B:$B,'Pre-Harvest Plots_rpt'!$D93,Tree!$F:$F,"L",Tree!$K:$K,"&lt;&gt;"&amp;"Y")-O93)</f>
        <v/>
      </c>
      <c r="T93" s="122" t="str">
        <f>IF(B93="","",SUMIFS(Tree!$AK:$AK,Tree!$A:$A,'Pre-Harvest Plots_rpt'!$B93,Tree!$B:$B,'Pre-Harvest Plots_rpt'!$D93,Tree!$F:$F,"L",Tree!$K:$K,"&lt;&gt;"&amp;"Y")-P93)</f>
        <v/>
      </c>
      <c r="U93" s="122" t="str">
        <f>IF(B93="","",SUMIFS(Tree!$AL:$AL,Tree!$A:$A,'Pre-Harvest Plots_rpt'!$B93,Tree!$B:$B,'Pre-Harvest Plots_rpt'!$D93,Tree!$F:$F,"L",Tree!$K:$K,"&lt;&gt;"&amp;"Y")-Q93)</f>
        <v/>
      </c>
      <c r="V93" s="123" t="str">
        <f>IF(B93="","",ROUND(SUMIFS(Tree!$AE:$AE,Tree!$A:$A,'Pre-Harvest Plots_rpt'!$B93,Tree!$B:$B,'Pre-Harvest Plots_rpt'!$D93,Tree!$F:$F,"L",Tree!$K:$K,"&lt;&gt;"&amp;"Y")-R93,1))</f>
        <v/>
      </c>
      <c r="W93" s="124" t="str">
        <f>IF(B93="","",SUMIFS(Tree!$AY:$AY,Tree!$A:$A,'Pre-Harvest Plots_rpt'!$B93,Tree!$B:$B,'Pre-Harvest Plots_rpt'!$D93,Tree!$F:$F,"L",Tree!$K:$K,"&lt;&gt;"&amp;"Y")/1000)</f>
        <v/>
      </c>
      <c r="X93" s="158" t="str">
        <f>IF(B93="","",ROUND((SUMIFS(Tree!$AW:$AW,Tree!$A:$A,'Pre-Harvest Plots_rpt'!$B93,Tree!$B:$B,'Pre-Harvest Plots_rpt'!$D93,Tree!$F:$F,"L",Tree!$K:$K,"&lt;&gt;"&amp;"Y")/1000)-W93,1))</f>
        <v/>
      </c>
      <c r="Y93" s="135"/>
      <c r="Z93" s="161" t="str">
        <f>IF(IF(B93="","",SUMIFS(Tree!$O:$O,Tree!$A:$A,'Pre-Harvest Plots_rpt'!$B93,Tree!$B:$B,'Pre-Harvest Plots_rpt'!$D93,Tree!$F:$F,"D",Tree!$K:$K,"&lt;&gt;"&amp;"Y"))=0,"",IF(B93="","",SUMIFS(Tree!$O:$O,Tree!$A:$A,'Pre-Harvest Plots_rpt'!$B93,Tree!$B:$B,'Pre-Harvest Plots_rpt'!$D93,Tree!$F:$F,"D",Tree!$K:$K,"&lt;&gt;"&amp;"Y")))</f>
        <v/>
      </c>
      <c r="AA93" s="125" t="str">
        <f t="shared" si="7"/>
        <v/>
      </c>
      <c r="AB93" s="125" t="str">
        <f>IF(Z93="","",SUMIFS(Tree!$R:$R,Tree!$A:$A,'Pre-Harvest Plots_rpt'!$B93,Tree!$B:$B,'Pre-Harvest Plots_rpt'!$D93,Tree!$F:$F,"D",Tree!$K:$K,"&lt;&gt;"&amp;"Y"))</f>
        <v/>
      </c>
      <c r="AC93" s="126" t="str">
        <f>IF(Z93="","",SUMIFS(Tree!$AM:$AM,Tree!$A:$A,'Pre-Harvest Plots_rpt'!$B93,Tree!$B:$B,'Pre-Harvest Plots_rpt'!$D93,Tree!$F:$F,"D",Tree!$K:$K,"&lt;&gt;"&amp;"Y"))</f>
        <v/>
      </c>
      <c r="AD93" s="162" t="str">
        <f>IF(Z93="","",SUMIFS(Tree!$AW:$AW,Tree!$A:$A,'Pre-Harvest Plots_rpt'!$B93,Tree!$B:$B,'Pre-Harvest Plots_rpt'!$D93,Tree!$F:$F,"D",Tree!$K:$K,"&lt;&gt;"&amp;"Y")/1000)</f>
        <v/>
      </c>
      <c r="AE93" s="47"/>
      <c r="AF93" s="18"/>
      <c r="AG93" s="18"/>
      <c r="AH93" s="18"/>
    </row>
    <row r="94" spans="1:34" ht="12.75" customHeight="1" x14ac:dyDescent="0.25">
      <c r="A94" s="48">
        <v>91</v>
      </c>
      <c r="B94" s="171" t="str">
        <f>IF(A94&lt;=SUM(Stand!$H$3:$H$29),VLOOKUP(A94,Stand!$A$3:$C$29,3,TRUE),"")</f>
        <v/>
      </c>
      <c r="C94" s="172" t="str">
        <f t="shared" si="4"/>
        <v/>
      </c>
      <c r="D94" s="173" t="str">
        <f>IF(B94="","",VLOOKUP(B94&amp;C94,Plot!$B$2:$D$199,3,FALSE))</f>
        <v/>
      </c>
      <c r="E94" s="130"/>
      <c r="F94" s="152" t="str">
        <f>IF(B94="","",SUMIFS(Tree!$O:$O,Tree!$A:$A,'Pre-Harvest Plots_rpt'!$B94,Tree!$B:$B,'Pre-Harvest Plots_rpt'!$D94,Tree!$F:$F,"L",Tree!$K:$K,"&lt;&gt;"&amp;"Y"))</f>
        <v/>
      </c>
      <c r="G94" s="153" t="str">
        <f>IFERROR(IF(D94="","",SUMIFS(Tree!$P:$P,Tree!$A:$A,'Pre-Harvest Plots_rpt'!$B94,Tree!$B:$B,'Pre-Harvest Plots_rpt'!$D94,Tree!$K:$K,"&lt;&gt;"&amp;"Y")/$F94),"")</f>
        <v/>
      </c>
      <c r="H94" s="122" t="str">
        <f t="shared" si="5"/>
        <v/>
      </c>
      <c r="I94" s="121" t="str">
        <f>IF(OR($F94=0,$F94=""),"",SUMIFS(Tree!$R:$R,Tree!$A:$A,'Pre-Harvest Plots_rpt'!$B94,Tree!$B:$B,'Pre-Harvest Plots_rpt'!$D94,Tree!$F:$F,"L",Tree!$K:$K,"&lt;&gt;"&amp;"Y"))</f>
        <v/>
      </c>
      <c r="J94" s="121" t="str">
        <f>IF(OR($F94=0,$F94=""),"",IF(SUMIFS(Tree!$W:$W,Tree!$A:$A,'Pre-Harvest Plots_rpt'!$B94,Tree!$B:$B,'Pre-Harvest Plots_rpt'!$D94,Tree!$F:$F,"L",Tree!$K:$K,"&lt;&gt;"&amp;"Y")=0,0,AVERAGEIFS(Tree!$W:$W,Tree!$A:$A,'Pre-Harvest Plots_rpt'!$B94,Tree!$B:$B,'Pre-Harvest Plots_rpt'!$D94,Tree!$F:$F,"L",Tree!$K:$K,"&lt;&gt;"&amp;"Y")))</f>
        <v/>
      </c>
      <c r="K94" s="121" t="str">
        <f>IF($F94="","",SUMIFS(Tree!$S:$S,Tree!$A:$A,'Pre-Harvest Plots_rpt'!$B94,Tree!$B:$B,'Pre-Harvest Plots_rpt'!$D94,Tree!$F:$F,"L",Tree!$K:$K,"&lt;&gt;"&amp;"Y"))</f>
        <v/>
      </c>
      <c r="L94" s="154" t="str">
        <f t="shared" si="6"/>
        <v/>
      </c>
      <c r="M94" s="135"/>
      <c r="N94" s="192" t="str">
        <f>IF(B94="","",SUMIFS(Tree!$AM:$AM,Tree!$A:$A,'Pre-Harvest Plots_rpt'!$B94,Tree!$B:$B,'Pre-Harvest Plots_rpt'!$D94,Tree!$F:$F,"L",Tree!$K:$K,"&lt;&gt;"&amp;"Y"))</f>
        <v/>
      </c>
      <c r="O94" s="122" t="str">
        <f>IF(B94="","",SUMIFS(Tree!$AN:$AN,Tree!$A:$A,'Pre-Harvest Plots_rpt'!$B94,Tree!$B:$B,'Pre-Harvest Plots_rpt'!$D94,Tree!$F:$F,"L",Tree!$K:$K,"&lt;&gt;"&amp;"Y"))</f>
        <v/>
      </c>
      <c r="P94" s="122" t="str">
        <f>IF(B94="","",SUMIFS(Tree!$AO:$AO,Tree!$A:$A,'Pre-Harvest Plots_rpt'!$B94,Tree!$B:$B,'Pre-Harvest Plots_rpt'!$D94,Tree!$F:$F,"L",Tree!$K:$K,"&lt;&gt;"&amp;"Y"))</f>
        <v/>
      </c>
      <c r="Q94" s="122" t="str">
        <f>IF(B94="","",SUMIFS(Tree!$AP:$AP,Tree!$A:$A,'Pre-Harvest Plots_rpt'!$B94,Tree!$B:$B,'Pre-Harvest Plots_rpt'!$D94,Tree!$F:$F,"L",Tree!$K:$K,"&lt;&gt;"&amp;"Y"))</f>
        <v/>
      </c>
      <c r="R94" s="123" t="str">
        <f>IF(B94="","",SUMIFS(Tree!$AQ:$AQ,Tree!$A:$A,'Pre-Harvest Plots_rpt'!$B94,Tree!$B:$B,'Pre-Harvest Plots_rpt'!$D94,Tree!$F:$F,"L",Tree!$K:$K,"&lt;&gt;"&amp;"Y"))</f>
        <v/>
      </c>
      <c r="S94" s="122" t="str">
        <f>IF(B94="","",SUMIFS(Tree!$AJ:$AJ,Tree!$A:$A,'Pre-Harvest Plots_rpt'!$B94,Tree!$B:$B,'Pre-Harvest Plots_rpt'!$D94,Tree!$F:$F,"L",Tree!$K:$K,"&lt;&gt;"&amp;"Y")-O94)</f>
        <v/>
      </c>
      <c r="T94" s="122" t="str">
        <f>IF(B94="","",SUMIFS(Tree!$AK:$AK,Tree!$A:$A,'Pre-Harvest Plots_rpt'!$B94,Tree!$B:$B,'Pre-Harvest Plots_rpt'!$D94,Tree!$F:$F,"L",Tree!$K:$K,"&lt;&gt;"&amp;"Y")-P94)</f>
        <v/>
      </c>
      <c r="U94" s="122" t="str">
        <f>IF(B94="","",SUMIFS(Tree!$AL:$AL,Tree!$A:$A,'Pre-Harvest Plots_rpt'!$B94,Tree!$B:$B,'Pre-Harvest Plots_rpt'!$D94,Tree!$F:$F,"L",Tree!$K:$K,"&lt;&gt;"&amp;"Y")-Q94)</f>
        <v/>
      </c>
      <c r="V94" s="123" t="str">
        <f>IF(B94="","",ROUND(SUMIFS(Tree!$AE:$AE,Tree!$A:$A,'Pre-Harvest Plots_rpt'!$B94,Tree!$B:$B,'Pre-Harvest Plots_rpt'!$D94,Tree!$F:$F,"L",Tree!$K:$K,"&lt;&gt;"&amp;"Y")-R94,1))</f>
        <v/>
      </c>
      <c r="W94" s="124" t="str">
        <f>IF(B94="","",SUMIFS(Tree!$AY:$AY,Tree!$A:$A,'Pre-Harvest Plots_rpt'!$B94,Tree!$B:$B,'Pre-Harvest Plots_rpt'!$D94,Tree!$F:$F,"L",Tree!$K:$K,"&lt;&gt;"&amp;"Y")/1000)</f>
        <v/>
      </c>
      <c r="X94" s="158" t="str">
        <f>IF(B94="","",ROUND((SUMIFS(Tree!$AW:$AW,Tree!$A:$A,'Pre-Harvest Plots_rpt'!$B94,Tree!$B:$B,'Pre-Harvest Plots_rpt'!$D94,Tree!$F:$F,"L",Tree!$K:$K,"&lt;&gt;"&amp;"Y")/1000)-W94,1))</f>
        <v/>
      </c>
      <c r="Y94" s="135"/>
      <c r="Z94" s="161" t="str">
        <f>IF(IF(B94="","",SUMIFS(Tree!$O:$O,Tree!$A:$A,'Pre-Harvest Plots_rpt'!$B94,Tree!$B:$B,'Pre-Harvest Plots_rpt'!$D94,Tree!$F:$F,"D",Tree!$K:$K,"&lt;&gt;"&amp;"Y"))=0,"",IF(B94="","",SUMIFS(Tree!$O:$O,Tree!$A:$A,'Pre-Harvest Plots_rpt'!$B94,Tree!$B:$B,'Pre-Harvest Plots_rpt'!$D94,Tree!$F:$F,"D",Tree!$K:$K,"&lt;&gt;"&amp;"Y")))</f>
        <v/>
      </c>
      <c r="AA94" s="125" t="str">
        <f t="shared" si="7"/>
        <v/>
      </c>
      <c r="AB94" s="125" t="str">
        <f>IF(Z94="","",SUMIFS(Tree!$R:$R,Tree!$A:$A,'Pre-Harvest Plots_rpt'!$B94,Tree!$B:$B,'Pre-Harvest Plots_rpt'!$D94,Tree!$F:$F,"D",Tree!$K:$K,"&lt;&gt;"&amp;"Y"))</f>
        <v/>
      </c>
      <c r="AC94" s="126" t="str">
        <f>IF(Z94="","",SUMIFS(Tree!$AM:$AM,Tree!$A:$A,'Pre-Harvest Plots_rpt'!$B94,Tree!$B:$B,'Pre-Harvest Plots_rpt'!$D94,Tree!$F:$F,"D",Tree!$K:$K,"&lt;&gt;"&amp;"Y"))</f>
        <v/>
      </c>
      <c r="AD94" s="162" t="str">
        <f>IF(Z94="","",SUMIFS(Tree!$AW:$AW,Tree!$A:$A,'Pre-Harvest Plots_rpt'!$B94,Tree!$B:$B,'Pre-Harvest Plots_rpt'!$D94,Tree!$F:$F,"D",Tree!$K:$K,"&lt;&gt;"&amp;"Y")/1000)</f>
        <v/>
      </c>
      <c r="AE94" s="47"/>
      <c r="AF94" s="18"/>
      <c r="AG94" s="18"/>
      <c r="AH94" s="18"/>
    </row>
    <row r="95" spans="1:34" ht="12.75" customHeight="1" x14ac:dyDescent="0.25">
      <c r="A95" s="48">
        <v>92</v>
      </c>
      <c r="B95" s="171" t="str">
        <f>IF(A95&lt;=SUM(Stand!$H$3:$H$29),VLOOKUP(A95,Stand!$A$3:$C$29,3,TRUE),"")</f>
        <v/>
      </c>
      <c r="C95" s="172" t="str">
        <f t="shared" si="4"/>
        <v/>
      </c>
      <c r="D95" s="173" t="str">
        <f>IF(B95="","",VLOOKUP(B95&amp;C95,Plot!$B$2:$D$199,3,FALSE))</f>
        <v/>
      </c>
      <c r="E95" s="130"/>
      <c r="F95" s="152" t="str">
        <f>IF(B95="","",SUMIFS(Tree!$O:$O,Tree!$A:$A,'Pre-Harvest Plots_rpt'!$B95,Tree!$B:$B,'Pre-Harvest Plots_rpt'!$D95,Tree!$F:$F,"L",Tree!$K:$K,"&lt;&gt;"&amp;"Y"))</f>
        <v/>
      </c>
      <c r="G95" s="153" t="str">
        <f>IFERROR(IF(D95="","",SUMIFS(Tree!$P:$P,Tree!$A:$A,'Pre-Harvest Plots_rpt'!$B95,Tree!$B:$B,'Pre-Harvest Plots_rpt'!$D95,Tree!$K:$K,"&lt;&gt;"&amp;"Y")/$F95),"")</f>
        <v/>
      </c>
      <c r="H95" s="122" t="str">
        <f t="shared" si="5"/>
        <v/>
      </c>
      <c r="I95" s="121" t="str">
        <f>IF(OR($F95=0,$F95=""),"",SUMIFS(Tree!$R:$R,Tree!$A:$A,'Pre-Harvest Plots_rpt'!$B95,Tree!$B:$B,'Pre-Harvest Plots_rpt'!$D95,Tree!$F:$F,"L",Tree!$K:$K,"&lt;&gt;"&amp;"Y"))</f>
        <v/>
      </c>
      <c r="J95" s="121" t="str">
        <f>IF(OR($F95=0,$F95=""),"",IF(SUMIFS(Tree!$W:$W,Tree!$A:$A,'Pre-Harvest Plots_rpt'!$B95,Tree!$B:$B,'Pre-Harvest Plots_rpt'!$D95,Tree!$F:$F,"L",Tree!$K:$K,"&lt;&gt;"&amp;"Y")=0,0,AVERAGEIFS(Tree!$W:$W,Tree!$A:$A,'Pre-Harvest Plots_rpt'!$B95,Tree!$B:$B,'Pre-Harvest Plots_rpt'!$D95,Tree!$F:$F,"L",Tree!$K:$K,"&lt;&gt;"&amp;"Y")))</f>
        <v/>
      </c>
      <c r="K95" s="121" t="str">
        <f>IF($F95="","",SUMIFS(Tree!$S:$S,Tree!$A:$A,'Pre-Harvest Plots_rpt'!$B95,Tree!$B:$B,'Pre-Harvest Plots_rpt'!$D95,Tree!$F:$F,"L",Tree!$K:$K,"&lt;&gt;"&amp;"Y"))</f>
        <v/>
      </c>
      <c r="L95" s="154" t="str">
        <f t="shared" si="6"/>
        <v/>
      </c>
      <c r="M95" s="135"/>
      <c r="N95" s="192" t="str">
        <f>IF(B95="","",SUMIFS(Tree!$AM:$AM,Tree!$A:$A,'Pre-Harvest Plots_rpt'!$B95,Tree!$B:$B,'Pre-Harvest Plots_rpt'!$D95,Tree!$F:$F,"L",Tree!$K:$K,"&lt;&gt;"&amp;"Y"))</f>
        <v/>
      </c>
      <c r="O95" s="122" t="str">
        <f>IF(B95="","",SUMIFS(Tree!$AN:$AN,Tree!$A:$A,'Pre-Harvest Plots_rpt'!$B95,Tree!$B:$B,'Pre-Harvest Plots_rpt'!$D95,Tree!$F:$F,"L",Tree!$K:$K,"&lt;&gt;"&amp;"Y"))</f>
        <v/>
      </c>
      <c r="P95" s="122" t="str">
        <f>IF(B95="","",SUMIFS(Tree!$AO:$AO,Tree!$A:$A,'Pre-Harvest Plots_rpt'!$B95,Tree!$B:$B,'Pre-Harvest Plots_rpt'!$D95,Tree!$F:$F,"L",Tree!$K:$K,"&lt;&gt;"&amp;"Y"))</f>
        <v/>
      </c>
      <c r="Q95" s="122" t="str">
        <f>IF(B95="","",SUMIFS(Tree!$AP:$AP,Tree!$A:$A,'Pre-Harvest Plots_rpt'!$B95,Tree!$B:$B,'Pre-Harvest Plots_rpt'!$D95,Tree!$F:$F,"L",Tree!$K:$K,"&lt;&gt;"&amp;"Y"))</f>
        <v/>
      </c>
      <c r="R95" s="123" t="str">
        <f>IF(B95="","",SUMIFS(Tree!$AQ:$AQ,Tree!$A:$A,'Pre-Harvest Plots_rpt'!$B95,Tree!$B:$B,'Pre-Harvest Plots_rpt'!$D95,Tree!$F:$F,"L",Tree!$K:$K,"&lt;&gt;"&amp;"Y"))</f>
        <v/>
      </c>
      <c r="S95" s="122" t="str">
        <f>IF(B95="","",SUMIFS(Tree!$AJ:$AJ,Tree!$A:$A,'Pre-Harvest Plots_rpt'!$B95,Tree!$B:$B,'Pre-Harvest Plots_rpt'!$D95,Tree!$F:$F,"L",Tree!$K:$K,"&lt;&gt;"&amp;"Y")-O95)</f>
        <v/>
      </c>
      <c r="T95" s="122" t="str">
        <f>IF(B95="","",SUMIFS(Tree!$AK:$AK,Tree!$A:$A,'Pre-Harvest Plots_rpt'!$B95,Tree!$B:$B,'Pre-Harvest Plots_rpt'!$D95,Tree!$F:$F,"L",Tree!$K:$K,"&lt;&gt;"&amp;"Y")-P95)</f>
        <v/>
      </c>
      <c r="U95" s="122" t="str">
        <f>IF(B95="","",SUMIFS(Tree!$AL:$AL,Tree!$A:$A,'Pre-Harvest Plots_rpt'!$B95,Tree!$B:$B,'Pre-Harvest Plots_rpt'!$D95,Tree!$F:$F,"L",Tree!$K:$K,"&lt;&gt;"&amp;"Y")-Q95)</f>
        <v/>
      </c>
      <c r="V95" s="123" t="str">
        <f>IF(B95="","",ROUND(SUMIFS(Tree!$AE:$AE,Tree!$A:$A,'Pre-Harvest Plots_rpt'!$B95,Tree!$B:$B,'Pre-Harvest Plots_rpt'!$D95,Tree!$F:$F,"L",Tree!$K:$K,"&lt;&gt;"&amp;"Y")-R95,1))</f>
        <v/>
      </c>
      <c r="W95" s="124" t="str">
        <f>IF(B95="","",SUMIFS(Tree!$AY:$AY,Tree!$A:$A,'Pre-Harvest Plots_rpt'!$B95,Tree!$B:$B,'Pre-Harvest Plots_rpt'!$D95,Tree!$F:$F,"L",Tree!$K:$K,"&lt;&gt;"&amp;"Y")/1000)</f>
        <v/>
      </c>
      <c r="X95" s="158" t="str">
        <f>IF(B95="","",ROUND((SUMIFS(Tree!$AW:$AW,Tree!$A:$A,'Pre-Harvest Plots_rpt'!$B95,Tree!$B:$B,'Pre-Harvest Plots_rpt'!$D95,Tree!$F:$F,"L",Tree!$K:$K,"&lt;&gt;"&amp;"Y")/1000)-W95,1))</f>
        <v/>
      </c>
      <c r="Y95" s="135"/>
      <c r="Z95" s="161" t="str">
        <f>IF(IF(B95="","",SUMIFS(Tree!$O:$O,Tree!$A:$A,'Pre-Harvest Plots_rpt'!$B95,Tree!$B:$B,'Pre-Harvest Plots_rpt'!$D95,Tree!$F:$F,"D",Tree!$K:$K,"&lt;&gt;"&amp;"Y"))=0,"",IF(B95="","",SUMIFS(Tree!$O:$O,Tree!$A:$A,'Pre-Harvest Plots_rpt'!$B95,Tree!$B:$B,'Pre-Harvest Plots_rpt'!$D95,Tree!$F:$F,"D",Tree!$K:$K,"&lt;&gt;"&amp;"Y")))</f>
        <v/>
      </c>
      <c r="AA95" s="125" t="str">
        <f t="shared" si="7"/>
        <v/>
      </c>
      <c r="AB95" s="125" t="str">
        <f>IF(Z95="","",SUMIFS(Tree!$R:$R,Tree!$A:$A,'Pre-Harvest Plots_rpt'!$B95,Tree!$B:$B,'Pre-Harvest Plots_rpt'!$D95,Tree!$F:$F,"D",Tree!$K:$K,"&lt;&gt;"&amp;"Y"))</f>
        <v/>
      </c>
      <c r="AC95" s="126" t="str">
        <f>IF(Z95="","",SUMIFS(Tree!$AM:$AM,Tree!$A:$A,'Pre-Harvest Plots_rpt'!$B95,Tree!$B:$B,'Pre-Harvest Plots_rpt'!$D95,Tree!$F:$F,"D",Tree!$K:$K,"&lt;&gt;"&amp;"Y"))</f>
        <v/>
      </c>
      <c r="AD95" s="162" t="str">
        <f>IF(Z95="","",SUMIFS(Tree!$AW:$AW,Tree!$A:$A,'Pre-Harvest Plots_rpt'!$B95,Tree!$B:$B,'Pre-Harvest Plots_rpt'!$D95,Tree!$F:$F,"D",Tree!$K:$K,"&lt;&gt;"&amp;"Y")/1000)</f>
        <v/>
      </c>
      <c r="AE95" s="47"/>
      <c r="AF95" s="18"/>
      <c r="AG95" s="18"/>
      <c r="AH95" s="18"/>
    </row>
    <row r="96" spans="1:34" ht="12.75" customHeight="1" x14ac:dyDescent="0.25">
      <c r="A96" s="48">
        <v>93</v>
      </c>
      <c r="B96" s="171" t="str">
        <f>IF(A96&lt;=SUM(Stand!$H$3:$H$29),VLOOKUP(A96,Stand!$A$3:$C$29,3,TRUE),"")</f>
        <v/>
      </c>
      <c r="C96" s="172" t="str">
        <f t="shared" si="4"/>
        <v/>
      </c>
      <c r="D96" s="173" t="str">
        <f>IF(B96="","",VLOOKUP(B96&amp;C96,Plot!$B$2:$D$199,3,FALSE))</f>
        <v/>
      </c>
      <c r="E96" s="130"/>
      <c r="F96" s="152" t="str">
        <f>IF(B96="","",SUMIFS(Tree!$O:$O,Tree!$A:$A,'Pre-Harvest Plots_rpt'!$B96,Tree!$B:$B,'Pre-Harvest Plots_rpt'!$D96,Tree!$F:$F,"L",Tree!$K:$K,"&lt;&gt;"&amp;"Y"))</f>
        <v/>
      </c>
      <c r="G96" s="153" t="str">
        <f>IFERROR(IF(D96="","",SUMIFS(Tree!$P:$P,Tree!$A:$A,'Pre-Harvest Plots_rpt'!$B96,Tree!$B:$B,'Pre-Harvest Plots_rpt'!$D96,Tree!$K:$K,"&lt;&gt;"&amp;"Y")/$F96),"")</f>
        <v/>
      </c>
      <c r="H96" s="122" t="str">
        <f t="shared" si="5"/>
        <v/>
      </c>
      <c r="I96" s="121" t="str">
        <f>IF(OR($F96=0,$F96=""),"",SUMIFS(Tree!$R:$R,Tree!$A:$A,'Pre-Harvest Plots_rpt'!$B96,Tree!$B:$B,'Pre-Harvest Plots_rpt'!$D96,Tree!$F:$F,"L",Tree!$K:$K,"&lt;&gt;"&amp;"Y"))</f>
        <v/>
      </c>
      <c r="J96" s="121" t="str">
        <f>IF(OR($F96=0,$F96=""),"",IF(SUMIFS(Tree!$W:$W,Tree!$A:$A,'Pre-Harvest Plots_rpt'!$B96,Tree!$B:$B,'Pre-Harvest Plots_rpt'!$D96,Tree!$F:$F,"L",Tree!$K:$K,"&lt;&gt;"&amp;"Y")=0,0,AVERAGEIFS(Tree!$W:$W,Tree!$A:$A,'Pre-Harvest Plots_rpt'!$B96,Tree!$B:$B,'Pre-Harvest Plots_rpt'!$D96,Tree!$F:$F,"L",Tree!$K:$K,"&lt;&gt;"&amp;"Y")))</f>
        <v/>
      </c>
      <c r="K96" s="121" t="str">
        <f>IF($F96="","",SUMIFS(Tree!$S:$S,Tree!$A:$A,'Pre-Harvest Plots_rpt'!$B96,Tree!$B:$B,'Pre-Harvest Plots_rpt'!$D96,Tree!$F:$F,"L",Tree!$K:$K,"&lt;&gt;"&amp;"Y"))</f>
        <v/>
      </c>
      <c r="L96" s="154" t="str">
        <f t="shared" si="6"/>
        <v/>
      </c>
      <c r="M96" s="135"/>
      <c r="N96" s="192" t="str">
        <f>IF(B96="","",SUMIFS(Tree!$AM:$AM,Tree!$A:$A,'Pre-Harvest Plots_rpt'!$B96,Tree!$B:$B,'Pre-Harvest Plots_rpt'!$D96,Tree!$F:$F,"L",Tree!$K:$K,"&lt;&gt;"&amp;"Y"))</f>
        <v/>
      </c>
      <c r="O96" s="122" t="str">
        <f>IF(B96="","",SUMIFS(Tree!$AN:$AN,Tree!$A:$A,'Pre-Harvest Plots_rpt'!$B96,Tree!$B:$B,'Pre-Harvest Plots_rpt'!$D96,Tree!$F:$F,"L",Tree!$K:$K,"&lt;&gt;"&amp;"Y"))</f>
        <v/>
      </c>
      <c r="P96" s="122" t="str">
        <f>IF(B96="","",SUMIFS(Tree!$AO:$AO,Tree!$A:$A,'Pre-Harvest Plots_rpt'!$B96,Tree!$B:$B,'Pre-Harvest Plots_rpt'!$D96,Tree!$F:$F,"L",Tree!$K:$K,"&lt;&gt;"&amp;"Y"))</f>
        <v/>
      </c>
      <c r="Q96" s="122" t="str">
        <f>IF(B96="","",SUMIFS(Tree!$AP:$AP,Tree!$A:$A,'Pre-Harvest Plots_rpt'!$B96,Tree!$B:$B,'Pre-Harvest Plots_rpt'!$D96,Tree!$F:$F,"L",Tree!$K:$K,"&lt;&gt;"&amp;"Y"))</f>
        <v/>
      </c>
      <c r="R96" s="123" t="str">
        <f>IF(B96="","",SUMIFS(Tree!$AQ:$AQ,Tree!$A:$A,'Pre-Harvest Plots_rpt'!$B96,Tree!$B:$B,'Pre-Harvest Plots_rpt'!$D96,Tree!$F:$F,"L",Tree!$K:$K,"&lt;&gt;"&amp;"Y"))</f>
        <v/>
      </c>
      <c r="S96" s="122" t="str">
        <f>IF(B96="","",SUMIFS(Tree!$AJ:$AJ,Tree!$A:$A,'Pre-Harvest Plots_rpt'!$B96,Tree!$B:$B,'Pre-Harvest Plots_rpt'!$D96,Tree!$F:$F,"L",Tree!$K:$K,"&lt;&gt;"&amp;"Y")-O96)</f>
        <v/>
      </c>
      <c r="T96" s="122" t="str">
        <f>IF(B96="","",SUMIFS(Tree!$AK:$AK,Tree!$A:$A,'Pre-Harvest Plots_rpt'!$B96,Tree!$B:$B,'Pre-Harvest Plots_rpt'!$D96,Tree!$F:$F,"L",Tree!$K:$K,"&lt;&gt;"&amp;"Y")-P96)</f>
        <v/>
      </c>
      <c r="U96" s="122" t="str">
        <f>IF(B96="","",SUMIFS(Tree!$AL:$AL,Tree!$A:$A,'Pre-Harvest Plots_rpt'!$B96,Tree!$B:$B,'Pre-Harvest Plots_rpt'!$D96,Tree!$F:$F,"L",Tree!$K:$K,"&lt;&gt;"&amp;"Y")-Q96)</f>
        <v/>
      </c>
      <c r="V96" s="123" t="str">
        <f>IF(B96="","",ROUND(SUMIFS(Tree!$AE:$AE,Tree!$A:$A,'Pre-Harvest Plots_rpt'!$B96,Tree!$B:$B,'Pre-Harvest Plots_rpt'!$D96,Tree!$F:$F,"L",Tree!$K:$K,"&lt;&gt;"&amp;"Y")-R96,1))</f>
        <v/>
      </c>
      <c r="W96" s="124" t="str">
        <f>IF(B96="","",SUMIFS(Tree!$AY:$AY,Tree!$A:$A,'Pre-Harvest Plots_rpt'!$B96,Tree!$B:$B,'Pre-Harvest Plots_rpt'!$D96,Tree!$F:$F,"L",Tree!$K:$K,"&lt;&gt;"&amp;"Y")/1000)</f>
        <v/>
      </c>
      <c r="X96" s="158" t="str">
        <f>IF(B96="","",ROUND((SUMIFS(Tree!$AW:$AW,Tree!$A:$A,'Pre-Harvest Plots_rpt'!$B96,Tree!$B:$B,'Pre-Harvest Plots_rpt'!$D96,Tree!$F:$F,"L",Tree!$K:$K,"&lt;&gt;"&amp;"Y")/1000)-W96,1))</f>
        <v/>
      </c>
      <c r="Y96" s="135"/>
      <c r="Z96" s="161" t="str">
        <f>IF(IF(B96="","",SUMIFS(Tree!$O:$O,Tree!$A:$A,'Pre-Harvest Plots_rpt'!$B96,Tree!$B:$B,'Pre-Harvest Plots_rpt'!$D96,Tree!$F:$F,"D",Tree!$K:$K,"&lt;&gt;"&amp;"Y"))=0,"",IF(B96="","",SUMIFS(Tree!$O:$O,Tree!$A:$A,'Pre-Harvest Plots_rpt'!$B96,Tree!$B:$B,'Pre-Harvest Plots_rpt'!$D96,Tree!$F:$F,"D",Tree!$K:$K,"&lt;&gt;"&amp;"Y")))</f>
        <v/>
      </c>
      <c r="AA96" s="125" t="str">
        <f t="shared" si="7"/>
        <v/>
      </c>
      <c r="AB96" s="125" t="str">
        <f>IF(Z96="","",SUMIFS(Tree!$R:$R,Tree!$A:$A,'Pre-Harvest Plots_rpt'!$B96,Tree!$B:$B,'Pre-Harvest Plots_rpt'!$D96,Tree!$F:$F,"D",Tree!$K:$K,"&lt;&gt;"&amp;"Y"))</f>
        <v/>
      </c>
      <c r="AC96" s="126" t="str">
        <f>IF(Z96="","",SUMIFS(Tree!$AM:$AM,Tree!$A:$A,'Pre-Harvest Plots_rpt'!$B96,Tree!$B:$B,'Pre-Harvest Plots_rpt'!$D96,Tree!$F:$F,"D",Tree!$K:$K,"&lt;&gt;"&amp;"Y"))</f>
        <v/>
      </c>
      <c r="AD96" s="162" t="str">
        <f>IF(Z96="","",SUMIFS(Tree!$AW:$AW,Tree!$A:$A,'Pre-Harvest Plots_rpt'!$B96,Tree!$B:$B,'Pre-Harvest Plots_rpt'!$D96,Tree!$F:$F,"D",Tree!$K:$K,"&lt;&gt;"&amp;"Y")/1000)</f>
        <v/>
      </c>
      <c r="AE96" s="47"/>
      <c r="AF96" s="18"/>
      <c r="AG96" s="18"/>
      <c r="AH96" s="18"/>
    </row>
    <row r="97" spans="1:34" ht="12.75" customHeight="1" x14ac:dyDescent="0.25">
      <c r="A97" s="48">
        <v>94</v>
      </c>
      <c r="B97" s="171" t="str">
        <f>IF(A97&lt;=SUM(Stand!$H$3:$H$29),VLOOKUP(A97,Stand!$A$3:$C$29,3,TRUE),"")</f>
        <v/>
      </c>
      <c r="C97" s="172" t="str">
        <f t="shared" si="4"/>
        <v/>
      </c>
      <c r="D97" s="173" t="str">
        <f>IF(B97="","",VLOOKUP(B97&amp;C97,Plot!$B$2:$D$199,3,FALSE))</f>
        <v/>
      </c>
      <c r="E97" s="130"/>
      <c r="F97" s="152" t="str">
        <f>IF(B97="","",SUMIFS(Tree!$O:$O,Tree!$A:$A,'Pre-Harvest Plots_rpt'!$B97,Tree!$B:$B,'Pre-Harvest Plots_rpt'!$D97,Tree!$F:$F,"L",Tree!$K:$K,"&lt;&gt;"&amp;"Y"))</f>
        <v/>
      </c>
      <c r="G97" s="153" t="str">
        <f>IFERROR(IF(D97="","",SUMIFS(Tree!$P:$P,Tree!$A:$A,'Pre-Harvest Plots_rpt'!$B97,Tree!$B:$B,'Pre-Harvest Plots_rpt'!$D97,Tree!$K:$K,"&lt;&gt;"&amp;"Y")/$F97),"")</f>
        <v/>
      </c>
      <c r="H97" s="122" t="str">
        <f t="shared" si="5"/>
        <v/>
      </c>
      <c r="I97" s="121" t="str">
        <f>IF(OR($F97=0,$F97=""),"",SUMIFS(Tree!$R:$R,Tree!$A:$A,'Pre-Harvest Plots_rpt'!$B97,Tree!$B:$B,'Pre-Harvest Plots_rpt'!$D97,Tree!$F:$F,"L",Tree!$K:$K,"&lt;&gt;"&amp;"Y"))</f>
        <v/>
      </c>
      <c r="J97" s="121" t="str">
        <f>IF(OR($F97=0,$F97=""),"",IF(SUMIFS(Tree!$W:$W,Tree!$A:$A,'Pre-Harvest Plots_rpt'!$B97,Tree!$B:$B,'Pre-Harvest Plots_rpt'!$D97,Tree!$F:$F,"L",Tree!$K:$K,"&lt;&gt;"&amp;"Y")=0,0,AVERAGEIFS(Tree!$W:$W,Tree!$A:$A,'Pre-Harvest Plots_rpt'!$B97,Tree!$B:$B,'Pre-Harvest Plots_rpt'!$D97,Tree!$F:$F,"L",Tree!$K:$K,"&lt;&gt;"&amp;"Y")))</f>
        <v/>
      </c>
      <c r="K97" s="121" t="str">
        <f>IF($F97="","",SUMIFS(Tree!$S:$S,Tree!$A:$A,'Pre-Harvest Plots_rpt'!$B97,Tree!$B:$B,'Pre-Harvest Plots_rpt'!$D97,Tree!$F:$F,"L",Tree!$K:$K,"&lt;&gt;"&amp;"Y"))</f>
        <v/>
      </c>
      <c r="L97" s="154" t="str">
        <f t="shared" si="6"/>
        <v/>
      </c>
      <c r="M97" s="135"/>
      <c r="N97" s="192" t="str">
        <f>IF(B97="","",SUMIFS(Tree!$AM:$AM,Tree!$A:$A,'Pre-Harvest Plots_rpt'!$B97,Tree!$B:$B,'Pre-Harvest Plots_rpt'!$D97,Tree!$F:$F,"L",Tree!$K:$K,"&lt;&gt;"&amp;"Y"))</f>
        <v/>
      </c>
      <c r="O97" s="122" t="str">
        <f>IF(B97="","",SUMIFS(Tree!$AN:$AN,Tree!$A:$A,'Pre-Harvest Plots_rpt'!$B97,Tree!$B:$B,'Pre-Harvest Plots_rpt'!$D97,Tree!$F:$F,"L",Tree!$K:$K,"&lt;&gt;"&amp;"Y"))</f>
        <v/>
      </c>
      <c r="P97" s="122" t="str">
        <f>IF(B97="","",SUMIFS(Tree!$AO:$AO,Tree!$A:$A,'Pre-Harvest Plots_rpt'!$B97,Tree!$B:$B,'Pre-Harvest Plots_rpt'!$D97,Tree!$F:$F,"L",Tree!$K:$K,"&lt;&gt;"&amp;"Y"))</f>
        <v/>
      </c>
      <c r="Q97" s="122" t="str">
        <f>IF(B97="","",SUMIFS(Tree!$AP:$AP,Tree!$A:$A,'Pre-Harvest Plots_rpt'!$B97,Tree!$B:$B,'Pre-Harvest Plots_rpt'!$D97,Tree!$F:$F,"L",Tree!$K:$K,"&lt;&gt;"&amp;"Y"))</f>
        <v/>
      </c>
      <c r="R97" s="123" t="str">
        <f>IF(B97="","",SUMIFS(Tree!$AQ:$AQ,Tree!$A:$A,'Pre-Harvest Plots_rpt'!$B97,Tree!$B:$B,'Pre-Harvest Plots_rpt'!$D97,Tree!$F:$F,"L",Tree!$K:$K,"&lt;&gt;"&amp;"Y"))</f>
        <v/>
      </c>
      <c r="S97" s="122" t="str">
        <f>IF(B97="","",SUMIFS(Tree!$AJ:$AJ,Tree!$A:$A,'Pre-Harvest Plots_rpt'!$B97,Tree!$B:$B,'Pre-Harvest Plots_rpt'!$D97,Tree!$F:$F,"L",Tree!$K:$K,"&lt;&gt;"&amp;"Y")-O97)</f>
        <v/>
      </c>
      <c r="T97" s="122" t="str">
        <f>IF(B97="","",SUMIFS(Tree!$AK:$AK,Tree!$A:$A,'Pre-Harvest Plots_rpt'!$B97,Tree!$B:$B,'Pre-Harvest Plots_rpt'!$D97,Tree!$F:$F,"L",Tree!$K:$K,"&lt;&gt;"&amp;"Y")-P97)</f>
        <v/>
      </c>
      <c r="U97" s="122" t="str">
        <f>IF(B97="","",SUMIFS(Tree!$AL:$AL,Tree!$A:$A,'Pre-Harvest Plots_rpt'!$B97,Tree!$B:$B,'Pre-Harvest Plots_rpt'!$D97,Tree!$F:$F,"L",Tree!$K:$K,"&lt;&gt;"&amp;"Y")-Q97)</f>
        <v/>
      </c>
      <c r="V97" s="123" t="str">
        <f>IF(B97="","",ROUND(SUMIFS(Tree!$AE:$AE,Tree!$A:$A,'Pre-Harvest Plots_rpt'!$B97,Tree!$B:$B,'Pre-Harvest Plots_rpt'!$D97,Tree!$F:$F,"L",Tree!$K:$K,"&lt;&gt;"&amp;"Y")-R97,1))</f>
        <v/>
      </c>
      <c r="W97" s="124" t="str">
        <f>IF(B97="","",SUMIFS(Tree!$AY:$AY,Tree!$A:$A,'Pre-Harvest Plots_rpt'!$B97,Tree!$B:$B,'Pre-Harvest Plots_rpt'!$D97,Tree!$F:$F,"L",Tree!$K:$K,"&lt;&gt;"&amp;"Y")/1000)</f>
        <v/>
      </c>
      <c r="X97" s="158" t="str">
        <f>IF(B97="","",ROUND((SUMIFS(Tree!$AW:$AW,Tree!$A:$A,'Pre-Harvest Plots_rpt'!$B97,Tree!$B:$B,'Pre-Harvest Plots_rpt'!$D97,Tree!$F:$F,"L",Tree!$K:$K,"&lt;&gt;"&amp;"Y")/1000)-W97,1))</f>
        <v/>
      </c>
      <c r="Y97" s="135"/>
      <c r="Z97" s="161" t="str">
        <f>IF(IF(B97="","",SUMIFS(Tree!$O:$O,Tree!$A:$A,'Pre-Harvest Plots_rpt'!$B97,Tree!$B:$B,'Pre-Harvest Plots_rpt'!$D97,Tree!$F:$F,"D",Tree!$K:$K,"&lt;&gt;"&amp;"Y"))=0,"",IF(B97="","",SUMIFS(Tree!$O:$O,Tree!$A:$A,'Pre-Harvest Plots_rpt'!$B97,Tree!$B:$B,'Pre-Harvest Plots_rpt'!$D97,Tree!$F:$F,"D",Tree!$K:$K,"&lt;&gt;"&amp;"Y")))</f>
        <v/>
      </c>
      <c r="AA97" s="125" t="str">
        <f t="shared" si="7"/>
        <v/>
      </c>
      <c r="AB97" s="125" t="str">
        <f>IF(Z97="","",SUMIFS(Tree!$R:$R,Tree!$A:$A,'Pre-Harvest Plots_rpt'!$B97,Tree!$B:$B,'Pre-Harvest Plots_rpt'!$D97,Tree!$F:$F,"D",Tree!$K:$K,"&lt;&gt;"&amp;"Y"))</f>
        <v/>
      </c>
      <c r="AC97" s="126" t="str">
        <f>IF(Z97="","",SUMIFS(Tree!$AM:$AM,Tree!$A:$A,'Pre-Harvest Plots_rpt'!$B97,Tree!$B:$B,'Pre-Harvest Plots_rpt'!$D97,Tree!$F:$F,"D",Tree!$K:$K,"&lt;&gt;"&amp;"Y"))</f>
        <v/>
      </c>
      <c r="AD97" s="162" t="str">
        <f>IF(Z97="","",SUMIFS(Tree!$AW:$AW,Tree!$A:$A,'Pre-Harvest Plots_rpt'!$B97,Tree!$B:$B,'Pre-Harvest Plots_rpt'!$D97,Tree!$F:$F,"D",Tree!$K:$K,"&lt;&gt;"&amp;"Y")/1000)</f>
        <v/>
      </c>
      <c r="AE97" s="47"/>
      <c r="AF97" s="18"/>
      <c r="AG97" s="18"/>
      <c r="AH97" s="18"/>
    </row>
    <row r="98" spans="1:34" ht="12.75" customHeight="1" x14ac:dyDescent="0.25">
      <c r="A98" s="48">
        <v>95</v>
      </c>
      <c r="B98" s="171" t="str">
        <f>IF(A98&lt;=SUM(Stand!$H$3:$H$29),VLOOKUP(A98,Stand!$A$3:$C$29,3,TRUE),"")</f>
        <v/>
      </c>
      <c r="C98" s="172" t="str">
        <f t="shared" si="4"/>
        <v/>
      </c>
      <c r="D98" s="173" t="str">
        <f>IF(B98="","",VLOOKUP(B98&amp;C98,Plot!$B$2:$D$199,3,FALSE))</f>
        <v/>
      </c>
      <c r="E98" s="130"/>
      <c r="F98" s="152" t="str">
        <f>IF(B98="","",SUMIFS(Tree!$O:$O,Tree!$A:$A,'Pre-Harvest Plots_rpt'!$B98,Tree!$B:$B,'Pre-Harvest Plots_rpt'!$D98,Tree!$F:$F,"L",Tree!$K:$K,"&lt;&gt;"&amp;"Y"))</f>
        <v/>
      </c>
      <c r="G98" s="153" t="str">
        <f>IFERROR(IF(D98="","",SUMIFS(Tree!$P:$P,Tree!$A:$A,'Pre-Harvest Plots_rpt'!$B98,Tree!$B:$B,'Pre-Harvest Plots_rpt'!$D98,Tree!$K:$K,"&lt;&gt;"&amp;"Y")/$F98),"")</f>
        <v/>
      </c>
      <c r="H98" s="122" t="str">
        <f t="shared" si="5"/>
        <v/>
      </c>
      <c r="I98" s="121" t="str">
        <f>IF(OR($F98=0,$F98=""),"",SUMIFS(Tree!$R:$R,Tree!$A:$A,'Pre-Harvest Plots_rpt'!$B98,Tree!$B:$B,'Pre-Harvest Plots_rpt'!$D98,Tree!$F:$F,"L",Tree!$K:$K,"&lt;&gt;"&amp;"Y"))</f>
        <v/>
      </c>
      <c r="J98" s="121" t="str">
        <f>IF(OR($F98=0,$F98=""),"",IF(SUMIFS(Tree!$W:$W,Tree!$A:$A,'Pre-Harvest Plots_rpt'!$B98,Tree!$B:$B,'Pre-Harvest Plots_rpt'!$D98,Tree!$F:$F,"L",Tree!$K:$K,"&lt;&gt;"&amp;"Y")=0,0,AVERAGEIFS(Tree!$W:$W,Tree!$A:$A,'Pre-Harvest Plots_rpt'!$B98,Tree!$B:$B,'Pre-Harvest Plots_rpt'!$D98,Tree!$F:$F,"L",Tree!$K:$K,"&lt;&gt;"&amp;"Y")))</f>
        <v/>
      </c>
      <c r="K98" s="121" t="str">
        <f>IF($F98="","",SUMIFS(Tree!$S:$S,Tree!$A:$A,'Pre-Harvest Plots_rpt'!$B98,Tree!$B:$B,'Pre-Harvest Plots_rpt'!$D98,Tree!$F:$F,"L",Tree!$K:$K,"&lt;&gt;"&amp;"Y"))</f>
        <v/>
      </c>
      <c r="L98" s="154" t="str">
        <f t="shared" si="6"/>
        <v/>
      </c>
      <c r="M98" s="135"/>
      <c r="N98" s="192" t="str">
        <f>IF(B98="","",SUMIFS(Tree!$AM:$AM,Tree!$A:$A,'Pre-Harvest Plots_rpt'!$B98,Tree!$B:$B,'Pre-Harvest Plots_rpt'!$D98,Tree!$F:$F,"L",Tree!$K:$K,"&lt;&gt;"&amp;"Y"))</f>
        <v/>
      </c>
      <c r="O98" s="122" t="str">
        <f>IF(B98="","",SUMIFS(Tree!$AN:$AN,Tree!$A:$A,'Pre-Harvest Plots_rpt'!$B98,Tree!$B:$B,'Pre-Harvest Plots_rpt'!$D98,Tree!$F:$F,"L",Tree!$K:$K,"&lt;&gt;"&amp;"Y"))</f>
        <v/>
      </c>
      <c r="P98" s="122" t="str">
        <f>IF(B98="","",SUMIFS(Tree!$AO:$AO,Tree!$A:$A,'Pre-Harvest Plots_rpt'!$B98,Tree!$B:$B,'Pre-Harvest Plots_rpt'!$D98,Tree!$F:$F,"L",Tree!$K:$K,"&lt;&gt;"&amp;"Y"))</f>
        <v/>
      </c>
      <c r="Q98" s="122" t="str">
        <f>IF(B98="","",SUMIFS(Tree!$AP:$AP,Tree!$A:$A,'Pre-Harvest Plots_rpt'!$B98,Tree!$B:$B,'Pre-Harvest Plots_rpt'!$D98,Tree!$F:$F,"L",Tree!$K:$K,"&lt;&gt;"&amp;"Y"))</f>
        <v/>
      </c>
      <c r="R98" s="123" t="str">
        <f>IF(B98="","",SUMIFS(Tree!$AQ:$AQ,Tree!$A:$A,'Pre-Harvest Plots_rpt'!$B98,Tree!$B:$B,'Pre-Harvest Plots_rpt'!$D98,Tree!$F:$F,"L",Tree!$K:$K,"&lt;&gt;"&amp;"Y"))</f>
        <v/>
      </c>
      <c r="S98" s="122" t="str">
        <f>IF(B98="","",SUMIFS(Tree!$AJ:$AJ,Tree!$A:$A,'Pre-Harvest Plots_rpt'!$B98,Tree!$B:$B,'Pre-Harvest Plots_rpt'!$D98,Tree!$F:$F,"L",Tree!$K:$K,"&lt;&gt;"&amp;"Y")-O98)</f>
        <v/>
      </c>
      <c r="T98" s="122" t="str">
        <f>IF(B98="","",SUMIFS(Tree!$AK:$AK,Tree!$A:$A,'Pre-Harvest Plots_rpt'!$B98,Tree!$B:$B,'Pre-Harvest Plots_rpt'!$D98,Tree!$F:$F,"L",Tree!$K:$K,"&lt;&gt;"&amp;"Y")-P98)</f>
        <v/>
      </c>
      <c r="U98" s="122" t="str">
        <f>IF(B98="","",SUMIFS(Tree!$AL:$AL,Tree!$A:$A,'Pre-Harvest Plots_rpt'!$B98,Tree!$B:$B,'Pre-Harvest Plots_rpt'!$D98,Tree!$F:$F,"L",Tree!$K:$K,"&lt;&gt;"&amp;"Y")-Q98)</f>
        <v/>
      </c>
      <c r="V98" s="123" t="str">
        <f>IF(B98="","",ROUND(SUMIFS(Tree!$AE:$AE,Tree!$A:$A,'Pre-Harvest Plots_rpt'!$B98,Tree!$B:$B,'Pre-Harvest Plots_rpt'!$D98,Tree!$F:$F,"L",Tree!$K:$K,"&lt;&gt;"&amp;"Y")-R98,1))</f>
        <v/>
      </c>
      <c r="W98" s="124" t="str">
        <f>IF(B98="","",SUMIFS(Tree!$AY:$AY,Tree!$A:$A,'Pre-Harvest Plots_rpt'!$B98,Tree!$B:$B,'Pre-Harvest Plots_rpt'!$D98,Tree!$F:$F,"L",Tree!$K:$K,"&lt;&gt;"&amp;"Y")/1000)</f>
        <v/>
      </c>
      <c r="X98" s="158" t="str">
        <f>IF(B98="","",ROUND((SUMIFS(Tree!$AW:$AW,Tree!$A:$A,'Pre-Harvest Plots_rpt'!$B98,Tree!$B:$B,'Pre-Harvest Plots_rpt'!$D98,Tree!$F:$F,"L",Tree!$K:$K,"&lt;&gt;"&amp;"Y")/1000)-W98,1))</f>
        <v/>
      </c>
      <c r="Y98" s="135"/>
      <c r="Z98" s="161" t="str">
        <f>IF(IF(B98="","",SUMIFS(Tree!$O:$O,Tree!$A:$A,'Pre-Harvest Plots_rpt'!$B98,Tree!$B:$B,'Pre-Harvest Plots_rpt'!$D98,Tree!$F:$F,"D",Tree!$K:$K,"&lt;&gt;"&amp;"Y"))=0,"",IF(B98="","",SUMIFS(Tree!$O:$O,Tree!$A:$A,'Pre-Harvest Plots_rpt'!$B98,Tree!$B:$B,'Pre-Harvest Plots_rpt'!$D98,Tree!$F:$F,"D",Tree!$K:$K,"&lt;&gt;"&amp;"Y")))</f>
        <v/>
      </c>
      <c r="AA98" s="125" t="str">
        <f t="shared" si="7"/>
        <v/>
      </c>
      <c r="AB98" s="125" t="str">
        <f>IF(Z98="","",SUMIFS(Tree!$R:$R,Tree!$A:$A,'Pre-Harvest Plots_rpt'!$B98,Tree!$B:$B,'Pre-Harvest Plots_rpt'!$D98,Tree!$F:$F,"D",Tree!$K:$K,"&lt;&gt;"&amp;"Y"))</f>
        <v/>
      </c>
      <c r="AC98" s="126" t="str">
        <f>IF(Z98="","",SUMIFS(Tree!$AM:$AM,Tree!$A:$A,'Pre-Harvest Plots_rpt'!$B98,Tree!$B:$B,'Pre-Harvest Plots_rpt'!$D98,Tree!$F:$F,"D",Tree!$K:$K,"&lt;&gt;"&amp;"Y"))</f>
        <v/>
      </c>
      <c r="AD98" s="162" t="str">
        <f>IF(Z98="","",SUMIFS(Tree!$AW:$AW,Tree!$A:$A,'Pre-Harvest Plots_rpt'!$B98,Tree!$B:$B,'Pre-Harvest Plots_rpt'!$D98,Tree!$F:$F,"D",Tree!$K:$K,"&lt;&gt;"&amp;"Y")/1000)</f>
        <v/>
      </c>
      <c r="AE98" s="47"/>
      <c r="AF98" s="18"/>
      <c r="AG98" s="18"/>
      <c r="AH98" s="18"/>
    </row>
    <row r="99" spans="1:34" ht="12.75" customHeight="1" x14ac:dyDescent="0.25">
      <c r="A99" s="48">
        <v>96</v>
      </c>
      <c r="B99" s="171" t="str">
        <f>IF(A99&lt;=SUM(Stand!$H$3:$H$29),VLOOKUP(A99,Stand!$A$3:$C$29,3,TRUE),"")</f>
        <v/>
      </c>
      <c r="C99" s="172" t="str">
        <f t="shared" si="4"/>
        <v/>
      </c>
      <c r="D99" s="173" t="str">
        <f>IF(B99="","",VLOOKUP(B99&amp;C99,Plot!$B$2:$D$199,3,FALSE))</f>
        <v/>
      </c>
      <c r="E99" s="130"/>
      <c r="F99" s="152" t="str">
        <f>IF(B99="","",SUMIFS(Tree!$O:$O,Tree!$A:$A,'Pre-Harvest Plots_rpt'!$B99,Tree!$B:$B,'Pre-Harvest Plots_rpt'!$D99,Tree!$F:$F,"L",Tree!$K:$K,"&lt;&gt;"&amp;"Y"))</f>
        <v/>
      </c>
      <c r="G99" s="153" t="str">
        <f>IFERROR(IF(D99="","",SUMIFS(Tree!$P:$P,Tree!$A:$A,'Pre-Harvest Plots_rpt'!$B99,Tree!$B:$B,'Pre-Harvest Plots_rpt'!$D99,Tree!$K:$K,"&lt;&gt;"&amp;"Y")/$F99),"")</f>
        <v/>
      </c>
      <c r="H99" s="122" t="str">
        <f t="shared" si="5"/>
        <v/>
      </c>
      <c r="I99" s="121" t="str">
        <f>IF(OR($F99=0,$F99=""),"",SUMIFS(Tree!$R:$R,Tree!$A:$A,'Pre-Harvest Plots_rpt'!$B99,Tree!$B:$B,'Pre-Harvest Plots_rpt'!$D99,Tree!$F:$F,"L",Tree!$K:$K,"&lt;&gt;"&amp;"Y"))</f>
        <v/>
      </c>
      <c r="J99" s="121" t="str">
        <f>IF(OR($F99=0,$F99=""),"",IF(SUMIFS(Tree!$W:$W,Tree!$A:$A,'Pre-Harvest Plots_rpt'!$B99,Tree!$B:$B,'Pre-Harvest Plots_rpt'!$D99,Tree!$F:$F,"L",Tree!$K:$K,"&lt;&gt;"&amp;"Y")=0,0,AVERAGEIFS(Tree!$W:$W,Tree!$A:$A,'Pre-Harvest Plots_rpt'!$B99,Tree!$B:$B,'Pre-Harvest Plots_rpt'!$D99,Tree!$F:$F,"L",Tree!$K:$K,"&lt;&gt;"&amp;"Y")))</f>
        <v/>
      </c>
      <c r="K99" s="121" t="str">
        <f>IF($F99="","",SUMIFS(Tree!$S:$S,Tree!$A:$A,'Pre-Harvest Plots_rpt'!$B99,Tree!$B:$B,'Pre-Harvest Plots_rpt'!$D99,Tree!$F:$F,"L",Tree!$K:$K,"&lt;&gt;"&amp;"Y"))</f>
        <v/>
      </c>
      <c r="L99" s="154" t="str">
        <f t="shared" si="6"/>
        <v/>
      </c>
      <c r="M99" s="135"/>
      <c r="N99" s="192" t="str">
        <f>IF(B99="","",SUMIFS(Tree!$AM:$AM,Tree!$A:$A,'Pre-Harvest Plots_rpt'!$B99,Tree!$B:$B,'Pre-Harvest Plots_rpt'!$D99,Tree!$F:$F,"L",Tree!$K:$K,"&lt;&gt;"&amp;"Y"))</f>
        <v/>
      </c>
      <c r="O99" s="122" t="str">
        <f>IF(B99="","",SUMIFS(Tree!$AN:$AN,Tree!$A:$A,'Pre-Harvest Plots_rpt'!$B99,Tree!$B:$B,'Pre-Harvest Plots_rpt'!$D99,Tree!$F:$F,"L",Tree!$K:$K,"&lt;&gt;"&amp;"Y"))</f>
        <v/>
      </c>
      <c r="P99" s="122" t="str">
        <f>IF(B99="","",SUMIFS(Tree!$AO:$AO,Tree!$A:$A,'Pre-Harvest Plots_rpt'!$B99,Tree!$B:$B,'Pre-Harvest Plots_rpt'!$D99,Tree!$F:$F,"L",Tree!$K:$K,"&lt;&gt;"&amp;"Y"))</f>
        <v/>
      </c>
      <c r="Q99" s="122" t="str">
        <f>IF(B99="","",SUMIFS(Tree!$AP:$AP,Tree!$A:$A,'Pre-Harvest Plots_rpt'!$B99,Tree!$B:$B,'Pre-Harvest Plots_rpt'!$D99,Tree!$F:$F,"L",Tree!$K:$K,"&lt;&gt;"&amp;"Y"))</f>
        <v/>
      </c>
      <c r="R99" s="123" t="str">
        <f>IF(B99="","",SUMIFS(Tree!$AQ:$AQ,Tree!$A:$A,'Pre-Harvest Plots_rpt'!$B99,Tree!$B:$B,'Pre-Harvest Plots_rpt'!$D99,Tree!$F:$F,"L",Tree!$K:$K,"&lt;&gt;"&amp;"Y"))</f>
        <v/>
      </c>
      <c r="S99" s="122" t="str">
        <f>IF(B99="","",SUMIFS(Tree!$AJ:$AJ,Tree!$A:$A,'Pre-Harvest Plots_rpt'!$B99,Tree!$B:$B,'Pre-Harvest Plots_rpt'!$D99,Tree!$F:$F,"L",Tree!$K:$K,"&lt;&gt;"&amp;"Y")-O99)</f>
        <v/>
      </c>
      <c r="T99" s="122" t="str">
        <f>IF(B99="","",SUMIFS(Tree!$AK:$AK,Tree!$A:$A,'Pre-Harvest Plots_rpt'!$B99,Tree!$B:$B,'Pre-Harvest Plots_rpt'!$D99,Tree!$F:$F,"L",Tree!$K:$K,"&lt;&gt;"&amp;"Y")-P99)</f>
        <v/>
      </c>
      <c r="U99" s="122" t="str">
        <f>IF(B99="","",SUMIFS(Tree!$AL:$AL,Tree!$A:$A,'Pre-Harvest Plots_rpt'!$B99,Tree!$B:$B,'Pre-Harvest Plots_rpt'!$D99,Tree!$F:$F,"L",Tree!$K:$K,"&lt;&gt;"&amp;"Y")-Q99)</f>
        <v/>
      </c>
      <c r="V99" s="123" t="str">
        <f>IF(B99="","",ROUND(SUMIFS(Tree!$AE:$AE,Tree!$A:$A,'Pre-Harvest Plots_rpt'!$B99,Tree!$B:$B,'Pre-Harvest Plots_rpt'!$D99,Tree!$F:$F,"L",Tree!$K:$K,"&lt;&gt;"&amp;"Y")-R99,1))</f>
        <v/>
      </c>
      <c r="W99" s="124" t="str">
        <f>IF(B99="","",SUMIFS(Tree!$AY:$AY,Tree!$A:$A,'Pre-Harvest Plots_rpt'!$B99,Tree!$B:$B,'Pre-Harvest Plots_rpt'!$D99,Tree!$F:$F,"L",Tree!$K:$K,"&lt;&gt;"&amp;"Y")/1000)</f>
        <v/>
      </c>
      <c r="X99" s="158" t="str">
        <f>IF(B99="","",ROUND((SUMIFS(Tree!$AW:$AW,Tree!$A:$A,'Pre-Harvest Plots_rpt'!$B99,Tree!$B:$B,'Pre-Harvest Plots_rpt'!$D99,Tree!$F:$F,"L",Tree!$K:$K,"&lt;&gt;"&amp;"Y")/1000)-W99,1))</f>
        <v/>
      </c>
      <c r="Y99" s="135"/>
      <c r="Z99" s="161" t="str">
        <f>IF(IF(B99="","",SUMIFS(Tree!$O:$O,Tree!$A:$A,'Pre-Harvest Plots_rpt'!$B99,Tree!$B:$B,'Pre-Harvest Plots_rpt'!$D99,Tree!$F:$F,"D",Tree!$K:$K,"&lt;&gt;"&amp;"Y"))=0,"",IF(B99="","",SUMIFS(Tree!$O:$O,Tree!$A:$A,'Pre-Harvest Plots_rpt'!$B99,Tree!$B:$B,'Pre-Harvest Plots_rpt'!$D99,Tree!$F:$F,"D",Tree!$K:$K,"&lt;&gt;"&amp;"Y")))</f>
        <v/>
      </c>
      <c r="AA99" s="125" t="str">
        <f t="shared" si="7"/>
        <v/>
      </c>
      <c r="AB99" s="125" t="str">
        <f>IF(Z99="","",SUMIFS(Tree!$R:$R,Tree!$A:$A,'Pre-Harvest Plots_rpt'!$B99,Tree!$B:$B,'Pre-Harvest Plots_rpt'!$D99,Tree!$F:$F,"D",Tree!$K:$K,"&lt;&gt;"&amp;"Y"))</f>
        <v/>
      </c>
      <c r="AC99" s="126" t="str">
        <f>IF(Z99="","",SUMIFS(Tree!$AM:$AM,Tree!$A:$A,'Pre-Harvest Plots_rpt'!$B99,Tree!$B:$B,'Pre-Harvest Plots_rpt'!$D99,Tree!$F:$F,"D",Tree!$K:$K,"&lt;&gt;"&amp;"Y"))</f>
        <v/>
      </c>
      <c r="AD99" s="162" t="str">
        <f>IF(Z99="","",SUMIFS(Tree!$AW:$AW,Tree!$A:$A,'Pre-Harvest Plots_rpt'!$B99,Tree!$B:$B,'Pre-Harvest Plots_rpt'!$D99,Tree!$F:$F,"D",Tree!$K:$K,"&lt;&gt;"&amp;"Y")/1000)</f>
        <v/>
      </c>
      <c r="AE99" s="47"/>
      <c r="AF99" s="18"/>
      <c r="AG99" s="18"/>
      <c r="AH99" s="18"/>
    </row>
    <row r="100" spans="1:34" ht="12.75" customHeight="1" x14ac:dyDescent="0.25">
      <c r="A100" s="48">
        <v>97</v>
      </c>
      <c r="B100" s="171" t="str">
        <f>IF(A100&lt;=SUM(Stand!$H$3:$H$29),VLOOKUP(A100,Stand!$A$3:$C$29,3,TRUE),"")</f>
        <v/>
      </c>
      <c r="C100" s="172" t="str">
        <f t="shared" si="4"/>
        <v/>
      </c>
      <c r="D100" s="173" t="str">
        <f>IF(B100="","",VLOOKUP(B100&amp;C100,Plot!$B$2:$D$199,3,FALSE))</f>
        <v/>
      </c>
      <c r="E100" s="130"/>
      <c r="F100" s="152" t="str">
        <f>IF(B100="","",SUMIFS(Tree!$O:$O,Tree!$A:$A,'Pre-Harvest Plots_rpt'!$B100,Tree!$B:$B,'Pre-Harvest Plots_rpt'!$D100,Tree!$F:$F,"L",Tree!$K:$K,"&lt;&gt;"&amp;"Y"))</f>
        <v/>
      </c>
      <c r="G100" s="153" t="str">
        <f>IFERROR(IF(D100="","",SUMIFS(Tree!$P:$P,Tree!$A:$A,'Pre-Harvest Plots_rpt'!$B100,Tree!$B:$B,'Pre-Harvest Plots_rpt'!$D100,Tree!$K:$K,"&lt;&gt;"&amp;"Y")/$F100),"")</f>
        <v/>
      </c>
      <c r="H100" s="122" t="str">
        <f t="shared" si="5"/>
        <v/>
      </c>
      <c r="I100" s="121" t="str">
        <f>IF(OR($F100=0,$F100=""),"",SUMIFS(Tree!$R:$R,Tree!$A:$A,'Pre-Harvest Plots_rpt'!$B100,Tree!$B:$B,'Pre-Harvest Plots_rpt'!$D100,Tree!$F:$F,"L",Tree!$K:$K,"&lt;&gt;"&amp;"Y"))</f>
        <v/>
      </c>
      <c r="J100" s="121" t="str">
        <f>IF(OR($F100=0,$F100=""),"",IF(SUMIFS(Tree!$W:$W,Tree!$A:$A,'Pre-Harvest Plots_rpt'!$B100,Tree!$B:$B,'Pre-Harvest Plots_rpt'!$D100,Tree!$F:$F,"L",Tree!$K:$K,"&lt;&gt;"&amp;"Y")=0,0,AVERAGEIFS(Tree!$W:$W,Tree!$A:$A,'Pre-Harvest Plots_rpt'!$B100,Tree!$B:$B,'Pre-Harvest Plots_rpt'!$D100,Tree!$F:$F,"L",Tree!$K:$K,"&lt;&gt;"&amp;"Y")))</f>
        <v/>
      </c>
      <c r="K100" s="121" t="str">
        <f>IF($F100="","",SUMIFS(Tree!$S:$S,Tree!$A:$A,'Pre-Harvest Plots_rpt'!$B100,Tree!$B:$B,'Pre-Harvest Plots_rpt'!$D100,Tree!$F:$F,"L",Tree!$K:$K,"&lt;&gt;"&amp;"Y"))</f>
        <v/>
      </c>
      <c r="L100" s="154" t="str">
        <f t="shared" si="6"/>
        <v/>
      </c>
      <c r="M100" s="135"/>
      <c r="N100" s="192" t="str">
        <f>IF(B100="","",SUMIFS(Tree!$AM:$AM,Tree!$A:$A,'Pre-Harvest Plots_rpt'!$B100,Tree!$B:$B,'Pre-Harvest Plots_rpt'!$D100,Tree!$F:$F,"L",Tree!$K:$K,"&lt;&gt;"&amp;"Y"))</f>
        <v/>
      </c>
      <c r="O100" s="122" t="str">
        <f>IF(B100="","",SUMIFS(Tree!$AN:$AN,Tree!$A:$A,'Pre-Harvest Plots_rpt'!$B100,Tree!$B:$B,'Pre-Harvest Plots_rpt'!$D100,Tree!$F:$F,"L",Tree!$K:$K,"&lt;&gt;"&amp;"Y"))</f>
        <v/>
      </c>
      <c r="P100" s="122" t="str">
        <f>IF(B100="","",SUMIFS(Tree!$AO:$AO,Tree!$A:$A,'Pre-Harvest Plots_rpt'!$B100,Tree!$B:$B,'Pre-Harvest Plots_rpt'!$D100,Tree!$F:$F,"L",Tree!$K:$K,"&lt;&gt;"&amp;"Y"))</f>
        <v/>
      </c>
      <c r="Q100" s="122" t="str">
        <f>IF(B100="","",SUMIFS(Tree!$AP:$AP,Tree!$A:$A,'Pre-Harvest Plots_rpt'!$B100,Tree!$B:$B,'Pre-Harvest Plots_rpt'!$D100,Tree!$F:$F,"L",Tree!$K:$K,"&lt;&gt;"&amp;"Y"))</f>
        <v/>
      </c>
      <c r="R100" s="123" t="str">
        <f>IF(B100="","",SUMIFS(Tree!$AQ:$AQ,Tree!$A:$A,'Pre-Harvest Plots_rpt'!$B100,Tree!$B:$B,'Pre-Harvest Plots_rpt'!$D100,Tree!$F:$F,"L",Tree!$K:$K,"&lt;&gt;"&amp;"Y"))</f>
        <v/>
      </c>
      <c r="S100" s="122" t="str">
        <f>IF(B100="","",SUMIFS(Tree!$AJ:$AJ,Tree!$A:$A,'Pre-Harvest Plots_rpt'!$B100,Tree!$B:$B,'Pre-Harvest Plots_rpt'!$D100,Tree!$F:$F,"L",Tree!$K:$K,"&lt;&gt;"&amp;"Y")-O100)</f>
        <v/>
      </c>
      <c r="T100" s="122" t="str">
        <f>IF(B100="","",SUMIFS(Tree!$AK:$AK,Tree!$A:$A,'Pre-Harvest Plots_rpt'!$B100,Tree!$B:$B,'Pre-Harvest Plots_rpt'!$D100,Tree!$F:$F,"L",Tree!$K:$K,"&lt;&gt;"&amp;"Y")-P100)</f>
        <v/>
      </c>
      <c r="U100" s="122" t="str">
        <f>IF(B100="","",SUMIFS(Tree!$AL:$AL,Tree!$A:$A,'Pre-Harvest Plots_rpt'!$B100,Tree!$B:$B,'Pre-Harvest Plots_rpt'!$D100,Tree!$F:$F,"L",Tree!$K:$K,"&lt;&gt;"&amp;"Y")-Q100)</f>
        <v/>
      </c>
      <c r="V100" s="123" t="str">
        <f>IF(B100="","",ROUND(SUMIFS(Tree!$AE:$AE,Tree!$A:$A,'Pre-Harvest Plots_rpt'!$B100,Tree!$B:$B,'Pre-Harvest Plots_rpt'!$D100,Tree!$F:$F,"L",Tree!$K:$K,"&lt;&gt;"&amp;"Y")-R100,1))</f>
        <v/>
      </c>
      <c r="W100" s="124" t="str">
        <f>IF(B100="","",SUMIFS(Tree!$AY:$AY,Tree!$A:$A,'Pre-Harvest Plots_rpt'!$B100,Tree!$B:$B,'Pre-Harvest Plots_rpt'!$D100,Tree!$F:$F,"L",Tree!$K:$K,"&lt;&gt;"&amp;"Y")/1000)</f>
        <v/>
      </c>
      <c r="X100" s="158" t="str">
        <f>IF(B100="","",ROUND((SUMIFS(Tree!$AW:$AW,Tree!$A:$A,'Pre-Harvest Plots_rpt'!$B100,Tree!$B:$B,'Pre-Harvest Plots_rpt'!$D100,Tree!$F:$F,"L",Tree!$K:$K,"&lt;&gt;"&amp;"Y")/1000)-W100,1))</f>
        <v/>
      </c>
      <c r="Y100" s="135"/>
      <c r="Z100" s="161" t="str">
        <f>IF(IF(B100="","",SUMIFS(Tree!$O:$O,Tree!$A:$A,'Pre-Harvest Plots_rpt'!$B100,Tree!$B:$B,'Pre-Harvest Plots_rpt'!$D100,Tree!$F:$F,"D",Tree!$K:$K,"&lt;&gt;"&amp;"Y"))=0,"",IF(B100="","",SUMIFS(Tree!$O:$O,Tree!$A:$A,'Pre-Harvest Plots_rpt'!$B100,Tree!$B:$B,'Pre-Harvest Plots_rpt'!$D100,Tree!$F:$F,"D",Tree!$K:$K,"&lt;&gt;"&amp;"Y")))</f>
        <v/>
      </c>
      <c r="AA100" s="125" t="str">
        <f t="shared" si="7"/>
        <v/>
      </c>
      <c r="AB100" s="125" t="str">
        <f>IF(Z100="","",SUMIFS(Tree!$R:$R,Tree!$A:$A,'Pre-Harvest Plots_rpt'!$B100,Tree!$B:$B,'Pre-Harvest Plots_rpt'!$D100,Tree!$F:$F,"D",Tree!$K:$K,"&lt;&gt;"&amp;"Y"))</f>
        <v/>
      </c>
      <c r="AC100" s="126" t="str">
        <f>IF(Z100="","",SUMIFS(Tree!$AM:$AM,Tree!$A:$A,'Pre-Harvest Plots_rpt'!$B100,Tree!$B:$B,'Pre-Harvest Plots_rpt'!$D100,Tree!$F:$F,"D",Tree!$K:$K,"&lt;&gt;"&amp;"Y"))</f>
        <v/>
      </c>
      <c r="AD100" s="162" t="str">
        <f>IF(Z100="","",SUMIFS(Tree!$AW:$AW,Tree!$A:$A,'Pre-Harvest Plots_rpt'!$B100,Tree!$B:$B,'Pre-Harvest Plots_rpt'!$D100,Tree!$F:$F,"D",Tree!$K:$K,"&lt;&gt;"&amp;"Y")/1000)</f>
        <v/>
      </c>
      <c r="AE100" s="47"/>
      <c r="AF100" s="18"/>
      <c r="AG100" s="18"/>
      <c r="AH100" s="18"/>
    </row>
    <row r="101" spans="1:34" ht="12.75" customHeight="1" x14ac:dyDescent="0.25">
      <c r="A101" s="48">
        <v>98</v>
      </c>
      <c r="B101" s="171" t="str">
        <f>IF(A101&lt;=SUM(Stand!$H$3:$H$29),VLOOKUP(A101,Stand!$A$3:$C$29,3,TRUE),"")</f>
        <v/>
      </c>
      <c r="C101" s="172" t="str">
        <f t="shared" si="4"/>
        <v/>
      </c>
      <c r="D101" s="173" t="str">
        <f>IF(B101="","",VLOOKUP(B101&amp;C101,Plot!$B$2:$D$199,3,FALSE))</f>
        <v/>
      </c>
      <c r="E101" s="130"/>
      <c r="F101" s="152" t="str">
        <f>IF(B101="","",SUMIFS(Tree!$O:$O,Tree!$A:$A,'Pre-Harvest Plots_rpt'!$B101,Tree!$B:$B,'Pre-Harvest Plots_rpt'!$D101,Tree!$F:$F,"L",Tree!$K:$K,"&lt;&gt;"&amp;"Y"))</f>
        <v/>
      </c>
      <c r="G101" s="153" t="str">
        <f>IFERROR(IF(D101="","",SUMIFS(Tree!$P:$P,Tree!$A:$A,'Pre-Harvest Plots_rpt'!$B101,Tree!$B:$B,'Pre-Harvest Plots_rpt'!$D101,Tree!$K:$K,"&lt;&gt;"&amp;"Y")/$F101),"")</f>
        <v/>
      </c>
      <c r="H101" s="122" t="str">
        <f t="shared" si="5"/>
        <v/>
      </c>
      <c r="I101" s="121" t="str">
        <f>IF(OR($F101=0,$F101=""),"",SUMIFS(Tree!$R:$R,Tree!$A:$A,'Pre-Harvest Plots_rpt'!$B101,Tree!$B:$B,'Pre-Harvest Plots_rpt'!$D101,Tree!$F:$F,"L",Tree!$K:$K,"&lt;&gt;"&amp;"Y"))</f>
        <v/>
      </c>
      <c r="J101" s="121" t="str">
        <f>IF(OR($F101=0,$F101=""),"",IF(SUMIFS(Tree!$W:$W,Tree!$A:$A,'Pre-Harvest Plots_rpt'!$B101,Tree!$B:$B,'Pre-Harvest Plots_rpt'!$D101,Tree!$F:$F,"L",Tree!$K:$K,"&lt;&gt;"&amp;"Y")=0,0,AVERAGEIFS(Tree!$W:$W,Tree!$A:$A,'Pre-Harvest Plots_rpt'!$B101,Tree!$B:$B,'Pre-Harvest Plots_rpt'!$D101,Tree!$F:$F,"L",Tree!$K:$K,"&lt;&gt;"&amp;"Y")))</f>
        <v/>
      </c>
      <c r="K101" s="121" t="str">
        <f>IF($F101="","",SUMIFS(Tree!$S:$S,Tree!$A:$A,'Pre-Harvest Plots_rpt'!$B101,Tree!$B:$B,'Pre-Harvest Plots_rpt'!$D101,Tree!$F:$F,"L",Tree!$K:$K,"&lt;&gt;"&amp;"Y"))</f>
        <v/>
      </c>
      <c r="L101" s="154" t="str">
        <f t="shared" si="6"/>
        <v/>
      </c>
      <c r="M101" s="135"/>
      <c r="N101" s="192" t="str">
        <f>IF(B101="","",SUMIFS(Tree!$AM:$AM,Tree!$A:$A,'Pre-Harvest Plots_rpt'!$B101,Tree!$B:$B,'Pre-Harvest Plots_rpt'!$D101,Tree!$F:$F,"L",Tree!$K:$K,"&lt;&gt;"&amp;"Y"))</f>
        <v/>
      </c>
      <c r="O101" s="122" t="str">
        <f>IF(B101="","",SUMIFS(Tree!$AN:$AN,Tree!$A:$A,'Pre-Harvest Plots_rpt'!$B101,Tree!$B:$B,'Pre-Harvest Plots_rpt'!$D101,Tree!$F:$F,"L",Tree!$K:$K,"&lt;&gt;"&amp;"Y"))</f>
        <v/>
      </c>
      <c r="P101" s="122" t="str">
        <f>IF(B101="","",SUMIFS(Tree!$AO:$AO,Tree!$A:$A,'Pre-Harvest Plots_rpt'!$B101,Tree!$B:$B,'Pre-Harvest Plots_rpt'!$D101,Tree!$F:$F,"L",Tree!$K:$K,"&lt;&gt;"&amp;"Y"))</f>
        <v/>
      </c>
      <c r="Q101" s="122" t="str">
        <f>IF(B101="","",SUMIFS(Tree!$AP:$AP,Tree!$A:$A,'Pre-Harvest Plots_rpt'!$B101,Tree!$B:$B,'Pre-Harvest Plots_rpt'!$D101,Tree!$F:$F,"L",Tree!$K:$K,"&lt;&gt;"&amp;"Y"))</f>
        <v/>
      </c>
      <c r="R101" s="123" t="str">
        <f>IF(B101="","",SUMIFS(Tree!$AQ:$AQ,Tree!$A:$A,'Pre-Harvest Plots_rpt'!$B101,Tree!$B:$B,'Pre-Harvest Plots_rpt'!$D101,Tree!$F:$F,"L",Tree!$K:$K,"&lt;&gt;"&amp;"Y"))</f>
        <v/>
      </c>
      <c r="S101" s="122" t="str">
        <f>IF(B101="","",SUMIFS(Tree!$AJ:$AJ,Tree!$A:$A,'Pre-Harvest Plots_rpt'!$B101,Tree!$B:$B,'Pre-Harvest Plots_rpt'!$D101,Tree!$F:$F,"L",Tree!$K:$K,"&lt;&gt;"&amp;"Y")-O101)</f>
        <v/>
      </c>
      <c r="T101" s="122" t="str">
        <f>IF(B101="","",SUMIFS(Tree!$AK:$AK,Tree!$A:$A,'Pre-Harvest Plots_rpt'!$B101,Tree!$B:$B,'Pre-Harvest Plots_rpt'!$D101,Tree!$F:$F,"L",Tree!$K:$K,"&lt;&gt;"&amp;"Y")-P101)</f>
        <v/>
      </c>
      <c r="U101" s="122" t="str">
        <f>IF(B101="","",SUMIFS(Tree!$AL:$AL,Tree!$A:$A,'Pre-Harvest Plots_rpt'!$B101,Tree!$B:$B,'Pre-Harvest Plots_rpt'!$D101,Tree!$F:$F,"L",Tree!$K:$K,"&lt;&gt;"&amp;"Y")-Q101)</f>
        <v/>
      </c>
      <c r="V101" s="123" t="str">
        <f>IF(B101="","",ROUND(SUMIFS(Tree!$AE:$AE,Tree!$A:$A,'Pre-Harvest Plots_rpt'!$B101,Tree!$B:$B,'Pre-Harvest Plots_rpt'!$D101,Tree!$F:$F,"L",Tree!$K:$K,"&lt;&gt;"&amp;"Y")-R101,1))</f>
        <v/>
      </c>
      <c r="W101" s="124" t="str">
        <f>IF(B101="","",SUMIFS(Tree!$AY:$AY,Tree!$A:$A,'Pre-Harvest Plots_rpt'!$B101,Tree!$B:$B,'Pre-Harvest Plots_rpt'!$D101,Tree!$F:$F,"L",Tree!$K:$K,"&lt;&gt;"&amp;"Y")/1000)</f>
        <v/>
      </c>
      <c r="X101" s="158" t="str">
        <f>IF(B101="","",ROUND((SUMIFS(Tree!$AW:$AW,Tree!$A:$A,'Pre-Harvest Plots_rpt'!$B101,Tree!$B:$B,'Pre-Harvest Plots_rpt'!$D101,Tree!$F:$F,"L",Tree!$K:$K,"&lt;&gt;"&amp;"Y")/1000)-W101,1))</f>
        <v/>
      </c>
      <c r="Y101" s="135"/>
      <c r="Z101" s="161" t="str">
        <f>IF(IF(B101="","",SUMIFS(Tree!$O:$O,Tree!$A:$A,'Pre-Harvest Plots_rpt'!$B101,Tree!$B:$B,'Pre-Harvest Plots_rpt'!$D101,Tree!$F:$F,"D",Tree!$K:$K,"&lt;&gt;"&amp;"Y"))=0,"",IF(B101="","",SUMIFS(Tree!$O:$O,Tree!$A:$A,'Pre-Harvest Plots_rpt'!$B101,Tree!$B:$B,'Pre-Harvest Plots_rpt'!$D101,Tree!$F:$F,"D",Tree!$K:$K,"&lt;&gt;"&amp;"Y")))</f>
        <v/>
      </c>
      <c r="AA101" s="125" t="str">
        <f t="shared" si="7"/>
        <v/>
      </c>
      <c r="AB101" s="125" t="str">
        <f>IF(Z101="","",SUMIFS(Tree!$R:$R,Tree!$A:$A,'Pre-Harvest Plots_rpt'!$B101,Tree!$B:$B,'Pre-Harvest Plots_rpt'!$D101,Tree!$F:$F,"D",Tree!$K:$K,"&lt;&gt;"&amp;"Y"))</f>
        <v/>
      </c>
      <c r="AC101" s="126" t="str">
        <f>IF(Z101="","",SUMIFS(Tree!$AM:$AM,Tree!$A:$A,'Pre-Harvest Plots_rpt'!$B101,Tree!$B:$B,'Pre-Harvest Plots_rpt'!$D101,Tree!$F:$F,"D",Tree!$K:$K,"&lt;&gt;"&amp;"Y"))</f>
        <v/>
      </c>
      <c r="AD101" s="162" t="str">
        <f>IF(Z101="","",SUMIFS(Tree!$AW:$AW,Tree!$A:$A,'Pre-Harvest Plots_rpt'!$B101,Tree!$B:$B,'Pre-Harvest Plots_rpt'!$D101,Tree!$F:$F,"D",Tree!$K:$K,"&lt;&gt;"&amp;"Y")/1000)</f>
        <v/>
      </c>
      <c r="AE101" s="47"/>
      <c r="AF101" s="18"/>
      <c r="AG101" s="18"/>
      <c r="AH101" s="18"/>
    </row>
    <row r="102" spans="1:34" ht="12.75" customHeight="1" x14ac:dyDescent="0.25">
      <c r="A102" s="48">
        <v>99</v>
      </c>
      <c r="B102" s="171" t="str">
        <f>IF(A102&lt;=SUM(Stand!$H$3:$H$29),VLOOKUP(A102,Stand!$A$3:$C$29,3,TRUE),"")</f>
        <v/>
      </c>
      <c r="C102" s="172" t="str">
        <f t="shared" si="4"/>
        <v/>
      </c>
      <c r="D102" s="173" t="str">
        <f>IF(B102="","",VLOOKUP(B102&amp;C102,Plot!$B$2:$D$199,3,FALSE))</f>
        <v/>
      </c>
      <c r="E102" s="130"/>
      <c r="F102" s="152" t="str">
        <f>IF(B102="","",SUMIFS(Tree!$O:$O,Tree!$A:$A,'Pre-Harvest Plots_rpt'!$B102,Tree!$B:$B,'Pre-Harvest Plots_rpt'!$D102,Tree!$F:$F,"L",Tree!$K:$K,"&lt;&gt;"&amp;"Y"))</f>
        <v/>
      </c>
      <c r="G102" s="153" t="str">
        <f>IFERROR(IF(D102="","",SUMIFS(Tree!$P:$P,Tree!$A:$A,'Pre-Harvest Plots_rpt'!$B102,Tree!$B:$B,'Pre-Harvest Plots_rpt'!$D102,Tree!$K:$K,"&lt;&gt;"&amp;"Y")/$F102),"")</f>
        <v/>
      </c>
      <c r="H102" s="122" t="str">
        <f t="shared" si="5"/>
        <v/>
      </c>
      <c r="I102" s="121" t="str">
        <f>IF(OR($F102=0,$F102=""),"",SUMIFS(Tree!$R:$R,Tree!$A:$A,'Pre-Harvest Plots_rpt'!$B102,Tree!$B:$B,'Pre-Harvest Plots_rpt'!$D102,Tree!$F:$F,"L",Tree!$K:$K,"&lt;&gt;"&amp;"Y"))</f>
        <v/>
      </c>
      <c r="J102" s="121" t="str">
        <f>IF(OR($F102=0,$F102=""),"",IF(SUMIFS(Tree!$W:$W,Tree!$A:$A,'Pre-Harvest Plots_rpt'!$B102,Tree!$B:$B,'Pre-Harvest Plots_rpt'!$D102,Tree!$F:$F,"L",Tree!$K:$K,"&lt;&gt;"&amp;"Y")=0,0,AVERAGEIFS(Tree!$W:$W,Tree!$A:$A,'Pre-Harvest Plots_rpt'!$B102,Tree!$B:$B,'Pre-Harvest Plots_rpt'!$D102,Tree!$F:$F,"L",Tree!$K:$K,"&lt;&gt;"&amp;"Y")))</f>
        <v/>
      </c>
      <c r="K102" s="121" t="str">
        <f>IF($F102="","",SUMIFS(Tree!$S:$S,Tree!$A:$A,'Pre-Harvest Plots_rpt'!$B102,Tree!$B:$B,'Pre-Harvest Plots_rpt'!$D102,Tree!$F:$F,"L",Tree!$K:$K,"&lt;&gt;"&amp;"Y"))</f>
        <v/>
      </c>
      <c r="L102" s="154" t="str">
        <f t="shared" si="6"/>
        <v/>
      </c>
      <c r="M102" s="135"/>
      <c r="N102" s="192" t="str">
        <f>IF(B102="","",SUMIFS(Tree!$AM:$AM,Tree!$A:$A,'Pre-Harvest Plots_rpt'!$B102,Tree!$B:$B,'Pre-Harvest Plots_rpt'!$D102,Tree!$F:$F,"L",Tree!$K:$K,"&lt;&gt;"&amp;"Y"))</f>
        <v/>
      </c>
      <c r="O102" s="122" t="str">
        <f>IF(B102="","",SUMIFS(Tree!$AN:$AN,Tree!$A:$A,'Pre-Harvest Plots_rpt'!$B102,Tree!$B:$B,'Pre-Harvest Plots_rpt'!$D102,Tree!$F:$F,"L",Tree!$K:$K,"&lt;&gt;"&amp;"Y"))</f>
        <v/>
      </c>
      <c r="P102" s="122" t="str">
        <f>IF(B102="","",SUMIFS(Tree!$AO:$AO,Tree!$A:$A,'Pre-Harvest Plots_rpt'!$B102,Tree!$B:$B,'Pre-Harvest Plots_rpt'!$D102,Tree!$F:$F,"L",Tree!$K:$K,"&lt;&gt;"&amp;"Y"))</f>
        <v/>
      </c>
      <c r="Q102" s="122" t="str">
        <f>IF(B102="","",SUMIFS(Tree!$AP:$AP,Tree!$A:$A,'Pre-Harvest Plots_rpt'!$B102,Tree!$B:$B,'Pre-Harvest Plots_rpt'!$D102,Tree!$F:$F,"L",Tree!$K:$K,"&lt;&gt;"&amp;"Y"))</f>
        <v/>
      </c>
      <c r="R102" s="123" t="str">
        <f>IF(B102="","",SUMIFS(Tree!$AQ:$AQ,Tree!$A:$A,'Pre-Harvest Plots_rpt'!$B102,Tree!$B:$B,'Pre-Harvest Plots_rpt'!$D102,Tree!$F:$F,"L",Tree!$K:$K,"&lt;&gt;"&amp;"Y"))</f>
        <v/>
      </c>
      <c r="S102" s="122" t="str">
        <f>IF(B102="","",SUMIFS(Tree!$AJ:$AJ,Tree!$A:$A,'Pre-Harvest Plots_rpt'!$B102,Tree!$B:$B,'Pre-Harvest Plots_rpt'!$D102,Tree!$F:$F,"L",Tree!$K:$K,"&lt;&gt;"&amp;"Y")-O102)</f>
        <v/>
      </c>
      <c r="T102" s="122" t="str">
        <f>IF(B102="","",SUMIFS(Tree!$AK:$AK,Tree!$A:$A,'Pre-Harvest Plots_rpt'!$B102,Tree!$B:$B,'Pre-Harvest Plots_rpt'!$D102,Tree!$F:$F,"L",Tree!$K:$K,"&lt;&gt;"&amp;"Y")-P102)</f>
        <v/>
      </c>
      <c r="U102" s="122" t="str">
        <f>IF(B102="","",SUMIFS(Tree!$AL:$AL,Tree!$A:$A,'Pre-Harvest Plots_rpt'!$B102,Tree!$B:$B,'Pre-Harvest Plots_rpt'!$D102,Tree!$F:$F,"L",Tree!$K:$K,"&lt;&gt;"&amp;"Y")-Q102)</f>
        <v/>
      </c>
      <c r="V102" s="123" t="str">
        <f>IF(B102="","",ROUND(SUMIFS(Tree!$AE:$AE,Tree!$A:$A,'Pre-Harvest Plots_rpt'!$B102,Tree!$B:$B,'Pre-Harvest Plots_rpt'!$D102,Tree!$F:$F,"L",Tree!$K:$K,"&lt;&gt;"&amp;"Y")-R102,1))</f>
        <v/>
      </c>
      <c r="W102" s="124" t="str">
        <f>IF(B102="","",SUMIFS(Tree!$AY:$AY,Tree!$A:$A,'Pre-Harvest Plots_rpt'!$B102,Tree!$B:$B,'Pre-Harvest Plots_rpt'!$D102,Tree!$F:$F,"L",Tree!$K:$K,"&lt;&gt;"&amp;"Y")/1000)</f>
        <v/>
      </c>
      <c r="X102" s="158" t="str">
        <f>IF(B102="","",ROUND((SUMIFS(Tree!$AW:$AW,Tree!$A:$A,'Pre-Harvest Plots_rpt'!$B102,Tree!$B:$B,'Pre-Harvest Plots_rpt'!$D102,Tree!$F:$F,"L",Tree!$K:$K,"&lt;&gt;"&amp;"Y")/1000)-W102,1))</f>
        <v/>
      </c>
      <c r="Y102" s="135"/>
      <c r="Z102" s="161" t="str">
        <f>IF(IF(B102="","",SUMIFS(Tree!$O:$O,Tree!$A:$A,'Pre-Harvest Plots_rpt'!$B102,Tree!$B:$B,'Pre-Harvest Plots_rpt'!$D102,Tree!$F:$F,"D",Tree!$K:$K,"&lt;&gt;"&amp;"Y"))=0,"",IF(B102="","",SUMIFS(Tree!$O:$O,Tree!$A:$A,'Pre-Harvest Plots_rpt'!$B102,Tree!$B:$B,'Pre-Harvest Plots_rpt'!$D102,Tree!$F:$F,"D",Tree!$K:$K,"&lt;&gt;"&amp;"Y")))</f>
        <v/>
      </c>
      <c r="AA102" s="125" t="str">
        <f t="shared" si="7"/>
        <v/>
      </c>
      <c r="AB102" s="125" t="str">
        <f>IF(Z102="","",SUMIFS(Tree!$R:$R,Tree!$A:$A,'Pre-Harvest Plots_rpt'!$B102,Tree!$B:$B,'Pre-Harvest Plots_rpt'!$D102,Tree!$F:$F,"D",Tree!$K:$K,"&lt;&gt;"&amp;"Y"))</f>
        <v/>
      </c>
      <c r="AC102" s="126" t="str">
        <f>IF(Z102="","",SUMIFS(Tree!$AM:$AM,Tree!$A:$A,'Pre-Harvest Plots_rpt'!$B102,Tree!$B:$B,'Pre-Harvest Plots_rpt'!$D102,Tree!$F:$F,"D",Tree!$K:$K,"&lt;&gt;"&amp;"Y"))</f>
        <v/>
      </c>
      <c r="AD102" s="162" t="str">
        <f>IF(Z102="","",SUMIFS(Tree!$AW:$AW,Tree!$A:$A,'Pre-Harvest Plots_rpt'!$B102,Tree!$B:$B,'Pre-Harvest Plots_rpt'!$D102,Tree!$F:$F,"D",Tree!$K:$K,"&lt;&gt;"&amp;"Y")/1000)</f>
        <v/>
      </c>
      <c r="AE102" s="47"/>
      <c r="AF102" s="18"/>
      <c r="AG102" s="18"/>
      <c r="AH102" s="18"/>
    </row>
    <row r="103" spans="1:34" ht="12.75" customHeight="1" x14ac:dyDescent="0.25">
      <c r="A103" s="48">
        <v>100</v>
      </c>
      <c r="B103" s="171" t="str">
        <f>IF(A103&lt;=SUM(Stand!$H$3:$H$29),VLOOKUP(A103,Stand!$A$3:$C$29,3,TRUE),"")</f>
        <v/>
      </c>
      <c r="C103" s="172" t="str">
        <f t="shared" si="4"/>
        <v/>
      </c>
      <c r="D103" s="173" t="str">
        <f>IF(B103="","",VLOOKUP(B103&amp;C103,Plot!$B$2:$D$199,3,FALSE))</f>
        <v/>
      </c>
      <c r="E103" s="130"/>
      <c r="F103" s="152" t="str">
        <f>IF(B103="","",SUMIFS(Tree!$O:$O,Tree!$A:$A,'Pre-Harvest Plots_rpt'!$B103,Tree!$B:$B,'Pre-Harvest Plots_rpt'!$D103,Tree!$F:$F,"L",Tree!$K:$K,"&lt;&gt;"&amp;"Y"))</f>
        <v/>
      </c>
      <c r="G103" s="153" t="str">
        <f>IFERROR(IF(D103="","",SUMIFS(Tree!$P:$P,Tree!$A:$A,'Pre-Harvest Plots_rpt'!$B103,Tree!$B:$B,'Pre-Harvest Plots_rpt'!$D103,Tree!$K:$K,"&lt;&gt;"&amp;"Y")/$F103),"")</f>
        <v/>
      </c>
      <c r="H103" s="122" t="str">
        <f t="shared" si="5"/>
        <v/>
      </c>
      <c r="I103" s="121" t="str">
        <f>IF(OR($F103=0,$F103=""),"",SUMIFS(Tree!$R:$R,Tree!$A:$A,'Pre-Harvest Plots_rpt'!$B103,Tree!$B:$B,'Pre-Harvest Plots_rpt'!$D103,Tree!$F:$F,"L",Tree!$K:$K,"&lt;&gt;"&amp;"Y"))</f>
        <v/>
      </c>
      <c r="J103" s="121" t="str">
        <f>IF(OR($F103=0,$F103=""),"",IF(SUMIFS(Tree!$W:$W,Tree!$A:$A,'Pre-Harvest Plots_rpt'!$B103,Tree!$B:$B,'Pre-Harvest Plots_rpt'!$D103,Tree!$F:$F,"L",Tree!$K:$K,"&lt;&gt;"&amp;"Y")=0,0,AVERAGEIFS(Tree!$W:$W,Tree!$A:$A,'Pre-Harvest Plots_rpt'!$B103,Tree!$B:$B,'Pre-Harvest Plots_rpt'!$D103,Tree!$F:$F,"L",Tree!$K:$K,"&lt;&gt;"&amp;"Y")))</f>
        <v/>
      </c>
      <c r="K103" s="121" t="str">
        <f>IF($F103="","",SUMIFS(Tree!$S:$S,Tree!$A:$A,'Pre-Harvest Plots_rpt'!$B103,Tree!$B:$B,'Pre-Harvest Plots_rpt'!$D103,Tree!$F:$F,"L",Tree!$K:$K,"&lt;&gt;"&amp;"Y"))</f>
        <v/>
      </c>
      <c r="L103" s="154" t="str">
        <f t="shared" si="6"/>
        <v/>
      </c>
      <c r="M103" s="135"/>
      <c r="N103" s="192" t="str">
        <f>IF(B103="","",SUMIFS(Tree!$AM:$AM,Tree!$A:$A,'Pre-Harvest Plots_rpt'!$B103,Tree!$B:$B,'Pre-Harvest Plots_rpt'!$D103,Tree!$F:$F,"L",Tree!$K:$K,"&lt;&gt;"&amp;"Y"))</f>
        <v/>
      </c>
      <c r="O103" s="122" t="str">
        <f>IF(B103="","",SUMIFS(Tree!$AN:$AN,Tree!$A:$A,'Pre-Harvest Plots_rpt'!$B103,Tree!$B:$B,'Pre-Harvest Plots_rpt'!$D103,Tree!$F:$F,"L",Tree!$K:$K,"&lt;&gt;"&amp;"Y"))</f>
        <v/>
      </c>
      <c r="P103" s="122" t="str">
        <f>IF(B103="","",SUMIFS(Tree!$AO:$AO,Tree!$A:$A,'Pre-Harvest Plots_rpt'!$B103,Tree!$B:$B,'Pre-Harvest Plots_rpt'!$D103,Tree!$F:$F,"L",Tree!$K:$K,"&lt;&gt;"&amp;"Y"))</f>
        <v/>
      </c>
      <c r="Q103" s="122" t="str">
        <f>IF(B103="","",SUMIFS(Tree!$AP:$AP,Tree!$A:$A,'Pre-Harvest Plots_rpt'!$B103,Tree!$B:$B,'Pre-Harvest Plots_rpt'!$D103,Tree!$F:$F,"L",Tree!$K:$K,"&lt;&gt;"&amp;"Y"))</f>
        <v/>
      </c>
      <c r="R103" s="123" t="str">
        <f>IF(B103="","",SUMIFS(Tree!$AQ:$AQ,Tree!$A:$A,'Pre-Harvest Plots_rpt'!$B103,Tree!$B:$B,'Pre-Harvest Plots_rpt'!$D103,Tree!$F:$F,"L",Tree!$K:$K,"&lt;&gt;"&amp;"Y"))</f>
        <v/>
      </c>
      <c r="S103" s="122" t="str">
        <f>IF(B103="","",SUMIFS(Tree!$AJ:$AJ,Tree!$A:$A,'Pre-Harvest Plots_rpt'!$B103,Tree!$B:$B,'Pre-Harvest Plots_rpt'!$D103,Tree!$F:$F,"L",Tree!$K:$K,"&lt;&gt;"&amp;"Y")-O103)</f>
        <v/>
      </c>
      <c r="T103" s="122" t="str">
        <f>IF(B103="","",SUMIFS(Tree!$AK:$AK,Tree!$A:$A,'Pre-Harvest Plots_rpt'!$B103,Tree!$B:$B,'Pre-Harvest Plots_rpt'!$D103,Tree!$F:$F,"L",Tree!$K:$K,"&lt;&gt;"&amp;"Y")-P103)</f>
        <v/>
      </c>
      <c r="U103" s="122" t="str">
        <f>IF(B103="","",SUMIFS(Tree!$AL:$AL,Tree!$A:$A,'Pre-Harvest Plots_rpt'!$B103,Tree!$B:$B,'Pre-Harvest Plots_rpt'!$D103,Tree!$F:$F,"L",Tree!$K:$K,"&lt;&gt;"&amp;"Y")-Q103)</f>
        <v/>
      </c>
      <c r="V103" s="123" t="str">
        <f>IF(B103="","",ROUND(SUMIFS(Tree!$AE:$AE,Tree!$A:$A,'Pre-Harvest Plots_rpt'!$B103,Tree!$B:$B,'Pre-Harvest Plots_rpt'!$D103,Tree!$F:$F,"L",Tree!$K:$K,"&lt;&gt;"&amp;"Y")-R103,1))</f>
        <v/>
      </c>
      <c r="W103" s="124" t="str">
        <f>IF(B103="","",SUMIFS(Tree!$AY:$AY,Tree!$A:$A,'Pre-Harvest Plots_rpt'!$B103,Tree!$B:$B,'Pre-Harvest Plots_rpt'!$D103,Tree!$F:$F,"L",Tree!$K:$K,"&lt;&gt;"&amp;"Y")/1000)</f>
        <v/>
      </c>
      <c r="X103" s="158" t="str">
        <f>IF(B103="","",ROUND((SUMIFS(Tree!$AW:$AW,Tree!$A:$A,'Pre-Harvest Plots_rpt'!$B103,Tree!$B:$B,'Pre-Harvest Plots_rpt'!$D103,Tree!$F:$F,"L",Tree!$K:$K,"&lt;&gt;"&amp;"Y")/1000)-W103,1))</f>
        <v/>
      </c>
      <c r="Y103" s="135"/>
      <c r="Z103" s="161" t="str">
        <f>IF(IF(B103="","",SUMIFS(Tree!$O:$O,Tree!$A:$A,'Pre-Harvest Plots_rpt'!$B103,Tree!$B:$B,'Pre-Harvest Plots_rpt'!$D103,Tree!$F:$F,"D",Tree!$K:$K,"&lt;&gt;"&amp;"Y"))=0,"",IF(B103="","",SUMIFS(Tree!$O:$O,Tree!$A:$A,'Pre-Harvest Plots_rpt'!$B103,Tree!$B:$B,'Pre-Harvest Plots_rpt'!$D103,Tree!$F:$F,"D",Tree!$K:$K,"&lt;&gt;"&amp;"Y")))</f>
        <v/>
      </c>
      <c r="AA103" s="125" t="str">
        <f t="shared" si="7"/>
        <v/>
      </c>
      <c r="AB103" s="125" t="str">
        <f>IF(Z103="","",SUMIFS(Tree!$R:$R,Tree!$A:$A,'Pre-Harvest Plots_rpt'!$B103,Tree!$B:$B,'Pre-Harvest Plots_rpt'!$D103,Tree!$F:$F,"D",Tree!$K:$K,"&lt;&gt;"&amp;"Y"))</f>
        <v/>
      </c>
      <c r="AC103" s="126" t="str">
        <f>IF(Z103="","",SUMIFS(Tree!$AM:$AM,Tree!$A:$A,'Pre-Harvest Plots_rpt'!$B103,Tree!$B:$B,'Pre-Harvest Plots_rpt'!$D103,Tree!$F:$F,"D",Tree!$K:$K,"&lt;&gt;"&amp;"Y"))</f>
        <v/>
      </c>
      <c r="AD103" s="162" t="str">
        <f>IF(Z103="","",SUMIFS(Tree!$AW:$AW,Tree!$A:$A,'Pre-Harvest Plots_rpt'!$B103,Tree!$B:$B,'Pre-Harvest Plots_rpt'!$D103,Tree!$F:$F,"D",Tree!$K:$K,"&lt;&gt;"&amp;"Y")/1000)</f>
        <v/>
      </c>
      <c r="AE103" s="47"/>
      <c r="AF103" s="18"/>
      <c r="AG103" s="18"/>
      <c r="AH103" s="18"/>
    </row>
    <row r="104" spans="1:34" ht="12.75" customHeight="1" x14ac:dyDescent="0.25">
      <c r="A104" s="48">
        <v>101</v>
      </c>
      <c r="B104" s="171" t="str">
        <f>IF(A104&lt;=SUM(Stand!$H$3:$H$29),VLOOKUP(A104,Stand!$A$3:$C$29,3,TRUE),"")</f>
        <v/>
      </c>
      <c r="C104" s="172" t="str">
        <f t="shared" si="4"/>
        <v/>
      </c>
      <c r="D104" s="173" t="str">
        <f>IF(B104="","",VLOOKUP(B104&amp;C104,Plot!$B$2:$D$199,3,FALSE))</f>
        <v/>
      </c>
      <c r="E104" s="130"/>
      <c r="F104" s="152" t="str">
        <f>IF(B104="","",SUMIFS(Tree!$O:$O,Tree!$A:$A,'Pre-Harvest Plots_rpt'!$B104,Tree!$B:$B,'Pre-Harvest Plots_rpt'!$D104,Tree!$F:$F,"L",Tree!$K:$K,"&lt;&gt;"&amp;"Y"))</f>
        <v/>
      </c>
      <c r="G104" s="153" t="str">
        <f>IFERROR(IF(D104="","",SUMIFS(Tree!$P:$P,Tree!$A:$A,'Pre-Harvest Plots_rpt'!$B104,Tree!$B:$B,'Pre-Harvest Plots_rpt'!$D104,Tree!$K:$K,"&lt;&gt;"&amp;"Y")/$F104),"")</f>
        <v/>
      </c>
      <c r="H104" s="122" t="str">
        <f t="shared" si="5"/>
        <v/>
      </c>
      <c r="I104" s="121" t="str">
        <f>IF(OR($F104=0,$F104=""),"",SUMIFS(Tree!$R:$R,Tree!$A:$A,'Pre-Harvest Plots_rpt'!$B104,Tree!$B:$B,'Pre-Harvest Plots_rpt'!$D104,Tree!$F:$F,"L",Tree!$K:$K,"&lt;&gt;"&amp;"Y"))</f>
        <v/>
      </c>
      <c r="J104" s="121" t="str">
        <f>IF(OR($F104=0,$F104=""),"",IF(SUMIFS(Tree!$W:$W,Tree!$A:$A,'Pre-Harvest Plots_rpt'!$B104,Tree!$B:$B,'Pre-Harvest Plots_rpt'!$D104,Tree!$F:$F,"L",Tree!$K:$K,"&lt;&gt;"&amp;"Y")=0,0,AVERAGEIFS(Tree!$W:$W,Tree!$A:$A,'Pre-Harvest Plots_rpt'!$B104,Tree!$B:$B,'Pre-Harvest Plots_rpt'!$D104,Tree!$F:$F,"L",Tree!$K:$K,"&lt;&gt;"&amp;"Y")))</f>
        <v/>
      </c>
      <c r="K104" s="121" t="str">
        <f>IF($F104="","",SUMIFS(Tree!$S:$S,Tree!$A:$A,'Pre-Harvest Plots_rpt'!$B104,Tree!$B:$B,'Pre-Harvest Plots_rpt'!$D104,Tree!$F:$F,"L",Tree!$K:$K,"&lt;&gt;"&amp;"Y"))</f>
        <v/>
      </c>
      <c r="L104" s="154" t="str">
        <f t="shared" si="6"/>
        <v/>
      </c>
      <c r="M104" s="135"/>
      <c r="N104" s="192" t="str">
        <f>IF(B104="","",SUMIFS(Tree!$AM:$AM,Tree!$A:$A,'Pre-Harvest Plots_rpt'!$B104,Tree!$B:$B,'Pre-Harvest Plots_rpt'!$D104,Tree!$F:$F,"L",Tree!$K:$K,"&lt;&gt;"&amp;"Y"))</f>
        <v/>
      </c>
      <c r="O104" s="122" t="str">
        <f>IF(B104="","",SUMIFS(Tree!$AN:$AN,Tree!$A:$A,'Pre-Harvest Plots_rpt'!$B104,Tree!$B:$B,'Pre-Harvest Plots_rpt'!$D104,Tree!$F:$F,"L",Tree!$K:$K,"&lt;&gt;"&amp;"Y"))</f>
        <v/>
      </c>
      <c r="P104" s="122" t="str">
        <f>IF(B104="","",SUMIFS(Tree!$AO:$AO,Tree!$A:$A,'Pre-Harvest Plots_rpt'!$B104,Tree!$B:$B,'Pre-Harvest Plots_rpt'!$D104,Tree!$F:$F,"L",Tree!$K:$K,"&lt;&gt;"&amp;"Y"))</f>
        <v/>
      </c>
      <c r="Q104" s="122" t="str">
        <f>IF(B104="","",SUMIFS(Tree!$AP:$AP,Tree!$A:$A,'Pre-Harvest Plots_rpt'!$B104,Tree!$B:$B,'Pre-Harvest Plots_rpt'!$D104,Tree!$F:$F,"L",Tree!$K:$K,"&lt;&gt;"&amp;"Y"))</f>
        <v/>
      </c>
      <c r="R104" s="123" t="str">
        <f>IF(B104="","",SUMIFS(Tree!$AQ:$AQ,Tree!$A:$A,'Pre-Harvest Plots_rpt'!$B104,Tree!$B:$B,'Pre-Harvest Plots_rpt'!$D104,Tree!$F:$F,"L",Tree!$K:$K,"&lt;&gt;"&amp;"Y"))</f>
        <v/>
      </c>
      <c r="S104" s="122" t="str">
        <f>IF(B104="","",SUMIFS(Tree!$AJ:$AJ,Tree!$A:$A,'Pre-Harvest Plots_rpt'!$B104,Tree!$B:$B,'Pre-Harvest Plots_rpt'!$D104,Tree!$F:$F,"L",Tree!$K:$K,"&lt;&gt;"&amp;"Y")-O104)</f>
        <v/>
      </c>
      <c r="T104" s="122" t="str">
        <f>IF(B104="","",SUMIFS(Tree!$AK:$AK,Tree!$A:$A,'Pre-Harvest Plots_rpt'!$B104,Tree!$B:$B,'Pre-Harvest Plots_rpt'!$D104,Tree!$F:$F,"L",Tree!$K:$K,"&lt;&gt;"&amp;"Y")-P104)</f>
        <v/>
      </c>
      <c r="U104" s="122" t="str">
        <f>IF(B104="","",SUMIFS(Tree!$AL:$AL,Tree!$A:$A,'Pre-Harvest Plots_rpt'!$B104,Tree!$B:$B,'Pre-Harvest Plots_rpt'!$D104,Tree!$F:$F,"L",Tree!$K:$K,"&lt;&gt;"&amp;"Y")-Q104)</f>
        <v/>
      </c>
      <c r="V104" s="123" t="str">
        <f>IF(B104="","",ROUND(SUMIFS(Tree!$AE:$AE,Tree!$A:$A,'Pre-Harvest Plots_rpt'!$B104,Tree!$B:$B,'Pre-Harvest Plots_rpt'!$D104,Tree!$F:$F,"L",Tree!$K:$K,"&lt;&gt;"&amp;"Y")-R104,1))</f>
        <v/>
      </c>
      <c r="W104" s="124" t="str">
        <f>IF(B104="","",SUMIFS(Tree!$AY:$AY,Tree!$A:$A,'Pre-Harvest Plots_rpt'!$B104,Tree!$B:$B,'Pre-Harvest Plots_rpt'!$D104,Tree!$F:$F,"L",Tree!$K:$K,"&lt;&gt;"&amp;"Y")/1000)</f>
        <v/>
      </c>
      <c r="X104" s="158" t="str">
        <f>IF(B104="","",ROUND((SUMIFS(Tree!$AW:$AW,Tree!$A:$A,'Pre-Harvest Plots_rpt'!$B104,Tree!$B:$B,'Pre-Harvest Plots_rpt'!$D104,Tree!$F:$F,"L",Tree!$K:$K,"&lt;&gt;"&amp;"Y")/1000)-W104,1))</f>
        <v/>
      </c>
      <c r="Y104" s="135"/>
      <c r="Z104" s="161" t="str">
        <f>IF(IF(B104="","",SUMIFS(Tree!$O:$O,Tree!$A:$A,'Pre-Harvest Plots_rpt'!$B104,Tree!$B:$B,'Pre-Harvest Plots_rpt'!$D104,Tree!$F:$F,"D",Tree!$K:$K,"&lt;&gt;"&amp;"Y"))=0,"",IF(B104="","",SUMIFS(Tree!$O:$O,Tree!$A:$A,'Pre-Harvest Plots_rpt'!$B104,Tree!$B:$B,'Pre-Harvest Plots_rpt'!$D104,Tree!$F:$F,"D",Tree!$K:$K,"&lt;&gt;"&amp;"Y")))</f>
        <v/>
      </c>
      <c r="AA104" s="125" t="str">
        <f t="shared" si="7"/>
        <v/>
      </c>
      <c r="AB104" s="125" t="str">
        <f>IF(Z104="","",SUMIFS(Tree!$R:$R,Tree!$A:$A,'Pre-Harvest Plots_rpt'!$B104,Tree!$B:$B,'Pre-Harvest Plots_rpt'!$D104,Tree!$F:$F,"D",Tree!$K:$K,"&lt;&gt;"&amp;"Y"))</f>
        <v/>
      </c>
      <c r="AC104" s="126" t="str">
        <f>IF(Z104="","",SUMIFS(Tree!$AM:$AM,Tree!$A:$A,'Pre-Harvest Plots_rpt'!$B104,Tree!$B:$B,'Pre-Harvest Plots_rpt'!$D104,Tree!$F:$F,"D",Tree!$K:$K,"&lt;&gt;"&amp;"Y"))</f>
        <v/>
      </c>
      <c r="AD104" s="162" t="str">
        <f>IF(Z104="","",SUMIFS(Tree!$AW:$AW,Tree!$A:$A,'Pre-Harvest Plots_rpt'!$B104,Tree!$B:$B,'Pre-Harvest Plots_rpt'!$D104,Tree!$F:$F,"D",Tree!$K:$K,"&lt;&gt;"&amp;"Y")/1000)</f>
        <v/>
      </c>
      <c r="AE104" s="47"/>
      <c r="AF104" s="18"/>
      <c r="AG104" s="18"/>
      <c r="AH104" s="18"/>
    </row>
    <row r="105" spans="1:34" ht="12.75" customHeight="1" x14ac:dyDescent="0.25">
      <c r="A105" s="48">
        <v>102</v>
      </c>
      <c r="B105" s="171" t="str">
        <f>IF(A105&lt;=SUM(Stand!$H$3:$H$29),VLOOKUP(A105,Stand!$A$3:$C$29,3,TRUE),"")</f>
        <v/>
      </c>
      <c r="C105" s="172" t="str">
        <f t="shared" si="4"/>
        <v/>
      </c>
      <c r="D105" s="173" t="str">
        <f>IF(B105="","",VLOOKUP(B105&amp;C105,Plot!$B$2:$D$199,3,FALSE))</f>
        <v/>
      </c>
      <c r="E105" s="130"/>
      <c r="F105" s="152" t="str">
        <f>IF(B105="","",SUMIFS(Tree!$O:$O,Tree!$A:$A,'Pre-Harvest Plots_rpt'!$B105,Tree!$B:$B,'Pre-Harvest Plots_rpt'!$D105,Tree!$F:$F,"L",Tree!$K:$K,"&lt;&gt;"&amp;"Y"))</f>
        <v/>
      </c>
      <c r="G105" s="153" t="str">
        <f>IFERROR(IF(D105="","",SUMIFS(Tree!$P:$P,Tree!$A:$A,'Pre-Harvest Plots_rpt'!$B105,Tree!$B:$B,'Pre-Harvest Plots_rpt'!$D105,Tree!$K:$K,"&lt;&gt;"&amp;"Y")/$F105),"")</f>
        <v/>
      </c>
      <c r="H105" s="122" t="str">
        <f t="shared" si="5"/>
        <v/>
      </c>
      <c r="I105" s="121" t="str">
        <f>IF(OR($F105=0,$F105=""),"",SUMIFS(Tree!$R:$R,Tree!$A:$A,'Pre-Harvest Plots_rpt'!$B105,Tree!$B:$B,'Pre-Harvest Plots_rpt'!$D105,Tree!$F:$F,"L",Tree!$K:$K,"&lt;&gt;"&amp;"Y"))</f>
        <v/>
      </c>
      <c r="J105" s="121" t="str">
        <f>IF(OR($F105=0,$F105=""),"",IF(SUMIFS(Tree!$W:$W,Tree!$A:$A,'Pre-Harvest Plots_rpt'!$B105,Tree!$B:$B,'Pre-Harvest Plots_rpt'!$D105,Tree!$F:$F,"L",Tree!$K:$K,"&lt;&gt;"&amp;"Y")=0,0,AVERAGEIFS(Tree!$W:$W,Tree!$A:$A,'Pre-Harvest Plots_rpt'!$B105,Tree!$B:$B,'Pre-Harvest Plots_rpt'!$D105,Tree!$F:$F,"L",Tree!$K:$K,"&lt;&gt;"&amp;"Y")))</f>
        <v/>
      </c>
      <c r="K105" s="121" t="str">
        <f>IF($F105="","",SUMIFS(Tree!$S:$S,Tree!$A:$A,'Pre-Harvest Plots_rpt'!$B105,Tree!$B:$B,'Pre-Harvest Plots_rpt'!$D105,Tree!$F:$F,"L",Tree!$K:$K,"&lt;&gt;"&amp;"Y"))</f>
        <v/>
      </c>
      <c r="L105" s="154" t="str">
        <f t="shared" si="6"/>
        <v/>
      </c>
      <c r="M105" s="135"/>
      <c r="N105" s="192" t="str">
        <f>IF(B105="","",SUMIFS(Tree!$AM:$AM,Tree!$A:$A,'Pre-Harvest Plots_rpt'!$B105,Tree!$B:$B,'Pre-Harvest Plots_rpt'!$D105,Tree!$F:$F,"L",Tree!$K:$K,"&lt;&gt;"&amp;"Y"))</f>
        <v/>
      </c>
      <c r="O105" s="122" t="str">
        <f>IF(B105="","",SUMIFS(Tree!$AN:$AN,Tree!$A:$A,'Pre-Harvest Plots_rpt'!$B105,Tree!$B:$B,'Pre-Harvest Plots_rpt'!$D105,Tree!$F:$F,"L",Tree!$K:$K,"&lt;&gt;"&amp;"Y"))</f>
        <v/>
      </c>
      <c r="P105" s="122" t="str">
        <f>IF(B105="","",SUMIFS(Tree!$AO:$AO,Tree!$A:$A,'Pre-Harvest Plots_rpt'!$B105,Tree!$B:$B,'Pre-Harvest Plots_rpt'!$D105,Tree!$F:$F,"L",Tree!$K:$K,"&lt;&gt;"&amp;"Y"))</f>
        <v/>
      </c>
      <c r="Q105" s="122" t="str">
        <f>IF(B105="","",SUMIFS(Tree!$AP:$AP,Tree!$A:$A,'Pre-Harvest Plots_rpt'!$B105,Tree!$B:$B,'Pre-Harvest Plots_rpt'!$D105,Tree!$F:$F,"L",Tree!$K:$K,"&lt;&gt;"&amp;"Y"))</f>
        <v/>
      </c>
      <c r="R105" s="123" t="str">
        <f>IF(B105="","",SUMIFS(Tree!$AQ:$AQ,Tree!$A:$A,'Pre-Harvest Plots_rpt'!$B105,Tree!$B:$B,'Pre-Harvest Plots_rpt'!$D105,Tree!$F:$F,"L",Tree!$K:$K,"&lt;&gt;"&amp;"Y"))</f>
        <v/>
      </c>
      <c r="S105" s="122" t="str">
        <f>IF(B105="","",SUMIFS(Tree!$AJ:$AJ,Tree!$A:$A,'Pre-Harvest Plots_rpt'!$B105,Tree!$B:$B,'Pre-Harvest Plots_rpt'!$D105,Tree!$F:$F,"L",Tree!$K:$K,"&lt;&gt;"&amp;"Y")-O105)</f>
        <v/>
      </c>
      <c r="T105" s="122" t="str">
        <f>IF(B105="","",SUMIFS(Tree!$AK:$AK,Tree!$A:$A,'Pre-Harvest Plots_rpt'!$B105,Tree!$B:$B,'Pre-Harvest Plots_rpt'!$D105,Tree!$F:$F,"L",Tree!$K:$K,"&lt;&gt;"&amp;"Y")-P105)</f>
        <v/>
      </c>
      <c r="U105" s="122" t="str">
        <f>IF(B105="","",SUMIFS(Tree!$AL:$AL,Tree!$A:$A,'Pre-Harvest Plots_rpt'!$B105,Tree!$B:$B,'Pre-Harvest Plots_rpt'!$D105,Tree!$F:$F,"L",Tree!$K:$K,"&lt;&gt;"&amp;"Y")-Q105)</f>
        <v/>
      </c>
      <c r="V105" s="123" t="str">
        <f>IF(B105="","",ROUND(SUMIFS(Tree!$AE:$AE,Tree!$A:$A,'Pre-Harvest Plots_rpt'!$B105,Tree!$B:$B,'Pre-Harvest Plots_rpt'!$D105,Tree!$F:$F,"L",Tree!$K:$K,"&lt;&gt;"&amp;"Y")-R105,1))</f>
        <v/>
      </c>
      <c r="W105" s="124" t="str">
        <f>IF(B105="","",SUMIFS(Tree!$AY:$AY,Tree!$A:$A,'Pre-Harvest Plots_rpt'!$B105,Tree!$B:$B,'Pre-Harvest Plots_rpt'!$D105,Tree!$F:$F,"L",Tree!$K:$K,"&lt;&gt;"&amp;"Y")/1000)</f>
        <v/>
      </c>
      <c r="X105" s="158" t="str">
        <f>IF(B105="","",ROUND((SUMIFS(Tree!$AW:$AW,Tree!$A:$A,'Pre-Harvest Plots_rpt'!$B105,Tree!$B:$B,'Pre-Harvest Plots_rpt'!$D105,Tree!$F:$F,"L",Tree!$K:$K,"&lt;&gt;"&amp;"Y")/1000)-W105,1))</f>
        <v/>
      </c>
      <c r="Y105" s="135"/>
      <c r="Z105" s="161" t="str">
        <f>IF(IF(B105="","",SUMIFS(Tree!$O:$O,Tree!$A:$A,'Pre-Harvest Plots_rpt'!$B105,Tree!$B:$B,'Pre-Harvest Plots_rpt'!$D105,Tree!$F:$F,"D",Tree!$K:$K,"&lt;&gt;"&amp;"Y"))=0,"",IF(B105="","",SUMIFS(Tree!$O:$O,Tree!$A:$A,'Pre-Harvest Plots_rpt'!$B105,Tree!$B:$B,'Pre-Harvest Plots_rpt'!$D105,Tree!$F:$F,"D",Tree!$K:$K,"&lt;&gt;"&amp;"Y")))</f>
        <v/>
      </c>
      <c r="AA105" s="125" t="str">
        <f t="shared" si="7"/>
        <v/>
      </c>
      <c r="AB105" s="125" t="str">
        <f>IF(Z105="","",SUMIFS(Tree!$R:$R,Tree!$A:$A,'Pre-Harvest Plots_rpt'!$B105,Tree!$B:$B,'Pre-Harvest Plots_rpt'!$D105,Tree!$F:$F,"D",Tree!$K:$K,"&lt;&gt;"&amp;"Y"))</f>
        <v/>
      </c>
      <c r="AC105" s="126" t="str">
        <f>IF(Z105="","",SUMIFS(Tree!$AM:$AM,Tree!$A:$A,'Pre-Harvest Plots_rpt'!$B105,Tree!$B:$B,'Pre-Harvest Plots_rpt'!$D105,Tree!$F:$F,"D",Tree!$K:$K,"&lt;&gt;"&amp;"Y"))</f>
        <v/>
      </c>
      <c r="AD105" s="162" t="str">
        <f>IF(Z105="","",SUMIFS(Tree!$AW:$AW,Tree!$A:$A,'Pre-Harvest Plots_rpt'!$B105,Tree!$B:$B,'Pre-Harvest Plots_rpt'!$D105,Tree!$F:$F,"D",Tree!$K:$K,"&lt;&gt;"&amp;"Y")/1000)</f>
        <v/>
      </c>
      <c r="AE105" s="47"/>
      <c r="AF105" s="18"/>
      <c r="AG105" s="18"/>
      <c r="AH105" s="18"/>
    </row>
    <row r="106" spans="1:34" ht="12.75" customHeight="1" x14ac:dyDescent="0.25">
      <c r="A106" s="48">
        <v>103</v>
      </c>
      <c r="B106" s="171" t="str">
        <f>IF(A106&lt;=SUM(Stand!$H$3:$H$29),VLOOKUP(A106,Stand!$A$3:$C$29,3,TRUE),"")</f>
        <v/>
      </c>
      <c r="C106" s="172" t="str">
        <f t="shared" si="4"/>
        <v/>
      </c>
      <c r="D106" s="173" t="str">
        <f>IF(B106="","",VLOOKUP(B106&amp;C106,Plot!$B$2:$D$199,3,FALSE))</f>
        <v/>
      </c>
      <c r="E106" s="130"/>
      <c r="F106" s="152" t="str">
        <f>IF(B106="","",SUMIFS(Tree!$O:$O,Tree!$A:$A,'Pre-Harvest Plots_rpt'!$B106,Tree!$B:$B,'Pre-Harvest Plots_rpt'!$D106,Tree!$F:$F,"L",Tree!$K:$K,"&lt;&gt;"&amp;"Y"))</f>
        <v/>
      </c>
      <c r="G106" s="153" t="str">
        <f>IFERROR(IF(D106="","",SUMIFS(Tree!$P:$P,Tree!$A:$A,'Pre-Harvest Plots_rpt'!$B106,Tree!$B:$B,'Pre-Harvest Plots_rpt'!$D106,Tree!$K:$K,"&lt;&gt;"&amp;"Y")/$F106),"")</f>
        <v/>
      </c>
      <c r="H106" s="122" t="str">
        <f t="shared" si="5"/>
        <v/>
      </c>
      <c r="I106" s="121" t="str">
        <f>IF(OR($F106=0,$F106=""),"",SUMIFS(Tree!$R:$R,Tree!$A:$A,'Pre-Harvest Plots_rpt'!$B106,Tree!$B:$B,'Pre-Harvest Plots_rpt'!$D106,Tree!$F:$F,"L",Tree!$K:$K,"&lt;&gt;"&amp;"Y"))</f>
        <v/>
      </c>
      <c r="J106" s="121" t="str">
        <f>IF(OR($F106=0,$F106=""),"",IF(SUMIFS(Tree!$W:$W,Tree!$A:$A,'Pre-Harvest Plots_rpt'!$B106,Tree!$B:$B,'Pre-Harvest Plots_rpt'!$D106,Tree!$F:$F,"L",Tree!$K:$K,"&lt;&gt;"&amp;"Y")=0,0,AVERAGEIFS(Tree!$W:$W,Tree!$A:$A,'Pre-Harvest Plots_rpt'!$B106,Tree!$B:$B,'Pre-Harvest Plots_rpt'!$D106,Tree!$F:$F,"L",Tree!$K:$K,"&lt;&gt;"&amp;"Y")))</f>
        <v/>
      </c>
      <c r="K106" s="121" t="str">
        <f>IF($F106="","",SUMIFS(Tree!$S:$S,Tree!$A:$A,'Pre-Harvest Plots_rpt'!$B106,Tree!$B:$B,'Pre-Harvest Plots_rpt'!$D106,Tree!$F:$F,"L",Tree!$K:$K,"&lt;&gt;"&amp;"Y"))</f>
        <v/>
      </c>
      <c r="L106" s="154" t="str">
        <f t="shared" si="6"/>
        <v/>
      </c>
      <c r="M106" s="135"/>
      <c r="N106" s="192" t="str">
        <f>IF(B106="","",SUMIFS(Tree!$AM:$AM,Tree!$A:$A,'Pre-Harvest Plots_rpt'!$B106,Tree!$B:$B,'Pre-Harvest Plots_rpt'!$D106,Tree!$F:$F,"L",Tree!$K:$K,"&lt;&gt;"&amp;"Y"))</f>
        <v/>
      </c>
      <c r="O106" s="122" t="str">
        <f>IF(B106="","",SUMIFS(Tree!$AN:$AN,Tree!$A:$A,'Pre-Harvest Plots_rpt'!$B106,Tree!$B:$B,'Pre-Harvest Plots_rpt'!$D106,Tree!$F:$F,"L",Tree!$K:$K,"&lt;&gt;"&amp;"Y"))</f>
        <v/>
      </c>
      <c r="P106" s="122" t="str">
        <f>IF(B106="","",SUMIFS(Tree!$AO:$AO,Tree!$A:$A,'Pre-Harvest Plots_rpt'!$B106,Tree!$B:$B,'Pre-Harvest Plots_rpt'!$D106,Tree!$F:$F,"L",Tree!$K:$K,"&lt;&gt;"&amp;"Y"))</f>
        <v/>
      </c>
      <c r="Q106" s="122" t="str">
        <f>IF(B106="","",SUMIFS(Tree!$AP:$AP,Tree!$A:$A,'Pre-Harvest Plots_rpt'!$B106,Tree!$B:$B,'Pre-Harvest Plots_rpt'!$D106,Tree!$F:$F,"L",Tree!$K:$K,"&lt;&gt;"&amp;"Y"))</f>
        <v/>
      </c>
      <c r="R106" s="123" t="str">
        <f>IF(B106="","",SUMIFS(Tree!$AQ:$AQ,Tree!$A:$A,'Pre-Harvest Plots_rpt'!$B106,Tree!$B:$B,'Pre-Harvest Plots_rpt'!$D106,Tree!$F:$F,"L",Tree!$K:$K,"&lt;&gt;"&amp;"Y"))</f>
        <v/>
      </c>
      <c r="S106" s="122" t="str">
        <f>IF(B106="","",SUMIFS(Tree!$AJ:$AJ,Tree!$A:$A,'Pre-Harvest Plots_rpt'!$B106,Tree!$B:$B,'Pre-Harvest Plots_rpt'!$D106,Tree!$F:$F,"L",Tree!$K:$K,"&lt;&gt;"&amp;"Y")-O106)</f>
        <v/>
      </c>
      <c r="T106" s="122" t="str">
        <f>IF(B106="","",SUMIFS(Tree!$AK:$AK,Tree!$A:$A,'Pre-Harvest Plots_rpt'!$B106,Tree!$B:$B,'Pre-Harvest Plots_rpt'!$D106,Tree!$F:$F,"L",Tree!$K:$K,"&lt;&gt;"&amp;"Y")-P106)</f>
        <v/>
      </c>
      <c r="U106" s="122" t="str">
        <f>IF(B106="","",SUMIFS(Tree!$AL:$AL,Tree!$A:$A,'Pre-Harvest Plots_rpt'!$B106,Tree!$B:$B,'Pre-Harvest Plots_rpt'!$D106,Tree!$F:$F,"L",Tree!$K:$K,"&lt;&gt;"&amp;"Y")-Q106)</f>
        <v/>
      </c>
      <c r="V106" s="123" t="str">
        <f>IF(B106="","",ROUND(SUMIFS(Tree!$AE:$AE,Tree!$A:$A,'Pre-Harvest Plots_rpt'!$B106,Tree!$B:$B,'Pre-Harvest Plots_rpt'!$D106,Tree!$F:$F,"L",Tree!$K:$K,"&lt;&gt;"&amp;"Y")-R106,1))</f>
        <v/>
      </c>
      <c r="W106" s="124" t="str">
        <f>IF(B106="","",SUMIFS(Tree!$AY:$AY,Tree!$A:$A,'Pre-Harvest Plots_rpt'!$B106,Tree!$B:$B,'Pre-Harvest Plots_rpt'!$D106,Tree!$F:$F,"L",Tree!$K:$K,"&lt;&gt;"&amp;"Y")/1000)</f>
        <v/>
      </c>
      <c r="X106" s="158" t="str">
        <f>IF(B106="","",ROUND((SUMIFS(Tree!$AW:$AW,Tree!$A:$A,'Pre-Harvest Plots_rpt'!$B106,Tree!$B:$B,'Pre-Harvest Plots_rpt'!$D106,Tree!$F:$F,"L",Tree!$K:$K,"&lt;&gt;"&amp;"Y")/1000)-W106,1))</f>
        <v/>
      </c>
      <c r="Y106" s="135"/>
      <c r="Z106" s="161" t="str">
        <f>IF(IF(B106="","",SUMIFS(Tree!$O:$O,Tree!$A:$A,'Pre-Harvest Plots_rpt'!$B106,Tree!$B:$B,'Pre-Harvest Plots_rpt'!$D106,Tree!$F:$F,"D",Tree!$K:$K,"&lt;&gt;"&amp;"Y"))=0,"",IF(B106="","",SUMIFS(Tree!$O:$O,Tree!$A:$A,'Pre-Harvest Plots_rpt'!$B106,Tree!$B:$B,'Pre-Harvest Plots_rpt'!$D106,Tree!$F:$F,"D",Tree!$K:$K,"&lt;&gt;"&amp;"Y")))</f>
        <v/>
      </c>
      <c r="AA106" s="125" t="str">
        <f t="shared" si="7"/>
        <v/>
      </c>
      <c r="AB106" s="125" t="str">
        <f>IF(Z106="","",SUMIFS(Tree!$R:$R,Tree!$A:$A,'Pre-Harvest Plots_rpt'!$B106,Tree!$B:$B,'Pre-Harvest Plots_rpt'!$D106,Tree!$F:$F,"D",Tree!$K:$K,"&lt;&gt;"&amp;"Y"))</f>
        <v/>
      </c>
      <c r="AC106" s="126" t="str">
        <f>IF(Z106="","",SUMIFS(Tree!$AM:$AM,Tree!$A:$A,'Pre-Harvest Plots_rpt'!$B106,Tree!$B:$B,'Pre-Harvest Plots_rpt'!$D106,Tree!$F:$F,"D",Tree!$K:$K,"&lt;&gt;"&amp;"Y"))</f>
        <v/>
      </c>
      <c r="AD106" s="162" t="str">
        <f>IF(Z106="","",SUMIFS(Tree!$AW:$AW,Tree!$A:$A,'Pre-Harvest Plots_rpt'!$B106,Tree!$B:$B,'Pre-Harvest Plots_rpt'!$D106,Tree!$F:$F,"D",Tree!$K:$K,"&lt;&gt;"&amp;"Y")/1000)</f>
        <v/>
      </c>
      <c r="AE106" s="47"/>
      <c r="AF106" s="18"/>
      <c r="AG106" s="18"/>
      <c r="AH106" s="18"/>
    </row>
    <row r="107" spans="1:34" ht="12.75" customHeight="1" x14ac:dyDescent="0.25">
      <c r="A107" s="48">
        <v>104</v>
      </c>
      <c r="B107" s="171" t="str">
        <f>IF(A107&lt;=SUM(Stand!$H$3:$H$29),VLOOKUP(A107,Stand!$A$3:$C$29,3,TRUE),"")</f>
        <v/>
      </c>
      <c r="C107" s="172" t="str">
        <f t="shared" si="4"/>
        <v/>
      </c>
      <c r="D107" s="173" t="str">
        <f>IF(B107="","",VLOOKUP(B107&amp;C107,Plot!$B$2:$D$199,3,FALSE))</f>
        <v/>
      </c>
      <c r="E107" s="130"/>
      <c r="F107" s="152" t="str">
        <f>IF(B107="","",SUMIFS(Tree!$O:$O,Tree!$A:$A,'Pre-Harvest Plots_rpt'!$B107,Tree!$B:$B,'Pre-Harvest Plots_rpt'!$D107,Tree!$F:$F,"L",Tree!$K:$K,"&lt;&gt;"&amp;"Y"))</f>
        <v/>
      </c>
      <c r="G107" s="153" t="str">
        <f>IFERROR(IF(D107="","",SUMIFS(Tree!$P:$P,Tree!$A:$A,'Pre-Harvest Plots_rpt'!$B107,Tree!$B:$B,'Pre-Harvest Plots_rpt'!$D107,Tree!$K:$K,"&lt;&gt;"&amp;"Y")/$F107),"")</f>
        <v/>
      </c>
      <c r="H107" s="122" t="str">
        <f t="shared" si="5"/>
        <v/>
      </c>
      <c r="I107" s="121" t="str">
        <f>IF(OR($F107=0,$F107=""),"",SUMIFS(Tree!$R:$R,Tree!$A:$A,'Pre-Harvest Plots_rpt'!$B107,Tree!$B:$B,'Pre-Harvest Plots_rpt'!$D107,Tree!$F:$F,"L",Tree!$K:$K,"&lt;&gt;"&amp;"Y"))</f>
        <v/>
      </c>
      <c r="J107" s="121" t="str">
        <f>IF(OR($F107=0,$F107=""),"",IF(SUMIFS(Tree!$W:$W,Tree!$A:$A,'Pre-Harvest Plots_rpt'!$B107,Tree!$B:$B,'Pre-Harvest Plots_rpt'!$D107,Tree!$F:$F,"L",Tree!$K:$K,"&lt;&gt;"&amp;"Y")=0,0,AVERAGEIFS(Tree!$W:$W,Tree!$A:$A,'Pre-Harvest Plots_rpt'!$B107,Tree!$B:$B,'Pre-Harvest Plots_rpt'!$D107,Tree!$F:$F,"L",Tree!$K:$K,"&lt;&gt;"&amp;"Y")))</f>
        <v/>
      </c>
      <c r="K107" s="121" t="str">
        <f>IF($F107="","",SUMIFS(Tree!$S:$S,Tree!$A:$A,'Pre-Harvest Plots_rpt'!$B107,Tree!$B:$B,'Pre-Harvest Plots_rpt'!$D107,Tree!$F:$F,"L",Tree!$K:$K,"&lt;&gt;"&amp;"Y"))</f>
        <v/>
      </c>
      <c r="L107" s="154" t="str">
        <f t="shared" si="6"/>
        <v/>
      </c>
      <c r="M107" s="135"/>
      <c r="N107" s="192" t="str">
        <f>IF(B107="","",SUMIFS(Tree!$AM:$AM,Tree!$A:$A,'Pre-Harvest Plots_rpt'!$B107,Tree!$B:$B,'Pre-Harvest Plots_rpt'!$D107,Tree!$F:$F,"L",Tree!$K:$K,"&lt;&gt;"&amp;"Y"))</f>
        <v/>
      </c>
      <c r="O107" s="122" t="str">
        <f>IF(B107="","",SUMIFS(Tree!$AN:$AN,Tree!$A:$A,'Pre-Harvest Plots_rpt'!$B107,Tree!$B:$B,'Pre-Harvest Plots_rpt'!$D107,Tree!$F:$F,"L",Tree!$K:$K,"&lt;&gt;"&amp;"Y"))</f>
        <v/>
      </c>
      <c r="P107" s="122" t="str">
        <f>IF(B107="","",SUMIFS(Tree!$AO:$AO,Tree!$A:$A,'Pre-Harvest Plots_rpt'!$B107,Tree!$B:$B,'Pre-Harvest Plots_rpt'!$D107,Tree!$F:$F,"L",Tree!$K:$K,"&lt;&gt;"&amp;"Y"))</f>
        <v/>
      </c>
      <c r="Q107" s="122" t="str">
        <f>IF(B107="","",SUMIFS(Tree!$AP:$AP,Tree!$A:$A,'Pre-Harvest Plots_rpt'!$B107,Tree!$B:$B,'Pre-Harvest Plots_rpt'!$D107,Tree!$F:$F,"L",Tree!$K:$K,"&lt;&gt;"&amp;"Y"))</f>
        <v/>
      </c>
      <c r="R107" s="123" t="str">
        <f>IF(B107="","",SUMIFS(Tree!$AQ:$AQ,Tree!$A:$A,'Pre-Harvest Plots_rpt'!$B107,Tree!$B:$B,'Pre-Harvest Plots_rpt'!$D107,Tree!$F:$F,"L",Tree!$K:$K,"&lt;&gt;"&amp;"Y"))</f>
        <v/>
      </c>
      <c r="S107" s="122" t="str">
        <f>IF(B107="","",SUMIFS(Tree!$AJ:$AJ,Tree!$A:$A,'Pre-Harvest Plots_rpt'!$B107,Tree!$B:$B,'Pre-Harvest Plots_rpt'!$D107,Tree!$F:$F,"L",Tree!$K:$K,"&lt;&gt;"&amp;"Y")-O107)</f>
        <v/>
      </c>
      <c r="T107" s="122" t="str">
        <f>IF(B107="","",SUMIFS(Tree!$AK:$AK,Tree!$A:$A,'Pre-Harvest Plots_rpt'!$B107,Tree!$B:$B,'Pre-Harvest Plots_rpt'!$D107,Tree!$F:$F,"L",Tree!$K:$K,"&lt;&gt;"&amp;"Y")-P107)</f>
        <v/>
      </c>
      <c r="U107" s="122" t="str">
        <f>IF(B107="","",SUMIFS(Tree!$AL:$AL,Tree!$A:$A,'Pre-Harvest Plots_rpt'!$B107,Tree!$B:$B,'Pre-Harvest Plots_rpt'!$D107,Tree!$F:$F,"L",Tree!$K:$K,"&lt;&gt;"&amp;"Y")-Q107)</f>
        <v/>
      </c>
      <c r="V107" s="123" t="str">
        <f>IF(B107="","",ROUND(SUMIFS(Tree!$AE:$AE,Tree!$A:$A,'Pre-Harvest Plots_rpt'!$B107,Tree!$B:$B,'Pre-Harvest Plots_rpt'!$D107,Tree!$F:$F,"L",Tree!$K:$K,"&lt;&gt;"&amp;"Y")-R107,1))</f>
        <v/>
      </c>
      <c r="W107" s="124" t="str">
        <f>IF(B107="","",SUMIFS(Tree!$AY:$AY,Tree!$A:$A,'Pre-Harvest Plots_rpt'!$B107,Tree!$B:$B,'Pre-Harvest Plots_rpt'!$D107,Tree!$F:$F,"L",Tree!$K:$K,"&lt;&gt;"&amp;"Y")/1000)</f>
        <v/>
      </c>
      <c r="X107" s="158" t="str">
        <f>IF(B107="","",ROUND((SUMIFS(Tree!$AW:$AW,Tree!$A:$A,'Pre-Harvest Plots_rpt'!$B107,Tree!$B:$B,'Pre-Harvest Plots_rpt'!$D107,Tree!$F:$F,"L",Tree!$K:$K,"&lt;&gt;"&amp;"Y")/1000)-W107,1))</f>
        <v/>
      </c>
      <c r="Y107" s="135"/>
      <c r="Z107" s="161" t="str">
        <f>IF(IF(B107="","",SUMIFS(Tree!$O:$O,Tree!$A:$A,'Pre-Harvest Plots_rpt'!$B107,Tree!$B:$B,'Pre-Harvest Plots_rpt'!$D107,Tree!$F:$F,"D",Tree!$K:$K,"&lt;&gt;"&amp;"Y"))=0,"",IF(B107="","",SUMIFS(Tree!$O:$O,Tree!$A:$A,'Pre-Harvest Plots_rpt'!$B107,Tree!$B:$B,'Pre-Harvest Plots_rpt'!$D107,Tree!$F:$F,"D",Tree!$K:$K,"&lt;&gt;"&amp;"Y")))</f>
        <v/>
      </c>
      <c r="AA107" s="125" t="str">
        <f t="shared" si="7"/>
        <v/>
      </c>
      <c r="AB107" s="125" t="str">
        <f>IF(Z107="","",SUMIFS(Tree!$R:$R,Tree!$A:$A,'Pre-Harvest Plots_rpt'!$B107,Tree!$B:$B,'Pre-Harvest Plots_rpt'!$D107,Tree!$F:$F,"D",Tree!$K:$K,"&lt;&gt;"&amp;"Y"))</f>
        <v/>
      </c>
      <c r="AC107" s="126" t="str">
        <f>IF(Z107="","",SUMIFS(Tree!$AM:$AM,Tree!$A:$A,'Pre-Harvest Plots_rpt'!$B107,Tree!$B:$B,'Pre-Harvest Plots_rpt'!$D107,Tree!$F:$F,"D",Tree!$K:$K,"&lt;&gt;"&amp;"Y"))</f>
        <v/>
      </c>
      <c r="AD107" s="162" t="str">
        <f>IF(Z107="","",SUMIFS(Tree!$AW:$AW,Tree!$A:$A,'Pre-Harvest Plots_rpt'!$B107,Tree!$B:$B,'Pre-Harvest Plots_rpt'!$D107,Tree!$F:$F,"D",Tree!$K:$K,"&lt;&gt;"&amp;"Y")/1000)</f>
        <v/>
      </c>
      <c r="AE107" s="47"/>
      <c r="AF107" s="18"/>
      <c r="AG107" s="18"/>
      <c r="AH107" s="18"/>
    </row>
    <row r="108" spans="1:34" ht="12.75" customHeight="1" x14ac:dyDescent="0.25">
      <c r="A108" s="48">
        <v>105</v>
      </c>
      <c r="B108" s="171" t="str">
        <f>IF(A108&lt;=SUM(Stand!$H$3:$H$29),VLOOKUP(A108,Stand!$A$3:$C$29,3,TRUE),"")</f>
        <v/>
      </c>
      <c r="C108" s="172" t="str">
        <f t="shared" si="4"/>
        <v/>
      </c>
      <c r="D108" s="173" t="str">
        <f>IF(B108="","",VLOOKUP(B108&amp;C108,Plot!$B$2:$D$199,3,FALSE))</f>
        <v/>
      </c>
      <c r="E108" s="130"/>
      <c r="F108" s="152" t="str">
        <f>IF(B108="","",SUMIFS(Tree!$O:$O,Tree!$A:$A,'Pre-Harvest Plots_rpt'!$B108,Tree!$B:$B,'Pre-Harvest Plots_rpt'!$D108,Tree!$F:$F,"L",Tree!$K:$K,"&lt;&gt;"&amp;"Y"))</f>
        <v/>
      </c>
      <c r="G108" s="153" t="str">
        <f>IFERROR(IF(D108="","",SUMIFS(Tree!$P:$P,Tree!$A:$A,'Pre-Harvest Plots_rpt'!$B108,Tree!$B:$B,'Pre-Harvest Plots_rpt'!$D108,Tree!$K:$K,"&lt;&gt;"&amp;"Y")/$F108),"")</f>
        <v/>
      </c>
      <c r="H108" s="122" t="str">
        <f t="shared" si="5"/>
        <v/>
      </c>
      <c r="I108" s="121" t="str">
        <f>IF(OR($F108=0,$F108=""),"",SUMIFS(Tree!$R:$R,Tree!$A:$A,'Pre-Harvest Plots_rpt'!$B108,Tree!$B:$B,'Pre-Harvest Plots_rpt'!$D108,Tree!$F:$F,"L",Tree!$K:$K,"&lt;&gt;"&amp;"Y"))</f>
        <v/>
      </c>
      <c r="J108" s="121" t="str">
        <f>IF(OR($F108=0,$F108=""),"",IF(SUMIFS(Tree!$W:$W,Tree!$A:$A,'Pre-Harvest Plots_rpt'!$B108,Tree!$B:$B,'Pre-Harvest Plots_rpt'!$D108,Tree!$F:$F,"L",Tree!$K:$K,"&lt;&gt;"&amp;"Y")=0,0,AVERAGEIFS(Tree!$W:$W,Tree!$A:$A,'Pre-Harvest Plots_rpt'!$B108,Tree!$B:$B,'Pre-Harvest Plots_rpt'!$D108,Tree!$F:$F,"L",Tree!$K:$K,"&lt;&gt;"&amp;"Y")))</f>
        <v/>
      </c>
      <c r="K108" s="121" t="str">
        <f>IF($F108="","",SUMIFS(Tree!$S:$S,Tree!$A:$A,'Pre-Harvest Plots_rpt'!$B108,Tree!$B:$B,'Pre-Harvest Plots_rpt'!$D108,Tree!$F:$F,"L",Tree!$K:$K,"&lt;&gt;"&amp;"Y"))</f>
        <v/>
      </c>
      <c r="L108" s="154" t="str">
        <f t="shared" si="6"/>
        <v/>
      </c>
      <c r="M108" s="135"/>
      <c r="N108" s="192" t="str">
        <f>IF(B108="","",SUMIFS(Tree!$AM:$AM,Tree!$A:$A,'Pre-Harvest Plots_rpt'!$B108,Tree!$B:$B,'Pre-Harvest Plots_rpt'!$D108,Tree!$F:$F,"L",Tree!$K:$K,"&lt;&gt;"&amp;"Y"))</f>
        <v/>
      </c>
      <c r="O108" s="122" t="str">
        <f>IF(B108="","",SUMIFS(Tree!$AN:$AN,Tree!$A:$A,'Pre-Harvest Plots_rpt'!$B108,Tree!$B:$B,'Pre-Harvest Plots_rpt'!$D108,Tree!$F:$F,"L",Tree!$K:$K,"&lt;&gt;"&amp;"Y"))</f>
        <v/>
      </c>
      <c r="P108" s="122" t="str">
        <f>IF(B108="","",SUMIFS(Tree!$AO:$AO,Tree!$A:$A,'Pre-Harvest Plots_rpt'!$B108,Tree!$B:$B,'Pre-Harvest Plots_rpt'!$D108,Tree!$F:$F,"L",Tree!$K:$K,"&lt;&gt;"&amp;"Y"))</f>
        <v/>
      </c>
      <c r="Q108" s="122" t="str">
        <f>IF(B108="","",SUMIFS(Tree!$AP:$AP,Tree!$A:$A,'Pre-Harvest Plots_rpt'!$B108,Tree!$B:$B,'Pre-Harvest Plots_rpt'!$D108,Tree!$F:$F,"L",Tree!$K:$K,"&lt;&gt;"&amp;"Y"))</f>
        <v/>
      </c>
      <c r="R108" s="123" t="str">
        <f>IF(B108="","",SUMIFS(Tree!$AQ:$AQ,Tree!$A:$A,'Pre-Harvest Plots_rpt'!$B108,Tree!$B:$B,'Pre-Harvest Plots_rpt'!$D108,Tree!$F:$F,"L",Tree!$K:$K,"&lt;&gt;"&amp;"Y"))</f>
        <v/>
      </c>
      <c r="S108" s="122" t="str">
        <f>IF(B108="","",SUMIFS(Tree!$AJ:$AJ,Tree!$A:$A,'Pre-Harvest Plots_rpt'!$B108,Tree!$B:$B,'Pre-Harvest Plots_rpt'!$D108,Tree!$F:$F,"L",Tree!$K:$K,"&lt;&gt;"&amp;"Y")-O108)</f>
        <v/>
      </c>
      <c r="T108" s="122" t="str">
        <f>IF(B108="","",SUMIFS(Tree!$AK:$AK,Tree!$A:$A,'Pre-Harvest Plots_rpt'!$B108,Tree!$B:$B,'Pre-Harvest Plots_rpt'!$D108,Tree!$F:$F,"L",Tree!$K:$K,"&lt;&gt;"&amp;"Y")-P108)</f>
        <v/>
      </c>
      <c r="U108" s="122" t="str">
        <f>IF(B108="","",SUMIFS(Tree!$AL:$AL,Tree!$A:$A,'Pre-Harvest Plots_rpt'!$B108,Tree!$B:$B,'Pre-Harvest Plots_rpt'!$D108,Tree!$F:$F,"L",Tree!$K:$K,"&lt;&gt;"&amp;"Y")-Q108)</f>
        <v/>
      </c>
      <c r="V108" s="123" t="str">
        <f>IF(B108="","",ROUND(SUMIFS(Tree!$AE:$AE,Tree!$A:$A,'Pre-Harvest Plots_rpt'!$B108,Tree!$B:$B,'Pre-Harvest Plots_rpt'!$D108,Tree!$F:$F,"L",Tree!$K:$K,"&lt;&gt;"&amp;"Y")-R108,1))</f>
        <v/>
      </c>
      <c r="W108" s="124" t="str">
        <f>IF(B108="","",SUMIFS(Tree!$AY:$AY,Tree!$A:$A,'Pre-Harvest Plots_rpt'!$B108,Tree!$B:$B,'Pre-Harvest Plots_rpt'!$D108,Tree!$F:$F,"L",Tree!$K:$K,"&lt;&gt;"&amp;"Y")/1000)</f>
        <v/>
      </c>
      <c r="X108" s="158" t="str">
        <f>IF(B108="","",ROUND((SUMIFS(Tree!$AW:$AW,Tree!$A:$A,'Pre-Harvest Plots_rpt'!$B108,Tree!$B:$B,'Pre-Harvest Plots_rpt'!$D108,Tree!$F:$F,"L",Tree!$K:$K,"&lt;&gt;"&amp;"Y")/1000)-W108,1))</f>
        <v/>
      </c>
      <c r="Y108" s="135"/>
      <c r="Z108" s="161" t="str">
        <f>IF(IF(B108="","",SUMIFS(Tree!$O:$O,Tree!$A:$A,'Pre-Harvest Plots_rpt'!$B108,Tree!$B:$B,'Pre-Harvest Plots_rpt'!$D108,Tree!$F:$F,"D",Tree!$K:$K,"&lt;&gt;"&amp;"Y"))=0,"",IF(B108="","",SUMIFS(Tree!$O:$O,Tree!$A:$A,'Pre-Harvest Plots_rpt'!$B108,Tree!$B:$B,'Pre-Harvest Plots_rpt'!$D108,Tree!$F:$F,"D",Tree!$K:$K,"&lt;&gt;"&amp;"Y")))</f>
        <v/>
      </c>
      <c r="AA108" s="125" t="str">
        <f t="shared" si="7"/>
        <v/>
      </c>
      <c r="AB108" s="125" t="str">
        <f>IF(Z108="","",SUMIFS(Tree!$R:$R,Tree!$A:$A,'Pre-Harvest Plots_rpt'!$B108,Tree!$B:$B,'Pre-Harvest Plots_rpt'!$D108,Tree!$F:$F,"D",Tree!$K:$K,"&lt;&gt;"&amp;"Y"))</f>
        <v/>
      </c>
      <c r="AC108" s="126" t="str">
        <f>IF(Z108="","",SUMIFS(Tree!$AM:$AM,Tree!$A:$A,'Pre-Harvest Plots_rpt'!$B108,Tree!$B:$B,'Pre-Harvest Plots_rpt'!$D108,Tree!$F:$F,"D",Tree!$K:$K,"&lt;&gt;"&amp;"Y"))</f>
        <v/>
      </c>
      <c r="AD108" s="162" t="str">
        <f>IF(Z108="","",SUMIFS(Tree!$AW:$AW,Tree!$A:$A,'Pre-Harvest Plots_rpt'!$B108,Tree!$B:$B,'Pre-Harvest Plots_rpt'!$D108,Tree!$F:$F,"D",Tree!$K:$K,"&lt;&gt;"&amp;"Y")/1000)</f>
        <v/>
      </c>
      <c r="AE108" s="47"/>
      <c r="AF108" s="18"/>
      <c r="AG108" s="18"/>
      <c r="AH108" s="18"/>
    </row>
    <row r="109" spans="1:34" ht="12.75" customHeight="1" x14ac:dyDescent="0.25">
      <c r="A109" s="48">
        <v>106</v>
      </c>
      <c r="B109" s="171" t="str">
        <f>IF(A109&lt;=SUM(Stand!$H$3:$H$29),VLOOKUP(A109,Stand!$A$3:$C$29,3,TRUE),"")</f>
        <v/>
      </c>
      <c r="C109" s="172" t="str">
        <f t="shared" si="4"/>
        <v/>
      </c>
      <c r="D109" s="173" t="str">
        <f>IF(B109="","",VLOOKUP(B109&amp;C109,Plot!$B$2:$D$199,3,FALSE))</f>
        <v/>
      </c>
      <c r="E109" s="130"/>
      <c r="F109" s="152" t="str">
        <f>IF(B109="","",SUMIFS(Tree!$O:$O,Tree!$A:$A,'Pre-Harvest Plots_rpt'!$B109,Tree!$B:$B,'Pre-Harvest Plots_rpt'!$D109,Tree!$F:$F,"L",Tree!$K:$K,"&lt;&gt;"&amp;"Y"))</f>
        <v/>
      </c>
      <c r="G109" s="153" t="str">
        <f>IFERROR(IF(D109="","",SUMIFS(Tree!$P:$P,Tree!$A:$A,'Pre-Harvest Plots_rpt'!$B109,Tree!$B:$B,'Pre-Harvest Plots_rpt'!$D109,Tree!$K:$K,"&lt;&gt;"&amp;"Y")/$F109),"")</f>
        <v/>
      </c>
      <c r="H109" s="122" t="str">
        <f t="shared" si="5"/>
        <v/>
      </c>
      <c r="I109" s="121" t="str">
        <f>IF(OR($F109=0,$F109=""),"",SUMIFS(Tree!$R:$R,Tree!$A:$A,'Pre-Harvest Plots_rpt'!$B109,Tree!$B:$B,'Pre-Harvest Plots_rpt'!$D109,Tree!$F:$F,"L",Tree!$K:$K,"&lt;&gt;"&amp;"Y"))</f>
        <v/>
      </c>
      <c r="J109" s="121" t="str">
        <f>IF(OR($F109=0,$F109=""),"",IF(SUMIFS(Tree!$W:$W,Tree!$A:$A,'Pre-Harvest Plots_rpt'!$B109,Tree!$B:$B,'Pre-Harvest Plots_rpt'!$D109,Tree!$F:$F,"L",Tree!$K:$K,"&lt;&gt;"&amp;"Y")=0,0,AVERAGEIFS(Tree!$W:$W,Tree!$A:$A,'Pre-Harvest Plots_rpt'!$B109,Tree!$B:$B,'Pre-Harvest Plots_rpt'!$D109,Tree!$F:$F,"L",Tree!$K:$K,"&lt;&gt;"&amp;"Y")))</f>
        <v/>
      </c>
      <c r="K109" s="121" t="str">
        <f>IF($F109="","",SUMIFS(Tree!$S:$S,Tree!$A:$A,'Pre-Harvest Plots_rpt'!$B109,Tree!$B:$B,'Pre-Harvest Plots_rpt'!$D109,Tree!$F:$F,"L",Tree!$K:$K,"&lt;&gt;"&amp;"Y"))</f>
        <v/>
      </c>
      <c r="L109" s="154" t="str">
        <f t="shared" si="6"/>
        <v/>
      </c>
      <c r="M109" s="135"/>
      <c r="N109" s="192" t="str">
        <f>IF(B109="","",SUMIFS(Tree!$AM:$AM,Tree!$A:$A,'Pre-Harvest Plots_rpt'!$B109,Tree!$B:$B,'Pre-Harvest Plots_rpt'!$D109,Tree!$F:$F,"L",Tree!$K:$K,"&lt;&gt;"&amp;"Y"))</f>
        <v/>
      </c>
      <c r="O109" s="122" t="str">
        <f>IF(B109="","",SUMIFS(Tree!$AN:$AN,Tree!$A:$A,'Pre-Harvest Plots_rpt'!$B109,Tree!$B:$B,'Pre-Harvest Plots_rpt'!$D109,Tree!$F:$F,"L",Tree!$K:$K,"&lt;&gt;"&amp;"Y"))</f>
        <v/>
      </c>
      <c r="P109" s="122" t="str">
        <f>IF(B109="","",SUMIFS(Tree!$AO:$AO,Tree!$A:$A,'Pre-Harvest Plots_rpt'!$B109,Tree!$B:$B,'Pre-Harvest Plots_rpt'!$D109,Tree!$F:$F,"L",Tree!$K:$K,"&lt;&gt;"&amp;"Y"))</f>
        <v/>
      </c>
      <c r="Q109" s="122" t="str">
        <f>IF(B109="","",SUMIFS(Tree!$AP:$AP,Tree!$A:$A,'Pre-Harvest Plots_rpt'!$B109,Tree!$B:$B,'Pre-Harvest Plots_rpt'!$D109,Tree!$F:$F,"L",Tree!$K:$K,"&lt;&gt;"&amp;"Y"))</f>
        <v/>
      </c>
      <c r="R109" s="123" t="str">
        <f>IF(B109="","",SUMIFS(Tree!$AQ:$AQ,Tree!$A:$A,'Pre-Harvest Plots_rpt'!$B109,Tree!$B:$B,'Pre-Harvest Plots_rpt'!$D109,Tree!$F:$F,"L",Tree!$K:$K,"&lt;&gt;"&amp;"Y"))</f>
        <v/>
      </c>
      <c r="S109" s="122" t="str">
        <f>IF(B109="","",SUMIFS(Tree!$AJ:$AJ,Tree!$A:$A,'Pre-Harvest Plots_rpt'!$B109,Tree!$B:$B,'Pre-Harvest Plots_rpt'!$D109,Tree!$F:$F,"L",Tree!$K:$K,"&lt;&gt;"&amp;"Y")-O109)</f>
        <v/>
      </c>
      <c r="T109" s="122" t="str">
        <f>IF(B109="","",SUMIFS(Tree!$AK:$AK,Tree!$A:$A,'Pre-Harvest Plots_rpt'!$B109,Tree!$B:$B,'Pre-Harvest Plots_rpt'!$D109,Tree!$F:$F,"L",Tree!$K:$K,"&lt;&gt;"&amp;"Y")-P109)</f>
        <v/>
      </c>
      <c r="U109" s="122" t="str">
        <f>IF(B109="","",SUMIFS(Tree!$AL:$AL,Tree!$A:$A,'Pre-Harvest Plots_rpt'!$B109,Tree!$B:$B,'Pre-Harvest Plots_rpt'!$D109,Tree!$F:$F,"L",Tree!$K:$K,"&lt;&gt;"&amp;"Y")-Q109)</f>
        <v/>
      </c>
      <c r="V109" s="123" t="str">
        <f>IF(B109="","",ROUND(SUMIFS(Tree!$AE:$AE,Tree!$A:$A,'Pre-Harvest Plots_rpt'!$B109,Tree!$B:$B,'Pre-Harvest Plots_rpt'!$D109,Tree!$F:$F,"L",Tree!$K:$K,"&lt;&gt;"&amp;"Y")-R109,1))</f>
        <v/>
      </c>
      <c r="W109" s="124" t="str">
        <f>IF(B109="","",SUMIFS(Tree!$AY:$AY,Tree!$A:$A,'Pre-Harvest Plots_rpt'!$B109,Tree!$B:$B,'Pre-Harvest Plots_rpt'!$D109,Tree!$F:$F,"L",Tree!$K:$K,"&lt;&gt;"&amp;"Y")/1000)</f>
        <v/>
      </c>
      <c r="X109" s="158" t="str">
        <f>IF(B109="","",ROUND((SUMIFS(Tree!$AW:$AW,Tree!$A:$A,'Pre-Harvest Plots_rpt'!$B109,Tree!$B:$B,'Pre-Harvest Plots_rpt'!$D109,Tree!$F:$F,"L",Tree!$K:$K,"&lt;&gt;"&amp;"Y")/1000)-W109,1))</f>
        <v/>
      </c>
      <c r="Y109" s="135"/>
      <c r="Z109" s="161" t="str">
        <f>IF(IF(B109="","",SUMIFS(Tree!$O:$O,Tree!$A:$A,'Pre-Harvest Plots_rpt'!$B109,Tree!$B:$B,'Pre-Harvest Plots_rpt'!$D109,Tree!$F:$F,"D",Tree!$K:$K,"&lt;&gt;"&amp;"Y"))=0,"",IF(B109="","",SUMIFS(Tree!$O:$O,Tree!$A:$A,'Pre-Harvest Plots_rpt'!$B109,Tree!$B:$B,'Pre-Harvest Plots_rpt'!$D109,Tree!$F:$F,"D",Tree!$K:$K,"&lt;&gt;"&amp;"Y")))</f>
        <v/>
      </c>
      <c r="AA109" s="125" t="str">
        <f t="shared" si="7"/>
        <v/>
      </c>
      <c r="AB109" s="125" t="str">
        <f>IF(Z109="","",SUMIFS(Tree!$R:$R,Tree!$A:$A,'Pre-Harvest Plots_rpt'!$B109,Tree!$B:$B,'Pre-Harvest Plots_rpt'!$D109,Tree!$F:$F,"D",Tree!$K:$K,"&lt;&gt;"&amp;"Y"))</f>
        <v/>
      </c>
      <c r="AC109" s="126" t="str">
        <f>IF(Z109="","",SUMIFS(Tree!$AM:$AM,Tree!$A:$A,'Pre-Harvest Plots_rpt'!$B109,Tree!$B:$B,'Pre-Harvest Plots_rpt'!$D109,Tree!$F:$F,"D",Tree!$K:$K,"&lt;&gt;"&amp;"Y"))</f>
        <v/>
      </c>
      <c r="AD109" s="162" t="str">
        <f>IF(Z109="","",SUMIFS(Tree!$AW:$AW,Tree!$A:$A,'Pre-Harvest Plots_rpt'!$B109,Tree!$B:$B,'Pre-Harvest Plots_rpt'!$D109,Tree!$F:$F,"D",Tree!$K:$K,"&lt;&gt;"&amp;"Y")/1000)</f>
        <v/>
      </c>
      <c r="AE109" s="47"/>
      <c r="AF109" s="18"/>
      <c r="AG109" s="18"/>
      <c r="AH109" s="18"/>
    </row>
    <row r="110" spans="1:34" ht="12.75" customHeight="1" x14ac:dyDescent="0.25">
      <c r="A110" s="48">
        <v>107</v>
      </c>
      <c r="B110" s="171" t="str">
        <f>IF(A110&lt;=SUM(Stand!$H$3:$H$29),VLOOKUP(A110,Stand!$A$3:$C$29,3,TRUE),"")</f>
        <v/>
      </c>
      <c r="C110" s="172" t="str">
        <f t="shared" si="4"/>
        <v/>
      </c>
      <c r="D110" s="173" t="str">
        <f>IF(B110="","",VLOOKUP(B110&amp;C110,Plot!$B$2:$D$199,3,FALSE))</f>
        <v/>
      </c>
      <c r="E110" s="130"/>
      <c r="F110" s="152" t="str">
        <f>IF(B110="","",SUMIFS(Tree!$O:$O,Tree!$A:$A,'Pre-Harvest Plots_rpt'!$B110,Tree!$B:$B,'Pre-Harvest Plots_rpt'!$D110,Tree!$F:$F,"L",Tree!$K:$K,"&lt;&gt;"&amp;"Y"))</f>
        <v/>
      </c>
      <c r="G110" s="153" t="str">
        <f>IFERROR(IF(D110="","",SUMIFS(Tree!$P:$P,Tree!$A:$A,'Pre-Harvest Plots_rpt'!$B110,Tree!$B:$B,'Pre-Harvest Plots_rpt'!$D110,Tree!$K:$K,"&lt;&gt;"&amp;"Y")/$F110),"")</f>
        <v/>
      </c>
      <c r="H110" s="122" t="str">
        <f t="shared" si="5"/>
        <v/>
      </c>
      <c r="I110" s="121" t="str">
        <f>IF(OR($F110=0,$F110=""),"",SUMIFS(Tree!$R:$R,Tree!$A:$A,'Pre-Harvest Plots_rpt'!$B110,Tree!$B:$B,'Pre-Harvest Plots_rpt'!$D110,Tree!$F:$F,"L",Tree!$K:$K,"&lt;&gt;"&amp;"Y"))</f>
        <v/>
      </c>
      <c r="J110" s="121" t="str">
        <f>IF(OR($F110=0,$F110=""),"",IF(SUMIFS(Tree!$W:$W,Tree!$A:$A,'Pre-Harvest Plots_rpt'!$B110,Tree!$B:$B,'Pre-Harvest Plots_rpt'!$D110,Tree!$F:$F,"L",Tree!$K:$K,"&lt;&gt;"&amp;"Y")=0,0,AVERAGEIFS(Tree!$W:$W,Tree!$A:$A,'Pre-Harvest Plots_rpt'!$B110,Tree!$B:$B,'Pre-Harvest Plots_rpt'!$D110,Tree!$F:$F,"L",Tree!$K:$K,"&lt;&gt;"&amp;"Y")))</f>
        <v/>
      </c>
      <c r="K110" s="121" t="str">
        <f>IF($F110="","",SUMIFS(Tree!$S:$S,Tree!$A:$A,'Pre-Harvest Plots_rpt'!$B110,Tree!$B:$B,'Pre-Harvest Plots_rpt'!$D110,Tree!$F:$F,"L",Tree!$K:$K,"&lt;&gt;"&amp;"Y"))</f>
        <v/>
      </c>
      <c r="L110" s="154" t="str">
        <f t="shared" si="6"/>
        <v/>
      </c>
      <c r="M110" s="135"/>
      <c r="N110" s="192" t="str">
        <f>IF(B110="","",SUMIFS(Tree!$AM:$AM,Tree!$A:$A,'Pre-Harvest Plots_rpt'!$B110,Tree!$B:$B,'Pre-Harvest Plots_rpt'!$D110,Tree!$F:$F,"L",Tree!$K:$K,"&lt;&gt;"&amp;"Y"))</f>
        <v/>
      </c>
      <c r="O110" s="122" t="str">
        <f>IF(B110="","",SUMIFS(Tree!$AN:$AN,Tree!$A:$A,'Pre-Harvest Plots_rpt'!$B110,Tree!$B:$B,'Pre-Harvest Plots_rpt'!$D110,Tree!$F:$F,"L",Tree!$K:$K,"&lt;&gt;"&amp;"Y"))</f>
        <v/>
      </c>
      <c r="P110" s="122" t="str">
        <f>IF(B110="","",SUMIFS(Tree!$AO:$AO,Tree!$A:$A,'Pre-Harvest Plots_rpt'!$B110,Tree!$B:$B,'Pre-Harvest Plots_rpt'!$D110,Tree!$F:$F,"L",Tree!$K:$K,"&lt;&gt;"&amp;"Y"))</f>
        <v/>
      </c>
      <c r="Q110" s="122" t="str">
        <f>IF(B110="","",SUMIFS(Tree!$AP:$AP,Tree!$A:$A,'Pre-Harvest Plots_rpt'!$B110,Tree!$B:$B,'Pre-Harvest Plots_rpt'!$D110,Tree!$F:$F,"L",Tree!$K:$K,"&lt;&gt;"&amp;"Y"))</f>
        <v/>
      </c>
      <c r="R110" s="123" t="str">
        <f>IF(B110="","",SUMIFS(Tree!$AQ:$AQ,Tree!$A:$A,'Pre-Harvest Plots_rpt'!$B110,Tree!$B:$B,'Pre-Harvest Plots_rpt'!$D110,Tree!$F:$F,"L",Tree!$K:$K,"&lt;&gt;"&amp;"Y"))</f>
        <v/>
      </c>
      <c r="S110" s="122" t="str">
        <f>IF(B110="","",SUMIFS(Tree!$AJ:$AJ,Tree!$A:$A,'Pre-Harvest Plots_rpt'!$B110,Tree!$B:$B,'Pre-Harvest Plots_rpt'!$D110,Tree!$F:$F,"L",Tree!$K:$K,"&lt;&gt;"&amp;"Y")-O110)</f>
        <v/>
      </c>
      <c r="T110" s="122" t="str">
        <f>IF(B110="","",SUMIFS(Tree!$AK:$AK,Tree!$A:$A,'Pre-Harvest Plots_rpt'!$B110,Tree!$B:$B,'Pre-Harvest Plots_rpt'!$D110,Tree!$F:$F,"L",Tree!$K:$K,"&lt;&gt;"&amp;"Y")-P110)</f>
        <v/>
      </c>
      <c r="U110" s="122" t="str">
        <f>IF(B110="","",SUMIFS(Tree!$AL:$AL,Tree!$A:$A,'Pre-Harvest Plots_rpt'!$B110,Tree!$B:$B,'Pre-Harvest Plots_rpt'!$D110,Tree!$F:$F,"L",Tree!$K:$K,"&lt;&gt;"&amp;"Y")-Q110)</f>
        <v/>
      </c>
      <c r="V110" s="123" t="str">
        <f>IF(B110="","",ROUND(SUMIFS(Tree!$AE:$AE,Tree!$A:$A,'Pre-Harvest Plots_rpt'!$B110,Tree!$B:$B,'Pre-Harvest Plots_rpt'!$D110,Tree!$F:$F,"L",Tree!$K:$K,"&lt;&gt;"&amp;"Y")-R110,1))</f>
        <v/>
      </c>
      <c r="W110" s="124" t="str">
        <f>IF(B110="","",SUMIFS(Tree!$AY:$AY,Tree!$A:$A,'Pre-Harvest Plots_rpt'!$B110,Tree!$B:$B,'Pre-Harvest Plots_rpt'!$D110,Tree!$F:$F,"L",Tree!$K:$K,"&lt;&gt;"&amp;"Y")/1000)</f>
        <v/>
      </c>
      <c r="X110" s="158" t="str">
        <f>IF(B110="","",ROUND((SUMIFS(Tree!$AW:$AW,Tree!$A:$A,'Pre-Harvest Plots_rpt'!$B110,Tree!$B:$B,'Pre-Harvest Plots_rpt'!$D110,Tree!$F:$F,"L",Tree!$K:$K,"&lt;&gt;"&amp;"Y")/1000)-W110,1))</f>
        <v/>
      </c>
      <c r="Y110" s="135"/>
      <c r="Z110" s="161" t="str">
        <f>IF(IF(B110="","",SUMIFS(Tree!$O:$O,Tree!$A:$A,'Pre-Harvest Plots_rpt'!$B110,Tree!$B:$B,'Pre-Harvest Plots_rpt'!$D110,Tree!$F:$F,"D",Tree!$K:$K,"&lt;&gt;"&amp;"Y"))=0,"",IF(B110="","",SUMIFS(Tree!$O:$O,Tree!$A:$A,'Pre-Harvest Plots_rpt'!$B110,Tree!$B:$B,'Pre-Harvest Plots_rpt'!$D110,Tree!$F:$F,"D",Tree!$K:$K,"&lt;&gt;"&amp;"Y")))</f>
        <v/>
      </c>
      <c r="AA110" s="125" t="str">
        <f t="shared" si="7"/>
        <v/>
      </c>
      <c r="AB110" s="125" t="str">
        <f>IF(Z110="","",SUMIFS(Tree!$R:$R,Tree!$A:$A,'Pre-Harvest Plots_rpt'!$B110,Tree!$B:$B,'Pre-Harvest Plots_rpt'!$D110,Tree!$F:$F,"D",Tree!$K:$K,"&lt;&gt;"&amp;"Y"))</f>
        <v/>
      </c>
      <c r="AC110" s="126" t="str">
        <f>IF(Z110="","",SUMIFS(Tree!$AM:$AM,Tree!$A:$A,'Pre-Harvest Plots_rpt'!$B110,Tree!$B:$B,'Pre-Harvest Plots_rpt'!$D110,Tree!$F:$F,"D",Tree!$K:$K,"&lt;&gt;"&amp;"Y"))</f>
        <v/>
      </c>
      <c r="AD110" s="162" t="str">
        <f>IF(Z110="","",SUMIFS(Tree!$AW:$AW,Tree!$A:$A,'Pre-Harvest Plots_rpt'!$B110,Tree!$B:$B,'Pre-Harvest Plots_rpt'!$D110,Tree!$F:$F,"D",Tree!$K:$K,"&lt;&gt;"&amp;"Y")/1000)</f>
        <v/>
      </c>
      <c r="AE110" s="47"/>
      <c r="AF110" s="18"/>
      <c r="AG110" s="18"/>
      <c r="AH110" s="18"/>
    </row>
    <row r="111" spans="1:34" ht="12.75" customHeight="1" x14ac:dyDescent="0.25">
      <c r="A111" s="48">
        <v>108</v>
      </c>
      <c r="B111" s="171" t="str">
        <f>IF(A111&lt;=SUM(Stand!$H$3:$H$29),VLOOKUP(A111,Stand!$A$3:$C$29,3,TRUE),"")</f>
        <v/>
      </c>
      <c r="C111" s="172" t="str">
        <f t="shared" si="4"/>
        <v/>
      </c>
      <c r="D111" s="173" t="str">
        <f>IF(B111="","",VLOOKUP(B111&amp;C111,Plot!$B$2:$D$199,3,FALSE))</f>
        <v/>
      </c>
      <c r="E111" s="130"/>
      <c r="F111" s="152" t="str">
        <f>IF(B111="","",SUMIFS(Tree!$O:$O,Tree!$A:$A,'Pre-Harvest Plots_rpt'!$B111,Tree!$B:$B,'Pre-Harvest Plots_rpt'!$D111,Tree!$F:$F,"L",Tree!$K:$K,"&lt;&gt;"&amp;"Y"))</f>
        <v/>
      </c>
      <c r="G111" s="153" t="str">
        <f>IFERROR(IF(D111="","",SUMIFS(Tree!$P:$P,Tree!$A:$A,'Pre-Harvest Plots_rpt'!$B111,Tree!$B:$B,'Pre-Harvest Plots_rpt'!$D111,Tree!$K:$K,"&lt;&gt;"&amp;"Y")/$F111),"")</f>
        <v/>
      </c>
      <c r="H111" s="122" t="str">
        <f t="shared" si="5"/>
        <v/>
      </c>
      <c r="I111" s="121" t="str">
        <f>IF(OR($F111=0,$F111=""),"",SUMIFS(Tree!$R:$R,Tree!$A:$A,'Pre-Harvest Plots_rpt'!$B111,Tree!$B:$B,'Pre-Harvest Plots_rpt'!$D111,Tree!$F:$F,"L",Tree!$K:$K,"&lt;&gt;"&amp;"Y"))</f>
        <v/>
      </c>
      <c r="J111" s="121" t="str">
        <f>IF(OR($F111=0,$F111=""),"",IF(SUMIFS(Tree!$W:$W,Tree!$A:$A,'Pre-Harvest Plots_rpt'!$B111,Tree!$B:$B,'Pre-Harvest Plots_rpt'!$D111,Tree!$F:$F,"L",Tree!$K:$K,"&lt;&gt;"&amp;"Y")=0,0,AVERAGEIFS(Tree!$W:$W,Tree!$A:$A,'Pre-Harvest Plots_rpt'!$B111,Tree!$B:$B,'Pre-Harvest Plots_rpt'!$D111,Tree!$F:$F,"L",Tree!$K:$K,"&lt;&gt;"&amp;"Y")))</f>
        <v/>
      </c>
      <c r="K111" s="121" t="str">
        <f>IF($F111="","",SUMIFS(Tree!$S:$S,Tree!$A:$A,'Pre-Harvest Plots_rpt'!$B111,Tree!$B:$B,'Pre-Harvest Plots_rpt'!$D111,Tree!$F:$F,"L",Tree!$K:$K,"&lt;&gt;"&amp;"Y"))</f>
        <v/>
      </c>
      <c r="L111" s="154" t="str">
        <f t="shared" si="6"/>
        <v/>
      </c>
      <c r="M111" s="135"/>
      <c r="N111" s="192" t="str">
        <f>IF(B111="","",SUMIFS(Tree!$AM:$AM,Tree!$A:$A,'Pre-Harvest Plots_rpt'!$B111,Tree!$B:$B,'Pre-Harvest Plots_rpt'!$D111,Tree!$F:$F,"L",Tree!$K:$K,"&lt;&gt;"&amp;"Y"))</f>
        <v/>
      </c>
      <c r="O111" s="122" t="str">
        <f>IF(B111="","",SUMIFS(Tree!$AN:$AN,Tree!$A:$A,'Pre-Harvest Plots_rpt'!$B111,Tree!$B:$B,'Pre-Harvest Plots_rpt'!$D111,Tree!$F:$F,"L",Tree!$K:$K,"&lt;&gt;"&amp;"Y"))</f>
        <v/>
      </c>
      <c r="P111" s="122" t="str">
        <f>IF(B111="","",SUMIFS(Tree!$AO:$AO,Tree!$A:$A,'Pre-Harvest Plots_rpt'!$B111,Tree!$B:$B,'Pre-Harvest Plots_rpt'!$D111,Tree!$F:$F,"L",Tree!$K:$K,"&lt;&gt;"&amp;"Y"))</f>
        <v/>
      </c>
      <c r="Q111" s="122" t="str">
        <f>IF(B111="","",SUMIFS(Tree!$AP:$AP,Tree!$A:$A,'Pre-Harvest Plots_rpt'!$B111,Tree!$B:$B,'Pre-Harvest Plots_rpt'!$D111,Tree!$F:$F,"L",Tree!$K:$K,"&lt;&gt;"&amp;"Y"))</f>
        <v/>
      </c>
      <c r="R111" s="123" t="str">
        <f>IF(B111="","",SUMIFS(Tree!$AQ:$AQ,Tree!$A:$A,'Pre-Harvest Plots_rpt'!$B111,Tree!$B:$B,'Pre-Harvest Plots_rpt'!$D111,Tree!$F:$F,"L",Tree!$K:$K,"&lt;&gt;"&amp;"Y"))</f>
        <v/>
      </c>
      <c r="S111" s="122" t="str">
        <f>IF(B111="","",SUMIFS(Tree!$AJ:$AJ,Tree!$A:$A,'Pre-Harvest Plots_rpt'!$B111,Tree!$B:$B,'Pre-Harvest Plots_rpt'!$D111,Tree!$F:$F,"L",Tree!$K:$K,"&lt;&gt;"&amp;"Y")-O111)</f>
        <v/>
      </c>
      <c r="T111" s="122" t="str">
        <f>IF(B111="","",SUMIFS(Tree!$AK:$AK,Tree!$A:$A,'Pre-Harvest Plots_rpt'!$B111,Tree!$B:$B,'Pre-Harvest Plots_rpt'!$D111,Tree!$F:$F,"L",Tree!$K:$K,"&lt;&gt;"&amp;"Y")-P111)</f>
        <v/>
      </c>
      <c r="U111" s="122" t="str">
        <f>IF(B111="","",SUMIFS(Tree!$AL:$AL,Tree!$A:$A,'Pre-Harvest Plots_rpt'!$B111,Tree!$B:$B,'Pre-Harvest Plots_rpt'!$D111,Tree!$F:$F,"L",Tree!$K:$K,"&lt;&gt;"&amp;"Y")-Q111)</f>
        <v/>
      </c>
      <c r="V111" s="123" t="str">
        <f>IF(B111="","",ROUND(SUMIFS(Tree!$AE:$AE,Tree!$A:$A,'Pre-Harvest Plots_rpt'!$B111,Tree!$B:$B,'Pre-Harvest Plots_rpt'!$D111,Tree!$F:$F,"L",Tree!$K:$K,"&lt;&gt;"&amp;"Y")-R111,1))</f>
        <v/>
      </c>
      <c r="W111" s="124" t="str">
        <f>IF(B111="","",SUMIFS(Tree!$AY:$AY,Tree!$A:$A,'Pre-Harvest Plots_rpt'!$B111,Tree!$B:$B,'Pre-Harvest Plots_rpt'!$D111,Tree!$F:$F,"L",Tree!$K:$K,"&lt;&gt;"&amp;"Y")/1000)</f>
        <v/>
      </c>
      <c r="X111" s="158" t="str">
        <f>IF(B111="","",ROUND((SUMIFS(Tree!$AW:$AW,Tree!$A:$A,'Pre-Harvest Plots_rpt'!$B111,Tree!$B:$B,'Pre-Harvest Plots_rpt'!$D111,Tree!$F:$F,"L",Tree!$K:$K,"&lt;&gt;"&amp;"Y")/1000)-W111,1))</f>
        <v/>
      </c>
      <c r="Y111" s="135"/>
      <c r="Z111" s="161" t="str">
        <f>IF(IF(B111="","",SUMIFS(Tree!$O:$O,Tree!$A:$A,'Pre-Harvest Plots_rpt'!$B111,Tree!$B:$B,'Pre-Harvest Plots_rpt'!$D111,Tree!$F:$F,"D",Tree!$K:$K,"&lt;&gt;"&amp;"Y"))=0,"",IF(B111="","",SUMIFS(Tree!$O:$O,Tree!$A:$A,'Pre-Harvest Plots_rpt'!$B111,Tree!$B:$B,'Pre-Harvest Plots_rpt'!$D111,Tree!$F:$F,"D",Tree!$K:$K,"&lt;&gt;"&amp;"Y")))</f>
        <v/>
      </c>
      <c r="AA111" s="125" t="str">
        <f t="shared" si="7"/>
        <v/>
      </c>
      <c r="AB111" s="125" t="str">
        <f>IF(Z111="","",SUMIFS(Tree!$R:$R,Tree!$A:$A,'Pre-Harvest Plots_rpt'!$B111,Tree!$B:$B,'Pre-Harvest Plots_rpt'!$D111,Tree!$F:$F,"D",Tree!$K:$K,"&lt;&gt;"&amp;"Y"))</f>
        <v/>
      </c>
      <c r="AC111" s="126" t="str">
        <f>IF(Z111="","",SUMIFS(Tree!$AM:$AM,Tree!$A:$A,'Pre-Harvest Plots_rpt'!$B111,Tree!$B:$B,'Pre-Harvest Plots_rpt'!$D111,Tree!$F:$F,"D",Tree!$K:$K,"&lt;&gt;"&amp;"Y"))</f>
        <v/>
      </c>
      <c r="AD111" s="162" t="str">
        <f>IF(Z111="","",SUMIFS(Tree!$AW:$AW,Tree!$A:$A,'Pre-Harvest Plots_rpt'!$B111,Tree!$B:$B,'Pre-Harvest Plots_rpt'!$D111,Tree!$F:$F,"D",Tree!$K:$K,"&lt;&gt;"&amp;"Y")/1000)</f>
        <v/>
      </c>
      <c r="AE111" s="47"/>
      <c r="AF111" s="18"/>
      <c r="AG111" s="18"/>
      <c r="AH111" s="18"/>
    </row>
    <row r="112" spans="1:34" ht="12.75" customHeight="1" x14ac:dyDescent="0.25">
      <c r="A112" s="48">
        <v>109</v>
      </c>
      <c r="B112" s="171" t="str">
        <f>IF(A112&lt;=SUM(Stand!$H$3:$H$29),VLOOKUP(A112,Stand!$A$3:$C$29,3,TRUE),"")</f>
        <v/>
      </c>
      <c r="C112" s="172" t="str">
        <f t="shared" si="4"/>
        <v/>
      </c>
      <c r="D112" s="173" t="str">
        <f>IF(B112="","",VLOOKUP(B112&amp;C112,Plot!$B$2:$D$199,3,FALSE))</f>
        <v/>
      </c>
      <c r="E112" s="130"/>
      <c r="F112" s="152" t="str">
        <f>IF(B112="","",SUMIFS(Tree!$O:$O,Tree!$A:$A,'Pre-Harvest Plots_rpt'!$B112,Tree!$B:$B,'Pre-Harvest Plots_rpt'!$D112,Tree!$F:$F,"L",Tree!$K:$K,"&lt;&gt;"&amp;"Y"))</f>
        <v/>
      </c>
      <c r="G112" s="153" t="str">
        <f>IFERROR(IF(D112="","",SUMIFS(Tree!$P:$P,Tree!$A:$A,'Pre-Harvest Plots_rpt'!$B112,Tree!$B:$B,'Pre-Harvest Plots_rpt'!$D112,Tree!$K:$K,"&lt;&gt;"&amp;"Y")/$F112),"")</f>
        <v/>
      </c>
      <c r="H112" s="122" t="str">
        <f t="shared" si="5"/>
        <v/>
      </c>
      <c r="I112" s="121" t="str">
        <f>IF(OR($F112=0,$F112=""),"",SUMIFS(Tree!$R:$R,Tree!$A:$A,'Pre-Harvest Plots_rpt'!$B112,Tree!$B:$B,'Pre-Harvest Plots_rpt'!$D112,Tree!$F:$F,"L",Tree!$K:$K,"&lt;&gt;"&amp;"Y"))</f>
        <v/>
      </c>
      <c r="J112" s="121" t="str">
        <f>IF(OR($F112=0,$F112=""),"",IF(SUMIFS(Tree!$W:$W,Tree!$A:$A,'Pre-Harvest Plots_rpt'!$B112,Tree!$B:$B,'Pre-Harvest Plots_rpt'!$D112,Tree!$F:$F,"L",Tree!$K:$K,"&lt;&gt;"&amp;"Y")=0,0,AVERAGEIFS(Tree!$W:$W,Tree!$A:$A,'Pre-Harvest Plots_rpt'!$B112,Tree!$B:$B,'Pre-Harvest Plots_rpt'!$D112,Tree!$F:$F,"L",Tree!$K:$K,"&lt;&gt;"&amp;"Y")))</f>
        <v/>
      </c>
      <c r="K112" s="121" t="str">
        <f>IF($F112="","",SUMIFS(Tree!$S:$S,Tree!$A:$A,'Pre-Harvest Plots_rpt'!$B112,Tree!$B:$B,'Pre-Harvest Plots_rpt'!$D112,Tree!$F:$F,"L",Tree!$K:$K,"&lt;&gt;"&amp;"Y"))</f>
        <v/>
      </c>
      <c r="L112" s="154" t="str">
        <f t="shared" si="6"/>
        <v/>
      </c>
      <c r="M112" s="135"/>
      <c r="N112" s="192" t="str">
        <f>IF(B112="","",SUMIFS(Tree!$AM:$AM,Tree!$A:$A,'Pre-Harvest Plots_rpt'!$B112,Tree!$B:$B,'Pre-Harvest Plots_rpt'!$D112,Tree!$F:$F,"L",Tree!$K:$K,"&lt;&gt;"&amp;"Y"))</f>
        <v/>
      </c>
      <c r="O112" s="122" t="str">
        <f>IF(B112="","",SUMIFS(Tree!$AN:$AN,Tree!$A:$A,'Pre-Harvest Plots_rpt'!$B112,Tree!$B:$B,'Pre-Harvest Plots_rpt'!$D112,Tree!$F:$F,"L",Tree!$K:$K,"&lt;&gt;"&amp;"Y"))</f>
        <v/>
      </c>
      <c r="P112" s="122" t="str">
        <f>IF(B112="","",SUMIFS(Tree!$AO:$AO,Tree!$A:$A,'Pre-Harvest Plots_rpt'!$B112,Tree!$B:$B,'Pre-Harvest Plots_rpt'!$D112,Tree!$F:$F,"L",Tree!$K:$K,"&lt;&gt;"&amp;"Y"))</f>
        <v/>
      </c>
      <c r="Q112" s="122" t="str">
        <f>IF(B112="","",SUMIFS(Tree!$AP:$AP,Tree!$A:$A,'Pre-Harvest Plots_rpt'!$B112,Tree!$B:$B,'Pre-Harvest Plots_rpt'!$D112,Tree!$F:$F,"L",Tree!$K:$K,"&lt;&gt;"&amp;"Y"))</f>
        <v/>
      </c>
      <c r="R112" s="123" t="str">
        <f>IF(B112="","",SUMIFS(Tree!$AQ:$AQ,Tree!$A:$A,'Pre-Harvest Plots_rpt'!$B112,Tree!$B:$B,'Pre-Harvest Plots_rpt'!$D112,Tree!$F:$F,"L",Tree!$K:$K,"&lt;&gt;"&amp;"Y"))</f>
        <v/>
      </c>
      <c r="S112" s="122" t="str">
        <f>IF(B112="","",SUMIFS(Tree!$AJ:$AJ,Tree!$A:$A,'Pre-Harvest Plots_rpt'!$B112,Tree!$B:$B,'Pre-Harvest Plots_rpt'!$D112,Tree!$F:$F,"L",Tree!$K:$K,"&lt;&gt;"&amp;"Y")-O112)</f>
        <v/>
      </c>
      <c r="T112" s="122" t="str">
        <f>IF(B112="","",SUMIFS(Tree!$AK:$AK,Tree!$A:$A,'Pre-Harvest Plots_rpt'!$B112,Tree!$B:$B,'Pre-Harvest Plots_rpt'!$D112,Tree!$F:$F,"L",Tree!$K:$K,"&lt;&gt;"&amp;"Y")-P112)</f>
        <v/>
      </c>
      <c r="U112" s="122" t="str">
        <f>IF(B112="","",SUMIFS(Tree!$AL:$AL,Tree!$A:$A,'Pre-Harvest Plots_rpt'!$B112,Tree!$B:$B,'Pre-Harvest Plots_rpt'!$D112,Tree!$F:$F,"L",Tree!$K:$K,"&lt;&gt;"&amp;"Y")-Q112)</f>
        <v/>
      </c>
      <c r="V112" s="123" t="str">
        <f>IF(B112="","",ROUND(SUMIFS(Tree!$AE:$AE,Tree!$A:$A,'Pre-Harvest Plots_rpt'!$B112,Tree!$B:$B,'Pre-Harvest Plots_rpt'!$D112,Tree!$F:$F,"L",Tree!$K:$K,"&lt;&gt;"&amp;"Y")-R112,1))</f>
        <v/>
      </c>
      <c r="W112" s="124" t="str">
        <f>IF(B112="","",SUMIFS(Tree!$AY:$AY,Tree!$A:$A,'Pre-Harvest Plots_rpt'!$B112,Tree!$B:$B,'Pre-Harvest Plots_rpt'!$D112,Tree!$F:$F,"L",Tree!$K:$K,"&lt;&gt;"&amp;"Y")/1000)</f>
        <v/>
      </c>
      <c r="X112" s="158" t="str">
        <f>IF(B112="","",ROUND((SUMIFS(Tree!$AW:$AW,Tree!$A:$A,'Pre-Harvest Plots_rpt'!$B112,Tree!$B:$B,'Pre-Harvest Plots_rpt'!$D112,Tree!$F:$F,"L",Tree!$K:$K,"&lt;&gt;"&amp;"Y")/1000)-W112,1))</f>
        <v/>
      </c>
      <c r="Y112" s="135"/>
      <c r="Z112" s="161" t="str">
        <f>IF(IF(B112="","",SUMIFS(Tree!$O:$O,Tree!$A:$A,'Pre-Harvest Plots_rpt'!$B112,Tree!$B:$B,'Pre-Harvest Plots_rpt'!$D112,Tree!$F:$F,"D",Tree!$K:$K,"&lt;&gt;"&amp;"Y"))=0,"",IF(B112="","",SUMIFS(Tree!$O:$O,Tree!$A:$A,'Pre-Harvest Plots_rpt'!$B112,Tree!$B:$B,'Pre-Harvest Plots_rpt'!$D112,Tree!$F:$F,"D",Tree!$K:$K,"&lt;&gt;"&amp;"Y")))</f>
        <v/>
      </c>
      <c r="AA112" s="125" t="str">
        <f t="shared" si="7"/>
        <v/>
      </c>
      <c r="AB112" s="125" t="str">
        <f>IF(Z112="","",SUMIFS(Tree!$R:$R,Tree!$A:$A,'Pre-Harvest Plots_rpt'!$B112,Tree!$B:$B,'Pre-Harvest Plots_rpt'!$D112,Tree!$F:$F,"D",Tree!$K:$K,"&lt;&gt;"&amp;"Y"))</f>
        <v/>
      </c>
      <c r="AC112" s="126" t="str">
        <f>IF(Z112="","",SUMIFS(Tree!$AM:$AM,Tree!$A:$A,'Pre-Harvest Plots_rpt'!$B112,Tree!$B:$B,'Pre-Harvest Plots_rpt'!$D112,Tree!$F:$F,"D",Tree!$K:$K,"&lt;&gt;"&amp;"Y"))</f>
        <v/>
      </c>
      <c r="AD112" s="162" t="str">
        <f>IF(Z112="","",SUMIFS(Tree!$AW:$AW,Tree!$A:$A,'Pre-Harvest Plots_rpt'!$B112,Tree!$B:$B,'Pre-Harvest Plots_rpt'!$D112,Tree!$F:$F,"D",Tree!$K:$K,"&lt;&gt;"&amp;"Y")/1000)</f>
        <v/>
      </c>
      <c r="AE112" s="47"/>
      <c r="AF112" s="18"/>
      <c r="AG112" s="18"/>
      <c r="AH112" s="18"/>
    </row>
    <row r="113" spans="1:34" ht="12.75" customHeight="1" x14ac:dyDescent="0.25">
      <c r="A113" s="48">
        <v>110</v>
      </c>
      <c r="B113" s="171" t="str">
        <f>IF(A113&lt;=SUM(Stand!$H$3:$H$29),VLOOKUP(A113,Stand!$A$3:$C$29,3,TRUE),"")</f>
        <v/>
      </c>
      <c r="C113" s="172" t="str">
        <f t="shared" si="4"/>
        <v/>
      </c>
      <c r="D113" s="173" t="str">
        <f>IF(B113="","",VLOOKUP(B113&amp;C113,Plot!$B$2:$D$199,3,FALSE))</f>
        <v/>
      </c>
      <c r="E113" s="130"/>
      <c r="F113" s="152" t="str">
        <f>IF(B113="","",SUMIFS(Tree!$O:$O,Tree!$A:$A,'Pre-Harvest Plots_rpt'!$B113,Tree!$B:$B,'Pre-Harvest Plots_rpt'!$D113,Tree!$F:$F,"L",Tree!$K:$K,"&lt;&gt;"&amp;"Y"))</f>
        <v/>
      </c>
      <c r="G113" s="153" t="str">
        <f>IFERROR(IF(D113="","",SUMIFS(Tree!$P:$P,Tree!$A:$A,'Pre-Harvest Plots_rpt'!$B113,Tree!$B:$B,'Pre-Harvest Plots_rpt'!$D113,Tree!$K:$K,"&lt;&gt;"&amp;"Y")/$F113),"")</f>
        <v/>
      </c>
      <c r="H113" s="122" t="str">
        <f t="shared" si="5"/>
        <v/>
      </c>
      <c r="I113" s="121" t="str">
        <f>IF(OR($F113=0,$F113=""),"",SUMIFS(Tree!$R:$R,Tree!$A:$A,'Pre-Harvest Plots_rpt'!$B113,Tree!$B:$B,'Pre-Harvest Plots_rpt'!$D113,Tree!$F:$F,"L",Tree!$K:$K,"&lt;&gt;"&amp;"Y"))</f>
        <v/>
      </c>
      <c r="J113" s="121" t="str">
        <f>IF(OR($F113=0,$F113=""),"",IF(SUMIFS(Tree!$W:$W,Tree!$A:$A,'Pre-Harvest Plots_rpt'!$B113,Tree!$B:$B,'Pre-Harvest Plots_rpt'!$D113,Tree!$F:$F,"L",Tree!$K:$K,"&lt;&gt;"&amp;"Y")=0,0,AVERAGEIFS(Tree!$W:$W,Tree!$A:$A,'Pre-Harvest Plots_rpt'!$B113,Tree!$B:$B,'Pre-Harvest Plots_rpt'!$D113,Tree!$F:$F,"L",Tree!$K:$K,"&lt;&gt;"&amp;"Y")))</f>
        <v/>
      </c>
      <c r="K113" s="121" t="str">
        <f>IF($F113="","",SUMIFS(Tree!$S:$S,Tree!$A:$A,'Pre-Harvest Plots_rpt'!$B113,Tree!$B:$B,'Pre-Harvest Plots_rpt'!$D113,Tree!$F:$F,"L",Tree!$K:$K,"&lt;&gt;"&amp;"Y"))</f>
        <v/>
      </c>
      <c r="L113" s="154" t="str">
        <f t="shared" si="6"/>
        <v/>
      </c>
      <c r="M113" s="135"/>
      <c r="N113" s="192" t="str">
        <f>IF(B113="","",SUMIFS(Tree!$AM:$AM,Tree!$A:$A,'Pre-Harvest Plots_rpt'!$B113,Tree!$B:$B,'Pre-Harvest Plots_rpt'!$D113,Tree!$F:$F,"L",Tree!$K:$K,"&lt;&gt;"&amp;"Y"))</f>
        <v/>
      </c>
      <c r="O113" s="122" t="str">
        <f>IF(B113="","",SUMIFS(Tree!$AN:$AN,Tree!$A:$A,'Pre-Harvest Plots_rpt'!$B113,Tree!$B:$B,'Pre-Harvest Plots_rpt'!$D113,Tree!$F:$F,"L",Tree!$K:$K,"&lt;&gt;"&amp;"Y"))</f>
        <v/>
      </c>
      <c r="P113" s="122" t="str">
        <f>IF(B113="","",SUMIFS(Tree!$AO:$AO,Tree!$A:$A,'Pre-Harvest Plots_rpt'!$B113,Tree!$B:$B,'Pre-Harvest Plots_rpt'!$D113,Tree!$F:$F,"L",Tree!$K:$K,"&lt;&gt;"&amp;"Y"))</f>
        <v/>
      </c>
      <c r="Q113" s="122" t="str">
        <f>IF(B113="","",SUMIFS(Tree!$AP:$AP,Tree!$A:$A,'Pre-Harvest Plots_rpt'!$B113,Tree!$B:$B,'Pre-Harvest Plots_rpt'!$D113,Tree!$F:$F,"L",Tree!$K:$K,"&lt;&gt;"&amp;"Y"))</f>
        <v/>
      </c>
      <c r="R113" s="123" t="str">
        <f>IF(B113="","",SUMIFS(Tree!$AQ:$AQ,Tree!$A:$A,'Pre-Harvest Plots_rpt'!$B113,Tree!$B:$B,'Pre-Harvest Plots_rpt'!$D113,Tree!$F:$F,"L",Tree!$K:$K,"&lt;&gt;"&amp;"Y"))</f>
        <v/>
      </c>
      <c r="S113" s="122" t="str">
        <f>IF(B113="","",SUMIFS(Tree!$AJ:$AJ,Tree!$A:$A,'Pre-Harvest Plots_rpt'!$B113,Tree!$B:$B,'Pre-Harvest Plots_rpt'!$D113,Tree!$F:$F,"L",Tree!$K:$K,"&lt;&gt;"&amp;"Y")-O113)</f>
        <v/>
      </c>
      <c r="T113" s="122" t="str">
        <f>IF(B113="","",SUMIFS(Tree!$AK:$AK,Tree!$A:$A,'Pre-Harvest Plots_rpt'!$B113,Tree!$B:$B,'Pre-Harvest Plots_rpt'!$D113,Tree!$F:$F,"L",Tree!$K:$K,"&lt;&gt;"&amp;"Y")-P113)</f>
        <v/>
      </c>
      <c r="U113" s="122" t="str">
        <f>IF(B113="","",SUMIFS(Tree!$AL:$AL,Tree!$A:$A,'Pre-Harvest Plots_rpt'!$B113,Tree!$B:$B,'Pre-Harvest Plots_rpt'!$D113,Tree!$F:$F,"L",Tree!$K:$K,"&lt;&gt;"&amp;"Y")-Q113)</f>
        <v/>
      </c>
      <c r="V113" s="123" t="str">
        <f>IF(B113="","",ROUND(SUMIFS(Tree!$AE:$AE,Tree!$A:$A,'Pre-Harvest Plots_rpt'!$B113,Tree!$B:$B,'Pre-Harvest Plots_rpt'!$D113,Tree!$F:$F,"L",Tree!$K:$K,"&lt;&gt;"&amp;"Y")-R113,1))</f>
        <v/>
      </c>
      <c r="W113" s="124" t="str">
        <f>IF(B113="","",SUMIFS(Tree!$AY:$AY,Tree!$A:$A,'Pre-Harvest Plots_rpt'!$B113,Tree!$B:$B,'Pre-Harvest Plots_rpt'!$D113,Tree!$F:$F,"L",Tree!$K:$K,"&lt;&gt;"&amp;"Y")/1000)</f>
        <v/>
      </c>
      <c r="X113" s="158" t="str">
        <f>IF(B113="","",ROUND((SUMIFS(Tree!$AW:$AW,Tree!$A:$A,'Pre-Harvest Plots_rpt'!$B113,Tree!$B:$B,'Pre-Harvest Plots_rpt'!$D113,Tree!$F:$F,"L",Tree!$K:$K,"&lt;&gt;"&amp;"Y")/1000)-W113,1))</f>
        <v/>
      </c>
      <c r="Y113" s="135"/>
      <c r="Z113" s="161" t="str">
        <f>IF(IF(B113="","",SUMIFS(Tree!$O:$O,Tree!$A:$A,'Pre-Harvest Plots_rpt'!$B113,Tree!$B:$B,'Pre-Harvest Plots_rpt'!$D113,Tree!$F:$F,"D",Tree!$K:$K,"&lt;&gt;"&amp;"Y"))=0,"",IF(B113="","",SUMIFS(Tree!$O:$O,Tree!$A:$A,'Pre-Harvest Plots_rpt'!$B113,Tree!$B:$B,'Pre-Harvest Plots_rpt'!$D113,Tree!$F:$F,"D",Tree!$K:$K,"&lt;&gt;"&amp;"Y")))</f>
        <v/>
      </c>
      <c r="AA113" s="125" t="str">
        <f t="shared" si="7"/>
        <v/>
      </c>
      <c r="AB113" s="125" t="str">
        <f>IF(Z113="","",SUMIFS(Tree!$R:$R,Tree!$A:$A,'Pre-Harvest Plots_rpt'!$B113,Tree!$B:$B,'Pre-Harvest Plots_rpt'!$D113,Tree!$F:$F,"D",Tree!$K:$K,"&lt;&gt;"&amp;"Y"))</f>
        <v/>
      </c>
      <c r="AC113" s="126" t="str">
        <f>IF(Z113="","",SUMIFS(Tree!$AM:$AM,Tree!$A:$A,'Pre-Harvest Plots_rpt'!$B113,Tree!$B:$B,'Pre-Harvest Plots_rpt'!$D113,Tree!$F:$F,"D",Tree!$K:$K,"&lt;&gt;"&amp;"Y"))</f>
        <v/>
      </c>
      <c r="AD113" s="162" t="str">
        <f>IF(Z113="","",SUMIFS(Tree!$AW:$AW,Tree!$A:$A,'Pre-Harvest Plots_rpt'!$B113,Tree!$B:$B,'Pre-Harvest Plots_rpt'!$D113,Tree!$F:$F,"D",Tree!$K:$K,"&lt;&gt;"&amp;"Y")/1000)</f>
        <v/>
      </c>
      <c r="AE113" s="47"/>
      <c r="AF113" s="18"/>
      <c r="AG113" s="18"/>
      <c r="AH113" s="18"/>
    </row>
    <row r="114" spans="1:34" ht="12.75" customHeight="1" x14ac:dyDescent="0.25">
      <c r="A114" s="48">
        <v>111</v>
      </c>
      <c r="B114" s="171" t="str">
        <f>IF(A114&lt;=SUM(Stand!$H$3:$H$29),VLOOKUP(A114,Stand!$A$3:$C$29,3,TRUE),"")</f>
        <v/>
      </c>
      <c r="C114" s="172" t="str">
        <f t="shared" si="4"/>
        <v/>
      </c>
      <c r="D114" s="173" t="str">
        <f>IF(B114="","",VLOOKUP(B114&amp;C114,Plot!$B$2:$D$199,3,FALSE))</f>
        <v/>
      </c>
      <c r="E114" s="130"/>
      <c r="F114" s="152" t="str">
        <f>IF(B114="","",SUMIFS(Tree!$O:$O,Tree!$A:$A,'Pre-Harvest Plots_rpt'!$B114,Tree!$B:$B,'Pre-Harvest Plots_rpt'!$D114,Tree!$F:$F,"L",Tree!$K:$K,"&lt;&gt;"&amp;"Y"))</f>
        <v/>
      </c>
      <c r="G114" s="153" t="str">
        <f>IFERROR(IF(D114="","",SUMIFS(Tree!$P:$P,Tree!$A:$A,'Pre-Harvest Plots_rpt'!$B114,Tree!$B:$B,'Pre-Harvest Plots_rpt'!$D114,Tree!$K:$K,"&lt;&gt;"&amp;"Y")/$F114),"")</f>
        <v/>
      </c>
      <c r="H114" s="122" t="str">
        <f t="shared" si="5"/>
        <v/>
      </c>
      <c r="I114" s="121" t="str">
        <f>IF(OR($F114=0,$F114=""),"",SUMIFS(Tree!$R:$R,Tree!$A:$A,'Pre-Harvest Plots_rpt'!$B114,Tree!$B:$B,'Pre-Harvest Plots_rpt'!$D114,Tree!$F:$F,"L",Tree!$K:$K,"&lt;&gt;"&amp;"Y"))</f>
        <v/>
      </c>
      <c r="J114" s="121" t="str">
        <f>IF(OR($F114=0,$F114=""),"",IF(SUMIFS(Tree!$W:$W,Tree!$A:$A,'Pre-Harvest Plots_rpt'!$B114,Tree!$B:$B,'Pre-Harvest Plots_rpt'!$D114,Tree!$F:$F,"L",Tree!$K:$K,"&lt;&gt;"&amp;"Y")=0,0,AVERAGEIFS(Tree!$W:$W,Tree!$A:$A,'Pre-Harvest Plots_rpt'!$B114,Tree!$B:$B,'Pre-Harvest Plots_rpt'!$D114,Tree!$F:$F,"L",Tree!$K:$K,"&lt;&gt;"&amp;"Y")))</f>
        <v/>
      </c>
      <c r="K114" s="121" t="str">
        <f>IF($F114="","",SUMIFS(Tree!$S:$S,Tree!$A:$A,'Pre-Harvest Plots_rpt'!$B114,Tree!$B:$B,'Pre-Harvest Plots_rpt'!$D114,Tree!$F:$F,"L",Tree!$K:$K,"&lt;&gt;"&amp;"Y"))</f>
        <v/>
      </c>
      <c r="L114" s="154" t="str">
        <f t="shared" si="6"/>
        <v/>
      </c>
      <c r="M114" s="135"/>
      <c r="N114" s="192" t="str">
        <f>IF(B114="","",SUMIFS(Tree!$AM:$AM,Tree!$A:$A,'Pre-Harvest Plots_rpt'!$B114,Tree!$B:$B,'Pre-Harvest Plots_rpt'!$D114,Tree!$F:$F,"L",Tree!$K:$K,"&lt;&gt;"&amp;"Y"))</f>
        <v/>
      </c>
      <c r="O114" s="122" t="str">
        <f>IF(B114="","",SUMIFS(Tree!$AN:$AN,Tree!$A:$A,'Pre-Harvest Plots_rpt'!$B114,Tree!$B:$B,'Pre-Harvest Plots_rpt'!$D114,Tree!$F:$F,"L",Tree!$K:$K,"&lt;&gt;"&amp;"Y"))</f>
        <v/>
      </c>
      <c r="P114" s="122" t="str">
        <f>IF(B114="","",SUMIFS(Tree!$AO:$AO,Tree!$A:$A,'Pre-Harvest Plots_rpt'!$B114,Tree!$B:$B,'Pre-Harvest Plots_rpt'!$D114,Tree!$F:$F,"L",Tree!$K:$K,"&lt;&gt;"&amp;"Y"))</f>
        <v/>
      </c>
      <c r="Q114" s="122" t="str">
        <f>IF(B114="","",SUMIFS(Tree!$AP:$AP,Tree!$A:$A,'Pre-Harvest Plots_rpt'!$B114,Tree!$B:$B,'Pre-Harvest Plots_rpt'!$D114,Tree!$F:$F,"L",Tree!$K:$K,"&lt;&gt;"&amp;"Y"))</f>
        <v/>
      </c>
      <c r="R114" s="123" t="str">
        <f>IF(B114="","",SUMIFS(Tree!$AQ:$AQ,Tree!$A:$A,'Pre-Harvest Plots_rpt'!$B114,Tree!$B:$B,'Pre-Harvest Plots_rpt'!$D114,Tree!$F:$F,"L",Tree!$K:$K,"&lt;&gt;"&amp;"Y"))</f>
        <v/>
      </c>
      <c r="S114" s="122" t="str">
        <f>IF(B114="","",SUMIFS(Tree!$AJ:$AJ,Tree!$A:$A,'Pre-Harvest Plots_rpt'!$B114,Tree!$B:$B,'Pre-Harvest Plots_rpt'!$D114,Tree!$F:$F,"L",Tree!$K:$K,"&lt;&gt;"&amp;"Y")-O114)</f>
        <v/>
      </c>
      <c r="T114" s="122" t="str">
        <f>IF(B114="","",SUMIFS(Tree!$AK:$AK,Tree!$A:$A,'Pre-Harvest Plots_rpt'!$B114,Tree!$B:$B,'Pre-Harvest Plots_rpt'!$D114,Tree!$F:$F,"L",Tree!$K:$K,"&lt;&gt;"&amp;"Y")-P114)</f>
        <v/>
      </c>
      <c r="U114" s="122" t="str">
        <f>IF(B114="","",SUMIFS(Tree!$AL:$AL,Tree!$A:$A,'Pre-Harvest Plots_rpt'!$B114,Tree!$B:$B,'Pre-Harvest Plots_rpt'!$D114,Tree!$F:$F,"L",Tree!$K:$K,"&lt;&gt;"&amp;"Y")-Q114)</f>
        <v/>
      </c>
      <c r="V114" s="123" t="str">
        <f>IF(B114="","",ROUND(SUMIFS(Tree!$AE:$AE,Tree!$A:$A,'Pre-Harvest Plots_rpt'!$B114,Tree!$B:$B,'Pre-Harvest Plots_rpt'!$D114,Tree!$F:$F,"L",Tree!$K:$K,"&lt;&gt;"&amp;"Y")-R114,1))</f>
        <v/>
      </c>
      <c r="W114" s="124" t="str">
        <f>IF(B114="","",SUMIFS(Tree!$AY:$AY,Tree!$A:$A,'Pre-Harvest Plots_rpt'!$B114,Tree!$B:$B,'Pre-Harvest Plots_rpt'!$D114,Tree!$F:$F,"L",Tree!$K:$K,"&lt;&gt;"&amp;"Y")/1000)</f>
        <v/>
      </c>
      <c r="X114" s="158" t="str">
        <f>IF(B114="","",ROUND((SUMIFS(Tree!$AW:$AW,Tree!$A:$A,'Pre-Harvest Plots_rpt'!$B114,Tree!$B:$B,'Pre-Harvest Plots_rpt'!$D114,Tree!$F:$F,"L",Tree!$K:$K,"&lt;&gt;"&amp;"Y")/1000)-W114,1))</f>
        <v/>
      </c>
      <c r="Y114" s="135"/>
      <c r="Z114" s="161" t="str">
        <f>IF(IF(B114="","",SUMIFS(Tree!$O:$O,Tree!$A:$A,'Pre-Harvest Plots_rpt'!$B114,Tree!$B:$B,'Pre-Harvest Plots_rpt'!$D114,Tree!$F:$F,"D",Tree!$K:$K,"&lt;&gt;"&amp;"Y"))=0,"",IF(B114="","",SUMIFS(Tree!$O:$O,Tree!$A:$A,'Pre-Harvest Plots_rpt'!$B114,Tree!$B:$B,'Pre-Harvest Plots_rpt'!$D114,Tree!$F:$F,"D",Tree!$K:$K,"&lt;&gt;"&amp;"Y")))</f>
        <v/>
      </c>
      <c r="AA114" s="125" t="str">
        <f t="shared" si="7"/>
        <v/>
      </c>
      <c r="AB114" s="125" t="str">
        <f>IF(Z114="","",SUMIFS(Tree!$R:$R,Tree!$A:$A,'Pre-Harvest Plots_rpt'!$B114,Tree!$B:$B,'Pre-Harvest Plots_rpt'!$D114,Tree!$F:$F,"D",Tree!$K:$K,"&lt;&gt;"&amp;"Y"))</f>
        <v/>
      </c>
      <c r="AC114" s="126" t="str">
        <f>IF(Z114="","",SUMIFS(Tree!$AM:$AM,Tree!$A:$A,'Pre-Harvest Plots_rpt'!$B114,Tree!$B:$B,'Pre-Harvest Plots_rpt'!$D114,Tree!$F:$F,"D",Tree!$K:$K,"&lt;&gt;"&amp;"Y"))</f>
        <v/>
      </c>
      <c r="AD114" s="162" t="str">
        <f>IF(Z114="","",SUMIFS(Tree!$AW:$AW,Tree!$A:$A,'Pre-Harvest Plots_rpt'!$B114,Tree!$B:$B,'Pre-Harvest Plots_rpt'!$D114,Tree!$F:$F,"D",Tree!$K:$K,"&lt;&gt;"&amp;"Y")/1000)</f>
        <v/>
      </c>
      <c r="AE114" s="47"/>
      <c r="AF114" s="18"/>
      <c r="AG114" s="18"/>
      <c r="AH114" s="18"/>
    </row>
    <row r="115" spans="1:34" ht="12.75" customHeight="1" x14ac:dyDescent="0.25">
      <c r="A115" s="48">
        <v>112</v>
      </c>
      <c r="B115" s="171" t="str">
        <f>IF(A115&lt;=SUM(Stand!$H$3:$H$29),VLOOKUP(A115,Stand!$A$3:$C$29,3,TRUE),"")</f>
        <v/>
      </c>
      <c r="C115" s="172" t="str">
        <f t="shared" si="4"/>
        <v/>
      </c>
      <c r="D115" s="173" t="str">
        <f>IF(B115="","",VLOOKUP(B115&amp;C115,Plot!$B$2:$D$199,3,FALSE))</f>
        <v/>
      </c>
      <c r="E115" s="130"/>
      <c r="F115" s="152" t="str">
        <f>IF(B115="","",SUMIFS(Tree!$O:$O,Tree!$A:$A,'Pre-Harvest Plots_rpt'!$B115,Tree!$B:$B,'Pre-Harvest Plots_rpt'!$D115,Tree!$F:$F,"L",Tree!$K:$K,"&lt;&gt;"&amp;"Y"))</f>
        <v/>
      </c>
      <c r="G115" s="153" t="str">
        <f>IFERROR(IF(D115="","",SUMIFS(Tree!$P:$P,Tree!$A:$A,'Pre-Harvest Plots_rpt'!$B115,Tree!$B:$B,'Pre-Harvest Plots_rpt'!$D115,Tree!$K:$K,"&lt;&gt;"&amp;"Y")/$F115),"")</f>
        <v/>
      </c>
      <c r="H115" s="122" t="str">
        <f t="shared" si="5"/>
        <v/>
      </c>
      <c r="I115" s="121" t="str">
        <f>IF(OR($F115=0,$F115=""),"",SUMIFS(Tree!$R:$R,Tree!$A:$A,'Pre-Harvest Plots_rpt'!$B115,Tree!$B:$B,'Pre-Harvest Plots_rpt'!$D115,Tree!$F:$F,"L",Tree!$K:$K,"&lt;&gt;"&amp;"Y"))</f>
        <v/>
      </c>
      <c r="J115" s="121" t="str">
        <f>IF(OR($F115=0,$F115=""),"",IF(SUMIFS(Tree!$W:$W,Tree!$A:$A,'Pre-Harvest Plots_rpt'!$B115,Tree!$B:$B,'Pre-Harvest Plots_rpt'!$D115,Tree!$F:$F,"L",Tree!$K:$K,"&lt;&gt;"&amp;"Y")=0,0,AVERAGEIFS(Tree!$W:$W,Tree!$A:$A,'Pre-Harvest Plots_rpt'!$B115,Tree!$B:$B,'Pre-Harvest Plots_rpt'!$D115,Tree!$F:$F,"L",Tree!$K:$K,"&lt;&gt;"&amp;"Y")))</f>
        <v/>
      </c>
      <c r="K115" s="121" t="str">
        <f>IF($F115="","",SUMIFS(Tree!$S:$S,Tree!$A:$A,'Pre-Harvest Plots_rpt'!$B115,Tree!$B:$B,'Pre-Harvest Plots_rpt'!$D115,Tree!$F:$F,"L",Tree!$K:$K,"&lt;&gt;"&amp;"Y"))</f>
        <v/>
      </c>
      <c r="L115" s="154" t="str">
        <f t="shared" si="6"/>
        <v/>
      </c>
      <c r="M115" s="135"/>
      <c r="N115" s="192" t="str">
        <f>IF(B115="","",SUMIFS(Tree!$AM:$AM,Tree!$A:$A,'Pre-Harvest Plots_rpt'!$B115,Tree!$B:$B,'Pre-Harvest Plots_rpt'!$D115,Tree!$F:$F,"L",Tree!$K:$K,"&lt;&gt;"&amp;"Y"))</f>
        <v/>
      </c>
      <c r="O115" s="122" t="str">
        <f>IF(B115="","",SUMIFS(Tree!$AN:$AN,Tree!$A:$A,'Pre-Harvest Plots_rpt'!$B115,Tree!$B:$B,'Pre-Harvest Plots_rpt'!$D115,Tree!$F:$F,"L",Tree!$K:$K,"&lt;&gt;"&amp;"Y"))</f>
        <v/>
      </c>
      <c r="P115" s="122" t="str">
        <f>IF(B115="","",SUMIFS(Tree!$AO:$AO,Tree!$A:$A,'Pre-Harvest Plots_rpt'!$B115,Tree!$B:$B,'Pre-Harvest Plots_rpt'!$D115,Tree!$F:$F,"L",Tree!$K:$K,"&lt;&gt;"&amp;"Y"))</f>
        <v/>
      </c>
      <c r="Q115" s="122" t="str">
        <f>IF(B115="","",SUMIFS(Tree!$AP:$AP,Tree!$A:$A,'Pre-Harvest Plots_rpt'!$B115,Tree!$B:$B,'Pre-Harvest Plots_rpt'!$D115,Tree!$F:$F,"L",Tree!$K:$K,"&lt;&gt;"&amp;"Y"))</f>
        <v/>
      </c>
      <c r="R115" s="123" t="str">
        <f>IF(B115="","",SUMIFS(Tree!$AQ:$AQ,Tree!$A:$A,'Pre-Harvest Plots_rpt'!$B115,Tree!$B:$B,'Pre-Harvest Plots_rpt'!$D115,Tree!$F:$F,"L",Tree!$K:$K,"&lt;&gt;"&amp;"Y"))</f>
        <v/>
      </c>
      <c r="S115" s="122" t="str">
        <f>IF(B115="","",SUMIFS(Tree!$AJ:$AJ,Tree!$A:$A,'Pre-Harvest Plots_rpt'!$B115,Tree!$B:$B,'Pre-Harvest Plots_rpt'!$D115,Tree!$F:$F,"L",Tree!$K:$K,"&lt;&gt;"&amp;"Y")-O115)</f>
        <v/>
      </c>
      <c r="T115" s="122" t="str">
        <f>IF(B115="","",SUMIFS(Tree!$AK:$AK,Tree!$A:$A,'Pre-Harvest Plots_rpt'!$B115,Tree!$B:$B,'Pre-Harvest Plots_rpt'!$D115,Tree!$F:$F,"L",Tree!$K:$K,"&lt;&gt;"&amp;"Y")-P115)</f>
        <v/>
      </c>
      <c r="U115" s="122" t="str">
        <f>IF(B115="","",SUMIFS(Tree!$AL:$AL,Tree!$A:$A,'Pre-Harvest Plots_rpt'!$B115,Tree!$B:$B,'Pre-Harvest Plots_rpt'!$D115,Tree!$F:$F,"L",Tree!$K:$K,"&lt;&gt;"&amp;"Y")-Q115)</f>
        <v/>
      </c>
      <c r="V115" s="123" t="str">
        <f>IF(B115="","",ROUND(SUMIFS(Tree!$AE:$AE,Tree!$A:$A,'Pre-Harvest Plots_rpt'!$B115,Tree!$B:$B,'Pre-Harvest Plots_rpt'!$D115,Tree!$F:$F,"L",Tree!$K:$K,"&lt;&gt;"&amp;"Y")-R115,1))</f>
        <v/>
      </c>
      <c r="W115" s="124" t="str">
        <f>IF(B115="","",SUMIFS(Tree!$AY:$AY,Tree!$A:$A,'Pre-Harvest Plots_rpt'!$B115,Tree!$B:$B,'Pre-Harvest Plots_rpt'!$D115,Tree!$F:$F,"L",Tree!$K:$K,"&lt;&gt;"&amp;"Y")/1000)</f>
        <v/>
      </c>
      <c r="X115" s="158" t="str">
        <f>IF(B115="","",ROUND((SUMIFS(Tree!$AW:$AW,Tree!$A:$A,'Pre-Harvest Plots_rpt'!$B115,Tree!$B:$B,'Pre-Harvest Plots_rpt'!$D115,Tree!$F:$F,"L",Tree!$K:$K,"&lt;&gt;"&amp;"Y")/1000)-W115,1))</f>
        <v/>
      </c>
      <c r="Y115" s="135"/>
      <c r="Z115" s="161" t="str">
        <f>IF(IF(B115="","",SUMIFS(Tree!$O:$O,Tree!$A:$A,'Pre-Harvest Plots_rpt'!$B115,Tree!$B:$B,'Pre-Harvest Plots_rpt'!$D115,Tree!$F:$F,"D",Tree!$K:$K,"&lt;&gt;"&amp;"Y"))=0,"",IF(B115="","",SUMIFS(Tree!$O:$O,Tree!$A:$A,'Pre-Harvest Plots_rpt'!$B115,Tree!$B:$B,'Pre-Harvest Plots_rpt'!$D115,Tree!$F:$F,"D",Tree!$K:$K,"&lt;&gt;"&amp;"Y")))</f>
        <v/>
      </c>
      <c r="AA115" s="125" t="str">
        <f t="shared" si="7"/>
        <v/>
      </c>
      <c r="AB115" s="125" t="str">
        <f>IF(Z115="","",SUMIFS(Tree!$R:$R,Tree!$A:$A,'Pre-Harvest Plots_rpt'!$B115,Tree!$B:$B,'Pre-Harvest Plots_rpt'!$D115,Tree!$F:$F,"D",Tree!$K:$K,"&lt;&gt;"&amp;"Y"))</f>
        <v/>
      </c>
      <c r="AC115" s="126" t="str">
        <f>IF(Z115="","",SUMIFS(Tree!$AM:$AM,Tree!$A:$A,'Pre-Harvest Plots_rpt'!$B115,Tree!$B:$B,'Pre-Harvest Plots_rpt'!$D115,Tree!$F:$F,"D",Tree!$K:$K,"&lt;&gt;"&amp;"Y"))</f>
        <v/>
      </c>
      <c r="AD115" s="162" t="str">
        <f>IF(Z115="","",SUMIFS(Tree!$AW:$AW,Tree!$A:$A,'Pre-Harvest Plots_rpt'!$B115,Tree!$B:$B,'Pre-Harvest Plots_rpt'!$D115,Tree!$F:$F,"D",Tree!$K:$K,"&lt;&gt;"&amp;"Y")/1000)</f>
        <v/>
      </c>
      <c r="AE115" s="47"/>
      <c r="AF115" s="18"/>
      <c r="AG115" s="18"/>
      <c r="AH115" s="18"/>
    </row>
    <row r="116" spans="1:34" ht="12.75" customHeight="1" x14ac:dyDescent="0.25">
      <c r="A116" s="48">
        <v>113</v>
      </c>
      <c r="B116" s="171" t="str">
        <f>IF(A116&lt;=SUM(Stand!$H$3:$H$29),VLOOKUP(A116,Stand!$A$3:$C$29,3,TRUE),"")</f>
        <v/>
      </c>
      <c r="C116" s="172" t="str">
        <f t="shared" si="4"/>
        <v/>
      </c>
      <c r="D116" s="173" t="str">
        <f>IF(B116="","",VLOOKUP(B116&amp;C116,Plot!$B$2:$D$199,3,FALSE))</f>
        <v/>
      </c>
      <c r="E116" s="130"/>
      <c r="F116" s="152" t="str">
        <f>IF(B116="","",SUMIFS(Tree!$O:$O,Tree!$A:$A,'Pre-Harvest Plots_rpt'!$B116,Tree!$B:$B,'Pre-Harvest Plots_rpt'!$D116,Tree!$F:$F,"L",Tree!$K:$K,"&lt;&gt;"&amp;"Y"))</f>
        <v/>
      </c>
      <c r="G116" s="153" t="str">
        <f>IFERROR(IF(D116="","",SUMIFS(Tree!$P:$P,Tree!$A:$A,'Pre-Harvest Plots_rpt'!$B116,Tree!$B:$B,'Pre-Harvest Plots_rpt'!$D116,Tree!$K:$K,"&lt;&gt;"&amp;"Y")/$F116),"")</f>
        <v/>
      </c>
      <c r="H116" s="122" t="str">
        <f t="shared" si="5"/>
        <v/>
      </c>
      <c r="I116" s="121" t="str">
        <f>IF(OR($F116=0,$F116=""),"",SUMIFS(Tree!$R:$R,Tree!$A:$A,'Pre-Harvest Plots_rpt'!$B116,Tree!$B:$B,'Pre-Harvest Plots_rpt'!$D116,Tree!$F:$F,"L",Tree!$K:$K,"&lt;&gt;"&amp;"Y"))</f>
        <v/>
      </c>
      <c r="J116" s="121" t="str">
        <f>IF(OR($F116=0,$F116=""),"",IF(SUMIFS(Tree!$W:$W,Tree!$A:$A,'Pre-Harvest Plots_rpt'!$B116,Tree!$B:$B,'Pre-Harvest Plots_rpt'!$D116,Tree!$F:$F,"L",Tree!$K:$K,"&lt;&gt;"&amp;"Y")=0,0,AVERAGEIFS(Tree!$W:$W,Tree!$A:$A,'Pre-Harvest Plots_rpt'!$B116,Tree!$B:$B,'Pre-Harvest Plots_rpt'!$D116,Tree!$F:$F,"L",Tree!$K:$K,"&lt;&gt;"&amp;"Y")))</f>
        <v/>
      </c>
      <c r="K116" s="121" t="str">
        <f>IF($F116="","",SUMIFS(Tree!$S:$S,Tree!$A:$A,'Pre-Harvest Plots_rpt'!$B116,Tree!$B:$B,'Pre-Harvest Plots_rpt'!$D116,Tree!$F:$F,"L",Tree!$K:$K,"&lt;&gt;"&amp;"Y"))</f>
        <v/>
      </c>
      <c r="L116" s="154" t="str">
        <f t="shared" si="6"/>
        <v/>
      </c>
      <c r="M116" s="135"/>
      <c r="N116" s="192" t="str">
        <f>IF(B116="","",SUMIFS(Tree!$AM:$AM,Tree!$A:$A,'Pre-Harvest Plots_rpt'!$B116,Tree!$B:$B,'Pre-Harvest Plots_rpt'!$D116,Tree!$F:$F,"L",Tree!$K:$K,"&lt;&gt;"&amp;"Y"))</f>
        <v/>
      </c>
      <c r="O116" s="122" t="str">
        <f>IF(B116="","",SUMIFS(Tree!$AN:$AN,Tree!$A:$A,'Pre-Harvest Plots_rpt'!$B116,Tree!$B:$B,'Pre-Harvest Plots_rpt'!$D116,Tree!$F:$F,"L",Tree!$K:$K,"&lt;&gt;"&amp;"Y"))</f>
        <v/>
      </c>
      <c r="P116" s="122" t="str">
        <f>IF(B116="","",SUMIFS(Tree!$AO:$AO,Tree!$A:$A,'Pre-Harvest Plots_rpt'!$B116,Tree!$B:$B,'Pre-Harvest Plots_rpt'!$D116,Tree!$F:$F,"L",Tree!$K:$K,"&lt;&gt;"&amp;"Y"))</f>
        <v/>
      </c>
      <c r="Q116" s="122" t="str">
        <f>IF(B116="","",SUMIFS(Tree!$AP:$AP,Tree!$A:$A,'Pre-Harvest Plots_rpt'!$B116,Tree!$B:$B,'Pre-Harvest Plots_rpt'!$D116,Tree!$F:$F,"L",Tree!$K:$K,"&lt;&gt;"&amp;"Y"))</f>
        <v/>
      </c>
      <c r="R116" s="123" t="str">
        <f>IF(B116="","",SUMIFS(Tree!$AQ:$AQ,Tree!$A:$A,'Pre-Harvest Plots_rpt'!$B116,Tree!$B:$B,'Pre-Harvest Plots_rpt'!$D116,Tree!$F:$F,"L",Tree!$K:$K,"&lt;&gt;"&amp;"Y"))</f>
        <v/>
      </c>
      <c r="S116" s="122" t="str">
        <f>IF(B116="","",SUMIFS(Tree!$AJ:$AJ,Tree!$A:$A,'Pre-Harvest Plots_rpt'!$B116,Tree!$B:$B,'Pre-Harvest Plots_rpt'!$D116,Tree!$F:$F,"L",Tree!$K:$K,"&lt;&gt;"&amp;"Y")-O116)</f>
        <v/>
      </c>
      <c r="T116" s="122" t="str">
        <f>IF(B116="","",SUMIFS(Tree!$AK:$AK,Tree!$A:$A,'Pre-Harvest Plots_rpt'!$B116,Tree!$B:$B,'Pre-Harvest Plots_rpt'!$D116,Tree!$F:$F,"L",Tree!$K:$K,"&lt;&gt;"&amp;"Y")-P116)</f>
        <v/>
      </c>
      <c r="U116" s="122" t="str">
        <f>IF(B116="","",SUMIFS(Tree!$AL:$AL,Tree!$A:$A,'Pre-Harvest Plots_rpt'!$B116,Tree!$B:$B,'Pre-Harvest Plots_rpt'!$D116,Tree!$F:$F,"L",Tree!$K:$K,"&lt;&gt;"&amp;"Y")-Q116)</f>
        <v/>
      </c>
      <c r="V116" s="123" t="str">
        <f>IF(B116="","",ROUND(SUMIFS(Tree!$AE:$AE,Tree!$A:$A,'Pre-Harvest Plots_rpt'!$B116,Tree!$B:$B,'Pre-Harvest Plots_rpt'!$D116,Tree!$F:$F,"L",Tree!$K:$K,"&lt;&gt;"&amp;"Y")-R116,1))</f>
        <v/>
      </c>
      <c r="W116" s="124" t="str">
        <f>IF(B116="","",SUMIFS(Tree!$AY:$AY,Tree!$A:$A,'Pre-Harvest Plots_rpt'!$B116,Tree!$B:$B,'Pre-Harvest Plots_rpt'!$D116,Tree!$F:$F,"L",Tree!$K:$K,"&lt;&gt;"&amp;"Y")/1000)</f>
        <v/>
      </c>
      <c r="X116" s="158" t="str">
        <f>IF(B116="","",ROUND((SUMIFS(Tree!$AW:$AW,Tree!$A:$A,'Pre-Harvest Plots_rpt'!$B116,Tree!$B:$B,'Pre-Harvest Plots_rpt'!$D116,Tree!$F:$F,"L",Tree!$K:$K,"&lt;&gt;"&amp;"Y")/1000)-W116,1))</f>
        <v/>
      </c>
      <c r="Y116" s="135"/>
      <c r="Z116" s="161" t="str">
        <f>IF(IF(B116="","",SUMIFS(Tree!$O:$O,Tree!$A:$A,'Pre-Harvest Plots_rpt'!$B116,Tree!$B:$B,'Pre-Harvest Plots_rpt'!$D116,Tree!$F:$F,"D",Tree!$K:$K,"&lt;&gt;"&amp;"Y"))=0,"",IF(B116="","",SUMIFS(Tree!$O:$O,Tree!$A:$A,'Pre-Harvest Plots_rpt'!$B116,Tree!$B:$B,'Pre-Harvest Plots_rpt'!$D116,Tree!$F:$F,"D",Tree!$K:$K,"&lt;&gt;"&amp;"Y")))</f>
        <v/>
      </c>
      <c r="AA116" s="125" t="str">
        <f t="shared" si="7"/>
        <v/>
      </c>
      <c r="AB116" s="125" t="str">
        <f>IF(Z116="","",SUMIFS(Tree!$R:$R,Tree!$A:$A,'Pre-Harvest Plots_rpt'!$B116,Tree!$B:$B,'Pre-Harvest Plots_rpt'!$D116,Tree!$F:$F,"D",Tree!$K:$K,"&lt;&gt;"&amp;"Y"))</f>
        <v/>
      </c>
      <c r="AC116" s="126" t="str">
        <f>IF(Z116="","",SUMIFS(Tree!$AM:$AM,Tree!$A:$A,'Pre-Harvest Plots_rpt'!$B116,Tree!$B:$B,'Pre-Harvest Plots_rpt'!$D116,Tree!$F:$F,"D",Tree!$K:$K,"&lt;&gt;"&amp;"Y"))</f>
        <v/>
      </c>
      <c r="AD116" s="162" t="str">
        <f>IF(Z116="","",SUMIFS(Tree!$AW:$AW,Tree!$A:$A,'Pre-Harvest Plots_rpt'!$B116,Tree!$B:$B,'Pre-Harvest Plots_rpt'!$D116,Tree!$F:$F,"D",Tree!$K:$K,"&lt;&gt;"&amp;"Y")/1000)</f>
        <v/>
      </c>
      <c r="AE116" s="47"/>
      <c r="AF116" s="18"/>
      <c r="AG116" s="18"/>
      <c r="AH116" s="18"/>
    </row>
    <row r="117" spans="1:34" ht="12.75" customHeight="1" x14ac:dyDescent="0.25">
      <c r="A117" s="48">
        <v>114</v>
      </c>
      <c r="B117" s="171" t="str">
        <f>IF(A117&lt;=SUM(Stand!$H$3:$H$29),VLOOKUP(A117,Stand!$A$3:$C$29,3,TRUE),"")</f>
        <v/>
      </c>
      <c r="C117" s="172" t="str">
        <f t="shared" si="4"/>
        <v/>
      </c>
      <c r="D117" s="173" t="str">
        <f>IF(B117="","",VLOOKUP(B117&amp;C117,Plot!$B$2:$D$199,3,FALSE))</f>
        <v/>
      </c>
      <c r="E117" s="130"/>
      <c r="F117" s="152" t="str">
        <f>IF(B117="","",SUMIFS(Tree!$O:$O,Tree!$A:$A,'Pre-Harvest Plots_rpt'!$B117,Tree!$B:$B,'Pre-Harvest Plots_rpt'!$D117,Tree!$F:$F,"L",Tree!$K:$K,"&lt;&gt;"&amp;"Y"))</f>
        <v/>
      </c>
      <c r="G117" s="153" t="str">
        <f>IFERROR(IF(D117="","",SUMIFS(Tree!$P:$P,Tree!$A:$A,'Pre-Harvest Plots_rpt'!$B117,Tree!$B:$B,'Pre-Harvest Plots_rpt'!$D117,Tree!$K:$K,"&lt;&gt;"&amp;"Y")/$F117),"")</f>
        <v/>
      </c>
      <c r="H117" s="122" t="str">
        <f t="shared" si="5"/>
        <v/>
      </c>
      <c r="I117" s="121" t="str">
        <f>IF(OR($F117=0,$F117=""),"",SUMIFS(Tree!$R:$R,Tree!$A:$A,'Pre-Harvest Plots_rpt'!$B117,Tree!$B:$B,'Pre-Harvest Plots_rpt'!$D117,Tree!$F:$F,"L",Tree!$K:$K,"&lt;&gt;"&amp;"Y"))</f>
        <v/>
      </c>
      <c r="J117" s="121" t="str">
        <f>IF(OR($F117=0,$F117=""),"",IF(SUMIFS(Tree!$W:$W,Tree!$A:$A,'Pre-Harvest Plots_rpt'!$B117,Tree!$B:$B,'Pre-Harvest Plots_rpt'!$D117,Tree!$F:$F,"L",Tree!$K:$K,"&lt;&gt;"&amp;"Y")=0,0,AVERAGEIFS(Tree!$W:$W,Tree!$A:$A,'Pre-Harvest Plots_rpt'!$B117,Tree!$B:$B,'Pre-Harvest Plots_rpt'!$D117,Tree!$F:$F,"L",Tree!$K:$K,"&lt;&gt;"&amp;"Y")))</f>
        <v/>
      </c>
      <c r="K117" s="121" t="str">
        <f>IF($F117="","",SUMIFS(Tree!$S:$S,Tree!$A:$A,'Pre-Harvest Plots_rpt'!$B117,Tree!$B:$B,'Pre-Harvest Plots_rpt'!$D117,Tree!$F:$F,"L",Tree!$K:$K,"&lt;&gt;"&amp;"Y"))</f>
        <v/>
      </c>
      <c r="L117" s="154" t="str">
        <f t="shared" si="6"/>
        <v/>
      </c>
      <c r="M117" s="135"/>
      <c r="N117" s="192" t="str">
        <f>IF(B117="","",SUMIFS(Tree!$AM:$AM,Tree!$A:$A,'Pre-Harvest Plots_rpt'!$B117,Tree!$B:$B,'Pre-Harvest Plots_rpt'!$D117,Tree!$F:$F,"L",Tree!$K:$K,"&lt;&gt;"&amp;"Y"))</f>
        <v/>
      </c>
      <c r="O117" s="122" t="str">
        <f>IF(B117="","",SUMIFS(Tree!$AN:$AN,Tree!$A:$A,'Pre-Harvest Plots_rpt'!$B117,Tree!$B:$B,'Pre-Harvest Plots_rpt'!$D117,Tree!$F:$F,"L",Tree!$K:$K,"&lt;&gt;"&amp;"Y"))</f>
        <v/>
      </c>
      <c r="P117" s="122" t="str">
        <f>IF(B117="","",SUMIFS(Tree!$AO:$AO,Tree!$A:$A,'Pre-Harvest Plots_rpt'!$B117,Tree!$B:$B,'Pre-Harvest Plots_rpt'!$D117,Tree!$F:$F,"L",Tree!$K:$K,"&lt;&gt;"&amp;"Y"))</f>
        <v/>
      </c>
      <c r="Q117" s="122" t="str">
        <f>IF(B117="","",SUMIFS(Tree!$AP:$AP,Tree!$A:$A,'Pre-Harvest Plots_rpt'!$B117,Tree!$B:$B,'Pre-Harvest Plots_rpt'!$D117,Tree!$F:$F,"L",Tree!$K:$K,"&lt;&gt;"&amp;"Y"))</f>
        <v/>
      </c>
      <c r="R117" s="123" t="str">
        <f>IF(B117="","",SUMIFS(Tree!$AQ:$AQ,Tree!$A:$A,'Pre-Harvest Plots_rpt'!$B117,Tree!$B:$B,'Pre-Harvest Plots_rpt'!$D117,Tree!$F:$F,"L",Tree!$K:$K,"&lt;&gt;"&amp;"Y"))</f>
        <v/>
      </c>
      <c r="S117" s="122" t="str">
        <f>IF(B117="","",SUMIFS(Tree!$AJ:$AJ,Tree!$A:$A,'Pre-Harvest Plots_rpt'!$B117,Tree!$B:$B,'Pre-Harvest Plots_rpt'!$D117,Tree!$F:$F,"L",Tree!$K:$K,"&lt;&gt;"&amp;"Y")-O117)</f>
        <v/>
      </c>
      <c r="T117" s="122" t="str">
        <f>IF(B117="","",SUMIFS(Tree!$AK:$AK,Tree!$A:$A,'Pre-Harvest Plots_rpt'!$B117,Tree!$B:$B,'Pre-Harvest Plots_rpt'!$D117,Tree!$F:$F,"L",Tree!$K:$K,"&lt;&gt;"&amp;"Y")-P117)</f>
        <v/>
      </c>
      <c r="U117" s="122" t="str">
        <f>IF(B117="","",SUMIFS(Tree!$AL:$AL,Tree!$A:$A,'Pre-Harvest Plots_rpt'!$B117,Tree!$B:$B,'Pre-Harvest Plots_rpt'!$D117,Tree!$F:$F,"L",Tree!$K:$K,"&lt;&gt;"&amp;"Y")-Q117)</f>
        <v/>
      </c>
      <c r="V117" s="123" t="str">
        <f>IF(B117="","",ROUND(SUMIFS(Tree!$AE:$AE,Tree!$A:$A,'Pre-Harvest Plots_rpt'!$B117,Tree!$B:$B,'Pre-Harvest Plots_rpt'!$D117,Tree!$F:$F,"L",Tree!$K:$K,"&lt;&gt;"&amp;"Y")-R117,1))</f>
        <v/>
      </c>
      <c r="W117" s="124" t="str">
        <f>IF(B117="","",SUMIFS(Tree!$AY:$AY,Tree!$A:$A,'Pre-Harvest Plots_rpt'!$B117,Tree!$B:$B,'Pre-Harvest Plots_rpt'!$D117,Tree!$F:$F,"L",Tree!$K:$K,"&lt;&gt;"&amp;"Y")/1000)</f>
        <v/>
      </c>
      <c r="X117" s="158" t="str">
        <f>IF(B117="","",ROUND((SUMIFS(Tree!$AW:$AW,Tree!$A:$A,'Pre-Harvest Plots_rpt'!$B117,Tree!$B:$B,'Pre-Harvest Plots_rpt'!$D117,Tree!$F:$F,"L",Tree!$K:$K,"&lt;&gt;"&amp;"Y")/1000)-W117,1))</f>
        <v/>
      </c>
      <c r="Y117" s="135"/>
      <c r="Z117" s="161" t="str">
        <f>IF(IF(B117="","",SUMIFS(Tree!$O:$O,Tree!$A:$A,'Pre-Harvest Plots_rpt'!$B117,Tree!$B:$B,'Pre-Harvest Plots_rpt'!$D117,Tree!$F:$F,"D",Tree!$K:$K,"&lt;&gt;"&amp;"Y"))=0,"",IF(B117="","",SUMIFS(Tree!$O:$O,Tree!$A:$A,'Pre-Harvest Plots_rpt'!$B117,Tree!$B:$B,'Pre-Harvest Plots_rpt'!$D117,Tree!$F:$F,"D",Tree!$K:$K,"&lt;&gt;"&amp;"Y")))</f>
        <v/>
      </c>
      <c r="AA117" s="125" t="str">
        <f t="shared" si="7"/>
        <v/>
      </c>
      <c r="AB117" s="125" t="str">
        <f>IF(Z117="","",SUMIFS(Tree!$R:$R,Tree!$A:$A,'Pre-Harvest Plots_rpt'!$B117,Tree!$B:$B,'Pre-Harvest Plots_rpt'!$D117,Tree!$F:$F,"D",Tree!$K:$K,"&lt;&gt;"&amp;"Y"))</f>
        <v/>
      </c>
      <c r="AC117" s="126" t="str">
        <f>IF(Z117="","",SUMIFS(Tree!$AM:$AM,Tree!$A:$A,'Pre-Harvest Plots_rpt'!$B117,Tree!$B:$B,'Pre-Harvest Plots_rpt'!$D117,Tree!$F:$F,"D",Tree!$K:$K,"&lt;&gt;"&amp;"Y"))</f>
        <v/>
      </c>
      <c r="AD117" s="162" t="str">
        <f>IF(Z117="","",SUMIFS(Tree!$AW:$AW,Tree!$A:$A,'Pre-Harvest Plots_rpt'!$B117,Tree!$B:$B,'Pre-Harvest Plots_rpt'!$D117,Tree!$F:$F,"D",Tree!$K:$K,"&lt;&gt;"&amp;"Y")/1000)</f>
        <v/>
      </c>
      <c r="AE117" s="47"/>
      <c r="AF117" s="18"/>
      <c r="AG117" s="18"/>
      <c r="AH117" s="18"/>
    </row>
    <row r="118" spans="1:34" ht="12.75" customHeight="1" x14ac:dyDescent="0.25">
      <c r="A118" s="48">
        <v>115</v>
      </c>
      <c r="B118" s="171" t="str">
        <f>IF(A118&lt;=SUM(Stand!$H$3:$H$29),VLOOKUP(A118,Stand!$A$3:$C$29,3,TRUE),"")</f>
        <v/>
      </c>
      <c r="C118" s="172" t="str">
        <f t="shared" si="4"/>
        <v/>
      </c>
      <c r="D118" s="173" t="str">
        <f>IF(B118="","",VLOOKUP(B118&amp;C118,Plot!$B$2:$D$199,3,FALSE))</f>
        <v/>
      </c>
      <c r="E118" s="130"/>
      <c r="F118" s="152" t="str">
        <f>IF(B118="","",SUMIFS(Tree!$O:$O,Tree!$A:$A,'Pre-Harvest Plots_rpt'!$B118,Tree!$B:$B,'Pre-Harvest Plots_rpt'!$D118,Tree!$F:$F,"L",Tree!$K:$K,"&lt;&gt;"&amp;"Y"))</f>
        <v/>
      </c>
      <c r="G118" s="153" t="str">
        <f>IFERROR(IF(D118="","",SUMIFS(Tree!$P:$P,Tree!$A:$A,'Pre-Harvest Plots_rpt'!$B118,Tree!$B:$B,'Pre-Harvest Plots_rpt'!$D118,Tree!$K:$K,"&lt;&gt;"&amp;"Y")/$F118),"")</f>
        <v/>
      </c>
      <c r="H118" s="122" t="str">
        <f t="shared" si="5"/>
        <v/>
      </c>
      <c r="I118" s="121" t="str">
        <f>IF(OR($F118=0,$F118=""),"",SUMIFS(Tree!$R:$R,Tree!$A:$A,'Pre-Harvest Plots_rpt'!$B118,Tree!$B:$B,'Pre-Harvest Plots_rpt'!$D118,Tree!$F:$F,"L",Tree!$K:$K,"&lt;&gt;"&amp;"Y"))</f>
        <v/>
      </c>
      <c r="J118" s="121" t="str">
        <f>IF(OR($F118=0,$F118=""),"",IF(SUMIFS(Tree!$W:$W,Tree!$A:$A,'Pre-Harvest Plots_rpt'!$B118,Tree!$B:$B,'Pre-Harvest Plots_rpt'!$D118,Tree!$F:$F,"L",Tree!$K:$K,"&lt;&gt;"&amp;"Y")=0,0,AVERAGEIFS(Tree!$W:$W,Tree!$A:$A,'Pre-Harvest Plots_rpt'!$B118,Tree!$B:$B,'Pre-Harvest Plots_rpt'!$D118,Tree!$F:$F,"L",Tree!$K:$K,"&lt;&gt;"&amp;"Y")))</f>
        <v/>
      </c>
      <c r="K118" s="121" t="str">
        <f>IF($F118="","",SUMIFS(Tree!$S:$S,Tree!$A:$A,'Pre-Harvest Plots_rpt'!$B118,Tree!$B:$B,'Pre-Harvest Plots_rpt'!$D118,Tree!$F:$F,"L",Tree!$K:$K,"&lt;&gt;"&amp;"Y"))</f>
        <v/>
      </c>
      <c r="L118" s="154" t="str">
        <f t="shared" si="6"/>
        <v/>
      </c>
      <c r="M118" s="135"/>
      <c r="N118" s="192" t="str">
        <f>IF(B118="","",SUMIFS(Tree!$AM:$AM,Tree!$A:$A,'Pre-Harvest Plots_rpt'!$B118,Tree!$B:$B,'Pre-Harvest Plots_rpt'!$D118,Tree!$F:$F,"L",Tree!$K:$K,"&lt;&gt;"&amp;"Y"))</f>
        <v/>
      </c>
      <c r="O118" s="122" t="str">
        <f>IF(B118="","",SUMIFS(Tree!$AN:$AN,Tree!$A:$A,'Pre-Harvest Plots_rpt'!$B118,Tree!$B:$B,'Pre-Harvest Plots_rpt'!$D118,Tree!$F:$F,"L",Tree!$K:$K,"&lt;&gt;"&amp;"Y"))</f>
        <v/>
      </c>
      <c r="P118" s="122" t="str">
        <f>IF(B118="","",SUMIFS(Tree!$AO:$AO,Tree!$A:$A,'Pre-Harvest Plots_rpt'!$B118,Tree!$B:$B,'Pre-Harvest Plots_rpt'!$D118,Tree!$F:$F,"L",Tree!$K:$K,"&lt;&gt;"&amp;"Y"))</f>
        <v/>
      </c>
      <c r="Q118" s="122" t="str">
        <f>IF(B118="","",SUMIFS(Tree!$AP:$AP,Tree!$A:$A,'Pre-Harvest Plots_rpt'!$B118,Tree!$B:$B,'Pre-Harvest Plots_rpt'!$D118,Tree!$F:$F,"L",Tree!$K:$K,"&lt;&gt;"&amp;"Y"))</f>
        <v/>
      </c>
      <c r="R118" s="123" t="str">
        <f>IF(B118="","",SUMIFS(Tree!$AQ:$AQ,Tree!$A:$A,'Pre-Harvest Plots_rpt'!$B118,Tree!$B:$B,'Pre-Harvest Plots_rpt'!$D118,Tree!$F:$F,"L",Tree!$K:$K,"&lt;&gt;"&amp;"Y"))</f>
        <v/>
      </c>
      <c r="S118" s="122" t="str">
        <f>IF(B118="","",SUMIFS(Tree!$AJ:$AJ,Tree!$A:$A,'Pre-Harvest Plots_rpt'!$B118,Tree!$B:$B,'Pre-Harvest Plots_rpt'!$D118,Tree!$F:$F,"L",Tree!$K:$K,"&lt;&gt;"&amp;"Y")-O118)</f>
        <v/>
      </c>
      <c r="T118" s="122" t="str">
        <f>IF(B118="","",SUMIFS(Tree!$AK:$AK,Tree!$A:$A,'Pre-Harvest Plots_rpt'!$B118,Tree!$B:$B,'Pre-Harvest Plots_rpt'!$D118,Tree!$F:$F,"L",Tree!$K:$K,"&lt;&gt;"&amp;"Y")-P118)</f>
        <v/>
      </c>
      <c r="U118" s="122" t="str">
        <f>IF(B118="","",SUMIFS(Tree!$AL:$AL,Tree!$A:$A,'Pre-Harvest Plots_rpt'!$B118,Tree!$B:$B,'Pre-Harvest Plots_rpt'!$D118,Tree!$F:$F,"L",Tree!$K:$K,"&lt;&gt;"&amp;"Y")-Q118)</f>
        <v/>
      </c>
      <c r="V118" s="123" t="str">
        <f>IF(B118="","",ROUND(SUMIFS(Tree!$AE:$AE,Tree!$A:$A,'Pre-Harvest Plots_rpt'!$B118,Tree!$B:$B,'Pre-Harvest Plots_rpt'!$D118,Tree!$F:$F,"L",Tree!$K:$K,"&lt;&gt;"&amp;"Y")-R118,1))</f>
        <v/>
      </c>
      <c r="W118" s="124" t="str">
        <f>IF(B118="","",SUMIFS(Tree!$AY:$AY,Tree!$A:$A,'Pre-Harvest Plots_rpt'!$B118,Tree!$B:$B,'Pre-Harvest Plots_rpt'!$D118,Tree!$F:$F,"L",Tree!$K:$K,"&lt;&gt;"&amp;"Y")/1000)</f>
        <v/>
      </c>
      <c r="X118" s="158" t="str">
        <f>IF(B118="","",ROUND((SUMIFS(Tree!$AW:$AW,Tree!$A:$A,'Pre-Harvest Plots_rpt'!$B118,Tree!$B:$B,'Pre-Harvest Plots_rpt'!$D118,Tree!$F:$F,"L",Tree!$K:$K,"&lt;&gt;"&amp;"Y")/1000)-W118,1))</f>
        <v/>
      </c>
      <c r="Y118" s="135"/>
      <c r="Z118" s="161" t="str">
        <f>IF(IF(B118="","",SUMIFS(Tree!$O:$O,Tree!$A:$A,'Pre-Harvest Plots_rpt'!$B118,Tree!$B:$B,'Pre-Harvest Plots_rpt'!$D118,Tree!$F:$F,"D",Tree!$K:$K,"&lt;&gt;"&amp;"Y"))=0,"",IF(B118="","",SUMIFS(Tree!$O:$O,Tree!$A:$A,'Pre-Harvest Plots_rpt'!$B118,Tree!$B:$B,'Pre-Harvest Plots_rpt'!$D118,Tree!$F:$F,"D",Tree!$K:$K,"&lt;&gt;"&amp;"Y")))</f>
        <v/>
      </c>
      <c r="AA118" s="125" t="str">
        <f t="shared" si="7"/>
        <v/>
      </c>
      <c r="AB118" s="125" t="str">
        <f>IF(Z118="","",SUMIFS(Tree!$R:$R,Tree!$A:$A,'Pre-Harvest Plots_rpt'!$B118,Tree!$B:$B,'Pre-Harvest Plots_rpt'!$D118,Tree!$F:$F,"D",Tree!$K:$K,"&lt;&gt;"&amp;"Y"))</f>
        <v/>
      </c>
      <c r="AC118" s="126" t="str">
        <f>IF(Z118="","",SUMIFS(Tree!$AM:$AM,Tree!$A:$A,'Pre-Harvest Plots_rpt'!$B118,Tree!$B:$B,'Pre-Harvest Plots_rpt'!$D118,Tree!$F:$F,"D",Tree!$K:$K,"&lt;&gt;"&amp;"Y"))</f>
        <v/>
      </c>
      <c r="AD118" s="162" t="str">
        <f>IF(Z118="","",SUMIFS(Tree!$AW:$AW,Tree!$A:$A,'Pre-Harvest Plots_rpt'!$B118,Tree!$B:$B,'Pre-Harvest Plots_rpt'!$D118,Tree!$F:$F,"D",Tree!$K:$K,"&lt;&gt;"&amp;"Y")/1000)</f>
        <v/>
      </c>
      <c r="AE118" s="47"/>
      <c r="AF118" s="18"/>
      <c r="AG118" s="18"/>
      <c r="AH118" s="18"/>
    </row>
    <row r="119" spans="1:34" ht="12.75" customHeight="1" x14ac:dyDescent="0.25">
      <c r="A119" s="48">
        <v>116</v>
      </c>
      <c r="B119" s="171" t="str">
        <f>IF(A119&lt;=SUM(Stand!$H$3:$H$29),VLOOKUP(A119,Stand!$A$3:$C$29,3,TRUE),"")</f>
        <v/>
      </c>
      <c r="C119" s="172" t="str">
        <f t="shared" si="4"/>
        <v/>
      </c>
      <c r="D119" s="173" t="str">
        <f>IF(B119="","",VLOOKUP(B119&amp;C119,Plot!$B$2:$D$199,3,FALSE))</f>
        <v/>
      </c>
      <c r="E119" s="130"/>
      <c r="F119" s="152" t="str">
        <f>IF(B119="","",SUMIFS(Tree!$O:$O,Tree!$A:$A,'Pre-Harvest Plots_rpt'!$B119,Tree!$B:$B,'Pre-Harvest Plots_rpt'!$D119,Tree!$F:$F,"L",Tree!$K:$K,"&lt;&gt;"&amp;"Y"))</f>
        <v/>
      </c>
      <c r="G119" s="153" t="str">
        <f>IFERROR(IF(D119="","",SUMIFS(Tree!$P:$P,Tree!$A:$A,'Pre-Harvest Plots_rpt'!$B119,Tree!$B:$B,'Pre-Harvest Plots_rpt'!$D119,Tree!$K:$K,"&lt;&gt;"&amp;"Y")/$F119),"")</f>
        <v/>
      </c>
      <c r="H119" s="122" t="str">
        <f t="shared" si="5"/>
        <v/>
      </c>
      <c r="I119" s="121" t="str">
        <f>IF(OR($F119=0,$F119=""),"",SUMIFS(Tree!$R:$R,Tree!$A:$A,'Pre-Harvest Plots_rpt'!$B119,Tree!$B:$B,'Pre-Harvest Plots_rpt'!$D119,Tree!$F:$F,"L",Tree!$K:$K,"&lt;&gt;"&amp;"Y"))</f>
        <v/>
      </c>
      <c r="J119" s="121" t="str">
        <f>IF(OR($F119=0,$F119=""),"",IF(SUMIFS(Tree!$W:$W,Tree!$A:$A,'Pre-Harvest Plots_rpt'!$B119,Tree!$B:$B,'Pre-Harvest Plots_rpt'!$D119,Tree!$F:$F,"L",Tree!$K:$K,"&lt;&gt;"&amp;"Y")=0,0,AVERAGEIFS(Tree!$W:$W,Tree!$A:$A,'Pre-Harvest Plots_rpt'!$B119,Tree!$B:$B,'Pre-Harvest Plots_rpt'!$D119,Tree!$F:$F,"L",Tree!$K:$K,"&lt;&gt;"&amp;"Y")))</f>
        <v/>
      </c>
      <c r="K119" s="121" t="str">
        <f>IF($F119="","",SUMIFS(Tree!$S:$S,Tree!$A:$A,'Pre-Harvest Plots_rpt'!$B119,Tree!$B:$B,'Pre-Harvest Plots_rpt'!$D119,Tree!$F:$F,"L",Tree!$K:$K,"&lt;&gt;"&amp;"Y"))</f>
        <v/>
      </c>
      <c r="L119" s="154" t="str">
        <f t="shared" si="6"/>
        <v/>
      </c>
      <c r="M119" s="135"/>
      <c r="N119" s="192" t="str">
        <f>IF(B119="","",SUMIFS(Tree!$AM:$AM,Tree!$A:$A,'Pre-Harvest Plots_rpt'!$B119,Tree!$B:$B,'Pre-Harvest Plots_rpt'!$D119,Tree!$F:$F,"L",Tree!$K:$K,"&lt;&gt;"&amp;"Y"))</f>
        <v/>
      </c>
      <c r="O119" s="122" t="str">
        <f>IF(B119="","",SUMIFS(Tree!$AN:$AN,Tree!$A:$A,'Pre-Harvest Plots_rpt'!$B119,Tree!$B:$B,'Pre-Harvest Plots_rpt'!$D119,Tree!$F:$F,"L",Tree!$K:$K,"&lt;&gt;"&amp;"Y"))</f>
        <v/>
      </c>
      <c r="P119" s="122" t="str">
        <f>IF(B119="","",SUMIFS(Tree!$AO:$AO,Tree!$A:$A,'Pre-Harvest Plots_rpt'!$B119,Tree!$B:$B,'Pre-Harvest Plots_rpt'!$D119,Tree!$F:$F,"L",Tree!$K:$K,"&lt;&gt;"&amp;"Y"))</f>
        <v/>
      </c>
      <c r="Q119" s="122" t="str">
        <f>IF(B119="","",SUMIFS(Tree!$AP:$AP,Tree!$A:$A,'Pre-Harvest Plots_rpt'!$B119,Tree!$B:$B,'Pre-Harvest Plots_rpt'!$D119,Tree!$F:$F,"L",Tree!$K:$K,"&lt;&gt;"&amp;"Y"))</f>
        <v/>
      </c>
      <c r="R119" s="123" t="str">
        <f>IF(B119="","",SUMIFS(Tree!$AQ:$AQ,Tree!$A:$A,'Pre-Harvest Plots_rpt'!$B119,Tree!$B:$B,'Pre-Harvest Plots_rpt'!$D119,Tree!$F:$F,"L",Tree!$K:$K,"&lt;&gt;"&amp;"Y"))</f>
        <v/>
      </c>
      <c r="S119" s="122" t="str">
        <f>IF(B119="","",SUMIFS(Tree!$AJ:$AJ,Tree!$A:$A,'Pre-Harvest Plots_rpt'!$B119,Tree!$B:$B,'Pre-Harvest Plots_rpt'!$D119,Tree!$F:$F,"L",Tree!$K:$K,"&lt;&gt;"&amp;"Y")-O119)</f>
        <v/>
      </c>
      <c r="T119" s="122" t="str">
        <f>IF(B119="","",SUMIFS(Tree!$AK:$AK,Tree!$A:$A,'Pre-Harvest Plots_rpt'!$B119,Tree!$B:$B,'Pre-Harvest Plots_rpt'!$D119,Tree!$F:$F,"L",Tree!$K:$K,"&lt;&gt;"&amp;"Y")-P119)</f>
        <v/>
      </c>
      <c r="U119" s="122" t="str">
        <f>IF(B119="","",SUMIFS(Tree!$AL:$AL,Tree!$A:$A,'Pre-Harvest Plots_rpt'!$B119,Tree!$B:$B,'Pre-Harvest Plots_rpt'!$D119,Tree!$F:$F,"L",Tree!$K:$K,"&lt;&gt;"&amp;"Y")-Q119)</f>
        <v/>
      </c>
      <c r="V119" s="123" t="str">
        <f>IF(B119="","",ROUND(SUMIFS(Tree!$AE:$AE,Tree!$A:$A,'Pre-Harvest Plots_rpt'!$B119,Tree!$B:$B,'Pre-Harvest Plots_rpt'!$D119,Tree!$F:$F,"L",Tree!$K:$K,"&lt;&gt;"&amp;"Y")-R119,1))</f>
        <v/>
      </c>
      <c r="W119" s="124" t="str">
        <f>IF(B119="","",SUMIFS(Tree!$AY:$AY,Tree!$A:$A,'Pre-Harvest Plots_rpt'!$B119,Tree!$B:$B,'Pre-Harvest Plots_rpt'!$D119,Tree!$F:$F,"L",Tree!$K:$K,"&lt;&gt;"&amp;"Y")/1000)</f>
        <v/>
      </c>
      <c r="X119" s="158" t="str">
        <f>IF(B119="","",ROUND((SUMIFS(Tree!$AW:$AW,Tree!$A:$A,'Pre-Harvest Plots_rpt'!$B119,Tree!$B:$B,'Pre-Harvest Plots_rpt'!$D119,Tree!$F:$F,"L",Tree!$K:$K,"&lt;&gt;"&amp;"Y")/1000)-W119,1))</f>
        <v/>
      </c>
      <c r="Y119" s="135"/>
      <c r="Z119" s="161" t="str">
        <f>IF(IF(B119="","",SUMIFS(Tree!$O:$O,Tree!$A:$A,'Pre-Harvest Plots_rpt'!$B119,Tree!$B:$B,'Pre-Harvest Plots_rpt'!$D119,Tree!$F:$F,"D",Tree!$K:$K,"&lt;&gt;"&amp;"Y"))=0,"",IF(B119="","",SUMIFS(Tree!$O:$O,Tree!$A:$A,'Pre-Harvest Plots_rpt'!$B119,Tree!$B:$B,'Pre-Harvest Plots_rpt'!$D119,Tree!$F:$F,"D",Tree!$K:$K,"&lt;&gt;"&amp;"Y")))</f>
        <v/>
      </c>
      <c r="AA119" s="125" t="str">
        <f t="shared" si="7"/>
        <v/>
      </c>
      <c r="AB119" s="125" t="str">
        <f>IF(Z119="","",SUMIFS(Tree!$R:$R,Tree!$A:$A,'Pre-Harvest Plots_rpt'!$B119,Tree!$B:$B,'Pre-Harvest Plots_rpt'!$D119,Tree!$F:$F,"D",Tree!$K:$K,"&lt;&gt;"&amp;"Y"))</f>
        <v/>
      </c>
      <c r="AC119" s="126" t="str">
        <f>IF(Z119="","",SUMIFS(Tree!$AM:$AM,Tree!$A:$A,'Pre-Harvest Plots_rpt'!$B119,Tree!$B:$B,'Pre-Harvest Plots_rpt'!$D119,Tree!$F:$F,"D",Tree!$K:$K,"&lt;&gt;"&amp;"Y"))</f>
        <v/>
      </c>
      <c r="AD119" s="162" t="str">
        <f>IF(Z119="","",SUMIFS(Tree!$AW:$AW,Tree!$A:$A,'Pre-Harvest Plots_rpt'!$B119,Tree!$B:$B,'Pre-Harvest Plots_rpt'!$D119,Tree!$F:$F,"D",Tree!$K:$K,"&lt;&gt;"&amp;"Y")/1000)</f>
        <v/>
      </c>
      <c r="AE119" s="47"/>
      <c r="AF119" s="18"/>
      <c r="AG119" s="18"/>
      <c r="AH119" s="18"/>
    </row>
    <row r="120" spans="1:34" ht="12.75" customHeight="1" x14ac:dyDescent="0.25">
      <c r="A120" s="48">
        <v>117</v>
      </c>
      <c r="B120" s="171" t="str">
        <f>IF(A120&lt;=SUM(Stand!$H$3:$H$29),VLOOKUP(A120,Stand!$A$3:$C$29,3,TRUE),"")</f>
        <v/>
      </c>
      <c r="C120" s="172" t="str">
        <f t="shared" si="4"/>
        <v/>
      </c>
      <c r="D120" s="173" t="str">
        <f>IF(B120="","",VLOOKUP(B120&amp;C120,Plot!$B$2:$D$199,3,FALSE))</f>
        <v/>
      </c>
      <c r="E120" s="130"/>
      <c r="F120" s="152" t="str">
        <f>IF(B120="","",SUMIFS(Tree!$O:$O,Tree!$A:$A,'Pre-Harvest Plots_rpt'!$B120,Tree!$B:$B,'Pre-Harvest Plots_rpt'!$D120,Tree!$F:$F,"L",Tree!$K:$K,"&lt;&gt;"&amp;"Y"))</f>
        <v/>
      </c>
      <c r="G120" s="153" t="str">
        <f>IFERROR(IF(D120="","",SUMIFS(Tree!$P:$P,Tree!$A:$A,'Pre-Harvest Plots_rpt'!$B120,Tree!$B:$B,'Pre-Harvest Plots_rpt'!$D120,Tree!$K:$K,"&lt;&gt;"&amp;"Y")/$F120),"")</f>
        <v/>
      </c>
      <c r="H120" s="122" t="str">
        <f t="shared" si="5"/>
        <v/>
      </c>
      <c r="I120" s="121" t="str">
        <f>IF(OR($F120=0,$F120=""),"",SUMIFS(Tree!$R:$R,Tree!$A:$A,'Pre-Harvest Plots_rpt'!$B120,Tree!$B:$B,'Pre-Harvest Plots_rpt'!$D120,Tree!$F:$F,"L",Tree!$K:$K,"&lt;&gt;"&amp;"Y"))</f>
        <v/>
      </c>
      <c r="J120" s="121" t="str">
        <f>IF(OR($F120=0,$F120=""),"",IF(SUMIFS(Tree!$W:$W,Tree!$A:$A,'Pre-Harvest Plots_rpt'!$B120,Tree!$B:$B,'Pre-Harvest Plots_rpt'!$D120,Tree!$F:$F,"L",Tree!$K:$K,"&lt;&gt;"&amp;"Y")=0,0,AVERAGEIFS(Tree!$W:$W,Tree!$A:$A,'Pre-Harvest Plots_rpt'!$B120,Tree!$B:$B,'Pre-Harvest Plots_rpt'!$D120,Tree!$F:$F,"L",Tree!$K:$K,"&lt;&gt;"&amp;"Y")))</f>
        <v/>
      </c>
      <c r="K120" s="121" t="str">
        <f>IF($F120="","",SUMIFS(Tree!$S:$S,Tree!$A:$A,'Pre-Harvest Plots_rpt'!$B120,Tree!$B:$B,'Pre-Harvest Plots_rpt'!$D120,Tree!$F:$F,"L",Tree!$K:$K,"&lt;&gt;"&amp;"Y"))</f>
        <v/>
      </c>
      <c r="L120" s="154" t="str">
        <f t="shared" si="6"/>
        <v/>
      </c>
      <c r="M120" s="135"/>
      <c r="N120" s="192" t="str">
        <f>IF(B120="","",SUMIFS(Tree!$AM:$AM,Tree!$A:$A,'Pre-Harvest Plots_rpt'!$B120,Tree!$B:$B,'Pre-Harvest Plots_rpt'!$D120,Tree!$F:$F,"L",Tree!$K:$K,"&lt;&gt;"&amp;"Y"))</f>
        <v/>
      </c>
      <c r="O120" s="122" t="str">
        <f>IF(B120="","",SUMIFS(Tree!$AN:$AN,Tree!$A:$A,'Pre-Harvest Plots_rpt'!$B120,Tree!$B:$B,'Pre-Harvest Plots_rpt'!$D120,Tree!$F:$F,"L",Tree!$K:$K,"&lt;&gt;"&amp;"Y"))</f>
        <v/>
      </c>
      <c r="P120" s="122" t="str">
        <f>IF(B120="","",SUMIFS(Tree!$AO:$AO,Tree!$A:$A,'Pre-Harvest Plots_rpt'!$B120,Tree!$B:$B,'Pre-Harvest Plots_rpt'!$D120,Tree!$F:$F,"L",Tree!$K:$K,"&lt;&gt;"&amp;"Y"))</f>
        <v/>
      </c>
      <c r="Q120" s="122" t="str">
        <f>IF(B120="","",SUMIFS(Tree!$AP:$AP,Tree!$A:$A,'Pre-Harvest Plots_rpt'!$B120,Tree!$B:$B,'Pre-Harvest Plots_rpt'!$D120,Tree!$F:$F,"L",Tree!$K:$K,"&lt;&gt;"&amp;"Y"))</f>
        <v/>
      </c>
      <c r="R120" s="123" t="str">
        <f>IF(B120="","",SUMIFS(Tree!$AQ:$AQ,Tree!$A:$A,'Pre-Harvest Plots_rpt'!$B120,Tree!$B:$B,'Pre-Harvest Plots_rpt'!$D120,Tree!$F:$F,"L",Tree!$K:$K,"&lt;&gt;"&amp;"Y"))</f>
        <v/>
      </c>
      <c r="S120" s="122" t="str">
        <f>IF(B120="","",SUMIFS(Tree!$AJ:$AJ,Tree!$A:$A,'Pre-Harvest Plots_rpt'!$B120,Tree!$B:$B,'Pre-Harvest Plots_rpt'!$D120,Tree!$F:$F,"L",Tree!$K:$K,"&lt;&gt;"&amp;"Y")-O120)</f>
        <v/>
      </c>
      <c r="T120" s="122" t="str">
        <f>IF(B120="","",SUMIFS(Tree!$AK:$AK,Tree!$A:$A,'Pre-Harvest Plots_rpt'!$B120,Tree!$B:$B,'Pre-Harvest Plots_rpt'!$D120,Tree!$F:$F,"L",Tree!$K:$K,"&lt;&gt;"&amp;"Y")-P120)</f>
        <v/>
      </c>
      <c r="U120" s="122" t="str">
        <f>IF(B120="","",SUMIFS(Tree!$AL:$AL,Tree!$A:$A,'Pre-Harvest Plots_rpt'!$B120,Tree!$B:$B,'Pre-Harvest Plots_rpt'!$D120,Tree!$F:$F,"L",Tree!$K:$K,"&lt;&gt;"&amp;"Y")-Q120)</f>
        <v/>
      </c>
      <c r="V120" s="123" t="str">
        <f>IF(B120="","",ROUND(SUMIFS(Tree!$AE:$AE,Tree!$A:$A,'Pre-Harvest Plots_rpt'!$B120,Tree!$B:$B,'Pre-Harvest Plots_rpt'!$D120,Tree!$F:$F,"L",Tree!$K:$K,"&lt;&gt;"&amp;"Y")-R120,1))</f>
        <v/>
      </c>
      <c r="W120" s="124" t="str">
        <f>IF(B120="","",SUMIFS(Tree!$AY:$AY,Tree!$A:$A,'Pre-Harvest Plots_rpt'!$B120,Tree!$B:$B,'Pre-Harvest Plots_rpt'!$D120,Tree!$F:$F,"L",Tree!$K:$K,"&lt;&gt;"&amp;"Y")/1000)</f>
        <v/>
      </c>
      <c r="X120" s="158" t="str">
        <f>IF(B120="","",ROUND((SUMIFS(Tree!$AW:$AW,Tree!$A:$A,'Pre-Harvest Plots_rpt'!$B120,Tree!$B:$B,'Pre-Harvest Plots_rpt'!$D120,Tree!$F:$F,"L",Tree!$K:$K,"&lt;&gt;"&amp;"Y")/1000)-W120,1))</f>
        <v/>
      </c>
      <c r="Y120" s="135"/>
      <c r="Z120" s="161" t="str">
        <f>IF(IF(B120="","",SUMIFS(Tree!$O:$O,Tree!$A:$A,'Pre-Harvest Plots_rpt'!$B120,Tree!$B:$B,'Pre-Harvest Plots_rpt'!$D120,Tree!$F:$F,"D",Tree!$K:$K,"&lt;&gt;"&amp;"Y"))=0,"",IF(B120="","",SUMIFS(Tree!$O:$O,Tree!$A:$A,'Pre-Harvest Plots_rpt'!$B120,Tree!$B:$B,'Pre-Harvest Plots_rpt'!$D120,Tree!$F:$F,"D",Tree!$K:$K,"&lt;&gt;"&amp;"Y")))</f>
        <v/>
      </c>
      <c r="AA120" s="125" t="str">
        <f t="shared" si="7"/>
        <v/>
      </c>
      <c r="AB120" s="125" t="str">
        <f>IF(Z120="","",SUMIFS(Tree!$R:$R,Tree!$A:$A,'Pre-Harvest Plots_rpt'!$B120,Tree!$B:$B,'Pre-Harvest Plots_rpt'!$D120,Tree!$F:$F,"D",Tree!$K:$K,"&lt;&gt;"&amp;"Y"))</f>
        <v/>
      </c>
      <c r="AC120" s="126" t="str">
        <f>IF(Z120="","",SUMIFS(Tree!$AM:$AM,Tree!$A:$A,'Pre-Harvest Plots_rpt'!$B120,Tree!$B:$B,'Pre-Harvest Plots_rpt'!$D120,Tree!$F:$F,"D",Tree!$K:$K,"&lt;&gt;"&amp;"Y"))</f>
        <v/>
      </c>
      <c r="AD120" s="162" t="str">
        <f>IF(Z120="","",SUMIFS(Tree!$AW:$AW,Tree!$A:$A,'Pre-Harvest Plots_rpt'!$B120,Tree!$B:$B,'Pre-Harvest Plots_rpt'!$D120,Tree!$F:$F,"D",Tree!$K:$K,"&lt;&gt;"&amp;"Y")/1000)</f>
        <v/>
      </c>
      <c r="AE120" s="47"/>
      <c r="AF120" s="18"/>
      <c r="AG120" s="18"/>
      <c r="AH120" s="18"/>
    </row>
    <row r="121" spans="1:34" ht="12.75" customHeight="1" x14ac:dyDescent="0.25">
      <c r="A121" s="48">
        <v>118</v>
      </c>
      <c r="B121" s="171" t="str">
        <f>IF(A121&lt;=SUM(Stand!$H$3:$H$29),VLOOKUP(A121,Stand!$A$3:$C$29,3,TRUE),"")</f>
        <v/>
      </c>
      <c r="C121" s="172" t="str">
        <f t="shared" si="4"/>
        <v/>
      </c>
      <c r="D121" s="173" t="str">
        <f>IF(B121="","",VLOOKUP(B121&amp;C121,Plot!$B$2:$D$199,3,FALSE))</f>
        <v/>
      </c>
      <c r="E121" s="130"/>
      <c r="F121" s="152" t="str">
        <f>IF(B121="","",SUMIFS(Tree!$O:$O,Tree!$A:$A,'Pre-Harvest Plots_rpt'!$B121,Tree!$B:$B,'Pre-Harvest Plots_rpt'!$D121,Tree!$F:$F,"L",Tree!$K:$K,"&lt;&gt;"&amp;"Y"))</f>
        <v/>
      </c>
      <c r="G121" s="153" t="str">
        <f>IFERROR(IF(D121="","",SUMIFS(Tree!$P:$P,Tree!$A:$A,'Pre-Harvest Plots_rpt'!$B121,Tree!$B:$B,'Pre-Harvest Plots_rpt'!$D121,Tree!$K:$K,"&lt;&gt;"&amp;"Y")/$F121),"")</f>
        <v/>
      </c>
      <c r="H121" s="122" t="str">
        <f t="shared" si="5"/>
        <v/>
      </c>
      <c r="I121" s="121" t="str">
        <f>IF(OR($F121=0,$F121=""),"",SUMIFS(Tree!$R:$R,Tree!$A:$A,'Pre-Harvest Plots_rpt'!$B121,Tree!$B:$B,'Pre-Harvest Plots_rpt'!$D121,Tree!$F:$F,"L",Tree!$K:$K,"&lt;&gt;"&amp;"Y"))</f>
        <v/>
      </c>
      <c r="J121" s="121" t="str">
        <f>IF(OR($F121=0,$F121=""),"",IF(SUMIFS(Tree!$W:$W,Tree!$A:$A,'Pre-Harvest Plots_rpt'!$B121,Tree!$B:$B,'Pre-Harvest Plots_rpt'!$D121,Tree!$F:$F,"L",Tree!$K:$K,"&lt;&gt;"&amp;"Y")=0,0,AVERAGEIFS(Tree!$W:$W,Tree!$A:$A,'Pre-Harvest Plots_rpt'!$B121,Tree!$B:$B,'Pre-Harvest Plots_rpt'!$D121,Tree!$F:$F,"L",Tree!$K:$K,"&lt;&gt;"&amp;"Y")))</f>
        <v/>
      </c>
      <c r="K121" s="121" t="str">
        <f>IF($F121="","",SUMIFS(Tree!$S:$S,Tree!$A:$A,'Pre-Harvest Plots_rpt'!$B121,Tree!$B:$B,'Pre-Harvest Plots_rpt'!$D121,Tree!$F:$F,"L",Tree!$K:$K,"&lt;&gt;"&amp;"Y"))</f>
        <v/>
      </c>
      <c r="L121" s="154" t="str">
        <f t="shared" si="6"/>
        <v/>
      </c>
      <c r="M121" s="135"/>
      <c r="N121" s="192" t="str">
        <f>IF(B121="","",SUMIFS(Tree!$AM:$AM,Tree!$A:$A,'Pre-Harvest Plots_rpt'!$B121,Tree!$B:$B,'Pre-Harvest Plots_rpt'!$D121,Tree!$F:$F,"L",Tree!$K:$K,"&lt;&gt;"&amp;"Y"))</f>
        <v/>
      </c>
      <c r="O121" s="122" t="str">
        <f>IF(B121="","",SUMIFS(Tree!$AN:$AN,Tree!$A:$A,'Pre-Harvest Plots_rpt'!$B121,Tree!$B:$B,'Pre-Harvest Plots_rpt'!$D121,Tree!$F:$F,"L",Tree!$K:$K,"&lt;&gt;"&amp;"Y"))</f>
        <v/>
      </c>
      <c r="P121" s="122" t="str">
        <f>IF(B121="","",SUMIFS(Tree!$AO:$AO,Tree!$A:$A,'Pre-Harvest Plots_rpt'!$B121,Tree!$B:$B,'Pre-Harvest Plots_rpt'!$D121,Tree!$F:$F,"L",Tree!$K:$K,"&lt;&gt;"&amp;"Y"))</f>
        <v/>
      </c>
      <c r="Q121" s="122" t="str">
        <f>IF(B121="","",SUMIFS(Tree!$AP:$AP,Tree!$A:$A,'Pre-Harvest Plots_rpt'!$B121,Tree!$B:$B,'Pre-Harvest Plots_rpt'!$D121,Tree!$F:$F,"L",Tree!$K:$K,"&lt;&gt;"&amp;"Y"))</f>
        <v/>
      </c>
      <c r="R121" s="123" t="str">
        <f>IF(B121="","",SUMIFS(Tree!$AQ:$AQ,Tree!$A:$A,'Pre-Harvest Plots_rpt'!$B121,Tree!$B:$B,'Pre-Harvest Plots_rpt'!$D121,Tree!$F:$F,"L",Tree!$K:$K,"&lt;&gt;"&amp;"Y"))</f>
        <v/>
      </c>
      <c r="S121" s="122" t="str">
        <f>IF(B121="","",SUMIFS(Tree!$AJ:$AJ,Tree!$A:$A,'Pre-Harvest Plots_rpt'!$B121,Tree!$B:$B,'Pre-Harvest Plots_rpt'!$D121,Tree!$F:$F,"L",Tree!$K:$K,"&lt;&gt;"&amp;"Y")-O121)</f>
        <v/>
      </c>
      <c r="T121" s="122" t="str">
        <f>IF(B121="","",SUMIFS(Tree!$AK:$AK,Tree!$A:$A,'Pre-Harvest Plots_rpt'!$B121,Tree!$B:$B,'Pre-Harvest Plots_rpt'!$D121,Tree!$F:$F,"L",Tree!$K:$K,"&lt;&gt;"&amp;"Y")-P121)</f>
        <v/>
      </c>
      <c r="U121" s="122" t="str">
        <f>IF(B121="","",SUMIFS(Tree!$AL:$AL,Tree!$A:$A,'Pre-Harvest Plots_rpt'!$B121,Tree!$B:$B,'Pre-Harvest Plots_rpt'!$D121,Tree!$F:$F,"L",Tree!$K:$K,"&lt;&gt;"&amp;"Y")-Q121)</f>
        <v/>
      </c>
      <c r="V121" s="123" t="str">
        <f>IF(B121="","",ROUND(SUMIFS(Tree!$AE:$AE,Tree!$A:$A,'Pre-Harvest Plots_rpt'!$B121,Tree!$B:$B,'Pre-Harvest Plots_rpt'!$D121,Tree!$F:$F,"L",Tree!$K:$K,"&lt;&gt;"&amp;"Y")-R121,1))</f>
        <v/>
      </c>
      <c r="W121" s="124" t="str">
        <f>IF(B121="","",SUMIFS(Tree!$AY:$AY,Tree!$A:$A,'Pre-Harvest Plots_rpt'!$B121,Tree!$B:$B,'Pre-Harvest Plots_rpt'!$D121,Tree!$F:$F,"L",Tree!$K:$K,"&lt;&gt;"&amp;"Y")/1000)</f>
        <v/>
      </c>
      <c r="X121" s="158" t="str">
        <f>IF(B121="","",ROUND((SUMIFS(Tree!$AW:$AW,Tree!$A:$A,'Pre-Harvest Plots_rpt'!$B121,Tree!$B:$B,'Pre-Harvest Plots_rpt'!$D121,Tree!$F:$F,"L",Tree!$K:$K,"&lt;&gt;"&amp;"Y")/1000)-W121,1))</f>
        <v/>
      </c>
      <c r="Y121" s="135"/>
      <c r="Z121" s="161" t="str">
        <f>IF(IF(B121="","",SUMIFS(Tree!$O:$O,Tree!$A:$A,'Pre-Harvest Plots_rpt'!$B121,Tree!$B:$B,'Pre-Harvest Plots_rpt'!$D121,Tree!$F:$F,"D",Tree!$K:$K,"&lt;&gt;"&amp;"Y"))=0,"",IF(B121="","",SUMIFS(Tree!$O:$O,Tree!$A:$A,'Pre-Harvest Plots_rpt'!$B121,Tree!$B:$B,'Pre-Harvest Plots_rpt'!$D121,Tree!$F:$F,"D",Tree!$K:$K,"&lt;&gt;"&amp;"Y")))</f>
        <v/>
      </c>
      <c r="AA121" s="125" t="str">
        <f t="shared" si="7"/>
        <v/>
      </c>
      <c r="AB121" s="125" t="str">
        <f>IF(Z121="","",SUMIFS(Tree!$R:$R,Tree!$A:$A,'Pre-Harvest Plots_rpt'!$B121,Tree!$B:$B,'Pre-Harvest Plots_rpt'!$D121,Tree!$F:$F,"D",Tree!$K:$K,"&lt;&gt;"&amp;"Y"))</f>
        <v/>
      </c>
      <c r="AC121" s="126" t="str">
        <f>IF(Z121="","",SUMIFS(Tree!$AM:$AM,Tree!$A:$A,'Pre-Harvest Plots_rpt'!$B121,Tree!$B:$B,'Pre-Harvest Plots_rpt'!$D121,Tree!$F:$F,"D",Tree!$K:$K,"&lt;&gt;"&amp;"Y"))</f>
        <v/>
      </c>
      <c r="AD121" s="162" t="str">
        <f>IF(Z121="","",SUMIFS(Tree!$AW:$AW,Tree!$A:$A,'Pre-Harvest Plots_rpt'!$B121,Tree!$B:$B,'Pre-Harvest Plots_rpt'!$D121,Tree!$F:$F,"D",Tree!$K:$K,"&lt;&gt;"&amp;"Y")/1000)</f>
        <v/>
      </c>
      <c r="AE121" s="47"/>
      <c r="AF121" s="18"/>
      <c r="AG121" s="18"/>
      <c r="AH121" s="18"/>
    </row>
    <row r="122" spans="1:34" ht="12.75" customHeight="1" x14ac:dyDescent="0.25">
      <c r="A122" s="48">
        <v>119</v>
      </c>
      <c r="B122" s="171" t="str">
        <f>IF(A122&lt;=SUM(Stand!$H$3:$H$29),VLOOKUP(A122,Stand!$A$3:$C$29,3,TRUE),"")</f>
        <v/>
      </c>
      <c r="C122" s="172" t="str">
        <f t="shared" si="4"/>
        <v/>
      </c>
      <c r="D122" s="173" t="str">
        <f>IF(B122="","",VLOOKUP(B122&amp;C122,Plot!$B$2:$D$199,3,FALSE))</f>
        <v/>
      </c>
      <c r="E122" s="130"/>
      <c r="F122" s="152" t="str">
        <f>IF(B122="","",SUMIFS(Tree!$O:$O,Tree!$A:$A,'Pre-Harvest Plots_rpt'!$B122,Tree!$B:$B,'Pre-Harvest Plots_rpt'!$D122,Tree!$F:$F,"L",Tree!$K:$K,"&lt;&gt;"&amp;"Y"))</f>
        <v/>
      </c>
      <c r="G122" s="153" t="str">
        <f>IFERROR(IF(D122="","",SUMIFS(Tree!$P:$P,Tree!$A:$A,'Pre-Harvest Plots_rpt'!$B122,Tree!$B:$B,'Pre-Harvest Plots_rpt'!$D122,Tree!$K:$K,"&lt;&gt;"&amp;"Y")/$F122),"")</f>
        <v/>
      </c>
      <c r="H122" s="122" t="str">
        <f t="shared" si="5"/>
        <v/>
      </c>
      <c r="I122" s="121" t="str">
        <f>IF(OR($F122=0,$F122=""),"",SUMIFS(Tree!$R:$R,Tree!$A:$A,'Pre-Harvest Plots_rpt'!$B122,Tree!$B:$B,'Pre-Harvest Plots_rpt'!$D122,Tree!$F:$F,"L",Tree!$K:$K,"&lt;&gt;"&amp;"Y"))</f>
        <v/>
      </c>
      <c r="J122" s="121" t="str">
        <f>IF(OR($F122=0,$F122=""),"",IF(SUMIFS(Tree!$W:$W,Tree!$A:$A,'Pre-Harvest Plots_rpt'!$B122,Tree!$B:$B,'Pre-Harvest Plots_rpt'!$D122,Tree!$F:$F,"L",Tree!$K:$K,"&lt;&gt;"&amp;"Y")=0,0,AVERAGEIFS(Tree!$W:$W,Tree!$A:$A,'Pre-Harvest Plots_rpt'!$B122,Tree!$B:$B,'Pre-Harvest Plots_rpt'!$D122,Tree!$F:$F,"L",Tree!$K:$K,"&lt;&gt;"&amp;"Y")))</f>
        <v/>
      </c>
      <c r="K122" s="121" t="str">
        <f>IF($F122="","",SUMIFS(Tree!$S:$S,Tree!$A:$A,'Pre-Harvest Plots_rpt'!$B122,Tree!$B:$B,'Pre-Harvest Plots_rpt'!$D122,Tree!$F:$F,"L",Tree!$K:$K,"&lt;&gt;"&amp;"Y"))</f>
        <v/>
      </c>
      <c r="L122" s="154" t="str">
        <f t="shared" si="6"/>
        <v/>
      </c>
      <c r="M122" s="135"/>
      <c r="N122" s="192" t="str">
        <f>IF(B122="","",SUMIFS(Tree!$AM:$AM,Tree!$A:$A,'Pre-Harvest Plots_rpt'!$B122,Tree!$B:$B,'Pre-Harvest Plots_rpt'!$D122,Tree!$F:$F,"L",Tree!$K:$K,"&lt;&gt;"&amp;"Y"))</f>
        <v/>
      </c>
      <c r="O122" s="122" t="str">
        <f>IF(B122="","",SUMIFS(Tree!$AN:$AN,Tree!$A:$A,'Pre-Harvest Plots_rpt'!$B122,Tree!$B:$B,'Pre-Harvest Plots_rpt'!$D122,Tree!$F:$F,"L",Tree!$K:$K,"&lt;&gt;"&amp;"Y"))</f>
        <v/>
      </c>
      <c r="P122" s="122" t="str">
        <f>IF(B122="","",SUMIFS(Tree!$AO:$AO,Tree!$A:$A,'Pre-Harvest Plots_rpt'!$B122,Tree!$B:$B,'Pre-Harvest Plots_rpt'!$D122,Tree!$F:$F,"L",Tree!$K:$K,"&lt;&gt;"&amp;"Y"))</f>
        <v/>
      </c>
      <c r="Q122" s="122" t="str">
        <f>IF(B122="","",SUMIFS(Tree!$AP:$AP,Tree!$A:$A,'Pre-Harvest Plots_rpt'!$B122,Tree!$B:$B,'Pre-Harvest Plots_rpt'!$D122,Tree!$F:$F,"L",Tree!$K:$K,"&lt;&gt;"&amp;"Y"))</f>
        <v/>
      </c>
      <c r="R122" s="123" t="str">
        <f>IF(B122="","",SUMIFS(Tree!$AQ:$AQ,Tree!$A:$A,'Pre-Harvest Plots_rpt'!$B122,Tree!$B:$B,'Pre-Harvest Plots_rpt'!$D122,Tree!$F:$F,"L",Tree!$K:$K,"&lt;&gt;"&amp;"Y"))</f>
        <v/>
      </c>
      <c r="S122" s="122" t="str">
        <f>IF(B122="","",SUMIFS(Tree!$AJ:$AJ,Tree!$A:$A,'Pre-Harvest Plots_rpt'!$B122,Tree!$B:$B,'Pre-Harvest Plots_rpt'!$D122,Tree!$F:$F,"L",Tree!$K:$K,"&lt;&gt;"&amp;"Y")-O122)</f>
        <v/>
      </c>
      <c r="T122" s="122" t="str">
        <f>IF(B122="","",SUMIFS(Tree!$AK:$AK,Tree!$A:$A,'Pre-Harvest Plots_rpt'!$B122,Tree!$B:$B,'Pre-Harvest Plots_rpt'!$D122,Tree!$F:$F,"L",Tree!$K:$K,"&lt;&gt;"&amp;"Y")-P122)</f>
        <v/>
      </c>
      <c r="U122" s="122" t="str">
        <f>IF(B122="","",SUMIFS(Tree!$AL:$AL,Tree!$A:$A,'Pre-Harvest Plots_rpt'!$B122,Tree!$B:$B,'Pre-Harvest Plots_rpt'!$D122,Tree!$F:$F,"L",Tree!$K:$K,"&lt;&gt;"&amp;"Y")-Q122)</f>
        <v/>
      </c>
      <c r="V122" s="123" t="str">
        <f>IF(B122="","",ROUND(SUMIFS(Tree!$AE:$AE,Tree!$A:$A,'Pre-Harvest Plots_rpt'!$B122,Tree!$B:$B,'Pre-Harvest Plots_rpt'!$D122,Tree!$F:$F,"L",Tree!$K:$K,"&lt;&gt;"&amp;"Y")-R122,1))</f>
        <v/>
      </c>
      <c r="W122" s="124" t="str">
        <f>IF(B122="","",SUMIFS(Tree!$AY:$AY,Tree!$A:$A,'Pre-Harvest Plots_rpt'!$B122,Tree!$B:$B,'Pre-Harvest Plots_rpt'!$D122,Tree!$F:$F,"L",Tree!$K:$K,"&lt;&gt;"&amp;"Y")/1000)</f>
        <v/>
      </c>
      <c r="X122" s="158" t="str">
        <f>IF(B122="","",ROUND((SUMIFS(Tree!$AW:$AW,Tree!$A:$A,'Pre-Harvest Plots_rpt'!$B122,Tree!$B:$B,'Pre-Harvest Plots_rpt'!$D122,Tree!$F:$F,"L",Tree!$K:$K,"&lt;&gt;"&amp;"Y")/1000)-W122,1))</f>
        <v/>
      </c>
      <c r="Y122" s="135"/>
      <c r="Z122" s="161" t="str">
        <f>IF(IF(B122="","",SUMIFS(Tree!$O:$O,Tree!$A:$A,'Pre-Harvest Plots_rpt'!$B122,Tree!$B:$B,'Pre-Harvest Plots_rpt'!$D122,Tree!$F:$F,"D",Tree!$K:$K,"&lt;&gt;"&amp;"Y"))=0,"",IF(B122="","",SUMIFS(Tree!$O:$O,Tree!$A:$A,'Pre-Harvest Plots_rpt'!$B122,Tree!$B:$B,'Pre-Harvest Plots_rpt'!$D122,Tree!$F:$F,"D",Tree!$K:$K,"&lt;&gt;"&amp;"Y")))</f>
        <v/>
      </c>
      <c r="AA122" s="125" t="str">
        <f t="shared" si="7"/>
        <v/>
      </c>
      <c r="AB122" s="125" t="str">
        <f>IF(Z122="","",SUMIFS(Tree!$R:$R,Tree!$A:$A,'Pre-Harvest Plots_rpt'!$B122,Tree!$B:$B,'Pre-Harvest Plots_rpt'!$D122,Tree!$F:$F,"D",Tree!$K:$K,"&lt;&gt;"&amp;"Y"))</f>
        <v/>
      </c>
      <c r="AC122" s="126" t="str">
        <f>IF(Z122="","",SUMIFS(Tree!$AM:$AM,Tree!$A:$A,'Pre-Harvest Plots_rpt'!$B122,Tree!$B:$B,'Pre-Harvest Plots_rpt'!$D122,Tree!$F:$F,"D",Tree!$K:$K,"&lt;&gt;"&amp;"Y"))</f>
        <v/>
      </c>
      <c r="AD122" s="162" t="str">
        <f>IF(Z122="","",SUMIFS(Tree!$AW:$AW,Tree!$A:$A,'Pre-Harvest Plots_rpt'!$B122,Tree!$B:$B,'Pre-Harvest Plots_rpt'!$D122,Tree!$F:$F,"D",Tree!$K:$K,"&lt;&gt;"&amp;"Y")/1000)</f>
        <v/>
      </c>
      <c r="AE122" s="47"/>
      <c r="AF122" s="18"/>
      <c r="AG122" s="18"/>
      <c r="AH122" s="18"/>
    </row>
    <row r="123" spans="1:34" ht="12.75" customHeight="1" x14ac:dyDescent="0.25">
      <c r="A123" s="48">
        <v>120</v>
      </c>
      <c r="B123" s="171" t="str">
        <f>IF(A123&lt;=SUM(Stand!$H$3:$H$29),VLOOKUP(A123,Stand!$A$3:$C$29,3,TRUE),"")</f>
        <v/>
      </c>
      <c r="C123" s="172" t="str">
        <f t="shared" si="4"/>
        <v/>
      </c>
      <c r="D123" s="173" t="str">
        <f>IF(B123="","",VLOOKUP(B123&amp;C123,Plot!$B$2:$D$199,3,FALSE))</f>
        <v/>
      </c>
      <c r="E123" s="130"/>
      <c r="F123" s="152" t="str">
        <f>IF(B123="","",SUMIFS(Tree!$O:$O,Tree!$A:$A,'Pre-Harvest Plots_rpt'!$B123,Tree!$B:$B,'Pre-Harvest Plots_rpt'!$D123,Tree!$F:$F,"L",Tree!$K:$K,"&lt;&gt;"&amp;"Y"))</f>
        <v/>
      </c>
      <c r="G123" s="153" t="str">
        <f>IFERROR(IF(D123="","",SUMIFS(Tree!$P:$P,Tree!$A:$A,'Pre-Harvest Plots_rpt'!$B123,Tree!$B:$B,'Pre-Harvest Plots_rpt'!$D123,Tree!$K:$K,"&lt;&gt;"&amp;"Y")/$F123),"")</f>
        <v/>
      </c>
      <c r="H123" s="122" t="str">
        <f t="shared" si="5"/>
        <v/>
      </c>
      <c r="I123" s="121" t="str">
        <f>IF(OR($F123=0,$F123=""),"",SUMIFS(Tree!$R:$R,Tree!$A:$A,'Pre-Harvest Plots_rpt'!$B123,Tree!$B:$B,'Pre-Harvest Plots_rpt'!$D123,Tree!$F:$F,"L",Tree!$K:$K,"&lt;&gt;"&amp;"Y"))</f>
        <v/>
      </c>
      <c r="J123" s="121" t="str">
        <f>IF(OR($F123=0,$F123=""),"",IF(SUMIFS(Tree!$W:$W,Tree!$A:$A,'Pre-Harvest Plots_rpt'!$B123,Tree!$B:$B,'Pre-Harvest Plots_rpt'!$D123,Tree!$F:$F,"L",Tree!$K:$K,"&lt;&gt;"&amp;"Y")=0,0,AVERAGEIFS(Tree!$W:$W,Tree!$A:$A,'Pre-Harvest Plots_rpt'!$B123,Tree!$B:$B,'Pre-Harvest Plots_rpt'!$D123,Tree!$F:$F,"L",Tree!$K:$K,"&lt;&gt;"&amp;"Y")))</f>
        <v/>
      </c>
      <c r="K123" s="121" t="str">
        <f>IF($F123="","",SUMIFS(Tree!$S:$S,Tree!$A:$A,'Pre-Harvest Plots_rpt'!$B123,Tree!$B:$B,'Pre-Harvest Plots_rpt'!$D123,Tree!$F:$F,"L",Tree!$K:$K,"&lt;&gt;"&amp;"Y"))</f>
        <v/>
      </c>
      <c r="L123" s="154" t="str">
        <f t="shared" si="6"/>
        <v/>
      </c>
      <c r="M123" s="135"/>
      <c r="N123" s="192" t="str">
        <f>IF(B123="","",SUMIFS(Tree!$AM:$AM,Tree!$A:$A,'Pre-Harvest Plots_rpt'!$B123,Tree!$B:$B,'Pre-Harvest Plots_rpt'!$D123,Tree!$F:$F,"L",Tree!$K:$K,"&lt;&gt;"&amp;"Y"))</f>
        <v/>
      </c>
      <c r="O123" s="122" t="str">
        <f>IF(B123="","",SUMIFS(Tree!$AN:$AN,Tree!$A:$A,'Pre-Harvest Plots_rpt'!$B123,Tree!$B:$B,'Pre-Harvest Plots_rpt'!$D123,Tree!$F:$F,"L",Tree!$K:$K,"&lt;&gt;"&amp;"Y"))</f>
        <v/>
      </c>
      <c r="P123" s="122" t="str">
        <f>IF(B123="","",SUMIFS(Tree!$AO:$AO,Tree!$A:$A,'Pre-Harvest Plots_rpt'!$B123,Tree!$B:$B,'Pre-Harvest Plots_rpt'!$D123,Tree!$F:$F,"L",Tree!$K:$K,"&lt;&gt;"&amp;"Y"))</f>
        <v/>
      </c>
      <c r="Q123" s="122" t="str">
        <f>IF(B123="","",SUMIFS(Tree!$AP:$AP,Tree!$A:$A,'Pre-Harvest Plots_rpt'!$B123,Tree!$B:$B,'Pre-Harvest Plots_rpt'!$D123,Tree!$F:$F,"L",Tree!$K:$K,"&lt;&gt;"&amp;"Y"))</f>
        <v/>
      </c>
      <c r="R123" s="123" t="str">
        <f>IF(B123="","",SUMIFS(Tree!$AQ:$AQ,Tree!$A:$A,'Pre-Harvest Plots_rpt'!$B123,Tree!$B:$B,'Pre-Harvest Plots_rpt'!$D123,Tree!$F:$F,"L",Tree!$K:$K,"&lt;&gt;"&amp;"Y"))</f>
        <v/>
      </c>
      <c r="S123" s="122" t="str">
        <f>IF(B123="","",SUMIFS(Tree!$AJ:$AJ,Tree!$A:$A,'Pre-Harvest Plots_rpt'!$B123,Tree!$B:$B,'Pre-Harvest Plots_rpt'!$D123,Tree!$F:$F,"L",Tree!$K:$K,"&lt;&gt;"&amp;"Y")-O123)</f>
        <v/>
      </c>
      <c r="T123" s="122" t="str">
        <f>IF(B123="","",SUMIFS(Tree!$AK:$AK,Tree!$A:$A,'Pre-Harvest Plots_rpt'!$B123,Tree!$B:$B,'Pre-Harvest Plots_rpt'!$D123,Tree!$F:$F,"L",Tree!$K:$K,"&lt;&gt;"&amp;"Y")-P123)</f>
        <v/>
      </c>
      <c r="U123" s="122" t="str">
        <f>IF(B123="","",SUMIFS(Tree!$AL:$AL,Tree!$A:$A,'Pre-Harvest Plots_rpt'!$B123,Tree!$B:$B,'Pre-Harvest Plots_rpt'!$D123,Tree!$F:$F,"L",Tree!$K:$K,"&lt;&gt;"&amp;"Y")-Q123)</f>
        <v/>
      </c>
      <c r="V123" s="123" t="str">
        <f>IF(B123="","",ROUND(SUMIFS(Tree!$AE:$AE,Tree!$A:$A,'Pre-Harvest Plots_rpt'!$B123,Tree!$B:$B,'Pre-Harvest Plots_rpt'!$D123,Tree!$F:$F,"L",Tree!$K:$K,"&lt;&gt;"&amp;"Y")-R123,1))</f>
        <v/>
      </c>
      <c r="W123" s="124" t="str">
        <f>IF(B123="","",SUMIFS(Tree!$AY:$AY,Tree!$A:$A,'Pre-Harvest Plots_rpt'!$B123,Tree!$B:$B,'Pre-Harvest Plots_rpt'!$D123,Tree!$F:$F,"L",Tree!$K:$K,"&lt;&gt;"&amp;"Y")/1000)</f>
        <v/>
      </c>
      <c r="X123" s="158" t="str">
        <f>IF(B123="","",ROUND((SUMIFS(Tree!$AW:$AW,Tree!$A:$A,'Pre-Harvest Plots_rpt'!$B123,Tree!$B:$B,'Pre-Harvest Plots_rpt'!$D123,Tree!$F:$F,"L",Tree!$K:$K,"&lt;&gt;"&amp;"Y")/1000)-W123,1))</f>
        <v/>
      </c>
      <c r="Y123" s="135"/>
      <c r="Z123" s="161" t="str">
        <f>IF(IF(B123="","",SUMIFS(Tree!$O:$O,Tree!$A:$A,'Pre-Harvest Plots_rpt'!$B123,Tree!$B:$B,'Pre-Harvest Plots_rpt'!$D123,Tree!$F:$F,"D",Tree!$K:$K,"&lt;&gt;"&amp;"Y"))=0,"",IF(B123="","",SUMIFS(Tree!$O:$O,Tree!$A:$A,'Pre-Harvest Plots_rpt'!$B123,Tree!$B:$B,'Pre-Harvest Plots_rpt'!$D123,Tree!$F:$F,"D",Tree!$K:$K,"&lt;&gt;"&amp;"Y")))</f>
        <v/>
      </c>
      <c r="AA123" s="125" t="str">
        <f t="shared" si="7"/>
        <v/>
      </c>
      <c r="AB123" s="125" t="str">
        <f>IF(Z123="","",SUMIFS(Tree!$R:$R,Tree!$A:$A,'Pre-Harvest Plots_rpt'!$B123,Tree!$B:$B,'Pre-Harvest Plots_rpt'!$D123,Tree!$F:$F,"D",Tree!$K:$K,"&lt;&gt;"&amp;"Y"))</f>
        <v/>
      </c>
      <c r="AC123" s="126" t="str">
        <f>IF(Z123="","",SUMIFS(Tree!$AM:$AM,Tree!$A:$A,'Pre-Harvest Plots_rpt'!$B123,Tree!$B:$B,'Pre-Harvest Plots_rpt'!$D123,Tree!$F:$F,"D",Tree!$K:$K,"&lt;&gt;"&amp;"Y"))</f>
        <v/>
      </c>
      <c r="AD123" s="162" t="str">
        <f>IF(Z123="","",SUMIFS(Tree!$AW:$AW,Tree!$A:$A,'Pre-Harvest Plots_rpt'!$B123,Tree!$B:$B,'Pre-Harvest Plots_rpt'!$D123,Tree!$F:$F,"D",Tree!$K:$K,"&lt;&gt;"&amp;"Y")/1000)</f>
        <v/>
      </c>
      <c r="AE123" s="47"/>
      <c r="AF123" s="18"/>
      <c r="AG123" s="18"/>
      <c r="AH123" s="18"/>
    </row>
    <row r="124" spans="1:34" ht="12.75" customHeight="1" x14ac:dyDescent="0.25">
      <c r="A124" s="48">
        <v>121</v>
      </c>
      <c r="B124" s="171" t="str">
        <f>IF(A124&lt;=SUM(Stand!$H$3:$H$29),VLOOKUP(A124,Stand!$A$3:$C$29,3,TRUE),"")</f>
        <v/>
      </c>
      <c r="C124" s="172" t="str">
        <f t="shared" si="4"/>
        <v/>
      </c>
      <c r="D124" s="173" t="str">
        <f>IF(B124="","",VLOOKUP(B124&amp;C124,Plot!$B$2:$D$199,3,FALSE))</f>
        <v/>
      </c>
      <c r="E124" s="130"/>
      <c r="F124" s="152" t="str">
        <f>IF(B124="","",SUMIFS(Tree!$O:$O,Tree!$A:$A,'Pre-Harvest Plots_rpt'!$B124,Tree!$B:$B,'Pre-Harvest Plots_rpt'!$D124,Tree!$F:$F,"L",Tree!$K:$K,"&lt;&gt;"&amp;"Y"))</f>
        <v/>
      </c>
      <c r="G124" s="153" t="str">
        <f>IFERROR(IF(D124="","",SUMIFS(Tree!$P:$P,Tree!$A:$A,'Pre-Harvest Plots_rpt'!$B124,Tree!$B:$B,'Pre-Harvest Plots_rpt'!$D124,Tree!$K:$K,"&lt;&gt;"&amp;"Y")/$F124),"")</f>
        <v/>
      </c>
      <c r="H124" s="122" t="str">
        <f t="shared" si="5"/>
        <v/>
      </c>
      <c r="I124" s="121" t="str">
        <f>IF(OR($F124=0,$F124=""),"",SUMIFS(Tree!$R:$R,Tree!$A:$A,'Pre-Harvest Plots_rpt'!$B124,Tree!$B:$B,'Pre-Harvest Plots_rpt'!$D124,Tree!$F:$F,"L",Tree!$K:$K,"&lt;&gt;"&amp;"Y"))</f>
        <v/>
      </c>
      <c r="J124" s="121" t="str">
        <f>IF(OR($F124=0,$F124=""),"",IF(SUMIFS(Tree!$W:$W,Tree!$A:$A,'Pre-Harvest Plots_rpt'!$B124,Tree!$B:$B,'Pre-Harvest Plots_rpt'!$D124,Tree!$F:$F,"L",Tree!$K:$K,"&lt;&gt;"&amp;"Y")=0,0,AVERAGEIFS(Tree!$W:$W,Tree!$A:$A,'Pre-Harvest Plots_rpt'!$B124,Tree!$B:$B,'Pre-Harvest Plots_rpt'!$D124,Tree!$F:$F,"L",Tree!$K:$K,"&lt;&gt;"&amp;"Y")))</f>
        <v/>
      </c>
      <c r="K124" s="121" t="str">
        <f>IF($F124="","",SUMIFS(Tree!$S:$S,Tree!$A:$A,'Pre-Harvest Plots_rpt'!$B124,Tree!$B:$B,'Pre-Harvest Plots_rpt'!$D124,Tree!$F:$F,"L",Tree!$K:$K,"&lt;&gt;"&amp;"Y"))</f>
        <v/>
      </c>
      <c r="L124" s="154" t="str">
        <f t="shared" si="6"/>
        <v/>
      </c>
      <c r="M124" s="135"/>
      <c r="N124" s="192" t="str">
        <f>IF(B124="","",SUMIFS(Tree!$AM:$AM,Tree!$A:$A,'Pre-Harvest Plots_rpt'!$B124,Tree!$B:$B,'Pre-Harvest Plots_rpt'!$D124,Tree!$F:$F,"L",Tree!$K:$K,"&lt;&gt;"&amp;"Y"))</f>
        <v/>
      </c>
      <c r="O124" s="122" t="str">
        <f>IF(B124="","",SUMIFS(Tree!$AN:$AN,Tree!$A:$A,'Pre-Harvest Plots_rpt'!$B124,Tree!$B:$B,'Pre-Harvest Plots_rpt'!$D124,Tree!$F:$F,"L",Tree!$K:$K,"&lt;&gt;"&amp;"Y"))</f>
        <v/>
      </c>
      <c r="P124" s="122" t="str">
        <f>IF(B124="","",SUMIFS(Tree!$AO:$AO,Tree!$A:$A,'Pre-Harvest Plots_rpt'!$B124,Tree!$B:$B,'Pre-Harvest Plots_rpt'!$D124,Tree!$F:$F,"L",Tree!$K:$K,"&lt;&gt;"&amp;"Y"))</f>
        <v/>
      </c>
      <c r="Q124" s="122" t="str">
        <f>IF(B124="","",SUMIFS(Tree!$AP:$AP,Tree!$A:$A,'Pre-Harvest Plots_rpt'!$B124,Tree!$B:$B,'Pre-Harvest Plots_rpt'!$D124,Tree!$F:$F,"L",Tree!$K:$K,"&lt;&gt;"&amp;"Y"))</f>
        <v/>
      </c>
      <c r="R124" s="123" t="str">
        <f>IF(B124="","",SUMIFS(Tree!$AQ:$AQ,Tree!$A:$A,'Pre-Harvest Plots_rpt'!$B124,Tree!$B:$B,'Pre-Harvest Plots_rpt'!$D124,Tree!$F:$F,"L",Tree!$K:$K,"&lt;&gt;"&amp;"Y"))</f>
        <v/>
      </c>
      <c r="S124" s="122" t="str">
        <f>IF(B124="","",SUMIFS(Tree!$AJ:$AJ,Tree!$A:$A,'Pre-Harvest Plots_rpt'!$B124,Tree!$B:$B,'Pre-Harvest Plots_rpt'!$D124,Tree!$F:$F,"L",Tree!$K:$K,"&lt;&gt;"&amp;"Y")-O124)</f>
        <v/>
      </c>
      <c r="T124" s="122" t="str">
        <f>IF(B124="","",SUMIFS(Tree!$AK:$AK,Tree!$A:$A,'Pre-Harvest Plots_rpt'!$B124,Tree!$B:$B,'Pre-Harvest Plots_rpt'!$D124,Tree!$F:$F,"L",Tree!$K:$K,"&lt;&gt;"&amp;"Y")-P124)</f>
        <v/>
      </c>
      <c r="U124" s="122" t="str">
        <f>IF(B124="","",SUMIFS(Tree!$AL:$AL,Tree!$A:$A,'Pre-Harvest Plots_rpt'!$B124,Tree!$B:$B,'Pre-Harvest Plots_rpt'!$D124,Tree!$F:$F,"L",Tree!$K:$K,"&lt;&gt;"&amp;"Y")-Q124)</f>
        <v/>
      </c>
      <c r="V124" s="123" t="str">
        <f>IF(B124="","",ROUND(SUMIFS(Tree!$AE:$AE,Tree!$A:$A,'Pre-Harvest Plots_rpt'!$B124,Tree!$B:$B,'Pre-Harvest Plots_rpt'!$D124,Tree!$F:$F,"L",Tree!$K:$K,"&lt;&gt;"&amp;"Y")-R124,1))</f>
        <v/>
      </c>
      <c r="W124" s="124" t="str">
        <f>IF(B124="","",SUMIFS(Tree!$AY:$AY,Tree!$A:$A,'Pre-Harvest Plots_rpt'!$B124,Tree!$B:$B,'Pre-Harvest Plots_rpt'!$D124,Tree!$F:$F,"L",Tree!$K:$K,"&lt;&gt;"&amp;"Y")/1000)</f>
        <v/>
      </c>
      <c r="X124" s="158" t="str">
        <f>IF(B124="","",ROUND((SUMIFS(Tree!$AW:$AW,Tree!$A:$A,'Pre-Harvest Plots_rpt'!$B124,Tree!$B:$B,'Pre-Harvest Plots_rpt'!$D124,Tree!$F:$F,"L",Tree!$K:$K,"&lt;&gt;"&amp;"Y")/1000)-W124,1))</f>
        <v/>
      </c>
      <c r="Y124" s="135"/>
      <c r="Z124" s="161" t="str">
        <f>IF(IF(B124="","",SUMIFS(Tree!$O:$O,Tree!$A:$A,'Pre-Harvest Plots_rpt'!$B124,Tree!$B:$B,'Pre-Harvest Plots_rpt'!$D124,Tree!$F:$F,"D",Tree!$K:$K,"&lt;&gt;"&amp;"Y"))=0,"",IF(B124="","",SUMIFS(Tree!$O:$O,Tree!$A:$A,'Pre-Harvest Plots_rpt'!$B124,Tree!$B:$B,'Pre-Harvest Plots_rpt'!$D124,Tree!$F:$F,"D",Tree!$K:$K,"&lt;&gt;"&amp;"Y")))</f>
        <v/>
      </c>
      <c r="AA124" s="125" t="str">
        <f t="shared" si="7"/>
        <v/>
      </c>
      <c r="AB124" s="125" t="str">
        <f>IF(Z124="","",SUMIFS(Tree!$R:$R,Tree!$A:$A,'Pre-Harvest Plots_rpt'!$B124,Tree!$B:$B,'Pre-Harvest Plots_rpt'!$D124,Tree!$F:$F,"D",Tree!$K:$K,"&lt;&gt;"&amp;"Y"))</f>
        <v/>
      </c>
      <c r="AC124" s="126" t="str">
        <f>IF(Z124="","",SUMIFS(Tree!$AM:$AM,Tree!$A:$A,'Pre-Harvest Plots_rpt'!$B124,Tree!$B:$B,'Pre-Harvest Plots_rpt'!$D124,Tree!$F:$F,"D",Tree!$K:$K,"&lt;&gt;"&amp;"Y"))</f>
        <v/>
      </c>
      <c r="AD124" s="162" t="str">
        <f>IF(Z124="","",SUMIFS(Tree!$AW:$AW,Tree!$A:$A,'Pre-Harvest Plots_rpt'!$B124,Tree!$B:$B,'Pre-Harvest Plots_rpt'!$D124,Tree!$F:$F,"D",Tree!$K:$K,"&lt;&gt;"&amp;"Y")/1000)</f>
        <v/>
      </c>
      <c r="AE124" s="47"/>
      <c r="AF124" s="18"/>
      <c r="AG124" s="18"/>
      <c r="AH124" s="18"/>
    </row>
    <row r="125" spans="1:34" ht="12.75" customHeight="1" x14ac:dyDescent="0.25">
      <c r="A125" s="48">
        <v>122</v>
      </c>
      <c r="B125" s="171" t="str">
        <f>IF(A125&lt;=SUM(Stand!$H$3:$H$29),VLOOKUP(A125,Stand!$A$3:$C$29,3,TRUE),"")</f>
        <v/>
      </c>
      <c r="C125" s="172" t="str">
        <f t="shared" si="4"/>
        <v/>
      </c>
      <c r="D125" s="173" t="str">
        <f>IF(B125="","",VLOOKUP(B125&amp;C125,Plot!$B$2:$D$199,3,FALSE))</f>
        <v/>
      </c>
      <c r="E125" s="130"/>
      <c r="F125" s="152" t="str">
        <f>IF(B125="","",SUMIFS(Tree!$O:$O,Tree!$A:$A,'Pre-Harvest Plots_rpt'!$B125,Tree!$B:$B,'Pre-Harvest Plots_rpt'!$D125,Tree!$F:$F,"L",Tree!$K:$K,"&lt;&gt;"&amp;"Y"))</f>
        <v/>
      </c>
      <c r="G125" s="153" t="str">
        <f>IFERROR(IF(D125="","",SUMIFS(Tree!$P:$P,Tree!$A:$A,'Pre-Harvest Plots_rpt'!$B125,Tree!$B:$B,'Pre-Harvest Plots_rpt'!$D125,Tree!$K:$K,"&lt;&gt;"&amp;"Y")/$F125),"")</f>
        <v/>
      </c>
      <c r="H125" s="122" t="str">
        <f t="shared" si="5"/>
        <v/>
      </c>
      <c r="I125" s="121" t="str">
        <f>IF(OR($F125=0,$F125=""),"",SUMIFS(Tree!$R:$R,Tree!$A:$A,'Pre-Harvest Plots_rpt'!$B125,Tree!$B:$B,'Pre-Harvest Plots_rpt'!$D125,Tree!$F:$F,"L",Tree!$K:$K,"&lt;&gt;"&amp;"Y"))</f>
        <v/>
      </c>
      <c r="J125" s="121" t="str">
        <f>IF(OR($F125=0,$F125=""),"",IF(SUMIFS(Tree!$W:$W,Tree!$A:$A,'Pre-Harvest Plots_rpt'!$B125,Tree!$B:$B,'Pre-Harvest Plots_rpt'!$D125,Tree!$F:$F,"L",Tree!$K:$K,"&lt;&gt;"&amp;"Y")=0,0,AVERAGEIFS(Tree!$W:$W,Tree!$A:$A,'Pre-Harvest Plots_rpt'!$B125,Tree!$B:$B,'Pre-Harvest Plots_rpt'!$D125,Tree!$F:$F,"L",Tree!$K:$K,"&lt;&gt;"&amp;"Y")))</f>
        <v/>
      </c>
      <c r="K125" s="121" t="str">
        <f>IF($F125="","",SUMIFS(Tree!$S:$S,Tree!$A:$A,'Pre-Harvest Plots_rpt'!$B125,Tree!$B:$B,'Pre-Harvest Plots_rpt'!$D125,Tree!$F:$F,"L",Tree!$K:$K,"&lt;&gt;"&amp;"Y"))</f>
        <v/>
      </c>
      <c r="L125" s="154" t="str">
        <f t="shared" si="6"/>
        <v/>
      </c>
      <c r="M125" s="135"/>
      <c r="N125" s="192" t="str">
        <f>IF(B125="","",SUMIFS(Tree!$AM:$AM,Tree!$A:$A,'Pre-Harvest Plots_rpt'!$B125,Tree!$B:$B,'Pre-Harvest Plots_rpt'!$D125,Tree!$F:$F,"L",Tree!$K:$K,"&lt;&gt;"&amp;"Y"))</f>
        <v/>
      </c>
      <c r="O125" s="122" t="str">
        <f>IF(B125="","",SUMIFS(Tree!$AN:$AN,Tree!$A:$A,'Pre-Harvest Plots_rpt'!$B125,Tree!$B:$B,'Pre-Harvest Plots_rpt'!$D125,Tree!$F:$F,"L",Tree!$K:$K,"&lt;&gt;"&amp;"Y"))</f>
        <v/>
      </c>
      <c r="P125" s="122" t="str">
        <f>IF(B125="","",SUMIFS(Tree!$AO:$AO,Tree!$A:$A,'Pre-Harvest Plots_rpt'!$B125,Tree!$B:$B,'Pre-Harvest Plots_rpt'!$D125,Tree!$F:$F,"L",Tree!$K:$K,"&lt;&gt;"&amp;"Y"))</f>
        <v/>
      </c>
      <c r="Q125" s="122" t="str">
        <f>IF(B125="","",SUMIFS(Tree!$AP:$AP,Tree!$A:$A,'Pre-Harvest Plots_rpt'!$B125,Tree!$B:$B,'Pre-Harvest Plots_rpt'!$D125,Tree!$F:$F,"L",Tree!$K:$K,"&lt;&gt;"&amp;"Y"))</f>
        <v/>
      </c>
      <c r="R125" s="123" t="str">
        <f>IF(B125="","",SUMIFS(Tree!$AQ:$AQ,Tree!$A:$A,'Pre-Harvest Plots_rpt'!$B125,Tree!$B:$B,'Pre-Harvest Plots_rpt'!$D125,Tree!$F:$F,"L",Tree!$K:$K,"&lt;&gt;"&amp;"Y"))</f>
        <v/>
      </c>
      <c r="S125" s="122" t="str">
        <f>IF(B125="","",SUMIFS(Tree!$AJ:$AJ,Tree!$A:$A,'Pre-Harvest Plots_rpt'!$B125,Tree!$B:$B,'Pre-Harvest Plots_rpt'!$D125,Tree!$F:$F,"L",Tree!$K:$K,"&lt;&gt;"&amp;"Y")-O125)</f>
        <v/>
      </c>
      <c r="T125" s="122" t="str">
        <f>IF(B125="","",SUMIFS(Tree!$AK:$AK,Tree!$A:$A,'Pre-Harvest Plots_rpt'!$B125,Tree!$B:$B,'Pre-Harvest Plots_rpt'!$D125,Tree!$F:$F,"L",Tree!$K:$K,"&lt;&gt;"&amp;"Y")-P125)</f>
        <v/>
      </c>
      <c r="U125" s="122" t="str">
        <f>IF(B125="","",SUMIFS(Tree!$AL:$AL,Tree!$A:$A,'Pre-Harvest Plots_rpt'!$B125,Tree!$B:$B,'Pre-Harvest Plots_rpt'!$D125,Tree!$F:$F,"L",Tree!$K:$K,"&lt;&gt;"&amp;"Y")-Q125)</f>
        <v/>
      </c>
      <c r="V125" s="123" t="str">
        <f>IF(B125="","",ROUND(SUMIFS(Tree!$AE:$AE,Tree!$A:$A,'Pre-Harvest Plots_rpt'!$B125,Tree!$B:$B,'Pre-Harvest Plots_rpt'!$D125,Tree!$F:$F,"L",Tree!$K:$K,"&lt;&gt;"&amp;"Y")-R125,1))</f>
        <v/>
      </c>
      <c r="W125" s="124" t="str">
        <f>IF(B125="","",SUMIFS(Tree!$AY:$AY,Tree!$A:$A,'Pre-Harvest Plots_rpt'!$B125,Tree!$B:$B,'Pre-Harvest Plots_rpt'!$D125,Tree!$F:$F,"L",Tree!$K:$K,"&lt;&gt;"&amp;"Y")/1000)</f>
        <v/>
      </c>
      <c r="X125" s="158" t="str">
        <f>IF(B125="","",ROUND((SUMIFS(Tree!$AW:$AW,Tree!$A:$A,'Pre-Harvest Plots_rpt'!$B125,Tree!$B:$B,'Pre-Harvest Plots_rpt'!$D125,Tree!$F:$F,"L",Tree!$K:$K,"&lt;&gt;"&amp;"Y")/1000)-W125,1))</f>
        <v/>
      </c>
      <c r="Y125" s="135"/>
      <c r="Z125" s="161" t="str">
        <f>IF(IF(B125="","",SUMIFS(Tree!$O:$O,Tree!$A:$A,'Pre-Harvest Plots_rpt'!$B125,Tree!$B:$B,'Pre-Harvest Plots_rpt'!$D125,Tree!$F:$F,"D",Tree!$K:$K,"&lt;&gt;"&amp;"Y"))=0,"",IF(B125="","",SUMIFS(Tree!$O:$O,Tree!$A:$A,'Pre-Harvest Plots_rpt'!$B125,Tree!$B:$B,'Pre-Harvest Plots_rpt'!$D125,Tree!$F:$F,"D",Tree!$K:$K,"&lt;&gt;"&amp;"Y")))</f>
        <v/>
      </c>
      <c r="AA125" s="125" t="str">
        <f t="shared" si="7"/>
        <v/>
      </c>
      <c r="AB125" s="125" t="str">
        <f>IF(Z125="","",SUMIFS(Tree!$R:$R,Tree!$A:$A,'Pre-Harvest Plots_rpt'!$B125,Tree!$B:$B,'Pre-Harvest Plots_rpt'!$D125,Tree!$F:$F,"D",Tree!$K:$K,"&lt;&gt;"&amp;"Y"))</f>
        <v/>
      </c>
      <c r="AC125" s="126" t="str">
        <f>IF(Z125="","",SUMIFS(Tree!$AM:$AM,Tree!$A:$A,'Pre-Harvest Plots_rpt'!$B125,Tree!$B:$B,'Pre-Harvest Plots_rpt'!$D125,Tree!$F:$F,"D",Tree!$K:$K,"&lt;&gt;"&amp;"Y"))</f>
        <v/>
      </c>
      <c r="AD125" s="162" t="str">
        <f>IF(Z125="","",SUMIFS(Tree!$AW:$AW,Tree!$A:$A,'Pre-Harvest Plots_rpt'!$B125,Tree!$B:$B,'Pre-Harvest Plots_rpt'!$D125,Tree!$F:$F,"D",Tree!$K:$K,"&lt;&gt;"&amp;"Y")/1000)</f>
        <v/>
      </c>
      <c r="AE125" s="47"/>
      <c r="AF125" s="18"/>
      <c r="AG125" s="18"/>
      <c r="AH125" s="18"/>
    </row>
    <row r="126" spans="1:34" ht="12.75" customHeight="1" x14ac:dyDescent="0.25">
      <c r="A126" s="48">
        <v>123</v>
      </c>
      <c r="B126" s="171" t="str">
        <f>IF(A126&lt;=SUM(Stand!$H$3:$H$29),VLOOKUP(A126,Stand!$A$3:$C$29,3,TRUE),"")</f>
        <v/>
      </c>
      <c r="C126" s="172" t="str">
        <f t="shared" si="4"/>
        <v/>
      </c>
      <c r="D126" s="173" t="str">
        <f>IF(B126="","",VLOOKUP(B126&amp;C126,Plot!$B$2:$D$199,3,FALSE))</f>
        <v/>
      </c>
      <c r="E126" s="130"/>
      <c r="F126" s="152" t="str">
        <f>IF(B126="","",SUMIFS(Tree!$O:$O,Tree!$A:$A,'Pre-Harvest Plots_rpt'!$B126,Tree!$B:$B,'Pre-Harvest Plots_rpt'!$D126,Tree!$F:$F,"L",Tree!$K:$K,"&lt;&gt;"&amp;"Y"))</f>
        <v/>
      </c>
      <c r="G126" s="153" t="str">
        <f>IFERROR(IF(D126="","",SUMIFS(Tree!$P:$P,Tree!$A:$A,'Pre-Harvest Plots_rpt'!$B126,Tree!$B:$B,'Pre-Harvest Plots_rpt'!$D126,Tree!$K:$K,"&lt;&gt;"&amp;"Y")/$F126),"")</f>
        <v/>
      </c>
      <c r="H126" s="122" t="str">
        <f t="shared" si="5"/>
        <v/>
      </c>
      <c r="I126" s="121" t="str">
        <f>IF(OR($F126=0,$F126=""),"",SUMIFS(Tree!$R:$R,Tree!$A:$A,'Pre-Harvest Plots_rpt'!$B126,Tree!$B:$B,'Pre-Harvest Plots_rpt'!$D126,Tree!$F:$F,"L",Tree!$K:$K,"&lt;&gt;"&amp;"Y"))</f>
        <v/>
      </c>
      <c r="J126" s="121" t="str">
        <f>IF(OR($F126=0,$F126=""),"",IF(SUMIFS(Tree!$W:$W,Tree!$A:$A,'Pre-Harvest Plots_rpt'!$B126,Tree!$B:$B,'Pre-Harvest Plots_rpt'!$D126,Tree!$F:$F,"L",Tree!$K:$K,"&lt;&gt;"&amp;"Y")=0,0,AVERAGEIFS(Tree!$W:$W,Tree!$A:$A,'Pre-Harvest Plots_rpt'!$B126,Tree!$B:$B,'Pre-Harvest Plots_rpt'!$D126,Tree!$F:$F,"L",Tree!$K:$K,"&lt;&gt;"&amp;"Y")))</f>
        <v/>
      </c>
      <c r="K126" s="121" t="str">
        <f>IF($F126="","",SUMIFS(Tree!$S:$S,Tree!$A:$A,'Pre-Harvest Plots_rpt'!$B126,Tree!$B:$B,'Pre-Harvest Plots_rpt'!$D126,Tree!$F:$F,"L",Tree!$K:$K,"&lt;&gt;"&amp;"Y"))</f>
        <v/>
      </c>
      <c r="L126" s="154" t="str">
        <f t="shared" si="6"/>
        <v/>
      </c>
      <c r="M126" s="135"/>
      <c r="N126" s="192" t="str">
        <f>IF(B126="","",SUMIFS(Tree!$AM:$AM,Tree!$A:$A,'Pre-Harvest Plots_rpt'!$B126,Tree!$B:$B,'Pre-Harvest Plots_rpt'!$D126,Tree!$F:$F,"L",Tree!$K:$K,"&lt;&gt;"&amp;"Y"))</f>
        <v/>
      </c>
      <c r="O126" s="122" t="str">
        <f>IF(B126="","",SUMIFS(Tree!$AN:$AN,Tree!$A:$A,'Pre-Harvest Plots_rpt'!$B126,Tree!$B:$B,'Pre-Harvest Plots_rpt'!$D126,Tree!$F:$F,"L",Tree!$K:$K,"&lt;&gt;"&amp;"Y"))</f>
        <v/>
      </c>
      <c r="P126" s="122" t="str">
        <f>IF(B126="","",SUMIFS(Tree!$AO:$AO,Tree!$A:$A,'Pre-Harvest Plots_rpt'!$B126,Tree!$B:$B,'Pre-Harvest Plots_rpt'!$D126,Tree!$F:$F,"L",Tree!$K:$K,"&lt;&gt;"&amp;"Y"))</f>
        <v/>
      </c>
      <c r="Q126" s="122" t="str">
        <f>IF(B126="","",SUMIFS(Tree!$AP:$AP,Tree!$A:$A,'Pre-Harvest Plots_rpt'!$B126,Tree!$B:$B,'Pre-Harvest Plots_rpt'!$D126,Tree!$F:$F,"L",Tree!$K:$K,"&lt;&gt;"&amp;"Y"))</f>
        <v/>
      </c>
      <c r="R126" s="123" t="str">
        <f>IF(B126="","",SUMIFS(Tree!$AQ:$AQ,Tree!$A:$A,'Pre-Harvest Plots_rpt'!$B126,Tree!$B:$B,'Pre-Harvest Plots_rpt'!$D126,Tree!$F:$F,"L",Tree!$K:$K,"&lt;&gt;"&amp;"Y"))</f>
        <v/>
      </c>
      <c r="S126" s="122" t="str">
        <f>IF(B126="","",SUMIFS(Tree!$AJ:$AJ,Tree!$A:$A,'Pre-Harvest Plots_rpt'!$B126,Tree!$B:$B,'Pre-Harvest Plots_rpt'!$D126,Tree!$F:$F,"L",Tree!$K:$K,"&lt;&gt;"&amp;"Y")-O126)</f>
        <v/>
      </c>
      <c r="T126" s="122" t="str">
        <f>IF(B126="","",SUMIFS(Tree!$AK:$AK,Tree!$A:$A,'Pre-Harvest Plots_rpt'!$B126,Tree!$B:$B,'Pre-Harvest Plots_rpt'!$D126,Tree!$F:$F,"L",Tree!$K:$K,"&lt;&gt;"&amp;"Y")-P126)</f>
        <v/>
      </c>
      <c r="U126" s="122" t="str">
        <f>IF(B126="","",SUMIFS(Tree!$AL:$AL,Tree!$A:$A,'Pre-Harvest Plots_rpt'!$B126,Tree!$B:$B,'Pre-Harvest Plots_rpt'!$D126,Tree!$F:$F,"L",Tree!$K:$K,"&lt;&gt;"&amp;"Y")-Q126)</f>
        <v/>
      </c>
      <c r="V126" s="123" t="str">
        <f>IF(B126="","",ROUND(SUMIFS(Tree!$AE:$AE,Tree!$A:$A,'Pre-Harvest Plots_rpt'!$B126,Tree!$B:$B,'Pre-Harvest Plots_rpt'!$D126,Tree!$F:$F,"L",Tree!$K:$K,"&lt;&gt;"&amp;"Y")-R126,1))</f>
        <v/>
      </c>
      <c r="W126" s="124" t="str">
        <f>IF(B126="","",SUMIFS(Tree!$AY:$AY,Tree!$A:$A,'Pre-Harvest Plots_rpt'!$B126,Tree!$B:$B,'Pre-Harvest Plots_rpt'!$D126,Tree!$F:$F,"L",Tree!$K:$K,"&lt;&gt;"&amp;"Y")/1000)</f>
        <v/>
      </c>
      <c r="X126" s="158" t="str">
        <f>IF(B126="","",ROUND((SUMIFS(Tree!$AW:$AW,Tree!$A:$A,'Pre-Harvest Plots_rpt'!$B126,Tree!$B:$B,'Pre-Harvest Plots_rpt'!$D126,Tree!$F:$F,"L",Tree!$K:$K,"&lt;&gt;"&amp;"Y")/1000)-W126,1))</f>
        <v/>
      </c>
      <c r="Y126" s="135"/>
      <c r="Z126" s="161" t="str">
        <f>IF(IF(B126="","",SUMIFS(Tree!$O:$O,Tree!$A:$A,'Pre-Harvest Plots_rpt'!$B126,Tree!$B:$B,'Pre-Harvest Plots_rpt'!$D126,Tree!$F:$F,"D",Tree!$K:$K,"&lt;&gt;"&amp;"Y"))=0,"",IF(B126="","",SUMIFS(Tree!$O:$O,Tree!$A:$A,'Pre-Harvest Plots_rpt'!$B126,Tree!$B:$B,'Pre-Harvest Plots_rpt'!$D126,Tree!$F:$F,"D",Tree!$K:$K,"&lt;&gt;"&amp;"Y")))</f>
        <v/>
      </c>
      <c r="AA126" s="125" t="str">
        <f t="shared" si="7"/>
        <v/>
      </c>
      <c r="AB126" s="125" t="str">
        <f>IF(Z126="","",SUMIFS(Tree!$R:$R,Tree!$A:$A,'Pre-Harvest Plots_rpt'!$B126,Tree!$B:$B,'Pre-Harvest Plots_rpt'!$D126,Tree!$F:$F,"D",Tree!$K:$K,"&lt;&gt;"&amp;"Y"))</f>
        <v/>
      </c>
      <c r="AC126" s="126" t="str">
        <f>IF(Z126="","",SUMIFS(Tree!$AM:$AM,Tree!$A:$A,'Pre-Harvest Plots_rpt'!$B126,Tree!$B:$B,'Pre-Harvest Plots_rpt'!$D126,Tree!$F:$F,"D",Tree!$K:$K,"&lt;&gt;"&amp;"Y"))</f>
        <v/>
      </c>
      <c r="AD126" s="162" t="str">
        <f>IF(Z126="","",SUMIFS(Tree!$AW:$AW,Tree!$A:$A,'Pre-Harvest Plots_rpt'!$B126,Tree!$B:$B,'Pre-Harvest Plots_rpt'!$D126,Tree!$F:$F,"D",Tree!$K:$K,"&lt;&gt;"&amp;"Y")/1000)</f>
        <v/>
      </c>
      <c r="AE126" s="47"/>
      <c r="AF126" s="18"/>
      <c r="AG126" s="18"/>
      <c r="AH126" s="18"/>
    </row>
    <row r="127" spans="1:34" ht="12.75" customHeight="1" x14ac:dyDescent="0.25">
      <c r="A127" s="48">
        <v>124</v>
      </c>
      <c r="B127" s="171" t="str">
        <f>IF(A127&lt;=SUM(Stand!$H$3:$H$29),VLOOKUP(A127,Stand!$A$3:$C$29,3,TRUE),"")</f>
        <v/>
      </c>
      <c r="C127" s="172" t="str">
        <f t="shared" si="4"/>
        <v/>
      </c>
      <c r="D127" s="173" t="str">
        <f>IF(B127="","",VLOOKUP(B127&amp;C127,Plot!$B$2:$D$199,3,FALSE))</f>
        <v/>
      </c>
      <c r="E127" s="130"/>
      <c r="F127" s="152" t="str">
        <f>IF(B127="","",SUMIFS(Tree!$O:$O,Tree!$A:$A,'Pre-Harvest Plots_rpt'!$B127,Tree!$B:$B,'Pre-Harvest Plots_rpt'!$D127,Tree!$F:$F,"L",Tree!$K:$K,"&lt;&gt;"&amp;"Y"))</f>
        <v/>
      </c>
      <c r="G127" s="153" t="str">
        <f>IFERROR(IF(D127="","",SUMIFS(Tree!$P:$P,Tree!$A:$A,'Pre-Harvest Plots_rpt'!$B127,Tree!$B:$B,'Pre-Harvest Plots_rpt'!$D127,Tree!$K:$K,"&lt;&gt;"&amp;"Y")/$F127),"")</f>
        <v/>
      </c>
      <c r="H127" s="122" t="str">
        <f t="shared" si="5"/>
        <v/>
      </c>
      <c r="I127" s="121" t="str">
        <f>IF(OR($F127=0,$F127=""),"",SUMIFS(Tree!$R:$R,Tree!$A:$A,'Pre-Harvest Plots_rpt'!$B127,Tree!$B:$B,'Pre-Harvest Plots_rpt'!$D127,Tree!$F:$F,"L",Tree!$K:$K,"&lt;&gt;"&amp;"Y"))</f>
        <v/>
      </c>
      <c r="J127" s="121" t="str">
        <f>IF(OR($F127=0,$F127=""),"",IF(SUMIFS(Tree!$W:$W,Tree!$A:$A,'Pre-Harvest Plots_rpt'!$B127,Tree!$B:$B,'Pre-Harvest Plots_rpt'!$D127,Tree!$F:$F,"L",Tree!$K:$K,"&lt;&gt;"&amp;"Y")=0,0,AVERAGEIFS(Tree!$W:$W,Tree!$A:$A,'Pre-Harvest Plots_rpt'!$B127,Tree!$B:$B,'Pre-Harvest Plots_rpt'!$D127,Tree!$F:$F,"L",Tree!$K:$K,"&lt;&gt;"&amp;"Y")))</f>
        <v/>
      </c>
      <c r="K127" s="121" t="str">
        <f>IF($F127="","",SUMIFS(Tree!$S:$S,Tree!$A:$A,'Pre-Harvest Plots_rpt'!$B127,Tree!$B:$B,'Pre-Harvest Plots_rpt'!$D127,Tree!$F:$F,"L",Tree!$K:$K,"&lt;&gt;"&amp;"Y"))</f>
        <v/>
      </c>
      <c r="L127" s="154" t="str">
        <f t="shared" si="6"/>
        <v/>
      </c>
      <c r="M127" s="135"/>
      <c r="N127" s="192" t="str">
        <f>IF(B127="","",SUMIFS(Tree!$AM:$AM,Tree!$A:$A,'Pre-Harvest Plots_rpt'!$B127,Tree!$B:$B,'Pre-Harvest Plots_rpt'!$D127,Tree!$F:$F,"L",Tree!$K:$K,"&lt;&gt;"&amp;"Y"))</f>
        <v/>
      </c>
      <c r="O127" s="122" t="str">
        <f>IF(B127="","",SUMIFS(Tree!$AN:$AN,Tree!$A:$A,'Pre-Harvest Plots_rpt'!$B127,Tree!$B:$B,'Pre-Harvest Plots_rpt'!$D127,Tree!$F:$F,"L",Tree!$K:$K,"&lt;&gt;"&amp;"Y"))</f>
        <v/>
      </c>
      <c r="P127" s="122" t="str">
        <f>IF(B127="","",SUMIFS(Tree!$AO:$AO,Tree!$A:$A,'Pre-Harvest Plots_rpt'!$B127,Tree!$B:$B,'Pre-Harvest Plots_rpt'!$D127,Tree!$F:$F,"L",Tree!$K:$K,"&lt;&gt;"&amp;"Y"))</f>
        <v/>
      </c>
      <c r="Q127" s="122" t="str">
        <f>IF(B127="","",SUMIFS(Tree!$AP:$AP,Tree!$A:$A,'Pre-Harvest Plots_rpt'!$B127,Tree!$B:$B,'Pre-Harvest Plots_rpt'!$D127,Tree!$F:$F,"L",Tree!$K:$K,"&lt;&gt;"&amp;"Y"))</f>
        <v/>
      </c>
      <c r="R127" s="123" t="str">
        <f>IF(B127="","",SUMIFS(Tree!$AQ:$AQ,Tree!$A:$A,'Pre-Harvest Plots_rpt'!$B127,Tree!$B:$B,'Pre-Harvest Plots_rpt'!$D127,Tree!$F:$F,"L",Tree!$K:$K,"&lt;&gt;"&amp;"Y"))</f>
        <v/>
      </c>
      <c r="S127" s="122" t="str">
        <f>IF(B127="","",SUMIFS(Tree!$AJ:$AJ,Tree!$A:$A,'Pre-Harvest Plots_rpt'!$B127,Tree!$B:$B,'Pre-Harvest Plots_rpt'!$D127,Tree!$F:$F,"L",Tree!$K:$K,"&lt;&gt;"&amp;"Y")-O127)</f>
        <v/>
      </c>
      <c r="T127" s="122" t="str">
        <f>IF(B127="","",SUMIFS(Tree!$AK:$AK,Tree!$A:$A,'Pre-Harvest Plots_rpt'!$B127,Tree!$B:$B,'Pre-Harvest Plots_rpt'!$D127,Tree!$F:$F,"L",Tree!$K:$K,"&lt;&gt;"&amp;"Y")-P127)</f>
        <v/>
      </c>
      <c r="U127" s="122" t="str">
        <f>IF(B127="","",SUMIFS(Tree!$AL:$AL,Tree!$A:$A,'Pre-Harvest Plots_rpt'!$B127,Tree!$B:$B,'Pre-Harvest Plots_rpt'!$D127,Tree!$F:$F,"L",Tree!$K:$K,"&lt;&gt;"&amp;"Y")-Q127)</f>
        <v/>
      </c>
      <c r="V127" s="123" t="str">
        <f>IF(B127="","",ROUND(SUMIFS(Tree!$AE:$AE,Tree!$A:$A,'Pre-Harvest Plots_rpt'!$B127,Tree!$B:$B,'Pre-Harvest Plots_rpt'!$D127,Tree!$F:$F,"L",Tree!$K:$K,"&lt;&gt;"&amp;"Y")-R127,1))</f>
        <v/>
      </c>
      <c r="W127" s="124" t="str">
        <f>IF(B127="","",SUMIFS(Tree!$AY:$AY,Tree!$A:$A,'Pre-Harvest Plots_rpt'!$B127,Tree!$B:$B,'Pre-Harvest Plots_rpt'!$D127,Tree!$F:$F,"L",Tree!$K:$K,"&lt;&gt;"&amp;"Y")/1000)</f>
        <v/>
      </c>
      <c r="X127" s="158" t="str">
        <f>IF(B127="","",ROUND((SUMIFS(Tree!$AW:$AW,Tree!$A:$A,'Pre-Harvest Plots_rpt'!$B127,Tree!$B:$B,'Pre-Harvest Plots_rpt'!$D127,Tree!$F:$F,"L",Tree!$K:$K,"&lt;&gt;"&amp;"Y")/1000)-W127,1))</f>
        <v/>
      </c>
      <c r="Y127" s="135"/>
      <c r="Z127" s="161" t="str">
        <f>IF(IF(B127="","",SUMIFS(Tree!$O:$O,Tree!$A:$A,'Pre-Harvest Plots_rpt'!$B127,Tree!$B:$B,'Pre-Harvest Plots_rpt'!$D127,Tree!$F:$F,"D",Tree!$K:$K,"&lt;&gt;"&amp;"Y"))=0,"",IF(B127="","",SUMIFS(Tree!$O:$O,Tree!$A:$A,'Pre-Harvest Plots_rpt'!$B127,Tree!$B:$B,'Pre-Harvest Plots_rpt'!$D127,Tree!$F:$F,"D",Tree!$K:$K,"&lt;&gt;"&amp;"Y")))</f>
        <v/>
      </c>
      <c r="AA127" s="125" t="str">
        <f t="shared" si="7"/>
        <v/>
      </c>
      <c r="AB127" s="125" t="str">
        <f>IF(Z127="","",SUMIFS(Tree!$R:$R,Tree!$A:$A,'Pre-Harvest Plots_rpt'!$B127,Tree!$B:$B,'Pre-Harvest Plots_rpt'!$D127,Tree!$F:$F,"D",Tree!$K:$K,"&lt;&gt;"&amp;"Y"))</f>
        <v/>
      </c>
      <c r="AC127" s="126" t="str">
        <f>IF(Z127="","",SUMIFS(Tree!$AM:$AM,Tree!$A:$A,'Pre-Harvest Plots_rpt'!$B127,Tree!$B:$B,'Pre-Harvest Plots_rpt'!$D127,Tree!$F:$F,"D",Tree!$K:$K,"&lt;&gt;"&amp;"Y"))</f>
        <v/>
      </c>
      <c r="AD127" s="162" t="str">
        <f>IF(Z127="","",SUMIFS(Tree!$AW:$AW,Tree!$A:$A,'Pre-Harvest Plots_rpt'!$B127,Tree!$B:$B,'Pre-Harvest Plots_rpt'!$D127,Tree!$F:$F,"D",Tree!$K:$K,"&lt;&gt;"&amp;"Y")/1000)</f>
        <v/>
      </c>
      <c r="AE127" s="47"/>
      <c r="AF127" s="18"/>
      <c r="AG127" s="18"/>
      <c r="AH127" s="18"/>
    </row>
    <row r="128" spans="1:34" ht="12.75" customHeight="1" x14ac:dyDescent="0.25">
      <c r="A128" s="48">
        <v>125</v>
      </c>
      <c r="B128" s="171" t="str">
        <f>IF(A128&lt;=SUM(Stand!$H$3:$H$29),VLOOKUP(A128,Stand!$A$3:$C$29,3,TRUE),"")</f>
        <v/>
      </c>
      <c r="C128" s="172" t="str">
        <f t="shared" si="4"/>
        <v/>
      </c>
      <c r="D128" s="173" t="str">
        <f>IF(B128="","",VLOOKUP(B128&amp;C128,Plot!$B$2:$D$199,3,FALSE))</f>
        <v/>
      </c>
      <c r="E128" s="130"/>
      <c r="F128" s="152" t="str">
        <f>IF(B128="","",SUMIFS(Tree!$O:$O,Tree!$A:$A,'Pre-Harvest Plots_rpt'!$B128,Tree!$B:$B,'Pre-Harvest Plots_rpt'!$D128,Tree!$F:$F,"L",Tree!$K:$K,"&lt;&gt;"&amp;"Y"))</f>
        <v/>
      </c>
      <c r="G128" s="153" t="str">
        <f>IFERROR(IF(D128="","",SUMIFS(Tree!$P:$P,Tree!$A:$A,'Pre-Harvest Plots_rpt'!$B128,Tree!$B:$B,'Pre-Harvest Plots_rpt'!$D128,Tree!$K:$K,"&lt;&gt;"&amp;"Y")/$F128),"")</f>
        <v/>
      </c>
      <c r="H128" s="122" t="str">
        <f t="shared" si="5"/>
        <v/>
      </c>
      <c r="I128" s="121" t="str">
        <f>IF(OR($F128=0,$F128=""),"",SUMIFS(Tree!$R:$R,Tree!$A:$A,'Pre-Harvest Plots_rpt'!$B128,Tree!$B:$B,'Pre-Harvest Plots_rpt'!$D128,Tree!$F:$F,"L",Tree!$K:$K,"&lt;&gt;"&amp;"Y"))</f>
        <v/>
      </c>
      <c r="J128" s="121" t="str">
        <f>IF(OR($F128=0,$F128=""),"",IF(SUMIFS(Tree!$W:$W,Tree!$A:$A,'Pre-Harvest Plots_rpt'!$B128,Tree!$B:$B,'Pre-Harvest Plots_rpt'!$D128,Tree!$F:$F,"L",Tree!$K:$K,"&lt;&gt;"&amp;"Y")=0,0,AVERAGEIFS(Tree!$W:$W,Tree!$A:$A,'Pre-Harvest Plots_rpt'!$B128,Tree!$B:$B,'Pre-Harvest Plots_rpt'!$D128,Tree!$F:$F,"L",Tree!$K:$K,"&lt;&gt;"&amp;"Y")))</f>
        <v/>
      </c>
      <c r="K128" s="121" t="str">
        <f>IF($F128="","",SUMIFS(Tree!$S:$S,Tree!$A:$A,'Pre-Harvest Plots_rpt'!$B128,Tree!$B:$B,'Pre-Harvest Plots_rpt'!$D128,Tree!$F:$F,"L",Tree!$K:$K,"&lt;&gt;"&amp;"Y"))</f>
        <v/>
      </c>
      <c r="L128" s="154" t="str">
        <f t="shared" si="6"/>
        <v/>
      </c>
      <c r="M128" s="135"/>
      <c r="N128" s="192" t="str">
        <f>IF(B128="","",SUMIFS(Tree!$AM:$AM,Tree!$A:$A,'Pre-Harvest Plots_rpt'!$B128,Tree!$B:$B,'Pre-Harvest Plots_rpt'!$D128,Tree!$F:$F,"L",Tree!$K:$K,"&lt;&gt;"&amp;"Y"))</f>
        <v/>
      </c>
      <c r="O128" s="122" t="str">
        <f>IF(B128="","",SUMIFS(Tree!$AN:$AN,Tree!$A:$A,'Pre-Harvest Plots_rpt'!$B128,Tree!$B:$B,'Pre-Harvest Plots_rpt'!$D128,Tree!$F:$F,"L",Tree!$K:$K,"&lt;&gt;"&amp;"Y"))</f>
        <v/>
      </c>
      <c r="P128" s="122" t="str">
        <f>IF(B128="","",SUMIFS(Tree!$AO:$AO,Tree!$A:$A,'Pre-Harvest Plots_rpt'!$B128,Tree!$B:$B,'Pre-Harvest Plots_rpt'!$D128,Tree!$F:$F,"L",Tree!$K:$K,"&lt;&gt;"&amp;"Y"))</f>
        <v/>
      </c>
      <c r="Q128" s="122" t="str">
        <f>IF(B128="","",SUMIFS(Tree!$AP:$AP,Tree!$A:$A,'Pre-Harvest Plots_rpt'!$B128,Tree!$B:$B,'Pre-Harvest Plots_rpt'!$D128,Tree!$F:$F,"L",Tree!$K:$K,"&lt;&gt;"&amp;"Y"))</f>
        <v/>
      </c>
      <c r="R128" s="123" t="str">
        <f>IF(B128="","",SUMIFS(Tree!$AQ:$AQ,Tree!$A:$A,'Pre-Harvest Plots_rpt'!$B128,Tree!$B:$B,'Pre-Harvest Plots_rpt'!$D128,Tree!$F:$F,"L",Tree!$K:$K,"&lt;&gt;"&amp;"Y"))</f>
        <v/>
      </c>
      <c r="S128" s="122" t="str">
        <f>IF(B128="","",SUMIFS(Tree!$AJ:$AJ,Tree!$A:$A,'Pre-Harvest Plots_rpt'!$B128,Tree!$B:$B,'Pre-Harvest Plots_rpt'!$D128,Tree!$F:$F,"L",Tree!$K:$K,"&lt;&gt;"&amp;"Y")-O128)</f>
        <v/>
      </c>
      <c r="T128" s="122" t="str">
        <f>IF(B128="","",SUMIFS(Tree!$AK:$AK,Tree!$A:$A,'Pre-Harvest Plots_rpt'!$B128,Tree!$B:$B,'Pre-Harvest Plots_rpt'!$D128,Tree!$F:$F,"L",Tree!$K:$K,"&lt;&gt;"&amp;"Y")-P128)</f>
        <v/>
      </c>
      <c r="U128" s="122" t="str">
        <f>IF(B128="","",SUMIFS(Tree!$AL:$AL,Tree!$A:$A,'Pre-Harvest Plots_rpt'!$B128,Tree!$B:$B,'Pre-Harvest Plots_rpt'!$D128,Tree!$F:$F,"L",Tree!$K:$K,"&lt;&gt;"&amp;"Y")-Q128)</f>
        <v/>
      </c>
      <c r="V128" s="123" t="str">
        <f>IF(B128="","",ROUND(SUMIFS(Tree!$AE:$AE,Tree!$A:$A,'Pre-Harvest Plots_rpt'!$B128,Tree!$B:$B,'Pre-Harvest Plots_rpt'!$D128,Tree!$F:$F,"L",Tree!$K:$K,"&lt;&gt;"&amp;"Y")-R128,1))</f>
        <v/>
      </c>
      <c r="W128" s="124" t="str">
        <f>IF(B128="","",SUMIFS(Tree!$AY:$AY,Tree!$A:$A,'Pre-Harvest Plots_rpt'!$B128,Tree!$B:$B,'Pre-Harvest Plots_rpt'!$D128,Tree!$F:$F,"L",Tree!$K:$K,"&lt;&gt;"&amp;"Y")/1000)</f>
        <v/>
      </c>
      <c r="X128" s="158" t="str">
        <f>IF(B128="","",ROUND((SUMIFS(Tree!$AW:$AW,Tree!$A:$A,'Pre-Harvest Plots_rpt'!$B128,Tree!$B:$B,'Pre-Harvest Plots_rpt'!$D128,Tree!$F:$F,"L",Tree!$K:$K,"&lt;&gt;"&amp;"Y")/1000)-W128,1))</f>
        <v/>
      </c>
      <c r="Y128" s="135"/>
      <c r="Z128" s="161" t="str">
        <f>IF(IF(B128="","",SUMIFS(Tree!$O:$O,Tree!$A:$A,'Pre-Harvest Plots_rpt'!$B128,Tree!$B:$B,'Pre-Harvest Plots_rpt'!$D128,Tree!$F:$F,"D",Tree!$K:$K,"&lt;&gt;"&amp;"Y"))=0,"",IF(B128="","",SUMIFS(Tree!$O:$O,Tree!$A:$A,'Pre-Harvest Plots_rpt'!$B128,Tree!$B:$B,'Pre-Harvest Plots_rpt'!$D128,Tree!$F:$F,"D",Tree!$K:$K,"&lt;&gt;"&amp;"Y")))</f>
        <v/>
      </c>
      <c r="AA128" s="125" t="str">
        <f t="shared" si="7"/>
        <v/>
      </c>
      <c r="AB128" s="125" t="str">
        <f>IF(Z128="","",SUMIFS(Tree!$R:$R,Tree!$A:$A,'Pre-Harvest Plots_rpt'!$B128,Tree!$B:$B,'Pre-Harvest Plots_rpt'!$D128,Tree!$F:$F,"D",Tree!$K:$K,"&lt;&gt;"&amp;"Y"))</f>
        <v/>
      </c>
      <c r="AC128" s="126" t="str">
        <f>IF(Z128="","",SUMIFS(Tree!$AM:$AM,Tree!$A:$A,'Pre-Harvest Plots_rpt'!$B128,Tree!$B:$B,'Pre-Harvest Plots_rpt'!$D128,Tree!$F:$F,"D",Tree!$K:$K,"&lt;&gt;"&amp;"Y"))</f>
        <v/>
      </c>
      <c r="AD128" s="162" t="str">
        <f>IF(Z128="","",SUMIFS(Tree!$AW:$AW,Tree!$A:$A,'Pre-Harvest Plots_rpt'!$B128,Tree!$B:$B,'Pre-Harvest Plots_rpt'!$D128,Tree!$F:$F,"D",Tree!$K:$K,"&lt;&gt;"&amp;"Y")/1000)</f>
        <v/>
      </c>
      <c r="AE128" s="47"/>
      <c r="AF128" s="18"/>
      <c r="AG128" s="18"/>
      <c r="AH128" s="18"/>
    </row>
    <row r="129" spans="1:34" ht="12.75" customHeight="1" x14ac:dyDescent="0.25">
      <c r="A129" s="48">
        <v>126</v>
      </c>
      <c r="B129" s="171" t="str">
        <f>IF(A129&lt;=SUM(Stand!$H$3:$H$29),VLOOKUP(A129,Stand!$A$3:$C$29,3,TRUE),"")</f>
        <v/>
      </c>
      <c r="C129" s="172" t="str">
        <f t="shared" si="4"/>
        <v/>
      </c>
      <c r="D129" s="173" t="str">
        <f>IF(B129="","",VLOOKUP(B129&amp;C129,Plot!$B$2:$D$199,3,FALSE))</f>
        <v/>
      </c>
      <c r="E129" s="130"/>
      <c r="F129" s="152" t="str">
        <f>IF(B129="","",SUMIFS(Tree!$O:$O,Tree!$A:$A,'Pre-Harvest Plots_rpt'!$B129,Tree!$B:$B,'Pre-Harvest Plots_rpt'!$D129,Tree!$F:$F,"L",Tree!$K:$K,"&lt;&gt;"&amp;"Y"))</f>
        <v/>
      </c>
      <c r="G129" s="153" t="str">
        <f>IFERROR(IF(D129="","",SUMIFS(Tree!$P:$P,Tree!$A:$A,'Pre-Harvest Plots_rpt'!$B129,Tree!$B:$B,'Pre-Harvest Plots_rpt'!$D129,Tree!$K:$K,"&lt;&gt;"&amp;"Y")/$F129),"")</f>
        <v/>
      </c>
      <c r="H129" s="122" t="str">
        <f t="shared" si="5"/>
        <v/>
      </c>
      <c r="I129" s="121" t="str">
        <f>IF(OR($F129=0,$F129=""),"",SUMIFS(Tree!$R:$R,Tree!$A:$A,'Pre-Harvest Plots_rpt'!$B129,Tree!$B:$B,'Pre-Harvest Plots_rpt'!$D129,Tree!$F:$F,"L",Tree!$K:$K,"&lt;&gt;"&amp;"Y"))</f>
        <v/>
      </c>
      <c r="J129" s="121" t="str">
        <f>IF(OR($F129=0,$F129=""),"",IF(SUMIFS(Tree!$W:$W,Tree!$A:$A,'Pre-Harvest Plots_rpt'!$B129,Tree!$B:$B,'Pre-Harvest Plots_rpt'!$D129,Tree!$F:$F,"L",Tree!$K:$K,"&lt;&gt;"&amp;"Y")=0,0,AVERAGEIFS(Tree!$W:$W,Tree!$A:$A,'Pre-Harvest Plots_rpt'!$B129,Tree!$B:$B,'Pre-Harvest Plots_rpt'!$D129,Tree!$F:$F,"L",Tree!$K:$K,"&lt;&gt;"&amp;"Y")))</f>
        <v/>
      </c>
      <c r="K129" s="121" t="str">
        <f>IF($F129="","",SUMIFS(Tree!$S:$S,Tree!$A:$A,'Pre-Harvest Plots_rpt'!$B129,Tree!$B:$B,'Pre-Harvest Plots_rpt'!$D129,Tree!$F:$F,"L",Tree!$K:$K,"&lt;&gt;"&amp;"Y"))</f>
        <v/>
      </c>
      <c r="L129" s="154" t="str">
        <f t="shared" si="6"/>
        <v/>
      </c>
      <c r="M129" s="135"/>
      <c r="N129" s="192" t="str">
        <f>IF(B129="","",SUMIFS(Tree!$AM:$AM,Tree!$A:$A,'Pre-Harvest Plots_rpt'!$B129,Tree!$B:$B,'Pre-Harvest Plots_rpt'!$D129,Tree!$F:$F,"L",Tree!$K:$K,"&lt;&gt;"&amp;"Y"))</f>
        <v/>
      </c>
      <c r="O129" s="122" t="str">
        <f>IF(B129="","",SUMIFS(Tree!$AN:$AN,Tree!$A:$A,'Pre-Harvest Plots_rpt'!$B129,Tree!$B:$B,'Pre-Harvest Plots_rpt'!$D129,Tree!$F:$F,"L",Tree!$K:$K,"&lt;&gt;"&amp;"Y"))</f>
        <v/>
      </c>
      <c r="P129" s="122" t="str">
        <f>IF(B129="","",SUMIFS(Tree!$AO:$AO,Tree!$A:$A,'Pre-Harvest Plots_rpt'!$B129,Tree!$B:$B,'Pre-Harvest Plots_rpt'!$D129,Tree!$F:$F,"L",Tree!$K:$K,"&lt;&gt;"&amp;"Y"))</f>
        <v/>
      </c>
      <c r="Q129" s="122" t="str">
        <f>IF(B129="","",SUMIFS(Tree!$AP:$AP,Tree!$A:$A,'Pre-Harvest Plots_rpt'!$B129,Tree!$B:$B,'Pre-Harvest Plots_rpt'!$D129,Tree!$F:$F,"L",Tree!$K:$K,"&lt;&gt;"&amp;"Y"))</f>
        <v/>
      </c>
      <c r="R129" s="123" t="str">
        <f>IF(B129="","",SUMIFS(Tree!$AQ:$AQ,Tree!$A:$A,'Pre-Harvest Plots_rpt'!$B129,Tree!$B:$B,'Pre-Harvest Plots_rpt'!$D129,Tree!$F:$F,"L",Tree!$K:$K,"&lt;&gt;"&amp;"Y"))</f>
        <v/>
      </c>
      <c r="S129" s="122" t="str">
        <f>IF(B129="","",SUMIFS(Tree!$AJ:$AJ,Tree!$A:$A,'Pre-Harvest Plots_rpt'!$B129,Tree!$B:$B,'Pre-Harvest Plots_rpt'!$D129,Tree!$F:$F,"L",Tree!$K:$K,"&lt;&gt;"&amp;"Y")-O129)</f>
        <v/>
      </c>
      <c r="T129" s="122" t="str">
        <f>IF(B129="","",SUMIFS(Tree!$AK:$AK,Tree!$A:$A,'Pre-Harvest Plots_rpt'!$B129,Tree!$B:$B,'Pre-Harvest Plots_rpt'!$D129,Tree!$F:$F,"L",Tree!$K:$K,"&lt;&gt;"&amp;"Y")-P129)</f>
        <v/>
      </c>
      <c r="U129" s="122" t="str">
        <f>IF(B129="","",SUMIFS(Tree!$AL:$AL,Tree!$A:$A,'Pre-Harvest Plots_rpt'!$B129,Tree!$B:$B,'Pre-Harvest Plots_rpt'!$D129,Tree!$F:$F,"L",Tree!$K:$K,"&lt;&gt;"&amp;"Y")-Q129)</f>
        <v/>
      </c>
      <c r="V129" s="123" t="str">
        <f>IF(B129="","",ROUND(SUMIFS(Tree!$AE:$AE,Tree!$A:$A,'Pre-Harvest Plots_rpt'!$B129,Tree!$B:$B,'Pre-Harvest Plots_rpt'!$D129,Tree!$F:$F,"L",Tree!$K:$K,"&lt;&gt;"&amp;"Y")-R129,1))</f>
        <v/>
      </c>
      <c r="W129" s="124" t="str">
        <f>IF(B129="","",SUMIFS(Tree!$AY:$AY,Tree!$A:$A,'Pre-Harvest Plots_rpt'!$B129,Tree!$B:$B,'Pre-Harvest Plots_rpt'!$D129,Tree!$F:$F,"L",Tree!$K:$K,"&lt;&gt;"&amp;"Y")/1000)</f>
        <v/>
      </c>
      <c r="X129" s="158" t="str">
        <f>IF(B129="","",ROUND((SUMIFS(Tree!$AW:$AW,Tree!$A:$A,'Pre-Harvest Plots_rpt'!$B129,Tree!$B:$B,'Pre-Harvest Plots_rpt'!$D129,Tree!$F:$F,"L",Tree!$K:$K,"&lt;&gt;"&amp;"Y")/1000)-W129,1))</f>
        <v/>
      </c>
      <c r="Y129" s="135"/>
      <c r="Z129" s="161" t="str">
        <f>IF(IF(B129="","",SUMIFS(Tree!$O:$O,Tree!$A:$A,'Pre-Harvest Plots_rpt'!$B129,Tree!$B:$B,'Pre-Harvest Plots_rpt'!$D129,Tree!$F:$F,"D",Tree!$K:$K,"&lt;&gt;"&amp;"Y"))=0,"",IF(B129="","",SUMIFS(Tree!$O:$O,Tree!$A:$A,'Pre-Harvest Plots_rpt'!$B129,Tree!$B:$B,'Pre-Harvest Plots_rpt'!$D129,Tree!$F:$F,"D",Tree!$K:$K,"&lt;&gt;"&amp;"Y")))</f>
        <v/>
      </c>
      <c r="AA129" s="125" t="str">
        <f t="shared" si="7"/>
        <v/>
      </c>
      <c r="AB129" s="125" t="str">
        <f>IF(Z129="","",SUMIFS(Tree!$R:$R,Tree!$A:$A,'Pre-Harvest Plots_rpt'!$B129,Tree!$B:$B,'Pre-Harvest Plots_rpt'!$D129,Tree!$F:$F,"D",Tree!$K:$K,"&lt;&gt;"&amp;"Y"))</f>
        <v/>
      </c>
      <c r="AC129" s="126" t="str">
        <f>IF(Z129="","",SUMIFS(Tree!$AM:$AM,Tree!$A:$A,'Pre-Harvest Plots_rpt'!$B129,Tree!$B:$B,'Pre-Harvest Plots_rpt'!$D129,Tree!$F:$F,"D",Tree!$K:$K,"&lt;&gt;"&amp;"Y"))</f>
        <v/>
      </c>
      <c r="AD129" s="162" t="str">
        <f>IF(Z129="","",SUMIFS(Tree!$AW:$AW,Tree!$A:$A,'Pre-Harvest Plots_rpt'!$B129,Tree!$B:$B,'Pre-Harvest Plots_rpt'!$D129,Tree!$F:$F,"D",Tree!$K:$K,"&lt;&gt;"&amp;"Y")/1000)</f>
        <v/>
      </c>
      <c r="AE129" s="47"/>
      <c r="AF129" s="18"/>
      <c r="AG129" s="18"/>
      <c r="AH129" s="18"/>
    </row>
    <row r="130" spans="1:34" ht="12.75" customHeight="1" x14ac:dyDescent="0.25">
      <c r="A130" s="48">
        <v>127</v>
      </c>
      <c r="B130" s="171" t="str">
        <f>IF(A130&lt;=SUM(Stand!$H$3:$H$29),VLOOKUP(A130,Stand!$A$3:$C$29,3,TRUE),"")</f>
        <v/>
      </c>
      <c r="C130" s="172" t="str">
        <f t="shared" si="4"/>
        <v/>
      </c>
      <c r="D130" s="173" t="str">
        <f>IF(B130="","",VLOOKUP(B130&amp;C130,Plot!$B$2:$D$199,3,FALSE))</f>
        <v/>
      </c>
      <c r="E130" s="130"/>
      <c r="F130" s="152" t="str">
        <f>IF(B130="","",SUMIFS(Tree!$O:$O,Tree!$A:$A,'Pre-Harvest Plots_rpt'!$B130,Tree!$B:$B,'Pre-Harvest Plots_rpt'!$D130,Tree!$F:$F,"L",Tree!$K:$K,"&lt;&gt;"&amp;"Y"))</f>
        <v/>
      </c>
      <c r="G130" s="153" t="str">
        <f>IFERROR(IF(D130="","",SUMIFS(Tree!$P:$P,Tree!$A:$A,'Pre-Harvest Plots_rpt'!$B130,Tree!$B:$B,'Pre-Harvest Plots_rpt'!$D130,Tree!$K:$K,"&lt;&gt;"&amp;"Y")/$F130),"")</f>
        <v/>
      </c>
      <c r="H130" s="122" t="str">
        <f t="shared" si="5"/>
        <v/>
      </c>
      <c r="I130" s="121" t="str">
        <f>IF(OR($F130=0,$F130=""),"",SUMIFS(Tree!$R:$R,Tree!$A:$A,'Pre-Harvest Plots_rpt'!$B130,Tree!$B:$B,'Pre-Harvest Plots_rpt'!$D130,Tree!$F:$F,"L",Tree!$K:$K,"&lt;&gt;"&amp;"Y"))</f>
        <v/>
      </c>
      <c r="J130" s="121" t="str">
        <f>IF(OR($F130=0,$F130=""),"",IF(SUMIFS(Tree!$W:$W,Tree!$A:$A,'Pre-Harvest Plots_rpt'!$B130,Tree!$B:$B,'Pre-Harvest Plots_rpt'!$D130,Tree!$F:$F,"L",Tree!$K:$K,"&lt;&gt;"&amp;"Y")=0,0,AVERAGEIFS(Tree!$W:$W,Tree!$A:$A,'Pre-Harvest Plots_rpt'!$B130,Tree!$B:$B,'Pre-Harvest Plots_rpt'!$D130,Tree!$F:$F,"L",Tree!$K:$K,"&lt;&gt;"&amp;"Y")))</f>
        <v/>
      </c>
      <c r="K130" s="121" t="str">
        <f>IF($F130="","",SUMIFS(Tree!$S:$S,Tree!$A:$A,'Pre-Harvest Plots_rpt'!$B130,Tree!$B:$B,'Pre-Harvest Plots_rpt'!$D130,Tree!$F:$F,"L",Tree!$K:$K,"&lt;&gt;"&amp;"Y"))</f>
        <v/>
      </c>
      <c r="L130" s="154" t="str">
        <f t="shared" si="6"/>
        <v/>
      </c>
      <c r="M130" s="135"/>
      <c r="N130" s="192" t="str">
        <f>IF(B130="","",SUMIFS(Tree!$AM:$AM,Tree!$A:$A,'Pre-Harvest Plots_rpt'!$B130,Tree!$B:$B,'Pre-Harvest Plots_rpt'!$D130,Tree!$F:$F,"L",Tree!$K:$K,"&lt;&gt;"&amp;"Y"))</f>
        <v/>
      </c>
      <c r="O130" s="122" t="str">
        <f>IF(B130="","",SUMIFS(Tree!$AN:$AN,Tree!$A:$A,'Pre-Harvest Plots_rpt'!$B130,Tree!$B:$B,'Pre-Harvest Plots_rpt'!$D130,Tree!$F:$F,"L",Tree!$K:$K,"&lt;&gt;"&amp;"Y"))</f>
        <v/>
      </c>
      <c r="P130" s="122" t="str">
        <f>IF(B130="","",SUMIFS(Tree!$AO:$AO,Tree!$A:$A,'Pre-Harvest Plots_rpt'!$B130,Tree!$B:$B,'Pre-Harvest Plots_rpt'!$D130,Tree!$F:$F,"L",Tree!$K:$K,"&lt;&gt;"&amp;"Y"))</f>
        <v/>
      </c>
      <c r="Q130" s="122" t="str">
        <f>IF(B130="","",SUMIFS(Tree!$AP:$AP,Tree!$A:$A,'Pre-Harvest Plots_rpt'!$B130,Tree!$B:$B,'Pre-Harvest Plots_rpt'!$D130,Tree!$F:$F,"L",Tree!$K:$K,"&lt;&gt;"&amp;"Y"))</f>
        <v/>
      </c>
      <c r="R130" s="123" t="str">
        <f>IF(B130="","",SUMIFS(Tree!$AQ:$AQ,Tree!$A:$A,'Pre-Harvest Plots_rpt'!$B130,Tree!$B:$B,'Pre-Harvest Plots_rpt'!$D130,Tree!$F:$F,"L",Tree!$K:$K,"&lt;&gt;"&amp;"Y"))</f>
        <v/>
      </c>
      <c r="S130" s="122" t="str">
        <f>IF(B130="","",SUMIFS(Tree!$AJ:$AJ,Tree!$A:$A,'Pre-Harvest Plots_rpt'!$B130,Tree!$B:$B,'Pre-Harvest Plots_rpt'!$D130,Tree!$F:$F,"L",Tree!$K:$K,"&lt;&gt;"&amp;"Y")-O130)</f>
        <v/>
      </c>
      <c r="T130" s="122" t="str">
        <f>IF(B130="","",SUMIFS(Tree!$AK:$AK,Tree!$A:$A,'Pre-Harvest Plots_rpt'!$B130,Tree!$B:$B,'Pre-Harvest Plots_rpt'!$D130,Tree!$F:$F,"L",Tree!$K:$K,"&lt;&gt;"&amp;"Y")-P130)</f>
        <v/>
      </c>
      <c r="U130" s="122" t="str">
        <f>IF(B130="","",SUMIFS(Tree!$AL:$AL,Tree!$A:$A,'Pre-Harvest Plots_rpt'!$B130,Tree!$B:$B,'Pre-Harvest Plots_rpt'!$D130,Tree!$F:$F,"L",Tree!$K:$K,"&lt;&gt;"&amp;"Y")-Q130)</f>
        <v/>
      </c>
      <c r="V130" s="123" t="str">
        <f>IF(B130="","",ROUND(SUMIFS(Tree!$AE:$AE,Tree!$A:$A,'Pre-Harvest Plots_rpt'!$B130,Tree!$B:$B,'Pre-Harvest Plots_rpt'!$D130,Tree!$F:$F,"L",Tree!$K:$K,"&lt;&gt;"&amp;"Y")-R130,1))</f>
        <v/>
      </c>
      <c r="W130" s="124" t="str">
        <f>IF(B130="","",SUMIFS(Tree!$AY:$AY,Tree!$A:$A,'Pre-Harvest Plots_rpt'!$B130,Tree!$B:$B,'Pre-Harvest Plots_rpt'!$D130,Tree!$F:$F,"L",Tree!$K:$K,"&lt;&gt;"&amp;"Y")/1000)</f>
        <v/>
      </c>
      <c r="X130" s="158" t="str">
        <f>IF(B130="","",ROUND((SUMIFS(Tree!$AW:$AW,Tree!$A:$A,'Pre-Harvest Plots_rpt'!$B130,Tree!$B:$B,'Pre-Harvest Plots_rpt'!$D130,Tree!$F:$F,"L",Tree!$K:$K,"&lt;&gt;"&amp;"Y")/1000)-W130,1))</f>
        <v/>
      </c>
      <c r="Y130" s="135"/>
      <c r="Z130" s="161" t="str">
        <f>IF(IF(B130="","",SUMIFS(Tree!$O:$O,Tree!$A:$A,'Pre-Harvest Plots_rpt'!$B130,Tree!$B:$B,'Pre-Harvest Plots_rpt'!$D130,Tree!$F:$F,"D",Tree!$K:$K,"&lt;&gt;"&amp;"Y"))=0,"",IF(B130="","",SUMIFS(Tree!$O:$O,Tree!$A:$A,'Pre-Harvest Plots_rpt'!$B130,Tree!$B:$B,'Pre-Harvest Plots_rpt'!$D130,Tree!$F:$F,"D",Tree!$K:$K,"&lt;&gt;"&amp;"Y")))</f>
        <v/>
      </c>
      <c r="AA130" s="125" t="str">
        <f t="shared" si="7"/>
        <v/>
      </c>
      <c r="AB130" s="125" t="str">
        <f>IF(Z130="","",SUMIFS(Tree!$R:$R,Tree!$A:$A,'Pre-Harvest Plots_rpt'!$B130,Tree!$B:$B,'Pre-Harvest Plots_rpt'!$D130,Tree!$F:$F,"D",Tree!$K:$K,"&lt;&gt;"&amp;"Y"))</f>
        <v/>
      </c>
      <c r="AC130" s="126" t="str">
        <f>IF(Z130="","",SUMIFS(Tree!$AM:$AM,Tree!$A:$A,'Pre-Harvest Plots_rpt'!$B130,Tree!$B:$B,'Pre-Harvest Plots_rpt'!$D130,Tree!$F:$F,"D",Tree!$K:$K,"&lt;&gt;"&amp;"Y"))</f>
        <v/>
      </c>
      <c r="AD130" s="162" t="str">
        <f>IF(Z130="","",SUMIFS(Tree!$AW:$AW,Tree!$A:$A,'Pre-Harvest Plots_rpt'!$B130,Tree!$B:$B,'Pre-Harvest Plots_rpt'!$D130,Tree!$F:$F,"D",Tree!$K:$K,"&lt;&gt;"&amp;"Y")/1000)</f>
        <v/>
      </c>
      <c r="AE130" s="47"/>
      <c r="AF130" s="18"/>
      <c r="AG130" s="18"/>
      <c r="AH130" s="18"/>
    </row>
    <row r="131" spans="1:34" ht="12.75" customHeight="1" x14ac:dyDescent="0.25">
      <c r="A131" s="48">
        <v>128</v>
      </c>
      <c r="B131" s="171" t="str">
        <f>IF(A131&lt;=SUM(Stand!$H$3:$H$29),VLOOKUP(A131,Stand!$A$3:$C$29,3,TRUE),"")</f>
        <v/>
      </c>
      <c r="C131" s="172" t="str">
        <f t="shared" si="4"/>
        <v/>
      </c>
      <c r="D131" s="173" t="str">
        <f>IF(B131="","",VLOOKUP(B131&amp;C131,Plot!$B$2:$D$199,3,FALSE))</f>
        <v/>
      </c>
      <c r="E131" s="130"/>
      <c r="F131" s="152" t="str">
        <f>IF(B131="","",SUMIFS(Tree!$O:$O,Tree!$A:$A,'Pre-Harvest Plots_rpt'!$B131,Tree!$B:$B,'Pre-Harvest Plots_rpt'!$D131,Tree!$F:$F,"L",Tree!$K:$K,"&lt;&gt;"&amp;"Y"))</f>
        <v/>
      </c>
      <c r="G131" s="153" t="str">
        <f>IFERROR(IF(D131="","",SUMIFS(Tree!$P:$P,Tree!$A:$A,'Pre-Harvest Plots_rpt'!$B131,Tree!$B:$B,'Pre-Harvest Plots_rpt'!$D131,Tree!$K:$K,"&lt;&gt;"&amp;"Y")/$F131),"")</f>
        <v/>
      </c>
      <c r="H131" s="122" t="str">
        <f t="shared" si="5"/>
        <v/>
      </c>
      <c r="I131" s="121" t="str">
        <f>IF(OR($F131=0,$F131=""),"",SUMIFS(Tree!$R:$R,Tree!$A:$A,'Pre-Harvest Plots_rpt'!$B131,Tree!$B:$B,'Pre-Harvest Plots_rpt'!$D131,Tree!$F:$F,"L",Tree!$K:$K,"&lt;&gt;"&amp;"Y"))</f>
        <v/>
      </c>
      <c r="J131" s="121" t="str">
        <f>IF(OR($F131=0,$F131=""),"",IF(SUMIFS(Tree!$W:$W,Tree!$A:$A,'Pre-Harvest Plots_rpt'!$B131,Tree!$B:$B,'Pre-Harvest Plots_rpt'!$D131,Tree!$F:$F,"L",Tree!$K:$K,"&lt;&gt;"&amp;"Y")=0,0,AVERAGEIFS(Tree!$W:$W,Tree!$A:$A,'Pre-Harvest Plots_rpt'!$B131,Tree!$B:$B,'Pre-Harvest Plots_rpt'!$D131,Tree!$F:$F,"L",Tree!$K:$K,"&lt;&gt;"&amp;"Y")))</f>
        <v/>
      </c>
      <c r="K131" s="121" t="str">
        <f>IF($F131="","",SUMIFS(Tree!$S:$S,Tree!$A:$A,'Pre-Harvest Plots_rpt'!$B131,Tree!$B:$B,'Pre-Harvest Plots_rpt'!$D131,Tree!$F:$F,"L",Tree!$K:$K,"&lt;&gt;"&amp;"Y"))</f>
        <v/>
      </c>
      <c r="L131" s="154" t="str">
        <f t="shared" si="6"/>
        <v/>
      </c>
      <c r="M131" s="135"/>
      <c r="N131" s="192" t="str">
        <f>IF(B131="","",SUMIFS(Tree!$AM:$AM,Tree!$A:$A,'Pre-Harvest Plots_rpt'!$B131,Tree!$B:$B,'Pre-Harvest Plots_rpt'!$D131,Tree!$F:$F,"L",Tree!$K:$K,"&lt;&gt;"&amp;"Y"))</f>
        <v/>
      </c>
      <c r="O131" s="122" t="str">
        <f>IF(B131="","",SUMIFS(Tree!$AN:$AN,Tree!$A:$A,'Pre-Harvest Plots_rpt'!$B131,Tree!$B:$B,'Pre-Harvest Plots_rpt'!$D131,Tree!$F:$F,"L",Tree!$K:$K,"&lt;&gt;"&amp;"Y"))</f>
        <v/>
      </c>
      <c r="P131" s="122" t="str">
        <f>IF(B131="","",SUMIFS(Tree!$AO:$AO,Tree!$A:$A,'Pre-Harvest Plots_rpt'!$B131,Tree!$B:$B,'Pre-Harvest Plots_rpt'!$D131,Tree!$F:$F,"L",Tree!$K:$K,"&lt;&gt;"&amp;"Y"))</f>
        <v/>
      </c>
      <c r="Q131" s="122" t="str">
        <f>IF(B131="","",SUMIFS(Tree!$AP:$AP,Tree!$A:$A,'Pre-Harvest Plots_rpt'!$B131,Tree!$B:$B,'Pre-Harvest Plots_rpt'!$D131,Tree!$F:$F,"L",Tree!$K:$K,"&lt;&gt;"&amp;"Y"))</f>
        <v/>
      </c>
      <c r="R131" s="123" t="str">
        <f>IF(B131="","",SUMIFS(Tree!$AQ:$AQ,Tree!$A:$A,'Pre-Harvest Plots_rpt'!$B131,Tree!$B:$B,'Pre-Harvest Plots_rpt'!$D131,Tree!$F:$F,"L",Tree!$K:$K,"&lt;&gt;"&amp;"Y"))</f>
        <v/>
      </c>
      <c r="S131" s="122" t="str">
        <f>IF(B131="","",SUMIFS(Tree!$AJ:$AJ,Tree!$A:$A,'Pre-Harvest Plots_rpt'!$B131,Tree!$B:$B,'Pre-Harvest Plots_rpt'!$D131,Tree!$F:$F,"L",Tree!$K:$K,"&lt;&gt;"&amp;"Y")-O131)</f>
        <v/>
      </c>
      <c r="T131" s="122" t="str">
        <f>IF(B131="","",SUMIFS(Tree!$AK:$AK,Tree!$A:$A,'Pre-Harvest Plots_rpt'!$B131,Tree!$B:$B,'Pre-Harvest Plots_rpt'!$D131,Tree!$F:$F,"L",Tree!$K:$K,"&lt;&gt;"&amp;"Y")-P131)</f>
        <v/>
      </c>
      <c r="U131" s="122" t="str">
        <f>IF(B131="","",SUMIFS(Tree!$AL:$AL,Tree!$A:$A,'Pre-Harvest Plots_rpt'!$B131,Tree!$B:$B,'Pre-Harvest Plots_rpt'!$D131,Tree!$F:$F,"L",Tree!$K:$K,"&lt;&gt;"&amp;"Y")-Q131)</f>
        <v/>
      </c>
      <c r="V131" s="123" t="str">
        <f>IF(B131="","",ROUND(SUMIFS(Tree!$AE:$AE,Tree!$A:$A,'Pre-Harvest Plots_rpt'!$B131,Tree!$B:$B,'Pre-Harvest Plots_rpt'!$D131,Tree!$F:$F,"L",Tree!$K:$K,"&lt;&gt;"&amp;"Y")-R131,1))</f>
        <v/>
      </c>
      <c r="W131" s="124" t="str">
        <f>IF(B131="","",SUMIFS(Tree!$AY:$AY,Tree!$A:$A,'Pre-Harvest Plots_rpt'!$B131,Tree!$B:$B,'Pre-Harvest Plots_rpt'!$D131,Tree!$F:$F,"L",Tree!$K:$K,"&lt;&gt;"&amp;"Y")/1000)</f>
        <v/>
      </c>
      <c r="X131" s="158" t="str">
        <f>IF(B131="","",ROUND((SUMIFS(Tree!$AW:$AW,Tree!$A:$A,'Pre-Harvest Plots_rpt'!$B131,Tree!$B:$B,'Pre-Harvest Plots_rpt'!$D131,Tree!$F:$F,"L",Tree!$K:$K,"&lt;&gt;"&amp;"Y")/1000)-W131,1))</f>
        <v/>
      </c>
      <c r="Y131" s="135"/>
      <c r="Z131" s="161" t="str">
        <f>IF(IF(B131="","",SUMIFS(Tree!$O:$O,Tree!$A:$A,'Pre-Harvest Plots_rpt'!$B131,Tree!$B:$B,'Pre-Harvest Plots_rpt'!$D131,Tree!$F:$F,"D",Tree!$K:$K,"&lt;&gt;"&amp;"Y"))=0,"",IF(B131="","",SUMIFS(Tree!$O:$O,Tree!$A:$A,'Pre-Harvest Plots_rpt'!$B131,Tree!$B:$B,'Pre-Harvest Plots_rpt'!$D131,Tree!$F:$F,"D",Tree!$K:$K,"&lt;&gt;"&amp;"Y")))</f>
        <v/>
      </c>
      <c r="AA131" s="125" t="str">
        <f t="shared" si="7"/>
        <v/>
      </c>
      <c r="AB131" s="125" t="str">
        <f>IF(Z131="","",SUMIFS(Tree!$R:$R,Tree!$A:$A,'Pre-Harvest Plots_rpt'!$B131,Tree!$B:$B,'Pre-Harvest Plots_rpt'!$D131,Tree!$F:$F,"D",Tree!$K:$K,"&lt;&gt;"&amp;"Y"))</f>
        <v/>
      </c>
      <c r="AC131" s="126" t="str">
        <f>IF(Z131="","",SUMIFS(Tree!$AM:$AM,Tree!$A:$A,'Pre-Harvest Plots_rpt'!$B131,Tree!$B:$B,'Pre-Harvest Plots_rpt'!$D131,Tree!$F:$F,"D",Tree!$K:$K,"&lt;&gt;"&amp;"Y"))</f>
        <v/>
      </c>
      <c r="AD131" s="162" t="str">
        <f>IF(Z131="","",SUMIFS(Tree!$AW:$AW,Tree!$A:$A,'Pre-Harvest Plots_rpt'!$B131,Tree!$B:$B,'Pre-Harvest Plots_rpt'!$D131,Tree!$F:$F,"D",Tree!$K:$K,"&lt;&gt;"&amp;"Y")/1000)</f>
        <v/>
      </c>
      <c r="AE131" s="47"/>
      <c r="AF131" s="18"/>
      <c r="AG131" s="18"/>
      <c r="AH131" s="18"/>
    </row>
    <row r="132" spans="1:34" ht="12.75" customHeight="1" x14ac:dyDescent="0.25">
      <c r="A132" s="48">
        <v>129</v>
      </c>
      <c r="B132" s="171" t="str">
        <f>IF(A132&lt;=SUM(Stand!$H$3:$H$29),VLOOKUP(A132,Stand!$A$3:$C$29,3,TRUE),"")</f>
        <v/>
      </c>
      <c r="C132" s="172" t="str">
        <f t="shared" ref="C132:C195" si="8">IF(LEN(B132)&gt;0,IF(B132=B131,C131+1,1),"")</f>
        <v/>
      </c>
      <c r="D132" s="173" t="str">
        <f>IF(B132="","",VLOOKUP(B132&amp;C132,Plot!$B$2:$D$199,3,FALSE))</f>
        <v/>
      </c>
      <c r="E132" s="130"/>
      <c r="F132" s="152" t="str">
        <f>IF(B132="","",SUMIFS(Tree!$O:$O,Tree!$A:$A,'Pre-Harvest Plots_rpt'!$B132,Tree!$B:$B,'Pre-Harvest Plots_rpt'!$D132,Tree!$F:$F,"L",Tree!$K:$K,"&lt;&gt;"&amp;"Y"))</f>
        <v/>
      </c>
      <c r="G132" s="153" t="str">
        <f>IFERROR(IF(D132="","",SUMIFS(Tree!$P:$P,Tree!$A:$A,'Pre-Harvest Plots_rpt'!$B132,Tree!$B:$B,'Pre-Harvest Plots_rpt'!$D132,Tree!$K:$K,"&lt;&gt;"&amp;"Y")/$F132),"")</f>
        <v/>
      </c>
      <c r="H132" s="122" t="str">
        <f t="shared" ref="H132:H195" si="9">IF(F132=0,"",IF(F132="","",((I132/F132)/0.005454)^0.5))</f>
        <v/>
      </c>
      <c r="I132" s="121" t="str">
        <f>IF(OR($F132=0,$F132=""),"",SUMIFS(Tree!$R:$R,Tree!$A:$A,'Pre-Harvest Plots_rpt'!$B132,Tree!$B:$B,'Pre-Harvest Plots_rpt'!$D132,Tree!$F:$F,"L",Tree!$K:$K,"&lt;&gt;"&amp;"Y"))</f>
        <v/>
      </c>
      <c r="J132" s="121" t="str">
        <f>IF(OR($F132=0,$F132=""),"",IF(SUMIFS(Tree!$W:$W,Tree!$A:$A,'Pre-Harvest Plots_rpt'!$B132,Tree!$B:$B,'Pre-Harvest Plots_rpt'!$D132,Tree!$F:$F,"L",Tree!$K:$K,"&lt;&gt;"&amp;"Y")=0,0,AVERAGEIFS(Tree!$W:$W,Tree!$A:$A,'Pre-Harvest Plots_rpt'!$B132,Tree!$B:$B,'Pre-Harvest Plots_rpt'!$D132,Tree!$F:$F,"L",Tree!$K:$K,"&lt;&gt;"&amp;"Y")))</f>
        <v/>
      </c>
      <c r="K132" s="121" t="str">
        <f>IF($F132="","",SUMIFS(Tree!$S:$S,Tree!$A:$A,'Pre-Harvest Plots_rpt'!$B132,Tree!$B:$B,'Pre-Harvest Plots_rpt'!$D132,Tree!$F:$F,"L",Tree!$K:$K,"&lt;&gt;"&amp;"Y"))</f>
        <v/>
      </c>
      <c r="L132" s="154" t="str">
        <f t="shared" ref="L132:L195" si="10">IF($F132="","",IF(D132=0,0,I132/(H132^0.5)))</f>
        <v/>
      </c>
      <c r="M132" s="135"/>
      <c r="N132" s="192" t="str">
        <f>IF(B132="","",SUMIFS(Tree!$AM:$AM,Tree!$A:$A,'Pre-Harvest Plots_rpt'!$B132,Tree!$B:$B,'Pre-Harvest Plots_rpt'!$D132,Tree!$F:$F,"L",Tree!$K:$K,"&lt;&gt;"&amp;"Y"))</f>
        <v/>
      </c>
      <c r="O132" s="122" t="str">
        <f>IF(B132="","",SUMIFS(Tree!$AN:$AN,Tree!$A:$A,'Pre-Harvest Plots_rpt'!$B132,Tree!$B:$B,'Pre-Harvest Plots_rpt'!$D132,Tree!$F:$F,"L",Tree!$K:$K,"&lt;&gt;"&amp;"Y"))</f>
        <v/>
      </c>
      <c r="P132" s="122" t="str">
        <f>IF(B132="","",SUMIFS(Tree!$AO:$AO,Tree!$A:$A,'Pre-Harvest Plots_rpt'!$B132,Tree!$B:$B,'Pre-Harvest Plots_rpt'!$D132,Tree!$F:$F,"L",Tree!$K:$K,"&lt;&gt;"&amp;"Y"))</f>
        <v/>
      </c>
      <c r="Q132" s="122" t="str">
        <f>IF(B132="","",SUMIFS(Tree!$AP:$AP,Tree!$A:$A,'Pre-Harvest Plots_rpt'!$B132,Tree!$B:$B,'Pre-Harvest Plots_rpt'!$D132,Tree!$F:$F,"L",Tree!$K:$K,"&lt;&gt;"&amp;"Y"))</f>
        <v/>
      </c>
      <c r="R132" s="123" t="str">
        <f>IF(B132="","",SUMIFS(Tree!$AQ:$AQ,Tree!$A:$A,'Pre-Harvest Plots_rpt'!$B132,Tree!$B:$B,'Pre-Harvest Plots_rpt'!$D132,Tree!$F:$F,"L",Tree!$K:$K,"&lt;&gt;"&amp;"Y"))</f>
        <v/>
      </c>
      <c r="S132" s="122" t="str">
        <f>IF(B132="","",SUMIFS(Tree!$AJ:$AJ,Tree!$A:$A,'Pre-Harvest Plots_rpt'!$B132,Tree!$B:$B,'Pre-Harvest Plots_rpt'!$D132,Tree!$F:$F,"L",Tree!$K:$K,"&lt;&gt;"&amp;"Y")-O132)</f>
        <v/>
      </c>
      <c r="T132" s="122" t="str">
        <f>IF(B132="","",SUMIFS(Tree!$AK:$AK,Tree!$A:$A,'Pre-Harvest Plots_rpt'!$B132,Tree!$B:$B,'Pre-Harvest Plots_rpt'!$D132,Tree!$F:$F,"L",Tree!$K:$K,"&lt;&gt;"&amp;"Y")-P132)</f>
        <v/>
      </c>
      <c r="U132" s="122" t="str">
        <f>IF(B132="","",SUMIFS(Tree!$AL:$AL,Tree!$A:$A,'Pre-Harvest Plots_rpt'!$B132,Tree!$B:$B,'Pre-Harvest Plots_rpt'!$D132,Tree!$F:$F,"L",Tree!$K:$K,"&lt;&gt;"&amp;"Y")-Q132)</f>
        <v/>
      </c>
      <c r="V132" s="123" t="str">
        <f>IF(B132="","",ROUND(SUMIFS(Tree!$AE:$AE,Tree!$A:$A,'Pre-Harvest Plots_rpt'!$B132,Tree!$B:$B,'Pre-Harvest Plots_rpt'!$D132,Tree!$F:$F,"L",Tree!$K:$K,"&lt;&gt;"&amp;"Y")-R132,1))</f>
        <v/>
      </c>
      <c r="W132" s="124" t="str">
        <f>IF(B132="","",SUMIFS(Tree!$AY:$AY,Tree!$A:$A,'Pre-Harvest Plots_rpt'!$B132,Tree!$B:$B,'Pre-Harvest Plots_rpt'!$D132,Tree!$F:$F,"L",Tree!$K:$K,"&lt;&gt;"&amp;"Y")/1000)</f>
        <v/>
      </c>
      <c r="X132" s="158" t="str">
        <f>IF(B132="","",ROUND((SUMIFS(Tree!$AW:$AW,Tree!$A:$A,'Pre-Harvest Plots_rpt'!$B132,Tree!$B:$B,'Pre-Harvest Plots_rpt'!$D132,Tree!$F:$F,"L",Tree!$K:$K,"&lt;&gt;"&amp;"Y")/1000)-W132,1))</f>
        <v/>
      </c>
      <c r="Y132" s="135"/>
      <c r="Z132" s="161" t="str">
        <f>IF(IF(B132="","",SUMIFS(Tree!$O:$O,Tree!$A:$A,'Pre-Harvest Plots_rpt'!$B132,Tree!$B:$B,'Pre-Harvest Plots_rpt'!$D132,Tree!$F:$F,"D",Tree!$K:$K,"&lt;&gt;"&amp;"Y"))=0,"",IF(B132="","",SUMIFS(Tree!$O:$O,Tree!$A:$A,'Pre-Harvest Plots_rpt'!$B132,Tree!$B:$B,'Pre-Harvest Plots_rpt'!$D132,Tree!$F:$F,"D",Tree!$K:$K,"&lt;&gt;"&amp;"Y")))</f>
        <v/>
      </c>
      <c r="AA132" s="125" t="str">
        <f t="shared" ref="AA132:AA195" si="11">IF(Z132="","",IF(Z132="","",((AB132/Z132)/0.005454)^0.5))</f>
        <v/>
      </c>
      <c r="AB132" s="125" t="str">
        <f>IF(Z132="","",SUMIFS(Tree!$R:$R,Tree!$A:$A,'Pre-Harvest Plots_rpt'!$B132,Tree!$B:$B,'Pre-Harvest Plots_rpt'!$D132,Tree!$F:$F,"D",Tree!$K:$K,"&lt;&gt;"&amp;"Y"))</f>
        <v/>
      </c>
      <c r="AC132" s="126" t="str">
        <f>IF(Z132="","",SUMIFS(Tree!$AM:$AM,Tree!$A:$A,'Pre-Harvest Plots_rpt'!$B132,Tree!$B:$B,'Pre-Harvest Plots_rpt'!$D132,Tree!$F:$F,"D",Tree!$K:$K,"&lt;&gt;"&amp;"Y"))</f>
        <v/>
      </c>
      <c r="AD132" s="162" t="str">
        <f>IF(Z132="","",SUMIFS(Tree!$AW:$AW,Tree!$A:$A,'Pre-Harvest Plots_rpt'!$B132,Tree!$B:$B,'Pre-Harvest Plots_rpt'!$D132,Tree!$F:$F,"D",Tree!$K:$K,"&lt;&gt;"&amp;"Y")/1000)</f>
        <v/>
      </c>
      <c r="AE132" s="47"/>
      <c r="AF132" s="18"/>
      <c r="AG132" s="18"/>
      <c r="AH132" s="18"/>
    </row>
    <row r="133" spans="1:34" ht="12.75" customHeight="1" x14ac:dyDescent="0.25">
      <c r="A133" s="48">
        <v>130</v>
      </c>
      <c r="B133" s="171" t="str">
        <f>IF(A133&lt;=SUM(Stand!$H$3:$H$29),VLOOKUP(A133,Stand!$A$3:$C$29,3,TRUE),"")</f>
        <v/>
      </c>
      <c r="C133" s="172" t="str">
        <f t="shared" si="8"/>
        <v/>
      </c>
      <c r="D133" s="173" t="str">
        <f>IF(B133="","",VLOOKUP(B133&amp;C133,Plot!$B$2:$D$199,3,FALSE))</f>
        <v/>
      </c>
      <c r="E133" s="130"/>
      <c r="F133" s="152" t="str">
        <f>IF(B133="","",SUMIFS(Tree!$O:$O,Tree!$A:$A,'Pre-Harvest Plots_rpt'!$B133,Tree!$B:$B,'Pre-Harvest Plots_rpt'!$D133,Tree!$F:$F,"L",Tree!$K:$K,"&lt;&gt;"&amp;"Y"))</f>
        <v/>
      </c>
      <c r="G133" s="153" t="str">
        <f>IFERROR(IF(D133="","",SUMIFS(Tree!$P:$P,Tree!$A:$A,'Pre-Harvest Plots_rpt'!$B133,Tree!$B:$B,'Pre-Harvest Plots_rpt'!$D133,Tree!$K:$K,"&lt;&gt;"&amp;"Y")/$F133),"")</f>
        <v/>
      </c>
      <c r="H133" s="122" t="str">
        <f t="shared" si="9"/>
        <v/>
      </c>
      <c r="I133" s="121" t="str">
        <f>IF(OR($F133=0,$F133=""),"",SUMIFS(Tree!$R:$R,Tree!$A:$A,'Pre-Harvest Plots_rpt'!$B133,Tree!$B:$B,'Pre-Harvest Plots_rpt'!$D133,Tree!$F:$F,"L",Tree!$K:$K,"&lt;&gt;"&amp;"Y"))</f>
        <v/>
      </c>
      <c r="J133" s="121" t="str">
        <f>IF(OR($F133=0,$F133=""),"",IF(SUMIFS(Tree!$W:$W,Tree!$A:$A,'Pre-Harvest Plots_rpt'!$B133,Tree!$B:$B,'Pre-Harvest Plots_rpt'!$D133,Tree!$F:$F,"L",Tree!$K:$K,"&lt;&gt;"&amp;"Y")=0,0,AVERAGEIFS(Tree!$W:$W,Tree!$A:$A,'Pre-Harvest Plots_rpt'!$B133,Tree!$B:$B,'Pre-Harvest Plots_rpt'!$D133,Tree!$F:$F,"L",Tree!$K:$K,"&lt;&gt;"&amp;"Y")))</f>
        <v/>
      </c>
      <c r="K133" s="121" t="str">
        <f>IF($F133="","",SUMIFS(Tree!$S:$S,Tree!$A:$A,'Pre-Harvest Plots_rpt'!$B133,Tree!$B:$B,'Pre-Harvest Plots_rpt'!$D133,Tree!$F:$F,"L",Tree!$K:$K,"&lt;&gt;"&amp;"Y"))</f>
        <v/>
      </c>
      <c r="L133" s="154" t="str">
        <f t="shared" si="10"/>
        <v/>
      </c>
      <c r="M133" s="135"/>
      <c r="N133" s="192" t="str">
        <f>IF(B133="","",SUMIFS(Tree!$AM:$AM,Tree!$A:$A,'Pre-Harvest Plots_rpt'!$B133,Tree!$B:$B,'Pre-Harvest Plots_rpt'!$D133,Tree!$F:$F,"L",Tree!$K:$K,"&lt;&gt;"&amp;"Y"))</f>
        <v/>
      </c>
      <c r="O133" s="122" t="str">
        <f>IF(B133="","",SUMIFS(Tree!$AN:$AN,Tree!$A:$A,'Pre-Harvest Plots_rpt'!$B133,Tree!$B:$B,'Pre-Harvest Plots_rpt'!$D133,Tree!$F:$F,"L",Tree!$K:$K,"&lt;&gt;"&amp;"Y"))</f>
        <v/>
      </c>
      <c r="P133" s="122" t="str">
        <f>IF(B133="","",SUMIFS(Tree!$AO:$AO,Tree!$A:$A,'Pre-Harvest Plots_rpt'!$B133,Tree!$B:$B,'Pre-Harvest Plots_rpt'!$D133,Tree!$F:$F,"L",Tree!$K:$K,"&lt;&gt;"&amp;"Y"))</f>
        <v/>
      </c>
      <c r="Q133" s="122" t="str">
        <f>IF(B133="","",SUMIFS(Tree!$AP:$AP,Tree!$A:$A,'Pre-Harvest Plots_rpt'!$B133,Tree!$B:$B,'Pre-Harvest Plots_rpt'!$D133,Tree!$F:$F,"L",Tree!$K:$K,"&lt;&gt;"&amp;"Y"))</f>
        <v/>
      </c>
      <c r="R133" s="123" t="str">
        <f>IF(B133="","",SUMIFS(Tree!$AQ:$AQ,Tree!$A:$A,'Pre-Harvest Plots_rpt'!$B133,Tree!$B:$B,'Pre-Harvest Plots_rpt'!$D133,Tree!$F:$F,"L",Tree!$K:$K,"&lt;&gt;"&amp;"Y"))</f>
        <v/>
      </c>
      <c r="S133" s="122" t="str">
        <f>IF(B133="","",SUMIFS(Tree!$AJ:$AJ,Tree!$A:$A,'Pre-Harvest Plots_rpt'!$B133,Tree!$B:$B,'Pre-Harvest Plots_rpt'!$D133,Tree!$F:$F,"L",Tree!$K:$K,"&lt;&gt;"&amp;"Y")-O133)</f>
        <v/>
      </c>
      <c r="T133" s="122" t="str">
        <f>IF(B133="","",SUMIFS(Tree!$AK:$AK,Tree!$A:$A,'Pre-Harvest Plots_rpt'!$B133,Tree!$B:$B,'Pre-Harvest Plots_rpt'!$D133,Tree!$F:$F,"L",Tree!$K:$K,"&lt;&gt;"&amp;"Y")-P133)</f>
        <v/>
      </c>
      <c r="U133" s="122" t="str">
        <f>IF(B133="","",SUMIFS(Tree!$AL:$AL,Tree!$A:$A,'Pre-Harvest Plots_rpt'!$B133,Tree!$B:$B,'Pre-Harvest Plots_rpt'!$D133,Tree!$F:$F,"L",Tree!$K:$K,"&lt;&gt;"&amp;"Y")-Q133)</f>
        <v/>
      </c>
      <c r="V133" s="123" t="str">
        <f>IF(B133="","",ROUND(SUMIFS(Tree!$AE:$AE,Tree!$A:$A,'Pre-Harvest Plots_rpt'!$B133,Tree!$B:$B,'Pre-Harvest Plots_rpt'!$D133,Tree!$F:$F,"L",Tree!$K:$K,"&lt;&gt;"&amp;"Y")-R133,1))</f>
        <v/>
      </c>
      <c r="W133" s="124" t="str">
        <f>IF(B133="","",SUMIFS(Tree!$AY:$AY,Tree!$A:$A,'Pre-Harvest Plots_rpt'!$B133,Tree!$B:$B,'Pre-Harvest Plots_rpt'!$D133,Tree!$F:$F,"L",Tree!$K:$K,"&lt;&gt;"&amp;"Y")/1000)</f>
        <v/>
      </c>
      <c r="X133" s="158" t="str">
        <f>IF(B133="","",ROUND((SUMIFS(Tree!$AW:$AW,Tree!$A:$A,'Pre-Harvest Plots_rpt'!$B133,Tree!$B:$B,'Pre-Harvest Plots_rpt'!$D133,Tree!$F:$F,"L",Tree!$K:$K,"&lt;&gt;"&amp;"Y")/1000)-W133,1))</f>
        <v/>
      </c>
      <c r="Y133" s="135"/>
      <c r="Z133" s="161" t="str">
        <f>IF(IF(B133="","",SUMIFS(Tree!$O:$O,Tree!$A:$A,'Pre-Harvest Plots_rpt'!$B133,Tree!$B:$B,'Pre-Harvest Plots_rpt'!$D133,Tree!$F:$F,"D",Tree!$K:$K,"&lt;&gt;"&amp;"Y"))=0,"",IF(B133="","",SUMIFS(Tree!$O:$O,Tree!$A:$A,'Pre-Harvest Plots_rpt'!$B133,Tree!$B:$B,'Pre-Harvest Plots_rpt'!$D133,Tree!$F:$F,"D",Tree!$K:$K,"&lt;&gt;"&amp;"Y")))</f>
        <v/>
      </c>
      <c r="AA133" s="125" t="str">
        <f t="shared" si="11"/>
        <v/>
      </c>
      <c r="AB133" s="125" t="str">
        <f>IF(Z133="","",SUMIFS(Tree!$R:$R,Tree!$A:$A,'Pre-Harvest Plots_rpt'!$B133,Tree!$B:$B,'Pre-Harvest Plots_rpt'!$D133,Tree!$F:$F,"D",Tree!$K:$K,"&lt;&gt;"&amp;"Y"))</f>
        <v/>
      </c>
      <c r="AC133" s="126" t="str">
        <f>IF(Z133="","",SUMIFS(Tree!$AM:$AM,Tree!$A:$A,'Pre-Harvest Plots_rpt'!$B133,Tree!$B:$B,'Pre-Harvest Plots_rpt'!$D133,Tree!$F:$F,"D",Tree!$K:$K,"&lt;&gt;"&amp;"Y"))</f>
        <v/>
      </c>
      <c r="AD133" s="162" t="str">
        <f>IF(Z133="","",SUMIFS(Tree!$AW:$AW,Tree!$A:$A,'Pre-Harvest Plots_rpt'!$B133,Tree!$B:$B,'Pre-Harvest Plots_rpt'!$D133,Tree!$F:$F,"D",Tree!$K:$K,"&lt;&gt;"&amp;"Y")/1000)</f>
        <v/>
      </c>
      <c r="AE133" s="47"/>
      <c r="AF133" s="18"/>
      <c r="AG133" s="18"/>
      <c r="AH133" s="18"/>
    </row>
    <row r="134" spans="1:34" ht="12.75" customHeight="1" x14ac:dyDescent="0.25">
      <c r="A134" s="48">
        <v>131</v>
      </c>
      <c r="B134" s="171" t="str">
        <f>IF(A134&lt;=SUM(Stand!$H$3:$H$29),VLOOKUP(A134,Stand!$A$3:$C$29,3,TRUE),"")</f>
        <v/>
      </c>
      <c r="C134" s="172" t="str">
        <f t="shared" si="8"/>
        <v/>
      </c>
      <c r="D134" s="173" t="str">
        <f>IF(B134="","",VLOOKUP(B134&amp;C134,Plot!$B$2:$D$199,3,FALSE))</f>
        <v/>
      </c>
      <c r="E134" s="130"/>
      <c r="F134" s="152" t="str">
        <f>IF(B134="","",SUMIFS(Tree!$O:$O,Tree!$A:$A,'Pre-Harvest Plots_rpt'!$B134,Tree!$B:$B,'Pre-Harvest Plots_rpt'!$D134,Tree!$F:$F,"L",Tree!$K:$K,"&lt;&gt;"&amp;"Y"))</f>
        <v/>
      </c>
      <c r="G134" s="153" t="str">
        <f>IFERROR(IF(D134="","",SUMIFS(Tree!$P:$P,Tree!$A:$A,'Pre-Harvest Plots_rpt'!$B134,Tree!$B:$B,'Pre-Harvest Plots_rpt'!$D134,Tree!$K:$K,"&lt;&gt;"&amp;"Y")/$F134),"")</f>
        <v/>
      </c>
      <c r="H134" s="122" t="str">
        <f t="shared" si="9"/>
        <v/>
      </c>
      <c r="I134" s="121" t="str">
        <f>IF(OR($F134=0,$F134=""),"",SUMIFS(Tree!$R:$R,Tree!$A:$A,'Pre-Harvest Plots_rpt'!$B134,Tree!$B:$B,'Pre-Harvest Plots_rpt'!$D134,Tree!$F:$F,"L",Tree!$K:$K,"&lt;&gt;"&amp;"Y"))</f>
        <v/>
      </c>
      <c r="J134" s="121" t="str">
        <f>IF(OR($F134=0,$F134=""),"",IF(SUMIFS(Tree!$W:$W,Tree!$A:$A,'Pre-Harvest Plots_rpt'!$B134,Tree!$B:$B,'Pre-Harvest Plots_rpt'!$D134,Tree!$F:$F,"L",Tree!$K:$K,"&lt;&gt;"&amp;"Y")=0,0,AVERAGEIFS(Tree!$W:$W,Tree!$A:$A,'Pre-Harvest Plots_rpt'!$B134,Tree!$B:$B,'Pre-Harvest Plots_rpt'!$D134,Tree!$F:$F,"L",Tree!$K:$K,"&lt;&gt;"&amp;"Y")))</f>
        <v/>
      </c>
      <c r="K134" s="121" t="str">
        <f>IF($F134="","",SUMIFS(Tree!$S:$S,Tree!$A:$A,'Pre-Harvest Plots_rpt'!$B134,Tree!$B:$B,'Pre-Harvest Plots_rpt'!$D134,Tree!$F:$F,"L",Tree!$K:$K,"&lt;&gt;"&amp;"Y"))</f>
        <v/>
      </c>
      <c r="L134" s="154" t="str">
        <f t="shared" si="10"/>
        <v/>
      </c>
      <c r="M134" s="135"/>
      <c r="N134" s="192" t="str">
        <f>IF(B134="","",SUMIFS(Tree!$AM:$AM,Tree!$A:$A,'Pre-Harvest Plots_rpt'!$B134,Tree!$B:$B,'Pre-Harvest Plots_rpt'!$D134,Tree!$F:$F,"L",Tree!$K:$K,"&lt;&gt;"&amp;"Y"))</f>
        <v/>
      </c>
      <c r="O134" s="122" t="str">
        <f>IF(B134="","",SUMIFS(Tree!$AN:$AN,Tree!$A:$A,'Pre-Harvest Plots_rpt'!$B134,Tree!$B:$B,'Pre-Harvest Plots_rpt'!$D134,Tree!$F:$F,"L",Tree!$K:$K,"&lt;&gt;"&amp;"Y"))</f>
        <v/>
      </c>
      <c r="P134" s="122" t="str">
        <f>IF(B134="","",SUMIFS(Tree!$AO:$AO,Tree!$A:$A,'Pre-Harvest Plots_rpt'!$B134,Tree!$B:$B,'Pre-Harvest Plots_rpt'!$D134,Tree!$F:$F,"L",Tree!$K:$K,"&lt;&gt;"&amp;"Y"))</f>
        <v/>
      </c>
      <c r="Q134" s="122" t="str">
        <f>IF(B134="","",SUMIFS(Tree!$AP:$AP,Tree!$A:$A,'Pre-Harvest Plots_rpt'!$B134,Tree!$B:$B,'Pre-Harvest Plots_rpt'!$D134,Tree!$F:$F,"L",Tree!$K:$K,"&lt;&gt;"&amp;"Y"))</f>
        <v/>
      </c>
      <c r="R134" s="123" t="str">
        <f>IF(B134="","",SUMIFS(Tree!$AQ:$AQ,Tree!$A:$A,'Pre-Harvest Plots_rpt'!$B134,Tree!$B:$B,'Pre-Harvest Plots_rpt'!$D134,Tree!$F:$F,"L",Tree!$K:$K,"&lt;&gt;"&amp;"Y"))</f>
        <v/>
      </c>
      <c r="S134" s="122" t="str">
        <f>IF(B134="","",SUMIFS(Tree!$AJ:$AJ,Tree!$A:$A,'Pre-Harvest Plots_rpt'!$B134,Tree!$B:$B,'Pre-Harvest Plots_rpt'!$D134,Tree!$F:$F,"L",Tree!$K:$K,"&lt;&gt;"&amp;"Y")-O134)</f>
        <v/>
      </c>
      <c r="T134" s="122" t="str">
        <f>IF(B134="","",SUMIFS(Tree!$AK:$AK,Tree!$A:$A,'Pre-Harvest Plots_rpt'!$B134,Tree!$B:$B,'Pre-Harvest Plots_rpt'!$D134,Tree!$F:$F,"L",Tree!$K:$K,"&lt;&gt;"&amp;"Y")-P134)</f>
        <v/>
      </c>
      <c r="U134" s="122" t="str">
        <f>IF(B134="","",SUMIFS(Tree!$AL:$AL,Tree!$A:$A,'Pre-Harvest Plots_rpt'!$B134,Tree!$B:$B,'Pre-Harvest Plots_rpt'!$D134,Tree!$F:$F,"L",Tree!$K:$K,"&lt;&gt;"&amp;"Y")-Q134)</f>
        <v/>
      </c>
      <c r="V134" s="123" t="str">
        <f>IF(B134="","",ROUND(SUMIFS(Tree!$AE:$AE,Tree!$A:$A,'Pre-Harvest Plots_rpt'!$B134,Tree!$B:$B,'Pre-Harvest Plots_rpt'!$D134,Tree!$F:$F,"L",Tree!$K:$K,"&lt;&gt;"&amp;"Y")-R134,1))</f>
        <v/>
      </c>
      <c r="W134" s="124" t="str">
        <f>IF(B134="","",SUMIFS(Tree!$AY:$AY,Tree!$A:$A,'Pre-Harvest Plots_rpt'!$B134,Tree!$B:$B,'Pre-Harvest Plots_rpt'!$D134,Tree!$F:$F,"L",Tree!$K:$K,"&lt;&gt;"&amp;"Y")/1000)</f>
        <v/>
      </c>
      <c r="X134" s="158" t="str">
        <f>IF(B134="","",ROUND((SUMIFS(Tree!$AW:$AW,Tree!$A:$A,'Pre-Harvest Plots_rpt'!$B134,Tree!$B:$B,'Pre-Harvest Plots_rpt'!$D134,Tree!$F:$F,"L",Tree!$K:$K,"&lt;&gt;"&amp;"Y")/1000)-W134,1))</f>
        <v/>
      </c>
      <c r="Y134" s="135"/>
      <c r="Z134" s="161" t="str">
        <f>IF(IF(B134="","",SUMIFS(Tree!$O:$O,Tree!$A:$A,'Pre-Harvest Plots_rpt'!$B134,Tree!$B:$B,'Pre-Harvest Plots_rpt'!$D134,Tree!$F:$F,"D",Tree!$K:$K,"&lt;&gt;"&amp;"Y"))=0,"",IF(B134="","",SUMIFS(Tree!$O:$O,Tree!$A:$A,'Pre-Harvest Plots_rpt'!$B134,Tree!$B:$B,'Pre-Harvest Plots_rpt'!$D134,Tree!$F:$F,"D",Tree!$K:$K,"&lt;&gt;"&amp;"Y")))</f>
        <v/>
      </c>
      <c r="AA134" s="125" t="str">
        <f t="shared" si="11"/>
        <v/>
      </c>
      <c r="AB134" s="125" t="str">
        <f>IF(Z134="","",SUMIFS(Tree!$R:$R,Tree!$A:$A,'Pre-Harvest Plots_rpt'!$B134,Tree!$B:$B,'Pre-Harvest Plots_rpt'!$D134,Tree!$F:$F,"D",Tree!$K:$K,"&lt;&gt;"&amp;"Y"))</f>
        <v/>
      </c>
      <c r="AC134" s="126" t="str">
        <f>IF(Z134="","",SUMIFS(Tree!$AM:$AM,Tree!$A:$A,'Pre-Harvest Plots_rpt'!$B134,Tree!$B:$B,'Pre-Harvest Plots_rpt'!$D134,Tree!$F:$F,"D",Tree!$K:$K,"&lt;&gt;"&amp;"Y"))</f>
        <v/>
      </c>
      <c r="AD134" s="162" t="str">
        <f>IF(Z134="","",SUMIFS(Tree!$AW:$AW,Tree!$A:$A,'Pre-Harvest Plots_rpt'!$B134,Tree!$B:$B,'Pre-Harvest Plots_rpt'!$D134,Tree!$F:$F,"D",Tree!$K:$K,"&lt;&gt;"&amp;"Y")/1000)</f>
        <v/>
      </c>
      <c r="AE134" s="47"/>
      <c r="AF134" s="18"/>
      <c r="AG134" s="18"/>
      <c r="AH134" s="18"/>
    </row>
    <row r="135" spans="1:34" ht="12.75" customHeight="1" x14ac:dyDescent="0.25">
      <c r="A135" s="48">
        <v>132</v>
      </c>
      <c r="B135" s="171" t="str">
        <f>IF(A135&lt;=SUM(Stand!$H$3:$H$29),VLOOKUP(A135,Stand!$A$3:$C$29,3,TRUE),"")</f>
        <v/>
      </c>
      <c r="C135" s="172" t="str">
        <f t="shared" si="8"/>
        <v/>
      </c>
      <c r="D135" s="173" t="str">
        <f>IF(B135="","",VLOOKUP(B135&amp;C135,Plot!$B$2:$D$199,3,FALSE))</f>
        <v/>
      </c>
      <c r="E135" s="130"/>
      <c r="F135" s="152" t="str">
        <f>IF(B135="","",SUMIFS(Tree!$O:$O,Tree!$A:$A,'Pre-Harvest Plots_rpt'!$B135,Tree!$B:$B,'Pre-Harvest Plots_rpt'!$D135,Tree!$F:$F,"L",Tree!$K:$K,"&lt;&gt;"&amp;"Y"))</f>
        <v/>
      </c>
      <c r="G135" s="153" t="str">
        <f>IFERROR(IF(D135="","",SUMIFS(Tree!$P:$P,Tree!$A:$A,'Pre-Harvest Plots_rpt'!$B135,Tree!$B:$B,'Pre-Harvest Plots_rpt'!$D135,Tree!$K:$K,"&lt;&gt;"&amp;"Y")/$F135),"")</f>
        <v/>
      </c>
      <c r="H135" s="122" t="str">
        <f t="shared" si="9"/>
        <v/>
      </c>
      <c r="I135" s="121" t="str">
        <f>IF(OR($F135=0,$F135=""),"",SUMIFS(Tree!$R:$R,Tree!$A:$A,'Pre-Harvest Plots_rpt'!$B135,Tree!$B:$B,'Pre-Harvest Plots_rpt'!$D135,Tree!$F:$F,"L",Tree!$K:$K,"&lt;&gt;"&amp;"Y"))</f>
        <v/>
      </c>
      <c r="J135" s="121" t="str">
        <f>IF(OR($F135=0,$F135=""),"",IF(SUMIFS(Tree!$W:$W,Tree!$A:$A,'Pre-Harvest Plots_rpt'!$B135,Tree!$B:$B,'Pre-Harvest Plots_rpt'!$D135,Tree!$F:$F,"L",Tree!$K:$K,"&lt;&gt;"&amp;"Y")=0,0,AVERAGEIFS(Tree!$W:$W,Tree!$A:$A,'Pre-Harvest Plots_rpt'!$B135,Tree!$B:$B,'Pre-Harvest Plots_rpt'!$D135,Tree!$F:$F,"L",Tree!$K:$K,"&lt;&gt;"&amp;"Y")))</f>
        <v/>
      </c>
      <c r="K135" s="121" t="str">
        <f>IF($F135="","",SUMIFS(Tree!$S:$S,Tree!$A:$A,'Pre-Harvest Plots_rpt'!$B135,Tree!$B:$B,'Pre-Harvest Plots_rpt'!$D135,Tree!$F:$F,"L",Tree!$K:$K,"&lt;&gt;"&amp;"Y"))</f>
        <v/>
      </c>
      <c r="L135" s="154" t="str">
        <f t="shared" si="10"/>
        <v/>
      </c>
      <c r="M135" s="135"/>
      <c r="N135" s="192" t="str">
        <f>IF(B135="","",SUMIFS(Tree!$AM:$AM,Tree!$A:$A,'Pre-Harvest Plots_rpt'!$B135,Tree!$B:$B,'Pre-Harvest Plots_rpt'!$D135,Tree!$F:$F,"L",Tree!$K:$K,"&lt;&gt;"&amp;"Y"))</f>
        <v/>
      </c>
      <c r="O135" s="122" t="str">
        <f>IF(B135="","",SUMIFS(Tree!$AN:$AN,Tree!$A:$A,'Pre-Harvest Plots_rpt'!$B135,Tree!$B:$B,'Pre-Harvest Plots_rpt'!$D135,Tree!$F:$F,"L",Tree!$K:$K,"&lt;&gt;"&amp;"Y"))</f>
        <v/>
      </c>
      <c r="P135" s="122" t="str">
        <f>IF(B135="","",SUMIFS(Tree!$AO:$AO,Tree!$A:$A,'Pre-Harvest Plots_rpt'!$B135,Tree!$B:$B,'Pre-Harvest Plots_rpt'!$D135,Tree!$F:$F,"L",Tree!$K:$K,"&lt;&gt;"&amp;"Y"))</f>
        <v/>
      </c>
      <c r="Q135" s="122" t="str">
        <f>IF(B135="","",SUMIFS(Tree!$AP:$AP,Tree!$A:$A,'Pre-Harvest Plots_rpt'!$B135,Tree!$B:$B,'Pre-Harvest Plots_rpt'!$D135,Tree!$F:$F,"L",Tree!$K:$K,"&lt;&gt;"&amp;"Y"))</f>
        <v/>
      </c>
      <c r="R135" s="123" t="str">
        <f>IF(B135="","",SUMIFS(Tree!$AQ:$AQ,Tree!$A:$A,'Pre-Harvest Plots_rpt'!$B135,Tree!$B:$B,'Pre-Harvest Plots_rpt'!$D135,Tree!$F:$F,"L",Tree!$K:$K,"&lt;&gt;"&amp;"Y"))</f>
        <v/>
      </c>
      <c r="S135" s="122" t="str">
        <f>IF(B135="","",SUMIFS(Tree!$AJ:$AJ,Tree!$A:$A,'Pre-Harvest Plots_rpt'!$B135,Tree!$B:$B,'Pre-Harvest Plots_rpt'!$D135,Tree!$F:$F,"L",Tree!$K:$K,"&lt;&gt;"&amp;"Y")-O135)</f>
        <v/>
      </c>
      <c r="T135" s="122" t="str">
        <f>IF(B135="","",SUMIFS(Tree!$AK:$AK,Tree!$A:$A,'Pre-Harvest Plots_rpt'!$B135,Tree!$B:$B,'Pre-Harvest Plots_rpt'!$D135,Tree!$F:$F,"L",Tree!$K:$K,"&lt;&gt;"&amp;"Y")-P135)</f>
        <v/>
      </c>
      <c r="U135" s="122" t="str">
        <f>IF(B135="","",SUMIFS(Tree!$AL:$AL,Tree!$A:$A,'Pre-Harvest Plots_rpt'!$B135,Tree!$B:$B,'Pre-Harvest Plots_rpt'!$D135,Tree!$F:$F,"L",Tree!$K:$K,"&lt;&gt;"&amp;"Y")-Q135)</f>
        <v/>
      </c>
      <c r="V135" s="123" t="str">
        <f>IF(B135="","",ROUND(SUMIFS(Tree!$AE:$AE,Tree!$A:$A,'Pre-Harvest Plots_rpt'!$B135,Tree!$B:$B,'Pre-Harvest Plots_rpt'!$D135,Tree!$F:$F,"L",Tree!$K:$K,"&lt;&gt;"&amp;"Y")-R135,1))</f>
        <v/>
      </c>
      <c r="W135" s="124" t="str">
        <f>IF(B135="","",SUMIFS(Tree!$AY:$AY,Tree!$A:$A,'Pre-Harvest Plots_rpt'!$B135,Tree!$B:$B,'Pre-Harvest Plots_rpt'!$D135,Tree!$F:$F,"L",Tree!$K:$K,"&lt;&gt;"&amp;"Y")/1000)</f>
        <v/>
      </c>
      <c r="X135" s="158" t="str">
        <f>IF(B135="","",ROUND((SUMIFS(Tree!$AW:$AW,Tree!$A:$A,'Pre-Harvest Plots_rpt'!$B135,Tree!$B:$B,'Pre-Harvest Plots_rpt'!$D135,Tree!$F:$F,"L",Tree!$K:$K,"&lt;&gt;"&amp;"Y")/1000)-W135,1))</f>
        <v/>
      </c>
      <c r="Y135" s="135"/>
      <c r="Z135" s="161" t="str">
        <f>IF(IF(B135="","",SUMIFS(Tree!$O:$O,Tree!$A:$A,'Pre-Harvest Plots_rpt'!$B135,Tree!$B:$B,'Pre-Harvest Plots_rpt'!$D135,Tree!$F:$F,"D",Tree!$K:$K,"&lt;&gt;"&amp;"Y"))=0,"",IF(B135="","",SUMIFS(Tree!$O:$O,Tree!$A:$A,'Pre-Harvest Plots_rpt'!$B135,Tree!$B:$B,'Pre-Harvest Plots_rpt'!$D135,Tree!$F:$F,"D",Tree!$K:$K,"&lt;&gt;"&amp;"Y")))</f>
        <v/>
      </c>
      <c r="AA135" s="125" t="str">
        <f t="shared" si="11"/>
        <v/>
      </c>
      <c r="AB135" s="125" t="str">
        <f>IF(Z135="","",SUMIFS(Tree!$R:$R,Tree!$A:$A,'Pre-Harvest Plots_rpt'!$B135,Tree!$B:$B,'Pre-Harvest Plots_rpt'!$D135,Tree!$F:$F,"D",Tree!$K:$K,"&lt;&gt;"&amp;"Y"))</f>
        <v/>
      </c>
      <c r="AC135" s="126" t="str">
        <f>IF(Z135="","",SUMIFS(Tree!$AM:$AM,Tree!$A:$A,'Pre-Harvest Plots_rpt'!$B135,Tree!$B:$B,'Pre-Harvest Plots_rpt'!$D135,Tree!$F:$F,"D",Tree!$K:$K,"&lt;&gt;"&amp;"Y"))</f>
        <v/>
      </c>
      <c r="AD135" s="162" t="str">
        <f>IF(Z135="","",SUMIFS(Tree!$AW:$AW,Tree!$A:$A,'Pre-Harvest Plots_rpt'!$B135,Tree!$B:$B,'Pre-Harvest Plots_rpt'!$D135,Tree!$F:$F,"D",Tree!$K:$K,"&lt;&gt;"&amp;"Y")/1000)</f>
        <v/>
      </c>
      <c r="AE135" s="47"/>
      <c r="AF135" s="18"/>
      <c r="AG135" s="18"/>
      <c r="AH135" s="18"/>
    </row>
    <row r="136" spans="1:34" ht="12.75" customHeight="1" x14ac:dyDescent="0.25">
      <c r="A136" s="48">
        <v>133</v>
      </c>
      <c r="B136" s="171" t="str">
        <f>IF(A136&lt;=SUM(Stand!$H$3:$H$29),VLOOKUP(A136,Stand!$A$3:$C$29,3,TRUE),"")</f>
        <v/>
      </c>
      <c r="C136" s="172" t="str">
        <f t="shared" si="8"/>
        <v/>
      </c>
      <c r="D136" s="173" t="str">
        <f>IF(B136="","",VLOOKUP(B136&amp;C136,Plot!$B$2:$D$199,3,FALSE))</f>
        <v/>
      </c>
      <c r="E136" s="130"/>
      <c r="F136" s="152" t="str">
        <f>IF(B136="","",SUMIFS(Tree!$O:$O,Tree!$A:$A,'Pre-Harvest Plots_rpt'!$B136,Tree!$B:$B,'Pre-Harvest Plots_rpt'!$D136,Tree!$F:$F,"L",Tree!$K:$K,"&lt;&gt;"&amp;"Y"))</f>
        <v/>
      </c>
      <c r="G136" s="153" t="str">
        <f>IFERROR(IF(D136="","",SUMIFS(Tree!$P:$P,Tree!$A:$A,'Pre-Harvest Plots_rpt'!$B136,Tree!$B:$B,'Pre-Harvest Plots_rpt'!$D136,Tree!$K:$K,"&lt;&gt;"&amp;"Y")/$F136),"")</f>
        <v/>
      </c>
      <c r="H136" s="122" t="str">
        <f t="shared" si="9"/>
        <v/>
      </c>
      <c r="I136" s="121" t="str">
        <f>IF(OR($F136=0,$F136=""),"",SUMIFS(Tree!$R:$R,Tree!$A:$A,'Pre-Harvest Plots_rpt'!$B136,Tree!$B:$B,'Pre-Harvest Plots_rpt'!$D136,Tree!$F:$F,"L",Tree!$K:$K,"&lt;&gt;"&amp;"Y"))</f>
        <v/>
      </c>
      <c r="J136" s="121" t="str">
        <f>IF(OR($F136=0,$F136=""),"",IF(SUMIFS(Tree!$W:$W,Tree!$A:$A,'Pre-Harvest Plots_rpt'!$B136,Tree!$B:$B,'Pre-Harvest Plots_rpt'!$D136,Tree!$F:$F,"L",Tree!$K:$K,"&lt;&gt;"&amp;"Y")=0,0,AVERAGEIFS(Tree!$W:$W,Tree!$A:$A,'Pre-Harvest Plots_rpt'!$B136,Tree!$B:$B,'Pre-Harvest Plots_rpt'!$D136,Tree!$F:$F,"L",Tree!$K:$K,"&lt;&gt;"&amp;"Y")))</f>
        <v/>
      </c>
      <c r="K136" s="121" t="str">
        <f>IF($F136="","",SUMIFS(Tree!$S:$S,Tree!$A:$A,'Pre-Harvest Plots_rpt'!$B136,Tree!$B:$B,'Pre-Harvest Plots_rpt'!$D136,Tree!$F:$F,"L",Tree!$K:$K,"&lt;&gt;"&amp;"Y"))</f>
        <v/>
      </c>
      <c r="L136" s="154" t="str">
        <f t="shared" si="10"/>
        <v/>
      </c>
      <c r="M136" s="135"/>
      <c r="N136" s="192" t="str">
        <f>IF(B136="","",SUMIFS(Tree!$AM:$AM,Tree!$A:$A,'Pre-Harvest Plots_rpt'!$B136,Tree!$B:$B,'Pre-Harvest Plots_rpt'!$D136,Tree!$F:$F,"L",Tree!$K:$K,"&lt;&gt;"&amp;"Y"))</f>
        <v/>
      </c>
      <c r="O136" s="122" t="str">
        <f>IF(B136="","",SUMIFS(Tree!$AN:$AN,Tree!$A:$A,'Pre-Harvest Plots_rpt'!$B136,Tree!$B:$B,'Pre-Harvest Plots_rpt'!$D136,Tree!$F:$F,"L",Tree!$K:$K,"&lt;&gt;"&amp;"Y"))</f>
        <v/>
      </c>
      <c r="P136" s="122" t="str">
        <f>IF(B136="","",SUMIFS(Tree!$AO:$AO,Tree!$A:$A,'Pre-Harvest Plots_rpt'!$B136,Tree!$B:$B,'Pre-Harvest Plots_rpt'!$D136,Tree!$F:$F,"L",Tree!$K:$K,"&lt;&gt;"&amp;"Y"))</f>
        <v/>
      </c>
      <c r="Q136" s="122" t="str">
        <f>IF(B136="","",SUMIFS(Tree!$AP:$AP,Tree!$A:$A,'Pre-Harvest Plots_rpt'!$B136,Tree!$B:$B,'Pre-Harvest Plots_rpt'!$D136,Tree!$F:$F,"L",Tree!$K:$K,"&lt;&gt;"&amp;"Y"))</f>
        <v/>
      </c>
      <c r="R136" s="123" t="str">
        <f>IF(B136="","",SUMIFS(Tree!$AQ:$AQ,Tree!$A:$A,'Pre-Harvest Plots_rpt'!$B136,Tree!$B:$B,'Pre-Harvest Plots_rpt'!$D136,Tree!$F:$F,"L",Tree!$K:$K,"&lt;&gt;"&amp;"Y"))</f>
        <v/>
      </c>
      <c r="S136" s="122" t="str">
        <f>IF(B136="","",SUMIFS(Tree!$AJ:$AJ,Tree!$A:$A,'Pre-Harvest Plots_rpt'!$B136,Tree!$B:$B,'Pre-Harvest Plots_rpt'!$D136,Tree!$F:$F,"L",Tree!$K:$K,"&lt;&gt;"&amp;"Y")-O136)</f>
        <v/>
      </c>
      <c r="T136" s="122" t="str">
        <f>IF(B136="","",SUMIFS(Tree!$AK:$AK,Tree!$A:$A,'Pre-Harvest Plots_rpt'!$B136,Tree!$B:$B,'Pre-Harvest Plots_rpt'!$D136,Tree!$F:$F,"L",Tree!$K:$K,"&lt;&gt;"&amp;"Y")-P136)</f>
        <v/>
      </c>
      <c r="U136" s="122" t="str">
        <f>IF(B136="","",SUMIFS(Tree!$AL:$AL,Tree!$A:$A,'Pre-Harvest Plots_rpt'!$B136,Tree!$B:$B,'Pre-Harvest Plots_rpt'!$D136,Tree!$F:$F,"L",Tree!$K:$K,"&lt;&gt;"&amp;"Y")-Q136)</f>
        <v/>
      </c>
      <c r="V136" s="123" t="str">
        <f>IF(B136="","",ROUND(SUMIFS(Tree!$AE:$AE,Tree!$A:$A,'Pre-Harvest Plots_rpt'!$B136,Tree!$B:$B,'Pre-Harvest Plots_rpt'!$D136,Tree!$F:$F,"L",Tree!$K:$K,"&lt;&gt;"&amp;"Y")-R136,1))</f>
        <v/>
      </c>
      <c r="W136" s="124" t="str">
        <f>IF(B136="","",SUMIFS(Tree!$AY:$AY,Tree!$A:$A,'Pre-Harvest Plots_rpt'!$B136,Tree!$B:$B,'Pre-Harvest Plots_rpt'!$D136,Tree!$F:$F,"L",Tree!$K:$K,"&lt;&gt;"&amp;"Y")/1000)</f>
        <v/>
      </c>
      <c r="X136" s="158" t="str">
        <f>IF(B136="","",ROUND((SUMIFS(Tree!$AW:$AW,Tree!$A:$A,'Pre-Harvest Plots_rpt'!$B136,Tree!$B:$B,'Pre-Harvest Plots_rpt'!$D136,Tree!$F:$F,"L",Tree!$K:$K,"&lt;&gt;"&amp;"Y")/1000)-W136,1))</f>
        <v/>
      </c>
      <c r="Y136" s="135"/>
      <c r="Z136" s="161" t="str">
        <f>IF(IF(B136="","",SUMIFS(Tree!$O:$O,Tree!$A:$A,'Pre-Harvest Plots_rpt'!$B136,Tree!$B:$B,'Pre-Harvest Plots_rpt'!$D136,Tree!$F:$F,"D",Tree!$K:$K,"&lt;&gt;"&amp;"Y"))=0,"",IF(B136="","",SUMIFS(Tree!$O:$O,Tree!$A:$A,'Pre-Harvest Plots_rpt'!$B136,Tree!$B:$B,'Pre-Harvest Plots_rpt'!$D136,Tree!$F:$F,"D",Tree!$K:$K,"&lt;&gt;"&amp;"Y")))</f>
        <v/>
      </c>
      <c r="AA136" s="125" t="str">
        <f t="shared" si="11"/>
        <v/>
      </c>
      <c r="AB136" s="125" t="str">
        <f>IF(Z136="","",SUMIFS(Tree!$R:$R,Tree!$A:$A,'Pre-Harvest Plots_rpt'!$B136,Tree!$B:$B,'Pre-Harvest Plots_rpt'!$D136,Tree!$F:$F,"D",Tree!$K:$K,"&lt;&gt;"&amp;"Y"))</f>
        <v/>
      </c>
      <c r="AC136" s="126" t="str">
        <f>IF(Z136="","",SUMIFS(Tree!$AM:$AM,Tree!$A:$A,'Pre-Harvest Plots_rpt'!$B136,Tree!$B:$B,'Pre-Harvest Plots_rpt'!$D136,Tree!$F:$F,"D",Tree!$K:$K,"&lt;&gt;"&amp;"Y"))</f>
        <v/>
      </c>
      <c r="AD136" s="162" t="str">
        <f>IF(Z136="","",SUMIFS(Tree!$AW:$AW,Tree!$A:$A,'Pre-Harvest Plots_rpt'!$B136,Tree!$B:$B,'Pre-Harvest Plots_rpt'!$D136,Tree!$F:$F,"D",Tree!$K:$K,"&lt;&gt;"&amp;"Y")/1000)</f>
        <v/>
      </c>
      <c r="AE136" s="47"/>
      <c r="AF136" s="18"/>
      <c r="AG136" s="18"/>
      <c r="AH136" s="18"/>
    </row>
    <row r="137" spans="1:34" ht="12.75" customHeight="1" x14ac:dyDescent="0.25">
      <c r="A137" s="48">
        <v>134</v>
      </c>
      <c r="B137" s="171" t="str">
        <f>IF(A137&lt;=SUM(Stand!$H$3:$H$29),VLOOKUP(A137,Stand!$A$3:$C$29,3,TRUE),"")</f>
        <v/>
      </c>
      <c r="C137" s="172" t="str">
        <f t="shared" si="8"/>
        <v/>
      </c>
      <c r="D137" s="173" t="str">
        <f>IF(B137="","",VLOOKUP(B137&amp;C137,Plot!$B$2:$D$199,3,FALSE))</f>
        <v/>
      </c>
      <c r="E137" s="130"/>
      <c r="F137" s="152" t="str">
        <f>IF(B137="","",SUMIFS(Tree!$O:$O,Tree!$A:$A,'Pre-Harvest Plots_rpt'!$B137,Tree!$B:$B,'Pre-Harvest Plots_rpt'!$D137,Tree!$F:$F,"L",Tree!$K:$K,"&lt;&gt;"&amp;"Y"))</f>
        <v/>
      </c>
      <c r="G137" s="153" t="str">
        <f>IFERROR(IF(D137="","",SUMIFS(Tree!$P:$P,Tree!$A:$A,'Pre-Harvest Plots_rpt'!$B137,Tree!$B:$B,'Pre-Harvest Plots_rpt'!$D137,Tree!$K:$K,"&lt;&gt;"&amp;"Y")/$F137),"")</f>
        <v/>
      </c>
      <c r="H137" s="122" t="str">
        <f t="shared" si="9"/>
        <v/>
      </c>
      <c r="I137" s="121" t="str">
        <f>IF(OR($F137=0,$F137=""),"",SUMIFS(Tree!$R:$R,Tree!$A:$A,'Pre-Harvest Plots_rpt'!$B137,Tree!$B:$B,'Pre-Harvest Plots_rpt'!$D137,Tree!$F:$F,"L",Tree!$K:$K,"&lt;&gt;"&amp;"Y"))</f>
        <v/>
      </c>
      <c r="J137" s="121" t="str">
        <f>IF(OR($F137=0,$F137=""),"",IF(SUMIFS(Tree!$W:$W,Tree!$A:$A,'Pre-Harvest Plots_rpt'!$B137,Tree!$B:$B,'Pre-Harvest Plots_rpt'!$D137,Tree!$F:$F,"L",Tree!$K:$K,"&lt;&gt;"&amp;"Y")=0,0,AVERAGEIFS(Tree!$W:$W,Tree!$A:$A,'Pre-Harvest Plots_rpt'!$B137,Tree!$B:$B,'Pre-Harvest Plots_rpt'!$D137,Tree!$F:$F,"L",Tree!$K:$K,"&lt;&gt;"&amp;"Y")))</f>
        <v/>
      </c>
      <c r="K137" s="121" t="str">
        <f>IF($F137="","",SUMIFS(Tree!$S:$S,Tree!$A:$A,'Pre-Harvest Plots_rpt'!$B137,Tree!$B:$B,'Pre-Harvest Plots_rpt'!$D137,Tree!$F:$F,"L",Tree!$K:$K,"&lt;&gt;"&amp;"Y"))</f>
        <v/>
      </c>
      <c r="L137" s="154" t="str">
        <f t="shared" si="10"/>
        <v/>
      </c>
      <c r="M137" s="135"/>
      <c r="N137" s="192" t="str">
        <f>IF(B137="","",SUMIFS(Tree!$AM:$AM,Tree!$A:$A,'Pre-Harvest Plots_rpt'!$B137,Tree!$B:$B,'Pre-Harvest Plots_rpt'!$D137,Tree!$F:$F,"L",Tree!$K:$K,"&lt;&gt;"&amp;"Y"))</f>
        <v/>
      </c>
      <c r="O137" s="122" t="str">
        <f>IF(B137="","",SUMIFS(Tree!$AN:$AN,Tree!$A:$A,'Pre-Harvest Plots_rpt'!$B137,Tree!$B:$B,'Pre-Harvest Plots_rpt'!$D137,Tree!$F:$F,"L",Tree!$K:$K,"&lt;&gt;"&amp;"Y"))</f>
        <v/>
      </c>
      <c r="P137" s="122" t="str">
        <f>IF(B137="","",SUMIFS(Tree!$AO:$AO,Tree!$A:$A,'Pre-Harvest Plots_rpt'!$B137,Tree!$B:$B,'Pre-Harvest Plots_rpt'!$D137,Tree!$F:$F,"L",Tree!$K:$K,"&lt;&gt;"&amp;"Y"))</f>
        <v/>
      </c>
      <c r="Q137" s="122" t="str">
        <f>IF(B137="","",SUMIFS(Tree!$AP:$AP,Tree!$A:$A,'Pre-Harvest Plots_rpt'!$B137,Tree!$B:$B,'Pre-Harvest Plots_rpt'!$D137,Tree!$F:$F,"L",Tree!$K:$K,"&lt;&gt;"&amp;"Y"))</f>
        <v/>
      </c>
      <c r="R137" s="123" t="str">
        <f>IF(B137="","",SUMIFS(Tree!$AQ:$AQ,Tree!$A:$A,'Pre-Harvest Plots_rpt'!$B137,Tree!$B:$B,'Pre-Harvest Plots_rpt'!$D137,Tree!$F:$F,"L",Tree!$K:$K,"&lt;&gt;"&amp;"Y"))</f>
        <v/>
      </c>
      <c r="S137" s="122" t="str">
        <f>IF(B137="","",SUMIFS(Tree!$AJ:$AJ,Tree!$A:$A,'Pre-Harvest Plots_rpt'!$B137,Tree!$B:$B,'Pre-Harvest Plots_rpt'!$D137,Tree!$F:$F,"L",Tree!$K:$K,"&lt;&gt;"&amp;"Y")-O137)</f>
        <v/>
      </c>
      <c r="T137" s="122" t="str">
        <f>IF(B137="","",SUMIFS(Tree!$AK:$AK,Tree!$A:$A,'Pre-Harvest Plots_rpt'!$B137,Tree!$B:$B,'Pre-Harvest Plots_rpt'!$D137,Tree!$F:$F,"L",Tree!$K:$K,"&lt;&gt;"&amp;"Y")-P137)</f>
        <v/>
      </c>
      <c r="U137" s="122" t="str">
        <f>IF(B137="","",SUMIFS(Tree!$AL:$AL,Tree!$A:$A,'Pre-Harvest Plots_rpt'!$B137,Tree!$B:$B,'Pre-Harvest Plots_rpt'!$D137,Tree!$F:$F,"L",Tree!$K:$K,"&lt;&gt;"&amp;"Y")-Q137)</f>
        <v/>
      </c>
      <c r="V137" s="123" t="str">
        <f>IF(B137="","",ROUND(SUMIFS(Tree!$AE:$AE,Tree!$A:$A,'Pre-Harvest Plots_rpt'!$B137,Tree!$B:$B,'Pre-Harvest Plots_rpt'!$D137,Tree!$F:$F,"L",Tree!$K:$K,"&lt;&gt;"&amp;"Y")-R137,1))</f>
        <v/>
      </c>
      <c r="W137" s="124" t="str">
        <f>IF(B137="","",SUMIFS(Tree!$AY:$AY,Tree!$A:$A,'Pre-Harvest Plots_rpt'!$B137,Tree!$B:$B,'Pre-Harvest Plots_rpt'!$D137,Tree!$F:$F,"L",Tree!$K:$K,"&lt;&gt;"&amp;"Y")/1000)</f>
        <v/>
      </c>
      <c r="X137" s="158" t="str">
        <f>IF(B137="","",ROUND((SUMIFS(Tree!$AW:$AW,Tree!$A:$A,'Pre-Harvest Plots_rpt'!$B137,Tree!$B:$B,'Pre-Harvest Plots_rpt'!$D137,Tree!$F:$F,"L",Tree!$K:$K,"&lt;&gt;"&amp;"Y")/1000)-W137,1))</f>
        <v/>
      </c>
      <c r="Y137" s="135"/>
      <c r="Z137" s="161" t="str">
        <f>IF(IF(B137="","",SUMIFS(Tree!$O:$O,Tree!$A:$A,'Pre-Harvest Plots_rpt'!$B137,Tree!$B:$B,'Pre-Harvest Plots_rpt'!$D137,Tree!$F:$F,"D",Tree!$K:$K,"&lt;&gt;"&amp;"Y"))=0,"",IF(B137="","",SUMIFS(Tree!$O:$O,Tree!$A:$A,'Pre-Harvest Plots_rpt'!$B137,Tree!$B:$B,'Pre-Harvest Plots_rpt'!$D137,Tree!$F:$F,"D",Tree!$K:$K,"&lt;&gt;"&amp;"Y")))</f>
        <v/>
      </c>
      <c r="AA137" s="125" t="str">
        <f t="shared" si="11"/>
        <v/>
      </c>
      <c r="AB137" s="125" t="str">
        <f>IF(Z137="","",SUMIFS(Tree!$R:$R,Tree!$A:$A,'Pre-Harvest Plots_rpt'!$B137,Tree!$B:$B,'Pre-Harvest Plots_rpt'!$D137,Tree!$F:$F,"D",Tree!$K:$K,"&lt;&gt;"&amp;"Y"))</f>
        <v/>
      </c>
      <c r="AC137" s="126" t="str">
        <f>IF(Z137="","",SUMIFS(Tree!$AM:$AM,Tree!$A:$A,'Pre-Harvest Plots_rpt'!$B137,Tree!$B:$B,'Pre-Harvest Plots_rpt'!$D137,Tree!$F:$F,"D",Tree!$K:$K,"&lt;&gt;"&amp;"Y"))</f>
        <v/>
      </c>
      <c r="AD137" s="162" t="str">
        <f>IF(Z137="","",SUMIFS(Tree!$AW:$AW,Tree!$A:$A,'Pre-Harvest Plots_rpt'!$B137,Tree!$B:$B,'Pre-Harvest Plots_rpt'!$D137,Tree!$F:$F,"D",Tree!$K:$K,"&lt;&gt;"&amp;"Y")/1000)</f>
        <v/>
      </c>
      <c r="AE137" s="47"/>
      <c r="AF137" s="18"/>
      <c r="AG137" s="18"/>
      <c r="AH137" s="18"/>
    </row>
    <row r="138" spans="1:34" ht="12.75" customHeight="1" x14ac:dyDescent="0.25">
      <c r="A138" s="48">
        <v>135</v>
      </c>
      <c r="B138" s="171" t="str">
        <f>IF(A138&lt;=SUM(Stand!$H$3:$H$29),VLOOKUP(A138,Stand!$A$3:$C$29,3,TRUE),"")</f>
        <v/>
      </c>
      <c r="C138" s="172" t="str">
        <f t="shared" si="8"/>
        <v/>
      </c>
      <c r="D138" s="173" t="str">
        <f>IF(B138="","",VLOOKUP(B138&amp;C138,Plot!$B$2:$D$199,3,FALSE))</f>
        <v/>
      </c>
      <c r="E138" s="130"/>
      <c r="F138" s="152" t="str">
        <f>IF(B138="","",SUMIFS(Tree!$O:$O,Tree!$A:$A,'Pre-Harvest Plots_rpt'!$B138,Tree!$B:$B,'Pre-Harvest Plots_rpt'!$D138,Tree!$F:$F,"L",Tree!$K:$K,"&lt;&gt;"&amp;"Y"))</f>
        <v/>
      </c>
      <c r="G138" s="153" t="str">
        <f>IFERROR(IF(D138="","",SUMIFS(Tree!$P:$P,Tree!$A:$A,'Pre-Harvest Plots_rpt'!$B138,Tree!$B:$B,'Pre-Harvest Plots_rpt'!$D138,Tree!$K:$K,"&lt;&gt;"&amp;"Y")/$F138),"")</f>
        <v/>
      </c>
      <c r="H138" s="122" t="str">
        <f t="shared" si="9"/>
        <v/>
      </c>
      <c r="I138" s="121" t="str">
        <f>IF(OR($F138=0,$F138=""),"",SUMIFS(Tree!$R:$R,Tree!$A:$A,'Pre-Harvest Plots_rpt'!$B138,Tree!$B:$B,'Pre-Harvest Plots_rpt'!$D138,Tree!$F:$F,"L",Tree!$K:$K,"&lt;&gt;"&amp;"Y"))</f>
        <v/>
      </c>
      <c r="J138" s="121" t="str">
        <f>IF(OR($F138=0,$F138=""),"",IF(SUMIFS(Tree!$W:$W,Tree!$A:$A,'Pre-Harvest Plots_rpt'!$B138,Tree!$B:$B,'Pre-Harvest Plots_rpt'!$D138,Tree!$F:$F,"L",Tree!$K:$K,"&lt;&gt;"&amp;"Y")=0,0,AVERAGEIFS(Tree!$W:$W,Tree!$A:$A,'Pre-Harvest Plots_rpt'!$B138,Tree!$B:$B,'Pre-Harvest Plots_rpt'!$D138,Tree!$F:$F,"L",Tree!$K:$K,"&lt;&gt;"&amp;"Y")))</f>
        <v/>
      </c>
      <c r="K138" s="121" t="str">
        <f>IF($F138="","",SUMIFS(Tree!$S:$S,Tree!$A:$A,'Pre-Harvest Plots_rpt'!$B138,Tree!$B:$B,'Pre-Harvest Plots_rpt'!$D138,Tree!$F:$F,"L",Tree!$K:$K,"&lt;&gt;"&amp;"Y"))</f>
        <v/>
      </c>
      <c r="L138" s="154" t="str">
        <f t="shared" si="10"/>
        <v/>
      </c>
      <c r="M138" s="135"/>
      <c r="N138" s="192" t="str">
        <f>IF(B138="","",SUMIFS(Tree!$AM:$AM,Tree!$A:$A,'Pre-Harvest Plots_rpt'!$B138,Tree!$B:$B,'Pre-Harvest Plots_rpt'!$D138,Tree!$F:$F,"L",Tree!$K:$K,"&lt;&gt;"&amp;"Y"))</f>
        <v/>
      </c>
      <c r="O138" s="122" t="str">
        <f>IF(B138="","",SUMIFS(Tree!$AN:$AN,Tree!$A:$A,'Pre-Harvest Plots_rpt'!$B138,Tree!$B:$B,'Pre-Harvest Plots_rpt'!$D138,Tree!$F:$F,"L",Tree!$K:$K,"&lt;&gt;"&amp;"Y"))</f>
        <v/>
      </c>
      <c r="P138" s="122" t="str">
        <f>IF(B138="","",SUMIFS(Tree!$AO:$AO,Tree!$A:$A,'Pre-Harvest Plots_rpt'!$B138,Tree!$B:$B,'Pre-Harvest Plots_rpt'!$D138,Tree!$F:$F,"L",Tree!$K:$K,"&lt;&gt;"&amp;"Y"))</f>
        <v/>
      </c>
      <c r="Q138" s="122" t="str">
        <f>IF(B138="","",SUMIFS(Tree!$AP:$AP,Tree!$A:$A,'Pre-Harvest Plots_rpt'!$B138,Tree!$B:$B,'Pre-Harvest Plots_rpt'!$D138,Tree!$F:$F,"L",Tree!$K:$K,"&lt;&gt;"&amp;"Y"))</f>
        <v/>
      </c>
      <c r="R138" s="123" t="str">
        <f>IF(B138="","",SUMIFS(Tree!$AQ:$AQ,Tree!$A:$A,'Pre-Harvest Plots_rpt'!$B138,Tree!$B:$B,'Pre-Harvest Plots_rpt'!$D138,Tree!$F:$F,"L",Tree!$K:$K,"&lt;&gt;"&amp;"Y"))</f>
        <v/>
      </c>
      <c r="S138" s="122" t="str">
        <f>IF(B138="","",SUMIFS(Tree!$AJ:$AJ,Tree!$A:$A,'Pre-Harvest Plots_rpt'!$B138,Tree!$B:$B,'Pre-Harvest Plots_rpt'!$D138,Tree!$F:$F,"L",Tree!$K:$K,"&lt;&gt;"&amp;"Y")-O138)</f>
        <v/>
      </c>
      <c r="T138" s="122" t="str">
        <f>IF(B138="","",SUMIFS(Tree!$AK:$AK,Tree!$A:$A,'Pre-Harvest Plots_rpt'!$B138,Tree!$B:$B,'Pre-Harvest Plots_rpt'!$D138,Tree!$F:$F,"L",Tree!$K:$K,"&lt;&gt;"&amp;"Y")-P138)</f>
        <v/>
      </c>
      <c r="U138" s="122" t="str">
        <f>IF(B138="","",SUMIFS(Tree!$AL:$AL,Tree!$A:$A,'Pre-Harvest Plots_rpt'!$B138,Tree!$B:$B,'Pre-Harvest Plots_rpt'!$D138,Tree!$F:$F,"L",Tree!$K:$K,"&lt;&gt;"&amp;"Y")-Q138)</f>
        <v/>
      </c>
      <c r="V138" s="123" t="str">
        <f>IF(B138="","",ROUND(SUMIFS(Tree!$AE:$AE,Tree!$A:$A,'Pre-Harvest Plots_rpt'!$B138,Tree!$B:$B,'Pre-Harvest Plots_rpt'!$D138,Tree!$F:$F,"L",Tree!$K:$K,"&lt;&gt;"&amp;"Y")-R138,1))</f>
        <v/>
      </c>
      <c r="W138" s="124" t="str">
        <f>IF(B138="","",SUMIFS(Tree!$AY:$AY,Tree!$A:$A,'Pre-Harvest Plots_rpt'!$B138,Tree!$B:$B,'Pre-Harvest Plots_rpt'!$D138,Tree!$F:$F,"L",Tree!$K:$K,"&lt;&gt;"&amp;"Y")/1000)</f>
        <v/>
      </c>
      <c r="X138" s="158" t="str">
        <f>IF(B138="","",ROUND((SUMIFS(Tree!$AW:$AW,Tree!$A:$A,'Pre-Harvest Plots_rpt'!$B138,Tree!$B:$B,'Pre-Harvest Plots_rpt'!$D138,Tree!$F:$F,"L",Tree!$K:$K,"&lt;&gt;"&amp;"Y")/1000)-W138,1))</f>
        <v/>
      </c>
      <c r="Y138" s="135"/>
      <c r="Z138" s="161" t="str">
        <f>IF(IF(B138="","",SUMIFS(Tree!$O:$O,Tree!$A:$A,'Pre-Harvest Plots_rpt'!$B138,Tree!$B:$B,'Pre-Harvest Plots_rpt'!$D138,Tree!$F:$F,"D",Tree!$K:$K,"&lt;&gt;"&amp;"Y"))=0,"",IF(B138="","",SUMIFS(Tree!$O:$O,Tree!$A:$A,'Pre-Harvest Plots_rpt'!$B138,Tree!$B:$B,'Pre-Harvest Plots_rpt'!$D138,Tree!$F:$F,"D",Tree!$K:$K,"&lt;&gt;"&amp;"Y")))</f>
        <v/>
      </c>
      <c r="AA138" s="125" t="str">
        <f t="shared" si="11"/>
        <v/>
      </c>
      <c r="AB138" s="125" t="str">
        <f>IF(Z138="","",SUMIFS(Tree!$R:$R,Tree!$A:$A,'Pre-Harvest Plots_rpt'!$B138,Tree!$B:$B,'Pre-Harvest Plots_rpt'!$D138,Tree!$F:$F,"D",Tree!$K:$K,"&lt;&gt;"&amp;"Y"))</f>
        <v/>
      </c>
      <c r="AC138" s="126" t="str">
        <f>IF(Z138="","",SUMIFS(Tree!$AM:$AM,Tree!$A:$A,'Pre-Harvest Plots_rpt'!$B138,Tree!$B:$B,'Pre-Harvest Plots_rpt'!$D138,Tree!$F:$F,"D",Tree!$K:$K,"&lt;&gt;"&amp;"Y"))</f>
        <v/>
      </c>
      <c r="AD138" s="162" t="str">
        <f>IF(Z138="","",SUMIFS(Tree!$AW:$AW,Tree!$A:$A,'Pre-Harvest Plots_rpt'!$B138,Tree!$B:$B,'Pre-Harvest Plots_rpt'!$D138,Tree!$F:$F,"D",Tree!$K:$K,"&lt;&gt;"&amp;"Y")/1000)</f>
        <v/>
      </c>
      <c r="AE138" s="47"/>
      <c r="AF138" s="18"/>
      <c r="AG138" s="18"/>
      <c r="AH138" s="18"/>
    </row>
    <row r="139" spans="1:34" ht="12.75" customHeight="1" x14ac:dyDescent="0.25">
      <c r="A139" s="48">
        <v>136</v>
      </c>
      <c r="B139" s="171" t="str">
        <f>IF(A139&lt;=SUM(Stand!$H$3:$H$29),VLOOKUP(A139,Stand!$A$3:$C$29,3,TRUE),"")</f>
        <v/>
      </c>
      <c r="C139" s="172" t="str">
        <f t="shared" si="8"/>
        <v/>
      </c>
      <c r="D139" s="173" t="str">
        <f>IF(B139="","",VLOOKUP(B139&amp;C139,Plot!$B$2:$D$199,3,FALSE))</f>
        <v/>
      </c>
      <c r="E139" s="130"/>
      <c r="F139" s="152" t="str">
        <f>IF(B139="","",SUMIFS(Tree!$O:$O,Tree!$A:$A,'Pre-Harvest Plots_rpt'!$B139,Tree!$B:$B,'Pre-Harvest Plots_rpt'!$D139,Tree!$F:$F,"L",Tree!$K:$K,"&lt;&gt;"&amp;"Y"))</f>
        <v/>
      </c>
      <c r="G139" s="153" t="str">
        <f>IFERROR(IF(D139="","",SUMIFS(Tree!$P:$P,Tree!$A:$A,'Pre-Harvest Plots_rpt'!$B139,Tree!$B:$B,'Pre-Harvest Plots_rpt'!$D139,Tree!$K:$K,"&lt;&gt;"&amp;"Y")/$F139),"")</f>
        <v/>
      </c>
      <c r="H139" s="122" t="str">
        <f t="shared" si="9"/>
        <v/>
      </c>
      <c r="I139" s="121" t="str">
        <f>IF(OR($F139=0,$F139=""),"",SUMIFS(Tree!$R:$R,Tree!$A:$A,'Pre-Harvest Plots_rpt'!$B139,Tree!$B:$B,'Pre-Harvest Plots_rpt'!$D139,Tree!$F:$F,"L",Tree!$K:$K,"&lt;&gt;"&amp;"Y"))</f>
        <v/>
      </c>
      <c r="J139" s="121" t="str">
        <f>IF(OR($F139=0,$F139=""),"",IF(SUMIFS(Tree!$W:$W,Tree!$A:$A,'Pre-Harvest Plots_rpt'!$B139,Tree!$B:$B,'Pre-Harvest Plots_rpt'!$D139,Tree!$F:$F,"L",Tree!$K:$K,"&lt;&gt;"&amp;"Y")=0,0,AVERAGEIFS(Tree!$W:$W,Tree!$A:$A,'Pre-Harvest Plots_rpt'!$B139,Tree!$B:$B,'Pre-Harvest Plots_rpt'!$D139,Tree!$F:$F,"L",Tree!$K:$K,"&lt;&gt;"&amp;"Y")))</f>
        <v/>
      </c>
      <c r="K139" s="121" t="str">
        <f>IF($F139="","",SUMIFS(Tree!$S:$S,Tree!$A:$A,'Pre-Harvest Plots_rpt'!$B139,Tree!$B:$B,'Pre-Harvest Plots_rpt'!$D139,Tree!$F:$F,"L",Tree!$K:$K,"&lt;&gt;"&amp;"Y"))</f>
        <v/>
      </c>
      <c r="L139" s="154" t="str">
        <f t="shared" si="10"/>
        <v/>
      </c>
      <c r="M139" s="135"/>
      <c r="N139" s="192" t="str">
        <f>IF(B139="","",SUMIFS(Tree!$AM:$AM,Tree!$A:$A,'Pre-Harvest Plots_rpt'!$B139,Tree!$B:$B,'Pre-Harvest Plots_rpt'!$D139,Tree!$F:$F,"L",Tree!$K:$K,"&lt;&gt;"&amp;"Y"))</f>
        <v/>
      </c>
      <c r="O139" s="122" t="str">
        <f>IF(B139="","",SUMIFS(Tree!$AN:$AN,Tree!$A:$A,'Pre-Harvest Plots_rpt'!$B139,Tree!$B:$B,'Pre-Harvest Plots_rpt'!$D139,Tree!$F:$F,"L",Tree!$K:$K,"&lt;&gt;"&amp;"Y"))</f>
        <v/>
      </c>
      <c r="P139" s="122" t="str">
        <f>IF(B139="","",SUMIFS(Tree!$AO:$AO,Tree!$A:$A,'Pre-Harvest Plots_rpt'!$B139,Tree!$B:$B,'Pre-Harvest Plots_rpt'!$D139,Tree!$F:$F,"L",Tree!$K:$K,"&lt;&gt;"&amp;"Y"))</f>
        <v/>
      </c>
      <c r="Q139" s="122" t="str">
        <f>IF(B139="","",SUMIFS(Tree!$AP:$AP,Tree!$A:$A,'Pre-Harvest Plots_rpt'!$B139,Tree!$B:$B,'Pre-Harvest Plots_rpt'!$D139,Tree!$F:$F,"L",Tree!$K:$K,"&lt;&gt;"&amp;"Y"))</f>
        <v/>
      </c>
      <c r="R139" s="123" t="str">
        <f>IF(B139="","",SUMIFS(Tree!$AQ:$AQ,Tree!$A:$A,'Pre-Harvest Plots_rpt'!$B139,Tree!$B:$B,'Pre-Harvest Plots_rpt'!$D139,Tree!$F:$F,"L",Tree!$K:$K,"&lt;&gt;"&amp;"Y"))</f>
        <v/>
      </c>
      <c r="S139" s="122" t="str">
        <f>IF(B139="","",SUMIFS(Tree!$AJ:$AJ,Tree!$A:$A,'Pre-Harvest Plots_rpt'!$B139,Tree!$B:$B,'Pre-Harvest Plots_rpt'!$D139,Tree!$F:$F,"L",Tree!$K:$K,"&lt;&gt;"&amp;"Y")-O139)</f>
        <v/>
      </c>
      <c r="T139" s="122" t="str">
        <f>IF(B139="","",SUMIFS(Tree!$AK:$AK,Tree!$A:$A,'Pre-Harvest Plots_rpt'!$B139,Tree!$B:$B,'Pre-Harvest Plots_rpt'!$D139,Tree!$F:$F,"L",Tree!$K:$K,"&lt;&gt;"&amp;"Y")-P139)</f>
        <v/>
      </c>
      <c r="U139" s="122" t="str">
        <f>IF(B139="","",SUMIFS(Tree!$AL:$AL,Tree!$A:$A,'Pre-Harvest Plots_rpt'!$B139,Tree!$B:$B,'Pre-Harvest Plots_rpt'!$D139,Tree!$F:$F,"L",Tree!$K:$K,"&lt;&gt;"&amp;"Y")-Q139)</f>
        <v/>
      </c>
      <c r="V139" s="123" t="str">
        <f>IF(B139="","",ROUND(SUMIFS(Tree!$AE:$AE,Tree!$A:$A,'Pre-Harvest Plots_rpt'!$B139,Tree!$B:$B,'Pre-Harvest Plots_rpt'!$D139,Tree!$F:$F,"L",Tree!$K:$K,"&lt;&gt;"&amp;"Y")-R139,1))</f>
        <v/>
      </c>
      <c r="W139" s="124" t="str">
        <f>IF(B139="","",SUMIFS(Tree!$AY:$AY,Tree!$A:$A,'Pre-Harvest Plots_rpt'!$B139,Tree!$B:$B,'Pre-Harvest Plots_rpt'!$D139,Tree!$F:$F,"L",Tree!$K:$K,"&lt;&gt;"&amp;"Y")/1000)</f>
        <v/>
      </c>
      <c r="X139" s="158" t="str">
        <f>IF(B139="","",ROUND((SUMIFS(Tree!$AW:$AW,Tree!$A:$A,'Pre-Harvest Plots_rpt'!$B139,Tree!$B:$B,'Pre-Harvest Plots_rpt'!$D139,Tree!$F:$F,"L",Tree!$K:$K,"&lt;&gt;"&amp;"Y")/1000)-W139,1))</f>
        <v/>
      </c>
      <c r="Y139" s="135"/>
      <c r="Z139" s="161" t="str">
        <f>IF(IF(B139="","",SUMIFS(Tree!$O:$O,Tree!$A:$A,'Pre-Harvest Plots_rpt'!$B139,Tree!$B:$B,'Pre-Harvest Plots_rpt'!$D139,Tree!$F:$F,"D",Tree!$K:$K,"&lt;&gt;"&amp;"Y"))=0,"",IF(B139="","",SUMIFS(Tree!$O:$O,Tree!$A:$A,'Pre-Harvest Plots_rpt'!$B139,Tree!$B:$B,'Pre-Harvest Plots_rpt'!$D139,Tree!$F:$F,"D",Tree!$K:$K,"&lt;&gt;"&amp;"Y")))</f>
        <v/>
      </c>
      <c r="AA139" s="125" t="str">
        <f t="shared" si="11"/>
        <v/>
      </c>
      <c r="AB139" s="125" t="str">
        <f>IF(Z139="","",SUMIFS(Tree!$R:$R,Tree!$A:$A,'Pre-Harvest Plots_rpt'!$B139,Tree!$B:$B,'Pre-Harvest Plots_rpt'!$D139,Tree!$F:$F,"D",Tree!$K:$K,"&lt;&gt;"&amp;"Y"))</f>
        <v/>
      </c>
      <c r="AC139" s="126" t="str">
        <f>IF(Z139="","",SUMIFS(Tree!$AM:$AM,Tree!$A:$A,'Pre-Harvest Plots_rpt'!$B139,Tree!$B:$B,'Pre-Harvest Plots_rpt'!$D139,Tree!$F:$F,"D",Tree!$K:$K,"&lt;&gt;"&amp;"Y"))</f>
        <v/>
      </c>
      <c r="AD139" s="162" t="str">
        <f>IF(Z139="","",SUMIFS(Tree!$AW:$AW,Tree!$A:$A,'Pre-Harvest Plots_rpt'!$B139,Tree!$B:$B,'Pre-Harvest Plots_rpt'!$D139,Tree!$F:$F,"D",Tree!$K:$K,"&lt;&gt;"&amp;"Y")/1000)</f>
        <v/>
      </c>
      <c r="AE139" s="47"/>
      <c r="AF139" s="18"/>
      <c r="AG139" s="18"/>
      <c r="AH139" s="18"/>
    </row>
    <row r="140" spans="1:34" ht="12.75" customHeight="1" x14ac:dyDescent="0.25">
      <c r="A140" s="48">
        <v>137</v>
      </c>
      <c r="B140" s="171" t="str">
        <f>IF(A140&lt;=SUM(Stand!$H$3:$H$29),VLOOKUP(A140,Stand!$A$3:$C$29,3,TRUE),"")</f>
        <v/>
      </c>
      <c r="C140" s="172" t="str">
        <f t="shared" si="8"/>
        <v/>
      </c>
      <c r="D140" s="173" t="str">
        <f>IF(B140="","",VLOOKUP(B140&amp;C140,Plot!$B$2:$D$199,3,FALSE))</f>
        <v/>
      </c>
      <c r="E140" s="130"/>
      <c r="F140" s="152" t="str">
        <f>IF(B140="","",SUMIFS(Tree!$O:$O,Tree!$A:$A,'Pre-Harvest Plots_rpt'!$B140,Tree!$B:$B,'Pre-Harvest Plots_rpt'!$D140,Tree!$F:$F,"L",Tree!$K:$K,"&lt;&gt;"&amp;"Y"))</f>
        <v/>
      </c>
      <c r="G140" s="153" t="str">
        <f>IFERROR(IF(D140="","",SUMIFS(Tree!$P:$P,Tree!$A:$A,'Pre-Harvest Plots_rpt'!$B140,Tree!$B:$B,'Pre-Harvest Plots_rpt'!$D140,Tree!$K:$K,"&lt;&gt;"&amp;"Y")/$F140),"")</f>
        <v/>
      </c>
      <c r="H140" s="122" t="str">
        <f t="shared" si="9"/>
        <v/>
      </c>
      <c r="I140" s="121" t="str">
        <f>IF(OR($F140=0,$F140=""),"",SUMIFS(Tree!$R:$R,Tree!$A:$A,'Pre-Harvest Plots_rpt'!$B140,Tree!$B:$B,'Pre-Harvest Plots_rpt'!$D140,Tree!$F:$F,"L",Tree!$K:$K,"&lt;&gt;"&amp;"Y"))</f>
        <v/>
      </c>
      <c r="J140" s="121" t="str">
        <f>IF(OR($F140=0,$F140=""),"",IF(SUMIFS(Tree!$W:$W,Tree!$A:$A,'Pre-Harvest Plots_rpt'!$B140,Tree!$B:$B,'Pre-Harvest Plots_rpt'!$D140,Tree!$F:$F,"L",Tree!$K:$K,"&lt;&gt;"&amp;"Y")=0,0,AVERAGEIFS(Tree!$W:$W,Tree!$A:$A,'Pre-Harvest Plots_rpt'!$B140,Tree!$B:$B,'Pre-Harvest Plots_rpt'!$D140,Tree!$F:$F,"L",Tree!$K:$K,"&lt;&gt;"&amp;"Y")))</f>
        <v/>
      </c>
      <c r="K140" s="121" t="str">
        <f>IF($F140="","",SUMIFS(Tree!$S:$S,Tree!$A:$A,'Pre-Harvest Plots_rpt'!$B140,Tree!$B:$B,'Pre-Harvest Plots_rpt'!$D140,Tree!$F:$F,"L",Tree!$K:$K,"&lt;&gt;"&amp;"Y"))</f>
        <v/>
      </c>
      <c r="L140" s="154" t="str">
        <f t="shared" si="10"/>
        <v/>
      </c>
      <c r="M140" s="135"/>
      <c r="N140" s="192" t="str">
        <f>IF(B140="","",SUMIFS(Tree!$AM:$AM,Tree!$A:$A,'Pre-Harvest Plots_rpt'!$B140,Tree!$B:$B,'Pre-Harvest Plots_rpt'!$D140,Tree!$F:$F,"L",Tree!$K:$K,"&lt;&gt;"&amp;"Y"))</f>
        <v/>
      </c>
      <c r="O140" s="122" t="str">
        <f>IF(B140="","",SUMIFS(Tree!$AN:$AN,Tree!$A:$A,'Pre-Harvest Plots_rpt'!$B140,Tree!$B:$B,'Pre-Harvest Plots_rpt'!$D140,Tree!$F:$F,"L",Tree!$K:$K,"&lt;&gt;"&amp;"Y"))</f>
        <v/>
      </c>
      <c r="P140" s="122" t="str">
        <f>IF(B140="","",SUMIFS(Tree!$AO:$AO,Tree!$A:$A,'Pre-Harvest Plots_rpt'!$B140,Tree!$B:$B,'Pre-Harvest Plots_rpt'!$D140,Tree!$F:$F,"L",Tree!$K:$K,"&lt;&gt;"&amp;"Y"))</f>
        <v/>
      </c>
      <c r="Q140" s="122" t="str">
        <f>IF(B140="","",SUMIFS(Tree!$AP:$AP,Tree!$A:$A,'Pre-Harvest Plots_rpt'!$B140,Tree!$B:$B,'Pre-Harvest Plots_rpt'!$D140,Tree!$F:$F,"L",Tree!$K:$K,"&lt;&gt;"&amp;"Y"))</f>
        <v/>
      </c>
      <c r="R140" s="123" t="str">
        <f>IF(B140="","",SUMIFS(Tree!$AQ:$AQ,Tree!$A:$A,'Pre-Harvest Plots_rpt'!$B140,Tree!$B:$B,'Pre-Harvest Plots_rpt'!$D140,Tree!$F:$F,"L",Tree!$K:$K,"&lt;&gt;"&amp;"Y"))</f>
        <v/>
      </c>
      <c r="S140" s="122" t="str">
        <f>IF(B140="","",SUMIFS(Tree!$AJ:$AJ,Tree!$A:$A,'Pre-Harvest Plots_rpt'!$B140,Tree!$B:$B,'Pre-Harvest Plots_rpt'!$D140,Tree!$F:$F,"L",Tree!$K:$K,"&lt;&gt;"&amp;"Y")-O140)</f>
        <v/>
      </c>
      <c r="T140" s="122" t="str">
        <f>IF(B140="","",SUMIFS(Tree!$AK:$AK,Tree!$A:$A,'Pre-Harvest Plots_rpt'!$B140,Tree!$B:$B,'Pre-Harvest Plots_rpt'!$D140,Tree!$F:$F,"L",Tree!$K:$K,"&lt;&gt;"&amp;"Y")-P140)</f>
        <v/>
      </c>
      <c r="U140" s="122" t="str">
        <f>IF(B140="","",SUMIFS(Tree!$AL:$AL,Tree!$A:$A,'Pre-Harvest Plots_rpt'!$B140,Tree!$B:$B,'Pre-Harvest Plots_rpt'!$D140,Tree!$F:$F,"L",Tree!$K:$K,"&lt;&gt;"&amp;"Y")-Q140)</f>
        <v/>
      </c>
      <c r="V140" s="123" t="str">
        <f>IF(B140="","",ROUND(SUMIFS(Tree!$AE:$AE,Tree!$A:$A,'Pre-Harvest Plots_rpt'!$B140,Tree!$B:$B,'Pre-Harvest Plots_rpt'!$D140,Tree!$F:$F,"L",Tree!$K:$K,"&lt;&gt;"&amp;"Y")-R140,1))</f>
        <v/>
      </c>
      <c r="W140" s="124" t="str">
        <f>IF(B140="","",SUMIFS(Tree!$AY:$AY,Tree!$A:$A,'Pre-Harvest Plots_rpt'!$B140,Tree!$B:$B,'Pre-Harvest Plots_rpt'!$D140,Tree!$F:$F,"L",Tree!$K:$K,"&lt;&gt;"&amp;"Y")/1000)</f>
        <v/>
      </c>
      <c r="X140" s="158" t="str">
        <f>IF(B140="","",ROUND((SUMIFS(Tree!$AW:$AW,Tree!$A:$A,'Pre-Harvest Plots_rpt'!$B140,Tree!$B:$B,'Pre-Harvest Plots_rpt'!$D140,Tree!$F:$F,"L",Tree!$K:$K,"&lt;&gt;"&amp;"Y")/1000)-W140,1))</f>
        <v/>
      </c>
      <c r="Y140" s="135"/>
      <c r="Z140" s="161" t="str">
        <f>IF(IF(B140="","",SUMIFS(Tree!$O:$O,Tree!$A:$A,'Pre-Harvest Plots_rpt'!$B140,Tree!$B:$B,'Pre-Harvest Plots_rpt'!$D140,Tree!$F:$F,"D",Tree!$K:$K,"&lt;&gt;"&amp;"Y"))=0,"",IF(B140="","",SUMIFS(Tree!$O:$O,Tree!$A:$A,'Pre-Harvest Plots_rpt'!$B140,Tree!$B:$B,'Pre-Harvest Plots_rpt'!$D140,Tree!$F:$F,"D",Tree!$K:$K,"&lt;&gt;"&amp;"Y")))</f>
        <v/>
      </c>
      <c r="AA140" s="125" t="str">
        <f t="shared" si="11"/>
        <v/>
      </c>
      <c r="AB140" s="125" t="str">
        <f>IF(Z140="","",SUMIFS(Tree!$R:$R,Tree!$A:$A,'Pre-Harvest Plots_rpt'!$B140,Tree!$B:$B,'Pre-Harvest Plots_rpt'!$D140,Tree!$F:$F,"D",Tree!$K:$K,"&lt;&gt;"&amp;"Y"))</f>
        <v/>
      </c>
      <c r="AC140" s="126" t="str">
        <f>IF(Z140="","",SUMIFS(Tree!$AM:$AM,Tree!$A:$A,'Pre-Harvest Plots_rpt'!$B140,Tree!$B:$B,'Pre-Harvest Plots_rpt'!$D140,Tree!$F:$F,"D",Tree!$K:$K,"&lt;&gt;"&amp;"Y"))</f>
        <v/>
      </c>
      <c r="AD140" s="162" t="str">
        <f>IF(Z140="","",SUMIFS(Tree!$AW:$AW,Tree!$A:$A,'Pre-Harvest Plots_rpt'!$B140,Tree!$B:$B,'Pre-Harvest Plots_rpt'!$D140,Tree!$F:$F,"D",Tree!$K:$K,"&lt;&gt;"&amp;"Y")/1000)</f>
        <v/>
      </c>
      <c r="AE140" s="47"/>
      <c r="AF140" s="18"/>
      <c r="AG140" s="18"/>
      <c r="AH140" s="18"/>
    </row>
    <row r="141" spans="1:34" ht="12.75" customHeight="1" x14ac:dyDescent="0.25">
      <c r="A141" s="48">
        <v>138</v>
      </c>
      <c r="B141" s="171" t="str">
        <f>IF(A141&lt;=SUM(Stand!$H$3:$H$29),VLOOKUP(A141,Stand!$A$3:$C$29,3,TRUE),"")</f>
        <v/>
      </c>
      <c r="C141" s="172" t="str">
        <f t="shared" si="8"/>
        <v/>
      </c>
      <c r="D141" s="173" t="str">
        <f>IF(B141="","",VLOOKUP(B141&amp;C141,Plot!$B$2:$D$199,3,FALSE))</f>
        <v/>
      </c>
      <c r="E141" s="130"/>
      <c r="F141" s="152" t="str">
        <f>IF(B141="","",SUMIFS(Tree!$O:$O,Tree!$A:$A,'Pre-Harvest Plots_rpt'!$B141,Tree!$B:$B,'Pre-Harvest Plots_rpt'!$D141,Tree!$F:$F,"L",Tree!$K:$K,"&lt;&gt;"&amp;"Y"))</f>
        <v/>
      </c>
      <c r="G141" s="153" t="str">
        <f>IFERROR(IF(D141="","",SUMIFS(Tree!$P:$P,Tree!$A:$A,'Pre-Harvest Plots_rpt'!$B141,Tree!$B:$B,'Pre-Harvest Plots_rpt'!$D141,Tree!$K:$K,"&lt;&gt;"&amp;"Y")/$F141),"")</f>
        <v/>
      </c>
      <c r="H141" s="122" t="str">
        <f t="shared" si="9"/>
        <v/>
      </c>
      <c r="I141" s="121" t="str">
        <f>IF(OR($F141=0,$F141=""),"",SUMIFS(Tree!$R:$R,Tree!$A:$A,'Pre-Harvest Plots_rpt'!$B141,Tree!$B:$B,'Pre-Harvest Plots_rpt'!$D141,Tree!$F:$F,"L",Tree!$K:$K,"&lt;&gt;"&amp;"Y"))</f>
        <v/>
      </c>
      <c r="J141" s="121" t="str">
        <f>IF(OR($F141=0,$F141=""),"",IF(SUMIFS(Tree!$W:$W,Tree!$A:$A,'Pre-Harvest Plots_rpt'!$B141,Tree!$B:$B,'Pre-Harvest Plots_rpt'!$D141,Tree!$F:$F,"L",Tree!$K:$K,"&lt;&gt;"&amp;"Y")=0,0,AVERAGEIFS(Tree!$W:$W,Tree!$A:$A,'Pre-Harvest Plots_rpt'!$B141,Tree!$B:$B,'Pre-Harvest Plots_rpt'!$D141,Tree!$F:$F,"L",Tree!$K:$K,"&lt;&gt;"&amp;"Y")))</f>
        <v/>
      </c>
      <c r="K141" s="121" t="str">
        <f>IF($F141="","",SUMIFS(Tree!$S:$S,Tree!$A:$A,'Pre-Harvest Plots_rpt'!$B141,Tree!$B:$B,'Pre-Harvest Plots_rpt'!$D141,Tree!$F:$F,"L",Tree!$K:$K,"&lt;&gt;"&amp;"Y"))</f>
        <v/>
      </c>
      <c r="L141" s="154" t="str">
        <f t="shared" si="10"/>
        <v/>
      </c>
      <c r="M141" s="135"/>
      <c r="N141" s="192" t="str">
        <f>IF(B141="","",SUMIFS(Tree!$AM:$AM,Tree!$A:$A,'Pre-Harvest Plots_rpt'!$B141,Tree!$B:$B,'Pre-Harvest Plots_rpt'!$D141,Tree!$F:$F,"L",Tree!$K:$K,"&lt;&gt;"&amp;"Y"))</f>
        <v/>
      </c>
      <c r="O141" s="122" t="str">
        <f>IF(B141="","",SUMIFS(Tree!$AN:$AN,Tree!$A:$A,'Pre-Harvest Plots_rpt'!$B141,Tree!$B:$B,'Pre-Harvest Plots_rpt'!$D141,Tree!$F:$F,"L",Tree!$K:$K,"&lt;&gt;"&amp;"Y"))</f>
        <v/>
      </c>
      <c r="P141" s="122" t="str">
        <f>IF(B141="","",SUMIFS(Tree!$AO:$AO,Tree!$A:$A,'Pre-Harvest Plots_rpt'!$B141,Tree!$B:$B,'Pre-Harvest Plots_rpt'!$D141,Tree!$F:$F,"L",Tree!$K:$K,"&lt;&gt;"&amp;"Y"))</f>
        <v/>
      </c>
      <c r="Q141" s="122" t="str">
        <f>IF(B141="","",SUMIFS(Tree!$AP:$AP,Tree!$A:$A,'Pre-Harvest Plots_rpt'!$B141,Tree!$B:$B,'Pre-Harvest Plots_rpt'!$D141,Tree!$F:$F,"L",Tree!$K:$K,"&lt;&gt;"&amp;"Y"))</f>
        <v/>
      </c>
      <c r="R141" s="123" t="str">
        <f>IF(B141="","",SUMIFS(Tree!$AQ:$AQ,Tree!$A:$A,'Pre-Harvest Plots_rpt'!$B141,Tree!$B:$B,'Pre-Harvest Plots_rpt'!$D141,Tree!$F:$F,"L",Tree!$K:$K,"&lt;&gt;"&amp;"Y"))</f>
        <v/>
      </c>
      <c r="S141" s="122" t="str">
        <f>IF(B141="","",SUMIFS(Tree!$AJ:$AJ,Tree!$A:$A,'Pre-Harvest Plots_rpt'!$B141,Tree!$B:$B,'Pre-Harvest Plots_rpt'!$D141,Tree!$F:$F,"L",Tree!$K:$K,"&lt;&gt;"&amp;"Y")-O141)</f>
        <v/>
      </c>
      <c r="T141" s="122" t="str">
        <f>IF(B141="","",SUMIFS(Tree!$AK:$AK,Tree!$A:$A,'Pre-Harvest Plots_rpt'!$B141,Tree!$B:$B,'Pre-Harvest Plots_rpt'!$D141,Tree!$F:$F,"L",Tree!$K:$K,"&lt;&gt;"&amp;"Y")-P141)</f>
        <v/>
      </c>
      <c r="U141" s="122" t="str">
        <f>IF(B141="","",SUMIFS(Tree!$AL:$AL,Tree!$A:$A,'Pre-Harvest Plots_rpt'!$B141,Tree!$B:$B,'Pre-Harvest Plots_rpt'!$D141,Tree!$F:$F,"L",Tree!$K:$K,"&lt;&gt;"&amp;"Y")-Q141)</f>
        <v/>
      </c>
      <c r="V141" s="123" t="str">
        <f>IF(B141="","",ROUND(SUMIFS(Tree!$AE:$AE,Tree!$A:$A,'Pre-Harvest Plots_rpt'!$B141,Tree!$B:$B,'Pre-Harvest Plots_rpt'!$D141,Tree!$F:$F,"L",Tree!$K:$K,"&lt;&gt;"&amp;"Y")-R141,1))</f>
        <v/>
      </c>
      <c r="W141" s="124" t="str">
        <f>IF(B141="","",SUMIFS(Tree!$AY:$AY,Tree!$A:$A,'Pre-Harvest Plots_rpt'!$B141,Tree!$B:$B,'Pre-Harvest Plots_rpt'!$D141,Tree!$F:$F,"L",Tree!$K:$K,"&lt;&gt;"&amp;"Y")/1000)</f>
        <v/>
      </c>
      <c r="X141" s="158" t="str">
        <f>IF(B141="","",ROUND((SUMIFS(Tree!$AW:$AW,Tree!$A:$A,'Pre-Harvest Plots_rpt'!$B141,Tree!$B:$B,'Pre-Harvest Plots_rpt'!$D141,Tree!$F:$F,"L",Tree!$K:$K,"&lt;&gt;"&amp;"Y")/1000)-W141,1))</f>
        <v/>
      </c>
      <c r="Y141" s="135"/>
      <c r="Z141" s="161" t="str">
        <f>IF(IF(B141="","",SUMIFS(Tree!$O:$O,Tree!$A:$A,'Pre-Harvest Plots_rpt'!$B141,Tree!$B:$B,'Pre-Harvest Plots_rpt'!$D141,Tree!$F:$F,"D",Tree!$K:$K,"&lt;&gt;"&amp;"Y"))=0,"",IF(B141="","",SUMIFS(Tree!$O:$O,Tree!$A:$A,'Pre-Harvest Plots_rpt'!$B141,Tree!$B:$B,'Pre-Harvest Plots_rpt'!$D141,Tree!$F:$F,"D",Tree!$K:$K,"&lt;&gt;"&amp;"Y")))</f>
        <v/>
      </c>
      <c r="AA141" s="125" t="str">
        <f t="shared" si="11"/>
        <v/>
      </c>
      <c r="AB141" s="125" t="str">
        <f>IF(Z141="","",SUMIFS(Tree!$R:$R,Tree!$A:$A,'Pre-Harvest Plots_rpt'!$B141,Tree!$B:$B,'Pre-Harvest Plots_rpt'!$D141,Tree!$F:$F,"D",Tree!$K:$K,"&lt;&gt;"&amp;"Y"))</f>
        <v/>
      </c>
      <c r="AC141" s="126" t="str">
        <f>IF(Z141="","",SUMIFS(Tree!$AM:$AM,Tree!$A:$A,'Pre-Harvest Plots_rpt'!$B141,Tree!$B:$B,'Pre-Harvest Plots_rpt'!$D141,Tree!$F:$F,"D",Tree!$K:$K,"&lt;&gt;"&amp;"Y"))</f>
        <v/>
      </c>
      <c r="AD141" s="162" t="str">
        <f>IF(Z141="","",SUMIFS(Tree!$AW:$AW,Tree!$A:$A,'Pre-Harvest Plots_rpt'!$B141,Tree!$B:$B,'Pre-Harvest Plots_rpt'!$D141,Tree!$F:$F,"D",Tree!$K:$K,"&lt;&gt;"&amp;"Y")/1000)</f>
        <v/>
      </c>
      <c r="AE141" s="47"/>
      <c r="AF141" s="18"/>
      <c r="AG141" s="18"/>
      <c r="AH141" s="18"/>
    </row>
    <row r="142" spans="1:34" ht="12.75" customHeight="1" x14ac:dyDescent="0.25">
      <c r="A142" s="48">
        <v>139</v>
      </c>
      <c r="B142" s="171" t="str">
        <f>IF(A142&lt;=SUM(Stand!$H$3:$H$29),VLOOKUP(A142,Stand!$A$3:$C$29,3,TRUE),"")</f>
        <v/>
      </c>
      <c r="C142" s="172" t="str">
        <f t="shared" si="8"/>
        <v/>
      </c>
      <c r="D142" s="173" t="str">
        <f>IF(B142="","",VLOOKUP(B142&amp;C142,Plot!$B$2:$D$199,3,FALSE))</f>
        <v/>
      </c>
      <c r="E142" s="130"/>
      <c r="F142" s="152" t="str">
        <f>IF(B142="","",SUMIFS(Tree!$O:$O,Tree!$A:$A,'Pre-Harvest Plots_rpt'!$B142,Tree!$B:$B,'Pre-Harvest Plots_rpt'!$D142,Tree!$F:$F,"L",Tree!$K:$K,"&lt;&gt;"&amp;"Y"))</f>
        <v/>
      </c>
      <c r="G142" s="153" t="str">
        <f>IFERROR(IF(D142="","",SUMIFS(Tree!$P:$P,Tree!$A:$A,'Pre-Harvest Plots_rpt'!$B142,Tree!$B:$B,'Pre-Harvest Plots_rpt'!$D142,Tree!$K:$K,"&lt;&gt;"&amp;"Y")/$F142),"")</f>
        <v/>
      </c>
      <c r="H142" s="122" t="str">
        <f t="shared" si="9"/>
        <v/>
      </c>
      <c r="I142" s="121" t="str">
        <f>IF(OR($F142=0,$F142=""),"",SUMIFS(Tree!$R:$R,Tree!$A:$A,'Pre-Harvest Plots_rpt'!$B142,Tree!$B:$B,'Pre-Harvest Plots_rpt'!$D142,Tree!$F:$F,"L",Tree!$K:$K,"&lt;&gt;"&amp;"Y"))</f>
        <v/>
      </c>
      <c r="J142" s="121" t="str">
        <f>IF(OR($F142=0,$F142=""),"",IF(SUMIFS(Tree!$W:$W,Tree!$A:$A,'Pre-Harvest Plots_rpt'!$B142,Tree!$B:$B,'Pre-Harvest Plots_rpt'!$D142,Tree!$F:$F,"L",Tree!$K:$K,"&lt;&gt;"&amp;"Y")=0,0,AVERAGEIFS(Tree!$W:$W,Tree!$A:$A,'Pre-Harvest Plots_rpt'!$B142,Tree!$B:$B,'Pre-Harvest Plots_rpt'!$D142,Tree!$F:$F,"L",Tree!$K:$K,"&lt;&gt;"&amp;"Y")))</f>
        <v/>
      </c>
      <c r="K142" s="121" t="str">
        <f>IF($F142="","",SUMIFS(Tree!$S:$S,Tree!$A:$A,'Pre-Harvest Plots_rpt'!$B142,Tree!$B:$B,'Pre-Harvest Plots_rpt'!$D142,Tree!$F:$F,"L",Tree!$K:$K,"&lt;&gt;"&amp;"Y"))</f>
        <v/>
      </c>
      <c r="L142" s="154" t="str">
        <f t="shared" si="10"/>
        <v/>
      </c>
      <c r="M142" s="135"/>
      <c r="N142" s="192" t="str">
        <f>IF(B142="","",SUMIFS(Tree!$AM:$AM,Tree!$A:$A,'Pre-Harvest Plots_rpt'!$B142,Tree!$B:$B,'Pre-Harvest Plots_rpt'!$D142,Tree!$F:$F,"L",Tree!$K:$K,"&lt;&gt;"&amp;"Y"))</f>
        <v/>
      </c>
      <c r="O142" s="122" t="str">
        <f>IF(B142="","",SUMIFS(Tree!$AN:$AN,Tree!$A:$A,'Pre-Harvest Plots_rpt'!$B142,Tree!$B:$B,'Pre-Harvest Plots_rpt'!$D142,Tree!$F:$F,"L",Tree!$K:$K,"&lt;&gt;"&amp;"Y"))</f>
        <v/>
      </c>
      <c r="P142" s="122" t="str">
        <f>IF(B142="","",SUMIFS(Tree!$AO:$AO,Tree!$A:$A,'Pre-Harvest Plots_rpt'!$B142,Tree!$B:$B,'Pre-Harvest Plots_rpt'!$D142,Tree!$F:$F,"L",Tree!$K:$K,"&lt;&gt;"&amp;"Y"))</f>
        <v/>
      </c>
      <c r="Q142" s="122" t="str">
        <f>IF(B142="","",SUMIFS(Tree!$AP:$AP,Tree!$A:$A,'Pre-Harvest Plots_rpt'!$B142,Tree!$B:$B,'Pre-Harvest Plots_rpt'!$D142,Tree!$F:$F,"L",Tree!$K:$K,"&lt;&gt;"&amp;"Y"))</f>
        <v/>
      </c>
      <c r="R142" s="123" t="str">
        <f>IF(B142="","",SUMIFS(Tree!$AQ:$AQ,Tree!$A:$A,'Pre-Harvest Plots_rpt'!$B142,Tree!$B:$B,'Pre-Harvest Plots_rpt'!$D142,Tree!$F:$F,"L",Tree!$K:$K,"&lt;&gt;"&amp;"Y"))</f>
        <v/>
      </c>
      <c r="S142" s="122" t="str">
        <f>IF(B142="","",SUMIFS(Tree!$AJ:$AJ,Tree!$A:$A,'Pre-Harvest Plots_rpt'!$B142,Tree!$B:$B,'Pre-Harvest Plots_rpt'!$D142,Tree!$F:$F,"L",Tree!$K:$K,"&lt;&gt;"&amp;"Y")-O142)</f>
        <v/>
      </c>
      <c r="T142" s="122" t="str">
        <f>IF(B142="","",SUMIFS(Tree!$AK:$AK,Tree!$A:$A,'Pre-Harvest Plots_rpt'!$B142,Tree!$B:$B,'Pre-Harvest Plots_rpt'!$D142,Tree!$F:$F,"L",Tree!$K:$K,"&lt;&gt;"&amp;"Y")-P142)</f>
        <v/>
      </c>
      <c r="U142" s="122" t="str">
        <f>IF(B142="","",SUMIFS(Tree!$AL:$AL,Tree!$A:$A,'Pre-Harvest Plots_rpt'!$B142,Tree!$B:$B,'Pre-Harvest Plots_rpt'!$D142,Tree!$F:$F,"L",Tree!$K:$K,"&lt;&gt;"&amp;"Y")-Q142)</f>
        <v/>
      </c>
      <c r="V142" s="123" t="str">
        <f>IF(B142="","",ROUND(SUMIFS(Tree!$AE:$AE,Tree!$A:$A,'Pre-Harvest Plots_rpt'!$B142,Tree!$B:$B,'Pre-Harvest Plots_rpt'!$D142,Tree!$F:$F,"L",Tree!$K:$K,"&lt;&gt;"&amp;"Y")-R142,1))</f>
        <v/>
      </c>
      <c r="W142" s="124" t="str">
        <f>IF(B142="","",SUMIFS(Tree!$AY:$AY,Tree!$A:$A,'Pre-Harvest Plots_rpt'!$B142,Tree!$B:$B,'Pre-Harvest Plots_rpt'!$D142,Tree!$F:$F,"L",Tree!$K:$K,"&lt;&gt;"&amp;"Y")/1000)</f>
        <v/>
      </c>
      <c r="X142" s="158" t="str">
        <f>IF(B142="","",ROUND((SUMIFS(Tree!$AW:$AW,Tree!$A:$A,'Pre-Harvest Plots_rpt'!$B142,Tree!$B:$B,'Pre-Harvest Plots_rpt'!$D142,Tree!$F:$F,"L",Tree!$K:$K,"&lt;&gt;"&amp;"Y")/1000)-W142,1))</f>
        <v/>
      </c>
      <c r="Y142" s="135"/>
      <c r="Z142" s="161" t="str">
        <f>IF(IF(B142="","",SUMIFS(Tree!$O:$O,Tree!$A:$A,'Pre-Harvest Plots_rpt'!$B142,Tree!$B:$B,'Pre-Harvest Plots_rpt'!$D142,Tree!$F:$F,"D",Tree!$K:$K,"&lt;&gt;"&amp;"Y"))=0,"",IF(B142="","",SUMIFS(Tree!$O:$O,Tree!$A:$A,'Pre-Harvest Plots_rpt'!$B142,Tree!$B:$B,'Pre-Harvest Plots_rpt'!$D142,Tree!$F:$F,"D",Tree!$K:$K,"&lt;&gt;"&amp;"Y")))</f>
        <v/>
      </c>
      <c r="AA142" s="125" t="str">
        <f t="shared" si="11"/>
        <v/>
      </c>
      <c r="AB142" s="125" t="str">
        <f>IF(Z142="","",SUMIFS(Tree!$R:$R,Tree!$A:$A,'Pre-Harvest Plots_rpt'!$B142,Tree!$B:$B,'Pre-Harvest Plots_rpt'!$D142,Tree!$F:$F,"D",Tree!$K:$K,"&lt;&gt;"&amp;"Y"))</f>
        <v/>
      </c>
      <c r="AC142" s="126" t="str">
        <f>IF(Z142="","",SUMIFS(Tree!$AM:$AM,Tree!$A:$A,'Pre-Harvest Plots_rpt'!$B142,Tree!$B:$B,'Pre-Harvest Plots_rpt'!$D142,Tree!$F:$F,"D",Tree!$K:$K,"&lt;&gt;"&amp;"Y"))</f>
        <v/>
      </c>
      <c r="AD142" s="162" t="str">
        <f>IF(Z142="","",SUMIFS(Tree!$AW:$AW,Tree!$A:$A,'Pre-Harvest Plots_rpt'!$B142,Tree!$B:$B,'Pre-Harvest Plots_rpt'!$D142,Tree!$F:$F,"D",Tree!$K:$K,"&lt;&gt;"&amp;"Y")/1000)</f>
        <v/>
      </c>
      <c r="AE142" s="47"/>
      <c r="AF142" s="18"/>
      <c r="AG142" s="18"/>
      <c r="AH142" s="18"/>
    </row>
    <row r="143" spans="1:34" ht="12.75" customHeight="1" x14ac:dyDescent="0.25">
      <c r="A143" s="48">
        <v>140</v>
      </c>
      <c r="B143" s="171" t="str">
        <f>IF(A143&lt;=SUM(Stand!$H$3:$H$29),VLOOKUP(A143,Stand!$A$3:$C$29,3,TRUE),"")</f>
        <v/>
      </c>
      <c r="C143" s="172" t="str">
        <f t="shared" si="8"/>
        <v/>
      </c>
      <c r="D143" s="173" t="str">
        <f>IF(B143="","",VLOOKUP(B143&amp;C143,Plot!$B$2:$D$199,3,FALSE))</f>
        <v/>
      </c>
      <c r="E143" s="130"/>
      <c r="F143" s="152" t="str">
        <f>IF(B143="","",SUMIFS(Tree!$O:$O,Tree!$A:$A,'Pre-Harvest Plots_rpt'!$B143,Tree!$B:$B,'Pre-Harvest Plots_rpt'!$D143,Tree!$F:$F,"L",Tree!$K:$K,"&lt;&gt;"&amp;"Y"))</f>
        <v/>
      </c>
      <c r="G143" s="153" t="str">
        <f>IFERROR(IF(D143="","",SUMIFS(Tree!$P:$P,Tree!$A:$A,'Pre-Harvest Plots_rpt'!$B143,Tree!$B:$B,'Pre-Harvest Plots_rpt'!$D143,Tree!$K:$K,"&lt;&gt;"&amp;"Y")/$F143),"")</f>
        <v/>
      </c>
      <c r="H143" s="122" t="str">
        <f t="shared" si="9"/>
        <v/>
      </c>
      <c r="I143" s="121" t="str">
        <f>IF(OR($F143=0,$F143=""),"",SUMIFS(Tree!$R:$R,Tree!$A:$A,'Pre-Harvest Plots_rpt'!$B143,Tree!$B:$B,'Pre-Harvest Plots_rpt'!$D143,Tree!$F:$F,"L",Tree!$K:$K,"&lt;&gt;"&amp;"Y"))</f>
        <v/>
      </c>
      <c r="J143" s="121" t="str">
        <f>IF(OR($F143=0,$F143=""),"",IF(SUMIFS(Tree!$W:$W,Tree!$A:$A,'Pre-Harvest Plots_rpt'!$B143,Tree!$B:$B,'Pre-Harvest Plots_rpt'!$D143,Tree!$F:$F,"L",Tree!$K:$K,"&lt;&gt;"&amp;"Y")=0,0,AVERAGEIFS(Tree!$W:$W,Tree!$A:$A,'Pre-Harvest Plots_rpt'!$B143,Tree!$B:$B,'Pre-Harvest Plots_rpt'!$D143,Tree!$F:$F,"L",Tree!$K:$K,"&lt;&gt;"&amp;"Y")))</f>
        <v/>
      </c>
      <c r="K143" s="121" t="str">
        <f>IF($F143="","",SUMIFS(Tree!$S:$S,Tree!$A:$A,'Pre-Harvest Plots_rpt'!$B143,Tree!$B:$B,'Pre-Harvest Plots_rpt'!$D143,Tree!$F:$F,"L",Tree!$K:$K,"&lt;&gt;"&amp;"Y"))</f>
        <v/>
      </c>
      <c r="L143" s="154" t="str">
        <f t="shared" si="10"/>
        <v/>
      </c>
      <c r="M143" s="135"/>
      <c r="N143" s="192" t="str">
        <f>IF(B143="","",SUMIFS(Tree!$AM:$AM,Tree!$A:$A,'Pre-Harvest Plots_rpt'!$B143,Tree!$B:$B,'Pre-Harvest Plots_rpt'!$D143,Tree!$F:$F,"L",Tree!$K:$K,"&lt;&gt;"&amp;"Y"))</f>
        <v/>
      </c>
      <c r="O143" s="122" t="str">
        <f>IF(B143="","",SUMIFS(Tree!$AN:$AN,Tree!$A:$A,'Pre-Harvest Plots_rpt'!$B143,Tree!$B:$B,'Pre-Harvest Plots_rpt'!$D143,Tree!$F:$F,"L",Tree!$K:$K,"&lt;&gt;"&amp;"Y"))</f>
        <v/>
      </c>
      <c r="P143" s="122" t="str">
        <f>IF(B143="","",SUMIFS(Tree!$AO:$AO,Tree!$A:$A,'Pre-Harvest Plots_rpt'!$B143,Tree!$B:$B,'Pre-Harvest Plots_rpt'!$D143,Tree!$F:$F,"L",Tree!$K:$K,"&lt;&gt;"&amp;"Y"))</f>
        <v/>
      </c>
      <c r="Q143" s="122" t="str">
        <f>IF(B143="","",SUMIFS(Tree!$AP:$AP,Tree!$A:$A,'Pre-Harvest Plots_rpt'!$B143,Tree!$B:$B,'Pre-Harvest Plots_rpt'!$D143,Tree!$F:$F,"L",Tree!$K:$K,"&lt;&gt;"&amp;"Y"))</f>
        <v/>
      </c>
      <c r="R143" s="123" t="str">
        <f>IF(B143="","",SUMIFS(Tree!$AQ:$AQ,Tree!$A:$A,'Pre-Harvest Plots_rpt'!$B143,Tree!$B:$B,'Pre-Harvest Plots_rpt'!$D143,Tree!$F:$F,"L",Tree!$K:$K,"&lt;&gt;"&amp;"Y"))</f>
        <v/>
      </c>
      <c r="S143" s="122" t="str">
        <f>IF(B143="","",SUMIFS(Tree!$AJ:$AJ,Tree!$A:$A,'Pre-Harvest Plots_rpt'!$B143,Tree!$B:$B,'Pre-Harvest Plots_rpt'!$D143,Tree!$F:$F,"L",Tree!$K:$K,"&lt;&gt;"&amp;"Y")-O143)</f>
        <v/>
      </c>
      <c r="T143" s="122" t="str">
        <f>IF(B143="","",SUMIFS(Tree!$AK:$AK,Tree!$A:$A,'Pre-Harvest Plots_rpt'!$B143,Tree!$B:$B,'Pre-Harvest Plots_rpt'!$D143,Tree!$F:$F,"L",Tree!$K:$K,"&lt;&gt;"&amp;"Y")-P143)</f>
        <v/>
      </c>
      <c r="U143" s="122" t="str">
        <f>IF(B143="","",SUMIFS(Tree!$AL:$AL,Tree!$A:$A,'Pre-Harvest Plots_rpt'!$B143,Tree!$B:$B,'Pre-Harvest Plots_rpt'!$D143,Tree!$F:$F,"L",Tree!$K:$K,"&lt;&gt;"&amp;"Y")-Q143)</f>
        <v/>
      </c>
      <c r="V143" s="123" t="str">
        <f>IF(B143="","",ROUND(SUMIFS(Tree!$AE:$AE,Tree!$A:$A,'Pre-Harvest Plots_rpt'!$B143,Tree!$B:$B,'Pre-Harvest Plots_rpt'!$D143,Tree!$F:$F,"L",Tree!$K:$K,"&lt;&gt;"&amp;"Y")-R143,1))</f>
        <v/>
      </c>
      <c r="W143" s="124" t="str">
        <f>IF(B143="","",SUMIFS(Tree!$AY:$AY,Tree!$A:$A,'Pre-Harvest Plots_rpt'!$B143,Tree!$B:$B,'Pre-Harvest Plots_rpt'!$D143,Tree!$F:$F,"L",Tree!$K:$K,"&lt;&gt;"&amp;"Y")/1000)</f>
        <v/>
      </c>
      <c r="X143" s="158" t="str">
        <f>IF(B143="","",ROUND((SUMIFS(Tree!$AW:$AW,Tree!$A:$A,'Pre-Harvest Plots_rpt'!$B143,Tree!$B:$B,'Pre-Harvest Plots_rpt'!$D143,Tree!$F:$F,"L",Tree!$K:$K,"&lt;&gt;"&amp;"Y")/1000)-W143,1))</f>
        <v/>
      </c>
      <c r="Y143" s="135"/>
      <c r="Z143" s="161" t="str">
        <f>IF(IF(B143="","",SUMIFS(Tree!$O:$O,Tree!$A:$A,'Pre-Harvest Plots_rpt'!$B143,Tree!$B:$B,'Pre-Harvest Plots_rpt'!$D143,Tree!$F:$F,"D",Tree!$K:$K,"&lt;&gt;"&amp;"Y"))=0,"",IF(B143="","",SUMIFS(Tree!$O:$O,Tree!$A:$A,'Pre-Harvest Plots_rpt'!$B143,Tree!$B:$B,'Pre-Harvest Plots_rpt'!$D143,Tree!$F:$F,"D",Tree!$K:$K,"&lt;&gt;"&amp;"Y")))</f>
        <v/>
      </c>
      <c r="AA143" s="125" t="str">
        <f t="shared" si="11"/>
        <v/>
      </c>
      <c r="AB143" s="125" t="str">
        <f>IF(Z143="","",SUMIFS(Tree!$R:$R,Tree!$A:$A,'Pre-Harvest Plots_rpt'!$B143,Tree!$B:$B,'Pre-Harvest Plots_rpt'!$D143,Tree!$F:$F,"D",Tree!$K:$K,"&lt;&gt;"&amp;"Y"))</f>
        <v/>
      </c>
      <c r="AC143" s="126" t="str">
        <f>IF(Z143="","",SUMIFS(Tree!$AM:$AM,Tree!$A:$A,'Pre-Harvest Plots_rpt'!$B143,Tree!$B:$B,'Pre-Harvest Plots_rpt'!$D143,Tree!$F:$F,"D",Tree!$K:$K,"&lt;&gt;"&amp;"Y"))</f>
        <v/>
      </c>
      <c r="AD143" s="162" t="str">
        <f>IF(Z143="","",SUMIFS(Tree!$AW:$AW,Tree!$A:$A,'Pre-Harvest Plots_rpt'!$B143,Tree!$B:$B,'Pre-Harvest Plots_rpt'!$D143,Tree!$F:$F,"D",Tree!$K:$K,"&lt;&gt;"&amp;"Y")/1000)</f>
        <v/>
      </c>
      <c r="AE143" s="47"/>
      <c r="AF143" s="18"/>
      <c r="AG143" s="18"/>
      <c r="AH143" s="18"/>
    </row>
    <row r="144" spans="1:34" ht="12.75" customHeight="1" x14ac:dyDescent="0.25">
      <c r="A144" s="48">
        <v>141</v>
      </c>
      <c r="B144" s="171" t="str">
        <f>IF(A144&lt;=SUM(Stand!$H$3:$H$29),VLOOKUP(A144,Stand!$A$3:$C$29,3,TRUE),"")</f>
        <v/>
      </c>
      <c r="C144" s="172" t="str">
        <f t="shared" si="8"/>
        <v/>
      </c>
      <c r="D144" s="173" t="str">
        <f>IF(B144="","",VLOOKUP(B144&amp;C144,Plot!$B$2:$D$199,3,FALSE))</f>
        <v/>
      </c>
      <c r="E144" s="130"/>
      <c r="F144" s="152" t="str">
        <f>IF(B144="","",SUMIFS(Tree!$O:$O,Tree!$A:$A,'Pre-Harvest Plots_rpt'!$B144,Tree!$B:$B,'Pre-Harvest Plots_rpt'!$D144,Tree!$F:$F,"L",Tree!$K:$K,"&lt;&gt;"&amp;"Y"))</f>
        <v/>
      </c>
      <c r="G144" s="153" t="str">
        <f>IFERROR(IF(D144="","",SUMIFS(Tree!$P:$P,Tree!$A:$A,'Pre-Harvest Plots_rpt'!$B144,Tree!$B:$B,'Pre-Harvest Plots_rpt'!$D144,Tree!$K:$K,"&lt;&gt;"&amp;"Y")/$F144),"")</f>
        <v/>
      </c>
      <c r="H144" s="122" t="str">
        <f t="shared" si="9"/>
        <v/>
      </c>
      <c r="I144" s="121" t="str">
        <f>IF(OR($F144=0,$F144=""),"",SUMIFS(Tree!$R:$R,Tree!$A:$A,'Pre-Harvest Plots_rpt'!$B144,Tree!$B:$B,'Pre-Harvest Plots_rpt'!$D144,Tree!$F:$F,"L",Tree!$K:$K,"&lt;&gt;"&amp;"Y"))</f>
        <v/>
      </c>
      <c r="J144" s="121" t="str">
        <f>IF(OR($F144=0,$F144=""),"",IF(SUMIFS(Tree!$W:$W,Tree!$A:$A,'Pre-Harvest Plots_rpt'!$B144,Tree!$B:$B,'Pre-Harvest Plots_rpt'!$D144,Tree!$F:$F,"L",Tree!$K:$K,"&lt;&gt;"&amp;"Y")=0,0,AVERAGEIFS(Tree!$W:$W,Tree!$A:$A,'Pre-Harvest Plots_rpt'!$B144,Tree!$B:$B,'Pre-Harvest Plots_rpt'!$D144,Tree!$F:$F,"L",Tree!$K:$K,"&lt;&gt;"&amp;"Y")))</f>
        <v/>
      </c>
      <c r="K144" s="121" t="str">
        <f>IF($F144="","",SUMIFS(Tree!$S:$S,Tree!$A:$A,'Pre-Harvest Plots_rpt'!$B144,Tree!$B:$B,'Pre-Harvest Plots_rpt'!$D144,Tree!$F:$F,"L",Tree!$K:$K,"&lt;&gt;"&amp;"Y"))</f>
        <v/>
      </c>
      <c r="L144" s="154" t="str">
        <f t="shared" si="10"/>
        <v/>
      </c>
      <c r="M144" s="135"/>
      <c r="N144" s="192" t="str">
        <f>IF(B144="","",SUMIFS(Tree!$AM:$AM,Tree!$A:$A,'Pre-Harvest Plots_rpt'!$B144,Tree!$B:$B,'Pre-Harvest Plots_rpt'!$D144,Tree!$F:$F,"L",Tree!$K:$K,"&lt;&gt;"&amp;"Y"))</f>
        <v/>
      </c>
      <c r="O144" s="122" t="str">
        <f>IF(B144="","",SUMIFS(Tree!$AN:$AN,Tree!$A:$A,'Pre-Harvest Plots_rpt'!$B144,Tree!$B:$B,'Pre-Harvest Plots_rpt'!$D144,Tree!$F:$F,"L",Tree!$K:$K,"&lt;&gt;"&amp;"Y"))</f>
        <v/>
      </c>
      <c r="P144" s="122" t="str">
        <f>IF(B144="","",SUMIFS(Tree!$AO:$AO,Tree!$A:$A,'Pre-Harvest Plots_rpt'!$B144,Tree!$B:$B,'Pre-Harvest Plots_rpt'!$D144,Tree!$F:$F,"L",Tree!$K:$K,"&lt;&gt;"&amp;"Y"))</f>
        <v/>
      </c>
      <c r="Q144" s="122" t="str">
        <f>IF(B144="","",SUMIFS(Tree!$AP:$AP,Tree!$A:$A,'Pre-Harvest Plots_rpt'!$B144,Tree!$B:$B,'Pre-Harvest Plots_rpt'!$D144,Tree!$F:$F,"L",Tree!$K:$K,"&lt;&gt;"&amp;"Y"))</f>
        <v/>
      </c>
      <c r="R144" s="123" t="str">
        <f>IF(B144="","",SUMIFS(Tree!$AQ:$AQ,Tree!$A:$A,'Pre-Harvest Plots_rpt'!$B144,Tree!$B:$B,'Pre-Harvest Plots_rpt'!$D144,Tree!$F:$F,"L",Tree!$K:$K,"&lt;&gt;"&amp;"Y"))</f>
        <v/>
      </c>
      <c r="S144" s="122" t="str">
        <f>IF(B144="","",SUMIFS(Tree!$AJ:$AJ,Tree!$A:$A,'Pre-Harvest Plots_rpt'!$B144,Tree!$B:$B,'Pre-Harvest Plots_rpt'!$D144,Tree!$F:$F,"L",Tree!$K:$K,"&lt;&gt;"&amp;"Y")-O144)</f>
        <v/>
      </c>
      <c r="T144" s="122" t="str">
        <f>IF(B144="","",SUMIFS(Tree!$AK:$AK,Tree!$A:$A,'Pre-Harvest Plots_rpt'!$B144,Tree!$B:$B,'Pre-Harvest Plots_rpt'!$D144,Tree!$F:$F,"L",Tree!$K:$K,"&lt;&gt;"&amp;"Y")-P144)</f>
        <v/>
      </c>
      <c r="U144" s="122" t="str">
        <f>IF(B144="","",SUMIFS(Tree!$AL:$AL,Tree!$A:$A,'Pre-Harvest Plots_rpt'!$B144,Tree!$B:$B,'Pre-Harvest Plots_rpt'!$D144,Tree!$F:$F,"L",Tree!$K:$K,"&lt;&gt;"&amp;"Y")-Q144)</f>
        <v/>
      </c>
      <c r="V144" s="123" t="str">
        <f>IF(B144="","",ROUND(SUMIFS(Tree!$AE:$AE,Tree!$A:$A,'Pre-Harvest Plots_rpt'!$B144,Tree!$B:$B,'Pre-Harvest Plots_rpt'!$D144,Tree!$F:$F,"L",Tree!$K:$K,"&lt;&gt;"&amp;"Y")-R144,1))</f>
        <v/>
      </c>
      <c r="W144" s="124" t="str">
        <f>IF(B144="","",SUMIFS(Tree!$AY:$AY,Tree!$A:$A,'Pre-Harvest Plots_rpt'!$B144,Tree!$B:$B,'Pre-Harvest Plots_rpt'!$D144,Tree!$F:$F,"L",Tree!$K:$K,"&lt;&gt;"&amp;"Y")/1000)</f>
        <v/>
      </c>
      <c r="X144" s="158" t="str">
        <f>IF(B144="","",ROUND((SUMIFS(Tree!$AW:$AW,Tree!$A:$A,'Pre-Harvest Plots_rpt'!$B144,Tree!$B:$B,'Pre-Harvest Plots_rpt'!$D144,Tree!$F:$F,"L",Tree!$K:$K,"&lt;&gt;"&amp;"Y")/1000)-W144,1))</f>
        <v/>
      </c>
      <c r="Y144" s="135"/>
      <c r="Z144" s="161" t="str">
        <f>IF(IF(B144="","",SUMIFS(Tree!$O:$O,Tree!$A:$A,'Pre-Harvest Plots_rpt'!$B144,Tree!$B:$B,'Pre-Harvest Plots_rpt'!$D144,Tree!$F:$F,"D",Tree!$K:$K,"&lt;&gt;"&amp;"Y"))=0,"",IF(B144="","",SUMIFS(Tree!$O:$O,Tree!$A:$A,'Pre-Harvest Plots_rpt'!$B144,Tree!$B:$B,'Pre-Harvest Plots_rpt'!$D144,Tree!$F:$F,"D",Tree!$K:$K,"&lt;&gt;"&amp;"Y")))</f>
        <v/>
      </c>
      <c r="AA144" s="125" t="str">
        <f t="shared" si="11"/>
        <v/>
      </c>
      <c r="AB144" s="125" t="str">
        <f>IF(Z144="","",SUMIFS(Tree!$R:$R,Tree!$A:$A,'Pre-Harvest Plots_rpt'!$B144,Tree!$B:$B,'Pre-Harvest Plots_rpt'!$D144,Tree!$F:$F,"D",Tree!$K:$K,"&lt;&gt;"&amp;"Y"))</f>
        <v/>
      </c>
      <c r="AC144" s="126" t="str">
        <f>IF(Z144="","",SUMIFS(Tree!$AM:$AM,Tree!$A:$A,'Pre-Harvest Plots_rpt'!$B144,Tree!$B:$B,'Pre-Harvest Plots_rpt'!$D144,Tree!$F:$F,"D",Tree!$K:$K,"&lt;&gt;"&amp;"Y"))</f>
        <v/>
      </c>
      <c r="AD144" s="162" t="str">
        <f>IF(Z144="","",SUMIFS(Tree!$AW:$AW,Tree!$A:$A,'Pre-Harvest Plots_rpt'!$B144,Tree!$B:$B,'Pre-Harvest Plots_rpt'!$D144,Tree!$F:$F,"D",Tree!$K:$K,"&lt;&gt;"&amp;"Y")/1000)</f>
        <v/>
      </c>
      <c r="AE144" s="47"/>
      <c r="AF144" s="18"/>
      <c r="AG144" s="18"/>
      <c r="AH144" s="18"/>
    </row>
    <row r="145" spans="1:34" ht="12.75" customHeight="1" x14ac:dyDescent="0.25">
      <c r="A145" s="48">
        <v>142</v>
      </c>
      <c r="B145" s="171" t="str">
        <f>IF(A145&lt;=SUM(Stand!$H$3:$H$29),VLOOKUP(A145,Stand!$A$3:$C$29,3,TRUE),"")</f>
        <v/>
      </c>
      <c r="C145" s="172" t="str">
        <f t="shared" si="8"/>
        <v/>
      </c>
      <c r="D145" s="173" t="str">
        <f>IF(B145="","",VLOOKUP(B145&amp;C145,Plot!$B$2:$D$199,3,FALSE))</f>
        <v/>
      </c>
      <c r="E145" s="130"/>
      <c r="F145" s="152" t="str">
        <f>IF(B145="","",SUMIFS(Tree!$O:$O,Tree!$A:$A,'Pre-Harvest Plots_rpt'!$B145,Tree!$B:$B,'Pre-Harvest Plots_rpt'!$D145,Tree!$F:$F,"L",Tree!$K:$K,"&lt;&gt;"&amp;"Y"))</f>
        <v/>
      </c>
      <c r="G145" s="153" t="str">
        <f>IFERROR(IF(D145="","",SUMIFS(Tree!$P:$P,Tree!$A:$A,'Pre-Harvest Plots_rpt'!$B145,Tree!$B:$B,'Pre-Harvest Plots_rpt'!$D145,Tree!$K:$K,"&lt;&gt;"&amp;"Y")/$F145),"")</f>
        <v/>
      </c>
      <c r="H145" s="122" t="str">
        <f t="shared" si="9"/>
        <v/>
      </c>
      <c r="I145" s="121" t="str">
        <f>IF(OR($F145=0,$F145=""),"",SUMIFS(Tree!$R:$R,Tree!$A:$A,'Pre-Harvest Plots_rpt'!$B145,Tree!$B:$B,'Pre-Harvest Plots_rpt'!$D145,Tree!$F:$F,"L",Tree!$K:$K,"&lt;&gt;"&amp;"Y"))</f>
        <v/>
      </c>
      <c r="J145" s="121" t="str">
        <f>IF(OR($F145=0,$F145=""),"",IF(SUMIFS(Tree!$W:$W,Tree!$A:$A,'Pre-Harvest Plots_rpt'!$B145,Tree!$B:$B,'Pre-Harvest Plots_rpt'!$D145,Tree!$F:$F,"L",Tree!$K:$K,"&lt;&gt;"&amp;"Y")=0,0,AVERAGEIFS(Tree!$W:$W,Tree!$A:$A,'Pre-Harvest Plots_rpt'!$B145,Tree!$B:$B,'Pre-Harvest Plots_rpt'!$D145,Tree!$F:$F,"L",Tree!$K:$K,"&lt;&gt;"&amp;"Y")))</f>
        <v/>
      </c>
      <c r="K145" s="121" t="str">
        <f>IF($F145="","",SUMIFS(Tree!$S:$S,Tree!$A:$A,'Pre-Harvest Plots_rpt'!$B145,Tree!$B:$B,'Pre-Harvest Plots_rpt'!$D145,Tree!$F:$F,"L",Tree!$K:$K,"&lt;&gt;"&amp;"Y"))</f>
        <v/>
      </c>
      <c r="L145" s="154" t="str">
        <f t="shared" si="10"/>
        <v/>
      </c>
      <c r="M145" s="135"/>
      <c r="N145" s="192" t="str">
        <f>IF(B145="","",SUMIFS(Tree!$AM:$AM,Tree!$A:$A,'Pre-Harvest Plots_rpt'!$B145,Tree!$B:$B,'Pre-Harvest Plots_rpt'!$D145,Tree!$F:$F,"L",Tree!$K:$K,"&lt;&gt;"&amp;"Y"))</f>
        <v/>
      </c>
      <c r="O145" s="122" t="str">
        <f>IF(B145="","",SUMIFS(Tree!$AN:$AN,Tree!$A:$A,'Pre-Harvest Plots_rpt'!$B145,Tree!$B:$B,'Pre-Harvest Plots_rpt'!$D145,Tree!$F:$F,"L",Tree!$K:$K,"&lt;&gt;"&amp;"Y"))</f>
        <v/>
      </c>
      <c r="P145" s="122" t="str">
        <f>IF(B145="","",SUMIFS(Tree!$AO:$AO,Tree!$A:$A,'Pre-Harvest Plots_rpt'!$B145,Tree!$B:$B,'Pre-Harvest Plots_rpt'!$D145,Tree!$F:$F,"L",Tree!$K:$K,"&lt;&gt;"&amp;"Y"))</f>
        <v/>
      </c>
      <c r="Q145" s="122" t="str">
        <f>IF(B145="","",SUMIFS(Tree!$AP:$AP,Tree!$A:$A,'Pre-Harvest Plots_rpt'!$B145,Tree!$B:$B,'Pre-Harvest Plots_rpt'!$D145,Tree!$F:$F,"L",Tree!$K:$K,"&lt;&gt;"&amp;"Y"))</f>
        <v/>
      </c>
      <c r="R145" s="123" t="str">
        <f>IF(B145="","",SUMIFS(Tree!$AQ:$AQ,Tree!$A:$A,'Pre-Harvest Plots_rpt'!$B145,Tree!$B:$B,'Pre-Harvest Plots_rpt'!$D145,Tree!$F:$F,"L",Tree!$K:$K,"&lt;&gt;"&amp;"Y"))</f>
        <v/>
      </c>
      <c r="S145" s="122" t="str">
        <f>IF(B145="","",SUMIFS(Tree!$AJ:$AJ,Tree!$A:$A,'Pre-Harvest Plots_rpt'!$B145,Tree!$B:$B,'Pre-Harvest Plots_rpt'!$D145,Tree!$F:$F,"L",Tree!$K:$K,"&lt;&gt;"&amp;"Y")-O145)</f>
        <v/>
      </c>
      <c r="T145" s="122" t="str">
        <f>IF(B145="","",SUMIFS(Tree!$AK:$AK,Tree!$A:$A,'Pre-Harvest Plots_rpt'!$B145,Tree!$B:$B,'Pre-Harvest Plots_rpt'!$D145,Tree!$F:$F,"L",Tree!$K:$K,"&lt;&gt;"&amp;"Y")-P145)</f>
        <v/>
      </c>
      <c r="U145" s="122" t="str">
        <f>IF(B145="","",SUMIFS(Tree!$AL:$AL,Tree!$A:$A,'Pre-Harvest Plots_rpt'!$B145,Tree!$B:$B,'Pre-Harvest Plots_rpt'!$D145,Tree!$F:$F,"L",Tree!$K:$K,"&lt;&gt;"&amp;"Y")-Q145)</f>
        <v/>
      </c>
      <c r="V145" s="123" t="str">
        <f>IF(B145="","",ROUND(SUMIFS(Tree!$AE:$AE,Tree!$A:$A,'Pre-Harvest Plots_rpt'!$B145,Tree!$B:$B,'Pre-Harvest Plots_rpt'!$D145,Tree!$F:$F,"L",Tree!$K:$K,"&lt;&gt;"&amp;"Y")-R145,1))</f>
        <v/>
      </c>
      <c r="W145" s="124" t="str">
        <f>IF(B145="","",SUMIFS(Tree!$AY:$AY,Tree!$A:$A,'Pre-Harvest Plots_rpt'!$B145,Tree!$B:$B,'Pre-Harvest Plots_rpt'!$D145,Tree!$F:$F,"L",Tree!$K:$K,"&lt;&gt;"&amp;"Y")/1000)</f>
        <v/>
      </c>
      <c r="X145" s="158" t="str">
        <f>IF(B145="","",ROUND((SUMIFS(Tree!$AW:$AW,Tree!$A:$A,'Pre-Harvest Plots_rpt'!$B145,Tree!$B:$B,'Pre-Harvest Plots_rpt'!$D145,Tree!$F:$F,"L",Tree!$K:$K,"&lt;&gt;"&amp;"Y")/1000)-W145,1))</f>
        <v/>
      </c>
      <c r="Y145" s="135"/>
      <c r="Z145" s="161" t="str">
        <f>IF(IF(B145="","",SUMIFS(Tree!$O:$O,Tree!$A:$A,'Pre-Harvest Plots_rpt'!$B145,Tree!$B:$B,'Pre-Harvest Plots_rpt'!$D145,Tree!$F:$F,"D",Tree!$K:$K,"&lt;&gt;"&amp;"Y"))=0,"",IF(B145="","",SUMIFS(Tree!$O:$O,Tree!$A:$A,'Pre-Harvest Plots_rpt'!$B145,Tree!$B:$B,'Pre-Harvest Plots_rpt'!$D145,Tree!$F:$F,"D",Tree!$K:$K,"&lt;&gt;"&amp;"Y")))</f>
        <v/>
      </c>
      <c r="AA145" s="125" t="str">
        <f t="shared" si="11"/>
        <v/>
      </c>
      <c r="AB145" s="125" t="str">
        <f>IF(Z145="","",SUMIFS(Tree!$R:$R,Tree!$A:$A,'Pre-Harvest Plots_rpt'!$B145,Tree!$B:$B,'Pre-Harvest Plots_rpt'!$D145,Tree!$F:$F,"D",Tree!$K:$K,"&lt;&gt;"&amp;"Y"))</f>
        <v/>
      </c>
      <c r="AC145" s="126" t="str">
        <f>IF(Z145="","",SUMIFS(Tree!$AM:$AM,Tree!$A:$A,'Pre-Harvest Plots_rpt'!$B145,Tree!$B:$B,'Pre-Harvest Plots_rpt'!$D145,Tree!$F:$F,"D",Tree!$K:$K,"&lt;&gt;"&amp;"Y"))</f>
        <v/>
      </c>
      <c r="AD145" s="162" t="str">
        <f>IF(Z145="","",SUMIFS(Tree!$AW:$AW,Tree!$A:$A,'Pre-Harvest Plots_rpt'!$B145,Tree!$B:$B,'Pre-Harvest Plots_rpt'!$D145,Tree!$F:$F,"D",Tree!$K:$K,"&lt;&gt;"&amp;"Y")/1000)</f>
        <v/>
      </c>
      <c r="AE145" s="47"/>
      <c r="AF145" s="18"/>
      <c r="AG145" s="18"/>
      <c r="AH145" s="18"/>
    </row>
    <row r="146" spans="1:34" ht="12.75" customHeight="1" x14ac:dyDescent="0.25">
      <c r="A146" s="48">
        <v>143</v>
      </c>
      <c r="B146" s="171" t="str">
        <f>IF(A146&lt;=SUM(Stand!$H$3:$H$29),VLOOKUP(A146,Stand!$A$3:$C$29,3,TRUE),"")</f>
        <v/>
      </c>
      <c r="C146" s="172" t="str">
        <f t="shared" si="8"/>
        <v/>
      </c>
      <c r="D146" s="173" t="str">
        <f>IF(B146="","",VLOOKUP(B146&amp;C146,Plot!$B$2:$D$199,3,FALSE))</f>
        <v/>
      </c>
      <c r="E146" s="130"/>
      <c r="F146" s="152" t="str">
        <f>IF(B146="","",SUMIFS(Tree!$O:$O,Tree!$A:$A,'Pre-Harvest Plots_rpt'!$B146,Tree!$B:$B,'Pre-Harvest Plots_rpt'!$D146,Tree!$F:$F,"L",Tree!$K:$K,"&lt;&gt;"&amp;"Y"))</f>
        <v/>
      </c>
      <c r="G146" s="153" t="str">
        <f>IFERROR(IF(D146="","",SUMIFS(Tree!$P:$P,Tree!$A:$A,'Pre-Harvest Plots_rpt'!$B146,Tree!$B:$B,'Pre-Harvest Plots_rpt'!$D146,Tree!$K:$K,"&lt;&gt;"&amp;"Y")/$F146),"")</f>
        <v/>
      </c>
      <c r="H146" s="122" t="str">
        <f t="shared" si="9"/>
        <v/>
      </c>
      <c r="I146" s="121" t="str">
        <f>IF(OR($F146=0,$F146=""),"",SUMIFS(Tree!$R:$R,Tree!$A:$A,'Pre-Harvest Plots_rpt'!$B146,Tree!$B:$B,'Pre-Harvest Plots_rpt'!$D146,Tree!$F:$F,"L",Tree!$K:$K,"&lt;&gt;"&amp;"Y"))</f>
        <v/>
      </c>
      <c r="J146" s="121" t="str">
        <f>IF(OR($F146=0,$F146=""),"",IF(SUMIFS(Tree!$W:$W,Tree!$A:$A,'Pre-Harvest Plots_rpt'!$B146,Tree!$B:$B,'Pre-Harvest Plots_rpt'!$D146,Tree!$F:$F,"L",Tree!$K:$K,"&lt;&gt;"&amp;"Y")=0,0,AVERAGEIFS(Tree!$W:$W,Tree!$A:$A,'Pre-Harvest Plots_rpt'!$B146,Tree!$B:$B,'Pre-Harvest Plots_rpt'!$D146,Tree!$F:$F,"L",Tree!$K:$K,"&lt;&gt;"&amp;"Y")))</f>
        <v/>
      </c>
      <c r="K146" s="121" t="str">
        <f>IF($F146="","",SUMIFS(Tree!$S:$S,Tree!$A:$A,'Pre-Harvest Plots_rpt'!$B146,Tree!$B:$B,'Pre-Harvest Plots_rpt'!$D146,Tree!$F:$F,"L",Tree!$K:$K,"&lt;&gt;"&amp;"Y"))</f>
        <v/>
      </c>
      <c r="L146" s="154" t="str">
        <f t="shared" si="10"/>
        <v/>
      </c>
      <c r="M146" s="135"/>
      <c r="N146" s="192" t="str">
        <f>IF(B146="","",SUMIFS(Tree!$AM:$AM,Tree!$A:$A,'Pre-Harvest Plots_rpt'!$B146,Tree!$B:$B,'Pre-Harvest Plots_rpt'!$D146,Tree!$F:$F,"L",Tree!$K:$K,"&lt;&gt;"&amp;"Y"))</f>
        <v/>
      </c>
      <c r="O146" s="122" t="str">
        <f>IF(B146="","",SUMIFS(Tree!$AN:$AN,Tree!$A:$A,'Pre-Harvest Plots_rpt'!$B146,Tree!$B:$B,'Pre-Harvest Plots_rpt'!$D146,Tree!$F:$F,"L",Tree!$K:$K,"&lt;&gt;"&amp;"Y"))</f>
        <v/>
      </c>
      <c r="P146" s="122" t="str">
        <f>IF(B146="","",SUMIFS(Tree!$AO:$AO,Tree!$A:$A,'Pre-Harvest Plots_rpt'!$B146,Tree!$B:$B,'Pre-Harvest Plots_rpt'!$D146,Tree!$F:$F,"L",Tree!$K:$K,"&lt;&gt;"&amp;"Y"))</f>
        <v/>
      </c>
      <c r="Q146" s="122" t="str">
        <f>IF(B146="","",SUMIFS(Tree!$AP:$AP,Tree!$A:$A,'Pre-Harvest Plots_rpt'!$B146,Tree!$B:$B,'Pre-Harvest Plots_rpt'!$D146,Tree!$F:$F,"L",Tree!$K:$K,"&lt;&gt;"&amp;"Y"))</f>
        <v/>
      </c>
      <c r="R146" s="123" t="str">
        <f>IF(B146="","",SUMIFS(Tree!$AQ:$AQ,Tree!$A:$A,'Pre-Harvest Plots_rpt'!$B146,Tree!$B:$B,'Pre-Harvest Plots_rpt'!$D146,Tree!$F:$F,"L",Tree!$K:$K,"&lt;&gt;"&amp;"Y"))</f>
        <v/>
      </c>
      <c r="S146" s="122" t="str">
        <f>IF(B146="","",SUMIFS(Tree!$AJ:$AJ,Tree!$A:$A,'Pre-Harvest Plots_rpt'!$B146,Tree!$B:$B,'Pre-Harvest Plots_rpt'!$D146,Tree!$F:$F,"L",Tree!$K:$K,"&lt;&gt;"&amp;"Y")-O146)</f>
        <v/>
      </c>
      <c r="T146" s="122" t="str">
        <f>IF(B146="","",SUMIFS(Tree!$AK:$AK,Tree!$A:$A,'Pre-Harvest Plots_rpt'!$B146,Tree!$B:$B,'Pre-Harvest Plots_rpt'!$D146,Tree!$F:$F,"L",Tree!$K:$K,"&lt;&gt;"&amp;"Y")-P146)</f>
        <v/>
      </c>
      <c r="U146" s="122" t="str">
        <f>IF(B146="","",SUMIFS(Tree!$AL:$AL,Tree!$A:$A,'Pre-Harvest Plots_rpt'!$B146,Tree!$B:$B,'Pre-Harvest Plots_rpt'!$D146,Tree!$F:$F,"L",Tree!$K:$K,"&lt;&gt;"&amp;"Y")-Q146)</f>
        <v/>
      </c>
      <c r="V146" s="123" t="str">
        <f>IF(B146="","",ROUND(SUMIFS(Tree!$AE:$AE,Tree!$A:$A,'Pre-Harvest Plots_rpt'!$B146,Tree!$B:$B,'Pre-Harvest Plots_rpt'!$D146,Tree!$F:$F,"L",Tree!$K:$K,"&lt;&gt;"&amp;"Y")-R146,1))</f>
        <v/>
      </c>
      <c r="W146" s="124" t="str">
        <f>IF(B146="","",SUMIFS(Tree!$AY:$AY,Tree!$A:$A,'Pre-Harvest Plots_rpt'!$B146,Tree!$B:$B,'Pre-Harvest Plots_rpt'!$D146,Tree!$F:$F,"L",Tree!$K:$K,"&lt;&gt;"&amp;"Y")/1000)</f>
        <v/>
      </c>
      <c r="X146" s="158" t="str">
        <f>IF(B146="","",ROUND((SUMIFS(Tree!$AW:$AW,Tree!$A:$A,'Pre-Harvest Plots_rpt'!$B146,Tree!$B:$B,'Pre-Harvest Plots_rpt'!$D146,Tree!$F:$F,"L",Tree!$K:$K,"&lt;&gt;"&amp;"Y")/1000)-W146,1))</f>
        <v/>
      </c>
      <c r="Y146" s="135"/>
      <c r="Z146" s="161" t="str">
        <f>IF(IF(B146="","",SUMIFS(Tree!$O:$O,Tree!$A:$A,'Pre-Harvest Plots_rpt'!$B146,Tree!$B:$B,'Pre-Harvest Plots_rpt'!$D146,Tree!$F:$F,"D",Tree!$K:$K,"&lt;&gt;"&amp;"Y"))=0,"",IF(B146="","",SUMIFS(Tree!$O:$O,Tree!$A:$A,'Pre-Harvest Plots_rpt'!$B146,Tree!$B:$B,'Pre-Harvest Plots_rpt'!$D146,Tree!$F:$F,"D",Tree!$K:$K,"&lt;&gt;"&amp;"Y")))</f>
        <v/>
      </c>
      <c r="AA146" s="125" t="str">
        <f t="shared" si="11"/>
        <v/>
      </c>
      <c r="AB146" s="125" t="str">
        <f>IF(Z146="","",SUMIFS(Tree!$R:$R,Tree!$A:$A,'Pre-Harvest Plots_rpt'!$B146,Tree!$B:$B,'Pre-Harvest Plots_rpt'!$D146,Tree!$F:$F,"D",Tree!$K:$K,"&lt;&gt;"&amp;"Y"))</f>
        <v/>
      </c>
      <c r="AC146" s="126" t="str">
        <f>IF(Z146="","",SUMIFS(Tree!$AM:$AM,Tree!$A:$A,'Pre-Harvest Plots_rpt'!$B146,Tree!$B:$B,'Pre-Harvest Plots_rpt'!$D146,Tree!$F:$F,"D",Tree!$K:$K,"&lt;&gt;"&amp;"Y"))</f>
        <v/>
      </c>
      <c r="AD146" s="162" t="str">
        <f>IF(Z146="","",SUMIFS(Tree!$AW:$AW,Tree!$A:$A,'Pre-Harvest Plots_rpt'!$B146,Tree!$B:$B,'Pre-Harvest Plots_rpt'!$D146,Tree!$F:$F,"D",Tree!$K:$K,"&lt;&gt;"&amp;"Y")/1000)</f>
        <v/>
      </c>
      <c r="AE146" s="47"/>
      <c r="AF146" s="18"/>
      <c r="AG146" s="18"/>
      <c r="AH146" s="18"/>
    </row>
    <row r="147" spans="1:34" ht="12.75" customHeight="1" x14ac:dyDescent="0.25">
      <c r="A147" s="48">
        <v>144</v>
      </c>
      <c r="B147" s="171" t="str">
        <f>IF(A147&lt;=SUM(Stand!$H$3:$H$29),VLOOKUP(A147,Stand!$A$3:$C$29,3,TRUE),"")</f>
        <v/>
      </c>
      <c r="C147" s="172" t="str">
        <f t="shared" si="8"/>
        <v/>
      </c>
      <c r="D147" s="173" t="str">
        <f>IF(B147="","",VLOOKUP(B147&amp;C147,Plot!$B$2:$D$199,3,FALSE))</f>
        <v/>
      </c>
      <c r="E147" s="130"/>
      <c r="F147" s="152" t="str">
        <f>IF(B147="","",SUMIFS(Tree!$O:$O,Tree!$A:$A,'Pre-Harvest Plots_rpt'!$B147,Tree!$B:$B,'Pre-Harvest Plots_rpt'!$D147,Tree!$F:$F,"L",Tree!$K:$K,"&lt;&gt;"&amp;"Y"))</f>
        <v/>
      </c>
      <c r="G147" s="153" t="str">
        <f>IFERROR(IF(D147="","",SUMIFS(Tree!$P:$P,Tree!$A:$A,'Pre-Harvest Plots_rpt'!$B147,Tree!$B:$B,'Pre-Harvest Plots_rpt'!$D147,Tree!$K:$K,"&lt;&gt;"&amp;"Y")/$F147),"")</f>
        <v/>
      </c>
      <c r="H147" s="122" t="str">
        <f t="shared" si="9"/>
        <v/>
      </c>
      <c r="I147" s="121" t="str">
        <f>IF(OR($F147=0,$F147=""),"",SUMIFS(Tree!$R:$R,Tree!$A:$A,'Pre-Harvest Plots_rpt'!$B147,Tree!$B:$B,'Pre-Harvest Plots_rpt'!$D147,Tree!$F:$F,"L",Tree!$K:$K,"&lt;&gt;"&amp;"Y"))</f>
        <v/>
      </c>
      <c r="J147" s="121" t="str">
        <f>IF(OR($F147=0,$F147=""),"",IF(SUMIFS(Tree!$W:$W,Tree!$A:$A,'Pre-Harvest Plots_rpt'!$B147,Tree!$B:$B,'Pre-Harvest Plots_rpt'!$D147,Tree!$F:$F,"L",Tree!$K:$K,"&lt;&gt;"&amp;"Y")=0,0,AVERAGEIFS(Tree!$W:$W,Tree!$A:$A,'Pre-Harvest Plots_rpt'!$B147,Tree!$B:$B,'Pre-Harvest Plots_rpt'!$D147,Tree!$F:$F,"L",Tree!$K:$K,"&lt;&gt;"&amp;"Y")))</f>
        <v/>
      </c>
      <c r="K147" s="121" t="str">
        <f>IF($F147="","",SUMIFS(Tree!$S:$S,Tree!$A:$A,'Pre-Harvest Plots_rpt'!$B147,Tree!$B:$B,'Pre-Harvest Plots_rpt'!$D147,Tree!$F:$F,"L",Tree!$K:$K,"&lt;&gt;"&amp;"Y"))</f>
        <v/>
      </c>
      <c r="L147" s="154" t="str">
        <f t="shared" si="10"/>
        <v/>
      </c>
      <c r="M147" s="135"/>
      <c r="N147" s="192" t="str">
        <f>IF(B147="","",SUMIFS(Tree!$AM:$AM,Tree!$A:$A,'Pre-Harvest Plots_rpt'!$B147,Tree!$B:$B,'Pre-Harvest Plots_rpt'!$D147,Tree!$F:$F,"L",Tree!$K:$K,"&lt;&gt;"&amp;"Y"))</f>
        <v/>
      </c>
      <c r="O147" s="122" t="str">
        <f>IF(B147="","",SUMIFS(Tree!$AN:$AN,Tree!$A:$A,'Pre-Harvest Plots_rpt'!$B147,Tree!$B:$B,'Pre-Harvest Plots_rpt'!$D147,Tree!$F:$F,"L",Tree!$K:$K,"&lt;&gt;"&amp;"Y"))</f>
        <v/>
      </c>
      <c r="P147" s="122" t="str">
        <f>IF(B147="","",SUMIFS(Tree!$AO:$AO,Tree!$A:$A,'Pre-Harvest Plots_rpt'!$B147,Tree!$B:$B,'Pre-Harvest Plots_rpt'!$D147,Tree!$F:$F,"L",Tree!$K:$K,"&lt;&gt;"&amp;"Y"))</f>
        <v/>
      </c>
      <c r="Q147" s="122" t="str">
        <f>IF(B147="","",SUMIFS(Tree!$AP:$AP,Tree!$A:$A,'Pre-Harvest Plots_rpt'!$B147,Tree!$B:$B,'Pre-Harvest Plots_rpt'!$D147,Tree!$F:$F,"L",Tree!$K:$K,"&lt;&gt;"&amp;"Y"))</f>
        <v/>
      </c>
      <c r="R147" s="123" t="str">
        <f>IF(B147="","",SUMIFS(Tree!$AQ:$AQ,Tree!$A:$A,'Pre-Harvest Plots_rpt'!$B147,Tree!$B:$B,'Pre-Harvest Plots_rpt'!$D147,Tree!$F:$F,"L",Tree!$K:$K,"&lt;&gt;"&amp;"Y"))</f>
        <v/>
      </c>
      <c r="S147" s="122" t="str">
        <f>IF(B147="","",SUMIFS(Tree!$AJ:$AJ,Tree!$A:$A,'Pre-Harvest Plots_rpt'!$B147,Tree!$B:$B,'Pre-Harvest Plots_rpt'!$D147,Tree!$F:$F,"L",Tree!$K:$K,"&lt;&gt;"&amp;"Y")-O147)</f>
        <v/>
      </c>
      <c r="T147" s="122" t="str">
        <f>IF(B147="","",SUMIFS(Tree!$AK:$AK,Tree!$A:$A,'Pre-Harvest Plots_rpt'!$B147,Tree!$B:$B,'Pre-Harvest Plots_rpt'!$D147,Tree!$F:$F,"L",Tree!$K:$K,"&lt;&gt;"&amp;"Y")-P147)</f>
        <v/>
      </c>
      <c r="U147" s="122" t="str">
        <f>IF(B147="","",SUMIFS(Tree!$AL:$AL,Tree!$A:$A,'Pre-Harvest Plots_rpt'!$B147,Tree!$B:$B,'Pre-Harvest Plots_rpt'!$D147,Tree!$F:$F,"L",Tree!$K:$K,"&lt;&gt;"&amp;"Y")-Q147)</f>
        <v/>
      </c>
      <c r="V147" s="123" t="str">
        <f>IF(B147="","",ROUND(SUMIFS(Tree!$AE:$AE,Tree!$A:$A,'Pre-Harvest Plots_rpt'!$B147,Tree!$B:$B,'Pre-Harvest Plots_rpt'!$D147,Tree!$F:$F,"L",Tree!$K:$K,"&lt;&gt;"&amp;"Y")-R147,1))</f>
        <v/>
      </c>
      <c r="W147" s="124" t="str">
        <f>IF(B147="","",SUMIFS(Tree!$AY:$AY,Tree!$A:$A,'Pre-Harvest Plots_rpt'!$B147,Tree!$B:$B,'Pre-Harvest Plots_rpt'!$D147,Tree!$F:$F,"L",Tree!$K:$K,"&lt;&gt;"&amp;"Y")/1000)</f>
        <v/>
      </c>
      <c r="X147" s="158" t="str">
        <f>IF(B147="","",ROUND((SUMIFS(Tree!$AW:$AW,Tree!$A:$A,'Pre-Harvest Plots_rpt'!$B147,Tree!$B:$B,'Pre-Harvest Plots_rpt'!$D147,Tree!$F:$F,"L",Tree!$K:$K,"&lt;&gt;"&amp;"Y")/1000)-W147,1))</f>
        <v/>
      </c>
      <c r="Y147" s="135"/>
      <c r="Z147" s="161" t="str">
        <f>IF(IF(B147="","",SUMIFS(Tree!$O:$O,Tree!$A:$A,'Pre-Harvest Plots_rpt'!$B147,Tree!$B:$B,'Pre-Harvest Plots_rpt'!$D147,Tree!$F:$F,"D",Tree!$K:$K,"&lt;&gt;"&amp;"Y"))=0,"",IF(B147="","",SUMIFS(Tree!$O:$O,Tree!$A:$A,'Pre-Harvest Plots_rpt'!$B147,Tree!$B:$B,'Pre-Harvest Plots_rpt'!$D147,Tree!$F:$F,"D",Tree!$K:$K,"&lt;&gt;"&amp;"Y")))</f>
        <v/>
      </c>
      <c r="AA147" s="125" t="str">
        <f t="shared" si="11"/>
        <v/>
      </c>
      <c r="AB147" s="125" t="str">
        <f>IF(Z147="","",SUMIFS(Tree!$R:$R,Tree!$A:$A,'Pre-Harvest Plots_rpt'!$B147,Tree!$B:$B,'Pre-Harvest Plots_rpt'!$D147,Tree!$F:$F,"D",Tree!$K:$K,"&lt;&gt;"&amp;"Y"))</f>
        <v/>
      </c>
      <c r="AC147" s="126" t="str">
        <f>IF(Z147="","",SUMIFS(Tree!$AM:$AM,Tree!$A:$A,'Pre-Harvest Plots_rpt'!$B147,Tree!$B:$B,'Pre-Harvest Plots_rpt'!$D147,Tree!$F:$F,"D",Tree!$K:$K,"&lt;&gt;"&amp;"Y"))</f>
        <v/>
      </c>
      <c r="AD147" s="162" t="str">
        <f>IF(Z147="","",SUMIFS(Tree!$AW:$AW,Tree!$A:$A,'Pre-Harvest Plots_rpt'!$B147,Tree!$B:$B,'Pre-Harvest Plots_rpt'!$D147,Tree!$F:$F,"D",Tree!$K:$K,"&lt;&gt;"&amp;"Y")/1000)</f>
        <v/>
      </c>
      <c r="AE147" s="47"/>
      <c r="AF147" s="18"/>
      <c r="AG147" s="18"/>
      <c r="AH147" s="18"/>
    </row>
    <row r="148" spans="1:34" ht="12.75" customHeight="1" x14ac:dyDescent="0.25">
      <c r="A148" s="48">
        <v>145</v>
      </c>
      <c r="B148" s="171" t="str">
        <f>IF(A148&lt;=SUM(Stand!$H$3:$H$29),VLOOKUP(A148,Stand!$A$3:$C$29,3,TRUE),"")</f>
        <v/>
      </c>
      <c r="C148" s="172" t="str">
        <f t="shared" si="8"/>
        <v/>
      </c>
      <c r="D148" s="173" t="str">
        <f>IF(B148="","",VLOOKUP(B148&amp;C148,Plot!$B$2:$D$199,3,FALSE))</f>
        <v/>
      </c>
      <c r="E148" s="130"/>
      <c r="F148" s="152" t="str">
        <f>IF(B148="","",SUMIFS(Tree!$O:$O,Tree!$A:$A,'Pre-Harvest Plots_rpt'!$B148,Tree!$B:$B,'Pre-Harvest Plots_rpt'!$D148,Tree!$F:$F,"L",Tree!$K:$K,"&lt;&gt;"&amp;"Y"))</f>
        <v/>
      </c>
      <c r="G148" s="153" t="str">
        <f>IFERROR(IF(D148="","",SUMIFS(Tree!$P:$P,Tree!$A:$A,'Pre-Harvest Plots_rpt'!$B148,Tree!$B:$B,'Pre-Harvest Plots_rpt'!$D148,Tree!$K:$K,"&lt;&gt;"&amp;"Y")/$F148),"")</f>
        <v/>
      </c>
      <c r="H148" s="122" t="str">
        <f t="shared" si="9"/>
        <v/>
      </c>
      <c r="I148" s="121" t="str">
        <f>IF(OR($F148=0,$F148=""),"",SUMIFS(Tree!$R:$R,Tree!$A:$A,'Pre-Harvest Plots_rpt'!$B148,Tree!$B:$B,'Pre-Harvest Plots_rpt'!$D148,Tree!$F:$F,"L",Tree!$K:$K,"&lt;&gt;"&amp;"Y"))</f>
        <v/>
      </c>
      <c r="J148" s="121" t="str">
        <f>IF(OR($F148=0,$F148=""),"",IF(SUMIFS(Tree!$W:$W,Tree!$A:$A,'Pre-Harvest Plots_rpt'!$B148,Tree!$B:$B,'Pre-Harvest Plots_rpt'!$D148,Tree!$F:$F,"L",Tree!$K:$K,"&lt;&gt;"&amp;"Y")=0,0,AVERAGEIFS(Tree!$W:$W,Tree!$A:$A,'Pre-Harvest Plots_rpt'!$B148,Tree!$B:$B,'Pre-Harvest Plots_rpt'!$D148,Tree!$F:$F,"L",Tree!$K:$K,"&lt;&gt;"&amp;"Y")))</f>
        <v/>
      </c>
      <c r="K148" s="121" t="str">
        <f>IF($F148="","",SUMIFS(Tree!$S:$S,Tree!$A:$A,'Pre-Harvest Plots_rpt'!$B148,Tree!$B:$B,'Pre-Harvest Plots_rpt'!$D148,Tree!$F:$F,"L",Tree!$K:$K,"&lt;&gt;"&amp;"Y"))</f>
        <v/>
      </c>
      <c r="L148" s="154" t="str">
        <f t="shared" si="10"/>
        <v/>
      </c>
      <c r="M148" s="135"/>
      <c r="N148" s="192" t="str">
        <f>IF(B148="","",SUMIFS(Tree!$AM:$AM,Tree!$A:$A,'Pre-Harvest Plots_rpt'!$B148,Tree!$B:$B,'Pre-Harvest Plots_rpt'!$D148,Tree!$F:$F,"L",Tree!$K:$K,"&lt;&gt;"&amp;"Y"))</f>
        <v/>
      </c>
      <c r="O148" s="122" t="str">
        <f>IF(B148="","",SUMIFS(Tree!$AN:$AN,Tree!$A:$A,'Pre-Harvest Plots_rpt'!$B148,Tree!$B:$B,'Pre-Harvest Plots_rpt'!$D148,Tree!$F:$F,"L",Tree!$K:$K,"&lt;&gt;"&amp;"Y"))</f>
        <v/>
      </c>
      <c r="P148" s="122" t="str">
        <f>IF(B148="","",SUMIFS(Tree!$AO:$AO,Tree!$A:$A,'Pre-Harvest Plots_rpt'!$B148,Tree!$B:$B,'Pre-Harvest Plots_rpt'!$D148,Tree!$F:$F,"L",Tree!$K:$K,"&lt;&gt;"&amp;"Y"))</f>
        <v/>
      </c>
      <c r="Q148" s="122" t="str">
        <f>IF(B148="","",SUMIFS(Tree!$AP:$AP,Tree!$A:$A,'Pre-Harvest Plots_rpt'!$B148,Tree!$B:$B,'Pre-Harvest Plots_rpt'!$D148,Tree!$F:$F,"L",Tree!$K:$K,"&lt;&gt;"&amp;"Y"))</f>
        <v/>
      </c>
      <c r="R148" s="123" t="str">
        <f>IF(B148="","",SUMIFS(Tree!$AQ:$AQ,Tree!$A:$A,'Pre-Harvest Plots_rpt'!$B148,Tree!$B:$B,'Pre-Harvest Plots_rpt'!$D148,Tree!$F:$F,"L",Tree!$K:$K,"&lt;&gt;"&amp;"Y"))</f>
        <v/>
      </c>
      <c r="S148" s="122" t="str">
        <f>IF(B148="","",SUMIFS(Tree!$AJ:$AJ,Tree!$A:$A,'Pre-Harvest Plots_rpt'!$B148,Tree!$B:$B,'Pre-Harvest Plots_rpt'!$D148,Tree!$F:$F,"L",Tree!$K:$K,"&lt;&gt;"&amp;"Y")-O148)</f>
        <v/>
      </c>
      <c r="T148" s="122" t="str">
        <f>IF(B148="","",SUMIFS(Tree!$AK:$AK,Tree!$A:$A,'Pre-Harvest Plots_rpt'!$B148,Tree!$B:$B,'Pre-Harvest Plots_rpt'!$D148,Tree!$F:$F,"L",Tree!$K:$K,"&lt;&gt;"&amp;"Y")-P148)</f>
        <v/>
      </c>
      <c r="U148" s="122" t="str">
        <f>IF(B148="","",SUMIFS(Tree!$AL:$AL,Tree!$A:$A,'Pre-Harvest Plots_rpt'!$B148,Tree!$B:$B,'Pre-Harvest Plots_rpt'!$D148,Tree!$F:$F,"L",Tree!$K:$K,"&lt;&gt;"&amp;"Y")-Q148)</f>
        <v/>
      </c>
      <c r="V148" s="123" t="str">
        <f>IF(B148="","",ROUND(SUMIFS(Tree!$AE:$AE,Tree!$A:$A,'Pre-Harvest Plots_rpt'!$B148,Tree!$B:$B,'Pre-Harvest Plots_rpt'!$D148,Tree!$F:$F,"L",Tree!$K:$K,"&lt;&gt;"&amp;"Y")-R148,1))</f>
        <v/>
      </c>
      <c r="W148" s="124" t="str">
        <f>IF(B148="","",SUMIFS(Tree!$AY:$AY,Tree!$A:$A,'Pre-Harvest Plots_rpt'!$B148,Tree!$B:$B,'Pre-Harvest Plots_rpt'!$D148,Tree!$F:$F,"L",Tree!$K:$K,"&lt;&gt;"&amp;"Y")/1000)</f>
        <v/>
      </c>
      <c r="X148" s="158" t="str">
        <f>IF(B148="","",ROUND((SUMIFS(Tree!$AW:$AW,Tree!$A:$A,'Pre-Harvest Plots_rpt'!$B148,Tree!$B:$B,'Pre-Harvest Plots_rpt'!$D148,Tree!$F:$F,"L",Tree!$K:$K,"&lt;&gt;"&amp;"Y")/1000)-W148,1))</f>
        <v/>
      </c>
      <c r="Y148" s="135"/>
      <c r="Z148" s="161" t="str">
        <f>IF(IF(B148="","",SUMIFS(Tree!$O:$O,Tree!$A:$A,'Pre-Harvest Plots_rpt'!$B148,Tree!$B:$B,'Pre-Harvest Plots_rpt'!$D148,Tree!$F:$F,"D",Tree!$K:$K,"&lt;&gt;"&amp;"Y"))=0,"",IF(B148="","",SUMIFS(Tree!$O:$O,Tree!$A:$A,'Pre-Harvest Plots_rpt'!$B148,Tree!$B:$B,'Pre-Harvest Plots_rpt'!$D148,Tree!$F:$F,"D",Tree!$K:$K,"&lt;&gt;"&amp;"Y")))</f>
        <v/>
      </c>
      <c r="AA148" s="125" t="str">
        <f t="shared" si="11"/>
        <v/>
      </c>
      <c r="AB148" s="125" t="str">
        <f>IF(Z148="","",SUMIFS(Tree!$R:$R,Tree!$A:$A,'Pre-Harvest Plots_rpt'!$B148,Tree!$B:$B,'Pre-Harvest Plots_rpt'!$D148,Tree!$F:$F,"D",Tree!$K:$K,"&lt;&gt;"&amp;"Y"))</f>
        <v/>
      </c>
      <c r="AC148" s="126" t="str">
        <f>IF(Z148="","",SUMIFS(Tree!$AM:$AM,Tree!$A:$A,'Pre-Harvest Plots_rpt'!$B148,Tree!$B:$B,'Pre-Harvest Plots_rpt'!$D148,Tree!$F:$F,"D",Tree!$K:$K,"&lt;&gt;"&amp;"Y"))</f>
        <v/>
      </c>
      <c r="AD148" s="162" t="str">
        <f>IF(Z148="","",SUMIFS(Tree!$AW:$AW,Tree!$A:$A,'Pre-Harvest Plots_rpt'!$B148,Tree!$B:$B,'Pre-Harvest Plots_rpt'!$D148,Tree!$F:$F,"D",Tree!$K:$K,"&lt;&gt;"&amp;"Y")/1000)</f>
        <v/>
      </c>
      <c r="AE148" s="47"/>
      <c r="AF148" s="18"/>
      <c r="AG148" s="18"/>
      <c r="AH148" s="18"/>
    </row>
    <row r="149" spans="1:34" ht="12.75" customHeight="1" x14ac:dyDescent="0.25">
      <c r="A149" s="48">
        <v>146</v>
      </c>
      <c r="B149" s="171" t="str">
        <f>IF(A149&lt;=SUM(Stand!$H$3:$H$29),VLOOKUP(A149,Stand!$A$3:$C$29,3,TRUE),"")</f>
        <v/>
      </c>
      <c r="C149" s="172" t="str">
        <f t="shared" si="8"/>
        <v/>
      </c>
      <c r="D149" s="173" t="str">
        <f>IF(B149="","",VLOOKUP(B149&amp;C149,Plot!$B$2:$D$199,3,FALSE))</f>
        <v/>
      </c>
      <c r="E149" s="130"/>
      <c r="F149" s="152" t="str">
        <f>IF(B149="","",SUMIFS(Tree!$O:$O,Tree!$A:$A,'Pre-Harvest Plots_rpt'!$B149,Tree!$B:$B,'Pre-Harvest Plots_rpt'!$D149,Tree!$F:$F,"L",Tree!$K:$K,"&lt;&gt;"&amp;"Y"))</f>
        <v/>
      </c>
      <c r="G149" s="153" t="str">
        <f>IFERROR(IF(D149="","",SUMIFS(Tree!$P:$P,Tree!$A:$A,'Pre-Harvest Plots_rpt'!$B149,Tree!$B:$B,'Pre-Harvest Plots_rpt'!$D149,Tree!$K:$K,"&lt;&gt;"&amp;"Y")/$F149),"")</f>
        <v/>
      </c>
      <c r="H149" s="122" t="str">
        <f t="shared" si="9"/>
        <v/>
      </c>
      <c r="I149" s="121" t="str">
        <f>IF(OR($F149=0,$F149=""),"",SUMIFS(Tree!$R:$R,Tree!$A:$A,'Pre-Harvest Plots_rpt'!$B149,Tree!$B:$B,'Pre-Harvest Plots_rpt'!$D149,Tree!$F:$F,"L",Tree!$K:$K,"&lt;&gt;"&amp;"Y"))</f>
        <v/>
      </c>
      <c r="J149" s="121" t="str">
        <f>IF(OR($F149=0,$F149=""),"",IF(SUMIFS(Tree!$W:$W,Tree!$A:$A,'Pre-Harvest Plots_rpt'!$B149,Tree!$B:$B,'Pre-Harvest Plots_rpt'!$D149,Tree!$F:$F,"L",Tree!$K:$K,"&lt;&gt;"&amp;"Y")=0,0,AVERAGEIFS(Tree!$W:$W,Tree!$A:$A,'Pre-Harvest Plots_rpt'!$B149,Tree!$B:$B,'Pre-Harvest Plots_rpt'!$D149,Tree!$F:$F,"L",Tree!$K:$K,"&lt;&gt;"&amp;"Y")))</f>
        <v/>
      </c>
      <c r="K149" s="121" t="str">
        <f>IF($F149="","",SUMIFS(Tree!$S:$S,Tree!$A:$A,'Pre-Harvest Plots_rpt'!$B149,Tree!$B:$B,'Pre-Harvest Plots_rpt'!$D149,Tree!$F:$F,"L",Tree!$K:$K,"&lt;&gt;"&amp;"Y"))</f>
        <v/>
      </c>
      <c r="L149" s="154" t="str">
        <f t="shared" si="10"/>
        <v/>
      </c>
      <c r="M149" s="135"/>
      <c r="N149" s="192" t="str">
        <f>IF(B149="","",SUMIFS(Tree!$AM:$AM,Tree!$A:$A,'Pre-Harvest Plots_rpt'!$B149,Tree!$B:$B,'Pre-Harvest Plots_rpt'!$D149,Tree!$F:$F,"L",Tree!$K:$K,"&lt;&gt;"&amp;"Y"))</f>
        <v/>
      </c>
      <c r="O149" s="122" t="str">
        <f>IF(B149="","",SUMIFS(Tree!$AN:$AN,Tree!$A:$A,'Pre-Harvest Plots_rpt'!$B149,Tree!$B:$B,'Pre-Harvest Plots_rpt'!$D149,Tree!$F:$F,"L",Tree!$K:$K,"&lt;&gt;"&amp;"Y"))</f>
        <v/>
      </c>
      <c r="P149" s="122" t="str">
        <f>IF(B149="","",SUMIFS(Tree!$AO:$AO,Tree!$A:$A,'Pre-Harvest Plots_rpt'!$B149,Tree!$B:$B,'Pre-Harvest Plots_rpt'!$D149,Tree!$F:$F,"L",Tree!$K:$K,"&lt;&gt;"&amp;"Y"))</f>
        <v/>
      </c>
      <c r="Q149" s="122" t="str">
        <f>IF(B149="","",SUMIFS(Tree!$AP:$AP,Tree!$A:$A,'Pre-Harvest Plots_rpt'!$B149,Tree!$B:$B,'Pre-Harvest Plots_rpt'!$D149,Tree!$F:$F,"L",Tree!$K:$K,"&lt;&gt;"&amp;"Y"))</f>
        <v/>
      </c>
      <c r="R149" s="123" t="str">
        <f>IF(B149="","",SUMIFS(Tree!$AQ:$AQ,Tree!$A:$A,'Pre-Harvest Plots_rpt'!$B149,Tree!$B:$B,'Pre-Harvest Plots_rpt'!$D149,Tree!$F:$F,"L",Tree!$K:$K,"&lt;&gt;"&amp;"Y"))</f>
        <v/>
      </c>
      <c r="S149" s="122" t="str">
        <f>IF(B149="","",SUMIFS(Tree!$AJ:$AJ,Tree!$A:$A,'Pre-Harvest Plots_rpt'!$B149,Tree!$B:$B,'Pre-Harvest Plots_rpt'!$D149,Tree!$F:$F,"L",Tree!$K:$K,"&lt;&gt;"&amp;"Y")-O149)</f>
        <v/>
      </c>
      <c r="T149" s="122" t="str">
        <f>IF(B149="","",SUMIFS(Tree!$AK:$AK,Tree!$A:$A,'Pre-Harvest Plots_rpt'!$B149,Tree!$B:$B,'Pre-Harvest Plots_rpt'!$D149,Tree!$F:$F,"L",Tree!$K:$K,"&lt;&gt;"&amp;"Y")-P149)</f>
        <v/>
      </c>
      <c r="U149" s="122" t="str">
        <f>IF(B149="","",SUMIFS(Tree!$AL:$AL,Tree!$A:$A,'Pre-Harvest Plots_rpt'!$B149,Tree!$B:$B,'Pre-Harvest Plots_rpt'!$D149,Tree!$F:$F,"L",Tree!$K:$K,"&lt;&gt;"&amp;"Y")-Q149)</f>
        <v/>
      </c>
      <c r="V149" s="123" t="str">
        <f>IF(B149="","",ROUND(SUMIFS(Tree!$AE:$AE,Tree!$A:$A,'Pre-Harvest Plots_rpt'!$B149,Tree!$B:$B,'Pre-Harvest Plots_rpt'!$D149,Tree!$F:$F,"L",Tree!$K:$K,"&lt;&gt;"&amp;"Y")-R149,1))</f>
        <v/>
      </c>
      <c r="W149" s="124" t="str">
        <f>IF(B149="","",SUMIFS(Tree!$AY:$AY,Tree!$A:$A,'Pre-Harvest Plots_rpt'!$B149,Tree!$B:$B,'Pre-Harvest Plots_rpt'!$D149,Tree!$F:$F,"L",Tree!$K:$K,"&lt;&gt;"&amp;"Y")/1000)</f>
        <v/>
      </c>
      <c r="X149" s="158" t="str">
        <f>IF(B149="","",ROUND((SUMIFS(Tree!$AW:$AW,Tree!$A:$A,'Pre-Harvest Plots_rpt'!$B149,Tree!$B:$B,'Pre-Harvest Plots_rpt'!$D149,Tree!$F:$F,"L",Tree!$K:$K,"&lt;&gt;"&amp;"Y")/1000)-W149,1))</f>
        <v/>
      </c>
      <c r="Y149" s="135"/>
      <c r="Z149" s="161" t="str">
        <f>IF(IF(B149="","",SUMIFS(Tree!$O:$O,Tree!$A:$A,'Pre-Harvest Plots_rpt'!$B149,Tree!$B:$B,'Pre-Harvest Plots_rpt'!$D149,Tree!$F:$F,"D",Tree!$K:$K,"&lt;&gt;"&amp;"Y"))=0,"",IF(B149="","",SUMIFS(Tree!$O:$O,Tree!$A:$A,'Pre-Harvest Plots_rpt'!$B149,Tree!$B:$B,'Pre-Harvest Plots_rpt'!$D149,Tree!$F:$F,"D",Tree!$K:$K,"&lt;&gt;"&amp;"Y")))</f>
        <v/>
      </c>
      <c r="AA149" s="125" t="str">
        <f t="shared" si="11"/>
        <v/>
      </c>
      <c r="AB149" s="125" t="str">
        <f>IF(Z149="","",SUMIFS(Tree!$R:$R,Tree!$A:$A,'Pre-Harvest Plots_rpt'!$B149,Tree!$B:$B,'Pre-Harvest Plots_rpt'!$D149,Tree!$F:$F,"D",Tree!$K:$K,"&lt;&gt;"&amp;"Y"))</f>
        <v/>
      </c>
      <c r="AC149" s="126" t="str">
        <f>IF(Z149="","",SUMIFS(Tree!$AM:$AM,Tree!$A:$A,'Pre-Harvest Plots_rpt'!$B149,Tree!$B:$B,'Pre-Harvest Plots_rpt'!$D149,Tree!$F:$F,"D",Tree!$K:$K,"&lt;&gt;"&amp;"Y"))</f>
        <v/>
      </c>
      <c r="AD149" s="162" t="str">
        <f>IF(Z149="","",SUMIFS(Tree!$AW:$AW,Tree!$A:$A,'Pre-Harvest Plots_rpt'!$B149,Tree!$B:$B,'Pre-Harvest Plots_rpt'!$D149,Tree!$F:$F,"D",Tree!$K:$K,"&lt;&gt;"&amp;"Y")/1000)</f>
        <v/>
      </c>
      <c r="AE149" s="47"/>
      <c r="AF149" s="18"/>
      <c r="AG149" s="18"/>
      <c r="AH149" s="18"/>
    </row>
    <row r="150" spans="1:34" ht="12.75" customHeight="1" x14ac:dyDescent="0.25">
      <c r="A150" s="48">
        <v>147</v>
      </c>
      <c r="B150" s="171" t="str">
        <f>IF(A150&lt;=SUM(Stand!$H$3:$H$29),VLOOKUP(A150,Stand!$A$3:$C$29,3,TRUE),"")</f>
        <v/>
      </c>
      <c r="C150" s="172" t="str">
        <f t="shared" si="8"/>
        <v/>
      </c>
      <c r="D150" s="173" t="str">
        <f>IF(B150="","",VLOOKUP(B150&amp;C150,Plot!$B$2:$D$199,3,FALSE))</f>
        <v/>
      </c>
      <c r="E150" s="130"/>
      <c r="F150" s="152" t="str">
        <f>IF(B150="","",SUMIFS(Tree!$O:$O,Tree!$A:$A,'Pre-Harvest Plots_rpt'!$B150,Tree!$B:$B,'Pre-Harvest Plots_rpt'!$D150,Tree!$F:$F,"L",Tree!$K:$K,"&lt;&gt;"&amp;"Y"))</f>
        <v/>
      </c>
      <c r="G150" s="153" t="str">
        <f>IFERROR(IF(D150="","",SUMIFS(Tree!$P:$P,Tree!$A:$A,'Pre-Harvest Plots_rpt'!$B150,Tree!$B:$B,'Pre-Harvest Plots_rpt'!$D150,Tree!$K:$K,"&lt;&gt;"&amp;"Y")/$F150),"")</f>
        <v/>
      </c>
      <c r="H150" s="122" t="str">
        <f t="shared" si="9"/>
        <v/>
      </c>
      <c r="I150" s="121" t="str">
        <f>IF(OR($F150=0,$F150=""),"",SUMIFS(Tree!$R:$R,Tree!$A:$A,'Pre-Harvest Plots_rpt'!$B150,Tree!$B:$B,'Pre-Harvest Plots_rpt'!$D150,Tree!$F:$F,"L",Tree!$K:$K,"&lt;&gt;"&amp;"Y"))</f>
        <v/>
      </c>
      <c r="J150" s="121" t="str">
        <f>IF(OR($F150=0,$F150=""),"",IF(SUMIFS(Tree!$W:$W,Tree!$A:$A,'Pre-Harvest Plots_rpt'!$B150,Tree!$B:$B,'Pre-Harvest Plots_rpt'!$D150,Tree!$F:$F,"L",Tree!$K:$K,"&lt;&gt;"&amp;"Y")=0,0,AVERAGEIFS(Tree!$W:$W,Tree!$A:$A,'Pre-Harvest Plots_rpt'!$B150,Tree!$B:$B,'Pre-Harvest Plots_rpt'!$D150,Tree!$F:$F,"L",Tree!$K:$K,"&lt;&gt;"&amp;"Y")))</f>
        <v/>
      </c>
      <c r="K150" s="121" t="str">
        <f>IF($F150="","",SUMIFS(Tree!$S:$S,Tree!$A:$A,'Pre-Harvest Plots_rpt'!$B150,Tree!$B:$B,'Pre-Harvest Plots_rpt'!$D150,Tree!$F:$F,"L",Tree!$K:$K,"&lt;&gt;"&amp;"Y"))</f>
        <v/>
      </c>
      <c r="L150" s="154" t="str">
        <f t="shared" si="10"/>
        <v/>
      </c>
      <c r="M150" s="135"/>
      <c r="N150" s="192" t="str">
        <f>IF(B150="","",SUMIFS(Tree!$AM:$AM,Tree!$A:$A,'Pre-Harvest Plots_rpt'!$B150,Tree!$B:$B,'Pre-Harvest Plots_rpt'!$D150,Tree!$F:$F,"L",Tree!$K:$K,"&lt;&gt;"&amp;"Y"))</f>
        <v/>
      </c>
      <c r="O150" s="122" t="str">
        <f>IF(B150="","",SUMIFS(Tree!$AN:$AN,Tree!$A:$A,'Pre-Harvest Plots_rpt'!$B150,Tree!$B:$B,'Pre-Harvest Plots_rpt'!$D150,Tree!$F:$F,"L",Tree!$K:$K,"&lt;&gt;"&amp;"Y"))</f>
        <v/>
      </c>
      <c r="P150" s="122" t="str">
        <f>IF(B150="","",SUMIFS(Tree!$AO:$AO,Tree!$A:$A,'Pre-Harvest Plots_rpt'!$B150,Tree!$B:$B,'Pre-Harvest Plots_rpt'!$D150,Tree!$F:$F,"L",Tree!$K:$K,"&lt;&gt;"&amp;"Y"))</f>
        <v/>
      </c>
      <c r="Q150" s="122" t="str">
        <f>IF(B150="","",SUMIFS(Tree!$AP:$AP,Tree!$A:$A,'Pre-Harvest Plots_rpt'!$B150,Tree!$B:$B,'Pre-Harvest Plots_rpt'!$D150,Tree!$F:$F,"L",Tree!$K:$K,"&lt;&gt;"&amp;"Y"))</f>
        <v/>
      </c>
      <c r="R150" s="123" t="str">
        <f>IF(B150="","",SUMIFS(Tree!$AQ:$AQ,Tree!$A:$A,'Pre-Harvest Plots_rpt'!$B150,Tree!$B:$B,'Pre-Harvest Plots_rpt'!$D150,Tree!$F:$F,"L",Tree!$K:$K,"&lt;&gt;"&amp;"Y"))</f>
        <v/>
      </c>
      <c r="S150" s="122" t="str">
        <f>IF(B150="","",SUMIFS(Tree!$AJ:$AJ,Tree!$A:$A,'Pre-Harvest Plots_rpt'!$B150,Tree!$B:$B,'Pre-Harvest Plots_rpt'!$D150,Tree!$F:$F,"L",Tree!$K:$K,"&lt;&gt;"&amp;"Y")-O150)</f>
        <v/>
      </c>
      <c r="T150" s="122" t="str">
        <f>IF(B150="","",SUMIFS(Tree!$AK:$AK,Tree!$A:$A,'Pre-Harvest Plots_rpt'!$B150,Tree!$B:$B,'Pre-Harvest Plots_rpt'!$D150,Tree!$F:$F,"L",Tree!$K:$K,"&lt;&gt;"&amp;"Y")-P150)</f>
        <v/>
      </c>
      <c r="U150" s="122" t="str">
        <f>IF(B150="","",SUMIFS(Tree!$AL:$AL,Tree!$A:$A,'Pre-Harvest Plots_rpt'!$B150,Tree!$B:$B,'Pre-Harvest Plots_rpt'!$D150,Tree!$F:$F,"L",Tree!$K:$K,"&lt;&gt;"&amp;"Y")-Q150)</f>
        <v/>
      </c>
      <c r="V150" s="123" t="str">
        <f>IF(B150="","",ROUND(SUMIFS(Tree!$AE:$AE,Tree!$A:$A,'Pre-Harvest Plots_rpt'!$B150,Tree!$B:$B,'Pre-Harvest Plots_rpt'!$D150,Tree!$F:$F,"L",Tree!$K:$K,"&lt;&gt;"&amp;"Y")-R150,1))</f>
        <v/>
      </c>
      <c r="W150" s="124" t="str">
        <f>IF(B150="","",SUMIFS(Tree!$AY:$AY,Tree!$A:$A,'Pre-Harvest Plots_rpt'!$B150,Tree!$B:$B,'Pre-Harvest Plots_rpt'!$D150,Tree!$F:$F,"L",Tree!$K:$K,"&lt;&gt;"&amp;"Y")/1000)</f>
        <v/>
      </c>
      <c r="X150" s="158" t="str">
        <f>IF(B150="","",ROUND((SUMIFS(Tree!$AW:$AW,Tree!$A:$A,'Pre-Harvest Plots_rpt'!$B150,Tree!$B:$B,'Pre-Harvest Plots_rpt'!$D150,Tree!$F:$F,"L",Tree!$K:$K,"&lt;&gt;"&amp;"Y")/1000)-W150,1))</f>
        <v/>
      </c>
      <c r="Y150" s="135"/>
      <c r="Z150" s="161" t="str">
        <f>IF(IF(B150="","",SUMIFS(Tree!$O:$O,Tree!$A:$A,'Pre-Harvest Plots_rpt'!$B150,Tree!$B:$B,'Pre-Harvest Plots_rpt'!$D150,Tree!$F:$F,"D",Tree!$K:$K,"&lt;&gt;"&amp;"Y"))=0,"",IF(B150="","",SUMIFS(Tree!$O:$O,Tree!$A:$A,'Pre-Harvest Plots_rpt'!$B150,Tree!$B:$B,'Pre-Harvest Plots_rpt'!$D150,Tree!$F:$F,"D",Tree!$K:$K,"&lt;&gt;"&amp;"Y")))</f>
        <v/>
      </c>
      <c r="AA150" s="125" t="str">
        <f t="shared" si="11"/>
        <v/>
      </c>
      <c r="AB150" s="125" t="str">
        <f>IF(Z150="","",SUMIFS(Tree!$R:$R,Tree!$A:$A,'Pre-Harvest Plots_rpt'!$B150,Tree!$B:$B,'Pre-Harvest Plots_rpt'!$D150,Tree!$F:$F,"D",Tree!$K:$K,"&lt;&gt;"&amp;"Y"))</f>
        <v/>
      </c>
      <c r="AC150" s="126" t="str">
        <f>IF(Z150="","",SUMIFS(Tree!$AM:$AM,Tree!$A:$A,'Pre-Harvest Plots_rpt'!$B150,Tree!$B:$B,'Pre-Harvest Plots_rpt'!$D150,Tree!$F:$F,"D",Tree!$K:$K,"&lt;&gt;"&amp;"Y"))</f>
        <v/>
      </c>
      <c r="AD150" s="162" t="str">
        <f>IF(Z150="","",SUMIFS(Tree!$AW:$AW,Tree!$A:$A,'Pre-Harvest Plots_rpt'!$B150,Tree!$B:$B,'Pre-Harvest Plots_rpt'!$D150,Tree!$F:$F,"D",Tree!$K:$K,"&lt;&gt;"&amp;"Y")/1000)</f>
        <v/>
      </c>
      <c r="AE150" s="47"/>
      <c r="AF150" s="18"/>
      <c r="AG150" s="18"/>
      <c r="AH150" s="18"/>
    </row>
    <row r="151" spans="1:34" ht="12.75" customHeight="1" x14ac:dyDescent="0.25">
      <c r="A151" s="48">
        <v>148</v>
      </c>
      <c r="B151" s="171" t="str">
        <f>IF(A151&lt;=SUM(Stand!$H$3:$H$29),VLOOKUP(A151,Stand!$A$3:$C$29,3,TRUE),"")</f>
        <v/>
      </c>
      <c r="C151" s="172" t="str">
        <f t="shared" si="8"/>
        <v/>
      </c>
      <c r="D151" s="173" t="str">
        <f>IF(B151="","",VLOOKUP(B151&amp;C151,Plot!$B$2:$D$199,3,FALSE))</f>
        <v/>
      </c>
      <c r="E151" s="130"/>
      <c r="F151" s="152" t="str">
        <f>IF(B151="","",SUMIFS(Tree!$O:$O,Tree!$A:$A,'Pre-Harvest Plots_rpt'!$B151,Tree!$B:$B,'Pre-Harvest Plots_rpt'!$D151,Tree!$F:$F,"L",Tree!$K:$K,"&lt;&gt;"&amp;"Y"))</f>
        <v/>
      </c>
      <c r="G151" s="153" t="str">
        <f>IFERROR(IF(D151="","",SUMIFS(Tree!$P:$P,Tree!$A:$A,'Pre-Harvest Plots_rpt'!$B151,Tree!$B:$B,'Pre-Harvest Plots_rpt'!$D151,Tree!$K:$K,"&lt;&gt;"&amp;"Y")/$F151),"")</f>
        <v/>
      </c>
      <c r="H151" s="122" t="str">
        <f t="shared" si="9"/>
        <v/>
      </c>
      <c r="I151" s="121" t="str">
        <f>IF(OR($F151=0,$F151=""),"",SUMIFS(Tree!$R:$R,Tree!$A:$A,'Pre-Harvest Plots_rpt'!$B151,Tree!$B:$B,'Pre-Harvest Plots_rpt'!$D151,Tree!$F:$F,"L",Tree!$K:$K,"&lt;&gt;"&amp;"Y"))</f>
        <v/>
      </c>
      <c r="J151" s="121" t="str">
        <f>IF(OR($F151=0,$F151=""),"",IF(SUMIFS(Tree!$W:$W,Tree!$A:$A,'Pre-Harvest Plots_rpt'!$B151,Tree!$B:$B,'Pre-Harvest Plots_rpt'!$D151,Tree!$F:$F,"L",Tree!$K:$K,"&lt;&gt;"&amp;"Y")=0,0,AVERAGEIFS(Tree!$W:$W,Tree!$A:$A,'Pre-Harvest Plots_rpt'!$B151,Tree!$B:$B,'Pre-Harvest Plots_rpt'!$D151,Tree!$F:$F,"L",Tree!$K:$K,"&lt;&gt;"&amp;"Y")))</f>
        <v/>
      </c>
      <c r="K151" s="121" t="str">
        <f>IF($F151="","",SUMIFS(Tree!$S:$S,Tree!$A:$A,'Pre-Harvest Plots_rpt'!$B151,Tree!$B:$B,'Pre-Harvest Plots_rpt'!$D151,Tree!$F:$F,"L",Tree!$K:$K,"&lt;&gt;"&amp;"Y"))</f>
        <v/>
      </c>
      <c r="L151" s="154" t="str">
        <f t="shared" si="10"/>
        <v/>
      </c>
      <c r="M151" s="135"/>
      <c r="N151" s="192" t="str">
        <f>IF(B151="","",SUMIFS(Tree!$AM:$AM,Tree!$A:$A,'Pre-Harvest Plots_rpt'!$B151,Tree!$B:$B,'Pre-Harvest Plots_rpt'!$D151,Tree!$F:$F,"L",Tree!$K:$K,"&lt;&gt;"&amp;"Y"))</f>
        <v/>
      </c>
      <c r="O151" s="122" t="str">
        <f>IF(B151="","",SUMIFS(Tree!$AN:$AN,Tree!$A:$A,'Pre-Harvest Plots_rpt'!$B151,Tree!$B:$B,'Pre-Harvest Plots_rpt'!$D151,Tree!$F:$F,"L",Tree!$K:$K,"&lt;&gt;"&amp;"Y"))</f>
        <v/>
      </c>
      <c r="P151" s="122" t="str">
        <f>IF(B151="","",SUMIFS(Tree!$AO:$AO,Tree!$A:$A,'Pre-Harvest Plots_rpt'!$B151,Tree!$B:$B,'Pre-Harvest Plots_rpt'!$D151,Tree!$F:$F,"L",Tree!$K:$K,"&lt;&gt;"&amp;"Y"))</f>
        <v/>
      </c>
      <c r="Q151" s="122" t="str">
        <f>IF(B151="","",SUMIFS(Tree!$AP:$AP,Tree!$A:$A,'Pre-Harvest Plots_rpt'!$B151,Tree!$B:$B,'Pre-Harvest Plots_rpt'!$D151,Tree!$F:$F,"L",Tree!$K:$K,"&lt;&gt;"&amp;"Y"))</f>
        <v/>
      </c>
      <c r="R151" s="123" t="str">
        <f>IF(B151="","",SUMIFS(Tree!$AQ:$AQ,Tree!$A:$A,'Pre-Harvest Plots_rpt'!$B151,Tree!$B:$B,'Pre-Harvest Plots_rpt'!$D151,Tree!$F:$F,"L",Tree!$K:$K,"&lt;&gt;"&amp;"Y"))</f>
        <v/>
      </c>
      <c r="S151" s="122" t="str">
        <f>IF(B151="","",SUMIFS(Tree!$AJ:$AJ,Tree!$A:$A,'Pre-Harvest Plots_rpt'!$B151,Tree!$B:$B,'Pre-Harvest Plots_rpt'!$D151,Tree!$F:$F,"L",Tree!$K:$K,"&lt;&gt;"&amp;"Y")-O151)</f>
        <v/>
      </c>
      <c r="T151" s="122" t="str">
        <f>IF(B151="","",SUMIFS(Tree!$AK:$AK,Tree!$A:$A,'Pre-Harvest Plots_rpt'!$B151,Tree!$B:$B,'Pre-Harvest Plots_rpt'!$D151,Tree!$F:$F,"L",Tree!$K:$K,"&lt;&gt;"&amp;"Y")-P151)</f>
        <v/>
      </c>
      <c r="U151" s="122" t="str">
        <f>IF(B151="","",SUMIFS(Tree!$AL:$AL,Tree!$A:$A,'Pre-Harvest Plots_rpt'!$B151,Tree!$B:$B,'Pre-Harvest Plots_rpt'!$D151,Tree!$F:$F,"L",Tree!$K:$K,"&lt;&gt;"&amp;"Y")-Q151)</f>
        <v/>
      </c>
      <c r="V151" s="123" t="str">
        <f>IF(B151="","",ROUND(SUMIFS(Tree!$AE:$AE,Tree!$A:$A,'Pre-Harvest Plots_rpt'!$B151,Tree!$B:$B,'Pre-Harvest Plots_rpt'!$D151,Tree!$F:$F,"L",Tree!$K:$K,"&lt;&gt;"&amp;"Y")-R151,1))</f>
        <v/>
      </c>
      <c r="W151" s="124" t="str">
        <f>IF(B151="","",SUMIFS(Tree!$AY:$AY,Tree!$A:$A,'Pre-Harvest Plots_rpt'!$B151,Tree!$B:$B,'Pre-Harvest Plots_rpt'!$D151,Tree!$F:$F,"L",Tree!$K:$K,"&lt;&gt;"&amp;"Y")/1000)</f>
        <v/>
      </c>
      <c r="X151" s="158" t="str">
        <f>IF(B151="","",ROUND((SUMIFS(Tree!$AW:$AW,Tree!$A:$A,'Pre-Harvest Plots_rpt'!$B151,Tree!$B:$B,'Pre-Harvest Plots_rpt'!$D151,Tree!$F:$F,"L",Tree!$K:$K,"&lt;&gt;"&amp;"Y")/1000)-W151,1))</f>
        <v/>
      </c>
      <c r="Y151" s="135"/>
      <c r="Z151" s="161" t="str">
        <f>IF(IF(B151="","",SUMIFS(Tree!$O:$O,Tree!$A:$A,'Pre-Harvest Plots_rpt'!$B151,Tree!$B:$B,'Pre-Harvest Plots_rpt'!$D151,Tree!$F:$F,"D",Tree!$K:$K,"&lt;&gt;"&amp;"Y"))=0,"",IF(B151="","",SUMIFS(Tree!$O:$O,Tree!$A:$A,'Pre-Harvest Plots_rpt'!$B151,Tree!$B:$B,'Pre-Harvest Plots_rpt'!$D151,Tree!$F:$F,"D",Tree!$K:$K,"&lt;&gt;"&amp;"Y")))</f>
        <v/>
      </c>
      <c r="AA151" s="125" t="str">
        <f t="shared" si="11"/>
        <v/>
      </c>
      <c r="AB151" s="125" t="str">
        <f>IF(Z151="","",SUMIFS(Tree!$R:$R,Tree!$A:$A,'Pre-Harvest Plots_rpt'!$B151,Tree!$B:$B,'Pre-Harvest Plots_rpt'!$D151,Tree!$F:$F,"D",Tree!$K:$K,"&lt;&gt;"&amp;"Y"))</f>
        <v/>
      </c>
      <c r="AC151" s="126" t="str">
        <f>IF(Z151="","",SUMIFS(Tree!$AM:$AM,Tree!$A:$A,'Pre-Harvest Plots_rpt'!$B151,Tree!$B:$B,'Pre-Harvest Plots_rpt'!$D151,Tree!$F:$F,"D",Tree!$K:$K,"&lt;&gt;"&amp;"Y"))</f>
        <v/>
      </c>
      <c r="AD151" s="162" t="str">
        <f>IF(Z151="","",SUMIFS(Tree!$AW:$AW,Tree!$A:$A,'Pre-Harvest Plots_rpt'!$B151,Tree!$B:$B,'Pre-Harvest Plots_rpt'!$D151,Tree!$F:$F,"D",Tree!$K:$K,"&lt;&gt;"&amp;"Y")/1000)</f>
        <v/>
      </c>
      <c r="AE151" s="47"/>
      <c r="AF151" s="18"/>
      <c r="AG151" s="18"/>
      <c r="AH151" s="18"/>
    </row>
    <row r="152" spans="1:34" ht="12.75" customHeight="1" x14ac:dyDescent="0.25">
      <c r="A152" s="48">
        <v>149</v>
      </c>
      <c r="B152" s="171" t="str">
        <f>IF(A152&lt;=SUM(Stand!$H$3:$H$29),VLOOKUP(A152,Stand!$A$3:$C$29,3,TRUE),"")</f>
        <v/>
      </c>
      <c r="C152" s="172" t="str">
        <f t="shared" si="8"/>
        <v/>
      </c>
      <c r="D152" s="173" t="str">
        <f>IF(B152="","",VLOOKUP(B152&amp;C152,Plot!$B$2:$D$199,3,FALSE))</f>
        <v/>
      </c>
      <c r="E152" s="130"/>
      <c r="F152" s="152" t="str">
        <f>IF(B152="","",SUMIFS(Tree!$O:$O,Tree!$A:$A,'Pre-Harvest Plots_rpt'!$B152,Tree!$B:$B,'Pre-Harvest Plots_rpt'!$D152,Tree!$F:$F,"L",Tree!$K:$K,"&lt;&gt;"&amp;"Y"))</f>
        <v/>
      </c>
      <c r="G152" s="153" t="str">
        <f>IFERROR(IF(D152="","",SUMIFS(Tree!$P:$P,Tree!$A:$A,'Pre-Harvest Plots_rpt'!$B152,Tree!$B:$B,'Pre-Harvest Plots_rpt'!$D152,Tree!$K:$K,"&lt;&gt;"&amp;"Y")/$F152),"")</f>
        <v/>
      </c>
      <c r="H152" s="122" t="str">
        <f t="shared" si="9"/>
        <v/>
      </c>
      <c r="I152" s="121" t="str">
        <f>IF(OR($F152=0,$F152=""),"",SUMIFS(Tree!$R:$R,Tree!$A:$A,'Pre-Harvest Plots_rpt'!$B152,Tree!$B:$B,'Pre-Harvest Plots_rpt'!$D152,Tree!$F:$F,"L",Tree!$K:$K,"&lt;&gt;"&amp;"Y"))</f>
        <v/>
      </c>
      <c r="J152" s="121" t="str">
        <f>IF(OR($F152=0,$F152=""),"",IF(SUMIFS(Tree!$W:$W,Tree!$A:$A,'Pre-Harvest Plots_rpt'!$B152,Tree!$B:$B,'Pre-Harvest Plots_rpt'!$D152,Tree!$F:$F,"L",Tree!$K:$K,"&lt;&gt;"&amp;"Y")=0,0,AVERAGEIFS(Tree!$W:$W,Tree!$A:$A,'Pre-Harvest Plots_rpt'!$B152,Tree!$B:$B,'Pre-Harvest Plots_rpt'!$D152,Tree!$F:$F,"L",Tree!$K:$K,"&lt;&gt;"&amp;"Y")))</f>
        <v/>
      </c>
      <c r="K152" s="121" t="str">
        <f>IF($F152="","",SUMIFS(Tree!$S:$S,Tree!$A:$A,'Pre-Harvest Plots_rpt'!$B152,Tree!$B:$B,'Pre-Harvest Plots_rpt'!$D152,Tree!$F:$F,"L",Tree!$K:$K,"&lt;&gt;"&amp;"Y"))</f>
        <v/>
      </c>
      <c r="L152" s="154" t="str">
        <f t="shared" si="10"/>
        <v/>
      </c>
      <c r="M152" s="135"/>
      <c r="N152" s="192" t="str">
        <f>IF(B152="","",SUMIFS(Tree!$AM:$AM,Tree!$A:$A,'Pre-Harvest Plots_rpt'!$B152,Tree!$B:$B,'Pre-Harvest Plots_rpt'!$D152,Tree!$F:$F,"L",Tree!$K:$K,"&lt;&gt;"&amp;"Y"))</f>
        <v/>
      </c>
      <c r="O152" s="122" t="str">
        <f>IF(B152="","",SUMIFS(Tree!$AN:$AN,Tree!$A:$A,'Pre-Harvest Plots_rpt'!$B152,Tree!$B:$B,'Pre-Harvest Plots_rpt'!$D152,Tree!$F:$F,"L",Tree!$K:$K,"&lt;&gt;"&amp;"Y"))</f>
        <v/>
      </c>
      <c r="P152" s="122" t="str">
        <f>IF(B152="","",SUMIFS(Tree!$AO:$AO,Tree!$A:$A,'Pre-Harvest Plots_rpt'!$B152,Tree!$B:$B,'Pre-Harvest Plots_rpt'!$D152,Tree!$F:$F,"L",Tree!$K:$K,"&lt;&gt;"&amp;"Y"))</f>
        <v/>
      </c>
      <c r="Q152" s="122" t="str">
        <f>IF(B152="","",SUMIFS(Tree!$AP:$AP,Tree!$A:$A,'Pre-Harvest Plots_rpt'!$B152,Tree!$B:$B,'Pre-Harvest Plots_rpt'!$D152,Tree!$F:$F,"L",Tree!$K:$K,"&lt;&gt;"&amp;"Y"))</f>
        <v/>
      </c>
      <c r="R152" s="123" t="str">
        <f>IF(B152="","",SUMIFS(Tree!$AQ:$AQ,Tree!$A:$A,'Pre-Harvest Plots_rpt'!$B152,Tree!$B:$B,'Pre-Harvest Plots_rpt'!$D152,Tree!$F:$F,"L",Tree!$K:$K,"&lt;&gt;"&amp;"Y"))</f>
        <v/>
      </c>
      <c r="S152" s="122" t="str">
        <f>IF(B152="","",SUMIFS(Tree!$AJ:$AJ,Tree!$A:$A,'Pre-Harvest Plots_rpt'!$B152,Tree!$B:$B,'Pre-Harvest Plots_rpt'!$D152,Tree!$F:$F,"L",Tree!$K:$K,"&lt;&gt;"&amp;"Y")-O152)</f>
        <v/>
      </c>
      <c r="T152" s="122" t="str">
        <f>IF(B152="","",SUMIFS(Tree!$AK:$AK,Tree!$A:$A,'Pre-Harvest Plots_rpt'!$B152,Tree!$B:$B,'Pre-Harvest Plots_rpt'!$D152,Tree!$F:$F,"L",Tree!$K:$K,"&lt;&gt;"&amp;"Y")-P152)</f>
        <v/>
      </c>
      <c r="U152" s="122" t="str">
        <f>IF(B152="","",SUMIFS(Tree!$AL:$AL,Tree!$A:$A,'Pre-Harvest Plots_rpt'!$B152,Tree!$B:$B,'Pre-Harvest Plots_rpt'!$D152,Tree!$F:$F,"L",Tree!$K:$K,"&lt;&gt;"&amp;"Y")-Q152)</f>
        <v/>
      </c>
      <c r="V152" s="123" t="str">
        <f>IF(B152="","",ROUND(SUMIFS(Tree!$AE:$AE,Tree!$A:$A,'Pre-Harvest Plots_rpt'!$B152,Tree!$B:$B,'Pre-Harvest Plots_rpt'!$D152,Tree!$F:$F,"L",Tree!$K:$K,"&lt;&gt;"&amp;"Y")-R152,1))</f>
        <v/>
      </c>
      <c r="W152" s="124" t="str">
        <f>IF(B152="","",SUMIFS(Tree!$AY:$AY,Tree!$A:$A,'Pre-Harvest Plots_rpt'!$B152,Tree!$B:$B,'Pre-Harvest Plots_rpt'!$D152,Tree!$F:$F,"L",Tree!$K:$K,"&lt;&gt;"&amp;"Y")/1000)</f>
        <v/>
      </c>
      <c r="X152" s="158" t="str">
        <f>IF(B152="","",ROUND((SUMIFS(Tree!$AW:$AW,Tree!$A:$A,'Pre-Harvest Plots_rpt'!$B152,Tree!$B:$B,'Pre-Harvest Plots_rpt'!$D152,Tree!$F:$F,"L",Tree!$K:$K,"&lt;&gt;"&amp;"Y")/1000)-W152,1))</f>
        <v/>
      </c>
      <c r="Y152" s="135"/>
      <c r="Z152" s="161" t="str">
        <f>IF(IF(B152="","",SUMIFS(Tree!$O:$O,Tree!$A:$A,'Pre-Harvest Plots_rpt'!$B152,Tree!$B:$B,'Pre-Harvest Plots_rpt'!$D152,Tree!$F:$F,"D",Tree!$K:$K,"&lt;&gt;"&amp;"Y"))=0,"",IF(B152="","",SUMIFS(Tree!$O:$O,Tree!$A:$A,'Pre-Harvest Plots_rpt'!$B152,Tree!$B:$B,'Pre-Harvest Plots_rpt'!$D152,Tree!$F:$F,"D",Tree!$K:$K,"&lt;&gt;"&amp;"Y")))</f>
        <v/>
      </c>
      <c r="AA152" s="125" t="str">
        <f t="shared" si="11"/>
        <v/>
      </c>
      <c r="AB152" s="125" t="str">
        <f>IF(Z152="","",SUMIFS(Tree!$R:$R,Tree!$A:$A,'Pre-Harvest Plots_rpt'!$B152,Tree!$B:$B,'Pre-Harvest Plots_rpt'!$D152,Tree!$F:$F,"D",Tree!$K:$K,"&lt;&gt;"&amp;"Y"))</f>
        <v/>
      </c>
      <c r="AC152" s="126" t="str">
        <f>IF(Z152="","",SUMIFS(Tree!$AM:$AM,Tree!$A:$A,'Pre-Harvest Plots_rpt'!$B152,Tree!$B:$B,'Pre-Harvest Plots_rpt'!$D152,Tree!$F:$F,"D",Tree!$K:$K,"&lt;&gt;"&amp;"Y"))</f>
        <v/>
      </c>
      <c r="AD152" s="162" t="str">
        <f>IF(Z152="","",SUMIFS(Tree!$AW:$AW,Tree!$A:$A,'Pre-Harvest Plots_rpt'!$B152,Tree!$B:$B,'Pre-Harvest Plots_rpt'!$D152,Tree!$F:$F,"D",Tree!$K:$K,"&lt;&gt;"&amp;"Y")/1000)</f>
        <v/>
      </c>
      <c r="AE152" s="47"/>
      <c r="AF152" s="18"/>
      <c r="AG152" s="18"/>
      <c r="AH152" s="18"/>
    </row>
    <row r="153" spans="1:34" ht="12.75" customHeight="1" x14ac:dyDescent="0.25">
      <c r="A153" s="48">
        <v>150</v>
      </c>
      <c r="B153" s="171" t="str">
        <f>IF(A153&lt;=SUM(Stand!$H$3:$H$29),VLOOKUP(A153,Stand!$A$3:$C$29,3,TRUE),"")</f>
        <v/>
      </c>
      <c r="C153" s="172" t="str">
        <f t="shared" si="8"/>
        <v/>
      </c>
      <c r="D153" s="173" t="str">
        <f>IF(B153="","",VLOOKUP(B153&amp;C153,Plot!$B$2:$D$199,3,FALSE))</f>
        <v/>
      </c>
      <c r="E153" s="130"/>
      <c r="F153" s="152" t="str">
        <f>IF(B153="","",SUMIFS(Tree!$O:$O,Tree!$A:$A,'Pre-Harvest Plots_rpt'!$B153,Tree!$B:$B,'Pre-Harvest Plots_rpt'!$D153,Tree!$F:$F,"L",Tree!$K:$K,"&lt;&gt;"&amp;"Y"))</f>
        <v/>
      </c>
      <c r="G153" s="153" t="str">
        <f>IFERROR(IF(D153="","",SUMIFS(Tree!$P:$P,Tree!$A:$A,'Pre-Harvest Plots_rpt'!$B153,Tree!$B:$B,'Pre-Harvest Plots_rpt'!$D153,Tree!$K:$K,"&lt;&gt;"&amp;"Y")/$F153),"")</f>
        <v/>
      </c>
      <c r="H153" s="122" t="str">
        <f t="shared" si="9"/>
        <v/>
      </c>
      <c r="I153" s="121" t="str">
        <f>IF(OR($F153=0,$F153=""),"",SUMIFS(Tree!$R:$R,Tree!$A:$A,'Pre-Harvest Plots_rpt'!$B153,Tree!$B:$B,'Pre-Harvest Plots_rpt'!$D153,Tree!$F:$F,"L",Tree!$K:$K,"&lt;&gt;"&amp;"Y"))</f>
        <v/>
      </c>
      <c r="J153" s="121" t="str">
        <f>IF(OR($F153=0,$F153=""),"",IF(SUMIFS(Tree!$W:$W,Tree!$A:$A,'Pre-Harvest Plots_rpt'!$B153,Tree!$B:$B,'Pre-Harvest Plots_rpt'!$D153,Tree!$F:$F,"L",Tree!$K:$K,"&lt;&gt;"&amp;"Y")=0,0,AVERAGEIFS(Tree!$W:$W,Tree!$A:$A,'Pre-Harvest Plots_rpt'!$B153,Tree!$B:$B,'Pre-Harvest Plots_rpt'!$D153,Tree!$F:$F,"L",Tree!$K:$K,"&lt;&gt;"&amp;"Y")))</f>
        <v/>
      </c>
      <c r="K153" s="121" t="str">
        <f>IF($F153="","",SUMIFS(Tree!$S:$S,Tree!$A:$A,'Pre-Harvest Plots_rpt'!$B153,Tree!$B:$B,'Pre-Harvest Plots_rpt'!$D153,Tree!$F:$F,"L",Tree!$K:$K,"&lt;&gt;"&amp;"Y"))</f>
        <v/>
      </c>
      <c r="L153" s="154" t="str">
        <f t="shared" si="10"/>
        <v/>
      </c>
      <c r="M153" s="135"/>
      <c r="N153" s="192" t="str">
        <f>IF(B153="","",SUMIFS(Tree!$AM:$AM,Tree!$A:$A,'Pre-Harvest Plots_rpt'!$B153,Tree!$B:$B,'Pre-Harvest Plots_rpt'!$D153,Tree!$F:$F,"L",Tree!$K:$K,"&lt;&gt;"&amp;"Y"))</f>
        <v/>
      </c>
      <c r="O153" s="122" t="str">
        <f>IF(B153="","",SUMIFS(Tree!$AN:$AN,Tree!$A:$A,'Pre-Harvest Plots_rpt'!$B153,Tree!$B:$B,'Pre-Harvest Plots_rpt'!$D153,Tree!$F:$F,"L",Tree!$K:$K,"&lt;&gt;"&amp;"Y"))</f>
        <v/>
      </c>
      <c r="P153" s="122" t="str">
        <f>IF(B153="","",SUMIFS(Tree!$AO:$AO,Tree!$A:$A,'Pre-Harvest Plots_rpt'!$B153,Tree!$B:$B,'Pre-Harvest Plots_rpt'!$D153,Tree!$F:$F,"L",Tree!$K:$K,"&lt;&gt;"&amp;"Y"))</f>
        <v/>
      </c>
      <c r="Q153" s="122" t="str">
        <f>IF(B153="","",SUMIFS(Tree!$AP:$AP,Tree!$A:$A,'Pre-Harvest Plots_rpt'!$B153,Tree!$B:$B,'Pre-Harvest Plots_rpt'!$D153,Tree!$F:$F,"L",Tree!$K:$K,"&lt;&gt;"&amp;"Y"))</f>
        <v/>
      </c>
      <c r="R153" s="123" t="str">
        <f>IF(B153="","",SUMIFS(Tree!$AQ:$AQ,Tree!$A:$A,'Pre-Harvest Plots_rpt'!$B153,Tree!$B:$B,'Pre-Harvest Plots_rpt'!$D153,Tree!$F:$F,"L",Tree!$K:$K,"&lt;&gt;"&amp;"Y"))</f>
        <v/>
      </c>
      <c r="S153" s="122" t="str">
        <f>IF(B153="","",SUMIFS(Tree!$AJ:$AJ,Tree!$A:$A,'Pre-Harvest Plots_rpt'!$B153,Tree!$B:$B,'Pre-Harvest Plots_rpt'!$D153,Tree!$F:$F,"L",Tree!$K:$K,"&lt;&gt;"&amp;"Y")-O153)</f>
        <v/>
      </c>
      <c r="T153" s="122" t="str">
        <f>IF(B153="","",SUMIFS(Tree!$AK:$AK,Tree!$A:$A,'Pre-Harvest Plots_rpt'!$B153,Tree!$B:$B,'Pre-Harvest Plots_rpt'!$D153,Tree!$F:$F,"L",Tree!$K:$K,"&lt;&gt;"&amp;"Y")-P153)</f>
        <v/>
      </c>
      <c r="U153" s="122" t="str">
        <f>IF(B153="","",SUMIFS(Tree!$AL:$AL,Tree!$A:$A,'Pre-Harvest Plots_rpt'!$B153,Tree!$B:$B,'Pre-Harvest Plots_rpt'!$D153,Tree!$F:$F,"L",Tree!$K:$K,"&lt;&gt;"&amp;"Y")-Q153)</f>
        <v/>
      </c>
      <c r="V153" s="123" t="str">
        <f>IF(B153="","",ROUND(SUMIFS(Tree!$AE:$AE,Tree!$A:$A,'Pre-Harvest Plots_rpt'!$B153,Tree!$B:$B,'Pre-Harvest Plots_rpt'!$D153,Tree!$F:$F,"L",Tree!$K:$K,"&lt;&gt;"&amp;"Y")-R153,1))</f>
        <v/>
      </c>
      <c r="W153" s="124" t="str">
        <f>IF(B153="","",SUMIFS(Tree!$AY:$AY,Tree!$A:$A,'Pre-Harvest Plots_rpt'!$B153,Tree!$B:$B,'Pre-Harvest Plots_rpt'!$D153,Tree!$F:$F,"L",Tree!$K:$K,"&lt;&gt;"&amp;"Y")/1000)</f>
        <v/>
      </c>
      <c r="X153" s="158" t="str">
        <f>IF(B153="","",ROUND((SUMIFS(Tree!$AW:$AW,Tree!$A:$A,'Pre-Harvest Plots_rpt'!$B153,Tree!$B:$B,'Pre-Harvest Plots_rpt'!$D153,Tree!$F:$F,"L",Tree!$K:$K,"&lt;&gt;"&amp;"Y")/1000)-W153,1))</f>
        <v/>
      </c>
      <c r="Y153" s="135"/>
      <c r="Z153" s="161" t="str">
        <f>IF(IF(B153="","",SUMIFS(Tree!$O:$O,Tree!$A:$A,'Pre-Harvest Plots_rpt'!$B153,Tree!$B:$B,'Pre-Harvest Plots_rpt'!$D153,Tree!$F:$F,"D",Tree!$K:$K,"&lt;&gt;"&amp;"Y"))=0,"",IF(B153="","",SUMIFS(Tree!$O:$O,Tree!$A:$A,'Pre-Harvest Plots_rpt'!$B153,Tree!$B:$B,'Pre-Harvest Plots_rpt'!$D153,Tree!$F:$F,"D",Tree!$K:$K,"&lt;&gt;"&amp;"Y")))</f>
        <v/>
      </c>
      <c r="AA153" s="125" t="str">
        <f t="shared" si="11"/>
        <v/>
      </c>
      <c r="AB153" s="125" t="str">
        <f>IF(Z153="","",SUMIFS(Tree!$R:$R,Tree!$A:$A,'Pre-Harvest Plots_rpt'!$B153,Tree!$B:$B,'Pre-Harvest Plots_rpt'!$D153,Tree!$F:$F,"D",Tree!$K:$K,"&lt;&gt;"&amp;"Y"))</f>
        <v/>
      </c>
      <c r="AC153" s="126" t="str">
        <f>IF(Z153="","",SUMIFS(Tree!$AM:$AM,Tree!$A:$A,'Pre-Harvest Plots_rpt'!$B153,Tree!$B:$B,'Pre-Harvest Plots_rpt'!$D153,Tree!$F:$F,"D",Tree!$K:$K,"&lt;&gt;"&amp;"Y"))</f>
        <v/>
      </c>
      <c r="AD153" s="162" t="str">
        <f>IF(Z153="","",SUMIFS(Tree!$AW:$AW,Tree!$A:$A,'Pre-Harvest Plots_rpt'!$B153,Tree!$B:$B,'Pre-Harvest Plots_rpt'!$D153,Tree!$F:$F,"D",Tree!$K:$K,"&lt;&gt;"&amp;"Y")/1000)</f>
        <v/>
      </c>
      <c r="AE153" s="47"/>
      <c r="AF153" s="18"/>
      <c r="AG153" s="18"/>
      <c r="AH153" s="18"/>
    </row>
    <row r="154" spans="1:34" ht="12.75" customHeight="1" x14ac:dyDescent="0.25">
      <c r="A154" s="48">
        <v>151</v>
      </c>
      <c r="B154" s="171" t="str">
        <f>IF(A154&lt;=SUM(Stand!$H$3:$H$29),VLOOKUP(A154,Stand!$A$3:$C$29,3,TRUE),"")</f>
        <v/>
      </c>
      <c r="C154" s="172" t="str">
        <f t="shared" si="8"/>
        <v/>
      </c>
      <c r="D154" s="173" t="str">
        <f>IF(B154="","",VLOOKUP(B154&amp;C154,Plot!$B$2:$D$199,3,FALSE))</f>
        <v/>
      </c>
      <c r="E154" s="130"/>
      <c r="F154" s="152" t="str">
        <f>IF(B154="","",SUMIFS(Tree!$O:$O,Tree!$A:$A,'Pre-Harvest Plots_rpt'!$B154,Tree!$B:$B,'Pre-Harvest Plots_rpt'!$D154,Tree!$F:$F,"L",Tree!$K:$K,"&lt;&gt;"&amp;"Y"))</f>
        <v/>
      </c>
      <c r="G154" s="153" t="str">
        <f>IFERROR(IF(D154="","",SUMIFS(Tree!$P:$P,Tree!$A:$A,'Pre-Harvest Plots_rpt'!$B154,Tree!$B:$B,'Pre-Harvest Plots_rpt'!$D154,Tree!$K:$K,"&lt;&gt;"&amp;"Y")/$F154),"")</f>
        <v/>
      </c>
      <c r="H154" s="122" t="str">
        <f t="shared" si="9"/>
        <v/>
      </c>
      <c r="I154" s="121" t="str">
        <f>IF(OR($F154=0,$F154=""),"",SUMIFS(Tree!$R:$R,Tree!$A:$A,'Pre-Harvest Plots_rpt'!$B154,Tree!$B:$B,'Pre-Harvest Plots_rpt'!$D154,Tree!$F:$F,"L",Tree!$K:$K,"&lt;&gt;"&amp;"Y"))</f>
        <v/>
      </c>
      <c r="J154" s="121" t="str">
        <f>IF(OR($F154=0,$F154=""),"",IF(SUMIFS(Tree!$W:$W,Tree!$A:$A,'Pre-Harvest Plots_rpt'!$B154,Tree!$B:$B,'Pre-Harvest Plots_rpt'!$D154,Tree!$F:$F,"L",Tree!$K:$K,"&lt;&gt;"&amp;"Y")=0,0,AVERAGEIFS(Tree!$W:$W,Tree!$A:$A,'Pre-Harvest Plots_rpt'!$B154,Tree!$B:$B,'Pre-Harvest Plots_rpt'!$D154,Tree!$F:$F,"L",Tree!$K:$K,"&lt;&gt;"&amp;"Y")))</f>
        <v/>
      </c>
      <c r="K154" s="121" t="str">
        <f>IF($F154="","",SUMIFS(Tree!$S:$S,Tree!$A:$A,'Pre-Harvest Plots_rpt'!$B154,Tree!$B:$B,'Pre-Harvest Plots_rpt'!$D154,Tree!$F:$F,"L",Tree!$K:$K,"&lt;&gt;"&amp;"Y"))</f>
        <v/>
      </c>
      <c r="L154" s="154" t="str">
        <f t="shared" si="10"/>
        <v/>
      </c>
      <c r="M154" s="135"/>
      <c r="N154" s="192" t="str">
        <f>IF(B154="","",SUMIFS(Tree!$AM:$AM,Tree!$A:$A,'Pre-Harvest Plots_rpt'!$B154,Tree!$B:$B,'Pre-Harvest Plots_rpt'!$D154,Tree!$F:$F,"L",Tree!$K:$K,"&lt;&gt;"&amp;"Y"))</f>
        <v/>
      </c>
      <c r="O154" s="122" t="str">
        <f>IF(B154="","",SUMIFS(Tree!$AN:$AN,Tree!$A:$A,'Pre-Harvest Plots_rpt'!$B154,Tree!$B:$B,'Pre-Harvest Plots_rpt'!$D154,Tree!$F:$F,"L",Tree!$K:$K,"&lt;&gt;"&amp;"Y"))</f>
        <v/>
      </c>
      <c r="P154" s="122" t="str">
        <f>IF(B154="","",SUMIFS(Tree!$AO:$AO,Tree!$A:$A,'Pre-Harvest Plots_rpt'!$B154,Tree!$B:$B,'Pre-Harvest Plots_rpt'!$D154,Tree!$F:$F,"L",Tree!$K:$K,"&lt;&gt;"&amp;"Y"))</f>
        <v/>
      </c>
      <c r="Q154" s="122" t="str">
        <f>IF(B154="","",SUMIFS(Tree!$AP:$AP,Tree!$A:$A,'Pre-Harvest Plots_rpt'!$B154,Tree!$B:$B,'Pre-Harvest Plots_rpt'!$D154,Tree!$F:$F,"L",Tree!$K:$K,"&lt;&gt;"&amp;"Y"))</f>
        <v/>
      </c>
      <c r="R154" s="123" t="str">
        <f>IF(B154="","",SUMIFS(Tree!$AQ:$AQ,Tree!$A:$A,'Pre-Harvest Plots_rpt'!$B154,Tree!$B:$B,'Pre-Harvest Plots_rpt'!$D154,Tree!$F:$F,"L",Tree!$K:$K,"&lt;&gt;"&amp;"Y"))</f>
        <v/>
      </c>
      <c r="S154" s="122" t="str">
        <f>IF(B154="","",SUMIFS(Tree!$AJ:$AJ,Tree!$A:$A,'Pre-Harvest Plots_rpt'!$B154,Tree!$B:$B,'Pre-Harvest Plots_rpt'!$D154,Tree!$F:$F,"L",Tree!$K:$K,"&lt;&gt;"&amp;"Y")-O154)</f>
        <v/>
      </c>
      <c r="T154" s="122" t="str">
        <f>IF(B154="","",SUMIFS(Tree!$AK:$AK,Tree!$A:$A,'Pre-Harvest Plots_rpt'!$B154,Tree!$B:$B,'Pre-Harvest Plots_rpt'!$D154,Tree!$F:$F,"L",Tree!$K:$K,"&lt;&gt;"&amp;"Y")-P154)</f>
        <v/>
      </c>
      <c r="U154" s="122" t="str">
        <f>IF(B154="","",SUMIFS(Tree!$AL:$AL,Tree!$A:$A,'Pre-Harvest Plots_rpt'!$B154,Tree!$B:$B,'Pre-Harvest Plots_rpt'!$D154,Tree!$F:$F,"L",Tree!$K:$K,"&lt;&gt;"&amp;"Y")-Q154)</f>
        <v/>
      </c>
      <c r="V154" s="123" t="str">
        <f>IF(B154="","",ROUND(SUMIFS(Tree!$AE:$AE,Tree!$A:$A,'Pre-Harvest Plots_rpt'!$B154,Tree!$B:$B,'Pre-Harvest Plots_rpt'!$D154,Tree!$F:$F,"L",Tree!$K:$K,"&lt;&gt;"&amp;"Y")-R154,1))</f>
        <v/>
      </c>
      <c r="W154" s="124" t="str">
        <f>IF(B154="","",SUMIFS(Tree!$AY:$AY,Tree!$A:$A,'Pre-Harvest Plots_rpt'!$B154,Tree!$B:$B,'Pre-Harvest Plots_rpt'!$D154,Tree!$F:$F,"L",Tree!$K:$K,"&lt;&gt;"&amp;"Y")/1000)</f>
        <v/>
      </c>
      <c r="X154" s="158" t="str">
        <f>IF(B154="","",ROUND((SUMIFS(Tree!$AW:$AW,Tree!$A:$A,'Pre-Harvest Plots_rpt'!$B154,Tree!$B:$B,'Pre-Harvest Plots_rpt'!$D154,Tree!$F:$F,"L",Tree!$K:$K,"&lt;&gt;"&amp;"Y")/1000)-W154,1))</f>
        <v/>
      </c>
      <c r="Y154" s="135"/>
      <c r="Z154" s="161" t="str">
        <f>IF(IF(B154="","",SUMIFS(Tree!$O:$O,Tree!$A:$A,'Pre-Harvest Plots_rpt'!$B154,Tree!$B:$B,'Pre-Harvest Plots_rpt'!$D154,Tree!$F:$F,"D",Tree!$K:$K,"&lt;&gt;"&amp;"Y"))=0,"",IF(B154="","",SUMIFS(Tree!$O:$O,Tree!$A:$A,'Pre-Harvest Plots_rpt'!$B154,Tree!$B:$B,'Pre-Harvest Plots_rpt'!$D154,Tree!$F:$F,"D",Tree!$K:$K,"&lt;&gt;"&amp;"Y")))</f>
        <v/>
      </c>
      <c r="AA154" s="125" t="str">
        <f t="shared" si="11"/>
        <v/>
      </c>
      <c r="AB154" s="125" t="str">
        <f>IF(Z154="","",SUMIFS(Tree!$R:$R,Tree!$A:$A,'Pre-Harvest Plots_rpt'!$B154,Tree!$B:$B,'Pre-Harvest Plots_rpt'!$D154,Tree!$F:$F,"D",Tree!$K:$K,"&lt;&gt;"&amp;"Y"))</f>
        <v/>
      </c>
      <c r="AC154" s="126" t="str">
        <f>IF(Z154="","",SUMIFS(Tree!$AM:$AM,Tree!$A:$A,'Pre-Harvest Plots_rpt'!$B154,Tree!$B:$B,'Pre-Harvest Plots_rpt'!$D154,Tree!$F:$F,"D",Tree!$K:$K,"&lt;&gt;"&amp;"Y"))</f>
        <v/>
      </c>
      <c r="AD154" s="162" t="str">
        <f>IF(Z154="","",SUMIFS(Tree!$AW:$AW,Tree!$A:$A,'Pre-Harvest Plots_rpt'!$B154,Tree!$B:$B,'Pre-Harvest Plots_rpt'!$D154,Tree!$F:$F,"D",Tree!$K:$K,"&lt;&gt;"&amp;"Y")/1000)</f>
        <v/>
      </c>
      <c r="AE154" s="47"/>
      <c r="AF154" s="18"/>
      <c r="AG154" s="18"/>
      <c r="AH154" s="18"/>
    </row>
    <row r="155" spans="1:34" ht="12.75" customHeight="1" x14ac:dyDescent="0.25">
      <c r="A155" s="48">
        <v>152</v>
      </c>
      <c r="B155" s="171" t="str">
        <f>IF(A155&lt;=SUM(Stand!$H$3:$H$29),VLOOKUP(A155,Stand!$A$3:$C$29,3,TRUE),"")</f>
        <v/>
      </c>
      <c r="C155" s="172" t="str">
        <f t="shared" si="8"/>
        <v/>
      </c>
      <c r="D155" s="173" t="str">
        <f>IF(B155="","",VLOOKUP(B155&amp;C155,Plot!$B$2:$D$199,3,FALSE))</f>
        <v/>
      </c>
      <c r="E155" s="130"/>
      <c r="F155" s="152" t="str">
        <f>IF(B155="","",SUMIFS(Tree!$O:$O,Tree!$A:$A,'Pre-Harvest Plots_rpt'!$B155,Tree!$B:$B,'Pre-Harvest Plots_rpt'!$D155,Tree!$F:$F,"L",Tree!$K:$K,"&lt;&gt;"&amp;"Y"))</f>
        <v/>
      </c>
      <c r="G155" s="153" t="str">
        <f>IFERROR(IF(D155="","",SUMIFS(Tree!$P:$P,Tree!$A:$A,'Pre-Harvest Plots_rpt'!$B155,Tree!$B:$B,'Pre-Harvest Plots_rpt'!$D155,Tree!$K:$K,"&lt;&gt;"&amp;"Y")/$F155),"")</f>
        <v/>
      </c>
      <c r="H155" s="122" t="str">
        <f t="shared" si="9"/>
        <v/>
      </c>
      <c r="I155" s="121" t="str">
        <f>IF(OR($F155=0,$F155=""),"",SUMIFS(Tree!$R:$R,Tree!$A:$A,'Pre-Harvest Plots_rpt'!$B155,Tree!$B:$B,'Pre-Harvest Plots_rpt'!$D155,Tree!$F:$F,"L",Tree!$K:$K,"&lt;&gt;"&amp;"Y"))</f>
        <v/>
      </c>
      <c r="J155" s="121" t="str">
        <f>IF(OR($F155=0,$F155=""),"",IF(SUMIFS(Tree!$W:$W,Tree!$A:$A,'Pre-Harvest Plots_rpt'!$B155,Tree!$B:$B,'Pre-Harvest Plots_rpt'!$D155,Tree!$F:$F,"L",Tree!$K:$K,"&lt;&gt;"&amp;"Y")=0,0,AVERAGEIFS(Tree!$W:$W,Tree!$A:$A,'Pre-Harvest Plots_rpt'!$B155,Tree!$B:$B,'Pre-Harvest Plots_rpt'!$D155,Tree!$F:$F,"L",Tree!$K:$K,"&lt;&gt;"&amp;"Y")))</f>
        <v/>
      </c>
      <c r="K155" s="121" t="str">
        <f>IF($F155="","",SUMIFS(Tree!$S:$S,Tree!$A:$A,'Pre-Harvest Plots_rpt'!$B155,Tree!$B:$B,'Pre-Harvest Plots_rpt'!$D155,Tree!$F:$F,"L",Tree!$K:$K,"&lt;&gt;"&amp;"Y"))</f>
        <v/>
      </c>
      <c r="L155" s="154" t="str">
        <f t="shared" si="10"/>
        <v/>
      </c>
      <c r="M155" s="135"/>
      <c r="N155" s="192" t="str">
        <f>IF(B155="","",SUMIFS(Tree!$AM:$AM,Tree!$A:$A,'Pre-Harvest Plots_rpt'!$B155,Tree!$B:$B,'Pre-Harvest Plots_rpt'!$D155,Tree!$F:$F,"L",Tree!$K:$K,"&lt;&gt;"&amp;"Y"))</f>
        <v/>
      </c>
      <c r="O155" s="122" t="str">
        <f>IF(B155="","",SUMIFS(Tree!$AN:$AN,Tree!$A:$A,'Pre-Harvest Plots_rpt'!$B155,Tree!$B:$B,'Pre-Harvest Plots_rpt'!$D155,Tree!$F:$F,"L",Tree!$K:$K,"&lt;&gt;"&amp;"Y"))</f>
        <v/>
      </c>
      <c r="P155" s="122" t="str">
        <f>IF(B155="","",SUMIFS(Tree!$AO:$AO,Tree!$A:$A,'Pre-Harvest Plots_rpt'!$B155,Tree!$B:$B,'Pre-Harvest Plots_rpt'!$D155,Tree!$F:$F,"L",Tree!$K:$K,"&lt;&gt;"&amp;"Y"))</f>
        <v/>
      </c>
      <c r="Q155" s="122" t="str">
        <f>IF(B155="","",SUMIFS(Tree!$AP:$AP,Tree!$A:$A,'Pre-Harvest Plots_rpt'!$B155,Tree!$B:$B,'Pre-Harvest Plots_rpt'!$D155,Tree!$F:$F,"L",Tree!$K:$K,"&lt;&gt;"&amp;"Y"))</f>
        <v/>
      </c>
      <c r="R155" s="123" t="str">
        <f>IF(B155="","",SUMIFS(Tree!$AQ:$AQ,Tree!$A:$A,'Pre-Harvest Plots_rpt'!$B155,Tree!$B:$B,'Pre-Harvest Plots_rpt'!$D155,Tree!$F:$F,"L",Tree!$K:$K,"&lt;&gt;"&amp;"Y"))</f>
        <v/>
      </c>
      <c r="S155" s="122" t="str">
        <f>IF(B155="","",SUMIFS(Tree!$AJ:$AJ,Tree!$A:$A,'Pre-Harvest Plots_rpt'!$B155,Tree!$B:$B,'Pre-Harvest Plots_rpt'!$D155,Tree!$F:$F,"L",Tree!$K:$K,"&lt;&gt;"&amp;"Y")-O155)</f>
        <v/>
      </c>
      <c r="T155" s="122" t="str">
        <f>IF(B155="","",SUMIFS(Tree!$AK:$AK,Tree!$A:$A,'Pre-Harvest Plots_rpt'!$B155,Tree!$B:$B,'Pre-Harvest Plots_rpt'!$D155,Tree!$F:$F,"L",Tree!$K:$K,"&lt;&gt;"&amp;"Y")-P155)</f>
        <v/>
      </c>
      <c r="U155" s="122" t="str">
        <f>IF(B155="","",SUMIFS(Tree!$AL:$AL,Tree!$A:$A,'Pre-Harvest Plots_rpt'!$B155,Tree!$B:$B,'Pre-Harvest Plots_rpt'!$D155,Tree!$F:$F,"L",Tree!$K:$K,"&lt;&gt;"&amp;"Y")-Q155)</f>
        <v/>
      </c>
      <c r="V155" s="123" t="str">
        <f>IF(B155="","",ROUND(SUMIFS(Tree!$AE:$AE,Tree!$A:$A,'Pre-Harvest Plots_rpt'!$B155,Tree!$B:$B,'Pre-Harvest Plots_rpt'!$D155,Tree!$F:$F,"L",Tree!$K:$K,"&lt;&gt;"&amp;"Y")-R155,1))</f>
        <v/>
      </c>
      <c r="W155" s="124" t="str">
        <f>IF(B155="","",SUMIFS(Tree!$AY:$AY,Tree!$A:$A,'Pre-Harvest Plots_rpt'!$B155,Tree!$B:$B,'Pre-Harvest Plots_rpt'!$D155,Tree!$F:$F,"L",Tree!$K:$K,"&lt;&gt;"&amp;"Y")/1000)</f>
        <v/>
      </c>
      <c r="X155" s="158" t="str">
        <f>IF(B155="","",ROUND((SUMIFS(Tree!$AW:$AW,Tree!$A:$A,'Pre-Harvest Plots_rpt'!$B155,Tree!$B:$B,'Pre-Harvest Plots_rpt'!$D155,Tree!$F:$F,"L",Tree!$K:$K,"&lt;&gt;"&amp;"Y")/1000)-W155,1))</f>
        <v/>
      </c>
      <c r="Y155" s="135"/>
      <c r="Z155" s="161" t="str">
        <f>IF(IF(B155="","",SUMIFS(Tree!$O:$O,Tree!$A:$A,'Pre-Harvest Plots_rpt'!$B155,Tree!$B:$B,'Pre-Harvest Plots_rpt'!$D155,Tree!$F:$F,"D",Tree!$K:$K,"&lt;&gt;"&amp;"Y"))=0,"",IF(B155="","",SUMIFS(Tree!$O:$O,Tree!$A:$A,'Pre-Harvest Plots_rpt'!$B155,Tree!$B:$B,'Pre-Harvest Plots_rpt'!$D155,Tree!$F:$F,"D",Tree!$K:$K,"&lt;&gt;"&amp;"Y")))</f>
        <v/>
      </c>
      <c r="AA155" s="125" t="str">
        <f t="shared" si="11"/>
        <v/>
      </c>
      <c r="AB155" s="125" t="str">
        <f>IF(Z155="","",SUMIFS(Tree!$R:$R,Tree!$A:$A,'Pre-Harvest Plots_rpt'!$B155,Tree!$B:$B,'Pre-Harvest Plots_rpt'!$D155,Tree!$F:$F,"D",Tree!$K:$K,"&lt;&gt;"&amp;"Y"))</f>
        <v/>
      </c>
      <c r="AC155" s="126" t="str">
        <f>IF(Z155="","",SUMIFS(Tree!$AM:$AM,Tree!$A:$A,'Pre-Harvest Plots_rpt'!$B155,Tree!$B:$B,'Pre-Harvest Plots_rpt'!$D155,Tree!$F:$F,"D",Tree!$K:$K,"&lt;&gt;"&amp;"Y"))</f>
        <v/>
      </c>
      <c r="AD155" s="162" t="str">
        <f>IF(Z155="","",SUMIFS(Tree!$AW:$AW,Tree!$A:$A,'Pre-Harvest Plots_rpt'!$B155,Tree!$B:$B,'Pre-Harvest Plots_rpt'!$D155,Tree!$F:$F,"D",Tree!$K:$K,"&lt;&gt;"&amp;"Y")/1000)</f>
        <v/>
      </c>
      <c r="AE155" s="47"/>
      <c r="AF155" s="18"/>
      <c r="AG155" s="18"/>
      <c r="AH155" s="18"/>
    </row>
    <row r="156" spans="1:34" ht="12.75" customHeight="1" x14ac:dyDescent="0.25">
      <c r="A156" s="48">
        <v>153</v>
      </c>
      <c r="B156" s="171" t="str">
        <f>IF(A156&lt;=SUM(Stand!$H$3:$H$29),VLOOKUP(A156,Stand!$A$3:$C$29,3,TRUE),"")</f>
        <v/>
      </c>
      <c r="C156" s="172" t="str">
        <f t="shared" si="8"/>
        <v/>
      </c>
      <c r="D156" s="173" t="str">
        <f>IF(B156="","",VLOOKUP(B156&amp;C156,Plot!$B$2:$D$199,3,FALSE))</f>
        <v/>
      </c>
      <c r="E156" s="130"/>
      <c r="F156" s="152" t="str">
        <f>IF(B156="","",SUMIFS(Tree!$O:$O,Tree!$A:$A,'Pre-Harvest Plots_rpt'!$B156,Tree!$B:$B,'Pre-Harvest Plots_rpt'!$D156,Tree!$F:$F,"L",Tree!$K:$K,"&lt;&gt;"&amp;"Y"))</f>
        <v/>
      </c>
      <c r="G156" s="153" t="str">
        <f>IFERROR(IF(D156="","",SUMIFS(Tree!$P:$P,Tree!$A:$A,'Pre-Harvest Plots_rpt'!$B156,Tree!$B:$B,'Pre-Harvest Plots_rpt'!$D156,Tree!$K:$K,"&lt;&gt;"&amp;"Y")/$F156),"")</f>
        <v/>
      </c>
      <c r="H156" s="122" t="str">
        <f t="shared" si="9"/>
        <v/>
      </c>
      <c r="I156" s="121" t="str">
        <f>IF(OR($F156=0,$F156=""),"",SUMIFS(Tree!$R:$R,Tree!$A:$A,'Pre-Harvest Plots_rpt'!$B156,Tree!$B:$B,'Pre-Harvest Plots_rpt'!$D156,Tree!$F:$F,"L",Tree!$K:$K,"&lt;&gt;"&amp;"Y"))</f>
        <v/>
      </c>
      <c r="J156" s="121" t="str">
        <f>IF(OR($F156=0,$F156=""),"",IF(SUMIFS(Tree!$W:$W,Tree!$A:$A,'Pre-Harvest Plots_rpt'!$B156,Tree!$B:$B,'Pre-Harvest Plots_rpt'!$D156,Tree!$F:$F,"L",Tree!$K:$K,"&lt;&gt;"&amp;"Y")=0,0,AVERAGEIFS(Tree!$W:$W,Tree!$A:$A,'Pre-Harvest Plots_rpt'!$B156,Tree!$B:$B,'Pre-Harvest Plots_rpt'!$D156,Tree!$F:$F,"L",Tree!$K:$K,"&lt;&gt;"&amp;"Y")))</f>
        <v/>
      </c>
      <c r="K156" s="121" t="str">
        <f>IF($F156="","",SUMIFS(Tree!$S:$S,Tree!$A:$A,'Pre-Harvest Plots_rpt'!$B156,Tree!$B:$B,'Pre-Harvest Plots_rpt'!$D156,Tree!$F:$F,"L",Tree!$K:$K,"&lt;&gt;"&amp;"Y"))</f>
        <v/>
      </c>
      <c r="L156" s="154" t="str">
        <f t="shared" si="10"/>
        <v/>
      </c>
      <c r="M156" s="135"/>
      <c r="N156" s="192" t="str">
        <f>IF(B156="","",SUMIFS(Tree!$AM:$AM,Tree!$A:$A,'Pre-Harvest Plots_rpt'!$B156,Tree!$B:$B,'Pre-Harvest Plots_rpt'!$D156,Tree!$F:$F,"L",Tree!$K:$K,"&lt;&gt;"&amp;"Y"))</f>
        <v/>
      </c>
      <c r="O156" s="122" t="str">
        <f>IF(B156="","",SUMIFS(Tree!$AN:$AN,Tree!$A:$A,'Pre-Harvest Plots_rpt'!$B156,Tree!$B:$B,'Pre-Harvest Plots_rpt'!$D156,Tree!$F:$F,"L",Tree!$K:$K,"&lt;&gt;"&amp;"Y"))</f>
        <v/>
      </c>
      <c r="P156" s="122" t="str">
        <f>IF(B156="","",SUMIFS(Tree!$AO:$AO,Tree!$A:$A,'Pre-Harvest Plots_rpt'!$B156,Tree!$B:$B,'Pre-Harvest Plots_rpt'!$D156,Tree!$F:$F,"L",Tree!$K:$K,"&lt;&gt;"&amp;"Y"))</f>
        <v/>
      </c>
      <c r="Q156" s="122" t="str">
        <f>IF(B156="","",SUMIFS(Tree!$AP:$AP,Tree!$A:$A,'Pre-Harvest Plots_rpt'!$B156,Tree!$B:$B,'Pre-Harvest Plots_rpt'!$D156,Tree!$F:$F,"L",Tree!$K:$K,"&lt;&gt;"&amp;"Y"))</f>
        <v/>
      </c>
      <c r="R156" s="123" t="str">
        <f>IF(B156="","",SUMIFS(Tree!$AQ:$AQ,Tree!$A:$A,'Pre-Harvest Plots_rpt'!$B156,Tree!$B:$B,'Pre-Harvest Plots_rpt'!$D156,Tree!$F:$F,"L",Tree!$K:$K,"&lt;&gt;"&amp;"Y"))</f>
        <v/>
      </c>
      <c r="S156" s="122" t="str">
        <f>IF(B156="","",SUMIFS(Tree!$AJ:$AJ,Tree!$A:$A,'Pre-Harvest Plots_rpt'!$B156,Tree!$B:$B,'Pre-Harvest Plots_rpt'!$D156,Tree!$F:$F,"L",Tree!$K:$K,"&lt;&gt;"&amp;"Y")-O156)</f>
        <v/>
      </c>
      <c r="T156" s="122" t="str">
        <f>IF(B156="","",SUMIFS(Tree!$AK:$AK,Tree!$A:$A,'Pre-Harvest Plots_rpt'!$B156,Tree!$B:$B,'Pre-Harvest Plots_rpt'!$D156,Tree!$F:$F,"L",Tree!$K:$K,"&lt;&gt;"&amp;"Y")-P156)</f>
        <v/>
      </c>
      <c r="U156" s="122" t="str">
        <f>IF(B156="","",SUMIFS(Tree!$AL:$AL,Tree!$A:$A,'Pre-Harvest Plots_rpt'!$B156,Tree!$B:$B,'Pre-Harvest Plots_rpt'!$D156,Tree!$F:$F,"L",Tree!$K:$K,"&lt;&gt;"&amp;"Y")-Q156)</f>
        <v/>
      </c>
      <c r="V156" s="123" t="str">
        <f>IF(B156="","",ROUND(SUMIFS(Tree!$AE:$AE,Tree!$A:$A,'Pre-Harvest Plots_rpt'!$B156,Tree!$B:$B,'Pre-Harvest Plots_rpt'!$D156,Tree!$F:$F,"L",Tree!$K:$K,"&lt;&gt;"&amp;"Y")-R156,1))</f>
        <v/>
      </c>
      <c r="W156" s="124" t="str">
        <f>IF(B156="","",SUMIFS(Tree!$AY:$AY,Tree!$A:$A,'Pre-Harvest Plots_rpt'!$B156,Tree!$B:$B,'Pre-Harvest Plots_rpt'!$D156,Tree!$F:$F,"L",Tree!$K:$K,"&lt;&gt;"&amp;"Y")/1000)</f>
        <v/>
      </c>
      <c r="X156" s="158" t="str">
        <f>IF(B156="","",ROUND((SUMIFS(Tree!$AW:$AW,Tree!$A:$A,'Pre-Harvest Plots_rpt'!$B156,Tree!$B:$B,'Pre-Harvest Plots_rpt'!$D156,Tree!$F:$F,"L",Tree!$K:$K,"&lt;&gt;"&amp;"Y")/1000)-W156,1))</f>
        <v/>
      </c>
      <c r="Y156" s="135"/>
      <c r="Z156" s="161" t="str">
        <f>IF(IF(B156="","",SUMIFS(Tree!$O:$O,Tree!$A:$A,'Pre-Harvest Plots_rpt'!$B156,Tree!$B:$B,'Pre-Harvest Plots_rpt'!$D156,Tree!$F:$F,"D",Tree!$K:$K,"&lt;&gt;"&amp;"Y"))=0,"",IF(B156="","",SUMIFS(Tree!$O:$O,Tree!$A:$A,'Pre-Harvest Plots_rpt'!$B156,Tree!$B:$B,'Pre-Harvest Plots_rpt'!$D156,Tree!$F:$F,"D",Tree!$K:$K,"&lt;&gt;"&amp;"Y")))</f>
        <v/>
      </c>
      <c r="AA156" s="125" t="str">
        <f t="shared" si="11"/>
        <v/>
      </c>
      <c r="AB156" s="125" t="str">
        <f>IF(Z156="","",SUMIFS(Tree!$R:$R,Tree!$A:$A,'Pre-Harvest Plots_rpt'!$B156,Tree!$B:$B,'Pre-Harvest Plots_rpt'!$D156,Tree!$F:$F,"D",Tree!$K:$K,"&lt;&gt;"&amp;"Y"))</f>
        <v/>
      </c>
      <c r="AC156" s="126" t="str">
        <f>IF(Z156="","",SUMIFS(Tree!$AM:$AM,Tree!$A:$A,'Pre-Harvest Plots_rpt'!$B156,Tree!$B:$B,'Pre-Harvest Plots_rpt'!$D156,Tree!$F:$F,"D",Tree!$K:$K,"&lt;&gt;"&amp;"Y"))</f>
        <v/>
      </c>
      <c r="AD156" s="162" t="str">
        <f>IF(Z156="","",SUMIFS(Tree!$AW:$AW,Tree!$A:$A,'Pre-Harvest Plots_rpt'!$B156,Tree!$B:$B,'Pre-Harvest Plots_rpt'!$D156,Tree!$F:$F,"D",Tree!$K:$K,"&lt;&gt;"&amp;"Y")/1000)</f>
        <v/>
      </c>
      <c r="AE156" s="47"/>
      <c r="AF156" s="18"/>
      <c r="AG156" s="18"/>
      <c r="AH156" s="18"/>
    </row>
    <row r="157" spans="1:34" ht="12.75" customHeight="1" x14ac:dyDescent="0.25">
      <c r="A157" s="48">
        <v>154</v>
      </c>
      <c r="B157" s="171" t="str">
        <f>IF(A157&lt;=SUM(Stand!$H$3:$H$29),VLOOKUP(A157,Stand!$A$3:$C$29,3,TRUE),"")</f>
        <v/>
      </c>
      <c r="C157" s="172" t="str">
        <f t="shared" si="8"/>
        <v/>
      </c>
      <c r="D157" s="173" t="str">
        <f>IF(B157="","",VLOOKUP(B157&amp;C157,Plot!$B$2:$D$199,3,FALSE))</f>
        <v/>
      </c>
      <c r="E157" s="130"/>
      <c r="F157" s="152" t="str">
        <f>IF(B157="","",SUMIFS(Tree!$O:$O,Tree!$A:$A,'Pre-Harvest Plots_rpt'!$B157,Tree!$B:$B,'Pre-Harvest Plots_rpt'!$D157,Tree!$F:$F,"L",Tree!$K:$K,"&lt;&gt;"&amp;"Y"))</f>
        <v/>
      </c>
      <c r="G157" s="153" t="str">
        <f>IFERROR(IF(D157="","",SUMIFS(Tree!$P:$P,Tree!$A:$A,'Pre-Harvest Plots_rpt'!$B157,Tree!$B:$B,'Pre-Harvest Plots_rpt'!$D157,Tree!$K:$K,"&lt;&gt;"&amp;"Y")/$F157),"")</f>
        <v/>
      </c>
      <c r="H157" s="122" t="str">
        <f t="shared" si="9"/>
        <v/>
      </c>
      <c r="I157" s="121" t="str">
        <f>IF(OR($F157=0,$F157=""),"",SUMIFS(Tree!$R:$R,Tree!$A:$A,'Pre-Harvest Plots_rpt'!$B157,Tree!$B:$B,'Pre-Harvest Plots_rpt'!$D157,Tree!$F:$F,"L",Tree!$K:$K,"&lt;&gt;"&amp;"Y"))</f>
        <v/>
      </c>
      <c r="J157" s="121" t="str">
        <f>IF(OR($F157=0,$F157=""),"",IF(SUMIFS(Tree!$W:$W,Tree!$A:$A,'Pre-Harvest Plots_rpt'!$B157,Tree!$B:$B,'Pre-Harvest Plots_rpt'!$D157,Tree!$F:$F,"L",Tree!$K:$K,"&lt;&gt;"&amp;"Y")=0,0,AVERAGEIFS(Tree!$W:$W,Tree!$A:$A,'Pre-Harvest Plots_rpt'!$B157,Tree!$B:$B,'Pre-Harvest Plots_rpt'!$D157,Tree!$F:$F,"L",Tree!$K:$K,"&lt;&gt;"&amp;"Y")))</f>
        <v/>
      </c>
      <c r="K157" s="121" t="str">
        <f>IF($F157="","",SUMIFS(Tree!$S:$S,Tree!$A:$A,'Pre-Harvest Plots_rpt'!$B157,Tree!$B:$B,'Pre-Harvest Plots_rpt'!$D157,Tree!$F:$F,"L",Tree!$K:$K,"&lt;&gt;"&amp;"Y"))</f>
        <v/>
      </c>
      <c r="L157" s="154" t="str">
        <f t="shared" si="10"/>
        <v/>
      </c>
      <c r="M157" s="135"/>
      <c r="N157" s="192" t="str">
        <f>IF(B157="","",SUMIFS(Tree!$AM:$AM,Tree!$A:$A,'Pre-Harvest Plots_rpt'!$B157,Tree!$B:$B,'Pre-Harvest Plots_rpt'!$D157,Tree!$F:$F,"L",Tree!$K:$K,"&lt;&gt;"&amp;"Y"))</f>
        <v/>
      </c>
      <c r="O157" s="122" t="str">
        <f>IF(B157="","",SUMIFS(Tree!$AN:$AN,Tree!$A:$A,'Pre-Harvest Plots_rpt'!$B157,Tree!$B:$B,'Pre-Harvest Plots_rpt'!$D157,Tree!$F:$F,"L",Tree!$K:$K,"&lt;&gt;"&amp;"Y"))</f>
        <v/>
      </c>
      <c r="P157" s="122" t="str">
        <f>IF(B157="","",SUMIFS(Tree!$AO:$AO,Tree!$A:$A,'Pre-Harvest Plots_rpt'!$B157,Tree!$B:$B,'Pre-Harvest Plots_rpt'!$D157,Tree!$F:$F,"L",Tree!$K:$K,"&lt;&gt;"&amp;"Y"))</f>
        <v/>
      </c>
      <c r="Q157" s="122" t="str">
        <f>IF(B157="","",SUMIFS(Tree!$AP:$AP,Tree!$A:$A,'Pre-Harvest Plots_rpt'!$B157,Tree!$B:$B,'Pre-Harvest Plots_rpt'!$D157,Tree!$F:$F,"L",Tree!$K:$K,"&lt;&gt;"&amp;"Y"))</f>
        <v/>
      </c>
      <c r="R157" s="123" t="str">
        <f>IF(B157="","",SUMIFS(Tree!$AQ:$AQ,Tree!$A:$A,'Pre-Harvest Plots_rpt'!$B157,Tree!$B:$B,'Pre-Harvest Plots_rpt'!$D157,Tree!$F:$F,"L",Tree!$K:$K,"&lt;&gt;"&amp;"Y"))</f>
        <v/>
      </c>
      <c r="S157" s="122" t="str">
        <f>IF(B157="","",SUMIFS(Tree!$AJ:$AJ,Tree!$A:$A,'Pre-Harvest Plots_rpt'!$B157,Tree!$B:$B,'Pre-Harvest Plots_rpt'!$D157,Tree!$F:$F,"L",Tree!$K:$K,"&lt;&gt;"&amp;"Y")-O157)</f>
        <v/>
      </c>
      <c r="T157" s="122" t="str">
        <f>IF(B157="","",SUMIFS(Tree!$AK:$AK,Tree!$A:$A,'Pre-Harvest Plots_rpt'!$B157,Tree!$B:$B,'Pre-Harvest Plots_rpt'!$D157,Tree!$F:$F,"L",Tree!$K:$K,"&lt;&gt;"&amp;"Y")-P157)</f>
        <v/>
      </c>
      <c r="U157" s="122" t="str">
        <f>IF(B157="","",SUMIFS(Tree!$AL:$AL,Tree!$A:$A,'Pre-Harvest Plots_rpt'!$B157,Tree!$B:$B,'Pre-Harvest Plots_rpt'!$D157,Tree!$F:$F,"L",Tree!$K:$K,"&lt;&gt;"&amp;"Y")-Q157)</f>
        <v/>
      </c>
      <c r="V157" s="123" t="str">
        <f>IF(B157="","",ROUND(SUMIFS(Tree!$AE:$AE,Tree!$A:$A,'Pre-Harvest Plots_rpt'!$B157,Tree!$B:$B,'Pre-Harvest Plots_rpt'!$D157,Tree!$F:$F,"L",Tree!$K:$K,"&lt;&gt;"&amp;"Y")-R157,1))</f>
        <v/>
      </c>
      <c r="W157" s="124" t="str">
        <f>IF(B157="","",SUMIFS(Tree!$AY:$AY,Tree!$A:$A,'Pre-Harvest Plots_rpt'!$B157,Tree!$B:$B,'Pre-Harvest Plots_rpt'!$D157,Tree!$F:$F,"L",Tree!$K:$K,"&lt;&gt;"&amp;"Y")/1000)</f>
        <v/>
      </c>
      <c r="X157" s="158" t="str">
        <f>IF(B157="","",ROUND((SUMIFS(Tree!$AW:$AW,Tree!$A:$A,'Pre-Harvest Plots_rpt'!$B157,Tree!$B:$B,'Pre-Harvest Plots_rpt'!$D157,Tree!$F:$F,"L",Tree!$K:$K,"&lt;&gt;"&amp;"Y")/1000)-W157,1))</f>
        <v/>
      </c>
      <c r="Y157" s="135"/>
      <c r="Z157" s="161" t="str">
        <f>IF(IF(B157="","",SUMIFS(Tree!$O:$O,Tree!$A:$A,'Pre-Harvest Plots_rpt'!$B157,Tree!$B:$B,'Pre-Harvest Plots_rpt'!$D157,Tree!$F:$F,"D",Tree!$K:$K,"&lt;&gt;"&amp;"Y"))=0,"",IF(B157="","",SUMIFS(Tree!$O:$O,Tree!$A:$A,'Pre-Harvest Plots_rpt'!$B157,Tree!$B:$B,'Pre-Harvest Plots_rpt'!$D157,Tree!$F:$F,"D",Tree!$K:$K,"&lt;&gt;"&amp;"Y")))</f>
        <v/>
      </c>
      <c r="AA157" s="125" t="str">
        <f t="shared" si="11"/>
        <v/>
      </c>
      <c r="AB157" s="125" t="str">
        <f>IF(Z157="","",SUMIFS(Tree!$R:$R,Tree!$A:$A,'Pre-Harvest Plots_rpt'!$B157,Tree!$B:$B,'Pre-Harvest Plots_rpt'!$D157,Tree!$F:$F,"D",Tree!$K:$K,"&lt;&gt;"&amp;"Y"))</f>
        <v/>
      </c>
      <c r="AC157" s="126" t="str">
        <f>IF(Z157="","",SUMIFS(Tree!$AM:$AM,Tree!$A:$A,'Pre-Harvest Plots_rpt'!$B157,Tree!$B:$B,'Pre-Harvest Plots_rpt'!$D157,Tree!$F:$F,"D",Tree!$K:$K,"&lt;&gt;"&amp;"Y"))</f>
        <v/>
      </c>
      <c r="AD157" s="162" t="str">
        <f>IF(Z157="","",SUMIFS(Tree!$AW:$AW,Tree!$A:$A,'Pre-Harvest Plots_rpt'!$B157,Tree!$B:$B,'Pre-Harvest Plots_rpt'!$D157,Tree!$F:$F,"D",Tree!$K:$K,"&lt;&gt;"&amp;"Y")/1000)</f>
        <v/>
      </c>
      <c r="AE157" s="47"/>
      <c r="AF157" s="18"/>
      <c r="AG157" s="18"/>
      <c r="AH157" s="18"/>
    </row>
    <row r="158" spans="1:34" ht="12.75" customHeight="1" x14ac:dyDescent="0.25">
      <c r="A158" s="48">
        <v>155</v>
      </c>
      <c r="B158" s="171" t="str">
        <f>IF(A158&lt;=SUM(Stand!$H$3:$H$29),VLOOKUP(A158,Stand!$A$3:$C$29,3,TRUE),"")</f>
        <v/>
      </c>
      <c r="C158" s="172" t="str">
        <f t="shared" si="8"/>
        <v/>
      </c>
      <c r="D158" s="173" t="str">
        <f>IF(B158="","",VLOOKUP(B158&amp;C158,Plot!$B$2:$D$199,3,FALSE))</f>
        <v/>
      </c>
      <c r="E158" s="130"/>
      <c r="F158" s="152" t="str">
        <f>IF(B158="","",SUMIFS(Tree!$O:$O,Tree!$A:$A,'Pre-Harvest Plots_rpt'!$B158,Tree!$B:$B,'Pre-Harvest Plots_rpt'!$D158,Tree!$F:$F,"L",Tree!$K:$K,"&lt;&gt;"&amp;"Y"))</f>
        <v/>
      </c>
      <c r="G158" s="153" t="str">
        <f>IFERROR(IF(D158="","",SUMIFS(Tree!$P:$P,Tree!$A:$A,'Pre-Harvest Plots_rpt'!$B158,Tree!$B:$B,'Pre-Harvest Plots_rpt'!$D158,Tree!$K:$K,"&lt;&gt;"&amp;"Y")/$F158),"")</f>
        <v/>
      </c>
      <c r="H158" s="122" t="str">
        <f t="shared" si="9"/>
        <v/>
      </c>
      <c r="I158" s="121" t="str">
        <f>IF(OR($F158=0,$F158=""),"",SUMIFS(Tree!$R:$R,Tree!$A:$A,'Pre-Harvest Plots_rpt'!$B158,Tree!$B:$B,'Pre-Harvest Plots_rpt'!$D158,Tree!$F:$F,"L",Tree!$K:$K,"&lt;&gt;"&amp;"Y"))</f>
        <v/>
      </c>
      <c r="J158" s="121" t="str">
        <f>IF(OR($F158=0,$F158=""),"",IF(SUMIFS(Tree!$W:$W,Tree!$A:$A,'Pre-Harvest Plots_rpt'!$B158,Tree!$B:$B,'Pre-Harvest Plots_rpt'!$D158,Tree!$F:$F,"L",Tree!$K:$K,"&lt;&gt;"&amp;"Y")=0,0,AVERAGEIFS(Tree!$W:$W,Tree!$A:$A,'Pre-Harvest Plots_rpt'!$B158,Tree!$B:$B,'Pre-Harvest Plots_rpt'!$D158,Tree!$F:$F,"L",Tree!$K:$K,"&lt;&gt;"&amp;"Y")))</f>
        <v/>
      </c>
      <c r="K158" s="121" t="str">
        <f>IF($F158="","",SUMIFS(Tree!$S:$S,Tree!$A:$A,'Pre-Harvest Plots_rpt'!$B158,Tree!$B:$B,'Pre-Harvest Plots_rpt'!$D158,Tree!$F:$F,"L",Tree!$K:$K,"&lt;&gt;"&amp;"Y"))</f>
        <v/>
      </c>
      <c r="L158" s="154" t="str">
        <f t="shared" si="10"/>
        <v/>
      </c>
      <c r="M158" s="135"/>
      <c r="N158" s="192" t="str">
        <f>IF(B158="","",SUMIFS(Tree!$AM:$AM,Tree!$A:$A,'Pre-Harvest Plots_rpt'!$B158,Tree!$B:$B,'Pre-Harvest Plots_rpt'!$D158,Tree!$F:$F,"L",Tree!$K:$K,"&lt;&gt;"&amp;"Y"))</f>
        <v/>
      </c>
      <c r="O158" s="122" t="str">
        <f>IF(B158="","",SUMIFS(Tree!$AN:$AN,Tree!$A:$A,'Pre-Harvest Plots_rpt'!$B158,Tree!$B:$B,'Pre-Harvest Plots_rpt'!$D158,Tree!$F:$F,"L",Tree!$K:$K,"&lt;&gt;"&amp;"Y"))</f>
        <v/>
      </c>
      <c r="P158" s="122" t="str">
        <f>IF(B158="","",SUMIFS(Tree!$AO:$AO,Tree!$A:$A,'Pre-Harvest Plots_rpt'!$B158,Tree!$B:$B,'Pre-Harvest Plots_rpt'!$D158,Tree!$F:$F,"L",Tree!$K:$K,"&lt;&gt;"&amp;"Y"))</f>
        <v/>
      </c>
      <c r="Q158" s="122" t="str">
        <f>IF(B158="","",SUMIFS(Tree!$AP:$AP,Tree!$A:$A,'Pre-Harvest Plots_rpt'!$B158,Tree!$B:$B,'Pre-Harvest Plots_rpt'!$D158,Tree!$F:$F,"L",Tree!$K:$K,"&lt;&gt;"&amp;"Y"))</f>
        <v/>
      </c>
      <c r="R158" s="123" t="str">
        <f>IF(B158="","",SUMIFS(Tree!$AQ:$AQ,Tree!$A:$A,'Pre-Harvest Plots_rpt'!$B158,Tree!$B:$B,'Pre-Harvest Plots_rpt'!$D158,Tree!$F:$F,"L",Tree!$K:$K,"&lt;&gt;"&amp;"Y"))</f>
        <v/>
      </c>
      <c r="S158" s="122" t="str">
        <f>IF(B158="","",SUMIFS(Tree!$AJ:$AJ,Tree!$A:$A,'Pre-Harvest Plots_rpt'!$B158,Tree!$B:$B,'Pre-Harvest Plots_rpt'!$D158,Tree!$F:$F,"L",Tree!$K:$K,"&lt;&gt;"&amp;"Y")-O158)</f>
        <v/>
      </c>
      <c r="T158" s="122" t="str">
        <f>IF(B158="","",SUMIFS(Tree!$AK:$AK,Tree!$A:$A,'Pre-Harvest Plots_rpt'!$B158,Tree!$B:$B,'Pre-Harvest Plots_rpt'!$D158,Tree!$F:$F,"L",Tree!$K:$K,"&lt;&gt;"&amp;"Y")-P158)</f>
        <v/>
      </c>
      <c r="U158" s="122" t="str">
        <f>IF(B158="","",SUMIFS(Tree!$AL:$AL,Tree!$A:$A,'Pre-Harvest Plots_rpt'!$B158,Tree!$B:$B,'Pre-Harvest Plots_rpt'!$D158,Tree!$F:$F,"L",Tree!$K:$K,"&lt;&gt;"&amp;"Y")-Q158)</f>
        <v/>
      </c>
      <c r="V158" s="123" t="str">
        <f>IF(B158="","",ROUND(SUMIFS(Tree!$AE:$AE,Tree!$A:$A,'Pre-Harvest Plots_rpt'!$B158,Tree!$B:$B,'Pre-Harvest Plots_rpt'!$D158,Tree!$F:$F,"L",Tree!$K:$K,"&lt;&gt;"&amp;"Y")-R158,1))</f>
        <v/>
      </c>
      <c r="W158" s="124" t="str">
        <f>IF(B158="","",SUMIFS(Tree!$AY:$AY,Tree!$A:$A,'Pre-Harvest Plots_rpt'!$B158,Tree!$B:$B,'Pre-Harvest Plots_rpt'!$D158,Tree!$F:$F,"L",Tree!$K:$K,"&lt;&gt;"&amp;"Y")/1000)</f>
        <v/>
      </c>
      <c r="X158" s="158" t="str">
        <f>IF(B158="","",ROUND((SUMIFS(Tree!$AW:$AW,Tree!$A:$A,'Pre-Harvest Plots_rpt'!$B158,Tree!$B:$B,'Pre-Harvest Plots_rpt'!$D158,Tree!$F:$F,"L",Tree!$K:$K,"&lt;&gt;"&amp;"Y")/1000)-W158,1))</f>
        <v/>
      </c>
      <c r="Y158" s="135"/>
      <c r="Z158" s="161" t="str">
        <f>IF(IF(B158="","",SUMIFS(Tree!$O:$O,Tree!$A:$A,'Pre-Harvest Plots_rpt'!$B158,Tree!$B:$B,'Pre-Harvest Plots_rpt'!$D158,Tree!$F:$F,"D",Tree!$K:$K,"&lt;&gt;"&amp;"Y"))=0,"",IF(B158="","",SUMIFS(Tree!$O:$O,Tree!$A:$A,'Pre-Harvest Plots_rpt'!$B158,Tree!$B:$B,'Pre-Harvest Plots_rpt'!$D158,Tree!$F:$F,"D",Tree!$K:$K,"&lt;&gt;"&amp;"Y")))</f>
        <v/>
      </c>
      <c r="AA158" s="125" t="str">
        <f t="shared" si="11"/>
        <v/>
      </c>
      <c r="AB158" s="125" t="str">
        <f>IF(Z158="","",SUMIFS(Tree!$R:$R,Tree!$A:$A,'Pre-Harvest Plots_rpt'!$B158,Tree!$B:$B,'Pre-Harvest Plots_rpt'!$D158,Tree!$F:$F,"D",Tree!$K:$K,"&lt;&gt;"&amp;"Y"))</f>
        <v/>
      </c>
      <c r="AC158" s="126" t="str">
        <f>IF(Z158="","",SUMIFS(Tree!$AM:$AM,Tree!$A:$A,'Pre-Harvest Plots_rpt'!$B158,Tree!$B:$B,'Pre-Harvest Plots_rpt'!$D158,Tree!$F:$F,"D",Tree!$K:$K,"&lt;&gt;"&amp;"Y"))</f>
        <v/>
      </c>
      <c r="AD158" s="162" t="str">
        <f>IF(Z158="","",SUMIFS(Tree!$AW:$AW,Tree!$A:$A,'Pre-Harvest Plots_rpt'!$B158,Tree!$B:$B,'Pre-Harvest Plots_rpt'!$D158,Tree!$F:$F,"D",Tree!$K:$K,"&lt;&gt;"&amp;"Y")/1000)</f>
        <v/>
      </c>
      <c r="AE158" s="47"/>
      <c r="AF158" s="18"/>
      <c r="AG158" s="18"/>
      <c r="AH158" s="18"/>
    </row>
    <row r="159" spans="1:34" ht="12.75" customHeight="1" x14ac:dyDescent="0.25">
      <c r="A159" s="48">
        <v>156</v>
      </c>
      <c r="B159" s="171" t="str">
        <f>IF(A159&lt;=SUM(Stand!$H$3:$H$29),VLOOKUP(A159,Stand!$A$3:$C$29,3,TRUE),"")</f>
        <v/>
      </c>
      <c r="C159" s="172" t="str">
        <f t="shared" si="8"/>
        <v/>
      </c>
      <c r="D159" s="173" t="str">
        <f>IF(B159="","",VLOOKUP(B159&amp;C159,Plot!$B$2:$D$199,3,FALSE))</f>
        <v/>
      </c>
      <c r="E159" s="130"/>
      <c r="F159" s="152" t="str">
        <f>IF(B159="","",SUMIFS(Tree!$O:$O,Tree!$A:$A,'Pre-Harvest Plots_rpt'!$B159,Tree!$B:$B,'Pre-Harvest Plots_rpt'!$D159,Tree!$F:$F,"L",Tree!$K:$K,"&lt;&gt;"&amp;"Y"))</f>
        <v/>
      </c>
      <c r="G159" s="153" t="str">
        <f>IFERROR(IF(D159="","",SUMIFS(Tree!$P:$P,Tree!$A:$A,'Pre-Harvest Plots_rpt'!$B159,Tree!$B:$B,'Pre-Harvest Plots_rpt'!$D159,Tree!$K:$K,"&lt;&gt;"&amp;"Y")/$F159),"")</f>
        <v/>
      </c>
      <c r="H159" s="122" t="str">
        <f t="shared" si="9"/>
        <v/>
      </c>
      <c r="I159" s="121" t="str">
        <f>IF(OR($F159=0,$F159=""),"",SUMIFS(Tree!$R:$R,Tree!$A:$A,'Pre-Harvest Plots_rpt'!$B159,Tree!$B:$B,'Pre-Harvest Plots_rpt'!$D159,Tree!$F:$F,"L",Tree!$K:$K,"&lt;&gt;"&amp;"Y"))</f>
        <v/>
      </c>
      <c r="J159" s="121" t="str">
        <f>IF(OR($F159=0,$F159=""),"",IF(SUMIFS(Tree!$W:$W,Tree!$A:$A,'Pre-Harvest Plots_rpt'!$B159,Tree!$B:$B,'Pre-Harvest Plots_rpt'!$D159,Tree!$F:$F,"L",Tree!$K:$K,"&lt;&gt;"&amp;"Y")=0,0,AVERAGEIFS(Tree!$W:$W,Tree!$A:$A,'Pre-Harvest Plots_rpt'!$B159,Tree!$B:$B,'Pre-Harvest Plots_rpt'!$D159,Tree!$F:$F,"L",Tree!$K:$K,"&lt;&gt;"&amp;"Y")))</f>
        <v/>
      </c>
      <c r="K159" s="121" t="str">
        <f>IF($F159="","",SUMIFS(Tree!$S:$S,Tree!$A:$A,'Pre-Harvest Plots_rpt'!$B159,Tree!$B:$B,'Pre-Harvest Plots_rpt'!$D159,Tree!$F:$F,"L",Tree!$K:$K,"&lt;&gt;"&amp;"Y"))</f>
        <v/>
      </c>
      <c r="L159" s="154" t="str">
        <f t="shared" si="10"/>
        <v/>
      </c>
      <c r="M159" s="135"/>
      <c r="N159" s="192" t="str">
        <f>IF(B159="","",SUMIFS(Tree!$AM:$AM,Tree!$A:$A,'Pre-Harvest Plots_rpt'!$B159,Tree!$B:$B,'Pre-Harvest Plots_rpt'!$D159,Tree!$F:$F,"L",Tree!$K:$K,"&lt;&gt;"&amp;"Y"))</f>
        <v/>
      </c>
      <c r="O159" s="122" t="str">
        <f>IF(B159="","",SUMIFS(Tree!$AN:$AN,Tree!$A:$A,'Pre-Harvest Plots_rpt'!$B159,Tree!$B:$B,'Pre-Harvest Plots_rpt'!$D159,Tree!$F:$F,"L",Tree!$K:$K,"&lt;&gt;"&amp;"Y"))</f>
        <v/>
      </c>
      <c r="P159" s="122" t="str">
        <f>IF(B159="","",SUMIFS(Tree!$AO:$AO,Tree!$A:$A,'Pre-Harvest Plots_rpt'!$B159,Tree!$B:$B,'Pre-Harvest Plots_rpt'!$D159,Tree!$F:$F,"L",Tree!$K:$K,"&lt;&gt;"&amp;"Y"))</f>
        <v/>
      </c>
      <c r="Q159" s="122" t="str">
        <f>IF(B159="","",SUMIFS(Tree!$AP:$AP,Tree!$A:$A,'Pre-Harvest Plots_rpt'!$B159,Tree!$B:$B,'Pre-Harvest Plots_rpt'!$D159,Tree!$F:$F,"L",Tree!$K:$K,"&lt;&gt;"&amp;"Y"))</f>
        <v/>
      </c>
      <c r="R159" s="123" t="str">
        <f>IF(B159="","",SUMIFS(Tree!$AQ:$AQ,Tree!$A:$A,'Pre-Harvest Plots_rpt'!$B159,Tree!$B:$B,'Pre-Harvest Plots_rpt'!$D159,Tree!$F:$F,"L",Tree!$K:$K,"&lt;&gt;"&amp;"Y"))</f>
        <v/>
      </c>
      <c r="S159" s="122" t="str">
        <f>IF(B159="","",SUMIFS(Tree!$AJ:$AJ,Tree!$A:$A,'Pre-Harvest Plots_rpt'!$B159,Tree!$B:$B,'Pre-Harvest Plots_rpt'!$D159,Tree!$F:$F,"L",Tree!$K:$K,"&lt;&gt;"&amp;"Y")-O159)</f>
        <v/>
      </c>
      <c r="T159" s="122" t="str">
        <f>IF(B159="","",SUMIFS(Tree!$AK:$AK,Tree!$A:$A,'Pre-Harvest Plots_rpt'!$B159,Tree!$B:$B,'Pre-Harvest Plots_rpt'!$D159,Tree!$F:$F,"L",Tree!$K:$K,"&lt;&gt;"&amp;"Y")-P159)</f>
        <v/>
      </c>
      <c r="U159" s="122" t="str">
        <f>IF(B159="","",SUMIFS(Tree!$AL:$AL,Tree!$A:$A,'Pre-Harvest Plots_rpt'!$B159,Tree!$B:$B,'Pre-Harvest Plots_rpt'!$D159,Tree!$F:$F,"L",Tree!$K:$K,"&lt;&gt;"&amp;"Y")-Q159)</f>
        <v/>
      </c>
      <c r="V159" s="123" t="str">
        <f>IF(B159="","",ROUND(SUMIFS(Tree!$AE:$AE,Tree!$A:$A,'Pre-Harvest Plots_rpt'!$B159,Tree!$B:$B,'Pre-Harvest Plots_rpt'!$D159,Tree!$F:$F,"L",Tree!$K:$K,"&lt;&gt;"&amp;"Y")-R159,1))</f>
        <v/>
      </c>
      <c r="W159" s="124" t="str">
        <f>IF(B159="","",SUMIFS(Tree!$AY:$AY,Tree!$A:$A,'Pre-Harvest Plots_rpt'!$B159,Tree!$B:$B,'Pre-Harvest Plots_rpt'!$D159,Tree!$F:$F,"L",Tree!$K:$K,"&lt;&gt;"&amp;"Y")/1000)</f>
        <v/>
      </c>
      <c r="X159" s="158" t="str">
        <f>IF(B159="","",ROUND((SUMIFS(Tree!$AW:$AW,Tree!$A:$A,'Pre-Harvest Plots_rpt'!$B159,Tree!$B:$B,'Pre-Harvest Plots_rpt'!$D159,Tree!$F:$F,"L",Tree!$K:$K,"&lt;&gt;"&amp;"Y")/1000)-W159,1))</f>
        <v/>
      </c>
      <c r="Y159" s="135"/>
      <c r="Z159" s="161" t="str">
        <f>IF(IF(B159="","",SUMIFS(Tree!$O:$O,Tree!$A:$A,'Pre-Harvest Plots_rpt'!$B159,Tree!$B:$B,'Pre-Harvest Plots_rpt'!$D159,Tree!$F:$F,"D",Tree!$K:$K,"&lt;&gt;"&amp;"Y"))=0,"",IF(B159="","",SUMIFS(Tree!$O:$O,Tree!$A:$A,'Pre-Harvest Plots_rpt'!$B159,Tree!$B:$B,'Pre-Harvest Plots_rpt'!$D159,Tree!$F:$F,"D",Tree!$K:$K,"&lt;&gt;"&amp;"Y")))</f>
        <v/>
      </c>
      <c r="AA159" s="125" t="str">
        <f t="shared" si="11"/>
        <v/>
      </c>
      <c r="AB159" s="125" t="str">
        <f>IF(Z159="","",SUMIFS(Tree!$R:$R,Tree!$A:$A,'Pre-Harvest Plots_rpt'!$B159,Tree!$B:$B,'Pre-Harvest Plots_rpt'!$D159,Tree!$F:$F,"D",Tree!$K:$K,"&lt;&gt;"&amp;"Y"))</f>
        <v/>
      </c>
      <c r="AC159" s="126" t="str">
        <f>IF(Z159="","",SUMIFS(Tree!$AM:$AM,Tree!$A:$A,'Pre-Harvest Plots_rpt'!$B159,Tree!$B:$B,'Pre-Harvest Plots_rpt'!$D159,Tree!$F:$F,"D",Tree!$K:$K,"&lt;&gt;"&amp;"Y"))</f>
        <v/>
      </c>
      <c r="AD159" s="162" t="str">
        <f>IF(Z159="","",SUMIFS(Tree!$AW:$AW,Tree!$A:$A,'Pre-Harvest Plots_rpt'!$B159,Tree!$B:$B,'Pre-Harvest Plots_rpt'!$D159,Tree!$F:$F,"D",Tree!$K:$K,"&lt;&gt;"&amp;"Y")/1000)</f>
        <v/>
      </c>
      <c r="AE159" s="47"/>
      <c r="AF159" s="18"/>
      <c r="AG159" s="18"/>
      <c r="AH159" s="18"/>
    </row>
    <row r="160" spans="1:34" ht="12.75" customHeight="1" x14ac:dyDescent="0.25">
      <c r="A160" s="48">
        <v>157</v>
      </c>
      <c r="B160" s="171" t="str">
        <f>IF(A160&lt;=SUM(Stand!$H$3:$H$29),VLOOKUP(A160,Stand!$A$3:$C$29,3,TRUE),"")</f>
        <v/>
      </c>
      <c r="C160" s="172" t="str">
        <f t="shared" si="8"/>
        <v/>
      </c>
      <c r="D160" s="173" t="str">
        <f>IF(B160="","",VLOOKUP(B160&amp;C160,Plot!$B$2:$D$199,3,FALSE))</f>
        <v/>
      </c>
      <c r="E160" s="130"/>
      <c r="F160" s="152" t="str">
        <f>IF(B160="","",SUMIFS(Tree!$O:$O,Tree!$A:$A,'Pre-Harvest Plots_rpt'!$B160,Tree!$B:$B,'Pre-Harvest Plots_rpt'!$D160,Tree!$F:$F,"L",Tree!$K:$K,"&lt;&gt;"&amp;"Y"))</f>
        <v/>
      </c>
      <c r="G160" s="153" t="str">
        <f>IFERROR(IF(D160="","",SUMIFS(Tree!$P:$P,Tree!$A:$A,'Pre-Harvest Plots_rpt'!$B160,Tree!$B:$B,'Pre-Harvest Plots_rpt'!$D160,Tree!$K:$K,"&lt;&gt;"&amp;"Y")/$F160),"")</f>
        <v/>
      </c>
      <c r="H160" s="122" t="str">
        <f t="shared" si="9"/>
        <v/>
      </c>
      <c r="I160" s="121" t="str">
        <f>IF(OR($F160=0,$F160=""),"",SUMIFS(Tree!$R:$R,Tree!$A:$A,'Pre-Harvest Plots_rpt'!$B160,Tree!$B:$B,'Pre-Harvest Plots_rpt'!$D160,Tree!$F:$F,"L",Tree!$K:$K,"&lt;&gt;"&amp;"Y"))</f>
        <v/>
      </c>
      <c r="J160" s="121" t="str">
        <f>IF(OR($F160=0,$F160=""),"",IF(SUMIFS(Tree!$W:$W,Tree!$A:$A,'Pre-Harvest Plots_rpt'!$B160,Tree!$B:$B,'Pre-Harvest Plots_rpt'!$D160,Tree!$F:$F,"L",Tree!$K:$K,"&lt;&gt;"&amp;"Y")=0,0,AVERAGEIFS(Tree!$W:$W,Tree!$A:$A,'Pre-Harvest Plots_rpt'!$B160,Tree!$B:$B,'Pre-Harvest Plots_rpt'!$D160,Tree!$F:$F,"L",Tree!$K:$K,"&lt;&gt;"&amp;"Y")))</f>
        <v/>
      </c>
      <c r="K160" s="121" t="str">
        <f>IF($F160="","",SUMIFS(Tree!$S:$S,Tree!$A:$A,'Pre-Harvest Plots_rpt'!$B160,Tree!$B:$B,'Pre-Harvest Plots_rpt'!$D160,Tree!$F:$F,"L",Tree!$K:$K,"&lt;&gt;"&amp;"Y"))</f>
        <v/>
      </c>
      <c r="L160" s="154" t="str">
        <f t="shared" si="10"/>
        <v/>
      </c>
      <c r="M160" s="135"/>
      <c r="N160" s="192" t="str">
        <f>IF(B160="","",SUMIFS(Tree!$AM:$AM,Tree!$A:$A,'Pre-Harvest Plots_rpt'!$B160,Tree!$B:$B,'Pre-Harvest Plots_rpt'!$D160,Tree!$F:$F,"L",Tree!$K:$K,"&lt;&gt;"&amp;"Y"))</f>
        <v/>
      </c>
      <c r="O160" s="122" t="str">
        <f>IF(B160="","",SUMIFS(Tree!$AN:$AN,Tree!$A:$A,'Pre-Harvest Plots_rpt'!$B160,Tree!$B:$B,'Pre-Harvest Plots_rpt'!$D160,Tree!$F:$F,"L",Tree!$K:$K,"&lt;&gt;"&amp;"Y"))</f>
        <v/>
      </c>
      <c r="P160" s="122" t="str">
        <f>IF(B160="","",SUMIFS(Tree!$AO:$AO,Tree!$A:$A,'Pre-Harvest Plots_rpt'!$B160,Tree!$B:$B,'Pre-Harvest Plots_rpt'!$D160,Tree!$F:$F,"L",Tree!$K:$K,"&lt;&gt;"&amp;"Y"))</f>
        <v/>
      </c>
      <c r="Q160" s="122" t="str">
        <f>IF(B160="","",SUMIFS(Tree!$AP:$AP,Tree!$A:$A,'Pre-Harvest Plots_rpt'!$B160,Tree!$B:$B,'Pre-Harvest Plots_rpt'!$D160,Tree!$F:$F,"L",Tree!$K:$K,"&lt;&gt;"&amp;"Y"))</f>
        <v/>
      </c>
      <c r="R160" s="123" t="str">
        <f>IF(B160="","",SUMIFS(Tree!$AQ:$AQ,Tree!$A:$A,'Pre-Harvest Plots_rpt'!$B160,Tree!$B:$B,'Pre-Harvest Plots_rpt'!$D160,Tree!$F:$F,"L",Tree!$K:$K,"&lt;&gt;"&amp;"Y"))</f>
        <v/>
      </c>
      <c r="S160" s="122" t="str">
        <f>IF(B160="","",SUMIFS(Tree!$AJ:$AJ,Tree!$A:$A,'Pre-Harvest Plots_rpt'!$B160,Tree!$B:$B,'Pre-Harvest Plots_rpt'!$D160,Tree!$F:$F,"L",Tree!$K:$K,"&lt;&gt;"&amp;"Y")-O160)</f>
        <v/>
      </c>
      <c r="T160" s="122" t="str">
        <f>IF(B160="","",SUMIFS(Tree!$AK:$AK,Tree!$A:$A,'Pre-Harvest Plots_rpt'!$B160,Tree!$B:$B,'Pre-Harvest Plots_rpt'!$D160,Tree!$F:$F,"L",Tree!$K:$K,"&lt;&gt;"&amp;"Y")-P160)</f>
        <v/>
      </c>
      <c r="U160" s="122" t="str">
        <f>IF(B160="","",SUMIFS(Tree!$AL:$AL,Tree!$A:$A,'Pre-Harvest Plots_rpt'!$B160,Tree!$B:$B,'Pre-Harvest Plots_rpt'!$D160,Tree!$F:$F,"L",Tree!$K:$K,"&lt;&gt;"&amp;"Y")-Q160)</f>
        <v/>
      </c>
      <c r="V160" s="123" t="str">
        <f>IF(B160="","",ROUND(SUMIFS(Tree!$AE:$AE,Tree!$A:$A,'Pre-Harvest Plots_rpt'!$B160,Tree!$B:$B,'Pre-Harvest Plots_rpt'!$D160,Tree!$F:$F,"L",Tree!$K:$K,"&lt;&gt;"&amp;"Y")-R160,1))</f>
        <v/>
      </c>
      <c r="W160" s="124" t="str">
        <f>IF(B160="","",SUMIFS(Tree!$AY:$AY,Tree!$A:$A,'Pre-Harvest Plots_rpt'!$B160,Tree!$B:$B,'Pre-Harvest Plots_rpt'!$D160,Tree!$F:$F,"L",Tree!$K:$K,"&lt;&gt;"&amp;"Y")/1000)</f>
        <v/>
      </c>
      <c r="X160" s="158" t="str">
        <f>IF(B160="","",ROUND((SUMIFS(Tree!$AW:$AW,Tree!$A:$A,'Pre-Harvest Plots_rpt'!$B160,Tree!$B:$B,'Pre-Harvest Plots_rpt'!$D160,Tree!$F:$F,"L",Tree!$K:$K,"&lt;&gt;"&amp;"Y")/1000)-W160,1))</f>
        <v/>
      </c>
      <c r="Y160" s="135"/>
      <c r="Z160" s="161" t="str">
        <f>IF(IF(B160="","",SUMIFS(Tree!$O:$O,Tree!$A:$A,'Pre-Harvest Plots_rpt'!$B160,Tree!$B:$B,'Pre-Harvest Plots_rpt'!$D160,Tree!$F:$F,"D",Tree!$K:$K,"&lt;&gt;"&amp;"Y"))=0,"",IF(B160="","",SUMIFS(Tree!$O:$O,Tree!$A:$A,'Pre-Harvest Plots_rpt'!$B160,Tree!$B:$B,'Pre-Harvest Plots_rpt'!$D160,Tree!$F:$F,"D",Tree!$K:$K,"&lt;&gt;"&amp;"Y")))</f>
        <v/>
      </c>
      <c r="AA160" s="125" t="str">
        <f t="shared" si="11"/>
        <v/>
      </c>
      <c r="AB160" s="125" t="str">
        <f>IF(Z160="","",SUMIFS(Tree!$R:$R,Tree!$A:$A,'Pre-Harvest Plots_rpt'!$B160,Tree!$B:$B,'Pre-Harvest Plots_rpt'!$D160,Tree!$F:$F,"D",Tree!$K:$K,"&lt;&gt;"&amp;"Y"))</f>
        <v/>
      </c>
      <c r="AC160" s="126" t="str">
        <f>IF(Z160="","",SUMIFS(Tree!$AM:$AM,Tree!$A:$A,'Pre-Harvest Plots_rpt'!$B160,Tree!$B:$B,'Pre-Harvest Plots_rpt'!$D160,Tree!$F:$F,"D",Tree!$K:$K,"&lt;&gt;"&amp;"Y"))</f>
        <v/>
      </c>
      <c r="AD160" s="162" t="str">
        <f>IF(Z160="","",SUMIFS(Tree!$AW:$AW,Tree!$A:$A,'Pre-Harvest Plots_rpt'!$B160,Tree!$B:$B,'Pre-Harvest Plots_rpt'!$D160,Tree!$F:$F,"D",Tree!$K:$K,"&lt;&gt;"&amp;"Y")/1000)</f>
        <v/>
      </c>
      <c r="AE160" s="47"/>
      <c r="AF160" s="18"/>
      <c r="AG160" s="18"/>
      <c r="AH160" s="18"/>
    </row>
    <row r="161" spans="1:34" ht="12.75" customHeight="1" x14ac:dyDescent="0.25">
      <c r="A161" s="48">
        <v>158</v>
      </c>
      <c r="B161" s="171" t="str">
        <f>IF(A161&lt;=SUM(Stand!$H$3:$H$29),VLOOKUP(A161,Stand!$A$3:$C$29,3,TRUE),"")</f>
        <v/>
      </c>
      <c r="C161" s="172" t="str">
        <f t="shared" si="8"/>
        <v/>
      </c>
      <c r="D161" s="173" t="str">
        <f>IF(B161="","",VLOOKUP(B161&amp;C161,Plot!$B$2:$D$199,3,FALSE))</f>
        <v/>
      </c>
      <c r="E161" s="130"/>
      <c r="F161" s="152" t="str">
        <f>IF(B161="","",SUMIFS(Tree!$O:$O,Tree!$A:$A,'Pre-Harvest Plots_rpt'!$B161,Tree!$B:$B,'Pre-Harvest Plots_rpt'!$D161,Tree!$F:$F,"L",Tree!$K:$K,"&lt;&gt;"&amp;"Y"))</f>
        <v/>
      </c>
      <c r="G161" s="153" t="str">
        <f>IFERROR(IF(D161="","",SUMIFS(Tree!$P:$P,Tree!$A:$A,'Pre-Harvest Plots_rpt'!$B161,Tree!$B:$B,'Pre-Harvest Plots_rpt'!$D161,Tree!$K:$K,"&lt;&gt;"&amp;"Y")/$F161),"")</f>
        <v/>
      </c>
      <c r="H161" s="122" t="str">
        <f t="shared" si="9"/>
        <v/>
      </c>
      <c r="I161" s="121" t="str">
        <f>IF(OR($F161=0,$F161=""),"",SUMIFS(Tree!$R:$R,Tree!$A:$A,'Pre-Harvest Plots_rpt'!$B161,Tree!$B:$B,'Pre-Harvest Plots_rpt'!$D161,Tree!$F:$F,"L",Tree!$K:$K,"&lt;&gt;"&amp;"Y"))</f>
        <v/>
      </c>
      <c r="J161" s="121" t="str">
        <f>IF(OR($F161=0,$F161=""),"",IF(SUMIFS(Tree!$W:$W,Tree!$A:$A,'Pre-Harvest Plots_rpt'!$B161,Tree!$B:$B,'Pre-Harvest Plots_rpt'!$D161,Tree!$F:$F,"L",Tree!$K:$K,"&lt;&gt;"&amp;"Y")=0,0,AVERAGEIFS(Tree!$W:$W,Tree!$A:$A,'Pre-Harvest Plots_rpt'!$B161,Tree!$B:$B,'Pre-Harvest Plots_rpt'!$D161,Tree!$F:$F,"L",Tree!$K:$K,"&lt;&gt;"&amp;"Y")))</f>
        <v/>
      </c>
      <c r="K161" s="121" t="str">
        <f>IF($F161="","",SUMIFS(Tree!$S:$S,Tree!$A:$A,'Pre-Harvest Plots_rpt'!$B161,Tree!$B:$B,'Pre-Harvest Plots_rpt'!$D161,Tree!$F:$F,"L",Tree!$K:$K,"&lt;&gt;"&amp;"Y"))</f>
        <v/>
      </c>
      <c r="L161" s="154" t="str">
        <f t="shared" si="10"/>
        <v/>
      </c>
      <c r="M161" s="135"/>
      <c r="N161" s="192" t="str">
        <f>IF(B161="","",SUMIFS(Tree!$AM:$AM,Tree!$A:$A,'Pre-Harvest Plots_rpt'!$B161,Tree!$B:$B,'Pre-Harvest Plots_rpt'!$D161,Tree!$F:$F,"L",Tree!$K:$K,"&lt;&gt;"&amp;"Y"))</f>
        <v/>
      </c>
      <c r="O161" s="122" t="str">
        <f>IF(B161="","",SUMIFS(Tree!$AN:$AN,Tree!$A:$A,'Pre-Harvest Plots_rpt'!$B161,Tree!$B:$B,'Pre-Harvest Plots_rpt'!$D161,Tree!$F:$F,"L",Tree!$K:$K,"&lt;&gt;"&amp;"Y"))</f>
        <v/>
      </c>
      <c r="P161" s="122" t="str">
        <f>IF(B161="","",SUMIFS(Tree!$AO:$AO,Tree!$A:$A,'Pre-Harvest Plots_rpt'!$B161,Tree!$B:$B,'Pre-Harvest Plots_rpt'!$D161,Tree!$F:$F,"L",Tree!$K:$K,"&lt;&gt;"&amp;"Y"))</f>
        <v/>
      </c>
      <c r="Q161" s="122" t="str">
        <f>IF(B161="","",SUMIFS(Tree!$AP:$AP,Tree!$A:$A,'Pre-Harvest Plots_rpt'!$B161,Tree!$B:$B,'Pre-Harvest Plots_rpt'!$D161,Tree!$F:$F,"L",Tree!$K:$K,"&lt;&gt;"&amp;"Y"))</f>
        <v/>
      </c>
      <c r="R161" s="123" t="str">
        <f>IF(B161="","",SUMIFS(Tree!$AQ:$AQ,Tree!$A:$A,'Pre-Harvest Plots_rpt'!$B161,Tree!$B:$B,'Pre-Harvest Plots_rpt'!$D161,Tree!$F:$F,"L",Tree!$K:$K,"&lt;&gt;"&amp;"Y"))</f>
        <v/>
      </c>
      <c r="S161" s="122" t="str">
        <f>IF(B161="","",SUMIFS(Tree!$AJ:$AJ,Tree!$A:$A,'Pre-Harvest Plots_rpt'!$B161,Tree!$B:$B,'Pre-Harvest Plots_rpt'!$D161,Tree!$F:$F,"L",Tree!$K:$K,"&lt;&gt;"&amp;"Y")-O161)</f>
        <v/>
      </c>
      <c r="T161" s="122" t="str">
        <f>IF(B161="","",SUMIFS(Tree!$AK:$AK,Tree!$A:$A,'Pre-Harvest Plots_rpt'!$B161,Tree!$B:$B,'Pre-Harvest Plots_rpt'!$D161,Tree!$F:$F,"L",Tree!$K:$K,"&lt;&gt;"&amp;"Y")-P161)</f>
        <v/>
      </c>
      <c r="U161" s="122" t="str">
        <f>IF(B161="","",SUMIFS(Tree!$AL:$AL,Tree!$A:$A,'Pre-Harvest Plots_rpt'!$B161,Tree!$B:$B,'Pre-Harvest Plots_rpt'!$D161,Tree!$F:$F,"L",Tree!$K:$K,"&lt;&gt;"&amp;"Y")-Q161)</f>
        <v/>
      </c>
      <c r="V161" s="123" t="str">
        <f>IF(B161="","",ROUND(SUMIFS(Tree!$AE:$AE,Tree!$A:$A,'Pre-Harvest Plots_rpt'!$B161,Tree!$B:$B,'Pre-Harvest Plots_rpt'!$D161,Tree!$F:$F,"L",Tree!$K:$K,"&lt;&gt;"&amp;"Y")-R161,1))</f>
        <v/>
      </c>
      <c r="W161" s="124" t="str">
        <f>IF(B161="","",SUMIFS(Tree!$AY:$AY,Tree!$A:$A,'Pre-Harvest Plots_rpt'!$B161,Tree!$B:$B,'Pre-Harvest Plots_rpt'!$D161,Tree!$F:$F,"L",Tree!$K:$K,"&lt;&gt;"&amp;"Y")/1000)</f>
        <v/>
      </c>
      <c r="X161" s="158" t="str">
        <f>IF(B161="","",ROUND((SUMIFS(Tree!$AW:$AW,Tree!$A:$A,'Pre-Harvest Plots_rpt'!$B161,Tree!$B:$B,'Pre-Harvest Plots_rpt'!$D161,Tree!$F:$F,"L",Tree!$K:$K,"&lt;&gt;"&amp;"Y")/1000)-W161,1))</f>
        <v/>
      </c>
      <c r="Y161" s="135"/>
      <c r="Z161" s="161" t="str">
        <f>IF(IF(B161="","",SUMIFS(Tree!$O:$O,Tree!$A:$A,'Pre-Harvest Plots_rpt'!$B161,Tree!$B:$B,'Pre-Harvest Plots_rpt'!$D161,Tree!$F:$F,"D",Tree!$K:$K,"&lt;&gt;"&amp;"Y"))=0,"",IF(B161="","",SUMIFS(Tree!$O:$O,Tree!$A:$A,'Pre-Harvest Plots_rpt'!$B161,Tree!$B:$B,'Pre-Harvest Plots_rpt'!$D161,Tree!$F:$F,"D",Tree!$K:$K,"&lt;&gt;"&amp;"Y")))</f>
        <v/>
      </c>
      <c r="AA161" s="125" t="str">
        <f t="shared" si="11"/>
        <v/>
      </c>
      <c r="AB161" s="125" t="str">
        <f>IF(Z161="","",SUMIFS(Tree!$R:$R,Tree!$A:$A,'Pre-Harvest Plots_rpt'!$B161,Tree!$B:$B,'Pre-Harvest Plots_rpt'!$D161,Tree!$F:$F,"D",Tree!$K:$K,"&lt;&gt;"&amp;"Y"))</f>
        <v/>
      </c>
      <c r="AC161" s="126" t="str">
        <f>IF(Z161="","",SUMIFS(Tree!$AM:$AM,Tree!$A:$A,'Pre-Harvest Plots_rpt'!$B161,Tree!$B:$B,'Pre-Harvest Plots_rpt'!$D161,Tree!$F:$F,"D",Tree!$K:$K,"&lt;&gt;"&amp;"Y"))</f>
        <v/>
      </c>
      <c r="AD161" s="162" t="str">
        <f>IF(Z161="","",SUMIFS(Tree!$AW:$AW,Tree!$A:$A,'Pre-Harvest Plots_rpt'!$B161,Tree!$B:$B,'Pre-Harvest Plots_rpt'!$D161,Tree!$F:$F,"D",Tree!$K:$K,"&lt;&gt;"&amp;"Y")/1000)</f>
        <v/>
      </c>
      <c r="AE161" s="47"/>
      <c r="AF161" s="18"/>
      <c r="AG161" s="18"/>
      <c r="AH161" s="18"/>
    </row>
    <row r="162" spans="1:34" ht="12.75" customHeight="1" x14ac:dyDescent="0.25">
      <c r="A162" s="48">
        <v>159</v>
      </c>
      <c r="B162" s="171" t="str">
        <f>IF(A162&lt;=SUM(Stand!$H$3:$H$29),VLOOKUP(A162,Stand!$A$3:$C$29,3,TRUE),"")</f>
        <v/>
      </c>
      <c r="C162" s="172" t="str">
        <f t="shared" si="8"/>
        <v/>
      </c>
      <c r="D162" s="173" t="str">
        <f>IF(B162="","",VLOOKUP(B162&amp;C162,Plot!$B$2:$D$199,3,FALSE))</f>
        <v/>
      </c>
      <c r="E162" s="130"/>
      <c r="F162" s="152" t="str">
        <f>IF(B162="","",SUMIFS(Tree!$O:$O,Tree!$A:$A,'Pre-Harvest Plots_rpt'!$B162,Tree!$B:$B,'Pre-Harvest Plots_rpt'!$D162,Tree!$F:$F,"L",Tree!$K:$K,"&lt;&gt;"&amp;"Y"))</f>
        <v/>
      </c>
      <c r="G162" s="153" t="str">
        <f>IFERROR(IF(D162="","",SUMIFS(Tree!$P:$P,Tree!$A:$A,'Pre-Harvest Plots_rpt'!$B162,Tree!$B:$B,'Pre-Harvest Plots_rpt'!$D162,Tree!$K:$K,"&lt;&gt;"&amp;"Y")/$F162),"")</f>
        <v/>
      </c>
      <c r="H162" s="122" t="str">
        <f t="shared" si="9"/>
        <v/>
      </c>
      <c r="I162" s="121" t="str">
        <f>IF(OR($F162=0,$F162=""),"",SUMIFS(Tree!$R:$R,Tree!$A:$A,'Pre-Harvest Plots_rpt'!$B162,Tree!$B:$B,'Pre-Harvest Plots_rpt'!$D162,Tree!$F:$F,"L",Tree!$K:$K,"&lt;&gt;"&amp;"Y"))</f>
        <v/>
      </c>
      <c r="J162" s="121" t="str">
        <f>IF(OR($F162=0,$F162=""),"",IF(SUMIFS(Tree!$W:$W,Tree!$A:$A,'Pre-Harvest Plots_rpt'!$B162,Tree!$B:$B,'Pre-Harvest Plots_rpt'!$D162,Tree!$F:$F,"L",Tree!$K:$K,"&lt;&gt;"&amp;"Y")=0,0,AVERAGEIFS(Tree!$W:$W,Tree!$A:$A,'Pre-Harvest Plots_rpt'!$B162,Tree!$B:$B,'Pre-Harvest Plots_rpt'!$D162,Tree!$F:$F,"L",Tree!$K:$K,"&lt;&gt;"&amp;"Y")))</f>
        <v/>
      </c>
      <c r="K162" s="121" t="str">
        <f>IF($F162="","",SUMIFS(Tree!$S:$S,Tree!$A:$A,'Pre-Harvest Plots_rpt'!$B162,Tree!$B:$B,'Pre-Harvest Plots_rpt'!$D162,Tree!$F:$F,"L",Tree!$K:$K,"&lt;&gt;"&amp;"Y"))</f>
        <v/>
      </c>
      <c r="L162" s="154" t="str">
        <f t="shared" si="10"/>
        <v/>
      </c>
      <c r="M162" s="135"/>
      <c r="N162" s="192" t="str">
        <f>IF(B162="","",SUMIFS(Tree!$AM:$AM,Tree!$A:$A,'Pre-Harvest Plots_rpt'!$B162,Tree!$B:$B,'Pre-Harvest Plots_rpt'!$D162,Tree!$F:$F,"L",Tree!$K:$K,"&lt;&gt;"&amp;"Y"))</f>
        <v/>
      </c>
      <c r="O162" s="122" t="str">
        <f>IF(B162="","",SUMIFS(Tree!$AN:$AN,Tree!$A:$A,'Pre-Harvest Plots_rpt'!$B162,Tree!$B:$B,'Pre-Harvest Plots_rpt'!$D162,Tree!$F:$F,"L",Tree!$K:$K,"&lt;&gt;"&amp;"Y"))</f>
        <v/>
      </c>
      <c r="P162" s="122" t="str">
        <f>IF(B162="","",SUMIFS(Tree!$AO:$AO,Tree!$A:$A,'Pre-Harvest Plots_rpt'!$B162,Tree!$B:$B,'Pre-Harvest Plots_rpt'!$D162,Tree!$F:$F,"L",Tree!$K:$K,"&lt;&gt;"&amp;"Y"))</f>
        <v/>
      </c>
      <c r="Q162" s="122" t="str">
        <f>IF(B162="","",SUMIFS(Tree!$AP:$AP,Tree!$A:$A,'Pre-Harvest Plots_rpt'!$B162,Tree!$B:$B,'Pre-Harvest Plots_rpt'!$D162,Tree!$F:$F,"L",Tree!$K:$K,"&lt;&gt;"&amp;"Y"))</f>
        <v/>
      </c>
      <c r="R162" s="123" t="str">
        <f>IF(B162="","",SUMIFS(Tree!$AQ:$AQ,Tree!$A:$A,'Pre-Harvest Plots_rpt'!$B162,Tree!$B:$B,'Pre-Harvest Plots_rpt'!$D162,Tree!$F:$F,"L",Tree!$K:$K,"&lt;&gt;"&amp;"Y"))</f>
        <v/>
      </c>
      <c r="S162" s="122" t="str">
        <f>IF(B162="","",SUMIFS(Tree!$AJ:$AJ,Tree!$A:$A,'Pre-Harvest Plots_rpt'!$B162,Tree!$B:$B,'Pre-Harvest Plots_rpt'!$D162,Tree!$F:$F,"L",Tree!$K:$K,"&lt;&gt;"&amp;"Y")-O162)</f>
        <v/>
      </c>
      <c r="T162" s="122" t="str">
        <f>IF(B162="","",SUMIFS(Tree!$AK:$AK,Tree!$A:$A,'Pre-Harvest Plots_rpt'!$B162,Tree!$B:$B,'Pre-Harvest Plots_rpt'!$D162,Tree!$F:$F,"L",Tree!$K:$K,"&lt;&gt;"&amp;"Y")-P162)</f>
        <v/>
      </c>
      <c r="U162" s="122" t="str">
        <f>IF(B162="","",SUMIFS(Tree!$AL:$AL,Tree!$A:$A,'Pre-Harvest Plots_rpt'!$B162,Tree!$B:$B,'Pre-Harvest Plots_rpt'!$D162,Tree!$F:$F,"L",Tree!$K:$K,"&lt;&gt;"&amp;"Y")-Q162)</f>
        <v/>
      </c>
      <c r="V162" s="123" t="str">
        <f>IF(B162="","",ROUND(SUMIFS(Tree!$AE:$AE,Tree!$A:$A,'Pre-Harvest Plots_rpt'!$B162,Tree!$B:$B,'Pre-Harvest Plots_rpt'!$D162,Tree!$F:$F,"L",Tree!$K:$K,"&lt;&gt;"&amp;"Y")-R162,1))</f>
        <v/>
      </c>
      <c r="W162" s="124" t="str">
        <f>IF(B162="","",SUMIFS(Tree!$AY:$AY,Tree!$A:$A,'Pre-Harvest Plots_rpt'!$B162,Tree!$B:$B,'Pre-Harvest Plots_rpt'!$D162,Tree!$F:$F,"L",Tree!$K:$K,"&lt;&gt;"&amp;"Y")/1000)</f>
        <v/>
      </c>
      <c r="X162" s="158" t="str">
        <f>IF(B162="","",ROUND((SUMIFS(Tree!$AW:$AW,Tree!$A:$A,'Pre-Harvest Plots_rpt'!$B162,Tree!$B:$B,'Pre-Harvest Plots_rpt'!$D162,Tree!$F:$F,"L",Tree!$K:$K,"&lt;&gt;"&amp;"Y")/1000)-W162,1))</f>
        <v/>
      </c>
      <c r="Y162" s="135"/>
      <c r="Z162" s="161" t="str">
        <f>IF(IF(B162="","",SUMIFS(Tree!$O:$O,Tree!$A:$A,'Pre-Harvest Plots_rpt'!$B162,Tree!$B:$B,'Pre-Harvest Plots_rpt'!$D162,Tree!$F:$F,"D",Tree!$K:$K,"&lt;&gt;"&amp;"Y"))=0,"",IF(B162="","",SUMIFS(Tree!$O:$O,Tree!$A:$A,'Pre-Harvest Plots_rpt'!$B162,Tree!$B:$B,'Pre-Harvest Plots_rpt'!$D162,Tree!$F:$F,"D",Tree!$K:$K,"&lt;&gt;"&amp;"Y")))</f>
        <v/>
      </c>
      <c r="AA162" s="125" t="str">
        <f t="shared" si="11"/>
        <v/>
      </c>
      <c r="AB162" s="125" t="str">
        <f>IF(Z162="","",SUMIFS(Tree!$R:$R,Tree!$A:$A,'Pre-Harvest Plots_rpt'!$B162,Tree!$B:$B,'Pre-Harvest Plots_rpt'!$D162,Tree!$F:$F,"D",Tree!$K:$K,"&lt;&gt;"&amp;"Y"))</f>
        <v/>
      </c>
      <c r="AC162" s="126" t="str">
        <f>IF(Z162="","",SUMIFS(Tree!$AM:$AM,Tree!$A:$A,'Pre-Harvest Plots_rpt'!$B162,Tree!$B:$B,'Pre-Harvest Plots_rpt'!$D162,Tree!$F:$F,"D",Tree!$K:$K,"&lt;&gt;"&amp;"Y"))</f>
        <v/>
      </c>
      <c r="AD162" s="162" t="str">
        <f>IF(Z162="","",SUMIFS(Tree!$AW:$AW,Tree!$A:$A,'Pre-Harvest Plots_rpt'!$B162,Tree!$B:$B,'Pre-Harvest Plots_rpt'!$D162,Tree!$F:$F,"D",Tree!$K:$K,"&lt;&gt;"&amp;"Y")/1000)</f>
        <v/>
      </c>
      <c r="AE162" s="47"/>
      <c r="AF162" s="18"/>
      <c r="AG162" s="18"/>
      <c r="AH162" s="18"/>
    </row>
    <row r="163" spans="1:34" ht="12.75" customHeight="1" x14ac:dyDescent="0.25">
      <c r="A163" s="48">
        <v>160</v>
      </c>
      <c r="B163" s="171" t="str">
        <f>IF(A163&lt;=SUM(Stand!$H$3:$H$29),VLOOKUP(A163,Stand!$A$3:$C$29,3,TRUE),"")</f>
        <v/>
      </c>
      <c r="C163" s="172" t="str">
        <f t="shared" si="8"/>
        <v/>
      </c>
      <c r="D163" s="173" t="str">
        <f>IF(B163="","",VLOOKUP(B163&amp;C163,Plot!$B$2:$D$199,3,FALSE))</f>
        <v/>
      </c>
      <c r="E163" s="130"/>
      <c r="F163" s="152" t="str">
        <f>IF(B163="","",SUMIFS(Tree!$O:$O,Tree!$A:$A,'Pre-Harvest Plots_rpt'!$B163,Tree!$B:$B,'Pre-Harvest Plots_rpt'!$D163,Tree!$F:$F,"L",Tree!$K:$K,"&lt;&gt;"&amp;"Y"))</f>
        <v/>
      </c>
      <c r="G163" s="153" t="str">
        <f>IFERROR(IF(D163="","",SUMIFS(Tree!$P:$P,Tree!$A:$A,'Pre-Harvest Plots_rpt'!$B163,Tree!$B:$B,'Pre-Harvest Plots_rpt'!$D163,Tree!$K:$K,"&lt;&gt;"&amp;"Y")/$F163),"")</f>
        <v/>
      </c>
      <c r="H163" s="122" t="str">
        <f t="shared" si="9"/>
        <v/>
      </c>
      <c r="I163" s="121" t="str">
        <f>IF(OR($F163=0,$F163=""),"",SUMIFS(Tree!$R:$R,Tree!$A:$A,'Pre-Harvest Plots_rpt'!$B163,Tree!$B:$B,'Pre-Harvest Plots_rpt'!$D163,Tree!$F:$F,"L",Tree!$K:$K,"&lt;&gt;"&amp;"Y"))</f>
        <v/>
      </c>
      <c r="J163" s="121" t="str">
        <f>IF(OR($F163=0,$F163=""),"",IF(SUMIFS(Tree!$W:$W,Tree!$A:$A,'Pre-Harvest Plots_rpt'!$B163,Tree!$B:$B,'Pre-Harvest Plots_rpt'!$D163,Tree!$F:$F,"L",Tree!$K:$K,"&lt;&gt;"&amp;"Y")=0,0,AVERAGEIFS(Tree!$W:$W,Tree!$A:$A,'Pre-Harvest Plots_rpt'!$B163,Tree!$B:$B,'Pre-Harvest Plots_rpt'!$D163,Tree!$F:$F,"L",Tree!$K:$K,"&lt;&gt;"&amp;"Y")))</f>
        <v/>
      </c>
      <c r="K163" s="121" t="str">
        <f>IF($F163="","",SUMIFS(Tree!$S:$S,Tree!$A:$A,'Pre-Harvest Plots_rpt'!$B163,Tree!$B:$B,'Pre-Harvest Plots_rpt'!$D163,Tree!$F:$F,"L",Tree!$K:$K,"&lt;&gt;"&amp;"Y"))</f>
        <v/>
      </c>
      <c r="L163" s="154" t="str">
        <f t="shared" si="10"/>
        <v/>
      </c>
      <c r="M163" s="135"/>
      <c r="N163" s="192" t="str">
        <f>IF(B163="","",SUMIFS(Tree!$AM:$AM,Tree!$A:$A,'Pre-Harvest Plots_rpt'!$B163,Tree!$B:$B,'Pre-Harvest Plots_rpt'!$D163,Tree!$F:$F,"L",Tree!$K:$K,"&lt;&gt;"&amp;"Y"))</f>
        <v/>
      </c>
      <c r="O163" s="122" t="str">
        <f>IF(B163="","",SUMIFS(Tree!$AN:$AN,Tree!$A:$A,'Pre-Harvest Plots_rpt'!$B163,Tree!$B:$B,'Pre-Harvest Plots_rpt'!$D163,Tree!$F:$F,"L",Tree!$K:$K,"&lt;&gt;"&amp;"Y"))</f>
        <v/>
      </c>
      <c r="P163" s="122" t="str">
        <f>IF(B163="","",SUMIFS(Tree!$AO:$AO,Tree!$A:$A,'Pre-Harvest Plots_rpt'!$B163,Tree!$B:$B,'Pre-Harvest Plots_rpt'!$D163,Tree!$F:$F,"L",Tree!$K:$K,"&lt;&gt;"&amp;"Y"))</f>
        <v/>
      </c>
      <c r="Q163" s="122" t="str">
        <f>IF(B163="","",SUMIFS(Tree!$AP:$AP,Tree!$A:$A,'Pre-Harvest Plots_rpt'!$B163,Tree!$B:$B,'Pre-Harvest Plots_rpt'!$D163,Tree!$F:$F,"L",Tree!$K:$K,"&lt;&gt;"&amp;"Y"))</f>
        <v/>
      </c>
      <c r="R163" s="123" t="str">
        <f>IF(B163="","",SUMIFS(Tree!$AQ:$AQ,Tree!$A:$A,'Pre-Harvest Plots_rpt'!$B163,Tree!$B:$B,'Pre-Harvest Plots_rpt'!$D163,Tree!$F:$F,"L",Tree!$K:$K,"&lt;&gt;"&amp;"Y"))</f>
        <v/>
      </c>
      <c r="S163" s="122" t="str">
        <f>IF(B163="","",SUMIFS(Tree!$AJ:$AJ,Tree!$A:$A,'Pre-Harvest Plots_rpt'!$B163,Tree!$B:$B,'Pre-Harvest Plots_rpt'!$D163,Tree!$F:$F,"L",Tree!$K:$K,"&lt;&gt;"&amp;"Y")-O163)</f>
        <v/>
      </c>
      <c r="T163" s="122" t="str">
        <f>IF(B163="","",SUMIFS(Tree!$AK:$AK,Tree!$A:$A,'Pre-Harvest Plots_rpt'!$B163,Tree!$B:$B,'Pre-Harvest Plots_rpt'!$D163,Tree!$F:$F,"L",Tree!$K:$K,"&lt;&gt;"&amp;"Y")-P163)</f>
        <v/>
      </c>
      <c r="U163" s="122" t="str">
        <f>IF(B163="","",SUMIFS(Tree!$AL:$AL,Tree!$A:$A,'Pre-Harvest Plots_rpt'!$B163,Tree!$B:$B,'Pre-Harvest Plots_rpt'!$D163,Tree!$F:$F,"L",Tree!$K:$K,"&lt;&gt;"&amp;"Y")-Q163)</f>
        <v/>
      </c>
      <c r="V163" s="123" t="str">
        <f>IF(B163="","",ROUND(SUMIFS(Tree!$AE:$AE,Tree!$A:$A,'Pre-Harvest Plots_rpt'!$B163,Tree!$B:$B,'Pre-Harvest Plots_rpt'!$D163,Tree!$F:$F,"L",Tree!$K:$K,"&lt;&gt;"&amp;"Y")-R163,1))</f>
        <v/>
      </c>
      <c r="W163" s="124" t="str">
        <f>IF(B163="","",SUMIFS(Tree!$AY:$AY,Tree!$A:$A,'Pre-Harvest Plots_rpt'!$B163,Tree!$B:$B,'Pre-Harvest Plots_rpt'!$D163,Tree!$F:$F,"L",Tree!$K:$K,"&lt;&gt;"&amp;"Y")/1000)</f>
        <v/>
      </c>
      <c r="X163" s="158" t="str">
        <f>IF(B163="","",ROUND((SUMIFS(Tree!$AW:$AW,Tree!$A:$A,'Pre-Harvest Plots_rpt'!$B163,Tree!$B:$B,'Pre-Harvest Plots_rpt'!$D163,Tree!$F:$F,"L",Tree!$K:$K,"&lt;&gt;"&amp;"Y")/1000)-W163,1))</f>
        <v/>
      </c>
      <c r="Y163" s="135"/>
      <c r="Z163" s="161" t="str">
        <f>IF(IF(B163="","",SUMIFS(Tree!$O:$O,Tree!$A:$A,'Pre-Harvest Plots_rpt'!$B163,Tree!$B:$B,'Pre-Harvest Plots_rpt'!$D163,Tree!$F:$F,"D",Tree!$K:$K,"&lt;&gt;"&amp;"Y"))=0,"",IF(B163="","",SUMIFS(Tree!$O:$O,Tree!$A:$A,'Pre-Harvest Plots_rpt'!$B163,Tree!$B:$B,'Pre-Harvest Plots_rpt'!$D163,Tree!$F:$F,"D",Tree!$K:$K,"&lt;&gt;"&amp;"Y")))</f>
        <v/>
      </c>
      <c r="AA163" s="125" t="str">
        <f t="shared" si="11"/>
        <v/>
      </c>
      <c r="AB163" s="125" t="str">
        <f>IF(Z163="","",SUMIFS(Tree!$R:$R,Tree!$A:$A,'Pre-Harvest Plots_rpt'!$B163,Tree!$B:$B,'Pre-Harvest Plots_rpt'!$D163,Tree!$F:$F,"D",Tree!$K:$K,"&lt;&gt;"&amp;"Y"))</f>
        <v/>
      </c>
      <c r="AC163" s="126" t="str">
        <f>IF(Z163="","",SUMIFS(Tree!$AM:$AM,Tree!$A:$A,'Pre-Harvest Plots_rpt'!$B163,Tree!$B:$B,'Pre-Harvest Plots_rpt'!$D163,Tree!$F:$F,"D",Tree!$K:$K,"&lt;&gt;"&amp;"Y"))</f>
        <v/>
      </c>
      <c r="AD163" s="162" t="str">
        <f>IF(Z163="","",SUMIFS(Tree!$AW:$AW,Tree!$A:$A,'Pre-Harvest Plots_rpt'!$B163,Tree!$B:$B,'Pre-Harvest Plots_rpt'!$D163,Tree!$F:$F,"D",Tree!$K:$K,"&lt;&gt;"&amp;"Y")/1000)</f>
        <v/>
      </c>
      <c r="AE163" s="47"/>
      <c r="AF163" s="18"/>
      <c r="AG163" s="18"/>
      <c r="AH163" s="18"/>
    </row>
    <row r="164" spans="1:34" ht="12.75" customHeight="1" x14ac:dyDescent="0.25">
      <c r="A164" s="48">
        <v>161</v>
      </c>
      <c r="B164" s="171" t="str">
        <f>IF(A164&lt;=SUM(Stand!$H$3:$H$29),VLOOKUP(A164,Stand!$A$3:$C$29,3,TRUE),"")</f>
        <v/>
      </c>
      <c r="C164" s="172" t="str">
        <f t="shared" si="8"/>
        <v/>
      </c>
      <c r="D164" s="173" t="str">
        <f>IF(B164="","",VLOOKUP(B164&amp;C164,Plot!$B$2:$D$199,3,FALSE))</f>
        <v/>
      </c>
      <c r="E164" s="130"/>
      <c r="F164" s="152" t="str">
        <f>IF(B164="","",SUMIFS(Tree!$O:$O,Tree!$A:$A,'Pre-Harvest Plots_rpt'!$B164,Tree!$B:$B,'Pre-Harvest Plots_rpt'!$D164,Tree!$F:$F,"L",Tree!$K:$K,"&lt;&gt;"&amp;"Y"))</f>
        <v/>
      </c>
      <c r="G164" s="153" t="str">
        <f>IFERROR(IF(D164="","",SUMIFS(Tree!$P:$P,Tree!$A:$A,'Pre-Harvest Plots_rpt'!$B164,Tree!$B:$B,'Pre-Harvest Plots_rpt'!$D164,Tree!$K:$K,"&lt;&gt;"&amp;"Y")/$F164),"")</f>
        <v/>
      </c>
      <c r="H164" s="122" t="str">
        <f t="shared" si="9"/>
        <v/>
      </c>
      <c r="I164" s="121" t="str">
        <f>IF(OR($F164=0,$F164=""),"",SUMIFS(Tree!$R:$R,Tree!$A:$A,'Pre-Harvest Plots_rpt'!$B164,Tree!$B:$B,'Pre-Harvest Plots_rpt'!$D164,Tree!$F:$F,"L",Tree!$K:$K,"&lt;&gt;"&amp;"Y"))</f>
        <v/>
      </c>
      <c r="J164" s="121" t="str">
        <f>IF(OR($F164=0,$F164=""),"",IF(SUMIFS(Tree!$W:$W,Tree!$A:$A,'Pre-Harvest Plots_rpt'!$B164,Tree!$B:$B,'Pre-Harvest Plots_rpt'!$D164,Tree!$F:$F,"L",Tree!$K:$K,"&lt;&gt;"&amp;"Y")=0,0,AVERAGEIFS(Tree!$W:$W,Tree!$A:$A,'Pre-Harvest Plots_rpt'!$B164,Tree!$B:$B,'Pre-Harvest Plots_rpt'!$D164,Tree!$F:$F,"L",Tree!$K:$K,"&lt;&gt;"&amp;"Y")))</f>
        <v/>
      </c>
      <c r="K164" s="121" t="str">
        <f>IF($F164="","",SUMIFS(Tree!$S:$S,Tree!$A:$A,'Pre-Harvest Plots_rpt'!$B164,Tree!$B:$B,'Pre-Harvest Plots_rpt'!$D164,Tree!$F:$F,"L",Tree!$K:$K,"&lt;&gt;"&amp;"Y"))</f>
        <v/>
      </c>
      <c r="L164" s="154" t="str">
        <f t="shared" si="10"/>
        <v/>
      </c>
      <c r="M164" s="135"/>
      <c r="N164" s="192" t="str">
        <f>IF(B164="","",SUMIFS(Tree!$AM:$AM,Tree!$A:$A,'Pre-Harvest Plots_rpt'!$B164,Tree!$B:$B,'Pre-Harvest Plots_rpt'!$D164,Tree!$F:$F,"L",Tree!$K:$K,"&lt;&gt;"&amp;"Y"))</f>
        <v/>
      </c>
      <c r="O164" s="122" t="str">
        <f>IF(B164="","",SUMIFS(Tree!$AN:$AN,Tree!$A:$A,'Pre-Harvest Plots_rpt'!$B164,Tree!$B:$B,'Pre-Harvest Plots_rpt'!$D164,Tree!$F:$F,"L",Tree!$K:$K,"&lt;&gt;"&amp;"Y"))</f>
        <v/>
      </c>
      <c r="P164" s="122" t="str">
        <f>IF(B164="","",SUMIFS(Tree!$AO:$AO,Tree!$A:$A,'Pre-Harvest Plots_rpt'!$B164,Tree!$B:$B,'Pre-Harvest Plots_rpt'!$D164,Tree!$F:$F,"L",Tree!$K:$K,"&lt;&gt;"&amp;"Y"))</f>
        <v/>
      </c>
      <c r="Q164" s="122" t="str">
        <f>IF(B164="","",SUMIFS(Tree!$AP:$AP,Tree!$A:$A,'Pre-Harvest Plots_rpt'!$B164,Tree!$B:$B,'Pre-Harvest Plots_rpt'!$D164,Tree!$F:$F,"L",Tree!$K:$K,"&lt;&gt;"&amp;"Y"))</f>
        <v/>
      </c>
      <c r="R164" s="123" t="str">
        <f>IF(B164="","",SUMIFS(Tree!$AQ:$AQ,Tree!$A:$A,'Pre-Harvest Plots_rpt'!$B164,Tree!$B:$B,'Pre-Harvest Plots_rpt'!$D164,Tree!$F:$F,"L",Tree!$K:$K,"&lt;&gt;"&amp;"Y"))</f>
        <v/>
      </c>
      <c r="S164" s="122" t="str">
        <f>IF(B164="","",SUMIFS(Tree!$AJ:$AJ,Tree!$A:$A,'Pre-Harvest Plots_rpt'!$B164,Tree!$B:$B,'Pre-Harvest Plots_rpt'!$D164,Tree!$F:$F,"L",Tree!$K:$K,"&lt;&gt;"&amp;"Y")-O164)</f>
        <v/>
      </c>
      <c r="T164" s="122" t="str">
        <f>IF(B164="","",SUMIFS(Tree!$AK:$AK,Tree!$A:$A,'Pre-Harvest Plots_rpt'!$B164,Tree!$B:$B,'Pre-Harvest Plots_rpt'!$D164,Tree!$F:$F,"L",Tree!$K:$K,"&lt;&gt;"&amp;"Y")-P164)</f>
        <v/>
      </c>
      <c r="U164" s="122" t="str">
        <f>IF(B164="","",SUMIFS(Tree!$AL:$AL,Tree!$A:$A,'Pre-Harvest Plots_rpt'!$B164,Tree!$B:$B,'Pre-Harvest Plots_rpt'!$D164,Tree!$F:$F,"L",Tree!$K:$K,"&lt;&gt;"&amp;"Y")-Q164)</f>
        <v/>
      </c>
      <c r="V164" s="123" t="str">
        <f>IF(B164="","",ROUND(SUMIFS(Tree!$AE:$AE,Tree!$A:$A,'Pre-Harvest Plots_rpt'!$B164,Tree!$B:$B,'Pre-Harvest Plots_rpt'!$D164,Tree!$F:$F,"L",Tree!$K:$K,"&lt;&gt;"&amp;"Y")-R164,1))</f>
        <v/>
      </c>
      <c r="W164" s="124" t="str">
        <f>IF(B164="","",SUMIFS(Tree!$AY:$AY,Tree!$A:$A,'Pre-Harvest Plots_rpt'!$B164,Tree!$B:$B,'Pre-Harvest Plots_rpt'!$D164,Tree!$F:$F,"L",Tree!$K:$K,"&lt;&gt;"&amp;"Y")/1000)</f>
        <v/>
      </c>
      <c r="X164" s="158" t="str">
        <f>IF(B164="","",ROUND((SUMIFS(Tree!$AW:$AW,Tree!$A:$A,'Pre-Harvest Plots_rpt'!$B164,Tree!$B:$B,'Pre-Harvest Plots_rpt'!$D164,Tree!$F:$F,"L",Tree!$K:$K,"&lt;&gt;"&amp;"Y")/1000)-W164,1))</f>
        <v/>
      </c>
      <c r="Y164" s="135"/>
      <c r="Z164" s="161" t="str">
        <f>IF(IF(B164="","",SUMIFS(Tree!$O:$O,Tree!$A:$A,'Pre-Harvest Plots_rpt'!$B164,Tree!$B:$B,'Pre-Harvest Plots_rpt'!$D164,Tree!$F:$F,"D",Tree!$K:$K,"&lt;&gt;"&amp;"Y"))=0,"",IF(B164="","",SUMIFS(Tree!$O:$O,Tree!$A:$A,'Pre-Harvest Plots_rpt'!$B164,Tree!$B:$B,'Pre-Harvest Plots_rpt'!$D164,Tree!$F:$F,"D",Tree!$K:$K,"&lt;&gt;"&amp;"Y")))</f>
        <v/>
      </c>
      <c r="AA164" s="125" t="str">
        <f t="shared" si="11"/>
        <v/>
      </c>
      <c r="AB164" s="125" t="str">
        <f>IF(Z164="","",SUMIFS(Tree!$R:$R,Tree!$A:$A,'Pre-Harvest Plots_rpt'!$B164,Tree!$B:$B,'Pre-Harvest Plots_rpt'!$D164,Tree!$F:$F,"D",Tree!$K:$K,"&lt;&gt;"&amp;"Y"))</f>
        <v/>
      </c>
      <c r="AC164" s="126" t="str">
        <f>IF(Z164="","",SUMIFS(Tree!$AM:$AM,Tree!$A:$A,'Pre-Harvest Plots_rpt'!$B164,Tree!$B:$B,'Pre-Harvest Plots_rpt'!$D164,Tree!$F:$F,"D",Tree!$K:$K,"&lt;&gt;"&amp;"Y"))</f>
        <v/>
      </c>
      <c r="AD164" s="162" t="str">
        <f>IF(Z164="","",SUMIFS(Tree!$AW:$AW,Tree!$A:$A,'Pre-Harvest Plots_rpt'!$B164,Tree!$B:$B,'Pre-Harvest Plots_rpt'!$D164,Tree!$F:$F,"D",Tree!$K:$K,"&lt;&gt;"&amp;"Y")/1000)</f>
        <v/>
      </c>
      <c r="AE164" s="47"/>
      <c r="AF164" s="18"/>
      <c r="AG164" s="18"/>
      <c r="AH164" s="18"/>
    </row>
    <row r="165" spans="1:34" ht="12.75" customHeight="1" x14ac:dyDescent="0.25">
      <c r="A165" s="48">
        <v>162</v>
      </c>
      <c r="B165" s="171" t="str">
        <f>IF(A165&lt;=SUM(Stand!$H$3:$H$29),VLOOKUP(A165,Stand!$A$3:$C$29,3,TRUE),"")</f>
        <v/>
      </c>
      <c r="C165" s="172" t="str">
        <f t="shared" si="8"/>
        <v/>
      </c>
      <c r="D165" s="173" t="str">
        <f>IF(B165="","",VLOOKUP(B165&amp;C165,Plot!$B$2:$D$199,3,FALSE))</f>
        <v/>
      </c>
      <c r="E165" s="130"/>
      <c r="F165" s="152" t="str">
        <f>IF(B165="","",SUMIFS(Tree!$O:$O,Tree!$A:$A,'Pre-Harvest Plots_rpt'!$B165,Tree!$B:$B,'Pre-Harvest Plots_rpt'!$D165,Tree!$F:$F,"L",Tree!$K:$K,"&lt;&gt;"&amp;"Y"))</f>
        <v/>
      </c>
      <c r="G165" s="153" t="str">
        <f>IFERROR(IF(D165="","",SUMIFS(Tree!$P:$P,Tree!$A:$A,'Pre-Harvest Plots_rpt'!$B165,Tree!$B:$B,'Pre-Harvest Plots_rpt'!$D165,Tree!$K:$K,"&lt;&gt;"&amp;"Y")/$F165),"")</f>
        <v/>
      </c>
      <c r="H165" s="122" t="str">
        <f t="shared" si="9"/>
        <v/>
      </c>
      <c r="I165" s="121" t="str">
        <f>IF(OR($F165=0,$F165=""),"",SUMIFS(Tree!$R:$R,Tree!$A:$A,'Pre-Harvest Plots_rpt'!$B165,Tree!$B:$B,'Pre-Harvest Plots_rpt'!$D165,Tree!$F:$F,"L",Tree!$K:$K,"&lt;&gt;"&amp;"Y"))</f>
        <v/>
      </c>
      <c r="J165" s="121" t="str">
        <f>IF(OR($F165=0,$F165=""),"",IF(SUMIFS(Tree!$W:$W,Tree!$A:$A,'Pre-Harvest Plots_rpt'!$B165,Tree!$B:$B,'Pre-Harvest Plots_rpt'!$D165,Tree!$F:$F,"L",Tree!$K:$K,"&lt;&gt;"&amp;"Y")=0,0,AVERAGEIFS(Tree!$W:$W,Tree!$A:$A,'Pre-Harvest Plots_rpt'!$B165,Tree!$B:$B,'Pre-Harvest Plots_rpt'!$D165,Tree!$F:$F,"L",Tree!$K:$K,"&lt;&gt;"&amp;"Y")))</f>
        <v/>
      </c>
      <c r="K165" s="121" t="str">
        <f>IF($F165="","",SUMIFS(Tree!$S:$S,Tree!$A:$A,'Pre-Harvest Plots_rpt'!$B165,Tree!$B:$B,'Pre-Harvest Plots_rpt'!$D165,Tree!$F:$F,"L",Tree!$K:$K,"&lt;&gt;"&amp;"Y"))</f>
        <v/>
      </c>
      <c r="L165" s="154" t="str">
        <f t="shared" si="10"/>
        <v/>
      </c>
      <c r="M165" s="135"/>
      <c r="N165" s="192" t="str">
        <f>IF(B165="","",SUMIFS(Tree!$AM:$AM,Tree!$A:$A,'Pre-Harvest Plots_rpt'!$B165,Tree!$B:$B,'Pre-Harvest Plots_rpt'!$D165,Tree!$F:$F,"L",Tree!$K:$K,"&lt;&gt;"&amp;"Y"))</f>
        <v/>
      </c>
      <c r="O165" s="122" t="str">
        <f>IF(B165="","",SUMIFS(Tree!$AN:$AN,Tree!$A:$A,'Pre-Harvest Plots_rpt'!$B165,Tree!$B:$B,'Pre-Harvest Plots_rpt'!$D165,Tree!$F:$F,"L",Tree!$K:$K,"&lt;&gt;"&amp;"Y"))</f>
        <v/>
      </c>
      <c r="P165" s="122" t="str">
        <f>IF(B165="","",SUMIFS(Tree!$AO:$AO,Tree!$A:$A,'Pre-Harvest Plots_rpt'!$B165,Tree!$B:$B,'Pre-Harvest Plots_rpt'!$D165,Tree!$F:$F,"L",Tree!$K:$K,"&lt;&gt;"&amp;"Y"))</f>
        <v/>
      </c>
      <c r="Q165" s="122" t="str">
        <f>IF(B165="","",SUMIFS(Tree!$AP:$AP,Tree!$A:$A,'Pre-Harvest Plots_rpt'!$B165,Tree!$B:$B,'Pre-Harvest Plots_rpt'!$D165,Tree!$F:$F,"L",Tree!$K:$K,"&lt;&gt;"&amp;"Y"))</f>
        <v/>
      </c>
      <c r="R165" s="123" t="str">
        <f>IF(B165="","",SUMIFS(Tree!$AQ:$AQ,Tree!$A:$A,'Pre-Harvest Plots_rpt'!$B165,Tree!$B:$B,'Pre-Harvest Plots_rpt'!$D165,Tree!$F:$F,"L",Tree!$K:$K,"&lt;&gt;"&amp;"Y"))</f>
        <v/>
      </c>
      <c r="S165" s="122" t="str">
        <f>IF(B165="","",SUMIFS(Tree!$AJ:$AJ,Tree!$A:$A,'Pre-Harvest Plots_rpt'!$B165,Tree!$B:$B,'Pre-Harvest Plots_rpt'!$D165,Tree!$F:$F,"L",Tree!$K:$K,"&lt;&gt;"&amp;"Y")-O165)</f>
        <v/>
      </c>
      <c r="T165" s="122" t="str">
        <f>IF(B165="","",SUMIFS(Tree!$AK:$AK,Tree!$A:$A,'Pre-Harvest Plots_rpt'!$B165,Tree!$B:$B,'Pre-Harvest Plots_rpt'!$D165,Tree!$F:$F,"L",Tree!$K:$K,"&lt;&gt;"&amp;"Y")-P165)</f>
        <v/>
      </c>
      <c r="U165" s="122" t="str">
        <f>IF(B165="","",SUMIFS(Tree!$AL:$AL,Tree!$A:$A,'Pre-Harvest Plots_rpt'!$B165,Tree!$B:$B,'Pre-Harvest Plots_rpt'!$D165,Tree!$F:$F,"L",Tree!$K:$K,"&lt;&gt;"&amp;"Y")-Q165)</f>
        <v/>
      </c>
      <c r="V165" s="123" t="str">
        <f>IF(B165="","",ROUND(SUMIFS(Tree!$AE:$AE,Tree!$A:$A,'Pre-Harvest Plots_rpt'!$B165,Tree!$B:$B,'Pre-Harvest Plots_rpt'!$D165,Tree!$F:$F,"L",Tree!$K:$K,"&lt;&gt;"&amp;"Y")-R165,1))</f>
        <v/>
      </c>
      <c r="W165" s="124" t="str">
        <f>IF(B165="","",SUMIFS(Tree!$AY:$AY,Tree!$A:$A,'Pre-Harvest Plots_rpt'!$B165,Tree!$B:$B,'Pre-Harvest Plots_rpt'!$D165,Tree!$F:$F,"L",Tree!$K:$K,"&lt;&gt;"&amp;"Y")/1000)</f>
        <v/>
      </c>
      <c r="X165" s="158" t="str">
        <f>IF(B165="","",ROUND((SUMIFS(Tree!$AW:$AW,Tree!$A:$A,'Pre-Harvest Plots_rpt'!$B165,Tree!$B:$B,'Pre-Harvest Plots_rpt'!$D165,Tree!$F:$F,"L",Tree!$K:$K,"&lt;&gt;"&amp;"Y")/1000)-W165,1))</f>
        <v/>
      </c>
      <c r="Y165" s="135"/>
      <c r="Z165" s="161" t="str">
        <f>IF(IF(B165="","",SUMIFS(Tree!$O:$O,Tree!$A:$A,'Pre-Harvest Plots_rpt'!$B165,Tree!$B:$B,'Pre-Harvest Plots_rpt'!$D165,Tree!$F:$F,"D",Tree!$K:$K,"&lt;&gt;"&amp;"Y"))=0,"",IF(B165="","",SUMIFS(Tree!$O:$O,Tree!$A:$A,'Pre-Harvest Plots_rpt'!$B165,Tree!$B:$B,'Pre-Harvest Plots_rpt'!$D165,Tree!$F:$F,"D",Tree!$K:$K,"&lt;&gt;"&amp;"Y")))</f>
        <v/>
      </c>
      <c r="AA165" s="125" t="str">
        <f t="shared" si="11"/>
        <v/>
      </c>
      <c r="AB165" s="125" t="str">
        <f>IF(Z165="","",SUMIFS(Tree!$R:$R,Tree!$A:$A,'Pre-Harvest Plots_rpt'!$B165,Tree!$B:$B,'Pre-Harvest Plots_rpt'!$D165,Tree!$F:$F,"D",Tree!$K:$K,"&lt;&gt;"&amp;"Y"))</f>
        <v/>
      </c>
      <c r="AC165" s="126" t="str">
        <f>IF(Z165="","",SUMIFS(Tree!$AM:$AM,Tree!$A:$A,'Pre-Harvest Plots_rpt'!$B165,Tree!$B:$B,'Pre-Harvest Plots_rpt'!$D165,Tree!$F:$F,"D",Tree!$K:$K,"&lt;&gt;"&amp;"Y"))</f>
        <v/>
      </c>
      <c r="AD165" s="162" t="str">
        <f>IF(Z165="","",SUMIFS(Tree!$AW:$AW,Tree!$A:$A,'Pre-Harvest Plots_rpt'!$B165,Tree!$B:$B,'Pre-Harvest Plots_rpt'!$D165,Tree!$F:$F,"D",Tree!$K:$K,"&lt;&gt;"&amp;"Y")/1000)</f>
        <v/>
      </c>
      <c r="AE165" s="47"/>
      <c r="AF165" s="18"/>
      <c r="AG165" s="18"/>
      <c r="AH165" s="18"/>
    </row>
    <row r="166" spans="1:34" ht="12.75" customHeight="1" x14ac:dyDescent="0.25">
      <c r="A166" s="48">
        <v>163</v>
      </c>
      <c r="B166" s="171" t="str">
        <f>IF(A166&lt;=SUM(Stand!$H$3:$H$29),VLOOKUP(A166,Stand!$A$3:$C$29,3,TRUE),"")</f>
        <v/>
      </c>
      <c r="C166" s="172" t="str">
        <f t="shared" si="8"/>
        <v/>
      </c>
      <c r="D166" s="173" t="str">
        <f>IF(B166="","",VLOOKUP(B166&amp;C166,Plot!$B$2:$D$199,3,FALSE))</f>
        <v/>
      </c>
      <c r="E166" s="130"/>
      <c r="F166" s="152" t="str">
        <f>IF(B166="","",SUMIFS(Tree!$O:$O,Tree!$A:$A,'Pre-Harvest Plots_rpt'!$B166,Tree!$B:$B,'Pre-Harvest Plots_rpt'!$D166,Tree!$F:$F,"L",Tree!$K:$K,"&lt;&gt;"&amp;"Y"))</f>
        <v/>
      </c>
      <c r="G166" s="153" t="str">
        <f>IFERROR(IF(D166="","",SUMIFS(Tree!$P:$P,Tree!$A:$A,'Pre-Harvest Plots_rpt'!$B166,Tree!$B:$B,'Pre-Harvest Plots_rpt'!$D166,Tree!$K:$K,"&lt;&gt;"&amp;"Y")/$F166),"")</f>
        <v/>
      </c>
      <c r="H166" s="122" t="str">
        <f t="shared" si="9"/>
        <v/>
      </c>
      <c r="I166" s="121" t="str">
        <f>IF(OR($F166=0,$F166=""),"",SUMIFS(Tree!$R:$R,Tree!$A:$A,'Pre-Harvest Plots_rpt'!$B166,Tree!$B:$B,'Pre-Harvest Plots_rpt'!$D166,Tree!$F:$F,"L",Tree!$K:$K,"&lt;&gt;"&amp;"Y"))</f>
        <v/>
      </c>
      <c r="J166" s="121" t="str">
        <f>IF(OR($F166=0,$F166=""),"",IF(SUMIFS(Tree!$W:$W,Tree!$A:$A,'Pre-Harvest Plots_rpt'!$B166,Tree!$B:$B,'Pre-Harvest Plots_rpt'!$D166,Tree!$F:$F,"L",Tree!$K:$K,"&lt;&gt;"&amp;"Y")=0,0,AVERAGEIFS(Tree!$W:$W,Tree!$A:$A,'Pre-Harvest Plots_rpt'!$B166,Tree!$B:$B,'Pre-Harvest Plots_rpt'!$D166,Tree!$F:$F,"L",Tree!$K:$K,"&lt;&gt;"&amp;"Y")))</f>
        <v/>
      </c>
      <c r="K166" s="121" t="str">
        <f>IF($F166="","",SUMIFS(Tree!$S:$S,Tree!$A:$A,'Pre-Harvest Plots_rpt'!$B166,Tree!$B:$B,'Pre-Harvest Plots_rpt'!$D166,Tree!$F:$F,"L",Tree!$K:$K,"&lt;&gt;"&amp;"Y"))</f>
        <v/>
      </c>
      <c r="L166" s="154" t="str">
        <f t="shared" si="10"/>
        <v/>
      </c>
      <c r="M166" s="135"/>
      <c r="N166" s="192" t="str">
        <f>IF(B166="","",SUMIFS(Tree!$AM:$AM,Tree!$A:$A,'Pre-Harvest Plots_rpt'!$B166,Tree!$B:$B,'Pre-Harvest Plots_rpt'!$D166,Tree!$F:$F,"L",Tree!$K:$K,"&lt;&gt;"&amp;"Y"))</f>
        <v/>
      </c>
      <c r="O166" s="122" t="str">
        <f>IF(B166="","",SUMIFS(Tree!$AN:$AN,Tree!$A:$A,'Pre-Harvest Plots_rpt'!$B166,Tree!$B:$B,'Pre-Harvest Plots_rpt'!$D166,Tree!$F:$F,"L",Tree!$K:$K,"&lt;&gt;"&amp;"Y"))</f>
        <v/>
      </c>
      <c r="P166" s="122" t="str">
        <f>IF(B166="","",SUMIFS(Tree!$AO:$AO,Tree!$A:$A,'Pre-Harvest Plots_rpt'!$B166,Tree!$B:$B,'Pre-Harvest Plots_rpt'!$D166,Tree!$F:$F,"L",Tree!$K:$K,"&lt;&gt;"&amp;"Y"))</f>
        <v/>
      </c>
      <c r="Q166" s="122" t="str">
        <f>IF(B166="","",SUMIFS(Tree!$AP:$AP,Tree!$A:$A,'Pre-Harvest Plots_rpt'!$B166,Tree!$B:$B,'Pre-Harvest Plots_rpt'!$D166,Tree!$F:$F,"L",Tree!$K:$K,"&lt;&gt;"&amp;"Y"))</f>
        <v/>
      </c>
      <c r="R166" s="123" t="str">
        <f>IF(B166="","",SUMIFS(Tree!$AQ:$AQ,Tree!$A:$A,'Pre-Harvest Plots_rpt'!$B166,Tree!$B:$B,'Pre-Harvest Plots_rpt'!$D166,Tree!$F:$F,"L",Tree!$K:$K,"&lt;&gt;"&amp;"Y"))</f>
        <v/>
      </c>
      <c r="S166" s="122" t="str">
        <f>IF(B166="","",SUMIFS(Tree!$AJ:$AJ,Tree!$A:$A,'Pre-Harvest Plots_rpt'!$B166,Tree!$B:$B,'Pre-Harvest Plots_rpt'!$D166,Tree!$F:$F,"L",Tree!$K:$K,"&lt;&gt;"&amp;"Y")-O166)</f>
        <v/>
      </c>
      <c r="T166" s="122" t="str">
        <f>IF(B166="","",SUMIFS(Tree!$AK:$AK,Tree!$A:$A,'Pre-Harvest Plots_rpt'!$B166,Tree!$B:$B,'Pre-Harvest Plots_rpt'!$D166,Tree!$F:$F,"L",Tree!$K:$K,"&lt;&gt;"&amp;"Y")-P166)</f>
        <v/>
      </c>
      <c r="U166" s="122" t="str">
        <f>IF(B166="","",SUMIFS(Tree!$AL:$AL,Tree!$A:$A,'Pre-Harvest Plots_rpt'!$B166,Tree!$B:$B,'Pre-Harvest Plots_rpt'!$D166,Tree!$F:$F,"L",Tree!$K:$K,"&lt;&gt;"&amp;"Y")-Q166)</f>
        <v/>
      </c>
      <c r="V166" s="123" t="str">
        <f>IF(B166="","",ROUND(SUMIFS(Tree!$AE:$AE,Tree!$A:$A,'Pre-Harvest Plots_rpt'!$B166,Tree!$B:$B,'Pre-Harvest Plots_rpt'!$D166,Tree!$F:$F,"L",Tree!$K:$K,"&lt;&gt;"&amp;"Y")-R166,1))</f>
        <v/>
      </c>
      <c r="W166" s="124" t="str">
        <f>IF(B166="","",SUMIFS(Tree!$AY:$AY,Tree!$A:$A,'Pre-Harvest Plots_rpt'!$B166,Tree!$B:$B,'Pre-Harvest Plots_rpt'!$D166,Tree!$F:$F,"L",Tree!$K:$K,"&lt;&gt;"&amp;"Y")/1000)</f>
        <v/>
      </c>
      <c r="X166" s="158" t="str">
        <f>IF(B166="","",ROUND((SUMIFS(Tree!$AW:$AW,Tree!$A:$A,'Pre-Harvest Plots_rpt'!$B166,Tree!$B:$B,'Pre-Harvest Plots_rpt'!$D166,Tree!$F:$F,"L",Tree!$K:$K,"&lt;&gt;"&amp;"Y")/1000)-W166,1))</f>
        <v/>
      </c>
      <c r="Y166" s="135"/>
      <c r="Z166" s="161" t="str">
        <f>IF(IF(B166="","",SUMIFS(Tree!$O:$O,Tree!$A:$A,'Pre-Harvest Plots_rpt'!$B166,Tree!$B:$B,'Pre-Harvest Plots_rpt'!$D166,Tree!$F:$F,"D",Tree!$K:$K,"&lt;&gt;"&amp;"Y"))=0,"",IF(B166="","",SUMIFS(Tree!$O:$O,Tree!$A:$A,'Pre-Harvest Plots_rpt'!$B166,Tree!$B:$B,'Pre-Harvest Plots_rpt'!$D166,Tree!$F:$F,"D",Tree!$K:$K,"&lt;&gt;"&amp;"Y")))</f>
        <v/>
      </c>
      <c r="AA166" s="125" t="str">
        <f t="shared" si="11"/>
        <v/>
      </c>
      <c r="AB166" s="125" t="str">
        <f>IF(Z166="","",SUMIFS(Tree!$R:$R,Tree!$A:$A,'Pre-Harvest Plots_rpt'!$B166,Tree!$B:$B,'Pre-Harvest Plots_rpt'!$D166,Tree!$F:$F,"D",Tree!$K:$K,"&lt;&gt;"&amp;"Y"))</f>
        <v/>
      </c>
      <c r="AC166" s="126" t="str">
        <f>IF(Z166="","",SUMIFS(Tree!$AM:$AM,Tree!$A:$A,'Pre-Harvest Plots_rpt'!$B166,Tree!$B:$B,'Pre-Harvest Plots_rpt'!$D166,Tree!$F:$F,"D",Tree!$K:$K,"&lt;&gt;"&amp;"Y"))</f>
        <v/>
      </c>
      <c r="AD166" s="162" t="str">
        <f>IF(Z166="","",SUMIFS(Tree!$AW:$AW,Tree!$A:$A,'Pre-Harvest Plots_rpt'!$B166,Tree!$B:$B,'Pre-Harvest Plots_rpt'!$D166,Tree!$F:$F,"D",Tree!$K:$K,"&lt;&gt;"&amp;"Y")/1000)</f>
        <v/>
      </c>
      <c r="AE166" s="47"/>
      <c r="AF166" s="18"/>
      <c r="AG166" s="18"/>
      <c r="AH166" s="18"/>
    </row>
    <row r="167" spans="1:34" ht="12.75" customHeight="1" x14ac:dyDescent="0.25">
      <c r="A167" s="48">
        <v>164</v>
      </c>
      <c r="B167" s="171" t="str">
        <f>IF(A167&lt;=SUM(Stand!$H$3:$H$29),VLOOKUP(A167,Stand!$A$3:$C$29,3,TRUE),"")</f>
        <v/>
      </c>
      <c r="C167" s="172" t="str">
        <f t="shared" si="8"/>
        <v/>
      </c>
      <c r="D167" s="173" t="str">
        <f>IF(B167="","",VLOOKUP(B167&amp;C167,Plot!$B$2:$D$199,3,FALSE))</f>
        <v/>
      </c>
      <c r="E167" s="130"/>
      <c r="F167" s="152" t="str">
        <f>IF(B167="","",SUMIFS(Tree!$O:$O,Tree!$A:$A,'Pre-Harvest Plots_rpt'!$B167,Tree!$B:$B,'Pre-Harvest Plots_rpt'!$D167,Tree!$F:$F,"L",Tree!$K:$K,"&lt;&gt;"&amp;"Y"))</f>
        <v/>
      </c>
      <c r="G167" s="153" t="str">
        <f>IFERROR(IF(D167="","",SUMIFS(Tree!$P:$P,Tree!$A:$A,'Pre-Harvest Plots_rpt'!$B167,Tree!$B:$B,'Pre-Harvest Plots_rpt'!$D167,Tree!$K:$K,"&lt;&gt;"&amp;"Y")/$F167),"")</f>
        <v/>
      </c>
      <c r="H167" s="122" t="str">
        <f t="shared" si="9"/>
        <v/>
      </c>
      <c r="I167" s="121" t="str">
        <f>IF(OR($F167=0,$F167=""),"",SUMIFS(Tree!$R:$R,Tree!$A:$A,'Pre-Harvest Plots_rpt'!$B167,Tree!$B:$B,'Pre-Harvest Plots_rpt'!$D167,Tree!$F:$F,"L",Tree!$K:$K,"&lt;&gt;"&amp;"Y"))</f>
        <v/>
      </c>
      <c r="J167" s="121" t="str">
        <f>IF(OR($F167=0,$F167=""),"",IF(SUMIFS(Tree!$W:$W,Tree!$A:$A,'Pre-Harvest Plots_rpt'!$B167,Tree!$B:$B,'Pre-Harvest Plots_rpt'!$D167,Tree!$F:$F,"L",Tree!$K:$K,"&lt;&gt;"&amp;"Y")=0,0,AVERAGEIFS(Tree!$W:$W,Tree!$A:$A,'Pre-Harvest Plots_rpt'!$B167,Tree!$B:$B,'Pre-Harvest Plots_rpt'!$D167,Tree!$F:$F,"L",Tree!$K:$K,"&lt;&gt;"&amp;"Y")))</f>
        <v/>
      </c>
      <c r="K167" s="121" t="str">
        <f>IF($F167="","",SUMIFS(Tree!$S:$S,Tree!$A:$A,'Pre-Harvest Plots_rpt'!$B167,Tree!$B:$B,'Pre-Harvest Plots_rpt'!$D167,Tree!$F:$F,"L",Tree!$K:$K,"&lt;&gt;"&amp;"Y"))</f>
        <v/>
      </c>
      <c r="L167" s="154" t="str">
        <f t="shared" si="10"/>
        <v/>
      </c>
      <c r="M167" s="135"/>
      <c r="N167" s="192" t="str">
        <f>IF(B167="","",SUMIFS(Tree!$AM:$AM,Tree!$A:$A,'Pre-Harvest Plots_rpt'!$B167,Tree!$B:$B,'Pre-Harvest Plots_rpt'!$D167,Tree!$F:$F,"L",Tree!$K:$K,"&lt;&gt;"&amp;"Y"))</f>
        <v/>
      </c>
      <c r="O167" s="122" t="str">
        <f>IF(B167="","",SUMIFS(Tree!$AN:$AN,Tree!$A:$A,'Pre-Harvest Plots_rpt'!$B167,Tree!$B:$B,'Pre-Harvest Plots_rpt'!$D167,Tree!$F:$F,"L",Tree!$K:$K,"&lt;&gt;"&amp;"Y"))</f>
        <v/>
      </c>
      <c r="P167" s="122" t="str">
        <f>IF(B167="","",SUMIFS(Tree!$AO:$AO,Tree!$A:$A,'Pre-Harvest Plots_rpt'!$B167,Tree!$B:$B,'Pre-Harvest Plots_rpt'!$D167,Tree!$F:$F,"L",Tree!$K:$K,"&lt;&gt;"&amp;"Y"))</f>
        <v/>
      </c>
      <c r="Q167" s="122" t="str">
        <f>IF(B167="","",SUMIFS(Tree!$AP:$AP,Tree!$A:$A,'Pre-Harvest Plots_rpt'!$B167,Tree!$B:$B,'Pre-Harvest Plots_rpt'!$D167,Tree!$F:$F,"L",Tree!$K:$K,"&lt;&gt;"&amp;"Y"))</f>
        <v/>
      </c>
      <c r="R167" s="123" t="str">
        <f>IF(B167="","",SUMIFS(Tree!$AQ:$AQ,Tree!$A:$A,'Pre-Harvest Plots_rpt'!$B167,Tree!$B:$B,'Pre-Harvest Plots_rpt'!$D167,Tree!$F:$F,"L",Tree!$K:$K,"&lt;&gt;"&amp;"Y"))</f>
        <v/>
      </c>
      <c r="S167" s="122" t="str">
        <f>IF(B167="","",SUMIFS(Tree!$AJ:$AJ,Tree!$A:$A,'Pre-Harvest Plots_rpt'!$B167,Tree!$B:$B,'Pre-Harvest Plots_rpt'!$D167,Tree!$F:$F,"L",Tree!$K:$K,"&lt;&gt;"&amp;"Y")-O167)</f>
        <v/>
      </c>
      <c r="T167" s="122" t="str">
        <f>IF(B167="","",SUMIFS(Tree!$AK:$AK,Tree!$A:$A,'Pre-Harvest Plots_rpt'!$B167,Tree!$B:$B,'Pre-Harvest Plots_rpt'!$D167,Tree!$F:$F,"L",Tree!$K:$K,"&lt;&gt;"&amp;"Y")-P167)</f>
        <v/>
      </c>
      <c r="U167" s="122" t="str">
        <f>IF(B167="","",SUMIFS(Tree!$AL:$AL,Tree!$A:$A,'Pre-Harvest Plots_rpt'!$B167,Tree!$B:$B,'Pre-Harvest Plots_rpt'!$D167,Tree!$F:$F,"L",Tree!$K:$K,"&lt;&gt;"&amp;"Y")-Q167)</f>
        <v/>
      </c>
      <c r="V167" s="123" t="str">
        <f>IF(B167="","",ROUND(SUMIFS(Tree!$AE:$AE,Tree!$A:$A,'Pre-Harvest Plots_rpt'!$B167,Tree!$B:$B,'Pre-Harvest Plots_rpt'!$D167,Tree!$F:$F,"L",Tree!$K:$K,"&lt;&gt;"&amp;"Y")-R167,1))</f>
        <v/>
      </c>
      <c r="W167" s="124" t="str">
        <f>IF(B167="","",SUMIFS(Tree!$AY:$AY,Tree!$A:$A,'Pre-Harvest Plots_rpt'!$B167,Tree!$B:$B,'Pre-Harvest Plots_rpt'!$D167,Tree!$F:$F,"L",Tree!$K:$K,"&lt;&gt;"&amp;"Y")/1000)</f>
        <v/>
      </c>
      <c r="X167" s="158" t="str">
        <f>IF(B167="","",ROUND((SUMIFS(Tree!$AW:$AW,Tree!$A:$A,'Pre-Harvest Plots_rpt'!$B167,Tree!$B:$B,'Pre-Harvest Plots_rpt'!$D167,Tree!$F:$F,"L",Tree!$K:$K,"&lt;&gt;"&amp;"Y")/1000)-W167,1))</f>
        <v/>
      </c>
      <c r="Y167" s="135"/>
      <c r="Z167" s="161" t="str">
        <f>IF(IF(B167="","",SUMIFS(Tree!$O:$O,Tree!$A:$A,'Pre-Harvest Plots_rpt'!$B167,Tree!$B:$B,'Pre-Harvest Plots_rpt'!$D167,Tree!$F:$F,"D",Tree!$K:$K,"&lt;&gt;"&amp;"Y"))=0,"",IF(B167="","",SUMIFS(Tree!$O:$O,Tree!$A:$A,'Pre-Harvest Plots_rpt'!$B167,Tree!$B:$B,'Pre-Harvest Plots_rpt'!$D167,Tree!$F:$F,"D",Tree!$K:$K,"&lt;&gt;"&amp;"Y")))</f>
        <v/>
      </c>
      <c r="AA167" s="125" t="str">
        <f t="shared" si="11"/>
        <v/>
      </c>
      <c r="AB167" s="125" t="str">
        <f>IF(Z167="","",SUMIFS(Tree!$R:$R,Tree!$A:$A,'Pre-Harvest Plots_rpt'!$B167,Tree!$B:$B,'Pre-Harvest Plots_rpt'!$D167,Tree!$F:$F,"D",Tree!$K:$K,"&lt;&gt;"&amp;"Y"))</f>
        <v/>
      </c>
      <c r="AC167" s="126" t="str">
        <f>IF(Z167="","",SUMIFS(Tree!$AM:$AM,Tree!$A:$A,'Pre-Harvest Plots_rpt'!$B167,Tree!$B:$B,'Pre-Harvest Plots_rpt'!$D167,Tree!$F:$F,"D",Tree!$K:$K,"&lt;&gt;"&amp;"Y"))</f>
        <v/>
      </c>
      <c r="AD167" s="162" t="str">
        <f>IF(Z167="","",SUMIFS(Tree!$AW:$AW,Tree!$A:$A,'Pre-Harvest Plots_rpt'!$B167,Tree!$B:$B,'Pre-Harvest Plots_rpt'!$D167,Tree!$F:$F,"D",Tree!$K:$K,"&lt;&gt;"&amp;"Y")/1000)</f>
        <v/>
      </c>
      <c r="AE167" s="47"/>
      <c r="AF167" s="18"/>
      <c r="AG167" s="18"/>
      <c r="AH167" s="18"/>
    </row>
    <row r="168" spans="1:34" ht="12.75" customHeight="1" x14ac:dyDescent="0.25">
      <c r="A168" s="48">
        <v>165</v>
      </c>
      <c r="B168" s="171" t="str">
        <f>IF(A168&lt;=SUM(Stand!$H$3:$H$29),VLOOKUP(A168,Stand!$A$3:$C$29,3,TRUE),"")</f>
        <v/>
      </c>
      <c r="C168" s="172" t="str">
        <f t="shared" si="8"/>
        <v/>
      </c>
      <c r="D168" s="173" t="str">
        <f>IF(B168="","",VLOOKUP(B168&amp;C168,Plot!$B$2:$D$199,3,FALSE))</f>
        <v/>
      </c>
      <c r="E168" s="130"/>
      <c r="F168" s="152" t="str">
        <f>IF(B168="","",SUMIFS(Tree!$O:$O,Tree!$A:$A,'Pre-Harvest Plots_rpt'!$B168,Tree!$B:$B,'Pre-Harvest Plots_rpt'!$D168,Tree!$F:$F,"L",Tree!$K:$K,"&lt;&gt;"&amp;"Y"))</f>
        <v/>
      </c>
      <c r="G168" s="153" t="str">
        <f>IFERROR(IF(D168="","",SUMIFS(Tree!$P:$P,Tree!$A:$A,'Pre-Harvest Plots_rpt'!$B168,Tree!$B:$B,'Pre-Harvest Plots_rpt'!$D168,Tree!$K:$K,"&lt;&gt;"&amp;"Y")/$F168),"")</f>
        <v/>
      </c>
      <c r="H168" s="122" t="str">
        <f t="shared" si="9"/>
        <v/>
      </c>
      <c r="I168" s="121" t="str">
        <f>IF(OR($F168=0,$F168=""),"",SUMIFS(Tree!$R:$R,Tree!$A:$A,'Pre-Harvest Plots_rpt'!$B168,Tree!$B:$B,'Pre-Harvest Plots_rpt'!$D168,Tree!$F:$F,"L",Tree!$K:$K,"&lt;&gt;"&amp;"Y"))</f>
        <v/>
      </c>
      <c r="J168" s="121" t="str">
        <f>IF(OR($F168=0,$F168=""),"",IF(SUMIFS(Tree!$W:$W,Tree!$A:$A,'Pre-Harvest Plots_rpt'!$B168,Tree!$B:$B,'Pre-Harvest Plots_rpt'!$D168,Tree!$F:$F,"L",Tree!$K:$K,"&lt;&gt;"&amp;"Y")=0,0,AVERAGEIFS(Tree!$W:$W,Tree!$A:$A,'Pre-Harvest Plots_rpt'!$B168,Tree!$B:$B,'Pre-Harvest Plots_rpt'!$D168,Tree!$F:$F,"L",Tree!$K:$K,"&lt;&gt;"&amp;"Y")))</f>
        <v/>
      </c>
      <c r="K168" s="121" t="str">
        <f>IF($F168="","",SUMIFS(Tree!$S:$S,Tree!$A:$A,'Pre-Harvest Plots_rpt'!$B168,Tree!$B:$B,'Pre-Harvest Plots_rpt'!$D168,Tree!$F:$F,"L",Tree!$K:$K,"&lt;&gt;"&amp;"Y"))</f>
        <v/>
      </c>
      <c r="L168" s="154" t="str">
        <f t="shared" si="10"/>
        <v/>
      </c>
      <c r="M168" s="135"/>
      <c r="N168" s="192" t="str">
        <f>IF(B168="","",SUMIFS(Tree!$AM:$AM,Tree!$A:$A,'Pre-Harvest Plots_rpt'!$B168,Tree!$B:$B,'Pre-Harvest Plots_rpt'!$D168,Tree!$F:$F,"L",Tree!$K:$K,"&lt;&gt;"&amp;"Y"))</f>
        <v/>
      </c>
      <c r="O168" s="122" t="str">
        <f>IF(B168="","",SUMIFS(Tree!$AN:$AN,Tree!$A:$A,'Pre-Harvest Plots_rpt'!$B168,Tree!$B:$B,'Pre-Harvest Plots_rpt'!$D168,Tree!$F:$F,"L",Tree!$K:$K,"&lt;&gt;"&amp;"Y"))</f>
        <v/>
      </c>
      <c r="P168" s="122" t="str">
        <f>IF(B168="","",SUMIFS(Tree!$AO:$AO,Tree!$A:$A,'Pre-Harvest Plots_rpt'!$B168,Tree!$B:$B,'Pre-Harvest Plots_rpt'!$D168,Tree!$F:$F,"L",Tree!$K:$K,"&lt;&gt;"&amp;"Y"))</f>
        <v/>
      </c>
      <c r="Q168" s="122" t="str">
        <f>IF(B168="","",SUMIFS(Tree!$AP:$AP,Tree!$A:$A,'Pre-Harvest Plots_rpt'!$B168,Tree!$B:$B,'Pre-Harvest Plots_rpt'!$D168,Tree!$F:$F,"L",Tree!$K:$K,"&lt;&gt;"&amp;"Y"))</f>
        <v/>
      </c>
      <c r="R168" s="123" t="str">
        <f>IF(B168="","",SUMIFS(Tree!$AQ:$AQ,Tree!$A:$A,'Pre-Harvest Plots_rpt'!$B168,Tree!$B:$B,'Pre-Harvest Plots_rpt'!$D168,Tree!$F:$F,"L",Tree!$K:$K,"&lt;&gt;"&amp;"Y"))</f>
        <v/>
      </c>
      <c r="S168" s="122" t="str">
        <f>IF(B168="","",SUMIFS(Tree!$AJ:$AJ,Tree!$A:$A,'Pre-Harvest Plots_rpt'!$B168,Tree!$B:$B,'Pre-Harvest Plots_rpt'!$D168,Tree!$F:$F,"L",Tree!$K:$K,"&lt;&gt;"&amp;"Y")-O168)</f>
        <v/>
      </c>
      <c r="T168" s="122" t="str">
        <f>IF(B168="","",SUMIFS(Tree!$AK:$AK,Tree!$A:$A,'Pre-Harvest Plots_rpt'!$B168,Tree!$B:$B,'Pre-Harvest Plots_rpt'!$D168,Tree!$F:$F,"L",Tree!$K:$K,"&lt;&gt;"&amp;"Y")-P168)</f>
        <v/>
      </c>
      <c r="U168" s="122" t="str">
        <f>IF(B168="","",SUMIFS(Tree!$AL:$AL,Tree!$A:$A,'Pre-Harvest Plots_rpt'!$B168,Tree!$B:$B,'Pre-Harvest Plots_rpt'!$D168,Tree!$F:$F,"L",Tree!$K:$K,"&lt;&gt;"&amp;"Y")-Q168)</f>
        <v/>
      </c>
      <c r="V168" s="123" t="str">
        <f>IF(B168="","",ROUND(SUMIFS(Tree!$AE:$AE,Tree!$A:$A,'Pre-Harvest Plots_rpt'!$B168,Tree!$B:$B,'Pre-Harvest Plots_rpt'!$D168,Tree!$F:$F,"L",Tree!$K:$K,"&lt;&gt;"&amp;"Y")-R168,1))</f>
        <v/>
      </c>
      <c r="W168" s="124" t="str">
        <f>IF(B168="","",SUMIFS(Tree!$AY:$AY,Tree!$A:$A,'Pre-Harvest Plots_rpt'!$B168,Tree!$B:$B,'Pre-Harvest Plots_rpt'!$D168,Tree!$F:$F,"L",Tree!$K:$K,"&lt;&gt;"&amp;"Y")/1000)</f>
        <v/>
      </c>
      <c r="X168" s="158" t="str">
        <f>IF(B168="","",ROUND((SUMIFS(Tree!$AW:$AW,Tree!$A:$A,'Pre-Harvest Plots_rpt'!$B168,Tree!$B:$B,'Pre-Harvest Plots_rpt'!$D168,Tree!$F:$F,"L",Tree!$K:$K,"&lt;&gt;"&amp;"Y")/1000)-W168,1))</f>
        <v/>
      </c>
      <c r="Y168" s="135"/>
      <c r="Z168" s="161" t="str">
        <f>IF(IF(B168="","",SUMIFS(Tree!$O:$O,Tree!$A:$A,'Pre-Harvest Plots_rpt'!$B168,Tree!$B:$B,'Pre-Harvest Plots_rpt'!$D168,Tree!$F:$F,"D",Tree!$K:$K,"&lt;&gt;"&amp;"Y"))=0,"",IF(B168="","",SUMIFS(Tree!$O:$O,Tree!$A:$A,'Pre-Harvest Plots_rpt'!$B168,Tree!$B:$B,'Pre-Harvest Plots_rpt'!$D168,Tree!$F:$F,"D",Tree!$K:$K,"&lt;&gt;"&amp;"Y")))</f>
        <v/>
      </c>
      <c r="AA168" s="125" t="str">
        <f t="shared" si="11"/>
        <v/>
      </c>
      <c r="AB168" s="125" t="str">
        <f>IF(Z168="","",SUMIFS(Tree!$R:$R,Tree!$A:$A,'Pre-Harvest Plots_rpt'!$B168,Tree!$B:$B,'Pre-Harvest Plots_rpt'!$D168,Tree!$F:$F,"D",Tree!$K:$K,"&lt;&gt;"&amp;"Y"))</f>
        <v/>
      </c>
      <c r="AC168" s="126" t="str">
        <f>IF(Z168="","",SUMIFS(Tree!$AM:$AM,Tree!$A:$A,'Pre-Harvest Plots_rpt'!$B168,Tree!$B:$B,'Pre-Harvest Plots_rpt'!$D168,Tree!$F:$F,"D",Tree!$K:$K,"&lt;&gt;"&amp;"Y"))</f>
        <v/>
      </c>
      <c r="AD168" s="162" t="str">
        <f>IF(Z168="","",SUMIFS(Tree!$AW:$AW,Tree!$A:$A,'Pre-Harvest Plots_rpt'!$B168,Tree!$B:$B,'Pre-Harvest Plots_rpt'!$D168,Tree!$F:$F,"D",Tree!$K:$K,"&lt;&gt;"&amp;"Y")/1000)</f>
        <v/>
      </c>
      <c r="AE168" s="47"/>
      <c r="AF168" s="18"/>
      <c r="AG168" s="18"/>
      <c r="AH168" s="18"/>
    </row>
    <row r="169" spans="1:34" ht="12.75" customHeight="1" x14ac:dyDescent="0.25">
      <c r="A169" s="48">
        <v>166</v>
      </c>
      <c r="B169" s="171" t="str">
        <f>IF(A169&lt;=SUM(Stand!$H$3:$H$29),VLOOKUP(A169,Stand!$A$3:$C$29,3,TRUE),"")</f>
        <v/>
      </c>
      <c r="C169" s="172" t="str">
        <f t="shared" si="8"/>
        <v/>
      </c>
      <c r="D169" s="173" t="str">
        <f>IF(B169="","",VLOOKUP(B169&amp;C169,Plot!$B$2:$D$199,3,FALSE))</f>
        <v/>
      </c>
      <c r="E169" s="130"/>
      <c r="F169" s="152" t="str">
        <f>IF(B169="","",SUMIFS(Tree!$O:$O,Tree!$A:$A,'Pre-Harvest Plots_rpt'!$B169,Tree!$B:$B,'Pre-Harvest Plots_rpt'!$D169,Tree!$F:$F,"L",Tree!$K:$K,"&lt;&gt;"&amp;"Y"))</f>
        <v/>
      </c>
      <c r="G169" s="153" t="str">
        <f>IFERROR(IF(D169="","",SUMIFS(Tree!$P:$P,Tree!$A:$A,'Pre-Harvest Plots_rpt'!$B169,Tree!$B:$B,'Pre-Harvest Plots_rpt'!$D169,Tree!$K:$K,"&lt;&gt;"&amp;"Y")/$F169),"")</f>
        <v/>
      </c>
      <c r="H169" s="122" t="str">
        <f t="shared" si="9"/>
        <v/>
      </c>
      <c r="I169" s="121" t="str">
        <f>IF(OR($F169=0,$F169=""),"",SUMIFS(Tree!$R:$R,Tree!$A:$A,'Pre-Harvest Plots_rpt'!$B169,Tree!$B:$B,'Pre-Harvest Plots_rpt'!$D169,Tree!$F:$F,"L",Tree!$K:$K,"&lt;&gt;"&amp;"Y"))</f>
        <v/>
      </c>
      <c r="J169" s="121" t="str">
        <f>IF(OR($F169=0,$F169=""),"",IF(SUMIFS(Tree!$W:$W,Tree!$A:$A,'Pre-Harvest Plots_rpt'!$B169,Tree!$B:$B,'Pre-Harvest Plots_rpt'!$D169,Tree!$F:$F,"L",Tree!$K:$K,"&lt;&gt;"&amp;"Y")=0,0,AVERAGEIFS(Tree!$W:$W,Tree!$A:$A,'Pre-Harvest Plots_rpt'!$B169,Tree!$B:$B,'Pre-Harvest Plots_rpt'!$D169,Tree!$F:$F,"L",Tree!$K:$K,"&lt;&gt;"&amp;"Y")))</f>
        <v/>
      </c>
      <c r="K169" s="121" t="str">
        <f>IF($F169="","",SUMIFS(Tree!$S:$S,Tree!$A:$A,'Pre-Harvest Plots_rpt'!$B169,Tree!$B:$B,'Pre-Harvest Plots_rpt'!$D169,Tree!$F:$F,"L",Tree!$K:$K,"&lt;&gt;"&amp;"Y"))</f>
        <v/>
      </c>
      <c r="L169" s="154" t="str">
        <f t="shared" si="10"/>
        <v/>
      </c>
      <c r="M169" s="135"/>
      <c r="N169" s="192" t="str">
        <f>IF(B169="","",SUMIFS(Tree!$AM:$AM,Tree!$A:$A,'Pre-Harvest Plots_rpt'!$B169,Tree!$B:$B,'Pre-Harvest Plots_rpt'!$D169,Tree!$F:$F,"L",Tree!$K:$K,"&lt;&gt;"&amp;"Y"))</f>
        <v/>
      </c>
      <c r="O169" s="122" t="str">
        <f>IF(B169="","",SUMIFS(Tree!$AN:$AN,Tree!$A:$A,'Pre-Harvest Plots_rpt'!$B169,Tree!$B:$B,'Pre-Harvest Plots_rpt'!$D169,Tree!$F:$F,"L",Tree!$K:$K,"&lt;&gt;"&amp;"Y"))</f>
        <v/>
      </c>
      <c r="P169" s="122" t="str">
        <f>IF(B169="","",SUMIFS(Tree!$AO:$AO,Tree!$A:$A,'Pre-Harvest Plots_rpt'!$B169,Tree!$B:$B,'Pre-Harvest Plots_rpt'!$D169,Tree!$F:$F,"L",Tree!$K:$K,"&lt;&gt;"&amp;"Y"))</f>
        <v/>
      </c>
      <c r="Q169" s="122" t="str">
        <f>IF(B169="","",SUMIFS(Tree!$AP:$AP,Tree!$A:$A,'Pre-Harvest Plots_rpt'!$B169,Tree!$B:$B,'Pre-Harvest Plots_rpt'!$D169,Tree!$F:$F,"L",Tree!$K:$K,"&lt;&gt;"&amp;"Y"))</f>
        <v/>
      </c>
      <c r="R169" s="123" t="str">
        <f>IF(B169="","",SUMIFS(Tree!$AQ:$AQ,Tree!$A:$A,'Pre-Harvest Plots_rpt'!$B169,Tree!$B:$B,'Pre-Harvest Plots_rpt'!$D169,Tree!$F:$F,"L",Tree!$K:$K,"&lt;&gt;"&amp;"Y"))</f>
        <v/>
      </c>
      <c r="S169" s="122" t="str">
        <f>IF(B169="","",SUMIFS(Tree!$AJ:$AJ,Tree!$A:$A,'Pre-Harvest Plots_rpt'!$B169,Tree!$B:$B,'Pre-Harvest Plots_rpt'!$D169,Tree!$F:$F,"L",Tree!$K:$K,"&lt;&gt;"&amp;"Y")-O169)</f>
        <v/>
      </c>
      <c r="T169" s="122" t="str">
        <f>IF(B169="","",SUMIFS(Tree!$AK:$AK,Tree!$A:$A,'Pre-Harvest Plots_rpt'!$B169,Tree!$B:$B,'Pre-Harvest Plots_rpt'!$D169,Tree!$F:$F,"L",Tree!$K:$K,"&lt;&gt;"&amp;"Y")-P169)</f>
        <v/>
      </c>
      <c r="U169" s="122" t="str">
        <f>IF(B169="","",SUMIFS(Tree!$AL:$AL,Tree!$A:$A,'Pre-Harvest Plots_rpt'!$B169,Tree!$B:$B,'Pre-Harvest Plots_rpt'!$D169,Tree!$F:$F,"L",Tree!$K:$K,"&lt;&gt;"&amp;"Y")-Q169)</f>
        <v/>
      </c>
      <c r="V169" s="123" t="str">
        <f>IF(B169="","",ROUND(SUMIFS(Tree!$AE:$AE,Tree!$A:$A,'Pre-Harvest Plots_rpt'!$B169,Tree!$B:$B,'Pre-Harvest Plots_rpt'!$D169,Tree!$F:$F,"L",Tree!$K:$K,"&lt;&gt;"&amp;"Y")-R169,1))</f>
        <v/>
      </c>
      <c r="W169" s="124" t="str">
        <f>IF(B169="","",SUMIFS(Tree!$AY:$AY,Tree!$A:$A,'Pre-Harvest Plots_rpt'!$B169,Tree!$B:$B,'Pre-Harvest Plots_rpt'!$D169,Tree!$F:$F,"L",Tree!$K:$K,"&lt;&gt;"&amp;"Y")/1000)</f>
        <v/>
      </c>
      <c r="X169" s="158" t="str">
        <f>IF(B169="","",ROUND((SUMIFS(Tree!$AW:$AW,Tree!$A:$A,'Pre-Harvest Plots_rpt'!$B169,Tree!$B:$B,'Pre-Harvest Plots_rpt'!$D169,Tree!$F:$F,"L",Tree!$K:$K,"&lt;&gt;"&amp;"Y")/1000)-W169,1))</f>
        <v/>
      </c>
      <c r="Y169" s="135"/>
      <c r="Z169" s="161" t="str">
        <f>IF(IF(B169="","",SUMIFS(Tree!$O:$O,Tree!$A:$A,'Pre-Harvest Plots_rpt'!$B169,Tree!$B:$B,'Pre-Harvest Plots_rpt'!$D169,Tree!$F:$F,"D",Tree!$K:$K,"&lt;&gt;"&amp;"Y"))=0,"",IF(B169="","",SUMIFS(Tree!$O:$O,Tree!$A:$A,'Pre-Harvest Plots_rpt'!$B169,Tree!$B:$B,'Pre-Harvest Plots_rpt'!$D169,Tree!$F:$F,"D",Tree!$K:$K,"&lt;&gt;"&amp;"Y")))</f>
        <v/>
      </c>
      <c r="AA169" s="125" t="str">
        <f t="shared" si="11"/>
        <v/>
      </c>
      <c r="AB169" s="125" t="str">
        <f>IF(Z169="","",SUMIFS(Tree!$R:$R,Tree!$A:$A,'Pre-Harvest Plots_rpt'!$B169,Tree!$B:$B,'Pre-Harvest Plots_rpt'!$D169,Tree!$F:$F,"D",Tree!$K:$K,"&lt;&gt;"&amp;"Y"))</f>
        <v/>
      </c>
      <c r="AC169" s="126" t="str">
        <f>IF(Z169="","",SUMIFS(Tree!$AM:$AM,Tree!$A:$A,'Pre-Harvest Plots_rpt'!$B169,Tree!$B:$B,'Pre-Harvest Plots_rpt'!$D169,Tree!$F:$F,"D",Tree!$K:$K,"&lt;&gt;"&amp;"Y"))</f>
        <v/>
      </c>
      <c r="AD169" s="162" t="str">
        <f>IF(Z169="","",SUMIFS(Tree!$AW:$AW,Tree!$A:$A,'Pre-Harvest Plots_rpt'!$B169,Tree!$B:$B,'Pre-Harvest Plots_rpt'!$D169,Tree!$F:$F,"D",Tree!$K:$K,"&lt;&gt;"&amp;"Y")/1000)</f>
        <v/>
      </c>
      <c r="AE169" s="47"/>
      <c r="AF169" s="18"/>
      <c r="AG169" s="18"/>
      <c r="AH169" s="18"/>
    </row>
    <row r="170" spans="1:34" ht="12.75" customHeight="1" x14ac:dyDescent="0.25">
      <c r="A170" s="48">
        <v>167</v>
      </c>
      <c r="B170" s="171" t="str">
        <f>IF(A170&lt;=SUM(Stand!$H$3:$H$29),VLOOKUP(A170,Stand!$A$3:$C$29,3,TRUE),"")</f>
        <v/>
      </c>
      <c r="C170" s="172" t="str">
        <f t="shared" si="8"/>
        <v/>
      </c>
      <c r="D170" s="173" t="str">
        <f>IF(B170="","",VLOOKUP(B170&amp;C170,Plot!$B$2:$D$199,3,FALSE))</f>
        <v/>
      </c>
      <c r="E170" s="130"/>
      <c r="F170" s="152" t="str">
        <f>IF(B170="","",SUMIFS(Tree!$O:$O,Tree!$A:$A,'Pre-Harvest Plots_rpt'!$B170,Tree!$B:$B,'Pre-Harvest Plots_rpt'!$D170,Tree!$F:$F,"L",Tree!$K:$K,"&lt;&gt;"&amp;"Y"))</f>
        <v/>
      </c>
      <c r="G170" s="153" t="str">
        <f>IFERROR(IF(D170="","",SUMIFS(Tree!$P:$P,Tree!$A:$A,'Pre-Harvest Plots_rpt'!$B170,Tree!$B:$B,'Pre-Harvest Plots_rpt'!$D170,Tree!$K:$K,"&lt;&gt;"&amp;"Y")/$F170),"")</f>
        <v/>
      </c>
      <c r="H170" s="122" t="str">
        <f t="shared" si="9"/>
        <v/>
      </c>
      <c r="I170" s="121" t="str">
        <f>IF(OR($F170=0,$F170=""),"",SUMIFS(Tree!$R:$R,Tree!$A:$A,'Pre-Harvest Plots_rpt'!$B170,Tree!$B:$B,'Pre-Harvest Plots_rpt'!$D170,Tree!$F:$F,"L",Tree!$K:$K,"&lt;&gt;"&amp;"Y"))</f>
        <v/>
      </c>
      <c r="J170" s="121" t="str">
        <f>IF(OR($F170=0,$F170=""),"",IF(SUMIFS(Tree!$W:$W,Tree!$A:$A,'Pre-Harvest Plots_rpt'!$B170,Tree!$B:$B,'Pre-Harvest Plots_rpt'!$D170,Tree!$F:$F,"L",Tree!$K:$K,"&lt;&gt;"&amp;"Y")=0,0,AVERAGEIFS(Tree!$W:$W,Tree!$A:$A,'Pre-Harvest Plots_rpt'!$B170,Tree!$B:$B,'Pre-Harvest Plots_rpt'!$D170,Tree!$F:$F,"L",Tree!$K:$K,"&lt;&gt;"&amp;"Y")))</f>
        <v/>
      </c>
      <c r="K170" s="121" t="str">
        <f>IF($F170="","",SUMIFS(Tree!$S:$S,Tree!$A:$A,'Pre-Harvest Plots_rpt'!$B170,Tree!$B:$B,'Pre-Harvest Plots_rpt'!$D170,Tree!$F:$F,"L",Tree!$K:$K,"&lt;&gt;"&amp;"Y"))</f>
        <v/>
      </c>
      <c r="L170" s="154" t="str">
        <f t="shared" si="10"/>
        <v/>
      </c>
      <c r="M170" s="135"/>
      <c r="N170" s="192" t="str">
        <f>IF(B170="","",SUMIFS(Tree!$AM:$AM,Tree!$A:$A,'Pre-Harvest Plots_rpt'!$B170,Tree!$B:$B,'Pre-Harvest Plots_rpt'!$D170,Tree!$F:$F,"L",Tree!$K:$K,"&lt;&gt;"&amp;"Y"))</f>
        <v/>
      </c>
      <c r="O170" s="122" t="str">
        <f>IF(B170="","",SUMIFS(Tree!$AN:$AN,Tree!$A:$A,'Pre-Harvest Plots_rpt'!$B170,Tree!$B:$B,'Pre-Harvest Plots_rpt'!$D170,Tree!$F:$F,"L",Tree!$K:$K,"&lt;&gt;"&amp;"Y"))</f>
        <v/>
      </c>
      <c r="P170" s="122" t="str">
        <f>IF(B170="","",SUMIFS(Tree!$AO:$AO,Tree!$A:$A,'Pre-Harvest Plots_rpt'!$B170,Tree!$B:$B,'Pre-Harvest Plots_rpt'!$D170,Tree!$F:$F,"L",Tree!$K:$K,"&lt;&gt;"&amp;"Y"))</f>
        <v/>
      </c>
      <c r="Q170" s="122" t="str">
        <f>IF(B170="","",SUMIFS(Tree!$AP:$AP,Tree!$A:$A,'Pre-Harvest Plots_rpt'!$B170,Tree!$B:$B,'Pre-Harvest Plots_rpt'!$D170,Tree!$F:$F,"L",Tree!$K:$K,"&lt;&gt;"&amp;"Y"))</f>
        <v/>
      </c>
      <c r="R170" s="123" t="str">
        <f>IF(B170="","",SUMIFS(Tree!$AQ:$AQ,Tree!$A:$A,'Pre-Harvest Plots_rpt'!$B170,Tree!$B:$B,'Pre-Harvest Plots_rpt'!$D170,Tree!$F:$F,"L",Tree!$K:$K,"&lt;&gt;"&amp;"Y"))</f>
        <v/>
      </c>
      <c r="S170" s="122" t="str">
        <f>IF(B170="","",SUMIFS(Tree!$AJ:$AJ,Tree!$A:$A,'Pre-Harvest Plots_rpt'!$B170,Tree!$B:$B,'Pre-Harvest Plots_rpt'!$D170,Tree!$F:$F,"L",Tree!$K:$K,"&lt;&gt;"&amp;"Y")-O170)</f>
        <v/>
      </c>
      <c r="T170" s="122" t="str">
        <f>IF(B170="","",SUMIFS(Tree!$AK:$AK,Tree!$A:$A,'Pre-Harvest Plots_rpt'!$B170,Tree!$B:$B,'Pre-Harvest Plots_rpt'!$D170,Tree!$F:$F,"L",Tree!$K:$K,"&lt;&gt;"&amp;"Y")-P170)</f>
        <v/>
      </c>
      <c r="U170" s="122" t="str">
        <f>IF(B170="","",SUMIFS(Tree!$AL:$AL,Tree!$A:$A,'Pre-Harvest Plots_rpt'!$B170,Tree!$B:$B,'Pre-Harvest Plots_rpt'!$D170,Tree!$F:$F,"L",Tree!$K:$K,"&lt;&gt;"&amp;"Y")-Q170)</f>
        <v/>
      </c>
      <c r="V170" s="123" t="str">
        <f>IF(B170="","",ROUND(SUMIFS(Tree!$AE:$AE,Tree!$A:$A,'Pre-Harvest Plots_rpt'!$B170,Tree!$B:$B,'Pre-Harvest Plots_rpt'!$D170,Tree!$F:$F,"L",Tree!$K:$K,"&lt;&gt;"&amp;"Y")-R170,1))</f>
        <v/>
      </c>
      <c r="W170" s="124" t="str">
        <f>IF(B170="","",SUMIFS(Tree!$AY:$AY,Tree!$A:$A,'Pre-Harvest Plots_rpt'!$B170,Tree!$B:$B,'Pre-Harvest Plots_rpt'!$D170,Tree!$F:$F,"L",Tree!$K:$K,"&lt;&gt;"&amp;"Y")/1000)</f>
        <v/>
      </c>
      <c r="X170" s="158" t="str">
        <f>IF(B170="","",ROUND((SUMIFS(Tree!$AW:$AW,Tree!$A:$A,'Pre-Harvest Plots_rpt'!$B170,Tree!$B:$B,'Pre-Harvest Plots_rpt'!$D170,Tree!$F:$F,"L",Tree!$K:$K,"&lt;&gt;"&amp;"Y")/1000)-W170,1))</f>
        <v/>
      </c>
      <c r="Y170" s="135"/>
      <c r="Z170" s="161" t="str">
        <f>IF(IF(B170="","",SUMIFS(Tree!$O:$O,Tree!$A:$A,'Pre-Harvest Plots_rpt'!$B170,Tree!$B:$B,'Pre-Harvest Plots_rpt'!$D170,Tree!$F:$F,"D",Tree!$K:$K,"&lt;&gt;"&amp;"Y"))=0,"",IF(B170="","",SUMIFS(Tree!$O:$O,Tree!$A:$A,'Pre-Harvest Plots_rpt'!$B170,Tree!$B:$B,'Pre-Harvest Plots_rpt'!$D170,Tree!$F:$F,"D",Tree!$K:$K,"&lt;&gt;"&amp;"Y")))</f>
        <v/>
      </c>
      <c r="AA170" s="125" t="str">
        <f t="shared" si="11"/>
        <v/>
      </c>
      <c r="AB170" s="125" t="str">
        <f>IF(Z170="","",SUMIFS(Tree!$R:$R,Tree!$A:$A,'Pre-Harvest Plots_rpt'!$B170,Tree!$B:$B,'Pre-Harvest Plots_rpt'!$D170,Tree!$F:$F,"D",Tree!$K:$K,"&lt;&gt;"&amp;"Y"))</f>
        <v/>
      </c>
      <c r="AC170" s="126" t="str">
        <f>IF(Z170="","",SUMIFS(Tree!$AM:$AM,Tree!$A:$A,'Pre-Harvest Plots_rpt'!$B170,Tree!$B:$B,'Pre-Harvest Plots_rpt'!$D170,Tree!$F:$F,"D",Tree!$K:$K,"&lt;&gt;"&amp;"Y"))</f>
        <v/>
      </c>
      <c r="AD170" s="162" t="str">
        <f>IF(Z170="","",SUMIFS(Tree!$AW:$AW,Tree!$A:$A,'Pre-Harvest Plots_rpt'!$B170,Tree!$B:$B,'Pre-Harvest Plots_rpt'!$D170,Tree!$F:$F,"D",Tree!$K:$K,"&lt;&gt;"&amp;"Y")/1000)</f>
        <v/>
      </c>
      <c r="AE170" s="47"/>
      <c r="AF170" s="18"/>
      <c r="AG170" s="18"/>
      <c r="AH170" s="18"/>
    </row>
    <row r="171" spans="1:34" ht="12.75" customHeight="1" x14ac:dyDescent="0.25">
      <c r="A171" s="48">
        <v>168</v>
      </c>
      <c r="B171" s="171" t="str">
        <f>IF(A171&lt;=SUM(Stand!$H$3:$H$29),VLOOKUP(A171,Stand!$A$3:$C$29,3,TRUE),"")</f>
        <v/>
      </c>
      <c r="C171" s="172" t="str">
        <f t="shared" si="8"/>
        <v/>
      </c>
      <c r="D171" s="173" t="str">
        <f>IF(B171="","",VLOOKUP(B171&amp;C171,Plot!$B$2:$D$199,3,FALSE))</f>
        <v/>
      </c>
      <c r="E171" s="130"/>
      <c r="F171" s="152" t="str">
        <f>IF(B171="","",SUMIFS(Tree!$O:$O,Tree!$A:$A,'Pre-Harvest Plots_rpt'!$B171,Tree!$B:$B,'Pre-Harvest Plots_rpt'!$D171,Tree!$F:$F,"L",Tree!$K:$K,"&lt;&gt;"&amp;"Y"))</f>
        <v/>
      </c>
      <c r="G171" s="153" t="str">
        <f>IFERROR(IF(D171="","",SUMIFS(Tree!$P:$P,Tree!$A:$A,'Pre-Harvest Plots_rpt'!$B171,Tree!$B:$B,'Pre-Harvest Plots_rpt'!$D171,Tree!$K:$K,"&lt;&gt;"&amp;"Y")/$F171),"")</f>
        <v/>
      </c>
      <c r="H171" s="122" t="str">
        <f t="shared" si="9"/>
        <v/>
      </c>
      <c r="I171" s="121" t="str">
        <f>IF(OR($F171=0,$F171=""),"",SUMIFS(Tree!$R:$R,Tree!$A:$A,'Pre-Harvest Plots_rpt'!$B171,Tree!$B:$B,'Pre-Harvest Plots_rpt'!$D171,Tree!$F:$F,"L",Tree!$K:$K,"&lt;&gt;"&amp;"Y"))</f>
        <v/>
      </c>
      <c r="J171" s="121" t="str">
        <f>IF(OR($F171=0,$F171=""),"",IF(SUMIFS(Tree!$W:$W,Tree!$A:$A,'Pre-Harvest Plots_rpt'!$B171,Tree!$B:$B,'Pre-Harvest Plots_rpt'!$D171,Tree!$F:$F,"L",Tree!$K:$K,"&lt;&gt;"&amp;"Y")=0,0,AVERAGEIFS(Tree!$W:$W,Tree!$A:$A,'Pre-Harvest Plots_rpt'!$B171,Tree!$B:$B,'Pre-Harvest Plots_rpt'!$D171,Tree!$F:$F,"L",Tree!$K:$K,"&lt;&gt;"&amp;"Y")))</f>
        <v/>
      </c>
      <c r="K171" s="121" t="str">
        <f>IF($F171="","",SUMIFS(Tree!$S:$S,Tree!$A:$A,'Pre-Harvest Plots_rpt'!$B171,Tree!$B:$B,'Pre-Harvest Plots_rpt'!$D171,Tree!$F:$F,"L",Tree!$K:$K,"&lt;&gt;"&amp;"Y"))</f>
        <v/>
      </c>
      <c r="L171" s="154" t="str">
        <f t="shared" si="10"/>
        <v/>
      </c>
      <c r="M171" s="135"/>
      <c r="N171" s="192" t="str">
        <f>IF(B171="","",SUMIFS(Tree!$AM:$AM,Tree!$A:$A,'Pre-Harvest Plots_rpt'!$B171,Tree!$B:$B,'Pre-Harvest Plots_rpt'!$D171,Tree!$F:$F,"L",Tree!$K:$K,"&lt;&gt;"&amp;"Y"))</f>
        <v/>
      </c>
      <c r="O171" s="122" t="str">
        <f>IF(B171="","",SUMIFS(Tree!$AN:$AN,Tree!$A:$A,'Pre-Harvest Plots_rpt'!$B171,Tree!$B:$B,'Pre-Harvest Plots_rpt'!$D171,Tree!$F:$F,"L",Tree!$K:$K,"&lt;&gt;"&amp;"Y"))</f>
        <v/>
      </c>
      <c r="P171" s="122" t="str">
        <f>IF(B171="","",SUMIFS(Tree!$AO:$AO,Tree!$A:$A,'Pre-Harvest Plots_rpt'!$B171,Tree!$B:$B,'Pre-Harvest Plots_rpt'!$D171,Tree!$F:$F,"L",Tree!$K:$K,"&lt;&gt;"&amp;"Y"))</f>
        <v/>
      </c>
      <c r="Q171" s="122" t="str">
        <f>IF(B171="","",SUMIFS(Tree!$AP:$AP,Tree!$A:$A,'Pre-Harvest Plots_rpt'!$B171,Tree!$B:$B,'Pre-Harvest Plots_rpt'!$D171,Tree!$F:$F,"L",Tree!$K:$K,"&lt;&gt;"&amp;"Y"))</f>
        <v/>
      </c>
      <c r="R171" s="123" t="str">
        <f>IF(B171="","",SUMIFS(Tree!$AQ:$AQ,Tree!$A:$A,'Pre-Harvest Plots_rpt'!$B171,Tree!$B:$B,'Pre-Harvest Plots_rpt'!$D171,Tree!$F:$F,"L",Tree!$K:$K,"&lt;&gt;"&amp;"Y"))</f>
        <v/>
      </c>
      <c r="S171" s="122" t="str">
        <f>IF(B171="","",SUMIFS(Tree!$AJ:$AJ,Tree!$A:$A,'Pre-Harvest Plots_rpt'!$B171,Tree!$B:$B,'Pre-Harvest Plots_rpt'!$D171,Tree!$F:$F,"L",Tree!$K:$K,"&lt;&gt;"&amp;"Y")-O171)</f>
        <v/>
      </c>
      <c r="T171" s="122" t="str">
        <f>IF(B171="","",SUMIFS(Tree!$AK:$AK,Tree!$A:$A,'Pre-Harvest Plots_rpt'!$B171,Tree!$B:$B,'Pre-Harvest Plots_rpt'!$D171,Tree!$F:$F,"L",Tree!$K:$K,"&lt;&gt;"&amp;"Y")-P171)</f>
        <v/>
      </c>
      <c r="U171" s="122" t="str">
        <f>IF(B171="","",SUMIFS(Tree!$AL:$AL,Tree!$A:$A,'Pre-Harvest Plots_rpt'!$B171,Tree!$B:$B,'Pre-Harvest Plots_rpt'!$D171,Tree!$F:$F,"L",Tree!$K:$K,"&lt;&gt;"&amp;"Y")-Q171)</f>
        <v/>
      </c>
      <c r="V171" s="123" t="str">
        <f>IF(B171="","",ROUND(SUMIFS(Tree!$AE:$AE,Tree!$A:$A,'Pre-Harvest Plots_rpt'!$B171,Tree!$B:$B,'Pre-Harvest Plots_rpt'!$D171,Tree!$F:$F,"L",Tree!$K:$K,"&lt;&gt;"&amp;"Y")-R171,1))</f>
        <v/>
      </c>
      <c r="W171" s="124" t="str">
        <f>IF(B171="","",SUMIFS(Tree!$AY:$AY,Tree!$A:$A,'Pre-Harvest Plots_rpt'!$B171,Tree!$B:$B,'Pre-Harvest Plots_rpt'!$D171,Tree!$F:$F,"L",Tree!$K:$K,"&lt;&gt;"&amp;"Y")/1000)</f>
        <v/>
      </c>
      <c r="X171" s="158" t="str">
        <f>IF(B171="","",ROUND((SUMIFS(Tree!$AW:$AW,Tree!$A:$A,'Pre-Harvest Plots_rpt'!$B171,Tree!$B:$B,'Pre-Harvest Plots_rpt'!$D171,Tree!$F:$F,"L",Tree!$K:$K,"&lt;&gt;"&amp;"Y")/1000)-W171,1))</f>
        <v/>
      </c>
      <c r="Y171" s="135"/>
      <c r="Z171" s="161" t="str">
        <f>IF(IF(B171="","",SUMIFS(Tree!$O:$O,Tree!$A:$A,'Pre-Harvest Plots_rpt'!$B171,Tree!$B:$B,'Pre-Harvest Plots_rpt'!$D171,Tree!$F:$F,"D",Tree!$K:$K,"&lt;&gt;"&amp;"Y"))=0,"",IF(B171="","",SUMIFS(Tree!$O:$O,Tree!$A:$A,'Pre-Harvest Plots_rpt'!$B171,Tree!$B:$B,'Pre-Harvest Plots_rpt'!$D171,Tree!$F:$F,"D",Tree!$K:$K,"&lt;&gt;"&amp;"Y")))</f>
        <v/>
      </c>
      <c r="AA171" s="125" t="str">
        <f t="shared" si="11"/>
        <v/>
      </c>
      <c r="AB171" s="125" t="str">
        <f>IF(Z171="","",SUMIFS(Tree!$R:$R,Tree!$A:$A,'Pre-Harvest Plots_rpt'!$B171,Tree!$B:$B,'Pre-Harvest Plots_rpt'!$D171,Tree!$F:$F,"D",Tree!$K:$K,"&lt;&gt;"&amp;"Y"))</f>
        <v/>
      </c>
      <c r="AC171" s="126" t="str">
        <f>IF(Z171="","",SUMIFS(Tree!$AM:$AM,Tree!$A:$A,'Pre-Harvest Plots_rpt'!$B171,Tree!$B:$B,'Pre-Harvest Plots_rpt'!$D171,Tree!$F:$F,"D",Tree!$K:$K,"&lt;&gt;"&amp;"Y"))</f>
        <v/>
      </c>
      <c r="AD171" s="162" t="str">
        <f>IF(Z171="","",SUMIFS(Tree!$AW:$AW,Tree!$A:$A,'Pre-Harvest Plots_rpt'!$B171,Tree!$B:$B,'Pre-Harvest Plots_rpt'!$D171,Tree!$F:$F,"D",Tree!$K:$K,"&lt;&gt;"&amp;"Y")/1000)</f>
        <v/>
      </c>
      <c r="AE171" s="47"/>
      <c r="AF171" s="18"/>
      <c r="AG171" s="18"/>
      <c r="AH171" s="18"/>
    </row>
    <row r="172" spans="1:34" ht="12.75" customHeight="1" x14ac:dyDescent="0.25">
      <c r="A172" s="48">
        <v>169</v>
      </c>
      <c r="B172" s="171" t="str">
        <f>IF(A172&lt;=SUM(Stand!$H$3:$H$29),VLOOKUP(A172,Stand!$A$3:$C$29,3,TRUE),"")</f>
        <v/>
      </c>
      <c r="C172" s="172" t="str">
        <f t="shared" si="8"/>
        <v/>
      </c>
      <c r="D172" s="173" t="str">
        <f>IF(B172="","",VLOOKUP(B172&amp;C172,Plot!$B$2:$D$199,3,FALSE))</f>
        <v/>
      </c>
      <c r="E172" s="130"/>
      <c r="F172" s="152" t="str">
        <f>IF(B172="","",SUMIFS(Tree!$O:$O,Tree!$A:$A,'Pre-Harvest Plots_rpt'!$B172,Tree!$B:$B,'Pre-Harvest Plots_rpt'!$D172,Tree!$F:$F,"L",Tree!$K:$K,"&lt;&gt;"&amp;"Y"))</f>
        <v/>
      </c>
      <c r="G172" s="153" t="str">
        <f>IFERROR(IF(D172="","",SUMIFS(Tree!$P:$P,Tree!$A:$A,'Pre-Harvest Plots_rpt'!$B172,Tree!$B:$B,'Pre-Harvest Plots_rpt'!$D172,Tree!$K:$K,"&lt;&gt;"&amp;"Y")/$F172),"")</f>
        <v/>
      </c>
      <c r="H172" s="122" t="str">
        <f t="shared" si="9"/>
        <v/>
      </c>
      <c r="I172" s="121" t="str">
        <f>IF(OR($F172=0,$F172=""),"",SUMIFS(Tree!$R:$R,Tree!$A:$A,'Pre-Harvest Plots_rpt'!$B172,Tree!$B:$B,'Pre-Harvest Plots_rpt'!$D172,Tree!$F:$F,"L",Tree!$K:$K,"&lt;&gt;"&amp;"Y"))</f>
        <v/>
      </c>
      <c r="J172" s="121" t="str">
        <f>IF(OR($F172=0,$F172=""),"",IF(SUMIFS(Tree!$W:$W,Tree!$A:$A,'Pre-Harvest Plots_rpt'!$B172,Tree!$B:$B,'Pre-Harvest Plots_rpt'!$D172,Tree!$F:$F,"L",Tree!$K:$K,"&lt;&gt;"&amp;"Y")=0,0,AVERAGEIFS(Tree!$W:$W,Tree!$A:$A,'Pre-Harvest Plots_rpt'!$B172,Tree!$B:$B,'Pre-Harvest Plots_rpt'!$D172,Tree!$F:$F,"L",Tree!$K:$K,"&lt;&gt;"&amp;"Y")))</f>
        <v/>
      </c>
      <c r="K172" s="121" t="str">
        <f>IF($F172="","",SUMIFS(Tree!$S:$S,Tree!$A:$A,'Pre-Harvest Plots_rpt'!$B172,Tree!$B:$B,'Pre-Harvest Plots_rpt'!$D172,Tree!$F:$F,"L",Tree!$K:$K,"&lt;&gt;"&amp;"Y"))</f>
        <v/>
      </c>
      <c r="L172" s="154" t="str">
        <f t="shared" si="10"/>
        <v/>
      </c>
      <c r="M172" s="135"/>
      <c r="N172" s="192" t="str">
        <f>IF(B172="","",SUMIFS(Tree!$AM:$AM,Tree!$A:$A,'Pre-Harvest Plots_rpt'!$B172,Tree!$B:$B,'Pre-Harvest Plots_rpt'!$D172,Tree!$F:$F,"L",Tree!$K:$K,"&lt;&gt;"&amp;"Y"))</f>
        <v/>
      </c>
      <c r="O172" s="122" t="str">
        <f>IF(B172="","",SUMIFS(Tree!$AN:$AN,Tree!$A:$A,'Pre-Harvest Plots_rpt'!$B172,Tree!$B:$B,'Pre-Harvest Plots_rpt'!$D172,Tree!$F:$F,"L",Tree!$K:$K,"&lt;&gt;"&amp;"Y"))</f>
        <v/>
      </c>
      <c r="P172" s="122" t="str">
        <f>IF(B172="","",SUMIFS(Tree!$AO:$AO,Tree!$A:$A,'Pre-Harvest Plots_rpt'!$B172,Tree!$B:$B,'Pre-Harvest Plots_rpt'!$D172,Tree!$F:$F,"L",Tree!$K:$K,"&lt;&gt;"&amp;"Y"))</f>
        <v/>
      </c>
      <c r="Q172" s="122" t="str">
        <f>IF(B172="","",SUMIFS(Tree!$AP:$AP,Tree!$A:$A,'Pre-Harvest Plots_rpt'!$B172,Tree!$B:$B,'Pre-Harvest Plots_rpt'!$D172,Tree!$F:$F,"L",Tree!$K:$K,"&lt;&gt;"&amp;"Y"))</f>
        <v/>
      </c>
      <c r="R172" s="123" t="str">
        <f>IF(B172="","",SUMIFS(Tree!$AQ:$AQ,Tree!$A:$A,'Pre-Harvest Plots_rpt'!$B172,Tree!$B:$B,'Pre-Harvest Plots_rpt'!$D172,Tree!$F:$F,"L",Tree!$K:$K,"&lt;&gt;"&amp;"Y"))</f>
        <v/>
      </c>
      <c r="S172" s="122" t="str">
        <f>IF(B172="","",SUMIFS(Tree!$AJ:$AJ,Tree!$A:$A,'Pre-Harvest Plots_rpt'!$B172,Tree!$B:$B,'Pre-Harvest Plots_rpt'!$D172,Tree!$F:$F,"L",Tree!$K:$K,"&lt;&gt;"&amp;"Y")-O172)</f>
        <v/>
      </c>
      <c r="T172" s="122" t="str">
        <f>IF(B172="","",SUMIFS(Tree!$AK:$AK,Tree!$A:$A,'Pre-Harvest Plots_rpt'!$B172,Tree!$B:$B,'Pre-Harvest Plots_rpt'!$D172,Tree!$F:$F,"L",Tree!$K:$K,"&lt;&gt;"&amp;"Y")-P172)</f>
        <v/>
      </c>
      <c r="U172" s="122" t="str">
        <f>IF(B172="","",SUMIFS(Tree!$AL:$AL,Tree!$A:$A,'Pre-Harvest Plots_rpt'!$B172,Tree!$B:$B,'Pre-Harvest Plots_rpt'!$D172,Tree!$F:$F,"L",Tree!$K:$K,"&lt;&gt;"&amp;"Y")-Q172)</f>
        <v/>
      </c>
      <c r="V172" s="123" t="str">
        <f>IF(B172="","",ROUND(SUMIFS(Tree!$AE:$AE,Tree!$A:$A,'Pre-Harvest Plots_rpt'!$B172,Tree!$B:$B,'Pre-Harvest Plots_rpt'!$D172,Tree!$F:$F,"L",Tree!$K:$K,"&lt;&gt;"&amp;"Y")-R172,1))</f>
        <v/>
      </c>
      <c r="W172" s="124" t="str">
        <f>IF(B172="","",SUMIFS(Tree!$AY:$AY,Tree!$A:$A,'Pre-Harvest Plots_rpt'!$B172,Tree!$B:$B,'Pre-Harvest Plots_rpt'!$D172,Tree!$F:$F,"L",Tree!$K:$K,"&lt;&gt;"&amp;"Y")/1000)</f>
        <v/>
      </c>
      <c r="X172" s="158" t="str">
        <f>IF(B172="","",ROUND((SUMIFS(Tree!$AW:$AW,Tree!$A:$A,'Pre-Harvest Plots_rpt'!$B172,Tree!$B:$B,'Pre-Harvest Plots_rpt'!$D172,Tree!$F:$F,"L",Tree!$K:$K,"&lt;&gt;"&amp;"Y")/1000)-W172,1))</f>
        <v/>
      </c>
      <c r="Y172" s="135"/>
      <c r="Z172" s="161" t="str">
        <f>IF(IF(B172="","",SUMIFS(Tree!$O:$O,Tree!$A:$A,'Pre-Harvest Plots_rpt'!$B172,Tree!$B:$B,'Pre-Harvest Plots_rpt'!$D172,Tree!$F:$F,"D",Tree!$K:$K,"&lt;&gt;"&amp;"Y"))=0,"",IF(B172="","",SUMIFS(Tree!$O:$O,Tree!$A:$A,'Pre-Harvest Plots_rpt'!$B172,Tree!$B:$B,'Pre-Harvest Plots_rpt'!$D172,Tree!$F:$F,"D",Tree!$K:$K,"&lt;&gt;"&amp;"Y")))</f>
        <v/>
      </c>
      <c r="AA172" s="125" t="str">
        <f t="shared" si="11"/>
        <v/>
      </c>
      <c r="AB172" s="125" t="str">
        <f>IF(Z172="","",SUMIFS(Tree!$R:$R,Tree!$A:$A,'Pre-Harvest Plots_rpt'!$B172,Tree!$B:$B,'Pre-Harvest Plots_rpt'!$D172,Tree!$F:$F,"D",Tree!$K:$K,"&lt;&gt;"&amp;"Y"))</f>
        <v/>
      </c>
      <c r="AC172" s="126" t="str">
        <f>IF(Z172="","",SUMIFS(Tree!$AM:$AM,Tree!$A:$A,'Pre-Harvest Plots_rpt'!$B172,Tree!$B:$B,'Pre-Harvest Plots_rpt'!$D172,Tree!$F:$F,"D",Tree!$K:$K,"&lt;&gt;"&amp;"Y"))</f>
        <v/>
      </c>
      <c r="AD172" s="162" t="str">
        <f>IF(Z172="","",SUMIFS(Tree!$AW:$AW,Tree!$A:$A,'Pre-Harvest Plots_rpt'!$B172,Tree!$B:$B,'Pre-Harvest Plots_rpt'!$D172,Tree!$F:$F,"D",Tree!$K:$K,"&lt;&gt;"&amp;"Y")/1000)</f>
        <v/>
      </c>
      <c r="AE172" s="47"/>
      <c r="AF172" s="18"/>
      <c r="AG172" s="18"/>
      <c r="AH172" s="18"/>
    </row>
    <row r="173" spans="1:34" ht="12.75" customHeight="1" x14ac:dyDescent="0.25">
      <c r="A173" s="48">
        <v>170</v>
      </c>
      <c r="B173" s="171" t="str">
        <f>IF(A173&lt;=SUM(Stand!$H$3:$H$29),VLOOKUP(A173,Stand!$A$3:$C$29,3,TRUE),"")</f>
        <v/>
      </c>
      <c r="C173" s="172" t="str">
        <f t="shared" si="8"/>
        <v/>
      </c>
      <c r="D173" s="173" t="str">
        <f>IF(B173="","",VLOOKUP(B173&amp;C173,Plot!$B$2:$D$199,3,FALSE))</f>
        <v/>
      </c>
      <c r="E173" s="130"/>
      <c r="F173" s="152" t="str">
        <f>IF(B173="","",SUMIFS(Tree!$O:$O,Tree!$A:$A,'Pre-Harvest Plots_rpt'!$B173,Tree!$B:$B,'Pre-Harvest Plots_rpt'!$D173,Tree!$F:$F,"L",Tree!$K:$K,"&lt;&gt;"&amp;"Y"))</f>
        <v/>
      </c>
      <c r="G173" s="153" t="str">
        <f>IFERROR(IF(D173="","",SUMIFS(Tree!$P:$P,Tree!$A:$A,'Pre-Harvest Plots_rpt'!$B173,Tree!$B:$B,'Pre-Harvest Plots_rpt'!$D173,Tree!$K:$K,"&lt;&gt;"&amp;"Y")/$F173),"")</f>
        <v/>
      </c>
      <c r="H173" s="122" t="str">
        <f t="shared" si="9"/>
        <v/>
      </c>
      <c r="I173" s="121" t="str">
        <f>IF(OR($F173=0,$F173=""),"",SUMIFS(Tree!$R:$R,Tree!$A:$A,'Pre-Harvest Plots_rpt'!$B173,Tree!$B:$B,'Pre-Harvest Plots_rpt'!$D173,Tree!$F:$F,"L",Tree!$K:$K,"&lt;&gt;"&amp;"Y"))</f>
        <v/>
      </c>
      <c r="J173" s="121" t="str">
        <f>IF(OR($F173=0,$F173=""),"",IF(SUMIFS(Tree!$W:$W,Tree!$A:$A,'Pre-Harvest Plots_rpt'!$B173,Tree!$B:$B,'Pre-Harvest Plots_rpt'!$D173,Tree!$F:$F,"L",Tree!$K:$K,"&lt;&gt;"&amp;"Y")=0,0,AVERAGEIFS(Tree!$W:$W,Tree!$A:$A,'Pre-Harvest Plots_rpt'!$B173,Tree!$B:$B,'Pre-Harvest Plots_rpt'!$D173,Tree!$F:$F,"L",Tree!$K:$K,"&lt;&gt;"&amp;"Y")))</f>
        <v/>
      </c>
      <c r="K173" s="121" t="str">
        <f>IF($F173="","",SUMIFS(Tree!$S:$S,Tree!$A:$A,'Pre-Harvest Plots_rpt'!$B173,Tree!$B:$B,'Pre-Harvest Plots_rpt'!$D173,Tree!$F:$F,"L",Tree!$K:$K,"&lt;&gt;"&amp;"Y"))</f>
        <v/>
      </c>
      <c r="L173" s="154" t="str">
        <f t="shared" si="10"/>
        <v/>
      </c>
      <c r="M173" s="135"/>
      <c r="N173" s="192" t="str">
        <f>IF(B173="","",SUMIFS(Tree!$AM:$AM,Tree!$A:$A,'Pre-Harvest Plots_rpt'!$B173,Tree!$B:$B,'Pre-Harvest Plots_rpt'!$D173,Tree!$F:$F,"L",Tree!$K:$K,"&lt;&gt;"&amp;"Y"))</f>
        <v/>
      </c>
      <c r="O173" s="122" t="str">
        <f>IF(B173="","",SUMIFS(Tree!$AN:$AN,Tree!$A:$A,'Pre-Harvest Plots_rpt'!$B173,Tree!$B:$B,'Pre-Harvest Plots_rpt'!$D173,Tree!$F:$F,"L",Tree!$K:$K,"&lt;&gt;"&amp;"Y"))</f>
        <v/>
      </c>
      <c r="P173" s="122" t="str">
        <f>IF(B173="","",SUMIFS(Tree!$AO:$AO,Tree!$A:$A,'Pre-Harvest Plots_rpt'!$B173,Tree!$B:$B,'Pre-Harvest Plots_rpt'!$D173,Tree!$F:$F,"L",Tree!$K:$K,"&lt;&gt;"&amp;"Y"))</f>
        <v/>
      </c>
      <c r="Q173" s="122" t="str">
        <f>IF(B173="","",SUMIFS(Tree!$AP:$AP,Tree!$A:$A,'Pre-Harvest Plots_rpt'!$B173,Tree!$B:$B,'Pre-Harvest Plots_rpt'!$D173,Tree!$F:$F,"L",Tree!$K:$K,"&lt;&gt;"&amp;"Y"))</f>
        <v/>
      </c>
      <c r="R173" s="123" t="str">
        <f>IF(B173="","",SUMIFS(Tree!$AQ:$AQ,Tree!$A:$A,'Pre-Harvest Plots_rpt'!$B173,Tree!$B:$B,'Pre-Harvest Plots_rpt'!$D173,Tree!$F:$F,"L",Tree!$K:$K,"&lt;&gt;"&amp;"Y"))</f>
        <v/>
      </c>
      <c r="S173" s="122" t="str">
        <f>IF(B173="","",SUMIFS(Tree!$AJ:$AJ,Tree!$A:$A,'Pre-Harvest Plots_rpt'!$B173,Tree!$B:$B,'Pre-Harvest Plots_rpt'!$D173,Tree!$F:$F,"L",Tree!$K:$K,"&lt;&gt;"&amp;"Y")-O173)</f>
        <v/>
      </c>
      <c r="T173" s="122" t="str">
        <f>IF(B173="","",SUMIFS(Tree!$AK:$AK,Tree!$A:$A,'Pre-Harvest Plots_rpt'!$B173,Tree!$B:$B,'Pre-Harvest Plots_rpt'!$D173,Tree!$F:$F,"L",Tree!$K:$K,"&lt;&gt;"&amp;"Y")-P173)</f>
        <v/>
      </c>
      <c r="U173" s="122" t="str">
        <f>IF(B173="","",SUMIFS(Tree!$AL:$AL,Tree!$A:$A,'Pre-Harvest Plots_rpt'!$B173,Tree!$B:$B,'Pre-Harvest Plots_rpt'!$D173,Tree!$F:$F,"L",Tree!$K:$K,"&lt;&gt;"&amp;"Y")-Q173)</f>
        <v/>
      </c>
      <c r="V173" s="123" t="str">
        <f>IF(B173="","",ROUND(SUMIFS(Tree!$AE:$AE,Tree!$A:$A,'Pre-Harvest Plots_rpt'!$B173,Tree!$B:$B,'Pre-Harvest Plots_rpt'!$D173,Tree!$F:$F,"L",Tree!$K:$K,"&lt;&gt;"&amp;"Y")-R173,1))</f>
        <v/>
      </c>
      <c r="W173" s="124" t="str">
        <f>IF(B173="","",SUMIFS(Tree!$AY:$AY,Tree!$A:$A,'Pre-Harvest Plots_rpt'!$B173,Tree!$B:$B,'Pre-Harvest Plots_rpt'!$D173,Tree!$F:$F,"L",Tree!$K:$K,"&lt;&gt;"&amp;"Y")/1000)</f>
        <v/>
      </c>
      <c r="X173" s="158" t="str">
        <f>IF(B173="","",ROUND((SUMIFS(Tree!$AW:$AW,Tree!$A:$A,'Pre-Harvest Plots_rpt'!$B173,Tree!$B:$B,'Pre-Harvest Plots_rpt'!$D173,Tree!$F:$F,"L",Tree!$K:$K,"&lt;&gt;"&amp;"Y")/1000)-W173,1))</f>
        <v/>
      </c>
      <c r="Y173" s="135"/>
      <c r="Z173" s="161" t="str">
        <f>IF(IF(B173="","",SUMIFS(Tree!$O:$O,Tree!$A:$A,'Pre-Harvest Plots_rpt'!$B173,Tree!$B:$B,'Pre-Harvest Plots_rpt'!$D173,Tree!$F:$F,"D",Tree!$K:$K,"&lt;&gt;"&amp;"Y"))=0,"",IF(B173="","",SUMIFS(Tree!$O:$O,Tree!$A:$A,'Pre-Harvest Plots_rpt'!$B173,Tree!$B:$B,'Pre-Harvest Plots_rpt'!$D173,Tree!$F:$F,"D",Tree!$K:$K,"&lt;&gt;"&amp;"Y")))</f>
        <v/>
      </c>
      <c r="AA173" s="125" t="str">
        <f t="shared" si="11"/>
        <v/>
      </c>
      <c r="AB173" s="125" t="str">
        <f>IF(Z173="","",SUMIFS(Tree!$R:$R,Tree!$A:$A,'Pre-Harvest Plots_rpt'!$B173,Tree!$B:$B,'Pre-Harvest Plots_rpt'!$D173,Tree!$F:$F,"D",Tree!$K:$K,"&lt;&gt;"&amp;"Y"))</f>
        <v/>
      </c>
      <c r="AC173" s="126" t="str">
        <f>IF(Z173="","",SUMIFS(Tree!$AM:$AM,Tree!$A:$A,'Pre-Harvest Plots_rpt'!$B173,Tree!$B:$B,'Pre-Harvest Plots_rpt'!$D173,Tree!$F:$F,"D",Tree!$K:$K,"&lt;&gt;"&amp;"Y"))</f>
        <v/>
      </c>
      <c r="AD173" s="162" t="str">
        <f>IF(Z173="","",SUMIFS(Tree!$AW:$AW,Tree!$A:$A,'Pre-Harvest Plots_rpt'!$B173,Tree!$B:$B,'Pre-Harvest Plots_rpt'!$D173,Tree!$F:$F,"D",Tree!$K:$K,"&lt;&gt;"&amp;"Y")/1000)</f>
        <v/>
      </c>
      <c r="AE173" s="47"/>
      <c r="AF173" s="18"/>
      <c r="AG173" s="18"/>
      <c r="AH173" s="18"/>
    </row>
    <row r="174" spans="1:34" ht="12.75" customHeight="1" x14ac:dyDescent="0.25">
      <c r="A174" s="48">
        <v>171</v>
      </c>
      <c r="B174" s="171" t="str">
        <f>IF(A174&lt;=SUM(Stand!$H$3:$H$29),VLOOKUP(A174,Stand!$A$3:$C$29,3,TRUE),"")</f>
        <v/>
      </c>
      <c r="C174" s="172" t="str">
        <f t="shared" si="8"/>
        <v/>
      </c>
      <c r="D174" s="173" t="str">
        <f>IF(B174="","",VLOOKUP(B174&amp;C174,Plot!$B$2:$D$199,3,FALSE))</f>
        <v/>
      </c>
      <c r="E174" s="130"/>
      <c r="F174" s="152" t="str">
        <f>IF(B174="","",SUMIFS(Tree!$O:$O,Tree!$A:$A,'Pre-Harvest Plots_rpt'!$B174,Tree!$B:$B,'Pre-Harvest Plots_rpt'!$D174,Tree!$F:$F,"L",Tree!$K:$K,"&lt;&gt;"&amp;"Y"))</f>
        <v/>
      </c>
      <c r="G174" s="153" t="str">
        <f>IFERROR(IF(D174="","",SUMIFS(Tree!$P:$P,Tree!$A:$A,'Pre-Harvest Plots_rpt'!$B174,Tree!$B:$B,'Pre-Harvest Plots_rpt'!$D174,Tree!$K:$K,"&lt;&gt;"&amp;"Y")/$F174),"")</f>
        <v/>
      </c>
      <c r="H174" s="122" t="str">
        <f t="shared" si="9"/>
        <v/>
      </c>
      <c r="I174" s="121" t="str">
        <f>IF(OR($F174=0,$F174=""),"",SUMIFS(Tree!$R:$R,Tree!$A:$A,'Pre-Harvest Plots_rpt'!$B174,Tree!$B:$B,'Pre-Harvest Plots_rpt'!$D174,Tree!$F:$F,"L",Tree!$K:$K,"&lt;&gt;"&amp;"Y"))</f>
        <v/>
      </c>
      <c r="J174" s="121" t="str">
        <f>IF(OR($F174=0,$F174=""),"",IF(SUMIFS(Tree!$W:$W,Tree!$A:$A,'Pre-Harvest Plots_rpt'!$B174,Tree!$B:$B,'Pre-Harvest Plots_rpt'!$D174,Tree!$F:$F,"L",Tree!$K:$K,"&lt;&gt;"&amp;"Y")=0,0,AVERAGEIFS(Tree!$W:$W,Tree!$A:$A,'Pre-Harvest Plots_rpt'!$B174,Tree!$B:$B,'Pre-Harvest Plots_rpt'!$D174,Tree!$F:$F,"L",Tree!$K:$K,"&lt;&gt;"&amp;"Y")))</f>
        <v/>
      </c>
      <c r="K174" s="121" t="str">
        <f>IF($F174="","",SUMIFS(Tree!$S:$S,Tree!$A:$A,'Pre-Harvest Plots_rpt'!$B174,Tree!$B:$B,'Pre-Harvest Plots_rpt'!$D174,Tree!$F:$F,"L",Tree!$K:$K,"&lt;&gt;"&amp;"Y"))</f>
        <v/>
      </c>
      <c r="L174" s="154" t="str">
        <f t="shared" si="10"/>
        <v/>
      </c>
      <c r="M174" s="135"/>
      <c r="N174" s="192" t="str">
        <f>IF(B174="","",SUMIFS(Tree!$AM:$AM,Tree!$A:$A,'Pre-Harvest Plots_rpt'!$B174,Tree!$B:$B,'Pre-Harvest Plots_rpt'!$D174,Tree!$F:$F,"L",Tree!$K:$K,"&lt;&gt;"&amp;"Y"))</f>
        <v/>
      </c>
      <c r="O174" s="122" t="str">
        <f>IF(B174="","",SUMIFS(Tree!$AN:$AN,Tree!$A:$A,'Pre-Harvest Plots_rpt'!$B174,Tree!$B:$B,'Pre-Harvest Plots_rpt'!$D174,Tree!$F:$F,"L",Tree!$K:$K,"&lt;&gt;"&amp;"Y"))</f>
        <v/>
      </c>
      <c r="P174" s="122" t="str">
        <f>IF(B174="","",SUMIFS(Tree!$AO:$AO,Tree!$A:$A,'Pre-Harvest Plots_rpt'!$B174,Tree!$B:$B,'Pre-Harvest Plots_rpt'!$D174,Tree!$F:$F,"L",Tree!$K:$K,"&lt;&gt;"&amp;"Y"))</f>
        <v/>
      </c>
      <c r="Q174" s="122" t="str">
        <f>IF(B174="","",SUMIFS(Tree!$AP:$AP,Tree!$A:$A,'Pre-Harvest Plots_rpt'!$B174,Tree!$B:$B,'Pre-Harvest Plots_rpt'!$D174,Tree!$F:$F,"L",Tree!$K:$K,"&lt;&gt;"&amp;"Y"))</f>
        <v/>
      </c>
      <c r="R174" s="123" t="str">
        <f>IF(B174="","",SUMIFS(Tree!$AQ:$AQ,Tree!$A:$A,'Pre-Harvest Plots_rpt'!$B174,Tree!$B:$B,'Pre-Harvest Plots_rpt'!$D174,Tree!$F:$F,"L",Tree!$K:$K,"&lt;&gt;"&amp;"Y"))</f>
        <v/>
      </c>
      <c r="S174" s="122" t="str">
        <f>IF(B174="","",SUMIFS(Tree!$AJ:$AJ,Tree!$A:$A,'Pre-Harvest Plots_rpt'!$B174,Tree!$B:$B,'Pre-Harvest Plots_rpt'!$D174,Tree!$F:$F,"L",Tree!$K:$K,"&lt;&gt;"&amp;"Y")-O174)</f>
        <v/>
      </c>
      <c r="T174" s="122" t="str">
        <f>IF(B174="","",SUMIFS(Tree!$AK:$AK,Tree!$A:$A,'Pre-Harvest Plots_rpt'!$B174,Tree!$B:$B,'Pre-Harvest Plots_rpt'!$D174,Tree!$F:$F,"L",Tree!$K:$K,"&lt;&gt;"&amp;"Y")-P174)</f>
        <v/>
      </c>
      <c r="U174" s="122" t="str">
        <f>IF(B174="","",SUMIFS(Tree!$AL:$AL,Tree!$A:$A,'Pre-Harvest Plots_rpt'!$B174,Tree!$B:$B,'Pre-Harvest Plots_rpt'!$D174,Tree!$F:$F,"L",Tree!$K:$K,"&lt;&gt;"&amp;"Y")-Q174)</f>
        <v/>
      </c>
      <c r="V174" s="123" t="str">
        <f>IF(B174="","",ROUND(SUMIFS(Tree!$AE:$AE,Tree!$A:$A,'Pre-Harvest Plots_rpt'!$B174,Tree!$B:$B,'Pre-Harvest Plots_rpt'!$D174,Tree!$F:$F,"L",Tree!$K:$K,"&lt;&gt;"&amp;"Y")-R174,1))</f>
        <v/>
      </c>
      <c r="W174" s="124" t="str">
        <f>IF(B174="","",SUMIFS(Tree!$AY:$AY,Tree!$A:$A,'Pre-Harvest Plots_rpt'!$B174,Tree!$B:$B,'Pre-Harvest Plots_rpt'!$D174,Tree!$F:$F,"L",Tree!$K:$K,"&lt;&gt;"&amp;"Y")/1000)</f>
        <v/>
      </c>
      <c r="X174" s="158" t="str">
        <f>IF(B174="","",ROUND((SUMIFS(Tree!$AW:$AW,Tree!$A:$A,'Pre-Harvest Plots_rpt'!$B174,Tree!$B:$B,'Pre-Harvest Plots_rpt'!$D174,Tree!$F:$F,"L",Tree!$K:$K,"&lt;&gt;"&amp;"Y")/1000)-W174,1))</f>
        <v/>
      </c>
      <c r="Y174" s="135"/>
      <c r="Z174" s="161" t="str">
        <f>IF(IF(B174="","",SUMIFS(Tree!$O:$O,Tree!$A:$A,'Pre-Harvest Plots_rpt'!$B174,Tree!$B:$B,'Pre-Harvest Plots_rpt'!$D174,Tree!$F:$F,"D",Tree!$K:$K,"&lt;&gt;"&amp;"Y"))=0,"",IF(B174="","",SUMIFS(Tree!$O:$O,Tree!$A:$A,'Pre-Harvest Plots_rpt'!$B174,Tree!$B:$B,'Pre-Harvest Plots_rpt'!$D174,Tree!$F:$F,"D",Tree!$K:$K,"&lt;&gt;"&amp;"Y")))</f>
        <v/>
      </c>
      <c r="AA174" s="125" t="str">
        <f t="shared" si="11"/>
        <v/>
      </c>
      <c r="AB174" s="125" t="str">
        <f>IF(Z174="","",SUMIFS(Tree!$R:$R,Tree!$A:$A,'Pre-Harvest Plots_rpt'!$B174,Tree!$B:$B,'Pre-Harvest Plots_rpt'!$D174,Tree!$F:$F,"D",Tree!$K:$K,"&lt;&gt;"&amp;"Y"))</f>
        <v/>
      </c>
      <c r="AC174" s="126" t="str">
        <f>IF(Z174="","",SUMIFS(Tree!$AM:$AM,Tree!$A:$A,'Pre-Harvest Plots_rpt'!$B174,Tree!$B:$B,'Pre-Harvest Plots_rpt'!$D174,Tree!$F:$F,"D",Tree!$K:$K,"&lt;&gt;"&amp;"Y"))</f>
        <v/>
      </c>
      <c r="AD174" s="162" t="str">
        <f>IF(Z174="","",SUMIFS(Tree!$AW:$AW,Tree!$A:$A,'Pre-Harvest Plots_rpt'!$B174,Tree!$B:$B,'Pre-Harvest Plots_rpt'!$D174,Tree!$F:$F,"D",Tree!$K:$K,"&lt;&gt;"&amp;"Y")/1000)</f>
        <v/>
      </c>
      <c r="AE174" s="47"/>
      <c r="AF174" s="18"/>
      <c r="AG174" s="18"/>
      <c r="AH174" s="18"/>
    </row>
    <row r="175" spans="1:34" ht="12.75" customHeight="1" x14ac:dyDescent="0.25">
      <c r="A175" s="48">
        <v>172</v>
      </c>
      <c r="B175" s="171" t="str">
        <f>IF(A175&lt;=SUM(Stand!$H$3:$H$29),VLOOKUP(A175,Stand!$A$3:$C$29,3,TRUE),"")</f>
        <v/>
      </c>
      <c r="C175" s="172" t="str">
        <f t="shared" si="8"/>
        <v/>
      </c>
      <c r="D175" s="173" t="str">
        <f>IF(B175="","",VLOOKUP(B175&amp;C175,Plot!$B$2:$D$199,3,FALSE))</f>
        <v/>
      </c>
      <c r="E175" s="130"/>
      <c r="F175" s="152" t="str">
        <f>IF(B175="","",SUMIFS(Tree!$O:$O,Tree!$A:$A,'Pre-Harvest Plots_rpt'!$B175,Tree!$B:$B,'Pre-Harvest Plots_rpt'!$D175,Tree!$F:$F,"L",Tree!$K:$K,"&lt;&gt;"&amp;"Y"))</f>
        <v/>
      </c>
      <c r="G175" s="153" t="str">
        <f>IFERROR(IF(D175="","",SUMIFS(Tree!$P:$P,Tree!$A:$A,'Pre-Harvest Plots_rpt'!$B175,Tree!$B:$B,'Pre-Harvest Plots_rpt'!$D175,Tree!$K:$K,"&lt;&gt;"&amp;"Y")/$F175),"")</f>
        <v/>
      </c>
      <c r="H175" s="122" t="str">
        <f t="shared" si="9"/>
        <v/>
      </c>
      <c r="I175" s="121" t="str">
        <f>IF(OR($F175=0,$F175=""),"",SUMIFS(Tree!$R:$R,Tree!$A:$A,'Pre-Harvest Plots_rpt'!$B175,Tree!$B:$B,'Pre-Harvest Plots_rpt'!$D175,Tree!$F:$F,"L",Tree!$K:$K,"&lt;&gt;"&amp;"Y"))</f>
        <v/>
      </c>
      <c r="J175" s="121" t="str">
        <f>IF(OR($F175=0,$F175=""),"",IF(SUMIFS(Tree!$W:$W,Tree!$A:$A,'Pre-Harvest Plots_rpt'!$B175,Tree!$B:$B,'Pre-Harvest Plots_rpt'!$D175,Tree!$F:$F,"L",Tree!$K:$K,"&lt;&gt;"&amp;"Y")=0,0,AVERAGEIFS(Tree!$W:$W,Tree!$A:$A,'Pre-Harvest Plots_rpt'!$B175,Tree!$B:$B,'Pre-Harvest Plots_rpt'!$D175,Tree!$F:$F,"L",Tree!$K:$K,"&lt;&gt;"&amp;"Y")))</f>
        <v/>
      </c>
      <c r="K175" s="121" t="str">
        <f>IF($F175="","",SUMIFS(Tree!$S:$S,Tree!$A:$A,'Pre-Harvest Plots_rpt'!$B175,Tree!$B:$B,'Pre-Harvest Plots_rpt'!$D175,Tree!$F:$F,"L",Tree!$K:$K,"&lt;&gt;"&amp;"Y"))</f>
        <v/>
      </c>
      <c r="L175" s="154" t="str">
        <f t="shared" si="10"/>
        <v/>
      </c>
      <c r="M175" s="135"/>
      <c r="N175" s="192" t="str">
        <f>IF(B175="","",SUMIFS(Tree!$AM:$AM,Tree!$A:$A,'Pre-Harvest Plots_rpt'!$B175,Tree!$B:$B,'Pre-Harvest Plots_rpt'!$D175,Tree!$F:$F,"L",Tree!$K:$K,"&lt;&gt;"&amp;"Y"))</f>
        <v/>
      </c>
      <c r="O175" s="122" t="str">
        <f>IF(B175="","",SUMIFS(Tree!$AN:$AN,Tree!$A:$A,'Pre-Harvest Plots_rpt'!$B175,Tree!$B:$B,'Pre-Harvest Plots_rpt'!$D175,Tree!$F:$F,"L",Tree!$K:$K,"&lt;&gt;"&amp;"Y"))</f>
        <v/>
      </c>
      <c r="P175" s="122" t="str">
        <f>IF(B175="","",SUMIFS(Tree!$AO:$AO,Tree!$A:$A,'Pre-Harvest Plots_rpt'!$B175,Tree!$B:$B,'Pre-Harvest Plots_rpt'!$D175,Tree!$F:$F,"L",Tree!$K:$K,"&lt;&gt;"&amp;"Y"))</f>
        <v/>
      </c>
      <c r="Q175" s="122" t="str">
        <f>IF(B175="","",SUMIFS(Tree!$AP:$AP,Tree!$A:$A,'Pre-Harvest Plots_rpt'!$B175,Tree!$B:$B,'Pre-Harvest Plots_rpt'!$D175,Tree!$F:$F,"L",Tree!$K:$K,"&lt;&gt;"&amp;"Y"))</f>
        <v/>
      </c>
      <c r="R175" s="123" t="str">
        <f>IF(B175="","",SUMIFS(Tree!$AQ:$AQ,Tree!$A:$A,'Pre-Harvest Plots_rpt'!$B175,Tree!$B:$B,'Pre-Harvest Plots_rpt'!$D175,Tree!$F:$F,"L",Tree!$K:$K,"&lt;&gt;"&amp;"Y"))</f>
        <v/>
      </c>
      <c r="S175" s="122" t="str">
        <f>IF(B175="","",SUMIFS(Tree!$AJ:$AJ,Tree!$A:$A,'Pre-Harvest Plots_rpt'!$B175,Tree!$B:$B,'Pre-Harvest Plots_rpt'!$D175,Tree!$F:$F,"L",Tree!$K:$K,"&lt;&gt;"&amp;"Y")-O175)</f>
        <v/>
      </c>
      <c r="T175" s="122" t="str">
        <f>IF(B175="","",SUMIFS(Tree!$AK:$AK,Tree!$A:$A,'Pre-Harvest Plots_rpt'!$B175,Tree!$B:$B,'Pre-Harvest Plots_rpt'!$D175,Tree!$F:$F,"L",Tree!$K:$K,"&lt;&gt;"&amp;"Y")-P175)</f>
        <v/>
      </c>
      <c r="U175" s="122" t="str">
        <f>IF(B175="","",SUMIFS(Tree!$AL:$AL,Tree!$A:$A,'Pre-Harvest Plots_rpt'!$B175,Tree!$B:$B,'Pre-Harvest Plots_rpt'!$D175,Tree!$F:$F,"L",Tree!$K:$K,"&lt;&gt;"&amp;"Y")-Q175)</f>
        <v/>
      </c>
      <c r="V175" s="123" t="str">
        <f>IF(B175="","",ROUND(SUMIFS(Tree!$AE:$AE,Tree!$A:$A,'Pre-Harvest Plots_rpt'!$B175,Tree!$B:$B,'Pre-Harvest Plots_rpt'!$D175,Tree!$F:$F,"L",Tree!$K:$K,"&lt;&gt;"&amp;"Y")-R175,1))</f>
        <v/>
      </c>
      <c r="W175" s="124" t="str">
        <f>IF(B175="","",SUMIFS(Tree!$AY:$AY,Tree!$A:$A,'Pre-Harvest Plots_rpt'!$B175,Tree!$B:$B,'Pre-Harvest Plots_rpt'!$D175,Tree!$F:$F,"L",Tree!$K:$K,"&lt;&gt;"&amp;"Y")/1000)</f>
        <v/>
      </c>
      <c r="X175" s="158" t="str">
        <f>IF(B175="","",ROUND((SUMIFS(Tree!$AW:$AW,Tree!$A:$A,'Pre-Harvest Plots_rpt'!$B175,Tree!$B:$B,'Pre-Harvest Plots_rpt'!$D175,Tree!$F:$F,"L",Tree!$K:$K,"&lt;&gt;"&amp;"Y")/1000)-W175,1))</f>
        <v/>
      </c>
      <c r="Y175" s="135"/>
      <c r="Z175" s="161" t="str">
        <f>IF(IF(B175="","",SUMIFS(Tree!$O:$O,Tree!$A:$A,'Pre-Harvest Plots_rpt'!$B175,Tree!$B:$B,'Pre-Harvest Plots_rpt'!$D175,Tree!$F:$F,"D",Tree!$K:$K,"&lt;&gt;"&amp;"Y"))=0,"",IF(B175="","",SUMIFS(Tree!$O:$O,Tree!$A:$A,'Pre-Harvest Plots_rpt'!$B175,Tree!$B:$B,'Pre-Harvest Plots_rpt'!$D175,Tree!$F:$F,"D",Tree!$K:$K,"&lt;&gt;"&amp;"Y")))</f>
        <v/>
      </c>
      <c r="AA175" s="125" t="str">
        <f t="shared" si="11"/>
        <v/>
      </c>
      <c r="AB175" s="125" t="str">
        <f>IF(Z175="","",SUMIFS(Tree!$R:$R,Tree!$A:$A,'Pre-Harvest Plots_rpt'!$B175,Tree!$B:$B,'Pre-Harvest Plots_rpt'!$D175,Tree!$F:$F,"D",Tree!$K:$K,"&lt;&gt;"&amp;"Y"))</f>
        <v/>
      </c>
      <c r="AC175" s="126" t="str">
        <f>IF(Z175="","",SUMIFS(Tree!$AM:$AM,Tree!$A:$A,'Pre-Harvest Plots_rpt'!$B175,Tree!$B:$B,'Pre-Harvest Plots_rpt'!$D175,Tree!$F:$F,"D",Tree!$K:$K,"&lt;&gt;"&amp;"Y"))</f>
        <v/>
      </c>
      <c r="AD175" s="162" t="str">
        <f>IF(Z175="","",SUMIFS(Tree!$AW:$AW,Tree!$A:$A,'Pre-Harvest Plots_rpt'!$B175,Tree!$B:$B,'Pre-Harvest Plots_rpt'!$D175,Tree!$F:$F,"D",Tree!$K:$K,"&lt;&gt;"&amp;"Y")/1000)</f>
        <v/>
      </c>
      <c r="AE175" s="47"/>
      <c r="AF175" s="18"/>
      <c r="AG175" s="18"/>
      <c r="AH175" s="18"/>
    </row>
    <row r="176" spans="1:34" ht="12.75" customHeight="1" x14ac:dyDescent="0.25">
      <c r="A176" s="48">
        <v>173</v>
      </c>
      <c r="B176" s="171" t="str">
        <f>IF(A176&lt;=SUM(Stand!$H$3:$H$29),VLOOKUP(A176,Stand!$A$3:$C$29,3,TRUE),"")</f>
        <v/>
      </c>
      <c r="C176" s="172" t="str">
        <f t="shared" si="8"/>
        <v/>
      </c>
      <c r="D176" s="173" t="str">
        <f>IF(B176="","",VLOOKUP(B176&amp;C176,Plot!$B$2:$D$199,3,FALSE))</f>
        <v/>
      </c>
      <c r="E176" s="130"/>
      <c r="F176" s="152" t="str">
        <f>IF(B176="","",SUMIFS(Tree!$O:$O,Tree!$A:$A,'Pre-Harvest Plots_rpt'!$B176,Tree!$B:$B,'Pre-Harvest Plots_rpt'!$D176,Tree!$F:$F,"L",Tree!$K:$K,"&lt;&gt;"&amp;"Y"))</f>
        <v/>
      </c>
      <c r="G176" s="153" t="str">
        <f>IFERROR(IF(D176="","",SUMIFS(Tree!$P:$P,Tree!$A:$A,'Pre-Harvest Plots_rpt'!$B176,Tree!$B:$B,'Pre-Harvest Plots_rpt'!$D176,Tree!$K:$K,"&lt;&gt;"&amp;"Y")/$F176),"")</f>
        <v/>
      </c>
      <c r="H176" s="122" t="str">
        <f t="shared" si="9"/>
        <v/>
      </c>
      <c r="I176" s="121" t="str">
        <f>IF(OR($F176=0,$F176=""),"",SUMIFS(Tree!$R:$R,Tree!$A:$A,'Pre-Harvest Plots_rpt'!$B176,Tree!$B:$B,'Pre-Harvest Plots_rpt'!$D176,Tree!$F:$F,"L",Tree!$K:$K,"&lt;&gt;"&amp;"Y"))</f>
        <v/>
      </c>
      <c r="J176" s="121" t="str">
        <f>IF(OR($F176=0,$F176=""),"",IF(SUMIFS(Tree!$W:$W,Tree!$A:$A,'Pre-Harvest Plots_rpt'!$B176,Tree!$B:$B,'Pre-Harvest Plots_rpt'!$D176,Tree!$F:$F,"L",Tree!$K:$K,"&lt;&gt;"&amp;"Y")=0,0,AVERAGEIFS(Tree!$W:$W,Tree!$A:$A,'Pre-Harvest Plots_rpt'!$B176,Tree!$B:$B,'Pre-Harvest Plots_rpt'!$D176,Tree!$F:$F,"L",Tree!$K:$K,"&lt;&gt;"&amp;"Y")))</f>
        <v/>
      </c>
      <c r="K176" s="121" t="str">
        <f>IF($F176="","",SUMIFS(Tree!$S:$S,Tree!$A:$A,'Pre-Harvest Plots_rpt'!$B176,Tree!$B:$B,'Pre-Harvest Plots_rpt'!$D176,Tree!$F:$F,"L",Tree!$K:$K,"&lt;&gt;"&amp;"Y"))</f>
        <v/>
      </c>
      <c r="L176" s="154" t="str">
        <f t="shared" si="10"/>
        <v/>
      </c>
      <c r="M176" s="135"/>
      <c r="N176" s="192" t="str">
        <f>IF(B176="","",SUMIFS(Tree!$AM:$AM,Tree!$A:$A,'Pre-Harvest Plots_rpt'!$B176,Tree!$B:$B,'Pre-Harvest Plots_rpt'!$D176,Tree!$F:$F,"L",Tree!$K:$K,"&lt;&gt;"&amp;"Y"))</f>
        <v/>
      </c>
      <c r="O176" s="122" t="str">
        <f>IF(B176="","",SUMIFS(Tree!$AN:$AN,Tree!$A:$A,'Pre-Harvest Plots_rpt'!$B176,Tree!$B:$B,'Pre-Harvest Plots_rpt'!$D176,Tree!$F:$F,"L",Tree!$K:$K,"&lt;&gt;"&amp;"Y"))</f>
        <v/>
      </c>
      <c r="P176" s="122" t="str">
        <f>IF(B176="","",SUMIFS(Tree!$AO:$AO,Tree!$A:$A,'Pre-Harvest Plots_rpt'!$B176,Tree!$B:$B,'Pre-Harvest Plots_rpt'!$D176,Tree!$F:$F,"L",Tree!$K:$K,"&lt;&gt;"&amp;"Y"))</f>
        <v/>
      </c>
      <c r="Q176" s="122" t="str">
        <f>IF(B176="","",SUMIFS(Tree!$AP:$AP,Tree!$A:$A,'Pre-Harvest Plots_rpt'!$B176,Tree!$B:$B,'Pre-Harvest Plots_rpt'!$D176,Tree!$F:$F,"L",Tree!$K:$K,"&lt;&gt;"&amp;"Y"))</f>
        <v/>
      </c>
      <c r="R176" s="123" t="str">
        <f>IF(B176="","",SUMIFS(Tree!$AQ:$AQ,Tree!$A:$A,'Pre-Harvest Plots_rpt'!$B176,Tree!$B:$B,'Pre-Harvest Plots_rpt'!$D176,Tree!$F:$F,"L",Tree!$K:$K,"&lt;&gt;"&amp;"Y"))</f>
        <v/>
      </c>
      <c r="S176" s="122" t="str">
        <f>IF(B176="","",SUMIFS(Tree!$AJ:$AJ,Tree!$A:$A,'Pre-Harvest Plots_rpt'!$B176,Tree!$B:$B,'Pre-Harvest Plots_rpt'!$D176,Tree!$F:$F,"L",Tree!$K:$K,"&lt;&gt;"&amp;"Y")-O176)</f>
        <v/>
      </c>
      <c r="T176" s="122" t="str">
        <f>IF(B176="","",SUMIFS(Tree!$AK:$AK,Tree!$A:$A,'Pre-Harvest Plots_rpt'!$B176,Tree!$B:$B,'Pre-Harvest Plots_rpt'!$D176,Tree!$F:$F,"L",Tree!$K:$K,"&lt;&gt;"&amp;"Y")-P176)</f>
        <v/>
      </c>
      <c r="U176" s="122" t="str">
        <f>IF(B176="","",SUMIFS(Tree!$AL:$AL,Tree!$A:$A,'Pre-Harvest Plots_rpt'!$B176,Tree!$B:$B,'Pre-Harvest Plots_rpt'!$D176,Tree!$F:$F,"L",Tree!$K:$K,"&lt;&gt;"&amp;"Y")-Q176)</f>
        <v/>
      </c>
      <c r="V176" s="123" t="str">
        <f>IF(B176="","",ROUND(SUMIFS(Tree!$AE:$AE,Tree!$A:$A,'Pre-Harvest Plots_rpt'!$B176,Tree!$B:$B,'Pre-Harvest Plots_rpt'!$D176,Tree!$F:$F,"L",Tree!$K:$K,"&lt;&gt;"&amp;"Y")-R176,1))</f>
        <v/>
      </c>
      <c r="W176" s="124" t="str">
        <f>IF(B176="","",SUMIFS(Tree!$AY:$AY,Tree!$A:$A,'Pre-Harvest Plots_rpt'!$B176,Tree!$B:$B,'Pre-Harvest Plots_rpt'!$D176,Tree!$F:$F,"L",Tree!$K:$K,"&lt;&gt;"&amp;"Y")/1000)</f>
        <v/>
      </c>
      <c r="X176" s="158" t="str">
        <f>IF(B176="","",ROUND((SUMIFS(Tree!$AW:$AW,Tree!$A:$A,'Pre-Harvest Plots_rpt'!$B176,Tree!$B:$B,'Pre-Harvest Plots_rpt'!$D176,Tree!$F:$F,"L",Tree!$K:$K,"&lt;&gt;"&amp;"Y")/1000)-W176,1))</f>
        <v/>
      </c>
      <c r="Y176" s="135"/>
      <c r="Z176" s="161" t="str">
        <f>IF(IF(B176="","",SUMIFS(Tree!$O:$O,Tree!$A:$A,'Pre-Harvest Plots_rpt'!$B176,Tree!$B:$B,'Pre-Harvest Plots_rpt'!$D176,Tree!$F:$F,"D",Tree!$K:$K,"&lt;&gt;"&amp;"Y"))=0,"",IF(B176="","",SUMIFS(Tree!$O:$O,Tree!$A:$A,'Pre-Harvest Plots_rpt'!$B176,Tree!$B:$B,'Pre-Harvest Plots_rpt'!$D176,Tree!$F:$F,"D",Tree!$K:$K,"&lt;&gt;"&amp;"Y")))</f>
        <v/>
      </c>
      <c r="AA176" s="125" t="str">
        <f t="shared" si="11"/>
        <v/>
      </c>
      <c r="AB176" s="125" t="str">
        <f>IF(Z176="","",SUMIFS(Tree!$R:$R,Tree!$A:$A,'Pre-Harvest Plots_rpt'!$B176,Tree!$B:$B,'Pre-Harvest Plots_rpt'!$D176,Tree!$F:$F,"D",Tree!$K:$K,"&lt;&gt;"&amp;"Y"))</f>
        <v/>
      </c>
      <c r="AC176" s="126" t="str">
        <f>IF(Z176="","",SUMIFS(Tree!$AM:$AM,Tree!$A:$A,'Pre-Harvest Plots_rpt'!$B176,Tree!$B:$B,'Pre-Harvest Plots_rpt'!$D176,Tree!$F:$F,"D",Tree!$K:$K,"&lt;&gt;"&amp;"Y"))</f>
        <v/>
      </c>
      <c r="AD176" s="162" t="str">
        <f>IF(Z176="","",SUMIFS(Tree!$AW:$AW,Tree!$A:$A,'Pre-Harvest Plots_rpt'!$B176,Tree!$B:$B,'Pre-Harvest Plots_rpt'!$D176,Tree!$F:$F,"D",Tree!$K:$K,"&lt;&gt;"&amp;"Y")/1000)</f>
        <v/>
      </c>
      <c r="AE176" s="47"/>
      <c r="AF176" s="18"/>
      <c r="AG176" s="18"/>
      <c r="AH176" s="18"/>
    </row>
    <row r="177" spans="1:34" ht="12.75" customHeight="1" x14ac:dyDescent="0.25">
      <c r="A177" s="48">
        <v>174</v>
      </c>
      <c r="B177" s="171" t="str">
        <f>IF(A177&lt;=SUM(Stand!$H$3:$H$29),VLOOKUP(A177,Stand!$A$3:$C$29,3,TRUE),"")</f>
        <v/>
      </c>
      <c r="C177" s="172" t="str">
        <f t="shared" si="8"/>
        <v/>
      </c>
      <c r="D177" s="173" t="str">
        <f>IF(B177="","",VLOOKUP(B177&amp;C177,Plot!$B$2:$D$199,3,FALSE))</f>
        <v/>
      </c>
      <c r="E177" s="130"/>
      <c r="F177" s="152" t="str">
        <f>IF(B177="","",SUMIFS(Tree!$O:$O,Tree!$A:$A,'Pre-Harvest Plots_rpt'!$B177,Tree!$B:$B,'Pre-Harvest Plots_rpt'!$D177,Tree!$F:$F,"L",Tree!$K:$K,"&lt;&gt;"&amp;"Y"))</f>
        <v/>
      </c>
      <c r="G177" s="153" t="str">
        <f>IFERROR(IF(D177="","",SUMIFS(Tree!$P:$P,Tree!$A:$A,'Pre-Harvest Plots_rpt'!$B177,Tree!$B:$B,'Pre-Harvest Plots_rpt'!$D177,Tree!$K:$K,"&lt;&gt;"&amp;"Y")/$F177),"")</f>
        <v/>
      </c>
      <c r="H177" s="122" t="str">
        <f t="shared" si="9"/>
        <v/>
      </c>
      <c r="I177" s="121" t="str">
        <f>IF(OR($F177=0,$F177=""),"",SUMIFS(Tree!$R:$R,Tree!$A:$A,'Pre-Harvest Plots_rpt'!$B177,Tree!$B:$B,'Pre-Harvest Plots_rpt'!$D177,Tree!$F:$F,"L",Tree!$K:$K,"&lt;&gt;"&amp;"Y"))</f>
        <v/>
      </c>
      <c r="J177" s="121" t="str">
        <f>IF(OR($F177=0,$F177=""),"",IF(SUMIFS(Tree!$W:$W,Tree!$A:$A,'Pre-Harvest Plots_rpt'!$B177,Tree!$B:$B,'Pre-Harvest Plots_rpt'!$D177,Tree!$F:$F,"L",Tree!$K:$K,"&lt;&gt;"&amp;"Y")=0,0,AVERAGEIFS(Tree!$W:$W,Tree!$A:$A,'Pre-Harvest Plots_rpt'!$B177,Tree!$B:$B,'Pre-Harvest Plots_rpt'!$D177,Tree!$F:$F,"L",Tree!$K:$K,"&lt;&gt;"&amp;"Y")))</f>
        <v/>
      </c>
      <c r="K177" s="121" t="str">
        <f>IF($F177="","",SUMIFS(Tree!$S:$S,Tree!$A:$A,'Pre-Harvest Plots_rpt'!$B177,Tree!$B:$B,'Pre-Harvest Plots_rpt'!$D177,Tree!$F:$F,"L",Tree!$K:$K,"&lt;&gt;"&amp;"Y"))</f>
        <v/>
      </c>
      <c r="L177" s="154" t="str">
        <f t="shared" si="10"/>
        <v/>
      </c>
      <c r="M177" s="135"/>
      <c r="N177" s="192" t="str">
        <f>IF(B177="","",SUMIFS(Tree!$AM:$AM,Tree!$A:$A,'Pre-Harvest Plots_rpt'!$B177,Tree!$B:$B,'Pre-Harvest Plots_rpt'!$D177,Tree!$F:$F,"L",Tree!$K:$K,"&lt;&gt;"&amp;"Y"))</f>
        <v/>
      </c>
      <c r="O177" s="122" t="str">
        <f>IF(B177="","",SUMIFS(Tree!$AN:$AN,Tree!$A:$A,'Pre-Harvest Plots_rpt'!$B177,Tree!$B:$B,'Pre-Harvest Plots_rpt'!$D177,Tree!$F:$F,"L",Tree!$K:$K,"&lt;&gt;"&amp;"Y"))</f>
        <v/>
      </c>
      <c r="P177" s="122" t="str">
        <f>IF(B177="","",SUMIFS(Tree!$AO:$AO,Tree!$A:$A,'Pre-Harvest Plots_rpt'!$B177,Tree!$B:$B,'Pre-Harvest Plots_rpt'!$D177,Tree!$F:$F,"L",Tree!$K:$K,"&lt;&gt;"&amp;"Y"))</f>
        <v/>
      </c>
      <c r="Q177" s="122" t="str">
        <f>IF(B177="","",SUMIFS(Tree!$AP:$AP,Tree!$A:$A,'Pre-Harvest Plots_rpt'!$B177,Tree!$B:$B,'Pre-Harvest Plots_rpt'!$D177,Tree!$F:$F,"L",Tree!$K:$K,"&lt;&gt;"&amp;"Y"))</f>
        <v/>
      </c>
      <c r="R177" s="123" t="str">
        <f>IF(B177="","",SUMIFS(Tree!$AQ:$AQ,Tree!$A:$A,'Pre-Harvest Plots_rpt'!$B177,Tree!$B:$B,'Pre-Harvest Plots_rpt'!$D177,Tree!$F:$F,"L",Tree!$K:$K,"&lt;&gt;"&amp;"Y"))</f>
        <v/>
      </c>
      <c r="S177" s="122" t="str">
        <f>IF(B177="","",SUMIFS(Tree!$AJ:$AJ,Tree!$A:$A,'Pre-Harvest Plots_rpt'!$B177,Tree!$B:$B,'Pre-Harvest Plots_rpt'!$D177,Tree!$F:$F,"L",Tree!$K:$K,"&lt;&gt;"&amp;"Y")-O177)</f>
        <v/>
      </c>
      <c r="T177" s="122" t="str">
        <f>IF(B177="","",SUMIFS(Tree!$AK:$AK,Tree!$A:$A,'Pre-Harvest Plots_rpt'!$B177,Tree!$B:$B,'Pre-Harvest Plots_rpt'!$D177,Tree!$F:$F,"L",Tree!$K:$K,"&lt;&gt;"&amp;"Y")-P177)</f>
        <v/>
      </c>
      <c r="U177" s="122" t="str">
        <f>IF(B177="","",SUMIFS(Tree!$AL:$AL,Tree!$A:$A,'Pre-Harvest Plots_rpt'!$B177,Tree!$B:$B,'Pre-Harvest Plots_rpt'!$D177,Tree!$F:$F,"L",Tree!$K:$K,"&lt;&gt;"&amp;"Y")-Q177)</f>
        <v/>
      </c>
      <c r="V177" s="123" t="str">
        <f>IF(B177="","",ROUND(SUMIFS(Tree!$AE:$AE,Tree!$A:$A,'Pre-Harvest Plots_rpt'!$B177,Tree!$B:$B,'Pre-Harvest Plots_rpt'!$D177,Tree!$F:$F,"L",Tree!$K:$K,"&lt;&gt;"&amp;"Y")-R177,1))</f>
        <v/>
      </c>
      <c r="W177" s="124" t="str">
        <f>IF(B177="","",SUMIFS(Tree!$AY:$AY,Tree!$A:$A,'Pre-Harvest Plots_rpt'!$B177,Tree!$B:$B,'Pre-Harvest Plots_rpt'!$D177,Tree!$F:$F,"L",Tree!$K:$K,"&lt;&gt;"&amp;"Y")/1000)</f>
        <v/>
      </c>
      <c r="X177" s="158" t="str">
        <f>IF(B177="","",ROUND((SUMIFS(Tree!$AW:$AW,Tree!$A:$A,'Pre-Harvest Plots_rpt'!$B177,Tree!$B:$B,'Pre-Harvest Plots_rpt'!$D177,Tree!$F:$F,"L",Tree!$K:$K,"&lt;&gt;"&amp;"Y")/1000)-W177,1))</f>
        <v/>
      </c>
      <c r="Y177" s="135"/>
      <c r="Z177" s="161" t="str">
        <f>IF(IF(B177="","",SUMIFS(Tree!$O:$O,Tree!$A:$A,'Pre-Harvest Plots_rpt'!$B177,Tree!$B:$B,'Pre-Harvest Plots_rpt'!$D177,Tree!$F:$F,"D",Tree!$K:$K,"&lt;&gt;"&amp;"Y"))=0,"",IF(B177="","",SUMIFS(Tree!$O:$O,Tree!$A:$A,'Pre-Harvest Plots_rpt'!$B177,Tree!$B:$B,'Pre-Harvest Plots_rpt'!$D177,Tree!$F:$F,"D",Tree!$K:$K,"&lt;&gt;"&amp;"Y")))</f>
        <v/>
      </c>
      <c r="AA177" s="125" t="str">
        <f t="shared" si="11"/>
        <v/>
      </c>
      <c r="AB177" s="125" t="str">
        <f>IF(Z177="","",SUMIFS(Tree!$R:$R,Tree!$A:$A,'Pre-Harvest Plots_rpt'!$B177,Tree!$B:$B,'Pre-Harvest Plots_rpt'!$D177,Tree!$F:$F,"D",Tree!$K:$K,"&lt;&gt;"&amp;"Y"))</f>
        <v/>
      </c>
      <c r="AC177" s="126" t="str">
        <f>IF(Z177="","",SUMIFS(Tree!$AM:$AM,Tree!$A:$A,'Pre-Harvest Plots_rpt'!$B177,Tree!$B:$B,'Pre-Harvest Plots_rpt'!$D177,Tree!$F:$F,"D",Tree!$K:$K,"&lt;&gt;"&amp;"Y"))</f>
        <v/>
      </c>
      <c r="AD177" s="162" t="str">
        <f>IF(Z177="","",SUMIFS(Tree!$AW:$AW,Tree!$A:$A,'Pre-Harvest Plots_rpt'!$B177,Tree!$B:$B,'Pre-Harvest Plots_rpt'!$D177,Tree!$F:$F,"D",Tree!$K:$K,"&lt;&gt;"&amp;"Y")/1000)</f>
        <v/>
      </c>
      <c r="AE177" s="47"/>
      <c r="AF177" s="18"/>
      <c r="AG177" s="18"/>
      <c r="AH177" s="18"/>
    </row>
    <row r="178" spans="1:34" ht="12.75" customHeight="1" x14ac:dyDescent="0.25">
      <c r="A178" s="48">
        <v>175</v>
      </c>
      <c r="B178" s="171" t="str">
        <f>IF(A178&lt;=SUM(Stand!$H$3:$H$29),VLOOKUP(A178,Stand!$A$3:$C$29,3,TRUE),"")</f>
        <v/>
      </c>
      <c r="C178" s="172" t="str">
        <f t="shared" si="8"/>
        <v/>
      </c>
      <c r="D178" s="173" t="str">
        <f>IF(B178="","",VLOOKUP(B178&amp;C178,Plot!$B$2:$D$199,3,FALSE))</f>
        <v/>
      </c>
      <c r="E178" s="130"/>
      <c r="F178" s="152" t="str">
        <f>IF(B178="","",SUMIFS(Tree!$O:$O,Tree!$A:$A,'Pre-Harvest Plots_rpt'!$B178,Tree!$B:$B,'Pre-Harvest Plots_rpt'!$D178,Tree!$F:$F,"L",Tree!$K:$K,"&lt;&gt;"&amp;"Y"))</f>
        <v/>
      </c>
      <c r="G178" s="153" t="str">
        <f>IFERROR(IF(D178="","",SUMIFS(Tree!$P:$P,Tree!$A:$A,'Pre-Harvest Plots_rpt'!$B178,Tree!$B:$B,'Pre-Harvest Plots_rpt'!$D178,Tree!$K:$K,"&lt;&gt;"&amp;"Y")/$F178),"")</f>
        <v/>
      </c>
      <c r="H178" s="122" t="str">
        <f t="shared" si="9"/>
        <v/>
      </c>
      <c r="I178" s="121" t="str">
        <f>IF(OR($F178=0,$F178=""),"",SUMIFS(Tree!$R:$R,Tree!$A:$A,'Pre-Harvest Plots_rpt'!$B178,Tree!$B:$B,'Pre-Harvest Plots_rpt'!$D178,Tree!$F:$F,"L",Tree!$K:$K,"&lt;&gt;"&amp;"Y"))</f>
        <v/>
      </c>
      <c r="J178" s="121" t="str">
        <f>IF(OR($F178=0,$F178=""),"",IF(SUMIFS(Tree!$W:$W,Tree!$A:$A,'Pre-Harvest Plots_rpt'!$B178,Tree!$B:$B,'Pre-Harvest Plots_rpt'!$D178,Tree!$F:$F,"L",Tree!$K:$K,"&lt;&gt;"&amp;"Y")=0,0,AVERAGEIFS(Tree!$W:$W,Tree!$A:$A,'Pre-Harvest Plots_rpt'!$B178,Tree!$B:$B,'Pre-Harvest Plots_rpt'!$D178,Tree!$F:$F,"L",Tree!$K:$K,"&lt;&gt;"&amp;"Y")))</f>
        <v/>
      </c>
      <c r="K178" s="121" t="str">
        <f>IF($F178="","",SUMIFS(Tree!$S:$S,Tree!$A:$A,'Pre-Harvest Plots_rpt'!$B178,Tree!$B:$B,'Pre-Harvest Plots_rpt'!$D178,Tree!$F:$F,"L",Tree!$K:$K,"&lt;&gt;"&amp;"Y"))</f>
        <v/>
      </c>
      <c r="L178" s="154" t="str">
        <f t="shared" si="10"/>
        <v/>
      </c>
      <c r="M178" s="135"/>
      <c r="N178" s="192" t="str">
        <f>IF(B178="","",SUMIFS(Tree!$AM:$AM,Tree!$A:$A,'Pre-Harvest Plots_rpt'!$B178,Tree!$B:$B,'Pre-Harvest Plots_rpt'!$D178,Tree!$F:$F,"L",Tree!$K:$K,"&lt;&gt;"&amp;"Y"))</f>
        <v/>
      </c>
      <c r="O178" s="122" t="str">
        <f>IF(B178="","",SUMIFS(Tree!$AN:$AN,Tree!$A:$A,'Pre-Harvest Plots_rpt'!$B178,Tree!$B:$B,'Pre-Harvest Plots_rpt'!$D178,Tree!$F:$F,"L",Tree!$K:$K,"&lt;&gt;"&amp;"Y"))</f>
        <v/>
      </c>
      <c r="P178" s="122" t="str">
        <f>IF(B178="","",SUMIFS(Tree!$AO:$AO,Tree!$A:$A,'Pre-Harvest Plots_rpt'!$B178,Tree!$B:$B,'Pre-Harvest Plots_rpt'!$D178,Tree!$F:$F,"L",Tree!$K:$K,"&lt;&gt;"&amp;"Y"))</f>
        <v/>
      </c>
      <c r="Q178" s="122" t="str">
        <f>IF(B178="","",SUMIFS(Tree!$AP:$AP,Tree!$A:$A,'Pre-Harvest Plots_rpt'!$B178,Tree!$B:$B,'Pre-Harvest Plots_rpt'!$D178,Tree!$F:$F,"L",Tree!$K:$K,"&lt;&gt;"&amp;"Y"))</f>
        <v/>
      </c>
      <c r="R178" s="123" t="str">
        <f>IF(B178="","",SUMIFS(Tree!$AQ:$AQ,Tree!$A:$A,'Pre-Harvest Plots_rpt'!$B178,Tree!$B:$B,'Pre-Harvest Plots_rpt'!$D178,Tree!$F:$F,"L",Tree!$K:$K,"&lt;&gt;"&amp;"Y"))</f>
        <v/>
      </c>
      <c r="S178" s="122" t="str">
        <f>IF(B178="","",SUMIFS(Tree!$AJ:$AJ,Tree!$A:$A,'Pre-Harvest Plots_rpt'!$B178,Tree!$B:$B,'Pre-Harvest Plots_rpt'!$D178,Tree!$F:$F,"L",Tree!$K:$K,"&lt;&gt;"&amp;"Y")-O178)</f>
        <v/>
      </c>
      <c r="T178" s="122" t="str">
        <f>IF(B178="","",SUMIFS(Tree!$AK:$AK,Tree!$A:$A,'Pre-Harvest Plots_rpt'!$B178,Tree!$B:$B,'Pre-Harvest Plots_rpt'!$D178,Tree!$F:$F,"L",Tree!$K:$K,"&lt;&gt;"&amp;"Y")-P178)</f>
        <v/>
      </c>
      <c r="U178" s="122" t="str">
        <f>IF(B178="","",SUMIFS(Tree!$AL:$AL,Tree!$A:$A,'Pre-Harvest Plots_rpt'!$B178,Tree!$B:$B,'Pre-Harvest Plots_rpt'!$D178,Tree!$F:$F,"L",Tree!$K:$K,"&lt;&gt;"&amp;"Y")-Q178)</f>
        <v/>
      </c>
      <c r="V178" s="123" t="str">
        <f>IF(B178="","",ROUND(SUMIFS(Tree!$AE:$AE,Tree!$A:$A,'Pre-Harvest Plots_rpt'!$B178,Tree!$B:$B,'Pre-Harvest Plots_rpt'!$D178,Tree!$F:$F,"L",Tree!$K:$K,"&lt;&gt;"&amp;"Y")-R178,1))</f>
        <v/>
      </c>
      <c r="W178" s="124" t="str">
        <f>IF(B178="","",SUMIFS(Tree!$AY:$AY,Tree!$A:$A,'Pre-Harvest Plots_rpt'!$B178,Tree!$B:$B,'Pre-Harvest Plots_rpt'!$D178,Tree!$F:$F,"L",Tree!$K:$K,"&lt;&gt;"&amp;"Y")/1000)</f>
        <v/>
      </c>
      <c r="X178" s="158" t="str">
        <f>IF(B178="","",ROUND((SUMIFS(Tree!$AW:$AW,Tree!$A:$A,'Pre-Harvest Plots_rpt'!$B178,Tree!$B:$B,'Pre-Harvest Plots_rpt'!$D178,Tree!$F:$F,"L",Tree!$K:$K,"&lt;&gt;"&amp;"Y")/1000)-W178,1))</f>
        <v/>
      </c>
      <c r="Y178" s="135"/>
      <c r="Z178" s="161" t="str">
        <f>IF(IF(B178="","",SUMIFS(Tree!$O:$O,Tree!$A:$A,'Pre-Harvest Plots_rpt'!$B178,Tree!$B:$B,'Pre-Harvest Plots_rpt'!$D178,Tree!$F:$F,"D",Tree!$K:$K,"&lt;&gt;"&amp;"Y"))=0,"",IF(B178="","",SUMIFS(Tree!$O:$O,Tree!$A:$A,'Pre-Harvest Plots_rpt'!$B178,Tree!$B:$B,'Pre-Harvest Plots_rpt'!$D178,Tree!$F:$F,"D",Tree!$K:$K,"&lt;&gt;"&amp;"Y")))</f>
        <v/>
      </c>
      <c r="AA178" s="125" t="str">
        <f t="shared" si="11"/>
        <v/>
      </c>
      <c r="AB178" s="125" t="str">
        <f>IF(Z178="","",SUMIFS(Tree!$R:$R,Tree!$A:$A,'Pre-Harvest Plots_rpt'!$B178,Tree!$B:$B,'Pre-Harvest Plots_rpt'!$D178,Tree!$F:$F,"D",Tree!$K:$K,"&lt;&gt;"&amp;"Y"))</f>
        <v/>
      </c>
      <c r="AC178" s="126" t="str">
        <f>IF(Z178="","",SUMIFS(Tree!$AM:$AM,Tree!$A:$A,'Pre-Harvest Plots_rpt'!$B178,Tree!$B:$B,'Pre-Harvest Plots_rpt'!$D178,Tree!$F:$F,"D",Tree!$K:$K,"&lt;&gt;"&amp;"Y"))</f>
        <v/>
      </c>
      <c r="AD178" s="162" t="str">
        <f>IF(Z178="","",SUMIFS(Tree!$AW:$AW,Tree!$A:$A,'Pre-Harvest Plots_rpt'!$B178,Tree!$B:$B,'Pre-Harvest Plots_rpt'!$D178,Tree!$F:$F,"D",Tree!$K:$K,"&lt;&gt;"&amp;"Y")/1000)</f>
        <v/>
      </c>
      <c r="AE178" s="47"/>
      <c r="AF178" s="18"/>
      <c r="AG178" s="18"/>
      <c r="AH178" s="18"/>
    </row>
    <row r="179" spans="1:34" ht="12.75" customHeight="1" x14ac:dyDescent="0.25">
      <c r="A179" s="48">
        <v>176</v>
      </c>
      <c r="B179" s="171" t="str">
        <f>IF(A179&lt;=SUM(Stand!$H$3:$H$29),VLOOKUP(A179,Stand!$A$3:$C$29,3,TRUE),"")</f>
        <v/>
      </c>
      <c r="C179" s="172" t="str">
        <f t="shared" si="8"/>
        <v/>
      </c>
      <c r="D179" s="173" t="str">
        <f>IF(B179="","",VLOOKUP(B179&amp;C179,Plot!$B$2:$D$199,3,FALSE))</f>
        <v/>
      </c>
      <c r="E179" s="130"/>
      <c r="F179" s="152" t="str">
        <f>IF(B179="","",SUMIFS(Tree!$O:$O,Tree!$A:$A,'Pre-Harvest Plots_rpt'!$B179,Tree!$B:$B,'Pre-Harvest Plots_rpt'!$D179,Tree!$F:$F,"L",Tree!$K:$K,"&lt;&gt;"&amp;"Y"))</f>
        <v/>
      </c>
      <c r="G179" s="153" t="str">
        <f>IFERROR(IF(D179="","",SUMIFS(Tree!$P:$P,Tree!$A:$A,'Pre-Harvest Plots_rpt'!$B179,Tree!$B:$B,'Pre-Harvest Plots_rpt'!$D179,Tree!$K:$K,"&lt;&gt;"&amp;"Y")/$F179),"")</f>
        <v/>
      </c>
      <c r="H179" s="122" t="str">
        <f t="shared" si="9"/>
        <v/>
      </c>
      <c r="I179" s="121" t="str">
        <f>IF(OR($F179=0,$F179=""),"",SUMIFS(Tree!$R:$R,Tree!$A:$A,'Pre-Harvest Plots_rpt'!$B179,Tree!$B:$B,'Pre-Harvest Plots_rpt'!$D179,Tree!$F:$F,"L",Tree!$K:$K,"&lt;&gt;"&amp;"Y"))</f>
        <v/>
      </c>
      <c r="J179" s="121" t="str">
        <f>IF(OR($F179=0,$F179=""),"",IF(SUMIFS(Tree!$W:$W,Tree!$A:$A,'Pre-Harvest Plots_rpt'!$B179,Tree!$B:$B,'Pre-Harvest Plots_rpt'!$D179,Tree!$F:$F,"L",Tree!$K:$K,"&lt;&gt;"&amp;"Y")=0,0,AVERAGEIFS(Tree!$W:$W,Tree!$A:$A,'Pre-Harvest Plots_rpt'!$B179,Tree!$B:$B,'Pre-Harvest Plots_rpt'!$D179,Tree!$F:$F,"L",Tree!$K:$K,"&lt;&gt;"&amp;"Y")))</f>
        <v/>
      </c>
      <c r="K179" s="121" t="str">
        <f>IF($F179="","",SUMIFS(Tree!$S:$S,Tree!$A:$A,'Pre-Harvest Plots_rpt'!$B179,Tree!$B:$B,'Pre-Harvest Plots_rpt'!$D179,Tree!$F:$F,"L",Tree!$K:$K,"&lt;&gt;"&amp;"Y"))</f>
        <v/>
      </c>
      <c r="L179" s="154" t="str">
        <f t="shared" si="10"/>
        <v/>
      </c>
      <c r="M179" s="135"/>
      <c r="N179" s="192" t="str">
        <f>IF(B179="","",SUMIFS(Tree!$AM:$AM,Tree!$A:$A,'Pre-Harvest Plots_rpt'!$B179,Tree!$B:$B,'Pre-Harvest Plots_rpt'!$D179,Tree!$F:$F,"L",Tree!$K:$K,"&lt;&gt;"&amp;"Y"))</f>
        <v/>
      </c>
      <c r="O179" s="122" t="str">
        <f>IF(B179="","",SUMIFS(Tree!$AN:$AN,Tree!$A:$A,'Pre-Harvest Plots_rpt'!$B179,Tree!$B:$B,'Pre-Harvest Plots_rpt'!$D179,Tree!$F:$F,"L",Tree!$K:$K,"&lt;&gt;"&amp;"Y"))</f>
        <v/>
      </c>
      <c r="P179" s="122" t="str">
        <f>IF(B179="","",SUMIFS(Tree!$AO:$AO,Tree!$A:$A,'Pre-Harvest Plots_rpt'!$B179,Tree!$B:$B,'Pre-Harvest Plots_rpt'!$D179,Tree!$F:$F,"L",Tree!$K:$K,"&lt;&gt;"&amp;"Y"))</f>
        <v/>
      </c>
      <c r="Q179" s="122" t="str">
        <f>IF(B179="","",SUMIFS(Tree!$AP:$AP,Tree!$A:$A,'Pre-Harvest Plots_rpt'!$B179,Tree!$B:$B,'Pre-Harvest Plots_rpt'!$D179,Tree!$F:$F,"L",Tree!$K:$K,"&lt;&gt;"&amp;"Y"))</f>
        <v/>
      </c>
      <c r="R179" s="123" t="str">
        <f>IF(B179="","",SUMIFS(Tree!$AQ:$AQ,Tree!$A:$A,'Pre-Harvest Plots_rpt'!$B179,Tree!$B:$B,'Pre-Harvest Plots_rpt'!$D179,Tree!$F:$F,"L",Tree!$K:$K,"&lt;&gt;"&amp;"Y"))</f>
        <v/>
      </c>
      <c r="S179" s="122" t="str">
        <f>IF(B179="","",SUMIFS(Tree!$AJ:$AJ,Tree!$A:$A,'Pre-Harvest Plots_rpt'!$B179,Tree!$B:$B,'Pre-Harvest Plots_rpt'!$D179,Tree!$F:$F,"L",Tree!$K:$K,"&lt;&gt;"&amp;"Y")-O179)</f>
        <v/>
      </c>
      <c r="T179" s="122" t="str">
        <f>IF(B179="","",SUMIFS(Tree!$AK:$AK,Tree!$A:$A,'Pre-Harvest Plots_rpt'!$B179,Tree!$B:$B,'Pre-Harvest Plots_rpt'!$D179,Tree!$F:$F,"L",Tree!$K:$K,"&lt;&gt;"&amp;"Y")-P179)</f>
        <v/>
      </c>
      <c r="U179" s="122" t="str">
        <f>IF(B179="","",SUMIFS(Tree!$AL:$AL,Tree!$A:$A,'Pre-Harvest Plots_rpt'!$B179,Tree!$B:$B,'Pre-Harvest Plots_rpt'!$D179,Tree!$F:$F,"L",Tree!$K:$K,"&lt;&gt;"&amp;"Y")-Q179)</f>
        <v/>
      </c>
      <c r="V179" s="123" t="str">
        <f>IF(B179="","",ROUND(SUMIFS(Tree!$AE:$AE,Tree!$A:$A,'Pre-Harvest Plots_rpt'!$B179,Tree!$B:$B,'Pre-Harvest Plots_rpt'!$D179,Tree!$F:$F,"L",Tree!$K:$K,"&lt;&gt;"&amp;"Y")-R179,1))</f>
        <v/>
      </c>
      <c r="W179" s="124" t="str">
        <f>IF(B179="","",SUMIFS(Tree!$AY:$AY,Tree!$A:$A,'Pre-Harvest Plots_rpt'!$B179,Tree!$B:$B,'Pre-Harvest Plots_rpt'!$D179,Tree!$F:$F,"L",Tree!$K:$K,"&lt;&gt;"&amp;"Y")/1000)</f>
        <v/>
      </c>
      <c r="X179" s="158" t="str">
        <f>IF(B179="","",ROUND((SUMIFS(Tree!$AW:$AW,Tree!$A:$A,'Pre-Harvest Plots_rpt'!$B179,Tree!$B:$B,'Pre-Harvest Plots_rpt'!$D179,Tree!$F:$F,"L",Tree!$K:$K,"&lt;&gt;"&amp;"Y")/1000)-W179,1))</f>
        <v/>
      </c>
      <c r="Y179" s="135"/>
      <c r="Z179" s="161" t="str">
        <f>IF(IF(B179="","",SUMIFS(Tree!$O:$O,Tree!$A:$A,'Pre-Harvest Plots_rpt'!$B179,Tree!$B:$B,'Pre-Harvest Plots_rpt'!$D179,Tree!$F:$F,"D",Tree!$K:$K,"&lt;&gt;"&amp;"Y"))=0,"",IF(B179="","",SUMIFS(Tree!$O:$O,Tree!$A:$A,'Pre-Harvest Plots_rpt'!$B179,Tree!$B:$B,'Pre-Harvest Plots_rpt'!$D179,Tree!$F:$F,"D",Tree!$K:$K,"&lt;&gt;"&amp;"Y")))</f>
        <v/>
      </c>
      <c r="AA179" s="125" t="str">
        <f t="shared" si="11"/>
        <v/>
      </c>
      <c r="AB179" s="125" t="str">
        <f>IF(Z179="","",SUMIFS(Tree!$R:$R,Tree!$A:$A,'Pre-Harvest Plots_rpt'!$B179,Tree!$B:$B,'Pre-Harvest Plots_rpt'!$D179,Tree!$F:$F,"D",Tree!$K:$K,"&lt;&gt;"&amp;"Y"))</f>
        <v/>
      </c>
      <c r="AC179" s="126" t="str">
        <f>IF(Z179="","",SUMIFS(Tree!$AM:$AM,Tree!$A:$A,'Pre-Harvest Plots_rpt'!$B179,Tree!$B:$B,'Pre-Harvest Plots_rpt'!$D179,Tree!$F:$F,"D",Tree!$K:$K,"&lt;&gt;"&amp;"Y"))</f>
        <v/>
      </c>
      <c r="AD179" s="162" t="str">
        <f>IF(Z179="","",SUMIFS(Tree!$AW:$AW,Tree!$A:$A,'Pre-Harvest Plots_rpt'!$B179,Tree!$B:$B,'Pre-Harvest Plots_rpt'!$D179,Tree!$F:$F,"D",Tree!$K:$K,"&lt;&gt;"&amp;"Y")/1000)</f>
        <v/>
      </c>
      <c r="AE179" s="47"/>
      <c r="AF179" s="18"/>
      <c r="AG179" s="18"/>
      <c r="AH179" s="18"/>
    </row>
    <row r="180" spans="1:34" ht="12.75" customHeight="1" x14ac:dyDescent="0.25">
      <c r="A180" s="48">
        <v>177</v>
      </c>
      <c r="B180" s="171" t="str">
        <f>IF(A180&lt;=SUM(Stand!$H$3:$H$29),VLOOKUP(A180,Stand!$A$3:$C$29,3,TRUE),"")</f>
        <v/>
      </c>
      <c r="C180" s="172" t="str">
        <f t="shared" si="8"/>
        <v/>
      </c>
      <c r="D180" s="173" t="str">
        <f>IF(B180="","",VLOOKUP(B180&amp;C180,Plot!$B$2:$D$199,3,FALSE))</f>
        <v/>
      </c>
      <c r="E180" s="130"/>
      <c r="F180" s="152" t="str">
        <f>IF(B180="","",SUMIFS(Tree!$O:$O,Tree!$A:$A,'Pre-Harvest Plots_rpt'!$B180,Tree!$B:$B,'Pre-Harvest Plots_rpt'!$D180,Tree!$F:$F,"L",Tree!$K:$K,"&lt;&gt;"&amp;"Y"))</f>
        <v/>
      </c>
      <c r="G180" s="153" t="str">
        <f>IFERROR(IF(D180="","",SUMIFS(Tree!$P:$P,Tree!$A:$A,'Pre-Harvest Plots_rpt'!$B180,Tree!$B:$B,'Pre-Harvest Plots_rpt'!$D180,Tree!$K:$K,"&lt;&gt;"&amp;"Y")/$F180),"")</f>
        <v/>
      </c>
      <c r="H180" s="122" t="str">
        <f t="shared" si="9"/>
        <v/>
      </c>
      <c r="I180" s="121" t="str">
        <f>IF(OR($F180=0,$F180=""),"",SUMIFS(Tree!$R:$R,Tree!$A:$A,'Pre-Harvest Plots_rpt'!$B180,Tree!$B:$B,'Pre-Harvest Plots_rpt'!$D180,Tree!$F:$F,"L",Tree!$K:$K,"&lt;&gt;"&amp;"Y"))</f>
        <v/>
      </c>
      <c r="J180" s="121" t="str">
        <f>IF(OR($F180=0,$F180=""),"",IF(SUMIFS(Tree!$W:$W,Tree!$A:$A,'Pre-Harvest Plots_rpt'!$B180,Tree!$B:$B,'Pre-Harvest Plots_rpt'!$D180,Tree!$F:$F,"L",Tree!$K:$K,"&lt;&gt;"&amp;"Y")=0,0,AVERAGEIFS(Tree!$W:$W,Tree!$A:$A,'Pre-Harvest Plots_rpt'!$B180,Tree!$B:$B,'Pre-Harvest Plots_rpt'!$D180,Tree!$F:$F,"L",Tree!$K:$K,"&lt;&gt;"&amp;"Y")))</f>
        <v/>
      </c>
      <c r="K180" s="121" t="str">
        <f>IF($F180="","",SUMIFS(Tree!$S:$S,Tree!$A:$A,'Pre-Harvest Plots_rpt'!$B180,Tree!$B:$B,'Pre-Harvest Plots_rpt'!$D180,Tree!$F:$F,"L",Tree!$K:$K,"&lt;&gt;"&amp;"Y"))</f>
        <v/>
      </c>
      <c r="L180" s="154" t="str">
        <f t="shared" si="10"/>
        <v/>
      </c>
      <c r="M180" s="135"/>
      <c r="N180" s="192" t="str">
        <f>IF(B180="","",SUMIFS(Tree!$AM:$AM,Tree!$A:$A,'Pre-Harvest Plots_rpt'!$B180,Tree!$B:$B,'Pre-Harvest Plots_rpt'!$D180,Tree!$F:$F,"L",Tree!$K:$K,"&lt;&gt;"&amp;"Y"))</f>
        <v/>
      </c>
      <c r="O180" s="122" t="str">
        <f>IF(B180="","",SUMIFS(Tree!$AN:$AN,Tree!$A:$A,'Pre-Harvest Plots_rpt'!$B180,Tree!$B:$B,'Pre-Harvest Plots_rpt'!$D180,Tree!$F:$F,"L",Tree!$K:$K,"&lt;&gt;"&amp;"Y"))</f>
        <v/>
      </c>
      <c r="P180" s="122" t="str">
        <f>IF(B180="","",SUMIFS(Tree!$AO:$AO,Tree!$A:$A,'Pre-Harvest Plots_rpt'!$B180,Tree!$B:$B,'Pre-Harvest Plots_rpt'!$D180,Tree!$F:$F,"L",Tree!$K:$K,"&lt;&gt;"&amp;"Y"))</f>
        <v/>
      </c>
      <c r="Q180" s="122" t="str">
        <f>IF(B180="","",SUMIFS(Tree!$AP:$AP,Tree!$A:$A,'Pre-Harvest Plots_rpt'!$B180,Tree!$B:$B,'Pre-Harvest Plots_rpt'!$D180,Tree!$F:$F,"L",Tree!$K:$K,"&lt;&gt;"&amp;"Y"))</f>
        <v/>
      </c>
      <c r="R180" s="123" t="str">
        <f>IF(B180="","",SUMIFS(Tree!$AQ:$AQ,Tree!$A:$A,'Pre-Harvest Plots_rpt'!$B180,Tree!$B:$B,'Pre-Harvest Plots_rpt'!$D180,Tree!$F:$F,"L",Tree!$K:$K,"&lt;&gt;"&amp;"Y"))</f>
        <v/>
      </c>
      <c r="S180" s="122" t="str">
        <f>IF(B180="","",SUMIFS(Tree!$AJ:$AJ,Tree!$A:$A,'Pre-Harvest Plots_rpt'!$B180,Tree!$B:$B,'Pre-Harvest Plots_rpt'!$D180,Tree!$F:$F,"L",Tree!$K:$K,"&lt;&gt;"&amp;"Y")-O180)</f>
        <v/>
      </c>
      <c r="T180" s="122" t="str">
        <f>IF(B180="","",SUMIFS(Tree!$AK:$AK,Tree!$A:$A,'Pre-Harvest Plots_rpt'!$B180,Tree!$B:$B,'Pre-Harvest Plots_rpt'!$D180,Tree!$F:$F,"L",Tree!$K:$K,"&lt;&gt;"&amp;"Y")-P180)</f>
        <v/>
      </c>
      <c r="U180" s="122" t="str">
        <f>IF(B180="","",SUMIFS(Tree!$AL:$AL,Tree!$A:$A,'Pre-Harvest Plots_rpt'!$B180,Tree!$B:$B,'Pre-Harvest Plots_rpt'!$D180,Tree!$F:$F,"L",Tree!$K:$K,"&lt;&gt;"&amp;"Y")-Q180)</f>
        <v/>
      </c>
      <c r="V180" s="123" t="str">
        <f>IF(B180="","",ROUND(SUMIFS(Tree!$AE:$AE,Tree!$A:$A,'Pre-Harvest Plots_rpt'!$B180,Tree!$B:$B,'Pre-Harvest Plots_rpt'!$D180,Tree!$F:$F,"L",Tree!$K:$K,"&lt;&gt;"&amp;"Y")-R180,1))</f>
        <v/>
      </c>
      <c r="W180" s="124" t="str">
        <f>IF(B180="","",SUMIFS(Tree!$AY:$AY,Tree!$A:$A,'Pre-Harvest Plots_rpt'!$B180,Tree!$B:$B,'Pre-Harvest Plots_rpt'!$D180,Tree!$F:$F,"L",Tree!$K:$K,"&lt;&gt;"&amp;"Y")/1000)</f>
        <v/>
      </c>
      <c r="X180" s="158" t="str">
        <f>IF(B180="","",ROUND((SUMIFS(Tree!$AW:$AW,Tree!$A:$A,'Pre-Harvest Plots_rpt'!$B180,Tree!$B:$B,'Pre-Harvest Plots_rpt'!$D180,Tree!$F:$F,"L",Tree!$K:$K,"&lt;&gt;"&amp;"Y")/1000)-W180,1))</f>
        <v/>
      </c>
      <c r="Y180" s="135"/>
      <c r="Z180" s="161" t="str">
        <f>IF(IF(B180="","",SUMIFS(Tree!$O:$O,Tree!$A:$A,'Pre-Harvest Plots_rpt'!$B180,Tree!$B:$B,'Pre-Harvest Plots_rpt'!$D180,Tree!$F:$F,"D",Tree!$K:$K,"&lt;&gt;"&amp;"Y"))=0,"",IF(B180="","",SUMIFS(Tree!$O:$O,Tree!$A:$A,'Pre-Harvest Plots_rpt'!$B180,Tree!$B:$B,'Pre-Harvest Plots_rpt'!$D180,Tree!$F:$F,"D",Tree!$K:$K,"&lt;&gt;"&amp;"Y")))</f>
        <v/>
      </c>
      <c r="AA180" s="125" t="str">
        <f t="shared" si="11"/>
        <v/>
      </c>
      <c r="AB180" s="125" t="str">
        <f>IF(Z180="","",SUMIFS(Tree!$R:$R,Tree!$A:$A,'Pre-Harvest Plots_rpt'!$B180,Tree!$B:$B,'Pre-Harvest Plots_rpt'!$D180,Tree!$F:$F,"D",Tree!$K:$K,"&lt;&gt;"&amp;"Y"))</f>
        <v/>
      </c>
      <c r="AC180" s="126" t="str">
        <f>IF(Z180="","",SUMIFS(Tree!$AM:$AM,Tree!$A:$A,'Pre-Harvest Plots_rpt'!$B180,Tree!$B:$B,'Pre-Harvest Plots_rpt'!$D180,Tree!$F:$F,"D",Tree!$K:$K,"&lt;&gt;"&amp;"Y"))</f>
        <v/>
      </c>
      <c r="AD180" s="162" t="str">
        <f>IF(Z180="","",SUMIFS(Tree!$AW:$AW,Tree!$A:$A,'Pre-Harvest Plots_rpt'!$B180,Tree!$B:$B,'Pre-Harvest Plots_rpt'!$D180,Tree!$F:$F,"D",Tree!$K:$K,"&lt;&gt;"&amp;"Y")/1000)</f>
        <v/>
      </c>
      <c r="AE180" s="47"/>
      <c r="AF180" s="18"/>
      <c r="AG180" s="18"/>
      <c r="AH180" s="18"/>
    </row>
    <row r="181" spans="1:34" ht="12.75" customHeight="1" x14ac:dyDescent="0.25">
      <c r="A181" s="48">
        <v>178</v>
      </c>
      <c r="B181" s="171" t="str">
        <f>IF(A181&lt;=SUM(Stand!$H$3:$H$29),VLOOKUP(A181,Stand!$A$3:$C$29,3,TRUE),"")</f>
        <v/>
      </c>
      <c r="C181" s="172" t="str">
        <f t="shared" si="8"/>
        <v/>
      </c>
      <c r="D181" s="173" t="str">
        <f>IF(B181="","",VLOOKUP(B181&amp;C181,Plot!$B$2:$D$199,3,FALSE))</f>
        <v/>
      </c>
      <c r="E181" s="130"/>
      <c r="F181" s="152" t="str">
        <f>IF(B181="","",SUMIFS(Tree!$O:$O,Tree!$A:$A,'Pre-Harvest Plots_rpt'!$B181,Tree!$B:$B,'Pre-Harvest Plots_rpt'!$D181,Tree!$F:$F,"L",Tree!$K:$K,"&lt;&gt;"&amp;"Y"))</f>
        <v/>
      </c>
      <c r="G181" s="153" t="str">
        <f>IFERROR(IF(D181="","",SUMIFS(Tree!$P:$P,Tree!$A:$A,'Pre-Harvest Plots_rpt'!$B181,Tree!$B:$B,'Pre-Harvest Plots_rpt'!$D181,Tree!$K:$K,"&lt;&gt;"&amp;"Y")/$F181),"")</f>
        <v/>
      </c>
      <c r="H181" s="122" t="str">
        <f t="shared" si="9"/>
        <v/>
      </c>
      <c r="I181" s="121" t="str">
        <f>IF(OR($F181=0,$F181=""),"",SUMIFS(Tree!$R:$R,Tree!$A:$A,'Pre-Harvest Plots_rpt'!$B181,Tree!$B:$B,'Pre-Harvest Plots_rpt'!$D181,Tree!$F:$F,"L",Tree!$K:$K,"&lt;&gt;"&amp;"Y"))</f>
        <v/>
      </c>
      <c r="J181" s="121" t="str">
        <f>IF(OR($F181=0,$F181=""),"",IF(SUMIFS(Tree!$W:$W,Tree!$A:$A,'Pre-Harvest Plots_rpt'!$B181,Tree!$B:$B,'Pre-Harvest Plots_rpt'!$D181,Tree!$F:$F,"L",Tree!$K:$K,"&lt;&gt;"&amp;"Y")=0,0,AVERAGEIFS(Tree!$W:$W,Tree!$A:$A,'Pre-Harvest Plots_rpt'!$B181,Tree!$B:$B,'Pre-Harvest Plots_rpt'!$D181,Tree!$F:$F,"L",Tree!$K:$K,"&lt;&gt;"&amp;"Y")))</f>
        <v/>
      </c>
      <c r="K181" s="121" t="str">
        <f>IF($F181="","",SUMIFS(Tree!$S:$S,Tree!$A:$A,'Pre-Harvest Plots_rpt'!$B181,Tree!$B:$B,'Pre-Harvest Plots_rpt'!$D181,Tree!$F:$F,"L",Tree!$K:$K,"&lt;&gt;"&amp;"Y"))</f>
        <v/>
      </c>
      <c r="L181" s="154" t="str">
        <f t="shared" si="10"/>
        <v/>
      </c>
      <c r="M181" s="135"/>
      <c r="N181" s="192" t="str">
        <f>IF(B181="","",SUMIFS(Tree!$AM:$AM,Tree!$A:$A,'Pre-Harvest Plots_rpt'!$B181,Tree!$B:$B,'Pre-Harvest Plots_rpt'!$D181,Tree!$F:$F,"L",Tree!$K:$K,"&lt;&gt;"&amp;"Y"))</f>
        <v/>
      </c>
      <c r="O181" s="122" t="str">
        <f>IF(B181="","",SUMIFS(Tree!$AN:$AN,Tree!$A:$A,'Pre-Harvest Plots_rpt'!$B181,Tree!$B:$B,'Pre-Harvest Plots_rpt'!$D181,Tree!$F:$F,"L",Tree!$K:$K,"&lt;&gt;"&amp;"Y"))</f>
        <v/>
      </c>
      <c r="P181" s="122" t="str">
        <f>IF(B181="","",SUMIFS(Tree!$AO:$AO,Tree!$A:$A,'Pre-Harvest Plots_rpt'!$B181,Tree!$B:$B,'Pre-Harvest Plots_rpt'!$D181,Tree!$F:$F,"L",Tree!$K:$K,"&lt;&gt;"&amp;"Y"))</f>
        <v/>
      </c>
      <c r="Q181" s="122" t="str">
        <f>IF(B181="","",SUMIFS(Tree!$AP:$AP,Tree!$A:$A,'Pre-Harvest Plots_rpt'!$B181,Tree!$B:$B,'Pre-Harvest Plots_rpt'!$D181,Tree!$F:$F,"L",Tree!$K:$K,"&lt;&gt;"&amp;"Y"))</f>
        <v/>
      </c>
      <c r="R181" s="123" t="str">
        <f>IF(B181="","",SUMIFS(Tree!$AQ:$AQ,Tree!$A:$A,'Pre-Harvest Plots_rpt'!$B181,Tree!$B:$B,'Pre-Harvest Plots_rpt'!$D181,Tree!$F:$F,"L",Tree!$K:$K,"&lt;&gt;"&amp;"Y"))</f>
        <v/>
      </c>
      <c r="S181" s="122" t="str">
        <f>IF(B181="","",SUMIFS(Tree!$AJ:$AJ,Tree!$A:$A,'Pre-Harvest Plots_rpt'!$B181,Tree!$B:$B,'Pre-Harvest Plots_rpt'!$D181,Tree!$F:$F,"L",Tree!$K:$K,"&lt;&gt;"&amp;"Y")-O181)</f>
        <v/>
      </c>
      <c r="T181" s="122" t="str">
        <f>IF(B181="","",SUMIFS(Tree!$AK:$AK,Tree!$A:$A,'Pre-Harvest Plots_rpt'!$B181,Tree!$B:$B,'Pre-Harvest Plots_rpt'!$D181,Tree!$F:$F,"L",Tree!$K:$K,"&lt;&gt;"&amp;"Y")-P181)</f>
        <v/>
      </c>
      <c r="U181" s="122" t="str">
        <f>IF(B181="","",SUMIFS(Tree!$AL:$AL,Tree!$A:$A,'Pre-Harvest Plots_rpt'!$B181,Tree!$B:$B,'Pre-Harvest Plots_rpt'!$D181,Tree!$F:$F,"L",Tree!$K:$K,"&lt;&gt;"&amp;"Y")-Q181)</f>
        <v/>
      </c>
      <c r="V181" s="123" t="str">
        <f>IF(B181="","",ROUND(SUMIFS(Tree!$AE:$AE,Tree!$A:$A,'Pre-Harvest Plots_rpt'!$B181,Tree!$B:$B,'Pre-Harvest Plots_rpt'!$D181,Tree!$F:$F,"L",Tree!$K:$K,"&lt;&gt;"&amp;"Y")-R181,1))</f>
        <v/>
      </c>
      <c r="W181" s="124" t="str">
        <f>IF(B181="","",SUMIFS(Tree!$AY:$AY,Tree!$A:$A,'Pre-Harvest Plots_rpt'!$B181,Tree!$B:$B,'Pre-Harvest Plots_rpt'!$D181,Tree!$F:$F,"L",Tree!$K:$K,"&lt;&gt;"&amp;"Y")/1000)</f>
        <v/>
      </c>
      <c r="X181" s="158" t="str">
        <f>IF(B181="","",ROUND((SUMIFS(Tree!$AW:$AW,Tree!$A:$A,'Pre-Harvest Plots_rpt'!$B181,Tree!$B:$B,'Pre-Harvest Plots_rpt'!$D181,Tree!$F:$F,"L",Tree!$K:$K,"&lt;&gt;"&amp;"Y")/1000)-W181,1))</f>
        <v/>
      </c>
      <c r="Y181" s="135"/>
      <c r="Z181" s="161" t="str">
        <f>IF(IF(B181="","",SUMIFS(Tree!$O:$O,Tree!$A:$A,'Pre-Harvest Plots_rpt'!$B181,Tree!$B:$B,'Pre-Harvest Plots_rpt'!$D181,Tree!$F:$F,"D",Tree!$K:$K,"&lt;&gt;"&amp;"Y"))=0,"",IF(B181="","",SUMIFS(Tree!$O:$O,Tree!$A:$A,'Pre-Harvest Plots_rpt'!$B181,Tree!$B:$B,'Pre-Harvest Plots_rpt'!$D181,Tree!$F:$F,"D",Tree!$K:$K,"&lt;&gt;"&amp;"Y")))</f>
        <v/>
      </c>
      <c r="AA181" s="125" t="str">
        <f t="shared" si="11"/>
        <v/>
      </c>
      <c r="AB181" s="125" t="str">
        <f>IF(Z181="","",SUMIFS(Tree!$R:$R,Tree!$A:$A,'Pre-Harvest Plots_rpt'!$B181,Tree!$B:$B,'Pre-Harvest Plots_rpt'!$D181,Tree!$F:$F,"D",Tree!$K:$K,"&lt;&gt;"&amp;"Y"))</f>
        <v/>
      </c>
      <c r="AC181" s="126" t="str">
        <f>IF(Z181="","",SUMIFS(Tree!$AM:$AM,Tree!$A:$A,'Pre-Harvest Plots_rpt'!$B181,Tree!$B:$B,'Pre-Harvest Plots_rpt'!$D181,Tree!$F:$F,"D",Tree!$K:$K,"&lt;&gt;"&amp;"Y"))</f>
        <v/>
      </c>
      <c r="AD181" s="162" t="str">
        <f>IF(Z181="","",SUMIFS(Tree!$AW:$AW,Tree!$A:$A,'Pre-Harvest Plots_rpt'!$B181,Tree!$B:$B,'Pre-Harvest Plots_rpt'!$D181,Tree!$F:$F,"D",Tree!$K:$K,"&lt;&gt;"&amp;"Y")/1000)</f>
        <v/>
      </c>
      <c r="AE181" s="47"/>
      <c r="AF181" s="18"/>
      <c r="AG181" s="18"/>
      <c r="AH181" s="18"/>
    </row>
    <row r="182" spans="1:34" ht="12.75" customHeight="1" x14ac:dyDescent="0.25">
      <c r="A182" s="48">
        <v>179</v>
      </c>
      <c r="B182" s="171" t="str">
        <f>IF(A182&lt;=SUM(Stand!$H$3:$H$29),VLOOKUP(A182,Stand!$A$3:$C$29,3,TRUE),"")</f>
        <v/>
      </c>
      <c r="C182" s="172" t="str">
        <f t="shared" si="8"/>
        <v/>
      </c>
      <c r="D182" s="173" t="str">
        <f>IF(B182="","",VLOOKUP(B182&amp;C182,Plot!$B$2:$D$199,3,FALSE))</f>
        <v/>
      </c>
      <c r="E182" s="130"/>
      <c r="F182" s="152" t="str">
        <f>IF(B182="","",SUMIFS(Tree!$O:$O,Tree!$A:$A,'Pre-Harvest Plots_rpt'!$B182,Tree!$B:$B,'Pre-Harvest Plots_rpt'!$D182,Tree!$F:$F,"L",Tree!$K:$K,"&lt;&gt;"&amp;"Y"))</f>
        <v/>
      </c>
      <c r="G182" s="153" t="str">
        <f>IFERROR(IF(D182="","",SUMIFS(Tree!$P:$P,Tree!$A:$A,'Pre-Harvest Plots_rpt'!$B182,Tree!$B:$B,'Pre-Harvest Plots_rpt'!$D182,Tree!$K:$K,"&lt;&gt;"&amp;"Y")/$F182),"")</f>
        <v/>
      </c>
      <c r="H182" s="122" t="str">
        <f t="shared" si="9"/>
        <v/>
      </c>
      <c r="I182" s="121" t="str">
        <f>IF(OR($F182=0,$F182=""),"",SUMIFS(Tree!$R:$R,Tree!$A:$A,'Pre-Harvest Plots_rpt'!$B182,Tree!$B:$B,'Pre-Harvest Plots_rpt'!$D182,Tree!$F:$F,"L",Tree!$K:$K,"&lt;&gt;"&amp;"Y"))</f>
        <v/>
      </c>
      <c r="J182" s="121" t="str">
        <f>IF(OR($F182=0,$F182=""),"",IF(SUMIFS(Tree!$W:$W,Tree!$A:$A,'Pre-Harvest Plots_rpt'!$B182,Tree!$B:$B,'Pre-Harvest Plots_rpt'!$D182,Tree!$F:$F,"L",Tree!$K:$K,"&lt;&gt;"&amp;"Y")=0,0,AVERAGEIFS(Tree!$W:$W,Tree!$A:$A,'Pre-Harvest Plots_rpt'!$B182,Tree!$B:$B,'Pre-Harvest Plots_rpt'!$D182,Tree!$F:$F,"L",Tree!$K:$K,"&lt;&gt;"&amp;"Y")))</f>
        <v/>
      </c>
      <c r="K182" s="121" t="str">
        <f>IF($F182="","",SUMIFS(Tree!$S:$S,Tree!$A:$A,'Pre-Harvest Plots_rpt'!$B182,Tree!$B:$B,'Pre-Harvest Plots_rpt'!$D182,Tree!$F:$F,"L",Tree!$K:$K,"&lt;&gt;"&amp;"Y"))</f>
        <v/>
      </c>
      <c r="L182" s="154" t="str">
        <f t="shared" si="10"/>
        <v/>
      </c>
      <c r="M182" s="135"/>
      <c r="N182" s="192" t="str">
        <f>IF(B182="","",SUMIFS(Tree!$AM:$AM,Tree!$A:$A,'Pre-Harvest Plots_rpt'!$B182,Tree!$B:$B,'Pre-Harvest Plots_rpt'!$D182,Tree!$F:$F,"L",Tree!$K:$K,"&lt;&gt;"&amp;"Y"))</f>
        <v/>
      </c>
      <c r="O182" s="122" t="str">
        <f>IF(B182="","",SUMIFS(Tree!$AN:$AN,Tree!$A:$A,'Pre-Harvest Plots_rpt'!$B182,Tree!$B:$B,'Pre-Harvest Plots_rpt'!$D182,Tree!$F:$F,"L",Tree!$K:$K,"&lt;&gt;"&amp;"Y"))</f>
        <v/>
      </c>
      <c r="P182" s="122" t="str">
        <f>IF(B182="","",SUMIFS(Tree!$AO:$AO,Tree!$A:$A,'Pre-Harvest Plots_rpt'!$B182,Tree!$B:$B,'Pre-Harvest Plots_rpt'!$D182,Tree!$F:$F,"L",Tree!$K:$K,"&lt;&gt;"&amp;"Y"))</f>
        <v/>
      </c>
      <c r="Q182" s="122" t="str">
        <f>IF(B182="","",SUMIFS(Tree!$AP:$AP,Tree!$A:$A,'Pre-Harvest Plots_rpt'!$B182,Tree!$B:$B,'Pre-Harvest Plots_rpt'!$D182,Tree!$F:$F,"L",Tree!$K:$K,"&lt;&gt;"&amp;"Y"))</f>
        <v/>
      </c>
      <c r="R182" s="123" t="str">
        <f>IF(B182="","",SUMIFS(Tree!$AQ:$AQ,Tree!$A:$A,'Pre-Harvest Plots_rpt'!$B182,Tree!$B:$B,'Pre-Harvest Plots_rpt'!$D182,Tree!$F:$F,"L",Tree!$K:$K,"&lt;&gt;"&amp;"Y"))</f>
        <v/>
      </c>
      <c r="S182" s="122" t="str">
        <f>IF(B182="","",SUMIFS(Tree!$AJ:$AJ,Tree!$A:$A,'Pre-Harvest Plots_rpt'!$B182,Tree!$B:$B,'Pre-Harvest Plots_rpt'!$D182,Tree!$F:$F,"L",Tree!$K:$K,"&lt;&gt;"&amp;"Y")-O182)</f>
        <v/>
      </c>
      <c r="T182" s="122" t="str">
        <f>IF(B182="","",SUMIFS(Tree!$AK:$AK,Tree!$A:$A,'Pre-Harvest Plots_rpt'!$B182,Tree!$B:$B,'Pre-Harvest Plots_rpt'!$D182,Tree!$F:$F,"L",Tree!$K:$K,"&lt;&gt;"&amp;"Y")-P182)</f>
        <v/>
      </c>
      <c r="U182" s="122" t="str">
        <f>IF(B182="","",SUMIFS(Tree!$AL:$AL,Tree!$A:$A,'Pre-Harvest Plots_rpt'!$B182,Tree!$B:$B,'Pre-Harvest Plots_rpt'!$D182,Tree!$F:$F,"L",Tree!$K:$K,"&lt;&gt;"&amp;"Y")-Q182)</f>
        <v/>
      </c>
      <c r="V182" s="123" t="str">
        <f>IF(B182="","",ROUND(SUMIFS(Tree!$AE:$AE,Tree!$A:$A,'Pre-Harvest Plots_rpt'!$B182,Tree!$B:$B,'Pre-Harvest Plots_rpt'!$D182,Tree!$F:$F,"L",Tree!$K:$K,"&lt;&gt;"&amp;"Y")-R182,1))</f>
        <v/>
      </c>
      <c r="W182" s="124" t="str">
        <f>IF(B182="","",SUMIFS(Tree!$AY:$AY,Tree!$A:$A,'Pre-Harvest Plots_rpt'!$B182,Tree!$B:$B,'Pre-Harvest Plots_rpt'!$D182,Tree!$F:$F,"L",Tree!$K:$K,"&lt;&gt;"&amp;"Y")/1000)</f>
        <v/>
      </c>
      <c r="X182" s="158" t="str">
        <f>IF(B182="","",ROUND((SUMIFS(Tree!$AW:$AW,Tree!$A:$A,'Pre-Harvest Plots_rpt'!$B182,Tree!$B:$B,'Pre-Harvest Plots_rpt'!$D182,Tree!$F:$F,"L",Tree!$K:$K,"&lt;&gt;"&amp;"Y")/1000)-W182,1))</f>
        <v/>
      </c>
      <c r="Y182" s="135"/>
      <c r="Z182" s="161" t="str">
        <f>IF(IF(B182="","",SUMIFS(Tree!$O:$O,Tree!$A:$A,'Pre-Harvest Plots_rpt'!$B182,Tree!$B:$B,'Pre-Harvest Plots_rpt'!$D182,Tree!$F:$F,"D",Tree!$K:$K,"&lt;&gt;"&amp;"Y"))=0,"",IF(B182="","",SUMIFS(Tree!$O:$O,Tree!$A:$A,'Pre-Harvest Plots_rpt'!$B182,Tree!$B:$B,'Pre-Harvest Plots_rpt'!$D182,Tree!$F:$F,"D",Tree!$K:$K,"&lt;&gt;"&amp;"Y")))</f>
        <v/>
      </c>
      <c r="AA182" s="125" t="str">
        <f t="shared" si="11"/>
        <v/>
      </c>
      <c r="AB182" s="125" t="str">
        <f>IF(Z182="","",SUMIFS(Tree!$R:$R,Tree!$A:$A,'Pre-Harvest Plots_rpt'!$B182,Tree!$B:$B,'Pre-Harvest Plots_rpt'!$D182,Tree!$F:$F,"D",Tree!$K:$K,"&lt;&gt;"&amp;"Y"))</f>
        <v/>
      </c>
      <c r="AC182" s="126" t="str">
        <f>IF(Z182="","",SUMIFS(Tree!$AM:$AM,Tree!$A:$A,'Pre-Harvest Plots_rpt'!$B182,Tree!$B:$B,'Pre-Harvest Plots_rpt'!$D182,Tree!$F:$F,"D",Tree!$K:$K,"&lt;&gt;"&amp;"Y"))</f>
        <v/>
      </c>
      <c r="AD182" s="162" t="str">
        <f>IF(Z182="","",SUMIFS(Tree!$AW:$AW,Tree!$A:$A,'Pre-Harvest Plots_rpt'!$B182,Tree!$B:$B,'Pre-Harvest Plots_rpt'!$D182,Tree!$F:$F,"D",Tree!$K:$K,"&lt;&gt;"&amp;"Y")/1000)</f>
        <v/>
      </c>
      <c r="AE182" s="47"/>
      <c r="AF182" s="18"/>
      <c r="AG182" s="18"/>
      <c r="AH182" s="18"/>
    </row>
    <row r="183" spans="1:34" ht="12.75" customHeight="1" x14ac:dyDescent="0.25">
      <c r="A183" s="48">
        <v>180</v>
      </c>
      <c r="B183" s="171" t="str">
        <f>IF(A183&lt;=SUM(Stand!$H$3:$H$29),VLOOKUP(A183,Stand!$A$3:$C$29,3,TRUE),"")</f>
        <v/>
      </c>
      <c r="C183" s="172" t="str">
        <f t="shared" si="8"/>
        <v/>
      </c>
      <c r="D183" s="173" t="str">
        <f>IF(B183="","",VLOOKUP(B183&amp;C183,Plot!$B$2:$D$199,3,FALSE))</f>
        <v/>
      </c>
      <c r="E183" s="130"/>
      <c r="F183" s="152" t="str">
        <f>IF(B183="","",SUMIFS(Tree!$O:$O,Tree!$A:$A,'Pre-Harvest Plots_rpt'!$B183,Tree!$B:$B,'Pre-Harvest Plots_rpt'!$D183,Tree!$F:$F,"L",Tree!$K:$K,"&lt;&gt;"&amp;"Y"))</f>
        <v/>
      </c>
      <c r="G183" s="153" t="str">
        <f>IFERROR(IF(D183="","",SUMIFS(Tree!$P:$P,Tree!$A:$A,'Pre-Harvest Plots_rpt'!$B183,Tree!$B:$B,'Pre-Harvest Plots_rpt'!$D183,Tree!$K:$K,"&lt;&gt;"&amp;"Y")/$F183),"")</f>
        <v/>
      </c>
      <c r="H183" s="122" t="str">
        <f t="shared" si="9"/>
        <v/>
      </c>
      <c r="I183" s="121" t="str">
        <f>IF(OR($F183=0,$F183=""),"",SUMIFS(Tree!$R:$R,Tree!$A:$A,'Pre-Harvest Plots_rpt'!$B183,Tree!$B:$B,'Pre-Harvest Plots_rpt'!$D183,Tree!$F:$F,"L",Tree!$K:$K,"&lt;&gt;"&amp;"Y"))</f>
        <v/>
      </c>
      <c r="J183" s="121" t="str">
        <f>IF(OR($F183=0,$F183=""),"",IF(SUMIFS(Tree!$W:$W,Tree!$A:$A,'Pre-Harvest Plots_rpt'!$B183,Tree!$B:$B,'Pre-Harvest Plots_rpt'!$D183,Tree!$F:$F,"L",Tree!$K:$K,"&lt;&gt;"&amp;"Y")=0,0,AVERAGEIFS(Tree!$W:$W,Tree!$A:$A,'Pre-Harvest Plots_rpt'!$B183,Tree!$B:$B,'Pre-Harvest Plots_rpt'!$D183,Tree!$F:$F,"L",Tree!$K:$K,"&lt;&gt;"&amp;"Y")))</f>
        <v/>
      </c>
      <c r="K183" s="121" t="str">
        <f>IF($F183="","",SUMIFS(Tree!$S:$S,Tree!$A:$A,'Pre-Harvest Plots_rpt'!$B183,Tree!$B:$B,'Pre-Harvest Plots_rpt'!$D183,Tree!$F:$F,"L",Tree!$K:$K,"&lt;&gt;"&amp;"Y"))</f>
        <v/>
      </c>
      <c r="L183" s="154" t="str">
        <f t="shared" si="10"/>
        <v/>
      </c>
      <c r="M183" s="135"/>
      <c r="N183" s="192" t="str">
        <f>IF(B183="","",SUMIFS(Tree!$AM:$AM,Tree!$A:$A,'Pre-Harvest Plots_rpt'!$B183,Tree!$B:$B,'Pre-Harvest Plots_rpt'!$D183,Tree!$F:$F,"L",Tree!$K:$K,"&lt;&gt;"&amp;"Y"))</f>
        <v/>
      </c>
      <c r="O183" s="122" t="str">
        <f>IF(B183="","",SUMIFS(Tree!$AN:$AN,Tree!$A:$A,'Pre-Harvest Plots_rpt'!$B183,Tree!$B:$B,'Pre-Harvest Plots_rpt'!$D183,Tree!$F:$F,"L",Tree!$K:$K,"&lt;&gt;"&amp;"Y"))</f>
        <v/>
      </c>
      <c r="P183" s="122" t="str">
        <f>IF(B183="","",SUMIFS(Tree!$AO:$AO,Tree!$A:$A,'Pre-Harvest Plots_rpt'!$B183,Tree!$B:$B,'Pre-Harvest Plots_rpt'!$D183,Tree!$F:$F,"L",Tree!$K:$K,"&lt;&gt;"&amp;"Y"))</f>
        <v/>
      </c>
      <c r="Q183" s="122" t="str">
        <f>IF(B183="","",SUMIFS(Tree!$AP:$AP,Tree!$A:$A,'Pre-Harvest Plots_rpt'!$B183,Tree!$B:$B,'Pre-Harvest Plots_rpt'!$D183,Tree!$F:$F,"L",Tree!$K:$K,"&lt;&gt;"&amp;"Y"))</f>
        <v/>
      </c>
      <c r="R183" s="123" t="str">
        <f>IF(B183="","",SUMIFS(Tree!$AQ:$AQ,Tree!$A:$A,'Pre-Harvest Plots_rpt'!$B183,Tree!$B:$B,'Pre-Harvest Plots_rpt'!$D183,Tree!$F:$F,"L",Tree!$K:$K,"&lt;&gt;"&amp;"Y"))</f>
        <v/>
      </c>
      <c r="S183" s="122" t="str">
        <f>IF(B183="","",SUMIFS(Tree!$AJ:$AJ,Tree!$A:$A,'Pre-Harvest Plots_rpt'!$B183,Tree!$B:$B,'Pre-Harvest Plots_rpt'!$D183,Tree!$F:$F,"L",Tree!$K:$K,"&lt;&gt;"&amp;"Y")-O183)</f>
        <v/>
      </c>
      <c r="T183" s="122" t="str">
        <f>IF(B183="","",SUMIFS(Tree!$AK:$AK,Tree!$A:$A,'Pre-Harvest Plots_rpt'!$B183,Tree!$B:$B,'Pre-Harvest Plots_rpt'!$D183,Tree!$F:$F,"L",Tree!$K:$K,"&lt;&gt;"&amp;"Y")-P183)</f>
        <v/>
      </c>
      <c r="U183" s="122" t="str">
        <f>IF(B183="","",SUMIFS(Tree!$AL:$AL,Tree!$A:$A,'Pre-Harvest Plots_rpt'!$B183,Tree!$B:$B,'Pre-Harvest Plots_rpt'!$D183,Tree!$F:$F,"L",Tree!$K:$K,"&lt;&gt;"&amp;"Y")-Q183)</f>
        <v/>
      </c>
      <c r="V183" s="123" t="str">
        <f>IF(B183="","",ROUND(SUMIFS(Tree!$AE:$AE,Tree!$A:$A,'Pre-Harvest Plots_rpt'!$B183,Tree!$B:$B,'Pre-Harvest Plots_rpt'!$D183,Tree!$F:$F,"L",Tree!$K:$K,"&lt;&gt;"&amp;"Y")-R183,1))</f>
        <v/>
      </c>
      <c r="W183" s="124" t="str">
        <f>IF(B183="","",SUMIFS(Tree!$AY:$AY,Tree!$A:$A,'Pre-Harvest Plots_rpt'!$B183,Tree!$B:$B,'Pre-Harvest Plots_rpt'!$D183,Tree!$F:$F,"L",Tree!$K:$K,"&lt;&gt;"&amp;"Y")/1000)</f>
        <v/>
      </c>
      <c r="X183" s="158" t="str">
        <f>IF(B183="","",ROUND((SUMIFS(Tree!$AW:$AW,Tree!$A:$A,'Pre-Harvest Plots_rpt'!$B183,Tree!$B:$B,'Pre-Harvest Plots_rpt'!$D183,Tree!$F:$F,"L",Tree!$K:$K,"&lt;&gt;"&amp;"Y")/1000)-W183,1))</f>
        <v/>
      </c>
      <c r="Y183" s="135"/>
      <c r="Z183" s="161" t="str">
        <f>IF(IF(B183="","",SUMIFS(Tree!$O:$O,Tree!$A:$A,'Pre-Harvest Plots_rpt'!$B183,Tree!$B:$B,'Pre-Harvest Plots_rpt'!$D183,Tree!$F:$F,"D",Tree!$K:$K,"&lt;&gt;"&amp;"Y"))=0,"",IF(B183="","",SUMIFS(Tree!$O:$O,Tree!$A:$A,'Pre-Harvest Plots_rpt'!$B183,Tree!$B:$B,'Pre-Harvest Plots_rpt'!$D183,Tree!$F:$F,"D",Tree!$K:$K,"&lt;&gt;"&amp;"Y")))</f>
        <v/>
      </c>
      <c r="AA183" s="125" t="str">
        <f t="shared" si="11"/>
        <v/>
      </c>
      <c r="AB183" s="125" t="str">
        <f>IF(Z183="","",SUMIFS(Tree!$R:$R,Tree!$A:$A,'Pre-Harvest Plots_rpt'!$B183,Tree!$B:$B,'Pre-Harvest Plots_rpt'!$D183,Tree!$F:$F,"D",Tree!$K:$K,"&lt;&gt;"&amp;"Y"))</f>
        <v/>
      </c>
      <c r="AC183" s="126" t="str">
        <f>IF(Z183="","",SUMIFS(Tree!$AM:$AM,Tree!$A:$A,'Pre-Harvest Plots_rpt'!$B183,Tree!$B:$B,'Pre-Harvest Plots_rpt'!$D183,Tree!$F:$F,"D",Tree!$K:$K,"&lt;&gt;"&amp;"Y"))</f>
        <v/>
      </c>
      <c r="AD183" s="162" t="str">
        <f>IF(Z183="","",SUMIFS(Tree!$AW:$AW,Tree!$A:$A,'Pre-Harvest Plots_rpt'!$B183,Tree!$B:$B,'Pre-Harvest Plots_rpt'!$D183,Tree!$F:$F,"D",Tree!$K:$K,"&lt;&gt;"&amp;"Y")/1000)</f>
        <v/>
      </c>
      <c r="AE183" s="47"/>
      <c r="AF183" s="18"/>
      <c r="AG183" s="18"/>
      <c r="AH183" s="18"/>
    </row>
    <row r="184" spans="1:34" ht="12.75" customHeight="1" x14ac:dyDescent="0.25">
      <c r="A184" s="48">
        <v>181</v>
      </c>
      <c r="B184" s="171" t="str">
        <f>IF(A184&lt;=SUM(Stand!$H$3:$H$29),VLOOKUP(A184,Stand!$A$3:$C$29,3,TRUE),"")</f>
        <v/>
      </c>
      <c r="C184" s="172" t="str">
        <f t="shared" si="8"/>
        <v/>
      </c>
      <c r="D184" s="173" t="str">
        <f>IF(B184="","",VLOOKUP(B184&amp;C184,Plot!$B$2:$D$199,3,FALSE))</f>
        <v/>
      </c>
      <c r="E184" s="130"/>
      <c r="F184" s="152" t="str">
        <f>IF(B184="","",SUMIFS(Tree!$O:$O,Tree!$A:$A,'Pre-Harvest Plots_rpt'!$B184,Tree!$B:$B,'Pre-Harvest Plots_rpt'!$D184,Tree!$F:$F,"L",Tree!$K:$K,"&lt;&gt;"&amp;"Y"))</f>
        <v/>
      </c>
      <c r="G184" s="153" t="str">
        <f>IFERROR(IF(D184="","",SUMIFS(Tree!$P:$P,Tree!$A:$A,'Pre-Harvest Plots_rpt'!$B184,Tree!$B:$B,'Pre-Harvest Plots_rpt'!$D184,Tree!$K:$K,"&lt;&gt;"&amp;"Y")/$F184),"")</f>
        <v/>
      </c>
      <c r="H184" s="122" t="str">
        <f t="shared" si="9"/>
        <v/>
      </c>
      <c r="I184" s="121" t="str">
        <f>IF(OR($F184=0,$F184=""),"",SUMIFS(Tree!$R:$R,Tree!$A:$A,'Pre-Harvest Plots_rpt'!$B184,Tree!$B:$B,'Pre-Harvest Plots_rpt'!$D184,Tree!$F:$F,"L",Tree!$K:$K,"&lt;&gt;"&amp;"Y"))</f>
        <v/>
      </c>
      <c r="J184" s="121" t="str">
        <f>IF(OR($F184=0,$F184=""),"",IF(SUMIFS(Tree!$W:$W,Tree!$A:$A,'Pre-Harvest Plots_rpt'!$B184,Tree!$B:$B,'Pre-Harvest Plots_rpt'!$D184,Tree!$F:$F,"L",Tree!$K:$K,"&lt;&gt;"&amp;"Y")=0,0,AVERAGEIFS(Tree!$W:$W,Tree!$A:$A,'Pre-Harvest Plots_rpt'!$B184,Tree!$B:$B,'Pre-Harvest Plots_rpt'!$D184,Tree!$F:$F,"L",Tree!$K:$K,"&lt;&gt;"&amp;"Y")))</f>
        <v/>
      </c>
      <c r="K184" s="121" t="str">
        <f>IF($F184="","",SUMIFS(Tree!$S:$S,Tree!$A:$A,'Pre-Harvest Plots_rpt'!$B184,Tree!$B:$B,'Pre-Harvest Plots_rpt'!$D184,Tree!$F:$F,"L",Tree!$K:$K,"&lt;&gt;"&amp;"Y"))</f>
        <v/>
      </c>
      <c r="L184" s="154" t="str">
        <f t="shared" si="10"/>
        <v/>
      </c>
      <c r="M184" s="135"/>
      <c r="N184" s="192" t="str">
        <f>IF(B184="","",SUMIFS(Tree!$AM:$AM,Tree!$A:$A,'Pre-Harvest Plots_rpt'!$B184,Tree!$B:$B,'Pre-Harvest Plots_rpt'!$D184,Tree!$F:$F,"L",Tree!$K:$K,"&lt;&gt;"&amp;"Y"))</f>
        <v/>
      </c>
      <c r="O184" s="122" t="str">
        <f>IF(B184="","",SUMIFS(Tree!$AN:$AN,Tree!$A:$A,'Pre-Harvest Plots_rpt'!$B184,Tree!$B:$B,'Pre-Harvest Plots_rpt'!$D184,Tree!$F:$F,"L",Tree!$K:$K,"&lt;&gt;"&amp;"Y"))</f>
        <v/>
      </c>
      <c r="P184" s="122" t="str">
        <f>IF(B184="","",SUMIFS(Tree!$AO:$AO,Tree!$A:$A,'Pre-Harvest Plots_rpt'!$B184,Tree!$B:$B,'Pre-Harvest Plots_rpt'!$D184,Tree!$F:$F,"L",Tree!$K:$K,"&lt;&gt;"&amp;"Y"))</f>
        <v/>
      </c>
      <c r="Q184" s="122" t="str">
        <f>IF(B184="","",SUMIFS(Tree!$AP:$AP,Tree!$A:$A,'Pre-Harvest Plots_rpt'!$B184,Tree!$B:$B,'Pre-Harvest Plots_rpt'!$D184,Tree!$F:$F,"L",Tree!$K:$K,"&lt;&gt;"&amp;"Y"))</f>
        <v/>
      </c>
      <c r="R184" s="123" t="str">
        <f>IF(B184="","",SUMIFS(Tree!$AQ:$AQ,Tree!$A:$A,'Pre-Harvest Plots_rpt'!$B184,Tree!$B:$B,'Pre-Harvest Plots_rpt'!$D184,Tree!$F:$F,"L",Tree!$K:$K,"&lt;&gt;"&amp;"Y"))</f>
        <v/>
      </c>
      <c r="S184" s="122" t="str">
        <f>IF(B184="","",SUMIFS(Tree!$AJ:$AJ,Tree!$A:$A,'Pre-Harvest Plots_rpt'!$B184,Tree!$B:$B,'Pre-Harvest Plots_rpt'!$D184,Tree!$F:$F,"L",Tree!$K:$K,"&lt;&gt;"&amp;"Y")-O184)</f>
        <v/>
      </c>
      <c r="T184" s="122" t="str">
        <f>IF(B184="","",SUMIFS(Tree!$AK:$AK,Tree!$A:$A,'Pre-Harvest Plots_rpt'!$B184,Tree!$B:$B,'Pre-Harvest Plots_rpt'!$D184,Tree!$F:$F,"L",Tree!$K:$K,"&lt;&gt;"&amp;"Y")-P184)</f>
        <v/>
      </c>
      <c r="U184" s="122" t="str">
        <f>IF(B184="","",SUMIFS(Tree!$AL:$AL,Tree!$A:$A,'Pre-Harvest Plots_rpt'!$B184,Tree!$B:$B,'Pre-Harvest Plots_rpt'!$D184,Tree!$F:$F,"L",Tree!$K:$K,"&lt;&gt;"&amp;"Y")-Q184)</f>
        <v/>
      </c>
      <c r="V184" s="123" t="str">
        <f>IF(B184="","",ROUND(SUMIFS(Tree!$AE:$AE,Tree!$A:$A,'Pre-Harvest Plots_rpt'!$B184,Tree!$B:$B,'Pre-Harvest Plots_rpt'!$D184,Tree!$F:$F,"L",Tree!$K:$K,"&lt;&gt;"&amp;"Y")-R184,1))</f>
        <v/>
      </c>
      <c r="W184" s="124" t="str">
        <f>IF(B184="","",SUMIFS(Tree!$AY:$AY,Tree!$A:$A,'Pre-Harvest Plots_rpt'!$B184,Tree!$B:$B,'Pre-Harvest Plots_rpt'!$D184,Tree!$F:$F,"L",Tree!$K:$K,"&lt;&gt;"&amp;"Y")/1000)</f>
        <v/>
      </c>
      <c r="X184" s="158" t="str">
        <f>IF(B184="","",ROUND((SUMIFS(Tree!$AW:$AW,Tree!$A:$A,'Pre-Harvest Plots_rpt'!$B184,Tree!$B:$B,'Pre-Harvest Plots_rpt'!$D184,Tree!$F:$F,"L",Tree!$K:$K,"&lt;&gt;"&amp;"Y")/1000)-W184,1))</f>
        <v/>
      </c>
      <c r="Y184" s="135"/>
      <c r="Z184" s="161" t="str">
        <f>IF(IF(B184="","",SUMIFS(Tree!$O:$O,Tree!$A:$A,'Pre-Harvest Plots_rpt'!$B184,Tree!$B:$B,'Pre-Harvest Plots_rpt'!$D184,Tree!$F:$F,"D",Tree!$K:$K,"&lt;&gt;"&amp;"Y"))=0,"",IF(B184="","",SUMIFS(Tree!$O:$O,Tree!$A:$A,'Pre-Harvest Plots_rpt'!$B184,Tree!$B:$B,'Pre-Harvest Plots_rpt'!$D184,Tree!$F:$F,"D",Tree!$K:$K,"&lt;&gt;"&amp;"Y")))</f>
        <v/>
      </c>
      <c r="AA184" s="125" t="str">
        <f t="shared" si="11"/>
        <v/>
      </c>
      <c r="AB184" s="125" t="str">
        <f>IF(Z184="","",SUMIFS(Tree!$R:$R,Tree!$A:$A,'Pre-Harvest Plots_rpt'!$B184,Tree!$B:$B,'Pre-Harvest Plots_rpt'!$D184,Tree!$F:$F,"D",Tree!$K:$K,"&lt;&gt;"&amp;"Y"))</f>
        <v/>
      </c>
      <c r="AC184" s="126" t="str">
        <f>IF(Z184="","",SUMIFS(Tree!$AM:$AM,Tree!$A:$A,'Pre-Harvest Plots_rpt'!$B184,Tree!$B:$B,'Pre-Harvest Plots_rpt'!$D184,Tree!$F:$F,"D",Tree!$K:$K,"&lt;&gt;"&amp;"Y"))</f>
        <v/>
      </c>
      <c r="AD184" s="162" t="str">
        <f>IF(Z184="","",SUMIFS(Tree!$AW:$AW,Tree!$A:$A,'Pre-Harvest Plots_rpt'!$B184,Tree!$B:$B,'Pre-Harvest Plots_rpt'!$D184,Tree!$F:$F,"D",Tree!$K:$K,"&lt;&gt;"&amp;"Y")/1000)</f>
        <v/>
      </c>
      <c r="AE184" s="47"/>
      <c r="AF184" s="18"/>
      <c r="AG184" s="18"/>
      <c r="AH184" s="18"/>
    </row>
    <row r="185" spans="1:34" ht="12.75" customHeight="1" x14ac:dyDescent="0.25">
      <c r="A185" s="48">
        <v>182</v>
      </c>
      <c r="B185" s="171" t="str">
        <f>IF(A185&lt;=SUM(Stand!$H$3:$H$29),VLOOKUP(A185,Stand!$A$3:$C$29,3,TRUE),"")</f>
        <v/>
      </c>
      <c r="C185" s="172" t="str">
        <f t="shared" si="8"/>
        <v/>
      </c>
      <c r="D185" s="173" t="str">
        <f>IF(B185="","",VLOOKUP(B185&amp;C185,Plot!$B$2:$D$199,3,FALSE))</f>
        <v/>
      </c>
      <c r="E185" s="130"/>
      <c r="F185" s="152" t="str">
        <f>IF(B185="","",SUMIFS(Tree!$O:$O,Tree!$A:$A,'Pre-Harvest Plots_rpt'!$B185,Tree!$B:$B,'Pre-Harvest Plots_rpt'!$D185,Tree!$F:$F,"L",Tree!$K:$K,"&lt;&gt;"&amp;"Y"))</f>
        <v/>
      </c>
      <c r="G185" s="153" t="str">
        <f>IFERROR(IF(D185="","",SUMIFS(Tree!$P:$P,Tree!$A:$A,'Pre-Harvest Plots_rpt'!$B185,Tree!$B:$B,'Pre-Harvest Plots_rpt'!$D185,Tree!$K:$K,"&lt;&gt;"&amp;"Y")/$F185),"")</f>
        <v/>
      </c>
      <c r="H185" s="122" t="str">
        <f t="shared" si="9"/>
        <v/>
      </c>
      <c r="I185" s="121" t="str">
        <f>IF(OR($F185=0,$F185=""),"",SUMIFS(Tree!$R:$R,Tree!$A:$A,'Pre-Harvest Plots_rpt'!$B185,Tree!$B:$B,'Pre-Harvest Plots_rpt'!$D185,Tree!$F:$F,"L",Tree!$K:$K,"&lt;&gt;"&amp;"Y"))</f>
        <v/>
      </c>
      <c r="J185" s="121" t="str">
        <f>IF(OR($F185=0,$F185=""),"",IF(SUMIFS(Tree!$W:$W,Tree!$A:$A,'Pre-Harvest Plots_rpt'!$B185,Tree!$B:$B,'Pre-Harvest Plots_rpt'!$D185,Tree!$F:$F,"L",Tree!$K:$K,"&lt;&gt;"&amp;"Y")=0,0,AVERAGEIFS(Tree!$W:$W,Tree!$A:$A,'Pre-Harvest Plots_rpt'!$B185,Tree!$B:$B,'Pre-Harvest Plots_rpt'!$D185,Tree!$F:$F,"L",Tree!$K:$K,"&lt;&gt;"&amp;"Y")))</f>
        <v/>
      </c>
      <c r="K185" s="121" t="str">
        <f>IF($F185="","",SUMIFS(Tree!$S:$S,Tree!$A:$A,'Pre-Harvest Plots_rpt'!$B185,Tree!$B:$B,'Pre-Harvest Plots_rpt'!$D185,Tree!$F:$F,"L",Tree!$K:$K,"&lt;&gt;"&amp;"Y"))</f>
        <v/>
      </c>
      <c r="L185" s="154" t="str">
        <f t="shared" si="10"/>
        <v/>
      </c>
      <c r="M185" s="135"/>
      <c r="N185" s="192" t="str">
        <f>IF(B185="","",SUMIFS(Tree!$AM:$AM,Tree!$A:$A,'Pre-Harvest Plots_rpt'!$B185,Tree!$B:$B,'Pre-Harvest Plots_rpt'!$D185,Tree!$F:$F,"L",Tree!$K:$K,"&lt;&gt;"&amp;"Y"))</f>
        <v/>
      </c>
      <c r="O185" s="122" t="str">
        <f>IF(B185="","",SUMIFS(Tree!$AN:$AN,Tree!$A:$A,'Pre-Harvest Plots_rpt'!$B185,Tree!$B:$B,'Pre-Harvest Plots_rpt'!$D185,Tree!$F:$F,"L",Tree!$K:$K,"&lt;&gt;"&amp;"Y"))</f>
        <v/>
      </c>
      <c r="P185" s="122" t="str">
        <f>IF(B185="","",SUMIFS(Tree!$AO:$AO,Tree!$A:$A,'Pre-Harvest Plots_rpt'!$B185,Tree!$B:$B,'Pre-Harvest Plots_rpt'!$D185,Tree!$F:$F,"L",Tree!$K:$K,"&lt;&gt;"&amp;"Y"))</f>
        <v/>
      </c>
      <c r="Q185" s="122" t="str">
        <f>IF(B185="","",SUMIFS(Tree!$AP:$AP,Tree!$A:$A,'Pre-Harvest Plots_rpt'!$B185,Tree!$B:$B,'Pre-Harvest Plots_rpt'!$D185,Tree!$F:$F,"L",Tree!$K:$K,"&lt;&gt;"&amp;"Y"))</f>
        <v/>
      </c>
      <c r="R185" s="123" t="str">
        <f>IF(B185="","",SUMIFS(Tree!$AQ:$AQ,Tree!$A:$A,'Pre-Harvest Plots_rpt'!$B185,Tree!$B:$B,'Pre-Harvest Plots_rpt'!$D185,Tree!$F:$F,"L",Tree!$K:$K,"&lt;&gt;"&amp;"Y"))</f>
        <v/>
      </c>
      <c r="S185" s="122" t="str">
        <f>IF(B185="","",SUMIFS(Tree!$AJ:$AJ,Tree!$A:$A,'Pre-Harvest Plots_rpt'!$B185,Tree!$B:$B,'Pre-Harvest Plots_rpt'!$D185,Tree!$F:$F,"L",Tree!$K:$K,"&lt;&gt;"&amp;"Y")-O185)</f>
        <v/>
      </c>
      <c r="T185" s="122" t="str">
        <f>IF(B185="","",SUMIFS(Tree!$AK:$AK,Tree!$A:$A,'Pre-Harvest Plots_rpt'!$B185,Tree!$B:$B,'Pre-Harvest Plots_rpt'!$D185,Tree!$F:$F,"L",Tree!$K:$K,"&lt;&gt;"&amp;"Y")-P185)</f>
        <v/>
      </c>
      <c r="U185" s="122" t="str">
        <f>IF(B185="","",SUMIFS(Tree!$AL:$AL,Tree!$A:$A,'Pre-Harvest Plots_rpt'!$B185,Tree!$B:$B,'Pre-Harvest Plots_rpt'!$D185,Tree!$F:$F,"L",Tree!$K:$K,"&lt;&gt;"&amp;"Y")-Q185)</f>
        <v/>
      </c>
      <c r="V185" s="123" t="str">
        <f>IF(B185="","",ROUND(SUMIFS(Tree!$AE:$AE,Tree!$A:$A,'Pre-Harvest Plots_rpt'!$B185,Tree!$B:$B,'Pre-Harvest Plots_rpt'!$D185,Tree!$F:$F,"L",Tree!$K:$K,"&lt;&gt;"&amp;"Y")-R185,1))</f>
        <v/>
      </c>
      <c r="W185" s="124" t="str">
        <f>IF(B185="","",SUMIFS(Tree!$AY:$AY,Tree!$A:$A,'Pre-Harvest Plots_rpt'!$B185,Tree!$B:$B,'Pre-Harvest Plots_rpt'!$D185,Tree!$F:$F,"L",Tree!$K:$K,"&lt;&gt;"&amp;"Y")/1000)</f>
        <v/>
      </c>
      <c r="X185" s="158" t="str">
        <f>IF(B185="","",ROUND((SUMIFS(Tree!$AW:$AW,Tree!$A:$A,'Pre-Harvest Plots_rpt'!$B185,Tree!$B:$B,'Pre-Harvest Plots_rpt'!$D185,Tree!$F:$F,"L",Tree!$K:$K,"&lt;&gt;"&amp;"Y")/1000)-W185,1))</f>
        <v/>
      </c>
      <c r="Y185" s="135"/>
      <c r="Z185" s="161" t="str">
        <f>IF(IF(B185="","",SUMIFS(Tree!$O:$O,Tree!$A:$A,'Pre-Harvest Plots_rpt'!$B185,Tree!$B:$B,'Pre-Harvest Plots_rpt'!$D185,Tree!$F:$F,"D",Tree!$K:$K,"&lt;&gt;"&amp;"Y"))=0,"",IF(B185="","",SUMIFS(Tree!$O:$O,Tree!$A:$A,'Pre-Harvest Plots_rpt'!$B185,Tree!$B:$B,'Pre-Harvest Plots_rpt'!$D185,Tree!$F:$F,"D",Tree!$K:$K,"&lt;&gt;"&amp;"Y")))</f>
        <v/>
      </c>
      <c r="AA185" s="125" t="str">
        <f t="shared" si="11"/>
        <v/>
      </c>
      <c r="AB185" s="125" t="str">
        <f>IF(Z185="","",SUMIFS(Tree!$R:$R,Tree!$A:$A,'Pre-Harvest Plots_rpt'!$B185,Tree!$B:$B,'Pre-Harvest Plots_rpt'!$D185,Tree!$F:$F,"D",Tree!$K:$K,"&lt;&gt;"&amp;"Y"))</f>
        <v/>
      </c>
      <c r="AC185" s="126" t="str">
        <f>IF(Z185="","",SUMIFS(Tree!$AM:$AM,Tree!$A:$A,'Pre-Harvest Plots_rpt'!$B185,Tree!$B:$B,'Pre-Harvest Plots_rpt'!$D185,Tree!$F:$F,"D",Tree!$K:$K,"&lt;&gt;"&amp;"Y"))</f>
        <v/>
      </c>
      <c r="AD185" s="162" t="str">
        <f>IF(Z185="","",SUMIFS(Tree!$AW:$AW,Tree!$A:$A,'Pre-Harvest Plots_rpt'!$B185,Tree!$B:$B,'Pre-Harvest Plots_rpt'!$D185,Tree!$F:$F,"D",Tree!$K:$K,"&lt;&gt;"&amp;"Y")/1000)</f>
        <v/>
      </c>
      <c r="AE185" s="47"/>
      <c r="AF185" s="18"/>
      <c r="AG185" s="18"/>
      <c r="AH185" s="18"/>
    </row>
    <row r="186" spans="1:34" ht="12.75" customHeight="1" x14ac:dyDescent="0.25">
      <c r="A186" s="48">
        <v>183</v>
      </c>
      <c r="B186" s="171" t="str">
        <f>IF(A186&lt;=SUM(Stand!$H$3:$H$29),VLOOKUP(A186,Stand!$A$3:$C$29,3,TRUE),"")</f>
        <v/>
      </c>
      <c r="C186" s="172" t="str">
        <f t="shared" si="8"/>
        <v/>
      </c>
      <c r="D186" s="173" t="str">
        <f>IF(B186="","",VLOOKUP(B186&amp;C186,Plot!$B$2:$D$199,3,FALSE))</f>
        <v/>
      </c>
      <c r="E186" s="130"/>
      <c r="F186" s="152" t="str">
        <f>IF(B186="","",SUMIFS(Tree!$O:$O,Tree!$A:$A,'Pre-Harvest Plots_rpt'!$B186,Tree!$B:$B,'Pre-Harvest Plots_rpt'!$D186,Tree!$F:$F,"L",Tree!$K:$K,"&lt;&gt;"&amp;"Y"))</f>
        <v/>
      </c>
      <c r="G186" s="153" t="str">
        <f>IFERROR(IF(D186="","",SUMIFS(Tree!$P:$P,Tree!$A:$A,'Pre-Harvest Plots_rpt'!$B186,Tree!$B:$B,'Pre-Harvest Plots_rpt'!$D186,Tree!$K:$K,"&lt;&gt;"&amp;"Y")/$F186),"")</f>
        <v/>
      </c>
      <c r="H186" s="122" t="str">
        <f t="shared" si="9"/>
        <v/>
      </c>
      <c r="I186" s="121" t="str">
        <f>IF(OR($F186=0,$F186=""),"",SUMIFS(Tree!$R:$R,Tree!$A:$A,'Pre-Harvest Plots_rpt'!$B186,Tree!$B:$B,'Pre-Harvest Plots_rpt'!$D186,Tree!$F:$F,"L",Tree!$K:$K,"&lt;&gt;"&amp;"Y"))</f>
        <v/>
      </c>
      <c r="J186" s="121" t="str">
        <f>IF(OR($F186=0,$F186=""),"",IF(SUMIFS(Tree!$W:$W,Tree!$A:$A,'Pre-Harvest Plots_rpt'!$B186,Tree!$B:$B,'Pre-Harvest Plots_rpt'!$D186,Tree!$F:$F,"L",Tree!$K:$K,"&lt;&gt;"&amp;"Y")=0,0,AVERAGEIFS(Tree!$W:$W,Tree!$A:$A,'Pre-Harvest Plots_rpt'!$B186,Tree!$B:$B,'Pre-Harvest Plots_rpt'!$D186,Tree!$F:$F,"L",Tree!$K:$K,"&lt;&gt;"&amp;"Y")))</f>
        <v/>
      </c>
      <c r="K186" s="121" t="str">
        <f>IF($F186="","",SUMIFS(Tree!$S:$S,Tree!$A:$A,'Pre-Harvest Plots_rpt'!$B186,Tree!$B:$B,'Pre-Harvest Plots_rpt'!$D186,Tree!$F:$F,"L",Tree!$K:$K,"&lt;&gt;"&amp;"Y"))</f>
        <v/>
      </c>
      <c r="L186" s="154" t="str">
        <f t="shared" si="10"/>
        <v/>
      </c>
      <c r="M186" s="135"/>
      <c r="N186" s="192" t="str">
        <f>IF(B186="","",SUMIFS(Tree!$AM:$AM,Tree!$A:$A,'Pre-Harvest Plots_rpt'!$B186,Tree!$B:$B,'Pre-Harvest Plots_rpt'!$D186,Tree!$F:$F,"L",Tree!$K:$K,"&lt;&gt;"&amp;"Y"))</f>
        <v/>
      </c>
      <c r="O186" s="122" t="str">
        <f>IF(B186="","",SUMIFS(Tree!$AN:$AN,Tree!$A:$A,'Pre-Harvest Plots_rpt'!$B186,Tree!$B:$B,'Pre-Harvest Plots_rpt'!$D186,Tree!$F:$F,"L",Tree!$K:$K,"&lt;&gt;"&amp;"Y"))</f>
        <v/>
      </c>
      <c r="P186" s="122" t="str">
        <f>IF(B186="","",SUMIFS(Tree!$AO:$AO,Tree!$A:$A,'Pre-Harvest Plots_rpt'!$B186,Tree!$B:$B,'Pre-Harvest Plots_rpt'!$D186,Tree!$F:$F,"L",Tree!$K:$K,"&lt;&gt;"&amp;"Y"))</f>
        <v/>
      </c>
      <c r="Q186" s="122" t="str">
        <f>IF(B186="","",SUMIFS(Tree!$AP:$AP,Tree!$A:$A,'Pre-Harvest Plots_rpt'!$B186,Tree!$B:$B,'Pre-Harvest Plots_rpt'!$D186,Tree!$F:$F,"L",Tree!$K:$K,"&lt;&gt;"&amp;"Y"))</f>
        <v/>
      </c>
      <c r="R186" s="123" t="str">
        <f>IF(B186="","",SUMIFS(Tree!$AQ:$AQ,Tree!$A:$A,'Pre-Harvest Plots_rpt'!$B186,Tree!$B:$B,'Pre-Harvest Plots_rpt'!$D186,Tree!$F:$F,"L",Tree!$K:$K,"&lt;&gt;"&amp;"Y"))</f>
        <v/>
      </c>
      <c r="S186" s="122" t="str">
        <f>IF(B186="","",SUMIFS(Tree!$AJ:$AJ,Tree!$A:$A,'Pre-Harvest Plots_rpt'!$B186,Tree!$B:$B,'Pre-Harvest Plots_rpt'!$D186,Tree!$F:$F,"L",Tree!$K:$K,"&lt;&gt;"&amp;"Y")-O186)</f>
        <v/>
      </c>
      <c r="T186" s="122" t="str">
        <f>IF(B186="","",SUMIFS(Tree!$AK:$AK,Tree!$A:$A,'Pre-Harvest Plots_rpt'!$B186,Tree!$B:$B,'Pre-Harvest Plots_rpt'!$D186,Tree!$F:$F,"L",Tree!$K:$K,"&lt;&gt;"&amp;"Y")-P186)</f>
        <v/>
      </c>
      <c r="U186" s="122" t="str">
        <f>IF(B186="","",SUMIFS(Tree!$AL:$AL,Tree!$A:$A,'Pre-Harvest Plots_rpt'!$B186,Tree!$B:$B,'Pre-Harvest Plots_rpt'!$D186,Tree!$F:$F,"L",Tree!$K:$K,"&lt;&gt;"&amp;"Y")-Q186)</f>
        <v/>
      </c>
      <c r="V186" s="123" t="str">
        <f>IF(B186="","",ROUND(SUMIFS(Tree!$AE:$AE,Tree!$A:$A,'Pre-Harvest Plots_rpt'!$B186,Tree!$B:$B,'Pre-Harvest Plots_rpt'!$D186,Tree!$F:$F,"L",Tree!$K:$K,"&lt;&gt;"&amp;"Y")-R186,1))</f>
        <v/>
      </c>
      <c r="W186" s="124" t="str">
        <f>IF(B186="","",SUMIFS(Tree!$AY:$AY,Tree!$A:$A,'Pre-Harvest Plots_rpt'!$B186,Tree!$B:$B,'Pre-Harvest Plots_rpt'!$D186,Tree!$F:$F,"L",Tree!$K:$K,"&lt;&gt;"&amp;"Y")/1000)</f>
        <v/>
      </c>
      <c r="X186" s="158" t="str">
        <f>IF(B186="","",ROUND((SUMIFS(Tree!$AW:$AW,Tree!$A:$A,'Pre-Harvest Plots_rpt'!$B186,Tree!$B:$B,'Pre-Harvest Plots_rpt'!$D186,Tree!$F:$F,"L",Tree!$K:$K,"&lt;&gt;"&amp;"Y")/1000)-W186,1))</f>
        <v/>
      </c>
      <c r="Y186" s="135"/>
      <c r="Z186" s="161" t="str">
        <f>IF(IF(B186="","",SUMIFS(Tree!$O:$O,Tree!$A:$A,'Pre-Harvest Plots_rpt'!$B186,Tree!$B:$B,'Pre-Harvest Plots_rpt'!$D186,Tree!$F:$F,"D",Tree!$K:$K,"&lt;&gt;"&amp;"Y"))=0,"",IF(B186="","",SUMIFS(Tree!$O:$O,Tree!$A:$A,'Pre-Harvest Plots_rpt'!$B186,Tree!$B:$B,'Pre-Harvest Plots_rpt'!$D186,Tree!$F:$F,"D",Tree!$K:$K,"&lt;&gt;"&amp;"Y")))</f>
        <v/>
      </c>
      <c r="AA186" s="125" t="str">
        <f t="shared" si="11"/>
        <v/>
      </c>
      <c r="AB186" s="125" t="str">
        <f>IF(Z186="","",SUMIFS(Tree!$R:$R,Tree!$A:$A,'Pre-Harvest Plots_rpt'!$B186,Tree!$B:$B,'Pre-Harvest Plots_rpt'!$D186,Tree!$F:$F,"D",Tree!$K:$K,"&lt;&gt;"&amp;"Y"))</f>
        <v/>
      </c>
      <c r="AC186" s="126" t="str">
        <f>IF(Z186="","",SUMIFS(Tree!$AM:$AM,Tree!$A:$A,'Pre-Harvest Plots_rpt'!$B186,Tree!$B:$B,'Pre-Harvest Plots_rpt'!$D186,Tree!$F:$F,"D",Tree!$K:$K,"&lt;&gt;"&amp;"Y"))</f>
        <v/>
      </c>
      <c r="AD186" s="162" t="str">
        <f>IF(Z186="","",SUMIFS(Tree!$AW:$AW,Tree!$A:$A,'Pre-Harvest Plots_rpt'!$B186,Tree!$B:$B,'Pre-Harvest Plots_rpt'!$D186,Tree!$F:$F,"D",Tree!$K:$K,"&lt;&gt;"&amp;"Y")/1000)</f>
        <v/>
      </c>
      <c r="AE186" s="47"/>
      <c r="AF186" s="18"/>
      <c r="AG186" s="18"/>
      <c r="AH186" s="18"/>
    </row>
    <row r="187" spans="1:34" ht="12.75" customHeight="1" x14ac:dyDescent="0.25">
      <c r="A187" s="48">
        <v>184</v>
      </c>
      <c r="B187" s="171" t="str">
        <f>IF(A187&lt;=SUM(Stand!$H$3:$H$29),VLOOKUP(A187,Stand!$A$3:$C$29,3,TRUE),"")</f>
        <v/>
      </c>
      <c r="C187" s="172" t="str">
        <f t="shared" si="8"/>
        <v/>
      </c>
      <c r="D187" s="173" t="str">
        <f>IF(B187="","",VLOOKUP(B187&amp;C187,Plot!$B$2:$D$199,3,FALSE))</f>
        <v/>
      </c>
      <c r="E187" s="130"/>
      <c r="F187" s="152" t="str">
        <f>IF(B187="","",SUMIFS(Tree!$O:$O,Tree!$A:$A,'Pre-Harvest Plots_rpt'!$B187,Tree!$B:$B,'Pre-Harvest Plots_rpt'!$D187,Tree!$F:$F,"L",Tree!$K:$K,"&lt;&gt;"&amp;"Y"))</f>
        <v/>
      </c>
      <c r="G187" s="153" t="str">
        <f>IFERROR(IF(D187="","",SUMIFS(Tree!$P:$P,Tree!$A:$A,'Pre-Harvest Plots_rpt'!$B187,Tree!$B:$B,'Pre-Harvest Plots_rpt'!$D187,Tree!$K:$K,"&lt;&gt;"&amp;"Y")/$F187),"")</f>
        <v/>
      </c>
      <c r="H187" s="122" t="str">
        <f t="shared" si="9"/>
        <v/>
      </c>
      <c r="I187" s="121" t="str">
        <f>IF(OR($F187=0,$F187=""),"",SUMIFS(Tree!$R:$R,Tree!$A:$A,'Pre-Harvest Plots_rpt'!$B187,Tree!$B:$B,'Pre-Harvest Plots_rpt'!$D187,Tree!$F:$F,"L",Tree!$K:$K,"&lt;&gt;"&amp;"Y"))</f>
        <v/>
      </c>
      <c r="J187" s="121" t="str">
        <f>IF(OR($F187=0,$F187=""),"",IF(SUMIFS(Tree!$W:$W,Tree!$A:$A,'Pre-Harvest Plots_rpt'!$B187,Tree!$B:$B,'Pre-Harvest Plots_rpt'!$D187,Tree!$F:$F,"L",Tree!$K:$K,"&lt;&gt;"&amp;"Y")=0,0,AVERAGEIFS(Tree!$W:$W,Tree!$A:$A,'Pre-Harvest Plots_rpt'!$B187,Tree!$B:$B,'Pre-Harvest Plots_rpt'!$D187,Tree!$F:$F,"L",Tree!$K:$K,"&lt;&gt;"&amp;"Y")))</f>
        <v/>
      </c>
      <c r="K187" s="121" t="str">
        <f>IF($F187="","",SUMIFS(Tree!$S:$S,Tree!$A:$A,'Pre-Harvest Plots_rpt'!$B187,Tree!$B:$B,'Pre-Harvest Plots_rpt'!$D187,Tree!$F:$F,"L",Tree!$K:$K,"&lt;&gt;"&amp;"Y"))</f>
        <v/>
      </c>
      <c r="L187" s="154" t="str">
        <f t="shared" si="10"/>
        <v/>
      </c>
      <c r="M187" s="135"/>
      <c r="N187" s="192" t="str">
        <f>IF(B187="","",SUMIFS(Tree!$AM:$AM,Tree!$A:$A,'Pre-Harvest Plots_rpt'!$B187,Tree!$B:$B,'Pre-Harvest Plots_rpt'!$D187,Tree!$F:$F,"L",Tree!$K:$K,"&lt;&gt;"&amp;"Y"))</f>
        <v/>
      </c>
      <c r="O187" s="122" t="str">
        <f>IF(B187="","",SUMIFS(Tree!$AN:$AN,Tree!$A:$A,'Pre-Harvest Plots_rpt'!$B187,Tree!$B:$B,'Pre-Harvest Plots_rpt'!$D187,Tree!$F:$F,"L",Tree!$K:$K,"&lt;&gt;"&amp;"Y"))</f>
        <v/>
      </c>
      <c r="P187" s="122" t="str">
        <f>IF(B187="","",SUMIFS(Tree!$AO:$AO,Tree!$A:$A,'Pre-Harvest Plots_rpt'!$B187,Tree!$B:$B,'Pre-Harvest Plots_rpt'!$D187,Tree!$F:$F,"L",Tree!$K:$K,"&lt;&gt;"&amp;"Y"))</f>
        <v/>
      </c>
      <c r="Q187" s="122" t="str">
        <f>IF(B187="","",SUMIFS(Tree!$AP:$AP,Tree!$A:$A,'Pre-Harvest Plots_rpt'!$B187,Tree!$B:$B,'Pre-Harvest Plots_rpt'!$D187,Tree!$F:$F,"L",Tree!$K:$K,"&lt;&gt;"&amp;"Y"))</f>
        <v/>
      </c>
      <c r="R187" s="123" t="str">
        <f>IF(B187="","",SUMIFS(Tree!$AQ:$AQ,Tree!$A:$A,'Pre-Harvest Plots_rpt'!$B187,Tree!$B:$B,'Pre-Harvest Plots_rpt'!$D187,Tree!$F:$F,"L",Tree!$K:$K,"&lt;&gt;"&amp;"Y"))</f>
        <v/>
      </c>
      <c r="S187" s="122" t="str">
        <f>IF(B187="","",SUMIFS(Tree!$AJ:$AJ,Tree!$A:$A,'Pre-Harvest Plots_rpt'!$B187,Tree!$B:$B,'Pre-Harvest Plots_rpt'!$D187,Tree!$F:$F,"L",Tree!$K:$K,"&lt;&gt;"&amp;"Y")-O187)</f>
        <v/>
      </c>
      <c r="T187" s="122" t="str">
        <f>IF(B187="","",SUMIFS(Tree!$AK:$AK,Tree!$A:$A,'Pre-Harvest Plots_rpt'!$B187,Tree!$B:$B,'Pre-Harvest Plots_rpt'!$D187,Tree!$F:$F,"L",Tree!$K:$K,"&lt;&gt;"&amp;"Y")-P187)</f>
        <v/>
      </c>
      <c r="U187" s="122" t="str">
        <f>IF(B187="","",SUMIFS(Tree!$AL:$AL,Tree!$A:$A,'Pre-Harvest Plots_rpt'!$B187,Tree!$B:$B,'Pre-Harvest Plots_rpt'!$D187,Tree!$F:$F,"L",Tree!$K:$K,"&lt;&gt;"&amp;"Y")-Q187)</f>
        <v/>
      </c>
      <c r="V187" s="123" t="str">
        <f>IF(B187="","",ROUND(SUMIFS(Tree!$AE:$AE,Tree!$A:$A,'Pre-Harvest Plots_rpt'!$B187,Tree!$B:$B,'Pre-Harvest Plots_rpt'!$D187,Tree!$F:$F,"L",Tree!$K:$K,"&lt;&gt;"&amp;"Y")-R187,1))</f>
        <v/>
      </c>
      <c r="W187" s="124" t="str">
        <f>IF(B187="","",SUMIFS(Tree!$AY:$AY,Tree!$A:$A,'Pre-Harvest Plots_rpt'!$B187,Tree!$B:$B,'Pre-Harvest Plots_rpt'!$D187,Tree!$F:$F,"L",Tree!$K:$K,"&lt;&gt;"&amp;"Y")/1000)</f>
        <v/>
      </c>
      <c r="X187" s="158" t="str">
        <f>IF(B187="","",ROUND((SUMIFS(Tree!$AW:$AW,Tree!$A:$A,'Pre-Harvest Plots_rpt'!$B187,Tree!$B:$B,'Pre-Harvest Plots_rpt'!$D187,Tree!$F:$F,"L",Tree!$K:$K,"&lt;&gt;"&amp;"Y")/1000)-W187,1))</f>
        <v/>
      </c>
      <c r="Y187" s="135"/>
      <c r="Z187" s="161" t="str">
        <f>IF(IF(B187="","",SUMIFS(Tree!$O:$O,Tree!$A:$A,'Pre-Harvest Plots_rpt'!$B187,Tree!$B:$B,'Pre-Harvest Plots_rpt'!$D187,Tree!$F:$F,"D",Tree!$K:$K,"&lt;&gt;"&amp;"Y"))=0,"",IF(B187="","",SUMIFS(Tree!$O:$O,Tree!$A:$A,'Pre-Harvest Plots_rpt'!$B187,Tree!$B:$B,'Pre-Harvest Plots_rpt'!$D187,Tree!$F:$F,"D",Tree!$K:$K,"&lt;&gt;"&amp;"Y")))</f>
        <v/>
      </c>
      <c r="AA187" s="125" t="str">
        <f t="shared" si="11"/>
        <v/>
      </c>
      <c r="AB187" s="125" t="str">
        <f>IF(Z187="","",SUMIFS(Tree!$R:$R,Tree!$A:$A,'Pre-Harvest Plots_rpt'!$B187,Tree!$B:$B,'Pre-Harvest Plots_rpt'!$D187,Tree!$F:$F,"D",Tree!$K:$K,"&lt;&gt;"&amp;"Y"))</f>
        <v/>
      </c>
      <c r="AC187" s="126" t="str">
        <f>IF(Z187="","",SUMIFS(Tree!$AM:$AM,Tree!$A:$A,'Pre-Harvest Plots_rpt'!$B187,Tree!$B:$B,'Pre-Harvest Plots_rpt'!$D187,Tree!$F:$F,"D",Tree!$K:$K,"&lt;&gt;"&amp;"Y"))</f>
        <v/>
      </c>
      <c r="AD187" s="162" t="str">
        <f>IF(Z187="","",SUMIFS(Tree!$AW:$AW,Tree!$A:$A,'Pre-Harvest Plots_rpt'!$B187,Tree!$B:$B,'Pre-Harvest Plots_rpt'!$D187,Tree!$F:$F,"D",Tree!$K:$K,"&lt;&gt;"&amp;"Y")/1000)</f>
        <v/>
      </c>
      <c r="AE187" s="47"/>
      <c r="AF187" s="18"/>
      <c r="AG187" s="18"/>
      <c r="AH187" s="18"/>
    </row>
    <row r="188" spans="1:34" ht="12.75" customHeight="1" x14ac:dyDescent="0.25">
      <c r="A188" s="48">
        <v>185</v>
      </c>
      <c r="B188" s="171" t="str">
        <f>IF(A188&lt;=SUM(Stand!$H$3:$H$29),VLOOKUP(A188,Stand!$A$3:$C$29,3,TRUE),"")</f>
        <v/>
      </c>
      <c r="C188" s="172" t="str">
        <f t="shared" si="8"/>
        <v/>
      </c>
      <c r="D188" s="173" t="str">
        <f>IF(B188="","",VLOOKUP(B188&amp;C188,Plot!$B$2:$D$199,3,FALSE))</f>
        <v/>
      </c>
      <c r="E188" s="130"/>
      <c r="F188" s="152" t="str">
        <f>IF(B188="","",SUMIFS(Tree!$O:$O,Tree!$A:$A,'Pre-Harvest Plots_rpt'!$B188,Tree!$B:$B,'Pre-Harvest Plots_rpt'!$D188,Tree!$F:$F,"L",Tree!$K:$K,"&lt;&gt;"&amp;"Y"))</f>
        <v/>
      </c>
      <c r="G188" s="153" t="str">
        <f>IFERROR(IF(D188="","",SUMIFS(Tree!$P:$P,Tree!$A:$A,'Pre-Harvest Plots_rpt'!$B188,Tree!$B:$B,'Pre-Harvest Plots_rpt'!$D188,Tree!$K:$K,"&lt;&gt;"&amp;"Y")/$F188),"")</f>
        <v/>
      </c>
      <c r="H188" s="122" t="str">
        <f t="shared" si="9"/>
        <v/>
      </c>
      <c r="I188" s="121" t="str">
        <f>IF(OR($F188=0,$F188=""),"",SUMIFS(Tree!$R:$R,Tree!$A:$A,'Pre-Harvest Plots_rpt'!$B188,Tree!$B:$B,'Pre-Harvest Plots_rpt'!$D188,Tree!$F:$F,"L",Tree!$K:$K,"&lt;&gt;"&amp;"Y"))</f>
        <v/>
      </c>
      <c r="J188" s="121" t="str">
        <f>IF(OR($F188=0,$F188=""),"",IF(SUMIFS(Tree!$W:$W,Tree!$A:$A,'Pre-Harvest Plots_rpt'!$B188,Tree!$B:$B,'Pre-Harvest Plots_rpt'!$D188,Tree!$F:$F,"L",Tree!$K:$K,"&lt;&gt;"&amp;"Y")=0,0,AVERAGEIFS(Tree!$W:$W,Tree!$A:$A,'Pre-Harvest Plots_rpt'!$B188,Tree!$B:$B,'Pre-Harvest Plots_rpt'!$D188,Tree!$F:$F,"L",Tree!$K:$K,"&lt;&gt;"&amp;"Y")))</f>
        <v/>
      </c>
      <c r="K188" s="121" t="str">
        <f>IF($F188="","",SUMIFS(Tree!$S:$S,Tree!$A:$A,'Pre-Harvest Plots_rpt'!$B188,Tree!$B:$B,'Pre-Harvest Plots_rpt'!$D188,Tree!$F:$F,"L",Tree!$K:$K,"&lt;&gt;"&amp;"Y"))</f>
        <v/>
      </c>
      <c r="L188" s="154" t="str">
        <f t="shared" si="10"/>
        <v/>
      </c>
      <c r="M188" s="135"/>
      <c r="N188" s="192" t="str">
        <f>IF(B188="","",SUMIFS(Tree!$AM:$AM,Tree!$A:$A,'Pre-Harvest Plots_rpt'!$B188,Tree!$B:$B,'Pre-Harvest Plots_rpt'!$D188,Tree!$F:$F,"L",Tree!$K:$K,"&lt;&gt;"&amp;"Y"))</f>
        <v/>
      </c>
      <c r="O188" s="122" t="str">
        <f>IF(B188="","",SUMIFS(Tree!$AN:$AN,Tree!$A:$A,'Pre-Harvest Plots_rpt'!$B188,Tree!$B:$B,'Pre-Harvest Plots_rpt'!$D188,Tree!$F:$F,"L",Tree!$K:$K,"&lt;&gt;"&amp;"Y"))</f>
        <v/>
      </c>
      <c r="P188" s="122" t="str">
        <f>IF(B188="","",SUMIFS(Tree!$AO:$AO,Tree!$A:$A,'Pre-Harvest Plots_rpt'!$B188,Tree!$B:$B,'Pre-Harvest Plots_rpt'!$D188,Tree!$F:$F,"L",Tree!$K:$K,"&lt;&gt;"&amp;"Y"))</f>
        <v/>
      </c>
      <c r="Q188" s="122" t="str">
        <f>IF(B188="","",SUMIFS(Tree!$AP:$AP,Tree!$A:$A,'Pre-Harvest Plots_rpt'!$B188,Tree!$B:$B,'Pre-Harvest Plots_rpt'!$D188,Tree!$F:$F,"L",Tree!$K:$K,"&lt;&gt;"&amp;"Y"))</f>
        <v/>
      </c>
      <c r="R188" s="123" t="str">
        <f>IF(B188="","",SUMIFS(Tree!$AQ:$AQ,Tree!$A:$A,'Pre-Harvest Plots_rpt'!$B188,Tree!$B:$B,'Pre-Harvest Plots_rpt'!$D188,Tree!$F:$F,"L",Tree!$K:$K,"&lt;&gt;"&amp;"Y"))</f>
        <v/>
      </c>
      <c r="S188" s="122" t="str">
        <f>IF(B188="","",SUMIFS(Tree!$AJ:$AJ,Tree!$A:$A,'Pre-Harvest Plots_rpt'!$B188,Tree!$B:$B,'Pre-Harvest Plots_rpt'!$D188,Tree!$F:$F,"L",Tree!$K:$K,"&lt;&gt;"&amp;"Y")-O188)</f>
        <v/>
      </c>
      <c r="T188" s="122" t="str">
        <f>IF(B188="","",SUMIFS(Tree!$AK:$AK,Tree!$A:$A,'Pre-Harvest Plots_rpt'!$B188,Tree!$B:$B,'Pre-Harvest Plots_rpt'!$D188,Tree!$F:$F,"L",Tree!$K:$K,"&lt;&gt;"&amp;"Y")-P188)</f>
        <v/>
      </c>
      <c r="U188" s="122" t="str">
        <f>IF(B188="","",SUMIFS(Tree!$AL:$AL,Tree!$A:$A,'Pre-Harvest Plots_rpt'!$B188,Tree!$B:$B,'Pre-Harvest Plots_rpt'!$D188,Tree!$F:$F,"L",Tree!$K:$K,"&lt;&gt;"&amp;"Y")-Q188)</f>
        <v/>
      </c>
      <c r="V188" s="123" t="str">
        <f>IF(B188="","",ROUND(SUMIFS(Tree!$AE:$AE,Tree!$A:$A,'Pre-Harvest Plots_rpt'!$B188,Tree!$B:$B,'Pre-Harvest Plots_rpt'!$D188,Tree!$F:$F,"L",Tree!$K:$K,"&lt;&gt;"&amp;"Y")-R188,1))</f>
        <v/>
      </c>
      <c r="W188" s="124" t="str">
        <f>IF(B188="","",SUMIFS(Tree!$AY:$AY,Tree!$A:$A,'Pre-Harvest Plots_rpt'!$B188,Tree!$B:$B,'Pre-Harvest Plots_rpt'!$D188,Tree!$F:$F,"L",Tree!$K:$K,"&lt;&gt;"&amp;"Y")/1000)</f>
        <v/>
      </c>
      <c r="X188" s="158" t="str">
        <f>IF(B188="","",ROUND((SUMIFS(Tree!$AW:$AW,Tree!$A:$A,'Pre-Harvest Plots_rpt'!$B188,Tree!$B:$B,'Pre-Harvest Plots_rpt'!$D188,Tree!$F:$F,"L",Tree!$K:$K,"&lt;&gt;"&amp;"Y")/1000)-W188,1))</f>
        <v/>
      </c>
      <c r="Y188" s="135"/>
      <c r="Z188" s="161" t="str">
        <f>IF(IF(B188="","",SUMIFS(Tree!$O:$O,Tree!$A:$A,'Pre-Harvest Plots_rpt'!$B188,Tree!$B:$B,'Pre-Harvest Plots_rpt'!$D188,Tree!$F:$F,"D",Tree!$K:$K,"&lt;&gt;"&amp;"Y"))=0,"",IF(B188="","",SUMIFS(Tree!$O:$O,Tree!$A:$A,'Pre-Harvest Plots_rpt'!$B188,Tree!$B:$B,'Pre-Harvest Plots_rpt'!$D188,Tree!$F:$F,"D",Tree!$K:$K,"&lt;&gt;"&amp;"Y")))</f>
        <v/>
      </c>
      <c r="AA188" s="125" t="str">
        <f t="shared" si="11"/>
        <v/>
      </c>
      <c r="AB188" s="125" t="str">
        <f>IF(Z188="","",SUMIFS(Tree!$R:$R,Tree!$A:$A,'Pre-Harvest Plots_rpt'!$B188,Tree!$B:$B,'Pre-Harvest Plots_rpt'!$D188,Tree!$F:$F,"D",Tree!$K:$K,"&lt;&gt;"&amp;"Y"))</f>
        <v/>
      </c>
      <c r="AC188" s="126" t="str">
        <f>IF(Z188="","",SUMIFS(Tree!$AM:$AM,Tree!$A:$A,'Pre-Harvest Plots_rpt'!$B188,Tree!$B:$B,'Pre-Harvest Plots_rpt'!$D188,Tree!$F:$F,"D",Tree!$K:$K,"&lt;&gt;"&amp;"Y"))</f>
        <v/>
      </c>
      <c r="AD188" s="162" t="str">
        <f>IF(Z188="","",SUMIFS(Tree!$AW:$AW,Tree!$A:$A,'Pre-Harvest Plots_rpt'!$B188,Tree!$B:$B,'Pre-Harvest Plots_rpt'!$D188,Tree!$F:$F,"D",Tree!$K:$K,"&lt;&gt;"&amp;"Y")/1000)</f>
        <v/>
      </c>
      <c r="AE188" s="47"/>
      <c r="AF188" s="18"/>
      <c r="AG188" s="18"/>
      <c r="AH188" s="18"/>
    </row>
    <row r="189" spans="1:34" ht="12.75" customHeight="1" x14ac:dyDescent="0.25">
      <c r="A189" s="48">
        <v>186</v>
      </c>
      <c r="B189" s="171" t="str">
        <f>IF(A189&lt;=SUM(Stand!$H$3:$H$29),VLOOKUP(A189,Stand!$A$3:$C$29,3,TRUE),"")</f>
        <v/>
      </c>
      <c r="C189" s="172" t="str">
        <f t="shared" si="8"/>
        <v/>
      </c>
      <c r="D189" s="173" t="str">
        <f>IF(B189="","",VLOOKUP(B189&amp;C189,Plot!$B$2:$D$199,3,FALSE))</f>
        <v/>
      </c>
      <c r="E189" s="130"/>
      <c r="F189" s="152" t="str">
        <f>IF(B189="","",SUMIFS(Tree!$O:$O,Tree!$A:$A,'Pre-Harvest Plots_rpt'!$B189,Tree!$B:$B,'Pre-Harvest Plots_rpt'!$D189,Tree!$F:$F,"L",Tree!$K:$K,"&lt;&gt;"&amp;"Y"))</f>
        <v/>
      </c>
      <c r="G189" s="153" t="str">
        <f>IFERROR(IF(D189="","",SUMIFS(Tree!$P:$P,Tree!$A:$A,'Pre-Harvest Plots_rpt'!$B189,Tree!$B:$B,'Pre-Harvest Plots_rpt'!$D189,Tree!$K:$K,"&lt;&gt;"&amp;"Y")/$F189),"")</f>
        <v/>
      </c>
      <c r="H189" s="122" t="str">
        <f t="shared" si="9"/>
        <v/>
      </c>
      <c r="I189" s="121" t="str">
        <f>IF(OR($F189=0,$F189=""),"",SUMIFS(Tree!$R:$R,Tree!$A:$A,'Pre-Harvest Plots_rpt'!$B189,Tree!$B:$B,'Pre-Harvest Plots_rpt'!$D189,Tree!$F:$F,"L",Tree!$K:$K,"&lt;&gt;"&amp;"Y"))</f>
        <v/>
      </c>
      <c r="J189" s="121" t="str">
        <f>IF(OR($F189=0,$F189=""),"",IF(SUMIFS(Tree!$W:$W,Tree!$A:$A,'Pre-Harvest Plots_rpt'!$B189,Tree!$B:$B,'Pre-Harvest Plots_rpt'!$D189,Tree!$F:$F,"L",Tree!$K:$K,"&lt;&gt;"&amp;"Y")=0,0,AVERAGEIFS(Tree!$W:$W,Tree!$A:$A,'Pre-Harvest Plots_rpt'!$B189,Tree!$B:$B,'Pre-Harvest Plots_rpt'!$D189,Tree!$F:$F,"L",Tree!$K:$K,"&lt;&gt;"&amp;"Y")))</f>
        <v/>
      </c>
      <c r="K189" s="121" t="str">
        <f>IF($F189="","",SUMIFS(Tree!$S:$S,Tree!$A:$A,'Pre-Harvest Plots_rpt'!$B189,Tree!$B:$B,'Pre-Harvest Plots_rpt'!$D189,Tree!$F:$F,"L",Tree!$K:$K,"&lt;&gt;"&amp;"Y"))</f>
        <v/>
      </c>
      <c r="L189" s="154" t="str">
        <f t="shared" si="10"/>
        <v/>
      </c>
      <c r="M189" s="135"/>
      <c r="N189" s="192" t="str">
        <f>IF(B189="","",SUMIFS(Tree!$AM:$AM,Tree!$A:$A,'Pre-Harvest Plots_rpt'!$B189,Tree!$B:$B,'Pre-Harvest Plots_rpt'!$D189,Tree!$F:$F,"L",Tree!$K:$K,"&lt;&gt;"&amp;"Y"))</f>
        <v/>
      </c>
      <c r="O189" s="122" t="str">
        <f>IF(B189="","",SUMIFS(Tree!$AN:$AN,Tree!$A:$A,'Pre-Harvest Plots_rpt'!$B189,Tree!$B:$B,'Pre-Harvest Plots_rpt'!$D189,Tree!$F:$F,"L",Tree!$K:$K,"&lt;&gt;"&amp;"Y"))</f>
        <v/>
      </c>
      <c r="P189" s="122" t="str">
        <f>IF(B189="","",SUMIFS(Tree!$AO:$AO,Tree!$A:$A,'Pre-Harvest Plots_rpt'!$B189,Tree!$B:$B,'Pre-Harvest Plots_rpt'!$D189,Tree!$F:$F,"L",Tree!$K:$K,"&lt;&gt;"&amp;"Y"))</f>
        <v/>
      </c>
      <c r="Q189" s="122" t="str">
        <f>IF(B189="","",SUMIFS(Tree!$AP:$AP,Tree!$A:$A,'Pre-Harvest Plots_rpt'!$B189,Tree!$B:$B,'Pre-Harvest Plots_rpt'!$D189,Tree!$F:$F,"L",Tree!$K:$K,"&lt;&gt;"&amp;"Y"))</f>
        <v/>
      </c>
      <c r="R189" s="123" t="str">
        <f>IF(B189="","",SUMIFS(Tree!$AQ:$AQ,Tree!$A:$A,'Pre-Harvest Plots_rpt'!$B189,Tree!$B:$B,'Pre-Harvest Plots_rpt'!$D189,Tree!$F:$F,"L",Tree!$K:$K,"&lt;&gt;"&amp;"Y"))</f>
        <v/>
      </c>
      <c r="S189" s="122" t="str">
        <f>IF(B189="","",SUMIFS(Tree!$AJ:$AJ,Tree!$A:$A,'Pre-Harvest Plots_rpt'!$B189,Tree!$B:$B,'Pre-Harvest Plots_rpt'!$D189,Tree!$F:$F,"L",Tree!$K:$K,"&lt;&gt;"&amp;"Y")-O189)</f>
        <v/>
      </c>
      <c r="T189" s="122" t="str">
        <f>IF(B189="","",SUMIFS(Tree!$AK:$AK,Tree!$A:$A,'Pre-Harvest Plots_rpt'!$B189,Tree!$B:$B,'Pre-Harvest Plots_rpt'!$D189,Tree!$F:$F,"L",Tree!$K:$K,"&lt;&gt;"&amp;"Y")-P189)</f>
        <v/>
      </c>
      <c r="U189" s="122" t="str">
        <f>IF(B189="","",SUMIFS(Tree!$AL:$AL,Tree!$A:$A,'Pre-Harvest Plots_rpt'!$B189,Tree!$B:$B,'Pre-Harvest Plots_rpt'!$D189,Tree!$F:$F,"L",Tree!$K:$K,"&lt;&gt;"&amp;"Y")-Q189)</f>
        <v/>
      </c>
      <c r="V189" s="123" t="str">
        <f>IF(B189="","",ROUND(SUMIFS(Tree!$AE:$AE,Tree!$A:$A,'Pre-Harvest Plots_rpt'!$B189,Tree!$B:$B,'Pre-Harvest Plots_rpt'!$D189,Tree!$F:$F,"L",Tree!$K:$K,"&lt;&gt;"&amp;"Y")-R189,1))</f>
        <v/>
      </c>
      <c r="W189" s="124" t="str">
        <f>IF(B189="","",SUMIFS(Tree!$AY:$AY,Tree!$A:$A,'Pre-Harvest Plots_rpt'!$B189,Tree!$B:$B,'Pre-Harvest Plots_rpt'!$D189,Tree!$F:$F,"L",Tree!$K:$K,"&lt;&gt;"&amp;"Y")/1000)</f>
        <v/>
      </c>
      <c r="X189" s="158" t="str">
        <f>IF(B189="","",ROUND((SUMIFS(Tree!$AW:$AW,Tree!$A:$A,'Pre-Harvest Plots_rpt'!$B189,Tree!$B:$B,'Pre-Harvest Plots_rpt'!$D189,Tree!$F:$F,"L",Tree!$K:$K,"&lt;&gt;"&amp;"Y")/1000)-W189,1))</f>
        <v/>
      </c>
      <c r="Y189" s="135"/>
      <c r="Z189" s="161" t="str">
        <f>IF(IF(B189="","",SUMIFS(Tree!$O:$O,Tree!$A:$A,'Pre-Harvest Plots_rpt'!$B189,Tree!$B:$B,'Pre-Harvest Plots_rpt'!$D189,Tree!$F:$F,"D",Tree!$K:$K,"&lt;&gt;"&amp;"Y"))=0,"",IF(B189="","",SUMIFS(Tree!$O:$O,Tree!$A:$A,'Pre-Harvest Plots_rpt'!$B189,Tree!$B:$B,'Pre-Harvest Plots_rpt'!$D189,Tree!$F:$F,"D",Tree!$K:$K,"&lt;&gt;"&amp;"Y")))</f>
        <v/>
      </c>
      <c r="AA189" s="125" t="str">
        <f t="shared" si="11"/>
        <v/>
      </c>
      <c r="AB189" s="125" t="str">
        <f>IF(Z189="","",SUMIFS(Tree!$R:$R,Tree!$A:$A,'Pre-Harvest Plots_rpt'!$B189,Tree!$B:$B,'Pre-Harvest Plots_rpt'!$D189,Tree!$F:$F,"D",Tree!$K:$K,"&lt;&gt;"&amp;"Y"))</f>
        <v/>
      </c>
      <c r="AC189" s="126" t="str">
        <f>IF(Z189="","",SUMIFS(Tree!$AM:$AM,Tree!$A:$A,'Pre-Harvest Plots_rpt'!$B189,Tree!$B:$B,'Pre-Harvest Plots_rpt'!$D189,Tree!$F:$F,"D",Tree!$K:$K,"&lt;&gt;"&amp;"Y"))</f>
        <v/>
      </c>
      <c r="AD189" s="162" t="str">
        <f>IF(Z189="","",SUMIFS(Tree!$AW:$AW,Tree!$A:$A,'Pre-Harvest Plots_rpt'!$B189,Tree!$B:$B,'Pre-Harvest Plots_rpt'!$D189,Tree!$F:$F,"D",Tree!$K:$K,"&lt;&gt;"&amp;"Y")/1000)</f>
        <v/>
      </c>
      <c r="AE189" s="47"/>
      <c r="AF189" s="18"/>
      <c r="AG189" s="18"/>
      <c r="AH189" s="18"/>
    </row>
    <row r="190" spans="1:34" ht="12.75" customHeight="1" x14ac:dyDescent="0.25">
      <c r="A190" s="48">
        <v>187</v>
      </c>
      <c r="B190" s="171" t="str">
        <f>IF(A190&lt;=SUM(Stand!$H$3:$H$29),VLOOKUP(A190,Stand!$A$3:$C$29,3,TRUE),"")</f>
        <v/>
      </c>
      <c r="C190" s="172" t="str">
        <f t="shared" si="8"/>
        <v/>
      </c>
      <c r="D190" s="173" t="str">
        <f>IF(B190="","",VLOOKUP(B190&amp;C190,Plot!$B$2:$D$199,3,FALSE))</f>
        <v/>
      </c>
      <c r="E190" s="130"/>
      <c r="F190" s="152" t="str">
        <f>IF(B190="","",SUMIFS(Tree!$O:$O,Tree!$A:$A,'Pre-Harvest Plots_rpt'!$B190,Tree!$B:$B,'Pre-Harvest Plots_rpt'!$D190,Tree!$F:$F,"L",Tree!$K:$K,"&lt;&gt;"&amp;"Y"))</f>
        <v/>
      </c>
      <c r="G190" s="153" t="str">
        <f>IFERROR(IF(D190="","",SUMIFS(Tree!$P:$P,Tree!$A:$A,'Pre-Harvest Plots_rpt'!$B190,Tree!$B:$B,'Pre-Harvest Plots_rpt'!$D190,Tree!$K:$K,"&lt;&gt;"&amp;"Y")/$F190),"")</f>
        <v/>
      </c>
      <c r="H190" s="122" t="str">
        <f t="shared" si="9"/>
        <v/>
      </c>
      <c r="I190" s="121" t="str">
        <f>IF(OR($F190=0,$F190=""),"",SUMIFS(Tree!$R:$R,Tree!$A:$A,'Pre-Harvest Plots_rpt'!$B190,Tree!$B:$B,'Pre-Harvest Plots_rpt'!$D190,Tree!$F:$F,"L",Tree!$K:$K,"&lt;&gt;"&amp;"Y"))</f>
        <v/>
      </c>
      <c r="J190" s="121" t="str">
        <f>IF(OR($F190=0,$F190=""),"",IF(SUMIFS(Tree!$W:$W,Tree!$A:$A,'Pre-Harvest Plots_rpt'!$B190,Tree!$B:$B,'Pre-Harvest Plots_rpt'!$D190,Tree!$F:$F,"L",Tree!$K:$K,"&lt;&gt;"&amp;"Y")=0,0,AVERAGEIFS(Tree!$W:$W,Tree!$A:$A,'Pre-Harvest Plots_rpt'!$B190,Tree!$B:$B,'Pre-Harvest Plots_rpt'!$D190,Tree!$F:$F,"L",Tree!$K:$K,"&lt;&gt;"&amp;"Y")))</f>
        <v/>
      </c>
      <c r="K190" s="121" t="str">
        <f>IF($F190="","",SUMIFS(Tree!$S:$S,Tree!$A:$A,'Pre-Harvest Plots_rpt'!$B190,Tree!$B:$B,'Pre-Harvest Plots_rpt'!$D190,Tree!$F:$F,"L",Tree!$K:$K,"&lt;&gt;"&amp;"Y"))</f>
        <v/>
      </c>
      <c r="L190" s="154" t="str">
        <f t="shared" si="10"/>
        <v/>
      </c>
      <c r="M190" s="135"/>
      <c r="N190" s="192" t="str">
        <f>IF(B190="","",SUMIFS(Tree!$AM:$AM,Tree!$A:$A,'Pre-Harvest Plots_rpt'!$B190,Tree!$B:$B,'Pre-Harvest Plots_rpt'!$D190,Tree!$F:$F,"L",Tree!$K:$K,"&lt;&gt;"&amp;"Y"))</f>
        <v/>
      </c>
      <c r="O190" s="122" t="str">
        <f>IF(B190="","",SUMIFS(Tree!$AN:$AN,Tree!$A:$A,'Pre-Harvest Plots_rpt'!$B190,Tree!$B:$B,'Pre-Harvest Plots_rpt'!$D190,Tree!$F:$F,"L",Tree!$K:$K,"&lt;&gt;"&amp;"Y"))</f>
        <v/>
      </c>
      <c r="P190" s="122" t="str">
        <f>IF(B190="","",SUMIFS(Tree!$AO:$AO,Tree!$A:$A,'Pre-Harvest Plots_rpt'!$B190,Tree!$B:$B,'Pre-Harvest Plots_rpt'!$D190,Tree!$F:$F,"L",Tree!$K:$K,"&lt;&gt;"&amp;"Y"))</f>
        <v/>
      </c>
      <c r="Q190" s="122" t="str">
        <f>IF(B190="","",SUMIFS(Tree!$AP:$AP,Tree!$A:$A,'Pre-Harvest Plots_rpt'!$B190,Tree!$B:$B,'Pre-Harvest Plots_rpt'!$D190,Tree!$F:$F,"L",Tree!$K:$K,"&lt;&gt;"&amp;"Y"))</f>
        <v/>
      </c>
      <c r="R190" s="123" t="str">
        <f>IF(B190="","",SUMIFS(Tree!$AQ:$AQ,Tree!$A:$A,'Pre-Harvest Plots_rpt'!$B190,Tree!$B:$B,'Pre-Harvest Plots_rpt'!$D190,Tree!$F:$F,"L",Tree!$K:$K,"&lt;&gt;"&amp;"Y"))</f>
        <v/>
      </c>
      <c r="S190" s="122" t="str">
        <f>IF(B190="","",SUMIFS(Tree!$AJ:$AJ,Tree!$A:$A,'Pre-Harvest Plots_rpt'!$B190,Tree!$B:$B,'Pre-Harvest Plots_rpt'!$D190,Tree!$F:$F,"L",Tree!$K:$K,"&lt;&gt;"&amp;"Y")-O190)</f>
        <v/>
      </c>
      <c r="T190" s="122" t="str">
        <f>IF(B190="","",SUMIFS(Tree!$AK:$AK,Tree!$A:$A,'Pre-Harvest Plots_rpt'!$B190,Tree!$B:$B,'Pre-Harvest Plots_rpt'!$D190,Tree!$F:$F,"L",Tree!$K:$K,"&lt;&gt;"&amp;"Y")-P190)</f>
        <v/>
      </c>
      <c r="U190" s="122" t="str">
        <f>IF(B190="","",SUMIFS(Tree!$AL:$AL,Tree!$A:$A,'Pre-Harvest Plots_rpt'!$B190,Tree!$B:$B,'Pre-Harvest Plots_rpt'!$D190,Tree!$F:$F,"L",Tree!$K:$K,"&lt;&gt;"&amp;"Y")-Q190)</f>
        <v/>
      </c>
      <c r="V190" s="123" t="str">
        <f>IF(B190="","",ROUND(SUMIFS(Tree!$AE:$AE,Tree!$A:$A,'Pre-Harvest Plots_rpt'!$B190,Tree!$B:$B,'Pre-Harvest Plots_rpt'!$D190,Tree!$F:$F,"L",Tree!$K:$K,"&lt;&gt;"&amp;"Y")-R190,1))</f>
        <v/>
      </c>
      <c r="W190" s="124" t="str">
        <f>IF(B190="","",SUMIFS(Tree!$AY:$AY,Tree!$A:$A,'Pre-Harvest Plots_rpt'!$B190,Tree!$B:$B,'Pre-Harvest Plots_rpt'!$D190,Tree!$F:$F,"L",Tree!$K:$K,"&lt;&gt;"&amp;"Y")/1000)</f>
        <v/>
      </c>
      <c r="X190" s="158" t="str">
        <f>IF(B190="","",ROUND((SUMIFS(Tree!$AW:$AW,Tree!$A:$A,'Pre-Harvest Plots_rpt'!$B190,Tree!$B:$B,'Pre-Harvest Plots_rpt'!$D190,Tree!$F:$F,"L",Tree!$K:$K,"&lt;&gt;"&amp;"Y")/1000)-W190,1))</f>
        <v/>
      </c>
      <c r="Y190" s="135"/>
      <c r="Z190" s="161" t="str">
        <f>IF(IF(B190="","",SUMIFS(Tree!$O:$O,Tree!$A:$A,'Pre-Harvest Plots_rpt'!$B190,Tree!$B:$B,'Pre-Harvest Plots_rpt'!$D190,Tree!$F:$F,"D",Tree!$K:$K,"&lt;&gt;"&amp;"Y"))=0,"",IF(B190="","",SUMIFS(Tree!$O:$O,Tree!$A:$A,'Pre-Harvest Plots_rpt'!$B190,Tree!$B:$B,'Pre-Harvest Plots_rpt'!$D190,Tree!$F:$F,"D",Tree!$K:$K,"&lt;&gt;"&amp;"Y")))</f>
        <v/>
      </c>
      <c r="AA190" s="125" t="str">
        <f t="shared" si="11"/>
        <v/>
      </c>
      <c r="AB190" s="125" t="str">
        <f>IF(Z190="","",SUMIFS(Tree!$R:$R,Tree!$A:$A,'Pre-Harvest Plots_rpt'!$B190,Tree!$B:$B,'Pre-Harvest Plots_rpt'!$D190,Tree!$F:$F,"D",Tree!$K:$K,"&lt;&gt;"&amp;"Y"))</f>
        <v/>
      </c>
      <c r="AC190" s="126" t="str">
        <f>IF(Z190="","",SUMIFS(Tree!$AM:$AM,Tree!$A:$A,'Pre-Harvest Plots_rpt'!$B190,Tree!$B:$B,'Pre-Harvest Plots_rpt'!$D190,Tree!$F:$F,"D",Tree!$K:$K,"&lt;&gt;"&amp;"Y"))</f>
        <v/>
      </c>
      <c r="AD190" s="162" t="str">
        <f>IF(Z190="","",SUMIFS(Tree!$AW:$AW,Tree!$A:$A,'Pre-Harvest Plots_rpt'!$B190,Tree!$B:$B,'Pre-Harvest Plots_rpt'!$D190,Tree!$F:$F,"D",Tree!$K:$K,"&lt;&gt;"&amp;"Y")/1000)</f>
        <v/>
      </c>
      <c r="AE190" s="47"/>
      <c r="AF190" s="18"/>
      <c r="AG190" s="18"/>
      <c r="AH190" s="18"/>
    </row>
    <row r="191" spans="1:34" ht="12.75" customHeight="1" x14ac:dyDescent="0.25">
      <c r="A191" s="48">
        <v>188</v>
      </c>
      <c r="B191" s="171" t="str">
        <f>IF(A191&lt;=SUM(Stand!$H$3:$H$29),VLOOKUP(A191,Stand!$A$3:$C$29,3,TRUE),"")</f>
        <v/>
      </c>
      <c r="C191" s="172" t="str">
        <f t="shared" si="8"/>
        <v/>
      </c>
      <c r="D191" s="173" t="str">
        <f>IF(B191="","",VLOOKUP(B191&amp;C191,Plot!$B$2:$D$199,3,FALSE))</f>
        <v/>
      </c>
      <c r="E191" s="130"/>
      <c r="F191" s="152" t="str">
        <f>IF(B191="","",SUMIFS(Tree!$O:$O,Tree!$A:$A,'Pre-Harvest Plots_rpt'!$B191,Tree!$B:$B,'Pre-Harvest Plots_rpt'!$D191,Tree!$F:$F,"L",Tree!$K:$K,"&lt;&gt;"&amp;"Y"))</f>
        <v/>
      </c>
      <c r="G191" s="153" t="str">
        <f>IFERROR(IF(D191="","",SUMIFS(Tree!$P:$P,Tree!$A:$A,'Pre-Harvest Plots_rpt'!$B191,Tree!$B:$B,'Pre-Harvest Plots_rpt'!$D191,Tree!$K:$K,"&lt;&gt;"&amp;"Y")/$F191),"")</f>
        <v/>
      </c>
      <c r="H191" s="122" t="str">
        <f t="shared" si="9"/>
        <v/>
      </c>
      <c r="I191" s="121" t="str">
        <f>IF(OR($F191=0,$F191=""),"",SUMIFS(Tree!$R:$R,Tree!$A:$A,'Pre-Harvest Plots_rpt'!$B191,Tree!$B:$B,'Pre-Harvest Plots_rpt'!$D191,Tree!$F:$F,"L",Tree!$K:$K,"&lt;&gt;"&amp;"Y"))</f>
        <v/>
      </c>
      <c r="J191" s="121" t="str">
        <f>IF(OR($F191=0,$F191=""),"",IF(SUMIFS(Tree!$W:$W,Tree!$A:$A,'Pre-Harvest Plots_rpt'!$B191,Tree!$B:$B,'Pre-Harvest Plots_rpt'!$D191,Tree!$F:$F,"L",Tree!$K:$K,"&lt;&gt;"&amp;"Y")=0,0,AVERAGEIFS(Tree!$W:$W,Tree!$A:$A,'Pre-Harvest Plots_rpt'!$B191,Tree!$B:$B,'Pre-Harvest Plots_rpt'!$D191,Tree!$F:$F,"L",Tree!$K:$K,"&lt;&gt;"&amp;"Y")))</f>
        <v/>
      </c>
      <c r="K191" s="121" t="str">
        <f>IF($F191="","",SUMIFS(Tree!$S:$S,Tree!$A:$A,'Pre-Harvest Plots_rpt'!$B191,Tree!$B:$B,'Pre-Harvest Plots_rpt'!$D191,Tree!$F:$F,"L",Tree!$K:$K,"&lt;&gt;"&amp;"Y"))</f>
        <v/>
      </c>
      <c r="L191" s="154" t="str">
        <f t="shared" si="10"/>
        <v/>
      </c>
      <c r="M191" s="135"/>
      <c r="N191" s="192" t="str">
        <f>IF(B191="","",SUMIFS(Tree!$AM:$AM,Tree!$A:$A,'Pre-Harvest Plots_rpt'!$B191,Tree!$B:$B,'Pre-Harvest Plots_rpt'!$D191,Tree!$F:$F,"L",Tree!$K:$K,"&lt;&gt;"&amp;"Y"))</f>
        <v/>
      </c>
      <c r="O191" s="122" t="str">
        <f>IF(B191="","",SUMIFS(Tree!$AN:$AN,Tree!$A:$A,'Pre-Harvest Plots_rpt'!$B191,Tree!$B:$B,'Pre-Harvest Plots_rpt'!$D191,Tree!$F:$F,"L",Tree!$K:$K,"&lt;&gt;"&amp;"Y"))</f>
        <v/>
      </c>
      <c r="P191" s="122" t="str">
        <f>IF(B191="","",SUMIFS(Tree!$AO:$AO,Tree!$A:$A,'Pre-Harvest Plots_rpt'!$B191,Tree!$B:$B,'Pre-Harvest Plots_rpt'!$D191,Tree!$F:$F,"L",Tree!$K:$K,"&lt;&gt;"&amp;"Y"))</f>
        <v/>
      </c>
      <c r="Q191" s="122" t="str">
        <f>IF(B191="","",SUMIFS(Tree!$AP:$AP,Tree!$A:$A,'Pre-Harvest Plots_rpt'!$B191,Tree!$B:$B,'Pre-Harvest Plots_rpt'!$D191,Tree!$F:$F,"L",Tree!$K:$K,"&lt;&gt;"&amp;"Y"))</f>
        <v/>
      </c>
      <c r="R191" s="123" t="str">
        <f>IF(B191="","",SUMIFS(Tree!$AQ:$AQ,Tree!$A:$A,'Pre-Harvest Plots_rpt'!$B191,Tree!$B:$B,'Pre-Harvest Plots_rpt'!$D191,Tree!$F:$F,"L",Tree!$K:$K,"&lt;&gt;"&amp;"Y"))</f>
        <v/>
      </c>
      <c r="S191" s="122" t="str">
        <f>IF(B191="","",SUMIFS(Tree!$AJ:$AJ,Tree!$A:$A,'Pre-Harvest Plots_rpt'!$B191,Tree!$B:$B,'Pre-Harvest Plots_rpt'!$D191,Tree!$F:$F,"L",Tree!$K:$K,"&lt;&gt;"&amp;"Y")-O191)</f>
        <v/>
      </c>
      <c r="T191" s="122" t="str">
        <f>IF(B191="","",SUMIFS(Tree!$AK:$AK,Tree!$A:$A,'Pre-Harvest Plots_rpt'!$B191,Tree!$B:$B,'Pre-Harvest Plots_rpt'!$D191,Tree!$F:$F,"L",Tree!$K:$K,"&lt;&gt;"&amp;"Y")-P191)</f>
        <v/>
      </c>
      <c r="U191" s="122" t="str">
        <f>IF(B191="","",SUMIFS(Tree!$AL:$AL,Tree!$A:$A,'Pre-Harvest Plots_rpt'!$B191,Tree!$B:$B,'Pre-Harvest Plots_rpt'!$D191,Tree!$F:$F,"L",Tree!$K:$K,"&lt;&gt;"&amp;"Y")-Q191)</f>
        <v/>
      </c>
      <c r="V191" s="123" t="str">
        <f>IF(B191="","",ROUND(SUMIFS(Tree!$AE:$AE,Tree!$A:$A,'Pre-Harvest Plots_rpt'!$B191,Tree!$B:$B,'Pre-Harvest Plots_rpt'!$D191,Tree!$F:$F,"L",Tree!$K:$K,"&lt;&gt;"&amp;"Y")-R191,1))</f>
        <v/>
      </c>
      <c r="W191" s="124" t="str">
        <f>IF(B191="","",SUMIFS(Tree!$AY:$AY,Tree!$A:$A,'Pre-Harvest Plots_rpt'!$B191,Tree!$B:$B,'Pre-Harvest Plots_rpt'!$D191,Tree!$F:$F,"L",Tree!$K:$K,"&lt;&gt;"&amp;"Y")/1000)</f>
        <v/>
      </c>
      <c r="X191" s="158" t="str">
        <f>IF(B191="","",ROUND((SUMIFS(Tree!$AW:$AW,Tree!$A:$A,'Pre-Harvest Plots_rpt'!$B191,Tree!$B:$B,'Pre-Harvest Plots_rpt'!$D191,Tree!$F:$F,"L",Tree!$K:$K,"&lt;&gt;"&amp;"Y")/1000)-W191,1))</f>
        <v/>
      </c>
      <c r="Y191" s="135"/>
      <c r="Z191" s="161" t="str">
        <f>IF(IF(B191="","",SUMIFS(Tree!$O:$O,Tree!$A:$A,'Pre-Harvest Plots_rpt'!$B191,Tree!$B:$B,'Pre-Harvest Plots_rpt'!$D191,Tree!$F:$F,"D",Tree!$K:$K,"&lt;&gt;"&amp;"Y"))=0,"",IF(B191="","",SUMIFS(Tree!$O:$O,Tree!$A:$A,'Pre-Harvest Plots_rpt'!$B191,Tree!$B:$B,'Pre-Harvest Plots_rpt'!$D191,Tree!$F:$F,"D",Tree!$K:$K,"&lt;&gt;"&amp;"Y")))</f>
        <v/>
      </c>
      <c r="AA191" s="125" t="str">
        <f t="shared" si="11"/>
        <v/>
      </c>
      <c r="AB191" s="125" t="str">
        <f>IF(Z191="","",SUMIFS(Tree!$R:$R,Tree!$A:$A,'Pre-Harvest Plots_rpt'!$B191,Tree!$B:$B,'Pre-Harvest Plots_rpt'!$D191,Tree!$F:$F,"D",Tree!$K:$K,"&lt;&gt;"&amp;"Y"))</f>
        <v/>
      </c>
      <c r="AC191" s="126" t="str">
        <f>IF(Z191="","",SUMIFS(Tree!$AM:$AM,Tree!$A:$A,'Pre-Harvest Plots_rpt'!$B191,Tree!$B:$B,'Pre-Harvest Plots_rpt'!$D191,Tree!$F:$F,"D",Tree!$K:$K,"&lt;&gt;"&amp;"Y"))</f>
        <v/>
      </c>
      <c r="AD191" s="162" t="str">
        <f>IF(Z191="","",SUMIFS(Tree!$AW:$AW,Tree!$A:$A,'Pre-Harvest Plots_rpt'!$B191,Tree!$B:$B,'Pre-Harvest Plots_rpt'!$D191,Tree!$F:$F,"D",Tree!$K:$K,"&lt;&gt;"&amp;"Y")/1000)</f>
        <v/>
      </c>
      <c r="AE191" s="47"/>
      <c r="AF191" s="18"/>
      <c r="AG191" s="18"/>
      <c r="AH191" s="18"/>
    </row>
    <row r="192" spans="1:34" ht="12.75" customHeight="1" x14ac:dyDescent="0.25">
      <c r="A192" s="48">
        <v>189</v>
      </c>
      <c r="B192" s="171" t="str">
        <f>IF(A192&lt;=SUM(Stand!$H$3:$H$29),VLOOKUP(A192,Stand!$A$3:$C$29,3,TRUE),"")</f>
        <v/>
      </c>
      <c r="C192" s="172" t="str">
        <f t="shared" si="8"/>
        <v/>
      </c>
      <c r="D192" s="173" t="str">
        <f>IF(B192="","",VLOOKUP(B192&amp;C192,Plot!$B$2:$D$199,3,FALSE))</f>
        <v/>
      </c>
      <c r="E192" s="130"/>
      <c r="F192" s="152" t="str">
        <f>IF(B192="","",SUMIFS(Tree!$O:$O,Tree!$A:$A,'Pre-Harvest Plots_rpt'!$B192,Tree!$B:$B,'Pre-Harvest Plots_rpt'!$D192,Tree!$F:$F,"L",Tree!$K:$K,"&lt;&gt;"&amp;"Y"))</f>
        <v/>
      </c>
      <c r="G192" s="153" t="str">
        <f>IFERROR(IF(D192="","",SUMIFS(Tree!$P:$P,Tree!$A:$A,'Pre-Harvest Plots_rpt'!$B192,Tree!$B:$B,'Pre-Harvest Plots_rpt'!$D192,Tree!$K:$K,"&lt;&gt;"&amp;"Y")/$F192),"")</f>
        <v/>
      </c>
      <c r="H192" s="122" t="str">
        <f t="shared" si="9"/>
        <v/>
      </c>
      <c r="I192" s="121" t="str">
        <f>IF(OR($F192=0,$F192=""),"",SUMIFS(Tree!$R:$R,Tree!$A:$A,'Pre-Harvest Plots_rpt'!$B192,Tree!$B:$B,'Pre-Harvest Plots_rpt'!$D192,Tree!$F:$F,"L",Tree!$K:$K,"&lt;&gt;"&amp;"Y"))</f>
        <v/>
      </c>
      <c r="J192" s="121" t="str">
        <f>IF(OR($F192=0,$F192=""),"",IF(SUMIFS(Tree!$W:$W,Tree!$A:$A,'Pre-Harvest Plots_rpt'!$B192,Tree!$B:$B,'Pre-Harvest Plots_rpt'!$D192,Tree!$F:$F,"L",Tree!$K:$K,"&lt;&gt;"&amp;"Y")=0,0,AVERAGEIFS(Tree!$W:$W,Tree!$A:$A,'Pre-Harvest Plots_rpt'!$B192,Tree!$B:$B,'Pre-Harvest Plots_rpt'!$D192,Tree!$F:$F,"L",Tree!$K:$K,"&lt;&gt;"&amp;"Y")))</f>
        <v/>
      </c>
      <c r="K192" s="121" t="str">
        <f>IF($F192="","",SUMIFS(Tree!$S:$S,Tree!$A:$A,'Pre-Harvest Plots_rpt'!$B192,Tree!$B:$B,'Pre-Harvest Plots_rpt'!$D192,Tree!$F:$F,"L",Tree!$K:$K,"&lt;&gt;"&amp;"Y"))</f>
        <v/>
      </c>
      <c r="L192" s="154" t="str">
        <f t="shared" si="10"/>
        <v/>
      </c>
      <c r="M192" s="135"/>
      <c r="N192" s="192" t="str">
        <f>IF(B192="","",SUMIFS(Tree!$AM:$AM,Tree!$A:$A,'Pre-Harvest Plots_rpt'!$B192,Tree!$B:$B,'Pre-Harvest Plots_rpt'!$D192,Tree!$F:$F,"L",Tree!$K:$K,"&lt;&gt;"&amp;"Y"))</f>
        <v/>
      </c>
      <c r="O192" s="122" t="str">
        <f>IF(B192="","",SUMIFS(Tree!$AN:$AN,Tree!$A:$A,'Pre-Harvest Plots_rpt'!$B192,Tree!$B:$B,'Pre-Harvest Plots_rpt'!$D192,Tree!$F:$F,"L",Tree!$K:$K,"&lt;&gt;"&amp;"Y"))</f>
        <v/>
      </c>
      <c r="P192" s="122" t="str">
        <f>IF(B192="","",SUMIFS(Tree!$AO:$AO,Tree!$A:$A,'Pre-Harvest Plots_rpt'!$B192,Tree!$B:$B,'Pre-Harvest Plots_rpt'!$D192,Tree!$F:$F,"L",Tree!$K:$K,"&lt;&gt;"&amp;"Y"))</f>
        <v/>
      </c>
      <c r="Q192" s="122" t="str">
        <f>IF(B192="","",SUMIFS(Tree!$AP:$AP,Tree!$A:$A,'Pre-Harvest Plots_rpt'!$B192,Tree!$B:$B,'Pre-Harvest Plots_rpt'!$D192,Tree!$F:$F,"L",Tree!$K:$K,"&lt;&gt;"&amp;"Y"))</f>
        <v/>
      </c>
      <c r="R192" s="123" t="str">
        <f>IF(B192="","",SUMIFS(Tree!$AQ:$AQ,Tree!$A:$A,'Pre-Harvest Plots_rpt'!$B192,Tree!$B:$B,'Pre-Harvest Plots_rpt'!$D192,Tree!$F:$F,"L",Tree!$K:$K,"&lt;&gt;"&amp;"Y"))</f>
        <v/>
      </c>
      <c r="S192" s="122" t="str">
        <f>IF(B192="","",SUMIFS(Tree!$AJ:$AJ,Tree!$A:$A,'Pre-Harvest Plots_rpt'!$B192,Tree!$B:$B,'Pre-Harvest Plots_rpt'!$D192,Tree!$F:$F,"L",Tree!$K:$K,"&lt;&gt;"&amp;"Y")-O192)</f>
        <v/>
      </c>
      <c r="T192" s="122" t="str">
        <f>IF(B192="","",SUMIFS(Tree!$AK:$AK,Tree!$A:$A,'Pre-Harvest Plots_rpt'!$B192,Tree!$B:$B,'Pre-Harvest Plots_rpt'!$D192,Tree!$F:$F,"L",Tree!$K:$K,"&lt;&gt;"&amp;"Y")-P192)</f>
        <v/>
      </c>
      <c r="U192" s="122" t="str">
        <f>IF(B192="","",SUMIFS(Tree!$AL:$AL,Tree!$A:$A,'Pre-Harvest Plots_rpt'!$B192,Tree!$B:$B,'Pre-Harvest Plots_rpt'!$D192,Tree!$F:$F,"L",Tree!$K:$K,"&lt;&gt;"&amp;"Y")-Q192)</f>
        <v/>
      </c>
      <c r="V192" s="123" t="str">
        <f>IF(B192="","",ROUND(SUMIFS(Tree!$AE:$AE,Tree!$A:$A,'Pre-Harvest Plots_rpt'!$B192,Tree!$B:$B,'Pre-Harvest Plots_rpt'!$D192,Tree!$F:$F,"L",Tree!$K:$K,"&lt;&gt;"&amp;"Y")-R192,1))</f>
        <v/>
      </c>
      <c r="W192" s="124" t="str">
        <f>IF(B192="","",SUMIFS(Tree!$AY:$AY,Tree!$A:$A,'Pre-Harvest Plots_rpt'!$B192,Tree!$B:$B,'Pre-Harvest Plots_rpt'!$D192,Tree!$F:$F,"L",Tree!$K:$K,"&lt;&gt;"&amp;"Y")/1000)</f>
        <v/>
      </c>
      <c r="X192" s="158" t="str">
        <f>IF(B192="","",ROUND((SUMIFS(Tree!$AW:$AW,Tree!$A:$A,'Pre-Harvest Plots_rpt'!$B192,Tree!$B:$B,'Pre-Harvest Plots_rpt'!$D192,Tree!$F:$F,"L",Tree!$K:$K,"&lt;&gt;"&amp;"Y")/1000)-W192,1))</f>
        <v/>
      </c>
      <c r="Y192" s="135"/>
      <c r="Z192" s="161" t="str">
        <f>IF(IF(B192="","",SUMIFS(Tree!$O:$O,Tree!$A:$A,'Pre-Harvest Plots_rpt'!$B192,Tree!$B:$B,'Pre-Harvest Plots_rpt'!$D192,Tree!$F:$F,"D",Tree!$K:$K,"&lt;&gt;"&amp;"Y"))=0,"",IF(B192="","",SUMIFS(Tree!$O:$O,Tree!$A:$A,'Pre-Harvest Plots_rpt'!$B192,Tree!$B:$B,'Pre-Harvest Plots_rpt'!$D192,Tree!$F:$F,"D",Tree!$K:$K,"&lt;&gt;"&amp;"Y")))</f>
        <v/>
      </c>
      <c r="AA192" s="125" t="str">
        <f t="shared" si="11"/>
        <v/>
      </c>
      <c r="AB192" s="125" t="str">
        <f>IF(Z192="","",SUMIFS(Tree!$R:$R,Tree!$A:$A,'Pre-Harvest Plots_rpt'!$B192,Tree!$B:$B,'Pre-Harvest Plots_rpt'!$D192,Tree!$F:$F,"D",Tree!$K:$K,"&lt;&gt;"&amp;"Y"))</f>
        <v/>
      </c>
      <c r="AC192" s="126" t="str">
        <f>IF(Z192="","",SUMIFS(Tree!$AM:$AM,Tree!$A:$A,'Pre-Harvest Plots_rpt'!$B192,Tree!$B:$B,'Pre-Harvest Plots_rpt'!$D192,Tree!$F:$F,"D",Tree!$K:$K,"&lt;&gt;"&amp;"Y"))</f>
        <v/>
      </c>
      <c r="AD192" s="162" t="str">
        <f>IF(Z192="","",SUMIFS(Tree!$AW:$AW,Tree!$A:$A,'Pre-Harvest Plots_rpt'!$B192,Tree!$B:$B,'Pre-Harvest Plots_rpt'!$D192,Tree!$F:$F,"D",Tree!$K:$K,"&lt;&gt;"&amp;"Y")/1000)</f>
        <v/>
      </c>
      <c r="AE192" s="47"/>
      <c r="AF192" s="18"/>
      <c r="AG192" s="18"/>
      <c r="AH192" s="18"/>
    </row>
    <row r="193" spans="1:34" ht="12.75" customHeight="1" x14ac:dyDescent="0.25">
      <c r="A193" s="48">
        <v>190</v>
      </c>
      <c r="B193" s="171" t="str">
        <f>IF(A193&lt;=SUM(Stand!$H$3:$H$29),VLOOKUP(A193,Stand!$A$3:$C$29,3,TRUE),"")</f>
        <v/>
      </c>
      <c r="C193" s="172" t="str">
        <f t="shared" si="8"/>
        <v/>
      </c>
      <c r="D193" s="173" t="str">
        <f>IF(B193="","",VLOOKUP(B193&amp;C193,Plot!$B$2:$D$199,3,FALSE))</f>
        <v/>
      </c>
      <c r="E193" s="130"/>
      <c r="F193" s="152" t="str">
        <f>IF(B193="","",SUMIFS(Tree!$O:$O,Tree!$A:$A,'Pre-Harvest Plots_rpt'!$B193,Tree!$B:$B,'Pre-Harvest Plots_rpt'!$D193,Tree!$F:$F,"L",Tree!$K:$K,"&lt;&gt;"&amp;"Y"))</f>
        <v/>
      </c>
      <c r="G193" s="153" t="str">
        <f>IFERROR(IF(D193="","",SUMIFS(Tree!$P:$P,Tree!$A:$A,'Pre-Harvest Plots_rpt'!$B193,Tree!$B:$B,'Pre-Harvest Plots_rpt'!$D193,Tree!$K:$K,"&lt;&gt;"&amp;"Y")/$F193),"")</f>
        <v/>
      </c>
      <c r="H193" s="122" t="str">
        <f t="shared" si="9"/>
        <v/>
      </c>
      <c r="I193" s="121" t="str">
        <f>IF(OR($F193=0,$F193=""),"",SUMIFS(Tree!$R:$R,Tree!$A:$A,'Pre-Harvest Plots_rpt'!$B193,Tree!$B:$B,'Pre-Harvest Plots_rpt'!$D193,Tree!$F:$F,"L",Tree!$K:$K,"&lt;&gt;"&amp;"Y"))</f>
        <v/>
      </c>
      <c r="J193" s="121" t="str">
        <f>IF(OR($F193=0,$F193=""),"",IF(SUMIFS(Tree!$W:$W,Tree!$A:$A,'Pre-Harvest Plots_rpt'!$B193,Tree!$B:$B,'Pre-Harvest Plots_rpt'!$D193,Tree!$F:$F,"L",Tree!$K:$K,"&lt;&gt;"&amp;"Y")=0,0,AVERAGEIFS(Tree!$W:$W,Tree!$A:$A,'Pre-Harvest Plots_rpt'!$B193,Tree!$B:$B,'Pre-Harvest Plots_rpt'!$D193,Tree!$F:$F,"L",Tree!$K:$K,"&lt;&gt;"&amp;"Y")))</f>
        <v/>
      </c>
      <c r="K193" s="121" t="str">
        <f>IF($F193="","",SUMIFS(Tree!$S:$S,Tree!$A:$A,'Pre-Harvest Plots_rpt'!$B193,Tree!$B:$B,'Pre-Harvest Plots_rpt'!$D193,Tree!$F:$F,"L",Tree!$K:$K,"&lt;&gt;"&amp;"Y"))</f>
        <v/>
      </c>
      <c r="L193" s="154" t="str">
        <f t="shared" si="10"/>
        <v/>
      </c>
      <c r="M193" s="135"/>
      <c r="N193" s="192" t="str">
        <f>IF(B193="","",SUMIFS(Tree!$AM:$AM,Tree!$A:$A,'Pre-Harvest Plots_rpt'!$B193,Tree!$B:$B,'Pre-Harvest Plots_rpt'!$D193,Tree!$F:$F,"L",Tree!$K:$K,"&lt;&gt;"&amp;"Y"))</f>
        <v/>
      </c>
      <c r="O193" s="122" t="str">
        <f>IF(B193="","",SUMIFS(Tree!$AN:$AN,Tree!$A:$A,'Pre-Harvest Plots_rpt'!$B193,Tree!$B:$B,'Pre-Harvest Plots_rpt'!$D193,Tree!$F:$F,"L",Tree!$K:$K,"&lt;&gt;"&amp;"Y"))</f>
        <v/>
      </c>
      <c r="P193" s="122" t="str">
        <f>IF(B193="","",SUMIFS(Tree!$AO:$AO,Tree!$A:$A,'Pre-Harvest Plots_rpt'!$B193,Tree!$B:$B,'Pre-Harvest Plots_rpt'!$D193,Tree!$F:$F,"L",Tree!$K:$K,"&lt;&gt;"&amp;"Y"))</f>
        <v/>
      </c>
      <c r="Q193" s="122" t="str">
        <f>IF(B193="","",SUMIFS(Tree!$AP:$AP,Tree!$A:$A,'Pre-Harvest Plots_rpt'!$B193,Tree!$B:$B,'Pre-Harvest Plots_rpt'!$D193,Tree!$F:$F,"L",Tree!$K:$K,"&lt;&gt;"&amp;"Y"))</f>
        <v/>
      </c>
      <c r="R193" s="123" t="str">
        <f>IF(B193="","",SUMIFS(Tree!$AQ:$AQ,Tree!$A:$A,'Pre-Harvest Plots_rpt'!$B193,Tree!$B:$B,'Pre-Harvest Plots_rpt'!$D193,Tree!$F:$F,"L",Tree!$K:$K,"&lt;&gt;"&amp;"Y"))</f>
        <v/>
      </c>
      <c r="S193" s="122" t="str">
        <f>IF(B193="","",SUMIFS(Tree!$AJ:$AJ,Tree!$A:$A,'Pre-Harvest Plots_rpt'!$B193,Tree!$B:$B,'Pre-Harvest Plots_rpt'!$D193,Tree!$F:$F,"L",Tree!$K:$K,"&lt;&gt;"&amp;"Y")-O193)</f>
        <v/>
      </c>
      <c r="T193" s="122" t="str">
        <f>IF(B193="","",SUMIFS(Tree!$AK:$AK,Tree!$A:$A,'Pre-Harvest Plots_rpt'!$B193,Tree!$B:$B,'Pre-Harvest Plots_rpt'!$D193,Tree!$F:$F,"L",Tree!$K:$K,"&lt;&gt;"&amp;"Y")-P193)</f>
        <v/>
      </c>
      <c r="U193" s="122" t="str">
        <f>IF(B193="","",SUMIFS(Tree!$AL:$AL,Tree!$A:$A,'Pre-Harvest Plots_rpt'!$B193,Tree!$B:$B,'Pre-Harvest Plots_rpt'!$D193,Tree!$F:$F,"L",Tree!$K:$K,"&lt;&gt;"&amp;"Y")-Q193)</f>
        <v/>
      </c>
      <c r="V193" s="123" t="str">
        <f>IF(B193="","",ROUND(SUMIFS(Tree!$AE:$AE,Tree!$A:$A,'Pre-Harvest Plots_rpt'!$B193,Tree!$B:$B,'Pre-Harvest Plots_rpt'!$D193,Tree!$F:$F,"L",Tree!$K:$K,"&lt;&gt;"&amp;"Y")-R193,1))</f>
        <v/>
      </c>
      <c r="W193" s="124" t="str">
        <f>IF(B193="","",SUMIFS(Tree!$AY:$AY,Tree!$A:$A,'Pre-Harvest Plots_rpt'!$B193,Tree!$B:$B,'Pre-Harvest Plots_rpt'!$D193,Tree!$F:$F,"L",Tree!$K:$K,"&lt;&gt;"&amp;"Y")/1000)</f>
        <v/>
      </c>
      <c r="X193" s="158" t="str">
        <f>IF(B193="","",ROUND((SUMIFS(Tree!$AW:$AW,Tree!$A:$A,'Pre-Harvest Plots_rpt'!$B193,Tree!$B:$B,'Pre-Harvest Plots_rpt'!$D193,Tree!$F:$F,"L",Tree!$K:$K,"&lt;&gt;"&amp;"Y")/1000)-W193,1))</f>
        <v/>
      </c>
      <c r="Y193" s="135"/>
      <c r="Z193" s="161" t="str">
        <f>IF(IF(B193="","",SUMIFS(Tree!$O:$O,Tree!$A:$A,'Pre-Harvest Plots_rpt'!$B193,Tree!$B:$B,'Pre-Harvest Plots_rpt'!$D193,Tree!$F:$F,"D",Tree!$K:$K,"&lt;&gt;"&amp;"Y"))=0,"",IF(B193="","",SUMIFS(Tree!$O:$O,Tree!$A:$A,'Pre-Harvest Plots_rpt'!$B193,Tree!$B:$B,'Pre-Harvest Plots_rpt'!$D193,Tree!$F:$F,"D",Tree!$K:$K,"&lt;&gt;"&amp;"Y")))</f>
        <v/>
      </c>
      <c r="AA193" s="125" t="str">
        <f t="shared" si="11"/>
        <v/>
      </c>
      <c r="AB193" s="125" t="str">
        <f>IF(Z193="","",SUMIFS(Tree!$R:$R,Tree!$A:$A,'Pre-Harvest Plots_rpt'!$B193,Tree!$B:$B,'Pre-Harvest Plots_rpt'!$D193,Tree!$F:$F,"D",Tree!$K:$K,"&lt;&gt;"&amp;"Y"))</f>
        <v/>
      </c>
      <c r="AC193" s="126" t="str">
        <f>IF(Z193="","",SUMIFS(Tree!$AM:$AM,Tree!$A:$A,'Pre-Harvest Plots_rpt'!$B193,Tree!$B:$B,'Pre-Harvest Plots_rpt'!$D193,Tree!$F:$F,"D",Tree!$K:$K,"&lt;&gt;"&amp;"Y"))</f>
        <v/>
      </c>
      <c r="AD193" s="162" t="str">
        <f>IF(Z193="","",SUMIFS(Tree!$AW:$AW,Tree!$A:$A,'Pre-Harvest Plots_rpt'!$B193,Tree!$B:$B,'Pre-Harvest Plots_rpt'!$D193,Tree!$F:$F,"D",Tree!$K:$K,"&lt;&gt;"&amp;"Y")/1000)</f>
        <v/>
      </c>
      <c r="AE193" s="47"/>
      <c r="AF193" s="18"/>
      <c r="AG193" s="18"/>
      <c r="AH193" s="18"/>
    </row>
    <row r="194" spans="1:34" ht="12.75" customHeight="1" x14ac:dyDescent="0.25">
      <c r="A194" s="48">
        <v>191</v>
      </c>
      <c r="B194" s="171" t="str">
        <f>IF(A194&lt;=SUM(Stand!$H$3:$H$29),VLOOKUP(A194,Stand!$A$3:$C$29,3,TRUE),"")</f>
        <v/>
      </c>
      <c r="C194" s="172" t="str">
        <f t="shared" si="8"/>
        <v/>
      </c>
      <c r="D194" s="173" t="str">
        <f>IF(B194="","",VLOOKUP(B194&amp;C194,Plot!$B$2:$D$199,3,FALSE))</f>
        <v/>
      </c>
      <c r="E194" s="130"/>
      <c r="F194" s="152" t="str">
        <f>IF(B194="","",SUMIFS(Tree!$O:$O,Tree!$A:$A,'Pre-Harvest Plots_rpt'!$B194,Tree!$B:$B,'Pre-Harvest Plots_rpt'!$D194,Tree!$F:$F,"L",Tree!$K:$K,"&lt;&gt;"&amp;"Y"))</f>
        <v/>
      </c>
      <c r="G194" s="153" t="str">
        <f>IFERROR(IF(D194="","",SUMIFS(Tree!$P:$P,Tree!$A:$A,'Pre-Harvest Plots_rpt'!$B194,Tree!$B:$B,'Pre-Harvest Plots_rpt'!$D194,Tree!$K:$K,"&lt;&gt;"&amp;"Y")/$F194),"")</f>
        <v/>
      </c>
      <c r="H194" s="122" t="str">
        <f t="shared" si="9"/>
        <v/>
      </c>
      <c r="I194" s="121" t="str">
        <f>IF(OR($F194=0,$F194=""),"",SUMIFS(Tree!$R:$R,Tree!$A:$A,'Pre-Harvest Plots_rpt'!$B194,Tree!$B:$B,'Pre-Harvest Plots_rpt'!$D194,Tree!$F:$F,"L",Tree!$K:$K,"&lt;&gt;"&amp;"Y"))</f>
        <v/>
      </c>
      <c r="J194" s="121" t="str">
        <f>IF(OR($F194=0,$F194=""),"",IF(SUMIFS(Tree!$W:$W,Tree!$A:$A,'Pre-Harvest Plots_rpt'!$B194,Tree!$B:$B,'Pre-Harvest Plots_rpt'!$D194,Tree!$F:$F,"L",Tree!$K:$K,"&lt;&gt;"&amp;"Y")=0,0,AVERAGEIFS(Tree!$W:$W,Tree!$A:$A,'Pre-Harvest Plots_rpt'!$B194,Tree!$B:$B,'Pre-Harvest Plots_rpt'!$D194,Tree!$F:$F,"L",Tree!$K:$K,"&lt;&gt;"&amp;"Y")))</f>
        <v/>
      </c>
      <c r="K194" s="121" t="str">
        <f>IF($F194="","",SUMIFS(Tree!$S:$S,Tree!$A:$A,'Pre-Harvest Plots_rpt'!$B194,Tree!$B:$B,'Pre-Harvest Plots_rpt'!$D194,Tree!$F:$F,"L",Tree!$K:$K,"&lt;&gt;"&amp;"Y"))</f>
        <v/>
      </c>
      <c r="L194" s="154" t="str">
        <f t="shared" si="10"/>
        <v/>
      </c>
      <c r="M194" s="135"/>
      <c r="N194" s="192" t="str">
        <f>IF(B194="","",SUMIFS(Tree!$AM:$AM,Tree!$A:$A,'Pre-Harvest Plots_rpt'!$B194,Tree!$B:$B,'Pre-Harvest Plots_rpt'!$D194,Tree!$F:$F,"L",Tree!$K:$K,"&lt;&gt;"&amp;"Y"))</f>
        <v/>
      </c>
      <c r="O194" s="122" t="str">
        <f>IF(B194="","",SUMIFS(Tree!$AN:$AN,Tree!$A:$A,'Pre-Harvest Plots_rpt'!$B194,Tree!$B:$B,'Pre-Harvest Plots_rpt'!$D194,Tree!$F:$F,"L",Tree!$K:$K,"&lt;&gt;"&amp;"Y"))</f>
        <v/>
      </c>
      <c r="P194" s="122" t="str">
        <f>IF(B194="","",SUMIFS(Tree!$AO:$AO,Tree!$A:$A,'Pre-Harvest Plots_rpt'!$B194,Tree!$B:$B,'Pre-Harvest Plots_rpt'!$D194,Tree!$F:$F,"L",Tree!$K:$K,"&lt;&gt;"&amp;"Y"))</f>
        <v/>
      </c>
      <c r="Q194" s="122" t="str">
        <f>IF(B194="","",SUMIFS(Tree!$AP:$AP,Tree!$A:$A,'Pre-Harvest Plots_rpt'!$B194,Tree!$B:$B,'Pre-Harvest Plots_rpt'!$D194,Tree!$F:$F,"L",Tree!$K:$K,"&lt;&gt;"&amp;"Y"))</f>
        <v/>
      </c>
      <c r="R194" s="123" t="str">
        <f>IF(B194="","",SUMIFS(Tree!$AQ:$AQ,Tree!$A:$A,'Pre-Harvest Plots_rpt'!$B194,Tree!$B:$B,'Pre-Harvest Plots_rpt'!$D194,Tree!$F:$F,"L",Tree!$K:$K,"&lt;&gt;"&amp;"Y"))</f>
        <v/>
      </c>
      <c r="S194" s="122" t="str">
        <f>IF(B194="","",SUMIFS(Tree!$AJ:$AJ,Tree!$A:$A,'Pre-Harvest Plots_rpt'!$B194,Tree!$B:$B,'Pre-Harvest Plots_rpt'!$D194,Tree!$F:$F,"L",Tree!$K:$K,"&lt;&gt;"&amp;"Y")-O194)</f>
        <v/>
      </c>
      <c r="T194" s="122" t="str">
        <f>IF(B194="","",SUMIFS(Tree!$AK:$AK,Tree!$A:$A,'Pre-Harvest Plots_rpt'!$B194,Tree!$B:$B,'Pre-Harvest Plots_rpt'!$D194,Tree!$F:$F,"L",Tree!$K:$K,"&lt;&gt;"&amp;"Y")-P194)</f>
        <v/>
      </c>
      <c r="U194" s="122" t="str">
        <f>IF(B194="","",SUMIFS(Tree!$AL:$AL,Tree!$A:$A,'Pre-Harvest Plots_rpt'!$B194,Tree!$B:$B,'Pre-Harvest Plots_rpt'!$D194,Tree!$F:$F,"L",Tree!$K:$K,"&lt;&gt;"&amp;"Y")-Q194)</f>
        <v/>
      </c>
      <c r="V194" s="123" t="str">
        <f>IF(B194="","",ROUND(SUMIFS(Tree!$AE:$AE,Tree!$A:$A,'Pre-Harvest Plots_rpt'!$B194,Tree!$B:$B,'Pre-Harvest Plots_rpt'!$D194,Tree!$F:$F,"L",Tree!$K:$K,"&lt;&gt;"&amp;"Y")-R194,1))</f>
        <v/>
      </c>
      <c r="W194" s="124" t="str">
        <f>IF(B194="","",SUMIFS(Tree!$AY:$AY,Tree!$A:$A,'Pre-Harvest Plots_rpt'!$B194,Tree!$B:$B,'Pre-Harvest Plots_rpt'!$D194,Tree!$F:$F,"L",Tree!$K:$K,"&lt;&gt;"&amp;"Y")/1000)</f>
        <v/>
      </c>
      <c r="X194" s="158" t="str">
        <f>IF(B194="","",ROUND((SUMIFS(Tree!$AW:$AW,Tree!$A:$A,'Pre-Harvest Plots_rpt'!$B194,Tree!$B:$B,'Pre-Harvest Plots_rpt'!$D194,Tree!$F:$F,"L",Tree!$K:$K,"&lt;&gt;"&amp;"Y")/1000)-W194,1))</f>
        <v/>
      </c>
      <c r="Y194" s="135"/>
      <c r="Z194" s="161" t="str">
        <f>IF(IF(B194="","",SUMIFS(Tree!$O:$O,Tree!$A:$A,'Pre-Harvest Plots_rpt'!$B194,Tree!$B:$B,'Pre-Harvest Plots_rpt'!$D194,Tree!$F:$F,"D",Tree!$K:$K,"&lt;&gt;"&amp;"Y"))=0,"",IF(B194="","",SUMIFS(Tree!$O:$O,Tree!$A:$A,'Pre-Harvest Plots_rpt'!$B194,Tree!$B:$B,'Pre-Harvest Plots_rpt'!$D194,Tree!$F:$F,"D",Tree!$K:$K,"&lt;&gt;"&amp;"Y")))</f>
        <v/>
      </c>
      <c r="AA194" s="125" t="str">
        <f t="shared" si="11"/>
        <v/>
      </c>
      <c r="AB194" s="125" t="str">
        <f>IF(Z194="","",SUMIFS(Tree!$R:$R,Tree!$A:$A,'Pre-Harvest Plots_rpt'!$B194,Tree!$B:$B,'Pre-Harvest Plots_rpt'!$D194,Tree!$F:$F,"D",Tree!$K:$K,"&lt;&gt;"&amp;"Y"))</f>
        <v/>
      </c>
      <c r="AC194" s="126" t="str">
        <f>IF(Z194="","",SUMIFS(Tree!$AM:$AM,Tree!$A:$A,'Pre-Harvest Plots_rpt'!$B194,Tree!$B:$B,'Pre-Harvest Plots_rpt'!$D194,Tree!$F:$F,"D",Tree!$K:$K,"&lt;&gt;"&amp;"Y"))</f>
        <v/>
      </c>
      <c r="AD194" s="162" t="str">
        <f>IF(Z194="","",SUMIFS(Tree!$AW:$AW,Tree!$A:$A,'Pre-Harvest Plots_rpt'!$B194,Tree!$B:$B,'Pre-Harvest Plots_rpt'!$D194,Tree!$F:$F,"D",Tree!$K:$K,"&lt;&gt;"&amp;"Y")/1000)</f>
        <v/>
      </c>
      <c r="AE194" s="47"/>
      <c r="AF194" s="18"/>
      <c r="AG194" s="18"/>
      <c r="AH194" s="18"/>
    </row>
    <row r="195" spans="1:34" ht="12.75" customHeight="1" x14ac:dyDescent="0.25">
      <c r="A195" s="48">
        <v>192</v>
      </c>
      <c r="B195" s="171" t="str">
        <f>IF(A195&lt;=SUM(Stand!$H$3:$H$29),VLOOKUP(A195,Stand!$A$3:$C$29,3,TRUE),"")</f>
        <v/>
      </c>
      <c r="C195" s="172" t="str">
        <f t="shared" si="8"/>
        <v/>
      </c>
      <c r="D195" s="173" t="str">
        <f>IF(B195="","",VLOOKUP(B195&amp;C195,Plot!$B$2:$D$199,3,FALSE))</f>
        <v/>
      </c>
      <c r="E195" s="130"/>
      <c r="F195" s="152" t="str">
        <f>IF(B195="","",SUMIFS(Tree!$O:$O,Tree!$A:$A,'Pre-Harvest Plots_rpt'!$B195,Tree!$B:$B,'Pre-Harvest Plots_rpt'!$D195,Tree!$F:$F,"L",Tree!$K:$K,"&lt;&gt;"&amp;"Y"))</f>
        <v/>
      </c>
      <c r="G195" s="153" t="str">
        <f>IFERROR(IF(D195="","",SUMIFS(Tree!$P:$P,Tree!$A:$A,'Pre-Harvest Plots_rpt'!$B195,Tree!$B:$B,'Pre-Harvest Plots_rpt'!$D195,Tree!$K:$K,"&lt;&gt;"&amp;"Y")/$F195),"")</f>
        <v/>
      </c>
      <c r="H195" s="122" t="str">
        <f t="shared" si="9"/>
        <v/>
      </c>
      <c r="I195" s="121" t="str">
        <f>IF(OR($F195=0,$F195=""),"",SUMIFS(Tree!$R:$R,Tree!$A:$A,'Pre-Harvest Plots_rpt'!$B195,Tree!$B:$B,'Pre-Harvest Plots_rpt'!$D195,Tree!$F:$F,"L",Tree!$K:$K,"&lt;&gt;"&amp;"Y"))</f>
        <v/>
      </c>
      <c r="J195" s="121" t="str">
        <f>IF(OR($F195=0,$F195=""),"",IF(SUMIFS(Tree!$W:$W,Tree!$A:$A,'Pre-Harvest Plots_rpt'!$B195,Tree!$B:$B,'Pre-Harvest Plots_rpt'!$D195,Tree!$F:$F,"L",Tree!$K:$K,"&lt;&gt;"&amp;"Y")=0,0,AVERAGEIFS(Tree!$W:$W,Tree!$A:$A,'Pre-Harvest Plots_rpt'!$B195,Tree!$B:$B,'Pre-Harvest Plots_rpt'!$D195,Tree!$F:$F,"L",Tree!$K:$K,"&lt;&gt;"&amp;"Y")))</f>
        <v/>
      </c>
      <c r="K195" s="121" t="str">
        <f>IF($F195="","",SUMIFS(Tree!$S:$S,Tree!$A:$A,'Pre-Harvest Plots_rpt'!$B195,Tree!$B:$B,'Pre-Harvest Plots_rpt'!$D195,Tree!$F:$F,"L",Tree!$K:$K,"&lt;&gt;"&amp;"Y"))</f>
        <v/>
      </c>
      <c r="L195" s="154" t="str">
        <f t="shared" si="10"/>
        <v/>
      </c>
      <c r="M195" s="135"/>
      <c r="N195" s="192" t="str">
        <f>IF(B195="","",SUMIFS(Tree!$AM:$AM,Tree!$A:$A,'Pre-Harvest Plots_rpt'!$B195,Tree!$B:$B,'Pre-Harvest Plots_rpt'!$D195,Tree!$F:$F,"L",Tree!$K:$K,"&lt;&gt;"&amp;"Y"))</f>
        <v/>
      </c>
      <c r="O195" s="122" t="str">
        <f>IF(B195="","",SUMIFS(Tree!$AN:$AN,Tree!$A:$A,'Pre-Harvest Plots_rpt'!$B195,Tree!$B:$B,'Pre-Harvest Plots_rpt'!$D195,Tree!$F:$F,"L",Tree!$K:$K,"&lt;&gt;"&amp;"Y"))</f>
        <v/>
      </c>
      <c r="P195" s="122" t="str">
        <f>IF(B195="","",SUMIFS(Tree!$AO:$AO,Tree!$A:$A,'Pre-Harvest Plots_rpt'!$B195,Tree!$B:$B,'Pre-Harvest Plots_rpt'!$D195,Tree!$F:$F,"L",Tree!$K:$K,"&lt;&gt;"&amp;"Y"))</f>
        <v/>
      </c>
      <c r="Q195" s="122" t="str">
        <f>IF(B195="","",SUMIFS(Tree!$AP:$AP,Tree!$A:$A,'Pre-Harvest Plots_rpt'!$B195,Tree!$B:$B,'Pre-Harvest Plots_rpt'!$D195,Tree!$F:$F,"L",Tree!$K:$K,"&lt;&gt;"&amp;"Y"))</f>
        <v/>
      </c>
      <c r="R195" s="123" t="str">
        <f>IF(B195="","",SUMIFS(Tree!$AQ:$AQ,Tree!$A:$A,'Pre-Harvest Plots_rpt'!$B195,Tree!$B:$B,'Pre-Harvest Plots_rpt'!$D195,Tree!$F:$F,"L",Tree!$K:$K,"&lt;&gt;"&amp;"Y"))</f>
        <v/>
      </c>
      <c r="S195" s="122" t="str">
        <f>IF(B195="","",SUMIFS(Tree!$AJ:$AJ,Tree!$A:$A,'Pre-Harvest Plots_rpt'!$B195,Tree!$B:$B,'Pre-Harvest Plots_rpt'!$D195,Tree!$F:$F,"L",Tree!$K:$K,"&lt;&gt;"&amp;"Y")-O195)</f>
        <v/>
      </c>
      <c r="T195" s="122" t="str">
        <f>IF(B195="","",SUMIFS(Tree!$AK:$AK,Tree!$A:$A,'Pre-Harvest Plots_rpt'!$B195,Tree!$B:$B,'Pre-Harvest Plots_rpt'!$D195,Tree!$F:$F,"L",Tree!$K:$K,"&lt;&gt;"&amp;"Y")-P195)</f>
        <v/>
      </c>
      <c r="U195" s="122" t="str">
        <f>IF(B195="","",SUMIFS(Tree!$AL:$AL,Tree!$A:$A,'Pre-Harvest Plots_rpt'!$B195,Tree!$B:$B,'Pre-Harvest Plots_rpt'!$D195,Tree!$F:$F,"L",Tree!$K:$K,"&lt;&gt;"&amp;"Y")-Q195)</f>
        <v/>
      </c>
      <c r="V195" s="123" t="str">
        <f>IF(B195="","",ROUND(SUMIFS(Tree!$AE:$AE,Tree!$A:$A,'Pre-Harvest Plots_rpt'!$B195,Tree!$B:$B,'Pre-Harvest Plots_rpt'!$D195,Tree!$F:$F,"L",Tree!$K:$K,"&lt;&gt;"&amp;"Y")-R195,1))</f>
        <v/>
      </c>
      <c r="W195" s="124" t="str">
        <f>IF(B195="","",SUMIFS(Tree!$AY:$AY,Tree!$A:$A,'Pre-Harvest Plots_rpt'!$B195,Tree!$B:$B,'Pre-Harvest Plots_rpt'!$D195,Tree!$F:$F,"L",Tree!$K:$K,"&lt;&gt;"&amp;"Y")/1000)</f>
        <v/>
      </c>
      <c r="X195" s="158" t="str">
        <f>IF(B195="","",ROUND((SUMIFS(Tree!$AW:$AW,Tree!$A:$A,'Pre-Harvest Plots_rpt'!$B195,Tree!$B:$B,'Pre-Harvest Plots_rpt'!$D195,Tree!$F:$F,"L",Tree!$K:$K,"&lt;&gt;"&amp;"Y")/1000)-W195,1))</f>
        <v/>
      </c>
      <c r="Y195" s="135"/>
      <c r="Z195" s="161" t="str">
        <f>IF(IF(B195="","",SUMIFS(Tree!$O:$O,Tree!$A:$A,'Pre-Harvest Plots_rpt'!$B195,Tree!$B:$B,'Pre-Harvest Plots_rpt'!$D195,Tree!$F:$F,"D",Tree!$K:$K,"&lt;&gt;"&amp;"Y"))=0,"",IF(B195="","",SUMIFS(Tree!$O:$O,Tree!$A:$A,'Pre-Harvest Plots_rpt'!$B195,Tree!$B:$B,'Pre-Harvest Plots_rpt'!$D195,Tree!$F:$F,"D",Tree!$K:$K,"&lt;&gt;"&amp;"Y")))</f>
        <v/>
      </c>
      <c r="AA195" s="125" t="str">
        <f t="shared" si="11"/>
        <v/>
      </c>
      <c r="AB195" s="125" t="str">
        <f>IF(Z195="","",SUMIFS(Tree!$R:$R,Tree!$A:$A,'Pre-Harvest Plots_rpt'!$B195,Tree!$B:$B,'Pre-Harvest Plots_rpt'!$D195,Tree!$F:$F,"D",Tree!$K:$K,"&lt;&gt;"&amp;"Y"))</f>
        <v/>
      </c>
      <c r="AC195" s="126" t="str">
        <f>IF(Z195="","",SUMIFS(Tree!$AM:$AM,Tree!$A:$A,'Pre-Harvest Plots_rpt'!$B195,Tree!$B:$B,'Pre-Harvest Plots_rpt'!$D195,Tree!$F:$F,"D",Tree!$K:$K,"&lt;&gt;"&amp;"Y"))</f>
        <v/>
      </c>
      <c r="AD195" s="162" t="str">
        <f>IF(Z195="","",SUMIFS(Tree!$AW:$AW,Tree!$A:$A,'Pre-Harvest Plots_rpt'!$B195,Tree!$B:$B,'Pre-Harvest Plots_rpt'!$D195,Tree!$F:$F,"D",Tree!$K:$K,"&lt;&gt;"&amp;"Y")/1000)</f>
        <v/>
      </c>
      <c r="AE195" s="47"/>
      <c r="AF195" s="18"/>
      <c r="AG195" s="18"/>
      <c r="AH195" s="18"/>
    </row>
    <row r="196" spans="1:34" ht="12.75" customHeight="1" x14ac:dyDescent="0.25">
      <c r="A196" s="48">
        <v>193</v>
      </c>
      <c r="B196" s="171" t="str">
        <f>IF(A196&lt;=SUM(Stand!$H$3:$H$29),VLOOKUP(A196,Stand!$A$3:$C$29,3,TRUE),"")</f>
        <v/>
      </c>
      <c r="C196" s="172" t="str">
        <f t="shared" ref="C196:C199" si="12">IF(LEN(B196)&gt;0,IF(B196=B195,C195+1,1),"")</f>
        <v/>
      </c>
      <c r="D196" s="173" t="str">
        <f>IF(B196="","",VLOOKUP(B196&amp;C196,Plot!$B$2:$D$199,3,FALSE))</f>
        <v/>
      </c>
      <c r="E196" s="130"/>
      <c r="F196" s="152" t="str">
        <f>IF(B196="","",SUMIFS(Tree!$O:$O,Tree!$A:$A,'Pre-Harvest Plots_rpt'!$B196,Tree!$B:$B,'Pre-Harvest Plots_rpt'!$D196,Tree!$F:$F,"L",Tree!$K:$K,"&lt;&gt;"&amp;"Y"))</f>
        <v/>
      </c>
      <c r="G196" s="153" t="str">
        <f>IFERROR(IF(D196="","",SUMIFS(Tree!$P:$P,Tree!$A:$A,'Pre-Harvest Plots_rpt'!$B196,Tree!$B:$B,'Pre-Harvest Plots_rpt'!$D196,Tree!$K:$K,"&lt;&gt;"&amp;"Y")/$F196),"")</f>
        <v/>
      </c>
      <c r="H196" s="122" t="str">
        <f t="shared" ref="H196:H199" si="13">IF(F196=0,"",IF(F196="","",((I196/F196)/0.005454)^0.5))</f>
        <v/>
      </c>
      <c r="I196" s="121" t="str">
        <f>IF(OR($F196=0,$F196=""),"",SUMIFS(Tree!$R:$R,Tree!$A:$A,'Pre-Harvest Plots_rpt'!$B196,Tree!$B:$B,'Pre-Harvest Plots_rpt'!$D196,Tree!$F:$F,"L",Tree!$K:$K,"&lt;&gt;"&amp;"Y"))</f>
        <v/>
      </c>
      <c r="J196" s="121" t="str">
        <f>IF(OR($F196=0,$F196=""),"",IF(SUMIFS(Tree!$W:$W,Tree!$A:$A,'Pre-Harvest Plots_rpt'!$B196,Tree!$B:$B,'Pre-Harvest Plots_rpt'!$D196,Tree!$F:$F,"L",Tree!$K:$K,"&lt;&gt;"&amp;"Y")=0,0,AVERAGEIFS(Tree!$W:$W,Tree!$A:$A,'Pre-Harvest Plots_rpt'!$B196,Tree!$B:$B,'Pre-Harvest Plots_rpt'!$D196,Tree!$F:$F,"L",Tree!$K:$K,"&lt;&gt;"&amp;"Y")))</f>
        <v/>
      </c>
      <c r="K196" s="121" t="str">
        <f>IF($F196="","",SUMIFS(Tree!$S:$S,Tree!$A:$A,'Pre-Harvest Plots_rpt'!$B196,Tree!$B:$B,'Pre-Harvest Plots_rpt'!$D196,Tree!$F:$F,"L",Tree!$K:$K,"&lt;&gt;"&amp;"Y"))</f>
        <v/>
      </c>
      <c r="L196" s="154" t="str">
        <f t="shared" ref="L196:L199" si="14">IF($F196="","",IF(D196=0,0,I196/(H196^0.5)))</f>
        <v/>
      </c>
      <c r="M196" s="135"/>
      <c r="N196" s="192" t="str">
        <f>IF(B196="","",SUMIFS(Tree!$AM:$AM,Tree!$A:$A,'Pre-Harvest Plots_rpt'!$B196,Tree!$B:$B,'Pre-Harvest Plots_rpt'!$D196,Tree!$F:$F,"L",Tree!$K:$K,"&lt;&gt;"&amp;"Y"))</f>
        <v/>
      </c>
      <c r="O196" s="122" t="str">
        <f>IF(B196="","",SUMIFS(Tree!$AN:$AN,Tree!$A:$A,'Pre-Harvest Plots_rpt'!$B196,Tree!$B:$B,'Pre-Harvest Plots_rpt'!$D196,Tree!$F:$F,"L",Tree!$K:$K,"&lt;&gt;"&amp;"Y"))</f>
        <v/>
      </c>
      <c r="P196" s="122" t="str">
        <f>IF(B196="","",SUMIFS(Tree!$AO:$AO,Tree!$A:$A,'Pre-Harvest Plots_rpt'!$B196,Tree!$B:$B,'Pre-Harvest Plots_rpt'!$D196,Tree!$F:$F,"L",Tree!$K:$K,"&lt;&gt;"&amp;"Y"))</f>
        <v/>
      </c>
      <c r="Q196" s="122" t="str">
        <f>IF(B196="","",SUMIFS(Tree!$AP:$AP,Tree!$A:$A,'Pre-Harvest Plots_rpt'!$B196,Tree!$B:$B,'Pre-Harvest Plots_rpt'!$D196,Tree!$F:$F,"L",Tree!$K:$K,"&lt;&gt;"&amp;"Y"))</f>
        <v/>
      </c>
      <c r="R196" s="123" t="str">
        <f>IF(B196="","",SUMIFS(Tree!$AQ:$AQ,Tree!$A:$A,'Pre-Harvest Plots_rpt'!$B196,Tree!$B:$B,'Pre-Harvest Plots_rpt'!$D196,Tree!$F:$F,"L",Tree!$K:$K,"&lt;&gt;"&amp;"Y"))</f>
        <v/>
      </c>
      <c r="S196" s="122" t="str">
        <f>IF(B196="","",SUMIFS(Tree!$AJ:$AJ,Tree!$A:$A,'Pre-Harvest Plots_rpt'!$B196,Tree!$B:$B,'Pre-Harvest Plots_rpt'!$D196,Tree!$F:$F,"L",Tree!$K:$K,"&lt;&gt;"&amp;"Y")-O196)</f>
        <v/>
      </c>
      <c r="T196" s="122" t="str">
        <f>IF(B196="","",SUMIFS(Tree!$AK:$AK,Tree!$A:$A,'Pre-Harvest Plots_rpt'!$B196,Tree!$B:$B,'Pre-Harvest Plots_rpt'!$D196,Tree!$F:$F,"L",Tree!$K:$K,"&lt;&gt;"&amp;"Y")-P196)</f>
        <v/>
      </c>
      <c r="U196" s="122" t="str">
        <f>IF(B196="","",SUMIFS(Tree!$AL:$AL,Tree!$A:$A,'Pre-Harvest Plots_rpt'!$B196,Tree!$B:$B,'Pre-Harvest Plots_rpt'!$D196,Tree!$F:$F,"L",Tree!$K:$K,"&lt;&gt;"&amp;"Y")-Q196)</f>
        <v/>
      </c>
      <c r="V196" s="123" t="str">
        <f>IF(B196="","",ROUND(SUMIFS(Tree!$AE:$AE,Tree!$A:$A,'Pre-Harvest Plots_rpt'!$B196,Tree!$B:$B,'Pre-Harvest Plots_rpt'!$D196,Tree!$F:$F,"L",Tree!$K:$K,"&lt;&gt;"&amp;"Y")-R196,1))</f>
        <v/>
      </c>
      <c r="W196" s="124" t="str">
        <f>IF(B196="","",SUMIFS(Tree!$AY:$AY,Tree!$A:$A,'Pre-Harvest Plots_rpt'!$B196,Tree!$B:$B,'Pre-Harvest Plots_rpt'!$D196,Tree!$F:$F,"L",Tree!$K:$K,"&lt;&gt;"&amp;"Y")/1000)</f>
        <v/>
      </c>
      <c r="X196" s="158" t="str">
        <f>IF(B196="","",ROUND((SUMIFS(Tree!$AW:$AW,Tree!$A:$A,'Pre-Harvest Plots_rpt'!$B196,Tree!$B:$B,'Pre-Harvest Plots_rpt'!$D196,Tree!$F:$F,"L",Tree!$K:$K,"&lt;&gt;"&amp;"Y")/1000)-W196,1))</f>
        <v/>
      </c>
      <c r="Y196" s="135"/>
      <c r="Z196" s="161" t="str">
        <f>IF(IF(B196="","",SUMIFS(Tree!$O:$O,Tree!$A:$A,'Pre-Harvest Plots_rpt'!$B196,Tree!$B:$B,'Pre-Harvest Plots_rpt'!$D196,Tree!$F:$F,"D",Tree!$K:$K,"&lt;&gt;"&amp;"Y"))=0,"",IF(B196="","",SUMIFS(Tree!$O:$O,Tree!$A:$A,'Pre-Harvest Plots_rpt'!$B196,Tree!$B:$B,'Pre-Harvest Plots_rpt'!$D196,Tree!$F:$F,"D",Tree!$K:$K,"&lt;&gt;"&amp;"Y")))</f>
        <v/>
      </c>
      <c r="AA196" s="125" t="str">
        <f t="shared" ref="AA196:AA199" si="15">IF(Z196="","",IF(Z196="","",((AB196/Z196)/0.005454)^0.5))</f>
        <v/>
      </c>
      <c r="AB196" s="125" t="str">
        <f>IF(Z196="","",SUMIFS(Tree!$R:$R,Tree!$A:$A,'Pre-Harvest Plots_rpt'!$B196,Tree!$B:$B,'Pre-Harvest Plots_rpt'!$D196,Tree!$F:$F,"D",Tree!$K:$K,"&lt;&gt;"&amp;"Y"))</f>
        <v/>
      </c>
      <c r="AC196" s="126" t="str">
        <f>IF(Z196="","",SUMIFS(Tree!$AM:$AM,Tree!$A:$A,'Pre-Harvest Plots_rpt'!$B196,Tree!$B:$B,'Pre-Harvest Plots_rpt'!$D196,Tree!$F:$F,"D",Tree!$K:$K,"&lt;&gt;"&amp;"Y"))</f>
        <v/>
      </c>
      <c r="AD196" s="162" t="str">
        <f>IF(Z196="","",SUMIFS(Tree!$AW:$AW,Tree!$A:$A,'Pre-Harvest Plots_rpt'!$B196,Tree!$B:$B,'Pre-Harvest Plots_rpt'!$D196,Tree!$F:$F,"D",Tree!$K:$K,"&lt;&gt;"&amp;"Y")/1000)</f>
        <v/>
      </c>
      <c r="AE196" s="47"/>
      <c r="AF196" s="18"/>
      <c r="AG196" s="18"/>
      <c r="AH196" s="18"/>
    </row>
    <row r="197" spans="1:34" ht="12.75" customHeight="1" x14ac:dyDescent="0.25">
      <c r="A197" s="48">
        <v>194</v>
      </c>
      <c r="B197" s="171" t="str">
        <f>IF(A197&lt;=SUM(Stand!$H$3:$H$29),VLOOKUP(A197,Stand!$A$3:$C$29,3,TRUE),"")</f>
        <v/>
      </c>
      <c r="C197" s="172" t="str">
        <f t="shared" si="12"/>
        <v/>
      </c>
      <c r="D197" s="173" t="str">
        <f>IF(B197="","",VLOOKUP(B197&amp;C197,Plot!$B$2:$D$199,3,FALSE))</f>
        <v/>
      </c>
      <c r="E197" s="130"/>
      <c r="F197" s="152" t="str">
        <f>IF(B197="","",SUMIFS(Tree!$O:$O,Tree!$A:$A,'Pre-Harvest Plots_rpt'!$B197,Tree!$B:$B,'Pre-Harvest Plots_rpt'!$D197,Tree!$F:$F,"L",Tree!$K:$K,"&lt;&gt;"&amp;"Y"))</f>
        <v/>
      </c>
      <c r="G197" s="153" t="str">
        <f>IFERROR(IF(D197="","",SUMIFS(Tree!$P:$P,Tree!$A:$A,'Pre-Harvest Plots_rpt'!$B197,Tree!$B:$B,'Pre-Harvest Plots_rpt'!$D197,Tree!$K:$K,"&lt;&gt;"&amp;"Y")/$F197),"")</f>
        <v/>
      </c>
      <c r="H197" s="122" t="str">
        <f t="shared" si="13"/>
        <v/>
      </c>
      <c r="I197" s="121" t="str">
        <f>IF(OR($F197=0,$F197=""),"",SUMIFS(Tree!$R:$R,Tree!$A:$A,'Pre-Harvest Plots_rpt'!$B197,Tree!$B:$B,'Pre-Harvest Plots_rpt'!$D197,Tree!$F:$F,"L",Tree!$K:$K,"&lt;&gt;"&amp;"Y"))</f>
        <v/>
      </c>
      <c r="J197" s="121" t="str">
        <f>IF(OR($F197=0,$F197=""),"",IF(SUMIFS(Tree!$W:$W,Tree!$A:$A,'Pre-Harvest Plots_rpt'!$B197,Tree!$B:$B,'Pre-Harvest Plots_rpt'!$D197,Tree!$F:$F,"L",Tree!$K:$K,"&lt;&gt;"&amp;"Y")=0,0,AVERAGEIFS(Tree!$W:$W,Tree!$A:$A,'Pre-Harvest Plots_rpt'!$B197,Tree!$B:$B,'Pre-Harvest Plots_rpt'!$D197,Tree!$F:$F,"L",Tree!$K:$K,"&lt;&gt;"&amp;"Y")))</f>
        <v/>
      </c>
      <c r="K197" s="121" t="str">
        <f>IF($F197="","",SUMIFS(Tree!$S:$S,Tree!$A:$A,'Pre-Harvest Plots_rpt'!$B197,Tree!$B:$B,'Pre-Harvest Plots_rpt'!$D197,Tree!$F:$F,"L",Tree!$K:$K,"&lt;&gt;"&amp;"Y"))</f>
        <v/>
      </c>
      <c r="L197" s="154" t="str">
        <f t="shared" si="14"/>
        <v/>
      </c>
      <c r="M197" s="135"/>
      <c r="N197" s="192" t="str">
        <f>IF(B197="","",SUMIFS(Tree!$AM:$AM,Tree!$A:$A,'Pre-Harvest Plots_rpt'!$B197,Tree!$B:$B,'Pre-Harvest Plots_rpt'!$D197,Tree!$F:$F,"L",Tree!$K:$K,"&lt;&gt;"&amp;"Y"))</f>
        <v/>
      </c>
      <c r="O197" s="122" t="str">
        <f>IF(B197="","",SUMIFS(Tree!$AN:$AN,Tree!$A:$A,'Pre-Harvest Plots_rpt'!$B197,Tree!$B:$B,'Pre-Harvest Plots_rpt'!$D197,Tree!$F:$F,"L",Tree!$K:$K,"&lt;&gt;"&amp;"Y"))</f>
        <v/>
      </c>
      <c r="P197" s="122" t="str">
        <f>IF(B197="","",SUMIFS(Tree!$AO:$AO,Tree!$A:$A,'Pre-Harvest Plots_rpt'!$B197,Tree!$B:$B,'Pre-Harvest Plots_rpt'!$D197,Tree!$F:$F,"L",Tree!$K:$K,"&lt;&gt;"&amp;"Y"))</f>
        <v/>
      </c>
      <c r="Q197" s="122" t="str">
        <f>IF(B197="","",SUMIFS(Tree!$AP:$AP,Tree!$A:$A,'Pre-Harvest Plots_rpt'!$B197,Tree!$B:$B,'Pre-Harvest Plots_rpt'!$D197,Tree!$F:$F,"L",Tree!$K:$K,"&lt;&gt;"&amp;"Y"))</f>
        <v/>
      </c>
      <c r="R197" s="123" t="str">
        <f>IF(B197="","",SUMIFS(Tree!$AQ:$AQ,Tree!$A:$A,'Pre-Harvest Plots_rpt'!$B197,Tree!$B:$B,'Pre-Harvest Plots_rpt'!$D197,Tree!$F:$F,"L",Tree!$K:$K,"&lt;&gt;"&amp;"Y"))</f>
        <v/>
      </c>
      <c r="S197" s="122" t="str">
        <f>IF(B197="","",SUMIFS(Tree!$AJ:$AJ,Tree!$A:$A,'Pre-Harvest Plots_rpt'!$B197,Tree!$B:$B,'Pre-Harvest Plots_rpt'!$D197,Tree!$F:$F,"L",Tree!$K:$K,"&lt;&gt;"&amp;"Y")-O197)</f>
        <v/>
      </c>
      <c r="T197" s="122" t="str">
        <f>IF(B197="","",SUMIFS(Tree!$AK:$AK,Tree!$A:$A,'Pre-Harvest Plots_rpt'!$B197,Tree!$B:$B,'Pre-Harvest Plots_rpt'!$D197,Tree!$F:$F,"L",Tree!$K:$K,"&lt;&gt;"&amp;"Y")-P197)</f>
        <v/>
      </c>
      <c r="U197" s="122" t="str">
        <f>IF(B197="","",SUMIFS(Tree!$AL:$AL,Tree!$A:$A,'Pre-Harvest Plots_rpt'!$B197,Tree!$B:$B,'Pre-Harvest Plots_rpt'!$D197,Tree!$F:$F,"L",Tree!$K:$K,"&lt;&gt;"&amp;"Y")-Q197)</f>
        <v/>
      </c>
      <c r="V197" s="123" t="str">
        <f>IF(B197="","",ROUND(SUMIFS(Tree!$AE:$AE,Tree!$A:$A,'Pre-Harvest Plots_rpt'!$B197,Tree!$B:$B,'Pre-Harvest Plots_rpt'!$D197,Tree!$F:$F,"L",Tree!$K:$K,"&lt;&gt;"&amp;"Y")-R197,1))</f>
        <v/>
      </c>
      <c r="W197" s="124" t="str">
        <f>IF(B197="","",SUMIFS(Tree!$AY:$AY,Tree!$A:$A,'Pre-Harvest Plots_rpt'!$B197,Tree!$B:$B,'Pre-Harvest Plots_rpt'!$D197,Tree!$F:$F,"L",Tree!$K:$K,"&lt;&gt;"&amp;"Y")/1000)</f>
        <v/>
      </c>
      <c r="X197" s="158" t="str">
        <f>IF(B197="","",ROUND((SUMIFS(Tree!$AW:$AW,Tree!$A:$A,'Pre-Harvest Plots_rpt'!$B197,Tree!$B:$B,'Pre-Harvest Plots_rpt'!$D197,Tree!$F:$F,"L",Tree!$K:$K,"&lt;&gt;"&amp;"Y")/1000)-W197,1))</f>
        <v/>
      </c>
      <c r="Y197" s="135"/>
      <c r="Z197" s="161" t="str">
        <f>IF(IF(B197="","",SUMIFS(Tree!$O:$O,Tree!$A:$A,'Pre-Harvest Plots_rpt'!$B197,Tree!$B:$B,'Pre-Harvest Plots_rpt'!$D197,Tree!$F:$F,"D",Tree!$K:$K,"&lt;&gt;"&amp;"Y"))=0,"",IF(B197="","",SUMIFS(Tree!$O:$O,Tree!$A:$A,'Pre-Harvest Plots_rpt'!$B197,Tree!$B:$B,'Pre-Harvest Plots_rpt'!$D197,Tree!$F:$F,"D",Tree!$K:$K,"&lt;&gt;"&amp;"Y")))</f>
        <v/>
      </c>
      <c r="AA197" s="125" t="str">
        <f t="shared" si="15"/>
        <v/>
      </c>
      <c r="AB197" s="125" t="str">
        <f>IF(Z197="","",SUMIFS(Tree!$R:$R,Tree!$A:$A,'Pre-Harvest Plots_rpt'!$B197,Tree!$B:$B,'Pre-Harvest Plots_rpt'!$D197,Tree!$F:$F,"D",Tree!$K:$K,"&lt;&gt;"&amp;"Y"))</f>
        <v/>
      </c>
      <c r="AC197" s="126" t="str">
        <f>IF(Z197="","",SUMIFS(Tree!$AM:$AM,Tree!$A:$A,'Pre-Harvest Plots_rpt'!$B197,Tree!$B:$B,'Pre-Harvest Plots_rpt'!$D197,Tree!$F:$F,"D",Tree!$K:$K,"&lt;&gt;"&amp;"Y"))</f>
        <v/>
      </c>
      <c r="AD197" s="162" t="str">
        <f>IF(Z197="","",SUMIFS(Tree!$AW:$AW,Tree!$A:$A,'Pre-Harvest Plots_rpt'!$B197,Tree!$B:$B,'Pre-Harvest Plots_rpt'!$D197,Tree!$F:$F,"D",Tree!$K:$K,"&lt;&gt;"&amp;"Y")/1000)</f>
        <v/>
      </c>
      <c r="AE197" s="47"/>
      <c r="AF197" s="18"/>
      <c r="AG197" s="18"/>
      <c r="AH197" s="18"/>
    </row>
    <row r="198" spans="1:34" ht="12.75" customHeight="1" x14ac:dyDescent="0.25">
      <c r="A198" s="48">
        <v>195</v>
      </c>
      <c r="B198" s="171" t="str">
        <f>IF(A198&lt;=SUM(Stand!$H$3:$H$29),VLOOKUP(A198,Stand!$A$3:$C$29,3,TRUE),"")</f>
        <v/>
      </c>
      <c r="C198" s="172" t="str">
        <f t="shared" si="12"/>
        <v/>
      </c>
      <c r="D198" s="173" t="str">
        <f>IF(B198="","",VLOOKUP(B198&amp;C198,Plot!$B$2:$D$199,3,FALSE))</f>
        <v/>
      </c>
      <c r="E198" s="130"/>
      <c r="F198" s="152" t="str">
        <f>IF(B198="","",SUMIFS(Tree!$O:$O,Tree!$A:$A,'Pre-Harvest Plots_rpt'!$B198,Tree!$B:$B,'Pre-Harvest Plots_rpt'!$D198,Tree!$F:$F,"L",Tree!$K:$K,"&lt;&gt;"&amp;"Y"))</f>
        <v/>
      </c>
      <c r="G198" s="153" t="str">
        <f>IFERROR(IF(D198="","",SUMIFS(Tree!$P:$P,Tree!$A:$A,'Pre-Harvest Plots_rpt'!$B198,Tree!$B:$B,'Pre-Harvest Plots_rpt'!$D198,Tree!$K:$K,"&lt;&gt;"&amp;"Y")/$F198),"")</f>
        <v/>
      </c>
      <c r="H198" s="122" t="str">
        <f t="shared" si="13"/>
        <v/>
      </c>
      <c r="I198" s="121" t="str">
        <f>IF(OR($F198=0,$F198=""),"",SUMIFS(Tree!$R:$R,Tree!$A:$A,'Pre-Harvest Plots_rpt'!$B198,Tree!$B:$B,'Pre-Harvest Plots_rpt'!$D198,Tree!$F:$F,"L",Tree!$K:$K,"&lt;&gt;"&amp;"Y"))</f>
        <v/>
      </c>
      <c r="J198" s="121" t="str">
        <f>IF(OR($F198=0,$F198=""),"",IF(SUMIFS(Tree!$W:$W,Tree!$A:$A,'Pre-Harvest Plots_rpt'!$B198,Tree!$B:$B,'Pre-Harvest Plots_rpt'!$D198,Tree!$F:$F,"L",Tree!$K:$K,"&lt;&gt;"&amp;"Y")=0,0,AVERAGEIFS(Tree!$W:$W,Tree!$A:$A,'Pre-Harvest Plots_rpt'!$B198,Tree!$B:$B,'Pre-Harvest Plots_rpt'!$D198,Tree!$F:$F,"L",Tree!$K:$K,"&lt;&gt;"&amp;"Y")))</f>
        <v/>
      </c>
      <c r="K198" s="121" t="str">
        <f>IF($F198="","",SUMIFS(Tree!$S:$S,Tree!$A:$A,'Pre-Harvest Plots_rpt'!$B198,Tree!$B:$B,'Pre-Harvest Plots_rpt'!$D198,Tree!$F:$F,"L",Tree!$K:$K,"&lt;&gt;"&amp;"Y"))</f>
        <v/>
      </c>
      <c r="L198" s="154" t="str">
        <f t="shared" si="14"/>
        <v/>
      </c>
      <c r="M198" s="135"/>
      <c r="N198" s="192" t="str">
        <f>IF(B198="","",SUMIFS(Tree!$AM:$AM,Tree!$A:$A,'Pre-Harvest Plots_rpt'!$B198,Tree!$B:$B,'Pre-Harvest Plots_rpt'!$D198,Tree!$F:$F,"L",Tree!$K:$K,"&lt;&gt;"&amp;"Y"))</f>
        <v/>
      </c>
      <c r="O198" s="122" t="str">
        <f>IF(B198="","",SUMIFS(Tree!$AN:$AN,Tree!$A:$A,'Pre-Harvest Plots_rpt'!$B198,Tree!$B:$B,'Pre-Harvest Plots_rpt'!$D198,Tree!$F:$F,"L",Tree!$K:$K,"&lt;&gt;"&amp;"Y"))</f>
        <v/>
      </c>
      <c r="P198" s="122" t="str">
        <f>IF(B198="","",SUMIFS(Tree!$AO:$AO,Tree!$A:$A,'Pre-Harvest Plots_rpt'!$B198,Tree!$B:$B,'Pre-Harvest Plots_rpt'!$D198,Tree!$F:$F,"L",Tree!$K:$K,"&lt;&gt;"&amp;"Y"))</f>
        <v/>
      </c>
      <c r="Q198" s="122" t="str">
        <f>IF(B198="","",SUMIFS(Tree!$AP:$AP,Tree!$A:$A,'Pre-Harvest Plots_rpt'!$B198,Tree!$B:$B,'Pre-Harvest Plots_rpt'!$D198,Tree!$F:$F,"L",Tree!$K:$K,"&lt;&gt;"&amp;"Y"))</f>
        <v/>
      </c>
      <c r="R198" s="123" t="str">
        <f>IF(B198="","",SUMIFS(Tree!$AQ:$AQ,Tree!$A:$A,'Pre-Harvest Plots_rpt'!$B198,Tree!$B:$B,'Pre-Harvest Plots_rpt'!$D198,Tree!$F:$F,"L",Tree!$K:$K,"&lt;&gt;"&amp;"Y"))</f>
        <v/>
      </c>
      <c r="S198" s="122" t="str">
        <f>IF(B198="","",SUMIFS(Tree!$AJ:$AJ,Tree!$A:$A,'Pre-Harvest Plots_rpt'!$B198,Tree!$B:$B,'Pre-Harvest Plots_rpt'!$D198,Tree!$F:$F,"L",Tree!$K:$K,"&lt;&gt;"&amp;"Y")-O198)</f>
        <v/>
      </c>
      <c r="T198" s="122" t="str">
        <f>IF(B198="","",SUMIFS(Tree!$AK:$AK,Tree!$A:$A,'Pre-Harvest Plots_rpt'!$B198,Tree!$B:$B,'Pre-Harvest Plots_rpt'!$D198,Tree!$F:$F,"L",Tree!$K:$K,"&lt;&gt;"&amp;"Y")-P198)</f>
        <v/>
      </c>
      <c r="U198" s="122" t="str">
        <f>IF(B198="","",SUMIFS(Tree!$AL:$AL,Tree!$A:$A,'Pre-Harvest Plots_rpt'!$B198,Tree!$B:$B,'Pre-Harvest Plots_rpt'!$D198,Tree!$F:$F,"L",Tree!$K:$K,"&lt;&gt;"&amp;"Y")-Q198)</f>
        <v/>
      </c>
      <c r="V198" s="123" t="str">
        <f>IF(B198="","",ROUND(SUMIFS(Tree!$AE:$AE,Tree!$A:$A,'Pre-Harvest Plots_rpt'!$B198,Tree!$B:$B,'Pre-Harvest Plots_rpt'!$D198,Tree!$F:$F,"L",Tree!$K:$K,"&lt;&gt;"&amp;"Y")-R198,1))</f>
        <v/>
      </c>
      <c r="W198" s="124" t="str">
        <f>IF(B198="","",SUMIFS(Tree!$AY:$AY,Tree!$A:$A,'Pre-Harvest Plots_rpt'!$B198,Tree!$B:$B,'Pre-Harvest Plots_rpt'!$D198,Tree!$F:$F,"L",Tree!$K:$K,"&lt;&gt;"&amp;"Y")/1000)</f>
        <v/>
      </c>
      <c r="X198" s="158" t="str">
        <f>IF(B198="","",ROUND((SUMIFS(Tree!$AW:$AW,Tree!$A:$A,'Pre-Harvest Plots_rpt'!$B198,Tree!$B:$B,'Pre-Harvest Plots_rpt'!$D198,Tree!$F:$F,"L",Tree!$K:$K,"&lt;&gt;"&amp;"Y")/1000)-W198,1))</f>
        <v/>
      </c>
      <c r="Y198" s="135"/>
      <c r="Z198" s="161" t="str">
        <f>IF(IF(B198="","",SUMIFS(Tree!$O:$O,Tree!$A:$A,'Pre-Harvest Plots_rpt'!$B198,Tree!$B:$B,'Pre-Harvest Plots_rpt'!$D198,Tree!$F:$F,"D",Tree!$K:$K,"&lt;&gt;"&amp;"Y"))=0,"",IF(B198="","",SUMIFS(Tree!$O:$O,Tree!$A:$A,'Pre-Harvest Plots_rpt'!$B198,Tree!$B:$B,'Pre-Harvest Plots_rpt'!$D198,Tree!$F:$F,"D",Tree!$K:$K,"&lt;&gt;"&amp;"Y")))</f>
        <v/>
      </c>
      <c r="AA198" s="125" t="str">
        <f t="shared" si="15"/>
        <v/>
      </c>
      <c r="AB198" s="125" t="str">
        <f>IF(Z198="","",SUMIFS(Tree!$R:$R,Tree!$A:$A,'Pre-Harvest Plots_rpt'!$B198,Tree!$B:$B,'Pre-Harvest Plots_rpt'!$D198,Tree!$F:$F,"D",Tree!$K:$K,"&lt;&gt;"&amp;"Y"))</f>
        <v/>
      </c>
      <c r="AC198" s="126" t="str">
        <f>IF(Z198="","",SUMIFS(Tree!$AM:$AM,Tree!$A:$A,'Pre-Harvest Plots_rpt'!$B198,Tree!$B:$B,'Pre-Harvest Plots_rpt'!$D198,Tree!$F:$F,"D",Tree!$K:$K,"&lt;&gt;"&amp;"Y"))</f>
        <v/>
      </c>
      <c r="AD198" s="162" t="str">
        <f>IF(Z198="","",SUMIFS(Tree!$AW:$AW,Tree!$A:$A,'Pre-Harvest Plots_rpt'!$B198,Tree!$B:$B,'Pre-Harvest Plots_rpt'!$D198,Tree!$F:$F,"D",Tree!$K:$K,"&lt;&gt;"&amp;"Y")/1000)</f>
        <v/>
      </c>
      <c r="AE198" s="47"/>
      <c r="AF198" s="18"/>
      <c r="AG198" s="18"/>
      <c r="AH198" s="18"/>
    </row>
    <row r="199" spans="1:34" ht="12.75" customHeight="1" thickBot="1" x14ac:dyDescent="0.3">
      <c r="A199" s="48">
        <v>196</v>
      </c>
      <c r="B199" s="174" t="str">
        <f>IF(A199&lt;=SUM(Stand!$H$3:$H$29),VLOOKUP(A199,Stand!$A$3:$C$29,3,TRUE),"")</f>
        <v/>
      </c>
      <c r="C199" s="175" t="str">
        <f t="shared" si="12"/>
        <v/>
      </c>
      <c r="D199" s="176" t="str">
        <f>IF(B199="","",VLOOKUP(B199&amp;C199,Plot!$B$2:$D$199,3,FALSE))</f>
        <v/>
      </c>
      <c r="E199" s="130"/>
      <c r="F199" s="152" t="str">
        <f>IF(B199="","",SUMIFS(Tree!$O:$O,Tree!$A:$A,'Pre-Harvest Plots_rpt'!$B199,Tree!$B:$B,'Pre-Harvest Plots_rpt'!$D199,Tree!$F:$F,"L",Tree!$K:$K,"&lt;&gt;"&amp;"Y"))</f>
        <v/>
      </c>
      <c r="G199" s="153" t="str">
        <f>IFERROR(IF(D199="","",SUMIFS(Tree!$P:$P,Tree!$A:$A,'Pre-Harvest Plots_rpt'!$B199,Tree!$B:$B,'Pre-Harvest Plots_rpt'!$D199,Tree!$K:$K,"&lt;&gt;"&amp;"Y")/$F199),"")</f>
        <v/>
      </c>
      <c r="H199" s="122" t="str">
        <f t="shared" si="13"/>
        <v/>
      </c>
      <c r="I199" s="121" t="str">
        <f>IF(OR($F199=0,$F199=""),"",SUMIFS(Tree!$R:$R,Tree!$A:$A,'Pre-Harvest Plots_rpt'!$B199,Tree!$B:$B,'Pre-Harvest Plots_rpt'!$D199,Tree!$F:$F,"L",Tree!$K:$K,"&lt;&gt;"&amp;"Y"))</f>
        <v/>
      </c>
      <c r="J199" s="121" t="str">
        <f>IF(OR($F199=0,$F199=""),"",IF(SUMIFS(Tree!$W:$W,Tree!$A:$A,'Pre-Harvest Plots_rpt'!$B199,Tree!$B:$B,'Pre-Harvest Plots_rpt'!$D199,Tree!$F:$F,"L",Tree!$K:$K,"&lt;&gt;"&amp;"Y")=0,0,AVERAGEIFS(Tree!$W:$W,Tree!$A:$A,'Pre-Harvest Plots_rpt'!$B199,Tree!$B:$B,'Pre-Harvest Plots_rpt'!$D199,Tree!$F:$F,"L",Tree!$K:$K,"&lt;&gt;"&amp;"Y")))</f>
        <v/>
      </c>
      <c r="K199" s="121" t="str">
        <f>IF($F199="","",SUMIFS(Tree!$S:$S,Tree!$A:$A,'Pre-Harvest Plots_rpt'!$B199,Tree!$B:$B,'Pre-Harvest Plots_rpt'!$D199,Tree!$F:$F,"L",Tree!$K:$K,"&lt;&gt;"&amp;"Y"))</f>
        <v/>
      </c>
      <c r="L199" s="154" t="str">
        <f t="shared" si="14"/>
        <v/>
      </c>
      <c r="M199" s="135"/>
      <c r="N199" s="192" t="str">
        <f>IF(B199="","",SUMIFS(Tree!$AM:$AM,Tree!$A:$A,'Pre-Harvest Plots_rpt'!$B199,Tree!$B:$B,'Pre-Harvest Plots_rpt'!$D199,Tree!$F:$F,"L",Tree!$K:$K,"&lt;&gt;"&amp;"Y"))</f>
        <v/>
      </c>
      <c r="O199" s="122" t="str">
        <f>IF(B199="","",SUMIFS(Tree!$AN:$AN,Tree!$A:$A,'Pre-Harvest Plots_rpt'!$B199,Tree!$B:$B,'Pre-Harvest Plots_rpt'!$D199,Tree!$F:$F,"L",Tree!$K:$K,"&lt;&gt;"&amp;"Y"))</f>
        <v/>
      </c>
      <c r="P199" s="122" t="str">
        <f>IF(B199="","",SUMIFS(Tree!$AO:$AO,Tree!$A:$A,'Pre-Harvest Plots_rpt'!$B199,Tree!$B:$B,'Pre-Harvest Plots_rpt'!$D199,Tree!$F:$F,"L",Tree!$K:$K,"&lt;&gt;"&amp;"Y"))</f>
        <v/>
      </c>
      <c r="Q199" s="122" t="str">
        <f>IF(B199="","",SUMIFS(Tree!$AP:$AP,Tree!$A:$A,'Pre-Harvest Plots_rpt'!$B199,Tree!$B:$B,'Pre-Harvest Plots_rpt'!$D199,Tree!$F:$F,"L",Tree!$K:$K,"&lt;&gt;"&amp;"Y"))</f>
        <v/>
      </c>
      <c r="R199" s="123" t="str">
        <f>IF(B199="","",SUMIFS(Tree!$AQ:$AQ,Tree!$A:$A,'Pre-Harvest Plots_rpt'!$B199,Tree!$B:$B,'Pre-Harvest Plots_rpt'!$D199,Tree!$F:$F,"L",Tree!$K:$K,"&lt;&gt;"&amp;"Y"))</f>
        <v/>
      </c>
      <c r="S199" s="122" t="str">
        <f>IF(B199="","",SUMIFS(Tree!$AJ:$AJ,Tree!$A:$A,'Pre-Harvest Plots_rpt'!$B199,Tree!$B:$B,'Pre-Harvest Plots_rpt'!$D199,Tree!$F:$F,"L",Tree!$K:$K,"&lt;&gt;"&amp;"Y")-O199)</f>
        <v/>
      </c>
      <c r="T199" s="122" t="str">
        <f>IF(B199="","",SUMIFS(Tree!$AK:$AK,Tree!$A:$A,'Pre-Harvest Plots_rpt'!$B199,Tree!$B:$B,'Pre-Harvest Plots_rpt'!$D199,Tree!$F:$F,"L",Tree!$K:$K,"&lt;&gt;"&amp;"Y")-P199)</f>
        <v/>
      </c>
      <c r="U199" s="122" t="str">
        <f>IF(B199="","",SUMIFS(Tree!$AL:$AL,Tree!$A:$A,'Pre-Harvest Plots_rpt'!$B199,Tree!$B:$B,'Pre-Harvest Plots_rpt'!$D199,Tree!$F:$F,"L",Tree!$K:$K,"&lt;&gt;"&amp;"Y")-Q199)</f>
        <v/>
      </c>
      <c r="V199" s="123" t="str">
        <f>IF(B199="","",ROUND(SUMIFS(Tree!$AE:$AE,Tree!$A:$A,'Pre-Harvest Plots_rpt'!$B199,Tree!$B:$B,'Pre-Harvest Plots_rpt'!$D199,Tree!$F:$F,"L",Tree!$K:$K,"&lt;&gt;"&amp;"Y")-R199,1))</f>
        <v/>
      </c>
      <c r="W199" s="124" t="str">
        <f>IF(B199="","",SUMIFS(Tree!$AY:$AY,Tree!$A:$A,'Pre-Harvest Plots_rpt'!$B199,Tree!$B:$B,'Pre-Harvest Plots_rpt'!$D199,Tree!$F:$F,"L",Tree!$K:$K,"&lt;&gt;"&amp;"Y")/1000)</f>
        <v/>
      </c>
      <c r="X199" s="158" t="str">
        <f>IF(B199="","",ROUND((SUMIFS(Tree!$AW:$AW,Tree!$A:$A,'Pre-Harvest Plots_rpt'!$B199,Tree!$B:$B,'Pre-Harvest Plots_rpt'!$D199,Tree!$F:$F,"L",Tree!$K:$K,"&lt;&gt;"&amp;"Y")/1000)-W199,1))</f>
        <v/>
      </c>
      <c r="Y199" s="135"/>
      <c r="Z199" s="161" t="str">
        <f>IF(IF(B199="","",SUMIFS(Tree!$O:$O,Tree!$A:$A,'Pre-Harvest Plots_rpt'!$B199,Tree!$B:$B,'Pre-Harvest Plots_rpt'!$D199,Tree!$F:$F,"D",Tree!$K:$K,"&lt;&gt;"&amp;"Y"))=0,"",IF(B199="","",SUMIFS(Tree!$O:$O,Tree!$A:$A,'Pre-Harvest Plots_rpt'!$B199,Tree!$B:$B,'Pre-Harvest Plots_rpt'!$D199,Tree!$F:$F,"D",Tree!$K:$K,"&lt;&gt;"&amp;"Y")))</f>
        <v/>
      </c>
      <c r="AA199" s="125" t="str">
        <f t="shared" si="15"/>
        <v/>
      </c>
      <c r="AB199" s="125" t="str">
        <f>IF(Z199="","",SUMIFS(Tree!$R:$R,Tree!$A:$A,'Pre-Harvest Plots_rpt'!$B199,Tree!$B:$B,'Pre-Harvest Plots_rpt'!$D199,Tree!$F:$F,"D",Tree!$K:$K,"&lt;&gt;"&amp;"Y"))</f>
        <v/>
      </c>
      <c r="AC199" s="126" t="str">
        <f>IF(Z199="","",SUMIFS(Tree!$AM:$AM,Tree!$A:$A,'Pre-Harvest Plots_rpt'!$B199,Tree!$B:$B,'Pre-Harvest Plots_rpt'!$D199,Tree!$F:$F,"D",Tree!$K:$K,"&lt;&gt;"&amp;"Y"))</f>
        <v/>
      </c>
      <c r="AD199" s="162" t="str">
        <f>IF(Z199="","",SUMIFS(Tree!$AW:$AW,Tree!$A:$A,'Pre-Harvest Plots_rpt'!$B199,Tree!$B:$B,'Pre-Harvest Plots_rpt'!$D199,Tree!$F:$F,"D",Tree!$K:$K,"&lt;&gt;"&amp;"Y")/1000)</f>
        <v/>
      </c>
      <c r="AE199" s="47"/>
      <c r="AF199" s="18"/>
      <c r="AG199" s="18"/>
      <c r="AH199" s="18"/>
    </row>
    <row r="200" spans="1:34" s="132" customFormat="1" ht="12.75" customHeight="1" x14ac:dyDescent="0.25">
      <c r="A200" s="137"/>
      <c r="B200" s="141"/>
      <c r="C200" s="142"/>
      <c r="D200" s="143"/>
      <c r="E200" s="143"/>
      <c r="F200" s="144"/>
      <c r="G200" s="145"/>
      <c r="H200" s="145"/>
      <c r="I200" s="144"/>
      <c r="J200" s="144"/>
      <c r="K200" s="144"/>
      <c r="L200" s="144"/>
      <c r="M200" s="144"/>
      <c r="N200" s="146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4"/>
      <c r="Z200" s="144"/>
      <c r="AA200" s="144"/>
      <c r="AB200" s="144"/>
      <c r="AC200" s="144"/>
      <c r="AD200" s="144"/>
      <c r="AE200" s="138"/>
      <c r="AF200" s="136"/>
      <c r="AG200" s="136"/>
      <c r="AH200" s="136"/>
    </row>
    <row r="201" spans="1:34" s="132" customFormat="1" ht="12.75" customHeight="1" x14ac:dyDescent="0.25">
      <c r="A201" s="137"/>
      <c r="B201" s="139"/>
      <c r="C201" s="136"/>
      <c r="D201" s="131"/>
      <c r="E201" s="131"/>
      <c r="F201" s="58"/>
      <c r="G201" s="140"/>
      <c r="H201" s="140"/>
      <c r="I201" s="58"/>
      <c r="J201" s="58"/>
      <c r="K201" s="58"/>
      <c r="L201" s="58"/>
      <c r="M201" s="135"/>
      <c r="N201" s="135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35"/>
      <c r="Z201" s="58"/>
      <c r="AA201" s="58"/>
      <c r="AB201" s="58"/>
      <c r="AC201" s="58"/>
      <c r="AD201" s="58"/>
      <c r="AE201" s="138"/>
      <c r="AF201" s="136"/>
      <c r="AG201" s="136"/>
      <c r="AH201" s="136"/>
    </row>
    <row r="202" spans="1:34" s="132" customFormat="1" ht="12.75" customHeight="1" x14ac:dyDescent="0.25">
      <c r="A202" s="137"/>
      <c r="B202" s="139"/>
      <c r="C202" s="136"/>
      <c r="D202" s="131"/>
      <c r="E202" s="131"/>
      <c r="F202" s="58"/>
      <c r="G202" s="140"/>
      <c r="H202" s="140"/>
      <c r="I202" s="58"/>
      <c r="J202" s="58"/>
      <c r="K202" s="58"/>
      <c r="L202" s="58"/>
      <c r="M202" s="135"/>
      <c r="N202" s="135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35"/>
      <c r="Z202" s="58"/>
      <c r="AA202" s="58"/>
      <c r="AB202" s="58"/>
      <c r="AC202" s="58"/>
      <c r="AD202" s="58"/>
      <c r="AE202" s="138"/>
      <c r="AF202" s="136"/>
      <c r="AG202" s="136"/>
      <c r="AH202" s="136"/>
    </row>
    <row r="203" spans="1:34" s="132" customFormat="1" ht="12.75" customHeight="1" x14ac:dyDescent="0.25">
      <c r="A203" s="137"/>
      <c r="B203" s="139"/>
      <c r="C203" s="136"/>
      <c r="D203" s="131"/>
      <c r="E203" s="131"/>
      <c r="F203" s="58"/>
      <c r="G203" s="140"/>
      <c r="H203" s="140"/>
      <c r="I203" s="58"/>
      <c r="J203" s="58"/>
      <c r="K203" s="58"/>
      <c r="L203" s="58"/>
      <c r="M203" s="135"/>
      <c r="N203" s="135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35"/>
      <c r="Z203" s="58"/>
      <c r="AA203" s="58"/>
      <c r="AB203" s="58"/>
      <c r="AC203" s="58"/>
      <c r="AD203" s="58"/>
      <c r="AE203" s="138"/>
      <c r="AF203" s="136"/>
      <c r="AG203" s="136"/>
      <c r="AH203" s="136"/>
    </row>
    <row r="204" spans="1:34" s="132" customFormat="1" ht="12.75" customHeight="1" x14ac:dyDescent="0.25">
      <c r="A204" s="137"/>
      <c r="B204" s="139"/>
      <c r="C204" s="136"/>
      <c r="D204" s="131"/>
      <c r="E204" s="131"/>
      <c r="F204" s="58"/>
      <c r="G204" s="140"/>
      <c r="H204" s="140"/>
      <c r="I204" s="58"/>
      <c r="J204" s="58"/>
      <c r="K204" s="58"/>
      <c r="L204" s="58"/>
      <c r="M204" s="135"/>
      <c r="N204" s="135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35"/>
      <c r="Z204" s="58"/>
      <c r="AA204" s="58"/>
      <c r="AB204" s="58"/>
      <c r="AC204" s="58"/>
      <c r="AD204" s="58"/>
      <c r="AE204" s="138"/>
      <c r="AF204" s="136"/>
      <c r="AG204" s="136"/>
      <c r="AH204" s="136"/>
    </row>
    <row r="205" spans="1:34" s="132" customFormat="1" ht="12.75" customHeight="1" x14ac:dyDescent="0.25">
      <c r="A205" s="137"/>
      <c r="B205" s="139"/>
      <c r="C205" s="136"/>
      <c r="D205" s="131"/>
      <c r="E205" s="131"/>
      <c r="F205" s="58"/>
      <c r="G205" s="140"/>
      <c r="H205" s="140"/>
      <c r="I205" s="58"/>
      <c r="J205" s="58"/>
      <c r="K205" s="58"/>
      <c r="L205" s="58"/>
      <c r="M205" s="135"/>
      <c r="N205" s="135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35"/>
      <c r="Z205" s="58"/>
      <c r="AA205" s="58"/>
      <c r="AB205" s="58"/>
      <c r="AC205" s="58"/>
      <c r="AD205" s="58"/>
      <c r="AE205" s="138"/>
      <c r="AF205" s="136"/>
      <c r="AG205" s="136"/>
      <c r="AH205" s="136"/>
    </row>
    <row r="206" spans="1:34" s="132" customFormat="1" ht="12.75" customHeight="1" x14ac:dyDescent="0.25">
      <c r="A206" s="137"/>
      <c r="B206" s="139"/>
      <c r="C206" s="136"/>
      <c r="D206" s="131"/>
      <c r="E206" s="131"/>
      <c r="F206" s="58"/>
      <c r="G206" s="140"/>
      <c r="H206" s="140"/>
      <c r="I206" s="58"/>
      <c r="J206" s="58"/>
      <c r="K206" s="58"/>
      <c r="L206" s="58"/>
      <c r="M206" s="135"/>
      <c r="N206" s="135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35"/>
      <c r="Z206" s="58"/>
      <c r="AA206" s="58"/>
      <c r="AB206" s="58"/>
      <c r="AC206" s="58"/>
      <c r="AD206" s="58"/>
      <c r="AE206" s="138"/>
      <c r="AF206" s="136"/>
      <c r="AG206" s="136"/>
      <c r="AH206" s="136"/>
    </row>
    <row r="207" spans="1:34" s="132" customFormat="1" ht="12.75" customHeight="1" x14ac:dyDescent="0.25">
      <c r="A207" s="137"/>
      <c r="B207" s="139"/>
      <c r="C207" s="136"/>
      <c r="D207" s="131"/>
      <c r="E207" s="131"/>
      <c r="F207" s="58"/>
      <c r="G207" s="140"/>
      <c r="H207" s="140"/>
      <c r="I207" s="58"/>
      <c r="J207" s="58"/>
      <c r="K207" s="58"/>
      <c r="L207" s="58"/>
      <c r="M207" s="135"/>
      <c r="N207" s="135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35"/>
      <c r="Z207" s="58"/>
      <c r="AA207" s="58"/>
      <c r="AB207" s="58"/>
      <c r="AC207" s="58"/>
      <c r="AD207" s="58"/>
      <c r="AE207" s="138"/>
      <c r="AF207" s="136"/>
      <c r="AG207" s="136"/>
      <c r="AH207" s="136"/>
    </row>
    <row r="208" spans="1:34" s="132" customFormat="1" ht="12.75" customHeight="1" x14ac:dyDescent="0.25">
      <c r="A208" s="137"/>
      <c r="B208" s="139"/>
      <c r="C208" s="136"/>
      <c r="D208" s="131"/>
      <c r="E208" s="131"/>
      <c r="F208" s="58"/>
      <c r="G208" s="140"/>
      <c r="H208" s="140"/>
      <c r="I208" s="58"/>
      <c r="J208" s="58"/>
      <c r="K208" s="58"/>
      <c r="L208" s="58"/>
      <c r="M208" s="135"/>
      <c r="N208" s="135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35"/>
      <c r="Z208" s="58"/>
      <c r="AA208" s="58"/>
      <c r="AB208" s="58"/>
      <c r="AC208" s="58"/>
      <c r="AD208" s="58"/>
      <c r="AE208" s="138"/>
      <c r="AF208" s="136"/>
      <c r="AG208" s="136"/>
      <c r="AH208" s="136"/>
    </row>
    <row r="209" spans="1:34" s="132" customFormat="1" ht="12.75" customHeight="1" x14ac:dyDescent="0.25">
      <c r="A209" s="137"/>
      <c r="B209" s="139"/>
      <c r="C209" s="136"/>
      <c r="D209" s="131"/>
      <c r="E209" s="131"/>
      <c r="F209" s="58"/>
      <c r="G209" s="140"/>
      <c r="H209" s="140"/>
      <c r="I209" s="58"/>
      <c r="J209" s="58"/>
      <c r="K209" s="58"/>
      <c r="L209" s="58"/>
      <c r="M209" s="135"/>
      <c r="N209" s="135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35"/>
      <c r="Z209" s="58"/>
      <c r="AA209" s="58"/>
      <c r="AB209" s="58"/>
      <c r="AC209" s="58"/>
      <c r="AD209" s="58"/>
      <c r="AE209" s="138"/>
      <c r="AF209" s="136"/>
      <c r="AG209" s="136"/>
      <c r="AH209" s="136"/>
    </row>
    <row r="210" spans="1:34" s="132" customFormat="1" ht="12.75" customHeight="1" x14ac:dyDescent="0.25">
      <c r="A210" s="137"/>
      <c r="B210" s="139"/>
      <c r="C210" s="136"/>
      <c r="D210" s="131"/>
      <c r="E210" s="131"/>
      <c r="F210" s="58"/>
      <c r="G210" s="140"/>
      <c r="H210" s="140"/>
      <c r="I210" s="58"/>
      <c r="J210" s="58"/>
      <c r="K210" s="58"/>
      <c r="L210" s="58"/>
      <c r="M210" s="135"/>
      <c r="N210" s="135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35"/>
      <c r="Z210" s="58"/>
      <c r="AA210" s="58"/>
      <c r="AB210" s="58"/>
      <c r="AC210" s="58"/>
      <c r="AD210" s="58"/>
      <c r="AE210" s="138"/>
      <c r="AF210" s="136"/>
      <c r="AG210" s="136"/>
      <c r="AH210" s="136"/>
    </row>
    <row r="211" spans="1:34" s="132" customFormat="1" ht="12.75" customHeight="1" x14ac:dyDescent="0.25">
      <c r="A211" s="137"/>
      <c r="B211" s="139"/>
      <c r="C211" s="136"/>
      <c r="D211" s="131"/>
      <c r="E211" s="131"/>
      <c r="F211" s="58"/>
      <c r="G211" s="140"/>
      <c r="H211" s="140"/>
      <c r="I211" s="58"/>
      <c r="J211" s="58"/>
      <c r="K211" s="58"/>
      <c r="L211" s="58"/>
      <c r="M211" s="135"/>
      <c r="N211" s="135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35"/>
      <c r="Z211" s="58"/>
      <c r="AA211" s="58"/>
      <c r="AB211" s="58"/>
      <c r="AC211" s="58"/>
      <c r="AD211" s="58"/>
      <c r="AE211" s="138"/>
      <c r="AF211" s="136"/>
      <c r="AG211" s="136"/>
      <c r="AH211" s="136"/>
    </row>
    <row r="212" spans="1:34" s="132" customFormat="1" ht="12.75" customHeight="1" x14ac:dyDescent="0.25">
      <c r="A212" s="137"/>
      <c r="B212" s="139"/>
      <c r="C212" s="136"/>
      <c r="D212" s="131"/>
      <c r="E212" s="131"/>
      <c r="F212" s="58"/>
      <c r="G212" s="140"/>
      <c r="H212" s="140"/>
      <c r="I212" s="58"/>
      <c r="J212" s="58"/>
      <c r="K212" s="58"/>
      <c r="L212" s="58"/>
      <c r="M212" s="135"/>
      <c r="N212" s="135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35"/>
      <c r="Z212" s="58"/>
      <c r="AA212" s="58"/>
      <c r="AB212" s="58"/>
      <c r="AC212" s="58"/>
      <c r="AD212" s="58"/>
      <c r="AE212" s="138"/>
      <c r="AF212" s="136"/>
      <c r="AG212" s="136"/>
      <c r="AH212" s="136"/>
    </row>
    <row r="213" spans="1:34" s="132" customFormat="1" ht="12.75" customHeight="1" x14ac:dyDescent="0.25">
      <c r="A213" s="137"/>
      <c r="B213" s="139"/>
      <c r="C213" s="136"/>
      <c r="D213" s="131"/>
      <c r="E213" s="131"/>
      <c r="F213" s="58"/>
      <c r="G213" s="140"/>
      <c r="H213" s="140"/>
      <c r="I213" s="58"/>
      <c r="J213" s="58"/>
      <c r="K213" s="58"/>
      <c r="L213" s="58"/>
      <c r="M213" s="135"/>
      <c r="N213" s="135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35"/>
      <c r="Z213" s="58"/>
      <c r="AA213" s="58"/>
      <c r="AB213" s="58"/>
      <c r="AC213" s="58"/>
      <c r="AD213" s="58"/>
      <c r="AE213" s="138"/>
      <c r="AF213" s="136"/>
      <c r="AG213" s="136"/>
      <c r="AH213" s="136"/>
    </row>
    <row r="214" spans="1:34" s="132" customFormat="1" ht="12.75" customHeight="1" x14ac:dyDescent="0.25">
      <c r="A214" s="137"/>
      <c r="B214" s="139"/>
      <c r="C214" s="136"/>
      <c r="D214" s="131"/>
      <c r="E214" s="131"/>
      <c r="F214" s="58"/>
      <c r="G214" s="140"/>
      <c r="H214" s="140"/>
      <c r="I214" s="58"/>
      <c r="J214" s="58"/>
      <c r="K214" s="58"/>
      <c r="L214" s="58"/>
      <c r="M214" s="135"/>
      <c r="N214" s="135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35"/>
      <c r="Z214" s="58"/>
      <c r="AA214" s="58"/>
      <c r="AB214" s="58"/>
      <c r="AC214" s="58"/>
      <c r="AD214" s="58"/>
      <c r="AE214" s="138"/>
      <c r="AF214" s="136"/>
      <c r="AG214" s="136"/>
      <c r="AH214" s="136"/>
    </row>
    <row r="215" spans="1:34" s="132" customFormat="1" ht="12.75" customHeight="1" x14ac:dyDescent="0.25">
      <c r="A215" s="137"/>
      <c r="B215" s="139"/>
      <c r="C215" s="136"/>
      <c r="D215" s="131"/>
      <c r="E215" s="131"/>
      <c r="F215" s="58"/>
      <c r="G215" s="140"/>
      <c r="H215" s="140"/>
      <c r="I215" s="58"/>
      <c r="J215" s="58"/>
      <c r="K215" s="58"/>
      <c r="L215" s="58"/>
      <c r="M215" s="135"/>
      <c r="N215" s="135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35"/>
      <c r="Z215" s="58"/>
      <c r="AA215" s="58"/>
      <c r="AB215" s="58"/>
      <c r="AC215" s="58"/>
      <c r="AD215" s="58"/>
      <c r="AE215" s="138"/>
      <c r="AF215" s="136"/>
      <c r="AG215" s="136"/>
      <c r="AH215" s="136"/>
    </row>
    <row r="216" spans="1:34" s="132" customFormat="1" ht="12.75" customHeight="1" x14ac:dyDescent="0.25">
      <c r="A216" s="137"/>
      <c r="B216" s="139"/>
      <c r="C216" s="136"/>
      <c r="D216" s="131"/>
      <c r="E216" s="131"/>
      <c r="F216" s="58"/>
      <c r="G216" s="140"/>
      <c r="H216" s="140"/>
      <c r="I216" s="58"/>
      <c r="J216" s="58"/>
      <c r="K216" s="58"/>
      <c r="L216" s="58"/>
      <c r="M216" s="135"/>
      <c r="N216" s="135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35"/>
      <c r="Z216" s="58"/>
      <c r="AA216" s="58"/>
      <c r="AB216" s="58"/>
      <c r="AC216" s="58"/>
      <c r="AD216" s="58"/>
      <c r="AE216" s="138"/>
      <c r="AF216" s="136"/>
      <c r="AG216" s="136"/>
      <c r="AH216" s="136"/>
    </row>
    <row r="217" spans="1:34" s="132" customFormat="1" ht="12.75" customHeight="1" x14ac:dyDescent="0.25">
      <c r="A217" s="137"/>
      <c r="B217" s="139"/>
      <c r="C217" s="136"/>
      <c r="D217" s="131"/>
      <c r="E217" s="131"/>
      <c r="F217" s="58"/>
      <c r="G217" s="140"/>
      <c r="H217" s="140"/>
      <c r="I217" s="58"/>
      <c r="J217" s="58"/>
      <c r="K217" s="58"/>
      <c r="L217" s="58"/>
      <c r="M217" s="135"/>
      <c r="N217" s="135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35"/>
      <c r="Z217" s="58"/>
      <c r="AA217" s="58"/>
      <c r="AB217" s="58"/>
      <c r="AC217" s="58"/>
      <c r="AD217" s="58"/>
      <c r="AE217" s="138"/>
      <c r="AF217" s="136"/>
      <c r="AG217" s="136"/>
      <c r="AH217" s="136"/>
    </row>
    <row r="218" spans="1:34" s="132" customFormat="1" ht="12.75" customHeight="1" x14ac:dyDescent="0.25">
      <c r="A218" s="137"/>
      <c r="B218" s="139"/>
      <c r="C218" s="136"/>
      <c r="D218" s="131"/>
      <c r="E218" s="131"/>
      <c r="F218" s="58"/>
      <c r="G218" s="140"/>
      <c r="H218" s="140"/>
      <c r="I218" s="58"/>
      <c r="J218" s="58"/>
      <c r="K218" s="58"/>
      <c r="L218" s="58"/>
      <c r="M218" s="135"/>
      <c r="N218" s="135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35"/>
      <c r="Z218" s="58"/>
      <c r="AA218" s="58"/>
      <c r="AB218" s="58"/>
      <c r="AC218" s="58"/>
      <c r="AD218" s="58"/>
      <c r="AE218" s="138"/>
      <c r="AF218" s="136"/>
      <c r="AG218" s="136"/>
      <c r="AH218" s="136"/>
    </row>
    <row r="219" spans="1:34" s="132" customFormat="1" ht="12.75" customHeight="1" x14ac:dyDescent="0.25">
      <c r="A219" s="137"/>
      <c r="B219" s="139"/>
      <c r="C219" s="136"/>
      <c r="D219" s="131"/>
      <c r="E219" s="131"/>
      <c r="F219" s="58"/>
      <c r="G219" s="140"/>
      <c r="H219" s="140"/>
      <c r="I219" s="58"/>
      <c r="J219" s="58"/>
      <c r="K219" s="58"/>
      <c r="L219" s="58"/>
      <c r="M219" s="135"/>
      <c r="N219" s="135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35"/>
      <c r="Z219" s="58"/>
      <c r="AA219" s="58"/>
      <c r="AB219" s="58"/>
      <c r="AC219" s="58"/>
      <c r="AD219" s="58"/>
      <c r="AE219" s="138"/>
      <c r="AF219" s="136"/>
      <c r="AG219" s="136"/>
      <c r="AH219" s="136"/>
    </row>
    <row r="220" spans="1:34" s="132" customFormat="1" ht="12.75" customHeight="1" x14ac:dyDescent="0.25">
      <c r="A220" s="137"/>
      <c r="B220" s="139"/>
      <c r="C220" s="136"/>
      <c r="D220" s="131"/>
      <c r="E220" s="131"/>
      <c r="F220" s="58"/>
      <c r="G220" s="140"/>
      <c r="H220" s="140"/>
      <c r="I220" s="58"/>
      <c r="J220" s="58"/>
      <c r="K220" s="58"/>
      <c r="L220" s="58"/>
      <c r="M220" s="135"/>
      <c r="N220" s="135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35"/>
      <c r="Z220" s="58"/>
      <c r="AA220" s="58"/>
      <c r="AB220" s="58"/>
      <c r="AC220" s="58"/>
      <c r="AD220" s="58"/>
      <c r="AE220" s="138"/>
      <c r="AF220" s="136"/>
      <c r="AG220" s="136"/>
      <c r="AH220" s="136"/>
    </row>
    <row r="221" spans="1:34" s="132" customFormat="1" ht="12.75" customHeight="1" x14ac:dyDescent="0.25">
      <c r="A221" s="137"/>
      <c r="B221" s="139"/>
      <c r="C221" s="136"/>
      <c r="D221" s="131"/>
      <c r="E221" s="131"/>
      <c r="F221" s="58"/>
      <c r="G221" s="140"/>
      <c r="H221" s="140"/>
      <c r="I221" s="58"/>
      <c r="J221" s="58"/>
      <c r="K221" s="58"/>
      <c r="L221" s="58"/>
      <c r="M221" s="135"/>
      <c r="N221" s="135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35"/>
      <c r="Z221" s="58"/>
      <c r="AA221" s="58"/>
      <c r="AB221" s="58"/>
      <c r="AC221" s="58"/>
      <c r="AD221" s="58"/>
      <c r="AE221" s="138"/>
      <c r="AF221" s="136"/>
      <c r="AG221" s="136"/>
      <c r="AH221" s="136"/>
    </row>
    <row r="222" spans="1:34" s="132" customFormat="1" ht="12.75" customHeight="1" x14ac:dyDescent="0.25">
      <c r="A222" s="137"/>
      <c r="B222" s="139"/>
      <c r="C222" s="136"/>
      <c r="D222" s="131"/>
      <c r="E222" s="131"/>
      <c r="F222" s="58"/>
      <c r="G222" s="140"/>
      <c r="H222" s="140"/>
      <c r="I222" s="58"/>
      <c r="J222" s="58"/>
      <c r="K222" s="58"/>
      <c r="L222" s="58"/>
      <c r="M222" s="135"/>
      <c r="N222" s="135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35"/>
      <c r="Z222" s="58"/>
      <c r="AA222" s="58"/>
      <c r="AB222" s="58"/>
      <c r="AC222" s="58"/>
      <c r="AD222" s="58"/>
      <c r="AE222" s="138"/>
      <c r="AF222" s="136"/>
      <c r="AG222" s="136"/>
      <c r="AH222" s="136"/>
    </row>
    <row r="223" spans="1:34" s="132" customFormat="1" ht="12.75" customHeight="1" x14ac:dyDescent="0.25">
      <c r="A223" s="137"/>
      <c r="B223" s="139"/>
      <c r="C223" s="136"/>
      <c r="D223" s="131"/>
      <c r="E223" s="131"/>
      <c r="F223" s="58"/>
      <c r="G223" s="140"/>
      <c r="H223" s="140"/>
      <c r="I223" s="58"/>
      <c r="J223" s="58"/>
      <c r="K223" s="58"/>
      <c r="L223" s="58"/>
      <c r="M223" s="135"/>
      <c r="N223" s="135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35"/>
      <c r="Z223" s="58"/>
      <c r="AA223" s="58"/>
      <c r="AB223" s="58"/>
      <c r="AC223" s="58"/>
      <c r="AD223" s="58"/>
      <c r="AE223" s="138"/>
      <c r="AF223" s="136"/>
      <c r="AG223" s="136"/>
      <c r="AH223" s="136"/>
    </row>
    <row r="224" spans="1:34" s="132" customFormat="1" ht="12.75" customHeight="1" x14ac:dyDescent="0.25">
      <c r="A224" s="137"/>
      <c r="B224" s="139"/>
      <c r="C224" s="136"/>
      <c r="D224" s="131"/>
      <c r="E224" s="131"/>
      <c r="F224" s="58"/>
      <c r="G224" s="140"/>
      <c r="H224" s="140"/>
      <c r="I224" s="58"/>
      <c r="J224" s="58"/>
      <c r="K224" s="58"/>
      <c r="L224" s="58"/>
      <c r="M224" s="135"/>
      <c r="N224" s="135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35"/>
      <c r="Z224" s="58"/>
      <c r="AA224" s="58"/>
      <c r="AB224" s="58"/>
      <c r="AC224" s="58"/>
      <c r="AD224" s="58"/>
      <c r="AE224" s="138"/>
      <c r="AF224" s="136"/>
      <c r="AG224" s="136"/>
      <c r="AH224" s="136"/>
    </row>
    <row r="225" spans="1:34" s="132" customFormat="1" ht="12.75" customHeight="1" x14ac:dyDescent="0.25">
      <c r="A225" s="137"/>
      <c r="B225" s="139"/>
      <c r="C225" s="136"/>
      <c r="D225" s="131"/>
      <c r="E225" s="131"/>
      <c r="F225" s="58"/>
      <c r="G225" s="140"/>
      <c r="H225" s="140"/>
      <c r="I225" s="58"/>
      <c r="J225" s="58"/>
      <c r="K225" s="58"/>
      <c r="L225" s="58"/>
      <c r="M225" s="135"/>
      <c r="N225" s="135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35"/>
      <c r="Z225" s="58"/>
      <c r="AA225" s="58"/>
      <c r="AB225" s="58"/>
      <c r="AC225" s="58"/>
      <c r="AD225" s="58"/>
      <c r="AE225" s="138"/>
      <c r="AF225" s="136"/>
      <c r="AG225" s="136"/>
      <c r="AH225" s="136"/>
    </row>
    <row r="226" spans="1:34" s="132" customFormat="1" ht="12.75" customHeight="1" x14ac:dyDescent="0.25">
      <c r="A226" s="137"/>
      <c r="B226" s="139"/>
      <c r="C226" s="136"/>
      <c r="D226" s="131"/>
      <c r="E226" s="131"/>
      <c r="F226" s="58"/>
      <c r="G226" s="140"/>
      <c r="H226" s="140"/>
      <c r="I226" s="58"/>
      <c r="J226" s="58"/>
      <c r="K226" s="58"/>
      <c r="L226" s="58"/>
      <c r="M226" s="135"/>
      <c r="N226" s="135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35"/>
      <c r="Z226" s="58"/>
      <c r="AA226" s="58"/>
      <c r="AB226" s="58"/>
      <c r="AC226" s="58"/>
      <c r="AD226" s="58"/>
      <c r="AE226" s="138"/>
      <c r="AF226" s="136"/>
      <c r="AG226" s="136"/>
      <c r="AH226" s="136"/>
    </row>
    <row r="227" spans="1:34" s="132" customFormat="1" ht="12.75" customHeight="1" x14ac:dyDescent="0.25">
      <c r="A227" s="137"/>
      <c r="B227" s="139"/>
      <c r="C227" s="136"/>
      <c r="D227" s="131"/>
      <c r="E227" s="131"/>
      <c r="F227" s="58"/>
      <c r="G227" s="140"/>
      <c r="H227" s="140"/>
      <c r="I227" s="58"/>
      <c r="J227" s="58"/>
      <c r="K227" s="58"/>
      <c r="L227" s="58"/>
      <c r="M227" s="135"/>
      <c r="N227" s="135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35"/>
      <c r="Z227" s="58"/>
      <c r="AA227" s="58"/>
      <c r="AB227" s="58"/>
      <c r="AC227" s="58"/>
      <c r="AD227" s="58"/>
      <c r="AE227" s="138"/>
      <c r="AF227" s="136"/>
      <c r="AG227" s="136"/>
      <c r="AH227" s="136"/>
    </row>
    <row r="228" spans="1:34" s="132" customFormat="1" ht="12.75" customHeight="1" x14ac:dyDescent="0.25">
      <c r="A228" s="137"/>
      <c r="B228" s="139"/>
      <c r="C228" s="136"/>
      <c r="D228" s="131"/>
      <c r="E228" s="131"/>
      <c r="F228" s="58"/>
      <c r="G228" s="140"/>
      <c r="H228" s="140"/>
      <c r="I228" s="58"/>
      <c r="J228" s="58"/>
      <c r="K228" s="58"/>
      <c r="L228" s="58"/>
      <c r="M228" s="135"/>
      <c r="N228" s="135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35"/>
      <c r="Z228" s="58"/>
      <c r="AA228" s="58"/>
      <c r="AB228" s="58"/>
      <c r="AC228" s="58"/>
      <c r="AD228" s="58"/>
      <c r="AE228" s="138"/>
      <c r="AF228" s="136"/>
      <c r="AG228" s="136"/>
      <c r="AH228" s="136"/>
    </row>
    <row r="229" spans="1:34" s="132" customFormat="1" ht="12.75" customHeight="1" x14ac:dyDescent="0.25">
      <c r="A229" s="137"/>
      <c r="B229" s="139"/>
      <c r="C229" s="136"/>
      <c r="D229" s="131"/>
      <c r="E229" s="131"/>
      <c r="F229" s="58"/>
      <c r="G229" s="140"/>
      <c r="H229" s="140"/>
      <c r="I229" s="58"/>
      <c r="J229" s="58"/>
      <c r="K229" s="58"/>
      <c r="L229" s="58"/>
      <c r="M229" s="135"/>
      <c r="N229" s="135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35"/>
      <c r="Z229" s="58"/>
      <c r="AA229" s="58"/>
      <c r="AB229" s="58"/>
      <c r="AC229" s="58"/>
      <c r="AD229" s="58"/>
      <c r="AE229" s="138"/>
      <c r="AF229" s="136"/>
      <c r="AG229" s="136"/>
      <c r="AH229" s="136"/>
    </row>
    <row r="230" spans="1:34" s="132" customFormat="1" ht="12.75" customHeight="1" x14ac:dyDescent="0.25">
      <c r="A230" s="137"/>
      <c r="B230" s="139"/>
      <c r="C230" s="136"/>
      <c r="D230" s="131"/>
      <c r="E230" s="131"/>
      <c r="F230" s="58"/>
      <c r="G230" s="140"/>
      <c r="H230" s="140"/>
      <c r="I230" s="58"/>
      <c r="J230" s="58"/>
      <c r="K230" s="58"/>
      <c r="L230" s="58"/>
      <c r="M230" s="135"/>
      <c r="N230" s="135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35"/>
      <c r="Z230" s="58"/>
      <c r="AA230" s="58"/>
      <c r="AB230" s="58"/>
      <c r="AC230" s="58"/>
      <c r="AD230" s="58"/>
      <c r="AE230" s="138"/>
      <c r="AF230" s="136"/>
      <c r="AG230" s="136"/>
      <c r="AH230" s="136"/>
    </row>
    <row r="231" spans="1:34" s="132" customFormat="1" ht="12.75" customHeight="1" x14ac:dyDescent="0.25">
      <c r="A231" s="137"/>
      <c r="B231" s="139"/>
      <c r="C231" s="136"/>
      <c r="D231" s="131"/>
      <c r="E231" s="131"/>
      <c r="F231" s="58"/>
      <c r="G231" s="140"/>
      <c r="H231" s="140"/>
      <c r="I231" s="58"/>
      <c r="J231" s="58"/>
      <c r="K231" s="58"/>
      <c r="L231" s="58"/>
      <c r="M231" s="135"/>
      <c r="N231" s="135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35"/>
      <c r="Z231" s="58"/>
      <c r="AA231" s="58"/>
      <c r="AB231" s="58"/>
      <c r="AC231" s="58"/>
      <c r="AD231" s="58"/>
      <c r="AE231" s="138"/>
      <c r="AF231" s="136"/>
      <c r="AG231" s="136"/>
      <c r="AH231" s="136"/>
    </row>
    <row r="232" spans="1:34" s="132" customFormat="1" ht="12.75" customHeight="1" x14ac:dyDescent="0.25">
      <c r="A232" s="137"/>
      <c r="B232" s="139"/>
      <c r="C232" s="136"/>
      <c r="D232" s="131"/>
      <c r="E232" s="131"/>
      <c r="F232" s="58"/>
      <c r="G232" s="140"/>
      <c r="H232" s="140"/>
      <c r="I232" s="58"/>
      <c r="J232" s="58"/>
      <c r="K232" s="58"/>
      <c r="L232" s="58"/>
      <c r="M232" s="135"/>
      <c r="N232" s="135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35"/>
      <c r="Z232" s="58"/>
      <c r="AA232" s="58"/>
      <c r="AB232" s="58"/>
      <c r="AC232" s="58"/>
      <c r="AD232" s="58"/>
      <c r="AE232" s="138"/>
      <c r="AF232" s="136"/>
      <c r="AG232" s="136"/>
      <c r="AH232" s="136"/>
    </row>
    <row r="233" spans="1:34" s="132" customFormat="1" ht="12.75" customHeight="1" x14ac:dyDescent="0.25">
      <c r="A233" s="137"/>
      <c r="B233" s="139"/>
      <c r="C233" s="136"/>
      <c r="D233" s="131"/>
      <c r="E233" s="131"/>
      <c r="F233" s="58"/>
      <c r="G233" s="140"/>
      <c r="H233" s="140"/>
      <c r="I233" s="58"/>
      <c r="J233" s="58"/>
      <c r="K233" s="58"/>
      <c r="L233" s="58"/>
      <c r="M233" s="135"/>
      <c r="N233" s="135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35"/>
      <c r="Z233" s="58"/>
      <c r="AA233" s="58"/>
      <c r="AB233" s="58"/>
      <c r="AC233" s="58"/>
      <c r="AD233" s="58"/>
      <c r="AE233" s="138"/>
      <c r="AF233" s="136"/>
      <c r="AG233" s="136"/>
      <c r="AH233" s="136"/>
    </row>
    <row r="234" spans="1:34" s="132" customFormat="1" ht="12.75" customHeight="1" x14ac:dyDescent="0.25">
      <c r="A234" s="137"/>
      <c r="B234" s="139"/>
      <c r="C234" s="136"/>
      <c r="D234" s="131"/>
      <c r="E234" s="131"/>
      <c r="F234" s="58"/>
      <c r="G234" s="140"/>
      <c r="H234" s="140"/>
      <c r="I234" s="58"/>
      <c r="J234" s="58"/>
      <c r="K234" s="58"/>
      <c r="L234" s="58"/>
      <c r="M234" s="135"/>
      <c r="N234" s="135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35"/>
      <c r="Z234" s="58"/>
      <c r="AA234" s="58"/>
      <c r="AB234" s="58"/>
      <c r="AC234" s="58"/>
      <c r="AD234" s="58"/>
      <c r="AE234" s="138"/>
      <c r="AF234" s="136"/>
      <c r="AG234" s="136"/>
      <c r="AH234" s="136"/>
    </row>
    <row r="235" spans="1:34" s="132" customFormat="1" ht="12.75" customHeight="1" x14ac:dyDescent="0.25">
      <c r="A235" s="137"/>
      <c r="B235" s="139"/>
      <c r="C235" s="136"/>
      <c r="D235" s="131"/>
      <c r="E235" s="131"/>
      <c r="F235" s="58"/>
      <c r="G235" s="140"/>
      <c r="H235" s="140"/>
      <c r="I235" s="58"/>
      <c r="J235" s="58"/>
      <c r="K235" s="58"/>
      <c r="L235" s="58"/>
      <c r="M235" s="135"/>
      <c r="N235" s="135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35"/>
      <c r="Z235" s="58"/>
      <c r="AA235" s="58"/>
      <c r="AB235" s="58"/>
      <c r="AC235" s="58"/>
      <c r="AD235" s="58"/>
      <c r="AE235" s="138"/>
      <c r="AF235" s="136"/>
      <c r="AG235" s="136"/>
      <c r="AH235" s="136"/>
    </row>
    <row r="236" spans="1:34" s="132" customFormat="1" ht="12.75" customHeight="1" x14ac:dyDescent="0.25">
      <c r="A236" s="137"/>
      <c r="B236" s="139"/>
      <c r="C236" s="136"/>
      <c r="D236" s="131"/>
      <c r="E236" s="131"/>
      <c r="F236" s="58"/>
      <c r="G236" s="140"/>
      <c r="H236" s="140"/>
      <c r="I236" s="58"/>
      <c r="J236" s="58"/>
      <c r="K236" s="58"/>
      <c r="L236" s="58"/>
      <c r="M236" s="135"/>
      <c r="N236" s="135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35"/>
      <c r="Z236" s="58"/>
      <c r="AA236" s="58"/>
      <c r="AB236" s="58"/>
      <c r="AC236" s="58"/>
      <c r="AD236" s="58"/>
      <c r="AE236" s="138"/>
      <c r="AF236" s="136"/>
      <c r="AG236" s="136"/>
      <c r="AH236" s="136"/>
    </row>
    <row r="237" spans="1:34" s="132" customFormat="1" ht="12.75" customHeight="1" x14ac:dyDescent="0.25">
      <c r="A237" s="137"/>
      <c r="B237" s="139"/>
      <c r="C237" s="136"/>
      <c r="D237" s="131"/>
      <c r="E237" s="131"/>
      <c r="F237" s="58"/>
      <c r="G237" s="140"/>
      <c r="H237" s="140"/>
      <c r="I237" s="58"/>
      <c r="J237" s="58"/>
      <c r="K237" s="58"/>
      <c r="L237" s="58"/>
      <c r="M237" s="135"/>
      <c r="N237" s="135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35"/>
      <c r="Z237" s="58"/>
      <c r="AA237" s="58"/>
      <c r="AB237" s="58"/>
      <c r="AC237" s="58"/>
      <c r="AD237" s="58"/>
      <c r="AE237" s="138"/>
      <c r="AF237" s="136"/>
      <c r="AG237" s="136"/>
      <c r="AH237" s="136"/>
    </row>
    <row r="238" spans="1:34" s="132" customFormat="1" ht="12.75" customHeight="1" x14ac:dyDescent="0.25">
      <c r="A238" s="137"/>
      <c r="B238" s="139"/>
      <c r="C238" s="136"/>
      <c r="D238" s="131"/>
      <c r="E238" s="131"/>
      <c r="F238" s="58"/>
      <c r="G238" s="140"/>
      <c r="H238" s="140"/>
      <c r="I238" s="58"/>
      <c r="J238" s="58"/>
      <c r="K238" s="58"/>
      <c r="L238" s="58"/>
      <c r="M238" s="135"/>
      <c r="N238" s="135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35"/>
      <c r="Z238" s="58"/>
      <c r="AA238" s="58"/>
      <c r="AB238" s="58"/>
      <c r="AC238" s="58"/>
      <c r="AD238" s="58"/>
      <c r="AE238" s="138"/>
      <c r="AF238" s="136"/>
      <c r="AG238" s="136"/>
      <c r="AH238" s="136"/>
    </row>
    <row r="239" spans="1:34" s="132" customFormat="1" ht="12.75" customHeight="1" x14ac:dyDescent="0.25">
      <c r="A239" s="137"/>
      <c r="B239" s="139"/>
      <c r="C239" s="136"/>
      <c r="D239" s="131"/>
      <c r="E239" s="131"/>
      <c r="F239" s="58"/>
      <c r="G239" s="140"/>
      <c r="H239" s="140"/>
      <c r="I239" s="58"/>
      <c r="J239" s="58"/>
      <c r="K239" s="58"/>
      <c r="L239" s="58"/>
      <c r="M239" s="135"/>
      <c r="N239" s="135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35"/>
      <c r="Z239" s="58"/>
      <c r="AA239" s="58"/>
      <c r="AB239" s="58"/>
      <c r="AC239" s="58"/>
      <c r="AD239" s="58"/>
      <c r="AE239" s="138"/>
      <c r="AF239" s="136"/>
      <c r="AG239" s="136"/>
      <c r="AH239" s="136"/>
    </row>
    <row r="240" spans="1:34" s="132" customFormat="1" ht="12.75" customHeight="1" x14ac:dyDescent="0.25">
      <c r="A240" s="137"/>
      <c r="B240" s="139"/>
      <c r="C240" s="136"/>
      <c r="D240" s="131"/>
      <c r="E240" s="131"/>
      <c r="F240" s="58"/>
      <c r="G240" s="140"/>
      <c r="H240" s="140"/>
      <c r="I240" s="58"/>
      <c r="J240" s="58"/>
      <c r="K240" s="58"/>
      <c r="L240" s="58"/>
      <c r="M240" s="135"/>
      <c r="N240" s="135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35"/>
      <c r="Z240" s="58"/>
      <c r="AA240" s="58"/>
      <c r="AB240" s="58"/>
      <c r="AC240" s="58"/>
      <c r="AD240" s="58"/>
      <c r="AE240" s="138"/>
      <c r="AF240" s="136"/>
      <c r="AG240" s="136"/>
      <c r="AH240" s="136"/>
    </row>
    <row r="241" spans="1:34" s="132" customFormat="1" ht="12.75" customHeight="1" x14ac:dyDescent="0.25">
      <c r="A241" s="137"/>
      <c r="B241" s="139"/>
      <c r="C241" s="136"/>
      <c r="D241" s="131"/>
      <c r="E241" s="131"/>
      <c r="F241" s="58"/>
      <c r="G241" s="140"/>
      <c r="H241" s="140"/>
      <c r="I241" s="58"/>
      <c r="J241" s="58"/>
      <c r="K241" s="58"/>
      <c r="L241" s="58"/>
      <c r="M241" s="135"/>
      <c r="N241" s="135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35"/>
      <c r="Z241" s="58"/>
      <c r="AA241" s="58"/>
      <c r="AB241" s="58"/>
      <c r="AC241" s="58"/>
      <c r="AD241" s="58"/>
      <c r="AE241" s="138"/>
      <c r="AF241" s="136"/>
      <c r="AG241" s="136"/>
      <c r="AH241" s="136"/>
    </row>
    <row r="242" spans="1:34" s="132" customFormat="1" ht="12.75" customHeight="1" x14ac:dyDescent="0.25">
      <c r="A242" s="137"/>
      <c r="B242" s="139"/>
      <c r="C242" s="136"/>
      <c r="D242" s="131"/>
      <c r="E242" s="131"/>
      <c r="F242" s="58"/>
      <c r="G242" s="140"/>
      <c r="H242" s="140"/>
      <c r="I242" s="58"/>
      <c r="J242" s="58"/>
      <c r="K242" s="58"/>
      <c r="L242" s="58"/>
      <c r="M242" s="135"/>
      <c r="N242" s="135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35"/>
      <c r="Z242" s="58"/>
      <c r="AA242" s="58"/>
      <c r="AB242" s="58"/>
      <c r="AC242" s="58"/>
      <c r="AD242" s="58"/>
      <c r="AE242" s="138"/>
      <c r="AF242" s="136"/>
      <c r="AG242" s="136"/>
      <c r="AH242" s="136"/>
    </row>
    <row r="243" spans="1:34" s="132" customFormat="1" ht="12.75" customHeight="1" x14ac:dyDescent="0.25">
      <c r="A243" s="137"/>
      <c r="B243" s="139"/>
      <c r="C243" s="136"/>
      <c r="D243" s="131"/>
      <c r="E243" s="131"/>
      <c r="F243" s="58"/>
      <c r="G243" s="140"/>
      <c r="H243" s="140"/>
      <c r="I243" s="58"/>
      <c r="J243" s="58"/>
      <c r="K243" s="58"/>
      <c r="L243" s="58"/>
      <c r="M243" s="135"/>
      <c r="N243" s="135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35"/>
      <c r="Z243" s="58"/>
      <c r="AA243" s="58"/>
      <c r="AB243" s="58"/>
      <c r="AC243" s="58"/>
      <c r="AD243" s="58"/>
      <c r="AE243" s="138"/>
      <c r="AF243" s="136"/>
      <c r="AG243" s="136"/>
      <c r="AH243" s="136"/>
    </row>
    <row r="244" spans="1:34" s="132" customFormat="1" ht="12.75" customHeight="1" x14ac:dyDescent="0.25">
      <c r="A244" s="137"/>
      <c r="B244" s="139"/>
      <c r="C244" s="136"/>
      <c r="D244" s="131"/>
      <c r="E244" s="131"/>
      <c r="F244" s="58"/>
      <c r="G244" s="140"/>
      <c r="H244" s="140"/>
      <c r="I244" s="58"/>
      <c r="J244" s="58"/>
      <c r="K244" s="58"/>
      <c r="L244" s="58"/>
      <c r="M244" s="135"/>
      <c r="N244" s="135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35"/>
      <c r="Z244" s="58"/>
      <c r="AA244" s="58"/>
      <c r="AB244" s="58"/>
      <c r="AC244" s="58"/>
      <c r="AD244" s="58"/>
      <c r="AE244" s="138"/>
      <c r="AF244" s="136"/>
      <c r="AG244" s="136"/>
      <c r="AH244" s="136"/>
    </row>
    <row r="245" spans="1:34" s="132" customFormat="1" ht="12.75" customHeight="1" x14ac:dyDescent="0.25">
      <c r="A245" s="137"/>
      <c r="B245" s="139"/>
      <c r="C245" s="136"/>
      <c r="D245" s="131"/>
      <c r="E245" s="131"/>
      <c r="F245" s="58"/>
      <c r="G245" s="140"/>
      <c r="H245" s="140"/>
      <c r="I245" s="58"/>
      <c r="J245" s="58"/>
      <c r="K245" s="58"/>
      <c r="L245" s="58"/>
      <c r="M245" s="135"/>
      <c r="N245" s="135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35"/>
      <c r="Z245" s="58"/>
      <c r="AA245" s="58"/>
      <c r="AB245" s="58"/>
      <c r="AC245" s="58"/>
      <c r="AD245" s="58"/>
      <c r="AE245" s="138"/>
      <c r="AF245" s="136"/>
      <c r="AG245" s="136"/>
      <c r="AH245" s="136"/>
    </row>
    <row r="246" spans="1:34" s="132" customFormat="1" ht="12.75" customHeight="1" x14ac:dyDescent="0.25">
      <c r="A246" s="137"/>
      <c r="B246" s="139"/>
      <c r="C246" s="136"/>
      <c r="D246" s="131"/>
      <c r="E246" s="131"/>
      <c r="F246" s="58"/>
      <c r="G246" s="140"/>
      <c r="H246" s="140"/>
      <c r="I246" s="58"/>
      <c r="J246" s="58"/>
      <c r="K246" s="58"/>
      <c r="L246" s="58"/>
      <c r="M246" s="135"/>
      <c r="N246" s="135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35"/>
      <c r="Z246" s="58"/>
      <c r="AA246" s="58"/>
      <c r="AB246" s="58"/>
      <c r="AC246" s="58"/>
      <c r="AD246" s="58"/>
      <c r="AE246" s="138"/>
      <c r="AF246" s="136"/>
      <c r="AG246" s="136"/>
      <c r="AH246" s="136"/>
    </row>
    <row r="247" spans="1:34" s="132" customFormat="1" ht="12.75" customHeight="1" x14ac:dyDescent="0.25">
      <c r="A247" s="137"/>
      <c r="B247" s="139"/>
      <c r="C247" s="136"/>
      <c r="D247" s="131"/>
      <c r="E247" s="131"/>
      <c r="F247" s="58"/>
      <c r="G247" s="140"/>
      <c r="H247" s="140"/>
      <c r="I247" s="58"/>
      <c r="J247" s="58"/>
      <c r="K247" s="58"/>
      <c r="L247" s="58"/>
      <c r="M247" s="135"/>
      <c r="N247" s="135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35"/>
      <c r="Z247" s="58"/>
      <c r="AA247" s="58"/>
      <c r="AB247" s="58"/>
      <c r="AC247" s="58"/>
      <c r="AD247" s="58"/>
      <c r="AE247" s="138"/>
      <c r="AF247" s="136"/>
      <c r="AG247" s="136"/>
      <c r="AH247" s="136"/>
    </row>
    <row r="248" spans="1:34" s="132" customFormat="1" ht="12.75" customHeight="1" x14ac:dyDescent="0.25">
      <c r="A248" s="137"/>
      <c r="B248" s="139"/>
      <c r="C248" s="136"/>
      <c r="D248" s="131"/>
      <c r="E248" s="131"/>
      <c r="F248" s="58"/>
      <c r="G248" s="140"/>
      <c r="H248" s="140"/>
      <c r="I248" s="58"/>
      <c r="J248" s="58"/>
      <c r="K248" s="58"/>
      <c r="L248" s="58"/>
      <c r="M248" s="135"/>
      <c r="N248" s="135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35"/>
      <c r="Z248" s="58"/>
      <c r="AA248" s="58"/>
      <c r="AB248" s="58"/>
      <c r="AC248" s="58"/>
      <c r="AD248" s="58"/>
      <c r="AE248" s="138"/>
      <c r="AF248" s="136"/>
      <c r="AG248" s="136"/>
      <c r="AH248" s="136"/>
    </row>
    <row r="249" spans="1:34" s="132" customFormat="1" ht="12.75" customHeight="1" x14ac:dyDescent="0.25">
      <c r="A249" s="137"/>
      <c r="B249" s="139"/>
      <c r="C249" s="136"/>
      <c r="D249" s="131"/>
      <c r="E249" s="131"/>
      <c r="F249" s="58"/>
      <c r="G249" s="140"/>
      <c r="H249" s="140"/>
      <c r="I249" s="58"/>
      <c r="J249" s="58"/>
      <c r="K249" s="58"/>
      <c r="L249" s="58"/>
      <c r="M249" s="135"/>
      <c r="N249" s="135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35"/>
      <c r="Z249" s="58"/>
      <c r="AA249" s="58"/>
      <c r="AB249" s="58"/>
      <c r="AC249" s="58"/>
      <c r="AD249" s="58"/>
      <c r="AE249" s="138"/>
      <c r="AF249" s="136"/>
      <c r="AG249" s="136"/>
      <c r="AH249" s="136"/>
    </row>
    <row r="250" spans="1:34" s="132" customFormat="1" ht="12.75" customHeight="1" x14ac:dyDescent="0.25">
      <c r="A250" s="137"/>
      <c r="B250" s="139"/>
      <c r="C250" s="136"/>
      <c r="D250" s="131"/>
      <c r="E250" s="131"/>
      <c r="F250" s="58"/>
      <c r="G250" s="140"/>
      <c r="H250" s="140"/>
      <c r="I250" s="58"/>
      <c r="J250" s="58"/>
      <c r="K250" s="58"/>
      <c r="L250" s="58"/>
      <c r="M250" s="135"/>
      <c r="N250" s="135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35"/>
      <c r="Z250" s="58"/>
      <c r="AA250" s="58"/>
      <c r="AB250" s="58"/>
      <c r="AC250" s="58"/>
      <c r="AD250" s="58"/>
      <c r="AE250" s="138"/>
      <c r="AF250" s="136"/>
      <c r="AG250" s="136"/>
      <c r="AH250" s="136"/>
    </row>
    <row r="251" spans="1:34" s="132" customFormat="1" ht="12.75" customHeight="1" x14ac:dyDescent="0.25">
      <c r="A251" s="137"/>
      <c r="B251" s="139"/>
      <c r="C251" s="136"/>
      <c r="D251" s="131"/>
      <c r="E251" s="131"/>
      <c r="F251" s="58"/>
      <c r="G251" s="140"/>
      <c r="H251" s="140"/>
      <c r="I251" s="58"/>
      <c r="J251" s="58"/>
      <c r="K251" s="58"/>
      <c r="L251" s="58"/>
      <c r="M251" s="135"/>
      <c r="N251" s="135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35"/>
      <c r="Z251" s="58"/>
      <c r="AA251" s="58"/>
      <c r="AB251" s="58"/>
      <c r="AC251" s="58"/>
      <c r="AD251" s="58"/>
      <c r="AE251" s="138"/>
      <c r="AF251" s="136"/>
      <c r="AG251" s="136"/>
      <c r="AH251" s="136"/>
    </row>
    <row r="252" spans="1:34" s="132" customFormat="1" ht="12.75" customHeight="1" x14ac:dyDescent="0.25">
      <c r="A252" s="137"/>
      <c r="B252" s="139"/>
      <c r="C252" s="136"/>
      <c r="D252" s="131"/>
      <c r="E252" s="131"/>
      <c r="F252" s="58"/>
      <c r="G252" s="140"/>
      <c r="H252" s="140"/>
      <c r="I252" s="58"/>
      <c r="J252" s="58"/>
      <c r="K252" s="58"/>
      <c r="L252" s="58"/>
      <c r="M252" s="135"/>
      <c r="N252" s="135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35"/>
      <c r="Z252" s="58"/>
      <c r="AA252" s="58"/>
      <c r="AB252" s="58"/>
      <c r="AC252" s="58"/>
      <c r="AD252" s="58"/>
      <c r="AE252" s="138"/>
      <c r="AF252" s="136"/>
      <c r="AG252" s="136"/>
      <c r="AH252" s="136"/>
    </row>
    <row r="253" spans="1:34" s="132" customFormat="1" ht="12.75" customHeight="1" x14ac:dyDescent="0.25">
      <c r="A253" s="137"/>
      <c r="B253" s="139"/>
      <c r="C253" s="136"/>
      <c r="D253" s="131"/>
      <c r="E253" s="131"/>
      <c r="F253" s="58"/>
      <c r="G253" s="140"/>
      <c r="H253" s="140"/>
      <c r="I253" s="58"/>
      <c r="J253" s="58"/>
      <c r="K253" s="58"/>
      <c r="L253" s="58"/>
      <c r="M253" s="135"/>
      <c r="N253" s="135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35"/>
      <c r="Z253" s="58"/>
      <c r="AA253" s="58"/>
      <c r="AB253" s="58"/>
      <c r="AC253" s="58"/>
      <c r="AD253" s="58"/>
      <c r="AE253" s="138"/>
      <c r="AF253" s="136"/>
      <c r="AG253" s="136"/>
      <c r="AH253" s="136"/>
    </row>
    <row r="254" spans="1:34" s="132" customFormat="1" ht="12.75" customHeight="1" x14ac:dyDescent="0.25">
      <c r="A254" s="137"/>
      <c r="B254" s="139"/>
      <c r="C254" s="136"/>
      <c r="D254" s="131"/>
      <c r="E254" s="131"/>
      <c r="F254" s="58"/>
      <c r="G254" s="140"/>
      <c r="H254" s="140"/>
      <c r="I254" s="58"/>
      <c r="J254" s="58"/>
      <c r="K254" s="58"/>
      <c r="L254" s="58"/>
      <c r="M254" s="135"/>
      <c r="N254" s="135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35"/>
      <c r="Z254" s="58"/>
      <c r="AA254" s="58"/>
      <c r="AB254" s="58"/>
      <c r="AC254" s="58"/>
      <c r="AD254" s="58"/>
      <c r="AE254" s="138"/>
      <c r="AF254" s="136"/>
      <c r="AG254" s="136"/>
      <c r="AH254" s="136"/>
    </row>
    <row r="255" spans="1:34" s="132" customFormat="1" ht="12.75" customHeight="1" x14ac:dyDescent="0.25">
      <c r="A255" s="137"/>
      <c r="B255" s="139"/>
      <c r="C255" s="136"/>
      <c r="D255" s="131"/>
      <c r="E255" s="131"/>
      <c r="F255" s="58"/>
      <c r="G255" s="140"/>
      <c r="H255" s="140"/>
      <c r="I255" s="58"/>
      <c r="J255" s="58"/>
      <c r="K255" s="58"/>
      <c r="L255" s="58"/>
      <c r="M255" s="135"/>
      <c r="N255" s="135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35"/>
      <c r="Z255" s="58"/>
      <c r="AA255" s="58"/>
      <c r="AB255" s="58"/>
      <c r="AC255" s="58"/>
      <c r="AD255" s="58"/>
      <c r="AE255" s="138"/>
      <c r="AF255" s="136"/>
      <c r="AG255" s="136"/>
      <c r="AH255" s="136"/>
    </row>
    <row r="256" spans="1:34" s="132" customFormat="1" ht="12.75" customHeight="1" x14ac:dyDescent="0.25">
      <c r="A256" s="137"/>
      <c r="B256" s="139"/>
      <c r="C256" s="136"/>
      <c r="D256" s="131"/>
      <c r="E256" s="131"/>
      <c r="F256" s="58"/>
      <c r="G256" s="140"/>
      <c r="H256" s="140"/>
      <c r="I256" s="58"/>
      <c r="J256" s="58"/>
      <c r="K256" s="58"/>
      <c r="L256" s="58"/>
      <c r="M256" s="135"/>
      <c r="N256" s="135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35"/>
      <c r="Z256" s="58"/>
      <c r="AA256" s="58"/>
      <c r="AB256" s="58"/>
      <c r="AC256" s="58"/>
      <c r="AD256" s="58"/>
      <c r="AE256" s="138"/>
      <c r="AF256" s="136"/>
      <c r="AG256" s="136"/>
      <c r="AH256" s="136"/>
    </row>
    <row r="257" spans="1:34" s="132" customFormat="1" ht="12.75" customHeight="1" x14ac:dyDescent="0.25">
      <c r="A257" s="137"/>
      <c r="B257" s="139"/>
      <c r="C257" s="136"/>
      <c r="D257" s="131"/>
      <c r="E257" s="131"/>
      <c r="F257" s="58"/>
      <c r="G257" s="140"/>
      <c r="H257" s="140"/>
      <c r="I257" s="58"/>
      <c r="J257" s="58"/>
      <c r="K257" s="58"/>
      <c r="L257" s="58"/>
      <c r="M257" s="135"/>
      <c r="N257" s="135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35"/>
      <c r="Z257" s="58"/>
      <c r="AA257" s="58"/>
      <c r="AB257" s="58"/>
      <c r="AC257" s="58"/>
      <c r="AD257" s="58"/>
      <c r="AE257" s="138"/>
      <c r="AF257" s="136"/>
      <c r="AG257" s="136"/>
      <c r="AH257" s="136"/>
    </row>
    <row r="258" spans="1:34" s="132" customFormat="1" ht="12.75" customHeight="1" x14ac:dyDescent="0.25">
      <c r="A258" s="137"/>
      <c r="B258" s="139"/>
      <c r="C258" s="136"/>
      <c r="D258" s="131"/>
      <c r="E258" s="131"/>
      <c r="F258" s="58"/>
      <c r="G258" s="140"/>
      <c r="H258" s="140"/>
      <c r="I258" s="58"/>
      <c r="J258" s="58"/>
      <c r="K258" s="58"/>
      <c r="L258" s="58"/>
      <c r="M258" s="135"/>
      <c r="N258" s="135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35"/>
      <c r="Z258" s="58"/>
      <c r="AA258" s="58"/>
      <c r="AB258" s="58"/>
      <c r="AC258" s="58"/>
      <c r="AD258" s="58"/>
      <c r="AE258" s="138"/>
      <c r="AF258" s="136"/>
      <c r="AG258" s="136"/>
      <c r="AH258" s="136"/>
    </row>
    <row r="259" spans="1:34" s="132" customFormat="1" ht="12.75" customHeight="1" x14ac:dyDescent="0.25">
      <c r="A259" s="137"/>
      <c r="B259" s="139"/>
      <c r="C259" s="136"/>
      <c r="D259" s="131"/>
      <c r="E259" s="131"/>
      <c r="F259" s="58"/>
      <c r="G259" s="140"/>
      <c r="H259" s="140"/>
      <c r="I259" s="58"/>
      <c r="J259" s="58"/>
      <c r="K259" s="58"/>
      <c r="L259" s="58"/>
      <c r="M259" s="135"/>
      <c r="N259" s="135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35"/>
      <c r="Z259" s="58"/>
      <c r="AA259" s="58"/>
      <c r="AB259" s="58"/>
      <c r="AC259" s="58"/>
      <c r="AD259" s="58"/>
      <c r="AE259" s="138"/>
      <c r="AF259" s="136"/>
      <c r="AG259" s="136"/>
      <c r="AH259" s="136"/>
    </row>
    <row r="260" spans="1:34" s="132" customFormat="1" ht="12.75" customHeight="1" x14ac:dyDescent="0.25">
      <c r="A260" s="137"/>
      <c r="B260" s="139"/>
      <c r="C260" s="136"/>
      <c r="D260" s="131"/>
      <c r="E260" s="131"/>
      <c r="F260" s="58"/>
      <c r="G260" s="140"/>
      <c r="H260" s="140"/>
      <c r="I260" s="58"/>
      <c r="J260" s="58"/>
      <c r="K260" s="58"/>
      <c r="L260" s="58"/>
      <c r="M260" s="135"/>
      <c r="N260" s="135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35"/>
      <c r="Z260" s="58"/>
      <c r="AA260" s="58"/>
      <c r="AB260" s="58"/>
      <c r="AC260" s="58"/>
      <c r="AD260" s="58"/>
      <c r="AE260" s="138"/>
      <c r="AF260" s="136"/>
      <c r="AG260" s="136"/>
      <c r="AH260" s="136"/>
    </row>
    <row r="261" spans="1:34" s="132" customFormat="1" ht="12.75" customHeight="1" x14ac:dyDescent="0.25">
      <c r="A261" s="137"/>
      <c r="B261" s="139"/>
      <c r="C261" s="136"/>
      <c r="D261" s="131"/>
      <c r="E261" s="131"/>
      <c r="F261" s="58"/>
      <c r="G261" s="140"/>
      <c r="H261" s="140"/>
      <c r="I261" s="58"/>
      <c r="J261" s="58"/>
      <c r="K261" s="58"/>
      <c r="L261" s="58"/>
      <c r="M261" s="135"/>
      <c r="N261" s="135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35"/>
      <c r="Z261" s="58"/>
      <c r="AA261" s="58"/>
      <c r="AB261" s="58"/>
      <c r="AC261" s="58"/>
      <c r="AD261" s="58"/>
      <c r="AE261" s="138"/>
      <c r="AF261" s="136"/>
      <c r="AG261" s="136"/>
      <c r="AH261" s="136"/>
    </row>
    <row r="262" spans="1:34" s="132" customFormat="1" ht="12.75" customHeight="1" x14ac:dyDescent="0.25">
      <c r="A262" s="137"/>
      <c r="B262" s="139"/>
      <c r="C262" s="136"/>
      <c r="D262" s="131"/>
      <c r="E262" s="131"/>
      <c r="F262" s="58"/>
      <c r="G262" s="140"/>
      <c r="H262" s="140"/>
      <c r="I262" s="58"/>
      <c r="J262" s="58"/>
      <c r="K262" s="58"/>
      <c r="L262" s="58"/>
      <c r="M262" s="135"/>
      <c r="N262" s="135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35"/>
      <c r="Z262" s="58"/>
      <c r="AA262" s="58"/>
      <c r="AB262" s="58"/>
      <c r="AC262" s="58"/>
      <c r="AD262" s="58"/>
      <c r="AE262" s="138"/>
      <c r="AF262" s="136"/>
      <c r="AG262" s="136"/>
      <c r="AH262" s="136"/>
    </row>
    <row r="263" spans="1:34" s="132" customFormat="1" ht="12.75" customHeight="1" x14ac:dyDescent="0.25">
      <c r="A263" s="137"/>
      <c r="B263" s="139"/>
      <c r="C263" s="136"/>
      <c r="D263" s="131"/>
      <c r="E263" s="131"/>
      <c r="F263" s="58"/>
      <c r="G263" s="140"/>
      <c r="H263" s="140"/>
      <c r="I263" s="58"/>
      <c r="J263" s="58"/>
      <c r="K263" s="58"/>
      <c r="L263" s="58"/>
      <c r="M263" s="135"/>
      <c r="N263" s="135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35"/>
      <c r="Z263" s="58"/>
      <c r="AA263" s="58"/>
      <c r="AB263" s="58"/>
      <c r="AC263" s="58"/>
      <c r="AD263" s="58"/>
      <c r="AE263" s="138"/>
      <c r="AF263" s="136"/>
      <c r="AG263" s="136"/>
      <c r="AH263" s="136"/>
    </row>
    <row r="264" spans="1:34" s="132" customFormat="1" ht="12.75" customHeight="1" x14ac:dyDescent="0.25">
      <c r="A264" s="137"/>
      <c r="B264" s="139"/>
      <c r="C264" s="136"/>
      <c r="D264" s="131"/>
      <c r="E264" s="131"/>
      <c r="F264" s="58"/>
      <c r="G264" s="140"/>
      <c r="H264" s="140"/>
      <c r="I264" s="58"/>
      <c r="J264" s="58"/>
      <c r="K264" s="58"/>
      <c r="L264" s="58"/>
      <c r="M264" s="135"/>
      <c r="N264" s="135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35"/>
      <c r="Z264" s="58"/>
      <c r="AA264" s="58"/>
      <c r="AB264" s="58"/>
      <c r="AC264" s="58"/>
      <c r="AD264" s="58"/>
      <c r="AE264" s="138"/>
      <c r="AF264" s="136"/>
      <c r="AG264" s="136"/>
      <c r="AH264" s="136"/>
    </row>
    <row r="265" spans="1:34" s="132" customFormat="1" ht="12.75" customHeight="1" x14ac:dyDescent="0.25">
      <c r="A265" s="137"/>
      <c r="B265" s="139"/>
      <c r="C265" s="136"/>
      <c r="D265" s="131"/>
      <c r="E265" s="131"/>
      <c r="F265" s="58"/>
      <c r="G265" s="140"/>
      <c r="H265" s="140"/>
      <c r="I265" s="58"/>
      <c r="J265" s="58"/>
      <c r="K265" s="58"/>
      <c r="L265" s="58"/>
      <c r="M265" s="135"/>
      <c r="N265" s="135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35"/>
      <c r="Z265" s="58"/>
      <c r="AA265" s="58"/>
      <c r="AB265" s="58"/>
      <c r="AC265" s="58"/>
      <c r="AD265" s="58"/>
      <c r="AE265" s="138"/>
      <c r="AF265" s="136"/>
      <c r="AG265" s="136"/>
      <c r="AH265" s="136"/>
    </row>
    <row r="266" spans="1:34" s="132" customFormat="1" ht="12.75" customHeight="1" x14ac:dyDescent="0.25">
      <c r="A266" s="137"/>
      <c r="B266" s="139"/>
      <c r="C266" s="136"/>
      <c r="D266" s="131"/>
      <c r="E266" s="131"/>
      <c r="F266" s="58"/>
      <c r="G266" s="140"/>
      <c r="H266" s="140"/>
      <c r="I266" s="58"/>
      <c r="J266" s="58"/>
      <c r="K266" s="58"/>
      <c r="L266" s="58"/>
      <c r="M266" s="135"/>
      <c r="N266" s="135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35"/>
      <c r="Z266" s="58"/>
      <c r="AA266" s="58"/>
      <c r="AB266" s="58"/>
      <c r="AC266" s="58"/>
      <c r="AD266" s="58"/>
      <c r="AE266" s="138"/>
      <c r="AF266" s="136"/>
      <c r="AG266" s="136"/>
      <c r="AH266" s="136"/>
    </row>
    <row r="267" spans="1:34" s="132" customFormat="1" ht="12.75" customHeight="1" x14ac:dyDescent="0.25">
      <c r="A267" s="137"/>
      <c r="B267" s="139"/>
      <c r="C267" s="136"/>
      <c r="D267" s="131"/>
      <c r="E267" s="131"/>
      <c r="F267" s="58"/>
      <c r="G267" s="140"/>
      <c r="H267" s="140"/>
      <c r="I267" s="58"/>
      <c r="J267" s="58"/>
      <c r="K267" s="58"/>
      <c r="L267" s="58"/>
      <c r="M267" s="135"/>
      <c r="N267" s="135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35"/>
      <c r="Z267" s="58"/>
      <c r="AA267" s="58"/>
      <c r="AB267" s="58"/>
      <c r="AC267" s="58"/>
      <c r="AD267" s="58"/>
      <c r="AE267" s="138"/>
      <c r="AF267" s="136"/>
      <c r="AG267" s="136"/>
      <c r="AH267" s="136"/>
    </row>
    <row r="268" spans="1:34" s="132" customFormat="1" ht="12.75" customHeight="1" x14ac:dyDescent="0.25">
      <c r="A268" s="137"/>
      <c r="B268" s="139"/>
      <c r="C268" s="136"/>
      <c r="D268" s="131"/>
      <c r="E268" s="131"/>
      <c r="F268" s="58"/>
      <c r="G268" s="140"/>
      <c r="H268" s="140"/>
      <c r="I268" s="58"/>
      <c r="J268" s="58"/>
      <c r="K268" s="58"/>
      <c r="L268" s="58"/>
      <c r="M268" s="135"/>
      <c r="N268" s="135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35"/>
      <c r="Z268" s="58"/>
      <c r="AA268" s="58"/>
      <c r="AB268" s="58"/>
      <c r="AC268" s="58"/>
      <c r="AD268" s="58"/>
      <c r="AE268" s="138"/>
      <c r="AF268" s="136"/>
      <c r="AG268" s="136"/>
      <c r="AH268" s="136"/>
    </row>
    <row r="269" spans="1:34" s="132" customFormat="1" ht="12.75" customHeight="1" x14ac:dyDescent="0.25">
      <c r="A269" s="137"/>
      <c r="B269" s="139"/>
      <c r="C269" s="136"/>
      <c r="D269" s="131"/>
      <c r="E269" s="131"/>
      <c r="F269" s="58"/>
      <c r="G269" s="140"/>
      <c r="H269" s="140"/>
      <c r="I269" s="58"/>
      <c r="J269" s="58"/>
      <c r="K269" s="58"/>
      <c r="L269" s="58"/>
      <c r="M269" s="135"/>
      <c r="N269" s="135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35"/>
      <c r="Z269" s="58"/>
      <c r="AA269" s="58"/>
      <c r="AB269" s="58"/>
      <c r="AC269" s="58"/>
      <c r="AD269" s="58"/>
      <c r="AE269" s="138"/>
      <c r="AF269" s="136"/>
      <c r="AG269" s="136"/>
      <c r="AH269" s="136"/>
    </row>
    <row r="270" spans="1:34" s="132" customFormat="1" ht="12.75" customHeight="1" x14ac:dyDescent="0.25">
      <c r="A270" s="137"/>
      <c r="B270" s="139"/>
      <c r="C270" s="136"/>
      <c r="D270" s="131"/>
      <c r="E270" s="131"/>
      <c r="F270" s="58"/>
      <c r="G270" s="140"/>
      <c r="H270" s="140"/>
      <c r="I270" s="58"/>
      <c r="J270" s="58"/>
      <c r="K270" s="58"/>
      <c r="L270" s="58"/>
      <c r="M270" s="135"/>
      <c r="N270" s="135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35"/>
      <c r="Z270" s="58"/>
      <c r="AA270" s="58"/>
      <c r="AB270" s="58"/>
      <c r="AC270" s="58"/>
      <c r="AD270" s="58"/>
      <c r="AE270" s="138"/>
      <c r="AF270" s="136"/>
      <c r="AG270" s="136"/>
      <c r="AH270" s="136"/>
    </row>
    <row r="271" spans="1:34" s="132" customFormat="1" ht="12.75" customHeight="1" x14ac:dyDescent="0.25">
      <c r="A271" s="137"/>
      <c r="B271" s="139"/>
      <c r="C271" s="136"/>
      <c r="D271" s="131"/>
      <c r="E271" s="131"/>
      <c r="F271" s="58"/>
      <c r="G271" s="140"/>
      <c r="H271" s="140"/>
      <c r="I271" s="58"/>
      <c r="J271" s="58"/>
      <c r="K271" s="58"/>
      <c r="L271" s="58"/>
      <c r="M271" s="135"/>
      <c r="N271" s="135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35"/>
      <c r="Z271" s="58"/>
      <c r="AA271" s="58"/>
      <c r="AB271" s="58"/>
      <c r="AC271" s="58"/>
      <c r="AD271" s="58"/>
      <c r="AE271" s="138"/>
      <c r="AF271" s="136"/>
      <c r="AG271" s="136"/>
      <c r="AH271" s="136"/>
    </row>
    <row r="272" spans="1:34" s="132" customFormat="1" ht="12.75" customHeight="1" x14ac:dyDescent="0.25">
      <c r="A272" s="137"/>
      <c r="B272" s="139"/>
      <c r="C272" s="136"/>
      <c r="D272" s="131"/>
      <c r="E272" s="131"/>
      <c r="F272" s="58"/>
      <c r="G272" s="140"/>
      <c r="H272" s="140"/>
      <c r="I272" s="58"/>
      <c r="J272" s="58"/>
      <c r="K272" s="58"/>
      <c r="L272" s="58"/>
      <c r="M272" s="135"/>
      <c r="N272" s="135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35"/>
      <c r="Z272" s="58"/>
      <c r="AA272" s="58"/>
      <c r="AB272" s="58"/>
      <c r="AC272" s="58"/>
      <c r="AD272" s="58"/>
      <c r="AE272" s="138"/>
      <c r="AF272" s="136"/>
      <c r="AG272" s="136"/>
      <c r="AH272" s="136"/>
    </row>
    <row r="273" spans="1:34" s="132" customFormat="1" ht="12.75" customHeight="1" x14ac:dyDescent="0.25">
      <c r="A273" s="137"/>
      <c r="B273" s="139"/>
      <c r="C273" s="136"/>
      <c r="D273" s="131"/>
      <c r="E273" s="131"/>
      <c r="F273" s="58"/>
      <c r="G273" s="140"/>
      <c r="H273" s="140"/>
      <c r="I273" s="58"/>
      <c r="J273" s="58"/>
      <c r="K273" s="58"/>
      <c r="L273" s="58"/>
      <c r="M273" s="135"/>
      <c r="N273" s="135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35"/>
      <c r="Z273" s="58"/>
      <c r="AA273" s="58"/>
      <c r="AB273" s="58"/>
      <c r="AC273" s="58"/>
      <c r="AD273" s="58"/>
      <c r="AE273" s="138"/>
      <c r="AF273" s="136"/>
      <c r="AG273" s="136"/>
      <c r="AH273" s="136"/>
    </row>
    <row r="274" spans="1:34" s="132" customFormat="1" ht="12.75" customHeight="1" x14ac:dyDescent="0.25">
      <c r="A274" s="137"/>
      <c r="B274" s="139"/>
      <c r="C274" s="136"/>
      <c r="D274" s="131"/>
      <c r="E274" s="131"/>
      <c r="F274" s="58"/>
      <c r="G274" s="140"/>
      <c r="H274" s="140"/>
      <c r="I274" s="58"/>
      <c r="J274" s="58"/>
      <c r="K274" s="58"/>
      <c r="L274" s="58"/>
      <c r="M274" s="135"/>
      <c r="N274" s="135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35"/>
      <c r="Z274" s="58"/>
      <c r="AA274" s="58"/>
      <c r="AB274" s="58"/>
      <c r="AC274" s="58"/>
      <c r="AD274" s="58"/>
      <c r="AE274" s="138"/>
      <c r="AF274" s="136"/>
      <c r="AG274" s="136"/>
      <c r="AH274" s="136"/>
    </row>
    <row r="275" spans="1:34" s="132" customFormat="1" ht="12.75" customHeight="1" x14ac:dyDescent="0.25">
      <c r="A275" s="137"/>
      <c r="B275" s="139"/>
      <c r="C275" s="136"/>
      <c r="D275" s="131"/>
      <c r="E275" s="131"/>
      <c r="F275" s="58"/>
      <c r="G275" s="140"/>
      <c r="H275" s="140"/>
      <c r="I275" s="58"/>
      <c r="J275" s="58"/>
      <c r="K275" s="58"/>
      <c r="L275" s="58"/>
      <c r="M275" s="135"/>
      <c r="N275" s="135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35"/>
      <c r="Z275" s="58"/>
      <c r="AA275" s="58"/>
      <c r="AB275" s="58"/>
      <c r="AC275" s="58"/>
      <c r="AD275" s="58"/>
      <c r="AE275" s="138"/>
      <c r="AF275" s="136"/>
      <c r="AG275" s="136"/>
      <c r="AH275" s="136"/>
    </row>
    <row r="276" spans="1:34" s="132" customFormat="1" ht="12.75" customHeight="1" x14ac:dyDescent="0.25">
      <c r="A276" s="137"/>
      <c r="B276" s="139"/>
      <c r="C276" s="136"/>
      <c r="D276" s="131"/>
      <c r="E276" s="131"/>
      <c r="F276" s="58"/>
      <c r="G276" s="140"/>
      <c r="H276" s="140"/>
      <c r="I276" s="58"/>
      <c r="J276" s="58"/>
      <c r="K276" s="58"/>
      <c r="L276" s="58"/>
      <c r="M276" s="135"/>
      <c r="N276" s="135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35"/>
      <c r="Z276" s="58"/>
      <c r="AA276" s="58"/>
      <c r="AB276" s="58"/>
      <c r="AC276" s="58"/>
      <c r="AD276" s="58"/>
      <c r="AE276" s="138"/>
      <c r="AF276" s="136"/>
      <c r="AG276" s="136"/>
      <c r="AH276" s="136"/>
    </row>
    <row r="277" spans="1:34" s="132" customFormat="1" ht="12.75" customHeight="1" x14ac:dyDescent="0.25">
      <c r="A277" s="137"/>
      <c r="B277" s="139"/>
      <c r="C277" s="136"/>
      <c r="D277" s="131"/>
      <c r="E277" s="131"/>
      <c r="F277" s="58"/>
      <c r="G277" s="140"/>
      <c r="H277" s="140"/>
      <c r="I277" s="58"/>
      <c r="J277" s="58"/>
      <c r="K277" s="58"/>
      <c r="L277" s="58"/>
      <c r="M277" s="135"/>
      <c r="N277" s="135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35"/>
      <c r="Z277" s="58"/>
      <c r="AA277" s="58"/>
      <c r="AB277" s="58"/>
      <c r="AC277" s="58"/>
      <c r="AD277" s="58"/>
      <c r="AE277" s="138"/>
      <c r="AF277" s="136"/>
      <c r="AG277" s="136"/>
      <c r="AH277" s="136"/>
    </row>
    <row r="278" spans="1:34" s="132" customFormat="1" ht="12.75" customHeight="1" x14ac:dyDescent="0.25">
      <c r="A278" s="137"/>
      <c r="B278" s="139"/>
      <c r="C278" s="136"/>
      <c r="D278" s="131"/>
      <c r="E278" s="131"/>
      <c r="F278" s="58"/>
      <c r="G278" s="140"/>
      <c r="H278" s="140"/>
      <c r="I278" s="58"/>
      <c r="J278" s="58"/>
      <c r="K278" s="58"/>
      <c r="L278" s="58"/>
      <c r="M278" s="135"/>
      <c r="N278" s="135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35"/>
      <c r="Z278" s="58"/>
      <c r="AA278" s="58"/>
      <c r="AB278" s="58"/>
      <c r="AC278" s="58"/>
      <c r="AD278" s="58"/>
      <c r="AE278" s="138"/>
      <c r="AF278" s="136"/>
      <c r="AG278" s="136"/>
      <c r="AH278" s="136"/>
    </row>
    <row r="279" spans="1:34" s="132" customFormat="1" ht="12.75" customHeight="1" x14ac:dyDescent="0.25">
      <c r="A279" s="137"/>
      <c r="B279" s="139"/>
      <c r="C279" s="136"/>
      <c r="D279" s="131"/>
      <c r="E279" s="131"/>
      <c r="F279" s="58"/>
      <c r="G279" s="140"/>
      <c r="H279" s="140"/>
      <c r="I279" s="58"/>
      <c r="J279" s="58"/>
      <c r="K279" s="58"/>
      <c r="L279" s="58"/>
      <c r="M279" s="135"/>
      <c r="N279" s="135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35"/>
      <c r="Z279" s="58"/>
      <c r="AA279" s="58"/>
      <c r="AB279" s="58"/>
      <c r="AC279" s="58"/>
      <c r="AD279" s="58"/>
      <c r="AE279" s="138"/>
      <c r="AF279" s="136"/>
      <c r="AG279" s="136"/>
      <c r="AH279" s="136"/>
    </row>
    <row r="280" spans="1:34" s="132" customFormat="1" ht="12.75" customHeight="1" x14ac:dyDescent="0.25">
      <c r="A280" s="137"/>
      <c r="B280" s="139"/>
      <c r="C280" s="136"/>
      <c r="D280" s="131"/>
      <c r="E280" s="131"/>
      <c r="F280" s="58"/>
      <c r="G280" s="140"/>
      <c r="H280" s="140"/>
      <c r="I280" s="58"/>
      <c r="J280" s="58"/>
      <c r="K280" s="58"/>
      <c r="L280" s="58"/>
      <c r="M280" s="135"/>
      <c r="N280" s="135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35"/>
      <c r="Z280" s="58"/>
      <c r="AA280" s="58"/>
      <c r="AB280" s="58"/>
      <c r="AC280" s="58"/>
      <c r="AD280" s="58"/>
      <c r="AE280" s="138"/>
      <c r="AF280" s="136"/>
      <c r="AG280" s="136"/>
      <c r="AH280" s="136"/>
    </row>
    <row r="281" spans="1:34" s="132" customFormat="1" ht="12.75" customHeight="1" x14ac:dyDescent="0.25">
      <c r="A281" s="137"/>
      <c r="B281" s="139"/>
      <c r="C281" s="136"/>
      <c r="D281" s="131"/>
      <c r="E281" s="131"/>
      <c r="F281" s="58"/>
      <c r="G281" s="140"/>
      <c r="H281" s="140"/>
      <c r="I281" s="58"/>
      <c r="J281" s="58"/>
      <c r="K281" s="58"/>
      <c r="L281" s="58"/>
      <c r="M281" s="135"/>
      <c r="N281" s="135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35"/>
      <c r="Z281" s="58"/>
      <c r="AA281" s="58"/>
      <c r="AB281" s="58"/>
      <c r="AC281" s="58"/>
      <c r="AD281" s="58"/>
      <c r="AE281" s="138"/>
      <c r="AF281" s="136"/>
      <c r="AG281" s="136"/>
      <c r="AH281" s="136"/>
    </row>
    <row r="282" spans="1:34" s="132" customFormat="1" ht="12.75" customHeight="1" x14ac:dyDescent="0.25">
      <c r="A282" s="137"/>
      <c r="B282" s="139"/>
      <c r="C282" s="136"/>
      <c r="D282" s="131"/>
      <c r="E282" s="131"/>
      <c r="F282" s="58"/>
      <c r="G282" s="140"/>
      <c r="H282" s="140"/>
      <c r="I282" s="58"/>
      <c r="J282" s="58"/>
      <c r="K282" s="58"/>
      <c r="L282" s="58"/>
      <c r="M282" s="135"/>
      <c r="N282" s="135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35"/>
      <c r="Z282" s="58"/>
      <c r="AA282" s="58"/>
      <c r="AB282" s="58"/>
      <c r="AC282" s="58"/>
      <c r="AD282" s="58"/>
      <c r="AE282" s="138"/>
      <c r="AF282" s="136"/>
      <c r="AG282" s="136"/>
      <c r="AH282" s="136"/>
    </row>
    <row r="283" spans="1:34" s="132" customFormat="1" ht="12.75" customHeight="1" x14ac:dyDescent="0.25">
      <c r="A283" s="137"/>
      <c r="B283" s="139"/>
      <c r="C283" s="136"/>
      <c r="D283" s="131"/>
      <c r="E283" s="131"/>
      <c r="F283" s="58"/>
      <c r="G283" s="140"/>
      <c r="H283" s="140"/>
      <c r="I283" s="58"/>
      <c r="J283" s="58"/>
      <c r="K283" s="58"/>
      <c r="L283" s="58"/>
      <c r="M283" s="135"/>
      <c r="N283" s="135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35"/>
      <c r="Z283" s="58"/>
      <c r="AA283" s="58"/>
      <c r="AB283" s="58"/>
      <c r="AC283" s="58"/>
      <c r="AD283" s="58"/>
      <c r="AE283" s="138"/>
      <c r="AF283" s="136"/>
      <c r="AG283" s="136"/>
      <c r="AH283" s="136"/>
    </row>
    <row r="284" spans="1:34" s="132" customFormat="1" ht="12.75" customHeight="1" x14ac:dyDescent="0.25">
      <c r="A284" s="137"/>
      <c r="B284" s="139"/>
      <c r="C284" s="136"/>
      <c r="D284" s="131"/>
      <c r="E284" s="131"/>
      <c r="F284" s="58"/>
      <c r="G284" s="140"/>
      <c r="H284" s="140"/>
      <c r="I284" s="58"/>
      <c r="J284" s="58"/>
      <c r="K284" s="58"/>
      <c r="L284" s="58"/>
      <c r="M284" s="135"/>
      <c r="N284" s="135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35"/>
      <c r="Z284" s="58"/>
      <c r="AA284" s="58"/>
      <c r="AB284" s="58"/>
      <c r="AC284" s="58"/>
      <c r="AD284" s="58"/>
      <c r="AE284" s="138"/>
      <c r="AF284" s="136"/>
      <c r="AG284" s="136"/>
      <c r="AH284" s="136"/>
    </row>
    <row r="285" spans="1:34" s="132" customFormat="1" ht="12.75" customHeight="1" x14ac:dyDescent="0.25">
      <c r="A285" s="137"/>
      <c r="B285" s="139"/>
      <c r="C285" s="136"/>
      <c r="D285" s="131"/>
      <c r="E285" s="131"/>
      <c r="F285" s="58"/>
      <c r="G285" s="140"/>
      <c r="H285" s="140"/>
      <c r="I285" s="58"/>
      <c r="J285" s="58"/>
      <c r="K285" s="58"/>
      <c r="L285" s="58"/>
      <c r="M285" s="135"/>
      <c r="N285" s="135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35"/>
      <c r="Z285" s="58"/>
      <c r="AA285" s="58"/>
      <c r="AB285" s="58"/>
      <c r="AC285" s="58"/>
      <c r="AD285" s="58"/>
      <c r="AE285" s="138"/>
      <c r="AF285" s="136"/>
      <c r="AG285" s="136"/>
      <c r="AH285" s="136"/>
    </row>
    <row r="286" spans="1:34" s="132" customFormat="1" ht="12.75" customHeight="1" x14ac:dyDescent="0.25">
      <c r="A286" s="137"/>
      <c r="B286" s="139"/>
      <c r="C286" s="136"/>
      <c r="D286" s="131"/>
      <c r="E286" s="131"/>
      <c r="F286" s="58"/>
      <c r="G286" s="140"/>
      <c r="H286" s="140"/>
      <c r="I286" s="58"/>
      <c r="J286" s="58"/>
      <c r="K286" s="58"/>
      <c r="L286" s="58"/>
      <c r="M286" s="135"/>
      <c r="N286" s="135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35"/>
      <c r="Z286" s="58"/>
      <c r="AA286" s="58"/>
      <c r="AB286" s="58"/>
      <c r="AC286" s="58"/>
      <c r="AD286" s="58"/>
      <c r="AE286" s="138"/>
      <c r="AF286" s="136"/>
      <c r="AG286" s="136"/>
      <c r="AH286" s="136"/>
    </row>
    <row r="287" spans="1:34" s="132" customFormat="1" ht="12.75" customHeight="1" x14ac:dyDescent="0.25">
      <c r="A287" s="137"/>
      <c r="B287" s="139"/>
      <c r="C287" s="136"/>
      <c r="D287" s="131"/>
      <c r="E287" s="131"/>
      <c r="F287" s="58"/>
      <c r="G287" s="140"/>
      <c r="H287" s="140"/>
      <c r="I287" s="58"/>
      <c r="J287" s="58"/>
      <c r="K287" s="58"/>
      <c r="L287" s="58"/>
      <c r="M287" s="135"/>
      <c r="N287" s="135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35"/>
      <c r="Z287" s="58"/>
      <c r="AA287" s="58"/>
      <c r="AB287" s="58"/>
      <c r="AC287" s="58"/>
      <c r="AD287" s="58"/>
      <c r="AE287" s="138"/>
      <c r="AF287" s="136"/>
      <c r="AG287" s="136"/>
      <c r="AH287" s="136"/>
    </row>
    <row r="288" spans="1:34" s="132" customFormat="1" ht="12.75" customHeight="1" x14ac:dyDescent="0.25">
      <c r="A288" s="137"/>
      <c r="B288" s="139"/>
      <c r="C288" s="136"/>
      <c r="D288" s="131"/>
      <c r="E288" s="131"/>
      <c r="F288" s="58"/>
      <c r="G288" s="140"/>
      <c r="H288" s="140"/>
      <c r="I288" s="58"/>
      <c r="J288" s="58"/>
      <c r="K288" s="58"/>
      <c r="L288" s="58"/>
      <c r="M288" s="135"/>
      <c r="N288" s="135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35"/>
      <c r="Z288" s="58"/>
      <c r="AA288" s="58"/>
      <c r="AB288" s="58"/>
      <c r="AC288" s="58"/>
      <c r="AD288" s="58"/>
      <c r="AE288" s="138"/>
      <c r="AF288" s="136"/>
      <c r="AG288" s="136"/>
      <c r="AH288" s="136"/>
    </row>
    <row r="289" spans="1:34" s="132" customFormat="1" ht="12.75" customHeight="1" x14ac:dyDescent="0.25">
      <c r="A289" s="137"/>
      <c r="B289" s="139"/>
      <c r="C289" s="136"/>
      <c r="D289" s="131"/>
      <c r="E289" s="131"/>
      <c r="F289" s="58"/>
      <c r="G289" s="140"/>
      <c r="H289" s="140"/>
      <c r="I289" s="58"/>
      <c r="J289" s="58"/>
      <c r="K289" s="58"/>
      <c r="L289" s="58"/>
      <c r="M289" s="135"/>
      <c r="N289" s="135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35"/>
      <c r="Z289" s="58"/>
      <c r="AA289" s="58"/>
      <c r="AB289" s="58"/>
      <c r="AC289" s="58"/>
      <c r="AD289" s="58"/>
      <c r="AE289" s="138"/>
      <c r="AF289" s="136"/>
      <c r="AG289" s="136"/>
      <c r="AH289" s="136"/>
    </row>
    <row r="290" spans="1:34" s="132" customFormat="1" ht="12.75" customHeight="1" x14ac:dyDescent="0.25">
      <c r="A290" s="137"/>
      <c r="B290" s="139"/>
      <c r="C290" s="136"/>
      <c r="D290" s="131"/>
      <c r="E290" s="131"/>
      <c r="F290" s="58"/>
      <c r="G290" s="140"/>
      <c r="H290" s="140"/>
      <c r="I290" s="58"/>
      <c r="J290" s="58"/>
      <c r="K290" s="58"/>
      <c r="L290" s="58"/>
      <c r="M290" s="135"/>
      <c r="N290" s="135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35"/>
      <c r="Z290" s="58"/>
      <c r="AA290" s="58"/>
      <c r="AB290" s="58"/>
      <c r="AC290" s="58"/>
      <c r="AD290" s="58"/>
      <c r="AE290" s="138"/>
      <c r="AF290" s="136"/>
      <c r="AG290" s="136"/>
      <c r="AH290" s="136"/>
    </row>
    <row r="291" spans="1:34" s="132" customFormat="1" ht="12.75" customHeight="1" x14ac:dyDescent="0.25">
      <c r="A291" s="137"/>
      <c r="B291" s="139"/>
      <c r="C291" s="136"/>
      <c r="D291" s="131"/>
      <c r="E291" s="131"/>
      <c r="F291" s="58"/>
      <c r="G291" s="140"/>
      <c r="H291" s="140"/>
      <c r="I291" s="58"/>
      <c r="J291" s="58"/>
      <c r="K291" s="58"/>
      <c r="L291" s="58"/>
      <c r="M291" s="135"/>
      <c r="N291" s="135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35"/>
      <c r="Z291" s="58"/>
      <c r="AA291" s="58"/>
      <c r="AB291" s="58"/>
      <c r="AC291" s="58"/>
      <c r="AD291" s="58"/>
      <c r="AE291" s="138"/>
      <c r="AF291" s="136"/>
      <c r="AG291" s="136"/>
      <c r="AH291" s="136"/>
    </row>
    <row r="292" spans="1:34" s="132" customFormat="1" ht="12.75" customHeight="1" x14ac:dyDescent="0.25">
      <c r="A292" s="137"/>
      <c r="B292" s="139"/>
      <c r="C292" s="136"/>
      <c r="D292" s="131"/>
      <c r="E292" s="131"/>
      <c r="F292" s="58"/>
      <c r="G292" s="140"/>
      <c r="H292" s="140"/>
      <c r="I292" s="58"/>
      <c r="J292" s="58"/>
      <c r="K292" s="58"/>
      <c r="L292" s="58"/>
      <c r="M292" s="135"/>
      <c r="N292" s="135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35"/>
      <c r="Z292" s="58"/>
      <c r="AA292" s="58"/>
      <c r="AB292" s="58"/>
      <c r="AC292" s="58"/>
      <c r="AD292" s="58"/>
      <c r="AE292" s="138"/>
      <c r="AF292" s="136"/>
      <c r="AG292" s="136"/>
      <c r="AH292" s="136"/>
    </row>
    <row r="293" spans="1:34" s="132" customFormat="1" ht="12.75" customHeight="1" x14ac:dyDescent="0.25">
      <c r="A293" s="137"/>
      <c r="B293" s="139"/>
      <c r="C293" s="136"/>
      <c r="D293" s="131"/>
      <c r="E293" s="131"/>
      <c r="F293" s="58"/>
      <c r="G293" s="140"/>
      <c r="H293" s="140"/>
      <c r="I293" s="58"/>
      <c r="J293" s="58"/>
      <c r="K293" s="58"/>
      <c r="L293" s="58"/>
      <c r="M293" s="135"/>
      <c r="N293" s="135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35"/>
      <c r="Z293" s="58"/>
      <c r="AA293" s="58"/>
      <c r="AB293" s="58"/>
      <c r="AC293" s="58"/>
      <c r="AD293" s="58"/>
      <c r="AE293" s="138"/>
      <c r="AF293" s="136"/>
      <c r="AG293" s="136"/>
      <c r="AH293" s="136"/>
    </row>
    <row r="294" spans="1:34" s="132" customFormat="1" ht="12.75" customHeight="1" x14ac:dyDescent="0.25">
      <c r="A294" s="137"/>
      <c r="B294" s="139"/>
      <c r="C294" s="136"/>
      <c r="D294" s="131"/>
      <c r="E294" s="131"/>
      <c r="F294" s="58"/>
      <c r="G294" s="140"/>
      <c r="H294" s="140"/>
      <c r="I294" s="58"/>
      <c r="J294" s="58"/>
      <c r="K294" s="58"/>
      <c r="L294" s="58"/>
      <c r="M294" s="135"/>
      <c r="N294" s="135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35"/>
      <c r="Z294" s="58"/>
      <c r="AA294" s="58"/>
      <c r="AB294" s="58"/>
      <c r="AC294" s="58"/>
      <c r="AD294" s="58"/>
      <c r="AE294" s="138"/>
      <c r="AF294" s="136"/>
      <c r="AG294" s="136"/>
      <c r="AH294" s="136"/>
    </row>
    <row r="295" spans="1:34" s="132" customFormat="1" ht="12.75" customHeight="1" x14ac:dyDescent="0.25">
      <c r="A295" s="137"/>
      <c r="B295" s="139"/>
      <c r="C295" s="136"/>
      <c r="D295" s="131"/>
      <c r="E295" s="131"/>
      <c r="F295" s="58"/>
      <c r="G295" s="140"/>
      <c r="H295" s="140"/>
      <c r="I295" s="58"/>
      <c r="J295" s="58"/>
      <c r="K295" s="58"/>
      <c r="L295" s="58"/>
      <c r="M295" s="135"/>
      <c r="N295" s="135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35"/>
      <c r="Z295" s="58"/>
      <c r="AA295" s="58"/>
      <c r="AB295" s="58"/>
      <c r="AC295" s="58"/>
      <c r="AD295" s="58"/>
      <c r="AE295" s="138"/>
      <c r="AF295" s="136"/>
      <c r="AG295" s="136"/>
      <c r="AH295" s="136"/>
    </row>
    <row r="296" spans="1:34" s="132" customFormat="1" ht="12.75" customHeight="1" x14ac:dyDescent="0.25">
      <c r="A296" s="137"/>
      <c r="B296" s="139"/>
      <c r="C296" s="136"/>
      <c r="D296" s="131"/>
      <c r="E296" s="131"/>
      <c r="F296" s="58"/>
      <c r="G296" s="140"/>
      <c r="H296" s="140"/>
      <c r="I296" s="58"/>
      <c r="J296" s="58"/>
      <c r="K296" s="58"/>
      <c r="L296" s="58"/>
      <c r="M296" s="135"/>
      <c r="N296" s="135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35"/>
      <c r="Z296" s="58"/>
      <c r="AA296" s="58"/>
      <c r="AB296" s="58"/>
      <c r="AC296" s="58"/>
      <c r="AD296" s="58"/>
      <c r="AE296" s="138"/>
      <c r="AF296" s="136"/>
      <c r="AG296" s="136"/>
      <c r="AH296" s="136"/>
    </row>
    <row r="297" spans="1:34" s="132" customFormat="1" ht="12.75" customHeight="1" x14ac:dyDescent="0.25">
      <c r="A297" s="137"/>
      <c r="B297" s="139"/>
      <c r="C297" s="136"/>
      <c r="D297" s="131"/>
      <c r="E297" s="131"/>
      <c r="F297" s="58"/>
      <c r="G297" s="140"/>
      <c r="H297" s="140"/>
      <c r="I297" s="58"/>
      <c r="J297" s="58"/>
      <c r="K297" s="58"/>
      <c r="L297" s="58"/>
      <c r="M297" s="135"/>
      <c r="N297" s="135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35"/>
      <c r="Z297" s="58"/>
      <c r="AA297" s="58"/>
      <c r="AB297" s="58"/>
      <c r="AC297" s="58"/>
      <c r="AD297" s="58"/>
      <c r="AE297" s="138"/>
      <c r="AF297" s="136"/>
      <c r="AG297" s="136"/>
      <c r="AH297" s="136"/>
    </row>
    <row r="298" spans="1:34" s="132" customFormat="1" ht="12.75" customHeight="1" x14ac:dyDescent="0.25">
      <c r="A298" s="137"/>
      <c r="B298" s="139"/>
      <c r="C298" s="136"/>
      <c r="D298" s="131"/>
      <c r="E298" s="131"/>
      <c r="F298" s="58"/>
      <c r="G298" s="140"/>
      <c r="H298" s="140"/>
      <c r="I298" s="58"/>
      <c r="J298" s="58"/>
      <c r="K298" s="58"/>
      <c r="L298" s="58"/>
      <c r="M298" s="135"/>
      <c r="N298" s="135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35"/>
      <c r="Z298" s="58"/>
      <c r="AA298" s="58"/>
      <c r="AB298" s="58"/>
      <c r="AC298" s="58"/>
      <c r="AD298" s="58"/>
      <c r="AE298" s="138"/>
      <c r="AF298" s="136"/>
      <c r="AG298" s="136"/>
      <c r="AH298" s="136"/>
    </row>
    <row r="299" spans="1:34" s="132" customFormat="1" ht="12.75" customHeight="1" x14ac:dyDescent="0.25">
      <c r="A299" s="137"/>
      <c r="B299" s="139"/>
      <c r="C299" s="136"/>
      <c r="D299" s="131"/>
      <c r="E299" s="131"/>
      <c r="F299" s="58"/>
      <c r="G299" s="140"/>
      <c r="H299" s="140"/>
      <c r="I299" s="58"/>
      <c r="J299" s="58"/>
      <c r="K299" s="58"/>
      <c r="L299" s="58"/>
      <c r="M299" s="135"/>
      <c r="N299" s="135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35"/>
      <c r="Z299" s="58"/>
      <c r="AA299" s="58"/>
      <c r="AB299" s="58"/>
      <c r="AC299" s="58"/>
      <c r="AD299" s="58"/>
      <c r="AE299" s="138"/>
      <c r="AF299" s="136"/>
      <c r="AG299" s="136"/>
      <c r="AH299" s="136"/>
    </row>
    <row r="300" spans="1:34" s="132" customFormat="1" ht="12.75" customHeight="1" x14ac:dyDescent="0.25">
      <c r="A300" s="137"/>
      <c r="B300" s="139"/>
      <c r="C300" s="136"/>
      <c r="D300" s="131"/>
      <c r="E300" s="131"/>
      <c r="F300" s="58"/>
      <c r="G300" s="140"/>
      <c r="H300" s="140"/>
      <c r="I300" s="58"/>
      <c r="J300" s="58"/>
      <c r="K300" s="58"/>
      <c r="L300" s="58"/>
      <c r="M300" s="135"/>
      <c r="N300" s="135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35"/>
      <c r="Z300" s="58"/>
      <c r="AA300" s="58"/>
      <c r="AB300" s="58"/>
      <c r="AC300" s="58"/>
      <c r="AD300" s="58"/>
      <c r="AE300" s="138"/>
      <c r="AF300" s="136"/>
      <c r="AG300" s="136"/>
      <c r="AH300" s="136"/>
    </row>
    <row r="301" spans="1:34" s="132" customFormat="1" ht="12.75" customHeight="1" x14ac:dyDescent="0.25">
      <c r="A301" s="137"/>
      <c r="B301" s="139"/>
      <c r="C301" s="136"/>
      <c r="D301" s="131"/>
      <c r="E301" s="131"/>
      <c r="F301" s="58"/>
      <c r="G301" s="140"/>
      <c r="H301" s="140"/>
      <c r="I301" s="58"/>
      <c r="J301" s="58"/>
      <c r="K301" s="58"/>
      <c r="L301" s="58"/>
      <c r="M301" s="135"/>
      <c r="N301" s="135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35"/>
      <c r="Z301" s="58"/>
      <c r="AA301" s="58"/>
      <c r="AB301" s="58"/>
      <c r="AC301" s="58"/>
      <c r="AD301" s="58"/>
      <c r="AE301" s="138"/>
      <c r="AF301" s="136"/>
      <c r="AG301" s="136"/>
      <c r="AH301" s="136"/>
    </row>
    <row r="302" spans="1:34" s="132" customFormat="1" ht="12.75" customHeight="1" x14ac:dyDescent="0.25">
      <c r="A302" s="137"/>
      <c r="B302" s="139"/>
      <c r="C302" s="136"/>
      <c r="D302" s="131"/>
      <c r="E302" s="131"/>
      <c r="F302" s="58"/>
      <c r="G302" s="140"/>
      <c r="H302" s="140"/>
      <c r="I302" s="58"/>
      <c r="J302" s="58"/>
      <c r="K302" s="58"/>
      <c r="L302" s="58"/>
      <c r="M302" s="135"/>
      <c r="N302" s="135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35"/>
      <c r="Z302" s="58"/>
      <c r="AA302" s="58"/>
      <c r="AB302" s="58"/>
      <c r="AC302" s="58"/>
      <c r="AD302" s="58"/>
      <c r="AE302" s="138"/>
      <c r="AF302" s="136"/>
      <c r="AG302" s="136"/>
      <c r="AH302" s="136"/>
    </row>
    <row r="303" spans="1:34" s="132" customFormat="1" ht="12.75" customHeight="1" x14ac:dyDescent="0.25">
      <c r="A303" s="137"/>
      <c r="B303" s="139"/>
      <c r="C303" s="136"/>
      <c r="D303" s="131"/>
      <c r="E303" s="131"/>
      <c r="F303" s="58"/>
      <c r="G303" s="140"/>
      <c r="H303" s="140"/>
      <c r="I303" s="58"/>
      <c r="J303" s="58"/>
      <c r="K303" s="58"/>
      <c r="L303" s="58"/>
      <c r="M303" s="135"/>
      <c r="N303" s="135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35"/>
      <c r="Z303" s="58"/>
      <c r="AA303" s="58"/>
      <c r="AB303" s="58"/>
      <c r="AC303" s="58"/>
      <c r="AD303" s="58"/>
      <c r="AE303" s="138"/>
      <c r="AF303" s="136"/>
      <c r="AG303" s="136"/>
      <c r="AH303" s="136"/>
    </row>
    <row r="304" spans="1:34" s="132" customFormat="1" ht="12.75" customHeight="1" x14ac:dyDescent="0.25">
      <c r="A304" s="137"/>
      <c r="B304" s="139"/>
      <c r="C304" s="136"/>
      <c r="D304" s="131"/>
      <c r="E304" s="131"/>
      <c r="F304" s="58"/>
      <c r="G304" s="140"/>
      <c r="H304" s="140"/>
      <c r="I304" s="58"/>
      <c r="J304" s="58"/>
      <c r="K304" s="58"/>
      <c r="L304" s="58"/>
      <c r="M304" s="135"/>
      <c r="N304" s="135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35"/>
      <c r="Z304" s="58"/>
      <c r="AA304" s="58"/>
      <c r="AB304" s="58"/>
      <c r="AC304" s="58"/>
      <c r="AD304" s="58"/>
      <c r="AE304" s="138"/>
      <c r="AF304" s="136"/>
      <c r="AG304" s="136"/>
      <c r="AH304" s="136"/>
    </row>
    <row r="305" spans="1:34" s="132" customFormat="1" ht="12.75" customHeight="1" x14ac:dyDescent="0.25">
      <c r="A305" s="137"/>
      <c r="B305" s="139"/>
      <c r="C305" s="136"/>
      <c r="D305" s="131"/>
      <c r="E305" s="131"/>
      <c r="F305" s="58"/>
      <c r="G305" s="140"/>
      <c r="H305" s="140"/>
      <c r="I305" s="58"/>
      <c r="J305" s="58"/>
      <c r="K305" s="58"/>
      <c r="L305" s="58"/>
      <c r="M305" s="135"/>
      <c r="N305" s="135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35"/>
      <c r="Z305" s="58"/>
      <c r="AA305" s="58"/>
      <c r="AB305" s="58"/>
      <c r="AC305" s="58"/>
      <c r="AD305" s="58"/>
      <c r="AE305" s="138"/>
      <c r="AF305" s="136"/>
      <c r="AG305" s="136"/>
      <c r="AH305" s="136"/>
    </row>
    <row r="306" spans="1:34" s="132" customFormat="1" ht="12.75" customHeight="1" x14ac:dyDescent="0.25">
      <c r="A306" s="137"/>
      <c r="B306" s="139"/>
      <c r="C306" s="136"/>
      <c r="D306" s="131"/>
      <c r="E306" s="131"/>
      <c r="F306" s="58"/>
      <c r="G306" s="140"/>
      <c r="H306" s="140"/>
      <c r="I306" s="58"/>
      <c r="J306" s="58"/>
      <c r="K306" s="58"/>
      <c r="L306" s="58"/>
      <c r="M306" s="135"/>
      <c r="N306" s="135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35"/>
      <c r="Z306" s="58"/>
      <c r="AA306" s="58"/>
      <c r="AB306" s="58"/>
      <c r="AC306" s="58"/>
      <c r="AD306" s="58"/>
      <c r="AE306" s="138"/>
      <c r="AF306" s="136"/>
      <c r="AG306" s="136"/>
      <c r="AH306" s="136"/>
    </row>
    <row r="307" spans="1:34" s="132" customFormat="1" ht="12.75" customHeight="1" x14ac:dyDescent="0.25">
      <c r="A307" s="137"/>
      <c r="B307" s="139"/>
      <c r="C307" s="136"/>
      <c r="D307" s="131"/>
      <c r="E307" s="131"/>
      <c r="F307" s="58"/>
      <c r="G307" s="140"/>
      <c r="H307" s="140"/>
      <c r="I307" s="58"/>
      <c r="J307" s="58"/>
      <c r="K307" s="58"/>
      <c r="L307" s="58"/>
      <c r="M307" s="135"/>
      <c r="N307" s="135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35"/>
      <c r="Z307" s="58"/>
      <c r="AA307" s="58"/>
      <c r="AB307" s="58"/>
      <c r="AC307" s="58"/>
      <c r="AD307" s="58"/>
      <c r="AE307" s="138"/>
      <c r="AF307" s="136"/>
      <c r="AG307" s="136"/>
      <c r="AH307" s="136"/>
    </row>
    <row r="308" spans="1:34" s="132" customFormat="1" ht="12.75" customHeight="1" x14ac:dyDescent="0.25">
      <c r="A308" s="137"/>
      <c r="B308" s="139"/>
      <c r="C308" s="136"/>
      <c r="D308" s="131"/>
      <c r="E308" s="131"/>
      <c r="F308" s="58"/>
      <c r="G308" s="140"/>
      <c r="H308" s="140"/>
      <c r="I308" s="58"/>
      <c r="J308" s="58"/>
      <c r="K308" s="58"/>
      <c r="L308" s="58"/>
      <c r="M308" s="135"/>
      <c r="N308" s="135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35"/>
      <c r="Z308" s="58"/>
      <c r="AA308" s="58"/>
      <c r="AB308" s="58"/>
      <c r="AC308" s="58"/>
      <c r="AD308" s="58"/>
      <c r="AE308" s="138"/>
      <c r="AF308" s="136"/>
      <c r="AG308" s="136"/>
      <c r="AH308" s="136"/>
    </row>
    <row r="309" spans="1:34" s="132" customFormat="1" ht="12.75" customHeight="1" x14ac:dyDescent="0.25">
      <c r="A309" s="137"/>
      <c r="B309" s="139"/>
      <c r="C309" s="136"/>
      <c r="D309" s="131"/>
      <c r="E309" s="131"/>
      <c r="F309" s="58"/>
      <c r="G309" s="140"/>
      <c r="H309" s="140"/>
      <c r="I309" s="58"/>
      <c r="J309" s="58"/>
      <c r="K309" s="58"/>
      <c r="L309" s="58"/>
      <c r="M309" s="135"/>
      <c r="N309" s="135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35"/>
      <c r="Z309" s="58"/>
      <c r="AA309" s="58"/>
      <c r="AB309" s="58"/>
      <c r="AC309" s="58"/>
      <c r="AD309" s="58"/>
      <c r="AE309" s="138"/>
      <c r="AF309" s="136"/>
      <c r="AG309" s="136"/>
      <c r="AH309" s="136"/>
    </row>
    <row r="310" spans="1:34" s="132" customFormat="1" ht="12.75" customHeight="1" x14ac:dyDescent="0.25">
      <c r="A310" s="137"/>
      <c r="B310" s="139"/>
      <c r="C310" s="136"/>
      <c r="D310" s="131"/>
      <c r="E310" s="131"/>
      <c r="F310" s="58"/>
      <c r="G310" s="140"/>
      <c r="H310" s="140"/>
      <c r="I310" s="58"/>
      <c r="J310" s="58"/>
      <c r="K310" s="58"/>
      <c r="L310" s="58"/>
      <c r="M310" s="135"/>
      <c r="N310" s="135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35"/>
      <c r="Z310" s="58"/>
      <c r="AA310" s="58"/>
      <c r="AB310" s="58"/>
      <c r="AC310" s="58"/>
      <c r="AD310" s="58"/>
      <c r="AE310" s="138"/>
      <c r="AF310" s="136"/>
      <c r="AG310" s="136"/>
      <c r="AH310" s="136"/>
    </row>
    <row r="311" spans="1:34" s="132" customFormat="1" ht="12.75" customHeight="1" x14ac:dyDescent="0.25">
      <c r="A311" s="137"/>
      <c r="B311" s="139"/>
      <c r="C311" s="136"/>
      <c r="D311" s="131"/>
      <c r="E311" s="131"/>
      <c r="F311" s="58"/>
      <c r="G311" s="140"/>
      <c r="H311" s="140"/>
      <c r="I311" s="58"/>
      <c r="J311" s="58"/>
      <c r="K311" s="58"/>
      <c r="L311" s="58"/>
      <c r="M311" s="135"/>
      <c r="N311" s="135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35"/>
      <c r="Z311" s="58"/>
      <c r="AA311" s="58"/>
      <c r="AB311" s="58"/>
      <c r="AC311" s="58"/>
      <c r="AD311" s="58"/>
      <c r="AE311" s="138"/>
      <c r="AF311" s="136"/>
      <c r="AG311" s="136"/>
      <c r="AH311" s="136"/>
    </row>
    <row r="312" spans="1:34" s="132" customFormat="1" ht="12.75" customHeight="1" x14ac:dyDescent="0.25">
      <c r="A312" s="137"/>
      <c r="B312" s="139"/>
      <c r="C312" s="136"/>
      <c r="D312" s="131"/>
      <c r="E312" s="131"/>
      <c r="F312" s="58"/>
      <c r="G312" s="140"/>
      <c r="H312" s="140"/>
      <c r="I312" s="58"/>
      <c r="J312" s="58"/>
      <c r="K312" s="58"/>
      <c r="L312" s="58"/>
      <c r="M312" s="135"/>
      <c r="N312" s="135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35"/>
      <c r="Z312" s="58"/>
      <c r="AA312" s="58"/>
      <c r="AB312" s="58"/>
      <c r="AC312" s="58"/>
      <c r="AD312" s="58"/>
      <c r="AE312" s="138"/>
      <c r="AF312" s="136"/>
      <c r="AG312" s="136"/>
      <c r="AH312" s="136"/>
    </row>
    <row r="313" spans="1:34" s="132" customFormat="1" ht="12.75" customHeight="1" x14ac:dyDescent="0.25">
      <c r="A313" s="137"/>
      <c r="B313" s="139"/>
      <c r="C313" s="136"/>
      <c r="D313" s="131"/>
      <c r="E313" s="131"/>
      <c r="F313" s="58"/>
      <c r="G313" s="140"/>
      <c r="H313" s="140"/>
      <c r="I313" s="58"/>
      <c r="J313" s="58"/>
      <c r="K313" s="58"/>
      <c r="L313" s="58"/>
      <c r="M313" s="135"/>
      <c r="N313" s="135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35"/>
      <c r="Z313" s="58"/>
      <c r="AA313" s="58"/>
      <c r="AB313" s="58"/>
      <c r="AC313" s="58"/>
      <c r="AD313" s="58"/>
      <c r="AE313" s="138"/>
      <c r="AF313" s="136"/>
      <c r="AG313" s="136"/>
      <c r="AH313" s="136"/>
    </row>
    <row r="314" spans="1:34" s="132" customFormat="1" ht="12.75" customHeight="1" x14ac:dyDescent="0.25">
      <c r="A314" s="137"/>
      <c r="B314" s="139"/>
      <c r="C314" s="136"/>
      <c r="D314" s="131"/>
      <c r="E314" s="131"/>
      <c r="F314" s="58"/>
      <c r="G314" s="140"/>
      <c r="H314" s="140"/>
      <c r="I314" s="58"/>
      <c r="J314" s="58"/>
      <c r="K314" s="58"/>
      <c r="L314" s="58"/>
      <c r="M314" s="135"/>
      <c r="N314" s="135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35"/>
      <c r="Z314" s="58"/>
      <c r="AA314" s="58"/>
      <c r="AB314" s="58"/>
      <c r="AC314" s="58"/>
      <c r="AD314" s="58"/>
      <c r="AE314" s="138"/>
      <c r="AF314" s="136"/>
      <c r="AG314" s="136"/>
      <c r="AH314" s="136"/>
    </row>
    <row r="315" spans="1:34" s="132" customFormat="1" ht="12.75" customHeight="1" x14ac:dyDescent="0.25">
      <c r="A315" s="137"/>
      <c r="B315" s="139"/>
      <c r="C315" s="136"/>
      <c r="D315" s="131"/>
      <c r="E315" s="131"/>
      <c r="F315" s="58"/>
      <c r="G315" s="140"/>
      <c r="H315" s="140"/>
      <c r="I315" s="58"/>
      <c r="J315" s="58"/>
      <c r="K315" s="58"/>
      <c r="L315" s="58"/>
      <c r="M315" s="135"/>
      <c r="N315" s="135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35"/>
      <c r="Z315" s="58"/>
      <c r="AA315" s="58"/>
      <c r="AB315" s="58"/>
      <c r="AC315" s="58"/>
      <c r="AD315" s="58"/>
      <c r="AE315" s="138"/>
      <c r="AF315" s="136"/>
      <c r="AG315" s="136"/>
      <c r="AH315" s="136"/>
    </row>
    <row r="316" spans="1:34" s="132" customFormat="1" ht="12.75" customHeight="1" x14ac:dyDescent="0.25">
      <c r="A316" s="137"/>
      <c r="B316" s="139"/>
      <c r="C316" s="136"/>
      <c r="D316" s="131"/>
      <c r="E316" s="131"/>
      <c r="F316" s="58"/>
      <c r="G316" s="140"/>
      <c r="H316" s="140"/>
      <c r="I316" s="58"/>
      <c r="J316" s="58"/>
      <c r="K316" s="58"/>
      <c r="L316" s="58"/>
      <c r="M316" s="135"/>
      <c r="N316" s="135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35"/>
      <c r="Z316" s="58"/>
      <c r="AA316" s="58"/>
      <c r="AB316" s="58"/>
      <c r="AC316" s="58"/>
      <c r="AD316" s="58"/>
      <c r="AE316" s="138"/>
      <c r="AF316" s="136"/>
      <c r="AG316" s="136"/>
      <c r="AH316" s="136"/>
    </row>
    <row r="317" spans="1:34" s="132" customFormat="1" ht="12.75" customHeight="1" x14ac:dyDescent="0.25">
      <c r="A317" s="137"/>
      <c r="B317" s="139"/>
      <c r="C317" s="136"/>
      <c r="D317" s="131"/>
      <c r="E317" s="131"/>
      <c r="F317" s="58"/>
      <c r="G317" s="140"/>
      <c r="H317" s="140"/>
      <c r="I317" s="58"/>
      <c r="J317" s="58"/>
      <c r="K317" s="58"/>
      <c r="L317" s="58"/>
      <c r="M317" s="135"/>
      <c r="N317" s="135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35"/>
      <c r="Z317" s="58"/>
      <c r="AA317" s="58"/>
      <c r="AB317" s="58"/>
      <c r="AC317" s="58"/>
      <c r="AD317" s="58"/>
      <c r="AE317" s="138"/>
      <c r="AF317" s="136"/>
      <c r="AG317" s="136"/>
      <c r="AH317" s="136"/>
    </row>
    <row r="318" spans="1:34" s="132" customFormat="1" ht="12.75" customHeight="1" x14ac:dyDescent="0.25">
      <c r="A318" s="137"/>
      <c r="B318" s="139"/>
      <c r="C318" s="136"/>
      <c r="D318" s="131"/>
      <c r="E318" s="131"/>
      <c r="F318" s="58"/>
      <c r="G318" s="140"/>
      <c r="H318" s="140"/>
      <c r="I318" s="58"/>
      <c r="J318" s="58"/>
      <c r="K318" s="58"/>
      <c r="L318" s="58"/>
      <c r="M318" s="135"/>
      <c r="N318" s="135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35"/>
      <c r="Z318" s="58"/>
      <c r="AA318" s="58"/>
      <c r="AB318" s="58"/>
      <c r="AC318" s="58"/>
      <c r="AD318" s="58"/>
      <c r="AE318" s="138"/>
      <c r="AF318" s="136"/>
      <c r="AG318" s="136"/>
      <c r="AH318" s="136"/>
    </row>
    <row r="319" spans="1:34" s="132" customFormat="1" ht="12.75" customHeight="1" x14ac:dyDescent="0.25">
      <c r="A319" s="137"/>
      <c r="B319" s="139"/>
      <c r="C319" s="136"/>
      <c r="D319" s="131"/>
      <c r="E319" s="131"/>
      <c r="F319" s="58"/>
      <c r="G319" s="140"/>
      <c r="H319" s="140"/>
      <c r="I319" s="58"/>
      <c r="J319" s="58"/>
      <c r="K319" s="58"/>
      <c r="L319" s="58"/>
      <c r="M319" s="135"/>
      <c r="N319" s="135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35"/>
      <c r="Z319" s="58"/>
      <c r="AA319" s="58"/>
      <c r="AB319" s="58"/>
      <c r="AC319" s="58"/>
      <c r="AD319" s="58"/>
      <c r="AE319" s="138"/>
      <c r="AF319" s="136"/>
      <c r="AG319" s="136"/>
      <c r="AH319" s="136"/>
    </row>
    <row r="320" spans="1:34" s="132" customFormat="1" ht="12.75" customHeight="1" x14ac:dyDescent="0.25">
      <c r="A320" s="137"/>
      <c r="B320" s="139"/>
      <c r="C320" s="136"/>
      <c r="D320" s="131"/>
      <c r="E320" s="131"/>
      <c r="F320" s="58"/>
      <c r="G320" s="140"/>
      <c r="H320" s="140"/>
      <c r="I320" s="58"/>
      <c r="J320" s="58"/>
      <c r="K320" s="58"/>
      <c r="L320" s="58"/>
      <c r="M320" s="135"/>
      <c r="N320" s="135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35"/>
      <c r="Z320" s="58"/>
      <c r="AA320" s="58"/>
      <c r="AB320" s="58"/>
      <c r="AC320" s="58"/>
      <c r="AD320" s="58"/>
      <c r="AE320" s="138"/>
      <c r="AF320" s="136"/>
      <c r="AG320" s="136"/>
      <c r="AH320" s="136"/>
    </row>
    <row r="321" spans="1:34" s="132" customFormat="1" ht="12.75" customHeight="1" x14ac:dyDescent="0.25">
      <c r="A321" s="137"/>
      <c r="B321" s="139"/>
      <c r="C321" s="136"/>
      <c r="D321" s="131"/>
      <c r="E321" s="131"/>
      <c r="F321" s="58"/>
      <c r="G321" s="140"/>
      <c r="H321" s="140"/>
      <c r="I321" s="58"/>
      <c r="J321" s="58"/>
      <c r="K321" s="58"/>
      <c r="L321" s="58"/>
      <c r="M321" s="135"/>
      <c r="N321" s="135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35"/>
      <c r="Z321" s="58"/>
      <c r="AA321" s="58"/>
      <c r="AB321" s="58"/>
      <c r="AC321" s="58"/>
      <c r="AD321" s="58"/>
      <c r="AE321" s="138"/>
      <c r="AF321" s="136"/>
      <c r="AG321" s="136"/>
      <c r="AH321" s="136"/>
    </row>
    <row r="322" spans="1:34" s="132" customFormat="1" ht="12.75" customHeight="1" x14ac:dyDescent="0.25">
      <c r="A322" s="137"/>
      <c r="B322" s="139"/>
      <c r="C322" s="136"/>
      <c r="D322" s="131"/>
      <c r="E322" s="131"/>
      <c r="F322" s="58"/>
      <c r="G322" s="140"/>
      <c r="H322" s="140"/>
      <c r="I322" s="58"/>
      <c r="J322" s="58"/>
      <c r="K322" s="58"/>
      <c r="L322" s="58"/>
      <c r="M322" s="135"/>
      <c r="N322" s="135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35"/>
      <c r="Z322" s="58"/>
      <c r="AA322" s="58"/>
      <c r="AB322" s="58"/>
      <c r="AC322" s="58"/>
      <c r="AD322" s="58"/>
      <c r="AE322" s="138"/>
      <c r="AF322" s="136"/>
      <c r="AG322" s="136"/>
      <c r="AH322" s="136"/>
    </row>
    <row r="323" spans="1:34" s="132" customFormat="1" ht="12.75" customHeight="1" x14ac:dyDescent="0.25">
      <c r="A323" s="137"/>
      <c r="B323" s="139"/>
      <c r="C323" s="136"/>
      <c r="D323" s="131"/>
      <c r="E323" s="131"/>
      <c r="F323" s="58"/>
      <c r="G323" s="140"/>
      <c r="H323" s="140"/>
      <c r="I323" s="58"/>
      <c r="J323" s="58"/>
      <c r="K323" s="58"/>
      <c r="L323" s="58"/>
      <c r="M323" s="135"/>
      <c r="N323" s="135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35"/>
      <c r="Z323" s="58"/>
      <c r="AA323" s="58"/>
      <c r="AB323" s="58"/>
      <c r="AC323" s="58"/>
      <c r="AD323" s="58"/>
      <c r="AE323" s="138"/>
      <c r="AF323" s="136"/>
      <c r="AG323" s="136"/>
      <c r="AH323" s="136"/>
    </row>
    <row r="324" spans="1:34" s="132" customFormat="1" ht="12.75" customHeight="1" x14ac:dyDescent="0.25">
      <c r="A324" s="137"/>
      <c r="B324" s="139"/>
      <c r="C324" s="136"/>
      <c r="D324" s="131"/>
      <c r="E324" s="131"/>
      <c r="F324" s="58"/>
      <c r="G324" s="140"/>
      <c r="H324" s="140"/>
      <c r="I324" s="58"/>
      <c r="J324" s="58"/>
      <c r="K324" s="58"/>
      <c r="L324" s="58"/>
      <c r="M324" s="135"/>
      <c r="N324" s="135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35"/>
      <c r="Z324" s="58"/>
      <c r="AA324" s="58"/>
      <c r="AB324" s="58"/>
      <c r="AC324" s="58"/>
      <c r="AD324" s="58"/>
      <c r="AE324" s="138"/>
      <c r="AF324" s="136"/>
      <c r="AG324" s="136"/>
      <c r="AH324" s="136"/>
    </row>
    <row r="325" spans="1:34" s="132" customFormat="1" ht="12.75" customHeight="1" x14ac:dyDescent="0.25">
      <c r="A325" s="137"/>
      <c r="B325" s="139"/>
      <c r="C325" s="136"/>
      <c r="D325" s="131"/>
      <c r="E325" s="131"/>
      <c r="F325" s="58"/>
      <c r="G325" s="140"/>
      <c r="H325" s="140"/>
      <c r="I325" s="58"/>
      <c r="J325" s="58"/>
      <c r="K325" s="58"/>
      <c r="L325" s="58"/>
      <c r="M325" s="135"/>
      <c r="N325" s="135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35"/>
      <c r="Z325" s="58"/>
      <c r="AA325" s="58"/>
      <c r="AB325" s="58"/>
      <c r="AC325" s="58"/>
      <c r="AD325" s="58"/>
      <c r="AE325" s="138"/>
      <c r="AF325" s="136"/>
      <c r="AG325" s="136"/>
      <c r="AH325" s="136"/>
    </row>
    <row r="326" spans="1:34" s="132" customFormat="1" ht="12.75" customHeight="1" x14ac:dyDescent="0.25">
      <c r="A326" s="137"/>
      <c r="B326" s="139"/>
      <c r="C326" s="136"/>
      <c r="D326" s="131"/>
      <c r="E326" s="131"/>
      <c r="F326" s="58"/>
      <c r="G326" s="140"/>
      <c r="H326" s="140"/>
      <c r="I326" s="58"/>
      <c r="J326" s="58"/>
      <c r="K326" s="58"/>
      <c r="L326" s="58"/>
      <c r="M326" s="135"/>
      <c r="N326" s="135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35"/>
      <c r="Z326" s="58"/>
      <c r="AA326" s="58"/>
      <c r="AB326" s="58"/>
      <c r="AC326" s="58"/>
      <c r="AD326" s="58"/>
      <c r="AE326" s="138"/>
      <c r="AF326" s="136"/>
      <c r="AG326" s="136"/>
      <c r="AH326" s="136"/>
    </row>
    <row r="327" spans="1:34" s="132" customFormat="1" ht="12.75" customHeight="1" x14ac:dyDescent="0.25">
      <c r="A327" s="137"/>
      <c r="B327" s="139"/>
      <c r="C327" s="136"/>
      <c r="D327" s="131"/>
      <c r="E327" s="131"/>
      <c r="F327" s="58"/>
      <c r="G327" s="140"/>
      <c r="H327" s="140"/>
      <c r="I327" s="58"/>
      <c r="J327" s="58"/>
      <c r="K327" s="58"/>
      <c r="L327" s="58"/>
      <c r="M327" s="135"/>
      <c r="N327" s="135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35"/>
      <c r="Z327" s="58"/>
      <c r="AA327" s="58"/>
      <c r="AB327" s="58"/>
      <c r="AC327" s="58"/>
      <c r="AD327" s="58"/>
      <c r="AE327" s="138"/>
      <c r="AF327" s="136"/>
      <c r="AG327" s="136"/>
      <c r="AH327" s="136"/>
    </row>
    <row r="328" spans="1:34" s="132" customFormat="1" ht="12.75" customHeight="1" x14ac:dyDescent="0.25">
      <c r="A328" s="137"/>
      <c r="B328" s="139"/>
      <c r="C328" s="136"/>
      <c r="D328" s="131"/>
      <c r="E328" s="131"/>
      <c r="F328" s="58"/>
      <c r="G328" s="140"/>
      <c r="H328" s="140"/>
      <c r="I328" s="58"/>
      <c r="J328" s="58"/>
      <c r="K328" s="58"/>
      <c r="L328" s="58"/>
      <c r="M328" s="135"/>
      <c r="N328" s="135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35"/>
      <c r="Z328" s="58"/>
      <c r="AA328" s="58"/>
      <c r="AB328" s="58"/>
      <c r="AC328" s="58"/>
      <c r="AD328" s="58"/>
      <c r="AE328" s="138"/>
      <c r="AF328" s="136"/>
      <c r="AG328" s="136"/>
      <c r="AH328" s="136"/>
    </row>
    <row r="329" spans="1:34" s="132" customFormat="1" ht="12.75" customHeight="1" x14ac:dyDescent="0.25">
      <c r="A329" s="137"/>
      <c r="B329" s="139"/>
      <c r="C329" s="136"/>
      <c r="D329" s="131"/>
      <c r="E329" s="131"/>
      <c r="F329" s="58"/>
      <c r="G329" s="140"/>
      <c r="H329" s="140"/>
      <c r="I329" s="58"/>
      <c r="J329" s="58"/>
      <c r="K329" s="58"/>
      <c r="L329" s="58"/>
      <c r="M329" s="135"/>
      <c r="N329" s="135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35"/>
      <c r="Z329" s="58"/>
      <c r="AA329" s="58"/>
      <c r="AB329" s="58"/>
      <c r="AC329" s="58"/>
      <c r="AD329" s="58"/>
      <c r="AE329" s="138"/>
      <c r="AF329" s="136"/>
      <c r="AG329" s="136"/>
      <c r="AH329" s="136"/>
    </row>
    <row r="330" spans="1:34" s="132" customFormat="1" ht="12.75" customHeight="1" x14ac:dyDescent="0.25">
      <c r="A330" s="137"/>
      <c r="B330" s="139"/>
      <c r="C330" s="136"/>
      <c r="D330" s="131"/>
      <c r="E330" s="131"/>
      <c r="F330" s="58"/>
      <c r="G330" s="140"/>
      <c r="H330" s="140"/>
      <c r="I330" s="58"/>
      <c r="J330" s="58"/>
      <c r="K330" s="58"/>
      <c r="L330" s="58"/>
      <c r="M330" s="135"/>
      <c r="N330" s="135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35"/>
      <c r="Z330" s="58"/>
      <c r="AA330" s="58"/>
      <c r="AB330" s="58"/>
      <c r="AC330" s="58"/>
      <c r="AD330" s="58"/>
      <c r="AE330" s="138"/>
      <c r="AF330" s="136"/>
      <c r="AG330" s="136"/>
      <c r="AH330" s="136"/>
    </row>
    <row r="331" spans="1:34" s="132" customFormat="1" ht="12.75" customHeight="1" x14ac:dyDescent="0.25">
      <c r="A331" s="137"/>
      <c r="B331" s="139"/>
      <c r="C331" s="136"/>
      <c r="D331" s="131"/>
      <c r="E331" s="131"/>
      <c r="F331" s="58"/>
      <c r="G331" s="140"/>
      <c r="H331" s="140"/>
      <c r="I331" s="58"/>
      <c r="J331" s="58"/>
      <c r="K331" s="58"/>
      <c r="L331" s="58"/>
      <c r="M331" s="135"/>
      <c r="N331" s="135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35"/>
      <c r="Z331" s="58"/>
      <c r="AA331" s="58"/>
      <c r="AB331" s="58"/>
      <c r="AC331" s="58"/>
      <c r="AD331" s="58"/>
      <c r="AE331" s="138"/>
      <c r="AF331" s="136"/>
      <c r="AG331" s="136"/>
      <c r="AH331" s="136"/>
    </row>
    <row r="332" spans="1:34" s="132" customFormat="1" ht="12.75" customHeight="1" x14ac:dyDescent="0.25">
      <c r="A332" s="137"/>
      <c r="B332" s="139"/>
      <c r="C332" s="136"/>
      <c r="D332" s="131"/>
      <c r="E332" s="131"/>
      <c r="F332" s="58"/>
      <c r="G332" s="140"/>
      <c r="H332" s="140"/>
      <c r="I332" s="58"/>
      <c r="J332" s="58"/>
      <c r="K332" s="58"/>
      <c r="L332" s="58"/>
      <c r="M332" s="135"/>
      <c r="N332" s="135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35"/>
      <c r="Z332" s="58"/>
      <c r="AA332" s="58"/>
      <c r="AB332" s="58"/>
      <c r="AC332" s="58"/>
      <c r="AD332" s="58"/>
      <c r="AE332" s="138"/>
      <c r="AF332" s="136"/>
      <c r="AG332" s="136"/>
      <c r="AH332" s="136"/>
    </row>
    <row r="333" spans="1:34" s="132" customFormat="1" ht="12.75" customHeight="1" x14ac:dyDescent="0.25">
      <c r="A333" s="137"/>
      <c r="B333" s="139"/>
      <c r="C333" s="136"/>
      <c r="D333" s="131"/>
      <c r="E333" s="131"/>
      <c r="F333" s="58"/>
      <c r="G333" s="140"/>
      <c r="H333" s="140"/>
      <c r="I333" s="58"/>
      <c r="J333" s="58"/>
      <c r="K333" s="58"/>
      <c r="L333" s="58"/>
      <c r="M333" s="135"/>
      <c r="N333" s="135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35"/>
      <c r="Z333" s="58"/>
      <c r="AA333" s="58"/>
      <c r="AB333" s="58"/>
      <c r="AC333" s="58"/>
      <c r="AD333" s="58"/>
      <c r="AE333" s="138"/>
      <c r="AF333" s="136"/>
      <c r="AG333" s="136"/>
      <c r="AH333" s="136"/>
    </row>
    <row r="334" spans="1:34" s="132" customFormat="1" ht="12.75" customHeight="1" x14ac:dyDescent="0.25">
      <c r="A334" s="137"/>
      <c r="B334" s="139"/>
      <c r="C334" s="136"/>
      <c r="D334" s="131"/>
      <c r="E334" s="131"/>
      <c r="F334" s="58"/>
      <c r="G334" s="140"/>
      <c r="H334" s="140"/>
      <c r="I334" s="58"/>
      <c r="J334" s="58"/>
      <c r="K334" s="58"/>
      <c r="L334" s="58"/>
      <c r="M334" s="135"/>
      <c r="N334" s="135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35"/>
      <c r="Z334" s="58"/>
      <c r="AA334" s="58"/>
      <c r="AB334" s="58"/>
      <c r="AC334" s="58"/>
      <c r="AD334" s="58"/>
      <c r="AE334" s="138"/>
      <c r="AF334" s="136"/>
      <c r="AG334" s="136"/>
      <c r="AH334" s="136"/>
    </row>
    <row r="335" spans="1:34" s="132" customFormat="1" ht="12.75" customHeight="1" x14ac:dyDescent="0.25">
      <c r="A335" s="137"/>
      <c r="B335" s="139"/>
      <c r="C335" s="136"/>
      <c r="D335" s="131"/>
      <c r="E335" s="131"/>
      <c r="F335" s="58"/>
      <c r="G335" s="140"/>
      <c r="H335" s="140"/>
      <c r="I335" s="58"/>
      <c r="J335" s="58"/>
      <c r="K335" s="58"/>
      <c r="L335" s="58"/>
      <c r="M335" s="135"/>
      <c r="N335" s="135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35"/>
      <c r="Z335" s="58"/>
      <c r="AA335" s="58"/>
      <c r="AB335" s="58"/>
      <c r="AC335" s="58"/>
      <c r="AD335" s="58"/>
      <c r="AE335" s="138"/>
      <c r="AF335" s="136"/>
      <c r="AG335" s="136"/>
      <c r="AH335" s="136"/>
    </row>
    <row r="336" spans="1:34" s="132" customFormat="1" ht="12.75" customHeight="1" x14ac:dyDescent="0.25">
      <c r="A336" s="137"/>
      <c r="B336" s="139"/>
      <c r="C336" s="136"/>
      <c r="D336" s="131"/>
      <c r="E336" s="131"/>
      <c r="F336" s="58"/>
      <c r="G336" s="140"/>
      <c r="H336" s="140"/>
      <c r="I336" s="58"/>
      <c r="J336" s="58"/>
      <c r="K336" s="58"/>
      <c r="L336" s="58"/>
      <c r="M336" s="135"/>
      <c r="N336" s="135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35"/>
      <c r="Z336" s="58"/>
      <c r="AA336" s="58"/>
      <c r="AB336" s="58"/>
      <c r="AC336" s="58"/>
      <c r="AD336" s="58"/>
      <c r="AE336" s="138"/>
      <c r="AF336" s="136"/>
      <c r="AG336" s="136"/>
      <c r="AH336" s="136"/>
    </row>
    <row r="337" spans="1:34" s="132" customFormat="1" ht="12.75" customHeight="1" x14ac:dyDescent="0.25">
      <c r="A337" s="137"/>
      <c r="B337" s="139"/>
      <c r="C337" s="136"/>
      <c r="D337" s="131"/>
      <c r="E337" s="131"/>
      <c r="F337" s="58"/>
      <c r="G337" s="140"/>
      <c r="H337" s="140"/>
      <c r="I337" s="58"/>
      <c r="J337" s="58"/>
      <c r="K337" s="58"/>
      <c r="L337" s="58"/>
      <c r="M337" s="135"/>
      <c r="N337" s="135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35"/>
      <c r="Z337" s="58"/>
      <c r="AA337" s="58"/>
      <c r="AB337" s="58"/>
      <c r="AC337" s="58"/>
      <c r="AD337" s="58"/>
      <c r="AE337" s="138"/>
      <c r="AF337" s="136"/>
      <c r="AG337" s="136"/>
      <c r="AH337" s="136"/>
    </row>
    <row r="338" spans="1:34" s="132" customFormat="1" ht="12.75" customHeight="1" x14ac:dyDescent="0.25">
      <c r="A338" s="137"/>
      <c r="B338" s="139"/>
      <c r="C338" s="136"/>
      <c r="D338" s="131"/>
      <c r="E338" s="131"/>
      <c r="F338" s="58"/>
      <c r="G338" s="140"/>
      <c r="H338" s="140"/>
      <c r="I338" s="58"/>
      <c r="J338" s="58"/>
      <c r="K338" s="58"/>
      <c r="L338" s="58"/>
      <c r="M338" s="135"/>
      <c r="N338" s="135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35"/>
      <c r="Z338" s="58"/>
      <c r="AA338" s="58"/>
      <c r="AB338" s="58"/>
      <c r="AC338" s="58"/>
      <c r="AD338" s="58"/>
      <c r="AE338" s="138"/>
      <c r="AF338" s="136"/>
      <c r="AG338" s="136"/>
      <c r="AH338" s="136"/>
    </row>
    <row r="339" spans="1:34" s="132" customFormat="1" ht="12.75" customHeight="1" x14ac:dyDescent="0.25">
      <c r="A339" s="137"/>
      <c r="B339" s="139"/>
      <c r="C339" s="136"/>
      <c r="D339" s="131"/>
      <c r="E339" s="131"/>
      <c r="F339" s="58"/>
      <c r="G339" s="140"/>
      <c r="H339" s="140"/>
      <c r="I339" s="58"/>
      <c r="J339" s="58"/>
      <c r="K339" s="58"/>
      <c r="L339" s="58"/>
      <c r="M339" s="135"/>
      <c r="N339" s="135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35"/>
      <c r="Z339" s="58"/>
      <c r="AA339" s="58"/>
      <c r="AB339" s="58"/>
      <c r="AC339" s="58"/>
      <c r="AD339" s="58"/>
      <c r="AE339" s="138"/>
      <c r="AF339" s="136"/>
      <c r="AG339" s="136"/>
      <c r="AH339" s="136"/>
    </row>
    <row r="340" spans="1:34" s="132" customFormat="1" ht="12.75" customHeight="1" x14ac:dyDescent="0.25">
      <c r="A340" s="137"/>
      <c r="B340" s="139"/>
      <c r="C340" s="136"/>
      <c r="D340" s="131"/>
      <c r="E340" s="131"/>
      <c r="F340" s="58"/>
      <c r="G340" s="140"/>
      <c r="H340" s="140"/>
      <c r="I340" s="58"/>
      <c r="J340" s="58"/>
      <c r="K340" s="58"/>
      <c r="L340" s="58"/>
      <c r="M340" s="135"/>
      <c r="N340" s="135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35"/>
      <c r="Z340" s="58"/>
      <c r="AA340" s="58"/>
      <c r="AB340" s="58"/>
      <c r="AC340" s="58"/>
      <c r="AD340" s="58"/>
      <c r="AE340" s="138"/>
      <c r="AF340" s="136"/>
      <c r="AG340" s="136"/>
      <c r="AH340" s="136"/>
    </row>
    <row r="341" spans="1:34" s="132" customFormat="1" ht="12.75" customHeight="1" x14ac:dyDescent="0.25">
      <c r="A341" s="137"/>
      <c r="B341" s="139"/>
      <c r="C341" s="136"/>
      <c r="D341" s="131"/>
      <c r="E341" s="131"/>
      <c r="F341" s="58"/>
      <c r="G341" s="140"/>
      <c r="H341" s="140"/>
      <c r="I341" s="58"/>
      <c r="J341" s="58"/>
      <c r="K341" s="58"/>
      <c r="L341" s="58"/>
      <c r="M341" s="135"/>
      <c r="N341" s="135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35"/>
      <c r="Z341" s="58"/>
      <c r="AA341" s="58"/>
      <c r="AB341" s="58"/>
      <c r="AC341" s="58"/>
      <c r="AD341" s="58"/>
      <c r="AE341" s="138"/>
      <c r="AF341" s="136"/>
      <c r="AG341" s="136"/>
      <c r="AH341" s="136"/>
    </row>
    <row r="342" spans="1:34" s="132" customFormat="1" ht="12.75" customHeight="1" x14ac:dyDescent="0.25">
      <c r="A342" s="137"/>
      <c r="B342" s="139"/>
      <c r="C342" s="136"/>
      <c r="D342" s="131"/>
      <c r="E342" s="131"/>
      <c r="F342" s="58"/>
      <c r="G342" s="140"/>
      <c r="H342" s="140"/>
      <c r="I342" s="58"/>
      <c r="J342" s="58"/>
      <c r="K342" s="58"/>
      <c r="L342" s="58"/>
      <c r="M342" s="135"/>
      <c r="N342" s="135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35"/>
      <c r="Z342" s="58"/>
      <c r="AA342" s="58"/>
      <c r="AB342" s="58"/>
      <c r="AC342" s="58"/>
      <c r="AD342" s="58"/>
      <c r="AE342" s="138"/>
      <c r="AF342" s="136"/>
      <c r="AG342" s="136"/>
      <c r="AH342" s="136"/>
    </row>
    <row r="343" spans="1:34" s="132" customFormat="1" ht="12.75" customHeight="1" x14ac:dyDescent="0.25">
      <c r="A343" s="137"/>
      <c r="B343" s="139"/>
      <c r="C343" s="136"/>
      <c r="D343" s="131"/>
      <c r="E343" s="131"/>
      <c r="F343" s="58"/>
      <c r="G343" s="140"/>
      <c r="H343" s="140"/>
      <c r="I343" s="58"/>
      <c r="J343" s="58"/>
      <c r="K343" s="58"/>
      <c r="L343" s="58"/>
      <c r="M343" s="135"/>
      <c r="N343" s="135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35"/>
      <c r="Z343" s="58"/>
      <c r="AA343" s="58"/>
      <c r="AB343" s="58"/>
      <c r="AC343" s="58"/>
      <c r="AD343" s="58"/>
      <c r="AE343" s="138"/>
      <c r="AF343" s="136"/>
      <c r="AG343" s="136"/>
      <c r="AH343" s="136"/>
    </row>
    <row r="344" spans="1:34" s="132" customFormat="1" ht="12.75" customHeight="1" x14ac:dyDescent="0.25">
      <c r="A344" s="137"/>
      <c r="B344" s="139"/>
      <c r="C344" s="136"/>
      <c r="D344" s="131"/>
      <c r="E344" s="131"/>
      <c r="F344" s="58"/>
      <c r="G344" s="140"/>
      <c r="H344" s="140"/>
      <c r="I344" s="58"/>
      <c r="J344" s="58"/>
      <c r="K344" s="58"/>
      <c r="L344" s="58"/>
      <c r="M344" s="135"/>
      <c r="N344" s="135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35"/>
      <c r="Z344" s="58"/>
      <c r="AA344" s="58"/>
      <c r="AB344" s="58"/>
      <c r="AC344" s="58"/>
      <c r="AD344" s="58"/>
      <c r="AE344" s="138"/>
      <c r="AF344" s="136"/>
      <c r="AG344" s="136"/>
      <c r="AH344" s="136"/>
    </row>
    <row r="345" spans="1:34" s="132" customFormat="1" ht="12.75" customHeight="1" x14ac:dyDescent="0.25">
      <c r="A345" s="137"/>
      <c r="B345" s="139"/>
      <c r="C345" s="136"/>
      <c r="D345" s="131"/>
      <c r="E345" s="131"/>
      <c r="F345" s="58"/>
      <c r="G345" s="140"/>
      <c r="H345" s="140"/>
      <c r="I345" s="58"/>
      <c r="J345" s="58"/>
      <c r="K345" s="58"/>
      <c r="L345" s="58"/>
      <c r="M345" s="135"/>
      <c r="N345" s="135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35"/>
      <c r="Z345" s="58"/>
      <c r="AA345" s="58"/>
      <c r="AB345" s="58"/>
      <c r="AC345" s="58"/>
      <c r="AD345" s="58"/>
      <c r="AE345" s="138"/>
      <c r="AF345" s="136"/>
      <c r="AG345" s="136"/>
      <c r="AH345" s="136"/>
    </row>
    <row r="346" spans="1:34" s="132" customFormat="1" ht="12.75" customHeight="1" x14ac:dyDescent="0.25">
      <c r="A346" s="137"/>
      <c r="B346" s="139"/>
      <c r="C346" s="136"/>
      <c r="D346" s="131"/>
      <c r="E346" s="131"/>
      <c r="F346" s="58"/>
      <c r="G346" s="140"/>
      <c r="H346" s="140"/>
      <c r="I346" s="58"/>
      <c r="J346" s="58"/>
      <c r="K346" s="58"/>
      <c r="L346" s="58"/>
      <c r="M346" s="135"/>
      <c r="N346" s="135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35"/>
      <c r="Z346" s="58"/>
      <c r="AA346" s="58"/>
      <c r="AB346" s="58"/>
      <c r="AC346" s="58"/>
      <c r="AD346" s="58"/>
      <c r="AE346" s="138"/>
      <c r="AF346" s="136"/>
      <c r="AG346" s="136"/>
      <c r="AH346" s="136"/>
    </row>
    <row r="347" spans="1:34" s="132" customFormat="1" ht="12.75" customHeight="1" x14ac:dyDescent="0.25">
      <c r="A347" s="137"/>
      <c r="B347" s="139"/>
      <c r="C347" s="136"/>
      <c r="D347" s="131"/>
      <c r="E347" s="131"/>
      <c r="F347" s="58"/>
      <c r="G347" s="140"/>
      <c r="H347" s="140"/>
      <c r="I347" s="58"/>
      <c r="J347" s="58"/>
      <c r="K347" s="58"/>
      <c r="L347" s="58"/>
      <c r="M347" s="135"/>
      <c r="N347" s="135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35"/>
      <c r="Z347" s="58"/>
      <c r="AA347" s="58"/>
      <c r="AB347" s="58"/>
      <c r="AC347" s="58"/>
      <c r="AD347" s="58"/>
      <c r="AE347" s="138"/>
      <c r="AF347" s="136"/>
      <c r="AG347" s="136"/>
      <c r="AH347" s="136"/>
    </row>
    <row r="348" spans="1:34" s="132" customFormat="1" ht="12.75" customHeight="1" x14ac:dyDescent="0.25">
      <c r="A348" s="137"/>
      <c r="B348" s="139"/>
      <c r="C348" s="136"/>
      <c r="D348" s="131"/>
      <c r="E348" s="131"/>
      <c r="F348" s="58"/>
      <c r="G348" s="140"/>
      <c r="H348" s="140"/>
      <c r="I348" s="58"/>
      <c r="J348" s="58"/>
      <c r="K348" s="58"/>
      <c r="L348" s="58"/>
      <c r="M348" s="135"/>
      <c r="N348" s="135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35"/>
      <c r="Z348" s="58"/>
      <c r="AA348" s="58"/>
      <c r="AB348" s="58"/>
      <c r="AC348" s="58"/>
      <c r="AD348" s="58"/>
      <c r="AE348" s="138"/>
      <c r="AF348" s="136"/>
      <c r="AG348" s="136"/>
      <c r="AH348" s="136"/>
    </row>
    <row r="349" spans="1:34" s="132" customFormat="1" ht="12.75" customHeight="1" x14ac:dyDescent="0.25">
      <c r="A349" s="137"/>
      <c r="B349" s="139"/>
      <c r="C349" s="136"/>
      <c r="D349" s="131"/>
      <c r="E349" s="131"/>
      <c r="F349" s="58"/>
      <c r="G349" s="140"/>
      <c r="H349" s="140"/>
      <c r="I349" s="58"/>
      <c r="J349" s="58"/>
      <c r="K349" s="58"/>
      <c r="L349" s="58"/>
      <c r="M349" s="135"/>
      <c r="N349" s="135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35"/>
      <c r="Z349" s="58"/>
      <c r="AA349" s="58"/>
      <c r="AB349" s="58"/>
      <c r="AC349" s="58"/>
      <c r="AD349" s="58"/>
      <c r="AE349" s="138"/>
      <c r="AF349" s="136"/>
      <c r="AG349" s="136"/>
      <c r="AH349" s="136"/>
    </row>
    <row r="350" spans="1:34" s="132" customFormat="1" ht="12.75" customHeight="1" x14ac:dyDescent="0.25">
      <c r="A350" s="137"/>
      <c r="B350" s="139"/>
      <c r="C350" s="136"/>
      <c r="D350" s="131"/>
      <c r="E350" s="131"/>
      <c r="F350" s="58"/>
      <c r="G350" s="140"/>
      <c r="H350" s="140"/>
      <c r="I350" s="58"/>
      <c r="J350" s="58"/>
      <c r="K350" s="58"/>
      <c r="L350" s="58"/>
      <c r="M350" s="135"/>
      <c r="N350" s="135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35"/>
      <c r="Z350" s="58"/>
      <c r="AA350" s="58"/>
      <c r="AB350" s="58"/>
      <c r="AC350" s="58"/>
      <c r="AD350" s="58"/>
      <c r="AE350" s="138"/>
      <c r="AF350" s="136"/>
      <c r="AG350" s="136"/>
      <c r="AH350" s="136"/>
    </row>
    <row r="351" spans="1:34" s="132" customFormat="1" ht="12.75" customHeight="1" x14ac:dyDescent="0.25">
      <c r="A351" s="137"/>
      <c r="B351" s="139"/>
      <c r="C351" s="136"/>
      <c r="D351" s="131"/>
      <c r="E351" s="131"/>
      <c r="F351" s="58"/>
      <c r="G351" s="140"/>
      <c r="H351" s="140"/>
      <c r="I351" s="58"/>
      <c r="J351" s="58"/>
      <c r="K351" s="58"/>
      <c r="L351" s="58"/>
      <c r="M351" s="135"/>
      <c r="N351" s="135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35"/>
      <c r="Z351" s="58"/>
      <c r="AA351" s="58"/>
      <c r="AB351" s="58"/>
      <c r="AC351" s="58"/>
      <c r="AD351" s="58"/>
      <c r="AE351" s="138"/>
      <c r="AF351" s="136"/>
      <c r="AG351" s="136"/>
      <c r="AH351" s="136"/>
    </row>
    <row r="352" spans="1:34" s="132" customFormat="1" ht="12.75" customHeight="1" x14ac:dyDescent="0.25">
      <c r="A352" s="137"/>
      <c r="B352" s="139"/>
      <c r="C352" s="136"/>
      <c r="D352" s="131"/>
      <c r="E352" s="131"/>
      <c r="F352" s="58"/>
      <c r="G352" s="140"/>
      <c r="H352" s="140"/>
      <c r="I352" s="58"/>
      <c r="J352" s="58"/>
      <c r="K352" s="58"/>
      <c r="L352" s="58"/>
      <c r="M352" s="135"/>
      <c r="N352" s="135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35"/>
      <c r="Z352" s="58"/>
      <c r="AA352" s="58"/>
      <c r="AB352" s="58"/>
      <c r="AC352" s="58"/>
      <c r="AD352" s="58"/>
      <c r="AE352" s="138"/>
      <c r="AF352" s="136"/>
      <c r="AG352" s="136"/>
      <c r="AH352" s="136"/>
    </row>
    <row r="353" spans="1:34" s="132" customFormat="1" ht="12.75" customHeight="1" x14ac:dyDescent="0.25">
      <c r="A353" s="137"/>
      <c r="B353" s="139"/>
      <c r="C353" s="136"/>
      <c r="D353" s="131"/>
      <c r="E353" s="131"/>
      <c r="F353" s="58"/>
      <c r="G353" s="140"/>
      <c r="H353" s="140"/>
      <c r="I353" s="58"/>
      <c r="J353" s="58"/>
      <c r="K353" s="58"/>
      <c r="L353" s="58"/>
      <c r="M353" s="135"/>
      <c r="N353" s="135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35"/>
      <c r="Z353" s="58"/>
      <c r="AA353" s="58"/>
      <c r="AB353" s="58"/>
      <c r="AC353" s="58"/>
      <c r="AD353" s="58"/>
      <c r="AE353" s="138"/>
      <c r="AF353" s="136"/>
      <c r="AG353" s="136"/>
      <c r="AH353" s="136"/>
    </row>
    <row r="354" spans="1:34" s="132" customFormat="1" ht="12.75" customHeight="1" x14ac:dyDescent="0.25">
      <c r="A354" s="137"/>
      <c r="B354" s="139"/>
      <c r="C354" s="136"/>
      <c r="D354" s="131"/>
      <c r="E354" s="131"/>
      <c r="F354" s="58"/>
      <c r="G354" s="140"/>
      <c r="H354" s="140"/>
      <c r="I354" s="58"/>
      <c r="J354" s="58"/>
      <c r="K354" s="58"/>
      <c r="L354" s="58"/>
      <c r="M354" s="135"/>
      <c r="N354" s="135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35"/>
      <c r="Z354" s="58"/>
      <c r="AA354" s="58"/>
      <c r="AB354" s="58"/>
      <c r="AC354" s="58"/>
      <c r="AD354" s="58"/>
      <c r="AE354" s="138"/>
      <c r="AF354" s="136"/>
      <c r="AG354" s="136"/>
      <c r="AH354" s="136"/>
    </row>
    <row r="355" spans="1:34" s="132" customFormat="1" ht="12.75" customHeight="1" x14ac:dyDescent="0.25">
      <c r="A355" s="137"/>
      <c r="B355" s="139"/>
      <c r="C355" s="136"/>
      <c r="D355" s="131"/>
      <c r="E355" s="131"/>
      <c r="F355" s="58"/>
      <c r="G355" s="140"/>
      <c r="H355" s="140"/>
      <c r="I355" s="58"/>
      <c r="J355" s="58"/>
      <c r="K355" s="58"/>
      <c r="L355" s="58"/>
      <c r="M355" s="135"/>
      <c r="N355" s="135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35"/>
      <c r="Z355" s="58"/>
      <c r="AA355" s="58"/>
      <c r="AB355" s="58"/>
      <c r="AC355" s="58"/>
      <c r="AD355" s="58"/>
      <c r="AE355" s="138"/>
      <c r="AF355" s="136"/>
      <c r="AG355" s="136"/>
      <c r="AH355" s="136"/>
    </row>
    <row r="356" spans="1:34" s="132" customFormat="1" ht="12.75" customHeight="1" x14ac:dyDescent="0.25">
      <c r="A356" s="137"/>
      <c r="B356" s="139"/>
      <c r="C356" s="136"/>
      <c r="D356" s="131"/>
      <c r="E356" s="131"/>
      <c r="F356" s="58"/>
      <c r="G356" s="140"/>
      <c r="H356" s="140"/>
      <c r="I356" s="58"/>
      <c r="J356" s="58"/>
      <c r="K356" s="58"/>
      <c r="L356" s="58"/>
      <c r="M356" s="135"/>
      <c r="N356" s="135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35"/>
      <c r="Z356" s="58"/>
      <c r="AA356" s="58"/>
      <c r="AB356" s="58"/>
      <c r="AC356" s="58"/>
      <c r="AD356" s="58"/>
      <c r="AE356" s="138"/>
      <c r="AF356" s="136"/>
      <c r="AG356" s="136"/>
      <c r="AH356" s="136"/>
    </row>
    <row r="357" spans="1:34" s="132" customFormat="1" ht="12.75" customHeight="1" x14ac:dyDescent="0.25">
      <c r="A357" s="137"/>
      <c r="B357" s="139"/>
      <c r="C357" s="136"/>
      <c r="D357" s="131"/>
      <c r="E357" s="131"/>
      <c r="F357" s="58"/>
      <c r="G357" s="140"/>
      <c r="H357" s="140"/>
      <c r="I357" s="58"/>
      <c r="J357" s="58"/>
      <c r="K357" s="58"/>
      <c r="L357" s="58"/>
      <c r="M357" s="135"/>
      <c r="N357" s="135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35"/>
      <c r="Z357" s="58"/>
      <c r="AA357" s="58"/>
      <c r="AB357" s="58"/>
      <c r="AC357" s="58"/>
      <c r="AD357" s="58"/>
      <c r="AE357" s="138"/>
      <c r="AF357" s="136"/>
      <c r="AG357" s="136"/>
      <c r="AH357" s="136"/>
    </row>
    <row r="358" spans="1:34" s="132" customFormat="1" ht="12.75" customHeight="1" x14ac:dyDescent="0.25">
      <c r="A358" s="137"/>
      <c r="B358" s="139"/>
      <c r="C358" s="136"/>
      <c r="D358" s="131"/>
      <c r="E358" s="131"/>
      <c r="F358" s="58"/>
      <c r="G358" s="140"/>
      <c r="H358" s="140"/>
      <c r="I358" s="58"/>
      <c r="J358" s="58"/>
      <c r="K358" s="58"/>
      <c r="L358" s="58"/>
      <c r="M358" s="135"/>
      <c r="N358" s="135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35"/>
      <c r="Z358" s="58"/>
      <c r="AA358" s="58"/>
      <c r="AB358" s="58"/>
      <c r="AC358" s="58"/>
      <c r="AD358" s="58"/>
      <c r="AE358" s="138"/>
      <c r="AF358" s="136"/>
      <c r="AG358" s="136"/>
      <c r="AH358" s="136"/>
    </row>
    <row r="359" spans="1:34" s="132" customFormat="1" ht="12.75" customHeight="1" x14ac:dyDescent="0.25">
      <c r="A359" s="137"/>
      <c r="B359" s="139"/>
      <c r="C359" s="136"/>
      <c r="D359" s="131"/>
      <c r="E359" s="131"/>
      <c r="F359" s="58"/>
      <c r="G359" s="140"/>
      <c r="H359" s="140"/>
      <c r="I359" s="58"/>
      <c r="J359" s="58"/>
      <c r="K359" s="58"/>
      <c r="L359" s="58"/>
      <c r="M359" s="135"/>
      <c r="N359" s="135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35"/>
      <c r="Z359" s="58"/>
      <c r="AA359" s="58"/>
      <c r="AB359" s="58"/>
      <c r="AC359" s="58"/>
      <c r="AD359" s="58"/>
      <c r="AE359" s="138"/>
      <c r="AF359" s="136"/>
      <c r="AG359" s="136"/>
      <c r="AH359" s="136"/>
    </row>
    <row r="360" spans="1:34" s="132" customFormat="1" ht="12.75" customHeight="1" x14ac:dyDescent="0.25">
      <c r="A360" s="137"/>
      <c r="B360" s="139"/>
      <c r="C360" s="136"/>
      <c r="D360" s="131"/>
      <c r="E360" s="131"/>
      <c r="F360" s="58"/>
      <c r="G360" s="140"/>
      <c r="H360" s="140"/>
      <c r="I360" s="58"/>
      <c r="J360" s="58"/>
      <c r="K360" s="58"/>
      <c r="L360" s="58"/>
      <c r="M360" s="135"/>
      <c r="N360" s="135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35"/>
      <c r="Z360" s="58"/>
      <c r="AA360" s="58"/>
      <c r="AB360" s="58"/>
      <c r="AC360" s="58"/>
      <c r="AD360" s="58"/>
      <c r="AE360" s="138"/>
      <c r="AF360" s="136"/>
      <c r="AG360" s="136"/>
      <c r="AH360" s="136"/>
    </row>
    <row r="361" spans="1:34" s="132" customFormat="1" ht="12.75" customHeight="1" x14ac:dyDescent="0.25">
      <c r="A361" s="137"/>
      <c r="B361" s="139"/>
      <c r="C361" s="136"/>
      <c r="D361" s="131"/>
      <c r="E361" s="131"/>
      <c r="F361" s="58"/>
      <c r="G361" s="140"/>
      <c r="H361" s="140"/>
      <c r="I361" s="58"/>
      <c r="J361" s="58"/>
      <c r="K361" s="58"/>
      <c r="L361" s="58"/>
      <c r="M361" s="135"/>
      <c r="N361" s="135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35"/>
      <c r="Z361" s="58"/>
      <c r="AA361" s="58"/>
      <c r="AB361" s="58"/>
      <c r="AC361" s="58"/>
      <c r="AD361" s="58"/>
      <c r="AE361" s="138"/>
      <c r="AF361" s="136"/>
      <c r="AG361" s="136"/>
      <c r="AH361" s="136"/>
    </row>
    <row r="362" spans="1:34" s="132" customFormat="1" ht="12.75" customHeight="1" x14ac:dyDescent="0.25">
      <c r="A362" s="137"/>
      <c r="B362" s="139"/>
      <c r="C362" s="136"/>
      <c r="D362" s="131"/>
      <c r="E362" s="131"/>
      <c r="F362" s="58"/>
      <c r="G362" s="140"/>
      <c r="H362" s="140"/>
      <c r="I362" s="58"/>
      <c r="J362" s="58"/>
      <c r="K362" s="58"/>
      <c r="L362" s="58"/>
      <c r="M362" s="135"/>
      <c r="N362" s="135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35"/>
      <c r="Z362" s="58"/>
      <c r="AA362" s="58"/>
      <c r="AB362" s="58"/>
      <c r="AC362" s="58"/>
      <c r="AD362" s="58"/>
      <c r="AE362" s="138"/>
      <c r="AF362" s="136"/>
      <c r="AG362" s="136"/>
      <c r="AH362" s="136"/>
    </row>
    <row r="363" spans="1:34" s="132" customFormat="1" ht="12.75" customHeight="1" x14ac:dyDescent="0.25">
      <c r="A363" s="137"/>
      <c r="B363" s="139"/>
      <c r="C363" s="136"/>
      <c r="D363" s="131"/>
      <c r="E363" s="131"/>
      <c r="F363" s="58"/>
      <c r="G363" s="140"/>
      <c r="H363" s="140"/>
      <c r="I363" s="58"/>
      <c r="J363" s="58"/>
      <c r="K363" s="58"/>
      <c r="L363" s="58"/>
      <c r="M363" s="135"/>
      <c r="N363" s="135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35"/>
      <c r="Z363" s="58"/>
      <c r="AA363" s="58"/>
      <c r="AB363" s="58"/>
      <c r="AC363" s="58"/>
      <c r="AD363" s="58"/>
      <c r="AE363" s="138"/>
      <c r="AF363" s="136"/>
      <c r="AG363" s="136"/>
      <c r="AH363" s="136"/>
    </row>
    <row r="364" spans="1:34" s="132" customFormat="1" ht="12.75" customHeight="1" x14ac:dyDescent="0.25">
      <c r="A364" s="137"/>
      <c r="B364" s="139"/>
      <c r="C364" s="136"/>
      <c r="D364" s="131"/>
      <c r="E364" s="131"/>
      <c r="F364" s="58"/>
      <c r="G364" s="140"/>
      <c r="H364" s="140"/>
      <c r="I364" s="58"/>
      <c r="J364" s="58"/>
      <c r="K364" s="58"/>
      <c r="L364" s="58"/>
      <c r="M364" s="135"/>
      <c r="N364" s="135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35"/>
      <c r="Z364" s="58"/>
      <c r="AA364" s="58"/>
      <c r="AB364" s="58"/>
      <c r="AC364" s="58"/>
      <c r="AD364" s="58"/>
      <c r="AE364" s="138"/>
      <c r="AF364" s="136"/>
      <c r="AG364" s="136"/>
      <c r="AH364" s="136"/>
    </row>
    <row r="365" spans="1:34" s="132" customFormat="1" ht="12.75" customHeight="1" x14ac:dyDescent="0.25">
      <c r="A365" s="137"/>
      <c r="B365" s="139"/>
      <c r="C365" s="136"/>
      <c r="D365" s="131"/>
      <c r="E365" s="131"/>
      <c r="F365" s="58"/>
      <c r="G365" s="140"/>
      <c r="H365" s="140"/>
      <c r="I365" s="58"/>
      <c r="J365" s="58"/>
      <c r="K365" s="58"/>
      <c r="L365" s="58"/>
      <c r="M365" s="135"/>
      <c r="N365" s="135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35"/>
      <c r="Z365" s="58"/>
      <c r="AA365" s="58"/>
      <c r="AB365" s="58"/>
      <c r="AC365" s="58"/>
      <c r="AD365" s="58"/>
      <c r="AE365" s="138"/>
      <c r="AF365" s="136"/>
      <c r="AG365" s="136"/>
      <c r="AH365" s="136"/>
    </row>
    <row r="366" spans="1:34" s="132" customFormat="1" ht="12.75" customHeight="1" x14ac:dyDescent="0.25">
      <c r="A366" s="137"/>
      <c r="B366" s="139"/>
      <c r="C366" s="136"/>
      <c r="D366" s="131"/>
      <c r="E366" s="131"/>
      <c r="F366" s="58"/>
      <c r="G366" s="140"/>
      <c r="H366" s="140"/>
      <c r="I366" s="58"/>
      <c r="J366" s="58"/>
      <c r="K366" s="58"/>
      <c r="L366" s="58"/>
      <c r="M366" s="135"/>
      <c r="N366" s="135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35"/>
      <c r="Z366" s="58"/>
      <c r="AA366" s="58"/>
      <c r="AB366" s="58"/>
      <c r="AC366" s="58"/>
      <c r="AD366" s="58"/>
      <c r="AE366" s="138"/>
      <c r="AF366" s="136"/>
      <c r="AG366" s="136"/>
      <c r="AH366" s="136"/>
    </row>
    <row r="367" spans="1:34" s="132" customFormat="1" ht="12.75" customHeight="1" x14ac:dyDescent="0.25">
      <c r="A367" s="137"/>
      <c r="B367" s="139"/>
      <c r="C367" s="136"/>
      <c r="D367" s="131"/>
      <c r="E367" s="131"/>
      <c r="F367" s="58"/>
      <c r="G367" s="140"/>
      <c r="H367" s="140"/>
      <c r="I367" s="58"/>
      <c r="J367" s="58"/>
      <c r="K367" s="58"/>
      <c r="L367" s="58"/>
      <c r="M367" s="135"/>
      <c r="N367" s="135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35"/>
      <c r="Z367" s="58"/>
      <c r="AA367" s="58"/>
      <c r="AB367" s="58"/>
      <c r="AC367" s="58"/>
      <c r="AD367" s="58"/>
      <c r="AE367" s="138"/>
      <c r="AF367" s="136"/>
      <c r="AG367" s="136"/>
      <c r="AH367" s="136"/>
    </row>
    <row r="368" spans="1:34" s="132" customFormat="1" ht="12.75" customHeight="1" x14ac:dyDescent="0.25">
      <c r="A368" s="137"/>
      <c r="B368" s="139"/>
      <c r="C368" s="136"/>
      <c r="D368" s="131"/>
      <c r="E368" s="131"/>
      <c r="F368" s="58"/>
      <c r="G368" s="140"/>
      <c r="H368" s="140"/>
      <c r="I368" s="58"/>
      <c r="J368" s="58"/>
      <c r="K368" s="58"/>
      <c r="L368" s="58"/>
      <c r="M368" s="135"/>
      <c r="N368" s="135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35"/>
      <c r="Z368" s="58"/>
      <c r="AA368" s="58"/>
      <c r="AB368" s="58"/>
      <c r="AC368" s="58"/>
      <c r="AD368" s="58"/>
      <c r="AE368" s="138"/>
      <c r="AF368" s="136"/>
      <c r="AG368" s="136"/>
      <c r="AH368" s="136"/>
    </row>
    <row r="369" spans="1:34" s="132" customFormat="1" ht="12.75" customHeight="1" x14ac:dyDescent="0.25">
      <c r="A369" s="137"/>
      <c r="B369" s="139"/>
      <c r="C369" s="136"/>
      <c r="D369" s="131"/>
      <c r="E369" s="131"/>
      <c r="F369" s="58"/>
      <c r="G369" s="140"/>
      <c r="H369" s="140"/>
      <c r="I369" s="58"/>
      <c r="J369" s="58"/>
      <c r="K369" s="58"/>
      <c r="L369" s="58"/>
      <c r="M369" s="135"/>
      <c r="N369" s="135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35"/>
      <c r="Z369" s="58"/>
      <c r="AA369" s="58"/>
      <c r="AB369" s="58"/>
      <c r="AC369" s="58"/>
      <c r="AD369" s="58"/>
      <c r="AE369" s="138"/>
      <c r="AF369" s="136"/>
      <c r="AG369" s="136"/>
      <c r="AH369" s="136"/>
    </row>
    <row r="370" spans="1:34" s="132" customFormat="1" ht="12.75" customHeight="1" x14ac:dyDescent="0.25">
      <c r="A370" s="137"/>
      <c r="B370" s="139"/>
      <c r="C370" s="136"/>
      <c r="D370" s="131"/>
      <c r="E370" s="131"/>
      <c r="F370" s="58"/>
      <c r="G370" s="140"/>
      <c r="H370" s="140"/>
      <c r="I370" s="58"/>
      <c r="J370" s="58"/>
      <c r="K370" s="58"/>
      <c r="L370" s="58"/>
      <c r="M370" s="135"/>
      <c r="N370" s="135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35"/>
      <c r="Z370" s="58"/>
      <c r="AA370" s="58"/>
      <c r="AB370" s="58"/>
      <c r="AC370" s="58"/>
      <c r="AD370" s="58"/>
      <c r="AE370" s="138"/>
      <c r="AF370" s="136"/>
      <c r="AG370" s="136"/>
      <c r="AH370" s="136"/>
    </row>
    <row r="371" spans="1:34" s="132" customFormat="1" ht="12.75" customHeight="1" x14ac:dyDescent="0.25">
      <c r="A371" s="137"/>
      <c r="B371" s="139"/>
      <c r="C371" s="136"/>
      <c r="D371" s="131"/>
      <c r="E371" s="131"/>
      <c r="F371" s="58"/>
      <c r="G371" s="140"/>
      <c r="H371" s="140"/>
      <c r="I371" s="58"/>
      <c r="J371" s="58"/>
      <c r="K371" s="58"/>
      <c r="L371" s="58"/>
      <c r="M371" s="135"/>
      <c r="N371" s="135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35"/>
      <c r="Z371" s="58"/>
      <c r="AA371" s="58"/>
      <c r="AB371" s="58"/>
      <c r="AC371" s="58"/>
      <c r="AD371" s="58"/>
      <c r="AE371" s="138"/>
      <c r="AF371" s="136"/>
      <c r="AG371" s="136"/>
      <c r="AH371" s="136"/>
    </row>
    <row r="372" spans="1:34" s="132" customFormat="1" ht="12.75" customHeight="1" x14ac:dyDescent="0.25">
      <c r="A372" s="137"/>
      <c r="B372" s="139"/>
      <c r="C372" s="136"/>
      <c r="D372" s="131"/>
      <c r="E372" s="131"/>
      <c r="F372" s="58"/>
      <c r="G372" s="140"/>
      <c r="H372" s="140"/>
      <c r="I372" s="58"/>
      <c r="J372" s="58"/>
      <c r="K372" s="58"/>
      <c r="L372" s="58"/>
      <c r="M372" s="135"/>
      <c r="N372" s="135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35"/>
      <c r="Z372" s="58"/>
      <c r="AA372" s="58"/>
      <c r="AB372" s="58"/>
      <c r="AC372" s="58"/>
      <c r="AD372" s="58"/>
      <c r="AE372" s="138"/>
      <c r="AF372" s="136"/>
      <c r="AG372" s="136"/>
      <c r="AH372" s="136"/>
    </row>
    <row r="373" spans="1:34" s="132" customFormat="1" ht="12.75" customHeight="1" x14ac:dyDescent="0.25">
      <c r="A373" s="137"/>
      <c r="B373" s="139"/>
      <c r="C373" s="136"/>
      <c r="D373" s="131"/>
      <c r="E373" s="131"/>
      <c r="F373" s="58"/>
      <c r="G373" s="140"/>
      <c r="H373" s="140"/>
      <c r="I373" s="58"/>
      <c r="J373" s="58"/>
      <c r="K373" s="58"/>
      <c r="L373" s="58"/>
      <c r="M373" s="135"/>
      <c r="N373" s="135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35"/>
      <c r="Z373" s="58"/>
      <c r="AA373" s="58"/>
      <c r="AB373" s="58"/>
      <c r="AC373" s="58"/>
      <c r="AD373" s="58"/>
      <c r="AE373" s="138"/>
      <c r="AF373" s="136"/>
      <c r="AG373" s="136"/>
      <c r="AH373" s="136"/>
    </row>
    <row r="374" spans="1:34" s="132" customFormat="1" ht="12.75" customHeight="1" x14ac:dyDescent="0.25">
      <c r="A374" s="137"/>
      <c r="B374" s="139"/>
      <c r="C374" s="136"/>
      <c r="D374" s="131"/>
      <c r="E374" s="131"/>
      <c r="F374" s="58"/>
      <c r="G374" s="140"/>
      <c r="H374" s="140"/>
      <c r="I374" s="58"/>
      <c r="J374" s="58"/>
      <c r="K374" s="58"/>
      <c r="L374" s="58"/>
      <c r="M374" s="135"/>
      <c r="N374" s="135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35"/>
      <c r="Z374" s="58"/>
      <c r="AA374" s="58"/>
      <c r="AB374" s="58"/>
      <c r="AC374" s="58"/>
      <c r="AD374" s="58"/>
      <c r="AE374" s="138"/>
      <c r="AF374" s="136"/>
      <c r="AG374" s="136"/>
      <c r="AH374" s="136"/>
    </row>
    <row r="375" spans="1:34" s="132" customFormat="1" ht="12.75" customHeight="1" x14ac:dyDescent="0.25">
      <c r="A375" s="137"/>
      <c r="B375" s="139"/>
      <c r="C375" s="136"/>
      <c r="D375" s="131"/>
      <c r="E375" s="131"/>
      <c r="F375" s="58"/>
      <c r="G375" s="140"/>
      <c r="H375" s="140"/>
      <c r="I375" s="58"/>
      <c r="J375" s="58"/>
      <c r="K375" s="58"/>
      <c r="L375" s="58"/>
      <c r="M375" s="135"/>
      <c r="N375" s="135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35"/>
      <c r="Z375" s="58"/>
      <c r="AA375" s="58"/>
      <c r="AB375" s="58"/>
      <c r="AC375" s="58"/>
      <c r="AD375" s="58"/>
      <c r="AE375" s="138"/>
      <c r="AF375" s="136"/>
      <c r="AG375" s="136"/>
      <c r="AH375" s="136"/>
    </row>
    <row r="376" spans="1:34" s="132" customFormat="1" ht="12.75" customHeight="1" x14ac:dyDescent="0.25">
      <c r="A376" s="137"/>
      <c r="B376" s="139"/>
      <c r="C376" s="136"/>
      <c r="D376" s="131"/>
      <c r="E376" s="131"/>
      <c r="F376" s="58"/>
      <c r="G376" s="140"/>
      <c r="H376" s="140"/>
      <c r="I376" s="58"/>
      <c r="J376" s="58"/>
      <c r="K376" s="58"/>
      <c r="L376" s="58"/>
      <c r="M376" s="135"/>
      <c r="N376" s="135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35"/>
      <c r="Z376" s="58"/>
      <c r="AA376" s="58"/>
      <c r="AB376" s="58"/>
      <c r="AC376" s="58"/>
      <c r="AD376" s="58"/>
      <c r="AE376" s="138"/>
      <c r="AF376" s="136"/>
      <c r="AG376" s="136"/>
      <c r="AH376" s="136"/>
    </row>
    <row r="377" spans="1:34" s="132" customFormat="1" ht="12.75" customHeight="1" x14ac:dyDescent="0.25">
      <c r="A377" s="137"/>
      <c r="B377" s="139"/>
      <c r="C377" s="136"/>
      <c r="D377" s="131"/>
      <c r="E377" s="131"/>
      <c r="F377" s="58"/>
      <c r="G377" s="140"/>
      <c r="H377" s="140"/>
      <c r="I377" s="58"/>
      <c r="J377" s="58"/>
      <c r="K377" s="58"/>
      <c r="L377" s="58"/>
      <c r="M377" s="135"/>
      <c r="N377" s="135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35"/>
      <c r="Z377" s="58"/>
      <c r="AA377" s="58"/>
      <c r="AB377" s="58"/>
      <c r="AC377" s="58"/>
      <c r="AD377" s="58"/>
      <c r="AE377" s="138"/>
      <c r="AF377" s="136"/>
      <c r="AG377" s="136"/>
      <c r="AH377" s="136"/>
    </row>
    <row r="378" spans="1:34" s="132" customFormat="1" ht="12.75" customHeight="1" x14ac:dyDescent="0.25">
      <c r="A378" s="137"/>
      <c r="B378" s="139"/>
      <c r="C378" s="136"/>
      <c r="D378" s="131"/>
      <c r="E378" s="131"/>
      <c r="F378" s="58"/>
      <c r="G378" s="140"/>
      <c r="H378" s="140"/>
      <c r="I378" s="58"/>
      <c r="J378" s="58"/>
      <c r="K378" s="58"/>
      <c r="L378" s="58"/>
      <c r="M378" s="135"/>
      <c r="N378" s="135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35"/>
      <c r="Z378" s="58"/>
      <c r="AA378" s="58"/>
      <c r="AB378" s="58"/>
      <c r="AC378" s="58"/>
      <c r="AD378" s="58"/>
      <c r="AE378" s="138"/>
      <c r="AF378" s="136"/>
      <c r="AG378" s="136"/>
      <c r="AH378" s="136"/>
    </row>
    <row r="379" spans="1:34" s="132" customFormat="1" ht="12.75" customHeight="1" x14ac:dyDescent="0.25">
      <c r="A379" s="137"/>
      <c r="B379" s="139"/>
      <c r="C379" s="136"/>
      <c r="D379" s="131"/>
      <c r="E379" s="131"/>
      <c r="F379" s="58"/>
      <c r="G379" s="140"/>
      <c r="H379" s="140"/>
      <c r="I379" s="58"/>
      <c r="J379" s="58"/>
      <c r="K379" s="58"/>
      <c r="L379" s="58"/>
      <c r="M379" s="135"/>
      <c r="N379" s="135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35"/>
      <c r="Z379" s="58"/>
      <c r="AA379" s="58"/>
      <c r="AB379" s="58"/>
      <c r="AC379" s="58"/>
      <c r="AD379" s="58"/>
      <c r="AE379" s="138"/>
      <c r="AF379" s="136"/>
      <c r="AG379" s="136"/>
      <c r="AH379" s="136"/>
    </row>
    <row r="380" spans="1:34" s="132" customFormat="1" ht="12.75" customHeight="1" x14ac:dyDescent="0.25">
      <c r="A380" s="137"/>
      <c r="B380" s="139"/>
      <c r="C380" s="136"/>
      <c r="D380" s="131"/>
      <c r="E380" s="131"/>
      <c r="F380" s="58"/>
      <c r="G380" s="140"/>
      <c r="H380" s="140"/>
      <c r="I380" s="58"/>
      <c r="J380" s="58"/>
      <c r="K380" s="58"/>
      <c r="L380" s="58"/>
      <c r="M380" s="135"/>
      <c r="N380" s="135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35"/>
      <c r="Z380" s="58"/>
      <c r="AA380" s="58"/>
      <c r="AB380" s="58"/>
      <c r="AC380" s="58"/>
      <c r="AD380" s="58"/>
      <c r="AE380" s="138"/>
      <c r="AF380" s="136"/>
      <c r="AG380" s="136"/>
      <c r="AH380" s="136"/>
    </row>
    <row r="381" spans="1:34" s="132" customFormat="1" ht="12.75" customHeight="1" x14ac:dyDescent="0.25">
      <c r="A381" s="137"/>
      <c r="B381" s="139"/>
      <c r="C381" s="136"/>
      <c r="D381" s="131"/>
      <c r="E381" s="131"/>
      <c r="F381" s="58"/>
      <c r="G381" s="140"/>
      <c r="H381" s="140"/>
      <c r="I381" s="58"/>
      <c r="J381" s="58"/>
      <c r="K381" s="58"/>
      <c r="L381" s="58"/>
      <c r="M381" s="135"/>
      <c r="N381" s="135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35"/>
      <c r="Z381" s="58"/>
      <c r="AA381" s="58"/>
      <c r="AB381" s="58"/>
      <c r="AC381" s="58"/>
      <c r="AD381" s="58"/>
      <c r="AE381" s="138"/>
      <c r="AF381" s="136"/>
      <c r="AG381" s="136"/>
      <c r="AH381" s="136"/>
    </row>
    <row r="382" spans="1:34" s="132" customFormat="1" ht="12.75" customHeight="1" x14ac:dyDescent="0.25">
      <c r="A382" s="137"/>
      <c r="B382" s="139"/>
      <c r="C382" s="136"/>
      <c r="D382" s="131"/>
      <c r="E382" s="131"/>
      <c r="F382" s="58"/>
      <c r="G382" s="140"/>
      <c r="H382" s="140"/>
      <c r="I382" s="58"/>
      <c r="J382" s="58"/>
      <c r="K382" s="58"/>
      <c r="L382" s="58"/>
      <c r="M382" s="135"/>
      <c r="N382" s="135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35"/>
      <c r="Z382" s="58"/>
      <c r="AA382" s="58"/>
      <c r="AB382" s="58"/>
      <c r="AC382" s="58"/>
      <c r="AD382" s="58"/>
      <c r="AE382" s="138"/>
      <c r="AF382" s="136"/>
      <c r="AG382" s="136"/>
      <c r="AH382" s="136"/>
    </row>
    <row r="383" spans="1:34" s="132" customFormat="1" ht="12.75" customHeight="1" x14ac:dyDescent="0.25">
      <c r="A383" s="137"/>
      <c r="B383" s="139"/>
      <c r="C383" s="136"/>
      <c r="D383" s="131"/>
      <c r="E383" s="131"/>
      <c r="F383" s="58"/>
      <c r="G383" s="140"/>
      <c r="H383" s="140"/>
      <c r="I383" s="58"/>
      <c r="J383" s="58"/>
      <c r="K383" s="58"/>
      <c r="L383" s="58"/>
      <c r="M383" s="135"/>
      <c r="N383" s="135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35"/>
      <c r="Z383" s="58"/>
      <c r="AA383" s="58"/>
      <c r="AB383" s="58"/>
      <c r="AC383" s="58"/>
      <c r="AD383" s="58"/>
      <c r="AE383" s="138"/>
      <c r="AF383" s="136"/>
      <c r="AG383" s="136"/>
      <c r="AH383" s="136"/>
    </row>
    <row r="384" spans="1:34" s="132" customFormat="1" ht="12.75" customHeight="1" x14ac:dyDescent="0.25">
      <c r="A384" s="137"/>
      <c r="B384" s="139"/>
      <c r="C384" s="136"/>
      <c r="D384" s="131"/>
      <c r="E384" s="131"/>
      <c r="F384" s="58"/>
      <c r="G384" s="140"/>
      <c r="H384" s="140"/>
      <c r="I384" s="58"/>
      <c r="J384" s="58"/>
      <c r="K384" s="58"/>
      <c r="L384" s="58"/>
      <c r="M384" s="135"/>
      <c r="N384" s="135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35"/>
      <c r="Z384" s="58"/>
      <c r="AA384" s="58"/>
      <c r="AB384" s="58"/>
      <c r="AC384" s="58"/>
      <c r="AD384" s="58"/>
      <c r="AE384" s="138"/>
      <c r="AF384" s="136"/>
      <c r="AG384" s="136"/>
      <c r="AH384" s="136"/>
    </row>
    <row r="385" spans="1:34" s="132" customFormat="1" ht="12.75" customHeight="1" x14ac:dyDescent="0.25">
      <c r="A385" s="137"/>
      <c r="B385" s="139"/>
      <c r="C385" s="136"/>
      <c r="D385" s="131"/>
      <c r="E385" s="131"/>
      <c r="F385" s="58"/>
      <c r="G385" s="140"/>
      <c r="H385" s="140"/>
      <c r="I385" s="58"/>
      <c r="J385" s="58"/>
      <c r="K385" s="58"/>
      <c r="L385" s="58"/>
      <c r="M385" s="135"/>
      <c r="N385" s="135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35"/>
      <c r="Z385" s="58"/>
      <c r="AA385" s="58"/>
      <c r="AB385" s="58"/>
      <c r="AC385" s="58"/>
      <c r="AD385" s="58"/>
      <c r="AE385" s="138"/>
      <c r="AF385" s="136"/>
      <c r="AG385" s="136"/>
      <c r="AH385" s="136"/>
    </row>
    <row r="386" spans="1:34" s="132" customFormat="1" ht="12.75" customHeight="1" x14ac:dyDescent="0.25">
      <c r="A386" s="137"/>
      <c r="B386" s="139"/>
      <c r="C386" s="136"/>
      <c r="D386" s="131"/>
      <c r="E386" s="131"/>
      <c r="F386" s="58"/>
      <c r="G386" s="140"/>
      <c r="H386" s="140"/>
      <c r="I386" s="58"/>
      <c r="J386" s="58"/>
      <c r="K386" s="58"/>
      <c r="L386" s="58"/>
      <c r="M386" s="135"/>
      <c r="N386" s="135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35"/>
      <c r="Z386" s="58"/>
      <c r="AA386" s="58"/>
      <c r="AB386" s="58"/>
      <c r="AC386" s="58"/>
      <c r="AD386" s="58"/>
      <c r="AE386" s="138"/>
      <c r="AF386" s="136"/>
      <c r="AG386" s="136"/>
      <c r="AH386" s="136"/>
    </row>
    <row r="387" spans="1:34" s="132" customFormat="1" ht="12.75" customHeight="1" x14ac:dyDescent="0.25">
      <c r="A387" s="137"/>
      <c r="B387" s="139"/>
      <c r="C387" s="136"/>
      <c r="D387" s="131"/>
      <c r="E387" s="131"/>
      <c r="F387" s="58"/>
      <c r="G387" s="140"/>
      <c r="H387" s="140"/>
      <c r="I387" s="58"/>
      <c r="J387" s="58"/>
      <c r="K387" s="58"/>
      <c r="L387" s="58"/>
      <c r="M387" s="135"/>
      <c r="N387" s="135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35"/>
      <c r="Z387" s="58"/>
      <c r="AA387" s="58"/>
      <c r="AB387" s="58"/>
      <c r="AC387" s="58"/>
      <c r="AD387" s="58"/>
      <c r="AE387" s="138"/>
      <c r="AF387" s="136"/>
      <c r="AG387" s="136"/>
      <c r="AH387" s="136"/>
    </row>
    <row r="388" spans="1:34" s="132" customFormat="1" ht="12.75" customHeight="1" x14ac:dyDescent="0.25">
      <c r="A388" s="137"/>
      <c r="B388" s="139"/>
      <c r="C388" s="136"/>
      <c r="D388" s="131"/>
      <c r="E388" s="131"/>
      <c r="F388" s="58"/>
      <c r="G388" s="140"/>
      <c r="H388" s="140"/>
      <c r="I388" s="58"/>
      <c r="J388" s="58"/>
      <c r="K388" s="58"/>
      <c r="L388" s="58"/>
      <c r="M388" s="135"/>
      <c r="N388" s="135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35"/>
      <c r="Z388" s="58"/>
      <c r="AA388" s="58"/>
      <c r="AB388" s="58"/>
      <c r="AC388" s="58"/>
      <c r="AD388" s="58"/>
      <c r="AE388" s="138"/>
      <c r="AF388" s="136"/>
      <c r="AG388" s="136"/>
      <c r="AH388" s="136"/>
    </row>
    <row r="389" spans="1:34" s="132" customFormat="1" ht="12.75" customHeight="1" x14ac:dyDescent="0.25">
      <c r="A389" s="137"/>
      <c r="B389" s="139"/>
      <c r="C389" s="136"/>
      <c r="D389" s="131"/>
      <c r="E389" s="131"/>
      <c r="F389" s="58"/>
      <c r="G389" s="140"/>
      <c r="H389" s="140"/>
      <c r="I389" s="58"/>
      <c r="J389" s="58"/>
      <c r="K389" s="58"/>
      <c r="L389" s="58"/>
      <c r="M389" s="135"/>
      <c r="N389" s="135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35"/>
      <c r="Z389" s="58"/>
      <c r="AA389" s="58"/>
      <c r="AB389" s="58"/>
      <c r="AC389" s="58"/>
      <c r="AD389" s="58"/>
      <c r="AE389" s="138"/>
      <c r="AF389" s="136"/>
      <c r="AG389" s="136"/>
      <c r="AH389" s="136"/>
    </row>
    <row r="390" spans="1:34" s="132" customFormat="1" ht="12.75" customHeight="1" x14ac:dyDescent="0.25">
      <c r="A390" s="137"/>
      <c r="B390" s="139"/>
      <c r="C390" s="136"/>
      <c r="D390" s="131"/>
      <c r="E390" s="131"/>
      <c r="F390" s="58"/>
      <c r="G390" s="140"/>
      <c r="H390" s="140"/>
      <c r="I390" s="58"/>
      <c r="J390" s="58"/>
      <c r="K390" s="58"/>
      <c r="L390" s="58"/>
      <c r="M390" s="135"/>
      <c r="N390" s="135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35"/>
      <c r="Z390" s="58"/>
      <c r="AA390" s="58"/>
      <c r="AB390" s="58"/>
      <c r="AC390" s="58"/>
      <c r="AD390" s="58"/>
      <c r="AE390" s="138"/>
      <c r="AF390" s="136"/>
      <c r="AG390" s="136"/>
      <c r="AH390" s="136"/>
    </row>
    <row r="391" spans="1:34" s="132" customFormat="1" ht="12.75" customHeight="1" x14ac:dyDescent="0.25">
      <c r="A391" s="137"/>
      <c r="B391" s="139"/>
      <c r="C391" s="136"/>
      <c r="D391" s="131"/>
      <c r="E391" s="131"/>
      <c r="F391" s="58"/>
      <c r="G391" s="140"/>
      <c r="H391" s="140"/>
      <c r="I391" s="58"/>
      <c r="J391" s="58"/>
      <c r="K391" s="58"/>
      <c r="L391" s="58"/>
      <c r="M391" s="135"/>
      <c r="N391" s="135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35"/>
      <c r="Z391" s="58"/>
      <c r="AA391" s="58"/>
      <c r="AB391" s="58"/>
      <c r="AC391" s="58"/>
      <c r="AD391" s="58"/>
      <c r="AE391" s="138"/>
      <c r="AF391" s="136"/>
      <c r="AG391" s="136"/>
      <c r="AH391" s="136"/>
    </row>
    <row r="392" spans="1:34" s="132" customFormat="1" ht="12.75" customHeight="1" x14ac:dyDescent="0.25">
      <c r="A392" s="137"/>
      <c r="B392" s="139"/>
      <c r="C392" s="136"/>
      <c r="D392" s="131"/>
      <c r="E392" s="131"/>
      <c r="F392" s="58"/>
      <c r="G392" s="140"/>
      <c r="H392" s="140"/>
      <c r="I392" s="58"/>
      <c r="J392" s="58"/>
      <c r="K392" s="58"/>
      <c r="L392" s="58"/>
      <c r="M392" s="135"/>
      <c r="N392" s="135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35"/>
      <c r="Z392" s="58"/>
      <c r="AA392" s="58"/>
      <c r="AB392" s="58"/>
      <c r="AC392" s="58"/>
      <c r="AD392" s="58"/>
      <c r="AE392" s="138"/>
      <c r="AF392" s="136"/>
      <c r="AG392" s="136"/>
      <c r="AH392" s="136"/>
    </row>
    <row r="393" spans="1:34" s="132" customFormat="1" ht="12.75" customHeight="1" x14ac:dyDescent="0.25">
      <c r="A393" s="137"/>
      <c r="B393" s="139"/>
      <c r="C393" s="136"/>
      <c r="D393" s="131"/>
      <c r="E393" s="131"/>
      <c r="F393" s="58"/>
      <c r="G393" s="140"/>
      <c r="H393" s="140"/>
      <c r="I393" s="58"/>
      <c r="J393" s="58"/>
      <c r="K393" s="58"/>
      <c r="L393" s="58"/>
      <c r="M393" s="135"/>
      <c r="N393" s="135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35"/>
      <c r="Z393" s="58"/>
      <c r="AA393" s="58"/>
      <c r="AB393" s="58"/>
      <c r="AC393" s="58"/>
      <c r="AD393" s="58"/>
      <c r="AE393" s="138"/>
      <c r="AF393" s="136"/>
      <c r="AG393" s="136"/>
      <c r="AH393" s="136"/>
    </row>
    <row r="394" spans="1:34" s="132" customFormat="1" ht="12.75" customHeight="1" x14ac:dyDescent="0.25">
      <c r="A394" s="137"/>
      <c r="B394" s="139"/>
      <c r="C394" s="136"/>
      <c r="D394" s="131"/>
      <c r="E394" s="131"/>
      <c r="F394" s="58"/>
      <c r="G394" s="140"/>
      <c r="H394" s="140"/>
      <c r="I394" s="58"/>
      <c r="J394" s="58"/>
      <c r="K394" s="58"/>
      <c r="L394" s="58"/>
      <c r="M394" s="135"/>
      <c r="N394" s="135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35"/>
      <c r="Z394" s="58"/>
      <c r="AA394" s="58"/>
      <c r="AB394" s="58"/>
      <c r="AC394" s="58"/>
      <c r="AD394" s="58"/>
      <c r="AE394" s="138"/>
      <c r="AF394" s="136"/>
      <c r="AG394" s="136"/>
      <c r="AH394" s="136"/>
    </row>
    <row r="395" spans="1:34" s="132" customFormat="1" ht="12.75" customHeight="1" x14ac:dyDescent="0.25">
      <c r="A395" s="137"/>
      <c r="B395" s="139"/>
      <c r="C395" s="136"/>
      <c r="D395" s="131"/>
      <c r="E395" s="131"/>
      <c r="F395" s="58"/>
      <c r="G395" s="140"/>
      <c r="H395" s="140"/>
      <c r="I395" s="58"/>
      <c r="J395" s="58"/>
      <c r="K395" s="58"/>
      <c r="L395" s="58"/>
      <c r="M395" s="135"/>
      <c r="N395" s="135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35"/>
      <c r="Z395" s="58"/>
      <c r="AA395" s="58"/>
      <c r="AB395" s="58"/>
      <c r="AC395" s="58"/>
      <c r="AD395" s="58"/>
      <c r="AE395" s="138"/>
      <c r="AF395" s="136"/>
      <c r="AG395" s="136"/>
      <c r="AH395" s="136"/>
    </row>
    <row r="396" spans="1:34" s="132" customFormat="1" ht="12.75" customHeight="1" x14ac:dyDescent="0.25">
      <c r="A396" s="137"/>
      <c r="B396" s="139"/>
      <c r="C396" s="136"/>
      <c r="D396" s="131"/>
      <c r="E396" s="131"/>
      <c r="F396" s="58"/>
      <c r="G396" s="140"/>
      <c r="H396" s="140"/>
      <c r="I396" s="58"/>
      <c r="J396" s="58"/>
      <c r="K396" s="58"/>
      <c r="L396" s="58"/>
      <c r="M396" s="135"/>
      <c r="N396" s="135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35"/>
      <c r="Z396" s="58"/>
      <c r="AA396" s="58"/>
      <c r="AB396" s="58"/>
      <c r="AC396" s="58"/>
      <c r="AD396" s="58"/>
      <c r="AE396" s="138"/>
      <c r="AF396" s="136"/>
      <c r="AG396" s="136"/>
      <c r="AH396" s="136"/>
    </row>
    <row r="397" spans="1:34" s="132" customFormat="1" ht="12.75" customHeight="1" x14ac:dyDescent="0.25">
      <c r="A397" s="137"/>
      <c r="B397" s="139"/>
      <c r="C397" s="136"/>
      <c r="D397" s="131"/>
      <c r="E397" s="131"/>
      <c r="F397" s="58"/>
      <c r="G397" s="140"/>
      <c r="H397" s="140"/>
      <c r="I397" s="58"/>
      <c r="J397" s="58"/>
      <c r="K397" s="58"/>
      <c r="L397" s="58"/>
      <c r="M397" s="135"/>
      <c r="N397" s="135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35"/>
      <c r="Z397" s="58"/>
      <c r="AA397" s="58"/>
      <c r="AB397" s="58"/>
      <c r="AC397" s="58"/>
      <c r="AD397" s="58"/>
      <c r="AE397" s="138"/>
      <c r="AF397" s="136"/>
      <c r="AG397" s="136"/>
      <c r="AH397" s="136"/>
    </row>
    <row r="398" spans="1:34" s="132" customFormat="1" ht="12.75" customHeight="1" x14ac:dyDescent="0.25">
      <c r="A398" s="137"/>
      <c r="B398" s="139"/>
      <c r="C398" s="136"/>
      <c r="D398" s="131"/>
      <c r="E398" s="131"/>
      <c r="F398" s="58"/>
      <c r="G398" s="140"/>
      <c r="H398" s="140"/>
      <c r="I398" s="58"/>
      <c r="J398" s="58"/>
      <c r="K398" s="58"/>
      <c r="L398" s="58"/>
      <c r="M398" s="135"/>
      <c r="N398" s="135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35"/>
      <c r="Z398" s="58"/>
      <c r="AA398" s="58"/>
      <c r="AB398" s="58"/>
      <c r="AC398" s="58"/>
      <c r="AD398" s="58"/>
      <c r="AE398" s="138"/>
      <c r="AF398" s="136"/>
      <c r="AG398" s="136"/>
      <c r="AH398" s="136"/>
    </row>
    <row r="399" spans="1:34" s="132" customFormat="1" ht="12.75" customHeight="1" x14ac:dyDescent="0.25">
      <c r="A399" s="137"/>
      <c r="B399" s="139"/>
      <c r="C399" s="136"/>
      <c r="D399" s="131"/>
      <c r="E399" s="131"/>
      <c r="F399" s="58"/>
      <c r="G399" s="140"/>
      <c r="H399" s="140"/>
      <c r="I399" s="58"/>
      <c r="J399" s="58"/>
      <c r="K399" s="58"/>
      <c r="L399" s="58"/>
      <c r="M399" s="135"/>
      <c r="N399" s="135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35"/>
      <c r="Z399" s="58"/>
      <c r="AA399" s="58"/>
      <c r="AB399" s="58"/>
      <c r="AC399" s="58"/>
      <c r="AD399" s="58"/>
      <c r="AE399" s="138"/>
      <c r="AF399" s="136"/>
      <c r="AG399" s="136"/>
      <c r="AH399" s="136"/>
    </row>
    <row r="400" spans="1:34" s="132" customFormat="1" ht="12.75" customHeight="1" x14ac:dyDescent="0.25">
      <c r="A400" s="137"/>
      <c r="B400" s="139"/>
      <c r="C400" s="136"/>
      <c r="D400" s="131"/>
      <c r="E400" s="131"/>
      <c r="F400" s="58"/>
      <c r="G400" s="140"/>
      <c r="H400" s="140"/>
      <c r="I400" s="58"/>
      <c r="J400" s="58"/>
      <c r="K400" s="58"/>
      <c r="L400" s="58"/>
      <c r="M400" s="135"/>
      <c r="N400" s="135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35"/>
      <c r="Z400" s="58"/>
      <c r="AA400" s="58"/>
      <c r="AB400" s="58"/>
      <c r="AC400" s="58"/>
      <c r="AD400" s="58"/>
      <c r="AE400" s="138"/>
      <c r="AF400" s="136"/>
      <c r="AG400" s="136"/>
      <c r="AH400" s="136"/>
    </row>
    <row r="401" spans="1:34" s="132" customFormat="1" ht="12.75" customHeight="1" x14ac:dyDescent="0.25">
      <c r="A401" s="137"/>
      <c r="B401" s="139"/>
      <c r="C401" s="136"/>
      <c r="D401" s="131"/>
      <c r="E401" s="131"/>
      <c r="F401" s="58"/>
      <c r="G401" s="140"/>
      <c r="H401" s="140"/>
      <c r="I401" s="58"/>
      <c r="J401" s="58"/>
      <c r="K401" s="58"/>
      <c r="L401" s="58"/>
      <c r="M401" s="135"/>
      <c r="N401" s="135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35"/>
      <c r="Z401" s="58"/>
      <c r="AA401" s="58"/>
      <c r="AB401" s="58"/>
      <c r="AC401" s="58"/>
      <c r="AD401" s="58"/>
      <c r="AE401" s="138"/>
      <c r="AF401" s="136"/>
      <c r="AG401" s="136"/>
      <c r="AH401" s="136"/>
    </row>
    <row r="402" spans="1:34" s="132" customFormat="1" ht="12.75" customHeight="1" x14ac:dyDescent="0.25">
      <c r="A402" s="137"/>
      <c r="B402" s="139"/>
      <c r="C402" s="136"/>
      <c r="D402" s="131"/>
      <c r="E402" s="131"/>
      <c r="F402" s="58"/>
      <c r="G402" s="140"/>
      <c r="H402" s="140"/>
      <c r="I402" s="58"/>
      <c r="J402" s="58"/>
      <c r="K402" s="58"/>
      <c r="L402" s="58"/>
      <c r="M402" s="135"/>
      <c r="N402" s="135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35"/>
      <c r="Z402" s="58"/>
      <c r="AA402" s="58"/>
      <c r="AB402" s="58"/>
      <c r="AC402" s="58"/>
      <c r="AD402" s="58"/>
      <c r="AE402" s="138"/>
      <c r="AF402" s="136"/>
      <c r="AG402" s="136"/>
      <c r="AH402" s="136"/>
    </row>
    <row r="403" spans="1:34" s="132" customFormat="1" ht="12.75" customHeight="1" x14ac:dyDescent="0.25">
      <c r="A403" s="137"/>
      <c r="B403" s="139"/>
      <c r="C403" s="136"/>
      <c r="D403" s="131"/>
      <c r="E403" s="131"/>
      <c r="F403" s="58"/>
      <c r="G403" s="140"/>
      <c r="H403" s="140"/>
      <c r="I403" s="58"/>
      <c r="J403" s="58"/>
      <c r="K403" s="58"/>
      <c r="L403" s="58"/>
      <c r="M403" s="135"/>
      <c r="N403" s="135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35"/>
      <c r="Z403" s="58"/>
      <c r="AA403" s="58"/>
      <c r="AB403" s="58"/>
      <c r="AC403" s="58"/>
      <c r="AD403" s="58"/>
      <c r="AE403" s="138"/>
      <c r="AF403" s="136"/>
      <c r="AG403" s="136"/>
      <c r="AH403" s="136"/>
    </row>
    <row r="404" spans="1:34" s="132" customFormat="1" ht="12.75" customHeight="1" x14ac:dyDescent="0.25">
      <c r="A404" s="137"/>
      <c r="B404" s="139"/>
      <c r="C404" s="136"/>
      <c r="D404" s="131"/>
      <c r="E404" s="131"/>
      <c r="F404" s="58"/>
      <c r="G404" s="140"/>
      <c r="H404" s="140"/>
      <c r="I404" s="58"/>
      <c r="J404" s="58"/>
      <c r="K404" s="58"/>
      <c r="L404" s="58"/>
      <c r="M404" s="135"/>
      <c r="N404" s="135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35"/>
      <c r="Z404" s="58"/>
      <c r="AA404" s="58"/>
      <c r="AB404" s="58"/>
      <c r="AC404" s="58"/>
      <c r="AD404" s="58"/>
      <c r="AE404" s="138"/>
      <c r="AF404" s="136"/>
      <c r="AG404" s="136"/>
      <c r="AH404" s="136"/>
    </row>
    <row r="405" spans="1:34" s="132" customFormat="1" ht="12.75" customHeight="1" x14ac:dyDescent="0.25">
      <c r="A405" s="137"/>
      <c r="B405" s="139"/>
      <c r="C405" s="136"/>
      <c r="D405" s="131"/>
      <c r="E405" s="131"/>
      <c r="F405" s="58"/>
      <c r="G405" s="140"/>
      <c r="H405" s="140"/>
      <c r="I405" s="58"/>
      <c r="J405" s="58"/>
      <c r="K405" s="58"/>
      <c r="L405" s="58"/>
      <c r="M405" s="135"/>
      <c r="N405" s="135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35"/>
      <c r="Z405" s="58"/>
      <c r="AA405" s="58"/>
      <c r="AB405" s="58"/>
      <c r="AC405" s="58"/>
      <c r="AD405" s="58"/>
      <c r="AE405" s="138"/>
      <c r="AF405" s="136"/>
      <c r="AG405" s="136"/>
      <c r="AH405" s="136"/>
    </row>
    <row r="406" spans="1:34" s="132" customFormat="1" ht="12.75" customHeight="1" x14ac:dyDescent="0.25">
      <c r="A406" s="137"/>
      <c r="B406" s="139"/>
      <c r="C406" s="136"/>
      <c r="D406" s="131"/>
      <c r="E406" s="131"/>
      <c r="F406" s="58"/>
      <c r="G406" s="140"/>
      <c r="H406" s="140"/>
      <c r="I406" s="58"/>
      <c r="J406" s="58"/>
      <c r="K406" s="58"/>
      <c r="L406" s="58"/>
      <c r="M406" s="135"/>
      <c r="N406" s="135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35"/>
      <c r="Z406" s="58"/>
      <c r="AA406" s="58"/>
      <c r="AB406" s="58"/>
      <c r="AC406" s="58"/>
      <c r="AD406" s="58"/>
      <c r="AE406" s="138"/>
      <c r="AF406" s="136"/>
      <c r="AG406" s="136"/>
      <c r="AH406" s="136"/>
    </row>
    <row r="407" spans="1:34" s="132" customFormat="1" ht="12.75" customHeight="1" x14ac:dyDescent="0.25">
      <c r="A407" s="137"/>
      <c r="B407" s="139"/>
      <c r="C407" s="136"/>
      <c r="D407" s="131"/>
      <c r="E407" s="131"/>
      <c r="F407" s="58"/>
      <c r="G407" s="140"/>
      <c r="H407" s="140"/>
      <c r="I407" s="58"/>
      <c r="J407" s="58"/>
      <c r="K407" s="58"/>
      <c r="L407" s="58"/>
      <c r="M407" s="135"/>
      <c r="N407" s="135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35"/>
      <c r="Z407" s="58"/>
      <c r="AA407" s="58"/>
      <c r="AB407" s="58"/>
      <c r="AC407" s="58"/>
      <c r="AD407" s="58"/>
      <c r="AE407" s="138"/>
      <c r="AF407" s="136"/>
      <c r="AG407" s="136"/>
      <c r="AH407" s="136"/>
    </row>
    <row r="408" spans="1:34" s="132" customFormat="1" ht="12.75" customHeight="1" x14ac:dyDescent="0.25">
      <c r="A408" s="137"/>
      <c r="B408" s="139"/>
      <c r="C408" s="136"/>
      <c r="D408" s="131"/>
      <c r="E408" s="131"/>
      <c r="F408" s="58"/>
      <c r="G408" s="140"/>
      <c r="H408" s="140"/>
      <c r="I408" s="58"/>
      <c r="J408" s="58"/>
      <c r="K408" s="58"/>
      <c r="L408" s="58"/>
      <c r="M408" s="135"/>
      <c r="N408" s="135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35"/>
      <c r="Z408" s="58"/>
      <c r="AA408" s="58"/>
      <c r="AB408" s="58"/>
      <c r="AC408" s="58"/>
      <c r="AD408" s="58"/>
      <c r="AE408" s="138"/>
      <c r="AF408" s="136"/>
      <c r="AG408" s="136"/>
      <c r="AH408" s="136"/>
    </row>
    <row r="409" spans="1:34" s="132" customFormat="1" ht="12.75" customHeight="1" x14ac:dyDescent="0.25">
      <c r="A409" s="137"/>
      <c r="B409" s="139"/>
      <c r="C409" s="136"/>
      <c r="D409" s="131"/>
      <c r="E409" s="131"/>
      <c r="F409" s="58"/>
      <c r="G409" s="140"/>
      <c r="H409" s="140"/>
      <c r="I409" s="58"/>
      <c r="J409" s="58"/>
      <c r="K409" s="58"/>
      <c r="L409" s="58"/>
      <c r="M409" s="135"/>
      <c r="N409" s="135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35"/>
      <c r="Z409" s="58"/>
      <c r="AA409" s="58"/>
      <c r="AB409" s="58"/>
      <c r="AC409" s="58"/>
      <c r="AD409" s="58"/>
      <c r="AE409" s="138"/>
      <c r="AF409" s="136"/>
      <c r="AG409" s="136"/>
      <c r="AH409" s="136"/>
    </row>
    <row r="410" spans="1:34" s="132" customFormat="1" ht="12.75" customHeight="1" x14ac:dyDescent="0.25">
      <c r="A410" s="137"/>
      <c r="B410" s="139"/>
      <c r="C410" s="136"/>
      <c r="D410" s="131"/>
      <c r="E410" s="131"/>
      <c r="F410" s="58"/>
      <c r="G410" s="140"/>
      <c r="H410" s="140"/>
      <c r="I410" s="58"/>
      <c r="J410" s="58"/>
      <c r="K410" s="58"/>
      <c r="L410" s="58"/>
      <c r="M410" s="135"/>
      <c r="N410" s="135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35"/>
      <c r="Z410" s="58"/>
      <c r="AA410" s="58"/>
      <c r="AB410" s="58"/>
      <c r="AC410" s="58"/>
      <c r="AD410" s="58"/>
      <c r="AE410" s="138"/>
      <c r="AF410" s="136"/>
      <c r="AG410" s="136"/>
      <c r="AH410" s="136"/>
    </row>
    <row r="411" spans="1:34" s="132" customFormat="1" ht="12.75" customHeight="1" x14ac:dyDescent="0.25">
      <c r="A411" s="137"/>
      <c r="B411" s="139"/>
      <c r="C411" s="136"/>
      <c r="D411" s="131"/>
      <c r="E411" s="131"/>
      <c r="F411" s="58"/>
      <c r="G411" s="140"/>
      <c r="H411" s="140"/>
      <c r="I411" s="58"/>
      <c r="J411" s="58"/>
      <c r="K411" s="58"/>
      <c r="L411" s="58"/>
      <c r="M411" s="135"/>
      <c r="N411" s="135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35"/>
      <c r="Z411" s="58"/>
      <c r="AA411" s="58"/>
      <c r="AB411" s="58"/>
      <c r="AC411" s="58"/>
      <c r="AD411" s="58"/>
      <c r="AE411" s="138"/>
      <c r="AF411" s="136"/>
      <c r="AG411" s="136"/>
      <c r="AH411" s="136"/>
    </row>
    <row r="412" spans="1:34" s="132" customFormat="1" ht="12.75" customHeight="1" x14ac:dyDescent="0.25">
      <c r="A412" s="137"/>
      <c r="B412" s="139"/>
      <c r="C412" s="136"/>
      <c r="D412" s="131"/>
      <c r="E412" s="131"/>
      <c r="F412" s="58"/>
      <c r="G412" s="140"/>
      <c r="H412" s="140"/>
      <c r="I412" s="58"/>
      <c r="J412" s="58"/>
      <c r="K412" s="58"/>
      <c r="L412" s="58"/>
      <c r="M412" s="135"/>
      <c r="N412" s="135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35"/>
      <c r="Z412" s="58"/>
      <c r="AA412" s="58"/>
      <c r="AB412" s="58"/>
      <c r="AC412" s="58"/>
      <c r="AD412" s="58"/>
      <c r="AE412" s="138"/>
      <c r="AF412" s="136"/>
      <c r="AG412" s="136"/>
      <c r="AH412" s="136"/>
    </row>
    <row r="413" spans="1:34" s="132" customFormat="1" ht="12.75" customHeight="1" x14ac:dyDescent="0.25">
      <c r="A413" s="137"/>
      <c r="B413" s="139"/>
      <c r="C413" s="136"/>
      <c r="D413" s="131"/>
      <c r="E413" s="131"/>
      <c r="F413" s="58"/>
      <c r="G413" s="140"/>
      <c r="H413" s="140"/>
      <c r="I413" s="58"/>
      <c r="J413" s="58"/>
      <c r="K413" s="58"/>
      <c r="L413" s="58"/>
      <c r="M413" s="135"/>
      <c r="N413" s="135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35"/>
      <c r="Z413" s="58"/>
      <c r="AA413" s="58"/>
      <c r="AB413" s="58"/>
      <c r="AC413" s="58"/>
      <c r="AD413" s="58"/>
      <c r="AE413" s="138"/>
      <c r="AF413" s="136"/>
      <c r="AG413" s="136"/>
      <c r="AH413" s="136"/>
    </row>
    <row r="414" spans="1:34" s="132" customFormat="1" ht="12.75" customHeight="1" x14ac:dyDescent="0.25">
      <c r="A414" s="137"/>
      <c r="B414" s="139"/>
      <c r="C414" s="136"/>
      <c r="D414" s="131"/>
      <c r="E414" s="131"/>
      <c r="F414" s="58"/>
      <c r="G414" s="140"/>
      <c r="H414" s="140"/>
      <c r="I414" s="58"/>
      <c r="J414" s="58"/>
      <c r="K414" s="58"/>
      <c r="L414" s="58"/>
      <c r="M414" s="135"/>
      <c r="N414" s="135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35"/>
      <c r="Z414" s="58"/>
      <c r="AA414" s="58"/>
      <c r="AB414" s="58"/>
      <c r="AC414" s="58"/>
      <c r="AD414" s="58"/>
      <c r="AE414" s="138"/>
      <c r="AF414" s="136"/>
      <c r="AG414" s="136"/>
      <c r="AH414" s="136"/>
    </row>
    <row r="415" spans="1:34" s="132" customFormat="1" ht="12.75" customHeight="1" x14ac:dyDescent="0.25">
      <c r="A415" s="137"/>
      <c r="B415" s="139"/>
      <c r="C415" s="136"/>
      <c r="D415" s="131"/>
      <c r="E415" s="131"/>
      <c r="F415" s="58"/>
      <c r="G415" s="140"/>
      <c r="H415" s="140"/>
      <c r="I415" s="58"/>
      <c r="J415" s="58"/>
      <c r="K415" s="58"/>
      <c r="L415" s="58"/>
      <c r="M415" s="135"/>
      <c r="N415" s="135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35"/>
      <c r="Z415" s="58"/>
      <c r="AA415" s="58"/>
      <c r="AB415" s="58"/>
      <c r="AC415" s="58"/>
      <c r="AD415" s="58"/>
      <c r="AE415" s="138"/>
      <c r="AF415" s="136"/>
      <c r="AG415" s="136"/>
      <c r="AH415" s="136"/>
    </row>
    <row r="416" spans="1:34" s="132" customFormat="1" ht="12.75" customHeight="1" x14ac:dyDescent="0.25">
      <c r="A416" s="137"/>
      <c r="B416" s="139"/>
      <c r="C416" s="136"/>
      <c r="D416" s="131"/>
      <c r="E416" s="131"/>
      <c r="F416" s="58"/>
      <c r="G416" s="140"/>
      <c r="H416" s="140"/>
      <c r="I416" s="58"/>
      <c r="J416" s="58"/>
      <c r="K416" s="58"/>
      <c r="L416" s="58"/>
      <c r="M416" s="135"/>
      <c r="N416" s="135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35"/>
      <c r="Z416" s="58"/>
      <c r="AA416" s="58"/>
      <c r="AB416" s="58"/>
      <c r="AC416" s="58"/>
      <c r="AD416" s="58"/>
      <c r="AE416" s="138"/>
      <c r="AF416" s="136"/>
      <c r="AG416" s="136"/>
      <c r="AH416" s="136"/>
    </row>
    <row r="417" spans="1:34" s="132" customFormat="1" ht="12.75" customHeight="1" x14ac:dyDescent="0.25">
      <c r="A417" s="137"/>
      <c r="B417" s="139"/>
      <c r="C417" s="136"/>
      <c r="D417" s="131"/>
      <c r="E417" s="131"/>
      <c r="F417" s="58"/>
      <c r="G417" s="140"/>
      <c r="H417" s="140"/>
      <c r="I417" s="58"/>
      <c r="J417" s="58"/>
      <c r="K417" s="58"/>
      <c r="L417" s="58"/>
      <c r="M417" s="135"/>
      <c r="N417" s="135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35"/>
      <c r="Z417" s="58"/>
      <c r="AA417" s="58"/>
      <c r="AB417" s="58"/>
      <c r="AC417" s="58"/>
      <c r="AD417" s="58"/>
      <c r="AE417" s="138"/>
      <c r="AF417" s="136"/>
      <c r="AG417" s="136"/>
      <c r="AH417" s="136"/>
    </row>
    <row r="418" spans="1:34" s="132" customFormat="1" ht="12.75" customHeight="1" x14ac:dyDescent="0.25">
      <c r="A418" s="137"/>
      <c r="B418" s="139"/>
      <c r="C418" s="136"/>
      <c r="D418" s="131"/>
      <c r="E418" s="131"/>
      <c r="F418" s="58"/>
      <c r="G418" s="140"/>
      <c r="H418" s="140"/>
      <c r="I418" s="58"/>
      <c r="J418" s="58"/>
      <c r="K418" s="58"/>
      <c r="L418" s="58"/>
      <c r="M418" s="135"/>
      <c r="N418" s="135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35"/>
      <c r="Z418" s="58"/>
      <c r="AA418" s="58"/>
      <c r="AB418" s="58"/>
      <c r="AC418" s="58"/>
      <c r="AD418" s="58"/>
      <c r="AE418" s="138"/>
      <c r="AF418" s="136"/>
      <c r="AG418" s="136"/>
      <c r="AH418" s="136"/>
    </row>
    <row r="419" spans="1:34" s="132" customFormat="1" ht="12.75" customHeight="1" x14ac:dyDescent="0.25">
      <c r="A419" s="137"/>
      <c r="B419" s="139"/>
      <c r="C419" s="136"/>
      <c r="D419" s="131"/>
      <c r="E419" s="131"/>
      <c r="F419" s="58"/>
      <c r="G419" s="140"/>
      <c r="H419" s="140"/>
      <c r="I419" s="58"/>
      <c r="J419" s="58"/>
      <c r="K419" s="58"/>
      <c r="L419" s="58"/>
      <c r="M419" s="135"/>
      <c r="N419" s="135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35"/>
      <c r="Z419" s="58"/>
      <c r="AA419" s="58"/>
      <c r="AB419" s="58"/>
      <c r="AC419" s="58"/>
      <c r="AD419" s="58"/>
      <c r="AE419" s="138"/>
      <c r="AF419" s="136"/>
      <c r="AG419" s="136"/>
      <c r="AH419" s="136"/>
    </row>
    <row r="420" spans="1:34" s="132" customFormat="1" ht="12.75" customHeight="1" x14ac:dyDescent="0.25">
      <c r="A420" s="137"/>
      <c r="B420" s="139"/>
      <c r="C420" s="136"/>
      <c r="D420" s="131"/>
      <c r="E420" s="131"/>
      <c r="F420" s="58"/>
      <c r="G420" s="140"/>
      <c r="H420" s="140"/>
      <c r="I420" s="58"/>
      <c r="J420" s="58"/>
      <c r="K420" s="58"/>
      <c r="L420" s="58"/>
      <c r="M420" s="135"/>
      <c r="N420" s="135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35"/>
      <c r="Z420" s="58"/>
      <c r="AA420" s="58"/>
      <c r="AB420" s="58"/>
      <c r="AC420" s="58"/>
      <c r="AD420" s="58"/>
      <c r="AE420" s="138"/>
      <c r="AF420" s="136"/>
      <c r="AG420" s="136"/>
      <c r="AH420" s="136"/>
    </row>
    <row r="421" spans="1:34" s="132" customFormat="1" ht="12.75" customHeight="1" x14ac:dyDescent="0.25">
      <c r="A421" s="137"/>
      <c r="B421" s="139"/>
      <c r="C421" s="136"/>
      <c r="D421" s="131"/>
      <c r="E421" s="131"/>
      <c r="F421" s="58"/>
      <c r="G421" s="140"/>
      <c r="H421" s="140"/>
      <c r="I421" s="58"/>
      <c r="J421" s="58"/>
      <c r="K421" s="58"/>
      <c r="L421" s="58"/>
      <c r="M421" s="135"/>
      <c r="N421" s="135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35"/>
      <c r="Z421" s="58"/>
      <c r="AA421" s="58"/>
      <c r="AB421" s="58"/>
      <c r="AC421" s="58"/>
      <c r="AD421" s="58"/>
      <c r="AE421" s="138"/>
      <c r="AF421" s="136"/>
      <c r="AG421" s="136"/>
      <c r="AH421" s="136"/>
    </row>
    <row r="422" spans="1:34" s="132" customFormat="1" ht="12.75" customHeight="1" x14ac:dyDescent="0.25">
      <c r="A422" s="137"/>
      <c r="B422" s="139"/>
      <c r="C422" s="136"/>
      <c r="D422" s="131"/>
      <c r="E422" s="131"/>
      <c r="F422" s="58"/>
      <c r="G422" s="140"/>
      <c r="H422" s="140"/>
      <c r="I422" s="58"/>
      <c r="J422" s="58"/>
      <c r="K422" s="58"/>
      <c r="L422" s="58"/>
      <c r="M422" s="135"/>
      <c r="N422" s="135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35"/>
      <c r="Z422" s="58"/>
      <c r="AA422" s="58"/>
      <c r="AB422" s="58"/>
      <c r="AC422" s="58"/>
      <c r="AD422" s="58"/>
      <c r="AE422" s="138"/>
      <c r="AF422" s="136"/>
      <c r="AG422" s="136"/>
      <c r="AH422" s="136"/>
    </row>
    <row r="423" spans="1:34" s="132" customFormat="1" ht="12.75" customHeight="1" x14ac:dyDescent="0.25">
      <c r="A423" s="137"/>
      <c r="B423" s="139"/>
      <c r="C423" s="136"/>
      <c r="D423" s="131"/>
      <c r="E423" s="131"/>
      <c r="F423" s="58"/>
      <c r="G423" s="140"/>
      <c r="H423" s="140"/>
      <c r="I423" s="58"/>
      <c r="J423" s="58"/>
      <c r="K423" s="58"/>
      <c r="L423" s="58"/>
      <c r="M423" s="135"/>
      <c r="N423" s="135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35"/>
      <c r="Z423" s="58"/>
      <c r="AA423" s="58"/>
      <c r="AB423" s="58"/>
      <c r="AC423" s="58"/>
      <c r="AD423" s="58"/>
      <c r="AE423" s="138"/>
      <c r="AF423" s="136"/>
      <c r="AG423" s="136"/>
      <c r="AH423" s="136"/>
    </row>
    <row r="424" spans="1:34" s="132" customFormat="1" ht="12.75" customHeight="1" x14ac:dyDescent="0.25">
      <c r="A424" s="137"/>
      <c r="B424" s="139"/>
      <c r="C424" s="136"/>
      <c r="D424" s="131"/>
      <c r="E424" s="131"/>
      <c r="F424" s="58"/>
      <c r="G424" s="140"/>
      <c r="H424" s="140"/>
      <c r="I424" s="58"/>
      <c r="J424" s="58"/>
      <c r="K424" s="58"/>
      <c r="L424" s="58"/>
      <c r="M424" s="135"/>
      <c r="N424" s="135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35"/>
      <c r="Z424" s="58"/>
      <c r="AA424" s="58"/>
      <c r="AB424" s="58"/>
      <c r="AC424" s="58"/>
      <c r="AD424" s="58"/>
      <c r="AE424" s="138"/>
      <c r="AF424" s="136"/>
      <c r="AG424" s="136"/>
      <c r="AH424" s="136"/>
    </row>
    <row r="425" spans="1:34" s="132" customFormat="1" ht="12.75" customHeight="1" x14ac:dyDescent="0.25">
      <c r="A425" s="137"/>
      <c r="B425" s="139"/>
      <c r="C425" s="136"/>
      <c r="D425" s="131"/>
      <c r="E425" s="131"/>
      <c r="F425" s="58"/>
      <c r="G425" s="140"/>
      <c r="H425" s="140"/>
      <c r="I425" s="58"/>
      <c r="J425" s="58"/>
      <c r="K425" s="58"/>
      <c r="L425" s="58"/>
      <c r="M425" s="135"/>
      <c r="N425" s="135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35"/>
      <c r="Z425" s="58"/>
      <c r="AA425" s="58"/>
      <c r="AB425" s="58"/>
      <c r="AC425" s="58"/>
      <c r="AD425" s="58"/>
      <c r="AE425" s="138"/>
      <c r="AF425" s="136"/>
      <c r="AG425" s="136"/>
      <c r="AH425" s="136"/>
    </row>
    <row r="426" spans="1:34" s="132" customFormat="1" ht="12.75" customHeight="1" x14ac:dyDescent="0.25">
      <c r="A426" s="137"/>
      <c r="B426" s="139"/>
      <c r="C426" s="136"/>
      <c r="D426" s="131"/>
      <c r="E426" s="131"/>
      <c r="F426" s="58"/>
      <c r="G426" s="140"/>
      <c r="H426" s="140"/>
      <c r="I426" s="58"/>
      <c r="J426" s="58"/>
      <c r="K426" s="58"/>
      <c r="L426" s="58"/>
      <c r="M426" s="135"/>
      <c r="N426" s="135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35"/>
      <c r="Z426" s="58"/>
      <c r="AA426" s="58"/>
      <c r="AB426" s="58"/>
      <c r="AC426" s="58"/>
      <c r="AD426" s="58"/>
      <c r="AE426" s="138"/>
      <c r="AF426" s="136"/>
      <c r="AG426" s="136"/>
      <c r="AH426" s="136"/>
    </row>
    <row r="427" spans="1:34" s="132" customFormat="1" ht="12.75" customHeight="1" x14ac:dyDescent="0.25">
      <c r="A427" s="137"/>
      <c r="B427" s="139"/>
      <c r="C427" s="136"/>
      <c r="D427" s="131"/>
      <c r="E427" s="131"/>
      <c r="F427" s="58"/>
      <c r="G427" s="140"/>
      <c r="H427" s="140"/>
      <c r="I427" s="58"/>
      <c r="J427" s="58"/>
      <c r="K427" s="58"/>
      <c r="L427" s="58"/>
      <c r="M427" s="135"/>
      <c r="N427" s="135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35"/>
      <c r="Z427" s="58"/>
      <c r="AA427" s="58"/>
      <c r="AB427" s="58"/>
      <c r="AC427" s="58"/>
      <c r="AD427" s="58"/>
      <c r="AE427" s="138"/>
      <c r="AF427" s="136"/>
      <c r="AG427" s="136"/>
      <c r="AH427" s="136"/>
    </row>
    <row r="428" spans="1:34" s="132" customFormat="1" ht="12.75" customHeight="1" x14ac:dyDescent="0.25">
      <c r="A428" s="137"/>
      <c r="B428" s="139"/>
      <c r="C428" s="136"/>
      <c r="D428" s="131"/>
      <c r="E428" s="131"/>
      <c r="F428" s="58"/>
      <c r="G428" s="140"/>
      <c r="H428" s="140"/>
      <c r="I428" s="58"/>
      <c r="J428" s="58"/>
      <c r="K428" s="58"/>
      <c r="L428" s="58"/>
      <c r="M428" s="135"/>
      <c r="N428" s="135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35"/>
      <c r="Z428" s="58"/>
      <c r="AA428" s="58"/>
      <c r="AB428" s="58"/>
      <c r="AC428" s="58"/>
      <c r="AD428" s="58"/>
      <c r="AE428" s="138"/>
      <c r="AF428" s="136"/>
      <c r="AG428" s="136"/>
      <c r="AH428" s="136"/>
    </row>
    <row r="429" spans="1:34" s="132" customFormat="1" ht="12.75" customHeight="1" x14ac:dyDescent="0.25">
      <c r="A429" s="137"/>
      <c r="B429" s="139"/>
      <c r="C429" s="136"/>
      <c r="D429" s="131"/>
      <c r="E429" s="131"/>
      <c r="F429" s="58"/>
      <c r="G429" s="140"/>
      <c r="H429" s="140"/>
      <c r="I429" s="58"/>
      <c r="J429" s="58"/>
      <c r="K429" s="58"/>
      <c r="L429" s="58"/>
      <c r="M429" s="135"/>
      <c r="N429" s="135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35"/>
      <c r="Z429" s="58"/>
      <c r="AA429" s="58"/>
      <c r="AB429" s="58"/>
      <c r="AC429" s="58"/>
      <c r="AD429" s="58"/>
      <c r="AE429" s="138"/>
      <c r="AF429" s="136"/>
      <c r="AG429" s="136"/>
      <c r="AH429" s="136"/>
    </row>
    <row r="430" spans="1:34" s="132" customFormat="1" ht="12.75" customHeight="1" x14ac:dyDescent="0.25">
      <c r="A430" s="137"/>
      <c r="B430" s="139"/>
      <c r="C430" s="136"/>
      <c r="D430" s="131"/>
      <c r="E430" s="131"/>
      <c r="F430" s="58"/>
      <c r="G430" s="140"/>
      <c r="H430" s="140"/>
      <c r="I430" s="58"/>
      <c r="J430" s="58"/>
      <c r="K430" s="58"/>
      <c r="L430" s="58"/>
      <c r="M430" s="135"/>
      <c r="N430" s="135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35"/>
      <c r="Z430" s="58"/>
      <c r="AA430" s="58"/>
      <c r="AB430" s="58"/>
      <c r="AC430" s="58"/>
      <c r="AD430" s="58"/>
      <c r="AE430" s="138"/>
      <c r="AF430" s="136"/>
      <c r="AG430" s="136"/>
      <c r="AH430" s="136"/>
    </row>
    <row r="431" spans="1:34" s="132" customFormat="1" ht="12.75" customHeight="1" x14ac:dyDescent="0.25">
      <c r="A431" s="137"/>
      <c r="B431" s="139"/>
      <c r="C431" s="136"/>
      <c r="D431" s="131"/>
      <c r="E431" s="131"/>
      <c r="F431" s="58"/>
      <c r="G431" s="140"/>
      <c r="H431" s="140"/>
      <c r="I431" s="58"/>
      <c r="J431" s="58"/>
      <c r="K431" s="58"/>
      <c r="L431" s="58"/>
      <c r="M431" s="135"/>
      <c r="N431" s="135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35"/>
      <c r="Z431" s="58"/>
      <c r="AA431" s="58"/>
      <c r="AB431" s="58"/>
      <c r="AC431" s="58"/>
      <c r="AD431" s="58"/>
      <c r="AE431" s="138"/>
      <c r="AF431" s="136"/>
      <c r="AG431" s="136"/>
      <c r="AH431" s="136"/>
    </row>
    <row r="432" spans="1:34" s="132" customFormat="1" ht="12.75" customHeight="1" x14ac:dyDescent="0.25">
      <c r="A432" s="137"/>
      <c r="B432" s="139"/>
      <c r="C432" s="136"/>
      <c r="D432" s="131"/>
      <c r="E432" s="131"/>
      <c r="F432" s="58"/>
      <c r="G432" s="140"/>
      <c r="H432" s="140"/>
      <c r="I432" s="58"/>
      <c r="J432" s="58"/>
      <c r="K432" s="58"/>
      <c r="L432" s="58"/>
      <c r="M432" s="135"/>
      <c r="N432" s="135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35"/>
      <c r="Z432" s="58"/>
      <c r="AA432" s="58"/>
      <c r="AB432" s="58"/>
      <c r="AC432" s="58"/>
      <c r="AD432" s="58"/>
      <c r="AE432" s="138"/>
      <c r="AF432" s="136"/>
      <c r="AG432" s="136"/>
      <c r="AH432" s="136"/>
    </row>
    <row r="433" spans="1:34" s="132" customFormat="1" ht="12.75" customHeight="1" x14ac:dyDescent="0.25">
      <c r="A433" s="137"/>
      <c r="B433" s="139"/>
      <c r="C433" s="136"/>
      <c r="D433" s="131"/>
      <c r="E433" s="131"/>
      <c r="F433" s="58"/>
      <c r="G433" s="140"/>
      <c r="H433" s="140"/>
      <c r="I433" s="58"/>
      <c r="J433" s="58"/>
      <c r="K433" s="58"/>
      <c r="L433" s="58"/>
      <c r="M433" s="135"/>
      <c r="N433" s="135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35"/>
      <c r="Z433" s="58"/>
      <c r="AA433" s="58"/>
      <c r="AB433" s="58"/>
      <c r="AC433" s="58"/>
      <c r="AD433" s="58"/>
      <c r="AE433" s="138"/>
      <c r="AF433" s="136"/>
      <c r="AG433" s="136"/>
      <c r="AH433" s="136"/>
    </row>
    <row r="434" spans="1:34" s="132" customFormat="1" ht="12.75" customHeight="1" x14ac:dyDescent="0.25">
      <c r="A434" s="137"/>
      <c r="B434" s="139"/>
      <c r="C434" s="136"/>
      <c r="D434" s="131"/>
      <c r="E434" s="131"/>
      <c r="F434" s="58"/>
      <c r="G434" s="140"/>
      <c r="H434" s="140"/>
      <c r="I434" s="58"/>
      <c r="J434" s="58"/>
      <c r="K434" s="58"/>
      <c r="L434" s="58"/>
      <c r="M434" s="135"/>
      <c r="N434" s="135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35"/>
      <c r="Z434" s="58"/>
      <c r="AA434" s="58"/>
      <c r="AB434" s="58"/>
      <c r="AC434" s="58"/>
      <c r="AD434" s="58"/>
      <c r="AE434" s="138"/>
      <c r="AF434" s="136"/>
      <c r="AG434" s="136"/>
      <c r="AH434" s="136"/>
    </row>
    <row r="435" spans="1:34" s="132" customFormat="1" ht="12.75" customHeight="1" x14ac:dyDescent="0.25">
      <c r="A435" s="137"/>
      <c r="B435" s="139"/>
      <c r="C435" s="136"/>
      <c r="D435" s="131"/>
      <c r="E435" s="131"/>
      <c r="F435" s="58"/>
      <c r="G435" s="140"/>
      <c r="H435" s="140"/>
      <c r="I435" s="58"/>
      <c r="J435" s="58"/>
      <c r="K435" s="58"/>
      <c r="L435" s="58"/>
      <c r="M435" s="135"/>
      <c r="N435" s="135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35"/>
      <c r="Z435" s="58"/>
      <c r="AA435" s="58"/>
      <c r="AB435" s="58"/>
      <c r="AC435" s="58"/>
      <c r="AD435" s="58"/>
      <c r="AE435" s="138"/>
      <c r="AF435" s="136"/>
      <c r="AG435" s="136"/>
      <c r="AH435" s="136"/>
    </row>
    <row r="436" spans="1:34" s="132" customFormat="1" ht="12.75" customHeight="1" x14ac:dyDescent="0.25">
      <c r="A436" s="137"/>
      <c r="B436" s="139"/>
      <c r="C436" s="136"/>
      <c r="D436" s="131"/>
      <c r="E436" s="131"/>
      <c r="F436" s="58"/>
      <c r="G436" s="140"/>
      <c r="H436" s="140"/>
      <c r="I436" s="58"/>
      <c r="J436" s="58"/>
      <c r="K436" s="58"/>
      <c r="L436" s="58"/>
      <c r="M436" s="135"/>
      <c r="N436" s="135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35"/>
      <c r="Z436" s="58"/>
      <c r="AA436" s="58"/>
      <c r="AB436" s="58"/>
      <c r="AC436" s="58"/>
      <c r="AD436" s="58"/>
      <c r="AE436" s="138"/>
      <c r="AF436" s="136"/>
      <c r="AG436" s="136"/>
      <c r="AH436" s="136"/>
    </row>
    <row r="437" spans="1:34" s="132" customFormat="1" ht="12.75" customHeight="1" x14ac:dyDescent="0.25">
      <c r="A437" s="137"/>
      <c r="B437" s="139"/>
      <c r="C437" s="136"/>
      <c r="D437" s="131"/>
      <c r="E437" s="131"/>
      <c r="F437" s="58"/>
      <c r="G437" s="140"/>
      <c r="H437" s="140"/>
      <c r="I437" s="58"/>
      <c r="J437" s="58"/>
      <c r="K437" s="58"/>
      <c r="L437" s="58"/>
      <c r="M437" s="135"/>
      <c r="N437" s="135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35"/>
      <c r="Z437" s="58"/>
      <c r="AA437" s="58"/>
      <c r="AB437" s="58"/>
      <c r="AC437" s="58"/>
      <c r="AD437" s="58"/>
      <c r="AE437" s="138"/>
      <c r="AF437" s="136"/>
      <c r="AG437" s="136"/>
      <c r="AH437" s="136"/>
    </row>
    <row r="438" spans="1:34" s="132" customFormat="1" ht="12.75" customHeight="1" x14ac:dyDescent="0.25">
      <c r="A438" s="137"/>
      <c r="B438" s="139"/>
      <c r="C438" s="136"/>
      <c r="D438" s="131"/>
      <c r="E438" s="131"/>
      <c r="F438" s="58"/>
      <c r="G438" s="140"/>
      <c r="H438" s="140"/>
      <c r="I438" s="58"/>
      <c r="J438" s="58"/>
      <c r="K438" s="58"/>
      <c r="L438" s="58"/>
      <c r="M438" s="135"/>
      <c r="N438" s="135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35"/>
      <c r="Z438" s="58"/>
      <c r="AA438" s="58"/>
      <c r="AB438" s="58"/>
      <c r="AC438" s="58"/>
      <c r="AD438" s="58"/>
      <c r="AE438" s="138"/>
      <c r="AF438" s="136"/>
      <c r="AG438" s="136"/>
      <c r="AH438" s="136"/>
    </row>
    <row r="439" spans="1:34" s="132" customFormat="1" ht="12.75" customHeight="1" x14ac:dyDescent="0.25">
      <c r="A439" s="137"/>
      <c r="B439" s="139"/>
      <c r="C439" s="136"/>
      <c r="D439" s="131"/>
      <c r="E439" s="131"/>
      <c r="F439" s="58"/>
      <c r="G439" s="140"/>
      <c r="H439" s="140"/>
      <c r="I439" s="58"/>
      <c r="J439" s="58"/>
      <c r="K439" s="58"/>
      <c r="L439" s="58"/>
      <c r="M439" s="135"/>
      <c r="N439" s="135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35"/>
      <c r="Z439" s="58"/>
      <c r="AA439" s="58"/>
      <c r="AB439" s="58"/>
      <c r="AC439" s="58"/>
      <c r="AD439" s="58"/>
      <c r="AE439" s="138"/>
      <c r="AF439" s="136"/>
      <c r="AG439" s="136"/>
      <c r="AH439" s="136"/>
    </row>
    <row r="440" spans="1:34" s="132" customFormat="1" ht="12.75" customHeight="1" x14ac:dyDescent="0.25">
      <c r="A440" s="137"/>
      <c r="B440" s="139"/>
      <c r="C440" s="136"/>
      <c r="D440" s="131"/>
      <c r="E440" s="131"/>
      <c r="F440" s="58"/>
      <c r="G440" s="140"/>
      <c r="H440" s="140"/>
      <c r="I440" s="58"/>
      <c r="J440" s="58"/>
      <c r="K440" s="58"/>
      <c r="L440" s="58"/>
      <c r="M440" s="135"/>
      <c r="N440" s="135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35"/>
      <c r="Z440" s="58"/>
      <c r="AA440" s="58"/>
      <c r="AB440" s="58"/>
      <c r="AC440" s="58"/>
      <c r="AD440" s="58"/>
      <c r="AE440" s="138"/>
      <c r="AF440" s="136"/>
      <c r="AG440" s="136"/>
      <c r="AH440" s="136"/>
    </row>
    <row r="441" spans="1:34" s="132" customFormat="1" ht="12.75" customHeight="1" x14ac:dyDescent="0.25">
      <c r="A441" s="137"/>
      <c r="B441" s="139"/>
      <c r="C441" s="136"/>
      <c r="D441" s="131"/>
      <c r="E441" s="131"/>
      <c r="F441" s="58"/>
      <c r="G441" s="140"/>
      <c r="H441" s="140"/>
      <c r="I441" s="58"/>
      <c r="J441" s="58"/>
      <c r="K441" s="58"/>
      <c r="L441" s="58"/>
      <c r="M441" s="135"/>
      <c r="N441" s="135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35"/>
      <c r="Z441" s="58"/>
      <c r="AA441" s="58"/>
      <c r="AB441" s="58"/>
      <c r="AC441" s="58"/>
      <c r="AD441" s="58"/>
      <c r="AE441" s="138"/>
      <c r="AF441" s="136"/>
      <c r="AG441" s="136"/>
      <c r="AH441" s="136"/>
    </row>
    <row r="442" spans="1:34" s="132" customFormat="1" ht="12.75" customHeight="1" x14ac:dyDescent="0.25">
      <c r="A442" s="137"/>
      <c r="B442" s="139"/>
      <c r="C442" s="136"/>
      <c r="D442" s="131"/>
      <c r="E442" s="131"/>
      <c r="F442" s="58"/>
      <c r="G442" s="140"/>
      <c r="H442" s="140"/>
      <c r="I442" s="58"/>
      <c r="J442" s="58"/>
      <c r="K442" s="58"/>
      <c r="L442" s="58"/>
      <c r="M442" s="135"/>
      <c r="N442" s="135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35"/>
      <c r="Z442" s="58"/>
      <c r="AA442" s="58"/>
      <c r="AB442" s="58"/>
      <c r="AC442" s="58"/>
      <c r="AD442" s="58"/>
      <c r="AE442" s="138"/>
      <c r="AF442" s="136"/>
      <c r="AG442" s="136"/>
      <c r="AH442" s="136"/>
    </row>
    <row r="443" spans="1:34" s="132" customFormat="1" ht="12.75" customHeight="1" x14ac:dyDescent="0.25">
      <c r="A443" s="137"/>
      <c r="B443" s="139"/>
      <c r="C443" s="136"/>
      <c r="D443" s="131"/>
      <c r="E443" s="131"/>
      <c r="F443" s="58"/>
      <c r="G443" s="140"/>
      <c r="H443" s="140"/>
      <c r="I443" s="58"/>
      <c r="J443" s="58"/>
      <c r="K443" s="58"/>
      <c r="L443" s="58"/>
      <c r="M443" s="135"/>
      <c r="N443" s="135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35"/>
      <c r="Z443" s="58"/>
      <c r="AA443" s="58"/>
      <c r="AB443" s="58"/>
      <c r="AC443" s="58"/>
      <c r="AD443" s="58"/>
      <c r="AE443" s="138"/>
      <c r="AF443" s="136"/>
      <c r="AG443" s="136"/>
      <c r="AH443" s="136"/>
    </row>
    <row r="444" spans="1:34" s="132" customFormat="1" ht="12.75" customHeight="1" x14ac:dyDescent="0.25">
      <c r="A444" s="137"/>
      <c r="B444" s="139"/>
      <c r="C444" s="136"/>
      <c r="D444" s="131"/>
      <c r="E444" s="131"/>
      <c r="F444" s="58"/>
      <c r="G444" s="140"/>
      <c r="H444" s="140"/>
      <c r="I444" s="58"/>
      <c r="J444" s="58"/>
      <c r="K444" s="58"/>
      <c r="L444" s="58"/>
      <c r="M444" s="135"/>
      <c r="N444" s="135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35"/>
      <c r="Z444" s="58"/>
      <c r="AA444" s="58"/>
      <c r="AB444" s="58"/>
      <c r="AC444" s="58"/>
      <c r="AD444" s="58"/>
      <c r="AE444" s="138"/>
      <c r="AF444" s="136"/>
      <c r="AG444" s="136"/>
      <c r="AH444" s="136"/>
    </row>
    <row r="445" spans="1:34" s="132" customFormat="1" ht="12.75" customHeight="1" x14ac:dyDescent="0.25">
      <c r="A445" s="137"/>
      <c r="B445" s="139"/>
      <c r="C445" s="136"/>
      <c r="D445" s="131"/>
      <c r="E445" s="131"/>
      <c r="F445" s="58"/>
      <c r="G445" s="140"/>
      <c r="H445" s="140"/>
      <c r="I445" s="58"/>
      <c r="J445" s="58"/>
      <c r="K445" s="58"/>
      <c r="L445" s="58"/>
      <c r="M445" s="135"/>
      <c r="N445" s="135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35"/>
      <c r="Z445" s="58"/>
      <c r="AA445" s="58"/>
      <c r="AB445" s="58"/>
      <c r="AC445" s="58"/>
      <c r="AD445" s="58"/>
      <c r="AE445" s="138"/>
      <c r="AF445" s="136"/>
      <c r="AG445" s="136"/>
      <c r="AH445" s="136"/>
    </row>
    <row r="446" spans="1:34" s="132" customFormat="1" ht="12.75" customHeight="1" x14ac:dyDescent="0.25">
      <c r="A446" s="137"/>
      <c r="B446" s="139"/>
      <c r="C446" s="136"/>
      <c r="D446" s="131"/>
      <c r="E446" s="131"/>
      <c r="F446" s="58"/>
      <c r="G446" s="140"/>
      <c r="H446" s="140"/>
      <c r="I446" s="58"/>
      <c r="J446" s="58"/>
      <c r="K446" s="58"/>
      <c r="L446" s="58"/>
      <c r="M446" s="135"/>
      <c r="N446" s="135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35"/>
      <c r="Z446" s="58"/>
      <c r="AA446" s="58"/>
      <c r="AB446" s="58"/>
      <c r="AC446" s="58"/>
      <c r="AD446" s="58"/>
      <c r="AE446" s="138"/>
      <c r="AF446" s="136"/>
      <c r="AG446" s="136"/>
      <c r="AH446" s="136"/>
    </row>
    <row r="447" spans="1:34" s="132" customFormat="1" ht="12.75" customHeight="1" x14ac:dyDescent="0.25">
      <c r="A447" s="137"/>
      <c r="B447" s="139"/>
      <c r="C447" s="136"/>
      <c r="D447" s="131"/>
      <c r="E447" s="131"/>
      <c r="F447" s="58"/>
      <c r="G447" s="140"/>
      <c r="H447" s="140"/>
      <c r="I447" s="58"/>
      <c r="J447" s="58"/>
      <c r="K447" s="58"/>
      <c r="L447" s="58"/>
      <c r="M447" s="135"/>
      <c r="N447" s="135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35"/>
      <c r="Z447" s="58"/>
      <c r="AA447" s="58"/>
      <c r="AB447" s="58"/>
      <c r="AC447" s="58"/>
      <c r="AD447" s="58"/>
      <c r="AE447" s="138"/>
      <c r="AF447" s="136"/>
      <c r="AG447" s="136"/>
      <c r="AH447" s="136"/>
    </row>
    <row r="448" spans="1:34" s="132" customFormat="1" ht="12.75" customHeight="1" x14ac:dyDescent="0.25">
      <c r="A448" s="137"/>
      <c r="B448" s="139"/>
      <c r="C448" s="136"/>
      <c r="D448" s="131"/>
      <c r="E448" s="131"/>
      <c r="F448" s="58"/>
      <c r="G448" s="140"/>
      <c r="H448" s="140"/>
      <c r="I448" s="58"/>
      <c r="J448" s="58"/>
      <c r="K448" s="58"/>
      <c r="L448" s="58"/>
      <c r="M448" s="135"/>
      <c r="N448" s="135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35"/>
      <c r="Z448" s="58"/>
      <c r="AA448" s="58"/>
      <c r="AB448" s="58"/>
      <c r="AC448" s="58"/>
      <c r="AD448" s="58"/>
      <c r="AE448" s="138"/>
      <c r="AF448" s="136"/>
      <c r="AG448" s="136"/>
      <c r="AH448" s="136"/>
    </row>
    <row r="449" spans="1:34" s="132" customFormat="1" ht="12.75" customHeight="1" x14ac:dyDescent="0.25">
      <c r="A449" s="137"/>
      <c r="B449" s="139"/>
      <c r="C449" s="136"/>
      <c r="D449" s="131"/>
      <c r="E449" s="131"/>
      <c r="F449" s="58"/>
      <c r="G449" s="140"/>
      <c r="H449" s="140"/>
      <c r="I449" s="58"/>
      <c r="J449" s="58"/>
      <c r="K449" s="58"/>
      <c r="L449" s="58"/>
      <c r="M449" s="135"/>
      <c r="N449" s="135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35"/>
      <c r="Z449" s="58"/>
      <c r="AA449" s="58"/>
      <c r="AB449" s="58"/>
      <c r="AC449" s="58"/>
      <c r="AD449" s="58"/>
      <c r="AE449" s="138"/>
      <c r="AF449" s="136"/>
      <c r="AG449" s="136"/>
      <c r="AH449" s="136"/>
    </row>
    <row r="450" spans="1:34" s="132" customFormat="1" ht="12.75" customHeight="1" x14ac:dyDescent="0.25">
      <c r="A450" s="137"/>
      <c r="B450" s="139"/>
      <c r="C450" s="136"/>
      <c r="D450" s="131"/>
      <c r="E450" s="131"/>
      <c r="F450" s="58"/>
      <c r="G450" s="140"/>
      <c r="H450" s="140"/>
      <c r="I450" s="58"/>
      <c r="J450" s="58"/>
      <c r="K450" s="58"/>
      <c r="L450" s="58"/>
      <c r="M450" s="135"/>
      <c r="N450" s="135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35"/>
      <c r="Z450" s="58"/>
      <c r="AA450" s="58"/>
      <c r="AB450" s="58"/>
      <c r="AC450" s="58"/>
      <c r="AD450" s="58"/>
      <c r="AE450" s="138"/>
      <c r="AF450" s="136"/>
      <c r="AG450" s="136"/>
      <c r="AH450" s="136"/>
    </row>
    <row r="451" spans="1:34" s="132" customFormat="1" ht="12.75" customHeight="1" x14ac:dyDescent="0.25">
      <c r="A451" s="137"/>
      <c r="B451" s="139"/>
      <c r="C451" s="136"/>
      <c r="D451" s="131"/>
      <c r="E451" s="131"/>
      <c r="F451" s="58"/>
      <c r="G451" s="140"/>
      <c r="H451" s="140"/>
      <c r="I451" s="58"/>
      <c r="J451" s="58"/>
      <c r="K451" s="58"/>
      <c r="L451" s="58"/>
      <c r="M451" s="135"/>
      <c r="N451" s="135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35"/>
      <c r="Z451" s="58"/>
      <c r="AA451" s="58"/>
      <c r="AB451" s="58"/>
      <c r="AC451" s="58"/>
      <c r="AD451" s="58"/>
      <c r="AE451" s="138"/>
      <c r="AF451" s="136"/>
      <c r="AG451" s="136"/>
      <c r="AH451" s="136"/>
    </row>
    <row r="452" spans="1:34" s="132" customFormat="1" ht="12.75" customHeight="1" x14ac:dyDescent="0.25">
      <c r="A452" s="137"/>
      <c r="B452" s="139"/>
      <c r="C452" s="136"/>
      <c r="D452" s="131"/>
      <c r="E452" s="131"/>
      <c r="F452" s="58"/>
      <c r="G452" s="140"/>
      <c r="H452" s="140"/>
      <c r="I452" s="58"/>
      <c r="J452" s="58"/>
      <c r="K452" s="58"/>
      <c r="L452" s="58"/>
      <c r="M452" s="135"/>
      <c r="N452" s="135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35"/>
      <c r="Z452" s="58"/>
      <c r="AA452" s="58"/>
      <c r="AB452" s="58"/>
      <c r="AC452" s="58"/>
      <c r="AD452" s="58"/>
      <c r="AE452" s="138"/>
      <c r="AF452" s="136"/>
      <c r="AG452" s="136"/>
      <c r="AH452" s="136"/>
    </row>
    <row r="453" spans="1:34" s="132" customFormat="1" ht="12.75" customHeight="1" x14ac:dyDescent="0.25">
      <c r="A453" s="137"/>
      <c r="B453" s="139"/>
      <c r="C453" s="136"/>
      <c r="D453" s="131"/>
      <c r="E453" s="131"/>
      <c r="F453" s="58"/>
      <c r="G453" s="140"/>
      <c r="H453" s="140"/>
      <c r="I453" s="58"/>
      <c r="J453" s="58"/>
      <c r="K453" s="58"/>
      <c r="L453" s="58"/>
      <c r="M453" s="135"/>
      <c r="N453" s="135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35"/>
      <c r="Z453" s="58"/>
      <c r="AA453" s="58"/>
      <c r="AB453" s="58"/>
      <c r="AC453" s="58"/>
      <c r="AD453" s="58"/>
      <c r="AE453" s="138"/>
      <c r="AF453" s="136"/>
      <c r="AG453" s="136"/>
      <c r="AH453" s="136"/>
    </row>
    <row r="454" spans="1:34" s="132" customFormat="1" ht="12.75" customHeight="1" x14ac:dyDescent="0.25">
      <c r="A454" s="137"/>
      <c r="B454" s="139"/>
      <c r="C454" s="136"/>
      <c r="D454" s="131"/>
      <c r="E454" s="131"/>
      <c r="F454" s="58"/>
      <c r="G454" s="140"/>
      <c r="H454" s="140"/>
      <c r="I454" s="58"/>
      <c r="J454" s="58"/>
      <c r="K454" s="58"/>
      <c r="L454" s="58"/>
      <c r="M454" s="135"/>
      <c r="N454" s="135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35"/>
      <c r="Z454" s="58"/>
      <c r="AA454" s="58"/>
      <c r="AB454" s="58"/>
      <c r="AC454" s="58"/>
      <c r="AD454" s="58"/>
      <c r="AE454" s="138"/>
      <c r="AF454" s="136"/>
      <c r="AG454" s="136"/>
      <c r="AH454" s="136"/>
    </row>
    <row r="455" spans="1:34" s="132" customFormat="1" ht="12.75" customHeight="1" x14ac:dyDescent="0.25">
      <c r="A455" s="137"/>
      <c r="B455" s="139"/>
      <c r="C455" s="136"/>
      <c r="D455" s="131"/>
      <c r="E455" s="131"/>
      <c r="F455" s="58"/>
      <c r="G455" s="140"/>
      <c r="H455" s="140"/>
      <c r="I455" s="58"/>
      <c r="J455" s="58"/>
      <c r="K455" s="58"/>
      <c r="L455" s="58"/>
      <c r="M455" s="135"/>
      <c r="N455" s="135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35"/>
      <c r="Z455" s="58"/>
      <c r="AA455" s="58"/>
      <c r="AB455" s="58"/>
      <c r="AC455" s="58"/>
      <c r="AD455" s="58"/>
      <c r="AE455" s="138"/>
      <c r="AF455" s="136"/>
      <c r="AG455" s="136"/>
      <c r="AH455" s="136"/>
    </row>
    <row r="456" spans="1:34" s="132" customFormat="1" ht="12.75" customHeight="1" x14ac:dyDescent="0.25">
      <c r="A456" s="137"/>
      <c r="B456" s="139"/>
      <c r="C456" s="136"/>
      <c r="D456" s="131"/>
      <c r="E456" s="131"/>
      <c r="F456" s="58"/>
      <c r="G456" s="140"/>
      <c r="H456" s="140"/>
      <c r="I456" s="58"/>
      <c r="J456" s="58"/>
      <c r="K456" s="58"/>
      <c r="L456" s="58"/>
      <c r="M456" s="135"/>
      <c r="N456" s="135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35"/>
      <c r="Z456" s="58"/>
      <c r="AA456" s="58"/>
      <c r="AB456" s="58"/>
      <c r="AC456" s="58"/>
      <c r="AD456" s="58"/>
      <c r="AE456" s="138"/>
      <c r="AF456" s="136"/>
      <c r="AG456" s="136"/>
      <c r="AH456" s="136"/>
    </row>
    <row r="457" spans="1:34" s="132" customFormat="1" ht="12.75" customHeight="1" x14ac:dyDescent="0.25">
      <c r="A457" s="137"/>
      <c r="B457" s="139"/>
      <c r="C457" s="136"/>
      <c r="D457" s="131"/>
      <c r="E457" s="131"/>
      <c r="F457" s="58"/>
      <c r="G457" s="140"/>
      <c r="H457" s="140"/>
      <c r="I457" s="58"/>
      <c r="J457" s="58"/>
      <c r="K457" s="58"/>
      <c r="L457" s="58"/>
      <c r="M457" s="135"/>
      <c r="N457" s="135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35"/>
      <c r="Z457" s="58"/>
      <c r="AA457" s="58"/>
      <c r="AB457" s="58"/>
      <c r="AC457" s="58"/>
      <c r="AD457" s="58"/>
      <c r="AE457" s="138"/>
      <c r="AF457" s="136"/>
      <c r="AG457" s="136"/>
      <c r="AH457" s="136"/>
    </row>
    <row r="458" spans="1:34" s="132" customFormat="1" ht="12.75" customHeight="1" x14ac:dyDescent="0.25">
      <c r="A458" s="137"/>
      <c r="B458" s="139"/>
      <c r="C458" s="136"/>
      <c r="D458" s="131"/>
      <c r="E458" s="131"/>
      <c r="F458" s="58"/>
      <c r="G458" s="140"/>
      <c r="H458" s="140"/>
      <c r="I458" s="58"/>
      <c r="J458" s="58"/>
      <c r="K458" s="58"/>
      <c r="L458" s="58"/>
      <c r="M458" s="135"/>
      <c r="N458" s="135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35"/>
      <c r="Z458" s="58"/>
      <c r="AA458" s="58"/>
      <c r="AB458" s="58"/>
      <c r="AC458" s="58"/>
      <c r="AD458" s="58"/>
      <c r="AE458" s="138"/>
      <c r="AF458" s="136"/>
      <c r="AG458" s="136"/>
      <c r="AH458" s="136"/>
    </row>
    <row r="459" spans="1:34" s="132" customFormat="1" ht="12.75" customHeight="1" x14ac:dyDescent="0.25">
      <c r="A459" s="137"/>
      <c r="B459" s="139"/>
      <c r="C459" s="136"/>
      <c r="D459" s="131"/>
      <c r="E459" s="131"/>
      <c r="F459" s="58"/>
      <c r="G459" s="140"/>
      <c r="H459" s="140"/>
      <c r="I459" s="58"/>
      <c r="J459" s="58"/>
      <c r="K459" s="58"/>
      <c r="L459" s="58"/>
      <c r="M459" s="135"/>
      <c r="N459" s="135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35"/>
      <c r="Z459" s="58"/>
      <c r="AA459" s="58"/>
      <c r="AB459" s="58"/>
      <c r="AC459" s="58"/>
      <c r="AD459" s="58"/>
      <c r="AE459" s="138"/>
      <c r="AF459" s="136"/>
      <c r="AG459" s="136"/>
      <c r="AH459" s="136"/>
    </row>
    <row r="460" spans="1:34" s="132" customFormat="1" ht="12.75" customHeight="1" x14ac:dyDescent="0.25">
      <c r="A460" s="137"/>
      <c r="B460" s="139"/>
      <c r="C460" s="136"/>
      <c r="D460" s="131"/>
      <c r="E460" s="131"/>
      <c r="F460" s="58"/>
      <c r="G460" s="140"/>
      <c r="H460" s="140"/>
      <c r="I460" s="58"/>
      <c r="J460" s="58"/>
      <c r="K460" s="58"/>
      <c r="L460" s="58"/>
      <c r="M460" s="135"/>
      <c r="N460" s="135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35"/>
      <c r="Z460" s="58"/>
      <c r="AA460" s="58"/>
      <c r="AB460" s="58"/>
      <c r="AC460" s="58"/>
      <c r="AD460" s="58"/>
      <c r="AE460" s="138"/>
      <c r="AF460" s="136"/>
      <c r="AG460" s="136"/>
      <c r="AH460" s="136"/>
    </row>
    <row r="461" spans="1:34" s="132" customFormat="1" ht="12.75" customHeight="1" x14ac:dyDescent="0.25">
      <c r="A461" s="137"/>
      <c r="B461" s="139"/>
      <c r="C461" s="136"/>
      <c r="D461" s="131"/>
      <c r="E461" s="131"/>
      <c r="F461" s="58"/>
      <c r="G461" s="140"/>
      <c r="H461" s="140"/>
      <c r="I461" s="58"/>
      <c r="J461" s="58"/>
      <c r="K461" s="58"/>
      <c r="L461" s="58"/>
      <c r="M461" s="135"/>
      <c r="N461" s="135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35"/>
      <c r="Z461" s="58"/>
      <c r="AA461" s="58"/>
      <c r="AB461" s="58"/>
      <c r="AC461" s="58"/>
      <c r="AD461" s="58"/>
      <c r="AE461" s="138"/>
      <c r="AF461" s="136"/>
      <c r="AG461" s="136"/>
      <c r="AH461" s="136"/>
    </row>
    <row r="462" spans="1:34" s="132" customFormat="1" ht="12.75" customHeight="1" x14ac:dyDescent="0.25">
      <c r="A462" s="137"/>
      <c r="B462" s="139"/>
      <c r="C462" s="136"/>
      <c r="D462" s="131"/>
      <c r="E462" s="131"/>
      <c r="F462" s="58"/>
      <c r="G462" s="140"/>
      <c r="H462" s="140"/>
      <c r="I462" s="58"/>
      <c r="J462" s="58"/>
      <c r="K462" s="58"/>
      <c r="L462" s="58"/>
      <c r="M462" s="135"/>
      <c r="N462" s="135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35"/>
      <c r="Z462" s="58"/>
      <c r="AA462" s="58"/>
      <c r="AB462" s="58"/>
      <c r="AC462" s="58"/>
      <c r="AD462" s="58"/>
      <c r="AE462" s="138"/>
      <c r="AF462" s="136"/>
      <c r="AG462" s="136"/>
      <c r="AH462" s="136"/>
    </row>
    <row r="463" spans="1:34" s="132" customFormat="1" ht="12.75" customHeight="1" x14ac:dyDescent="0.25">
      <c r="A463" s="137"/>
      <c r="B463" s="139"/>
      <c r="C463" s="136"/>
      <c r="D463" s="131"/>
      <c r="E463" s="131"/>
      <c r="F463" s="58"/>
      <c r="G463" s="140"/>
      <c r="H463" s="140"/>
      <c r="I463" s="58"/>
      <c r="J463" s="58"/>
      <c r="K463" s="58"/>
      <c r="L463" s="58"/>
      <c r="M463" s="135"/>
      <c r="N463" s="135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35"/>
      <c r="Z463" s="58"/>
      <c r="AA463" s="58"/>
      <c r="AB463" s="58"/>
      <c r="AC463" s="58"/>
      <c r="AD463" s="58"/>
      <c r="AE463" s="138"/>
      <c r="AF463" s="136"/>
      <c r="AG463" s="136"/>
      <c r="AH463" s="136"/>
    </row>
    <row r="464" spans="1:34" s="132" customFormat="1" ht="12.75" customHeight="1" x14ac:dyDescent="0.25">
      <c r="A464" s="137"/>
      <c r="B464" s="139"/>
      <c r="C464" s="136"/>
      <c r="D464" s="131"/>
      <c r="E464" s="131"/>
      <c r="F464" s="58"/>
      <c r="G464" s="140"/>
      <c r="H464" s="140"/>
      <c r="I464" s="58"/>
      <c r="J464" s="58"/>
      <c r="K464" s="58"/>
      <c r="L464" s="58"/>
      <c r="M464" s="135"/>
      <c r="N464" s="135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35"/>
      <c r="Z464" s="58"/>
      <c r="AA464" s="58"/>
      <c r="AB464" s="58"/>
      <c r="AC464" s="58"/>
      <c r="AD464" s="58"/>
      <c r="AE464" s="138"/>
      <c r="AF464" s="136"/>
      <c r="AG464" s="136"/>
      <c r="AH464" s="136"/>
    </row>
    <row r="465" spans="1:34" s="132" customFormat="1" ht="12.75" customHeight="1" x14ac:dyDescent="0.25">
      <c r="A465" s="137"/>
      <c r="B465" s="139"/>
      <c r="C465" s="136"/>
      <c r="D465" s="131"/>
      <c r="E465" s="131"/>
      <c r="F465" s="58"/>
      <c r="G465" s="140"/>
      <c r="H465" s="140"/>
      <c r="I465" s="58"/>
      <c r="J465" s="58"/>
      <c r="K465" s="58"/>
      <c r="L465" s="58"/>
      <c r="M465" s="135"/>
      <c r="N465" s="135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35"/>
      <c r="Z465" s="58"/>
      <c r="AA465" s="58"/>
      <c r="AB465" s="58"/>
      <c r="AC465" s="58"/>
      <c r="AD465" s="58"/>
      <c r="AE465" s="138"/>
      <c r="AF465" s="136"/>
      <c r="AG465" s="136"/>
      <c r="AH465" s="136"/>
    </row>
    <row r="466" spans="1:34" s="132" customFormat="1" ht="12.75" customHeight="1" x14ac:dyDescent="0.25">
      <c r="A466" s="137"/>
      <c r="B466" s="139"/>
      <c r="C466" s="136"/>
      <c r="D466" s="131"/>
      <c r="E466" s="131"/>
      <c r="F466" s="58"/>
      <c r="G466" s="140"/>
      <c r="H466" s="140"/>
      <c r="I466" s="58"/>
      <c r="J466" s="58"/>
      <c r="K466" s="58"/>
      <c r="L466" s="58"/>
      <c r="M466" s="135"/>
      <c r="N466" s="135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35"/>
      <c r="Z466" s="58"/>
      <c r="AA466" s="58"/>
      <c r="AB466" s="58"/>
      <c r="AC466" s="58"/>
      <c r="AD466" s="58"/>
      <c r="AE466" s="138"/>
      <c r="AF466" s="136"/>
      <c r="AG466" s="136"/>
      <c r="AH466" s="136"/>
    </row>
    <row r="467" spans="1:34" s="132" customFormat="1" ht="12.75" customHeight="1" x14ac:dyDescent="0.25">
      <c r="A467" s="137"/>
      <c r="B467" s="139"/>
      <c r="C467" s="136"/>
      <c r="D467" s="131"/>
      <c r="E467" s="131"/>
      <c r="F467" s="58"/>
      <c r="G467" s="140"/>
      <c r="H467" s="140"/>
      <c r="I467" s="58"/>
      <c r="J467" s="58"/>
      <c r="K467" s="58"/>
      <c r="L467" s="58"/>
      <c r="M467" s="135"/>
      <c r="N467" s="135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35"/>
      <c r="Z467" s="58"/>
      <c r="AA467" s="58"/>
      <c r="AB467" s="58"/>
      <c r="AC467" s="58"/>
      <c r="AD467" s="58"/>
      <c r="AE467" s="138"/>
      <c r="AF467" s="136"/>
      <c r="AG467" s="136"/>
      <c r="AH467" s="136"/>
    </row>
    <row r="468" spans="1:34" s="132" customFormat="1" ht="12.75" customHeight="1" x14ac:dyDescent="0.25">
      <c r="A468" s="137"/>
      <c r="B468" s="139"/>
      <c r="C468" s="136"/>
      <c r="D468" s="131"/>
      <c r="E468" s="131"/>
      <c r="F468" s="58"/>
      <c r="G468" s="140"/>
      <c r="H468" s="140"/>
      <c r="I468" s="58"/>
      <c r="J468" s="58"/>
      <c r="K468" s="58"/>
      <c r="L468" s="58"/>
      <c r="M468" s="135"/>
      <c r="N468" s="135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35"/>
      <c r="Z468" s="58"/>
      <c r="AA468" s="58"/>
      <c r="AB468" s="58"/>
      <c r="AC468" s="58"/>
      <c r="AD468" s="58"/>
      <c r="AE468" s="138"/>
      <c r="AF468" s="136"/>
      <c r="AG468" s="136"/>
      <c r="AH468" s="136"/>
    </row>
    <row r="469" spans="1:34" s="132" customFormat="1" ht="12.75" customHeight="1" x14ac:dyDescent="0.25">
      <c r="A469" s="137"/>
      <c r="B469" s="139"/>
      <c r="C469" s="136"/>
      <c r="D469" s="131"/>
      <c r="E469" s="131"/>
      <c r="F469" s="58"/>
      <c r="G469" s="140"/>
      <c r="H469" s="140"/>
      <c r="I469" s="58"/>
      <c r="J469" s="58"/>
      <c r="K469" s="58"/>
      <c r="L469" s="58"/>
      <c r="M469" s="135"/>
      <c r="N469" s="135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35"/>
      <c r="Z469" s="58"/>
      <c r="AA469" s="58"/>
      <c r="AB469" s="58"/>
      <c r="AC469" s="58"/>
      <c r="AD469" s="58"/>
      <c r="AE469" s="138"/>
      <c r="AF469" s="136"/>
      <c r="AG469" s="136"/>
      <c r="AH469" s="136"/>
    </row>
    <row r="470" spans="1:34" s="132" customFormat="1" ht="12.75" customHeight="1" x14ac:dyDescent="0.25">
      <c r="A470" s="137"/>
      <c r="B470" s="139"/>
      <c r="C470" s="136"/>
      <c r="D470" s="131"/>
      <c r="E470" s="131"/>
      <c r="F470" s="58"/>
      <c r="G470" s="140"/>
      <c r="H470" s="140"/>
      <c r="I470" s="58"/>
      <c r="J470" s="58"/>
      <c r="K470" s="58"/>
      <c r="L470" s="58"/>
      <c r="M470" s="135"/>
      <c r="N470" s="135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35"/>
      <c r="Z470" s="58"/>
      <c r="AA470" s="58"/>
      <c r="AB470" s="58"/>
      <c r="AC470" s="58"/>
      <c r="AD470" s="58"/>
      <c r="AE470" s="138"/>
      <c r="AF470" s="136"/>
      <c r="AG470" s="136"/>
      <c r="AH470" s="136"/>
    </row>
    <row r="471" spans="1:34" s="132" customFormat="1" ht="12.75" customHeight="1" x14ac:dyDescent="0.25">
      <c r="A471" s="137"/>
      <c r="B471" s="139"/>
      <c r="C471" s="136"/>
      <c r="D471" s="131"/>
      <c r="E471" s="131"/>
      <c r="F471" s="58"/>
      <c r="G471" s="140"/>
      <c r="H471" s="140"/>
      <c r="I471" s="58"/>
      <c r="J471" s="58"/>
      <c r="K471" s="58"/>
      <c r="L471" s="58"/>
      <c r="M471" s="135"/>
      <c r="N471" s="135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35"/>
      <c r="Z471" s="58"/>
      <c r="AA471" s="58"/>
      <c r="AB471" s="58"/>
      <c r="AC471" s="58"/>
      <c r="AD471" s="58"/>
      <c r="AE471" s="138"/>
      <c r="AF471" s="136"/>
      <c r="AG471" s="136"/>
      <c r="AH471" s="136"/>
    </row>
    <row r="472" spans="1:34" s="132" customFormat="1" ht="12.75" customHeight="1" x14ac:dyDescent="0.25">
      <c r="A472" s="137"/>
      <c r="B472" s="139"/>
      <c r="C472" s="136"/>
      <c r="D472" s="131"/>
      <c r="E472" s="131"/>
      <c r="F472" s="58"/>
      <c r="G472" s="140"/>
      <c r="H472" s="140"/>
      <c r="I472" s="58"/>
      <c r="J472" s="58"/>
      <c r="K472" s="58"/>
      <c r="L472" s="58"/>
      <c r="M472" s="135"/>
      <c r="N472" s="135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35"/>
      <c r="Z472" s="58"/>
      <c r="AA472" s="58"/>
      <c r="AB472" s="58"/>
      <c r="AC472" s="58"/>
      <c r="AD472" s="58"/>
      <c r="AE472" s="138"/>
      <c r="AF472" s="136"/>
      <c r="AG472" s="136"/>
      <c r="AH472" s="136"/>
    </row>
    <row r="473" spans="1:34" s="132" customFormat="1" ht="12.75" customHeight="1" x14ac:dyDescent="0.25">
      <c r="A473" s="137"/>
      <c r="B473" s="139"/>
      <c r="C473" s="136"/>
      <c r="D473" s="131"/>
      <c r="E473" s="131"/>
      <c r="F473" s="58"/>
      <c r="G473" s="140"/>
      <c r="H473" s="140"/>
      <c r="I473" s="58"/>
      <c r="J473" s="58"/>
      <c r="K473" s="58"/>
      <c r="L473" s="58"/>
      <c r="M473" s="135"/>
      <c r="N473" s="135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35"/>
      <c r="Z473" s="58"/>
      <c r="AA473" s="58"/>
      <c r="AB473" s="58"/>
      <c r="AC473" s="58"/>
      <c r="AD473" s="58"/>
      <c r="AE473" s="138"/>
      <c r="AF473" s="136"/>
      <c r="AG473" s="136"/>
      <c r="AH473" s="136"/>
    </row>
    <row r="474" spans="1:34" s="132" customFormat="1" ht="12.75" customHeight="1" x14ac:dyDescent="0.25">
      <c r="A474" s="137"/>
      <c r="B474" s="139"/>
      <c r="C474" s="136"/>
      <c r="D474" s="131"/>
      <c r="E474" s="131"/>
      <c r="F474" s="58"/>
      <c r="G474" s="140"/>
      <c r="H474" s="140"/>
      <c r="I474" s="58"/>
      <c r="J474" s="58"/>
      <c r="K474" s="58"/>
      <c r="L474" s="58"/>
      <c r="M474" s="135"/>
      <c r="N474" s="135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35"/>
      <c r="Z474" s="58"/>
      <c r="AA474" s="58"/>
      <c r="AB474" s="58"/>
      <c r="AC474" s="58"/>
      <c r="AD474" s="58"/>
      <c r="AE474" s="138"/>
      <c r="AF474" s="136"/>
      <c r="AG474" s="136"/>
      <c r="AH474" s="136"/>
    </row>
    <row r="475" spans="1:34" s="132" customFormat="1" ht="12.75" customHeight="1" x14ac:dyDescent="0.25">
      <c r="A475" s="137"/>
      <c r="B475" s="139"/>
      <c r="C475" s="136"/>
      <c r="D475" s="131"/>
      <c r="E475" s="131"/>
      <c r="F475" s="58"/>
      <c r="G475" s="140"/>
      <c r="H475" s="140"/>
      <c r="I475" s="58"/>
      <c r="J475" s="58"/>
      <c r="K475" s="58"/>
      <c r="L475" s="58"/>
      <c r="M475" s="135"/>
      <c r="N475" s="135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35"/>
      <c r="Z475" s="58"/>
      <c r="AA475" s="58"/>
      <c r="AB475" s="58"/>
      <c r="AC475" s="58"/>
      <c r="AD475" s="58"/>
      <c r="AE475" s="138"/>
      <c r="AF475" s="136"/>
      <c r="AG475" s="136"/>
      <c r="AH475" s="136"/>
    </row>
    <row r="476" spans="1:34" s="132" customFormat="1" ht="12.75" customHeight="1" x14ac:dyDescent="0.25">
      <c r="A476" s="137"/>
      <c r="B476" s="139"/>
      <c r="C476" s="136"/>
      <c r="D476" s="131"/>
      <c r="E476" s="131"/>
      <c r="F476" s="58"/>
      <c r="G476" s="140"/>
      <c r="H476" s="140"/>
      <c r="I476" s="58"/>
      <c r="J476" s="58"/>
      <c r="K476" s="58"/>
      <c r="L476" s="58"/>
      <c r="M476" s="135"/>
      <c r="N476" s="135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35"/>
      <c r="Z476" s="58"/>
      <c r="AA476" s="58"/>
      <c r="AB476" s="58"/>
      <c r="AC476" s="58"/>
      <c r="AD476" s="58"/>
      <c r="AE476" s="138"/>
      <c r="AF476" s="136"/>
      <c r="AG476" s="136"/>
      <c r="AH476" s="136"/>
    </row>
    <row r="477" spans="1:34" s="132" customFormat="1" ht="12.75" customHeight="1" x14ac:dyDescent="0.25">
      <c r="A477" s="137"/>
      <c r="B477" s="139"/>
      <c r="C477" s="136"/>
      <c r="D477" s="131"/>
      <c r="E477" s="131"/>
      <c r="F477" s="58"/>
      <c r="G477" s="140"/>
      <c r="H477" s="140"/>
      <c r="I477" s="58"/>
      <c r="J477" s="58"/>
      <c r="K477" s="58"/>
      <c r="L477" s="58"/>
      <c r="M477" s="135"/>
      <c r="N477" s="135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35"/>
      <c r="Z477" s="58"/>
      <c r="AA477" s="58"/>
      <c r="AB477" s="58"/>
      <c r="AC477" s="58"/>
      <c r="AD477" s="58"/>
      <c r="AE477" s="138"/>
      <c r="AF477" s="136"/>
      <c r="AG477" s="136"/>
      <c r="AH477" s="136"/>
    </row>
    <row r="478" spans="1:34" s="132" customFormat="1" ht="12.75" customHeight="1" x14ac:dyDescent="0.25">
      <c r="A478" s="137"/>
      <c r="B478" s="139"/>
      <c r="C478" s="136"/>
      <c r="D478" s="131"/>
      <c r="E478" s="131"/>
      <c r="F478" s="58"/>
      <c r="G478" s="140"/>
      <c r="H478" s="140"/>
      <c r="I478" s="58"/>
      <c r="J478" s="58"/>
      <c r="K478" s="58"/>
      <c r="L478" s="58"/>
      <c r="M478" s="135"/>
      <c r="N478" s="135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35"/>
      <c r="Z478" s="58"/>
      <c r="AA478" s="58"/>
      <c r="AB478" s="58"/>
      <c r="AC478" s="58"/>
      <c r="AD478" s="58"/>
      <c r="AE478" s="138"/>
      <c r="AF478" s="136"/>
      <c r="AG478" s="136"/>
      <c r="AH478" s="136"/>
    </row>
    <row r="479" spans="1:34" s="132" customFormat="1" ht="12.75" customHeight="1" x14ac:dyDescent="0.25">
      <c r="A479" s="137"/>
      <c r="B479" s="139"/>
      <c r="C479" s="136"/>
      <c r="D479" s="131"/>
      <c r="E479" s="131"/>
      <c r="F479" s="58"/>
      <c r="G479" s="140"/>
      <c r="H479" s="140"/>
      <c r="I479" s="58"/>
      <c r="J479" s="58"/>
      <c r="K479" s="58"/>
      <c r="L479" s="58"/>
      <c r="M479" s="135"/>
      <c r="N479" s="135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35"/>
      <c r="Z479" s="58"/>
      <c r="AA479" s="58"/>
      <c r="AB479" s="58"/>
      <c r="AC479" s="58"/>
      <c r="AD479" s="58"/>
      <c r="AE479" s="138"/>
      <c r="AF479" s="136"/>
      <c r="AG479" s="136"/>
      <c r="AH479" s="136"/>
    </row>
    <row r="480" spans="1:34" s="132" customFormat="1" ht="12.75" customHeight="1" x14ac:dyDescent="0.25">
      <c r="A480" s="137"/>
      <c r="B480" s="139"/>
      <c r="C480" s="136"/>
      <c r="D480" s="131"/>
      <c r="E480" s="131"/>
      <c r="F480" s="58"/>
      <c r="G480" s="140"/>
      <c r="H480" s="140"/>
      <c r="I480" s="58"/>
      <c r="J480" s="58"/>
      <c r="K480" s="58"/>
      <c r="L480" s="58"/>
      <c r="M480" s="135"/>
      <c r="N480" s="135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35"/>
      <c r="Z480" s="58"/>
      <c r="AA480" s="58"/>
      <c r="AB480" s="58"/>
      <c r="AC480" s="58"/>
      <c r="AD480" s="58"/>
      <c r="AE480" s="138"/>
      <c r="AF480" s="136"/>
      <c r="AG480" s="136"/>
      <c r="AH480" s="136"/>
    </row>
    <row r="481" spans="1:34" s="132" customFormat="1" ht="12.75" customHeight="1" x14ac:dyDescent="0.25">
      <c r="A481" s="137"/>
      <c r="B481" s="139"/>
      <c r="C481" s="136"/>
      <c r="D481" s="131"/>
      <c r="E481" s="131"/>
      <c r="F481" s="58"/>
      <c r="G481" s="140"/>
      <c r="H481" s="140"/>
      <c r="I481" s="58"/>
      <c r="J481" s="58"/>
      <c r="K481" s="58"/>
      <c r="L481" s="58"/>
      <c r="M481" s="135"/>
      <c r="N481" s="135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35"/>
      <c r="Z481" s="58"/>
      <c r="AA481" s="58"/>
      <c r="AB481" s="58"/>
      <c r="AC481" s="58"/>
      <c r="AD481" s="58"/>
      <c r="AE481" s="138"/>
      <c r="AF481" s="136"/>
      <c r="AG481" s="136"/>
      <c r="AH481" s="136"/>
    </row>
    <row r="482" spans="1:34" s="132" customFormat="1" ht="12.75" customHeight="1" x14ac:dyDescent="0.25">
      <c r="A482" s="137"/>
      <c r="B482" s="139"/>
      <c r="C482" s="136"/>
      <c r="D482" s="131"/>
      <c r="E482" s="131"/>
      <c r="F482" s="58"/>
      <c r="G482" s="140"/>
      <c r="H482" s="140"/>
      <c r="I482" s="58"/>
      <c r="J482" s="58"/>
      <c r="K482" s="58"/>
      <c r="L482" s="58"/>
      <c r="M482" s="135"/>
      <c r="N482" s="135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35"/>
      <c r="Z482" s="58"/>
      <c r="AA482" s="58"/>
      <c r="AB482" s="58"/>
      <c r="AC482" s="58"/>
      <c r="AD482" s="58"/>
      <c r="AE482" s="138"/>
      <c r="AF482" s="136"/>
      <c r="AG482" s="136"/>
      <c r="AH482" s="136"/>
    </row>
    <row r="483" spans="1:34" s="132" customFormat="1" ht="12.75" customHeight="1" x14ac:dyDescent="0.25">
      <c r="A483" s="137"/>
      <c r="B483" s="139"/>
      <c r="C483" s="136"/>
      <c r="D483" s="131"/>
      <c r="E483" s="131"/>
      <c r="F483" s="58"/>
      <c r="G483" s="140"/>
      <c r="H483" s="140"/>
      <c r="I483" s="58"/>
      <c r="J483" s="58"/>
      <c r="K483" s="58"/>
      <c r="L483" s="58"/>
      <c r="M483" s="135"/>
      <c r="N483" s="135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35"/>
      <c r="Z483" s="58"/>
      <c r="AA483" s="58"/>
      <c r="AB483" s="58"/>
      <c r="AC483" s="58"/>
      <c r="AD483" s="58"/>
      <c r="AE483" s="138"/>
      <c r="AF483" s="136"/>
      <c r="AG483" s="136"/>
      <c r="AH483" s="136"/>
    </row>
    <row r="484" spans="1:34" s="132" customFormat="1" ht="12.75" customHeight="1" x14ac:dyDescent="0.25">
      <c r="A484" s="137"/>
      <c r="B484" s="139"/>
      <c r="C484" s="136"/>
      <c r="D484" s="131"/>
      <c r="E484" s="131"/>
      <c r="F484" s="58"/>
      <c r="G484" s="140"/>
      <c r="H484" s="140"/>
      <c r="I484" s="58"/>
      <c r="J484" s="58"/>
      <c r="K484" s="58"/>
      <c r="L484" s="58"/>
      <c r="M484" s="135"/>
      <c r="N484" s="135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35"/>
      <c r="Z484" s="58"/>
      <c r="AA484" s="58"/>
      <c r="AB484" s="58"/>
      <c r="AC484" s="58"/>
      <c r="AD484" s="58"/>
      <c r="AE484" s="138"/>
      <c r="AF484" s="136"/>
      <c r="AG484" s="136"/>
      <c r="AH484" s="136"/>
    </row>
    <row r="485" spans="1:34" s="132" customFormat="1" ht="12.75" customHeight="1" x14ac:dyDescent="0.25">
      <c r="A485" s="137"/>
      <c r="B485" s="139"/>
      <c r="C485" s="136"/>
      <c r="D485" s="131"/>
      <c r="E485" s="131"/>
      <c r="F485" s="58"/>
      <c r="G485" s="140"/>
      <c r="H485" s="140"/>
      <c r="I485" s="58"/>
      <c r="J485" s="58"/>
      <c r="K485" s="58"/>
      <c r="L485" s="58"/>
      <c r="M485" s="135"/>
      <c r="N485" s="135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35"/>
      <c r="Z485" s="58"/>
      <c r="AA485" s="58"/>
      <c r="AB485" s="58"/>
      <c r="AC485" s="58"/>
      <c r="AD485" s="58"/>
      <c r="AE485" s="138"/>
      <c r="AF485" s="136"/>
      <c r="AG485" s="136"/>
      <c r="AH485" s="136"/>
    </row>
    <row r="486" spans="1:34" s="132" customFormat="1" ht="12.75" customHeight="1" x14ac:dyDescent="0.25">
      <c r="A486" s="137"/>
      <c r="B486" s="139"/>
      <c r="C486" s="136"/>
      <c r="D486" s="131"/>
      <c r="E486" s="131"/>
      <c r="F486" s="58"/>
      <c r="G486" s="140"/>
      <c r="H486" s="140"/>
      <c r="I486" s="58"/>
      <c r="J486" s="58"/>
      <c r="K486" s="58"/>
      <c r="L486" s="58"/>
      <c r="M486" s="135"/>
      <c r="N486" s="135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35"/>
      <c r="Z486" s="58"/>
      <c r="AA486" s="58"/>
      <c r="AB486" s="58"/>
      <c r="AC486" s="58"/>
      <c r="AD486" s="58"/>
      <c r="AE486" s="138"/>
      <c r="AF486" s="136"/>
      <c r="AG486" s="136"/>
      <c r="AH486" s="136"/>
    </row>
    <row r="487" spans="1:34" s="132" customFormat="1" ht="12.75" customHeight="1" x14ac:dyDescent="0.25">
      <c r="A487" s="137"/>
      <c r="B487" s="139"/>
      <c r="C487" s="136"/>
      <c r="D487" s="131"/>
      <c r="E487" s="131"/>
      <c r="F487" s="58"/>
      <c r="G487" s="140"/>
      <c r="H487" s="140"/>
      <c r="I487" s="58"/>
      <c r="J487" s="58"/>
      <c r="K487" s="58"/>
      <c r="L487" s="58"/>
      <c r="M487" s="135"/>
      <c r="N487" s="135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35"/>
      <c r="Z487" s="58"/>
      <c r="AA487" s="58"/>
      <c r="AB487" s="58"/>
      <c r="AC487" s="58"/>
      <c r="AD487" s="58"/>
      <c r="AE487" s="138"/>
      <c r="AF487" s="136"/>
      <c r="AG487" s="136"/>
      <c r="AH487" s="136"/>
    </row>
    <row r="488" spans="1:34" s="132" customFormat="1" ht="12.75" customHeight="1" x14ac:dyDescent="0.25">
      <c r="A488" s="137"/>
      <c r="B488" s="139"/>
      <c r="C488" s="136"/>
      <c r="D488" s="131"/>
      <c r="E488" s="131"/>
      <c r="F488" s="58"/>
      <c r="G488" s="140"/>
      <c r="H488" s="140"/>
      <c r="I488" s="58"/>
      <c r="J488" s="58"/>
      <c r="K488" s="58"/>
      <c r="L488" s="58"/>
      <c r="M488" s="135"/>
      <c r="N488" s="135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35"/>
      <c r="Z488" s="58"/>
      <c r="AA488" s="58"/>
      <c r="AB488" s="58"/>
      <c r="AC488" s="58"/>
      <c r="AD488" s="58"/>
      <c r="AE488" s="138"/>
      <c r="AF488" s="136"/>
      <c r="AG488" s="136"/>
      <c r="AH488" s="136"/>
    </row>
    <row r="489" spans="1:34" s="132" customFormat="1" ht="12.75" customHeight="1" x14ac:dyDescent="0.25">
      <c r="A489" s="137"/>
      <c r="B489" s="139"/>
      <c r="C489" s="136"/>
      <c r="D489" s="131"/>
      <c r="E489" s="131"/>
      <c r="F489" s="58"/>
      <c r="G489" s="140"/>
      <c r="H489" s="140"/>
      <c r="I489" s="58"/>
      <c r="J489" s="58"/>
      <c r="K489" s="58"/>
      <c r="L489" s="58"/>
      <c r="M489" s="135"/>
      <c r="N489" s="135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35"/>
      <c r="Z489" s="58"/>
      <c r="AA489" s="58"/>
      <c r="AB489" s="58"/>
      <c r="AC489" s="58"/>
      <c r="AD489" s="58"/>
      <c r="AE489" s="138"/>
      <c r="AF489" s="136"/>
      <c r="AG489" s="136"/>
      <c r="AH489" s="136"/>
    </row>
    <row r="490" spans="1:34" s="132" customFormat="1" ht="12.75" customHeight="1" x14ac:dyDescent="0.25">
      <c r="A490" s="137"/>
      <c r="B490" s="139"/>
      <c r="C490" s="136"/>
      <c r="D490" s="131"/>
      <c r="E490" s="131"/>
      <c r="F490" s="58"/>
      <c r="G490" s="140"/>
      <c r="H490" s="140"/>
      <c r="I490" s="58"/>
      <c r="J490" s="58"/>
      <c r="K490" s="58"/>
      <c r="L490" s="58"/>
      <c r="M490" s="135"/>
      <c r="N490" s="135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35"/>
      <c r="Z490" s="58"/>
      <c r="AA490" s="58"/>
      <c r="AB490" s="58"/>
      <c r="AC490" s="58"/>
      <c r="AD490" s="58"/>
      <c r="AE490" s="138"/>
      <c r="AF490" s="136"/>
      <c r="AG490" s="136"/>
      <c r="AH490" s="136"/>
    </row>
    <row r="491" spans="1:34" s="132" customFormat="1" ht="12.75" customHeight="1" x14ac:dyDescent="0.25">
      <c r="A491" s="137"/>
      <c r="B491" s="139"/>
      <c r="C491" s="136"/>
      <c r="D491" s="131"/>
      <c r="E491" s="131"/>
      <c r="F491" s="58"/>
      <c r="G491" s="140"/>
      <c r="H491" s="140"/>
      <c r="I491" s="58"/>
      <c r="J491" s="58"/>
      <c r="K491" s="58"/>
      <c r="L491" s="58"/>
      <c r="M491" s="135"/>
      <c r="N491" s="135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35"/>
      <c r="Z491" s="58"/>
      <c r="AA491" s="58"/>
      <c r="AB491" s="58"/>
      <c r="AC491" s="58"/>
      <c r="AD491" s="58"/>
      <c r="AE491" s="138"/>
      <c r="AF491" s="136"/>
      <c r="AG491" s="136"/>
      <c r="AH491" s="136"/>
    </row>
    <row r="492" spans="1:34" s="132" customFormat="1" ht="12.75" customHeight="1" x14ac:dyDescent="0.25">
      <c r="A492" s="137"/>
      <c r="B492" s="139"/>
      <c r="C492" s="136"/>
      <c r="D492" s="131"/>
      <c r="E492" s="131"/>
      <c r="F492" s="58"/>
      <c r="G492" s="140"/>
      <c r="H492" s="140"/>
      <c r="I492" s="58"/>
      <c r="J492" s="58"/>
      <c r="K492" s="58"/>
      <c r="L492" s="58"/>
      <c r="M492" s="135"/>
      <c r="N492" s="135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35"/>
      <c r="Z492" s="58"/>
      <c r="AA492" s="58"/>
      <c r="AB492" s="58"/>
      <c r="AC492" s="58"/>
      <c r="AD492" s="58"/>
      <c r="AE492" s="138"/>
      <c r="AF492" s="136"/>
      <c r="AG492" s="136"/>
      <c r="AH492" s="136"/>
    </row>
    <row r="493" spans="1:34" s="132" customFormat="1" ht="12.75" customHeight="1" x14ac:dyDescent="0.25">
      <c r="A493" s="137"/>
      <c r="B493" s="139"/>
      <c r="C493" s="136"/>
      <c r="D493" s="131"/>
      <c r="E493" s="131"/>
      <c r="F493" s="58"/>
      <c r="G493" s="140"/>
      <c r="H493" s="140"/>
      <c r="I493" s="58"/>
      <c r="J493" s="58"/>
      <c r="K493" s="58"/>
      <c r="L493" s="58"/>
      <c r="M493" s="135"/>
      <c r="N493" s="135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35"/>
      <c r="Z493" s="58"/>
      <c r="AA493" s="58"/>
      <c r="AB493" s="58"/>
      <c r="AC493" s="58"/>
      <c r="AD493" s="58"/>
      <c r="AE493" s="138"/>
      <c r="AF493" s="136"/>
      <c r="AG493" s="136"/>
      <c r="AH493" s="136"/>
    </row>
    <row r="494" spans="1:34" s="132" customFormat="1" ht="12.75" customHeight="1" x14ac:dyDescent="0.25">
      <c r="A494" s="137"/>
      <c r="B494" s="139"/>
      <c r="C494" s="136"/>
      <c r="D494" s="131"/>
      <c r="E494" s="131"/>
      <c r="F494" s="58"/>
      <c r="G494" s="140"/>
      <c r="H494" s="140"/>
      <c r="I494" s="58"/>
      <c r="J494" s="58"/>
      <c r="K494" s="58"/>
      <c r="L494" s="58"/>
      <c r="M494" s="135"/>
      <c r="N494" s="135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35"/>
      <c r="Z494" s="58"/>
      <c r="AA494" s="58"/>
      <c r="AB494" s="58"/>
      <c r="AC494" s="58"/>
      <c r="AD494" s="58"/>
      <c r="AE494" s="138"/>
      <c r="AF494" s="136"/>
      <c r="AG494" s="136"/>
      <c r="AH494" s="136"/>
    </row>
    <row r="495" spans="1:34" s="132" customFormat="1" ht="12.75" customHeight="1" x14ac:dyDescent="0.25">
      <c r="A495" s="137"/>
      <c r="B495" s="139"/>
      <c r="C495" s="136"/>
      <c r="D495" s="131"/>
      <c r="E495" s="131"/>
      <c r="F495" s="58"/>
      <c r="G495" s="140"/>
      <c r="H495" s="140"/>
      <c r="I495" s="58"/>
      <c r="J495" s="58"/>
      <c r="K495" s="58"/>
      <c r="L495" s="58"/>
      <c r="M495" s="135"/>
      <c r="N495" s="135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35"/>
      <c r="Z495" s="58"/>
      <c r="AA495" s="58"/>
      <c r="AB495" s="58"/>
      <c r="AC495" s="58"/>
      <c r="AD495" s="58"/>
      <c r="AE495" s="138"/>
      <c r="AF495" s="136"/>
      <c r="AG495" s="136"/>
      <c r="AH495" s="136"/>
    </row>
    <row r="496" spans="1:34" s="132" customFormat="1" ht="12.75" customHeight="1" x14ac:dyDescent="0.25">
      <c r="A496" s="137"/>
      <c r="B496" s="139"/>
      <c r="C496" s="136"/>
      <c r="D496" s="131"/>
      <c r="E496" s="131"/>
      <c r="F496" s="58"/>
      <c r="G496" s="140"/>
      <c r="H496" s="140"/>
      <c r="I496" s="58"/>
      <c r="J496" s="58"/>
      <c r="K496" s="58"/>
      <c r="L496" s="58"/>
      <c r="M496" s="135"/>
      <c r="N496" s="135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35"/>
      <c r="Z496" s="58"/>
      <c r="AA496" s="58"/>
      <c r="AB496" s="58"/>
      <c r="AC496" s="58"/>
      <c r="AD496" s="58"/>
      <c r="AE496" s="138"/>
      <c r="AF496" s="136"/>
      <c r="AG496" s="136"/>
      <c r="AH496" s="136"/>
    </row>
    <row r="497" spans="1:34" s="132" customFormat="1" ht="12.75" customHeight="1" x14ac:dyDescent="0.25">
      <c r="A497" s="137"/>
      <c r="B497" s="139"/>
      <c r="C497" s="136"/>
      <c r="D497" s="131"/>
      <c r="E497" s="131"/>
      <c r="F497" s="58"/>
      <c r="G497" s="140"/>
      <c r="H497" s="140"/>
      <c r="I497" s="58"/>
      <c r="J497" s="58"/>
      <c r="K497" s="58"/>
      <c r="L497" s="58"/>
      <c r="M497" s="135"/>
      <c r="N497" s="135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35"/>
      <c r="Z497" s="58"/>
      <c r="AA497" s="58"/>
      <c r="AB497" s="58"/>
      <c r="AC497" s="58"/>
      <c r="AD497" s="58"/>
      <c r="AE497" s="138"/>
      <c r="AF497" s="136"/>
      <c r="AG497" s="136"/>
      <c r="AH497" s="136"/>
    </row>
    <row r="498" spans="1:34" s="132" customFormat="1" ht="12.75" customHeight="1" x14ac:dyDescent="0.25">
      <c r="A498" s="137"/>
      <c r="B498" s="139"/>
      <c r="C498" s="136"/>
      <c r="D498" s="131"/>
      <c r="E498" s="131"/>
      <c r="F498" s="58"/>
      <c r="G498" s="140"/>
      <c r="H498" s="140"/>
      <c r="I498" s="58"/>
      <c r="J498" s="58"/>
      <c r="K498" s="58"/>
      <c r="L498" s="58"/>
      <c r="M498" s="135"/>
      <c r="N498" s="135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35"/>
      <c r="Z498" s="58"/>
      <c r="AA498" s="58"/>
      <c r="AB498" s="58"/>
      <c r="AC498" s="58"/>
      <c r="AD498" s="58"/>
      <c r="AE498" s="138"/>
      <c r="AF498" s="136"/>
      <c r="AG498" s="136"/>
      <c r="AH498" s="136"/>
    </row>
    <row r="499" spans="1:34" s="132" customFormat="1" ht="12.75" customHeight="1" x14ac:dyDescent="0.25">
      <c r="A499" s="137"/>
      <c r="B499" s="139"/>
      <c r="C499" s="136"/>
      <c r="D499" s="131"/>
      <c r="E499" s="131"/>
      <c r="F499" s="58"/>
      <c r="G499" s="140"/>
      <c r="H499" s="140"/>
      <c r="I499" s="58"/>
      <c r="J499" s="58"/>
      <c r="K499" s="58"/>
      <c r="L499" s="58"/>
      <c r="M499" s="135"/>
      <c r="N499" s="135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35"/>
      <c r="Z499" s="58"/>
      <c r="AA499" s="58"/>
      <c r="AB499" s="58"/>
      <c r="AC499" s="58"/>
      <c r="AD499" s="58"/>
      <c r="AE499" s="138"/>
      <c r="AF499" s="136"/>
      <c r="AG499" s="136"/>
      <c r="AH499" s="136"/>
    </row>
    <row r="500" spans="1:34" s="132" customFormat="1" ht="12.75" customHeight="1" x14ac:dyDescent="0.25">
      <c r="A500" s="137"/>
      <c r="B500" s="139"/>
      <c r="C500" s="136"/>
      <c r="D500" s="131"/>
      <c r="E500" s="131"/>
      <c r="F500" s="58"/>
      <c r="G500" s="140"/>
      <c r="H500" s="140"/>
      <c r="I500" s="58"/>
      <c r="J500" s="58"/>
      <c r="K500" s="58"/>
      <c r="L500" s="58"/>
      <c r="M500" s="135"/>
      <c r="N500" s="135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35"/>
      <c r="Z500" s="58"/>
      <c r="AA500" s="58"/>
      <c r="AB500" s="58"/>
      <c r="AC500" s="58"/>
      <c r="AD500" s="58"/>
      <c r="AE500" s="138"/>
      <c r="AF500" s="136"/>
      <c r="AG500" s="136"/>
      <c r="AH500" s="136"/>
    </row>
    <row r="501" spans="1:34" s="132" customFormat="1" ht="12.75" customHeight="1" x14ac:dyDescent="0.25">
      <c r="A501" s="137"/>
      <c r="B501" s="139"/>
      <c r="C501" s="136"/>
      <c r="D501" s="131"/>
      <c r="E501" s="131"/>
      <c r="F501" s="58"/>
      <c r="G501" s="140"/>
      <c r="H501" s="140"/>
      <c r="I501" s="58"/>
      <c r="J501" s="58"/>
      <c r="K501" s="58"/>
      <c r="L501" s="58"/>
      <c r="M501" s="135"/>
      <c r="N501" s="135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35"/>
      <c r="Z501" s="58"/>
      <c r="AA501" s="58"/>
      <c r="AB501" s="58"/>
      <c r="AC501" s="58"/>
      <c r="AD501" s="58"/>
      <c r="AE501" s="138"/>
      <c r="AF501" s="136"/>
      <c r="AG501" s="136"/>
      <c r="AH501" s="136"/>
    </row>
    <row r="502" spans="1:34" s="132" customFormat="1" ht="12.75" customHeight="1" x14ac:dyDescent="0.25">
      <c r="A502" s="137"/>
      <c r="B502" s="139"/>
      <c r="C502" s="136"/>
      <c r="D502" s="131"/>
      <c r="E502" s="131"/>
      <c r="F502" s="58"/>
      <c r="G502" s="140"/>
      <c r="H502" s="140"/>
      <c r="I502" s="58"/>
      <c r="J502" s="58"/>
      <c r="K502" s="58"/>
      <c r="L502" s="58"/>
      <c r="M502" s="135"/>
      <c r="N502" s="135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35"/>
      <c r="Z502" s="58"/>
      <c r="AA502" s="58"/>
      <c r="AB502" s="58"/>
      <c r="AC502" s="58"/>
      <c r="AD502" s="58"/>
      <c r="AE502" s="138"/>
      <c r="AF502" s="136"/>
      <c r="AG502" s="136"/>
      <c r="AH502" s="136"/>
    </row>
    <row r="503" spans="1:34" s="132" customFormat="1" ht="12.75" customHeight="1" x14ac:dyDescent="0.25">
      <c r="A503" s="137"/>
      <c r="B503" s="139"/>
      <c r="C503" s="136"/>
      <c r="D503" s="131"/>
      <c r="E503" s="131"/>
      <c r="F503" s="58"/>
      <c r="G503" s="140"/>
      <c r="H503" s="140"/>
      <c r="I503" s="58"/>
      <c r="J503" s="58"/>
      <c r="K503" s="58"/>
      <c r="L503" s="58"/>
      <c r="M503" s="135"/>
      <c r="N503" s="135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35"/>
      <c r="Z503" s="58"/>
      <c r="AA503" s="58"/>
      <c r="AB503" s="58"/>
      <c r="AC503" s="58"/>
      <c r="AD503" s="58"/>
      <c r="AE503" s="138"/>
      <c r="AF503" s="136"/>
      <c r="AG503" s="136"/>
      <c r="AH503" s="136"/>
    </row>
    <row r="504" spans="1:34" s="132" customFormat="1" ht="12.75" customHeight="1" x14ac:dyDescent="0.25">
      <c r="A504" s="137"/>
      <c r="B504" s="139"/>
      <c r="C504" s="136"/>
      <c r="D504" s="131"/>
      <c r="E504" s="131"/>
      <c r="F504" s="58"/>
      <c r="G504" s="140"/>
      <c r="H504" s="140"/>
      <c r="I504" s="58"/>
      <c r="J504" s="58"/>
      <c r="K504" s="58"/>
      <c r="L504" s="58"/>
      <c r="M504" s="135"/>
      <c r="N504" s="135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35"/>
      <c r="Z504" s="58"/>
      <c r="AA504" s="58"/>
      <c r="AB504" s="58"/>
      <c r="AC504" s="58"/>
      <c r="AD504" s="58"/>
      <c r="AE504" s="138"/>
      <c r="AF504" s="136"/>
      <c r="AG504" s="136"/>
      <c r="AH504" s="136"/>
    </row>
    <row r="505" spans="1:34" s="132" customFormat="1" ht="12.75" customHeight="1" x14ac:dyDescent="0.25">
      <c r="A505" s="137"/>
      <c r="B505" s="139"/>
      <c r="C505" s="136"/>
      <c r="D505" s="131"/>
      <c r="E505" s="131"/>
      <c r="F505" s="58"/>
      <c r="G505" s="140"/>
      <c r="H505" s="140"/>
      <c r="I505" s="58"/>
      <c r="J505" s="58"/>
      <c r="K505" s="58"/>
      <c r="L505" s="58"/>
      <c r="M505" s="135"/>
      <c r="N505" s="135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35"/>
      <c r="Z505" s="58"/>
      <c r="AA505" s="58"/>
      <c r="AB505" s="58"/>
      <c r="AC505" s="58"/>
      <c r="AD505" s="58"/>
      <c r="AE505" s="138"/>
      <c r="AF505" s="136"/>
      <c r="AG505" s="136"/>
      <c r="AH505" s="136"/>
    </row>
    <row r="506" spans="1:34" s="132" customFormat="1" ht="12.75" customHeight="1" x14ac:dyDescent="0.25">
      <c r="A506" s="137"/>
      <c r="B506" s="139"/>
      <c r="C506" s="136"/>
      <c r="D506" s="131"/>
      <c r="E506" s="131"/>
      <c r="F506" s="58"/>
      <c r="G506" s="140"/>
      <c r="H506" s="140"/>
      <c r="I506" s="58"/>
      <c r="J506" s="58"/>
      <c r="K506" s="58"/>
      <c r="L506" s="58"/>
      <c r="M506" s="135"/>
      <c r="N506" s="135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35"/>
      <c r="Z506" s="58"/>
      <c r="AA506" s="58"/>
      <c r="AB506" s="58"/>
      <c r="AC506" s="58"/>
      <c r="AD506" s="58"/>
      <c r="AE506" s="138"/>
      <c r="AF506" s="136"/>
      <c r="AG506" s="136"/>
      <c r="AH506" s="136"/>
    </row>
    <row r="507" spans="1:34" s="132" customFormat="1" ht="12.75" customHeight="1" x14ac:dyDescent="0.25">
      <c r="A507" s="137"/>
      <c r="B507" s="139"/>
      <c r="C507" s="136"/>
      <c r="D507" s="131"/>
      <c r="E507" s="131"/>
      <c r="F507" s="58"/>
      <c r="G507" s="140"/>
      <c r="H507" s="140"/>
      <c r="I507" s="58"/>
      <c r="J507" s="58"/>
      <c r="K507" s="58"/>
      <c r="L507" s="58"/>
      <c r="M507" s="135"/>
      <c r="N507" s="135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35"/>
      <c r="Z507" s="58"/>
      <c r="AA507" s="58"/>
      <c r="AB507" s="58"/>
      <c r="AC507" s="58"/>
      <c r="AD507" s="58"/>
      <c r="AE507" s="138"/>
      <c r="AF507" s="136"/>
      <c r="AG507" s="136"/>
      <c r="AH507" s="136"/>
    </row>
    <row r="508" spans="1:34" s="132" customFormat="1" ht="12.75" customHeight="1" x14ac:dyDescent="0.25">
      <c r="A508" s="137"/>
      <c r="B508" s="139"/>
      <c r="C508" s="136"/>
      <c r="D508" s="131"/>
      <c r="E508" s="131"/>
      <c r="F508" s="58"/>
      <c r="G508" s="140"/>
      <c r="H508" s="140"/>
      <c r="I508" s="58"/>
      <c r="J508" s="58"/>
      <c r="K508" s="58"/>
      <c r="L508" s="58"/>
      <c r="M508" s="135"/>
      <c r="N508" s="135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35"/>
      <c r="Z508" s="58"/>
      <c r="AA508" s="58"/>
      <c r="AB508" s="58"/>
      <c r="AC508" s="58"/>
      <c r="AD508" s="58"/>
      <c r="AE508" s="138"/>
      <c r="AF508" s="136"/>
      <c r="AG508" s="136"/>
      <c r="AH508" s="136"/>
    </row>
    <row r="509" spans="1:34" s="132" customFormat="1" ht="12.75" customHeight="1" x14ac:dyDescent="0.25">
      <c r="A509" s="137"/>
      <c r="B509" s="139"/>
      <c r="C509" s="136"/>
      <c r="D509" s="131"/>
      <c r="E509" s="131"/>
      <c r="F509" s="58"/>
      <c r="G509" s="140"/>
      <c r="H509" s="140"/>
      <c r="I509" s="58"/>
      <c r="J509" s="58"/>
      <c r="K509" s="58"/>
      <c r="L509" s="58"/>
      <c r="M509" s="135"/>
      <c r="N509" s="135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35"/>
      <c r="Z509" s="58"/>
      <c r="AA509" s="58"/>
      <c r="AB509" s="58"/>
      <c r="AC509" s="58"/>
      <c r="AD509" s="58"/>
      <c r="AE509" s="138"/>
      <c r="AF509" s="136"/>
      <c r="AG509" s="136"/>
      <c r="AH509" s="136"/>
    </row>
    <row r="510" spans="1:34" s="132" customFormat="1" ht="12.75" customHeight="1" x14ac:dyDescent="0.25">
      <c r="A510" s="137"/>
      <c r="B510" s="139"/>
      <c r="C510" s="136"/>
      <c r="D510" s="131"/>
      <c r="E510" s="131"/>
      <c r="F510" s="58"/>
      <c r="G510" s="140"/>
      <c r="H510" s="140"/>
      <c r="I510" s="58"/>
      <c r="J510" s="58"/>
      <c r="K510" s="58"/>
      <c r="L510" s="58"/>
      <c r="M510" s="135"/>
      <c r="N510" s="135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35"/>
      <c r="Z510" s="58"/>
      <c r="AA510" s="58"/>
      <c r="AB510" s="58"/>
      <c r="AC510" s="58"/>
      <c r="AD510" s="58"/>
      <c r="AE510" s="138"/>
      <c r="AF510" s="136"/>
      <c r="AG510" s="136"/>
      <c r="AH510" s="136"/>
    </row>
    <row r="511" spans="1:34" s="132" customFormat="1" ht="12.75" customHeight="1" x14ac:dyDescent="0.25">
      <c r="A511" s="137"/>
      <c r="B511" s="139"/>
      <c r="C511" s="136"/>
      <c r="D511" s="131"/>
      <c r="E511" s="131"/>
      <c r="F511" s="58"/>
      <c r="G511" s="140"/>
      <c r="H511" s="140"/>
      <c r="I511" s="58"/>
      <c r="J511" s="58"/>
      <c r="K511" s="58"/>
      <c r="L511" s="58"/>
      <c r="M511" s="135"/>
      <c r="N511" s="135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35"/>
      <c r="Z511" s="58"/>
      <c r="AA511" s="58"/>
      <c r="AB511" s="58"/>
      <c r="AC511" s="58"/>
      <c r="AD511" s="58"/>
      <c r="AE511" s="138"/>
      <c r="AF511" s="136"/>
      <c r="AG511" s="136"/>
      <c r="AH511" s="136"/>
    </row>
    <row r="512" spans="1:34" s="132" customFormat="1" ht="12.75" customHeight="1" x14ac:dyDescent="0.25">
      <c r="A512" s="137"/>
      <c r="B512" s="139"/>
      <c r="C512" s="136"/>
      <c r="D512" s="131"/>
      <c r="E512" s="131"/>
      <c r="F512" s="58"/>
      <c r="G512" s="140"/>
      <c r="H512" s="140"/>
      <c r="I512" s="58"/>
      <c r="J512" s="58"/>
      <c r="K512" s="58"/>
      <c r="L512" s="58"/>
      <c r="M512" s="135"/>
      <c r="N512" s="135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35"/>
      <c r="Z512" s="58"/>
      <c r="AA512" s="58"/>
      <c r="AB512" s="58"/>
      <c r="AC512" s="58"/>
      <c r="AD512" s="58"/>
      <c r="AE512" s="138"/>
      <c r="AF512" s="136"/>
      <c r="AG512" s="136"/>
      <c r="AH512" s="136"/>
    </row>
    <row r="513" spans="1:34" s="132" customFormat="1" ht="12.75" customHeight="1" x14ac:dyDescent="0.25">
      <c r="A513" s="137"/>
      <c r="B513" s="139"/>
      <c r="C513" s="136"/>
      <c r="D513" s="131"/>
      <c r="E513" s="131"/>
      <c r="F513" s="58"/>
      <c r="G513" s="140"/>
      <c r="H513" s="140"/>
      <c r="I513" s="58"/>
      <c r="J513" s="58"/>
      <c r="K513" s="58"/>
      <c r="L513" s="58"/>
      <c r="M513" s="135"/>
      <c r="N513" s="135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35"/>
      <c r="Z513" s="58"/>
      <c r="AA513" s="58"/>
      <c r="AB513" s="58"/>
      <c r="AC513" s="58"/>
      <c r="AD513" s="58"/>
      <c r="AE513" s="138"/>
      <c r="AF513" s="136"/>
      <c r="AG513" s="136"/>
      <c r="AH513" s="136"/>
    </row>
    <row r="514" spans="1:34" s="132" customFormat="1" ht="12.75" customHeight="1" x14ac:dyDescent="0.25">
      <c r="A514" s="137"/>
      <c r="B514" s="139"/>
      <c r="C514" s="136"/>
      <c r="D514" s="131"/>
      <c r="E514" s="131"/>
      <c r="F514" s="58"/>
      <c r="G514" s="140"/>
      <c r="H514" s="140"/>
      <c r="I514" s="58"/>
      <c r="J514" s="58"/>
      <c r="K514" s="58"/>
      <c r="L514" s="58"/>
      <c r="M514" s="135"/>
      <c r="N514" s="135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35"/>
      <c r="Z514" s="58"/>
      <c r="AA514" s="58"/>
      <c r="AB514" s="58"/>
      <c r="AC514" s="58"/>
      <c r="AD514" s="58"/>
      <c r="AE514" s="138"/>
      <c r="AF514" s="136"/>
      <c r="AG514" s="136"/>
      <c r="AH514" s="136"/>
    </row>
    <row r="515" spans="1:34" s="132" customFormat="1" ht="12.75" customHeight="1" x14ac:dyDescent="0.25">
      <c r="A515" s="137"/>
      <c r="B515" s="139"/>
      <c r="C515" s="136"/>
      <c r="D515" s="131"/>
      <c r="E515" s="131"/>
      <c r="F515" s="58"/>
      <c r="G515" s="140"/>
      <c r="H515" s="140"/>
      <c r="I515" s="58"/>
      <c r="J515" s="58"/>
      <c r="K515" s="58"/>
      <c r="L515" s="58"/>
      <c r="M515" s="135"/>
      <c r="N515" s="135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35"/>
      <c r="Z515" s="58"/>
      <c r="AA515" s="58"/>
      <c r="AB515" s="58"/>
      <c r="AC515" s="58"/>
      <c r="AD515" s="58"/>
      <c r="AE515" s="138"/>
      <c r="AF515" s="136"/>
      <c r="AG515" s="136"/>
      <c r="AH515" s="136"/>
    </row>
    <row r="516" spans="1:34" s="132" customFormat="1" ht="12.75" customHeight="1" x14ac:dyDescent="0.25">
      <c r="A516" s="137"/>
      <c r="B516" s="139"/>
      <c r="C516" s="136"/>
      <c r="D516" s="131"/>
      <c r="E516" s="131"/>
      <c r="F516" s="58"/>
      <c r="G516" s="140"/>
      <c r="H516" s="140"/>
      <c r="I516" s="58"/>
      <c r="J516" s="58"/>
      <c r="K516" s="58"/>
      <c r="L516" s="58"/>
      <c r="M516" s="135"/>
      <c r="N516" s="135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35"/>
      <c r="Z516" s="58"/>
      <c r="AA516" s="58"/>
      <c r="AB516" s="58"/>
      <c r="AC516" s="58"/>
      <c r="AD516" s="58"/>
      <c r="AE516" s="138"/>
      <c r="AF516" s="136"/>
      <c r="AG516" s="136"/>
      <c r="AH516" s="136"/>
    </row>
    <row r="517" spans="1:34" s="132" customFormat="1" ht="12.75" customHeight="1" x14ac:dyDescent="0.25">
      <c r="A517" s="137"/>
      <c r="B517" s="139"/>
      <c r="C517" s="136"/>
      <c r="D517" s="131"/>
      <c r="E517" s="131"/>
      <c r="F517" s="58"/>
      <c r="G517" s="140"/>
      <c r="H517" s="140"/>
      <c r="I517" s="58"/>
      <c r="J517" s="58"/>
      <c r="K517" s="58"/>
      <c r="L517" s="58"/>
      <c r="M517" s="135"/>
      <c r="N517" s="135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35"/>
      <c r="Z517" s="58"/>
      <c r="AA517" s="58"/>
      <c r="AB517" s="58"/>
      <c r="AC517" s="58"/>
      <c r="AD517" s="58"/>
      <c r="AE517" s="138"/>
      <c r="AF517" s="136"/>
      <c r="AG517" s="136"/>
      <c r="AH517" s="136"/>
    </row>
    <row r="518" spans="1:34" s="132" customFormat="1" ht="12.75" customHeight="1" x14ac:dyDescent="0.25">
      <c r="A518" s="137"/>
      <c r="B518" s="139"/>
      <c r="C518" s="136"/>
      <c r="D518" s="131"/>
      <c r="E518" s="131"/>
      <c r="F518" s="58"/>
      <c r="G518" s="140"/>
      <c r="H518" s="140"/>
      <c r="I518" s="58"/>
      <c r="J518" s="58"/>
      <c r="K518" s="58"/>
      <c r="L518" s="58"/>
      <c r="M518" s="135"/>
      <c r="N518" s="135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35"/>
      <c r="Z518" s="58"/>
      <c r="AA518" s="58"/>
      <c r="AB518" s="58"/>
      <c r="AC518" s="58"/>
      <c r="AD518" s="58"/>
      <c r="AE518" s="138"/>
      <c r="AF518" s="136"/>
      <c r="AG518" s="136"/>
      <c r="AH518" s="136"/>
    </row>
    <row r="519" spans="1:34" s="132" customFormat="1" ht="12.75" customHeight="1" x14ac:dyDescent="0.25">
      <c r="A519" s="137"/>
      <c r="B519" s="139"/>
      <c r="C519" s="136"/>
      <c r="D519" s="131"/>
      <c r="E519" s="131"/>
      <c r="F519" s="58"/>
      <c r="G519" s="140"/>
      <c r="H519" s="140"/>
      <c r="I519" s="58"/>
      <c r="J519" s="58"/>
      <c r="K519" s="58"/>
      <c r="L519" s="58"/>
      <c r="M519" s="135"/>
      <c r="N519" s="135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35"/>
      <c r="Z519" s="58"/>
      <c r="AA519" s="58"/>
      <c r="AB519" s="58"/>
      <c r="AC519" s="58"/>
      <c r="AD519" s="58"/>
      <c r="AE519" s="138"/>
      <c r="AF519" s="136"/>
      <c r="AG519" s="136"/>
      <c r="AH519" s="136"/>
    </row>
    <row r="520" spans="1:34" s="132" customFormat="1" ht="12.75" customHeight="1" x14ac:dyDescent="0.25">
      <c r="A520" s="137"/>
      <c r="B520" s="139"/>
      <c r="C520" s="136"/>
      <c r="D520" s="131"/>
      <c r="E520" s="131"/>
      <c r="F520" s="58"/>
      <c r="G520" s="140"/>
      <c r="H520" s="140"/>
      <c r="I520" s="58"/>
      <c r="J520" s="58"/>
      <c r="K520" s="58"/>
      <c r="L520" s="58"/>
      <c r="M520" s="135"/>
      <c r="N520" s="135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35"/>
      <c r="Z520" s="58"/>
      <c r="AA520" s="58"/>
      <c r="AB520" s="58"/>
      <c r="AC520" s="58"/>
      <c r="AD520" s="58"/>
      <c r="AE520" s="138"/>
      <c r="AF520" s="136"/>
      <c r="AG520" s="136"/>
      <c r="AH520" s="136"/>
    </row>
    <row r="521" spans="1:34" s="132" customFormat="1" ht="12.75" customHeight="1" x14ac:dyDescent="0.25">
      <c r="A521" s="137"/>
      <c r="B521" s="139"/>
      <c r="C521" s="136"/>
      <c r="D521" s="131"/>
      <c r="E521" s="131"/>
      <c r="F521" s="58"/>
      <c r="G521" s="140"/>
      <c r="H521" s="140"/>
      <c r="I521" s="58"/>
      <c r="J521" s="58"/>
      <c r="K521" s="58"/>
      <c r="L521" s="58"/>
      <c r="M521" s="135"/>
      <c r="N521" s="135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35"/>
      <c r="Z521" s="58"/>
      <c r="AA521" s="58"/>
      <c r="AB521" s="58"/>
      <c r="AC521" s="58"/>
      <c r="AD521" s="58"/>
      <c r="AE521" s="138"/>
      <c r="AF521" s="136"/>
      <c r="AG521" s="136"/>
      <c r="AH521" s="136"/>
    </row>
    <row r="522" spans="1:34" s="132" customFormat="1" ht="12.75" customHeight="1" x14ac:dyDescent="0.25">
      <c r="A522" s="137"/>
      <c r="B522" s="139"/>
      <c r="C522" s="136"/>
      <c r="D522" s="131"/>
      <c r="E522" s="131"/>
      <c r="F522" s="58"/>
      <c r="G522" s="140"/>
      <c r="H522" s="140"/>
      <c r="I522" s="58"/>
      <c r="J522" s="58"/>
      <c r="K522" s="58"/>
      <c r="L522" s="58"/>
      <c r="M522" s="135"/>
      <c r="N522" s="135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35"/>
      <c r="Z522" s="58"/>
      <c r="AA522" s="58"/>
      <c r="AB522" s="58"/>
      <c r="AC522" s="58"/>
      <c r="AD522" s="58"/>
      <c r="AE522" s="138"/>
      <c r="AF522" s="136"/>
      <c r="AG522" s="136"/>
      <c r="AH522" s="136"/>
    </row>
    <row r="523" spans="1:34" s="132" customFormat="1" ht="12.75" customHeight="1" x14ac:dyDescent="0.25">
      <c r="A523" s="137"/>
      <c r="B523" s="139"/>
      <c r="C523" s="136"/>
      <c r="D523" s="131"/>
      <c r="E523" s="131"/>
      <c r="F523" s="58"/>
      <c r="G523" s="140"/>
      <c r="H523" s="140"/>
      <c r="I523" s="58"/>
      <c r="J523" s="58"/>
      <c r="K523" s="58"/>
      <c r="L523" s="58"/>
      <c r="M523" s="135"/>
      <c r="N523" s="135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35"/>
      <c r="Z523" s="58"/>
      <c r="AA523" s="58"/>
      <c r="AB523" s="58"/>
      <c r="AC523" s="58"/>
      <c r="AD523" s="58"/>
      <c r="AE523" s="138"/>
      <c r="AF523" s="136"/>
      <c r="AG523" s="136"/>
      <c r="AH523" s="136"/>
    </row>
    <row r="524" spans="1:34" s="132" customFormat="1" ht="12.75" customHeight="1" x14ac:dyDescent="0.25">
      <c r="A524" s="137"/>
      <c r="B524" s="139"/>
      <c r="C524" s="136"/>
      <c r="D524" s="131"/>
      <c r="E524" s="131"/>
      <c r="F524" s="58"/>
      <c r="G524" s="140"/>
      <c r="H524" s="140"/>
      <c r="I524" s="58"/>
      <c r="J524" s="58"/>
      <c r="K524" s="58"/>
      <c r="L524" s="58"/>
      <c r="M524" s="135"/>
      <c r="N524" s="135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35"/>
      <c r="Z524" s="58"/>
      <c r="AA524" s="58"/>
      <c r="AB524" s="58"/>
      <c r="AC524" s="58"/>
      <c r="AD524" s="58"/>
      <c r="AE524" s="138"/>
      <c r="AF524" s="136"/>
      <c r="AG524" s="136"/>
      <c r="AH524" s="136"/>
    </row>
    <row r="525" spans="1:34" s="132" customFormat="1" ht="12.75" customHeight="1" x14ac:dyDescent="0.25">
      <c r="A525" s="137"/>
      <c r="B525" s="139"/>
      <c r="C525" s="136"/>
      <c r="D525" s="131"/>
      <c r="E525" s="131"/>
      <c r="F525" s="58"/>
      <c r="G525" s="140"/>
      <c r="H525" s="140"/>
      <c r="I525" s="58"/>
      <c r="J525" s="58"/>
      <c r="K525" s="58"/>
      <c r="L525" s="58"/>
      <c r="M525" s="135"/>
      <c r="N525" s="135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35"/>
      <c r="Z525" s="58"/>
      <c r="AA525" s="58"/>
      <c r="AB525" s="58"/>
      <c r="AC525" s="58"/>
      <c r="AD525" s="58"/>
      <c r="AE525" s="138"/>
      <c r="AF525" s="136"/>
      <c r="AG525" s="136"/>
      <c r="AH525" s="136"/>
    </row>
    <row r="526" spans="1:34" s="132" customFormat="1" ht="12.75" customHeight="1" x14ac:dyDescent="0.25">
      <c r="A526" s="137"/>
      <c r="B526" s="139"/>
      <c r="C526" s="136"/>
      <c r="D526" s="131"/>
      <c r="E526" s="131"/>
      <c r="F526" s="58"/>
      <c r="G526" s="140"/>
      <c r="H526" s="140"/>
      <c r="I526" s="58"/>
      <c r="J526" s="58"/>
      <c r="K526" s="58"/>
      <c r="L526" s="58"/>
      <c r="M526" s="135"/>
      <c r="N526" s="135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35"/>
      <c r="Z526" s="58"/>
      <c r="AA526" s="58"/>
      <c r="AB526" s="58"/>
      <c r="AC526" s="58"/>
      <c r="AD526" s="58"/>
      <c r="AE526" s="138"/>
      <c r="AF526" s="136"/>
      <c r="AG526" s="136"/>
      <c r="AH526" s="136"/>
    </row>
    <row r="527" spans="1:34" s="132" customFormat="1" ht="12.75" customHeight="1" x14ac:dyDescent="0.25">
      <c r="A527" s="137"/>
      <c r="B527" s="139"/>
      <c r="C527" s="136"/>
      <c r="D527" s="131"/>
      <c r="E527" s="131"/>
      <c r="F527" s="58"/>
      <c r="G527" s="140"/>
      <c r="H527" s="140"/>
      <c r="I527" s="58"/>
      <c r="J527" s="58"/>
      <c r="K527" s="58"/>
      <c r="L527" s="58"/>
      <c r="M527" s="135"/>
      <c r="N527" s="135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35"/>
      <c r="Z527" s="58"/>
      <c r="AA527" s="58"/>
      <c r="AB527" s="58"/>
      <c r="AC527" s="58"/>
      <c r="AD527" s="58"/>
      <c r="AE527" s="138"/>
      <c r="AF527" s="136"/>
      <c r="AG527" s="136"/>
      <c r="AH527" s="136"/>
    </row>
    <row r="528" spans="1:34" s="132" customFormat="1" ht="12.75" customHeight="1" x14ac:dyDescent="0.25">
      <c r="A528" s="137"/>
      <c r="B528" s="139"/>
      <c r="C528" s="136"/>
      <c r="D528" s="131"/>
      <c r="E528" s="131"/>
      <c r="F528" s="58"/>
      <c r="G528" s="140"/>
      <c r="H528" s="140"/>
      <c r="I528" s="58"/>
      <c r="J528" s="58"/>
      <c r="K528" s="58"/>
      <c r="L528" s="58"/>
      <c r="M528" s="135"/>
      <c r="N528" s="135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35"/>
      <c r="Z528" s="58"/>
      <c r="AA528" s="58"/>
      <c r="AB528" s="58"/>
      <c r="AC528" s="58"/>
      <c r="AD528" s="58"/>
      <c r="AE528" s="138"/>
      <c r="AF528" s="136"/>
      <c r="AG528" s="136"/>
      <c r="AH528" s="136"/>
    </row>
    <row r="529" spans="1:34" s="132" customFormat="1" ht="12.75" customHeight="1" x14ac:dyDescent="0.25">
      <c r="A529" s="137"/>
      <c r="B529" s="139"/>
      <c r="C529" s="136"/>
      <c r="D529" s="131"/>
      <c r="E529" s="131"/>
      <c r="F529" s="58"/>
      <c r="G529" s="140"/>
      <c r="H529" s="140"/>
      <c r="I529" s="58"/>
      <c r="J529" s="58"/>
      <c r="K529" s="58"/>
      <c r="L529" s="58"/>
      <c r="M529" s="135"/>
      <c r="N529" s="135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35"/>
      <c r="Z529" s="58"/>
      <c r="AA529" s="58"/>
      <c r="AB529" s="58"/>
      <c r="AC529" s="58"/>
      <c r="AD529" s="58"/>
      <c r="AE529" s="138"/>
      <c r="AF529" s="136"/>
      <c r="AG529" s="136"/>
      <c r="AH529" s="136"/>
    </row>
    <row r="530" spans="1:34" s="132" customFormat="1" ht="12.75" customHeight="1" x14ac:dyDescent="0.25">
      <c r="A530" s="137"/>
      <c r="B530" s="139"/>
      <c r="C530" s="136"/>
      <c r="D530" s="131"/>
      <c r="E530" s="131"/>
      <c r="F530" s="58"/>
      <c r="G530" s="140"/>
      <c r="H530" s="140"/>
      <c r="I530" s="58"/>
      <c r="J530" s="58"/>
      <c r="K530" s="58"/>
      <c r="L530" s="58"/>
      <c r="M530" s="135"/>
      <c r="N530" s="135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35"/>
      <c r="Z530" s="58"/>
      <c r="AA530" s="58"/>
      <c r="AB530" s="58"/>
      <c r="AC530" s="58"/>
      <c r="AD530" s="58"/>
      <c r="AE530" s="138"/>
      <c r="AF530" s="136"/>
      <c r="AG530" s="136"/>
      <c r="AH530" s="136"/>
    </row>
    <row r="531" spans="1:34" s="132" customFormat="1" ht="12.75" customHeight="1" x14ac:dyDescent="0.25">
      <c r="A531" s="137"/>
      <c r="B531" s="139"/>
      <c r="C531" s="136"/>
      <c r="D531" s="131"/>
      <c r="E531" s="131"/>
      <c r="F531" s="58"/>
      <c r="G531" s="140"/>
      <c r="H531" s="140"/>
      <c r="I531" s="58"/>
      <c r="J531" s="58"/>
      <c r="K531" s="58"/>
      <c r="L531" s="58"/>
      <c r="M531" s="135"/>
      <c r="N531" s="135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35"/>
      <c r="Z531" s="58"/>
      <c r="AA531" s="58"/>
      <c r="AB531" s="58"/>
      <c r="AC531" s="58"/>
      <c r="AD531" s="58"/>
      <c r="AE531" s="138"/>
      <c r="AF531" s="136"/>
      <c r="AG531" s="136"/>
      <c r="AH531" s="136"/>
    </row>
    <row r="532" spans="1:34" s="132" customFormat="1" ht="12.75" customHeight="1" x14ac:dyDescent="0.25">
      <c r="A532" s="137"/>
      <c r="B532" s="139"/>
      <c r="C532" s="136"/>
      <c r="D532" s="131"/>
      <c r="E532" s="131"/>
      <c r="F532" s="58"/>
      <c r="G532" s="140"/>
      <c r="H532" s="140"/>
      <c r="I532" s="58"/>
      <c r="J532" s="58"/>
      <c r="K532" s="58"/>
      <c r="L532" s="58"/>
      <c r="M532" s="135"/>
      <c r="N532" s="135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35"/>
      <c r="Z532" s="58"/>
      <c r="AA532" s="58"/>
      <c r="AB532" s="58"/>
      <c r="AC532" s="58"/>
      <c r="AD532" s="58"/>
      <c r="AE532" s="138"/>
      <c r="AF532" s="136"/>
      <c r="AG532" s="136"/>
      <c r="AH532" s="136"/>
    </row>
    <row r="533" spans="1:34" s="132" customFormat="1" ht="12.75" customHeight="1" x14ac:dyDescent="0.25">
      <c r="A533" s="137"/>
      <c r="B533" s="139"/>
      <c r="C533" s="136"/>
      <c r="D533" s="131"/>
      <c r="E533" s="131"/>
      <c r="F533" s="58"/>
      <c r="G533" s="140"/>
      <c r="H533" s="140"/>
      <c r="I533" s="58"/>
      <c r="J533" s="58"/>
      <c r="K533" s="58"/>
      <c r="L533" s="58"/>
      <c r="M533" s="135"/>
      <c r="N533" s="135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35"/>
      <c r="Z533" s="58"/>
      <c r="AA533" s="58"/>
      <c r="AB533" s="58"/>
      <c r="AC533" s="58"/>
      <c r="AD533" s="58"/>
      <c r="AE533" s="138"/>
      <c r="AF533" s="136"/>
      <c r="AG533" s="136"/>
      <c r="AH533" s="136"/>
    </row>
    <row r="534" spans="1:34" s="132" customFormat="1" ht="12.75" customHeight="1" x14ac:dyDescent="0.25">
      <c r="A534" s="137"/>
      <c r="B534" s="139"/>
      <c r="C534" s="136"/>
      <c r="D534" s="131"/>
      <c r="E534" s="131"/>
      <c r="F534" s="58"/>
      <c r="G534" s="140"/>
      <c r="H534" s="140"/>
      <c r="I534" s="58"/>
      <c r="J534" s="58"/>
      <c r="K534" s="58"/>
      <c r="L534" s="58"/>
      <c r="M534" s="135"/>
      <c r="N534" s="135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35"/>
      <c r="Z534" s="58"/>
      <c r="AA534" s="58"/>
      <c r="AB534" s="58"/>
      <c r="AC534" s="58"/>
      <c r="AD534" s="58"/>
      <c r="AE534" s="138"/>
      <c r="AF534" s="136"/>
      <c r="AG534" s="136"/>
      <c r="AH534" s="136"/>
    </row>
    <row r="535" spans="1:34" s="132" customFormat="1" ht="12.75" customHeight="1" x14ac:dyDescent="0.25">
      <c r="A535" s="137"/>
      <c r="B535" s="139"/>
      <c r="C535" s="136"/>
      <c r="D535" s="131"/>
      <c r="E535" s="131"/>
      <c r="F535" s="58"/>
      <c r="G535" s="140"/>
      <c r="H535" s="140"/>
      <c r="I535" s="58"/>
      <c r="J535" s="58"/>
      <c r="K535" s="58"/>
      <c r="L535" s="58"/>
      <c r="M535" s="135"/>
      <c r="N535" s="135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35"/>
      <c r="Z535" s="58"/>
      <c r="AA535" s="58"/>
      <c r="AB535" s="58"/>
      <c r="AC535" s="58"/>
      <c r="AD535" s="58"/>
      <c r="AE535" s="138"/>
      <c r="AF535" s="136"/>
      <c r="AG535" s="136"/>
      <c r="AH535" s="136"/>
    </row>
    <row r="536" spans="1:34" s="132" customFormat="1" ht="12.75" customHeight="1" x14ac:dyDescent="0.25">
      <c r="A536" s="137"/>
      <c r="B536" s="139"/>
      <c r="C536" s="136"/>
      <c r="D536" s="131"/>
      <c r="E536" s="131"/>
      <c r="F536" s="58"/>
      <c r="G536" s="140"/>
      <c r="H536" s="140"/>
      <c r="I536" s="58"/>
      <c r="J536" s="58"/>
      <c r="K536" s="58"/>
      <c r="L536" s="58"/>
      <c r="M536" s="135"/>
      <c r="N536" s="135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35"/>
      <c r="Z536" s="58"/>
      <c r="AA536" s="58"/>
      <c r="AB536" s="58"/>
      <c r="AC536" s="58"/>
      <c r="AD536" s="58"/>
      <c r="AE536" s="138"/>
      <c r="AF536" s="136"/>
      <c r="AG536" s="136"/>
      <c r="AH536" s="136"/>
    </row>
    <row r="537" spans="1:34" s="132" customFormat="1" ht="12.75" customHeight="1" x14ac:dyDescent="0.25">
      <c r="A537" s="137"/>
      <c r="B537" s="139"/>
      <c r="C537" s="136"/>
      <c r="D537" s="131"/>
      <c r="E537" s="131"/>
      <c r="F537" s="58"/>
      <c r="G537" s="140"/>
      <c r="H537" s="140"/>
      <c r="I537" s="58"/>
      <c r="J537" s="58"/>
      <c r="K537" s="58"/>
      <c r="L537" s="58"/>
      <c r="M537" s="135"/>
      <c r="N537" s="135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35"/>
      <c r="Z537" s="58"/>
      <c r="AA537" s="58"/>
      <c r="AB537" s="58"/>
      <c r="AC537" s="58"/>
      <c r="AD537" s="58"/>
      <c r="AE537" s="138"/>
      <c r="AF537" s="136"/>
      <c r="AG537" s="136"/>
      <c r="AH537" s="136"/>
    </row>
    <row r="538" spans="1:34" s="132" customFormat="1" ht="12.75" customHeight="1" x14ac:dyDescent="0.25">
      <c r="A538" s="137"/>
      <c r="B538" s="139"/>
      <c r="C538" s="136"/>
      <c r="D538" s="131"/>
      <c r="E538" s="131"/>
      <c r="F538" s="58"/>
      <c r="G538" s="140"/>
      <c r="H538" s="140"/>
      <c r="I538" s="58"/>
      <c r="J538" s="58"/>
      <c r="K538" s="58"/>
      <c r="L538" s="58"/>
      <c r="M538" s="135"/>
      <c r="N538" s="135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35"/>
      <c r="Z538" s="58"/>
      <c r="AA538" s="58"/>
      <c r="AB538" s="58"/>
      <c r="AC538" s="58"/>
      <c r="AD538" s="58"/>
      <c r="AE538" s="138"/>
      <c r="AF538" s="136"/>
      <c r="AG538" s="136"/>
      <c r="AH538" s="136"/>
    </row>
    <row r="539" spans="1:34" s="132" customFormat="1" ht="12.75" customHeight="1" x14ac:dyDescent="0.25">
      <c r="A539" s="137"/>
      <c r="B539" s="139"/>
      <c r="C539" s="136"/>
      <c r="D539" s="131"/>
      <c r="E539" s="131"/>
      <c r="F539" s="58"/>
      <c r="G539" s="140"/>
      <c r="H539" s="140"/>
      <c r="I539" s="58"/>
      <c r="J539" s="58"/>
      <c r="K539" s="58"/>
      <c r="L539" s="58"/>
      <c r="M539" s="135"/>
      <c r="N539" s="135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35"/>
      <c r="Z539" s="58"/>
      <c r="AA539" s="58"/>
      <c r="AB539" s="58"/>
      <c r="AC539" s="58"/>
      <c r="AD539" s="58"/>
      <c r="AE539" s="138"/>
      <c r="AF539" s="136"/>
      <c r="AG539" s="136"/>
      <c r="AH539" s="136"/>
    </row>
    <row r="540" spans="1:34" s="132" customFormat="1" ht="12.75" customHeight="1" x14ac:dyDescent="0.25">
      <c r="A540" s="137"/>
      <c r="B540" s="139"/>
      <c r="C540" s="136"/>
      <c r="D540" s="131"/>
      <c r="E540" s="131"/>
      <c r="F540" s="58"/>
      <c r="G540" s="140"/>
      <c r="H540" s="140"/>
      <c r="I540" s="58"/>
      <c r="J540" s="58"/>
      <c r="K540" s="58"/>
      <c r="L540" s="58"/>
      <c r="M540" s="135"/>
      <c r="N540" s="135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35"/>
      <c r="Z540" s="58"/>
      <c r="AA540" s="58"/>
      <c r="AB540" s="58"/>
      <c r="AC540" s="58"/>
      <c r="AD540" s="58"/>
      <c r="AE540" s="138"/>
      <c r="AF540" s="136"/>
      <c r="AG540" s="136"/>
      <c r="AH540" s="136"/>
    </row>
    <row r="541" spans="1:34" s="132" customFormat="1" ht="12.75" customHeight="1" x14ac:dyDescent="0.25">
      <c r="A541" s="137"/>
      <c r="B541" s="139"/>
      <c r="C541" s="136"/>
      <c r="D541" s="131"/>
      <c r="E541" s="131"/>
      <c r="F541" s="58"/>
      <c r="G541" s="140"/>
      <c r="H541" s="140"/>
      <c r="I541" s="58"/>
      <c r="J541" s="58"/>
      <c r="K541" s="58"/>
      <c r="L541" s="58"/>
      <c r="M541" s="135"/>
      <c r="N541" s="135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35"/>
      <c r="Z541" s="58"/>
      <c r="AA541" s="58"/>
      <c r="AB541" s="58"/>
      <c r="AC541" s="58"/>
      <c r="AD541" s="58"/>
      <c r="AE541" s="138"/>
      <c r="AF541" s="136"/>
      <c r="AG541" s="136"/>
      <c r="AH541" s="136"/>
    </row>
    <row r="542" spans="1:34" s="132" customFormat="1" ht="12.75" customHeight="1" x14ac:dyDescent="0.25">
      <c r="A542" s="137"/>
      <c r="B542" s="139"/>
      <c r="C542" s="136"/>
      <c r="D542" s="131"/>
      <c r="E542" s="131"/>
      <c r="F542" s="58"/>
      <c r="G542" s="140"/>
      <c r="H542" s="140"/>
      <c r="I542" s="58"/>
      <c r="J542" s="58"/>
      <c r="K542" s="58"/>
      <c r="L542" s="58"/>
      <c r="M542" s="135"/>
      <c r="N542" s="135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35"/>
      <c r="Z542" s="58"/>
      <c r="AA542" s="58"/>
      <c r="AB542" s="58"/>
      <c r="AC542" s="58"/>
      <c r="AD542" s="58"/>
      <c r="AE542" s="138"/>
      <c r="AF542" s="136"/>
      <c r="AG542" s="136"/>
      <c r="AH542" s="136"/>
    </row>
    <row r="543" spans="1:34" s="132" customFormat="1" ht="12.75" customHeight="1" x14ac:dyDescent="0.25">
      <c r="A543" s="137"/>
      <c r="B543" s="139"/>
      <c r="C543" s="136"/>
      <c r="D543" s="131"/>
      <c r="E543" s="131"/>
      <c r="F543" s="58"/>
      <c r="G543" s="140"/>
      <c r="H543" s="140"/>
      <c r="I543" s="58"/>
      <c r="J543" s="58"/>
      <c r="K543" s="58"/>
      <c r="L543" s="58"/>
      <c r="M543" s="135"/>
      <c r="N543" s="135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35"/>
      <c r="Z543" s="58"/>
      <c r="AA543" s="58"/>
      <c r="AB543" s="58"/>
      <c r="AC543" s="58"/>
      <c r="AD543" s="58"/>
      <c r="AE543" s="138"/>
      <c r="AF543" s="136"/>
      <c r="AG543" s="136"/>
      <c r="AH543" s="136"/>
    </row>
    <row r="544" spans="1:34" s="132" customFormat="1" ht="12.75" customHeight="1" x14ac:dyDescent="0.25">
      <c r="A544" s="137"/>
      <c r="B544" s="139"/>
      <c r="C544" s="136"/>
      <c r="D544" s="131"/>
      <c r="E544" s="131"/>
      <c r="F544" s="58"/>
      <c r="G544" s="140"/>
      <c r="H544" s="140"/>
      <c r="I544" s="58"/>
      <c r="J544" s="58"/>
      <c r="K544" s="58"/>
      <c r="L544" s="58"/>
      <c r="M544" s="135"/>
      <c r="N544" s="135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35"/>
      <c r="Z544" s="58"/>
      <c r="AA544" s="58"/>
      <c r="AB544" s="58"/>
      <c r="AC544" s="58"/>
      <c r="AD544" s="58"/>
      <c r="AE544" s="138"/>
      <c r="AF544" s="136"/>
      <c r="AG544" s="136"/>
      <c r="AH544" s="136"/>
    </row>
    <row r="545" spans="1:34" s="132" customFormat="1" ht="12.75" customHeight="1" x14ac:dyDescent="0.25">
      <c r="A545" s="137"/>
      <c r="B545" s="139"/>
      <c r="C545" s="136"/>
      <c r="D545" s="131"/>
      <c r="E545" s="131"/>
      <c r="F545" s="58"/>
      <c r="G545" s="140"/>
      <c r="H545" s="140"/>
      <c r="I545" s="58"/>
      <c r="J545" s="58"/>
      <c r="K545" s="58"/>
      <c r="L545" s="58"/>
      <c r="M545" s="135"/>
      <c r="N545" s="135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35"/>
      <c r="Z545" s="58"/>
      <c r="AA545" s="58"/>
      <c r="AB545" s="58"/>
      <c r="AC545" s="58"/>
      <c r="AD545" s="58"/>
      <c r="AE545" s="138"/>
      <c r="AF545" s="136"/>
      <c r="AG545" s="136"/>
      <c r="AH545" s="136"/>
    </row>
    <row r="546" spans="1:34" s="132" customFormat="1" ht="12.75" customHeight="1" x14ac:dyDescent="0.25">
      <c r="A546" s="137"/>
      <c r="B546" s="139"/>
      <c r="C546" s="136"/>
      <c r="D546" s="131"/>
      <c r="E546" s="131"/>
      <c r="F546" s="58"/>
      <c r="G546" s="140"/>
      <c r="H546" s="140"/>
      <c r="I546" s="58"/>
      <c r="J546" s="58"/>
      <c r="K546" s="58"/>
      <c r="L546" s="58"/>
      <c r="M546" s="135"/>
      <c r="N546" s="135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35"/>
      <c r="Z546" s="58"/>
      <c r="AA546" s="58"/>
      <c r="AB546" s="58"/>
      <c r="AC546" s="58"/>
      <c r="AD546" s="58"/>
      <c r="AE546" s="138"/>
      <c r="AF546" s="136"/>
      <c r="AG546" s="136"/>
      <c r="AH546" s="136"/>
    </row>
    <row r="547" spans="1:34" s="132" customFormat="1" ht="12.75" customHeight="1" x14ac:dyDescent="0.25">
      <c r="A547" s="137"/>
      <c r="B547" s="139"/>
      <c r="C547" s="136"/>
      <c r="D547" s="131"/>
      <c r="E547" s="131"/>
      <c r="F547" s="58"/>
      <c r="G547" s="140"/>
      <c r="H547" s="140"/>
      <c r="I547" s="58"/>
      <c r="J547" s="58"/>
      <c r="K547" s="58"/>
      <c r="L547" s="58"/>
      <c r="M547" s="135"/>
      <c r="N547" s="135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35"/>
      <c r="Z547" s="58"/>
      <c r="AA547" s="58"/>
      <c r="AB547" s="58"/>
      <c r="AC547" s="58"/>
      <c r="AD547" s="58"/>
      <c r="AE547" s="138"/>
      <c r="AF547" s="136"/>
      <c r="AG547" s="136"/>
      <c r="AH547" s="136"/>
    </row>
    <row r="548" spans="1:34" s="132" customFormat="1" ht="12.75" customHeight="1" x14ac:dyDescent="0.25">
      <c r="A548" s="137"/>
      <c r="B548" s="139"/>
      <c r="C548" s="136"/>
      <c r="D548" s="131"/>
      <c r="E548" s="131"/>
      <c r="F548" s="58"/>
      <c r="G548" s="140"/>
      <c r="H548" s="140"/>
      <c r="I548" s="58"/>
      <c r="J548" s="58"/>
      <c r="K548" s="58"/>
      <c r="L548" s="58"/>
      <c r="M548" s="135"/>
      <c r="N548" s="135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35"/>
      <c r="Z548" s="58"/>
      <c r="AA548" s="58"/>
      <c r="AB548" s="58"/>
      <c r="AC548" s="58"/>
      <c r="AD548" s="58"/>
      <c r="AE548" s="138"/>
      <c r="AF548" s="136"/>
      <c r="AG548" s="136"/>
      <c r="AH548" s="136"/>
    </row>
    <row r="549" spans="1:34" s="132" customFormat="1" ht="12.75" customHeight="1" x14ac:dyDescent="0.25">
      <c r="A549" s="137"/>
      <c r="B549" s="139"/>
      <c r="C549" s="136"/>
      <c r="D549" s="131"/>
      <c r="E549" s="131"/>
      <c r="F549" s="58"/>
      <c r="G549" s="140"/>
      <c r="H549" s="140"/>
      <c r="I549" s="58"/>
      <c r="J549" s="58"/>
      <c r="K549" s="58"/>
      <c r="L549" s="58"/>
      <c r="M549" s="135"/>
      <c r="N549" s="135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35"/>
      <c r="Z549" s="58"/>
      <c r="AA549" s="58"/>
      <c r="AB549" s="58"/>
      <c r="AC549" s="58"/>
      <c r="AD549" s="58"/>
      <c r="AE549" s="138"/>
      <c r="AF549" s="136"/>
      <c r="AG549" s="136"/>
      <c r="AH549" s="136"/>
    </row>
    <row r="550" spans="1:34" s="132" customFormat="1" ht="12.75" customHeight="1" x14ac:dyDescent="0.25">
      <c r="A550" s="137"/>
      <c r="B550" s="139"/>
      <c r="C550" s="136"/>
      <c r="D550" s="131"/>
      <c r="E550" s="131"/>
      <c r="F550" s="58"/>
      <c r="G550" s="140"/>
      <c r="H550" s="140"/>
      <c r="I550" s="58"/>
      <c r="J550" s="58"/>
      <c r="K550" s="58"/>
      <c r="L550" s="58"/>
      <c r="M550" s="135"/>
      <c r="N550" s="135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35"/>
      <c r="Z550" s="58"/>
      <c r="AA550" s="58"/>
      <c r="AB550" s="58"/>
      <c r="AC550" s="58"/>
      <c r="AD550" s="58"/>
      <c r="AE550" s="138"/>
      <c r="AF550" s="136"/>
      <c r="AG550" s="136"/>
      <c r="AH550" s="136"/>
    </row>
    <row r="551" spans="1:34" s="132" customFormat="1" ht="12.75" customHeight="1" x14ac:dyDescent="0.25">
      <c r="A551" s="137"/>
      <c r="B551" s="139"/>
      <c r="C551" s="136"/>
      <c r="D551" s="131"/>
      <c r="E551" s="131"/>
      <c r="F551" s="58"/>
      <c r="G551" s="140"/>
      <c r="H551" s="140"/>
      <c r="I551" s="58"/>
      <c r="J551" s="58"/>
      <c r="K551" s="58"/>
      <c r="L551" s="58"/>
      <c r="M551" s="135"/>
      <c r="N551" s="135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35"/>
      <c r="Z551" s="58"/>
      <c r="AA551" s="58"/>
      <c r="AB551" s="58"/>
      <c r="AC551" s="58"/>
      <c r="AD551" s="58"/>
      <c r="AE551" s="138"/>
      <c r="AF551" s="136"/>
      <c r="AG551" s="136"/>
      <c r="AH551" s="136"/>
    </row>
    <row r="552" spans="1:34" s="132" customFormat="1" ht="12.75" customHeight="1" x14ac:dyDescent="0.25">
      <c r="A552" s="137"/>
      <c r="B552" s="139"/>
      <c r="C552" s="136"/>
      <c r="D552" s="131"/>
      <c r="E552" s="131"/>
      <c r="F552" s="58"/>
      <c r="G552" s="140"/>
      <c r="H552" s="140"/>
      <c r="I552" s="58"/>
      <c r="J552" s="58"/>
      <c r="K552" s="58"/>
      <c r="L552" s="58"/>
      <c r="M552" s="135"/>
      <c r="N552" s="135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35"/>
      <c r="Z552" s="58"/>
      <c r="AA552" s="58"/>
      <c r="AB552" s="58"/>
      <c r="AC552" s="58"/>
      <c r="AD552" s="58"/>
      <c r="AE552" s="138"/>
      <c r="AF552" s="136"/>
      <c r="AG552" s="136"/>
      <c r="AH552" s="136"/>
    </row>
    <row r="553" spans="1:34" s="132" customFormat="1" ht="12.75" customHeight="1" x14ac:dyDescent="0.25">
      <c r="A553" s="137"/>
      <c r="B553" s="139"/>
      <c r="C553" s="136"/>
      <c r="D553" s="131"/>
      <c r="E553" s="131"/>
      <c r="F553" s="58"/>
      <c r="G553" s="140"/>
      <c r="H553" s="140"/>
      <c r="I553" s="58"/>
      <c r="J553" s="58"/>
      <c r="K553" s="58"/>
      <c r="L553" s="58"/>
      <c r="M553" s="135"/>
      <c r="N553" s="135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35"/>
      <c r="Z553" s="58"/>
      <c r="AA553" s="58"/>
      <c r="AB553" s="58"/>
      <c r="AC553" s="58"/>
      <c r="AD553" s="58"/>
      <c r="AE553" s="138"/>
      <c r="AF553" s="136"/>
      <c r="AG553" s="136"/>
      <c r="AH553" s="136"/>
    </row>
    <row r="554" spans="1:34" s="132" customFormat="1" ht="12.75" customHeight="1" x14ac:dyDescent="0.25">
      <c r="A554" s="137"/>
      <c r="B554" s="139"/>
      <c r="C554" s="136"/>
      <c r="D554" s="131"/>
      <c r="E554" s="131"/>
      <c r="F554" s="58"/>
      <c r="G554" s="140"/>
      <c r="H554" s="140"/>
      <c r="I554" s="58"/>
      <c r="J554" s="58"/>
      <c r="K554" s="58"/>
      <c r="L554" s="58"/>
      <c r="M554" s="135"/>
      <c r="N554" s="135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35"/>
      <c r="Z554" s="58"/>
      <c r="AA554" s="58"/>
      <c r="AB554" s="58"/>
      <c r="AC554" s="58"/>
      <c r="AD554" s="58"/>
      <c r="AE554" s="138"/>
      <c r="AF554" s="136"/>
      <c r="AG554" s="136"/>
      <c r="AH554" s="136"/>
    </row>
    <row r="555" spans="1:34" s="132" customFormat="1" ht="12.75" customHeight="1" x14ac:dyDescent="0.25">
      <c r="A555" s="137"/>
      <c r="B555" s="139"/>
      <c r="C555" s="136"/>
      <c r="D555" s="131"/>
      <c r="E555" s="131"/>
      <c r="F555" s="58"/>
      <c r="G555" s="140"/>
      <c r="H555" s="140"/>
      <c r="I555" s="58"/>
      <c r="J555" s="58"/>
      <c r="K555" s="58"/>
      <c r="L555" s="58"/>
      <c r="M555" s="135"/>
      <c r="N555" s="135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35"/>
      <c r="Z555" s="58"/>
      <c r="AA555" s="58"/>
      <c r="AB555" s="58"/>
      <c r="AC555" s="58"/>
      <c r="AD555" s="58"/>
      <c r="AE555" s="138"/>
      <c r="AF555" s="136"/>
      <c r="AG555" s="136"/>
      <c r="AH555" s="136"/>
    </row>
    <row r="556" spans="1:34" s="132" customFormat="1" ht="12.75" customHeight="1" x14ac:dyDescent="0.25">
      <c r="A556" s="137"/>
      <c r="B556" s="139"/>
      <c r="C556" s="136"/>
      <c r="D556" s="131"/>
      <c r="E556" s="131"/>
      <c r="F556" s="58"/>
      <c r="G556" s="140"/>
      <c r="H556" s="140"/>
      <c r="I556" s="58"/>
      <c r="J556" s="58"/>
      <c r="K556" s="58"/>
      <c r="L556" s="58"/>
      <c r="M556" s="135"/>
      <c r="N556" s="135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35"/>
      <c r="Z556" s="58"/>
      <c r="AA556" s="58"/>
      <c r="AB556" s="58"/>
      <c r="AC556" s="58"/>
      <c r="AD556" s="58"/>
      <c r="AE556" s="138"/>
      <c r="AF556" s="136"/>
      <c r="AG556" s="136"/>
      <c r="AH556" s="136"/>
    </row>
    <row r="557" spans="1:34" s="132" customFormat="1" ht="12.75" customHeight="1" x14ac:dyDescent="0.25">
      <c r="A557" s="137"/>
      <c r="B557" s="139"/>
      <c r="C557" s="136"/>
      <c r="D557" s="131"/>
      <c r="E557" s="131"/>
      <c r="F557" s="58"/>
      <c r="G557" s="140"/>
      <c r="H557" s="140"/>
      <c r="I557" s="58"/>
      <c r="J557" s="58"/>
      <c r="K557" s="58"/>
      <c r="L557" s="58"/>
      <c r="M557" s="135"/>
      <c r="N557" s="135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35"/>
      <c r="Z557" s="58"/>
      <c r="AA557" s="58"/>
      <c r="AB557" s="58"/>
      <c r="AC557" s="58"/>
      <c r="AD557" s="58"/>
      <c r="AE557" s="138"/>
      <c r="AF557" s="136"/>
      <c r="AG557" s="136"/>
      <c r="AH557" s="136"/>
    </row>
    <row r="558" spans="1:34" s="132" customFormat="1" ht="12.75" customHeight="1" x14ac:dyDescent="0.25">
      <c r="A558" s="137"/>
      <c r="B558" s="139"/>
      <c r="C558" s="136"/>
      <c r="D558" s="131"/>
      <c r="E558" s="131"/>
      <c r="F558" s="58"/>
      <c r="G558" s="140"/>
      <c r="H558" s="140"/>
      <c r="I558" s="58"/>
      <c r="J558" s="58"/>
      <c r="K558" s="58"/>
      <c r="L558" s="58"/>
      <c r="M558" s="135"/>
      <c r="N558" s="135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35"/>
      <c r="Z558" s="58"/>
      <c r="AA558" s="58"/>
      <c r="AB558" s="58"/>
      <c r="AC558" s="58"/>
      <c r="AD558" s="58"/>
      <c r="AE558" s="138"/>
      <c r="AF558" s="136"/>
      <c r="AG558" s="136"/>
      <c r="AH558" s="136"/>
    </row>
    <row r="559" spans="1:34" s="132" customFormat="1" ht="12.75" customHeight="1" x14ac:dyDescent="0.25">
      <c r="A559" s="137"/>
      <c r="B559" s="139"/>
      <c r="C559" s="136"/>
      <c r="D559" s="131"/>
      <c r="E559" s="131"/>
      <c r="F559" s="58"/>
      <c r="G559" s="140"/>
      <c r="H559" s="140"/>
      <c r="I559" s="58"/>
      <c r="J559" s="58"/>
      <c r="K559" s="58"/>
      <c r="L559" s="58"/>
      <c r="M559" s="135"/>
      <c r="N559" s="135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35"/>
      <c r="Z559" s="58"/>
      <c r="AA559" s="58"/>
      <c r="AB559" s="58"/>
      <c r="AC559" s="58"/>
      <c r="AD559" s="58"/>
      <c r="AE559" s="138"/>
      <c r="AF559" s="136"/>
      <c r="AG559" s="136"/>
      <c r="AH559" s="136"/>
    </row>
    <row r="560" spans="1:34" s="132" customFormat="1" ht="12.75" customHeight="1" x14ac:dyDescent="0.25">
      <c r="A560" s="137"/>
      <c r="B560" s="139"/>
      <c r="C560" s="136"/>
      <c r="D560" s="131"/>
      <c r="E560" s="131"/>
      <c r="F560" s="58"/>
      <c r="G560" s="140"/>
      <c r="H560" s="140"/>
      <c r="I560" s="58"/>
      <c r="J560" s="58"/>
      <c r="K560" s="58"/>
      <c r="L560" s="58"/>
      <c r="M560" s="135"/>
      <c r="N560" s="135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35"/>
      <c r="Z560" s="58"/>
      <c r="AA560" s="58"/>
      <c r="AB560" s="58"/>
      <c r="AC560" s="58"/>
      <c r="AD560" s="58"/>
      <c r="AE560" s="138"/>
      <c r="AF560" s="136"/>
      <c r="AG560" s="136"/>
      <c r="AH560" s="136"/>
    </row>
    <row r="561" spans="1:34" s="132" customFormat="1" ht="12.75" customHeight="1" x14ac:dyDescent="0.25">
      <c r="A561" s="137"/>
      <c r="B561" s="139"/>
      <c r="C561" s="136"/>
      <c r="D561" s="131"/>
      <c r="E561" s="131"/>
      <c r="F561" s="58"/>
      <c r="G561" s="140"/>
      <c r="H561" s="140"/>
      <c r="I561" s="58"/>
      <c r="J561" s="58"/>
      <c r="K561" s="58"/>
      <c r="L561" s="58"/>
      <c r="M561" s="135"/>
      <c r="N561" s="135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35"/>
      <c r="Z561" s="58"/>
      <c r="AA561" s="58"/>
      <c r="AB561" s="58"/>
      <c r="AC561" s="58"/>
      <c r="AD561" s="58"/>
      <c r="AE561" s="138"/>
      <c r="AF561" s="136"/>
      <c r="AG561" s="136"/>
      <c r="AH561" s="136"/>
    </row>
    <row r="562" spans="1:34" s="132" customFormat="1" ht="12.75" customHeight="1" x14ac:dyDescent="0.25">
      <c r="A562" s="137"/>
      <c r="B562" s="139"/>
      <c r="C562" s="136"/>
      <c r="D562" s="131"/>
      <c r="E562" s="131"/>
      <c r="F562" s="58"/>
      <c r="G562" s="140"/>
      <c r="H562" s="140"/>
      <c r="I562" s="58"/>
      <c r="J562" s="58"/>
      <c r="K562" s="58"/>
      <c r="L562" s="58"/>
      <c r="M562" s="135"/>
      <c r="N562" s="135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35"/>
      <c r="Z562" s="58"/>
      <c r="AA562" s="58"/>
      <c r="AB562" s="58"/>
      <c r="AC562" s="58"/>
      <c r="AD562" s="58"/>
      <c r="AE562" s="138"/>
      <c r="AF562" s="136"/>
      <c r="AG562" s="136"/>
      <c r="AH562" s="136"/>
    </row>
    <row r="563" spans="1:34" s="132" customFormat="1" ht="12.75" customHeight="1" x14ac:dyDescent="0.25">
      <c r="A563" s="137"/>
      <c r="B563" s="139"/>
      <c r="C563" s="136"/>
      <c r="D563" s="131"/>
      <c r="E563" s="131"/>
      <c r="F563" s="58"/>
      <c r="G563" s="140"/>
      <c r="H563" s="140"/>
      <c r="I563" s="58"/>
      <c r="J563" s="58"/>
      <c r="K563" s="58"/>
      <c r="L563" s="58"/>
      <c r="M563" s="135"/>
      <c r="N563" s="135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35"/>
      <c r="Z563" s="58"/>
      <c r="AA563" s="58"/>
      <c r="AB563" s="58"/>
      <c r="AC563" s="58"/>
      <c r="AD563" s="58"/>
      <c r="AE563" s="138"/>
      <c r="AF563" s="136"/>
      <c r="AG563" s="136"/>
      <c r="AH563" s="136"/>
    </row>
    <row r="564" spans="1:34" s="132" customFormat="1" ht="12.75" customHeight="1" x14ac:dyDescent="0.25">
      <c r="A564" s="137"/>
      <c r="B564" s="139"/>
      <c r="C564" s="136"/>
      <c r="D564" s="131"/>
      <c r="E564" s="131"/>
      <c r="F564" s="58"/>
      <c r="G564" s="140"/>
      <c r="H564" s="140"/>
      <c r="I564" s="58"/>
      <c r="J564" s="58"/>
      <c r="K564" s="58"/>
      <c r="L564" s="58"/>
      <c r="M564" s="135"/>
      <c r="N564" s="135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35"/>
      <c r="Z564" s="58"/>
      <c r="AA564" s="58"/>
      <c r="AB564" s="58"/>
      <c r="AC564" s="58"/>
      <c r="AD564" s="58"/>
      <c r="AE564" s="138"/>
      <c r="AF564" s="136"/>
      <c r="AG564" s="136"/>
      <c r="AH564" s="136"/>
    </row>
    <row r="565" spans="1:34" s="132" customFormat="1" ht="12.75" customHeight="1" x14ac:dyDescent="0.25">
      <c r="A565" s="137"/>
      <c r="B565" s="139"/>
      <c r="C565" s="136"/>
      <c r="D565" s="131"/>
      <c r="E565" s="131"/>
      <c r="F565" s="58"/>
      <c r="G565" s="140"/>
      <c r="H565" s="140"/>
      <c r="I565" s="58"/>
      <c r="J565" s="58"/>
      <c r="K565" s="58"/>
      <c r="L565" s="58"/>
      <c r="M565" s="135"/>
      <c r="N565" s="135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35"/>
      <c r="Z565" s="58"/>
      <c r="AA565" s="58"/>
      <c r="AB565" s="58"/>
      <c r="AC565" s="58"/>
      <c r="AD565" s="58"/>
      <c r="AE565" s="138"/>
      <c r="AF565" s="136"/>
      <c r="AG565" s="136"/>
      <c r="AH565" s="136"/>
    </row>
    <row r="566" spans="1:34" s="132" customFormat="1" ht="12.75" customHeight="1" x14ac:dyDescent="0.25">
      <c r="A566" s="137"/>
      <c r="B566" s="139"/>
      <c r="C566" s="136"/>
      <c r="D566" s="131"/>
      <c r="E566" s="131"/>
      <c r="F566" s="58"/>
      <c r="G566" s="140"/>
      <c r="H566" s="140"/>
      <c r="I566" s="58"/>
      <c r="J566" s="58"/>
      <c r="K566" s="58"/>
      <c r="L566" s="58"/>
      <c r="M566" s="135"/>
      <c r="N566" s="135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35"/>
      <c r="Z566" s="58"/>
      <c r="AA566" s="58"/>
      <c r="AB566" s="58"/>
      <c r="AC566" s="58"/>
      <c r="AD566" s="58"/>
      <c r="AE566" s="138"/>
      <c r="AF566" s="136"/>
      <c r="AG566" s="136"/>
      <c r="AH566" s="136"/>
    </row>
    <row r="567" spans="1:34" s="132" customFormat="1" ht="12.75" customHeight="1" x14ac:dyDescent="0.25">
      <c r="A567" s="137"/>
      <c r="B567" s="139"/>
      <c r="C567" s="136"/>
      <c r="D567" s="131"/>
      <c r="E567" s="131"/>
      <c r="F567" s="58"/>
      <c r="G567" s="140"/>
      <c r="H567" s="140"/>
      <c r="I567" s="58"/>
      <c r="J567" s="58"/>
      <c r="K567" s="58"/>
      <c r="L567" s="58"/>
      <c r="M567" s="135"/>
      <c r="N567" s="135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35"/>
      <c r="Z567" s="58"/>
      <c r="AA567" s="58"/>
      <c r="AB567" s="58"/>
      <c r="AC567" s="58"/>
      <c r="AD567" s="58"/>
      <c r="AE567" s="138"/>
      <c r="AF567" s="136"/>
      <c r="AG567" s="136"/>
      <c r="AH567" s="136"/>
    </row>
    <row r="568" spans="1:34" s="132" customFormat="1" ht="12.75" customHeight="1" x14ac:dyDescent="0.25">
      <c r="A568" s="137"/>
      <c r="B568" s="139"/>
      <c r="C568" s="136"/>
      <c r="D568" s="131"/>
      <c r="E568" s="131"/>
      <c r="F568" s="58"/>
      <c r="G568" s="140"/>
      <c r="H568" s="140"/>
      <c r="I568" s="58"/>
      <c r="J568" s="58"/>
      <c r="K568" s="58"/>
      <c r="L568" s="58"/>
      <c r="M568" s="135"/>
      <c r="N568" s="135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35"/>
      <c r="Z568" s="58"/>
      <c r="AA568" s="58"/>
      <c r="AB568" s="58"/>
      <c r="AC568" s="58"/>
      <c r="AD568" s="58"/>
      <c r="AE568" s="138"/>
      <c r="AF568" s="136"/>
      <c r="AG568" s="136"/>
      <c r="AH568" s="136"/>
    </row>
    <row r="569" spans="1:34" s="132" customFormat="1" ht="12.75" customHeight="1" x14ac:dyDescent="0.25">
      <c r="A569" s="137"/>
      <c r="B569" s="139"/>
      <c r="C569" s="136"/>
      <c r="D569" s="131"/>
      <c r="E569" s="131"/>
      <c r="F569" s="58"/>
      <c r="G569" s="140"/>
      <c r="H569" s="140"/>
      <c r="I569" s="58"/>
      <c r="J569" s="58"/>
      <c r="K569" s="58"/>
      <c r="L569" s="58"/>
      <c r="M569" s="135"/>
      <c r="N569" s="135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35"/>
      <c r="Z569" s="58"/>
      <c r="AA569" s="58"/>
      <c r="AB569" s="58"/>
      <c r="AC569" s="58"/>
      <c r="AD569" s="58"/>
      <c r="AE569" s="138"/>
      <c r="AF569" s="136"/>
      <c r="AG569" s="136"/>
      <c r="AH569" s="136"/>
    </row>
    <row r="570" spans="1:34" s="132" customFormat="1" ht="12.75" customHeight="1" x14ac:dyDescent="0.25">
      <c r="A570" s="137"/>
      <c r="B570" s="139"/>
      <c r="C570" s="136"/>
      <c r="D570" s="131"/>
      <c r="E570" s="131"/>
      <c r="F570" s="58"/>
      <c r="G570" s="140"/>
      <c r="H570" s="140"/>
      <c r="I570" s="58"/>
      <c r="J570" s="58"/>
      <c r="K570" s="58"/>
      <c r="L570" s="58"/>
      <c r="M570" s="135"/>
      <c r="N570" s="135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35"/>
      <c r="Z570" s="58"/>
      <c r="AA570" s="58"/>
      <c r="AB570" s="58"/>
      <c r="AC570" s="58"/>
      <c r="AD570" s="58"/>
      <c r="AE570" s="138"/>
      <c r="AF570" s="136"/>
      <c r="AG570" s="136"/>
      <c r="AH570" s="136"/>
    </row>
    <row r="571" spans="1:34" s="132" customFormat="1" ht="12.75" customHeight="1" x14ac:dyDescent="0.25">
      <c r="A571" s="137"/>
      <c r="B571" s="139"/>
      <c r="C571" s="136"/>
      <c r="D571" s="131"/>
      <c r="E571" s="131"/>
      <c r="F571" s="58"/>
      <c r="G571" s="140"/>
      <c r="H571" s="140"/>
      <c r="I571" s="58"/>
      <c r="J571" s="58"/>
      <c r="K571" s="58"/>
      <c r="L571" s="58"/>
      <c r="M571" s="135"/>
      <c r="N571" s="135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35"/>
      <c r="Z571" s="58"/>
      <c r="AA571" s="58"/>
      <c r="AB571" s="58"/>
      <c r="AC571" s="58"/>
      <c r="AD571" s="58"/>
      <c r="AE571" s="138"/>
      <c r="AF571" s="136"/>
      <c r="AG571" s="136"/>
      <c r="AH571" s="136"/>
    </row>
    <row r="572" spans="1:34" s="132" customFormat="1" ht="12.75" customHeight="1" x14ac:dyDescent="0.25">
      <c r="A572" s="137"/>
      <c r="B572" s="139"/>
      <c r="C572" s="136"/>
      <c r="D572" s="131"/>
      <c r="E572" s="131"/>
      <c r="F572" s="58"/>
      <c r="G572" s="140"/>
      <c r="H572" s="140"/>
      <c r="I572" s="58"/>
      <c r="J572" s="58"/>
      <c r="K572" s="58"/>
      <c r="L572" s="58"/>
      <c r="M572" s="135"/>
      <c r="N572" s="135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35"/>
      <c r="Z572" s="58"/>
      <c r="AA572" s="58"/>
      <c r="AB572" s="58"/>
      <c r="AC572" s="58"/>
      <c r="AD572" s="58"/>
      <c r="AE572" s="138"/>
      <c r="AF572" s="136"/>
      <c r="AG572" s="136"/>
      <c r="AH572" s="136"/>
    </row>
    <row r="573" spans="1:34" s="132" customFormat="1" ht="12.75" customHeight="1" x14ac:dyDescent="0.25">
      <c r="A573" s="137"/>
      <c r="B573" s="139"/>
      <c r="C573" s="136"/>
      <c r="D573" s="131"/>
      <c r="E573" s="131"/>
      <c r="F573" s="58"/>
      <c r="G573" s="140"/>
      <c r="H573" s="140"/>
      <c r="I573" s="58"/>
      <c r="J573" s="58"/>
      <c r="K573" s="58"/>
      <c r="L573" s="58"/>
      <c r="M573" s="135"/>
      <c r="N573" s="135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35"/>
      <c r="Z573" s="58"/>
      <c r="AA573" s="58"/>
      <c r="AB573" s="58"/>
      <c r="AC573" s="58"/>
      <c r="AD573" s="58"/>
      <c r="AE573" s="138"/>
      <c r="AF573" s="136"/>
      <c r="AG573" s="136"/>
      <c r="AH573" s="136"/>
    </row>
    <row r="574" spans="1:34" s="132" customFormat="1" ht="12.75" customHeight="1" x14ac:dyDescent="0.25">
      <c r="A574" s="137"/>
      <c r="B574" s="139"/>
      <c r="C574" s="136"/>
      <c r="D574" s="131"/>
      <c r="E574" s="131"/>
      <c r="F574" s="58"/>
      <c r="G574" s="140"/>
      <c r="H574" s="140"/>
      <c r="I574" s="58"/>
      <c r="J574" s="58"/>
      <c r="K574" s="58"/>
      <c r="L574" s="58"/>
      <c r="M574" s="135"/>
      <c r="N574" s="135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35"/>
      <c r="Z574" s="58"/>
      <c r="AA574" s="58"/>
      <c r="AB574" s="58"/>
      <c r="AC574" s="58"/>
      <c r="AD574" s="58"/>
      <c r="AE574" s="138"/>
      <c r="AF574" s="136"/>
      <c r="AG574" s="136"/>
      <c r="AH574" s="136"/>
    </row>
    <row r="575" spans="1:34" s="132" customFormat="1" ht="12.75" customHeight="1" x14ac:dyDescent="0.25">
      <c r="A575" s="137"/>
      <c r="B575" s="139"/>
      <c r="C575" s="136"/>
      <c r="D575" s="131"/>
      <c r="E575" s="131"/>
      <c r="F575" s="58"/>
      <c r="G575" s="140"/>
      <c r="H575" s="140"/>
      <c r="I575" s="58"/>
      <c r="J575" s="58"/>
      <c r="K575" s="58"/>
      <c r="L575" s="58"/>
      <c r="M575" s="135"/>
      <c r="N575" s="135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35"/>
      <c r="Z575" s="58"/>
      <c r="AA575" s="58"/>
      <c r="AB575" s="58"/>
      <c r="AC575" s="58"/>
      <c r="AD575" s="58"/>
      <c r="AE575" s="138"/>
      <c r="AF575" s="136"/>
      <c r="AG575" s="136"/>
      <c r="AH575" s="136"/>
    </row>
    <row r="576" spans="1:34" s="132" customFormat="1" ht="12.75" customHeight="1" x14ac:dyDescent="0.25">
      <c r="A576" s="137"/>
      <c r="B576" s="139"/>
      <c r="C576" s="136"/>
      <c r="D576" s="131"/>
      <c r="E576" s="131"/>
      <c r="F576" s="58"/>
      <c r="G576" s="140"/>
      <c r="H576" s="140"/>
      <c r="I576" s="58"/>
      <c r="J576" s="58"/>
      <c r="K576" s="58"/>
      <c r="L576" s="58"/>
      <c r="M576" s="135"/>
      <c r="N576" s="135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35"/>
      <c r="Z576" s="58"/>
      <c r="AA576" s="58"/>
      <c r="AB576" s="58"/>
      <c r="AC576" s="58"/>
      <c r="AD576" s="58"/>
      <c r="AE576" s="138"/>
      <c r="AF576" s="136"/>
      <c r="AG576" s="136"/>
      <c r="AH576" s="136"/>
    </row>
    <row r="577" spans="1:34" s="132" customFormat="1" ht="12.75" customHeight="1" x14ac:dyDescent="0.25">
      <c r="A577" s="137"/>
      <c r="B577" s="139"/>
      <c r="C577" s="136"/>
      <c r="D577" s="131"/>
      <c r="E577" s="131"/>
      <c r="F577" s="58"/>
      <c r="G577" s="140"/>
      <c r="H577" s="140"/>
      <c r="I577" s="58"/>
      <c r="J577" s="58"/>
      <c r="K577" s="58"/>
      <c r="L577" s="58"/>
      <c r="M577" s="135"/>
      <c r="N577" s="135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35"/>
      <c r="Z577" s="58"/>
      <c r="AA577" s="58"/>
      <c r="AB577" s="58"/>
      <c r="AC577" s="58"/>
      <c r="AD577" s="58"/>
      <c r="AE577" s="138"/>
      <c r="AF577" s="136"/>
      <c r="AG577" s="136"/>
      <c r="AH577" s="136"/>
    </row>
    <row r="578" spans="1:34" s="132" customFormat="1" ht="12.75" customHeight="1" x14ac:dyDescent="0.25">
      <c r="A578" s="137"/>
      <c r="B578" s="139"/>
      <c r="C578" s="136"/>
      <c r="D578" s="131"/>
      <c r="E578" s="131"/>
      <c r="F578" s="58"/>
      <c r="G578" s="140"/>
      <c r="H578" s="140"/>
      <c r="I578" s="58"/>
      <c r="J578" s="58"/>
      <c r="K578" s="58"/>
      <c r="L578" s="58"/>
      <c r="M578" s="135"/>
      <c r="N578" s="135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35"/>
      <c r="Z578" s="58"/>
      <c r="AA578" s="58"/>
      <c r="AB578" s="58"/>
      <c r="AC578" s="58"/>
      <c r="AD578" s="58"/>
      <c r="AE578" s="138"/>
      <c r="AF578" s="136"/>
      <c r="AG578" s="136"/>
      <c r="AH578" s="136"/>
    </row>
    <row r="579" spans="1:34" s="132" customFormat="1" ht="12.75" customHeight="1" x14ac:dyDescent="0.25">
      <c r="A579" s="137"/>
      <c r="B579" s="139"/>
      <c r="C579" s="136"/>
      <c r="D579" s="131"/>
      <c r="E579" s="131"/>
      <c r="F579" s="58"/>
      <c r="G579" s="140"/>
      <c r="H579" s="140"/>
      <c r="I579" s="58"/>
      <c r="J579" s="58"/>
      <c r="K579" s="58"/>
      <c r="L579" s="58"/>
      <c r="M579" s="135"/>
      <c r="N579" s="135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35"/>
      <c r="Z579" s="58"/>
      <c r="AA579" s="58"/>
      <c r="AB579" s="58"/>
      <c r="AC579" s="58"/>
      <c r="AD579" s="58"/>
      <c r="AE579" s="138"/>
      <c r="AF579" s="136"/>
      <c r="AG579" s="136"/>
      <c r="AH579" s="136"/>
    </row>
    <row r="580" spans="1:34" s="132" customFormat="1" ht="12.75" customHeight="1" x14ac:dyDescent="0.25">
      <c r="A580" s="137"/>
      <c r="B580" s="139"/>
      <c r="C580" s="136"/>
      <c r="D580" s="131"/>
      <c r="E580" s="131"/>
      <c r="F580" s="58"/>
      <c r="G580" s="140"/>
      <c r="H580" s="140"/>
      <c r="I580" s="58"/>
      <c r="J580" s="58"/>
      <c r="K580" s="58"/>
      <c r="L580" s="58"/>
      <c r="M580" s="135"/>
      <c r="N580" s="135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35"/>
      <c r="Z580" s="58"/>
      <c r="AA580" s="58"/>
      <c r="AB580" s="58"/>
      <c r="AC580" s="58"/>
      <c r="AD580" s="58"/>
      <c r="AE580" s="138"/>
      <c r="AF580" s="136"/>
      <c r="AG580" s="136"/>
      <c r="AH580" s="136"/>
    </row>
    <row r="581" spans="1:34" s="132" customFormat="1" ht="12.75" customHeight="1" x14ac:dyDescent="0.25">
      <c r="A581" s="137"/>
      <c r="B581" s="139"/>
      <c r="C581" s="136"/>
      <c r="D581" s="131"/>
      <c r="E581" s="131"/>
      <c r="F581" s="58"/>
      <c r="G581" s="140"/>
      <c r="H581" s="140"/>
      <c r="I581" s="58"/>
      <c r="J581" s="58"/>
      <c r="K581" s="58"/>
      <c r="L581" s="58"/>
      <c r="M581" s="135"/>
      <c r="N581" s="135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35"/>
      <c r="Z581" s="58"/>
      <c r="AA581" s="58"/>
      <c r="AB581" s="58"/>
      <c r="AC581" s="58"/>
      <c r="AD581" s="58"/>
      <c r="AE581" s="138"/>
      <c r="AF581" s="136"/>
      <c r="AG581" s="136"/>
      <c r="AH581" s="136"/>
    </row>
    <row r="582" spans="1:34" s="132" customFormat="1" ht="12.75" customHeight="1" x14ac:dyDescent="0.25">
      <c r="A582" s="137"/>
      <c r="B582" s="139"/>
      <c r="C582" s="136"/>
      <c r="D582" s="131"/>
      <c r="E582" s="131"/>
      <c r="F582" s="58"/>
      <c r="G582" s="140"/>
      <c r="H582" s="140"/>
      <c r="I582" s="58"/>
      <c r="J582" s="58"/>
      <c r="K582" s="58"/>
      <c r="L582" s="58"/>
      <c r="M582" s="135"/>
      <c r="N582" s="135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35"/>
      <c r="Z582" s="58"/>
      <c r="AA582" s="58"/>
      <c r="AB582" s="58"/>
      <c r="AC582" s="58"/>
      <c r="AD582" s="58"/>
      <c r="AE582" s="138"/>
      <c r="AF582" s="136"/>
      <c r="AG582" s="136"/>
      <c r="AH582" s="136"/>
    </row>
    <row r="583" spans="1:34" s="132" customFormat="1" ht="12.75" customHeight="1" x14ac:dyDescent="0.25">
      <c r="A583" s="137"/>
      <c r="B583" s="139"/>
      <c r="C583" s="136"/>
      <c r="D583" s="131"/>
      <c r="E583" s="131"/>
      <c r="F583" s="58"/>
      <c r="G583" s="140"/>
      <c r="H583" s="140"/>
      <c r="I583" s="58"/>
      <c r="J583" s="58"/>
      <c r="K583" s="58"/>
      <c r="L583" s="58"/>
      <c r="M583" s="135"/>
      <c r="N583" s="135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35"/>
      <c r="Z583" s="58"/>
      <c r="AA583" s="58"/>
      <c r="AB583" s="58"/>
      <c r="AC583" s="58"/>
      <c r="AD583" s="58"/>
      <c r="AE583" s="138"/>
      <c r="AF583" s="136"/>
      <c r="AG583" s="136"/>
      <c r="AH583" s="136"/>
    </row>
    <row r="584" spans="1:34" s="132" customFormat="1" ht="12.75" customHeight="1" x14ac:dyDescent="0.25">
      <c r="A584" s="137"/>
      <c r="B584" s="139"/>
      <c r="C584" s="136"/>
      <c r="D584" s="131"/>
      <c r="E584" s="131"/>
      <c r="F584" s="58"/>
      <c r="G584" s="140"/>
      <c r="H584" s="140"/>
      <c r="I584" s="58"/>
      <c r="J584" s="58"/>
      <c r="K584" s="58"/>
      <c r="L584" s="58"/>
      <c r="M584" s="135"/>
      <c r="N584" s="135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35"/>
      <c r="Z584" s="58"/>
      <c r="AA584" s="58"/>
      <c r="AB584" s="58"/>
      <c r="AC584" s="58"/>
      <c r="AD584" s="58"/>
      <c r="AE584" s="138"/>
      <c r="AF584" s="136"/>
      <c r="AG584" s="136"/>
      <c r="AH584" s="136"/>
    </row>
    <row r="585" spans="1:34" s="132" customFormat="1" ht="12.75" customHeight="1" x14ac:dyDescent="0.25">
      <c r="A585" s="137"/>
      <c r="B585" s="139"/>
      <c r="C585" s="136"/>
      <c r="D585" s="131"/>
      <c r="E585" s="131"/>
      <c r="F585" s="58"/>
      <c r="G585" s="140"/>
      <c r="H585" s="140"/>
      <c r="I585" s="58"/>
      <c r="J585" s="58"/>
      <c r="K585" s="58"/>
      <c r="L585" s="58"/>
      <c r="M585" s="135"/>
      <c r="N585" s="135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35"/>
      <c r="Z585" s="58"/>
      <c r="AA585" s="58"/>
      <c r="AB585" s="58"/>
      <c r="AC585" s="58"/>
      <c r="AD585" s="58"/>
      <c r="AE585" s="138"/>
      <c r="AF585" s="136"/>
      <c r="AG585" s="136"/>
      <c r="AH585" s="136"/>
    </row>
    <row r="586" spans="1:34" s="132" customFormat="1" ht="12.75" customHeight="1" x14ac:dyDescent="0.25">
      <c r="A586" s="137"/>
      <c r="B586" s="139"/>
      <c r="C586" s="136"/>
      <c r="D586" s="131"/>
      <c r="E586" s="131"/>
      <c r="F586" s="58"/>
      <c r="G586" s="140"/>
      <c r="H586" s="140"/>
      <c r="I586" s="58"/>
      <c r="J586" s="58"/>
      <c r="K586" s="58"/>
      <c r="L586" s="58"/>
      <c r="M586" s="135"/>
      <c r="N586" s="135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35"/>
      <c r="Z586" s="58"/>
      <c r="AA586" s="58"/>
      <c r="AB586" s="58"/>
      <c r="AC586" s="58"/>
      <c r="AD586" s="58"/>
      <c r="AE586" s="138"/>
      <c r="AF586" s="136"/>
      <c r="AG586" s="136"/>
      <c r="AH586" s="136"/>
    </row>
    <row r="587" spans="1:34" s="132" customFormat="1" ht="12.75" customHeight="1" x14ac:dyDescent="0.25">
      <c r="A587" s="137"/>
      <c r="B587" s="139"/>
      <c r="C587" s="136"/>
      <c r="D587" s="131"/>
      <c r="E587" s="131"/>
      <c r="F587" s="58"/>
      <c r="G587" s="140"/>
      <c r="H587" s="140"/>
      <c r="I587" s="58"/>
      <c r="J587" s="58"/>
      <c r="K587" s="58"/>
      <c r="L587" s="58"/>
      <c r="M587" s="135"/>
      <c r="N587" s="135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35"/>
      <c r="Z587" s="58"/>
      <c r="AA587" s="58"/>
      <c r="AB587" s="58"/>
      <c r="AC587" s="58"/>
      <c r="AD587" s="58"/>
      <c r="AE587" s="138"/>
      <c r="AF587" s="136"/>
      <c r="AG587" s="136"/>
      <c r="AH587" s="136"/>
    </row>
    <row r="588" spans="1:34" s="132" customFormat="1" ht="12.75" customHeight="1" x14ac:dyDescent="0.25">
      <c r="A588" s="137"/>
      <c r="B588" s="139"/>
      <c r="C588" s="136"/>
      <c r="D588" s="131"/>
      <c r="E588" s="131"/>
      <c r="F588" s="58"/>
      <c r="G588" s="140"/>
      <c r="H588" s="140"/>
      <c r="I588" s="58"/>
      <c r="J588" s="58"/>
      <c r="K588" s="58"/>
      <c r="L588" s="58"/>
      <c r="M588" s="135"/>
      <c r="N588" s="135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35"/>
      <c r="Z588" s="58"/>
      <c r="AA588" s="58"/>
      <c r="AB588" s="58"/>
      <c r="AC588" s="58"/>
      <c r="AD588" s="58"/>
      <c r="AE588" s="138"/>
      <c r="AF588" s="136"/>
      <c r="AG588" s="136"/>
      <c r="AH588" s="136"/>
    </row>
    <row r="589" spans="1:34" s="132" customFormat="1" ht="12.75" customHeight="1" x14ac:dyDescent="0.25">
      <c r="A589" s="137"/>
      <c r="B589" s="139"/>
      <c r="C589" s="136"/>
      <c r="D589" s="131"/>
      <c r="E589" s="131"/>
      <c r="F589" s="58"/>
      <c r="G589" s="140"/>
      <c r="H589" s="140"/>
      <c r="I589" s="58"/>
      <c r="J589" s="58"/>
      <c r="K589" s="58"/>
      <c r="L589" s="58"/>
      <c r="M589" s="135"/>
      <c r="N589" s="135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35"/>
      <c r="Z589" s="58"/>
      <c r="AA589" s="58"/>
      <c r="AB589" s="58"/>
      <c r="AC589" s="58"/>
      <c r="AD589" s="58"/>
      <c r="AE589" s="138"/>
      <c r="AF589" s="136"/>
      <c r="AG589" s="136"/>
      <c r="AH589" s="136"/>
    </row>
    <row r="590" spans="1:34" s="132" customFormat="1" ht="12.75" customHeight="1" x14ac:dyDescent="0.25">
      <c r="A590" s="137"/>
      <c r="B590" s="139"/>
      <c r="C590" s="136"/>
      <c r="D590" s="131"/>
      <c r="E590" s="131"/>
      <c r="F590" s="58"/>
      <c r="G590" s="140"/>
      <c r="H590" s="140"/>
      <c r="I590" s="58"/>
      <c r="J590" s="58"/>
      <c r="K590" s="58"/>
      <c r="L590" s="58"/>
      <c r="M590" s="135"/>
      <c r="N590" s="135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35"/>
      <c r="Z590" s="58"/>
      <c r="AA590" s="58"/>
      <c r="AB590" s="58"/>
      <c r="AC590" s="58"/>
      <c r="AD590" s="58"/>
      <c r="AE590" s="138"/>
      <c r="AF590" s="136"/>
      <c r="AG590" s="136"/>
      <c r="AH590" s="136"/>
    </row>
    <row r="591" spans="1:34" s="132" customFormat="1" ht="12.75" customHeight="1" x14ac:dyDescent="0.25">
      <c r="A591" s="137"/>
      <c r="B591" s="139"/>
      <c r="C591" s="136"/>
      <c r="D591" s="131"/>
      <c r="E591" s="131"/>
      <c r="F591" s="58"/>
      <c r="G591" s="140"/>
      <c r="H591" s="140"/>
      <c r="I591" s="58"/>
      <c r="J591" s="58"/>
      <c r="K591" s="58"/>
      <c r="L591" s="58"/>
      <c r="M591" s="135"/>
      <c r="N591" s="135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35"/>
      <c r="Z591" s="58"/>
      <c r="AA591" s="58"/>
      <c r="AB591" s="58"/>
      <c r="AC591" s="58"/>
      <c r="AD591" s="58"/>
      <c r="AE591" s="138"/>
      <c r="AF591" s="136"/>
      <c r="AG591" s="136"/>
      <c r="AH591" s="136"/>
    </row>
    <row r="592" spans="1:34" s="132" customFormat="1" ht="12.75" customHeight="1" x14ac:dyDescent="0.25">
      <c r="A592" s="137"/>
      <c r="B592" s="139"/>
      <c r="C592" s="136"/>
      <c r="D592" s="131"/>
      <c r="E592" s="131"/>
      <c r="F592" s="58"/>
      <c r="G592" s="140"/>
      <c r="H592" s="140"/>
      <c r="I592" s="58"/>
      <c r="J592" s="58"/>
      <c r="K592" s="58"/>
      <c r="L592" s="58"/>
      <c r="M592" s="135"/>
      <c r="N592" s="135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35"/>
      <c r="Z592" s="58"/>
      <c r="AA592" s="58"/>
      <c r="AB592" s="58"/>
      <c r="AC592" s="58"/>
      <c r="AD592" s="58"/>
      <c r="AE592" s="138"/>
      <c r="AF592" s="136"/>
      <c r="AG592" s="136"/>
      <c r="AH592" s="136"/>
    </row>
    <row r="593" spans="1:34" s="132" customFormat="1" ht="12.75" customHeight="1" x14ac:dyDescent="0.25">
      <c r="A593" s="137"/>
      <c r="B593" s="139"/>
      <c r="C593" s="136"/>
      <c r="D593" s="131"/>
      <c r="E593" s="131"/>
      <c r="F593" s="58"/>
      <c r="G593" s="140"/>
      <c r="H593" s="140"/>
      <c r="I593" s="58"/>
      <c r="J593" s="58"/>
      <c r="K593" s="58"/>
      <c r="L593" s="58"/>
      <c r="M593" s="135"/>
      <c r="N593" s="135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35"/>
      <c r="Z593" s="58"/>
      <c r="AA593" s="58"/>
      <c r="AB593" s="58"/>
      <c r="AC593" s="58"/>
      <c r="AD593" s="58"/>
      <c r="AE593" s="138"/>
      <c r="AF593" s="136"/>
      <c r="AG593" s="136"/>
      <c r="AH593" s="136"/>
    </row>
    <row r="594" spans="1:34" s="132" customFormat="1" ht="12.75" customHeight="1" x14ac:dyDescent="0.25">
      <c r="A594" s="137"/>
      <c r="B594" s="139"/>
      <c r="C594" s="136"/>
      <c r="D594" s="131"/>
      <c r="E594" s="131"/>
      <c r="F594" s="58"/>
      <c r="G594" s="140"/>
      <c r="H594" s="140"/>
      <c r="I594" s="58"/>
      <c r="J594" s="58"/>
      <c r="K594" s="58"/>
      <c r="L594" s="58"/>
      <c r="M594" s="135"/>
      <c r="N594" s="135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35"/>
      <c r="Z594" s="58"/>
      <c r="AA594" s="58"/>
      <c r="AB594" s="58"/>
      <c r="AC594" s="58"/>
      <c r="AD594" s="58"/>
      <c r="AE594" s="138"/>
      <c r="AF594" s="136"/>
      <c r="AG594" s="136"/>
      <c r="AH594" s="136"/>
    </row>
    <row r="595" spans="1:34" s="132" customFormat="1" ht="12.75" customHeight="1" x14ac:dyDescent="0.25">
      <c r="A595" s="137"/>
      <c r="B595" s="139"/>
      <c r="C595" s="136"/>
      <c r="D595" s="131"/>
      <c r="E595" s="131"/>
      <c r="F595" s="58"/>
      <c r="G595" s="140"/>
      <c r="H595" s="140"/>
      <c r="I595" s="58"/>
      <c r="J595" s="58"/>
      <c r="K595" s="58"/>
      <c r="L595" s="58"/>
      <c r="M595" s="135"/>
      <c r="N595" s="135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35"/>
      <c r="Z595" s="58"/>
      <c r="AA595" s="58"/>
      <c r="AB595" s="58"/>
      <c r="AC595" s="58"/>
      <c r="AD595" s="58"/>
      <c r="AE595" s="138"/>
      <c r="AF595" s="136"/>
      <c r="AG595" s="136"/>
      <c r="AH595" s="136"/>
    </row>
    <row r="596" spans="1:34" s="132" customFormat="1" ht="12.75" customHeight="1" x14ac:dyDescent="0.25">
      <c r="A596" s="137"/>
      <c r="B596" s="139"/>
      <c r="C596" s="136"/>
      <c r="D596" s="131"/>
      <c r="E596" s="131"/>
      <c r="F596" s="58"/>
      <c r="G596" s="140"/>
      <c r="H596" s="140"/>
      <c r="I596" s="58"/>
      <c r="J596" s="58"/>
      <c r="K596" s="58"/>
      <c r="L596" s="58"/>
      <c r="M596" s="135"/>
      <c r="N596" s="135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35"/>
      <c r="Z596" s="58"/>
      <c r="AA596" s="58"/>
      <c r="AB596" s="58"/>
      <c r="AC596" s="58"/>
      <c r="AD596" s="58"/>
      <c r="AE596" s="138"/>
      <c r="AF596" s="136"/>
      <c r="AG596" s="136"/>
      <c r="AH596" s="136"/>
    </row>
    <row r="597" spans="1:34" s="132" customFormat="1" ht="12.75" customHeight="1" x14ac:dyDescent="0.25">
      <c r="A597" s="137"/>
      <c r="B597" s="139"/>
      <c r="C597" s="136"/>
      <c r="D597" s="131"/>
      <c r="E597" s="131"/>
      <c r="F597" s="58"/>
      <c r="G597" s="140"/>
      <c r="H597" s="140"/>
      <c r="I597" s="58"/>
      <c r="J597" s="58"/>
      <c r="K597" s="58"/>
      <c r="L597" s="58"/>
      <c r="M597" s="135"/>
      <c r="N597" s="135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35"/>
      <c r="Z597" s="58"/>
      <c r="AA597" s="58"/>
      <c r="AB597" s="58"/>
      <c r="AC597" s="58"/>
      <c r="AD597" s="58"/>
      <c r="AE597" s="138"/>
      <c r="AF597" s="136"/>
      <c r="AG597" s="136"/>
      <c r="AH597" s="136"/>
    </row>
    <row r="598" spans="1:34" s="132" customFormat="1" ht="12.75" customHeight="1" x14ac:dyDescent="0.25">
      <c r="A598" s="137"/>
      <c r="B598" s="139"/>
      <c r="C598" s="136"/>
      <c r="D598" s="131"/>
      <c r="E598" s="131"/>
      <c r="F598" s="58"/>
      <c r="G598" s="140"/>
      <c r="H598" s="140"/>
      <c r="I598" s="58"/>
      <c r="J598" s="58"/>
      <c r="K598" s="58"/>
      <c r="L598" s="58"/>
      <c r="M598" s="135"/>
      <c r="N598" s="135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35"/>
      <c r="Z598" s="58"/>
      <c r="AA598" s="58"/>
      <c r="AB598" s="58"/>
      <c r="AC598" s="58"/>
      <c r="AD598" s="58"/>
      <c r="AE598" s="138"/>
      <c r="AF598" s="136"/>
      <c r="AG598" s="136"/>
      <c r="AH598" s="136"/>
    </row>
    <row r="599" spans="1:34" s="132" customFormat="1" ht="12.75" customHeight="1" x14ac:dyDescent="0.25">
      <c r="A599" s="137"/>
      <c r="B599" s="139"/>
      <c r="C599" s="136"/>
      <c r="D599" s="131"/>
      <c r="E599" s="131"/>
      <c r="F599" s="58"/>
      <c r="G599" s="140"/>
      <c r="H599" s="140"/>
      <c r="I599" s="58"/>
      <c r="J599" s="58"/>
      <c r="K599" s="58"/>
      <c r="L599" s="58"/>
      <c r="M599" s="135"/>
      <c r="N599" s="135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35"/>
      <c r="Z599" s="58"/>
      <c r="AA599" s="58"/>
      <c r="AB599" s="58"/>
      <c r="AC599" s="58"/>
      <c r="AD599" s="58"/>
      <c r="AE599" s="138"/>
      <c r="AF599" s="136"/>
      <c r="AG599" s="136"/>
      <c r="AH599" s="136"/>
    </row>
    <row r="600" spans="1:34" s="132" customFormat="1" ht="12.75" customHeight="1" x14ac:dyDescent="0.25">
      <c r="A600" s="137"/>
      <c r="B600" s="139"/>
      <c r="C600" s="136"/>
      <c r="D600" s="131"/>
      <c r="E600" s="131"/>
      <c r="F600" s="58"/>
      <c r="G600" s="140"/>
      <c r="H600" s="140"/>
      <c r="I600" s="58"/>
      <c r="J600" s="58"/>
      <c r="K600" s="58"/>
      <c r="L600" s="58"/>
      <c r="M600" s="135"/>
      <c r="N600" s="135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35"/>
      <c r="Z600" s="58"/>
      <c r="AA600" s="58"/>
      <c r="AB600" s="58"/>
      <c r="AC600" s="58"/>
      <c r="AD600" s="58"/>
      <c r="AE600" s="138"/>
      <c r="AF600" s="136"/>
      <c r="AG600" s="136"/>
      <c r="AH600" s="136"/>
    </row>
    <row r="601" spans="1:34" s="132" customFormat="1" ht="12.75" customHeight="1" x14ac:dyDescent="0.25">
      <c r="A601" s="137"/>
      <c r="B601" s="139"/>
      <c r="C601" s="136"/>
      <c r="D601" s="131"/>
      <c r="E601" s="131"/>
      <c r="F601" s="58"/>
      <c r="G601" s="140"/>
      <c r="H601" s="140"/>
      <c r="I601" s="58"/>
      <c r="J601" s="58"/>
      <c r="K601" s="58"/>
      <c r="L601" s="58"/>
      <c r="M601" s="135"/>
      <c r="N601" s="135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35"/>
      <c r="Z601" s="58"/>
      <c r="AA601" s="58"/>
      <c r="AB601" s="58"/>
      <c r="AC601" s="58"/>
      <c r="AD601" s="58"/>
      <c r="AE601" s="138"/>
      <c r="AF601" s="136"/>
      <c r="AG601" s="136"/>
      <c r="AH601" s="136"/>
    </row>
    <row r="602" spans="1:34" s="132" customFormat="1" ht="12.75" customHeight="1" x14ac:dyDescent="0.25">
      <c r="A602" s="137"/>
      <c r="B602" s="139"/>
      <c r="C602" s="136"/>
      <c r="D602" s="131"/>
      <c r="E602" s="131"/>
      <c r="F602" s="58"/>
      <c r="G602" s="140"/>
      <c r="H602" s="140"/>
      <c r="I602" s="58"/>
      <c r="J602" s="58"/>
      <c r="K602" s="58"/>
      <c r="L602" s="58"/>
      <c r="M602" s="135"/>
      <c r="N602" s="135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35"/>
      <c r="Z602" s="58"/>
      <c r="AA602" s="58"/>
      <c r="AB602" s="58"/>
      <c r="AC602" s="58"/>
      <c r="AD602" s="58"/>
      <c r="AE602" s="138"/>
      <c r="AF602" s="136"/>
      <c r="AG602" s="136"/>
      <c r="AH602" s="136"/>
    </row>
    <row r="603" spans="1:34" s="132" customFormat="1" ht="12.75" customHeight="1" x14ac:dyDescent="0.25">
      <c r="A603" s="137"/>
      <c r="B603" s="139"/>
      <c r="C603" s="136"/>
      <c r="D603" s="131"/>
      <c r="E603" s="131"/>
      <c r="F603" s="58"/>
      <c r="G603" s="140"/>
      <c r="H603" s="140"/>
      <c r="I603" s="58"/>
      <c r="J603" s="58"/>
      <c r="K603" s="58"/>
      <c r="L603" s="58"/>
      <c r="M603" s="135"/>
      <c r="N603" s="135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35"/>
      <c r="Z603" s="58"/>
      <c r="AA603" s="58"/>
      <c r="AB603" s="58"/>
      <c r="AC603" s="58"/>
      <c r="AD603" s="58"/>
      <c r="AE603" s="138"/>
      <c r="AF603" s="136"/>
      <c r="AG603" s="136"/>
      <c r="AH603" s="136"/>
    </row>
    <row r="604" spans="1:34" s="132" customFormat="1" ht="12.75" customHeight="1" x14ac:dyDescent="0.25">
      <c r="A604" s="137"/>
      <c r="B604" s="139"/>
      <c r="C604" s="136"/>
      <c r="D604" s="131"/>
      <c r="E604" s="131"/>
      <c r="F604" s="58"/>
      <c r="G604" s="140"/>
      <c r="H604" s="140"/>
      <c r="I604" s="58"/>
      <c r="J604" s="58"/>
      <c r="K604" s="58"/>
      <c r="L604" s="58"/>
      <c r="M604" s="135"/>
      <c r="N604" s="135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35"/>
      <c r="Z604" s="58"/>
      <c r="AA604" s="58"/>
      <c r="AB604" s="58"/>
      <c r="AC604" s="58"/>
      <c r="AD604" s="58"/>
      <c r="AE604" s="138"/>
      <c r="AF604" s="136"/>
      <c r="AG604" s="136"/>
      <c r="AH604" s="136"/>
    </row>
    <row r="605" spans="1:34" s="132" customFormat="1" ht="12.75" customHeight="1" x14ac:dyDescent="0.25">
      <c r="A605" s="137"/>
      <c r="B605" s="139"/>
      <c r="C605" s="136"/>
      <c r="D605" s="131"/>
      <c r="E605" s="131"/>
      <c r="F605" s="58"/>
      <c r="G605" s="140"/>
      <c r="H605" s="140"/>
      <c r="I605" s="58"/>
      <c r="J605" s="58"/>
      <c r="K605" s="58"/>
      <c r="L605" s="58"/>
      <c r="M605" s="135"/>
      <c r="N605" s="135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35"/>
      <c r="Z605" s="58"/>
      <c r="AA605" s="58"/>
      <c r="AB605" s="58"/>
      <c r="AC605" s="58"/>
      <c r="AD605" s="58"/>
      <c r="AE605" s="138"/>
      <c r="AF605" s="136"/>
      <c r="AG605" s="136"/>
      <c r="AH605" s="136"/>
    </row>
    <row r="606" spans="1:34" s="132" customFormat="1" ht="12.75" customHeight="1" x14ac:dyDescent="0.25">
      <c r="A606" s="137"/>
      <c r="B606" s="139"/>
      <c r="C606" s="136"/>
      <c r="D606" s="131"/>
      <c r="E606" s="131"/>
      <c r="F606" s="58"/>
      <c r="G606" s="140"/>
      <c r="H606" s="140"/>
      <c r="I606" s="58"/>
      <c r="J606" s="58"/>
      <c r="K606" s="58"/>
      <c r="L606" s="58"/>
      <c r="M606" s="135"/>
      <c r="N606" s="135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35"/>
      <c r="Z606" s="58"/>
      <c r="AA606" s="58"/>
      <c r="AB606" s="58"/>
      <c r="AC606" s="58"/>
      <c r="AD606" s="58"/>
      <c r="AE606" s="138"/>
      <c r="AF606" s="136"/>
      <c r="AG606" s="136"/>
      <c r="AH606" s="136"/>
    </row>
    <row r="607" spans="1:34" s="132" customFormat="1" ht="12.75" customHeight="1" x14ac:dyDescent="0.25">
      <c r="A607" s="137"/>
      <c r="B607" s="139"/>
      <c r="C607" s="136"/>
      <c r="D607" s="131"/>
      <c r="E607" s="131"/>
      <c r="F607" s="58"/>
      <c r="G607" s="140"/>
      <c r="H607" s="140"/>
      <c r="I607" s="58"/>
      <c r="J607" s="58"/>
      <c r="K607" s="58"/>
      <c r="L607" s="58"/>
      <c r="M607" s="135"/>
      <c r="N607" s="135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35"/>
      <c r="Z607" s="58"/>
      <c r="AA607" s="58"/>
      <c r="AB607" s="58"/>
      <c r="AC607" s="58"/>
      <c r="AD607" s="58"/>
      <c r="AE607" s="138"/>
      <c r="AF607" s="136"/>
      <c r="AG607" s="136"/>
      <c r="AH607" s="136"/>
    </row>
    <row r="608" spans="1:34" s="132" customFormat="1" ht="12.75" customHeight="1" x14ac:dyDescent="0.25">
      <c r="A608" s="137"/>
      <c r="B608" s="139"/>
      <c r="C608" s="136"/>
      <c r="D608" s="131"/>
      <c r="E608" s="131"/>
      <c r="F608" s="58"/>
      <c r="G608" s="140"/>
      <c r="H608" s="140"/>
      <c r="I608" s="58"/>
      <c r="J608" s="58"/>
      <c r="K608" s="58"/>
      <c r="L608" s="58"/>
      <c r="M608" s="135"/>
      <c r="N608" s="135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35"/>
      <c r="Z608" s="58"/>
      <c r="AA608" s="58"/>
      <c r="AB608" s="58"/>
      <c r="AC608" s="58"/>
      <c r="AD608" s="58"/>
      <c r="AE608" s="138"/>
      <c r="AF608" s="136"/>
      <c r="AG608" s="136"/>
      <c r="AH608" s="136"/>
    </row>
    <row r="609" spans="1:34" s="132" customFormat="1" ht="12.75" customHeight="1" x14ac:dyDescent="0.25">
      <c r="A609" s="137"/>
      <c r="B609" s="139"/>
      <c r="C609" s="136"/>
      <c r="D609" s="131"/>
      <c r="E609" s="131"/>
      <c r="F609" s="58"/>
      <c r="G609" s="140"/>
      <c r="H609" s="140"/>
      <c r="I609" s="58"/>
      <c r="J609" s="58"/>
      <c r="K609" s="58"/>
      <c r="L609" s="58"/>
      <c r="M609" s="135"/>
      <c r="N609" s="135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35"/>
      <c r="Z609" s="58"/>
      <c r="AA609" s="58"/>
      <c r="AB609" s="58"/>
      <c r="AC609" s="58"/>
      <c r="AD609" s="58"/>
      <c r="AE609" s="138"/>
      <c r="AF609" s="136"/>
      <c r="AG609" s="136"/>
      <c r="AH609" s="136"/>
    </row>
    <row r="610" spans="1:34" s="132" customFormat="1" ht="12.75" customHeight="1" x14ac:dyDescent="0.25">
      <c r="A610" s="137"/>
      <c r="B610" s="139"/>
      <c r="C610" s="136"/>
      <c r="D610" s="131"/>
      <c r="E610" s="131"/>
      <c r="F610" s="58"/>
      <c r="G610" s="140"/>
      <c r="H610" s="140"/>
      <c r="I610" s="58"/>
      <c r="J610" s="58"/>
      <c r="K610" s="58"/>
      <c r="L610" s="58"/>
      <c r="M610" s="135"/>
      <c r="N610" s="135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35"/>
      <c r="Z610" s="58"/>
      <c r="AA610" s="58"/>
      <c r="AB610" s="58"/>
      <c r="AC610" s="58"/>
      <c r="AD610" s="58"/>
      <c r="AE610" s="138"/>
      <c r="AF610" s="136"/>
      <c r="AG610" s="136"/>
      <c r="AH610" s="136"/>
    </row>
    <row r="611" spans="1:34" s="132" customFormat="1" ht="12.75" customHeight="1" x14ac:dyDescent="0.25">
      <c r="A611" s="137"/>
      <c r="B611" s="139"/>
      <c r="C611" s="136"/>
      <c r="D611" s="131"/>
      <c r="E611" s="131"/>
      <c r="F611" s="58"/>
      <c r="G611" s="140"/>
      <c r="H611" s="140"/>
      <c r="I611" s="58"/>
      <c r="J611" s="58"/>
      <c r="K611" s="58"/>
      <c r="L611" s="58"/>
      <c r="M611" s="135"/>
      <c r="N611" s="135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35"/>
      <c r="Z611" s="58"/>
      <c r="AA611" s="58"/>
      <c r="AB611" s="58"/>
      <c r="AC611" s="58"/>
      <c r="AD611" s="58"/>
      <c r="AE611" s="138"/>
      <c r="AF611" s="136"/>
      <c r="AG611" s="136"/>
      <c r="AH611" s="136"/>
    </row>
    <row r="612" spans="1:34" s="132" customFormat="1" ht="12.75" customHeight="1" x14ac:dyDescent="0.25">
      <c r="A612" s="137"/>
      <c r="B612" s="139"/>
      <c r="C612" s="136"/>
      <c r="D612" s="131"/>
      <c r="E612" s="131"/>
      <c r="F612" s="58"/>
      <c r="G612" s="140"/>
      <c r="H612" s="140"/>
      <c r="I612" s="58"/>
      <c r="J612" s="58"/>
      <c r="K612" s="58"/>
      <c r="L612" s="58"/>
      <c r="M612" s="135"/>
      <c r="N612" s="135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35"/>
      <c r="Z612" s="58"/>
      <c r="AA612" s="58"/>
      <c r="AB612" s="58"/>
      <c r="AC612" s="58"/>
      <c r="AD612" s="58"/>
      <c r="AE612" s="138"/>
      <c r="AF612" s="136"/>
      <c r="AG612" s="136"/>
      <c r="AH612" s="136"/>
    </row>
    <row r="613" spans="1:34" s="132" customFormat="1" ht="12.75" customHeight="1" x14ac:dyDescent="0.25">
      <c r="A613" s="137"/>
      <c r="B613" s="139"/>
      <c r="C613" s="136"/>
      <c r="D613" s="131"/>
      <c r="E613" s="131"/>
      <c r="F613" s="58"/>
      <c r="G613" s="140"/>
      <c r="H613" s="140"/>
      <c r="I613" s="58"/>
      <c r="J613" s="58"/>
      <c r="K613" s="58"/>
      <c r="L613" s="58"/>
      <c r="M613" s="135"/>
      <c r="N613" s="135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35"/>
      <c r="Z613" s="58"/>
      <c r="AA613" s="58"/>
      <c r="AB613" s="58"/>
      <c r="AC613" s="58"/>
      <c r="AD613" s="58"/>
      <c r="AE613" s="138"/>
      <c r="AF613" s="136"/>
      <c r="AG613" s="136"/>
      <c r="AH613" s="136"/>
    </row>
    <row r="614" spans="1:34" s="132" customFormat="1" ht="12.75" customHeight="1" x14ac:dyDescent="0.25">
      <c r="A614" s="137"/>
      <c r="B614" s="139"/>
      <c r="C614" s="136"/>
      <c r="D614" s="131"/>
      <c r="E614" s="131"/>
      <c r="F614" s="58"/>
      <c r="G614" s="140"/>
      <c r="H614" s="140"/>
      <c r="I614" s="58"/>
      <c r="J614" s="58"/>
      <c r="K614" s="58"/>
      <c r="L614" s="58"/>
      <c r="M614" s="135"/>
      <c r="N614" s="135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35"/>
      <c r="Z614" s="58"/>
      <c r="AA614" s="58"/>
      <c r="AB614" s="58"/>
      <c r="AC614" s="58"/>
      <c r="AD614" s="58"/>
      <c r="AE614" s="138"/>
      <c r="AF614" s="136"/>
      <c r="AG614" s="136"/>
      <c r="AH614" s="136"/>
    </row>
    <row r="615" spans="1:34" s="132" customFormat="1" ht="12.75" customHeight="1" x14ac:dyDescent="0.25">
      <c r="A615" s="137"/>
      <c r="B615" s="139"/>
      <c r="C615" s="136"/>
      <c r="D615" s="131"/>
      <c r="E615" s="131"/>
      <c r="F615" s="58"/>
      <c r="G615" s="140"/>
      <c r="H615" s="140"/>
      <c r="I615" s="58"/>
      <c r="J615" s="58"/>
      <c r="K615" s="58"/>
      <c r="L615" s="58"/>
      <c r="M615" s="135"/>
      <c r="N615" s="135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35"/>
      <c r="Z615" s="58"/>
      <c r="AA615" s="58"/>
      <c r="AB615" s="58"/>
      <c r="AC615" s="58"/>
      <c r="AD615" s="58"/>
      <c r="AE615" s="138"/>
      <c r="AF615" s="136"/>
      <c r="AG615" s="136"/>
      <c r="AH615" s="136"/>
    </row>
    <row r="616" spans="1:34" s="132" customFormat="1" ht="12.75" customHeight="1" x14ac:dyDescent="0.25">
      <c r="A616" s="137"/>
      <c r="B616" s="139"/>
      <c r="C616" s="136"/>
      <c r="D616" s="131"/>
      <c r="E616" s="131"/>
      <c r="F616" s="58"/>
      <c r="G616" s="140"/>
      <c r="H616" s="140"/>
      <c r="I616" s="58"/>
      <c r="J616" s="58"/>
      <c r="K616" s="58"/>
      <c r="L616" s="58"/>
      <c r="M616" s="135"/>
      <c r="N616" s="135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35"/>
      <c r="Z616" s="58"/>
      <c r="AA616" s="58"/>
      <c r="AB616" s="58"/>
      <c r="AC616" s="58"/>
      <c r="AD616" s="58"/>
      <c r="AE616" s="138"/>
      <c r="AF616" s="136"/>
      <c r="AG616" s="136"/>
      <c r="AH616" s="136"/>
    </row>
    <row r="617" spans="1:34" s="132" customFormat="1" ht="12.75" customHeight="1" x14ac:dyDescent="0.25">
      <c r="A617" s="137"/>
      <c r="B617" s="139"/>
      <c r="C617" s="136"/>
      <c r="D617" s="131"/>
      <c r="E617" s="131"/>
      <c r="F617" s="58"/>
      <c r="G617" s="140"/>
      <c r="H617" s="140"/>
      <c r="I617" s="58"/>
      <c r="J617" s="58"/>
      <c r="K617" s="58"/>
      <c r="L617" s="58"/>
      <c r="M617" s="135"/>
      <c r="N617" s="135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35"/>
      <c r="Z617" s="58"/>
      <c r="AA617" s="58"/>
      <c r="AB617" s="58"/>
      <c r="AC617" s="58"/>
      <c r="AD617" s="58"/>
      <c r="AE617" s="138"/>
      <c r="AF617" s="136"/>
      <c r="AG617" s="136"/>
      <c r="AH617" s="136"/>
    </row>
    <row r="618" spans="1:34" s="132" customFormat="1" ht="12.75" customHeight="1" x14ac:dyDescent="0.25">
      <c r="A618" s="137"/>
      <c r="B618" s="139"/>
      <c r="C618" s="136"/>
      <c r="D618" s="131"/>
      <c r="E618" s="131"/>
      <c r="F618" s="58"/>
      <c r="G618" s="140"/>
      <c r="H618" s="140"/>
      <c r="I618" s="58"/>
      <c r="J618" s="58"/>
      <c r="K618" s="58"/>
      <c r="L618" s="58"/>
      <c r="M618" s="135"/>
      <c r="N618" s="135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35"/>
      <c r="Z618" s="58"/>
      <c r="AA618" s="58"/>
      <c r="AB618" s="58"/>
      <c r="AC618" s="58"/>
      <c r="AD618" s="58"/>
      <c r="AE618" s="138"/>
      <c r="AF618" s="136"/>
      <c r="AG618" s="136"/>
      <c r="AH618" s="136"/>
    </row>
    <row r="619" spans="1:34" s="132" customFormat="1" ht="12.75" customHeight="1" x14ac:dyDescent="0.25">
      <c r="A619" s="137"/>
      <c r="B619" s="139"/>
      <c r="C619" s="136"/>
      <c r="D619" s="131"/>
      <c r="E619" s="131"/>
      <c r="F619" s="58"/>
      <c r="G619" s="140"/>
      <c r="H619" s="140"/>
      <c r="I619" s="58"/>
      <c r="J619" s="58"/>
      <c r="K619" s="58"/>
      <c r="L619" s="58"/>
      <c r="M619" s="135"/>
      <c r="N619" s="135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35"/>
      <c r="Z619" s="58"/>
      <c r="AA619" s="58"/>
      <c r="AB619" s="58"/>
      <c r="AC619" s="58"/>
      <c r="AD619" s="58"/>
      <c r="AE619" s="138"/>
      <c r="AF619" s="136"/>
      <c r="AG619" s="136"/>
      <c r="AH619" s="136"/>
    </row>
    <row r="620" spans="1:34" s="132" customFormat="1" ht="12.75" customHeight="1" x14ac:dyDescent="0.25">
      <c r="A620" s="137"/>
      <c r="B620" s="139"/>
      <c r="C620" s="136"/>
      <c r="D620" s="131"/>
      <c r="E620" s="131"/>
      <c r="F620" s="58"/>
      <c r="G620" s="140"/>
      <c r="H620" s="140"/>
      <c r="I620" s="58"/>
      <c r="J620" s="58"/>
      <c r="K620" s="58"/>
      <c r="L620" s="58"/>
      <c r="M620" s="135"/>
      <c r="N620" s="135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35"/>
      <c r="Z620" s="58"/>
      <c r="AA620" s="58"/>
      <c r="AB620" s="58"/>
      <c r="AC620" s="58"/>
      <c r="AD620" s="58"/>
      <c r="AE620" s="138"/>
      <c r="AF620" s="136"/>
      <c r="AG620" s="136"/>
      <c r="AH620" s="136"/>
    </row>
    <row r="621" spans="1:34" s="132" customFormat="1" ht="12.75" customHeight="1" x14ac:dyDescent="0.25">
      <c r="A621" s="137"/>
      <c r="B621" s="139"/>
      <c r="C621" s="136"/>
      <c r="D621" s="131"/>
      <c r="E621" s="131"/>
      <c r="F621" s="58"/>
      <c r="G621" s="140"/>
      <c r="H621" s="140"/>
      <c r="I621" s="58"/>
      <c r="J621" s="58"/>
      <c r="K621" s="58"/>
      <c r="L621" s="58"/>
      <c r="M621" s="135"/>
      <c r="N621" s="135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35"/>
      <c r="Z621" s="58"/>
      <c r="AA621" s="58"/>
      <c r="AB621" s="58"/>
      <c r="AC621" s="58"/>
      <c r="AD621" s="58"/>
      <c r="AE621" s="138"/>
      <c r="AF621" s="136"/>
      <c r="AG621" s="136"/>
      <c r="AH621" s="136"/>
    </row>
    <row r="622" spans="1:34" s="132" customFormat="1" ht="12.75" customHeight="1" x14ac:dyDescent="0.25">
      <c r="A622" s="137"/>
      <c r="B622" s="139"/>
      <c r="C622" s="136"/>
      <c r="D622" s="131"/>
      <c r="E622" s="131"/>
      <c r="F622" s="58"/>
      <c r="G622" s="140"/>
      <c r="H622" s="140"/>
      <c r="I622" s="58"/>
      <c r="J622" s="58"/>
      <c r="K622" s="58"/>
      <c r="L622" s="58"/>
      <c r="M622" s="135"/>
      <c r="N622" s="135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35"/>
      <c r="Z622" s="58"/>
      <c r="AA622" s="58"/>
      <c r="AB622" s="58"/>
      <c r="AC622" s="58"/>
      <c r="AD622" s="58"/>
      <c r="AE622" s="138"/>
      <c r="AF622" s="136"/>
      <c r="AG622" s="136"/>
      <c r="AH622" s="136"/>
    </row>
    <row r="623" spans="1:34" s="132" customFormat="1" ht="12.75" customHeight="1" x14ac:dyDescent="0.25">
      <c r="A623" s="137"/>
      <c r="B623" s="139"/>
      <c r="C623" s="136"/>
      <c r="D623" s="131"/>
      <c r="E623" s="131"/>
      <c r="F623" s="58"/>
      <c r="G623" s="140"/>
      <c r="H623" s="140"/>
      <c r="I623" s="58"/>
      <c r="J623" s="58"/>
      <c r="K623" s="58"/>
      <c r="L623" s="58"/>
      <c r="M623" s="135"/>
      <c r="N623" s="135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35"/>
      <c r="Z623" s="58"/>
      <c r="AA623" s="58"/>
      <c r="AB623" s="58"/>
      <c r="AC623" s="58"/>
      <c r="AD623" s="58"/>
      <c r="AE623" s="138"/>
      <c r="AF623" s="136"/>
      <c r="AG623" s="136"/>
      <c r="AH623" s="136"/>
    </row>
    <row r="624" spans="1:34" s="132" customFormat="1" ht="12.75" customHeight="1" x14ac:dyDescent="0.25">
      <c r="A624" s="137"/>
      <c r="B624" s="139"/>
      <c r="C624" s="136"/>
      <c r="D624" s="131"/>
      <c r="E624" s="131"/>
      <c r="F624" s="58"/>
      <c r="G624" s="140"/>
      <c r="H624" s="140"/>
      <c r="I624" s="58"/>
      <c r="J624" s="58"/>
      <c r="K624" s="58"/>
      <c r="L624" s="58"/>
      <c r="M624" s="135"/>
      <c r="N624" s="135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35"/>
      <c r="Z624" s="58"/>
      <c r="AA624" s="58"/>
      <c r="AB624" s="58"/>
      <c r="AC624" s="58"/>
      <c r="AD624" s="58"/>
      <c r="AE624" s="138"/>
      <c r="AF624" s="136"/>
      <c r="AG624" s="136"/>
      <c r="AH624" s="136"/>
    </row>
    <row r="625" spans="1:34" s="132" customFormat="1" ht="12.75" customHeight="1" x14ac:dyDescent="0.25">
      <c r="A625" s="137"/>
      <c r="B625" s="139"/>
      <c r="C625" s="136"/>
      <c r="D625" s="131"/>
      <c r="E625" s="131"/>
      <c r="F625" s="58"/>
      <c r="G625" s="140"/>
      <c r="H625" s="140"/>
      <c r="I625" s="58"/>
      <c r="J625" s="58"/>
      <c r="K625" s="58"/>
      <c r="L625" s="58"/>
      <c r="M625" s="135"/>
      <c r="N625" s="135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35"/>
      <c r="Z625" s="58"/>
      <c r="AA625" s="58"/>
      <c r="AB625" s="58"/>
      <c r="AC625" s="58"/>
      <c r="AD625" s="58"/>
      <c r="AE625" s="138"/>
      <c r="AF625" s="136"/>
      <c r="AG625" s="136"/>
      <c r="AH625" s="136"/>
    </row>
    <row r="626" spans="1:34" s="132" customFormat="1" ht="12.75" customHeight="1" x14ac:dyDescent="0.25">
      <c r="A626" s="137"/>
      <c r="B626" s="139"/>
      <c r="C626" s="136"/>
      <c r="D626" s="131"/>
      <c r="E626" s="131"/>
      <c r="F626" s="58"/>
      <c r="G626" s="140"/>
      <c r="H626" s="140"/>
      <c r="I626" s="58"/>
      <c r="J626" s="58"/>
      <c r="K626" s="58"/>
      <c r="L626" s="58"/>
      <c r="M626" s="135"/>
      <c r="N626" s="135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35"/>
      <c r="Z626" s="58"/>
      <c r="AA626" s="58"/>
      <c r="AB626" s="58"/>
      <c r="AC626" s="58"/>
      <c r="AD626" s="58"/>
      <c r="AE626" s="138"/>
      <c r="AF626" s="136"/>
      <c r="AG626" s="136"/>
      <c r="AH626" s="136"/>
    </row>
    <row r="627" spans="1:34" s="132" customFormat="1" ht="12.75" customHeight="1" x14ac:dyDescent="0.25">
      <c r="A627" s="137"/>
      <c r="B627" s="139"/>
      <c r="C627" s="136"/>
      <c r="D627" s="131"/>
      <c r="E627" s="131"/>
      <c r="F627" s="58"/>
      <c r="G627" s="140"/>
      <c r="H627" s="140"/>
      <c r="I627" s="58"/>
      <c r="J627" s="58"/>
      <c r="K627" s="58"/>
      <c r="L627" s="58"/>
      <c r="M627" s="135"/>
      <c r="N627" s="135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35"/>
      <c r="Z627" s="58"/>
      <c r="AA627" s="58"/>
      <c r="AB627" s="58"/>
      <c r="AC627" s="58"/>
      <c r="AD627" s="58"/>
      <c r="AE627" s="138"/>
      <c r="AF627" s="136"/>
      <c r="AG627" s="136"/>
      <c r="AH627" s="136"/>
    </row>
    <row r="628" spans="1:34" s="132" customFormat="1" ht="12.75" customHeight="1" x14ac:dyDescent="0.25">
      <c r="A628" s="137"/>
      <c r="B628" s="139"/>
      <c r="C628" s="136"/>
      <c r="D628" s="131"/>
      <c r="E628" s="131"/>
      <c r="F628" s="58"/>
      <c r="G628" s="140"/>
      <c r="H628" s="140"/>
      <c r="I628" s="58"/>
      <c r="J628" s="58"/>
      <c r="K628" s="58"/>
      <c r="L628" s="58"/>
      <c r="M628" s="135"/>
      <c r="N628" s="135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35"/>
      <c r="Z628" s="58"/>
      <c r="AA628" s="58"/>
      <c r="AB628" s="58"/>
      <c r="AC628" s="58"/>
      <c r="AD628" s="58"/>
      <c r="AE628" s="138"/>
      <c r="AF628" s="136"/>
      <c r="AG628" s="136"/>
      <c r="AH628" s="136"/>
    </row>
    <row r="629" spans="1:34" s="132" customFormat="1" ht="12.75" customHeight="1" x14ac:dyDescent="0.25">
      <c r="A629" s="137"/>
      <c r="B629" s="139"/>
      <c r="C629" s="136"/>
      <c r="D629" s="131"/>
      <c r="E629" s="131"/>
      <c r="F629" s="58"/>
      <c r="G629" s="140"/>
      <c r="H629" s="140"/>
      <c r="I629" s="58"/>
      <c r="J629" s="58"/>
      <c r="K629" s="58"/>
      <c r="L629" s="58"/>
      <c r="M629" s="135"/>
      <c r="N629" s="135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35"/>
      <c r="Z629" s="58"/>
      <c r="AA629" s="58"/>
      <c r="AB629" s="58"/>
      <c r="AC629" s="58"/>
      <c r="AD629" s="58"/>
      <c r="AE629" s="138"/>
      <c r="AF629" s="136"/>
      <c r="AG629" s="136"/>
      <c r="AH629" s="136"/>
    </row>
    <row r="630" spans="1:34" s="132" customFormat="1" ht="12.75" customHeight="1" x14ac:dyDescent="0.25">
      <c r="A630" s="137"/>
      <c r="B630" s="139"/>
      <c r="C630" s="136"/>
      <c r="D630" s="131"/>
      <c r="E630" s="131"/>
      <c r="F630" s="58"/>
      <c r="G630" s="140"/>
      <c r="H630" s="140"/>
      <c r="I630" s="58"/>
      <c r="J630" s="58"/>
      <c r="K630" s="58"/>
      <c r="L630" s="58"/>
      <c r="M630" s="135"/>
      <c r="N630" s="135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35"/>
      <c r="Z630" s="58"/>
      <c r="AA630" s="58"/>
      <c r="AB630" s="58"/>
      <c r="AC630" s="58"/>
      <c r="AD630" s="58"/>
      <c r="AE630" s="138"/>
      <c r="AF630" s="136"/>
      <c r="AG630" s="136"/>
      <c r="AH630" s="136"/>
    </row>
    <row r="631" spans="1:34" s="132" customFormat="1" ht="12.75" customHeight="1" x14ac:dyDescent="0.25">
      <c r="A631" s="137"/>
      <c r="B631" s="139"/>
      <c r="C631" s="136"/>
      <c r="D631" s="131"/>
      <c r="E631" s="131"/>
      <c r="F631" s="58"/>
      <c r="G631" s="140"/>
      <c r="H631" s="140"/>
      <c r="I631" s="58"/>
      <c r="J631" s="58"/>
      <c r="K631" s="58"/>
      <c r="L631" s="58"/>
      <c r="M631" s="135"/>
      <c r="N631" s="135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35"/>
      <c r="Z631" s="58"/>
      <c r="AA631" s="58"/>
      <c r="AB631" s="58"/>
      <c r="AC631" s="58"/>
      <c r="AD631" s="58"/>
      <c r="AE631" s="138"/>
      <c r="AF631" s="136"/>
      <c r="AG631" s="136"/>
      <c r="AH631" s="136"/>
    </row>
    <row r="632" spans="1:34" s="132" customFormat="1" ht="12.75" customHeight="1" x14ac:dyDescent="0.25">
      <c r="A632" s="137"/>
      <c r="B632" s="139"/>
      <c r="C632" s="136"/>
      <c r="D632" s="131"/>
      <c r="E632" s="131"/>
      <c r="F632" s="58"/>
      <c r="G632" s="140"/>
      <c r="H632" s="140"/>
      <c r="I632" s="58"/>
      <c r="J632" s="58"/>
      <c r="K632" s="58"/>
      <c r="L632" s="58"/>
      <c r="M632" s="135"/>
      <c r="N632" s="135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35"/>
      <c r="Z632" s="58"/>
      <c r="AA632" s="58"/>
      <c r="AB632" s="58"/>
      <c r="AC632" s="58"/>
      <c r="AD632" s="58"/>
      <c r="AE632" s="138"/>
      <c r="AF632" s="136"/>
      <c r="AG632" s="136"/>
      <c r="AH632" s="136"/>
    </row>
    <row r="633" spans="1:34" s="132" customFormat="1" ht="12.75" customHeight="1" x14ac:dyDescent="0.25">
      <c r="A633" s="137"/>
      <c r="B633" s="139"/>
      <c r="C633" s="136"/>
      <c r="D633" s="131"/>
      <c r="E633" s="131"/>
      <c r="F633" s="58"/>
      <c r="G633" s="140"/>
      <c r="H633" s="140"/>
      <c r="I633" s="58"/>
      <c r="J633" s="58"/>
      <c r="K633" s="58"/>
      <c r="L633" s="58"/>
      <c r="M633" s="135"/>
      <c r="N633" s="135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35"/>
      <c r="Z633" s="58"/>
      <c r="AA633" s="58"/>
      <c r="AB633" s="58"/>
      <c r="AC633" s="58"/>
      <c r="AD633" s="58"/>
      <c r="AE633" s="138"/>
      <c r="AF633" s="136"/>
      <c r="AG633" s="136"/>
      <c r="AH633" s="136"/>
    </row>
    <row r="634" spans="1:34" s="132" customFormat="1" ht="12.75" customHeight="1" x14ac:dyDescent="0.25">
      <c r="A634" s="137"/>
      <c r="B634" s="139"/>
      <c r="C634" s="136"/>
      <c r="D634" s="131"/>
      <c r="E634" s="131"/>
      <c r="F634" s="58"/>
      <c r="G634" s="140"/>
      <c r="H634" s="140"/>
      <c r="I634" s="58"/>
      <c r="J634" s="58"/>
      <c r="K634" s="58"/>
      <c r="L634" s="58"/>
      <c r="M634" s="135"/>
      <c r="N634" s="135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35"/>
      <c r="Z634" s="58"/>
      <c r="AA634" s="58"/>
      <c r="AB634" s="58"/>
      <c r="AC634" s="58"/>
      <c r="AD634" s="58"/>
      <c r="AE634" s="138"/>
      <c r="AF634" s="136"/>
      <c r="AG634" s="136"/>
      <c r="AH634" s="136"/>
    </row>
    <row r="635" spans="1:34" s="132" customFormat="1" ht="12.75" customHeight="1" x14ac:dyDescent="0.25">
      <c r="A635" s="137"/>
      <c r="B635" s="139"/>
      <c r="C635" s="136"/>
      <c r="D635" s="131"/>
      <c r="E635" s="131"/>
      <c r="F635" s="58"/>
      <c r="G635" s="140"/>
      <c r="H635" s="140"/>
      <c r="I635" s="58"/>
      <c r="J635" s="58"/>
      <c r="K635" s="58"/>
      <c r="L635" s="58"/>
      <c r="M635" s="135"/>
      <c r="N635" s="135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35"/>
      <c r="Z635" s="58"/>
      <c r="AA635" s="58"/>
      <c r="AB635" s="58"/>
      <c r="AC635" s="58"/>
      <c r="AD635" s="58"/>
      <c r="AE635" s="138"/>
      <c r="AF635" s="136"/>
      <c r="AG635" s="136"/>
      <c r="AH635" s="136"/>
    </row>
    <row r="636" spans="1:34" s="132" customFormat="1" ht="12.75" customHeight="1" x14ac:dyDescent="0.25">
      <c r="A636" s="137"/>
      <c r="B636" s="139"/>
      <c r="C636" s="136"/>
      <c r="D636" s="131"/>
      <c r="E636" s="131"/>
      <c r="F636" s="58"/>
      <c r="G636" s="140"/>
      <c r="H636" s="140"/>
      <c r="I636" s="58"/>
      <c r="J636" s="58"/>
      <c r="K636" s="58"/>
      <c r="L636" s="58"/>
      <c r="M636" s="135"/>
      <c r="N636" s="135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35"/>
      <c r="Z636" s="58"/>
      <c r="AA636" s="58"/>
      <c r="AB636" s="58"/>
      <c r="AC636" s="58"/>
      <c r="AD636" s="58"/>
      <c r="AE636" s="138"/>
      <c r="AF636" s="136"/>
      <c r="AG636" s="136"/>
      <c r="AH636" s="136"/>
    </row>
    <row r="637" spans="1:34" s="132" customFormat="1" ht="12.75" customHeight="1" x14ac:dyDescent="0.25">
      <c r="A637" s="137"/>
      <c r="B637" s="139"/>
      <c r="C637" s="136"/>
      <c r="D637" s="131"/>
      <c r="E637" s="131"/>
      <c r="F637" s="58"/>
      <c r="G637" s="140"/>
      <c r="H637" s="140"/>
      <c r="I637" s="58"/>
      <c r="J637" s="58"/>
      <c r="K637" s="58"/>
      <c r="L637" s="58"/>
      <c r="M637" s="135"/>
      <c r="N637" s="135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35"/>
      <c r="Z637" s="58"/>
      <c r="AA637" s="58"/>
      <c r="AB637" s="58"/>
      <c r="AC637" s="58"/>
      <c r="AD637" s="58"/>
      <c r="AE637" s="138"/>
      <c r="AF637" s="136"/>
      <c r="AG637" s="136"/>
      <c r="AH637" s="136"/>
    </row>
    <row r="638" spans="1:34" s="132" customFormat="1" ht="12.75" customHeight="1" x14ac:dyDescent="0.25">
      <c r="A638" s="137"/>
      <c r="B638" s="139"/>
      <c r="C638" s="136"/>
      <c r="D638" s="131"/>
      <c r="E638" s="131"/>
      <c r="F638" s="58"/>
      <c r="G638" s="140"/>
      <c r="H638" s="140"/>
      <c r="I638" s="58"/>
      <c r="J638" s="58"/>
      <c r="K638" s="58"/>
      <c r="L638" s="58"/>
      <c r="M638" s="135"/>
      <c r="N638" s="135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35"/>
      <c r="Z638" s="58"/>
      <c r="AA638" s="58"/>
      <c r="AB638" s="58"/>
      <c r="AC638" s="58"/>
      <c r="AD638" s="58"/>
      <c r="AE638" s="138"/>
      <c r="AF638" s="136"/>
      <c r="AG638" s="136"/>
      <c r="AH638" s="136"/>
    </row>
    <row r="639" spans="1:34" s="132" customFormat="1" ht="12.75" customHeight="1" x14ac:dyDescent="0.25">
      <c r="A639" s="137"/>
      <c r="B639" s="139"/>
      <c r="C639" s="136"/>
      <c r="D639" s="131"/>
      <c r="E639" s="131"/>
      <c r="F639" s="58"/>
      <c r="G639" s="140"/>
      <c r="H639" s="140"/>
      <c r="I639" s="58"/>
      <c r="J639" s="58"/>
      <c r="K639" s="58"/>
      <c r="L639" s="58"/>
      <c r="M639" s="135"/>
      <c r="N639" s="135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35"/>
      <c r="Z639" s="58"/>
      <c r="AA639" s="58"/>
      <c r="AB639" s="58"/>
      <c r="AC639" s="58"/>
      <c r="AD639" s="58"/>
      <c r="AE639" s="138"/>
      <c r="AF639" s="136"/>
      <c r="AG639" s="136"/>
      <c r="AH639" s="136"/>
    </row>
    <row r="640" spans="1:34" s="132" customFormat="1" ht="12.75" customHeight="1" x14ac:dyDescent="0.25">
      <c r="A640" s="137"/>
      <c r="B640" s="139"/>
      <c r="C640" s="136"/>
      <c r="D640" s="131"/>
      <c r="E640" s="131"/>
      <c r="F640" s="58"/>
      <c r="G640" s="140"/>
      <c r="H640" s="140"/>
      <c r="I640" s="58"/>
      <c r="J640" s="58"/>
      <c r="K640" s="58"/>
      <c r="L640" s="58"/>
      <c r="M640" s="135"/>
      <c r="N640" s="135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35"/>
      <c r="Z640" s="58"/>
      <c r="AA640" s="58"/>
      <c r="AB640" s="58"/>
      <c r="AC640" s="58"/>
      <c r="AD640" s="58"/>
      <c r="AE640" s="138"/>
      <c r="AF640" s="136"/>
      <c r="AG640" s="136"/>
      <c r="AH640" s="136"/>
    </row>
    <row r="641" spans="1:34" s="132" customFormat="1" ht="12.75" customHeight="1" x14ac:dyDescent="0.25">
      <c r="A641" s="137"/>
      <c r="B641" s="139"/>
      <c r="C641" s="136"/>
      <c r="D641" s="131"/>
      <c r="E641" s="131"/>
      <c r="F641" s="58"/>
      <c r="G641" s="140"/>
      <c r="H641" s="140"/>
      <c r="I641" s="58"/>
      <c r="J641" s="58"/>
      <c r="K641" s="58"/>
      <c r="L641" s="58"/>
      <c r="M641" s="135"/>
      <c r="N641" s="135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35"/>
      <c r="Z641" s="58"/>
      <c r="AA641" s="58"/>
      <c r="AB641" s="58"/>
      <c r="AC641" s="58"/>
      <c r="AD641" s="58"/>
      <c r="AE641" s="138"/>
      <c r="AF641" s="136"/>
      <c r="AG641" s="136"/>
      <c r="AH641" s="136"/>
    </row>
    <row r="642" spans="1:34" s="132" customFormat="1" ht="12.75" customHeight="1" x14ac:dyDescent="0.25">
      <c r="A642" s="137"/>
      <c r="B642" s="139"/>
      <c r="C642" s="136"/>
      <c r="D642" s="131"/>
      <c r="E642" s="131"/>
      <c r="F642" s="58"/>
      <c r="G642" s="140"/>
      <c r="H642" s="140"/>
      <c r="I642" s="58"/>
      <c r="J642" s="58"/>
      <c r="K642" s="58"/>
      <c r="L642" s="58"/>
      <c r="M642" s="135"/>
      <c r="N642" s="135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35"/>
      <c r="Z642" s="58"/>
      <c r="AA642" s="58"/>
      <c r="AB642" s="58"/>
      <c r="AC642" s="58"/>
      <c r="AD642" s="58"/>
      <c r="AE642" s="138"/>
      <c r="AF642" s="136"/>
      <c r="AG642" s="136"/>
      <c r="AH642" s="136"/>
    </row>
    <row r="643" spans="1:34" s="132" customFormat="1" ht="12.75" customHeight="1" x14ac:dyDescent="0.25">
      <c r="A643" s="137"/>
      <c r="B643" s="139"/>
      <c r="C643" s="136"/>
      <c r="D643" s="131"/>
      <c r="E643" s="131"/>
      <c r="F643" s="58"/>
      <c r="G643" s="140"/>
      <c r="H643" s="140"/>
      <c r="I643" s="58"/>
      <c r="J643" s="58"/>
      <c r="K643" s="58"/>
      <c r="L643" s="58"/>
      <c r="M643" s="135"/>
      <c r="N643" s="135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35"/>
      <c r="Z643" s="58"/>
      <c r="AA643" s="58"/>
      <c r="AB643" s="58"/>
      <c r="AC643" s="58"/>
      <c r="AD643" s="58"/>
      <c r="AE643" s="138"/>
      <c r="AF643" s="136"/>
      <c r="AG643" s="136"/>
      <c r="AH643" s="136"/>
    </row>
    <row r="644" spans="1:34" s="132" customFormat="1" ht="12.75" customHeight="1" x14ac:dyDescent="0.25">
      <c r="A644" s="137"/>
      <c r="B644" s="139"/>
      <c r="C644" s="136"/>
      <c r="D644" s="131"/>
      <c r="E644" s="131"/>
      <c r="F644" s="58"/>
      <c r="G644" s="140"/>
      <c r="H644" s="140"/>
      <c r="I644" s="58"/>
      <c r="J644" s="58"/>
      <c r="K644" s="58"/>
      <c r="L644" s="58"/>
      <c r="M644" s="135"/>
      <c r="N644" s="135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35"/>
      <c r="Z644" s="58"/>
      <c r="AA644" s="58"/>
      <c r="AB644" s="58"/>
      <c r="AC644" s="58"/>
      <c r="AD644" s="58"/>
      <c r="AE644" s="138"/>
      <c r="AF644" s="136"/>
      <c r="AG644" s="136"/>
      <c r="AH644" s="136"/>
    </row>
    <row r="645" spans="1:34" s="132" customFormat="1" ht="12.75" customHeight="1" x14ac:dyDescent="0.25">
      <c r="A645" s="137"/>
      <c r="B645" s="139"/>
      <c r="C645" s="136"/>
      <c r="D645" s="131"/>
      <c r="E645" s="131"/>
      <c r="F645" s="58"/>
      <c r="G645" s="140"/>
      <c r="H645" s="140"/>
      <c r="I645" s="58"/>
      <c r="J645" s="58"/>
      <c r="K645" s="58"/>
      <c r="L645" s="58"/>
      <c r="M645" s="135"/>
      <c r="N645" s="135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35"/>
      <c r="Z645" s="58"/>
      <c r="AA645" s="58"/>
      <c r="AB645" s="58"/>
      <c r="AC645" s="58"/>
      <c r="AD645" s="58"/>
      <c r="AE645" s="138"/>
      <c r="AF645" s="136"/>
      <c r="AG645" s="136"/>
      <c r="AH645" s="136"/>
    </row>
    <row r="646" spans="1:34" s="132" customFormat="1" ht="12.75" customHeight="1" x14ac:dyDescent="0.25">
      <c r="A646" s="137"/>
      <c r="B646" s="139"/>
      <c r="C646" s="136"/>
      <c r="D646" s="131"/>
      <c r="E646" s="131"/>
      <c r="F646" s="58"/>
      <c r="G646" s="140"/>
      <c r="H646" s="140"/>
      <c r="I646" s="58"/>
      <c r="J646" s="58"/>
      <c r="K646" s="58"/>
      <c r="L646" s="58"/>
      <c r="M646" s="135"/>
      <c r="N646" s="135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35"/>
      <c r="Z646" s="58"/>
      <c r="AA646" s="58"/>
      <c r="AB646" s="58"/>
      <c r="AC646" s="58"/>
      <c r="AD646" s="58"/>
      <c r="AE646" s="138"/>
      <c r="AF646" s="136"/>
      <c r="AG646" s="136"/>
      <c r="AH646" s="136"/>
    </row>
    <row r="647" spans="1:34" s="132" customFormat="1" ht="12.75" customHeight="1" x14ac:dyDescent="0.25">
      <c r="A647" s="137"/>
      <c r="B647" s="139"/>
      <c r="C647" s="136"/>
      <c r="D647" s="131"/>
      <c r="E647" s="131"/>
      <c r="F647" s="58"/>
      <c r="G647" s="140"/>
      <c r="H647" s="140"/>
      <c r="I647" s="58"/>
      <c r="J647" s="58"/>
      <c r="K647" s="58"/>
      <c r="L647" s="58"/>
      <c r="M647" s="135"/>
      <c r="N647" s="135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35"/>
      <c r="Z647" s="58"/>
      <c r="AA647" s="58"/>
      <c r="AB647" s="58"/>
      <c r="AC647" s="58"/>
      <c r="AD647" s="58"/>
      <c r="AE647" s="138"/>
      <c r="AF647" s="136"/>
      <c r="AG647" s="136"/>
      <c r="AH647" s="136"/>
    </row>
    <row r="648" spans="1:34" s="132" customFormat="1" ht="12.75" customHeight="1" x14ac:dyDescent="0.25">
      <c r="A648" s="137"/>
      <c r="B648" s="139"/>
      <c r="C648" s="136"/>
      <c r="D648" s="131"/>
      <c r="E648" s="131"/>
      <c r="F648" s="58"/>
      <c r="G648" s="140"/>
      <c r="H648" s="140"/>
      <c r="I648" s="58"/>
      <c r="J648" s="58"/>
      <c r="K648" s="58"/>
      <c r="L648" s="58"/>
      <c r="M648" s="135"/>
      <c r="N648" s="135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35"/>
      <c r="Z648" s="58"/>
      <c r="AA648" s="58"/>
      <c r="AB648" s="58"/>
      <c r="AC648" s="58"/>
      <c r="AD648" s="58"/>
      <c r="AE648" s="138"/>
      <c r="AF648" s="136"/>
      <c r="AG648" s="136"/>
      <c r="AH648" s="136"/>
    </row>
    <row r="649" spans="1:34" s="132" customFormat="1" ht="12.75" customHeight="1" x14ac:dyDescent="0.25">
      <c r="A649" s="137"/>
      <c r="B649" s="139"/>
      <c r="C649" s="136"/>
      <c r="D649" s="131"/>
      <c r="E649" s="131"/>
      <c r="F649" s="58"/>
      <c r="G649" s="140"/>
      <c r="H649" s="140"/>
      <c r="I649" s="58"/>
      <c r="J649" s="58"/>
      <c r="K649" s="58"/>
      <c r="L649" s="58"/>
      <c r="M649" s="135"/>
      <c r="N649" s="135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35"/>
      <c r="Z649" s="58"/>
      <c r="AA649" s="58"/>
      <c r="AB649" s="58"/>
      <c r="AC649" s="58"/>
      <c r="AD649" s="58"/>
      <c r="AE649" s="138"/>
      <c r="AF649" s="136"/>
      <c r="AG649" s="136"/>
      <c r="AH649" s="136"/>
    </row>
    <row r="650" spans="1:34" s="132" customFormat="1" ht="12.75" customHeight="1" x14ac:dyDescent="0.25">
      <c r="A650" s="137"/>
      <c r="B650" s="139"/>
      <c r="C650" s="136"/>
      <c r="D650" s="131"/>
      <c r="E650" s="131"/>
      <c r="F650" s="58"/>
      <c r="G650" s="140"/>
      <c r="H650" s="140"/>
      <c r="I650" s="58"/>
      <c r="J650" s="58"/>
      <c r="K650" s="58"/>
      <c r="L650" s="58"/>
      <c r="M650" s="135"/>
      <c r="N650" s="135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35"/>
      <c r="Z650" s="58"/>
      <c r="AA650" s="58"/>
      <c r="AB650" s="58"/>
      <c r="AC650" s="58"/>
      <c r="AD650" s="58"/>
      <c r="AE650" s="138"/>
      <c r="AF650" s="136"/>
      <c r="AG650" s="136"/>
      <c r="AH650" s="136"/>
    </row>
    <row r="651" spans="1:34" s="132" customFormat="1" ht="12.75" customHeight="1" x14ac:dyDescent="0.25">
      <c r="A651" s="137"/>
      <c r="B651" s="139"/>
      <c r="C651" s="136"/>
      <c r="D651" s="131"/>
      <c r="E651" s="131"/>
      <c r="F651" s="58"/>
      <c r="G651" s="140"/>
      <c r="H651" s="140"/>
      <c r="I651" s="58"/>
      <c r="J651" s="58"/>
      <c r="K651" s="58"/>
      <c r="L651" s="58"/>
      <c r="M651" s="135"/>
      <c r="N651" s="135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35"/>
      <c r="Z651" s="58"/>
      <c r="AA651" s="58"/>
      <c r="AB651" s="58"/>
      <c r="AC651" s="58"/>
      <c r="AD651" s="58"/>
      <c r="AE651" s="138"/>
      <c r="AF651" s="136"/>
      <c r="AG651" s="136"/>
      <c r="AH651" s="136"/>
    </row>
    <row r="652" spans="1:34" s="132" customFormat="1" ht="12.75" customHeight="1" x14ac:dyDescent="0.25">
      <c r="A652" s="137"/>
      <c r="B652" s="139"/>
      <c r="C652" s="136"/>
      <c r="D652" s="131"/>
      <c r="E652" s="131"/>
      <c r="F652" s="58"/>
      <c r="G652" s="140"/>
      <c r="H652" s="140"/>
      <c r="I652" s="58"/>
      <c r="J652" s="58"/>
      <c r="K652" s="58"/>
      <c r="L652" s="58"/>
      <c r="M652" s="135"/>
      <c r="N652" s="135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35"/>
      <c r="Z652" s="58"/>
      <c r="AA652" s="58"/>
      <c r="AB652" s="58"/>
      <c r="AC652" s="58"/>
      <c r="AD652" s="58"/>
      <c r="AE652" s="138"/>
      <c r="AF652" s="136"/>
      <c r="AG652" s="136"/>
      <c r="AH652" s="136"/>
    </row>
    <row r="653" spans="1:34" s="132" customFormat="1" ht="12.75" customHeight="1" x14ac:dyDescent="0.25">
      <c r="A653" s="137"/>
      <c r="B653" s="139"/>
      <c r="C653" s="136"/>
      <c r="D653" s="131"/>
      <c r="E653" s="131"/>
      <c r="F653" s="58"/>
      <c r="G653" s="140"/>
      <c r="H653" s="140"/>
      <c r="I653" s="58"/>
      <c r="J653" s="58"/>
      <c r="K653" s="58"/>
      <c r="L653" s="58"/>
      <c r="M653" s="135"/>
      <c r="N653" s="135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35"/>
      <c r="Z653" s="58"/>
      <c r="AA653" s="58"/>
      <c r="AB653" s="58"/>
      <c r="AC653" s="58"/>
      <c r="AD653" s="58"/>
      <c r="AE653" s="138"/>
      <c r="AF653" s="136"/>
      <c r="AG653" s="136"/>
      <c r="AH653" s="136"/>
    </row>
    <row r="654" spans="1:34" s="132" customFormat="1" ht="12.75" customHeight="1" x14ac:dyDescent="0.25">
      <c r="A654" s="137"/>
      <c r="B654" s="139"/>
      <c r="C654" s="136"/>
      <c r="D654" s="131"/>
      <c r="E654" s="131"/>
      <c r="F654" s="58"/>
      <c r="G654" s="140"/>
      <c r="H654" s="140"/>
      <c r="I654" s="58"/>
      <c r="J654" s="58"/>
      <c r="K654" s="58"/>
      <c r="L654" s="58"/>
      <c r="M654" s="135"/>
      <c r="N654" s="135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35"/>
      <c r="Z654" s="58"/>
      <c r="AA654" s="58"/>
      <c r="AB654" s="58"/>
      <c r="AC654" s="58"/>
      <c r="AD654" s="58"/>
      <c r="AE654" s="138"/>
      <c r="AF654" s="136"/>
      <c r="AG654" s="136"/>
      <c r="AH654" s="136"/>
    </row>
    <row r="655" spans="1:34" s="132" customFormat="1" ht="12.75" customHeight="1" x14ac:dyDescent="0.25">
      <c r="A655" s="137"/>
      <c r="B655" s="139"/>
      <c r="C655" s="136"/>
      <c r="D655" s="131"/>
      <c r="E655" s="131"/>
      <c r="F655" s="58"/>
      <c r="G655" s="140"/>
      <c r="H655" s="140"/>
      <c r="I655" s="58"/>
      <c r="J655" s="58"/>
      <c r="K655" s="58"/>
      <c r="L655" s="58"/>
      <c r="M655" s="135"/>
      <c r="N655" s="135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35"/>
      <c r="Z655" s="58"/>
      <c r="AA655" s="58"/>
      <c r="AB655" s="58"/>
      <c r="AC655" s="58"/>
      <c r="AD655" s="58"/>
      <c r="AE655" s="138"/>
      <c r="AF655" s="136"/>
      <c r="AG655" s="136"/>
      <c r="AH655" s="136"/>
    </row>
    <row r="656" spans="1:34" s="132" customFormat="1" ht="12.75" customHeight="1" x14ac:dyDescent="0.25">
      <c r="A656" s="137"/>
      <c r="B656" s="139"/>
      <c r="C656" s="136"/>
      <c r="D656" s="131"/>
      <c r="E656" s="131"/>
      <c r="F656" s="58"/>
      <c r="G656" s="140"/>
      <c r="H656" s="140"/>
      <c r="I656" s="58"/>
      <c r="J656" s="58"/>
      <c r="K656" s="58"/>
      <c r="L656" s="58"/>
      <c r="M656" s="135"/>
      <c r="N656" s="135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35"/>
      <c r="Z656" s="58"/>
      <c r="AA656" s="58"/>
      <c r="AB656" s="58"/>
      <c r="AC656" s="58"/>
      <c r="AD656" s="58"/>
      <c r="AE656" s="138"/>
      <c r="AF656" s="136"/>
      <c r="AG656" s="136"/>
      <c r="AH656" s="136"/>
    </row>
    <row r="657" spans="1:34" s="132" customFormat="1" ht="12.75" customHeight="1" x14ac:dyDescent="0.25">
      <c r="A657" s="137"/>
      <c r="B657" s="139"/>
      <c r="C657" s="136"/>
      <c r="D657" s="131"/>
      <c r="E657" s="131"/>
      <c r="F657" s="58"/>
      <c r="G657" s="140"/>
      <c r="H657" s="140"/>
      <c r="I657" s="58"/>
      <c r="J657" s="58"/>
      <c r="K657" s="58"/>
      <c r="L657" s="58"/>
      <c r="M657" s="135"/>
      <c r="N657" s="135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35"/>
      <c r="Z657" s="58"/>
      <c r="AA657" s="58"/>
      <c r="AB657" s="58"/>
      <c r="AC657" s="58"/>
      <c r="AD657" s="58"/>
      <c r="AE657" s="138"/>
      <c r="AF657" s="136"/>
      <c r="AG657" s="136"/>
      <c r="AH657" s="136"/>
    </row>
    <row r="658" spans="1:34" s="132" customFormat="1" ht="12.75" customHeight="1" x14ac:dyDescent="0.25">
      <c r="A658" s="137"/>
      <c r="B658" s="139"/>
      <c r="C658" s="136"/>
      <c r="D658" s="131"/>
      <c r="E658" s="131"/>
      <c r="F658" s="58"/>
      <c r="G658" s="140"/>
      <c r="H658" s="140"/>
      <c r="I658" s="58"/>
      <c r="J658" s="58"/>
      <c r="K658" s="58"/>
      <c r="L658" s="58"/>
      <c r="M658" s="135"/>
      <c r="N658" s="135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35"/>
      <c r="Z658" s="58"/>
      <c r="AA658" s="58"/>
      <c r="AB658" s="58"/>
      <c r="AC658" s="58"/>
      <c r="AD658" s="58"/>
      <c r="AE658" s="138"/>
      <c r="AF658" s="136"/>
      <c r="AG658" s="136"/>
      <c r="AH658" s="136"/>
    </row>
    <row r="659" spans="1:34" s="132" customFormat="1" ht="12.75" customHeight="1" x14ac:dyDescent="0.25">
      <c r="A659" s="137"/>
      <c r="B659" s="139"/>
      <c r="C659" s="136"/>
      <c r="D659" s="131"/>
      <c r="E659" s="131"/>
      <c r="F659" s="58"/>
      <c r="G659" s="140"/>
      <c r="H659" s="140"/>
      <c r="I659" s="58"/>
      <c r="J659" s="58"/>
      <c r="K659" s="58"/>
      <c r="L659" s="58"/>
      <c r="M659" s="135"/>
      <c r="N659" s="135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35"/>
      <c r="Z659" s="58"/>
      <c r="AA659" s="58"/>
      <c r="AB659" s="58"/>
      <c r="AC659" s="58"/>
      <c r="AD659" s="58"/>
      <c r="AE659" s="138"/>
      <c r="AF659" s="136"/>
      <c r="AG659" s="136"/>
      <c r="AH659" s="136"/>
    </row>
    <row r="660" spans="1:34" s="132" customFormat="1" ht="12.75" customHeight="1" x14ac:dyDescent="0.25">
      <c r="A660" s="137"/>
      <c r="B660" s="139"/>
      <c r="C660" s="136"/>
      <c r="D660" s="131"/>
      <c r="E660" s="131"/>
      <c r="F660" s="58"/>
      <c r="G660" s="140"/>
      <c r="H660" s="140"/>
      <c r="I660" s="58"/>
      <c r="J660" s="58"/>
      <c r="K660" s="58"/>
      <c r="L660" s="58"/>
      <c r="M660" s="135"/>
      <c r="N660" s="135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35"/>
      <c r="Z660" s="58"/>
      <c r="AA660" s="58"/>
      <c r="AB660" s="58"/>
      <c r="AC660" s="58"/>
      <c r="AD660" s="58"/>
      <c r="AE660" s="138"/>
      <c r="AF660" s="136"/>
      <c r="AG660" s="136"/>
      <c r="AH660" s="136"/>
    </row>
    <row r="661" spans="1:34" s="132" customFormat="1" ht="12.75" customHeight="1" x14ac:dyDescent="0.25">
      <c r="A661" s="137"/>
      <c r="B661" s="139"/>
      <c r="C661" s="136"/>
      <c r="D661" s="131"/>
      <c r="E661" s="131"/>
      <c r="F661" s="58"/>
      <c r="G661" s="140"/>
      <c r="H661" s="140"/>
      <c r="I661" s="58"/>
      <c r="J661" s="58"/>
      <c r="K661" s="58"/>
      <c r="L661" s="58"/>
      <c r="M661" s="135"/>
      <c r="N661" s="135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35"/>
      <c r="Z661" s="58"/>
      <c r="AA661" s="58"/>
      <c r="AB661" s="58"/>
      <c r="AC661" s="58"/>
      <c r="AD661" s="58"/>
      <c r="AE661" s="138"/>
      <c r="AF661" s="136"/>
      <c r="AG661" s="136"/>
      <c r="AH661" s="136"/>
    </row>
    <row r="662" spans="1:34" s="132" customFormat="1" ht="12.75" customHeight="1" x14ac:dyDescent="0.25">
      <c r="A662" s="137"/>
      <c r="B662" s="139"/>
      <c r="C662" s="136"/>
      <c r="D662" s="131"/>
      <c r="E662" s="131"/>
      <c r="F662" s="58"/>
      <c r="G662" s="140"/>
      <c r="H662" s="140"/>
      <c r="I662" s="58"/>
      <c r="J662" s="58"/>
      <c r="K662" s="58"/>
      <c r="L662" s="58"/>
      <c r="M662" s="135"/>
      <c r="N662" s="135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35"/>
      <c r="Z662" s="58"/>
      <c r="AA662" s="58"/>
      <c r="AB662" s="58"/>
      <c r="AC662" s="58"/>
      <c r="AD662" s="58"/>
      <c r="AE662" s="138"/>
      <c r="AF662" s="136"/>
      <c r="AG662" s="136"/>
      <c r="AH662" s="136"/>
    </row>
    <row r="663" spans="1:34" s="132" customFormat="1" ht="12.75" customHeight="1" x14ac:dyDescent="0.25">
      <c r="A663" s="137"/>
      <c r="B663" s="139"/>
      <c r="C663" s="136"/>
      <c r="D663" s="131"/>
      <c r="E663" s="131"/>
      <c r="F663" s="58"/>
      <c r="G663" s="140"/>
      <c r="H663" s="140"/>
      <c r="I663" s="58"/>
      <c r="J663" s="58"/>
      <c r="K663" s="58"/>
      <c r="L663" s="58"/>
      <c r="M663" s="135"/>
      <c r="N663" s="135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35"/>
      <c r="Z663" s="58"/>
      <c r="AA663" s="58"/>
      <c r="AB663" s="58"/>
      <c r="AC663" s="58"/>
      <c r="AD663" s="58"/>
      <c r="AE663" s="138"/>
      <c r="AF663" s="136"/>
      <c r="AG663" s="136"/>
      <c r="AH663" s="136"/>
    </row>
    <row r="664" spans="1:34" s="132" customFormat="1" ht="12.75" customHeight="1" x14ac:dyDescent="0.25">
      <c r="A664" s="137"/>
      <c r="B664" s="139"/>
      <c r="C664" s="136"/>
      <c r="D664" s="131"/>
      <c r="E664" s="131"/>
      <c r="F664" s="58"/>
      <c r="G664" s="140"/>
      <c r="H664" s="140"/>
      <c r="I664" s="58"/>
      <c r="J664" s="58"/>
      <c r="K664" s="58"/>
      <c r="L664" s="58"/>
      <c r="M664" s="135"/>
      <c r="N664" s="135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35"/>
      <c r="Z664" s="58"/>
      <c r="AA664" s="58"/>
      <c r="AB664" s="58"/>
      <c r="AC664" s="58"/>
      <c r="AD664" s="58"/>
      <c r="AE664" s="138"/>
      <c r="AF664" s="136"/>
      <c r="AG664" s="136"/>
      <c r="AH664" s="136"/>
    </row>
    <row r="665" spans="1:34" s="132" customFormat="1" ht="12.75" customHeight="1" x14ac:dyDescent="0.25">
      <c r="A665" s="137"/>
      <c r="B665" s="139"/>
      <c r="C665" s="136"/>
      <c r="D665" s="131"/>
      <c r="E665" s="131"/>
      <c r="F665" s="58"/>
      <c r="G665" s="140"/>
      <c r="H665" s="140"/>
      <c r="I665" s="58"/>
      <c r="J665" s="58"/>
      <c r="K665" s="58"/>
      <c r="L665" s="58"/>
      <c r="M665" s="135"/>
      <c r="N665" s="135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35"/>
      <c r="Z665" s="58"/>
      <c r="AA665" s="58"/>
      <c r="AB665" s="58"/>
      <c r="AC665" s="58"/>
      <c r="AD665" s="58"/>
      <c r="AE665" s="138"/>
      <c r="AF665" s="136"/>
      <c r="AG665" s="136"/>
      <c r="AH665" s="136"/>
    </row>
    <row r="666" spans="1:34" s="132" customFormat="1" ht="12.75" customHeight="1" x14ac:dyDescent="0.25">
      <c r="A666" s="137"/>
      <c r="B666" s="139"/>
      <c r="C666" s="136"/>
      <c r="D666" s="131"/>
      <c r="E666" s="131"/>
      <c r="F666" s="58"/>
      <c r="G666" s="140"/>
      <c r="H666" s="140"/>
      <c r="I666" s="58"/>
      <c r="J666" s="58"/>
      <c r="K666" s="58"/>
      <c r="L666" s="58"/>
      <c r="M666" s="135"/>
      <c r="N666" s="135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35"/>
      <c r="Z666" s="58"/>
      <c r="AA666" s="58"/>
      <c r="AB666" s="58"/>
      <c r="AC666" s="58"/>
      <c r="AD666" s="58"/>
      <c r="AE666" s="138"/>
      <c r="AF666" s="136"/>
      <c r="AG666" s="136"/>
      <c r="AH666" s="136"/>
    </row>
    <row r="667" spans="1:34" s="132" customFormat="1" ht="12.75" customHeight="1" x14ac:dyDescent="0.25">
      <c r="A667" s="137"/>
      <c r="B667" s="139"/>
      <c r="C667" s="136"/>
      <c r="D667" s="131"/>
      <c r="E667" s="131"/>
      <c r="F667" s="58"/>
      <c r="G667" s="140"/>
      <c r="H667" s="140"/>
      <c r="I667" s="58"/>
      <c r="J667" s="58"/>
      <c r="K667" s="58"/>
      <c r="L667" s="58"/>
      <c r="M667" s="135"/>
      <c r="N667" s="135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35"/>
      <c r="Z667" s="58"/>
      <c r="AA667" s="58"/>
      <c r="AB667" s="58"/>
      <c r="AC667" s="58"/>
      <c r="AD667" s="58"/>
      <c r="AE667" s="138"/>
      <c r="AF667" s="136"/>
      <c r="AG667" s="136"/>
      <c r="AH667" s="136"/>
    </row>
    <row r="668" spans="1:34" s="132" customFormat="1" ht="12.75" customHeight="1" x14ac:dyDescent="0.25">
      <c r="A668" s="137"/>
      <c r="B668" s="139"/>
      <c r="C668" s="136"/>
      <c r="D668" s="131"/>
      <c r="E668" s="131"/>
      <c r="F668" s="58"/>
      <c r="G668" s="140"/>
      <c r="H668" s="140"/>
      <c r="I668" s="58"/>
      <c r="J668" s="58"/>
      <c r="K668" s="58"/>
      <c r="L668" s="58"/>
      <c r="M668" s="135"/>
      <c r="N668" s="135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35"/>
      <c r="Z668" s="58"/>
      <c r="AA668" s="58"/>
      <c r="AB668" s="58"/>
      <c r="AC668" s="58"/>
      <c r="AD668" s="58"/>
      <c r="AE668" s="138"/>
      <c r="AF668" s="136"/>
      <c r="AG668" s="136"/>
      <c r="AH668" s="136"/>
    </row>
    <row r="669" spans="1:34" s="132" customFormat="1" ht="12.75" customHeight="1" x14ac:dyDescent="0.25">
      <c r="A669" s="137"/>
      <c r="B669" s="139"/>
      <c r="C669" s="136"/>
      <c r="D669" s="131"/>
      <c r="E669" s="131"/>
      <c r="F669" s="58"/>
      <c r="G669" s="140"/>
      <c r="H669" s="140"/>
      <c r="I669" s="58"/>
      <c r="J669" s="58"/>
      <c r="K669" s="58"/>
      <c r="L669" s="58"/>
      <c r="M669" s="135"/>
      <c r="N669" s="135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35"/>
      <c r="Z669" s="58"/>
      <c r="AA669" s="58"/>
      <c r="AB669" s="58"/>
      <c r="AC669" s="58"/>
      <c r="AD669" s="58"/>
      <c r="AE669" s="138"/>
      <c r="AF669" s="136"/>
      <c r="AG669" s="136"/>
      <c r="AH669" s="136"/>
    </row>
    <row r="670" spans="1:34" s="132" customFormat="1" ht="12.75" customHeight="1" x14ac:dyDescent="0.25">
      <c r="A670" s="137"/>
      <c r="B670" s="139"/>
      <c r="C670" s="136"/>
      <c r="D670" s="131"/>
      <c r="E670" s="131"/>
      <c r="F670" s="58"/>
      <c r="G670" s="140"/>
      <c r="H670" s="140"/>
      <c r="I670" s="58"/>
      <c r="J670" s="58"/>
      <c r="K670" s="58"/>
      <c r="L670" s="58"/>
      <c r="M670" s="135"/>
      <c r="N670" s="135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35"/>
      <c r="Z670" s="58"/>
      <c r="AA670" s="58"/>
      <c r="AB670" s="58"/>
      <c r="AC670" s="58"/>
      <c r="AD670" s="58"/>
      <c r="AE670" s="138"/>
      <c r="AF670" s="136"/>
      <c r="AG670" s="136"/>
      <c r="AH670" s="136"/>
    </row>
    <row r="671" spans="1:34" s="132" customFormat="1" ht="12.75" customHeight="1" x14ac:dyDescent="0.25">
      <c r="A671" s="137"/>
      <c r="B671" s="139"/>
      <c r="C671" s="136"/>
      <c r="D671" s="131"/>
      <c r="E671" s="131"/>
      <c r="F671" s="58"/>
      <c r="G671" s="140"/>
      <c r="H671" s="140"/>
      <c r="I671" s="58"/>
      <c r="J671" s="58"/>
      <c r="K671" s="58"/>
      <c r="L671" s="58"/>
      <c r="M671" s="135"/>
      <c r="N671" s="135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35"/>
      <c r="Z671" s="58"/>
      <c r="AA671" s="58"/>
      <c r="AB671" s="58"/>
      <c r="AC671" s="58"/>
      <c r="AD671" s="58"/>
      <c r="AE671" s="138"/>
      <c r="AF671" s="136"/>
      <c r="AG671" s="136"/>
      <c r="AH671" s="136"/>
    </row>
    <row r="672" spans="1:34" s="132" customFormat="1" ht="12.75" customHeight="1" x14ac:dyDescent="0.25">
      <c r="A672" s="137"/>
      <c r="B672" s="139"/>
      <c r="C672" s="136"/>
      <c r="D672" s="131"/>
      <c r="E672" s="131"/>
      <c r="F672" s="58"/>
      <c r="G672" s="140"/>
      <c r="H672" s="140"/>
      <c r="I672" s="58"/>
      <c r="J672" s="58"/>
      <c r="K672" s="58"/>
      <c r="L672" s="58"/>
      <c r="M672" s="135"/>
      <c r="N672" s="135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35"/>
      <c r="Z672" s="58"/>
      <c r="AA672" s="58"/>
      <c r="AB672" s="58"/>
      <c r="AC672" s="58"/>
      <c r="AD672" s="58"/>
      <c r="AE672" s="138"/>
      <c r="AF672" s="136"/>
      <c r="AG672" s="136"/>
      <c r="AH672" s="136"/>
    </row>
    <row r="673" spans="1:34" s="132" customFormat="1" ht="12.75" customHeight="1" x14ac:dyDescent="0.25">
      <c r="A673" s="137"/>
      <c r="B673" s="139"/>
      <c r="C673" s="136"/>
      <c r="D673" s="131"/>
      <c r="E673" s="131"/>
      <c r="F673" s="58"/>
      <c r="G673" s="140"/>
      <c r="H673" s="140"/>
      <c r="I673" s="58"/>
      <c r="J673" s="58"/>
      <c r="K673" s="58"/>
      <c r="L673" s="58"/>
      <c r="M673" s="135"/>
      <c r="N673" s="135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35"/>
      <c r="Z673" s="58"/>
      <c r="AA673" s="58"/>
      <c r="AB673" s="58"/>
      <c r="AC673" s="58"/>
      <c r="AD673" s="58"/>
      <c r="AE673" s="138"/>
      <c r="AF673" s="136"/>
      <c r="AG673" s="136"/>
      <c r="AH673" s="136"/>
    </row>
    <row r="674" spans="1:34" s="132" customFormat="1" ht="12.75" customHeight="1" x14ac:dyDescent="0.25">
      <c r="A674" s="137"/>
      <c r="B674" s="139"/>
      <c r="C674" s="136"/>
      <c r="D674" s="131"/>
      <c r="E674" s="131"/>
      <c r="F674" s="58"/>
      <c r="G674" s="140"/>
      <c r="H674" s="140"/>
      <c r="I674" s="58"/>
      <c r="J674" s="58"/>
      <c r="K674" s="58"/>
      <c r="L674" s="58"/>
      <c r="M674" s="135"/>
      <c r="N674" s="135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35"/>
      <c r="Z674" s="58"/>
      <c r="AA674" s="58"/>
      <c r="AB674" s="58"/>
      <c r="AC674" s="58"/>
      <c r="AD674" s="58"/>
      <c r="AE674" s="138"/>
      <c r="AF674" s="136"/>
      <c r="AG674" s="136"/>
      <c r="AH674" s="136"/>
    </row>
    <row r="675" spans="1:34" s="132" customFormat="1" ht="12.75" customHeight="1" x14ac:dyDescent="0.25">
      <c r="A675" s="137"/>
      <c r="B675" s="139"/>
      <c r="C675" s="136"/>
      <c r="D675" s="131"/>
      <c r="E675" s="131"/>
      <c r="F675" s="58"/>
      <c r="G675" s="140"/>
      <c r="H675" s="140"/>
      <c r="I675" s="58"/>
      <c r="J675" s="58"/>
      <c r="K675" s="58"/>
      <c r="L675" s="58"/>
      <c r="M675" s="135"/>
      <c r="N675" s="135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35"/>
      <c r="Z675" s="58"/>
      <c r="AA675" s="58"/>
      <c r="AB675" s="58"/>
      <c r="AC675" s="58"/>
      <c r="AD675" s="58"/>
      <c r="AE675" s="138"/>
      <c r="AF675" s="136"/>
      <c r="AG675" s="136"/>
      <c r="AH675" s="136"/>
    </row>
    <row r="676" spans="1:34" s="132" customFormat="1" ht="12.75" customHeight="1" x14ac:dyDescent="0.25">
      <c r="A676" s="137"/>
      <c r="B676" s="139"/>
      <c r="C676" s="136"/>
      <c r="D676" s="131"/>
      <c r="E676" s="131"/>
      <c r="F676" s="58"/>
      <c r="G676" s="140"/>
      <c r="H676" s="140"/>
      <c r="I676" s="58"/>
      <c r="J676" s="58"/>
      <c r="K676" s="58"/>
      <c r="L676" s="58"/>
      <c r="M676" s="135"/>
      <c r="N676" s="135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35"/>
      <c r="Z676" s="58"/>
      <c r="AA676" s="58"/>
      <c r="AB676" s="58"/>
      <c r="AC676" s="58"/>
      <c r="AD676" s="58"/>
      <c r="AE676" s="138"/>
      <c r="AF676" s="136"/>
      <c r="AG676" s="136"/>
      <c r="AH676" s="136"/>
    </row>
    <row r="677" spans="1:34" s="132" customFormat="1" ht="12.75" customHeight="1" x14ac:dyDescent="0.25">
      <c r="A677" s="137"/>
      <c r="B677" s="139"/>
      <c r="C677" s="136"/>
      <c r="D677" s="131"/>
      <c r="E677" s="131"/>
      <c r="F677" s="58"/>
      <c r="G677" s="140"/>
      <c r="H677" s="140"/>
      <c r="I677" s="58"/>
      <c r="J677" s="58"/>
      <c r="K677" s="58"/>
      <c r="L677" s="58"/>
      <c r="M677" s="135"/>
      <c r="N677" s="135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35"/>
      <c r="Z677" s="58"/>
      <c r="AA677" s="58"/>
      <c r="AB677" s="58"/>
      <c r="AC677" s="58"/>
      <c r="AD677" s="58"/>
      <c r="AE677" s="138"/>
      <c r="AF677" s="136"/>
      <c r="AG677" s="136"/>
      <c r="AH677" s="136"/>
    </row>
    <row r="678" spans="1:34" s="132" customFormat="1" ht="12.75" customHeight="1" x14ac:dyDescent="0.25">
      <c r="A678" s="137"/>
      <c r="B678" s="139"/>
      <c r="C678" s="136"/>
      <c r="D678" s="131"/>
      <c r="E678" s="131"/>
      <c r="F678" s="58"/>
      <c r="G678" s="140"/>
      <c r="H678" s="140"/>
      <c r="I678" s="58"/>
      <c r="J678" s="58"/>
      <c r="K678" s="58"/>
      <c r="L678" s="58"/>
      <c r="M678" s="135"/>
      <c r="N678" s="135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35"/>
      <c r="Z678" s="58"/>
      <c r="AA678" s="58"/>
      <c r="AB678" s="58"/>
      <c r="AC678" s="58"/>
      <c r="AD678" s="58"/>
      <c r="AE678" s="138"/>
      <c r="AF678" s="136"/>
      <c r="AG678" s="136"/>
      <c r="AH678" s="136"/>
    </row>
    <row r="679" spans="1:34" s="132" customFormat="1" ht="12.75" customHeight="1" x14ac:dyDescent="0.25">
      <c r="A679" s="137"/>
      <c r="B679" s="139"/>
      <c r="C679" s="136"/>
      <c r="D679" s="131"/>
      <c r="E679" s="131"/>
      <c r="F679" s="58"/>
      <c r="G679" s="140"/>
      <c r="H679" s="140"/>
      <c r="I679" s="58"/>
      <c r="J679" s="58"/>
      <c r="K679" s="58"/>
      <c r="L679" s="58"/>
      <c r="M679" s="135"/>
      <c r="N679" s="135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35"/>
      <c r="Z679" s="58"/>
      <c r="AA679" s="58"/>
      <c r="AB679" s="58"/>
      <c r="AC679" s="58"/>
      <c r="AD679" s="58"/>
      <c r="AE679" s="138"/>
      <c r="AF679" s="136"/>
      <c r="AG679" s="136"/>
      <c r="AH679" s="136"/>
    </row>
    <row r="680" spans="1:34" s="132" customFormat="1" ht="12.75" customHeight="1" x14ac:dyDescent="0.25">
      <c r="A680" s="137"/>
      <c r="B680" s="139"/>
      <c r="C680" s="136"/>
      <c r="D680" s="131"/>
      <c r="E680" s="131"/>
      <c r="F680" s="58"/>
      <c r="G680" s="140"/>
      <c r="H680" s="140"/>
      <c r="I680" s="58"/>
      <c r="J680" s="58"/>
      <c r="K680" s="58"/>
      <c r="L680" s="58"/>
      <c r="M680" s="135"/>
      <c r="N680" s="135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35"/>
      <c r="Z680" s="58"/>
      <c r="AA680" s="58"/>
      <c r="AB680" s="58"/>
      <c r="AC680" s="58"/>
      <c r="AD680" s="58"/>
      <c r="AE680" s="138"/>
      <c r="AF680" s="136"/>
      <c r="AG680" s="136"/>
      <c r="AH680" s="136"/>
    </row>
    <row r="681" spans="1:34" s="132" customFormat="1" ht="12.75" customHeight="1" x14ac:dyDescent="0.25">
      <c r="A681" s="137"/>
      <c r="B681" s="139"/>
      <c r="C681" s="136"/>
      <c r="D681" s="131"/>
      <c r="E681" s="131"/>
      <c r="F681" s="58"/>
      <c r="G681" s="140"/>
      <c r="H681" s="140"/>
      <c r="I681" s="58"/>
      <c r="J681" s="58"/>
      <c r="K681" s="58"/>
      <c r="L681" s="58"/>
      <c r="M681" s="135"/>
      <c r="N681" s="135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35"/>
      <c r="Z681" s="58"/>
      <c r="AA681" s="58"/>
      <c r="AB681" s="58"/>
      <c r="AC681" s="58"/>
      <c r="AD681" s="58"/>
      <c r="AE681" s="138"/>
      <c r="AF681" s="136"/>
      <c r="AG681" s="136"/>
      <c r="AH681" s="136"/>
    </row>
    <row r="682" spans="1:34" s="132" customFormat="1" ht="12.75" customHeight="1" x14ac:dyDescent="0.25">
      <c r="A682" s="137"/>
      <c r="B682" s="139"/>
      <c r="C682" s="136"/>
      <c r="D682" s="131"/>
      <c r="E682" s="131"/>
      <c r="F682" s="58"/>
      <c r="G682" s="140"/>
      <c r="H682" s="140"/>
      <c r="I682" s="58"/>
      <c r="J682" s="58"/>
      <c r="K682" s="58"/>
      <c r="L682" s="58"/>
      <c r="M682" s="135"/>
      <c r="N682" s="135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35"/>
      <c r="Z682" s="58"/>
      <c r="AA682" s="58"/>
      <c r="AB682" s="58"/>
      <c r="AC682" s="58"/>
      <c r="AD682" s="58"/>
      <c r="AE682" s="138"/>
      <c r="AF682" s="136"/>
      <c r="AG682" s="136"/>
      <c r="AH682" s="136"/>
    </row>
    <row r="683" spans="1:34" s="132" customFormat="1" ht="12.75" customHeight="1" x14ac:dyDescent="0.25">
      <c r="A683" s="137"/>
      <c r="B683" s="139"/>
      <c r="C683" s="136"/>
      <c r="D683" s="131"/>
      <c r="E683" s="131"/>
      <c r="F683" s="58"/>
      <c r="G683" s="140"/>
      <c r="H683" s="140"/>
      <c r="I683" s="58"/>
      <c r="J683" s="58"/>
      <c r="K683" s="58"/>
      <c r="L683" s="58"/>
      <c r="M683" s="135"/>
      <c r="N683" s="135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35"/>
      <c r="Z683" s="58"/>
      <c r="AA683" s="58"/>
      <c r="AB683" s="58"/>
      <c r="AC683" s="58"/>
      <c r="AD683" s="58"/>
      <c r="AE683" s="138"/>
      <c r="AF683" s="136"/>
      <c r="AG683" s="136"/>
      <c r="AH683" s="136"/>
    </row>
    <row r="684" spans="1:34" s="132" customFormat="1" ht="12.75" customHeight="1" x14ac:dyDescent="0.25">
      <c r="A684" s="137"/>
      <c r="B684" s="139"/>
      <c r="C684" s="136"/>
      <c r="D684" s="131"/>
      <c r="E684" s="131"/>
      <c r="F684" s="58"/>
      <c r="G684" s="140"/>
      <c r="H684" s="140"/>
      <c r="I684" s="58"/>
      <c r="J684" s="58"/>
      <c r="K684" s="58"/>
      <c r="L684" s="58"/>
      <c r="M684" s="135"/>
      <c r="N684" s="135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35"/>
      <c r="Z684" s="58"/>
      <c r="AA684" s="58"/>
      <c r="AB684" s="58"/>
      <c r="AC684" s="58"/>
      <c r="AD684" s="58"/>
      <c r="AE684" s="138"/>
      <c r="AF684" s="136"/>
      <c r="AG684" s="136"/>
      <c r="AH684" s="136"/>
    </row>
    <row r="685" spans="1:34" s="132" customFormat="1" ht="12.75" customHeight="1" x14ac:dyDescent="0.25">
      <c r="A685" s="137"/>
      <c r="B685" s="139"/>
      <c r="C685" s="136"/>
      <c r="D685" s="131"/>
      <c r="E685" s="131"/>
      <c r="F685" s="58"/>
      <c r="G685" s="140"/>
      <c r="H685" s="140"/>
      <c r="I685" s="58"/>
      <c r="J685" s="58"/>
      <c r="K685" s="58"/>
      <c r="L685" s="58"/>
      <c r="M685" s="135"/>
      <c r="N685" s="135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35"/>
      <c r="Z685" s="58"/>
      <c r="AA685" s="58"/>
      <c r="AB685" s="58"/>
      <c r="AC685" s="58"/>
      <c r="AD685" s="58"/>
      <c r="AE685" s="138"/>
      <c r="AF685" s="136"/>
      <c r="AG685" s="136"/>
      <c r="AH685" s="136"/>
    </row>
    <row r="686" spans="1:34" s="132" customFormat="1" ht="12.75" customHeight="1" x14ac:dyDescent="0.25">
      <c r="A686" s="137"/>
      <c r="B686" s="139"/>
      <c r="C686" s="136"/>
      <c r="D686" s="131"/>
      <c r="E686" s="131"/>
      <c r="F686" s="58"/>
      <c r="G686" s="140"/>
      <c r="H686" s="140"/>
      <c r="I686" s="58"/>
      <c r="J686" s="58"/>
      <c r="K686" s="58"/>
      <c r="L686" s="58"/>
      <c r="M686" s="135"/>
      <c r="N686" s="135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35"/>
      <c r="Z686" s="58"/>
      <c r="AA686" s="58"/>
      <c r="AB686" s="58"/>
      <c r="AC686" s="58"/>
      <c r="AD686" s="58"/>
      <c r="AE686" s="138"/>
      <c r="AF686" s="136"/>
      <c r="AG686" s="136"/>
      <c r="AH686" s="136"/>
    </row>
    <row r="687" spans="1:34" s="132" customFormat="1" ht="12.75" customHeight="1" x14ac:dyDescent="0.25">
      <c r="A687" s="137"/>
      <c r="B687" s="139"/>
      <c r="C687" s="136"/>
      <c r="D687" s="131"/>
      <c r="E687" s="131"/>
      <c r="F687" s="58"/>
      <c r="G687" s="140"/>
      <c r="H687" s="140"/>
      <c r="I687" s="58"/>
      <c r="J687" s="58"/>
      <c r="K687" s="58"/>
      <c r="L687" s="58"/>
      <c r="M687" s="135"/>
      <c r="N687" s="135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35"/>
      <c r="Z687" s="58"/>
      <c r="AA687" s="58"/>
      <c r="AB687" s="58"/>
      <c r="AC687" s="58"/>
      <c r="AD687" s="58"/>
      <c r="AE687" s="138"/>
      <c r="AF687" s="136"/>
      <c r="AG687" s="136"/>
      <c r="AH687" s="136"/>
    </row>
    <row r="688" spans="1:34" s="132" customFormat="1" ht="12.75" customHeight="1" x14ac:dyDescent="0.25">
      <c r="A688" s="137"/>
      <c r="B688" s="139"/>
      <c r="C688" s="136"/>
      <c r="D688" s="131"/>
      <c r="E688" s="131"/>
      <c r="F688" s="58"/>
      <c r="G688" s="140"/>
      <c r="H688" s="140"/>
      <c r="I688" s="58"/>
      <c r="J688" s="58"/>
      <c r="K688" s="58"/>
      <c r="L688" s="58"/>
      <c r="M688" s="135"/>
      <c r="N688" s="135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35"/>
      <c r="Z688" s="58"/>
      <c r="AA688" s="58"/>
      <c r="AB688" s="58"/>
      <c r="AC688" s="58"/>
      <c r="AD688" s="58"/>
      <c r="AE688" s="138"/>
      <c r="AF688" s="136"/>
      <c r="AG688" s="136"/>
      <c r="AH688" s="136"/>
    </row>
    <row r="689" spans="1:34" s="132" customFormat="1" ht="12.75" customHeight="1" x14ac:dyDescent="0.25">
      <c r="A689" s="137"/>
      <c r="B689" s="139"/>
      <c r="C689" s="136"/>
      <c r="D689" s="131"/>
      <c r="E689" s="131"/>
      <c r="F689" s="58"/>
      <c r="G689" s="140"/>
      <c r="H689" s="140"/>
      <c r="I689" s="58"/>
      <c r="J689" s="58"/>
      <c r="K689" s="58"/>
      <c r="L689" s="58"/>
      <c r="M689" s="135"/>
      <c r="N689" s="135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35"/>
      <c r="Z689" s="58"/>
      <c r="AA689" s="58"/>
      <c r="AB689" s="58"/>
      <c r="AC689" s="58"/>
      <c r="AD689" s="58"/>
      <c r="AE689" s="138"/>
      <c r="AF689" s="136"/>
      <c r="AG689" s="136"/>
      <c r="AH689" s="136"/>
    </row>
    <row r="690" spans="1:34" s="132" customFormat="1" ht="12.75" customHeight="1" x14ac:dyDescent="0.25">
      <c r="A690" s="137"/>
      <c r="B690" s="139"/>
      <c r="C690" s="136"/>
      <c r="D690" s="131"/>
      <c r="E690" s="131"/>
      <c r="F690" s="58"/>
      <c r="G690" s="140"/>
      <c r="H690" s="140"/>
      <c r="I690" s="58"/>
      <c r="J690" s="58"/>
      <c r="K690" s="58"/>
      <c r="L690" s="58"/>
      <c r="M690" s="135"/>
      <c r="N690" s="135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35"/>
      <c r="Z690" s="58"/>
      <c r="AA690" s="58"/>
      <c r="AB690" s="58"/>
      <c r="AC690" s="58"/>
      <c r="AD690" s="58"/>
      <c r="AE690" s="138"/>
      <c r="AF690" s="136"/>
      <c r="AG690" s="136"/>
      <c r="AH690" s="136"/>
    </row>
    <row r="691" spans="1:34" s="132" customFormat="1" ht="12.75" customHeight="1" x14ac:dyDescent="0.25">
      <c r="A691" s="137"/>
      <c r="B691" s="139"/>
      <c r="C691" s="136"/>
      <c r="D691" s="131"/>
      <c r="E691" s="131"/>
      <c r="F691" s="58"/>
      <c r="G691" s="140"/>
      <c r="H691" s="140"/>
      <c r="I691" s="58"/>
      <c r="J691" s="58"/>
      <c r="K691" s="58"/>
      <c r="L691" s="58"/>
      <c r="M691" s="135"/>
      <c r="N691" s="135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35"/>
      <c r="Z691" s="58"/>
      <c r="AA691" s="58"/>
      <c r="AB691" s="58"/>
      <c r="AC691" s="58"/>
      <c r="AD691" s="58"/>
      <c r="AE691" s="138"/>
      <c r="AF691" s="136"/>
      <c r="AG691" s="136"/>
      <c r="AH691" s="136"/>
    </row>
    <row r="692" spans="1:34" s="132" customFormat="1" ht="12.75" customHeight="1" x14ac:dyDescent="0.25">
      <c r="A692" s="137"/>
      <c r="B692" s="139"/>
      <c r="C692" s="136"/>
      <c r="D692" s="131"/>
      <c r="E692" s="131"/>
      <c r="F692" s="58"/>
      <c r="G692" s="140"/>
      <c r="H692" s="140"/>
      <c r="I692" s="58"/>
      <c r="J692" s="58"/>
      <c r="K692" s="58"/>
      <c r="L692" s="58"/>
      <c r="M692" s="135"/>
      <c r="N692" s="135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35"/>
      <c r="Z692" s="58"/>
      <c r="AA692" s="58"/>
      <c r="AB692" s="58"/>
      <c r="AC692" s="58"/>
      <c r="AD692" s="58"/>
      <c r="AE692" s="138"/>
      <c r="AF692" s="136"/>
      <c r="AG692" s="136"/>
      <c r="AH692" s="136"/>
    </row>
    <row r="693" spans="1:34" s="132" customFormat="1" ht="12.75" customHeight="1" x14ac:dyDescent="0.25">
      <c r="A693" s="137"/>
      <c r="B693" s="139"/>
      <c r="C693" s="136"/>
      <c r="D693" s="131"/>
      <c r="E693" s="131"/>
      <c r="F693" s="58"/>
      <c r="G693" s="140"/>
      <c r="H693" s="140"/>
      <c r="I693" s="58"/>
      <c r="J693" s="58"/>
      <c r="K693" s="58"/>
      <c r="L693" s="58"/>
      <c r="M693" s="135"/>
      <c r="N693" s="135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35"/>
      <c r="Z693" s="58"/>
      <c r="AA693" s="58"/>
      <c r="AB693" s="58"/>
      <c r="AC693" s="58"/>
      <c r="AD693" s="58"/>
      <c r="AE693" s="138"/>
      <c r="AF693" s="136"/>
      <c r="AG693" s="136"/>
      <c r="AH693" s="136"/>
    </row>
    <row r="694" spans="1:34" s="132" customFormat="1" ht="12.75" customHeight="1" x14ac:dyDescent="0.25">
      <c r="A694" s="137"/>
      <c r="B694" s="139"/>
      <c r="C694" s="136"/>
      <c r="D694" s="131"/>
      <c r="E694" s="131"/>
      <c r="F694" s="58"/>
      <c r="G694" s="140"/>
      <c r="H694" s="140"/>
      <c r="I694" s="58"/>
      <c r="J694" s="58"/>
      <c r="K694" s="58"/>
      <c r="L694" s="58"/>
      <c r="M694" s="135"/>
      <c r="N694" s="135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35"/>
      <c r="Z694" s="58"/>
      <c r="AA694" s="58"/>
      <c r="AB694" s="58"/>
      <c r="AC694" s="58"/>
      <c r="AD694" s="58"/>
      <c r="AE694" s="138"/>
      <c r="AF694" s="136"/>
      <c r="AG694" s="136"/>
      <c r="AH694" s="136"/>
    </row>
    <row r="695" spans="1:34" s="132" customFormat="1" ht="12.75" customHeight="1" x14ac:dyDescent="0.25">
      <c r="A695" s="137"/>
      <c r="B695" s="139"/>
      <c r="C695" s="136"/>
      <c r="D695" s="131"/>
      <c r="E695" s="131"/>
      <c r="F695" s="58"/>
      <c r="G695" s="140"/>
      <c r="H695" s="140"/>
      <c r="I695" s="58"/>
      <c r="J695" s="58"/>
      <c r="K695" s="58"/>
      <c r="L695" s="58"/>
      <c r="M695" s="135"/>
      <c r="N695" s="135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35"/>
      <c r="Z695" s="58"/>
      <c r="AA695" s="58"/>
      <c r="AB695" s="58"/>
      <c r="AC695" s="58"/>
      <c r="AD695" s="58"/>
      <c r="AE695" s="138"/>
      <c r="AF695" s="136"/>
      <c r="AG695" s="136"/>
      <c r="AH695" s="136"/>
    </row>
    <row r="696" spans="1:34" s="132" customFormat="1" ht="12.75" customHeight="1" x14ac:dyDescent="0.25">
      <c r="A696" s="137"/>
      <c r="B696" s="139"/>
      <c r="C696" s="136"/>
      <c r="D696" s="131"/>
      <c r="E696" s="131"/>
      <c r="F696" s="58"/>
      <c r="G696" s="140"/>
      <c r="H696" s="140"/>
      <c r="I696" s="58"/>
      <c r="J696" s="58"/>
      <c r="K696" s="58"/>
      <c r="L696" s="58"/>
      <c r="M696" s="135"/>
      <c r="N696" s="135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35"/>
      <c r="Z696" s="58"/>
      <c r="AA696" s="58"/>
      <c r="AB696" s="58"/>
      <c r="AC696" s="58"/>
      <c r="AD696" s="58"/>
      <c r="AE696" s="138"/>
      <c r="AF696" s="136"/>
      <c r="AG696" s="136"/>
      <c r="AH696" s="136"/>
    </row>
    <row r="697" spans="1:34" s="132" customFormat="1" ht="12.75" customHeight="1" x14ac:dyDescent="0.25">
      <c r="A697" s="137"/>
      <c r="B697" s="139"/>
      <c r="C697" s="136"/>
      <c r="D697" s="131"/>
      <c r="E697" s="131"/>
      <c r="F697" s="58"/>
      <c r="G697" s="140"/>
      <c r="H697" s="140"/>
      <c r="I697" s="58"/>
      <c r="J697" s="58"/>
      <c r="K697" s="58"/>
      <c r="L697" s="58"/>
      <c r="M697" s="135"/>
      <c r="N697" s="135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35"/>
      <c r="Z697" s="58"/>
      <c r="AA697" s="58"/>
      <c r="AB697" s="58"/>
      <c r="AC697" s="58"/>
      <c r="AD697" s="58"/>
      <c r="AE697" s="138"/>
      <c r="AF697" s="136"/>
      <c r="AG697" s="136"/>
      <c r="AH697" s="136"/>
    </row>
    <row r="698" spans="1:34" s="132" customFormat="1" ht="12.75" customHeight="1" x14ac:dyDescent="0.25">
      <c r="A698" s="137"/>
      <c r="B698" s="139"/>
      <c r="C698" s="136"/>
      <c r="D698" s="131"/>
      <c r="E698" s="131"/>
      <c r="F698" s="58"/>
      <c r="G698" s="140"/>
      <c r="H698" s="140"/>
      <c r="I698" s="58"/>
      <c r="J698" s="58"/>
      <c r="K698" s="58"/>
      <c r="L698" s="58"/>
      <c r="M698" s="135"/>
      <c r="N698" s="135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35"/>
      <c r="Z698" s="58"/>
      <c r="AA698" s="58"/>
      <c r="AB698" s="58"/>
      <c r="AC698" s="58"/>
      <c r="AD698" s="58"/>
      <c r="AE698" s="138"/>
      <c r="AF698" s="136"/>
      <c r="AG698" s="136"/>
      <c r="AH698" s="136"/>
    </row>
    <row r="699" spans="1:34" s="132" customFormat="1" ht="12.75" customHeight="1" x14ac:dyDescent="0.25">
      <c r="A699" s="137"/>
      <c r="B699" s="139"/>
      <c r="C699" s="136"/>
      <c r="D699" s="131"/>
      <c r="E699" s="131"/>
      <c r="F699" s="58"/>
      <c r="G699" s="140"/>
      <c r="H699" s="140"/>
      <c r="I699" s="58"/>
      <c r="J699" s="58"/>
      <c r="K699" s="58"/>
      <c r="L699" s="58"/>
      <c r="M699" s="135"/>
      <c r="N699" s="135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35"/>
      <c r="Z699" s="58"/>
      <c r="AA699" s="58"/>
      <c r="AB699" s="58"/>
      <c r="AC699" s="58"/>
      <c r="AD699" s="58"/>
      <c r="AE699" s="138"/>
      <c r="AF699" s="136"/>
      <c r="AG699" s="136"/>
      <c r="AH699" s="136"/>
    </row>
    <row r="700" spans="1:34" s="132" customFormat="1" ht="12.75" customHeight="1" x14ac:dyDescent="0.25">
      <c r="A700" s="137"/>
      <c r="B700" s="139"/>
      <c r="C700" s="136"/>
      <c r="D700" s="131"/>
      <c r="E700" s="131"/>
      <c r="F700" s="58"/>
      <c r="G700" s="140"/>
      <c r="H700" s="140"/>
      <c r="I700" s="58"/>
      <c r="J700" s="58"/>
      <c r="K700" s="58"/>
      <c r="L700" s="58"/>
      <c r="M700" s="135"/>
      <c r="N700" s="135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35"/>
      <c r="Z700" s="58"/>
      <c r="AA700" s="58"/>
      <c r="AB700" s="58"/>
      <c r="AC700" s="58"/>
      <c r="AD700" s="58"/>
      <c r="AE700" s="138"/>
      <c r="AF700" s="136"/>
      <c r="AG700" s="136"/>
      <c r="AH700" s="136"/>
    </row>
    <row r="701" spans="1:34" s="132" customFormat="1" ht="12.75" customHeight="1" x14ac:dyDescent="0.25">
      <c r="A701" s="137"/>
      <c r="B701" s="139"/>
      <c r="C701" s="136"/>
      <c r="D701" s="131"/>
      <c r="E701" s="131"/>
      <c r="F701" s="58"/>
      <c r="G701" s="140"/>
      <c r="H701" s="140"/>
      <c r="I701" s="58"/>
      <c r="J701" s="58"/>
      <c r="K701" s="58"/>
      <c r="L701" s="58"/>
      <c r="M701" s="135"/>
      <c r="N701" s="135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35"/>
      <c r="Z701" s="58"/>
      <c r="AA701" s="58"/>
      <c r="AB701" s="58"/>
      <c r="AC701" s="58"/>
      <c r="AD701" s="58"/>
      <c r="AE701" s="138"/>
      <c r="AF701" s="136"/>
      <c r="AG701" s="136"/>
      <c r="AH701" s="136"/>
    </row>
    <row r="702" spans="1:34" s="132" customFormat="1" ht="12.75" customHeight="1" x14ac:dyDescent="0.25">
      <c r="A702" s="137"/>
      <c r="B702" s="139"/>
      <c r="C702" s="136"/>
      <c r="D702" s="131"/>
      <c r="E702" s="131"/>
      <c r="F702" s="58"/>
      <c r="G702" s="140"/>
      <c r="H702" s="140"/>
      <c r="I702" s="58"/>
      <c r="J702" s="58"/>
      <c r="K702" s="58"/>
      <c r="L702" s="58"/>
      <c r="M702" s="135"/>
      <c r="N702" s="135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35"/>
      <c r="Z702" s="58"/>
      <c r="AA702" s="58"/>
      <c r="AB702" s="58"/>
      <c r="AC702" s="58"/>
      <c r="AD702" s="58"/>
      <c r="AE702" s="138"/>
      <c r="AF702" s="136"/>
      <c r="AG702" s="136"/>
      <c r="AH702" s="136"/>
    </row>
    <row r="703" spans="1:34" s="132" customFormat="1" ht="12.75" customHeight="1" x14ac:dyDescent="0.25">
      <c r="A703" s="137"/>
      <c r="B703" s="139"/>
      <c r="C703" s="136"/>
      <c r="D703" s="131"/>
      <c r="E703" s="131"/>
      <c r="F703" s="58"/>
      <c r="G703" s="140"/>
      <c r="H703" s="140"/>
      <c r="I703" s="58"/>
      <c r="J703" s="58"/>
      <c r="K703" s="58"/>
      <c r="L703" s="58"/>
      <c r="M703" s="135"/>
      <c r="N703" s="135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35"/>
      <c r="Z703" s="58"/>
      <c r="AA703" s="58"/>
      <c r="AB703" s="58"/>
      <c r="AC703" s="58"/>
      <c r="AD703" s="58"/>
      <c r="AE703" s="138"/>
      <c r="AF703" s="136"/>
      <c r="AG703" s="136"/>
      <c r="AH703" s="136"/>
    </row>
    <row r="704" spans="1:34" s="132" customFormat="1" ht="12.75" customHeight="1" x14ac:dyDescent="0.25">
      <c r="A704" s="137"/>
      <c r="B704" s="139"/>
      <c r="C704" s="136"/>
      <c r="D704" s="131"/>
      <c r="E704" s="131"/>
      <c r="F704" s="58"/>
      <c r="G704" s="140"/>
      <c r="H704" s="140"/>
      <c r="I704" s="58"/>
      <c r="J704" s="58"/>
      <c r="K704" s="58"/>
      <c r="L704" s="58"/>
      <c r="M704" s="135"/>
      <c r="N704" s="135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35"/>
      <c r="Z704" s="58"/>
      <c r="AA704" s="58"/>
      <c r="AB704" s="58"/>
      <c r="AC704" s="58"/>
      <c r="AD704" s="58"/>
      <c r="AE704" s="138"/>
      <c r="AF704" s="136"/>
      <c r="AG704" s="136"/>
      <c r="AH704" s="136"/>
    </row>
    <row r="705" spans="1:34" s="132" customFormat="1" ht="12.75" customHeight="1" x14ac:dyDescent="0.25">
      <c r="A705" s="137"/>
      <c r="B705" s="139"/>
      <c r="C705" s="136"/>
      <c r="D705" s="131"/>
      <c r="E705" s="131"/>
      <c r="F705" s="58"/>
      <c r="G705" s="140"/>
      <c r="H705" s="140"/>
      <c r="I705" s="58"/>
      <c r="J705" s="58"/>
      <c r="K705" s="58"/>
      <c r="L705" s="58"/>
      <c r="M705" s="135"/>
      <c r="N705" s="135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35"/>
      <c r="Z705" s="58"/>
      <c r="AA705" s="58"/>
      <c r="AB705" s="58"/>
      <c r="AC705" s="58"/>
      <c r="AD705" s="58"/>
      <c r="AE705" s="138"/>
      <c r="AF705" s="136"/>
      <c r="AG705" s="136"/>
      <c r="AH705" s="136"/>
    </row>
    <row r="706" spans="1:34" s="132" customFormat="1" ht="12.75" customHeight="1" x14ac:dyDescent="0.25">
      <c r="A706" s="137"/>
      <c r="B706" s="139"/>
      <c r="C706" s="136"/>
      <c r="D706" s="131"/>
      <c r="E706" s="131"/>
      <c r="F706" s="58"/>
      <c r="G706" s="140"/>
      <c r="H706" s="140"/>
      <c r="I706" s="58"/>
      <c r="J706" s="58"/>
      <c r="K706" s="58"/>
      <c r="L706" s="58"/>
      <c r="M706" s="135"/>
      <c r="N706" s="135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35"/>
      <c r="Z706" s="58"/>
      <c r="AA706" s="58"/>
      <c r="AB706" s="58"/>
      <c r="AC706" s="58"/>
      <c r="AD706" s="58"/>
      <c r="AE706" s="138"/>
      <c r="AF706" s="136"/>
      <c r="AG706" s="136"/>
      <c r="AH706" s="136"/>
    </row>
    <row r="707" spans="1:34" s="132" customFormat="1" ht="12.75" customHeight="1" x14ac:dyDescent="0.25">
      <c r="A707" s="137"/>
      <c r="B707" s="139"/>
      <c r="C707" s="136"/>
      <c r="D707" s="131"/>
      <c r="E707" s="131"/>
      <c r="F707" s="58"/>
      <c r="G707" s="140"/>
      <c r="H707" s="140"/>
      <c r="I707" s="58"/>
      <c r="J707" s="58"/>
      <c r="K707" s="58"/>
      <c r="L707" s="58"/>
      <c r="M707" s="135"/>
      <c r="N707" s="135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35"/>
      <c r="Z707" s="58"/>
      <c r="AA707" s="58"/>
      <c r="AB707" s="58"/>
      <c r="AC707" s="58"/>
      <c r="AD707" s="58"/>
      <c r="AE707" s="138"/>
      <c r="AF707" s="136"/>
      <c r="AG707" s="136"/>
      <c r="AH707" s="136"/>
    </row>
    <row r="708" spans="1:34" s="132" customFormat="1" ht="12.75" customHeight="1" x14ac:dyDescent="0.25">
      <c r="A708" s="137"/>
      <c r="B708" s="139"/>
      <c r="C708" s="136"/>
      <c r="D708" s="131"/>
      <c r="E708" s="131"/>
      <c r="F708" s="58"/>
      <c r="G708" s="140"/>
      <c r="H708" s="140"/>
      <c r="I708" s="58"/>
      <c r="J708" s="58"/>
      <c r="K708" s="58"/>
      <c r="L708" s="58"/>
      <c r="M708" s="135"/>
      <c r="N708" s="135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35"/>
      <c r="Z708" s="58"/>
      <c r="AA708" s="58"/>
      <c r="AB708" s="58"/>
      <c r="AC708" s="58"/>
      <c r="AD708" s="58"/>
      <c r="AE708" s="138"/>
      <c r="AF708" s="136"/>
      <c r="AG708" s="136"/>
      <c r="AH708" s="136"/>
    </row>
    <row r="709" spans="1:34" s="132" customFormat="1" ht="12.75" customHeight="1" x14ac:dyDescent="0.25">
      <c r="A709" s="137"/>
      <c r="B709" s="139"/>
      <c r="C709" s="136"/>
      <c r="D709" s="131"/>
      <c r="E709" s="131"/>
      <c r="F709" s="58"/>
      <c r="G709" s="140"/>
      <c r="H709" s="140"/>
      <c r="I709" s="58"/>
      <c r="J709" s="58"/>
      <c r="K709" s="58"/>
      <c r="L709" s="58"/>
      <c r="M709" s="135"/>
      <c r="N709" s="135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35"/>
      <c r="Z709" s="58"/>
      <c r="AA709" s="58"/>
      <c r="AB709" s="58"/>
      <c r="AC709" s="58"/>
      <c r="AD709" s="58"/>
      <c r="AE709" s="138"/>
      <c r="AF709" s="136"/>
      <c r="AG709" s="136"/>
      <c r="AH709" s="136"/>
    </row>
    <row r="710" spans="1:34" s="132" customFormat="1" ht="12.75" customHeight="1" x14ac:dyDescent="0.25">
      <c r="A710" s="137"/>
      <c r="B710" s="139"/>
      <c r="C710" s="136"/>
      <c r="D710" s="131"/>
      <c r="E710" s="131"/>
      <c r="F710" s="58"/>
      <c r="G710" s="140"/>
      <c r="H710" s="140"/>
      <c r="I710" s="58"/>
      <c r="J710" s="58"/>
      <c r="K710" s="58"/>
      <c r="L710" s="58"/>
      <c r="M710" s="135"/>
      <c r="N710" s="135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35"/>
      <c r="Z710" s="58"/>
      <c r="AA710" s="58"/>
      <c r="AB710" s="58"/>
      <c r="AC710" s="58"/>
      <c r="AD710" s="58"/>
      <c r="AE710" s="138"/>
      <c r="AF710" s="136"/>
      <c r="AG710" s="136"/>
      <c r="AH710" s="136"/>
    </row>
    <row r="711" spans="1:34" s="132" customFormat="1" ht="12.75" customHeight="1" x14ac:dyDescent="0.25">
      <c r="A711" s="137"/>
      <c r="B711" s="139"/>
      <c r="C711" s="136"/>
      <c r="D711" s="131"/>
      <c r="E711" s="131"/>
      <c r="F711" s="58"/>
      <c r="G711" s="140"/>
      <c r="H711" s="140"/>
      <c r="I711" s="58"/>
      <c r="J711" s="58"/>
      <c r="K711" s="58"/>
      <c r="L711" s="58"/>
      <c r="M711" s="135"/>
      <c r="N711" s="135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35"/>
      <c r="Z711" s="58"/>
      <c r="AA711" s="58"/>
      <c r="AB711" s="58"/>
      <c r="AC711" s="58"/>
      <c r="AD711" s="58"/>
      <c r="AE711" s="138"/>
      <c r="AF711" s="136"/>
      <c r="AG711" s="136"/>
      <c r="AH711" s="136"/>
    </row>
    <row r="712" spans="1:34" s="132" customFormat="1" ht="12.75" customHeight="1" x14ac:dyDescent="0.25">
      <c r="A712" s="137"/>
      <c r="B712" s="139"/>
      <c r="C712" s="136"/>
      <c r="D712" s="131"/>
      <c r="E712" s="131"/>
      <c r="F712" s="58"/>
      <c r="G712" s="140"/>
      <c r="H712" s="140"/>
      <c r="I712" s="58"/>
      <c r="J712" s="58"/>
      <c r="K712" s="58"/>
      <c r="L712" s="58"/>
      <c r="M712" s="135"/>
      <c r="N712" s="135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35"/>
      <c r="Z712" s="58"/>
      <c r="AA712" s="58"/>
      <c r="AB712" s="58"/>
      <c r="AC712" s="58"/>
      <c r="AD712" s="58"/>
      <c r="AE712" s="138"/>
      <c r="AF712" s="136"/>
      <c r="AG712" s="136"/>
      <c r="AH712" s="136"/>
    </row>
    <row r="713" spans="1:34" s="132" customFormat="1" ht="12.75" customHeight="1" x14ac:dyDescent="0.25">
      <c r="A713" s="137"/>
      <c r="B713" s="139"/>
      <c r="C713" s="136"/>
      <c r="D713" s="131"/>
      <c r="E713" s="131"/>
      <c r="F713" s="58"/>
      <c r="G713" s="140"/>
      <c r="H713" s="140"/>
      <c r="I713" s="58"/>
      <c r="J713" s="58"/>
      <c r="K713" s="58"/>
      <c r="L713" s="58"/>
      <c r="M713" s="135"/>
      <c r="N713" s="135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35"/>
      <c r="Z713" s="58"/>
      <c r="AA713" s="58"/>
      <c r="AB713" s="58"/>
      <c r="AC713" s="58"/>
      <c r="AD713" s="58"/>
      <c r="AE713" s="138"/>
      <c r="AF713" s="136"/>
      <c r="AG713" s="136"/>
      <c r="AH713" s="136"/>
    </row>
    <row r="714" spans="1:34" s="132" customFormat="1" ht="12.75" customHeight="1" x14ac:dyDescent="0.25">
      <c r="A714" s="137"/>
      <c r="B714" s="139"/>
      <c r="C714" s="136"/>
      <c r="D714" s="131"/>
      <c r="E714" s="131"/>
      <c r="F714" s="58"/>
      <c r="G714" s="140"/>
      <c r="H714" s="140"/>
      <c r="I714" s="58"/>
      <c r="J714" s="58"/>
      <c r="K714" s="58"/>
      <c r="L714" s="58"/>
      <c r="M714" s="135"/>
      <c r="N714" s="135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35"/>
      <c r="Z714" s="58"/>
      <c r="AA714" s="58"/>
      <c r="AB714" s="58"/>
      <c r="AC714" s="58"/>
      <c r="AD714" s="58"/>
      <c r="AE714" s="138"/>
      <c r="AF714" s="136"/>
      <c r="AG714" s="136"/>
      <c r="AH714" s="136"/>
    </row>
    <row r="715" spans="1:34" s="132" customFormat="1" ht="12.75" customHeight="1" x14ac:dyDescent="0.25">
      <c r="A715" s="137"/>
      <c r="B715" s="139"/>
      <c r="C715" s="136"/>
      <c r="D715" s="131"/>
      <c r="E715" s="131"/>
      <c r="F715" s="58"/>
      <c r="G715" s="140"/>
      <c r="H715" s="140"/>
      <c r="I715" s="58"/>
      <c r="J715" s="58"/>
      <c r="K715" s="58"/>
      <c r="L715" s="58"/>
      <c r="M715" s="135"/>
      <c r="N715" s="135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35"/>
      <c r="Z715" s="58"/>
      <c r="AA715" s="58"/>
      <c r="AB715" s="58"/>
      <c r="AC715" s="58"/>
      <c r="AD715" s="58"/>
      <c r="AE715" s="138"/>
      <c r="AF715" s="136"/>
      <c r="AG715" s="136"/>
      <c r="AH715" s="136"/>
    </row>
    <row r="716" spans="1:34" s="132" customFormat="1" ht="12.75" customHeight="1" x14ac:dyDescent="0.25">
      <c r="A716" s="137"/>
      <c r="B716" s="139"/>
      <c r="C716" s="136"/>
      <c r="D716" s="131"/>
      <c r="E716" s="131"/>
      <c r="F716" s="58"/>
      <c r="G716" s="140"/>
      <c r="H716" s="140"/>
      <c r="I716" s="58"/>
      <c r="J716" s="58"/>
      <c r="K716" s="58"/>
      <c r="L716" s="58"/>
      <c r="M716" s="135"/>
      <c r="N716" s="135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35"/>
      <c r="Z716" s="58"/>
      <c r="AA716" s="58"/>
      <c r="AB716" s="58"/>
      <c r="AC716" s="58"/>
      <c r="AD716" s="58"/>
      <c r="AE716" s="138"/>
      <c r="AF716" s="136"/>
      <c r="AG716" s="136"/>
      <c r="AH716" s="136"/>
    </row>
    <row r="717" spans="1:34" s="132" customFormat="1" ht="12.75" customHeight="1" x14ac:dyDescent="0.25">
      <c r="A717" s="137"/>
      <c r="B717" s="139"/>
      <c r="C717" s="136"/>
      <c r="D717" s="131"/>
      <c r="E717" s="131"/>
      <c r="F717" s="58"/>
      <c r="G717" s="140"/>
      <c r="H717" s="140"/>
      <c r="I717" s="58"/>
      <c r="J717" s="58"/>
      <c r="K717" s="58"/>
      <c r="L717" s="58"/>
      <c r="M717" s="135"/>
      <c r="N717" s="135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35"/>
      <c r="Z717" s="58"/>
      <c r="AA717" s="58"/>
      <c r="AB717" s="58"/>
      <c r="AC717" s="58"/>
      <c r="AD717" s="58"/>
      <c r="AE717" s="138"/>
      <c r="AF717" s="136"/>
      <c r="AG717" s="136"/>
      <c r="AH717" s="136"/>
    </row>
    <row r="718" spans="1:34" s="132" customFormat="1" ht="12.75" customHeight="1" x14ac:dyDescent="0.25">
      <c r="A718" s="137"/>
      <c r="B718" s="139"/>
      <c r="C718" s="136"/>
      <c r="D718" s="131"/>
      <c r="E718" s="131"/>
      <c r="F718" s="58"/>
      <c r="G718" s="140"/>
      <c r="H718" s="140"/>
      <c r="I718" s="58"/>
      <c r="J718" s="58"/>
      <c r="K718" s="58"/>
      <c r="L718" s="58"/>
      <c r="M718" s="135"/>
      <c r="N718" s="135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35"/>
      <c r="Z718" s="58"/>
      <c r="AA718" s="58"/>
      <c r="AB718" s="58"/>
      <c r="AC718" s="58"/>
      <c r="AD718" s="58"/>
      <c r="AE718" s="138"/>
      <c r="AF718" s="136"/>
      <c r="AG718" s="136"/>
      <c r="AH718" s="136"/>
    </row>
    <row r="719" spans="1:34" s="132" customFormat="1" ht="12.75" customHeight="1" x14ac:dyDescent="0.25">
      <c r="A719" s="137"/>
      <c r="B719" s="139"/>
      <c r="C719" s="136"/>
      <c r="D719" s="131"/>
      <c r="E719" s="131"/>
      <c r="F719" s="58"/>
      <c r="G719" s="140"/>
      <c r="H719" s="140"/>
      <c r="I719" s="58"/>
      <c r="J719" s="58"/>
      <c r="K719" s="58"/>
      <c r="L719" s="58"/>
      <c r="M719" s="135"/>
      <c r="N719" s="135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35"/>
      <c r="Z719" s="58"/>
      <c r="AA719" s="58"/>
      <c r="AB719" s="58"/>
      <c r="AC719" s="58"/>
      <c r="AD719" s="58"/>
      <c r="AE719" s="138"/>
      <c r="AF719" s="136"/>
      <c r="AG719" s="136"/>
      <c r="AH719" s="136"/>
    </row>
    <row r="720" spans="1:34" s="132" customFormat="1" ht="12.75" customHeight="1" x14ac:dyDescent="0.25">
      <c r="A720" s="137"/>
      <c r="B720" s="139"/>
      <c r="C720" s="136"/>
      <c r="D720" s="131"/>
      <c r="E720" s="131"/>
      <c r="F720" s="58"/>
      <c r="G720" s="140"/>
      <c r="H720" s="140"/>
      <c r="I720" s="58"/>
      <c r="J720" s="58"/>
      <c r="K720" s="58"/>
      <c r="L720" s="58"/>
      <c r="M720" s="135"/>
      <c r="N720" s="135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35"/>
      <c r="Z720" s="58"/>
      <c r="AA720" s="58"/>
      <c r="AB720" s="58"/>
      <c r="AC720" s="58"/>
      <c r="AD720" s="58"/>
      <c r="AE720" s="138"/>
      <c r="AF720" s="136"/>
      <c r="AG720" s="136"/>
      <c r="AH720" s="136"/>
    </row>
    <row r="721" spans="1:34" s="132" customFormat="1" ht="12.75" customHeight="1" x14ac:dyDescent="0.25">
      <c r="A721" s="137"/>
      <c r="B721" s="139"/>
      <c r="C721" s="136"/>
      <c r="D721" s="131"/>
      <c r="E721" s="131"/>
      <c r="F721" s="58"/>
      <c r="G721" s="140"/>
      <c r="H721" s="140"/>
      <c r="I721" s="58"/>
      <c r="J721" s="58"/>
      <c r="K721" s="58"/>
      <c r="L721" s="58"/>
      <c r="M721" s="135"/>
      <c r="N721" s="135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35"/>
      <c r="Z721" s="58"/>
      <c r="AA721" s="58"/>
      <c r="AB721" s="58"/>
      <c r="AC721" s="58"/>
      <c r="AD721" s="58"/>
      <c r="AE721" s="138"/>
      <c r="AF721" s="136"/>
      <c r="AG721" s="136"/>
      <c r="AH721" s="136"/>
    </row>
    <row r="722" spans="1:34" s="132" customFormat="1" ht="12.75" customHeight="1" x14ac:dyDescent="0.25">
      <c r="A722" s="137"/>
      <c r="B722" s="139"/>
      <c r="C722" s="136"/>
      <c r="D722" s="131"/>
      <c r="E722" s="131"/>
      <c r="F722" s="58"/>
      <c r="G722" s="140"/>
      <c r="H722" s="140"/>
      <c r="I722" s="58"/>
      <c r="J722" s="58"/>
      <c r="K722" s="58"/>
      <c r="L722" s="58"/>
      <c r="M722" s="135"/>
      <c r="N722" s="135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35"/>
      <c r="Z722" s="58"/>
      <c r="AA722" s="58"/>
      <c r="AB722" s="58"/>
      <c r="AC722" s="58"/>
      <c r="AD722" s="58"/>
      <c r="AE722" s="138"/>
      <c r="AF722" s="136"/>
      <c r="AG722" s="136"/>
      <c r="AH722" s="136"/>
    </row>
    <row r="723" spans="1:34" s="132" customFormat="1" ht="12.75" customHeight="1" x14ac:dyDescent="0.25">
      <c r="A723" s="137"/>
      <c r="B723" s="139"/>
      <c r="C723" s="136"/>
      <c r="D723" s="131"/>
      <c r="E723" s="131"/>
      <c r="F723" s="58"/>
      <c r="G723" s="140"/>
      <c r="H723" s="140"/>
      <c r="I723" s="58"/>
      <c r="J723" s="58"/>
      <c r="K723" s="58"/>
      <c r="L723" s="58"/>
      <c r="M723" s="135"/>
      <c r="N723" s="135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35"/>
      <c r="Z723" s="58"/>
      <c r="AA723" s="58"/>
      <c r="AB723" s="58"/>
      <c r="AC723" s="58"/>
      <c r="AD723" s="58"/>
      <c r="AE723" s="138"/>
      <c r="AF723" s="136"/>
      <c r="AG723" s="136"/>
      <c r="AH723" s="136"/>
    </row>
    <row r="724" spans="1:34" s="132" customFormat="1" ht="12.75" customHeight="1" x14ac:dyDescent="0.25">
      <c r="A724" s="137"/>
      <c r="B724" s="139"/>
      <c r="C724" s="136"/>
      <c r="D724" s="131"/>
      <c r="E724" s="131"/>
      <c r="F724" s="58"/>
      <c r="G724" s="140"/>
      <c r="H724" s="140"/>
      <c r="I724" s="58"/>
      <c r="J724" s="58"/>
      <c r="K724" s="58"/>
      <c r="L724" s="58"/>
      <c r="M724" s="135"/>
      <c r="N724" s="135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35"/>
      <c r="Z724" s="58"/>
      <c r="AA724" s="58"/>
      <c r="AB724" s="58"/>
      <c r="AC724" s="58"/>
      <c r="AD724" s="58"/>
      <c r="AE724" s="138"/>
      <c r="AF724" s="136"/>
      <c r="AG724" s="136"/>
      <c r="AH724" s="136"/>
    </row>
    <row r="725" spans="1:34" s="132" customFormat="1" ht="12.75" customHeight="1" x14ac:dyDescent="0.25">
      <c r="A725" s="137"/>
      <c r="B725" s="139"/>
      <c r="C725" s="136"/>
      <c r="D725" s="131"/>
      <c r="E725" s="131"/>
      <c r="F725" s="58"/>
      <c r="G725" s="140"/>
      <c r="H725" s="140"/>
      <c r="I725" s="58"/>
      <c r="J725" s="58"/>
      <c r="K725" s="58"/>
      <c r="L725" s="58"/>
      <c r="M725" s="135"/>
      <c r="N725" s="135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35"/>
      <c r="Z725" s="58"/>
      <c r="AA725" s="58"/>
      <c r="AB725" s="58"/>
      <c r="AC725" s="58"/>
      <c r="AD725" s="58"/>
      <c r="AE725" s="138"/>
      <c r="AF725" s="136"/>
      <c r="AG725" s="136"/>
      <c r="AH725" s="136"/>
    </row>
    <row r="726" spans="1:34" s="132" customFormat="1" ht="12.75" customHeight="1" x14ac:dyDescent="0.25">
      <c r="A726" s="137"/>
      <c r="B726" s="139"/>
      <c r="C726" s="136"/>
      <c r="D726" s="131"/>
      <c r="E726" s="131"/>
      <c r="F726" s="58"/>
      <c r="G726" s="140"/>
      <c r="H726" s="140"/>
      <c r="I726" s="58"/>
      <c r="J726" s="58"/>
      <c r="K726" s="58"/>
      <c r="L726" s="58"/>
      <c r="M726" s="135"/>
      <c r="N726" s="135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35"/>
      <c r="Z726" s="58"/>
      <c r="AA726" s="58"/>
      <c r="AB726" s="58"/>
      <c r="AC726" s="58"/>
      <c r="AD726" s="58"/>
      <c r="AE726" s="138"/>
      <c r="AF726" s="136"/>
      <c r="AG726" s="136"/>
      <c r="AH726" s="136"/>
    </row>
    <row r="727" spans="1:34" s="132" customFormat="1" ht="12.75" customHeight="1" x14ac:dyDescent="0.25">
      <c r="A727" s="137"/>
      <c r="B727" s="139"/>
      <c r="C727" s="136"/>
      <c r="D727" s="131"/>
      <c r="E727" s="131"/>
      <c r="F727" s="58"/>
      <c r="G727" s="140"/>
      <c r="H727" s="140"/>
      <c r="I727" s="58"/>
      <c r="J727" s="58"/>
      <c r="K727" s="58"/>
      <c r="L727" s="58"/>
      <c r="M727" s="135"/>
      <c r="N727" s="135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35"/>
      <c r="Z727" s="58"/>
      <c r="AA727" s="58"/>
      <c r="AB727" s="58"/>
      <c r="AC727" s="58"/>
      <c r="AD727" s="58"/>
      <c r="AE727" s="138"/>
      <c r="AF727" s="136"/>
      <c r="AG727" s="136"/>
      <c r="AH727" s="136"/>
    </row>
    <row r="728" spans="1:34" s="132" customFormat="1" ht="12.75" customHeight="1" x14ac:dyDescent="0.25">
      <c r="A728" s="137"/>
      <c r="B728" s="139"/>
      <c r="C728" s="136"/>
      <c r="D728" s="131"/>
      <c r="E728" s="131"/>
      <c r="F728" s="58"/>
      <c r="G728" s="140"/>
      <c r="H728" s="140"/>
      <c r="I728" s="58"/>
      <c r="J728" s="58"/>
      <c r="K728" s="58"/>
      <c r="L728" s="58"/>
      <c r="M728" s="135"/>
      <c r="N728" s="135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35"/>
      <c r="Z728" s="58"/>
      <c r="AA728" s="58"/>
      <c r="AB728" s="58"/>
      <c r="AC728" s="58"/>
      <c r="AD728" s="58"/>
      <c r="AE728" s="138"/>
      <c r="AF728" s="136"/>
      <c r="AG728" s="136"/>
      <c r="AH728" s="136"/>
    </row>
    <row r="729" spans="1:34" s="132" customFormat="1" ht="12.75" customHeight="1" x14ac:dyDescent="0.25">
      <c r="A729" s="137"/>
      <c r="B729" s="139"/>
      <c r="C729" s="136"/>
      <c r="D729" s="131"/>
      <c r="E729" s="131"/>
      <c r="F729" s="58"/>
      <c r="G729" s="140"/>
      <c r="H729" s="140"/>
      <c r="I729" s="58"/>
      <c r="J729" s="58"/>
      <c r="K729" s="58"/>
      <c r="L729" s="58"/>
      <c r="M729" s="135"/>
      <c r="N729" s="135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35"/>
      <c r="Z729" s="58"/>
      <c r="AA729" s="58"/>
      <c r="AB729" s="58"/>
      <c r="AC729" s="58"/>
      <c r="AD729" s="58"/>
      <c r="AE729" s="138"/>
      <c r="AF729" s="136"/>
      <c r="AG729" s="136"/>
      <c r="AH729" s="136"/>
    </row>
    <row r="730" spans="1:34" s="132" customFormat="1" ht="12.75" customHeight="1" x14ac:dyDescent="0.25">
      <c r="A730" s="137"/>
      <c r="B730" s="139"/>
      <c r="C730" s="136"/>
      <c r="D730" s="131"/>
      <c r="E730" s="131"/>
      <c r="F730" s="58"/>
      <c r="G730" s="140"/>
      <c r="H730" s="140"/>
      <c r="I730" s="58"/>
      <c r="J730" s="58"/>
      <c r="K730" s="58"/>
      <c r="L730" s="58"/>
      <c r="M730" s="135"/>
      <c r="N730" s="135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35"/>
      <c r="Z730" s="58"/>
      <c r="AA730" s="58"/>
      <c r="AB730" s="58"/>
      <c r="AC730" s="58"/>
      <c r="AD730" s="58"/>
      <c r="AE730" s="138"/>
      <c r="AF730" s="136"/>
      <c r="AG730" s="136"/>
      <c r="AH730" s="136"/>
    </row>
    <row r="731" spans="1:34" s="132" customFormat="1" ht="12.75" customHeight="1" x14ac:dyDescent="0.25">
      <c r="A731" s="137"/>
      <c r="B731" s="139"/>
      <c r="C731" s="136"/>
      <c r="D731" s="131"/>
      <c r="E731" s="131"/>
      <c r="F731" s="58"/>
      <c r="G731" s="140"/>
      <c r="H731" s="140"/>
      <c r="I731" s="58"/>
      <c r="J731" s="58"/>
      <c r="K731" s="58"/>
      <c r="L731" s="58"/>
      <c r="M731" s="135"/>
      <c r="N731" s="135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35"/>
      <c r="Z731" s="58"/>
      <c r="AA731" s="58"/>
      <c r="AB731" s="58"/>
      <c r="AC731" s="58"/>
      <c r="AD731" s="58"/>
      <c r="AE731" s="138"/>
      <c r="AF731" s="136"/>
      <c r="AG731" s="136"/>
      <c r="AH731" s="136"/>
    </row>
    <row r="732" spans="1:34" s="132" customFormat="1" ht="12.75" customHeight="1" x14ac:dyDescent="0.25">
      <c r="A732" s="137"/>
      <c r="B732" s="139"/>
      <c r="C732" s="136"/>
      <c r="D732" s="131"/>
      <c r="E732" s="131"/>
      <c r="F732" s="58"/>
      <c r="G732" s="140"/>
      <c r="H732" s="140"/>
      <c r="I732" s="58"/>
      <c r="J732" s="58"/>
      <c r="K732" s="58"/>
      <c r="L732" s="58"/>
      <c r="M732" s="135"/>
      <c r="N732" s="135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35"/>
      <c r="Z732" s="58"/>
      <c r="AA732" s="58"/>
      <c r="AB732" s="58"/>
      <c r="AC732" s="58"/>
      <c r="AD732" s="58"/>
      <c r="AE732" s="138"/>
      <c r="AF732" s="136"/>
      <c r="AG732" s="136"/>
      <c r="AH732" s="136"/>
    </row>
    <row r="733" spans="1:34" s="132" customFormat="1" ht="12.75" customHeight="1" x14ac:dyDescent="0.25">
      <c r="A733" s="137"/>
      <c r="B733" s="139"/>
      <c r="C733" s="136"/>
      <c r="D733" s="131"/>
      <c r="E733" s="131"/>
      <c r="F733" s="58"/>
      <c r="G733" s="140"/>
      <c r="H733" s="140"/>
      <c r="I733" s="58"/>
      <c r="J733" s="58"/>
      <c r="K733" s="58"/>
      <c r="L733" s="58"/>
      <c r="M733" s="135"/>
      <c r="N733" s="135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35"/>
      <c r="Z733" s="58"/>
      <c r="AA733" s="58"/>
      <c r="AB733" s="58"/>
      <c r="AC733" s="58"/>
      <c r="AD733" s="58"/>
      <c r="AE733" s="138"/>
      <c r="AF733" s="136"/>
      <c r="AG733" s="136"/>
      <c r="AH733" s="136"/>
    </row>
    <row r="734" spans="1:34" s="132" customFormat="1" ht="12.75" customHeight="1" x14ac:dyDescent="0.25">
      <c r="A734" s="137"/>
      <c r="B734" s="139"/>
      <c r="C734" s="136"/>
      <c r="D734" s="131"/>
      <c r="E734" s="131"/>
      <c r="F734" s="58"/>
      <c r="G734" s="140"/>
      <c r="H734" s="140"/>
      <c r="I734" s="58"/>
      <c r="J734" s="58"/>
      <c r="K734" s="58"/>
      <c r="L734" s="58"/>
      <c r="M734" s="135"/>
      <c r="N734" s="135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35"/>
      <c r="Z734" s="58"/>
      <c r="AA734" s="58"/>
      <c r="AB734" s="58"/>
      <c r="AC734" s="58"/>
      <c r="AD734" s="58"/>
      <c r="AE734" s="138"/>
      <c r="AF734" s="136"/>
      <c r="AG734" s="136"/>
      <c r="AH734" s="136"/>
    </row>
    <row r="735" spans="1:34" s="132" customFormat="1" ht="12.75" customHeight="1" x14ac:dyDescent="0.25">
      <c r="A735" s="137"/>
      <c r="B735" s="139"/>
      <c r="C735" s="136"/>
      <c r="D735" s="131"/>
      <c r="E735" s="131"/>
      <c r="F735" s="58"/>
      <c r="G735" s="140"/>
      <c r="H735" s="140"/>
      <c r="I735" s="58"/>
      <c r="J735" s="58"/>
      <c r="K735" s="58"/>
      <c r="L735" s="58"/>
      <c r="M735" s="135"/>
      <c r="N735" s="135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35"/>
      <c r="Z735" s="58"/>
      <c r="AA735" s="58"/>
      <c r="AB735" s="58"/>
      <c r="AC735" s="58"/>
      <c r="AD735" s="58"/>
      <c r="AE735" s="138"/>
      <c r="AF735" s="136"/>
      <c r="AG735" s="136"/>
      <c r="AH735" s="136"/>
    </row>
    <row r="736" spans="1:34" s="132" customFormat="1" ht="12.75" customHeight="1" x14ac:dyDescent="0.25">
      <c r="A736" s="137"/>
      <c r="B736" s="139"/>
      <c r="C736" s="136"/>
      <c r="D736" s="131"/>
      <c r="E736" s="131"/>
      <c r="F736" s="58"/>
      <c r="G736" s="140"/>
      <c r="H736" s="140"/>
      <c r="I736" s="58"/>
      <c r="J736" s="58"/>
      <c r="K736" s="58"/>
      <c r="L736" s="58"/>
      <c r="M736" s="135"/>
      <c r="N736" s="135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35"/>
      <c r="Z736" s="58"/>
      <c r="AA736" s="58"/>
      <c r="AB736" s="58"/>
      <c r="AC736" s="58"/>
      <c r="AD736" s="58"/>
      <c r="AE736" s="138"/>
      <c r="AF736" s="136"/>
      <c r="AG736" s="136"/>
      <c r="AH736" s="136"/>
    </row>
    <row r="737" spans="1:34" s="132" customFormat="1" ht="12.75" customHeight="1" x14ac:dyDescent="0.25">
      <c r="A737" s="137"/>
      <c r="B737" s="139"/>
      <c r="C737" s="136"/>
      <c r="D737" s="131"/>
      <c r="E737" s="131"/>
      <c r="F737" s="58"/>
      <c r="G737" s="140"/>
      <c r="H737" s="140"/>
      <c r="I737" s="58"/>
      <c r="J737" s="58"/>
      <c r="K737" s="58"/>
      <c r="L737" s="58"/>
      <c r="M737" s="135"/>
      <c r="N737" s="135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35"/>
      <c r="Z737" s="58"/>
      <c r="AA737" s="58"/>
      <c r="AB737" s="58"/>
      <c r="AC737" s="58"/>
      <c r="AD737" s="58"/>
      <c r="AE737" s="138"/>
      <c r="AF737" s="136"/>
      <c r="AG737" s="136"/>
      <c r="AH737" s="136"/>
    </row>
    <row r="738" spans="1:34" s="132" customFormat="1" ht="12.75" customHeight="1" x14ac:dyDescent="0.25">
      <c r="A738" s="137"/>
      <c r="B738" s="139"/>
      <c r="C738" s="136"/>
      <c r="D738" s="131"/>
      <c r="E738" s="131"/>
      <c r="F738" s="58"/>
      <c r="G738" s="140"/>
      <c r="H738" s="140"/>
      <c r="I738" s="58"/>
      <c r="J738" s="58"/>
      <c r="K738" s="58"/>
      <c r="L738" s="58"/>
      <c r="M738" s="135"/>
      <c r="N738" s="135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35"/>
      <c r="Z738" s="58"/>
      <c r="AA738" s="58"/>
      <c r="AB738" s="58"/>
      <c r="AC738" s="58"/>
      <c r="AD738" s="58"/>
      <c r="AE738" s="138"/>
      <c r="AF738" s="136"/>
      <c r="AG738" s="136"/>
      <c r="AH738" s="136"/>
    </row>
    <row r="739" spans="1:34" s="132" customFormat="1" ht="12.75" customHeight="1" x14ac:dyDescent="0.25">
      <c r="A739" s="137"/>
      <c r="B739" s="139"/>
      <c r="C739" s="136"/>
      <c r="D739" s="131"/>
      <c r="E739" s="131"/>
      <c r="F739" s="58"/>
      <c r="G739" s="140"/>
      <c r="H739" s="140"/>
      <c r="I739" s="58"/>
      <c r="J739" s="58"/>
      <c r="K739" s="58"/>
      <c r="L739" s="58"/>
      <c r="M739" s="135"/>
      <c r="N739" s="135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35"/>
      <c r="Z739" s="58"/>
      <c r="AA739" s="58"/>
      <c r="AB739" s="58"/>
      <c r="AC739" s="58"/>
      <c r="AD739" s="58"/>
      <c r="AE739" s="138"/>
      <c r="AF739" s="136"/>
      <c r="AG739" s="136"/>
      <c r="AH739" s="136"/>
    </row>
    <row r="740" spans="1:34" s="132" customFormat="1" ht="12.75" customHeight="1" x14ac:dyDescent="0.25">
      <c r="A740" s="137"/>
      <c r="B740" s="139"/>
      <c r="C740" s="136"/>
      <c r="D740" s="131"/>
      <c r="E740" s="131"/>
      <c r="F740" s="58"/>
      <c r="G740" s="140"/>
      <c r="H740" s="140"/>
      <c r="I740" s="58"/>
      <c r="J740" s="58"/>
      <c r="K740" s="58"/>
      <c r="L740" s="58"/>
      <c r="M740" s="135"/>
      <c r="N740" s="135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35"/>
      <c r="Z740" s="58"/>
      <c r="AA740" s="58"/>
      <c r="AB740" s="58"/>
      <c r="AC740" s="58"/>
      <c r="AD740" s="58"/>
      <c r="AE740" s="138"/>
      <c r="AF740" s="136"/>
      <c r="AG740" s="136"/>
      <c r="AH740" s="136"/>
    </row>
    <row r="741" spans="1:34" s="132" customFormat="1" ht="12.75" customHeight="1" x14ac:dyDescent="0.25">
      <c r="A741" s="137"/>
      <c r="B741" s="139"/>
      <c r="C741" s="136"/>
      <c r="D741" s="131"/>
      <c r="E741" s="131"/>
      <c r="F741" s="58"/>
      <c r="G741" s="140"/>
      <c r="H741" s="140"/>
      <c r="I741" s="58"/>
      <c r="J741" s="58"/>
      <c r="K741" s="58"/>
      <c r="L741" s="58"/>
      <c r="M741" s="135"/>
      <c r="N741" s="135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35"/>
      <c r="Z741" s="58"/>
      <c r="AA741" s="58"/>
      <c r="AB741" s="58"/>
      <c r="AC741" s="58"/>
      <c r="AD741" s="58"/>
      <c r="AE741" s="138"/>
      <c r="AF741" s="136"/>
      <c r="AG741" s="136"/>
      <c r="AH741" s="136"/>
    </row>
    <row r="742" spans="1:34" s="132" customFormat="1" ht="12.75" customHeight="1" x14ac:dyDescent="0.25">
      <c r="A742" s="137"/>
      <c r="B742" s="139"/>
      <c r="C742" s="136"/>
      <c r="D742" s="131"/>
      <c r="E742" s="131"/>
      <c r="F742" s="58"/>
      <c r="G742" s="140"/>
      <c r="H742" s="140"/>
      <c r="I742" s="58"/>
      <c r="J742" s="58"/>
      <c r="K742" s="58"/>
      <c r="L742" s="58"/>
      <c r="M742" s="135"/>
      <c r="N742" s="135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35"/>
      <c r="Z742" s="58"/>
      <c r="AA742" s="58"/>
      <c r="AB742" s="58"/>
      <c r="AC742" s="58"/>
      <c r="AD742" s="58"/>
      <c r="AE742" s="138"/>
      <c r="AF742" s="136"/>
      <c r="AG742" s="136"/>
      <c r="AH742" s="136"/>
    </row>
    <row r="743" spans="1:34" s="132" customFormat="1" ht="12.75" customHeight="1" x14ac:dyDescent="0.25">
      <c r="A743" s="137"/>
      <c r="B743" s="139"/>
      <c r="C743" s="136"/>
      <c r="D743" s="131"/>
      <c r="E743" s="131"/>
      <c r="F743" s="58"/>
      <c r="G743" s="140"/>
      <c r="H743" s="140"/>
      <c r="I743" s="58"/>
      <c r="J743" s="58"/>
      <c r="K743" s="58"/>
      <c r="L743" s="58"/>
      <c r="M743" s="135"/>
      <c r="N743" s="135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35"/>
      <c r="Z743" s="58"/>
      <c r="AA743" s="58"/>
      <c r="AB743" s="58"/>
      <c r="AC743" s="58"/>
      <c r="AD743" s="58"/>
      <c r="AE743" s="138"/>
      <c r="AF743" s="136"/>
      <c r="AG743" s="136"/>
      <c r="AH743" s="136"/>
    </row>
    <row r="744" spans="1:34" s="132" customFormat="1" ht="12.75" customHeight="1" x14ac:dyDescent="0.25">
      <c r="A744" s="137"/>
      <c r="B744" s="139"/>
      <c r="C744" s="136"/>
      <c r="D744" s="131"/>
      <c r="E744" s="131"/>
      <c r="F744" s="58"/>
      <c r="G744" s="140"/>
      <c r="H744" s="140"/>
      <c r="I744" s="58"/>
      <c r="J744" s="58"/>
      <c r="K744" s="58"/>
      <c r="L744" s="58"/>
      <c r="M744" s="135"/>
      <c r="N744" s="135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35"/>
      <c r="Z744" s="58"/>
      <c r="AA744" s="58"/>
      <c r="AB744" s="58"/>
      <c r="AC744" s="58"/>
      <c r="AD744" s="58"/>
      <c r="AE744" s="138"/>
      <c r="AF744" s="136"/>
      <c r="AG744" s="136"/>
      <c r="AH744" s="136"/>
    </row>
    <row r="745" spans="1:34" s="132" customFormat="1" ht="12.75" customHeight="1" x14ac:dyDescent="0.25">
      <c r="A745" s="137"/>
      <c r="B745" s="139"/>
      <c r="C745" s="136"/>
      <c r="D745" s="131"/>
      <c r="E745" s="131"/>
      <c r="F745" s="58"/>
      <c r="G745" s="140"/>
      <c r="H745" s="140"/>
      <c r="I745" s="58"/>
      <c r="J745" s="58"/>
      <c r="K745" s="58"/>
      <c r="L745" s="58"/>
      <c r="M745" s="135"/>
      <c r="N745" s="135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35"/>
      <c r="Z745" s="58"/>
      <c r="AA745" s="58"/>
      <c r="AB745" s="58"/>
      <c r="AC745" s="58"/>
      <c r="AD745" s="58"/>
      <c r="AE745" s="138"/>
      <c r="AF745" s="136"/>
      <c r="AG745" s="136"/>
      <c r="AH745" s="136"/>
    </row>
    <row r="746" spans="1:34" s="132" customFormat="1" ht="12.75" customHeight="1" x14ac:dyDescent="0.25">
      <c r="A746" s="137"/>
      <c r="B746" s="139"/>
      <c r="C746" s="136"/>
      <c r="D746" s="131"/>
      <c r="E746" s="131"/>
      <c r="F746" s="58"/>
      <c r="G746" s="140"/>
      <c r="H746" s="140"/>
      <c r="I746" s="58"/>
      <c r="J746" s="58"/>
      <c r="K746" s="58"/>
      <c r="L746" s="58"/>
      <c r="M746" s="135"/>
      <c r="N746" s="135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35"/>
      <c r="Z746" s="58"/>
      <c r="AA746" s="58"/>
      <c r="AB746" s="58"/>
      <c r="AC746" s="58"/>
      <c r="AD746" s="58"/>
      <c r="AE746" s="138"/>
      <c r="AF746" s="136"/>
      <c r="AG746" s="136"/>
      <c r="AH746" s="136"/>
    </row>
    <row r="747" spans="1:34" s="132" customFormat="1" ht="12.75" customHeight="1" x14ac:dyDescent="0.25">
      <c r="A747" s="137"/>
      <c r="B747" s="139"/>
      <c r="C747" s="136"/>
      <c r="D747" s="131"/>
      <c r="E747" s="131"/>
      <c r="F747" s="58"/>
      <c r="G747" s="140"/>
      <c r="H747" s="140"/>
      <c r="I747" s="58"/>
      <c r="J747" s="58"/>
      <c r="K747" s="58"/>
      <c r="L747" s="58"/>
      <c r="M747" s="135"/>
      <c r="N747" s="135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35"/>
      <c r="Z747" s="58"/>
      <c r="AA747" s="58"/>
      <c r="AB747" s="58"/>
      <c r="AC747" s="58"/>
      <c r="AD747" s="58"/>
      <c r="AE747" s="138"/>
      <c r="AF747" s="136"/>
      <c r="AG747" s="136"/>
      <c r="AH747" s="136"/>
    </row>
    <row r="748" spans="1:34" s="132" customFormat="1" ht="12.75" customHeight="1" x14ac:dyDescent="0.25">
      <c r="A748" s="137"/>
      <c r="B748" s="139"/>
      <c r="C748" s="136"/>
      <c r="D748" s="131"/>
      <c r="E748" s="131"/>
      <c r="F748" s="58"/>
      <c r="G748" s="140"/>
      <c r="H748" s="140"/>
      <c r="I748" s="58"/>
      <c r="J748" s="58"/>
      <c r="K748" s="58"/>
      <c r="L748" s="58"/>
      <c r="M748" s="135"/>
      <c r="N748" s="135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35"/>
      <c r="Z748" s="58"/>
      <c r="AA748" s="58"/>
      <c r="AB748" s="58"/>
      <c r="AC748" s="58"/>
      <c r="AD748" s="58"/>
      <c r="AE748" s="138"/>
      <c r="AF748" s="136"/>
      <c r="AG748" s="136"/>
      <c r="AH748" s="136"/>
    </row>
    <row r="749" spans="1:34" s="132" customFormat="1" ht="12.75" customHeight="1" x14ac:dyDescent="0.25">
      <c r="A749" s="137"/>
      <c r="B749" s="139"/>
      <c r="C749" s="136"/>
      <c r="D749" s="131"/>
      <c r="E749" s="131"/>
      <c r="F749" s="58"/>
      <c r="G749" s="140"/>
      <c r="H749" s="140"/>
      <c r="I749" s="58"/>
      <c r="J749" s="58"/>
      <c r="K749" s="58"/>
      <c r="L749" s="58"/>
      <c r="M749" s="135"/>
      <c r="N749" s="135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35"/>
      <c r="Z749" s="58"/>
      <c r="AA749" s="58"/>
      <c r="AB749" s="58"/>
      <c r="AC749" s="58"/>
      <c r="AD749" s="58"/>
      <c r="AE749" s="138"/>
      <c r="AF749" s="136"/>
      <c r="AG749" s="136"/>
      <c r="AH749" s="136"/>
    </row>
    <row r="750" spans="1:34" s="132" customFormat="1" ht="12.75" customHeight="1" x14ac:dyDescent="0.25">
      <c r="A750" s="137"/>
      <c r="B750" s="139"/>
      <c r="C750" s="136"/>
      <c r="D750" s="131"/>
      <c r="E750" s="131"/>
      <c r="F750" s="58"/>
      <c r="G750" s="140"/>
      <c r="H750" s="140"/>
      <c r="I750" s="58"/>
      <c r="J750" s="58"/>
      <c r="K750" s="58"/>
      <c r="L750" s="58"/>
      <c r="M750" s="135"/>
      <c r="N750" s="135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35"/>
      <c r="Z750" s="58"/>
      <c r="AA750" s="58"/>
      <c r="AB750" s="58"/>
      <c r="AC750" s="58"/>
      <c r="AD750" s="58"/>
      <c r="AE750" s="138"/>
      <c r="AF750" s="136"/>
      <c r="AG750" s="136"/>
      <c r="AH750" s="136"/>
    </row>
    <row r="751" spans="1:34" s="132" customFormat="1" ht="12.75" customHeight="1" x14ac:dyDescent="0.25">
      <c r="A751" s="137"/>
      <c r="B751" s="139"/>
      <c r="C751" s="136"/>
      <c r="D751" s="131"/>
      <c r="E751" s="131"/>
      <c r="F751" s="58"/>
      <c r="G751" s="140"/>
      <c r="H751" s="140"/>
      <c r="I751" s="58"/>
      <c r="J751" s="58"/>
      <c r="K751" s="58"/>
      <c r="L751" s="58"/>
      <c r="M751" s="135"/>
      <c r="N751" s="135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35"/>
      <c r="Z751" s="58"/>
      <c r="AA751" s="58"/>
      <c r="AB751" s="58"/>
      <c r="AC751" s="58"/>
      <c r="AD751" s="58"/>
      <c r="AE751" s="138"/>
      <c r="AF751" s="136"/>
      <c r="AG751" s="136"/>
      <c r="AH751" s="136"/>
    </row>
    <row r="752" spans="1:34" s="132" customFormat="1" ht="12.75" customHeight="1" x14ac:dyDescent="0.25">
      <c r="A752" s="137"/>
      <c r="B752" s="139"/>
      <c r="C752" s="136"/>
      <c r="D752" s="131"/>
      <c r="E752" s="131"/>
      <c r="F752" s="58"/>
      <c r="G752" s="140"/>
      <c r="H752" s="140"/>
      <c r="I752" s="58"/>
      <c r="J752" s="58"/>
      <c r="K752" s="58"/>
      <c r="L752" s="58"/>
      <c r="M752" s="135"/>
      <c r="N752" s="135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35"/>
      <c r="Z752" s="58"/>
      <c r="AA752" s="58"/>
      <c r="AB752" s="58"/>
      <c r="AC752" s="58"/>
      <c r="AD752" s="58"/>
      <c r="AE752" s="138"/>
      <c r="AF752" s="136"/>
      <c r="AG752" s="136"/>
      <c r="AH752" s="136"/>
    </row>
    <row r="753" spans="1:34" s="132" customFormat="1" ht="12.75" customHeight="1" x14ac:dyDescent="0.25">
      <c r="A753" s="137"/>
      <c r="B753" s="139"/>
      <c r="C753" s="136"/>
      <c r="D753" s="131"/>
      <c r="E753" s="131"/>
      <c r="F753" s="58"/>
      <c r="G753" s="140"/>
      <c r="H753" s="140"/>
      <c r="I753" s="58"/>
      <c r="J753" s="58"/>
      <c r="K753" s="58"/>
      <c r="L753" s="58"/>
      <c r="M753" s="135"/>
      <c r="N753" s="135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35"/>
      <c r="Z753" s="58"/>
      <c r="AA753" s="58"/>
      <c r="AB753" s="58"/>
      <c r="AC753" s="58"/>
      <c r="AD753" s="58"/>
      <c r="AE753" s="138"/>
      <c r="AF753" s="136"/>
      <c r="AG753" s="136"/>
      <c r="AH753" s="136"/>
    </row>
    <row r="754" spans="1:34" s="132" customFormat="1" ht="12.75" customHeight="1" x14ac:dyDescent="0.25">
      <c r="A754" s="137"/>
      <c r="B754" s="139"/>
      <c r="C754" s="136"/>
      <c r="D754" s="131"/>
      <c r="E754" s="131"/>
      <c r="F754" s="58"/>
      <c r="G754" s="140"/>
      <c r="H754" s="140"/>
      <c r="I754" s="58"/>
      <c r="J754" s="58"/>
      <c r="K754" s="58"/>
      <c r="L754" s="58"/>
      <c r="M754" s="135"/>
      <c r="N754" s="135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35"/>
      <c r="Z754" s="58"/>
      <c r="AA754" s="58"/>
      <c r="AB754" s="58"/>
      <c r="AC754" s="58"/>
      <c r="AD754" s="58"/>
      <c r="AE754" s="138"/>
      <c r="AF754" s="136"/>
      <c r="AG754" s="136"/>
      <c r="AH754" s="136"/>
    </row>
    <row r="755" spans="1:34" s="132" customFormat="1" ht="12.75" customHeight="1" x14ac:dyDescent="0.25">
      <c r="A755" s="137"/>
      <c r="B755" s="139"/>
      <c r="C755" s="136"/>
      <c r="D755" s="131"/>
      <c r="E755" s="131"/>
      <c r="F755" s="58"/>
      <c r="G755" s="140"/>
      <c r="H755" s="140"/>
      <c r="I755" s="58"/>
      <c r="J755" s="58"/>
      <c r="K755" s="58"/>
      <c r="L755" s="58"/>
      <c r="M755" s="135"/>
      <c r="N755" s="135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35"/>
      <c r="Z755" s="58"/>
      <c r="AA755" s="58"/>
      <c r="AB755" s="58"/>
      <c r="AC755" s="58"/>
      <c r="AD755" s="58"/>
      <c r="AE755" s="138"/>
      <c r="AF755" s="136"/>
      <c r="AG755" s="136"/>
      <c r="AH755" s="136"/>
    </row>
    <row r="756" spans="1:34" s="132" customFormat="1" ht="12.75" customHeight="1" x14ac:dyDescent="0.25">
      <c r="A756" s="137"/>
      <c r="B756" s="139"/>
      <c r="C756" s="136"/>
      <c r="D756" s="131"/>
      <c r="E756" s="131"/>
      <c r="F756" s="58"/>
      <c r="G756" s="140"/>
      <c r="H756" s="140"/>
      <c r="I756" s="58"/>
      <c r="J756" s="58"/>
      <c r="K756" s="58"/>
      <c r="L756" s="58"/>
      <c r="M756" s="135"/>
      <c r="N756" s="135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35"/>
      <c r="Z756" s="58"/>
      <c r="AA756" s="58"/>
      <c r="AB756" s="58"/>
      <c r="AC756" s="58"/>
      <c r="AD756" s="58"/>
      <c r="AE756" s="138"/>
      <c r="AF756" s="136"/>
      <c r="AG756" s="136"/>
      <c r="AH756" s="136"/>
    </row>
    <row r="757" spans="1:34" s="132" customFormat="1" ht="12.75" customHeight="1" x14ac:dyDescent="0.25">
      <c r="A757" s="137"/>
      <c r="B757" s="139"/>
      <c r="C757" s="136"/>
      <c r="D757" s="131"/>
      <c r="E757" s="131"/>
      <c r="F757" s="58"/>
      <c r="G757" s="140"/>
      <c r="H757" s="140"/>
      <c r="I757" s="58"/>
      <c r="J757" s="58"/>
      <c r="K757" s="58"/>
      <c r="L757" s="58"/>
      <c r="M757" s="135"/>
      <c r="N757" s="135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35"/>
      <c r="Z757" s="58"/>
      <c r="AA757" s="58"/>
      <c r="AB757" s="58"/>
      <c r="AC757" s="58"/>
      <c r="AD757" s="58"/>
      <c r="AE757" s="138"/>
      <c r="AF757" s="136"/>
      <c r="AG757" s="136"/>
      <c r="AH757" s="136"/>
    </row>
    <row r="758" spans="1:34" s="132" customFormat="1" ht="12.75" customHeight="1" x14ac:dyDescent="0.25">
      <c r="A758" s="137"/>
      <c r="B758" s="139"/>
      <c r="C758" s="136"/>
      <c r="D758" s="131"/>
      <c r="E758" s="131"/>
      <c r="F758" s="58"/>
      <c r="G758" s="140"/>
      <c r="H758" s="140"/>
      <c r="I758" s="58"/>
      <c r="J758" s="58"/>
      <c r="K758" s="58"/>
      <c r="L758" s="58"/>
      <c r="M758" s="135"/>
      <c r="N758" s="135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35"/>
      <c r="Z758" s="58"/>
      <c r="AA758" s="58"/>
      <c r="AB758" s="58"/>
      <c r="AC758" s="58"/>
      <c r="AD758" s="58"/>
      <c r="AE758" s="138"/>
      <c r="AF758" s="136"/>
      <c r="AG758" s="136"/>
      <c r="AH758" s="136"/>
    </row>
    <row r="759" spans="1:34" s="132" customFormat="1" ht="12.75" customHeight="1" x14ac:dyDescent="0.25">
      <c r="A759" s="137"/>
      <c r="B759" s="139"/>
      <c r="C759" s="136"/>
      <c r="D759" s="131"/>
      <c r="E759" s="131"/>
      <c r="F759" s="58"/>
      <c r="G759" s="140"/>
      <c r="H759" s="140"/>
      <c r="I759" s="58"/>
      <c r="J759" s="58"/>
      <c r="K759" s="58"/>
      <c r="L759" s="58"/>
      <c r="M759" s="135"/>
      <c r="N759" s="135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35"/>
      <c r="Z759" s="58"/>
      <c r="AA759" s="58"/>
      <c r="AB759" s="58"/>
      <c r="AC759" s="58"/>
      <c r="AD759" s="58"/>
      <c r="AE759" s="138"/>
      <c r="AF759" s="136"/>
      <c r="AG759" s="136"/>
      <c r="AH759" s="136"/>
    </row>
    <row r="760" spans="1:34" s="132" customFormat="1" ht="12.75" customHeight="1" x14ac:dyDescent="0.25">
      <c r="A760" s="137"/>
      <c r="B760" s="139"/>
      <c r="C760" s="136"/>
      <c r="D760" s="131"/>
      <c r="E760" s="131"/>
      <c r="F760" s="58"/>
      <c r="G760" s="140"/>
      <c r="H760" s="140"/>
      <c r="I760" s="58"/>
      <c r="J760" s="58"/>
      <c r="K760" s="58"/>
      <c r="L760" s="58"/>
      <c r="M760" s="135"/>
      <c r="N760" s="135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35"/>
      <c r="Z760" s="58"/>
      <c r="AA760" s="58"/>
      <c r="AB760" s="58"/>
      <c r="AC760" s="58"/>
      <c r="AD760" s="58"/>
      <c r="AE760" s="138"/>
      <c r="AF760" s="136"/>
      <c r="AG760" s="136"/>
      <c r="AH760" s="136"/>
    </row>
    <row r="761" spans="1:34" s="132" customFormat="1" ht="12.75" customHeight="1" x14ac:dyDescent="0.25">
      <c r="A761" s="137"/>
      <c r="B761" s="139"/>
      <c r="C761" s="136"/>
      <c r="D761" s="131"/>
      <c r="E761" s="131"/>
      <c r="F761" s="58"/>
      <c r="G761" s="140"/>
      <c r="H761" s="140"/>
      <c r="I761" s="58"/>
      <c r="J761" s="58"/>
      <c r="K761" s="58"/>
      <c r="L761" s="58"/>
      <c r="M761" s="135"/>
      <c r="N761" s="135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35"/>
      <c r="Z761" s="58"/>
      <c r="AA761" s="58"/>
      <c r="AB761" s="58"/>
      <c r="AC761" s="58"/>
      <c r="AD761" s="58"/>
      <c r="AE761" s="138"/>
      <c r="AF761" s="136"/>
      <c r="AG761" s="136"/>
      <c r="AH761" s="136"/>
    </row>
    <row r="762" spans="1:34" s="132" customFormat="1" ht="12.75" customHeight="1" x14ac:dyDescent="0.25">
      <c r="A762" s="137"/>
      <c r="B762" s="139"/>
      <c r="C762" s="136"/>
      <c r="D762" s="131"/>
      <c r="E762" s="131"/>
      <c r="F762" s="58"/>
      <c r="G762" s="140"/>
      <c r="H762" s="140"/>
      <c r="I762" s="58"/>
      <c r="J762" s="58"/>
      <c r="K762" s="58"/>
      <c r="L762" s="58"/>
      <c r="M762" s="135"/>
      <c r="N762" s="135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35"/>
      <c r="Z762" s="58"/>
      <c r="AA762" s="58"/>
      <c r="AB762" s="58"/>
      <c r="AC762" s="58"/>
      <c r="AD762" s="58"/>
      <c r="AE762" s="138"/>
      <c r="AF762" s="136"/>
      <c r="AG762" s="136"/>
      <c r="AH762" s="136"/>
    </row>
    <row r="763" spans="1:34" s="132" customFormat="1" ht="12.75" customHeight="1" x14ac:dyDescent="0.25">
      <c r="A763" s="137"/>
      <c r="B763" s="139"/>
      <c r="C763" s="136"/>
      <c r="D763" s="131"/>
      <c r="E763" s="131"/>
      <c r="F763" s="58"/>
      <c r="G763" s="140"/>
      <c r="H763" s="140"/>
      <c r="I763" s="58"/>
      <c r="J763" s="58"/>
      <c r="K763" s="58"/>
      <c r="L763" s="58"/>
      <c r="M763" s="135"/>
      <c r="N763" s="135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35"/>
      <c r="Z763" s="58"/>
      <c r="AA763" s="58"/>
      <c r="AB763" s="58"/>
      <c r="AC763" s="58"/>
      <c r="AD763" s="58"/>
      <c r="AE763" s="138"/>
      <c r="AF763" s="136"/>
      <c r="AG763" s="136"/>
      <c r="AH763" s="136"/>
    </row>
    <row r="764" spans="1:34" s="132" customFormat="1" ht="12.75" customHeight="1" x14ac:dyDescent="0.25">
      <c r="A764" s="137"/>
      <c r="B764" s="139"/>
      <c r="C764" s="136"/>
      <c r="D764" s="131"/>
      <c r="E764" s="131"/>
      <c r="F764" s="58"/>
      <c r="G764" s="140"/>
      <c r="H764" s="140"/>
      <c r="I764" s="58"/>
      <c r="J764" s="58"/>
      <c r="K764" s="58"/>
      <c r="L764" s="58"/>
      <c r="M764" s="135"/>
      <c r="N764" s="135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35"/>
      <c r="Z764" s="58"/>
      <c r="AA764" s="58"/>
      <c r="AB764" s="58"/>
      <c r="AC764" s="58"/>
      <c r="AD764" s="58"/>
      <c r="AE764" s="138"/>
      <c r="AF764" s="136"/>
      <c r="AG764" s="136"/>
      <c r="AH764" s="136"/>
    </row>
    <row r="765" spans="1:34" s="132" customFormat="1" ht="12.75" customHeight="1" x14ac:dyDescent="0.25">
      <c r="A765" s="137"/>
      <c r="B765" s="139"/>
      <c r="C765" s="136"/>
      <c r="D765" s="131"/>
      <c r="E765" s="131"/>
      <c r="F765" s="58"/>
      <c r="G765" s="140"/>
      <c r="H765" s="140"/>
      <c r="I765" s="58"/>
      <c r="J765" s="58"/>
      <c r="K765" s="58"/>
      <c r="L765" s="58"/>
      <c r="M765" s="135"/>
      <c r="N765" s="135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35"/>
      <c r="Z765" s="58"/>
      <c r="AA765" s="58"/>
      <c r="AB765" s="58"/>
      <c r="AC765" s="58"/>
      <c r="AD765" s="58"/>
      <c r="AE765" s="138"/>
      <c r="AF765" s="136"/>
      <c r="AG765" s="136"/>
      <c r="AH765" s="136"/>
    </row>
    <row r="766" spans="1:34" s="132" customFormat="1" ht="12.75" customHeight="1" x14ac:dyDescent="0.25">
      <c r="A766" s="137"/>
      <c r="B766" s="139"/>
      <c r="C766" s="136"/>
      <c r="D766" s="131"/>
      <c r="E766" s="131"/>
      <c r="F766" s="58"/>
      <c r="G766" s="140"/>
      <c r="H766" s="140"/>
      <c r="I766" s="58"/>
      <c r="J766" s="58"/>
      <c r="K766" s="58"/>
      <c r="L766" s="58"/>
      <c r="M766" s="135"/>
      <c r="N766" s="135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35"/>
      <c r="Z766" s="58"/>
      <c r="AA766" s="58"/>
      <c r="AB766" s="58"/>
      <c r="AC766" s="58"/>
      <c r="AD766" s="58"/>
      <c r="AE766" s="138"/>
      <c r="AF766" s="136"/>
      <c r="AG766" s="136"/>
      <c r="AH766" s="136"/>
    </row>
    <row r="767" spans="1:34" s="132" customFormat="1" ht="12.75" customHeight="1" x14ac:dyDescent="0.25">
      <c r="A767" s="137"/>
      <c r="B767" s="139"/>
      <c r="C767" s="136"/>
      <c r="D767" s="131"/>
      <c r="E767" s="131"/>
      <c r="F767" s="58"/>
      <c r="G767" s="140"/>
      <c r="H767" s="140"/>
      <c r="I767" s="58"/>
      <c r="J767" s="58"/>
      <c r="K767" s="58"/>
      <c r="L767" s="58"/>
      <c r="M767" s="135"/>
      <c r="N767" s="135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35"/>
      <c r="Z767" s="58"/>
      <c r="AA767" s="58"/>
      <c r="AB767" s="58"/>
      <c r="AC767" s="58"/>
      <c r="AD767" s="58"/>
      <c r="AE767" s="138"/>
      <c r="AF767" s="136"/>
      <c r="AG767" s="136"/>
      <c r="AH767" s="136"/>
    </row>
    <row r="768" spans="1:34" s="132" customFormat="1" ht="12.75" customHeight="1" x14ac:dyDescent="0.25">
      <c r="A768" s="137"/>
      <c r="B768" s="139"/>
      <c r="C768" s="136"/>
      <c r="D768" s="131"/>
      <c r="E768" s="131"/>
      <c r="F768" s="58"/>
      <c r="G768" s="140"/>
      <c r="H768" s="140"/>
      <c r="I768" s="58"/>
      <c r="J768" s="58"/>
      <c r="K768" s="58"/>
      <c r="L768" s="58"/>
      <c r="M768" s="135"/>
      <c r="N768" s="135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35"/>
      <c r="Z768" s="58"/>
      <c r="AA768" s="58"/>
      <c r="AB768" s="58"/>
      <c r="AC768" s="58"/>
      <c r="AD768" s="58"/>
      <c r="AE768" s="138"/>
      <c r="AF768" s="136"/>
      <c r="AG768" s="136"/>
      <c r="AH768" s="136"/>
    </row>
    <row r="769" spans="1:34" s="132" customFormat="1" ht="12.75" customHeight="1" x14ac:dyDescent="0.25">
      <c r="A769" s="137"/>
      <c r="B769" s="139"/>
      <c r="C769" s="136"/>
      <c r="D769" s="131"/>
      <c r="E769" s="131"/>
      <c r="F769" s="58"/>
      <c r="G769" s="140"/>
      <c r="H769" s="140"/>
      <c r="I769" s="58"/>
      <c r="J769" s="58"/>
      <c r="K769" s="58"/>
      <c r="L769" s="58"/>
      <c r="M769" s="135"/>
      <c r="N769" s="135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35"/>
      <c r="Z769" s="58"/>
      <c r="AA769" s="58"/>
      <c r="AB769" s="58"/>
      <c r="AC769" s="58"/>
      <c r="AD769" s="58"/>
      <c r="AE769" s="138"/>
      <c r="AF769" s="136"/>
      <c r="AG769" s="136"/>
      <c r="AH769" s="136"/>
    </row>
    <row r="770" spans="1:34" s="132" customFormat="1" ht="12.75" customHeight="1" x14ac:dyDescent="0.25">
      <c r="A770" s="137"/>
      <c r="B770" s="139"/>
      <c r="C770" s="136"/>
      <c r="D770" s="131"/>
      <c r="E770" s="131"/>
      <c r="F770" s="58"/>
      <c r="G770" s="140"/>
      <c r="H770" s="140"/>
      <c r="I770" s="58"/>
      <c r="J770" s="58"/>
      <c r="K770" s="58"/>
      <c r="L770" s="58"/>
      <c r="M770" s="135"/>
      <c r="N770" s="135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35"/>
      <c r="Z770" s="58"/>
      <c r="AA770" s="58"/>
      <c r="AB770" s="58"/>
      <c r="AC770" s="58"/>
      <c r="AD770" s="58"/>
      <c r="AE770" s="138"/>
      <c r="AF770" s="136"/>
      <c r="AG770" s="136"/>
      <c r="AH770" s="136"/>
    </row>
    <row r="771" spans="1:34" s="132" customFormat="1" ht="12.75" customHeight="1" x14ac:dyDescent="0.25">
      <c r="A771" s="137"/>
      <c r="B771" s="139"/>
      <c r="C771" s="136"/>
      <c r="D771" s="131"/>
      <c r="E771" s="131"/>
      <c r="F771" s="58"/>
      <c r="G771" s="140"/>
      <c r="H771" s="140"/>
      <c r="I771" s="58"/>
      <c r="J771" s="58"/>
      <c r="K771" s="58"/>
      <c r="L771" s="58"/>
      <c r="M771" s="135"/>
      <c r="N771" s="135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35"/>
      <c r="Z771" s="58"/>
      <c r="AA771" s="58"/>
      <c r="AB771" s="58"/>
      <c r="AC771" s="58"/>
      <c r="AD771" s="58"/>
      <c r="AE771" s="138"/>
      <c r="AF771" s="136"/>
      <c r="AG771" s="136"/>
      <c r="AH771" s="136"/>
    </row>
    <row r="772" spans="1:34" s="132" customFormat="1" ht="12.75" customHeight="1" x14ac:dyDescent="0.25">
      <c r="A772" s="137"/>
      <c r="B772" s="139"/>
      <c r="C772" s="136"/>
      <c r="D772" s="131"/>
      <c r="E772" s="131"/>
      <c r="F772" s="58"/>
      <c r="G772" s="140"/>
      <c r="H772" s="140"/>
      <c r="I772" s="58"/>
      <c r="J772" s="58"/>
      <c r="K772" s="58"/>
      <c r="L772" s="58"/>
      <c r="M772" s="135"/>
      <c r="N772" s="135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35"/>
      <c r="Z772" s="58"/>
      <c r="AA772" s="58"/>
      <c r="AB772" s="58"/>
      <c r="AC772" s="58"/>
      <c r="AD772" s="58"/>
      <c r="AE772" s="138"/>
      <c r="AF772" s="136"/>
      <c r="AG772" s="136"/>
      <c r="AH772" s="136"/>
    </row>
    <row r="773" spans="1:34" s="132" customFormat="1" ht="12.75" customHeight="1" x14ac:dyDescent="0.25">
      <c r="A773" s="137"/>
      <c r="B773" s="139"/>
      <c r="C773" s="136"/>
      <c r="D773" s="131"/>
      <c r="E773" s="131"/>
      <c r="F773" s="58"/>
      <c r="G773" s="140"/>
      <c r="H773" s="140"/>
      <c r="I773" s="58"/>
      <c r="J773" s="58"/>
      <c r="K773" s="58"/>
      <c r="L773" s="58"/>
      <c r="M773" s="135"/>
      <c r="N773" s="135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35"/>
      <c r="Z773" s="58"/>
      <c r="AA773" s="58"/>
      <c r="AB773" s="58"/>
      <c r="AC773" s="58"/>
      <c r="AD773" s="58"/>
      <c r="AE773" s="138"/>
      <c r="AF773" s="136"/>
      <c r="AG773" s="136"/>
      <c r="AH773" s="136"/>
    </row>
    <row r="774" spans="1:34" s="132" customFormat="1" ht="12.75" customHeight="1" x14ac:dyDescent="0.25">
      <c r="A774" s="137"/>
      <c r="B774" s="139"/>
      <c r="C774" s="136"/>
      <c r="D774" s="131"/>
      <c r="E774" s="131"/>
      <c r="F774" s="58"/>
      <c r="G774" s="140"/>
      <c r="H774" s="140"/>
      <c r="I774" s="58"/>
      <c r="J774" s="58"/>
      <c r="K774" s="58"/>
      <c r="L774" s="58"/>
      <c r="M774" s="135"/>
      <c r="N774" s="135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35"/>
      <c r="Z774" s="58"/>
      <c r="AA774" s="58"/>
      <c r="AB774" s="58"/>
      <c r="AC774" s="58"/>
      <c r="AD774" s="58"/>
      <c r="AE774" s="138"/>
      <c r="AF774" s="136"/>
      <c r="AG774" s="136"/>
      <c r="AH774" s="136"/>
    </row>
    <row r="775" spans="1:34" s="132" customFormat="1" ht="12.75" customHeight="1" x14ac:dyDescent="0.25">
      <c r="A775" s="137"/>
      <c r="B775" s="139"/>
      <c r="C775" s="136"/>
      <c r="D775" s="131"/>
      <c r="E775" s="131"/>
      <c r="F775" s="58"/>
      <c r="G775" s="140"/>
      <c r="H775" s="140"/>
      <c r="I775" s="58"/>
      <c r="J775" s="58"/>
      <c r="K775" s="58"/>
      <c r="L775" s="58"/>
      <c r="M775" s="135"/>
      <c r="N775" s="135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35"/>
      <c r="Z775" s="58"/>
      <c r="AA775" s="58"/>
      <c r="AB775" s="58"/>
      <c r="AC775" s="58"/>
      <c r="AD775" s="58"/>
      <c r="AE775" s="138"/>
      <c r="AF775" s="136"/>
      <c r="AG775" s="136"/>
      <c r="AH775" s="136"/>
    </row>
    <row r="776" spans="1:34" s="132" customFormat="1" ht="12.75" customHeight="1" x14ac:dyDescent="0.25">
      <c r="A776" s="137"/>
      <c r="B776" s="139"/>
      <c r="C776" s="136"/>
      <c r="D776" s="131"/>
      <c r="E776" s="131"/>
      <c r="F776" s="58"/>
      <c r="G776" s="140"/>
      <c r="H776" s="140"/>
      <c r="I776" s="58"/>
      <c r="J776" s="58"/>
      <c r="K776" s="58"/>
      <c r="L776" s="58"/>
      <c r="M776" s="135"/>
      <c r="N776" s="135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35"/>
      <c r="Z776" s="58"/>
      <c r="AA776" s="58"/>
      <c r="AB776" s="58"/>
      <c r="AC776" s="58"/>
      <c r="AD776" s="58"/>
      <c r="AE776" s="138"/>
      <c r="AF776" s="136"/>
      <c r="AG776" s="136"/>
      <c r="AH776" s="136"/>
    </row>
    <row r="777" spans="1:34" s="132" customFormat="1" ht="12.75" customHeight="1" x14ac:dyDescent="0.25">
      <c r="A777" s="137"/>
      <c r="B777" s="139"/>
      <c r="C777" s="136"/>
      <c r="D777" s="131"/>
      <c r="E777" s="131"/>
      <c r="F777" s="58"/>
      <c r="G777" s="140"/>
      <c r="H777" s="140"/>
      <c r="I777" s="58"/>
      <c r="J777" s="58"/>
      <c r="K777" s="58"/>
      <c r="L777" s="58"/>
      <c r="M777" s="135"/>
      <c r="N777" s="135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35"/>
      <c r="Z777" s="58"/>
      <c r="AA777" s="58"/>
      <c r="AB777" s="58"/>
      <c r="AC777" s="58"/>
      <c r="AD777" s="58"/>
      <c r="AE777" s="138"/>
      <c r="AF777" s="136"/>
      <c r="AG777" s="136"/>
      <c r="AH777" s="136"/>
    </row>
    <row r="778" spans="1:34" s="132" customFormat="1" ht="12.75" customHeight="1" x14ac:dyDescent="0.25">
      <c r="A778" s="137"/>
      <c r="B778" s="139"/>
      <c r="C778" s="136"/>
      <c r="D778" s="131"/>
      <c r="E778" s="131"/>
      <c r="F778" s="58"/>
      <c r="G778" s="140"/>
      <c r="H778" s="140"/>
      <c r="I778" s="58"/>
      <c r="J778" s="58"/>
      <c r="K778" s="58"/>
      <c r="L778" s="58"/>
      <c r="M778" s="135"/>
      <c r="N778" s="135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35"/>
      <c r="Z778" s="58"/>
      <c r="AA778" s="58"/>
      <c r="AB778" s="58"/>
      <c r="AC778" s="58"/>
      <c r="AD778" s="58"/>
      <c r="AE778" s="138"/>
      <c r="AF778" s="136"/>
      <c r="AG778" s="136"/>
      <c r="AH778" s="136"/>
    </row>
    <row r="779" spans="1:34" s="132" customFormat="1" ht="12.75" customHeight="1" x14ac:dyDescent="0.25">
      <c r="A779" s="137"/>
      <c r="B779" s="139"/>
      <c r="C779" s="136"/>
      <c r="D779" s="131"/>
      <c r="E779" s="131"/>
      <c r="F779" s="58"/>
      <c r="G779" s="140"/>
      <c r="H779" s="140"/>
      <c r="I779" s="58"/>
      <c r="J779" s="58"/>
      <c r="K779" s="58"/>
      <c r="L779" s="58"/>
      <c r="M779" s="135"/>
      <c r="N779" s="135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35"/>
      <c r="Z779" s="58"/>
      <c r="AA779" s="58"/>
      <c r="AB779" s="58"/>
      <c r="AC779" s="58"/>
      <c r="AD779" s="58"/>
      <c r="AE779" s="138"/>
      <c r="AF779" s="136"/>
      <c r="AG779" s="136"/>
      <c r="AH779" s="136"/>
    </row>
    <row r="780" spans="1:34" s="132" customFormat="1" ht="12.75" customHeight="1" x14ac:dyDescent="0.25">
      <c r="A780" s="137"/>
      <c r="B780" s="139"/>
      <c r="C780" s="136"/>
      <c r="D780" s="131"/>
      <c r="E780" s="131"/>
      <c r="F780" s="58"/>
      <c r="G780" s="140"/>
      <c r="H780" s="140"/>
      <c r="I780" s="58"/>
      <c r="J780" s="58"/>
      <c r="K780" s="58"/>
      <c r="L780" s="58"/>
      <c r="M780" s="135"/>
      <c r="N780" s="135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35"/>
      <c r="Z780" s="58"/>
      <c r="AA780" s="58"/>
      <c r="AB780" s="58"/>
      <c r="AC780" s="58"/>
      <c r="AD780" s="58"/>
      <c r="AE780" s="138"/>
      <c r="AF780" s="136"/>
      <c r="AG780" s="136"/>
      <c r="AH780" s="136"/>
    </row>
    <row r="781" spans="1:34" s="132" customFormat="1" ht="12.75" customHeight="1" x14ac:dyDescent="0.25">
      <c r="A781" s="137"/>
      <c r="B781" s="139"/>
      <c r="C781" s="136"/>
      <c r="D781" s="131"/>
      <c r="E781" s="131"/>
      <c r="F781" s="58"/>
      <c r="G781" s="140"/>
      <c r="H781" s="140"/>
      <c r="I781" s="58"/>
      <c r="J781" s="58"/>
      <c r="K781" s="58"/>
      <c r="L781" s="58"/>
      <c r="M781" s="135"/>
      <c r="N781" s="135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35"/>
      <c r="Z781" s="58"/>
      <c r="AA781" s="58"/>
      <c r="AB781" s="58"/>
      <c r="AC781" s="58"/>
      <c r="AD781" s="58"/>
      <c r="AE781" s="138"/>
      <c r="AF781" s="136"/>
      <c r="AG781" s="136"/>
      <c r="AH781" s="136"/>
    </row>
    <row r="782" spans="1:34" s="132" customFormat="1" ht="12.75" customHeight="1" x14ac:dyDescent="0.25">
      <c r="A782" s="137"/>
      <c r="B782" s="139"/>
      <c r="C782" s="136"/>
      <c r="D782" s="131"/>
      <c r="E782" s="131"/>
      <c r="F782" s="58"/>
      <c r="G782" s="140"/>
      <c r="H782" s="140"/>
      <c r="I782" s="58"/>
      <c r="J782" s="58"/>
      <c r="K782" s="58"/>
      <c r="L782" s="58"/>
      <c r="M782" s="135"/>
      <c r="N782" s="135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35"/>
      <c r="Z782" s="58"/>
      <c r="AA782" s="58"/>
      <c r="AB782" s="58"/>
      <c r="AC782" s="58"/>
      <c r="AD782" s="58"/>
      <c r="AE782" s="138"/>
      <c r="AF782" s="136"/>
      <c r="AG782" s="136"/>
      <c r="AH782" s="136"/>
    </row>
    <row r="783" spans="1:34" s="132" customFormat="1" ht="12.75" customHeight="1" x14ac:dyDescent="0.25">
      <c r="A783" s="137"/>
      <c r="B783" s="139"/>
      <c r="C783" s="136"/>
      <c r="D783" s="131"/>
      <c r="E783" s="131"/>
      <c r="F783" s="58"/>
      <c r="G783" s="140"/>
      <c r="H783" s="140"/>
      <c r="I783" s="58"/>
      <c r="J783" s="58"/>
      <c r="K783" s="58"/>
      <c r="L783" s="58"/>
      <c r="M783" s="135"/>
      <c r="N783" s="135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35"/>
      <c r="Z783" s="58"/>
      <c r="AA783" s="58"/>
      <c r="AB783" s="58"/>
      <c r="AC783" s="58"/>
      <c r="AD783" s="58"/>
      <c r="AE783" s="138"/>
      <c r="AF783" s="136"/>
      <c r="AG783" s="136"/>
      <c r="AH783" s="136"/>
    </row>
    <row r="784" spans="1:34" s="132" customFormat="1" ht="12.75" customHeight="1" x14ac:dyDescent="0.25">
      <c r="A784" s="137"/>
      <c r="B784" s="139"/>
      <c r="C784" s="136"/>
      <c r="D784" s="131"/>
      <c r="E784" s="131"/>
      <c r="F784" s="58"/>
      <c r="G784" s="140"/>
      <c r="H784" s="140"/>
      <c r="I784" s="58"/>
      <c r="J784" s="58"/>
      <c r="K784" s="58"/>
      <c r="L784" s="58"/>
      <c r="M784" s="135"/>
      <c r="N784" s="135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35"/>
      <c r="Z784" s="58"/>
      <c r="AA784" s="58"/>
      <c r="AB784" s="58"/>
      <c r="AC784" s="58"/>
      <c r="AD784" s="58"/>
      <c r="AE784" s="138"/>
      <c r="AF784" s="136"/>
      <c r="AG784" s="136"/>
      <c r="AH784" s="136"/>
    </row>
    <row r="785" spans="1:34" s="132" customFormat="1" ht="12.75" customHeight="1" x14ac:dyDescent="0.25">
      <c r="A785" s="137"/>
      <c r="B785" s="139"/>
      <c r="C785" s="136"/>
      <c r="D785" s="131"/>
      <c r="E785" s="131"/>
      <c r="F785" s="58"/>
      <c r="G785" s="140"/>
      <c r="H785" s="140"/>
      <c r="I785" s="58"/>
      <c r="J785" s="58"/>
      <c r="K785" s="58"/>
      <c r="L785" s="58"/>
      <c r="M785" s="135"/>
      <c r="N785" s="135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35"/>
      <c r="Z785" s="58"/>
      <c r="AA785" s="58"/>
      <c r="AB785" s="58"/>
      <c r="AC785" s="58"/>
      <c r="AD785" s="58"/>
      <c r="AE785" s="138"/>
      <c r="AF785" s="136"/>
      <c r="AG785" s="136"/>
      <c r="AH785" s="136"/>
    </row>
    <row r="786" spans="1:34" s="132" customFormat="1" ht="12.75" customHeight="1" x14ac:dyDescent="0.25">
      <c r="A786" s="137"/>
      <c r="B786" s="139"/>
      <c r="C786" s="136"/>
      <c r="D786" s="131"/>
      <c r="E786" s="131"/>
      <c r="F786" s="58"/>
      <c r="G786" s="140"/>
      <c r="H786" s="140"/>
      <c r="I786" s="58"/>
      <c r="J786" s="58"/>
      <c r="K786" s="58"/>
      <c r="L786" s="58"/>
      <c r="M786" s="135"/>
      <c r="N786" s="135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35"/>
      <c r="Z786" s="58"/>
      <c r="AA786" s="58"/>
      <c r="AB786" s="58"/>
      <c r="AC786" s="58"/>
      <c r="AD786" s="58"/>
      <c r="AE786" s="138"/>
      <c r="AF786" s="136"/>
      <c r="AG786" s="136"/>
      <c r="AH786" s="136"/>
    </row>
    <row r="787" spans="1:34" s="132" customFormat="1" ht="12.75" customHeight="1" x14ac:dyDescent="0.25">
      <c r="A787" s="137"/>
      <c r="B787" s="139"/>
      <c r="C787" s="136"/>
      <c r="D787" s="131"/>
      <c r="E787" s="131"/>
      <c r="F787" s="58"/>
      <c r="G787" s="140"/>
      <c r="H787" s="140"/>
      <c r="I787" s="58"/>
      <c r="J787" s="58"/>
      <c r="K787" s="58"/>
      <c r="L787" s="58"/>
      <c r="M787" s="135"/>
      <c r="N787" s="135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35"/>
      <c r="Z787" s="58"/>
      <c r="AA787" s="58"/>
      <c r="AB787" s="58"/>
      <c r="AC787" s="58"/>
      <c r="AD787" s="58"/>
      <c r="AE787" s="138"/>
      <c r="AF787" s="136"/>
      <c r="AG787" s="136"/>
      <c r="AH787" s="136"/>
    </row>
    <row r="788" spans="1:34" s="132" customFormat="1" ht="12.75" customHeight="1" x14ac:dyDescent="0.25">
      <c r="A788" s="137"/>
      <c r="B788" s="139"/>
      <c r="C788" s="136"/>
      <c r="D788" s="131"/>
      <c r="E788" s="131"/>
      <c r="F788" s="58"/>
      <c r="G788" s="140"/>
      <c r="H788" s="140"/>
      <c r="I788" s="58"/>
      <c r="J788" s="58"/>
      <c r="K788" s="58"/>
      <c r="L788" s="58"/>
      <c r="M788" s="135"/>
      <c r="N788" s="135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35"/>
      <c r="Z788" s="58"/>
      <c r="AA788" s="58"/>
      <c r="AB788" s="58"/>
      <c r="AC788" s="58"/>
      <c r="AD788" s="58"/>
      <c r="AE788" s="138"/>
      <c r="AF788" s="136"/>
      <c r="AG788" s="136"/>
      <c r="AH788" s="136"/>
    </row>
    <row r="789" spans="1:34" s="132" customFormat="1" ht="12.75" customHeight="1" x14ac:dyDescent="0.25">
      <c r="A789" s="137"/>
      <c r="B789" s="139"/>
      <c r="C789" s="136"/>
      <c r="D789" s="131"/>
      <c r="E789" s="131"/>
      <c r="F789" s="58"/>
      <c r="G789" s="140"/>
      <c r="H789" s="140"/>
      <c r="I789" s="58"/>
      <c r="J789" s="58"/>
      <c r="K789" s="58"/>
      <c r="L789" s="58"/>
      <c r="M789" s="135"/>
      <c r="N789" s="135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35"/>
      <c r="Z789" s="58"/>
      <c r="AA789" s="58"/>
      <c r="AB789" s="58"/>
      <c r="AC789" s="58"/>
      <c r="AD789" s="58"/>
      <c r="AE789" s="138"/>
      <c r="AF789" s="136"/>
      <c r="AG789" s="136"/>
      <c r="AH789" s="136"/>
    </row>
    <row r="790" spans="1:34" s="132" customFormat="1" ht="12.75" customHeight="1" x14ac:dyDescent="0.25">
      <c r="A790" s="137"/>
      <c r="B790" s="139"/>
      <c r="C790" s="136"/>
      <c r="D790" s="131"/>
      <c r="E790" s="131"/>
      <c r="F790" s="58"/>
      <c r="G790" s="140"/>
      <c r="H790" s="140"/>
      <c r="I790" s="58"/>
      <c r="J790" s="58"/>
      <c r="K790" s="58"/>
      <c r="L790" s="58"/>
      <c r="M790" s="135"/>
      <c r="N790" s="135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35"/>
      <c r="Z790" s="58"/>
      <c r="AA790" s="58"/>
      <c r="AB790" s="58"/>
      <c r="AC790" s="58"/>
      <c r="AD790" s="58"/>
      <c r="AE790" s="138"/>
      <c r="AF790" s="136"/>
      <c r="AG790" s="136"/>
      <c r="AH790" s="136"/>
    </row>
    <row r="791" spans="1:34" s="132" customFormat="1" ht="12.75" customHeight="1" x14ac:dyDescent="0.25">
      <c r="A791" s="137"/>
      <c r="B791" s="139"/>
      <c r="C791" s="136"/>
      <c r="D791" s="131"/>
      <c r="E791" s="131"/>
      <c r="F791" s="58"/>
      <c r="G791" s="140"/>
      <c r="H791" s="140"/>
      <c r="I791" s="58"/>
      <c r="J791" s="58"/>
      <c r="K791" s="58"/>
      <c r="L791" s="58"/>
      <c r="M791" s="135"/>
      <c r="N791" s="135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35"/>
      <c r="Z791" s="58"/>
      <c r="AA791" s="58"/>
      <c r="AB791" s="58"/>
      <c r="AC791" s="58"/>
      <c r="AD791" s="58"/>
      <c r="AE791" s="138"/>
      <c r="AF791" s="136"/>
      <c r="AG791" s="136"/>
      <c r="AH791" s="136"/>
    </row>
    <row r="792" spans="1:34" s="132" customFormat="1" ht="12.75" customHeight="1" x14ac:dyDescent="0.25">
      <c r="A792" s="137"/>
      <c r="B792" s="139"/>
      <c r="C792" s="136"/>
      <c r="D792" s="131"/>
      <c r="E792" s="131"/>
      <c r="F792" s="58"/>
      <c r="G792" s="140"/>
      <c r="H792" s="140"/>
      <c r="I792" s="58"/>
      <c r="J792" s="58"/>
      <c r="K792" s="58"/>
      <c r="L792" s="58"/>
      <c r="M792" s="135"/>
      <c r="N792" s="135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35"/>
      <c r="Z792" s="58"/>
      <c r="AA792" s="58"/>
      <c r="AB792" s="58"/>
      <c r="AC792" s="58"/>
      <c r="AD792" s="58"/>
      <c r="AE792" s="138"/>
      <c r="AF792" s="136"/>
      <c r="AG792" s="136"/>
      <c r="AH792" s="136"/>
    </row>
    <row r="793" spans="1:34" s="132" customFormat="1" ht="12.75" customHeight="1" x14ac:dyDescent="0.25">
      <c r="A793" s="137"/>
      <c r="B793" s="139"/>
      <c r="C793" s="136"/>
      <c r="D793" s="131"/>
      <c r="E793" s="131"/>
      <c r="F793" s="58"/>
      <c r="G793" s="140"/>
      <c r="H793" s="140"/>
      <c r="I793" s="58"/>
      <c r="J793" s="58"/>
      <c r="K793" s="58"/>
      <c r="L793" s="58"/>
      <c r="M793" s="135"/>
      <c r="N793" s="135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35"/>
      <c r="Z793" s="58"/>
      <c r="AA793" s="58"/>
      <c r="AB793" s="58"/>
      <c r="AC793" s="58"/>
      <c r="AD793" s="58"/>
      <c r="AE793" s="138"/>
      <c r="AF793" s="136"/>
      <c r="AG793" s="136"/>
      <c r="AH793" s="136"/>
    </row>
    <row r="794" spans="1:34" s="132" customFormat="1" ht="12.75" customHeight="1" x14ac:dyDescent="0.25">
      <c r="A794" s="137"/>
      <c r="B794" s="139"/>
      <c r="C794" s="136"/>
      <c r="D794" s="131"/>
      <c r="E794" s="131"/>
      <c r="F794" s="58"/>
      <c r="G794" s="140"/>
      <c r="H794" s="140"/>
      <c r="I794" s="58"/>
      <c r="J794" s="58"/>
      <c r="K794" s="58"/>
      <c r="L794" s="58"/>
      <c r="M794" s="135"/>
      <c r="N794" s="135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35"/>
      <c r="Z794" s="58"/>
      <c r="AA794" s="58"/>
      <c r="AB794" s="58"/>
      <c r="AC794" s="58"/>
      <c r="AD794" s="58"/>
      <c r="AE794" s="138"/>
      <c r="AF794" s="136"/>
      <c r="AG794" s="136"/>
      <c r="AH794" s="136"/>
    </row>
    <row r="795" spans="1:34" s="132" customFormat="1" ht="12.75" customHeight="1" x14ac:dyDescent="0.25">
      <c r="A795" s="137"/>
      <c r="B795" s="139"/>
      <c r="C795" s="136"/>
      <c r="D795" s="131"/>
      <c r="E795" s="131"/>
      <c r="F795" s="58"/>
      <c r="G795" s="140"/>
      <c r="H795" s="140"/>
      <c r="I795" s="58"/>
      <c r="J795" s="58"/>
      <c r="K795" s="58"/>
      <c r="L795" s="58"/>
      <c r="M795" s="135"/>
      <c r="N795" s="135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35"/>
      <c r="Z795" s="58"/>
      <c r="AA795" s="58"/>
      <c r="AB795" s="58"/>
      <c r="AC795" s="58"/>
      <c r="AD795" s="58"/>
      <c r="AE795" s="138"/>
      <c r="AF795" s="136"/>
      <c r="AG795" s="136"/>
      <c r="AH795" s="136"/>
    </row>
    <row r="796" spans="1:34" s="132" customFormat="1" ht="12.75" customHeight="1" x14ac:dyDescent="0.25">
      <c r="A796" s="137"/>
      <c r="B796" s="139"/>
      <c r="C796" s="136"/>
      <c r="D796" s="131"/>
      <c r="E796" s="131"/>
      <c r="F796" s="58"/>
      <c r="G796" s="140"/>
      <c r="H796" s="140"/>
      <c r="I796" s="58"/>
      <c r="J796" s="58"/>
      <c r="K796" s="58"/>
      <c r="L796" s="58"/>
      <c r="M796" s="135"/>
      <c r="N796" s="135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35"/>
      <c r="Z796" s="58"/>
      <c r="AA796" s="58"/>
      <c r="AB796" s="58"/>
      <c r="AC796" s="58"/>
      <c r="AD796" s="58"/>
      <c r="AE796" s="138"/>
      <c r="AF796" s="136"/>
      <c r="AG796" s="136"/>
      <c r="AH796" s="136"/>
    </row>
    <row r="797" spans="1:34" s="132" customFormat="1" ht="12.75" customHeight="1" x14ac:dyDescent="0.25">
      <c r="A797" s="137"/>
      <c r="B797" s="139"/>
      <c r="C797" s="136"/>
      <c r="D797" s="131"/>
      <c r="E797" s="131"/>
      <c r="F797" s="58"/>
      <c r="G797" s="140"/>
      <c r="H797" s="140"/>
      <c r="I797" s="58"/>
      <c r="J797" s="58"/>
      <c r="K797" s="58"/>
      <c r="L797" s="58"/>
      <c r="M797" s="135"/>
      <c r="N797" s="135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35"/>
      <c r="Z797" s="58"/>
      <c r="AA797" s="58"/>
      <c r="AB797" s="58"/>
      <c r="AC797" s="58"/>
      <c r="AD797" s="58"/>
      <c r="AE797" s="138"/>
      <c r="AF797" s="136"/>
      <c r="AG797" s="136"/>
      <c r="AH797" s="136"/>
    </row>
    <row r="798" spans="1:34" s="132" customFormat="1" ht="12.75" customHeight="1" x14ac:dyDescent="0.25">
      <c r="A798" s="137"/>
      <c r="B798" s="139"/>
      <c r="C798" s="136"/>
      <c r="D798" s="131"/>
      <c r="E798" s="131"/>
      <c r="F798" s="58"/>
      <c r="G798" s="140"/>
      <c r="H798" s="140"/>
      <c r="I798" s="58"/>
      <c r="J798" s="58"/>
      <c r="K798" s="58"/>
      <c r="L798" s="58"/>
      <c r="M798" s="135"/>
      <c r="N798" s="135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35"/>
      <c r="Z798" s="58"/>
      <c r="AA798" s="58"/>
      <c r="AB798" s="58"/>
      <c r="AC798" s="58"/>
      <c r="AD798" s="58"/>
      <c r="AE798" s="138"/>
      <c r="AF798" s="136"/>
      <c r="AG798" s="136"/>
      <c r="AH798" s="136"/>
    </row>
    <row r="799" spans="1:34" s="132" customFormat="1" ht="12.75" customHeight="1" x14ac:dyDescent="0.25">
      <c r="A799" s="137"/>
      <c r="B799" s="139"/>
      <c r="C799" s="136"/>
      <c r="D799" s="131"/>
      <c r="E799" s="131"/>
      <c r="F799" s="58"/>
      <c r="G799" s="140"/>
      <c r="H799" s="140"/>
      <c r="I799" s="58"/>
      <c r="J799" s="58"/>
      <c r="K799" s="58"/>
      <c r="L799" s="58"/>
      <c r="M799" s="135"/>
      <c r="N799" s="135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35"/>
      <c r="Z799" s="58"/>
      <c r="AA799" s="58"/>
      <c r="AB799" s="58"/>
      <c r="AC799" s="58"/>
      <c r="AD799" s="58"/>
      <c r="AE799" s="138"/>
      <c r="AF799" s="136"/>
      <c r="AG799" s="136"/>
      <c r="AH799" s="136"/>
    </row>
    <row r="800" spans="1:34" s="132" customFormat="1" ht="12.75" customHeight="1" x14ac:dyDescent="0.25">
      <c r="A800" s="137"/>
      <c r="B800" s="139"/>
      <c r="C800" s="136"/>
      <c r="D800" s="131"/>
      <c r="E800" s="131"/>
      <c r="F800" s="58"/>
      <c r="G800" s="140"/>
      <c r="H800" s="140"/>
      <c r="I800" s="58"/>
      <c r="J800" s="58"/>
      <c r="K800" s="58"/>
      <c r="L800" s="58"/>
      <c r="M800" s="135"/>
      <c r="N800" s="135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35"/>
      <c r="Z800" s="58"/>
      <c r="AA800" s="58"/>
      <c r="AB800" s="58"/>
      <c r="AC800" s="58"/>
      <c r="AD800" s="58"/>
      <c r="AE800" s="138"/>
      <c r="AF800" s="136"/>
      <c r="AG800" s="136"/>
      <c r="AH800" s="136"/>
    </row>
    <row r="801" spans="1:34" s="132" customFormat="1" ht="12.75" customHeight="1" x14ac:dyDescent="0.25">
      <c r="A801" s="137"/>
      <c r="B801" s="139"/>
      <c r="C801" s="136"/>
      <c r="D801" s="131"/>
      <c r="E801" s="131"/>
      <c r="F801" s="58"/>
      <c r="G801" s="140"/>
      <c r="H801" s="140"/>
      <c r="I801" s="58"/>
      <c r="J801" s="58"/>
      <c r="K801" s="58"/>
      <c r="L801" s="58"/>
      <c r="M801" s="135"/>
      <c r="N801" s="135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35"/>
      <c r="Z801" s="58"/>
      <c r="AA801" s="58"/>
      <c r="AB801" s="58"/>
      <c r="AC801" s="58"/>
      <c r="AD801" s="58"/>
      <c r="AE801" s="138"/>
      <c r="AF801" s="136"/>
      <c r="AG801" s="136"/>
      <c r="AH801" s="136"/>
    </row>
    <row r="802" spans="1:34" s="132" customFormat="1" ht="12.75" customHeight="1" x14ac:dyDescent="0.25">
      <c r="A802" s="137"/>
      <c r="B802" s="139"/>
      <c r="C802" s="136"/>
      <c r="D802" s="131"/>
      <c r="E802" s="131"/>
      <c r="F802" s="58"/>
      <c r="G802" s="140"/>
      <c r="H802" s="140"/>
      <c r="I802" s="58"/>
      <c r="J802" s="58"/>
      <c r="K802" s="58"/>
      <c r="L802" s="58"/>
      <c r="M802" s="135"/>
      <c r="N802" s="135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35"/>
      <c r="Z802" s="58"/>
      <c r="AA802" s="58"/>
      <c r="AB802" s="58"/>
      <c r="AC802" s="58"/>
      <c r="AD802" s="58"/>
      <c r="AE802" s="138"/>
      <c r="AF802" s="136"/>
      <c r="AG802" s="136"/>
      <c r="AH802" s="136"/>
    </row>
    <row r="803" spans="1:34" s="132" customFormat="1" ht="12.75" customHeight="1" x14ac:dyDescent="0.25">
      <c r="A803" s="137"/>
      <c r="B803" s="139"/>
      <c r="C803" s="136"/>
      <c r="D803" s="131"/>
      <c r="E803" s="131"/>
      <c r="F803" s="58"/>
      <c r="G803" s="140"/>
      <c r="H803" s="140"/>
      <c r="I803" s="58"/>
      <c r="J803" s="58"/>
      <c r="K803" s="58"/>
      <c r="L803" s="58"/>
      <c r="M803" s="135"/>
      <c r="N803" s="135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35"/>
      <c r="Z803" s="58"/>
      <c r="AA803" s="58"/>
      <c r="AB803" s="58"/>
      <c r="AC803" s="58"/>
      <c r="AD803" s="58"/>
      <c r="AE803" s="138"/>
      <c r="AF803" s="136"/>
      <c r="AG803" s="136"/>
      <c r="AH803" s="136"/>
    </row>
    <row r="804" spans="1:34" s="132" customFormat="1" ht="12.75" customHeight="1" x14ac:dyDescent="0.25">
      <c r="A804" s="137"/>
      <c r="B804" s="139"/>
      <c r="C804" s="136"/>
      <c r="D804" s="131"/>
      <c r="E804" s="131"/>
      <c r="F804" s="58"/>
      <c r="G804" s="140"/>
      <c r="H804" s="140"/>
      <c r="I804" s="58"/>
      <c r="J804" s="58"/>
      <c r="K804" s="58"/>
      <c r="L804" s="58"/>
      <c r="M804" s="135"/>
      <c r="N804" s="135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35"/>
      <c r="Z804" s="58"/>
      <c r="AA804" s="58"/>
      <c r="AB804" s="58"/>
      <c r="AC804" s="58"/>
      <c r="AD804" s="58"/>
      <c r="AE804" s="138"/>
      <c r="AF804" s="136"/>
      <c r="AG804" s="136"/>
      <c r="AH804" s="136"/>
    </row>
    <row r="805" spans="1:34" s="132" customFormat="1" ht="12.75" customHeight="1" x14ac:dyDescent="0.25">
      <c r="A805" s="137"/>
      <c r="B805" s="139"/>
      <c r="C805" s="136"/>
      <c r="D805" s="131"/>
      <c r="E805" s="131"/>
      <c r="F805" s="58"/>
      <c r="G805" s="140"/>
      <c r="H805" s="140"/>
      <c r="I805" s="58"/>
      <c r="J805" s="58"/>
      <c r="K805" s="58"/>
      <c r="L805" s="58"/>
      <c r="M805" s="135"/>
      <c r="N805" s="135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35"/>
      <c r="Z805" s="58"/>
      <c r="AA805" s="58"/>
      <c r="AB805" s="58"/>
      <c r="AC805" s="58"/>
      <c r="AD805" s="58"/>
      <c r="AE805" s="138"/>
      <c r="AF805" s="136"/>
      <c r="AG805" s="136"/>
      <c r="AH805" s="136"/>
    </row>
    <row r="806" spans="1:34" s="132" customFormat="1" ht="12.75" customHeight="1" x14ac:dyDescent="0.25">
      <c r="A806" s="137"/>
      <c r="B806" s="139"/>
      <c r="C806" s="136"/>
      <c r="D806" s="131"/>
      <c r="E806" s="131"/>
      <c r="F806" s="58"/>
      <c r="G806" s="140"/>
      <c r="H806" s="140"/>
      <c r="I806" s="58"/>
      <c r="J806" s="58"/>
      <c r="K806" s="58"/>
      <c r="L806" s="58"/>
      <c r="M806" s="135"/>
      <c r="N806" s="135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35"/>
      <c r="Z806" s="58"/>
      <c r="AA806" s="58"/>
      <c r="AB806" s="58"/>
      <c r="AC806" s="58"/>
      <c r="AD806" s="58"/>
      <c r="AE806" s="138"/>
      <c r="AF806" s="136"/>
      <c r="AG806" s="136"/>
      <c r="AH806" s="136"/>
    </row>
    <row r="807" spans="1:34" s="132" customFormat="1" ht="12.75" customHeight="1" x14ac:dyDescent="0.25">
      <c r="A807" s="137"/>
      <c r="B807" s="139"/>
      <c r="C807" s="136"/>
      <c r="D807" s="131"/>
      <c r="E807" s="131"/>
      <c r="F807" s="58"/>
      <c r="G807" s="140"/>
      <c r="H807" s="140"/>
      <c r="I807" s="58"/>
      <c r="J807" s="58"/>
      <c r="K807" s="58"/>
      <c r="L807" s="58"/>
      <c r="M807" s="135"/>
      <c r="N807" s="135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35"/>
      <c r="Z807" s="58"/>
      <c r="AA807" s="58"/>
      <c r="AB807" s="58"/>
      <c r="AC807" s="58"/>
      <c r="AD807" s="58"/>
      <c r="AE807" s="138"/>
      <c r="AF807" s="136"/>
      <c r="AG807" s="136"/>
      <c r="AH807" s="136"/>
    </row>
    <row r="808" spans="1:34" s="132" customFormat="1" ht="12.75" customHeight="1" x14ac:dyDescent="0.25">
      <c r="A808" s="137"/>
      <c r="B808" s="139"/>
      <c r="C808" s="136"/>
      <c r="D808" s="131"/>
      <c r="E808" s="131"/>
      <c r="F808" s="58"/>
      <c r="G808" s="140"/>
      <c r="H808" s="140"/>
      <c r="I808" s="58"/>
      <c r="J808" s="58"/>
      <c r="K808" s="58"/>
      <c r="L808" s="58"/>
      <c r="M808" s="135"/>
      <c r="N808" s="135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35"/>
      <c r="Z808" s="58"/>
      <c r="AA808" s="58"/>
      <c r="AB808" s="58"/>
      <c r="AC808" s="58"/>
      <c r="AD808" s="58"/>
      <c r="AE808" s="138"/>
      <c r="AF808" s="136"/>
      <c r="AG808" s="136"/>
      <c r="AH808" s="136"/>
    </row>
    <row r="809" spans="1:34" s="132" customFormat="1" ht="12.75" customHeight="1" x14ac:dyDescent="0.25">
      <c r="A809" s="137"/>
      <c r="B809" s="139"/>
      <c r="C809" s="136"/>
      <c r="D809" s="131"/>
      <c r="E809" s="131"/>
      <c r="F809" s="58"/>
      <c r="G809" s="140"/>
      <c r="H809" s="140"/>
      <c r="I809" s="58"/>
      <c r="J809" s="58"/>
      <c r="K809" s="58"/>
      <c r="L809" s="58"/>
      <c r="M809" s="135"/>
      <c r="N809" s="135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35"/>
      <c r="Z809" s="58"/>
      <c r="AA809" s="58"/>
      <c r="AB809" s="58"/>
      <c r="AC809" s="58"/>
      <c r="AD809" s="58"/>
      <c r="AE809" s="138"/>
      <c r="AF809" s="136"/>
      <c r="AG809" s="136"/>
      <c r="AH809" s="136"/>
    </row>
    <row r="810" spans="1:34" s="132" customFormat="1" ht="12.75" customHeight="1" x14ac:dyDescent="0.25">
      <c r="A810" s="137"/>
      <c r="B810" s="139"/>
      <c r="C810" s="136"/>
      <c r="D810" s="131"/>
      <c r="E810" s="131"/>
      <c r="F810" s="58"/>
      <c r="G810" s="140"/>
      <c r="H810" s="140"/>
      <c r="I810" s="58"/>
      <c r="J810" s="58"/>
      <c r="K810" s="58"/>
      <c r="L810" s="58"/>
      <c r="M810" s="135"/>
      <c r="N810" s="135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35"/>
      <c r="Z810" s="58"/>
      <c r="AA810" s="58"/>
      <c r="AB810" s="58"/>
      <c r="AC810" s="58"/>
      <c r="AD810" s="58"/>
      <c r="AE810" s="138"/>
      <c r="AF810" s="136"/>
      <c r="AG810" s="136"/>
      <c r="AH810" s="136"/>
    </row>
    <row r="811" spans="1:34" s="132" customFormat="1" ht="12.75" customHeight="1" x14ac:dyDescent="0.25">
      <c r="A811" s="137"/>
      <c r="B811" s="139"/>
      <c r="C811" s="136"/>
      <c r="D811" s="131"/>
      <c r="E811" s="131"/>
      <c r="F811" s="58"/>
      <c r="G811" s="140"/>
      <c r="H811" s="140"/>
      <c r="I811" s="58"/>
      <c r="J811" s="58"/>
      <c r="K811" s="58"/>
      <c r="L811" s="58"/>
      <c r="M811" s="135"/>
      <c r="N811" s="135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35"/>
      <c r="Z811" s="58"/>
      <c r="AA811" s="58"/>
      <c r="AB811" s="58"/>
      <c r="AC811" s="58"/>
      <c r="AD811" s="58"/>
      <c r="AE811" s="138"/>
      <c r="AF811" s="136"/>
      <c r="AG811" s="136"/>
      <c r="AH811" s="136"/>
    </row>
    <row r="812" spans="1:34" s="132" customFormat="1" ht="12.75" customHeight="1" x14ac:dyDescent="0.25">
      <c r="A812" s="137"/>
      <c r="B812" s="139"/>
      <c r="C812" s="136"/>
      <c r="D812" s="131"/>
      <c r="E812" s="131"/>
      <c r="F812" s="58"/>
      <c r="G812" s="140"/>
      <c r="H812" s="140"/>
      <c r="I812" s="58"/>
      <c r="J812" s="58"/>
      <c r="K812" s="58"/>
      <c r="L812" s="58"/>
      <c r="M812" s="135"/>
      <c r="N812" s="135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35"/>
      <c r="Z812" s="58"/>
      <c r="AA812" s="58"/>
      <c r="AB812" s="58"/>
      <c r="AC812" s="58"/>
      <c r="AD812" s="58"/>
      <c r="AE812" s="138"/>
      <c r="AF812" s="136"/>
      <c r="AG812" s="136"/>
      <c r="AH812" s="136"/>
    </row>
    <row r="813" spans="1:34" s="132" customFormat="1" ht="12.75" customHeight="1" x14ac:dyDescent="0.25">
      <c r="A813" s="137"/>
      <c r="B813" s="139"/>
      <c r="C813" s="136"/>
      <c r="D813" s="131"/>
      <c r="E813" s="131"/>
      <c r="F813" s="58"/>
      <c r="G813" s="140"/>
      <c r="H813" s="140"/>
      <c r="I813" s="58"/>
      <c r="J813" s="58"/>
      <c r="K813" s="58"/>
      <c r="L813" s="58"/>
      <c r="M813" s="135"/>
      <c r="N813" s="135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35"/>
      <c r="Z813" s="58"/>
      <c r="AA813" s="58"/>
      <c r="AB813" s="58"/>
      <c r="AC813" s="58"/>
      <c r="AD813" s="58"/>
      <c r="AE813" s="138"/>
      <c r="AF813" s="136"/>
      <c r="AG813" s="136"/>
      <c r="AH813" s="136"/>
    </row>
    <row r="814" spans="1:34" s="132" customFormat="1" ht="12.75" customHeight="1" x14ac:dyDescent="0.25">
      <c r="A814" s="137"/>
      <c r="B814" s="139"/>
      <c r="C814" s="136"/>
      <c r="D814" s="131"/>
      <c r="E814" s="131"/>
      <c r="F814" s="58"/>
      <c r="G814" s="140"/>
      <c r="H814" s="140"/>
      <c r="I814" s="58"/>
      <c r="J814" s="58"/>
      <c r="K814" s="58"/>
      <c r="L814" s="58"/>
      <c r="M814" s="135"/>
      <c r="N814" s="135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35"/>
      <c r="Z814" s="58"/>
      <c r="AA814" s="58"/>
      <c r="AB814" s="58"/>
      <c r="AC814" s="58"/>
      <c r="AD814" s="58"/>
      <c r="AE814" s="138"/>
      <c r="AF814" s="136"/>
      <c r="AG814" s="136"/>
      <c r="AH814" s="136"/>
    </row>
    <row r="815" spans="1:34" s="132" customFormat="1" ht="12.75" customHeight="1" x14ac:dyDescent="0.25">
      <c r="A815" s="137"/>
      <c r="B815" s="139"/>
      <c r="C815" s="136"/>
      <c r="D815" s="131"/>
      <c r="E815" s="131"/>
      <c r="F815" s="58"/>
      <c r="G815" s="140"/>
      <c r="H815" s="140"/>
      <c r="I815" s="58"/>
      <c r="J815" s="58"/>
      <c r="K815" s="58"/>
      <c r="L815" s="58"/>
      <c r="M815" s="135"/>
      <c r="N815" s="135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35"/>
      <c r="Z815" s="58"/>
      <c r="AA815" s="58"/>
      <c r="AB815" s="58"/>
      <c r="AC815" s="58"/>
      <c r="AD815" s="58"/>
      <c r="AE815" s="138"/>
      <c r="AF815" s="136"/>
      <c r="AG815" s="136"/>
      <c r="AH815" s="136"/>
    </row>
    <row r="816" spans="1:34" s="132" customFormat="1" ht="12.75" customHeight="1" x14ac:dyDescent="0.25">
      <c r="A816" s="137"/>
      <c r="B816" s="139"/>
      <c r="C816" s="136"/>
      <c r="D816" s="131"/>
      <c r="E816" s="131"/>
      <c r="F816" s="58"/>
      <c r="G816" s="140"/>
      <c r="H816" s="140"/>
      <c r="I816" s="58"/>
      <c r="J816" s="58"/>
      <c r="K816" s="58"/>
      <c r="L816" s="58"/>
      <c r="M816" s="135"/>
      <c r="N816" s="135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35"/>
      <c r="Z816" s="58"/>
      <c r="AA816" s="58"/>
      <c r="AB816" s="58"/>
      <c r="AC816" s="58"/>
      <c r="AD816" s="58"/>
      <c r="AE816" s="138"/>
      <c r="AF816" s="136"/>
      <c r="AG816" s="136"/>
      <c r="AH816" s="136"/>
    </row>
    <row r="817" spans="1:34" s="132" customFormat="1" ht="12.75" customHeight="1" x14ac:dyDescent="0.25">
      <c r="A817" s="137"/>
      <c r="B817" s="139"/>
      <c r="C817" s="136"/>
      <c r="D817" s="131"/>
      <c r="E817" s="131"/>
      <c r="F817" s="58"/>
      <c r="G817" s="140"/>
      <c r="H817" s="140"/>
      <c r="I817" s="58"/>
      <c r="J817" s="58"/>
      <c r="K817" s="58"/>
      <c r="L817" s="58"/>
      <c r="M817" s="135"/>
      <c r="N817" s="135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35"/>
      <c r="Z817" s="58"/>
      <c r="AA817" s="58"/>
      <c r="AB817" s="58"/>
      <c r="AC817" s="58"/>
      <c r="AD817" s="58"/>
      <c r="AE817" s="138"/>
      <c r="AF817" s="136"/>
      <c r="AG817" s="136"/>
      <c r="AH817" s="136"/>
    </row>
    <row r="818" spans="1:34" s="132" customFormat="1" ht="12.75" customHeight="1" x14ac:dyDescent="0.25">
      <c r="A818" s="137"/>
      <c r="B818" s="139"/>
      <c r="C818" s="136"/>
      <c r="D818" s="131"/>
      <c r="E818" s="131"/>
      <c r="F818" s="58"/>
      <c r="G818" s="140"/>
      <c r="H818" s="140"/>
      <c r="I818" s="58"/>
      <c r="J818" s="58"/>
      <c r="K818" s="58"/>
      <c r="L818" s="58"/>
      <c r="M818" s="135"/>
      <c r="N818" s="135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35"/>
      <c r="Z818" s="58"/>
      <c r="AA818" s="58"/>
      <c r="AB818" s="58"/>
      <c r="AC818" s="58"/>
      <c r="AD818" s="58"/>
      <c r="AE818" s="138"/>
      <c r="AF818" s="136"/>
      <c r="AG818" s="136"/>
      <c r="AH818" s="136"/>
    </row>
    <row r="819" spans="1:34" s="132" customFormat="1" ht="12.75" customHeight="1" x14ac:dyDescent="0.25">
      <c r="A819" s="137"/>
      <c r="B819" s="139"/>
      <c r="C819" s="136"/>
      <c r="D819" s="131"/>
      <c r="E819" s="131"/>
      <c r="F819" s="58"/>
      <c r="G819" s="140"/>
      <c r="H819" s="140"/>
      <c r="I819" s="58"/>
      <c r="J819" s="58"/>
      <c r="K819" s="58"/>
      <c r="L819" s="58"/>
      <c r="M819" s="135"/>
      <c r="N819" s="135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35"/>
      <c r="Z819" s="58"/>
      <c r="AA819" s="58"/>
      <c r="AB819" s="58"/>
      <c r="AC819" s="58"/>
      <c r="AD819" s="58"/>
      <c r="AE819" s="138"/>
      <c r="AF819" s="136"/>
      <c r="AG819" s="136"/>
      <c r="AH819" s="136"/>
    </row>
    <row r="820" spans="1:34" s="132" customFormat="1" ht="12.75" customHeight="1" x14ac:dyDescent="0.25">
      <c r="A820" s="137"/>
      <c r="B820" s="139"/>
      <c r="C820" s="136"/>
      <c r="D820" s="131"/>
      <c r="E820" s="131"/>
      <c r="F820" s="58"/>
      <c r="G820" s="140"/>
      <c r="H820" s="140"/>
      <c r="I820" s="58"/>
      <c r="J820" s="58"/>
      <c r="K820" s="58"/>
      <c r="L820" s="58"/>
      <c r="M820" s="135"/>
      <c r="N820" s="135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35"/>
      <c r="Z820" s="58"/>
      <c r="AA820" s="58"/>
      <c r="AB820" s="58"/>
      <c r="AC820" s="58"/>
      <c r="AD820" s="58"/>
      <c r="AE820" s="138"/>
      <c r="AF820" s="136"/>
      <c r="AG820" s="136"/>
      <c r="AH820" s="136"/>
    </row>
    <row r="821" spans="1:34" s="132" customFormat="1" ht="12.75" customHeight="1" x14ac:dyDescent="0.25">
      <c r="A821" s="137"/>
      <c r="B821" s="139"/>
      <c r="C821" s="136"/>
      <c r="D821" s="131"/>
      <c r="E821" s="131"/>
      <c r="F821" s="58"/>
      <c r="G821" s="140"/>
      <c r="H821" s="140"/>
      <c r="I821" s="58"/>
      <c r="J821" s="58"/>
      <c r="K821" s="58"/>
      <c r="L821" s="58"/>
      <c r="M821" s="135"/>
      <c r="N821" s="135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35"/>
      <c r="Z821" s="58"/>
      <c r="AA821" s="58"/>
      <c r="AB821" s="58"/>
      <c r="AC821" s="58"/>
      <c r="AD821" s="58"/>
      <c r="AE821" s="138"/>
      <c r="AF821" s="136"/>
      <c r="AG821" s="136"/>
      <c r="AH821" s="136"/>
    </row>
    <row r="822" spans="1:34" s="132" customFormat="1" ht="12.75" customHeight="1" x14ac:dyDescent="0.25">
      <c r="A822" s="137"/>
      <c r="B822" s="139"/>
      <c r="C822" s="136"/>
      <c r="D822" s="131"/>
      <c r="E822" s="131"/>
      <c r="F822" s="58"/>
      <c r="G822" s="140"/>
      <c r="H822" s="140"/>
      <c r="I822" s="58"/>
      <c r="J822" s="58"/>
      <c r="K822" s="58"/>
      <c r="L822" s="58"/>
      <c r="M822" s="135"/>
      <c r="N822" s="135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35"/>
      <c r="Z822" s="58"/>
      <c r="AA822" s="58"/>
      <c r="AB822" s="58"/>
      <c r="AC822" s="58"/>
      <c r="AD822" s="58"/>
      <c r="AE822" s="138"/>
      <c r="AF822" s="136"/>
      <c r="AG822" s="136"/>
      <c r="AH822" s="136"/>
    </row>
    <row r="823" spans="1:34" s="132" customFormat="1" ht="12.75" customHeight="1" x14ac:dyDescent="0.25">
      <c r="A823" s="137"/>
      <c r="B823" s="139"/>
      <c r="C823" s="136"/>
      <c r="D823" s="131"/>
      <c r="E823" s="131"/>
      <c r="F823" s="58"/>
      <c r="G823" s="140"/>
      <c r="H823" s="140"/>
      <c r="I823" s="58"/>
      <c r="J823" s="58"/>
      <c r="K823" s="58"/>
      <c r="L823" s="58"/>
      <c r="M823" s="135"/>
      <c r="N823" s="135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35"/>
      <c r="Z823" s="58"/>
      <c r="AA823" s="58"/>
      <c r="AB823" s="58"/>
      <c r="AC823" s="58"/>
      <c r="AD823" s="58"/>
      <c r="AE823" s="138"/>
      <c r="AF823" s="136"/>
      <c r="AG823" s="136"/>
      <c r="AH823" s="136"/>
    </row>
    <row r="824" spans="1:34" s="132" customFormat="1" ht="12.75" customHeight="1" x14ac:dyDescent="0.25">
      <c r="A824" s="137"/>
      <c r="B824" s="139"/>
      <c r="C824" s="136"/>
      <c r="D824" s="131"/>
      <c r="E824" s="131"/>
      <c r="F824" s="58"/>
      <c r="G824" s="140"/>
      <c r="H824" s="140"/>
      <c r="I824" s="58"/>
      <c r="J824" s="58"/>
      <c r="K824" s="58"/>
      <c r="L824" s="58"/>
      <c r="M824" s="135"/>
      <c r="N824" s="135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35"/>
      <c r="Z824" s="58"/>
      <c r="AA824" s="58"/>
      <c r="AB824" s="58"/>
      <c r="AC824" s="58"/>
      <c r="AD824" s="58"/>
      <c r="AE824" s="138"/>
      <c r="AF824" s="136"/>
      <c r="AG824" s="136"/>
      <c r="AH824" s="136"/>
    </row>
    <row r="825" spans="1:34" s="132" customFormat="1" ht="12.75" customHeight="1" x14ac:dyDescent="0.25">
      <c r="A825" s="137"/>
      <c r="B825" s="139"/>
      <c r="C825" s="136"/>
      <c r="D825" s="131"/>
      <c r="E825" s="131"/>
      <c r="F825" s="58"/>
      <c r="G825" s="140"/>
      <c r="H825" s="140"/>
      <c r="I825" s="58"/>
      <c r="J825" s="58"/>
      <c r="K825" s="58"/>
      <c r="L825" s="58"/>
      <c r="M825" s="135"/>
      <c r="N825" s="135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35"/>
      <c r="Z825" s="58"/>
      <c r="AA825" s="58"/>
      <c r="AB825" s="58"/>
      <c r="AC825" s="58"/>
      <c r="AD825" s="58"/>
      <c r="AE825" s="138"/>
      <c r="AF825" s="136"/>
      <c r="AG825" s="136"/>
      <c r="AH825" s="136"/>
    </row>
    <row r="826" spans="1:34" s="132" customFormat="1" ht="12.75" customHeight="1" x14ac:dyDescent="0.25">
      <c r="A826" s="137"/>
      <c r="B826" s="139"/>
      <c r="C826" s="136"/>
      <c r="D826" s="131"/>
      <c r="E826" s="131"/>
      <c r="F826" s="58"/>
      <c r="G826" s="140"/>
      <c r="H826" s="140"/>
      <c r="I826" s="58"/>
      <c r="J826" s="58"/>
      <c r="K826" s="58"/>
      <c r="L826" s="58"/>
      <c r="M826" s="135"/>
      <c r="N826" s="135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35"/>
      <c r="Z826" s="58"/>
      <c r="AA826" s="58"/>
      <c r="AB826" s="58"/>
      <c r="AC826" s="58"/>
      <c r="AD826" s="58"/>
      <c r="AE826" s="138"/>
      <c r="AF826" s="136"/>
      <c r="AG826" s="136"/>
      <c r="AH826" s="136"/>
    </row>
    <row r="827" spans="1:34" s="132" customFormat="1" ht="12.75" customHeight="1" x14ac:dyDescent="0.25">
      <c r="A827" s="137"/>
      <c r="B827" s="139"/>
      <c r="C827" s="136"/>
      <c r="D827" s="131"/>
      <c r="E827" s="131"/>
      <c r="F827" s="58"/>
      <c r="G827" s="140"/>
      <c r="H827" s="140"/>
      <c r="I827" s="58"/>
      <c r="J827" s="58"/>
      <c r="K827" s="58"/>
      <c r="L827" s="58"/>
      <c r="M827" s="135"/>
      <c r="N827" s="135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35"/>
      <c r="Z827" s="58"/>
      <c r="AA827" s="58"/>
      <c r="AB827" s="58"/>
      <c r="AC827" s="58"/>
      <c r="AD827" s="58"/>
      <c r="AE827" s="138"/>
      <c r="AF827" s="136"/>
      <c r="AG827" s="136"/>
      <c r="AH827" s="136"/>
    </row>
    <row r="828" spans="1:34" s="132" customFormat="1" ht="12.75" customHeight="1" x14ac:dyDescent="0.25">
      <c r="A828" s="137"/>
      <c r="B828" s="139"/>
      <c r="C828" s="136"/>
      <c r="D828" s="131"/>
      <c r="E828" s="131"/>
      <c r="F828" s="58"/>
      <c r="G828" s="140"/>
      <c r="H828" s="140"/>
      <c r="I828" s="58"/>
      <c r="J828" s="58"/>
      <c r="K828" s="58"/>
      <c r="L828" s="58"/>
      <c r="M828" s="135"/>
      <c r="N828" s="135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35"/>
      <c r="Z828" s="58"/>
      <c r="AA828" s="58"/>
      <c r="AB828" s="58"/>
      <c r="AC828" s="58"/>
      <c r="AD828" s="58"/>
      <c r="AE828" s="138"/>
      <c r="AF828" s="136"/>
      <c r="AG828" s="136"/>
      <c r="AH828" s="136"/>
    </row>
    <row r="829" spans="1:34" s="132" customFormat="1" ht="12.75" customHeight="1" x14ac:dyDescent="0.25">
      <c r="A829" s="137"/>
      <c r="B829" s="139"/>
      <c r="C829" s="136"/>
      <c r="D829" s="131"/>
      <c r="E829" s="131"/>
      <c r="F829" s="58"/>
      <c r="G829" s="140"/>
      <c r="H829" s="140"/>
      <c r="I829" s="58"/>
      <c r="J829" s="58"/>
      <c r="K829" s="58"/>
      <c r="L829" s="58"/>
      <c r="M829" s="135"/>
      <c r="N829" s="135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35"/>
      <c r="Z829" s="58"/>
      <c r="AA829" s="58"/>
      <c r="AB829" s="58"/>
      <c r="AC829" s="58"/>
      <c r="AD829" s="58"/>
      <c r="AE829" s="138"/>
      <c r="AF829" s="136"/>
      <c r="AG829" s="136"/>
      <c r="AH829" s="136"/>
    </row>
    <row r="830" spans="1:34" s="132" customFormat="1" ht="12.75" customHeight="1" x14ac:dyDescent="0.25">
      <c r="A830" s="137"/>
      <c r="B830" s="139"/>
      <c r="C830" s="136"/>
      <c r="D830" s="131"/>
      <c r="E830" s="131"/>
      <c r="F830" s="58"/>
      <c r="G830" s="140"/>
      <c r="H830" s="140"/>
      <c r="I830" s="58"/>
      <c r="J830" s="58"/>
      <c r="K830" s="58"/>
      <c r="L830" s="58"/>
      <c r="M830" s="135"/>
      <c r="N830" s="135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35"/>
      <c r="Z830" s="58"/>
      <c r="AA830" s="58"/>
      <c r="AB830" s="58"/>
      <c r="AC830" s="58"/>
      <c r="AD830" s="58"/>
      <c r="AE830" s="138"/>
      <c r="AF830" s="136"/>
      <c r="AG830" s="136"/>
      <c r="AH830" s="136"/>
    </row>
    <row r="831" spans="1:34" s="132" customFormat="1" ht="12.75" customHeight="1" x14ac:dyDescent="0.25">
      <c r="A831" s="137"/>
      <c r="B831" s="139"/>
      <c r="C831" s="136"/>
      <c r="D831" s="131"/>
      <c r="E831" s="131"/>
      <c r="F831" s="58"/>
      <c r="G831" s="140"/>
      <c r="H831" s="140"/>
      <c r="I831" s="58"/>
      <c r="J831" s="58"/>
      <c r="K831" s="58"/>
      <c r="L831" s="58"/>
      <c r="M831" s="135"/>
      <c r="N831" s="135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35"/>
      <c r="Z831" s="58"/>
      <c r="AA831" s="58"/>
      <c r="AB831" s="58"/>
      <c r="AC831" s="58"/>
      <c r="AD831" s="58"/>
      <c r="AE831" s="138"/>
      <c r="AF831" s="136"/>
      <c r="AG831" s="136"/>
      <c r="AH831" s="136"/>
    </row>
    <row r="832" spans="1:34" s="132" customFormat="1" ht="12.75" customHeight="1" x14ac:dyDescent="0.25">
      <c r="A832" s="137"/>
      <c r="B832" s="139"/>
      <c r="C832" s="136"/>
      <c r="D832" s="131"/>
      <c r="E832" s="131"/>
      <c r="F832" s="58"/>
      <c r="G832" s="140"/>
      <c r="H832" s="140"/>
      <c r="I832" s="58"/>
      <c r="J832" s="58"/>
      <c r="K832" s="58"/>
      <c r="L832" s="58"/>
      <c r="M832" s="135"/>
      <c r="N832" s="135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35"/>
      <c r="Z832" s="58"/>
      <c r="AA832" s="58"/>
      <c r="AB832" s="58"/>
      <c r="AC832" s="58"/>
      <c r="AD832" s="58"/>
      <c r="AE832" s="138"/>
      <c r="AF832" s="136"/>
      <c r="AG832" s="136"/>
      <c r="AH832" s="136"/>
    </row>
    <row r="833" spans="1:34" s="132" customFormat="1" ht="12.75" customHeight="1" x14ac:dyDescent="0.25">
      <c r="A833" s="137"/>
      <c r="B833" s="139"/>
      <c r="C833" s="136"/>
      <c r="D833" s="131"/>
      <c r="E833" s="131"/>
      <c r="F833" s="58"/>
      <c r="G833" s="140"/>
      <c r="H833" s="140"/>
      <c r="I833" s="58"/>
      <c r="J833" s="58"/>
      <c r="K833" s="58"/>
      <c r="L833" s="58"/>
      <c r="M833" s="135"/>
      <c r="N833" s="135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35"/>
      <c r="Z833" s="58"/>
      <c r="AA833" s="58"/>
      <c r="AB833" s="58"/>
      <c r="AC833" s="58"/>
      <c r="AD833" s="58"/>
      <c r="AE833" s="138"/>
      <c r="AF833" s="136"/>
      <c r="AG833" s="136"/>
      <c r="AH833" s="136"/>
    </row>
    <row r="834" spans="1:34" s="132" customFormat="1" ht="12.75" customHeight="1" x14ac:dyDescent="0.25">
      <c r="A834" s="137"/>
      <c r="B834" s="139"/>
      <c r="C834" s="136"/>
      <c r="D834" s="131"/>
      <c r="E834" s="131"/>
      <c r="F834" s="58"/>
      <c r="G834" s="140"/>
      <c r="H834" s="140"/>
      <c r="I834" s="58"/>
      <c r="J834" s="58"/>
      <c r="K834" s="58"/>
      <c r="L834" s="58"/>
      <c r="M834" s="135"/>
      <c r="N834" s="135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35"/>
      <c r="Z834" s="58"/>
      <c r="AA834" s="58"/>
      <c r="AB834" s="58"/>
      <c r="AC834" s="58"/>
      <c r="AD834" s="58"/>
      <c r="AE834" s="138"/>
      <c r="AF834" s="136"/>
      <c r="AG834" s="136"/>
      <c r="AH834" s="136"/>
    </row>
    <row r="835" spans="1:34" s="132" customFormat="1" ht="12.75" customHeight="1" x14ac:dyDescent="0.25">
      <c r="A835" s="137"/>
      <c r="B835" s="139"/>
      <c r="C835" s="136"/>
      <c r="D835" s="131"/>
      <c r="E835" s="131"/>
      <c r="F835" s="58"/>
      <c r="G835" s="140"/>
      <c r="H835" s="140"/>
      <c r="I835" s="58"/>
      <c r="J835" s="58"/>
      <c r="K835" s="58"/>
      <c r="L835" s="58"/>
      <c r="M835" s="135"/>
      <c r="N835" s="135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35"/>
      <c r="Z835" s="58"/>
      <c r="AA835" s="58"/>
      <c r="AB835" s="58"/>
      <c r="AC835" s="58"/>
      <c r="AD835" s="58"/>
      <c r="AE835" s="138"/>
      <c r="AF835" s="136"/>
      <c r="AG835" s="136"/>
      <c r="AH835" s="136"/>
    </row>
    <row r="836" spans="1:34" s="132" customFormat="1" ht="12.75" customHeight="1" x14ac:dyDescent="0.25">
      <c r="A836" s="137"/>
      <c r="B836" s="139"/>
      <c r="C836" s="136"/>
      <c r="D836" s="131"/>
      <c r="E836" s="131"/>
      <c r="F836" s="58"/>
      <c r="G836" s="140"/>
      <c r="H836" s="140"/>
      <c r="I836" s="58"/>
      <c r="J836" s="58"/>
      <c r="K836" s="58"/>
      <c r="L836" s="58"/>
      <c r="M836" s="135"/>
      <c r="N836" s="135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35"/>
      <c r="Z836" s="58"/>
      <c r="AA836" s="58"/>
      <c r="AB836" s="58"/>
      <c r="AC836" s="58"/>
      <c r="AD836" s="58"/>
      <c r="AE836" s="138"/>
      <c r="AF836" s="136"/>
      <c r="AG836" s="136"/>
      <c r="AH836" s="136"/>
    </row>
    <row r="837" spans="1:34" s="132" customFormat="1" ht="12.75" customHeight="1" x14ac:dyDescent="0.25">
      <c r="A837" s="137"/>
      <c r="B837" s="139"/>
      <c r="C837" s="136"/>
      <c r="D837" s="131"/>
      <c r="E837" s="131"/>
      <c r="F837" s="58"/>
      <c r="G837" s="140"/>
      <c r="H837" s="140"/>
      <c r="I837" s="58"/>
      <c r="J837" s="58"/>
      <c r="K837" s="58"/>
      <c r="L837" s="58"/>
      <c r="M837" s="135"/>
      <c r="N837" s="135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35"/>
      <c r="Z837" s="58"/>
      <c r="AA837" s="58"/>
      <c r="AB837" s="58"/>
      <c r="AC837" s="58"/>
      <c r="AD837" s="58"/>
      <c r="AE837" s="138"/>
      <c r="AF837" s="136"/>
      <c r="AG837" s="136"/>
      <c r="AH837" s="136"/>
    </row>
    <row r="838" spans="1:34" s="132" customFormat="1" ht="12.75" customHeight="1" x14ac:dyDescent="0.25">
      <c r="A838" s="137"/>
      <c r="B838" s="139"/>
      <c r="C838" s="136"/>
      <c r="D838" s="131"/>
      <c r="E838" s="131"/>
      <c r="F838" s="58"/>
      <c r="G838" s="140"/>
      <c r="H838" s="140"/>
      <c r="I838" s="58"/>
      <c r="J838" s="58"/>
      <c r="K838" s="58"/>
      <c r="L838" s="58"/>
      <c r="M838" s="135"/>
      <c r="N838" s="135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35"/>
      <c r="Z838" s="58"/>
      <c r="AA838" s="58"/>
      <c r="AB838" s="58"/>
      <c r="AC838" s="58"/>
      <c r="AD838" s="58"/>
      <c r="AE838" s="138"/>
      <c r="AF838" s="136"/>
      <c r="AG838" s="136"/>
      <c r="AH838" s="136"/>
    </row>
    <row r="839" spans="1:34" s="132" customFormat="1" ht="12.75" customHeight="1" x14ac:dyDescent="0.25">
      <c r="A839" s="137"/>
      <c r="B839" s="139"/>
      <c r="C839" s="136"/>
      <c r="D839" s="131"/>
      <c r="E839" s="131"/>
      <c r="F839" s="58"/>
      <c r="G839" s="140"/>
      <c r="H839" s="140"/>
      <c r="I839" s="58"/>
      <c r="J839" s="58"/>
      <c r="K839" s="58"/>
      <c r="L839" s="58"/>
      <c r="M839" s="135"/>
      <c r="N839" s="135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35"/>
      <c r="Z839" s="58"/>
      <c r="AA839" s="58"/>
      <c r="AB839" s="58"/>
      <c r="AC839" s="58"/>
      <c r="AD839" s="58"/>
      <c r="AE839" s="138"/>
      <c r="AF839" s="136"/>
      <c r="AG839" s="136"/>
      <c r="AH839" s="136"/>
    </row>
    <row r="840" spans="1:34" s="132" customFormat="1" ht="12.75" customHeight="1" x14ac:dyDescent="0.25">
      <c r="A840" s="137"/>
      <c r="B840" s="139"/>
      <c r="C840" s="136"/>
      <c r="D840" s="131"/>
      <c r="E840" s="131"/>
      <c r="F840" s="58"/>
      <c r="G840" s="140"/>
      <c r="H840" s="140"/>
      <c r="I840" s="58"/>
      <c r="J840" s="58"/>
      <c r="K840" s="58"/>
      <c r="L840" s="58"/>
      <c r="M840" s="135"/>
      <c r="N840" s="135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35"/>
      <c r="Z840" s="58"/>
      <c r="AA840" s="58"/>
      <c r="AB840" s="58"/>
      <c r="AC840" s="58"/>
      <c r="AD840" s="58"/>
      <c r="AE840" s="138"/>
      <c r="AF840" s="136"/>
      <c r="AG840" s="136"/>
      <c r="AH840" s="136"/>
    </row>
    <row r="841" spans="1:34" s="132" customFormat="1" ht="12.75" customHeight="1" x14ac:dyDescent="0.25">
      <c r="A841" s="137"/>
      <c r="B841" s="139"/>
      <c r="C841" s="136"/>
      <c r="D841" s="131"/>
      <c r="E841" s="131"/>
      <c r="F841" s="58"/>
      <c r="G841" s="140"/>
      <c r="H841" s="140"/>
      <c r="I841" s="58"/>
      <c r="J841" s="58"/>
      <c r="K841" s="58"/>
      <c r="L841" s="58"/>
      <c r="M841" s="135"/>
      <c r="N841" s="135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35"/>
      <c r="Z841" s="58"/>
      <c r="AA841" s="58"/>
      <c r="AB841" s="58"/>
      <c r="AC841" s="58"/>
      <c r="AD841" s="58"/>
      <c r="AE841" s="138"/>
      <c r="AF841" s="136"/>
      <c r="AG841" s="136"/>
      <c r="AH841" s="136"/>
    </row>
    <row r="842" spans="1:34" s="132" customFormat="1" ht="12.75" customHeight="1" x14ac:dyDescent="0.25">
      <c r="A842" s="137"/>
      <c r="B842" s="139"/>
      <c r="C842" s="136"/>
      <c r="D842" s="131"/>
      <c r="E842" s="131"/>
      <c r="F842" s="58"/>
      <c r="G842" s="140"/>
      <c r="H842" s="140"/>
      <c r="I842" s="58"/>
      <c r="J842" s="58"/>
      <c r="K842" s="58"/>
      <c r="L842" s="58"/>
      <c r="M842" s="135"/>
      <c r="N842" s="135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35"/>
      <c r="Z842" s="58"/>
      <c r="AA842" s="58"/>
      <c r="AB842" s="58"/>
      <c r="AC842" s="58"/>
      <c r="AD842" s="58"/>
      <c r="AE842" s="138"/>
      <c r="AF842" s="136"/>
      <c r="AG842" s="136"/>
      <c r="AH842" s="136"/>
    </row>
    <row r="843" spans="1:34" s="132" customFormat="1" ht="12.75" customHeight="1" x14ac:dyDescent="0.25">
      <c r="A843" s="137"/>
      <c r="B843" s="139"/>
      <c r="C843" s="136"/>
      <c r="D843" s="131"/>
      <c r="E843" s="131"/>
      <c r="F843" s="58"/>
      <c r="G843" s="140"/>
      <c r="H843" s="140"/>
      <c r="I843" s="58"/>
      <c r="J843" s="58"/>
      <c r="K843" s="58"/>
      <c r="L843" s="58"/>
      <c r="M843" s="135"/>
      <c r="N843" s="135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35"/>
      <c r="Z843" s="58"/>
      <c r="AA843" s="58"/>
      <c r="AB843" s="58"/>
      <c r="AC843" s="58"/>
      <c r="AD843" s="58"/>
      <c r="AE843" s="138"/>
      <c r="AF843" s="136"/>
      <c r="AG843" s="136"/>
      <c r="AH843" s="136"/>
    </row>
    <row r="844" spans="1:34" s="132" customFormat="1" ht="12.75" customHeight="1" x14ac:dyDescent="0.25">
      <c r="A844" s="137"/>
      <c r="B844" s="139"/>
      <c r="C844" s="136"/>
      <c r="D844" s="131"/>
      <c r="E844" s="131"/>
      <c r="F844" s="58"/>
      <c r="G844" s="140"/>
      <c r="H844" s="140"/>
      <c r="I844" s="58"/>
      <c r="J844" s="58"/>
      <c r="K844" s="58"/>
      <c r="L844" s="58"/>
      <c r="M844" s="135"/>
      <c r="N844" s="135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35"/>
      <c r="Z844" s="58"/>
      <c r="AA844" s="58"/>
      <c r="AB844" s="58"/>
      <c r="AC844" s="58"/>
      <c r="AD844" s="58"/>
      <c r="AE844" s="138"/>
      <c r="AF844" s="136"/>
      <c r="AG844" s="136"/>
      <c r="AH844" s="136"/>
    </row>
    <row r="845" spans="1:34" s="132" customFormat="1" ht="12.75" customHeight="1" x14ac:dyDescent="0.25">
      <c r="A845" s="137"/>
      <c r="B845" s="139"/>
      <c r="C845" s="136"/>
      <c r="D845" s="131"/>
      <c r="E845" s="131"/>
      <c r="F845" s="58"/>
      <c r="G845" s="140"/>
      <c r="H845" s="140"/>
      <c r="I845" s="58"/>
      <c r="J845" s="58"/>
      <c r="K845" s="58"/>
      <c r="L845" s="58"/>
      <c r="M845" s="135"/>
      <c r="N845" s="135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35"/>
      <c r="Z845" s="58"/>
      <c r="AA845" s="58"/>
      <c r="AB845" s="58"/>
      <c r="AC845" s="58"/>
      <c r="AD845" s="58"/>
      <c r="AE845" s="138"/>
      <c r="AF845" s="136"/>
      <c r="AG845" s="136"/>
      <c r="AH845" s="136"/>
    </row>
    <row r="846" spans="1:34" s="132" customFormat="1" ht="12.75" customHeight="1" x14ac:dyDescent="0.25">
      <c r="A846" s="137"/>
      <c r="B846" s="139"/>
      <c r="C846" s="136"/>
      <c r="D846" s="131"/>
      <c r="E846" s="131"/>
      <c r="F846" s="58"/>
      <c r="G846" s="140"/>
      <c r="H846" s="140"/>
      <c r="I846" s="58"/>
      <c r="J846" s="58"/>
      <c r="K846" s="58"/>
      <c r="L846" s="58"/>
      <c r="M846" s="135"/>
      <c r="N846" s="135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35"/>
      <c r="Z846" s="58"/>
      <c r="AA846" s="58"/>
      <c r="AB846" s="58"/>
      <c r="AC846" s="58"/>
      <c r="AD846" s="58"/>
      <c r="AE846" s="138"/>
      <c r="AF846" s="136"/>
      <c r="AG846" s="136"/>
      <c r="AH846" s="136"/>
    </row>
    <row r="847" spans="1:34" s="132" customFormat="1" ht="12.75" customHeight="1" x14ac:dyDescent="0.25">
      <c r="A847" s="137"/>
      <c r="B847" s="139"/>
      <c r="C847" s="136"/>
      <c r="D847" s="131"/>
      <c r="E847" s="131"/>
      <c r="F847" s="58"/>
      <c r="G847" s="140"/>
      <c r="H847" s="140"/>
      <c r="I847" s="58"/>
      <c r="J847" s="58"/>
      <c r="K847" s="58"/>
      <c r="L847" s="58"/>
      <c r="M847" s="135"/>
      <c r="N847" s="135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35"/>
      <c r="Z847" s="58"/>
      <c r="AA847" s="58"/>
      <c r="AB847" s="58"/>
      <c r="AC847" s="58"/>
      <c r="AD847" s="58"/>
      <c r="AE847" s="138"/>
      <c r="AF847" s="136"/>
      <c r="AG847" s="136"/>
      <c r="AH847" s="136"/>
    </row>
    <row r="848" spans="1:34" s="132" customFormat="1" ht="12.75" customHeight="1" x14ac:dyDescent="0.25">
      <c r="A848" s="137"/>
      <c r="B848" s="139"/>
      <c r="C848" s="136"/>
      <c r="D848" s="131"/>
      <c r="E848" s="131"/>
      <c r="F848" s="58"/>
      <c r="G848" s="140"/>
      <c r="H848" s="140"/>
      <c r="I848" s="58"/>
      <c r="J848" s="58"/>
      <c r="K848" s="58"/>
      <c r="L848" s="58"/>
      <c r="M848" s="135"/>
      <c r="N848" s="135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35"/>
      <c r="Z848" s="58"/>
      <c r="AA848" s="58"/>
      <c r="AB848" s="58"/>
      <c r="AC848" s="58"/>
      <c r="AD848" s="58"/>
      <c r="AE848" s="138"/>
      <c r="AF848" s="136"/>
      <c r="AG848" s="136"/>
      <c r="AH848" s="136"/>
    </row>
    <row r="849" spans="1:34" s="132" customFormat="1" ht="12.75" customHeight="1" x14ac:dyDescent="0.25">
      <c r="A849" s="137"/>
      <c r="B849" s="139"/>
      <c r="C849" s="136"/>
      <c r="D849" s="131"/>
      <c r="E849" s="131"/>
      <c r="F849" s="58"/>
      <c r="G849" s="140"/>
      <c r="H849" s="140"/>
      <c r="I849" s="58"/>
      <c r="J849" s="58"/>
      <c r="K849" s="58"/>
      <c r="L849" s="58"/>
      <c r="M849" s="135"/>
      <c r="N849" s="135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35"/>
      <c r="Z849" s="58"/>
      <c r="AA849" s="58"/>
      <c r="AB849" s="58"/>
      <c r="AC849" s="58"/>
      <c r="AD849" s="58"/>
      <c r="AE849" s="138"/>
      <c r="AF849" s="136"/>
      <c r="AG849" s="136"/>
      <c r="AH849" s="136"/>
    </row>
    <row r="850" spans="1:34" s="132" customFormat="1" ht="12.75" customHeight="1" x14ac:dyDescent="0.25">
      <c r="A850" s="137"/>
      <c r="B850" s="139"/>
      <c r="C850" s="136"/>
      <c r="D850" s="131"/>
      <c r="E850" s="131"/>
      <c r="F850" s="58"/>
      <c r="G850" s="140"/>
      <c r="H850" s="140"/>
      <c r="I850" s="58"/>
      <c r="J850" s="58"/>
      <c r="K850" s="58"/>
      <c r="L850" s="58"/>
      <c r="M850" s="135"/>
      <c r="N850" s="135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35"/>
      <c r="Z850" s="58"/>
      <c r="AA850" s="58"/>
      <c r="AB850" s="58"/>
      <c r="AC850" s="58"/>
      <c r="AD850" s="58"/>
      <c r="AE850" s="138"/>
      <c r="AF850" s="136"/>
      <c r="AG850" s="136"/>
      <c r="AH850" s="136"/>
    </row>
    <row r="851" spans="1:34" s="132" customFormat="1" ht="12.75" customHeight="1" x14ac:dyDescent="0.25">
      <c r="A851" s="137"/>
      <c r="B851" s="139"/>
      <c r="C851" s="136"/>
      <c r="D851" s="131"/>
      <c r="E851" s="131"/>
      <c r="F851" s="58"/>
      <c r="G851" s="140"/>
      <c r="H851" s="140"/>
      <c r="I851" s="58"/>
      <c r="J851" s="58"/>
      <c r="K851" s="58"/>
      <c r="L851" s="58"/>
      <c r="M851" s="135"/>
      <c r="N851" s="135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35"/>
      <c r="Z851" s="58"/>
      <c r="AA851" s="58"/>
      <c r="AB851" s="58"/>
      <c r="AC851" s="58"/>
      <c r="AD851" s="58"/>
      <c r="AE851" s="138"/>
      <c r="AF851" s="136"/>
      <c r="AG851" s="136"/>
      <c r="AH851" s="136"/>
    </row>
    <row r="852" spans="1:34" s="132" customFormat="1" ht="12.75" customHeight="1" x14ac:dyDescent="0.25">
      <c r="A852" s="137"/>
      <c r="B852" s="139"/>
      <c r="C852" s="136"/>
      <c r="D852" s="131"/>
      <c r="E852" s="131"/>
      <c r="F852" s="58"/>
      <c r="G852" s="140"/>
      <c r="H852" s="140"/>
      <c r="I852" s="58"/>
      <c r="J852" s="58"/>
      <c r="K852" s="58"/>
      <c r="L852" s="58"/>
      <c r="M852" s="135"/>
      <c r="N852" s="135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35"/>
      <c r="Z852" s="58"/>
      <c r="AA852" s="58"/>
      <c r="AB852" s="58"/>
      <c r="AC852" s="58"/>
      <c r="AD852" s="58"/>
      <c r="AE852" s="138"/>
      <c r="AF852" s="136"/>
      <c r="AG852" s="136"/>
      <c r="AH852" s="136"/>
    </row>
    <row r="853" spans="1:34" s="132" customFormat="1" ht="12.75" customHeight="1" x14ac:dyDescent="0.25">
      <c r="A853" s="137"/>
      <c r="B853" s="139"/>
      <c r="C853" s="136"/>
      <c r="D853" s="131"/>
      <c r="E853" s="131"/>
      <c r="F853" s="58"/>
      <c r="G853" s="140"/>
      <c r="H853" s="140"/>
      <c r="I853" s="58"/>
      <c r="J853" s="58"/>
      <c r="K853" s="58"/>
      <c r="L853" s="58"/>
      <c r="M853" s="135"/>
      <c r="N853" s="135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35"/>
      <c r="Z853" s="58"/>
      <c r="AA853" s="58"/>
      <c r="AB853" s="58"/>
      <c r="AC853" s="58"/>
      <c r="AD853" s="58"/>
      <c r="AE853" s="138"/>
      <c r="AF853" s="136"/>
      <c r="AG853" s="136"/>
      <c r="AH853" s="136"/>
    </row>
    <row r="854" spans="1:34" s="132" customFormat="1" ht="12.75" customHeight="1" x14ac:dyDescent="0.25">
      <c r="A854" s="137"/>
      <c r="B854" s="139"/>
      <c r="C854" s="136"/>
      <c r="D854" s="131"/>
      <c r="E854" s="131"/>
      <c r="F854" s="58"/>
      <c r="G854" s="140"/>
      <c r="H854" s="140"/>
      <c r="I854" s="58"/>
      <c r="J854" s="58"/>
      <c r="K854" s="58"/>
      <c r="L854" s="58"/>
      <c r="M854" s="135"/>
      <c r="N854" s="135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35"/>
      <c r="Z854" s="58"/>
      <c r="AA854" s="58"/>
      <c r="AB854" s="58"/>
      <c r="AC854" s="58"/>
      <c r="AD854" s="58"/>
      <c r="AE854" s="138"/>
      <c r="AF854" s="136"/>
      <c r="AG854" s="136"/>
      <c r="AH854" s="136"/>
    </row>
    <row r="855" spans="1:34" s="132" customFormat="1" ht="12.75" customHeight="1" x14ac:dyDescent="0.25">
      <c r="A855" s="137"/>
      <c r="B855" s="139"/>
      <c r="C855" s="136"/>
      <c r="D855" s="131"/>
      <c r="E855" s="131"/>
      <c r="F855" s="58"/>
      <c r="G855" s="140"/>
      <c r="H855" s="140"/>
      <c r="I855" s="58"/>
      <c r="J855" s="58"/>
      <c r="K855" s="58"/>
      <c r="L855" s="58"/>
      <c r="M855" s="135"/>
      <c r="N855" s="135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35"/>
      <c r="Z855" s="58"/>
      <c r="AA855" s="58"/>
      <c r="AB855" s="58"/>
      <c r="AC855" s="58"/>
      <c r="AD855" s="58"/>
      <c r="AE855" s="138"/>
      <c r="AF855" s="136"/>
      <c r="AG855" s="136"/>
      <c r="AH855" s="136"/>
    </row>
    <row r="856" spans="1:34" s="132" customFormat="1" ht="12.75" customHeight="1" x14ac:dyDescent="0.25">
      <c r="A856" s="137"/>
      <c r="B856" s="139"/>
      <c r="C856" s="136"/>
      <c r="D856" s="131"/>
      <c r="E856" s="131"/>
      <c r="F856" s="58"/>
      <c r="G856" s="140"/>
      <c r="H856" s="140"/>
      <c r="I856" s="58"/>
      <c r="J856" s="58"/>
      <c r="K856" s="58"/>
      <c r="L856" s="58"/>
      <c r="M856" s="135"/>
      <c r="N856" s="135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35"/>
      <c r="Z856" s="58"/>
      <c r="AA856" s="58"/>
      <c r="AB856" s="58"/>
      <c r="AC856" s="58"/>
      <c r="AD856" s="58"/>
      <c r="AE856" s="138"/>
      <c r="AF856" s="136"/>
      <c r="AG856" s="136"/>
      <c r="AH856" s="136"/>
    </row>
    <row r="857" spans="1:34" s="132" customFormat="1" ht="12.75" customHeight="1" x14ac:dyDescent="0.25">
      <c r="A857" s="137"/>
      <c r="B857" s="139"/>
      <c r="C857" s="136"/>
      <c r="D857" s="131"/>
      <c r="E857" s="131"/>
      <c r="F857" s="58"/>
      <c r="G857" s="140"/>
      <c r="H857" s="140"/>
      <c r="I857" s="58"/>
      <c r="J857" s="58"/>
      <c r="K857" s="58"/>
      <c r="L857" s="58"/>
      <c r="M857" s="135"/>
      <c r="N857" s="135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35"/>
      <c r="Z857" s="58"/>
      <c r="AA857" s="58"/>
      <c r="AB857" s="58"/>
      <c r="AC857" s="58"/>
      <c r="AD857" s="58"/>
      <c r="AE857" s="138"/>
      <c r="AF857" s="136"/>
      <c r="AG857" s="136"/>
      <c r="AH857" s="136"/>
    </row>
    <row r="858" spans="1:34" s="132" customFormat="1" ht="12.75" customHeight="1" x14ac:dyDescent="0.25">
      <c r="A858" s="137"/>
      <c r="B858" s="139"/>
      <c r="C858" s="136"/>
      <c r="D858" s="131"/>
      <c r="E858" s="131"/>
      <c r="F858" s="58"/>
      <c r="G858" s="140"/>
      <c r="H858" s="140"/>
      <c r="I858" s="58"/>
      <c r="J858" s="58"/>
      <c r="K858" s="58"/>
      <c r="L858" s="58"/>
      <c r="M858" s="135"/>
      <c r="N858" s="135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35"/>
      <c r="Z858" s="58"/>
      <c r="AA858" s="58"/>
      <c r="AB858" s="58"/>
      <c r="AC858" s="58"/>
      <c r="AD858" s="58"/>
      <c r="AE858" s="138"/>
      <c r="AF858" s="136"/>
      <c r="AG858" s="136"/>
      <c r="AH858" s="136"/>
    </row>
    <row r="859" spans="1:34" s="132" customFormat="1" ht="12.75" customHeight="1" x14ac:dyDescent="0.25">
      <c r="A859" s="137"/>
      <c r="B859" s="139"/>
      <c r="C859" s="136"/>
      <c r="D859" s="131"/>
      <c r="E859" s="131"/>
      <c r="F859" s="58"/>
      <c r="G859" s="140"/>
      <c r="H859" s="140"/>
      <c r="I859" s="58"/>
      <c r="J859" s="58"/>
      <c r="K859" s="58"/>
      <c r="L859" s="58"/>
      <c r="M859" s="135"/>
      <c r="N859" s="135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35"/>
      <c r="Z859" s="58"/>
      <c r="AA859" s="58"/>
      <c r="AB859" s="58"/>
      <c r="AC859" s="58"/>
      <c r="AD859" s="58"/>
      <c r="AE859" s="138"/>
      <c r="AF859" s="136"/>
      <c r="AG859" s="136"/>
      <c r="AH859" s="136"/>
    </row>
    <row r="860" spans="1:34" s="132" customFormat="1" ht="12.75" customHeight="1" x14ac:dyDescent="0.25">
      <c r="A860" s="137"/>
      <c r="B860" s="139"/>
      <c r="C860" s="136"/>
      <c r="D860" s="131"/>
      <c r="E860" s="131"/>
      <c r="F860" s="58"/>
      <c r="G860" s="140"/>
      <c r="H860" s="140"/>
      <c r="I860" s="58"/>
      <c r="J860" s="58"/>
      <c r="K860" s="58"/>
      <c r="L860" s="58"/>
      <c r="M860" s="135"/>
      <c r="N860" s="135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35"/>
      <c r="Z860" s="58"/>
      <c r="AA860" s="58"/>
      <c r="AB860" s="58"/>
      <c r="AC860" s="58"/>
      <c r="AD860" s="58"/>
      <c r="AE860" s="138"/>
      <c r="AF860" s="136"/>
      <c r="AG860" s="136"/>
      <c r="AH860" s="136"/>
    </row>
    <row r="861" spans="1:34" s="132" customFormat="1" ht="12.75" customHeight="1" x14ac:dyDescent="0.25">
      <c r="A861" s="137"/>
      <c r="B861" s="139"/>
      <c r="C861" s="136"/>
      <c r="D861" s="131"/>
      <c r="E861" s="131"/>
      <c r="F861" s="58"/>
      <c r="G861" s="140"/>
      <c r="H861" s="140"/>
      <c r="I861" s="58"/>
      <c r="J861" s="58"/>
      <c r="K861" s="58"/>
      <c r="L861" s="58"/>
      <c r="M861" s="135"/>
      <c r="N861" s="135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35"/>
      <c r="Z861" s="58"/>
      <c r="AA861" s="58"/>
      <c r="AB861" s="58"/>
      <c r="AC861" s="58"/>
      <c r="AD861" s="58"/>
      <c r="AE861" s="138"/>
      <c r="AF861" s="136"/>
      <c r="AG861" s="136"/>
      <c r="AH861" s="136"/>
    </row>
    <row r="862" spans="1:34" s="132" customFormat="1" ht="12.75" customHeight="1" x14ac:dyDescent="0.25">
      <c r="A862" s="137"/>
      <c r="B862" s="139"/>
      <c r="C862" s="136"/>
      <c r="D862" s="131"/>
      <c r="E862" s="131"/>
      <c r="F862" s="58"/>
      <c r="G862" s="140"/>
      <c r="H862" s="140"/>
      <c r="I862" s="58"/>
      <c r="J862" s="58"/>
      <c r="K862" s="58"/>
      <c r="L862" s="58"/>
      <c r="M862" s="135"/>
      <c r="N862" s="135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35"/>
      <c r="Z862" s="58"/>
      <c r="AA862" s="58"/>
      <c r="AB862" s="58"/>
      <c r="AC862" s="58"/>
      <c r="AD862" s="58"/>
      <c r="AE862" s="138"/>
      <c r="AF862" s="136"/>
      <c r="AG862" s="136"/>
      <c r="AH862" s="136"/>
    </row>
    <row r="863" spans="1:34" s="132" customFormat="1" ht="12.75" customHeight="1" x14ac:dyDescent="0.25">
      <c r="A863" s="137"/>
      <c r="B863" s="139"/>
      <c r="C863" s="136"/>
      <c r="D863" s="131"/>
      <c r="E863" s="131"/>
      <c r="F863" s="58"/>
      <c r="G863" s="140"/>
      <c r="H863" s="140"/>
      <c r="I863" s="58"/>
      <c r="J863" s="58"/>
      <c r="K863" s="58"/>
      <c r="L863" s="58"/>
      <c r="M863" s="135"/>
      <c r="N863" s="135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35"/>
      <c r="Z863" s="58"/>
      <c r="AA863" s="58"/>
      <c r="AB863" s="58"/>
      <c r="AC863" s="58"/>
      <c r="AD863" s="58"/>
      <c r="AE863" s="138"/>
      <c r="AF863" s="136"/>
      <c r="AG863" s="136"/>
      <c r="AH863" s="136"/>
    </row>
    <row r="864" spans="1:34" s="132" customFormat="1" ht="12.75" customHeight="1" x14ac:dyDescent="0.25">
      <c r="A864" s="137"/>
      <c r="B864" s="139"/>
      <c r="C864" s="136"/>
      <c r="D864" s="131"/>
      <c r="E864" s="131"/>
      <c r="F864" s="58"/>
      <c r="G864" s="140"/>
      <c r="H864" s="140"/>
      <c r="I864" s="58"/>
      <c r="J864" s="58"/>
      <c r="K864" s="58"/>
      <c r="L864" s="58"/>
      <c r="M864" s="135"/>
      <c r="N864" s="135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35"/>
      <c r="Z864" s="58"/>
      <c r="AA864" s="58"/>
      <c r="AB864" s="58"/>
      <c r="AC864" s="58"/>
      <c r="AD864" s="58"/>
      <c r="AE864" s="138"/>
      <c r="AF864" s="136"/>
      <c r="AG864" s="136"/>
      <c r="AH864" s="136"/>
    </row>
    <row r="865" spans="1:34" s="132" customFormat="1" ht="12.75" customHeight="1" x14ac:dyDescent="0.25">
      <c r="A865" s="137"/>
      <c r="B865" s="139"/>
      <c r="C865" s="136"/>
      <c r="D865" s="131"/>
      <c r="E865" s="131"/>
      <c r="F865" s="58"/>
      <c r="G865" s="140"/>
      <c r="H865" s="140"/>
      <c r="I865" s="58"/>
      <c r="J865" s="58"/>
      <c r="K865" s="58"/>
      <c r="L865" s="58"/>
      <c r="M865" s="135"/>
      <c r="N865" s="135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35"/>
      <c r="Z865" s="58"/>
      <c r="AA865" s="58"/>
      <c r="AB865" s="58"/>
      <c r="AC865" s="58"/>
      <c r="AD865" s="58"/>
      <c r="AE865" s="138"/>
      <c r="AF865" s="136"/>
      <c r="AG865" s="136"/>
      <c r="AH865" s="136"/>
    </row>
    <row r="866" spans="1:34" s="132" customFormat="1" ht="12.75" customHeight="1" x14ac:dyDescent="0.25">
      <c r="A866" s="137"/>
      <c r="B866" s="139"/>
      <c r="C866" s="136"/>
      <c r="D866" s="131"/>
      <c r="E866" s="131"/>
      <c r="F866" s="58"/>
      <c r="G866" s="140"/>
      <c r="H866" s="140"/>
      <c r="I866" s="58"/>
      <c r="J866" s="58"/>
      <c r="K866" s="58"/>
      <c r="L866" s="58"/>
      <c r="M866" s="135"/>
      <c r="N866" s="135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35"/>
      <c r="Z866" s="58"/>
      <c r="AA866" s="58"/>
      <c r="AB866" s="58"/>
      <c r="AC866" s="58"/>
      <c r="AD866" s="58"/>
      <c r="AE866" s="138"/>
      <c r="AF866" s="136"/>
      <c r="AG866" s="136"/>
      <c r="AH866" s="136"/>
    </row>
    <row r="867" spans="1:34" s="132" customFormat="1" ht="12.75" customHeight="1" x14ac:dyDescent="0.25">
      <c r="A867" s="137"/>
      <c r="B867" s="139"/>
      <c r="C867" s="136"/>
      <c r="D867" s="131"/>
      <c r="E867" s="131"/>
      <c r="F867" s="58"/>
      <c r="G867" s="140"/>
      <c r="H867" s="140"/>
      <c r="I867" s="58"/>
      <c r="J867" s="58"/>
      <c r="K867" s="58"/>
      <c r="L867" s="58"/>
      <c r="M867" s="135"/>
      <c r="N867" s="135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35"/>
      <c r="Z867" s="58"/>
      <c r="AA867" s="58"/>
      <c r="AB867" s="58"/>
      <c r="AC867" s="58"/>
      <c r="AD867" s="58"/>
      <c r="AE867" s="138"/>
      <c r="AF867" s="136"/>
      <c r="AG867" s="136"/>
      <c r="AH867" s="136"/>
    </row>
    <row r="868" spans="1:34" s="132" customFormat="1" ht="12.75" customHeight="1" x14ac:dyDescent="0.25">
      <c r="A868" s="137"/>
      <c r="B868" s="139"/>
      <c r="C868" s="136"/>
      <c r="D868" s="131"/>
      <c r="E868" s="131"/>
      <c r="F868" s="58"/>
      <c r="G868" s="140"/>
      <c r="H868" s="140"/>
      <c r="I868" s="58"/>
      <c r="J868" s="58"/>
      <c r="K868" s="58"/>
      <c r="L868" s="58"/>
      <c r="M868" s="135"/>
      <c r="N868" s="135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35"/>
      <c r="Z868" s="58"/>
      <c r="AA868" s="58"/>
      <c r="AB868" s="58"/>
      <c r="AC868" s="58"/>
      <c r="AD868" s="58"/>
      <c r="AE868" s="138"/>
      <c r="AF868" s="136"/>
      <c r="AG868" s="136"/>
      <c r="AH868" s="136"/>
    </row>
    <row r="869" spans="1:34" s="132" customFormat="1" ht="12.75" customHeight="1" x14ac:dyDescent="0.25">
      <c r="A869" s="137"/>
      <c r="B869" s="139"/>
      <c r="C869" s="136"/>
      <c r="D869" s="131"/>
      <c r="E869" s="131"/>
      <c r="F869" s="58"/>
      <c r="G869" s="140"/>
      <c r="H869" s="140"/>
      <c r="I869" s="58"/>
      <c r="J869" s="58"/>
      <c r="K869" s="58"/>
      <c r="L869" s="58"/>
      <c r="M869" s="135"/>
      <c r="N869" s="135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35"/>
      <c r="Z869" s="58"/>
      <c r="AA869" s="58"/>
      <c r="AB869" s="58"/>
      <c r="AC869" s="58"/>
      <c r="AD869" s="58"/>
      <c r="AE869" s="138"/>
      <c r="AF869" s="136"/>
      <c r="AG869" s="136"/>
      <c r="AH869" s="136"/>
    </row>
    <row r="870" spans="1:34" s="132" customFormat="1" ht="12.75" customHeight="1" x14ac:dyDescent="0.25">
      <c r="A870" s="137"/>
      <c r="B870" s="139"/>
      <c r="C870" s="136"/>
      <c r="D870" s="131"/>
      <c r="E870" s="131"/>
      <c r="F870" s="58"/>
      <c r="G870" s="140"/>
      <c r="H870" s="140"/>
      <c r="I870" s="58"/>
      <c r="J870" s="58"/>
      <c r="K870" s="58"/>
      <c r="L870" s="58"/>
      <c r="M870" s="135"/>
      <c r="N870" s="135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35"/>
      <c r="Z870" s="58"/>
      <c r="AA870" s="58"/>
      <c r="AB870" s="58"/>
      <c r="AC870" s="58"/>
      <c r="AD870" s="58"/>
      <c r="AE870" s="138"/>
      <c r="AF870" s="136"/>
      <c r="AG870" s="136"/>
      <c r="AH870" s="136"/>
    </row>
    <row r="871" spans="1:34" s="132" customFormat="1" ht="12.75" customHeight="1" x14ac:dyDescent="0.25">
      <c r="A871" s="137"/>
      <c r="B871" s="139"/>
      <c r="C871" s="136"/>
      <c r="D871" s="131"/>
      <c r="E871" s="131"/>
      <c r="F871" s="58"/>
      <c r="G871" s="140"/>
      <c r="H871" s="140"/>
      <c r="I871" s="58"/>
      <c r="J871" s="58"/>
      <c r="K871" s="58"/>
      <c r="L871" s="58"/>
      <c r="M871" s="135"/>
      <c r="N871" s="135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35"/>
      <c r="Z871" s="58"/>
      <c r="AA871" s="58"/>
      <c r="AB871" s="58"/>
      <c r="AC871" s="58"/>
      <c r="AD871" s="58"/>
      <c r="AE871" s="138"/>
      <c r="AF871" s="136"/>
      <c r="AG871" s="136"/>
      <c r="AH871" s="136"/>
    </row>
    <row r="872" spans="1:34" s="132" customFormat="1" ht="12.75" customHeight="1" x14ac:dyDescent="0.25">
      <c r="A872" s="137"/>
      <c r="B872" s="139"/>
      <c r="C872" s="136"/>
      <c r="D872" s="131"/>
      <c r="E872" s="131"/>
      <c r="F872" s="58"/>
      <c r="G872" s="140"/>
      <c r="H872" s="140"/>
      <c r="I872" s="58"/>
      <c r="J872" s="58"/>
      <c r="K872" s="58"/>
      <c r="L872" s="58"/>
      <c r="M872" s="135"/>
      <c r="N872" s="135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35"/>
      <c r="Z872" s="58"/>
      <c r="AA872" s="58"/>
      <c r="AB872" s="58"/>
      <c r="AC872" s="58"/>
      <c r="AD872" s="58"/>
      <c r="AE872" s="138"/>
      <c r="AF872" s="136"/>
      <c r="AG872" s="136"/>
      <c r="AH872" s="136"/>
    </row>
    <row r="873" spans="1:34" s="132" customFormat="1" ht="12.75" customHeight="1" x14ac:dyDescent="0.25">
      <c r="A873" s="137"/>
      <c r="B873" s="139"/>
      <c r="C873" s="136"/>
      <c r="D873" s="131"/>
      <c r="E873" s="131"/>
      <c r="F873" s="58"/>
      <c r="G873" s="140"/>
      <c r="H873" s="140"/>
      <c r="I873" s="58"/>
      <c r="J873" s="58"/>
      <c r="K873" s="58"/>
      <c r="L873" s="58"/>
      <c r="M873" s="135"/>
      <c r="N873" s="135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35"/>
      <c r="Z873" s="58"/>
      <c r="AA873" s="58"/>
      <c r="AB873" s="58"/>
      <c r="AC873" s="58"/>
      <c r="AD873" s="58"/>
      <c r="AE873" s="138"/>
      <c r="AF873" s="136"/>
      <c r="AG873" s="136"/>
      <c r="AH873" s="136"/>
    </row>
    <row r="874" spans="1:34" s="132" customFormat="1" ht="12.75" customHeight="1" x14ac:dyDescent="0.25">
      <c r="A874" s="137"/>
      <c r="B874" s="139"/>
      <c r="C874" s="136"/>
      <c r="D874" s="131"/>
      <c r="E874" s="131"/>
      <c r="F874" s="58"/>
      <c r="G874" s="140"/>
      <c r="H874" s="140"/>
      <c r="I874" s="58"/>
      <c r="J874" s="58"/>
      <c r="K874" s="58"/>
      <c r="L874" s="58"/>
      <c r="M874" s="135"/>
      <c r="N874" s="135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35"/>
      <c r="Z874" s="58"/>
      <c r="AA874" s="58"/>
      <c r="AB874" s="58"/>
      <c r="AC874" s="58"/>
      <c r="AD874" s="58"/>
      <c r="AE874" s="138"/>
      <c r="AF874" s="136"/>
      <c r="AG874" s="136"/>
      <c r="AH874" s="136"/>
    </row>
    <row r="875" spans="1:34" s="132" customFormat="1" ht="12.75" customHeight="1" x14ac:dyDescent="0.25">
      <c r="A875" s="137"/>
      <c r="B875" s="139"/>
      <c r="C875" s="136"/>
      <c r="D875" s="131"/>
      <c r="E875" s="131"/>
      <c r="F875" s="58"/>
      <c r="G875" s="140"/>
      <c r="H875" s="140"/>
      <c r="I875" s="58"/>
      <c r="J875" s="58"/>
      <c r="K875" s="58"/>
      <c r="L875" s="58"/>
      <c r="M875" s="135"/>
      <c r="N875" s="135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35"/>
      <c r="Z875" s="58"/>
      <c r="AA875" s="58"/>
      <c r="AB875" s="58"/>
      <c r="AC875" s="58"/>
      <c r="AD875" s="58"/>
      <c r="AE875" s="138"/>
      <c r="AF875" s="136"/>
      <c r="AG875" s="136"/>
      <c r="AH875" s="136"/>
    </row>
    <row r="876" spans="1:34" s="132" customFormat="1" ht="12.75" customHeight="1" x14ac:dyDescent="0.25">
      <c r="A876" s="137"/>
      <c r="B876" s="139"/>
      <c r="C876" s="136"/>
      <c r="D876" s="131"/>
      <c r="E876" s="131"/>
      <c r="F876" s="58"/>
      <c r="G876" s="140"/>
      <c r="H876" s="140"/>
      <c r="I876" s="58"/>
      <c r="J876" s="58"/>
      <c r="K876" s="58"/>
      <c r="L876" s="58"/>
      <c r="M876" s="135"/>
      <c r="N876" s="135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35"/>
      <c r="Z876" s="58"/>
      <c r="AA876" s="58"/>
      <c r="AB876" s="58"/>
      <c r="AC876" s="58"/>
      <c r="AD876" s="58"/>
      <c r="AE876" s="138"/>
      <c r="AF876" s="136"/>
      <c r="AG876" s="136"/>
      <c r="AH876" s="136"/>
    </row>
    <row r="877" spans="1:34" s="132" customFormat="1" ht="12.75" customHeight="1" x14ac:dyDescent="0.25">
      <c r="A877" s="137"/>
      <c r="B877" s="139"/>
      <c r="C877" s="136"/>
      <c r="D877" s="131"/>
      <c r="E877" s="131"/>
      <c r="F877" s="58"/>
      <c r="G877" s="140"/>
      <c r="H877" s="140"/>
      <c r="I877" s="58"/>
      <c r="J877" s="58"/>
      <c r="K877" s="58"/>
      <c r="L877" s="58"/>
      <c r="M877" s="135"/>
      <c r="N877" s="135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35"/>
      <c r="Z877" s="58"/>
      <c r="AA877" s="58"/>
      <c r="AB877" s="58"/>
      <c r="AC877" s="58"/>
      <c r="AD877" s="58"/>
      <c r="AE877" s="138"/>
      <c r="AF877" s="136"/>
      <c r="AG877" s="136"/>
      <c r="AH877" s="136"/>
    </row>
    <row r="878" spans="1:34" s="132" customFormat="1" ht="12.75" customHeight="1" x14ac:dyDescent="0.25">
      <c r="A878" s="137"/>
      <c r="B878" s="139"/>
      <c r="C878" s="136"/>
      <c r="D878" s="131"/>
      <c r="E878" s="131"/>
      <c r="F878" s="58"/>
      <c r="G878" s="140"/>
      <c r="H878" s="140"/>
      <c r="I878" s="58"/>
      <c r="J878" s="58"/>
      <c r="K878" s="58"/>
      <c r="L878" s="58"/>
      <c r="M878" s="135"/>
      <c r="N878" s="135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35"/>
      <c r="Z878" s="58"/>
      <c r="AA878" s="58"/>
      <c r="AB878" s="58"/>
      <c r="AC878" s="58"/>
      <c r="AD878" s="58"/>
      <c r="AE878" s="138"/>
      <c r="AF878" s="136"/>
      <c r="AG878" s="136"/>
      <c r="AH878" s="136"/>
    </row>
    <row r="879" spans="1:34" s="132" customFormat="1" ht="12.75" customHeight="1" x14ac:dyDescent="0.25">
      <c r="A879" s="137"/>
      <c r="B879" s="139"/>
      <c r="C879" s="136"/>
      <c r="D879" s="131"/>
      <c r="E879" s="131"/>
      <c r="F879" s="58"/>
      <c r="G879" s="140"/>
      <c r="H879" s="140"/>
      <c r="I879" s="58"/>
      <c r="J879" s="58"/>
      <c r="K879" s="58"/>
      <c r="L879" s="58"/>
      <c r="M879" s="135"/>
      <c r="N879" s="135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35"/>
      <c r="Z879" s="58"/>
      <c r="AA879" s="58"/>
      <c r="AB879" s="58"/>
      <c r="AC879" s="58"/>
      <c r="AD879" s="58"/>
      <c r="AE879" s="138"/>
      <c r="AF879" s="136"/>
      <c r="AG879" s="136"/>
      <c r="AH879" s="136"/>
    </row>
    <row r="880" spans="1:34" s="132" customFormat="1" ht="12.75" customHeight="1" x14ac:dyDescent="0.25">
      <c r="A880" s="137"/>
      <c r="B880" s="139"/>
      <c r="C880" s="136"/>
      <c r="D880" s="131"/>
      <c r="E880" s="131"/>
      <c r="F880" s="58"/>
      <c r="G880" s="140"/>
      <c r="H880" s="140"/>
      <c r="I880" s="58"/>
      <c r="J880" s="58"/>
      <c r="K880" s="58"/>
      <c r="L880" s="58"/>
      <c r="M880" s="135"/>
      <c r="N880" s="135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35"/>
      <c r="Z880" s="58"/>
      <c r="AA880" s="58"/>
      <c r="AB880" s="58"/>
      <c r="AC880" s="58"/>
      <c r="AD880" s="58"/>
      <c r="AE880" s="138"/>
      <c r="AF880" s="136"/>
      <c r="AG880" s="136"/>
      <c r="AH880" s="136"/>
    </row>
    <row r="881" spans="1:34" s="132" customFormat="1" ht="12.75" customHeight="1" x14ac:dyDescent="0.25">
      <c r="A881" s="137"/>
      <c r="B881" s="139"/>
      <c r="C881" s="136"/>
      <c r="D881" s="131"/>
      <c r="E881" s="131"/>
      <c r="F881" s="58"/>
      <c r="G881" s="140"/>
      <c r="H881" s="140"/>
      <c r="I881" s="58"/>
      <c r="J881" s="58"/>
      <c r="K881" s="58"/>
      <c r="L881" s="58"/>
      <c r="M881" s="135"/>
      <c r="N881" s="135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35"/>
      <c r="Z881" s="58"/>
      <c r="AA881" s="58"/>
      <c r="AB881" s="58"/>
      <c r="AC881" s="58"/>
      <c r="AD881" s="58"/>
      <c r="AE881" s="138"/>
      <c r="AF881" s="136"/>
      <c r="AG881" s="136"/>
      <c r="AH881" s="136"/>
    </row>
    <row r="882" spans="1:34" s="132" customFormat="1" ht="12.75" customHeight="1" x14ac:dyDescent="0.25">
      <c r="A882" s="137"/>
      <c r="B882" s="139"/>
      <c r="C882" s="136"/>
      <c r="D882" s="131"/>
      <c r="E882" s="131"/>
      <c r="F882" s="58"/>
      <c r="G882" s="140"/>
      <c r="H882" s="140"/>
      <c r="I882" s="58"/>
      <c r="J882" s="58"/>
      <c r="K882" s="58"/>
      <c r="L882" s="58"/>
      <c r="M882" s="135"/>
      <c r="N882" s="135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35"/>
      <c r="Z882" s="58"/>
      <c r="AA882" s="58"/>
      <c r="AB882" s="58"/>
      <c r="AC882" s="58"/>
      <c r="AD882" s="58"/>
      <c r="AE882" s="138"/>
      <c r="AF882" s="136"/>
      <c r="AG882" s="136"/>
      <c r="AH882" s="136"/>
    </row>
    <row r="883" spans="1:34" s="132" customFormat="1" ht="12.75" customHeight="1" x14ac:dyDescent="0.25">
      <c r="A883" s="137"/>
      <c r="B883" s="139"/>
      <c r="C883" s="136"/>
      <c r="D883" s="131"/>
      <c r="E883" s="131"/>
      <c r="F883" s="58"/>
      <c r="G883" s="140"/>
      <c r="H883" s="140"/>
      <c r="I883" s="58"/>
      <c r="J883" s="58"/>
      <c r="K883" s="58"/>
      <c r="L883" s="58"/>
      <c r="M883" s="135"/>
      <c r="N883" s="135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35"/>
      <c r="Z883" s="58"/>
      <c r="AA883" s="58"/>
      <c r="AB883" s="58"/>
      <c r="AC883" s="58"/>
      <c r="AD883" s="58"/>
      <c r="AE883" s="138"/>
      <c r="AF883" s="136"/>
      <c r="AG883" s="136"/>
      <c r="AH883" s="136"/>
    </row>
    <row r="884" spans="1:34" s="132" customFormat="1" ht="12.75" customHeight="1" x14ac:dyDescent="0.25">
      <c r="A884" s="137"/>
      <c r="B884" s="139"/>
      <c r="C884" s="136"/>
      <c r="D884" s="131"/>
      <c r="E884" s="131"/>
      <c r="F884" s="58"/>
      <c r="G884" s="140"/>
      <c r="H884" s="140"/>
      <c r="I884" s="58"/>
      <c r="J884" s="58"/>
      <c r="K884" s="58"/>
      <c r="L884" s="58"/>
      <c r="M884" s="135"/>
      <c r="N884" s="135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35"/>
      <c r="Z884" s="58"/>
      <c r="AA884" s="58"/>
      <c r="AB884" s="58"/>
      <c r="AC884" s="58"/>
      <c r="AD884" s="58"/>
      <c r="AE884" s="138"/>
      <c r="AF884" s="136"/>
      <c r="AG884" s="136"/>
      <c r="AH884" s="136"/>
    </row>
    <row r="885" spans="1:34" s="132" customFormat="1" ht="12.75" customHeight="1" x14ac:dyDescent="0.25">
      <c r="A885" s="137"/>
      <c r="B885" s="139"/>
      <c r="C885" s="136"/>
      <c r="D885" s="131"/>
      <c r="E885" s="131"/>
      <c r="F885" s="58"/>
      <c r="G885" s="140"/>
      <c r="H885" s="140"/>
      <c r="I885" s="58"/>
      <c r="J885" s="58"/>
      <c r="K885" s="58"/>
      <c r="L885" s="58"/>
      <c r="M885" s="135"/>
      <c r="N885" s="135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35"/>
      <c r="Z885" s="58"/>
      <c r="AA885" s="58"/>
      <c r="AB885" s="58"/>
      <c r="AC885" s="58"/>
      <c r="AD885" s="58"/>
      <c r="AE885" s="138"/>
      <c r="AF885" s="136"/>
      <c r="AG885" s="136"/>
      <c r="AH885" s="136"/>
    </row>
    <row r="886" spans="1:34" s="132" customFormat="1" ht="12.75" customHeight="1" x14ac:dyDescent="0.25">
      <c r="A886" s="137"/>
      <c r="B886" s="139"/>
      <c r="C886" s="136"/>
      <c r="D886" s="131"/>
      <c r="E886" s="131"/>
      <c r="F886" s="58"/>
      <c r="G886" s="140"/>
      <c r="H886" s="140"/>
      <c r="I886" s="58"/>
      <c r="J886" s="58"/>
      <c r="K886" s="58"/>
      <c r="L886" s="58"/>
      <c r="M886" s="135"/>
      <c r="N886" s="135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35"/>
      <c r="Z886" s="58"/>
      <c r="AA886" s="58"/>
      <c r="AB886" s="58"/>
      <c r="AC886" s="58"/>
      <c r="AD886" s="58"/>
      <c r="AE886" s="138"/>
      <c r="AF886" s="136"/>
      <c r="AG886" s="136"/>
      <c r="AH886" s="136"/>
    </row>
    <row r="887" spans="1:34" s="132" customFormat="1" ht="12.75" customHeight="1" x14ac:dyDescent="0.25">
      <c r="A887" s="137"/>
      <c r="B887" s="139"/>
      <c r="C887" s="136"/>
      <c r="D887" s="131"/>
      <c r="E887" s="131"/>
      <c r="F887" s="58"/>
      <c r="G887" s="140"/>
      <c r="H887" s="140"/>
      <c r="I887" s="58"/>
      <c r="J887" s="58"/>
      <c r="K887" s="58"/>
      <c r="L887" s="58"/>
      <c r="M887" s="135"/>
      <c r="N887" s="135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35"/>
      <c r="Z887" s="58"/>
      <c r="AA887" s="58"/>
      <c r="AB887" s="58"/>
      <c r="AC887" s="58"/>
      <c r="AD887" s="58"/>
      <c r="AE887" s="138"/>
      <c r="AF887" s="136"/>
      <c r="AG887" s="136"/>
      <c r="AH887" s="136"/>
    </row>
    <row r="888" spans="1:34" s="132" customFormat="1" ht="12.75" customHeight="1" x14ac:dyDescent="0.25">
      <c r="A888" s="137"/>
      <c r="B888" s="139"/>
      <c r="C888" s="136"/>
      <c r="D888" s="131"/>
      <c r="E888" s="131"/>
      <c r="F888" s="58"/>
      <c r="G888" s="140"/>
      <c r="H888" s="140"/>
      <c r="I888" s="58"/>
      <c r="J888" s="58"/>
      <c r="K888" s="58"/>
      <c r="L888" s="58"/>
      <c r="M888" s="135"/>
      <c r="N888" s="135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35"/>
      <c r="Z888" s="58"/>
      <c r="AA888" s="58"/>
      <c r="AB888" s="58"/>
      <c r="AC888" s="58"/>
      <c r="AD888" s="58"/>
      <c r="AE888" s="138"/>
      <c r="AF888" s="136"/>
      <c r="AG888" s="136"/>
      <c r="AH888" s="136"/>
    </row>
    <row r="889" spans="1:34" s="132" customFormat="1" ht="12.75" customHeight="1" x14ac:dyDescent="0.25">
      <c r="A889" s="137"/>
      <c r="B889" s="139"/>
      <c r="C889" s="136"/>
      <c r="D889" s="131"/>
      <c r="E889" s="131"/>
      <c r="F889" s="58"/>
      <c r="G889" s="140"/>
      <c r="H889" s="140"/>
      <c r="I889" s="58"/>
      <c r="J889" s="58"/>
      <c r="K889" s="58"/>
      <c r="L889" s="58"/>
      <c r="M889" s="135"/>
      <c r="N889" s="135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35"/>
      <c r="Z889" s="58"/>
      <c r="AA889" s="58"/>
      <c r="AB889" s="58"/>
      <c r="AC889" s="58"/>
      <c r="AD889" s="58"/>
      <c r="AE889" s="138"/>
      <c r="AF889" s="136"/>
      <c r="AG889" s="136"/>
      <c r="AH889" s="136"/>
    </row>
    <row r="890" spans="1:34" s="132" customFormat="1" ht="12.75" customHeight="1" x14ac:dyDescent="0.25">
      <c r="A890" s="137"/>
      <c r="B890" s="139"/>
      <c r="C890" s="136"/>
      <c r="D890" s="131"/>
      <c r="E890" s="131"/>
      <c r="F890" s="58"/>
      <c r="G890" s="140"/>
      <c r="H890" s="140"/>
      <c r="I890" s="58"/>
      <c r="J890" s="58"/>
      <c r="K890" s="58"/>
      <c r="L890" s="58"/>
      <c r="M890" s="135"/>
      <c r="N890" s="135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35"/>
      <c r="Z890" s="58"/>
      <c r="AA890" s="58"/>
      <c r="AB890" s="58"/>
      <c r="AC890" s="58"/>
      <c r="AD890" s="58"/>
      <c r="AE890" s="138"/>
      <c r="AF890" s="136"/>
      <c r="AG890" s="136"/>
      <c r="AH890" s="136"/>
    </row>
    <row r="891" spans="1:34" s="132" customFormat="1" ht="12.75" customHeight="1" x14ac:dyDescent="0.25">
      <c r="A891" s="137"/>
      <c r="B891" s="139"/>
      <c r="C891" s="136"/>
      <c r="D891" s="131"/>
      <c r="E891" s="131"/>
      <c r="F891" s="58"/>
      <c r="G891" s="140"/>
      <c r="H891" s="140"/>
      <c r="I891" s="58"/>
      <c r="J891" s="58"/>
      <c r="K891" s="58"/>
      <c r="L891" s="58"/>
      <c r="M891" s="135"/>
      <c r="N891" s="135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35"/>
      <c r="Z891" s="58"/>
      <c r="AA891" s="58"/>
      <c r="AB891" s="58"/>
      <c r="AC891" s="58"/>
      <c r="AD891" s="58"/>
      <c r="AE891" s="138"/>
      <c r="AF891" s="136"/>
      <c r="AG891" s="136"/>
      <c r="AH891" s="136"/>
    </row>
    <row r="892" spans="1:34" s="132" customFormat="1" ht="12.75" customHeight="1" x14ac:dyDescent="0.25">
      <c r="A892" s="137"/>
      <c r="B892" s="139"/>
      <c r="C892" s="136"/>
      <c r="D892" s="131"/>
      <c r="E892" s="131"/>
      <c r="F892" s="58"/>
      <c r="G892" s="140"/>
      <c r="H892" s="140"/>
      <c r="I892" s="58"/>
      <c r="J892" s="58"/>
      <c r="K892" s="58"/>
      <c r="L892" s="58"/>
      <c r="M892" s="135"/>
      <c r="N892" s="135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35"/>
      <c r="Z892" s="58"/>
      <c r="AA892" s="58"/>
      <c r="AB892" s="58"/>
      <c r="AC892" s="58"/>
      <c r="AD892" s="58"/>
      <c r="AE892" s="138"/>
      <c r="AF892" s="136"/>
      <c r="AG892" s="136"/>
      <c r="AH892" s="136"/>
    </row>
    <row r="893" spans="1:34" s="132" customFormat="1" ht="12.75" customHeight="1" x14ac:dyDescent="0.25">
      <c r="A893" s="137"/>
      <c r="B893" s="139"/>
      <c r="C893" s="136"/>
      <c r="D893" s="131"/>
      <c r="E893" s="131"/>
      <c r="F893" s="58"/>
      <c r="G893" s="140"/>
      <c r="H893" s="140"/>
      <c r="I893" s="58"/>
      <c r="J893" s="58"/>
      <c r="K893" s="58"/>
      <c r="L893" s="58"/>
      <c r="M893" s="135"/>
      <c r="N893" s="135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35"/>
      <c r="Z893" s="58"/>
      <c r="AA893" s="58"/>
      <c r="AB893" s="58"/>
      <c r="AC893" s="58"/>
      <c r="AD893" s="58"/>
      <c r="AE893" s="138"/>
      <c r="AF893" s="136"/>
      <c r="AG893" s="136"/>
      <c r="AH893" s="136"/>
    </row>
    <row r="894" spans="1:34" s="132" customFormat="1" ht="12.75" customHeight="1" x14ac:dyDescent="0.25">
      <c r="A894" s="137"/>
      <c r="B894" s="139"/>
      <c r="C894" s="136"/>
      <c r="D894" s="131"/>
      <c r="E894" s="131"/>
      <c r="F894" s="58"/>
      <c r="G894" s="140"/>
      <c r="H894" s="140"/>
      <c r="I894" s="58"/>
      <c r="J894" s="58"/>
      <c r="K894" s="58"/>
      <c r="L894" s="58"/>
      <c r="M894" s="135"/>
      <c r="N894" s="135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35"/>
      <c r="Z894" s="58"/>
      <c r="AA894" s="58"/>
      <c r="AB894" s="58"/>
      <c r="AC894" s="58"/>
      <c r="AD894" s="58"/>
      <c r="AE894" s="138"/>
      <c r="AF894" s="136"/>
      <c r="AG894" s="136"/>
      <c r="AH894" s="136"/>
    </row>
    <row r="895" spans="1:34" s="132" customFormat="1" ht="12.75" customHeight="1" x14ac:dyDescent="0.25">
      <c r="A895" s="137"/>
      <c r="B895" s="139"/>
      <c r="C895" s="136"/>
      <c r="D895" s="131"/>
      <c r="E895" s="131"/>
      <c r="F895" s="58"/>
      <c r="G895" s="140"/>
      <c r="H895" s="140"/>
      <c r="I895" s="58"/>
      <c r="J895" s="58"/>
      <c r="K895" s="58"/>
      <c r="L895" s="58"/>
      <c r="M895" s="135"/>
      <c r="N895" s="135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35"/>
      <c r="Z895" s="58"/>
      <c r="AA895" s="58"/>
      <c r="AB895" s="58"/>
      <c r="AC895" s="58"/>
      <c r="AD895" s="58"/>
      <c r="AE895" s="138"/>
      <c r="AF895" s="136"/>
      <c r="AG895" s="136"/>
      <c r="AH895" s="136"/>
    </row>
    <row r="896" spans="1:34" s="132" customFormat="1" ht="12.75" customHeight="1" x14ac:dyDescent="0.25">
      <c r="A896" s="137"/>
      <c r="B896" s="139"/>
      <c r="C896" s="136"/>
      <c r="D896" s="131"/>
      <c r="E896" s="131"/>
      <c r="F896" s="58"/>
      <c r="G896" s="140"/>
      <c r="H896" s="140"/>
      <c r="I896" s="58"/>
      <c r="J896" s="58"/>
      <c r="K896" s="58"/>
      <c r="L896" s="58"/>
      <c r="M896" s="135"/>
      <c r="N896" s="135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35"/>
      <c r="Z896" s="58"/>
      <c r="AA896" s="58"/>
      <c r="AB896" s="58"/>
      <c r="AC896" s="58"/>
      <c r="AD896" s="58"/>
      <c r="AE896" s="138"/>
      <c r="AF896" s="136"/>
      <c r="AG896" s="136"/>
      <c r="AH896" s="136"/>
    </row>
    <row r="897" spans="1:34" s="132" customFormat="1" ht="12.75" customHeight="1" x14ac:dyDescent="0.25">
      <c r="A897" s="137"/>
      <c r="B897" s="139"/>
      <c r="C897" s="136"/>
      <c r="D897" s="131"/>
      <c r="E897" s="131"/>
      <c r="F897" s="58"/>
      <c r="G897" s="140"/>
      <c r="H897" s="140"/>
      <c r="I897" s="58"/>
      <c r="J897" s="58"/>
      <c r="K897" s="58"/>
      <c r="L897" s="58"/>
      <c r="M897" s="135"/>
      <c r="N897" s="135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35"/>
      <c r="Z897" s="58"/>
      <c r="AA897" s="58"/>
      <c r="AB897" s="58"/>
      <c r="AC897" s="58"/>
      <c r="AD897" s="58"/>
      <c r="AE897" s="138"/>
      <c r="AF897" s="136"/>
      <c r="AG897" s="136"/>
      <c r="AH897" s="136"/>
    </row>
    <row r="898" spans="1:34" s="132" customFormat="1" ht="12.75" customHeight="1" x14ac:dyDescent="0.25">
      <c r="A898" s="137"/>
      <c r="B898" s="139"/>
      <c r="C898" s="136"/>
      <c r="D898" s="131"/>
      <c r="E898" s="131"/>
      <c r="F898" s="58"/>
      <c r="G898" s="140"/>
      <c r="H898" s="140"/>
      <c r="I898" s="58"/>
      <c r="J898" s="58"/>
      <c r="K898" s="58"/>
      <c r="L898" s="58"/>
      <c r="M898" s="135"/>
      <c r="N898" s="135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35"/>
      <c r="Z898" s="58"/>
      <c r="AA898" s="58"/>
      <c r="AB898" s="58"/>
      <c r="AC898" s="58"/>
      <c r="AD898" s="58"/>
      <c r="AE898" s="138"/>
      <c r="AF898" s="136"/>
      <c r="AG898" s="136"/>
      <c r="AH898" s="136"/>
    </row>
    <row r="899" spans="1:34" s="132" customFormat="1" ht="12.75" customHeight="1" x14ac:dyDescent="0.25">
      <c r="A899" s="137"/>
      <c r="B899" s="139"/>
      <c r="C899" s="136"/>
      <c r="D899" s="131"/>
      <c r="E899" s="131"/>
      <c r="F899" s="58"/>
      <c r="G899" s="140"/>
      <c r="H899" s="140"/>
      <c r="I899" s="58"/>
      <c r="J899" s="58"/>
      <c r="K899" s="58"/>
      <c r="L899" s="58"/>
      <c r="M899" s="135"/>
      <c r="N899" s="135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35"/>
      <c r="Z899" s="58"/>
      <c r="AA899" s="58"/>
      <c r="AB899" s="58"/>
      <c r="AC899" s="58"/>
      <c r="AD899" s="58"/>
      <c r="AE899" s="138"/>
      <c r="AF899" s="136"/>
      <c r="AG899" s="136"/>
      <c r="AH899" s="136"/>
    </row>
    <row r="900" spans="1:34" s="132" customFormat="1" ht="12.75" customHeight="1" x14ac:dyDescent="0.25">
      <c r="A900" s="137"/>
      <c r="B900" s="139"/>
      <c r="C900" s="136"/>
      <c r="D900" s="131"/>
      <c r="E900" s="131"/>
      <c r="F900" s="58"/>
      <c r="G900" s="140"/>
      <c r="H900" s="140"/>
      <c r="I900" s="58"/>
      <c r="J900" s="58"/>
      <c r="K900" s="58"/>
      <c r="L900" s="58"/>
      <c r="M900" s="135"/>
      <c r="N900" s="135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35"/>
      <c r="Z900" s="58"/>
      <c r="AA900" s="58"/>
      <c r="AB900" s="58"/>
      <c r="AC900" s="58"/>
      <c r="AD900" s="58"/>
      <c r="AE900" s="138"/>
      <c r="AF900" s="136"/>
      <c r="AG900" s="136"/>
      <c r="AH900" s="136"/>
    </row>
    <row r="901" spans="1:34" s="132" customFormat="1" ht="12.75" customHeight="1" x14ac:dyDescent="0.25">
      <c r="A901" s="137"/>
      <c r="B901" s="139"/>
      <c r="C901" s="136"/>
      <c r="D901" s="131"/>
      <c r="E901" s="131"/>
      <c r="F901" s="58"/>
      <c r="G901" s="140"/>
      <c r="H901" s="140"/>
      <c r="I901" s="58"/>
      <c r="J901" s="58"/>
      <c r="K901" s="58"/>
      <c r="L901" s="58"/>
      <c r="M901" s="135"/>
      <c r="N901" s="135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35"/>
      <c r="Z901" s="58"/>
      <c r="AA901" s="58"/>
      <c r="AB901" s="58"/>
      <c r="AC901" s="58"/>
      <c r="AD901" s="58"/>
      <c r="AE901" s="138"/>
      <c r="AF901" s="136"/>
      <c r="AG901" s="136"/>
      <c r="AH901" s="136"/>
    </row>
    <row r="902" spans="1:34" s="132" customFormat="1" ht="12.75" customHeight="1" x14ac:dyDescent="0.25">
      <c r="A902" s="137"/>
      <c r="B902" s="139"/>
      <c r="C902" s="136"/>
      <c r="D902" s="131"/>
      <c r="E902" s="131"/>
      <c r="F902" s="58"/>
      <c r="G902" s="140"/>
      <c r="H902" s="140"/>
      <c r="I902" s="58"/>
      <c r="J902" s="58"/>
      <c r="K902" s="58"/>
      <c r="L902" s="58"/>
      <c r="M902" s="135"/>
      <c r="N902" s="135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35"/>
      <c r="Z902" s="58"/>
      <c r="AA902" s="58"/>
      <c r="AB902" s="58"/>
      <c r="AC902" s="58"/>
      <c r="AD902" s="58"/>
      <c r="AE902" s="138"/>
      <c r="AF902" s="136"/>
      <c r="AG902" s="136"/>
      <c r="AH902" s="136"/>
    </row>
    <row r="903" spans="1:34" s="132" customFormat="1" ht="12.75" customHeight="1" x14ac:dyDescent="0.25">
      <c r="A903" s="137"/>
      <c r="B903" s="139"/>
      <c r="C903" s="136"/>
      <c r="D903" s="131"/>
      <c r="E903" s="131"/>
      <c r="F903" s="58"/>
      <c r="G903" s="140"/>
      <c r="H903" s="140"/>
      <c r="I903" s="58"/>
      <c r="J903" s="58"/>
      <c r="K903" s="58"/>
      <c r="L903" s="58"/>
      <c r="M903" s="135"/>
      <c r="N903" s="135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35"/>
      <c r="Z903" s="58"/>
      <c r="AA903" s="58"/>
      <c r="AB903" s="58"/>
      <c r="AC903" s="58"/>
      <c r="AD903" s="58"/>
      <c r="AE903" s="138"/>
      <c r="AF903" s="136"/>
      <c r="AG903" s="136"/>
      <c r="AH903" s="136"/>
    </row>
    <row r="904" spans="1:34" s="132" customFormat="1" ht="12.75" customHeight="1" x14ac:dyDescent="0.25">
      <c r="A904" s="137"/>
      <c r="B904" s="139"/>
      <c r="C904" s="136"/>
      <c r="D904" s="131"/>
      <c r="E904" s="131"/>
      <c r="F904" s="58"/>
      <c r="G904" s="140"/>
      <c r="H904" s="140"/>
      <c r="I904" s="58"/>
      <c r="J904" s="58"/>
      <c r="K904" s="58"/>
      <c r="L904" s="58"/>
      <c r="M904" s="135"/>
      <c r="N904" s="135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35"/>
      <c r="Z904" s="58"/>
      <c r="AA904" s="58"/>
      <c r="AB904" s="58"/>
      <c r="AC904" s="58"/>
      <c r="AD904" s="58"/>
      <c r="AE904" s="138"/>
      <c r="AF904" s="136"/>
      <c r="AG904" s="136"/>
      <c r="AH904" s="136"/>
    </row>
    <row r="905" spans="1:34" s="132" customFormat="1" ht="12.75" customHeight="1" x14ac:dyDescent="0.25">
      <c r="A905" s="137"/>
      <c r="B905" s="139"/>
      <c r="C905" s="136"/>
      <c r="D905" s="131"/>
      <c r="E905" s="131"/>
      <c r="F905" s="58"/>
      <c r="G905" s="140"/>
      <c r="H905" s="140"/>
      <c r="I905" s="58"/>
      <c r="J905" s="58"/>
      <c r="K905" s="58"/>
      <c r="L905" s="58"/>
      <c r="M905" s="135"/>
      <c r="N905" s="135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35"/>
      <c r="Z905" s="58"/>
      <c r="AA905" s="58"/>
      <c r="AB905" s="58"/>
      <c r="AC905" s="58"/>
      <c r="AD905" s="58"/>
      <c r="AE905" s="138"/>
      <c r="AF905" s="136"/>
      <c r="AG905" s="136"/>
      <c r="AH905" s="136"/>
    </row>
    <row r="906" spans="1:34" s="132" customFormat="1" ht="12.75" customHeight="1" x14ac:dyDescent="0.25">
      <c r="A906" s="137"/>
      <c r="B906" s="139"/>
      <c r="C906" s="136"/>
      <c r="D906" s="131"/>
      <c r="E906" s="131"/>
      <c r="F906" s="58"/>
      <c r="G906" s="140"/>
      <c r="H906" s="140"/>
      <c r="I906" s="58"/>
      <c r="J906" s="58"/>
      <c r="K906" s="58"/>
      <c r="L906" s="58"/>
      <c r="M906" s="135"/>
      <c r="N906" s="135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35"/>
      <c r="Z906" s="58"/>
      <c r="AA906" s="58"/>
      <c r="AB906" s="58"/>
      <c r="AC906" s="58"/>
      <c r="AD906" s="58"/>
      <c r="AE906" s="138"/>
      <c r="AF906" s="136"/>
      <c r="AG906" s="136"/>
      <c r="AH906" s="136"/>
    </row>
    <row r="907" spans="1:34" s="132" customFormat="1" ht="12.75" customHeight="1" x14ac:dyDescent="0.25">
      <c r="A907" s="137"/>
      <c r="B907" s="139"/>
      <c r="C907" s="136"/>
      <c r="D907" s="131"/>
      <c r="E907" s="131"/>
      <c r="F907" s="58"/>
      <c r="G907" s="140"/>
      <c r="H907" s="140"/>
      <c r="I907" s="58"/>
      <c r="J907" s="58"/>
      <c r="K907" s="58"/>
      <c r="L907" s="58"/>
      <c r="M907" s="135"/>
      <c r="N907" s="135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35"/>
      <c r="Z907" s="58"/>
      <c r="AA907" s="58"/>
      <c r="AB907" s="58"/>
      <c r="AC907" s="58"/>
      <c r="AD907" s="58"/>
      <c r="AE907" s="138"/>
      <c r="AF907" s="136"/>
      <c r="AG907" s="136"/>
      <c r="AH907" s="136"/>
    </row>
    <row r="908" spans="1:34" s="132" customFormat="1" ht="12.75" customHeight="1" x14ac:dyDescent="0.25">
      <c r="A908" s="137"/>
      <c r="B908" s="139"/>
      <c r="C908" s="136"/>
      <c r="D908" s="131"/>
      <c r="E908" s="131"/>
      <c r="F908" s="58"/>
      <c r="G908" s="140"/>
      <c r="H908" s="140"/>
      <c r="I908" s="58"/>
      <c r="J908" s="58"/>
      <c r="K908" s="58"/>
      <c r="L908" s="58"/>
      <c r="M908" s="135"/>
      <c r="N908" s="135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35"/>
      <c r="Z908" s="58"/>
      <c r="AA908" s="58"/>
      <c r="AB908" s="58"/>
      <c r="AC908" s="58"/>
      <c r="AD908" s="58"/>
      <c r="AE908" s="138"/>
      <c r="AF908" s="136"/>
      <c r="AG908" s="136"/>
      <c r="AH908" s="136"/>
    </row>
    <row r="909" spans="1:34" s="132" customFormat="1" ht="12.75" customHeight="1" x14ac:dyDescent="0.25">
      <c r="A909" s="137"/>
      <c r="B909" s="139"/>
      <c r="C909" s="136"/>
      <c r="D909" s="131"/>
      <c r="E909" s="131"/>
      <c r="F909" s="58"/>
      <c r="G909" s="140"/>
      <c r="H909" s="140"/>
      <c r="I909" s="58"/>
      <c r="J909" s="58"/>
      <c r="K909" s="58"/>
      <c r="L909" s="58"/>
      <c r="M909" s="135"/>
      <c r="N909" s="135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35"/>
      <c r="Z909" s="58"/>
      <c r="AA909" s="58"/>
      <c r="AB909" s="58"/>
      <c r="AC909" s="58"/>
      <c r="AD909" s="58"/>
      <c r="AE909" s="138"/>
      <c r="AF909" s="136"/>
      <c r="AG909" s="136"/>
      <c r="AH909" s="136"/>
    </row>
    <row r="910" spans="1:34" s="132" customFormat="1" ht="12.75" customHeight="1" x14ac:dyDescent="0.25">
      <c r="A910" s="137"/>
      <c r="B910" s="139"/>
      <c r="C910" s="136"/>
      <c r="D910" s="131"/>
      <c r="E910" s="131"/>
      <c r="F910" s="58"/>
      <c r="G910" s="140"/>
      <c r="H910" s="140"/>
      <c r="I910" s="58"/>
      <c r="J910" s="58"/>
      <c r="K910" s="58"/>
      <c r="L910" s="58"/>
      <c r="M910" s="135"/>
      <c r="N910" s="135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35"/>
      <c r="Z910" s="58"/>
      <c r="AA910" s="58"/>
      <c r="AB910" s="58"/>
      <c r="AC910" s="58"/>
      <c r="AD910" s="58"/>
      <c r="AE910" s="138"/>
      <c r="AF910" s="136"/>
      <c r="AG910" s="136"/>
      <c r="AH910" s="136"/>
    </row>
    <row r="911" spans="1:34" s="132" customFormat="1" ht="12.75" customHeight="1" x14ac:dyDescent="0.25">
      <c r="A911" s="137"/>
      <c r="B911" s="139"/>
      <c r="C911" s="136"/>
      <c r="D911" s="131"/>
      <c r="E911" s="131"/>
      <c r="F911" s="58"/>
      <c r="G911" s="140"/>
      <c r="H911" s="140"/>
      <c r="I911" s="58"/>
      <c r="J911" s="58"/>
      <c r="K911" s="58"/>
      <c r="L911" s="58"/>
      <c r="M911" s="135"/>
      <c r="N911" s="135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35"/>
      <c r="Z911" s="58"/>
      <c r="AA911" s="58"/>
      <c r="AB911" s="58"/>
      <c r="AC911" s="58"/>
      <c r="AD911" s="58"/>
      <c r="AE911" s="138"/>
      <c r="AF911" s="136"/>
      <c r="AG911" s="136"/>
      <c r="AH911" s="136"/>
    </row>
    <row r="912" spans="1:34" s="132" customFormat="1" ht="12.75" customHeight="1" x14ac:dyDescent="0.25">
      <c r="A912" s="137"/>
      <c r="B912" s="139"/>
      <c r="C912" s="136"/>
      <c r="D912" s="131"/>
      <c r="E912" s="131"/>
      <c r="F912" s="58"/>
      <c r="G912" s="140"/>
      <c r="H912" s="140"/>
      <c r="I912" s="58"/>
      <c r="J912" s="58"/>
      <c r="K912" s="58"/>
      <c r="L912" s="58"/>
      <c r="M912" s="135"/>
      <c r="N912" s="135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35"/>
      <c r="Z912" s="58"/>
      <c r="AA912" s="58"/>
      <c r="AB912" s="58"/>
      <c r="AC912" s="58"/>
      <c r="AD912" s="58"/>
      <c r="AE912" s="138"/>
      <c r="AF912" s="136"/>
      <c r="AG912" s="136"/>
      <c r="AH912" s="136"/>
    </row>
    <row r="913" spans="1:34" s="132" customFormat="1" ht="12.75" customHeight="1" x14ac:dyDescent="0.25">
      <c r="A913" s="137"/>
      <c r="B913" s="139"/>
      <c r="C913" s="136"/>
      <c r="D913" s="131"/>
      <c r="E913" s="131"/>
      <c r="F913" s="58"/>
      <c r="G913" s="140"/>
      <c r="H913" s="140"/>
      <c r="I913" s="58"/>
      <c r="J913" s="58"/>
      <c r="K913" s="58"/>
      <c r="L913" s="58"/>
      <c r="M913" s="135"/>
      <c r="N913" s="135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35"/>
      <c r="Z913" s="58"/>
      <c r="AA913" s="58"/>
      <c r="AB913" s="58"/>
      <c r="AC913" s="58"/>
      <c r="AD913" s="58"/>
      <c r="AE913" s="138"/>
      <c r="AF913" s="136"/>
      <c r="AG913" s="136"/>
      <c r="AH913" s="136"/>
    </row>
    <row r="914" spans="1:34" s="132" customFormat="1" ht="12.75" customHeight="1" x14ac:dyDescent="0.25">
      <c r="A914" s="137"/>
      <c r="B914" s="139"/>
      <c r="C914" s="136"/>
      <c r="D914" s="131"/>
      <c r="E914" s="131"/>
      <c r="F914" s="58"/>
      <c r="G914" s="140"/>
      <c r="H914" s="140"/>
      <c r="I914" s="58"/>
      <c r="J914" s="58"/>
      <c r="K914" s="58"/>
      <c r="L914" s="58"/>
      <c r="M914" s="135"/>
      <c r="N914" s="135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35"/>
      <c r="Z914" s="58"/>
      <c r="AA914" s="58"/>
      <c r="AB914" s="58"/>
      <c r="AC914" s="58"/>
      <c r="AD914" s="58"/>
      <c r="AE914" s="138"/>
      <c r="AF914" s="136"/>
      <c r="AG914" s="136"/>
      <c r="AH914" s="136"/>
    </row>
    <row r="915" spans="1:34" s="132" customFormat="1" ht="12.75" customHeight="1" x14ac:dyDescent="0.25">
      <c r="A915" s="137"/>
      <c r="B915" s="139"/>
      <c r="C915" s="136"/>
      <c r="D915" s="131"/>
      <c r="E915" s="131"/>
      <c r="F915" s="58"/>
      <c r="G915" s="140"/>
      <c r="H915" s="140"/>
      <c r="I915" s="58"/>
      <c r="J915" s="58"/>
      <c r="K915" s="58"/>
      <c r="L915" s="58"/>
      <c r="M915" s="135"/>
      <c r="N915" s="135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35"/>
      <c r="Z915" s="58"/>
      <c r="AA915" s="58"/>
      <c r="AB915" s="58"/>
      <c r="AC915" s="58"/>
      <c r="AD915" s="58"/>
      <c r="AE915" s="138"/>
      <c r="AF915" s="136"/>
      <c r="AG915" s="136"/>
      <c r="AH915" s="136"/>
    </row>
    <row r="916" spans="1:34" s="132" customFormat="1" ht="12.75" customHeight="1" x14ac:dyDescent="0.25">
      <c r="A916" s="137"/>
      <c r="B916" s="139"/>
      <c r="C916" s="136"/>
      <c r="D916" s="131"/>
      <c r="E916" s="131"/>
      <c r="F916" s="58"/>
      <c r="G916" s="140"/>
      <c r="H916" s="140"/>
      <c r="I916" s="58"/>
      <c r="J916" s="58"/>
      <c r="K916" s="58"/>
      <c r="L916" s="58"/>
      <c r="M916" s="135"/>
      <c r="N916" s="135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35"/>
      <c r="Z916" s="58"/>
      <c r="AA916" s="58"/>
      <c r="AB916" s="58"/>
      <c r="AC916" s="58"/>
      <c r="AD916" s="58"/>
      <c r="AE916" s="138"/>
      <c r="AF916" s="136"/>
      <c r="AG916" s="136"/>
      <c r="AH916" s="136"/>
    </row>
    <row r="917" spans="1:34" s="132" customFormat="1" ht="12.75" customHeight="1" x14ac:dyDescent="0.25">
      <c r="A917" s="137"/>
      <c r="B917" s="139"/>
      <c r="C917" s="136"/>
      <c r="D917" s="131"/>
      <c r="E917" s="131"/>
      <c r="F917" s="58"/>
      <c r="G917" s="140"/>
      <c r="H917" s="140"/>
      <c r="I917" s="58"/>
      <c r="J917" s="58"/>
      <c r="K917" s="58"/>
      <c r="L917" s="58"/>
      <c r="M917" s="135"/>
      <c r="N917" s="135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35"/>
      <c r="Z917" s="58"/>
      <c r="AA917" s="58"/>
      <c r="AB917" s="58"/>
      <c r="AC917" s="58"/>
      <c r="AD917" s="58"/>
      <c r="AE917" s="138"/>
      <c r="AF917" s="136"/>
      <c r="AG917" s="136"/>
      <c r="AH917" s="136"/>
    </row>
    <row r="918" spans="1:34" s="132" customFormat="1" ht="12.75" customHeight="1" x14ac:dyDescent="0.25">
      <c r="A918" s="137"/>
      <c r="B918" s="139"/>
      <c r="C918" s="136"/>
      <c r="D918" s="131"/>
      <c r="E918" s="131"/>
      <c r="F918" s="58"/>
      <c r="G918" s="140"/>
      <c r="H918" s="140"/>
      <c r="I918" s="58"/>
      <c r="J918" s="58"/>
      <c r="K918" s="58"/>
      <c r="L918" s="58"/>
      <c r="M918" s="135"/>
      <c r="N918" s="135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35"/>
      <c r="Z918" s="58"/>
      <c r="AA918" s="58"/>
      <c r="AB918" s="58"/>
      <c r="AC918" s="58"/>
      <c r="AD918" s="58"/>
      <c r="AE918" s="138"/>
      <c r="AF918" s="136"/>
      <c r="AG918" s="136"/>
      <c r="AH918" s="136"/>
    </row>
    <row r="919" spans="1:34" s="132" customFormat="1" ht="12.75" customHeight="1" x14ac:dyDescent="0.25">
      <c r="A919" s="137"/>
      <c r="B919" s="139"/>
      <c r="C919" s="136"/>
      <c r="D919" s="131"/>
      <c r="E919" s="131"/>
      <c r="F919" s="58"/>
      <c r="G919" s="140"/>
      <c r="H919" s="140"/>
      <c r="I919" s="58"/>
      <c r="J919" s="58"/>
      <c r="K919" s="58"/>
      <c r="L919" s="58"/>
      <c r="M919" s="135"/>
      <c r="N919" s="135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35"/>
      <c r="Z919" s="58"/>
      <c r="AA919" s="58"/>
      <c r="AB919" s="58"/>
      <c r="AC919" s="58"/>
      <c r="AD919" s="58"/>
      <c r="AE919" s="138"/>
      <c r="AF919" s="136"/>
      <c r="AG919" s="136"/>
      <c r="AH919" s="136"/>
    </row>
    <row r="920" spans="1:34" s="132" customFormat="1" ht="12.75" customHeight="1" x14ac:dyDescent="0.25">
      <c r="A920" s="137"/>
      <c r="B920" s="139"/>
      <c r="C920" s="136"/>
      <c r="D920" s="131"/>
      <c r="E920" s="131"/>
      <c r="F920" s="58"/>
      <c r="G920" s="140"/>
      <c r="H920" s="140"/>
      <c r="I920" s="58"/>
      <c r="J920" s="58"/>
      <c r="K920" s="58"/>
      <c r="L920" s="58"/>
      <c r="M920" s="135"/>
      <c r="N920" s="135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35"/>
      <c r="Z920" s="58"/>
      <c r="AA920" s="58"/>
      <c r="AB920" s="58"/>
      <c r="AC920" s="58"/>
      <c r="AD920" s="58"/>
      <c r="AE920" s="138"/>
      <c r="AF920" s="136"/>
      <c r="AG920" s="136"/>
      <c r="AH920" s="136"/>
    </row>
    <row r="921" spans="1:34" s="132" customFormat="1" ht="12.75" customHeight="1" x14ac:dyDescent="0.25">
      <c r="A921" s="137"/>
      <c r="B921" s="139"/>
      <c r="C921" s="136"/>
      <c r="D921" s="131"/>
      <c r="E921" s="131"/>
      <c r="F921" s="58"/>
      <c r="G921" s="140"/>
      <c r="H921" s="140"/>
      <c r="I921" s="58"/>
      <c r="J921" s="58"/>
      <c r="K921" s="58"/>
      <c r="L921" s="58"/>
      <c r="M921" s="135"/>
      <c r="N921" s="135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35"/>
      <c r="Z921" s="58"/>
      <c r="AA921" s="58"/>
      <c r="AB921" s="58"/>
      <c r="AC921" s="58"/>
      <c r="AD921" s="58"/>
      <c r="AE921" s="138"/>
      <c r="AF921" s="136"/>
      <c r="AG921" s="136"/>
      <c r="AH921" s="136"/>
    </row>
    <row r="922" spans="1:34" s="132" customFormat="1" ht="12.75" customHeight="1" x14ac:dyDescent="0.25">
      <c r="A922" s="137"/>
      <c r="B922" s="139"/>
      <c r="C922" s="136"/>
      <c r="D922" s="131"/>
      <c r="E922" s="131"/>
      <c r="F922" s="58"/>
      <c r="G922" s="140"/>
      <c r="H922" s="140"/>
      <c r="I922" s="58"/>
      <c r="J922" s="58"/>
      <c r="K922" s="58"/>
      <c r="L922" s="58"/>
      <c r="M922" s="135"/>
      <c r="N922" s="135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35"/>
      <c r="Z922" s="58"/>
      <c r="AA922" s="58"/>
      <c r="AB922" s="58"/>
      <c r="AC922" s="58"/>
      <c r="AD922" s="58"/>
      <c r="AE922" s="138"/>
      <c r="AF922" s="136"/>
      <c r="AG922" s="136"/>
      <c r="AH922" s="136"/>
    </row>
    <row r="923" spans="1:34" s="132" customFormat="1" ht="12.75" customHeight="1" x14ac:dyDescent="0.25">
      <c r="A923" s="137"/>
      <c r="B923" s="139"/>
      <c r="C923" s="136"/>
      <c r="D923" s="131"/>
      <c r="E923" s="131"/>
      <c r="F923" s="58"/>
      <c r="G923" s="140"/>
      <c r="H923" s="140"/>
      <c r="I923" s="58"/>
      <c r="J923" s="58"/>
      <c r="K923" s="58"/>
      <c r="L923" s="58"/>
      <c r="M923" s="135"/>
      <c r="N923" s="135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35"/>
      <c r="Z923" s="58"/>
      <c r="AA923" s="58"/>
      <c r="AB923" s="58"/>
      <c r="AC923" s="58"/>
      <c r="AD923" s="58"/>
      <c r="AE923" s="138"/>
      <c r="AF923" s="136"/>
      <c r="AG923" s="136"/>
      <c r="AH923" s="136"/>
    </row>
    <row r="924" spans="1:34" s="132" customFormat="1" ht="12.75" customHeight="1" x14ac:dyDescent="0.25">
      <c r="A924" s="137"/>
      <c r="B924" s="139"/>
      <c r="C924" s="136"/>
      <c r="D924" s="131"/>
      <c r="E924" s="131"/>
      <c r="F924" s="58"/>
      <c r="G924" s="140"/>
      <c r="H924" s="140"/>
      <c r="I924" s="58"/>
      <c r="J924" s="58"/>
      <c r="K924" s="58"/>
      <c r="L924" s="58"/>
      <c r="M924" s="135"/>
      <c r="N924" s="135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35"/>
      <c r="Z924" s="58"/>
      <c r="AA924" s="58"/>
      <c r="AB924" s="58"/>
      <c r="AC924" s="58"/>
      <c r="AD924" s="58"/>
      <c r="AE924" s="138"/>
      <c r="AF924" s="136"/>
      <c r="AG924" s="136"/>
      <c r="AH924" s="136"/>
    </row>
    <row r="925" spans="1:34" s="132" customFormat="1" ht="12.75" customHeight="1" x14ac:dyDescent="0.25">
      <c r="A925" s="137"/>
      <c r="B925" s="139"/>
      <c r="C925" s="136"/>
      <c r="D925" s="131"/>
      <c r="E925" s="131"/>
      <c r="F925" s="58"/>
      <c r="G925" s="140"/>
      <c r="H925" s="140"/>
      <c r="I925" s="58"/>
      <c r="J925" s="58"/>
      <c r="K925" s="58"/>
      <c r="L925" s="58"/>
      <c r="M925" s="135"/>
      <c r="N925" s="135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35"/>
      <c r="Z925" s="58"/>
      <c r="AA925" s="58"/>
      <c r="AB925" s="58"/>
      <c r="AC925" s="58"/>
      <c r="AD925" s="58"/>
      <c r="AE925" s="138"/>
      <c r="AF925" s="136"/>
      <c r="AG925" s="136"/>
      <c r="AH925" s="136"/>
    </row>
    <row r="926" spans="1:34" s="132" customFormat="1" ht="12.75" customHeight="1" x14ac:dyDescent="0.25">
      <c r="A926" s="137"/>
      <c r="B926" s="139"/>
      <c r="C926" s="136"/>
      <c r="D926" s="131"/>
      <c r="E926" s="131"/>
      <c r="F926" s="58"/>
      <c r="G926" s="140"/>
      <c r="H926" s="140"/>
      <c r="I926" s="58"/>
      <c r="J926" s="58"/>
      <c r="K926" s="58"/>
      <c r="L926" s="58"/>
      <c r="M926" s="135"/>
      <c r="N926" s="135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35"/>
      <c r="Z926" s="58"/>
      <c r="AA926" s="58"/>
      <c r="AB926" s="58"/>
      <c r="AC926" s="58"/>
      <c r="AD926" s="58"/>
      <c r="AE926" s="138"/>
      <c r="AF926" s="136"/>
      <c r="AG926" s="136"/>
      <c r="AH926" s="136"/>
    </row>
    <row r="927" spans="1:34" s="132" customFormat="1" ht="12.75" customHeight="1" x14ac:dyDescent="0.25">
      <c r="A927" s="137"/>
      <c r="B927" s="139"/>
      <c r="C927" s="136"/>
      <c r="D927" s="131"/>
      <c r="E927" s="131"/>
      <c r="F927" s="58"/>
      <c r="G927" s="140"/>
      <c r="H927" s="140"/>
      <c r="I927" s="58"/>
      <c r="J927" s="58"/>
      <c r="K927" s="58"/>
      <c r="L927" s="58"/>
      <c r="M927" s="135"/>
      <c r="N927" s="135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35"/>
      <c r="Z927" s="58"/>
      <c r="AA927" s="58"/>
      <c r="AB927" s="58"/>
      <c r="AC927" s="58"/>
      <c r="AD927" s="58"/>
      <c r="AE927" s="138"/>
      <c r="AF927" s="136"/>
      <c r="AG927" s="136"/>
      <c r="AH927" s="136"/>
    </row>
    <row r="928" spans="1:34" s="132" customFormat="1" ht="12.75" customHeight="1" x14ac:dyDescent="0.25">
      <c r="A928" s="137"/>
      <c r="B928" s="139"/>
      <c r="C928" s="136"/>
      <c r="D928" s="131"/>
      <c r="E928" s="131"/>
      <c r="F928" s="58"/>
      <c r="G928" s="140"/>
      <c r="H928" s="140"/>
      <c r="I928" s="58"/>
      <c r="J928" s="58"/>
      <c r="K928" s="58"/>
      <c r="L928" s="58"/>
      <c r="M928" s="135"/>
      <c r="N928" s="135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35"/>
      <c r="Z928" s="58"/>
      <c r="AA928" s="58"/>
      <c r="AB928" s="58"/>
      <c r="AC928" s="58"/>
      <c r="AD928" s="58"/>
      <c r="AE928" s="138"/>
      <c r="AF928" s="136"/>
      <c r="AG928" s="136"/>
      <c r="AH928" s="136"/>
    </row>
    <row r="929" spans="1:34" s="132" customFormat="1" ht="12.75" customHeight="1" x14ac:dyDescent="0.25">
      <c r="A929" s="137"/>
      <c r="B929" s="139"/>
      <c r="C929" s="136"/>
      <c r="D929" s="131"/>
      <c r="E929" s="131"/>
      <c r="F929" s="58"/>
      <c r="G929" s="140"/>
      <c r="H929" s="140"/>
      <c r="I929" s="58"/>
      <c r="J929" s="58"/>
      <c r="K929" s="58"/>
      <c r="L929" s="58"/>
      <c r="M929" s="135"/>
      <c r="N929" s="135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35"/>
      <c r="Z929" s="58"/>
      <c r="AA929" s="58"/>
      <c r="AB929" s="58"/>
      <c r="AC929" s="58"/>
      <c r="AD929" s="58"/>
      <c r="AE929" s="138"/>
      <c r="AF929" s="136"/>
      <c r="AG929" s="136"/>
      <c r="AH929" s="136"/>
    </row>
    <row r="930" spans="1:34" s="132" customFormat="1" ht="12.75" customHeight="1" x14ac:dyDescent="0.25">
      <c r="A930" s="137"/>
      <c r="B930" s="139"/>
      <c r="C930" s="136"/>
      <c r="D930" s="131"/>
      <c r="E930" s="131"/>
      <c r="F930" s="58"/>
      <c r="G930" s="140"/>
      <c r="H930" s="140"/>
      <c r="I930" s="58"/>
      <c r="J930" s="58"/>
      <c r="K930" s="58"/>
      <c r="L930" s="58"/>
      <c r="M930" s="135"/>
      <c r="N930" s="135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35"/>
      <c r="Z930" s="58"/>
      <c r="AA930" s="58"/>
      <c r="AB930" s="58"/>
      <c r="AC930" s="58"/>
      <c r="AD930" s="58"/>
      <c r="AE930" s="138"/>
      <c r="AF930" s="136"/>
      <c r="AG930" s="136"/>
      <c r="AH930" s="136"/>
    </row>
    <row r="931" spans="1:34" s="132" customFormat="1" ht="12.75" customHeight="1" x14ac:dyDescent="0.25">
      <c r="A931" s="137"/>
      <c r="B931" s="139"/>
      <c r="C931" s="136"/>
      <c r="D931" s="131"/>
      <c r="E931" s="131"/>
      <c r="F931" s="58"/>
      <c r="G931" s="140"/>
      <c r="H931" s="140"/>
      <c r="I931" s="58"/>
      <c r="J931" s="58"/>
      <c r="K931" s="58"/>
      <c r="L931" s="58"/>
      <c r="M931" s="135"/>
      <c r="N931" s="135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35"/>
      <c r="Z931" s="58"/>
      <c r="AA931" s="58"/>
      <c r="AB931" s="58"/>
      <c r="AC931" s="58"/>
      <c r="AD931" s="58"/>
      <c r="AE931" s="138"/>
      <c r="AF931" s="136"/>
      <c r="AG931" s="136"/>
      <c r="AH931" s="136"/>
    </row>
    <row r="932" spans="1:34" s="132" customFormat="1" ht="12.75" customHeight="1" x14ac:dyDescent="0.25">
      <c r="A932" s="137"/>
      <c r="B932" s="139"/>
      <c r="C932" s="136"/>
      <c r="D932" s="131"/>
      <c r="E932" s="131"/>
      <c r="F932" s="58"/>
      <c r="G932" s="140"/>
      <c r="H932" s="140"/>
      <c r="I932" s="58"/>
      <c r="J932" s="58"/>
      <c r="K932" s="58"/>
      <c r="L932" s="58"/>
      <c r="M932" s="135"/>
      <c r="N932" s="135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35"/>
      <c r="Z932" s="58"/>
      <c r="AA932" s="58"/>
      <c r="AB932" s="58"/>
      <c r="AC932" s="58"/>
      <c r="AD932" s="58"/>
      <c r="AE932" s="138"/>
      <c r="AF932" s="136"/>
      <c r="AG932" s="136"/>
      <c r="AH932" s="136"/>
    </row>
    <row r="933" spans="1:34" s="132" customFormat="1" ht="12.75" customHeight="1" x14ac:dyDescent="0.25">
      <c r="A933" s="137"/>
      <c r="B933" s="139"/>
      <c r="C933" s="136"/>
      <c r="D933" s="131"/>
      <c r="E933" s="131"/>
      <c r="F933" s="58"/>
      <c r="G933" s="140"/>
      <c r="H933" s="140"/>
      <c r="I933" s="58"/>
      <c r="J933" s="58"/>
      <c r="K933" s="58"/>
      <c r="L933" s="58"/>
      <c r="M933" s="135"/>
      <c r="N933" s="135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35"/>
      <c r="Z933" s="58"/>
      <c r="AA933" s="58"/>
      <c r="AB933" s="58"/>
      <c r="AC933" s="58"/>
      <c r="AD933" s="58"/>
      <c r="AE933" s="138"/>
      <c r="AF933" s="136"/>
      <c r="AG933" s="136"/>
      <c r="AH933" s="136"/>
    </row>
    <row r="934" spans="1:34" s="132" customFormat="1" ht="12.75" customHeight="1" x14ac:dyDescent="0.25">
      <c r="A934" s="137"/>
      <c r="B934" s="139"/>
      <c r="C934" s="136"/>
      <c r="D934" s="131"/>
      <c r="E934" s="131"/>
      <c r="F934" s="58"/>
      <c r="G934" s="140"/>
      <c r="H934" s="140"/>
      <c r="I934" s="58"/>
      <c r="J934" s="58"/>
      <c r="K934" s="58"/>
      <c r="L934" s="58"/>
      <c r="M934" s="135"/>
      <c r="N934" s="135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35"/>
      <c r="Z934" s="58"/>
      <c r="AA934" s="58"/>
      <c r="AB934" s="58"/>
      <c r="AC934" s="58"/>
      <c r="AD934" s="58"/>
      <c r="AE934" s="138"/>
      <c r="AF934" s="136"/>
      <c r="AG934" s="136"/>
      <c r="AH934" s="136"/>
    </row>
    <row r="935" spans="1:34" s="132" customFormat="1" ht="12.75" customHeight="1" x14ac:dyDescent="0.25">
      <c r="A935" s="137"/>
      <c r="B935" s="139"/>
      <c r="C935" s="136"/>
      <c r="D935" s="131"/>
      <c r="E935" s="131"/>
      <c r="F935" s="58"/>
      <c r="G935" s="140"/>
      <c r="H935" s="140"/>
      <c r="I935" s="58"/>
      <c r="J935" s="58"/>
      <c r="K935" s="58"/>
      <c r="L935" s="58"/>
      <c r="M935" s="135"/>
      <c r="N935" s="135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35"/>
      <c r="Z935" s="58"/>
      <c r="AA935" s="58"/>
      <c r="AB935" s="58"/>
      <c r="AC935" s="58"/>
      <c r="AD935" s="58"/>
      <c r="AE935" s="138"/>
      <c r="AF935" s="136"/>
      <c r="AG935" s="136"/>
      <c r="AH935" s="136"/>
    </row>
    <row r="936" spans="1:34" s="132" customFormat="1" ht="12.75" customHeight="1" x14ac:dyDescent="0.25">
      <c r="A936" s="137"/>
      <c r="B936" s="139"/>
      <c r="C936" s="136"/>
      <c r="D936" s="131"/>
      <c r="E936" s="131"/>
      <c r="F936" s="58"/>
      <c r="G936" s="140"/>
      <c r="H936" s="140"/>
      <c r="I936" s="58"/>
      <c r="J936" s="58"/>
      <c r="K936" s="58"/>
      <c r="L936" s="58"/>
      <c r="M936" s="135"/>
      <c r="N936" s="135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35"/>
      <c r="Z936" s="58"/>
      <c r="AA936" s="58"/>
      <c r="AB936" s="58"/>
      <c r="AC936" s="58"/>
      <c r="AD936" s="58"/>
      <c r="AE936" s="138"/>
      <c r="AF936" s="136"/>
      <c r="AG936" s="136"/>
      <c r="AH936" s="136"/>
    </row>
    <row r="937" spans="1:34" s="132" customFormat="1" ht="12.75" customHeight="1" x14ac:dyDescent="0.25">
      <c r="A937" s="137"/>
      <c r="B937" s="139"/>
      <c r="C937" s="136"/>
      <c r="D937" s="131"/>
      <c r="E937" s="131"/>
      <c r="F937" s="58"/>
      <c r="G937" s="140"/>
      <c r="H937" s="140"/>
      <c r="I937" s="58"/>
      <c r="J937" s="58"/>
      <c r="K937" s="58"/>
      <c r="L937" s="58"/>
      <c r="M937" s="135"/>
      <c r="N937" s="135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35"/>
      <c r="Z937" s="58"/>
      <c r="AA937" s="58"/>
      <c r="AB937" s="58"/>
      <c r="AC937" s="58"/>
      <c r="AD937" s="58"/>
      <c r="AE937" s="138"/>
      <c r="AF937" s="136"/>
      <c r="AG937" s="136"/>
      <c r="AH937" s="136"/>
    </row>
    <row r="938" spans="1:34" s="132" customFormat="1" ht="12.75" customHeight="1" x14ac:dyDescent="0.25">
      <c r="A938" s="137"/>
      <c r="B938" s="139"/>
      <c r="C938" s="136"/>
      <c r="D938" s="131"/>
      <c r="E938" s="131"/>
      <c r="F938" s="58"/>
      <c r="G938" s="140"/>
      <c r="H938" s="140"/>
      <c r="I938" s="58"/>
      <c r="J938" s="58"/>
      <c r="K938" s="58"/>
      <c r="L938" s="58"/>
      <c r="M938" s="135"/>
      <c r="N938" s="135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35"/>
      <c r="Z938" s="58"/>
      <c r="AA938" s="58"/>
      <c r="AB938" s="58"/>
      <c r="AC938" s="58"/>
      <c r="AD938" s="58"/>
      <c r="AE938" s="138"/>
      <c r="AF938" s="136"/>
      <c r="AG938" s="136"/>
      <c r="AH938" s="136"/>
    </row>
    <row r="939" spans="1:34" s="132" customFormat="1" ht="12.75" customHeight="1" x14ac:dyDescent="0.25">
      <c r="A939" s="137"/>
      <c r="B939" s="139"/>
      <c r="C939" s="136"/>
      <c r="D939" s="131"/>
      <c r="E939" s="131"/>
      <c r="F939" s="58"/>
      <c r="G939" s="140"/>
      <c r="H939" s="140"/>
      <c r="I939" s="58"/>
      <c r="J939" s="58"/>
      <c r="K939" s="58"/>
      <c r="L939" s="58"/>
      <c r="M939" s="135"/>
      <c r="N939" s="135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35"/>
      <c r="Z939" s="58"/>
      <c r="AA939" s="58"/>
      <c r="AB939" s="58"/>
      <c r="AC939" s="58"/>
      <c r="AD939" s="58"/>
      <c r="AE939" s="138"/>
      <c r="AF939" s="136"/>
      <c r="AG939" s="136"/>
      <c r="AH939" s="136"/>
    </row>
    <row r="940" spans="1:34" s="132" customFormat="1" ht="12.75" customHeight="1" x14ac:dyDescent="0.25">
      <c r="A940" s="137"/>
      <c r="B940" s="139"/>
      <c r="C940" s="136"/>
      <c r="D940" s="131"/>
      <c r="E940" s="131"/>
      <c r="F940" s="58"/>
      <c r="G940" s="140"/>
      <c r="H940" s="140"/>
      <c r="I940" s="58"/>
      <c r="J940" s="58"/>
      <c r="K940" s="58"/>
      <c r="L940" s="58"/>
      <c r="M940" s="135"/>
      <c r="N940" s="135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35"/>
      <c r="Z940" s="58"/>
      <c r="AA940" s="58"/>
      <c r="AB940" s="58"/>
      <c r="AC940" s="58"/>
      <c r="AD940" s="58"/>
      <c r="AE940" s="138"/>
      <c r="AF940" s="136"/>
      <c r="AG940" s="136"/>
      <c r="AH940" s="136"/>
    </row>
    <row r="941" spans="1:34" s="132" customFormat="1" ht="12.75" customHeight="1" x14ac:dyDescent="0.25">
      <c r="A941" s="137"/>
      <c r="B941" s="139"/>
      <c r="C941" s="136"/>
      <c r="D941" s="131"/>
      <c r="E941" s="131"/>
      <c r="F941" s="58"/>
      <c r="G941" s="140"/>
      <c r="H941" s="140"/>
      <c r="I941" s="58"/>
      <c r="J941" s="58"/>
      <c r="K941" s="58"/>
      <c r="L941" s="58"/>
      <c r="M941" s="135"/>
      <c r="N941" s="135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35"/>
      <c r="Z941" s="58"/>
      <c r="AA941" s="58"/>
      <c r="AB941" s="58"/>
      <c r="AC941" s="58"/>
      <c r="AD941" s="58"/>
      <c r="AE941" s="138"/>
      <c r="AF941" s="136"/>
      <c r="AG941" s="136"/>
      <c r="AH941" s="136"/>
    </row>
    <row r="942" spans="1:34" s="132" customFormat="1" ht="12.75" customHeight="1" x14ac:dyDescent="0.25">
      <c r="A942" s="137"/>
      <c r="B942" s="139"/>
      <c r="C942" s="136"/>
      <c r="D942" s="131"/>
      <c r="E942" s="131"/>
      <c r="F942" s="58"/>
      <c r="G942" s="140"/>
      <c r="H942" s="140"/>
      <c r="I942" s="58"/>
      <c r="J942" s="58"/>
      <c r="K942" s="58"/>
      <c r="L942" s="58"/>
      <c r="M942" s="135"/>
      <c r="N942" s="135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35"/>
      <c r="Z942" s="58"/>
      <c r="AA942" s="58"/>
      <c r="AB942" s="58"/>
      <c r="AC942" s="58"/>
      <c r="AD942" s="58"/>
      <c r="AE942" s="138"/>
      <c r="AF942" s="136"/>
      <c r="AG942" s="136"/>
      <c r="AH942" s="136"/>
    </row>
    <row r="943" spans="1:34" s="132" customFormat="1" ht="12.75" customHeight="1" x14ac:dyDescent="0.25">
      <c r="A943" s="137"/>
      <c r="B943" s="139"/>
      <c r="C943" s="136"/>
      <c r="D943" s="131"/>
      <c r="E943" s="131"/>
      <c r="F943" s="58"/>
      <c r="G943" s="140"/>
      <c r="H943" s="140"/>
      <c r="I943" s="58"/>
      <c r="J943" s="58"/>
      <c r="K943" s="58"/>
      <c r="L943" s="58"/>
      <c r="M943" s="135"/>
      <c r="N943" s="135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35"/>
      <c r="Z943" s="58"/>
      <c r="AA943" s="58"/>
      <c r="AB943" s="58"/>
      <c r="AC943" s="58"/>
      <c r="AD943" s="58"/>
      <c r="AE943" s="138"/>
      <c r="AF943" s="136"/>
      <c r="AG943" s="136"/>
      <c r="AH943" s="136"/>
    </row>
    <row r="944" spans="1:34" s="132" customFormat="1" ht="12.75" customHeight="1" x14ac:dyDescent="0.25">
      <c r="A944" s="137"/>
      <c r="B944" s="139"/>
      <c r="C944" s="136"/>
      <c r="D944" s="131"/>
      <c r="E944" s="131"/>
      <c r="F944" s="58"/>
      <c r="G944" s="140"/>
      <c r="H944" s="140"/>
      <c r="I944" s="58"/>
      <c r="J944" s="58"/>
      <c r="K944" s="58"/>
      <c r="L944" s="58"/>
      <c r="M944" s="135"/>
      <c r="N944" s="135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35"/>
      <c r="Z944" s="58"/>
      <c r="AA944" s="58"/>
      <c r="AB944" s="58"/>
      <c r="AC944" s="58"/>
      <c r="AD944" s="58"/>
      <c r="AE944" s="138"/>
      <c r="AF944" s="136"/>
      <c r="AG944" s="136"/>
      <c r="AH944" s="136"/>
    </row>
    <row r="945" spans="1:34" s="132" customFormat="1" ht="12.75" customHeight="1" x14ac:dyDescent="0.25">
      <c r="A945" s="137"/>
      <c r="B945" s="139"/>
      <c r="C945" s="136"/>
      <c r="D945" s="131"/>
      <c r="E945" s="131"/>
      <c r="F945" s="58"/>
      <c r="G945" s="140"/>
      <c r="H945" s="140"/>
      <c r="I945" s="58"/>
      <c r="J945" s="58"/>
      <c r="K945" s="58"/>
      <c r="L945" s="58"/>
      <c r="M945" s="135"/>
      <c r="N945" s="135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35"/>
      <c r="Z945" s="58"/>
      <c r="AA945" s="58"/>
      <c r="AB945" s="58"/>
      <c r="AC945" s="58"/>
      <c r="AD945" s="58"/>
      <c r="AE945" s="138"/>
      <c r="AF945" s="136"/>
      <c r="AG945" s="136"/>
      <c r="AH945" s="136"/>
    </row>
    <row r="946" spans="1:34" s="132" customFormat="1" ht="12.75" customHeight="1" x14ac:dyDescent="0.25">
      <c r="A946" s="137"/>
      <c r="B946" s="139"/>
      <c r="C946" s="136"/>
      <c r="D946" s="131"/>
      <c r="E946" s="131"/>
      <c r="F946" s="58"/>
      <c r="G946" s="140"/>
      <c r="H946" s="140"/>
      <c r="I946" s="58"/>
      <c r="J946" s="58"/>
      <c r="K946" s="58"/>
      <c r="L946" s="58"/>
      <c r="M946" s="135"/>
      <c r="N946" s="135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35"/>
      <c r="Z946" s="58"/>
      <c r="AA946" s="58"/>
      <c r="AB946" s="58"/>
      <c r="AC946" s="58"/>
      <c r="AD946" s="58"/>
      <c r="AE946" s="138"/>
      <c r="AF946" s="136"/>
      <c r="AG946" s="136"/>
      <c r="AH946" s="136"/>
    </row>
    <row r="947" spans="1:34" s="132" customFormat="1" ht="12.75" customHeight="1" x14ac:dyDescent="0.25">
      <c r="A947" s="137"/>
      <c r="B947" s="139"/>
      <c r="C947" s="136"/>
      <c r="D947" s="131"/>
      <c r="E947" s="131"/>
      <c r="F947" s="58"/>
      <c r="G947" s="140"/>
      <c r="H947" s="140"/>
      <c r="I947" s="58"/>
      <c r="J947" s="58"/>
      <c r="K947" s="58"/>
      <c r="L947" s="58"/>
      <c r="M947" s="135"/>
      <c r="N947" s="135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35"/>
      <c r="Z947" s="58"/>
      <c r="AA947" s="58"/>
      <c r="AB947" s="58"/>
      <c r="AC947" s="58"/>
      <c r="AD947" s="58"/>
      <c r="AE947" s="138"/>
      <c r="AF947" s="136"/>
      <c r="AG947" s="136"/>
      <c r="AH947" s="136"/>
    </row>
    <row r="948" spans="1:34" s="132" customFormat="1" ht="12.75" customHeight="1" x14ac:dyDescent="0.25">
      <c r="A948" s="137"/>
      <c r="B948" s="139"/>
      <c r="C948" s="136"/>
      <c r="D948" s="131"/>
      <c r="E948" s="131"/>
      <c r="F948" s="58"/>
      <c r="G948" s="140"/>
      <c r="H948" s="140"/>
      <c r="I948" s="58"/>
      <c r="J948" s="58"/>
      <c r="K948" s="58"/>
      <c r="L948" s="58"/>
      <c r="M948" s="135"/>
      <c r="N948" s="135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35"/>
      <c r="Z948" s="58"/>
      <c r="AA948" s="58"/>
      <c r="AB948" s="58"/>
      <c r="AC948" s="58"/>
      <c r="AD948" s="58"/>
      <c r="AE948" s="138"/>
      <c r="AF948" s="136"/>
      <c r="AG948" s="136"/>
      <c r="AH948" s="136"/>
    </row>
    <row r="949" spans="1:34" s="132" customFormat="1" ht="12.75" customHeight="1" x14ac:dyDescent="0.25">
      <c r="A949" s="137"/>
      <c r="B949" s="139"/>
      <c r="C949" s="136"/>
      <c r="D949" s="131"/>
      <c r="E949" s="131"/>
      <c r="F949" s="58"/>
      <c r="G949" s="140"/>
      <c r="H949" s="140"/>
      <c r="I949" s="58"/>
      <c r="J949" s="58"/>
      <c r="K949" s="58"/>
      <c r="L949" s="58"/>
      <c r="M949" s="135"/>
      <c r="N949" s="135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35"/>
      <c r="Z949" s="58"/>
      <c r="AA949" s="58"/>
      <c r="AB949" s="58"/>
      <c r="AC949" s="58"/>
      <c r="AD949" s="58"/>
      <c r="AE949" s="138"/>
      <c r="AF949" s="136"/>
      <c r="AG949" s="136"/>
      <c r="AH949" s="136"/>
    </row>
    <row r="950" spans="1:34" s="132" customFormat="1" ht="12.75" customHeight="1" x14ac:dyDescent="0.25">
      <c r="A950" s="137"/>
      <c r="B950" s="139"/>
      <c r="C950" s="136"/>
      <c r="D950" s="131"/>
      <c r="E950" s="131"/>
      <c r="F950" s="58"/>
      <c r="G950" s="140"/>
      <c r="H950" s="140"/>
      <c r="I950" s="58"/>
      <c r="J950" s="58"/>
      <c r="K950" s="58"/>
      <c r="L950" s="58"/>
      <c r="M950" s="135"/>
      <c r="N950" s="135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35"/>
      <c r="Z950" s="58"/>
      <c r="AA950" s="58"/>
      <c r="AB950" s="58"/>
      <c r="AC950" s="58"/>
      <c r="AD950" s="58"/>
      <c r="AE950" s="138"/>
      <c r="AF950" s="136"/>
      <c r="AG950" s="136"/>
      <c r="AH950" s="136"/>
    </row>
    <row r="951" spans="1:34" s="132" customFormat="1" ht="12.75" customHeight="1" x14ac:dyDescent="0.25">
      <c r="A951" s="137"/>
      <c r="B951" s="139"/>
      <c r="C951" s="136"/>
      <c r="D951" s="131"/>
      <c r="E951" s="131"/>
      <c r="F951" s="58"/>
      <c r="G951" s="140"/>
      <c r="H951" s="140"/>
      <c r="I951" s="58"/>
      <c r="J951" s="58"/>
      <c r="K951" s="58"/>
      <c r="L951" s="58"/>
      <c r="M951" s="135"/>
      <c r="N951" s="135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35"/>
      <c r="Z951" s="58"/>
      <c r="AA951" s="58"/>
      <c r="AB951" s="58"/>
      <c r="AC951" s="58"/>
      <c r="AD951" s="58"/>
      <c r="AE951" s="138"/>
      <c r="AF951" s="136"/>
      <c r="AG951" s="136"/>
      <c r="AH951" s="136"/>
    </row>
    <row r="952" spans="1:34" s="132" customFormat="1" ht="12.75" customHeight="1" x14ac:dyDescent="0.25">
      <c r="A952" s="137"/>
      <c r="B952" s="139"/>
      <c r="C952" s="136"/>
      <c r="D952" s="131"/>
      <c r="E952" s="131"/>
      <c r="F952" s="58"/>
      <c r="G952" s="140"/>
      <c r="H952" s="140"/>
      <c r="I952" s="58"/>
      <c r="J952" s="58"/>
      <c r="K952" s="58"/>
      <c r="L952" s="58"/>
      <c r="M952" s="135"/>
      <c r="N952" s="135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35"/>
      <c r="Z952" s="58"/>
      <c r="AA952" s="58"/>
      <c r="AB952" s="58"/>
      <c r="AC952" s="58"/>
      <c r="AD952" s="58"/>
      <c r="AE952" s="138"/>
      <c r="AF952" s="136"/>
      <c r="AG952" s="136"/>
      <c r="AH952" s="136"/>
    </row>
    <row r="953" spans="1:34" s="132" customFormat="1" ht="12.75" customHeight="1" x14ac:dyDescent="0.25">
      <c r="A953" s="137"/>
      <c r="B953" s="139"/>
      <c r="C953" s="136"/>
      <c r="D953" s="131"/>
      <c r="E953" s="131"/>
      <c r="F953" s="58"/>
      <c r="G953" s="140"/>
      <c r="H953" s="140"/>
      <c r="I953" s="58"/>
      <c r="J953" s="58"/>
      <c r="K953" s="58"/>
      <c r="L953" s="58"/>
      <c r="M953" s="135"/>
      <c r="N953" s="135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35"/>
      <c r="Z953" s="58"/>
      <c r="AA953" s="58"/>
      <c r="AB953" s="58"/>
      <c r="AC953" s="58"/>
      <c r="AD953" s="58"/>
      <c r="AE953" s="138"/>
      <c r="AF953" s="136"/>
      <c r="AG953" s="136"/>
      <c r="AH953" s="136"/>
    </row>
    <row r="954" spans="1:34" s="132" customFormat="1" ht="12.75" customHeight="1" x14ac:dyDescent="0.25">
      <c r="A954" s="137"/>
      <c r="B954" s="139"/>
      <c r="C954" s="136"/>
      <c r="D954" s="131"/>
      <c r="E954" s="131"/>
      <c r="F954" s="58"/>
      <c r="G954" s="140"/>
      <c r="H954" s="140"/>
      <c r="I954" s="58"/>
      <c r="J954" s="58"/>
      <c r="K954" s="58"/>
      <c r="L954" s="58"/>
      <c r="M954" s="135"/>
      <c r="N954" s="135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35"/>
      <c r="Z954" s="58"/>
      <c r="AA954" s="58"/>
      <c r="AB954" s="58"/>
      <c r="AC954" s="58"/>
      <c r="AD954" s="58"/>
      <c r="AE954" s="138"/>
      <c r="AF954" s="136"/>
      <c r="AG954" s="136"/>
      <c r="AH954" s="136"/>
    </row>
    <row r="955" spans="1:34" s="132" customFormat="1" ht="12.75" customHeight="1" x14ac:dyDescent="0.25">
      <c r="A955" s="137"/>
      <c r="B955" s="139"/>
      <c r="C955" s="136"/>
      <c r="D955" s="131"/>
      <c r="E955" s="131"/>
      <c r="F955" s="58"/>
      <c r="G955" s="140"/>
      <c r="H955" s="140"/>
      <c r="I955" s="58"/>
      <c r="J955" s="58"/>
      <c r="K955" s="58"/>
      <c r="L955" s="58"/>
      <c r="M955" s="135"/>
      <c r="N955" s="135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35"/>
      <c r="Z955" s="58"/>
      <c r="AA955" s="58"/>
      <c r="AB955" s="58"/>
      <c r="AC955" s="58"/>
      <c r="AD955" s="58"/>
      <c r="AE955" s="138"/>
      <c r="AF955" s="136"/>
      <c r="AG955" s="136"/>
      <c r="AH955" s="136"/>
    </row>
    <row r="956" spans="1:34" s="132" customFormat="1" ht="12.75" customHeight="1" x14ac:dyDescent="0.25">
      <c r="A956" s="137"/>
      <c r="B956" s="139"/>
      <c r="C956" s="136"/>
      <c r="D956" s="131"/>
      <c r="E956" s="131"/>
      <c r="F956" s="58"/>
      <c r="G956" s="140"/>
      <c r="H956" s="140"/>
      <c r="I956" s="58"/>
      <c r="J956" s="58"/>
      <c r="K956" s="58"/>
      <c r="L956" s="58"/>
      <c r="M956" s="135"/>
      <c r="N956" s="135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35"/>
      <c r="Z956" s="58"/>
      <c r="AA956" s="58"/>
      <c r="AB956" s="58"/>
      <c r="AC956" s="58"/>
      <c r="AD956" s="58"/>
      <c r="AE956" s="138"/>
      <c r="AF956" s="136"/>
      <c r="AG956" s="136"/>
      <c r="AH956" s="136"/>
    </row>
    <row r="957" spans="1:34" s="132" customFormat="1" ht="12.75" customHeight="1" x14ac:dyDescent="0.25">
      <c r="A957" s="137"/>
      <c r="B957" s="139"/>
      <c r="C957" s="136"/>
      <c r="D957" s="131"/>
      <c r="E957" s="131"/>
      <c r="F957" s="58"/>
      <c r="G957" s="140"/>
      <c r="H957" s="140"/>
      <c r="I957" s="58"/>
      <c r="J957" s="58"/>
      <c r="K957" s="58"/>
      <c r="L957" s="58"/>
      <c r="M957" s="135"/>
      <c r="N957" s="135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35"/>
      <c r="Z957" s="58"/>
      <c r="AA957" s="58"/>
      <c r="AB957" s="58"/>
      <c r="AC957" s="58"/>
      <c r="AD957" s="58"/>
      <c r="AE957" s="138"/>
      <c r="AF957" s="136"/>
      <c r="AG957" s="136"/>
      <c r="AH957" s="136"/>
    </row>
    <row r="958" spans="1:34" s="132" customFormat="1" ht="12.75" customHeight="1" x14ac:dyDescent="0.25">
      <c r="A958" s="137"/>
      <c r="B958" s="139"/>
      <c r="C958" s="136"/>
      <c r="D958" s="131"/>
      <c r="E958" s="131"/>
      <c r="F958" s="58"/>
      <c r="G958" s="140"/>
      <c r="H958" s="140"/>
      <c r="I958" s="58"/>
      <c r="J958" s="58"/>
      <c r="K958" s="58"/>
      <c r="L958" s="58"/>
      <c r="M958" s="135"/>
      <c r="N958" s="135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35"/>
      <c r="Z958" s="58"/>
      <c r="AA958" s="58"/>
      <c r="AB958" s="58"/>
      <c r="AC958" s="58"/>
      <c r="AD958" s="58"/>
      <c r="AE958" s="138"/>
      <c r="AF958" s="136"/>
      <c r="AG958" s="136"/>
      <c r="AH958" s="136"/>
    </row>
    <row r="959" spans="1:34" s="132" customFormat="1" ht="12.75" customHeight="1" x14ac:dyDescent="0.25">
      <c r="A959" s="137"/>
      <c r="B959" s="139"/>
      <c r="C959" s="136"/>
      <c r="D959" s="131"/>
      <c r="E959" s="131"/>
      <c r="F959" s="58"/>
      <c r="G959" s="140"/>
      <c r="H959" s="140"/>
      <c r="I959" s="58"/>
      <c r="J959" s="58"/>
      <c r="K959" s="58"/>
      <c r="L959" s="58"/>
      <c r="M959" s="135"/>
      <c r="N959" s="135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35"/>
      <c r="Z959" s="58"/>
      <c r="AA959" s="58"/>
      <c r="AB959" s="58"/>
      <c r="AC959" s="58"/>
      <c r="AD959" s="58"/>
      <c r="AE959" s="138"/>
      <c r="AF959" s="136"/>
      <c r="AG959" s="136"/>
      <c r="AH959" s="136"/>
    </row>
    <row r="960" spans="1:34" s="132" customFormat="1" ht="12.75" customHeight="1" x14ac:dyDescent="0.25">
      <c r="A960" s="137"/>
      <c r="B960" s="139"/>
      <c r="C960" s="136"/>
      <c r="D960" s="131"/>
      <c r="E960" s="131"/>
      <c r="F960" s="58"/>
      <c r="G960" s="140"/>
      <c r="H960" s="140"/>
      <c r="I960" s="58"/>
      <c r="J960" s="58"/>
      <c r="K960" s="58"/>
      <c r="L960" s="58"/>
      <c r="M960" s="135"/>
      <c r="N960" s="135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35"/>
      <c r="Z960" s="58"/>
      <c r="AA960" s="58"/>
      <c r="AB960" s="58"/>
      <c r="AC960" s="58"/>
      <c r="AD960" s="58"/>
      <c r="AE960" s="138"/>
      <c r="AF960" s="136"/>
      <c r="AG960" s="136"/>
      <c r="AH960" s="136"/>
    </row>
    <row r="961" spans="1:34" s="132" customFormat="1" ht="12.75" customHeight="1" x14ac:dyDescent="0.25">
      <c r="A961" s="137"/>
      <c r="B961" s="139"/>
      <c r="C961" s="136"/>
      <c r="D961" s="131"/>
      <c r="E961" s="131"/>
      <c r="F961" s="58"/>
      <c r="G961" s="140"/>
      <c r="H961" s="140"/>
      <c r="I961" s="58"/>
      <c r="J961" s="58"/>
      <c r="K961" s="58"/>
      <c r="L961" s="58"/>
      <c r="M961" s="135"/>
      <c r="N961" s="135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35"/>
      <c r="Z961" s="58"/>
      <c r="AA961" s="58"/>
      <c r="AB961" s="58"/>
      <c r="AC961" s="58"/>
      <c r="AD961" s="58"/>
      <c r="AE961" s="138"/>
      <c r="AF961" s="136"/>
      <c r="AG961" s="136"/>
      <c r="AH961" s="136"/>
    </row>
    <row r="962" spans="1:34" s="132" customFormat="1" ht="12.75" customHeight="1" x14ac:dyDescent="0.25">
      <c r="A962" s="137"/>
      <c r="B962" s="139"/>
      <c r="C962" s="136"/>
      <c r="D962" s="131"/>
      <c r="E962" s="131"/>
      <c r="F962" s="58"/>
      <c r="G962" s="140"/>
      <c r="H962" s="140"/>
      <c r="I962" s="58"/>
      <c r="J962" s="58"/>
      <c r="K962" s="58"/>
      <c r="L962" s="58"/>
      <c r="M962" s="135"/>
      <c r="N962" s="135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35"/>
      <c r="Z962" s="58"/>
      <c r="AA962" s="58"/>
      <c r="AB962" s="58"/>
      <c r="AC962" s="58"/>
      <c r="AD962" s="58"/>
      <c r="AE962" s="138"/>
      <c r="AF962" s="136"/>
      <c r="AG962" s="136"/>
      <c r="AH962" s="136"/>
    </row>
    <row r="963" spans="1:34" s="132" customFormat="1" ht="12.75" customHeight="1" x14ac:dyDescent="0.25">
      <c r="A963" s="137"/>
      <c r="B963" s="139"/>
      <c r="C963" s="136"/>
      <c r="D963" s="131"/>
      <c r="E963" s="131"/>
      <c r="F963" s="58"/>
      <c r="G963" s="140"/>
      <c r="H963" s="140"/>
      <c r="I963" s="58"/>
      <c r="J963" s="58"/>
      <c r="K963" s="58"/>
      <c r="L963" s="58"/>
      <c r="M963" s="135"/>
      <c r="N963" s="135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35"/>
      <c r="Z963" s="58"/>
      <c r="AA963" s="58"/>
      <c r="AB963" s="58"/>
      <c r="AC963" s="58"/>
      <c r="AD963" s="58"/>
      <c r="AE963" s="138"/>
      <c r="AF963" s="136"/>
      <c r="AG963" s="136"/>
      <c r="AH963" s="136"/>
    </row>
    <row r="964" spans="1:34" s="132" customFormat="1" ht="12.75" customHeight="1" x14ac:dyDescent="0.25">
      <c r="A964" s="137"/>
      <c r="B964" s="139"/>
      <c r="C964" s="136"/>
      <c r="D964" s="131"/>
      <c r="E964" s="131"/>
      <c r="F964" s="58"/>
      <c r="G964" s="140"/>
      <c r="H964" s="140"/>
      <c r="I964" s="58"/>
      <c r="J964" s="58"/>
      <c r="K964" s="58"/>
      <c r="L964" s="58"/>
      <c r="M964" s="135"/>
      <c r="N964" s="135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35"/>
      <c r="Z964" s="58"/>
      <c r="AA964" s="58"/>
      <c r="AB964" s="58"/>
      <c r="AC964" s="58"/>
      <c r="AD964" s="58"/>
      <c r="AE964" s="138"/>
      <c r="AF964" s="136"/>
      <c r="AG964" s="136"/>
      <c r="AH964" s="136"/>
    </row>
    <row r="965" spans="1:34" s="132" customFormat="1" ht="12.75" customHeight="1" x14ac:dyDescent="0.25">
      <c r="A965" s="137"/>
      <c r="B965" s="139"/>
      <c r="C965" s="136"/>
      <c r="D965" s="131"/>
      <c r="E965" s="131"/>
      <c r="F965" s="58"/>
      <c r="G965" s="140"/>
      <c r="H965" s="140"/>
      <c r="I965" s="58"/>
      <c r="J965" s="58"/>
      <c r="K965" s="58"/>
      <c r="L965" s="58"/>
      <c r="M965" s="135"/>
      <c r="N965" s="135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35"/>
      <c r="Z965" s="58"/>
      <c r="AA965" s="58"/>
      <c r="AB965" s="58"/>
      <c r="AC965" s="58"/>
      <c r="AD965" s="58"/>
      <c r="AE965" s="138"/>
      <c r="AF965" s="136"/>
      <c r="AG965" s="136"/>
      <c r="AH965" s="136"/>
    </row>
    <row r="966" spans="1:34" s="132" customFormat="1" ht="12.75" customHeight="1" x14ac:dyDescent="0.25">
      <c r="A966" s="137"/>
      <c r="B966" s="139"/>
      <c r="C966" s="136"/>
      <c r="D966" s="131"/>
      <c r="E966" s="131"/>
      <c r="F966" s="58"/>
      <c r="G966" s="140"/>
      <c r="H966" s="140"/>
      <c r="I966" s="58"/>
      <c r="J966" s="58"/>
      <c r="K966" s="58"/>
      <c r="L966" s="58"/>
      <c r="M966" s="135"/>
      <c r="N966" s="135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35"/>
      <c r="Z966" s="58"/>
      <c r="AA966" s="58"/>
      <c r="AB966" s="58"/>
      <c r="AC966" s="58"/>
      <c r="AD966" s="58"/>
      <c r="AE966" s="138"/>
      <c r="AF966" s="136"/>
      <c r="AG966" s="136"/>
      <c r="AH966" s="136"/>
    </row>
    <row r="967" spans="1:34" s="132" customFormat="1" ht="12.75" customHeight="1" x14ac:dyDescent="0.25">
      <c r="A967" s="137"/>
      <c r="B967" s="139"/>
      <c r="C967" s="136"/>
      <c r="D967" s="131"/>
      <c r="E967" s="131"/>
      <c r="F967" s="58"/>
      <c r="G967" s="140"/>
      <c r="H967" s="140"/>
      <c r="I967" s="58"/>
      <c r="J967" s="58"/>
      <c r="K967" s="58"/>
      <c r="L967" s="58"/>
      <c r="M967" s="135"/>
      <c r="N967" s="135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35"/>
      <c r="Z967" s="58"/>
      <c r="AA967" s="58"/>
      <c r="AB967" s="58"/>
      <c r="AC967" s="58"/>
      <c r="AD967" s="58"/>
      <c r="AE967" s="138"/>
      <c r="AF967" s="136"/>
      <c r="AG967" s="136"/>
      <c r="AH967" s="136"/>
    </row>
    <row r="968" spans="1:34" s="132" customFormat="1" ht="12.75" customHeight="1" x14ac:dyDescent="0.25">
      <c r="A968" s="137"/>
      <c r="B968" s="139"/>
      <c r="C968" s="136"/>
      <c r="D968" s="131"/>
      <c r="E968" s="131"/>
      <c r="F968" s="58"/>
      <c r="G968" s="140"/>
      <c r="H968" s="140"/>
      <c r="I968" s="58"/>
      <c r="J968" s="58"/>
      <c r="K968" s="58"/>
      <c r="L968" s="58"/>
      <c r="M968" s="135"/>
      <c r="N968" s="135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35"/>
      <c r="Z968" s="58"/>
      <c r="AA968" s="58"/>
      <c r="AB968" s="58"/>
      <c r="AC968" s="58"/>
      <c r="AD968" s="58"/>
      <c r="AE968" s="138"/>
      <c r="AF968" s="136"/>
      <c r="AG968" s="136"/>
      <c r="AH968" s="136"/>
    </row>
    <row r="969" spans="1:34" s="132" customFormat="1" ht="12.75" customHeight="1" x14ac:dyDescent="0.25">
      <c r="A969" s="137"/>
      <c r="B969" s="139"/>
      <c r="C969" s="136"/>
      <c r="D969" s="131"/>
      <c r="E969" s="131"/>
      <c r="F969" s="58"/>
      <c r="G969" s="140"/>
      <c r="H969" s="140"/>
      <c r="I969" s="58"/>
      <c r="J969" s="58"/>
      <c r="K969" s="58"/>
      <c r="L969" s="58"/>
      <c r="M969" s="135"/>
      <c r="N969" s="135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35"/>
      <c r="Z969" s="58"/>
      <c r="AA969" s="58"/>
      <c r="AB969" s="58"/>
      <c r="AC969" s="58"/>
      <c r="AD969" s="58"/>
      <c r="AE969" s="138"/>
      <c r="AF969" s="136"/>
      <c r="AG969" s="136"/>
      <c r="AH969" s="136"/>
    </row>
    <row r="970" spans="1:34" s="132" customFormat="1" ht="12.75" customHeight="1" x14ac:dyDescent="0.25">
      <c r="A970" s="137"/>
      <c r="B970" s="139"/>
      <c r="C970" s="136"/>
      <c r="D970" s="131"/>
      <c r="E970" s="131"/>
      <c r="F970" s="58"/>
      <c r="G970" s="140"/>
      <c r="H970" s="140"/>
      <c r="I970" s="58"/>
      <c r="J970" s="58"/>
      <c r="K970" s="58"/>
      <c r="L970" s="58"/>
      <c r="M970" s="135"/>
      <c r="N970" s="135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35"/>
      <c r="Z970" s="58"/>
      <c r="AA970" s="58"/>
      <c r="AB970" s="58"/>
      <c r="AC970" s="58"/>
      <c r="AD970" s="58"/>
      <c r="AE970" s="138"/>
      <c r="AF970" s="136"/>
      <c r="AG970" s="136"/>
      <c r="AH970" s="136"/>
    </row>
    <row r="971" spans="1:34" s="132" customFormat="1" ht="12.75" customHeight="1" x14ac:dyDescent="0.25">
      <c r="A971" s="137"/>
      <c r="B971" s="139"/>
      <c r="C971" s="136"/>
      <c r="D971" s="131"/>
      <c r="E971" s="131"/>
      <c r="F971" s="58"/>
      <c r="G971" s="140"/>
      <c r="H971" s="140"/>
      <c r="I971" s="58"/>
      <c r="J971" s="58"/>
      <c r="K971" s="58"/>
      <c r="L971" s="58"/>
      <c r="M971" s="135"/>
      <c r="N971" s="135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35"/>
      <c r="Z971" s="58"/>
      <c r="AA971" s="58"/>
      <c r="AB971" s="58"/>
      <c r="AC971" s="58"/>
      <c r="AD971" s="58"/>
      <c r="AE971" s="138"/>
      <c r="AF971" s="136"/>
      <c r="AG971" s="136"/>
      <c r="AH971" s="136"/>
    </row>
    <row r="972" spans="1:34" s="132" customFormat="1" ht="12.75" customHeight="1" x14ac:dyDescent="0.25">
      <c r="A972" s="137"/>
      <c r="B972" s="139"/>
      <c r="C972" s="136"/>
      <c r="D972" s="131"/>
      <c r="E972" s="131"/>
      <c r="F972" s="58"/>
      <c r="G972" s="140"/>
      <c r="H972" s="140"/>
      <c r="I972" s="58"/>
      <c r="J972" s="58"/>
      <c r="K972" s="58"/>
      <c r="L972" s="58"/>
      <c r="M972" s="135"/>
      <c r="N972" s="135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35"/>
      <c r="Z972" s="58"/>
      <c r="AA972" s="58"/>
      <c r="AB972" s="58"/>
      <c r="AC972" s="58"/>
      <c r="AD972" s="58"/>
      <c r="AE972" s="138"/>
      <c r="AF972" s="136"/>
      <c r="AG972" s="136"/>
      <c r="AH972" s="136"/>
    </row>
    <row r="973" spans="1:34" s="132" customFormat="1" ht="12.75" customHeight="1" x14ac:dyDescent="0.25">
      <c r="A973" s="137"/>
      <c r="B973" s="139"/>
      <c r="C973" s="136"/>
      <c r="D973" s="131"/>
      <c r="E973" s="131"/>
      <c r="F973" s="58"/>
      <c r="G973" s="140"/>
      <c r="H973" s="140"/>
      <c r="I973" s="58"/>
      <c r="J973" s="58"/>
      <c r="K973" s="58"/>
      <c r="L973" s="58"/>
      <c r="M973" s="135"/>
      <c r="N973" s="135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35"/>
      <c r="Z973" s="58"/>
      <c r="AA973" s="58"/>
      <c r="AB973" s="58"/>
      <c r="AC973" s="58"/>
      <c r="AD973" s="58"/>
      <c r="AE973" s="138"/>
      <c r="AF973" s="136"/>
      <c r="AG973" s="136"/>
      <c r="AH973" s="136"/>
    </row>
    <row r="974" spans="1:34" s="132" customFormat="1" ht="12.75" customHeight="1" x14ac:dyDescent="0.25">
      <c r="A974" s="137"/>
      <c r="B974" s="139"/>
      <c r="C974" s="136"/>
      <c r="D974" s="131"/>
      <c r="E974" s="131"/>
      <c r="F974" s="58"/>
      <c r="G974" s="140"/>
      <c r="H974" s="140"/>
      <c r="I974" s="58"/>
      <c r="J974" s="58"/>
      <c r="K974" s="58"/>
      <c r="L974" s="58"/>
      <c r="M974" s="135"/>
      <c r="N974" s="135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35"/>
      <c r="Z974" s="58"/>
      <c r="AA974" s="58"/>
      <c r="AB974" s="58"/>
      <c r="AC974" s="58"/>
      <c r="AD974" s="58"/>
      <c r="AE974" s="138"/>
      <c r="AF974" s="136"/>
      <c r="AG974" s="136"/>
      <c r="AH974" s="136"/>
    </row>
    <row r="975" spans="1:34" s="132" customFormat="1" ht="12.75" customHeight="1" x14ac:dyDescent="0.25">
      <c r="A975" s="137"/>
      <c r="B975" s="139"/>
      <c r="C975" s="136"/>
      <c r="D975" s="131"/>
      <c r="E975" s="131"/>
      <c r="F975" s="58"/>
      <c r="G975" s="140"/>
      <c r="H975" s="140"/>
      <c r="I975" s="58"/>
      <c r="J975" s="58"/>
      <c r="K975" s="58"/>
      <c r="L975" s="58"/>
      <c r="M975" s="135"/>
      <c r="N975" s="135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35"/>
      <c r="Z975" s="58"/>
      <c r="AA975" s="58"/>
      <c r="AB975" s="58"/>
      <c r="AC975" s="58"/>
      <c r="AD975" s="58"/>
      <c r="AE975" s="138"/>
      <c r="AF975" s="136"/>
      <c r="AG975" s="136"/>
      <c r="AH975" s="136"/>
    </row>
    <row r="976" spans="1:34" s="132" customFormat="1" ht="12.75" customHeight="1" x14ac:dyDescent="0.25">
      <c r="A976" s="137"/>
      <c r="B976" s="139"/>
      <c r="C976" s="136"/>
      <c r="D976" s="131"/>
      <c r="E976" s="131"/>
      <c r="F976" s="58"/>
      <c r="G976" s="140"/>
      <c r="H976" s="140"/>
      <c r="I976" s="58"/>
      <c r="J976" s="58"/>
      <c r="K976" s="58"/>
      <c r="L976" s="58"/>
      <c r="M976" s="135"/>
      <c r="N976" s="135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35"/>
      <c r="Z976" s="58"/>
      <c r="AA976" s="58"/>
      <c r="AB976" s="58"/>
      <c r="AC976" s="58"/>
      <c r="AD976" s="58"/>
      <c r="AE976" s="138"/>
      <c r="AF976" s="136"/>
      <c r="AG976" s="136"/>
      <c r="AH976" s="136"/>
    </row>
    <row r="977" spans="1:34" s="132" customFormat="1" ht="12.75" customHeight="1" x14ac:dyDescent="0.25">
      <c r="A977" s="137"/>
      <c r="B977" s="139"/>
      <c r="C977" s="136"/>
      <c r="D977" s="131"/>
      <c r="E977" s="131"/>
      <c r="F977" s="58"/>
      <c r="G977" s="140"/>
      <c r="H977" s="140"/>
      <c r="I977" s="58"/>
      <c r="J977" s="58"/>
      <c r="K977" s="58"/>
      <c r="L977" s="58"/>
      <c r="M977" s="135"/>
      <c r="N977" s="135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35"/>
      <c r="Z977" s="58"/>
      <c r="AA977" s="58"/>
      <c r="AB977" s="58"/>
      <c r="AC977" s="58"/>
      <c r="AD977" s="58"/>
      <c r="AE977" s="138"/>
      <c r="AF977" s="136"/>
      <c r="AG977" s="136"/>
      <c r="AH977" s="136"/>
    </row>
    <row r="978" spans="1:34" s="132" customFormat="1" ht="12.75" customHeight="1" x14ac:dyDescent="0.25">
      <c r="A978" s="137"/>
      <c r="B978" s="139"/>
      <c r="C978" s="136"/>
      <c r="D978" s="131"/>
      <c r="E978" s="131"/>
      <c r="F978" s="58"/>
      <c r="G978" s="140"/>
      <c r="H978" s="140"/>
      <c r="I978" s="58"/>
      <c r="J978" s="58"/>
      <c r="K978" s="58"/>
      <c r="L978" s="58"/>
      <c r="M978" s="135"/>
      <c r="N978" s="135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35"/>
      <c r="Z978" s="58"/>
      <c r="AA978" s="58"/>
      <c r="AB978" s="58"/>
      <c r="AC978" s="58"/>
      <c r="AD978" s="58"/>
      <c r="AE978" s="138"/>
      <c r="AF978" s="136"/>
      <c r="AG978" s="136"/>
      <c r="AH978" s="136"/>
    </row>
    <row r="979" spans="1:34" s="132" customFormat="1" ht="12.75" customHeight="1" x14ac:dyDescent="0.25">
      <c r="A979" s="137"/>
      <c r="B979" s="139"/>
      <c r="C979" s="136"/>
      <c r="D979" s="131"/>
      <c r="E979" s="131"/>
      <c r="F979" s="58"/>
      <c r="G979" s="140"/>
      <c r="H979" s="140"/>
      <c r="I979" s="58"/>
      <c r="J979" s="58"/>
      <c r="K979" s="58"/>
      <c r="L979" s="58"/>
      <c r="M979" s="135"/>
      <c r="N979" s="135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35"/>
      <c r="Z979" s="58"/>
      <c r="AA979" s="58"/>
      <c r="AB979" s="58"/>
      <c r="AC979" s="58"/>
      <c r="AD979" s="58"/>
      <c r="AE979" s="138"/>
      <c r="AF979" s="136"/>
      <c r="AG979" s="136"/>
      <c r="AH979" s="136"/>
    </row>
    <row r="980" spans="1:34" s="132" customFormat="1" ht="12.75" customHeight="1" x14ac:dyDescent="0.25">
      <c r="A980" s="137"/>
      <c r="B980" s="139"/>
      <c r="C980" s="136"/>
      <c r="D980" s="131"/>
      <c r="E980" s="131"/>
      <c r="F980" s="58"/>
      <c r="G980" s="140"/>
      <c r="H980" s="140"/>
      <c r="I980" s="58"/>
      <c r="J980" s="58"/>
      <c r="K980" s="58"/>
      <c r="L980" s="58"/>
      <c r="M980" s="135"/>
      <c r="N980" s="135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35"/>
      <c r="Z980" s="58"/>
      <c r="AA980" s="58"/>
      <c r="AB980" s="58"/>
      <c r="AC980" s="58"/>
      <c r="AD980" s="58"/>
      <c r="AE980" s="138"/>
      <c r="AF980" s="136"/>
      <c r="AG980" s="136"/>
      <c r="AH980" s="136"/>
    </row>
    <row r="981" spans="1:34" s="132" customFormat="1" ht="12.75" customHeight="1" x14ac:dyDescent="0.25">
      <c r="A981" s="137"/>
      <c r="B981" s="139"/>
      <c r="C981" s="136"/>
      <c r="D981" s="131"/>
      <c r="E981" s="131"/>
      <c r="F981" s="58"/>
      <c r="G981" s="140"/>
      <c r="H981" s="140"/>
      <c r="I981" s="58"/>
      <c r="J981" s="58"/>
      <c r="K981" s="58"/>
      <c r="L981" s="58"/>
      <c r="M981" s="135"/>
      <c r="N981" s="135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35"/>
      <c r="Z981" s="58"/>
      <c r="AA981" s="58"/>
      <c r="AB981" s="58"/>
      <c r="AC981" s="58"/>
      <c r="AD981" s="58"/>
      <c r="AE981" s="138"/>
      <c r="AF981" s="136"/>
      <c r="AG981" s="136"/>
      <c r="AH981" s="136"/>
    </row>
    <row r="982" spans="1:34" s="132" customFormat="1" ht="12.75" customHeight="1" x14ac:dyDescent="0.25">
      <c r="A982" s="137"/>
      <c r="B982" s="139"/>
      <c r="C982" s="136"/>
      <c r="D982" s="131"/>
      <c r="E982" s="131"/>
      <c r="F982" s="58"/>
      <c r="G982" s="140"/>
      <c r="H982" s="140"/>
      <c r="I982" s="58"/>
      <c r="J982" s="58"/>
      <c r="K982" s="58"/>
      <c r="L982" s="58"/>
      <c r="M982" s="135"/>
      <c r="N982" s="135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35"/>
      <c r="Z982" s="58"/>
      <c r="AA982" s="58"/>
      <c r="AB982" s="58"/>
      <c r="AC982" s="58"/>
      <c r="AD982" s="58"/>
      <c r="AE982" s="138"/>
      <c r="AF982" s="136"/>
      <c r="AG982" s="136"/>
      <c r="AH982" s="136"/>
    </row>
    <row r="983" spans="1:34" s="132" customFormat="1" ht="12.75" customHeight="1" x14ac:dyDescent="0.25">
      <c r="A983" s="137"/>
      <c r="B983" s="139"/>
      <c r="C983" s="136"/>
      <c r="D983" s="131"/>
      <c r="E983" s="131"/>
      <c r="F983" s="58"/>
      <c r="G983" s="140"/>
      <c r="H983" s="140"/>
      <c r="I983" s="58"/>
      <c r="J983" s="58"/>
      <c r="K983" s="58"/>
      <c r="L983" s="58"/>
      <c r="M983" s="135"/>
      <c r="N983" s="135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35"/>
      <c r="Z983" s="58"/>
      <c r="AA983" s="58"/>
      <c r="AB983" s="58"/>
      <c r="AC983" s="58"/>
      <c r="AD983" s="58"/>
      <c r="AE983" s="138"/>
      <c r="AF983" s="136"/>
      <c r="AG983" s="136"/>
      <c r="AH983" s="136"/>
    </row>
    <row r="984" spans="1:34" s="132" customFormat="1" ht="12.75" customHeight="1" x14ac:dyDescent="0.25">
      <c r="A984" s="137"/>
      <c r="B984" s="139"/>
      <c r="C984" s="136"/>
      <c r="D984" s="131"/>
      <c r="E984" s="131"/>
      <c r="F984" s="58"/>
      <c r="G984" s="140"/>
      <c r="H984" s="140"/>
      <c r="I984" s="58"/>
      <c r="J984" s="58"/>
      <c r="K984" s="58"/>
      <c r="L984" s="58"/>
      <c r="M984" s="135"/>
      <c r="N984" s="135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35"/>
      <c r="Z984" s="58"/>
      <c r="AA984" s="58"/>
      <c r="AB984" s="58"/>
      <c r="AC984" s="58"/>
      <c r="AD984" s="58"/>
      <c r="AE984" s="138"/>
      <c r="AF984" s="136"/>
      <c r="AG984" s="136"/>
      <c r="AH984" s="136"/>
    </row>
    <row r="985" spans="1:34" s="132" customFormat="1" ht="12.75" customHeight="1" x14ac:dyDescent="0.25">
      <c r="A985" s="137"/>
      <c r="B985" s="139"/>
      <c r="C985" s="136"/>
      <c r="D985" s="131"/>
      <c r="E985" s="131"/>
      <c r="F985" s="58"/>
      <c r="G985" s="140"/>
      <c r="H985" s="140"/>
      <c r="I985" s="58"/>
      <c r="J985" s="58"/>
      <c r="K985" s="58"/>
      <c r="L985" s="58"/>
      <c r="M985" s="135"/>
      <c r="N985" s="135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35"/>
      <c r="Z985" s="58"/>
      <c r="AA985" s="58"/>
      <c r="AB985" s="58"/>
      <c r="AC985" s="58"/>
      <c r="AD985" s="58"/>
      <c r="AE985" s="138"/>
      <c r="AF985" s="136"/>
      <c r="AG985" s="136"/>
      <c r="AH985" s="136"/>
    </row>
    <row r="986" spans="1:34" s="132" customFormat="1" ht="12.75" customHeight="1" x14ac:dyDescent="0.25">
      <c r="A986" s="137"/>
      <c r="B986" s="139"/>
      <c r="C986" s="136"/>
      <c r="D986" s="131"/>
      <c r="E986" s="131"/>
      <c r="F986" s="58"/>
      <c r="G986" s="140"/>
      <c r="H986" s="140"/>
      <c r="I986" s="58"/>
      <c r="J986" s="58"/>
      <c r="K986" s="58"/>
      <c r="L986" s="58"/>
      <c r="M986" s="135"/>
      <c r="N986" s="135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35"/>
      <c r="Z986" s="58"/>
      <c r="AA986" s="58"/>
      <c r="AB986" s="58"/>
      <c r="AC986" s="58"/>
      <c r="AD986" s="58"/>
      <c r="AE986" s="138"/>
      <c r="AF986" s="136"/>
      <c r="AG986" s="136"/>
      <c r="AH986" s="136"/>
    </row>
    <row r="987" spans="1:34" s="132" customFormat="1" ht="12.75" customHeight="1" x14ac:dyDescent="0.25">
      <c r="A987" s="137"/>
      <c r="B987" s="139"/>
      <c r="C987" s="136"/>
      <c r="D987" s="131"/>
      <c r="E987" s="131"/>
      <c r="F987" s="58"/>
      <c r="G987" s="140"/>
      <c r="H987" s="140"/>
      <c r="I987" s="58"/>
      <c r="J987" s="58"/>
      <c r="K987" s="58"/>
      <c r="L987" s="58"/>
      <c r="M987" s="135"/>
      <c r="N987" s="135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35"/>
      <c r="Z987" s="58"/>
      <c r="AA987" s="58"/>
      <c r="AB987" s="58"/>
      <c r="AC987" s="58"/>
      <c r="AD987" s="58"/>
      <c r="AE987" s="138"/>
      <c r="AF987" s="136"/>
      <c r="AG987" s="136"/>
      <c r="AH987" s="136"/>
    </row>
    <row r="988" spans="1:34" s="132" customFormat="1" ht="12.75" customHeight="1" x14ac:dyDescent="0.25">
      <c r="A988" s="137"/>
      <c r="B988" s="139"/>
      <c r="C988" s="136"/>
      <c r="D988" s="131"/>
      <c r="E988" s="131"/>
      <c r="F988" s="58"/>
      <c r="G988" s="140"/>
      <c r="H988" s="140"/>
      <c r="I988" s="58"/>
      <c r="J988" s="58"/>
      <c r="K988" s="58"/>
      <c r="L988" s="58"/>
      <c r="M988" s="135"/>
      <c r="N988" s="135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35"/>
      <c r="Z988" s="58"/>
      <c r="AA988" s="58"/>
      <c r="AB988" s="58"/>
      <c r="AC988" s="58"/>
      <c r="AD988" s="58"/>
      <c r="AE988" s="138"/>
      <c r="AF988" s="136"/>
      <c r="AG988" s="136"/>
      <c r="AH988" s="136"/>
    </row>
    <row r="989" spans="1:34" s="132" customFormat="1" ht="12.75" customHeight="1" x14ac:dyDescent="0.25">
      <c r="A989" s="137"/>
      <c r="B989" s="139"/>
      <c r="C989" s="136"/>
      <c r="D989" s="131"/>
      <c r="E989" s="131"/>
      <c r="F989" s="58"/>
      <c r="G989" s="140"/>
      <c r="H989" s="140"/>
      <c r="I989" s="58"/>
      <c r="J989" s="58"/>
      <c r="K989" s="58"/>
      <c r="L989" s="58"/>
      <c r="M989" s="135"/>
      <c r="N989" s="135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35"/>
      <c r="Z989" s="58"/>
      <c r="AA989" s="58"/>
      <c r="AB989" s="58"/>
      <c r="AC989" s="58"/>
      <c r="AD989" s="58"/>
      <c r="AE989" s="138"/>
      <c r="AF989" s="136"/>
      <c r="AG989" s="136"/>
      <c r="AH989" s="136"/>
    </row>
    <row r="990" spans="1:34" s="132" customFormat="1" ht="12.75" customHeight="1" x14ac:dyDescent="0.25">
      <c r="A990" s="137"/>
      <c r="B990" s="139"/>
      <c r="C990" s="136"/>
      <c r="D990" s="131"/>
      <c r="E990" s="131"/>
      <c r="F990" s="58"/>
      <c r="G990" s="140"/>
      <c r="H990" s="140"/>
      <c r="I990" s="58"/>
      <c r="J990" s="58"/>
      <c r="K990" s="58"/>
      <c r="L990" s="58"/>
      <c r="M990" s="135"/>
      <c r="N990" s="135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35"/>
      <c r="Z990" s="58"/>
      <c r="AA990" s="58"/>
      <c r="AB990" s="58"/>
      <c r="AC990" s="58"/>
      <c r="AD990" s="58"/>
      <c r="AE990" s="138"/>
      <c r="AF990" s="136"/>
      <c r="AG990" s="136"/>
      <c r="AH990" s="136"/>
    </row>
    <row r="991" spans="1:34" s="132" customFormat="1" ht="12.75" customHeight="1" x14ac:dyDescent="0.25">
      <c r="A991" s="137"/>
      <c r="B991" s="139"/>
      <c r="C991" s="136"/>
      <c r="D991" s="131"/>
      <c r="E991" s="131"/>
      <c r="F991" s="58"/>
      <c r="G991" s="140"/>
      <c r="H991" s="140"/>
      <c r="I991" s="58"/>
      <c r="J991" s="58"/>
      <c r="K991" s="58"/>
      <c r="L991" s="58"/>
      <c r="M991" s="135"/>
      <c r="N991" s="135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35"/>
      <c r="Z991" s="58"/>
      <c r="AA991" s="58"/>
      <c r="AB991" s="58"/>
      <c r="AC991" s="58"/>
      <c r="AD991" s="58"/>
      <c r="AE991" s="138"/>
      <c r="AF991" s="136"/>
      <c r="AG991" s="136"/>
      <c r="AH991" s="136"/>
    </row>
    <row r="992" spans="1:34" s="132" customFormat="1" ht="12.75" customHeight="1" x14ac:dyDescent="0.25">
      <c r="A992" s="137"/>
      <c r="B992" s="139"/>
      <c r="C992" s="136"/>
      <c r="D992" s="131"/>
      <c r="E992" s="131"/>
      <c r="F992" s="58"/>
      <c r="G992" s="140"/>
      <c r="H992" s="140"/>
      <c r="I992" s="58"/>
      <c r="J992" s="58"/>
      <c r="K992" s="58"/>
      <c r="L992" s="58"/>
      <c r="M992" s="135"/>
      <c r="N992" s="135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35"/>
      <c r="Z992" s="58"/>
      <c r="AA992" s="58"/>
      <c r="AB992" s="58"/>
      <c r="AC992" s="58"/>
      <c r="AD992" s="58"/>
      <c r="AE992" s="138"/>
      <c r="AF992" s="136"/>
      <c r="AG992" s="136"/>
      <c r="AH992" s="136"/>
    </row>
    <row r="993" spans="1:34" s="132" customFormat="1" ht="12.75" customHeight="1" x14ac:dyDescent="0.25">
      <c r="A993" s="137"/>
      <c r="B993" s="139"/>
      <c r="C993" s="136"/>
      <c r="D993" s="131"/>
      <c r="E993" s="131"/>
      <c r="F993" s="58"/>
      <c r="G993" s="140"/>
      <c r="H993" s="140"/>
      <c r="I993" s="58"/>
      <c r="J993" s="58"/>
      <c r="K993" s="58"/>
      <c r="L993" s="58"/>
      <c r="M993" s="135"/>
      <c r="N993" s="135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35"/>
      <c r="Z993" s="58"/>
      <c r="AA993" s="58"/>
      <c r="AB993" s="58"/>
      <c r="AC993" s="58"/>
      <c r="AD993" s="58"/>
      <c r="AE993" s="138"/>
      <c r="AF993" s="136"/>
      <c r="AG993" s="136"/>
      <c r="AH993" s="136"/>
    </row>
    <row r="994" spans="1:34" s="132" customFormat="1" ht="12.75" customHeight="1" x14ac:dyDescent="0.25">
      <c r="A994" s="137"/>
      <c r="B994" s="139"/>
      <c r="C994" s="136"/>
      <c r="D994" s="131"/>
      <c r="E994" s="131"/>
      <c r="F994" s="58"/>
      <c r="G994" s="140"/>
      <c r="H994" s="140"/>
      <c r="I994" s="58"/>
      <c r="J994" s="58"/>
      <c r="K994" s="58"/>
      <c r="L994" s="58"/>
      <c r="M994" s="135"/>
      <c r="N994" s="135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35"/>
      <c r="Z994" s="58"/>
      <c r="AA994" s="58"/>
      <c r="AB994" s="58"/>
      <c r="AC994" s="58"/>
      <c r="AD994" s="58"/>
      <c r="AE994" s="138"/>
      <c r="AF994" s="136"/>
      <c r="AG994" s="136"/>
      <c r="AH994" s="136"/>
    </row>
    <row r="995" spans="1:34" s="132" customFormat="1" ht="12.75" customHeight="1" x14ac:dyDescent="0.25">
      <c r="A995" s="137"/>
      <c r="B995" s="139"/>
      <c r="C995" s="136"/>
      <c r="D995" s="131"/>
      <c r="E995" s="131"/>
      <c r="F995" s="58"/>
      <c r="G995" s="140"/>
      <c r="H995" s="140"/>
      <c r="I995" s="58"/>
      <c r="J995" s="58"/>
      <c r="K995" s="58"/>
      <c r="L995" s="58"/>
      <c r="M995" s="135"/>
      <c r="N995" s="135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35"/>
      <c r="Z995" s="58"/>
      <c r="AA995" s="58"/>
      <c r="AB995" s="58"/>
      <c r="AC995" s="58"/>
      <c r="AD995" s="58"/>
      <c r="AE995" s="138"/>
      <c r="AF995" s="136"/>
      <c r="AG995" s="136"/>
      <c r="AH995" s="136"/>
    </row>
    <row r="996" spans="1:34" s="132" customFormat="1" ht="12.75" customHeight="1" x14ac:dyDescent="0.25">
      <c r="A996" s="137"/>
      <c r="B996" s="139"/>
      <c r="C996" s="136"/>
      <c r="D996" s="131"/>
      <c r="E996" s="131"/>
      <c r="F996" s="58"/>
      <c r="G996" s="140"/>
      <c r="H996" s="140"/>
      <c r="I996" s="58"/>
      <c r="J996" s="58"/>
      <c r="K996" s="58"/>
      <c r="L996" s="58"/>
      <c r="M996" s="135"/>
      <c r="N996" s="135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35"/>
      <c r="Z996" s="58"/>
      <c r="AA996" s="58"/>
      <c r="AB996" s="58"/>
      <c r="AC996" s="58"/>
      <c r="AD996" s="58"/>
      <c r="AE996" s="138"/>
      <c r="AF996" s="136"/>
      <c r="AG996" s="136"/>
      <c r="AH996" s="136"/>
    </row>
    <row r="997" spans="1:34" s="132" customFormat="1" ht="12.75" customHeight="1" x14ac:dyDescent="0.25">
      <c r="A997" s="137"/>
      <c r="B997" s="139"/>
      <c r="C997" s="136"/>
      <c r="D997" s="131"/>
      <c r="E997" s="131"/>
      <c r="F997" s="58"/>
      <c r="G997" s="140"/>
      <c r="H997" s="140"/>
      <c r="I997" s="58"/>
      <c r="J997" s="58"/>
      <c r="K997" s="58"/>
      <c r="L997" s="58"/>
      <c r="M997" s="135"/>
      <c r="N997" s="135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35"/>
      <c r="Z997" s="58"/>
      <c r="AA997" s="58"/>
      <c r="AB997" s="58"/>
      <c r="AC997" s="58"/>
      <c r="AD997" s="58"/>
      <c r="AE997" s="138"/>
      <c r="AF997" s="136"/>
      <c r="AG997" s="136"/>
      <c r="AH997" s="136"/>
    </row>
    <row r="998" spans="1:34" s="132" customFormat="1" ht="12.75" customHeight="1" x14ac:dyDescent="0.25">
      <c r="A998" s="137"/>
      <c r="B998" s="139"/>
      <c r="C998" s="136"/>
      <c r="D998" s="131"/>
      <c r="E998" s="131"/>
      <c r="F998" s="58"/>
      <c r="G998" s="140"/>
      <c r="H998" s="140"/>
      <c r="I998" s="58"/>
      <c r="J998" s="58"/>
      <c r="K998" s="58"/>
      <c r="L998" s="58"/>
      <c r="M998" s="135"/>
      <c r="N998" s="135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35"/>
      <c r="Z998" s="58"/>
      <c r="AA998" s="58"/>
      <c r="AB998" s="58"/>
      <c r="AC998" s="58"/>
      <c r="AD998" s="58"/>
      <c r="AE998" s="138"/>
      <c r="AF998" s="136"/>
      <c r="AG998" s="136"/>
      <c r="AH998" s="136"/>
    </row>
    <row r="999" spans="1:34" s="132" customFormat="1" ht="12.75" customHeight="1" x14ac:dyDescent="0.25">
      <c r="A999" s="137"/>
      <c r="B999" s="139"/>
      <c r="C999" s="136"/>
      <c r="D999" s="131"/>
      <c r="E999" s="131"/>
      <c r="F999" s="58"/>
      <c r="G999" s="140"/>
      <c r="H999" s="140"/>
      <c r="I999" s="58"/>
      <c r="J999" s="58"/>
      <c r="K999" s="58"/>
      <c r="L999" s="58"/>
      <c r="M999" s="135"/>
      <c r="N999" s="135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35"/>
      <c r="Z999" s="58"/>
      <c r="AA999" s="58"/>
      <c r="AB999" s="58"/>
      <c r="AC999" s="58"/>
      <c r="AD999" s="58"/>
      <c r="AE999" s="138"/>
      <c r="AF999" s="136"/>
      <c r="AG999" s="136"/>
      <c r="AH999" s="136"/>
    </row>
    <row r="1000" spans="1:34" s="132" customFormat="1" ht="12.75" customHeight="1" x14ac:dyDescent="0.25">
      <c r="A1000" s="137"/>
      <c r="B1000" s="139"/>
      <c r="C1000" s="136"/>
      <c r="D1000" s="131"/>
      <c r="E1000" s="131"/>
      <c r="F1000" s="58"/>
      <c r="G1000" s="140"/>
      <c r="H1000" s="140"/>
      <c r="I1000" s="58"/>
      <c r="J1000" s="58"/>
      <c r="K1000" s="58"/>
      <c r="L1000" s="58"/>
      <c r="M1000" s="135"/>
      <c r="N1000" s="135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35"/>
      <c r="Z1000" s="58"/>
      <c r="AA1000" s="58"/>
      <c r="AB1000" s="58"/>
      <c r="AC1000" s="58"/>
      <c r="AD1000" s="58"/>
      <c r="AE1000" s="138"/>
      <c r="AF1000" s="136"/>
      <c r="AG1000" s="136"/>
      <c r="AH1000" s="136"/>
    </row>
    <row r="1001" spans="1:34" s="132" customFormat="1" ht="12.75" customHeight="1" x14ac:dyDescent="0.25">
      <c r="A1001" s="137"/>
      <c r="B1001" s="139"/>
      <c r="C1001" s="136"/>
      <c r="D1001" s="131"/>
      <c r="E1001" s="131"/>
      <c r="F1001" s="58"/>
      <c r="G1001" s="140"/>
      <c r="H1001" s="140"/>
      <c r="I1001" s="58"/>
      <c r="J1001" s="58"/>
      <c r="K1001" s="58"/>
      <c r="L1001" s="58"/>
      <c r="M1001" s="135"/>
      <c r="N1001" s="135"/>
      <c r="O1001" s="140"/>
      <c r="P1001" s="140"/>
      <c r="Q1001" s="140"/>
      <c r="R1001" s="140"/>
      <c r="S1001" s="140"/>
      <c r="T1001" s="140"/>
      <c r="U1001" s="140"/>
      <c r="V1001" s="140"/>
      <c r="W1001" s="140"/>
      <c r="X1001" s="140"/>
      <c r="Y1001" s="135"/>
      <c r="Z1001" s="58"/>
      <c r="AA1001" s="58"/>
      <c r="AB1001" s="58"/>
      <c r="AC1001" s="58"/>
      <c r="AD1001" s="58"/>
      <c r="AE1001" s="138"/>
      <c r="AF1001" s="136"/>
      <c r="AG1001" s="136"/>
      <c r="AH1001" s="136"/>
    </row>
    <row r="1002" spans="1:34" s="132" customFormat="1" ht="12.75" customHeight="1" x14ac:dyDescent="0.25">
      <c r="A1002" s="137"/>
      <c r="B1002" s="139"/>
      <c r="C1002" s="136"/>
      <c r="D1002" s="131"/>
      <c r="E1002" s="131"/>
      <c r="F1002" s="58"/>
      <c r="G1002" s="140"/>
      <c r="H1002" s="140"/>
      <c r="I1002" s="58"/>
      <c r="J1002" s="58"/>
      <c r="K1002" s="58"/>
      <c r="L1002" s="58"/>
      <c r="M1002" s="135"/>
      <c r="N1002" s="135"/>
      <c r="O1002" s="140"/>
      <c r="P1002" s="140"/>
      <c r="Q1002" s="140"/>
      <c r="R1002" s="140"/>
      <c r="S1002" s="140"/>
      <c r="T1002" s="140"/>
      <c r="U1002" s="140"/>
      <c r="V1002" s="140"/>
      <c r="W1002" s="140"/>
      <c r="X1002" s="140"/>
      <c r="Y1002" s="135"/>
      <c r="Z1002" s="58"/>
      <c r="AA1002" s="58"/>
      <c r="AB1002" s="58"/>
      <c r="AC1002" s="58"/>
      <c r="AD1002" s="58"/>
      <c r="AE1002" s="138"/>
      <c r="AF1002" s="136"/>
      <c r="AG1002" s="136"/>
      <c r="AH1002" s="136"/>
    </row>
    <row r="1003" spans="1:34" s="132" customFormat="1" ht="12.75" customHeight="1" x14ac:dyDescent="0.25">
      <c r="A1003" s="137"/>
      <c r="B1003" s="139"/>
      <c r="C1003" s="136"/>
      <c r="D1003" s="131"/>
      <c r="E1003" s="131"/>
      <c r="F1003" s="58"/>
      <c r="G1003" s="140"/>
      <c r="H1003" s="140"/>
      <c r="I1003" s="58"/>
      <c r="J1003" s="58"/>
      <c r="K1003" s="58"/>
      <c r="L1003" s="58"/>
      <c r="M1003" s="135"/>
      <c r="N1003" s="135"/>
      <c r="O1003" s="140"/>
      <c r="P1003" s="140"/>
      <c r="Q1003" s="140"/>
      <c r="R1003" s="140"/>
      <c r="S1003" s="140"/>
      <c r="T1003" s="140"/>
      <c r="U1003" s="140"/>
      <c r="V1003" s="140"/>
      <c r="W1003" s="140"/>
      <c r="X1003" s="140"/>
      <c r="Y1003" s="135"/>
      <c r="Z1003" s="58"/>
      <c r="AA1003" s="58"/>
      <c r="AB1003" s="58"/>
      <c r="AC1003" s="58"/>
      <c r="AD1003" s="58"/>
      <c r="AE1003" s="138"/>
      <c r="AF1003" s="136"/>
      <c r="AG1003" s="136"/>
      <c r="AH1003" s="136"/>
    </row>
    <row r="1004" spans="1:34" s="132" customFormat="1" ht="12.75" customHeight="1" x14ac:dyDescent="0.25">
      <c r="A1004" s="137"/>
      <c r="B1004" s="139"/>
      <c r="C1004" s="136"/>
      <c r="D1004" s="131"/>
      <c r="E1004" s="131"/>
      <c r="F1004" s="58"/>
      <c r="G1004" s="140"/>
      <c r="H1004" s="140"/>
      <c r="I1004" s="58"/>
      <c r="J1004" s="58"/>
      <c r="K1004" s="58"/>
      <c r="L1004" s="58"/>
      <c r="M1004" s="135"/>
      <c r="N1004" s="135"/>
      <c r="O1004" s="140"/>
      <c r="P1004" s="140"/>
      <c r="Q1004" s="140"/>
      <c r="R1004" s="140"/>
      <c r="S1004" s="140"/>
      <c r="T1004" s="140"/>
      <c r="U1004" s="140"/>
      <c r="V1004" s="140"/>
      <c r="W1004" s="140"/>
      <c r="X1004" s="140"/>
      <c r="Y1004" s="135"/>
      <c r="Z1004" s="58"/>
      <c r="AA1004" s="58"/>
      <c r="AB1004" s="58"/>
      <c r="AC1004" s="58"/>
      <c r="AD1004" s="58"/>
      <c r="AE1004" s="138"/>
      <c r="AF1004" s="136"/>
      <c r="AG1004" s="136"/>
      <c r="AH1004" s="136"/>
    </row>
    <row r="1005" spans="1:34" s="132" customFormat="1" ht="12.75" customHeight="1" x14ac:dyDescent="0.25">
      <c r="A1005" s="137"/>
      <c r="B1005" s="139"/>
      <c r="C1005" s="136"/>
      <c r="D1005" s="131"/>
      <c r="E1005" s="131"/>
      <c r="F1005" s="58"/>
      <c r="G1005" s="140"/>
      <c r="H1005" s="140"/>
      <c r="I1005" s="58"/>
      <c r="J1005" s="58"/>
      <c r="K1005" s="58"/>
      <c r="L1005" s="58"/>
      <c r="M1005" s="135"/>
      <c r="N1005" s="135"/>
      <c r="O1005" s="140"/>
      <c r="P1005" s="140"/>
      <c r="Q1005" s="140"/>
      <c r="R1005" s="140"/>
      <c r="S1005" s="140"/>
      <c r="T1005" s="140"/>
      <c r="U1005" s="140"/>
      <c r="V1005" s="140"/>
      <c r="W1005" s="140"/>
      <c r="X1005" s="140"/>
      <c r="Y1005" s="135"/>
      <c r="Z1005" s="58"/>
      <c r="AA1005" s="58"/>
      <c r="AB1005" s="58"/>
      <c r="AC1005" s="58"/>
      <c r="AD1005" s="58"/>
      <c r="AE1005" s="138"/>
      <c r="AF1005" s="136"/>
      <c r="AG1005" s="136"/>
      <c r="AH1005" s="136"/>
    </row>
    <row r="1006" spans="1:34" s="132" customFormat="1" ht="12.75" customHeight="1" x14ac:dyDescent="0.25">
      <c r="A1006" s="137"/>
      <c r="B1006" s="139"/>
      <c r="C1006" s="136"/>
      <c r="D1006" s="131"/>
      <c r="E1006" s="131"/>
      <c r="F1006" s="58"/>
      <c r="G1006" s="140"/>
      <c r="H1006" s="140"/>
      <c r="I1006" s="58"/>
      <c r="J1006" s="58"/>
      <c r="K1006" s="58"/>
      <c r="L1006" s="58"/>
      <c r="M1006" s="135"/>
      <c r="N1006" s="135"/>
      <c r="O1006" s="140"/>
      <c r="P1006" s="140"/>
      <c r="Q1006" s="140"/>
      <c r="R1006" s="140"/>
      <c r="S1006" s="140"/>
      <c r="T1006" s="140"/>
      <c r="U1006" s="140"/>
      <c r="V1006" s="140"/>
      <c r="W1006" s="140"/>
      <c r="X1006" s="140"/>
      <c r="Y1006" s="135"/>
      <c r="Z1006" s="58"/>
      <c r="AA1006" s="58"/>
      <c r="AB1006" s="58"/>
      <c r="AC1006" s="58"/>
      <c r="AD1006" s="58"/>
      <c r="AE1006" s="138"/>
      <c r="AF1006" s="136"/>
      <c r="AG1006" s="136"/>
      <c r="AH1006" s="136"/>
    </row>
    <row r="1007" spans="1:34" s="132" customFormat="1" ht="12.75" customHeight="1" x14ac:dyDescent="0.25">
      <c r="A1007" s="137"/>
      <c r="B1007" s="139"/>
      <c r="C1007" s="136"/>
      <c r="D1007" s="131"/>
      <c r="E1007" s="131"/>
      <c r="F1007" s="58"/>
      <c r="G1007" s="140"/>
      <c r="H1007" s="140"/>
      <c r="I1007" s="58"/>
      <c r="J1007" s="58"/>
      <c r="K1007" s="58"/>
      <c r="L1007" s="58"/>
      <c r="M1007" s="135"/>
      <c r="N1007" s="135"/>
      <c r="O1007" s="140"/>
      <c r="P1007" s="140"/>
      <c r="Q1007" s="140"/>
      <c r="R1007" s="140"/>
      <c r="S1007" s="140"/>
      <c r="T1007" s="140"/>
      <c r="U1007" s="140"/>
      <c r="V1007" s="140"/>
      <c r="W1007" s="140"/>
      <c r="X1007" s="140"/>
      <c r="Y1007" s="135"/>
      <c r="Z1007" s="58"/>
      <c r="AA1007" s="58"/>
      <c r="AB1007" s="58"/>
      <c r="AC1007" s="58"/>
      <c r="AD1007" s="58"/>
      <c r="AE1007" s="138"/>
      <c r="AF1007" s="136"/>
      <c r="AG1007" s="136"/>
      <c r="AH1007" s="136"/>
    </row>
    <row r="1008" spans="1:34" s="132" customFormat="1" ht="12.75" customHeight="1" x14ac:dyDescent="0.25">
      <c r="A1008" s="137"/>
      <c r="B1008" s="139"/>
      <c r="C1008" s="136"/>
      <c r="D1008" s="131"/>
      <c r="E1008" s="131"/>
      <c r="F1008" s="58"/>
      <c r="G1008" s="140"/>
      <c r="H1008" s="140"/>
      <c r="I1008" s="58"/>
      <c r="J1008" s="58"/>
      <c r="K1008" s="58"/>
      <c r="L1008" s="58"/>
      <c r="M1008" s="135"/>
      <c r="N1008" s="135"/>
      <c r="O1008" s="140"/>
      <c r="P1008" s="140"/>
      <c r="Q1008" s="140"/>
      <c r="R1008" s="140"/>
      <c r="S1008" s="140"/>
      <c r="T1008" s="140"/>
      <c r="U1008" s="140"/>
      <c r="V1008" s="140"/>
      <c r="W1008" s="140"/>
      <c r="X1008" s="140"/>
      <c r="Y1008" s="135"/>
      <c r="Z1008" s="58"/>
      <c r="AA1008" s="58"/>
      <c r="AB1008" s="58"/>
      <c r="AC1008" s="58"/>
      <c r="AD1008" s="58"/>
      <c r="AE1008" s="138"/>
      <c r="AF1008" s="136"/>
      <c r="AG1008" s="136"/>
      <c r="AH1008" s="136"/>
    </row>
    <row r="1009" spans="1:34" s="132" customFormat="1" ht="12.75" customHeight="1" x14ac:dyDescent="0.25">
      <c r="A1009" s="137"/>
      <c r="B1009" s="139"/>
      <c r="C1009" s="136"/>
      <c r="D1009" s="131"/>
      <c r="E1009" s="131"/>
      <c r="F1009" s="58"/>
      <c r="G1009" s="140"/>
      <c r="H1009" s="140"/>
      <c r="I1009" s="58"/>
      <c r="J1009" s="58"/>
      <c r="K1009" s="58"/>
      <c r="L1009" s="58"/>
      <c r="M1009" s="135"/>
      <c r="N1009" s="135"/>
      <c r="O1009" s="140"/>
      <c r="P1009" s="140"/>
      <c r="Q1009" s="140"/>
      <c r="R1009" s="140"/>
      <c r="S1009" s="140"/>
      <c r="T1009" s="140"/>
      <c r="U1009" s="140"/>
      <c r="V1009" s="140"/>
      <c r="W1009" s="140"/>
      <c r="X1009" s="140"/>
      <c r="Y1009" s="135"/>
      <c r="Z1009" s="58"/>
      <c r="AA1009" s="58"/>
      <c r="AB1009" s="58"/>
      <c r="AC1009" s="58"/>
      <c r="AD1009" s="58"/>
      <c r="AE1009" s="138"/>
      <c r="AF1009" s="136"/>
      <c r="AG1009" s="136"/>
      <c r="AH1009" s="136"/>
    </row>
    <row r="1010" spans="1:34" s="132" customFormat="1" ht="12.75" customHeight="1" x14ac:dyDescent="0.25">
      <c r="A1010" s="137"/>
      <c r="B1010" s="139"/>
      <c r="C1010" s="136"/>
      <c r="D1010" s="131"/>
      <c r="E1010" s="131"/>
      <c r="F1010" s="58"/>
      <c r="G1010" s="140"/>
      <c r="H1010" s="140"/>
      <c r="I1010" s="58"/>
      <c r="J1010" s="58"/>
      <c r="K1010" s="58"/>
      <c r="L1010" s="58"/>
      <c r="M1010" s="135"/>
      <c r="N1010" s="135"/>
      <c r="O1010" s="140"/>
      <c r="P1010" s="140"/>
      <c r="Q1010" s="140"/>
      <c r="R1010" s="140"/>
      <c r="S1010" s="140"/>
      <c r="T1010" s="140"/>
      <c r="U1010" s="140"/>
      <c r="V1010" s="140"/>
      <c r="W1010" s="140"/>
      <c r="X1010" s="140"/>
      <c r="Y1010" s="135"/>
      <c r="Z1010" s="58"/>
      <c r="AA1010" s="58"/>
      <c r="AB1010" s="58"/>
      <c r="AC1010" s="58"/>
      <c r="AD1010" s="58"/>
      <c r="AE1010" s="138"/>
      <c r="AF1010" s="136"/>
      <c r="AG1010" s="136"/>
      <c r="AH1010" s="136"/>
    </row>
    <row r="1011" spans="1:34" s="132" customFormat="1" ht="12.75" customHeight="1" x14ac:dyDescent="0.25">
      <c r="A1011" s="137"/>
      <c r="B1011" s="139"/>
      <c r="C1011" s="136"/>
      <c r="D1011" s="131"/>
      <c r="E1011" s="131"/>
      <c r="F1011" s="58"/>
      <c r="G1011" s="140"/>
      <c r="H1011" s="140"/>
      <c r="I1011" s="58"/>
      <c r="J1011" s="58"/>
      <c r="K1011" s="58"/>
      <c r="L1011" s="58"/>
      <c r="M1011" s="135"/>
      <c r="N1011" s="135"/>
      <c r="O1011" s="140"/>
      <c r="P1011" s="140"/>
      <c r="Q1011" s="140"/>
      <c r="R1011" s="140"/>
      <c r="S1011" s="140"/>
      <c r="T1011" s="140"/>
      <c r="U1011" s="140"/>
      <c r="V1011" s="140"/>
      <c r="W1011" s="140"/>
      <c r="X1011" s="140"/>
      <c r="Y1011" s="135"/>
      <c r="Z1011" s="58"/>
      <c r="AA1011" s="58"/>
      <c r="AB1011" s="58"/>
      <c r="AC1011" s="58"/>
      <c r="AD1011" s="58"/>
      <c r="AE1011" s="138"/>
      <c r="AF1011" s="136"/>
      <c r="AG1011" s="136"/>
      <c r="AH1011" s="136"/>
    </row>
    <row r="1012" spans="1:34" s="132" customFormat="1" ht="12.75" customHeight="1" x14ac:dyDescent="0.25">
      <c r="A1012" s="137"/>
      <c r="B1012" s="139"/>
      <c r="C1012" s="136"/>
      <c r="D1012" s="131"/>
      <c r="E1012" s="131"/>
      <c r="F1012" s="58"/>
      <c r="G1012" s="140"/>
      <c r="H1012" s="140"/>
      <c r="I1012" s="58"/>
      <c r="J1012" s="58"/>
      <c r="K1012" s="58"/>
      <c r="L1012" s="58"/>
      <c r="M1012" s="135"/>
      <c r="N1012" s="135"/>
      <c r="O1012" s="140"/>
      <c r="P1012" s="140"/>
      <c r="Q1012" s="140"/>
      <c r="R1012" s="140"/>
      <c r="S1012" s="140"/>
      <c r="T1012" s="140"/>
      <c r="U1012" s="140"/>
      <c r="V1012" s="140"/>
      <c r="W1012" s="140"/>
      <c r="X1012" s="140"/>
      <c r="Y1012" s="135"/>
      <c r="Z1012" s="58"/>
      <c r="AA1012" s="58"/>
      <c r="AB1012" s="58"/>
      <c r="AC1012" s="58"/>
      <c r="AD1012" s="58"/>
      <c r="AE1012" s="138"/>
      <c r="AF1012" s="136"/>
      <c r="AG1012" s="136"/>
      <c r="AH1012" s="136"/>
    </row>
    <row r="1013" spans="1:34" s="132" customFormat="1" ht="12.75" customHeight="1" x14ac:dyDescent="0.25">
      <c r="A1013" s="137"/>
      <c r="B1013" s="139"/>
      <c r="C1013" s="136"/>
      <c r="D1013" s="131"/>
      <c r="E1013" s="131"/>
      <c r="F1013" s="58"/>
      <c r="G1013" s="140"/>
      <c r="H1013" s="140"/>
      <c r="I1013" s="58"/>
      <c r="J1013" s="58"/>
      <c r="K1013" s="58"/>
      <c r="L1013" s="58"/>
      <c r="M1013" s="135"/>
      <c r="N1013" s="135"/>
      <c r="O1013" s="140"/>
      <c r="P1013" s="140"/>
      <c r="Q1013" s="140"/>
      <c r="R1013" s="140"/>
      <c r="S1013" s="140"/>
      <c r="T1013" s="140"/>
      <c r="U1013" s="140"/>
      <c r="V1013" s="140"/>
      <c r="W1013" s="140"/>
      <c r="X1013" s="140"/>
      <c r="Y1013" s="135"/>
      <c r="Z1013" s="58"/>
      <c r="AA1013" s="58"/>
      <c r="AB1013" s="58"/>
      <c r="AC1013" s="58"/>
      <c r="AD1013" s="58"/>
      <c r="AE1013" s="138"/>
      <c r="AF1013" s="136"/>
      <c r="AG1013" s="136"/>
      <c r="AH1013" s="136"/>
    </row>
    <row r="1014" spans="1:34" s="132" customFormat="1" ht="12.75" customHeight="1" x14ac:dyDescent="0.25">
      <c r="A1014" s="137"/>
      <c r="B1014" s="139"/>
      <c r="C1014" s="136"/>
      <c r="D1014" s="131"/>
      <c r="E1014" s="131"/>
      <c r="F1014" s="58"/>
      <c r="G1014" s="140"/>
      <c r="H1014" s="140"/>
      <c r="I1014" s="58"/>
      <c r="J1014" s="58"/>
      <c r="K1014" s="58"/>
      <c r="L1014" s="58"/>
      <c r="M1014" s="135"/>
      <c r="N1014" s="135"/>
      <c r="O1014" s="140"/>
      <c r="P1014" s="140"/>
      <c r="Q1014" s="140"/>
      <c r="R1014" s="140"/>
      <c r="S1014" s="140"/>
      <c r="T1014" s="140"/>
      <c r="U1014" s="140"/>
      <c r="V1014" s="140"/>
      <c r="W1014" s="140"/>
      <c r="X1014" s="140"/>
      <c r="Y1014" s="135"/>
      <c r="Z1014" s="58"/>
      <c r="AA1014" s="58"/>
      <c r="AB1014" s="58"/>
      <c r="AC1014" s="58"/>
      <c r="AD1014" s="58"/>
      <c r="AE1014" s="138"/>
      <c r="AF1014" s="136"/>
      <c r="AG1014" s="136"/>
      <c r="AH1014" s="136"/>
    </row>
    <row r="1015" spans="1:34" s="132" customFormat="1" ht="12.75" customHeight="1" x14ac:dyDescent="0.25">
      <c r="A1015" s="137"/>
      <c r="B1015" s="139"/>
      <c r="C1015" s="136"/>
      <c r="D1015" s="131"/>
      <c r="E1015" s="131"/>
      <c r="F1015" s="58"/>
      <c r="G1015" s="140"/>
      <c r="H1015" s="140"/>
      <c r="I1015" s="58"/>
      <c r="J1015" s="58"/>
      <c r="K1015" s="58"/>
      <c r="L1015" s="58"/>
      <c r="M1015" s="135"/>
      <c r="N1015" s="135"/>
      <c r="O1015" s="140"/>
      <c r="P1015" s="140"/>
      <c r="Q1015" s="140"/>
      <c r="R1015" s="140"/>
      <c r="S1015" s="140"/>
      <c r="T1015" s="140"/>
      <c r="U1015" s="140"/>
      <c r="V1015" s="140"/>
      <c r="W1015" s="140"/>
      <c r="X1015" s="140"/>
      <c r="Y1015" s="135"/>
      <c r="Z1015" s="58"/>
      <c r="AA1015" s="58"/>
      <c r="AB1015" s="58"/>
      <c r="AC1015" s="58"/>
      <c r="AD1015" s="58"/>
      <c r="AE1015" s="138"/>
      <c r="AF1015" s="136"/>
      <c r="AG1015" s="136"/>
      <c r="AH1015" s="136"/>
    </row>
    <row r="1016" spans="1:34" s="132" customFormat="1" ht="12.75" customHeight="1" x14ac:dyDescent="0.25">
      <c r="A1016" s="137"/>
      <c r="B1016" s="139"/>
      <c r="C1016" s="136"/>
      <c r="D1016" s="131"/>
      <c r="E1016" s="131"/>
      <c r="F1016" s="58"/>
      <c r="G1016" s="140"/>
      <c r="H1016" s="140"/>
      <c r="I1016" s="58"/>
      <c r="J1016" s="58"/>
      <c r="K1016" s="58"/>
      <c r="L1016" s="58"/>
      <c r="M1016" s="135"/>
      <c r="N1016" s="135"/>
      <c r="O1016" s="140"/>
      <c r="P1016" s="140"/>
      <c r="Q1016" s="140"/>
      <c r="R1016" s="140"/>
      <c r="S1016" s="140"/>
      <c r="T1016" s="140"/>
      <c r="U1016" s="140"/>
      <c r="V1016" s="140"/>
      <c r="W1016" s="140"/>
      <c r="X1016" s="140"/>
      <c r="Y1016" s="135"/>
      <c r="Z1016" s="58"/>
      <c r="AA1016" s="58"/>
      <c r="AB1016" s="58"/>
      <c r="AC1016" s="58"/>
      <c r="AD1016" s="58"/>
      <c r="AE1016" s="138"/>
      <c r="AF1016" s="136"/>
      <c r="AG1016" s="136"/>
      <c r="AH1016" s="136"/>
    </row>
    <row r="1017" spans="1:34" s="132" customFormat="1" ht="12.75" customHeight="1" x14ac:dyDescent="0.25">
      <c r="A1017" s="137"/>
      <c r="B1017" s="139"/>
      <c r="C1017" s="136"/>
      <c r="D1017" s="131"/>
      <c r="E1017" s="131"/>
      <c r="F1017" s="58"/>
      <c r="G1017" s="140"/>
      <c r="H1017" s="140"/>
      <c r="I1017" s="58"/>
      <c r="J1017" s="58"/>
      <c r="K1017" s="58"/>
      <c r="L1017" s="58"/>
      <c r="M1017" s="135"/>
      <c r="N1017" s="135"/>
      <c r="O1017" s="140"/>
      <c r="P1017" s="140"/>
      <c r="Q1017" s="140"/>
      <c r="R1017" s="140"/>
      <c r="S1017" s="140"/>
      <c r="T1017" s="140"/>
      <c r="U1017" s="140"/>
      <c r="V1017" s="140"/>
      <c r="W1017" s="140"/>
      <c r="X1017" s="140"/>
      <c r="Y1017" s="135"/>
      <c r="Z1017" s="58"/>
      <c r="AA1017" s="58"/>
      <c r="AB1017" s="58"/>
      <c r="AC1017" s="58"/>
      <c r="AD1017" s="58"/>
      <c r="AE1017" s="138"/>
      <c r="AF1017" s="136"/>
      <c r="AG1017" s="136"/>
      <c r="AH1017" s="136"/>
    </row>
    <row r="1018" spans="1:34" s="132" customFormat="1" ht="12.75" customHeight="1" x14ac:dyDescent="0.25">
      <c r="A1018" s="137"/>
      <c r="B1018" s="139"/>
      <c r="C1018" s="136"/>
      <c r="D1018" s="131"/>
      <c r="E1018" s="131"/>
      <c r="F1018" s="58"/>
      <c r="G1018" s="140"/>
      <c r="H1018" s="140"/>
      <c r="I1018" s="58"/>
      <c r="J1018" s="58"/>
      <c r="K1018" s="58"/>
      <c r="L1018" s="58"/>
      <c r="M1018" s="135"/>
      <c r="N1018" s="135"/>
      <c r="O1018" s="140"/>
      <c r="P1018" s="140"/>
      <c r="Q1018" s="140"/>
      <c r="R1018" s="140"/>
      <c r="S1018" s="140"/>
      <c r="T1018" s="140"/>
      <c r="U1018" s="140"/>
      <c r="V1018" s="140"/>
      <c r="W1018" s="140"/>
      <c r="X1018" s="140"/>
      <c r="Y1018" s="135"/>
      <c r="Z1018" s="58"/>
      <c r="AA1018" s="58"/>
      <c r="AB1018" s="58"/>
      <c r="AC1018" s="58"/>
      <c r="AD1018" s="58"/>
      <c r="AE1018" s="138"/>
      <c r="AF1018" s="136"/>
      <c r="AG1018" s="136"/>
      <c r="AH1018" s="136"/>
    </row>
    <row r="1019" spans="1:34" s="132" customFormat="1" ht="12.75" customHeight="1" x14ac:dyDescent="0.25">
      <c r="A1019" s="137"/>
      <c r="B1019" s="139"/>
      <c r="C1019" s="136"/>
      <c r="D1019" s="131"/>
      <c r="E1019" s="131"/>
      <c r="F1019" s="58"/>
      <c r="G1019" s="140"/>
      <c r="H1019" s="140"/>
      <c r="I1019" s="58"/>
      <c r="J1019" s="58"/>
      <c r="K1019" s="58"/>
      <c r="L1019" s="58"/>
      <c r="M1019" s="135"/>
      <c r="N1019" s="135"/>
      <c r="O1019" s="140"/>
      <c r="P1019" s="140"/>
      <c r="Q1019" s="140"/>
      <c r="R1019" s="140"/>
      <c r="S1019" s="140"/>
      <c r="T1019" s="140"/>
      <c r="U1019" s="140"/>
      <c r="V1019" s="140"/>
      <c r="W1019" s="140"/>
      <c r="X1019" s="140"/>
      <c r="Y1019" s="135"/>
      <c r="Z1019" s="58"/>
      <c r="AA1019" s="58"/>
      <c r="AB1019" s="58"/>
      <c r="AC1019" s="58"/>
      <c r="AD1019" s="58"/>
      <c r="AE1019" s="138"/>
      <c r="AF1019" s="136"/>
      <c r="AG1019" s="136"/>
      <c r="AH1019" s="136"/>
    </row>
    <row r="1020" spans="1:34" s="132" customFormat="1" ht="12.75" customHeight="1" x14ac:dyDescent="0.25">
      <c r="A1020" s="137"/>
      <c r="B1020" s="139"/>
      <c r="C1020" s="136"/>
      <c r="D1020" s="131"/>
      <c r="E1020" s="131"/>
      <c r="F1020" s="58"/>
      <c r="G1020" s="140"/>
      <c r="H1020" s="140"/>
      <c r="I1020" s="58"/>
      <c r="J1020" s="58"/>
      <c r="K1020" s="58"/>
      <c r="L1020" s="58"/>
      <c r="M1020" s="135"/>
      <c r="N1020" s="135"/>
      <c r="O1020" s="140"/>
      <c r="P1020" s="140"/>
      <c r="Q1020" s="140"/>
      <c r="R1020" s="140"/>
      <c r="S1020" s="140"/>
      <c r="T1020" s="140"/>
      <c r="U1020" s="140"/>
      <c r="V1020" s="140"/>
      <c r="W1020" s="140"/>
      <c r="X1020" s="140"/>
      <c r="Y1020" s="135"/>
      <c r="Z1020" s="58"/>
      <c r="AA1020" s="58"/>
      <c r="AB1020" s="58"/>
      <c r="AC1020" s="58"/>
      <c r="AD1020" s="58"/>
      <c r="AE1020" s="138"/>
      <c r="AF1020" s="136"/>
      <c r="AG1020" s="136"/>
      <c r="AH1020" s="136"/>
    </row>
    <row r="1021" spans="1:34" s="132" customFormat="1" ht="12.75" customHeight="1" x14ac:dyDescent="0.25">
      <c r="A1021" s="137"/>
      <c r="B1021" s="139"/>
      <c r="C1021" s="136"/>
      <c r="D1021" s="131"/>
      <c r="E1021" s="131"/>
      <c r="F1021" s="58"/>
      <c r="G1021" s="140"/>
      <c r="H1021" s="140"/>
      <c r="I1021" s="58"/>
      <c r="J1021" s="58"/>
      <c r="K1021" s="58"/>
      <c r="L1021" s="58"/>
      <c r="M1021" s="135"/>
      <c r="N1021" s="135"/>
      <c r="O1021" s="140"/>
      <c r="P1021" s="140"/>
      <c r="Q1021" s="140"/>
      <c r="R1021" s="140"/>
      <c r="S1021" s="140"/>
      <c r="T1021" s="140"/>
      <c r="U1021" s="140"/>
      <c r="V1021" s="140"/>
      <c r="W1021" s="140"/>
      <c r="X1021" s="140"/>
      <c r="Y1021" s="135"/>
      <c r="Z1021" s="58"/>
      <c r="AA1021" s="58"/>
      <c r="AB1021" s="58"/>
      <c r="AC1021" s="58"/>
      <c r="AD1021" s="58"/>
      <c r="AE1021" s="138"/>
      <c r="AF1021" s="136"/>
      <c r="AG1021" s="136"/>
      <c r="AH1021" s="136"/>
    </row>
    <row r="1022" spans="1:34" s="132" customFormat="1" ht="12.75" customHeight="1" x14ac:dyDescent="0.25">
      <c r="A1022" s="137"/>
      <c r="B1022" s="139"/>
      <c r="C1022" s="136"/>
      <c r="D1022" s="131"/>
      <c r="E1022" s="131"/>
      <c r="F1022" s="58"/>
      <c r="G1022" s="140"/>
      <c r="H1022" s="140"/>
      <c r="I1022" s="58"/>
      <c r="J1022" s="58"/>
      <c r="K1022" s="58"/>
      <c r="L1022" s="58"/>
      <c r="M1022" s="135"/>
      <c r="N1022" s="135"/>
      <c r="O1022" s="140"/>
      <c r="P1022" s="140"/>
      <c r="Q1022" s="140"/>
      <c r="R1022" s="140"/>
      <c r="S1022" s="140"/>
      <c r="T1022" s="140"/>
      <c r="U1022" s="140"/>
      <c r="V1022" s="140"/>
      <c r="W1022" s="140"/>
      <c r="X1022" s="140"/>
      <c r="Y1022" s="135"/>
      <c r="Z1022" s="58"/>
      <c r="AA1022" s="58"/>
      <c r="AB1022" s="58"/>
      <c r="AC1022" s="58"/>
      <c r="AD1022" s="58"/>
      <c r="AE1022" s="138"/>
      <c r="AF1022" s="136"/>
      <c r="AG1022" s="136"/>
      <c r="AH1022" s="136"/>
    </row>
    <row r="1023" spans="1:34" s="132" customFormat="1" ht="12.75" customHeight="1" x14ac:dyDescent="0.25">
      <c r="A1023" s="137"/>
      <c r="B1023" s="139"/>
      <c r="C1023" s="136"/>
      <c r="D1023" s="131"/>
      <c r="E1023" s="131"/>
      <c r="F1023" s="58"/>
      <c r="G1023" s="140"/>
      <c r="H1023" s="140"/>
      <c r="I1023" s="58"/>
      <c r="J1023" s="58"/>
      <c r="K1023" s="58"/>
      <c r="L1023" s="58"/>
      <c r="M1023" s="135"/>
      <c r="N1023" s="135"/>
      <c r="O1023" s="140"/>
      <c r="P1023" s="140"/>
      <c r="Q1023" s="140"/>
      <c r="R1023" s="140"/>
      <c r="S1023" s="140"/>
      <c r="T1023" s="140"/>
      <c r="U1023" s="140"/>
      <c r="V1023" s="140"/>
      <c r="W1023" s="140"/>
      <c r="X1023" s="140"/>
      <c r="Y1023" s="135"/>
      <c r="Z1023" s="58"/>
      <c r="AA1023" s="58"/>
      <c r="AB1023" s="58"/>
      <c r="AC1023" s="58"/>
      <c r="AD1023" s="58"/>
      <c r="AE1023" s="138"/>
      <c r="AF1023" s="136"/>
      <c r="AG1023" s="136"/>
      <c r="AH1023" s="136"/>
    </row>
    <row r="1024" spans="1:34" s="132" customFormat="1" ht="12.75" customHeight="1" x14ac:dyDescent="0.25">
      <c r="A1024" s="137"/>
      <c r="B1024" s="139"/>
      <c r="C1024" s="136"/>
      <c r="D1024" s="131"/>
      <c r="E1024" s="131"/>
      <c r="F1024" s="58"/>
      <c r="G1024" s="140"/>
      <c r="H1024" s="140"/>
      <c r="I1024" s="58"/>
      <c r="J1024" s="58"/>
      <c r="K1024" s="58"/>
      <c r="L1024" s="58"/>
      <c r="M1024" s="135"/>
      <c r="N1024" s="135"/>
      <c r="O1024" s="140"/>
      <c r="P1024" s="140"/>
      <c r="Q1024" s="140"/>
      <c r="R1024" s="140"/>
      <c r="S1024" s="140"/>
      <c r="T1024" s="140"/>
      <c r="U1024" s="140"/>
      <c r="V1024" s="140"/>
      <c r="W1024" s="140"/>
      <c r="X1024" s="140"/>
      <c r="Y1024" s="135"/>
      <c r="Z1024" s="58"/>
      <c r="AA1024" s="58"/>
      <c r="AB1024" s="58"/>
      <c r="AC1024" s="58"/>
      <c r="AD1024" s="58"/>
      <c r="AE1024" s="138"/>
      <c r="AF1024" s="136"/>
      <c r="AG1024" s="136"/>
      <c r="AH1024" s="136"/>
    </row>
    <row r="1025" spans="1:34" s="132" customFormat="1" ht="12.75" customHeight="1" x14ac:dyDescent="0.25">
      <c r="A1025" s="137"/>
      <c r="B1025" s="139"/>
      <c r="C1025" s="136"/>
      <c r="D1025" s="131"/>
      <c r="E1025" s="131"/>
      <c r="F1025" s="58"/>
      <c r="G1025" s="140"/>
      <c r="H1025" s="140"/>
      <c r="I1025" s="58"/>
      <c r="J1025" s="58"/>
      <c r="K1025" s="58"/>
      <c r="L1025" s="58"/>
      <c r="M1025" s="135"/>
      <c r="N1025" s="135"/>
      <c r="O1025" s="140"/>
      <c r="P1025" s="140"/>
      <c r="Q1025" s="140"/>
      <c r="R1025" s="140"/>
      <c r="S1025" s="140"/>
      <c r="T1025" s="140"/>
      <c r="U1025" s="140"/>
      <c r="V1025" s="140"/>
      <c r="W1025" s="140"/>
      <c r="X1025" s="140"/>
      <c r="Y1025" s="135"/>
      <c r="Z1025" s="58"/>
      <c r="AA1025" s="58"/>
      <c r="AB1025" s="58"/>
      <c r="AC1025" s="58"/>
      <c r="AD1025" s="58"/>
      <c r="AE1025" s="138"/>
      <c r="AF1025" s="136"/>
      <c r="AG1025" s="136"/>
      <c r="AH1025" s="136"/>
    </row>
    <row r="1026" spans="1:34" s="132" customFormat="1" ht="12.75" customHeight="1" x14ac:dyDescent="0.25">
      <c r="A1026" s="137"/>
      <c r="B1026" s="139"/>
      <c r="C1026" s="136"/>
      <c r="D1026" s="131"/>
      <c r="E1026" s="131"/>
      <c r="F1026" s="58"/>
      <c r="G1026" s="140"/>
      <c r="H1026" s="140"/>
      <c r="I1026" s="58"/>
      <c r="J1026" s="58"/>
      <c r="K1026" s="58"/>
      <c r="L1026" s="58"/>
      <c r="M1026" s="135"/>
      <c r="N1026" s="135"/>
      <c r="O1026" s="140"/>
      <c r="P1026" s="140"/>
      <c r="Q1026" s="140"/>
      <c r="R1026" s="140"/>
      <c r="S1026" s="140"/>
      <c r="T1026" s="140"/>
      <c r="U1026" s="140"/>
      <c r="V1026" s="140"/>
      <c r="W1026" s="140"/>
      <c r="X1026" s="140"/>
      <c r="Y1026" s="135"/>
      <c r="Z1026" s="58"/>
      <c r="AA1026" s="58"/>
      <c r="AB1026" s="58"/>
      <c r="AC1026" s="58"/>
      <c r="AD1026" s="58"/>
      <c r="AE1026" s="138"/>
      <c r="AF1026" s="136"/>
      <c r="AG1026" s="136"/>
      <c r="AH1026" s="136"/>
    </row>
    <row r="1027" spans="1:34" s="132" customFormat="1" ht="12.75" customHeight="1" x14ac:dyDescent="0.25">
      <c r="A1027" s="137"/>
      <c r="B1027" s="139"/>
      <c r="C1027" s="136"/>
      <c r="D1027" s="131"/>
      <c r="E1027" s="131"/>
      <c r="F1027" s="58"/>
      <c r="G1027" s="140"/>
      <c r="H1027" s="140"/>
      <c r="I1027" s="58"/>
      <c r="J1027" s="58"/>
      <c r="K1027" s="58"/>
      <c r="L1027" s="58"/>
      <c r="M1027" s="135"/>
      <c r="N1027" s="135"/>
      <c r="O1027" s="140"/>
      <c r="P1027" s="140"/>
      <c r="Q1027" s="140"/>
      <c r="R1027" s="140"/>
      <c r="S1027" s="140"/>
      <c r="T1027" s="140"/>
      <c r="U1027" s="140"/>
      <c r="V1027" s="140"/>
      <c r="W1027" s="140"/>
      <c r="X1027" s="140"/>
      <c r="Y1027" s="135"/>
      <c r="Z1027" s="58"/>
      <c r="AA1027" s="58"/>
      <c r="AB1027" s="58"/>
      <c r="AC1027" s="58"/>
      <c r="AD1027" s="58"/>
      <c r="AE1027" s="138"/>
      <c r="AF1027" s="136"/>
      <c r="AG1027" s="136"/>
      <c r="AH1027" s="136"/>
    </row>
    <row r="1028" spans="1:34" s="132" customFormat="1" ht="12.75" customHeight="1" x14ac:dyDescent="0.25">
      <c r="A1028" s="137"/>
      <c r="B1028" s="139"/>
      <c r="C1028" s="136"/>
      <c r="D1028" s="131"/>
      <c r="E1028" s="131"/>
      <c r="F1028" s="58"/>
      <c r="G1028" s="140"/>
      <c r="H1028" s="140"/>
      <c r="I1028" s="58"/>
      <c r="J1028" s="58"/>
      <c r="K1028" s="58"/>
      <c r="L1028" s="58"/>
      <c r="M1028" s="135"/>
      <c r="N1028" s="135"/>
      <c r="O1028" s="140"/>
      <c r="P1028" s="140"/>
      <c r="Q1028" s="140"/>
      <c r="R1028" s="140"/>
      <c r="S1028" s="140"/>
      <c r="T1028" s="140"/>
      <c r="U1028" s="140"/>
      <c r="V1028" s="140"/>
      <c r="W1028" s="140"/>
      <c r="X1028" s="140"/>
      <c r="Y1028" s="135"/>
      <c r="Z1028" s="58"/>
      <c r="AA1028" s="58"/>
      <c r="AB1028" s="58"/>
      <c r="AC1028" s="58"/>
      <c r="AD1028" s="58"/>
      <c r="AE1028" s="138"/>
      <c r="AF1028" s="136"/>
      <c r="AG1028" s="136"/>
      <c r="AH1028" s="136"/>
    </row>
    <row r="1029" spans="1:34" s="132" customFormat="1" ht="12.75" customHeight="1" x14ac:dyDescent="0.25">
      <c r="A1029" s="137"/>
      <c r="B1029" s="139"/>
      <c r="C1029" s="136"/>
      <c r="D1029" s="131"/>
      <c r="E1029" s="131"/>
      <c r="F1029" s="58"/>
      <c r="G1029" s="140"/>
      <c r="H1029" s="140"/>
      <c r="I1029" s="58"/>
      <c r="J1029" s="58"/>
      <c r="K1029" s="58"/>
      <c r="L1029" s="58"/>
      <c r="M1029" s="135"/>
      <c r="N1029" s="135"/>
      <c r="O1029" s="140"/>
      <c r="P1029" s="140"/>
      <c r="Q1029" s="140"/>
      <c r="R1029" s="140"/>
      <c r="S1029" s="140"/>
      <c r="T1029" s="140"/>
      <c r="U1029" s="140"/>
      <c r="V1029" s="140"/>
      <c r="W1029" s="140"/>
      <c r="X1029" s="140"/>
      <c r="Y1029" s="135"/>
      <c r="Z1029" s="58"/>
      <c r="AA1029" s="58"/>
      <c r="AB1029" s="58"/>
      <c r="AC1029" s="58"/>
      <c r="AD1029" s="58"/>
      <c r="AE1029" s="138"/>
      <c r="AF1029" s="136"/>
      <c r="AG1029" s="136"/>
      <c r="AH1029" s="136"/>
    </row>
    <row r="1030" spans="1:34" s="132" customFormat="1" ht="12.75" customHeight="1" x14ac:dyDescent="0.25">
      <c r="A1030" s="137"/>
      <c r="B1030" s="139"/>
      <c r="C1030" s="136"/>
      <c r="D1030" s="131"/>
      <c r="E1030" s="131"/>
      <c r="F1030" s="58"/>
      <c r="G1030" s="140"/>
      <c r="H1030" s="140"/>
      <c r="I1030" s="58"/>
      <c r="J1030" s="58"/>
      <c r="K1030" s="58"/>
      <c r="L1030" s="58"/>
      <c r="M1030" s="135"/>
      <c r="N1030" s="135"/>
      <c r="O1030" s="140"/>
      <c r="P1030" s="140"/>
      <c r="Q1030" s="140"/>
      <c r="R1030" s="140"/>
      <c r="S1030" s="140"/>
      <c r="T1030" s="140"/>
      <c r="U1030" s="140"/>
      <c r="V1030" s="140"/>
      <c r="W1030" s="140"/>
      <c r="X1030" s="140"/>
      <c r="Y1030" s="135"/>
      <c r="Z1030" s="58"/>
      <c r="AA1030" s="58"/>
      <c r="AB1030" s="58"/>
      <c r="AC1030" s="58"/>
      <c r="AD1030" s="58"/>
      <c r="AE1030" s="138"/>
      <c r="AF1030" s="136"/>
      <c r="AG1030" s="136"/>
      <c r="AH1030" s="136"/>
    </row>
    <row r="1031" spans="1:34" s="132" customFormat="1" ht="12.75" customHeight="1" x14ac:dyDescent="0.25">
      <c r="A1031" s="137"/>
      <c r="B1031" s="139"/>
      <c r="C1031" s="136"/>
      <c r="D1031" s="131"/>
      <c r="E1031" s="131"/>
      <c r="F1031" s="58"/>
      <c r="G1031" s="140"/>
      <c r="H1031" s="140"/>
      <c r="I1031" s="58"/>
      <c r="J1031" s="58"/>
      <c r="K1031" s="58"/>
      <c r="L1031" s="58"/>
      <c r="M1031" s="135"/>
      <c r="N1031" s="135"/>
      <c r="O1031" s="140"/>
      <c r="P1031" s="140"/>
      <c r="Q1031" s="140"/>
      <c r="R1031" s="140"/>
      <c r="S1031" s="140"/>
      <c r="T1031" s="140"/>
      <c r="U1031" s="140"/>
      <c r="V1031" s="140"/>
      <c r="W1031" s="140"/>
      <c r="X1031" s="140"/>
      <c r="Y1031" s="135"/>
      <c r="Z1031" s="58"/>
      <c r="AA1031" s="58"/>
      <c r="AB1031" s="58"/>
      <c r="AC1031" s="58"/>
      <c r="AD1031" s="58"/>
      <c r="AE1031" s="138"/>
      <c r="AF1031" s="136"/>
      <c r="AG1031" s="136"/>
      <c r="AH1031" s="136"/>
    </row>
    <row r="1032" spans="1:34" s="132" customFormat="1" ht="12.75" customHeight="1" x14ac:dyDescent="0.25">
      <c r="A1032" s="137"/>
      <c r="B1032" s="139"/>
      <c r="C1032" s="136"/>
      <c r="D1032" s="131"/>
      <c r="E1032" s="131"/>
      <c r="F1032" s="58"/>
      <c r="G1032" s="140"/>
      <c r="H1032" s="140"/>
      <c r="I1032" s="58"/>
      <c r="J1032" s="58"/>
      <c r="K1032" s="58"/>
      <c r="L1032" s="58"/>
      <c r="M1032" s="135"/>
      <c r="N1032" s="135"/>
      <c r="O1032" s="140"/>
      <c r="P1032" s="140"/>
      <c r="Q1032" s="140"/>
      <c r="R1032" s="140"/>
      <c r="S1032" s="140"/>
      <c r="T1032" s="140"/>
      <c r="U1032" s="140"/>
      <c r="V1032" s="140"/>
      <c r="W1032" s="140"/>
      <c r="X1032" s="140"/>
      <c r="Y1032" s="135"/>
      <c r="Z1032" s="58"/>
      <c r="AA1032" s="58"/>
      <c r="AB1032" s="58"/>
      <c r="AC1032" s="58"/>
      <c r="AD1032" s="58"/>
      <c r="AE1032" s="138"/>
      <c r="AF1032" s="136"/>
      <c r="AG1032" s="136"/>
      <c r="AH1032" s="136"/>
    </row>
    <row r="1033" spans="1:34" s="132" customFormat="1" ht="12.75" customHeight="1" x14ac:dyDescent="0.25">
      <c r="A1033" s="137"/>
      <c r="B1033" s="139"/>
      <c r="C1033" s="136"/>
      <c r="D1033" s="131"/>
      <c r="E1033" s="131"/>
      <c r="F1033" s="58"/>
      <c r="G1033" s="140"/>
      <c r="H1033" s="140"/>
      <c r="I1033" s="58"/>
      <c r="J1033" s="58"/>
      <c r="K1033" s="58"/>
      <c r="L1033" s="58"/>
      <c r="M1033" s="135"/>
      <c r="N1033" s="135"/>
      <c r="O1033" s="140"/>
      <c r="P1033" s="140"/>
      <c r="Q1033" s="140"/>
      <c r="R1033" s="140"/>
      <c r="S1033" s="140"/>
      <c r="T1033" s="140"/>
      <c r="U1033" s="140"/>
      <c r="V1033" s="140"/>
      <c r="W1033" s="140"/>
      <c r="X1033" s="140"/>
      <c r="Y1033" s="135"/>
      <c r="Z1033" s="58"/>
      <c r="AA1033" s="58"/>
      <c r="AB1033" s="58"/>
      <c r="AC1033" s="58"/>
      <c r="AD1033" s="58"/>
      <c r="AE1033" s="138"/>
      <c r="AF1033" s="136"/>
      <c r="AG1033" s="136"/>
      <c r="AH1033" s="136"/>
    </row>
    <row r="1034" spans="1:34" s="132" customFormat="1" ht="12.75" customHeight="1" x14ac:dyDescent="0.25">
      <c r="A1034" s="137"/>
      <c r="B1034" s="139"/>
      <c r="C1034" s="136"/>
      <c r="D1034" s="131"/>
      <c r="E1034" s="131"/>
      <c r="F1034" s="58"/>
      <c r="G1034" s="140"/>
      <c r="H1034" s="140"/>
      <c r="I1034" s="58"/>
      <c r="J1034" s="58"/>
      <c r="K1034" s="58"/>
      <c r="L1034" s="58"/>
      <c r="M1034" s="135"/>
      <c r="N1034" s="135"/>
      <c r="O1034" s="140"/>
      <c r="P1034" s="140"/>
      <c r="Q1034" s="140"/>
      <c r="R1034" s="140"/>
      <c r="S1034" s="140"/>
      <c r="T1034" s="140"/>
      <c r="U1034" s="140"/>
      <c r="V1034" s="140"/>
      <c r="W1034" s="140"/>
      <c r="X1034" s="140"/>
      <c r="Y1034" s="135"/>
      <c r="Z1034" s="58"/>
      <c r="AA1034" s="58"/>
      <c r="AB1034" s="58"/>
      <c r="AC1034" s="58"/>
      <c r="AD1034" s="58"/>
      <c r="AE1034" s="138"/>
      <c r="AF1034" s="136"/>
      <c r="AG1034" s="136"/>
      <c r="AH1034" s="136"/>
    </row>
    <row r="1035" spans="1:34" s="132" customFormat="1" ht="12.75" customHeight="1" x14ac:dyDescent="0.25">
      <c r="A1035" s="137"/>
      <c r="B1035" s="139"/>
      <c r="C1035" s="136"/>
      <c r="D1035" s="131"/>
      <c r="E1035" s="131"/>
      <c r="F1035" s="58"/>
      <c r="G1035" s="140"/>
      <c r="H1035" s="140"/>
      <c r="I1035" s="58"/>
      <c r="J1035" s="58"/>
      <c r="K1035" s="58"/>
      <c r="L1035" s="58"/>
      <c r="M1035" s="135"/>
      <c r="N1035" s="135"/>
      <c r="O1035" s="140"/>
      <c r="P1035" s="140"/>
      <c r="Q1035" s="140"/>
      <c r="R1035" s="140"/>
      <c r="S1035" s="140"/>
      <c r="T1035" s="140"/>
      <c r="U1035" s="140"/>
      <c r="V1035" s="140"/>
      <c r="W1035" s="140"/>
      <c r="X1035" s="140"/>
      <c r="Y1035" s="135"/>
      <c r="Z1035" s="58"/>
      <c r="AA1035" s="58"/>
      <c r="AB1035" s="58"/>
      <c r="AC1035" s="58"/>
      <c r="AD1035" s="58"/>
      <c r="AE1035" s="138"/>
      <c r="AF1035" s="136"/>
      <c r="AG1035" s="136"/>
      <c r="AH1035" s="136"/>
    </row>
    <row r="1036" spans="1:34" s="132" customFormat="1" ht="12.75" customHeight="1" x14ac:dyDescent="0.25">
      <c r="A1036" s="137"/>
      <c r="B1036" s="139"/>
      <c r="C1036" s="136"/>
      <c r="D1036" s="131"/>
      <c r="E1036" s="131"/>
      <c r="F1036" s="58"/>
      <c r="G1036" s="140"/>
      <c r="H1036" s="140"/>
      <c r="I1036" s="58"/>
      <c r="J1036" s="58"/>
      <c r="K1036" s="58"/>
      <c r="L1036" s="58"/>
      <c r="M1036" s="135"/>
      <c r="N1036" s="135"/>
      <c r="O1036" s="140"/>
      <c r="P1036" s="140"/>
      <c r="Q1036" s="140"/>
      <c r="R1036" s="140"/>
      <c r="S1036" s="140"/>
      <c r="T1036" s="140"/>
      <c r="U1036" s="140"/>
      <c r="V1036" s="140"/>
      <c r="W1036" s="140"/>
      <c r="X1036" s="140"/>
      <c r="Y1036" s="135"/>
      <c r="Z1036" s="58"/>
      <c r="AA1036" s="58"/>
      <c r="AB1036" s="58"/>
      <c r="AC1036" s="58"/>
      <c r="AD1036" s="58"/>
      <c r="AE1036" s="138"/>
      <c r="AF1036" s="136"/>
      <c r="AG1036" s="136"/>
      <c r="AH1036" s="136"/>
    </row>
    <row r="1037" spans="1:34" s="132" customFormat="1" ht="12.75" customHeight="1" x14ac:dyDescent="0.25">
      <c r="A1037" s="137"/>
      <c r="B1037" s="139"/>
      <c r="C1037" s="136"/>
      <c r="D1037" s="131"/>
      <c r="E1037" s="131"/>
      <c r="F1037" s="58"/>
      <c r="G1037" s="140"/>
      <c r="H1037" s="140"/>
      <c r="I1037" s="58"/>
      <c r="J1037" s="58"/>
      <c r="K1037" s="58"/>
      <c r="L1037" s="58"/>
      <c r="M1037" s="135"/>
      <c r="N1037" s="135"/>
      <c r="O1037" s="140"/>
      <c r="P1037" s="140"/>
      <c r="Q1037" s="140"/>
      <c r="R1037" s="140"/>
      <c r="S1037" s="140"/>
      <c r="T1037" s="140"/>
      <c r="U1037" s="140"/>
      <c r="V1037" s="140"/>
      <c r="W1037" s="140"/>
      <c r="X1037" s="140"/>
      <c r="Y1037" s="135"/>
      <c r="Z1037" s="58"/>
      <c r="AA1037" s="58"/>
      <c r="AB1037" s="58"/>
      <c r="AC1037" s="58"/>
      <c r="AD1037" s="58"/>
      <c r="AE1037" s="138"/>
      <c r="AF1037" s="136"/>
      <c r="AG1037" s="136"/>
      <c r="AH1037" s="136"/>
    </row>
    <row r="1038" spans="1:34" s="132" customFormat="1" ht="12.75" customHeight="1" x14ac:dyDescent="0.25">
      <c r="A1038" s="137"/>
      <c r="B1038" s="139"/>
      <c r="C1038" s="136"/>
      <c r="D1038" s="131"/>
      <c r="E1038" s="131"/>
      <c r="F1038" s="58"/>
      <c r="G1038" s="140"/>
      <c r="H1038" s="140"/>
      <c r="I1038" s="58"/>
      <c r="J1038" s="58"/>
      <c r="K1038" s="58"/>
      <c r="L1038" s="58"/>
      <c r="M1038" s="135"/>
      <c r="N1038" s="135"/>
      <c r="O1038" s="140"/>
      <c r="P1038" s="140"/>
      <c r="Q1038" s="140"/>
      <c r="R1038" s="140"/>
      <c r="S1038" s="140"/>
      <c r="T1038" s="140"/>
      <c r="U1038" s="140"/>
      <c r="V1038" s="140"/>
      <c r="W1038" s="140"/>
      <c r="X1038" s="140"/>
      <c r="Y1038" s="135"/>
      <c r="Z1038" s="58"/>
      <c r="AA1038" s="58"/>
      <c r="AB1038" s="58"/>
      <c r="AC1038" s="58"/>
      <c r="AD1038" s="58"/>
      <c r="AE1038" s="138"/>
      <c r="AF1038" s="136"/>
      <c r="AG1038" s="136"/>
      <c r="AH1038" s="136"/>
    </row>
    <row r="1039" spans="1:34" s="132" customFormat="1" ht="12.75" customHeight="1" x14ac:dyDescent="0.25">
      <c r="A1039" s="137"/>
      <c r="B1039" s="139"/>
      <c r="C1039" s="136"/>
      <c r="D1039" s="131"/>
      <c r="E1039" s="131"/>
      <c r="F1039" s="58"/>
      <c r="G1039" s="140"/>
      <c r="H1039" s="140"/>
      <c r="I1039" s="58"/>
      <c r="J1039" s="58"/>
      <c r="K1039" s="58"/>
      <c r="L1039" s="58"/>
      <c r="M1039" s="135"/>
      <c r="N1039" s="135"/>
      <c r="O1039" s="140"/>
      <c r="P1039" s="140"/>
      <c r="Q1039" s="140"/>
      <c r="R1039" s="140"/>
      <c r="S1039" s="140"/>
      <c r="T1039" s="140"/>
      <c r="U1039" s="140"/>
      <c r="V1039" s="140"/>
      <c r="W1039" s="140"/>
      <c r="X1039" s="140"/>
      <c r="Y1039" s="135"/>
      <c r="Z1039" s="58"/>
      <c r="AA1039" s="58"/>
      <c r="AB1039" s="58"/>
      <c r="AC1039" s="58"/>
      <c r="AD1039" s="58"/>
      <c r="AE1039" s="138"/>
      <c r="AF1039" s="136"/>
      <c r="AG1039" s="136"/>
      <c r="AH1039" s="136"/>
    </row>
    <row r="1040" spans="1:34" s="132" customFormat="1" ht="12.75" customHeight="1" x14ac:dyDescent="0.25">
      <c r="A1040" s="137"/>
      <c r="B1040" s="139"/>
      <c r="C1040" s="136"/>
      <c r="D1040" s="131"/>
      <c r="E1040" s="131"/>
      <c r="F1040" s="58"/>
      <c r="G1040" s="140"/>
      <c r="H1040" s="140"/>
      <c r="I1040" s="58"/>
      <c r="J1040" s="58"/>
      <c r="K1040" s="58"/>
      <c r="L1040" s="58"/>
      <c r="M1040" s="135"/>
      <c r="N1040" s="135"/>
      <c r="O1040" s="140"/>
      <c r="P1040" s="140"/>
      <c r="Q1040" s="140"/>
      <c r="R1040" s="140"/>
      <c r="S1040" s="140"/>
      <c r="T1040" s="140"/>
      <c r="U1040" s="140"/>
      <c r="V1040" s="140"/>
      <c r="W1040" s="140"/>
      <c r="X1040" s="140"/>
      <c r="Y1040" s="135"/>
      <c r="Z1040" s="58"/>
      <c r="AA1040" s="58"/>
      <c r="AB1040" s="58"/>
      <c r="AC1040" s="58"/>
      <c r="AD1040" s="58"/>
      <c r="AE1040" s="138"/>
      <c r="AF1040" s="136"/>
      <c r="AG1040" s="136"/>
      <c r="AH1040" s="136"/>
    </row>
    <row r="1041" spans="1:34" s="132" customFormat="1" ht="12.75" customHeight="1" x14ac:dyDescent="0.25">
      <c r="A1041" s="137"/>
      <c r="B1041" s="139"/>
      <c r="C1041" s="136"/>
      <c r="D1041" s="131"/>
      <c r="E1041" s="131"/>
      <c r="F1041" s="58"/>
      <c r="G1041" s="140"/>
      <c r="H1041" s="140"/>
      <c r="I1041" s="58"/>
      <c r="J1041" s="58"/>
      <c r="K1041" s="58"/>
      <c r="L1041" s="58"/>
      <c r="M1041" s="135"/>
      <c r="N1041" s="135"/>
      <c r="O1041" s="140"/>
      <c r="P1041" s="140"/>
      <c r="Q1041" s="140"/>
      <c r="R1041" s="140"/>
      <c r="S1041" s="140"/>
      <c r="T1041" s="140"/>
      <c r="U1041" s="140"/>
      <c r="V1041" s="140"/>
      <c r="W1041" s="140"/>
      <c r="X1041" s="140"/>
      <c r="Y1041" s="135"/>
      <c r="Z1041" s="58"/>
      <c r="AA1041" s="58"/>
      <c r="AB1041" s="58"/>
      <c r="AC1041" s="58"/>
      <c r="AD1041" s="58"/>
      <c r="AE1041" s="138"/>
      <c r="AF1041" s="136"/>
      <c r="AG1041" s="136"/>
      <c r="AH1041" s="136"/>
    </row>
    <row r="1042" spans="1:34" s="132" customFormat="1" ht="12.75" customHeight="1" x14ac:dyDescent="0.25">
      <c r="A1042" s="137"/>
      <c r="B1042" s="139"/>
      <c r="C1042" s="136"/>
      <c r="D1042" s="131"/>
      <c r="E1042" s="131"/>
      <c r="F1042" s="58"/>
      <c r="G1042" s="140"/>
      <c r="H1042" s="140"/>
      <c r="I1042" s="58"/>
      <c r="J1042" s="58"/>
      <c r="K1042" s="58"/>
      <c r="L1042" s="58"/>
      <c r="M1042" s="135"/>
      <c r="N1042" s="135"/>
      <c r="O1042" s="140"/>
      <c r="P1042" s="140"/>
      <c r="Q1042" s="140"/>
      <c r="R1042" s="140"/>
      <c r="S1042" s="140"/>
      <c r="T1042" s="140"/>
      <c r="U1042" s="140"/>
      <c r="V1042" s="140"/>
      <c r="W1042" s="140"/>
      <c r="X1042" s="140"/>
      <c r="Y1042" s="135"/>
      <c r="Z1042" s="58"/>
      <c r="AA1042" s="58"/>
      <c r="AB1042" s="58"/>
      <c r="AC1042" s="58"/>
      <c r="AD1042" s="58"/>
      <c r="AE1042" s="138"/>
      <c r="AF1042" s="136"/>
      <c r="AG1042" s="136"/>
      <c r="AH1042" s="136"/>
    </row>
    <row r="1043" spans="1:34" s="132" customFormat="1" ht="12.75" customHeight="1" x14ac:dyDescent="0.25">
      <c r="A1043" s="137"/>
      <c r="B1043" s="139"/>
      <c r="C1043" s="136"/>
      <c r="D1043" s="131"/>
      <c r="E1043" s="131"/>
      <c r="F1043" s="58"/>
      <c r="G1043" s="140"/>
      <c r="H1043" s="140"/>
      <c r="I1043" s="58"/>
      <c r="J1043" s="58"/>
      <c r="K1043" s="58"/>
      <c r="L1043" s="58"/>
      <c r="M1043" s="135"/>
      <c r="N1043" s="135"/>
      <c r="O1043" s="140"/>
      <c r="P1043" s="140"/>
      <c r="Q1043" s="140"/>
      <c r="R1043" s="140"/>
      <c r="S1043" s="140"/>
      <c r="T1043" s="140"/>
      <c r="U1043" s="140"/>
      <c r="V1043" s="140"/>
      <c r="W1043" s="140"/>
      <c r="X1043" s="140"/>
      <c r="Y1043" s="135"/>
      <c r="Z1043" s="58"/>
      <c r="AA1043" s="58"/>
      <c r="AB1043" s="58"/>
      <c r="AC1043" s="58"/>
      <c r="AD1043" s="58"/>
      <c r="AE1043" s="138"/>
      <c r="AF1043" s="136"/>
      <c r="AG1043" s="136"/>
      <c r="AH1043" s="136"/>
    </row>
    <row r="1044" spans="1:34" s="132" customFormat="1" ht="12.75" customHeight="1" x14ac:dyDescent="0.25">
      <c r="A1044" s="137"/>
      <c r="B1044" s="139"/>
      <c r="C1044" s="136"/>
      <c r="D1044" s="131"/>
      <c r="E1044" s="131"/>
      <c r="F1044" s="58"/>
      <c r="G1044" s="140"/>
      <c r="H1044" s="140"/>
      <c r="I1044" s="58"/>
      <c r="J1044" s="58"/>
      <c r="K1044" s="58"/>
      <c r="L1044" s="58"/>
      <c r="M1044" s="135"/>
      <c r="N1044" s="135"/>
      <c r="O1044" s="140"/>
      <c r="P1044" s="140"/>
      <c r="Q1044" s="140"/>
      <c r="R1044" s="140"/>
      <c r="S1044" s="140"/>
      <c r="T1044" s="140"/>
      <c r="U1044" s="140"/>
      <c r="V1044" s="140"/>
      <c r="W1044" s="140"/>
      <c r="X1044" s="140"/>
      <c r="Y1044" s="135"/>
      <c r="Z1044" s="58"/>
      <c r="AA1044" s="58"/>
      <c r="AB1044" s="58"/>
      <c r="AC1044" s="58"/>
      <c r="AD1044" s="58"/>
      <c r="AE1044" s="138"/>
      <c r="AF1044" s="136"/>
      <c r="AG1044" s="136"/>
      <c r="AH1044" s="136"/>
    </row>
    <row r="1045" spans="1:34" s="132" customFormat="1" ht="12.75" customHeight="1" x14ac:dyDescent="0.25">
      <c r="A1045" s="137"/>
      <c r="B1045" s="139"/>
      <c r="C1045" s="136"/>
      <c r="D1045" s="131"/>
      <c r="E1045" s="131"/>
      <c r="F1045" s="58"/>
      <c r="G1045" s="140"/>
      <c r="H1045" s="140"/>
      <c r="I1045" s="58"/>
      <c r="J1045" s="58"/>
      <c r="K1045" s="58"/>
      <c r="L1045" s="58"/>
      <c r="M1045" s="135"/>
      <c r="N1045" s="135"/>
      <c r="O1045" s="140"/>
      <c r="P1045" s="140"/>
      <c r="Q1045" s="140"/>
      <c r="R1045" s="140"/>
      <c r="S1045" s="140"/>
      <c r="T1045" s="140"/>
      <c r="U1045" s="140"/>
      <c r="V1045" s="140"/>
      <c r="W1045" s="140"/>
      <c r="X1045" s="140"/>
      <c r="Y1045" s="135"/>
      <c r="Z1045" s="58"/>
      <c r="AA1045" s="58"/>
      <c r="AB1045" s="58"/>
      <c r="AC1045" s="58"/>
      <c r="AD1045" s="58"/>
      <c r="AE1045" s="138"/>
      <c r="AF1045" s="136"/>
      <c r="AG1045" s="136"/>
      <c r="AH1045" s="136"/>
    </row>
    <row r="1046" spans="1:34" s="132" customFormat="1" ht="12.75" customHeight="1" x14ac:dyDescent="0.25">
      <c r="A1046" s="137"/>
      <c r="B1046" s="139"/>
      <c r="C1046" s="136"/>
      <c r="D1046" s="131"/>
      <c r="E1046" s="131"/>
      <c r="F1046" s="58"/>
      <c r="G1046" s="140"/>
      <c r="H1046" s="140"/>
      <c r="I1046" s="58"/>
      <c r="J1046" s="58"/>
      <c r="K1046" s="58"/>
      <c r="L1046" s="58"/>
      <c r="M1046" s="135"/>
      <c r="N1046" s="135"/>
      <c r="O1046" s="140"/>
      <c r="P1046" s="140"/>
      <c r="Q1046" s="140"/>
      <c r="R1046" s="140"/>
      <c r="S1046" s="140"/>
      <c r="T1046" s="140"/>
      <c r="U1046" s="140"/>
      <c r="V1046" s="140"/>
      <c r="W1046" s="140"/>
      <c r="X1046" s="140"/>
      <c r="Y1046" s="135"/>
      <c r="Z1046" s="58"/>
      <c r="AA1046" s="58"/>
      <c r="AB1046" s="58"/>
      <c r="AC1046" s="58"/>
      <c r="AD1046" s="58"/>
      <c r="AE1046" s="138"/>
      <c r="AF1046" s="136"/>
      <c r="AG1046" s="136"/>
      <c r="AH1046" s="136"/>
    </row>
    <row r="1047" spans="1:34" s="132" customFormat="1" ht="12.75" customHeight="1" x14ac:dyDescent="0.25">
      <c r="A1047" s="137"/>
      <c r="B1047" s="139"/>
      <c r="C1047" s="136"/>
      <c r="D1047" s="131"/>
      <c r="E1047" s="131"/>
      <c r="F1047" s="58"/>
      <c r="G1047" s="140"/>
      <c r="H1047" s="140"/>
      <c r="I1047" s="58"/>
      <c r="J1047" s="58"/>
      <c r="K1047" s="58"/>
      <c r="L1047" s="58"/>
      <c r="M1047" s="135"/>
      <c r="N1047" s="135"/>
      <c r="O1047" s="140"/>
      <c r="P1047" s="140"/>
      <c r="Q1047" s="140"/>
      <c r="R1047" s="140"/>
      <c r="S1047" s="140"/>
      <c r="T1047" s="140"/>
      <c r="U1047" s="140"/>
      <c r="V1047" s="140"/>
      <c r="W1047" s="140"/>
      <c r="X1047" s="140"/>
      <c r="Y1047" s="135"/>
      <c r="Z1047" s="58"/>
      <c r="AA1047" s="58"/>
      <c r="AB1047" s="58"/>
      <c r="AC1047" s="58"/>
      <c r="AD1047" s="58"/>
      <c r="AE1047" s="138"/>
      <c r="AF1047" s="136"/>
      <c r="AG1047" s="136"/>
      <c r="AH1047" s="136"/>
    </row>
    <row r="1048" spans="1:34" s="132" customFormat="1" ht="12.75" customHeight="1" x14ac:dyDescent="0.25">
      <c r="A1048" s="137"/>
      <c r="B1048" s="139"/>
      <c r="C1048" s="136"/>
      <c r="D1048" s="131"/>
      <c r="E1048" s="131"/>
      <c r="F1048" s="58"/>
      <c r="G1048" s="140"/>
      <c r="H1048" s="140"/>
      <c r="I1048" s="58"/>
      <c r="J1048" s="58"/>
      <c r="K1048" s="58"/>
      <c r="L1048" s="58"/>
      <c r="M1048" s="135"/>
      <c r="N1048" s="135"/>
      <c r="O1048" s="140"/>
      <c r="P1048" s="140"/>
      <c r="Q1048" s="140"/>
      <c r="R1048" s="140"/>
      <c r="S1048" s="140"/>
      <c r="T1048" s="140"/>
      <c r="U1048" s="140"/>
      <c r="V1048" s="140"/>
      <c r="W1048" s="140"/>
      <c r="X1048" s="140"/>
      <c r="Y1048" s="135"/>
      <c r="Z1048" s="58"/>
      <c r="AA1048" s="58"/>
      <c r="AB1048" s="58"/>
      <c r="AC1048" s="58"/>
      <c r="AD1048" s="58"/>
      <c r="AE1048" s="138"/>
      <c r="AF1048" s="136"/>
      <c r="AG1048" s="136"/>
      <c r="AH1048" s="136"/>
    </row>
    <row r="1049" spans="1:34" s="132" customFormat="1" ht="12.75" customHeight="1" x14ac:dyDescent="0.25">
      <c r="A1049" s="137"/>
      <c r="B1049" s="139"/>
      <c r="C1049" s="136"/>
      <c r="D1049" s="131"/>
      <c r="E1049" s="131"/>
      <c r="F1049" s="58"/>
      <c r="G1049" s="140"/>
      <c r="H1049" s="140"/>
      <c r="I1049" s="58"/>
      <c r="J1049" s="58"/>
      <c r="K1049" s="58"/>
      <c r="L1049" s="58"/>
      <c r="M1049" s="135"/>
      <c r="N1049" s="135"/>
      <c r="O1049" s="140"/>
      <c r="P1049" s="140"/>
      <c r="Q1049" s="140"/>
      <c r="R1049" s="140"/>
      <c r="S1049" s="140"/>
      <c r="T1049" s="140"/>
      <c r="U1049" s="140"/>
      <c r="V1049" s="140"/>
      <c r="W1049" s="140"/>
      <c r="X1049" s="140"/>
      <c r="Y1049" s="135"/>
      <c r="Z1049" s="58"/>
      <c r="AA1049" s="58"/>
      <c r="AB1049" s="58"/>
      <c r="AC1049" s="58"/>
      <c r="AD1049" s="58"/>
      <c r="AE1049" s="138"/>
      <c r="AF1049" s="136"/>
      <c r="AG1049" s="136"/>
      <c r="AH1049" s="136"/>
    </row>
    <row r="1050" spans="1:34" s="132" customFormat="1" ht="12.75" customHeight="1" x14ac:dyDescent="0.25">
      <c r="A1050" s="137"/>
      <c r="B1050" s="139"/>
      <c r="C1050" s="136"/>
      <c r="D1050" s="131"/>
      <c r="E1050" s="131"/>
      <c r="F1050" s="58"/>
      <c r="G1050" s="140"/>
      <c r="H1050" s="140"/>
      <c r="I1050" s="58"/>
      <c r="J1050" s="58"/>
      <c r="K1050" s="58"/>
      <c r="L1050" s="58"/>
      <c r="M1050" s="135"/>
      <c r="N1050" s="135"/>
      <c r="O1050" s="140"/>
      <c r="P1050" s="140"/>
      <c r="Q1050" s="140"/>
      <c r="R1050" s="140"/>
      <c r="S1050" s="140"/>
      <c r="T1050" s="140"/>
      <c r="U1050" s="140"/>
      <c r="V1050" s="140"/>
      <c r="W1050" s="140"/>
      <c r="X1050" s="140"/>
      <c r="Y1050" s="135"/>
      <c r="Z1050" s="58"/>
      <c r="AA1050" s="58"/>
      <c r="AB1050" s="58"/>
      <c r="AC1050" s="58"/>
      <c r="AD1050" s="58"/>
      <c r="AE1050" s="138"/>
      <c r="AF1050" s="136"/>
      <c r="AG1050" s="136"/>
      <c r="AH1050" s="136"/>
    </row>
    <row r="1051" spans="1:34" s="132" customFormat="1" ht="12.75" customHeight="1" x14ac:dyDescent="0.25">
      <c r="A1051" s="137"/>
      <c r="B1051" s="139"/>
      <c r="C1051" s="136"/>
      <c r="D1051" s="131"/>
      <c r="E1051" s="131"/>
      <c r="F1051" s="58"/>
      <c r="G1051" s="140"/>
      <c r="H1051" s="140"/>
      <c r="I1051" s="58"/>
      <c r="J1051" s="58"/>
      <c r="K1051" s="58"/>
      <c r="L1051" s="58"/>
      <c r="M1051" s="135"/>
      <c r="N1051" s="135"/>
      <c r="O1051" s="140"/>
      <c r="P1051" s="140"/>
      <c r="Q1051" s="140"/>
      <c r="R1051" s="140"/>
      <c r="S1051" s="140"/>
      <c r="T1051" s="140"/>
      <c r="U1051" s="140"/>
      <c r="V1051" s="140"/>
      <c r="W1051" s="140"/>
      <c r="X1051" s="140"/>
      <c r="Y1051" s="135"/>
      <c r="Z1051" s="58"/>
      <c r="AA1051" s="58"/>
      <c r="AB1051" s="58"/>
      <c r="AC1051" s="58"/>
      <c r="AD1051" s="58"/>
      <c r="AE1051" s="138"/>
      <c r="AF1051" s="136"/>
      <c r="AG1051" s="136"/>
      <c r="AH1051" s="136"/>
    </row>
    <row r="1052" spans="1:34" s="132" customFormat="1" ht="15" customHeight="1" x14ac:dyDescent="0.25">
      <c r="A1052" s="110"/>
      <c r="M1052" s="110"/>
      <c r="N1052" s="110"/>
      <c r="Y1052" s="110"/>
      <c r="AE1052" s="110"/>
    </row>
    <row r="1053" spans="1:34" ht="15" customHeight="1" x14ac:dyDescent="0.25">
      <c r="N1053" s="29"/>
    </row>
  </sheetData>
  <sheetProtection algorithmName="SHA-512" hashValue="QhnuQ/nmLxw1SZTXolEoGAQb6vSsJVTEGlZ5wV484UMmMQg00dQdvOt3i2shIjXE04I/o6OiBYq9Z4fm8ctRfA==" saltValue="ID3y/QACWmQOv47/uqaSaA==" spinCount="100000" sheet="1" objects="1" scenarios="1"/>
  <mergeCells count="4">
    <mergeCell ref="B1:D2"/>
    <mergeCell ref="F2:L2"/>
    <mergeCell ref="N2:X2"/>
    <mergeCell ref="Z2:A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2C61-A478-498F-8DB7-87A0C6C51F39}">
  <sheetPr>
    <tabColor rgb="FFCCFFCC"/>
  </sheetPr>
  <dimension ref="A1:AU88"/>
  <sheetViews>
    <sheetView tabSelected="1" zoomScale="75" zoomScaleNormal="75" workbookViewId="0">
      <selection activeCell="W38" sqref="W38"/>
    </sheetView>
  </sheetViews>
  <sheetFormatPr defaultRowHeight="13.2" x14ac:dyDescent="0.25"/>
  <cols>
    <col min="1" max="1" width="3.21875" style="61" customWidth="1"/>
    <col min="2" max="2" width="16" customWidth="1"/>
    <col min="3" max="3" width="8" customWidth="1"/>
    <col min="4" max="4" width="2.21875" customWidth="1"/>
    <col min="12" max="12" width="2.21875" customWidth="1"/>
    <col min="13" max="13" width="9.77734375" customWidth="1"/>
    <col min="17" max="17" width="9.6640625" customWidth="1"/>
    <col min="21" max="21" width="9.6640625" customWidth="1"/>
    <col min="22" max="22" width="9.77734375" customWidth="1"/>
    <col min="26" max="26" width="2.5546875" customWidth="1"/>
  </cols>
  <sheetData>
    <row r="1" spans="2:47" ht="16.2" thickBot="1" x14ac:dyDescent="0.35">
      <c r="B1" s="578" t="s">
        <v>235</v>
      </c>
      <c r="C1" s="578"/>
      <c r="D1" s="178"/>
      <c r="E1" s="497"/>
      <c r="F1" s="497"/>
      <c r="G1" s="497"/>
      <c r="H1" s="497"/>
      <c r="I1" s="497"/>
      <c r="J1" s="497"/>
      <c r="K1" s="497"/>
      <c r="L1" s="133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133"/>
      <c r="AA1" s="497"/>
      <c r="AB1" s="497"/>
      <c r="AC1" s="497"/>
      <c r="AD1" s="497"/>
      <c r="AE1" s="497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2:47" ht="18" thickBot="1" x14ac:dyDescent="0.35">
      <c r="B2" s="579"/>
      <c r="C2" s="579"/>
      <c r="D2" s="178"/>
      <c r="E2" s="580" t="s">
        <v>215</v>
      </c>
      <c r="F2" s="581"/>
      <c r="G2" s="581"/>
      <c r="H2" s="581"/>
      <c r="I2" s="581"/>
      <c r="J2" s="581"/>
      <c r="K2" s="582"/>
      <c r="L2" s="182"/>
      <c r="M2" s="583" t="s">
        <v>217</v>
      </c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5"/>
      <c r="Z2" s="184"/>
      <c r="AA2" s="586" t="s">
        <v>218</v>
      </c>
      <c r="AB2" s="587"/>
      <c r="AC2" s="587"/>
      <c r="AD2" s="587"/>
      <c r="AE2" s="588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2:47" ht="79.2" x14ac:dyDescent="0.25">
      <c r="B3" s="168" t="s">
        <v>82</v>
      </c>
      <c r="C3" s="186" t="s">
        <v>6</v>
      </c>
      <c r="D3" s="129"/>
      <c r="E3" s="415" t="s">
        <v>85</v>
      </c>
      <c r="F3" s="155" t="s">
        <v>248</v>
      </c>
      <c r="G3" s="155" t="s">
        <v>249</v>
      </c>
      <c r="H3" s="416" t="s">
        <v>39</v>
      </c>
      <c r="I3" s="416" t="s">
        <v>232</v>
      </c>
      <c r="J3" s="416" t="s">
        <v>88</v>
      </c>
      <c r="K3" s="156" t="s">
        <v>89</v>
      </c>
      <c r="L3" s="183"/>
      <c r="M3" s="191" t="s">
        <v>216</v>
      </c>
      <c r="N3" s="149" t="s">
        <v>155</v>
      </c>
      <c r="O3" s="149" t="s">
        <v>224</v>
      </c>
      <c r="P3" s="149" t="s">
        <v>223</v>
      </c>
      <c r="Q3" s="155" t="s">
        <v>171</v>
      </c>
      <c r="R3" s="149" t="s">
        <v>228</v>
      </c>
      <c r="S3" s="149" t="s">
        <v>225</v>
      </c>
      <c r="T3" s="149" t="s">
        <v>226</v>
      </c>
      <c r="U3" s="155" t="s">
        <v>227</v>
      </c>
      <c r="V3" s="155" t="s">
        <v>310</v>
      </c>
      <c r="W3" s="155" t="s">
        <v>159</v>
      </c>
      <c r="X3" s="155" t="s">
        <v>311</v>
      </c>
      <c r="Y3" s="160" t="s">
        <v>166</v>
      </c>
      <c r="Z3" s="185"/>
      <c r="AA3" s="159" t="s">
        <v>152</v>
      </c>
      <c r="AB3" s="150" t="s">
        <v>153</v>
      </c>
      <c r="AC3" s="150" t="s">
        <v>154</v>
      </c>
      <c r="AD3" s="149" t="s">
        <v>156</v>
      </c>
      <c r="AE3" s="160" t="s">
        <v>252</v>
      </c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2:47" x14ac:dyDescent="0.25">
      <c r="B4" s="171" t="str">
        <f>IF(Stand!C3="","",Stand!C3)</f>
        <v/>
      </c>
      <c r="C4" s="187" t="str">
        <f>IF($B4="","",VLOOKUP(B4,Stand!C:H,6,0))</f>
        <v/>
      </c>
      <c r="D4" s="130"/>
      <c r="E4" s="417" t="str">
        <f>IF($B4="","",SUMIF('Pre-Harvest Plots_rpt'!$B:$B,Stand_Biomass!$B4,'Pre-Harvest Plots_rpt'!$F:$F)/$C4)</f>
        <v/>
      </c>
      <c r="F4" s="123" t="str">
        <f>IF($B4="","",SUMIF('Pre-Harvest Plots_rpt'!$B:$B,Stand_Biomass!$B4,'Pre-Harvest Plots_rpt'!$G:$G)/$C4)</f>
        <v/>
      </c>
      <c r="G4" s="123" t="str">
        <f>IF($B4="","",SUMIF('Pre-Harvest Plots_rpt'!$B:$B,Stand_Biomass!$B4,'Pre-Harvest Plots_rpt'!$H:$H)/$C4)</f>
        <v/>
      </c>
      <c r="H4" s="418" t="str">
        <f>IF($B4="","",SUMIF('Pre-Harvest Plots_rpt'!$B:$B,Stand_Biomass!$B4,'Pre-Harvest Plots_rpt'!$I:$I)/$C4)</f>
        <v/>
      </c>
      <c r="I4" s="418" t="str">
        <f>IF($B4="","",SUMIF('Pre-Harvest Plots_rpt'!$B:$B,Stand_Biomass!$B4,'Pre-Harvest Plots_rpt'!$J:$J)/COUNTIFS('Pre-Harvest Plots_rpt'!$B:$B,Stand_Biomass!$B4,'Pre-Harvest Plots_rpt'!$J:$J,"&gt;"&amp;0))</f>
        <v/>
      </c>
      <c r="J4" s="418" t="str">
        <f>IF($B4="","",SUMIF('Pre-Harvest Plots_rpt'!$B:$B,Stand_Biomass!$B4,'Pre-Harvest Plots_rpt'!$K:$K)/$C4)</f>
        <v/>
      </c>
      <c r="K4" s="419" t="str">
        <f t="shared" ref="K4" si="0">IF($B4="","",IF(OR(G4=0,H4=0),0,H4/SQRT(G4)))</f>
        <v/>
      </c>
      <c r="L4" s="135"/>
      <c r="M4" s="192" t="str">
        <f>IF($B4="","",SUMIF('Pre-Harvest Plots_rpt'!$B:$B,Stand_Biomass!$B4,'Pre-Harvest Plots_rpt'!N:N)/$C4)</f>
        <v/>
      </c>
      <c r="N4" s="122" t="str">
        <f>IF($B4="","",SUMIF('Pre-Harvest Plots_rpt'!$B:$B,Stand_Biomass!$B4,'Pre-Harvest Plots_rpt'!O:O)/$C4)</f>
        <v/>
      </c>
      <c r="O4" s="122" t="str">
        <f>IF($B4="","",SUMIF('Pre-Harvest Plots_rpt'!$B:$B,Stand_Biomass!$B4,'Pre-Harvest Plots_rpt'!P:P)/$C4)</f>
        <v/>
      </c>
      <c r="P4" s="122" t="str">
        <f>IF($B4="","",SUMIF('Pre-Harvest Plots_rpt'!$B:$B,Stand_Biomass!$B4,'Pre-Harvest Plots_rpt'!Q:Q)/$C4)</f>
        <v/>
      </c>
      <c r="Q4" s="123" t="str">
        <f>IF($B4="","",SUMIF('Pre-Harvest Plots_rpt'!$B:$B,Stand_Biomass!$B4,'Pre-Harvest Plots_rpt'!R:R)/$C4)</f>
        <v/>
      </c>
      <c r="R4" s="122" t="str">
        <f>IF($B4="","",SUMIF('Pre-Harvest Plots_rpt'!$B:$B,Stand_Biomass!$B4,'Pre-Harvest Plots_rpt'!S:S)/$C4)</f>
        <v/>
      </c>
      <c r="S4" s="122" t="str">
        <f>IF($B4="","",SUMIF('Pre-Harvest Plots_rpt'!$B:$B,Stand_Biomass!$B4,'Pre-Harvest Plots_rpt'!T:T)/$C4)</f>
        <v/>
      </c>
      <c r="T4" s="122" t="str">
        <f>IF($B4="","",SUMIF('Pre-Harvest Plots_rpt'!$B:$B,Stand_Biomass!$B4,'Pre-Harvest Plots_rpt'!U:U)/$C4)</f>
        <v/>
      </c>
      <c r="U4" s="122" t="str">
        <f>IF($B4="","",SUMIF('Pre-Harvest Plots_rpt'!$B:$B,Stand_Biomass!$B4,'Pre-Harvest Plots_rpt'!V:V)/$C4)</f>
        <v/>
      </c>
      <c r="V4" s="123" t="str">
        <f t="array" ref="V4">IF($C4="","",IF($C4&gt;1,(STDEV(IF($B4='Pre-Harvest Plots_rpt'!$B$4:$B$855,IF(Q$3='Pre-Harvest Plots_rpt'!$F$3:$Y$3,'Pre-Harvest Plots_rpt'!$F$4:$Y$855)))/$C4^0.5)*1.96,"NA"))</f>
        <v/>
      </c>
      <c r="W4" s="123" t="str">
        <f>IF($B4="","",SUMIF('Pre-Harvest Plots_rpt'!$B:$B,Stand_Biomass!$B4,'Pre-Harvest Plots_rpt'!W:W)/$C4)</f>
        <v/>
      </c>
      <c r="X4" s="123" t="str">
        <f t="array" ref="X4">IF($C4="","",IF($C4&gt;1,(STDEV(IF($B4='Pre-Harvest Plots_rpt'!$B$4:$B$855,IF(W$3='Pre-Harvest Plots_rpt'!$F$3:$Y$3,'Pre-Harvest Plots_rpt'!$F$4:$Y$855)))/$C4^0.5)*1.96,"NA"))</f>
        <v/>
      </c>
      <c r="Y4" s="193" t="str">
        <f>IF($B4="","",SUMIF('Pre-Harvest Plots_rpt'!$B:$B,Stand_Biomass!$B4,'Pre-Harvest Plots_rpt'!X:X)/$C4)</f>
        <v/>
      </c>
      <c r="Z4" s="130"/>
      <c r="AA4" s="189" t="str">
        <f>IF($B4="","",SUMIF('Pre-Harvest Plots_rpt'!$B:$B,Stand_Biomass!$B4,'Pre-Harvest Plots_rpt'!Z:Z)/$C4)</f>
        <v/>
      </c>
      <c r="AB4" s="121" t="str">
        <f>IF($B4="","",SUMIF('Pre-Harvest Plots_rpt'!$B:$B,Stand_Biomass!$B4,'Pre-Harvest Plots_rpt'!AA:AA)/$C4)</f>
        <v/>
      </c>
      <c r="AC4" s="121" t="str">
        <f>IF($B4="","",SUMIF('Pre-Harvest Plots_rpt'!$B:$B,Stand_Biomass!$B4,'Pre-Harvest Plots_rpt'!AB:AB)/$C4)</f>
        <v/>
      </c>
      <c r="AD4" s="177" t="str">
        <f>IF($B4="","",SUMIF('Pre-Harvest Plots_rpt'!$B:$B,Stand_Biomass!$B4,'Pre-Harvest Plots_rpt'!AC:AC)/$C4)</f>
        <v/>
      </c>
      <c r="AE4" s="196" t="str">
        <f>IF($B4="","",SUMIF('Pre-Harvest Plots_rpt'!$B:$B,Stand_Biomass!$B4,'Pre-Harvest Plots_rpt'!AD:AD)/$C4)</f>
        <v/>
      </c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</row>
    <row r="5" spans="2:47" x14ac:dyDescent="0.25">
      <c r="B5" s="171" t="str">
        <f>IF(Stand!C4="","",Stand!C4)</f>
        <v/>
      </c>
      <c r="C5" s="187" t="str">
        <f>IF($B5="","",VLOOKUP(B5,Stand!C:H,6,0))</f>
        <v/>
      </c>
      <c r="D5" s="130"/>
      <c r="E5" s="417" t="str">
        <f>IF($B5="","",SUMIF('Pre-Harvest Plots_rpt'!$B:$B,Stand_Biomass!$B5,'Pre-Harvest Plots_rpt'!$F:$F)/$C5)</f>
        <v/>
      </c>
      <c r="F5" s="123" t="str">
        <f>IF($B5="","",SUMIF('Pre-Harvest Plots_rpt'!$B:$B,Stand_Biomass!$B5,'Pre-Harvest Plots_rpt'!$G:$G)/$C5)</f>
        <v/>
      </c>
      <c r="G5" s="123" t="str">
        <f>IF($B5="","",SUMIF('Pre-Harvest Plots_rpt'!$B:$B,Stand_Biomass!$B5,'Pre-Harvest Plots_rpt'!$H:$H)/$C5)</f>
        <v/>
      </c>
      <c r="H5" s="418" t="str">
        <f>IF($B5="","",SUMIF('Pre-Harvest Plots_rpt'!$B:$B,Stand_Biomass!$B5,'Pre-Harvest Plots_rpt'!$I:$I)/$C5)</f>
        <v/>
      </c>
      <c r="I5" s="418" t="str">
        <f>IF($B5="","",SUMIF('Pre-Harvest Plots_rpt'!$B:$B,Stand_Biomass!$B5,'Pre-Harvest Plots_rpt'!$J:$J)/COUNTIFS('Pre-Harvest Plots_rpt'!$B:$B,Stand_Biomass!$B5,'Pre-Harvest Plots_rpt'!$J:$J,"&gt;"&amp;0))</f>
        <v/>
      </c>
      <c r="J5" s="418" t="str">
        <f>IF($B5="","",SUMIF('Pre-Harvest Plots_rpt'!$B:$B,Stand_Biomass!$B5,'Pre-Harvest Plots_rpt'!$K:$K)/$C5)</f>
        <v/>
      </c>
      <c r="K5" s="419" t="str">
        <f t="shared" ref="K5:K30" si="1">IF($B5="","",IF(OR(G5=0,H5=0),0,H5/SQRT(G5)))</f>
        <v/>
      </c>
      <c r="L5" s="135"/>
      <c r="M5" s="192" t="str">
        <f>IF($B5="","",SUMIF('Pre-Harvest Plots_rpt'!$B:$B,Stand_Biomass!$B5,'Pre-Harvest Plots_rpt'!N:N)/$C5)</f>
        <v/>
      </c>
      <c r="N5" s="122" t="str">
        <f>IF($B5="","",SUMIF('Pre-Harvest Plots_rpt'!$B:$B,Stand_Biomass!$B5,'Pre-Harvest Plots_rpt'!O:O)/$C5)</f>
        <v/>
      </c>
      <c r="O5" s="122" t="str">
        <f>IF($B5="","",SUMIF('Pre-Harvest Plots_rpt'!$B:$B,Stand_Biomass!$B5,'Pre-Harvest Plots_rpt'!P:P)/$C5)</f>
        <v/>
      </c>
      <c r="P5" s="122" t="str">
        <f>IF($B5="","",SUMIF('Pre-Harvest Plots_rpt'!$B:$B,Stand_Biomass!$B5,'Pre-Harvest Plots_rpt'!Q:Q)/$C5)</f>
        <v/>
      </c>
      <c r="Q5" s="123" t="str">
        <f>IF($B5="","",SUMIF('Pre-Harvest Plots_rpt'!$B:$B,Stand_Biomass!$B5,'Pre-Harvest Plots_rpt'!R:R)/$C5)</f>
        <v/>
      </c>
      <c r="R5" s="122" t="str">
        <f>IF($B5="","",SUMIF('Pre-Harvest Plots_rpt'!$B:$B,Stand_Biomass!$B5,'Pre-Harvest Plots_rpt'!S:S)/$C5)</f>
        <v/>
      </c>
      <c r="S5" s="122" t="str">
        <f>IF($B5="","",SUMIF('Pre-Harvest Plots_rpt'!$B:$B,Stand_Biomass!$B5,'Pre-Harvest Plots_rpt'!T:T)/$C5)</f>
        <v/>
      </c>
      <c r="T5" s="122" t="str">
        <f>IF($B5="","",SUMIF('Pre-Harvest Plots_rpt'!$B:$B,Stand_Biomass!$B5,'Pre-Harvest Plots_rpt'!U:U)/$C5)</f>
        <v/>
      </c>
      <c r="U5" s="122" t="str">
        <f>IF($B5="","",SUMIF('Pre-Harvest Plots_rpt'!$B:$B,Stand_Biomass!$B5,'Pre-Harvest Plots_rpt'!V:V)/$C5)</f>
        <v/>
      </c>
      <c r="V5" s="123" t="str">
        <f t="array" ref="V5">IF($C5="","",IF($C5&gt;1,(STDEV(IF($B5='Pre-Harvest Plots_rpt'!$B$4:$B$855,IF(Q$3='Pre-Harvest Plots_rpt'!$F$3:$Y$3,'Pre-Harvest Plots_rpt'!$F$4:$Y$855)))/$C5^0.5)*1.96,"NA"))</f>
        <v/>
      </c>
      <c r="W5" s="123" t="str">
        <f>IF($B5="","",SUMIF('Pre-Harvest Plots_rpt'!$B:$B,Stand_Biomass!$B5,'Pre-Harvest Plots_rpt'!W:W)/$C5)</f>
        <v/>
      </c>
      <c r="X5" s="123" t="str">
        <f t="array" ref="X5">IF($C5="","",IF($C5&gt;1,(STDEV(IF($B5='Pre-Harvest Plots_rpt'!$B$4:$B$855,IF(W$3='Pre-Harvest Plots_rpt'!$F$3:$Y$3,'Pre-Harvest Plots_rpt'!$F$4:$Y$855)))/$C5^0.5)*1.96,"NA"))</f>
        <v/>
      </c>
      <c r="Y5" s="193" t="str">
        <f>IF($B5="","",SUMIF('Pre-Harvest Plots_rpt'!$B:$B,Stand_Biomass!$B5,'Pre-Harvest Plots_rpt'!X:X)/$C5)</f>
        <v/>
      </c>
      <c r="Z5" s="130"/>
      <c r="AA5" s="189" t="str">
        <f>IF($B5="","",SUMIF('Pre-Harvest Plots_rpt'!$B:$B,Stand_Biomass!$B5,'Pre-Harvest Plots_rpt'!Z:Z)/$C5)</f>
        <v/>
      </c>
      <c r="AB5" s="121" t="str">
        <f>IF($B5="","",SUMIF('Pre-Harvest Plots_rpt'!$B:$B,Stand_Biomass!$B5,'Pre-Harvest Plots_rpt'!AA:AA)/$C5)</f>
        <v/>
      </c>
      <c r="AC5" s="121" t="str">
        <f>IF($B5="","",SUMIF('Pre-Harvest Plots_rpt'!$B:$B,Stand_Biomass!$B5,'Pre-Harvest Plots_rpt'!AB:AB)/$C5)</f>
        <v/>
      </c>
      <c r="AD5" s="177" t="str">
        <f>IF($B5="","",SUMIF('Pre-Harvest Plots_rpt'!$B:$B,Stand_Biomass!$B5,'Pre-Harvest Plots_rpt'!AC:AC)/$C5)</f>
        <v/>
      </c>
      <c r="AE5" s="196" t="str">
        <f>IF($B5="","",SUMIF('Pre-Harvest Plots_rpt'!$B:$B,Stand_Biomass!$B5,'Pre-Harvest Plots_rpt'!AD:AD)/$C5)</f>
        <v/>
      </c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2:47" x14ac:dyDescent="0.25">
      <c r="B6" s="171" t="str">
        <f>IF(Stand!C5="","",Stand!C5)</f>
        <v/>
      </c>
      <c r="C6" s="187" t="str">
        <f>IF($B6="","",VLOOKUP(B6,Stand!C:H,6,0))</f>
        <v/>
      </c>
      <c r="D6" s="130"/>
      <c r="E6" s="417" t="str">
        <f>IF($B6="","",SUMIF('Pre-Harvest Plots_rpt'!$B:$B,Stand_Biomass!$B6,'Pre-Harvest Plots_rpt'!$F:$F)/$C6)</f>
        <v/>
      </c>
      <c r="F6" s="123" t="str">
        <f>IF($B6="","",SUMIF('Pre-Harvest Plots_rpt'!$B:$B,Stand_Biomass!$B6,'Pre-Harvest Plots_rpt'!$G:$G)/$C6)</f>
        <v/>
      </c>
      <c r="G6" s="123" t="str">
        <f>IF($B6="","",SUMIF('Pre-Harvest Plots_rpt'!$B:$B,Stand_Biomass!$B6,'Pre-Harvest Plots_rpt'!$H:$H)/$C6)</f>
        <v/>
      </c>
      <c r="H6" s="418" t="str">
        <f>IF($B6="","",SUMIF('Pre-Harvest Plots_rpt'!$B:$B,Stand_Biomass!$B6,'Pre-Harvest Plots_rpt'!$I:$I)/$C6)</f>
        <v/>
      </c>
      <c r="I6" s="418" t="str">
        <f>IF($B6="","",SUMIF('Pre-Harvest Plots_rpt'!$B:$B,Stand_Biomass!$B6,'Pre-Harvest Plots_rpt'!$J:$J)/COUNTIFS('Pre-Harvest Plots_rpt'!$B:$B,Stand_Biomass!$B6,'Pre-Harvest Plots_rpt'!$J:$J,"&gt;"&amp;0))</f>
        <v/>
      </c>
      <c r="J6" s="418" t="str">
        <f>IF($B6="","",SUMIF('Pre-Harvest Plots_rpt'!$B:$B,Stand_Biomass!$B6,'Pre-Harvest Plots_rpt'!$K:$K)/$C6)</f>
        <v/>
      </c>
      <c r="K6" s="419" t="str">
        <f t="shared" si="1"/>
        <v/>
      </c>
      <c r="L6" s="135"/>
      <c r="M6" s="192" t="str">
        <f>IF($B6="","",SUMIF('Pre-Harvest Plots_rpt'!$B:$B,Stand_Biomass!$B6,'Pre-Harvest Plots_rpt'!N:N)/$C6)</f>
        <v/>
      </c>
      <c r="N6" s="122" t="str">
        <f>IF($B6="","",SUMIF('Pre-Harvest Plots_rpt'!$B:$B,Stand_Biomass!$B6,'Pre-Harvest Plots_rpt'!O:O)/$C6)</f>
        <v/>
      </c>
      <c r="O6" s="122" t="str">
        <f>IF($B6="","",SUMIF('Pre-Harvest Plots_rpt'!$B:$B,Stand_Biomass!$B6,'Pre-Harvest Plots_rpt'!P:P)/$C6)</f>
        <v/>
      </c>
      <c r="P6" s="122" t="str">
        <f>IF($B6="","",SUMIF('Pre-Harvest Plots_rpt'!$B:$B,Stand_Biomass!$B6,'Pre-Harvest Plots_rpt'!Q:Q)/$C6)</f>
        <v/>
      </c>
      <c r="Q6" s="123" t="str">
        <f>IF($B6="","",SUMIF('Pre-Harvest Plots_rpt'!$B:$B,Stand_Biomass!$B6,'Pre-Harvest Plots_rpt'!R:R)/$C6)</f>
        <v/>
      </c>
      <c r="R6" s="122" t="str">
        <f>IF($B6="","",SUMIF('Pre-Harvest Plots_rpt'!$B:$B,Stand_Biomass!$B6,'Pre-Harvest Plots_rpt'!S:S)/$C6)</f>
        <v/>
      </c>
      <c r="S6" s="122" t="str">
        <f>IF($B6="","",SUMIF('Pre-Harvest Plots_rpt'!$B:$B,Stand_Biomass!$B6,'Pre-Harvest Plots_rpt'!T:T)/$C6)</f>
        <v/>
      </c>
      <c r="T6" s="122" t="str">
        <f>IF($B6="","",SUMIF('Pre-Harvest Plots_rpt'!$B:$B,Stand_Biomass!$B6,'Pre-Harvest Plots_rpt'!U:U)/$C6)</f>
        <v/>
      </c>
      <c r="U6" s="122" t="str">
        <f>IF($B6="","",SUMIF('Pre-Harvest Plots_rpt'!$B:$B,Stand_Biomass!$B6,'Pre-Harvest Plots_rpt'!V:V)/$C6)</f>
        <v/>
      </c>
      <c r="V6" s="123" t="str">
        <f t="array" ref="V6">IF($C6="","",IF($C6&gt;1,(STDEV(IF($B6='Pre-Harvest Plots_rpt'!$B$4:$B$855,IF(Q$3='Pre-Harvest Plots_rpt'!$F$3:$Y$3,'Pre-Harvest Plots_rpt'!$F$4:$Y$855)))/$C6^0.5)*1.96,"NA"))</f>
        <v/>
      </c>
      <c r="W6" s="123" t="str">
        <f>IF($B6="","",SUMIF('Pre-Harvest Plots_rpt'!$B:$B,Stand_Biomass!$B6,'Pre-Harvest Plots_rpt'!W:W)/$C6)</f>
        <v/>
      </c>
      <c r="X6" s="123" t="str">
        <f t="array" ref="X6">IF($C6="","",IF($C6&gt;1,(STDEV(IF($B6='Pre-Harvest Plots_rpt'!$B$4:$B$855,IF(W$3='Pre-Harvest Plots_rpt'!$F$3:$Y$3,'Pre-Harvest Plots_rpt'!$F$4:$Y$855)))/$C6^0.5)*1.96,"NA"))</f>
        <v/>
      </c>
      <c r="Y6" s="193" t="str">
        <f>IF($B6="","",SUMIF('Pre-Harvest Plots_rpt'!$B:$B,Stand_Biomass!$B6,'Pre-Harvest Plots_rpt'!X:X)/$C6)</f>
        <v/>
      </c>
      <c r="Z6" s="130"/>
      <c r="AA6" s="189" t="str">
        <f>IF($B6="","",SUMIF('Pre-Harvest Plots_rpt'!$B:$B,Stand_Biomass!$B6,'Pre-Harvest Plots_rpt'!Z:Z)/$C6)</f>
        <v/>
      </c>
      <c r="AB6" s="121" t="str">
        <f>IF($B6="","",SUMIF('Pre-Harvest Plots_rpt'!$B:$B,Stand_Biomass!$B6,'Pre-Harvest Plots_rpt'!AA:AA)/$C6)</f>
        <v/>
      </c>
      <c r="AC6" s="121" t="str">
        <f>IF($B6="","",SUMIF('Pre-Harvest Plots_rpt'!$B:$B,Stand_Biomass!$B6,'Pre-Harvest Plots_rpt'!AB:AB)/$C6)</f>
        <v/>
      </c>
      <c r="AD6" s="177" t="str">
        <f>IF($B6="","",SUMIF('Pre-Harvest Plots_rpt'!$B:$B,Stand_Biomass!$B6,'Pre-Harvest Plots_rpt'!AC:AC)/$C6)</f>
        <v/>
      </c>
      <c r="AE6" s="196" t="str">
        <f>IF($B6="","",SUMIF('Pre-Harvest Plots_rpt'!$B:$B,Stand_Biomass!$B6,'Pre-Harvest Plots_rpt'!AD:AD)/$C6)</f>
        <v/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2:47" x14ac:dyDescent="0.25">
      <c r="B7" s="171" t="str">
        <f>IF(Stand!C6="","",Stand!C6)</f>
        <v/>
      </c>
      <c r="C7" s="187" t="str">
        <f>IF($B7="","",VLOOKUP(B7,Stand!C:H,6,0))</f>
        <v/>
      </c>
      <c r="D7" s="130"/>
      <c r="E7" s="417" t="str">
        <f>IF($B7="","",SUMIF('Pre-Harvest Plots_rpt'!$B:$B,Stand_Biomass!$B7,'Pre-Harvest Plots_rpt'!$F:$F)/$C7)</f>
        <v/>
      </c>
      <c r="F7" s="123" t="str">
        <f>IF($B7="","",SUMIF('Pre-Harvest Plots_rpt'!$B:$B,Stand_Biomass!$B7,'Pre-Harvest Plots_rpt'!$G:$G)/$C7)</f>
        <v/>
      </c>
      <c r="G7" s="123" t="str">
        <f>IF($B7="","",SUMIF('Pre-Harvest Plots_rpt'!$B:$B,Stand_Biomass!$B7,'Pre-Harvest Plots_rpt'!$H:$H)/$C7)</f>
        <v/>
      </c>
      <c r="H7" s="418" t="str">
        <f>IF($B7="","",SUMIF('Pre-Harvest Plots_rpt'!$B:$B,Stand_Biomass!$B7,'Pre-Harvest Plots_rpt'!$I:$I)/$C7)</f>
        <v/>
      </c>
      <c r="I7" s="418" t="str">
        <f>IF($B7="","",SUMIF('Pre-Harvest Plots_rpt'!$B:$B,Stand_Biomass!$B7,'Pre-Harvest Plots_rpt'!$J:$J)/COUNTIFS('Pre-Harvest Plots_rpt'!$B:$B,Stand_Biomass!$B7,'Pre-Harvest Plots_rpt'!$J:$J,"&gt;"&amp;0))</f>
        <v/>
      </c>
      <c r="J7" s="418" t="str">
        <f>IF($B7="","",SUMIF('Pre-Harvest Plots_rpt'!$B:$B,Stand_Biomass!$B7,'Pre-Harvest Plots_rpt'!$K:$K)/$C7)</f>
        <v/>
      </c>
      <c r="K7" s="419" t="str">
        <f t="shared" si="1"/>
        <v/>
      </c>
      <c r="L7" s="135"/>
      <c r="M7" s="192" t="str">
        <f>IF($B7="","",SUMIF('Pre-Harvest Plots_rpt'!$B:$B,Stand_Biomass!$B7,'Pre-Harvest Plots_rpt'!N:N)/$C7)</f>
        <v/>
      </c>
      <c r="N7" s="122" t="str">
        <f>IF($B7="","",SUMIF('Pre-Harvest Plots_rpt'!$B:$B,Stand_Biomass!$B7,'Pre-Harvest Plots_rpt'!O:O)/$C7)</f>
        <v/>
      </c>
      <c r="O7" s="122" t="str">
        <f>IF($B7="","",SUMIF('Pre-Harvest Plots_rpt'!$B:$B,Stand_Biomass!$B7,'Pre-Harvest Plots_rpt'!P:P)/$C7)</f>
        <v/>
      </c>
      <c r="P7" s="122" t="str">
        <f>IF($B7="","",SUMIF('Pre-Harvest Plots_rpt'!$B:$B,Stand_Biomass!$B7,'Pre-Harvest Plots_rpt'!Q:Q)/$C7)</f>
        <v/>
      </c>
      <c r="Q7" s="123" t="str">
        <f>IF($B7="","",SUMIF('Pre-Harvest Plots_rpt'!$B:$B,Stand_Biomass!$B7,'Pre-Harvest Plots_rpt'!R:R)/$C7)</f>
        <v/>
      </c>
      <c r="R7" s="122" t="str">
        <f>IF($B7="","",SUMIF('Pre-Harvest Plots_rpt'!$B:$B,Stand_Biomass!$B7,'Pre-Harvest Plots_rpt'!S:S)/$C7)</f>
        <v/>
      </c>
      <c r="S7" s="122" t="str">
        <f>IF($B7="","",SUMIF('Pre-Harvest Plots_rpt'!$B:$B,Stand_Biomass!$B7,'Pre-Harvest Plots_rpt'!T:T)/$C7)</f>
        <v/>
      </c>
      <c r="T7" s="122" t="str">
        <f>IF($B7="","",SUMIF('Pre-Harvest Plots_rpt'!$B:$B,Stand_Biomass!$B7,'Pre-Harvest Plots_rpt'!U:U)/$C7)</f>
        <v/>
      </c>
      <c r="U7" s="122" t="str">
        <f>IF($B7="","",SUMIF('Pre-Harvest Plots_rpt'!$B:$B,Stand_Biomass!$B7,'Pre-Harvest Plots_rpt'!V:V)/$C7)</f>
        <v/>
      </c>
      <c r="V7" s="123" t="str">
        <f t="array" ref="V7">IF($C7="","",IF($C7&gt;1,(STDEV(IF($B7='Pre-Harvest Plots_rpt'!$B$4:$B$855,IF(Q$3='Pre-Harvest Plots_rpt'!$F$3:$Y$3,'Pre-Harvest Plots_rpt'!$F$4:$Y$855)))/$C7^0.5)*1.96,"NA"))</f>
        <v/>
      </c>
      <c r="W7" s="123" t="str">
        <f>IF($B7="","",SUMIF('Pre-Harvest Plots_rpt'!$B:$B,Stand_Biomass!$B7,'Pre-Harvest Plots_rpt'!W:W)/$C7)</f>
        <v/>
      </c>
      <c r="X7" s="123" t="str">
        <f t="array" ref="X7">IF($C7="","",IF($C7&gt;1,(STDEV(IF($B7='Pre-Harvest Plots_rpt'!$B$4:$B$855,IF(W$3='Pre-Harvest Plots_rpt'!$F$3:$Y$3,'Pre-Harvest Plots_rpt'!$F$4:$Y$855)))/$C7^0.5)*1.96,"NA"))</f>
        <v/>
      </c>
      <c r="Y7" s="193" t="str">
        <f>IF($B7="","",SUMIF('Pre-Harvest Plots_rpt'!$B:$B,Stand_Biomass!$B7,'Pre-Harvest Plots_rpt'!X:X)/$C7)</f>
        <v/>
      </c>
      <c r="Z7" s="130"/>
      <c r="AA7" s="189" t="str">
        <f>IF($B7="","",SUMIF('Pre-Harvest Plots_rpt'!$B:$B,Stand_Biomass!$B7,'Pre-Harvest Plots_rpt'!Z:Z)/$C7)</f>
        <v/>
      </c>
      <c r="AB7" s="121" t="str">
        <f>IF($B7="","",SUMIF('Pre-Harvest Plots_rpt'!$B:$B,Stand_Biomass!$B7,'Pre-Harvest Plots_rpt'!AA:AA)/$C7)</f>
        <v/>
      </c>
      <c r="AC7" s="121" t="str">
        <f>IF($B7="","",SUMIF('Pre-Harvest Plots_rpt'!$B:$B,Stand_Biomass!$B7,'Pre-Harvest Plots_rpt'!AB:AB)/$C7)</f>
        <v/>
      </c>
      <c r="AD7" s="177" t="str">
        <f>IF($B7="","",SUMIF('Pre-Harvest Plots_rpt'!$B:$B,Stand_Biomass!$B7,'Pre-Harvest Plots_rpt'!AC:AC)/$C7)</f>
        <v/>
      </c>
      <c r="AE7" s="196" t="str">
        <f>IF($B7="","",SUMIF('Pre-Harvest Plots_rpt'!$B:$B,Stand_Biomass!$B7,'Pre-Harvest Plots_rpt'!AD:AD)/$C7)</f>
        <v/>
      </c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2:47" x14ac:dyDescent="0.25">
      <c r="B8" s="171" t="str">
        <f>IF(Stand!C7="","",Stand!C7)</f>
        <v/>
      </c>
      <c r="C8" s="187" t="str">
        <f>IF($B8="","",VLOOKUP(B8,Stand!C:H,6,0))</f>
        <v/>
      </c>
      <c r="D8" s="130"/>
      <c r="E8" s="417" t="str">
        <f>IF($B8="","",SUMIF('Pre-Harvest Plots_rpt'!$B:$B,Stand_Biomass!$B8,'Pre-Harvest Plots_rpt'!$F:$F)/$C8)</f>
        <v/>
      </c>
      <c r="F8" s="123" t="str">
        <f>IF($B8="","",SUMIF('Pre-Harvest Plots_rpt'!$B:$B,Stand_Biomass!$B8,'Pre-Harvest Plots_rpt'!$G:$G)/$C8)</f>
        <v/>
      </c>
      <c r="G8" s="123" t="str">
        <f>IF($B8="","",SUMIF('Pre-Harvest Plots_rpt'!$B:$B,Stand_Biomass!$B8,'Pre-Harvest Plots_rpt'!$H:$H)/$C8)</f>
        <v/>
      </c>
      <c r="H8" s="418" t="str">
        <f>IF($B8="","",SUMIF('Pre-Harvest Plots_rpt'!$B:$B,Stand_Biomass!$B8,'Pre-Harvest Plots_rpt'!$I:$I)/$C8)</f>
        <v/>
      </c>
      <c r="I8" s="418" t="str">
        <f>IF($B8="","",SUMIF('Pre-Harvest Plots_rpt'!$B:$B,Stand_Biomass!$B8,'Pre-Harvest Plots_rpt'!$J:$J)/COUNTIFS('Pre-Harvest Plots_rpt'!$B:$B,Stand_Biomass!$B8,'Pre-Harvest Plots_rpt'!$J:$J,"&gt;"&amp;0))</f>
        <v/>
      </c>
      <c r="J8" s="418" t="str">
        <f>IF($B8="","",SUMIF('Pre-Harvest Plots_rpt'!$B:$B,Stand_Biomass!$B8,'Pre-Harvest Plots_rpt'!$K:$K)/$C8)</f>
        <v/>
      </c>
      <c r="K8" s="419" t="str">
        <f t="shared" si="1"/>
        <v/>
      </c>
      <c r="L8" s="135"/>
      <c r="M8" s="192" t="str">
        <f>IF($B8="","",SUMIF('Pre-Harvest Plots_rpt'!$B:$B,Stand_Biomass!$B8,'Pre-Harvest Plots_rpt'!N:N)/$C8)</f>
        <v/>
      </c>
      <c r="N8" s="122" t="str">
        <f>IF($B8="","",SUMIF('Pre-Harvest Plots_rpt'!$B:$B,Stand_Biomass!$B8,'Pre-Harvest Plots_rpt'!O:O)/$C8)</f>
        <v/>
      </c>
      <c r="O8" s="122" t="str">
        <f>IF($B8="","",SUMIF('Pre-Harvest Plots_rpt'!$B:$B,Stand_Biomass!$B8,'Pre-Harvest Plots_rpt'!P:P)/$C8)</f>
        <v/>
      </c>
      <c r="P8" s="122" t="str">
        <f>IF($B8="","",SUMIF('Pre-Harvest Plots_rpt'!$B:$B,Stand_Biomass!$B8,'Pre-Harvest Plots_rpt'!Q:Q)/$C8)</f>
        <v/>
      </c>
      <c r="Q8" s="123" t="str">
        <f>IF($B8="","",SUMIF('Pre-Harvest Plots_rpt'!$B:$B,Stand_Biomass!$B8,'Pre-Harvest Plots_rpt'!R:R)/$C8)</f>
        <v/>
      </c>
      <c r="R8" s="122" t="str">
        <f>IF($B8="","",SUMIF('Pre-Harvest Plots_rpt'!$B:$B,Stand_Biomass!$B8,'Pre-Harvest Plots_rpt'!S:S)/$C8)</f>
        <v/>
      </c>
      <c r="S8" s="122" t="str">
        <f>IF($B8="","",SUMIF('Pre-Harvest Plots_rpt'!$B:$B,Stand_Biomass!$B8,'Pre-Harvest Plots_rpt'!T:T)/$C8)</f>
        <v/>
      </c>
      <c r="T8" s="122" t="str">
        <f>IF($B8="","",SUMIF('Pre-Harvest Plots_rpt'!$B:$B,Stand_Biomass!$B8,'Pre-Harvest Plots_rpt'!U:U)/$C8)</f>
        <v/>
      </c>
      <c r="U8" s="122" t="str">
        <f>IF($B8="","",SUMIF('Pre-Harvest Plots_rpt'!$B:$B,Stand_Biomass!$B8,'Pre-Harvest Plots_rpt'!V:V)/$C8)</f>
        <v/>
      </c>
      <c r="V8" s="123" t="str">
        <f t="array" ref="V8">IF($C8="","",IF($C8&gt;1,(STDEV(IF($B8='Pre-Harvest Plots_rpt'!$B$4:$B$855,IF(Q$3='Pre-Harvest Plots_rpt'!$F$3:$Y$3,'Pre-Harvest Plots_rpt'!$F$4:$Y$855)))/$C8^0.5)*1.96,"NA"))</f>
        <v/>
      </c>
      <c r="W8" s="123" t="str">
        <f>IF($B8="","",SUMIF('Pre-Harvest Plots_rpt'!$B:$B,Stand_Biomass!$B8,'Pre-Harvest Plots_rpt'!W:W)/$C8)</f>
        <v/>
      </c>
      <c r="X8" s="123" t="str">
        <f t="array" ref="X8">IF($C8="","",IF($C8&gt;1,(STDEV(IF($B8='Pre-Harvest Plots_rpt'!$B$4:$B$855,IF(W$3='Pre-Harvest Plots_rpt'!$F$3:$Y$3,'Pre-Harvest Plots_rpt'!$F$4:$Y$855)))/$C8^0.5)*1.96,"NA"))</f>
        <v/>
      </c>
      <c r="Y8" s="193" t="str">
        <f>IF($B8="","",SUMIF('Pre-Harvest Plots_rpt'!$B:$B,Stand_Biomass!$B8,'Pre-Harvest Plots_rpt'!X:X)/$C8)</f>
        <v/>
      </c>
      <c r="Z8" s="130"/>
      <c r="AA8" s="189" t="str">
        <f>IF($B8="","",SUMIF('Pre-Harvest Plots_rpt'!$B:$B,Stand_Biomass!$B8,'Pre-Harvest Plots_rpt'!Z:Z)/$C8)</f>
        <v/>
      </c>
      <c r="AB8" s="121" t="str">
        <f>IF($B8="","",SUMIF('Pre-Harvest Plots_rpt'!$B:$B,Stand_Biomass!$B8,'Pre-Harvest Plots_rpt'!AA:AA)/$C8)</f>
        <v/>
      </c>
      <c r="AC8" s="121" t="str">
        <f>IF($B8="","",SUMIF('Pre-Harvest Plots_rpt'!$B:$B,Stand_Biomass!$B8,'Pre-Harvest Plots_rpt'!AB:AB)/$C8)</f>
        <v/>
      </c>
      <c r="AD8" s="177" t="str">
        <f>IF($B8="","",SUMIF('Pre-Harvest Plots_rpt'!$B:$B,Stand_Biomass!$B8,'Pre-Harvest Plots_rpt'!AC:AC)/$C8)</f>
        <v/>
      </c>
      <c r="AE8" s="196" t="str">
        <f>IF($B8="","",SUMIF('Pre-Harvest Plots_rpt'!$B:$B,Stand_Biomass!$B8,'Pre-Harvest Plots_rpt'!AD:AD)/$C8)</f>
        <v/>
      </c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2:47" x14ac:dyDescent="0.25">
      <c r="B9" s="171" t="str">
        <f>IF(Stand!C8="","",Stand!C8)</f>
        <v/>
      </c>
      <c r="C9" s="187" t="str">
        <f>IF($B9="","",VLOOKUP(B9,Stand!C:H,6,0))</f>
        <v/>
      </c>
      <c r="D9" s="130"/>
      <c r="E9" s="417" t="str">
        <f>IF($B9="","",SUMIF('Pre-Harvest Plots_rpt'!$B:$B,Stand_Biomass!$B9,'Pre-Harvest Plots_rpt'!$F:$F)/$C9)</f>
        <v/>
      </c>
      <c r="F9" s="123" t="str">
        <f>IF($B9="","",SUMIF('Pre-Harvest Plots_rpt'!$B:$B,Stand_Biomass!$B9,'Pre-Harvest Plots_rpt'!$G:$G)/$C9)</f>
        <v/>
      </c>
      <c r="G9" s="123" t="str">
        <f>IF($B9="","",SUMIF('Pre-Harvest Plots_rpt'!$B:$B,Stand_Biomass!$B9,'Pre-Harvest Plots_rpt'!$H:$H)/$C9)</f>
        <v/>
      </c>
      <c r="H9" s="418" t="str">
        <f>IF($B9="","",SUMIF('Pre-Harvest Plots_rpt'!$B:$B,Stand_Biomass!$B9,'Pre-Harvest Plots_rpt'!$I:$I)/$C9)</f>
        <v/>
      </c>
      <c r="I9" s="418" t="str">
        <f>IF($B9="","",SUMIF('Pre-Harvest Plots_rpt'!$B:$B,Stand_Biomass!$B9,'Pre-Harvest Plots_rpt'!$J:$J)/COUNTIFS('Pre-Harvest Plots_rpt'!$B:$B,Stand_Biomass!$B9,'Pre-Harvest Plots_rpt'!$J:$J,"&gt;"&amp;0))</f>
        <v/>
      </c>
      <c r="J9" s="418" t="str">
        <f>IF($B9="","",SUMIF('Pre-Harvest Plots_rpt'!$B:$B,Stand_Biomass!$B9,'Pre-Harvest Plots_rpt'!$K:$K)/$C9)</f>
        <v/>
      </c>
      <c r="K9" s="419" t="str">
        <f t="shared" si="1"/>
        <v/>
      </c>
      <c r="L9" s="135"/>
      <c r="M9" s="192" t="str">
        <f>IF($B9="","",SUMIF('Pre-Harvest Plots_rpt'!$B:$B,Stand_Biomass!$B9,'Pre-Harvest Plots_rpt'!N:N)/$C9)</f>
        <v/>
      </c>
      <c r="N9" s="122" t="str">
        <f>IF($B9="","",SUMIF('Pre-Harvest Plots_rpt'!$B:$B,Stand_Biomass!$B9,'Pre-Harvest Plots_rpt'!O:O)/$C9)</f>
        <v/>
      </c>
      <c r="O9" s="122" t="str">
        <f>IF($B9="","",SUMIF('Pre-Harvest Plots_rpt'!$B:$B,Stand_Biomass!$B9,'Pre-Harvest Plots_rpt'!P:P)/$C9)</f>
        <v/>
      </c>
      <c r="P9" s="122" t="str">
        <f>IF($B9="","",SUMIF('Pre-Harvest Plots_rpt'!$B:$B,Stand_Biomass!$B9,'Pre-Harvest Plots_rpt'!Q:Q)/$C9)</f>
        <v/>
      </c>
      <c r="Q9" s="123" t="str">
        <f>IF($B9="","",SUMIF('Pre-Harvest Plots_rpt'!$B:$B,Stand_Biomass!$B9,'Pre-Harvest Plots_rpt'!R:R)/$C9)</f>
        <v/>
      </c>
      <c r="R9" s="122" t="str">
        <f>IF($B9="","",SUMIF('Pre-Harvest Plots_rpt'!$B:$B,Stand_Biomass!$B9,'Pre-Harvest Plots_rpt'!S:S)/$C9)</f>
        <v/>
      </c>
      <c r="S9" s="122" t="str">
        <f>IF($B9="","",SUMIF('Pre-Harvest Plots_rpt'!$B:$B,Stand_Biomass!$B9,'Pre-Harvest Plots_rpt'!T:T)/$C9)</f>
        <v/>
      </c>
      <c r="T9" s="122" t="str">
        <f>IF($B9="","",SUMIF('Pre-Harvest Plots_rpt'!$B:$B,Stand_Biomass!$B9,'Pre-Harvest Plots_rpt'!U:U)/$C9)</f>
        <v/>
      </c>
      <c r="U9" s="122" t="str">
        <f>IF($B9="","",SUMIF('Pre-Harvest Plots_rpt'!$B:$B,Stand_Biomass!$B9,'Pre-Harvest Plots_rpt'!V:V)/$C9)</f>
        <v/>
      </c>
      <c r="V9" s="123" t="str">
        <f t="array" ref="V9">IF($C9="","",IF($C9&gt;1,(STDEV(IF($B9='Pre-Harvest Plots_rpt'!$B$4:$B$855,IF(Q$3='Pre-Harvest Plots_rpt'!$F$3:$Y$3,'Pre-Harvest Plots_rpt'!$F$4:$Y$855)))/$C9^0.5)*1.96,"NA"))</f>
        <v/>
      </c>
      <c r="W9" s="123" t="str">
        <f>IF($B9="","",SUMIF('Pre-Harvest Plots_rpt'!$B:$B,Stand_Biomass!$B9,'Pre-Harvest Plots_rpt'!W:W)/$C9)</f>
        <v/>
      </c>
      <c r="X9" s="123" t="str">
        <f t="array" ref="X9">IF($C9="","",IF($C9&gt;1,(STDEV(IF($B9='Pre-Harvest Plots_rpt'!$B$4:$B$855,IF(W$3='Pre-Harvest Plots_rpt'!$F$3:$Y$3,'Pre-Harvest Plots_rpt'!$F$4:$Y$855)))/$C9^0.5)*1.96,"NA"))</f>
        <v/>
      </c>
      <c r="Y9" s="193" t="str">
        <f>IF($B9="","",SUMIF('Pre-Harvest Plots_rpt'!$B:$B,Stand_Biomass!$B9,'Pre-Harvest Plots_rpt'!X:X)/$C9)</f>
        <v/>
      </c>
      <c r="Z9" s="130"/>
      <c r="AA9" s="189" t="str">
        <f>IF($B9="","",SUMIF('Pre-Harvest Plots_rpt'!$B:$B,Stand_Biomass!$B9,'Pre-Harvest Plots_rpt'!Z:Z)/$C9)</f>
        <v/>
      </c>
      <c r="AB9" s="121" t="str">
        <f>IF($B9="","",SUMIF('Pre-Harvest Plots_rpt'!$B:$B,Stand_Biomass!$B9,'Pre-Harvest Plots_rpt'!AA:AA)/$C9)</f>
        <v/>
      </c>
      <c r="AC9" s="121" t="str">
        <f>IF($B9="","",SUMIF('Pre-Harvest Plots_rpt'!$B:$B,Stand_Biomass!$B9,'Pre-Harvest Plots_rpt'!AB:AB)/$C9)</f>
        <v/>
      </c>
      <c r="AD9" s="177" t="str">
        <f>IF($B9="","",SUMIF('Pre-Harvest Plots_rpt'!$B:$B,Stand_Biomass!$B9,'Pre-Harvest Plots_rpt'!AC:AC)/$C9)</f>
        <v/>
      </c>
      <c r="AE9" s="196" t="str">
        <f>IF($B9="","",SUMIF('Pre-Harvest Plots_rpt'!$B:$B,Stand_Biomass!$B9,'Pre-Harvest Plots_rpt'!AD:AD)/$C9)</f>
        <v/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2:47" x14ac:dyDescent="0.25">
      <c r="B10" s="171" t="str">
        <f>IF(Stand!C9="","",Stand!C9)</f>
        <v/>
      </c>
      <c r="C10" s="187" t="str">
        <f>IF($B10="","",VLOOKUP(B10,Stand!C:H,6,0))</f>
        <v/>
      </c>
      <c r="D10" s="130"/>
      <c r="E10" s="417" t="str">
        <f>IF($B10="","",SUMIF('Pre-Harvest Plots_rpt'!$B:$B,Stand_Biomass!$B10,'Pre-Harvest Plots_rpt'!$F:$F)/$C10)</f>
        <v/>
      </c>
      <c r="F10" s="123" t="str">
        <f>IF($B10="","",SUMIF('Pre-Harvest Plots_rpt'!$B:$B,Stand_Biomass!$B10,'Pre-Harvest Plots_rpt'!$G:$G)/$C10)</f>
        <v/>
      </c>
      <c r="G10" s="123" t="str">
        <f>IF($B10="","",SUMIF('Pre-Harvest Plots_rpt'!$B:$B,Stand_Biomass!$B10,'Pre-Harvest Plots_rpt'!$H:$H)/$C10)</f>
        <v/>
      </c>
      <c r="H10" s="418" t="str">
        <f>IF($B10="","",SUMIF('Pre-Harvest Plots_rpt'!$B:$B,Stand_Biomass!$B10,'Pre-Harvest Plots_rpt'!$I:$I)/$C10)</f>
        <v/>
      </c>
      <c r="I10" s="418" t="str">
        <f>IF($B10="","",SUMIF('Pre-Harvest Plots_rpt'!$B:$B,Stand_Biomass!$B10,'Pre-Harvest Plots_rpt'!$J:$J)/COUNTIFS('Pre-Harvest Plots_rpt'!$B:$B,Stand_Biomass!$B10,'Pre-Harvest Plots_rpt'!$J:$J,"&gt;"&amp;0))</f>
        <v/>
      </c>
      <c r="J10" s="418" t="str">
        <f>IF($B10="","",SUMIF('Pre-Harvest Plots_rpt'!$B:$B,Stand_Biomass!$B10,'Pre-Harvest Plots_rpt'!$K:$K)/$C10)</f>
        <v/>
      </c>
      <c r="K10" s="419" t="str">
        <f t="shared" si="1"/>
        <v/>
      </c>
      <c r="L10" s="135"/>
      <c r="M10" s="192" t="str">
        <f>IF($B10="","",SUMIF('Pre-Harvest Plots_rpt'!$B:$B,Stand_Biomass!$B10,'Pre-Harvest Plots_rpt'!N:N)/$C10)</f>
        <v/>
      </c>
      <c r="N10" s="122" t="str">
        <f>IF($B10="","",SUMIF('Pre-Harvest Plots_rpt'!$B:$B,Stand_Biomass!$B10,'Pre-Harvest Plots_rpt'!O:O)/$C10)</f>
        <v/>
      </c>
      <c r="O10" s="122" t="str">
        <f>IF($B10="","",SUMIF('Pre-Harvest Plots_rpt'!$B:$B,Stand_Biomass!$B10,'Pre-Harvest Plots_rpt'!P:P)/$C10)</f>
        <v/>
      </c>
      <c r="P10" s="122" t="str">
        <f>IF($B10="","",SUMIF('Pre-Harvest Plots_rpt'!$B:$B,Stand_Biomass!$B10,'Pre-Harvest Plots_rpt'!Q:Q)/$C10)</f>
        <v/>
      </c>
      <c r="Q10" s="123" t="str">
        <f>IF($B10="","",SUMIF('Pre-Harvest Plots_rpt'!$B:$B,Stand_Biomass!$B10,'Pre-Harvest Plots_rpt'!R:R)/$C10)</f>
        <v/>
      </c>
      <c r="R10" s="122" t="str">
        <f>IF($B10="","",SUMIF('Pre-Harvest Plots_rpt'!$B:$B,Stand_Biomass!$B10,'Pre-Harvest Plots_rpt'!S:S)/$C10)</f>
        <v/>
      </c>
      <c r="S10" s="122" t="str">
        <f>IF($B10="","",SUMIF('Pre-Harvest Plots_rpt'!$B:$B,Stand_Biomass!$B10,'Pre-Harvest Plots_rpt'!T:T)/$C10)</f>
        <v/>
      </c>
      <c r="T10" s="122" t="str">
        <f>IF($B10="","",SUMIF('Pre-Harvest Plots_rpt'!$B:$B,Stand_Biomass!$B10,'Pre-Harvest Plots_rpt'!U:U)/$C10)</f>
        <v/>
      </c>
      <c r="U10" s="122" t="str">
        <f>IF($B10="","",SUMIF('Pre-Harvest Plots_rpt'!$B:$B,Stand_Biomass!$B10,'Pre-Harvest Plots_rpt'!V:V)/$C10)</f>
        <v/>
      </c>
      <c r="V10" s="123" t="str">
        <f t="array" ref="V10">IF($C10="","",IF($C10&gt;1,(STDEV(IF($B10='Pre-Harvest Plots_rpt'!$B$4:$B$855,IF(Q$3='Pre-Harvest Plots_rpt'!$F$3:$Y$3,'Pre-Harvest Plots_rpt'!$F$4:$Y$855)))/$C10^0.5)*1.96,"NA"))</f>
        <v/>
      </c>
      <c r="W10" s="123" t="str">
        <f>IF($B10="","",SUMIF('Pre-Harvest Plots_rpt'!$B:$B,Stand_Biomass!$B10,'Pre-Harvest Plots_rpt'!W:W)/$C10)</f>
        <v/>
      </c>
      <c r="X10" s="123" t="str">
        <f t="array" ref="X10">IF($C10="","",IF($C10&gt;1,(STDEV(IF($B10='Pre-Harvest Plots_rpt'!$B$4:$B$855,IF(W$3='Pre-Harvest Plots_rpt'!$F$3:$Y$3,'Pre-Harvest Plots_rpt'!$F$4:$Y$855)))/$C10^0.5)*1.96,"NA"))</f>
        <v/>
      </c>
      <c r="Y10" s="193" t="str">
        <f>IF($B10="","",SUMIF('Pre-Harvest Plots_rpt'!$B:$B,Stand_Biomass!$B10,'Pre-Harvest Plots_rpt'!X:X)/$C10)</f>
        <v/>
      </c>
      <c r="Z10" s="130"/>
      <c r="AA10" s="189" t="str">
        <f>IF($B10="","",SUMIF('Pre-Harvest Plots_rpt'!$B:$B,Stand_Biomass!$B10,'Pre-Harvest Plots_rpt'!Z:Z)/$C10)</f>
        <v/>
      </c>
      <c r="AB10" s="121" t="str">
        <f>IF($B10="","",SUMIF('Pre-Harvest Plots_rpt'!$B:$B,Stand_Biomass!$B10,'Pre-Harvest Plots_rpt'!AA:AA)/$C10)</f>
        <v/>
      </c>
      <c r="AC10" s="121" t="str">
        <f>IF($B10="","",SUMIF('Pre-Harvest Plots_rpt'!$B:$B,Stand_Biomass!$B10,'Pre-Harvest Plots_rpt'!AB:AB)/$C10)</f>
        <v/>
      </c>
      <c r="AD10" s="177" t="str">
        <f>IF($B10="","",SUMIF('Pre-Harvest Plots_rpt'!$B:$B,Stand_Biomass!$B10,'Pre-Harvest Plots_rpt'!AC:AC)/$C10)</f>
        <v/>
      </c>
      <c r="AE10" s="196" t="str">
        <f>IF($B10="","",SUMIF('Pre-Harvest Plots_rpt'!$B:$B,Stand_Biomass!$B10,'Pre-Harvest Plots_rpt'!AD:AD)/$C10)</f>
        <v/>
      </c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2:47" x14ac:dyDescent="0.25">
      <c r="B11" s="171" t="str">
        <f>IF(Stand!C10="","",Stand!C10)</f>
        <v/>
      </c>
      <c r="C11" s="187" t="str">
        <f>IF($B11="","",VLOOKUP(B11,Stand!C:H,6,0))</f>
        <v/>
      </c>
      <c r="D11" s="130"/>
      <c r="E11" s="417" t="str">
        <f>IF($B11="","",SUMIF('Pre-Harvest Plots_rpt'!$B:$B,Stand_Biomass!$B11,'Pre-Harvest Plots_rpt'!$F:$F)/$C11)</f>
        <v/>
      </c>
      <c r="F11" s="123" t="str">
        <f>IF($B11="","",SUMIF('Pre-Harvest Plots_rpt'!$B:$B,Stand_Biomass!$B11,'Pre-Harvest Plots_rpt'!$G:$G)/$C11)</f>
        <v/>
      </c>
      <c r="G11" s="123" t="str">
        <f>IF($B11="","",SUMIF('Pre-Harvest Plots_rpt'!$B:$B,Stand_Biomass!$B11,'Pre-Harvest Plots_rpt'!$H:$H)/$C11)</f>
        <v/>
      </c>
      <c r="H11" s="418" t="str">
        <f>IF($B11="","",SUMIF('Pre-Harvest Plots_rpt'!$B:$B,Stand_Biomass!$B11,'Pre-Harvest Plots_rpt'!$I:$I)/$C11)</f>
        <v/>
      </c>
      <c r="I11" s="418" t="str">
        <f>IF($B11="","",SUMIF('Pre-Harvest Plots_rpt'!$B:$B,Stand_Biomass!$B11,'Pre-Harvest Plots_rpt'!$J:$J)/COUNTIFS('Pre-Harvest Plots_rpt'!$B:$B,Stand_Biomass!$B11,'Pre-Harvest Plots_rpt'!$J:$J,"&gt;"&amp;0))</f>
        <v/>
      </c>
      <c r="J11" s="418" t="str">
        <f>IF($B11="","",SUMIF('Pre-Harvest Plots_rpt'!$B:$B,Stand_Biomass!$B11,'Pre-Harvest Plots_rpt'!$K:$K)/$C11)</f>
        <v/>
      </c>
      <c r="K11" s="419" t="str">
        <f t="shared" si="1"/>
        <v/>
      </c>
      <c r="L11" s="135"/>
      <c r="M11" s="192" t="str">
        <f>IF($B11="","",SUMIF('Pre-Harvest Plots_rpt'!$B:$B,Stand_Biomass!$B11,'Pre-Harvest Plots_rpt'!N:N)/$C11)</f>
        <v/>
      </c>
      <c r="N11" s="122" t="str">
        <f>IF($B11="","",SUMIF('Pre-Harvest Plots_rpt'!$B:$B,Stand_Biomass!$B11,'Pre-Harvest Plots_rpt'!O:O)/$C11)</f>
        <v/>
      </c>
      <c r="O11" s="122" t="str">
        <f>IF($B11="","",SUMIF('Pre-Harvest Plots_rpt'!$B:$B,Stand_Biomass!$B11,'Pre-Harvest Plots_rpt'!P:P)/$C11)</f>
        <v/>
      </c>
      <c r="P11" s="122" t="str">
        <f>IF($B11="","",SUMIF('Pre-Harvest Plots_rpt'!$B:$B,Stand_Biomass!$B11,'Pre-Harvest Plots_rpt'!Q:Q)/$C11)</f>
        <v/>
      </c>
      <c r="Q11" s="123" t="str">
        <f>IF($B11="","",SUMIF('Pre-Harvest Plots_rpt'!$B:$B,Stand_Biomass!$B11,'Pre-Harvest Plots_rpt'!R:R)/$C11)</f>
        <v/>
      </c>
      <c r="R11" s="122" t="str">
        <f>IF($B11="","",SUMIF('Pre-Harvest Plots_rpt'!$B:$B,Stand_Biomass!$B11,'Pre-Harvest Plots_rpt'!S:S)/$C11)</f>
        <v/>
      </c>
      <c r="S11" s="122" t="str">
        <f>IF($B11="","",SUMIF('Pre-Harvest Plots_rpt'!$B:$B,Stand_Biomass!$B11,'Pre-Harvest Plots_rpt'!T:T)/$C11)</f>
        <v/>
      </c>
      <c r="T11" s="122" t="str">
        <f>IF($B11="","",SUMIF('Pre-Harvest Plots_rpt'!$B:$B,Stand_Biomass!$B11,'Pre-Harvest Plots_rpt'!U:U)/$C11)</f>
        <v/>
      </c>
      <c r="U11" s="122" t="str">
        <f>IF($B11="","",SUMIF('Pre-Harvest Plots_rpt'!$B:$B,Stand_Biomass!$B11,'Pre-Harvest Plots_rpt'!V:V)/$C11)</f>
        <v/>
      </c>
      <c r="V11" s="123" t="str">
        <f t="array" ref="V11">IF($C11="","",IF($C11&gt;1,(STDEV(IF($B11='Pre-Harvest Plots_rpt'!$B$4:$B$855,IF(Q$3='Pre-Harvest Plots_rpt'!$F$3:$Y$3,'Pre-Harvest Plots_rpt'!$F$4:$Y$855)))/$C11^0.5)*1.96,"NA"))</f>
        <v/>
      </c>
      <c r="W11" s="123" t="str">
        <f>IF($B11="","",SUMIF('Pre-Harvest Plots_rpt'!$B:$B,Stand_Biomass!$B11,'Pre-Harvest Plots_rpt'!W:W)/$C11)</f>
        <v/>
      </c>
      <c r="X11" s="123" t="str">
        <f t="array" ref="X11">IF($C11="","",IF($C11&gt;1,(STDEV(IF($B11='Pre-Harvest Plots_rpt'!$B$4:$B$855,IF(W$3='Pre-Harvest Plots_rpt'!$F$3:$Y$3,'Pre-Harvest Plots_rpt'!$F$4:$Y$855)))/$C11^0.5)*1.96,"NA"))</f>
        <v/>
      </c>
      <c r="Y11" s="193" t="str">
        <f>IF($B11="","",SUMIF('Pre-Harvest Plots_rpt'!$B:$B,Stand_Biomass!$B11,'Pre-Harvest Plots_rpt'!X:X)/$C11)</f>
        <v/>
      </c>
      <c r="Z11" s="130"/>
      <c r="AA11" s="189" t="str">
        <f>IF($B11="","",SUMIF('Pre-Harvest Plots_rpt'!$B:$B,Stand_Biomass!$B11,'Pre-Harvest Plots_rpt'!Z:Z)/$C11)</f>
        <v/>
      </c>
      <c r="AB11" s="121" t="str">
        <f>IF($B11="","",SUMIF('Pre-Harvest Plots_rpt'!$B:$B,Stand_Biomass!$B11,'Pre-Harvest Plots_rpt'!AA:AA)/$C11)</f>
        <v/>
      </c>
      <c r="AC11" s="121" t="str">
        <f>IF($B11="","",SUMIF('Pre-Harvest Plots_rpt'!$B:$B,Stand_Biomass!$B11,'Pre-Harvest Plots_rpt'!AB:AB)/$C11)</f>
        <v/>
      </c>
      <c r="AD11" s="177" t="str">
        <f>IF($B11="","",SUMIF('Pre-Harvest Plots_rpt'!$B:$B,Stand_Biomass!$B11,'Pre-Harvest Plots_rpt'!AC:AC)/$C11)</f>
        <v/>
      </c>
      <c r="AE11" s="196" t="str">
        <f>IF($B11="","",SUMIF('Pre-Harvest Plots_rpt'!$B:$B,Stand_Biomass!$B11,'Pre-Harvest Plots_rpt'!AD:AD)/$C11)</f>
        <v/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2:47" x14ac:dyDescent="0.25">
      <c r="B12" s="171" t="str">
        <f>IF(Stand!C11="","",Stand!C11)</f>
        <v/>
      </c>
      <c r="C12" s="187" t="str">
        <f>IF($B12="","",VLOOKUP(B12,Stand!C:H,6,0))</f>
        <v/>
      </c>
      <c r="D12" s="130"/>
      <c r="E12" s="417" t="str">
        <f>IF($B12="","",SUMIF('Pre-Harvest Plots_rpt'!$B:$B,Stand_Biomass!$B12,'Pre-Harvest Plots_rpt'!$F:$F)/$C12)</f>
        <v/>
      </c>
      <c r="F12" s="123" t="str">
        <f>IF($B12="","",SUMIF('Pre-Harvest Plots_rpt'!$B:$B,Stand_Biomass!$B12,'Pre-Harvest Plots_rpt'!$G:$G)/$C12)</f>
        <v/>
      </c>
      <c r="G12" s="123" t="str">
        <f>IF($B12="","",SUMIF('Pre-Harvest Plots_rpt'!$B:$B,Stand_Biomass!$B12,'Pre-Harvest Plots_rpt'!$H:$H)/$C12)</f>
        <v/>
      </c>
      <c r="H12" s="418" t="str">
        <f>IF($B12="","",SUMIF('Pre-Harvest Plots_rpt'!$B:$B,Stand_Biomass!$B12,'Pre-Harvest Plots_rpt'!$I:$I)/$C12)</f>
        <v/>
      </c>
      <c r="I12" s="418" t="str">
        <f>IF($B12="","",SUMIF('Pre-Harvest Plots_rpt'!$B:$B,Stand_Biomass!$B12,'Pre-Harvest Plots_rpt'!$J:$J)/COUNTIFS('Pre-Harvest Plots_rpt'!$B:$B,Stand_Biomass!$B12,'Pre-Harvest Plots_rpt'!$J:$J,"&gt;"&amp;0))</f>
        <v/>
      </c>
      <c r="J12" s="418" t="str">
        <f>IF($B12="","",SUMIF('Pre-Harvest Plots_rpt'!$B:$B,Stand_Biomass!$B12,'Pre-Harvest Plots_rpt'!$K:$K)/$C12)</f>
        <v/>
      </c>
      <c r="K12" s="419" t="str">
        <f t="shared" si="1"/>
        <v/>
      </c>
      <c r="L12" s="135"/>
      <c r="M12" s="192" t="str">
        <f>IF($B12="","",SUMIF('Pre-Harvest Plots_rpt'!$B:$B,Stand_Biomass!$B12,'Pre-Harvest Plots_rpt'!N:N)/$C12)</f>
        <v/>
      </c>
      <c r="N12" s="122" t="str">
        <f>IF($B12="","",SUMIF('Pre-Harvest Plots_rpt'!$B:$B,Stand_Biomass!$B12,'Pre-Harvest Plots_rpt'!O:O)/$C12)</f>
        <v/>
      </c>
      <c r="O12" s="122" t="str">
        <f>IF($B12="","",SUMIF('Pre-Harvest Plots_rpt'!$B:$B,Stand_Biomass!$B12,'Pre-Harvest Plots_rpt'!P:P)/$C12)</f>
        <v/>
      </c>
      <c r="P12" s="122" t="str">
        <f>IF($B12="","",SUMIF('Pre-Harvest Plots_rpt'!$B:$B,Stand_Biomass!$B12,'Pre-Harvest Plots_rpt'!Q:Q)/$C12)</f>
        <v/>
      </c>
      <c r="Q12" s="123" t="str">
        <f>IF($B12="","",SUMIF('Pre-Harvest Plots_rpt'!$B:$B,Stand_Biomass!$B12,'Pre-Harvest Plots_rpt'!R:R)/$C12)</f>
        <v/>
      </c>
      <c r="R12" s="122" t="str">
        <f>IF($B12="","",SUMIF('Pre-Harvest Plots_rpt'!$B:$B,Stand_Biomass!$B12,'Pre-Harvest Plots_rpt'!S:S)/$C12)</f>
        <v/>
      </c>
      <c r="S12" s="122" t="str">
        <f>IF($B12="","",SUMIF('Pre-Harvest Plots_rpt'!$B:$B,Stand_Biomass!$B12,'Pre-Harvest Plots_rpt'!T:T)/$C12)</f>
        <v/>
      </c>
      <c r="T12" s="122" t="str">
        <f>IF($B12="","",SUMIF('Pre-Harvest Plots_rpt'!$B:$B,Stand_Biomass!$B12,'Pre-Harvest Plots_rpt'!U:U)/$C12)</f>
        <v/>
      </c>
      <c r="U12" s="122" t="str">
        <f>IF($B12="","",SUMIF('Pre-Harvest Plots_rpt'!$B:$B,Stand_Biomass!$B12,'Pre-Harvest Plots_rpt'!V:V)/$C12)</f>
        <v/>
      </c>
      <c r="V12" s="123" t="str">
        <f t="array" ref="V12">IF($C12="","",IF($C12&gt;1,(STDEV(IF($B12='Pre-Harvest Plots_rpt'!$B$4:$B$855,IF(Q$3='Pre-Harvest Plots_rpt'!$F$3:$Y$3,'Pre-Harvest Plots_rpt'!$F$4:$Y$855)))/$C12^0.5)*1.96,"NA"))</f>
        <v/>
      </c>
      <c r="W12" s="123" t="str">
        <f>IF($B12="","",SUMIF('Pre-Harvest Plots_rpt'!$B:$B,Stand_Biomass!$B12,'Pre-Harvest Plots_rpt'!W:W)/$C12)</f>
        <v/>
      </c>
      <c r="X12" s="123" t="str">
        <f t="array" ref="X12">IF($C12="","",IF($C12&gt;1,(STDEV(IF($B12='Pre-Harvest Plots_rpt'!$B$4:$B$855,IF(W$3='Pre-Harvest Plots_rpt'!$F$3:$Y$3,'Pre-Harvest Plots_rpt'!$F$4:$Y$855)))/$C12^0.5)*1.96,"NA"))</f>
        <v/>
      </c>
      <c r="Y12" s="193" t="str">
        <f>IF($B12="","",SUMIF('Pre-Harvest Plots_rpt'!$B:$B,Stand_Biomass!$B12,'Pre-Harvest Plots_rpt'!X:X)/$C12)</f>
        <v/>
      </c>
      <c r="Z12" s="130"/>
      <c r="AA12" s="189" t="str">
        <f>IF($B12="","",SUMIF('Pre-Harvest Plots_rpt'!$B:$B,Stand_Biomass!$B12,'Pre-Harvest Plots_rpt'!Z:Z)/$C12)</f>
        <v/>
      </c>
      <c r="AB12" s="121" t="str">
        <f>IF($B12="","",SUMIF('Pre-Harvest Plots_rpt'!$B:$B,Stand_Biomass!$B12,'Pre-Harvest Plots_rpt'!AA:AA)/$C12)</f>
        <v/>
      </c>
      <c r="AC12" s="121" t="str">
        <f>IF($B12="","",SUMIF('Pre-Harvest Plots_rpt'!$B:$B,Stand_Biomass!$B12,'Pre-Harvest Plots_rpt'!AB:AB)/$C12)</f>
        <v/>
      </c>
      <c r="AD12" s="177" t="str">
        <f>IF($B12="","",SUMIF('Pre-Harvest Plots_rpt'!$B:$B,Stand_Biomass!$B12,'Pre-Harvest Plots_rpt'!AC:AC)/$C12)</f>
        <v/>
      </c>
      <c r="AE12" s="196" t="str">
        <f>IF($B12="","",SUMIF('Pre-Harvest Plots_rpt'!$B:$B,Stand_Biomass!$B12,'Pre-Harvest Plots_rpt'!AD:AD)/$C12)</f>
        <v/>
      </c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2:47" x14ac:dyDescent="0.25">
      <c r="B13" s="171" t="str">
        <f>IF(Stand!C12="","",Stand!C12)</f>
        <v/>
      </c>
      <c r="C13" s="187" t="str">
        <f>IF($B13="","",VLOOKUP(B13,Stand!C:H,6,0))</f>
        <v/>
      </c>
      <c r="D13" s="130"/>
      <c r="E13" s="417" t="str">
        <f>IF($B13="","",SUMIF('Pre-Harvest Plots_rpt'!$B:$B,Stand_Biomass!$B13,'Pre-Harvest Plots_rpt'!$F:$F)/$C13)</f>
        <v/>
      </c>
      <c r="F13" s="123" t="str">
        <f>IF($B13="","",SUMIF('Pre-Harvest Plots_rpt'!$B:$B,Stand_Biomass!$B13,'Pre-Harvest Plots_rpt'!$G:$G)/$C13)</f>
        <v/>
      </c>
      <c r="G13" s="123" t="str">
        <f>IF($B13="","",SUMIF('Pre-Harvest Plots_rpt'!$B:$B,Stand_Biomass!$B13,'Pre-Harvest Plots_rpt'!$H:$H)/$C13)</f>
        <v/>
      </c>
      <c r="H13" s="418" t="str">
        <f>IF($B13="","",SUMIF('Pre-Harvest Plots_rpt'!$B:$B,Stand_Biomass!$B13,'Pre-Harvest Plots_rpt'!$I:$I)/$C13)</f>
        <v/>
      </c>
      <c r="I13" s="418" t="str">
        <f>IF($B13="","",SUMIF('Pre-Harvest Plots_rpt'!$B:$B,Stand_Biomass!$B13,'Pre-Harvest Plots_rpt'!$J:$J)/COUNTIFS('Pre-Harvest Plots_rpt'!$B:$B,Stand_Biomass!$B13,'Pre-Harvest Plots_rpt'!$J:$J,"&gt;"&amp;0))</f>
        <v/>
      </c>
      <c r="J13" s="418" t="str">
        <f>IF($B13="","",SUMIF('Pre-Harvest Plots_rpt'!$B:$B,Stand_Biomass!$B13,'Pre-Harvest Plots_rpt'!$K:$K)/$C13)</f>
        <v/>
      </c>
      <c r="K13" s="419" t="str">
        <f t="shared" si="1"/>
        <v/>
      </c>
      <c r="L13" s="135"/>
      <c r="M13" s="192" t="str">
        <f>IF($B13="","",SUMIF('Pre-Harvest Plots_rpt'!$B:$B,Stand_Biomass!$B13,'Pre-Harvest Plots_rpt'!N:N)/$C13)</f>
        <v/>
      </c>
      <c r="N13" s="122" t="str">
        <f>IF($B13="","",SUMIF('Pre-Harvest Plots_rpt'!$B:$B,Stand_Biomass!$B13,'Pre-Harvest Plots_rpt'!O:O)/$C13)</f>
        <v/>
      </c>
      <c r="O13" s="122" t="str">
        <f>IF($B13="","",SUMIF('Pre-Harvest Plots_rpt'!$B:$B,Stand_Biomass!$B13,'Pre-Harvest Plots_rpt'!P:P)/$C13)</f>
        <v/>
      </c>
      <c r="P13" s="122" t="str">
        <f>IF($B13="","",SUMIF('Pre-Harvest Plots_rpt'!$B:$B,Stand_Biomass!$B13,'Pre-Harvest Plots_rpt'!Q:Q)/$C13)</f>
        <v/>
      </c>
      <c r="Q13" s="123" t="str">
        <f>IF($B13="","",SUMIF('Pre-Harvest Plots_rpt'!$B:$B,Stand_Biomass!$B13,'Pre-Harvest Plots_rpt'!R:R)/$C13)</f>
        <v/>
      </c>
      <c r="R13" s="122" t="str">
        <f>IF($B13="","",SUMIF('Pre-Harvest Plots_rpt'!$B:$B,Stand_Biomass!$B13,'Pre-Harvest Plots_rpt'!S:S)/$C13)</f>
        <v/>
      </c>
      <c r="S13" s="122" t="str">
        <f>IF($B13="","",SUMIF('Pre-Harvest Plots_rpt'!$B:$B,Stand_Biomass!$B13,'Pre-Harvest Plots_rpt'!T:T)/$C13)</f>
        <v/>
      </c>
      <c r="T13" s="122" t="str">
        <f>IF($B13="","",SUMIF('Pre-Harvest Plots_rpt'!$B:$B,Stand_Biomass!$B13,'Pre-Harvest Plots_rpt'!U:U)/$C13)</f>
        <v/>
      </c>
      <c r="U13" s="122" t="str">
        <f>IF($B13="","",SUMIF('Pre-Harvest Plots_rpt'!$B:$B,Stand_Biomass!$B13,'Pre-Harvest Plots_rpt'!V:V)/$C13)</f>
        <v/>
      </c>
      <c r="V13" s="123" t="str">
        <f t="array" ref="V13">IF($C13="","",IF($C13&gt;1,(STDEV(IF($B13='Pre-Harvest Plots_rpt'!$B$4:$B$855,IF(Q$3='Pre-Harvest Plots_rpt'!$F$3:$Y$3,'Pre-Harvest Plots_rpt'!$F$4:$Y$855)))/$C13^0.5)*1.96,"NA"))</f>
        <v/>
      </c>
      <c r="W13" s="123" t="str">
        <f>IF($B13="","",SUMIF('Pre-Harvest Plots_rpt'!$B:$B,Stand_Biomass!$B13,'Pre-Harvest Plots_rpt'!W:W)/$C13)</f>
        <v/>
      </c>
      <c r="X13" s="123" t="str">
        <f t="array" ref="X13">IF($C13="","",IF($C13&gt;1,(STDEV(IF($B13='Pre-Harvest Plots_rpt'!$B$4:$B$855,IF(W$3='Pre-Harvest Plots_rpt'!$F$3:$Y$3,'Pre-Harvest Plots_rpt'!$F$4:$Y$855)))/$C13^0.5)*1.96,"NA"))</f>
        <v/>
      </c>
      <c r="Y13" s="193" t="str">
        <f>IF($B13="","",SUMIF('Pre-Harvest Plots_rpt'!$B:$B,Stand_Biomass!$B13,'Pre-Harvest Plots_rpt'!X:X)/$C13)</f>
        <v/>
      </c>
      <c r="Z13" s="130"/>
      <c r="AA13" s="189" t="str">
        <f>IF($B13="","",SUMIF('Pre-Harvest Plots_rpt'!$B:$B,Stand_Biomass!$B13,'Pre-Harvest Plots_rpt'!Z:Z)/$C13)</f>
        <v/>
      </c>
      <c r="AB13" s="121" t="str">
        <f>IF($B13="","",SUMIF('Pre-Harvest Plots_rpt'!$B:$B,Stand_Biomass!$B13,'Pre-Harvest Plots_rpt'!AA:AA)/$C13)</f>
        <v/>
      </c>
      <c r="AC13" s="121" t="str">
        <f>IF($B13="","",SUMIF('Pre-Harvest Plots_rpt'!$B:$B,Stand_Biomass!$B13,'Pre-Harvest Plots_rpt'!AB:AB)/$C13)</f>
        <v/>
      </c>
      <c r="AD13" s="177" t="str">
        <f>IF($B13="","",SUMIF('Pre-Harvest Plots_rpt'!$B:$B,Stand_Biomass!$B13,'Pre-Harvest Plots_rpt'!AC:AC)/$C13)</f>
        <v/>
      </c>
      <c r="AE13" s="196" t="str">
        <f>IF($B13="","",SUMIF('Pre-Harvest Plots_rpt'!$B:$B,Stand_Biomass!$B13,'Pre-Harvest Plots_rpt'!AD:AD)/$C13)</f>
        <v/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2:47" x14ac:dyDescent="0.25">
      <c r="B14" s="171" t="str">
        <f>IF(Stand!C13="","",Stand!C13)</f>
        <v/>
      </c>
      <c r="C14" s="187" t="str">
        <f>IF($B14="","",VLOOKUP(B14,Stand!C:H,6,0))</f>
        <v/>
      </c>
      <c r="D14" s="130"/>
      <c r="E14" s="417" t="str">
        <f>IF($B14="","",SUMIF('Pre-Harvest Plots_rpt'!$B:$B,Stand_Biomass!$B14,'Pre-Harvest Plots_rpt'!$F:$F)/$C14)</f>
        <v/>
      </c>
      <c r="F14" s="123" t="str">
        <f>IF($B14="","",SUMIF('Pre-Harvest Plots_rpt'!$B:$B,Stand_Biomass!$B14,'Pre-Harvest Plots_rpt'!$G:$G)/$C14)</f>
        <v/>
      </c>
      <c r="G14" s="123" t="str">
        <f>IF($B14="","",SUMIF('Pre-Harvest Plots_rpt'!$B:$B,Stand_Biomass!$B14,'Pre-Harvest Plots_rpt'!$H:$H)/$C14)</f>
        <v/>
      </c>
      <c r="H14" s="418" t="str">
        <f>IF($B14="","",SUMIF('Pre-Harvest Plots_rpt'!$B:$B,Stand_Biomass!$B14,'Pre-Harvest Plots_rpt'!$I:$I)/$C14)</f>
        <v/>
      </c>
      <c r="I14" s="418" t="str">
        <f>IF($B14="","",SUMIF('Pre-Harvest Plots_rpt'!$B:$B,Stand_Biomass!$B14,'Pre-Harvest Plots_rpt'!$J:$J)/COUNTIFS('Pre-Harvest Plots_rpt'!$B:$B,Stand_Biomass!$B14,'Pre-Harvest Plots_rpt'!$J:$J,"&gt;"&amp;0))</f>
        <v/>
      </c>
      <c r="J14" s="418" t="str">
        <f>IF($B14="","",SUMIF('Pre-Harvest Plots_rpt'!$B:$B,Stand_Biomass!$B14,'Pre-Harvest Plots_rpt'!$K:$K)/$C14)</f>
        <v/>
      </c>
      <c r="K14" s="419" t="str">
        <f t="shared" si="1"/>
        <v/>
      </c>
      <c r="L14" s="135"/>
      <c r="M14" s="192" t="str">
        <f>IF($B14="","",SUMIF('Pre-Harvest Plots_rpt'!$B:$B,Stand_Biomass!$B14,'Pre-Harvest Plots_rpt'!N:N)/$C14)</f>
        <v/>
      </c>
      <c r="N14" s="122" t="str">
        <f>IF($B14="","",SUMIF('Pre-Harvest Plots_rpt'!$B:$B,Stand_Biomass!$B14,'Pre-Harvest Plots_rpt'!O:O)/$C14)</f>
        <v/>
      </c>
      <c r="O14" s="122" t="str">
        <f>IF($B14="","",SUMIF('Pre-Harvest Plots_rpt'!$B:$B,Stand_Biomass!$B14,'Pre-Harvest Plots_rpt'!P:P)/$C14)</f>
        <v/>
      </c>
      <c r="P14" s="122" t="str">
        <f>IF($B14="","",SUMIF('Pre-Harvest Plots_rpt'!$B:$B,Stand_Biomass!$B14,'Pre-Harvest Plots_rpt'!Q:Q)/$C14)</f>
        <v/>
      </c>
      <c r="Q14" s="123" t="str">
        <f>IF($B14="","",SUMIF('Pre-Harvest Plots_rpt'!$B:$B,Stand_Biomass!$B14,'Pre-Harvest Plots_rpt'!R:R)/$C14)</f>
        <v/>
      </c>
      <c r="R14" s="122" t="str">
        <f>IF($B14="","",SUMIF('Pre-Harvest Plots_rpt'!$B:$B,Stand_Biomass!$B14,'Pre-Harvest Plots_rpt'!S:S)/$C14)</f>
        <v/>
      </c>
      <c r="S14" s="122" t="str">
        <f>IF($B14="","",SUMIF('Pre-Harvest Plots_rpt'!$B:$B,Stand_Biomass!$B14,'Pre-Harvest Plots_rpt'!T:T)/$C14)</f>
        <v/>
      </c>
      <c r="T14" s="122" t="str">
        <f>IF($B14="","",SUMIF('Pre-Harvest Plots_rpt'!$B:$B,Stand_Biomass!$B14,'Pre-Harvest Plots_rpt'!U:U)/$C14)</f>
        <v/>
      </c>
      <c r="U14" s="122" t="str">
        <f>IF($B14="","",SUMIF('Pre-Harvest Plots_rpt'!$B:$B,Stand_Biomass!$B14,'Pre-Harvest Plots_rpt'!V:V)/$C14)</f>
        <v/>
      </c>
      <c r="V14" s="123" t="str">
        <f t="array" ref="V14">IF($C14="","",IF($C14&gt;1,(STDEV(IF($B14='Pre-Harvest Plots_rpt'!$B$4:$B$855,IF(Q$3='Pre-Harvest Plots_rpt'!$F$3:$Y$3,'Pre-Harvest Plots_rpt'!$F$4:$Y$855)))/$C14^0.5)*1.96,"NA"))</f>
        <v/>
      </c>
      <c r="W14" s="123" t="str">
        <f>IF($B14="","",SUMIF('Pre-Harvest Plots_rpt'!$B:$B,Stand_Biomass!$B14,'Pre-Harvest Plots_rpt'!W:W)/$C14)</f>
        <v/>
      </c>
      <c r="X14" s="123" t="str">
        <f t="array" ref="X14">IF($C14="","",IF($C14&gt;1,(STDEV(IF($B14='Pre-Harvest Plots_rpt'!$B$4:$B$855,IF(W$3='Pre-Harvest Plots_rpt'!$F$3:$Y$3,'Pre-Harvest Plots_rpt'!$F$4:$Y$855)))/$C14^0.5)*1.96,"NA"))</f>
        <v/>
      </c>
      <c r="Y14" s="193" t="str">
        <f>IF($B14="","",SUMIF('Pre-Harvest Plots_rpt'!$B:$B,Stand_Biomass!$B14,'Pre-Harvest Plots_rpt'!X:X)/$C14)</f>
        <v/>
      </c>
      <c r="Z14" s="130"/>
      <c r="AA14" s="189" t="str">
        <f>IF($B14="","",SUMIF('Pre-Harvest Plots_rpt'!$B:$B,Stand_Biomass!$B14,'Pre-Harvest Plots_rpt'!Z:Z)/$C14)</f>
        <v/>
      </c>
      <c r="AB14" s="121" t="str">
        <f>IF($B14="","",SUMIF('Pre-Harvest Plots_rpt'!$B:$B,Stand_Biomass!$B14,'Pre-Harvest Plots_rpt'!AA:AA)/$C14)</f>
        <v/>
      </c>
      <c r="AC14" s="121" t="str">
        <f>IF($B14="","",SUMIF('Pre-Harvest Plots_rpt'!$B:$B,Stand_Biomass!$B14,'Pre-Harvest Plots_rpt'!AB:AB)/$C14)</f>
        <v/>
      </c>
      <c r="AD14" s="177" t="str">
        <f>IF($B14="","",SUMIF('Pre-Harvest Plots_rpt'!$B:$B,Stand_Biomass!$B14,'Pre-Harvest Plots_rpt'!AC:AC)/$C14)</f>
        <v/>
      </c>
      <c r="AE14" s="196" t="str">
        <f>IF($B14="","",SUMIF('Pre-Harvest Plots_rpt'!$B:$B,Stand_Biomass!$B14,'Pre-Harvest Plots_rpt'!AD:AD)/$C14)</f>
        <v/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2:47" x14ac:dyDescent="0.25">
      <c r="B15" s="171" t="str">
        <f>IF(Stand!C14="","",Stand!C14)</f>
        <v/>
      </c>
      <c r="C15" s="187" t="str">
        <f>IF($B15="","",VLOOKUP(B15,Stand!C:H,6,0))</f>
        <v/>
      </c>
      <c r="D15" s="130"/>
      <c r="E15" s="417" t="str">
        <f>IF($B15="","",SUMIF('Pre-Harvest Plots_rpt'!$B:$B,Stand_Biomass!$B15,'Pre-Harvest Plots_rpt'!$F:$F)/$C15)</f>
        <v/>
      </c>
      <c r="F15" s="123" t="str">
        <f>IF($B15="","",SUMIF('Pre-Harvest Plots_rpt'!$B:$B,Stand_Biomass!$B15,'Pre-Harvest Plots_rpt'!$G:$G)/$C15)</f>
        <v/>
      </c>
      <c r="G15" s="123" t="str">
        <f>IF($B15="","",SUMIF('Pre-Harvest Plots_rpt'!$B:$B,Stand_Biomass!$B15,'Pre-Harvest Plots_rpt'!$H:$H)/$C15)</f>
        <v/>
      </c>
      <c r="H15" s="418" t="str">
        <f>IF($B15="","",SUMIF('Pre-Harvest Plots_rpt'!$B:$B,Stand_Biomass!$B15,'Pre-Harvest Plots_rpt'!$I:$I)/$C15)</f>
        <v/>
      </c>
      <c r="I15" s="418" t="str">
        <f>IF($B15="","",SUMIF('Pre-Harvest Plots_rpt'!$B:$B,Stand_Biomass!$B15,'Pre-Harvest Plots_rpt'!$J:$J)/COUNTIFS('Pre-Harvest Plots_rpt'!$B:$B,Stand_Biomass!$B15,'Pre-Harvest Plots_rpt'!$J:$J,"&gt;"&amp;0))</f>
        <v/>
      </c>
      <c r="J15" s="418" t="str">
        <f>IF($B15="","",SUMIF('Pre-Harvest Plots_rpt'!$B:$B,Stand_Biomass!$B15,'Pre-Harvest Plots_rpt'!$K:$K)/$C15)</f>
        <v/>
      </c>
      <c r="K15" s="419" t="str">
        <f t="shared" si="1"/>
        <v/>
      </c>
      <c r="L15" s="135"/>
      <c r="M15" s="192" t="str">
        <f>IF($B15="","",SUMIF('Pre-Harvest Plots_rpt'!$B:$B,Stand_Biomass!$B15,'Pre-Harvest Plots_rpt'!N:N)/$C15)</f>
        <v/>
      </c>
      <c r="N15" s="122" t="str">
        <f>IF($B15="","",SUMIF('Pre-Harvest Plots_rpt'!$B:$B,Stand_Biomass!$B15,'Pre-Harvest Plots_rpt'!O:O)/$C15)</f>
        <v/>
      </c>
      <c r="O15" s="122" t="str">
        <f>IF($B15="","",SUMIF('Pre-Harvest Plots_rpt'!$B:$B,Stand_Biomass!$B15,'Pre-Harvest Plots_rpt'!P:P)/$C15)</f>
        <v/>
      </c>
      <c r="P15" s="122" t="str">
        <f>IF($B15="","",SUMIF('Pre-Harvest Plots_rpt'!$B:$B,Stand_Biomass!$B15,'Pre-Harvest Plots_rpt'!Q:Q)/$C15)</f>
        <v/>
      </c>
      <c r="Q15" s="123" t="str">
        <f>IF($B15="","",SUMIF('Pre-Harvest Plots_rpt'!$B:$B,Stand_Biomass!$B15,'Pre-Harvest Plots_rpt'!R:R)/$C15)</f>
        <v/>
      </c>
      <c r="R15" s="122" t="str">
        <f>IF($B15="","",SUMIF('Pre-Harvest Plots_rpt'!$B:$B,Stand_Biomass!$B15,'Pre-Harvest Plots_rpt'!S:S)/$C15)</f>
        <v/>
      </c>
      <c r="S15" s="122" t="str">
        <f>IF($B15="","",SUMIF('Pre-Harvest Plots_rpt'!$B:$B,Stand_Biomass!$B15,'Pre-Harvest Plots_rpt'!T:T)/$C15)</f>
        <v/>
      </c>
      <c r="T15" s="122" t="str">
        <f>IF($B15="","",SUMIF('Pre-Harvest Plots_rpt'!$B:$B,Stand_Biomass!$B15,'Pre-Harvest Plots_rpt'!U:U)/$C15)</f>
        <v/>
      </c>
      <c r="U15" s="122" t="str">
        <f>IF($B15="","",SUMIF('Pre-Harvest Plots_rpt'!$B:$B,Stand_Biomass!$B15,'Pre-Harvest Plots_rpt'!V:V)/$C15)</f>
        <v/>
      </c>
      <c r="V15" s="123" t="str">
        <f t="array" ref="V15">IF($C15="","",IF($C15&gt;1,(STDEV(IF($B15='Pre-Harvest Plots_rpt'!$B$4:$B$855,IF(Q$3='Pre-Harvest Plots_rpt'!$F$3:$Y$3,'Pre-Harvest Plots_rpt'!$F$4:$Y$855)))/$C15^0.5)*1.96,"NA"))</f>
        <v/>
      </c>
      <c r="W15" s="123" t="str">
        <f>IF($B15="","",SUMIF('Pre-Harvest Plots_rpt'!$B:$B,Stand_Biomass!$B15,'Pre-Harvest Plots_rpt'!W:W)/$C15)</f>
        <v/>
      </c>
      <c r="X15" s="123" t="str">
        <f t="array" ref="X15">IF($C15="","",IF($C15&gt;1,(STDEV(IF($B15='Pre-Harvest Plots_rpt'!$B$4:$B$855,IF(W$3='Pre-Harvest Plots_rpt'!$F$3:$Y$3,'Pre-Harvest Plots_rpt'!$F$4:$Y$855)))/$C15^0.5)*1.96,"NA"))</f>
        <v/>
      </c>
      <c r="Y15" s="193" t="str">
        <f>IF($B15="","",SUMIF('Pre-Harvest Plots_rpt'!$B:$B,Stand_Biomass!$B15,'Pre-Harvest Plots_rpt'!X:X)/$C15)</f>
        <v/>
      </c>
      <c r="Z15" s="130"/>
      <c r="AA15" s="189" t="str">
        <f>IF($B15="","",SUMIF('Pre-Harvest Plots_rpt'!$B:$B,Stand_Biomass!$B15,'Pre-Harvest Plots_rpt'!Z:Z)/$C15)</f>
        <v/>
      </c>
      <c r="AB15" s="121" t="str">
        <f>IF($B15="","",SUMIF('Pre-Harvest Plots_rpt'!$B:$B,Stand_Biomass!$B15,'Pre-Harvest Plots_rpt'!AA:AA)/$C15)</f>
        <v/>
      </c>
      <c r="AC15" s="121" t="str">
        <f>IF($B15="","",SUMIF('Pre-Harvest Plots_rpt'!$B:$B,Stand_Biomass!$B15,'Pre-Harvest Plots_rpt'!AB:AB)/$C15)</f>
        <v/>
      </c>
      <c r="AD15" s="177" t="str">
        <f>IF($B15="","",SUMIF('Pre-Harvest Plots_rpt'!$B:$B,Stand_Biomass!$B15,'Pre-Harvest Plots_rpt'!AC:AC)/$C15)</f>
        <v/>
      </c>
      <c r="AE15" s="196" t="str">
        <f>IF($B15="","",SUMIF('Pre-Harvest Plots_rpt'!$B:$B,Stand_Biomass!$B15,'Pre-Harvest Plots_rpt'!AD:AD)/$C15)</f>
        <v/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</row>
    <row r="16" spans="2:47" x14ac:dyDescent="0.25">
      <c r="B16" s="171" t="str">
        <f>IF(Stand!C15="","",Stand!C15)</f>
        <v/>
      </c>
      <c r="C16" s="187" t="str">
        <f>IF($B16="","",VLOOKUP(B16,Stand!C:H,6,0))</f>
        <v/>
      </c>
      <c r="D16" s="130"/>
      <c r="E16" s="417" t="str">
        <f>IF($B16="","",SUMIF('Pre-Harvest Plots_rpt'!$B:$B,Stand_Biomass!$B16,'Pre-Harvest Plots_rpt'!$F:$F)/$C16)</f>
        <v/>
      </c>
      <c r="F16" s="123" t="str">
        <f>IF($B16="","",SUMIF('Pre-Harvest Plots_rpt'!$B:$B,Stand_Biomass!$B16,'Pre-Harvest Plots_rpt'!$G:$G)/$C16)</f>
        <v/>
      </c>
      <c r="G16" s="123" t="str">
        <f>IF($B16="","",SUMIF('Pre-Harvest Plots_rpt'!$B:$B,Stand_Biomass!$B16,'Pre-Harvest Plots_rpt'!$H:$H)/$C16)</f>
        <v/>
      </c>
      <c r="H16" s="418" t="str">
        <f>IF($B16="","",SUMIF('Pre-Harvest Plots_rpt'!$B:$B,Stand_Biomass!$B16,'Pre-Harvest Plots_rpt'!$I:$I)/$C16)</f>
        <v/>
      </c>
      <c r="I16" s="418" t="str">
        <f>IF($B16="","",SUMIF('Pre-Harvest Plots_rpt'!$B:$B,Stand_Biomass!$B16,'Pre-Harvest Plots_rpt'!$J:$J)/COUNTIFS('Pre-Harvest Plots_rpt'!$B:$B,Stand_Biomass!$B16,'Pre-Harvest Plots_rpt'!$J:$J,"&gt;"&amp;0))</f>
        <v/>
      </c>
      <c r="J16" s="418" t="str">
        <f>IF($B16="","",SUMIF('Pre-Harvest Plots_rpt'!$B:$B,Stand_Biomass!$B16,'Pre-Harvest Plots_rpt'!$K:$K)/$C16)</f>
        <v/>
      </c>
      <c r="K16" s="419" t="str">
        <f t="shared" si="1"/>
        <v/>
      </c>
      <c r="L16" s="135"/>
      <c r="M16" s="192" t="str">
        <f>IF($B16="","",SUMIF('Pre-Harvest Plots_rpt'!$B:$B,Stand_Biomass!$B16,'Pre-Harvest Plots_rpt'!N:N)/$C16)</f>
        <v/>
      </c>
      <c r="N16" s="122" t="str">
        <f>IF($B16="","",SUMIF('Pre-Harvest Plots_rpt'!$B:$B,Stand_Biomass!$B16,'Pre-Harvest Plots_rpt'!O:O)/$C16)</f>
        <v/>
      </c>
      <c r="O16" s="122" t="str">
        <f>IF($B16="","",SUMIF('Pre-Harvest Plots_rpt'!$B:$B,Stand_Biomass!$B16,'Pre-Harvest Plots_rpt'!P:P)/$C16)</f>
        <v/>
      </c>
      <c r="P16" s="122" t="str">
        <f>IF($B16="","",SUMIF('Pre-Harvest Plots_rpt'!$B:$B,Stand_Biomass!$B16,'Pre-Harvest Plots_rpt'!Q:Q)/$C16)</f>
        <v/>
      </c>
      <c r="Q16" s="123" t="str">
        <f>IF($B16="","",SUMIF('Pre-Harvest Plots_rpt'!$B:$B,Stand_Biomass!$B16,'Pre-Harvest Plots_rpt'!R:R)/$C16)</f>
        <v/>
      </c>
      <c r="R16" s="122" t="str">
        <f>IF($B16="","",SUMIF('Pre-Harvest Plots_rpt'!$B:$B,Stand_Biomass!$B16,'Pre-Harvest Plots_rpt'!S:S)/$C16)</f>
        <v/>
      </c>
      <c r="S16" s="122" t="str">
        <f>IF($B16="","",SUMIF('Pre-Harvest Plots_rpt'!$B:$B,Stand_Biomass!$B16,'Pre-Harvest Plots_rpt'!T:T)/$C16)</f>
        <v/>
      </c>
      <c r="T16" s="122" t="str">
        <f>IF($B16="","",SUMIF('Pre-Harvest Plots_rpt'!$B:$B,Stand_Biomass!$B16,'Pre-Harvest Plots_rpt'!U:U)/$C16)</f>
        <v/>
      </c>
      <c r="U16" s="122" t="str">
        <f>IF($B16="","",SUMIF('Pre-Harvest Plots_rpt'!$B:$B,Stand_Biomass!$B16,'Pre-Harvest Plots_rpt'!V:V)/$C16)</f>
        <v/>
      </c>
      <c r="V16" s="123" t="str">
        <f t="array" ref="V16">IF($C16="","",IF($C16&gt;1,(STDEV(IF($B16='Pre-Harvest Plots_rpt'!$B$4:$B$855,IF(Q$3='Pre-Harvest Plots_rpt'!$F$3:$Y$3,'Pre-Harvest Plots_rpt'!$F$4:$Y$855)))/$C16^0.5)*1.96,"NA"))</f>
        <v/>
      </c>
      <c r="W16" s="123" t="str">
        <f>IF($B16="","",SUMIF('Pre-Harvest Plots_rpt'!$B:$B,Stand_Biomass!$B16,'Pre-Harvest Plots_rpt'!W:W)/$C16)</f>
        <v/>
      </c>
      <c r="X16" s="123" t="str">
        <f t="array" ref="X16">IF($C16="","",IF($C16&gt;1,(STDEV(IF($B16='Pre-Harvest Plots_rpt'!$B$4:$B$855,IF(W$3='Pre-Harvest Plots_rpt'!$F$3:$Y$3,'Pre-Harvest Plots_rpt'!$F$4:$Y$855)))/$C16^0.5)*1.96,"NA"))</f>
        <v/>
      </c>
      <c r="Y16" s="193" t="str">
        <f>IF($B16="","",SUMIF('Pre-Harvest Plots_rpt'!$B:$B,Stand_Biomass!$B16,'Pre-Harvest Plots_rpt'!X:X)/$C16)</f>
        <v/>
      </c>
      <c r="Z16" s="130"/>
      <c r="AA16" s="189" t="str">
        <f>IF($B16="","",SUMIF('Pre-Harvest Plots_rpt'!$B:$B,Stand_Biomass!$B16,'Pre-Harvest Plots_rpt'!Z:Z)/$C16)</f>
        <v/>
      </c>
      <c r="AB16" s="121" t="str">
        <f>IF($B16="","",SUMIF('Pre-Harvest Plots_rpt'!$B:$B,Stand_Biomass!$B16,'Pre-Harvest Plots_rpt'!AA:AA)/$C16)</f>
        <v/>
      </c>
      <c r="AC16" s="121" t="str">
        <f>IF($B16="","",SUMIF('Pre-Harvest Plots_rpt'!$B:$B,Stand_Biomass!$B16,'Pre-Harvest Plots_rpt'!AB:AB)/$C16)</f>
        <v/>
      </c>
      <c r="AD16" s="177" t="str">
        <f>IF($B16="","",SUMIF('Pre-Harvest Plots_rpt'!$B:$B,Stand_Biomass!$B16,'Pre-Harvest Plots_rpt'!AC:AC)/$C16)</f>
        <v/>
      </c>
      <c r="AE16" s="196" t="str">
        <f>IF($B16="","",SUMIF('Pre-Harvest Plots_rpt'!$B:$B,Stand_Biomass!$B16,'Pre-Harvest Plots_rpt'!AD:AD)/$C16)</f>
        <v/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2:47" x14ac:dyDescent="0.25">
      <c r="B17" s="171" t="str">
        <f>IF(Stand!C16="","",Stand!C16)</f>
        <v/>
      </c>
      <c r="C17" s="187" t="str">
        <f>IF($B17="","",VLOOKUP(B17,Stand!C:H,6,0))</f>
        <v/>
      </c>
      <c r="D17" s="130"/>
      <c r="E17" s="417" t="str">
        <f>IF($B17="","",SUMIF('Pre-Harvest Plots_rpt'!$B:$B,Stand_Biomass!$B17,'Pre-Harvest Plots_rpt'!$F:$F)/$C17)</f>
        <v/>
      </c>
      <c r="F17" s="123" t="str">
        <f>IF($B17="","",SUMIF('Pre-Harvest Plots_rpt'!$B:$B,Stand_Biomass!$B17,'Pre-Harvest Plots_rpt'!$G:$G)/$C17)</f>
        <v/>
      </c>
      <c r="G17" s="123" t="str">
        <f>IF($B17="","",SUMIF('Pre-Harvest Plots_rpt'!$B:$B,Stand_Biomass!$B17,'Pre-Harvest Plots_rpt'!$H:$H)/$C17)</f>
        <v/>
      </c>
      <c r="H17" s="418" t="str">
        <f>IF($B17="","",SUMIF('Pre-Harvest Plots_rpt'!$B:$B,Stand_Biomass!$B17,'Pre-Harvest Plots_rpt'!$I:$I)/$C17)</f>
        <v/>
      </c>
      <c r="I17" s="418" t="str">
        <f>IF($B17="","",SUMIF('Pre-Harvest Plots_rpt'!$B:$B,Stand_Biomass!$B17,'Pre-Harvest Plots_rpt'!$J:$J)/COUNTIFS('Pre-Harvest Plots_rpt'!$B:$B,Stand_Biomass!$B17,'Pre-Harvest Plots_rpt'!$J:$J,"&gt;"&amp;0))</f>
        <v/>
      </c>
      <c r="J17" s="418" t="str">
        <f>IF($B17="","",SUMIF('Pre-Harvest Plots_rpt'!$B:$B,Stand_Biomass!$B17,'Pre-Harvest Plots_rpt'!$K:$K)/$C17)</f>
        <v/>
      </c>
      <c r="K17" s="419" t="str">
        <f t="shared" si="1"/>
        <v/>
      </c>
      <c r="L17" s="135"/>
      <c r="M17" s="192" t="str">
        <f>IF($B17="","",SUMIF('Pre-Harvest Plots_rpt'!$B:$B,Stand_Biomass!$B17,'Pre-Harvest Plots_rpt'!N:N)/$C17)</f>
        <v/>
      </c>
      <c r="N17" s="122" t="str">
        <f>IF($B17="","",SUMIF('Pre-Harvest Plots_rpt'!$B:$B,Stand_Biomass!$B17,'Pre-Harvest Plots_rpt'!O:O)/$C17)</f>
        <v/>
      </c>
      <c r="O17" s="122" t="str">
        <f>IF($B17="","",SUMIF('Pre-Harvest Plots_rpt'!$B:$B,Stand_Biomass!$B17,'Pre-Harvest Plots_rpt'!P:P)/$C17)</f>
        <v/>
      </c>
      <c r="P17" s="122" t="str">
        <f>IF($B17="","",SUMIF('Pre-Harvest Plots_rpt'!$B:$B,Stand_Biomass!$B17,'Pre-Harvest Plots_rpt'!Q:Q)/$C17)</f>
        <v/>
      </c>
      <c r="Q17" s="123" t="str">
        <f>IF($B17="","",SUMIF('Pre-Harvest Plots_rpt'!$B:$B,Stand_Biomass!$B17,'Pre-Harvest Plots_rpt'!R:R)/$C17)</f>
        <v/>
      </c>
      <c r="R17" s="122" t="str">
        <f>IF($B17="","",SUMIF('Pre-Harvest Plots_rpt'!$B:$B,Stand_Biomass!$B17,'Pre-Harvest Plots_rpt'!S:S)/$C17)</f>
        <v/>
      </c>
      <c r="S17" s="122" t="str">
        <f>IF($B17="","",SUMIF('Pre-Harvest Plots_rpt'!$B:$B,Stand_Biomass!$B17,'Pre-Harvest Plots_rpt'!T:T)/$C17)</f>
        <v/>
      </c>
      <c r="T17" s="122" t="str">
        <f>IF($B17="","",SUMIF('Pre-Harvest Plots_rpt'!$B:$B,Stand_Biomass!$B17,'Pre-Harvest Plots_rpt'!U:U)/$C17)</f>
        <v/>
      </c>
      <c r="U17" s="122" t="str">
        <f>IF($B17="","",SUMIF('Pre-Harvest Plots_rpt'!$B:$B,Stand_Biomass!$B17,'Pre-Harvest Plots_rpt'!V:V)/$C17)</f>
        <v/>
      </c>
      <c r="V17" s="123" t="str">
        <f t="array" ref="V17">IF($C17="","",IF($C17&gt;1,(STDEV(IF($B17='Pre-Harvest Plots_rpt'!$B$4:$B$855,IF(Q$3='Pre-Harvest Plots_rpt'!$F$3:$Y$3,'Pre-Harvest Plots_rpt'!$F$4:$Y$855)))/$C17^0.5)*1.96,"NA"))</f>
        <v/>
      </c>
      <c r="W17" s="123" t="str">
        <f>IF($B17="","",SUMIF('Pre-Harvest Plots_rpt'!$B:$B,Stand_Biomass!$B17,'Pre-Harvest Plots_rpt'!W:W)/$C17)</f>
        <v/>
      </c>
      <c r="X17" s="123" t="str">
        <f t="array" ref="X17">IF($C17="","",IF($C17&gt;1,(STDEV(IF($B17='Pre-Harvest Plots_rpt'!$B$4:$B$855,IF(W$3='Pre-Harvest Plots_rpt'!$F$3:$Y$3,'Pre-Harvest Plots_rpt'!$F$4:$Y$855)))/$C17^0.5)*1.96,"NA"))</f>
        <v/>
      </c>
      <c r="Y17" s="193" t="str">
        <f>IF($B17="","",SUMIF('Pre-Harvest Plots_rpt'!$B:$B,Stand_Biomass!$B17,'Pre-Harvest Plots_rpt'!X:X)/$C17)</f>
        <v/>
      </c>
      <c r="Z17" s="130"/>
      <c r="AA17" s="189" t="str">
        <f>IF($B17="","",SUMIF('Pre-Harvest Plots_rpt'!$B:$B,Stand_Biomass!$B17,'Pre-Harvest Plots_rpt'!Z:Z)/$C17)</f>
        <v/>
      </c>
      <c r="AB17" s="121" t="str">
        <f>IF($B17="","",SUMIF('Pre-Harvest Plots_rpt'!$B:$B,Stand_Biomass!$B17,'Pre-Harvest Plots_rpt'!AA:AA)/$C17)</f>
        <v/>
      </c>
      <c r="AC17" s="121" t="str">
        <f>IF($B17="","",SUMIF('Pre-Harvest Plots_rpt'!$B:$B,Stand_Biomass!$B17,'Pre-Harvest Plots_rpt'!AB:AB)/$C17)</f>
        <v/>
      </c>
      <c r="AD17" s="177" t="str">
        <f>IF($B17="","",SUMIF('Pre-Harvest Plots_rpt'!$B:$B,Stand_Biomass!$B17,'Pre-Harvest Plots_rpt'!AC:AC)/$C17)</f>
        <v/>
      </c>
      <c r="AE17" s="196" t="str">
        <f>IF($B17="","",SUMIF('Pre-Harvest Plots_rpt'!$B:$B,Stand_Biomass!$B17,'Pre-Harvest Plots_rpt'!AD:AD)/$C17)</f>
        <v/>
      </c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2:47" x14ac:dyDescent="0.25">
      <c r="B18" s="171" t="str">
        <f>IF(Stand!C17="","",Stand!C17)</f>
        <v/>
      </c>
      <c r="C18" s="187" t="str">
        <f>IF($B18="","",VLOOKUP(B18,Stand!C:H,6,0))</f>
        <v/>
      </c>
      <c r="D18" s="130"/>
      <c r="E18" s="417" t="str">
        <f>IF($B18="","",SUMIF('Pre-Harvest Plots_rpt'!$B:$B,Stand_Biomass!$B18,'Pre-Harvest Plots_rpt'!$F:$F)/$C18)</f>
        <v/>
      </c>
      <c r="F18" s="123" t="str">
        <f>IF($B18="","",SUMIF('Pre-Harvest Plots_rpt'!$B:$B,Stand_Biomass!$B18,'Pre-Harvest Plots_rpt'!$G:$G)/$C18)</f>
        <v/>
      </c>
      <c r="G18" s="123" t="str">
        <f>IF($B18="","",SUMIF('Pre-Harvest Plots_rpt'!$B:$B,Stand_Biomass!$B18,'Pre-Harvest Plots_rpt'!$H:$H)/$C18)</f>
        <v/>
      </c>
      <c r="H18" s="418" t="str">
        <f>IF($B18="","",SUMIF('Pre-Harvest Plots_rpt'!$B:$B,Stand_Biomass!$B18,'Pre-Harvest Plots_rpt'!$I:$I)/$C18)</f>
        <v/>
      </c>
      <c r="I18" s="418" t="str">
        <f>IF($B18="","",SUMIF('Pre-Harvest Plots_rpt'!$B:$B,Stand_Biomass!$B18,'Pre-Harvest Plots_rpt'!$J:$J)/COUNTIFS('Pre-Harvest Plots_rpt'!$B:$B,Stand_Biomass!$B18,'Pre-Harvest Plots_rpt'!$J:$J,"&gt;"&amp;0))</f>
        <v/>
      </c>
      <c r="J18" s="418" t="str">
        <f>IF($B18="","",SUMIF('Pre-Harvest Plots_rpt'!$B:$B,Stand_Biomass!$B18,'Pre-Harvest Plots_rpt'!$K:$K)/$C18)</f>
        <v/>
      </c>
      <c r="K18" s="419" t="str">
        <f t="shared" si="1"/>
        <v/>
      </c>
      <c r="L18" s="135"/>
      <c r="M18" s="192" t="str">
        <f>IF($B18="","",SUMIF('Pre-Harvest Plots_rpt'!$B:$B,Stand_Biomass!$B18,'Pre-Harvest Plots_rpt'!N:N)/$C18)</f>
        <v/>
      </c>
      <c r="N18" s="122" t="str">
        <f>IF($B18="","",SUMIF('Pre-Harvest Plots_rpt'!$B:$B,Stand_Biomass!$B18,'Pre-Harvest Plots_rpt'!O:O)/$C18)</f>
        <v/>
      </c>
      <c r="O18" s="122" t="str">
        <f>IF($B18="","",SUMIF('Pre-Harvest Plots_rpt'!$B:$B,Stand_Biomass!$B18,'Pre-Harvest Plots_rpt'!P:P)/$C18)</f>
        <v/>
      </c>
      <c r="P18" s="122" t="str">
        <f>IF($B18="","",SUMIF('Pre-Harvest Plots_rpt'!$B:$B,Stand_Biomass!$B18,'Pre-Harvest Plots_rpt'!Q:Q)/$C18)</f>
        <v/>
      </c>
      <c r="Q18" s="123" t="str">
        <f>IF($B18="","",SUMIF('Pre-Harvest Plots_rpt'!$B:$B,Stand_Biomass!$B18,'Pre-Harvest Plots_rpt'!R:R)/$C18)</f>
        <v/>
      </c>
      <c r="R18" s="122" t="str">
        <f>IF($B18="","",SUMIF('Pre-Harvest Plots_rpt'!$B:$B,Stand_Biomass!$B18,'Pre-Harvest Plots_rpt'!S:S)/$C18)</f>
        <v/>
      </c>
      <c r="S18" s="122" t="str">
        <f>IF($B18="","",SUMIF('Pre-Harvest Plots_rpt'!$B:$B,Stand_Biomass!$B18,'Pre-Harvest Plots_rpt'!T:T)/$C18)</f>
        <v/>
      </c>
      <c r="T18" s="122" t="str">
        <f>IF($B18="","",SUMIF('Pre-Harvest Plots_rpt'!$B:$B,Stand_Biomass!$B18,'Pre-Harvest Plots_rpt'!U:U)/$C18)</f>
        <v/>
      </c>
      <c r="U18" s="122" t="str">
        <f>IF($B18="","",SUMIF('Pre-Harvest Plots_rpt'!$B:$B,Stand_Biomass!$B18,'Pre-Harvest Plots_rpt'!V:V)/$C18)</f>
        <v/>
      </c>
      <c r="V18" s="123" t="str">
        <f t="array" ref="V18">IF($C18="","",IF($C18&gt;1,(STDEV(IF($B18='Pre-Harvest Plots_rpt'!$B$4:$B$855,IF(Q$3='Pre-Harvest Plots_rpt'!$F$3:$Y$3,'Pre-Harvest Plots_rpt'!$F$4:$Y$855)))/$C18^0.5)*1.96,"NA"))</f>
        <v/>
      </c>
      <c r="W18" s="123" t="str">
        <f>IF($B18="","",SUMIF('Pre-Harvest Plots_rpt'!$B:$B,Stand_Biomass!$B18,'Pre-Harvest Plots_rpt'!W:W)/$C18)</f>
        <v/>
      </c>
      <c r="X18" s="123" t="str">
        <f t="array" ref="X18">IF($C18="","",IF($C18&gt;1,(STDEV(IF($B18='Pre-Harvest Plots_rpt'!$B$4:$B$855,IF(W$3='Pre-Harvest Plots_rpt'!$F$3:$Y$3,'Pre-Harvest Plots_rpt'!$F$4:$Y$855)))/$C18^0.5)*1.96,"NA"))</f>
        <v/>
      </c>
      <c r="Y18" s="193" t="str">
        <f>IF($B18="","",SUMIF('Pre-Harvest Plots_rpt'!$B:$B,Stand_Biomass!$B18,'Pre-Harvest Plots_rpt'!X:X)/$C18)</f>
        <v/>
      </c>
      <c r="Z18" s="130"/>
      <c r="AA18" s="189" t="str">
        <f>IF($B18="","",SUMIF('Pre-Harvest Plots_rpt'!$B:$B,Stand_Biomass!$B18,'Pre-Harvest Plots_rpt'!Z:Z)/$C18)</f>
        <v/>
      </c>
      <c r="AB18" s="121" t="str">
        <f>IF($B18="","",SUMIF('Pre-Harvest Plots_rpt'!$B:$B,Stand_Biomass!$B18,'Pre-Harvest Plots_rpt'!AA:AA)/$C18)</f>
        <v/>
      </c>
      <c r="AC18" s="121" t="str">
        <f>IF($B18="","",SUMIF('Pre-Harvest Plots_rpt'!$B:$B,Stand_Biomass!$B18,'Pre-Harvest Plots_rpt'!AB:AB)/$C18)</f>
        <v/>
      </c>
      <c r="AD18" s="177" t="str">
        <f>IF($B18="","",SUMIF('Pre-Harvest Plots_rpt'!$B:$B,Stand_Biomass!$B18,'Pre-Harvest Plots_rpt'!AC:AC)/$C18)</f>
        <v/>
      </c>
      <c r="AE18" s="196" t="str">
        <f>IF($B18="","",SUMIF('Pre-Harvest Plots_rpt'!$B:$B,Stand_Biomass!$B18,'Pre-Harvest Plots_rpt'!AD:AD)/$C18)</f>
        <v/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2:47" x14ac:dyDescent="0.25">
      <c r="B19" s="171" t="str">
        <f>IF(Stand!C18="","",Stand!C18)</f>
        <v/>
      </c>
      <c r="C19" s="187" t="str">
        <f>IF($B19="","",VLOOKUP(B19,Stand!C:H,6,0))</f>
        <v/>
      </c>
      <c r="D19" s="130"/>
      <c r="E19" s="417" t="str">
        <f>IF($B19="","",SUMIF('Pre-Harvest Plots_rpt'!$B:$B,Stand_Biomass!$B19,'Pre-Harvest Plots_rpt'!$F:$F)/$C19)</f>
        <v/>
      </c>
      <c r="F19" s="123" t="str">
        <f>IF($B19="","",SUMIF('Pre-Harvest Plots_rpt'!$B:$B,Stand_Biomass!$B19,'Pre-Harvest Plots_rpt'!$G:$G)/$C19)</f>
        <v/>
      </c>
      <c r="G19" s="123" t="str">
        <f>IF($B19="","",SUMIF('Pre-Harvest Plots_rpt'!$B:$B,Stand_Biomass!$B19,'Pre-Harvest Plots_rpt'!$H:$H)/$C19)</f>
        <v/>
      </c>
      <c r="H19" s="418" t="str">
        <f>IF($B19="","",SUMIF('Pre-Harvest Plots_rpt'!$B:$B,Stand_Biomass!$B19,'Pre-Harvest Plots_rpt'!$I:$I)/$C19)</f>
        <v/>
      </c>
      <c r="I19" s="418" t="str">
        <f>IF($B19="","",SUMIF('Pre-Harvest Plots_rpt'!$B:$B,Stand_Biomass!$B19,'Pre-Harvest Plots_rpt'!$J:$J)/COUNTIFS('Pre-Harvest Plots_rpt'!$B:$B,Stand_Biomass!$B19,'Pre-Harvest Plots_rpt'!$J:$J,"&gt;"&amp;0))</f>
        <v/>
      </c>
      <c r="J19" s="418" t="str">
        <f>IF($B19="","",SUMIF('Pre-Harvest Plots_rpt'!$B:$B,Stand_Biomass!$B19,'Pre-Harvest Plots_rpt'!$K:$K)/$C19)</f>
        <v/>
      </c>
      <c r="K19" s="419" t="str">
        <f t="shared" si="1"/>
        <v/>
      </c>
      <c r="L19" s="135"/>
      <c r="M19" s="192" t="str">
        <f>IF($B19="","",SUMIF('Pre-Harvest Plots_rpt'!$B:$B,Stand_Biomass!$B19,'Pre-Harvest Plots_rpt'!N:N)/$C19)</f>
        <v/>
      </c>
      <c r="N19" s="122" t="str">
        <f>IF($B19="","",SUMIF('Pre-Harvest Plots_rpt'!$B:$B,Stand_Biomass!$B19,'Pre-Harvest Plots_rpt'!O:O)/$C19)</f>
        <v/>
      </c>
      <c r="O19" s="122" t="str">
        <f>IF($B19="","",SUMIF('Pre-Harvest Plots_rpt'!$B:$B,Stand_Biomass!$B19,'Pre-Harvest Plots_rpt'!P:P)/$C19)</f>
        <v/>
      </c>
      <c r="P19" s="122" t="str">
        <f>IF($B19="","",SUMIF('Pre-Harvest Plots_rpt'!$B:$B,Stand_Biomass!$B19,'Pre-Harvest Plots_rpt'!Q:Q)/$C19)</f>
        <v/>
      </c>
      <c r="Q19" s="123" t="str">
        <f>IF($B19="","",SUMIF('Pre-Harvest Plots_rpt'!$B:$B,Stand_Biomass!$B19,'Pre-Harvest Plots_rpt'!R:R)/$C19)</f>
        <v/>
      </c>
      <c r="R19" s="122" t="str">
        <f>IF($B19="","",SUMIF('Pre-Harvest Plots_rpt'!$B:$B,Stand_Biomass!$B19,'Pre-Harvest Plots_rpt'!S:S)/$C19)</f>
        <v/>
      </c>
      <c r="S19" s="122" t="str">
        <f>IF($B19="","",SUMIF('Pre-Harvest Plots_rpt'!$B:$B,Stand_Biomass!$B19,'Pre-Harvest Plots_rpt'!T:T)/$C19)</f>
        <v/>
      </c>
      <c r="T19" s="122" t="str">
        <f>IF($B19="","",SUMIF('Pre-Harvest Plots_rpt'!$B:$B,Stand_Biomass!$B19,'Pre-Harvest Plots_rpt'!U:U)/$C19)</f>
        <v/>
      </c>
      <c r="U19" s="122" t="str">
        <f>IF($B19="","",SUMIF('Pre-Harvest Plots_rpt'!$B:$B,Stand_Biomass!$B19,'Pre-Harvest Plots_rpt'!V:V)/$C19)</f>
        <v/>
      </c>
      <c r="V19" s="123" t="str">
        <f t="array" ref="V19">IF($C19="","",IF($C19&gt;1,(STDEV(IF($B19='Pre-Harvest Plots_rpt'!$B$4:$B$855,IF(Q$3='Pre-Harvest Plots_rpt'!$F$3:$Y$3,'Pre-Harvest Plots_rpt'!$F$4:$Y$855)))/$C19^0.5)*1.96,"NA"))</f>
        <v/>
      </c>
      <c r="W19" s="123" t="str">
        <f>IF($B19="","",SUMIF('Pre-Harvest Plots_rpt'!$B:$B,Stand_Biomass!$B19,'Pre-Harvest Plots_rpt'!W:W)/$C19)</f>
        <v/>
      </c>
      <c r="X19" s="123" t="str">
        <f t="array" ref="X19">IF($C19="","",IF($C19&gt;1,(STDEV(IF($B19='Pre-Harvest Plots_rpt'!$B$4:$B$855,IF(W$3='Pre-Harvest Plots_rpt'!$F$3:$Y$3,'Pre-Harvest Plots_rpt'!$F$4:$Y$855)))/$C19^0.5)*1.96,"NA"))</f>
        <v/>
      </c>
      <c r="Y19" s="193" t="str">
        <f>IF($B19="","",SUMIF('Pre-Harvest Plots_rpt'!$B:$B,Stand_Biomass!$B19,'Pre-Harvest Plots_rpt'!X:X)/$C19)</f>
        <v/>
      </c>
      <c r="Z19" s="130"/>
      <c r="AA19" s="189" t="str">
        <f>IF($B19="","",SUMIF('Pre-Harvest Plots_rpt'!$B:$B,Stand_Biomass!$B19,'Pre-Harvest Plots_rpt'!Z:Z)/$C19)</f>
        <v/>
      </c>
      <c r="AB19" s="121" t="str">
        <f>IF($B19="","",SUMIF('Pre-Harvest Plots_rpt'!$B:$B,Stand_Biomass!$B19,'Pre-Harvest Plots_rpt'!AA:AA)/$C19)</f>
        <v/>
      </c>
      <c r="AC19" s="121" t="str">
        <f>IF($B19="","",SUMIF('Pre-Harvest Plots_rpt'!$B:$B,Stand_Biomass!$B19,'Pre-Harvest Plots_rpt'!AB:AB)/$C19)</f>
        <v/>
      </c>
      <c r="AD19" s="177" t="str">
        <f>IF($B19="","",SUMIF('Pre-Harvest Plots_rpt'!$B:$B,Stand_Biomass!$B19,'Pre-Harvest Plots_rpt'!AC:AC)/$C19)</f>
        <v/>
      </c>
      <c r="AE19" s="196" t="str">
        <f>IF($B19="","",SUMIF('Pre-Harvest Plots_rpt'!$B:$B,Stand_Biomass!$B19,'Pre-Harvest Plots_rpt'!AD:AD)/$C19)</f>
        <v/>
      </c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2:47" x14ac:dyDescent="0.25">
      <c r="B20" s="171" t="str">
        <f>IF(Stand!C19="","",Stand!C19)</f>
        <v/>
      </c>
      <c r="C20" s="187" t="str">
        <f>IF($B20="","",VLOOKUP(B20,Stand!C:H,6,0))</f>
        <v/>
      </c>
      <c r="D20" s="130"/>
      <c r="E20" s="417" t="str">
        <f>IF($B20="","",SUMIF('Pre-Harvest Plots_rpt'!$B:$B,Stand_Biomass!$B20,'Pre-Harvest Plots_rpt'!$F:$F)/$C20)</f>
        <v/>
      </c>
      <c r="F20" s="123" t="str">
        <f>IF($B20="","",SUMIF('Pre-Harvest Plots_rpt'!$B:$B,Stand_Biomass!$B20,'Pre-Harvest Plots_rpt'!$G:$G)/$C20)</f>
        <v/>
      </c>
      <c r="G20" s="123" t="str">
        <f>IF($B20="","",SUMIF('Pre-Harvest Plots_rpt'!$B:$B,Stand_Biomass!$B20,'Pre-Harvest Plots_rpt'!$H:$H)/$C20)</f>
        <v/>
      </c>
      <c r="H20" s="418" t="str">
        <f>IF($B20="","",SUMIF('Pre-Harvest Plots_rpt'!$B:$B,Stand_Biomass!$B20,'Pre-Harvest Plots_rpt'!$I:$I)/$C20)</f>
        <v/>
      </c>
      <c r="I20" s="418" t="str">
        <f>IF($B20="","",SUMIF('Pre-Harvest Plots_rpt'!$B:$B,Stand_Biomass!$B20,'Pre-Harvest Plots_rpt'!$J:$J)/COUNTIFS('Pre-Harvest Plots_rpt'!$B:$B,Stand_Biomass!$B20,'Pre-Harvest Plots_rpt'!$J:$J,"&gt;"&amp;0))</f>
        <v/>
      </c>
      <c r="J20" s="418" t="str">
        <f>IF($B20="","",SUMIF('Pre-Harvest Plots_rpt'!$B:$B,Stand_Biomass!$B20,'Pre-Harvest Plots_rpt'!$K:$K)/$C20)</f>
        <v/>
      </c>
      <c r="K20" s="419" t="str">
        <f t="shared" si="1"/>
        <v/>
      </c>
      <c r="L20" s="135"/>
      <c r="M20" s="192" t="str">
        <f>IF($B20="","",SUMIF('Pre-Harvest Plots_rpt'!$B:$B,Stand_Biomass!$B20,'Pre-Harvest Plots_rpt'!N:N)/$C20)</f>
        <v/>
      </c>
      <c r="N20" s="122" t="str">
        <f>IF($B20="","",SUMIF('Pre-Harvest Plots_rpt'!$B:$B,Stand_Biomass!$B20,'Pre-Harvest Plots_rpt'!O:O)/$C20)</f>
        <v/>
      </c>
      <c r="O20" s="122" t="str">
        <f>IF($B20="","",SUMIF('Pre-Harvest Plots_rpt'!$B:$B,Stand_Biomass!$B20,'Pre-Harvest Plots_rpt'!P:P)/$C20)</f>
        <v/>
      </c>
      <c r="P20" s="122" t="str">
        <f>IF($B20="","",SUMIF('Pre-Harvest Plots_rpt'!$B:$B,Stand_Biomass!$B20,'Pre-Harvest Plots_rpt'!Q:Q)/$C20)</f>
        <v/>
      </c>
      <c r="Q20" s="123" t="str">
        <f>IF($B20="","",SUMIF('Pre-Harvest Plots_rpt'!$B:$B,Stand_Biomass!$B20,'Pre-Harvest Plots_rpt'!R:R)/$C20)</f>
        <v/>
      </c>
      <c r="R20" s="122" t="str">
        <f>IF($B20="","",SUMIF('Pre-Harvest Plots_rpt'!$B:$B,Stand_Biomass!$B20,'Pre-Harvest Plots_rpt'!S:S)/$C20)</f>
        <v/>
      </c>
      <c r="S20" s="122" t="str">
        <f>IF($B20="","",SUMIF('Pre-Harvest Plots_rpt'!$B:$B,Stand_Biomass!$B20,'Pre-Harvest Plots_rpt'!T:T)/$C20)</f>
        <v/>
      </c>
      <c r="T20" s="122" t="str">
        <f>IF($B20="","",SUMIF('Pre-Harvest Plots_rpt'!$B:$B,Stand_Biomass!$B20,'Pre-Harvest Plots_rpt'!U:U)/$C20)</f>
        <v/>
      </c>
      <c r="U20" s="122" t="str">
        <f>IF($B20="","",SUMIF('Pre-Harvest Plots_rpt'!$B:$B,Stand_Biomass!$B20,'Pre-Harvest Plots_rpt'!V:V)/$C20)</f>
        <v/>
      </c>
      <c r="V20" s="123" t="str">
        <f t="array" ref="V20">IF($C20="","",IF($C20&gt;1,(STDEV(IF($B20='Pre-Harvest Plots_rpt'!$B$4:$B$855,IF(Q$3='Pre-Harvest Plots_rpt'!$F$3:$Y$3,'Pre-Harvest Plots_rpt'!$F$4:$Y$855)))/$C20^0.5)*1.96,"NA"))</f>
        <v/>
      </c>
      <c r="W20" s="123" t="str">
        <f>IF($B20="","",SUMIF('Pre-Harvest Plots_rpt'!$B:$B,Stand_Biomass!$B20,'Pre-Harvest Plots_rpt'!W:W)/$C20)</f>
        <v/>
      </c>
      <c r="X20" s="123" t="str">
        <f t="array" ref="X20">IF($C20="","",IF($C20&gt;1,(STDEV(IF($B20='Pre-Harvest Plots_rpt'!$B$4:$B$855,IF(W$3='Pre-Harvest Plots_rpt'!$F$3:$Y$3,'Pre-Harvest Plots_rpt'!$F$4:$Y$855)))/$C20^0.5)*1.96,"NA"))</f>
        <v/>
      </c>
      <c r="Y20" s="193" t="str">
        <f>IF($B20="","",SUMIF('Pre-Harvest Plots_rpt'!$B:$B,Stand_Biomass!$B20,'Pre-Harvest Plots_rpt'!X:X)/$C20)</f>
        <v/>
      </c>
      <c r="Z20" s="130"/>
      <c r="AA20" s="189" t="str">
        <f>IF($B20="","",SUMIF('Pre-Harvest Plots_rpt'!$B:$B,Stand_Biomass!$B20,'Pre-Harvest Plots_rpt'!Z:Z)/$C20)</f>
        <v/>
      </c>
      <c r="AB20" s="121" t="str">
        <f>IF($B20="","",SUMIF('Pre-Harvest Plots_rpt'!$B:$B,Stand_Biomass!$B20,'Pre-Harvest Plots_rpt'!AA:AA)/$C20)</f>
        <v/>
      </c>
      <c r="AC20" s="121" t="str">
        <f>IF($B20="","",SUMIF('Pre-Harvest Plots_rpt'!$B:$B,Stand_Biomass!$B20,'Pre-Harvest Plots_rpt'!AB:AB)/$C20)</f>
        <v/>
      </c>
      <c r="AD20" s="177" t="str">
        <f>IF($B20="","",SUMIF('Pre-Harvest Plots_rpt'!$B:$B,Stand_Biomass!$B20,'Pre-Harvest Plots_rpt'!AC:AC)/$C20)</f>
        <v/>
      </c>
      <c r="AE20" s="196" t="str">
        <f>IF($B20="","",SUMIF('Pre-Harvest Plots_rpt'!$B:$B,Stand_Biomass!$B20,'Pre-Harvest Plots_rpt'!AD:AD)/$C20)</f>
        <v/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2:47" x14ac:dyDescent="0.25">
      <c r="B21" s="171" t="str">
        <f>IF(Stand!C20="","",Stand!C20)</f>
        <v/>
      </c>
      <c r="C21" s="187" t="str">
        <f>IF($B21="","",VLOOKUP(B21,Stand!C:H,6,0))</f>
        <v/>
      </c>
      <c r="D21" s="130"/>
      <c r="E21" s="417" t="str">
        <f>IF($B21="","",SUMIF('Pre-Harvest Plots_rpt'!$B:$B,Stand_Biomass!$B21,'Pre-Harvest Plots_rpt'!$F:$F)/$C21)</f>
        <v/>
      </c>
      <c r="F21" s="123" t="str">
        <f>IF($B21="","",SUMIF('Pre-Harvest Plots_rpt'!$B:$B,Stand_Biomass!$B21,'Pre-Harvest Plots_rpt'!$G:$G)/$C21)</f>
        <v/>
      </c>
      <c r="G21" s="123" t="str">
        <f>IF($B21="","",SUMIF('Pre-Harvest Plots_rpt'!$B:$B,Stand_Biomass!$B21,'Pre-Harvest Plots_rpt'!$H:$H)/$C21)</f>
        <v/>
      </c>
      <c r="H21" s="418" t="str">
        <f>IF($B21="","",SUMIF('Pre-Harvest Plots_rpt'!$B:$B,Stand_Biomass!$B21,'Pre-Harvest Plots_rpt'!$I:$I)/$C21)</f>
        <v/>
      </c>
      <c r="I21" s="418" t="str">
        <f>IF($B21="","",SUMIF('Pre-Harvest Plots_rpt'!$B:$B,Stand_Biomass!$B21,'Pre-Harvest Plots_rpt'!$J:$J)/COUNTIFS('Pre-Harvest Plots_rpt'!$B:$B,Stand_Biomass!$B21,'Pre-Harvest Plots_rpt'!$J:$J,"&gt;"&amp;0))</f>
        <v/>
      </c>
      <c r="J21" s="418" t="str">
        <f>IF($B21="","",SUMIF('Pre-Harvest Plots_rpt'!$B:$B,Stand_Biomass!$B21,'Pre-Harvest Plots_rpt'!$K:$K)/$C21)</f>
        <v/>
      </c>
      <c r="K21" s="419" t="str">
        <f t="shared" si="1"/>
        <v/>
      </c>
      <c r="L21" s="135"/>
      <c r="M21" s="192" t="str">
        <f>IF($B21="","",SUMIF('Pre-Harvest Plots_rpt'!$B:$B,Stand_Biomass!$B21,'Pre-Harvest Plots_rpt'!N:N)/$C21)</f>
        <v/>
      </c>
      <c r="N21" s="122" t="str">
        <f>IF($B21="","",SUMIF('Pre-Harvest Plots_rpt'!$B:$B,Stand_Biomass!$B21,'Pre-Harvest Plots_rpt'!O:O)/$C21)</f>
        <v/>
      </c>
      <c r="O21" s="122" t="str">
        <f>IF($B21="","",SUMIF('Pre-Harvest Plots_rpt'!$B:$B,Stand_Biomass!$B21,'Pre-Harvest Plots_rpt'!P:P)/$C21)</f>
        <v/>
      </c>
      <c r="P21" s="122" t="str">
        <f>IF($B21="","",SUMIF('Pre-Harvest Plots_rpt'!$B:$B,Stand_Biomass!$B21,'Pre-Harvest Plots_rpt'!Q:Q)/$C21)</f>
        <v/>
      </c>
      <c r="Q21" s="123" t="str">
        <f>IF($B21="","",SUMIF('Pre-Harvest Plots_rpt'!$B:$B,Stand_Biomass!$B21,'Pre-Harvest Plots_rpt'!R:R)/$C21)</f>
        <v/>
      </c>
      <c r="R21" s="122" t="str">
        <f>IF($B21="","",SUMIF('Pre-Harvest Plots_rpt'!$B:$B,Stand_Biomass!$B21,'Pre-Harvest Plots_rpt'!S:S)/$C21)</f>
        <v/>
      </c>
      <c r="S21" s="122" t="str">
        <f>IF($B21="","",SUMIF('Pre-Harvest Plots_rpt'!$B:$B,Stand_Biomass!$B21,'Pre-Harvest Plots_rpt'!T:T)/$C21)</f>
        <v/>
      </c>
      <c r="T21" s="122" t="str">
        <f>IF($B21="","",SUMIF('Pre-Harvest Plots_rpt'!$B:$B,Stand_Biomass!$B21,'Pre-Harvest Plots_rpt'!U:U)/$C21)</f>
        <v/>
      </c>
      <c r="U21" s="122" t="str">
        <f>IF($B21="","",SUMIF('Pre-Harvest Plots_rpt'!$B:$B,Stand_Biomass!$B21,'Pre-Harvest Plots_rpt'!V:V)/$C21)</f>
        <v/>
      </c>
      <c r="V21" s="123" t="str">
        <f t="array" ref="V21">IF($C21="","",IF($C21&gt;1,(STDEV(IF($B21='Pre-Harvest Plots_rpt'!$B$4:$B$855,IF(Q$3='Pre-Harvest Plots_rpt'!$F$3:$Y$3,'Pre-Harvest Plots_rpt'!$F$4:$Y$855)))/$C21^0.5)*1.96,"NA"))</f>
        <v/>
      </c>
      <c r="W21" s="123" t="str">
        <f>IF($B21="","",SUMIF('Pre-Harvest Plots_rpt'!$B:$B,Stand_Biomass!$B21,'Pre-Harvest Plots_rpt'!W:W)/$C21)</f>
        <v/>
      </c>
      <c r="X21" s="123" t="str">
        <f t="array" ref="X21">IF($C21="","",IF($C21&gt;1,(STDEV(IF($B21='Pre-Harvest Plots_rpt'!$B$4:$B$855,IF(W$3='Pre-Harvest Plots_rpt'!$F$3:$Y$3,'Pre-Harvest Plots_rpt'!$F$4:$Y$855)))/$C21^0.5)*1.96,"NA"))</f>
        <v/>
      </c>
      <c r="Y21" s="193" t="str">
        <f>IF($B21="","",SUMIF('Pre-Harvest Plots_rpt'!$B:$B,Stand_Biomass!$B21,'Pre-Harvest Plots_rpt'!X:X)/$C21)</f>
        <v/>
      </c>
      <c r="Z21" s="130"/>
      <c r="AA21" s="189" t="str">
        <f>IF($B21="","",SUMIF('Pre-Harvest Plots_rpt'!$B:$B,Stand_Biomass!$B21,'Pre-Harvest Plots_rpt'!Z:Z)/$C21)</f>
        <v/>
      </c>
      <c r="AB21" s="121" t="str">
        <f>IF($B21="","",SUMIF('Pre-Harvest Plots_rpt'!$B:$B,Stand_Biomass!$B21,'Pre-Harvest Plots_rpt'!AA:AA)/$C21)</f>
        <v/>
      </c>
      <c r="AC21" s="121" t="str">
        <f>IF($B21="","",SUMIF('Pre-Harvest Plots_rpt'!$B:$B,Stand_Biomass!$B21,'Pre-Harvest Plots_rpt'!AB:AB)/$C21)</f>
        <v/>
      </c>
      <c r="AD21" s="177" t="str">
        <f>IF($B21="","",SUMIF('Pre-Harvest Plots_rpt'!$B:$B,Stand_Biomass!$B21,'Pre-Harvest Plots_rpt'!AC:AC)/$C21)</f>
        <v/>
      </c>
      <c r="AE21" s="196" t="str">
        <f>IF($B21="","",SUMIF('Pre-Harvest Plots_rpt'!$B:$B,Stand_Biomass!$B21,'Pre-Harvest Plots_rpt'!AD:AD)/$C21)</f>
        <v/>
      </c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2:47" x14ac:dyDescent="0.25">
      <c r="B22" s="171" t="str">
        <f>IF(Stand!C21="","",Stand!C21)</f>
        <v/>
      </c>
      <c r="C22" s="187" t="str">
        <f>IF($B22="","",VLOOKUP(B22,Stand!C:H,6,0))</f>
        <v/>
      </c>
      <c r="D22" s="130"/>
      <c r="E22" s="417" t="str">
        <f>IF($B22="","",SUMIF('Pre-Harvest Plots_rpt'!$B:$B,Stand_Biomass!$B22,'Pre-Harvest Plots_rpt'!$F:$F)/$C22)</f>
        <v/>
      </c>
      <c r="F22" s="123" t="str">
        <f>IF($B22="","",SUMIF('Pre-Harvest Plots_rpt'!$B:$B,Stand_Biomass!$B22,'Pre-Harvest Plots_rpt'!$G:$G)/$C22)</f>
        <v/>
      </c>
      <c r="G22" s="123" t="str">
        <f>IF($B22="","",SUMIF('Pre-Harvest Plots_rpt'!$B:$B,Stand_Biomass!$B22,'Pre-Harvest Plots_rpt'!$H:$H)/$C22)</f>
        <v/>
      </c>
      <c r="H22" s="418" t="str">
        <f>IF($B22="","",SUMIF('Pre-Harvest Plots_rpt'!$B:$B,Stand_Biomass!$B22,'Pre-Harvest Plots_rpt'!$I:$I)/$C22)</f>
        <v/>
      </c>
      <c r="I22" s="418" t="str">
        <f>IF($B22="","",SUMIF('Pre-Harvest Plots_rpt'!$B:$B,Stand_Biomass!$B22,'Pre-Harvest Plots_rpt'!$J:$J)/COUNTIFS('Pre-Harvest Plots_rpt'!$B:$B,Stand_Biomass!$B22,'Pre-Harvest Plots_rpt'!$J:$J,"&gt;"&amp;0))</f>
        <v/>
      </c>
      <c r="J22" s="418" t="str">
        <f>IF($B22="","",SUMIF('Pre-Harvest Plots_rpt'!$B:$B,Stand_Biomass!$B22,'Pre-Harvest Plots_rpt'!$K:$K)/$C22)</f>
        <v/>
      </c>
      <c r="K22" s="419" t="str">
        <f t="shared" si="1"/>
        <v/>
      </c>
      <c r="L22" s="135"/>
      <c r="M22" s="192" t="str">
        <f>IF($B22="","",SUMIF('Pre-Harvest Plots_rpt'!$B:$B,Stand_Biomass!$B22,'Pre-Harvest Plots_rpt'!N:N)/$C22)</f>
        <v/>
      </c>
      <c r="N22" s="122" t="str">
        <f>IF($B22="","",SUMIF('Pre-Harvest Plots_rpt'!$B:$B,Stand_Biomass!$B22,'Pre-Harvest Plots_rpt'!O:O)/$C22)</f>
        <v/>
      </c>
      <c r="O22" s="122" t="str">
        <f>IF($B22="","",SUMIF('Pre-Harvest Plots_rpt'!$B:$B,Stand_Biomass!$B22,'Pre-Harvest Plots_rpt'!P:P)/$C22)</f>
        <v/>
      </c>
      <c r="P22" s="122" t="str">
        <f>IF($B22="","",SUMIF('Pre-Harvest Plots_rpt'!$B:$B,Stand_Biomass!$B22,'Pre-Harvest Plots_rpt'!Q:Q)/$C22)</f>
        <v/>
      </c>
      <c r="Q22" s="123" t="str">
        <f>IF($B22="","",SUMIF('Pre-Harvest Plots_rpt'!$B:$B,Stand_Biomass!$B22,'Pre-Harvest Plots_rpt'!R:R)/$C22)</f>
        <v/>
      </c>
      <c r="R22" s="122" t="str">
        <f>IF($B22="","",SUMIF('Pre-Harvest Plots_rpt'!$B:$B,Stand_Biomass!$B22,'Pre-Harvest Plots_rpt'!S:S)/$C22)</f>
        <v/>
      </c>
      <c r="S22" s="122" t="str">
        <f>IF($B22="","",SUMIF('Pre-Harvest Plots_rpt'!$B:$B,Stand_Biomass!$B22,'Pre-Harvest Plots_rpt'!T:T)/$C22)</f>
        <v/>
      </c>
      <c r="T22" s="122" t="str">
        <f>IF($B22="","",SUMIF('Pre-Harvest Plots_rpt'!$B:$B,Stand_Biomass!$B22,'Pre-Harvest Plots_rpt'!U:U)/$C22)</f>
        <v/>
      </c>
      <c r="U22" s="122" t="str">
        <f>IF($B22="","",SUMIF('Pre-Harvest Plots_rpt'!$B:$B,Stand_Biomass!$B22,'Pre-Harvest Plots_rpt'!V:V)/$C22)</f>
        <v/>
      </c>
      <c r="V22" s="123" t="str">
        <f t="array" ref="V22">IF($C22="","",IF($C22&gt;1,(STDEV(IF($B22='Pre-Harvest Plots_rpt'!$B$4:$B$855,IF(Q$3='Pre-Harvest Plots_rpt'!$F$3:$Y$3,'Pre-Harvest Plots_rpt'!$F$4:$Y$855)))/$C22^0.5)*1.96,"NA"))</f>
        <v/>
      </c>
      <c r="W22" s="123" t="str">
        <f>IF($B22="","",SUMIF('Pre-Harvest Plots_rpt'!$B:$B,Stand_Biomass!$B22,'Pre-Harvest Plots_rpt'!W:W)/$C22)</f>
        <v/>
      </c>
      <c r="X22" s="123" t="str">
        <f t="array" ref="X22">IF($C22="","",IF($C22&gt;1,(STDEV(IF($B22='Pre-Harvest Plots_rpt'!$B$4:$B$855,IF(W$3='Pre-Harvest Plots_rpt'!$F$3:$Y$3,'Pre-Harvest Plots_rpt'!$F$4:$Y$855)))/$C22^0.5)*1.96,"NA"))</f>
        <v/>
      </c>
      <c r="Y22" s="193" t="str">
        <f>IF($B22="","",SUMIF('Pre-Harvest Plots_rpt'!$B:$B,Stand_Biomass!$B22,'Pre-Harvest Plots_rpt'!X:X)/$C22)</f>
        <v/>
      </c>
      <c r="Z22" s="130"/>
      <c r="AA22" s="189" t="str">
        <f>IF($B22="","",SUMIF('Pre-Harvest Plots_rpt'!$B:$B,Stand_Biomass!$B22,'Pre-Harvest Plots_rpt'!Z:Z)/$C22)</f>
        <v/>
      </c>
      <c r="AB22" s="121" t="str">
        <f>IF($B22="","",SUMIF('Pre-Harvest Plots_rpt'!$B:$B,Stand_Biomass!$B22,'Pre-Harvest Plots_rpt'!AA:AA)/$C22)</f>
        <v/>
      </c>
      <c r="AC22" s="121" t="str">
        <f>IF($B22="","",SUMIF('Pre-Harvest Plots_rpt'!$B:$B,Stand_Biomass!$B22,'Pre-Harvest Plots_rpt'!AB:AB)/$C22)</f>
        <v/>
      </c>
      <c r="AD22" s="177" t="str">
        <f>IF($B22="","",SUMIF('Pre-Harvest Plots_rpt'!$B:$B,Stand_Biomass!$B22,'Pre-Harvest Plots_rpt'!AC:AC)/$C22)</f>
        <v/>
      </c>
      <c r="AE22" s="196" t="str">
        <f>IF($B22="","",SUMIF('Pre-Harvest Plots_rpt'!$B:$B,Stand_Biomass!$B22,'Pre-Harvest Plots_rpt'!AD:AD)/$C22)</f>
        <v/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2:47" x14ac:dyDescent="0.25">
      <c r="B23" s="171" t="str">
        <f>IF(Stand!C22="","",Stand!C22)</f>
        <v/>
      </c>
      <c r="C23" s="187" t="str">
        <f>IF($B23="","",VLOOKUP(B23,Stand!C:H,6,0))</f>
        <v/>
      </c>
      <c r="D23" s="130"/>
      <c r="E23" s="417" t="str">
        <f>IF($B23="","",SUMIF('Pre-Harvest Plots_rpt'!$B:$B,Stand_Biomass!$B23,'Pre-Harvest Plots_rpt'!$F:$F)/$C23)</f>
        <v/>
      </c>
      <c r="F23" s="123" t="str">
        <f>IF($B23="","",SUMIF('Pre-Harvest Plots_rpt'!$B:$B,Stand_Biomass!$B23,'Pre-Harvest Plots_rpt'!$G:$G)/$C23)</f>
        <v/>
      </c>
      <c r="G23" s="123" t="str">
        <f>IF($B23="","",SUMIF('Pre-Harvest Plots_rpt'!$B:$B,Stand_Biomass!$B23,'Pre-Harvest Plots_rpt'!$H:$H)/$C23)</f>
        <v/>
      </c>
      <c r="H23" s="418" t="str">
        <f>IF($B23="","",SUMIF('Pre-Harvest Plots_rpt'!$B:$B,Stand_Biomass!$B23,'Pre-Harvest Plots_rpt'!$I:$I)/$C23)</f>
        <v/>
      </c>
      <c r="I23" s="418" t="str">
        <f>IF($B23="","",SUMIF('Pre-Harvest Plots_rpt'!$B:$B,Stand_Biomass!$B23,'Pre-Harvest Plots_rpt'!$J:$J)/COUNTIFS('Pre-Harvest Plots_rpt'!$B:$B,Stand_Biomass!$B23,'Pre-Harvest Plots_rpt'!$J:$J,"&gt;"&amp;0))</f>
        <v/>
      </c>
      <c r="J23" s="418" t="str">
        <f>IF($B23="","",SUMIF('Pre-Harvest Plots_rpt'!$B:$B,Stand_Biomass!$B23,'Pre-Harvest Plots_rpt'!$K:$K)/$C23)</f>
        <v/>
      </c>
      <c r="K23" s="419" t="str">
        <f t="shared" si="1"/>
        <v/>
      </c>
      <c r="L23" s="135"/>
      <c r="M23" s="192" t="str">
        <f>IF($B23="","",SUMIF('Pre-Harvest Plots_rpt'!$B:$B,Stand_Biomass!$B23,'Pre-Harvest Plots_rpt'!N:N)/$C23)</f>
        <v/>
      </c>
      <c r="N23" s="122" t="str">
        <f>IF($B23="","",SUMIF('Pre-Harvest Plots_rpt'!$B:$B,Stand_Biomass!$B23,'Pre-Harvest Plots_rpt'!O:O)/$C23)</f>
        <v/>
      </c>
      <c r="O23" s="122" t="str">
        <f>IF($B23="","",SUMIF('Pre-Harvest Plots_rpt'!$B:$B,Stand_Biomass!$B23,'Pre-Harvest Plots_rpt'!P:P)/$C23)</f>
        <v/>
      </c>
      <c r="P23" s="122" t="str">
        <f>IF($B23="","",SUMIF('Pre-Harvest Plots_rpt'!$B:$B,Stand_Biomass!$B23,'Pre-Harvest Plots_rpt'!Q:Q)/$C23)</f>
        <v/>
      </c>
      <c r="Q23" s="123" t="str">
        <f>IF($B23="","",SUMIF('Pre-Harvest Plots_rpt'!$B:$B,Stand_Biomass!$B23,'Pre-Harvest Plots_rpt'!R:R)/$C23)</f>
        <v/>
      </c>
      <c r="R23" s="122" t="str">
        <f>IF($B23="","",SUMIF('Pre-Harvest Plots_rpt'!$B:$B,Stand_Biomass!$B23,'Pre-Harvest Plots_rpt'!S:S)/$C23)</f>
        <v/>
      </c>
      <c r="S23" s="122" t="str">
        <f>IF($B23="","",SUMIF('Pre-Harvest Plots_rpt'!$B:$B,Stand_Biomass!$B23,'Pre-Harvest Plots_rpt'!T:T)/$C23)</f>
        <v/>
      </c>
      <c r="T23" s="122" t="str">
        <f>IF($B23="","",SUMIF('Pre-Harvest Plots_rpt'!$B:$B,Stand_Biomass!$B23,'Pre-Harvest Plots_rpt'!U:U)/$C23)</f>
        <v/>
      </c>
      <c r="U23" s="122" t="str">
        <f>IF($B23="","",SUMIF('Pre-Harvest Plots_rpt'!$B:$B,Stand_Biomass!$B23,'Pre-Harvest Plots_rpt'!V:V)/$C23)</f>
        <v/>
      </c>
      <c r="V23" s="123" t="str">
        <f t="array" ref="V23">IF($C23="","",IF($C23&gt;1,(STDEV(IF($B23='Pre-Harvest Plots_rpt'!$B$4:$B$855,IF(Q$3='Pre-Harvest Plots_rpt'!$F$3:$Y$3,'Pre-Harvest Plots_rpt'!$F$4:$Y$855)))/$C23^0.5)*1.96,"NA"))</f>
        <v/>
      </c>
      <c r="W23" s="123" t="str">
        <f>IF($B23="","",SUMIF('Pre-Harvest Plots_rpt'!$B:$B,Stand_Biomass!$B23,'Pre-Harvest Plots_rpt'!W:W)/$C23)</f>
        <v/>
      </c>
      <c r="X23" s="123" t="str">
        <f t="array" ref="X23">IF($C23="","",IF($C23&gt;1,(STDEV(IF($B23='Pre-Harvest Plots_rpt'!$B$4:$B$855,IF(W$3='Pre-Harvest Plots_rpt'!$F$3:$Y$3,'Pre-Harvest Plots_rpt'!$F$4:$Y$855)))/$C23^0.5)*1.96,"NA"))</f>
        <v/>
      </c>
      <c r="Y23" s="193" t="str">
        <f>IF($B23="","",SUMIF('Pre-Harvest Plots_rpt'!$B:$B,Stand_Biomass!$B23,'Pre-Harvest Plots_rpt'!X:X)/$C23)</f>
        <v/>
      </c>
      <c r="Z23" s="130"/>
      <c r="AA23" s="189" t="str">
        <f>IF($B23="","",SUMIF('Pre-Harvest Plots_rpt'!$B:$B,Stand_Biomass!$B23,'Pre-Harvest Plots_rpt'!Z:Z)/$C23)</f>
        <v/>
      </c>
      <c r="AB23" s="121" t="str">
        <f>IF($B23="","",SUMIF('Pre-Harvest Plots_rpt'!$B:$B,Stand_Biomass!$B23,'Pre-Harvest Plots_rpt'!AA:AA)/$C23)</f>
        <v/>
      </c>
      <c r="AC23" s="121" t="str">
        <f>IF($B23="","",SUMIF('Pre-Harvest Plots_rpt'!$B:$B,Stand_Biomass!$B23,'Pre-Harvest Plots_rpt'!AB:AB)/$C23)</f>
        <v/>
      </c>
      <c r="AD23" s="177" t="str">
        <f>IF($B23="","",SUMIF('Pre-Harvest Plots_rpt'!$B:$B,Stand_Biomass!$B23,'Pre-Harvest Plots_rpt'!AC:AC)/$C23)</f>
        <v/>
      </c>
      <c r="AE23" s="196" t="str">
        <f>IF($B23="","",SUMIF('Pre-Harvest Plots_rpt'!$B:$B,Stand_Biomass!$B23,'Pre-Harvest Plots_rpt'!AD:AD)/$C23)</f>
        <v/>
      </c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2:47" x14ac:dyDescent="0.25">
      <c r="B24" s="171" t="str">
        <f>IF(Stand!C23="","",Stand!C23)</f>
        <v/>
      </c>
      <c r="C24" s="187" t="str">
        <f>IF($B24="","",VLOOKUP(B24,Stand!C:H,6,0))</f>
        <v/>
      </c>
      <c r="D24" s="130"/>
      <c r="E24" s="417" t="str">
        <f>IF($B24="","",SUMIF('Pre-Harvest Plots_rpt'!$B:$B,Stand_Biomass!$B24,'Pre-Harvest Plots_rpt'!$F:$F)/$C24)</f>
        <v/>
      </c>
      <c r="F24" s="123" t="str">
        <f>IF($B24="","",SUMIF('Pre-Harvest Plots_rpt'!$B:$B,Stand_Biomass!$B24,'Pre-Harvest Plots_rpt'!$G:$G)/$C24)</f>
        <v/>
      </c>
      <c r="G24" s="123" t="str">
        <f>IF($B24="","",SUMIF('Pre-Harvest Plots_rpt'!$B:$B,Stand_Biomass!$B24,'Pre-Harvest Plots_rpt'!$H:$H)/$C24)</f>
        <v/>
      </c>
      <c r="H24" s="418" t="str">
        <f>IF($B24="","",SUMIF('Pre-Harvest Plots_rpt'!$B:$B,Stand_Biomass!$B24,'Pre-Harvest Plots_rpt'!$I:$I)/$C24)</f>
        <v/>
      </c>
      <c r="I24" s="418" t="str">
        <f>IF($B24="","",SUMIF('Pre-Harvest Plots_rpt'!$B:$B,Stand_Biomass!$B24,'Pre-Harvest Plots_rpt'!$J:$J)/COUNTIFS('Pre-Harvest Plots_rpt'!$B:$B,Stand_Biomass!$B24,'Pre-Harvest Plots_rpt'!$J:$J,"&gt;"&amp;0))</f>
        <v/>
      </c>
      <c r="J24" s="418" t="str">
        <f>IF($B24="","",SUMIF('Pre-Harvest Plots_rpt'!$B:$B,Stand_Biomass!$B24,'Pre-Harvest Plots_rpt'!$K:$K)/$C24)</f>
        <v/>
      </c>
      <c r="K24" s="419" t="str">
        <f t="shared" si="1"/>
        <v/>
      </c>
      <c r="L24" s="135"/>
      <c r="M24" s="192" t="str">
        <f>IF($B24="","",SUMIF('Pre-Harvest Plots_rpt'!$B:$B,Stand_Biomass!$B24,'Pre-Harvest Plots_rpt'!N:N)/$C24)</f>
        <v/>
      </c>
      <c r="N24" s="122" t="str">
        <f>IF($B24="","",SUMIF('Pre-Harvest Plots_rpt'!$B:$B,Stand_Biomass!$B24,'Pre-Harvest Plots_rpt'!O:O)/$C24)</f>
        <v/>
      </c>
      <c r="O24" s="122" t="str">
        <f>IF($B24="","",SUMIF('Pre-Harvest Plots_rpt'!$B:$B,Stand_Biomass!$B24,'Pre-Harvest Plots_rpt'!P:P)/$C24)</f>
        <v/>
      </c>
      <c r="P24" s="122" t="str">
        <f>IF($B24="","",SUMIF('Pre-Harvest Plots_rpt'!$B:$B,Stand_Biomass!$B24,'Pre-Harvest Plots_rpt'!Q:Q)/$C24)</f>
        <v/>
      </c>
      <c r="Q24" s="123" t="str">
        <f>IF($B24="","",SUMIF('Pre-Harvest Plots_rpt'!$B:$B,Stand_Biomass!$B24,'Pre-Harvest Plots_rpt'!R:R)/$C24)</f>
        <v/>
      </c>
      <c r="R24" s="122" t="str">
        <f>IF($B24="","",SUMIF('Pre-Harvest Plots_rpt'!$B:$B,Stand_Biomass!$B24,'Pre-Harvest Plots_rpt'!S:S)/$C24)</f>
        <v/>
      </c>
      <c r="S24" s="122" t="str">
        <f>IF($B24="","",SUMIF('Pre-Harvest Plots_rpt'!$B:$B,Stand_Biomass!$B24,'Pre-Harvest Plots_rpt'!T:T)/$C24)</f>
        <v/>
      </c>
      <c r="T24" s="122" t="str">
        <f>IF($B24="","",SUMIF('Pre-Harvest Plots_rpt'!$B:$B,Stand_Biomass!$B24,'Pre-Harvest Plots_rpt'!U:U)/$C24)</f>
        <v/>
      </c>
      <c r="U24" s="122" t="str">
        <f>IF($B24="","",SUMIF('Pre-Harvest Plots_rpt'!$B:$B,Stand_Biomass!$B24,'Pre-Harvest Plots_rpt'!V:V)/$C24)</f>
        <v/>
      </c>
      <c r="V24" s="123" t="str">
        <f t="array" ref="V24">IF($C24="","",IF($C24&gt;1,(STDEV(IF($B24='Pre-Harvest Plots_rpt'!$B$4:$B$855,IF(Q$3='Pre-Harvest Plots_rpt'!$F$3:$Y$3,'Pre-Harvest Plots_rpt'!$F$4:$Y$855)))/$C24^0.5)*1.96,"NA"))</f>
        <v/>
      </c>
      <c r="W24" s="123" t="str">
        <f>IF($B24="","",SUMIF('Pre-Harvest Plots_rpt'!$B:$B,Stand_Biomass!$B24,'Pre-Harvest Plots_rpt'!W:W)/$C24)</f>
        <v/>
      </c>
      <c r="X24" s="123" t="str">
        <f t="array" ref="X24">IF($C24="","",IF($C24&gt;1,(STDEV(IF($B24='Pre-Harvest Plots_rpt'!$B$4:$B$855,IF(W$3='Pre-Harvest Plots_rpt'!$F$3:$Y$3,'Pre-Harvest Plots_rpt'!$F$4:$Y$855)))/$C24^0.5)*1.96,"NA"))</f>
        <v/>
      </c>
      <c r="Y24" s="193" t="str">
        <f>IF($B24="","",SUMIF('Pre-Harvest Plots_rpt'!$B:$B,Stand_Biomass!$B24,'Pre-Harvest Plots_rpt'!X:X)/$C24)</f>
        <v/>
      </c>
      <c r="Z24" s="130"/>
      <c r="AA24" s="189" t="str">
        <f>IF($B24="","",SUMIF('Pre-Harvest Plots_rpt'!$B:$B,Stand_Biomass!$B24,'Pre-Harvest Plots_rpt'!Z:Z)/$C24)</f>
        <v/>
      </c>
      <c r="AB24" s="121" t="str">
        <f>IF($B24="","",SUMIF('Pre-Harvest Plots_rpt'!$B:$B,Stand_Biomass!$B24,'Pre-Harvest Plots_rpt'!AA:AA)/$C24)</f>
        <v/>
      </c>
      <c r="AC24" s="121" t="str">
        <f>IF($B24="","",SUMIF('Pre-Harvest Plots_rpt'!$B:$B,Stand_Biomass!$B24,'Pre-Harvest Plots_rpt'!AB:AB)/$C24)</f>
        <v/>
      </c>
      <c r="AD24" s="177" t="str">
        <f>IF($B24="","",SUMIF('Pre-Harvest Plots_rpt'!$B:$B,Stand_Biomass!$B24,'Pre-Harvest Plots_rpt'!AC:AC)/$C24)</f>
        <v/>
      </c>
      <c r="AE24" s="196" t="str">
        <f>IF($B24="","",SUMIF('Pre-Harvest Plots_rpt'!$B:$B,Stand_Biomass!$B24,'Pre-Harvest Plots_rpt'!AD:AD)/$C24)</f>
        <v/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2:47" x14ac:dyDescent="0.25">
      <c r="B25" s="171" t="str">
        <f>IF(Stand!C24="","",Stand!C24)</f>
        <v/>
      </c>
      <c r="C25" s="187" t="str">
        <f>IF($B25="","",VLOOKUP(B25,Stand!C:H,6,0))</f>
        <v/>
      </c>
      <c r="D25" s="130"/>
      <c r="E25" s="417" t="str">
        <f>IF($B25="","",SUMIF('Pre-Harvest Plots_rpt'!$B:$B,Stand_Biomass!$B25,'Pre-Harvest Plots_rpt'!$F:$F)/$C25)</f>
        <v/>
      </c>
      <c r="F25" s="123" t="str">
        <f>IF($B25="","",SUMIF('Pre-Harvest Plots_rpt'!$B:$B,Stand_Biomass!$B25,'Pre-Harvest Plots_rpt'!$G:$G)/$C25)</f>
        <v/>
      </c>
      <c r="G25" s="123" t="str">
        <f>IF($B25="","",SUMIF('Pre-Harvest Plots_rpt'!$B:$B,Stand_Biomass!$B25,'Pre-Harvest Plots_rpt'!$H:$H)/$C25)</f>
        <v/>
      </c>
      <c r="H25" s="418" t="str">
        <f>IF($B25="","",SUMIF('Pre-Harvest Plots_rpt'!$B:$B,Stand_Biomass!$B25,'Pre-Harvest Plots_rpt'!$I:$I)/$C25)</f>
        <v/>
      </c>
      <c r="I25" s="418" t="str">
        <f>IF($B25="","",SUMIF('Pre-Harvest Plots_rpt'!$B:$B,Stand_Biomass!$B25,'Pre-Harvest Plots_rpt'!$J:$J)/COUNTIFS('Pre-Harvest Plots_rpt'!$B:$B,Stand_Biomass!$B25,'Pre-Harvest Plots_rpt'!$J:$J,"&gt;"&amp;0))</f>
        <v/>
      </c>
      <c r="J25" s="418" t="str">
        <f>IF($B25="","",SUMIF('Pre-Harvest Plots_rpt'!$B:$B,Stand_Biomass!$B25,'Pre-Harvest Plots_rpt'!$K:$K)/$C25)</f>
        <v/>
      </c>
      <c r="K25" s="419" t="str">
        <f t="shared" si="1"/>
        <v/>
      </c>
      <c r="L25" s="135"/>
      <c r="M25" s="192" t="str">
        <f>IF($B25="","",SUMIF('Pre-Harvest Plots_rpt'!$B:$B,Stand_Biomass!$B25,'Pre-Harvest Plots_rpt'!N:N)/$C25)</f>
        <v/>
      </c>
      <c r="N25" s="122" t="str">
        <f>IF($B25="","",SUMIF('Pre-Harvest Plots_rpt'!$B:$B,Stand_Biomass!$B25,'Pre-Harvest Plots_rpt'!O:O)/$C25)</f>
        <v/>
      </c>
      <c r="O25" s="122" t="str">
        <f>IF($B25="","",SUMIF('Pre-Harvest Plots_rpt'!$B:$B,Stand_Biomass!$B25,'Pre-Harvest Plots_rpt'!P:P)/$C25)</f>
        <v/>
      </c>
      <c r="P25" s="122" t="str">
        <f>IF($B25="","",SUMIF('Pre-Harvest Plots_rpt'!$B:$B,Stand_Biomass!$B25,'Pre-Harvest Plots_rpt'!Q:Q)/$C25)</f>
        <v/>
      </c>
      <c r="Q25" s="123" t="str">
        <f>IF($B25="","",SUMIF('Pre-Harvest Plots_rpt'!$B:$B,Stand_Biomass!$B25,'Pre-Harvest Plots_rpt'!R:R)/$C25)</f>
        <v/>
      </c>
      <c r="R25" s="122" t="str">
        <f>IF($B25="","",SUMIF('Pre-Harvest Plots_rpt'!$B:$B,Stand_Biomass!$B25,'Pre-Harvest Plots_rpt'!S:S)/$C25)</f>
        <v/>
      </c>
      <c r="S25" s="122" t="str">
        <f>IF($B25="","",SUMIF('Pre-Harvest Plots_rpt'!$B:$B,Stand_Biomass!$B25,'Pre-Harvest Plots_rpt'!T:T)/$C25)</f>
        <v/>
      </c>
      <c r="T25" s="122" t="str">
        <f>IF($B25="","",SUMIF('Pre-Harvest Plots_rpt'!$B:$B,Stand_Biomass!$B25,'Pre-Harvest Plots_rpt'!U:U)/$C25)</f>
        <v/>
      </c>
      <c r="U25" s="122" t="str">
        <f>IF($B25="","",SUMIF('Pre-Harvest Plots_rpt'!$B:$B,Stand_Biomass!$B25,'Pre-Harvest Plots_rpt'!V:V)/$C25)</f>
        <v/>
      </c>
      <c r="V25" s="123" t="str">
        <f t="array" ref="V25">IF($C25="","",IF($C25&gt;1,(STDEV(IF($B25='Pre-Harvest Plots_rpt'!$B$4:$B$855,IF(Q$3='Pre-Harvest Plots_rpt'!$F$3:$Y$3,'Pre-Harvest Plots_rpt'!$F$4:$Y$855)))/$C25^0.5)*1.96,"NA"))</f>
        <v/>
      </c>
      <c r="W25" s="123" t="str">
        <f>IF($B25="","",SUMIF('Pre-Harvest Plots_rpt'!$B:$B,Stand_Biomass!$B25,'Pre-Harvest Plots_rpt'!W:W)/$C25)</f>
        <v/>
      </c>
      <c r="X25" s="123" t="str">
        <f t="array" ref="X25">IF($C25="","",IF($C25&gt;1,(STDEV(IF($B25='Pre-Harvest Plots_rpt'!$B$4:$B$855,IF(W$3='Pre-Harvest Plots_rpt'!$F$3:$Y$3,'Pre-Harvest Plots_rpt'!$F$4:$Y$855)))/$C25^0.5)*1.96,"NA"))</f>
        <v/>
      </c>
      <c r="Y25" s="193" t="str">
        <f>IF($B25="","",SUMIF('Pre-Harvest Plots_rpt'!$B:$B,Stand_Biomass!$B25,'Pre-Harvest Plots_rpt'!X:X)/$C25)</f>
        <v/>
      </c>
      <c r="Z25" s="130"/>
      <c r="AA25" s="189" t="str">
        <f>IF($B25="","",SUMIF('Pre-Harvest Plots_rpt'!$B:$B,Stand_Biomass!$B25,'Pre-Harvest Plots_rpt'!Z:Z)/$C25)</f>
        <v/>
      </c>
      <c r="AB25" s="121" t="str">
        <f>IF($B25="","",SUMIF('Pre-Harvest Plots_rpt'!$B:$B,Stand_Biomass!$B25,'Pre-Harvest Plots_rpt'!AA:AA)/$C25)</f>
        <v/>
      </c>
      <c r="AC25" s="121" t="str">
        <f>IF($B25="","",SUMIF('Pre-Harvest Plots_rpt'!$B:$B,Stand_Biomass!$B25,'Pre-Harvest Plots_rpt'!AB:AB)/$C25)</f>
        <v/>
      </c>
      <c r="AD25" s="177" t="str">
        <f>IF($B25="","",SUMIF('Pre-Harvest Plots_rpt'!$B:$B,Stand_Biomass!$B25,'Pre-Harvest Plots_rpt'!AC:AC)/$C25)</f>
        <v/>
      </c>
      <c r="AE25" s="196" t="str">
        <f>IF($B25="","",SUMIF('Pre-Harvest Plots_rpt'!$B:$B,Stand_Biomass!$B25,'Pre-Harvest Plots_rpt'!AD:AD)/$C25)</f>
        <v/>
      </c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2:47" x14ac:dyDescent="0.25">
      <c r="B26" s="171" t="str">
        <f>IF(Stand!C25="","",Stand!C25)</f>
        <v/>
      </c>
      <c r="C26" s="187" t="str">
        <f>IF($B26="","",VLOOKUP(B26,Stand!C:H,6,0))</f>
        <v/>
      </c>
      <c r="D26" s="130"/>
      <c r="E26" s="417" t="str">
        <f>IF($B26="","",SUMIF('Pre-Harvest Plots_rpt'!$B:$B,Stand_Biomass!$B26,'Pre-Harvest Plots_rpt'!$F:$F)/$C26)</f>
        <v/>
      </c>
      <c r="F26" s="123" t="str">
        <f>IF($B26="","",SUMIF('Pre-Harvest Plots_rpt'!$B:$B,Stand_Biomass!$B26,'Pre-Harvest Plots_rpt'!$G:$G)/$C26)</f>
        <v/>
      </c>
      <c r="G26" s="123" t="str">
        <f>IF($B26="","",SUMIF('Pre-Harvest Plots_rpt'!$B:$B,Stand_Biomass!$B26,'Pre-Harvest Plots_rpt'!$H:$H)/$C26)</f>
        <v/>
      </c>
      <c r="H26" s="418" t="str">
        <f>IF($B26="","",SUMIF('Pre-Harvest Plots_rpt'!$B:$B,Stand_Biomass!$B26,'Pre-Harvest Plots_rpt'!$I:$I)/$C26)</f>
        <v/>
      </c>
      <c r="I26" s="418" t="str">
        <f>IF($B26="","",SUMIF('Pre-Harvest Plots_rpt'!$B:$B,Stand_Biomass!$B26,'Pre-Harvest Plots_rpt'!$J:$J)/COUNTIFS('Pre-Harvest Plots_rpt'!$B:$B,Stand_Biomass!$B26,'Pre-Harvest Plots_rpt'!$J:$J,"&gt;"&amp;0))</f>
        <v/>
      </c>
      <c r="J26" s="418" t="str">
        <f>IF($B26="","",SUMIF('Pre-Harvest Plots_rpt'!$B:$B,Stand_Biomass!$B26,'Pre-Harvest Plots_rpt'!$K:$K)/$C26)</f>
        <v/>
      </c>
      <c r="K26" s="419" t="str">
        <f t="shared" si="1"/>
        <v/>
      </c>
      <c r="L26" s="135"/>
      <c r="M26" s="192" t="str">
        <f>IF($B26="","",SUMIF('Pre-Harvest Plots_rpt'!$B:$B,Stand_Biomass!$B26,'Pre-Harvest Plots_rpt'!N:N)/$C26)</f>
        <v/>
      </c>
      <c r="N26" s="122" t="str">
        <f>IF($B26="","",SUMIF('Pre-Harvest Plots_rpt'!$B:$B,Stand_Biomass!$B26,'Pre-Harvest Plots_rpt'!O:O)/$C26)</f>
        <v/>
      </c>
      <c r="O26" s="122" t="str">
        <f>IF($B26="","",SUMIF('Pre-Harvest Plots_rpt'!$B:$B,Stand_Biomass!$B26,'Pre-Harvest Plots_rpt'!P:P)/$C26)</f>
        <v/>
      </c>
      <c r="P26" s="122" t="str">
        <f>IF($B26="","",SUMIF('Pre-Harvest Plots_rpt'!$B:$B,Stand_Biomass!$B26,'Pre-Harvest Plots_rpt'!Q:Q)/$C26)</f>
        <v/>
      </c>
      <c r="Q26" s="123" t="str">
        <f>IF($B26="","",SUMIF('Pre-Harvest Plots_rpt'!$B:$B,Stand_Biomass!$B26,'Pre-Harvest Plots_rpt'!R:R)/$C26)</f>
        <v/>
      </c>
      <c r="R26" s="122" t="str">
        <f>IF($B26="","",SUMIF('Pre-Harvest Plots_rpt'!$B:$B,Stand_Biomass!$B26,'Pre-Harvest Plots_rpt'!S:S)/$C26)</f>
        <v/>
      </c>
      <c r="S26" s="122" t="str">
        <f>IF($B26="","",SUMIF('Pre-Harvest Plots_rpt'!$B:$B,Stand_Biomass!$B26,'Pre-Harvest Plots_rpt'!T:T)/$C26)</f>
        <v/>
      </c>
      <c r="T26" s="122" t="str">
        <f>IF($B26="","",SUMIF('Pre-Harvest Plots_rpt'!$B:$B,Stand_Biomass!$B26,'Pre-Harvest Plots_rpt'!U:U)/$C26)</f>
        <v/>
      </c>
      <c r="U26" s="122" t="str">
        <f>IF($B26="","",SUMIF('Pre-Harvest Plots_rpt'!$B:$B,Stand_Biomass!$B26,'Pre-Harvest Plots_rpt'!V:V)/$C26)</f>
        <v/>
      </c>
      <c r="V26" s="123" t="str">
        <f t="array" ref="V26">IF($C26="","",IF($C26&gt;1,(STDEV(IF($B26='Pre-Harvest Plots_rpt'!$B$4:$B$855,IF(Q$3='Pre-Harvest Plots_rpt'!$F$3:$Y$3,'Pre-Harvest Plots_rpt'!$F$4:$Y$855)))/$C26^0.5)*1.96,"NA"))</f>
        <v/>
      </c>
      <c r="W26" s="123" t="str">
        <f>IF($B26="","",SUMIF('Pre-Harvest Plots_rpt'!$B:$B,Stand_Biomass!$B26,'Pre-Harvest Plots_rpt'!W:W)/$C26)</f>
        <v/>
      </c>
      <c r="X26" s="123" t="str">
        <f t="array" ref="X26">IF($C26="","",IF($C26&gt;1,(STDEV(IF($B26='Pre-Harvest Plots_rpt'!$B$4:$B$855,IF(W$3='Pre-Harvest Plots_rpt'!$F$3:$Y$3,'Pre-Harvest Plots_rpt'!$F$4:$Y$855)))/$C26^0.5)*1.96,"NA"))</f>
        <v/>
      </c>
      <c r="Y26" s="193" t="str">
        <f>IF($B26="","",SUMIF('Pre-Harvest Plots_rpt'!$B:$B,Stand_Biomass!$B26,'Pre-Harvest Plots_rpt'!X:X)/$C26)</f>
        <v/>
      </c>
      <c r="Z26" s="130"/>
      <c r="AA26" s="189" t="str">
        <f>IF($B26="","",SUMIF('Pre-Harvest Plots_rpt'!$B:$B,Stand_Biomass!$B26,'Pre-Harvest Plots_rpt'!Z:Z)/$C26)</f>
        <v/>
      </c>
      <c r="AB26" s="121" t="str">
        <f>IF($B26="","",SUMIF('Pre-Harvest Plots_rpt'!$B:$B,Stand_Biomass!$B26,'Pre-Harvest Plots_rpt'!AA:AA)/$C26)</f>
        <v/>
      </c>
      <c r="AC26" s="121" t="str">
        <f>IF($B26="","",SUMIF('Pre-Harvest Plots_rpt'!$B:$B,Stand_Biomass!$B26,'Pre-Harvest Plots_rpt'!AB:AB)/$C26)</f>
        <v/>
      </c>
      <c r="AD26" s="177" t="str">
        <f>IF($B26="","",SUMIF('Pre-Harvest Plots_rpt'!$B:$B,Stand_Biomass!$B26,'Pre-Harvest Plots_rpt'!AC:AC)/$C26)</f>
        <v/>
      </c>
      <c r="AE26" s="196" t="str">
        <f>IF($B26="","",SUMIF('Pre-Harvest Plots_rpt'!$B:$B,Stand_Biomass!$B26,'Pre-Harvest Plots_rpt'!AD:AD)/$C26)</f>
        <v/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2:47" x14ac:dyDescent="0.25">
      <c r="B27" s="171" t="str">
        <f>IF(Stand!C26="","",Stand!C26)</f>
        <v/>
      </c>
      <c r="C27" s="187" t="str">
        <f>IF($B27="","",VLOOKUP(B27,Stand!C:H,6,0))</f>
        <v/>
      </c>
      <c r="D27" s="130"/>
      <c r="E27" s="417" t="str">
        <f>IF($B27="","",SUMIF('Pre-Harvest Plots_rpt'!$B:$B,Stand_Biomass!$B27,'Pre-Harvest Plots_rpt'!$F:$F)/$C27)</f>
        <v/>
      </c>
      <c r="F27" s="123" t="str">
        <f>IF($B27="","",SUMIF('Pre-Harvest Plots_rpt'!$B:$B,Stand_Biomass!$B27,'Pre-Harvest Plots_rpt'!$G:$G)/$C27)</f>
        <v/>
      </c>
      <c r="G27" s="123" t="str">
        <f>IF($B27="","",SUMIF('Pre-Harvest Plots_rpt'!$B:$B,Stand_Biomass!$B27,'Pre-Harvest Plots_rpt'!$H:$H)/$C27)</f>
        <v/>
      </c>
      <c r="H27" s="418" t="str">
        <f>IF($B27="","",SUMIF('Pre-Harvest Plots_rpt'!$B:$B,Stand_Biomass!$B27,'Pre-Harvest Plots_rpt'!$I:$I)/$C27)</f>
        <v/>
      </c>
      <c r="I27" s="418" t="str">
        <f>IF($B27="","",SUMIF('Pre-Harvest Plots_rpt'!$B:$B,Stand_Biomass!$B27,'Pre-Harvest Plots_rpt'!$J:$J)/COUNTIFS('Pre-Harvest Plots_rpt'!$B:$B,Stand_Biomass!$B27,'Pre-Harvest Plots_rpt'!$J:$J,"&gt;"&amp;0))</f>
        <v/>
      </c>
      <c r="J27" s="418" t="str">
        <f>IF($B27="","",SUMIF('Pre-Harvest Plots_rpt'!$B:$B,Stand_Biomass!$B27,'Pre-Harvest Plots_rpt'!$K:$K)/$C27)</f>
        <v/>
      </c>
      <c r="K27" s="419" t="str">
        <f t="shared" si="1"/>
        <v/>
      </c>
      <c r="L27" s="135"/>
      <c r="M27" s="192" t="str">
        <f>IF($B27="","",SUMIF('Pre-Harvest Plots_rpt'!$B:$B,Stand_Biomass!$B27,'Pre-Harvest Plots_rpt'!N:N)/$C27)</f>
        <v/>
      </c>
      <c r="N27" s="122" t="str">
        <f>IF($B27="","",SUMIF('Pre-Harvest Plots_rpt'!$B:$B,Stand_Biomass!$B27,'Pre-Harvest Plots_rpt'!O:O)/$C27)</f>
        <v/>
      </c>
      <c r="O27" s="122" t="str">
        <f>IF($B27="","",SUMIF('Pre-Harvest Plots_rpt'!$B:$B,Stand_Biomass!$B27,'Pre-Harvest Plots_rpt'!P:P)/$C27)</f>
        <v/>
      </c>
      <c r="P27" s="122" t="str">
        <f>IF($B27="","",SUMIF('Pre-Harvest Plots_rpt'!$B:$B,Stand_Biomass!$B27,'Pre-Harvest Plots_rpt'!Q:Q)/$C27)</f>
        <v/>
      </c>
      <c r="Q27" s="123" t="str">
        <f>IF($B27="","",SUMIF('Pre-Harvest Plots_rpt'!$B:$B,Stand_Biomass!$B27,'Pre-Harvest Plots_rpt'!R:R)/$C27)</f>
        <v/>
      </c>
      <c r="R27" s="122" t="str">
        <f>IF($B27="","",SUMIF('Pre-Harvest Plots_rpt'!$B:$B,Stand_Biomass!$B27,'Pre-Harvest Plots_rpt'!S:S)/$C27)</f>
        <v/>
      </c>
      <c r="S27" s="122" t="str">
        <f>IF($B27="","",SUMIF('Pre-Harvest Plots_rpt'!$B:$B,Stand_Biomass!$B27,'Pre-Harvest Plots_rpt'!T:T)/$C27)</f>
        <v/>
      </c>
      <c r="T27" s="122" t="str">
        <f>IF($B27="","",SUMIF('Pre-Harvest Plots_rpt'!$B:$B,Stand_Biomass!$B27,'Pre-Harvest Plots_rpt'!U:U)/$C27)</f>
        <v/>
      </c>
      <c r="U27" s="122" t="str">
        <f>IF($B27="","",SUMIF('Pre-Harvest Plots_rpt'!$B:$B,Stand_Biomass!$B27,'Pre-Harvest Plots_rpt'!V:V)/$C27)</f>
        <v/>
      </c>
      <c r="V27" s="123" t="str">
        <f t="array" ref="V27">IF($C27="","",IF($C27&gt;1,(STDEV(IF($B27='Pre-Harvest Plots_rpt'!$B$4:$B$855,IF(Q$3='Pre-Harvest Plots_rpt'!$F$3:$Y$3,'Pre-Harvest Plots_rpt'!$F$4:$Y$855)))/$C27^0.5)*1.96,"NA"))</f>
        <v/>
      </c>
      <c r="W27" s="123" t="str">
        <f>IF($B27="","",SUMIF('Pre-Harvest Plots_rpt'!$B:$B,Stand_Biomass!$B27,'Pre-Harvest Plots_rpt'!W:W)/$C27)</f>
        <v/>
      </c>
      <c r="X27" s="123" t="str">
        <f t="array" ref="X27">IF($C27="","",IF($C27&gt;1,(STDEV(IF($B27='Pre-Harvest Plots_rpt'!$B$4:$B$855,IF(W$3='Pre-Harvest Plots_rpt'!$F$3:$Y$3,'Pre-Harvest Plots_rpt'!$F$4:$Y$855)))/$C27^0.5)*1.96,"NA"))</f>
        <v/>
      </c>
      <c r="Y27" s="193" t="str">
        <f>IF($B27="","",SUMIF('Pre-Harvest Plots_rpt'!$B:$B,Stand_Biomass!$B27,'Pre-Harvest Plots_rpt'!X:X)/$C27)</f>
        <v/>
      </c>
      <c r="Z27" s="130"/>
      <c r="AA27" s="189" t="str">
        <f>IF($B27="","",SUMIF('Pre-Harvest Plots_rpt'!$B:$B,Stand_Biomass!$B27,'Pre-Harvest Plots_rpt'!Z:Z)/$C27)</f>
        <v/>
      </c>
      <c r="AB27" s="121" t="str">
        <f>IF($B27="","",SUMIF('Pre-Harvest Plots_rpt'!$B:$B,Stand_Biomass!$B27,'Pre-Harvest Plots_rpt'!AA:AA)/$C27)</f>
        <v/>
      </c>
      <c r="AC27" s="121" t="str">
        <f>IF($B27="","",SUMIF('Pre-Harvest Plots_rpt'!$B:$B,Stand_Biomass!$B27,'Pre-Harvest Plots_rpt'!AB:AB)/$C27)</f>
        <v/>
      </c>
      <c r="AD27" s="177" t="str">
        <f>IF($B27="","",SUMIF('Pre-Harvest Plots_rpt'!$B:$B,Stand_Biomass!$B27,'Pre-Harvest Plots_rpt'!AC:AC)/$C27)</f>
        <v/>
      </c>
      <c r="AE27" s="196" t="str">
        <f>IF($B27="","",SUMIF('Pre-Harvest Plots_rpt'!$B:$B,Stand_Biomass!$B27,'Pre-Harvest Plots_rpt'!AD:AD)/$C27)</f>
        <v/>
      </c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2:47" x14ac:dyDescent="0.25">
      <c r="B28" s="171" t="str">
        <f>IF(Stand!C27="","",Stand!C27)</f>
        <v/>
      </c>
      <c r="C28" s="187" t="str">
        <f>IF($B28="","",VLOOKUP(B28,Stand!C:H,6,0))</f>
        <v/>
      </c>
      <c r="D28" s="130"/>
      <c r="E28" s="417" t="str">
        <f>IF($B28="","",SUMIF('Pre-Harvest Plots_rpt'!$B:$B,Stand_Biomass!$B28,'Pre-Harvest Plots_rpt'!$F:$F)/$C28)</f>
        <v/>
      </c>
      <c r="F28" s="123" t="str">
        <f>IF($B28="","",SUMIF('Pre-Harvest Plots_rpt'!$B:$B,Stand_Biomass!$B28,'Pre-Harvest Plots_rpt'!$G:$G)/$C28)</f>
        <v/>
      </c>
      <c r="G28" s="123" t="str">
        <f>IF($B28="","",SUMIF('Pre-Harvest Plots_rpt'!$B:$B,Stand_Biomass!$B28,'Pre-Harvest Plots_rpt'!$H:$H)/$C28)</f>
        <v/>
      </c>
      <c r="H28" s="418" t="str">
        <f>IF($B28="","",SUMIF('Pre-Harvest Plots_rpt'!$B:$B,Stand_Biomass!$B28,'Pre-Harvest Plots_rpt'!$I:$I)/$C28)</f>
        <v/>
      </c>
      <c r="I28" s="418" t="str">
        <f>IF($B28="","",SUMIF('Pre-Harvest Plots_rpt'!$B:$B,Stand_Biomass!$B28,'Pre-Harvest Plots_rpt'!$J:$J)/COUNTIFS('Pre-Harvest Plots_rpt'!$B:$B,Stand_Biomass!$B28,'Pre-Harvest Plots_rpt'!$J:$J,"&gt;"&amp;0))</f>
        <v/>
      </c>
      <c r="J28" s="418" t="str">
        <f>IF($B28="","",SUMIF('Pre-Harvest Plots_rpt'!$B:$B,Stand_Biomass!$B28,'Pre-Harvest Plots_rpt'!$K:$K)/$C28)</f>
        <v/>
      </c>
      <c r="K28" s="419" t="str">
        <f t="shared" si="1"/>
        <v/>
      </c>
      <c r="L28" s="135"/>
      <c r="M28" s="192" t="str">
        <f>IF($B28="","",SUMIF('Pre-Harvest Plots_rpt'!$B:$B,Stand_Biomass!$B28,'Pre-Harvest Plots_rpt'!N:N)/$C28)</f>
        <v/>
      </c>
      <c r="N28" s="122" t="str">
        <f>IF($B28="","",SUMIF('Pre-Harvest Plots_rpt'!$B:$B,Stand_Biomass!$B28,'Pre-Harvest Plots_rpt'!O:O)/$C28)</f>
        <v/>
      </c>
      <c r="O28" s="122" t="str">
        <f>IF($B28="","",SUMIF('Pre-Harvest Plots_rpt'!$B:$B,Stand_Biomass!$B28,'Pre-Harvest Plots_rpt'!P:P)/$C28)</f>
        <v/>
      </c>
      <c r="P28" s="122" t="str">
        <f>IF($B28="","",SUMIF('Pre-Harvest Plots_rpt'!$B:$B,Stand_Biomass!$B28,'Pre-Harvest Plots_rpt'!Q:Q)/$C28)</f>
        <v/>
      </c>
      <c r="Q28" s="123" t="str">
        <f>IF($B28="","",SUMIF('Pre-Harvest Plots_rpt'!$B:$B,Stand_Biomass!$B28,'Pre-Harvest Plots_rpt'!R:R)/$C28)</f>
        <v/>
      </c>
      <c r="R28" s="122" t="str">
        <f>IF($B28="","",SUMIF('Pre-Harvest Plots_rpt'!$B:$B,Stand_Biomass!$B28,'Pre-Harvest Plots_rpt'!S:S)/$C28)</f>
        <v/>
      </c>
      <c r="S28" s="122" t="str">
        <f>IF($B28="","",SUMIF('Pre-Harvest Plots_rpt'!$B:$B,Stand_Biomass!$B28,'Pre-Harvest Plots_rpt'!T:T)/$C28)</f>
        <v/>
      </c>
      <c r="T28" s="122" t="str">
        <f>IF($B28="","",SUMIF('Pre-Harvest Plots_rpt'!$B:$B,Stand_Biomass!$B28,'Pre-Harvest Plots_rpt'!U:U)/$C28)</f>
        <v/>
      </c>
      <c r="U28" s="122" t="str">
        <f>IF($B28="","",SUMIF('Pre-Harvest Plots_rpt'!$B:$B,Stand_Biomass!$B28,'Pre-Harvest Plots_rpt'!V:V)/$C28)</f>
        <v/>
      </c>
      <c r="V28" s="123" t="str">
        <f t="array" ref="V28">IF($C28="","",IF($C28&gt;1,(STDEV(IF($B28='Pre-Harvest Plots_rpt'!$B$4:$B$855,IF(Q$3='Pre-Harvest Plots_rpt'!$F$3:$Y$3,'Pre-Harvest Plots_rpt'!$F$4:$Y$855)))/$C28^0.5)*1.96,"NA"))</f>
        <v/>
      </c>
      <c r="W28" s="123" t="str">
        <f>IF($B28="","",SUMIF('Pre-Harvest Plots_rpt'!$B:$B,Stand_Biomass!$B28,'Pre-Harvest Plots_rpt'!W:W)/$C28)</f>
        <v/>
      </c>
      <c r="X28" s="123" t="str">
        <f t="array" ref="X28">IF($C28="","",IF($C28&gt;1,(STDEV(IF($B28='Pre-Harvest Plots_rpt'!$B$4:$B$855,IF(W$3='Pre-Harvest Plots_rpt'!$F$3:$Y$3,'Pre-Harvest Plots_rpt'!$F$4:$Y$855)))/$C28^0.5)*1.96,"NA"))</f>
        <v/>
      </c>
      <c r="Y28" s="193" t="str">
        <f>IF($B28="","",SUMIF('Pre-Harvest Plots_rpt'!$B:$B,Stand_Biomass!$B28,'Pre-Harvest Plots_rpt'!X:X)/$C28)</f>
        <v/>
      </c>
      <c r="Z28" s="130"/>
      <c r="AA28" s="189" t="str">
        <f>IF($B28="","",SUMIF('Pre-Harvest Plots_rpt'!$B:$B,Stand_Biomass!$B28,'Pre-Harvest Plots_rpt'!Z:Z)/$C28)</f>
        <v/>
      </c>
      <c r="AB28" s="121" t="str">
        <f>IF($B28="","",SUMIF('Pre-Harvest Plots_rpt'!$B:$B,Stand_Biomass!$B28,'Pre-Harvest Plots_rpt'!AA:AA)/$C28)</f>
        <v/>
      </c>
      <c r="AC28" s="121" t="str">
        <f>IF($B28="","",SUMIF('Pre-Harvest Plots_rpt'!$B:$B,Stand_Biomass!$B28,'Pre-Harvest Plots_rpt'!AB:AB)/$C28)</f>
        <v/>
      </c>
      <c r="AD28" s="177" t="str">
        <f>IF($B28="","",SUMIF('Pre-Harvest Plots_rpt'!$B:$B,Stand_Biomass!$B28,'Pre-Harvest Plots_rpt'!AC:AC)/$C28)</f>
        <v/>
      </c>
      <c r="AE28" s="196" t="str">
        <f>IF($B28="","",SUMIF('Pre-Harvest Plots_rpt'!$B:$B,Stand_Biomass!$B28,'Pre-Harvest Plots_rpt'!AD:AD)/$C28)</f>
        <v/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  <row r="29" spans="2:47" x14ac:dyDescent="0.25">
      <c r="B29" s="171" t="str">
        <f>IF(Stand!C28="","",Stand!C28)</f>
        <v/>
      </c>
      <c r="C29" s="187" t="str">
        <f>IF($B29="","",VLOOKUP(B29,Stand!C:H,6,0))</f>
        <v/>
      </c>
      <c r="D29" s="130"/>
      <c r="E29" s="417" t="str">
        <f>IF($B29="","",SUMIF('Pre-Harvest Plots_rpt'!$B:$B,Stand_Biomass!$B29,'Pre-Harvest Plots_rpt'!$F:$F)/$C29)</f>
        <v/>
      </c>
      <c r="F29" s="123" t="str">
        <f>IF($B29="","",SUMIF('Pre-Harvest Plots_rpt'!$B:$B,Stand_Biomass!$B29,'Pre-Harvest Plots_rpt'!$G:$G)/$C29)</f>
        <v/>
      </c>
      <c r="G29" s="123" t="str">
        <f>IF($B29="","",SUMIF('Pre-Harvest Plots_rpt'!$B:$B,Stand_Biomass!$B29,'Pre-Harvest Plots_rpt'!$H:$H)/$C29)</f>
        <v/>
      </c>
      <c r="H29" s="418" t="str">
        <f>IF($B29="","",SUMIF('Pre-Harvest Plots_rpt'!$B:$B,Stand_Biomass!$B29,'Pre-Harvest Plots_rpt'!$I:$I)/$C29)</f>
        <v/>
      </c>
      <c r="I29" s="418" t="str">
        <f>IF($B29="","",SUMIF('Pre-Harvest Plots_rpt'!$B:$B,Stand_Biomass!$B29,'Pre-Harvest Plots_rpt'!$J:$J)/COUNTIFS('Pre-Harvest Plots_rpt'!$B:$B,Stand_Biomass!$B29,'Pre-Harvest Plots_rpt'!$J:$J,"&gt;"&amp;0))</f>
        <v/>
      </c>
      <c r="J29" s="418" t="str">
        <f>IF($B29="","",SUMIF('Pre-Harvest Plots_rpt'!$B:$B,Stand_Biomass!$B29,'Pre-Harvest Plots_rpt'!$K:$K)/$C29)</f>
        <v/>
      </c>
      <c r="K29" s="419" t="str">
        <f t="shared" si="1"/>
        <v/>
      </c>
      <c r="L29" s="135"/>
      <c r="M29" s="192" t="str">
        <f>IF($B29="","",SUMIF('Pre-Harvest Plots_rpt'!$B:$B,Stand_Biomass!$B29,'Pre-Harvest Plots_rpt'!N:N)/$C29)</f>
        <v/>
      </c>
      <c r="N29" s="122" t="str">
        <f>IF($B29="","",SUMIF('Pre-Harvest Plots_rpt'!$B:$B,Stand_Biomass!$B29,'Pre-Harvest Plots_rpt'!O:O)/$C29)</f>
        <v/>
      </c>
      <c r="O29" s="122" t="str">
        <f>IF($B29="","",SUMIF('Pre-Harvest Plots_rpt'!$B:$B,Stand_Biomass!$B29,'Pre-Harvest Plots_rpt'!P:P)/$C29)</f>
        <v/>
      </c>
      <c r="P29" s="122" t="str">
        <f>IF($B29="","",SUMIF('Pre-Harvest Plots_rpt'!$B:$B,Stand_Biomass!$B29,'Pre-Harvest Plots_rpt'!Q:Q)/$C29)</f>
        <v/>
      </c>
      <c r="Q29" s="123" t="str">
        <f>IF($B29="","",SUMIF('Pre-Harvest Plots_rpt'!$B:$B,Stand_Biomass!$B29,'Pre-Harvest Plots_rpt'!R:R)/$C29)</f>
        <v/>
      </c>
      <c r="R29" s="122" t="str">
        <f>IF($B29="","",SUMIF('Pre-Harvest Plots_rpt'!$B:$B,Stand_Biomass!$B29,'Pre-Harvest Plots_rpt'!S:S)/$C29)</f>
        <v/>
      </c>
      <c r="S29" s="122" t="str">
        <f>IF($B29="","",SUMIF('Pre-Harvest Plots_rpt'!$B:$B,Stand_Biomass!$B29,'Pre-Harvest Plots_rpt'!T:T)/$C29)</f>
        <v/>
      </c>
      <c r="T29" s="122" t="str">
        <f>IF($B29="","",SUMIF('Pre-Harvest Plots_rpt'!$B:$B,Stand_Biomass!$B29,'Pre-Harvest Plots_rpt'!U:U)/$C29)</f>
        <v/>
      </c>
      <c r="U29" s="122" t="str">
        <f>IF($B29="","",SUMIF('Pre-Harvest Plots_rpt'!$B:$B,Stand_Biomass!$B29,'Pre-Harvest Plots_rpt'!V:V)/$C29)</f>
        <v/>
      </c>
      <c r="V29" s="123" t="str">
        <f t="array" ref="V29">IF($C29="","",IF($C29&gt;1,(STDEV(IF($B29='Pre-Harvest Plots_rpt'!$B$4:$B$855,IF(Q$3='Pre-Harvest Plots_rpt'!$F$3:$Y$3,'Pre-Harvest Plots_rpt'!$F$4:$Y$855)))/$C29^0.5)*1.96,"NA"))</f>
        <v/>
      </c>
      <c r="W29" s="123" t="str">
        <f>IF($B29="","",SUMIF('Pre-Harvest Plots_rpt'!$B:$B,Stand_Biomass!$B29,'Pre-Harvest Plots_rpt'!W:W)/$C29)</f>
        <v/>
      </c>
      <c r="X29" s="123" t="str">
        <f t="array" ref="X29">IF($C29="","",IF($C29&gt;1,(STDEV(IF($B29='Pre-Harvest Plots_rpt'!$B$4:$B$855,IF(W$3='Pre-Harvest Plots_rpt'!$F$3:$Y$3,'Pre-Harvest Plots_rpt'!$F$4:$Y$855)))/$C29^0.5)*1.96,"NA"))</f>
        <v/>
      </c>
      <c r="Y29" s="193" t="str">
        <f>IF($B29="","",SUMIF('Pre-Harvest Plots_rpt'!$B:$B,Stand_Biomass!$B29,'Pre-Harvest Plots_rpt'!X:X)/$C29)</f>
        <v/>
      </c>
      <c r="Z29" s="130"/>
      <c r="AA29" s="189" t="str">
        <f>IF($B29="","",SUMIF('Pre-Harvest Plots_rpt'!$B:$B,Stand_Biomass!$B29,'Pre-Harvest Plots_rpt'!Z:Z)/$C29)</f>
        <v/>
      </c>
      <c r="AB29" s="121" t="str">
        <f>IF($B29="","",SUMIF('Pre-Harvest Plots_rpt'!$B:$B,Stand_Biomass!$B29,'Pre-Harvest Plots_rpt'!AA:AA)/$C29)</f>
        <v/>
      </c>
      <c r="AC29" s="121" t="str">
        <f>IF($B29="","",SUMIF('Pre-Harvest Plots_rpt'!$B:$B,Stand_Biomass!$B29,'Pre-Harvest Plots_rpt'!AB:AB)/$C29)</f>
        <v/>
      </c>
      <c r="AD29" s="177" t="str">
        <f>IF($B29="","",SUMIF('Pre-Harvest Plots_rpt'!$B:$B,Stand_Biomass!$B29,'Pre-Harvest Plots_rpt'!AC:AC)/$C29)</f>
        <v/>
      </c>
      <c r="AE29" s="196" t="str">
        <f>IF($B29="","",SUMIF('Pre-Harvest Plots_rpt'!$B:$B,Stand_Biomass!$B29,'Pre-Harvest Plots_rpt'!AD:AD)/$C29)</f>
        <v/>
      </c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</row>
    <row r="30" spans="2:47" ht="13.8" thickBot="1" x14ac:dyDescent="0.3">
      <c r="B30" s="174" t="str">
        <f>IF(Stand!C29="","",Stand!C29)</f>
        <v/>
      </c>
      <c r="C30" s="188" t="str">
        <f>IF($B30="","",VLOOKUP(B30,Stand!C:H,6,0))</f>
        <v/>
      </c>
      <c r="D30" s="130"/>
      <c r="E30" s="417" t="str">
        <f>IF($B30="","",SUMIF('Pre-Harvest Plots_rpt'!$B:$B,Stand_Biomass!$B30,'Pre-Harvest Plots_rpt'!$F:$F)/$C30)</f>
        <v/>
      </c>
      <c r="F30" s="123" t="str">
        <f>IF($B30="","",SUMIF('Pre-Harvest Plots_rpt'!$B:$B,Stand_Biomass!$B30,'Pre-Harvest Plots_rpt'!$G:$G)/$C30)</f>
        <v/>
      </c>
      <c r="G30" s="123" t="str">
        <f>IF($B30="","",SUMIF('Pre-Harvest Plots_rpt'!$B:$B,Stand_Biomass!$B30,'Pre-Harvest Plots_rpt'!$H:$H)/$C30)</f>
        <v/>
      </c>
      <c r="H30" s="418" t="str">
        <f>IF($B30="","",SUMIF('Pre-Harvest Plots_rpt'!$B:$B,Stand_Biomass!$B30,'Pre-Harvest Plots_rpt'!$I:$I)/$C30)</f>
        <v/>
      </c>
      <c r="I30" s="418" t="str">
        <f>IF($B30="","",SUMIF('Pre-Harvest Plots_rpt'!$B:$B,Stand_Biomass!$B30,'Pre-Harvest Plots_rpt'!$J:$J)/COUNTIFS('Pre-Harvest Plots_rpt'!$B:$B,Stand_Biomass!$B30,'Pre-Harvest Plots_rpt'!$J:$J,"&gt;"&amp;0))</f>
        <v/>
      </c>
      <c r="J30" s="418" t="str">
        <f>IF($B30="","",SUMIF('Pre-Harvest Plots_rpt'!$B:$B,Stand_Biomass!$B30,'Pre-Harvest Plots_rpt'!$K:$K)/$C30)</f>
        <v/>
      </c>
      <c r="K30" s="419" t="str">
        <f t="shared" si="1"/>
        <v/>
      </c>
      <c r="L30" s="135"/>
      <c r="M30" s="194" t="str">
        <f>IF($B30="","",SUMIF('Pre-Harvest Plots_rpt'!$B:$B,Stand_Biomass!$B30,'Pre-Harvest Plots_rpt'!N:N)/$C30)</f>
        <v/>
      </c>
      <c r="N30" s="163" t="str">
        <f>IF($B30="","",SUMIF('Pre-Harvest Plots_rpt'!$B:$B,Stand_Biomass!$B30,'Pre-Harvest Plots_rpt'!O:O)/$C30)</f>
        <v/>
      </c>
      <c r="O30" s="163" t="str">
        <f>IF($B30="","",SUMIF('Pre-Harvest Plots_rpt'!$B:$B,Stand_Biomass!$B30,'Pre-Harvest Plots_rpt'!P:P)/$C30)</f>
        <v/>
      </c>
      <c r="P30" s="163" t="str">
        <f>IF($B30="","",SUMIF('Pre-Harvest Plots_rpt'!$B:$B,Stand_Biomass!$B30,'Pre-Harvest Plots_rpt'!Q:Q)/$C30)</f>
        <v/>
      </c>
      <c r="Q30" s="167" t="str">
        <f>IF($B30="","",SUMIF('Pre-Harvest Plots_rpt'!$B:$B,Stand_Biomass!$B30,'Pre-Harvest Plots_rpt'!R:R)/$C30)</f>
        <v/>
      </c>
      <c r="R30" s="163" t="str">
        <f>IF($B30="","",SUMIF('Pre-Harvest Plots_rpt'!$B:$B,Stand_Biomass!$B30,'Pre-Harvest Plots_rpt'!S:S)/$C30)</f>
        <v/>
      </c>
      <c r="S30" s="163" t="str">
        <f>IF($B30="","",SUMIF('Pre-Harvest Plots_rpt'!$B:$B,Stand_Biomass!$B30,'Pre-Harvest Plots_rpt'!T:T)/$C30)</f>
        <v/>
      </c>
      <c r="T30" s="163" t="str">
        <f>IF($B30="","",SUMIF('Pre-Harvest Plots_rpt'!$B:$B,Stand_Biomass!$B30,'Pre-Harvest Plots_rpt'!U:U)/$C30)</f>
        <v/>
      </c>
      <c r="U30" s="163" t="str">
        <f>IF($B30="","",SUMIF('Pre-Harvest Plots_rpt'!$B:$B,Stand_Biomass!$B30,'Pre-Harvest Plots_rpt'!V:V)/$C30)</f>
        <v/>
      </c>
      <c r="V30" s="167" t="str">
        <f t="array" ref="V30">IF($C30="","",IF($C30&gt;1,(STDEV(IF($B30='Pre-Harvest Plots_rpt'!$B$4:$B$855,IF(Q$3='Pre-Harvest Plots_rpt'!$F$3:$Y$3,'Pre-Harvest Plots_rpt'!$F$4:$Y$855)))/$C30^0.5)*1.96,"NA"))</f>
        <v/>
      </c>
      <c r="W30" s="167" t="str">
        <f>IF($B30="","",SUMIF('Pre-Harvest Plots_rpt'!$B:$B,Stand_Biomass!$B30,'Pre-Harvest Plots_rpt'!W:W)/$C30)</f>
        <v/>
      </c>
      <c r="X30" s="167" t="str">
        <f t="array" ref="X30">IF($C30="","",IF($C30&gt;1,(STDEV(IF($B30='Pre-Harvest Plots_rpt'!$B$4:$B$855,IF(W$3='Pre-Harvest Plots_rpt'!$F$3:$Y$3,'Pre-Harvest Plots_rpt'!$F$4:$Y$855)))/$C30^0.5)*1.96,"NA"))</f>
        <v/>
      </c>
      <c r="Y30" s="195" t="str">
        <f>IF($B30="","",SUMIF('Pre-Harvest Plots_rpt'!$B:$B,Stand_Biomass!$B30,'Pre-Harvest Plots_rpt'!X:X)/$C30)</f>
        <v/>
      </c>
      <c r="Z30" s="130"/>
      <c r="AA30" s="190" t="str">
        <f>IF($B30="","",SUMIF('Pre-Harvest Plots_rpt'!$B:$B,Stand_Biomass!$B30,'Pre-Harvest Plots_rpt'!Z:Z)/$C30)</f>
        <v/>
      </c>
      <c r="AB30" s="164" t="str">
        <f>IF($B30="","",SUMIF('Pre-Harvest Plots_rpt'!$B:$B,Stand_Biomass!$B30,'Pre-Harvest Plots_rpt'!AA:AA)/$C30)</f>
        <v/>
      </c>
      <c r="AC30" s="164" t="str">
        <f>IF($B30="","",SUMIF('Pre-Harvest Plots_rpt'!$B:$B,Stand_Biomass!$B30,'Pre-Harvest Plots_rpt'!AB:AB)/$C30)</f>
        <v/>
      </c>
      <c r="AD30" s="197" t="str">
        <f>IF($B30="","",SUMIF('Pre-Harvest Plots_rpt'!$B:$B,Stand_Biomass!$B30,'Pre-Harvest Plots_rpt'!AC:AC)/$C30)</f>
        <v/>
      </c>
      <c r="AE30" s="198" t="str">
        <f>IF($B30="","",SUMIF('Pre-Harvest Plots_rpt'!$B:$B,Stand_Biomass!$B30,'Pre-Harvest Plots_rpt'!AD:AD)/$C30)</f>
        <v/>
      </c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</row>
    <row r="31" spans="2:47" x14ac:dyDescent="0.25">
      <c r="B31" s="498"/>
      <c r="C31" s="498"/>
      <c r="D31" s="180"/>
      <c r="E31" s="83"/>
      <c r="F31" s="499"/>
      <c r="G31" s="499"/>
      <c r="H31" s="499"/>
      <c r="I31" s="499"/>
      <c r="J31" s="499"/>
      <c r="K31" s="499"/>
      <c r="L31" s="182"/>
      <c r="M31" s="499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184"/>
      <c r="AA31" s="86"/>
      <c r="AB31" s="86"/>
      <c r="AC31" s="86"/>
      <c r="AD31" s="86"/>
      <c r="AE31" s="86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</row>
    <row r="32" spans="2:47" s="276" customFormat="1" x14ac:dyDescent="0.25">
      <c r="B32" s="397"/>
      <c r="C32" s="291"/>
      <c r="D32" s="291"/>
      <c r="E32" s="398"/>
      <c r="F32" s="287"/>
      <c r="G32" s="287"/>
      <c r="H32" s="287"/>
      <c r="I32" s="287"/>
      <c r="J32" s="287"/>
      <c r="K32" s="287"/>
      <c r="L32" s="287"/>
      <c r="M32" s="287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399"/>
      <c r="AG32" s="399"/>
    </row>
    <row r="33" spans="2:47" x14ac:dyDescent="0.25">
      <c r="B33" s="180"/>
      <c r="C33" s="181"/>
      <c r="D33" s="181"/>
      <c r="E33" s="135"/>
      <c r="F33" s="182"/>
      <c r="G33" s="182"/>
      <c r="H33" s="182"/>
      <c r="I33" s="182"/>
      <c r="J33" s="182"/>
      <c r="K33" s="182"/>
      <c r="L33" s="182"/>
      <c r="M33" s="182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10"/>
      <c r="AG33" s="110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2:47" ht="13.8" thickBot="1" x14ac:dyDescent="0.3">
      <c r="B34" s="578" t="s">
        <v>236</v>
      </c>
      <c r="C34" s="578"/>
      <c r="D34" s="180"/>
      <c r="E34" s="83"/>
      <c r="F34" s="499"/>
      <c r="G34" s="499"/>
      <c r="H34" s="499"/>
      <c r="I34" s="499"/>
      <c r="J34" s="499"/>
      <c r="K34" s="499"/>
      <c r="L34" s="182"/>
      <c r="M34" s="499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184"/>
      <c r="AA34" s="86"/>
      <c r="AB34" s="86"/>
      <c r="AC34" s="86"/>
      <c r="AD34" s="86"/>
      <c r="AE34" s="86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  <row r="35" spans="2:47" ht="18" thickBot="1" x14ac:dyDescent="0.35">
      <c r="B35" s="579"/>
      <c r="C35" s="579"/>
      <c r="D35" s="178"/>
      <c r="E35" s="580" t="s">
        <v>215</v>
      </c>
      <c r="F35" s="581"/>
      <c r="G35" s="581"/>
      <c r="H35" s="581"/>
      <c r="I35" s="581"/>
      <c r="J35" s="581"/>
      <c r="K35" s="582"/>
      <c r="L35" s="182"/>
      <c r="M35" s="583" t="s">
        <v>217</v>
      </c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5"/>
      <c r="Z35" s="184"/>
      <c r="AA35" s="586" t="s">
        <v>218</v>
      </c>
      <c r="AB35" s="587"/>
      <c r="AC35" s="587"/>
      <c r="AD35" s="587"/>
      <c r="AE35" s="588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</row>
    <row r="36" spans="2:47" ht="79.2" x14ac:dyDescent="0.25">
      <c r="B36" s="168" t="s">
        <v>82</v>
      </c>
      <c r="C36" s="186" t="s">
        <v>6</v>
      </c>
      <c r="D36" s="129"/>
      <c r="E36" s="420" t="s">
        <v>85</v>
      </c>
      <c r="F36" s="421" t="s">
        <v>248</v>
      </c>
      <c r="G36" s="421" t="s">
        <v>249</v>
      </c>
      <c r="H36" s="422" t="s">
        <v>39</v>
      </c>
      <c r="I36" s="422" t="s">
        <v>232</v>
      </c>
      <c r="J36" s="422" t="s">
        <v>88</v>
      </c>
      <c r="K36" s="423" t="s">
        <v>89</v>
      </c>
      <c r="L36" s="183"/>
      <c r="M36" s="191" t="s">
        <v>216</v>
      </c>
      <c r="N36" s="149" t="s">
        <v>155</v>
      </c>
      <c r="O36" s="149" t="s">
        <v>224</v>
      </c>
      <c r="P36" s="149" t="s">
        <v>223</v>
      </c>
      <c r="Q36" s="155" t="s">
        <v>171</v>
      </c>
      <c r="R36" s="149" t="s">
        <v>228</v>
      </c>
      <c r="S36" s="149" t="s">
        <v>225</v>
      </c>
      <c r="T36" s="149" t="s">
        <v>226</v>
      </c>
      <c r="U36" s="155" t="s">
        <v>227</v>
      </c>
      <c r="V36" s="155" t="s">
        <v>310</v>
      </c>
      <c r="W36" s="155" t="s">
        <v>159</v>
      </c>
      <c r="X36" s="155" t="s">
        <v>311</v>
      </c>
      <c r="Y36" s="160" t="s">
        <v>166</v>
      </c>
      <c r="Z36" s="185"/>
      <c r="AA36" s="159" t="s">
        <v>152</v>
      </c>
      <c r="AB36" s="150" t="s">
        <v>153</v>
      </c>
      <c r="AC36" s="150" t="s">
        <v>154</v>
      </c>
      <c r="AD36" s="149" t="s">
        <v>156</v>
      </c>
      <c r="AE36" s="160" t="s">
        <v>252</v>
      </c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2:47" x14ac:dyDescent="0.25">
      <c r="B37" s="171" t="str">
        <f>IF(Stand!C3="","",Stand!C3)</f>
        <v/>
      </c>
      <c r="C37" s="187" t="str">
        <f>IF($B37="","",VLOOKUP(B37,Stand!C:H,6,0))</f>
        <v/>
      </c>
      <c r="D37" s="130"/>
      <c r="E37" s="152" t="str">
        <f>IF($B37="","",SUMIF('Post-Harvest Plots_rpt'!$B:$B,Stand_Biomass!$B37,'Post-Harvest Plots_rpt'!$F:$F)/$C37)</f>
        <v/>
      </c>
      <c r="F37" s="359" t="str">
        <f>IF($B37="","",SUMIF('Post-Harvest Plots_rpt'!$B:$B,Stand_Biomass!$B37,'Post-Harvest Plots_rpt'!$G:$G)/$C37)</f>
        <v/>
      </c>
      <c r="G37" s="359" t="str">
        <f>IF($B37="","",SUMIF('Post-Harvest Plots_rpt'!$B:$B,Stand_Biomass!$B37,'Post-Harvest Plots_rpt'!$H:$H)/$C37)</f>
        <v/>
      </c>
      <c r="H37" s="297" t="str">
        <f>IF($B37="","",SUMIF('Post-Harvest Plots_rpt'!$B:$B,Stand_Biomass!$B37,'Post-Harvest Plots_rpt'!$I:$I)/$C37)</f>
        <v/>
      </c>
      <c r="I37" s="297" t="str">
        <f>IF($B37="","",SUMIF('Post-Harvest Plots_rpt'!$B:$B,Stand_Biomass!$B37,'Post-Harvest Plots_rpt'!$J:$J)/COUNTIFS('Post-Harvest Plots_rpt'!$B:$B,Stand_Biomass!$B37,'Post-Harvest Plots_rpt'!$J:$J,"&gt;"&amp;0))</f>
        <v/>
      </c>
      <c r="J37" s="297" t="str">
        <f>IF($B37="","",SUMIF('Post-Harvest Plots_rpt'!$B:$B,Stand_Biomass!$B37,'Post-Harvest Plots_rpt'!$K:$K)/$C37)</f>
        <v/>
      </c>
      <c r="K37" s="298" t="str">
        <f t="shared" ref="K37" si="2">IF($B37="","",IF(OR(G37=0,H37=0),0,H37/SQRT(G37)))</f>
        <v/>
      </c>
      <c r="L37" s="135"/>
      <c r="M37" s="192" t="str">
        <f>IF($B37="","",SUMIF('Post-Harvest Plots_rpt'!$B:$B,Stand_Biomass!$B37,'Post-Harvest Plots_rpt'!N:N)/$C37)</f>
        <v/>
      </c>
      <c r="N37" s="122" t="str">
        <f>IF($B37="","",SUMIF('Post-Harvest Plots_rpt'!$B:$B,Stand_Biomass!$B37,'Post-Harvest Plots_rpt'!O:O)/$C37)</f>
        <v/>
      </c>
      <c r="O37" s="122" t="str">
        <f>IF($B37="","",SUMIF('Post-Harvest Plots_rpt'!$B:$B,Stand_Biomass!$B37,'Post-Harvest Plots_rpt'!P:P)/$C37)</f>
        <v/>
      </c>
      <c r="P37" s="122" t="str">
        <f>IF($B37="","",SUMIF('Post-Harvest Plots_rpt'!$B:$B,Stand_Biomass!$B37,'Post-Harvest Plots_rpt'!Q:Q)/$C37)</f>
        <v/>
      </c>
      <c r="Q37" s="123" t="str">
        <f>IF($B37="","",SUMIF('Post-Harvest Plots_rpt'!$B:$B,Stand_Biomass!$B37,'Post-Harvest Plots_rpt'!R:R)/$C37)</f>
        <v/>
      </c>
      <c r="R37" s="122" t="str">
        <f>IF($B37="","",SUMIF('Post-Harvest Plots_rpt'!$B:$B,Stand_Biomass!$B37,'Post-Harvest Plots_rpt'!S:S)/$C37)</f>
        <v/>
      </c>
      <c r="S37" s="122" t="str">
        <f>IF($B37="","",SUMIF('Post-Harvest Plots_rpt'!$B:$B,Stand_Biomass!$B37,'Post-Harvest Plots_rpt'!T:T)/$C37)</f>
        <v/>
      </c>
      <c r="T37" s="122" t="str">
        <f>IF($B37="","",SUMIF('Post-Harvest Plots_rpt'!$B:$B,Stand_Biomass!$B37,'Post-Harvest Plots_rpt'!U:U)/$C37)</f>
        <v/>
      </c>
      <c r="U37" s="122" t="str">
        <f>IF($B37="","",SUMIF('Post-Harvest Plots_rpt'!$B:$B,Stand_Biomass!$B37,'Post-Harvest Plots_rpt'!V:V)/$C37)</f>
        <v/>
      </c>
      <c r="V37" s="123" t="str">
        <f t="array" ref="V37">IF($C37="","",IF($C37&gt;1,(STDEV(IF($B37='Post-Harvest Plots_rpt'!$B$4:$B$855,IF(Q$3='Post-Harvest Plots_rpt'!$F$3:$Y$3,'Post-Harvest Plots_rpt'!$F$4:$Y$855)))/$C37^0.5)*1.96,"NA"))</f>
        <v/>
      </c>
      <c r="W37" s="123" t="str">
        <f>IF($B37="","",SUMIF('Post-Harvest Plots_rpt'!$B:$B,Stand_Biomass!$B37,'Post-Harvest Plots_rpt'!W:W)/$C37)</f>
        <v/>
      </c>
      <c r="X37" s="123" t="str">
        <f t="array" ref="X37">IF($C37="","",IF($C37&gt;1,(STDEV(IF($B37='Post-Harvest Plots_rpt'!$B$4:$B$855,IF(W$3='Post-Harvest Plots_rpt'!$F$3:$Y$3,'Post-Harvest Plots_rpt'!$F$4:$Y$855)))/$C37^0.5)*1.96,"NA"))</f>
        <v/>
      </c>
      <c r="Y37" s="193" t="str">
        <f>IF($B37="","",SUMIF('Post-Harvest Plots_rpt'!$B:$B,Stand_Biomass!$B37,'Post-Harvest Plots_rpt'!X:X)/$C37)</f>
        <v/>
      </c>
      <c r="Z37" s="130"/>
      <c r="AA37" s="189" t="str">
        <f>IF($B37="","",SUMIF('Post-Harvest Plots_rpt'!$B:$B,Stand_Biomass!$B37,'Post-Harvest Plots_rpt'!Z:Z)/$C37)</f>
        <v/>
      </c>
      <c r="AB37" s="121" t="str">
        <f>IF($B37="","",SUMIF('Post-Harvest Plots_rpt'!$B:$B,Stand_Biomass!$B37,'Post-Harvest Plots_rpt'!AA:AA)/$C37)</f>
        <v/>
      </c>
      <c r="AC37" s="121" t="str">
        <f>IF($B37="","",SUMIF('Post-Harvest Plots_rpt'!$B:$B,Stand_Biomass!$B37,'Post-Harvest Plots_rpt'!AB:AB)/$C37)</f>
        <v/>
      </c>
      <c r="AD37" s="177" t="str">
        <f>IF($B37="","",SUMIF('Post-Harvest Plots_rpt'!$B:$B,Stand_Biomass!$B37,'Post-Harvest Plots_rpt'!AC:AC)/$C37)</f>
        <v/>
      </c>
      <c r="AE37" s="196" t="str">
        <f>IF($B37="","",SUMIF('Post-Harvest Plots_rpt'!$B:$B,Stand_Biomass!$B37,'Post-Harvest Plots_rpt'!AD:AD)/$C37)</f>
        <v/>
      </c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  <row r="38" spans="2:47" x14ac:dyDescent="0.25">
      <c r="B38" s="171" t="str">
        <f>IF(Stand!C4="","",Stand!C4)</f>
        <v/>
      </c>
      <c r="C38" s="187" t="str">
        <f>IF($B38="","",VLOOKUP(B38,Stand!C:H,6,0))</f>
        <v/>
      </c>
      <c r="D38" s="130"/>
      <c r="E38" s="152" t="str">
        <f>IF($B38="","",SUMIF('Post-Harvest Plots_rpt'!$B:$B,Stand_Biomass!$B38,'Post-Harvest Plots_rpt'!$F:$F)/$C38)</f>
        <v/>
      </c>
      <c r="F38" s="359" t="str">
        <f>IF($B38="","",SUMIF('Post-Harvest Plots_rpt'!$B:$B,Stand_Biomass!$B38,'Post-Harvest Plots_rpt'!$G:$G)/$C38)</f>
        <v/>
      </c>
      <c r="G38" s="359" t="str">
        <f>IF($B38="","",SUMIF('Post-Harvest Plots_rpt'!$B:$B,Stand_Biomass!$B38,'Post-Harvest Plots_rpt'!$H:$H)/$C38)</f>
        <v/>
      </c>
      <c r="H38" s="297" t="str">
        <f>IF($B38="","",SUMIF('Post-Harvest Plots_rpt'!$B:$B,Stand_Biomass!$B38,'Post-Harvest Plots_rpt'!$I:$I)/$C38)</f>
        <v/>
      </c>
      <c r="I38" s="297" t="str">
        <f>IF($B38="","",SUMIF('Post-Harvest Plots_rpt'!$B:$B,Stand_Biomass!$B38,'Post-Harvest Plots_rpt'!$J:$J)/COUNTIFS('Post-Harvest Plots_rpt'!$B:$B,Stand_Biomass!$B38,'Post-Harvest Plots_rpt'!$J:$J,"&gt;"&amp;0))</f>
        <v/>
      </c>
      <c r="J38" s="297" t="str">
        <f>IF($B38="","",SUMIF('Post-Harvest Plots_rpt'!$B:$B,Stand_Biomass!$B38,'Post-Harvest Plots_rpt'!$K:$K)/$C38)</f>
        <v/>
      </c>
      <c r="K38" s="298" t="str">
        <f t="shared" ref="K38:K63" si="3">IF($B38="","",IF(OR(G38=0,H38=0),0,H38/SQRT(G38)))</f>
        <v/>
      </c>
      <c r="L38" s="135"/>
      <c r="M38" s="192" t="str">
        <f>IF($B38="","",SUMIF('Post-Harvest Plots_rpt'!$B:$B,Stand_Biomass!$B38,'Post-Harvest Plots_rpt'!N:N)/$C38)</f>
        <v/>
      </c>
      <c r="N38" s="122" t="str">
        <f>IF($B38="","",SUMIF('Post-Harvest Plots_rpt'!$B:$B,Stand_Biomass!$B38,'Post-Harvest Plots_rpt'!O:O)/$C38)</f>
        <v/>
      </c>
      <c r="O38" s="122" t="str">
        <f>IF($B38="","",SUMIF('Post-Harvest Plots_rpt'!$B:$B,Stand_Biomass!$B38,'Post-Harvest Plots_rpt'!P:P)/$C38)</f>
        <v/>
      </c>
      <c r="P38" s="122" t="str">
        <f>IF($B38="","",SUMIF('Post-Harvest Plots_rpt'!$B:$B,Stand_Biomass!$B38,'Post-Harvest Plots_rpt'!Q:Q)/$C38)</f>
        <v/>
      </c>
      <c r="Q38" s="123" t="str">
        <f>IF($B38="","",SUMIF('Post-Harvest Plots_rpt'!$B:$B,Stand_Biomass!$B38,'Post-Harvest Plots_rpt'!R:R)/$C38)</f>
        <v/>
      </c>
      <c r="R38" s="122" t="str">
        <f>IF($B38="","",SUMIF('Post-Harvest Plots_rpt'!$B:$B,Stand_Biomass!$B38,'Post-Harvest Plots_rpt'!S:S)/$C38)</f>
        <v/>
      </c>
      <c r="S38" s="122" t="str">
        <f>IF($B38="","",SUMIF('Post-Harvest Plots_rpt'!$B:$B,Stand_Biomass!$B38,'Post-Harvest Plots_rpt'!T:T)/$C38)</f>
        <v/>
      </c>
      <c r="T38" s="122" t="str">
        <f>IF($B38="","",SUMIF('Post-Harvest Plots_rpt'!$B:$B,Stand_Biomass!$B38,'Post-Harvest Plots_rpt'!U:U)/$C38)</f>
        <v/>
      </c>
      <c r="U38" s="122" t="str">
        <f>IF($B38="","",SUMIF('Post-Harvest Plots_rpt'!$B:$B,Stand_Biomass!$B38,'Post-Harvest Plots_rpt'!V:V)/$C38)</f>
        <v/>
      </c>
      <c r="V38" s="123" t="str">
        <f t="array" ref="V38">IF($C38="","",IF($C38&gt;1,(STDEV(IF($B38='Post-Harvest Plots_rpt'!$B$4:$B$855,IF(Q$3='Post-Harvest Plots_rpt'!$F$3:$Y$3,'Post-Harvest Plots_rpt'!$F$4:$Y$855)))/$C38^0.5)*1.96,"NA"))</f>
        <v/>
      </c>
      <c r="W38" s="123" t="str">
        <f>IF($B38="","",SUMIF('Post-Harvest Plots_rpt'!$B:$B,Stand_Biomass!$B38,'Post-Harvest Plots_rpt'!W:W)/$C38)</f>
        <v/>
      </c>
      <c r="X38" s="123" t="str">
        <f t="array" ref="X38">IF($C38="","",IF($C38&gt;1,(STDEV(IF($B38='Post-Harvest Plots_rpt'!$B$4:$B$855,IF(W$3='Post-Harvest Plots_rpt'!$F$3:$Y$3,'Post-Harvest Plots_rpt'!$F$4:$Y$855)))/$C38^0.5)*1.96,"NA"))</f>
        <v/>
      </c>
      <c r="Y38" s="193" t="str">
        <f>IF($B38="","",SUMIF('Post-Harvest Plots_rpt'!$B:$B,Stand_Biomass!$B38,'Post-Harvest Plots_rpt'!X:X)/$C38)</f>
        <v/>
      </c>
      <c r="Z38" s="130"/>
      <c r="AA38" s="189" t="str">
        <f>IF($B38="","",SUMIF('Post-Harvest Plots_rpt'!$B:$B,Stand_Biomass!$B38,'Post-Harvest Plots_rpt'!Z:Z)/$C38)</f>
        <v/>
      </c>
      <c r="AB38" s="121" t="str">
        <f>IF($B38="","",SUMIF('Post-Harvest Plots_rpt'!$B:$B,Stand_Biomass!$B38,'Post-Harvest Plots_rpt'!AA:AA)/$C38)</f>
        <v/>
      </c>
      <c r="AC38" s="121" t="str">
        <f>IF($B38="","",SUMIF('Post-Harvest Plots_rpt'!$B:$B,Stand_Biomass!$B38,'Post-Harvest Plots_rpt'!AB:AB)/$C38)</f>
        <v/>
      </c>
      <c r="AD38" s="177" t="str">
        <f>IF($B38="","",SUMIF('Post-Harvest Plots_rpt'!$B:$B,Stand_Biomass!$B38,'Post-Harvest Plots_rpt'!AC:AC)/$C38)</f>
        <v/>
      </c>
      <c r="AE38" s="196" t="str">
        <f>IF($B38="","",SUMIF('Post-Harvest Plots_rpt'!$B:$B,Stand_Biomass!$B38,'Post-Harvest Plots_rpt'!AD:AD)/$C38)</f>
        <v/>
      </c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</row>
    <row r="39" spans="2:47" x14ac:dyDescent="0.25">
      <c r="B39" s="171" t="str">
        <f>IF(Stand!C5="","",Stand!C5)</f>
        <v/>
      </c>
      <c r="C39" s="187" t="str">
        <f>IF($B39="","",VLOOKUP(B39,Stand!C:H,6,0))</f>
        <v/>
      </c>
      <c r="D39" s="130"/>
      <c r="E39" s="152" t="str">
        <f>IF($B39="","",SUMIF('Post-Harvest Plots_rpt'!$B:$B,Stand_Biomass!$B39,'Post-Harvest Plots_rpt'!$F:$F)/$C39)</f>
        <v/>
      </c>
      <c r="F39" s="359" t="str">
        <f>IF($B39="","",SUMIF('Post-Harvest Plots_rpt'!$B:$B,Stand_Biomass!$B39,'Post-Harvest Plots_rpt'!$G:$G)/$C39)</f>
        <v/>
      </c>
      <c r="G39" s="359" t="str">
        <f>IF($B39="","",SUMIF('Post-Harvest Plots_rpt'!$B:$B,Stand_Biomass!$B39,'Post-Harvest Plots_rpt'!$H:$H)/$C39)</f>
        <v/>
      </c>
      <c r="H39" s="297" t="str">
        <f>IF($B39="","",SUMIF('Post-Harvest Plots_rpt'!$B:$B,Stand_Biomass!$B39,'Post-Harvest Plots_rpt'!$I:$I)/$C39)</f>
        <v/>
      </c>
      <c r="I39" s="297" t="str">
        <f>IF($B39="","",SUMIF('Post-Harvest Plots_rpt'!$B:$B,Stand_Biomass!$B39,'Post-Harvest Plots_rpt'!$J:$J)/COUNTIFS('Post-Harvest Plots_rpt'!$B:$B,Stand_Biomass!$B39,'Post-Harvest Plots_rpt'!$J:$J,"&gt;"&amp;0))</f>
        <v/>
      </c>
      <c r="J39" s="297" t="str">
        <f>IF($B39="","",SUMIF('Post-Harvest Plots_rpt'!$B:$B,Stand_Biomass!$B39,'Post-Harvest Plots_rpt'!$K:$K)/$C39)</f>
        <v/>
      </c>
      <c r="K39" s="298" t="str">
        <f t="shared" si="3"/>
        <v/>
      </c>
      <c r="L39" s="135"/>
      <c r="M39" s="192" t="str">
        <f>IF($B39="","",SUMIF('Post-Harvest Plots_rpt'!$B:$B,Stand_Biomass!$B39,'Post-Harvest Plots_rpt'!N:N)/$C39)</f>
        <v/>
      </c>
      <c r="N39" s="122" t="str">
        <f>IF($B39="","",SUMIF('Post-Harvest Plots_rpt'!$B:$B,Stand_Biomass!$B39,'Post-Harvest Plots_rpt'!O:O)/$C39)</f>
        <v/>
      </c>
      <c r="O39" s="122" t="str">
        <f>IF($B39="","",SUMIF('Post-Harvest Plots_rpt'!$B:$B,Stand_Biomass!$B39,'Post-Harvest Plots_rpt'!P:P)/$C39)</f>
        <v/>
      </c>
      <c r="P39" s="122" t="str">
        <f>IF($B39="","",SUMIF('Post-Harvest Plots_rpt'!$B:$B,Stand_Biomass!$B39,'Post-Harvest Plots_rpt'!Q:Q)/$C39)</f>
        <v/>
      </c>
      <c r="Q39" s="123" t="str">
        <f>IF($B39="","",SUMIF('Post-Harvest Plots_rpt'!$B:$B,Stand_Biomass!$B39,'Post-Harvest Plots_rpt'!R:R)/$C39)</f>
        <v/>
      </c>
      <c r="R39" s="122" t="str">
        <f>IF($B39="","",SUMIF('Post-Harvest Plots_rpt'!$B:$B,Stand_Biomass!$B39,'Post-Harvest Plots_rpt'!S:S)/$C39)</f>
        <v/>
      </c>
      <c r="S39" s="122" t="str">
        <f>IF($B39="","",SUMIF('Post-Harvest Plots_rpt'!$B:$B,Stand_Biomass!$B39,'Post-Harvest Plots_rpt'!T:T)/$C39)</f>
        <v/>
      </c>
      <c r="T39" s="122" t="str">
        <f>IF($B39="","",SUMIF('Post-Harvest Plots_rpt'!$B:$B,Stand_Biomass!$B39,'Post-Harvest Plots_rpt'!U:U)/$C39)</f>
        <v/>
      </c>
      <c r="U39" s="122" t="str">
        <f>IF($B39="","",SUMIF('Post-Harvest Plots_rpt'!$B:$B,Stand_Biomass!$B39,'Post-Harvest Plots_rpt'!V:V)/$C39)</f>
        <v/>
      </c>
      <c r="V39" s="123" t="str">
        <f t="array" ref="V39">IF($C39="","",IF($C39&gt;1,(STDEV(IF($B39='Post-Harvest Plots_rpt'!$B$4:$B$855,IF(Q$3='Post-Harvest Plots_rpt'!$F$3:$Y$3,'Post-Harvest Plots_rpt'!$F$4:$Y$855)))/$C39^0.5)*1.96,"NA"))</f>
        <v/>
      </c>
      <c r="W39" s="123" t="str">
        <f>IF($B39="","",SUMIF('Post-Harvest Plots_rpt'!$B:$B,Stand_Biomass!$B39,'Post-Harvest Plots_rpt'!W:W)/$C39)</f>
        <v/>
      </c>
      <c r="X39" s="123" t="str">
        <f t="array" ref="X39">IF($C39="","",IF($C39&gt;1,(STDEV(IF($B39='Post-Harvest Plots_rpt'!$B$4:$B$855,IF(W$3='Post-Harvest Plots_rpt'!$F$3:$Y$3,'Post-Harvest Plots_rpt'!$F$4:$Y$855)))/$C39^0.5)*1.96,"NA"))</f>
        <v/>
      </c>
      <c r="Y39" s="193" t="str">
        <f>IF($B39="","",SUMIF('Post-Harvest Plots_rpt'!$B:$B,Stand_Biomass!$B39,'Post-Harvest Plots_rpt'!X:X)/$C39)</f>
        <v/>
      </c>
      <c r="Z39" s="130"/>
      <c r="AA39" s="189" t="str">
        <f>IF($B39="","",SUMIF('Post-Harvest Plots_rpt'!$B:$B,Stand_Biomass!$B39,'Post-Harvest Plots_rpt'!Z:Z)/$C39)</f>
        <v/>
      </c>
      <c r="AB39" s="121" t="str">
        <f>IF($B39="","",SUMIF('Post-Harvest Plots_rpt'!$B:$B,Stand_Biomass!$B39,'Post-Harvest Plots_rpt'!AA:AA)/$C39)</f>
        <v/>
      </c>
      <c r="AC39" s="121" t="str">
        <f>IF($B39="","",SUMIF('Post-Harvest Plots_rpt'!$B:$B,Stand_Biomass!$B39,'Post-Harvest Plots_rpt'!AB:AB)/$C39)</f>
        <v/>
      </c>
      <c r="AD39" s="177" t="str">
        <f>IF($B39="","",SUMIF('Post-Harvest Plots_rpt'!$B:$B,Stand_Biomass!$B39,'Post-Harvest Plots_rpt'!AC:AC)/$C39)</f>
        <v/>
      </c>
      <c r="AE39" s="196" t="str">
        <f>IF($B39="","",SUMIF('Post-Harvest Plots_rpt'!$B:$B,Stand_Biomass!$B39,'Post-Harvest Plots_rpt'!AD:AD)/$C39)</f>
        <v/>
      </c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2:47" x14ac:dyDescent="0.25">
      <c r="B40" s="171" t="str">
        <f>IF(Stand!C6="","",Stand!C6)</f>
        <v/>
      </c>
      <c r="C40" s="187" t="str">
        <f>IF($B40="","",VLOOKUP(B40,Stand!C:H,6,0))</f>
        <v/>
      </c>
      <c r="D40" s="130"/>
      <c r="E40" s="152" t="str">
        <f>IF($B40="","",SUMIF('Post-Harvest Plots_rpt'!$B:$B,Stand_Biomass!$B40,'Post-Harvest Plots_rpt'!$F:$F)/$C40)</f>
        <v/>
      </c>
      <c r="F40" s="359" t="str">
        <f>IF($B40="","",SUMIF('Post-Harvest Plots_rpt'!$B:$B,Stand_Biomass!$B40,'Post-Harvest Plots_rpt'!$G:$G)/$C40)</f>
        <v/>
      </c>
      <c r="G40" s="359" t="str">
        <f>IF($B40="","",SUMIF('Post-Harvest Plots_rpt'!$B:$B,Stand_Biomass!$B40,'Post-Harvest Plots_rpt'!$H:$H)/$C40)</f>
        <v/>
      </c>
      <c r="H40" s="297" t="str">
        <f>IF($B40="","",SUMIF('Post-Harvest Plots_rpt'!$B:$B,Stand_Biomass!$B40,'Post-Harvest Plots_rpt'!$I:$I)/$C40)</f>
        <v/>
      </c>
      <c r="I40" s="297" t="str">
        <f>IF($B40="","",SUMIF('Post-Harvest Plots_rpt'!$B:$B,Stand_Biomass!$B40,'Post-Harvest Plots_rpt'!$J:$J)/COUNTIFS('Post-Harvest Plots_rpt'!$B:$B,Stand_Biomass!$B40,'Post-Harvest Plots_rpt'!$J:$J,"&gt;"&amp;0))</f>
        <v/>
      </c>
      <c r="J40" s="297" t="str">
        <f>IF($B40="","",SUMIF('Post-Harvest Plots_rpt'!$B:$B,Stand_Biomass!$B40,'Post-Harvest Plots_rpt'!$K:$K)/$C40)</f>
        <v/>
      </c>
      <c r="K40" s="298" t="str">
        <f t="shared" si="3"/>
        <v/>
      </c>
      <c r="L40" s="135"/>
      <c r="M40" s="192" t="str">
        <f>IF($B40="","",SUMIF('Post-Harvest Plots_rpt'!$B:$B,Stand_Biomass!$B40,'Post-Harvest Plots_rpt'!N:N)/$C40)</f>
        <v/>
      </c>
      <c r="N40" s="122" t="str">
        <f>IF($B40="","",SUMIF('Post-Harvest Plots_rpt'!$B:$B,Stand_Biomass!$B40,'Post-Harvest Plots_rpt'!O:O)/$C40)</f>
        <v/>
      </c>
      <c r="O40" s="122" t="str">
        <f>IF($B40="","",SUMIF('Post-Harvest Plots_rpt'!$B:$B,Stand_Biomass!$B40,'Post-Harvest Plots_rpt'!P:P)/$C40)</f>
        <v/>
      </c>
      <c r="P40" s="122" t="str">
        <f>IF($B40="","",SUMIF('Post-Harvest Plots_rpt'!$B:$B,Stand_Biomass!$B40,'Post-Harvest Plots_rpt'!Q:Q)/$C40)</f>
        <v/>
      </c>
      <c r="Q40" s="123" t="str">
        <f>IF($B40="","",SUMIF('Post-Harvest Plots_rpt'!$B:$B,Stand_Biomass!$B40,'Post-Harvest Plots_rpt'!R:R)/$C40)</f>
        <v/>
      </c>
      <c r="R40" s="122" t="str">
        <f>IF($B40="","",SUMIF('Post-Harvest Plots_rpt'!$B:$B,Stand_Biomass!$B40,'Post-Harvest Plots_rpt'!S:S)/$C40)</f>
        <v/>
      </c>
      <c r="S40" s="122" t="str">
        <f>IF($B40="","",SUMIF('Post-Harvest Plots_rpt'!$B:$B,Stand_Biomass!$B40,'Post-Harvest Plots_rpt'!T:T)/$C40)</f>
        <v/>
      </c>
      <c r="T40" s="122" t="str">
        <f>IF($B40="","",SUMIF('Post-Harvest Plots_rpt'!$B:$B,Stand_Biomass!$B40,'Post-Harvest Plots_rpt'!U:U)/$C40)</f>
        <v/>
      </c>
      <c r="U40" s="122" t="str">
        <f>IF($B40="","",SUMIF('Post-Harvest Plots_rpt'!$B:$B,Stand_Biomass!$B40,'Post-Harvest Plots_rpt'!V:V)/$C40)</f>
        <v/>
      </c>
      <c r="V40" s="123" t="str">
        <f t="array" ref="V40">IF($C40="","",IF($C40&gt;1,(STDEV(IF($B40='Post-Harvest Plots_rpt'!$B$4:$B$855,IF(Q$3='Post-Harvest Plots_rpt'!$F$3:$Y$3,'Post-Harvest Plots_rpt'!$F$4:$Y$855)))/$C40^0.5)*1.96,"NA"))</f>
        <v/>
      </c>
      <c r="W40" s="123" t="str">
        <f>IF($B40="","",SUMIF('Post-Harvest Plots_rpt'!$B:$B,Stand_Biomass!$B40,'Post-Harvest Plots_rpt'!W:W)/$C40)</f>
        <v/>
      </c>
      <c r="X40" s="123" t="str">
        <f t="array" ref="X40">IF($C40="","",IF($C40&gt;1,(STDEV(IF($B40='Post-Harvest Plots_rpt'!$B$4:$B$855,IF(W$3='Post-Harvest Plots_rpt'!$F$3:$Y$3,'Post-Harvest Plots_rpt'!$F$4:$Y$855)))/$C40^0.5)*1.96,"NA"))</f>
        <v/>
      </c>
      <c r="Y40" s="193" t="str">
        <f>IF($B40="","",SUMIF('Post-Harvest Plots_rpt'!$B:$B,Stand_Biomass!$B40,'Post-Harvest Plots_rpt'!X:X)/$C40)</f>
        <v/>
      </c>
      <c r="Z40" s="130"/>
      <c r="AA40" s="189" t="str">
        <f>IF($B40="","",SUMIF('Post-Harvest Plots_rpt'!$B:$B,Stand_Biomass!$B40,'Post-Harvest Plots_rpt'!Z:Z)/$C40)</f>
        <v/>
      </c>
      <c r="AB40" s="121" t="str">
        <f>IF($B40="","",SUMIF('Post-Harvest Plots_rpt'!$B:$B,Stand_Biomass!$B40,'Post-Harvest Plots_rpt'!AA:AA)/$C40)</f>
        <v/>
      </c>
      <c r="AC40" s="121" t="str">
        <f>IF($B40="","",SUMIF('Post-Harvest Plots_rpt'!$B:$B,Stand_Biomass!$B40,'Post-Harvest Plots_rpt'!AB:AB)/$C40)</f>
        <v/>
      </c>
      <c r="AD40" s="177" t="str">
        <f>IF($B40="","",SUMIF('Post-Harvest Plots_rpt'!$B:$B,Stand_Biomass!$B40,'Post-Harvest Plots_rpt'!AC:AC)/$C40)</f>
        <v/>
      </c>
      <c r="AE40" s="196" t="str">
        <f>IF($B40="","",SUMIF('Post-Harvest Plots_rpt'!$B:$B,Stand_Biomass!$B40,'Post-Harvest Plots_rpt'!AD:AD)/$C40)</f>
        <v/>
      </c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  <row r="41" spans="2:47" x14ac:dyDescent="0.25">
      <c r="B41" s="171" t="str">
        <f>IF(Stand!C7="","",Stand!C7)</f>
        <v/>
      </c>
      <c r="C41" s="187" t="str">
        <f>IF($B41="","",VLOOKUP(B41,Stand!C:H,6,0))</f>
        <v/>
      </c>
      <c r="D41" s="130"/>
      <c r="E41" s="152" t="str">
        <f>IF($B41="","",SUMIF('Post-Harvest Plots_rpt'!$B:$B,Stand_Biomass!$B41,'Post-Harvest Plots_rpt'!$F:$F)/$C41)</f>
        <v/>
      </c>
      <c r="F41" s="359" t="str">
        <f>IF($B41="","",SUMIF('Post-Harvest Plots_rpt'!$B:$B,Stand_Biomass!$B41,'Post-Harvest Plots_rpt'!$G:$G)/$C41)</f>
        <v/>
      </c>
      <c r="G41" s="359" t="str">
        <f>IF($B41="","",SUMIF('Post-Harvest Plots_rpt'!$B:$B,Stand_Biomass!$B41,'Post-Harvest Plots_rpt'!$H:$H)/$C41)</f>
        <v/>
      </c>
      <c r="H41" s="297" t="str">
        <f>IF($B41="","",SUMIF('Post-Harvest Plots_rpt'!$B:$B,Stand_Biomass!$B41,'Post-Harvest Plots_rpt'!$I:$I)/$C41)</f>
        <v/>
      </c>
      <c r="I41" s="297" t="str">
        <f>IF($B41="","",SUMIF('Post-Harvest Plots_rpt'!$B:$B,Stand_Biomass!$B41,'Post-Harvest Plots_rpt'!$J:$J)/COUNTIFS('Post-Harvest Plots_rpt'!$B:$B,Stand_Biomass!$B41,'Post-Harvest Plots_rpt'!$J:$J,"&gt;"&amp;0))</f>
        <v/>
      </c>
      <c r="J41" s="297" t="str">
        <f>IF($B41="","",SUMIF('Post-Harvest Plots_rpt'!$B:$B,Stand_Biomass!$B41,'Post-Harvest Plots_rpt'!$K:$K)/$C41)</f>
        <v/>
      </c>
      <c r="K41" s="298" t="str">
        <f t="shared" si="3"/>
        <v/>
      </c>
      <c r="L41" s="135"/>
      <c r="M41" s="192" t="str">
        <f>IF($B41="","",SUMIF('Post-Harvest Plots_rpt'!$B:$B,Stand_Biomass!$B41,'Post-Harvest Plots_rpt'!N:N)/$C41)</f>
        <v/>
      </c>
      <c r="N41" s="122" t="str">
        <f>IF($B41="","",SUMIF('Post-Harvest Plots_rpt'!$B:$B,Stand_Biomass!$B41,'Post-Harvest Plots_rpt'!O:O)/$C41)</f>
        <v/>
      </c>
      <c r="O41" s="122" t="str">
        <f>IF($B41="","",SUMIF('Post-Harvest Plots_rpt'!$B:$B,Stand_Biomass!$B41,'Post-Harvest Plots_rpt'!P:P)/$C41)</f>
        <v/>
      </c>
      <c r="P41" s="122" t="str">
        <f>IF($B41="","",SUMIF('Post-Harvest Plots_rpt'!$B:$B,Stand_Biomass!$B41,'Post-Harvest Plots_rpt'!Q:Q)/$C41)</f>
        <v/>
      </c>
      <c r="Q41" s="123" t="str">
        <f>IF($B41="","",SUMIF('Post-Harvest Plots_rpt'!$B:$B,Stand_Biomass!$B41,'Post-Harvest Plots_rpt'!R:R)/$C41)</f>
        <v/>
      </c>
      <c r="R41" s="122" t="str">
        <f>IF($B41="","",SUMIF('Post-Harvest Plots_rpt'!$B:$B,Stand_Biomass!$B41,'Post-Harvest Plots_rpt'!S:S)/$C41)</f>
        <v/>
      </c>
      <c r="S41" s="122" t="str">
        <f>IF($B41="","",SUMIF('Post-Harvest Plots_rpt'!$B:$B,Stand_Biomass!$B41,'Post-Harvest Plots_rpt'!T:T)/$C41)</f>
        <v/>
      </c>
      <c r="T41" s="122" t="str">
        <f>IF($B41="","",SUMIF('Post-Harvest Plots_rpt'!$B:$B,Stand_Biomass!$B41,'Post-Harvest Plots_rpt'!U:U)/$C41)</f>
        <v/>
      </c>
      <c r="U41" s="122" t="str">
        <f>IF($B41="","",SUMIF('Post-Harvest Plots_rpt'!$B:$B,Stand_Biomass!$B41,'Post-Harvest Plots_rpt'!V:V)/$C41)</f>
        <v/>
      </c>
      <c r="V41" s="123" t="str">
        <f t="array" ref="V41">IF($C41="","",IF($C41&gt;1,(STDEV(IF($B41='Post-Harvest Plots_rpt'!$B$4:$B$855,IF(Q$3='Post-Harvest Plots_rpt'!$F$3:$Y$3,'Post-Harvest Plots_rpt'!$F$4:$Y$855)))/$C41^0.5)*1.96,"NA"))</f>
        <v/>
      </c>
      <c r="W41" s="123" t="str">
        <f>IF($B41="","",SUMIF('Post-Harvest Plots_rpt'!$B:$B,Stand_Biomass!$B41,'Post-Harvest Plots_rpt'!W:W)/$C41)</f>
        <v/>
      </c>
      <c r="X41" s="123" t="str">
        <f t="array" ref="X41">IF($C41="","",IF($C41&gt;1,(STDEV(IF($B41='Post-Harvest Plots_rpt'!$B$4:$B$855,IF(W$3='Post-Harvest Plots_rpt'!$F$3:$Y$3,'Post-Harvest Plots_rpt'!$F$4:$Y$855)))/$C41^0.5)*1.96,"NA"))</f>
        <v/>
      </c>
      <c r="Y41" s="193" t="str">
        <f>IF($B41="","",SUMIF('Post-Harvest Plots_rpt'!$B:$B,Stand_Biomass!$B41,'Post-Harvest Plots_rpt'!X:X)/$C41)</f>
        <v/>
      </c>
      <c r="Z41" s="130"/>
      <c r="AA41" s="189" t="str">
        <f>IF($B41="","",SUMIF('Post-Harvest Plots_rpt'!$B:$B,Stand_Biomass!$B41,'Post-Harvest Plots_rpt'!Z:Z)/$C41)</f>
        <v/>
      </c>
      <c r="AB41" s="121" t="str">
        <f>IF($B41="","",SUMIF('Post-Harvest Plots_rpt'!$B:$B,Stand_Biomass!$B41,'Post-Harvest Plots_rpt'!AA:AA)/$C41)</f>
        <v/>
      </c>
      <c r="AC41" s="121" t="str">
        <f>IF($B41="","",SUMIF('Post-Harvest Plots_rpt'!$B:$B,Stand_Biomass!$B41,'Post-Harvest Plots_rpt'!AB:AB)/$C41)</f>
        <v/>
      </c>
      <c r="AD41" s="177" t="str">
        <f>IF($B41="","",SUMIF('Post-Harvest Plots_rpt'!$B:$B,Stand_Biomass!$B41,'Post-Harvest Plots_rpt'!AC:AC)/$C41)</f>
        <v/>
      </c>
      <c r="AE41" s="196" t="str">
        <f>IF($B41="","",SUMIF('Post-Harvest Plots_rpt'!$B:$B,Stand_Biomass!$B41,'Post-Harvest Plots_rpt'!AD:AD)/$C41)</f>
        <v/>
      </c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</row>
    <row r="42" spans="2:47" x14ac:dyDescent="0.25">
      <c r="B42" s="171" t="str">
        <f>IF(Stand!C8="","",Stand!C8)</f>
        <v/>
      </c>
      <c r="C42" s="187" t="str">
        <f>IF($B42="","",VLOOKUP(B42,Stand!C:H,6,0))</f>
        <v/>
      </c>
      <c r="D42" s="130"/>
      <c r="E42" s="152" t="str">
        <f>IF($B42="","",SUMIF('Post-Harvest Plots_rpt'!$B:$B,Stand_Biomass!$B42,'Post-Harvest Plots_rpt'!$F:$F)/$C42)</f>
        <v/>
      </c>
      <c r="F42" s="359" t="str">
        <f>IF($B42="","",SUMIF('Post-Harvest Plots_rpt'!$B:$B,Stand_Biomass!$B42,'Post-Harvest Plots_rpt'!$G:$G)/$C42)</f>
        <v/>
      </c>
      <c r="G42" s="359" t="str">
        <f>IF($B42="","",SUMIF('Post-Harvest Plots_rpt'!$B:$B,Stand_Biomass!$B42,'Post-Harvest Plots_rpt'!$H:$H)/$C42)</f>
        <v/>
      </c>
      <c r="H42" s="297" t="str">
        <f>IF($B42="","",SUMIF('Post-Harvest Plots_rpt'!$B:$B,Stand_Biomass!$B42,'Post-Harvest Plots_rpt'!$I:$I)/$C42)</f>
        <v/>
      </c>
      <c r="I42" s="297" t="str">
        <f>IF($B42="","",SUMIF('Post-Harvest Plots_rpt'!$B:$B,Stand_Biomass!$B42,'Post-Harvest Plots_rpt'!$J:$J)/COUNTIFS('Post-Harvest Plots_rpt'!$B:$B,Stand_Biomass!$B42,'Post-Harvest Plots_rpt'!$J:$J,"&gt;"&amp;0))</f>
        <v/>
      </c>
      <c r="J42" s="297" t="str">
        <f>IF($B42="","",SUMIF('Post-Harvest Plots_rpt'!$B:$B,Stand_Biomass!$B42,'Post-Harvest Plots_rpt'!$K:$K)/$C42)</f>
        <v/>
      </c>
      <c r="K42" s="298" t="str">
        <f t="shared" si="3"/>
        <v/>
      </c>
      <c r="L42" s="135"/>
      <c r="M42" s="192" t="str">
        <f>IF($B42="","",SUMIF('Post-Harvest Plots_rpt'!$B:$B,Stand_Biomass!$B42,'Post-Harvest Plots_rpt'!N:N)/$C42)</f>
        <v/>
      </c>
      <c r="N42" s="122" t="str">
        <f>IF($B42="","",SUMIF('Post-Harvest Plots_rpt'!$B:$B,Stand_Biomass!$B42,'Post-Harvest Plots_rpt'!O:O)/$C42)</f>
        <v/>
      </c>
      <c r="O42" s="122" t="str">
        <f>IF($B42="","",SUMIF('Post-Harvest Plots_rpt'!$B:$B,Stand_Biomass!$B42,'Post-Harvest Plots_rpt'!P:P)/$C42)</f>
        <v/>
      </c>
      <c r="P42" s="122" t="str">
        <f>IF($B42="","",SUMIF('Post-Harvest Plots_rpt'!$B:$B,Stand_Biomass!$B42,'Post-Harvest Plots_rpt'!Q:Q)/$C42)</f>
        <v/>
      </c>
      <c r="Q42" s="123" t="str">
        <f>IF($B42="","",SUMIF('Post-Harvest Plots_rpt'!$B:$B,Stand_Biomass!$B42,'Post-Harvest Plots_rpt'!R:R)/$C42)</f>
        <v/>
      </c>
      <c r="R42" s="122" t="str">
        <f>IF($B42="","",SUMIF('Post-Harvest Plots_rpt'!$B:$B,Stand_Biomass!$B42,'Post-Harvest Plots_rpt'!S:S)/$C42)</f>
        <v/>
      </c>
      <c r="S42" s="122" t="str">
        <f>IF($B42="","",SUMIF('Post-Harvest Plots_rpt'!$B:$B,Stand_Biomass!$B42,'Post-Harvest Plots_rpt'!T:T)/$C42)</f>
        <v/>
      </c>
      <c r="T42" s="122" t="str">
        <f>IF($B42="","",SUMIF('Post-Harvest Plots_rpt'!$B:$B,Stand_Biomass!$B42,'Post-Harvest Plots_rpt'!U:U)/$C42)</f>
        <v/>
      </c>
      <c r="U42" s="122" t="str">
        <f>IF($B42="","",SUMIF('Post-Harvest Plots_rpt'!$B:$B,Stand_Biomass!$B42,'Post-Harvest Plots_rpt'!V:V)/$C42)</f>
        <v/>
      </c>
      <c r="V42" s="123" t="str">
        <f t="array" ref="V42">IF($C42="","",IF($C42&gt;1,(STDEV(IF($B42='Post-Harvest Plots_rpt'!$B$4:$B$855,IF(Q$3='Post-Harvest Plots_rpt'!$F$3:$Y$3,'Post-Harvest Plots_rpt'!$F$4:$Y$855)))/$C42^0.5)*1.96,"NA"))</f>
        <v/>
      </c>
      <c r="W42" s="123" t="str">
        <f>IF($B42="","",SUMIF('Post-Harvest Plots_rpt'!$B:$B,Stand_Biomass!$B42,'Post-Harvest Plots_rpt'!W:W)/$C42)</f>
        <v/>
      </c>
      <c r="X42" s="123" t="str">
        <f t="array" ref="X42">IF($C42="","",IF($C42&gt;1,(STDEV(IF($B42='Post-Harvest Plots_rpt'!$B$4:$B$855,IF(W$3='Post-Harvest Plots_rpt'!$F$3:$Y$3,'Post-Harvest Plots_rpt'!$F$4:$Y$855)))/$C42^0.5)*1.96,"NA"))</f>
        <v/>
      </c>
      <c r="Y42" s="193" t="str">
        <f>IF($B42="","",SUMIF('Post-Harvest Plots_rpt'!$B:$B,Stand_Biomass!$B42,'Post-Harvest Plots_rpt'!X:X)/$C42)</f>
        <v/>
      </c>
      <c r="Z42" s="130"/>
      <c r="AA42" s="189" t="str">
        <f>IF($B42="","",SUMIF('Post-Harvest Plots_rpt'!$B:$B,Stand_Biomass!$B42,'Post-Harvest Plots_rpt'!Z:Z)/$C42)</f>
        <v/>
      </c>
      <c r="AB42" s="121" t="str">
        <f>IF($B42="","",SUMIF('Post-Harvest Plots_rpt'!$B:$B,Stand_Biomass!$B42,'Post-Harvest Plots_rpt'!AA:AA)/$C42)</f>
        <v/>
      </c>
      <c r="AC42" s="121" t="str">
        <f>IF($B42="","",SUMIF('Post-Harvest Plots_rpt'!$B:$B,Stand_Biomass!$B42,'Post-Harvest Plots_rpt'!AB:AB)/$C42)</f>
        <v/>
      </c>
      <c r="AD42" s="177" t="str">
        <f>IF($B42="","",SUMIF('Post-Harvest Plots_rpt'!$B:$B,Stand_Biomass!$B42,'Post-Harvest Plots_rpt'!AC:AC)/$C42)</f>
        <v/>
      </c>
      <c r="AE42" s="196" t="str">
        <f>IF($B42="","",SUMIF('Post-Harvest Plots_rpt'!$B:$B,Stand_Biomass!$B42,'Post-Harvest Plots_rpt'!AD:AD)/$C42)</f>
        <v/>
      </c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</row>
    <row r="43" spans="2:47" x14ac:dyDescent="0.25">
      <c r="B43" s="171" t="str">
        <f>IF(Stand!C9="","",Stand!C9)</f>
        <v/>
      </c>
      <c r="C43" s="187" t="str">
        <f>IF($B43="","",VLOOKUP(B43,Stand!C:H,6,0))</f>
        <v/>
      </c>
      <c r="D43" s="130"/>
      <c r="E43" s="152" t="str">
        <f>IF($B43="","",SUMIF('Post-Harvest Plots_rpt'!$B:$B,Stand_Biomass!$B43,'Post-Harvest Plots_rpt'!$F:$F)/$C43)</f>
        <v/>
      </c>
      <c r="F43" s="359" t="str">
        <f>IF($B43="","",SUMIF('Post-Harvest Plots_rpt'!$B:$B,Stand_Biomass!$B43,'Post-Harvest Plots_rpt'!$G:$G)/$C43)</f>
        <v/>
      </c>
      <c r="G43" s="359" t="str">
        <f>IF($B43="","",SUMIF('Post-Harvest Plots_rpt'!$B:$B,Stand_Biomass!$B43,'Post-Harvest Plots_rpt'!$H:$H)/$C43)</f>
        <v/>
      </c>
      <c r="H43" s="297" t="str">
        <f>IF($B43="","",SUMIF('Post-Harvest Plots_rpt'!$B:$B,Stand_Biomass!$B43,'Post-Harvest Plots_rpt'!$I:$I)/$C43)</f>
        <v/>
      </c>
      <c r="I43" s="297" t="str">
        <f>IF($B43="","",SUMIF('Post-Harvest Plots_rpt'!$B:$B,Stand_Biomass!$B43,'Post-Harvest Plots_rpt'!$J:$J)/COUNTIFS('Post-Harvest Plots_rpt'!$B:$B,Stand_Biomass!$B43,'Post-Harvest Plots_rpt'!$J:$J,"&gt;"&amp;0))</f>
        <v/>
      </c>
      <c r="J43" s="297" t="str">
        <f>IF($B43="","",SUMIF('Post-Harvest Plots_rpt'!$B:$B,Stand_Biomass!$B43,'Post-Harvest Plots_rpt'!$K:$K)/$C43)</f>
        <v/>
      </c>
      <c r="K43" s="298" t="str">
        <f t="shared" si="3"/>
        <v/>
      </c>
      <c r="L43" s="135"/>
      <c r="M43" s="192" t="str">
        <f>IF($B43="","",SUMIF('Post-Harvest Plots_rpt'!$B:$B,Stand_Biomass!$B43,'Post-Harvest Plots_rpt'!N:N)/$C43)</f>
        <v/>
      </c>
      <c r="N43" s="122" t="str">
        <f>IF($B43="","",SUMIF('Post-Harvest Plots_rpt'!$B:$B,Stand_Biomass!$B43,'Post-Harvest Plots_rpt'!O:O)/$C43)</f>
        <v/>
      </c>
      <c r="O43" s="122" t="str">
        <f>IF($B43="","",SUMIF('Post-Harvest Plots_rpt'!$B:$B,Stand_Biomass!$B43,'Post-Harvest Plots_rpt'!P:P)/$C43)</f>
        <v/>
      </c>
      <c r="P43" s="122" t="str">
        <f>IF($B43="","",SUMIF('Post-Harvest Plots_rpt'!$B:$B,Stand_Biomass!$B43,'Post-Harvest Plots_rpt'!Q:Q)/$C43)</f>
        <v/>
      </c>
      <c r="Q43" s="123" t="str">
        <f>IF($B43="","",SUMIF('Post-Harvest Plots_rpt'!$B:$B,Stand_Biomass!$B43,'Post-Harvest Plots_rpt'!R:R)/$C43)</f>
        <v/>
      </c>
      <c r="R43" s="122" t="str">
        <f>IF($B43="","",SUMIF('Post-Harvest Plots_rpt'!$B:$B,Stand_Biomass!$B43,'Post-Harvest Plots_rpt'!S:S)/$C43)</f>
        <v/>
      </c>
      <c r="S43" s="122" t="str">
        <f>IF($B43="","",SUMIF('Post-Harvest Plots_rpt'!$B:$B,Stand_Biomass!$B43,'Post-Harvest Plots_rpt'!T:T)/$C43)</f>
        <v/>
      </c>
      <c r="T43" s="122" t="str">
        <f>IF($B43="","",SUMIF('Post-Harvest Plots_rpt'!$B:$B,Stand_Biomass!$B43,'Post-Harvest Plots_rpt'!U:U)/$C43)</f>
        <v/>
      </c>
      <c r="U43" s="122" t="str">
        <f>IF($B43="","",SUMIF('Post-Harvest Plots_rpt'!$B:$B,Stand_Biomass!$B43,'Post-Harvest Plots_rpt'!V:V)/$C43)</f>
        <v/>
      </c>
      <c r="V43" s="123" t="str">
        <f t="array" ref="V43">IF($C43="","",IF($C43&gt;1,(STDEV(IF($B43='Post-Harvest Plots_rpt'!$B$4:$B$855,IF(Q$3='Post-Harvest Plots_rpt'!$F$3:$Y$3,'Post-Harvest Plots_rpt'!$F$4:$Y$855)))/$C43^0.5)*1.96,"NA"))</f>
        <v/>
      </c>
      <c r="W43" s="123" t="str">
        <f>IF($B43="","",SUMIF('Post-Harvest Plots_rpt'!$B:$B,Stand_Biomass!$B43,'Post-Harvest Plots_rpt'!W:W)/$C43)</f>
        <v/>
      </c>
      <c r="X43" s="123" t="str">
        <f t="array" ref="X43">IF($C43="","",IF($C43&gt;1,(STDEV(IF($B43='Post-Harvest Plots_rpt'!$B$4:$B$855,IF(W$3='Post-Harvest Plots_rpt'!$F$3:$Y$3,'Post-Harvest Plots_rpt'!$F$4:$Y$855)))/$C43^0.5)*1.96,"NA"))</f>
        <v/>
      </c>
      <c r="Y43" s="193" t="str">
        <f>IF($B43="","",SUMIF('Post-Harvest Plots_rpt'!$B:$B,Stand_Biomass!$B43,'Post-Harvest Plots_rpt'!X:X)/$C43)</f>
        <v/>
      </c>
      <c r="Z43" s="130"/>
      <c r="AA43" s="189" t="str">
        <f>IF($B43="","",SUMIF('Post-Harvest Plots_rpt'!$B:$B,Stand_Biomass!$B43,'Post-Harvest Plots_rpt'!Z:Z)/$C43)</f>
        <v/>
      </c>
      <c r="AB43" s="121" t="str">
        <f>IF($B43="","",SUMIF('Post-Harvest Plots_rpt'!$B:$B,Stand_Biomass!$B43,'Post-Harvest Plots_rpt'!AA:AA)/$C43)</f>
        <v/>
      </c>
      <c r="AC43" s="121" t="str">
        <f>IF($B43="","",SUMIF('Post-Harvest Plots_rpt'!$B:$B,Stand_Biomass!$B43,'Post-Harvest Plots_rpt'!AB:AB)/$C43)</f>
        <v/>
      </c>
      <c r="AD43" s="177" t="str">
        <f>IF($B43="","",SUMIF('Post-Harvest Plots_rpt'!$B:$B,Stand_Biomass!$B43,'Post-Harvest Plots_rpt'!AC:AC)/$C43)</f>
        <v/>
      </c>
      <c r="AE43" s="196" t="str">
        <f>IF($B43="","",SUMIF('Post-Harvest Plots_rpt'!$B:$B,Stand_Biomass!$B43,'Post-Harvest Plots_rpt'!AD:AD)/$C43)</f>
        <v/>
      </c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</row>
    <row r="44" spans="2:47" x14ac:dyDescent="0.25">
      <c r="B44" s="171" t="str">
        <f>IF(Stand!C10="","",Stand!C10)</f>
        <v/>
      </c>
      <c r="C44" s="187" t="str">
        <f>IF($B44="","",VLOOKUP(B44,Stand!C:H,6,0))</f>
        <v/>
      </c>
      <c r="D44" s="130"/>
      <c r="E44" s="152" t="str">
        <f>IF($B44="","",SUMIF('Post-Harvest Plots_rpt'!$B:$B,Stand_Biomass!$B44,'Post-Harvest Plots_rpt'!$F:$F)/$C44)</f>
        <v/>
      </c>
      <c r="F44" s="359" t="str">
        <f>IF($B44="","",SUMIF('Post-Harvest Plots_rpt'!$B:$B,Stand_Biomass!$B44,'Post-Harvest Plots_rpt'!$G:$G)/$C44)</f>
        <v/>
      </c>
      <c r="G44" s="359" t="str">
        <f>IF($B44="","",SUMIF('Post-Harvest Plots_rpt'!$B:$B,Stand_Biomass!$B44,'Post-Harvest Plots_rpt'!$H:$H)/$C44)</f>
        <v/>
      </c>
      <c r="H44" s="297" t="str">
        <f>IF($B44="","",SUMIF('Post-Harvest Plots_rpt'!$B:$B,Stand_Biomass!$B44,'Post-Harvest Plots_rpt'!$I:$I)/$C44)</f>
        <v/>
      </c>
      <c r="I44" s="297" t="str">
        <f>IF($B44="","",SUMIF('Post-Harvest Plots_rpt'!$B:$B,Stand_Biomass!$B44,'Post-Harvest Plots_rpt'!$J:$J)/COUNTIFS('Post-Harvest Plots_rpt'!$B:$B,Stand_Biomass!$B44,'Post-Harvest Plots_rpt'!$J:$J,"&gt;"&amp;0))</f>
        <v/>
      </c>
      <c r="J44" s="297" t="str">
        <f>IF($B44="","",SUMIF('Post-Harvest Plots_rpt'!$B:$B,Stand_Biomass!$B44,'Post-Harvest Plots_rpt'!$K:$K)/$C44)</f>
        <v/>
      </c>
      <c r="K44" s="298" t="str">
        <f t="shared" si="3"/>
        <v/>
      </c>
      <c r="L44" s="135"/>
      <c r="M44" s="192" t="str">
        <f>IF($B44="","",SUMIF('Post-Harvest Plots_rpt'!$B:$B,Stand_Biomass!$B44,'Post-Harvest Plots_rpt'!N:N)/$C44)</f>
        <v/>
      </c>
      <c r="N44" s="122" t="str">
        <f>IF($B44="","",SUMIF('Post-Harvest Plots_rpt'!$B:$B,Stand_Biomass!$B44,'Post-Harvest Plots_rpt'!O:O)/$C44)</f>
        <v/>
      </c>
      <c r="O44" s="122" t="str">
        <f>IF($B44="","",SUMIF('Post-Harvest Plots_rpt'!$B:$B,Stand_Biomass!$B44,'Post-Harvest Plots_rpt'!P:P)/$C44)</f>
        <v/>
      </c>
      <c r="P44" s="122" t="str">
        <f>IF($B44="","",SUMIF('Post-Harvest Plots_rpt'!$B:$B,Stand_Biomass!$B44,'Post-Harvest Plots_rpt'!Q:Q)/$C44)</f>
        <v/>
      </c>
      <c r="Q44" s="123" t="str">
        <f>IF($B44="","",SUMIF('Post-Harvest Plots_rpt'!$B:$B,Stand_Biomass!$B44,'Post-Harvest Plots_rpt'!R:R)/$C44)</f>
        <v/>
      </c>
      <c r="R44" s="122" t="str">
        <f>IF($B44="","",SUMIF('Post-Harvest Plots_rpt'!$B:$B,Stand_Biomass!$B44,'Post-Harvest Plots_rpt'!S:S)/$C44)</f>
        <v/>
      </c>
      <c r="S44" s="122" t="str">
        <f>IF($B44="","",SUMIF('Post-Harvest Plots_rpt'!$B:$B,Stand_Biomass!$B44,'Post-Harvest Plots_rpt'!T:T)/$C44)</f>
        <v/>
      </c>
      <c r="T44" s="122" t="str">
        <f>IF($B44="","",SUMIF('Post-Harvest Plots_rpt'!$B:$B,Stand_Biomass!$B44,'Post-Harvest Plots_rpt'!U:U)/$C44)</f>
        <v/>
      </c>
      <c r="U44" s="122" t="str">
        <f>IF($B44="","",SUMIF('Post-Harvest Plots_rpt'!$B:$B,Stand_Biomass!$B44,'Post-Harvest Plots_rpt'!V:V)/$C44)</f>
        <v/>
      </c>
      <c r="V44" s="123" t="str">
        <f t="array" ref="V44">IF($C44="","",IF($C44&gt;1,(STDEV(IF($B44='Post-Harvest Plots_rpt'!$B$4:$B$855,IF(Q$3='Post-Harvest Plots_rpt'!$F$3:$Y$3,'Post-Harvest Plots_rpt'!$F$4:$Y$855)))/$C44^0.5)*1.96,"NA"))</f>
        <v/>
      </c>
      <c r="W44" s="123" t="str">
        <f>IF($B44="","",SUMIF('Post-Harvest Plots_rpt'!$B:$B,Stand_Biomass!$B44,'Post-Harvest Plots_rpt'!W:W)/$C44)</f>
        <v/>
      </c>
      <c r="X44" s="123" t="str">
        <f t="array" ref="X44">IF($C44="","",IF($C44&gt;1,(STDEV(IF($B44='Post-Harvest Plots_rpt'!$B$4:$B$855,IF(W$3='Post-Harvest Plots_rpt'!$F$3:$Y$3,'Post-Harvest Plots_rpt'!$F$4:$Y$855)))/$C44^0.5)*1.96,"NA"))</f>
        <v/>
      </c>
      <c r="Y44" s="193" t="str">
        <f>IF($B44="","",SUMIF('Post-Harvest Plots_rpt'!$B:$B,Stand_Biomass!$B44,'Post-Harvest Plots_rpt'!X:X)/$C44)</f>
        <v/>
      </c>
      <c r="Z44" s="130"/>
      <c r="AA44" s="189" t="str">
        <f>IF($B44="","",SUMIF('Post-Harvest Plots_rpt'!$B:$B,Stand_Biomass!$B44,'Post-Harvest Plots_rpt'!Z:Z)/$C44)</f>
        <v/>
      </c>
      <c r="AB44" s="121" t="str">
        <f>IF($B44="","",SUMIF('Post-Harvest Plots_rpt'!$B:$B,Stand_Biomass!$B44,'Post-Harvest Plots_rpt'!AA:AA)/$C44)</f>
        <v/>
      </c>
      <c r="AC44" s="121" t="str">
        <f>IF($B44="","",SUMIF('Post-Harvest Plots_rpt'!$B:$B,Stand_Biomass!$B44,'Post-Harvest Plots_rpt'!AB:AB)/$C44)</f>
        <v/>
      </c>
      <c r="AD44" s="177" t="str">
        <f>IF($B44="","",SUMIF('Post-Harvest Plots_rpt'!$B:$B,Stand_Biomass!$B44,'Post-Harvest Plots_rpt'!AC:AC)/$C44)</f>
        <v/>
      </c>
      <c r="AE44" s="196" t="str">
        <f>IF($B44="","",SUMIF('Post-Harvest Plots_rpt'!$B:$B,Stand_Biomass!$B44,'Post-Harvest Plots_rpt'!AD:AD)/$C44)</f>
        <v/>
      </c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</row>
    <row r="45" spans="2:47" x14ac:dyDescent="0.25">
      <c r="B45" s="171" t="str">
        <f>IF(Stand!C11="","",Stand!C11)</f>
        <v/>
      </c>
      <c r="C45" s="187" t="str">
        <f>IF($B45="","",VLOOKUP(B45,Stand!C:H,6,0))</f>
        <v/>
      </c>
      <c r="D45" s="130"/>
      <c r="E45" s="152" t="str">
        <f>IF($B45="","",SUMIF('Post-Harvest Plots_rpt'!$B:$B,Stand_Biomass!$B45,'Post-Harvest Plots_rpt'!$F:$F)/$C45)</f>
        <v/>
      </c>
      <c r="F45" s="359" t="str">
        <f>IF($B45="","",SUMIF('Post-Harvest Plots_rpt'!$B:$B,Stand_Biomass!$B45,'Post-Harvest Plots_rpt'!$G:$G)/$C45)</f>
        <v/>
      </c>
      <c r="G45" s="359" t="str">
        <f>IF($B45="","",SUMIF('Post-Harvest Plots_rpt'!$B:$B,Stand_Biomass!$B45,'Post-Harvest Plots_rpt'!$H:$H)/$C45)</f>
        <v/>
      </c>
      <c r="H45" s="297" t="str">
        <f>IF($B45="","",SUMIF('Post-Harvest Plots_rpt'!$B:$B,Stand_Biomass!$B45,'Post-Harvest Plots_rpt'!$I:$I)/$C45)</f>
        <v/>
      </c>
      <c r="I45" s="297" t="str">
        <f>IF($B45="","",SUMIF('Post-Harvest Plots_rpt'!$B:$B,Stand_Biomass!$B45,'Post-Harvest Plots_rpt'!$J:$J)/COUNTIFS('Post-Harvest Plots_rpt'!$B:$B,Stand_Biomass!$B45,'Post-Harvest Plots_rpt'!$J:$J,"&gt;"&amp;0))</f>
        <v/>
      </c>
      <c r="J45" s="297" t="str">
        <f>IF($B45="","",SUMIF('Post-Harvest Plots_rpt'!$B:$B,Stand_Biomass!$B45,'Post-Harvest Plots_rpt'!$K:$K)/$C45)</f>
        <v/>
      </c>
      <c r="K45" s="298" t="str">
        <f t="shared" si="3"/>
        <v/>
      </c>
      <c r="L45" s="135"/>
      <c r="M45" s="192" t="str">
        <f>IF($B45="","",SUMIF('Post-Harvest Plots_rpt'!$B:$B,Stand_Biomass!$B45,'Post-Harvest Plots_rpt'!N:N)/$C45)</f>
        <v/>
      </c>
      <c r="N45" s="122" t="str">
        <f>IF($B45="","",SUMIF('Post-Harvest Plots_rpt'!$B:$B,Stand_Biomass!$B45,'Post-Harvest Plots_rpt'!O:O)/$C45)</f>
        <v/>
      </c>
      <c r="O45" s="122" t="str">
        <f>IF($B45="","",SUMIF('Post-Harvest Plots_rpt'!$B:$B,Stand_Biomass!$B45,'Post-Harvest Plots_rpt'!P:P)/$C45)</f>
        <v/>
      </c>
      <c r="P45" s="122" t="str">
        <f>IF($B45="","",SUMIF('Post-Harvest Plots_rpt'!$B:$B,Stand_Biomass!$B45,'Post-Harvest Plots_rpt'!Q:Q)/$C45)</f>
        <v/>
      </c>
      <c r="Q45" s="123" t="str">
        <f>IF($B45="","",SUMIF('Post-Harvest Plots_rpt'!$B:$B,Stand_Biomass!$B45,'Post-Harvest Plots_rpt'!R:R)/$C45)</f>
        <v/>
      </c>
      <c r="R45" s="122" t="str">
        <f>IF($B45="","",SUMIF('Post-Harvest Plots_rpt'!$B:$B,Stand_Biomass!$B45,'Post-Harvest Plots_rpt'!S:S)/$C45)</f>
        <v/>
      </c>
      <c r="S45" s="122" t="str">
        <f>IF($B45="","",SUMIF('Post-Harvest Plots_rpt'!$B:$B,Stand_Biomass!$B45,'Post-Harvest Plots_rpt'!T:T)/$C45)</f>
        <v/>
      </c>
      <c r="T45" s="122" t="str">
        <f>IF($B45="","",SUMIF('Post-Harvest Plots_rpt'!$B:$B,Stand_Biomass!$B45,'Post-Harvest Plots_rpt'!U:U)/$C45)</f>
        <v/>
      </c>
      <c r="U45" s="122" t="str">
        <f>IF($B45="","",SUMIF('Post-Harvest Plots_rpt'!$B:$B,Stand_Biomass!$B45,'Post-Harvest Plots_rpt'!V:V)/$C45)</f>
        <v/>
      </c>
      <c r="V45" s="123" t="str">
        <f t="array" ref="V45">IF($C45="","",IF($C45&gt;1,(STDEV(IF($B45='Post-Harvest Plots_rpt'!$B$4:$B$855,IF(Q$3='Post-Harvest Plots_rpt'!$F$3:$Y$3,'Post-Harvest Plots_rpt'!$F$4:$Y$855)))/$C45^0.5)*1.96,"NA"))</f>
        <v/>
      </c>
      <c r="W45" s="123" t="str">
        <f>IF($B45="","",SUMIF('Post-Harvest Plots_rpt'!$B:$B,Stand_Biomass!$B45,'Post-Harvest Plots_rpt'!W:W)/$C45)</f>
        <v/>
      </c>
      <c r="X45" s="123" t="str">
        <f t="array" ref="X45">IF($C45="","",IF($C45&gt;1,(STDEV(IF($B45='Post-Harvest Plots_rpt'!$B$4:$B$855,IF(W$3='Post-Harvest Plots_rpt'!$F$3:$Y$3,'Post-Harvest Plots_rpt'!$F$4:$Y$855)))/$C45^0.5)*1.96,"NA"))</f>
        <v/>
      </c>
      <c r="Y45" s="193" t="str">
        <f>IF($B45="","",SUMIF('Post-Harvest Plots_rpt'!$B:$B,Stand_Biomass!$B45,'Post-Harvest Plots_rpt'!X:X)/$C45)</f>
        <v/>
      </c>
      <c r="Z45" s="130"/>
      <c r="AA45" s="189" t="str">
        <f>IF($B45="","",SUMIF('Post-Harvest Plots_rpt'!$B:$B,Stand_Biomass!$B45,'Post-Harvest Plots_rpt'!Z:Z)/$C45)</f>
        <v/>
      </c>
      <c r="AB45" s="121" t="str">
        <f>IF($B45="","",SUMIF('Post-Harvest Plots_rpt'!$B:$B,Stand_Biomass!$B45,'Post-Harvest Plots_rpt'!AA:AA)/$C45)</f>
        <v/>
      </c>
      <c r="AC45" s="121" t="str">
        <f>IF($B45="","",SUMIF('Post-Harvest Plots_rpt'!$B:$B,Stand_Biomass!$B45,'Post-Harvest Plots_rpt'!AB:AB)/$C45)</f>
        <v/>
      </c>
      <c r="AD45" s="177" t="str">
        <f>IF($B45="","",SUMIF('Post-Harvest Plots_rpt'!$B:$B,Stand_Biomass!$B45,'Post-Harvest Plots_rpt'!AC:AC)/$C45)</f>
        <v/>
      </c>
      <c r="AE45" s="196" t="str">
        <f>IF($B45="","",SUMIF('Post-Harvest Plots_rpt'!$B:$B,Stand_Biomass!$B45,'Post-Harvest Plots_rpt'!AD:AD)/$C45)</f>
        <v/>
      </c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</row>
    <row r="46" spans="2:47" x14ac:dyDescent="0.25">
      <c r="B46" s="171" t="str">
        <f>IF(Stand!C12="","",Stand!C12)</f>
        <v/>
      </c>
      <c r="C46" s="187" t="str">
        <f>IF($B46="","",VLOOKUP(B46,Stand!C:H,6,0))</f>
        <v/>
      </c>
      <c r="D46" s="130"/>
      <c r="E46" s="152" t="str">
        <f>IF($B46="","",SUMIF('Post-Harvest Plots_rpt'!$B:$B,Stand_Biomass!$B46,'Post-Harvest Plots_rpt'!$F:$F)/$C46)</f>
        <v/>
      </c>
      <c r="F46" s="359" t="str">
        <f>IF($B46="","",SUMIF('Post-Harvest Plots_rpt'!$B:$B,Stand_Biomass!$B46,'Post-Harvest Plots_rpt'!$G:$G)/$C46)</f>
        <v/>
      </c>
      <c r="G46" s="359" t="str">
        <f>IF($B46="","",SUMIF('Post-Harvest Plots_rpt'!$B:$B,Stand_Biomass!$B46,'Post-Harvest Plots_rpt'!$H:$H)/$C46)</f>
        <v/>
      </c>
      <c r="H46" s="297" t="str">
        <f>IF($B46="","",SUMIF('Post-Harvest Plots_rpt'!$B:$B,Stand_Biomass!$B46,'Post-Harvest Plots_rpt'!$I:$I)/$C46)</f>
        <v/>
      </c>
      <c r="I46" s="297" t="str">
        <f>IF($B46="","",SUMIF('Post-Harvest Plots_rpt'!$B:$B,Stand_Biomass!$B46,'Post-Harvest Plots_rpt'!$J:$J)/COUNTIFS('Post-Harvest Plots_rpt'!$B:$B,Stand_Biomass!$B46,'Post-Harvest Plots_rpt'!$J:$J,"&gt;"&amp;0))</f>
        <v/>
      </c>
      <c r="J46" s="297" t="str">
        <f>IF($B46="","",SUMIF('Post-Harvest Plots_rpt'!$B:$B,Stand_Biomass!$B46,'Post-Harvest Plots_rpt'!$K:$K)/$C46)</f>
        <v/>
      </c>
      <c r="K46" s="298" t="str">
        <f t="shared" si="3"/>
        <v/>
      </c>
      <c r="L46" s="135"/>
      <c r="M46" s="192" t="str">
        <f>IF($B46="","",SUMIF('Post-Harvest Plots_rpt'!$B:$B,Stand_Biomass!$B46,'Post-Harvest Plots_rpt'!N:N)/$C46)</f>
        <v/>
      </c>
      <c r="N46" s="122" t="str">
        <f>IF($B46="","",SUMIF('Post-Harvest Plots_rpt'!$B:$B,Stand_Biomass!$B46,'Post-Harvest Plots_rpt'!O:O)/$C46)</f>
        <v/>
      </c>
      <c r="O46" s="122" t="str">
        <f>IF($B46="","",SUMIF('Post-Harvest Plots_rpt'!$B:$B,Stand_Biomass!$B46,'Post-Harvest Plots_rpt'!P:P)/$C46)</f>
        <v/>
      </c>
      <c r="P46" s="122" t="str">
        <f>IF($B46="","",SUMIF('Post-Harvest Plots_rpt'!$B:$B,Stand_Biomass!$B46,'Post-Harvest Plots_rpt'!Q:Q)/$C46)</f>
        <v/>
      </c>
      <c r="Q46" s="123" t="str">
        <f>IF($B46="","",SUMIF('Post-Harvest Plots_rpt'!$B:$B,Stand_Biomass!$B46,'Post-Harvest Plots_rpt'!R:R)/$C46)</f>
        <v/>
      </c>
      <c r="R46" s="122" t="str">
        <f>IF($B46="","",SUMIF('Post-Harvest Plots_rpt'!$B:$B,Stand_Biomass!$B46,'Post-Harvest Plots_rpt'!S:S)/$C46)</f>
        <v/>
      </c>
      <c r="S46" s="122" t="str">
        <f>IF($B46="","",SUMIF('Post-Harvest Plots_rpt'!$B:$B,Stand_Biomass!$B46,'Post-Harvest Plots_rpt'!T:T)/$C46)</f>
        <v/>
      </c>
      <c r="T46" s="122" t="str">
        <f>IF($B46="","",SUMIF('Post-Harvest Plots_rpt'!$B:$B,Stand_Biomass!$B46,'Post-Harvest Plots_rpt'!U:U)/$C46)</f>
        <v/>
      </c>
      <c r="U46" s="122" t="str">
        <f>IF($B46="","",SUMIF('Post-Harvest Plots_rpt'!$B:$B,Stand_Biomass!$B46,'Post-Harvest Plots_rpt'!V:V)/$C46)</f>
        <v/>
      </c>
      <c r="V46" s="123" t="str">
        <f t="array" ref="V46">IF($C46="","",IF($C46&gt;1,(STDEV(IF($B46='Post-Harvest Plots_rpt'!$B$4:$B$855,IF(Q$3='Post-Harvest Plots_rpt'!$F$3:$Y$3,'Post-Harvest Plots_rpt'!$F$4:$Y$855)))/$C46^0.5)*1.96,"NA"))</f>
        <v/>
      </c>
      <c r="W46" s="123" t="str">
        <f>IF($B46="","",SUMIF('Post-Harvest Plots_rpt'!$B:$B,Stand_Biomass!$B46,'Post-Harvest Plots_rpt'!W:W)/$C46)</f>
        <v/>
      </c>
      <c r="X46" s="123" t="str">
        <f t="array" ref="X46">IF($C46="","",IF($C46&gt;1,(STDEV(IF($B46='Post-Harvest Plots_rpt'!$B$4:$B$855,IF(W$3='Post-Harvest Plots_rpt'!$F$3:$Y$3,'Post-Harvest Plots_rpt'!$F$4:$Y$855)))/$C46^0.5)*1.96,"NA"))</f>
        <v/>
      </c>
      <c r="Y46" s="193" t="str">
        <f>IF($B46="","",SUMIF('Post-Harvest Plots_rpt'!$B:$B,Stand_Biomass!$B46,'Post-Harvest Plots_rpt'!X:X)/$C46)</f>
        <v/>
      </c>
      <c r="Z46" s="130"/>
      <c r="AA46" s="189" t="str">
        <f>IF($B46="","",SUMIF('Post-Harvest Plots_rpt'!$B:$B,Stand_Biomass!$B46,'Post-Harvest Plots_rpt'!Z:Z)/$C46)</f>
        <v/>
      </c>
      <c r="AB46" s="121" t="str">
        <f>IF($B46="","",SUMIF('Post-Harvest Plots_rpt'!$B:$B,Stand_Biomass!$B46,'Post-Harvest Plots_rpt'!AA:AA)/$C46)</f>
        <v/>
      </c>
      <c r="AC46" s="121" t="str">
        <f>IF($B46="","",SUMIF('Post-Harvest Plots_rpt'!$B:$B,Stand_Biomass!$B46,'Post-Harvest Plots_rpt'!AB:AB)/$C46)</f>
        <v/>
      </c>
      <c r="AD46" s="177" t="str">
        <f>IF($B46="","",SUMIF('Post-Harvest Plots_rpt'!$B:$B,Stand_Biomass!$B46,'Post-Harvest Plots_rpt'!AC:AC)/$C46)</f>
        <v/>
      </c>
      <c r="AE46" s="196" t="str">
        <f>IF($B46="","",SUMIF('Post-Harvest Plots_rpt'!$B:$B,Stand_Biomass!$B46,'Post-Harvest Plots_rpt'!AD:AD)/$C46)</f>
        <v/>
      </c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</row>
    <row r="47" spans="2:47" x14ac:dyDescent="0.25">
      <c r="B47" s="171" t="str">
        <f>IF(Stand!C13="","",Stand!C13)</f>
        <v/>
      </c>
      <c r="C47" s="187" t="str">
        <f>IF($B47="","",VLOOKUP(B47,Stand!C:H,6,0))</f>
        <v/>
      </c>
      <c r="D47" s="130"/>
      <c r="E47" s="152" t="str">
        <f>IF($B47="","",SUMIF('Post-Harvest Plots_rpt'!$B:$B,Stand_Biomass!$B47,'Post-Harvest Plots_rpt'!$F:$F)/$C47)</f>
        <v/>
      </c>
      <c r="F47" s="359" t="str">
        <f>IF($B47="","",SUMIF('Post-Harvest Plots_rpt'!$B:$B,Stand_Biomass!$B47,'Post-Harvest Plots_rpt'!$G:$G)/$C47)</f>
        <v/>
      </c>
      <c r="G47" s="359" t="str">
        <f>IF($B47="","",SUMIF('Post-Harvest Plots_rpt'!$B:$B,Stand_Biomass!$B47,'Post-Harvest Plots_rpt'!$H:$H)/$C47)</f>
        <v/>
      </c>
      <c r="H47" s="297" t="str">
        <f>IF($B47="","",SUMIF('Post-Harvest Plots_rpt'!$B:$B,Stand_Biomass!$B47,'Post-Harvest Plots_rpt'!$I:$I)/$C47)</f>
        <v/>
      </c>
      <c r="I47" s="297" t="str">
        <f>IF($B47="","",SUMIF('Post-Harvest Plots_rpt'!$B:$B,Stand_Biomass!$B47,'Post-Harvest Plots_rpt'!$J:$J)/COUNTIFS('Post-Harvest Plots_rpt'!$B:$B,Stand_Biomass!$B47,'Post-Harvest Plots_rpt'!$J:$J,"&gt;"&amp;0))</f>
        <v/>
      </c>
      <c r="J47" s="297" t="str">
        <f>IF($B47="","",SUMIF('Post-Harvest Plots_rpt'!$B:$B,Stand_Biomass!$B47,'Post-Harvest Plots_rpt'!$K:$K)/$C47)</f>
        <v/>
      </c>
      <c r="K47" s="298" t="str">
        <f t="shared" si="3"/>
        <v/>
      </c>
      <c r="L47" s="135"/>
      <c r="M47" s="192" t="str">
        <f>IF($B47="","",SUMIF('Post-Harvest Plots_rpt'!$B:$B,Stand_Biomass!$B47,'Post-Harvest Plots_rpt'!N:N)/$C47)</f>
        <v/>
      </c>
      <c r="N47" s="122" t="str">
        <f>IF($B47="","",SUMIF('Post-Harvest Plots_rpt'!$B:$B,Stand_Biomass!$B47,'Post-Harvest Plots_rpt'!O:O)/$C47)</f>
        <v/>
      </c>
      <c r="O47" s="122" t="str">
        <f>IF($B47="","",SUMIF('Post-Harvest Plots_rpt'!$B:$B,Stand_Biomass!$B47,'Post-Harvest Plots_rpt'!P:P)/$C47)</f>
        <v/>
      </c>
      <c r="P47" s="122" t="str">
        <f>IF($B47="","",SUMIF('Post-Harvest Plots_rpt'!$B:$B,Stand_Biomass!$B47,'Post-Harvest Plots_rpt'!Q:Q)/$C47)</f>
        <v/>
      </c>
      <c r="Q47" s="123" t="str">
        <f>IF($B47="","",SUMIF('Post-Harvest Plots_rpt'!$B:$B,Stand_Biomass!$B47,'Post-Harvest Plots_rpt'!R:R)/$C47)</f>
        <v/>
      </c>
      <c r="R47" s="122" t="str">
        <f>IF($B47="","",SUMIF('Post-Harvest Plots_rpt'!$B:$B,Stand_Biomass!$B47,'Post-Harvest Plots_rpt'!S:S)/$C47)</f>
        <v/>
      </c>
      <c r="S47" s="122" t="str">
        <f>IF($B47="","",SUMIF('Post-Harvest Plots_rpt'!$B:$B,Stand_Biomass!$B47,'Post-Harvest Plots_rpt'!T:T)/$C47)</f>
        <v/>
      </c>
      <c r="T47" s="122" t="str">
        <f>IF($B47="","",SUMIF('Post-Harvest Plots_rpt'!$B:$B,Stand_Biomass!$B47,'Post-Harvest Plots_rpt'!U:U)/$C47)</f>
        <v/>
      </c>
      <c r="U47" s="122" t="str">
        <f>IF($B47="","",SUMIF('Post-Harvest Plots_rpt'!$B:$B,Stand_Biomass!$B47,'Post-Harvest Plots_rpt'!V:V)/$C47)</f>
        <v/>
      </c>
      <c r="V47" s="123" t="str">
        <f t="array" ref="V47">IF($C47="","",IF($C47&gt;1,(STDEV(IF($B47='Post-Harvest Plots_rpt'!$B$4:$B$855,IF(Q$3='Post-Harvest Plots_rpt'!$F$3:$Y$3,'Post-Harvest Plots_rpt'!$F$4:$Y$855)))/$C47^0.5)*1.96,"NA"))</f>
        <v/>
      </c>
      <c r="W47" s="123" t="str">
        <f>IF($B47="","",SUMIF('Post-Harvest Plots_rpt'!$B:$B,Stand_Biomass!$B47,'Post-Harvest Plots_rpt'!W:W)/$C47)</f>
        <v/>
      </c>
      <c r="X47" s="123" t="str">
        <f t="array" ref="X47">IF($C47="","",IF($C47&gt;1,(STDEV(IF($B47='Post-Harvest Plots_rpt'!$B$4:$B$855,IF(W$3='Post-Harvest Plots_rpt'!$F$3:$Y$3,'Post-Harvest Plots_rpt'!$F$4:$Y$855)))/$C47^0.5)*1.96,"NA"))</f>
        <v/>
      </c>
      <c r="Y47" s="193" t="str">
        <f>IF($B47="","",SUMIF('Post-Harvest Plots_rpt'!$B:$B,Stand_Biomass!$B47,'Post-Harvest Plots_rpt'!X:X)/$C47)</f>
        <v/>
      </c>
      <c r="Z47" s="130"/>
      <c r="AA47" s="189" t="str">
        <f>IF($B47="","",SUMIF('Post-Harvest Plots_rpt'!$B:$B,Stand_Biomass!$B47,'Post-Harvest Plots_rpt'!Z:Z)/$C47)</f>
        <v/>
      </c>
      <c r="AB47" s="121" t="str">
        <f>IF($B47="","",SUMIF('Post-Harvest Plots_rpt'!$B:$B,Stand_Biomass!$B47,'Post-Harvest Plots_rpt'!AA:AA)/$C47)</f>
        <v/>
      </c>
      <c r="AC47" s="121" t="str">
        <f>IF($B47="","",SUMIF('Post-Harvest Plots_rpt'!$B:$B,Stand_Biomass!$B47,'Post-Harvest Plots_rpt'!AB:AB)/$C47)</f>
        <v/>
      </c>
      <c r="AD47" s="177" t="str">
        <f>IF($B47="","",SUMIF('Post-Harvest Plots_rpt'!$B:$B,Stand_Biomass!$B47,'Post-Harvest Plots_rpt'!AC:AC)/$C47)</f>
        <v/>
      </c>
      <c r="AE47" s="196" t="str">
        <f>IF($B47="","",SUMIF('Post-Harvest Plots_rpt'!$B:$B,Stand_Biomass!$B47,'Post-Harvest Plots_rpt'!AD:AD)/$C47)</f>
        <v/>
      </c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</row>
    <row r="48" spans="2:47" x14ac:dyDescent="0.25">
      <c r="B48" s="171" t="str">
        <f>IF(Stand!C14="","",Stand!C14)</f>
        <v/>
      </c>
      <c r="C48" s="187" t="str">
        <f>IF($B48="","",VLOOKUP(B48,Stand!C:H,6,0))</f>
        <v/>
      </c>
      <c r="D48" s="130"/>
      <c r="E48" s="152" t="str">
        <f>IF($B48="","",SUMIF('Post-Harvest Plots_rpt'!$B:$B,Stand_Biomass!$B48,'Post-Harvest Plots_rpt'!$F:$F)/$C48)</f>
        <v/>
      </c>
      <c r="F48" s="359" t="str">
        <f>IF($B48="","",SUMIF('Post-Harvest Plots_rpt'!$B:$B,Stand_Biomass!$B48,'Post-Harvest Plots_rpt'!$G:$G)/$C48)</f>
        <v/>
      </c>
      <c r="G48" s="359" t="str">
        <f>IF($B48="","",SUMIF('Post-Harvest Plots_rpt'!$B:$B,Stand_Biomass!$B48,'Post-Harvest Plots_rpt'!$H:$H)/$C48)</f>
        <v/>
      </c>
      <c r="H48" s="297" t="str">
        <f>IF($B48="","",SUMIF('Post-Harvest Plots_rpt'!$B:$B,Stand_Biomass!$B48,'Post-Harvest Plots_rpt'!$I:$I)/$C48)</f>
        <v/>
      </c>
      <c r="I48" s="297" t="str">
        <f>IF($B48="","",SUMIF('Post-Harvest Plots_rpt'!$B:$B,Stand_Biomass!$B48,'Post-Harvest Plots_rpt'!$J:$J)/COUNTIFS('Post-Harvest Plots_rpt'!$B:$B,Stand_Biomass!$B48,'Post-Harvest Plots_rpt'!$J:$J,"&gt;"&amp;0))</f>
        <v/>
      </c>
      <c r="J48" s="297" t="str">
        <f>IF($B48="","",SUMIF('Post-Harvest Plots_rpt'!$B:$B,Stand_Biomass!$B48,'Post-Harvest Plots_rpt'!$K:$K)/$C48)</f>
        <v/>
      </c>
      <c r="K48" s="298" t="str">
        <f t="shared" si="3"/>
        <v/>
      </c>
      <c r="L48" s="135"/>
      <c r="M48" s="192" t="str">
        <f>IF($B48="","",SUMIF('Post-Harvest Plots_rpt'!$B:$B,Stand_Biomass!$B48,'Post-Harvest Plots_rpt'!N:N)/$C48)</f>
        <v/>
      </c>
      <c r="N48" s="122" t="str">
        <f>IF($B48="","",SUMIF('Post-Harvest Plots_rpt'!$B:$B,Stand_Biomass!$B48,'Post-Harvest Plots_rpt'!O:O)/$C48)</f>
        <v/>
      </c>
      <c r="O48" s="122" t="str">
        <f>IF($B48="","",SUMIF('Post-Harvest Plots_rpt'!$B:$B,Stand_Biomass!$B48,'Post-Harvest Plots_rpt'!P:P)/$C48)</f>
        <v/>
      </c>
      <c r="P48" s="122" t="str">
        <f>IF($B48="","",SUMIF('Post-Harvest Plots_rpt'!$B:$B,Stand_Biomass!$B48,'Post-Harvest Plots_rpt'!Q:Q)/$C48)</f>
        <v/>
      </c>
      <c r="Q48" s="123" t="str">
        <f>IF($B48="","",SUMIF('Post-Harvest Plots_rpt'!$B:$B,Stand_Biomass!$B48,'Post-Harvest Plots_rpt'!R:R)/$C48)</f>
        <v/>
      </c>
      <c r="R48" s="122" t="str">
        <f>IF($B48="","",SUMIF('Post-Harvest Plots_rpt'!$B:$B,Stand_Biomass!$B48,'Post-Harvest Plots_rpt'!S:S)/$C48)</f>
        <v/>
      </c>
      <c r="S48" s="122" t="str">
        <f>IF($B48="","",SUMIF('Post-Harvest Plots_rpt'!$B:$B,Stand_Biomass!$B48,'Post-Harvest Plots_rpt'!T:T)/$C48)</f>
        <v/>
      </c>
      <c r="T48" s="122" t="str">
        <f>IF($B48="","",SUMIF('Post-Harvest Plots_rpt'!$B:$B,Stand_Biomass!$B48,'Post-Harvest Plots_rpt'!U:U)/$C48)</f>
        <v/>
      </c>
      <c r="U48" s="122" t="str">
        <f>IF($B48="","",SUMIF('Post-Harvest Plots_rpt'!$B:$B,Stand_Biomass!$B48,'Post-Harvest Plots_rpt'!V:V)/$C48)</f>
        <v/>
      </c>
      <c r="V48" s="123" t="str">
        <f t="array" ref="V48">IF($C48="","",IF($C48&gt;1,(STDEV(IF($B48='Post-Harvest Plots_rpt'!$B$4:$B$855,IF(Q$3='Post-Harvest Plots_rpt'!$F$3:$Y$3,'Post-Harvest Plots_rpt'!$F$4:$Y$855)))/$C48^0.5)*1.96,"NA"))</f>
        <v/>
      </c>
      <c r="W48" s="123" t="str">
        <f>IF($B48="","",SUMIF('Post-Harvest Plots_rpt'!$B:$B,Stand_Biomass!$B48,'Post-Harvest Plots_rpt'!W:W)/$C48)</f>
        <v/>
      </c>
      <c r="X48" s="123" t="str">
        <f t="array" ref="X48">IF($C48="","",IF($C48&gt;1,(STDEV(IF($B48='Post-Harvest Plots_rpt'!$B$4:$B$855,IF(W$3='Post-Harvest Plots_rpt'!$F$3:$Y$3,'Post-Harvest Plots_rpt'!$F$4:$Y$855)))/$C48^0.5)*1.96,"NA"))</f>
        <v/>
      </c>
      <c r="Y48" s="193" t="str">
        <f>IF($B48="","",SUMIF('Post-Harvest Plots_rpt'!$B:$B,Stand_Biomass!$B48,'Post-Harvest Plots_rpt'!X:X)/$C48)</f>
        <v/>
      </c>
      <c r="Z48" s="130"/>
      <c r="AA48" s="189" t="str">
        <f>IF($B48="","",SUMIF('Post-Harvest Plots_rpt'!$B:$B,Stand_Biomass!$B48,'Post-Harvest Plots_rpt'!Z:Z)/$C48)</f>
        <v/>
      </c>
      <c r="AB48" s="121" t="str">
        <f>IF($B48="","",SUMIF('Post-Harvest Plots_rpt'!$B:$B,Stand_Biomass!$B48,'Post-Harvest Plots_rpt'!AA:AA)/$C48)</f>
        <v/>
      </c>
      <c r="AC48" s="121" t="str">
        <f>IF($B48="","",SUMIF('Post-Harvest Plots_rpt'!$B:$B,Stand_Biomass!$B48,'Post-Harvest Plots_rpt'!AB:AB)/$C48)</f>
        <v/>
      </c>
      <c r="AD48" s="177" t="str">
        <f>IF($B48="","",SUMIF('Post-Harvest Plots_rpt'!$B:$B,Stand_Biomass!$B48,'Post-Harvest Plots_rpt'!AC:AC)/$C48)</f>
        <v/>
      </c>
      <c r="AE48" s="196" t="str">
        <f>IF($B48="","",SUMIF('Post-Harvest Plots_rpt'!$B:$B,Stand_Biomass!$B48,'Post-Harvest Plots_rpt'!AD:AD)/$C48)</f>
        <v/>
      </c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</row>
    <row r="49" spans="2:47" x14ac:dyDescent="0.25">
      <c r="B49" s="171" t="str">
        <f>IF(Stand!C15="","",Stand!C15)</f>
        <v/>
      </c>
      <c r="C49" s="187" t="str">
        <f>IF($B49="","",VLOOKUP(B49,Stand!C:H,6,0))</f>
        <v/>
      </c>
      <c r="D49" s="130"/>
      <c r="E49" s="152" t="str">
        <f>IF($B49="","",SUMIF('Post-Harvest Plots_rpt'!$B:$B,Stand_Biomass!$B49,'Post-Harvest Plots_rpt'!$F:$F)/$C49)</f>
        <v/>
      </c>
      <c r="F49" s="359" t="str">
        <f>IF($B49="","",SUMIF('Post-Harvest Plots_rpt'!$B:$B,Stand_Biomass!$B49,'Post-Harvest Plots_rpt'!$G:$G)/$C49)</f>
        <v/>
      </c>
      <c r="G49" s="359" t="str">
        <f>IF($B49="","",SUMIF('Post-Harvest Plots_rpt'!$B:$B,Stand_Biomass!$B49,'Post-Harvest Plots_rpt'!$H:$H)/$C49)</f>
        <v/>
      </c>
      <c r="H49" s="297" t="str">
        <f>IF($B49="","",SUMIF('Post-Harvest Plots_rpt'!$B:$B,Stand_Biomass!$B49,'Post-Harvest Plots_rpt'!$I:$I)/$C49)</f>
        <v/>
      </c>
      <c r="I49" s="297" t="str">
        <f>IF($B49="","",SUMIF('Post-Harvest Plots_rpt'!$B:$B,Stand_Biomass!$B49,'Post-Harvest Plots_rpt'!$J:$J)/COUNTIFS('Post-Harvest Plots_rpt'!$B:$B,Stand_Biomass!$B49,'Post-Harvest Plots_rpt'!$J:$J,"&gt;"&amp;0))</f>
        <v/>
      </c>
      <c r="J49" s="297" t="str">
        <f>IF($B49="","",SUMIF('Post-Harvest Plots_rpt'!$B:$B,Stand_Biomass!$B49,'Post-Harvest Plots_rpt'!$K:$K)/$C49)</f>
        <v/>
      </c>
      <c r="K49" s="298" t="str">
        <f t="shared" si="3"/>
        <v/>
      </c>
      <c r="L49" s="135"/>
      <c r="M49" s="192" t="str">
        <f>IF($B49="","",SUMIF('Post-Harvest Plots_rpt'!$B:$B,Stand_Biomass!$B49,'Post-Harvest Plots_rpt'!N:N)/$C49)</f>
        <v/>
      </c>
      <c r="N49" s="122" t="str">
        <f>IF($B49="","",SUMIF('Post-Harvest Plots_rpt'!$B:$B,Stand_Biomass!$B49,'Post-Harvest Plots_rpt'!O:O)/$C49)</f>
        <v/>
      </c>
      <c r="O49" s="122" t="str">
        <f>IF($B49="","",SUMIF('Post-Harvest Plots_rpt'!$B:$B,Stand_Biomass!$B49,'Post-Harvest Plots_rpt'!P:P)/$C49)</f>
        <v/>
      </c>
      <c r="P49" s="122" t="str">
        <f>IF($B49="","",SUMIF('Post-Harvest Plots_rpt'!$B:$B,Stand_Biomass!$B49,'Post-Harvest Plots_rpt'!Q:Q)/$C49)</f>
        <v/>
      </c>
      <c r="Q49" s="123" t="str">
        <f>IF($B49="","",SUMIF('Post-Harvest Plots_rpt'!$B:$B,Stand_Biomass!$B49,'Post-Harvest Plots_rpt'!R:R)/$C49)</f>
        <v/>
      </c>
      <c r="R49" s="122" t="str">
        <f>IF($B49="","",SUMIF('Post-Harvest Plots_rpt'!$B:$B,Stand_Biomass!$B49,'Post-Harvest Plots_rpt'!S:S)/$C49)</f>
        <v/>
      </c>
      <c r="S49" s="122" t="str">
        <f>IF($B49="","",SUMIF('Post-Harvest Plots_rpt'!$B:$B,Stand_Biomass!$B49,'Post-Harvest Plots_rpt'!T:T)/$C49)</f>
        <v/>
      </c>
      <c r="T49" s="122" t="str">
        <f>IF($B49="","",SUMIF('Post-Harvest Plots_rpt'!$B:$B,Stand_Biomass!$B49,'Post-Harvest Plots_rpt'!U:U)/$C49)</f>
        <v/>
      </c>
      <c r="U49" s="122" t="str">
        <f>IF($B49="","",SUMIF('Post-Harvest Plots_rpt'!$B:$B,Stand_Biomass!$B49,'Post-Harvest Plots_rpt'!V:V)/$C49)</f>
        <v/>
      </c>
      <c r="V49" s="123" t="str">
        <f t="array" ref="V49">IF($C49="","",IF($C49&gt;1,(STDEV(IF($B49='Post-Harvest Plots_rpt'!$B$4:$B$855,IF(Q$3='Post-Harvest Plots_rpt'!$F$3:$Y$3,'Post-Harvest Plots_rpt'!$F$4:$Y$855)))/$C49^0.5)*1.96,"NA"))</f>
        <v/>
      </c>
      <c r="W49" s="123" t="str">
        <f>IF($B49="","",SUMIF('Post-Harvest Plots_rpt'!$B:$B,Stand_Biomass!$B49,'Post-Harvest Plots_rpt'!W:W)/$C49)</f>
        <v/>
      </c>
      <c r="X49" s="123" t="str">
        <f t="array" ref="X49">IF($C49="","",IF($C49&gt;1,(STDEV(IF($B49='Post-Harvest Plots_rpt'!$B$4:$B$855,IF(W$3='Post-Harvest Plots_rpt'!$F$3:$Y$3,'Post-Harvest Plots_rpt'!$F$4:$Y$855)))/$C49^0.5)*1.96,"NA"))</f>
        <v/>
      </c>
      <c r="Y49" s="193" t="str">
        <f>IF($B49="","",SUMIF('Post-Harvest Plots_rpt'!$B:$B,Stand_Biomass!$B49,'Post-Harvest Plots_rpt'!X:X)/$C49)</f>
        <v/>
      </c>
      <c r="Z49" s="130"/>
      <c r="AA49" s="189" t="str">
        <f>IF($B49="","",SUMIF('Post-Harvest Plots_rpt'!$B:$B,Stand_Biomass!$B49,'Post-Harvest Plots_rpt'!Z:Z)/$C49)</f>
        <v/>
      </c>
      <c r="AB49" s="121" t="str">
        <f>IF($B49="","",SUMIF('Post-Harvest Plots_rpt'!$B:$B,Stand_Biomass!$B49,'Post-Harvest Plots_rpt'!AA:AA)/$C49)</f>
        <v/>
      </c>
      <c r="AC49" s="121" t="str">
        <f>IF($B49="","",SUMIF('Post-Harvest Plots_rpt'!$B:$B,Stand_Biomass!$B49,'Post-Harvest Plots_rpt'!AB:AB)/$C49)</f>
        <v/>
      </c>
      <c r="AD49" s="177" t="str">
        <f>IF($B49="","",SUMIF('Post-Harvest Plots_rpt'!$B:$B,Stand_Biomass!$B49,'Post-Harvest Plots_rpt'!AC:AC)/$C49)</f>
        <v/>
      </c>
      <c r="AE49" s="196" t="str">
        <f>IF($B49="","",SUMIF('Post-Harvest Plots_rpt'!$B:$B,Stand_Biomass!$B49,'Post-Harvest Plots_rpt'!AD:AD)/$C49)</f>
        <v/>
      </c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</row>
    <row r="50" spans="2:47" x14ac:dyDescent="0.25">
      <c r="B50" s="171" t="str">
        <f>IF(Stand!C16="","",Stand!C16)</f>
        <v/>
      </c>
      <c r="C50" s="187" t="str">
        <f>IF($B50="","",VLOOKUP(B50,Stand!C:H,6,0))</f>
        <v/>
      </c>
      <c r="D50" s="130"/>
      <c r="E50" s="152" t="str">
        <f>IF($B50="","",SUMIF('Post-Harvest Plots_rpt'!$B:$B,Stand_Biomass!$B50,'Post-Harvest Plots_rpt'!$F:$F)/$C50)</f>
        <v/>
      </c>
      <c r="F50" s="359" t="str">
        <f>IF($B50="","",SUMIF('Post-Harvest Plots_rpt'!$B:$B,Stand_Biomass!$B50,'Post-Harvest Plots_rpt'!$G:$G)/$C50)</f>
        <v/>
      </c>
      <c r="G50" s="359" t="str">
        <f>IF($B50="","",SUMIF('Post-Harvest Plots_rpt'!$B:$B,Stand_Biomass!$B50,'Post-Harvest Plots_rpt'!$H:$H)/$C50)</f>
        <v/>
      </c>
      <c r="H50" s="297" t="str">
        <f>IF($B50="","",SUMIF('Post-Harvest Plots_rpt'!$B:$B,Stand_Biomass!$B50,'Post-Harvest Plots_rpt'!$I:$I)/$C50)</f>
        <v/>
      </c>
      <c r="I50" s="297" t="str">
        <f>IF($B50="","",SUMIF('Post-Harvest Plots_rpt'!$B:$B,Stand_Biomass!$B50,'Post-Harvest Plots_rpt'!$J:$J)/COUNTIFS('Post-Harvest Plots_rpt'!$B:$B,Stand_Biomass!$B50,'Post-Harvest Plots_rpt'!$J:$J,"&gt;"&amp;0))</f>
        <v/>
      </c>
      <c r="J50" s="297" t="str">
        <f>IF($B50="","",SUMIF('Post-Harvest Plots_rpt'!$B:$B,Stand_Biomass!$B50,'Post-Harvest Plots_rpt'!$K:$K)/$C50)</f>
        <v/>
      </c>
      <c r="K50" s="298" t="str">
        <f t="shared" si="3"/>
        <v/>
      </c>
      <c r="L50" s="135"/>
      <c r="M50" s="192" t="str">
        <f>IF($B50="","",SUMIF('Post-Harvest Plots_rpt'!$B:$B,Stand_Biomass!$B50,'Post-Harvest Plots_rpt'!N:N)/$C50)</f>
        <v/>
      </c>
      <c r="N50" s="122" t="str">
        <f>IF($B50="","",SUMIF('Post-Harvest Plots_rpt'!$B:$B,Stand_Biomass!$B50,'Post-Harvest Plots_rpt'!O:O)/$C50)</f>
        <v/>
      </c>
      <c r="O50" s="122" t="str">
        <f>IF($B50="","",SUMIF('Post-Harvest Plots_rpt'!$B:$B,Stand_Biomass!$B50,'Post-Harvest Plots_rpt'!P:P)/$C50)</f>
        <v/>
      </c>
      <c r="P50" s="122" t="str">
        <f>IF($B50="","",SUMIF('Post-Harvest Plots_rpt'!$B:$B,Stand_Biomass!$B50,'Post-Harvest Plots_rpt'!Q:Q)/$C50)</f>
        <v/>
      </c>
      <c r="Q50" s="123" t="str">
        <f>IF($B50="","",SUMIF('Post-Harvest Plots_rpt'!$B:$B,Stand_Biomass!$B50,'Post-Harvest Plots_rpt'!R:R)/$C50)</f>
        <v/>
      </c>
      <c r="R50" s="122" t="str">
        <f>IF($B50="","",SUMIF('Post-Harvest Plots_rpt'!$B:$B,Stand_Biomass!$B50,'Post-Harvest Plots_rpt'!S:S)/$C50)</f>
        <v/>
      </c>
      <c r="S50" s="122" t="str">
        <f>IF($B50="","",SUMIF('Post-Harvest Plots_rpt'!$B:$B,Stand_Biomass!$B50,'Post-Harvest Plots_rpt'!T:T)/$C50)</f>
        <v/>
      </c>
      <c r="T50" s="122" t="str">
        <f>IF($B50="","",SUMIF('Post-Harvest Plots_rpt'!$B:$B,Stand_Biomass!$B50,'Post-Harvest Plots_rpt'!U:U)/$C50)</f>
        <v/>
      </c>
      <c r="U50" s="122" t="str">
        <f>IF($B50="","",SUMIF('Post-Harvest Plots_rpt'!$B:$B,Stand_Biomass!$B50,'Post-Harvest Plots_rpt'!V:V)/$C50)</f>
        <v/>
      </c>
      <c r="V50" s="123" t="str">
        <f t="array" ref="V50">IF($C50="","",IF($C50&gt;1,(STDEV(IF($B50='Post-Harvest Plots_rpt'!$B$4:$B$855,IF(Q$3='Post-Harvest Plots_rpt'!$F$3:$Y$3,'Post-Harvest Plots_rpt'!$F$4:$Y$855)))/$C50^0.5)*1.96,"NA"))</f>
        <v/>
      </c>
      <c r="W50" s="123" t="str">
        <f>IF($B50="","",SUMIF('Post-Harvest Plots_rpt'!$B:$B,Stand_Biomass!$B50,'Post-Harvest Plots_rpt'!W:W)/$C50)</f>
        <v/>
      </c>
      <c r="X50" s="123" t="str">
        <f t="array" ref="X50">IF($C50="","",IF($C50&gt;1,(STDEV(IF($B50='Post-Harvest Plots_rpt'!$B$4:$B$855,IF(W$3='Post-Harvest Plots_rpt'!$F$3:$Y$3,'Post-Harvest Plots_rpt'!$F$4:$Y$855)))/$C50^0.5)*1.96,"NA"))</f>
        <v/>
      </c>
      <c r="Y50" s="193" t="str">
        <f>IF($B50="","",SUMIF('Post-Harvest Plots_rpt'!$B:$B,Stand_Biomass!$B50,'Post-Harvest Plots_rpt'!X:X)/$C50)</f>
        <v/>
      </c>
      <c r="Z50" s="130"/>
      <c r="AA50" s="189" t="str">
        <f>IF($B50="","",SUMIF('Post-Harvest Plots_rpt'!$B:$B,Stand_Biomass!$B50,'Post-Harvest Plots_rpt'!Z:Z)/$C50)</f>
        <v/>
      </c>
      <c r="AB50" s="121" t="str">
        <f>IF($B50="","",SUMIF('Post-Harvest Plots_rpt'!$B:$B,Stand_Biomass!$B50,'Post-Harvest Plots_rpt'!AA:AA)/$C50)</f>
        <v/>
      </c>
      <c r="AC50" s="121" t="str">
        <f>IF($B50="","",SUMIF('Post-Harvest Plots_rpt'!$B:$B,Stand_Biomass!$B50,'Post-Harvest Plots_rpt'!AB:AB)/$C50)</f>
        <v/>
      </c>
      <c r="AD50" s="177" t="str">
        <f>IF($B50="","",SUMIF('Post-Harvest Plots_rpt'!$B:$B,Stand_Biomass!$B50,'Post-Harvest Plots_rpt'!AC:AC)/$C50)</f>
        <v/>
      </c>
      <c r="AE50" s="196" t="str">
        <f>IF($B50="","",SUMIF('Post-Harvest Plots_rpt'!$B:$B,Stand_Biomass!$B50,'Post-Harvest Plots_rpt'!AD:AD)/$C50)</f>
        <v/>
      </c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</row>
    <row r="51" spans="2:47" x14ac:dyDescent="0.25">
      <c r="B51" s="171" t="str">
        <f>IF(Stand!C17="","",Stand!C17)</f>
        <v/>
      </c>
      <c r="C51" s="187" t="str">
        <f>IF($B51="","",VLOOKUP(B51,Stand!C:H,6,0))</f>
        <v/>
      </c>
      <c r="D51" s="130"/>
      <c r="E51" s="152" t="str">
        <f>IF($B51="","",SUMIF('Post-Harvest Plots_rpt'!$B:$B,Stand_Biomass!$B51,'Post-Harvest Plots_rpt'!$F:$F)/$C51)</f>
        <v/>
      </c>
      <c r="F51" s="359" t="str">
        <f>IF($B51="","",SUMIF('Post-Harvest Plots_rpt'!$B:$B,Stand_Biomass!$B51,'Post-Harvest Plots_rpt'!$G:$G)/$C51)</f>
        <v/>
      </c>
      <c r="G51" s="359" t="str">
        <f>IF($B51="","",SUMIF('Post-Harvest Plots_rpt'!$B:$B,Stand_Biomass!$B51,'Post-Harvest Plots_rpt'!$H:$H)/$C51)</f>
        <v/>
      </c>
      <c r="H51" s="297" t="str">
        <f>IF($B51="","",SUMIF('Post-Harvest Plots_rpt'!$B:$B,Stand_Biomass!$B51,'Post-Harvest Plots_rpt'!$I:$I)/$C51)</f>
        <v/>
      </c>
      <c r="I51" s="297" t="str">
        <f>IF($B51="","",SUMIF('Post-Harvest Plots_rpt'!$B:$B,Stand_Biomass!$B51,'Post-Harvest Plots_rpt'!$J:$J)/COUNTIFS('Post-Harvest Plots_rpt'!$B:$B,Stand_Biomass!$B51,'Post-Harvest Plots_rpt'!$J:$J,"&gt;"&amp;0))</f>
        <v/>
      </c>
      <c r="J51" s="297" t="str">
        <f>IF($B51="","",SUMIF('Post-Harvest Plots_rpt'!$B:$B,Stand_Biomass!$B51,'Post-Harvest Plots_rpt'!$K:$K)/$C51)</f>
        <v/>
      </c>
      <c r="K51" s="298" t="str">
        <f t="shared" si="3"/>
        <v/>
      </c>
      <c r="L51" s="135"/>
      <c r="M51" s="192" t="str">
        <f>IF($B51="","",SUMIF('Post-Harvest Plots_rpt'!$B:$B,Stand_Biomass!$B51,'Post-Harvest Plots_rpt'!N:N)/$C51)</f>
        <v/>
      </c>
      <c r="N51" s="122" t="str">
        <f>IF($B51="","",SUMIF('Post-Harvest Plots_rpt'!$B:$B,Stand_Biomass!$B51,'Post-Harvest Plots_rpt'!O:O)/$C51)</f>
        <v/>
      </c>
      <c r="O51" s="122" t="str">
        <f>IF($B51="","",SUMIF('Post-Harvest Plots_rpt'!$B:$B,Stand_Biomass!$B51,'Post-Harvest Plots_rpt'!P:P)/$C51)</f>
        <v/>
      </c>
      <c r="P51" s="122" t="str">
        <f>IF($B51="","",SUMIF('Post-Harvest Plots_rpt'!$B:$B,Stand_Biomass!$B51,'Post-Harvest Plots_rpt'!Q:Q)/$C51)</f>
        <v/>
      </c>
      <c r="Q51" s="123" t="str">
        <f>IF($B51="","",SUMIF('Post-Harvest Plots_rpt'!$B:$B,Stand_Biomass!$B51,'Post-Harvest Plots_rpt'!R:R)/$C51)</f>
        <v/>
      </c>
      <c r="R51" s="122" t="str">
        <f>IF($B51="","",SUMIF('Post-Harvest Plots_rpt'!$B:$B,Stand_Biomass!$B51,'Post-Harvest Plots_rpt'!S:S)/$C51)</f>
        <v/>
      </c>
      <c r="S51" s="122" t="str">
        <f>IF($B51="","",SUMIF('Post-Harvest Plots_rpt'!$B:$B,Stand_Biomass!$B51,'Post-Harvest Plots_rpt'!T:T)/$C51)</f>
        <v/>
      </c>
      <c r="T51" s="122" t="str">
        <f>IF($B51="","",SUMIF('Post-Harvest Plots_rpt'!$B:$B,Stand_Biomass!$B51,'Post-Harvest Plots_rpt'!U:U)/$C51)</f>
        <v/>
      </c>
      <c r="U51" s="122" t="str">
        <f>IF($B51="","",SUMIF('Post-Harvest Plots_rpt'!$B:$B,Stand_Biomass!$B51,'Post-Harvest Plots_rpt'!V:V)/$C51)</f>
        <v/>
      </c>
      <c r="V51" s="123" t="str">
        <f t="array" ref="V51">IF($C51="","",IF($C51&gt;1,(STDEV(IF($B51='Post-Harvest Plots_rpt'!$B$4:$B$855,IF(Q$3='Post-Harvest Plots_rpt'!$F$3:$Y$3,'Post-Harvest Plots_rpt'!$F$4:$Y$855)))/$C51^0.5)*1.96,"NA"))</f>
        <v/>
      </c>
      <c r="W51" s="123" t="str">
        <f>IF($B51="","",SUMIF('Post-Harvest Plots_rpt'!$B:$B,Stand_Biomass!$B51,'Post-Harvest Plots_rpt'!W:W)/$C51)</f>
        <v/>
      </c>
      <c r="X51" s="123" t="str">
        <f t="array" ref="X51">IF($C51="","",IF($C51&gt;1,(STDEV(IF($B51='Post-Harvest Plots_rpt'!$B$4:$B$855,IF(W$3='Post-Harvest Plots_rpt'!$F$3:$Y$3,'Post-Harvest Plots_rpt'!$F$4:$Y$855)))/$C51^0.5)*1.96,"NA"))</f>
        <v/>
      </c>
      <c r="Y51" s="193" t="str">
        <f>IF($B51="","",SUMIF('Post-Harvest Plots_rpt'!$B:$B,Stand_Biomass!$B51,'Post-Harvest Plots_rpt'!X:X)/$C51)</f>
        <v/>
      </c>
      <c r="Z51" s="130"/>
      <c r="AA51" s="189" t="str">
        <f>IF($B51="","",SUMIF('Post-Harvest Plots_rpt'!$B:$B,Stand_Biomass!$B51,'Post-Harvest Plots_rpt'!Z:Z)/$C51)</f>
        <v/>
      </c>
      <c r="AB51" s="121" t="str">
        <f>IF($B51="","",SUMIF('Post-Harvest Plots_rpt'!$B:$B,Stand_Biomass!$B51,'Post-Harvest Plots_rpt'!AA:AA)/$C51)</f>
        <v/>
      </c>
      <c r="AC51" s="121" t="str">
        <f>IF($B51="","",SUMIF('Post-Harvest Plots_rpt'!$B:$B,Stand_Biomass!$B51,'Post-Harvest Plots_rpt'!AB:AB)/$C51)</f>
        <v/>
      </c>
      <c r="AD51" s="177" t="str">
        <f>IF($B51="","",SUMIF('Post-Harvest Plots_rpt'!$B:$B,Stand_Biomass!$B51,'Post-Harvest Plots_rpt'!AC:AC)/$C51)</f>
        <v/>
      </c>
      <c r="AE51" s="196" t="str">
        <f>IF($B51="","",SUMIF('Post-Harvest Plots_rpt'!$B:$B,Stand_Biomass!$B51,'Post-Harvest Plots_rpt'!AD:AD)/$C51)</f>
        <v/>
      </c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</row>
    <row r="52" spans="2:47" x14ac:dyDescent="0.25">
      <c r="B52" s="171" t="str">
        <f>IF(Stand!C18="","",Stand!C18)</f>
        <v/>
      </c>
      <c r="C52" s="187" t="str">
        <f>IF($B52="","",VLOOKUP(B52,Stand!C:H,6,0))</f>
        <v/>
      </c>
      <c r="D52" s="130"/>
      <c r="E52" s="152" t="str">
        <f>IF($B52="","",SUMIF('Post-Harvest Plots_rpt'!$B:$B,Stand_Biomass!$B52,'Post-Harvest Plots_rpt'!$F:$F)/$C52)</f>
        <v/>
      </c>
      <c r="F52" s="359" t="str">
        <f>IF($B52="","",SUMIF('Post-Harvest Plots_rpt'!$B:$B,Stand_Biomass!$B52,'Post-Harvest Plots_rpt'!$G:$G)/$C52)</f>
        <v/>
      </c>
      <c r="G52" s="359" t="str">
        <f>IF($B52="","",SUMIF('Post-Harvest Plots_rpt'!$B:$B,Stand_Biomass!$B52,'Post-Harvest Plots_rpt'!$H:$H)/$C52)</f>
        <v/>
      </c>
      <c r="H52" s="297" t="str">
        <f>IF($B52="","",SUMIF('Post-Harvest Plots_rpt'!$B:$B,Stand_Biomass!$B52,'Post-Harvest Plots_rpt'!$I:$I)/$C52)</f>
        <v/>
      </c>
      <c r="I52" s="297" t="str">
        <f>IF($B52="","",SUMIF('Post-Harvest Plots_rpt'!$B:$B,Stand_Biomass!$B52,'Post-Harvest Plots_rpt'!$J:$J)/COUNTIFS('Post-Harvest Plots_rpt'!$B:$B,Stand_Biomass!$B52,'Post-Harvest Plots_rpt'!$J:$J,"&gt;"&amp;0))</f>
        <v/>
      </c>
      <c r="J52" s="297" t="str">
        <f>IF($B52="","",SUMIF('Post-Harvest Plots_rpt'!$B:$B,Stand_Biomass!$B52,'Post-Harvest Plots_rpt'!$K:$K)/$C52)</f>
        <v/>
      </c>
      <c r="K52" s="298" t="str">
        <f t="shared" si="3"/>
        <v/>
      </c>
      <c r="L52" s="135"/>
      <c r="M52" s="192" t="str">
        <f>IF($B52="","",SUMIF('Post-Harvest Plots_rpt'!$B:$B,Stand_Biomass!$B52,'Post-Harvest Plots_rpt'!N:N)/$C52)</f>
        <v/>
      </c>
      <c r="N52" s="122" t="str">
        <f>IF($B52="","",SUMIF('Post-Harvest Plots_rpt'!$B:$B,Stand_Biomass!$B52,'Post-Harvest Plots_rpt'!O:O)/$C52)</f>
        <v/>
      </c>
      <c r="O52" s="122" t="str">
        <f>IF($B52="","",SUMIF('Post-Harvest Plots_rpt'!$B:$B,Stand_Biomass!$B52,'Post-Harvest Plots_rpt'!P:P)/$C52)</f>
        <v/>
      </c>
      <c r="P52" s="122" t="str">
        <f>IF($B52="","",SUMIF('Post-Harvest Plots_rpt'!$B:$B,Stand_Biomass!$B52,'Post-Harvest Plots_rpt'!Q:Q)/$C52)</f>
        <v/>
      </c>
      <c r="Q52" s="123" t="str">
        <f>IF($B52="","",SUMIF('Post-Harvest Plots_rpt'!$B:$B,Stand_Biomass!$B52,'Post-Harvest Plots_rpt'!R:R)/$C52)</f>
        <v/>
      </c>
      <c r="R52" s="122" t="str">
        <f>IF($B52="","",SUMIF('Post-Harvest Plots_rpt'!$B:$B,Stand_Biomass!$B52,'Post-Harvest Plots_rpt'!S:S)/$C52)</f>
        <v/>
      </c>
      <c r="S52" s="122" t="str">
        <f>IF($B52="","",SUMIF('Post-Harvest Plots_rpt'!$B:$B,Stand_Biomass!$B52,'Post-Harvest Plots_rpt'!T:T)/$C52)</f>
        <v/>
      </c>
      <c r="T52" s="122" t="str">
        <f>IF($B52="","",SUMIF('Post-Harvest Plots_rpt'!$B:$B,Stand_Biomass!$B52,'Post-Harvest Plots_rpt'!U:U)/$C52)</f>
        <v/>
      </c>
      <c r="U52" s="122" t="str">
        <f>IF($B52="","",SUMIF('Post-Harvest Plots_rpt'!$B:$B,Stand_Biomass!$B52,'Post-Harvest Plots_rpt'!V:V)/$C52)</f>
        <v/>
      </c>
      <c r="V52" s="123" t="str">
        <f t="array" ref="V52">IF($C52="","",IF($C52&gt;1,(STDEV(IF($B52='Post-Harvest Plots_rpt'!$B$4:$B$855,IF(Q$3='Post-Harvest Plots_rpt'!$F$3:$Y$3,'Post-Harvest Plots_rpt'!$F$4:$Y$855)))/$C52^0.5)*1.96,"NA"))</f>
        <v/>
      </c>
      <c r="W52" s="123" t="str">
        <f>IF($B52="","",SUMIF('Post-Harvest Plots_rpt'!$B:$B,Stand_Biomass!$B52,'Post-Harvest Plots_rpt'!W:W)/$C52)</f>
        <v/>
      </c>
      <c r="X52" s="123" t="str">
        <f t="array" ref="X52">IF($C52="","",IF($C52&gt;1,(STDEV(IF($B52='Post-Harvest Plots_rpt'!$B$4:$B$855,IF(W$3='Post-Harvest Plots_rpt'!$F$3:$Y$3,'Post-Harvest Plots_rpt'!$F$4:$Y$855)))/$C52^0.5)*1.96,"NA"))</f>
        <v/>
      </c>
      <c r="Y52" s="193" t="str">
        <f>IF($B52="","",SUMIF('Post-Harvest Plots_rpt'!$B:$B,Stand_Biomass!$B52,'Post-Harvest Plots_rpt'!X:X)/$C52)</f>
        <v/>
      </c>
      <c r="Z52" s="130"/>
      <c r="AA52" s="189" t="str">
        <f>IF($B52="","",SUMIF('Post-Harvest Plots_rpt'!$B:$B,Stand_Biomass!$B52,'Post-Harvest Plots_rpt'!Z:Z)/$C52)</f>
        <v/>
      </c>
      <c r="AB52" s="121" t="str">
        <f>IF($B52="","",SUMIF('Post-Harvest Plots_rpt'!$B:$B,Stand_Biomass!$B52,'Post-Harvest Plots_rpt'!AA:AA)/$C52)</f>
        <v/>
      </c>
      <c r="AC52" s="121" t="str">
        <f>IF($B52="","",SUMIF('Post-Harvest Plots_rpt'!$B:$B,Stand_Biomass!$B52,'Post-Harvest Plots_rpt'!AB:AB)/$C52)</f>
        <v/>
      </c>
      <c r="AD52" s="177" t="str">
        <f>IF($B52="","",SUMIF('Post-Harvest Plots_rpt'!$B:$B,Stand_Biomass!$B52,'Post-Harvest Plots_rpt'!AC:AC)/$C52)</f>
        <v/>
      </c>
      <c r="AE52" s="196" t="str">
        <f>IF($B52="","",SUMIF('Post-Harvest Plots_rpt'!$B:$B,Stand_Biomass!$B52,'Post-Harvest Plots_rpt'!AD:AD)/$C52)</f>
        <v/>
      </c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</row>
    <row r="53" spans="2:47" x14ac:dyDescent="0.25">
      <c r="B53" s="171" t="str">
        <f>IF(Stand!C19="","",Stand!C19)</f>
        <v/>
      </c>
      <c r="C53" s="187" t="str">
        <f>IF($B53="","",VLOOKUP(B53,Stand!C:H,6,0))</f>
        <v/>
      </c>
      <c r="D53" s="130"/>
      <c r="E53" s="152" t="str">
        <f>IF($B53="","",SUMIF('Post-Harvest Plots_rpt'!$B:$B,Stand_Biomass!$B53,'Post-Harvest Plots_rpt'!$F:$F)/$C53)</f>
        <v/>
      </c>
      <c r="F53" s="359" t="str">
        <f>IF($B53="","",SUMIF('Post-Harvest Plots_rpt'!$B:$B,Stand_Biomass!$B53,'Post-Harvest Plots_rpt'!$G:$G)/$C53)</f>
        <v/>
      </c>
      <c r="G53" s="359" t="str">
        <f>IF($B53="","",SUMIF('Post-Harvest Plots_rpt'!$B:$B,Stand_Biomass!$B53,'Post-Harvest Plots_rpt'!$H:$H)/$C53)</f>
        <v/>
      </c>
      <c r="H53" s="297" t="str">
        <f>IF($B53="","",SUMIF('Post-Harvest Plots_rpt'!$B:$B,Stand_Biomass!$B53,'Post-Harvest Plots_rpt'!$I:$I)/$C53)</f>
        <v/>
      </c>
      <c r="I53" s="297" t="str">
        <f>IF($B53="","",SUMIF('Post-Harvest Plots_rpt'!$B:$B,Stand_Biomass!$B53,'Post-Harvest Plots_rpt'!$J:$J)/COUNTIFS('Post-Harvest Plots_rpt'!$B:$B,Stand_Biomass!$B53,'Post-Harvest Plots_rpt'!$J:$J,"&gt;"&amp;0))</f>
        <v/>
      </c>
      <c r="J53" s="297" t="str">
        <f>IF($B53="","",SUMIF('Post-Harvest Plots_rpt'!$B:$B,Stand_Biomass!$B53,'Post-Harvest Plots_rpt'!$K:$K)/$C53)</f>
        <v/>
      </c>
      <c r="K53" s="298" t="str">
        <f t="shared" si="3"/>
        <v/>
      </c>
      <c r="L53" s="135"/>
      <c r="M53" s="192" t="str">
        <f>IF($B53="","",SUMIF('Post-Harvest Plots_rpt'!$B:$B,Stand_Biomass!$B53,'Post-Harvest Plots_rpt'!N:N)/$C53)</f>
        <v/>
      </c>
      <c r="N53" s="122" t="str">
        <f>IF($B53="","",SUMIF('Post-Harvest Plots_rpt'!$B:$B,Stand_Biomass!$B53,'Post-Harvest Plots_rpt'!O:O)/$C53)</f>
        <v/>
      </c>
      <c r="O53" s="122" t="str">
        <f>IF($B53="","",SUMIF('Post-Harvest Plots_rpt'!$B:$B,Stand_Biomass!$B53,'Post-Harvest Plots_rpt'!P:P)/$C53)</f>
        <v/>
      </c>
      <c r="P53" s="122" t="str">
        <f>IF($B53="","",SUMIF('Post-Harvest Plots_rpt'!$B:$B,Stand_Biomass!$B53,'Post-Harvest Plots_rpt'!Q:Q)/$C53)</f>
        <v/>
      </c>
      <c r="Q53" s="123" t="str">
        <f>IF($B53="","",SUMIF('Post-Harvest Plots_rpt'!$B:$B,Stand_Biomass!$B53,'Post-Harvest Plots_rpt'!R:R)/$C53)</f>
        <v/>
      </c>
      <c r="R53" s="122" t="str">
        <f>IF($B53="","",SUMIF('Post-Harvest Plots_rpt'!$B:$B,Stand_Biomass!$B53,'Post-Harvest Plots_rpt'!S:S)/$C53)</f>
        <v/>
      </c>
      <c r="S53" s="122" t="str">
        <f>IF($B53="","",SUMIF('Post-Harvest Plots_rpt'!$B:$B,Stand_Biomass!$B53,'Post-Harvest Plots_rpt'!T:T)/$C53)</f>
        <v/>
      </c>
      <c r="T53" s="122" t="str">
        <f>IF($B53="","",SUMIF('Post-Harvest Plots_rpt'!$B:$B,Stand_Biomass!$B53,'Post-Harvest Plots_rpt'!U:U)/$C53)</f>
        <v/>
      </c>
      <c r="U53" s="122" t="str">
        <f>IF($B53="","",SUMIF('Post-Harvest Plots_rpt'!$B:$B,Stand_Biomass!$B53,'Post-Harvest Plots_rpt'!V:V)/$C53)</f>
        <v/>
      </c>
      <c r="V53" s="123" t="str">
        <f t="array" ref="V53">IF($C53="","",IF($C53&gt;1,(STDEV(IF($B53='Post-Harvest Plots_rpt'!$B$4:$B$855,IF(Q$3='Post-Harvest Plots_rpt'!$F$3:$Y$3,'Post-Harvest Plots_rpt'!$F$4:$Y$855)))/$C53^0.5)*1.96,"NA"))</f>
        <v/>
      </c>
      <c r="W53" s="123" t="str">
        <f>IF($B53="","",SUMIF('Post-Harvest Plots_rpt'!$B:$B,Stand_Biomass!$B53,'Post-Harvest Plots_rpt'!W:W)/$C53)</f>
        <v/>
      </c>
      <c r="X53" s="123" t="str">
        <f t="array" ref="X53">IF($C53="","",IF($C53&gt;1,(STDEV(IF($B53='Post-Harvest Plots_rpt'!$B$4:$B$855,IF(W$3='Post-Harvest Plots_rpt'!$F$3:$Y$3,'Post-Harvest Plots_rpt'!$F$4:$Y$855)))/$C53^0.5)*1.96,"NA"))</f>
        <v/>
      </c>
      <c r="Y53" s="193" t="str">
        <f>IF($B53="","",SUMIF('Post-Harvest Plots_rpt'!$B:$B,Stand_Biomass!$B53,'Post-Harvest Plots_rpt'!X:X)/$C53)</f>
        <v/>
      </c>
      <c r="Z53" s="130"/>
      <c r="AA53" s="189" t="str">
        <f>IF($B53="","",SUMIF('Post-Harvest Plots_rpt'!$B:$B,Stand_Biomass!$B53,'Post-Harvest Plots_rpt'!Z:Z)/$C53)</f>
        <v/>
      </c>
      <c r="AB53" s="121" t="str">
        <f>IF($B53="","",SUMIF('Post-Harvest Plots_rpt'!$B:$B,Stand_Biomass!$B53,'Post-Harvest Plots_rpt'!AA:AA)/$C53)</f>
        <v/>
      </c>
      <c r="AC53" s="121" t="str">
        <f>IF($B53="","",SUMIF('Post-Harvest Plots_rpt'!$B:$B,Stand_Biomass!$B53,'Post-Harvest Plots_rpt'!AB:AB)/$C53)</f>
        <v/>
      </c>
      <c r="AD53" s="177" t="str">
        <f>IF($B53="","",SUMIF('Post-Harvest Plots_rpt'!$B:$B,Stand_Biomass!$B53,'Post-Harvest Plots_rpt'!AC:AC)/$C53)</f>
        <v/>
      </c>
      <c r="AE53" s="196" t="str">
        <f>IF($B53="","",SUMIF('Post-Harvest Plots_rpt'!$B:$B,Stand_Biomass!$B53,'Post-Harvest Plots_rpt'!AD:AD)/$C53)</f>
        <v/>
      </c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</row>
    <row r="54" spans="2:47" x14ac:dyDescent="0.25">
      <c r="B54" s="171" t="str">
        <f>IF(Stand!C20="","",Stand!C20)</f>
        <v/>
      </c>
      <c r="C54" s="187" t="str">
        <f>IF($B54="","",VLOOKUP(B54,Stand!C:H,6,0))</f>
        <v/>
      </c>
      <c r="D54" s="130"/>
      <c r="E54" s="152" t="str">
        <f>IF($B54="","",SUMIF('Post-Harvest Plots_rpt'!$B:$B,Stand_Biomass!$B54,'Post-Harvest Plots_rpt'!$F:$F)/$C54)</f>
        <v/>
      </c>
      <c r="F54" s="359" t="str">
        <f>IF($B54="","",SUMIF('Post-Harvest Plots_rpt'!$B:$B,Stand_Biomass!$B54,'Post-Harvest Plots_rpt'!$G:$G)/$C54)</f>
        <v/>
      </c>
      <c r="G54" s="359" t="str">
        <f>IF($B54="","",SUMIF('Post-Harvest Plots_rpt'!$B:$B,Stand_Biomass!$B54,'Post-Harvest Plots_rpt'!$H:$H)/$C54)</f>
        <v/>
      </c>
      <c r="H54" s="297" t="str">
        <f>IF($B54="","",SUMIF('Post-Harvest Plots_rpt'!$B:$B,Stand_Biomass!$B54,'Post-Harvest Plots_rpt'!$I:$I)/$C54)</f>
        <v/>
      </c>
      <c r="I54" s="297" t="str">
        <f>IF($B54="","",SUMIF('Post-Harvest Plots_rpt'!$B:$B,Stand_Biomass!$B54,'Post-Harvest Plots_rpt'!$J:$J)/COUNTIFS('Post-Harvest Plots_rpt'!$B:$B,Stand_Biomass!$B54,'Post-Harvest Plots_rpt'!$J:$J,"&gt;"&amp;0))</f>
        <v/>
      </c>
      <c r="J54" s="297" t="str">
        <f>IF($B54="","",SUMIF('Post-Harvest Plots_rpt'!$B:$B,Stand_Biomass!$B54,'Post-Harvest Plots_rpt'!$K:$K)/$C54)</f>
        <v/>
      </c>
      <c r="K54" s="298" t="str">
        <f t="shared" si="3"/>
        <v/>
      </c>
      <c r="L54" s="135"/>
      <c r="M54" s="192" t="str">
        <f>IF($B54="","",SUMIF('Post-Harvest Plots_rpt'!$B:$B,Stand_Biomass!$B54,'Post-Harvest Plots_rpt'!N:N)/$C54)</f>
        <v/>
      </c>
      <c r="N54" s="122" t="str">
        <f>IF($B54="","",SUMIF('Post-Harvest Plots_rpt'!$B:$B,Stand_Biomass!$B54,'Post-Harvest Plots_rpt'!O:O)/$C54)</f>
        <v/>
      </c>
      <c r="O54" s="122" t="str">
        <f>IF($B54="","",SUMIF('Post-Harvest Plots_rpt'!$B:$B,Stand_Biomass!$B54,'Post-Harvest Plots_rpt'!P:P)/$C54)</f>
        <v/>
      </c>
      <c r="P54" s="122" t="str">
        <f>IF($B54="","",SUMIF('Post-Harvest Plots_rpt'!$B:$B,Stand_Biomass!$B54,'Post-Harvest Plots_rpt'!Q:Q)/$C54)</f>
        <v/>
      </c>
      <c r="Q54" s="123" t="str">
        <f>IF($B54="","",SUMIF('Post-Harvest Plots_rpt'!$B:$B,Stand_Biomass!$B54,'Post-Harvest Plots_rpt'!R:R)/$C54)</f>
        <v/>
      </c>
      <c r="R54" s="122" t="str">
        <f>IF($B54="","",SUMIF('Post-Harvest Plots_rpt'!$B:$B,Stand_Biomass!$B54,'Post-Harvest Plots_rpt'!S:S)/$C54)</f>
        <v/>
      </c>
      <c r="S54" s="122" t="str">
        <f>IF($B54="","",SUMIF('Post-Harvest Plots_rpt'!$B:$B,Stand_Biomass!$B54,'Post-Harvest Plots_rpt'!T:T)/$C54)</f>
        <v/>
      </c>
      <c r="T54" s="122" t="str">
        <f>IF($B54="","",SUMIF('Post-Harvest Plots_rpt'!$B:$B,Stand_Biomass!$B54,'Post-Harvest Plots_rpt'!U:U)/$C54)</f>
        <v/>
      </c>
      <c r="U54" s="122" t="str">
        <f>IF($B54="","",SUMIF('Post-Harvest Plots_rpt'!$B:$B,Stand_Biomass!$B54,'Post-Harvest Plots_rpt'!V:V)/$C54)</f>
        <v/>
      </c>
      <c r="V54" s="123" t="str">
        <f t="array" ref="V54">IF($C54="","",IF($C54&gt;1,(STDEV(IF($B54='Post-Harvest Plots_rpt'!$B$4:$B$855,IF(Q$3='Post-Harvest Plots_rpt'!$F$3:$Y$3,'Post-Harvest Plots_rpt'!$F$4:$Y$855)))/$C54^0.5)*1.96,"NA"))</f>
        <v/>
      </c>
      <c r="W54" s="123" t="str">
        <f>IF($B54="","",SUMIF('Post-Harvest Plots_rpt'!$B:$B,Stand_Biomass!$B54,'Post-Harvest Plots_rpt'!W:W)/$C54)</f>
        <v/>
      </c>
      <c r="X54" s="123" t="str">
        <f t="array" ref="X54">IF($C54="","",IF($C54&gt;1,(STDEV(IF($B54='Post-Harvest Plots_rpt'!$B$4:$B$855,IF(W$3='Post-Harvest Plots_rpt'!$F$3:$Y$3,'Post-Harvest Plots_rpt'!$F$4:$Y$855)))/$C54^0.5)*1.96,"NA"))</f>
        <v/>
      </c>
      <c r="Y54" s="193" t="str">
        <f>IF($B54="","",SUMIF('Post-Harvest Plots_rpt'!$B:$B,Stand_Biomass!$B54,'Post-Harvest Plots_rpt'!X:X)/$C54)</f>
        <v/>
      </c>
      <c r="Z54" s="130"/>
      <c r="AA54" s="189" t="str">
        <f>IF($B54="","",SUMIF('Post-Harvest Plots_rpt'!$B:$B,Stand_Biomass!$B54,'Post-Harvest Plots_rpt'!Z:Z)/$C54)</f>
        <v/>
      </c>
      <c r="AB54" s="121" t="str">
        <f>IF($B54="","",SUMIF('Post-Harvest Plots_rpt'!$B:$B,Stand_Biomass!$B54,'Post-Harvest Plots_rpt'!AA:AA)/$C54)</f>
        <v/>
      </c>
      <c r="AC54" s="121" t="str">
        <f>IF($B54="","",SUMIF('Post-Harvest Plots_rpt'!$B:$B,Stand_Biomass!$B54,'Post-Harvest Plots_rpt'!AB:AB)/$C54)</f>
        <v/>
      </c>
      <c r="AD54" s="177" t="str">
        <f>IF($B54="","",SUMIF('Post-Harvest Plots_rpt'!$B:$B,Stand_Biomass!$B54,'Post-Harvest Plots_rpt'!AC:AC)/$C54)</f>
        <v/>
      </c>
      <c r="AE54" s="196" t="str">
        <f>IF($B54="","",SUMIF('Post-Harvest Plots_rpt'!$B:$B,Stand_Biomass!$B54,'Post-Harvest Plots_rpt'!AD:AD)/$C54)</f>
        <v/>
      </c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</row>
    <row r="55" spans="2:47" x14ac:dyDescent="0.25">
      <c r="B55" s="171" t="str">
        <f>IF(Stand!C21="","",Stand!C21)</f>
        <v/>
      </c>
      <c r="C55" s="187" t="str">
        <f>IF($B55="","",VLOOKUP(B55,Stand!C:H,6,0))</f>
        <v/>
      </c>
      <c r="D55" s="130"/>
      <c r="E55" s="152" t="str">
        <f>IF($B55="","",SUMIF('Post-Harvest Plots_rpt'!$B:$B,Stand_Biomass!$B55,'Post-Harvest Plots_rpt'!$F:$F)/$C55)</f>
        <v/>
      </c>
      <c r="F55" s="359" t="str">
        <f>IF($B55="","",SUMIF('Post-Harvest Plots_rpt'!$B:$B,Stand_Biomass!$B55,'Post-Harvest Plots_rpt'!$G:$G)/$C55)</f>
        <v/>
      </c>
      <c r="G55" s="359" t="str">
        <f>IF($B55="","",SUMIF('Post-Harvest Plots_rpt'!$B:$B,Stand_Biomass!$B55,'Post-Harvest Plots_rpt'!$H:$H)/$C55)</f>
        <v/>
      </c>
      <c r="H55" s="297" t="str">
        <f>IF($B55="","",SUMIF('Post-Harvest Plots_rpt'!$B:$B,Stand_Biomass!$B55,'Post-Harvest Plots_rpt'!$I:$I)/$C55)</f>
        <v/>
      </c>
      <c r="I55" s="297" t="str">
        <f>IF($B55="","",SUMIF('Post-Harvest Plots_rpt'!$B:$B,Stand_Biomass!$B55,'Post-Harvest Plots_rpt'!$J:$J)/COUNTIFS('Post-Harvest Plots_rpt'!$B:$B,Stand_Biomass!$B55,'Post-Harvest Plots_rpt'!$J:$J,"&gt;"&amp;0))</f>
        <v/>
      </c>
      <c r="J55" s="297" t="str">
        <f>IF($B55="","",SUMIF('Post-Harvest Plots_rpt'!$B:$B,Stand_Biomass!$B55,'Post-Harvest Plots_rpt'!$K:$K)/$C55)</f>
        <v/>
      </c>
      <c r="K55" s="298" t="str">
        <f t="shared" si="3"/>
        <v/>
      </c>
      <c r="L55" s="135"/>
      <c r="M55" s="192" t="str">
        <f>IF($B55="","",SUMIF('Post-Harvest Plots_rpt'!$B:$B,Stand_Biomass!$B55,'Post-Harvest Plots_rpt'!N:N)/$C55)</f>
        <v/>
      </c>
      <c r="N55" s="122" t="str">
        <f>IF($B55="","",SUMIF('Post-Harvest Plots_rpt'!$B:$B,Stand_Biomass!$B55,'Post-Harvest Plots_rpt'!O:O)/$C55)</f>
        <v/>
      </c>
      <c r="O55" s="122" t="str">
        <f>IF($B55="","",SUMIF('Post-Harvest Plots_rpt'!$B:$B,Stand_Biomass!$B55,'Post-Harvest Plots_rpt'!P:P)/$C55)</f>
        <v/>
      </c>
      <c r="P55" s="122" t="str">
        <f>IF($B55="","",SUMIF('Post-Harvest Plots_rpt'!$B:$B,Stand_Biomass!$B55,'Post-Harvest Plots_rpt'!Q:Q)/$C55)</f>
        <v/>
      </c>
      <c r="Q55" s="123" t="str">
        <f>IF($B55="","",SUMIF('Post-Harvest Plots_rpt'!$B:$B,Stand_Biomass!$B55,'Post-Harvest Plots_rpt'!R:R)/$C55)</f>
        <v/>
      </c>
      <c r="R55" s="122" t="str">
        <f>IF($B55="","",SUMIF('Post-Harvest Plots_rpt'!$B:$B,Stand_Biomass!$B55,'Post-Harvest Plots_rpt'!S:S)/$C55)</f>
        <v/>
      </c>
      <c r="S55" s="122" t="str">
        <f>IF($B55="","",SUMIF('Post-Harvest Plots_rpt'!$B:$B,Stand_Biomass!$B55,'Post-Harvest Plots_rpt'!T:T)/$C55)</f>
        <v/>
      </c>
      <c r="T55" s="122" t="str">
        <f>IF($B55="","",SUMIF('Post-Harvest Plots_rpt'!$B:$B,Stand_Biomass!$B55,'Post-Harvest Plots_rpt'!U:U)/$C55)</f>
        <v/>
      </c>
      <c r="U55" s="122" t="str">
        <f>IF($B55="","",SUMIF('Post-Harvest Plots_rpt'!$B:$B,Stand_Biomass!$B55,'Post-Harvest Plots_rpt'!V:V)/$C55)</f>
        <v/>
      </c>
      <c r="V55" s="123" t="str">
        <f t="array" ref="V55">IF($C55="","",IF($C55&gt;1,(STDEV(IF($B55='Post-Harvest Plots_rpt'!$B$4:$B$855,IF(Q$3='Post-Harvest Plots_rpt'!$F$3:$Y$3,'Post-Harvest Plots_rpt'!$F$4:$Y$855)))/$C55^0.5)*1.96,"NA"))</f>
        <v/>
      </c>
      <c r="W55" s="123" t="str">
        <f>IF($B55="","",SUMIF('Post-Harvest Plots_rpt'!$B:$B,Stand_Biomass!$B55,'Post-Harvest Plots_rpt'!W:W)/$C55)</f>
        <v/>
      </c>
      <c r="X55" s="123" t="str">
        <f t="array" ref="X55">IF($C55="","",IF($C55&gt;1,(STDEV(IF($B55='Post-Harvest Plots_rpt'!$B$4:$B$855,IF(W$3='Post-Harvest Plots_rpt'!$F$3:$Y$3,'Post-Harvest Plots_rpt'!$F$4:$Y$855)))/$C55^0.5)*1.96,"NA"))</f>
        <v/>
      </c>
      <c r="Y55" s="193" t="str">
        <f>IF($B55="","",SUMIF('Post-Harvest Plots_rpt'!$B:$B,Stand_Biomass!$B55,'Post-Harvest Plots_rpt'!X:X)/$C55)</f>
        <v/>
      </c>
      <c r="Z55" s="130"/>
      <c r="AA55" s="189" t="str">
        <f>IF($B55="","",SUMIF('Post-Harvest Plots_rpt'!$B:$B,Stand_Biomass!$B55,'Post-Harvest Plots_rpt'!Z:Z)/$C55)</f>
        <v/>
      </c>
      <c r="AB55" s="121" t="str">
        <f>IF($B55="","",SUMIF('Post-Harvest Plots_rpt'!$B:$B,Stand_Biomass!$B55,'Post-Harvest Plots_rpt'!AA:AA)/$C55)</f>
        <v/>
      </c>
      <c r="AC55" s="121" t="str">
        <f>IF($B55="","",SUMIF('Post-Harvest Plots_rpt'!$B:$B,Stand_Biomass!$B55,'Post-Harvest Plots_rpt'!AB:AB)/$C55)</f>
        <v/>
      </c>
      <c r="AD55" s="177" t="str">
        <f>IF($B55="","",SUMIF('Post-Harvest Plots_rpt'!$B:$B,Stand_Biomass!$B55,'Post-Harvest Plots_rpt'!AC:AC)/$C55)</f>
        <v/>
      </c>
      <c r="AE55" s="196" t="str">
        <f>IF($B55="","",SUMIF('Post-Harvest Plots_rpt'!$B:$B,Stand_Biomass!$B55,'Post-Harvest Plots_rpt'!AD:AD)/$C55)</f>
        <v/>
      </c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</row>
    <row r="56" spans="2:47" x14ac:dyDescent="0.25">
      <c r="B56" s="171" t="str">
        <f>IF(Stand!C22="","",Stand!C22)</f>
        <v/>
      </c>
      <c r="C56" s="187" t="str">
        <f>IF($B56="","",VLOOKUP(B56,Stand!C:H,6,0))</f>
        <v/>
      </c>
      <c r="D56" s="130"/>
      <c r="E56" s="152" t="str">
        <f>IF($B56="","",SUMIF('Post-Harvest Plots_rpt'!$B:$B,Stand_Biomass!$B56,'Post-Harvest Plots_rpt'!$F:$F)/$C56)</f>
        <v/>
      </c>
      <c r="F56" s="359" t="str">
        <f>IF($B56="","",SUMIF('Post-Harvest Plots_rpt'!$B:$B,Stand_Biomass!$B56,'Post-Harvest Plots_rpt'!$G:$G)/$C56)</f>
        <v/>
      </c>
      <c r="G56" s="359" t="str">
        <f>IF($B56="","",SUMIF('Post-Harvest Plots_rpt'!$B:$B,Stand_Biomass!$B56,'Post-Harvest Plots_rpt'!$H:$H)/$C56)</f>
        <v/>
      </c>
      <c r="H56" s="297" t="str">
        <f>IF($B56="","",SUMIF('Post-Harvest Plots_rpt'!$B:$B,Stand_Biomass!$B56,'Post-Harvest Plots_rpt'!$I:$I)/$C56)</f>
        <v/>
      </c>
      <c r="I56" s="297" t="str">
        <f>IF($B56="","",SUMIF('Post-Harvest Plots_rpt'!$B:$B,Stand_Biomass!$B56,'Post-Harvest Plots_rpt'!$J:$J)/COUNTIFS('Post-Harvest Plots_rpt'!$B:$B,Stand_Biomass!$B56,'Post-Harvest Plots_rpt'!$J:$J,"&gt;"&amp;0))</f>
        <v/>
      </c>
      <c r="J56" s="297" t="str">
        <f>IF($B56="","",SUMIF('Post-Harvest Plots_rpt'!$B:$B,Stand_Biomass!$B56,'Post-Harvest Plots_rpt'!$K:$K)/$C56)</f>
        <v/>
      </c>
      <c r="K56" s="298" t="str">
        <f t="shared" si="3"/>
        <v/>
      </c>
      <c r="L56" s="135"/>
      <c r="M56" s="192" t="str">
        <f>IF($B56="","",SUMIF('Post-Harvest Plots_rpt'!$B:$B,Stand_Biomass!$B56,'Post-Harvest Plots_rpt'!N:N)/$C56)</f>
        <v/>
      </c>
      <c r="N56" s="122" t="str">
        <f>IF($B56="","",SUMIF('Post-Harvest Plots_rpt'!$B:$B,Stand_Biomass!$B56,'Post-Harvest Plots_rpt'!O:O)/$C56)</f>
        <v/>
      </c>
      <c r="O56" s="122" t="str">
        <f>IF($B56="","",SUMIF('Post-Harvest Plots_rpt'!$B:$B,Stand_Biomass!$B56,'Post-Harvest Plots_rpt'!P:P)/$C56)</f>
        <v/>
      </c>
      <c r="P56" s="122" t="str">
        <f>IF($B56="","",SUMIF('Post-Harvest Plots_rpt'!$B:$B,Stand_Biomass!$B56,'Post-Harvest Plots_rpt'!Q:Q)/$C56)</f>
        <v/>
      </c>
      <c r="Q56" s="123" t="str">
        <f>IF($B56="","",SUMIF('Post-Harvest Plots_rpt'!$B:$B,Stand_Biomass!$B56,'Post-Harvest Plots_rpt'!R:R)/$C56)</f>
        <v/>
      </c>
      <c r="R56" s="122" t="str">
        <f>IF($B56="","",SUMIF('Post-Harvest Plots_rpt'!$B:$B,Stand_Biomass!$B56,'Post-Harvest Plots_rpt'!S:S)/$C56)</f>
        <v/>
      </c>
      <c r="S56" s="122" t="str">
        <f>IF($B56="","",SUMIF('Post-Harvest Plots_rpt'!$B:$B,Stand_Biomass!$B56,'Post-Harvest Plots_rpt'!T:T)/$C56)</f>
        <v/>
      </c>
      <c r="T56" s="122" t="str">
        <f>IF($B56="","",SUMIF('Post-Harvest Plots_rpt'!$B:$B,Stand_Biomass!$B56,'Post-Harvest Plots_rpt'!U:U)/$C56)</f>
        <v/>
      </c>
      <c r="U56" s="122" t="str">
        <f>IF($B56="","",SUMIF('Post-Harvest Plots_rpt'!$B:$B,Stand_Biomass!$B56,'Post-Harvest Plots_rpt'!V:V)/$C56)</f>
        <v/>
      </c>
      <c r="V56" s="123" t="str">
        <f t="array" ref="V56">IF($C56="","",IF($C56&gt;1,(STDEV(IF($B56='Post-Harvest Plots_rpt'!$B$4:$B$855,IF(Q$3='Post-Harvest Plots_rpt'!$F$3:$Y$3,'Post-Harvest Plots_rpt'!$F$4:$Y$855)))/$C56^0.5)*1.96,"NA"))</f>
        <v/>
      </c>
      <c r="W56" s="123" t="str">
        <f>IF($B56="","",SUMIF('Post-Harvest Plots_rpt'!$B:$B,Stand_Biomass!$B56,'Post-Harvest Plots_rpt'!W:W)/$C56)</f>
        <v/>
      </c>
      <c r="X56" s="123" t="str">
        <f t="array" ref="X56">IF($C56="","",IF($C56&gt;1,(STDEV(IF($B56='Post-Harvest Plots_rpt'!$B$4:$B$855,IF(W$3='Post-Harvest Plots_rpt'!$F$3:$Y$3,'Post-Harvest Plots_rpt'!$F$4:$Y$855)))/$C56^0.5)*1.96,"NA"))</f>
        <v/>
      </c>
      <c r="Y56" s="193" t="str">
        <f>IF($B56="","",SUMIF('Post-Harvest Plots_rpt'!$B:$B,Stand_Biomass!$B56,'Post-Harvest Plots_rpt'!X:X)/$C56)</f>
        <v/>
      </c>
      <c r="Z56" s="130"/>
      <c r="AA56" s="189" t="str">
        <f>IF($B56="","",SUMIF('Post-Harvest Plots_rpt'!$B:$B,Stand_Biomass!$B56,'Post-Harvest Plots_rpt'!Z:Z)/$C56)</f>
        <v/>
      </c>
      <c r="AB56" s="121" t="str">
        <f>IF($B56="","",SUMIF('Post-Harvest Plots_rpt'!$B:$B,Stand_Biomass!$B56,'Post-Harvest Plots_rpt'!AA:AA)/$C56)</f>
        <v/>
      </c>
      <c r="AC56" s="121" t="str">
        <f>IF($B56="","",SUMIF('Post-Harvest Plots_rpt'!$B:$B,Stand_Biomass!$B56,'Post-Harvest Plots_rpt'!AB:AB)/$C56)</f>
        <v/>
      </c>
      <c r="AD56" s="177" t="str">
        <f>IF($B56="","",SUMIF('Post-Harvest Plots_rpt'!$B:$B,Stand_Biomass!$B56,'Post-Harvest Plots_rpt'!AC:AC)/$C56)</f>
        <v/>
      </c>
      <c r="AE56" s="196" t="str">
        <f>IF($B56="","",SUMIF('Post-Harvest Plots_rpt'!$B:$B,Stand_Biomass!$B56,'Post-Harvest Plots_rpt'!AD:AD)/$C56)</f>
        <v/>
      </c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</row>
    <row r="57" spans="2:47" x14ac:dyDescent="0.25">
      <c r="B57" s="171" t="str">
        <f>IF(Stand!C23="","",Stand!C23)</f>
        <v/>
      </c>
      <c r="C57" s="187" t="str">
        <f>IF($B57="","",VLOOKUP(B57,Stand!C:H,6,0))</f>
        <v/>
      </c>
      <c r="D57" s="130"/>
      <c r="E57" s="152" t="str">
        <f>IF($B57="","",SUMIF('Post-Harvest Plots_rpt'!$B:$B,Stand_Biomass!$B57,'Post-Harvest Plots_rpt'!$F:$F)/$C57)</f>
        <v/>
      </c>
      <c r="F57" s="359" t="str">
        <f>IF($B57="","",SUMIF('Post-Harvest Plots_rpt'!$B:$B,Stand_Biomass!$B57,'Post-Harvest Plots_rpt'!$G:$G)/$C57)</f>
        <v/>
      </c>
      <c r="G57" s="359" t="str">
        <f>IF($B57="","",SUMIF('Post-Harvest Plots_rpt'!$B:$B,Stand_Biomass!$B57,'Post-Harvest Plots_rpt'!$H:$H)/$C57)</f>
        <v/>
      </c>
      <c r="H57" s="297" t="str">
        <f>IF($B57="","",SUMIF('Post-Harvest Plots_rpt'!$B:$B,Stand_Biomass!$B57,'Post-Harvest Plots_rpt'!$I:$I)/$C57)</f>
        <v/>
      </c>
      <c r="I57" s="297" t="str">
        <f>IF($B57="","",SUMIF('Post-Harvest Plots_rpt'!$B:$B,Stand_Biomass!$B57,'Post-Harvest Plots_rpt'!$J:$J)/COUNTIFS('Post-Harvest Plots_rpt'!$B:$B,Stand_Biomass!$B57,'Post-Harvest Plots_rpt'!$J:$J,"&gt;"&amp;0))</f>
        <v/>
      </c>
      <c r="J57" s="297" t="str">
        <f>IF($B57="","",SUMIF('Post-Harvest Plots_rpt'!$B:$B,Stand_Biomass!$B57,'Post-Harvest Plots_rpt'!$K:$K)/$C57)</f>
        <v/>
      </c>
      <c r="K57" s="298" t="str">
        <f t="shared" si="3"/>
        <v/>
      </c>
      <c r="L57" s="135"/>
      <c r="M57" s="192" t="str">
        <f>IF($B57="","",SUMIF('Post-Harvest Plots_rpt'!$B:$B,Stand_Biomass!$B57,'Post-Harvest Plots_rpt'!N:N)/$C57)</f>
        <v/>
      </c>
      <c r="N57" s="122" t="str">
        <f>IF($B57="","",SUMIF('Post-Harvest Plots_rpt'!$B:$B,Stand_Biomass!$B57,'Post-Harvest Plots_rpt'!O:O)/$C57)</f>
        <v/>
      </c>
      <c r="O57" s="122" t="str">
        <f>IF($B57="","",SUMIF('Post-Harvest Plots_rpt'!$B:$B,Stand_Biomass!$B57,'Post-Harvest Plots_rpt'!P:P)/$C57)</f>
        <v/>
      </c>
      <c r="P57" s="122" t="str">
        <f>IF($B57="","",SUMIF('Post-Harvest Plots_rpt'!$B:$B,Stand_Biomass!$B57,'Post-Harvest Plots_rpt'!Q:Q)/$C57)</f>
        <v/>
      </c>
      <c r="Q57" s="123" t="str">
        <f>IF($B57="","",SUMIF('Post-Harvest Plots_rpt'!$B:$B,Stand_Biomass!$B57,'Post-Harvest Plots_rpt'!R:R)/$C57)</f>
        <v/>
      </c>
      <c r="R57" s="122" t="str">
        <f>IF($B57="","",SUMIF('Post-Harvest Plots_rpt'!$B:$B,Stand_Biomass!$B57,'Post-Harvest Plots_rpt'!S:S)/$C57)</f>
        <v/>
      </c>
      <c r="S57" s="122" t="str">
        <f>IF($B57="","",SUMIF('Post-Harvest Plots_rpt'!$B:$B,Stand_Biomass!$B57,'Post-Harvest Plots_rpt'!T:T)/$C57)</f>
        <v/>
      </c>
      <c r="T57" s="122" t="str">
        <f>IF($B57="","",SUMIF('Post-Harvest Plots_rpt'!$B:$B,Stand_Biomass!$B57,'Post-Harvest Plots_rpt'!U:U)/$C57)</f>
        <v/>
      </c>
      <c r="U57" s="122" t="str">
        <f>IF($B57="","",SUMIF('Post-Harvest Plots_rpt'!$B:$B,Stand_Biomass!$B57,'Post-Harvest Plots_rpt'!V:V)/$C57)</f>
        <v/>
      </c>
      <c r="V57" s="123" t="str">
        <f t="array" ref="V57">IF($C57="","",IF($C57&gt;1,(STDEV(IF($B57='Post-Harvest Plots_rpt'!$B$4:$B$855,IF(Q$3='Post-Harvest Plots_rpt'!$F$3:$Y$3,'Post-Harvest Plots_rpt'!$F$4:$Y$855)))/$C57^0.5)*1.96,"NA"))</f>
        <v/>
      </c>
      <c r="W57" s="123" t="str">
        <f>IF($B57="","",SUMIF('Post-Harvest Plots_rpt'!$B:$B,Stand_Biomass!$B57,'Post-Harvest Plots_rpt'!W:W)/$C57)</f>
        <v/>
      </c>
      <c r="X57" s="123" t="str">
        <f t="array" ref="X57">IF($C57="","",IF($C57&gt;1,(STDEV(IF($B57='Post-Harvest Plots_rpt'!$B$4:$B$855,IF(W$3='Post-Harvest Plots_rpt'!$F$3:$Y$3,'Post-Harvest Plots_rpt'!$F$4:$Y$855)))/$C57^0.5)*1.96,"NA"))</f>
        <v/>
      </c>
      <c r="Y57" s="193" t="str">
        <f>IF($B57="","",SUMIF('Post-Harvest Plots_rpt'!$B:$B,Stand_Biomass!$B57,'Post-Harvest Plots_rpt'!X:X)/$C57)</f>
        <v/>
      </c>
      <c r="Z57" s="130"/>
      <c r="AA57" s="189" t="str">
        <f>IF($B57="","",SUMIF('Post-Harvest Plots_rpt'!$B:$B,Stand_Biomass!$B57,'Post-Harvest Plots_rpt'!Z:Z)/$C57)</f>
        <v/>
      </c>
      <c r="AB57" s="121" t="str">
        <f>IF($B57="","",SUMIF('Post-Harvest Plots_rpt'!$B:$B,Stand_Biomass!$B57,'Post-Harvest Plots_rpt'!AA:AA)/$C57)</f>
        <v/>
      </c>
      <c r="AC57" s="121" t="str">
        <f>IF($B57="","",SUMIF('Post-Harvest Plots_rpt'!$B:$B,Stand_Biomass!$B57,'Post-Harvest Plots_rpt'!AB:AB)/$C57)</f>
        <v/>
      </c>
      <c r="AD57" s="177" t="str">
        <f>IF($B57="","",SUMIF('Post-Harvest Plots_rpt'!$B:$B,Stand_Biomass!$B57,'Post-Harvest Plots_rpt'!AC:AC)/$C57)</f>
        <v/>
      </c>
      <c r="AE57" s="196" t="str">
        <f>IF($B57="","",SUMIF('Post-Harvest Plots_rpt'!$B:$B,Stand_Biomass!$B57,'Post-Harvest Plots_rpt'!AD:AD)/$C57)</f>
        <v/>
      </c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</row>
    <row r="58" spans="2:47" x14ac:dyDescent="0.25">
      <c r="B58" s="171" t="str">
        <f>IF(Stand!C24="","",Stand!C24)</f>
        <v/>
      </c>
      <c r="C58" s="187" t="str">
        <f>IF($B58="","",VLOOKUP(B58,Stand!C:H,6,0))</f>
        <v/>
      </c>
      <c r="D58" s="130"/>
      <c r="E58" s="152" t="str">
        <f>IF($B58="","",SUMIF('Post-Harvest Plots_rpt'!$B:$B,Stand_Biomass!$B58,'Post-Harvest Plots_rpt'!$F:$F)/$C58)</f>
        <v/>
      </c>
      <c r="F58" s="359" t="str">
        <f>IF($B58="","",SUMIF('Post-Harvest Plots_rpt'!$B:$B,Stand_Biomass!$B58,'Post-Harvest Plots_rpt'!$G:$G)/$C58)</f>
        <v/>
      </c>
      <c r="G58" s="359" t="str">
        <f>IF($B58="","",SUMIF('Post-Harvest Plots_rpt'!$B:$B,Stand_Biomass!$B58,'Post-Harvest Plots_rpt'!$H:$H)/$C58)</f>
        <v/>
      </c>
      <c r="H58" s="297" t="str">
        <f>IF($B58="","",SUMIF('Post-Harvest Plots_rpt'!$B:$B,Stand_Biomass!$B58,'Post-Harvest Plots_rpt'!$I:$I)/$C58)</f>
        <v/>
      </c>
      <c r="I58" s="297" t="str">
        <f>IF($B58="","",SUMIF('Post-Harvest Plots_rpt'!$B:$B,Stand_Biomass!$B58,'Post-Harvest Plots_rpt'!$J:$J)/COUNTIFS('Post-Harvest Plots_rpt'!$B:$B,Stand_Biomass!$B58,'Post-Harvest Plots_rpt'!$J:$J,"&gt;"&amp;0))</f>
        <v/>
      </c>
      <c r="J58" s="297" t="str">
        <f>IF($B58="","",SUMIF('Post-Harvest Plots_rpt'!$B:$B,Stand_Biomass!$B58,'Post-Harvest Plots_rpt'!$K:$K)/$C58)</f>
        <v/>
      </c>
      <c r="K58" s="298" t="str">
        <f t="shared" si="3"/>
        <v/>
      </c>
      <c r="L58" s="135"/>
      <c r="M58" s="192" t="str">
        <f>IF($B58="","",SUMIF('Post-Harvest Plots_rpt'!$B:$B,Stand_Biomass!$B58,'Post-Harvest Plots_rpt'!N:N)/$C58)</f>
        <v/>
      </c>
      <c r="N58" s="122" t="str">
        <f>IF($B58="","",SUMIF('Post-Harvest Plots_rpt'!$B:$B,Stand_Biomass!$B58,'Post-Harvest Plots_rpt'!O:O)/$C58)</f>
        <v/>
      </c>
      <c r="O58" s="122" t="str">
        <f>IF($B58="","",SUMIF('Post-Harvest Plots_rpt'!$B:$B,Stand_Biomass!$B58,'Post-Harvest Plots_rpt'!P:P)/$C58)</f>
        <v/>
      </c>
      <c r="P58" s="122" t="str">
        <f>IF($B58="","",SUMIF('Post-Harvest Plots_rpt'!$B:$B,Stand_Biomass!$B58,'Post-Harvest Plots_rpt'!Q:Q)/$C58)</f>
        <v/>
      </c>
      <c r="Q58" s="123" t="str">
        <f>IF($B58="","",SUMIF('Post-Harvest Plots_rpt'!$B:$B,Stand_Biomass!$B58,'Post-Harvest Plots_rpt'!R:R)/$C58)</f>
        <v/>
      </c>
      <c r="R58" s="122" t="str">
        <f>IF($B58="","",SUMIF('Post-Harvest Plots_rpt'!$B:$B,Stand_Biomass!$B58,'Post-Harvest Plots_rpt'!S:S)/$C58)</f>
        <v/>
      </c>
      <c r="S58" s="122" t="str">
        <f>IF($B58="","",SUMIF('Post-Harvest Plots_rpt'!$B:$B,Stand_Biomass!$B58,'Post-Harvest Plots_rpt'!T:T)/$C58)</f>
        <v/>
      </c>
      <c r="T58" s="122" t="str">
        <f>IF($B58="","",SUMIF('Post-Harvest Plots_rpt'!$B:$B,Stand_Biomass!$B58,'Post-Harvest Plots_rpt'!U:U)/$C58)</f>
        <v/>
      </c>
      <c r="U58" s="122" t="str">
        <f>IF($B58="","",SUMIF('Post-Harvest Plots_rpt'!$B:$B,Stand_Biomass!$B58,'Post-Harvest Plots_rpt'!V:V)/$C58)</f>
        <v/>
      </c>
      <c r="V58" s="123" t="str">
        <f t="array" ref="V58">IF($C58="","",IF($C58&gt;1,(STDEV(IF($B58='Post-Harvest Plots_rpt'!$B$4:$B$855,IF(Q$3='Post-Harvest Plots_rpt'!$F$3:$Y$3,'Post-Harvest Plots_rpt'!$F$4:$Y$855)))/$C58^0.5)*1.96,"NA"))</f>
        <v/>
      </c>
      <c r="W58" s="123" t="str">
        <f>IF($B58="","",SUMIF('Post-Harvest Plots_rpt'!$B:$B,Stand_Biomass!$B58,'Post-Harvest Plots_rpt'!W:W)/$C58)</f>
        <v/>
      </c>
      <c r="X58" s="123" t="str">
        <f t="array" ref="X58">IF($C58="","",IF($C58&gt;1,(STDEV(IF($B58='Post-Harvest Plots_rpt'!$B$4:$B$855,IF(W$3='Post-Harvest Plots_rpt'!$F$3:$Y$3,'Post-Harvest Plots_rpt'!$F$4:$Y$855)))/$C58^0.5)*1.96,"NA"))</f>
        <v/>
      </c>
      <c r="Y58" s="193" t="str">
        <f>IF($B58="","",SUMIF('Post-Harvest Plots_rpt'!$B:$B,Stand_Biomass!$B58,'Post-Harvest Plots_rpt'!X:X)/$C58)</f>
        <v/>
      </c>
      <c r="Z58" s="130"/>
      <c r="AA58" s="189" t="str">
        <f>IF($B58="","",SUMIF('Post-Harvest Plots_rpt'!$B:$B,Stand_Biomass!$B58,'Post-Harvest Plots_rpt'!Z:Z)/$C58)</f>
        <v/>
      </c>
      <c r="AB58" s="121" t="str">
        <f>IF($B58="","",SUMIF('Post-Harvest Plots_rpt'!$B:$B,Stand_Biomass!$B58,'Post-Harvest Plots_rpt'!AA:AA)/$C58)</f>
        <v/>
      </c>
      <c r="AC58" s="121" t="str">
        <f>IF($B58="","",SUMIF('Post-Harvest Plots_rpt'!$B:$B,Stand_Biomass!$B58,'Post-Harvest Plots_rpt'!AB:AB)/$C58)</f>
        <v/>
      </c>
      <c r="AD58" s="177" t="str">
        <f>IF($B58="","",SUMIF('Post-Harvest Plots_rpt'!$B:$B,Stand_Biomass!$B58,'Post-Harvest Plots_rpt'!AC:AC)/$C58)</f>
        <v/>
      </c>
      <c r="AE58" s="196" t="str">
        <f>IF($B58="","",SUMIF('Post-Harvest Plots_rpt'!$B:$B,Stand_Biomass!$B58,'Post-Harvest Plots_rpt'!AD:AD)/$C58)</f>
        <v/>
      </c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</row>
    <row r="59" spans="2:47" x14ac:dyDescent="0.25">
      <c r="B59" s="171" t="str">
        <f>IF(Stand!C25="","",Stand!C25)</f>
        <v/>
      </c>
      <c r="C59" s="187" t="str">
        <f>IF($B59="","",VLOOKUP(B59,Stand!C:H,6,0))</f>
        <v/>
      </c>
      <c r="D59" s="130"/>
      <c r="E59" s="152" t="str">
        <f>IF($B59="","",SUMIF('Post-Harvest Plots_rpt'!$B:$B,Stand_Biomass!$B59,'Post-Harvest Plots_rpt'!$F:$F)/$C59)</f>
        <v/>
      </c>
      <c r="F59" s="359" t="str">
        <f>IF($B59="","",SUMIF('Post-Harvest Plots_rpt'!$B:$B,Stand_Biomass!$B59,'Post-Harvest Plots_rpt'!$G:$G)/$C59)</f>
        <v/>
      </c>
      <c r="G59" s="359" t="str">
        <f>IF($B59="","",SUMIF('Post-Harvest Plots_rpt'!$B:$B,Stand_Biomass!$B59,'Post-Harvest Plots_rpt'!$H:$H)/$C59)</f>
        <v/>
      </c>
      <c r="H59" s="297" t="str">
        <f>IF($B59="","",SUMIF('Post-Harvest Plots_rpt'!$B:$B,Stand_Biomass!$B59,'Post-Harvest Plots_rpt'!$I:$I)/$C59)</f>
        <v/>
      </c>
      <c r="I59" s="297" t="str">
        <f>IF($B59="","",SUMIF('Post-Harvest Plots_rpt'!$B:$B,Stand_Biomass!$B59,'Post-Harvest Plots_rpt'!$J:$J)/COUNTIFS('Post-Harvest Plots_rpt'!$B:$B,Stand_Biomass!$B59,'Post-Harvest Plots_rpt'!$J:$J,"&gt;"&amp;0))</f>
        <v/>
      </c>
      <c r="J59" s="297" t="str">
        <f>IF($B59="","",SUMIF('Post-Harvest Plots_rpt'!$B:$B,Stand_Biomass!$B59,'Post-Harvest Plots_rpt'!$K:$K)/$C59)</f>
        <v/>
      </c>
      <c r="K59" s="298" t="str">
        <f t="shared" si="3"/>
        <v/>
      </c>
      <c r="L59" s="135"/>
      <c r="M59" s="192" t="str">
        <f>IF($B59="","",SUMIF('Post-Harvest Plots_rpt'!$B:$B,Stand_Biomass!$B59,'Post-Harvest Plots_rpt'!N:N)/$C59)</f>
        <v/>
      </c>
      <c r="N59" s="122" t="str">
        <f>IF($B59="","",SUMIF('Post-Harvest Plots_rpt'!$B:$B,Stand_Biomass!$B59,'Post-Harvest Plots_rpt'!O:O)/$C59)</f>
        <v/>
      </c>
      <c r="O59" s="122" t="str">
        <f>IF($B59="","",SUMIF('Post-Harvest Plots_rpt'!$B:$B,Stand_Biomass!$B59,'Post-Harvest Plots_rpt'!P:P)/$C59)</f>
        <v/>
      </c>
      <c r="P59" s="122" t="str">
        <f>IF($B59="","",SUMIF('Post-Harvest Plots_rpt'!$B:$B,Stand_Biomass!$B59,'Post-Harvest Plots_rpt'!Q:Q)/$C59)</f>
        <v/>
      </c>
      <c r="Q59" s="123" t="str">
        <f>IF($B59="","",SUMIF('Post-Harvest Plots_rpt'!$B:$B,Stand_Biomass!$B59,'Post-Harvest Plots_rpt'!R:R)/$C59)</f>
        <v/>
      </c>
      <c r="R59" s="122" t="str">
        <f>IF($B59="","",SUMIF('Post-Harvest Plots_rpt'!$B:$B,Stand_Biomass!$B59,'Post-Harvest Plots_rpt'!S:S)/$C59)</f>
        <v/>
      </c>
      <c r="S59" s="122" t="str">
        <f>IF($B59="","",SUMIF('Post-Harvest Plots_rpt'!$B:$B,Stand_Biomass!$B59,'Post-Harvest Plots_rpt'!T:T)/$C59)</f>
        <v/>
      </c>
      <c r="T59" s="122" t="str">
        <f>IF($B59="","",SUMIF('Post-Harvest Plots_rpt'!$B:$B,Stand_Biomass!$B59,'Post-Harvest Plots_rpt'!U:U)/$C59)</f>
        <v/>
      </c>
      <c r="U59" s="122" t="str">
        <f>IF($B59="","",SUMIF('Post-Harvest Plots_rpt'!$B:$B,Stand_Biomass!$B59,'Post-Harvest Plots_rpt'!V:V)/$C59)</f>
        <v/>
      </c>
      <c r="V59" s="123" t="str">
        <f t="array" ref="V59">IF($C59="","",IF($C59&gt;1,(STDEV(IF($B59='Post-Harvest Plots_rpt'!$B$4:$B$855,IF(Q$3='Post-Harvest Plots_rpt'!$F$3:$Y$3,'Post-Harvest Plots_rpt'!$F$4:$Y$855)))/$C59^0.5)*1.96,"NA"))</f>
        <v/>
      </c>
      <c r="W59" s="123" t="str">
        <f>IF($B59="","",SUMIF('Post-Harvest Plots_rpt'!$B:$B,Stand_Biomass!$B59,'Post-Harvest Plots_rpt'!W:W)/$C59)</f>
        <v/>
      </c>
      <c r="X59" s="123" t="str">
        <f t="array" ref="X59">IF($C59="","",IF($C59&gt;1,(STDEV(IF($B59='Post-Harvest Plots_rpt'!$B$4:$B$855,IF(W$3='Post-Harvest Plots_rpt'!$F$3:$Y$3,'Post-Harvest Plots_rpt'!$F$4:$Y$855)))/$C59^0.5)*1.96,"NA"))</f>
        <v/>
      </c>
      <c r="Y59" s="193" t="str">
        <f>IF($B59="","",SUMIF('Post-Harvest Plots_rpt'!$B:$B,Stand_Biomass!$B59,'Post-Harvest Plots_rpt'!X:X)/$C59)</f>
        <v/>
      </c>
      <c r="Z59" s="130"/>
      <c r="AA59" s="189" t="str">
        <f>IF($B59="","",SUMIF('Post-Harvest Plots_rpt'!$B:$B,Stand_Biomass!$B59,'Post-Harvest Plots_rpt'!Z:Z)/$C59)</f>
        <v/>
      </c>
      <c r="AB59" s="121" t="str">
        <f>IF($B59="","",SUMIF('Post-Harvest Plots_rpt'!$B:$B,Stand_Biomass!$B59,'Post-Harvest Plots_rpt'!AA:AA)/$C59)</f>
        <v/>
      </c>
      <c r="AC59" s="121" t="str">
        <f>IF($B59="","",SUMIF('Post-Harvest Plots_rpt'!$B:$B,Stand_Biomass!$B59,'Post-Harvest Plots_rpt'!AB:AB)/$C59)</f>
        <v/>
      </c>
      <c r="AD59" s="177" t="str">
        <f>IF($B59="","",SUMIF('Post-Harvest Plots_rpt'!$B:$B,Stand_Biomass!$B59,'Post-Harvest Plots_rpt'!AC:AC)/$C59)</f>
        <v/>
      </c>
      <c r="AE59" s="196" t="str">
        <f>IF($B59="","",SUMIF('Post-Harvest Plots_rpt'!$B:$B,Stand_Biomass!$B59,'Post-Harvest Plots_rpt'!AD:AD)/$C59)</f>
        <v/>
      </c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</row>
    <row r="60" spans="2:47" x14ac:dyDescent="0.25">
      <c r="B60" s="171" t="str">
        <f>IF(Stand!C26="","",Stand!C26)</f>
        <v/>
      </c>
      <c r="C60" s="187" t="str">
        <f>IF($B60="","",VLOOKUP(B60,Stand!C:H,6,0))</f>
        <v/>
      </c>
      <c r="D60" s="130"/>
      <c r="E60" s="152" t="str">
        <f>IF($B60="","",SUMIF('Post-Harvest Plots_rpt'!$B:$B,Stand_Biomass!$B60,'Post-Harvest Plots_rpt'!$F:$F)/$C60)</f>
        <v/>
      </c>
      <c r="F60" s="359" t="str">
        <f>IF($B60="","",SUMIF('Post-Harvest Plots_rpt'!$B:$B,Stand_Biomass!$B60,'Post-Harvest Plots_rpt'!$G:$G)/$C60)</f>
        <v/>
      </c>
      <c r="G60" s="359" t="str">
        <f>IF($B60="","",SUMIF('Post-Harvest Plots_rpt'!$B:$B,Stand_Biomass!$B60,'Post-Harvest Plots_rpt'!$H:$H)/$C60)</f>
        <v/>
      </c>
      <c r="H60" s="297" t="str">
        <f>IF($B60="","",SUMIF('Post-Harvest Plots_rpt'!$B:$B,Stand_Biomass!$B60,'Post-Harvest Plots_rpt'!$I:$I)/$C60)</f>
        <v/>
      </c>
      <c r="I60" s="297" t="str">
        <f>IF($B60="","",SUMIF('Post-Harvest Plots_rpt'!$B:$B,Stand_Biomass!$B60,'Post-Harvest Plots_rpt'!$J:$J)/COUNTIFS('Post-Harvest Plots_rpt'!$B:$B,Stand_Biomass!$B60,'Post-Harvest Plots_rpt'!$J:$J,"&gt;"&amp;0))</f>
        <v/>
      </c>
      <c r="J60" s="297" t="str">
        <f>IF($B60="","",SUMIF('Post-Harvest Plots_rpt'!$B:$B,Stand_Biomass!$B60,'Post-Harvest Plots_rpt'!$K:$K)/$C60)</f>
        <v/>
      </c>
      <c r="K60" s="298" t="str">
        <f t="shared" si="3"/>
        <v/>
      </c>
      <c r="L60" s="135"/>
      <c r="M60" s="192" t="str">
        <f>IF($B60="","",SUMIF('Post-Harvest Plots_rpt'!$B:$B,Stand_Biomass!$B60,'Post-Harvest Plots_rpt'!N:N)/$C60)</f>
        <v/>
      </c>
      <c r="N60" s="122" t="str">
        <f>IF($B60="","",SUMIF('Post-Harvest Plots_rpt'!$B:$B,Stand_Biomass!$B60,'Post-Harvest Plots_rpt'!O:O)/$C60)</f>
        <v/>
      </c>
      <c r="O60" s="122" t="str">
        <f>IF($B60="","",SUMIF('Post-Harvest Plots_rpt'!$B:$B,Stand_Biomass!$B60,'Post-Harvest Plots_rpt'!P:P)/$C60)</f>
        <v/>
      </c>
      <c r="P60" s="122" t="str">
        <f>IF($B60="","",SUMIF('Post-Harvest Plots_rpt'!$B:$B,Stand_Biomass!$B60,'Post-Harvest Plots_rpt'!Q:Q)/$C60)</f>
        <v/>
      </c>
      <c r="Q60" s="123" t="str">
        <f>IF($B60="","",SUMIF('Post-Harvest Plots_rpt'!$B:$B,Stand_Biomass!$B60,'Post-Harvest Plots_rpt'!R:R)/$C60)</f>
        <v/>
      </c>
      <c r="R60" s="122" t="str">
        <f>IF($B60="","",SUMIF('Post-Harvest Plots_rpt'!$B:$B,Stand_Biomass!$B60,'Post-Harvest Plots_rpt'!S:S)/$C60)</f>
        <v/>
      </c>
      <c r="S60" s="122" t="str">
        <f>IF($B60="","",SUMIF('Post-Harvest Plots_rpt'!$B:$B,Stand_Biomass!$B60,'Post-Harvest Plots_rpt'!T:T)/$C60)</f>
        <v/>
      </c>
      <c r="T60" s="122" t="str">
        <f>IF($B60="","",SUMIF('Post-Harvest Plots_rpt'!$B:$B,Stand_Biomass!$B60,'Post-Harvest Plots_rpt'!U:U)/$C60)</f>
        <v/>
      </c>
      <c r="U60" s="122" t="str">
        <f>IF($B60="","",SUMIF('Post-Harvest Plots_rpt'!$B:$B,Stand_Biomass!$B60,'Post-Harvest Plots_rpt'!V:V)/$C60)</f>
        <v/>
      </c>
      <c r="V60" s="123" t="str">
        <f t="array" ref="V60">IF($C60="","",IF($C60&gt;1,(STDEV(IF($B60='Post-Harvest Plots_rpt'!$B$4:$B$855,IF(Q$3='Post-Harvest Plots_rpt'!$F$3:$Y$3,'Post-Harvest Plots_rpt'!$F$4:$Y$855)))/$C60^0.5)*1.96,"NA"))</f>
        <v/>
      </c>
      <c r="W60" s="123" t="str">
        <f>IF($B60="","",SUMIF('Post-Harvest Plots_rpt'!$B:$B,Stand_Biomass!$B60,'Post-Harvest Plots_rpt'!W:W)/$C60)</f>
        <v/>
      </c>
      <c r="X60" s="123" t="str">
        <f t="array" ref="X60">IF($C60="","",IF($C60&gt;1,(STDEV(IF($B60='Post-Harvest Plots_rpt'!$B$4:$B$855,IF(W$3='Post-Harvest Plots_rpt'!$F$3:$Y$3,'Post-Harvest Plots_rpt'!$F$4:$Y$855)))/$C60^0.5)*1.96,"NA"))</f>
        <v/>
      </c>
      <c r="Y60" s="193" t="str">
        <f>IF($B60="","",SUMIF('Post-Harvest Plots_rpt'!$B:$B,Stand_Biomass!$B60,'Post-Harvest Plots_rpt'!X:X)/$C60)</f>
        <v/>
      </c>
      <c r="Z60" s="130"/>
      <c r="AA60" s="189" t="str">
        <f>IF($B60="","",SUMIF('Post-Harvest Plots_rpt'!$B:$B,Stand_Biomass!$B60,'Post-Harvest Plots_rpt'!Z:Z)/$C60)</f>
        <v/>
      </c>
      <c r="AB60" s="121" t="str">
        <f>IF($B60="","",SUMIF('Post-Harvest Plots_rpt'!$B:$B,Stand_Biomass!$B60,'Post-Harvest Plots_rpt'!AA:AA)/$C60)</f>
        <v/>
      </c>
      <c r="AC60" s="121" t="str">
        <f>IF($B60="","",SUMIF('Post-Harvest Plots_rpt'!$B:$B,Stand_Biomass!$B60,'Post-Harvest Plots_rpt'!AB:AB)/$C60)</f>
        <v/>
      </c>
      <c r="AD60" s="177" t="str">
        <f>IF($B60="","",SUMIF('Post-Harvest Plots_rpt'!$B:$B,Stand_Biomass!$B60,'Post-Harvest Plots_rpt'!AC:AC)/$C60)</f>
        <v/>
      </c>
      <c r="AE60" s="196" t="str">
        <f>IF($B60="","",SUMIF('Post-Harvest Plots_rpt'!$B:$B,Stand_Biomass!$B60,'Post-Harvest Plots_rpt'!AD:AD)/$C60)</f>
        <v/>
      </c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</row>
    <row r="61" spans="2:47" x14ac:dyDescent="0.25">
      <c r="B61" s="171" t="str">
        <f>IF(Stand!C27="","",Stand!C27)</f>
        <v/>
      </c>
      <c r="C61" s="187" t="str">
        <f>IF($B61="","",VLOOKUP(B61,Stand!C:H,6,0))</f>
        <v/>
      </c>
      <c r="D61" s="130"/>
      <c r="E61" s="152" t="str">
        <f>IF($B61="","",SUMIF('Post-Harvest Plots_rpt'!$B:$B,Stand_Biomass!$B61,'Post-Harvest Plots_rpt'!$F:$F)/$C61)</f>
        <v/>
      </c>
      <c r="F61" s="359" t="str">
        <f>IF($B61="","",SUMIF('Post-Harvest Plots_rpt'!$B:$B,Stand_Biomass!$B61,'Post-Harvest Plots_rpt'!$G:$G)/$C61)</f>
        <v/>
      </c>
      <c r="G61" s="359" t="str">
        <f>IF($B61="","",SUMIF('Post-Harvest Plots_rpt'!$B:$B,Stand_Biomass!$B61,'Post-Harvest Plots_rpt'!$H:$H)/$C61)</f>
        <v/>
      </c>
      <c r="H61" s="297" t="str">
        <f>IF($B61="","",SUMIF('Post-Harvest Plots_rpt'!$B:$B,Stand_Biomass!$B61,'Post-Harvest Plots_rpt'!$I:$I)/$C61)</f>
        <v/>
      </c>
      <c r="I61" s="297" t="str">
        <f>IF($B61="","",SUMIF('Post-Harvest Plots_rpt'!$B:$B,Stand_Biomass!$B61,'Post-Harvest Plots_rpt'!$J:$J)/COUNTIFS('Post-Harvest Plots_rpt'!$B:$B,Stand_Biomass!$B61,'Post-Harvest Plots_rpt'!$J:$J,"&gt;"&amp;0))</f>
        <v/>
      </c>
      <c r="J61" s="297" t="str">
        <f>IF($B61="","",SUMIF('Post-Harvest Plots_rpt'!$B:$B,Stand_Biomass!$B61,'Post-Harvest Plots_rpt'!$K:$K)/$C61)</f>
        <v/>
      </c>
      <c r="K61" s="298" t="str">
        <f t="shared" si="3"/>
        <v/>
      </c>
      <c r="L61" s="135"/>
      <c r="M61" s="192" t="str">
        <f>IF($B61="","",SUMIF('Post-Harvest Plots_rpt'!$B:$B,Stand_Biomass!$B61,'Post-Harvest Plots_rpt'!N:N)/$C61)</f>
        <v/>
      </c>
      <c r="N61" s="122" t="str">
        <f>IF($B61="","",SUMIF('Post-Harvest Plots_rpt'!$B:$B,Stand_Biomass!$B61,'Post-Harvest Plots_rpt'!O:O)/$C61)</f>
        <v/>
      </c>
      <c r="O61" s="122" t="str">
        <f>IF($B61="","",SUMIF('Post-Harvest Plots_rpt'!$B:$B,Stand_Biomass!$B61,'Post-Harvest Plots_rpt'!P:P)/$C61)</f>
        <v/>
      </c>
      <c r="P61" s="122" t="str">
        <f>IF($B61="","",SUMIF('Post-Harvest Plots_rpt'!$B:$B,Stand_Biomass!$B61,'Post-Harvest Plots_rpt'!Q:Q)/$C61)</f>
        <v/>
      </c>
      <c r="Q61" s="123" t="str">
        <f>IF($B61="","",SUMIF('Post-Harvest Plots_rpt'!$B:$B,Stand_Biomass!$B61,'Post-Harvest Plots_rpt'!R:R)/$C61)</f>
        <v/>
      </c>
      <c r="R61" s="122" t="str">
        <f>IF($B61="","",SUMIF('Post-Harvest Plots_rpt'!$B:$B,Stand_Biomass!$B61,'Post-Harvest Plots_rpt'!S:S)/$C61)</f>
        <v/>
      </c>
      <c r="S61" s="122" t="str">
        <f>IF($B61="","",SUMIF('Post-Harvest Plots_rpt'!$B:$B,Stand_Biomass!$B61,'Post-Harvest Plots_rpt'!T:T)/$C61)</f>
        <v/>
      </c>
      <c r="T61" s="122" t="str">
        <f>IF($B61="","",SUMIF('Post-Harvest Plots_rpt'!$B:$B,Stand_Biomass!$B61,'Post-Harvest Plots_rpt'!U:U)/$C61)</f>
        <v/>
      </c>
      <c r="U61" s="122" t="str">
        <f>IF($B61="","",SUMIF('Post-Harvest Plots_rpt'!$B:$B,Stand_Biomass!$B61,'Post-Harvest Plots_rpt'!V:V)/$C61)</f>
        <v/>
      </c>
      <c r="V61" s="123" t="str">
        <f t="array" ref="V61">IF($C61="","",IF($C61&gt;1,(STDEV(IF($B61='Post-Harvest Plots_rpt'!$B$4:$B$855,IF(Q$3='Post-Harvest Plots_rpt'!$F$3:$Y$3,'Post-Harvest Plots_rpt'!$F$4:$Y$855)))/$C61^0.5)*1.96,"NA"))</f>
        <v/>
      </c>
      <c r="W61" s="123" t="str">
        <f>IF($B61="","",SUMIF('Post-Harvest Plots_rpt'!$B:$B,Stand_Biomass!$B61,'Post-Harvest Plots_rpt'!W:W)/$C61)</f>
        <v/>
      </c>
      <c r="X61" s="123" t="str">
        <f t="array" ref="X61">IF($C61="","",IF($C61&gt;1,(STDEV(IF($B61='Post-Harvest Plots_rpt'!$B$4:$B$855,IF(W$3='Post-Harvest Plots_rpt'!$F$3:$Y$3,'Post-Harvest Plots_rpt'!$F$4:$Y$855)))/$C61^0.5)*1.96,"NA"))</f>
        <v/>
      </c>
      <c r="Y61" s="193" t="str">
        <f>IF($B61="","",SUMIF('Post-Harvest Plots_rpt'!$B:$B,Stand_Biomass!$B61,'Post-Harvest Plots_rpt'!X:X)/$C61)</f>
        <v/>
      </c>
      <c r="Z61" s="130"/>
      <c r="AA61" s="189" t="str">
        <f>IF($B61="","",SUMIF('Post-Harvest Plots_rpt'!$B:$B,Stand_Biomass!$B61,'Post-Harvest Plots_rpt'!Z:Z)/$C61)</f>
        <v/>
      </c>
      <c r="AB61" s="121" t="str">
        <f>IF($B61="","",SUMIF('Post-Harvest Plots_rpt'!$B:$B,Stand_Biomass!$B61,'Post-Harvest Plots_rpt'!AA:AA)/$C61)</f>
        <v/>
      </c>
      <c r="AC61" s="121" t="str">
        <f>IF($B61="","",SUMIF('Post-Harvest Plots_rpt'!$B:$B,Stand_Biomass!$B61,'Post-Harvest Plots_rpt'!AB:AB)/$C61)</f>
        <v/>
      </c>
      <c r="AD61" s="177" t="str">
        <f>IF($B61="","",SUMIF('Post-Harvest Plots_rpt'!$B:$B,Stand_Biomass!$B61,'Post-Harvest Plots_rpt'!AC:AC)/$C61)</f>
        <v/>
      </c>
      <c r="AE61" s="196" t="str">
        <f>IF($B61="","",SUMIF('Post-Harvest Plots_rpt'!$B:$B,Stand_Biomass!$B61,'Post-Harvest Plots_rpt'!AD:AD)/$C61)</f>
        <v/>
      </c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2:47" x14ac:dyDescent="0.25">
      <c r="B62" s="171" t="str">
        <f>IF(Stand!C28="","",Stand!C28)</f>
        <v/>
      </c>
      <c r="C62" s="187" t="str">
        <f>IF($B62="","",VLOOKUP(B62,Stand!C:H,6,0))</f>
        <v/>
      </c>
      <c r="D62" s="130"/>
      <c r="E62" s="152" t="str">
        <f>IF($B62="","",SUMIF('Post-Harvest Plots_rpt'!$B:$B,Stand_Biomass!$B62,'Post-Harvest Plots_rpt'!$F:$F)/$C62)</f>
        <v/>
      </c>
      <c r="F62" s="359" t="str">
        <f>IF($B62="","",SUMIF('Post-Harvest Plots_rpt'!$B:$B,Stand_Biomass!$B62,'Post-Harvest Plots_rpt'!$G:$G)/$C62)</f>
        <v/>
      </c>
      <c r="G62" s="359" t="str">
        <f>IF($B62="","",SUMIF('Post-Harvest Plots_rpt'!$B:$B,Stand_Biomass!$B62,'Post-Harvest Plots_rpt'!$H:$H)/$C62)</f>
        <v/>
      </c>
      <c r="H62" s="297" t="str">
        <f>IF($B62="","",SUMIF('Post-Harvest Plots_rpt'!$B:$B,Stand_Biomass!$B62,'Post-Harvest Plots_rpt'!$I:$I)/$C62)</f>
        <v/>
      </c>
      <c r="I62" s="297" t="str">
        <f>IF($B62="","",SUMIF('Post-Harvest Plots_rpt'!$B:$B,Stand_Biomass!$B62,'Post-Harvest Plots_rpt'!$J:$J)/COUNTIFS('Post-Harvest Plots_rpt'!$B:$B,Stand_Biomass!$B62,'Post-Harvest Plots_rpt'!$J:$J,"&gt;"&amp;0))</f>
        <v/>
      </c>
      <c r="J62" s="297" t="str">
        <f>IF($B62="","",SUMIF('Post-Harvest Plots_rpt'!$B:$B,Stand_Biomass!$B62,'Post-Harvest Plots_rpt'!$K:$K)/$C62)</f>
        <v/>
      </c>
      <c r="K62" s="298" t="str">
        <f t="shared" si="3"/>
        <v/>
      </c>
      <c r="L62" s="135"/>
      <c r="M62" s="192" t="str">
        <f>IF($B62="","",SUMIF('Post-Harvest Plots_rpt'!$B:$B,Stand_Biomass!$B62,'Post-Harvest Plots_rpt'!N:N)/$C62)</f>
        <v/>
      </c>
      <c r="N62" s="122" t="str">
        <f>IF($B62="","",SUMIF('Post-Harvest Plots_rpt'!$B:$B,Stand_Biomass!$B62,'Post-Harvest Plots_rpt'!O:O)/$C62)</f>
        <v/>
      </c>
      <c r="O62" s="122" t="str">
        <f>IF($B62="","",SUMIF('Post-Harvest Plots_rpt'!$B:$B,Stand_Biomass!$B62,'Post-Harvest Plots_rpt'!P:P)/$C62)</f>
        <v/>
      </c>
      <c r="P62" s="122" t="str">
        <f>IF($B62="","",SUMIF('Post-Harvest Plots_rpt'!$B:$B,Stand_Biomass!$B62,'Post-Harvest Plots_rpt'!Q:Q)/$C62)</f>
        <v/>
      </c>
      <c r="Q62" s="123" t="str">
        <f>IF($B62="","",SUMIF('Post-Harvest Plots_rpt'!$B:$B,Stand_Biomass!$B62,'Post-Harvest Plots_rpt'!R:R)/$C62)</f>
        <v/>
      </c>
      <c r="R62" s="122" t="str">
        <f>IF($B62="","",SUMIF('Post-Harvest Plots_rpt'!$B:$B,Stand_Biomass!$B62,'Post-Harvest Plots_rpt'!S:S)/$C62)</f>
        <v/>
      </c>
      <c r="S62" s="122" t="str">
        <f>IF($B62="","",SUMIF('Post-Harvest Plots_rpt'!$B:$B,Stand_Biomass!$B62,'Post-Harvest Plots_rpt'!T:T)/$C62)</f>
        <v/>
      </c>
      <c r="T62" s="122" t="str">
        <f>IF($B62="","",SUMIF('Post-Harvest Plots_rpt'!$B:$B,Stand_Biomass!$B62,'Post-Harvest Plots_rpt'!U:U)/$C62)</f>
        <v/>
      </c>
      <c r="U62" s="122" t="str">
        <f>IF($B62="","",SUMIF('Post-Harvest Plots_rpt'!$B:$B,Stand_Biomass!$B62,'Post-Harvest Plots_rpt'!V:V)/$C62)</f>
        <v/>
      </c>
      <c r="V62" s="123" t="str">
        <f t="array" ref="V62">IF($C62="","",IF($C62&gt;1,(STDEV(IF($B62='Post-Harvest Plots_rpt'!$B$4:$B$855,IF(Q$3='Post-Harvest Plots_rpt'!$F$3:$Y$3,'Post-Harvest Plots_rpt'!$F$4:$Y$855)))/$C62^0.5)*1.96,"NA"))</f>
        <v/>
      </c>
      <c r="W62" s="123" t="str">
        <f>IF($B62="","",SUMIF('Post-Harvest Plots_rpt'!$B:$B,Stand_Biomass!$B62,'Post-Harvest Plots_rpt'!W:W)/$C62)</f>
        <v/>
      </c>
      <c r="X62" s="123" t="str">
        <f t="array" ref="X62">IF($C62="","",IF($C62&gt;1,(STDEV(IF($B62='Post-Harvest Plots_rpt'!$B$4:$B$855,IF(W$3='Post-Harvest Plots_rpt'!$F$3:$Y$3,'Post-Harvest Plots_rpt'!$F$4:$Y$855)))/$C62^0.5)*1.96,"NA"))</f>
        <v/>
      </c>
      <c r="Y62" s="193" t="str">
        <f>IF($B62="","",SUMIF('Post-Harvest Plots_rpt'!$B:$B,Stand_Biomass!$B62,'Post-Harvest Plots_rpt'!X:X)/$C62)</f>
        <v/>
      </c>
      <c r="Z62" s="130"/>
      <c r="AA62" s="189" t="str">
        <f>IF($B62="","",SUMIF('Post-Harvest Plots_rpt'!$B:$B,Stand_Biomass!$B62,'Post-Harvest Plots_rpt'!Z:Z)/$C62)</f>
        <v/>
      </c>
      <c r="AB62" s="121" t="str">
        <f>IF($B62="","",SUMIF('Post-Harvest Plots_rpt'!$B:$B,Stand_Biomass!$B62,'Post-Harvest Plots_rpt'!AA:AA)/$C62)</f>
        <v/>
      </c>
      <c r="AC62" s="121" t="str">
        <f>IF($B62="","",SUMIF('Post-Harvest Plots_rpt'!$B:$B,Stand_Biomass!$B62,'Post-Harvest Plots_rpt'!AB:AB)/$C62)</f>
        <v/>
      </c>
      <c r="AD62" s="177" t="str">
        <f>IF($B62="","",SUMIF('Post-Harvest Plots_rpt'!$B:$B,Stand_Biomass!$B62,'Post-Harvest Plots_rpt'!AC:AC)/$C62)</f>
        <v/>
      </c>
      <c r="AE62" s="196" t="str">
        <f>IF($B62="","",SUMIF('Post-Harvest Plots_rpt'!$B:$B,Stand_Biomass!$B62,'Post-Harvest Plots_rpt'!AD:AD)/$C62)</f>
        <v/>
      </c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  <row r="63" spans="2:47" ht="13.8" thickBot="1" x14ac:dyDescent="0.3">
      <c r="B63" s="174" t="str">
        <f>IF(Stand!C29="","",Stand!C29)</f>
        <v/>
      </c>
      <c r="C63" s="188" t="str">
        <f>IF($B63="","",VLOOKUP(B63,Stand!C:H,6,0))</f>
        <v/>
      </c>
      <c r="D63" s="130"/>
      <c r="E63" s="299" t="str">
        <f>IF($B63="","",SUMIF('Post-Harvest Plots_rpt'!$B:$B,Stand_Biomass!$B63,'Post-Harvest Plots_rpt'!$F:$F)/$C63)</f>
        <v/>
      </c>
      <c r="F63" s="362" t="str">
        <f>IF($B63="","",SUMIF('Post-Harvest Plots_rpt'!$B:$B,Stand_Biomass!$B63,'Post-Harvest Plots_rpt'!$G:$G)/$C63)</f>
        <v/>
      </c>
      <c r="G63" s="362" t="str">
        <f>IF($B63="","",SUMIF('Post-Harvest Plots_rpt'!$B:$B,Stand_Biomass!$B63,'Post-Harvest Plots_rpt'!$H:$H)/$C63)</f>
        <v/>
      </c>
      <c r="H63" s="300" t="str">
        <f>IF($B63="","",SUMIF('Post-Harvest Plots_rpt'!$B:$B,Stand_Biomass!$B63,'Post-Harvest Plots_rpt'!$I:$I)/$C63)</f>
        <v/>
      </c>
      <c r="I63" s="300" t="str">
        <f>IF($B63="","",SUMIF('Post-Harvest Plots_rpt'!$B:$B,Stand_Biomass!$B63,'Post-Harvest Plots_rpt'!$J:$J)/COUNTIFS('Post-Harvest Plots_rpt'!$B:$B,Stand_Biomass!$B63,'Post-Harvest Plots_rpt'!$J:$J,"&gt;"&amp;0))</f>
        <v/>
      </c>
      <c r="J63" s="300" t="str">
        <f>IF($B63="","",SUMIF('Post-Harvest Plots_rpt'!$B:$B,Stand_Biomass!$B63,'Post-Harvest Plots_rpt'!$K:$K)/$C63)</f>
        <v/>
      </c>
      <c r="K63" s="306" t="str">
        <f t="shared" si="3"/>
        <v/>
      </c>
      <c r="L63" s="135"/>
      <c r="M63" s="194" t="str">
        <f>IF($B63="","",SUMIF('Post-Harvest Plots_rpt'!$B:$B,Stand_Biomass!$B63,'Post-Harvest Plots_rpt'!N:N)/$C63)</f>
        <v/>
      </c>
      <c r="N63" s="163" t="str">
        <f>IF($B63="","",SUMIF('Post-Harvest Plots_rpt'!$B:$B,Stand_Biomass!$B63,'Post-Harvest Plots_rpt'!O:O)/$C63)</f>
        <v/>
      </c>
      <c r="O63" s="163" t="str">
        <f>IF($B63="","",SUMIF('Post-Harvest Plots_rpt'!$B:$B,Stand_Biomass!$B63,'Post-Harvest Plots_rpt'!P:P)/$C63)</f>
        <v/>
      </c>
      <c r="P63" s="163" t="str">
        <f>IF($B63="","",SUMIF('Post-Harvest Plots_rpt'!$B:$B,Stand_Biomass!$B63,'Post-Harvest Plots_rpt'!Q:Q)/$C63)</f>
        <v/>
      </c>
      <c r="Q63" s="167" t="str">
        <f>IF($B63="","",SUMIF('Post-Harvest Plots_rpt'!$B:$B,Stand_Biomass!$B63,'Post-Harvest Plots_rpt'!R:R)/$C63)</f>
        <v/>
      </c>
      <c r="R63" s="163" t="str">
        <f>IF($B63="","",SUMIF('Post-Harvest Plots_rpt'!$B:$B,Stand_Biomass!$B63,'Post-Harvest Plots_rpt'!S:S)/$C63)</f>
        <v/>
      </c>
      <c r="S63" s="163" t="str">
        <f>IF($B63="","",SUMIF('Post-Harvest Plots_rpt'!$B:$B,Stand_Biomass!$B63,'Post-Harvest Plots_rpt'!T:T)/$C63)</f>
        <v/>
      </c>
      <c r="T63" s="163" t="str">
        <f>IF($B63="","",SUMIF('Post-Harvest Plots_rpt'!$B:$B,Stand_Biomass!$B63,'Post-Harvest Plots_rpt'!U:U)/$C63)</f>
        <v/>
      </c>
      <c r="U63" s="163" t="str">
        <f>IF($B63="","",SUMIF('Post-Harvest Plots_rpt'!$B:$B,Stand_Biomass!$B63,'Post-Harvest Plots_rpt'!V:V)/$C63)</f>
        <v/>
      </c>
      <c r="V63" s="167" t="str">
        <f t="array" ref="V63">IF($C63="","",IF($C63&gt;1,(STDEV(IF($B63='Post-Harvest Plots_rpt'!$B$4:$B$855,IF(Q$3='Post-Harvest Plots_rpt'!$F$3:$Y$3,'Post-Harvest Plots_rpt'!$F$4:$Y$855)))/$C63^0.5)*1.96,"NA"))</f>
        <v/>
      </c>
      <c r="W63" s="167" t="str">
        <f>IF($B63="","",SUMIF('Post-Harvest Plots_rpt'!$B:$B,Stand_Biomass!$B63,'Post-Harvest Plots_rpt'!W:W)/$C63)</f>
        <v/>
      </c>
      <c r="X63" s="167" t="str">
        <f t="array" ref="X63">IF($C63="","",IF($C63&gt;1,(STDEV(IF($B63='Post-Harvest Plots_rpt'!$B$4:$B$855,IF(W$3='Post-Harvest Plots_rpt'!$F$3:$Y$3,'Post-Harvest Plots_rpt'!$F$4:$Y$855)))/$C63^0.5)*1.96,"NA"))</f>
        <v/>
      </c>
      <c r="Y63" s="195" t="str">
        <f>IF($B63="","",SUMIF('Post-Harvest Plots_rpt'!$B:$B,Stand_Biomass!$B63,'Post-Harvest Plots_rpt'!X:X)/$C63)</f>
        <v/>
      </c>
      <c r="Z63" s="130"/>
      <c r="AA63" s="190" t="str">
        <f>IF($B63="","",SUMIF('Post-Harvest Plots_rpt'!$B:$B,Stand_Biomass!$B63,'Post-Harvest Plots_rpt'!Z:Z)/$C63)</f>
        <v/>
      </c>
      <c r="AB63" s="164" t="str">
        <f>IF($B63="","",SUMIF('Post-Harvest Plots_rpt'!$B:$B,Stand_Biomass!$B63,'Post-Harvest Plots_rpt'!AA:AA)/$C63)</f>
        <v/>
      </c>
      <c r="AC63" s="164" t="str">
        <f>IF($B63="","",SUMIF('Post-Harvest Plots_rpt'!$B:$B,Stand_Biomass!$B63,'Post-Harvest Plots_rpt'!AB:AB)/$C63)</f>
        <v/>
      </c>
      <c r="AD63" s="197" t="str">
        <f>IF($B63="","",SUMIF('Post-Harvest Plots_rpt'!$B:$B,Stand_Biomass!$B63,'Post-Harvest Plots_rpt'!AC:AC)/$C63)</f>
        <v/>
      </c>
      <c r="AE63" s="198" t="str">
        <f>IF($B63="","",SUMIF('Post-Harvest Plots_rpt'!$B:$B,Stand_Biomass!$B63,'Post-Harvest Plots_rpt'!AD:AD)/$C63)</f>
        <v/>
      </c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2:47" x14ac:dyDescent="0.2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  <row r="65" spans="2:47" x14ac:dyDescent="0.25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2:47" x14ac:dyDescent="0.25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</row>
    <row r="67" spans="2:47" x14ac:dyDescent="0.25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</row>
    <row r="68" spans="2:47" x14ac:dyDescent="0.2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</row>
    <row r="69" spans="2:47" x14ac:dyDescent="0.2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</row>
    <row r="70" spans="2:47" x14ac:dyDescent="0.2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</row>
    <row r="71" spans="2:47" x14ac:dyDescent="0.2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</row>
    <row r="72" spans="2:47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</row>
    <row r="73" spans="2:47" x14ac:dyDescent="0.2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</row>
    <row r="74" spans="2:47" x14ac:dyDescent="0.2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</row>
    <row r="75" spans="2:47" x14ac:dyDescent="0.2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</row>
    <row r="76" spans="2:47" x14ac:dyDescent="0.2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</row>
    <row r="77" spans="2:47" x14ac:dyDescent="0.2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</row>
    <row r="78" spans="2:47" x14ac:dyDescent="0.2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</row>
    <row r="79" spans="2:47" x14ac:dyDescent="0.2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</row>
    <row r="80" spans="2:47" x14ac:dyDescent="0.2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</row>
    <row r="81" spans="2:47" x14ac:dyDescent="0.2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</row>
    <row r="82" spans="2:47" x14ac:dyDescent="0.2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</row>
    <row r="83" spans="2:47" x14ac:dyDescent="0.2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</row>
    <row r="84" spans="2:47" x14ac:dyDescent="0.2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</row>
    <row r="85" spans="2:47" x14ac:dyDescent="0.2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</row>
    <row r="86" spans="2:47" x14ac:dyDescent="0.25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</row>
    <row r="87" spans="2:47" x14ac:dyDescent="0.2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</row>
    <row r="88" spans="2:47" x14ac:dyDescent="0.25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</row>
  </sheetData>
  <mergeCells count="8">
    <mergeCell ref="B1:C2"/>
    <mergeCell ref="E2:K2"/>
    <mergeCell ref="M2:Y2"/>
    <mergeCell ref="AA2:AE2"/>
    <mergeCell ref="B34:C35"/>
    <mergeCell ref="E35:K35"/>
    <mergeCell ref="M35:Y35"/>
    <mergeCell ref="AA35:AE35"/>
  </mergeCells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E8E0-E0C5-4400-90AD-AD6A6D2DB0C8}">
  <sheetPr>
    <tabColor rgb="FFCCFFCC"/>
  </sheetPr>
  <dimension ref="A1:AQ64"/>
  <sheetViews>
    <sheetView zoomScale="75" zoomScaleNormal="75" workbookViewId="0">
      <selection activeCell="W3" sqref="W3"/>
    </sheetView>
  </sheetViews>
  <sheetFormatPr defaultRowHeight="13.2" x14ac:dyDescent="0.25"/>
  <cols>
    <col min="1" max="1" width="3.21875" style="61" customWidth="1"/>
    <col min="2" max="2" width="15.21875" customWidth="1"/>
    <col min="3" max="3" width="8.77734375" style="61"/>
    <col min="4" max="4" width="7.109375" customWidth="1"/>
    <col min="5" max="5" width="2.21875" customWidth="1"/>
    <col min="13" max="13" width="2.21875" customWidth="1"/>
    <col min="14" max="14" width="9.77734375" customWidth="1"/>
    <col min="15" max="15" width="8.77734375" style="61"/>
    <col min="19" max="19" width="9.77734375" customWidth="1"/>
    <col min="20" max="20" width="9.109375" customWidth="1"/>
    <col min="21" max="21" width="9.21875" customWidth="1"/>
    <col min="25" max="26" width="8.77734375" style="61"/>
    <col min="27" max="27" width="3.21875" customWidth="1"/>
    <col min="31" max="31" width="8.88671875" customWidth="1"/>
    <col min="32" max="32" width="9.109375" style="61" customWidth="1"/>
    <col min="33" max="34" width="8.77734375" style="61"/>
    <col min="36" max="36" width="11.6640625" style="61" customWidth="1"/>
    <col min="39" max="41" width="8.77734375" style="61"/>
    <col min="42" max="43" width="9.77734375" customWidth="1"/>
  </cols>
  <sheetData>
    <row r="1" spans="2:43" ht="16.2" thickBot="1" x14ac:dyDescent="0.35">
      <c r="B1" s="572" t="s">
        <v>235</v>
      </c>
      <c r="C1" s="572"/>
      <c r="D1" s="572"/>
      <c r="E1" s="178"/>
      <c r="F1" s="3"/>
      <c r="G1" s="3"/>
      <c r="H1" s="3"/>
      <c r="I1" s="3"/>
      <c r="J1" s="3"/>
      <c r="K1" s="3"/>
      <c r="L1" s="3"/>
      <c r="M1" s="13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33"/>
      <c r="AB1" s="3"/>
      <c r="AC1" s="3"/>
      <c r="AD1" s="3"/>
      <c r="AE1" s="3"/>
      <c r="AF1" s="3"/>
      <c r="AG1" s="3"/>
      <c r="AH1" s="3"/>
    </row>
    <row r="2" spans="2:43" ht="18" thickBot="1" x14ac:dyDescent="0.35">
      <c r="B2" s="573"/>
      <c r="C2" s="573"/>
      <c r="D2" s="573"/>
      <c r="E2" s="178"/>
      <c r="F2" s="569" t="s">
        <v>215</v>
      </c>
      <c r="G2" s="570"/>
      <c r="H2" s="570"/>
      <c r="I2" s="570"/>
      <c r="J2" s="570"/>
      <c r="K2" s="570"/>
      <c r="L2" s="571"/>
      <c r="M2" s="182"/>
      <c r="N2" s="601" t="s">
        <v>275</v>
      </c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3"/>
      <c r="AA2" s="184"/>
      <c r="AB2" s="598" t="s">
        <v>276</v>
      </c>
      <c r="AC2" s="599"/>
      <c r="AD2" s="599"/>
      <c r="AE2" s="599"/>
      <c r="AF2" s="599"/>
      <c r="AG2" s="599"/>
      <c r="AH2" s="600"/>
      <c r="AJ2" s="589" t="s">
        <v>282</v>
      </c>
      <c r="AK2" s="590"/>
      <c r="AL2" s="590"/>
      <c r="AM2" s="590"/>
      <c r="AN2" s="590"/>
      <c r="AO2" s="590"/>
      <c r="AP2" s="590"/>
      <c r="AQ2" s="591"/>
    </row>
    <row r="3" spans="2:43" ht="79.2" x14ac:dyDescent="0.25">
      <c r="B3" s="168" t="s">
        <v>82</v>
      </c>
      <c r="C3" s="363" t="s">
        <v>5</v>
      </c>
      <c r="D3" s="186" t="s">
        <v>6</v>
      </c>
      <c r="E3" s="129"/>
      <c r="F3" s="159" t="s">
        <v>85</v>
      </c>
      <c r="G3" s="149" t="s">
        <v>248</v>
      </c>
      <c r="H3" s="149" t="s">
        <v>249</v>
      </c>
      <c r="I3" s="150" t="s">
        <v>39</v>
      </c>
      <c r="J3" s="150" t="s">
        <v>232</v>
      </c>
      <c r="K3" s="150" t="s">
        <v>88</v>
      </c>
      <c r="L3" s="160" t="s">
        <v>89</v>
      </c>
      <c r="M3" s="183"/>
      <c r="N3" s="501" t="s">
        <v>265</v>
      </c>
      <c r="O3" s="370" t="s">
        <v>281</v>
      </c>
      <c r="P3" s="358" t="s">
        <v>266</v>
      </c>
      <c r="Q3" s="358" t="s">
        <v>267</v>
      </c>
      <c r="R3" s="358" t="s">
        <v>268</v>
      </c>
      <c r="S3" s="357" t="s">
        <v>269</v>
      </c>
      <c r="T3" s="358" t="s">
        <v>270</v>
      </c>
      <c r="U3" s="358" t="s">
        <v>271</v>
      </c>
      <c r="V3" s="358" t="s">
        <v>272</v>
      </c>
      <c r="W3" s="357" t="s">
        <v>273</v>
      </c>
      <c r="X3" s="357" t="s">
        <v>309</v>
      </c>
      <c r="Y3" s="379" t="s">
        <v>274</v>
      </c>
      <c r="Z3" s="369" t="s">
        <v>280</v>
      </c>
      <c r="AA3" s="185"/>
      <c r="AB3" s="360" t="s">
        <v>152</v>
      </c>
      <c r="AC3" s="361" t="s">
        <v>153</v>
      </c>
      <c r="AD3" s="361" t="s">
        <v>154</v>
      </c>
      <c r="AE3" s="376" t="s">
        <v>278</v>
      </c>
      <c r="AF3" s="376" t="s">
        <v>277</v>
      </c>
      <c r="AG3" s="508" t="s">
        <v>279</v>
      </c>
      <c r="AH3" s="509" t="s">
        <v>277</v>
      </c>
      <c r="AJ3" s="394" t="s">
        <v>293</v>
      </c>
      <c r="AK3" s="356" t="s">
        <v>284</v>
      </c>
      <c r="AL3" s="357" t="s">
        <v>285</v>
      </c>
      <c r="AM3" s="357" t="s">
        <v>286</v>
      </c>
      <c r="AN3" s="370" t="s">
        <v>288</v>
      </c>
      <c r="AO3" s="370" t="s">
        <v>291</v>
      </c>
      <c r="AP3" s="379" t="s">
        <v>289</v>
      </c>
      <c r="AQ3" s="369" t="s">
        <v>290</v>
      </c>
    </row>
    <row r="4" spans="2:43" x14ac:dyDescent="0.25">
      <c r="B4" s="171" t="str">
        <f>IF(Stand!C3="","",Stand!C3)</f>
        <v/>
      </c>
      <c r="C4" s="364" t="str">
        <f>IF(Stand!G3="","",Stand!G3)</f>
        <v/>
      </c>
      <c r="D4" s="187" t="str">
        <f>IF($B4="","",VLOOKUP(B4,Stand!C:H,6,0))</f>
        <v/>
      </c>
      <c r="E4" s="130"/>
      <c r="F4" s="189" t="str">
        <f>IF($B4="","",SUMIF('Pre-Harvest Plots_rpt'!$B:$B,Stand_Biomass!$B4,'Pre-Harvest Plots_rpt'!$F:$F)/$D4)</f>
        <v/>
      </c>
      <c r="G4" s="122" t="str">
        <f>IF($B4="","",SUMIF('Pre-Harvest Plots_rpt'!$B:$B,Stand_Biomass!$B4,'Pre-Harvest Plots_rpt'!$G:$G)/$D4)</f>
        <v/>
      </c>
      <c r="H4" s="122" t="str">
        <f>IF($B4="","",SUMIF('Pre-Harvest Plots_rpt'!$B:$B,Stand_Biomass!$B4,'Pre-Harvest Plots_rpt'!$H:$H)/$D4)</f>
        <v/>
      </c>
      <c r="I4" s="121" t="str">
        <f>IF($B4="","",SUMIF('Pre-Harvest Plots_rpt'!$B:$B,Stand_Biomass!$B4,'Pre-Harvest Plots_rpt'!$I:$I)/$D4)</f>
        <v/>
      </c>
      <c r="J4" s="121" t="str">
        <f>IF($B4="","",SUMIF('Pre-Harvest Plots_rpt'!$B:$B,Stand_Biomass!$B4,'Pre-Harvest Plots_rpt'!$J:$J)/COUNTIFS('Pre-Harvest Plots_rpt'!$B:$B,Stand_Biomass!$B4,'Pre-Harvest Plots_rpt'!$J:$J,"&gt;"&amp;0))</f>
        <v/>
      </c>
      <c r="K4" s="121" t="str">
        <f>IF($B4="","",SUMIF('Pre-Harvest Plots_rpt'!$B:$B,Stand_Biomass!$B4,'Pre-Harvest Plots_rpt'!$K:$K)/$D4)</f>
        <v/>
      </c>
      <c r="L4" s="154" t="str">
        <f t="shared" ref="L4" si="0">IF($B4="","",IF(OR(H4=0,I4=0),0,I4/SQRT(H4)))</f>
        <v/>
      </c>
      <c r="M4" s="135"/>
      <c r="N4" s="502" t="str">
        <f>IF(Stand_Biomass!M4 = "", "", Stand_Biomass!M4/2)</f>
        <v/>
      </c>
      <c r="O4" s="372" t="str">
        <f>IF(N4="","",N4*44/12)</f>
        <v/>
      </c>
      <c r="P4" s="354" t="str">
        <f>IF(Stand_Biomass!N4 = "", "", Stand_Biomass!N4/2)</f>
        <v/>
      </c>
      <c r="Q4" s="354" t="str">
        <f>IF(Stand_Biomass!O4 = "", "", Stand_Biomass!O4/2)</f>
        <v/>
      </c>
      <c r="R4" s="354" t="str">
        <f>IF(Stand_Biomass!P4 = "", "", Stand_Biomass!P4/2)</f>
        <v/>
      </c>
      <c r="S4" s="354" t="str">
        <f>IF(Stand_Biomass!Q4 = "", "", Stand_Biomass!Q4/2)</f>
        <v/>
      </c>
      <c r="T4" s="354" t="str">
        <f>IF(Stand_Biomass!R4 = "", "", Stand_Biomass!R4/2)</f>
        <v/>
      </c>
      <c r="U4" s="354" t="str">
        <f>IF(Stand_Biomass!S4 = "", "", Stand_Biomass!S4/2)</f>
        <v/>
      </c>
      <c r="V4" s="354" t="str">
        <f>IF(Stand_Biomass!T4 = "", "", Stand_Biomass!T4/2)</f>
        <v/>
      </c>
      <c r="W4" s="354" t="str">
        <f>IF(Stand_Biomass!U4 = "", "", Stand_Biomass!U4/2)</f>
        <v/>
      </c>
      <c r="X4" s="354" t="str">
        <f>IF(Stand_Biomass!V4 = "", "", Stand_Biomass!V4/2)</f>
        <v/>
      </c>
      <c r="Y4" s="504" t="str">
        <f>IF(N4="","",N4*Stand!$G3)</f>
        <v/>
      </c>
      <c r="Z4" s="505" t="str">
        <f>IF(O4="","",O4*Stand!$G3)</f>
        <v/>
      </c>
      <c r="AA4" s="130"/>
      <c r="AB4" s="152" t="str">
        <f>IF($B4="","",SUMIF('Pre-Harvest Plots_rpt'!$B:$B,Stand_Biomass!$B4,'Pre-Harvest Plots_rpt'!Z:Z)/$D4)</f>
        <v/>
      </c>
      <c r="AC4" s="297" t="str">
        <f>IF($B4="","",SUMIF('Pre-Harvest Plots_rpt'!$B:$B,Stand_Biomass!$B4,'Pre-Harvest Plots_rpt'!AA:AA)/$D4)</f>
        <v/>
      </c>
      <c r="AD4" s="297" t="str">
        <f>IF($B4="","",SUMIF('Pre-Harvest Plots_rpt'!$B:$B,Stand_Biomass!$B4,'Pre-Harvest Plots_rpt'!AB:AB)/$D4)</f>
        <v/>
      </c>
      <c r="AE4" s="377" t="str">
        <f>IF(Stand_Biomass!AD4= "", "", Stand_Biomass!AD4/2)</f>
        <v/>
      </c>
      <c r="AF4" s="377" t="str">
        <f>IF(AE4="","",AE4*44/12)</f>
        <v/>
      </c>
      <c r="AG4" s="510" t="str">
        <f>IF(AE4="","",AE4*Stand!$G3)</f>
        <v/>
      </c>
      <c r="AH4" s="511" t="str">
        <f>IF(AF4="","",AF4*Stand!$G3)</f>
        <v/>
      </c>
      <c r="AJ4" s="395" t="s">
        <v>308</v>
      </c>
      <c r="AK4" s="389">
        <f>SUM(Y4:Y30)</f>
        <v>0</v>
      </c>
      <c r="AL4" s="388">
        <f>AK4*0.2</f>
        <v>0</v>
      </c>
      <c r="AM4" s="387">
        <f>SUM(AG4:AG30)</f>
        <v>0</v>
      </c>
      <c r="AN4" s="390" t="e">
        <f>AP4/(SUM(C4:C30))</f>
        <v>#DIV/0!</v>
      </c>
      <c r="AO4" s="390" t="e">
        <f>AQ4/(SUM(C4:C30))</f>
        <v>#DIV/0!</v>
      </c>
      <c r="AP4" s="392">
        <f>SUM(AK4:AM4)</f>
        <v>0</v>
      </c>
      <c r="AQ4" s="393">
        <f>AP4*44/12</f>
        <v>0</v>
      </c>
    </row>
    <row r="5" spans="2:43" ht="13.8" thickBot="1" x14ac:dyDescent="0.3">
      <c r="B5" s="171" t="str">
        <f>IF(Stand!C4="","",Stand!C4)</f>
        <v/>
      </c>
      <c r="C5" s="364" t="str">
        <f>IF(Stand!G4="","",Stand!G4)</f>
        <v/>
      </c>
      <c r="D5" s="187" t="str">
        <f>IF($B5="","",VLOOKUP(B5,Stand!C:H,6,0))</f>
        <v/>
      </c>
      <c r="E5" s="130"/>
      <c r="F5" s="189" t="str">
        <f>IF($B5="","",SUMIF('Pre-Harvest Plots_rpt'!$B:$B,Stand_Biomass!$B5,'Pre-Harvest Plots_rpt'!$F:$F)/$D5)</f>
        <v/>
      </c>
      <c r="G5" s="122" t="str">
        <f>IF($B5="","",SUMIF('Pre-Harvest Plots_rpt'!$B:$B,Stand_Biomass!$B5,'Pre-Harvest Plots_rpt'!$G:$G)/$D5)</f>
        <v/>
      </c>
      <c r="H5" s="122" t="str">
        <f>IF($B5="","",SUMIF('Pre-Harvest Plots_rpt'!$B:$B,Stand_Biomass!$B5,'Pre-Harvest Plots_rpt'!$H:$H)/$D5)</f>
        <v/>
      </c>
      <c r="I5" s="121" t="str">
        <f>IF($B5="","",SUMIF('Pre-Harvest Plots_rpt'!$B:$B,Stand_Biomass!$B5,'Pre-Harvest Plots_rpt'!$I:$I)/$D5)</f>
        <v/>
      </c>
      <c r="J5" s="121" t="str">
        <f>IF($B5="","",SUMIF('Pre-Harvest Plots_rpt'!$B:$B,Stand_Biomass!$B5,'Pre-Harvest Plots_rpt'!$J:$J)/COUNTIFS('Pre-Harvest Plots_rpt'!$B:$B,Stand_Biomass!$B5,'Pre-Harvest Plots_rpt'!$J:$J,"&gt;"&amp;0))</f>
        <v/>
      </c>
      <c r="K5" s="121" t="str">
        <f>IF($B5="","",SUMIF('Pre-Harvest Plots_rpt'!$B:$B,Stand_Biomass!$B5,'Pre-Harvest Plots_rpt'!$K:$K)/$D5)</f>
        <v/>
      </c>
      <c r="L5" s="154" t="str">
        <f t="shared" ref="L5:L30" si="1">IF($B5="","",IF(OR(H5=0,I5=0),0,I5/SQRT(H5)))</f>
        <v/>
      </c>
      <c r="M5" s="135"/>
      <c r="N5" s="502" t="str">
        <f>IF(Stand_Biomass!M5 = "", "",#REF!/ 2)</f>
        <v/>
      </c>
      <c r="O5" s="372" t="str">
        <f t="shared" ref="O5:O30" si="2">IF(N5="","",N5*44/12)</f>
        <v/>
      </c>
      <c r="P5" s="354" t="str">
        <f>IF(Stand_Biomass!N5 = "", "", Stand_Biomass!N5/2)</f>
        <v/>
      </c>
      <c r="Q5" s="354" t="str">
        <f>IF(Stand_Biomass!O5 = "", "", Stand_Biomass!O5/2)</f>
        <v/>
      </c>
      <c r="R5" s="354" t="str">
        <f>IF(Stand_Biomass!P5 = "", "", Stand_Biomass!P5/2)</f>
        <v/>
      </c>
      <c r="S5" s="354" t="str">
        <f>IF(Stand_Biomass!Q5 = "", "", Stand_Biomass!Q5/2)</f>
        <v/>
      </c>
      <c r="T5" s="354" t="str">
        <f>IF(Stand_Biomass!R5 = "", "", Stand_Biomass!R5/2)</f>
        <v/>
      </c>
      <c r="U5" s="354" t="str">
        <f>IF(Stand_Biomass!S5 = "", "", Stand_Biomass!S5/2)</f>
        <v/>
      </c>
      <c r="V5" s="354" t="str">
        <f>IF(Stand_Biomass!T5 = "", "", Stand_Biomass!T5/2)</f>
        <v/>
      </c>
      <c r="W5" s="354" t="str">
        <f>IF(Stand_Biomass!U5 = "", "", Stand_Biomass!U5/2)</f>
        <v/>
      </c>
      <c r="X5" s="354" t="str">
        <f>IF(Stand_Biomass!V5 = "", "", Stand_Biomass!V5/2)</f>
        <v/>
      </c>
      <c r="Y5" s="504" t="str">
        <f>IF(N5="","",N5*Stand!$G4)</f>
        <v/>
      </c>
      <c r="Z5" s="505" t="str">
        <f>IF(O5="","",O5*Stand!$G4)</f>
        <v/>
      </c>
      <c r="AA5" s="130"/>
      <c r="AB5" s="152" t="str">
        <f>IF($B5="","",SUMIF('Pre-Harvest Plots_rpt'!$B:$B,Stand_Biomass!$B5,'Pre-Harvest Plots_rpt'!Z:Z)/$D5)</f>
        <v/>
      </c>
      <c r="AC5" s="297" t="str">
        <f>IF($B5="","",SUMIF('Pre-Harvest Plots_rpt'!$B:$B,Stand_Biomass!$B5,'Pre-Harvest Plots_rpt'!AA:AA)/$D5)</f>
        <v/>
      </c>
      <c r="AD5" s="297" t="str">
        <f>IF($B5="","",SUMIF('Pre-Harvest Plots_rpt'!$B:$B,Stand_Biomass!$B5,'Pre-Harvest Plots_rpt'!AB:AB)/$D5)</f>
        <v/>
      </c>
      <c r="AE5" s="377" t="str">
        <f>IF(Stand_Biomass!AD5= "", "", Stand_Biomass!AD5/2)</f>
        <v/>
      </c>
      <c r="AF5" s="377" t="str">
        <f t="shared" ref="AF5:AF30" si="3">IF(AE5="","",AE5*44/12)</f>
        <v/>
      </c>
      <c r="AG5" s="510" t="str">
        <f>IF(AE5="","",AE5*Stand!$G4)</f>
        <v/>
      </c>
      <c r="AH5" s="511" t="str">
        <f>IF(AF5="","",AF5*Stand!$G4)</f>
        <v/>
      </c>
      <c r="AJ5" s="396" t="s">
        <v>292</v>
      </c>
      <c r="AK5" s="366">
        <f>AK4*0.907185</f>
        <v>0</v>
      </c>
      <c r="AL5" s="367">
        <f t="shared" ref="AL5:AQ5" si="4">AL4*0.907185</f>
        <v>0</v>
      </c>
      <c r="AM5" s="367">
        <f t="shared" si="4"/>
        <v>0</v>
      </c>
      <c r="AN5" s="391" t="e">
        <f t="shared" si="4"/>
        <v>#DIV/0!</v>
      </c>
      <c r="AO5" s="391" t="e">
        <f t="shared" si="4"/>
        <v>#DIV/0!</v>
      </c>
      <c r="AP5" s="368">
        <f t="shared" si="4"/>
        <v>0</v>
      </c>
      <c r="AQ5" s="424">
        <f t="shared" si="4"/>
        <v>0</v>
      </c>
    </row>
    <row r="6" spans="2:43" x14ac:dyDescent="0.25">
      <c r="B6" s="171" t="str">
        <f>IF(Stand!C5="","",Stand!C5)</f>
        <v/>
      </c>
      <c r="C6" s="364" t="str">
        <f>IF(Stand!G5="","",Stand!G5)</f>
        <v/>
      </c>
      <c r="D6" s="187" t="str">
        <f>IF($B6="","",VLOOKUP(B6,Stand!C:H,6,0))</f>
        <v/>
      </c>
      <c r="E6" s="130"/>
      <c r="F6" s="189" t="str">
        <f>IF($B6="","",SUMIF('Pre-Harvest Plots_rpt'!$B:$B,Stand_Biomass!$B6,'Pre-Harvest Plots_rpt'!$F:$F)/$D6)</f>
        <v/>
      </c>
      <c r="G6" s="122" t="str">
        <f>IF($B6="","",SUMIF('Pre-Harvest Plots_rpt'!$B:$B,Stand_Biomass!$B6,'Pre-Harvest Plots_rpt'!$G:$G)/$D6)</f>
        <v/>
      </c>
      <c r="H6" s="122" t="str">
        <f>IF($B6="","",SUMIF('Pre-Harvest Plots_rpt'!$B:$B,Stand_Biomass!$B6,'Pre-Harvest Plots_rpt'!$H:$H)/$D6)</f>
        <v/>
      </c>
      <c r="I6" s="121" t="str">
        <f>IF($B6="","",SUMIF('Pre-Harvest Plots_rpt'!$B:$B,Stand_Biomass!$B6,'Pre-Harvest Plots_rpt'!$I:$I)/$D6)</f>
        <v/>
      </c>
      <c r="J6" s="121" t="str">
        <f>IF($B6="","",SUMIF('Pre-Harvest Plots_rpt'!$B:$B,Stand_Biomass!$B6,'Pre-Harvest Plots_rpt'!$J:$J)/COUNTIFS('Pre-Harvest Plots_rpt'!$B:$B,Stand_Biomass!$B6,'Pre-Harvest Plots_rpt'!$J:$J,"&gt;"&amp;0))</f>
        <v/>
      </c>
      <c r="K6" s="121" t="str">
        <f>IF($B6="","",SUMIF('Pre-Harvest Plots_rpt'!$B:$B,Stand_Biomass!$B6,'Pre-Harvest Plots_rpt'!$K:$K)/$D6)</f>
        <v/>
      </c>
      <c r="L6" s="154" t="str">
        <f t="shared" si="1"/>
        <v/>
      </c>
      <c r="M6" s="135"/>
      <c r="N6" s="502" t="str">
        <f>IF(Stand_Biomass!M6 = "", "",#REF!/ 2)</f>
        <v/>
      </c>
      <c r="O6" s="372" t="str">
        <f t="shared" si="2"/>
        <v/>
      </c>
      <c r="P6" s="354" t="str">
        <f>IF(Stand_Biomass!N6 = "", "", Stand_Biomass!N6/2)</f>
        <v/>
      </c>
      <c r="Q6" s="354" t="str">
        <f>IF(Stand_Biomass!O6 = "", "", Stand_Biomass!O6/2)</f>
        <v/>
      </c>
      <c r="R6" s="354" t="str">
        <f>IF(Stand_Biomass!P6 = "", "", Stand_Biomass!P6/2)</f>
        <v/>
      </c>
      <c r="S6" s="354" t="str">
        <f>IF(Stand_Biomass!Q6 = "", "", Stand_Biomass!Q6/2)</f>
        <v/>
      </c>
      <c r="T6" s="354" t="str">
        <f>IF(Stand_Biomass!R6 = "", "", Stand_Biomass!R6/2)</f>
        <v/>
      </c>
      <c r="U6" s="354" t="str">
        <f>IF(Stand_Biomass!S6 = "", "", Stand_Biomass!S6/2)</f>
        <v/>
      </c>
      <c r="V6" s="354" t="str">
        <f>IF(Stand_Biomass!T6 = "", "", Stand_Biomass!T6/2)</f>
        <v/>
      </c>
      <c r="W6" s="354" t="str">
        <f>IF(Stand_Biomass!U6 = "", "", Stand_Biomass!U6/2)</f>
        <v/>
      </c>
      <c r="X6" s="354" t="str">
        <f>IF(Stand_Biomass!V6 = "", "", Stand_Biomass!V6/2)</f>
        <v/>
      </c>
      <c r="Y6" s="504" t="str">
        <f>IF(N6="","",N6*Stand!$G5)</f>
        <v/>
      </c>
      <c r="Z6" s="505" t="str">
        <f>IF(O6="","",O6*Stand!$G5)</f>
        <v/>
      </c>
      <c r="AA6" s="130"/>
      <c r="AB6" s="152" t="str">
        <f>IF($B6="","",SUMIF('Pre-Harvest Plots_rpt'!$B:$B,Stand_Biomass!$B6,'Pre-Harvest Plots_rpt'!Z:Z)/$D6)</f>
        <v/>
      </c>
      <c r="AC6" s="297" t="str">
        <f>IF($B6="","",SUMIF('Pre-Harvest Plots_rpt'!$B:$B,Stand_Biomass!$B6,'Pre-Harvest Plots_rpt'!AA:AA)/$D6)</f>
        <v/>
      </c>
      <c r="AD6" s="297" t="str">
        <f>IF($B6="","",SUMIF('Pre-Harvest Plots_rpt'!$B:$B,Stand_Biomass!$B6,'Pre-Harvest Plots_rpt'!AB:AB)/$D6)</f>
        <v/>
      </c>
      <c r="AE6" s="377" t="str">
        <f>IF(Stand_Biomass!AD6= "", "", Stand_Biomass!AD6/2)</f>
        <v/>
      </c>
      <c r="AF6" s="377" t="str">
        <f t="shared" si="3"/>
        <v/>
      </c>
      <c r="AG6" s="510" t="str">
        <f>IF(AE6="","",AE6*Stand!$G5)</f>
        <v/>
      </c>
      <c r="AH6" s="511" t="str">
        <f>IF(AF6="","",AF6*Stand!$G5)</f>
        <v/>
      </c>
      <c r="AK6" s="271"/>
      <c r="AL6" s="61"/>
      <c r="AP6" s="271"/>
    </row>
    <row r="7" spans="2:43" x14ac:dyDescent="0.25">
      <c r="B7" s="171" t="str">
        <f>IF(Stand!C6="","",Stand!C6)</f>
        <v/>
      </c>
      <c r="C7" s="364" t="str">
        <f>IF(Stand!G6="","",Stand!G6)</f>
        <v/>
      </c>
      <c r="D7" s="187" t="str">
        <f>IF($B7="","",VLOOKUP(B7,Stand!C:H,6,0))</f>
        <v/>
      </c>
      <c r="E7" s="130"/>
      <c r="F7" s="189" t="str">
        <f>IF($B7="","",SUMIF('Pre-Harvest Plots_rpt'!$B:$B,Stand_Biomass!$B7,'Pre-Harvest Plots_rpt'!$F:$F)/$D7)</f>
        <v/>
      </c>
      <c r="G7" s="122" t="str">
        <f>IF($B7="","",SUMIF('Pre-Harvest Plots_rpt'!$B:$B,Stand_Biomass!$B7,'Pre-Harvest Plots_rpt'!$G:$G)/$D7)</f>
        <v/>
      </c>
      <c r="H7" s="122" t="str">
        <f>IF($B7="","",SUMIF('Pre-Harvest Plots_rpt'!$B:$B,Stand_Biomass!$B7,'Pre-Harvest Plots_rpt'!$H:$H)/$D7)</f>
        <v/>
      </c>
      <c r="I7" s="121" t="str">
        <f>IF($B7="","",SUMIF('Pre-Harvest Plots_rpt'!$B:$B,Stand_Biomass!$B7,'Pre-Harvest Plots_rpt'!$I:$I)/$D7)</f>
        <v/>
      </c>
      <c r="J7" s="121" t="str">
        <f>IF($B7="","",SUMIF('Pre-Harvest Plots_rpt'!$B:$B,Stand_Biomass!$B7,'Pre-Harvest Plots_rpt'!$J:$J)/COUNTIFS('Pre-Harvest Plots_rpt'!$B:$B,Stand_Biomass!$B7,'Pre-Harvest Plots_rpt'!$J:$J,"&gt;"&amp;0))</f>
        <v/>
      </c>
      <c r="K7" s="121" t="str">
        <f>IF($B7="","",SUMIF('Pre-Harvest Plots_rpt'!$B:$B,Stand_Biomass!$B7,'Pre-Harvest Plots_rpt'!$K:$K)/$D7)</f>
        <v/>
      </c>
      <c r="L7" s="154" t="str">
        <f t="shared" si="1"/>
        <v/>
      </c>
      <c r="M7" s="135"/>
      <c r="N7" s="502" t="str">
        <f>IF(Stand_Biomass!M7 = "", "",#REF!/ 2)</f>
        <v/>
      </c>
      <c r="O7" s="372" t="str">
        <f t="shared" si="2"/>
        <v/>
      </c>
      <c r="P7" s="354" t="str">
        <f>IF(Stand_Biomass!N7 = "", "", Stand_Biomass!N7/2)</f>
        <v/>
      </c>
      <c r="Q7" s="354" t="str">
        <f>IF(Stand_Biomass!O7 = "", "", Stand_Biomass!O7/2)</f>
        <v/>
      </c>
      <c r="R7" s="354" t="str">
        <f>IF(Stand_Biomass!P7 = "", "", Stand_Biomass!P7/2)</f>
        <v/>
      </c>
      <c r="S7" s="354" t="str">
        <f>IF(Stand_Biomass!Q7 = "", "", Stand_Biomass!Q7/2)</f>
        <v/>
      </c>
      <c r="T7" s="354" t="str">
        <f>IF(Stand_Biomass!R7 = "", "", Stand_Biomass!R7/2)</f>
        <v/>
      </c>
      <c r="U7" s="354" t="str">
        <f>IF(Stand_Biomass!S7 = "", "", Stand_Biomass!S7/2)</f>
        <v/>
      </c>
      <c r="V7" s="354" t="str">
        <f>IF(Stand_Biomass!T7 = "", "", Stand_Biomass!T7/2)</f>
        <v/>
      </c>
      <c r="W7" s="354" t="str">
        <f>IF(Stand_Biomass!U7 = "", "", Stand_Biomass!U7/2)</f>
        <v/>
      </c>
      <c r="X7" s="354" t="str">
        <f>IF(Stand_Biomass!V7 = "", "", Stand_Biomass!V7/2)</f>
        <v/>
      </c>
      <c r="Y7" s="504" t="str">
        <f>IF(N7="","",N7*Stand!$G6)</f>
        <v/>
      </c>
      <c r="Z7" s="505" t="str">
        <f>IF(O7="","",O7*Stand!$G6)</f>
        <v/>
      </c>
      <c r="AA7" s="130"/>
      <c r="AB7" s="152" t="str">
        <f>IF($B7="","",SUMIF('Pre-Harvest Plots_rpt'!$B:$B,Stand_Biomass!$B7,'Pre-Harvest Plots_rpt'!Z:Z)/$D7)</f>
        <v/>
      </c>
      <c r="AC7" s="297" t="str">
        <f>IF($B7="","",SUMIF('Pre-Harvest Plots_rpt'!$B:$B,Stand_Biomass!$B7,'Pre-Harvest Plots_rpt'!AA:AA)/$D7)</f>
        <v/>
      </c>
      <c r="AD7" s="297" t="str">
        <f>IF($B7="","",SUMIF('Pre-Harvest Plots_rpt'!$B:$B,Stand_Biomass!$B7,'Pre-Harvest Plots_rpt'!AB:AB)/$D7)</f>
        <v/>
      </c>
      <c r="AE7" s="377" t="str">
        <f>IF(Stand_Biomass!AD7= "", "", Stand_Biomass!AD7/2)</f>
        <v/>
      </c>
      <c r="AF7" s="377" t="str">
        <f t="shared" si="3"/>
        <v/>
      </c>
      <c r="AG7" s="510" t="str">
        <f>IF(AE7="","",AE7*Stand!$G6)</f>
        <v/>
      </c>
      <c r="AH7" s="511" t="str">
        <f>IF(AF7="","",AF7*Stand!$G6)</f>
        <v/>
      </c>
      <c r="AK7" s="271"/>
      <c r="AL7" s="61"/>
      <c r="AP7" s="271"/>
    </row>
    <row r="8" spans="2:43" x14ac:dyDescent="0.25">
      <c r="B8" s="171" t="str">
        <f>IF(Stand!C7="","",Stand!C7)</f>
        <v/>
      </c>
      <c r="C8" s="364" t="str">
        <f>IF(Stand!G7="","",Stand!G7)</f>
        <v/>
      </c>
      <c r="D8" s="187" t="str">
        <f>IF($B8="","",VLOOKUP(B8,Stand!C:H,6,0))</f>
        <v/>
      </c>
      <c r="E8" s="130"/>
      <c r="F8" s="189" t="str">
        <f>IF($B8="","",SUMIF('Pre-Harvest Plots_rpt'!$B:$B,Stand_Biomass!$B8,'Pre-Harvest Plots_rpt'!$F:$F)/$D8)</f>
        <v/>
      </c>
      <c r="G8" s="122" t="str">
        <f>IF($B8="","",SUMIF('Pre-Harvest Plots_rpt'!$B:$B,Stand_Biomass!$B8,'Pre-Harvest Plots_rpt'!$G:$G)/$D8)</f>
        <v/>
      </c>
      <c r="H8" s="122" t="str">
        <f>IF($B8="","",SUMIF('Pre-Harvest Plots_rpt'!$B:$B,Stand_Biomass!$B8,'Pre-Harvest Plots_rpt'!$H:$H)/$D8)</f>
        <v/>
      </c>
      <c r="I8" s="121" t="str">
        <f>IF($B8="","",SUMIF('Pre-Harvest Plots_rpt'!$B:$B,Stand_Biomass!$B8,'Pre-Harvest Plots_rpt'!$I:$I)/$D8)</f>
        <v/>
      </c>
      <c r="J8" s="121" t="str">
        <f>IF($B8="","",SUMIF('Pre-Harvest Plots_rpt'!$B:$B,Stand_Biomass!$B8,'Pre-Harvest Plots_rpt'!$J:$J)/COUNTIFS('Pre-Harvest Plots_rpt'!$B:$B,Stand_Biomass!$B8,'Pre-Harvest Plots_rpt'!$J:$J,"&gt;"&amp;0))</f>
        <v/>
      </c>
      <c r="K8" s="121" t="str">
        <f>IF($B8="","",SUMIF('Pre-Harvest Plots_rpt'!$B:$B,Stand_Biomass!$B8,'Pre-Harvest Plots_rpt'!$K:$K)/$D8)</f>
        <v/>
      </c>
      <c r="L8" s="154" t="str">
        <f t="shared" si="1"/>
        <v/>
      </c>
      <c r="M8" s="135"/>
      <c r="N8" s="502" t="str">
        <f>IF(Stand_Biomass!M8 = "", "",#REF!/ 2)</f>
        <v/>
      </c>
      <c r="O8" s="372" t="str">
        <f t="shared" si="2"/>
        <v/>
      </c>
      <c r="P8" s="354" t="str">
        <f>IF(Stand_Biomass!N8 = "", "", Stand_Biomass!N8/2)</f>
        <v/>
      </c>
      <c r="Q8" s="354" t="str">
        <f>IF(Stand_Biomass!O8 = "", "", Stand_Biomass!O8/2)</f>
        <v/>
      </c>
      <c r="R8" s="354" t="str">
        <f>IF(Stand_Biomass!P8 = "", "", Stand_Biomass!P8/2)</f>
        <v/>
      </c>
      <c r="S8" s="354" t="str">
        <f>IF(Stand_Biomass!Q8 = "", "", Stand_Biomass!Q8/2)</f>
        <v/>
      </c>
      <c r="T8" s="354" t="str">
        <f>IF(Stand_Biomass!R8 = "", "", Stand_Biomass!R8/2)</f>
        <v/>
      </c>
      <c r="U8" s="354" t="str">
        <f>IF(Stand_Biomass!S8 = "", "", Stand_Biomass!S8/2)</f>
        <v/>
      </c>
      <c r="V8" s="354" t="str">
        <f>IF(Stand_Biomass!T8 = "", "", Stand_Biomass!T8/2)</f>
        <v/>
      </c>
      <c r="W8" s="354" t="str">
        <f>IF(Stand_Biomass!U8 = "", "", Stand_Biomass!U8/2)</f>
        <v/>
      </c>
      <c r="X8" s="354" t="str">
        <f>IF(Stand_Biomass!V8 = "", "", Stand_Biomass!V8/2)</f>
        <v/>
      </c>
      <c r="Y8" s="504" t="str">
        <f>IF(N8="","",N8*Stand!$G7)</f>
        <v/>
      </c>
      <c r="Z8" s="505" t="str">
        <f>IF(O8="","",O8*Stand!$G7)</f>
        <v/>
      </c>
      <c r="AA8" s="130"/>
      <c r="AB8" s="152" t="str">
        <f>IF($B8="","",SUMIF('Pre-Harvest Plots_rpt'!$B:$B,Stand_Biomass!$B8,'Pre-Harvest Plots_rpt'!Z:Z)/$D8)</f>
        <v/>
      </c>
      <c r="AC8" s="297" t="str">
        <f>IF($B8="","",SUMIF('Pre-Harvest Plots_rpt'!$B:$B,Stand_Biomass!$B8,'Pre-Harvest Plots_rpt'!AA:AA)/$D8)</f>
        <v/>
      </c>
      <c r="AD8" s="297" t="str">
        <f>IF($B8="","",SUMIF('Pre-Harvest Plots_rpt'!$B:$B,Stand_Biomass!$B8,'Pre-Harvest Plots_rpt'!AB:AB)/$D8)</f>
        <v/>
      </c>
      <c r="AE8" s="377" t="str">
        <f>IF(Stand_Biomass!AD8= "", "", Stand_Biomass!AD8/2)</f>
        <v/>
      </c>
      <c r="AF8" s="377" t="str">
        <f t="shared" si="3"/>
        <v/>
      </c>
      <c r="AG8" s="510" t="str">
        <f>IF(AE8="","",AE8*Stand!$G7)</f>
        <v/>
      </c>
      <c r="AH8" s="511" t="str">
        <f>IF(AF8="","",AF8*Stand!$G7)</f>
        <v/>
      </c>
      <c r="AK8" s="271"/>
      <c r="AL8" s="61"/>
      <c r="AP8" s="271"/>
    </row>
    <row r="9" spans="2:43" x14ac:dyDescent="0.25">
      <c r="B9" s="171" t="str">
        <f>IF(Stand!C8="","",Stand!C8)</f>
        <v/>
      </c>
      <c r="C9" s="364" t="str">
        <f>IF(Stand!G8="","",Stand!G8)</f>
        <v/>
      </c>
      <c r="D9" s="187" t="str">
        <f>IF($B9="","",VLOOKUP(B9,Stand!C:H,6,0))</f>
        <v/>
      </c>
      <c r="E9" s="130"/>
      <c r="F9" s="189" t="str">
        <f>IF($B9="","",SUMIF('Pre-Harvest Plots_rpt'!$B:$B,Stand_Biomass!$B9,'Pre-Harvest Plots_rpt'!$F:$F)/$D9)</f>
        <v/>
      </c>
      <c r="G9" s="122" t="str">
        <f>IF($B9="","",SUMIF('Pre-Harvest Plots_rpt'!$B:$B,Stand_Biomass!$B9,'Pre-Harvest Plots_rpt'!$G:$G)/$D9)</f>
        <v/>
      </c>
      <c r="H9" s="122" t="str">
        <f>IF($B9="","",SUMIF('Pre-Harvest Plots_rpt'!$B:$B,Stand_Biomass!$B9,'Pre-Harvest Plots_rpt'!$H:$H)/$D9)</f>
        <v/>
      </c>
      <c r="I9" s="121" t="str">
        <f>IF($B9="","",SUMIF('Pre-Harvest Plots_rpt'!$B:$B,Stand_Biomass!$B9,'Pre-Harvest Plots_rpt'!$I:$I)/$D9)</f>
        <v/>
      </c>
      <c r="J9" s="121" t="str">
        <f>IF($B9="","",SUMIF('Pre-Harvest Plots_rpt'!$B:$B,Stand_Biomass!$B9,'Pre-Harvest Plots_rpt'!$J:$J)/COUNTIFS('Pre-Harvest Plots_rpt'!$B:$B,Stand_Biomass!$B9,'Pre-Harvest Plots_rpt'!$J:$J,"&gt;"&amp;0))</f>
        <v/>
      </c>
      <c r="K9" s="121" t="str">
        <f>IF($B9="","",SUMIF('Pre-Harvest Plots_rpt'!$B:$B,Stand_Biomass!$B9,'Pre-Harvest Plots_rpt'!$K:$K)/$D9)</f>
        <v/>
      </c>
      <c r="L9" s="154" t="str">
        <f t="shared" si="1"/>
        <v/>
      </c>
      <c r="M9" s="135"/>
      <c r="N9" s="502" t="str">
        <f>IF(Stand_Biomass!M9 = "", "",#REF!/ 2)</f>
        <v/>
      </c>
      <c r="O9" s="372" t="str">
        <f t="shared" si="2"/>
        <v/>
      </c>
      <c r="P9" s="354" t="str">
        <f>IF(Stand_Biomass!N9 = "", "", Stand_Biomass!N9/2)</f>
        <v/>
      </c>
      <c r="Q9" s="354" t="str">
        <f>IF(Stand_Biomass!O9 = "", "", Stand_Biomass!O9/2)</f>
        <v/>
      </c>
      <c r="R9" s="354" t="str">
        <f>IF(Stand_Biomass!P9 = "", "", Stand_Biomass!P9/2)</f>
        <v/>
      </c>
      <c r="S9" s="354" t="str">
        <f>IF(Stand_Biomass!Q9 = "", "", Stand_Biomass!Q9/2)</f>
        <v/>
      </c>
      <c r="T9" s="354" t="str">
        <f>IF(Stand_Biomass!R9 = "", "", Stand_Biomass!R9/2)</f>
        <v/>
      </c>
      <c r="U9" s="354" t="str">
        <f>IF(Stand_Biomass!S9 = "", "", Stand_Biomass!S9/2)</f>
        <v/>
      </c>
      <c r="V9" s="354" t="str">
        <f>IF(Stand_Biomass!T9 = "", "", Stand_Biomass!T9/2)</f>
        <v/>
      </c>
      <c r="W9" s="354" t="str">
        <f>IF(Stand_Biomass!U9 = "", "", Stand_Biomass!U9/2)</f>
        <v/>
      </c>
      <c r="X9" s="354" t="str">
        <f>IF(Stand_Biomass!V9 = "", "", Stand_Biomass!V9/2)</f>
        <v/>
      </c>
      <c r="Y9" s="504" t="str">
        <f>IF(N9="","",N9*Stand!$G8)</f>
        <v/>
      </c>
      <c r="Z9" s="505" t="str">
        <f>IF(O9="","",O9*Stand!$G8)</f>
        <v/>
      </c>
      <c r="AA9" s="130"/>
      <c r="AB9" s="152" t="str">
        <f>IF($B9="","",SUMIF('Pre-Harvest Plots_rpt'!$B:$B,Stand_Biomass!$B9,'Pre-Harvest Plots_rpt'!Z:Z)/$D9)</f>
        <v/>
      </c>
      <c r="AC9" s="297" t="str">
        <f>IF($B9="","",SUMIF('Pre-Harvest Plots_rpt'!$B:$B,Stand_Biomass!$B9,'Pre-Harvest Plots_rpt'!AA:AA)/$D9)</f>
        <v/>
      </c>
      <c r="AD9" s="297" t="str">
        <f>IF($B9="","",SUMIF('Pre-Harvest Plots_rpt'!$B:$B,Stand_Biomass!$B9,'Pre-Harvest Plots_rpt'!AB:AB)/$D9)</f>
        <v/>
      </c>
      <c r="AE9" s="377" t="str">
        <f>IF(Stand_Biomass!AD9= "", "", Stand_Biomass!AD9/2)</f>
        <v/>
      </c>
      <c r="AF9" s="377" t="str">
        <f t="shared" si="3"/>
        <v/>
      </c>
      <c r="AG9" s="510" t="str">
        <f>IF(AE9="","",AE9*Stand!$G8)</f>
        <v/>
      </c>
      <c r="AH9" s="511" t="str">
        <f>IF(AF9="","",AF9*Stand!$G8)</f>
        <v/>
      </c>
      <c r="AK9" s="271"/>
      <c r="AL9" s="61"/>
      <c r="AP9" s="271"/>
    </row>
    <row r="10" spans="2:43" x14ac:dyDescent="0.25">
      <c r="B10" s="171" t="str">
        <f>IF(Stand!C9="","",Stand!C9)</f>
        <v/>
      </c>
      <c r="C10" s="364" t="str">
        <f>IF(Stand!G9="","",Stand!G9)</f>
        <v/>
      </c>
      <c r="D10" s="187" t="str">
        <f>IF($B10="","",VLOOKUP(B10,Stand!C:H,6,0))</f>
        <v/>
      </c>
      <c r="E10" s="130"/>
      <c r="F10" s="189" t="str">
        <f>IF($B10="","",SUMIF('Pre-Harvest Plots_rpt'!$B:$B,Stand_Biomass!$B10,'Pre-Harvest Plots_rpt'!$F:$F)/$D10)</f>
        <v/>
      </c>
      <c r="G10" s="122" t="str">
        <f>IF($B10="","",SUMIF('Pre-Harvest Plots_rpt'!$B:$B,Stand_Biomass!$B10,'Pre-Harvest Plots_rpt'!$G:$G)/$D10)</f>
        <v/>
      </c>
      <c r="H10" s="122" t="str">
        <f>IF($B10="","",SUMIF('Pre-Harvest Plots_rpt'!$B:$B,Stand_Biomass!$B10,'Pre-Harvest Plots_rpt'!$H:$H)/$D10)</f>
        <v/>
      </c>
      <c r="I10" s="121" t="str">
        <f>IF($B10="","",SUMIF('Pre-Harvest Plots_rpt'!$B:$B,Stand_Biomass!$B10,'Pre-Harvest Plots_rpt'!$I:$I)/$D10)</f>
        <v/>
      </c>
      <c r="J10" s="121" t="str">
        <f>IF($B10="","",SUMIF('Pre-Harvest Plots_rpt'!$B:$B,Stand_Biomass!$B10,'Pre-Harvest Plots_rpt'!$J:$J)/COUNTIFS('Pre-Harvest Plots_rpt'!$B:$B,Stand_Biomass!$B10,'Pre-Harvest Plots_rpt'!$J:$J,"&gt;"&amp;0))</f>
        <v/>
      </c>
      <c r="K10" s="121" t="str">
        <f>IF($B10="","",SUMIF('Pre-Harvest Plots_rpt'!$B:$B,Stand_Biomass!$B10,'Pre-Harvest Plots_rpt'!$K:$K)/$D10)</f>
        <v/>
      </c>
      <c r="L10" s="154" t="str">
        <f t="shared" si="1"/>
        <v/>
      </c>
      <c r="M10" s="135"/>
      <c r="N10" s="502" t="str">
        <f>IF(Stand_Biomass!M10 = "", "",#REF!/ 2)</f>
        <v/>
      </c>
      <c r="O10" s="372" t="str">
        <f t="shared" si="2"/>
        <v/>
      </c>
      <c r="P10" s="354" t="str">
        <f>IF(Stand_Biomass!N10 = "", "", Stand_Biomass!N10/2)</f>
        <v/>
      </c>
      <c r="Q10" s="354" t="str">
        <f>IF(Stand_Biomass!O10 = "", "", Stand_Biomass!O10/2)</f>
        <v/>
      </c>
      <c r="R10" s="354" t="str">
        <f>IF(Stand_Biomass!P10 = "", "", Stand_Biomass!P10/2)</f>
        <v/>
      </c>
      <c r="S10" s="354" t="str">
        <f>IF(Stand_Biomass!Q10 = "", "", Stand_Biomass!Q10/2)</f>
        <v/>
      </c>
      <c r="T10" s="354" t="str">
        <f>IF(Stand_Biomass!R10 = "", "", Stand_Biomass!R10/2)</f>
        <v/>
      </c>
      <c r="U10" s="354" t="str">
        <f>IF(Stand_Biomass!S10 = "", "", Stand_Biomass!S10/2)</f>
        <v/>
      </c>
      <c r="V10" s="354" t="str">
        <f>IF(Stand_Biomass!T10 = "", "", Stand_Biomass!T10/2)</f>
        <v/>
      </c>
      <c r="W10" s="354" t="str">
        <f>IF(Stand_Biomass!U10 = "", "", Stand_Biomass!U10/2)</f>
        <v/>
      </c>
      <c r="X10" s="354" t="str">
        <f>IF(Stand_Biomass!V10 = "", "", Stand_Biomass!V10/2)</f>
        <v/>
      </c>
      <c r="Y10" s="504" t="str">
        <f>IF(N10="","",N10*Stand!$G9)</f>
        <v/>
      </c>
      <c r="Z10" s="505" t="str">
        <f>IF(O10="","",O10*Stand!$G9)</f>
        <v/>
      </c>
      <c r="AA10" s="130"/>
      <c r="AB10" s="152" t="str">
        <f>IF($B10="","",SUMIF('Pre-Harvest Plots_rpt'!$B:$B,Stand_Biomass!$B10,'Pre-Harvest Plots_rpt'!Z:Z)/$D10)</f>
        <v/>
      </c>
      <c r="AC10" s="297" t="str">
        <f>IF($B10="","",SUMIF('Pre-Harvest Plots_rpt'!$B:$B,Stand_Biomass!$B10,'Pre-Harvest Plots_rpt'!AA:AA)/$D10)</f>
        <v/>
      </c>
      <c r="AD10" s="297" t="str">
        <f>IF($B10="","",SUMIF('Pre-Harvest Plots_rpt'!$B:$B,Stand_Biomass!$B10,'Pre-Harvest Plots_rpt'!AB:AB)/$D10)</f>
        <v/>
      </c>
      <c r="AE10" s="377" t="str">
        <f>IF(Stand_Biomass!AD10= "", "", Stand_Biomass!AD10/2)</f>
        <v/>
      </c>
      <c r="AF10" s="377" t="str">
        <f t="shared" si="3"/>
        <v/>
      </c>
      <c r="AG10" s="510" t="str">
        <f>IF(AE10="","",AE10*Stand!$G9)</f>
        <v/>
      </c>
      <c r="AH10" s="511" t="str">
        <f>IF(AF10="","",AF10*Stand!$G9)</f>
        <v/>
      </c>
      <c r="AK10" s="271"/>
      <c r="AL10" s="61"/>
      <c r="AP10" s="271"/>
    </row>
    <row r="11" spans="2:43" x14ac:dyDescent="0.25">
      <c r="B11" s="171" t="str">
        <f>IF(Stand!C10="","",Stand!C10)</f>
        <v/>
      </c>
      <c r="C11" s="364" t="str">
        <f>IF(Stand!G10="","",Stand!G10)</f>
        <v/>
      </c>
      <c r="D11" s="187" t="str">
        <f>IF($B11="","",VLOOKUP(B11,Stand!C:H,6,0))</f>
        <v/>
      </c>
      <c r="E11" s="130"/>
      <c r="F11" s="189" t="str">
        <f>IF($B11="","",SUMIF('Pre-Harvest Plots_rpt'!$B:$B,Stand_Biomass!$B11,'Pre-Harvest Plots_rpt'!$F:$F)/$D11)</f>
        <v/>
      </c>
      <c r="G11" s="122" t="str">
        <f>IF($B11="","",SUMIF('Pre-Harvest Plots_rpt'!$B:$B,Stand_Biomass!$B11,'Pre-Harvest Plots_rpt'!$G:$G)/$D11)</f>
        <v/>
      </c>
      <c r="H11" s="122" t="str">
        <f>IF($B11="","",SUMIF('Pre-Harvest Plots_rpt'!$B:$B,Stand_Biomass!$B11,'Pre-Harvest Plots_rpt'!$H:$H)/$D11)</f>
        <v/>
      </c>
      <c r="I11" s="121" t="str">
        <f>IF($B11="","",SUMIF('Pre-Harvest Plots_rpt'!$B:$B,Stand_Biomass!$B11,'Pre-Harvest Plots_rpt'!$I:$I)/$D11)</f>
        <v/>
      </c>
      <c r="J11" s="121" t="str">
        <f>IF($B11="","",SUMIF('Pre-Harvest Plots_rpt'!$B:$B,Stand_Biomass!$B11,'Pre-Harvest Plots_rpt'!$J:$J)/COUNTIFS('Pre-Harvest Plots_rpt'!$B:$B,Stand_Biomass!$B11,'Pre-Harvest Plots_rpt'!$J:$J,"&gt;"&amp;0))</f>
        <v/>
      </c>
      <c r="K11" s="121" t="str">
        <f>IF($B11="","",SUMIF('Pre-Harvest Plots_rpt'!$B:$B,Stand_Biomass!$B11,'Pre-Harvest Plots_rpt'!$K:$K)/$D11)</f>
        <v/>
      </c>
      <c r="L11" s="154" t="str">
        <f t="shared" si="1"/>
        <v/>
      </c>
      <c r="M11" s="135"/>
      <c r="N11" s="502" t="str">
        <f>IF(Stand_Biomass!M11 = "", "",#REF!/ 2)</f>
        <v/>
      </c>
      <c r="O11" s="372" t="str">
        <f t="shared" si="2"/>
        <v/>
      </c>
      <c r="P11" s="354" t="str">
        <f>IF(Stand_Biomass!N11 = "", "", Stand_Biomass!N11/2)</f>
        <v/>
      </c>
      <c r="Q11" s="354" t="str">
        <f>IF(Stand_Biomass!O11 = "", "", Stand_Biomass!O11/2)</f>
        <v/>
      </c>
      <c r="R11" s="354" t="str">
        <f>IF(Stand_Biomass!P11 = "", "", Stand_Biomass!P11/2)</f>
        <v/>
      </c>
      <c r="S11" s="354" t="str">
        <f>IF(Stand_Biomass!Q11 = "", "", Stand_Biomass!Q11/2)</f>
        <v/>
      </c>
      <c r="T11" s="354" t="str">
        <f>IF(Stand_Biomass!R11 = "", "", Stand_Biomass!R11/2)</f>
        <v/>
      </c>
      <c r="U11" s="354" t="str">
        <f>IF(Stand_Biomass!S11 = "", "", Stand_Biomass!S11/2)</f>
        <v/>
      </c>
      <c r="V11" s="354" t="str">
        <f>IF(Stand_Biomass!T11 = "", "", Stand_Biomass!T11/2)</f>
        <v/>
      </c>
      <c r="W11" s="354" t="str">
        <f>IF(Stand_Biomass!U11 = "", "", Stand_Biomass!U11/2)</f>
        <v/>
      </c>
      <c r="X11" s="354" t="str">
        <f>IF(Stand_Biomass!V11 = "", "", Stand_Biomass!V11/2)</f>
        <v/>
      </c>
      <c r="Y11" s="504" t="str">
        <f>IF(N11="","",N11*Stand!$G10)</f>
        <v/>
      </c>
      <c r="Z11" s="505" t="str">
        <f>IF(O11="","",O11*Stand!$G10)</f>
        <v/>
      </c>
      <c r="AA11" s="130"/>
      <c r="AB11" s="152" t="str">
        <f>IF($B11="","",SUMIF('Pre-Harvest Plots_rpt'!$B:$B,Stand_Biomass!$B11,'Pre-Harvest Plots_rpt'!Z:Z)/$D11)</f>
        <v/>
      </c>
      <c r="AC11" s="297" t="str">
        <f>IF($B11="","",SUMIF('Pre-Harvest Plots_rpt'!$B:$B,Stand_Biomass!$B11,'Pre-Harvest Plots_rpt'!AA:AA)/$D11)</f>
        <v/>
      </c>
      <c r="AD11" s="297" t="str">
        <f>IF($B11="","",SUMIF('Pre-Harvest Plots_rpt'!$B:$B,Stand_Biomass!$B11,'Pre-Harvest Plots_rpt'!AB:AB)/$D11)</f>
        <v/>
      </c>
      <c r="AE11" s="377" t="str">
        <f>IF(Stand_Biomass!AD11= "", "", Stand_Biomass!AD11/2)</f>
        <v/>
      </c>
      <c r="AF11" s="377" t="str">
        <f t="shared" si="3"/>
        <v/>
      </c>
      <c r="AG11" s="510" t="str">
        <f>IF(AE11="","",AE11*Stand!$G10)</f>
        <v/>
      </c>
      <c r="AH11" s="511" t="str">
        <f>IF(AF11="","",AF11*Stand!$G10)</f>
        <v/>
      </c>
      <c r="AK11" s="271"/>
      <c r="AL11" s="61"/>
      <c r="AP11" s="271"/>
    </row>
    <row r="12" spans="2:43" x14ac:dyDescent="0.25">
      <c r="B12" s="171" t="str">
        <f>IF(Stand!C11="","",Stand!C11)</f>
        <v/>
      </c>
      <c r="C12" s="364" t="str">
        <f>IF(Stand!G11="","",Stand!G11)</f>
        <v/>
      </c>
      <c r="D12" s="187" t="str">
        <f>IF($B12="","",VLOOKUP(B12,Stand!C:H,6,0))</f>
        <v/>
      </c>
      <c r="E12" s="130"/>
      <c r="F12" s="189" t="str">
        <f>IF($B12="","",SUMIF('Pre-Harvest Plots_rpt'!$B:$B,Stand_Biomass!$B12,'Pre-Harvest Plots_rpt'!$F:$F)/$D12)</f>
        <v/>
      </c>
      <c r="G12" s="122" t="str">
        <f>IF($B12="","",SUMIF('Pre-Harvest Plots_rpt'!$B:$B,Stand_Biomass!$B12,'Pre-Harvest Plots_rpt'!$G:$G)/$D12)</f>
        <v/>
      </c>
      <c r="H12" s="122" t="str">
        <f>IF($B12="","",SUMIF('Pre-Harvest Plots_rpt'!$B:$B,Stand_Biomass!$B12,'Pre-Harvest Plots_rpt'!$H:$H)/$D12)</f>
        <v/>
      </c>
      <c r="I12" s="121" t="str">
        <f>IF($B12="","",SUMIF('Pre-Harvest Plots_rpt'!$B:$B,Stand_Biomass!$B12,'Pre-Harvest Plots_rpt'!$I:$I)/$D12)</f>
        <v/>
      </c>
      <c r="J12" s="121" t="str">
        <f>IF($B12="","",SUMIF('Pre-Harvest Plots_rpt'!$B:$B,Stand_Biomass!$B12,'Pre-Harvest Plots_rpt'!$J:$J)/COUNTIFS('Pre-Harvest Plots_rpt'!$B:$B,Stand_Biomass!$B12,'Pre-Harvest Plots_rpt'!$J:$J,"&gt;"&amp;0))</f>
        <v/>
      </c>
      <c r="K12" s="121" t="str">
        <f>IF($B12="","",SUMIF('Pre-Harvest Plots_rpt'!$B:$B,Stand_Biomass!$B12,'Pre-Harvest Plots_rpt'!$K:$K)/$D12)</f>
        <v/>
      </c>
      <c r="L12" s="154" t="str">
        <f t="shared" si="1"/>
        <v/>
      </c>
      <c r="M12" s="135"/>
      <c r="N12" s="502" t="str">
        <f>IF(Stand_Biomass!M12 = "", "",#REF!/ 2)</f>
        <v/>
      </c>
      <c r="O12" s="372" t="str">
        <f t="shared" si="2"/>
        <v/>
      </c>
      <c r="P12" s="354" t="str">
        <f>IF(Stand_Biomass!N12 = "", "", Stand_Biomass!N12/2)</f>
        <v/>
      </c>
      <c r="Q12" s="354" t="str">
        <f>IF(Stand_Biomass!O12 = "", "", Stand_Biomass!O12/2)</f>
        <v/>
      </c>
      <c r="R12" s="354" t="str">
        <f>IF(Stand_Biomass!P12 = "", "", Stand_Biomass!P12/2)</f>
        <v/>
      </c>
      <c r="S12" s="354" t="str">
        <f>IF(Stand_Biomass!Q12 = "", "", Stand_Biomass!Q12/2)</f>
        <v/>
      </c>
      <c r="T12" s="354" t="str">
        <f>IF(Stand_Biomass!R12 = "", "", Stand_Biomass!R12/2)</f>
        <v/>
      </c>
      <c r="U12" s="354" t="str">
        <f>IF(Stand_Biomass!S12 = "", "", Stand_Biomass!S12/2)</f>
        <v/>
      </c>
      <c r="V12" s="354" t="str">
        <f>IF(Stand_Biomass!T12 = "", "", Stand_Biomass!T12/2)</f>
        <v/>
      </c>
      <c r="W12" s="354" t="str">
        <f>IF(Stand_Biomass!U12 = "", "", Stand_Biomass!U12/2)</f>
        <v/>
      </c>
      <c r="X12" s="354" t="str">
        <f>IF(Stand_Biomass!V12 = "", "", Stand_Biomass!V12/2)</f>
        <v/>
      </c>
      <c r="Y12" s="504" t="str">
        <f>IF(N12="","",N12*Stand!$G11)</f>
        <v/>
      </c>
      <c r="Z12" s="505" t="str">
        <f>IF(O12="","",O12*Stand!$G11)</f>
        <v/>
      </c>
      <c r="AA12" s="130"/>
      <c r="AB12" s="152" t="str">
        <f>IF($B12="","",SUMIF('Pre-Harvest Plots_rpt'!$B:$B,Stand_Biomass!$B12,'Pre-Harvest Plots_rpt'!Z:Z)/$D12)</f>
        <v/>
      </c>
      <c r="AC12" s="297" t="str">
        <f>IF($B12="","",SUMIF('Pre-Harvest Plots_rpt'!$B:$B,Stand_Biomass!$B12,'Pre-Harvest Plots_rpt'!AA:AA)/$D12)</f>
        <v/>
      </c>
      <c r="AD12" s="297" t="str">
        <f>IF($B12="","",SUMIF('Pre-Harvest Plots_rpt'!$B:$B,Stand_Biomass!$B12,'Pre-Harvest Plots_rpt'!AB:AB)/$D12)</f>
        <v/>
      </c>
      <c r="AE12" s="377" t="str">
        <f>IF(Stand_Biomass!AD12= "", "", Stand_Biomass!AD12/2)</f>
        <v/>
      </c>
      <c r="AF12" s="377" t="str">
        <f t="shared" si="3"/>
        <v/>
      </c>
      <c r="AG12" s="510" t="str">
        <f>IF(AE12="","",AE12*Stand!$G11)</f>
        <v/>
      </c>
      <c r="AH12" s="511" t="str">
        <f>IF(AF12="","",AF12*Stand!$G11)</f>
        <v/>
      </c>
      <c r="AK12" s="271"/>
      <c r="AL12" s="61"/>
      <c r="AP12" s="271"/>
    </row>
    <row r="13" spans="2:43" x14ac:dyDescent="0.25">
      <c r="B13" s="171" t="str">
        <f>IF(Stand!C12="","",Stand!C12)</f>
        <v/>
      </c>
      <c r="C13" s="364" t="str">
        <f>IF(Stand!G12="","",Stand!G12)</f>
        <v/>
      </c>
      <c r="D13" s="187" t="str">
        <f>IF($B13="","",VLOOKUP(B13,Stand!C:H,6,0))</f>
        <v/>
      </c>
      <c r="E13" s="130"/>
      <c r="F13" s="189" t="str">
        <f>IF($B13="","",SUMIF('Pre-Harvest Plots_rpt'!$B:$B,Stand_Biomass!$B13,'Pre-Harvest Plots_rpt'!$F:$F)/$D13)</f>
        <v/>
      </c>
      <c r="G13" s="122" t="str">
        <f>IF($B13="","",SUMIF('Pre-Harvest Plots_rpt'!$B:$B,Stand_Biomass!$B13,'Pre-Harvest Plots_rpt'!$G:$G)/$D13)</f>
        <v/>
      </c>
      <c r="H13" s="122" t="str">
        <f>IF($B13="","",SUMIF('Pre-Harvest Plots_rpt'!$B:$B,Stand_Biomass!$B13,'Pre-Harvest Plots_rpt'!$H:$H)/$D13)</f>
        <v/>
      </c>
      <c r="I13" s="121" t="str">
        <f>IF($B13="","",SUMIF('Pre-Harvest Plots_rpt'!$B:$B,Stand_Biomass!$B13,'Pre-Harvest Plots_rpt'!$I:$I)/$D13)</f>
        <v/>
      </c>
      <c r="J13" s="121" t="str">
        <f>IF($B13="","",SUMIF('Pre-Harvest Plots_rpt'!$B:$B,Stand_Biomass!$B13,'Pre-Harvest Plots_rpt'!$J:$J)/COUNTIFS('Pre-Harvest Plots_rpt'!$B:$B,Stand_Biomass!$B13,'Pre-Harvest Plots_rpt'!$J:$J,"&gt;"&amp;0))</f>
        <v/>
      </c>
      <c r="K13" s="121" t="str">
        <f>IF($B13="","",SUMIF('Pre-Harvest Plots_rpt'!$B:$B,Stand_Biomass!$B13,'Pre-Harvest Plots_rpt'!$K:$K)/$D13)</f>
        <v/>
      </c>
      <c r="L13" s="154" t="str">
        <f t="shared" si="1"/>
        <v/>
      </c>
      <c r="M13" s="135"/>
      <c r="N13" s="502" t="str">
        <f>IF(Stand_Biomass!M13 = "", "",#REF!/ 2)</f>
        <v/>
      </c>
      <c r="O13" s="372" t="str">
        <f t="shared" si="2"/>
        <v/>
      </c>
      <c r="P13" s="354" t="str">
        <f>IF(Stand_Biomass!N13 = "", "", Stand_Biomass!N13/2)</f>
        <v/>
      </c>
      <c r="Q13" s="354" t="str">
        <f>IF(Stand_Biomass!O13 = "", "", Stand_Biomass!O13/2)</f>
        <v/>
      </c>
      <c r="R13" s="354" t="str">
        <f>IF(Stand_Biomass!P13 = "", "", Stand_Biomass!P13/2)</f>
        <v/>
      </c>
      <c r="S13" s="354" t="str">
        <f>IF(Stand_Biomass!Q13 = "", "", Stand_Biomass!Q13/2)</f>
        <v/>
      </c>
      <c r="T13" s="354" t="str">
        <f>IF(Stand_Biomass!R13 = "", "", Stand_Biomass!R13/2)</f>
        <v/>
      </c>
      <c r="U13" s="354" t="str">
        <f>IF(Stand_Biomass!S13 = "", "", Stand_Biomass!S13/2)</f>
        <v/>
      </c>
      <c r="V13" s="354" t="str">
        <f>IF(Stand_Biomass!T13 = "", "", Stand_Biomass!T13/2)</f>
        <v/>
      </c>
      <c r="W13" s="354" t="str">
        <f>IF(Stand_Biomass!U13 = "", "", Stand_Biomass!U13/2)</f>
        <v/>
      </c>
      <c r="X13" s="354" t="str">
        <f>IF(Stand_Biomass!V13 = "", "", Stand_Biomass!V13/2)</f>
        <v/>
      </c>
      <c r="Y13" s="504" t="str">
        <f>IF(N13="","",N13*Stand!$G12)</f>
        <v/>
      </c>
      <c r="Z13" s="505" t="str">
        <f>IF(O13="","",O13*Stand!$G12)</f>
        <v/>
      </c>
      <c r="AA13" s="130"/>
      <c r="AB13" s="152" t="str">
        <f>IF($B13="","",SUMIF('Pre-Harvest Plots_rpt'!$B:$B,Stand_Biomass!$B13,'Pre-Harvest Plots_rpt'!Z:Z)/$D13)</f>
        <v/>
      </c>
      <c r="AC13" s="297" t="str">
        <f>IF($B13="","",SUMIF('Pre-Harvest Plots_rpt'!$B:$B,Stand_Biomass!$B13,'Pre-Harvest Plots_rpt'!AA:AA)/$D13)</f>
        <v/>
      </c>
      <c r="AD13" s="297" t="str">
        <f>IF($B13="","",SUMIF('Pre-Harvest Plots_rpt'!$B:$B,Stand_Biomass!$B13,'Pre-Harvest Plots_rpt'!AB:AB)/$D13)</f>
        <v/>
      </c>
      <c r="AE13" s="377" t="str">
        <f>IF(Stand_Biomass!AD13= "", "", Stand_Biomass!AD13/2)</f>
        <v/>
      </c>
      <c r="AF13" s="377" t="str">
        <f t="shared" si="3"/>
        <v/>
      </c>
      <c r="AG13" s="510" t="str">
        <f>IF(AE13="","",AE13*Stand!$G12)</f>
        <v/>
      </c>
      <c r="AH13" s="511" t="str">
        <f>IF(AF13="","",AF13*Stand!$G12)</f>
        <v/>
      </c>
      <c r="AK13" s="271"/>
      <c r="AL13" s="61"/>
      <c r="AP13" s="271"/>
    </row>
    <row r="14" spans="2:43" ht="13.8" x14ac:dyDescent="0.25">
      <c r="B14" s="171" t="str">
        <f>IF(Stand!C13="","",Stand!C13)</f>
        <v/>
      </c>
      <c r="C14" s="364" t="str">
        <f>IF(Stand!G13="","",Stand!G13)</f>
        <v/>
      </c>
      <c r="D14" s="187" t="str">
        <f>IF($B14="","",VLOOKUP(B14,Stand!C:H,6,0))</f>
        <v/>
      </c>
      <c r="E14" s="130"/>
      <c r="F14" s="189" t="str">
        <f>IF($B14="","",SUMIF('Pre-Harvest Plots_rpt'!$B:$B,Stand_Biomass!$B14,'Pre-Harvest Plots_rpt'!$F:$F)/$D14)</f>
        <v/>
      </c>
      <c r="G14" s="122" t="str">
        <f>IF($B14="","",SUMIF('Pre-Harvest Plots_rpt'!$B:$B,Stand_Biomass!$B14,'Pre-Harvest Plots_rpt'!$G:$G)/$D14)</f>
        <v/>
      </c>
      <c r="H14" s="122" t="str">
        <f>IF($B14="","",SUMIF('Pre-Harvest Plots_rpt'!$B:$B,Stand_Biomass!$B14,'Pre-Harvest Plots_rpt'!$H:$H)/$D14)</f>
        <v/>
      </c>
      <c r="I14" s="121" t="str">
        <f>IF($B14="","",SUMIF('Pre-Harvest Plots_rpt'!$B:$B,Stand_Biomass!$B14,'Pre-Harvest Plots_rpt'!$I:$I)/$D14)</f>
        <v/>
      </c>
      <c r="J14" s="121" t="str">
        <f>IF($B14="","",SUMIF('Pre-Harvest Plots_rpt'!$B:$B,Stand_Biomass!$B14,'Pre-Harvest Plots_rpt'!$J:$J)/COUNTIFS('Pre-Harvest Plots_rpt'!$B:$B,Stand_Biomass!$B14,'Pre-Harvest Plots_rpt'!$J:$J,"&gt;"&amp;0))</f>
        <v/>
      </c>
      <c r="K14" s="121" t="str">
        <f>IF($B14="","",SUMIF('Pre-Harvest Plots_rpt'!$B:$B,Stand_Biomass!$B14,'Pre-Harvest Plots_rpt'!$K:$K)/$D14)</f>
        <v/>
      </c>
      <c r="L14" s="154" t="str">
        <f t="shared" si="1"/>
        <v/>
      </c>
      <c r="M14" s="135"/>
      <c r="N14" s="502" t="str">
        <f>IF(Stand_Biomass!M14 = "", "",#REF!/ 2)</f>
        <v/>
      </c>
      <c r="O14" s="372" t="str">
        <f t="shared" si="2"/>
        <v/>
      </c>
      <c r="P14" s="354" t="str">
        <f>IF(Stand_Biomass!N14 = "", "", Stand_Biomass!N14/2)</f>
        <v/>
      </c>
      <c r="Q14" s="354" t="str">
        <f>IF(Stand_Biomass!O14 = "", "", Stand_Biomass!O14/2)</f>
        <v/>
      </c>
      <c r="R14" s="354" t="str">
        <f>IF(Stand_Biomass!P14 = "", "", Stand_Biomass!P14/2)</f>
        <v/>
      </c>
      <c r="S14" s="354" t="str">
        <f>IF(Stand_Biomass!Q14 = "", "", Stand_Biomass!Q14/2)</f>
        <v/>
      </c>
      <c r="T14" s="354" t="str">
        <f>IF(Stand_Biomass!R14 = "", "", Stand_Biomass!R14/2)</f>
        <v/>
      </c>
      <c r="U14" s="354" t="str">
        <f>IF(Stand_Biomass!S14 = "", "", Stand_Biomass!S14/2)</f>
        <v/>
      </c>
      <c r="V14" s="354" t="str">
        <f>IF(Stand_Biomass!T14 = "", "", Stand_Biomass!T14/2)</f>
        <v/>
      </c>
      <c r="W14" s="354" t="str">
        <f>IF(Stand_Biomass!U14 = "", "", Stand_Biomass!U14/2)</f>
        <v/>
      </c>
      <c r="X14" s="354" t="str">
        <f>IF(Stand_Biomass!V14 = "", "", Stand_Biomass!V14/2)</f>
        <v/>
      </c>
      <c r="Y14" s="504" t="str">
        <f>IF(N14="","",N14*Stand!$G13)</f>
        <v/>
      </c>
      <c r="Z14" s="505" t="str">
        <f>IF(O14="","",O14*Stand!$G13)</f>
        <v/>
      </c>
      <c r="AA14" s="130"/>
      <c r="AB14" s="152" t="str">
        <f>IF($B14="","",SUMIF('Pre-Harvest Plots_rpt'!$B:$B,Stand_Biomass!$B14,'Pre-Harvest Plots_rpt'!Z:Z)/$D14)</f>
        <v/>
      </c>
      <c r="AC14" s="297" t="str">
        <f>IF($B14="","",SUMIF('Pre-Harvest Plots_rpt'!$B:$B,Stand_Biomass!$B14,'Pre-Harvest Plots_rpt'!AA:AA)/$D14)</f>
        <v/>
      </c>
      <c r="AD14" s="297" t="str">
        <f>IF($B14="","",SUMIF('Pre-Harvest Plots_rpt'!$B:$B,Stand_Biomass!$B14,'Pre-Harvest Plots_rpt'!AB:AB)/$D14)</f>
        <v/>
      </c>
      <c r="AE14" s="377" t="str">
        <f>IF(Stand_Biomass!AD14= "", "", Stand_Biomass!AD14/2)</f>
        <v/>
      </c>
      <c r="AF14" s="377" t="str">
        <f t="shared" si="3"/>
        <v/>
      </c>
      <c r="AG14" s="510" t="str">
        <f>IF(AE14="","",AE14*Stand!$G13)</f>
        <v/>
      </c>
      <c r="AH14" s="511" t="str">
        <f>IF(AF14="","",AF14*Stand!$G13)</f>
        <v/>
      </c>
      <c r="AK14" s="271"/>
      <c r="AL14" s="66"/>
      <c r="AM14" s="66"/>
      <c r="AN14" s="66"/>
      <c r="AO14" s="66"/>
      <c r="AP14" s="271"/>
    </row>
    <row r="15" spans="2:43" x14ac:dyDescent="0.25">
      <c r="B15" s="171" t="str">
        <f>IF(Stand!C14="","",Stand!C14)</f>
        <v/>
      </c>
      <c r="C15" s="364" t="str">
        <f>IF(Stand!G14="","",Stand!G14)</f>
        <v/>
      </c>
      <c r="D15" s="187" t="str">
        <f>IF($B15="","",VLOOKUP(B15,Stand!C:H,6,0))</f>
        <v/>
      </c>
      <c r="E15" s="130"/>
      <c r="F15" s="189" t="str">
        <f>IF($B15="","",SUMIF('Pre-Harvest Plots_rpt'!$B:$B,Stand_Biomass!$B15,'Pre-Harvest Plots_rpt'!$F:$F)/$D15)</f>
        <v/>
      </c>
      <c r="G15" s="122" t="str">
        <f>IF($B15="","",SUMIF('Pre-Harvest Plots_rpt'!$B:$B,Stand_Biomass!$B15,'Pre-Harvest Plots_rpt'!$G:$G)/$D15)</f>
        <v/>
      </c>
      <c r="H15" s="122" t="str">
        <f>IF($B15="","",SUMIF('Pre-Harvest Plots_rpt'!$B:$B,Stand_Biomass!$B15,'Pre-Harvest Plots_rpt'!$H:$H)/$D15)</f>
        <v/>
      </c>
      <c r="I15" s="121" t="str">
        <f>IF($B15="","",SUMIF('Pre-Harvest Plots_rpt'!$B:$B,Stand_Biomass!$B15,'Pre-Harvest Plots_rpt'!$I:$I)/$D15)</f>
        <v/>
      </c>
      <c r="J15" s="121" t="str">
        <f>IF($B15="","",SUMIF('Pre-Harvest Plots_rpt'!$B:$B,Stand_Biomass!$B15,'Pre-Harvest Plots_rpt'!$J:$J)/COUNTIFS('Pre-Harvest Plots_rpt'!$B:$B,Stand_Biomass!$B15,'Pre-Harvest Plots_rpt'!$J:$J,"&gt;"&amp;0))</f>
        <v/>
      </c>
      <c r="K15" s="121" t="str">
        <f>IF($B15="","",SUMIF('Pre-Harvest Plots_rpt'!$B:$B,Stand_Biomass!$B15,'Pre-Harvest Plots_rpt'!$K:$K)/$D15)</f>
        <v/>
      </c>
      <c r="L15" s="154" t="str">
        <f t="shared" si="1"/>
        <v/>
      </c>
      <c r="M15" s="135"/>
      <c r="N15" s="502" t="str">
        <f>IF(Stand_Biomass!M15 = "", "",#REF!/ 2)</f>
        <v/>
      </c>
      <c r="O15" s="372" t="str">
        <f t="shared" si="2"/>
        <v/>
      </c>
      <c r="P15" s="354" t="str">
        <f>IF(Stand_Biomass!N15 = "", "", Stand_Biomass!N15/2)</f>
        <v/>
      </c>
      <c r="Q15" s="354" t="str">
        <f>IF(Stand_Biomass!O15 = "", "", Stand_Biomass!O15/2)</f>
        <v/>
      </c>
      <c r="R15" s="354" t="str">
        <f>IF(Stand_Biomass!P15 = "", "", Stand_Biomass!P15/2)</f>
        <v/>
      </c>
      <c r="S15" s="354" t="str">
        <f>IF(Stand_Biomass!Q15 = "", "", Stand_Biomass!Q15/2)</f>
        <v/>
      </c>
      <c r="T15" s="354" t="str">
        <f>IF(Stand_Biomass!R15 = "", "", Stand_Biomass!R15/2)</f>
        <v/>
      </c>
      <c r="U15" s="354" t="str">
        <f>IF(Stand_Biomass!S15 = "", "", Stand_Biomass!S15/2)</f>
        <v/>
      </c>
      <c r="V15" s="354" t="str">
        <f>IF(Stand_Biomass!T15 = "", "", Stand_Biomass!T15/2)</f>
        <v/>
      </c>
      <c r="W15" s="354" t="str">
        <f>IF(Stand_Biomass!U15 = "", "", Stand_Biomass!U15/2)</f>
        <v/>
      </c>
      <c r="X15" s="354" t="str">
        <f>IF(Stand_Biomass!V15 = "", "", Stand_Biomass!V15/2)</f>
        <v/>
      </c>
      <c r="Y15" s="504" t="str">
        <f>IF(N15="","",N15*Stand!$G14)</f>
        <v/>
      </c>
      <c r="Z15" s="505" t="str">
        <f>IF(O15="","",O15*Stand!$G14)</f>
        <v/>
      </c>
      <c r="AA15" s="130"/>
      <c r="AB15" s="152" t="str">
        <f>IF($B15="","",SUMIF('Pre-Harvest Plots_rpt'!$B:$B,Stand_Biomass!$B15,'Pre-Harvest Plots_rpt'!Z:Z)/$D15)</f>
        <v/>
      </c>
      <c r="AC15" s="297" t="str">
        <f>IF($B15="","",SUMIF('Pre-Harvest Plots_rpt'!$B:$B,Stand_Biomass!$B15,'Pre-Harvest Plots_rpt'!AA:AA)/$D15)</f>
        <v/>
      </c>
      <c r="AD15" s="297" t="str">
        <f>IF($B15="","",SUMIF('Pre-Harvest Plots_rpt'!$B:$B,Stand_Biomass!$B15,'Pre-Harvest Plots_rpt'!AB:AB)/$D15)</f>
        <v/>
      </c>
      <c r="AE15" s="377" t="str">
        <f>IF(Stand_Biomass!AD15= "", "", Stand_Biomass!AD15/2)</f>
        <v/>
      </c>
      <c r="AF15" s="377" t="str">
        <f t="shared" si="3"/>
        <v/>
      </c>
      <c r="AG15" s="510" t="str">
        <f>IF(AE15="","",AE15*Stand!$G14)</f>
        <v/>
      </c>
      <c r="AH15" s="511" t="str">
        <f>IF(AF15="","",AF15*Stand!$G14)</f>
        <v/>
      </c>
      <c r="AK15" s="271"/>
      <c r="AL15" s="61"/>
      <c r="AP15" s="271"/>
    </row>
    <row r="16" spans="2:43" x14ac:dyDescent="0.25">
      <c r="B16" s="171" t="str">
        <f>IF(Stand!C15="","",Stand!C15)</f>
        <v/>
      </c>
      <c r="C16" s="364" t="str">
        <f>IF(Stand!G15="","",Stand!G15)</f>
        <v/>
      </c>
      <c r="D16" s="187" t="str">
        <f>IF($B16="","",VLOOKUP(B16,Stand!C:H,6,0))</f>
        <v/>
      </c>
      <c r="E16" s="130"/>
      <c r="F16" s="189" t="str">
        <f>IF($B16="","",SUMIF('Pre-Harvest Plots_rpt'!$B:$B,Stand_Biomass!$B16,'Pre-Harvest Plots_rpt'!$F:$F)/$D16)</f>
        <v/>
      </c>
      <c r="G16" s="122" t="str">
        <f>IF($B16="","",SUMIF('Pre-Harvest Plots_rpt'!$B:$B,Stand_Biomass!$B16,'Pre-Harvest Plots_rpt'!$G:$G)/$D16)</f>
        <v/>
      </c>
      <c r="H16" s="122" t="str">
        <f>IF($B16="","",SUMIF('Pre-Harvest Plots_rpt'!$B:$B,Stand_Biomass!$B16,'Pre-Harvest Plots_rpt'!$H:$H)/$D16)</f>
        <v/>
      </c>
      <c r="I16" s="121" t="str">
        <f>IF($B16="","",SUMIF('Pre-Harvest Plots_rpt'!$B:$B,Stand_Biomass!$B16,'Pre-Harvest Plots_rpt'!$I:$I)/$D16)</f>
        <v/>
      </c>
      <c r="J16" s="121" t="str">
        <f>IF($B16="","",SUMIF('Pre-Harvest Plots_rpt'!$B:$B,Stand_Biomass!$B16,'Pre-Harvest Plots_rpt'!$J:$J)/COUNTIFS('Pre-Harvest Plots_rpt'!$B:$B,Stand_Biomass!$B16,'Pre-Harvest Plots_rpt'!$J:$J,"&gt;"&amp;0))</f>
        <v/>
      </c>
      <c r="K16" s="121" t="str">
        <f>IF($B16="","",SUMIF('Pre-Harvest Plots_rpt'!$B:$B,Stand_Biomass!$B16,'Pre-Harvest Plots_rpt'!$K:$K)/$D16)</f>
        <v/>
      </c>
      <c r="L16" s="154" t="str">
        <f t="shared" si="1"/>
        <v/>
      </c>
      <c r="M16" s="135"/>
      <c r="N16" s="502" t="str">
        <f>IF(Stand_Biomass!M16 = "", "",#REF!/ 2)</f>
        <v/>
      </c>
      <c r="O16" s="372" t="str">
        <f t="shared" si="2"/>
        <v/>
      </c>
      <c r="P16" s="354" t="str">
        <f>IF(Stand_Biomass!N16 = "", "", Stand_Biomass!N16/2)</f>
        <v/>
      </c>
      <c r="Q16" s="354" t="str">
        <f>IF(Stand_Biomass!O16 = "", "", Stand_Biomass!O16/2)</f>
        <v/>
      </c>
      <c r="R16" s="354" t="str">
        <f>IF(Stand_Biomass!P16 = "", "", Stand_Biomass!P16/2)</f>
        <v/>
      </c>
      <c r="S16" s="354" t="str">
        <f>IF(Stand_Biomass!Q16 = "", "", Stand_Biomass!Q16/2)</f>
        <v/>
      </c>
      <c r="T16" s="354" t="str">
        <f>IF(Stand_Biomass!R16 = "", "", Stand_Biomass!R16/2)</f>
        <v/>
      </c>
      <c r="U16" s="354" t="str">
        <f>IF(Stand_Biomass!S16 = "", "", Stand_Biomass!S16/2)</f>
        <v/>
      </c>
      <c r="V16" s="354" t="str">
        <f>IF(Stand_Biomass!T16 = "", "", Stand_Biomass!T16/2)</f>
        <v/>
      </c>
      <c r="W16" s="354" t="str">
        <f>IF(Stand_Biomass!U16 = "", "", Stand_Biomass!U16/2)</f>
        <v/>
      </c>
      <c r="X16" s="354" t="str">
        <f>IF(Stand_Biomass!V16 = "", "", Stand_Biomass!V16/2)</f>
        <v/>
      </c>
      <c r="Y16" s="504" t="str">
        <f>IF(N16="","",N16*Stand!$G15)</f>
        <v/>
      </c>
      <c r="Z16" s="505" t="str">
        <f>IF(O16="","",O16*Stand!$G15)</f>
        <v/>
      </c>
      <c r="AA16" s="130"/>
      <c r="AB16" s="152" t="str">
        <f>IF($B16="","",SUMIF('Pre-Harvest Plots_rpt'!$B:$B,Stand_Biomass!$B16,'Pre-Harvest Plots_rpt'!Z:Z)/$D16)</f>
        <v/>
      </c>
      <c r="AC16" s="297" t="str">
        <f>IF($B16="","",SUMIF('Pre-Harvest Plots_rpt'!$B:$B,Stand_Biomass!$B16,'Pre-Harvest Plots_rpt'!AA:AA)/$D16)</f>
        <v/>
      </c>
      <c r="AD16" s="297" t="str">
        <f>IF($B16="","",SUMIF('Pre-Harvest Plots_rpt'!$B:$B,Stand_Biomass!$B16,'Pre-Harvest Plots_rpt'!AB:AB)/$D16)</f>
        <v/>
      </c>
      <c r="AE16" s="377" t="str">
        <f>IF(Stand_Biomass!AD16= "", "", Stand_Biomass!AD16/2)</f>
        <v/>
      </c>
      <c r="AF16" s="377" t="str">
        <f t="shared" si="3"/>
        <v/>
      </c>
      <c r="AG16" s="510" t="str">
        <f>IF(AE16="","",AE16*Stand!$G15)</f>
        <v/>
      </c>
      <c r="AH16" s="511" t="str">
        <f>IF(AF16="","",AF16*Stand!$G15)</f>
        <v/>
      </c>
      <c r="AK16" s="271"/>
      <c r="AL16" s="61"/>
      <c r="AP16" s="271"/>
    </row>
    <row r="17" spans="2:42" x14ac:dyDescent="0.25">
      <c r="B17" s="171" t="str">
        <f>IF(Stand!C16="","",Stand!C16)</f>
        <v/>
      </c>
      <c r="C17" s="364" t="str">
        <f>IF(Stand!G16="","",Stand!G16)</f>
        <v/>
      </c>
      <c r="D17" s="187" t="str">
        <f>IF($B17="","",VLOOKUP(B17,Stand!C:H,6,0))</f>
        <v/>
      </c>
      <c r="E17" s="130"/>
      <c r="F17" s="189" t="str">
        <f>IF($B17="","",SUMIF('Pre-Harvest Plots_rpt'!$B:$B,Stand_Biomass!$B17,'Pre-Harvest Plots_rpt'!$F:$F)/$D17)</f>
        <v/>
      </c>
      <c r="G17" s="122" t="str">
        <f>IF($B17="","",SUMIF('Pre-Harvest Plots_rpt'!$B:$B,Stand_Biomass!$B17,'Pre-Harvest Plots_rpt'!$G:$G)/$D17)</f>
        <v/>
      </c>
      <c r="H17" s="122" t="str">
        <f>IF($B17="","",SUMIF('Pre-Harvest Plots_rpt'!$B:$B,Stand_Biomass!$B17,'Pre-Harvest Plots_rpt'!$H:$H)/$D17)</f>
        <v/>
      </c>
      <c r="I17" s="121" t="str">
        <f>IF($B17="","",SUMIF('Pre-Harvest Plots_rpt'!$B:$B,Stand_Biomass!$B17,'Pre-Harvest Plots_rpt'!$I:$I)/$D17)</f>
        <v/>
      </c>
      <c r="J17" s="121" t="str">
        <f>IF($B17="","",SUMIF('Pre-Harvest Plots_rpt'!$B:$B,Stand_Biomass!$B17,'Pre-Harvest Plots_rpt'!$J:$J)/COUNTIFS('Pre-Harvest Plots_rpt'!$B:$B,Stand_Biomass!$B17,'Pre-Harvest Plots_rpt'!$J:$J,"&gt;"&amp;0))</f>
        <v/>
      </c>
      <c r="K17" s="121" t="str">
        <f>IF($B17="","",SUMIF('Pre-Harvest Plots_rpt'!$B:$B,Stand_Biomass!$B17,'Pre-Harvest Plots_rpt'!$K:$K)/$D17)</f>
        <v/>
      </c>
      <c r="L17" s="154" t="str">
        <f t="shared" si="1"/>
        <v/>
      </c>
      <c r="M17" s="135"/>
      <c r="N17" s="502" t="str">
        <f>IF(Stand_Biomass!M17 = "", "",#REF!/ 2)</f>
        <v/>
      </c>
      <c r="O17" s="372" t="str">
        <f t="shared" si="2"/>
        <v/>
      </c>
      <c r="P17" s="354" t="str">
        <f>IF(Stand_Biomass!N17 = "", "", Stand_Biomass!N17/2)</f>
        <v/>
      </c>
      <c r="Q17" s="354" t="str">
        <f>IF(Stand_Biomass!O17 = "", "", Stand_Biomass!O17/2)</f>
        <v/>
      </c>
      <c r="R17" s="354" t="str">
        <f>IF(Stand_Biomass!P17 = "", "", Stand_Biomass!P17/2)</f>
        <v/>
      </c>
      <c r="S17" s="354" t="str">
        <f>IF(Stand_Biomass!Q17 = "", "", Stand_Biomass!Q17/2)</f>
        <v/>
      </c>
      <c r="T17" s="354" t="str">
        <f>IF(Stand_Biomass!R17 = "", "", Stand_Biomass!R17/2)</f>
        <v/>
      </c>
      <c r="U17" s="354" t="str">
        <f>IF(Stand_Biomass!S17 = "", "", Stand_Biomass!S17/2)</f>
        <v/>
      </c>
      <c r="V17" s="354" t="str">
        <f>IF(Stand_Biomass!T17 = "", "", Stand_Biomass!T17/2)</f>
        <v/>
      </c>
      <c r="W17" s="354" t="str">
        <f>IF(Stand_Biomass!U17 = "", "", Stand_Biomass!U17/2)</f>
        <v/>
      </c>
      <c r="X17" s="354" t="str">
        <f>IF(Stand_Biomass!V17 = "", "", Stand_Biomass!V17/2)</f>
        <v/>
      </c>
      <c r="Y17" s="504" t="str">
        <f>IF(N17="","",N17*Stand!$G16)</f>
        <v/>
      </c>
      <c r="Z17" s="505" t="str">
        <f>IF(O17="","",O17*Stand!$G16)</f>
        <v/>
      </c>
      <c r="AA17" s="130"/>
      <c r="AB17" s="152" t="str">
        <f>IF($B17="","",SUMIF('Pre-Harvest Plots_rpt'!$B:$B,Stand_Biomass!$B17,'Pre-Harvest Plots_rpt'!Z:Z)/$D17)</f>
        <v/>
      </c>
      <c r="AC17" s="297" t="str">
        <f>IF($B17="","",SUMIF('Pre-Harvest Plots_rpt'!$B:$B,Stand_Biomass!$B17,'Pre-Harvest Plots_rpt'!AA:AA)/$D17)</f>
        <v/>
      </c>
      <c r="AD17" s="297" t="str">
        <f>IF($B17="","",SUMIF('Pre-Harvest Plots_rpt'!$B:$B,Stand_Biomass!$B17,'Pre-Harvest Plots_rpt'!AB:AB)/$D17)</f>
        <v/>
      </c>
      <c r="AE17" s="377" t="str">
        <f>IF(Stand_Biomass!AD17= "", "", Stand_Biomass!AD17/2)</f>
        <v/>
      </c>
      <c r="AF17" s="377" t="str">
        <f t="shared" si="3"/>
        <v/>
      </c>
      <c r="AG17" s="510" t="str">
        <f>IF(AE17="","",AE17*Stand!$G16)</f>
        <v/>
      </c>
      <c r="AH17" s="511" t="str">
        <f>IF(AF17="","",AF17*Stand!$G16)</f>
        <v/>
      </c>
      <c r="AK17" s="271"/>
      <c r="AL17" s="61"/>
      <c r="AP17" s="271"/>
    </row>
    <row r="18" spans="2:42" x14ac:dyDescent="0.25">
      <c r="B18" s="171" t="str">
        <f>IF(Stand!C17="","",Stand!C17)</f>
        <v/>
      </c>
      <c r="C18" s="364" t="str">
        <f>IF(Stand!G17="","",Stand!G17)</f>
        <v/>
      </c>
      <c r="D18" s="187" t="str">
        <f>IF($B18="","",VLOOKUP(B18,Stand!C:H,6,0))</f>
        <v/>
      </c>
      <c r="E18" s="130"/>
      <c r="F18" s="189" t="str">
        <f>IF($B18="","",SUMIF('Pre-Harvest Plots_rpt'!$B:$B,Stand_Biomass!$B18,'Pre-Harvest Plots_rpt'!$F:$F)/$D18)</f>
        <v/>
      </c>
      <c r="G18" s="122" t="str">
        <f>IF($B18="","",SUMIF('Pre-Harvest Plots_rpt'!$B:$B,Stand_Biomass!$B18,'Pre-Harvest Plots_rpt'!$G:$G)/$D18)</f>
        <v/>
      </c>
      <c r="H18" s="122" t="str">
        <f>IF($B18="","",SUMIF('Pre-Harvest Plots_rpt'!$B:$B,Stand_Biomass!$B18,'Pre-Harvest Plots_rpt'!$H:$H)/$D18)</f>
        <v/>
      </c>
      <c r="I18" s="121" t="str">
        <f>IF($B18="","",SUMIF('Pre-Harvest Plots_rpt'!$B:$B,Stand_Biomass!$B18,'Pre-Harvest Plots_rpt'!$I:$I)/$D18)</f>
        <v/>
      </c>
      <c r="J18" s="121" t="str">
        <f>IF($B18="","",SUMIF('Pre-Harvest Plots_rpt'!$B:$B,Stand_Biomass!$B18,'Pre-Harvest Plots_rpt'!$J:$J)/COUNTIFS('Pre-Harvest Plots_rpt'!$B:$B,Stand_Biomass!$B18,'Pre-Harvest Plots_rpt'!$J:$J,"&gt;"&amp;0))</f>
        <v/>
      </c>
      <c r="K18" s="121" t="str">
        <f>IF($B18="","",SUMIF('Pre-Harvest Plots_rpt'!$B:$B,Stand_Biomass!$B18,'Pre-Harvest Plots_rpt'!$K:$K)/$D18)</f>
        <v/>
      </c>
      <c r="L18" s="154" t="str">
        <f t="shared" si="1"/>
        <v/>
      </c>
      <c r="M18" s="135"/>
      <c r="N18" s="502" t="str">
        <f>IF(Stand_Biomass!M18 = "", "",#REF!/ 2)</f>
        <v/>
      </c>
      <c r="O18" s="372" t="str">
        <f t="shared" si="2"/>
        <v/>
      </c>
      <c r="P18" s="354" t="str">
        <f>IF(Stand_Biomass!N18 = "", "", Stand_Biomass!N18/2)</f>
        <v/>
      </c>
      <c r="Q18" s="354" t="str">
        <f>IF(Stand_Biomass!O18 = "", "", Stand_Biomass!O18/2)</f>
        <v/>
      </c>
      <c r="R18" s="354" t="str">
        <f>IF(Stand_Biomass!P18 = "", "", Stand_Biomass!P18/2)</f>
        <v/>
      </c>
      <c r="S18" s="354" t="str">
        <f>IF(Stand_Biomass!Q18 = "", "", Stand_Biomass!Q18/2)</f>
        <v/>
      </c>
      <c r="T18" s="354" t="str">
        <f>IF(Stand_Biomass!R18 = "", "", Stand_Biomass!R18/2)</f>
        <v/>
      </c>
      <c r="U18" s="354" t="str">
        <f>IF(Stand_Biomass!S18 = "", "", Stand_Biomass!S18/2)</f>
        <v/>
      </c>
      <c r="V18" s="354" t="str">
        <f>IF(Stand_Biomass!T18 = "", "", Stand_Biomass!T18/2)</f>
        <v/>
      </c>
      <c r="W18" s="354" t="str">
        <f>IF(Stand_Biomass!U18 = "", "", Stand_Biomass!U18/2)</f>
        <v/>
      </c>
      <c r="X18" s="354" t="str">
        <f>IF(Stand_Biomass!V18 = "", "", Stand_Biomass!V18/2)</f>
        <v/>
      </c>
      <c r="Y18" s="504" t="str">
        <f>IF(N18="","",N18*Stand!$G17)</f>
        <v/>
      </c>
      <c r="Z18" s="505" t="str">
        <f>IF(O18="","",O18*Stand!$G17)</f>
        <v/>
      </c>
      <c r="AA18" s="130"/>
      <c r="AB18" s="152" t="str">
        <f>IF($B18="","",SUMIF('Pre-Harvest Plots_rpt'!$B:$B,Stand_Biomass!$B18,'Pre-Harvest Plots_rpt'!Z:Z)/$D18)</f>
        <v/>
      </c>
      <c r="AC18" s="297" t="str">
        <f>IF($B18="","",SUMIF('Pre-Harvest Plots_rpt'!$B:$B,Stand_Biomass!$B18,'Pre-Harvest Plots_rpt'!AA:AA)/$D18)</f>
        <v/>
      </c>
      <c r="AD18" s="297" t="str">
        <f>IF($B18="","",SUMIF('Pre-Harvest Plots_rpt'!$B:$B,Stand_Biomass!$B18,'Pre-Harvest Plots_rpt'!AB:AB)/$D18)</f>
        <v/>
      </c>
      <c r="AE18" s="377" t="str">
        <f>IF(Stand_Biomass!AD18= "", "", Stand_Biomass!AD18/2)</f>
        <v/>
      </c>
      <c r="AF18" s="377" t="str">
        <f t="shared" si="3"/>
        <v/>
      </c>
      <c r="AG18" s="510" t="str">
        <f>IF(AE18="","",AE18*Stand!$G17)</f>
        <v/>
      </c>
      <c r="AH18" s="511" t="str">
        <f>IF(AF18="","",AF18*Stand!$G17)</f>
        <v/>
      </c>
      <c r="AK18" s="271"/>
      <c r="AL18" s="61"/>
      <c r="AP18" s="271"/>
    </row>
    <row r="19" spans="2:42" x14ac:dyDescent="0.25">
      <c r="B19" s="171" t="str">
        <f>IF(Stand!C18="","",Stand!C18)</f>
        <v/>
      </c>
      <c r="C19" s="364" t="str">
        <f>IF(Stand!G18="","",Stand!G18)</f>
        <v/>
      </c>
      <c r="D19" s="187" t="str">
        <f>IF($B19="","",VLOOKUP(B19,Stand!C:H,6,0))</f>
        <v/>
      </c>
      <c r="E19" s="130"/>
      <c r="F19" s="189" t="str">
        <f>IF($B19="","",SUMIF('Pre-Harvest Plots_rpt'!$B:$B,Stand_Biomass!$B19,'Pre-Harvest Plots_rpt'!$F:$F)/$D19)</f>
        <v/>
      </c>
      <c r="G19" s="122" t="str">
        <f>IF($B19="","",SUMIF('Pre-Harvest Plots_rpt'!$B:$B,Stand_Biomass!$B19,'Pre-Harvest Plots_rpt'!$G:$G)/$D19)</f>
        <v/>
      </c>
      <c r="H19" s="122" t="str">
        <f>IF($B19="","",SUMIF('Pre-Harvest Plots_rpt'!$B:$B,Stand_Biomass!$B19,'Pre-Harvest Plots_rpt'!$H:$H)/$D19)</f>
        <v/>
      </c>
      <c r="I19" s="121" t="str">
        <f>IF($B19="","",SUMIF('Pre-Harvest Plots_rpt'!$B:$B,Stand_Biomass!$B19,'Pre-Harvest Plots_rpt'!$I:$I)/$D19)</f>
        <v/>
      </c>
      <c r="J19" s="121" t="str">
        <f>IF($B19="","",SUMIF('Pre-Harvest Plots_rpt'!$B:$B,Stand_Biomass!$B19,'Pre-Harvest Plots_rpt'!$J:$J)/COUNTIFS('Pre-Harvest Plots_rpt'!$B:$B,Stand_Biomass!$B19,'Pre-Harvest Plots_rpt'!$J:$J,"&gt;"&amp;0))</f>
        <v/>
      </c>
      <c r="K19" s="121" t="str">
        <f>IF($B19="","",SUMIF('Pre-Harvest Plots_rpt'!$B:$B,Stand_Biomass!$B19,'Pre-Harvest Plots_rpt'!$K:$K)/$D19)</f>
        <v/>
      </c>
      <c r="L19" s="154" t="str">
        <f t="shared" si="1"/>
        <v/>
      </c>
      <c r="M19" s="135"/>
      <c r="N19" s="502" t="str">
        <f>IF(Stand_Biomass!M19 = "", "",#REF!/ 2)</f>
        <v/>
      </c>
      <c r="O19" s="372" t="str">
        <f t="shared" si="2"/>
        <v/>
      </c>
      <c r="P19" s="354" t="str">
        <f>IF(Stand_Biomass!N19 = "", "", Stand_Biomass!N19/2)</f>
        <v/>
      </c>
      <c r="Q19" s="354" t="str">
        <f>IF(Stand_Biomass!O19 = "", "", Stand_Biomass!O19/2)</f>
        <v/>
      </c>
      <c r="R19" s="354" t="str">
        <f>IF(Stand_Biomass!P19 = "", "", Stand_Biomass!P19/2)</f>
        <v/>
      </c>
      <c r="S19" s="354" t="str">
        <f>IF(Stand_Biomass!Q19 = "", "", Stand_Biomass!Q19/2)</f>
        <v/>
      </c>
      <c r="T19" s="354" t="str">
        <f>IF(Stand_Biomass!R19 = "", "", Stand_Biomass!R19/2)</f>
        <v/>
      </c>
      <c r="U19" s="354" t="str">
        <f>IF(Stand_Biomass!S19 = "", "", Stand_Biomass!S19/2)</f>
        <v/>
      </c>
      <c r="V19" s="354" t="str">
        <f>IF(Stand_Biomass!T19 = "", "", Stand_Biomass!T19/2)</f>
        <v/>
      </c>
      <c r="W19" s="354" t="str">
        <f>IF(Stand_Biomass!U19 = "", "", Stand_Biomass!U19/2)</f>
        <v/>
      </c>
      <c r="X19" s="354" t="str">
        <f>IF(Stand_Biomass!V19 = "", "", Stand_Biomass!V19/2)</f>
        <v/>
      </c>
      <c r="Y19" s="504" t="str">
        <f>IF(N19="","",N19*Stand!$G18)</f>
        <v/>
      </c>
      <c r="Z19" s="505" t="str">
        <f>IF(O19="","",O19*Stand!$G18)</f>
        <v/>
      </c>
      <c r="AA19" s="130"/>
      <c r="AB19" s="152" t="str">
        <f>IF($B19="","",SUMIF('Pre-Harvest Plots_rpt'!$B:$B,Stand_Biomass!$B19,'Pre-Harvest Plots_rpt'!Z:Z)/$D19)</f>
        <v/>
      </c>
      <c r="AC19" s="297" t="str">
        <f>IF($B19="","",SUMIF('Pre-Harvest Plots_rpt'!$B:$B,Stand_Biomass!$B19,'Pre-Harvest Plots_rpt'!AA:AA)/$D19)</f>
        <v/>
      </c>
      <c r="AD19" s="297" t="str">
        <f>IF($B19="","",SUMIF('Pre-Harvest Plots_rpt'!$B:$B,Stand_Biomass!$B19,'Pre-Harvest Plots_rpt'!AB:AB)/$D19)</f>
        <v/>
      </c>
      <c r="AE19" s="377" t="str">
        <f>IF(Stand_Biomass!AD19= "", "", Stand_Biomass!AD19/2)</f>
        <v/>
      </c>
      <c r="AF19" s="377" t="str">
        <f t="shared" si="3"/>
        <v/>
      </c>
      <c r="AG19" s="510" t="str">
        <f>IF(AE19="","",AE19*Stand!$G18)</f>
        <v/>
      </c>
      <c r="AH19" s="511" t="str">
        <f>IF(AF19="","",AF19*Stand!$G18)</f>
        <v/>
      </c>
      <c r="AK19" s="271"/>
      <c r="AL19" s="61"/>
      <c r="AP19" s="271"/>
    </row>
    <row r="20" spans="2:42" x14ac:dyDescent="0.25">
      <c r="B20" s="171" t="str">
        <f>IF(Stand!C19="","",Stand!C19)</f>
        <v/>
      </c>
      <c r="C20" s="364" t="str">
        <f>IF(Stand!G19="","",Stand!G19)</f>
        <v/>
      </c>
      <c r="D20" s="187" t="str">
        <f>IF($B20="","",VLOOKUP(B20,Stand!C:H,6,0))</f>
        <v/>
      </c>
      <c r="E20" s="130"/>
      <c r="F20" s="189" t="str">
        <f>IF($B20="","",SUMIF('Pre-Harvest Plots_rpt'!$B:$B,Stand_Biomass!$B20,'Pre-Harvest Plots_rpt'!$F:$F)/$D20)</f>
        <v/>
      </c>
      <c r="G20" s="122" t="str">
        <f>IF($B20="","",SUMIF('Pre-Harvest Plots_rpt'!$B:$B,Stand_Biomass!$B20,'Pre-Harvest Plots_rpt'!$G:$G)/$D20)</f>
        <v/>
      </c>
      <c r="H20" s="122" t="str">
        <f>IF($B20="","",SUMIF('Pre-Harvest Plots_rpt'!$B:$B,Stand_Biomass!$B20,'Pre-Harvest Plots_rpt'!$H:$H)/$D20)</f>
        <v/>
      </c>
      <c r="I20" s="121" t="str">
        <f>IF($B20="","",SUMIF('Pre-Harvest Plots_rpt'!$B:$B,Stand_Biomass!$B20,'Pre-Harvest Plots_rpt'!$I:$I)/$D20)</f>
        <v/>
      </c>
      <c r="J20" s="121" t="str">
        <f>IF($B20="","",SUMIF('Pre-Harvest Plots_rpt'!$B:$B,Stand_Biomass!$B20,'Pre-Harvest Plots_rpt'!$J:$J)/COUNTIFS('Pre-Harvest Plots_rpt'!$B:$B,Stand_Biomass!$B20,'Pre-Harvest Plots_rpt'!$J:$J,"&gt;"&amp;0))</f>
        <v/>
      </c>
      <c r="K20" s="121" t="str">
        <f>IF($B20="","",SUMIF('Pre-Harvest Plots_rpt'!$B:$B,Stand_Biomass!$B20,'Pre-Harvest Plots_rpt'!$K:$K)/$D20)</f>
        <v/>
      </c>
      <c r="L20" s="154" t="str">
        <f t="shared" si="1"/>
        <v/>
      </c>
      <c r="M20" s="135"/>
      <c r="N20" s="502" t="str">
        <f>IF(Stand_Biomass!M20 = "", "",#REF!/ 2)</f>
        <v/>
      </c>
      <c r="O20" s="372" t="str">
        <f t="shared" si="2"/>
        <v/>
      </c>
      <c r="P20" s="354" t="str">
        <f>IF(Stand_Biomass!N20 = "", "", Stand_Biomass!N20/2)</f>
        <v/>
      </c>
      <c r="Q20" s="354" t="str">
        <f>IF(Stand_Biomass!O20 = "", "", Stand_Biomass!O20/2)</f>
        <v/>
      </c>
      <c r="R20" s="354" t="str">
        <f>IF(Stand_Biomass!P20 = "", "", Stand_Biomass!P20/2)</f>
        <v/>
      </c>
      <c r="S20" s="354" t="str">
        <f>IF(Stand_Biomass!Q20 = "", "", Stand_Biomass!Q20/2)</f>
        <v/>
      </c>
      <c r="T20" s="354" t="str">
        <f>IF(Stand_Biomass!R20 = "", "", Stand_Biomass!R20/2)</f>
        <v/>
      </c>
      <c r="U20" s="354" t="str">
        <f>IF(Stand_Biomass!S20 = "", "", Stand_Biomass!S20/2)</f>
        <v/>
      </c>
      <c r="V20" s="354" t="str">
        <f>IF(Stand_Biomass!T20 = "", "", Stand_Biomass!T20/2)</f>
        <v/>
      </c>
      <c r="W20" s="354" t="str">
        <f>IF(Stand_Biomass!U20 = "", "", Stand_Biomass!U20/2)</f>
        <v/>
      </c>
      <c r="X20" s="354" t="str">
        <f>IF(Stand_Biomass!V20 = "", "", Stand_Biomass!V20/2)</f>
        <v/>
      </c>
      <c r="Y20" s="504" t="str">
        <f>IF(N20="","",N20*Stand!$G19)</f>
        <v/>
      </c>
      <c r="Z20" s="505" t="str">
        <f>IF(O20="","",O20*Stand!$G19)</f>
        <v/>
      </c>
      <c r="AA20" s="130"/>
      <c r="AB20" s="152" t="str">
        <f>IF($B20="","",SUMIF('Pre-Harvest Plots_rpt'!$B:$B,Stand_Biomass!$B20,'Pre-Harvest Plots_rpt'!Z:Z)/$D20)</f>
        <v/>
      </c>
      <c r="AC20" s="297" t="str">
        <f>IF($B20="","",SUMIF('Pre-Harvest Plots_rpt'!$B:$B,Stand_Biomass!$B20,'Pre-Harvest Plots_rpt'!AA:AA)/$D20)</f>
        <v/>
      </c>
      <c r="AD20" s="297" t="str">
        <f>IF($B20="","",SUMIF('Pre-Harvest Plots_rpt'!$B:$B,Stand_Biomass!$B20,'Pre-Harvest Plots_rpt'!AB:AB)/$D20)</f>
        <v/>
      </c>
      <c r="AE20" s="377" t="str">
        <f>IF(Stand_Biomass!AD20= "", "", Stand_Biomass!AD20/2)</f>
        <v/>
      </c>
      <c r="AF20" s="377" t="str">
        <f t="shared" si="3"/>
        <v/>
      </c>
      <c r="AG20" s="510" t="str">
        <f>IF(AE20="","",AE20*Stand!$G19)</f>
        <v/>
      </c>
      <c r="AH20" s="511" t="str">
        <f>IF(AF20="","",AF20*Stand!$G19)</f>
        <v/>
      </c>
      <c r="AK20" s="271"/>
      <c r="AL20" s="61"/>
      <c r="AP20" s="271"/>
    </row>
    <row r="21" spans="2:42" x14ac:dyDescent="0.25">
      <c r="B21" s="171" t="str">
        <f>IF(Stand!C20="","",Stand!C20)</f>
        <v/>
      </c>
      <c r="C21" s="364" t="str">
        <f>IF(Stand!G20="","",Stand!G20)</f>
        <v/>
      </c>
      <c r="D21" s="187" t="str">
        <f>IF($B21="","",VLOOKUP(B21,Stand!C:H,6,0))</f>
        <v/>
      </c>
      <c r="E21" s="130"/>
      <c r="F21" s="189" t="str">
        <f>IF($B21="","",SUMIF('Pre-Harvest Plots_rpt'!$B:$B,Stand_Biomass!$B21,'Pre-Harvest Plots_rpt'!$F:$F)/$D21)</f>
        <v/>
      </c>
      <c r="G21" s="122" t="str">
        <f>IF($B21="","",SUMIF('Pre-Harvest Plots_rpt'!$B:$B,Stand_Biomass!$B21,'Pre-Harvest Plots_rpt'!$G:$G)/$D21)</f>
        <v/>
      </c>
      <c r="H21" s="122" t="str">
        <f>IF($B21="","",SUMIF('Pre-Harvest Plots_rpt'!$B:$B,Stand_Biomass!$B21,'Pre-Harvest Plots_rpt'!$H:$H)/$D21)</f>
        <v/>
      </c>
      <c r="I21" s="121" t="str">
        <f>IF($B21="","",SUMIF('Pre-Harvest Plots_rpt'!$B:$B,Stand_Biomass!$B21,'Pre-Harvest Plots_rpt'!$I:$I)/$D21)</f>
        <v/>
      </c>
      <c r="J21" s="121" t="str">
        <f>IF($B21="","",SUMIF('Pre-Harvest Plots_rpt'!$B:$B,Stand_Biomass!$B21,'Pre-Harvest Plots_rpt'!$J:$J)/COUNTIFS('Pre-Harvest Plots_rpt'!$B:$B,Stand_Biomass!$B21,'Pre-Harvest Plots_rpt'!$J:$J,"&gt;"&amp;0))</f>
        <v/>
      </c>
      <c r="K21" s="121" t="str">
        <f>IF($B21="","",SUMIF('Pre-Harvest Plots_rpt'!$B:$B,Stand_Biomass!$B21,'Pre-Harvest Plots_rpt'!$K:$K)/$D21)</f>
        <v/>
      </c>
      <c r="L21" s="154" t="str">
        <f t="shared" si="1"/>
        <v/>
      </c>
      <c r="M21" s="135"/>
      <c r="N21" s="502" t="str">
        <f>IF(Stand_Biomass!M21 = "", "",#REF!/ 2)</f>
        <v/>
      </c>
      <c r="O21" s="372" t="str">
        <f t="shared" si="2"/>
        <v/>
      </c>
      <c r="P21" s="354" t="str">
        <f>IF(Stand_Biomass!N21 = "", "", Stand_Biomass!N21/2)</f>
        <v/>
      </c>
      <c r="Q21" s="354" t="str">
        <f>IF(Stand_Biomass!O21 = "", "", Stand_Biomass!O21/2)</f>
        <v/>
      </c>
      <c r="R21" s="354" t="str">
        <f>IF(Stand_Biomass!P21 = "", "", Stand_Biomass!P21/2)</f>
        <v/>
      </c>
      <c r="S21" s="354" t="str">
        <f>IF(Stand_Biomass!Q21 = "", "", Stand_Biomass!Q21/2)</f>
        <v/>
      </c>
      <c r="T21" s="354" t="str">
        <f>IF(Stand_Biomass!R21 = "", "", Stand_Biomass!R21/2)</f>
        <v/>
      </c>
      <c r="U21" s="354" t="str">
        <f>IF(Stand_Biomass!S21 = "", "", Stand_Biomass!S21/2)</f>
        <v/>
      </c>
      <c r="V21" s="354" t="str">
        <f>IF(Stand_Biomass!T21 = "", "", Stand_Biomass!T21/2)</f>
        <v/>
      </c>
      <c r="W21" s="354" t="str">
        <f>IF(Stand_Biomass!U21 = "", "", Stand_Biomass!U21/2)</f>
        <v/>
      </c>
      <c r="X21" s="354" t="str">
        <f>IF(Stand_Biomass!V21 = "", "", Stand_Biomass!V21/2)</f>
        <v/>
      </c>
      <c r="Y21" s="504" t="str">
        <f>IF(N21="","",N21*Stand!$G20)</f>
        <v/>
      </c>
      <c r="Z21" s="505" t="str">
        <f>IF(O21="","",O21*Stand!$G20)</f>
        <v/>
      </c>
      <c r="AA21" s="130"/>
      <c r="AB21" s="152" t="str">
        <f>IF($B21="","",SUMIF('Pre-Harvest Plots_rpt'!$B:$B,Stand_Biomass!$B21,'Pre-Harvest Plots_rpt'!Z:Z)/$D21)</f>
        <v/>
      </c>
      <c r="AC21" s="297" t="str">
        <f>IF($B21="","",SUMIF('Pre-Harvest Plots_rpt'!$B:$B,Stand_Biomass!$B21,'Pre-Harvest Plots_rpt'!AA:AA)/$D21)</f>
        <v/>
      </c>
      <c r="AD21" s="297" t="str">
        <f>IF($B21="","",SUMIF('Pre-Harvest Plots_rpt'!$B:$B,Stand_Biomass!$B21,'Pre-Harvest Plots_rpt'!AB:AB)/$D21)</f>
        <v/>
      </c>
      <c r="AE21" s="377" t="str">
        <f>IF(Stand_Biomass!AD21= "", "", Stand_Biomass!AD21/2)</f>
        <v/>
      </c>
      <c r="AF21" s="377" t="str">
        <f t="shared" si="3"/>
        <v/>
      </c>
      <c r="AG21" s="510" t="str">
        <f>IF(AE21="","",AE21*Stand!$G20)</f>
        <v/>
      </c>
      <c r="AH21" s="511" t="str">
        <f>IF(AF21="","",AF21*Stand!$G20)</f>
        <v/>
      </c>
      <c r="AK21" s="271"/>
      <c r="AL21" s="61"/>
      <c r="AP21" s="271"/>
    </row>
    <row r="22" spans="2:42" x14ac:dyDescent="0.25">
      <c r="B22" s="171" t="str">
        <f>IF(Stand!C21="","",Stand!C21)</f>
        <v/>
      </c>
      <c r="C22" s="364" t="str">
        <f>IF(Stand!G21="","",Stand!G21)</f>
        <v/>
      </c>
      <c r="D22" s="187" t="str">
        <f>IF($B22="","",VLOOKUP(B22,Stand!C:H,6,0))</f>
        <v/>
      </c>
      <c r="E22" s="130"/>
      <c r="F22" s="189" t="str">
        <f>IF($B22="","",SUMIF('Pre-Harvest Plots_rpt'!$B:$B,Stand_Biomass!$B22,'Pre-Harvest Plots_rpt'!$F:$F)/$D22)</f>
        <v/>
      </c>
      <c r="G22" s="122" t="str">
        <f>IF($B22="","",SUMIF('Pre-Harvest Plots_rpt'!$B:$B,Stand_Biomass!$B22,'Pre-Harvest Plots_rpt'!$G:$G)/$D22)</f>
        <v/>
      </c>
      <c r="H22" s="122" t="str">
        <f>IF($B22="","",SUMIF('Pre-Harvest Plots_rpt'!$B:$B,Stand_Biomass!$B22,'Pre-Harvest Plots_rpt'!$H:$H)/$D22)</f>
        <v/>
      </c>
      <c r="I22" s="121" t="str">
        <f>IF($B22="","",SUMIF('Pre-Harvest Plots_rpt'!$B:$B,Stand_Biomass!$B22,'Pre-Harvest Plots_rpt'!$I:$I)/$D22)</f>
        <v/>
      </c>
      <c r="J22" s="121" t="str">
        <f>IF($B22="","",SUMIF('Pre-Harvest Plots_rpt'!$B:$B,Stand_Biomass!$B22,'Pre-Harvest Plots_rpt'!$J:$J)/COUNTIFS('Pre-Harvest Plots_rpt'!$B:$B,Stand_Biomass!$B22,'Pre-Harvest Plots_rpt'!$J:$J,"&gt;"&amp;0))</f>
        <v/>
      </c>
      <c r="K22" s="121" t="str">
        <f>IF($B22="","",SUMIF('Pre-Harvest Plots_rpt'!$B:$B,Stand_Biomass!$B22,'Pre-Harvest Plots_rpt'!$K:$K)/$D22)</f>
        <v/>
      </c>
      <c r="L22" s="154" t="str">
        <f t="shared" si="1"/>
        <v/>
      </c>
      <c r="M22" s="135"/>
      <c r="N22" s="502" t="str">
        <f>IF(Stand_Biomass!M22 = "", "",#REF!/ 2)</f>
        <v/>
      </c>
      <c r="O22" s="372" t="str">
        <f t="shared" si="2"/>
        <v/>
      </c>
      <c r="P22" s="354" t="str">
        <f>IF(Stand_Biomass!N22 = "", "", Stand_Biomass!N22/2)</f>
        <v/>
      </c>
      <c r="Q22" s="354" t="str">
        <f>IF(Stand_Biomass!O22 = "", "", Stand_Biomass!O22/2)</f>
        <v/>
      </c>
      <c r="R22" s="354" t="str">
        <f>IF(Stand_Biomass!P22 = "", "", Stand_Biomass!P22/2)</f>
        <v/>
      </c>
      <c r="S22" s="354" t="str">
        <f>IF(Stand_Biomass!Q22 = "", "", Stand_Biomass!Q22/2)</f>
        <v/>
      </c>
      <c r="T22" s="354" t="str">
        <f>IF(Stand_Biomass!R22 = "", "", Stand_Biomass!R22/2)</f>
        <v/>
      </c>
      <c r="U22" s="354" t="str">
        <f>IF(Stand_Biomass!S22 = "", "", Stand_Biomass!S22/2)</f>
        <v/>
      </c>
      <c r="V22" s="354" t="str">
        <f>IF(Stand_Biomass!T22 = "", "", Stand_Biomass!T22/2)</f>
        <v/>
      </c>
      <c r="W22" s="354" t="str">
        <f>IF(Stand_Biomass!U22 = "", "", Stand_Biomass!U22/2)</f>
        <v/>
      </c>
      <c r="X22" s="354" t="str">
        <f>IF(Stand_Biomass!V22 = "", "", Stand_Biomass!V22/2)</f>
        <v/>
      </c>
      <c r="Y22" s="504" t="str">
        <f>IF(N22="","",N22*Stand!$G21)</f>
        <v/>
      </c>
      <c r="Z22" s="505" t="str">
        <f>IF(O22="","",O22*Stand!$G21)</f>
        <v/>
      </c>
      <c r="AA22" s="130"/>
      <c r="AB22" s="152" t="str">
        <f>IF($B22="","",SUMIF('Pre-Harvest Plots_rpt'!$B:$B,Stand_Biomass!$B22,'Pre-Harvest Plots_rpt'!Z:Z)/$D22)</f>
        <v/>
      </c>
      <c r="AC22" s="297" t="str">
        <f>IF($B22="","",SUMIF('Pre-Harvest Plots_rpt'!$B:$B,Stand_Biomass!$B22,'Pre-Harvest Plots_rpt'!AA:AA)/$D22)</f>
        <v/>
      </c>
      <c r="AD22" s="297" t="str">
        <f>IF($B22="","",SUMIF('Pre-Harvest Plots_rpt'!$B:$B,Stand_Biomass!$B22,'Pre-Harvest Plots_rpt'!AB:AB)/$D22)</f>
        <v/>
      </c>
      <c r="AE22" s="377" t="str">
        <f>IF(Stand_Biomass!AD22= "", "", Stand_Biomass!AD22/2)</f>
        <v/>
      </c>
      <c r="AF22" s="377" t="str">
        <f t="shared" si="3"/>
        <v/>
      </c>
      <c r="AG22" s="510" t="str">
        <f>IF(AE22="","",AE22*Stand!$G21)</f>
        <v/>
      </c>
      <c r="AH22" s="511" t="str">
        <f>IF(AF22="","",AF22*Stand!$G21)</f>
        <v/>
      </c>
      <c r="AK22" s="271"/>
      <c r="AL22" s="61"/>
      <c r="AP22" s="271"/>
    </row>
    <row r="23" spans="2:42" x14ac:dyDescent="0.25">
      <c r="B23" s="171" t="str">
        <f>IF(Stand!C22="","",Stand!C22)</f>
        <v/>
      </c>
      <c r="C23" s="364" t="str">
        <f>IF(Stand!G22="","",Stand!G22)</f>
        <v/>
      </c>
      <c r="D23" s="187" t="str">
        <f>IF($B23="","",VLOOKUP(B23,Stand!C:H,6,0))</f>
        <v/>
      </c>
      <c r="E23" s="130"/>
      <c r="F23" s="189" t="str">
        <f>IF($B23="","",SUMIF('Pre-Harvest Plots_rpt'!$B:$B,Stand_Biomass!$B23,'Pre-Harvest Plots_rpt'!$F:$F)/$D23)</f>
        <v/>
      </c>
      <c r="G23" s="122" t="str">
        <f>IF($B23="","",SUMIF('Pre-Harvest Plots_rpt'!$B:$B,Stand_Biomass!$B23,'Pre-Harvest Plots_rpt'!$G:$G)/$D23)</f>
        <v/>
      </c>
      <c r="H23" s="122" t="str">
        <f>IF($B23="","",SUMIF('Pre-Harvest Plots_rpt'!$B:$B,Stand_Biomass!$B23,'Pre-Harvest Plots_rpt'!$H:$H)/$D23)</f>
        <v/>
      </c>
      <c r="I23" s="121" t="str">
        <f>IF($B23="","",SUMIF('Pre-Harvest Plots_rpt'!$B:$B,Stand_Biomass!$B23,'Pre-Harvest Plots_rpt'!$I:$I)/$D23)</f>
        <v/>
      </c>
      <c r="J23" s="121" t="str">
        <f>IF($B23="","",SUMIF('Pre-Harvest Plots_rpt'!$B:$B,Stand_Biomass!$B23,'Pre-Harvest Plots_rpt'!$J:$J)/COUNTIFS('Pre-Harvest Plots_rpt'!$B:$B,Stand_Biomass!$B23,'Pre-Harvest Plots_rpt'!$J:$J,"&gt;"&amp;0))</f>
        <v/>
      </c>
      <c r="K23" s="121" t="str">
        <f>IF($B23="","",SUMIF('Pre-Harvest Plots_rpt'!$B:$B,Stand_Biomass!$B23,'Pre-Harvest Plots_rpt'!$K:$K)/$D23)</f>
        <v/>
      </c>
      <c r="L23" s="154" t="str">
        <f t="shared" si="1"/>
        <v/>
      </c>
      <c r="M23" s="135"/>
      <c r="N23" s="502" t="str">
        <f>IF(Stand_Biomass!M23 = "", "",#REF!/ 2)</f>
        <v/>
      </c>
      <c r="O23" s="372" t="str">
        <f t="shared" si="2"/>
        <v/>
      </c>
      <c r="P23" s="354" t="str">
        <f>IF(Stand_Biomass!N23 = "", "", Stand_Biomass!N23/2)</f>
        <v/>
      </c>
      <c r="Q23" s="354" t="str">
        <f>IF(Stand_Biomass!O23 = "", "", Stand_Biomass!O23/2)</f>
        <v/>
      </c>
      <c r="R23" s="354" t="str">
        <f>IF(Stand_Biomass!P23 = "", "", Stand_Biomass!P23/2)</f>
        <v/>
      </c>
      <c r="S23" s="354" t="str">
        <f>IF(Stand_Biomass!Q23 = "", "", Stand_Biomass!Q23/2)</f>
        <v/>
      </c>
      <c r="T23" s="354" t="str">
        <f>IF(Stand_Biomass!R23 = "", "", Stand_Biomass!R23/2)</f>
        <v/>
      </c>
      <c r="U23" s="354" t="str">
        <f>IF(Stand_Biomass!S23 = "", "", Stand_Biomass!S23/2)</f>
        <v/>
      </c>
      <c r="V23" s="354" t="str">
        <f>IF(Stand_Biomass!T23 = "", "", Stand_Biomass!T23/2)</f>
        <v/>
      </c>
      <c r="W23" s="354" t="str">
        <f>IF(Stand_Biomass!U23 = "", "", Stand_Biomass!U23/2)</f>
        <v/>
      </c>
      <c r="X23" s="354" t="str">
        <f>IF(Stand_Biomass!V23 = "", "", Stand_Biomass!V23/2)</f>
        <v/>
      </c>
      <c r="Y23" s="504" t="str">
        <f>IF(N23="","",N23*Stand!$G22)</f>
        <v/>
      </c>
      <c r="Z23" s="505" t="str">
        <f>IF(O23="","",O23*Stand!$G22)</f>
        <v/>
      </c>
      <c r="AA23" s="130"/>
      <c r="AB23" s="152" t="str">
        <f>IF($B23="","",SUMIF('Pre-Harvest Plots_rpt'!$B:$B,Stand_Biomass!$B23,'Pre-Harvest Plots_rpt'!Z:Z)/$D23)</f>
        <v/>
      </c>
      <c r="AC23" s="297" t="str">
        <f>IF($B23="","",SUMIF('Pre-Harvest Plots_rpt'!$B:$B,Stand_Biomass!$B23,'Pre-Harvest Plots_rpt'!AA:AA)/$D23)</f>
        <v/>
      </c>
      <c r="AD23" s="297" t="str">
        <f>IF($B23="","",SUMIF('Pre-Harvest Plots_rpt'!$B:$B,Stand_Biomass!$B23,'Pre-Harvest Plots_rpt'!AB:AB)/$D23)</f>
        <v/>
      </c>
      <c r="AE23" s="377" t="str">
        <f>IF(Stand_Biomass!AD23= "", "", Stand_Biomass!AD23/2)</f>
        <v/>
      </c>
      <c r="AF23" s="377" t="str">
        <f t="shared" si="3"/>
        <v/>
      </c>
      <c r="AG23" s="510" t="str">
        <f>IF(AE23="","",AE23*Stand!$G22)</f>
        <v/>
      </c>
      <c r="AH23" s="511" t="str">
        <f>IF(AF23="","",AF23*Stand!$G22)</f>
        <v/>
      </c>
      <c r="AK23" s="271"/>
      <c r="AL23" s="61"/>
      <c r="AP23" s="271"/>
    </row>
    <row r="24" spans="2:42" x14ac:dyDescent="0.25">
      <c r="B24" s="171" t="str">
        <f>IF(Stand!C23="","",Stand!C23)</f>
        <v/>
      </c>
      <c r="C24" s="364" t="str">
        <f>IF(Stand!G23="","",Stand!G23)</f>
        <v/>
      </c>
      <c r="D24" s="187" t="str">
        <f>IF($B24="","",VLOOKUP(B24,Stand!C:H,6,0))</f>
        <v/>
      </c>
      <c r="E24" s="130"/>
      <c r="F24" s="189" t="str">
        <f>IF($B24="","",SUMIF('Pre-Harvest Plots_rpt'!$B:$B,Stand_Biomass!$B24,'Pre-Harvest Plots_rpt'!$F:$F)/$D24)</f>
        <v/>
      </c>
      <c r="G24" s="122" t="str">
        <f>IF($B24="","",SUMIF('Pre-Harvest Plots_rpt'!$B:$B,Stand_Biomass!$B24,'Pre-Harvest Plots_rpt'!$G:$G)/$D24)</f>
        <v/>
      </c>
      <c r="H24" s="122" t="str">
        <f>IF($B24="","",SUMIF('Pre-Harvest Plots_rpt'!$B:$B,Stand_Biomass!$B24,'Pre-Harvest Plots_rpt'!$H:$H)/$D24)</f>
        <v/>
      </c>
      <c r="I24" s="121" t="str">
        <f>IF($B24="","",SUMIF('Pre-Harvest Plots_rpt'!$B:$B,Stand_Biomass!$B24,'Pre-Harvest Plots_rpt'!$I:$I)/$D24)</f>
        <v/>
      </c>
      <c r="J24" s="121" t="str">
        <f>IF($B24="","",SUMIF('Pre-Harvest Plots_rpt'!$B:$B,Stand_Biomass!$B24,'Pre-Harvest Plots_rpt'!$J:$J)/COUNTIFS('Pre-Harvest Plots_rpt'!$B:$B,Stand_Biomass!$B24,'Pre-Harvest Plots_rpt'!$J:$J,"&gt;"&amp;0))</f>
        <v/>
      </c>
      <c r="K24" s="121" t="str">
        <f>IF($B24="","",SUMIF('Pre-Harvest Plots_rpt'!$B:$B,Stand_Biomass!$B24,'Pre-Harvest Plots_rpt'!$K:$K)/$D24)</f>
        <v/>
      </c>
      <c r="L24" s="154" t="str">
        <f t="shared" si="1"/>
        <v/>
      </c>
      <c r="M24" s="135"/>
      <c r="N24" s="502" t="str">
        <f>IF(Stand_Biomass!M24 = "", "",#REF!/ 2)</f>
        <v/>
      </c>
      <c r="O24" s="372" t="str">
        <f t="shared" si="2"/>
        <v/>
      </c>
      <c r="P24" s="354" t="str">
        <f>IF(Stand_Biomass!N24 = "", "", Stand_Biomass!N24/2)</f>
        <v/>
      </c>
      <c r="Q24" s="354" t="str">
        <f>IF(Stand_Biomass!O24 = "", "", Stand_Biomass!O24/2)</f>
        <v/>
      </c>
      <c r="R24" s="354" t="str">
        <f>IF(Stand_Biomass!P24 = "", "", Stand_Biomass!P24/2)</f>
        <v/>
      </c>
      <c r="S24" s="354" t="str">
        <f>IF(Stand_Biomass!Q24 = "", "", Stand_Biomass!Q24/2)</f>
        <v/>
      </c>
      <c r="T24" s="354" t="str">
        <f>IF(Stand_Biomass!R24 = "", "", Stand_Biomass!R24/2)</f>
        <v/>
      </c>
      <c r="U24" s="354" t="str">
        <f>IF(Stand_Biomass!S24 = "", "", Stand_Biomass!S24/2)</f>
        <v/>
      </c>
      <c r="V24" s="354" t="str">
        <f>IF(Stand_Biomass!T24 = "", "", Stand_Biomass!T24/2)</f>
        <v/>
      </c>
      <c r="W24" s="354" t="str">
        <f>IF(Stand_Biomass!U24 = "", "", Stand_Biomass!U24/2)</f>
        <v/>
      </c>
      <c r="X24" s="354" t="str">
        <f>IF(Stand_Biomass!V24 = "", "", Stand_Biomass!V24/2)</f>
        <v/>
      </c>
      <c r="Y24" s="504" t="str">
        <f>IF(N24="","",N24*Stand!$G23)</f>
        <v/>
      </c>
      <c r="Z24" s="505" t="str">
        <f>IF(O24="","",O24*Stand!$G23)</f>
        <v/>
      </c>
      <c r="AA24" s="130"/>
      <c r="AB24" s="152" t="str">
        <f>IF($B24="","",SUMIF('Pre-Harvest Plots_rpt'!$B:$B,Stand_Biomass!$B24,'Pre-Harvest Plots_rpt'!Z:Z)/$D24)</f>
        <v/>
      </c>
      <c r="AC24" s="297" t="str">
        <f>IF($B24="","",SUMIF('Pre-Harvest Plots_rpt'!$B:$B,Stand_Biomass!$B24,'Pre-Harvest Plots_rpt'!AA:AA)/$D24)</f>
        <v/>
      </c>
      <c r="AD24" s="297" t="str">
        <f>IF($B24="","",SUMIF('Pre-Harvest Plots_rpt'!$B:$B,Stand_Biomass!$B24,'Pre-Harvest Plots_rpt'!AB:AB)/$D24)</f>
        <v/>
      </c>
      <c r="AE24" s="377" t="str">
        <f>IF(Stand_Biomass!AD24= "", "", Stand_Biomass!AD24/2)</f>
        <v/>
      </c>
      <c r="AF24" s="377" t="str">
        <f t="shared" si="3"/>
        <v/>
      </c>
      <c r="AG24" s="510" t="str">
        <f>IF(AE24="","",AE24*Stand!$G23)</f>
        <v/>
      </c>
      <c r="AH24" s="511" t="str">
        <f>IF(AF24="","",AF24*Stand!$G23)</f>
        <v/>
      </c>
      <c r="AK24" s="271"/>
      <c r="AL24" s="61"/>
      <c r="AP24" s="271"/>
    </row>
    <row r="25" spans="2:42" x14ac:dyDescent="0.25">
      <c r="B25" s="171" t="str">
        <f>IF(Stand!C24="","",Stand!C24)</f>
        <v/>
      </c>
      <c r="C25" s="364" t="str">
        <f>IF(Stand!G24="","",Stand!G24)</f>
        <v/>
      </c>
      <c r="D25" s="187" t="str">
        <f>IF($B25="","",VLOOKUP(B25,Stand!C:H,6,0))</f>
        <v/>
      </c>
      <c r="E25" s="130"/>
      <c r="F25" s="189" t="str">
        <f>IF($B25="","",SUMIF('Pre-Harvest Plots_rpt'!$B:$B,Stand_Biomass!$B25,'Pre-Harvest Plots_rpt'!$F:$F)/$D25)</f>
        <v/>
      </c>
      <c r="G25" s="122" t="str">
        <f>IF($B25="","",SUMIF('Pre-Harvest Plots_rpt'!$B:$B,Stand_Biomass!$B25,'Pre-Harvest Plots_rpt'!$G:$G)/$D25)</f>
        <v/>
      </c>
      <c r="H25" s="122" t="str">
        <f>IF($B25="","",SUMIF('Pre-Harvest Plots_rpt'!$B:$B,Stand_Biomass!$B25,'Pre-Harvest Plots_rpt'!$H:$H)/$D25)</f>
        <v/>
      </c>
      <c r="I25" s="121" t="str">
        <f>IF($B25="","",SUMIF('Pre-Harvest Plots_rpt'!$B:$B,Stand_Biomass!$B25,'Pre-Harvest Plots_rpt'!$I:$I)/$D25)</f>
        <v/>
      </c>
      <c r="J25" s="121" t="str">
        <f>IF($B25="","",SUMIF('Pre-Harvest Plots_rpt'!$B:$B,Stand_Biomass!$B25,'Pre-Harvest Plots_rpt'!$J:$J)/COUNTIFS('Pre-Harvest Plots_rpt'!$B:$B,Stand_Biomass!$B25,'Pre-Harvest Plots_rpt'!$J:$J,"&gt;"&amp;0))</f>
        <v/>
      </c>
      <c r="K25" s="121" t="str">
        <f>IF($B25="","",SUMIF('Pre-Harvest Plots_rpt'!$B:$B,Stand_Biomass!$B25,'Pre-Harvest Plots_rpt'!$K:$K)/$D25)</f>
        <v/>
      </c>
      <c r="L25" s="154" t="str">
        <f t="shared" si="1"/>
        <v/>
      </c>
      <c r="M25" s="135"/>
      <c r="N25" s="502" t="str">
        <f>IF(Stand_Biomass!M25 = "", "",#REF!/ 2)</f>
        <v/>
      </c>
      <c r="O25" s="372" t="str">
        <f t="shared" si="2"/>
        <v/>
      </c>
      <c r="P25" s="354" t="str">
        <f>IF(Stand_Biomass!N25 = "", "", Stand_Biomass!N25/2)</f>
        <v/>
      </c>
      <c r="Q25" s="354" t="str">
        <f>IF(Stand_Biomass!O25 = "", "", Stand_Biomass!O25/2)</f>
        <v/>
      </c>
      <c r="R25" s="354" t="str">
        <f>IF(Stand_Biomass!P25 = "", "", Stand_Biomass!P25/2)</f>
        <v/>
      </c>
      <c r="S25" s="354" t="str">
        <f>IF(Stand_Biomass!Q25 = "", "", Stand_Biomass!Q25/2)</f>
        <v/>
      </c>
      <c r="T25" s="354" t="str">
        <f>IF(Stand_Biomass!R25 = "", "", Stand_Biomass!R25/2)</f>
        <v/>
      </c>
      <c r="U25" s="354" t="str">
        <f>IF(Stand_Biomass!S25 = "", "", Stand_Biomass!S25/2)</f>
        <v/>
      </c>
      <c r="V25" s="354" t="str">
        <f>IF(Stand_Biomass!T25 = "", "", Stand_Biomass!T25/2)</f>
        <v/>
      </c>
      <c r="W25" s="354" t="str">
        <f>IF(Stand_Biomass!U25 = "", "", Stand_Biomass!U25/2)</f>
        <v/>
      </c>
      <c r="X25" s="354" t="str">
        <f>IF(Stand_Biomass!V25 = "", "", Stand_Biomass!V25/2)</f>
        <v/>
      </c>
      <c r="Y25" s="504" t="str">
        <f>IF(N25="","",N25*Stand!$G24)</f>
        <v/>
      </c>
      <c r="Z25" s="505" t="str">
        <f>IF(O25="","",O25*Stand!$G24)</f>
        <v/>
      </c>
      <c r="AA25" s="130"/>
      <c r="AB25" s="152" t="str">
        <f>IF($B25="","",SUMIF('Pre-Harvest Plots_rpt'!$B:$B,Stand_Biomass!$B25,'Pre-Harvest Plots_rpt'!Z:Z)/$D25)</f>
        <v/>
      </c>
      <c r="AC25" s="297" t="str">
        <f>IF($B25="","",SUMIF('Pre-Harvest Plots_rpt'!$B:$B,Stand_Biomass!$B25,'Pre-Harvest Plots_rpt'!AA:AA)/$D25)</f>
        <v/>
      </c>
      <c r="AD25" s="297" t="str">
        <f>IF($B25="","",SUMIF('Pre-Harvest Plots_rpt'!$B:$B,Stand_Biomass!$B25,'Pre-Harvest Plots_rpt'!AB:AB)/$D25)</f>
        <v/>
      </c>
      <c r="AE25" s="377" t="str">
        <f>IF(Stand_Biomass!AD25= "", "", Stand_Biomass!AD25/2)</f>
        <v/>
      </c>
      <c r="AF25" s="377" t="str">
        <f t="shared" si="3"/>
        <v/>
      </c>
      <c r="AG25" s="510" t="str">
        <f>IF(AE25="","",AE25*Stand!$G24)</f>
        <v/>
      </c>
      <c r="AH25" s="511" t="str">
        <f>IF(AF25="","",AF25*Stand!$G24)</f>
        <v/>
      </c>
      <c r="AK25" s="271"/>
      <c r="AL25" s="61"/>
      <c r="AP25" s="271"/>
    </row>
    <row r="26" spans="2:42" x14ac:dyDescent="0.25">
      <c r="B26" s="171" t="str">
        <f>IF(Stand!C25="","",Stand!C25)</f>
        <v/>
      </c>
      <c r="C26" s="364" t="str">
        <f>IF(Stand!G25="","",Stand!G25)</f>
        <v/>
      </c>
      <c r="D26" s="187" t="str">
        <f>IF($B26="","",VLOOKUP(B26,Stand!C:H,6,0))</f>
        <v/>
      </c>
      <c r="E26" s="130"/>
      <c r="F26" s="189" t="str">
        <f>IF($B26="","",SUMIF('Pre-Harvest Plots_rpt'!$B:$B,Stand_Biomass!$B26,'Pre-Harvest Plots_rpt'!$F:$F)/$D26)</f>
        <v/>
      </c>
      <c r="G26" s="122" t="str">
        <f>IF($B26="","",SUMIF('Pre-Harvest Plots_rpt'!$B:$B,Stand_Biomass!$B26,'Pre-Harvest Plots_rpt'!$G:$G)/$D26)</f>
        <v/>
      </c>
      <c r="H26" s="122" t="str">
        <f>IF($B26="","",SUMIF('Pre-Harvest Plots_rpt'!$B:$B,Stand_Biomass!$B26,'Pre-Harvest Plots_rpt'!$H:$H)/$D26)</f>
        <v/>
      </c>
      <c r="I26" s="121" t="str">
        <f>IF($B26="","",SUMIF('Pre-Harvest Plots_rpt'!$B:$B,Stand_Biomass!$B26,'Pre-Harvest Plots_rpt'!$I:$I)/$D26)</f>
        <v/>
      </c>
      <c r="J26" s="121" t="str">
        <f>IF($B26="","",SUMIF('Pre-Harvest Plots_rpt'!$B:$B,Stand_Biomass!$B26,'Pre-Harvest Plots_rpt'!$J:$J)/COUNTIFS('Pre-Harvest Plots_rpt'!$B:$B,Stand_Biomass!$B26,'Pre-Harvest Plots_rpt'!$J:$J,"&gt;"&amp;0))</f>
        <v/>
      </c>
      <c r="K26" s="121" t="str">
        <f>IF($B26="","",SUMIF('Pre-Harvest Plots_rpt'!$B:$B,Stand_Biomass!$B26,'Pre-Harvest Plots_rpt'!$K:$K)/$D26)</f>
        <v/>
      </c>
      <c r="L26" s="154" t="str">
        <f t="shared" si="1"/>
        <v/>
      </c>
      <c r="M26" s="135"/>
      <c r="N26" s="502" t="str">
        <f>IF(Stand_Biomass!M26 = "", "",#REF!/ 2)</f>
        <v/>
      </c>
      <c r="O26" s="372" t="str">
        <f t="shared" si="2"/>
        <v/>
      </c>
      <c r="P26" s="354" t="str">
        <f>IF(Stand_Biomass!N26 = "", "", Stand_Biomass!N26/2)</f>
        <v/>
      </c>
      <c r="Q26" s="354" t="str">
        <f>IF(Stand_Biomass!O26 = "", "", Stand_Biomass!O26/2)</f>
        <v/>
      </c>
      <c r="R26" s="354" t="str">
        <f>IF(Stand_Biomass!P26 = "", "", Stand_Biomass!P26/2)</f>
        <v/>
      </c>
      <c r="S26" s="354" t="str">
        <f>IF(Stand_Biomass!Q26 = "", "", Stand_Biomass!Q26/2)</f>
        <v/>
      </c>
      <c r="T26" s="354" t="str">
        <f>IF(Stand_Biomass!R26 = "", "", Stand_Biomass!R26/2)</f>
        <v/>
      </c>
      <c r="U26" s="354" t="str">
        <f>IF(Stand_Biomass!S26 = "", "", Stand_Biomass!S26/2)</f>
        <v/>
      </c>
      <c r="V26" s="354" t="str">
        <f>IF(Stand_Biomass!T26 = "", "", Stand_Biomass!T26/2)</f>
        <v/>
      </c>
      <c r="W26" s="354" t="str">
        <f>IF(Stand_Biomass!U26 = "", "", Stand_Biomass!U26/2)</f>
        <v/>
      </c>
      <c r="X26" s="354" t="str">
        <f>IF(Stand_Biomass!V26 = "", "", Stand_Biomass!V26/2)</f>
        <v/>
      </c>
      <c r="Y26" s="504" t="str">
        <f>IF(N26="","",N26*Stand!$G25)</f>
        <v/>
      </c>
      <c r="Z26" s="505" t="str">
        <f>IF(O26="","",O26*Stand!$G25)</f>
        <v/>
      </c>
      <c r="AA26" s="130"/>
      <c r="AB26" s="152" t="str">
        <f>IF($B26="","",SUMIF('Pre-Harvest Plots_rpt'!$B:$B,Stand_Biomass!$B26,'Pre-Harvest Plots_rpt'!Z:Z)/$D26)</f>
        <v/>
      </c>
      <c r="AC26" s="297" t="str">
        <f>IF($B26="","",SUMIF('Pre-Harvest Plots_rpt'!$B:$B,Stand_Biomass!$B26,'Pre-Harvest Plots_rpt'!AA:AA)/$D26)</f>
        <v/>
      </c>
      <c r="AD26" s="297" t="str">
        <f>IF($B26="","",SUMIF('Pre-Harvest Plots_rpt'!$B:$B,Stand_Biomass!$B26,'Pre-Harvest Plots_rpt'!AB:AB)/$D26)</f>
        <v/>
      </c>
      <c r="AE26" s="377" t="str">
        <f>IF(Stand_Biomass!AD26= "", "", Stand_Biomass!AD26/2)</f>
        <v/>
      </c>
      <c r="AF26" s="377" t="str">
        <f t="shared" si="3"/>
        <v/>
      </c>
      <c r="AG26" s="510" t="str">
        <f>IF(AE26="","",AE26*Stand!$G25)</f>
        <v/>
      </c>
      <c r="AH26" s="511" t="str">
        <f>IF(AF26="","",AF26*Stand!$G25)</f>
        <v/>
      </c>
      <c r="AK26" s="271"/>
      <c r="AL26" s="61"/>
      <c r="AP26" s="271"/>
    </row>
    <row r="27" spans="2:42" x14ac:dyDescent="0.25">
      <c r="B27" s="171" t="str">
        <f>IF(Stand!C26="","",Stand!C26)</f>
        <v/>
      </c>
      <c r="C27" s="364" t="str">
        <f>IF(Stand!G26="","",Stand!G26)</f>
        <v/>
      </c>
      <c r="D27" s="187" t="str">
        <f>IF($B27="","",VLOOKUP(B27,Stand!C:H,6,0))</f>
        <v/>
      </c>
      <c r="E27" s="130"/>
      <c r="F27" s="189" t="str">
        <f>IF($B27="","",SUMIF('Pre-Harvest Plots_rpt'!$B:$B,Stand_Biomass!$B27,'Pre-Harvest Plots_rpt'!$F:$F)/$D27)</f>
        <v/>
      </c>
      <c r="G27" s="122" t="str">
        <f>IF($B27="","",SUMIF('Pre-Harvest Plots_rpt'!$B:$B,Stand_Biomass!$B27,'Pre-Harvest Plots_rpt'!$G:$G)/$D27)</f>
        <v/>
      </c>
      <c r="H27" s="122" t="str">
        <f>IF($B27="","",SUMIF('Pre-Harvest Plots_rpt'!$B:$B,Stand_Biomass!$B27,'Pre-Harvest Plots_rpt'!$H:$H)/$D27)</f>
        <v/>
      </c>
      <c r="I27" s="121" t="str">
        <f>IF($B27="","",SUMIF('Pre-Harvest Plots_rpt'!$B:$B,Stand_Biomass!$B27,'Pre-Harvest Plots_rpt'!$I:$I)/$D27)</f>
        <v/>
      </c>
      <c r="J27" s="121" t="str">
        <f>IF($B27="","",SUMIF('Pre-Harvest Plots_rpt'!$B:$B,Stand_Biomass!$B27,'Pre-Harvest Plots_rpt'!$J:$J)/COUNTIFS('Pre-Harvest Plots_rpt'!$B:$B,Stand_Biomass!$B27,'Pre-Harvest Plots_rpt'!$J:$J,"&gt;"&amp;0))</f>
        <v/>
      </c>
      <c r="K27" s="121" t="str">
        <f>IF($B27="","",SUMIF('Pre-Harvest Plots_rpt'!$B:$B,Stand_Biomass!$B27,'Pre-Harvest Plots_rpt'!$K:$K)/$D27)</f>
        <v/>
      </c>
      <c r="L27" s="154" t="str">
        <f t="shared" si="1"/>
        <v/>
      </c>
      <c r="M27" s="135"/>
      <c r="N27" s="502" t="str">
        <f>IF(Stand_Biomass!M27 = "", "",#REF!/ 2)</f>
        <v/>
      </c>
      <c r="O27" s="372" t="str">
        <f t="shared" si="2"/>
        <v/>
      </c>
      <c r="P27" s="354" t="str">
        <f>IF(Stand_Biomass!N27 = "", "", Stand_Biomass!N27/2)</f>
        <v/>
      </c>
      <c r="Q27" s="354" t="str">
        <f>IF(Stand_Biomass!O27 = "", "", Stand_Biomass!O27/2)</f>
        <v/>
      </c>
      <c r="R27" s="354" t="str">
        <f>IF(Stand_Biomass!P27 = "", "", Stand_Biomass!P27/2)</f>
        <v/>
      </c>
      <c r="S27" s="354" t="str">
        <f>IF(Stand_Biomass!Q27 = "", "", Stand_Biomass!Q27/2)</f>
        <v/>
      </c>
      <c r="T27" s="354" t="str">
        <f>IF(Stand_Biomass!R27 = "", "", Stand_Biomass!R27/2)</f>
        <v/>
      </c>
      <c r="U27" s="354" t="str">
        <f>IF(Stand_Biomass!S27 = "", "", Stand_Biomass!S27/2)</f>
        <v/>
      </c>
      <c r="V27" s="354" t="str">
        <f>IF(Stand_Biomass!T27 = "", "", Stand_Biomass!T27/2)</f>
        <v/>
      </c>
      <c r="W27" s="354" t="str">
        <f>IF(Stand_Biomass!U27 = "", "", Stand_Biomass!U27/2)</f>
        <v/>
      </c>
      <c r="X27" s="354" t="str">
        <f>IF(Stand_Biomass!V27 = "", "", Stand_Biomass!V27/2)</f>
        <v/>
      </c>
      <c r="Y27" s="504" t="str">
        <f>IF(N27="","",N27*Stand!$G26)</f>
        <v/>
      </c>
      <c r="Z27" s="505" t="str">
        <f>IF(O27="","",O27*Stand!$G26)</f>
        <v/>
      </c>
      <c r="AA27" s="130"/>
      <c r="AB27" s="152" t="str">
        <f>IF($B27="","",SUMIF('Pre-Harvest Plots_rpt'!$B:$B,Stand_Biomass!$B27,'Pre-Harvest Plots_rpt'!Z:Z)/$D27)</f>
        <v/>
      </c>
      <c r="AC27" s="297" t="str">
        <f>IF($B27="","",SUMIF('Pre-Harvest Plots_rpt'!$B:$B,Stand_Biomass!$B27,'Pre-Harvest Plots_rpt'!AA:AA)/$D27)</f>
        <v/>
      </c>
      <c r="AD27" s="297" t="str">
        <f>IF($B27="","",SUMIF('Pre-Harvest Plots_rpt'!$B:$B,Stand_Biomass!$B27,'Pre-Harvest Plots_rpt'!AB:AB)/$D27)</f>
        <v/>
      </c>
      <c r="AE27" s="377" t="str">
        <f>IF(Stand_Biomass!AD27= "", "", Stand_Biomass!AD27/2)</f>
        <v/>
      </c>
      <c r="AF27" s="377" t="str">
        <f t="shared" si="3"/>
        <v/>
      </c>
      <c r="AG27" s="510" t="str">
        <f>IF(AE27="","",AE27*Stand!$G26)</f>
        <v/>
      </c>
      <c r="AH27" s="511" t="str">
        <f>IF(AF27="","",AF27*Stand!$G26)</f>
        <v/>
      </c>
      <c r="AK27" s="271"/>
      <c r="AL27" s="61"/>
      <c r="AP27" s="271"/>
    </row>
    <row r="28" spans="2:42" x14ac:dyDescent="0.25">
      <c r="B28" s="171" t="str">
        <f>IF(Stand!C27="","",Stand!C27)</f>
        <v/>
      </c>
      <c r="C28" s="364" t="str">
        <f>IF(Stand!G27="","",Stand!G27)</f>
        <v/>
      </c>
      <c r="D28" s="187" t="str">
        <f>IF($B28="","",VLOOKUP(B28,Stand!C:H,6,0))</f>
        <v/>
      </c>
      <c r="E28" s="130"/>
      <c r="F28" s="189" t="str">
        <f>IF($B28="","",SUMIF('Pre-Harvest Plots_rpt'!$B:$B,Stand_Biomass!$B28,'Pre-Harvest Plots_rpt'!$F:$F)/$D28)</f>
        <v/>
      </c>
      <c r="G28" s="122" t="str">
        <f>IF($B28="","",SUMIF('Pre-Harvest Plots_rpt'!$B:$B,Stand_Biomass!$B28,'Pre-Harvest Plots_rpt'!$G:$G)/$D28)</f>
        <v/>
      </c>
      <c r="H28" s="122" t="str">
        <f>IF($B28="","",SUMIF('Pre-Harvest Plots_rpt'!$B:$B,Stand_Biomass!$B28,'Pre-Harvest Plots_rpt'!$H:$H)/$D28)</f>
        <v/>
      </c>
      <c r="I28" s="121" t="str">
        <f>IF($B28="","",SUMIF('Pre-Harvest Plots_rpt'!$B:$B,Stand_Biomass!$B28,'Pre-Harvest Plots_rpt'!$I:$I)/$D28)</f>
        <v/>
      </c>
      <c r="J28" s="121" t="str">
        <f>IF($B28="","",SUMIF('Pre-Harvest Plots_rpt'!$B:$B,Stand_Biomass!$B28,'Pre-Harvest Plots_rpt'!$J:$J)/COUNTIFS('Pre-Harvest Plots_rpt'!$B:$B,Stand_Biomass!$B28,'Pre-Harvest Plots_rpt'!$J:$J,"&gt;"&amp;0))</f>
        <v/>
      </c>
      <c r="K28" s="121" t="str">
        <f>IF($B28="","",SUMIF('Pre-Harvest Plots_rpt'!$B:$B,Stand_Biomass!$B28,'Pre-Harvest Plots_rpt'!$K:$K)/$D28)</f>
        <v/>
      </c>
      <c r="L28" s="154" t="str">
        <f t="shared" si="1"/>
        <v/>
      </c>
      <c r="M28" s="135"/>
      <c r="N28" s="502" t="str">
        <f>IF(Stand_Biomass!M28 = "", "",#REF!/ 2)</f>
        <v/>
      </c>
      <c r="O28" s="372" t="str">
        <f t="shared" si="2"/>
        <v/>
      </c>
      <c r="P28" s="354" t="str">
        <f>IF(Stand_Biomass!N28 = "", "", Stand_Biomass!N28/2)</f>
        <v/>
      </c>
      <c r="Q28" s="354" t="str">
        <f>IF(Stand_Biomass!O28 = "", "", Stand_Biomass!O28/2)</f>
        <v/>
      </c>
      <c r="R28" s="354" t="str">
        <f>IF(Stand_Biomass!P28 = "", "", Stand_Biomass!P28/2)</f>
        <v/>
      </c>
      <c r="S28" s="354" t="str">
        <f>IF(Stand_Biomass!Q28 = "", "", Stand_Biomass!Q28/2)</f>
        <v/>
      </c>
      <c r="T28" s="354" t="str">
        <f>IF(Stand_Biomass!R28 = "", "", Stand_Biomass!R28/2)</f>
        <v/>
      </c>
      <c r="U28" s="354" t="str">
        <f>IF(Stand_Biomass!S28 = "", "", Stand_Biomass!S28/2)</f>
        <v/>
      </c>
      <c r="V28" s="354" t="str">
        <f>IF(Stand_Biomass!T28 = "", "", Stand_Biomass!T28/2)</f>
        <v/>
      </c>
      <c r="W28" s="354" t="str">
        <f>IF(Stand_Biomass!U28 = "", "", Stand_Biomass!U28/2)</f>
        <v/>
      </c>
      <c r="X28" s="354" t="str">
        <f>IF(Stand_Biomass!V28 = "", "", Stand_Biomass!V28/2)</f>
        <v/>
      </c>
      <c r="Y28" s="504" t="str">
        <f>IF(N28="","",N28*Stand!$G27)</f>
        <v/>
      </c>
      <c r="Z28" s="505" t="str">
        <f>IF(O28="","",O28*Stand!$G27)</f>
        <v/>
      </c>
      <c r="AA28" s="130"/>
      <c r="AB28" s="152" t="str">
        <f>IF($B28="","",SUMIF('Pre-Harvest Plots_rpt'!$B:$B,Stand_Biomass!$B28,'Pre-Harvest Plots_rpt'!Z:Z)/$D28)</f>
        <v/>
      </c>
      <c r="AC28" s="297" t="str">
        <f>IF($B28="","",SUMIF('Pre-Harvest Plots_rpt'!$B:$B,Stand_Biomass!$B28,'Pre-Harvest Plots_rpt'!AA:AA)/$D28)</f>
        <v/>
      </c>
      <c r="AD28" s="297" t="str">
        <f>IF($B28="","",SUMIF('Pre-Harvest Plots_rpt'!$B:$B,Stand_Biomass!$B28,'Pre-Harvest Plots_rpt'!AB:AB)/$D28)</f>
        <v/>
      </c>
      <c r="AE28" s="377" t="str">
        <f>IF(Stand_Biomass!AD28= "", "", Stand_Biomass!AD28/2)</f>
        <v/>
      </c>
      <c r="AF28" s="377" t="str">
        <f t="shared" si="3"/>
        <v/>
      </c>
      <c r="AG28" s="510" t="str">
        <f>IF(AE28="","",AE28*Stand!$G27)</f>
        <v/>
      </c>
      <c r="AH28" s="511" t="str">
        <f>IF(AF28="","",AF28*Stand!$G27)</f>
        <v/>
      </c>
      <c r="AK28" s="271"/>
      <c r="AL28" s="61"/>
      <c r="AP28" s="271"/>
    </row>
    <row r="29" spans="2:42" x14ac:dyDescent="0.25">
      <c r="B29" s="171" t="str">
        <f>IF(Stand!C28="","",Stand!C28)</f>
        <v/>
      </c>
      <c r="C29" s="364" t="str">
        <f>IF(Stand!G28="","",Stand!G28)</f>
        <v/>
      </c>
      <c r="D29" s="187" t="str">
        <f>IF($B29="","",VLOOKUP(B29,Stand!C:H,6,0))</f>
        <v/>
      </c>
      <c r="E29" s="130"/>
      <c r="F29" s="189" t="str">
        <f>IF($B29="","",SUMIF('Pre-Harvest Plots_rpt'!$B:$B,Stand_Biomass!$B29,'Pre-Harvest Plots_rpt'!$F:$F)/$D29)</f>
        <v/>
      </c>
      <c r="G29" s="122" t="str">
        <f>IF($B29="","",SUMIF('Pre-Harvest Plots_rpt'!$B:$B,Stand_Biomass!$B29,'Pre-Harvest Plots_rpt'!$G:$G)/$D29)</f>
        <v/>
      </c>
      <c r="H29" s="122" t="str">
        <f>IF($B29="","",SUMIF('Pre-Harvest Plots_rpt'!$B:$B,Stand_Biomass!$B29,'Pre-Harvest Plots_rpt'!$H:$H)/$D29)</f>
        <v/>
      </c>
      <c r="I29" s="121" t="str">
        <f>IF($B29="","",SUMIF('Pre-Harvest Plots_rpt'!$B:$B,Stand_Biomass!$B29,'Pre-Harvest Plots_rpt'!$I:$I)/$D29)</f>
        <v/>
      </c>
      <c r="J29" s="121" t="str">
        <f>IF($B29="","",SUMIF('Pre-Harvest Plots_rpt'!$B:$B,Stand_Biomass!$B29,'Pre-Harvest Plots_rpt'!$J:$J)/COUNTIFS('Pre-Harvest Plots_rpt'!$B:$B,Stand_Biomass!$B29,'Pre-Harvest Plots_rpt'!$J:$J,"&gt;"&amp;0))</f>
        <v/>
      </c>
      <c r="K29" s="121" t="str">
        <f>IF($B29="","",SUMIF('Pre-Harvest Plots_rpt'!$B:$B,Stand_Biomass!$B29,'Pre-Harvest Plots_rpt'!$K:$K)/$D29)</f>
        <v/>
      </c>
      <c r="L29" s="154" t="str">
        <f t="shared" si="1"/>
        <v/>
      </c>
      <c r="M29" s="135"/>
      <c r="N29" s="502" t="str">
        <f>IF(Stand_Biomass!M29 = "", "",#REF!/ 2)</f>
        <v/>
      </c>
      <c r="O29" s="372" t="str">
        <f t="shared" si="2"/>
        <v/>
      </c>
      <c r="P29" s="354" t="str">
        <f>IF(Stand_Biomass!N29 = "", "", Stand_Biomass!N29/2)</f>
        <v/>
      </c>
      <c r="Q29" s="354" t="str">
        <f>IF(Stand_Biomass!O29 = "", "", Stand_Biomass!O29/2)</f>
        <v/>
      </c>
      <c r="R29" s="354" t="str">
        <f>IF(Stand_Biomass!P29 = "", "", Stand_Biomass!P29/2)</f>
        <v/>
      </c>
      <c r="S29" s="354" t="str">
        <f>IF(Stand_Biomass!Q29 = "", "", Stand_Biomass!Q29/2)</f>
        <v/>
      </c>
      <c r="T29" s="354" t="str">
        <f>IF(Stand_Biomass!R29 = "", "", Stand_Biomass!R29/2)</f>
        <v/>
      </c>
      <c r="U29" s="354" t="str">
        <f>IF(Stand_Biomass!S29 = "", "", Stand_Biomass!S29/2)</f>
        <v/>
      </c>
      <c r="V29" s="354" t="str">
        <f>IF(Stand_Biomass!T29 = "", "", Stand_Biomass!T29/2)</f>
        <v/>
      </c>
      <c r="W29" s="354" t="str">
        <f>IF(Stand_Biomass!U29 = "", "", Stand_Biomass!U29/2)</f>
        <v/>
      </c>
      <c r="X29" s="354" t="str">
        <f>IF(Stand_Biomass!V29 = "", "", Stand_Biomass!V29/2)</f>
        <v/>
      </c>
      <c r="Y29" s="504" t="str">
        <f>IF(N29="","",N29*Stand!$G28)</f>
        <v/>
      </c>
      <c r="Z29" s="505" t="str">
        <f>IF(O29="","",O29*Stand!$G28)</f>
        <v/>
      </c>
      <c r="AA29" s="130"/>
      <c r="AB29" s="152" t="str">
        <f>IF($B29="","",SUMIF('Pre-Harvest Plots_rpt'!$B:$B,Stand_Biomass!$B29,'Pre-Harvest Plots_rpt'!Z:Z)/$D29)</f>
        <v/>
      </c>
      <c r="AC29" s="297" t="str">
        <f>IF($B29="","",SUMIF('Pre-Harvest Plots_rpt'!$B:$B,Stand_Biomass!$B29,'Pre-Harvest Plots_rpt'!AA:AA)/$D29)</f>
        <v/>
      </c>
      <c r="AD29" s="297" t="str">
        <f>IF($B29="","",SUMIF('Pre-Harvest Plots_rpt'!$B:$B,Stand_Biomass!$B29,'Pre-Harvest Plots_rpt'!AB:AB)/$D29)</f>
        <v/>
      </c>
      <c r="AE29" s="377" t="str">
        <f>IF(Stand_Biomass!AD29= "", "", Stand_Biomass!AD29/2)</f>
        <v/>
      </c>
      <c r="AF29" s="377" t="str">
        <f t="shared" si="3"/>
        <v/>
      </c>
      <c r="AG29" s="510" t="str">
        <f>IF(AE29="","",AE29*Stand!$G28)</f>
        <v/>
      </c>
      <c r="AH29" s="511" t="str">
        <f>IF(AF29="","",AF29*Stand!$G28)</f>
        <v/>
      </c>
      <c r="AK29" s="271"/>
      <c r="AL29" s="61"/>
      <c r="AP29" s="271"/>
    </row>
    <row r="30" spans="2:42" ht="13.8" thickBot="1" x14ac:dyDescent="0.3">
      <c r="B30" s="174" t="str">
        <f>IF(Stand!C29="","",Stand!C29)</f>
        <v/>
      </c>
      <c r="C30" s="365" t="str">
        <f>IF(Stand!G29="","",Stand!G29)</f>
        <v/>
      </c>
      <c r="D30" s="188" t="str">
        <f>IF($B30="","",VLOOKUP(B30,Stand!C:H,6,0))</f>
        <v/>
      </c>
      <c r="E30" s="130"/>
      <c r="F30" s="190" t="str">
        <f>IF($B30="","",SUMIF('Pre-Harvest Plots_rpt'!$B:$B,Stand_Biomass!$B30,'Pre-Harvest Plots_rpt'!$F:$F)/$D30)</f>
        <v/>
      </c>
      <c r="G30" s="163" t="str">
        <f>IF($B30="","",SUMIF('Pre-Harvest Plots_rpt'!$B:$B,Stand_Biomass!$B30,'Pre-Harvest Plots_rpt'!$G:$G)/$D30)</f>
        <v/>
      </c>
      <c r="H30" s="163" t="str">
        <f>IF($B30="","",SUMIF('Pre-Harvest Plots_rpt'!$B:$B,Stand_Biomass!$B30,'Pre-Harvest Plots_rpt'!$H:$H)/$D30)</f>
        <v/>
      </c>
      <c r="I30" s="164" t="str">
        <f>IF($B30="","",SUMIF('Pre-Harvest Plots_rpt'!$B:$B,Stand_Biomass!$B30,'Pre-Harvest Plots_rpt'!$I:$I)/$D30)</f>
        <v/>
      </c>
      <c r="J30" s="164" t="str">
        <f>IF($B30="","",SUMIF('Pre-Harvest Plots_rpt'!$B:$B,Stand_Biomass!$B30,'Pre-Harvest Plots_rpt'!$J:$J)/COUNTIFS('Pre-Harvest Plots_rpt'!$B:$B,Stand_Biomass!$B30,'Pre-Harvest Plots_rpt'!$J:$J,"&gt;"&amp;0))</f>
        <v/>
      </c>
      <c r="K30" s="164" t="str">
        <f>IF($B30="","",SUMIF('Pre-Harvest Plots_rpt'!$B:$B,Stand_Biomass!$B30,'Pre-Harvest Plots_rpt'!$K:$K)/$D30)</f>
        <v/>
      </c>
      <c r="L30" s="165" t="str">
        <f t="shared" si="1"/>
        <v/>
      </c>
      <c r="M30" s="135"/>
      <c r="N30" s="503" t="str">
        <f>IF(Stand_Biomass!M30 = "", "",#REF!/ 2)</f>
        <v/>
      </c>
      <c r="O30" s="374" t="str">
        <f t="shared" si="2"/>
        <v/>
      </c>
      <c r="P30" s="355" t="str">
        <f>IF(Stand_Biomass!N30 = "", "", Stand_Biomass!N30/2)</f>
        <v/>
      </c>
      <c r="Q30" s="355" t="str">
        <f>IF(Stand_Biomass!O30 = "", "", Stand_Biomass!O30/2)</f>
        <v/>
      </c>
      <c r="R30" s="355" t="str">
        <f>IF(Stand_Biomass!P30 = "", "", Stand_Biomass!P30/2)</f>
        <v/>
      </c>
      <c r="S30" s="355" t="str">
        <f>IF(Stand_Biomass!Q30 = "", "", Stand_Biomass!Q30/2)</f>
        <v/>
      </c>
      <c r="T30" s="355" t="str">
        <f>IF(Stand_Biomass!R30 = "", "", Stand_Biomass!R30/2)</f>
        <v/>
      </c>
      <c r="U30" s="355" t="str">
        <f>IF(Stand_Biomass!S30 = "", "", Stand_Biomass!S30/2)</f>
        <v/>
      </c>
      <c r="V30" s="355" t="str">
        <f>IF(Stand_Biomass!T30 = "", "", Stand_Biomass!T30/2)</f>
        <v/>
      </c>
      <c r="W30" s="355" t="str">
        <f>IF(Stand_Biomass!U30 = "", "", Stand_Biomass!U30/2)</f>
        <v/>
      </c>
      <c r="X30" s="355" t="str">
        <f>IF(Stand_Biomass!V30 = "", "", Stand_Biomass!V30/2)</f>
        <v/>
      </c>
      <c r="Y30" s="506" t="str">
        <f>IF(N30="","",N30*Stand!$G29)</f>
        <v/>
      </c>
      <c r="Z30" s="507" t="str">
        <f>IF(O30="","",O30*Stand!$G29)</f>
        <v/>
      </c>
      <c r="AA30" s="130"/>
      <c r="AB30" s="299" t="str">
        <f>IF($B30="","",SUMIF('Pre-Harvest Plots_rpt'!$B:$B,Stand_Biomass!$B30,'Pre-Harvest Plots_rpt'!Z:Z)/$D30)</f>
        <v/>
      </c>
      <c r="AC30" s="300" t="str">
        <f>IF($B30="","",SUMIF('Pre-Harvest Plots_rpt'!$B:$B,Stand_Biomass!$B30,'Pre-Harvest Plots_rpt'!AA:AA)/$D30)</f>
        <v/>
      </c>
      <c r="AD30" s="300" t="str">
        <f>IF($B30="","",SUMIF('Pre-Harvest Plots_rpt'!$B:$B,Stand_Biomass!$B30,'Pre-Harvest Plots_rpt'!AB:AB)/$D30)</f>
        <v/>
      </c>
      <c r="AE30" s="378" t="str">
        <f>IF(Stand_Biomass!AD30= "", "", Stand_Biomass!AD30/2)</f>
        <v/>
      </c>
      <c r="AF30" s="378" t="str">
        <f t="shared" si="3"/>
        <v/>
      </c>
      <c r="AG30" s="512" t="str">
        <f>IF(AE30="","",AE30*Stand!$G29)</f>
        <v/>
      </c>
      <c r="AH30" s="513" t="str">
        <f>IF(AF30="","",AF30*Stand!$G29)</f>
        <v/>
      </c>
    </row>
    <row r="31" spans="2:42" x14ac:dyDescent="0.25">
      <c r="B31" s="17"/>
      <c r="C31" s="17"/>
      <c r="D31" s="17"/>
      <c r="E31" s="180"/>
      <c r="F31" s="19"/>
      <c r="G31" s="11"/>
      <c r="H31" s="11"/>
      <c r="I31" s="11"/>
      <c r="J31" s="11"/>
      <c r="K31" s="11"/>
      <c r="L31" s="11"/>
      <c r="M31" s="182"/>
      <c r="N31" s="11"/>
      <c r="O31" s="11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184"/>
      <c r="AB31" s="20"/>
      <c r="AC31" s="20"/>
      <c r="AD31" s="20"/>
      <c r="AE31" s="20"/>
      <c r="AF31" s="20"/>
      <c r="AG31" s="20"/>
      <c r="AH31" s="20"/>
    </row>
    <row r="32" spans="2:42" x14ac:dyDescent="0.25">
      <c r="B32" s="17"/>
      <c r="C32" s="17"/>
      <c r="D32" s="15"/>
      <c r="E32" s="181"/>
      <c r="F32" s="19"/>
      <c r="G32" s="11"/>
      <c r="H32" s="11"/>
      <c r="I32" s="11"/>
      <c r="J32" s="11"/>
      <c r="K32" s="11"/>
      <c r="L32" s="11"/>
      <c r="M32" s="182"/>
      <c r="N32" s="11"/>
      <c r="O32" s="11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184"/>
      <c r="AB32" s="20"/>
      <c r="AC32" s="20"/>
      <c r="AD32" s="20"/>
      <c r="AE32" s="20"/>
      <c r="AF32" s="20"/>
      <c r="AG32" s="20"/>
      <c r="AH32" s="20"/>
    </row>
    <row r="33" spans="2:43" s="276" customFormat="1" x14ac:dyDescent="0.25">
      <c r="B33" s="284"/>
      <c r="C33" s="284"/>
      <c r="D33" s="290"/>
      <c r="E33" s="291"/>
      <c r="F33" s="285"/>
      <c r="G33" s="286"/>
      <c r="H33" s="286"/>
      <c r="I33" s="286"/>
      <c r="J33" s="286"/>
      <c r="K33" s="286"/>
      <c r="L33" s="286"/>
      <c r="M33" s="287"/>
      <c r="N33" s="286"/>
      <c r="O33" s="286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9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</row>
    <row r="34" spans="2:43" ht="13.8" thickBot="1" x14ac:dyDescent="0.3">
      <c r="B34" s="572" t="s">
        <v>236</v>
      </c>
      <c r="C34" s="572"/>
      <c r="D34" s="572"/>
      <c r="E34" s="180"/>
      <c r="F34" s="19"/>
      <c r="G34" s="11"/>
      <c r="H34" s="11"/>
      <c r="I34" s="11"/>
      <c r="J34" s="11"/>
      <c r="K34" s="11"/>
      <c r="L34" s="11"/>
      <c r="M34" s="182"/>
      <c r="N34" s="11"/>
      <c r="O34" s="11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184"/>
      <c r="AB34" s="20"/>
      <c r="AC34" s="20"/>
      <c r="AD34" s="20"/>
      <c r="AE34" s="20"/>
      <c r="AF34" s="20"/>
      <c r="AG34" s="20"/>
      <c r="AH34" s="20"/>
    </row>
    <row r="35" spans="2:43" ht="18" thickBot="1" x14ac:dyDescent="0.35">
      <c r="B35" s="573"/>
      <c r="C35" s="573"/>
      <c r="D35" s="573"/>
      <c r="E35" s="178"/>
      <c r="F35" s="569" t="s">
        <v>215</v>
      </c>
      <c r="G35" s="570"/>
      <c r="H35" s="570"/>
      <c r="I35" s="570"/>
      <c r="J35" s="570"/>
      <c r="K35" s="570"/>
      <c r="L35" s="571"/>
      <c r="M35" s="182"/>
      <c r="N35" s="595" t="s">
        <v>217</v>
      </c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7"/>
      <c r="AA35" s="184"/>
      <c r="AB35" s="598" t="s">
        <v>218</v>
      </c>
      <c r="AC35" s="599"/>
      <c r="AD35" s="599"/>
      <c r="AE35" s="599"/>
      <c r="AF35" s="599"/>
      <c r="AG35" s="599"/>
      <c r="AH35" s="600"/>
      <c r="AJ35" s="592" t="s">
        <v>282</v>
      </c>
      <c r="AK35" s="593"/>
      <c r="AL35" s="593"/>
      <c r="AM35" s="593"/>
      <c r="AN35" s="593"/>
      <c r="AO35" s="593"/>
      <c r="AP35" s="593"/>
      <c r="AQ35" s="594"/>
    </row>
    <row r="36" spans="2:43" ht="79.2" x14ac:dyDescent="0.25">
      <c r="B36" s="168" t="s">
        <v>82</v>
      </c>
      <c r="C36" s="363" t="s">
        <v>5</v>
      </c>
      <c r="D36" s="186" t="s">
        <v>6</v>
      </c>
      <c r="E36" s="129"/>
      <c r="F36" s="159" t="s">
        <v>85</v>
      </c>
      <c r="G36" s="149" t="s">
        <v>248</v>
      </c>
      <c r="H36" s="149" t="s">
        <v>249</v>
      </c>
      <c r="I36" s="150" t="s">
        <v>39</v>
      </c>
      <c r="J36" s="150" t="s">
        <v>232</v>
      </c>
      <c r="K36" s="150" t="s">
        <v>88</v>
      </c>
      <c r="L36" s="160" t="s">
        <v>89</v>
      </c>
      <c r="M36" s="183"/>
      <c r="N36" s="501" t="s">
        <v>265</v>
      </c>
      <c r="O36" s="370" t="s">
        <v>281</v>
      </c>
      <c r="P36" s="358" t="s">
        <v>266</v>
      </c>
      <c r="Q36" s="358" t="s">
        <v>267</v>
      </c>
      <c r="R36" s="358" t="s">
        <v>268</v>
      </c>
      <c r="S36" s="357" t="s">
        <v>269</v>
      </c>
      <c r="T36" s="358" t="s">
        <v>270</v>
      </c>
      <c r="U36" s="358" t="s">
        <v>271</v>
      </c>
      <c r="V36" s="358" t="s">
        <v>272</v>
      </c>
      <c r="W36" s="357" t="s">
        <v>273</v>
      </c>
      <c r="X36" s="357" t="s">
        <v>309</v>
      </c>
      <c r="Y36" s="370" t="s">
        <v>274</v>
      </c>
      <c r="Z36" s="371" t="s">
        <v>280</v>
      </c>
      <c r="AA36" s="185"/>
      <c r="AB36" s="360" t="s">
        <v>152</v>
      </c>
      <c r="AC36" s="361" t="s">
        <v>153</v>
      </c>
      <c r="AD36" s="361" t="s">
        <v>154</v>
      </c>
      <c r="AE36" s="376" t="s">
        <v>278</v>
      </c>
      <c r="AF36" s="376" t="s">
        <v>277</v>
      </c>
      <c r="AG36" s="508" t="s">
        <v>279</v>
      </c>
      <c r="AH36" s="509" t="s">
        <v>277</v>
      </c>
      <c r="AJ36" s="395"/>
      <c r="AK36" s="356" t="s">
        <v>284</v>
      </c>
      <c r="AL36" s="357" t="s">
        <v>285</v>
      </c>
      <c r="AM36" s="357" t="s">
        <v>286</v>
      </c>
      <c r="AN36" s="357" t="s">
        <v>288</v>
      </c>
      <c r="AO36" s="357" t="s">
        <v>291</v>
      </c>
      <c r="AP36" s="379" t="s">
        <v>283</v>
      </c>
      <c r="AQ36" s="369" t="s">
        <v>287</v>
      </c>
    </row>
    <row r="37" spans="2:43" x14ac:dyDescent="0.25">
      <c r="B37" s="171" t="str">
        <f>IF(Stand!C3="","",Stand!C3)</f>
        <v/>
      </c>
      <c r="C37" s="364" t="str">
        <f>IF(Stand!G3="","",Stand!G3)</f>
        <v/>
      </c>
      <c r="D37" s="187" t="str">
        <f>IF($B37="","",VLOOKUP(B37,Stand!C:H,6,0))</f>
        <v/>
      </c>
      <c r="E37" s="130"/>
      <c r="F37" s="189" t="str">
        <f>IF($B37="","",SUMIF('Post-Harvest Plots_rpt'!$B:$B,Stand_Biomass!$B37,'Post-Harvest Plots_rpt'!$F:$F)/$D37)</f>
        <v/>
      </c>
      <c r="G37" s="122" t="str">
        <f>IF($B37="","",SUMIF('Post-Harvest Plots_rpt'!$B:$B,Stand_Biomass!$B37,'Post-Harvest Plots_rpt'!$G:$G)/$D37)</f>
        <v/>
      </c>
      <c r="H37" s="122" t="str">
        <f>IF($B37="","",SUMIF('Post-Harvest Plots_rpt'!$B:$B,Stand_Biomass!$B37,'Post-Harvest Plots_rpt'!$H:$H)/$D37)</f>
        <v/>
      </c>
      <c r="I37" s="121" t="str">
        <f>IF($B37="","",SUMIF('Post-Harvest Plots_rpt'!$B:$B,Stand_Biomass!$B37,'Post-Harvest Plots_rpt'!$I:$I)/$D37)</f>
        <v/>
      </c>
      <c r="J37" s="121" t="str">
        <f>IF($B37="","",SUMIF('Post-Harvest Plots_rpt'!$B:$B,Stand_Biomass!$B37,'Post-Harvest Plots_rpt'!$J:$J)/COUNTIFS('Post-Harvest Plots_rpt'!$B:$B,Stand_Biomass!$B37,'Post-Harvest Plots_rpt'!$J:$J,"&gt;"&amp;0))</f>
        <v/>
      </c>
      <c r="K37" s="121" t="str">
        <f>IF($B37="","",SUMIF('Post-Harvest Plots_rpt'!$B:$B,Stand_Biomass!$B37,'Post-Harvest Plots_rpt'!$K:$K)/$D37)</f>
        <v/>
      </c>
      <c r="L37" s="154" t="str">
        <f t="shared" ref="L37" si="5">IF($B37="","",IF(OR(H37=0,I37=0),0,I37/SQRT(H37)))</f>
        <v/>
      </c>
      <c r="M37" s="135"/>
      <c r="N37" s="502" t="str">
        <f>IF(Stand_Biomass!M37="","",Stand_Biomass!M37/2)</f>
        <v/>
      </c>
      <c r="O37" s="372" t="str">
        <f>IF(N37="","",N37*44/12)</f>
        <v/>
      </c>
      <c r="P37" s="354" t="str">
        <f>IF(Stand_Biomass!N37="","",Stand_Biomass!N37/2)</f>
        <v/>
      </c>
      <c r="Q37" s="354" t="str">
        <f>IF(Stand_Biomass!O37="","",Stand_Biomass!O37/2)</f>
        <v/>
      </c>
      <c r="R37" s="354" t="str">
        <f>IF(Stand_Biomass!P37="","",Stand_Biomass!P37/2)</f>
        <v/>
      </c>
      <c r="S37" s="354" t="str">
        <f>IF(Stand_Biomass!Q37="","",Stand_Biomass!Q37/2)</f>
        <v/>
      </c>
      <c r="T37" s="354" t="str">
        <f>IF(Stand_Biomass!R37="","",Stand_Biomass!R37/2)</f>
        <v/>
      </c>
      <c r="U37" s="354" t="str">
        <f>IF(Stand_Biomass!S37="","",Stand_Biomass!S37/2)</f>
        <v/>
      </c>
      <c r="V37" s="354" t="str">
        <f>IF(Stand_Biomass!T37="","",Stand_Biomass!T37/2)</f>
        <v/>
      </c>
      <c r="W37" s="354" t="str">
        <f>IF(Stand_Biomass!U37="","",Stand_Biomass!U37/2)</f>
        <v/>
      </c>
      <c r="X37" s="354" t="str">
        <f>IF(Stand_Biomass!V37="","",Stand_Biomass!V37/2)</f>
        <v/>
      </c>
      <c r="Y37" s="372" t="str">
        <f>IF(N37="","",N37*Stand!$G3)</f>
        <v/>
      </c>
      <c r="Z37" s="373" t="str">
        <f>IF(O37="","",O37*Stand!$G3)</f>
        <v/>
      </c>
      <c r="AA37" s="130"/>
      <c r="AB37" s="152" t="str">
        <f>IF($B37="","",SUMIF('Post-Harvest Plots_rpt'!$B:$B,Stand_Biomass!$B37,'Post-Harvest Plots_rpt'!Z:Z)/$D37)</f>
        <v/>
      </c>
      <c r="AC37" s="297" t="str">
        <f>IF($B37="","",SUMIF('Post-Harvest Plots_rpt'!$B:$B,Stand_Biomass!$B37,'Post-Harvest Plots_rpt'!AA:AA)/$D37)</f>
        <v/>
      </c>
      <c r="AD37" s="297" t="str">
        <f>IF($B37="","",SUMIF('Post-Harvest Plots_rpt'!$B:$B,Stand_Biomass!$B37,'Post-Harvest Plots_rpt'!AB:AB)/$D37)</f>
        <v/>
      </c>
      <c r="AE37" s="377" t="str">
        <f>IF(Stand_Biomass!AD37="","",Stand_Biomass!AD37/2)</f>
        <v/>
      </c>
      <c r="AF37" s="377" t="str">
        <f>IF(AE37="","",AE37*44/12)</f>
        <v/>
      </c>
      <c r="AG37" s="510" t="str">
        <f>IF(AE37="","",AE37*Stand!$G3)</f>
        <v/>
      </c>
      <c r="AH37" s="511" t="str">
        <f>IF(AF37="","",AF37*Stand!$G3)</f>
        <v/>
      </c>
      <c r="AJ37" s="395" t="s">
        <v>308</v>
      </c>
      <c r="AK37" s="389">
        <f>SUM(Y37:Y63)</f>
        <v>0</v>
      </c>
      <c r="AL37" s="388">
        <f>AK37*0.2</f>
        <v>0</v>
      </c>
      <c r="AM37" s="387">
        <f>SUM(AG37:AG63)</f>
        <v>0</v>
      </c>
      <c r="AN37" s="390" t="e">
        <f>AP37/(SUM(C37:C63))</f>
        <v>#DIV/0!</v>
      </c>
      <c r="AO37" s="390" t="e">
        <f>AQ37/(SUM(C37:C63))</f>
        <v>#DIV/0!</v>
      </c>
      <c r="AP37" s="392">
        <f>SUM(AK37:AM37)</f>
        <v>0</v>
      </c>
      <c r="AQ37" s="393">
        <f>AP37*44/12</f>
        <v>0</v>
      </c>
    </row>
    <row r="38" spans="2:43" ht="13.8" thickBot="1" x14ac:dyDescent="0.3">
      <c r="B38" s="171" t="str">
        <f>IF(Stand!C4="","",Stand!C4)</f>
        <v/>
      </c>
      <c r="C38" s="364" t="str">
        <f>IF(Stand!G4="","",Stand!G4)</f>
        <v/>
      </c>
      <c r="D38" s="187" t="str">
        <f>IF($B38="","",VLOOKUP(B38,Stand!C:H,6,0))</f>
        <v/>
      </c>
      <c r="E38" s="130"/>
      <c r="F38" s="189" t="str">
        <f>IF($B38="","",SUMIF('Post-Harvest Plots_rpt'!$B:$B,Stand_Biomass!$B38,'Post-Harvest Plots_rpt'!$F:$F)/$D38)</f>
        <v/>
      </c>
      <c r="G38" s="122" t="str">
        <f>IF($B38="","",SUMIF('Post-Harvest Plots_rpt'!$B:$B,Stand_Biomass!$B38,'Post-Harvest Plots_rpt'!$G:$G)/$D38)</f>
        <v/>
      </c>
      <c r="H38" s="122" t="str">
        <f>IF($B38="","",SUMIF('Post-Harvest Plots_rpt'!$B:$B,Stand_Biomass!$B38,'Post-Harvest Plots_rpt'!$H:$H)/$D38)</f>
        <v/>
      </c>
      <c r="I38" s="121" t="str">
        <f>IF($B38="","",SUMIF('Post-Harvest Plots_rpt'!$B:$B,Stand_Biomass!$B38,'Post-Harvest Plots_rpt'!$I:$I)/$D38)</f>
        <v/>
      </c>
      <c r="J38" s="121" t="str">
        <f>IF($B38="","",SUMIF('Post-Harvest Plots_rpt'!$B:$B,Stand_Biomass!$B38,'Post-Harvest Plots_rpt'!$J:$J)/COUNTIFS('Post-Harvest Plots_rpt'!$B:$B,Stand_Biomass!$B38,'Post-Harvest Plots_rpt'!$J:$J,"&gt;"&amp;0))</f>
        <v/>
      </c>
      <c r="K38" s="121" t="str">
        <f>IF($B38="","",SUMIF('Post-Harvest Plots_rpt'!$B:$B,Stand_Biomass!$B38,'Post-Harvest Plots_rpt'!$K:$K)/$D38)</f>
        <v/>
      </c>
      <c r="L38" s="154" t="str">
        <f t="shared" ref="L38:L63" si="6">IF($B38="","",IF(OR(H38=0,I38=0),0,I38/SQRT(H38)))</f>
        <v/>
      </c>
      <c r="M38" s="135"/>
      <c r="N38" s="502" t="str">
        <f>IF(Stand_Biomass!M38="","",Stand_Biomass!M38/2)</f>
        <v/>
      </c>
      <c r="O38" s="372" t="str">
        <f t="shared" ref="O38:O63" si="7">IF(N38="","",N38*44/12)</f>
        <v/>
      </c>
      <c r="P38" s="354" t="str">
        <f>IF(Stand_Biomass!N38="","",Stand_Biomass!N38/2)</f>
        <v/>
      </c>
      <c r="Q38" s="354" t="str">
        <f>IF(Stand_Biomass!O38="","",Stand_Biomass!O38/2)</f>
        <v/>
      </c>
      <c r="R38" s="354" t="str">
        <f>IF(Stand_Biomass!P38="","",Stand_Biomass!P38/2)</f>
        <v/>
      </c>
      <c r="S38" s="354" t="str">
        <f>IF(Stand_Biomass!Q38="","",Stand_Biomass!Q38/2)</f>
        <v/>
      </c>
      <c r="T38" s="354" t="str">
        <f>IF(Stand_Biomass!R38="","",Stand_Biomass!R38/2)</f>
        <v/>
      </c>
      <c r="U38" s="354" t="str">
        <f>IF(Stand_Biomass!S38="","",Stand_Biomass!S38/2)</f>
        <v/>
      </c>
      <c r="V38" s="354" t="str">
        <f>IF(Stand_Biomass!T38="","",Stand_Biomass!T38/2)</f>
        <v/>
      </c>
      <c r="W38" s="354" t="str">
        <f>IF(Stand_Biomass!U38="","",Stand_Biomass!U38/2)</f>
        <v/>
      </c>
      <c r="X38" s="354" t="str">
        <f>IF(Stand_Biomass!V38="","",Stand_Biomass!V38/2)</f>
        <v/>
      </c>
      <c r="Y38" s="372" t="str">
        <f>IF(N38="","",N38*Stand!$G4)</f>
        <v/>
      </c>
      <c r="Z38" s="373" t="str">
        <f>IF(O38="","",O38*Stand!$G4)</f>
        <v/>
      </c>
      <c r="AA38" s="130"/>
      <c r="AB38" s="152" t="str">
        <f>IF($B38="","",SUMIF('Post-Harvest Plots_rpt'!$B:$B,Stand_Biomass!$B38,'Post-Harvest Plots_rpt'!Z:Z)/$D38)</f>
        <v/>
      </c>
      <c r="AC38" s="297" t="str">
        <f>IF($B38="","",SUMIF('Post-Harvest Plots_rpt'!$B:$B,Stand_Biomass!$B38,'Post-Harvest Plots_rpt'!AA:AA)/$D38)</f>
        <v/>
      </c>
      <c r="AD38" s="297" t="str">
        <f>IF($B38="","",SUMIF('Post-Harvest Plots_rpt'!$B:$B,Stand_Biomass!$B38,'Post-Harvest Plots_rpt'!AB:AB)/$D38)</f>
        <v/>
      </c>
      <c r="AE38" s="377" t="str">
        <f>IF(Stand_Biomass!AD38="","",Stand_Biomass!AD38/2)</f>
        <v/>
      </c>
      <c r="AF38" s="377" t="str">
        <f t="shared" ref="AF38:AF63" si="8">IF(AE38="","",AE38*44/12)</f>
        <v/>
      </c>
      <c r="AG38" s="510" t="str">
        <f>IF(AE38="","",AE38*Stand!$G4)</f>
        <v/>
      </c>
      <c r="AH38" s="511" t="str">
        <f>IF(AF38="","",AF38*Stand!$G4)</f>
        <v/>
      </c>
      <c r="AJ38" s="396" t="s">
        <v>292</v>
      </c>
      <c r="AK38" s="366">
        <f>AK37*0.907185</f>
        <v>0</v>
      </c>
      <c r="AL38" s="367">
        <f t="shared" ref="AL38" si="9">AL37*0.907185</f>
        <v>0</v>
      </c>
      <c r="AM38" s="367">
        <f t="shared" ref="AM38" si="10">AM37*0.907185</f>
        <v>0</v>
      </c>
      <c r="AN38" s="391" t="e">
        <f t="shared" ref="AN38" si="11">AN37*0.907185</f>
        <v>#DIV/0!</v>
      </c>
      <c r="AO38" s="391" t="e">
        <f t="shared" ref="AO38" si="12">AO37*0.907185</f>
        <v>#DIV/0!</v>
      </c>
      <c r="AP38" s="368">
        <f t="shared" ref="AP38" si="13">AP37*0.907185</f>
        <v>0</v>
      </c>
      <c r="AQ38" s="424">
        <f t="shared" ref="AQ38" si="14">AQ37*0.907185</f>
        <v>0</v>
      </c>
    </row>
    <row r="39" spans="2:43" x14ac:dyDescent="0.25">
      <c r="B39" s="171" t="str">
        <f>IF(Stand!C5="","",Stand!C5)</f>
        <v/>
      </c>
      <c r="C39" s="364" t="str">
        <f>IF(Stand!G5="","",Stand!G5)</f>
        <v/>
      </c>
      <c r="D39" s="187" t="str">
        <f>IF($B39="","",VLOOKUP(B39,Stand!C:H,6,0))</f>
        <v/>
      </c>
      <c r="E39" s="130"/>
      <c r="F39" s="189" t="str">
        <f>IF($B39="","",SUMIF('Post-Harvest Plots_rpt'!$B:$B,Stand_Biomass!$B39,'Post-Harvest Plots_rpt'!$F:$F)/$D39)</f>
        <v/>
      </c>
      <c r="G39" s="122" t="str">
        <f>IF($B39="","",SUMIF('Post-Harvest Plots_rpt'!$B:$B,Stand_Biomass!$B39,'Post-Harvest Plots_rpt'!$G:$G)/$D39)</f>
        <v/>
      </c>
      <c r="H39" s="122" t="str">
        <f>IF($B39="","",SUMIF('Post-Harvest Plots_rpt'!$B:$B,Stand_Biomass!$B39,'Post-Harvest Plots_rpt'!$H:$H)/$D39)</f>
        <v/>
      </c>
      <c r="I39" s="121" t="str">
        <f>IF($B39="","",SUMIF('Post-Harvest Plots_rpt'!$B:$B,Stand_Biomass!$B39,'Post-Harvest Plots_rpt'!$I:$I)/$D39)</f>
        <v/>
      </c>
      <c r="J39" s="121" t="str">
        <f>IF($B39="","",SUMIF('Post-Harvest Plots_rpt'!$B:$B,Stand_Biomass!$B39,'Post-Harvest Plots_rpt'!$J:$J)/COUNTIFS('Post-Harvest Plots_rpt'!$B:$B,Stand_Biomass!$B39,'Post-Harvest Plots_rpt'!$J:$J,"&gt;"&amp;0))</f>
        <v/>
      </c>
      <c r="K39" s="121" t="str">
        <f>IF($B39="","",SUMIF('Post-Harvest Plots_rpt'!$B:$B,Stand_Biomass!$B39,'Post-Harvest Plots_rpt'!$K:$K)/$D39)</f>
        <v/>
      </c>
      <c r="L39" s="154" t="str">
        <f t="shared" si="6"/>
        <v/>
      </c>
      <c r="M39" s="135"/>
      <c r="N39" s="502" t="str">
        <f>IF(Stand_Biomass!M39="","",Stand_Biomass!M39/2)</f>
        <v/>
      </c>
      <c r="O39" s="372" t="str">
        <f t="shared" si="7"/>
        <v/>
      </c>
      <c r="P39" s="354" t="str">
        <f>IF(Stand_Biomass!N39="","",Stand_Biomass!N39/2)</f>
        <v/>
      </c>
      <c r="Q39" s="354" t="str">
        <f>IF(Stand_Biomass!O39="","",Stand_Biomass!O39/2)</f>
        <v/>
      </c>
      <c r="R39" s="354" t="str">
        <f>IF(Stand_Biomass!P39="","",Stand_Biomass!P39/2)</f>
        <v/>
      </c>
      <c r="S39" s="354" t="str">
        <f>IF(Stand_Biomass!Q39="","",Stand_Biomass!Q39/2)</f>
        <v/>
      </c>
      <c r="T39" s="354" t="str">
        <f>IF(Stand_Biomass!R39="","",Stand_Biomass!R39/2)</f>
        <v/>
      </c>
      <c r="U39" s="354" t="str">
        <f>IF(Stand_Biomass!S39="","",Stand_Biomass!S39/2)</f>
        <v/>
      </c>
      <c r="V39" s="354" t="str">
        <f>IF(Stand_Biomass!T39="","",Stand_Biomass!T39/2)</f>
        <v/>
      </c>
      <c r="W39" s="354" t="str">
        <f>IF(Stand_Biomass!U39="","",Stand_Biomass!U39/2)</f>
        <v/>
      </c>
      <c r="X39" s="354" t="str">
        <f>IF(Stand_Biomass!V39="","",Stand_Biomass!V39/2)</f>
        <v/>
      </c>
      <c r="Y39" s="372" t="str">
        <f>IF(N39="","",N39*Stand!$G5)</f>
        <v/>
      </c>
      <c r="Z39" s="373" t="str">
        <f>IF(O39="","",O39*Stand!$G5)</f>
        <v/>
      </c>
      <c r="AA39" s="130"/>
      <c r="AB39" s="152" t="str">
        <f>IF($B39="","",SUMIF('Post-Harvest Plots_rpt'!$B:$B,Stand_Biomass!$B39,'Post-Harvest Plots_rpt'!Z:Z)/$D39)</f>
        <v/>
      </c>
      <c r="AC39" s="297" t="str">
        <f>IF($B39="","",SUMIF('Post-Harvest Plots_rpt'!$B:$B,Stand_Biomass!$B39,'Post-Harvest Plots_rpt'!AA:AA)/$D39)</f>
        <v/>
      </c>
      <c r="AD39" s="297" t="str">
        <f>IF($B39="","",SUMIF('Post-Harvest Plots_rpt'!$B:$B,Stand_Biomass!$B39,'Post-Harvest Plots_rpt'!AB:AB)/$D39)</f>
        <v/>
      </c>
      <c r="AE39" s="377" t="str">
        <f>IF(Stand_Biomass!AD39="","",Stand_Biomass!AD39/2)</f>
        <v/>
      </c>
      <c r="AF39" s="377" t="str">
        <f t="shared" si="8"/>
        <v/>
      </c>
      <c r="AG39" s="510" t="str">
        <f>IF(AE39="","",AE39*Stand!$G5)</f>
        <v/>
      </c>
      <c r="AH39" s="511" t="str">
        <f>IF(AF39="","",AF39*Stand!$G5)</f>
        <v/>
      </c>
    </row>
    <row r="40" spans="2:43" x14ac:dyDescent="0.25">
      <c r="B40" s="171" t="str">
        <f>IF(Stand!C6="","",Stand!C6)</f>
        <v/>
      </c>
      <c r="C40" s="364" t="str">
        <f>IF(Stand!G6="","",Stand!G6)</f>
        <v/>
      </c>
      <c r="D40" s="187" t="str">
        <f>IF($B40="","",VLOOKUP(B40,Stand!C:H,6,0))</f>
        <v/>
      </c>
      <c r="E40" s="130"/>
      <c r="F40" s="189" t="str">
        <f>IF($B40="","",SUMIF('Post-Harvest Plots_rpt'!$B:$B,Stand_Biomass!$B40,'Post-Harvest Plots_rpt'!$F:$F)/$D40)</f>
        <v/>
      </c>
      <c r="G40" s="122" t="str">
        <f>IF($B40="","",SUMIF('Post-Harvest Plots_rpt'!$B:$B,Stand_Biomass!$B40,'Post-Harvest Plots_rpt'!$G:$G)/$D40)</f>
        <v/>
      </c>
      <c r="H40" s="122" t="str">
        <f>IF($B40="","",SUMIF('Post-Harvest Plots_rpt'!$B:$B,Stand_Biomass!$B40,'Post-Harvest Plots_rpt'!$H:$H)/$D40)</f>
        <v/>
      </c>
      <c r="I40" s="121" t="str">
        <f>IF($B40="","",SUMIF('Post-Harvest Plots_rpt'!$B:$B,Stand_Biomass!$B40,'Post-Harvest Plots_rpt'!$I:$I)/$D40)</f>
        <v/>
      </c>
      <c r="J40" s="121" t="str">
        <f>IF($B40="","",SUMIF('Post-Harvest Plots_rpt'!$B:$B,Stand_Biomass!$B40,'Post-Harvest Plots_rpt'!$J:$J)/COUNTIFS('Post-Harvest Plots_rpt'!$B:$B,Stand_Biomass!$B40,'Post-Harvest Plots_rpt'!$J:$J,"&gt;"&amp;0))</f>
        <v/>
      </c>
      <c r="K40" s="121" t="str">
        <f>IF($B40="","",SUMIF('Post-Harvest Plots_rpt'!$B:$B,Stand_Biomass!$B40,'Post-Harvest Plots_rpt'!$K:$K)/$D40)</f>
        <v/>
      </c>
      <c r="L40" s="154" t="str">
        <f t="shared" si="6"/>
        <v/>
      </c>
      <c r="M40" s="135"/>
      <c r="N40" s="502" t="str">
        <f>IF(Stand_Biomass!M40="","",Stand_Biomass!M40/2)</f>
        <v/>
      </c>
      <c r="O40" s="372" t="str">
        <f t="shared" si="7"/>
        <v/>
      </c>
      <c r="P40" s="354" t="str">
        <f>IF(Stand_Biomass!N40="","",Stand_Biomass!N40/2)</f>
        <v/>
      </c>
      <c r="Q40" s="354" t="str">
        <f>IF(Stand_Biomass!O40="","",Stand_Biomass!O40/2)</f>
        <v/>
      </c>
      <c r="R40" s="354" t="str">
        <f>IF(Stand_Biomass!P40="","",Stand_Biomass!P40/2)</f>
        <v/>
      </c>
      <c r="S40" s="354" t="str">
        <f>IF(Stand_Biomass!Q40="","",Stand_Biomass!Q40/2)</f>
        <v/>
      </c>
      <c r="T40" s="354" t="str">
        <f>IF(Stand_Biomass!R40="","",Stand_Biomass!R40/2)</f>
        <v/>
      </c>
      <c r="U40" s="354" t="str">
        <f>IF(Stand_Biomass!S40="","",Stand_Biomass!S40/2)</f>
        <v/>
      </c>
      <c r="V40" s="354" t="str">
        <f>IF(Stand_Biomass!T40="","",Stand_Biomass!T40/2)</f>
        <v/>
      </c>
      <c r="W40" s="354" t="str">
        <f>IF(Stand_Biomass!U40="","",Stand_Biomass!U40/2)</f>
        <v/>
      </c>
      <c r="X40" s="354" t="str">
        <f>IF(Stand_Biomass!V40="","",Stand_Biomass!V40/2)</f>
        <v/>
      </c>
      <c r="Y40" s="372" t="str">
        <f>IF(N40="","",N40*Stand!$G6)</f>
        <v/>
      </c>
      <c r="Z40" s="373" t="str">
        <f>IF(O40="","",O40*Stand!$G6)</f>
        <v/>
      </c>
      <c r="AA40" s="130"/>
      <c r="AB40" s="152" t="str">
        <f>IF($B40="","",SUMIF('Post-Harvest Plots_rpt'!$B:$B,Stand_Biomass!$B40,'Post-Harvest Plots_rpt'!Z:Z)/$D40)</f>
        <v/>
      </c>
      <c r="AC40" s="297" t="str">
        <f>IF($B40="","",SUMIF('Post-Harvest Plots_rpt'!$B:$B,Stand_Biomass!$B40,'Post-Harvest Plots_rpt'!AA:AA)/$D40)</f>
        <v/>
      </c>
      <c r="AD40" s="297" t="str">
        <f>IF($B40="","",SUMIF('Post-Harvest Plots_rpt'!$B:$B,Stand_Biomass!$B40,'Post-Harvest Plots_rpt'!AB:AB)/$D40)</f>
        <v/>
      </c>
      <c r="AE40" s="377" t="str">
        <f>IF(Stand_Biomass!AD40="","",Stand_Biomass!AD40/2)</f>
        <v/>
      </c>
      <c r="AF40" s="377" t="str">
        <f t="shared" si="8"/>
        <v/>
      </c>
      <c r="AG40" s="510" t="str">
        <f>IF(AE40="","",AE40*Stand!$G6)</f>
        <v/>
      </c>
      <c r="AH40" s="511" t="str">
        <f>IF(AF40="","",AF40*Stand!$G6)</f>
        <v/>
      </c>
    </row>
    <row r="41" spans="2:43" x14ac:dyDescent="0.25">
      <c r="B41" s="171" t="str">
        <f>IF(Stand!C7="","",Stand!C7)</f>
        <v/>
      </c>
      <c r="C41" s="364" t="str">
        <f>IF(Stand!G7="","",Stand!G7)</f>
        <v/>
      </c>
      <c r="D41" s="187" t="str">
        <f>IF($B41="","",VLOOKUP(B41,Stand!C:H,6,0))</f>
        <v/>
      </c>
      <c r="E41" s="130"/>
      <c r="F41" s="189" t="str">
        <f>IF($B41="","",SUMIF('Post-Harvest Plots_rpt'!$B:$B,Stand_Biomass!$B41,'Post-Harvest Plots_rpt'!$F:$F)/$D41)</f>
        <v/>
      </c>
      <c r="G41" s="122" t="str">
        <f>IF($B41="","",SUMIF('Post-Harvest Plots_rpt'!$B:$B,Stand_Biomass!$B41,'Post-Harvest Plots_rpt'!$G:$G)/$D41)</f>
        <v/>
      </c>
      <c r="H41" s="122" t="str">
        <f>IF($B41="","",SUMIF('Post-Harvest Plots_rpt'!$B:$B,Stand_Biomass!$B41,'Post-Harvest Plots_rpt'!$H:$H)/$D41)</f>
        <v/>
      </c>
      <c r="I41" s="121" t="str">
        <f>IF($B41="","",SUMIF('Post-Harvest Plots_rpt'!$B:$B,Stand_Biomass!$B41,'Post-Harvest Plots_rpt'!$I:$I)/$D41)</f>
        <v/>
      </c>
      <c r="J41" s="121" t="str">
        <f>IF($B41="","",SUMIF('Post-Harvest Plots_rpt'!$B:$B,Stand_Biomass!$B41,'Post-Harvest Plots_rpt'!$J:$J)/COUNTIFS('Post-Harvest Plots_rpt'!$B:$B,Stand_Biomass!$B41,'Post-Harvest Plots_rpt'!$J:$J,"&gt;"&amp;0))</f>
        <v/>
      </c>
      <c r="K41" s="121" t="str">
        <f>IF($B41="","",SUMIF('Post-Harvest Plots_rpt'!$B:$B,Stand_Biomass!$B41,'Post-Harvest Plots_rpt'!$K:$K)/$D41)</f>
        <v/>
      </c>
      <c r="L41" s="154" t="str">
        <f t="shared" si="6"/>
        <v/>
      </c>
      <c r="M41" s="135"/>
      <c r="N41" s="502" t="str">
        <f>IF(Stand_Biomass!M41="","",Stand_Biomass!M41/2)</f>
        <v/>
      </c>
      <c r="O41" s="372" t="str">
        <f t="shared" si="7"/>
        <v/>
      </c>
      <c r="P41" s="354" t="str">
        <f>IF(Stand_Biomass!N41="","",Stand_Biomass!N41/2)</f>
        <v/>
      </c>
      <c r="Q41" s="354" t="str">
        <f>IF(Stand_Biomass!O41="","",Stand_Biomass!O41/2)</f>
        <v/>
      </c>
      <c r="R41" s="354" t="str">
        <f>IF(Stand_Biomass!P41="","",Stand_Biomass!P41/2)</f>
        <v/>
      </c>
      <c r="S41" s="354" t="str">
        <f>IF(Stand_Biomass!Q41="","",Stand_Biomass!Q41/2)</f>
        <v/>
      </c>
      <c r="T41" s="354" t="str">
        <f>IF(Stand_Biomass!R41="","",Stand_Biomass!R41/2)</f>
        <v/>
      </c>
      <c r="U41" s="354" t="str">
        <f>IF(Stand_Biomass!S41="","",Stand_Biomass!S41/2)</f>
        <v/>
      </c>
      <c r="V41" s="354" t="str">
        <f>IF(Stand_Biomass!T41="","",Stand_Biomass!T41/2)</f>
        <v/>
      </c>
      <c r="W41" s="354" t="str">
        <f>IF(Stand_Biomass!U41="","",Stand_Biomass!U41/2)</f>
        <v/>
      </c>
      <c r="X41" s="354" t="str">
        <f>IF(Stand_Biomass!V41="","",Stand_Biomass!V41/2)</f>
        <v/>
      </c>
      <c r="Y41" s="372" t="str">
        <f>IF(N41="","",N41*Stand!$G7)</f>
        <v/>
      </c>
      <c r="Z41" s="373" t="str">
        <f>IF(O41="","",O41*Stand!$G7)</f>
        <v/>
      </c>
      <c r="AA41" s="130"/>
      <c r="AB41" s="152" t="str">
        <f>IF($B41="","",SUMIF('Post-Harvest Plots_rpt'!$B:$B,Stand_Biomass!$B41,'Post-Harvest Plots_rpt'!Z:Z)/$D41)</f>
        <v/>
      </c>
      <c r="AC41" s="297" t="str">
        <f>IF($B41="","",SUMIF('Post-Harvest Plots_rpt'!$B:$B,Stand_Biomass!$B41,'Post-Harvest Plots_rpt'!AA:AA)/$D41)</f>
        <v/>
      </c>
      <c r="AD41" s="297" t="str">
        <f>IF($B41="","",SUMIF('Post-Harvest Plots_rpt'!$B:$B,Stand_Biomass!$B41,'Post-Harvest Plots_rpt'!AB:AB)/$D41)</f>
        <v/>
      </c>
      <c r="AE41" s="377" t="str">
        <f>IF(Stand_Biomass!AD41="","",Stand_Biomass!AD41/2)</f>
        <v/>
      </c>
      <c r="AF41" s="377" t="str">
        <f t="shared" si="8"/>
        <v/>
      </c>
      <c r="AG41" s="510" t="str">
        <f>IF(AE41="","",AE41*Stand!$G7)</f>
        <v/>
      </c>
      <c r="AH41" s="511" t="str">
        <f>IF(AF41="","",AF41*Stand!$G7)</f>
        <v/>
      </c>
    </row>
    <row r="42" spans="2:43" x14ac:dyDescent="0.25">
      <c r="B42" s="171" t="str">
        <f>IF(Stand!C8="","",Stand!C8)</f>
        <v/>
      </c>
      <c r="C42" s="364" t="str">
        <f>IF(Stand!G8="","",Stand!G8)</f>
        <v/>
      </c>
      <c r="D42" s="187" t="str">
        <f>IF($B42="","",VLOOKUP(B42,Stand!C:H,6,0))</f>
        <v/>
      </c>
      <c r="E42" s="130"/>
      <c r="F42" s="189" t="str">
        <f>IF($B42="","",SUMIF('Post-Harvest Plots_rpt'!$B:$B,Stand_Biomass!$B42,'Post-Harvest Plots_rpt'!$F:$F)/$D42)</f>
        <v/>
      </c>
      <c r="G42" s="122" t="str">
        <f>IF($B42="","",SUMIF('Post-Harvest Plots_rpt'!$B:$B,Stand_Biomass!$B42,'Post-Harvest Plots_rpt'!$G:$G)/$D42)</f>
        <v/>
      </c>
      <c r="H42" s="122" t="str">
        <f>IF($B42="","",SUMIF('Post-Harvest Plots_rpt'!$B:$B,Stand_Biomass!$B42,'Post-Harvest Plots_rpt'!$H:$H)/$D42)</f>
        <v/>
      </c>
      <c r="I42" s="121" t="str">
        <f>IF($B42="","",SUMIF('Post-Harvest Plots_rpt'!$B:$B,Stand_Biomass!$B42,'Post-Harvest Plots_rpt'!$I:$I)/$D42)</f>
        <v/>
      </c>
      <c r="J42" s="121" t="str">
        <f>IF($B42="","",SUMIF('Post-Harvest Plots_rpt'!$B:$B,Stand_Biomass!$B42,'Post-Harvest Plots_rpt'!$J:$J)/COUNTIFS('Post-Harvest Plots_rpt'!$B:$B,Stand_Biomass!$B42,'Post-Harvest Plots_rpt'!$J:$J,"&gt;"&amp;0))</f>
        <v/>
      </c>
      <c r="K42" s="121" t="str">
        <f>IF($B42="","",SUMIF('Post-Harvest Plots_rpt'!$B:$B,Stand_Biomass!$B42,'Post-Harvest Plots_rpt'!$K:$K)/$D42)</f>
        <v/>
      </c>
      <c r="L42" s="154" t="str">
        <f t="shared" si="6"/>
        <v/>
      </c>
      <c r="M42" s="135"/>
      <c r="N42" s="502" t="str">
        <f>IF(Stand_Biomass!M42="","",Stand_Biomass!M42/2)</f>
        <v/>
      </c>
      <c r="O42" s="372" t="str">
        <f t="shared" si="7"/>
        <v/>
      </c>
      <c r="P42" s="354" t="str">
        <f>IF(Stand_Biomass!N42="","",Stand_Biomass!N42/2)</f>
        <v/>
      </c>
      <c r="Q42" s="354" t="str">
        <f>IF(Stand_Biomass!O42="","",Stand_Biomass!O42/2)</f>
        <v/>
      </c>
      <c r="R42" s="354" t="str">
        <f>IF(Stand_Biomass!P42="","",Stand_Biomass!P42/2)</f>
        <v/>
      </c>
      <c r="S42" s="354" t="str">
        <f>IF(Stand_Biomass!Q42="","",Stand_Biomass!Q42/2)</f>
        <v/>
      </c>
      <c r="T42" s="354" t="str">
        <f>IF(Stand_Biomass!R42="","",Stand_Biomass!R42/2)</f>
        <v/>
      </c>
      <c r="U42" s="354" t="str">
        <f>IF(Stand_Biomass!S42="","",Stand_Biomass!S42/2)</f>
        <v/>
      </c>
      <c r="V42" s="354" t="str">
        <f>IF(Stand_Biomass!T42="","",Stand_Biomass!T42/2)</f>
        <v/>
      </c>
      <c r="W42" s="354" t="str">
        <f>IF(Stand_Biomass!U42="","",Stand_Biomass!U42/2)</f>
        <v/>
      </c>
      <c r="X42" s="354" t="str">
        <f>IF(Stand_Biomass!V42="","",Stand_Biomass!V42/2)</f>
        <v/>
      </c>
      <c r="Y42" s="372" t="str">
        <f>IF(N42="","",N42*Stand!$G8)</f>
        <v/>
      </c>
      <c r="Z42" s="373" t="str">
        <f>IF(O42="","",O42*Stand!$G8)</f>
        <v/>
      </c>
      <c r="AA42" s="130"/>
      <c r="AB42" s="152" t="str">
        <f>IF($B42="","",SUMIF('Post-Harvest Plots_rpt'!$B:$B,Stand_Biomass!$B42,'Post-Harvest Plots_rpt'!Z:Z)/$D42)</f>
        <v/>
      </c>
      <c r="AC42" s="297" t="str">
        <f>IF($B42="","",SUMIF('Post-Harvest Plots_rpt'!$B:$B,Stand_Biomass!$B42,'Post-Harvest Plots_rpt'!AA:AA)/$D42)</f>
        <v/>
      </c>
      <c r="AD42" s="297" t="str">
        <f>IF($B42="","",SUMIF('Post-Harvest Plots_rpt'!$B:$B,Stand_Biomass!$B42,'Post-Harvest Plots_rpt'!AB:AB)/$D42)</f>
        <v/>
      </c>
      <c r="AE42" s="377" t="str">
        <f>IF(Stand_Biomass!AD42="","",Stand_Biomass!AD42/2)</f>
        <v/>
      </c>
      <c r="AF42" s="377" t="str">
        <f t="shared" si="8"/>
        <v/>
      </c>
      <c r="AG42" s="510" t="str">
        <f>IF(AE42="","",AE42*Stand!$G8)</f>
        <v/>
      </c>
      <c r="AH42" s="511" t="str">
        <f>IF(AF42="","",AF42*Stand!$G8)</f>
        <v/>
      </c>
    </row>
    <row r="43" spans="2:43" x14ac:dyDescent="0.25">
      <c r="B43" s="171" t="str">
        <f>IF(Stand!C9="","",Stand!C9)</f>
        <v/>
      </c>
      <c r="C43" s="364" t="str">
        <f>IF(Stand!G9="","",Stand!G9)</f>
        <v/>
      </c>
      <c r="D43" s="187" t="str">
        <f>IF($B43="","",VLOOKUP(B43,Stand!C:H,6,0))</f>
        <v/>
      </c>
      <c r="E43" s="130"/>
      <c r="F43" s="189" t="str">
        <f>IF($B43="","",SUMIF('Post-Harvest Plots_rpt'!$B:$B,Stand_Biomass!$B43,'Post-Harvest Plots_rpt'!$F:$F)/$D43)</f>
        <v/>
      </c>
      <c r="G43" s="122" t="str">
        <f>IF($B43="","",SUMIF('Post-Harvest Plots_rpt'!$B:$B,Stand_Biomass!$B43,'Post-Harvest Plots_rpt'!$G:$G)/$D43)</f>
        <v/>
      </c>
      <c r="H43" s="122" t="str">
        <f>IF($B43="","",SUMIF('Post-Harvest Plots_rpt'!$B:$B,Stand_Biomass!$B43,'Post-Harvest Plots_rpt'!$H:$H)/$D43)</f>
        <v/>
      </c>
      <c r="I43" s="121" t="str">
        <f>IF($B43="","",SUMIF('Post-Harvest Plots_rpt'!$B:$B,Stand_Biomass!$B43,'Post-Harvest Plots_rpt'!$I:$I)/$D43)</f>
        <v/>
      </c>
      <c r="J43" s="121" t="str">
        <f>IF($B43="","",SUMIF('Post-Harvest Plots_rpt'!$B:$B,Stand_Biomass!$B43,'Post-Harvest Plots_rpt'!$J:$J)/COUNTIFS('Post-Harvest Plots_rpt'!$B:$B,Stand_Biomass!$B43,'Post-Harvest Plots_rpt'!$J:$J,"&gt;"&amp;0))</f>
        <v/>
      </c>
      <c r="K43" s="121" t="str">
        <f>IF($B43="","",SUMIF('Post-Harvest Plots_rpt'!$B:$B,Stand_Biomass!$B43,'Post-Harvest Plots_rpt'!$K:$K)/$D43)</f>
        <v/>
      </c>
      <c r="L43" s="154" t="str">
        <f t="shared" si="6"/>
        <v/>
      </c>
      <c r="M43" s="135"/>
      <c r="N43" s="502" t="str">
        <f>IF(Stand_Biomass!M43="","",Stand_Biomass!M43/2)</f>
        <v/>
      </c>
      <c r="O43" s="372" t="str">
        <f t="shared" si="7"/>
        <v/>
      </c>
      <c r="P43" s="354" t="str">
        <f>IF(Stand_Biomass!N43="","",Stand_Biomass!N43/2)</f>
        <v/>
      </c>
      <c r="Q43" s="354" t="str">
        <f>IF(Stand_Biomass!O43="","",Stand_Biomass!O43/2)</f>
        <v/>
      </c>
      <c r="R43" s="354" t="str">
        <f>IF(Stand_Biomass!P43="","",Stand_Biomass!P43/2)</f>
        <v/>
      </c>
      <c r="S43" s="354" t="str">
        <f>IF(Stand_Biomass!Q43="","",Stand_Biomass!Q43/2)</f>
        <v/>
      </c>
      <c r="T43" s="354" t="str">
        <f>IF(Stand_Biomass!R43="","",Stand_Biomass!R43/2)</f>
        <v/>
      </c>
      <c r="U43" s="354" t="str">
        <f>IF(Stand_Biomass!S43="","",Stand_Biomass!S43/2)</f>
        <v/>
      </c>
      <c r="V43" s="354" t="str">
        <f>IF(Stand_Biomass!T43="","",Stand_Biomass!T43/2)</f>
        <v/>
      </c>
      <c r="W43" s="354" t="str">
        <f>IF(Stand_Biomass!U43="","",Stand_Biomass!U43/2)</f>
        <v/>
      </c>
      <c r="X43" s="354" t="str">
        <f>IF(Stand_Biomass!V43="","",Stand_Biomass!V43/2)</f>
        <v/>
      </c>
      <c r="Y43" s="372" t="str">
        <f>IF(N43="","",N43*Stand!$G9)</f>
        <v/>
      </c>
      <c r="Z43" s="373" t="str">
        <f>IF(O43="","",O43*Stand!$G9)</f>
        <v/>
      </c>
      <c r="AA43" s="130"/>
      <c r="AB43" s="152" t="str">
        <f>IF($B43="","",SUMIF('Post-Harvest Plots_rpt'!$B:$B,Stand_Biomass!$B43,'Post-Harvest Plots_rpt'!Z:Z)/$D43)</f>
        <v/>
      </c>
      <c r="AC43" s="297" t="str">
        <f>IF($B43="","",SUMIF('Post-Harvest Plots_rpt'!$B:$B,Stand_Biomass!$B43,'Post-Harvest Plots_rpt'!AA:AA)/$D43)</f>
        <v/>
      </c>
      <c r="AD43" s="297" t="str">
        <f>IF($B43="","",SUMIF('Post-Harvest Plots_rpt'!$B:$B,Stand_Biomass!$B43,'Post-Harvest Plots_rpt'!AB:AB)/$D43)</f>
        <v/>
      </c>
      <c r="AE43" s="377" t="str">
        <f>IF(Stand_Biomass!AD43="","",Stand_Biomass!AD43/2)</f>
        <v/>
      </c>
      <c r="AF43" s="377" t="str">
        <f t="shared" si="8"/>
        <v/>
      </c>
      <c r="AG43" s="510" t="str">
        <f>IF(AE43="","",AE43*Stand!$G9)</f>
        <v/>
      </c>
      <c r="AH43" s="511" t="str">
        <f>IF(AF43="","",AF43*Stand!$G9)</f>
        <v/>
      </c>
    </row>
    <row r="44" spans="2:43" x14ac:dyDescent="0.25">
      <c r="B44" s="171" t="str">
        <f>IF(Stand!C10="","",Stand!C10)</f>
        <v/>
      </c>
      <c r="C44" s="364" t="str">
        <f>IF(Stand!G10="","",Stand!G10)</f>
        <v/>
      </c>
      <c r="D44" s="187" t="str">
        <f>IF($B44="","",VLOOKUP(B44,Stand!C:H,6,0))</f>
        <v/>
      </c>
      <c r="E44" s="130"/>
      <c r="F44" s="189" t="str">
        <f>IF($B44="","",SUMIF('Post-Harvest Plots_rpt'!$B:$B,Stand_Biomass!$B44,'Post-Harvest Plots_rpt'!$F:$F)/$D44)</f>
        <v/>
      </c>
      <c r="G44" s="122" t="str">
        <f>IF($B44="","",SUMIF('Post-Harvest Plots_rpt'!$B:$B,Stand_Biomass!$B44,'Post-Harvest Plots_rpt'!$G:$G)/$D44)</f>
        <v/>
      </c>
      <c r="H44" s="122" t="str">
        <f>IF($B44="","",SUMIF('Post-Harvest Plots_rpt'!$B:$B,Stand_Biomass!$B44,'Post-Harvest Plots_rpt'!$H:$H)/$D44)</f>
        <v/>
      </c>
      <c r="I44" s="121" t="str">
        <f>IF($B44="","",SUMIF('Post-Harvest Plots_rpt'!$B:$B,Stand_Biomass!$B44,'Post-Harvest Plots_rpt'!$I:$I)/$D44)</f>
        <v/>
      </c>
      <c r="J44" s="121" t="str">
        <f>IF($B44="","",SUMIF('Post-Harvest Plots_rpt'!$B:$B,Stand_Biomass!$B44,'Post-Harvest Plots_rpt'!$J:$J)/COUNTIFS('Post-Harvest Plots_rpt'!$B:$B,Stand_Biomass!$B44,'Post-Harvest Plots_rpt'!$J:$J,"&gt;"&amp;0))</f>
        <v/>
      </c>
      <c r="K44" s="121" t="str">
        <f>IF($B44="","",SUMIF('Post-Harvest Plots_rpt'!$B:$B,Stand_Biomass!$B44,'Post-Harvest Plots_rpt'!$K:$K)/$D44)</f>
        <v/>
      </c>
      <c r="L44" s="154" t="str">
        <f t="shared" si="6"/>
        <v/>
      </c>
      <c r="M44" s="135"/>
      <c r="N44" s="502" t="str">
        <f>IF(Stand_Biomass!M44="","",Stand_Biomass!M44/2)</f>
        <v/>
      </c>
      <c r="O44" s="372" t="str">
        <f t="shared" si="7"/>
        <v/>
      </c>
      <c r="P44" s="354" t="str">
        <f>IF(Stand_Biomass!N44="","",Stand_Biomass!N44/2)</f>
        <v/>
      </c>
      <c r="Q44" s="354" t="str">
        <f>IF(Stand_Biomass!O44="","",Stand_Biomass!O44/2)</f>
        <v/>
      </c>
      <c r="R44" s="354" t="str">
        <f>IF(Stand_Biomass!P44="","",Stand_Biomass!P44/2)</f>
        <v/>
      </c>
      <c r="S44" s="354" t="str">
        <f>IF(Stand_Biomass!Q44="","",Stand_Biomass!Q44/2)</f>
        <v/>
      </c>
      <c r="T44" s="354" t="str">
        <f>IF(Stand_Biomass!R44="","",Stand_Biomass!R44/2)</f>
        <v/>
      </c>
      <c r="U44" s="354" t="str">
        <f>IF(Stand_Biomass!S44="","",Stand_Biomass!S44/2)</f>
        <v/>
      </c>
      <c r="V44" s="354" t="str">
        <f>IF(Stand_Biomass!T44="","",Stand_Biomass!T44/2)</f>
        <v/>
      </c>
      <c r="W44" s="354" t="str">
        <f>IF(Stand_Biomass!U44="","",Stand_Biomass!U44/2)</f>
        <v/>
      </c>
      <c r="X44" s="354" t="str">
        <f>IF(Stand_Biomass!V44="","",Stand_Biomass!V44/2)</f>
        <v/>
      </c>
      <c r="Y44" s="372" t="str">
        <f>IF(N44="","",N44*Stand!$G10)</f>
        <v/>
      </c>
      <c r="Z44" s="373" t="str">
        <f>IF(O44="","",O44*Stand!$G10)</f>
        <v/>
      </c>
      <c r="AA44" s="130"/>
      <c r="AB44" s="152" t="str">
        <f>IF($B44="","",SUMIF('Post-Harvest Plots_rpt'!$B:$B,Stand_Biomass!$B44,'Post-Harvest Plots_rpt'!Z:Z)/$D44)</f>
        <v/>
      </c>
      <c r="AC44" s="297" t="str">
        <f>IF($B44="","",SUMIF('Post-Harvest Plots_rpt'!$B:$B,Stand_Biomass!$B44,'Post-Harvest Plots_rpt'!AA:AA)/$D44)</f>
        <v/>
      </c>
      <c r="AD44" s="297" t="str">
        <f>IF($B44="","",SUMIF('Post-Harvest Plots_rpt'!$B:$B,Stand_Biomass!$B44,'Post-Harvest Plots_rpt'!AB:AB)/$D44)</f>
        <v/>
      </c>
      <c r="AE44" s="377" t="str">
        <f>IF(Stand_Biomass!AD44="","",Stand_Biomass!AD44/2)</f>
        <v/>
      </c>
      <c r="AF44" s="377" t="str">
        <f t="shared" si="8"/>
        <v/>
      </c>
      <c r="AG44" s="510" t="str">
        <f>IF(AE44="","",AE44*Stand!$G10)</f>
        <v/>
      </c>
      <c r="AH44" s="511" t="str">
        <f>IF(AF44="","",AF44*Stand!$G10)</f>
        <v/>
      </c>
    </row>
    <row r="45" spans="2:43" x14ac:dyDescent="0.25">
      <c r="B45" s="171" t="str">
        <f>IF(Stand!C11="","",Stand!C11)</f>
        <v/>
      </c>
      <c r="C45" s="364" t="str">
        <f>IF(Stand!G11="","",Stand!G11)</f>
        <v/>
      </c>
      <c r="D45" s="187" t="str">
        <f>IF($B45="","",VLOOKUP(B45,Stand!C:H,6,0))</f>
        <v/>
      </c>
      <c r="E45" s="130"/>
      <c r="F45" s="189" t="str">
        <f>IF($B45="","",SUMIF('Post-Harvest Plots_rpt'!$B:$B,Stand_Biomass!$B45,'Post-Harvest Plots_rpt'!$F:$F)/$D45)</f>
        <v/>
      </c>
      <c r="G45" s="122" t="str">
        <f>IF($B45="","",SUMIF('Post-Harvest Plots_rpt'!$B:$B,Stand_Biomass!$B45,'Post-Harvest Plots_rpt'!$G:$G)/$D45)</f>
        <v/>
      </c>
      <c r="H45" s="122" t="str">
        <f>IF($B45="","",SUMIF('Post-Harvest Plots_rpt'!$B:$B,Stand_Biomass!$B45,'Post-Harvest Plots_rpt'!$H:$H)/$D45)</f>
        <v/>
      </c>
      <c r="I45" s="121" t="str">
        <f>IF($B45="","",SUMIF('Post-Harvest Plots_rpt'!$B:$B,Stand_Biomass!$B45,'Post-Harvest Plots_rpt'!$I:$I)/$D45)</f>
        <v/>
      </c>
      <c r="J45" s="121" t="str">
        <f>IF($B45="","",SUMIF('Post-Harvest Plots_rpt'!$B:$B,Stand_Biomass!$B45,'Post-Harvest Plots_rpt'!$J:$J)/COUNTIFS('Post-Harvest Plots_rpt'!$B:$B,Stand_Biomass!$B45,'Post-Harvest Plots_rpt'!$J:$J,"&gt;"&amp;0))</f>
        <v/>
      </c>
      <c r="K45" s="121" t="str">
        <f>IF($B45="","",SUMIF('Post-Harvest Plots_rpt'!$B:$B,Stand_Biomass!$B45,'Post-Harvest Plots_rpt'!$K:$K)/$D45)</f>
        <v/>
      </c>
      <c r="L45" s="154" t="str">
        <f t="shared" si="6"/>
        <v/>
      </c>
      <c r="M45" s="135"/>
      <c r="N45" s="502" t="str">
        <f>IF(Stand_Biomass!M45="","",Stand_Biomass!M45/2)</f>
        <v/>
      </c>
      <c r="O45" s="372" t="str">
        <f t="shared" si="7"/>
        <v/>
      </c>
      <c r="P45" s="354" t="str">
        <f>IF(Stand_Biomass!N45="","",Stand_Biomass!N45/2)</f>
        <v/>
      </c>
      <c r="Q45" s="354" t="str">
        <f>IF(Stand_Biomass!O45="","",Stand_Biomass!O45/2)</f>
        <v/>
      </c>
      <c r="R45" s="354" t="str">
        <f>IF(Stand_Biomass!P45="","",Stand_Biomass!P45/2)</f>
        <v/>
      </c>
      <c r="S45" s="354" t="str">
        <f>IF(Stand_Biomass!Q45="","",Stand_Biomass!Q45/2)</f>
        <v/>
      </c>
      <c r="T45" s="354" t="str">
        <f>IF(Stand_Biomass!R45="","",Stand_Biomass!R45/2)</f>
        <v/>
      </c>
      <c r="U45" s="354" t="str">
        <f>IF(Stand_Biomass!S45="","",Stand_Biomass!S45/2)</f>
        <v/>
      </c>
      <c r="V45" s="354" t="str">
        <f>IF(Stand_Biomass!T45="","",Stand_Biomass!T45/2)</f>
        <v/>
      </c>
      <c r="W45" s="354" t="str">
        <f>IF(Stand_Biomass!U45="","",Stand_Biomass!U45/2)</f>
        <v/>
      </c>
      <c r="X45" s="354" t="str">
        <f>IF(Stand_Biomass!V45="","",Stand_Biomass!V45/2)</f>
        <v/>
      </c>
      <c r="Y45" s="372" t="str">
        <f>IF(N45="","",N45*Stand!$G11)</f>
        <v/>
      </c>
      <c r="Z45" s="373" t="str">
        <f>IF(O45="","",O45*Stand!$G11)</f>
        <v/>
      </c>
      <c r="AA45" s="130"/>
      <c r="AB45" s="152" t="str">
        <f>IF($B45="","",SUMIF('Post-Harvest Plots_rpt'!$B:$B,Stand_Biomass!$B45,'Post-Harvest Plots_rpt'!Z:Z)/$D45)</f>
        <v/>
      </c>
      <c r="AC45" s="297" t="str">
        <f>IF($B45="","",SUMIF('Post-Harvest Plots_rpt'!$B:$B,Stand_Biomass!$B45,'Post-Harvest Plots_rpt'!AA:AA)/$D45)</f>
        <v/>
      </c>
      <c r="AD45" s="297" t="str">
        <f>IF($B45="","",SUMIF('Post-Harvest Plots_rpt'!$B:$B,Stand_Biomass!$B45,'Post-Harvest Plots_rpt'!AB:AB)/$D45)</f>
        <v/>
      </c>
      <c r="AE45" s="377" t="str">
        <f>IF(Stand_Biomass!AD45="","",Stand_Biomass!AD45/2)</f>
        <v/>
      </c>
      <c r="AF45" s="377" t="str">
        <f t="shared" si="8"/>
        <v/>
      </c>
      <c r="AG45" s="510" t="str">
        <f>IF(AE45="","",AE45*Stand!$G11)</f>
        <v/>
      </c>
      <c r="AH45" s="511" t="str">
        <f>IF(AF45="","",AF45*Stand!$G11)</f>
        <v/>
      </c>
    </row>
    <row r="46" spans="2:43" x14ac:dyDescent="0.25">
      <c r="B46" s="171" t="str">
        <f>IF(Stand!C12="","",Stand!C12)</f>
        <v/>
      </c>
      <c r="C46" s="364" t="str">
        <f>IF(Stand!G12="","",Stand!G12)</f>
        <v/>
      </c>
      <c r="D46" s="187" t="str">
        <f>IF($B46="","",VLOOKUP(B46,Stand!C:H,6,0))</f>
        <v/>
      </c>
      <c r="E46" s="130"/>
      <c r="F46" s="189" t="str">
        <f>IF($B46="","",SUMIF('Post-Harvest Plots_rpt'!$B:$B,Stand_Biomass!$B46,'Post-Harvest Plots_rpt'!$F:$F)/$D46)</f>
        <v/>
      </c>
      <c r="G46" s="122" t="str">
        <f>IF($B46="","",SUMIF('Post-Harvest Plots_rpt'!$B:$B,Stand_Biomass!$B46,'Post-Harvest Plots_rpt'!$G:$G)/$D46)</f>
        <v/>
      </c>
      <c r="H46" s="122" t="str">
        <f>IF($B46="","",SUMIF('Post-Harvest Plots_rpt'!$B:$B,Stand_Biomass!$B46,'Post-Harvest Plots_rpt'!$H:$H)/$D46)</f>
        <v/>
      </c>
      <c r="I46" s="121" t="str">
        <f>IF($B46="","",SUMIF('Post-Harvest Plots_rpt'!$B:$B,Stand_Biomass!$B46,'Post-Harvest Plots_rpt'!$I:$I)/$D46)</f>
        <v/>
      </c>
      <c r="J46" s="121" t="str">
        <f>IF($B46="","",SUMIF('Post-Harvest Plots_rpt'!$B:$B,Stand_Biomass!$B46,'Post-Harvest Plots_rpt'!$J:$J)/COUNTIFS('Post-Harvest Plots_rpt'!$B:$B,Stand_Biomass!$B46,'Post-Harvest Plots_rpt'!$J:$J,"&gt;"&amp;0))</f>
        <v/>
      </c>
      <c r="K46" s="121" t="str">
        <f>IF($B46="","",SUMIF('Post-Harvest Plots_rpt'!$B:$B,Stand_Biomass!$B46,'Post-Harvest Plots_rpt'!$K:$K)/$D46)</f>
        <v/>
      </c>
      <c r="L46" s="154" t="str">
        <f t="shared" si="6"/>
        <v/>
      </c>
      <c r="M46" s="135"/>
      <c r="N46" s="502" t="str">
        <f>IF(Stand_Biomass!M46="","",Stand_Biomass!M46/2)</f>
        <v/>
      </c>
      <c r="O46" s="372" t="str">
        <f t="shared" si="7"/>
        <v/>
      </c>
      <c r="P46" s="354" t="str">
        <f>IF(Stand_Biomass!N46="","",Stand_Biomass!N46/2)</f>
        <v/>
      </c>
      <c r="Q46" s="354" t="str">
        <f>IF(Stand_Biomass!O46="","",Stand_Biomass!O46/2)</f>
        <v/>
      </c>
      <c r="R46" s="354" t="str">
        <f>IF(Stand_Biomass!P46="","",Stand_Biomass!P46/2)</f>
        <v/>
      </c>
      <c r="S46" s="354" t="str">
        <f>IF(Stand_Biomass!Q46="","",Stand_Biomass!Q46/2)</f>
        <v/>
      </c>
      <c r="T46" s="354" t="str">
        <f>IF(Stand_Biomass!R46="","",Stand_Biomass!R46/2)</f>
        <v/>
      </c>
      <c r="U46" s="354" t="str">
        <f>IF(Stand_Biomass!S46="","",Stand_Biomass!S46/2)</f>
        <v/>
      </c>
      <c r="V46" s="354" t="str">
        <f>IF(Stand_Biomass!T46="","",Stand_Biomass!T46/2)</f>
        <v/>
      </c>
      <c r="W46" s="354" t="str">
        <f>IF(Stand_Biomass!U46="","",Stand_Biomass!U46/2)</f>
        <v/>
      </c>
      <c r="X46" s="354" t="str">
        <f>IF(Stand_Biomass!V46="","",Stand_Biomass!V46/2)</f>
        <v/>
      </c>
      <c r="Y46" s="372" t="str">
        <f>IF(N46="","",N46*Stand!$G12)</f>
        <v/>
      </c>
      <c r="Z46" s="373" t="str">
        <f>IF(O46="","",O46*Stand!$G12)</f>
        <v/>
      </c>
      <c r="AA46" s="130"/>
      <c r="AB46" s="152" t="str">
        <f>IF($B46="","",SUMIF('Post-Harvest Plots_rpt'!$B:$B,Stand_Biomass!$B46,'Post-Harvest Plots_rpt'!Z:Z)/$D46)</f>
        <v/>
      </c>
      <c r="AC46" s="297" t="str">
        <f>IF($B46="","",SUMIF('Post-Harvest Plots_rpt'!$B:$B,Stand_Biomass!$B46,'Post-Harvest Plots_rpt'!AA:AA)/$D46)</f>
        <v/>
      </c>
      <c r="AD46" s="297" t="str">
        <f>IF($B46="","",SUMIF('Post-Harvest Plots_rpt'!$B:$B,Stand_Biomass!$B46,'Post-Harvest Plots_rpt'!AB:AB)/$D46)</f>
        <v/>
      </c>
      <c r="AE46" s="377" t="str">
        <f>IF(Stand_Biomass!AD46="","",Stand_Biomass!AD46/2)</f>
        <v/>
      </c>
      <c r="AF46" s="377" t="str">
        <f t="shared" si="8"/>
        <v/>
      </c>
      <c r="AG46" s="510" t="str">
        <f>IF(AE46="","",AE46*Stand!$G12)</f>
        <v/>
      </c>
      <c r="AH46" s="511" t="str">
        <f>IF(AF46="","",AF46*Stand!$G12)</f>
        <v/>
      </c>
    </row>
    <row r="47" spans="2:43" x14ac:dyDescent="0.25">
      <c r="B47" s="171" t="str">
        <f>IF(Stand!C13="","",Stand!C13)</f>
        <v/>
      </c>
      <c r="C47" s="364" t="str">
        <f>IF(Stand!G13="","",Stand!G13)</f>
        <v/>
      </c>
      <c r="D47" s="187" t="str">
        <f>IF($B47="","",VLOOKUP(B47,Stand!C:H,6,0))</f>
        <v/>
      </c>
      <c r="E47" s="130"/>
      <c r="F47" s="189" t="str">
        <f>IF($B47="","",SUMIF('Post-Harvest Plots_rpt'!$B:$B,Stand_Biomass!$B47,'Post-Harvest Plots_rpt'!$F:$F)/$D47)</f>
        <v/>
      </c>
      <c r="G47" s="122" t="str">
        <f>IF($B47="","",SUMIF('Post-Harvest Plots_rpt'!$B:$B,Stand_Biomass!$B47,'Post-Harvest Plots_rpt'!$G:$G)/$D47)</f>
        <v/>
      </c>
      <c r="H47" s="122" t="str">
        <f>IF($B47="","",SUMIF('Post-Harvest Plots_rpt'!$B:$B,Stand_Biomass!$B47,'Post-Harvest Plots_rpt'!$H:$H)/$D47)</f>
        <v/>
      </c>
      <c r="I47" s="121" t="str">
        <f>IF($B47="","",SUMIF('Post-Harvest Plots_rpt'!$B:$B,Stand_Biomass!$B47,'Post-Harvest Plots_rpt'!$I:$I)/$D47)</f>
        <v/>
      </c>
      <c r="J47" s="121" t="str">
        <f>IF($B47="","",SUMIF('Post-Harvest Plots_rpt'!$B:$B,Stand_Biomass!$B47,'Post-Harvest Plots_rpt'!$J:$J)/COUNTIFS('Post-Harvest Plots_rpt'!$B:$B,Stand_Biomass!$B47,'Post-Harvest Plots_rpt'!$J:$J,"&gt;"&amp;0))</f>
        <v/>
      </c>
      <c r="K47" s="121" t="str">
        <f>IF($B47="","",SUMIF('Post-Harvest Plots_rpt'!$B:$B,Stand_Biomass!$B47,'Post-Harvest Plots_rpt'!$K:$K)/$D47)</f>
        <v/>
      </c>
      <c r="L47" s="154" t="str">
        <f t="shared" si="6"/>
        <v/>
      </c>
      <c r="M47" s="135"/>
      <c r="N47" s="502" t="str">
        <f>IF(Stand_Biomass!M47="","",Stand_Biomass!M47/2)</f>
        <v/>
      </c>
      <c r="O47" s="372" t="str">
        <f t="shared" si="7"/>
        <v/>
      </c>
      <c r="P47" s="354" t="str">
        <f>IF(Stand_Biomass!N47="","",Stand_Biomass!N47/2)</f>
        <v/>
      </c>
      <c r="Q47" s="354" t="str">
        <f>IF(Stand_Biomass!O47="","",Stand_Biomass!O47/2)</f>
        <v/>
      </c>
      <c r="R47" s="354" t="str">
        <f>IF(Stand_Biomass!P47="","",Stand_Biomass!P47/2)</f>
        <v/>
      </c>
      <c r="S47" s="354" t="str">
        <f>IF(Stand_Biomass!Q47="","",Stand_Biomass!Q47/2)</f>
        <v/>
      </c>
      <c r="T47" s="354" t="str">
        <f>IF(Stand_Biomass!R47="","",Stand_Biomass!R47/2)</f>
        <v/>
      </c>
      <c r="U47" s="354" t="str">
        <f>IF(Stand_Biomass!S47="","",Stand_Biomass!S47/2)</f>
        <v/>
      </c>
      <c r="V47" s="354" t="str">
        <f>IF(Stand_Biomass!T47="","",Stand_Biomass!T47/2)</f>
        <v/>
      </c>
      <c r="W47" s="354" t="str">
        <f>IF(Stand_Biomass!U47="","",Stand_Biomass!U47/2)</f>
        <v/>
      </c>
      <c r="X47" s="354" t="str">
        <f>IF(Stand_Biomass!V47="","",Stand_Biomass!V47/2)</f>
        <v/>
      </c>
      <c r="Y47" s="372" t="str">
        <f>IF(N47="","",N47*Stand!$G13)</f>
        <v/>
      </c>
      <c r="Z47" s="373" t="str">
        <f>IF(O47="","",O47*Stand!$G13)</f>
        <v/>
      </c>
      <c r="AA47" s="130"/>
      <c r="AB47" s="152" t="str">
        <f>IF($B47="","",SUMIF('Post-Harvest Plots_rpt'!$B:$B,Stand_Biomass!$B47,'Post-Harvest Plots_rpt'!Z:Z)/$D47)</f>
        <v/>
      </c>
      <c r="AC47" s="297" t="str">
        <f>IF($B47="","",SUMIF('Post-Harvest Plots_rpt'!$B:$B,Stand_Biomass!$B47,'Post-Harvest Plots_rpt'!AA:AA)/$D47)</f>
        <v/>
      </c>
      <c r="AD47" s="297" t="str">
        <f>IF($B47="","",SUMIF('Post-Harvest Plots_rpt'!$B:$B,Stand_Biomass!$B47,'Post-Harvest Plots_rpt'!AB:AB)/$D47)</f>
        <v/>
      </c>
      <c r="AE47" s="377" t="str">
        <f>IF(Stand_Biomass!AD47="","",Stand_Biomass!AD47/2)</f>
        <v/>
      </c>
      <c r="AF47" s="377" t="str">
        <f t="shared" si="8"/>
        <v/>
      </c>
      <c r="AG47" s="510" t="str">
        <f>IF(AE47="","",AE47*Stand!$G13)</f>
        <v/>
      </c>
      <c r="AH47" s="511" t="str">
        <f>IF(AF47="","",AF47*Stand!$G13)</f>
        <v/>
      </c>
    </row>
    <row r="48" spans="2:43" x14ac:dyDescent="0.25">
      <c r="B48" s="171" t="str">
        <f>IF(Stand!C14="","",Stand!C14)</f>
        <v/>
      </c>
      <c r="C48" s="364" t="str">
        <f>IF(Stand!G14="","",Stand!G14)</f>
        <v/>
      </c>
      <c r="D48" s="187" t="str">
        <f>IF($B48="","",VLOOKUP(B48,Stand!C:H,6,0))</f>
        <v/>
      </c>
      <c r="E48" s="130"/>
      <c r="F48" s="189" t="str">
        <f>IF($B48="","",SUMIF('Post-Harvest Plots_rpt'!$B:$B,Stand_Biomass!$B48,'Post-Harvest Plots_rpt'!$F:$F)/$D48)</f>
        <v/>
      </c>
      <c r="G48" s="122" t="str">
        <f>IF($B48="","",SUMIF('Post-Harvest Plots_rpt'!$B:$B,Stand_Biomass!$B48,'Post-Harvest Plots_rpt'!$G:$G)/$D48)</f>
        <v/>
      </c>
      <c r="H48" s="122" t="str">
        <f>IF($B48="","",SUMIF('Post-Harvest Plots_rpt'!$B:$B,Stand_Biomass!$B48,'Post-Harvest Plots_rpt'!$H:$H)/$D48)</f>
        <v/>
      </c>
      <c r="I48" s="121" t="str">
        <f>IF($B48="","",SUMIF('Post-Harvest Plots_rpt'!$B:$B,Stand_Biomass!$B48,'Post-Harvest Plots_rpt'!$I:$I)/$D48)</f>
        <v/>
      </c>
      <c r="J48" s="121" t="str">
        <f>IF($B48="","",SUMIF('Post-Harvest Plots_rpt'!$B:$B,Stand_Biomass!$B48,'Post-Harvest Plots_rpt'!$J:$J)/COUNTIFS('Post-Harvest Plots_rpt'!$B:$B,Stand_Biomass!$B48,'Post-Harvest Plots_rpt'!$J:$J,"&gt;"&amp;0))</f>
        <v/>
      </c>
      <c r="K48" s="121" t="str">
        <f>IF($B48="","",SUMIF('Post-Harvest Plots_rpt'!$B:$B,Stand_Biomass!$B48,'Post-Harvest Plots_rpt'!$K:$K)/$D48)</f>
        <v/>
      </c>
      <c r="L48" s="154" t="str">
        <f t="shared" si="6"/>
        <v/>
      </c>
      <c r="M48" s="135"/>
      <c r="N48" s="502" t="str">
        <f>IF(Stand_Biomass!M48="","",Stand_Biomass!M48/2)</f>
        <v/>
      </c>
      <c r="O48" s="372" t="str">
        <f t="shared" si="7"/>
        <v/>
      </c>
      <c r="P48" s="354" t="str">
        <f>IF(Stand_Biomass!N48="","",Stand_Biomass!N48/2)</f>
        <v/>
      </c>
      <c r="Q48" s="354" t="str">
        <f>IF(Stand_Biomass!O48="","",Stand_Biomass!O48/2)</f>
        <v/>
      </c>
      <c r="R48" s="354" t="str">
        <f>IF(Stand_Biomass!P48="","",Stand_Biomass!P48/2)</f>
        <v/>
      </c>
      <c r="S48" s="354" t="str">
        <f>IF(Stand_Biomass!Q48="","",Stand_Biomass!Q48/2)</f>
        <v/>
      </c>
      <c r="T48" s="354" t="str">
        <f>IF(Stand_Biomass!R48="","",Stand_Biomass!R48/2)</f>
        <v/>
      </c>
      <c r="U48" s="354" t="str">
        <f>IF(Stand_Biomass!S48="","",Stand_Biomass!S48/2)</f>
        <v/>
      </c>
      <c r="V48" s="354" t="str">
        <f>IF(Stand_Biomass!T48="","",Stand_Biomass!T48/2)</f>
        <v/>
      </c>
      <c r="W48" s="354" t="str">
        <f>IF(Stand_Biomass!U48="","",Stand_Biomass!U48/2)</f>
        <v/>
      </c>
      <c r="X48" s="354" t="str">
        <f>IF(Stand_Biomass!V48="","",Stand_Biomass!V48/2)</f>
        <v/>
      </c>
      <c r="Y48" s="372" t="str">
        <f>IF(N48="","",N48*Stand!$G14)</f>
        <v/>
      </c>
      <c r="Z48" s="373" t="str">
        <f>IF(O48="","",O48*Stand!$G14)</f>
        <v/>
      </c>
      <c r="AA48" s="130"/>
      <c r="AB48" s="152" t="str">
        <f>IF($B48="","",SUMIF('Post-Harvest Plots_rpt'!$B:$B,Stand_Biomass!$B48,'Post-Harvest Plots_rpt'!Z:Z)/$D48)</f>
        <v/>
      </c>
      <c r="AC48" s="297" t="str">
        <f>IF($B48="","",SUMIF('Post-Harvest Plots_rpt'!$B:$B,Stand_Biomass!$B48,'Post-Harvest Plots_rpt'!AA:AA)/$D48)</f>
        <v/>
      </c>
      <c r="AD48" s="297" t="str">
        <f>IF($B48="","",SUMIF('Post-Harvest Plots_rpt'!$B:$B,Stand_Biomass!$B48,'Post-Harvest Plots_rpt'!AB:AB)/$D48)</f>
        <v/>
      </c>
      <c r="AE48" s="377" t="str">
        <f>IF(Stand_Biomass!AD48="","",Stand_Biomass!AD48/2)</f>
        <v/>
      </c>
      <c r="AF48" s="377" t="str">
        <f t="shared" si="8"/>
        <v/>
      </c>
      <c r="AG48" s="510" t="str">
        <f>IF(AE48="","",AE48*Stand!$G14)</f>
        <v/>
      </c>
      <c r="AH48" s="511" t="str">
        <f>IF(AF48="","",AF48*Stand!$G14)</f>
        <v/>
      </c>
    </row>
    <row r="49" spans="2:34" x14ac:dyDescent="0.25">
      <c r="B49" s="171" t="str">
        <f>IF(Stand!C15="","",Stand!C15)</f>
        <v/>
      </c>
      <c r="C49" s="364" t="str">
        <f>IF(Stand!G15="","",Stand!G15)</f>
        <v/>
      </c>
      <c r="D49" s="187" t="str">
        <f>IF($B49="","",VLOOKUP(B49,Stand!C:H,6,0))</f>
        <v/>
      </c>
      <c r="E49" s="130"/>
      <c r="F49" s="189" t="str">
        <f>IF($B49="","",SUMIF('Post-Harvest Plots_rpt'!$B:$B,Stand_Biomass!$B49,'Post-Harvest Plots_rpt'!$F:$F)/$D49)</f>
        <v/>
      </c>
      <c r="G49" s="122" t="str">
        <f>IF($B49="","",SUMIF('Post-Harvest Plots_rpt'!$B:$B,Stand_Biomass!$B49,'Post-Harvest Plots_rpt'!$G:$G)/$D49)</f>
        <v/>
      </c>
      <c r="H49" s="122" t="str">
        <f>IF($B49="","",SUMIF('Post-Harvest Plots_rpt'!$B:$B,Stand_Biomass!$B49,'Post-Harvest Plots_rpt'!$H:$H)/$D49)</f>
        <v/>
      </c>
      <c r="I49" s="121" t="str">
        <f>IF($B49="","",SUMIF('Post-Harvest Plots_rpt'!$B:$B,Stand_Biomass!$B49,'Post-Harvest Plots_rpt'!$I:$I)/$D49)</f>
        <v/>
      </c>
      <c r="J49" s="121" t="str">
        <f>IF($B49="","",SUMIF('Post-Harvest Plots_rpt'!$B:$B,Stand_Biomass!$B49,'Post-Harvest Plots_rpt'!$J:$J)/COUNTIFS('Post-Harvest Plots_rpt'!$B:$B,Stand_Biomass!$B49,'Post-Harvest Plots_rpt'!$J:$J,"&gt;"&amp;0))</f>
        <v/>
      </c>
      <c r="K49" s="121" t="str">
        <f>IF($B49="","",SUMIF('Post-Harvest Plots_rpt'!$B:$B,Stand_Biomass!$B49,'Post-Harvest Plots_rpt'!$K:$K)/$D49)</f>
        <v/>
      </c>
      <c r="L49" s="154" t="str">
        <f t="shared" si="6"/>
        <v/>
      </c>
      <c r="M49" s="135"/>
      <c r="N49" s="502" t="str">
        <f>IF(Stand_Biomass!M49="","",Stand_Biomass!M49/2)</f>
        <v/>
      </c>
      <c r="O49" s="372" t="str">
        <f t="shared" si="7"/>
        <v/>
      </c>
      <c r="P49" s="354" t="str">
        <f>IF(Stand_Biomass!N49="","",Stand_Biomass!N49/2)</f>
        <v/>
      </c>
      <c r="Q49" s="354" t="str">
        <f>IF(Stand_Biomass!O49="","",Stand_Biomass!O49/2)</f>
        <v/>
      </c>
      <c r="R49" s="354" t="str">
        <f>IF(Stand_Biomass!P49="","",Stand_Biomass!P49/2)</f>
        <v/>
      </c>
      <c r="S49" s="354" t="str">
        <f>IF(Stand_Biomass!Q49="","",Stand_Biomass!Q49/2)</f>
        <v/>
      </c>
      <c r="T49" s="354" t="str">
        <f>IF(Stand_Biomass!R49="","",Stand_Biomass!R49/2)</f>
        <v/>
      </c>
      <c r="U49" s="354" t="str">
        <f>IF(Stand_Biomass!S49="","",Stand_Biomass!S49/2)</f>
        <v/>
      </c>
      <c r="V49" s="354" t="str">
        <f>IF(Stand_Biomass!T49="","",Stand_Biomass!T49/2)</f>
        <v/>
      </c>
      <c r="W49" s="354" t="str">
        <f>IF(Stand_Biomass!U49="","",Stand_Biomass!U49/2)</f>
        <v/>
      </c>
      <c r="X49" s="354" t="str">
        <f>IF(Stand_Biomass!V49="","",Stand_Biomass!V49/2)</f>
        <v/>
      </c>
      <c r="Y49" s="372" t="str">
        <f>IF(N49="","",N49*Stand!$G15)</f>
        <v/>
      </c>
      <c r="Z49" s="373" t="str">
        <f>IF(O49="","",O49*Stand!$G15)</f>
        <v/>
      </c>
      <c r="AA49" s="130"/>
      <c r="AB49" s="152" t="str">
        <f>IF($B49="","",SUMIF('Post-Harvest Plots_rpt'!$B:$B,Stand_Biomass!$B49,'Post-Harvest Plots_rpt'!Z:Z)/$D49)</f>
        <v/>
      </c>
      <c r="AC49" s="297" t="str">
        <f>IF($B49="","",SUMIF('Post-Harvest Plots_rpt'!$B:$B,Stand_Biomass!$B49,'Post-Harvest Plots_rpt'!AA:AA)/$D49)</f>
        <v/>
      </c>
      <c r="AD49" s="297" t="str">
        <f>IF($B49="","",SUMIF('Post-Harvest Plots_rpt'!$B:$B,Stand_Biomass!$B49,'Post-Harvest Plots_rpt'!AB:AB)/$D49)</f>
        <v/>
      </c>
      <c r="AE49" s="377" t="str">
        <f>IF(Stand_Biomass!AD49="","",Stand_Biomass!AD49/2)</f>
        <v/>
      </c>
      <c r="AF49" s="377" t="str">
        <f t="shared" si="8"/>
        <v/>
      </c>
      <c r="AG49" s="510" t="str">
        <f>IF(AE49="","",AE49*Stand!$G15)</f>
        <v/>
      </c>
      <c r="AH49" s="511" t="str">
        <f>IF(AF49="","",AF49*Stand!$G15)</f>
        <v/>
      </c>
    </row>
    <row r="50" spans="2:34" x14ac:dyDescent="0.25">
      <c r="B50" s="171" t="str">
        <f>IF(Stand!C16="","",Stand!C16)</f>
        <v/>
      </c>
      <c r="C50" s="364" t="str">
        <f>IF(Stand!G16="","",Stand!G16)</f>
        <v/>
      </c>
      <c r="D50" s="187" t="str">
        <f>IF($B50="","",VLOOKUP(B50,Stand!C:H,6,0))</f>
        <v/>
      </c>
      <c r="E50" s="130"/>
      <c r="F50" s="189" t="str">
        <f>IF($B50="","",SUMIF('Post-Harvest Plots_rpt'!$B:$B,Stand_Biomass!$B50,'Post-Harvest Plots_rpt'!$F:$F)/$D50)</f>
        <v/>
      </c>
      <c r="G50" s="122" t="str">
        <f>IF($B50="","",SUMIF('Post-Harvest Plots_rpt'!$B:$B,Stand_Biomass!$B50,'Post-Harvest Plots_rpt'!$G:$G)/$D50)</f>
        <v/>
      </c>
      <c r="H50" s="122" t="str">
        <f>IF($B50="","",SUMIF('Post-Harvest Plots_rpt'!$B:$B,Stand_Biomass!$B50,'Post-Harvest Plots_rpt'!$H:$H)/$D50)</f>
        <v/>
      </c>
      <c r="I50" s="121" t="str">
        <f>IF($B50="","",SUMIF('Post-Harvest Plots_rpt'!$B:$B,Stand_Biomass!$B50,'Post-Harvest Plots_rpt'!$I:$I)/$D50)</f>
        <v/>
      </c>
      <c r="J50" s="121" t="str">
        <f>IF($B50="","",SUMIF('Post-Harvest Plots_rpt'!$B:$B,Stand_Biomass!$B50,'Post-Harvest Plots_rpt'!$J:$J)/COUNTIFS('Post-Harvest Plots_rpt'!$B:$B,Stand_Biomass!$B50,'Post-Harvest Plots_rpt'!$J:$J,"&gt;"&amp;0))</f>
        <v/>
      </c>
      <c r="K50" s="121" t="str">
        <f>IF($B50="","",SUMIF('Post-Harvest Plots_rpt'!$B:$B,Stand_Biomass!$B50,'Post-Harvest Plots_rpt'!$K:$K)/$D50)</f>
        <v/>
      </c>
      <c r="L50" s="154" t="str">
        <f t="shared" si="6"/>
        <v/>
      </c>
      <c r="M50" s="135"/>
      <c r="N50" s="502" t="str">
        <f>IF(Stand_Biomass!M50="","",Stand_Biomass!M50/2)</f>
        <v/>
      </c>
      <c r="O50" s="372" t="str">
        <f t="shared" si="7"/>
        <v/>
      </c>
      <c r="P50" s="354" t="str">
        <f>IF(Stand_Biomass!N50="","",Stand_Biomass!N50/2)</f>
        <v/>
      </c>
      <c r="Q50" s="354" t="str">
        <f>IF(Stand_Biomass!O50="","",Stand_Biomass!O50/2)</f>
        <v/>
      </c>
      <c r="R50" s="354" t="str">
        <f>IF(Stand_Biomass!P50="","",Stand_Biomass!P50/2)</f>
        <v/>
      </c>
      <c r="S50" s="354" t="str">
        <f>IF(Stand_Biomass!Q50="","",Stand_Biomass!Q50/2)</f>
        <v/>
      </c>
      <c r="T50" s="354" t="str">
        <f>IF(Stand_Biomass!R50="","",Stand_Biomass!R50/2)</f>
        <v/>
      </c>
      <c r="U50" s="354" t="str">
        <f>IF(Stand_Biomass!S50="","",Stand_Biomass!S50/2)</f>
        <v/>
      </c>
      <c r="V50" s="354" t="str">
        <f>IF(Stand_Biomass!T50="","",Stand_Biomass!T50/2)</f>
        <v/>
      </c>
      <c r="W50" s="354" t="str">
        <f>IF(Stand_Biomass!U50="","",Stand_Biomass!U50/2)</f>
        <v/>
      </c>
      <c r="X50" s="354" t="str">
        <f>IF(Stand_Biomass!V50="","",Stand_Biomass!V50/2)</f>
        <v/>
      </c>
      <c r="Y50" s="372" t="str">
        <f>IF(N50="","",N50*Stand!$G16)</f>
        <v/>
      </c>
      <c r="Z50" s="373" t="str">
        <f>IF(O50="","",O50*Stand!$G16)</f>
        <v/>
      </c>
      <c r="AA50" s="130"/>
      <c r="AB50" s="152" t="str">
        <f>IF($B50="","",SUMIF('Post-Harvest Plots_rpt'!$B:$B,Stand_Biomass!$B50,'Post-Harvest Plots_rpt'!Z:Z)/$D50)</f>
        <v/>
      </c>
      <c r="AC50" s="297" t="str">
        <f>IF($B50="","",SUMIF('Post-Harvest Plots_rpt'!$B:$B,Stand_Biomass!$B50,'Post-Harvest Plots_rpt'!AA:AA)/$D50)</f>
        <v/>
      </c>
      <c r="AD50" s="297" t="str">
        <f>IF($B50="","",SUMIF('Post-Harvest Plots_rpt'!$B:$B,Stand_Biomass!$B50,'Post-Harvest Plots_rpt'!AB:AB)/$D50)</f>
        <v/>
      </c>
      <c r="AE50" s="377" t="str">
        <f>IF(Stand_Biomass!AD50="","",Stand_Biomass!AD50/2)</f>
        <v/>
      </c>
      <c r="AF50" s="377" t="str">
        <f t="shared" si="8"/>
        <v/>
      </c>
      <c r="AG50" s="510" t="str">
        <f>IF(AE50="","",AE50*Stand!$G16)</f>
        <v/>
      </c>
      <c r="AH50" s="511" t="str">
        <f>IF(AF50="","",AF50*Stand!$G16)</f>
        <v/>
      </c>
    </row>
    <row r="51" spans="2:34" x14ac:dyDescent="0.25">
      <c r="B51" s="171" t="str">
        <f>IF(Stand!C17="","",Stand!C17)</f>
        <v/>
      </c>
      <c r="C51" s="364" t="str">
        <f>IF(Stand!G17="","",Stand!G17)</f>
        <v/>
      </c>
      <c r="D51" s="187" t="str">
        <f>IF($B51="","",VLOOKUP(B51,Stand!C:H,6,0))</f>
        <v/>
      </c>
      <c r="E51" s="130"/>
      <c r="F51" s="189" t="str">
        <f>IF($B51="","",SUMIF('Post-Harvest Plots_rpt'!$B:$B,Stand_Biomass!$B51,'Post-Harvest Plots_rpt'!$F:$F)/$D51)</f>
        <v/>
      </c>
      <c r="G51" s="122" t="str">
        <f>IF($B51="","",SUMIF('Post-Harvest Plots_rpt'!$B:$B,Stand_Biomass!$B51,'Post-Harvest Plots_rpt'!$G:$G)/$D51)</f>
        <v/>
      </c>
      <c r="H51" s="122" t="str">
        <f>IF($B51="","",SUMIF('Post-Harvest Plots_rpt'!$B:$B,Stand_Biomass!$B51,'Post-Harvest Plots_rpt'!$H:$H)/$D51)</f>
        <v/>
      </c>
      <c r="I51" s="121" t="str">
        <f>IF($B51="","",SUMIF('Post-Harvest Plots_rpt'!$B:$B,Stand_Biomass!$B51,'Post-Harvest Plots_rpt'!$I:$I)/$D51)</f>
        <v/>
      </c>
      <c r="J51" s="121" t="str">
        <f>IF($B51="","",SUMIF('Post-Harvest Plots_rpt'!$B:$B,Stand_Biomass!$B51,'Post-Harvest Plots_rpt'!$J:$J)/COUNTIFS('Post-Harvest Plots_rpt'!$B:$B,Stand_Biomass!$B51,'Post-Harvest Plots_rpt'!$J:$J,"&gt;"&amp;0))</f>
        <v/>
      </c>
      <c r="K51" s="121" t="str">
        <f>IF($B51="","",SUMIF('Post-Harvest Plots_rpt'!$B:$B,Stand_Biomass!$B51,'Post-Harvest Plots_rpt'!$K:$K)/$D51)</f>
        <v/>
      </c>
      <c r="L51" s="154" t="str">
        <f t="shared" si="6"/>
        <v/>
      </c>
      <c r="M51" s="135"/>
      <c r="N51" s="502" t="str">
        <f>IF(Stand_Biomass!M51="","",Stand_Biomass!M51/2)</f>
        <v/>
      </c>
      <c r="O51" s="372" t="str">
        <f t="shared" si="7"/>
        <v/>
      </c>
      <c r="P51" s="354" t="str">
        <f>IF(Stand_Biomass!N51="","",Stand_Biomass!N51/2)</f>
        <v/>
      </c>
      <c r="Q51" s="354" t="str">
        <f>IF(Stand_Biomass!O51="","",Stand_Biomass!O51/2)</f>
        <v/>
      </c>
      <c r="R51" s="354" t="str">
        <f>IF(Stand_Biomass!P51="","",Stand_Biomass!P51/2)</f>
        <v/>
      </c>
      <c r="S51" s="354" t="str">
        <f>IF(Stand_Biomass!Q51="","",Stand_Biomass!Q51/2)</f>
        <v/>
      </c>
      <c r="T51" s="354" t="str">
        <f>IF(Stand_Biomass!R51="","",Stand_Biomass!R51/2)</f>
        <v/>
      </c>
      <c r="U51" s="354" t="str">
        <f>IF(Stand_Biomass!S51="","",Stand_Biomass!S51/2)</f>
        <v/>
      </c>
      <c r="V51" s="354" t="str">
        <f>IF(Stand_Biomass!T51="","",Stand_Biomass!T51/2)</f>
        <v/>
      </c>
      <c r="W51" s="354" t="str">
        <f>IF(Stand_Biomass!U51="","",Stand_Biomass!U51/2)</f>
        <v/>
      </c>
      <c r="X51" s="354" t="str">
        <f>IF(Stand_Biomass!V51="","",Stand_Biomass!V51/2)</f>
        <v/>
      </c>
      <c r="Y51" s="372" t="str">
        <f>IF(N51="","",N51*Stand!$G17)</f>
        <v/>
      </c>
      <c r="Z51" s="373" t="str">
        <f>IF(O51="","",O51*Stand!$G17)</f>
        <v/>
      </c>
      <c r="AA51" s="130"/>
      <c r="AB51" s="152" t="str">
        <f>IF($B51="","",SUMIF('Post-Harvest Plots_rpt'!$B:$B,Stand_Biomass!$B51,'Post-Harvest Plots_rpt'!Z:Z)/$D51)</f>
        <v/>
      </c>
      <c r="AC51" s="297" t="str">
        <f>IF($B51="","",SUMIF('Post-Harvest Plots_rpt'!$B:$B,Stand_Biomass!$B51,'Post-Harvest Plots_rpt'!AA:AA)/$D51)</f>
        <v/>
      </c>
      <c r="AD51" s="297" t="str">
        <f>IF($B51="","",SUMIF('Post-Harvest Plots_rpt'!$B:$B,Stand_Biomass!$B51,'Post-Harvest Plots_rpt'!AB:AB)/$D51)</f>
        <v/>
      </c>
      <c r="AE51" s="377" t="str">
        <f>IF(Stand_Biomass!AD51="","",Stand_Biomass!AD51/2)</f>
        <v/>
      </c>
      <c r="AF51" s="377" t="str">
        <f t="shared" si="8"/>
        <v/>
      </c>
      <c r="AG51" s="510" t="str">
        <f>IF(AE51="","",AE51*Stand!$G17)</f>
        <v/>
      </c>
      <c r="AH51" s="511" t="str">
        <f>IF(AF51="","",AF51*Stand!$G17)</f>
        <v/>
      </c>
    </row>
    <row r="52" spans="2:34" x14ac:dyDescent="0.25">
      <c r="B52" s="171" t="str">
        <f>IF(Stand!C18="","",Stand!C18)</f>
        <v/>
      </c>
      <c r="C52" s="364" t="str">
        <f>IF(Stand!G18="","",Stand!G18)</f>
        <v/>
      </c>
      <c r="D52" s="187" t="str">
        <f>IF($B52="","",VLOOKUP(B52,Stand!C:H,6,0))</f>
        <v/>
      </c>
      <c r="E52" s="130"/>
      <c r="F52" s="189" t="str">
        <f>IF($B52="","",SUMIF('Post-Harvest Plots_rpt'!$B:$B,Stand_Biomass!$B52,'Post-Harvest Plots_rpt'!$F:$F)/$D52)</f>
        <v/>
      </c>
      <c r="G52" s="122" t="str">
        <f>IF($B52="","",SUMIF('Post-Harvest Plots_rpt'!$B:$B,Stand_Biomass!$B52,'Post-Harvest Plots_rpt'!$G:$G)/$D52)</f>
        <v/>
      </c>
      <c r="H52" s="122" t="str">
        <f>IF($B52="","",SUMIF('Post-Harvest Plots_rpt'!$B:$B,Stand_Biomass!$B52,'Post-Harvest Plots_rpt'!$H:$H)/$D52)</f>
        <v/>
      </c>
      <c r="I52" s="121" t="str">
        <f>IF($B52="","",SUMIF('Post-Harvest Plots_rpt'!$B:$B,Stand_Biomass!$B52,'Post-Harvest Plots_rpt'!$I:$I)/$D52)</f>
        <v/>
      </c>
      <c r="J52" s="121" t="str">
        <f>IF($B52="","",SUMIF('Post-Harvest Plots_rpt'!$B:$B,Stand_Biomass!$B52,'Post-Harvest Plots_rpt'!$J:$J)/COUNTIFS('Post-Harvest Plots_rpt'!$B:$B,Stand_Biomass!$B52,'Post-Harvest Plots_rpt'!$J:$J,"&gt;"&amp;0))</f>
        <v/>
      </c>
      <c r="K52" s="121" t="str">
        <f>IF($B52="","",SUMIF('Post-Harvest Plots_rpt'!$B:$B,Stand_Biomass!$B52,'Post-Harvest Plots_rpt'!$K:$K)/$D52)</f>
        <v/>
      </c>
      <c r="L52" s="154" t="str">
        <f t="shared" si="6"/>
        <v/>
      </c>
      <c r="M52" s="135"/>
      <c r="N52" s="502" t="str">
        <f>IF(Stand_Biomass!M52="","",Stand_Biomass!M52/2)</f>
        <v/>
      </c>
      <c r="O52" s="372" t="str">
        <f t="shared" si="7"/>
        <v/>
      </c>
      <c r="P52" s="354" t="str">
        <f>IF(Stand_Biomass!N52="","",Stand_Biomass!N52/2)</f>
        <v/>
      </c>
      <c r="Q52" s="354" t="str">
        <f>IF(Stand_Biomass!O52="","",Stand_Biomass!O52/2)</f>
        <v/>
      </c>
      <c r="R52" s="354" t="str">
        <f>IF(Stand_Biomass!P52="","",Stand_Biomass!P52/2)</f>
        <v/>
      </c>
      <c r="S52" s="354" t="str">
        <f>IF(Stand_Biomass!Q52="","",Stand_Biomass!Q52/2)</f>
        <v/>
      </c>
      <c r="T52" s="354" t="str">
        <f>IF(Stand_Biomass!R52="","",Stand_Biomass!R52/2)</f>
        <v/>
      </c>
      <c r="U52" s="354" t="str">
        <f>IF(Stand_Biomass!S52="","",Stand_Biomass!S52/2)</f>
        <v/>
      </c>
      <c r="V52" s="354" t="str">
        <f>IF(Stand_Biomass!T52="","",Stand_Biomass!T52/2)</f>
        <v/>
      </c>
      <c r="W52" s="354" t="str">
        <f>IF(Stand_Biomass!U52="","",Stand_Biomass!U52/2)</f>
        <v/>
      </c>
      <c r="X52" s="354" t="str">
        <f>IF(Stand_Biomass!V52="","",Stand_Biomass!V52/2)</f>
        <v/>
      </c>
      <c r="Y52" s="372" t="str">
        <f>IF(N52="","",N52*Stand!$G18)</f>
        <v/>
      </c>
      <c r="Z52" s="373" t="str">
        <f>IF(O52="","",O52*Stand!$G18)</f>
        <v/>
      </c>
      <c r="AA52" s="130"/>
      <c r="AB52" s="152" t="str">
        <f>IF($B52="","",SUMIF('Post-Harvest Plots_rpt'!$B:$B,Stand_Biomass!$B52,'Post-Harvest Plots_rpt'!Z:Z)/$D52)</f>
        <v/>
      </c>
      <c r="AC52" s="297" t="str">
        <f>IF($B52="","",SUMIF('Post-Harvest Plots_rpt'!$B:$B,Stand_Biomass!$B52,'Post-Harvest Plots_rpt'!AA:AA)/$D52)</f>
        <v/>
      </c>
      <c r="AD52" s="297" t="str">
        <f>IF($B52="","",SUMIF('Post-Harvest Plots_rpt'!$B:$B,Stand_Biomass!$B52,'Post-Harvest Plots_rpt'!AB:AB)/$D52)</f>
        <v/>
      </c>
      <c r="AE52" s="377" t="str">
        <f>IF(Stand_Biomass!AD52="","",Stand_Biomass!AD52/2)</f>
        <v/>
      </c>
      <c r="AF52" s="377" t="str">
        <f t="shared" si="8"/>
        <v/>
      </c>
      <c r="AG52" s="510" t="str">
        <f>IF(AE52="","",AE52*Stand!$G18)</f>
        <v/>
      </c>
      <c r="AH52" s="511" t="str">
        <f>IF(AF52="","",AF52*Stand!$G18)</f>
        <v/>
      </c>
    </row>
    <row r="53" spans="2:34" x14ac:dyDescent="0.25">
      <c r="B53" s="171" t="str">
        <f>IF(Stand!C19="","",Stand!C19)</f>
        <v/>
      </c>
      <c r="C53" s="364" t="str">
        <f>IF(Stand!G19="","",Stand!G19)</f>
        <v/>
      </c>
      <c r="D53" s="187" t="str">
        <f>IF($B53="","",VLOOKUP(B53,Stand!C:H,6,0))</f>
        <v/>
      </c>
      <c r="E53" s="130"/>
      <c r="F53" s="189" t="str">
        <f>IF($B53="","",SUMIF('Post-Harvest Plots_rpt'!$B:$B,Stand_Biomass!$B53,'Post-Harvest Plots_rpt'!$F:$F)/$D53)</f>
        <v/>
      </c>
      <c r="G53" s="122" t="str">
        <f>IF($B53="","",SUMIF('Post-Harvest Plots_rpt'!$B:$B,Stand_Biomass!$B53,'Post-Harvest Plots_rpt'!$G:$G)/$D53)</f>
        <v/>
      </c>
      <c r="H53" s="122" t="str">
        <f>IF($B53="","",SUMIF('Post-Harvest Plots_rpt'!$B:$B,Stand_Biomass!$B53,'Post-Harvest Plots_rpt'!$H:$H)/$D53)</f>
        <v/>
      </c>
      <c r="I53" s="121" t="str">
        <f>IF($B53="","",SUMIF('Post-Harvest Plots_rpt'!$B:$B,Stand_Biomass!$B53,'Post-Harvest Plots_rpt'!$I:$I)/$D53)</f>
        <v/>
      </c>
      <c r="J53" s="121" t="str">
        <f>IF($B53="","",SUMIF('Post-Harvest Plots_rpt'!$B:$B,Stand_Biomass!$B53,'Post-Harvest Plots_rpt'!$J:$J)/COUNTIFS('Post-Harvest Plots_rpt'!$B:$B,Stand_Biomass!$B53,'Post-Harvest Plots_rpt'!$J:$J,"&gt;"&amp;0))</f>
        <v/>
      </c>
      <c r="K53" s="121" t="str">
        <f>IF($B53="","",SUMIF('Post-Harvest Plots_rpt'!$B:$B,Stand_Biomass!$B53,'Post-Harvest Plots_rpt'!$K:$K)/$D53)</f>
        <v/>
      </c>
      <c r="L53" s="154" t="str">
        <f t="shared" si="6"/>
        <v/>
      </c>
      <c r="M53" s="135"/>
      <c r="N53" s="502" t="str">
        <f>IF(Stand_Biomass!M53="","",Stand_Biomass!M53/2)</f>
        <v/>
      </c>
      <c r="O53" s="372" t="str">
        <f t="shared" si="7"/>
        <v/>
      </c>
      <c r="P53" s="354" t="str">
        <f>IF(Stand_Biomass!N53="","",Stand_Biomass!N53/2)</f>
        <v/>
      </c>
      <c r="Q53" s="354" t="str">
        <f>IF(Stand_Biomass!O53="","",Stand_Biomass!O53/2)</f>
        <v/>
      </c>
      <c r="R53" s="354" t="str">
        <f>IF(Stand_Biomass!P53="","",Stand_Biomass!P53/2)</f>
        <v/>
      </c>
      <c r="S53" s="354" t="str">
        <f>IF(Stand_Biomass!Q53="","",Stand_Biomass!Q53/2)</f>
        <v/>
      </c>
      <c r="T53" s="354" t="str">
        <f>IF(Stand_Biomass!R53="","",Stand_Biomass!R53/2)</f>
        <v/>
      </c>
      <c r="U53" s="354" t="str">
        <f>IF(Stand_Biomass!S53="","",Stand_Biomass!S53/2)</f>
        <v/>
      </c>
      <c r="V53" s="354" t="str">
        <f>IF(Stand_Biomass!T53="","",Stand_Biomass!T53/2)</f>
        <v/>
      </c>
      <c r="W53" s="354" t="str">
        <f>IF(Stand_Biomass!U53="","",Stand_Biomass!U53/2)</f>
        <v/>
      </c>
      <c r="X53" s="354" t="str">
        <f>IF(Stand_Biomass!V53="","",Stand_Biomass!V53/2)</f>
        <v/>
      </c>
      <c r="Y53" s="372" t="str">
        <f>IF(N53="","",N53*Stand!$G19)</f>
        <v/>
      </c>
      <c r="Z53" s="373" t="str">
        <f>IF(O53="","",O53*Stand!$G19)</f>
        <v/>
      </c>
      <c r="AA53" s="130"/>
      <c r="AB53" s="152" t="str">
        <f>IF($B53="","",SUMIF('Post-Harvest Plots_rpt'!$B:$B,Stand_Biomass!$B53,'Post-Harvest Plots_rpt'!Z:Z)/$D53)</f>
        <v/>
      </c>
      <c r="AC53" s="297" t="str">
        <f>IF($B53="","",SUMIF('Post-Harvest Plots_rpt'!$B:$B,Stand_Biomass!$B53,'Post-Harvest Plots_rpt'!AA:AA)/$D53)</f>
        <v/>
      </c>
      <c r="AD53" s="297" t="str">
        <f>IF($B53="","",SUMIF('Post-Harvest Plots_rpt'!$B:$B,Stand_Biomass!$B53,'Post-Harvest Plots_rpt'!AB:AB)/$D53)</f>
        <v/>
      </c>
      <c r="AE53" s="377" t="str">
        <f>IF(Stand_Biomass!AD53="","",Stand_Biomass!AD53/2)</f>
        <v/>
      </c>
      <c r="AF53" s="377" t="str">
        <f t="shared" si="8"/>
        <v/>
      </c>
      <c r="AG53" s="510" t="str">
        <f>IF(AE53="","",AE53*Stand!$G19)</f>
        <v/>
      </c>
      <c r="AH53" s="511" t="str">
        <f>IF(AF53="","",AF53*Stand!$G19)</f>
        <v/>
      </c>
    </row>
    <row r="54" spans="2:34" x14ac:dyDescent="0.25">
      <c r="B54" s="171" t="str">
        <f>IF(Stand!C20="","",Stand!C20)</f>
        <v/>
      </c>
      <c r="C54" s="364" t="str">
        <f>IF(Stand!G20="","",Stand!G20)</f>
        <v/>
      </c>
      <c r="D54" s="187" t="str">
        <f>IF($B54="","",VLOOKUP(B54,Stand!C:H,6,0))</f>
        <v/>
      </c>
      <c r="E54" s="130"/>
      <c r="F54" s="189" t="str">
        <f>IF($B54="","",SUMIF('Post-Harvest Plots_rpt'!$B:$B,Stand_Biomass!$B54,'Post-Harvest Plots_rpt'!$F:$F)/$D54)</f>
        <v/>
      </c>
      <c r="G54" s="122" t="str">
        <f>IF($B54="","",SUMIF('Post-Harvest Plots_rpt'!$B:$B,Stand_Biomass!$B54,'Post-Harvest Plots_rpt'!$G:$G)/$D54)</f>
        <v/>
      </c>
      <c r="H54" s="122" t="str">
        <f>IF($B54="","",SUMIF('Post-Harvest Plots_rpt'!$B:$B,Stand_Biomass!$B54,'Post-Harvest Plots_rpt'!$H:$H)/$D54)</f>
        <v/>
      </c>
      <c r="I54" s="121" t="str">
        <f>IF($B54="","",SUMIF('Post-Harvest Plots_rpt'!$B:$B,Stand_Biomass!$B54,'Post-Harvest Plots_rpt'!$I:$I)/$D54)</f>
        <v/>
      </c>
      <c r="J54" s="121" t="str">
        <f>IF($B54="","",SUMIF('Post-Harvest Plots_rpt'!$B:$B,Stand_Biomass!$B54,'Post-Harvest Plots_rpt'!$J:$J)/COUNTIFS('Post-Harvest Plots_rpt'!$B:$B,Stand_Biomass!$B54,'Post-Harvest Plots_rpt'!$J:$J,"&gt;"&amp;0))</f>
        <v/>
      </c>
      <c r="K54" s="121" t="str">
        <f>IF($B54="","",SUMIF('Post-Harvest Plots_rpt'!$B:$B,Stand_Biomass!$B54,'Post-Harvest Plots_rpt'!$K:$K)/$D54)</f>
        <v/>
      </c>
      <c r="L54" s="154" t="str">
        <f t="shared" si="6"/>
        <v/>
      </c>
      <c r="M54" s="135"/>
      <c r="N54" s="502" t="str">
        <f>IF(Stand_Biomass!M54="","",Stand_Biomass!M54/2)</f>
        <v/>
      </c>
      <c r="O54" s="372" t="str">
        <f t="shared" si="7"/>
        <v/>
      </c>
      <c r="P54" s="354" t="str">
        <f>IF(Stand_Biomass!N54="","",Stand_Biomass!N54/2)</f>
        <v/>
      </c>
      <c r="Q54" s="354" t="str">
        <f>IF(Stand_Biomass!O54="","",Stand_Biomass!O54/2)</f>
        <v/>
      </c>
      <c r="R54" s="354" t="str">
        <f>IF(Stand_Biomass!P54="","",Stand_Biomass!P54/2)</f>
        <v/>
      </c>
      <c r="S54" s="354" t="str">
        <f>IF(Stand_Biomass!Q54="","",Stand_Biomass!Q54/2)</f>
        <v/>
      </c>
      <c r="T54" s="354" t="str">
        <f>IF(Stand_Biomass!R54="","",Stand_Biomass!R54/2)</f>
        <v/>
      </c>
      <c r="U54" s="354" t="str">
        <f>IF(Stand_Biomass!S54="","",Stand_Biomass!S54/2)</f>
        <v/>
      </c>
      <c r="V54" s="354" t="str">
        <f>IF(Stand_Biomass!T54="","",Stand_Biomass!T54/2)</f>
        <v/>
      </c>
      <c r="W54" s="354" t="str">
        <f>IF(Stand_Biomass!U54="","",Stand_Biomass!U54/2)</f>
        <v/>
      </c>
      <c r="X54" s="354" t="str">
        <f>IF(Stand_Biomass!V54="","",Stand_Biomass!V54/2)</f>
        <v/>
      </c>
      <c r="Y54" s="372" t="str">
        <f>IF(N54="","",N54*Stand!$G20)</f>
        <v/>
      </c>
      <c r="Z54" s="373" t="str">
        <f>IF(O54="","",O54*Stand!$G20)</f>
        <v/>
      </c>
      <c r="AA54" s="130"/>
      <c r="AB54" s="152" t="str">
        <f>IF($B54="","",SUMIF('Post-Harvest Plots_rpt'!$B:$B,Stand_Biomass!$B54,'Post-Harvest Plots_rpt'!Z:Z)/$D54)</f>
        <v/>
      </c>
      <c r="AC54" s="297" t="str">
        <f>IF($B54="","",SUMIF('Post-Harvest Plots_rpt'!$B:$B,Stand_Biomass!$B54,'Post-Harvest Plots_rpt'!AA:AA)/$D54)</f>
        <v/>
      </c>
      <c r="AD54" s="297" t="str">
        <f>IF($B54="","",SUMIF('Post-Harvest Plots_rpt'!$B:$B,Stand_Biomass!$B54,'Post-Harvest Plots_rpt'!AB:AB)/$D54)</f>
        <v/>
      </c>
      <c r="AE54" s="377" t="str">
        <f>IF(Stand_Biomass!AD54="","",Stand_Biomass!AD54/2)</f>
        <v/>
      </c>
      <c r="AF54" s="377" t="str">
        <f t="shared" si="8"/>
        <v/>
      </c>
      <c r="AG54" s="510" t="str">
        <f>IF(AE54="","",AE54*Stand!$G20)</f>
        <v/>
      </c>
      <c r="AH54" s="511" t="str">
        <f>IF(AF54="","",AF54*Stand!$G20)</f>
        <v/>
      </c>
    </row>
    <row r="55" spans="2:34" x14ac:dyDescent="0.25">
      <c r="B55" s="171" t="str">
        <f>IF(Stand!C21="","",Stand!C21)</f>
        <v/>
      </c>
      <c r="C55" s="364" t="str">
        <f>IF(Stand!G21="","",Stand!G21)</f>
        <v/>
      </c>
      <c r="D55" s="187" t="str">
        <f>IF($B55="","",VLOOKUP(B55,Stand!C:H,6,0))</f>
        <v/>
      </c>
      <c r="E55" s="130"/>
      <c r="F55" s="189" t="str">
        <f>IF($B55="","",SUMIF('Post-Harvest Plots_rpt'!$B:$B,Stand_Biomass!$B55,'Post-Harvest Plots_rpt'!$F:$F)/$D55)</f>
        <v/>
      </c>
      <c r="G55" s="122" t="str">
        <f>IF($B55="","",SUMIF('Post-Harvest Plots_rpt'!$B:$B,Stand_Biomass!$B55,'Post-Harvest Plots_rpt'!$G:$G)/$D55)</f>
        <v/>
      </c>
      <c r="H55" s="122" t="str">
        <f>IF($B55="","",SUMIF('Post-Harvest Plots_rpt'!$B:$B,Stand_Biomass!$B55,'Post-Harvest Plots_rpt'!$H:$H)/$D55)</f>
        <v/>
      </c>
      <c r="I55" s="121" t="str">
        <f>IF($B55="","",SUMIF('Post-Harvest Plots_rpt'!$B:$B,Stand_Biomass!$B55,'Post-Harvest Plots_rpt'!$I:$I)/$D55)</f>
        <v/>
      </c>
      <c r="J55" s="121" t="str">
        <f>IF($B55="","",SUMIF('Post-Harvest Plots_rpt'!$B:$B,Stand_Biomass!$B55,'Post-Harvest Plots_rpt'!$J:$J)/COUNTIFS('Post-Harvest Plots_rpt'!$B:$B,Stand_Biomass!$B55,'Post-Harvest Plots_rpt'!$J:$J,"&gt;"&amp;0))</f>
        <v/>
      </c>
      <c r="K55" s="121" t="str">
        <f>IF($B55="","",SUMIF('Post-Harvest Plots_rpt'!$B:$B,Stand_Biomass!$B55,'Post-Harvest Plots_rpt'!$K:$K)/$D55)</f>
        <v/>
      </c>
      <c r="L55" s="154" t="str">
        <f t="shared" si="6"/>
        <v/>
      </c>
      <c r="M55" s="135"/>
      <c r="N55" s="502" t="str">
        <f>IF(Stand_Biomass!M55="","",Stand_Biomass!M55/2)</f>
        <v/>
      </c>
      <c r="O55" s="372" t="str">
        <f t="shared" si="7"/>
        <v/>
      </c>
      <c r="P55" s="354" t="str">
        <f>IF(Stand_Biomass!N55="","",Stand_Biomass!N55/2)</f>
        <v/>
      </c>
      <c r="Q55" s="354" t="str">
        <f>IF(Stand_Biomass!O55="","",Stand_Biomass!O55/2)</f>
        <v/>
      </c>
      <c r="R55" s="354" t="str">
        <f>IF(Stand_Biomass!P55="","",Stand_Biomass!P55/2)</f>
        <v/>
      </c>
      <c r="S55" s="354" t="str">
        <f>IF(Stand_Biomass!Q55="","",Stand_Biomass!Q55/2)</f>
        <v/>
      </c>
      <c r="T55" s="354" t="str">
        <f>IF(Stand_Biomass!R55="","",Stand_Biomass!R55/2)</f>
        <v/>
      </c>
      <c r="U55" s="354" t="str">
        <f>IF(Stand_Biomass!S55="","",Stand_Biomass!S55/2)</f>
        <v/>
      </c>
      <c r="V55" s="354" t="str">
        <f>IF(Stand_Biomass!T55="","",Stand_Biomass!T55/2)</f>
        <v/>
      </c>
      <c r="W55" s="354" t="str">
        <f>IF(Stand_Biomass!U55="","",Stand_Biomass!U55/2)</f>
        <v/>
      </c>
      <c r="X55" s="354" t="str">
        <f>IF(Stand_Biomass!V55="","",Stand_Biomass!V55/2)</f>
        <v/>
      </c>
      <c r="Y55" s="372" t="str">
        <f>IF(N55="","",N55*Stand!$G21)</f>
        <v/>
      </c>
      <c r="Z55" s="373" t="str">
        <f>IF(O55="","",O55*Stand!$G21)</f>
        <v/>
      </c>
      <c r="AA55" s="130"/>
      <c r="AB55" s="152" t="str">
        <f>IF($B55="","",SUMIF('Post-Harvest Plots_rpt'!$B:$B,Stand_Biomass!$B55,'Post-Harvest Plots_rpt'!Z:Z)/$D55)</f>
        <v/>
      </c>
      <c r="AC55" s="297" t="str">
        <f>IF($B55="","",SUMIF('Post-Harvest Plots_rpt'!$B:$B,Stand_Biomass!$B55,'Post-Harvest Plots_rpt'!AA:AA)/$D55)</f>
        <v/>
      </c>
      <c r="AD55" s="297" t="str">
        <f>IF($B55="","",SUMIF('Post-Harvest Plots_rpt'!$B:$B,Stand_Biomass!$B55,'Post-Harvest Plots_rpt'!AB:AB)/$D55)</f>
        <v/>
      </c>
      <c r="AE55" s="377" t="str">
        <f>IF(Stand_Biomass!AD55="","",Stand_Biomass!AD55/2)</f>
        <v/>
      </c>
      <c r="AF55" s="377" t="str">
        <f t="shared" si="8"/>
        <v/>
      </c>
      <c r="AG55" s="510" t="str">
        <f>IF(AE55="","",AE55*Stand!$G21)</f>
        <v/>
      </c>
      <c r="AH55" s="511" t="str">
        <f>IF(AF55="","",AF55*Stand!$G21)</f>
        <v/>
      </c>
    </row>
    <row r="56" spans="2:34" x14ac:dyDescent="0.25">
      <c r="B56" s="171" t="str">
        <f>IF(Stand!C22="","",Stand!C22)</f>
        <v/>
      </c>
      <c r="C56" s="364" t="str">
        <f>IF(Stand!G22="","",Stand!G22)</f>
        <v/>
      </c>
      <c r="D56" s="187" t="str">
        <f>IF($B56="","",VLOOKUP(B56,Stand!C:H,6,0))</f>
        <v/>
      </c>
      <c r="E56" s="130"/>
      <c r="F56" s="189" t="str">
        <f>IF($B56="","",SUMIF('Post-Harvest Plots_rpt'!$B:$B,Stand_Biomass!$B56,'Post-Harvest Plots_rpt'!$F:$F)/$D56)</f>
        <v/>
      </c>
      <c r="G56" s="122" t="str">
        <f>IF($B56="","",SUMIF('Post-Harvest Plots_rpt'!$B:$B,Stand_Biomass!$B56,'Post-Harvest Plots_rpt'!$G:$G)/$D56)</f>
        <v/>
      </c>
      <c r="H56" s="122" t="str">
        <f>IF($B56="","",SUMIF('Post-Harvest Plots_rpt'!$B:$B,Stand_Biomass!$B56,'Post-Harvest Plots_rpt'!$H:$H)/$D56)</f>
        <v/>
      </c>
      <c r="I56" s="121" t="str">
        <f>IF($B56="","",SUMIF('Post-Harvest Plots_rpt'!$B:$B,Stand_Biomass!$B56,'Post-Harvest Plots_rpt'!$I:$I)/$D56)</f>
        <v/>
      </c>
      <c r="J56" s="121" t="str">
        <f>IF($B56="","",SUMIF('Post-Harvest Plots_rpt'!$B:$B,Stand_Biomass!$B56,'Post-Harvest Plots_rpt'!$J:$J)/COUNTIFS('Post-Harvest Plots_rpt'!$B:$B,Stand_Biomass!$B56,'Post-Harvest Plots_rpt'!$J:$J,"&gt;"&amp;0))</f>
        <v/>
      </c>
      <c r="K56" s="121" t="str">
        <f>IF($B56="","",SUMIF('Post-Harvest Plots_rpt'!$B:$B,Stand_Biomass!$B56,'Post-Harvest Plots_rpt'!$K:$K)/$D56)</f>
        <v/>
      </c>
      <c r="L56" s="154" t="str">
        <f t="shared" si="6"/>
        <v/>
      </c>
      <c r="M56" s="135"/>
      <c r="N56" s="502" t="str">
        <f>IF(Stand_Biomass!M56="","",Stand_Biomass!M56/2)</f>
        <v/>
      </c>
      <c r="O56" s="372" t="str">
        <f t="shared" si="7"/>
        <v/>
      </c>
      <c r="P56" s="354" t="str">
        <f>IF(Stand_Biomass!N56="","",Stand_Biomass!N56/2)</f>
        <v/>
      </c>
      <c r="Q56" s="354" t="str">
        <f>IF(Stand_Biomass!O56="","",Stand_Biomass!O56/2)</f>
        <v/>
      </c>
      <c r="R56" s="354" t="str">
        <f>IF(Stand_Biomass!P56="","",Stand_Biomass!P56/2)</f>
        <v/>
      </c>
      <c r="S56" s="354" t="str">
        <f>IF(Stand_Biomass!Q56="","",Stand_Biomass!Q56/2)</f>
        <v/>
      </c>
      <c r="T56" s="354" t="str">
        <f>IF(Stand_Biomass!R56="","",Stand_Biomass!R56/2)</f>
        <v/>
      </c>
      <c r="U56" s="354" t="str">
        <f>IF(Stand_Biomass!S56="","",Stand_Biomass!S56/2)</f>
        <v/>
      </c>
      <c r="V56" s="354" t="str">
        <f>IF(Stand_Biomass!T56="","",Stand_Biomass!T56/2)</f>
        <v/>
      </c>
      <c r="W56" s="354" t="str">
        <f>IF(Stand_Biomass!U56="","",Stand_Biomass!U56/2)</f>
        <v/>
      </c>
      <c r="X56" s="354" t="str">
        <f>IF(Stand_Biomass!V56="","",Stand_Biomass!V56/2)</f>
        <v/>
      </c>
      <c r="Y56" s="372" t="str">
        <f>IF(N56="","",N56*Stand!$G22)</f>
        <v/>
      </c>
      <c r="Z56" s="373" t="str">
        <f>IF(O56="","",O56*Stand!$G22)</f>
        <v/>
      </c>
      <c r="AA56" s="130"/>
      <c r="AB56" s="152" t="str">
        <f>IF($B56="","",SUMIF('Post-Harvest Plots_rpt'!$B:$B,Stand_Biomass!$B56,'Post-Harvest Plots_rpt'!Z:Z)/$D56)</f>
        <v/>
      </c>
      <c r="AC56" s="297" t="str">
        <f>IF($B56="","",SUMIF('Post-Harvest Plots_rpt'!$B:$B,Stand_Biomass!$B56,'Post-Harvest Plots_rpt'!AA:AA)/$D56)</f>
        <v/>
      </c>
      <c r="AD56" s="297" t="str">
        <f>IF($B56="","",SUMIF('Post-Harvest Plots_rpt'!$B:$B,Stand_Biomass!$B56,'Post-Harvest Plots_rpt'!AB:AB)/$D56)</f>
        <v/>
      </c>
      <c r="AE56" s="377" t="str">
        <f>IF(Stand_Biomass!AD56="","",Stand_Biomass!AD56/2)</f>
        <v/>
      </c>
      <c r="AF56" s="377" t="str">
        <f t="shared" si="8"/>
        <v/>
      </c>
      <c r="AG56" s="510" t="str">
        <f>IF(AE56="","",AE56*Stand!$G22)</f>
        <v/>
      </c>
      <c r="AH56" s="511" t="str">
        <f>IF(AF56="","",AF56*Stand!$G22)</f>
        <v/>
      </c>
    </row>
    <row r="57" spans="2:34" x14ac:dyDescent="0.25">
      <c r="B57" s="171" t="str">
        <f>IF(Stand!C23="","",Stand!C23)</f>
        <v/>
      </c>
      <c r="C57" s="364" t="str">
        <f>IF(Stand!G23="","",Stand!G23)</f>
        <v/>
      </c>
      <c r="D57" s="187" t="str">
        <f>IF($B57="","",VLOOKUP(B57,Stand!C:H,6,0))</f>
        <v/>
      </c>
      <c r="E57" s="130"/>
      <c r="F57" s="189" t="str">
        <f>IF($B57="","",SUMIF('Post-Harvest Plots_rpt'!$B:$B,Stand_Biomass!$B57,'Post-Harvest Plots_rpt'!$F:$F)/$D57)</f>
        <v/>
      </c>
      <c r="G57" s="122" t="str">
        <f>IF($B57="","",SUMIF('Post-Harvest Plots_rpt'!$B:$B,Stand_Biomass!$B57,'Post-Harvest Plots_rpt'!$G:$G)/$D57)</f>
        <v/>
      </c>
      <c r="H57" s="122" t="str">
        <f>IF($B57="","",SUMIF('Post-Harvest Plots_rpt'!$B:$B,Stand_Biomass!$B57,'Post-Harvest Plots_rpt'!$H:$H)/$D57)</f>
        <v/>
      </c>
      <c r="I57" s="121" t="str">
        <f>IF($B57="","",SUMIF('Post-Harvest Plots_rpt'!$B:$B,Stand_Biomass!$B57,'Post-Harvest Plots_rpt'!$I:$I)/$D57)</f>
        <v/>
      </c>
      <c r="J57" s="121" t="str">
        <f>IF($B57="","",SUMIF('Post-Harvest Plots_rpt'!$B:$B,Stand_Biomass!$B57,'Post-Harvest Plots_rpt'!$J:$J)/COUNTIFS('Post-Harvest Plots_rpt'!$B:$B,Stand_Biomass!$B57,'Post-Harvest Plots_rpt'!$J:$J,"&gt;"&amp;0))</f>
        <v/>
      </c>
      <c r="K57" s="121" t="str">
        <f>IF($B57="","",SUMIF('Post-Harvest Plots_rpt'!$B:$B,Stand_Biomass!$B57,'Post-Harvest Plots_rpt'!$K:$K)/$D57)</f>
        <v/>
      </c>
      <c r="L57" s="154" t="str">
        <f t="shared" si="6"/>
        <v/>
      </c>
      <c r="M57" s="135"/>
      <c r="N57" s="502" t="str">
        <f>IF(Stand_Biomass!M57="","",Stand_Biomass!M57/2)</f>
        <v/>
      </c>
      <c r="O57" s="372" t="str">
        <f t="shared" si="7"/>
        <v/>
      </c>
      <c r="P57" s="354" t="str">
        <f>IF(Stand_Biomass!N57="","",Stand_Biomass!N57/2)</f>
        <v/>
      </c>
      <c r="Q57" s="354" t="str">
        <f>IF(Stand_Biomass!O57="","",Stand_Biomass!O57/2)</f>
        <v/>
      </c>
      <c r="R57" s="354" t="str">
        <f>IF(Stand_Biomass!P57="","",Stand_Biomass!P57/2)</f>
        <v/>
      </c>
      <c r="S57" s="354" t="str">
        <f>IF(Stand_Biomass!Q57="","",Stand_Biomass!Q57/2)</f>
        <v/>
      </c>
      <c r="T57" s="354" t="str">
        <f>IF(Stand_Biomass!R57="","",Stand_Biomass!R57/2)</f>
        <v/>
      </c>
      <c r="U57" s="354" t="str">
        <f>IF(Stand_Biomass!S57="","",Stand_Biomass!S57/2)</f>
        <v/>
      </c>
      <c r="V57" s="354" t="str">
        <f>IF(Stand_Biomass!T57="","",Stand_Biomass!T57/2)</f>
        <v/>
      </c>
      <c r="W57" s="354" t="str">
        <f>IF(Stand_Biomass!U57="","",Stand_Biomass!U57/2)</f>
        <v/>
      </c>
      <c r="X57" s="354" t="str">
        <f>IF(Stand_Biomass!V57="","",Stand_Biomass!V57/2)</f>
        <v/>
      </c>
      <c r="Y57" s="372" t="str">
        <f>IF(N57="","",N57*Stand!$G23)</f>
        <v/>
      </c>
      <c r="Z57" s="373" t="str">
        <f>IF(O57="","",O57*Stand!$G23)</f>
        <v/>
      </c>
      <c r="AA57" s="130"/>
      <c r="AB57" s="152" t="str">
        <f>IF($B57="","",SUMIF('Post-Harvest Plots_rpt'!$B:$B,Stand_Biomass!$B57,'Post-Harvest Plots_rpt'!Z:Z)/$D57)</f>
        <v/>
      </c>
      <c r="AC57" s="297" t="str">
        <f>IF($B57="","",SUMIF('Post-Harvest Plots_rpt'!$B:$B,Stand_Biomass!$B57,'Post-Harvest Plots_rpt'!AA:AA)/$D57)</f>
        <v/>
      </c>
      <c r="AD57" s="297" t="str">
        <f>IF($B57="","",SUMIF('Post-Harvest Plots_rpt'!$B:$B,Stand_Biomass!$B57,'Post-Harvest Plots_rpt'!AB:AB)/$D57)</f>
        <v/>
      </c>
      <c r="AE57" s="377" t="str">
        <f>IF(Stand_Biomass!AD57="","",Stand_Biomass!AD57/2)</f>
        <v/>
      </c>
      <c r="AF57" s="377" t="str">
        <f t="shared" si="8"/>
        <v/>
      </c>
      <c r="AG57" s="510" t="str">
        <f>IF(AE57="","",AE57*Stand!$G23)</f>
        <v/>
      </c>
      <c r="AH57" s="511" t="str">
        <f>IF(AF57="","",AF57*Stand!$G23)</f>
        <v/>
      </c>
    </row>
    <row r="58" spans="2:34" x14ac:dyDescent="0.25">
      <c r="B58" s="171" t="str">
        <f>IF(Stand!C24="","",Stand!C24)</f>
        <v/>
      </c>
      <c r="C58" s="364" t="str">
        <f>IF(Stand!G24="","",Stand!G24)</f>
        <v/>
      </c>
      <c r="D58" s="187" t="str">
        <f>IF($B58="","",VLOOKUP(B58,Stand!C:H,6,0))</f>
        <v/>
      </c>
      <c r="E58" s="130"/>
      <c r="F58" s="189" t="str">
        <f>IF($B58="","",SUMIF('Post-Harvest Plots_rpt'!$B:$B,Stand_Biomass!$B58,'Post-Harvest Plots_rpt'!$F:$F)/$D58)</f>
        <v/>
      </c>
      <c r="G58" s="122" t="str">
        <f>IF($B58="","",SUMIF('Post-Harvest Plots_rpt'!$B:$B,Stand_Biomass!$B58,'Post-Harvest Plots_rpt'!$G:$G)/$D58)</f>
        <v/>
      </c>
      <c r="H58" s="122" t="str">
        <f>IF($B58="","",SUMIF('Post-Harvest Plots_rpt'!$B:$B,Stand_Biomass!$B58,'Post-Harvest Plots_rpt'!$H:$H)/$D58)</f>
        <v/>
      </c>
      <c r="I58" s="121" t="str">
        <f>IF($B58="","",SUMIF('Post-Harvest Plots_rpt'!$B:$B,Stand_Biomass!$B58,'Post-Harvest Plots_rpt'!$I:$I)/$D58)</f>
        <v/>
      </c>
      <c r="J58" s="121" t="str">
        <f>IF($B58="","",SUMIF('Post-Harvest Plots_rpt'!$B:$B,Stand_Biomass!$B58,'Post-Harvest Plots_rpt'!$J:$J)/COUNTIFS('Post-Harvest Plots_rpt'!$B:$B,Stand_Biomass!$B58,'Post-Harvest Plots_rpt'!$J:$J,"&gt;"&amp;0))</f>
        <v/>
      </c>
      <c r="K58" s="121" t="str">
        <f>IF($B58="","",SUMIF('Post-Harvest Plots_rpt'!$B:$B,Stand_Biomass!$B58,'Post-Harvest Plots_rpt'!$K:$K)/$D58)</f>
        <v/>
      </c>
      <c r="L58" s="154" t="str">
        <f t="shared" si="6"/>
        <v/>
      </c>
      <c r="M58" s="135"/>
      <c r="N58" s="502" t="str">
        <f>IF(Stand_Biomass!M58="","",Stand_Biomass!M58/2)</f>
        <v/>
      </c>
      <c r="O58" s="372" t="str">
        <f t="shared" si="7"/>
        <v/>
      </c>
      <c r="P58" s="354" t="str">
        <f>IF(Stand_Biomass!N58="","",Stand_Biomass!N58/2)</f>
        <v/>
      </c>
      <c r="Q58" s="354" t="str">
        <f>IF(Stand_Biomass!O58="","",Stand_Biomass!O58/2)</f>
        <v/>
      </c>
      <c r="R58" s="354" t="str">
        <f>IF(Stand_Biomass!P58="","",Stand_Biomass!P58/2)</f>
        <v/>
      </c>
      <c r="S58" s="354" t="str">
        <f>IF(Stand_Biomass!Q58="","",Stand_Biomass!Q58/2)</f>
        <v/>
      </c>
      <c r="T58" s="354" t="str">
        <f>IF(Stand_Biomass!R58="","",Stand_Biomass!R58/2)</f>
        <v/>
      </c>
      <c r="U58" s="354" t="str">
        <f>IF(Stand_Biomass!S58="","",Stand_Biomass!S58/2)</f>
        <v/>
      </c>
      <c r="V58" s="354" t="str">
        <f>IF(Stand_Biomass!T58="","",Stand_Biomass!T58/2)</f>
        <v/>
      </c>
      <c r="W58" s="354" t="str">
        <f>IF(Stand_Biomass!U58="","",Stand_Biomass!U58/2)</f>
        <v/>
      </c>
      <c r="X58" s="354" t="str">
        <f>IF(Stand_Biomass!V58="","",Stand_Biomass!V58/2)</f>
        <v/>
      </c>
      <c r="Y58" s="372" t="str">
        <f>IF(N58="","",N58*Stand!$G24)</f>
        <v/>
      </c>
      <c r="Z58" s="373" t="str">
        <f>IF(O58="","",O58*Stand!$G24)</f>
        <v/>
      </c>
      <c r="AA58" s="130"/>
      <c r="AB58" s="152" t="str">
        <f>IF($B58="","",SUMIF('Post-Harvest Plots_rpt'!$B:$B,Stand_Biomass!$B58,'Post-Harvest Plots_rpt'!Z:Z)/$D58)</f>
        <v/>
      </c>
      <c r="AC58" s="297" t="str">
        <f>IF($B58="","",SUMIF('Post-Harvest Plots_rpt'!$B:$B,Stand_Biomass!$B58,'Post-Harvest Plots_rpt'!AA:AA)/$D58)</f>
        <v/>
      </c>
      <c r="AD58" s="297" t="str">
        <f>IF($B58="","",SUMIF('Post-Harvest Plots_rpt'!$B:$B,Stand_Biomass!$B58,'Post-Harvest Plots_rpt'!AB:AB)/$D58)</f>
        <v/>
      </c>
      <c r="AE58" s="377" t="str">
        <f>IF(Stand_Biomass!AD58="","",Stand_Biomass!AD58/2)</f>
        <v/>
      </c>
      <c r="AF58" s="377" t="str">
        <f t="shared" si="8"/>
        <v/>
      </c>
      <c r="AG58" s="510" t="str">
        <f>IF(AE58="","",AE58*Stand!$G24)</f>
        <v/>
      </c>
      <c r="AH58" s="511" t="str">
        <f>IF(AF58="","",AF58*Stand!$G24)</f>
        <v/>
      </c>
    </row>
    <row r="59" spans="2:34" x14ac:dyDescent="0.25">
      <c r="B59" s="171" t="str">
        <f>IF(Stand!C25="","",Stand!C25)</f>
        <v/>
      </c>
      <c r="C59" s="364" t="str">
        <f>IF(Stand!G25="","",Stand!G25)</f>
        <v/>
      </c>
      <c r="D59" s="187" t="str">
        <f>IF($B59="","",VLOOKUP(B59,Stand!C:H,6,0))</f>
        <v/>
      </c>
      <c r="E59" s="130"/>
      <c r="F59" s="189" t="str">
        <f>IF($B59="","",SUMIF('Post-Harvest Plots_rpt'!$B:$B,Stand_Biomass!$B59,'Post-Harvest Plots_rpt'!$F:$F)/$D59)</f>
        <v/>
      </c>
      <c r="G59" s="122" t="str">
        <f>IF($B59="","",SUMIF('Post-Harvest Plots_rpt'!$B:$B,Stand_Biomass!$B59,'Post-Harvest Plots_rpt'!$G:$G)/$D59)</f>
        <v/>
      </c>
      <c r="H59" s="122" t="str">
        <f>IF($B59="","",SUMIF('Post-Harvest Plots_rpt'!$B:$B,Stand_Biomass!$B59,'Post-Harvest Plots_rpt'!$H:$H)/$D59)</f>
        <v/>
      </c>
      <c r="I59" s="121" t="str">
        <f>IF($B59="","",SUMIF('Post-Harvest Plots_rpt'!$B:$B,Stand_Biomass!$B59,'Post-Harvest Plots_rpt'!$I:$I)/$D59)</f>
        <v/>
      </c>
      <c r="J59" s="121" t="str">
        <f>IF($B59="","",SUMIF('Post-Harvest Plots_rpt'!$B:$B,Stand_Biomass!$B59,'Post-Harvest Plots_rpt'!$J:$J)/COUNTIFS('Post-Harvest Plots_rpt'!$B:$B,Stand_Biomass!$B59,'Post-Harvest Plots_rpt'!$J:$J,"&gt;"&amp;0))</f>
        <v/>
      </c>
      <c r="K59" s="121" t="str">
        <f>IF($B59="","",SUMIF('Post-Harvest Plots_rpt'!$B:$B,Stand_Biomass!$B59,'Post-Harvest Plots_rpt'!$K:$K)/$D59)</f>
        <v/>
      </c>
      <c r="L59" s="154" t="str">
        <f t="shared" si="6"/>
        <v/>
      </c>
      <c r="M59" s="135"/>
      <c r="N59" s="502" t="str">
        <f>IF(Stand_Biomass!M59="","",Stand_Biomass!M59/2)</f>
        <v/>
      </c>
      <c r="O59" s="372" t="str">
        <f t="shared" si="7"/>
        <v/>
      </c>
      <c r="P59" s="354" t="str">
        <f>IF(Stand_Biomass!N59="","",Stand_Biomass!N59/2)</f>
        <v/>
      </c>
      <c r="Q59" s="354" t="str">
        <f>IF(Stand_Biomass!O59="","",Stand_Biomass!O59/2)</f>
        <v/>
      </c>
      <c r="R59" s="354" t="str">
        <f>IF(Stand_Biomass!P59="","",Stand_Biomass!P59/2)</f>
        <v/>
      </c>
      <c r="S59" s="354" t="str">
        <f>IF(Stand_Biomass!Q59="","",Stand_Biomass!Q59/2)</f>
        <v/>
      </c>
      <c r="T59" s="354" t="str">
        <f>IF(Stand_Biomass!R59="","",Stand_Biomass!R59/2)</f>
        <v/>
      </c>
      <c r="U59" s="354" t="str">
        <f>IF(Stand_Biomass!S59="","",Stand_Biomass!S59/2)</f>
        <v/>
      </c>
      <c r="V59" s="354" t="str">
        <f>IF(Stand_Biomass!T59="","",Stand_Biomass!T59/2)</f>
        <v/>
      </c>
      <c r="W59" s="354" t="str">
        <f>IF(Stand_Biomass!U59="","",Stand_Biomass!U59/2)</f>
        <v/>
      </c>
      <c r="X59" s="354" t="str">
        <f>IF(Stand_Biomass!V59="","",Stand_Biomass!V59/2)</f>
        <v/>
      </c>
      <c r="Y59" s="372" t="str">
        <f>IF(N59="","",N59*Stand!$G25)</f>
        <v/>
      </c>
      <c r="Z59" s="373" t="str">
        <f>IF(O59="","",O59*Stand!$G25)</f>
        <v/>
      </c>
      <c r="AA59" s="130"/>
      <c r="AB59" s="152" t="str">
        <f>IF($B59="","",SUMIF('Post-Harvest Plots_rpt'!$B:$B,Stand_Biomass!$B59,'Post-Harvest Plots_rpt'!Z:Z)/$D59)</f>
        <v/>
      </c>
      <c r="AC59" s="297" t="str">
        <f>IF($B59="","",SUMIF('Post-Harvest Plots_rpt'!$B:$B,Stand_Biomass!$B59,'Post-Harvest Plots_rpt'!AA:AA)/$D59)</f>
        <v/>
      </c>
      <c r="AD59" s="297" t="str">
        <f>IF($B59="","",SUMIF('Post-Harvest Plots_rpt'!$B:$B,Stand_Biomass!$B59,'Post-Harvest Plots_rpt'!AB:AB)/$D59)</f>
        <v/>
      </c>
      <c r="AE59" s="377" t="str">
        <f>IF(Stand_Biomass!AD59="","",Stand_Biomass!AD59/2)</f>
        <v/>
      </c>
      <c r="AF59" s="377" t="str">
        <f t="shared" si="8"/>
        <v/>
      </c>
      <c r="AG59" s="510" t="str">
        <f>IF(AE59="","",AE59*Stand!$G25)</f>
        <v/>
      </c>
      <c r="AH59" s="511" t="str">
        <f>IF(AF59="","",AF59*Stand!$G25)</f>
        <v/>
      </c>
    </row>
    <row r="60" spans="2:34" x14ac:dyDescent="0.25">
      <c r="B60" s="171" t="str">
        <f>IF(Stand!C26="","",Stand!C26)</f>
        <v/>
      </c>
      <c r="C60" s="364" t="str">
        <f>IF(Stand!G26="","",Stand!G26)</f>
        <v/>
      </c>
      <c r="D60" s="187" t="str">
        <f>IF($B60="","",VLOOKUP(B60,Stand!C:H,6,0))</f>
        <v/>
      </c>
      <c r="E60" s="130"/>
      <c r="F60" s="189" t="str">
        <f>IF($B60="","",SUMIF('Post-Harvest Plots_rpt'!$B:$B,Stand_Biomass!$B60,'Post-Harvest Plots_rpt'!$F:$F)/$D60)</f>
        <v/>
      </c>
      <c r="G60" s="122" t="str">
        <f>IF($B60="","",SUMIF('Post-Harvest Plots_rpt'!$B:$B,Stand_Biomass!$B60,'Post-Harvest Plots_rpt'!$G:$G)/$D60)</f>
        <v/>
      </c>
      <c r="H60" s="122" t="str">
        <f>IF($B60="","",SUMIF('Post-Harvest Plots_rpt'!$B:$B,Stand_Biomass!$B60,'Post-Harvest Plots_rpt'!$H:$H)/$D60)</f>
        <v/>
      </c>
      <c r="I60" s="121" t="str">
        <f>IF($B60="","",SUMIF('Post-Harvest Plots_rpt'!$B:$B,Stand_Biomass!$B60,'Post-Harvest Plots_rpt'!$I:$I)/$D60)</f>
        <v/>
      </c>
      <c r="J60" s="121" t="str">
        <f>IF($B60="","",SUMIF('Post-Harvest Plots_rpt'!$B:$B,Stand_Biomass!$B60,'Post-Harvest Plots_rpt'!$J:$J)/COUNTIFS('Post-Harvest Plots_rpt'!$B:$B,Stand_Biomass!$B60,'Post-Harvest Plots_rpt'!$J:$J,"&gt;"&amp;0))</f>
        <v/>
      </c>
      <c r="K60" s="121" t="str">
        <f>IF($B60="","",SUMIF('Post-Harvest Plots_rpt'!$B:$B,Stand_Biomass!$B60,'Post-Harvest Plots_rpt'!$K:$K)/$D60)</f>
        <v/>
      </c>
      <c r="L60" s="154" t="str">
        <f t="shared" si="6"/>
        <v/>
      </c>
      <c r="M60" s="135"/>
      <c r="N60" s="502" t="str">
        <f>IF(Stand_Biomass!M60="","",Stand_Biomass!M60/2)</f>
        <v/>
      </c>
      <c r="O60" s="372" t="str">
        <f t="shared" si="7"/>
        <v/>
      </c>
      <c r="P60" s="354" t="str">
        <f>IF(Stand_Biomass!N60="","",Stand_Biomass!N60/2)</f>
        <v/>
      </c>
      <c r="Q60" s="354" t="str">
        <f>IF(Stand_Biomass!O60="","",Stand_Biomass!O60/2)</f>
        <v/>
      </c>
      <c r="R60" s="354" t="str">
        <f>IF(Stand_Biomass!P60="","",Stand_Biomass!P60/2)</f>
        <v/>
      </c>
      <c r="S60" s="354" t="str">
        <f>IF(Stand_Biomass!Q60="","",Stand_Biomass!Q60/2)</f>
        <v/>
      </c>
      <c r="T60" s="354" t="str">
        <f>IF(Stand_Biomass!R60="","",Stand_Biomass!R60/2)</f>
        <v/>
      </c>
      <c r="U60" s="354" t="str">
        <f>IF(Stand_Biomass!S60="","",Stand_Biomass!S60/2)</f>
        <v/>
      </c>
      <c r="V60" s="354" t="str">
        <f>IF(Stand_Biomass!T60="","",Stand_Biomass!T60/2)</f>
        <v/>
      </c>
      <c r="W60" s="354" t="str">
        <f>IF(Stand_Biomass!U60="","",Stand_Biomass!U60/2)</f>
        <v/>
      </c>
      <c r="X60" s="354" t="str">
        <f>IF(Stand_Biomass!V60="","",Stand_Biomass!V60/2)</f>
        <v/>
      </c>
      <c r="Y60" s="372" t="str">
        <f>IF(N60="","",N60*Stand!$G26)</f>
        <v/>
      </c>
      <c r="Z60" s="373" t="str">
        <f>IF(O60="","",O60*Stand!$G26)</f>
        <v/>
      </c>
      <c r="AA60" s="130"/>
      <c r="AB60" s="152" t="str">
        <f>IF($B60="","",SUMIF('Post-Harvest Plots_rpt'!$B:$B,Stand_Biomass!$B60,'Post-Harvest Plots_rpt'!Z:Z)/$D60)</f>
        <v/>
      </c>
      <c r="AC60" s="297" t="str">
        <f>IF($B60="","",SUMIF('Post-Harvest Plots_rpt'!$B:$B,Stand_Biomass!$B60,'Post-Harvest Plots_rpt'!AA:AA)/$D60)</f>
        <v/>
      </c>
      <c r="AD60" s="297" t="str">
        <f>IF($B60="","",SUMIF('Post-Harvest Plots_rpt'!$B:$B,Stand_Biomass!$B60,'Post-Harvest Plots_rpt'!AB:AB)/$D60)</f>
        <v/>
      </c>
      <c r="AE60" s="377" t="str">
        <f>IF(Stand_Biomass!AD60="","",Stand_Biomass!AD60/2)</f>
        <v/>
      </c>
      <c r="AF60" s="377" t="str">
        <f t="shared" si="8"/>
        <v/>
      </c>
      <c r="AG60" s="510" t="str">
        <f>IF(AE60="","",AE60*Stand!$G26)</f>
        <v/>
      </c>
      <c r="AH60" s="511" t="str">
        <f>IF(AF60="","",AF60*Stand!$G26)</f>
        <v/>
      </c>
    </row>
    <row r="61" spans="2:34" x14ac:dyDescent="0.25">
      <c r="B61" s="171" t="str">
        <f>IF(Stand!C27="","",Stand!C27)</f>
        <v/>
      </c>
      <c r="C61" s="364" t="str">
        <f>IF(Stand!G27="","",Stand!G27)</f>
        <v/>
      </c>
      <c r="D61" s="187" t="str">
        <f>IF($B61="","",VLOOKUP(B61,Stand!C:H,6,0))</f>
        <v/>
      </c>
      <c r="E61" s="130"/>
      <c r="F61" s="189" t="str">
        <f>IF($B61="","",SUMIF('Post-Harvest Plots_rpt'!$B:$B,Stand_Biomass!$B61,'Post-Harvest Plots_rpt'!$F:$F)/$D61)</f>
        <v/>
      </c>
      <c r="G61" s="122" t="str">
        <f>IF($B61="","",SUMIF('Post-Harvest Plots_rpt'!$B:$B,Stand_Biomass!$B61,'Post-Harvest Plots_rpt'!$G:$G)/$D61)</f>
        <v/>
      </c>
      <c r="H61" s="122" t="str">
        <f>IF($B61="","",SUMIF('Post-Harvest Plots_rpt'!$B:$B,Stand_Biomass!$B61,'Post-Harvest Plots_rpt'!$H:$H)/$D61)</f>
        <v/>
      </c>
      <c r="I61" s="121" t="str">
        <f>IF($B61="","",SUMIF('Post-Harvest Plots_rpt'!$B:$B,Stand_Biomass!$B61,'Post-Harvest Plots_rpt'!$I:$I)/$D61)</f>
        <v/>
      </c>
      <c r="J61" s="121" t="str">
        <f>IF($B61="","",SUMIF('Post-Harvest Plots_rpt'!$B:$B,Stand_Biomass!$B61,'Post-Harvest Plots_rpt'!$J:$J)/COUNTIFS('Post-Harvest Plots_rpt'!$B:$B,Stand_Biomass!$B61,'Post-Harvest Plots_rpt'!$J:$J,"&gt;"&amp;0))</f>
        <v/>
      </c>
      <c r="K61" s="121" t="str">
        <f>IF($B61="","",SUMIF('Post-Harvest Plots_rpt'!$B:$B,Stand_Biomass!$B61,'Post-Harvest Plots_rpt'!$K:$K)/$D61)</f>
        <v/>
      </c>
      <c r="L61" s="154" t="str">
        <f t="shared" si="6"/>
        <v/>
      </c>
      <c r="M61" s="135"/>
      <c r="N61" s="502" t="str">
        <f>IF(Stand_Biomass!M61="","",Stand_Biomass!M61/2)</f>
        <v/>
      </c>
      <c r="O61" s="372" t="str">
        <f t="shared" si="7"/>
        <v/>
      </c>
      <c r="P61" s="354" t="str">
        <f>IF(Stand_Biomass!N61="","",Stand_Biomass!N61/2)</f>
        <v/>
      </c>
      <c r="Q61" s="354" t="str">
        <f>IF(Stand_Biomass!O61="","",Stand_Biomass!O61/2)</f>
        <v/>
      </c>
      <c r="R61" s="354" t="str">
        <f>IF(Stand_Biomass!P61="","",Stand_Biomass!P61/2)</f>
        <v/>
      </c>
      <c r="S61" s="354" t="str">
        <f>IF(Stand_Biomass!Q61="","",Stand_Biomass!Q61/2)</f>
        <v/>
      </c>
      <c r="T61" s="354" t="str">
        <f>IF(Stand_Biomass!R61="","",Stand_Biomass!R61/2)</f>
        <v/>
      </c>
      <c r="U61" s="354" t="str">
        <f>IF(Stand_Biomass!S61="","",Stand_Biomass!S61/2)</f>
        <v/>
      </c>
      <c r="V61" s="354" t="str">
        <f>IF(Stand_Biomass!T61="","",Stand_Biomass!T61/2)</f>
        <v/>
      </c>
      <c r="W61" s="354" t="str">
        <f>IF(Stand_Biomass!U61="","",Stand_Biomass!U61/2)</f>
        <v/>
      </c>
      <c r="X61" s="354" t="str">
        <f>IF(Stand_Biomass!V61="","",Stand_Biomass!V61/2)</f>
        <v/>
      </c>
      <c r="Y61" s="372" t="str">
        <f>IF(N61="","",N61*Stand!$G27)</f>
        <v/>
      </c>
      <c r="Z61" s="373" t="str">
        <f>IF(O61="","",O61*Stand!$G27)</f>
        <v/>
      </c>
      <c r="AA61" s="130"/>
      <c r="AB61" s="152" t="str">
        <f>IF($B61="","",SUMIF('Post-Harvest Plots_rpt'!$B:$B,Stand_Biomass!$B61,'Post-Harvest Plots_rpt'!Z:Z)/$D61)</f>
        <v/>
      </c>
      <c r="AC61" s="297" t="str">
        <f>IF($B61="","",SUMIF('Post-Harvest Plots_rpt'!$B:$B,Stand_Biomass!$B61,'Post-Harvest Plots_rpt'!AA:AA)/$D61)</f>
        <v/>
      </c>
      <c r="AD61" s="297" t="str">
        <f>IF($B61="","",SUMIF('Post-Harvest Plots_rpt'!$B:$B,Stand_Biomass!$B61,'Post-Harvest Plots_rpt'!AB:AB)/$D61)</f>
        <v/>
      </c>
      <c r="AE61" s="377" t="str">
        <f>IF(Stand_Biomass!AD61="","",Stand_Biomass!AD61/2)</f>
        <v/>
      </c>
      <c r="AF61" s="377" t="str">
        <f t="shared" si="8"/>
        <v/>
      </c>
      <c r="AG61" s="510" t="str">
        <f>IF(AE61="","",AE61*Stand!$G27)</f>
        <v/>
      </c>
      <c r="AH61" s="511" t="str">
        <f>IF(AF61="","",AF61*Stand!$G27)</f>
        <v/>
      </c>
    </row>
    <row r="62" spans="2:34" x14ac:dyDescent="0.25">
      <c r="B62" s="171" t="str">
        <f>IF(Stand!C28="","",Stand!C28)</f>
        <v/>
      </c>
      <c r="C62" s="364" t="str">
        <f>IF(Stand!G28="","",Stand!G28)</f>
        <v/>
      </c>
      <c r="D62" s="187" t="str">
        <f>IF($B62="","",VLOOKUP(B62,Stand!C:H,6,0))</f>
        <v/>
      </c>
      <c r="E62" s="130"/>
      <c r="F62" s="189" t="str">
        <f>IF($B62="","",SUMIF('Post-Harvest Plots_rpt'!$B:$B,Stand_Biomass!$B62,'Post-Harvest Plots_rpt'!$F:$F)/$D62)</f>
        <v/>
      </c>
      <c r="G62" s="122" t="str">
        <f>IF($B62="","",SUMIF('Post-Harvest Plots_rpt'!$B:$B,Stand_Biomass!$B62,'Post-Harvest Plots_rpt'!$G:$G)/$D62)</f>
        <v/>
      </c>
      <c r="H62" s="122" t="str">
        <f>IF($B62="","",SUMIF('Post-Harvest Plots_rpt'!$B:$B,Stand_Biomass!$B62,'Post-Harvest Plots_rpt'!$H:$H)/$D62)</f>
        <v/>
      </c>
      <c r="I62" s="121" t="str">
        <f>IF($B62="","",SUMIF('Post-Harvest Plots_rpt'!$B:$B,Stand_Biomass!$B62,'Post-Harvest Plots_rpt'!$I:$I)/$D62)</f>
        <v/>
      </c>
      <c r="J62" s="121" t="str">
        <f>IF($B62="","",SUMIF('Post-Harvest Plots_rpt'!$B:$B,Stand_Biomass!$B62,'Post-Harvest Plots_rpt'!$J:$J)/COUNTIFS('Post-Harvest Plots_rpt'!$B:$B,Stand_Biomass!$B62,'Post-Harvest Plots_rpt'!$J:$J,"&gt;"&amp;0))</f>
        <v/>
      </c>
      <c r="K62" s="121" t="str">
        <f>IF($B62="","",SUMIF('Post-Harvest Plots_rpt'!$B:$B,Stand_Biomass!$B62,'Post-Harvest Plots_rpt'!$K:$K)/$D62)</f>
        <v/>
      </c>
      <c r="L62" s="154" t="str">
        <f t="shared" si="6"/>
        <v/>
      </c>
      <c r="M62" s="135"/>
      <c r="N62" s="502" t="str">
        <f>IF(Stand_Biomass!M62="","",Stand_Biomass!M62/2)</f>
        <v/>
      </c>
      <c r="O62" s="372" t="str">
        <f t="shared" si="7"/>
        <v/>
      </c>
      <c r="P62" s="354" t="str">
        <f>IF(Stand_Biomass!N62="","",Stand_Biomass!N62/2)</f>
        <v/>
      </c>
      <c r="Q62" s="354" t="str">
        <f>IF(Stand_Biomass!O62="","",Stand_Biomass!O62/2)</f>
        <v/>
      </c>
      <c r="R62" s="354" t="str">
        <f>IF(Stand_Biomass!P62="","",Stand_Biomass!P62/2)</f>
        <v/>
      </c>
      <c r="S62" s="354" t="str">
        <f>IF(Stand_Biomass!Q62="","",Stand_Biomass!Q62/2)</f>
        <v/>
      </c>
      <c r="T62" s="354" t="str">
        <f>IF(Stand_Biomass!R62="","",Stand_Biomass!R62/2)</f>
        <v/>
      </c>
      <c r="U62" s="354" t="str">
        <f>IF(Stand_Biomass!S62="","",Stand_Biomass!S62/2)</f>
        <v/>
      </c>
      <c r="V62" s="354" t="str">
        <f>IF(Stand_Biomass!T62="","",Stand_Biomass!T62/2)</f>
        <v/>
      </c>
      <c r="W62" s="354" t="str">
        <f>IF(Stand_Biomass!U62="","",Stand_Biomass!U62/2)</f>
        <v/>
      </c>
      <c r="X62" s="354" t="str">
        <f>IF(Stand_Biomass!V62="","",Stand_Biomass!V62/2)</f>
        <v/>
      </c>
      <c r="Y62" s="372" t="str">
        <f>IF(N62="","",N62*Stand!$G28)</f>
        <v/>
      </c>
      <c r="Z62" s="373" t="str">
        <f>IF(O62="","",O62*Stand!$G28)</f>
        <v/>
      </c>
      <c r="AA62" s="130"/>
      <c r="AB62" s="152" t="str">
        <f>IF($B62="","",SUMIF('Post-Harvest Plots_rpt'!$B:$B,Stand_Biomass!$B62,'Post-Harvest Plots_rpt'!Z:Z)/$D62)</f>
        <v/>
      </c>
      <c r="AC62" s="297" t="str">
        <f>IF($B62="","",SUMIF('Post-Harvest Plots_rpt'!$B:$B,Stand_Biomass!$B62,'Post-Harvest Plots_rpt'!AA:AA)/$D62)</f>
        <v/>
      </c>
      <c r="AD62" s="297" t="str">
        <f>IF($B62="","",SUMIF('Post-Harvest Plots_rpt'!$B:$B,Stand_Biomass!$B62,'Post-Harvest Plots_rpt'!AB:AB)/$D62)</f>
        <v/>
      </c>
      <c r="AE62" s="377" t="str">
        <f>IF(Stand_Biomass!AD62="","",Stand_Biomass!AD62/2)</f>
        <v/>
      </c>
      <c r="AF62" s="377" t="str">
        <f t="shared" si="8"/>
        <v/>
      </c>
      <c r="AG62" s="510" t="str">
        <f>IF(AE62="","",AE62*Stand!$G28)</f>
        <v/>
      </c>
      <c r="AH62" s="511" t="str">
        <f>IF(AF62="","",AF62*Stand!$G28)</f>
        <v/>
      </c>
    </row>
    <row r="63" spans="2:34" ht="13.8" thickBot="1" x14ac:dyDescent="0.3">
      <c r="B63" s="174" t="str">
        <f>IF(Stand!C29="","",Stand!C29)</f>
        <v/>
      </c>
      <c r="C63" s="365" t="str">
        <f>IF(Stand!G29="","",Stand!G29)</f>
        <v/>
      </c>
      <c r="D63" s="188" t="str">
        <f>IF($B63="","",VLOOKUP(B63,Stand!C:H,6,0))</f>
        <v/>
      </c>
      <c r="E63" s="130"/>
      <c r="F63" s="190" t="str">
        <f>IF($B63="","",SUMIF('Post-Harvest Plots_rpt'!$B:$B,Stand_Biomass!$B63,'Post-Harvest Plots_rpt'!$F:$F)/$D63)</f>
        <v/>
      </c>
      <c r="G63" s="163" t="str">
        <f>IF($B63="","",SUMIF('Post-Harvest Plots_rpt'!$B:$B,Stand_Biomass!$B63,'Post-Harvest Plots_rpt'!$G:$G)/$D63)</f>
        <v/>
      </c>
      <c r="H63" s="163" t="str">
        <f>IF($B63="","",SUMIF('Post-Harvest Plots_rpt'!$B:$B,Stand_Biomass!$B63,'Post-Harvest Plots_rpt'!$H:$H)/$D63)</f>
        <v/>
      </c>
      <c r="I63" s="164" t="str">
        <f>IF($B63="","",SUMIF('Post-Harvest Plots_rpt'!$B:$B,Stand_Biomass!$B63,'Post-Harvest Plots_rpt'!$I:$I)/$D63)</f>
        <v/>
      </c>
      <c r="J63" s="164" t="str">
        <f>IF($B63="","",SUMIF('Post-Harvest Plots_rpt'!$B:$B,Stand_Biomass!$B63,'Post-Harvest Plots_rpt'!$J:$J)/COUNTIFS('Post-Harvest Plots_rpt'!$B:$B,Stand_Biomass!$B63,'Post-Harvest Plots_rpt'!$J:$J,"&gt;"&amp;0))</f>
        <v/>
      </c>
      <c r="K63" s="164" t="str">
        <f>IF($B63="","",SUMIF('Post-Harvest Plots_rpt'!$B:$B,Stand_Biomass!$B63,'Post-Harvest Plots_rpt'!$K:$K)/$D63)</f>
        <v/>
      </c>
      <c r="L63" s="165" t="str">
        <f t="shared" si="6"/>
        <v/>
      </c>
      <c r="M63" s="135"/>
      <c r="N63" s="503" t="str">
        <f>IF(Stand_Biomass!M63="","",Stand_Biomass!M63/2)</f>
        <v/>
      </c>
      <c r="O63" s="374" t="str">
        <f t="shared" si="7"/>
        <v/>
      </c>
      <c r="P63" s="355" t="str">
        <f>IF(Stand_Biomass!N63="","",Stand_Biomass!N63/2)</f>
        <v/>
      </c>
      <c r="Q63" s="355" t="str">
        <f>IF(Stand_Biomass!O63="","",Stand_Biomass!O63/2)</f>
        <v/>
      </c>
      <c r="R63" s="355" t="str">
        <f>IF(Stand_Biomass!P63="","",Stand_Biomass!P63/2)</f>
        <v/>
      </c>
      <c r="S63" s="355" t="str">
        <f>IF(Stand_Biomass!Q63="","",Stand_Biomass!Q63/2)</f>
        <v/>
      </c>
      <c r="T63" s="355" t="str">
        <f>IF(Stand_Biomass!R63="","",Stand_Biomass!R63/2)</f>
        <v/>
      </c>
      <c r="U63" s="355" t="str">
        <f>IF(Stand_Biomass!S63="","",Stand_Biomass!S63/2)</f>
        <v/>
      </c>
      <c r="V63" s="355" t="str">
        <f>IF(Stand_Biomass!T63="","",Stand_Biomass!T63/2)</f>
        <v/>
      </c>
      <c r="W63" s="355" t="str">
        <f>IF(Stand_Biomass!U63="","",Stand_Biomass!U63/2)</f>
        <v/>
      </c>
      <c r="X63" s="355" t="str">
        <f>IF(Stand_Biomass!V63="","",Stand_Biomass!V63/2)</f>
        <v/>
      </c>
      <c r="Y63" s="374" t="str">
        <f>IF(N63="","",N63*Stand!$G29)</f>
        <v/>
      </c>
      <c r="Z63" s="375" t="str">
        <f>IF(O63="","",O63*Stand!$G29)</f>
        <v/>
      </c>
      <c r="AA63" s="130"/>
      <c r="AB63" s="299" t="str">
        <f>IF($B63="","",SUMIF('Post-Harvest Plots_rpt'!$B:$B,Stand_Biomass!$B63,'Post-Harvest Plots_rpt'!Z:Z)/$D63)</f>
        <v/>
      </c>
      <c r="AC63" s="300" t="str">
        <f>IF($B63="","",SUMIF('Post-Harvest Plots_rpt'!$B:$B,Stand_Biomass!$B63,'Post-Harvest Plots_rpt'!AA:AA)/$D63)</f>
        <v/>
      </c>
      <c r="AD63" s="300" t="str">
        <f>IF($B63="","",SUMIF('Post-Harvest Plots_rpt'!$B:$B,Stand_Biomass!$B63,'Post-Harvest Plots_rpt'!AB:AB)/$D63)</f>
        <v/>
      </c>
      <c r="AE63" s="378" t="str">
        <f>IF(Stand_Biomass!AD63="","",Stand_Biomass!AD63/2)</f>
        <v/>
      </c>
      <c r="AF63" s="378" t="str">
        <f t="shared" si="8"/>
        <v/>
      </c>
      <c r="AG63" s="512" t="str">
        <f>IF(AE63="","",AE63*Stand!$G29)</f>
        <v/>
      </c>
      <c r="AH63" s="513" t="str">
        <f>IF(AF63="","",AF63*Stand!$G29)</f>
        <v/>
      </c>
    </row>
    <row r="64" spans="2:34" x14ac:dyDescent="0.25">
      <c r="AG64" s="514"/>
      <c r="AH64" s="514"/>
    </row>
  </sheetData>
  <mergeCells count="10">
    <mergeCell ref="AJ2:AQ2"/>
    <mergeCell ref="AJ35:AQ35"/>
    <mergeCell ref="N35:Z35"/>
    <mergeCell ref="AB35:AH35"/>
    <mergeCell ref="B1:D2"/>
    <mergeCell ref="F2:L2"/>
    <mergeCell ref="B34:D35"/>
    <mergeCell ref="F35:L35"/>
    <mergeCell ref="N2:Z2"/>
    <mergeCell ref="AB2:A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032-7753-4A84-8F43-5357F45D50D1}">
  <sheetPr>
    <tabColor rgb="FFCCFFCC"/>
  </sheetPr>
  <dimension ref="A1:AC62"/>
  <sheetViews>
    <sheetView topLeftCell="A7" zoomScale="75" zoomScaleNormal="75" workbookViewId="0">
      <selection activeCell="D30" sqref="D30"/>
    </sheetView>
  </sheetViews>
  <sheetFormatPr defaultRowHeight="13.2" x14ac:dyDescent="0.25"/>
  <cols>
    <col min="1" max="1" width="2.44140625" style="61" customWidth="1"/>
    <col min="2" max="2" width="13.21875" customWidth="1"/>
    <col min="3" max="3" width="8.21875" customWidth="1"/>
    <col min="4" max="4" width="2.77734375" customWidth="1"/>
    <col min="16" max="16" width="10.77734375" customWidth="1"/>
    <col min="17" max="17" width="2.77734375" customWidth="1"/>
    <col min="29" max="29" width="10.88671875" customWidth="1"/>
  </cols>
  <sheetData>
    <row r="1" spans="2:29" ht="16.2" thickBot="1" x14ac:dyDescent="0.3">
      <c r="B1" s="604" t="s">
        <v>250</v>
      </c>
      <c r="C1" s="604"/>
      <c r="D1" s="385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12"/>
      <c r="S1" s="12"/>
      <c r="T1" s="12"/>
      <c r="U1" s="12"/>
      <c r="V1" s="12"/>
      <c r="W1" s="28"/>
      <c r="X1" s="28"/>
      <c r="Y1" s="28"/>
      <c r="Z1" s="28"/>
      <c r="AA1" s="28"/>
      <c r="AB1" s="28"/>
      <c r="AC1" s="28"/>
    </row>
    <row r="2" spans="2:29" ht="30.45" customHeight="1" thickBot="1" x14ac:dyDescent="0.35">
      <c r="B2" s="605"/>
      <c r="C2" s="605"/>
      <c r="D2" s="386"/>
      <c r="E2" s="606" t="s">
        <v>90</v>
      </c>
      <c r="F2" s="607"/>
      <c r="G2" s="607"/>
      <c r="H2" s="607"/>
      <c r="I2" s="607"/>
      <c r="J2" s="607"/>
      <c r="K2" s="607"/>
      <c r="L2" s="607"/>
      <c r="M2" s="607"/>
      <c r="N2" s="607"/>
      <c r="O2" s="608"/>
      <c r="P2" s="609"/>
      <c r="Q2" s="28"/>
      <c r="R2" s="610" t="s">
        <v>91</v>
      </c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2"/>
    </row>
    <row r="3" spans="2:29" ht="13.8" thickBot="1" x14ac:dyDescent="0.3">
      <c r="B3" s="199" t="s">
        <v>82</v>
      </c>
      <c r="C3" s="200" t="s">
        <v>92</v>
      </c>
      <c r="D3" s="28"/>
      <c r="E3" s="337" t="s">
        <v>30</v>
      </c>
      <c r="F3" s="338" t="s">
        <v>32</v>
      </c>
      <c r="G3" s="338" t="s">
        <v>31</v>
      </c>
      <c r="H3" s="338" t="s">
        <v>29</v>
      </c>
      <c r="I3" s="338" t="s">
        <v>56</v>
      </c>
      <c r="J3" s="338" t="s">
        <v>33</v>
      </c>
      <c r="K3" s="338" t="s">
        <v>47</v>
      </c>
      <c r="L3" s="338" t="s">
        <v>45</v>
      </c>
      <c r="M3" s="338" t="s">
        <v>75</v>
      </c>
      <c r="N3" s="246" t="s">
        <v>168</v>
      </c>
      <c r="O3" s="204" t="s">
        <v>79</v>
      </c>
      <c r="P3" s="205" t="s">
        <v>162</v>
      </c>
      <c r="Q3" s="82"/>
      <c r="R3" s="279" t="str">
        <f>IF(E3="","",E3)</f>
        <v>DF</v>
      </c>
      <c r="S3" s="400" t="str">
        <f>IF(F3="","",F3)</f>
        <v>BM</v>
      </c>
      <c r="T3" s="400" t="str">
        <f t="shared" ref="T3:Z3" si="0">IF(G3="","",G3)</f>
        <v>WH</v>
      </c>
      <c r="U3" s="400" t="str">
        <f t="shared" si="0"/>
        <v>RA</v>
      </c>
      <c r="V3" s="400" t="str">
        <f t="shared" si="0"/>
        <v>SS</v>
      </c>
      <c r="W3" s="400" t="str">
        <f t="shared" si="0"/>
        <v>RC</v>
      </c>
      <c r="X3" s="400" t="str">
        <f t="shared" si="0"/>
        <v>LP</v>
      </c>
      <c r="Y3" s="400" t="str">
        <f t="shared" si="0"/>
        <v>GF</v>
      </c>
      <c r="Z3" s="401" t="str">
        <f t="shared" si="0"/>
        <v>MD</v>
      </c>
      <c r="AA3" s="401" t="s">
        <v>168</v>
      </c>
      <c r="AB3" s="402" t="s">
        <v>79</v>
      </c>
      <c r="AC3" s="402" t="s">
        <v>162</v>
      </c>
    </row>
    <row r="4" spans="2:29" x14ac:dyDescent="0.25">
      <c r="B4" s="201" t="str">
        <f>IF(Stand!C3="","",Stand!C3)</f>
        <v/>
      </c>
      <c r="C4" s="154" t="str">
        <f>IF(B4="","",VLOOKUP(B4,Stand!C:H,6,0))</f>
        <v/>
      </c>
      <c r="D4" s="28"/>
      <c r="E4" s="189" t="str">
        <f>IF(OR($C4="",E$3=""),"",IF(E$3="Snag",SUMIFS(Tree!$O:$O,Tree!$A:$A,Species_rpt!$B4,Tree!$F:$F,"D",Tree!$K:$K,"&lt;&gt;"&amp;"Y")/$C4,SUMIFS(Tree!$O:$O,Tree!$A:$A,Species_rpt!$B4,Tree!$D:$D,Species_rpt!E$3,Tree!$F:$F,"L",Tree!$K:$K,"&lt;&gt;"&amp;"Y")/$C4))</f>
        <v/>
      </c>
      <c r="F4" s="121" t="str">
        <f>IF(OR($C4="",F$3=""),"",IF(F$3="Snag",SUMIFS(Tree!$O:$O,Tree!$A:$A,Species_rpt!$B4,Tree!$F:$F,"D",Tree!$K:$K,"&lt;&gt;"&amp;"Y")/$C4,SUMIFS(Tree!$O:$O,Tree!$A:$A,Species_rpt!$B4,Tree!$D:$D,Species_rpt!F$3,Tree!$F:$F,"L",Tree!$K:$K,"&lt;&gt;"&amp;"Y")/$C4))</f>
        <v/>
      </c>
      <c r="G4" s="121" t="str">
        <f>IF(OR($C4="",G$3=""),"",IF(G$3="Snag",SUMIFS(Tree!$O:$O,Tree!$A:$A,Species_rpt!$B4,Tree!$F:$F,"D",Tree!$K:$K,"&lt;&gt;"&amp;"Y")/$C4,SUMIFS(Tree!$O:$O,Tree!$A:$A,Species_rpt!$B4,Tree!$D:$D,Species_rpt!G$3,Tree!$F:$F,"L",Tree!$K:$K,"&lt;&gt;"&amp;"Y")/$C4))</f>
        <v/>
      </c>
      <c r="H4" s="121" t="str">
        <f>IF(OR($C4="",H$3=""),"",IF(H$3="Snag",SUMIFS(Tree!$O:$O,Tree!$A:$A,Species_rpt!$B4,Tree!$F:$F,"D",Tree!$K:$K,"&lt;&gt;"&amp;"Y")/$C4,SUMIFS(Tree!$O:$O,Tree!$A:$A,Species_rpt!$B4,Tree!$D:$D,Species_rpt!H$3,Tree!$F:$F,"L",Tree!$K:$K,"&lt;&gt;"&amp;"Y")/$C4))</f>
        <v/>
      </c>
      <c r="I4" s="121" t="str">
        <f>IF(OR($C4="",I$3=""),"",IF(I$3="Snag",SUMIFS(Tree!$O:$O,Tree!$A:$A,Species_rpt!$B4,Tree!$F:$F,"D",Tree!$K:$K,"&lt;&gt;"&amp;"Y")/$C4,SUMIFS(Tree!$O:$O,Tree!$A:$A,Species_rpt!$B4,Tree!$D:$D,Species_rpt!I$3,Tree!$F:$F,"L",Tree!$K:$K,"&lt;&gt;"&amp;"Y")/$C4))</f>
        <v/>
      </c>
      <c r="J4" s="121" t="str">
        <f>IF(OR($C4="",J$3=""),"",IF(J$3="Snag",SUMIFS(Tree!$O:$O,Tree!$A:$A,Species_rpt!$B4,Tree!$F:$F,"D",Tree!$K:$K,"&lt;&gt;"&amp;"Y")/$C4,SUMIFS(Tree!$O:$O,Tree!$A:$A,Species_rpt!$B4,Tree!$D:$D,Species_rpt!J$3,Tree!$F:$F,"L",Tree!$K:$K,"&lt;&gt;"&amp;"Y")/$C4))</f>
        <v/>
      </c>
      <c r="K4" s="121" t="str">
        <f>IF(OR($C4="",K$3=""),"",IF(K$3="Snag",SUMIFS(Tree!$O:$O,Tree!$A:$A,Species_rpt!$B4,Tree!$F:$F,"D",Tree!$K:$K,"&lt;&gt;"&amp;"Y")/$C4,SUMIFS(Tree!$O:$O,Tree!$A:$A,Species_rpt!$B4,Tree!$D:$D,Species_rpt!K$3,Tree!$F:$F,"L",Tree!$K:$K,"&lt;&gt;"&amp;"Y")/$C4))</f>
        <v/>
      </c>
      <c r="L4" s="121" t="str">
        <f>IF(OR($C4="",L$3=""),"",IF(L$3="Snag",SUMIFS(Tree!$O:$O,Tree!$A:$A,Species_rpt!$B4,Tree!$F:$F,"D",Tree!$K:$K,"&lt;&gt;"&amp;"Y")/$C4,SUMIFS(Tree!$O:$O,Tree!$A:$A,Species_rpt!$B4,Tree!$D:$D,Species_rpt!L$3,Tree!$F:$F,"L",Tree!$K:$K,"&lt;&gt;"&amp;"Y")/$C4))</f>
        <v/>
      </c>
      <c r="M4" s="121" t="str">
        <f>IF(OR($C4="",M$3=""),"",IF(M$3="Snag",SUMIFS(Tree!$O:$O,Tree!$A:$A,Species_rpt!$B4,Tree!$F:$F,"D",Tree!$K:$K,"&lt;&gt;"&amp;"Y")/$C4,SUMIFS(Tree!$O:$O,Tree!$A:$A,Species_rpt!$B4,Tree!$D:$D,Species_rpt!M$3,Tree!$F:$F,"L",Tree!$K:$K,"&lt;&gt;"&amp;"Y")/$C4))</f>
        <v/>
      </c>
      <c r="N4" s="154" t="str">
        <f>IF($B4="","",P4-SUM(E4:M4))</f>
        <v/>
      </c>
      <c r="O4" s="245" t="str">
        <f>IF(OR($C4="",O$3=""),"",IF(O$3="Snag",SUMIFS(Tree!$O:$O,Tree!$A:$A,Species_rpt!$B4,Tree!$F:$F,"D",Tree!$K:$K,"&lt;&gt;"&amp;"Y")/$C4,SUMIFS(Tree!$O:$O,Tree!$A:$A,Species_rpt!$B4,Tree!$D:$D,Species_rpt!O$3,Tree!$F:$F,"L",Tree!$K:$K,"&lt;&gt;"&amp;"Y")/$C4))</f>
        <v/>
      </c>
      <c r="P4" s="206" t="str">
        <f>VLOOKUP($B4,Stand_Biomass!$B$37:$E$63,4,0)</f>
        <v/>
      </c>
      <c r="Q4" s="83"/>
      <c r="R4" s="403" t="str">
        <f>IF(OR($C4="",R$3=""),"",IF(R$3="Snag",SUMIFS(Tree!$R:$R,Tree!$A:$A,Species_rpt!$B4,Tree!$F:$F,"D",Tree!$K:$K,"&lt;&gt;"&amp;"Y")/$C4,SUMIFS(Tree!$R:$R,Tree!$A:$A,Species_rpt!$B4,Tree!$D:$D,Species_rpt!R$3,Tree!$F:$F,"L",Tree!$K:$K,"&lt;&gt;"&amp;"Y")/$C4))</f>
        <v/>
      </c>
      <c r="S4" s="404" t="str">
        <f>IF(OR($C4="",S$3=""),"",IF(S$3="Snag",SUMIFS(Tree!$R:$R,Tree!$A:$A,Species_rpt!$B4,Tree!$F:$F,"D",Tree!$K:$K,"&lt;&gt;"&amp;"Y")/$C4,SUMIFS(Tree!$R:$R,Tree!$A:$A,Species_rpt!$B4,Tree!$D:$D,Species_rpt!S$3,Tree!$F:$F,"L",Tree!$K:$K,"&lt;&gt;"&amp;"Y")/$C4))</f>
        <v/>
      </c>
      <c r="T4" s="404" t="str">
        <f>IF(OR($C4="",T$3=""),"",IF(T$3="Snag",SUMIFS(Tree!$R:$R,Tree!$A:$A,Species_rpt!$B4,Tree!$F:$F,"D",Tree!$K:$K,"&lt;&gt;"&amp;"Y")/$C4,SUMIFS(Tree!$R:$R,Tree!$A:$A,Species_rpt!$B4,Tree!$D:$D,Species_rpt!T$3,Tree!$F:$F,"L",Tree!$K:$K,"&lt;&gt;"&amp;"Y")/$C4))</f>
        <v/>
      </c>
      <c r="U4" s="404" t="str">
        <f>IF(OR($C4="",U$3=""),"",IF(U$3="Snag",SUMIFS(Tree!$R:$R,Tree!$A:$A,Species_rpt!$B4,Tree!$F:$F,"D",Tree!$K:$K,"&lt;&gt;"&amp;"Y")/$C4,SUMIFS(Tree!$R:$R,Tree!$A:$A,Species_rpt!$B4,Tree!$D:$D,Species_rpt!U$3,Tree!$F:$F,"L",Tree!$K:$K,"&lt;&gt;"&amp;"Y")/$C4))</f>
        <v/>
      </c>
      <c r="V4" s="404" t="str">
        <f>IF(OR($C4="",V$3=""),"",IF(V$3="Snag",SUMIFS(Tree!$R:$R,Tree!$A:$A,Species_rpt!$B4,Tree!$F:$F,"D",Tree!$K:$K,"&lt;&gt;"&amp;"Y")/$C4,SUMIFS(Tree!$R:$R,Tree!$A:$A,Species_rpt!$B4,Tree!$D:$D,Species_rpt!V$3,Tree!$F:$F,"L",Tree!$K:$K,"&lt;&gt;"&amp;"Y")/$C4))</f>
        <v/>
      </c>
      <c r="W4" s="404" t="str">
        <f>IF(OR($C4="",W$3=""),"",IF(W$3="Snag",SUMIFS(Tree!$R:$R,Tree!$A:$A,Species_rpt!$B4,Tree!$F:$F,"D",Tree!$K:$K,"&lt;&gt;"&amp;"Y")/$C4,SUMIFS(Tree!$R:$R,Tree!$A:$A,Species_rpt!$B4,Tree!$D:$D,Species_rpt!W$3,Tree!$F:$F,"L",Tree!$K:$K,"&lt;&gt;"&amp;"Y")/$C4))</f>
        <v/>
      </c>
      <c r="X4" s="404" t="str">
        <f>IF(OR($C4="",X$3=""),"",IF(X$3="Snag",SUMIFS(Tree!$R:$R,Tree!$A:$A,Species_rpt!$B4,Tree!$F:$F,"D",Tree!$K:$K,"&lt;&gt;"&amp;"Y")/$C4,SUMIFS(Tree!$R:$R,Tree!$A:$A,Species_rpt!$B4,Tree!$D:$D,Species_rpt!X$3,Tree!$F:$F,"L",Tree!$K:$K,"&lt;&gt;"&amp;"Y")/$C4))</f>
        <v/>
      </c>
      <c r="Y4" s="404" t="str">
        <f>IF(OR($C4="",Y$3=""),"",IF(Y$3="Snag",SUMIFS(Tree!$R:$R,Tree!$A:$A,Species_rpt!$B4,Tree!$F:$F,"D",Tree!$K:$K,"&lt;&gt;"&amp;"Y")/$C4,SUMIFS(Tree!$R:$R,Tree!$A:$A,Species_rpt!$B4,Tree!$D:$D,Species_rpt!Y$3,Tree!$F:$F,"L",Tree!$K:$K,"&lt;&gt;"&amp;"Y")/$C4))</f>
        <v/>
      </c>
      <c r="Z4" s="404" t="str">
        <f>IF(OR($C4="",Z$3=""),"",IF(Z$3="Snag",SUMIFS(Tree!$R:$R,Tree!$A:$A,Species_rpt!$B4,Tree!$F:$F,"D",Tree!$K:$K,"&lt;&gt;"&amp;"Y")/$C4,SUMIFS(Tree!$R:$R,Tree!$A:$A,Species_rpt!$B4,Tree!$D:$D,Species_rpt!Z$3,Tree!$F:$F,"L",Tree!$K:$K,"&lt;&gt;"&amp;"Y")/$C4))</f>
        <v/>
      </c>
      <c r="AA4" s="405" t="str">
        <f>IF($B4="","",AC4-SUM(R4:Z4))</f>
        <v/>
      </c>
      <c r="AB4" s="403" t="str">
        <f>IF(OR($C4="",AB$3=""),"",IF(AB$3="Snag",SUMIFS(Tree!$R:$R,Tree!$A:$A,Species_rpt!$B4,Tree!$F:$F,"D",Tree!$K:$K,"&lt;&gt;"&amp;"Y")/$C4,SUMIFS(Tree!$R:$R,Tree!$A:$A,Species_rpt!$B4,Tree!$D:$D,Species_rpt!AB$3,Tree!$F:$F,"L",Tree!$K:$K,"&lt;&gt;"&amp;"Y")/$C4))</f>
        <v/>
      </c>
      <c r="AC4" s="406" t="str">
        <f>IF(B4="","",VLOOKUP(B4,Stand_Biomass!$B$37:$H$63,7,0))</f>
        <v/>
      </c>
    </row>
    <row r="5" spans="2:29" x14ac:dyDescent="0.25">
      <c r="B5" s="201" t="str">
        <f>IF(Stand!C4="","",Stand!C4)</f>
        <v/>
      </c>
      <c r="C5" s="154" t="str">
        <f>IF(B5="","",VLOOKUP(B5,Stand!C:H,6,0))</f>
        <v/>
      </c>
      <c r="D5" s="28"/>
      <c r="E5" s="189" t="str">
        <f>IF(OR($C5="",E$3=""),"",IF(E$3="Snag",SUMIFS(Tree!$O:$O,Tree!$A:$A,Species_rpt!$B5,Tree!$F:$F,"D",Tree!$K:$K,"&lt;&gt;"&amp;"Y")/$C5,SUMIFS(Tree!$O:$O,Tree!$A:$A,Species_rpt!$B5,Tree!$D:$D,Species_rpt!E$3,Tree!$F:$F,"L",Tree!$K:$K,"&lt;&gt;"&amp;"Y")/$C5))</f>
        <v/>
      </c>
      <c r="F5" s="121" t="str">
        <f>IF(OR($C5="",F$3=""),"",IF(F$3="Snag",SUMIFS(Tree!$O:$O,Tree!$A:$A,Species_rpt!$B5,Tree!$F:$F,"D",Tree!$K:$K,"&lt;&gt;"&amp;"Y")/$C5,SUMIFS(Tree!$O:$O,Tree!$A:$A,Species_rpt!$B5,Tree!$D:$D,Species_rpt!F$3,Tree!$F:$F,"L",Tree!$K:$K,"&lt;&gt;"&amp;"Y")/$C5))</f>
        <v/>
      </c>
      <c r="G5" s="121" t="str">
        <f>IF(OR($C5="",G$3=""),"",IF(G$3="Snag",SUMIFS(Tree!$O:$O,Tree!$A:$A,Species_rpt!$B5,Tree!$F:$F,"D",Tree!$K:$K,"&lt;&gt;"&amp;"Y")/$C5,SUMIFS(Tree!$O:$O,Tree!$A:$A,Species_rpt!$B5,Tree!$D:$D,Species_rpt!G$3,Tree!$F:$F,"L",Tree!$K:$K,"&lt;&gt;"&amp;"Y")/$C5))</f>
        <v/>
      </c>
      <c r="H5" s="121" t="str">
        <f>IF(OR($C5="",H$3=""),"",IF(H$3="Snag",SUMIFS(Tree!$O:$O,Tree!$A:$A,Species_rpt!$B5,Tree!$F:$F,"D",Tree!$K:$K,"&lt;&gt;"&amp;"Y")/$C5,SUMIFS(Tree!$O:$O,Tree!$A:$A,Species_rpt!$B5,Tree!$D:$D,Species_rpt!H$3,Tree!$F:$F,"L",Tree!$K:$K,"&lt;&gt;"&amp;"Y")/$C5))</f>
        <v/>
      </c>
      <c r="I5" s="121" t="str">
        <f>IF(OR($C5="",I$3=""),"",IF(I$3="Snag",SUMIFS(Tree!$O:$O,Tree!$A:$A,Species_rpt!$B5,Tree!$F:$F,"D",Tree!$K:$K,"&lt;&gt;"&amp;"Y")/$C5,SUMIFS(Tree!$O:$O,Tree!$A:$A,Species_rpt!$B5,Tree!$D:$D,Species_rpt!I$3,Tree!$F:$F,"L",Tree!$K:$K,"&lt;&gt;"&amp;"Y")/$C5))</f>
        <v/>
      </c>
      <c r="J5" s="121" t="str">
        <f>IF(OR($C5="",J$3=""),"",IF(J$3="Snag",SUMIFS(Tree!$O:$O,Tree!$A:$A,Species_rpt!$B5,Tree!$F:$F,"D",Tree!$K:$K,"&lt;&gt;"&amp;"Y")/$C5,SUMIFS(Tree!$O:$O,Tree!$A:$A,Species_rpt!$B5,Tree!$D:$D,Species_rpt!J$3,Tree!$F:$F,"L",Tree!$K:$K,"&lt;&gt;"&amp;"Y")/$C5))</f>
        <v/>
      </c>
      <c r="K5" s="121" t="str">
        <f>IF(OR($C5="",K$3=""),"",IF(K$3="Snag",SUMIFS(Tree!$O:$O,Tree!$A:$A,Species_rpt!$B5,Tree!$F:$F,"D",Tree!$K:$K,"&lt;&gt;"&amp;"Y")/$C5,SUMIFS(Tree!$O:$O,Tree!$A:$A,Species_rpt!$B5,Tree!$D:$D,Species_rpt!K$3,Tree!$F:$F,"L",Tree!$K:$K,"&lt;&gt;"&amp;"Y")/$C5))</f>
        <v/>
      </c>
      <c r="L5" s="121" t="str">
        <f>IF(OR($C5="",L$3=""),"",IF(L$3="Snag",SUMIFS(Tree!$O:$O,Tree!$A:$A,Species_rpt!$B5,Tree!$F:$F,"D",Tree!$K:$K,"&lt;&gt;"&amp;"Y")/$C5,SUMIFS(Tree!$O:$O,Tree!$A:$A,Species_rpt!$B5,Tree!$D:$D,Species_rpt!L$3,Tree!$F:$F,"L",Tree!$K:$K,"&lt;&gt;"&amp;"Y")/$C5))</f>
        <v/>
      </c>
      <c r="M5" s="121" t="str">
        <f>IF(OR($C5="",M$3=""),"",IF(M$3="Snag",SUMIFS(Tree!$O:$O,Tree!$A:$A,Species_rpt!$B5,Tree!$F:$F,"D",Tree!$K:$K,"&lt;&gt;"&amp;"Y")/$C5,SUMIFS(Tree!$O:$O,Tree!$A:$A,Species_rpt!$B5,Tree!$D:$D,Species_rpt!M$3,Tree!$F:$F,"L",Tree!$K:$K,"&lt;&gt;"&amp;"Y")/$C5))</f>
        <v/>
      </c>
      <c r="N5" s="154" t="str">
        <f t="shared" ref="N5:N30" si="1">IF($B5="","",P5-SUM(E5:M5))</f>
        <v/>
      </c>
      <c r="O5" s="245" t="str">
        <f>IF(OR($C5="",O$3=""),"",IF(O$3="Snag",SUMIFS(Tree!$O:$O,Tree!$A:$A,Species_rpt!$B5,Tree!$F:$F,"D",Tree!$K:$K,"&lt;&gt;"&amp;"Y")/$C5,SUMIFS(Tree!$O:$O,Tree!$A:$A,Species_rpt!$B5,Tree!$D:$D,Species_rpt!O$3,Tree!$F:$F,"L",Tree!$K:$K,"&lt;&gt;"&amp;"Y")/$C5))</f>
        <v/>
      </c>
      <c r="P5" s="206" t="str">
        <f>VLOOKUP($B5,Stand_Biomass!$B$37:$E$63,4,0)</f>
        <v/>
      </c>
      <c r="Q5" s="83"/>
      <c r="R5" s="189" t="str">
        <f>IF(OR($C5="",R$3=""),"",IF(R$3="Snag",SUMIFS(Tree!$R:$R,Tree!$A:$A,Species_rpt!$B5,Tree!$F:$F,"D",Tree!$K:$K,"&lt;&gt;"&amp;"Y")/$C5,SUMIFS(Tree!$R:$R,Tree!$A:$A,Species_rpt!$B5,Tree!$D:$D,Species_rpt!R$3,Tree!$F:$F,"L",Tree!$K:$K,"&lt;&gt;"&amp;"Y")/$C5))</f>
        <v/>
      </c>
      <c r="S5" s="121" t="str">
        <f>IF(OR($C5="",S$3=""),"",IF(S$3="Snag",SUMIFS(Tree!$R:$R,Tree!$A:$A,Species_rpt!$B5,Tree!$F:$F,"D",Tree!$K:$K,"&lt;&gt;"&amp;"Y")/$C5,SUMIFS(Tree!$R:$R,Tree!$A:$A,Species_rpt!$B5,Tree!$D:$D,Species_rpt!S$3,Tree!$F:$F,"L",Tree!$K:$K,"&lt;&gt;"&amp;"Y")/$C5))</f>
        <v/>
      </c>
      <c r="T5" s="121" t="str">
        <f>IF(OR($C5="",T$3=""),"",IF(T$3="Snag",SUMIFS(Tree!$R:$R,Tree!$A:$A,Species_rpt!$B5,Tree!$F:$F,"D",Tree!$K:$K,"&lt;&gt;"&amp;"Y")/$C5,SUMIFS(Tree!$R:$R,Tree!$A:$A,Species_rpt!$B5,Tree!$D:$D,Species_rpt!T$3,Tree!$F:$F,"L",Tree!$K:$K,"&lt;&gt;"&amp;"Y")/$C5))</f>
        <v/>
      </c>
      <c r="U5" s="121" t="str">
        <f>IF(OR($C5="",U$3=""),"",IF(U$3="Snag",SUMIFS(Tree!$R:$R,Tree!$A:$A,Species_rpt!$B5,Tree!$F:$F,"D",Tree!$K:$K,"&lt;&gt;"&amp;"Y")/$C5,SUMIFS(Tree!$R:$R,Tree!$A:$A,Species_rpt!$B5,Tree!$D:$D,Species_rpt!U$3,Tree!$F:$F,"L",Tree!$K:$K,"&lt;&gt;"&amp;"Y")/$C5))</f>
        <v/>
      </c>
      <c r="V5" s="121" t="str">
        <f>IF(OR($C5="",V$3=""),"",IF(V$3="Snag",SUMIFS(Tree!$R:$R,Tree!$A:$A,Species_rpt!$B5,Tree!$F:$F,"D",Tree!$K:$K,"&lt;&gt;"&amp;"Y")/$C5,SUMIFS(Tree!$R:$R,Tree!$A:$A,Species_rpt!$B5,Tree!$D:$D,Species_rpt!V$3,Tree!$F:$F,"L",Tree!$K:$K,"&lt;&gt;"&amp;"Y")/$C5))</f>
        <v/>
      </c>
      <c r="W5" s="121" t="str">
        <f>IF(OR($C5="",W$3=""),"",IF(W$3="Snag",SUMIFS(Tree!$R:$R,Tree!$A:$A,Species_rpt!$B5,Tree!$F:$F,"D",Tree!$K:$K,"&lt;&gt;"&amp;"Y")/$C5,SUMIFS(Tree!$R:$R,Tree!$A:$A,Species_rpt!$B5,Tree!$D:$D,Species_rpt!W$3,Tree!$F:$F,"L",Tree!$K:$K,"&lt;&gt;"&amp;"Y")/$C5))</f>
        <v/>
      </c>
      <c r="X5" s="121" t="str">
        <f>IF(OR($C5="",X$3=""),"",IF(X$3="Snag",SUMIFS(Tree!$R:$R,Tree!$A:$A,Species_rpt!$B5,Tree!$F:$F,"D",Tree!$K:$K,"&lt;&gt;"&amp;"Y")/$C5,SUMIFS(Tree!$R:$R,Tree!$A:$A,Species_rpt!$B5,Tree!$D:$D,Species_rpt!X$3,Tree!$F:$F,"L",Tree!$K:$K,"&lt;&gt;"&amp;"Y")/$C5))</f>
        <v/>
      </c>
      <c r="Y5" s="121" t="str">
        <f>IF(OR($C5="",Y$3=""),"",IF(Y$3="Snag",SUMIFS(Tree!$R:$R,Tree!$A:$A,Species_rpt!$B5,Tree!$F:$F,"D",Tree!$K:$K,"&lt;&gt;"&amp;"Y")/$C5,SUMIFS(Tree!$R:$R,Tree!$A:$A,Species_rpt!$B5,Tree!$D:$D,Species_rpt!Y$3,Tree!$F:$F,"L",Tree!$K:$K,"&lt;&gt;"&amp;"Y")/$C5))</f>
        <v/>
      </c>
      <c r="Z5" s="121" t="str">
        <f>IF(OR($C5="",Z$3=""),"",IF(Z$3="Snag",SUMIFS(Tree!$R:$R,Tree!$A:$A,Species_rpt!$B5,Tree!$F:$F,"D",Tree!$K:$K,"&lt;&gt;"&amp;"Y")/$C5,SUMIFS(Tree!$R:$R,Tree!$A:$A,Species_rpt!$B5,Tree!$D:$D,Species_rpt!Z$3,Tree!$F:$F,"L",Tree!$K:$K,"&lt;&gt;"&amp;"Y")/$C5))</f>
        <v/>
      </c>
      <c r="AA5" s="154" t="str">
        <f t="shared" ref="AA5:AA30" si="2">IF($B5="","",AC5-SUM(R5:Z5))</f>
        <v/>
      </c>
      <c r="AB5" s="245" t="str">
        <f>IF(OR($C5="",AB$3=""),"",IF(AB$3="Snag",SUMIFS(Tree!$R:$R,Tree!$A:$A,Species_rpt!$B5,Tree!$F:$F,"D",Tree!$K:$K,"&lt;&gt;"&amp;"Y")/$C5,SUMIFS(Tree!$R:$R,Tree!$A:$A,Species_rpt!$B5,Tree!$D:$D,Species_rpt!AB$3,Tree!$F:$F,"L",Tree!$K:$K,"&lt;&gt;"&amp;"Y")/$C5))</f>
        <v/>
      </c>
      <c r="AC5" s="206" t="str">
        <f>IF(B5="","",VLOOKUP(B5,Stand_Biomass!$B$37:$H$63,7,0))</f>
        <v/>
      </c>
    </row>
    <row r="6" spans="2:29" x14ac:dyDescent="0.25">
      <c r="B6" s="201" t="str">
        <f>IF(Stand!C5="","",Stand!C5)</f>
        <v/>
      </c>
      <c r="C6" s="154" t="str">
        <f>IF(B6="","",VLOOKUP(B6,Stand!C:H,6,0))</f>
        <v/>
      </c>
      <c r="D6" s="28"/>
      <c r="E6" s="189" t="str">
        <f>IF(OR($C6="",E$3=""),"",IF(E$3="Snag",SUMIFS(Tree!$O:$O,Tree!$A:$A,Species_rpt!$B6,Tree!$F:$F,"D",Tree!$K:$K,"&lt;&gt;"&amp;"Y")/$C6,SUMIFS(Tree!$O:$O,Tree!$A:$A,Species_rpt!$B6,Tree!$D:$D,Species_rpt!E$3,Tree!$F:$F,"L",Tree!$K:$K,"&lt;&gt;"&amp;"Y")/$C6))</f>
        <v/>
      </c>
      <c r="F6" s="121" t="str">
        <f>IF(OR($C6="",F$3=""),"",IF(F$3="Snag",SUMIFS(Tree!$O:$O,Tree!$A:$A,Species_rpt!$B6,Tree!$F:$F,"D",Tree!$K:$K,"&lt;&gt;"&amp;"Y")/$C6,SUMIFS(Tree!$O:$O,Tree!$A:$A,Species_rpt!$B6,Tree!$D:$D,Species_rpt!F$3,Tree!$F:$F,"L",Tree!$K:$K,"&lt;&gt;"&amp;"Y")/$C6))</f>
        <v/>
      </c>
      <c r="G6" s="121" t="str">
        <f>IF(OR($C6="",G$3=""),"",IF(G$3="Snag",SUMIFS(Tree!$O:$O,Tree!$A:$A,Species_rpt!$B6,Tree!$F:$F,"D",Tree!$K:$K,"&lt;&gt;"&amp;"Y")/$C6,SUMIFS(Tree!$O:$O,Tree!$A:$A,Species_rpt!$B6,Tree!$D:$D,Species_rpt!G$3,Tree!$F:$F,"L",Tree!$K:$K,"&lt;&gt;"&amp;"Y")/$C6))</f>
        <v/>
      </c>
      <c r="H6" s="121" t="str">
        <f>IF(OR($C6="",H$3=""),"",IF(H$3="Snag",SUMIFS(Tree!$O:$O,Tree!$A:$A,Species_rpt!$B6,Tree!$F:$F,"D",Tree!$K:$K,"&lt;&gt;"&amp;"Y")/$C6,SUMIFS(Tree!$O:$O,Tree!$A:$A,Species_rpt!$B6,Tree!$D:$D,Species_rpt!H$3,Tree!$F:$F,"L",Tree!$K:$K,"&lt;&gt;"&amp;"Y")/$C6))</f>
        <v/>
      </c>
      <c r="I6" s="121" t="str">
        <f>IF(OR($C6="",I$3=""),"",IF(I$3="Snag",SUMIFS(Tree!$O:$O,Tree!$A:$A,Species_rpt!$B6,Tree!$F:$F,"D",Tree!$K:$K,"&lt;&gt;"&amp;"Y")/$C6,SUMIFS(Tree!$O:$O,Tree!$A:$A,Species_rpt!$B6,Tree!$D:$D,Species_rpt!I$3,Tree!$F:$F,"L",Tree!$K:$K,"&lt;&gt;"&amp;"Y")/$C6))</f>
        <v/>
      </c>
      <c r="J6" s="121" t="str">
        <f>IF(OR($C6="",J$3=""),"",IF(J$3="Snag",SUMIFS(Tree!$O:$O,Tree!$A:$A,Species_rpt!$B6,Tree!$F:$F,"D",Tree!$K:$K,"&lt;&gt;"&amp;"Y")/$C6,SUMIFS(Tree!$O:$O,Tree!$A:$A,Species_rpt!$B6,Tree!$D:$D,Species_rpt!J$3,Tree!$F:$F,"L",Tree!$K:$K,"&lt;&gt;"&amp;"Y")/$C6))</f>
        <v/>
      </c>
      <c r="K6" s="121" t="str">
        <f>IF(OR($C6="",K$3=""),"",IF(K$3="Snag",SUMIFS(Tree!$O:$O,Tree!$A:$A,Species_rpt!$B6,Tree!$F:$F,"D",Tree!$K:$K,"&lt;&gt;"&amp;"Y")/$C6,SUMIFS(Tree!$O:$O,Tree!$A:$A,Species_rpt!$B6,Tree!$D:$D,Species_rpt!K$3,Tree!$F:$F,"L",Tree!$K:$K,"&lt;&gt;"&amp;"Y")/$C6))</f>
        <v/>
      </c>
      <c r="L6" s="121" t="str">
        <f>IF(OR($C6="",L$3=""),"",IF(L$3="Snag",SUMIFS(Tree!$O:$O,Tree!$A:$A,Species_rpt!$B6,Tree!$F:$F,"D",Tree!$K:$K,"&lt;&gt;"&amp;"Y")/$C6,SUMIFS(Tree!$O:$O,Tree!$A:$A,Species_rpt!$B6,Tree!$D:$D,Species_rpt!L$3,Tree!$F:$F,"L",Tree!$K:$K,"&lt;&gt;"&amp;"Y")/$C6))</f>
        <v/>
      </c>
      <c r="M6" s="121" t="str">
        <f>IF(OR($C6="",M$3=""),"",IF(M$3="Snag",SUMIFS(Tree!$O:$O,Tree!$A:$A,Species_rpt!$B6,Tree!$F:$F,"D",Tree!$K:$K,"&lt;&gt;"&amp;"Y")/$C6,SUMIFS(Tree!$O:$O,Tree!$A:$A,Species_rpt!$B6,Tree!$D:$D,Species_rpt!M$3,Tree!$F:$F,"L",Tree!$K:$K,"&lt;&gt;"&amp;"Y")/$C6))</f>
        <v/>
      </c>
      <c r="N6" s="154" t="str">
        <f t="shared" si="1"/>
        <v/>
      </c>
      <c r="O6" s="245" t="str">
        <f>IF(OR($C6="",O$3=""),"",IF(O$3="Snag",SUMIFS(Tree!$O:$O,Tree!$A:$A,Species_rpt!$B6,Tree!$F:$F,"D",Tree!$K:$K,"&lt;&gt;"&amp;"Y")/$C6,SUMIFS(Tree!$O:$O,Tree!$A:$A,Species_rpt!$B6,Tree!$D:$D,Species_rpt!O$3,Tree!$F:$F,"L",Tree!$K:$K,"&lt;&gt;"&amp;"Y")/$C6))</f>
        <v/>
      </c>
      <c r="P6" s="206" t="str">
        <f>VLOOKUP($B6,Stand_Biomass!$B$37:$E$63,4,0)</f>
        <v/>
      </c>
      <c r="Q6" s="83"/>
      <c r="R6" s="189" t="str">
        <f>IF(OR($C6="",R$3=""),"",IF(R$3="Snag",SUMIFS(Tree!$R:$R,Tree!$A:$A,Species_rpt!$B6,Tree!$F:$F,"D",Tree!$K:$K,"&lt;&gt;"&amp;"Y")/$C6,SUMIFS(Tree!$R:$R,Tree!$A:$A,Species_rpt!$B6,Tree!$D:$D,Species_rpt!R$3,Tree!$F:$F,"L",Tree!$K:$K,"&lt;&gt;"&amp;"Y")/$C6))</f>
        <v/>
      </c>
      <c r="S6" s="121" t="str">
        <f>IF(OR($C6="",S$3=""),"",IF(S$3="Snag",SUMIFS(Tree!$R:$R,Tree!$A:$A,Species_rpt!$B6,Tree!$F:$F,"D",Tree!$K:$K,"&lt;&gt;"&amp;"Y")/$C6,SUMIFS(Tree!$R:$R,Tree!$A:$A,Species_rpt!$B6,Tree!$D:$D,Species_rpt!S$3,Tree!$F:$F,"L",Tree!$K:$K,"&lt;&gt;"&amp;"Y")/$C6))</f>
        <v/>
      </c>
      <c r="T6" s="121" t="str">
        <f>IF(OR($C6="",T$3=""),"",IF(T$3="Snag",SUMIFS(Tree!$R:$R,Tree!$A:$A,Species_rpt!$B6,Tree!$F:$F,"D",Tree!$K:$K,"&lt;&gt;"&amp;"Y")/$C6,SUMIFS(Tree!$R:$R,Tree!$A:$A,Species_rpt!$B6,Tree!$D:$D,Species_rpt!T$3,Tree!$F:$F,"L",Tree!$K:$K,"&lt;&gt;"&amp;"Y")/$C6))</f>
        <v/>
      </c>
      <c r="U6" s="121" t="str">
        <f>IF(OR($C6="",U$3=""),"",IF(U$3="Snag",SUMIFS(Tree!$R:$R,Tree!$A:$A,Species_rpt!$B6,Tree!$F:$F,"D",Tree!$K:$K,"&lt;&gt;"&amp;"Y")/$C6,SUMIFS(Tree!$R:$R,Tree!$A:$A,Species_rpt!$B6,Tree!$D:$D,Species_rpt!U$3,Tree!$F:$F,"L",Tree!$K:$K,"&lt;&gt;"&amp;"Y")/$C6))</f>
        <v/>
      </c>
      <c r="V6" s="121" t="str">
        <f>IF(OR($C6="",V$3=""),"",IF(V$3="Snag",SUMIFS(Tree!$R:$R,Tree!$A:$A,Species_rpt!$B6,Tree!$F:$F,"D",Tree!$K:$K,"&lt;&gt;"&amp;"Y")/$C6,SUMIFS(Tree!$R:$R,Tree!$A:$A,Species_rpt!$B6,Tree!$D:$D,Species_rpt!V$3,Tree!$F:$F,"L",Tree!$K:$K,"&lt;&gt;"&amp;"Y")/$C6))</f>
        <v/>
      </c>
      <c r="W6" s="121" t="str">
        <f>IF(OR($C6="",W$3=""),"",IF(W$3="Snag",SUMIFS(Tree!$R:$R,Tree!$A:$A,Species_rpt!$B6,Tree!$F:$F,"D",Tree!$K:$K,"&lt;&gt;"&amp;"Y")/$C6,SUMIFS(Tree!$R:$R,Tree!$A:$A,Species_rpt!$B6,Tree!$D:$D,Species_rpt!W$3,Tree!$F:$F,"L",Tree!$K:$K,"&lt;&gt;"&amp;"Y")/$C6))</f>
        <v/>
      </c>
      <c r="X6" s="121" t="str">
        <f>IF(OR($C6="",X$3=""),"",IF(X$3="Snag",SUMIFS(Tree!$R:$R,Tree!$A:$A,Species_rpt!$B6,Tree!$F:$F,"D",Tree!$K:$K,"&lt;&gt;"&amp;"Y")/$C6,SUMIFS(Tree!$R:$R,Tree!$A:$A,Species_rpt!$B6,Tree!$D:$D,Species_rpt!X$3,Tree!$F:$F,"L",Tree!$K:$K,"&lt;&gt;"&amp;"Y")/$C6))</f>
        <v/>
      </c>
      <c r="Y6" s="121" t="str">
        <f>IF(OR($C6="",Y$3=""),"",IF(Y$3="Snag",SUMIFS(Tree!$R:$R,Tree!$A:$A,Species_rpt!$B6,Tree!$F:$F,"D",Tree!$K:$K,"&lt;&gt;"&amp;"Y")/$C6,SUMIFS(Tree!$R:$R,Tree!$A:$A,Species_rpt!$B6,Tree!$D:$D,Species_rpt!Y$3,Tree!$F:$F,"L",Tree!$K:$K,"&lt;&gt;"&amp;"Y")/$C6))</f>
        <v/>
      </c>
      <c r="Z6" s="121" t="str">
        <f>IF(OR($C6="",Z$3=""),"",IF(Z$3="Snag",SUMIFS(Tree!$R:$R,Tree!$A:$A,Species_rpt!$B6,Tree!$F:$F,"D",Tree!$K:$K,"&lt;&gt;"&amp;"Y")/$C6,SUMIFS(Tree!$R:$R,Tree!$A:$A,Species_rpt!$B6,Tree!$D:$D,Species_rpt!Z$3,Tree!$F:$F,"L",Tree!$K:$K,"&lt;&gt;"&amp;"Y")/$C6))</f>
        <v/>
      </c>
      <c r="AA6" s="154" t="str">
        <f t="shared" si="2"/>
        <v/>
      </c>
      <c r="AB6" s="245" t="str">
        <f>IF(OR($C6="",AB$3=""),"",IF(AB$3="Snag",SUMIFS(Tree!$R:$R,Tree!$A:$A,Species_rpt!$B6,Tree!$F:$F,"D",Tree!$K:$K,"&lt;&gt;"&amp;"Y")/$C6,SUMIFS(Tree!$R:$R,Tree!$A:$A,Species_rpt!$B6,Tree!$D:$D,Species_rpt!AB$3,Tree!$F:$F,"L",Tree!$K:$K,"&lt;&gt;"&amp;"Y")/$C6))</f>
        <v/>
      </c>
      <c r="AC6" s="206" t="str">
        <f>IF(B6="","",VLOOKUP(B6,Stand_Biomass!$B$37:$H$63,7,0))</f>
        <v/>
      </c>
    </row>
    <row r="7" spans="2:29" x14ac:dyDescent="0.25">
      <c r="B7" s="201" t="str">
        <f>IF(Stand!C6="","",Stand!C6)</f>
        <v/>
      </c>
      <c r="C7" s="154" t="str">
        <f>IF(B7="","",VLOOKUP(B7,Stand!C:H,6,0))</f>
        <v/>
      </c>
      <c r="D7" s="28"/>
      <c r="E7" s="189" t="str">
        <f>IF(OR($C7="",E$3=""),"",IF(E$3="Snag",SUMIFS(Tree!$O:$O,Tree!$A:$A,Species_rpt!$B7,Tree!$F:$F,"D",Tree!$K:$K,"&lt;&gt;"&amp;"Y")/$C7,SUMIFS(Tree!$O:$O,Tree!$A:$A,Species_rpt!$B7,Tree!$D:$D,Species_rpt!E$3,Tree!$F:$F,"L",Tree!$K:$K,"&lt;&gt;"&amp;"Y")/$C7))</f>
        <v/>
      </c>
      <c r="F7" s="121" t="str">
        <f>IF(OR($C7="",F$3=""),"",IF(F$3="Snag",SUMIFS(Tree!$O:$O,Tree!$A:$A,Species_rpt!$B7,Tree!$F:$F,"D",Tree!$K:$K,"&lt;&gt;"&amp;"Y")/$C7,SUMIFS(Tree!$O:$O,Tree!$A:$A,Species_rpt!$B7,Tree!$D:$D,Species_rpt!F$3,Tree!$F:$F,"L",Tree!$K:$K,"&lt;&gt;"&amp;"Y")/$C7))</f>
        <v/>
      </c>
      <c r="G7" s="121" t="str">
        <f>IF(OR($C7="",G$3=""),"",IF(G$3="Snag",SUMIFS(Tree!$O:$O,Tree!$A:$A,Species_rpt!$B7,Tree!$F:$F,"D",Tree!$K:$K,"&lt;&gt;"&amp;"Y")/$C7,SUMIFS(Tree!$O:$O,Tree!$A:$A,Species_rpt!$B7,Tree!$D:$D,Species_rpt!G$3,Tree!$F:$F,"L",Tree!$K:$K,"&lt;&gt;"&amp;"Y")/$C7))</f>
        <v/>
      </c>
      <c r="H7" s="121" t="str">
        <f>IF(OR($C7="",H$3=""),"",IF(H$3="Snag",SUMIFS(Tree!$O:$O,Tree!$A:$A,Species_rpt!$B7,Tree!$F:$F,"D",Tree!$K:$K,"&lt;&gt;"&amp;"Y")/$C7,SUMIFS(Tree!$O:$O,Tree!$A:$A,Species_rpt!$B7,Tree!$D:$D,Species_rpt!H$3,Tree!$F:$F,"L",Tree!$K:$K,"&lt;&gt;"&amp;"Y")/$C7))</f>
        <v/>
      </c>
      <c r="I7" s="121" t="str">
        <f>IF(OR($C7="",I$3=""),"",IF(I$3="Snag",SUMIFS(Tree!$O:$O,Tree!$A:$A,Species_rpt!$B7,Tree!$F:$F,"D",Tree!$K:$K,"&lt;&gt;"&amp;"Y")/$C7,SUMIFS(Tree!$O:$O,Tree!$A:$A,Species_rpt!$B7,Tree!$D:$D,Species_rpt!I$3,Tree!$F:$F,"L",Tree!$K:$K,"&lt;&gt;"&amp;"Y")/$C7))</f>
        <v/>
      </c>
      <c r="J7" s="121" t="str">
        <f>IF(OR($C7="",J$3=""),"",IF(J$3="Snag",SUMIFS(Tree!$O:$O,Tree!$A:$A,Species_rpt!$B7,Tree!$F:$F,"D",Tree!$K:$K,"&lt;&gt;"&amp;"Y")/$C7,SUMIFS(Tree!$O:$O,Tree!$A:$A,Species_rpt!$B7,Tree!$D:$D,Species_rpt!J$3,Tree!$F:$F,"L",Tree!$K:$K,"&lt;&gt;"&amp;"Y")/$C7))</f>
        <v/>
      </c>
      <c r="K7" s="121" t="str">
        <f>IF(OR($C7="",K$3=""),"",IF(K$3="Snag",SUMIFS(Tree!$O:$O,Tree!$A:$A,Species_rpt!$B7,Tree!$F:$F,"D",Tree!$K:$K,"&lt;&gt;"&amp;"Y")/$C7,SUMIFS(Tree!$O:$O,Tree!$A:$A,Species_rpt!$B7,Tree!$D:$D,Species_rpt!K$3,Tree!$F:$F,"L",Tree!$K:$K,"&lt;&gt;"&amp;"Y")/$C7))</f>
        <v/>
      </c>
      <c r="L7" s="121" t="str">
        <f>IF(OR($C7="",L$3=""),"",IF(L$3="Snag",SUMIFS(Tree!$O:$O,Tree!$A:$A,Species_rpt!$B7,Tree!$F:$F,"D",Tree!$K:$K,"&lt;&gt;"&amp;"Y")/$C7,SUMIFS(Tree!$O:$O,Tree!$A:$A,Species_rpt!$B7,Tree!$D:$D,Species_rpt!L$3,Tree!$F:$F,"L",Tree!$K:$K,"&lt;&gt;"&amp;"Y")/$C7))</f>
        <v/>
      </c>
      <c r="M7" s="121" t="str">
        <f>IF(OR($C7="",M$3=""),"",IF(M$3="Snag",SUMIFS(Tree!$O:$O,Tree!$A:$A,Species_rpt!$B7,Tree!$F:$F,"D",Tree!$K:$K,"&lt;&gt;"&amp;"Y")/$C7,SUMIFS(Tree!$O:$O,Tree!$A:$A,Species_rpt!$B7,Tree!$D:$D,Species_rpt!M$3,Tree!$F:$F,"L",Tree!$K:$K,"&lt;&gt;"&amp;"Y")/$C7))</f>
        <v/>
      </c>
      <c r="N7" s="154" t="str">
        <f t="shared" si="1"/>
        <v/>
      </c>
      <c r="O7" s="245" t="str">
        <f>IF(OR($C7="",O$3=""),"",IF(O$3="Snag",SUMIFS(Tree!$O:$O,Tree!$A:$A,Species_rpt!$B7,Tree!$F:$F,"D",Tree!$K:$K,"&lt;&gt;"&amp;"Y")/$C7,SUMIFS(Tree!$O:$O,Tree!$A:$A,Species_rpt!$B7,Tree!$D:$D,Species_rpt!O$3,Tree!$F:$F,"L",Tree!$K:$K,"&lt;&gt;"&amp;"Y")/$C7))</f>
        <v/>
      </c>
      <c r="P7" s="206" t="str">
        <f>VLOOKUP($B7,Stand_Biomass!$B$37:$E$63,4,0)</f>
        <v/>
      </c>
      <c r="Q7" s="83"/>
      <c r="R7" s="189" t="str">
        <f>IF(OR($C7="",R$3=""),"",IF(R$3="Snag",SUMIFS(Tree!$R:$R,Tree!$A:$A,Species_rpt!$B7,Tree!$F:$F,"D",Tree!$K:$K,"&lt;&gt;"&amp;"Y")/$C7,SUMIFS(Tree!$R:$R,Tree!$A:$A,Species_rpt!$B7,Tree!$D:$D,Species_rpt!R$3,Tree!$F:$F,"L",Tree!$K:$K,"&lt;&gt;"&amp;"Y")/$C7))</f>
        <v/>
      </c>
      <c r="S7" s="121" t="str">
        <f>IF(OR($C7="",S$3=""),"",IF(S$3="Snag",SUMIFS(Tree!$R:$R,Tree!$A:$A,Species_rpt!$B7,Tree!$F:$F,"D",Tree!$K:$K,"&lt;&gt;"&amp;"Y")/$C7,SUMIFS(Tree!$R:$R,Tree!$A:$A,Species_rpt!$B7,Tree!$D:$D,Species_rpt!S$3,Tree!$F:$F,"L",Tree!$K:$K,"&lt;&gt;"&amp;"Y")/$C7))</f>
        <v/>
      </c>
      <c r="T7" s="121" t="str">
        <f>IF(OR($C7="",T$3=""),"",IF(T$3="Snag",SUMIFS(Tree!$R:$R,Tree!$A:$A,Species_rpt!$B7,Tree!$F:$F,"D",Tree!$K:$K,"&lt;&gt;"&amp;"Y")/$C7,SUMIFS(Tree!$R:$R,Tree!$A:$A,Species_rpt!$B7,Tree!$D:$D,Species_rpt!T$3,Tree!$F:$F,"L",Tree!$K:$K,"&lt;&gt;"&amp;"Y")/$C7))</f>
        <v/>
      </c>
      <c r="U7" s="121" t="str">
        <f>IF(OR($C7="",U$3=""),"",IF(U$3="Snag",SUMIFS(Tree!$R:$R,Tree!$A:$A,Species_rpt!$B7,Tree!$F:$F,"D",Tree!$K:$K,"&lt;&gt;"&amp;"Y")/$C7,SUMIFS(Tree!$R:$R,Tree!$A:$A,Species_rpt!$B7,Tree!$D:$D,Species_rpt!U$3,Tree!$F:$F,"L",Tree!$K:$K,"&lt;&gt;"&amp;"Y")/$C7))</f>
        <v/>
      </c>
      <c r="V7" s="121" t="str">
        <f>IF(OR($C7="",V$3=""),"",IF(V$3="Snag",SUMIFS(Tree!$R:$R,Tree!$A:$A,Species_rpt!$B7,Tree!$F:$F,"D",Tree!$K:$K,"&lt;&gt;"&amp;"Y")/$C7,SUMIFS(Tree!$R:$R,Tree!$A:$A,Species_rpt!$B7,Tree!$D:$D,Species_rpt!V$3,Tree!$F:$F,"L",Tree!$K:$K,"&lt;&gt;"&amp;"Y")/$C7))</f>
        <v/>
      </c>
      <c r="W7" s="121" t="str">
        <f>IF(OR($C7="",W$3=""),"",IF(W$3="Snag",SUMIFS(Tree!$R:$R,Tree!$A:$A,Species_rpt!$B7,Tree!$F:$F,"D",Tree!$K:$K,"&lt;&gt;"&amp;"Y")/$C7,SUMIFS(Tree!$R:$R,Tree!$A:$A,Species_rpt!$B7,Tree!$D:$D,Species_rpt!W$3,Tree!$F:$F,"L",Tree!$K:$K,"&lt;&gt;"&amp;"Y")/$C7))</f>
        <v/>
      </c>
      <c r="X7" s="121" t="str">
        <f>IF(OR($C7="",X$3=""),"",IF(X$3="Snag",SUMIFS(Tree!$R:$R,Tree!$A:$A,Species_rpt!$B7,Tree!$F:$F,"D",Tree!$K:$K,"&lt;&gt;"&amp;"Y")/$C7,SUMIFS(Tree!$R:$R,Tree!$A:$A,Species_rpt!$B7,Tree!$D:$D,Species_rpt!X$3,Tree!$F:$F,"L",Tree!$K:$K,"&lt;&gt;"&amp;"Y")/$C7))</f>
        <v/>
      </c>
      <c r="Y7" s="121" t="str">
        <f>IF(OR($C7="",Y$3=""),"",IF(Y$3="Snag",SUMIFS(Tree!$R:$R,Tree!$A:$A,Species_rpt!$B7,Tree!$F:$F,"D",Tree!$K:$K,"&lt;&gt;"&amp;"Y")/$C7,SUMIFS(Tree!$R:$R,Tree!$A:$A,Species_rpt!$B7,Tree!$D:$D,Species_rpt!Y$3,Tree!$F:$F,"L",Tree!$K:$K,"&lt;&gt;"&amp;"Y")/$C7))</f>
        <v/>
      </c>
      <c r="Z7" s="121" t="str">
        <f>IF(OR($C7="",Z$3=""),"",IF(Z$3="Snag",SUMIFS(Tree!$R:$R,Tree!$A:$A,Species_rpt!$B7,Tree!$F:$F,"D",Tree!$K:$K,"&lt;&gt;"&amp;"Y")/$C7,SUMIFS(Tree!$R:$R,Tree!$A:$A,Species_rpt!$B7,Tree!$D:$D,Species_rpt!Z$3,Tree!$F:$F,"L",Tree!$K:$K,"&lt;&gt;"&amp;"Y")/$C7))</f>
        <v/>
      </c>
      <c r="AA7" s="154" t="str">
        <f t="shared" si="2"/>
        <v/>
      </c>
      <c r="AB7" s="245" t="str">
        <f>IF(OR($C7="",AB$3=""),"",IF(AB$3="Snag",SUMIFS(Tree!$R:$R,Tree!$A:$A,Species_rpt!$B7,Tree!$F:$F,"D",Tree!$K:$K,"&lt;&gt;"&amp;"Y")/$C7,SUMIFS(Tree!$R:$R,Tree!$A:$A,Species_rpt!$B7,Tree!$D:$D,Species_rpt!AB$3,Tree!$F:$F,"L",Tree!$K:$K,"&lt;&gt;"&amp;"Y")/$C7))</f>
        <v/>
      </c>
      <c r="AC7" s="206" t="str">
        <f>IF(B7="","",VLOOKUP(B7,Stand_Biomass!$B$37:$H$63,7,0))</f>
        <v/>
      </c>
    </row>
    <row r="8" spans="2:29" x14ac:dyDescent="0.25">
      <c r="B8" s="201" t="str">
        <f>IF(Stand!C7="","",Stand!C7)</f>
        <v/>
      </c>
      <c r="C8" s="154" t="str">
        <f>IF(B8="","",VLOOKUP(B8,Stand!C:H,6,0))</f>
        <v/>
      </c>
      <c r="D8" s="28"/>
      <c r="E8" s="189" t="str">
        <f>IF(OR($C8="",E$3=""),"",IF(E$3="Snag",SUMIFS(Tree!$O:$O,Tree!$A:$A,Species_rpt!$B8,Tree!$F:$F,"D",Tree!$K:$K,"&lt;&gt;"&amp;"Y")/$C8,SUMIFS(Tree!$O:$O,Tree!$A:$A,Species_rpt!$B8,Tree!$D:$D,Species_rpt!E$3,Tree!$F:$F,"L",Tree!$K:$K,"&lt;&gt;"&amp;"Y")/$C8))</f>
        <v/>
      </c>
      <c r="F8" s="121" t="str">
        <f>IF(OR($C8="",F$3=""),"",IF(F$3="Snag",SUMIFS(Tree!$O:$O,Tree!$A:$A,Species_rpt!$B8,Tree!$F:$F,"D",Tree!$K:$K,"&lt;&gt;"&amp;"Y")/$C8,SUMIFS(Tree!$O:$O,Tree!$A:$A,Species_rpt!$B8,Tree!$D:$D,Species_rpt!F$3,Tree!$F:$F,"L",Tree!$K:$K,"&lt;&gt;"&amp;"Y")/$C8))</f>
        <v/>
      </c>
      <c r="G8" s="121" t="str">
        <f>IF(OR($C8="",G$3=""),"",IF(G$3="Snag",SUMIFS(Tree!$O:$O,Tree!$A:$A,Species_rpt!$B8,Tree!$F:$F,"D",Tree!$K:$K,"&lt;&gt;"&amp;"Y")/$C8,SUMIFS(Tree!$O:$O,Tree!$A:$A,Species_rpt!$B8,Tree!$D:$D,Species_rpt!G$3,Tree!$F:$F,"L",Tree!$K:$K,"&lt;&gt;"&amp;"Y")/$C8))</f>
        <v/>
      </c>
      <c r="H8" s="121" t="str">
        <f>IF(OR($C8="",H$3=""),"",IF(H$3="Snag",SUMIFS(Tree!$O:$O,Tree!$A:$A,Species_rpt!$B8,Tree!$F:$F,"D",Tree!$K:$K,"&lt;&gt;"&amp;"Y")/$C8,SUMIFS(Tree!$O:$O,Tree!$A:$A,Species_rpt!$B8,Tree!$D:$D,Species_rpt!H$3,Tree!$F:$F,"L",Tree!$K:$K,"&lt;&gt;"&amp;"Y")/$C8))</f>
        <v/>
      </c>
      <c r="I8" s="121" t="str">
        <f>IF(OR($C8="",I$3=""),"",IF(I$3="Snag",SUMIFS(Tree!$O:$O,Tree!$A:$A,Species_rpt!$B8,Tree!$F:$F,"D",Tree!$K:$K,"&lt;&gt;"&amp;"Y")/$C8,SUMIFS(Tree!$O:$O,Tree!$A:$A,Species_rpt!$B8,Tree!$D:$D,Species_rpt!I$3,Tree!$F:$F,"L",Tree!$K:$K,"&lt;&gt;"&amp;"Y")/$C8))</f>
        <v/>
      </c>
      <c r="J8" s="121" t="str">
        <f>IF(OR($C8="",J$3=""),"",IF(J$3="Snag",SUMIFS(Tree!$O:$O,Tree!$A:$A,Species_rpt!$B8,Tree!$F:$F,"D",Tree!$K:$K,"&lt;&gt;"&amp;"Y")/$C8,SUMIFS(Tree!$O:$O,Tree!$A:$A,Species_rpt!$B8,Tree!$D:$D,Species_rpt!J$3,Tree!$F:$F,"L",Tree!$K:$K,"&lt;&gt;"&amp;"Y")/$C8))</f>
        <v/>
      </c>
      <c r="K8" s="121" t="str">
        <f>IF(OR($C8="",K$3=""),"",IF(K$3="Snag",SUMIFS(Tree!$O:$O,Tree!$A:$A,Species_rpt!$B8,Tree!$F:$F,"D",Tree!$K:$K,"&lt;&gt;"&amp;"Y")/$C8,SUMIFS(Tree!$O:$O,Tree!$A:$A,Species_rpt!$B8,Tree!$D:$D,Species_rpt!K$3,Tree!$F:$F,"L",Tree!$K:$K,"&lt;&gt;"&amp;"Y")/$C8))</f>
        <v/>
      </c>
      <c r="L8" s="121" t="str">
        <f>IF(OR($C8="",L$3=""),"",IF(L$3="Snag",SUMIFS(Tree!$O:$O,Tree!$A:$A,Species_rpt!$B8,Tree!$F:$F,"D",Tree!$K:$K,"&lt;&gt;"&amp;"Y")/$C8,SUMIFS(Tree!$O:$O,Tree!$A:$A,Species_rpt!$B8,Tree!$D:$D,Species_rpt!L$3,Tree!$F:$F,"L",Tree!$K:$K,"&lt;&gt;"&amp;"Y")/$C8))</f>
        <v/>
      </c>
      <c r="M8" s="121" t="str">
        <f>IF(OR($C8="",M$3=""),"",IF(M$3="Snag",SUMIFS(Tree!$O:$O,Tree!$A:$A,Species_rpt!$B8,Tree!$F:$F,"D",Tree!$K:$K,"&lt;&gt;"&amp;"Y")/$C8,SUMIFS(Tree!$O:$O,Tree!$A:$A,Species_rpt!$B8,Tree!$D:$D,Species_rpt!M$3,Tree!$F:$F,"L",Tree!$K:$K,"&lt;&gt;"&amp;"Y")/$C8))</f>
        <v/>
      </c>
      <c r="N8" s="154" t="str">
        <f t="shared" si="1"/>
        <v/>
      </c>
      <c r="O8" s="245" t="str">
        <f>IF(OR($C8="",O$3=""),"",IF(O$3="Snag",SUMIFS(Tree!$O:$O,Tree!$A:$A,Species_rpt!$B8,Tree!$F:$F,"D",Tree!$K:$K,"&lt;&gt;"&amp;"Y")/$C8,SUMIFS(Tree!$O:$O,Tree!$A:$A,Species_rpt!$B8,Tree!$D:$D,Species_rpt!O$3,Tree!$F:$F,"L",Tree!$K:$K,"&lt;&gt;"&amp;"Y")/$C8))</f>
        <v/>
      </c>
      <c r="P8" s="206" t="str">
        <f>VLOOKUP($B8,Stand_Biomass!$B$37:$E$63,4,0)</f>
        <v/>
      </c>
      <c r="Q8" s="83"/>
      <c r="R8" s="189" t="str">
        <f>IF(OR($C8="",R$3=""),"",IF(R$3="Snag",SUMIFS(Tree!$R:$R,Tree!$A:$A,Species_rpt!$B8,Tree!$F:$F,"D",Tree!$K:$K,"&lt;&gt;"&amp;"Y")/$C8,SUMIFS(Tree!$R:$R,Tree!$A:$A,Species_rpt!$B8,Tree!$D:$D,Species_rpt!R$3,Tree!$F:$F,"L",Tree!$K:$K,"&lt;&gt;"&amp;"Y")/$C8))</f>
        <v/>
      </c>
      <c r="S8" s="121" t="str">
        <f>IF(OR($C8="",S$3=""),"",IF(S$3="Snag",SUMIFS(Tree!$R:$R,Tree!$A:$A,Species_rpt!$B8,Tree!$F:$F,"D",Tree!$K:$K,"&lt;&gt;"&amp;"Y")/$C8,SUMIFS(Tree!$R:$R,Tree!$A:$A,Species_rpt!$B8,Tree!$D:$D,Species_rpt!S$3,Tree!$F:$F,"L",Tree!$K:$K,"&lt;&gt;"&amp;"Y")/$C8))</f>
        <v/>
      </c>
      <c r="T8" s="121" t="str">
        <f>IF(OR($C8="",T$3=""),"",IF(T$3="Snag",SUMIFS(Tree!$R:$R,Tree!$A:$A,Species_rpt!$B8,Tree!$F:$F,"D",Tree!$K:$K,"&lt;&gt;"&amp;"Y")/$C8,SUMIFS(Tree!$R:$R,Tree!$A:$A,Species_rpt!$B8,Tree!$D:$D,Species_rpt!T$3,Tree!$F:$F,"L",Tree!$K:$K,"&lt;&gt;"&amp;"Y")/$C8))</f>
        <v/>
      </c>
      <c r="U8" s="121" t="str">
        <f>IF(OR($C8="",U$3=""),"",IF(U$3="Snag",SUMIFS(Tree!$R:$R,Tree!$A:$A,Species_rpt!$B8,Tree!$F:$F,"D",Tree!$K:$K,"&lt;&gt;"&amp;"Y")/$C8,SUMIFS(Tree!$R:$R,Tree!$A:$A,Species_rpt!$B8,Tree!$D:$D,Species_rpt!U$3,Tree!$F:$F,"L",Tree!$K:$K,"&lt;&gt;"&amp;"Y")/$C8))</f>
        <v/>
      </c>
      <c r="V8" s="121" t="str">
        <f>IF(OR($C8="",V$3=""),"",IF(V$3="Snag",SUMIFS(Tree!$R:$R,Tree!$A:$A,Species_rpt!$B8,Tree!$F:$F,"D",Tree!$K:$K,"&lt;&gt;"&amp;"Y")/$C8,SUMIFS(Tree!$R:$R,Tree!$A:$A,Species_rpt!$B8,Tree!$D:$D,Species_rpt!V$3,Tree!$F:$F,"L",Tree!$K:$K,"&lt;&gt;"&amp;"Y")/$C8))</f>
        <v/>
      </c>
      <c r="W8" s="121" t="str">
        <f>IF(OR($C8="",W$3=""),"",IF(W$3="Snag",SUMIFS(Tree!$R:$R,Tree!$A:$A,Species_rpt!$B8,Tree!$F:$F,"D",Tree!$K:$K,"&lt;&gt;"&amp;"Y")/$C8,SUMIFS(Tree!$R:$R,Tree!$A:$A,Species_rpt!$B8,Tree!$D:$D,Species_rpt!W$3,Tree!$F:$F,"L",Tree!$K:$K,"&lt;&gt;"&amp;"Y")/$C8))</f>
        <v/>
      </c>
      <c r="X8" s="121" t="str">
        <f>IF(OR($C8="",X$3=""),"",IF(X$3="Snag",SUMIFS(Tree!$R:$R,Tree!$A:$A,Species_rpt!$B8,Tree!$F:$F,"D",Tree!$K:$K,"&lt;&gt;"&amp;"Y")/$C8,SUMIFS(Tree!$R:$R,Tree!$A:$A,Species_rpt!$B8,Tree!$D:$D,Species_rpt!X$3,Tree!$F:$F,"L",Tree!$K:$K,"&lt;&gt;"&amp;"Y")/$C8))</f>
        <v/>
      </c>
      <c r="Y8" s="121" t="str">
        <f>IF(OR($C8="",Y$3=""),"",IF(Y$3="Snag",SUMIFS(Tree!$R:$R,Tree!$A:$A,Species_rpt!$B8,Tree!$F:$F,"D",Tree!$K:$K,"&lt;&gt;"&amp;"Y")/$C8,SUMIFS(Tree!$R:$R,Tree!$A:$A,Species_rpt!$B8,Tree!$D:$D,Species_rpt!Y$3,Tree!$F:$F,"L",Tree!$K:$K,"&lt;&gt;"&amp;"Y")/$C8))</f>
        <v/>
      </c>
      <c r="Z8" s="121" t="str">
        <f>IF(OR($C8="",Z$3=""),"",IF(Z$3="Snag",SUMIFS(Tree!$R:$R,Tree!$A:$A,Species_rpt!$B8,Tree!$F:$F,"D",Tree!$K:$K,"&lt;&gt;"&amp;"Y")/$C8,SUMIFS(Tree!$R:$R,Tree!$A:$A,Species_rpt!$B8,Tree!$D:$D,Species_rpt!Z$3,Tree!$F:$F,"L",Tree!$K:$K,"&lt;&gt;"&amp;"Y")/$C8))</f>
        <v/>
      </c>
      <c r="AA8" s="154" t="str">
        <f t="shared" si="2"/>
        <v/>
      </c>
      <c r="AB8" s="245" t="str">
        <f>IF(OR($C8="",AB$3=""),"",IF(AB$3="Snag",SUMIFS(Tree!$R:$R,Tree!$A:$A,Species_rpt!$B8,Tree!$F:$F,"D",Tree!$K:$K,"&lt;&gt;"&amp;"Y")/$C8,SUMIFS(Tree!$R:$R,Tree!$A:$A,Species_rpt!$B8,Tree!$D:$D,Species_rpt!AB$3,Tree!$F:$F,"L",Tree!$K:$K,"&lt;&gt;"&amp;"Y")/$C8))</f>
        <v/>
      </c>
      <c r="AC8" s="206" t="str">
        <f>IF(B8="","",VLOOKUP(B8,Stand_Biomass!$B$37:$H$63,7,0))</f>
        <v/>
      </c>
    </row>
    <row r="9" spans="2:29" x14ac:dyDescent="0.25">
      <c r="B9" s="201" t="str">
        <f>IF(Stand!C8="","",Stand!C8)</f>
        <v/>
      </c>
      <c r="C9" s="154" t="str">
        <f>IF(B9="","",VLOOKUP(B9,Stand!C:H,6,0))</f>
        <v/>
      </c>
      <c r="D9" s="28"/>
      <c r="E9" s="189" t="str">
        <f>IF(OR($C9="",E$3=""),"",IF(E$3="Snag",SUMIFS(Tree!$O:$O,Tree!$A:$A,Species_rpt!$B9,Tree!$F:$F,"D",Tree!$K:$K,"&lt;&gt;"&amp;"Y")/$C9,SUMIFS(Tree!$O:$O,Tree!$A:$A,Species_rpt!$B9,Tree!$D:$D,Species_rpt!E$3,Tree!$F:$F,"L",Tree!$K:$K,"&lt;&gt;"&amp;"Y")/$C9))</f>
        <v/>
      </c>
      <c r="F9" s="121" t="str">
        <f>IF(OR($C9="",F$3=""),"",IF(F$3="Snag",SUMIFS(Tree!$O:$O,Tree!$A:$A,Species_rpt!$B9,Tree!$F:$F,"D",Tree!$K:$K,"&lt;&gt;"&amp;"Y")/$C9,SUMIFS(Tree!$O:$O,Tree!$A:$A,Species_rpt!$B9,Tree!$D:$D,Species_rpt!F$3,Tree!$F:$F,"L",Tree!$K:$K,"&lt;&gt;"&amp;"Y")/$C9))</f>
        <v/>
      </c>
      <c r="G9" s="121" t="str">
        <f>IF(OR($C9="",G$3=""),"",IF(G$3="Snag",SUMIFS(Tree!$O:$O,Tree!$A:$A,Species_rpt!$B9,Tree!$F:$F,"D",Tree!$K:$K,"&lt;&gt;"&amp;"Y")/$C9,SUMIFS(Tree!$O:$O,Tree!$A:$A,Species_rpt!$B9,Tree!$D:$D,Species_rpt!G$3,Tree!$F:$F,"L",Tree!$K:$K,"&lt;&gt;"&amp;"Y")/$C9))</f>
        <v/>
      </c>
      <c r="H9" s="121" t="str">
        <f>IF(OR($C9="",H$3=""),"",IF(H$3="Snag",SUMIFS(Tree!$O:$O,Tree!$A:$A,Species_rpt!$B9,Tree!$F:$F,"D",Tree!$K:$K,"&lt;&gt;"&amp;"Y")/$C9,SUMIFS(Tree!$O:$O,Tree!$A:$A,Species_rpt!$B9,Tree!$D:$D,Species_rpt!H$3,Tree!$F:$F,"L",Tree!$K:$K,"&lt;&gt;"&amp;"Y")/$C9))</f>
        <v/>
      </c>
      <c r="I9" s="121" t="str">
        <f>IF(OR($C9="",I$3=""),"",IF(I$3="Snag",SUMIFS(Tree!$O:$O,Tree!$A:$A,Species_rpt!$B9,Tree!$F:$F,"D",Tree!$K:$K,"&lt;&gt;"&amp;"Y")/$C9,SUMIFS(Tree!$O:$O,Tree!$A:$A,Species_rpt!$B9,Tree!$D:$D,Species_rpt!I$3,Tree!$F:$F,"L",Tree!$K:$K,"&lt;&gt;"&amp;"Y")/$C9))</f>
        <v/>
      </c>
      <c r="J9" s="121" t="str">
        <f>IF(OR($C9="",J$3=""),"",IF(J$3="Snag",SUMIFS(Tree!$O:$O,Tree!$A:$A,Species_rpt!$B9,Tree!$F:$F,"D",Tree!$K:$K,"&lt;&gt;"&amp;"Y")/$C9,SUMIFS(Tree!$O:$O,Tree!$A:$A,Species_rpt!$B9,Tree!$D:$D,Species_rpt!J$3,Tree!$F:$F,"L",Tree!$K:$K,"&lt;&gt;"&amp;"Y")/$C9))</f>
        <v/>
      </c>
      <c r="K9" s="121" t="str">
        <f>IF(OR($C9="",K$3=""),"",IF(K$3="Snag",SUMIFS(Tree!$O:$O,Tree!$A:$A,Species_rpt!$B9,Tree!$F:$F,"D",Tree!$K:$K,"&lt;&gt;"&amp;"Y")/$C9,SUMIFS(Tree!$O:$O,Tree!$A:$A,Species_rpt!$B9,Tree!$D:$D,Species_rpt!K$3,Tree!$F:$F,"L",Tree!$K:$K,"&lt;&gt;"&amp;"Y")/$C9))</f>
        <v/>
      </c>
      <c r="L9" s="121" t="str">
        <f>IF(OR($C9="",L$3=""),"",IF(L$3="Snag",SUMIFS(Tree!$O:$O,Tree!$A:$A,Species_rpt!$B9,Tree!$F:$F,"D",Tree!$K:$K,"&lt;&gt;"&amp;"Y")/$C9,SUMIFS(Tree!$O:$O,Tree!$A:$A,Species_rpt!$B9,Tree!$D:$D,Species_rpt!L$3,Tree!$F:$F,"L",Tree!$K:$K,"&lt;&gt;"&amp;"Y")/$C9))</f>
        <v/>
      </c>
      <c r="M9" s="121" t="str">
        <f>IF(OR($C9="",M$3=""),"",IF(M$3="Snag",SUMIFS(Tree!$O:$O,Tree!$A:$A,Species_rpt!$B9,Tree!$F:$F,"D",Tree!$K:$K,"&lt;&gt;"&amp;"Y")/$C9,SUMIFS(Tree!$O:$O,Tree!$A:$A,Species_rpt!$B9,Tree!$D:$D,Species_rpt!M$3,Tree!$F:$F,"L",Tree!$K:$K,"&lt;&gt;"&amp;"Y")/$C9))</f>
        <v/>
      </c>
      <c r="N9" s="154" t="str">
        <f t="shared" si="1"/>
        <v/>
      </c>
      <c r="O9" s="245" t="str">
        <f>IF(OR($C9="",O$3=""),"",IF(O$3="Snag",SUMIFS(Tree!$O:$O,Tree!$A:$A,Species_rpt!$B9,Tree!$F:$F,"D",Tree!$K:$K,"&lt;&gt;"&amp;"Y")/$C9,SUMIFS(Tree!$O:$O,Tree!$A:$A,Species_rpt!$B9,Tree!$D:$D,Species_rpt!O$3,Tree!$F:$F,"L",Tree!$K:$K,"&lt;&gt;"&amp;"Y")/$C9))</f>
        <v/>
      </c>
      <c r="P9" s="206" t="str">
        <f>VLOOKUP($B9,Stand_Biomass!$B$37:$E$63,4,0)</f>
        <v/>
      </c>
      <c r="Q9" s="83"/>
      <c r="R9" s="189" t="str">
        <f>IF(OR($C9="",R$3=""),"",IF(R$3="Snag",SUMIFS(Tree!$R:$R,Tree!$A:$A,Species_rpt!$B9,Tree!$F:$F,"D",Tree!$K:$K,"&lt;&gt;"&amp;"Y")/$C9,SUMIFS(Tree!$R:$R,Tree!$A:$A,Species_rpt!$B9,Tree!$D:$D,Species_rpt!R$3,Tree!$F:$F,"L",Tree!$K:$K,"&lt;&gt;"&amp;"Y")/$C9))</f>
        <v/>
      </c>
      <c r="S9" s="121" t="str">
        <f>IF(OR($C9="",S$3=""),"",IF(S$3="Snag",SUMIFS(Tree!$R:$R,Tree!$A:$A,Species_rpt!$B9,Tree!$F:$F,"D",Tree!$K:$K,"&lt;&gt;"&amp;"Y")/$C9,SUMIFS(Tree!$R:$R,Tree!$A:$A,Species_rpt!$B9,Tree!$D:$D,Species_rpt!S$3,Tree!$F:$F,"L",Tree!$K:$K,"&lt;&gt;"&amp;"Y")/$C9))</f>
        <v/>
      </c>
      <c r="T9" s="121" t="str">
        <f>IF(OR($C9="",T$3=""),"",IF(T$3="Snag",SUMIFS(Tree!$R:$R,Tree!$A:$A,Species_rpt!$B9,Tree!$F:$F,"D",Tree!$K:$K,"&lt;&gt;"&amp;"Y")/$C9,SUMIFS(Tree!$R:$R,Tree!$A:$A,Species_rpt!$B9,Tree!$D:$D,Species_rpt!T$3,Tree!$F:$F,"L",Tree!$K:$K,"&lt;&gt;"&amp;"Y")/$C9))</f>
        <v/>
      </c>
      <c r="U9" s="121" t="str">
        <f>IF(OR($C9="",U$3=""),"",IF(U$3="Snag",SUMIFS(Tree!$R:$R,Tree!$A:$A,Species_rpt!$B9,Tree!$F:$F,"D",Tree!$K:$K,"&lt;&gt;"&amp;"Y")/$C9,SUMIFS(Tree!$R:$R,Tree!$A:$A,Species_rpt!$B9,Tree!$D:$D,Species_rpt!U$3,Tree!$F:$F,"L",Tree!$K:$K,"&lt;&gt;"&amp;"Y")/$C9))</f>
        <v/>
      </c>
      <c r="V9" s="121" t="str">
        <f>IF(OR($C9="",V$3=""),"",IF(V$3="Snag",SUMIFS(Tree!$R:$R,Tree!$A:$A,Species_rpt!$B9,Tree!$F:$F,"D",Tree!$K:$K,"&lt;&gt;"&amp;"Y")/$C9,SUMIFS(Tree!$R:$R,Tree!$A:$A,Species_rpt!$B9,Tree!$D:$D,Species_rpt!V$3,Tree!$F:$F,"L",Tree!$K:$K,"&lt;&gt;"&amp;"Y")/$C9))</f>
        <v/>
      </c>
      <c r="W9" s="121" t="str">
        <f>IF(OR($C9="",W$3=""),"",IF(W$3="Snag",SUMIFS(Tree!$R:$R,Tree!$A:$A,Species_rpt!$B9,Tree!$F:$F,"D",Tree!$K:$K,"&lt;&gt;"&amp;"Y")/$C9,SUMIFS(Tree!$R:$R,Tree!$A:$A,Species_rpt!$B9,Tree!$D:$D,Species_rpt!W$3,Tree!$F:$F,"L",Tree!$K:$K,"&lt;&gt;"&amp;"Y")/$C9))</f>
        <v/>
      </c>
      <c r="X9" s="121" t="str">
        <f>IF(OR($C9="",X$3=""),"",IF(X$3="Snag",SUMIFS(Tree!$R:$R,Tree!$A:$A,Species_rpt!$B9,Tree!$F:$F,"D",Tree!$K:$K,"&lt;&gt;"&amp;"Y")/$C9,SUMIFS(Tree!$R:$R,Tree!$A:$A,Species_rpt!$B9,Tree!$D:$D,Species_rpt!X$3,Tree!$F:$F,"L",Tree!$K:$K,"&lt;&gt;"&amp;"Y")/$C9))</f>
        <v/>
      </c>
      <c r="Y9" s="121" t="str">
        <f>IF(OR($C9="",Y$3=""),"",IF(Y$3="Snag",SUMIFS(Tree!$R:$R,Tree!$A:$A,Species_rpt!$B9,Tree!$F:$F,"D",Tree!$K:$K,"&lt;&gt;"&amp;"Y")/$C9,SUMIFS(Tree!$R:$R,Tree!$A:$A,Species_rpt!$B9,Tree!$D:$D,Species_rpt!Y$3,Tree!$F:$F,"L",Tree!$K:$K,"&lt;&gt;"&amp;"Y")/$C9))</f>
        <v/>
      </c>
      <c r="Z9" s="121" t="str">
        <f>IF(OR($C9="",Z$3=""),"",IF(Z$3="Snag",SUMIFS(Tree!$R:$R,Tree!$A:$A,Species_rpt!$B9,Tree!$F:$F,"D",Tree!$K:$K,"&lt;&gt;"&amp;"Y")/$C9,SUMIFS(Tree!$R:$R,Tree!$A:$A,Species_rpt!$B9,Tree!$D:$D,Species_rpt!Z$3,Tree!$F:$F,"L",Tree!$K:$K,"&lt;&gt;"&amp;"Y")/$C9))</f>
        <v/>
      </c>
      <c r="AA9" s="154" t="str">
        <f t="shared" si="2"/>
        <v/>
      </c>
      <c r="AB9" s="245" t="str">
        <f>IF(OR($C9="",AB$3=""),"",IF(AB$3="Snag",SUMIFS(Tree!$R:$R,Tree!$A:$A,Species_rpt!$B9,Tree!$F:$F,"D",Tree!$K:$K,"&lt;&gt;"&amp;"Y")/$C9,SUMIFS(Tree!$R:$R,Tree!$A:$A,Species_rpt!$B9,Tree!$D:$D,Species_rpt!AB$3,Tree!$F:$F,"L",Tree!$K:$K,"&lt;&gt;"&amp;"Y")/$C9))</f>
        <v/>
      </c>
      <c r="AC9" s="206" t="str">
        <f>IF(B9="","",VLOOKUP(B9,Stand_Biomass!$B$37:$H$63,7,0))</f>
        <v/>
      </c>
    </row>
    <row r="10" spans="2:29" x14ac:dyDescent="0.25">
      <c r="B10" s="201" t="str">
        <f>IF(Stand!C9="","",Stand!C9)</f>
        <v/>
      </c>
      <c r="C10" s="154" t="str">
        <f>IF(B10="","",VLOOKUP(B10,Stand!C:H,6,0))</f>
        <v/>
      </c>
      <c r="D10" s="28"/>
      <c r="E10" s="189" t="str">
        <f>IF(OR($C10="",E$3=""),"",IF(E$3="Snag",SUMIFS(Tree!$O:$O,Tree!$A:$A,Species_rpt!$B10,Tree!$F:$F,"D",Tree!$K:$K,"&lt;&gt;"&amp;"Y")/$C10,SUMIFS(Tree!$O:$O,Tree!$A:$A,Species_rpt!$B10,Tree!$D:$D,Species_rpt!E$3,Tree!$F:$F,"L",Tree!$K:$K,"&lt;&gt;"&amp;"Y")/$C10))</f>
        <v/>
      </c>
      <c r="F10" s="121" t="str">
        <f>IF(OR($C10="",F$3=""),"",IF(F$3="Snag",SUMIFS(Tree!$O:$O,Tree!$A:$A,Species_rpt!$B10,Tree!$F:$F,"D",Tree!$K:$K,"&lt;&gt;"&amp;"Y")/$C10,SUMIFS(Tree!$O:$O,Tree!$A:$A,Species_rpt!$B10,Tree!$D:$D,Species_rpt!F$3,Tree!$F:$F,"L",Tree!$K:$K,"&lt;&gt;"&amp;"Y")/$C10))</f>
        <v/>
      </c>
      <c r="G10" s="121" t="str">
        <f>IF(OR($C10="",G$3=""),"",IF(G$3="Snag",SUMIFS(Tree!$O:$O,Tree!$A:$A,Species_rpt!$B10,Tree!$F:$F,"D",Tree!$K:$K,"&lt;&gt;"&amp;"Y")/$C10,SUMIFS(Tree!$O:$O,Tree!$A:$A,Species_rpt!$B10,Tree!$D:$D,Species_rpt!G$3,Tree!$F:$F,"L",Tree!$K:$K,"&lt;&gt;"&amp;"Y")/$C10))</f>
        <v/>
      </c>
      <c r="H10" s="121" t="str">
        <f>IF(OR($C10="",H$3=""),"",IF(H$3="Snag",SUMIFS(Tree!$O:$O,Tree!$A:$A,Species_rpt!$B10,Tree!$F:$F,"D",Tree!$K:$K,"&lt;&gt;"&amp;"Y")/$C10,SUMIFS(Tree!$O:$O,Tree!$A:$A,Species_rpt!$B10,Tree!$D:$D,Species_rpt!H$3,Tree!$F:$F,"L",Tree!$K:$K,"&lt;&gt;"&amp;"Y")/$C10))</f>
        <v/>
      </c>
      <c r="I10" s="121" t="str">
        <f>IF(OR($C10="",I$3=""),"",IF(I$3="Snag",SUMIFS(Tree!$O:$O,Tree!$A:$A,Species_rpt!$B10,Tree!$F:$F,"D",Tree!$K:$K,"&lt;&gt;"&amp;"Y")/$C10,SUMIFS(Tree!$O:$O,Tree!$A:$A,Species_rpt!$B10,Tree!$D:$D,Species_rpt!I$3,Tree!$F:$F,"L",Tree!$K:$K,"&lt;&gt;"&amp;"Y")/$C10))</f>
        <v/>
      </c>
      <c r="J10" s="121" t="str">
        <f>IF(OR($C10="",J$3=""),"",IF(J$3="Snag",SUMIFS(Tree!$O:$O,Tree!$A:$A,Species_rpt!$B10,Tree!$F:$F,"D",Tree!$K:$K,"&lt;&gt;"&amp;"Y")/$C10,SUMIFS(Tree!$O:$O,Tree!$A:$A,Species_rpt!$B10,Tree!$D:$D,Species_rpt!J$3,Tree!$F:$F,"L",Tree!$K:$K,"&lt;&gt;"&amp;"Y")/$C10))</f>
        <v/>
      </c>
      <c r="K10" s="121" t="str">
        <f>IF(OR($C10="",K$3=""),"",IF(K$3="Snag",SUMIFS(Tree!$O:$O,Tree!$A:$A,Species_rpt!$B10,Tree!$F:$F,"D",Tree!$K:$K,"&lt;&gt;"&amp;"Y")/$C10,SUMIFS(Tree!$O:$O,Tree!$A:$A,Species_rpt!$B10,Tree!$D:$D,Species_rpt!K$3,Tree!$F:$F,"L",Tree!$K:$K,"&lt;&gt;"&amp;"Y")/$C10))</f>
        <v/>
      </c>
      <c r="L10" s="121" t="str">
        <f>IF(OR($C10="",L$3=""),"",IF(L$3="Snag",SUMIFS(Tree!$O:$O,Tree!$A:$A,Species_rpt!$B10,Tree!$F:$F,"D",Tree!$K:$K,"&lt;&gt;"&amp;"Y")/$C10,SUMIFS(Tree!$O:$O,Tree!$A:$A,Species_rpt!$B10,Tree!$D:$D,Species_rpt!L$3,Tree!$F:$F,"L",Tree!$K:$K,"&lt;&gt;"&amp;"Y")/$C10))</f>
        <v/>
      </c>
      <c r="M10" s="121" t="str">
        <f>IF(OR($C10="",M$3=""),"",IF(M$3="Snag",SUMIFS(Tree!$O:$O,Tree!$A:$A,Species_rpt!$B10,Tree!$F:$F,"D",Tree!$K:$K,"&lt;&gt;"&amp;"Y")/$C10,SUMIFS(Tree!$O:$O,Tree!$A:$A,Species_rpt!$B10,Tree!$D:$D,Species_rpt!M$3,Tree!$F:$F,"L",Tree!$K:$K,"&lt;&gt;"&amp;"Y")/$C10))</f>
        <v/>
      </c>
      <c r="N10" s="154" t="str">
        <f t="shared" si="1"/>
        <v/>
      </c>
      <c r="O10" s="245" t="str">
        <f>IF(OR($C10="",O$3=""),"",IF(O$3="Snag",SUMIFS(Tree!$O:$O,Tree!$A:$A,Species_rpt!$B10,Tree!$F:$F,"D",Tree!$K:$K,"&lt;&gt;"&amp;"Y")/$C10,SUMIFS(Tree!$O:$O,Tree!$A:$A,Species_rpt!$B10,Tree!$D:$D,Species_rpt!O$3,Tree!$F:$F,"L",Tree!$K:$K,"&lt;&gt;"&amp;"Y")/$C10))</f>
        <v/>
      </c>
      <c r="P10" s="206" t="str">
        <f>VLOOKUP($B10,Stand_Biomass!$B$37:$E$63,4,0)</f>
        <v/>
      </c>
      <c r="Q10" s="83"/>
      <c r="R10" s="189" t="str">
        <f>IF(OR($C10="",R$3=""),"",IF(R$3="Snag",SUMIFS(Tree!$R:$R,Tree!$A:$A,Species_rpt!$B10,Tree!$F:$F,"D",Tree!$K:$K,"&lt;&gt;"&amp;"Y")/$C10,SUMIFS(Tree!$R:$R,Tree!$A:$A,Species_rpt!$B10,Tree!$D:$D,Species_rpt!R$3,Tree!$F:$F,"L",Tree!$K:$K,"&lt;&gt;"&amp;"Y")/$C10))</f>
        <v/>
      </c>
      <c r="S10" s="121" t="str">
        <f>IF(OR($C10="",S$3=""),"",IF(S$3="Snag",SUMIFS(Tree!$R:$R,Tree!$A:$A,Species_rpt!$B10,Tree!$F:$F,"D",Tree!$K:$K,"&lt;&gt;"&amp;"Y")/$C10,SUMIFS(Tree!$R:$R,Tree!$A:$A,Species_rpt!$B10,Tree!$D:$D,Species_rpt!S$3,Tree!$F:$F,"L",Tree!$K:$K,"&lt;&gt;"&amp;"Y")/$C10))</f>
        <v/>
      </c>
      <c r="T10" s="121" t="str">
        <f>IF(OR($C10="",T$3=""),"",IF(T$3="Snag",SUMIFS(Tree!$R:$R,Tree!$A:$A,Species_rpt!$B10,Tree!$F:$F,"D",Tree!$K:$K,"&lt;&gt;"&amp;"Y")/$C10,SUMIFS(Tree!$R:$R,Tree!$A:$A,Species_rpt!$B10,Tree!$D:$D,Species_rpt!T$3,Tree!$F:$F,"L",Tree!$K:$K,"&lt;&gt;"&amp;"Y")/$C10))</f>
        <v/>
      </c>
      <c r="U10" s="121" t="str">
        <f>IF(OR($C10="",U$3=""),"",IF(U$3="Snag",SUMIFS(Tree!$R:$R,Tree!$A:$A,Species_rpt!$B10,Tree!$F:$F,"D",Tree!$K:$K,"&lt;&gt;"&amp;"Y")/$C10,SUMIFS(Tree!$R:$R,Tree!$A:$A,Species_rpt!$B10,Tree!$D:$D,Species_rpt!U$3,Tree!$F:$F,"L",Tree!$K:$K,"&lt;&gt;"&amp;"Y")/$C10))</f>
        <v/>
      </c>
      <c r="V10" s="121" t="str">
        <f>IF(OR($C10="",V$3=""),"",IF(V$3="Snag",SUMIFS(Tree!$R:$R,Tree!$A:$A,Species_rpt!$B10,Tree!$F:$F,"D",Tree!$K:$K,"&lt;&gt;"&amp;"Y")/$C10,SUMIFS(Tree!$R:$R,Tree!$A:$A,Species_rpt!$B10,Tree!$D:$D,Species_rpt!V$3,Tree!$F:$F,"L",Tree!$K:$K,"&lt;&gt;"&amp;"Y")/$C10))</f>
        <v/>
      </c>
      <c r="W10" s="121" t="str">
        <f>IF(OR($C10="",W$3=""),"",IF(W$3="Snag",SUMIFS(Tree!$R:$R,Tree!$A:$A,Species_rpt!$B10,Tree!$F:$F,"D",Tree!$K:$K,"&lt;&gt;"&amp;"Y")/$C10,SUMIFS(Tree!$R:$R,Tree!$A:$A,Species_rpt!$B10,Tree!$D:$D,Species_rpt!W$3,Tree!$F:$F,"L",Tree!$K:$K,"&lt;&gt;"&amp;"Y")/$C10))</f>
        <v/>
      </c>
      <c r="X10" s="121" t="str">
        <f>IF(OR($C10="",X$3=""),"",IF(X$3="Snag",SUMIFS(Tree!$R:$R,Tree!$A:$A,Species_rpt!$B10,Tree!$F:$F,"D",Tree!$K:$K,"&lt;&gt;"&amp;"Y")/$C10,SUMIFS(Tree!$R:$R,Tree!$A:$A,Species_rpt!$B10,Tree!$D:$D,Species_rpt!X$3,Tree!$F:$F,"L",Tree!$K:$K,"&lt;&gt;"&amp;"Y")/$C10))</f>
        <v/>
      </c>
      <c r="Y10" s="121" t="str">
        <f>IF(OR($C10="",Y$3=""),"",IF(Y$3="Snag",SUMIFS(Tree!$R:$R,Tree!$A:$A,Species_rpt!$B10,Tree!$F:$F,"D",Tree!$K:$K,"&lt;&gt;"&amp;"Y")/$C10,SUMIFS(Tree!$R:$R,Tree!$A:$A,Species_rpt!$B10,Tree!$D:$D,Species_rpt!Y$3,Tree!$F:$F,"L",Tree!$K:$K,"&lt;&gt;"&amp;"Y")/$C10))</f>
        <v/>
      </c>
      <c r="Z10" s="121" t="str">
        <f>IF(OR($C10="",Z$3=""),"",IF(Z$3="Snag",SUMIFS(Tree!$R:$R,Tree!$A:$A,Species_rpt!$B10,Tree!$F:$F,"D",Tree!$K:$K,"&lt;&gt;"&amp;"Y")/$C10,SUMIFS(Tree!$R:$R,Tree!$A:$A,Species_rpt!$B10,Tree!$D:$D,Species_rpt!Z$3,Tree!$F:$F,"L",Tree!$K:$K,"&lt;&gt;"&amp;"Y")/$C10))</f>
        <v/>
      </c>
      <c r="AA10" s="154" t="str">
        <f t="shared" si="2"/>
        <v/>
      </c>
      <c r="AB10" s="245" t="str">
        <f>IF(OR($C10="",AB$3=""),"",IF(AB$3="Snag",SUMIFS(Tree!$R:$R,Tree!$A:$A,Species_rpt!$B10,Tree!$F:$F,"D",Tree!$K:$K,"&lt;&gt;"&amp;"Y")/$C10,SUMIFS(Tree!$R:$R,Tree!$A:$A,Species_rpt!$B10,Tree!$D:$D,Species_rpt!AB$3,Tree!$F:$F,"L",Tree!$K:$K,"&lt;&gt;"&amp;"Y")/$C10))</f>
        <v/>
      </c>
      <c r="AC10" s="206" t="str">
        <f>IF(B10="","",VLOOKUP(B10,Stand_Biomass!$B$37:$H$63,7,0))</f>
        <v/>
      </c>
    </row>
    <row r="11" spans="2:29" x14ac:dyDescent="0.25">
      <c r="B11" s="201" t="str">
        <f>IF(Stand!C10="","",Stand!C10)</f>
        <v/>
      </c>
      <c r="C11" s="154" t="str">
        <f>IF(B11="","",VLOOKUP(B11,Stand!C:H,6,0))</f>
        <v/>
      </c>
      <c r="D11" s="28"/>
      <c r="E11" s="189" t="str">
        <f>IF(OR($C11="",E$3=""),"",IF(E$3="Snag",SUMIFS(Tree!$O:$O,Tree!$A:$A,Species_rpt!$B11,Tree!$F:$F,"D",Tree!$K:$K,"&lt;&gt;"&amp;"Y")/$C11,SUMIFS(Tree!$O:$O,Tree!$A:$A,Species_rpt!$B11,Tree!$D:$D,Species_rpt!E$3,Tree!$F:$F,"L",Tree!$K:$K,"&lt;&gt;"&amp;"Y")/$C11))</f>
        <v/>
      </c>
      <c r="F11" s="121" t="str">
        <f>IF(OR($C11="",F$3=""),"",IF(F$3="Snag",SUMIFS(Tree!$O:$O,Tree!$A:$A,Species_rpt!$B11,Tree!$F:$F,"D",Tree!$K:$K,"&lt;&gt;"&amp;"Y")/$C11,SUMIFS(Tree!$O:$O,Tree!$A:$A,Species_rpt!$B11,Tree!$D:$D,Species_rpt!F$3,Tree!$F:$F,"L",Tree!$K:$K,"&lt;&gt;"&amp;"Y")/$C11))</f>
        <v/>
      </c>
      <c r="G11" s="121" t="str">
        <f>IF(OR($C11="",G$3=""),"",IF(G$3="Snag",SUMIFS(Tree!$O:$O,Tree!$A:$A,Species_rpt!$B11,Tree!$F:$F,"D",Tree!$K:$K,"&lt;&gt;"&amp;"Y")/$C11,SUMIFS(Tree!$O:$O,Tree!$A:$A,Species_rpt!$B11,Tree!$D:$D,Species_rpt!G$3,Tree!$F:$F,"L",Tree!$K:$K,"&lt;&gt;"&amp;"Y")/$C11))</f>
        <v/>
      </c>
      <c r="H11" s="121" t="str">
        <f>IF(OR($C11="",H$3=""),"",IF(H$3="Snag",SUMIFS(Tree!$O:$O,Tree!$A:$A,Species_rpt!$B11,Tree!$F:$F,"D",Tree!$K:$K,"&lt;&gt;"&amp;"Y")/$C11,SUMIFS(Tree!$O:$O,Tree!$A:$A,Species_rpt!$B11,Tree!$D:$D,Species_rpt!H$3,Tree!$F:$F,"L",Tree!$K:$K,"&lt;&gt;"&amp;"Y")/$C11))</f>
        <v/>
      </c>
      <c r="I11" s="121" t="str">
        <f>IF(OR($C11="",I$3=""),"",IF(I$3="Snag",SUMIFS(Tree!$O:$O,Tree!$A:$A,Species_rpt!$B11,Tree!$F:$F,"D",Tree!$K:$K,"&lt;&gt;"&amp;"Y")/$C11,SUMIFS(Tree!$O:$O,Tree!$A:$A,Species_rpt!$B11,Tree!$D:$D,Species_rpt!I$3,Tree!$F:$F,"L",Tree!$K:$K,"&lt;&gt;"&amp;"Y")/$C11))</f>
        <v/>
      </c>
      <c r="J11" s="121" t="str">
        <f>IF(OR($C11="",J$3=""),"",IF(J$3="Snag",SUMIFS(Tree!$O:$O,Tree!$A:$A,Species_rpt!$B11,Tree!$F:$F,"D",Tree!$K:$K,"&lt;&gt;"&amp;"Y")/$C11,SUMIFS(Tree!$O:$O,Tree!$A:$A,Species_rpt!$B11,Tree!$D:$D,Species_rpt!J$3,Tree!$F:$F,"L",Tree!$K:$K,"&lt;&gt;"&amp;"Y")/$C11))</f>
        <v/>
      </c>
      <c r="K11" s="121" t="str">
        <f>IF(OR($C11="",K$3=""),"",IF(K$3="Snag",SUMIFS(Tree!$O:$O,Tree!$A:$A,Species_rpt!$B11,Tree!$F:$F,"D",Tree!$K:$K,"&lt;&gt;"&amp;"Y")/$C11,SUMIFS(Tree!$O:$O,Tree!$A:$A,Species_rpt!$B11,Tree!$D:$D,Species_rpt!K$3,Tree!$F:$F,"L",Tree!$K:$K,"&lt;&gt;"&amp;"Y")/$C11))</f>
        <v/>
      </c>
      <c r="L11" s="121" t="str">
        <f>IF(OR($C11="",L$3=""),"",IF(L$3="Snag",SUMIFS(Tree!$O:$O,Tree!$A:$A,Species_rpt!$B11,Tree!$F:$F,"D",Tree!$K:$K,"&lt;&gt;"&amp;"Y")/$C11,SUMIFS(Tree!$O:$O,Tree!$A:$A,Species_rpt!$B11,Tree!$D:$D,Species_rpt!L$3,Tree!$F:$F,"L",Tree!$K:$K,"&lt;&gt;"&amp;"Y")/$C11))</f>
        <v/>
      </c>
      <c r="M11" s="121" t="str">
        <f>IF(OR($C11="",M$3=""),"",IF(M$3="Snag",SUMIFS(Tree!$O:$O,Tree!$A:$A,Species_rpt!$B11,Tree!$F:$F,"D",Tree!$K:$K,"&lt;&gt;"&amp;"Y")/$C11,SUMIFS(Tree!$O:$O,Tree!$A:$A,Species_rpt!$B11,Tree!$D:$D,Species_rpt!M$3,Tree!$F:$F,"L",Tree!$K:$K,"&lt;&gt;"&amp;"Y")/$C11))</f>
        <v/>
      </c>
      <c r="N11" s="154" t="str">
        <f t="shared" si="1"/>
        <v/>
      </c>
      <c r="O11" s="245" t="str">
        <f>IF(OR($C11="",O$3=""),"",IF(O$3="Snag",SUMIFS(Tree!$O:$O,Tree!$A:$A,Species_rpt!$B11,Tree!$F:$F,"D",Tree!$K:$K,"&lt;&gt;"&amp;"Y")/$C11,SUMIFS(Tree!$O:$O,Tree!$A:$A,Species_rpt!$B11,Tree!$D:$D,Species_rpt!O$3,Tree!$F:$F,"L",Tree!$K:$K,"&lt;&gt;"&amp;"Y")/$C11))</f>
        <v/>
      </c>
      <c r="P11" s="206" t="str">
        <f>VLOOKUP($B11,Stand_Biomass!$B$37:$E$63,4,0)</f>
        <v/>
      </c>
      <c r="Q11" s="83"/>
      <c r="R11" s="189" t="str">
        <f>IF(OR($C11="",R$3=""),"",IF(R$3="Snag",SUMIFS(Tree!$R:$R,Tree!$A:$A,Species_rpt!$B11,Tree!$F:$F,"D",Tree!$K:$K,"&lt;&gt;"&amp;"Y")/$C11,SUMIFS(Tree!$R:$R,Tree!$A:$A,Species_rpt!$B11,Tree!$D:$D,Species_rpt!R$3,Tree!$F:$F,"L",Tree!$K:$K,"&lt;&gt;"&amp;"Y")/$C11))</f>
        <v/>
      </c>
      <c r="S11" s="121" t="str">
        <f>IF(OR($C11="",S$3=""),"",IF(S$3="Snag",SUMIFS(Tree!$R:$R,Tree!$A:$A,Species_rpt!$B11,Tree!$F:$F,"D",Tree!$K:$K,"&lt;&gt;"&amp;"Y")/$C11,SUMIFS(Tree!$R:$R,Tree!$A:$A,Species_rpt!$B11,Tree!$D:$D,Species_rpt!S$3,Tree!$F:$F,"L",Tree!$K:$K,"&lt;&gt;"&amp;"Y")/$C11))</f>
        <v/>
      </c>
      <c r="T11" s="121" t="str">
        <f>IF(OR($C11="",T$3=""),"",IF(T$3="Snag",SUMIFS(Tree!$R:$R,Tree!$A:$A,Species_rpt!$B11,Tree!$F:$F,"D",Tree!$K:$K,"&lt;&gt;"&amp;"Y")/$C11,SUMIFS(Tree!$R:$R,Tree!$A:$A,Species_rpt!$B11,Tree!$D:$D,Species_rpt!T$3,Tree!$F:$F,"L",Tree!$K:$K,"&lt;&gt;"&amp;"Y")/$C11))</f>
        <v/>
      </c>
      <c r="U11" s="121" t="str">
        <f>IF(OR($C11="",U$3=""),"",IF(U$3="Snag",SUMIFS(Tree!$R:$R,Tree!$A:$A,Species_rpt!$B11,Tree!$F:$F,"D",Tree!$K:$K,"&lt;&gt;"&amp;"Y")/$C11,SUMIFS(Tree!$R:$R,Tree!$A:$A,Species_rpt!$B11,Tree!$D:$D,Species_rpt!U$3,Tree!$F:$F,"L",Tree!$K:$K,"&lt;&gt;"&amp;"Y")/$C11))</f>
        <v/>
      </c>
      <c r="V11" s="121" t="str">
        <f>IF(OR($C11="",V$3=""),"",IF(V$3="Snag",SUMIFS(Tree!$R:$R,Tree!$A:$A,Species_rpt!$B11,Tree!$F:$F,"D",Tree!$K:$K,"&lt;&gt;"&amp;"Y")/$C11,SUMIFS(Tree!$R:$R,Tree!$A:$A,Species_rpt!$B11,Tree!$D:$D,Species_rpt!V$3,Tree!$F:$F,"L",Tree!$K:$K,"&lt;&gt;"&amp;"Y")/$C11))</f>
        <v/>
      </c>
      <c r="W11" s="121" t="str">
        <f>IF(OR($C11="",W$3=""),"",IF(W$3="Snag",SUMIFS(Tree!$R:$R,Tree!$A:$A,Species_rpt!$B11,Tree!$F:$F,"D",Tree!$K:$K,"&lt;&gt;"&amp;"Y")/$C11,SUMIFS(Tree!$R:$R,Tree!$A:$A,Species_rpt!$B11,Tree!$D:$D,Species_rpt!W$3,Tree!$F:$F,"L",Tree!$K:$K,"&lt;&gt;"&amp;"Y")/$C11))</f>
        <v/>
      </c>
      <c r="X11" s="121" t="str">
        <f>IF(OR($C11="",X$3=""),"",IF(X$3="Snag",SUMIFS(Tree!$R:$R,Tree!$A:$A,Species_rpt!$B11,Tree!$F:$F,"D",Tree!$K:$K,"&lt;&gt;"&amp;"Y")/$C11,SUMIFS(Tree!$R:$R,Tree!$A:$A,Species_rpt!$B11,Tree!$D:$D,Species_rpt!X$3,Tree!$F:$F,"L",Tree!$K:$K,"&lt;&gt;"&amp;"Y")/$C11))</f>
        <v/>
      </c>
      <c r="Y11" s="121" t="str">
        <f>IF(OR($C11="",Y$3=""),"",IF(Y$3="Snag",SUMIFS(Tree!$R:$R,Tree!$A:$A,Species_rpt!$B11,Tree!$F:$F,"D",Tree!$K:$K,"&lt;&gt;"&amp;"Y")/$C11,SUMIFS(Tree!$R:$R,Tree!$A:$A,Species_rpt!$B11,Tree!$D:$D,Species_rpt!Y$3,Tree!$F:$F,"L",Tree!$K:$K,"&lt;&gt;"&amp;"Y")/$C11))</f>
        <v/>
      </c>
      <c r="Z11" s="121" t="str">
        <f>IF(OR($C11="",Z$3=""),"",IF(Z$3="Snag",SUMIFS(Tree!$R:$R,Tree!$A:$A,Species_rpt!$B11,Tree!$F:$F,"D",Tree!$K:$K,"&lt;&gt;"&amp;"Y")/$C11,SUMIFS(Tree!$R:$R,Tree!$A:$A,Species_rpt!$B11,Tree!$D:$D,Species_rpt!Z$3,Tree!$F:$F,"L",Tree!$K:$K,"&lt;&gt;"&amp;"Y")/$C11))</f>
        <v/>
      </c>
      <c r="AA11" s="154" t="str">
        <f t="shared" si="2"/>
        <v/>
      </c>
      <c r="AB11" s="245" t="str">
        <f>IF(OR($C11="",AB$3=""),"",IF(AB$3="Snag",SUMIFS(Tree!$R:$R,Tree!$A:$A,Species_rpt!$B11,Tree!$F:$F,"D",Tree!$K:$K,"&lt;&gt;"&amp;"Y")/$C11,SUMIFS(Tree!$R:$R,Tree!$A:$A,Species_rpt!$B11,Tree!$D:$D,Species_rpt!AB$3,Tree!$F:$F,"L",Tree!$K:$K,"&lt;&gt;"&amp;"Y")/$C11))</f>
        <v/>
      </c>
      <c r="AC11" s="206" t="str">
        <f>IF(B11="","",VLOOKUP(B11,Stand_Biomass!$B$37:$H$63,7,0))</f>
        <v/>
      </c>
    </row>
    <row r="12" spans="2:29" x14ac:dyDescent="0.25">
      <c r="B12" s="201" t="str">
        <f>IF(Stand!C11="","",Stand!C11)</f>
        <v/>
      </c>
      <c r="C12" s="154" t="str">
        <f>IF(B12="","",VLOOKUP(B12,Stand!C:H,6,0))</f>
        <v/>
      </c>
      <c r="D12" s="28"/>
      <c r="E12" s="189" t="str">
        <f>IF(OR($C12="",E$3=""),"",IF(E$3="Snag",SUMIFS(Tree!$O:$O,Tree!$A:$A,Species_rpt!$B12,Tree!$F:$F,"D",Tree!$K:$K,"&lt;&gt;"&amp;"Y")/$C12,SUMIFS(Tree!$O:$O,Tree!$A:$A,Species_rpt!$B12,Tree!$D:$D,Species_rpt!E$3,Tree!$F:$F,"L",Tree!$K:$K,"&lt;&gt;"&amp;"Y")/$C12))</f>
        <v/>
      </c>
      <c r="F12" s="121" t="str">
        <f>IF(OR($C12="",F$3=""),"",IF(F$3="Snag",SUMIFS(Tree!$O:$O,Tree!$A:$A,Species_rpt!$B12,Tree!$F:$F,"D",Tree!$K:$K,"&lt;&gt;"&amp;"Y")/$C12,SUMIFS(Tree!$O:$O,Tree!$A:$A,Species_rpt!$B12,Tree!$D:$D,Species_rpt!F$3,Tree!$F:$F,"L",Tree!$K:$K,"&lt;&gt;"&amp;"Y")/$C12))</f>
        <v/>
      </c>
      <c r="G12" s="121" t="str">
        <f>IF(OR($C12="",G$3=""),"",IF(G$3="Snag",SUMIFS(Tree!$O:$O,Tree!$A:$A,Species_rpt!$B12,Tree!$F:$F,"D",Tree!$K:$K,"&lt;&gt;"&amp;"Y")/$C12,SUMIFS(Tree!$O:$O,Tree!$A:$A,Species_rpt!$B12,Tree!$D:$D,Species_rpt!G$3,Tree!$F:$F,"L",Tree!$K:$K,"&lt;&gt;"&amp;"Y")/$C12))</f>
        <v/>
      </c>
      <c r="H12" s="121" t="str">
        <f>IF(OR($C12="",H$3=""),"",IF(H$3="Snag",SUMIFS(Tree!$O:$O,Tree!$A:$A,Species_rpt!$B12,Tree!$F:$F,"D",Tree!$K:$K,"&lt;&gt;"&amp;"Y")/$C12,SUMIFS(Tree!$O:$O,Tree!$A:$A,Species_rpt!$B12,Tree!$D:$D,Species_rpt!H$3,Tree!$F:$F,"L",Tree!$K:$K,"&lt;&gt;"&amp;"Y")/$C12))</f>
        <v/>
      </c>
      <c r="I12" s="121" t="str">
        <f>IF(OR($C12="",I$3=""),"",IF(I$3="Snag",SUMIFS(Tree!$O:$O,Tree!$A:$A,Species_rpt!$B12,Tree!$F:$F,"D",Tree!$K:$K,"&lt;&gt;"&amp;"Y")/$C12,SUMIFS(Tree!$O:$O,Tree!$A:$A,Species_rpt!$B12,Tree!$D:$D,Species_rpt!I$3,Tree!$F:$F,"L",Tree!$K:$K,"&lt;&gt;"&amp;"Y")/$C12))</f>
        <v/>
      </c>
      <c r="J12" s="121" t="str">
        <f>IF(OR($C12="",J$3=""),"",IF(J$3="Snag",SUMIFS(Tree!$O:$O,Tree!$A:$A,Species_rpt!$B12,Tree!$F:$F,"D",Tree!$K:$K,"&lt;&gt;"&amp;"Y")/$C12,SUMIFS(Tree!$O:$O,Tree!$A:$A,Species_rpt!$B12,Tree!$D:$D,Species_rpt!J$3,Tree!$F:$F,"L",Tree!$K:$K,"&lt;&gt;"&amp;"Y")/$C12))</f>
        <v/>
      </c>
      <c r="K12" s="121" t="str">
        <f>IF(OR($C12="",K$3=""),"",IF(K$3="Snag",SUMIFS(Tree!$O:$O,Tree!$A:$A,Species_rpt!$B12,Tree!$F:$F,"D",Tree!$K:$K,"&lt;&gt;"&amp;"Y")/$C12,SUMIFS(Tree!$O:$O,Tree!$A:$A,Species_rpt!$B12,Tree!$D:$D,Species_rpt!K$3,Tree!$F:$F,"L",Tree!$K:$K,"&lt;&gt;"&amp;"Y")/$C12))</f>
        <v/>
      </c>
      <c r="L12" s="121" t="str">
        <f>IF(OR($C12="",L$3=""),"",IF(L$3="Snag",SUMIFS(Tree!$O:$O,Tree!$A:$A,Species_rpt!$B12,Tree!$F:$F,"D",Tree!$K:$K,"&lt;&gt;"&amp;"Y")/$C12,SUMIFS(Tree!$O:$O,Tree!$A:$A,Species_rpt!$B12,Tree!$D:$D,Species_rpt!L$3,Tree!$F:$F,"L",Tree!$K:$K,"&lt;&gt;"&amp;"Y")/$C12))</f>
        <v/>
      </c>
      <c r="M12" s="121" t="str">
        <f>IF(OR($C12="",M$3=""),"",IF(M$3="Snag",SUMIFS(Tree!$O:$O,Tree!$A:$A,Species_rpt!$B12,Tree!$F:$F,"D",Tree!$K:$K,"&lt;&gt;"&amp;"Y")/$C12,SUMIFS(Tree!$O:$O,Tree!$A:$A,Species_rpt!$B12,Tree!$D:$D,Species_rpt!M$3,Tree!$F:$F,"L",Tree!$K:$K,"&lt;&gt;"&amp;"Y")/$C12))</f>
        <v/>
      </c>
      <c r="N12" s="154" t="str">
        <f t="shared" si="1"/>
        <v/>
      </c>
      <c r="O12" s="245" t="str">
        <f>IF(OR($C12="",O$3=""),"",IF(O$3="Snag",SUMIFS(Tree!$O:$O,Tree!$A:$A,Species_rpt!$B12,Tree!$F:$F,"D",Tree!$K:$K,"&lt;&gt;"&amp;"Y")/$C12,SUMIFS(Tree!$O:$O,Tree!$A:$A,Species_rpt!$B12,Tree!$D:$D,Species_rpt!O$3,Tree!$F:$F,"L",Tree!$K:$K,"&lt;&gt;"&amp;"Y")/$C12))</f>
        <v/>
      </c>
      <c r="P12" s="206" t="str">
        <f>VLOOKUP($B12,Stand_Biomass!$B$37:$E$63,4,0)</f>
        <v/>
      </c>
      <c r="Q12" s="83"/>
      <c r="R12" s="189" t="str">
        <f>IF(OR($C12="",R$3=""),"",IF(R$3="Snag",SUMIFS(Tree!$R:$R,Tree!$A:$A,Species_rpt!$B12,Tree!$F:$F,"D",Tree!$K:$K,"&lt;&gt;"&amp;"Y")/$C12,SUMIFS(Tree!$R:$R,Tree!$A:$A,Species_rpt!$B12,Tree!$D:$D,Species_rpt!R$3,Tree!$F:$F,"L",Tree!$K:$K,"&lt;&gt;"&amp;"Y")/$C12))</f>
        <v/>
      </c>
      <c r="S12" s="121" t="str">
        <f>IF(OR($C12="",S$3=""),"",IF(S$3="Snag",SUMIFS(Tree!$R:$R,Tree!$A:$A,Species_rpt!$B12,Tree!$F:$F,"D",Tree!$K:$K,"&lt;&gt;"&amp;"Y")/$C12,SUMIFS(Tree!$R:$R,Tree!$A:$A,Species_rpt!$B12,Tree!$D:$D,Species_rpt!S$3,Tree!$F:$F,"L",Tree!$K:$K,"&lt;&gt;"&amp;"Y")/$C12))</f>
        <v/>
      </c>
      <c r="T12" s="121" t="str">
        <f>IF(OR($C12="",T$3=""),"",IF(T$3="Snag",SUMIFS(Tree!$R:$R,Tree!$A:$A,Species_rpt!$B12,Tree!$F:$F,"D",Tree!$K:$K,"&lt;&gt;"&amp;"Y")/$C12,SUMIFS(Tree!$R:$R,Tree!$A:$A,Species_rpt!$B12,Tree!$D:$D,Species_rpt!T$3,Tree!$F:$F,"L",Tree!$K:$K,"&lt;&gt;"&amp;"Y")/$C12))</f>
        <v/>
      </c>
      <c r="U12" s="121" t="str">
        <f>IF(OR($C12="",U$3=""),"",IF(U$3="Snag",SUMIFS(Tree!$R:$R,Tree!$A:$A,Species_rpt!$B12,Tree!$F:$F,"D",Tree!$K:$K,"&lt;&gt;"&amp;"Y")/$C12,SUMIFS(Tree!$R:$R,Tree!$A:$A,Species_rpt!$B12,Tree!$D:$D,Species_rpt!U$3,Tree!$F:$F,"L",Tree!$K:$K,"&lt;&gt;"&amp;"Y")/$C12))</f>
        <v/>
      </c>
      <c r="V12" s="121" t="str">
        <f>IF(OR($C12="",V$3=""),"",IF(V$3="Snag",SUMIFS(Tree!$R:$R,Tree!$A:$A,Species_rpt!$B12,Tree!$F:$F,"D",Tree!$K:$K,"&lt;&gt;"&amp;"Y")/$C12,SUMIFS(Tree!$R:$R,Tree!$A:$A,Species_rpt!$B12,Tree!$D:$D,Species_rpt!V$3,Tree!$F:$F,"L",Tree!$K:$K,"&lt;&gt;"&amp;"Y")/$C12))</f>
        <v/>
      </c>
      <c r="W12" s="121" t="str">
        <f>IF(OR($C12="",W$3=""),"",IF(W$3="Snag",SUMIFS(Tree!$R:$R,Tree!$A:$A,Species_rpt!$B12,Tree!$F:$F,"D",Tree!$K:$K,"&lt;&gt;"&amp;"Y")/$C12,SUMIFS(Tree!$R:$R,Tree!$A:$A,Species_rpt!$B12,Tree!$D:$D,Species_rpt!W$3,Tree!$F:$F,"L",Tree!$K:$K,"&lt;&gt;"&amp;"Y")/$C12))</f>
        <v/>
      </c>
      <c r="X12" s="121" t="str">
        <f>IF(OR($C12="",X$3=""),"",IF(X$3="Snag",SUMIFS(Tree!$R:$R,Tree!$A:$A,Species_rpt!$B12,Tree!$F:$F,"D",Tree!$K:$K,"&lt;&gt;"&amp;"Y")/$C12,SUMIFS(Tree!$R:$R,Tree!$A:$A,Species_rpt!$B12,Tree!$D:$D,Species_rpt!X$3,Tree!$F:$F,"L",Tree!$K:$K,"&lt;&gt;"&amp;"Y")/$C12))</f>
        <v/>
      </c>
      <c r="Y12" s="121" t="str">
        <f>IF(OR($C12="",Y$3=""),"",IF(Y$3="Snag",SUMIFS(Tree!$R:$R,Tree!$A:$A,Species_rpt!$B12,Tree!$F:$F,"D",Tree!$K:$K,"&lt;&gt;"&amp;"Y")/$C12,SUMIFS(Tree!$R:$R,Tree!$A:$A,Species_rpt!$B12,Tree!$D:$D,Species_rpt!Y$3,Tree!$F:$F,"L",Tree!$K:$K,"&lt;&gt;"&amp;"Y")/$C12))</f>
        <v/>
      </c>
      <c r="Z12" s="121" t="str">
        <f>IF(OR($C12="",Z$3=""),"",IF(Z$3="Snag",SUMIFS(Tree!$R:$R,Tree!$A:$A,Species_rpt!$B12,Tree!$F:$F,"D",Tree!$K:$K,"&lt;&gt;"&amp;"Y")/$C12,SUMIFS(Tree!$R:$R,Tree!$A:$A,Species_rpt!$B12,Tree!$D:$D,Species_rpt!Z$3,Tree!$F:$F,"L",Tree!$K:$K,"&lt;&gt;"&amp;"Y")/$C12))</f>
        <v/>
      </c>
      <c r="AA12" s="154" t="str">
        <f t="shared" si="2"/>
        <v/>
      </c>
      <c r="AB12" s="245" t="str">
        <f>IF(OR($C12="",AB$3=""),"",IF(AB$3="Snag",SUMIFS(Tree!$R:$R,Tree!$A:$A,Species_rpt!$B12,Tree!$F:$F,"D",Tree!$K:$K,"&lt;&gt;"&amp;"Y")/$C12,SUMIFS(Tree!$R:$R,Tree!$A:$A,Species_rpt!$B12,Tree!$D:$D,Species_rpt!AB$3,Tree!$F:$F,"L",Tree!$K:$K,"&lt;&gt;"&amp;"Y")/$C12))</f>
        <v/>
      </c>
      <c r="AC12" s="206" t="str">
        <f>IF(B12="","",VLOOKUP(B12,Stand_Biomass!$B$37:$H$63,7,0))</f>
        <v/>
      </c>
    </row>
    <row r="13" spans="2:29" x14ac:dyDescent="0.25">
      <c r="B13" s="201" t="str">
        <f>IF(Stand!C12="","",Stand!C12)</f>
        <v/>
      </c>
      <c r="C13" s="154" t="str">
        <f>IF(B13="","",VLOOKUP(B13,Stand!C:H,6,0))</f>
        <v/>
      </c>
      <c r="D13" s="28"/>
      <c r="E13" s="189" t="str">
        <f>IF(OR($C13="",E$3=""),"",IF(E$3="Snag",SUMIFS(Tree!$O:$O,Tree!$A:$A,Species_rpt!$B13,Tree!$F:$F,"D",Tree!$K:$K,"&lt;&gt;"&amp;"Y")/$C13,SUMIFS(Tree!$O:$O,Tree!$A:$A,Species_rpt!$B13,Tree!$D:$D,Species_rpt!E$3,Tree!$F:$F,"L",Tree!$K:$K,"&lt;&gt;"&amp;"Y")/$C13))</f>
        <v/>
      </c>
      <c r="F13" s="121" t="str">
        <f>IF(OR($C13="",F$3=""),"",IF(F$3="Snag",SUMIFS(Tree!$O:$O,Tree!$A:$A,Species_rpt!$B13,Tree!$F:$F,"D",Tree!$K:$K,"&lt;&gt;"&amp;"Y")/$C13,SUMIFS(Tree!$O:$O,Tree!$A:$A,Species_rpt!$B13,Tree!$D:$D,Species_rpt!F$3,Tree!$F:$F,"L",Tree!$K:$K,"&lt;&gt;"&amp;"Y")/$C13))</f>
        <v/>
      </c>
      <c r="G13" s="121" t="str">
        <f>IF(OR($C13="",G$3=""),"",IF(G$3="Snag",SUMIFS(Tree!$O:$O,Tree!$A:$A,Species_rpt!$B13,Tree!$F:$F,"D",Tree!$K:$K,"&lt;&gt;"&amp;"Y")/$C13,SUMIFS(Tree!$O:$O,Tree!$A:$A,Species_rpt!$B13,Tree!$D:$D,Species_rpt!G$3,Tree!$F:$F,"L",Tree!$K:$K,"&lt;&gt;"&amp;"Y")/$C13))</f>
        <v/>
      </c>
      <c r="H13" s="121" t="str">
        <f>IF(OR($C13="",H$3=""),"",IF(H$3="Snag",SUMIFS(Tree!$O:$O,Tree!$A:$A,Species_rpt!$B13,Tree!$F:$F,"D",Tree!$K:$K,"&lt;&gt;"&amp;"Y")/$C13,SUMIFS(Tree!$O:$O,Tree!$A:$A,Species_rpt!$B13,Tree!$D:$D,Species_rpt!H$3,Tree!$F:$F,"L",Tree!$K:$K,"&lt;&gt;"&amp;"Y")/$C13))</f>
        <v/>
      </c>
      <c r="I13" s="121" t="str">
        <f>IF(OR($C13="",I$3=""),"",IF(I$3="Snag",SUMIFS(Tree!$O:$O,Tree!$A:$A,Species_rpt!$B13,Tree!$F:$F,"D",Tree!$K:$K,"&lt;&gt;"&amp;"Y")/$C13,SUMIFS(Tree!$O:$O,Tree!$A:$A,Species_rpt!$B13,Tree!$D:$D,Species_rpt!I$3,Tree!$F:$F,"L",Tree!$K:$K,"&lt;&gt;"&amp;"Y")/$C13))</f>
        <v/>
      </c>
      <c r="J13" s="121" t="str">
        <f>IF(OR($C13="",J$3=""),"",IF(J$3="Snag",SUMIFS(Tree!$O:$O,Tree!$A:$A,Species_rpt!$B13,Tree!$F:$F,"D",Tree!$K:$K,"&lt;&gt;"&amp;"Y")/$C13,SUMIFS(Tree!$O:$O,Tree!$A:$A,Species_rpt!$B13,Tree!$D:$D,Species_rpt!J$3,Tree!$F:$F,"L",Tree!$K:$K,"&lt;&gt;"&amp;"Y")/$C13))</f>
        <v/>
      </c>
      <c r="K13" s="121" t="str">
        <f>IF(OR($C13="",K$3=""),"",IF(K$3="Snag",SUMIFS(Tree!$O:$O,Tree!$A:$A,Species_rpt!$B13,Tree!$F:$F,"D",Tree!$K:$K,"&lt;&gt;"&amp;"Y")/$C13,SUMIFS(Tree!$O:$O,Tree!$A:$A,Species_rpt!$B13,Tree!$D:$D,Species_rpt!K$3,Tree!$F:$F,"L",Tree!$K:$K,"&lt;&gt;"&amp;"Y")/$C13))</f>
        <v/>
      </c>
      <c r="L13" s="121" t="str">
        <f>IF(OR($C13="",L$3=""),"",IF(L$3="Snag",SUMIFS(Tree!$O:$O,Tree!$A:$A,Species_rpt!$B13,Tree!$F:$F,"D",Tree!$K:$K,"&lt;&gt;"&amp;"Y")/$C13,SUMIFS(Tree!$O:$O,Tree!$A:$A,Species_rpt!$B13,Tree!$D:$D,Species_rpt!L$3,Tree!$F:$F,"L",Tree!$K:$K,"&lt;&gt;"&amp;"Y")/$C13))</f>
        <v/>
      </c>
      <c r="M13" s="121" t="str">
        <f>IF(OR($C13="",M$3=""),"",IF(M$3="Snag",SUMIFS(Tree!$O:$O,Tree!$A:$A,Species_rpt!$B13,Tree!$F:$F,"D",Tree!$K:$K,"&lt;&gt;"&amp;"Y")/$C13,SUMIFS(Tree!$O:$O,Tree!$A:$A,Species_rpt!$B13,Tree!$D:$D,Species_rpt!M$3,Tree!$F:$F,"L",Tree!$K:$K,"&lt;&gt;"&amp;"Y")/$C13))</f>
        <v/>
      </c>
      <c r="N13" s="154" t="str">
        <f t="shared" si="1"/>
        <v/>
      </c>
      <c r="O13" s="245" t="str">
        <f>IF(OR($C13="",O$3=""),"",IF(O$3="Snag",SUMIFS(Tree!$O:$O,Tree!$A:$A,Species_rpt!$B13,Tree!$F:$F,"D",Tree!$K:$K,"&lt;&gt;"&amp;"Y")/$C13,SUMIFS(Tree!$O:$O,Tree!$A:$A,Species_rpt!$B13,Tree!$D:$D,Species_rpt!O$3,Tree!$F:$F,"L",Tree!$K:$K,"&lt;&gt;"&amp;"Y")/$C13))</f>
        <v/>
      </c>
      <c r="P13" s="206" t="str">
        <f>VLOOKUP($B13,Stand_Biomass!$B$37:$E$63,4,0)</f>
        <v/>
      </c>
      <c r="Q13" s="83"/>
      <c r="R13" s="189" t="str">
        <f>IF(OR($C13="",R$3=""),"",IF(R$3="Snag",SUMIFS(Tree!$R:$R,Tree!$A:$A,Species_rpt!$B13,Tree!$F:$F,"D",Tree!$K:$K,"&lt;&gt;"&amp;"Y")/$C13,SUMIFS(Tree!$R:$R,Tree!$A:$A,Species_rpt!$B13,Tree!$D:$D,Species_rpt!R$3,Tree!$F:$F,"L",Tree!$K:$K,"&lt;&gt;"&amp;"Y")/$C13))</f>
        <v/>
      </c>
      <c r="S13" s="121" t="str">
        <f>IF(OR($C13="",S$3=""),"",IF(S$3="Snag",SUMIFS(Tree!$R:$R,Tree!$A:$A,Species_rpt!$B13,Tree!$F:$F,"D",Tree!$K:$K,"&lt;&gt;"&amp;"Y")/$C13,SUMIFS(Tree!$R:$R,Tree!$A:$A,Species_rpt!$B13,Tree!$D:$D,Species_rpt!S$3,Tree!$F:$F,"L",Tree!$K:$K,"&lt;&gt;"&amp;"Y")/$C13))</f>
        <v/>
      </c>
      <c r="T13" s="121" t="str">
        <f>IF(OR($C13="",T$3=""),"",IF(T$3="Snag",SUMIFS(Tree!$R:$R,Tree!$A:$A,Species_rpt!$B13,Tree!$F:$F,"D",Tree!$K:$K,"&lt;&gt;"&amp;"Y")/$C13,SUMIFS(Tree!$R:$R,Tree!$A:$A,Species_rpt!$B13,Tree!$D:$D,Species_rpt!T$3,Tree!$F:$F,"L",Tree!$K:$K,"&lt;&gt;"&amp;"Y")/$C13))</f>
        <v/>
      </c>
      <c r="U13" s="121" t="str">
        <f>IF(OR($C13="",U$3=""),"",IF(U$3="Snag",SUMIFS(Tree!$R:$R,Tree!$A:$A,Species_rpt!$B13,Tree!$F:$F,"D",Tree!$K:$K,"&lt;&gt;"&amp;"Y")/$C13,SUMIFS(Tree!$R:$R,Tree!$A:$A,Species_rpt!$B13,Tree!$D:$D,Species_rpt!U$3,Tree!$F:$F,"L",Tree!$K:$K,"&lt;&gt;"&amp;"Y")/$C13))</f>
        <v/>
      </c>
      <c r="V13" s="121" t="str">
        <f>IF(OR($C13="",V$3=""),"",IF(V$3="Snag",SUMIFS(Tree!$R:$R,Tree!$A:$A,Species_rpt!$B13,Tree!$F:$F,"D",Tree!$K:$K,"&lt;&gt;"&amp;"Y")/$C13,SUMIFS(Tree!$R:$R,Tree!$A:$A,Species_rpt!$B13,Tree!$D:$D,Species_rpt!V$3,Tree!$F:$F,"L",Tree!$K:$K,"&lt;&gt;"&amp;"Y")/$C13))</f>
        <v/>
      </c>
      <c r="W13" s="121" t="str">
        <f>IF(OR($C13="",W$3=""),"",IF(W$3="Snag",SUMIFS(Tree!$R:$R,Tree!$A:$A,Species_rpt!$B13,Tree!$F:$F,"D",Tree!$K:$K,"&lt;&gt;"&amp;"Y")/$C13,SUMIFS(Tree!$R:$R,Tree!$A:$A,Species_rpt!$B13,Tree!$D:$D,Species_rpt!W$3,Tree!$F:$F,"L",Tree!$K:$K,"&lt;&gt;"&amp;"Y")/$C13))</f>
        <v/>
      </c>
      <c r="X13" s="121" t="str">
        <f>IF(OR($C13="",X$3=""),"",IF(X$3="Snag",SUMIFS(Tree!$R:$R,Tree!$A:$A,Species_rpt!$B13,Tree!$F:$F,"D",Tree!$K:$K,"&lt;&gt;"&amp;"Y")/$C13,SUMIFS(Tree!$R:$R,Tree!$A:$A,Species_rpt!$B13,Tree!$D:$D,Species_rpt!X$3,Tree!$F:$F,"L",Tree!$K:$K,"&lt;&gt;"&amp;"Y")/$C13))</f>
        <v/>
      </c>
      <c r="Y13" s="121" t="str">
        <f>IF(OR($C13="",Y$3=""),"",IF(Y$3="Snag",SUMIFS(Tree!$R:$R,Tree!$A:$A,Species_rpt!$B13,Tree!$F:$F,"D",Tree!$K:$K,"&lt;&gt;"&amp;"Y")/$C13,SUMIFS(Tree!$R:$R,Tree!$A:$A,Species_rpt!$B13,Tree!$D:$D,Species_rpt!Y$3,Tree!$F:$F,"L",Tree!$K:$K,"&lt;&gt;"&amp;"Y")/$C13))</f>
        <v/>
      </c>
      <c r="Z13" s="121" t="str">
        <f>IF(OR($C13="",Z$3=""),"",IF(Z$3="Snag",SUMIFS(Tree!$R:$R,Tree!$A:$A,Species_rpt!$B13,Tree!$F:$F,"D",Tree!$K:$K,"&lt;&gt;"&amp;"Y")/$C13,SUMIFS(Tree!$R:$R,Tree!$A:$A,Species_rpt!$B13,Tree!$D:$D,Species_rpt!Z$3,Tree!$F:$F,"L",Tree!$K:$K,"&lt;&gt;"&amp;"Y")/$C13))</f>
        <v/>
      </c>
      <c r="AA13" s="154" t="str">
        <f t="shared" si="2"/>
        <v/>
      </c>
      <c r="AB13" s="245" t="str">
        <f>IF(OR($C13="",AB$3=""),"",IF(AB$3="Snag",SUMIFS(Tree!$R:$R,Tree!$A:$A,Species_rpt!$B13,Tree!$F:$F,"D",Tree!$K:$K,"&lt;&gt;"&amp;"Y")/$C13,SUMIFS(Tree!$R:$R,Tree!$A:$A,Species_rpt!$B13,Tree!$D:$D,Species_rpt!AB$3,Tree!$F:$F,"L",Tree!$K:$K,"&lt;&gt;"&amp;"Y")/$C13))</f>
        <v/>
      </c>
      <c r="AC13" s="206" t="str">
        <f>IF(B13="","",VLOOKUP(B13,Stand_Biomass!$B$37:$H$63,7,0))</f>
        <v/>
      </c>
    </row>
    <row r="14" spans="2:29" x14ac:dyDescent="0.25">
      <c r="B14" s="201" t="str">
        <f>IF(Stand!C13="","",Stand!C13)</f>
        <v/>
      </c>
      <c r="C14" s="154" t="str">
        <f>IF(B14="","",VLOOKUP(B14,Stand!C:H,6,0))</f>
        <v/>
      </c>
      <c r="D14" s="28"/>
      <c r="E14" s="189" t="str">
        <f>IF(OR($C14="",E$3=""),"",IF(E$3="Snag",SUMIFS(Tree!$O:$O,Tree!$A:$A,Species_rpt!$B14,Tree!$F:$F,"D",Tree!$K:$K,"&lt;&gt;"&amp;"Y")/$C14,SUMIFS(Tree!$O:$O,Tree!$A:$A,Species_rpt!$B14,Tree!$D:$D,Species_rpt!E$3,Tree!$F:$F,"L",Tree!$K:$K,"&lt;&gt;"&amp;"Y")/$C14))</f>
        <v/>
      </c>
      <c r="F14" s="121" t="str">
        <f>IF(OR($C14="",F$3=""),"",IF(F$3="Snag",SUMIFS(Tree!$O:$O,Tree!$A:$A,Species_rpt!$B14,Tree!$F:$F,"D",Tree!$K:$K,"&lt;&gt;"&amp;"Y")/$C14,SUMIFS(Tree!$O:$O,Tree!$A:$A,Species_rpt!$B14,Tree!$D:$D,Species_rpt!F$3,Tree!$F:$F,"L",Tree!$K:$K,"&lt;&gt;"&amp;"Y")/$C14))</f>
        <v/>
      </c>
      <c r="G14" s="121" t="str">
        <f>IF(OR($C14="",G$3=""),"",IF(G$3="Snag",SUMIFS(Tree!$O:$O,Tree!$A:$A,Species_rpt!$B14,Tree!$F:$F,"D",Tree!$K:$K,"&lt;&gt;"&amp;"Y")/$C14,SUMIFS(Tree!$O:$O,Tree!$A:$A,Species_rpt!$B14,Tree!$D:$D,Species_rpt!G$3,Tree!$F:$F,"L",Tree!$K:$K,"&lt;&gt;"&amp;"Y")/$C14))</f>
        <v/>
      </c>
      <c r="H14" s="121" t="str">
        <f>IF(OR($C14="",H$3=""),"",IF(H$3="Snag",SUMIFS(Tree!$O:$O,Tree!$A:$A,Species_rpt!$B14,Tree!$F:$F,"D",Tree!$K:$K,"&lt;&gt;"&amp;"Y")/$C14,SUMIFS(Tree!$O:$O,Tree!$A:$A,Species_rpt!$B14,Tree!$D:$D,Species_rpt!H$3,Tree!$F:$F,"L",Tree!$K:$K,"&lt;&gt;"&amp;"Y")/$C14))</f>
        <v/>
      </c>
      <c r="I14" s="121" t="str">
        <f>IF(OR($C14="",I$3=""),"",IF(I$3="Snag",SUMIFS(Tree!$O:$O,Tree!$A:$A,Species_rpt!$B14,Tree!$F:$F,"D",Tree!$K:$K,"&lt;&gt;"&amp;"Y")/$C14,SUMIFS(Tree!$O:$O,Tree!$A:$A,Species_rpt!$B14,Tree!$D:$D,Species_rpt!I$3,Tree!$F:$F,"L",Tree!$K:$K,"&lt;&gt;"&amp;"Y")/$C14))</f>
        <v/>
      </c>
      <c r="J14" s="121" t="str">
        <f>IF(OR($C14="",J$3=""),"",IF(J$3="Snag",SUMIFS(Tree!$O:$O,Tree!$A:$A,Species_rpt!$B14,Tree!$F:$F,"D",Tree!$K:$K,"&lt;&gt;"&amp;"Y")/$C14,SUMIFS(Tree!$O:$O,Tree!$A:$A,Species_rpt!$B14,Tree!$D:$D,Species_rpt!J$3,Tree!$F:$F,"L",Tree!$K:$K,"&lt;&gt;"&amp;"Y")/$C14))</f>
        <v/>
      </c>
      <c r="K14" s="121" t="str">
        <f>IF(OR($C14="",K$3=""),"",IF(K$3="Snag",SUMIFS(Tree!$O:$O,Tree!$A:$A,Species_rpt!$B14,Tree!$F:$F,"D",Tree!$K:$K,"&lt;&gt;"&amp;"Y")/$C14,SUMIFS(Tree!$O:$O,Tree!$A:$A,Species_rpt!$B14,Tree!$D:$D,Species_rpt!K$3,Tree!$F:$F,"L",Tree!$K:$K,"&lt;&gt;"&amp;"Y")/$C14))</f>
        <v/>
      </c>
      <c r="L14" s="121" t="str">
        <f>IF(OR($C14="",L$3=""),"",IF(L$3="Snag",SUMIFS(Tree!$O:$O,Tree!$A:$A,Species_rpt!$B14,Tree!$F:$F,"D",Tree!$K:$K,"&lt;&gt;"&amp;"Y")/$C14,SUMIFS(Tree!$O:$O,Tree!$A:$A,Species_rpt!$B14,Tree!$D:$D,Species_rpt!L$3,Tree!$F:$F,"L",Tree!$K:$K,"&lt;&gt;"&amp;"Y")/$C14))</f>
        <v/>
      </c>
      <c r="M14" s="121" t="str">
        <f>IF(OR($C14="",M$3=""),"",IF(M$3="Snag",SUMIFS(Tree!$O:$O,Tree!$A:$A,Species_rpt!$B14,Tree!$F:$F,"D",Tree!$K:$K,"&lt;&gt;"&amp;"Y")/$C14,SUMIFS(Tree!$O:$O,Tree!$A:$A,Species_rpt!$B14,Tree!$D:$D,Species_rpt!M$3,Tree!$F:$F,"L",Tree!$K:$K,"&lt;&gt;"&amp;"Y")/$C14))</f>
        <v/>
      </c>
      <c r="N14" s="154" t="str">
        <f t="shared" si="1"/>
        <v/>
      </c>
      <c r="O14" s="245" t="str">
        <f>IF(OR($C14="",O$3=""),"",IF(O$3="Snag",SUMIFS(Tree!$O:$O,Tree!$A:$A,Species_rpt!$B14,Tree!$F:$F,"D",Tree!$K:$K,"&lt;&gt;"&amp;"Y")/$C14,SUMIFS(Tree!$O:$O,Tree!$A:$A,Species_rpt!$B14,Tree!$D:$D,Species_rpt!O$3,Tree!$F:$F,"L",Tree!$K:$K,"&lt;&gt;"&amp;"Y")/$C14))</f>
        <v/>
      </c>
      <c r="P14" s="206" t="str">
        <f>VLOOKUP($B14,Stand_Biomass!$B$37:$E$63,4,0)</f>
        <v/>
      </c>
      <c r="Q14" s="83"/>
      <c r="R14" s="189" t="str">
        <f>IF(OR($C14="",R$3=""),"",IF(R$3="Snag",SUMIFS(Tree!$R:$R,Tree!$A:$A,Species_rpt!$B14,Tree!$F:$F,"D",Tree!$K:$K,"&lt;&gt;"&amp;"Y")/$C14,SUMIFS(Tree!$R:$R,Tree!$A:$A,Species_rpt!$B14,Tree!$D:$D,Species_rpt!R$3,Tree!$F:$F,"L",Tree!$K:$K,"&lt;&gt;"&amp;"Y")/$C14))</f>
        <v/>
      </c>
      <c r="S14" s="121" t="str">
        <f>IF(OR($C14="",S$3=""),"",IF(S$3="Snag",SUMIFS(Tree!$R:$R,Tree!$A:$A,Species_rpt!$B14,Tree!$F:$F,"D",Tree!$K:$K,"&lt;&gt;"&amp;"Y")/$C14,SUMIFS(Tree!$R:$R,Tree!$A:$A,Species_rpt!$B14,Tree!$D:$D,Species_rpt!S$3,Tree!$F:$F,"L",Tree!$K:$K,"&lt;&gt;"&amp;"Y")/$C14))</f>
        <v/>
      </c>
      <c r="T14" s="121" t="str">
        <f>IF(OR($C14="",T$3=""),"",IF(T$3="Snag",SUMIFS(Tree!$R:$R,Tree!$A:$A,Species_rpt!$B14,Tree!$F:$F,"D",Tree!$K:$K,"&lt;&gt;"&amp;"Y")/$C14,SUMIFS(Tree!$R:$R,Tree!$A:$A,Species_rpt!$B14,Tree!$D:$D,Species_rpt!T$3,Tree!$F:$F,"L",Tree!$K:$K,"&lt;&gt;"&amp;"Y")/$C14))</f>
        <v/>
      </c>
      <c r="U14" s="121" t="str">
        <f>IF(OR($C14="",U$3=""),"",IF(U$3="Snag",SUMIFS(Tree!$R:$R,Tree!$A:$A,Species_rpt!$B14,Tree!$F:$F,"D",Tree!$K:$K,"&lt;&gt;"&amp;"Y")/$C14,SUMIFS(Tree!$R:$R,Tree!$A:$A,Species_rpt!$B14,Tree!$D:$D,Species_rpt!U$3,Tree!$F:$F,"L",Tree!$K:$K,"&lt;&gt;"&amp;"Y")/$C14))</f>
        <v/>
      </c>
      <c r="V14" s="121" t="str">
        <f>IF(OR($C14="",V$3=""),"",IF(V$3="Snag",SUMIFS(Tree!$R:$R,Tree!$A:$A,Species_rpt!$B14,Tree!$F:$F,"D",Tree!$K:$K,"&lt;&gt;"&amp;"Y")/$C14,SUMIFS(Tree!$R:$R,Tree!$A:$A,Species_rpt!$B14,Tree!$D:$D,Species_rpt!V$3,Tree!$F:$F,"L",Tree!$K:$K,"&lt;&gt;"&amp;"Y")/$C14))</f>
        <v/>
      </c>
      <c r="W14" s="121" t="str">
        <f>IF(OR($C14="",W$3=""),"",IF(W$3="Snag",SUMIFS(Tree!$R:$R,Tree!$A:$A,Species_rpt!$B14,Tree!$F:$F,"D",Tree!$K:$K,"&lt;&gt;"&amp;"Y")/$C14,SUMIFS(Tree!$R:$R,Tree!$A:$A,Species_rpt!$B14,Tree!$D:$D,Species_rpt!W$3,Tree!$F:$F,"L",Tree!$K:$K,"&lt;&gt;"&amp;"Y")/$C14))</f>
        <v/>
      </c>
      <c r="X14" s="121" t="str">
        <f>IF(OR($C14="",X$3=""),"",IF(X$3="Snag",SUMIFS(Tree!$R:$R,Tree!$A:$A,Species_rpt!$B14,Tree!$F:$F,"D",Tree!$K:$K,"&lt;&gt;"&amp;"Y")/$C14,SUMIFS(Tree!$R:$R,Tree!$A:$A,Species_rpt!$B14,Tree!$D:$D,Species_rpt!X$3,Tree!$F:$F,"L",Tree!$K:$K,"&lt;&gt;"&amp;"Y")/$C14))</f>
        <v/>
      </c>
      <c r="Y14" s="121" t="str">
        <f>IF(OR($C14="",Y$3=""),"",IF(Y$3="Snag",SUMIFS(Tree!$R:$R,Tree!$A:$A,Species_rpt!$B14,Tree!$F:$F,"D",Tree!$K:$K,"&lt;&gt;"&amp;"Y")/$C14,SUMIFS(Tree!$R:$R,Tree!$A:$A,Species_rpt!$B14,Tree!$D:$D,Species_rpt!Y$3,Tree!$F:$F,"L",Tree!$K:$K,"&lt;&gt;"&amp;"Y")/$C14))</f>
        <v/>
      </c>
      <c r="Z14" s="121" t="str">
        <f>IF(OR($C14="",Z$3=""),"",IF(Z$3="Snag",SUMIFS(Tree!$R:$R,Tree!$A:$A,Species_rpt!$B14,Tree!$F:$F,"D",Tree!$K:$K,"&lt;&gt;"&amp;"Y")/$C14,SUMIFS(Tree!$R:$R,Tree!$A:$A,Species_rpt!$B14,Tree!$D:$D,Species_rpt!Z$3,Tree!$F:$F,"L",Tree!$K:$K,"&lt;&gt;"&amp;"Y")/$C14))</f>
        <v/>
      </c>
      <c r="AA14" s="154" t="str">
        <f t="shared" si="2"/>
        <v/>
      </c>
      <c r="AB14" s="245" t="str">
        <f>IF(OR($C14="",AB$3=""),"",IF(AB$3="Snag",SUMIFS(Tree!$R:$R,Tree!$A:$A,Species_rpt!$B14,Tree!$F:$F,"D",Tree!$K:$K,"&lt;&gt;"&amp;"Y")/$C14,SUMIFS(Tree!$R:$R,Tree!$A:$A,Species_rpt!$B14,Tree!$D:$D,Species_rpt!AB$3,Tree!$F:$F,"L",Tree!$K:$K,"&lt;&gt;"&amp;"Y")/$C14))</f>
        <v/>
      </c>
      <c r="AC14" s="206" t="str">
        <f>IF(B14="","",VLOOKUP(B14,Stand_Biomass!$B$37:$H$63,7,0))</f>
        <v/>
      </c>
    </row>
    <row r="15" spans="2:29" x14ac:dyDescent="0.25">
      <c r="B15" s="201" t="str">
        <f>IF(Stand!C14="","",Stand!C14)</f>
        <v/>
      </c>
      <c r="C15" s="154" t="str">
        <f>IF(B15="","",VLOOKUP(B15,Stand!C:H,6,0))</f>
        <v/>
      </c>
      <c r="D15" s="28"/>
      <c r="E15" s="189" t="str">
        <f>IF(OR($C15="",E$3=""),"",IF(E$3="Snag",SUMIFS(Tree!$O:$O,Tree!$A:$A,Species_rpt!$B15,Tree!$F:$F,"D",Tree!$K:$K,"&lt;&gt;"&amp;"Y")/$C15,SUMIFS(Tree!$O:$O,Tree!$A:$A,Species_rpt!$B15,Tree!$D:$D,Species_rpt!E$3,Tree!$F:$F,"L",Tree!$K:$K,"&lt;&gt;"&amp;"Y")/$C15))</f>
        <v/>
      </c>
      <c r="F15" s="121" t="str">
        <f>IF(OR($C15="",F$3=""),"",IF(F$3="Snag",SUMIFS(Tree!$O:$O,Tree!$A:$A,Species_rpt!$B15,Tree!$F:$F,"D",Tree!$K:$K,"&lt;&gt;"&amp;"Y")/$C15,SUMIFS(Tree!$O:$O,Tree!$A:$A,Species_rpt!$B15,Tree!$D:$D,Species_rpt!F$3,Tree!$F:$F,"L",Tree!$K:$K,"&lt;&gt;"&amp;"Y")/$C15))</f>
        <v/>
      </c>
      <c r="G15" s="121" t="str">
        <f>IF(OR($C15="",G$3=""),"",IF(G$3="Snag",SUMIFS(Tree!$O:$O,Tree!$A:$A,Species_rpt!$B15,Tree!$F:$F,"D",Tree!$K:$K,"&lt;&gt;"&amp;"Y")/$C15,SUMIFS(Tree!$O:$O,Tree!$A:$A,Species_rpt!$B15,Tree!$D:$D,Species_rpt!G$3,Tree!$F:$F,"L",Tree!$K:$K,"&lt;&gt;"&amp;"Y")/$C15))</f>
        <v/>
      </c>
      <c r="H15" s="121" t="str">
        <f>IF(OR($C15="",H$3=""),"",IF(H$3="Snag",SUMIFS(Tree!$O:$O,Tree!$A:$A,Species_rpt!$B15,Tree!$F:$F,"D",Tree!$K:$K,"&lt;&gt;"&amp;"Y")/$C15,SUMIFS(Tree!$O:$O,Tree!$A:$A,Species_rpt!$B15,Tree!$D:$D,Species_rpt!H$3,Tree!$F:$F,"L",Tree!$K:$K,"&lt;&gt;"&amp;"Y")/$C15))</f>
        <v/>
      </c>
      <c r="I15" s="121" t="str">
        <f>IF(OR($C15="",I$3=""),"",IF(I$3="Snag",SUMIFS(Tree!$O:$O,Tree!$A:$A,Species_rpt!$B15,Tree!$F:$F,"D",Tree!$K:$K,"&lt;&gt;"&amp;"Y")/$C15,SUMIFS(Tree!$O:$O,Tree!$A:$A,Species_rpt!$B15,Tree!$D:$D,Species_rpt!I$3,Tree!$F:$F,"L",Tree!$K:$K,"&lt;&gt;"&amp;"Y")/$C15))</f>
        <v/>
      </c>
      <c r="J15" s="121" t="str">
        <f>IF(OR($C15="",J$3=""),"",IF(J$3="Snag",SUMIFS(Tree!$O:$O,Tree!$A:$A,Species_rpt!$B15,Tree!$F:$F,"D",Tree!$K:$K,"&lt;&gt;"&amp;"Y")/$C15,SUMIFS(Tree!$O:$O,Tree!$A:$A,Species_rpt!$B15,Tree!$D:$D,Species_rpt!J$3,Tree!$F:$F,"L",Tree!$K:$K,"&lt;&gt;"&amp;"Y")/$C15))</f>
        <v/>
      </c>
      <c r="K15" s="121" t="str">
        <f>IF(OR($C15="",K$3=""),"",IF(K$3="Snag",SUMIFS(Tree!$O:$O,Tree!$A:$A,Species_rpt!$B15,Tree!$F:$F,"D",Tree!$K:$K,"&lt;&gt;"&amp;"Y")/$C15,SUMIFS(Tree!$O:$O,Tree!$A:$A,Species_rpt!$B15,Tree!$D:$D,Species_rpt!K$3,Tree!$F:$F,"L",Tree!$K:$K,"&lt;&gt;"&amp;"Y")/$C15))</f>
        <v/>
      </c>
      <c r="L15" s="121" t="str">
        <f>IF(OR($C15="",L$3=""),"",IF(L$3="Snag",SUMIFS(Tree!$O:$O,Tree!$A:$A,Species_rpt!$B15,Tree!$F:$F,"D",Tree!$K:$K,"&lt;&gt;"&amp;"Y")/$C15,SUMIFS(Tree!$O:$O,Tree!$A:$A,Species_rpt!$B15,Tree!$D:$D,Species_rpt!L$3,Tree!$F:$F,"L",Tree!$K:$K,"&lt;&gt;"&amp;"Y")/$C15))</f>
        <v/>
      </c>
      <c r="M15" s="121" t="str">
        <f>IF(OR($C15="",M$3=""),"",IF(M$3="Snag",SUMIFS(Tree!$O:$O,Tree!$A:$A,Species_rpt!$B15,Tree!$F:$F,"D",Tree!$K:$K,"&lt;&gt;"&amp;"Y")/$C15,SUMIFS(Tree!$O:$O,Tree!$A:$A,Species_rpt!$B15,Tree!$D:$D,Species_rpt!M$3,Tree!$F:$F,"L",Tree!$K:$K,"&lt;&gt;"&amp;"Y")/$C15))</f>
        <v/>
      </c>
      <c r="N15" s="154" t="str">
        <f t="shared" si="1"/>
        <v/>
      </c>
      <c r="O15" s="245" t="str">
        <f>IF(OR($C15="",O$3=""),"",IF(O$3="Snag",SUMIFS(Tree!$O:$O,Tree!$A:$A,Species_rpt!$B15,Tree!$F:$F,"D",Tree!$K:$K,"&lt;&gt;"&amp;"Y")/$C15,SUMIFS(Tree!$O:$O,Tree!$A:$A,Species_rpt!$B15,Tree!$D:$D,Species_rpt!O$3,Tree!$F:$F,"L",Tree!$K:$K,"&lt;&gt;"&amp;"Y")/$C15))</f>
        <v/>
      </c>
      <c r="P15" s="206" t="str">
        <f>VLOOKUP($B15,Stand_Biomass!$B$37:$E$63,4,0)</f>
        <v/>
      </c>
      <c r="Q15" s="83"/>
      <c r="R15" s="189" t="str">
        <f>IF(OR($C15="",R$3=""),"",IF(R$3="Snag",SUMIFS(Tree!$R:$R,Tree!$A:$A,Species_rpt!$B15,Tree!$F:$F,"D",Tree!$K:$K,"&lt;&gt;"&amp;"Y")/$C15,SUMIFS(Tree!$R:$R,Tree!$A:$A,Species_rpt!$B15,Tree!$D:$D,Species_rpt!R$3,Tree!$F:$F,"L",Tree!$K:$K,"&lt;&gt;"&amp;"Y")/$C15))</f>
        <v/>
      </c>
      <c r="S15" s="121" t="str">
        <f>IF(OR($C15="",S$3=""),"",IF(S$3="Snag",SUMIFS(Tree!$R:$R,Tree!$A:$A,Species_rpt!$B15,Tree!$F:$F,"D",Tree!$K:$K,"&lt;&gt;"&amp;"Y")/$C15,SUMIFS(Tree!$R:$R,Tree!$A:$A,Species_rpt!$B15,Tree!$D:$D,Species_rpt!S$3,Tree!$F:$F,"L",Tree!$K:$K,"&lt;&gt;"&amp;"Y")/$C15))</f>
        <v/>
      </c>
      <c r="T15" s="121" t="str">
        <f>IF(OR($C15="",T$3=""),"",IF(T$3="Snag",SUMIFS(Tree!$R:$R,Tree!$A:$A,Species_rpt!$B15,Tree!$F:$F,"D",Tree!$K:$K,"&lt;&gt;"&amp;"Y")/$C15,SUMIFS(Tree!$R:$R,Tree!$A:$A,Species_rpt!$B15,Tree!$D:$D,Species_rpt!T$3,Tree!$F:$F,"L",Tree!$K:$K,"&lt;&gt;"&amp;"Y")/$C15))</f>
        <v/>
      </c>
      <c r="U15" s="121" t="str">
        <f>IF(OR($C15="",U$3=""),"",IF(U$3="Snag",SUMIFS(Tree!$R:$R,Tree!$A:$A,Species_rpt!$B15,Tree!$F:$F,"D",Tree!$K:$K,"&lt;&gt;"&amp;"Y")/$C15,SUMIFS(Tree!$R:$R,Tree!$A:$A,Species_rpt!$B15,Tree!$D:$D,Species_rpt!U$3,Tree!$F:$F,"L",Tree!$K:$K,"&lt;&gt;"&amp;"Y")/$C15))</f>
        <v/>
      </c>
      <c r="V15" s="121" t="str">
        <f>IF(OR($C15="",V$3=""),"",IF(V$3="Snag",SUMIFS(Tree!$R:$R,Tree!$A:$A,Species_rpt!$B15,Tree!$F:$F,"D",Tree!$K:$K,"&lt;&gt;"&amp;"Y")/$C15,SUMIFS(Tree!$R:$R,Tree!$A:$A,Species_rpt!$B15,Tree!$D:$D,Species_rpt!V$3,Tree!$F:$F,"L",Tree!$K:$K,"&lt;&gt;"&amp;"Y")/$C15))</f>
        <v/>
      </c>
      <c r="W15" s="121" t="str">
        <f>IF(OR($C15="",W$3=""),"",IF(W$3="Snag",SUMIFS(Tree!$R:$R,Tree!$A:$A,Species_rpt!$B15,Tree!$F:$F,"D",Tree!$K:$K,"&lt;&gt;"&amp;"Y")/$C15,SUMIFS(Tree!$R:$R,Tree!$A:$A,Species_rpt!$B15,Tree!$D:$D,Species_rpt!W$3,Tree!$F:$F,"L",Tree!$K:$K,"&lt;&gt;"&amp;"Y")/$C15))</f>
        <v/>
      </c>
      <c r="X15" s="121" t="str">
        <f>IF(OR($C15="",X$3=""),"",IF(X$3="Snag",SUMIFS(Tree!$R:$R,Tree!$A:$A,Species_rpt!$B15,Tree!$F:$F,"D",Tree!$K:$K,"&lt;&gt;"&amp;"Y")/$C15,SUMIFS(Tree!$R:$R,Tree!$A:$A,Species_rpt!$B15,Tree!$D:$D,Species_rpt!X$3,Tree!$F:$F,"L",Tree!$K:$K,"&lt;&gt;"&amp;"Y")/$C15))</f>
        <v/>
      </c>
      <c r="Y15" s="121" t="str">
        <f>IF(OR($C15="",Y$3=""),"",IF(Y$3="Snag",SUMIFS(Tree!$R:$R,Tree!$A:$A,Species_rpt!$B15,Tree!$F:$F,"D",Tree!$K:$K,"&lt;&gt;"&amp;"Y")/$C15,SUMIFS(Tree!$R:$R,Tree!$A:$A,Species_rpt!$B15,Tree!$D:$D,Species_rpt!Y$3,Tree!$F:$F,"L",Tree!$K:$K,"&lt;&gt;"&amp;"Y")/$C15))</f>
        <v/>
      </c>
      <c r="Z15" s="121" t="str">
        <f>IF(OR($C15="",Z$3=""),"",IF(Z$3="Snag",SUMIFS(Tree!$R:$R,Tree!$A:$A,Species_rpt!$B15,Tree!$F:$F,"D",Tree!$K:$K,"&lt;&gt;"&amp;"Y")/$C15,SUMIFS(Tree!$R:$R,Tree!$A:$A,Species_rpt!$B15,Tree!$D:$D,Species_rpt!Z$3,Tree!$F:$F,"L",Tree!$K:$K,"&lt;&gt;"&amp;"Y")/$C15))</f>
        <v/>
      </c>
      <c r="AA15" s="154" t="str">
        <f t="shared" si="2"/>
        <v/>
      </c>
      <c r="AB15" s="245" t="str">
        <f>IF(OR($C15="",AB$3=""),"",IF(AB$3="Snag",SUMIFS(Tree!$R:$R,Tree!$A:$A,Species_rpt!$B15,Tree!$F:$F,"D",Tree!$K:$K,"&lt;&gt;"&amp;"Y")/$C15,SUMIFS(Tree!$R:$R,Tree!$A:$A,Species_rpt!$B15,Tree!$D:$D,Species_rpt!AB$3,Tree!$F:$F,"L",Tree!$K:$K,"&lt;&gt;"&amp;"Y")/$C15))</f>
        <v/>
      </c>
      <c r="AC15" s="206" t="str">
        <f>IF(B15="","",VLOOKUP(B15,Stand_Biomass!$B$37:$H$63,7,0))</f>
        <v/>
      </c>
    </row>
    <row r="16" spans="2:29" x14ac:dyDescent="0.25">
      <c r="B16" s="201" t="str">
        <f>IF(Stand!C15="","",Stand!C15)</f>
        <v/>
      </c>
      <c r="C16" s="154" t="str">
        <f>IF(B16="","",VLOOKUP(B16,Stand!C:H,6,0))</f>
        <v/>
      </c>
      <c r="D16" s="28"/>
      <c r="E16" s="189" t="str">
        <f>IF(OR($C16="",E$3=""),"",IF(E$3="Snag",SUMIFS(Tree!$O:$O,Tree!$A:$A,Species_rpt!$B16,Tree!$F:$F,"D",Tree!$K:$K,"&lt;&gt;"&amp;"Y")/$C16,SUMIFS(Tree!$O:$O,Tree!$A:$A,Species_rpt!$B16,Tree!$D:$D,Species_rpt!E$3,Tree!$F:$F,"L",Tree!$K:$K,"&lt;&gt;"&amp;"Y")/$C16))</f>
        <v/>
      </c>
      <c r="F16" s="121" t="str">
        <f>IF(OR($C16="",F$3=""),"",IF(F$3="Snag",SUMIFS(Tree!$O:$O,Tree!$A:$A,Species_rpt!$B16,Tree!$F:$F,"D",Tree!$K:$K,"&lt;&gt;"&amp;"Y")/$C16,SUMIFS(Tree!$O:$O,Tree!$A:$A,Species_rpt!$B16,Tree!$D:$D,Species_rpt!F$3,Tree!$F:$F,"L",Tree!$K:$K,"&lt;&gt;"&amp;"Y")/$C16))</f>
        <v/>
      </c>
      <c r="G16" s="121" t="str">
        <f>IF(OR($C16="",G$3=""),"",IF(G$3="Snag",SUMIFS(Tree!$O:$O,Tree!$A:$A,Species_rpt!$B16,Tree!$F:$F,"D",Tree!$K:$K,"&lt;&gt;"&amp;"Y")/$C16,SUMIFS(Tree!$O:$O,Tree!$A:$A,Species_rpt!$B16,Tree!$D:$D,Species_rpt!G$3,Tree!$F:$F,"L",Tree!$K:$K,"&lt;&gt;"&amp;"Y")/$C16))</f>
        <v/>
      </c>
      <c r="H16" s="121" t="str">
        <f>IF(OR($C16="",H$3=""),"",IF(H$3="Snag",SUMIFS(Tree!$O:$O,Tree!$A:$A,Species_rpt!$B16,Tree!$F:$F,"D",Tree!$K:$K,"&lt;&gt;"&amp;"Y")/$C16,SUMIFS(Tree!$O:$O,Tree!$A:$A,Species_rpt!$B16,Tree!$D:$D,Species_rpt!H$3,Tree!$F:$F,"L",Tree!$K:$K,"&lt;&gt;"&amp;"Y")/$C16))</f>
        <v/>
      </c>
      <c r="I16" s="121" t="str">
        <f>IF(OR($C16="",I$3=""),"",IF(I$3="Snag",SUMIFS(Tree!$O:$O,Tree!$A:$A,Species_rpt!$B16,Tree!$F:$F,"D",Tree!$K:$K,"&lt;&gt;"&amp;"Y")/$C16,SUMIFS(Tree!$O:$O,Tree!$A:$A,Species_rpt!$B16,Tree!$D:$D,Species_rpt!I$3,Tree!$F:$F,"L",Tree!$K:$K,"&lt;&gt;"&amp;"Y")/$C16))</f>
        <v/>
      </c>
      <c r="J16" s="121" t="str">
        <f>IF(OR($C16="",J$3=""),"",IF(J$3="Snag",SUMIFS(Tree!$O:$O,Tree!$A:$A,Species_rpt!$B16,Tree!$F:$F,"D",Tree!$K:$K,"&lt;&gt;"&amp;"Y")/$C16,SUMIFS(Tree!$O:$O,Tree!$A:$A,Species_rpt!$B16,Tree!$D:$D,Species_rpt!J$3,Tree!$F:$F,"L",Tree!$K:$K,"&lt;&gt;"&amp;"Y")/$C16))</f>
        <v/>
      </c>
      <c r="K16" s="121" t="str">
        <f>IF(OR($C16="",K$3=""),"",IF(K$3="Snag",SUMIFS(Tree!$O:$O,Tree!$A:$A,Species_rpt!$B16,Tree!$F:$F,"D",Tree!$K:$K,"&lt;&gt;"&amp;"Y")/$C16,SUMIFS(Tree!$O:$O,Tree!$A:$A,Species_rpt!$B16,Tree!$D:$D,Species_rpt!K$3,Tree!$F:$F,"L",Tree!$K:$K,"&lt;&gt;"&amp;"Y")/$C16))</f>
        <v/>
      </c>
      <c r="L16" s="121" t="str">
        <f>IF(OR($C16="",L$3=""),"",IF(L$3="Snag",SUMIFS(Tree!$O:$O,Tree!$A:$A,Species_rpt!$B16,Tree!$F:$F,"D",Tree!$K:$K,"&lt;&gt;"&amp;"Y")/$C16,SUMIFS(Tree!$O:$O,Tree!$A:$A,Species_rpt!$B16,Tree!$D:$D,Species_rpt!L$3,Tree!$F:$F,"L",Tree!$K:$K,"&lt;&gt;"&amp;"Y")/$C16))</f>
        <v/>
      </c>
      <c r="M16" s="121" t="str">
        <f>IF(OR($C16="",M$3=""),"",IF(M$3="Snag",SUMIFS(Tree!$O:$O,Tree!$A:$A,Species_rpt!$B16,Tree!$F:$F,"D",Tree!$K:$K,"&lt;&gt;"&amp;"Y")/$C16,SUMIFS(Tree!$O:$O,Tree!$A:$A,Species_rpt!$B16,Tree!$D:$D,Species_rpt!M$3,Tree!$F:$F,"L",Tree!$K:$K,"&lt;&gt;"&amp;"Y")/$C16))</f>
        <v/>
      </c>
      <c r="N16" s="154" t="str">
        <f t="shared" si="1"/>
        <v/>
      </c>
      <c r="O16" s="245" t="str">
        <f>IF(OR($C16="",O$3=""),"",IF(O$3="Snag",SUMIFS(Tree!$O:$O,Tree!$A:$A,Species_rpt!$B16,Tree!$F:$F,"D",Tree!$K:$K,"&lt;&gt;"&amp;"Y")/$C16,SUMIFS(Tree!$O:$O,Tree!$A:$A,Species_rpt!$B16,Tree!$D:$D,Species_rpt!O$3,Tree!$F:$F,"L",Tree!$K:$K,"&lt;&gt;"&amp;"Y")/$C16))</f>
        <v/>
      </c>
      <c r="P16" s="206" t="str">
        <f>VLOOKUP($B16,Stand_Biomass!$B$37:$E$63,4,0)</f>
        <v/>
      </c>
      <c r="Q16" s="83"/>
      <c r="R16" s="189" t="str">
        <f>IF(OR($C16="",R$3=""),"",IF(R$3="Snag",SUMIFS(Tree!$R:$R,Tree!$A:$A,Species_rpt!$B16,Tree!$F:$F,"D",Tree!$K:$K,"&lt;&gt;"&amp;"Y")/$C16,SUMIFS(Tree!$R:$R,Tree!$A:$A,Species_rpt!$B16,Tree!$D:$D,Species_rpt!R$3,Tree!$F:$F,"L",Tree!$K:$K,"&lt;&gt;"&amp;"Y")/$C16))</f>
        <v/>
      </c>
      <c r="S16" s="121" t="str">
        <f>IF(OR($C16="",S$3=""),"",IF(S$3="Snag",SUMIFS(Tree!$R:$R,Tree!$A:$A,Species_rpt!$B16,Tree!$F:$F,"D",Tree!$K:$K,"&lt;&gt;"&amp;"Y")/$C16,SUMIFS(Tree!$R:$R,Tree!$A:$A,Species_rpt!$B16,Tree!$D:$D,Species_rpt!S$3,Tree!$F:$F,"L",Tree!$K:$K,"&lt;&gt;"&amp;"Y")/$C16))</f>
        <v/>
      </c>
      <c r="T16" s="121" t="str">
        <f>IF(OR($C16="",T$3=""),"",IF(T$3="Snag",SUMIFS(Tree!$R:$R,Tree!$A:$A,Species_rpt!$B16,Tree!$F:$F,"D",Tree!$K:$K,"&lt;&gt;"&amp;"Y")/$C16,SUMIFS(Tree!$R:$R,Tree!$A:$A,Species_rpt!$B16,Tree!$D:$D,Species_rpt!T$3,Tree!$F:$F,"L",Tree!$K:$K,"&lt;&gt;"&amp;"Y")/$C16))</f>
        <v/>
      </c>
      <c r="U16" s="121" t="str">
        <f>IF(OR($C16="",U$3=""),"",IF(U$3="Snag",SUMIFS(Tree!$R:$R,Tree!$A:$A,Species_rpt!$B16,Tree!$F:$F,"D",Tree!$K:$K,"&lt;&gt;"&amp;"Y")/$C16,SUMIFS(Tree!$R:$R,Tree!$A:$A,Species_rpt!$B16,Tree!$D:$D,Species_rpt!U$3,Tree!$F:$F,"L",Tree!$K:$K,"&lt;&gt;"&amp;"Y")/$C16))</f>
        <v/>
      </c>
      <c r="V16" s="121" t="str">
        <f>IF(OR($C16="",V$3=""),"",IF(V$3="Snag",SUMIFS(Tree!$R:$R,Tree!$A:$A,Species_rpt!$B16,Tree!$F:$F,"D",Tree!$K:$K,"&lt;&gt;"&amp;"Y")/$C16,SUMIFS(Tree!$R:$R,Tree!$A:$A,Species_rpt!$B16,Tree!$D:$D,Species_rpt!V$3,Tree!$F:$F,"L",Tree!$K:$K,"&lt;&gt;"&amp;"Y")/$C16))</f>
        <v/>
      </c>
      <c r="W16" s="121" t="str">
        <f>IF(OR($C16="",W$3=""),"",IF(W$3="Snag",SUMIFS(Tree!$R:$R,Tree!$A:$A,Species_rpt!$B16,Tree!$F:$F,"D",Tree!$K:$K,"&lt;&gt;"&amp;"Y")/$C16,SUMIFS(Tree!$R:$R,Tree!$A:$A,Species_rpt!$B16,Tree!$D:$D,Species_rpt!W$3,Tree!$F:$F,"L",Tree!$K:$K,"&lt;&gt;"&amp;"Y")/$C16))</f>
        <v/>
      </c>
      <c r="X16" s="121" t="str">
        <f>IF(OR($C16="",X$3=""),"",IF(X$3="Snag",SUMIFS(Tree!$R:$R,Tree!$A:$A,Species_rpt!$B16,Tree!$F:$F,"D",Tree!$K:$K,"&lt;&gt;"&amp;"Y")/$C16,SUMIFS(Tree!$R:$R,Tree!$A:$A,Species_rpt!$B16,Tree!$D:$D,Species_rpt!X$3,Tree!$F:$F,"L",Tree!$K:$K,"&lt;&gt;"&amp;"Y")/$C16))</f>
        <v/>
      </c>
      <c r="Y16" s="121" t="str">
        <f>IF(OR($C16="",Y$3=""),"",IF(Y$3="Snag",SUMIFS(Tree!$R:$R,Tree!$A:$A,Species_rpt!$B16,Tree!$F:$F,"D",Tree!$K:$K,"&lt;&gt;"&amp;"Y")/$C16,SUMIFS(Tree!$R:$R,Tree!$A:$A,Species_rpt!$B16,Tree!$D:$D,Species_rpt!Y$3,Tree!$F:$F,"L",Tree!$K:$K,"&lt;&gt;"&amp;"Y")/$C16))</f>
        <v/>
      </c>
      <c r="Z16" s="121" t="str">
        <f>IF(OR($C16="",Z$3=""),"",IF(Z$3="Snag",SUMIFS(Tree!$R:$R,Tree!$A:$A,Species_rpt!$B16,Tree!$F:$F,"D",Tree!$K:$K,"&lt;&gt;"&amp;"Y")/$C16,SUMIFS(Tree!$R:$R,Tree!$A:$A,Species_rpt!$B16,Tree!$D:$D,Species_rpt!Z$3,Tree!$F:$F,"L",Tree!$K:$K,"&lt;&gt;"&amp;"Y")/$C16))</f>
        <v/>
      </c>
      <c r="AA16" s="154" t="str">
        <f t="shared" si="2"/>
        <v/>
      </c>
      <c r="AB16" s="245" t="str">
        <f>IF(OR($C16="",AB$3=""),"",IF(AB$3="Snag",SUMIFS(Tree!$R:$R,Tree!$A:$A,Species_rpt!$B16,Tree!$F:$F,"D",Tree!$K:$K,"&lt;&gt;"&amp;"Y")/$C16,SUMIFS(Tree!$R:$R,Tree!$A:$A,Species_rpt!$B16,Tree!$D:$D,Species_rpt!AB$3,Tree!$F:$F,"L",Tree!$K:$K,"&lt;&gt;"&amp;"Y")/$C16))</f>
        <v/>
      </c>
      <c r="AC16" s="206" t="str">
        <f>IF(B16="","",VLOOKUP(B16,Stand_Biomass!$B$37:$H$63,7,0))</f>
        <v/>
      </c>
    </row>
    <row r="17" spans="2:29" x14ac:dyDescent="0.25">
      <c r="B17" s="201" t="str">
        <f>IF(Stand!C16="","",Stand!C16)</f>
        <v/>
      </c>
      <c r="C17" s="154" t="str">
        <f>IF(B17="","",VLOOKUP(B17,Stand!C:H,6,0))</f>
        <v/>
      </c>
      <c r="D17" s="28"/>
      <c r="E17" s="189" t="str">
        <f>IF(OR($C17="",E$3=""),"",IF(E$3="Snag",SUMIFS(Tree!$O:$O,Tree!$A:$A,Species_rpt!$B17,Tree!$F:$F,"D",Tree!$K:$K,"&lt;&gt;"&amp;"Y")/$C17,SUMIFS(Tree!$O:$O,Tree!$A:$A,Species_rpt!$B17,Tree!$D:$D,Species_rpt!E$3,Tree!$F:$F,"L",Tree!$K:$K,"&lt;&gt;"&amp;"Y")/$C17))</f>
        <v/>
      </c>
      <c r="F17" s="121" t="str">
        <f>IF(OR($C17="",F$3=""),"",IF(F$3="Snag",SUMIFS(Tree!$O:$O,Tree!$A:$A,Species_rpt!$B17,Tree!$F:$F,"D",Tree!$K:$K,"&lt;&gt;"&amp;"Y")/$C17,SUMIFS(Tree!$O:$O,Tree!$A:$A,Species_rpt!$B17,Tree!$D:$D,Species_rpt!F$3,Tree!$F:$F,"L",Tree!$K:$K,"&lt;&gt;"&amp;"Y")/$C17))</f>
        <v/>
      </c>
      <c r="G17" s="121" t="str">
        <f>IF(OR($C17="",G$3=""),"",IF(G$3="Snag",SUMIFS(Tree!$O:$O,Tree!$A:$A,Species_rpt!$B17,Tree!$F:$F,"D",Tree!$K:$K,"&lt;&gt;"&amp;"Y")/$C17,SUMIFS(Tree!$O:$O,Tree!$A:$A,Species_rpt!$B17,Tree!$D:$D,Species_rpt!G$3,Tree!$F:$F,"L",Tree!$K:$K,"&lt;&gt;"&amp;"Y")/$C17))</f>
        <v/>
      </c>
      <c r="H17" s="121" t="str">
        <f>IF(OR($C17="",H$3=""),"",IF(H$3="Snag",SUMIFS(Tree!$O:$O,Tree!$A:$A,Species_rpt!$B17,Tree!$F:$F,"D",Tree!$K:$K,"&lt;&gt;"&amp;"Y")/$C17,SUMIFS(Tree!$O:$O,Tree!$A:$A,Species_rpt!$B17,Tree!$D:$D,Species_rpt!H$3,Tree!$F:$F,"L",Tree!$K:$K,"&lt;&gt;"&amp;"Y")/$C17))</f>
        <v/>
      </c>
      <c r="I17" s="121" t="str">
        <f>IF(OR($C17="",I$3=""),"",IF(I$3="Snag",SUMIFS(Tree!$O:$O,Tree!$A:$A,Species_rpt!$B17,Tree!$F:$F,"D",Tree!$K:$K,"&lt;&gt;"&amp;"Y")/$C17,SUMIFS(Tree!$O:$O,Tree!$A:$A,Species_rpt!$B17,Tree!$D:$D,Species_rpt!I$3,Tree!$F:$F,"L",Tree!$K:$K,"&lt;&gt;"&amp;"Y")/$C17))</f>
        <v/>
      </c>
      <c r="J17" s="121" t="str">
        <f>IF(OR($C17="",J$3=""),"",IF(J$3="Snag",SUMIFS(Tree!$O:$O,Tree!$A:$A,Species_rpt!$B17,Tree!$F:$F,"D",Tree!$K:$K,"&lt;&gt;"&amp;"Y")/$C17,SUMIFS(Tree!$O:$O,Tree!$A:$A,Species_rpt!$B17,Tree!$D:$D,Species_rpt!J$3,Tree!$F:$F,"L",Tree!$K:$K,"&lt;&gt;"&amp;"Y")/$C17))</f>
        <v/>
      </c>
      <c r="K17" s="121" t="str">
        <f>IF(OR($C17="",K$3=""),"",IF(K$3="Snag",SUMIFS(Tree!$O:$O,Tree!$A:$A,Species_rpt!$B17,Tree!$F:$F,"D",Tree!$K:$K,"&lt;&gt;"&amp;"Y")/$C17,SUMIFS(Tree!$O:$O,Tree!$A:$A,Species_rpt!$B17,Tree!$D:$D,Species_rpt!K$3,Tree!$F:$F,"L",Tree!$K:$K,"&lt;&gt;"&amp;"Y")/$C17))</f>
        <v/>
      </c>
      <c r="L17" s="121" t="str">
        <f>IF(OR($C17="",L$3=""),"",IF(L$3="Snag",SUMIFS(Tree!$O:$O,Tree!$A:$A,Species_rpt!$B17,Tree!$F:$F,"D",Tree!$K:$K,"&lt;&gt;"&amp;"Y")/$C17,SUMIFS(Tree!$O:$O,Tree!$A:$A,Species_rpt!$B17,Tree!$D:$D,Species_rpt!L$3,Tree!$F:$F,"L",Tree!$K:$K,"&lt;&gt;"&amp;"Y")/$C17))</f>
        <v/>
      </c>
      <c r="M17" s="121" t="str">
        <f>IF(OR($C17="",M$3=""),"",IF(M$3="Snag",SUMIFS(Tree!$O:$O,Tree!$A:$A,Species_rpt!$B17,Tree!$F:$F,"D",Tree!$K:$K,"&lt;&gt;"&amp;"Y")/$C17,SUMIFS(Tree!$O:$O,Tree!$A:$A,Species_rpt!$B17,Tree!$D:$D,Species_rpt!M$3,Tree!$F:$F,"L",Tree!$K:$K,"&lt;&gt;"&amp;"Y")/$C17))</f>
        <v/>
      </c>
      <c r="N17" s="154" t="str">
        <f t="shared" si="1"/>
        <v/>
      </c>
      <c r="O17" s="245" t="str">
        <f>IF(OR($C17="",O$3=""),"",IF(O$3="Snag",SUMIFS(Tree!$O:$O,Tree!$A:$A,Species_rpt!$B17,Tree!$F:$F,"D",Tree!$K:$K,"&lt;&gt;"&amp;"Y")/$C17,SUMIFS(Tree!$O:$O,Tree!$A:$A,Species_rpt!$B17,Tree!$D:$D,Species_rpt!O$3,Tree!$F:$F,"L",Tree!$K:$K,"&lt;&gt;"&amp;"Y")/$C17))</f>
        <v/>
      </c>
      <c r="P17" s="206" t="str">
        <f>VLOOKUP($B17,Stand_Biomass!$B$37:$E$63,4,0)</f>
        <v/>
      </c>
      <c r="Q17" s="83"/>
      <c r="R17" s="189" t="str">
        <f>IF(OR($C17="",R$3=""),"",IF(R$3="Snag",SUMIFS(Tree!$R:$R,Tree!$A:$A,Species_rpt!$B17,Tree!$F:$F,"D",Tree!$K:$K,"&lt;&gt;"&amp;"Y")/$C17,SUMIFS(Tree!$R:$R,Tree!$A:$A,Species_rpt!$B17,Tree!$D:$D,Species_rpt!R$3,Tree!$F:$F,"L",Tree!$K:$K,"&lt;&gt;"&amp;"Y")/$C17))</f>
        <v/>
      </c>
      <c r="S17" s="121" t="str">
        <f>IF(OR($C17="",S$3=""),"",IF(S$3="Snag",SUMIFS(Tree!$R:$R,Tree!$A:$A,Species_rpt!$B17,Tree!$F:$F,"D",Tree!$K:$K,"&lt;&gt;"&amp;"Y")/$C17,SUMIFS(Tree!$R:$R,Tree!$A:$A,Species_rpt!$B17,Tree!$D:$D,Species_rpt!S$3,Tree!$F:$F,"L",Tree!$K:$K,"&lt;&gt;"&amp;"Y")/$C17))</f>
        <v/>
      </c>
      <c r="T17" s="121" t="str">
        <f>IF(OR($C17="",T$3=""),"",IF(T$3="Snag",SUMIFS(Tree!$R:$R,Tree!$A:$A,Species_rpt!$B17,Tree!$F:$F,"D",Tree!$K:$K,"&lt;&gt;"&amp;"Y")/$C17,SUMIFS(Tree!$R:$R,Tree!$A:$A,Species_rpt!$B17,Tree!$D:$D,Species_rpt!T$3,Tree!$F:$F,"L",Tree!$K:$K,"&lt;&gt;"&amp;"Y")/$C17))</f>
        <v/>
      </c>
      <c r="U17" s="121" t="str">
        <f>IF(OR($C17="",U$3=""),"",IF(U$3="Snag",SUMIFS(Tree!$R:$R,Tree!$A:$A,Species_rpt!$B17,Tree!$F:$F,"D",Tree!$K:$K,"&lt;&gt;"&amp;"Y")/$C17,SUMIFS(Tree!$R:$R,Tree!$A:$A,Species_rpt!$B17,Tree!$D:$D,Species_rpt!U$3,Tree!$F:$F,"L",Tree!$K:$K,"&lt;&gt;"&amp;"Y")/$C17))</f>
        <v/>
      </c>
      <c r="V17" s="121" t="str">
        <f>IF(OR($C17="",V$3=""),"",IF(V$3="Snag",SUMIFS(Tree!$R:$R,Tree!$A:$A,Species_rpt!$B17,Tree!$F:$F,"D",Tree!$K:$K,"&lt;&gt;"&amp;"Y")/$C17,SUMIFS(Tree!$R:$R,Tree!$A:$A,Species_rpt!$B17,Tree!$D:$D,Species_rpt!V$3,Tree!$F:$F,"L",Tree!$K:$K,"&lt;&gt;"&amp;"Y")/$C17))</f>
        <v/>
      </c>
      <c r="W17" s="121" t="str">
        <f>IF(OR($C17="",W$3=""),"",IF(W$3="Snag",SUMIFS(Tree!$R:$R,Tree!$A:$A,Species_rpt!$B17,Tree!$F:$F,"D",Tree!$K:$K,"&lt;&gt;"&amp;"Y")/$C17,SUMIFS(Tree!$R:$R,Tree!$A:$A,Species_rpt!$B17,Tree!$D:$D,Species_rpt!W$3,Tree!$F:$F,"L",Tree!$K:$K,"&lt;&gt;"&amp;"Y")/$C17))</f>
        <v/>
      </c>
      <c r="X17" s="121" t="str">
        <f>IF(OR($C17="",X$3=""),"",IF(X$3="Snag",SUMIFS(Tree!$R:$R,Tree!$A:$A,Species_rpt!$B17,Tree!$F:$F,"D",Tree!$K:$K,"&lt;&gt;"&amp;"Y")/$C17,SUMIFS(Tree!$R:$R,Tree!$A:$A,Species_rpt!$B17,Tree!$D:$D,Species_rpt!X$3,Tree!$F:$F,"L",Tree!$K:$K,"&lt;&gt;"&amp;"Y")/$C17))</f>
        <v/>
      </c>
      <c r="Y17" s="121" t="str">
        <f>IF(OR($C17="",Y$3=""),"",IF(Y$3="Snag",SUMIFS(Tree!$R:$R,Tree!$A:$A,Species_rpt!$B17,Tree!$F:$F,"D",Tree!$K:$K,"&lt;&gt;"&amp;"Y")/$C17,SUMIFS(Tree!$R:$R,Tree!$A:$A,Species_rpt!$B17,Tree!$D:$D,Species_rpt!Y$3,Tree!$F:$F,"L",Tree!$K:$K,"&lt;&gt;"&amp;"Y")/$C17))</f>
        <v/>
      </c>
      <c r="Z17" s="121" t="str">
        <f>IF(OR($C17="",Z$3=""),"",IF(Z$3="Snag",SUMIFS(Tree!$R:$R,Tree!$A:$A,Species_rpt!$B17,Tree!$F:$F,"D",Tree!$K:$K,"&lt;&gt;"&amp;"Y")/$C17,SUMIFS(Tree!$R:$R,Tree!$A:$A,Species_rpt!$B17,Tree!$D:$D,Species_rpt!Z$3,Tree!$F:$F,"L",Tree!$K:$K,"&lt;&gt;"&amp;"Y")/$C17))</f>
        <v/>
      </c>
      <c r="AA17" s="154" t="str">
        <f t="shared" si="2"/>
        <v/>
      </c>
      <c r="AB17" s="245" t="str">
        <f>IF(OR($C17="",AB$3=""),"",IF(AB$3="Snag",SUMIFS(Tree!$R:$R,Tree!$A:$A,Species_rpt!$B17,Tree!$F:$F,"D",Tree!$K:$K,"&lt;&gt;"&amp;"Y")/$C17,SUMIFS(Tree!$R:$R,Tree!$A:$A,Species_rpt!$B17,Tree!$D:$D,Species_rpt!AB$3,Tree!$F:$F,"L",Tree!$K:$K,"&lt;&gt;"&amp;"Y")/$C17))</f>
        <v/>
      </c>
      <c r="AC17" s="206" t="str">
        <f>IF(B17="","",VLOOKUP(B17,Stand_Biomass!$B$37:$H$63,7,0))</f>
        <v/>
      </c>
    </row>
    <row r="18" spans="2:29" x14ac:dyDescent="0.25">
      <c r="B18" s="201" t="str">
        <f>IF(Stand!C17="","",Stand!C17)</f>
        <v/>
      </c>
      <c r="C18" s="154" t="str">
        <f>IF(B18="","",VLOOKUP(B18,Stand!C:H,6,0))</f>
        <v/>
      </c>
      <c r="D18" s="28"/>
      <c r="E18" s="189" t="str">
        <f>IF(OR($C18="",E$3=""),"",IF(E$3="Snag",SUMIFS(Tree!$O:$O,Tree!$A:$A,Species_rpt!$B18,Tree!$F:$F,"D",Tree!$K:$K,"&lt;&gt;"&amp;"Y")/$C18,SUMIFS(Tree!$O:$O,Tree!$A:$A,Species_rpt!$B18,Tree!$D:$D,Species_rpt!E$3,Tree!$F:$F,"L",Tree!$K:$K,"&lt;&gt;"&amp;"Y")/$C18))</f>
        <v/>
      </c>
      <c r="F18" s="121" t="str">
        <f>IF(OR($C18="",F$3=""),"",IF(F$3="Snag",SUMIFS(Tree!$O:$O,Tree!$A:$A,Species_rpt!$B18,Tree!$F:$F,"D",Tree!$K:$K,"&lt;&gt;"&amp;"Y")/$C18,SUMIFS(Tree!$O:$O,Tree!$A:$A,Species_rpt!$B18,Tree!$D:$D,Species_rpt!F$3,Tree!$F:$F,"L",Tree!$K:$K,"&lt;&gt;"&amp;"Y")/$C18))</f>
        <v/>
      </c>
      <c r="G18" s="121" t="str">
        <f>IF(OR($C18="",G$3=""),"",IF(G$3="Snag",SUMIFS(Tree!$O:$O,Tree!$A:$A,Species_rpt!$B18,Tree!$F:$F,"D",Tree!$K:$K,"&lt;&gt;"&amp;"Y")/$C18,SUMIFS(Tree!$O:$O,Tree!$A:$A,Species_rpt!$B18,Tree!$D:$D,Species_rpt!G$3,Tree!$F:$F,"L",Tree!$K:$K,"&lt;&gt;"&amp;"Y")/$C18))</f>
        <v/>
      </c>
      <c r="H18" s="121" t="str">
        <f>IF(OR($C18="",H$3=""),"",IF(H$3="Snag",SUMIFS(Tree!$O:$O,Tree!$A:$A,Species_rpt!$B18,Tree!$F:$F,"D",Tree!$K:$K,"&lt;&gt;"&amp;"Y")/$C18,SUMIFS(Tree!$O:$O,Tree!$A:$A,Species_rpt!$B18,Tree!$D:$D,Species_rpt!H$3,Tree!$F:$F,"L",Tree!$K:$K,"&lt;&gt;"&amp;"Y")/$C18))</f>
        <v/>
      </c>
      <c r="I18" s="121" t="str">
        <f>IF(OR($C18="",I$3=""),"",IF(I$3="Snag",SUMIFS(Tree!$O:$O,Tree!$A:$A,Species_rpt!$B18,Tree!$F:$F,"D",Tree!$K:$K,"&lt;&gt;"&amp;"Y")/$C18,SUMIFS(Tree!$O:$O,Tree!$A:$A,Species_rpt!$B18,Tree!$D:$D,Species_rpt!I$3,Tree!$F:$F,"L",Tree!$K:$K,"&lt;&gt;"&amp;"Y")/$C18))</f>
        <v/>
      </c>
      <c r="J18" s="121" t="str">
        <f>IF(OR($C18="",J$3=""),"",IF(J$3="Snag",SUMIFS(Tree!$O:$O,Tree!$A:$A,Species_rpt!$B18,Tree!$F:$F,"D",Tree!$K:$K,"&lt;&gt;"&amp;"Y")/$C18,SUMIFS(Tree!$O:$O,Tree!$A:$A,Species_rpt!$B18,Tree!$D:$D,Species_rpt!J$3,Tree!$F:$F,"L",Tree!$K:$K,"&lt;&gt;"&amp;"Y")/$C18))</f>
        <v/>
      </c>
      <c r="K18" s="121" t="str">
        <f>IF(OR($C18="",K$3=""),"",IF(K$3="Snag",SUMIFS(Tree!$O:$O,Tree!$A:$A,Species_rpt!$B18,Tree!$F:$F,"D",Tree!$K:$K,"&lt;&gt;"&amp;"Y")/$C18,SUMIFS(Tree!$O:$O,Tree!$A:$A,Species_rpt!$B18,Tree!$D:$D,Species_rpt!K$3,Tree!$F:$F,"L",Tree!$K:$K,"&lt;&gt;"&amp;"Y")/$C18))</f>
        <v/>
      </c>
      <c r="L18" s="121" t="str">
        <f>IF(OR($C18="",L$3=""),"",IF(L$3="Snag",SUMIFS(Tree!$O:$O,Tree!$A:$A,Species_rpt!$B18,Tree!$F:$F,"D",Tree!$K:$K,"&lt;&gt;"&amp;"Y")/$C18,SUMIFS(Tree!$O:$O,Tree!$A:$A,Species_rpt!$B18,Tree!$D:$D,Species_rpt!L$3,Tree!$F:$F,"L",Tree!$K:$K,"&lt;&gt;"&amp;"Y")/$C18))</f>
        <v/>
      </c>
      <c r="M18" s="121" t="str">
        <f>IF(OR($C18="",M$3=""),"",IF(M$3="Snag",SUMIFS(Tree!$O:$O,Tree!$A:$A,Species_rpt!$B18,Tree!$F:$F,"D",Tree!$K:$K,"&lt;&gt;"&amp;"Y")/$C18,SUMIFS(Tree!$O:$O,Tree!$A:$A,Species_rpt!$B18,Tree!$D:$D,Species_rpt!M$3,Tree!$F:$F,"L",Tree!$K:$K,"&lt;&gt;"&amp;"Y")/$C18))</f>
        <v/>
      </c>
      <c r="N18" s="154" t="str">
        <f t="shared" si="1"/>
        <v/>
      </c>
      <c r="O18" s="245" t="str">
        <f>IF(OR($C18="",O$3=""),"",IF(O$3="Snag",SUMIFS(Tree!$O:$O,Tree!$A:$A,Species_rpt!$B18,Tree!$F:$F,"D",Tree!$K:$K,"&lt;&gt;"&amp;"Y")/$C18,SUMIFS(Tree!$O:$O,Tree!$A:$A,Species_rpt!$B18,Tree!$D:$D,Species_rpt!O$3,Tree!$F:$F,"L",Tree!$K:$K,"&lt;&gt;"&amp;"Y")/$C18))</f>
        <v/>
      </c>
      <c r="P18" s="206" t="str">
        <f>VLOOKUP($B18,Stand_Biomass!$B$37:$E$63,4,0)</f>
        <v/>
      </c>
      <c r="Q18" s="83"/>
      <c r="R18" s="189" t="str">
        <f>IF(OR($C18="",R$3=""),"",IF(R$3="Snag",SUMIFS(Tree!$R:$R,Tree!$A:$A,Species_rpt!$B18,Tree!$F:$F,"D",Tree!$K:$K,"&lt;&gt;"&amp;"Y")/$C18,SUMIFS(Tree!$R:$R,Tree!$A:$A,Species_rpt!$B18,Tree!$D:$D,Species_rpt!R$3,Tree!$F:$F,"L",Tree!$K:$K,"&lt;&gt;"&amp;"Y")/$C18))</f>
        <v/>
      </c>
      <c r="S18" s="121" t="str">
        <f>IF(OR($C18="",S$3=""),"",IF(S$3="Snag",SUMIFS(Tree!$R:$R,Tree!$A:$A,Species_rpt!$B18,Tree!$F:$F,"D",Tree!$K:$K,"&lt;&gt;"&amp;"Y")/$C18,SUMIFS(Tree!$R:$R,Tree!$A:$A,Species_rpt!$B18,Tree!$D:$D,Species_rpt!S$3,Tree!$F:$F,"L",Tree!$K:$K,"&lt;&gt;"&amp;"Y")/$C18))</f>
        <v/>
      </c>
      <c r="T18" s="121" t="str">
        <f>IF(OR($C18="",T$3=""),"",IF(T$3="Snag",SUMIFS(Tree!$R:$R,Tree!$A:$A,Species_rpt!$B18,Tree!$F:$F,"D",Tree!$K:$K,"&lt;&gt;"&amp;"Y")/$C18,SUMIFS(Tree!$R:$R,Tree!$A:$A,Species_rpt!$B18,Tree!$D:$D,Species_rpt!T$3,Tree!$F:$F,"L",Tree!$K:$K,"&lt;&gt;"&amp;"Y")/$C18))</f>
        <v/>
      </c>
      <c r="U18" s="121" t="str">
        <f>IF(OR($C18="",U$3=""),"",IF(U$3="Snag",SUMIFS(Tree!$R:$R,Tree!$A:$A,Species_rpt!$B18,Tree!$F:$F,"D",Tree!$K:$K,"&lt;&gt;"&amp;"Y")/$C18,SUMIFS(Tree!$R:$R,Tree!$A:$A,Species_rpt!$B18,Tree!$D:$D,Species_rpt!U$3,Tree!$F:$F,"L",Tree!$K:$K,"&lt;&gt;"&amp;"Y")/$C18))</f>
        <v/>
      </c>
      <c r="V18" s="121" t="str">
        <f>IF(OR($C18="",V$3=""),"",IF(V$3="Snag",SUMIFS(Tree!$R:$R,Tree!$A:$A,Species_rpt!$B18,Tree!$F:$F,"D",Tree!$K:$K,"&lt;&gt;"&amp;"Y")/$C18,SUMIFS(Tree!$R:$R,Tree!$A:$A,Species_rpt!$B18,Tree!$D:$D,Species_rpt!V$3,Tree!$F:$F,"L",Tree!$K:$K,"&lt;&gt;"&amp;"Y")/$C18))</f>
        <v/>
      </c>
      <c r="W18" s="121" t="str">
        <f>IF(OR($C18="",W$3=""),"",IF(W$3="Snag",SUMIFS(Tree!$R:$R,Tree!$A:$A,Species_rpt!$B18,Tree!$F:$F,"D",Tree!$K:$K,"&lt;&gt;"&amp;"Y")/$C18,SUMIFS(Tree!$R:$R,Tree!$A:$A,Species_rpt!$B18,Tree!$D:$D,Species_rpt!W$3,Tree!$F:$F,"L",Tree!$K:$K,"&lt;&gt;"&amp;"Y")/$C18))</f>
        <v/>
      </c>
      <c r="X18" s="121" t="str">
        <f>IF(OR($C18="",X$3=""),"",IF(X$3="Snag",SUMIFS(Tree!$R:$R,Tree!$A:$A,Species_rpt!$B18,Tree!$F:$F,"D",Tree!$K:$K,"&lt;&gt;"&amp;"Y")/$C18,SUMIFS(Tree!$R:$R,Tree!$A:$A,Species_rpt!$B18,Tree!$D:$D,Species_rpt!X$3,Tree!$F:$F,"L",Tree!$K:$K,"&lt;&gt;"&amp;"Y")/$C18))</f>
        <v/>
      </c>
      <c r="Y18" s="121" t="str">
        <f>IF(OR($C18="",Y$3=""),"",IF(Y$3="Snag",SUMIFS(Tree!$R:$R,Tree!$A:$A,Species_rpt!$B18,Tree!$F:$F,"D",Tree!$K:$K,"&lt;&gt;"&amp;"Y")/$C18,SUMIFS(Tree!$R:$R,Tree!$A:$A,Species_rpt!$B18,Tree!$D:$D,Species_rpt!Y$3,Tree!$F:$F,"L",Tree!$K:$K,"&lt;&gt;"&amp;"Y")/$C18))</f>
        <v/>
      </c>
      <c r="Z18" s="121" t="str">
        <f>IF(OR($C18="",Z$3=""),"",IF(Z$3="Snag",SUMIFS(Tree!$R:$R,Tree!$A:$A,Species_rpt!$B18,Tree!$F:$F,"D",Tree!$K:$K,"&lt;&gt;"&amp;"Y")/$C18,SUMIFS(Tree!$R:$R,Tree!$A:$A,Species_rpt!$B18,Tree!$D:$D,Species_rpt!Z$3,Tree!$F:$F,"L",Tree!$K:$K,"&lt;&gt;"&amp;"Y")/$C18))</f>
        <v/>
      </c>
      <c r="AA18" s="154" t="str">
        <f t="shared" si="2"/>
        <v/>
      </c>
      <c r="AB18" s="245" t="str">
        <f>IF(OR($C18="",AB$3=""),"",IF(AB$3="Snag",SUMIFS(Tree!$R:$R,Tree!$A:$A,Species_rpt!$B18,Tree!$F:$F,"D",Tree!$K:$K,"&lt;&gt;"&amp;"Y")/$C18,SUMIFS(Tree!$R:$R,Tree!$A:$A,Species_rpt!$B18,Tree!$D:$D,Species_rpt!AB$3,Tree!$F:$F,"L",Tree!$K:$K,"&lt;&gt;"&amp;"Y")/$C18))</f>
        <v/>
      </c>
      <c r="AC18" s="206" t="str">
        <f>IF(B18="","",VLOOKUP(B18,Stand_Biomass!$B$37:$H$63,7,0))</f>
        <v/>
      </c>
    </row>
    <row r="19" spans="2:29" x14ac:dyDescent="0.25">
      <c r="B19" s="201" t="str">
        <f>IF(Stand!C18="","",Stand!C18)</f>
        <v/>
      </c>
      <c r="C19" s="154" t="str">
        <f>IF(B19="","",VLOOKUP(B19,Stand!C:H,6,0))</f>
        <v/>
      </c>
      <c r="D19" s="28"/>
      <c r="E19" s="189" t="str">
        <f>IF(OR($C19="",E$3=""),"",IF(E$3="Snag",SUMIFS(Tree!$O:$O,Tree!$A:$A,Species_rpt!$B19,Tree!$F:$F,"D",Tree!$K:$K,"&lt;&gt;"&amp;"Y")/$C19,SUMIFS(Tree!$O:$O,Tree!$A:$A,Species_rpt!$B19,Tree!$D:$D,Species_rpt!E$3,Tree!$F:$F,"L",Tree!$K:$K,"&lt;&gt;"&amp;"Y")/$C19))</f>
        <v/>
      </c>
      <c r="F19" s="121" t="str">
        <f>IF(OR($C19="",F$3=""),"",IF(F$3="Snag",SUMIFS(Tree!$O:$O,Tree!$A:$A,Species_rpt!$B19,Tree!$F:$F,"D",Tree!$K:$K,"&lt;&gt;"&amp;"Y")/$C19,SUMIFS(Tree!$O:$O,Tree!$A:$A,Species_rpt!$B19,Tree!$D:$D,Species_rpt!F$3,Tree!$F:$F,"L",Tree!$K:$K,"&lt;&gt;"&amp;"Y")/$C19))</f>
        <v/>
      </c>
      <c r="G19" s="121" t="str">
        <f>IF(OR($C19="",G$3=""),"",IF(G$3="Snag",SUMIFS(Tree!$O:$O,Tree!$A:$A,Species_rpt!$B19,Tree!$F:$F,"D",Tree!$K:$K,"&lt;&gt;"&amp;"Y")/$C19,SUMIFS(Tree!$O:$O,Tree!$A:$A,Species_rpt!$B19,Tree!$D:$D,Species_rpt!G$3,Tree!$F:$F,"L",Tree!$K:$K,"&lt;&gt;"&amp;"Y")/$C19))</f>
        <v/>
      </c>
      <c r="H19" s="121" t="str">
        <f>IF(OR($C19="",H$3=""),"",IF(H$3="Snag",SUMIFS(Tree!$O:$O,Tree!$A:$A,Species_rpt!$B19,Tree!$F:$F,"D",Tree!$K:$K,"&lt;&gt;"&amp;"Y")/$C19,SUMIFS(Tree!$O:$O,Tree!$A:$A,Species_rpt!$B19,Tree!$D:$D,Species_rpt!H$3,Tree!$F:$F,"L",Tree!$K:$K,"&lt;&gt;"&amp;"Y")/$C19))</f>
        <v/>
      </c>
      <c r="I19" s="121" t="str">
        <f>IF(OR($C19="",I$3=""),"",IF(I$3="Snag",SUMIFS(Tree!$O:$O,Tree!$A:$A,Species_rpt!$B19,Tree!$F:$F,"D",Tree!$K:$K,"&lt;&gt;"&amp;"Y")/$C19,SUMIFS(Tree!$O:$O,Tree!$A:$A,Species_rpt!$B19,Tree!$D:$D,Species_rpt!I$3,Tree!$F:$F,"L",Tree!$K:$K,"&lt;&gt;"&amp;"Y")/$C19))</f>
        <v/>
      </c>
      <c r="J19" s="121" t="str">
        <f>IF(OR($C19="",J$3=""),"",IF(J$3="Snag",SUMIFS(Tree!$O:$O,Tree!$A:$A,Species_rpt!$B19,Tree!$F:$F,"D",Tree!$K:$K,"&lt;&gt;"&amp;"Y")/$C19,SUMIFS(Tree!$O:$O,Tree!$A:$A,Species_rpt!$B19,Tree!$D:$D,Species_rpt!J$3,Tree!$F:$F,"L",Tree!$K:$K,"&lt;&gt;"&amp;"Y")/$C19))</f>
        <v/>
      </c>
      <c r="K19" s="121" t="str">
        <f>IF(OR($C19="",K$3=""),"",IF(K$3="Snag",SUMIFS(Tree!$O:$O,Tree!$A:$A,Species_rpt!$B19,Tree!$F:$F,"D",Tree!$K:$K,"&lt;&gt;"&amp;"Y")/$C19,SUMIFS(Tree!$O:$O,Tree!$A:$A,Species_rpt!$B19,Tree!$D:$D,Species_rpt!K$3,Tree!$F:$F,"L",Tree!$K:$K,"&lt;&gt;"&amp;"Y")/$C19))</f>
        <v/>
      </c>
      <c r="L19" s="121" t="str">
        <f>IF(OR($C19="",L$3=""),"",IF(L$3="Snag",SUMIFS(Tree!$O:$O,Tree!$A:$A,Species_rpt!$B19,Tree!$F:$F,"D",Tree!$K:$K,"&lt;&gt;"&amp;"Y")/$C19,SUMIFS(Tree!$O:$O,Tree!$A:$A,Species_rpt!$B19,Tree!$D:$D,Species_rpt!L$3,Tree!$F:$F,"L",Tree!$K:$K,"&lt;&gt;"&amp;"Y")/$C19))</f>
        <v/>
      </c>
      <c r="M19" s="121" t="str">
        <f>IF(OR($C19="",M$3=""),"",IF(M$3="Snag",SUMIFS(Tree!$O:$O,Tree!$A:$A,Species_rpt!$B19,Tree!$F:$F,"D",Tree!$K:$K,"&lt;&gt;"&amp;"Y")/$C19,SUMIFS(Tree!$O:$O,Tree!$A:$A,Species_rpt!$B19,Tree!$D:$D,Species_rpt!M$3,Tree!$F:$F,"L",Tree!$K:$K,"&lt;&gt;"&amp;"Y")/$C19))</f>
        <v/>
      </c>
      <c r="N19" s="154" t="str">
        <f t="shared" si="1"/>
        <v/>
      </c>
      <c r="O19" s="245" t="str">
        <f>IF(OR($C19="",O$3=""),"",IF(O$3="Snag",SUMIFS(Tree!$O:$O,Tree!$A:$A,Species_rpt!$B19,Tree!$F:$F,"D",Tree!$K:$K,"&lt;&gt;"&amp;"Y")/$C19,SUMIFS(Tree!$O:$O,Tree!$A:$A,Species_rpt!$B19,Tree!$D:$D,Species_rpt!O$3,Tree!$F:$F,"L",Tree!$K:$K,"&lt;&gt;"&amp;"Y")/$C19))</f>
        <v/>
      </c>
      <c r="P19" s="206" t="str">
        <f>VLOOKUP($B19,Stand_Biomass!$B$37:$E$63,4,0)</f>
        <v/>
      </c>
      <c r="Q19" s="83"/>
      <c r="R19" s="189" t="str">
        <f>IF(OR($C19="",R$3=""),"",IF(R$3="Snag",SUMIFS(Tree!$R:$R,Tree!$A:$A,Species_rpt!$B19,Tree!$F:$F,"D",Tree!$K:$K,"&lt;&gt;"&amp;"Y")/$C19,SUMIFS(Tree!$R:$R,Tree!$A:$A,Species_rpt!$B19,Tree!$D:$D,Species_rpt!R$3,Tree!$F:$F,"L",Tree!$K:$K,"&lt;&gt;"&amp;"Y")/$C19))</f>
        <v/>
      </c>
      <c r="S19" s="121" t="str">
        <f>IF(OR($C19="",S$3=""),"",IF(S$3="Snag",SUMIFS(Tree!$R:$R,Tree!$A:$A,Species_rpt!$B19,Tree!$F:$F,"D",Tree!$K:$K,"&lt;&gt;"&amp;"Y")/$C19,SUMIFS(Tree!$R:$R,Tree!$A:$A,Species_rpt!$B19,Tree!$D:$D,Species_rpt!S$3,Tree!$F:$F,"L",Tree!$K:$K,"&lt;&gt;"&amp;"Y")/$C19))</f>
        <v/>
      </c>
      <c r="T19" s="121" t="str">
        <f>IF(OR($C19="",T$3=""),"",IF(T$3="Snag",SUMIFS(Tree!$R:$R,Tree!$A:$A,Species_rpt!$B19,Tree!$F:$F,"D",Tree!$K:$K,"&lt;&gt;"&amp;"Y")/$C19,SUMIFS(Tree!$R:$R,Tree!$A:$A,Species_rpt!$B19,Tree!$D:$D,Species_rpt!T$3,Tree!$F:$F,"L",Tree!$K:$K,"&lt;&gt;"&amp;"Y")/$C19))</f>
        <v/>
      </c>
      <c r="U19" s="121" t="str">
        <f>IF(OR($C19="",U$3=""),"",IF(U$3="Snag",SUMIFS(Tree!$R:$R,Tree!$A:$A,Species_rpt!$B19,Tree!$F:$F,"D",Tree!$K:$K,"&lt;&gt;"&amp;"Y")/$C19,SUMIFS(Tree!$R:$R,Tree!$A:$A,Species_rpt!$B19,Tree!$D:$D,Species_rpt!U$3,Tree!$F:$F,"L",Tree!$K:$K,"&lt;&gt;"&amp;"Y")/$C19))</f>
        <v/>
      </c>
      <c r="V19" s="121" t="str">
        <f>IF(OR($C19="",V$3=""),"",IF(V$3="Snag",SUMIFS(Tree!$R:$R,Tree!$A:$A,Species_rpt!$B19,Tree!$F:$F,"D",Tree!$K:$K,"&lt;&gt;"&amp;"Y")/$C19,SUMIFS(Tree!$R:$R,Tree!$A:$A,Species_rpt!$B19,Tree!$D:$D,Species_rpt!V$3,Tree!$F:$F,"L",Tree!$K:$K,"&lt;&gt;"&amp;"Y")/$C19))</f>
        <v/>
      </c>
      <c r="W19" s="121" t="str">
        <f>IF(OR($C19="",W$3=""),"",IF(W$3="Snag",SUMIFS(Tree!$R:$R,Tree!$A:$A,Species_rpt!$B19,Tree!$F:$F,"D",Tree!$K:$K,"&lt;&gt;"&amp;"Y")/$C19,SUMIFS(Tree!$R:$R,Tree!$A:$A,Species_rpt!$B19,Tree!$D:$D,Species_rpt!W$3,Tree!$F:$F,"L",Tree!$K:$K,"&lt;&gt;"&amp;"Y")/$C19))</f>
        <v/>
      </c>
      <c r="X19" s="121" t="str">
        <f>IF(OR($C19="",X$3=""),"",IF(X$3="Snag",SUMIFS(Tree!$R:$R,Tree!$A:$A,Species_rpt!$B19,Tree!$F:$F,"D",Tree!$K:$K,"&lt;&gt;"&amp;"Y")/$C19,SUMIFS(Tree!$R:$R,Tree!$A:$A,Species_rpt!$B19,Tree!$D:$D,Species_rpt!X$3,Tree!$F:$F,"L",Tree!$K:$K,"&lt;&gt;"&amp;"Y")/$C19))</f>
        <v/>
      </c>
      <c r="Y19" s="121" t="str">
        <f>IF(OR($C19="",Y$3=""),"",IF(Y$3="Snag",SUMIFS(Tree!$R:$R,Tree!$A:$A,Species_rpt!$B19,Tree!$F:$F,"D",Tree!$K:$K,"&lt;&gt;"&amp;"Y")/$C19,SUMIFS(Tree!$R:$R,Tree!$A:$A,Species_rpt!$B19,Tree!$D:$D,Species_rpt!Y$3,Tree!$F:$F,"L",Tree!$K:$K,"&lt;&gt;"&amp;"Y")/$C19))</f>
        <v/>
      </c>
      <c r="Z19" s="121" t="str">
        <f>IF(OR($C19="",Z$3=""),"",IF(Z$3="Snag",SUMIFS(Tree!$R:$R,Tree!$A:$A,Species_rpt!$B19,Tree!$F:$F,"D",Tree!$K:$K,"&lt;&gt;"&amp;"Y")/$C19,SUMIFS(Tree!$R:$R,Tree!$A:$A,Species_rpt!$B19,Tree!$D:$D,Species_rpt!Z$3,Tree!$F:$F,"L",Tree!$K:$K,"&lt;&gt;"&amp;"Y")/$C19))</f>
        <v/>
      </c>
      <c r="AA19" s="154" t="str">
        <f t="shared" si="2"/>
        <v/>
      </c>
      <c r="AB19" s="245" t="str">
        <f>IF(OR($C19="",AB$3=""),"",IF(AB$3="Snag",SUMIFS(Tree!$R:$R,Tree!$A:$A,Species_rpt!$B19,Tree!$F:$F,"D",Tree!$K:$K,"&lt;&gt;"&amp;"Y")/$C19,SUMIFS(Tree!$R:$R,Tree!$A:$A,Species_rpt!$B19,Tree!$D:$D,Species_rpt!AB$3,Tree!$F:$F,"L",Tree!$K:$K,"&lt;&gt;"&amp;"Y")/$C19))</f>
        <v/>
      </c>
      <c r="AC19" s="206" t="str">
        <f>IF(B19="","",VLOOKUP(B19,Stand_Biomass!$B$37:$H$63,7,0))</f>
        <v/>
      </c>
    </row>
    <row r="20" spans="2:29" x14ac:dyDescent="0.25">
      <c r="B20" s="201" t="str">
        <f>IF(Stand!C19="","",Stand!C19)</f>
        <v/>
      </c>
      <c r="C20" s="154" t="str">
        <f>IF(B20="","",VLOOKUP(B20,Stand!C:H,6,0))</f>
        <v/>
      </c>
      <c r="D20" s="28"/>
      <c r="E20" s="189" t="str">
        <f>IF(OR($C20="",E$3=""),"",IF(E$3="Snag",SUMIFS(Tree!$O:$O,Tree!$A:$A,Species_rpt!$B20,Tree!$F:$F,"D",Tree!$K:$K,"&lt;&gt;"&amp;"Y")/$C20,SUMIFS(Tree!$O:$O,Tree!$A:$A,Species_rpt!$B20,Tree!$D:$D,Species_rpt!E$3,Tree!$F:$F,"L",Tree!$K:$K,"&lt;&gt;"&amp;"Y")/$C20))</f>
        <v/>
      </c>
      <c r="F20" s="121" t="str">
        <f>IF(OR($C20="",F$3=""),"",IF(F$3="Snag",SUMIFS(Tree!$O:$O,Tree!$A:$A,Species_rpt!$B20,Tree!$F:$F,"D",Tree!$K:$K,"&lt;&gt;"&amp;"Y")/$C20,SUMIFS(Tree!$O:$O,Tree!$A:$A,Species_rpt!$B20,Tree!$D:$D,Species_rpt!F$3,Tree!$F:$F,"L",Tree!$K:$K,"&lt;&gt;"&amp;"Y")/$C20))</f>
        <v/>
      </c>
      <c r="G20" s="121" t="str">
        <f>IF(OR($C20="",G$3=""),"",IF(G$3="Snag",SUMIFS(Tree!$O:$O,Tree!$A:$A,Species_rpt!$B20,Tree!$F:$F,"D",Tree!$K:$K,"&lt;&gt;"&amp;"Y")/$C20,SUMIFS(Tree!$O:$O,Tree!$A:$A,Species_rpt!$B20,Tree!$D:$D,Species_rpt!G$3,Tree!$F:$F,"L",Tree!$K:$K,"&lt;&gt;"&amp;"Y")/$C20))</f>
        <v/>
      </c>
      <c r="H20" s="121" t="str">
        <f>IF(OR($C20="",H$3=""),"",IF(H$3="Snag",SUMIFS(Tree!$O:$O,Tree!$A:$A,Species_rpt!$B20,Tree!$F:$F,"D",Tree!$K:$K,"&lt;&gt;"&amp;"Y")/$C20,SUMIFS(Tree!$O:$O,Tree!$A:$A,Species_rpt!$B20,Tree!$D:$D,Species_rpt!H$3,Tree!$F:$F,"L",Tree!$K:$K,"&lt;&gt;"&amp;"Y")/$C20))</f>
        <v/>
      </c>
      <c r="I20" s="121" t="str">
        <f>IF(OR($C20="",I$3=""),"",IF(I$3="Snag",SUMIFS(Tree!$O:$O,Tree!$A:$A,Species_rpt!$B20,Tree!$F:$F,"D",Tree!$K:$K,"&lt;&gt;"&amp;"Y")/$C20,SUMIFS(Tree!$O:$O,Tree!$A:$A,Species_rpt!$B20,Tree!$D:$D,Species_rpt!I$3,Tree!$F:$F,"L",Tree!$K:$K,"&lt;&gt;"&amp;"Y")/$C20))</f>
        <v/>
      </c>
      <c r="J20" s="121" t="str">
        <f>IF(OR($C20="",J$3=""),"",IF(J$3="Snag",SUMIFS(Tree!$O:$O,Tree!$A:$A,Species_rpt!$B20,Tree!$F:$F,"D",Tree!$K:$K,"&lt;&gt;"&amp;"Y")/$C20,SUMIFS(Tree!$O:$O,Tree!$A:$A,Species_rpt!$B20,Tree!$D:$D,Species_rpt!J$3,Tree!$F:$F,"L",Tree!$K:$K,"&lt;&gt;"&amp;"Y")/$C20))</f>
        <v/>
      </c>
      <c r="K20" s="121" t="str">
        <f>IF(OR($C20="",K$3=""),"",IF(K$3="Snag",SUMIFS(Tree!$O:$O,Tree!$A:$A,Species_rpt!$B20,Tree!$F:$F,"D",Tree!$K:$K,"&lt;&gt;"&amp;"Y")/$C20,SUMIFS(Tree!$O:$O,Tree!$A:$A,Species_rpt!$B20,Tree!$D:$D,Species_rpt!K$3,Tree!$F:$F,"L",Tree!$K:$K,"&lt;&gt;"&amp;"Y")/$C20))</f>
        <v/>
      </c>
      <c r="L20" s="121" t="str">
        <f>IF(OR($C20="",L$3=""),"",IF(L$3="Snag",SUMIFS(Tree!$O:$O,Tree!$A:$A,Species_rpt!$B20,Tree!$F:$F,"D",Tree!$K:$K,"&lt;&gt;"&amp;"Y")/$C20,SUMIFS(Tree!$O:$O,Tree!$A:$A,Species_rpt!$B20,Tree!$D:$D,Species_rpt!L$3,Tree!$F:$F,"L",Tree!$K:$K,"&lt;&gt;"&amp;"Y")/$C20))</f>
        <v/>
      </c>
      <c r="M20" s="121" t="str">
        <f>IF(OR($C20="",M$3=""),"",IF(M$3="Snag",SUMIFS(Tree!$O:$O,Tree!$A:$A,Species_rpt!$B20,Tree!$F:$F,"D",Tree!$K:$K,"&lt;&gt;"&amp;"Y")/$C20,SUMIFS(Tree!$O:$O,Tree!$A:$A,Species_rpt!$B20,Tree!$D:$D,Species_rpt!M$3,Tree!$F:$F,"L",Tree!$K:$K,"&lt;&gt;"&amp;"Y")/$C20))</f>
        <v/>
      </c>
      <c r="N20" s="154" t="str">
        <f t="shared" si="1"/>
        <v/>
      </c>
      <c r="O20" s="245" t="str">
        <f>IF(OR($C20="",O$3=""),"",IF(O$3="Snag",SUMIFS(Tree!$O:$O,Tree!$A:$A,Species_rpt!$B20,Tree!$F:$F,"D",Tree!$K:$K,"&lt;&gt;"&amp;"Y")/$C20,SUMIFS(Tree!$O:$O,Tree!$A:$A,Species_rpt!$B20,Tree!$D:$D,Species_rpt!O$3,Tree!$F:$F,"L",Tree!$K:$K,"&lt;&gt;"&amp;"Y")/$C20))</f>
        <v/>
      </c>
      <c r="P20" s="206" t="str">
        <f>VLOOKUP($B20,Stand_Biomass!$B$37:$E$63,4,0)</f>
        <v/>
      </c>
      <c r="Q20" s="83"/>
      <c r="R20" s="189" t="str">
        <f>IF(OR($C20="",R$3=""),"",IF(R$3="Snag",SUMIFS(Tree!$R:$R,Tree!$A:$A,Species_rpt!$B20,Tree!$F:$F,"D",Tree!$K:$K,"&lt;&gt;"&amp;"Y")/$C20,SUMIFS(Tree!$R:$R,Tree!$A:$A,Species_rpt!$B20,Tree!$D:$D,Species_rpt!R$3,Tree!$F:$F,"L",Tree!$K:$K,"&lt;&gt;"&amp;"Y")/$C20))</f>
        <v/>
      </c>
      <c r="S20" s="121" t="str">
        <f>IF(OR($C20="",S$3=""),"",IF(S$3="Snag",SUMIFS(Tree!$R:$R,Tree!$A:$A,Species_rpt!$B20,Tree!$F:$F,"D",Tree!$K:$K,"&lt;&gt;"&amp;"Y")/$C20,SUMIFS(Tree!$R:$R,Tree!$A:$A,Species_rpt!$B20,Tree!$D:$D,Species_rpt!S$3,Tree!$F:$F,"L",Tree!$K:$K,"&lt;&gt;"&amp;"Y")/$C20))</f>
        <v/>
      </c>
      <c r="T20" s="121" t="str">
        <f>IF(OR($C20="",T$3=""),"",IF(T$3="Snag",SUMIFS(Tree!$R:$R,Tree!$A:$A,Species_rpt!$B20,Tree!$F:$F,"D",Tree!$K:$K,"&lt;&gt;"&amp;"Y")/$C20,SUMIFS(Tree!$R:$R,Tree!$A:$A,Species_rpt!$B20,Tree!$D:$D,Species_rpt!T$3,Tree!$F:$F,"L",Tree!$K:$K,"&lt;&gt;"&amp;"Y")/$C20))</f>
        <v/>
      </c>
      <c r="U20" s="121" t="str">
        <f>IF(OR($C20="",U$3=""),"",IF(U$3="Snag",SUMIFS(Tree!$R:$R,Tree!$A:$A,Species_rpt!$B20,Tree!$F:$F,"D",Tree!$K:$K,"&lt;&gt;"&amp;"Y")/$C20,SUMIFS(Tree!$R:$R,Tree!$A:$A,Species_rpt!$B20,Tree!$D:$D,Species_rpt!U$3,Tree!$F:$F,"L",Tree!$K:$K,"&lt;&gt;"&amp;"Y")/$C20))</f>
        <v/>
      </c>
      <c r="V20" s="121" t="str">
        <f>IF(OR($C20="",V$3=""),"",IF(V$3="Snag",SUMIFS(Tree!$R:$R,Tree!$A:$A,Species_rpt!$B20,Tree!$F:$F,"D",Tree!$K:$K,"&lt;&gt;"&amp;"Y")/$C20,SUMIFS(Tree!$R:$R,Tree!$A:$A,Species_rpt!$B20,Tree!$D:$D,Species_rpt!V$3,Tree!$F:$F,"L",Tree!$K:$K,"&lt;&gt;"&amp;"Y")/$C20))</f>
        <v/>
      </c>
      <c r="W20" s="121" t="str">
        <f>IF(OR($C20="",W$3=""),"",IF(W$3="Snag",SUMIFS(Tree!$R:$R,Tree!$A:$A,Species_rpt!$B20,Tree!$F:$F,"D",Tree!$K:$K,"&lt;&gt;"&amp;"Y")/$C20,SUMIFS(Tree!$R:$R,Tree!$A:$A,Species_rpt!$B20,Tree!$D:$D,Species_rpt!W$3,Tree!$F:$F,"L",Tree!$K:$K,"&lt;&gt;"&amp;"Y")/$C20))</f>
        <v/>
      </c>
      <c r="X20" s="121" t="str">
        <f>IF(OR($C20="",X$3=""),"",IF(X$3="Snag",SUMIFS(Tree!$R:$R,Tree!$A:$A,Species_rpt!$B20,Tree!$F:$F,"D",Tree!$K:$K,"&lt;&gt;"&amp;"Y")/$C20,SUMIFS(Tree!$R:$R,Tree!$A:$A,Species_rpt!$B20,Tree!$D:$D,Species_rpt!X$3,Tree!$F:$F,"L",Tree!$K:$K,"&lt;&gt;"&amp;"Y")/$C20))</f>
        <v/>
      </c>
      <c r="Y20" s="121" t="str">
        <f>IF(OR($C20="",Y$3=""),"",IF(Y$3="Snag",SUMIFS(Tree!$R:$R,Tree!$A:$A,Species_rpt!$B20,Tree!$F:$F,"D",Tree!$K:$K,"&lt;&gt;"&amp;"Y")/$C20,SUMIFS(Tree!$R:$R,Tree!$A:$A,Species_rpt!$B20,Tree!$D:$D,Species_rpt!Y$3,Tree!$F:$F,"L",Tree!$K:$K,"&lt;&gt;"&amp;"Y")/$C20))</f>
        <v/>
      </c>
      <c r="Z20" s="121" t="str">
        <f>IF(OR($C20="",Z$3=""),"",IF(Z$3="Snag",SUMIFS(Tree!$R:$R,Tree!$A:$A,Species_rpt!$B20,Tree!$F:$F,"D",Tree!$K:$K,"&lt;&gt;"&amp;"Y")/$C20,SUMIFS(Tree!$R:$R,Tree!$A:$A,Species_rpt!$B20,Tree!$D:$D,Species_rpt!Z$3,Tree!$F:$F,"L",Tree!$K:$K,"&lt;&gt;"&amp;"Y")/$C20))</f>
        <v/>
      </c>
      <c r="AA20" s="154" t="str">
        <f t="shared" si="2"/>
        <v/>
      </c>
      <c r="AB20" s="245" t="str">
        <f>IF(OR($C20="",AB$3=""),"",IF(AB$3="Snag",SUMIFS(Tree!$R:$R,Tree!$A:$A,Species_rpt!$B20,Tree!$F:$F,"D",Tree!$K:$K,"&lt;&gt;"&amp;"Y")/$C20,SUMIFS(Tree!$R:$R,Tree!$A:$A,Species_rpt!$B20,Tree!$D:$D,Species_rpt!AB$3,Tree!$F:$F,"L",Tree!$K:$K,"&lt;&gt;"&amp;"Y")/$C20))</f>
        <v/>
      </c>
      <c r="AC20" s="206" t="str">
        <f>IF(B20="","",VLOOKUP(B20,Stand_Biomass!$B$37:$H$63,7,0))</f>
        <v/>
      </c>
    </row>
    <row r="21" spans="2:29" x14ac:dyDescent="0.25">
      <c r="B21" s="201" t="str">
        <f>IF(Stand!C20="","",Stand!C20)</f>
        <v/>
      </c>
      <c r="C21" s="154" t="str">
        <f>IF(B21="","",VLOOKUP(B21,Stand!C:H,6,0))</f>
        <v/>
      </c>
      <c r="D21" s="28"/>
      <c r="E21" s="189" t="str">
        <f>IF(OR($C21="",E$3=""),"",IF(E$3="Snag",SUMIFS(Tree!$O:$O,Tree!$A:$A,Species_rpt!$B21,Tree!$F:$F,"D",Tree!$K:$K,"&lt;&gt;"&amp;"Y")/$C21,SUMIFS(Tree!$O:$O,Tree!$A:$A,Species_rpt!$B21,Tree!$D:$D,Species_rpt!E$3,Tree!$F:$F,"L",Tree!$K:$K,"&lt;&gt;"&amp;"Y")/$C21))</f>
        <v/>
      </c>
      <c r="F21" s="121" t="str">
        <f>IF(OR($C21="",F$3=""),"",IF(F$3="Snag",SUMIFS(Tree!$O:$O,Tree!$A:$A,Species_rpt!$B21,Tree!$F:$F,"D",Tree!$K:$K,"&lt;&gt;"&amp;"Y")/$C21,SUMIFS(Tree!$O:$O,Tree!$A:$A,Species_rpt!$B21,Tree!$D:$D,Species_rpt!F$3,Tree!$F:$F,"L",Tree!$K:$K,"&lt;&gt;"&amp;"Y")/$C21))</f>
        <v/>
      </c>
      <c r="G21" s="121" t="str">
        <f>IF(OR($C21="",G$3=""),"",IF(G$3="Snag",SUMIFS(Tree!$O:$O,Tree!$A:$A,Species_rpt!$B21,Tree!$F:$F,"D",Tree!$K:$K,"&lt;&gt;"&amp;"Y")/$C21,SUMIFS(Tree!$O:$O,Tree!$A:$A,Species_rpt!$B21,Tree!$D:$D,Species_rpt!G$3,Tree!$F:$F,"L",Tree!$K:$K,"&lt;&gt;"&amp;"Y")/$C21))</f>
        <v/>
      </c>
      <c r="H21" s="121" t="str">
        <f>IF(OR($C21="",H$3=""),"",IF(H$3="Snag",SUMIFS(Tree!$O:$O,Tree!$A:$A,Species_rpt!$B21,Tree!$F:$F,"D",Tree!$K:$K,"&lt;&gt;"&amp;"Y")/$C21,SUMIFS(Tree!$O:$O,Tree!$A:$A,Species_rpt!$B21,Tree!$D:$D,Species_rpt!H$3,Tree!$F:$F,"L",Tree!$K:$K,"&lt;&gt;"&amp;"Y")/$C21))</f>
        <v/>
      </c>
      <c r="I21" s="121" t="str">
        <f>IF(OR($C21="",I$3=""),"",IF(I$3="Snag",SUMIFS(Tree!$O:$O,Tree!$A:$A,Species_rpt!$B21,Tree!$F:$F,"D",Tree!$K:$K,"&lt;&gt;"&amp;"Y")/$C21,SUMIFS(Tree!$O:$O,Tree!$A:$A,Species_rpt!$B21,Tree!$D:$D,Species_rpt!I$3,Tree!$F:$F,"L",Tree!$K:$K,"&lt;&gt;"&amp;"Y")/$C21))</f>
        <v/>
      </c>
      <c r="J21" s="121" t="str">
        <f>IF(OR($C21="",J$3=""),"",IF(J$3="Snag",SUMIFS(Tree!$O:$O,Tree!$A:$A,Species_rpt!$B21,Tree!$F:$F,"D",Tree!$K:$K,"&lt;&gt;"&amp;"Y")/$C21,SUMIFS(Tree!$O:$O,Tree!$A:$A,Species_rpt!$B21,Tree!$D:$D,Species_rpt!J$3,Tree!$F:$F,"L",Tree!$K:$K,"&lt;&gt;"&amp;"Y")/$C21))</f>
        <v/>
      </c>
      <c r="K21" s="121" t="str">
        <f>IF(OR($C21="",K$3=""),"",IF(K$3="Snag",SUMIFS(Tree!$O:$O,Tree!$A:$A,Species_rpt!$B21,Tree!$F:$F,"D",Tree!$K:$K,"&lt;&gt;"&amp;"Y")/$C21,SUMIFS(Tree!$O:$O,Tree!$A:$A,Species_rpt!$B21,Tree!$D:$D,Species_rpt!K$3,Tree!$F:$F,"L",Tree!$K:$K,"&lt;&gt;"&amp;"Y")/$C21))</f>
        <v/>
      </c>
      <c r="L21" s="121" t="str">
        <f>IF(OR($C21="",L$3=""),"",IF(L$3="Snag",SUMIFS(Tree!$O:$O,Tree!$A:$A,Species_rpt!$B21,Tree!$F:$F,"D",Tree!$K:$K,"&lt;&gt;"&amp;"Y")/$C21,SUMIFS(Tree!$O:$O,Tree!$A:$A,Species_rpt!$B21,Tree!$D:$D,Species_rpt!L$3,Tree!$F:$F,"L",Tree!$K:$K,"&lt;&gt;"&amp;"Y")/$C21))</f>
        <v/>
      </c>
      <c r="M21" s="121" t="str">
        <f>IF(OR($C21="",M$3=""),"",IF(M$3="Snag",SUMIFS(Tree!$O:$O,Tree!$A:$A,Species_rpt!$B21,Tree!$F:$F,"D",Tree!$K:$K,"&lt;&gt;"&amp;"Y")/$C21,SUMIFS(Tree!$O:$O,Tree!$A:$A,Species_rpt!$B21,Tree!$D:$D,Species_rpt!M$3,Tree!$F:$F,"L",Tree!$K:$K,"&lt;&gt;"&amp;"Y")/$C21))</f>
        <v/>
      </c>
      <c r="N21" s="154" t="str">
        <f t="shared" si="1"/>
        <v/>
      </c>
      <c r="O21" s="245" t="str">
        <f>IF(OR($C21="",O$3=""),"",IF(O$3="Snag",SUMIFS(Tree!$O:$O,Tree!$A:$A,Species_rpt!$B21,Tree!$F:$F,"D",Tree!$K:$K,"&lt;&gt;"&amp;"Y")/$C21,SUMIFS(Tree!$O:$O,Tree!$A:$A,Species_rpt!$B21,Tree!$D:$D,Species_rpt!O$3,Tree!$F:$F,"L",Tree!$K:$K,"&lt;&gt;"&amp;"Y")/$C21))</f>
        <v/>
      </c>
      <c r="P21" s="206" t="str">
        <f>VLOOKUP($B21,Stand_Biomass!$B$37:$E$63,4,0)</f>
        <v/>
      </c>
      <c r="Q21" s="83"/>
      <c r="R21" s="189" t="str">
        <f>IF(OR($C21="",R$3=""),"",IF(R$3="Snag",SUMIFS(Tree!$R:$R,Tree!$A:$A,Species_rpt!$B21,Tree!$F:$F,"D",Tree!$K:$K,"&lt;&gt;"&amp;"Y")/$C21,SUMIFS(Tree!$R:$R,Tree!$A:$A,Species_rpt!$B21,Tree!$D:$D,Species_rpt!R$3,Tree!$F:$F,"L",Tree!$K:$K,"&lt;&gt;"&amp;"Y")/$C21))</f>
        <v/>
      </c>
      <c r="S21" s="121" t="str">
        <f>IF(OR($C21="",S$3=""),"",IF(S$3="Snag",SUMIFS(Tree!$R:$R,Tree!$A:$A,Species_rpt!$B21,Tree!$F:$F,"D",Tree!$K:$K,"&lt;&gt;"&amp;"Y")/$C21,SUMIFS(Tree!$R:$R,Tree!$A:$A,Species_rpt!$B21,Tree!$D:$D,Species_rpt!S$3,Tree!$F:$F,"L",Tree!$K:$K,"&lt;&gt;"&amp;"Y")/$C21))</f>
        <v/>
      </c>
      <c r="T21" s="121" t="str">
        <f>IF(OR($C21="",T$3=""),"",IF(T$3="Snag",SUMIFS(Tree!$R:$R,Tree!$A:$A,Species_rpt!$B21,Tree!$F:$F,"D",Tree!$K:$K,"&lt;&gt;"&amp;"Y")/$C21,SUMIFS(Tree!$R:$R,Tree!$A:$A,Species_rpt!$B21,Tree!$D:$D,Species_rpt!T$3,Tree!$F:$F,"L",Tree!$K:$K,"&lt;&gt;"&amp;"Y")/$C21))</f>
        <v/>
      </c>
      <c r="U21" s="121" t="str">
        <f>IF(OR($C21="",U$3=""),"",IF(U$3="Snag",SUMIFS(Tree!$R:$R,Tree!$A:$A,Species_rpt!$B21,Tree!$F:$F,"D",Tree!$K:$K,"&lt;&gt;"&amp;"Y")/$C21,SUMIFS(Tree!$R:$R,Tree!$A:$A,Species_rpt!$B21,Tree!$D:$D,Species_rpt!U$3,Tree!$F:$F,"L",Tree!$K:$K,"&lt;&gt;"&amp;"Y")/$C21))</f>
        <v/>
      </c>
      <c r="V21" s="121" t="str">
        <f>IF(OR($C21="",V$3=""),"",IF(V$3="Snag",SUMIFS(Tree!$R:$R,Tree!$A:$A,Species_rpt!$B21,Tree!$F:$F,"D",Tree!$K:$K,"&lt;&gt;"&amp;"Y")/$C21,SUMIFS(Tree!$R:$R,Tree!$A:$A,Species_rpt!$B21,Tree!$D:$D,Species_rpt!V$3,Tree!$F:$F,"L",Tree!$K:$K,"&lt;&gt;"&amp;"Y")/$C21))</f>
        <v/>
      </c>
      <c r="W21" s="121" t="str">
        <f>IF(OR($C21="",W$3=""),"",IF(W$3="Snag",SUMIFS(Tree!$R:$R,Tree!$A:$A,Species_rpt!$B21,Tree!$F:$F,"D",Tree!$K:$K,"&lt;&gt;"&amp;"Y")/$C21,SUMIFS(Tree!$R:$R,Tree!$A:$A,Species_rpt!$B21,Tree!$D:$D,Species_rpt!W$3,Tree!$F:$F,"L",Tree!$K:$K,"&lt;&gt;"&amp;"Y")/$C21))</f>
        <v/>
      </c>
      <c r="X21" s="121" t="str">
        <f>IF(OR($C21="",X$3=""),"",IF(X$3="Snag",SUMIFS(Tree!$R:$R,Tree!$A:$A,Species_rpt!$B21,Tree!$F:$F,"D",Tree!$K:$K,"&lt;&gt;"&amp;"Y")/$C21,SUMIFS(Tree!$R:$R,Tree!$A:$A,Species_rpt!$B21,Tree!$D:$D,Species_rpt!X$3,Tree!$F:$F,"L",Tree!$K:$K,"&lt;&gt;"&amp;"Y")/$C21))</f>
        <v/>
      </c>
      <c r="Y21" s="121" t="str">
        <f>IF(OR($C21="",Y$3=""),"",IF(Y$3="Snag",SUMIFS(Tree!$R:$R,Tree!$A:$A,Species_rpt!$B21,Tree!$F:$F,"D",Tree!$K:$K,"&lt;&gt;"&amp;"Y")/$C21,SUMIFS(Tree!$R:$R,Tree!$A:$A,Species_rpt!$B21,Tree!$D:$D,Species_rpt!Y$3,Tree!$F:$F,"L",Tree!$K:$K,"&lt;&gt;"&amp;"Y")/$C21))</f>
        <v/>
      </c>
      <c r="Z21" s="121" t="str">
        <f>IF(OR($C21="",Z$3=""),"",IF(Z$3="Snag",SUMIFS(Tree!$R:$R,Tree!$A:$A,Species_rpt!$B21,Tree!$F:$F,"D",Tree!$K:$K,"&lt;&gt;"&amp;"Y")/$C21,SUMIFS(Tree!$R:$R,Tree!$A:$A,Species_rpt!$B21,Tree!$D:$D,Species_rpt!Z$3,Tree!$F:$F,"L",Tree!$K:$K,"&lt;&gt;"&amp;"Y")/$C21))</f>
        <v/>
      </c>
      <c r="AA21" s="154" t="str">
        <f t="shared" si="2"/>
        <v/>
      </c>
      <c r="AB21" s="245" t="str">
        <f>IF(OR($C21="",AB$3=""),"",IF(AB$3="Snag",SUMIFS(Tree!$R:$R,Tree!$A:$A,Species_rpt!$B21,Tree!$F:$F,"D",Tree!$K:$K,"&lt;&gt;"&amp;"Y")/$C21,SUMIFS(Tree!$R:$R,Tree!$A:$A,Species_rpt!$B21,Tree!$D:$D,Species_rpt!AB$3,Tree!$F:$F,"L",Tree!$K:$K,"&lt;&gt;"&amp;"Y")/$C21))</f>
        <v/>
      </c>
      <c r="AC21" s="206" t="str">
        <f>IF(B21="","",VLOOKUP(B21,Stand_Biomass!$B$37:$H$63,7,0))</f>
        <v/>
      </c>
    </row>
    <row r="22" spans="2:29" x14ac:dyDescent="0.25">
      <c r="B22" s="201" t="str">
        <f>IF(Stand!C21="","",Stand!C21)</f>
        <v/>
      </c>
      <c r="C22" s="154" t="str">
        <f>IF(B22="","",VLOOKUP(B22,Stand!C:H,6,0))</f>
        <v/>
      </c>
      <c r="D22" s="28"/>
      <c r="E22" s="189" t="str">
        <f>IF(OR($C22="",E$3=""),"",IF(E$3="Snag",SUMIFS(Tree!$O:$O,Tree!$A:$A,Species_rpt!$B22,Tree!$F:$F,"D",Tree!$K:$K,"&lt;&gt;"&amp;"Y")/$C22,SUMIFS(Tree!$O:$O,Tree!$A:$A,Species_rpt!$B22,Tree!$D:$D,Species_rpt!E$3,Tree!$F:$F,"L",Tree!$K:$K,"&lt;&gt;"&amp;"Y")/$C22))</f>
        <v/>
      </c>
      <c r="F22" s="121" t="str">
        <f>IF(OR($C22="",F$3=""),"",IF(F$3="Snag",SUMIFS(Tree!$O:$O,Tree!$A:$A,Species_rpt!$B22,Tree!$F:$F,"D",Tree!$K:$K,"&lt;&gt;"&amp;"Y")/$C22,SUMIFS(Tree!$O:$O,Tree!$A:$A,Species_rpt!$B22,Tree!$D:$D,Species_rpt!F$3,Tree!$F:$F,"L",Tree!$K:$K,"&lt;&gt;"&amp;"Y")/$C22))</f>
        <v/>
      </c>
      <c r="G22" s="121" t="str">
        <f>IF(OR($C22="",G$3=""),"",IF(G$3="Snag",SUMIFS(Tree!$O:$O,Tree!$A:$A,Species_rpt!$B22,Tree!$F:$F,"D",Tree!$K:$K,"&lt;&gt;"&amp;"Y")/$C22,SUMIFS(Tree!$O:$O,Tree!$A:$A,Species_rpt!$B22,Tree!$D:$D,Species_rpt!G$3,Tree!$F:$F,"L",Tree!$K:$K,"&lt;&gt;"&amp;"Y")/$C22))</f>
        <v/>
      </c>
      <c r="H22" s="121" t="str">
        <f>IF(OR($C22="",H$3=""),"",IF(H$3="Snag",SUMIFS(Tree!$O:$O,Tree!$A:$A,Species_rpt!$B22,Tree!$F:$F,"D",Tree!$K:$K,"&lt;&gt;"&amp;"Y")/$C22,SUMIFS(Tree!$O:$O,Tree!$A:$A,Species_rpt!$B22,Tree!$D:$D,Species_rpt!H$3,Tree!$F:$F,"L",Tree!$K:$K,"&lt;&gt;"&amp;"Y")/$C22))</f>
        <v/>
      </c>
      <c r="I22" s="121" t="str">
        <f>IF(OR($C22="",I$3=""),"",IF(I$3="Snag",SUMIFS(Tree!$O:$O,Tree!$A:$A,Species_rpt!$B22,Tree!$F:$F,"D",Tree!$K:$K,"&lt;&gt;"&amp;"Y")/$C22,SUMIFS(Tree!$O:$O,Tree!$A:$A,Species_rpt!$B22,Tree!$D:$D,Species_rpt!I$3,Tree!$F:$F,"L",Tree!$K:$K,"&lt;&gt;"&amp;"Y")/$C22))</f>
        <v/>
      </c>
      <c r="J22" s="121" t="str">
        <f>IF(OR($C22="",J$3=""),"",IF(J$3="Snag",SUMIFS(Tree!$O:$O,Tree!$A:$A,Species_rpt!$B22,Tree!$F:$F,"D",Tree!$K:$K,"&lt;&gt;"&amp;"Y")/$C22,SUMIFS(Tree!$O:$O,Tree!$A:$A,Species_rpt!$B22,Tree!$D:$D,Species_rpt!J$3,Tree!$F:$F,"L",Tree!$K:$K,"&lt;&gt;"&amp;"Y")/$C22))</f>
        <v/>
      </c>
      <c r="K22" s="121" t="str">
        <f>IF(OR($C22="",K$3=""),"",IF(K$3="Snag",SUMIFS(Tree!$O:$O,Tree!$A:$A,Species_rpt!$B22,Tree!$F:$F,"D",Tree!$K:$K,"&lt;&gt;"&amp;"Y")/$C22,SUMIFS(Tree!$O:$O,Tree!$A:$A,Species_rpt!$B22,Tree!$D:$D,Species_rpt!K$3,Tree!$F:$F,"L",Tree!$K:$K,"&lt;&gt;"&amp;"Y")/$C22))</f>
        <v/>
      </c>
      <c r="L22" s="121" t="str">
        <f>IF(OR($C22="",L$3=""),"",IF(L$3="Snag",SUMIFS(Tree!$O:$O,Tree!$A:$A,Species_rpt!$B22,Tree!$F:$F,"D",Tree!$K:$K,"&lt;&gt;"&amp;"Y")/$C22,SUMIFS(Tree!$O:$O,Tree!$A:$A,Species_rpt!$B22,Tree!$D:$D,Species_rpt!L$3,Tree!$F:$F,"L",Tree!$K:$K,"&lt;&gt;"&amp;"Y")/$C22))</f>
        <v/>
      </c>
      <c r="M22" s="121" t="str">
        <f>IF(OR($C22="",M$3=""),"",IF(M$3="Snag",SUMIFS(Tree!$O:$O,Tree!$A:$A,Species_rpt!$B22,Tree!$F:$F,"D",Tree!$K:$K,"&lt;&gt;"&amp;"Y")/$C22,SUMIFS(Tree!$O:$O,Tree!$A:$A,Species_rpt!$B22,Tree!$D:$D,Species_rpt!M$3,Tree!$F:$F,"L",Tree!$K:$K,"&lt;&gt;"&amp;"Y")/$C22))</f>
        <v/>
      </c>
      <c r="N22" s="154" t="str">
        <f t="shared" si="1"/>
        <v/>
      </c>
      <c r="O22" s="245" t="str">
        <f>IF(OR($C22="",O$3=""),"",IF(O$3="Snag",SUMIFS(Tree!$O:$O,Tree!$A:$A,Species_rpt!$B22,Tree!$F:$F,"D",Tree!$K:$K,"&lt;&gt;"&amp;"Y")/$C22,SUMIFS(Tree!$O:$O,Tree!$A:$A,Species_rpt!$B22,Tree!$D:$D,Species_rpt!O$3,Tree!$F:$F,"L",Tree!$K:$K,"&lt;&gt;"&amp;"Y")/$C22))</f>
        <v/>
      </c>
      <c r="P22" s="206" t="str">
        <f>VLOOKUP($B22,Stand_Biomass!$B$37:$E$63,4,0)</f>
        <v/>
      </c>
      <c r="Q22" s="83"/>
      <c r="R22" s="189" t="str">
        <f>IF(OR($C22="",R$3=""),"",IF(R$3="Snag",SUMIFS(Tree!$R:$R,Tree!$A:$A,Species_rpt!$B22,Tree!$F:$F,"D",Tree!$K:$K,"&lt;&gt;"&amp;"Y")/$C22,SUMIFS(Tree!$R:$R,Tree!$A:$A,Species_rpt!$B22,Tree!$D:$D,Species_rpt!R$3,Tree!$F:$F,"L",Tree!$K:$K,"&lt;&gt;"&amp;"Y")/$C22))</f>
        <v/>
      </c>
      <c r="S22" s="121" t="str">
        <f>IF(OR($C22="",S$3=""),"",IF(S$3="Snag",SUMIFS(Tree!$R:$R,Tree!$A:$A,Species_rpt!$B22,Tree!$F:$F,"D",Tree!$K:$K,"&lt;&gt;"&amp;"Y")/$C22,SUMIFS(Tree!$R:$R,Tree!$A:$A,Species_rpt!$B22,Tree!$D:$D,Species_rpt!S$3,Tree!$F:$F,"L",Tree!$K:$K,"&lt;&gt;"&amp;"Y")/$C22))</f>
        <v/>
      </c>
      <c r="T22" s="121" t="str">
        <f>IF(OR($C22="",T$3=""),"",IF(T$3="Snag",SUMIFS(Tree!$R:$R,Tree!$A:$A,Species_rpt!$B22,Tree!$F:$F,"D",Tree!$K:$K,"&lt;&gt;"&amp;"Y")/$C22,SUMIFS(Tree!$R:$R,Tree!$A:$A,Species_rpt!$B22,Tree!$D:$D,Species_rpt!T$3,Tree!$F:$F,"L",Tree!$K:$K,"&lt;&gt;"&amp;"Y")/$C22))</f>
        <v/>
      </c>
      <c r="U22" s="121" t="str">
        <f>IF(OR($C22="",U$3=""),"",IF(U$3="Snag",SUMIFS(Tree!$R:$R,Tree!$A:$A,Species_rpt!$B22,Tree!$F:$F,"D",Tree!$K:$K,"&lt;&gt;"&amp;"Y")/$C22,SUMIFS(Tree!$R:$R,Tree!$A:$A,Species_rpt!$B22,Tree!$D:$D,Species_rpt!U$3,Tree!$F:$F,"L",Tree!$K:$K,"&lt;&gt;"&amp;"Y")/$C22))</f>
        <v/>
      </c>
      <c r="V22" s="121" t="str">
        <f>IF(OR($C22="",V$3=""),"",IF(V$3="Snag",SUMIFS(Tree!$R:$R,Tree!$A:$A,Species_rpt!$B22,Tree!$F:$F,"D",Tree!$K:$K,"&lt;&gt;"&amp;"Y")/$C22,SUMIFS(Tree!$R:$R,Tree!$A:$A,Species_rpt!$B22,Tree!$D:$D,Species_rpt!V$3,Tree!$F:$F,"L",Tree!$K:$K,"&lt;&gt;"&amp;"Y")/$C22))</f>
        <v/>
      </c>
      <c r="W22" s="121" t="str">
        <f>IF(OR($C22="",W$3=""),"",IF(W$3="Snag",SUMIFS(Tree!$R:$R,Tree!$A:$A,Species_rpt!$B22,Tree!$F:$F,"D",Tree!$K:$K,"&lt;&gt;"&amp;"Y")/$C22,SUMIFS(Tree!$R:$R,Tree!$A:$A,Species_rpt!$B22,Tree!$D:$D,Species_rpt!W$3,Tree!$F:$F,"L",Tree!$K:$K,"&lt;&gt;"&amp;"Y")/$C22))</f>
        <v/>
      </c>
      <c r="X22" s="121" t="str">
        <f>IF(OR($C22="",X$3=""),"",IF(X$3="Snag",SUMIFS(Tree!$R:$R,Tree!$A:$A,Species_rpt!$B22,Tree!$F:$F,"D",Tree!$K:$K,"&lt;&gt;"&amp;"Y")/$C22,SUMIFS(Tree!$R:$R,Tree!$A:$A,Species_rpt!$B22,Tree!$D:$D,Species_rpt!X$3,Tree!$F:$F,"L",Tree!$K:$K,"&lt;&gt;"&amp;"Y")/$C22))</f>
        <v/>
      </c>
      <c r="Y22" s="121" t="str">
        <f>IF(OR($C22="",Y$3=""),"",IF(Y$3="Snag",SUMIFS(Tree!$R:$R,Tree!$A:$A,Species_rpt!$B22,Tree!$F:$F,"D",Tree!$K:$K,"&lt;&gt;"&amp;"Y")/$C22,SUMIFS(Tree!$R:$R,Tree!$A:$A,Species_rpt!$B22,Tree!$D:$D,Species_rpt!Y$3,Tree!$F:$F,"L",Tree!$K:$K,"&lt;&gt;"&amp;"Y")/$C22))</f>
        <v/>
      </c>
      <c r="Z22" s="121" t="str">
        <f>IF(OR($C22="",Z$3=""),"",IF(Z$3="Snag",SUMIFS(Tree!$R:$R,Tree!$A:$A,Species_rpt!$B22,Tree!$F:$F,"D",Tree!$K:$K,"&lt;&gt;"&amp;"Y")/$C22,SUMIFS(Tree!$R:$R,Tree!$A:$A,Species_rpt!$B22,Tree!$D:$D,Species_rpt!Z$3,Tree!$F:$F,"L",Tree!$K:$K,"&lt;&gt;"&amp;"Y")/$C22))</f>
        <v/>
      </c>
      <c r="AA22" s="154" t="str">
        <f t="shared" si="2"/>
        <v/>
      </c>
      <c r="AB22" s="245" t="str">
        <f>IF(OR($C22="",AB$3=""),"",IF(AB$3="Snag",SUMIFS(Tree!$R:$R,Tree!$A:$A,Species_rpt!$B22,Tree!$F:$F,"D",Tree!$K:$K,"&lt;&gt;"&amp;"Y")/$C22,SUMIFS(Tree!$R:$R,Tree!$A:$A,Species_rpt!$B22,Tree!$D:$D,Species_rpt!AB$3,Tree!$F:$F,"L",Tree!$K:$K,"&lt;&gt;"&amp;"Y")/$C22))</f>
        <v/>
      </c>
      <c r="AC22" s="206" t="str">
        <f>IF(B22="","",VLOOKUP(B22,Stand_Biomass!$B$37:$H$63,7,0))</f>
        <v/>
      </c>
    </row>
    <row r="23" spans="2:29" x14ac:dyDescent="0.25">
      <c r="B23" s="201" t="str">
        <f>IF(Stand!C22="","",Stand!C22)</f>
        <v/>
      </c>
      <c r="C23" s="154" t="str">
        <f>IF(B23="","",VLOOKUP(B23,Stand!C:H,6,0))</f>
        <v/>
      </c>
      <c r="D23" s="28"/>
      <c r="E23" s="189" t="str">
        <f>IF(OR($C23="",E$3=""),"",IF(E$3="Snag",SUMIFS(Tree!$O:$O,Tree!$A:$A,Species_rpt!$B23,Tree!$F:$F,"D",Tree!$K:$K,"&lt;&gt;"&amp;"Y")/$C23,SUMIFS(Tree!$O:$O,Tree!$A:$A,Species_rpt!$B23,Tree!$D:$D,Species_rpt!E$3,Tree!$F:$F,"L",Tree!$K:$K,"&lt;&gt;"&amp;"Y")/$C23))</f>
        <v/>
      </c>
      <c r="F23" s="121" t="str">
        <f>IF(OR($C23="",F$3=""),"",IF(F$3="Snag",SUMIFS(Tree!$O:$O,Tree!$A:$A,Species_rpt!$B23,Tree!$F:$F,"D",Tree!$K:$K,"&lt;&gt;"&amp;"Y")/$C23,SUMIFS(Tree!$O:$O,Tree!$A:$A,Species_rpt!$B23,Tree!$D:$D,Species_rpt!F$3,Tree!$F:$F,"L",Tree!$K:$K,"&lt;&gt;"&amp;"Y")/$C23))</f>
        <v/>
      </c>
      <c r="G23" s="121" t="str">
        <f>IF(OR($C23="",G$3=""),"",IF(G$3="Snag",SUMIFS(Tree!$O:$O,Tree!$A:$A,Species_rpt!$B23,Tree!$F:$F,"D",Tree!$K:$K,"&lt;&gt;"&amp;"Y")/$C23,SUMIFS(Tree!$O:$O,Tree!$A:$A,Species_rpt!$B23,Tree!$D:$D,Species_rpt!G$3,Tree!$F:$F,"L",Tree!$K:$K,"&lt;&gt;"&amp;"Y")/$C23))</f>
        <v/>
      </c>
      <c r="H23" s="121" t="str">
        <f>IF(OR($C23="",H$3=""),"",IF(H$3="Snag",SUMIFS(Tree!$O:$O,Tree!$A:$A,Species_rpt!$B23,Tree!$F:$F,"D",Tree!$K:$K,"&lt;&gt;"&amp;"Y")/$C23,SUMIFS(Tree!$O:$O,Tree!$A:$A,Species_rpt!$B23,Tree!$D:$D,Species_rpt!H$3,Tree!$F:$F,"L",Tree!$K:$K,"&lt;&gt;"&amp;"Y")/$C23))</f>
        <v/>
      </c>
      <c r="I23" s="121" t="str">
        <f>IF(OR($C23="",I$3=""),"",IF(I$3="Snag",SUMIFS(Tree!$O:$O,Tree!$A:$A,Species_rpt!$B23,Tree!$F:$F,"D",Tree!$K:$K,"&lt;&gt;"&amp;"Y")/$C23,SUMIFS(Tree!$O:$O,Tree!$A:$A,Species_rpt!$B23,Tree!$D:$D,Species_rpt!I$3,Tree!$F:$F,"L",Tree!$K:$K,"&lt;&gt;"&amp;"Y")/$C23))</f>
        <v/>
      </c>
      <c r="J23" s="121" t="str">
        <f>IF(OR($C23="",J$3=""),"",IF(J$3="Snag",SUMIFS(Tree!$O:$O,Tree!$A:$A,Species_rpt!$B23,Tree!$F:$F,"D",Tree!$K:$K,"&lt;&gt;"&amp;"Y")/$C23,SUMIFS(Tree!$O:$O,Tree!$A:$A,Species_rpt!$B23,Tree!$D:$D,Species_rpt!J$3,Tree!$F:$F,"L",Tree!$K:$K,"&lt;&gt;"&amp;"Y")/$C23))</f>
        <v/>
      </c>
      <c r="K23" s="121" t="str">
        <f>IF(OR($C23="",K$3=""),"",IF(K$3="Snag",SUMIFS(Tree!$O:$O,Tree!$A:$A,Species_rpt!$B23,Tree!$F:$F,"D",Tree!$K:$K,"&lt;&gt;"&amp;"Y")/$C23,SUMIFS(Tree!$O:$O,Tree!$A:$A,Species_rpt!$B23,Tree!$D:$D,Species_rpt!K$3,Tree!$F:$F,"L",Tree!$K:$K,"&lt;&gt;"&amp;"Y")/$C23))</f>
        <v/>
      </c>
      <c r="L23" s="121" t="str">
        <f>IF(OR($C23="",L$3=""),"",IF(L$3="Snag",SUMIFS(Tree!$O:$O,Tree!$A:$A,Species_rpt!$B23,Tree!$F:$F,"D",Tree!$K:$K,"&lt;&gt;"&amp;"Y")/$C23,SUMIFS(Tree!$O:$O,Tree!$A:$A,Species_rpt!$B23,Tree!$D:$D,Species_rpt!L$3,Tree!$F:$F,"L",Tree!$K:$K,"&lt;&gt;"&amp;"Y")/$C23))</f>
        <v/>
      </c>
      <c r="M23" s="121" t="str">
        <f>IF(OR($C23="",M$3=""),"",IF(M$3="Snag",SUMIFS(Tree!$O:$O,Tree!$A:$A,Species_rpt!$B23,Tree!$F:$F,"D",Tree!$K:$K,"&lt;&gt;"&amp;"Y")/$C23,SUMIFS(Tree!$O:$O,Tree!$A:$A,Species_rpt!$B23,Tree!$D:$D,Species_rpt!M$3,Tree!$F:$F,"L",Tree!$K:$K,"&lt;&gt;"&amp;"Y")/$C23))</f>
        <v/>
      </c>
      <c r="N23" s="154" t="str">
        <f t="shared" si="1"/>
        <v/>
      </c>
      <c r="O23" s="245" t="str">
        <f>IF(OR($C23="",O$3=""),"",IF(O$3="Snag",SUMIFS(Tree!$O:$O,Tree!$A:$A,Species_rpt!$B23,Tree!$F:$F,"D",Tree!$K:$K,"&lt;&gt;"&amp;"Y")/$C23,SUMIFS(Tree!$O:$O,Tree!$A:$A,Species_rpt!$B23,Tree!$D:$D,Species_rpt!O$3,Tree!$F:$F,"L",Tree!$K:$K,"&lt;&gt;"&amp;"Y")/$C23))</f>
        <v/>
      </c>
      <c r="P23" s="206" t="str">
        <f>VLOOKUP($B23,Stand_Biomass!$B$37:$E$63,4,0)</f>
        <v/>
      </c>
      <c r="Q23" s="83"/>
      <c r="R23" s="189" t="str">
        <f>IF(OR($C23="",R$3=""),"",IF(R$3="Snag",SUMIFS(Tree!$R:$R,Tree!$A:$A,Species_rpt!$B23,Tree!$F:$F,"D",Tree!$K:$K,"&lt;&gt;"&amp;"Y")/$C23,SUMIFS(Tree!$R:$R,Tree!$A:$A,Species_rpt!$B23,Tree!$D:$D,Species_rpt!R$3,Tree!$F:$F,"L",Tree!$K:$K,"&lt;&gt;"&amp;"Y")/$C23))</f>
        <v/>
      </c>
      <c r="S23" s="121" t="str">
        <f>IF(OR($C23="",S$3=""),"",IF(S$3="Snag",SUMIFS(Tree!$R:$R,Tree!$A:$A,Species_rpt!$B23,Tree!$F:$F,"D",Tree!$K:$K,"&lt;&gt;"&amp;"Y")/$C23,SUMIFS(Tree!$R:$R,Tree!$A:$A,Species_rpt!$B23,Tree!$D:$D,Species_rpt!S$3,Tree!$F:$F,"L",Tree!$K:$K,"&lt;&gt;"&amp;"Y")/$C23))</f>
        <v/>
      </c>
      <c r="T23" s="121" t="str">
        <f>IF(OR($C23="",T$3=""),"",IF(T$3="Snag",SUMIFS(Tree!$R:$R,Tree!$A:$A,Species_rpt!$B23,Tree!$F:$F,"D",Tree!$K:$K,"&lt;&gt;"&amp;"Y")/$C23,SUMIFS(Tree!$R:$R,Tree!$A:$A,Species_rpt!$B23,Tree!$D:$D,Species_rpt!T$3,Tree!$F:$F,"L",Tree!$K:$K,"&lt;&gt;"&amp;"Y")/$C23))</f>
        <v/>
      </c>
      <c r="U23" s="121" t="str">
        <f>IF(OR($C23="",U$3=""),"",IF(U$3="Snag",SUMIFS(Tree!$R:$R,Tree!$A:$A,Species_rpt!$B23,Tree!$F:$F,"D",Tree!$K:$K,"&lt;&gt;"&amp;"Y")/$C23,SUMIFS(Tree!$R:$R,Tree!$A:$A,Species_rpt!$B23,Tree!$D:$D,Species_rpt!U$3,Tree!$F:$F,"L",Tree!$K:$K,"&lt;&gt;"&amp;"Y")/$C23))</f>
        <v/>
      </c>
      <c r="V23" s="121" t="str">
        <f>IF(OR($C23="",V$3=""),"",IF(V$3="Snag",SUMIFS(Tree!$R:$R,Tree!$A:$A,Species_rpt!$B23,Tree!$F:$F,"D",Tree!$K:$K,"&lt;&gt;"&amp;"Y")/$C23,SUMIFS(Tree!$R:$R,Tree!$A:$A,Species_rpt!$B23,Tree!$D:$D,Species_rpt!V$3,Tree!$F:$F,"L",Tree!$K:$K,"&lt;&gt;"&amp;"Y")/$C23))</f>
        <v/>
      </c>
      <c r="W23" s="121" t="str">
        <f>IF(OR($C23="",W$3=""),"",IF(W$3="Snag",SUMIFS(Tree!$R:$R,Tree!$A:$A,Species_rpt!$B23,Tree!$F:$F,"D",Tree!$K:$K,"&lt;&gt;"&amp;"Y")/$C23,SUMIFS(Tree!$R:$R,Tree!$A:$A,Species_rpt!$B23,Tree!$D:$D,Species_rpt!W$3,Tree!$F:$F,"L",Tree!$K:$K,"&lt;&gt;"&amp;"Y")/$C23))</f>
        <v/>
      </c>
      <c r="X23" s="121" t="str">
        <f>IF(OR($C23="",X$3=""),"",IF(X$3="Snag",SUMIFS(Tree!$R:$R,Tree!$A:$A,Species_rpt!$B23,Tree!$F:$F,"D",Tree!$K:$K,"&lt;&gt;"&amp;"Y")/$C23,SUMIFS(Tree!$R:$R,Tree!$A:$A,Species_rpt!$B23,Tree!$D:$D,Species_rpt!X$3,Tree!$F:$F,"L",Tree!$K:$K,"&lt;&gt;"&amp;"Y")/$C23))</f>
        <v/>
      </c>
      <c r="Y23" s="121" t="str">
        <f>IF(OR($C23="",Y$3=""),"",IF(Y$3="Snag",SUMIFS(Tree!$R:$R,Tree!$A:$A,Species_rpt!$B23,Tree!$F:$F,"D",Tree!$K:$K,"&lt;&gt;"&amp;"Y")/$C23,SUMIFS(Tree!$R:$R,Tree!$A:$A,Species_rpt!$B23,Tree!$D:$D,Species_rpt!Y$3,Tree!$F:$F,"L",Tree!$K:$K,"&lt;&gt;"&amp;"Y")/$C23))</f>
        <v/>
      </c>
      <c r="Z23" s="121" t="str">
        <f>IF(OR($C23="",Z$3=""),"",IF(Z$3="Snag",SUMIFS(Tree!$R:$R,Tree!$A:$A,Species_rpt!$B23,Tree!$F:$F,"D",Tree!$K:$K,"&lt;&gt;"&amp;"Y")/$C23,SUMIFS(Tree!$R:$R,Tree!$A:$A,Species_rpt!$B23,Tree!$D:$D,Species_rpt!Z$3,Tree!$F:$F,"L",Tree!$K:$K,"&lt;&gt;"&amp;"Y")/$C23))</f>
        <v/>
      </c>
      <c r="AA23" s="154" t="str">
        <f t="shared" si="2"/>
        <v/>
      </c>
      <c r="AB23" s="245" t="str">
        <f>IF(OR($C23="",AB$3=""),"",IF(AB$3="Snag",SUMIFS(Tree!$R:$R,Tree!$A:$A,Species_rpt!$B23,Tree!$F:$F,"D",Tree!$K:$K,"&lt;&gt;"&amp;"Y")/$C23,SUMIFS(Tree!$R:$R,Tree!$A:$A,Species_rpt!$B23,Tree!$D:$D,Species_rpt!AB$3,Tree!$F:$F,"L",Tree!$K:$K,"&lt;&gt;"&amp;"Y")/$C23))</f>
        <v/>
      </c>
      <c r="AC23" s="206" t="str">
        <f>IF(B23="","",VLOOKUP(B23,Stand_Biomass!$B$37:$H$63,7,0))</f>
        <v/>
      </c>
    </row>
    <row r="24" spans="2:29" x14ac:dyDescent="0.25">
      <c r="B24" s="201" t="str">
        <f>IF(Stand!C23="","",Stand!C23)</f>
        <v/>
      </c>
      <c r="C24" s="154" t="str">
        <f>IF(B24="","",VLOOKUP(B24,Stand!C:H,6,0))</f>
        <v/>
      </c>
      <c r="D24" s="28"/>
      <c r="E24" s="189" t="str">
        <f>IF(OR($C24="",E$3=""),"",IF(E$3="Snag",SUMIFS(Tree!$O:$O,Tree!$A:$A,Species_rpt!$B24,Tree!$F:$F,"D",Tree!$K:$K,"&lt;&gt;"&amp;"Y")/$C24,SUMIFS(Tree!$O:$O,Tree!$A:$A,Species_rpt!$B24,Tree!$D:$D,Species_rpt!E$3,Tree!$F:$F,"L",Tree!$K:$K,"&lt;&gt;"&amp;"Y")/$C24))</f>
        <v/>
      </c>
      <c r="F24" s="121" t="str">
        <f>IF(OR($C24="",F$3=""),"",IF(F$3="Snag",SUMIFS(Tree!$O:$O,Tree!$A:$A,Species_rpt!$B24,Tree!$F:$F,"D",Tree!$K:$K,"&lt;&gt;"&amp;"Y")/$C24,SUMIFS(Tree!$O:$O,Tree!$A:$A,Species_rpt!$B24,Tree!$D:$D,Species_rpt!F$3,Tree!$F:$F,"L",Tree!$K:$K,"&lt;&gt;"&amp;"Y")/$C24))</f>
        <v/>
      </c>
      <c r="G24" s="121" t="str">
        <f>IF(OR($C24="",G$3=""),"",IF(G$3="Snag",SUMIFS(Tree!$O:$O,Tree!$A:$A,Species_rpt!$B24,Tree!$F:$F,"D",Tree!$K:$K,"&lt;&gt;"&amp;"Y")/$C24,SUMIFS(Tree!$O:$O,Tree!$A:$A,Species_rpt!$B24,Tree!$D:$D,Species_rpt!G$3,Tree!$F:$F,"L",Tree!$K:$K,"&lt;&gt;"&amp;"Y")/$C24))</f>
        <v/>
      </c>
      <c r="H24" s="121" t="str">
        <f>IF(OR($C24="",H$3=""),"",IF(H$3="Snag",SUMIFS(Tree!$O:$O,Tree!$A:$A,Species_rpt!$B24,Tree!$F:$F,"D",Tree!$K:$K,"&lt;&gt;"&amp;"Y")/$C24,SUMIFS(Tree!$O:$O,Tree!$A:$A,Species_rpt!$B24,Tree!$D:$D,Species_rpt!H$3,Tree!$F:$F,"L",Tree!$K:$K,"&lt;&gt;"&amp;"Y")/$C24))</f>
        <v/>
      </c>
      <c r="I24" s="121" t="str">
        <f>IF(OR($C24="",I$3=""),"",IF(I$3="Snag",SUMIFS(Tree!$O:$O,Tree!$A:$A,Species_rpt!$B24,Tree!$F:$F,"D",Tree!$K:$K,"&lt;&gt;"&amp;"Y")/$C24,SUMIFS(Tree!$O:$O,Tree!$A:$A,Species_rpt!$B24,Tree!$D:$D,Species_rpt!I$3,Tree!$F:$F,"L",Tree!$K:$K,"&lt;&gt;"&amp;"Y")/$C24))</f>
        <v/>
      </c>
      <c r="J24" s="121" t="str">
        <f>IF(OR($C24="",J$3=""),"",IF(J$3="Snag",SUMIFS(Tree!$O:$O,Tree!$A:$A,Species_rpt!$B24,Tree!$F:$F,"D",Tree!$K:$K,"&lt;&gt;"&amp;"Y")/$C24,SUMIFS(Tree!$O:$O,Tree!$A:$A,Species_rpt!$B24,Tree!$D:$D,Species_rpt!J$3,Tree!$F:$F,"L",Tree!$K:$K,"&lt;&gt;"&amp;"Y")/$C24))</f>
        <v/>
      </c>
      <c r="K24" s="121" t="str">
        <f>IF(OR($C24="",K$3=""),"",IF(K$3="Snag",SUMIFS(Tree!$O:$O,Tree!$A:$A,Species_rpt!$B24,Tree!$F:$F,"D",Tree!$K:$K,"&lt;&gt;"&amp;"Y")/$C24,SUMIFS(Tree!$O:$O,Tree!$A:$A,Species_rpt!$B24,Tree!$D:$D,Species_rpt!K$3,Tree!$F:$F,"L",Tree!$K:$K,"&lt;&gt;"&amp;"Y")/$C24))</f>
        <v/>
      </c>
      <c r="L24" s="121" t="str">
        <f>IF(OR($C24="",L$3=""),"",IF(L$3="Snag",SUMIFS(Tree!$O:$O,Tree!$A:$A,Species_rpt!$B24,Tree!$F:$F,"D",Tree!$K:$K,"&lt;&gt;"&amp;"Y")/$C24,SUMIFS(Tree!$O:$O,Tree!$A:$A,Species_rpt!$B24,Tree!$D:$D,Species_rpt!L$3,Tree!$F:$F,"L",Tree!$K:$K,"&lt;&gt;"&amp;"Y")/$C24))</f>
        <v/>
      </c>
      <c r="M24" s="121" t="str">
        <f>IF(OR($C24="",M$3=""),"",IF(M$3="Snag",SUMIFS(Tree!$O:$O,Tree!$A:$A,Species_rpt!$B24,Tree!$F:$F,"D",Tree!$K:$K,"&lt;&gt;"&amp;"Y")/$C24,SUMIFS(Tree!$O:$O,Tree!$A:$A,Species_rpt!$B24,Tree!$D:$D,Species_rpt!M$3,Tree!$F:$F,"L",Tree!$K:$K,"&lt;&gt;"&amp;"Y")/$C24))</f>
        <v/>
      </c>
      <c r="N24" s="154" t="str">
        <f t="shared" si="1"/>
        <v/>
      </c>
      <c r="O24" s="245" t="str">
        <f>IF(OR($C24="",O$3=""),"",IF(O$3="Snag",SUMIFS(Tree!$O:$O,Tree!$A:$A,Species_rpt!$B24,Tree!$F:$F,"D",Tree!$K:$K,"&lt;&gt;"&amp;"Y")/$C24,SUMIFS(Tree!$O:$O,Tree!$A:$A,Species_rpt!$B24,Tree!$D:$D,Species_rpt!O$3,Tree!$F:$F,"L",Tree!$K:$K,"&lt;&gt;"&amp;"Y")/$C24))</f>
        <v/>
      </c>
      <c r="P24" s="206" t="str">
        <f>VLOOKUP($B24,Stand_Biomass!$B$37:$E$63,4,0)</f>
        <v/>
      </c>
      <c r="Q24" s="83"/>
      <c r="R24" s="189" t="str">
        <f>IF(OR($C24="",R$3=""),"",IF(R$3="Snag",SUMIFS(Tree!$R:$R,Tree!$A:$A,Species_rpt!$B24,Tree!$F:$F,"D",Tree!$K:$K,"&lt;&gt;"&amp;"Y")/$C24,SUMIFS(Tree!$R:$R,Tree!$A:$A,Species_rpt!$B24,Tree!$D:$D,Species_rpt!R$3,Tree!$F:$F,"L",Tree!$K:$K,"&lt;&gt;"&amp;"Y")/$C24))</f>
        <v/>
      </c>
      <c r="S24" s="121" t="str">
        <f>IF(OR($C24="",S$3=""),"",IF(S$3="Snag",SUMIFS(Tree!$R:$R,Tree!$A:$A,Species_rpt!$B24,Tree!$F:$F,"D",Tree!$K:$K,"&lt;&gt;"&amp;"Y")/$C24,SUMIFS(Tree!$R:$R,Tree!$A:$A,Species_rpt!$B24,Tree!$D:$D,Species_rpt!S$3,Tree!$F:$F,"L",Tree!$K:$K,"&lt;&gt;"&amp;"Y")/$C24))</f>
        <v/>
      </c>
      <c r="T24" s="121" t="str">
        <f>IF(OR($C24="",T$3=""),"",IF(T$3="Snag",SUMIFS(Tree!$R:$R,Tree!$A:$A,Species_rpt!$B24,Tree!$F:$F,"D",Tree!$K:$K,"&lt;&gt;"&amp;"Y")/$C24,SUMIFS(Tree!$R:$R,Tree!$A:$A,Species_rpt!$B24,Tree!$D:$D,Species_rpt!T$3,Tree!$F:$F,"L",Tree!$K:$K,"&lt;&gt;"&amp;"Y")/$C24))</f>
        <v/>
      </c>
      <c r="U24" s="121" t="str">
        <f>IF(OR($C24="",U$3=""),"",IF(U$3="Snag",SUMIFS(Tree!$R:$R,Tree!$A:$A,Species_rpt!$B24,Tree!$F:$F,"D",Tree!$K:$K,"&lt;&gt;"&amp;"Y")/$C24,SUMIFS(Tree!$R:$R,Tree!$A:$A,Species_rpt!$B24,Tree!$D:$D,Species_rpt!U$3,Tree!$F:$F,"L",Tree!$K:$K,"&lt;&gt;"&amp;"Y")/$C24))</f>
        <v/>
      </c>
      <c r="V24" s="121" t="str">
        <f>IF(OR($C24="",V$3=""),"",IF(V$3="Snag",SUMIFS(Tree!$R:$R,Tree!$A:$A,Species_rpt!$B24,Tree!$F:$F,"D",Tree!$K:$K,"&lt;&gt;"&amp;"Y")/$C24,SUMIFS(Tree!$R:$R,Tree!$A:$A,Species_rpt!$B24,Tree!$D:$D,Species_rpt!V$3,Tree!$F:$F,"L",Tree!$K:$K,"&lt;&gt;"&amp;"Y")/$C24))</f>
        <v/>
      </c>
      <c r="W24" s="121" t="str">
        <f>IF(OR($C24="",W$3=""),"",IF(W$3="Snag",SUMIFS(Tree!$R:$R,Tree!$A:$A,Species_rpt!$B24,Tree!$F:$F,"D",Tree!$K:$K,"&lt;&gt;"&amp;"Y")/$C24,SUMIFS(Tree!$R:$R,Tree!$A:$A,Species_rpt!$B24,Tree!$D:$D,Species_rpt!W$3,Tree!$F:$F,"L",Tree!$K:$K,"&lt;&gt;"&amp;"Y")/$C24))</f>
        <v/>
      </c>
      <c r="X24" s="121" t="str">
        <f>IF(OR($C24="",X$3=""),"",IF(X$3="Snag",SUMIFS(Tree!$R:$R,Tree!$A:$A,Species_rpt!$B24,Tree!$F:$F,"D",Tree!$K:$K,"&lt;&gt;"&amp;"Y")/$C24,SUMIFS(Tree!$R:$R,Tree!$A:$A,Species_rpt!$B24,Tree!$D:$D,Species_rpt!X$3,Tree!$F:$F,"L",Tree!$K:$K,"&lt;&gt;"&amp;"Y")/$C24))</f>
        <v/>
      </c>
      <c r="Y24" s="121" t="str">
        <f>IF(OR($C24="",Y$3=""),"",IF(Y$3="Snag",SUMIFS(Tree!$R:$R,Tree!$A:$A,Species_rpt!$B24,Tree!$F:$F,"D",Tree!$K:$K,"&lt;&gt;"&amp;"Y")/$C24,SUMIFS(Tree!$R:$R,Tree!$A:$A,Species_rpt!$B24,Tree!$D:$D,Species_rpt!Y$3,Tree!$F:$F,"L",Tree!$K:$K,"&lt;&gt;"&amp;"Y")/$C24))</f>
        <v/>
      </c>
      <c r="Z24" s="121" t="str">
        <f>IF(OR($C24="",Z$3=""),"",IF(Z$3="Snag",SUMIFS(Tree!$R:$R,Tree!$A:$A,Species_rpt!$B24,Tree!$F:$F,"D",Tree!$K:$K,"&lt;&gt;"&amp;"Y")/$C24,SUMIFS(Tree!$R:$R,Tree!$A:$A,Species_rpt!$B24,Tree!$D:$D,Species_rpt!Z$3,Tree!$F:$F,"L",Tree!$K:$K,"&lt;&gt;"&amp;"Y")/$C24))</f>
        <v/>
      </c>
      <c r="AA24" s="154" t="str">
        <f t="shared" si="2"/>
        <v/>
      </c>
      <c r="AB24" s="245" t="str">
        <f>IF(OR($C24="",AB$3=""),"",IF(AB$3="Snag",SUMIFS(Tree!$R:$R,Tree!$A:$A,Species_rpt!$B24,Tree!$F:$F,"D",Tree!$K:$K,"&lt;&gt;"&amp;"Y")/$C24,SUMIFS(Tree!$R:$R,Tree!$A:$A,Species_rpt!$B24,Tree!$D:$D,Species_rpt!AB$3,Tree!$F:$F,"L",Tree!$K:$K,"&lt;&gt;"&amp;"Y")/$C24))</f>
        <v/>
      </c>
      <c r="AC24" s="206" t="str">
        <f>IF(B24="","",VLOOKUP(B24,Stand_Biomass!$B$37:$H$63,7,0))</f>
        <v/>
      </c>
    </row>
    <row r="25" spans="2:29" x14ac:dyDescent="0.25">
      <c r="B25" s="201" t="str">
        <f>IF(Stand!C24="","",Stand!C24)</f>
        <v/>
      </c>
      <c r="C25" s="154" t="str">
        <f>IF(B25="","",VLOOKUP(B25,Stand!C:H,6,0))</f>
        <v/>
      </c>
      <c r="D25" s="28"/>
      <c r="E25" s="189" t="str">
        <f>IF(OR($C25="",E$3=""),"",IF(E$3="Snag",SUMIFS(Tree!$O:$O,Tree!$A:$A,Species_rpt!$B25,Tree!$F:$F,"D",Tree!$K:$K,"&lt;&gt;"&amp;"Y")/$C25,SUMIFS(Tree!$O:$O,Tree!$A:$A,Species_rpt!$B25,Tree!$D:$D,Species_rpt!E$3,Tree!$F:$F,"L",Tree!$K:$K,"&lt;&gt;"&amp;"Y")/$C25))</f>
        <v/>
      </c>
      <c r="F25" s="121" t="str">
        <f>IF(OR($C25="",F$3=""),"",IF(F$3="Snag",SUMIFS(Tree!$O:$O,Tree!$A:$A,Species_rpt!$B25,Tree!$F:$F,"D",Tree!$K:$K,"&lt;&gt;"&amp;"Y")/$C25,SUMIFS(Tree!$O:$O,Tree!$A:$A,Species_rpt!$B25,Tree!$D:$D,Species_rpt!F$3,Tree!$F:$F,"L",Tree!$K:$K,"&lt;&gt;"&amp;"Y")/$C25))</f>
        <v/>
      </c>
      <c r="G25" s="121" t="str">
        <f>IF(OR($C25="",G$3=""),"",IF(G$3="Snag",SUMIFS(Tree!$O:$O,Tree!$A:$A,Species_rpt!$B25,Tree!$F:$F,"D",Tree!$K:$K,"&lt;&gt;"&amp;"Y")/$C25,SUMIFS(Tree!$O:$O,Tree!$A:$A,Species_rpt!$B25,Tree!$D:$D,Species_rpt!G$3,Tree!$F:$F,"L",Tree!$K:$K,"&lt;&gt;"&amp;"Y")/$C25))</f>
        <v/>
      </c>
      <c r="H25" s="121" t="str">
        <f>IF(OR($C25="",H$3=""),"",IF(H$3="Snag",SUMIFS(Tree!$O:$O,Tree!$A:$A,Species_rpt!$B25,Tree!$F:$F,"D",Tree!$K:$K,"&lt;&gt;"&amp;"Y")/$C25,SUMIFS(Tree!$O:$O,Tree!$A:$A,Species_rpt!$B25,Tree!$D:$D,Species_rpt!H$3,Tree!$F:$F,"L",Tree!$K:$K,"&lt;&gt;"&amp;"Y")/$C25))</f>
        <v/>
      </c>
      <c r="I25" s="121" t="str">
        <f>IF(OR($C25="",I$3=""),"",IF(I$3="Snag",SUMIFS(Tree!$O:$O,Tree!$A:$A,Species_rpt!$B25,Tree!$F:$F,"D",Tree!$K:$K,"&lt;&gt;"&amp;"Y")/$C25,SUMIFS(Tree!$O:$O,Tree!$A:$A,Species_rpt!$B25,Tree!$D:$D,Species_rpt!I$3,Tree!$F:$F,"L",Tree!$K:$K,"&lt;&gt;"&amp;"Y")/$C25))</f>
        <v/>
      </c>
      <c r="J25" s="121" t="str">
        <f>IF(OR($C25="",J$3=""),"",IF(J$3="Snag",SUMIFS(Tree!$O:$O,Tree!$A:$A,Species_rpt!$B25,Tree!$F:$F,"D",Tree!$K:$K,"&lt;&gt;"&amp;"Y")/$C25,SUMIFS(Tree!$O:$O,Tree!$A:$A,Species_rpt!$B25,Tree!$D:$D,Species_rpt!J$3,Tree!$F:$F,"L",Tree!$K:$K,"&lt;&gt;"&amp;"Y")/$C25))</f>
        <v/>
      </c>
      <c r="K25" s="121" t="str">
        <f>IF(OR($C25="",K$3=""),"",IF(K$3="Snag",SUMIFS(Tree!$O:$O,Tree!$A:$A,Species_rpt!$B25,Tree!$F:$F,"D",Tree!$K:$K,"&lt;&gt;"&amp;"Y")/$C25,SUMIFS(Tree!$O:$O,Tree!$A:$A,Species_rpt!$B25,Tree!$D:$D,Species_rpt!K$3,Tree!$F:$F,"L",Tree!$K:$K,"&lt;&gt;"&amp;"Y")/$C25))</f>
        <v/>
      </c>
      <c r="L25" s="121" t="str">
        <f>IF(OR($C25="",L$3=""),"",IF(L$3="Snag",SUMIFS(Tree!$O:$O,Tree!$A:$A,Species_rpt!$B25,Tree!$F:$F,"D",Tree!$K:$K,"&lt;&gt;"&amp;"Y")/$C25,SUMIFS(Tree!$O:$O,Tree!$A:$A,Species_rpt!$B25,Tree!$D:$D,Species_rpt!L$3,Tree!$F:$F,"L",Tree!$K:$K,"&lt;&gt;"&amp;"Y")/$C25))</f>
        <v/>
      </c>
      <c r="M25" s="121" t="str">
        <f>IF(OR($C25="",M$3=""),"",IF(M$3="Snag",SUMIFS(Tree!$O:$O,Tree!$A:$A,Species_rpt!$B25,Tree!$F:$F,"D",Tree!$K:$K,"&lt;&gt;"&amp;"Y")/$C25,SUMIFS(Tree!$O:$O,Tree!$A:$A,Species_rpt!$B25,Tree!$D:$D,Species_rpt!M$3,Tree!$F:$F,"L",Tree!$K:$K,"&lt;&gt;"&amp;"Y")/$C25))</f>
        <v/>
      </c>
      <c r="N25" s="154" t="str">
        <f t="shared" si="1"/>
        <v/>
      </c>
      <c r="O25" s="245" t="str">
        <f>IF(OR($C25="",O$3=""),"",IF(O$3="Snag",SUMIFS(Tree!$O:$O,Tree!$A:$A,Species_rpt!$B25,Tree!$F:$F,"D",Tree!$K:$K,"&lt;&gt;"&amp;"Y")/$C25,SUMIFS(Tree!$O:$O,Tree!$A:$A,Species_rpt!$B25,Tree!$D:$D,Species_rpt!O$3,Tree!$F:$F,"L",Tree!$K:$K,"&lt;&gt;"&amp;"Y")/$C25))</f>
        <v/>
      </c>
      <c r="P25" s="206" t="str">
        <f>VLOOKUP($B25,Stand_Biomass!$B$37:$E$63,4,0)</f>
        <v/>
      </c>
      <c r="Q25" s="83"/>
      <c r="R25" s="189" t="str">
        <f>IF(OR($C25="",R$3=""),"",IF(R$3="Snag",SUMIFS(Tree!$R:$R,Tree!$A:$A,Species_rpt!$B25,Tree!$F:$F,"D",Tree!$K:$K,"&lt;&gt;"&amp;"Y")/$C25,SUMIFS(Tree!$R:$R,Tree!$A:$A,Species_rpt!$B25,Tree!$D:$D,Species_rpt!R$3,Tree!$F:$F,"L",Tree!$K:$K,"&lt;&gt;"&amp;"Y")/$C25))</f>
        <v/>
      </c>
      <c r="S25" s="121" t="str">
        <f>IF(OR($C25="",S$3=""),"",IF(S$3="Snag",SUMIFS(Tree!$R:$R,Tree!$A:$A,Species_rpt!$B25,Tree!$F:$F,"D",Tree!$K:$K,"&lt;&gt;"&amp;"Y")/$C25,SUMIFS(Tree!$R:$R,Tree!$A:$A,Species_rpt!$B25,Tree!$D:$D,Species_rpt!S$3,Tree!$F:$F,"L",Tree!$K:$K,"&lt;&gt;"&amp;"Y")/$C25))</f>
        <v/>
      </c>
      <c r="T25" s="121" t="str">
        <f>IF(OR($C25="",T$3=""),"",IF(T$3="Snag",SUMIFS(Tree!$R:$R,Tree!$A:$A,Species_rpt!$B25,Tree!$F:$F,"D",Tree!$K:$K,"&lt;&gt;"&amp;"Y")/$C25,SUMIFS(Tree!$R:$R,Tree!$A:$A,Species_rpt!$B25,Tree!$D:$D,Species_rpt!T$3,Tree!$F:$F,"L",Tree!$K:$K,"&lt;&gt;"&amp;"Y")/$C25))</f>
        <v/>
      </c>
      <c r="U25" s="121" t="str">
        <f>IF(OR($C25="",U$3=""),"",IF(U$3="Snag",SUMIFS(Tree!$R:$R,Tree!$A:$A,Species_rpt!$B25,Tree!$F:$F,"D",Tree!$K:$K,"&lt;&gt;"&amp;"Y")/$C25,SUMIFS(Tree!$R:$R,Tree!$A:$A,Species_rpt!$B25,Tree!$D:$D,Species_rpt!U$3,Tree!$F:$F,"L",Tree!$K:$K,"&lt;&gt;"&amp;"Y")/$C25))</f>
        <v/>
      </c>
      <c r="V25" s="121" t="str">
        <f>IF(OR($C25="",V$3=""),"",IF(V$3="Snag",SUMIFS(Tree!$R:$R,Tree!$A:$A,Species_rpt!$B25,Tree!$F:$F,"D",Tree!$K:$K,"&lt;&gt;"&amp;"Y")/$C25,SUMIFS(Tree!$R:$R,Tree!$A:$A,Species_rpt!$B25,Tree!$D:$D,Species_rpt!V$3,Tree!$F:$F,"L",Tree!$K:$K,"&lt;&gt;"&amp;"Y")/$C25))</f>
        <v/>
      </c>
      <c r="W25" s="121" t="str">
        <f>IF(OR($C25="",W$3=""),"",IF(W$3="Snag",SUMIFS(Tree!$R:$R,Tree!$A:$A,Species_rpt!$B25,Tree!$F:$F,"D",Tree!$K:$K,"&lt;&gt;"&amp;"Y")/$C25,SUMIFS(Tree!$R:$R,Tree!$A:$A,Species_rpt!$B25,Tree!$D:$D,Species_rpt!W$3,Tree!$F:$F,"L",Tree!$K:$K,"&lt;&gt;"&amp;"Y")/$C25))</f>
        <v/>
      </c>
      <c r="X25" s="121" t="str">
        <f>IF(OR($C25="",X$3=""),"",IF(X$3="Snag",SUMIFS(Tree!$R:$R,Tree!$A:$A,Species_rpt!$B25,Tree!$F:$F,"D",Tree!$K:$K,"&lt;&gt;"&amp;"Y")/$C25,SUMIFS(Tree!$R:$R,Tree!$A:$A,Species_rpt!$B25,Tree!$D:$D,Species_rpt!X$3,Tree!$F:$F,"L",Tree!$K:$K,"&lt;&gt;"&amp;"Y")/$C25))</f>
        <v/>
      </c>
      <c r="Y25" s="121" t="str">
        <f>IF(OR($C25="",Y$3=""),"",IF(Y$3="Snag",SUMIFS(Tree!$R:$R,Tree!$A:$A,Species_rpt!$B25,Tree!$F:$F,"D",Tree!$K:$K,"&lt;&gt;"&amp;"Y")/$C25,SUMIFS(Tree!$R:$R,Tree!$A:$A,Species_rpt!$B25,Tree!$D:$D,Species_rpt!Y$3,Tree!$F:$F,"L",Tree!$K:$K,"&lt;&gt;"&amp;"Y")/$C25))</f>
        <v/>
      </c>
      <c r="Z25" s="121" t="str">
        <f>IF(OR($C25="",Z$3=""),"",IF(Z$3="Snag",SUMIFS(Tree!$R:$R,Tree!$A:$A,Species_rpt!$B25,Tree!$F:$F,"D",Tree!$K:$K,"&lt;&gt;"&amp;"Y")/$C25,SUMIFS(Tree!$R:$R,Tree!$A:$A,Species_rpt!$B25,Tree!$D:$D,Species_rpt!Z$3,Tree!$F:$F,"L",Tree!$K:$K,"&lt;&gt;"&amp;"Y")/$C25))</f>
        <v/>
      </c>
      <c r="AA25" s="154" t="str">
        <f t="shared" si="2"/>
        <v/>
      </c>
      <c r="AB25" s="245" t="str">
        <f>IF(OR($C25="",AB$3=""),"",IF(AB$3="Snag",SUMIFS(Tree!$R:$R,Tree!$A:$A,Species_rpt!$B25,Tree!$F:$F,"D",Tree!$K:$K,"&lt;&gt;"&amp;"Y")/$C25,SUMIFS(Tree!$R:$R,Tree!$A:$A,Species_rpt!$B25,Tree!$D:$D,Species_rpt!AB$3,Tree!$F:$F,"L",Tree!$K:$K,"&lt;&gt;"&amp;"Y")/$C25))</f>
        <v/>
      </c>
      <c r="AC25" s="206" t="str">
        <f>IF(B25="","",VLOOKUP(B25,Stand_Biomass!$B$37:$H$63,7,0))</f>
        <v/>
      </c>
    </row>
    <row r="26" spans="2:29" x14ac:dyDescent="0.25">
      <c r="B26" s="201" t="str">
        <f>IF(Stand!C25="","",Stand!C25)</f>
        <v/>
      </c>
      <c r="C26" s="154" t="str">
        <f>IF(B26="","",VLOOKUP(B26,Stand!C:H,6,0))</f>
        <v/>
      </c>
      <c r="D26" s="28"/>
      <c r="E26" s="189" t="str">
        <f>IF(OR($C26="",E$3=""),"",IF(E$3="Snag",SUMIFS(Tree!$O:$O,Tree!$A:$A,Species_rpt!$B26,Tree!$F:$F,"D",Tree!$K:$K,"&lt;&gt;"&amp;"Y")/$C26,SUMIFS(Tree!$O:$O,Tree!$A:$A,Species_rpt!$B26,Tree!$D:$D,Species_rpt!E$3,Tree!$F:$F,"L",Tree!$K:$K,"&lt;&gt;"&amp;"Y")/$C26))</f>
        <v/>
      </c>
      <c r="F26" s="121" t="str">
        <f>IF(OR($C26="",F$3=""),"",IF(F$3="Snag",SUMIFS(Tree!$O:$O,Tree!$A:$A,Species_rpt!$B26,Tree!$F:$F,"D",Tree!$K:$K,"&lt;&gt;"&amp;"Y")/$C26,SUMIFS(Tree!$O:$O,Tree!$A:$A,Species_rpt!$B26,Tree!$D:$D,Species_rpt!F$3,Tree!$F:$F,"L",Tree!$K:$K,"&lt;&gt;"&amp;"Y")/$C26))</f>
        <v/>
      </c>
      <c r="G26" s="121" t="str">
        <f>IF(OR($C26="",G$3=""),"",IF(G$3="Snag",SUMIFS(Tree!$O:$O,Tree!$A:$A,Species_rpt!$B26,Tree!$F:$F,"D",Tree!$K:$K,"&lt;&gt;"&amp;"Y")/$C26,SUMIFS(Tree!$O:$O,Tree!$A:$A,Species_rpt!$B26,Tree!$D:$D,Species_rpt!G$3,Tree!$F:$F,"L",Tree!$K:$K,"&lt;&gt;"&amp;"Y")/$C26))</f>
        <v/>
      </c>
      <c r="H26" s="121" t="str">
        <f>IF(OR($C26="",H$3=""),"",IF(H$3="Snag",SUMIFS(Tree!$O:$O,Tree!$A:$A,Species_rpt!$B26,Tree!$F:$F,"D",Tree!$K:$K,"&lt;&gt;"&amp;"Y")/$C26,SUMIFS(Tree!$O:$O,Tree!$A:$A,Species_rpt!$B26,Tree!$D:$D,Species_rpt!H$3,Tree!$F:$F,"L",Tree!$K:$K,"&lt;&gt;"&amp;"Y")/$C26))</f>
        <v/>
      </c>
      <c r="I26" s="121" t="str">
        <f>IF(OR($C26="",I$3=""),"",IF(I$3="Snag",SUMIFS(Tree!$O:$O,Tree!$A:$A,Species_rpt!$B26,Tree!$F:$F,"D",Tree!$K:$K,"&lt;&gt;"&amp;"Y")/$C26,SUMIFS(Tree!$O:$O,Tree!$A:$A,Species_rpt!$B26,Tree!$D:$D,Species_rpt!I$3,Tree!$F:$F,"L",Tree!$K:$K,"&lt;&gt;"&amp;"Y")/$C26))</f>
        <v/>
      </c>
      <c r="J26" s="121" t="str">
        <f>IF(OR($C26="",J$3=""),"",IF(J$3="Snag",SUMIFS(Tree!$O:$O,Tree!$A:$A,Species_rpt!$B26,Tree!$F:$F,"D",Tree!$K:$K,"&lt;&gt;"&amp;"Y")/$C26,SUMIFS(Tree!$O:$O,Tree!$A:$A,Species_rpt!$B26,Tree!$D:$D,Species_rpt!J$3,Tree!$F:$F,"L",Tree!$K:$K,"&lt;&gt;"&amp;"Y")/$C26))</f>
        <v/>
      </c>
      <c r="K26" s="121" t="str">
        <f>IF(OR($C26="",K$3=""),"",IF(K$3="Snag",SUMIFS(Tree!$O:$O,Tree!$A:$A,Species_rpt!$B26,Tree!$F:$F,"D",Tree!$K:$K,"&lt;&gt;"&amp;"Y")/$C26,SUMIFS(Tree!$O:$O,Tree!$A:$A,Species_rpt!$B26,Tree!$D:$D,Species_rpt!K$3,Tree!$F:$F,"L",Tree!$K:$K,"&lt;&gt;"&amp;"Y")/$C26))</f>
        <v/>
      </c>
      <c r="L26" s="121" t="str">
        <f>IF(OR($C26="",L$3=""),"",IF(L$3="Snag",SUMIFS(Tree!$O:$O,Tree!$A:$A,Species_rpt!$B26,Tree!$F:$F,"D",Tree!$K:$K,"&lt;&gt;"&amp;"Y")/$C26,SUMIFS(Tree!$O:$O,Tree!$A:$A,Species_rpt!$B26,Tree!$D:$D,Species_rpt!L$3,Tree!$F:$F,"L",Tree!$K:$K,"&lt;&gt;"&amp;"Y")/$C26))</f>
        <v/>
      </c>
      <c r="M26" s="121" t="str">
        <f>IF(OR($C26="",M$3=""),"",IF(M$3="Snag",SUMIFS(Tree!$O:$O,Tree!$A:$A,Species_rpt!$B26,Tree!$F:$F,"D",Tree!$K:$K,"&lt;&gt;"&amp;"Y")/$C26,SUMIFS(Tree!$O:$O,Tree!$A:$A,Species_rpt!$B26,Tree!$D:$D,Species_rpt!M$3,Tree!$F:$F,"L",Tree!$K:$K,"&lt;&gt;"&amp;"Y")/$C26))</f>
        <v/>
      </c>
      <c r="N26" s="154" t="str">
        <f t="shared" si="1"/>
        <v/>
      </c>
      <c r="O26" s="245" t="str">
        <f>IF(OR($C26="",O$3=""),"",IF(O$3="Snag",SUMIFS(Tree!$O:$O,Tree!$A:$A,Species_rpt!$B26,Tree!$F:$F,"D",Tree!$K:$K,"&lt;&gt;"&amp;"Y")/$C26,SUMIFS(Tree!$O:$O,Tree!$A:$A,Species_rpt!$B26,Tree!$D:$D,Species_rpt!O$3,Tree!$F:$F,"L",Tree!$K:$K,"&lt;&gt;"&amp;"Y")/$C26))</f>
        <v/>
      </c>
      <c r="P26" s="206" t="str">
        <f>VLOOKUP($B26,Stand_Biomass!$B$37:$E$63,4,0)</f>
        <v/>
      </c>
      <c r="Q26" s="83"/>
      <c r="R26" s="189" t="str">
        <f>IF(OR($C26="",R$3=""),"",IF(R$3="Snag",SUMIFS(Tree!$R:$R,Tree!$A:$A,Species_rpt!$B26,Tree!$F:$F,"D",Tree!$K:$K,"&lt;&gt;"&amp;"Y")/$C26,SUMIFS(Tree!$R:$R,Tree!$A:$A,Species_rpt!$B26,Tree!$D:$D,Species_rpt!R$3,Tree!$F:$F,"L",Tree!$K:$K,"&lt;&gt;"&amp;"Y")/$C26))</f>
        <v/>
      </c>
      <c r="S26" s="121" t="str">
        <f>IF(OR($C26="",S$3=""),"",IF(S$3="Snag",SUMIFS(Tree!$R:$R,Tree!$A:$A,Species_rpt!$B26,Tree!$F:$F,"D",Tree!$K:$K,"&lt;&gt;"&amp;"Y")/$C26,SUMIFS(Tree!$R:$R,Tree!$A:$A,Species_rpt!$B26,Tree!$D:$D,Species_rpt!S$3,Tree!$F:$F,"L",Tree!$K:$K,"&lt;&gt;"&amp;"Y")/$C26))</f>
        <v/>
      </c>
      <c r="T26" s="121" t="str">
        <f>IF(OR($C26="",T$3=""),"",IF(T$3="Snag",SUMIFS(Tree!$R:$R,Tree!$A:$A,Species_rpt!$B26,Tree!$F:$F,"D",Tree!$K:$K,"&lt;&gt;"&amp;"Y")/$C26,SUMIFS(Tree!$R:$R,Tree!$A:$A,Species_rpt!$B26,Tree!$D:$D,Species_rpt!T$3,Tree!$F:$F,"L",Tree!$K:$K,"&lt;&gt;"&amp;"Y")/$C26))</f>
        <v/>
      </c>
      <c r="U26" s="121" t="str">
        <f>IF(OR($C26="",U$3=""),"",IF(U$3="Snag",SUMIFS(Tree!$R:$R,Tree!$A:$A,Species_rpt!$B26,Tree!$F:$F,"D",Tree!$K:$K,"&lt;&gt;"&amp;"Y")/$C26,SUMIFS(Tree!$R:$R,Tree!$A:$A,Species_rpt!$B26,Tree!$D:$D,Species_rpt!U$3,Tree!$F:$F,"L",Tree!$K:$K,"&lt;&gt;"&amp;"Y")/$C26))</f>
        <v/>
      </c>
      <c r="V26" s="121" t="str">
        <f>IF(OR($C26="",V$3=""),"",IF(V$3="Snag",SUMIFS(Tree!$R:$R,Tree!$A:$A,Species_rpt!$B26,Tree!$F:$F,"D",Tree!$K:$K,"&lt;&gt;"&amp;"Y")/$C26,SUMIFS(Tree!$R:$R,Tree!$A:$A,Species_rpt!$B26,Tree!$D:$D,Species_rpt!V$3,Tree!$F:$F,"L",Tree!$K:$K,"&lt;&gt;"&amp;"Y")/$C26))</f>
        <v/>
      </c>
      <c r="W26" s="121" t="str">
        <f>IF(OR($C26="",W$3=""),"",IF(W$3="Snag",SUMIFS(Tree!$R:$R,Tree!$A:$A,Species_rpt!$B26,Tree!$F:$F,"D",Tree!$K:$K,"&lt;&gt;"&amp;"Y")/$C26,SUMIFS(Tree!$R:$R,Tree!$A:$A,Species_rpt!$B26,Tree!$D:$D,Species_rpt!W$3,Tree!$F:$F,"L",Tree!$K:$K,"&lt;&gt;"&amp;"Y")/$C26))</f>
        <v/>
      </c>
      <c r="X26" s="121" t="str">
        <f>IF(OR($C26="",X$3=""),"",IF(X$3="Snag",SUMIFS(Tree!$R:$R,Tree!$A:$A,Species_rpt!$B26,Tree!$F:$F,"D",Tree!$K:$K,"&lt;&gt;"&amp;"Y")/$C26,SUMIFS(Tree!$R:$R,Tree!$A:$A,Species_rpt!$B26,Tree!$D:$D,Species_rpt!X$3,Tree!$F:$F,"L",Tree!$K:$K,"&lt;&gt;"&amp;"Y")/$C26))</f>
        <v/>
      </c>
      <c r="Y26" s="121" t="str">
        <f>IF(OR($C26="",Y$3=""),"",IF(Y$3="Snag",SUMIFS(Tree!$R:$R,Tree!$A:$A,Species_rpt!$B26,Tree!$F:$F,"D",Tree!$K:$K,"&lt;&gt;"&amp;"Y")/$C26,SUMIFS(Tree!$R:$R,Tree!$A:$A,Species_rpt!$B26,Tree!$D:$D,Species_rpt!Y$3,Tree!$F:$F,"L",Tree!$K:$K,"&lt;&gt;"&amp;"Y")/$C26))</f>
        <v/>
      </c>
      <c r="Z26" s="121" t="str">
        <f>IF(OR($C26="",Z$3=""),"",IF(Z$3="Snag",SUMIFS(Tree!$R:$R,Tree!$A:$A,Species_rpt!$B26,Tree!$F:$F,"D",Tree!$K:$K,"&lt;&gt;"&amp;"Y")/$C26,SUMIFS(Tree!$R:$R,Tree!$A:$A,Species_rpt!$B26,Tree!$D:$D,Species_rpt!Z$3,Tree!$F:$F,"L",Tree!$K:$K,"&lt;&gt;"&amp;"Y")/$C26))</f>
        <v/>
      </c>
      <c r="AA26" s="154" t="str">
        <f t="shared" si="2"/>
        <v/>
      </c>
      <c r="AB26" s="245" t="str">
        <f>IF(OR($C26="",AB$3=""),"",IF(AB$3="Snag",SUMIFS(Tree!$R:$R,Tree!$A:$A,Species_rpt!$B26,Tree!$F:$F,"D",Tree!$K:$K,"&lt;&gt;"&amp;"Y")/$C26,SUMIFS(Tree!$R:$R,Tree!$A:$A,Species_rpt!$B26,Tree!$D:$D,Species_rpt!AB$3,Tree!$F:$F,"L",Tree!$K:$K,"&lt;&gt;"&amp;"Y")/$C26))</f>
        <v/>
      </c>
      <c r="AC26" s="206" t="str">
        <f>IF(B26="","",VLOOKUP(B26,Stand_Biomass!$B$37:$H$63,7,0))</f>
        <v/>
      </c>
    </row>
    <row r="27" spans="2:29" x14ac:dyDescent="0.25">
      <c r="B27" s="201" t="str">
        <f>IF(Stand!C26="","",Stand!C26)</f>
        <v/>
      </c>
      <c r="C27" s="154" t="str">
        <f>IF(B27="","",VLOOKUP(B27,Stand!C:H,6,0))</f>
        <v/>
      </c>
      <c r="D27" s="28"/>
      <c r="E27" s="189" t="str">
        <f>IF(OR($C27="",E$3=""),"",IF(E$3="Snag",SUMIFS(Tree!$O:$O,Tree!$A:$A,Species_rpt!$B27,Tree!$F:$F,"D",Tree!$K:$K,"&lt;&gt;"&amp;"Y")/$C27,SUMIFS(Tree!$O:$O,Tree!$A:$A,Species_rpt!$B27,Tree!$D:$D,Species_rpt!E$3,Tree!$F:$F,"L",Tree!$K:$K,"&lt;&gt;"&amp;"Y")/$C27))</f>
        <v/>
      </c>
      <c r="F27" s="121" t="str">
        <f>IF(OR($C27="",F$3=""),"",IF(F$3="Snag",SUMIFS(Tree!$O:$O,Tree!$A:$A,Species_rpt!$B27,Tree!$F:$F,"D",Tree!$K:$K,"&lt;&gt;"&amp;"Y")/$C27,SUMIFS(Tree!$O:$O,Tree!$A:$A,Species_rpt!$B27,Tree!$D:$D,Species_rpt!F$3,Tree!$F:$F,"L",Tree!$K:$K,"&lt;&gt;"&amp;"Y")/$C27))</f>
        <v/>
      </c>
      <c r="G27" s="121" t="str">
        <f>IF(OR($C27="",G$3=""),"",IF(G$3="Snag",SUMIFS(Tree!$O:$O,Tree!$A:$A,Species_rpt!$B27,Tree!$F:$F,"D",Tree!$K:$K,"&lt;&gt;"&amp;"Y")/$C27,SUMIFS(Tree!$O:$O,Tree!$A:$A,Species_rpt!$B27,Tree!$D:$D,Species_rpt!G$3,Tree!$F:$F,"L",Tree!$K:$K,"&lt;&gt;"&amp;"Y")/$C27))</f>
        <v/>
      </c>
      <c r="H27" s="121" t="str">
        <f>IF(OR($C27="",H$3=""),"",IF(H$3="Snag",SUMIFS(Tree!$O:$O,Tree!$A:$A,Species_rpt!$B27,Tree!$F:$F,"D",Tree!$K:$K,"&lt;&gt;"&amp;"Y")/$C27,SUMIFS(Tree!$O:$O,Tree!$A:$A,Species_rpt!$B27,Tree!$D:$D,Species_rpt!H$3,Tree!$F:$F,"L",Tree!$K:$K,"&lt;&gt;"&amp;"Y")/$C27))</f>
        <v/>
      </c>
      <c r="I27" s="121" t="str">
        <f>IF(OR($C27="",I$3=""),"",IF(I$3="Snag",SUMIFS(Tree!$O:$O,Tree!$A:$A,Species_rpt!$B27,Tree!$F:$F,"D",Tree!$K:$K,"&lt;&gt;"&amp;"Y")/$C27,SUMIFS(Tree!$O:$O,Tree!$A:$A,Species_rpt!$B27,Tree!$D:$D,Species_rpt!I$3,Tree!$F:$F,"L",Tree!$K:$K,"&lt;&gt;"&amp;"Y")/$C27))</f>
        <v/>
      </c>
      <c r="J27" s="121" t="str">
        <f>IF(OR($C27="",J$3=""),"",IF(J$3="Snag",SUMIFS(Tree!$O:$O,Tree!$A:$A,Species_rpt!$B27,Tree!$F:$F,"D",Tree!$K:$K,"&lt;&gt;"&amp;"Y")/$C27,SUMIFS(Tree!$O:$O,Tree!$A:$A,Species_rpt!$B27,Tree!$D:$D,Species_rpt!J$3,Tree!$F:$F,"L",Tree!$K:$K,"&lt;&gt;"&amp;"Y")/$C27))</f>
        <v/>
      </c>
      <c r="K27" s="121" t="str">
        <f>IF(OR($C27="",K$3=""),"",IF(K$3="Snag",SUMIFS(Tree!$O:$O,Tree!$A:$A,Species_rpt!$B27,Tree!$F:$F,"D",Tree!$K:$K,"&lt;&gt;"&amp;"Y")/$C27,SUMIFS(Tree!$O:$O,Tree!$A:$A,Species_rpt!$B27,Tree!$D:$D,Species_rpt!K$3,Tree!$F:$F,"L",Tree!$K:$K,"&lt;&gt;"&amp;"Y")/$C27))</f>
        <v/>
      </c>
      <c r="L27" s="121" t="str">
        <f>IF(OR($C27="",L$3=""),"",IF(L$3="Snag",SUMIFS(Tree!$O:$O,Tree!$A:$A,Species_rpt!$B27,Tree!$F:$F,"D",Tree!$K:$K,"&lt;&gt;"&amp;"Y")/$C27,SUMIFS(Tree!$O:$O,Tree!$A:$A,Species_rpt!$B27,Tree!$D:$D,Species_rpt!L$3,Tree!$F:$F,"L",Tree!$K:$K,"&lt;&gt;"&amp;"Y")/$C27))</f>
        <v/>
      </c>
      <c r="M27" s="121" t="str">
        <f>IF(OR($C27="",M$3=""),"",IF(M$3="Snag",SUMIFS(Tree!$O:$O,Tree!$A:$A,Species_rpt!$B27,Tree!$F:$F,"D",Tree!$K:$K,"&lt;&gt;"&amp;"Y")/$C27,SUMIFS(Tree!$O:$O,Tree!$A:$A,Species_rpt!$B27,Tree!$D:$D,Species_rpt!M$3,Tree!$F:$F,"L",Tree!$K:$K,"&lt;&gt;"&amp;"Y")/$C27))</f>
        <v/>
      </c>
      <c r="N27" s="154" t="str">
        <f t="shared" si="1"/>
        <v/>
      </c>
      <c r="O27" s="245" t="str">
        <f>IF(OR($C27="",O$3=""),"",IF(O$3="Snag",SUMIFS(Tree!$O:$O,Tree!$A:$A,Species_rpt!$B27,Tree!$F:$F,"D",Tree!$K:$K,"&lt;&gt;"&amp;"Y")/$C27,SUMIFS(Tree!$O:$O,Tree!$A:$A,Species_rpt!$B27,Tree!$D:$D,Species_rpt!O$3,Tree!$F:$F,"L",Tree!$K:$K,"&lt;&gt;"&amp;"Y")/$C27))</f>
        <v/>
      </c>
      <c r="P27" s="206" t="str">
        <f>VLOOKUP($B27,Stand_Biomass!$B$37:$E$63,4,0)</f>
        <v/>
      </c>
      <c r="Q27" s="83"/>
      <c r="R27" s="189" t="str">
        <f>IF(OR($C27="",R$3=""),"",IF(R$3="Snag",SUMIFS(Tree!$R:$R,Tree!$A:$A,Species_rpt!$B27,Tree!$F:$F,"D",Tree!$K:$K,"&lt;&gt;"&amp;"Y")/$C27,SUMIFS(Tree!$R:$R,Tree!$A:$A,Species_rpt!$B27,Tree!$D:$D,Species_rpt!R$3,Tree!$F:$F,"L",Tree!$K:$K,"&lt;&gt;"&amp;"Y")/$C27))</f>
        <v/>
      </c>
      <c r="S27" s="121" t="str">
        <f>IF(OR($C27="",S$3=""),"",IF(S$3="Snag",SUMIFS(Tree!$R:$R,Tree!$A:$A,Species_rpt!$B27,Tree!$F:$F,"D",Tree!$K:$K,"&lt;&gt;"&amp;"Y")/$C27,SUMIFS(Tree!$R:$R,Tree!$A:$A,Species_rpt!$B27,Tree!$D:$D,Species_rpt!S$3,Tree!$F:$F,"L",Tree!$K:$K,"&lt;&gt;"&amp;"Y")/$C27))</f>
        <v/>
      </c>
      <c r="T27" s="121" t="str">
        <f>IF(OR($C27="",T$3=""),"",IF(T$3="Snag",SUMIFS(Tree!$R:$R,Tree!$A:$A,Species_rpt!$B27,Tree!$F:$F,"D",Tree!$K:$K,"&lt;&gt;"&amp;"Y")/$C27,SUMIFS(Tree!$R:$R,Tree!$A:$A,Species_rpt!$B27,Tree!$D:$D,Species_rpt!T$3,Tree!$F:$F,"L",Tree!$K:$K,"&lt;&gt;"&amp;"Y")/$C27))</f>
        <v/>
      </c>
      <c r="U27" s="121" t="str">
        <f>IF(OR($C27="",U$3=""),"",IF(U$3="Snag",SUMIFS(Tree!$R:$R,Tree!$A:$A,Species_rpt!$B27,Tree!$F:$F,"D",Tree!$K:$K,"&lt;&gt;"&amp;"Y")/$C27,SUMIFS(Tree!$R:$R,Tree!$A:$A,Species_rpt!$B27,Tree!$D:$D,Species_rpt!U$3,Tree!$F:$F,"L",Tree!$K:$K,"&lt;&gt;"&amp;"Y")/$C27))</f>
        <v/>
      </c>
      <c r="V27" s="121" t="str">
        <f>IF(OR($C27="",V$3=""),"",IF(V$3="Snag",SUMIFS(Tree!$R:$R,Tree!$A:$A,Species_rpt!$B27,Tree!$F:$F,"D",Tree!$K:$K,"&lt;&gt;"&amp;"Y")/$C27,SUMIFS(Tree!$R:$R,Tree!$A:$A,Species_rpt!$B27,Tree!$D:$D,Species_rpt!V$3,Tree!$F:$F,"L",Tree!$K:$K,"&lt;&gt;"&amp;"Y")/$C27))</f>
        <v/>
      </c>
      <c r="W27" s="121" t="str">
        <f>IF(OR($C27="",W$3=""),"",IF(W$3="Snag",SUMIFS(Tree!$R:$R,Tree!$A:$A,Species_rpt!$B27,Tree!$F:$F,"D",Tree!$K:$K,"&lt;&gt;"&amp;"Y")/$C27,SUMIFS(Tree!$R:$R,Tree!$A:$A,Species_rpt!$B27,Tree!$D:$D,Species_rpt!W$3,Tree!$F:$F,"L",Tree!$K:$K,"&lt;&gt;"&amp;"Y")/$C27))</f>
        <v/>
      </c>
      <c r="X27" s="121" t="str">
        <f>IF(OR($C27="",X$3=""),"",IF(X$3="Snag",SUMIFS(Tree!$R:$R,Tree!$A:$A,Species_rpt!$B27,Tree!$F:$F,"D",Tree!$K:$K,"&lt;&gt;"&amp;"Y")/$C27,SUMIFS(Tree!$R:$R,Tree!$A:$A,Species_rpt!$B27,Tree!$D:$D,Species_rpt!X$3,Tree!$F:$F,"L",Tree!$K:$K,"&lt;&gt;"&amp;"Y")/$C27))</f>
        <v/>
      </c>
      <c r="Y27" s="121" t="str">
        <f>IF(OR($C27="",Y$3=""),"",IF(Y$3="Snag",SUMIFS(Tree!$R:$R,Tree!$A:$A,Species_rpt!$B27,Tree!$F:$F,"D",Tree!$K:$K,"&lt;&gt;"&amp;"Y")/$C27,SUMIFS(Tree!$R:$R,Tree!$A:$A,Species_rpt!$B27,Tree!$D:$D,Species_rpt!Y$3,Tree!$F:$F,"L",Tree!$K:$K,"&lt;&gt;"&amp;"Y")/$C27))</f>
        <v/>
      </c>
      <c r="Z27" s="121" t="str">
        <f>IF(OR($C27="",Z$3=""),"",IF(Z$3="Snag",SUMIFS(Tree!$R:$R,Tree!$A:$A,Species_rpt!$B27,Tree!$F:$F,"D",Tree!$K:$K,"&lt;&gt;"&amp;"Y")/$C27,SUMIFS(Tree!$R:$R,Tree!$A:$A,Species_rpt!$B27,Tree!$D:$D,Species_rpt!Z$3,Tree!$F:$F,"L",Tree!$K:$K,"&lt;&gt;"&amp;"Y")/$C27))</f>
        <v/>
      </c>
      <c r="AA27" s="154" t="str">
        <f t="shared" si="2"/>
        <v/>
      </c>
      <c r="AB27" s="245" t="str">
        <f>IF(OR($C27="",AB$3=""),"",IF(AB$3="Snag",SUMIFS(Tree!$R:$R,Tree!$A:$A,Species_rpt!$B27,Tree!$F:$F,"D",Tree!$K:$K,"&lt;&gt;"&amp;"Y")/$C27,SUMIFS(Tree!$R:$R,Tree!$A:$A,Species_rpt!$B27,Tree!$D:$D,Species_rpt!AB$3,Tree!$F:$F,"L",Tree!$K:$K,"&lt;&gt;"&amp;"Y")/$C27))</f>
        <v/>
      </c>
      <c r="AC27" s="206" t="str">
        <f>IF(B27="","",VLOOKUP(B27,Stand_Biomass!$B$37:$H$63,7,0))</f>
        <v/>
      </c>
    </row>
    <row r="28" spans="2:29" x14ac:dyDescent="0.25">
      <c r="B28" s="201" t="str">
        <f>IF(Stand!C27="","",Stand!C27)</f>
        <v/>
      </c>
      <c r="C28" s="154" t="str">
        <f>IF(B28="","",VLOOKUP(B28,Stand!C:H,6,0))</f>
        <v/>
      </c>
      <c r="D28" s="28"/>
      <c r="E28" s="189" t="str">
        <f>IF(OR($C28="",E$3=""),"",IF(E$3="Snag",SUMIFS(Tree!$O:$O,Tree!$A:$A,Species_rpt!$B28,Tree!$F:$F,"D",Tree!$K:$K,"&lt;&gt;"&amp;"Y")/$C28,SUMIFS(Tree!$O:$O,Tree!$A:$A,Species_rpt!$B28,Tree!$D:$D,Species_rpt!E$3,Tree!$F:$F,"L",Tree!$K:$K,"&lt;&gt;"&amp;"Y")/$C28))</f>
        <v/>
      </c>
      <c r="F28" s="121" t="str">
        <f>IF(OR($C28="",F$3=""),"",IF(F$3="Snag",SUMIFS(Tree!$O:$O,Tree!$A:$A,Species_rpt!$B28,Tree!$F:$F,"D",Tree!$K:$K,"&lt;&gt;"&amp;"Y")/$C28,SUMIFS(Tree!$O:$O,Tree!$A:$A,Species_rpt!$B28,Tree!$D:$D,Species_rpt!F$3,Tree!$F:$F,"L",Tree!$K:$K,"&lt;&gt;"&amp;"Y")/$C28))</f>
        <v/>
      </c>
      <c r="G28" s="121" t="str">
        <f>IF(OR($C28="",G$3=""),"",IF(G$3="Snag",SUMIFS(Tree!$O:$O,Tree!$A:$A,Species_rpt!$B28,Tree!$F:$F,"D",Tree!$K:$K,"&lt;&gt;"&amp;"Y")/$C28,SUMIFS(Tree!$O:$O,Tree!$A:$A,Species_rpt!$B28,Tree!$D:$D,Species_rpt!G$3,Tree!$F:$F,"L",Tree!$K:$K,"&lt;&gt;"&amp;"Y")/$C28))</f>
        <v/>
      </c>
      <c r="H28" s="121" t="str">
        <f>IF(OR($C28="",H$3=""),"",IF(H$3="Snag",SUMIFS(Tree!$O:$O,Tree!$A:$A,Species_rpt!$B28,Tree!$F:$F,"D",Tree!$K:$K,"&lt;&gt;"&amp;"Y")/$C28,SUMIFS(Tree!$O:$O,Tree!$A:$A,Species_rpt!$B28,Tree!$D:$D,Species_rpt!H$3,Tree!$F:$F,"L",Tree!$K:$K,"&lt;&gt;"&amp;"Y")/$C28))</f>
        <v/>
      </c>
      <c r="I28" s="121" t="str">
        <f>IF(OR($C28="",I$3=""),"",IF(I$3="Snag",SUMIFS(Tree!$O:$O,Tree!$A:$A,Species_rpt!$B28,Tree!$F:$F,"D",Tree!$K:$K,"&lt;&gt;"&amp;"Y")/$C28,SUMIFS(Tree!$O:$O,Tree!$A:$A,Species_rpt!$B28,Tree!$D:$D,Species_rpt!I$3,Tree!$F:$F,"L",Tree!$K:$K,"&lt;&gt;"&amp;"Y")/$C28))</f>
        <v/>
      </c>
      <c r="J28" s="121" t="str">
        <f>IF(OR($C28="",J$3=""),"",IF(J$3="Snag",SUMIFS(Tree!$O:$O,Tree!$A:$A,Species_rpt!$B28,Tree!$F:$F,"D",Tree!$K:$K,"&lt;&gt;"&amp;"Y")/$C28,SUMIFS(Tree!$O:$O,Tree!$A:$A,Species_rpt!$B28,Tree!$D:$D,Species_rpt!J$3,Tree!$F:$F,"L",Tree!$K:$K,"&lt;&gt;"&amp;"Y")/$C28))</f>
        <v/>
      </c>
      <c r="K28" s="121" t="str">
        <f>IF(OR($C28="",K$3=""),"",IF(K$3="Snag",SUMIFS(Tree!$O:$O,Tree!$A:$A,Species_rpt!$B28,Tree!$F:$F,"D",Tree!$K:$K,"&lt;&gt;"&amp;"Y")/$C28,SUMIFS(Tree!$O:$O,Tree!$A:$A,Species_rpt!$B28,Tree!$D:$D,Species_rpt!K$3,Tree!$F:$F,"L",Tree!$K:$K,"&lt;&gt;"&amp;"Y")/$C28))</f>
        <v/>
      </c>
      <c r="L28" s="121" t="str">
        <f>IF(OR($C28="",L$3=""),"",IF(L$3="Snag",SUMIFS(Tree!$O:$O,Tree!$A:$A,Species_rpt!$B28,Tree!$F:$F,"D",Tree!$K:$K,"&lt;&gt;"&amp;"Y")/$C28,SUMIFS(Tree!$O:$O,Tree!$A:$A,Species_rpt!$B28,Tree!$D:$D,Species_rpt!L$3,Tree!$F:$F,"L",Tree!$K:$K,"&lt;&gt;"&amp;"Y")/$C28))</f>
        <v/>
      </c>
      <c r="M28" s="121" t="str">
        <f>IF(OR($C28="",M$3=""),"",IF(M$3="Snag",SUMIFS(Tree!$O:$O,Tree!$A:$A,Species_rpt!$B28,Tree!$F:$F,"D",Tree!$K:$K,"&lt;&gt;"&amp;"Y")/$C28,SUMIFS(Tree!$O:$O,Tree!$A:$A,Species_rpt!$B28,Tree!$D:$D,Species_rpt!M$3,Tree!$F:$F,"L",Tree!$K:$K,"&lt;&gt;"&amp;"Y")/$C28))</f>
        <v/>
      </c>
      <c r="N28" s="154" t="str">
        <f t="shared" si="1"/>
        <v/>
      </c>
      <c r="O28" s="245" t="str">
        <f>IF(OR($C28="",O$3=""),"",IF(O$3="Snag",SUMIFS(Tree!$O:$O,Tree!$A:$A,Species_rpt!$B28,Tree!$F:$F,"D",Tree!$K:$K,"&lt;&gt;"&amp;"Y")/$C28,SUMIFS(Tree!$O:$O,Tree!$A:$A,Species_rpt!$B28,Tree!$D:$D,Species_rpt!O$3,Tree!$F:$F,"L",Tree!$K:$K,"&lt;&gt;"&amp;"Y")/$C28))</f>
        <v/>
      </c>
      <c r="P28" s="206" t="str">
        <f>VLOOKUP($B28,Stand_Biomass!$B$37:$E$63,4,0)</f>
        <v/>
      </c>
      <c r="Q28" s="83"/>
      <c r="R28" s="189" t="str">
        <f>IF(OR($C28="",R$3=""),"",IF(R$3="Snag",SUMIFS(Tree!$R:$R,Tree!$A:$A,Species_rpt!$B28,Tree!$F:$F,"D",Tree!$K:$K,"&lt;&gt;"&amp;"Y")/$C28,SUMIFS(Tree!$R:$R,Tree!$A:$A,Species_rpt!$B28,Tree!$D:$D,Species_rpt!R$3,Tree!$F:$F,"L",Tree!$K:$K,"&lt;&gt;"&amp;"Y")/$C28))</f>
        <v/>
      </c>
      <c r="S28" s="121" t="str">
        <f>IF(OR($C28="",S$3=""),"",IF(S$3="Snag",SUMIFS(Tree!$R:$R,Tree!$A:$A,Species_rpt!$B28,Tree!$F:$F,"D",Tree!$K:$K,"&lt;&gt;"&amp;"Y")/$C28,SUMIFS(Tree!$R:$R,Tree!$A:$A,Species_rpt!$B28,Tree!$D:$D,Species_rpt!S$3,Tree!$F:$F,"L",Tree!$K:$K,"&lt;&gt;"&amp;"Y")/$C28))</f>
        <v/>
      </c>
      <c r="T28" s="121" t="str">
        <f>IF(OR($C28="",T$3=""),"",IF(T$3="Snag",SUMIFS(Tree!$R:$R,Tree!$A:$A,Species_rpt!$B28,Tree!$F:$F,"D",Tree!$K:$K,"&lt;&gt;"&amp;"Y")/$C28,SUMIFS(Tree!$R:$R,Tree!$A:$A,Species_rpt!$B28,Tree!$D:$D,Species_rpt!T$3,Tree!$F:$F,"L",Tree!$K:$K,"&lt;&gt;"&amp;"Y")/$C28))</f>
        <v/>
      </c>
      <c r="U28" s="121" t="str">
        <f>IF(OR($C28="",U$3=""),"",IF(U$3="Snag",SUMIFS(Tree!$R:$R,Tree!$A:$A,Species_rpt!$B28,Tree!$F:$F,"D",Tree!$K:$K,"&lt;&gt;"&amp;"Y")/$C28,SUMIFS(Tree!$R:$R,Tree!$A:$A,Species_rpt!$B28,Tree!$D:$D,Species_rpt!U$3,Tree!$F:$F,"L",Tree!$K:$K,"&lt;&gt;"&amp;"Y")/$C28))</f>
        <v/>
      </c>
      <c r="V28" s="121" t="str">
        <f>IF(OR($C28="",V$3=""),"",IF(V$3="Snag",SUMIFS(Tree!$R:$R,Tree!$A:$A,Species_rpt!$B28,Tree!$F:$F,"D",Tree!$K:$K,"&lt;&gt;"&amp;"Y")/$C28,SUMIFS(Tree!$R:$R,Tree!$A:$A,Species_rpt!$B28,Tree!$D:$D,Species_rpt!V$3,Tree!$F:$F,"L",Tree!$K:$K,"&lt;&gt;"&amp;"Y")/$C28))</f>
        <v/>
      </c>
      <c r="W28" s="121" t="str">
        <f>IF(OR($C28="",W$3=""),"",IF(W$3="Snag",SUMIFS(Tree!$R:$R,Tree!$A:$A,Species_rpt!$B28,Tree!$F:$F,"D",Tree!$K:$K,"&lt;&gt;"&amp;"Y")/$C28,SUMIFS(Tree!$R:$R,Tree!$A:$A,Species_rpt!$B28,Tree!$D:$D,Species_rpt!W$3,Tree!$F:$F,"L",Tree!$K:$K,"&lt;&gt;"&amp;"Y")/$C28))</f>
        <v/>
      </c>
      <c r="X28" s="121" t="str">
        <f>IF(OR($C28="",X$3=""),"",IF(X$3="Snag",SUMIFS(Tree!$R:$R,Tree!$A:$A,Species_rpt!$B28,Tree!$F:$F,"D",Tree!$K:$K,"&lt;&gt;"&amp;"Y")/$C28,SUMIFS(Tree!$R:$R,Tree!$A:$A,Species_rpt!$B28,Tree!$D:$D,Species_rpt!X$3,Tree!$F:$F,"L",Tree!$K:$K,"&lt;&gt;"&amp;"Y")/$C28))</f>
        <v/>
      </c>
      <c r="Y28" s="121" t="str">
        <f>IF(OR($C28="",Y$3=""),"",IF(Y$3="Snag",SUMIFS(Tree!$R:$R,Tree!$A:$A,Species_rpt!$B28,Tree!$F:$F,"D",Tree!$K:$K,"&lt;&gt;"&amp;"Y")/$C28,SUMIFS(Tree!$R:$R,Tree!$A:$A,Species_rpt!$B28,Tree!$D:$D,Species_rpt!Y$3,Tree!$F:$F,"L",Tree!$K:$K,"&lt;&gt;"&amp;"Y")/$C28))</f>
        <v/>
      </c>
      <c r="Z28" s="121" t="str">
        <f>IF(OR($C28="",Z$3=""),"",IF(Z$3="Snag",SUMIFS(Tree!$R:$R,Tree!$A:$A,Species_rpt!$B28,Tree!$F:$F,"D",Tree!$K:$K,"&lt;&gt;"&amp;"Y")/$C28,SUMIFS(Tree!$R:$R,Tree!$A:$A,Species_rpt!$B28,Tree!$D:$D,Species_rpt!Z$3,Tree!$F:$F,"L",Tree!$K:$K,"&lt;&gt;"&amp;"Y")/$C28))</f>
        <v/>
      </c>
      <c r="AA28" s="154" t="str">
        <f t="shared" si="2"/>
        <v/>
      </c>
      <c r="AB28" s="245" t="str">
        <f>IF(OR($C28="",AB$3=""),"",IF(AB$3="Snag",SUMIFS(Tree!$R:$R,Tree!$A:$A,Species_rpt!$B28,Tree!$F:$F,"D",Tree!$K:$K,"&lt;&gt;"&amp;"Y")/$C28,SUMIFS(Tree!$R:$R,Tree!$A:$A,Species_rpt!$B28,Tree!$D:$D,Species_rpt!AB$3,Tree!$F:$F,"L",Tree!$K:$K,"&lt;&gt;"&amp;"Y")/$C28))</f>
        <v/>
      </c>
      <c r="AC28" s="206" t="str">
        <f>IF(B28="","",VLOOKUP(B28,Stand_Biomass!$B$37:$H$63,7,0))</f>
        <v/>
      </c>
    </row>
    <row r="29" spans="2:29" x14ac:dyDescent="0.25">
      <c r="B29" s="201" t="str">
        <f>IF(Stand!C28="","",Stand!C28)</f>
        <v/>
      </c>
      <c r="C29" s="154" t="str">
        <f>IF(B29="","",VLOOKUP(B29,Stand!C:H,6,0))</f>
        <v/>
      </c>
      <c r="D29" s="28"/>
      <c r="E29" s="189" t="str">
        <f>IF(OR($C29="",E$3=""),"",IF(E$3="Snag",SUMIFS(Tree!$O:$O,Tree!$A:$A,Species_rpt!$B29,Tree!$F:$F,"D",Tree!$K:$K,"&lt;&gt;"&amp;"Y")/$C29,SUMIFS(Tree!$O:$O,Tree!$A:$A,Species_rpt!$B29,Tree!$D:$D,Species_rpt!E$3,Tree!$F:$F,"L",Tree!$K:$K,"&lt;&gt;"&amp;"Y")/$C29))</f>
        <v/>
      </c>
      <c r="F29" s="121" t="str">
        <f>IF(OR($C29="",F$3=""),"",IF(F$3="Snag",SUMIFS(Tree!$O:$O,Tree!$A:$A,Species_rpt!$B29,Tree!$F:$F,"D",Tree!$K:$K,"&lt;&gt;"&amp;"Y")/$C29,SUMIFS(Tree!$O:$O,Tree!$A:$A,Species_rpt!$B29,Tree!$D:$D,Species_rpt!F$3,Tree!$F:$F,"L",Tree!$K:$K,"&lt;&gt;"&amp;"Y")/$C29))</f>
        <v/>
      </c>
      <c r="G29" s="121" t="str">
        <f>IF(OR($C29="",G$3=""),"",IF(G$3="Snag",SUMIFS(Tree!$O:$O,Tree!$A:$A,Species_rpt!$B29,Tree!$F:$F,"D",Tree!$K:$K,"&lt;&gt;"&amp;"Y")/$C29,SUMIFS(Tree!$O:$O,Tree!$A:$A,Species_rpt!$B29,Tree!$D:$D,Species_rpt!G$3,Tree!$F:$F,"L",Tree!$K:$K,"&lt;&gt;"&amp;"Y")/$C29))</f>
        <v/>
      </c>
      <c r="H29" s="121" t="str">
        <f>IF(OR($C29="",H$3=""),"",IF(H$3="Snag",SUMIFS(Tree!$O:$O,Tree!$A:$A,Species_rpt!$B29,Tree!$F:$F,"D",Tree!$K:$K,"&lt;&gt;"&amp;"Y")/$C29,SUMIFS(Tree!$O:$O,Tree!$A:$A,Species_rpt!$B29,Tree!$D:$D,Species_rpt!H$3,Tree!$F:$F,"L",Tree!$K:$K,"&lt;&gt;"&amp;"Y")/$C29))</f>
        <v/>
      </c>
      <c r="I29" s="121" t="str">
        <f>IF(OR($C29="",I$3=""),"",IF(I$3="Snag",SUMIFS(Tree!$O:$O,Tree!$A:$A,Species_rpt!$B29,Tree!$F:$F,"D",Tree!$K:$K,"&lt;&gt;"&amp;"Y")/$C29,SUMIFS(Tree!$O:$O,Tree!$A:$A,Species_rpt!$B29,Tree!$D:$D,Species_rpt!I$3,Tree!$F:$F,"L",Tree!$K:$K,"&lt;&gt;"&amp;"Y")/$C29))</f>
        <v/>
      </c>
      <c r="J29" s="121" t="str">
        <f>IF(OR($C29="",J$3=""),"",IF(J$3="Snag",SUMIFS(Tree!$O:$O,Tree!$A:$A,Species_rpt!$B29,Tree!$F:$F,"D",Tree!$K:$K,"&lt;&gt;"&amp;"Y")/$C29,SUMIFS(Tree!$O:$O,Tree!$A:$A,Species_rpt!$B29,Tree!$D:$D,Species_rpt!J$3,Tree!$F:$F,"L",Tree!$K:$K,"&lt;&gt;"&amp;"Y")/$C29))</f>
        <v/>
      </c>
      <c r="K29" s="121" t="str">
        <f>IF(OR($C29="",K$3=""),"",IF(K$3="Snag",SUMIFS(Tree!$O:$O,Tree!$A:$A,Species_rpt!$B29,Tree!$F:$F,"D",Tree!$K:$K,"&lt;&gt;"&amp;"Y")/$C29,SUMIFS(Tree!$O:$O,Tree!$A:$A,Species_rpt!$B29,Tree!$D:$D,Species_rpt!K$3,Tree!$F:$F,"L",Tree!$K:$K,"&lt;&gt;"&amp;"Y")/$C29))</f>
        <v/>
      </c>
      <c r="L29" s="121" t="str">
        <f>IF(OR($C29="",L$3=""),"",IF(L$3="Snag",SUMIFS(Tree!$O:$O,Tree!$A:$A,Species_rpt!$B29,Tree!$F:$F,"D",Tree!$K:$K,"&lt;&gt;"&amp;"Y")/$C29,SUMIFS(Tree!$O:$O,Tree!$A:$A,Species_rpt!$B29,Tree!$D:$D,Species_rpt!L$3,Tree!$F:$F,"L",Tree!$K:$K,"&lt;&gt;"&amp;"Y")/$C29))</f>
        <v/>
      </c>
      <c r="M29" s="121" t="str">
        <f>IF(OR($C29="",M$3=""),"",IF(M$3="Snag",SUMIFS(Tree!$O:$O,Tree!$A:$A,Species_rpt!$B29,Tree!$F:$F,"D",Tree!$K:$K,"&lt;&gt;"&amp;"Y")/$C29,SUMIFS(Tree!$O:$O,Tree!$A:$A,Species_rpt!$B29,Tree!$D:$D,Species_rpt!M$3,Tree!$F:$F,"L",Tree!$K:$K,"&lt;&gt;"&amp;"Y")/$C29))</f>
        <v/>
      </c>
      <c r="N29" s="154" t="str">
        <f t="shared" si="1"/>
        <v/>
      </c>
      <c r="O29" s="245" t="str">
        <f>IF(OR($C29="",O$3=""),"",IF(O$3="Snag",SUMIFS(Tree!$O:$O,Tree!$A:$A,Species_rpt!$B29,Tree!$F:$F,"D",Tree!$K:$K,"&lt;&gt;"&amp;"Y")/$C29,SUMIFS(Tree!$O:$O,Tree!$A:$A,Species_rpt!$B29,Tree!$D:$D,Species_rpt!O$3,Tree!$F:$F,"L",Tree!$K:$K,"&lt;&gt;"&amp;"Y")/$C29))</f>
        <v/>
      </c>
      <c r="P29" s="206" t="str">
        <f>VLOOKUP($B29,Stand_Biomass!$B$37:$E$63,4,0)</f>
        <v/>
      </c>
      <c r="Q29" s="83"/>
      <c r="R29" s="189" t="str">
        <f>IF(OR($C29="",R$3=""),"",IF(R$3="Snag",SUMIFS(Tree!$R:$R,Tree!$A:$A,Species_rpt!$B29,Tree!$F:$F,"D",Tree!$K:$K,"&lt;&gt;"&amp;"Y")/$C29,SUMIFS(Tree!$R:$R,Tree!$A:$A,Species_rpt!$B29,Tree!$D:$D,Species_rpt!R$3,Tree!$F:$F,"L",Tree!$K:$K,"&lt;&gt;"&amp;"Y")/$C29))</f>
        <v/>
      </c>
      <c r="S29" s="121" t="str">
        <f>IF(OR($C29="",S$3=""),"",IF(S$3="Snag",SUMIFS(Tree!$R:$R,Tree!$A:$A,Species_rpt!$B29,Tree!$F:$F,"D",Tree!$K:$K,"&lt;&gt;"&amp;"Y")/$C29,SUMIFS(Tree!$R:$R,Tree!$A:$A,Species_rpt!$B29,Tree!$D:$D,Species_rpt!S$3,Tree!$F:$F,"L",Tree!$K:$K,"&lt;&gt;"&amp;"Y")/$C29))</f>
        <v/>
      </c>
      <c r="T29" s="121" t="str">
        <f>IF(OR($C29="",T$3=""),"",IF(T$3="Snag",SUMIFS(Tree!$R:$R,Tree!$A:$A,Species_rpt!$B29,Tree!$F:$F,"D",Tree!$K:$K,"&lt;&gt;"&amp;"Y")/$C29,SUMIFS(Tree!$R:$R,Tree!$A:$A,Species_rpt!$B29,Tree!$D:$D,Species_rpt!T$3,Tree!$F:$F,"L",Tree!$K:$K,"&lt;&gt;"&amp;"Y")/$C29))</f>
        <v/>
      </c>
      <c r="U29" s="121" t="str">
        <f>IF(OR($C29="",U$3=""),"",IF(U$3="Snag",SUMIFS(Tree!$R:$R,Tree!$A:$A,Species_rpt!$B29,Tree!$F:$F,"D",Tree!$K:$K,"&lt;&gt;"&amp;"Y")/$C29,SUMIFS(Tree!$R:$R,Tree!$A:$A,Species_rpt!$B29,Tree!$D:$D,Species_rpt!U$3,Tree!$F:$F,"L",Tree!$K:$K,"&lt;&gt;"&amp;"Y")/$C29))</f>
        <v/>
      </c>
      <c r="V29" s="121" t="str">
        <f>IF(OR($C29="",V$3=""),"",IF(V$3="Snag",SUMIFS(Tree!$R:$R,Tree!$A:$A,Species_rpt!$B29,Tree!$F:$F,"D",Tree!$K:$K,"&lt;&gt;"&amp;"Y")/$C29,SUMIFS(Tree!$R:$R,Tree!$A:$A,Species_rpt!$B29,Tree!$D:$D,Species_rpt!V$3,Tree!$F:$F,"L",Tree!$K:$K,"&lt;&gt;"&amp;"Y")/$C29))</f>
        <v/>
      </c>
      <c r="W29" s="121" t="str">
        <f>IF(OR($C29="",W$3=""),"",IF(W$3="Snag",SUMIFS(Tree!$R:$R,Tree!$A:$A,Species_rpt!$B29,Tree!$F:$F,"D",Tree!$K:$K,"&lt;&gt;"&amp;"Y")/$C29,SUMIFS(Tree!$R:$R,Tree!$A:$A,Species_rpt!$B29,Tree!$D:$D,Species_rpt!W$3,Tree!$F:$F,"L",Tree!$K:$K,"&lt;&gt;"&amp;"Y")/$C29))</f>
        <v/>
      </c>
      <c r="X29" s="121" t="str">
        <f>IF(OR($C29="",X$3=""),"",IF(X$3="Snag",SUMIFS(Tree!$R:$R,Tree!$A:$A,Species_rpt!$B29,Tree!$F:$F,"D",Tree!$K:$K,"&lt;&gt;"&amp;"Y")/$C29,SUMIFS(Tree!$R:$R,Tree!$A:$A,Species_rpt!$B29,Tree!$D:$D,Species_rpt!X$3,Tree!$F:$F,"L",Tree!$K:$K,"&lt;&gt;"&amp;"Y")/$C29))</f>
        <v/>
      </c>
      <c r="Y29" s="121" t="str">
        <f>IF(OR($C29="",Y$3=""),"",IF(Y$3="Snag",SUMIFS(Tree!$R:$R,Tree!$A:$A,Species_rpt!$B29,Tree!$F:$F,"D",Tree!$K:$K,"&lt;&gt;"&amp;"Y")/$C29,SUMIFS(Tree!$R:$R,Tree!$A:$A,Species_rpt!$B29,Tree!$D:$D,Species_rpt!Y$3,Tree!$F:$F,"L",Tree!$K:$K,"&lt;&gt;"&amp;"Y")/$C29))</f>
        <v/>
      </c>
      <c r="Z29" s="121" t="str">
        <f>IF(OR($C29="",Z$3=""),"",IF(Z$3="Snag",SUMIFS(Tree!$R:$R,Tree!$A:$A,Species_rpt!$B29,Tree!$F:$F,"D",Tree!$K:$K,"&lt;&gt;"&amp;"Y")/$C29,SUMIFS(Tree!$R:$R,Tree!$A:$A,Species_rpt!$B29,Tree!$D:$D,Species_rpt!Z$3,Tree!$F:$F,"L",Tree!$K:$K,"&lt;&gt;"&amp;"Y")/$C29))</f>
        <v/>
      </c>
      <c r="AA29" s="154" t="str">
        <f t="shared" si="2"/>
        <v/>
      </c>
      <c r="AB29" s="245" t="str">
        <f>IF(OR($C29="",AB$3=""),"",IF(AB$3="Snag",SUMIFS(Tree!$R:$R,Tree!$A:$A,Species_rpt!$B29,Tree!$F:$F,"D",Tree!$K:$K,"&lt;&gt;"&amp;"Y")/$C29,SUMIFS(Tree!$R:$R,Tree!$A:$A,Species_rpt!$B29,Tree!$D:$D,Species_rpt!AB$3,Tree!$F:$F,"L",Tree!$K:$K,"&lt;&gt;"&amp;"Y")/$C29))</f>
        <v/>
      </c>
      <c r="AC29" s="206" t="str">
        <f>IF(B29="","",VLOOKUP(B29,Stand_Biomass!$B$37:$H$63,7,0))</f>
        <v/>
      </c>
    </row>
    <row r="30" spans="2:29" ht="13.8" thickBot="1" x14ac:dyDescent="0.3">
      <c r="B30" s="202" t="str">
        <f>IF(Stand!C29="","",Stand!C29)</f>
        <v/>
      </c>
      <c r="C30" s="165" t="str">
        <f>IF(B30="","",VLOOKUP(B30,Stand!C:H,6,0))</f>
        <v/>
      </c>
      <c r="D30" s="28"/>
      <c r="E30" s="190" t="str">
        <f>IF(OR($C30="",E$3=""),"",IF(E$3="Snag",SUMIFS(Tree!$O:$O,Tree!$A:$A,Species_rpt!$B30,Tree!$F:$F,"D",Tree!$K:$K,"&lt;&gt;"&amp;"Y")/$C30,SUMIFS(Tree!$O:$O,Tree!$A:$A,Species_rpt!$B30,Tree!$D:$D,Species_rpt!E$3,Tree!$F:$F,"L",Tree!$K:$K,"&lt;&gt;"&amp;"Y")/$C30))</f>
        <v/>
      </c>
      <c r="F30" s="164" t="str">
        <f>IF(OR($C30="",F$3=""),"",IF(F$3="Snag",SUMIFS(Tree!$O:$O,Tree!$A:$A,Species_rpt!$B30,Tree!$F:$F,"D",Tree!$K:$K,"&lt;&gt;"&amp;"Y")/$C30,SUMIFS(Tree!$O:$O,Tree!$A:$A,Species_rpt!$B30,Tree!$D:$D,Species_rpt!F$3,Tree!$F:$F,"L",Tree!$K:$K,"&lt;&gt;"&amp;"Y")/$C30))</f>
        <v/>
      </c>
      <c r="G30" s="164" t="str">
        <f>IF(OR($C30="",G$3=""),"",IF(G$3="Snag",SUMIFS(Tree!$O:$O,Tree!$A:$A,Species_rpt!$B30,Tree!$F:$F,"D",Tree!$K:$K,"&lt;&gt;"&amp;"Y")/$C30,SUMIFS(Tree!$O:$O,Tree!$A:$A,Species_rpt!$B30,Tree!$D:$D,Species_rpt!G$3,Tree!$F:$F,"L",Tree!$K:$K,"&lt;&gt;"&amp;"Y")/$C30))</f>
        <v/>
      </c>
      <c r="H30" s="164" t="str">
        <f>IF(OR($C30="",H$3=""),"",IF(H$3="Snag",SUMIFS(Tree!$O:$O,Tree!$A:$A,Species_rpt!$B30,Tree!$F:$F,"D",Tree!$K:$K,"&lt;&gt;"&amp;"Y")/$C30,SUMIFS(Tree!$O:$O,Tree!$A:$A,Species_rpt!$B30,Tree!$D:$D,Species_rpt!H$3,Tree!$F:$F,"L",Tree!$K:$K,"&lt;&gt;"&amp;"Y")/$C30))</f>
        <v/>
      </c>
      <c r="I30" s="164" t="str">
        <f>IF(OR($C30="",I$3=""),"",IF(I$3="Snag",SUMIFS(Tree!$O:$O,Tree!$A:$A,Species_rpt!$B30,Tree!$F:$F,"D",Tree!$K:$K,"&lt;&gt;"&amp;"Y")/$C30,SUMIFS(Tree!$O:$O,Tree!$A:$A,Species_rpt!$B30,Tree!$D:$D,Species_rpt!I$3,Tree!$F:$F,"L",Tree!$K:$K,"&lt;&gt;"&amp;"Y")/$C30))</f>
        <v/>
      </c>
      <c r="J30" s="164" t="str">
        <f>IF(OR($C30="",J$3=""),"",IF(J$3="Snag",SUMIFS(Tree!$O:$O,Tree!$A:$A,Species_rpt!$B30,Tree!$F:$F,"D",Tree!$K:$K,"&lt;&gt;"&amp;"Y")/$C30,SUMIFS(Tree!$O:$O,Tree!$A:$A,Species_rpt!$B30,Tree!$D:$D,Species_rpt!J$3,Tree!$F:$F,"L",Tree!$K:$K,"&lt;&gt;"&amp;"Y")/$C30))</f>
        <v/>
      </c>
      <c r="K30" s="164" t="str">
        <f>IF(OR($C30="",K$3=""),"",IF(K$3="Snag",SUMIFS(Tree!$O:$O,Tree!$A:$A,Species_rpt!$B30,Tree!$F:$F,"D",Tree!$K:$K,"&lt;&gt;"&amp;"Y")/$C30,SUMIFS(Tree!$O:$O,Tree!$A:$A,Species_rpt!$B30,Tree!$D:$D,Species_rpt!K$3,Tree!$F:$F,"L",Tree!$K:$K,"&lt;&gt;"&amp;"Y")/$C30))</f>
        <v/>
      </c>
      <c r="L30" s="164" t="str">
        <f>IF(OR($C30="",L$3=""),"",IF(L$3="Snag",SUMIFS(Tree!$O:$O,Tree!$A:$A,Species_rpt!$B30,Tree!$F:$F,"D",Tree!$K:$K,"&lt;&gt;"&amp;"Y")/$C30,SUMIFS(Tree!$O:$O,Tree!$A:$A,Species_rpt!$B30,Tree!$D:$D,Species_rpt!L$3,Tree!$F:$F,"L",Tree!$K:$K,"&lt;&gt;"&amp;"Y")/$C30))</f>
        <v/>
      </c>
      <c r="M30" s="164" t="str">
        <f>IF(OR($C30="",M$3=""),"",IF(M$3="Snag",SUMIFS(Tree!$O:$O,Tree!$A:$A,Species_rpt!$B30,Tree!$F:$F,"D",Tree!$K:$K,"&lt;&gt;"&amp;"Y")/$C30,SUMIFS(Tree!$O:$O,Tree!$A:$A,Species_rpt!$B30,Tree!$D:$D,Species_rpt!M$3,Tree!$F:$F,"L",Tree!$K:$K,"&lt;&gt;"&amp;"Y")/$C30))</f>
        <v/>
      </c>
      <c r="N30" s="165" t="str">
        <f t="shared" si="1"/>
        <v/>
      </c>
      <c r="O30" s="283" t="str">
        <f>IF(OR($C30="",O$3=""),"",IF(O$3="Snag",SUMIFS(Tree!$O:$O,Tree!$A:$A,Species_rpt!$B30,Tree!$F:$F,"D",Tree!$K:$K,"&lt;&gt;"&amp;"Y")/$C30,SUMIFS(Tree!$O:$O,Tree!$A:$A,Species_rpt!$B30,Tree!$D:$D,Species_rpt!O$3,Tree!$F:$F,"L",Tree!$K:$K,"&lt;&gt;"&amp;"Y")/$C30))</f>
        <v/>
      </c>
      <c r="P30" s="207" t="str">
        <f>VLOOKUP($B30,Stand_Biomass!$B$37:$E$63,4,0)</f>
        <v/>
      </c>
      <c r="Q30" s="83"/>
      <c r="R30" s="190" t="str">
        <f>IF(OR($C30="",R$3=""),"",IF(R$3="Snag",SUMIFS(Tree!$R:$R,Tree!$A:$A,Species_rpt!$B30,Tree!$F:$F,"D",Tree!$K:$K,"&lt;&gt;"&amp;"Y")/$C30,SUMIFS(Tree!$R:$R,Tree!$A:$A,Species_rpt!$B30,Tree!$D:$D,Species_rpt!R$3,Tree!$F:$F,"L",Tree!$K:$K,"&lt;&gt;"&amp;"Y")/$C30))</f>
        <v/>
      </c>
      <c r="S30" s="164" t="str">
        <f>IF(OR($C30="",S$3=""),"",IF(S$3="Snag",SUMIFS(Tree!$R:$R,Tree!$A:$A,Species_rpt!$B30,Tree!$F:$F,"D",Tree!$K:$K,"&lt;&gt;"&amp;"Y")/$C30,SUMIFS(Tree!$R:$R,Tree!$A:$A,Species_rpt!$B30,Tree!$D:$D,Species_rpt!S$3,Tree!$F:$F,"L",Tree!$K:$K,"&lt;&gt;"&amp;"Y")/$C30))</f>
        <v/>
      </c>
      <c r="T30" s="164" t="str">
        <f>IF(OR($C30="",T$3=""),"",IF(T$3="Snag",SUMIFS(Tree!$R:$R,Tree!$A:$A,Species_rpt!$B30,Tree!$F:$F,"D",Tree!$K:$K,"&lt;&gt;"&amp;"Y")/$C30,SUMIFS(Tree!$R:$R,Tree!$A:$A,Species_rpt!$B30,Tree!$D:$D,Species_rpt!T$3,Tree!$F:$F,"L",Tree!$K:$K,"&lt;&gt;"&amp;"Y")/$C30))</f>
        <v/>
      </c>
      <c r="U30" s="164" t="str">
        <f>IF(OR($C30="",U$3=""),"",IF(U$3="Snag",SUMIFS(Tree!$R:$R,Tree!$A:$A,Species_rpt!$B30,Tree!$F:$F,"D",Tree!$K:$K,"&lt;&gt;"&amp;"Y")/$C30,SUMIFS(Tree!$R:$R,Tree!$A:$A,Species_rpt!$B30,Tree!$D:$D,Species_rpt!U$3,Tree!$F:$F,"L",Tree!$K:$K,"&lt;&gt;"&amp;"Y")/$C30))</f>
        <v/>
      </c>
      <c r="V30" s="164" t="str">
        <f>IF(OR($C30="",V$3=""),"",IF(V$3="Snag",SUMIFS(Tree!$R:$R,Tree!$A:$A,Species_rpt!$B30,Tree!$F:$F,"D",Tree!$K:$K,"&lt;&gt;"&amp;"Y")/$C30,SUMIFS(Tree!$R:$R,Tree!$A:$A,Species_rpt!$B30,Tree!$D:$D,Species_rpt!V$3,Tree!$F:$F,"L",Tree!$K:$K,"&lt;&gt;"&amp;"Y")/$C30))</f>
        <v/>
      </c>
      <c r="W30" s="164" t="str">
        <f>IF(OR($C30="",W$3=""),"",IF(W$3="Snag",SUMIFS(Tree!$R:$R,Tree!$A:$A,Species_rpt!$B30,Tree!$F:$F,"D",Tree!$K:$K,"&lt;&gt;"&amp;"Y")/$C30,SUMIFS(Tree!$R:$R,Tree!$A:$A,Species_rpt!$B30,Tree!$D:$D,Species_rpt!W$3,Tree!$F:$F,"L",Tree!$K:$K,"&lt;&gt;"&amp;"Y")/$C30))</f>
        <v/>
      </c>
      <c r="X30" s="164" t="str">
        <f>IF(OR($C30="",X$3=""),"",IF(X$3="Snag",SUMIFS(Tree!$R:$R,Tree!$A:$A,Species_rpt!$B30,Tree!$F:$F,"D",Tree!$K:$K,"&lt;&gt;"&amp;"Y")/$C30,SUMIFS(Tree!$R:$R,Tree!$A:$A,Species_rpt!$B30,Tree!$D:$D,Species_rpt!X$3,Tree!$F:$F,"L",Tree!$K:$K,"&lt;&gt;"&amp;"Y")/$C30))</f>
        <v/>
      </c>
      <c r="Y30" s="164" t="str">
        <f>IF(OR($C30="",Y$3=""),"",IF(Y$3="Snag",SUMIFS(Tree!$R:$R,Tree!$A:$A,Species_rpt!$B30,Tree!$F:$F,"D",Tree!$K:$K,"&lt;&gt;"&amp;"Y")/$C30,SUMIFS(Tree!$R:$R,Tree!$A:$A,Species_rpt!$B30,Tree!$D:$D,Species_rpt!Y$3,Tree!$F:$F,"L",Tree!$K:$K,"&lt;&gt;"&amp;"Y")/$C30))</f>
        <v/>
      </c>
      <c r="Z30" s="164" t="str">
        <f>IF(OR($C30="",Z$3=""),"",IF(Z$3="Snag",SUMIFS(Tree!$R:$R,Tree!$A:$A,Species_rpt!$B30,Tree!$F:$F,"D",Tree!$K:$K,"&lt;&gt;"&amp;"Y")/$C30,SUMIFS(Tree!$R:$R,Tree!$A:$A,Species_rpt!$B30,Tree!$D:$D,Species_rpt!Z$3,Tree!$F:$F,"L",Tree!$K:$K,"&lt;&gt;"&amp;"Y")/$C30))</f>
        <v/>
      </c>
      <c r="AA30" s="165" t="str">
        <f t="shared" si="2"/>
        <v/>
      </c>
      <c r="AB30" s="283" t="str">
        <f>IF(OR($C30="",AB$3=""),"",IF(AB$3="Snag",SUMIFS(Tree!$R:$R,Tree!$A:$A,Species_rpt!$B30,Tree!$F:$F,"D",Tree!$K:$K,"&lt;&gt;"&amp;"Y")/$C30,SUMIFS(Tree!$R:$R,Tree!$A:$A,Species_rpt!$B30,Tree!$D:$D,Species_rpt!AB$3,Tree!$F:$F,"L",Tree!$K:$K,"&lt;&gt;"&amp;"Y")/$C30))</f>
        <v/>
      </c>
      <c r="AC30" s="207" t="str">
        <f>IF(B30="","",VLOOKUP(B30,Stand_Biomass!$B$37:$H$63,7,0))</f>
        <v/>
      </c>
    </row>
    <row r="31" spans="2:29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2"/>
      <c r="S31" s="12"/>
      <c r="T31" s="12"/>
      <c r="U31" s="12"/>
      <c r="V31" s="12"/>
      <c r="W31" s="28"/>
      <c r="X31" s="28"/>
      <c r="Y31" s="28"/>
      <c r="Z31" s="28"/>
      <c r="AA31" s="28"/>
      <c r="AB31" s="28"/>
      <c r="AC31" s="28"/>
    </row>
    <row r="32" spans="2:29" s="276" customFormat="1" x14ac:dyDescent="0.25"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3"/>
      <c r="S32" s="273"/>
      <c r="T32" s="273"/>
      <c r="U32" s="273"/>
      <c r="V32" s="273"/>
      <c r="W32" s="272"/>
      <c r="X32" s="272"/>
      <c r="Y32" s="272"/>
      <c r="Z32" s="272"/>
      <c r="AA32" s="272"/>
      <c r="AB32" s="272"/>
      <c r="AC32" s="272"/>
    </row>
    <row r="33" spans="2:29" ht="16.2" thickBot="1" x14ac:dyDescent="0.3">
      <c r="B33" s="604" t="s">
        <v>251</v>
      </c>
      <c r="C33" s="604"/>
      <c r="D33" s="385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12"/>
      <c r="S33" s="12"/>
      <c r="T33" s="12"/>
      <c r="U33" s="12"/>
      <c r="V33" s="12"/>
      <c r="W33" s="28"/>
      <c r="X33" s="28"/>
      <c r="Y33" s="28"/>
      <c r="Z33" s="28"/>
      <c r="AA33" s="28"/>
      <c r="AB33" s="28"/>
      <c r="AC33" s="28"/>
    </row>
    <row r="34" spans="2:29" ht="18" thickBot="1" x14ac:dyDescent="0.35">
      <c r="B34" s="605"/>
      <c r="C34" s="605"/>
      <c r="D34" s="386"/>
      <c r="E34" s="606" t="s">
        <v>90</v>
      </c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13"/>
      <c r="Q34" s="28"/>
      <c r="R34" s="614" t="s">
        <v>91</v>
      </c>
      <c r="S34" s="615"/>
      <c r="T34" s="615"/>
      <c r="U34" s="615"/>
      <c r="V34" s="615"/>
      <c r="W34" s="615"/>
      <c r="X34" s="615"/>
      <c r="Y34" s="615"/>
      <c r="Z34" s="615"/>
      <c r="AA34" s="615"/>
      <c r="AB34" s="615"/>
      <c r="AC34" s="616"/>
    </row>
    <row r="35" spans="2:29" ht="13.8" thickBot="1" x14ac:dyDescent="0.3">
      <c r="B35" s="199" t="s">
        <v>82</v>
      </c>
      <c r="C35" s="200" t="s">
        <v>92</v>
      </c>
      <c r="D35" s="28"/>
      <c r="E35" s="450" t="str">
        <f t="shared" ref="E35:M35" si="3">IF(E3="","",E3)</f>
        <v>DF</v>
      </c>
      <c r="F35" s="451" t="str">
        <f t="shared" si="3"/>
        <v>BM</v>
      </c>
      <c r="G35" s="451" t="str">
        <f t="shared" si="3"/>
        <v>WH</v>
      </c>
      <c r="H35" s="451" t="str">
        <f t="shared" si="3"/>
        <v>RA</v>
      </c>
      <c r="I35" s="451" t="str">
        <f t="shared" si="3"/>
        <v>SS</v>
      </c>
      <c r="J35" s="451" t="str">
        <f t="shared" si="3"/>
        <v>RC</v>
      </c>
      <c r="K35" s="451" t="str">
        <f t="shared" si="3"/>
        <v>LP</v>
      </c>
      <c r="L35" s="451" t="str">
        <f t="shared" si="3"/>
        <v>GF</v>
      </c>
      <c r="M35" s="451" t="str">
        <f t="shared" si="3"/>
        <v>MD</v>
      </c>
      <c r="N35" s="408" t="s">
        <v>168</v>
      </c>
      <c r="O35" s="408" t="s">
        <v>79</v>
      </c>
      <c r="P35" s="409" t="s">
        <v>162</v>
      </c>
      <c r="Q35" s="82"/>
      <c r="R35" s="407" t="str">
        <f>IF(E35="","",E35)</f>
        <v>DF</v>
      </c>
      <c r="S35" s="408" t="str">
        <f>IF(F35="","",F35)</f>
        <v>BM</v>
      </c>
      <c r="T35" s="408" t="str">
        <f t="shared" ref="T35:Z35" si="4">IF(G35="","",G35)</f>
        <v>WH</v>
      </c>
      <c r="U35" s="408" t="str">
        <f t="shared" si="4"/>
        <v>RA</v>
      </c>
      <c r="V35" s="408" t="str">
        <f t="shared" si="4"/>
        <v>SS</v>
      </c>
      <c r="W35" s="408" t="str">
        <f t="shared" si="4"/>
        <v>RC</v>
      </c>
      <c r="X35" s="408" t="str">
        <f t="shared" si="4"/>
        <v>LP</v>
      </c>
      <c r="Y35" s="408" t="str">
        <f t="shared" si="4"/>
        <v>GF</v>
      </c>
      <c r="Z35" s="408" t="str">
        <f t="shared" si="4"/>
        <v>MD</v>
      </c>
      <c r="AA35" s="408" t="s">
        <v>168</v>
      </c>
      <c r="AB35" s="408" t="s">
        <v>79</v>
      </c>
      <c r="AC35" s="409" t="s">
        <v>162</v>
      </c>
    </row>
    <row r="36" spans="2:29" x14ac:dyDescent="0.25">
      <c r="B36" s="201" t="str">
        <f>IF(Stand!C3="","",Stand!C3)</f>
        <v/>
      </c>
      <c r="C36" s="154" t="str">
        <f>IF(B4="","",VLOOKUP(B4,Stand!C:H,6,0))</f>
        <v/>
      </c>
      <c r="D36" s="28"/>
      <c r="E36" s="410" t="str">
        <f>IF(OR($C36="",E$3=""),"",IF(E$3="Snag",SUMIFS(Tree!$O:$O,Tree!$A:$A,Species_rpt!$B36,Tree!$F:$F,"D",Tree!$K:$K,"&lt;&gt;"&amp;"N")/$C36,SUMIFS(Tree!$O:$O,Tree!$A:$A,Species_rpt!$B36,Tree!$D:$D,Species_rpt!E$3,Tree!$F:$F,"L",Tree!$K:$K,"&lt;&gt;"&amp;"N")/$C36))</f>
        <v/>
      </c>
      <c r="F36" s="411" t="str">
        <f>IF(OR($C36="",F$3=""),"",IF(F$3="Snag",SUMIFS(Tree!$O:$O,Tree!$A:$A,Species_rpt!$B36,Tree!$F:$F,"D",Tree!$K:$K,"&lt;&gt;"&amp;"N")/$C36,SUMIFS(Tree!$O:$O,Tree!$A:$A,Species_rpt!$B36,Tree!$D:$D,Species_rpt!F$3,Tree!$F:$F,"L",Tree!$K:$K,"&lt;&gt;"&amp;"N")/$C36))</f>
        <v/>
      </c>
      <c r="G36" s="411" t="str">
        <f>IF(OR($C36="",G$3=""),"",IF(G$3="Snag",SUMIFS(Tree!$O:$O,Tree!$A:$A,Species_rpt!$B36,Tree!$F:$F,"D",Tree!$K:$K,"&lt;&gt;"&amp;"N")/$C36,SUMIFS(Tree!$O:$O,Tree!$A:$A,Species_rpt!$B36,Tree!$D:$D,Species_rpt!G$3,Tree!$F:$F,"L",Tree!$K:$K,"&lt;&gt;"&amp;"N")/$C36))</f>
        <v/>
      </c>
      <c r="H36" s="411" t="str">
        <f>IF(OR($C36="",H$3=""),"",IF(H$3="Snag",SUMIFS(Tree!$O:$O,Tree!$A:$A,Species_rpt!$B36,Tree!$F:$F,"D",Tree!$K:$K,"&lt;&gt;"&amp;"N")/$C36,SUMIFS(Tree!$O:$O,Tree!$A:$A,Species_rpt!$B36,Tree!$D:$D,Species_rpt!H$3,Tree!$F:$F,"L",Tree!$K:$K,"&lt;&gt;"&amp;"N")/$C36))</f>
        <v/>
      </c>
      <c r="I36" s="411" t="str">
        <f>IF(OR($C36="",I$3=""),"",IF(I$3="Snag",SUMIFS(Tree!$O:$O,Tree!$A:$A,Species_rpt!$B36,Tree!$F:$F,"D",Tree!$K:$K,"&lt;&gt;"&amp;"N")/$C36,SUMIFS(Tree!$O:$O,Tree!$A:$A,Species_rpt!$B36,Tree!$D:$D,Species_rpt!I$3,Tree!$F:$F,"L",Tree!$K:$K,"&lt;&gt;"&amp;"N")/$C36))</f>
        <v/>
      </c>
      <c r="J36" s="411" t="str">
        <f>IF(OR($C36="",J$3=""),"",IF(J$3="Snag",SUMIFS(Tree!$O:$O,Tree!$A:$A,Species_rpt!$B36,Tree!$F:$F,"D",Tree!$K:$K,"&lt;&gt;"&amp;"N")/$C36,SUMIFS(Tree!$O:$O,Tree!$A:$A,Species_rpt!$B36,Tree!$D:$D,Species_rpt!J$3,Tree!$F:$F,"L",Tree!$K:$K,"&lt;&gt;"&amp;"N")/$C36))</f>
        <v/>
      </c>
      <c r="K36" s="411" t="str">
        <f>IF(OR($C36="",K$3=""),"",IF(K$3="Snag",SUMIFS(Tree!$O:$O,Tree!$A:$A,Species_rpt!$B36,Tree!$F:$F,"D",Tree!$K:$K,"&lt;&gt;"&amp;"N")/$C36,SUMIFS(Tree!$O:$O,Tree!$A:$A,Species_rpt!$B36,Tree!$D:$D,Species_rpt!K$3,Tree!$F:$F,"L",Tree!$K:$K,"&lt;&gt;"&amp;"N")/$C36))</f>
        <v/>
      </c>
      <c r="L36" s="411" t="str">
        <f>IF(OR($C36="",L$3=""),"",IF(L$3="Snag",SUMIFS(Tree!$O:$O,Tree!$A:$A,Species_rpt!$B36,Tree!$F:$F,"D",Tree!$K:$K,"&lt;&gt;"&amp;"N")/$C36,SUMIFS(Tree!$O:$O,Tree!$A:$A,Species_rpt!$B36,Tree!$D:$D,Species_rpt!L$3,Tree!$F:$F,"L",Tree!$K:$K,"&lt;&gt;"&amp;"N")/$C36))</f>
        <v/>
      </c>
      <c r="M36" s="411" t="str">
        <f>IF(OR($C36="",M$3=""),"",IF(M$3="Snag",SUMIFS(Tree!$O:$O,Tree!$A:$A,Species_rpt!$B36,Tree!$F:$F,"D",Tree!$K:$K,"&lt;&gt;"&amp;"N")/$C36,SUMIFS(Tree!$O:$O,Tree!$A:$A,Species_rpt!$B36,Tree!$D:$D,Species_rpt!M$3,Tree!$F:$F,"L",Tree!$K:$K,"&lt;&gt;"&amp;"N")/$C36))</f>
        <v/>
      </c>
      <c r="N36" s="411" t="str">
        <f>IF(OR($C36="",N$3=""),"",IF(N$3="Snag",SUMIFS(Tree!$O:$O,Tree!$A:$A,Species_rpt!$B36,Tree!$F:$F,"D",Tree!$K:$K,"&lt;&gt;"&amp;"N")/$C36,SUMIFS(Tree!$O:$O,Tree!$A:$A,Species_rpt!$B36,Tree!$D:$D,Species_rpt!N$3,Tree!$F:$F,"L",Tree!$K:$K,"&lt;&gt;"&amp;"N")/$C36))</f>
        <v/>
      </c>
      <c r="O36" s="411" t="str">
        <f>IF(OR($C36="",O$3=""),"",IF(O$3="Snag",SUMIFS(Tree!$O:$O,Tree!$A:$A,Species_rpt!$B36,Tree!$F:$F,"D",Tree!$K:$K,"&lt;&gt;"&amp;"N")/$C36,SUMIFS(Tree!$O:$O,Tree!$A:$A,Species_rpt!$B36,Tree!$D:$D,Species_rpt!O$3,Tree!$F:$F,"L",Tree!$K:$K,"&lt;&gt;"&amp;"N")/$C36))</f>
        <v/>
      </c>
      <c r="P36" s="412" t="str">
        <f>IF(SUM(E36:N36)=0,"",SUM(E36:N36))</f>
        <v/>
      </c>
      <c r="Q36" s="83"/>
      <c r="R36" s="410" t="str">
        <f>IF(OR($C36="",R$3=""),"",IF(R$3="Snag",SUMIFS(Tree!$R:$R,Tree!$A:$A,Species_rpt!$B36,Tree!$F:$F,"D",Tree!$K:$K,"&lt;&gt;"&amp;"N")/$C36,SUMIFS(Tree!$R:$R,Tree!$A:$A,Species_rpt!$B36,Tree!$D:$D,Species_rpt!R$3,Tree!$F:$F,"L",Tree!$K:$K,"&lt;&gt;"&amp;"N")/$C36))</f>
        <v/>
      </c>
      <c r="S36" s="411" t="str">
        <f>IF(OR($C36="",S$3=""),"",IF(S$3="Snag",SUMIFS(Tree!$R:$R,Tree!$A:$A,Species_rpt!$B36,Tree!$F:$F,"D",Tree!$K:$K,"&lt;&gt;"&amp;"N")/$C36,SUMIFS(Tree!$R:$R,Tree!$A:$A,Species_rpt!$B36,Tree!$D:$D,Species_rpt!S$3,Tree!$F:$F,"L",Tree!$K:$K,"&lt;&gt;"&amp;"N")/$C36))</f>
        <v/>
      </c>
      <c r="T36" s="411" t="str">
        <f>IF(OR($C36="",T$3=""),"",IF(T$3="Snag",SUMIFS(Tree!$R:$R,Tree!$A:$A,Species_rpt!$B36,Tree!$F:$F,"D",Tree!$K:$K,"&lt;&gt;"&amp;"N")/$C36,SUMIFS(Tree!$R:$R,Tree!$A:$A,Species_rpt!$B36,Tree!$D:$D,Species_rpt!T$3,Tree!$F:$F,"L",Tree!$K:$K,"&lt;&gt;"&amp;"N")/$C36))</f>
        <v/>
      </c>
      <c r="U36" s="411" t="str">
        <f>IF(OR($C36="",U$3=""),"",IF(U$3="Snag",SUMIFS(Tree!$R:$R,Tree!$A:$A,Species_rpt!$B36,Tree!$F:$F,"D",Tree!$K:$K,"&lt;&gt;"&amp;"N")/$C36,SUMIFS(Tree!$R:$R,Tree!$A:$A,Species_rpt!$B36,Tree!$D:$D,Species_rpt!U$3,Tree!$F:$F,"L",Tree!$K:$K,"&lt;&gt;"&amp;"N")/$C36))</f>
        <v/>
      </c>
      <c r="V36" s="411" t="str">
        <f>IF(OR($C36="",V$3=""),"",IF(V$3="Snag",SUMIFS(Tree!$R:$R,Tree!$A:$A,Species_rpt!$B36,Tree!$F:$F,"D",Tree!$K:$K,"&lt;&gt;"&amp;"N")/$C36,SUMIFS(Tree!$R:$R,Tree!$A:$A,Species_rpt!$B36,Tree!$D:$D,Species_rpt!V$3,Tree!$F:$F,"L",Tree!$K:$K,"&lt;&gt;"&amp;"N")/$C36))</f>
        <v/>
      </c>
      <c r="W36" s="411" t="str">
        <f>IF(OR($C36="",W$3=""),"",IF(W$3="Snag",SUMIFS(Tree!$R:$R,Tree!$A:$A,Species_rpt!$B36,Tree!$F:$F,"D",Tree!$K:$K,"&lt;&gt;"&amp;"N")/$C36,SUMIFS(Tree!$R:$R,Tree!$A:$A,Species_rpt!$B36,Tree!$D:$D,Species_rpt!W$3,Tree!$F:$F,"L",Tree!$K:$K,"&lt;&gt;"&amp;"N")/$C36))</f>
        <v/>
      </c>
      <c r="X36" s="411" t="str">
        <f>IF(OR($C36="",X$3=""),"",IF(X$3="Snag",SUMIFS(Tree!$R:$R,Tree!$A:$A,Species_rpt!$B36,Tree!$F:$F,"D",Tree!$K:$K,"&lt;&gt;"&amp;"N")/$C36,SUMIFS(Tree!$R:$R,Tree!$A:$A,Species_rpt!$B36,Tree!$D:$D,Species_rpt!X$3,Tree!$F:$F,"L",Tree!$K:$K,"&lt;&gt;"&amp;"N")/$C36))</f>
        <v/>
      </c>
      <c r="Y36" s="411" t="str">
        <f>IF(OR($C36="",Y$3=""),"",IF(Y$3="Snag",SUMIFS(Tree!$R:$R,Tree!$A:$A,Species_rpt!$B36,Tree!$F:$F,"D",Tree!$K:$K,"&lt;&gt;"&amp;"N")/$C36,SUMIFS(Tree!$R:$R,Tree!$A:$A,Species_rpt!$B36,Tree!$D:$D,Species_rpt!Y$3,Tree!$F:$F,"L",Tree!$K:$K,"&lt;&gt;"&amp;"N")/$C36))</f>
        <v/>
      </c>
      <c r="Z36" s="411" t="str">
        <f>IF(OR($C36="",Z$3=""),"",IF(Z$3="Snag",SUMIFS(Tree!$R:$R,Tree!$A:$A,Species_rpt!$B36,Tree!$F:$F,"D",Tree!$K:$K,"&lt;&gt;"&amp;"N")/$C36,SUMIFS(Tree!$R:$R,Tree!$A:$A,Species_rpt!$B36,Tree!$D:$D,Species_rpt!Z$3,Tree!$F:$F,"L",Tree!$K:$K,"&lt;&gt;"&amp;"N")/$C36))</f>
        <v/>
      </c>
      <c r="AA36" s="411" t="str">
        <f>IF(OR($C36="",AA$3=""),"",IF(AA$3="Snag",SUMIFS(Tree!$R:$R,Tree!$A:$A,Species_rpt!$B36,Tree!$F:$F,"D",Tree!$K:$K,"&lt;&gt;"&amp;"N")/$C36,SUMIFS(Tree!$R:$R,Tree!$A:$A,Species_rpt!$B36,Tree!$D:$D,Species_rpt!AA$3,Tree!$F:$F,"L",Tree!$K:$K,"&lt;&gt;"&amp;"N")/$C36))</f>
        <v/>
      </c>
      <c r="AB36" s="411" t="str">
        <f>IF(OR($C36="",AB$3=""),"",IF(AB$3="Snag",SUMIFS(Tree!$R:$R,Tree!$A:$A,Species_rpt!$B36,Tree!$F:$F,"D",Tree!$K:$K,"&lt;&gt;"&amp;"N")/$C36,SUMIFS(Tree!$R:$R,Tree!$A:$A,Species_rpt!$B36,Tree!$D:$D,Species_rpt!AB$3,Tree!$F:$F,"L",Tree!$K:$K,"&lt;&gt;"&amp;"N")/$C36))</f>
        <v/>
      </c>
      <c r="AC36" s="412" t="str">
        <f>IF(SUM(R36:AA36)=0,"",SUM(R36:AA36))</f>
        <v/>
      </c>
    </row>
    <row r="37" spans="2:29" x14ac:dyDescent="0.25">
      <c r="B37" s="201" t="str">
        <f>IF(Stand!C4="","",Stand!C4)</f>
        <v/>
      </c>
      <c r="C37" s="154" t="str">
        <f>IF(B5="","",VLOOKUP(B5,Stand!C:H,6,0))</f>
        <v/>
      </c>
      <c r="D37" s="28"/>
      <c r="E37" s="152" t="str">
        <f>IF(OR($C37="",E$3=""),"",IF(E$3="Snag",SUMIFS(Tree!$O:$O,Tree!$A:$A,Species_rpt!$B37,Tree!$F:$F,"D",Tree!$K:$K,"&lt;&gt;"&amp;"N")/$C37,SUMIFS(Tree!$O:$O,Tree!$A:$A,Species_rpt!$B37,Tree!$D:$D,Species_rpt!E$3,Tree!$F:$F,"L",Tree!$K:$K,"&lt;&gt;"&amp;"N")/$C37))</f>
        <v/>
      </c>
      <c r="F37" s="297" t="str">
        <f>IF(OR($C37="",F$3=""),"",IF(F$3="Snag",SUMIFS(Tree!$O:$O,Tree!$A:$A,Species_rpt!$B37,Tree!$F:$F,"D",Tree!$K:$K,"&lt;&gt;"&amp;"N")/$C37,SUMIFS(Tree!$O:$O,Tree!$A:$A,Species_rpt!$B37,Tree!$D:$D,Species_rpt!F$3,Tree!$F:$F,"L",Tree!$K:$K,"&lt;&gt;"&amp;"N")/$C37))</f>
        <v/>
      </c>
      <c r="G37" s="297" t="str">
        <f>IF(OR($C37="",G$3=""),"",IF(G$3="Snag",SUMIFS(Tree!$O:$O,Tree!$A:$A,Species_rpt!$B37,Tree!$F:$F,"D",Tree!$K:$K,"&lt;&gt;"&amp;"N")/$C37,SUMIFS(Tree!$O:$O,Tree!$A:$A,Species_rpt!$B37,Tree!$D:$D,Species_rpt!G$3,Tree!$F:$F,"L",Tree!$K:$K,"&lt;&gt;"&amp;"N")/$C37))</f>
        <v/>
      </c>
      <c r="H37" s="297" t="str">
        <f>IF(OR($C37="",H$3=""),"",IF(H$3="Snag",SUMIFS(Tree!$O:$O,Tree!$A:$A,Species_rpt!$B37,Tree!$F:$F,"D",Tree!$K:$K,"&lt;&gt;"&amp;"N")/$C37,SUMIFS(Tree!$O:$O,Tree!$A:$A,Species_rpt!$B37,Tree!$D:$D,Species_rpt!H$3,Tree!$F:$F,"L",Tree!$K:$K,"&lt;&gt;"&amp;"N")/$C37))</f>
        <v/>
      </c>
      <c r="I37" s="297" t="str">
        <f>IF(OR($C37="",I$3=""),"",IF(I$3="Snag",SUMIFS(Tree!$O:$O,Tree!$A:$A,Species_rpt!$B37,Tree!$F:$F,"D",Tree!$K:$K,"&lt;&gt;"&amp;"N")/$C37,SUMIFS(Tree!$O:$O,Tree!$A:$A,Species_rpt!$B37,Tree!$D:$D,Species_rpt!I$3,Tree!$F:$F,"L",Tree!$K:$K,"&lt;&gt;"&amp;"N")/$C37))</f>
        <v/>
      </c>
      <c r="J37" s="297" t="str">
        <f>IF(OR($C37="",J$3=""),"",IF(J$3="Snag",SUMIFS(Tree!$O:$O,Tree!$A:$A,Species_rpt!$B37,Tree!$F:$F,"D",Tree!$K:$K,"&lt;&gt;"&amp;"N")/$C37,SUMIFS(Tree!$O:$O,Tree!$A:$A,Species_rpt!$B37,Tree!$D:$D,Species_rpt!J$3,Tree!$F:$F,"L",Tree!$K:$K,"&lt;&gt;"&amp;"N")/$C37))</f>
        <v/>
      </c>
      <c r="K37" s="297" t="str">
        <f>IF(OR($C37="",K$3=""),"",IF(K$3="Snag",SUMIFS(Tree!$O:$O,Tree!$A:$A,Species_rpt!$B37,Tree!$F:$F,"D",Tree!$K:$K,"&lt;&gt;"&amp;"N")/$C37,SUMIFS(Tree!$O:$O,Tree!$A:$A,Species_rpt!$B37,Tree!$D:$D,Species_rpt!K$3,Tree!$F:$F,"L",Tree!$K:$K,"&lt;&gt;"&amp;"N")/$C37))</f>
        <v/>
      </c>
      <c r="L37" s="297" t="str">
        <f>IF(OR($C37="",L$3=""),"",IF(L$3="Snag",SUMIFS(Tree!$O:$O,Tree!$A:$A,Species_rpt!$B37,Tree!$F:$F,"D",Tree!$K:$K,"&lt;&gt;"&amp;"N")/$C37,SUMIFS(Tree!$O:$O,Tree!$A:$A,Species_rpt!$B37,Tree!$D:$D,Species_rpt!L$3,Tree!$F:$F,"L",Tree!$K:$K,"&lt;&gt;"&amp;"N")/$C37))</f>
        <v/>
      </c>
      <c r="M37" s="297" t="str">
        <f>IF(OR($C37="",M$3=""),"",IF(M$3="Snag",SUMIFS(Tree!$O:$O,Tree!$A:$A,Species_rpt!$B37,Tree!$F:$F,"D",Tree!$K:$K,"&lt;&gt;"&amp;"N")/$C37,SUMIFS(Tree!$O:$O,Tree!$A:$A,Species_rpt!$B37,Tree!$D:$D,Species_rpt!M$3,Tree!$F:$F,"L",Tree!$K:$K,"&lt;&gt;"&amp;"N")/$C37))</f>
        <v/>
      </c>
      <c r="N37" s="297" t="str">
        <f>IF(OR($C37="",N$3=""),"",IF(N$3="Snag",SUMIFS(Tree!$O:$O,Tree!$A:$A,Species_rpt!$B37,Tree!$F:$F,"D",Tree!$K:$K,"&lt;&gt;"&amp;"N")/$C37,SUMIFS(Tree!$O:$O,Tree!$A:$A,Species_rpt!$B37,Tree!$D:$D,Species_rpt!N$3,Tree!$F:$F,"L",Tree!$K:$K,"&lt;&gt;"&amp;"N")/$C37))</f>
        <v/>
      </c>
      <c r="O37" s="297" t="str">
        <f>IF(OR($C37="",O$3=""),"",IF(O$3="Snag",SUMIFS(Tree!$O:$O,Tree!$A:$A,Species_rpt!$B37,Tree!$F:$F,"D",Tree!$K:$K,"&lt;&gt;"&amp;"N")/$C37,SUMIFS(Tree!$O:$O,Tree!$A:$A,Species_rpt!$B37,Tree!$D:$D,Species_rpt!O$3,Tree!$F:$F,"L",Tree!$K:$K,"&lt;&gt;"&amp;"N")/$C37))</f>
        <v/>
      </c>
      <c r="P37" s="298" t="str">
        <f t="shared" ref="P37:P62" si="5">IF(SUM(E37:N37)=0,"",SUM(E37:N37))</f>
        <v/>
      </c>
      <c r="Q37" s="83"/>
      <c r="R37" s="152" t="str">
        <f>IF(OR($C37="",R$3=""),"",IF(R$3="Snag",SUMIFS(Tree!$R:$R,Tree!$A:$A,Species_rpt!$B37,Tree!$F:$F,"D",Tree!$K:$K,"&lt;&gt;"&amp;"N")/$C37,SUMIFS(Tree!$R:$R,Tree!$A:$A,Species_rpt!$B37,Tree!$D:$D,Species_rpt!R$3,Tree!$F:$F,"L",Tree!$K:$K,"&lt;&gt;"&amp;"N")/$C37))</f>
        <v/>
      </c>
      <c r="S37" s="297" t="str">
        <f>IF(OR($C37="",S$3=""),"",IF(S$3="Snag",SUMIFS(Tree!$R:$R,Tree!$A:$A,Species_rpt!$B37,Tree!$F:$F,"D",Tree!$K:$K,"&lt;&gt;"&amp;"N")/$C37,SUMIFS(Tree!$R:$R,Tree!$A:$A,Species_rpt!$B37,Tree!$D:$D,Species_rpt!S$3,Tree!$F:$F,"L",Tree!$K:$K,"&lt;&gt;"&amp;"N")/$C37))</f>
        <v/>
      </c>
      <c r="T37" s="297" t="str">
        <f>IF(OR($C37="",T$3=""),"",IF(T$3="Snag",SUMIFS(Tree!$R:$R,Tree!$A:$A,Species_rpt!$B37,Tree!$F:$F,"D",Tree!$K:$K,"&lt;&gt;"&amp;"N")/$C37,SUMIFS(Tree!$R:$R,Tree!$A:$A,Species_rpt!$B37,Tree!$D:$D,Species_rpt!T$3,Tree!$F:$F,"L",Tree!$K:$K,"&lt;&gt;"&amp;"N")/$C37))</f>
        <v/>
      </c>
      <c r="U37" s="297" t="str">
        <f>IF(OR($C37="",U$3=""),"",IF(U$3="Snag",SUMIFS(Tree!$R:$R,Tree!$A:$A,Species_rpt!$B37,Tree!$F:$F,"D",Tree!$K:$K,"&lt;&gt;"&amp;"N")/$C37,SUMIFS(Tree!$R:$R,Tree!$A:$A,Species_rpt!$B37,Tree!$D:$D,Species_rpt!U$3,Tree!$F:$F,"L",Tree!$K:$K,"&lt;&gt;"&amp;"N")/$C37))</f>
        <v/>
      </c>
      <c r="V37" s="297" t="str">
        <f>IF(OR($C37="",V$3=""),"",IF(V$3="Snag",SUMIFS(Tree!$R:$R,Tree!$A:$A,Species_rpt!$B37,Tree!$F:$F,"D",Tree!$K:$K,"&lt;&gt;"&amp;"N")/$C37,SUMIFS(Tree!$R:$R,Tree!$A:$A,Species_rpt!$B37,Tree!$D:$D,Species_rpt!V$3,Tree!$F:$F,"L",Tree!$K:$K,"&lt;&gt;"&amp;"N")/$C37))</f>
        <v/>
      </c>
      <c r="W37" s="297" t="str">
        <f>IF(OR($C37="",W$3=""),"",IF(W$3="Snag",SUMIFS(Tree!$R:$R,Tree!$A:$A,Species_rpt!$B37,Tree!$F:$F,"D",Tree!$K:$K,"&lt;&gt;"&amp;"N")/$C37,SUMIFS(Tree!$R:$R,Tree!$A:$A,Species_rpt!$B37,Tree!$D:$D,Species_rpt!W$3,Tree!$F:$F,"L",Tree!$K:$K,"&lt;&gt;"&amp;"N")/$C37))</f>
        <v/>
      </c>
      <c r="X37" s="297" t="str">
        <f>IF(OR($C37="",X$3=""),"",IF(X$3="Snag",SUMIFS(Tree!$R:$R,Tree!$A:$A,Species_rpt!$B37,Tree!$F:$F,"D",Tree!$K:$K,"&lt;&gt;"&amp;"N")/$C37,SUMIFS(Tree!$R:$R,Tree!$A:$A,Species_rpt!$B37,Tree!$D:$D,Species_rpt!X$3,Tree!$F:$F,"L",Tree!$K:$K,"&lt;&gt;"&amp;"N")/$C37))</f>
        <v/>
      </c>
      <c r="Y37" s="297" t="str">
        <f>IF(OR($C37="",Y$3=""),"",IF(Y$3="Snag",SUMIFS(Tree!$R:$R,Tree!$A:$A,Species_rpt!$B37,Tree!$F:$F,"D",Tree!$K:$K,"&lt;&gt;"&amp;"N")/$C37,SUMIFS(Tree!$R:$R,Tree!$A:$A,Species_rpt!$B37,Tree!$D:$D,Species_rpt!Y$3,Tree!$F:$F,"L",Tree!$K:$K,"&lt;&gt;"&amp;"N")/$C37))</f>
        <v/>
      </c>
      <c r="Z37" s="297" t="str">
        <f>IF(OR($C37="",Z$3=""),"",IF(Z$3="Snag",SUMIFS(Tree!$R:$R,Tree!$A:$A,Species_rpt!$B37,Tree!$F:$F,"D",Tree!$K:$K,"&lt;&gt;"&amp;"N")/$C37,SUMIFS(Tree!$R:$R,Tree!$A:$A,Species_rpt!$B37,Tree!$D:$D,Species_rpt!Z$3,Tree!$F:$F,"L",Tree!$K:$K,"&lt;&gt;"&amp;"N")/$C37))</f>
        <v/>
      </c>
      <c r="AA37" s="297" t="str">
        <f>IF(OR($C37="",AA$3=""),"",IF(AA$3="Snag",SUMIFS(Tree!$R:$R,Tree!$A:$A,Species_rpt!$B37,Tree!$F:$F,"D",Tree!$K:$K,"&lt;&gt;"&amp;"N")/$C37,SUMIFS(Tree!$R:$R,Tree!$A:$A,Species_rpt!$B37,Tree!$D:$D,Species_rpt!AA$3,Tree!$F:$F,"L",Tree!$K:$K,"&lt;&gt;"&amp;"N")/$C37))</f>
        <v/>
      </c>
      <c r="AB37" s="297" t="str">
        <f>IF(OR($C37="",AB$3=""),"",IF(AB$3="Snag",SUMIFS(Tree!$R:$R,Tree!$A:$A,Species_rpt!$B37,Tree!$F:$F,"D",Tree!$K:$K,"&lt;&gt;"&amp;"N")/$C37,SUMIFS(Tree!$R:$R,Tree!$A:$A,Species_rpt!$B37,Tree!$D:$D,Species_rpt!AB$3,Tree!$F:$F,"L",Tree!$K:$K,"&lt;&gt;"&amp;"N")/$C37))</f>
        <v/>
      </c>
      <c r="AC37" s="298" t="str">
        <f t="shared" ref="AC37:AC62" si="6">IF(SUM(R37:AA37)=0,"",SUM(R37:AA37))</f>
        <v/>
      </c>
    </row>
    <row r="38" spans="2:29" x14ac:dyDescent="0.25">
      <c r="B38" s="201" t="str">
        <f>IF(Stand!C5="","",Stand!C5)</f>
        <v/>
      </c>
      <c r="C38" s="154" t="str">
        <f>IF(B6="","",VLOOKUP(B6,Stand!C:H,6,0))</f>
        <v/>
      </c>
      <c r="D38" s="28"/>
      <c r="E38" s="152" t="str">
        <f>IF(OR($C38="",E$3=""),"",IF(E$3="Snag",SUMIFS(Tree!$O:$O,Tree!$A:$A,Species_rpt!$B38,Tree!$F:$F,"D",Tree!$K:$K,"&lt;&gt;"&amp;"N")/$C38,SUMIFS(Tree!$O:$O,Tree!$A:$A,Species_rpt!$B38,Tree!$D:$D,Species_rpt!E$3,Tree!$F:$F,"L",Tree!$K:$K,"&lt;&gt;"&amp;"N")/$C38))</f>
        <v/>
      </c>
      <c r="F38" s="297" t="str">
        <f>IF(OR($C38="",F$3=""),"",IF(F$3="Snag",SUMIFS(Tree!$O:$O,Tree!$A:$A,Species_rpt!$B38,Tree!$F:$F,"D",Tree!$K:$K,"&lt;&gt;"&amp;"N")/$C38,SUMIFS(Tree!$O:$O,Tree!$A:$A,Species_rpt!$B38,Tree!$D:$D,Species_rpt!F$3,Tree!$F:$F,"L",Tree!$K:$K,"&lt;&gt;"&amp;"N")/$C38))</f>
        <v/>
      </c>
      <c r="G38" s="297" t="str">
        <f>IF(OR($C38="",G$3=""),"",IF(G$3="Snag",SUMIFS(Tree!$O:$O,Tree!$A:$A,Species_rpt!$B38,Tree!$F:$F,"D",Tree!$K:$K,"&lt;&gt;"&amp;"N")/$C38,SUMIFS(Tree!$O:$O,Tree!$A:$A,Species_rpt!$B38,Tree!$D:$D,Species_rpt!G$3,Tree!$F:$F,"L",Tree!$K:$K,"&lt;&gt;"&amp;"N")/$C38))</f>
        <v/>
      </c>
      <c r="H38" s="297" t="str">
        <f>IF(OR($C38="",H$3=""),"",IF(H$3="Snag",SUMIFS(Tree!$O:$O,Tree!$A:$A,Species_rpt!$B38,Tree!$F:$F,"D",Tree!$K:$K,"&lt;&gt;"&amp;"N")/$C38,SUMIFS(Tree!$O:$O,Tree!$A:$A,Species_rpt!$B38,Tree!$D:$D,Species_rpt!H$3,Tree!$F:$F,"L",Tree!$K:$K,"&lt;&gt;"&amp;"N")/$C38))</f>
        <v/>
      </c>
      <c r="I38" s="297" t="str">
        <f>IF(OR($C38="",I$3=""),"",IF(I$3="Snag",SUMIFS(Tree!$O:$O,Tree!$A:$A,Species_rpt!$B38,Tree!$F:$F,"D",Tree!$K:$K,"&lt;&gt;"&amp;"N")/$C38,SUMIFS(Tree!$O:$O,Tree!$A:$A,Species_rpt!$B38,Tree!$D:$D,Species_rpt!I$3,Tree!$F:$F,"L",Tree!$K:$K,"&lt;&gt;"&amp;"N")/$C38))</f>
        <v/>
      </c>
      <c r="J38" s="297" t="str">
        <f>IF(OR($C38="",J$3=""),"",IF(J$3="Snag",SUMIFS(Tree!$O:$O,Tree!$A:$A,Species_rpt!$B38,Tree!$F:$F,"D",Tree!$K:$K,"&lt;&gt;"&amp;"N")/$C38,SUMIFS(Tree!$O:$O,Tree!$A:$A,Species_rpt!$B38,Tree!$D:$D,Species_rpt!J$3,Tree!$F:$F,"L",Tree!$K:$K,"&lt;&gt;"&amp;"N")/$C38))</f>
        <v/>
      </c>
      <c r="K38" s="297" t="str">
        <f>IF(OR($C38="",K$3=""),"",IF(K$3="Snag",SUMIFS(Tree!$O:$O,Tree!$A:$A,Species_rpt!$B38,Tree!$F:$F,"D",Tree!$K:$K,"&lt;&gt;"&amp;"N")/$C38,SUMIFS(Tree!$O:$O,Tree!$A:$A,Species_rpt!$B38,Tree!$D:$D,Species_rpt!K$3,Tree!$F:$F,"L",Tree!$K:$K,"&lt;&gt;"&amp;"N")/$C38))</f>
        <v/>
      </c>
      <c r="L38" s="297" t="str">
        <f>IF(OR($C38="",L$3=""),"",IF(L$3="Snag",SUMIFS(Tree!$O:$O,Tree!$A:$A,Species_rpt!$B38,Tree!$F:$F,"D",Tree!$K:$K,"&lt;&gt;"&amp;"N")/$C38,SUMIFS(Tree!$O:$O,Tree!$A:$A,Species_rpt!$B38,Tree!$D:$D,Species_rpt!L$3,Tree!$F:$F,"L",Tree!$K:$K,"&lt;&gt;"&amp;"N")/$C38))</f>
        <v/>
      </c>
      <c r="M38" s="297" t="str">
        <f>IF(OR($C38="",M$3=""),"",IF(M$3="Snag",SUMIFS(Tree!$O:$O,Tree!$A:$A,Species_rpt!$B38,Tree!$F:$F,"D",Tree!$K:$K,"&lt;&gt;"&amp;"N")/$C38,SUMIFS(Tree!$O:$O,Tree!$A:$A,Species_rpt!$B38,Tree!$D:$D,Species_rpt!M$3,Tree!$F:$F,"L",Tree!$K:$K,"&lt;&gt;"&amp;"N")/$C38))</f>
        <v/>
      </c>
      <c r="N38" s="297" t="str">
        <f>IF(OR($C38="",N$3=""),"",IF(N$3="Snag",SUMIFS(Tree!$O:$O,Tree!$A:$A,Species_rpt!$B38,Tree!$F:$F,"D",Tree!$K:$K,"&lt;&gt;"&amp;"N")/$C38,SUMIFS(Tree!$O:$O,Tree!$A:$A,Species_rpt!$B38,Tree!$D:$D,Species_rpt!N$3,Tree!$F:$F,"L",Tree!$K:$K,"&lt;&gt;"&amp;"N")/$C38))</f>
        <v/>
      </c>
      <c r="O38" s="297" t="str">
        <f>IF(OR($C38="",O$3=""),"",IF(O$3="Snag",SUMIFS(Tree!$O:$O,Tree!$A:$A,Species_rpt!$B38,Tree!$F:$F,"D",Tree!$K:$K,"&lt;&gt;"&amp;"N")/$C38,SUMIFS(Tree!$O:$O,Tree!$A:$A,Species_rpt!$B38,Tree!$D:$D,Species_rpt!O$3,Tree!$F:$F,"L",Tree!$K:$K,"&lt;&gt;"&amp;"N")/$C38))</f>
        <v/>
      </c>
      <c r="P38" s="298" t="str">
        <f t="shared" si="5"/>
        <v/>
      </c>
      <c r="Q38" s="83"/>
      <c r="R38" s="152" t="str">
        <f>IF(OR($C38="",R$3=""),"",IF(R$3="Snag",SUMIFS(Tree!$R:$R,Tree!$A:$A,Species_rpt!$B38,Tree!$F:$F,"D",Tree!$K:$K,"&lt;&gt;"&amp;"N")/$C38,SUMIFS(Tree!$R:$R,Tree!$A:$A,Species_rpt!$B38,Tree!$D:$D,Species_rpt!R$3,Tree!$F:$F,"L",Tree!$K:$K,"&lt;&gt;"&amp;"N")/$C38))</f>
        <v/>
      </c>
      <c r="S38" s="297" t="str">
        <f>IF(OR($C38="",S$3=""),"",IF(S$3="Snag",SUMIFS(Tree!$R:$R,Tree!$A:$A,Species_rpt!$B38,Tree!$F:$F,"D",Tree!$K:$K,"&lt;&gt;"&amp;"N")/$C38,SUMIFS(Tree!$R:$R,Tree!$A:$A,Species_rpt!$B38,Tree!$D:$D,Species_rpt!S$3,Tree!$F:$F,"L",Tree!$K:$K,"&lt;&gt;"&amp;"N")/$C38))</f>
        <v/>
      </c>
      <c r="T38" s="297" t="str">
        <f>IF(OR($C38="",T$3=""),"",IF(T$3="Snag",SUMIFS(Tree!$R:$R,Tree!$A:$A,Species_rpt!$B38,Tree!$F:$F,"D",Tree!$K:$K,"&lt;&gt;"&amp;"N")/$C38,SUMIFS(Tree!$R:$R,Tree!$A:$A,Species_rpt!$B38,Tree!$D:$D,Species_rpt!T$3,Tree!$F:$F,"L",Tree!$K:$K,"&lt;&gt;"&amp;"N")/$C38))</f>
        <v/>
      </c>
      <c r="U38" s="297" t="str">
        <f>IF(OR($C38="",U$3=""),"",IF(U$3="Snag",SUMIFS(Tree!$R:$R,Tree!$A:$A,Species_rpt!$B38,Tree!$F:$F,"D",Tree!$K:$K,"&lt;&gt;"&amp;"N")/$C38,SUMIFS(Tree!$R:$R,Tree!$A:$A,Species_rpt!$B38,Tree!$D:$D,Species_rpt!U$3,Tree!$F:$F,"L",Tree!$K:$K,"&lt;&gt;"&amp;"N")/$C38))</f>
        <v/>
      </c>
      <c r="V38" s="297" t="str">
        <f>IF(OR($C38="",V$3=""),"",IF(V$3="Snag",SUMIFS(Tree!$R:$R,Tree!$A:$A,Species_rpt!$B38,Tree!$F:$F,"D",Tree!$K:$K,"&lt;&gt;"&amp;"N")/$C38,SUMIFS(Tree!$R:$R,Tree!$A:$A,Species_rpt!$B38,Tree!$D:$D,Species_rpt!V$3,Tree!$F:$F,"L",Tree!$K:$K,"&lt;&gt;"&amp;"N")/$C38))</f>
        <v/>
      </c>
      <c r="W38" s="297" t="str">
        <f>IF(OR($C38="",W$3=""),"",IF(W$3="Snag",SUMIFS(Tree!$R:$R,Tree!$A:$A,Species_rpt!$B38,Tree!$F:$F,"D",Tree!$K:$K,"&lt;&gt;"&amp;"N")/$C38,SUMIFS(Tree!$R:$R,Tree!$A:$A,Species_rpt!$B38,Tree!$D:$D,Species_rpt!W$3,Tree!$F:$F,"L",Tree!$K:$K,"&lt;&gt;"&amp;"N")/$C38))</f>
        <v/>
      </c>
      <c r="X38" s="297" t="str">
        <f>IF(OR($C38="",X$3=""),"",IF(X$3="Snag",SUMIFS(Tree!$R:$R,Tree!$A:$A,Species_rpt!$B38,Tree!$F:$F,"D",Tree!$K:$K,"&lt;&gt;"&amp;"N")/$C38,SUMIFS(Tree!$R:$R,Tree!$A:$A,Species_rpt!$B38,Tree!$D:$D,Species_rpt!X$3,Tree!$F:$F,"L",Tree!$K:$K,"&lt;&gt;"&amp;"N")/$C38))</f>
        <v/>
      </c>
      <c r="Y38" s="297" t="str">
        <f>IF(OR($C38="",Y$3=""),"",IF(Y$3="Snag",SUMIFS(Tree!$R:$R,Tree!$A:$A,Species_rpt!$B38,Tree!$F:$F,"D",Tree!$K:$K,"&lt;&gt;"&amp;"N")/$C38,SUMIFS(Tree!$R:$R,Tree!$A:$A,Species_rpt!$B38,Tree!$D:$D,Species_rpt!Y$3,Tree!$F:$F,"L",Tree!$K:$K,"&lt;&gt;"&amp;"N")/$C38))</f>
        <v/>
      </c>
      <c r="Z38" s="297" t="str">
        <f>IF(OR($C38="",Z$3=""),"",IF(Z$3="Snag",SUMIFS(Tree!$R:$R,Tree!$A:$A,Species_rpt!$B38,Tree!$F:$F,"D",Tree!$K:$K,"&lt;&gt;"&amp;"N")/$C38,SUMIFS(Tree!$R:$R,Tree!$A:$A,Species_rpt!$B38,Tree!$D:$D,Species_rpt!Z$3,Tree!$F:$F,"L",Tree!$K:$K,"&lt;&gt;"&amp;"N")/$C38))</f>
        <v/>
      </c>
      <c r="AA38" s="297" t="str">
        <f>IF(OR($C38="",AA$3=""),"",IF(AA$3="Snag",SUMIFS(Tree!$R:$R,Tree!$A:$A,Species_rpt!$B38,Tree!$F:$F,"D",Tree!$K:$K,"&lt;&gt;"&amp;"N")/$C38,SUMIFS(Tree!$R:$R,Tree!$A:$A,Species_rpt!$B38,Tree!$D:$D,Species_rpt!AA$3,Tree!$F:$F,"L",Tree!$K:$K,"&lt;&gt;"&amp;"N")/$C38))</f>
        <v/>
      </c>
      <c r="AB38" s="297" t="str">
        <f>IF(OR($C38="",AB$3=""),"",IF(AB$3="Snag",SUMIFS(Tree!$R:$R,Tree!$A:$A,Species_rpt!$B38,Tree!$F:$F,"D",Tree!$K:$K,"&lt;&gt;"&amp;"N")/$C38,SUMIFS(Tree!$R:$R,Tree!$A:$A,Species_rpt!$B38,Tree!$D:$D,Species_rpt!AB$3,Tree!$F:$F,"L",Tree!$K:$K,"&lt;&gt;"&amp;"N")/$C38))</f>
        <v/>
      </c>
      <c r="AC38" s="298" t="str">
        <f t="shared" si="6"/>
        <v/>
      </c>
    </row>
    <row r="39" spans="2:29" x14ac:dyDescent="0.25">
      <c r="B39" s="201" t="str">
        <f>IF(Stand!C6="","",Stand!C6)</f>
        <v/>
      </c>
      <c r="C39" s="154" t="str">
        <f>IF(B7="","",VLOOKUP(B7,Stand!C:H,6,0))</f>
        <v/>
      </c>
      <c r="D39" s="28"/>
      <c r="E39" s="152" t="str">
        <f>IF(OR($C39="",E$3=""),"",IF(E$3="Snag",SUMIFS(Tree!$O:$O,Tree!$A:$A,Species_rpt!$B39,Tree!$F:$F,"D",Tree!$K:$K,"&lt;&gt;"&amp;"N")/$C39,SUMIFS(Tree!$O:$O,Tree!$A:$A,Species_rpt!$B39,Tree!$D:$D,Species_rpt!E$3,Tree!$F:$F,"L",Tree!$K:$K,"&lt;&gt;"&amp;"N")/$C39))</f>
        <v/>
      </c>
      <c r="F39" s="297" t="str">
        <f>IF(OR($C39="",F$3=""),"",IF(F$3="Snag",SUMIFS(Tree!$O:$O,Tree!$A:$A,Species_rpt!$B39,Tree!$F:$F,"D",Tree!$K:$K,"&lt;&gt;"&amp;"N")/$C39,SUMIFS(Tree!$O:$O,Tree!$A:$A,Species_rpt!$B39,Tree!$D:$D,Species_rpt!F$3,Tree!$F:$F,"L",Tree!$K:$K,"&lt;&gt;"&amp;"N")/$C39))</f>
        <v/>
      </c>
      <c r="G39" s="297" t="str">
        <f>IF(OR($C39="",G$3=""),"",IF(G$3="Snag",SUMIFS(Tree!$O:$O,Tree!$A:$A,Species_rpt!$B39,Tree!$F:$F,"D",Tree!$K:$K,"&lt;&gt;"&amp;"N")/$C39,SUMIFS(Tree!$O:$O,Tree!$A:$A,Species_rpt!$B39,Tree!$D:$D,Species_rpt!G$3,Tree!$F:$F,"L",Tree!$K:$K,"&lt;&gt;"&amp;"N")/$C39))</f>
        <v/>
      </c>
      <c r="H39" s="297" t="str">
        <f>IF(OR($C39="",H$3=""),"",IF(H$3="Snag",SUMIFS(Tree!$O:$O,Tree!$A:$A,Species_rpt!$B39,Tree!$F:$F,"D",Tree!$K:$K,"&lt;&gt;"&amp;"N")/$C39,SUMIFS(Tree!$O:$O,Tree!$A:$A,Species_rpt!$B39,Tree!$D:$D,Species_rpt!H$3,Tree!$F:$F,"L",Tree!$K:$K,"&lt;&gt;"&amp;"N")/$C39))</f>
        <v/>
      </c>
      <c r="I39" s="297" t="str">
        <f>IF(OR($C39="",I$3=""),"",IF(I$3="Snag",SUMIFS(Tree!$O:$O,Tree!$A:$A,Species_rpt!$B39,Tree!$F:$F,"D",Tree!$K:$K,"&lt;&gt;"&amp;"N")/$C39,SUMIFS(Tree!$O:$O,Tree!$A:$A,Species_rpt!$B39,Tree!$D:$D,Species_rpt!I$3,Tree!$F:$F,"L",Tree!$K:$K,"&lt;&gt;"&amp;"N")/$C39))</f>
        <v/>
      </c>
      <c r="J39" s="297" t="str">
        <f>IF(OR($C39="",J$3=""),"",IF(J$3="Snag",SUMIFS(Tree!$O:$O,Tree!$A:$A,Species_rpt!$B39,Tree!$F:$F,"D",Tree!$K:$K,"&lt;&gt;"&amp;"N")/$C39,SUMIFS(Tree!$O:$O,Tree!$A:$A,Species_rpt!$B39,Tree!$D:$D,Species_rpt!J$3,Tree!$F:$F,"L",Tree!$K:$K,"&lt;&gt;"&amp;"N")/$C39))</f>
        <v/>
      </c>
      <c r="K39" s="297" t="str">
        <f>IF(OR($C39="",K$3=""),"",IF(K$3="Snag",SUMIFS(Tree!$O:$O,Tree!$A:$A,Species_rpt!$B39,Tree!$F:$F,"D",Tree!$K:$K,"&lt;&gt;"&amp;"N")/$C39,SUMIFS(Tree!$O:$O,Tree!$A:$A,Species_rpt!$B39,Tree!$D:$D,Species_rpt!K$3,Tree!$F:$F,"L",Tree!$K:$K,"&lt;&gt;"&amp;"N")/$C39))</f>
        <v/>
      </c>
      <c r="L39" s="297" t="str">
        <f>IF(OR($C39="",L$3=""),"",IF(L$3="Snag",SUMIFS(Tree!$O:$O,Tree!$A:$A,Species_rpt!$B39,Tree!$F:$F,"D",Tree!$K:$K,"&lt;&gt;"&amp;"N")/$C39,SUMIFS(Tree!$O:$O,Tree!$A:$A,Species_rpt!$B39,Tree!$D:$D,Species_rpt!L$3,Tree!$F:$F,"L",Tree!$K:$K,"&lt;&gt;"&amp;"N")/$C39))</f>
        <v/>
      </c>
      <c r="M39" s="297" t="str">
        <f>IF(OR($C39="",M$3=""),"",IF(M$3="Snag",SUMIFS(Tree!$O:$O,Tree!$A:$A,Species_rpt!$B39,Tree!$F:$F,"D",Tree!$K:$K,"&lt;&gt;"&amp;"N")/$C39,SUMIFS(Tree!$O:$O,Tree!$A:$A,Species_rpt!$B39,Tree!$D:$D,Species_rpt!M$3,Tree!$F:$F,"L",Tree!$K:$K,"&lt;&gt;"&amp;"N")/$C39))</f>
        <v/>
      </c>
      <c r="N39" s="297" t="str">
        <f>IF(OR($C39="",N$3=""),"",IF(N$3="Snag",SUMIFS(Tree!$O:$O,Tree!$A:$A,Species_rpt!$B39,Tree!$F:$F,"D",Tree!$K:$K,"&lt;&gt;"&amp;"N")/$C39,SUMIFS(Tree!$O:$O,Tree!$A:$A,Species_rpt!$B39,Tree!$D:$D,Species_rpt!N$3,Tree!$F:$F,"L",Tree!$K:$K,"&lt;&gt;"&amp;"N")/$C39))</f>
        <v/>
      </c>
      <c r="O39" s="297" t="str">
        <f>IF(OR($C39="",O$3=""),"",IF(O$3="Snag",SUMIFS(Tree!$O:$O,Tree!$A:$A,Species_rpt!$B39,Tree!$F:$F,"D",Tree!$K:$K,"&lt;&gt;"&amp;"N")/$C39,SUMIFS(Tree!$O:$O,Tree!$A:$A,Species_rpt!$B39,Tree!$D:$D,Species_rpt!O$3,Tree!$F:$F,"L",Tree!$K:$K,"&lt;&gt;"&amp;"N")/$C39))</f>
        <v/>
      </c>
      <c r="P39" s="298" t="str">
        <f t="shared" si="5"/>
        <v/>
      </c>
      <c r="Q39" s="83"/>
      <c r="R39" s="152" t="str">
        <f>IF(OR($C39="",R$3=""),"",IF(R$3="Snag",SUMIFS(Tree!$R:$R,Tree!$A:$A,Species_rpt!$B39,Tree!$F:$F,"D",Tree!$K:$K,"&lt;&gt;"&amp;"N")/$C39,SUMIFS(Tree!$R:$R,Tree!$A:$A,Species_rpt!$B39,Tree!$D:$D,Species_rpt!R$3,Tree!$F:$F,"L",Tree!$K:$K,"&lt;&gt;"&amp;"N")/$C39))</f>
        <v/>
      </c>
      <c r="S39" s="297" t="str">
        <f>IF(OR($C39="",S$3=""),"",IF(S$3="Snag",SUMIFS(Tree!$R:$R,Tree!$A:$A,Species_rpt!$B39,Tree!$F:$F,"D",Tree!$K:$K,"&lt;&gt;"&amp;"N")/$C39,SUMIFS(Tree!$R:$R,Tree!$A:$A,Species_rpt!$B39,Tree!$D:$D,Species_rpt!S$3,Tree!$F:$F,"L",Tree!$K:$K,"&lt;&gt;"&amp;"N")/$C39))</f>
        <v/>
      </c>
      <c r="T39" s="297" t="str">
        <f>IF(OR($C39="",T$3=""),"",IF(T$3="Snag",SUMIFS(Tree!$R:$R,Tree!$A:$A,Species_rpt!$B39,Tree!$F:$F,"D",Tree!$K:$K,"&lt;&gt;"&amp;"N")/$C39,SUMIFS(Tree!$R:$R,Tree!$A:$A,Species_rpt!$B39,Tree!$D:$D,Species_rpt!T$3,Tree!$F:$F,"L",Tree!$K:$K,"&lt;&gt;"&amp;"N")/$C39))</f>
        <v/>
      </c>
      <c r="U39" s="297" t="str">
        <f>IF(OR($C39="",U$3=""),"",IF(U$3="Snag",SUMIFS(Tree!$R:$R,Tree!$A:$A,Species_rpt!$B39,Tree!$F:$F,"D",Tree!$K:$K,"&lt;&gt;"&amp;"N")/$C39,SUMIFS(Tree!$R:$R,Tree!$A:$A,Species_rpt!$B39,Tree!$D:$D,Species_rpt!U$3,Tree!$F:$F,"L",Tree!$K:$K,"&lt;&gt;"&amp;"N")/$C39))</f>
        <v/>
      </c>
      <c r="V39" s="297" t="str">
        <f>IF(OR($C39="",V$3=""),"",IF(V$3="Snag",SUMIFS(Tree!$R:$R,Tree!$A:$A,Species_rpt!$B39,Tree!$F:$F,"D",Tree!$K:$K,"&lt;&gt;"&amp;"N")/$C39,SUMIFS(Tree!$R:$R,Tree!$A:$A,Species_rpt!$B39,Tree!$D:$D,Species_rpt!V$3,Tree!$F:$F,"L",Tree!$K:$K,"&lt;&gt;"&amp;"N")/$C39))</f>
        <v/>
      </c>
      <c r="W39" s="297" t="str">
        <f>IF(OR($C39="",W$3=""),"",IF(W$3="Snag",SUMIFS(Tree!$R:$R,Tree!$A:$A,Species_rpt!$B39,Tree!$F:$F,"D",Tree!$K:$K,"&lt;&gt;"&amp;"N")/$C39,SUMIFS(Tree!$R:$R,Tree!$A:$A,Species_rpt!$B39,Tree!$D:$D,Species_rpt!W$3,Tree!$F:$F,"L",Tree!$K:$K,"&lt;&gt;"&amp;"N")/$C39))</f>
        <v/>
      </c>
      <c r="X39" s="297" t="str">
        <f>IF(OR($C39="",X$3=""),"",IF(X$3="Snag",SUMIFS(Tree!$R:$R,Tree!$A:$A,Species_rpt!$B39,Tree!$F:$F,"D",Tree!$K:$K,"&lt;&gt;"&amp;"N")/$C39,SUMIFS(Tree!$R:$R,Tree!$A:$A,Species_rpt!$B39,Tree!$D:$D,Species_rpt!X$3,Tree!$F:$F,"L",Tree!$K:$K,"&lt;&gt;"&amp;"N")/$C39))</f>
        <v/>
      </c>
      <c r="Y39" s="297" t="str">
        <f>IF(OR($C39="",Y$3=""),"",IF(Y$3="Snag",SUMIFS(Tree!$R:$R,Tree!$A:$A,Species_rpt!$B39,Tree!$F:$F,"D",Tree!$K:$K,"&lt;&gt;"&amp;"N")/$C39,SUMIFS(Tree!$R:$R,Tree!$A:$A,Species_rpt!$B39,Tree!$D:$D,Species_rpt!Y$3,Tree!$F:$F,"L",Tree!$K:$K,"&lt;&gt;"&amp;"N")/$C39))</f>
        <v/>
      </c>
      <c r="Z39" s="297" t="str">
        <f>IF(OR($C39="",Z$3=""),"",IF(Z$3="Snag",SUMIFS(Tree!$R:$R,Tree!$A:$A,Species_rpt!$B39,Tree!$F:$F,"D",Tree!$K:$K,"&lt;&gt;"&amp;"N")/$C39,SUMIFS(Tree!$R:$R,Tree!$A:$A,Species_rpt!$B39,Tree!$D:$D,Species_rpt!Z$3,Tree!$F:$F,"L",Tree!$K:$K,"&lt;&gt;"&amp;"N")/$C39))</f>
        <v/>
      </c>
      <c r="AA39" s="297" t="str">
        <f>IF(OR($C39="",AA$3=""),"",IF(AA$3="Snag",SUMIFS(Tree!$R:$R,Tree!$A:$A,Species_rpt!$B39,Tree!$F:$F,"D",Tree!$K:$K,"&lt;&gt;"&amp;"N")/$C39,SUMIFS(Tree!$R:$R,Tree!$A:$A,Species_rpt!$B39,Tree!$D:$D,Species_rpt!AA$3,Tree!$F:$F,"L",Tree!$K:$K,"&lt;&gt;"&amp;"N")/$C39))</f>
        <v/>
      </c>
      <c r="AB39" s="297" t="str">
        <f>IF(OR($C39="",AB$3=""),"",IF(AB$3="Snag",SUMIFS(Tree!$R:$R,Tree!$A:$A,Species_rpt!$B39,Tree!$F:$F,"D",Tree!$K:$K,"&lt;&gt;"&amp;"N")/$C39,SUMIFS(Tree!$R:$R,Tree!$A:$A,Species_rpt!$B39,Tree!$D:$D,Species_rpt!AB$3,Tree!$F:$F,"L",Tree!$K:$K,"&lt;&gt;"&amp;"N")/$C39))</f>
        <v/>
      </c>
      <c r="AC39" s="298" t="str">
        <f t="shared" si="6"/>
        <v/>
      </c>
    </row>
    <row r="40" spans="2:29" x14ac:dyDescent="0.25">
      <c r="B40" s="201" t="str">
        <f>IF(Stand!C7="","",Stand!C7)</f>
        <v/>
      </c>
      <c r="C40" s="154" t="str">
        <f>IF(B8="","",VLOOKUP(B8,Stand!C:H,6,0))</f>
        <v/>
      </c>
      <c r="D40" s="28"/>
      <c r="E40" s="152" t="str">
        <f>IF(OR($C40="",E$3=""),"",IF(E$3="Snag",SUMIFS(Tree!$O:$O,Tree!$A:$A,Species_rpt!$B40,Tree!$F:$F,"D",Tree!$K:$K,"&lt;&gt;"&amp;"N")/$C40,SUMIFS(Tree!$O:$O,Tree!$A:$A,Species_rpt!$B40,Tree!$D:$D,Species_rpt!E$3,Tree!$F:$F,"L",Tree!$K:$K,"&lt;&gt;"&amp;"N")/$C40))</f>
        <v/>
      </c>
      <c r="F40" s="297" t="str">
        <f>IF(OR($C40="",F$3=""),"",IF(F$3="Snag",SUMIFS(Tree!$O:$O,Tree!$A:$A,Species_rpt!$B40,Tree!$F:$F,"D",Tree!$K:$K,"&lt;&gt;"&amp;"N")/$C40,SUMIFS(Tree!$O:$O,Tree!$A:$A,Species_rpt!$B40,Tree!$D:$D,Species_rpt!F$3,Tree!$F:$F,"L",Tree!$K:$K,"&lt;&gt;"&amp;"N")/$C40))</f>
        <v/>
      </c>
      <c r="G40" s="297" t="str">
        <f>IF(OR($C40="",G$3=""),"",IF(G$3="Snag",SUMIFS(Tree!$O:$O,Tree!$A:$A,Species_rpt!$B40,Tree!$F:$F,"D",Tree!$K:$K,"&lt;&gt;"&amp;"N")/$C40,SUMIFS(Tree!$O:$O,Tree!$A:$A,Species_rpt!$B40,Tree!$D:$D,Species_rpt!G$3,Tree!$F:$F,"L",Tree!$K:$K,"&lt;&gt;"&amp;"N")/$C40))</f>
        <v/>
      </c>
      <c r="H40" s="297" t="str">
        <f>IF(OR($C40="",H$3=""),"",IF(H$3="Snag",SUMIFS(Tree!$O:$O,Tree!$A:$A,Species_rpt!$B40,Tree!$F:$F,"D",Tree!$K:$K,"&lt;&gt;"&amp;"N")/$C40,SUMIFS(Tree!$O:$O,Tree!$A:$A,Species_rpt!$B40,Tree!$D:$D,Species_rpt!H$3,Tree!$F:$F,"L",Tree!$K:$K,"&lt;&gt;"&amp;"N")/$C40))</f>
        <v/>
      </c>
      <c r="I40" s="297" t="str">
        <f>IF(OR($C40="",I$3=""),"",IF(I$3="Snag",SUMIFS(Tree!$O:$O,Tree!$A:$A,Species_rpt!$B40,Tree!$F:$F,"D",Tree!$K:$K,"&lt;&gt;"&amp;"N")/$C40,SUMIFS(Tree!$O:$O,Tree!$A:$A,Species_rpt!$B40,Tree!$D:$D,Species_rpt!I$3,Tree!$F:$F,"L",Tree!$K:$K,"&lt;&gt;"&amp;"N")/$C40))</f>
        <v/>
      </c>
      <c r="J40" s="297" t="str">
        <f>IF(OR($C40="",J$3=""),"",IF(J$3="Snag",SUMIFS(Tree!$O:$O,Tree!$A:$A,Species_rpt!$B40,Tree!$F:$F,"D",Tree!$K:$K,"&lt;&gt;"&amp;"N")/$C40,SUMIFS(Tree!$O:$O,Tree!$A:$A,Species_rpt!$B40,Tree!$D:$D,Species_rpt!J$3,Tree!$F:$F,"L",Tree!$K:$K,"&lt;&gt;"&amp;"N")/$C40))</f>
        <v/>
      </c>
      <c r="K40" s="297" t="str">
        <f>IF(OR($C40="",K$3=""),"",IF(K$3="Snag",SUMIFS(Tree!$O:$O,Tree!$A:$A,Species_rpt!$B40,Tree!$F:$F,"D",Tree!$K:$K,"&lt;&gt;"&amp;"N")/$C40,SUMIFS(Tree!$O:$O,Tree!$A:$A,Species_rpt!$B40,Tree!$D:$D,Species_rpt!K$3,Tree!$F:$F,"L",Tree!$K:$K,"&lt;&gt;"&amp;"N")/$C40))</f>
        <v/>
      </c>
      <c r="L40" s="297" t="str">
        <f>IF(OR($C40="",L$3=""),"",IF(L$3="Snag",SUMIFS(Tree!$O:$O,Tree!$A:$A,Species_rpt!$B40,Tree!$F:$F,"D",Tree!$K:$K,"&lt;&gt;"&amp;"N")/$C40,SUMIFS(Tree!$O:$O,Tree!$A:$A,Species_rpt!$B40,Tree!$D:$D,Species_rpt!L$3,Tree!$F:$F,"L",Tree!$K:$K,"&lt;&gt;"&amp;"N")/$C40))</f>
        <v/>
      </c>
      <c r="M40" s="297" t="str">
        <f>IF(OR($C40="",M$3=""),"",IF(M$3="Snag",SUMIFS(Tree!$O:$O,Tree!$A:$A,Species_rpt!$B40,Tree!$F:$F,"D",Tree!$K:$K,"&lt;&gt;"&amp;"N")/$C40,SUMIFS(Tree!$O:$O,Tree!$A:$A,Species_rpt!$B40,Tree!$D:$D,Species_rpt!M$3,Tree!$F:$F,"L",Tree!$K:$K,"&lt;&gt;"&amp;"N")/$C40))</f>
        <v/>
      </c>
      <c r="N40" s="297" t="str">
        <f>IF(OR($C40="",N$3=""),"",IF(N$3="Snag",SUMIFS(Tree!$O:$O,Tree!$A:$A,Species_rpt!$B40,Tree!$F:$F,"D",Tree!$K:$K,"&lt;&gt;"&amp;"N")/$C40,SUMIFS(Tree!$O:$O,Tree!$A:$A,Species_rpt!$B40,Tree!$D:$D,Species_rpt!N$3,Tree!$F:$F,"L",Tree!$K:$K,"&lt;&gt;"&amp;"N")/$C40))</f>
        <v/>
      </c>
      <c r="O40" s="297" t="str">
        <f>IF(OR($C40="",O$3=""),"",IF(O$3="Snag",SUMIFS(Tree!$O:$O,Tree!$A:$A,Species_rpt!$B40,Tree!$F:$F,"D",Tree!$K:$K,"&lt;&gt;"&amp;"N")/$C40,SUMIFS(Tree!$O:$O,Tree!$A:$A,Species_rpt!$B40,Tree!$D:$D,Species_rpt!O$3,Tree!$F:$F,"L",Tree!$K:$K,"&lt;&gt;"&amp;"N")/$C40))</f>
        <v/>
      </c>
      <c r="P40" s="298" t="str">
        <f t="shared" si="5"/>
        <v/>
      </c>
      <c r="Q40" s="83"/>
      <c r="R40" s="152" t="str">
        <f>IF(OR($C40="",R$3=""),"",IF(R$3="Snag",SUMIFS(Tree!$R:$R,Tree!$A:$A,Species_rpt!$B40,Tree!$F:$F,"D",Tree!$K:$K,"&lt;&gt;"&amp;"N")/$C40,SUMIFS(Tree!$R:$R,Tree!$A:$A,Species_rpt!$B40,Tree!$D:$D,Species_rpt!R$3,Tree!$F:$F,"L",Tree!$K:$K,"&lt;&gt;"&amp;"N")/$C40))</f>
        <v/>
      </c>
      <c r="S40" s="297" t="str">
        <f>IF(OR($C40="",S$3=""),"",IF(S$3="Snag",SUMIFS(Tree!$R:$R,Tree!$A:$A,Species_rpt!$B40,Tree!$F:$F,"D",Tree!$K:$K,"&lt;&gt;"&amp;"N")/$C40,SUMIFS(Tree!$R:$R,Tree!$A:$A,Species_rpt!$B40,Tree!$D:$D,Species_rpt!S$3,Tree!$F:$F,"L",Tree!$K:$K,"&lt;&gt;"&amp;"N")/$C40))</f>
        <v/>
      </c>
      <c r="T40" s="297" t="str">
        <f>IF(OR($C40="",T$3=""),"",IF(T$3="Snag",SUMIFS(Tree!$R:$R,Tree!$A:$A,Species_rpt!$B40,Tree!$F:$F,"D",Tree!$K:$K,"&lt;&gt;"&amp;"N")/$C40,SUMIFS(Tree!$R:$R,Tree!$A:$A,Species_rpt!$B40,Tree!$D:$D,Species_rpt!T$3,Tree!$F:$F,"L",Tree!$K:$K,"&lt;&gt;"&amp;"N")/$C40))</f>
        <v/>
      </c>
      <c r="U40" s="297" t="str">
        <f>IF(OR($C40="",U$3=""),"",IF(U$3="Snag",SUMIFS(Tree!$R:$R,Tree!$A:$A,Species_rpt!$B40,Tree!$F:$F,"D",Tree!$K:$K,"&lt;&gt;"&amp;"N")/$C40,SUMIFS(Tree!$R:$R,Tree!$A:$A,Species_rpt!$B40,Tree!$D:$D,Species_rpt!U$3,Tree!$F:$F,"L",Tree!$K:$K,"&lt;&gt;"&amp;"N")/$C40))</f>
        <v/>
      </c>
      <c r="V40" s="297" t="str">
        <f>IF(OR($C40="",V$3=""),"",IF(V$3="Snag",SUMIFS(Tree!$R:$R,Tree!$A:$A,Species_rpt!$B40,Tree!$F:$F,"D",Tree!$K:$K,"&lt;&gt;"&amp;"N")/$C40,SUMIFS(Tree!$R:$R,Tree!$A:$A,Species_rpt!$B40,Tree!$D:$D,Species_rpt!V$3,Tree!$F:$F,"L",Tree!$K:$K,"&lt;&gt;"&amp;"N")/$C40))</f>
        <v/>
      </c>
      <c r="W40" s="297" t="str">
        <f>IF(OR($C40="",W$3=""),"",IF(W$3="Snag",SUMIFS(Tree!$R:$R,Tree!$A:$A,Species_rpt!$B40,Tree!$F:$F,"D",Tree!$K:$K,"&lt;&gt;"&amp;"N")/$C40,SUMIFS(Tree!$R:$R,Tree!$A:$A,Species_rpt!$B40,Tree!$D:$D,Species_rpt!W$3,Tree!$F:$F,"L",Tree!$K:$K,"&lt;&gt;"&amp;"N")/$C40))</f>
        <v/>
      </c>
      <c r="X40" s="297" t="str">
        <f>IF(OR($C40="",X$3=""),"",IF(X$3="Snag",SUMIFS(Tree!$R:$R,Tree!$A:$A,Species_rpt!$B40,Tree!$F:$F,"D",Tree!$K:$K,"&lt;&gt;"&amp;"N")/$C40,SUMIFS(Tree!$R:$R,Tree!$A:$A,Species_rpt!$B40,Tree!$D:$D,Species_rpt!X$3,Tree!$F:$F,"L",Tree!$K:$K,"&lt;&gt;"&amp;"N")/$C40))</f>
        <v/>
      </c>
      <c r="Y40" s="297" t="str">
        <f>IF(OR($C40="",Y$3=""),"",IF(Y$3="Snag",SUMIFS(Tree!$R:$R,Tree!$A:$A,Species_rpt!$B40,Tree!$F:$F,"D",Tree!$K:$K,"&lt;&gt;"&amp;"N")/$C40,SUMIFS(Tree!$R:$R,Tree!$A:$A,Species_rpt!$B40,Tree!$D:$D,Species_rpt!Y$3,Tree!$F:$F,"L",Tree!$K:$K,"&lt;&gt;"&amp;"N")/$C40))</f>
        <v/>
      </c>
      <c r="Z40" s="297" t="str">
        <f>IF(OR($C40="",Z$3=""),"",IF(Z$3="Snag",SUMIFS(Tree!$R:$R,Tree!$A:$A,Species_rpt!$B40,Tree!$F:$F,"D",Tree!$K:$K,"&lt;&gt;"&amp;"N")/$C40,SUMIFS(Tree!$R:$R,Tree!$A:$A,Species_rpt!$B40,Tree!$D:$D,Species_rpt!Z$3,Tree!$F:$F,"L",Tree!$K:$K,"&lt;&gt;"&amp;"N")/$C40))</f>
        <v/>
      </c>
      <c r="AA40" s="297" t="str">
        <f>IF(OR($C40="",AA$3=""),"",IF(AA$3="Snag",SUMIFS(Tree!$R:$R,Tree!$A:$A,Species_rpt!$B40,Tree!$F:$F,"D",Tree!$K:$K,"&lt;&gt;"&amp;"N")/$C40,SUMIFS(Tree!$R:$R,Tree!$A:$A,Species_rpt!$B40,Tree!$D:$D,Species_rpt!AA$3,Tree!$F:$F,"L",Tree!$K:$K,"&lt;&gt;"&amp;"N")/$C40))</f>
        <v/>
      </c>
      <c r="AB40" s="297" t="str">
        <f>IF(OR($C40="",AB$3=""),"",IF(AB$3="Snag",SUMIFS(Tree!$R:$R,Tree!$A:$A,Species_rpt!$B40,Tree!$F:$F,"D",Tree!$K:$K,"&lt;&gt;"&amp;"N")/$C40,SUMIFS(Tree!$R:$R,Tree!$A:$A,Species_rpt!$B40,Tree!$D:$D,Species_rpt!AB$3,Tree!$F:$F,"L",Tree!$K:$K,"&lt;&gt;"&amp;"N")/$C40))</f>
        <v/>
      </c>
      <c r="AC40" s="298" t="str">
        <f t="shared" si="6"/>
        <v/>
      </c>
    </row>
    <row r="41" spans="2:29" x14ac:dyDescent="0.25">
      <c r="B41" s="201" t="str">
        <f>IF(Stand!C8="","",Stand!C8)</f>
        <v/>
      </c>
      <c r="C41" s="154" t="str">
        <f>IF(B9="","",VLOOKUP(B9,Stand!C:H,6,0))</f>
        <v/>
      </c>
      <c r="D41" s="28"/>
      <c r="E41" s="152" t="str">
        <f>IF(OR($C41="",E$3=""),"",IF(E$3="Snag",SUMIFS(Tree!$O:$O,Tree!$A:$A,Species_rpt!$B41,Tree!$F:$F,"D",Tree!$K:$K,"&lt;&gt;"&amp;"N")/$C41,SUMIFS(Tree!$O:$O,Tree!$A:$A,Species_rpt!$B41,Tree!$D:$D,Species_rpt!E$3,Tree!$F:$F,"L",Tree!$K:$K,"&lt;&gt;"&amp;"N")/$C41))</f>
        <v/>
      </c>
      <c r="F41" s="297" t="str">
        <f>IF(OR($C41="",F$3=""),"",IF(F$3="Snag",SUMIFS(Tree!$O:$O,Tree!$A:$A,Species_rpt!$B41,Tree!$F:$F,"D",Tree!$K:$K,"&lt;&gt;"&amp;"N")/$C41,SUMIFS(Tree!$O:$O,Tree!$A:$A,Species_rpt!$B41,Tree!$D:$D,Species_rpt!F$3,Tree!$F:$F,"L",Tree!$K:$K,"&lt;&gt;"&amp;"N")/$C41))</f>
        <v/>
      </c>
      <c r="G41" s="297" t="str">
        <f>IF(OR($C41="",G$3=""),"",IF(G$3="Snag",SUMIFS(Tree!$O:$O,Tree!$A:$A,Species_rpt!$B41,Tree!$F:$F,"D",Tree!$K:$K,"&lt;&gt;"&amp;"N")/$C41,SUMIFS(Tree!$O:$O,Tree!$A:$A,Species_rpt!$B41,Tree!$D:$D,Species_rpt!G$3,Tree!$F:$F,"L",Tree!$K:$K,"&lt;&gt;"&amp;"N")/$C41))</f>
        <v/>
      </c>
      <c r="H41" s="297" t="str">
        <f>IF(OR($C41="",H$3=""),"",IF(H$3="Snag",SUMIFS(Tree!$O:$O,Tree!$A:$A,Species_rpt!$B41,Tree!$F:$F,"D",Tree!$K:$K,"&lt;&gt;"&amp;"N")/$C41,SUMIFS(Tree!$O:$O,Tree!$A:$A,Species_rpt!$B41,Tree!$D:$D,Species_rpt!H$3,Tree!$F:$F,"L",Tree!$K:$K,"&lt;&gt;"&amp;"N")/$C41))</f>
        <v/>
      </c>
      <c r="I41" s="297" t="str">
        <f>IF(OR($C41="",I$3=""),"",IF(I$3="Snag",SUMIFS(Tree!$O:$O,Tree!$A:$A,Species_rpt!$B41,Tree!$F:$F,"D",Tree!$K:$K,"&lt;&gt;"&amp;"N")/$C41,SUMIFS(Tree!$O:$O,Tree!$A:$A,Species_rpt!$B41,Tree!$D:$D,Species_rpt!I$3,Tree!$F:$F,"L",Tree!$K:$K,"&lt;&gt;"&amp;"N")/$C41))</f>
        <v/>
      </c>
      <c r="J41" s="297" t="str">
        <f>IF(OR($C41="",J$3=""),"",IF(J$3="Snag",SUMIFS(Tree!$O:$O,Tree!$A:$A,Species_rpt!$B41,Tree!$F:$F,"D",Tree!$K:$K,"&lt;&gt;"&amp;"N")/$C41,SUMIFS(Tree!$O:$O,Tree!$A:$A,Species_rpt!$B41,Tree!$D:$D,Species_rpt!J$3,Tree!$F:$F,"L",Tree!$K:$K,"&lt;&gt;"&amp;"N")/$C41))</f>
        <v/>
      </c>
      <c r="K41" s="297" t="str">
        <f>IF(OR($C41="",K$3=""),"",IF(K$3="Snag",SUMIFS(Tree!$O:$O,Tree!$A:$A,Species_rpt!$B41,Tree!$F:$F,"D",Tree!$K:$K,"&lt;&gt;"&amp;"N")/$C41,SUMIFS(Tree!$O:$O,Tree!$A:$A,Species_rpt!$B41,Tree!$D:$D,Species_rpt!K$3,Tree!$F:$F,"L",Tree!$K:$K,"&lt;&gt;"&amp;"N")/$C41))</f>
        <v/>
      </c>
      <c r="L41" s="297" t="str">
        <f>IF(OR($C41="",L$3=""),"",IF(L$3="Snag",SUMIFS(Tree!$O:$O,Tree!$A:$A,Species_rpt!$B41,Tree!$F:$F,"D",Tree!$K:$K,"&lt;&gt;"&amp;"N")/$C41,SUMIFS(Tree!$O:$O,Tree!$A:$A,Species_rpt!$B41,Tree!$D:$D,Species_rpt!L$3,Tree!$F:$F,"L",Tree!$K:$K,"&lt;&gt;"&amp;"N")/$C41))</f>
        <v/>
      </c>
      <c r="M41" s="297" t="str">
        <f>IF(OR($C41="",M$3=""),"",IF(M$3="Snag",SUMIFS(Tree!$O:$O,Tree!$A:$A,Species_rpt!$B41,Tree!$F:$F,"D",Tree!$K:$K,"&lt;&gt;"&amp;"N")/$C41,SUMIFS(Tree!$O:$O,Tree!$A:$A,Species_rpt!$B41,Tree!$D:$D,Species_rpt!M$3,Tree!$F:$F,"L",Tree!$K:$K,"&lt;&gt;"&amp;"N")/$C41))</f>
        <v/>
      </c>
      <c r="N41" s="297" t="str">
        <f>IF(OR($C41="",N$3=""),"",IF(N$3="Snag",SUMIFS(Tree!$O:$O,Tree!$A:$A,Species_rpt!$B41,Tree!$F:$F,"D",Tree!$K:$K,"&lt;&gt;"&amp;"N")/$C41,SUMIFS(Tree!$O:$O,Tree!$A:$A,Species_rpt!$B41,Tree!$D:$D,Species_rpt!N$3,Tree!$F:$F,"L",Tree!$K:$K,"&lt;&gt;"&amp;"N")/$C41))</f>
        <v/>
      </c>
      <c r="O41" s="297" t="str">
        <f>IF(OR($C41="",O$3=""),"",IF(O$3="Snag",SUMIFS(Tree!$O:$O,Tree!$A:$A,Species_rpt!$B41,Tree!$F:$F,"D",Tree!$K:$K,"&lt;&gt;"&amp;"N")/$C41,SUMIFS(Tree!$O:$O,Tree!$A:$A,Species_rpt!$B41,Tree!$D:$D,Species_rpt!O$3,Tree!$F:$F,"L",Tree!$K:$K,"&lt;&gt;"&amp;"N")/$C41))</f>
        <v/>
      </c>
      <c r="P41" s="298" t="str">
        <f t="shared" si="5"/>
        <v/>
      </c>
      <c r="Q41" s="83"/>
      <c r="R41" s="152" t="str">
        <f>IF(OR($C41="",R$3=""),"",IF(R$3="Snag",SUMIFS(Tree!$R:$R,Tree!$A:$A,Species_rpt!$B41,Tree!$F:$F,"D",Tree!$K:$K,"&lt;&gt;"&amp;"N")/$C41,SUMIFS(Tree!$R:$R,Tree!$A:$A,Species_rpt!$B41,Tree!$D:$D,Species_rpt!R$3,Tree!$F:$F,"L",Tree!$K:$K,"&lt;&gt;"&amp;"N")/$C41))</f>
        <v/>
      </c>
      <c r="S41" s="297" t="str">
        <f>IF(OR($C41="",S$3=""),"",IF(S$3="Snag",SUMIFS(Tree!$R:$R,Tree!$A:$A,Species_rpt!$B41,Tree!$F:$F,"D",Tree!$K:$K,"&lt;&gt;"&amp;"N")/$C41,SUMIFS(Tree!$R:$R,Tree!$A:$A,Species_rpt!$B41,Tree!$D:$D,Species_rpt!S$3,Tree!$F:$F,"L",Tree!$K:$K,"&lt;&gt;"&amp;"N")/$C41))</f>
        <v/>
      </c>
      <c r="T41" s="297" t="str">
        <f>IF(OR($C41="",T$3=""),"",IF(T$3="Snag",SUMIFS(Tree!$R:$R,Tree!$A:$A,Species_rpt!$B41,Tree!$F:$F,"D",Tree!$K:$K,"&lt;&gt;"&amp;"N")/$C41,SUMIFS(Tree!$R:$R,Tree!$A:$A,Species_rpt!$B41,Tree!$D:$D,Species_rpt!T$3,Tree!$F:$F,"L",Tree!$K:$K,"&lt;&gt;"&amp;"N")/$C41))</f>
        <v/>
      </c>
      <c r="U41" s="297" t="str">
        <f>IF(OR($C41="",U$3=""),"",IF(U$3="Snag",SUMIFS(Tree!$R:$R,Tree!$A:$A,Species_rpt!$B41,Tree!$F:$F,"D",Tree!$K:$K,"&lt;&gt;"&amp;"N")/$C41,SUMIFS(Tree!$R:$R,Tree!$A:$A,Species_rpt!$B41,Tree!$D:$D,Species_rpt!U$3,Tree!$F:$F,"L",Tree!$K:$K,"&lt;&gt;"&amp;"N")/$C41))</f>
        <v/>
      </c>
      <c r="V41" s="297" t="str">
        <f>IF(OR($C41="",V$3=""),"",IF(V$3="Snag",SUMIFS(Tree!$R:$R,Tree!$A:$A,Species_rpt!$B41,Tree!$F:$F,"D",Tree!$K:$K,"&lt;&gt;"&amp;"N")/$C41,SUMIFS(Tree!$R:$R,Tree!$A:$A,Species_rpt!$B41,Tree!$D:$D,Species_rpt!V$3,Tree!$F:$F,"L",Tree!$K:$K,"&lt;&gt;"&amp;"N")/$C41))</f>
        <v/>
      </c>
      <c r="W41" s="297" t="str">
        <f>IF(OR($C41="",W$3=""),"",IF(W$3="Snag",SUMIFS(Tree!$R:$R,Tree!$A:$A,Species_rpt!$B41,Tree!$F:$F,"D",Tree!$K:$K,"&lt;&gt;"&amp;"N")/$C41,SUMIFS(Tree!$R:$R,Tree!$A:$A,Species_rpt!$B41,Tree!$D:$D,Species_rpt!W$3,Tree!$F:$F,"L",Tree!$K:$K,"&lt;&gt;"&amp;"N")/$C41))</f>
        <v/>
      </c>
      <c r="X41" s="297" t="str">
        <f>IF(OR($C41="",X$3=""),"",IF(X$3="Snag",SUMIFS(Tree!$R:$R,Tree!$A:$A,Species_rpt!$B41,Tree!$F:$F,"D",Tree!$K:$K,"&lt;&gt;"&amp;"N")/$C41,SUMIFS(Tree!$R:$R,Tree!$A:$A,Species_rpt!$B41,Tree!$D:$D,Species_rpt!X$3,Tree!$F:$F,"L",Tree!$K:$K,"&lt;&gt;"&amp;"N")/$C41))</f>
        <v/>
      </c>
      <c r="Y41" s="297" t="str">
        <f>IF(OR($C41="",Y$3=""),"",IF(Y$3="Snag",SUMIFS(Tree!$R:$R,Tree!$A:$A,Species_rpt!$B41,Tree!$F:$F,"D",Tree!$K:$K,"&lt;&gt;"&amp;"N")/$C41,SUMIFS(Tree!$R:$R,Tree!$A:$A,Species_rpt!$B41,Tree!$D:$D,Species_rpt!Y$3,Tree!$F:$F,"L",Tree!$K:$K,"&lt;&gt;"&amp;"N")/$C41))</f>
        <v/>
      </c>
      <c r="Z41" s="297" t="str">
        <f>IF(OR($C41="",Z$3=""),"",IF(Z$3="Snag",SUMIFS(Tree!$R:$R,Tree!$A:$A,Species_rpt!$B41,Tree!$F:$F,"D",Tree!$K:$K,"&lt;&gt;"&amp;"N")/$C41,SUMIFS(Tree!$R:$R,Tree!$A:$A,Species_rpt!$B41,Tree!$D:$D,Species_rpt!Z$3,Tree!$F:$F,"L",Tree!$K:$K,"&lt;&gt;"&amp;"N")/$C41))</f>
        <v/>
      </c>
      <c r="AA41" s="297" t="str">
        <f>IF(OR($C41="",AA$3=""),"",IF(AA$3="Snag",SUMIFS(Tree!$R:$R,Tree!$A:$A,Species_rpt!$B41,Tree!$F:$F,"D",Tree!$K:$K,"&lt;&gt;"&amp;"N")/$C41,SUMIFS(Tree!$R:$R,Tree!$A:$A,Species_rpt!$B41,Tree!$D:$D,Species_rpt!AA$3,Tree!$F:$F,"L",Tree!$K:$K,"&lt;&gt;"&amp;"N")/$C41))</f>
        <v/>
      </c>
      <c r="AB41" s="297" t="str">
        <f>IF(OR($C41="",AB$3=""),"",IF(AB$3="Snag",SUMIFS(Tree!$R:$R,Tree!$A:$A,Species_rpt!$B41,Tree!$F:$F,"D",Tree!$K:$K,"&lt;&gt;"&amp;"N")/$C41,SUMIFS(Tree!$R:$R,Tree!$A:$A,Species_rpt!$B41,Tree!$D:$D,Species_rpt!AB$3,Tree!$F:$F,"L",Tree!$K:$K,"&lt;&gt;"&amp;"N")/$C41))</f>
        <v/>
      </c>
      <c r="AC41" s="298" t="str">
        <f t="shared" si="6"/>
        <v/>
      </c>
    </row>
    <row r="42" spans="2:29" x14ac:dyDescent="0.25">
      <c r="B42" s="201" t="str">
        <f>IF(Stand!C9="","",Stand!C9)</f>
        <v/>
      </c>
      <c r="C42" s="154" t="str">
        <f>IF(B10="","",VLOOKUP(B10,Stand!C:H,6,0))</f>
        <v/>
      </c>
      <c r="D42" s="28"/>
      <c r="E42" s="152" t="str">
        <f>IF(OR($C42="",E$3=""),"",IF(E$3="Snag",SUMIFS(Tree!$O:$O,Tree!$A:$A,Species_rpt!$B42,Tree!$F:$F,"D",Tree!$K:$K,"&lt;&gt;"&amp;"N")/$C42,SUMIFS(Tree!$O:$O,Tree!$A:$A,Species_rpt!$B42,Tree!$D:$D,Species_rpt!E$3,Tree!$F:$F,"L",Tree!$K:$K,"&lt;&gt;"&amp;"N")/$C42))</f>
        <v/>
      </c>
      <c r="F42" s="297" t="str">
        <f>IF(OR($C42="",F$3=""),"",IF(F$3="Snag",SUMIFS(Tree!$O:$O,Tree!$A:$A,Species_rpt!$B42,Tree!$F:$F,"D",Tree!$K:$K,"&lt;&gt;"&amp;"N")/$C42,SUMIFS(Tree!$O:$O,Tree!$A:$A,Species_rpt!$B42,Tree!$D:$D,Species_rpt!F$3,Tree!$F:$F,"L",Tree!$K:$K,"&lt;&gt;"&amp;"N")/$C42))</f>
        <v/>
      </c>
      <c r="G42" s="297" t="str">
        <f>IF(OR($C42="",G$3=""),"",IF(G$3="Snag",SUMIFS(Tree!$O:$O,Tree!$A:$A,Species_rpt!$B42,Tree!$F:$F,"D",Tree!$K:$K,"&lt;&gt;"&amp;"N")/$C42,SUMIFS(Tree!$O:$O,Tree!$A:$A,Species_rpt!$B42,Tree!$D:$D,Species_rpt!G$3,Tree!$F:$F,"L",Tree!$K:$K,"&lt;&gt;"&amp;"N")/$C42))</f>
        <v/>
      </c>
      <c r="H42" s="297" t="str">
        <f>IF(OR($C42="",H$3=""),"",IF(H$3="Snag",SUMIFS(Tree!$O:$O,Tree!$A:$A,Species_rpt!$B42,Tree!$F:$F,"D",Tree!$K:$K,"&lt;&gt;"&amp;"N")/$C42,SUMIFS(Tree!$O:$O,Tree!$A:$A,Species_rpt!$B42,Tree!$D:$D,Species_rpt!H$3,Tree!$F:$F,"L",Tree!$K:$K,"&lt;&gt;"&amp;"N")/$C42))</f>
        <v/>
      </c>
      <c r="I42" s="297" t="str">
        <f>IF(OR($C42="",I$3=""),"",IF(I$3="Snag",SUMIFS(Tree!$O:$O,Tree!$A:$A,Species_rpt!$B42,Tree!$F:$F,"D",Tree!$K:$K,"&lt;&gt;"&amp;"N")/$C42,SUMIFS(Tree!$O:$O,Tree!$A:$A,Species_rpt!$B42,Tree!$D:$D,Species_rpt!I$3,Tree!$F:$F,"L",Tree!$K:$K,"&lt;&gt;"&amp;"N")/$C42))</f>
        <v/>
      </c>
      <c r="J42" s="297" t="str">
        <f>IF(OR($C42="",J$3=""),"",IF(J$3="Snag",SUMIFS(Tree!$O:$O,Tree!$A:$A,Species_rpt!$B42,Tree!$F:$F,"D",Tree!$K:$K,"&lt;&gt;"&amp;"N")/$C42,SUMIFS(Tree!$O:$O,Tree!$A:$A,Species_rpt!$B42,Tree!$D:$D,Species_rpt!J$3,Tree!$F:$F,"L",Tree!$K:$K,"&lt;&gt;"&amp;"N")/$C42))</f>
        <v/>
      </c>
      <c r="K42" s="297" t="str">
        <f>IF(OR($C42="",K$3=""),"",IF(K$3="Snag",SUMIFS(Tree!$O:$O,Tree!$A:$A,Species_rpt!$B42,Tree!$F:$F,"D",Tree!$K:$K,"&lt;&gt;"&amp;"N")/$C42,SUMIFS(Tree!$O:$O,Tree!$A:$A,Species_rpt!$B42,Tree!$D:$D,Species_rpt!K$3,Tree!$F:$F,"L",Tree!$K:$K,"&lt;&gt;"&amp;"N")/$C42))</f>
        <v/>
      </c>
      <c r="L42" s="297" t="str">
        <f>IF(OR($C42="",L$3=""),"",IF(L$3="Snag",SUMIFS(Tree!$O:$O,Tree!$A:$A,Species_rpt!$B42,Tree!$F:$F,"D",Tree!$K:$K,"&lt;&gt;"&amp;"N")/$C42,SUMIFS(Tree!$O:$O,Tree!$A:$A,Species_rpt!$B42,Tree!$D:$D,Species_rpt!L$3,Tree!$F:$F,"L",Tree!$K:$K,"&lt;&gt;"&amp;"N")/$C42))</f>
        <v/>
      </c>
      <c r="M42" s="297" t="str">
        <f>IF(OR($C42="",M$3=""),"",IF(M$3="Snag",SUMIFS(Tree!$O:$O,Tree!$A:$A,Species_rpt!$B42,Tree!$F:$F,"D",Tree!$K:$K,"&lt;&gt;"&amp;"N")/$C42,SUMIFS(Tree!$O:$O,Tree!$A:$A,Species_rpt!$B42,Tree!$D:$D,Species_rpt!M$3,Tree!$F:$F,"L",Tree!$K:$K,"&lt;&gt;"&amp;"N")/$C42))</f>
        <v/>
      </c>
      <c r="N42" s="297" t="str">
        <f>IF(OR($C42="",N$3=""),"",IF(N$3="Snag",SUMIFS(Tree!$O:$O,Tree!$A:$A,Species_rpt!$B42,Tree!$F:$F,"D",Tree!$K:$K,"&lt;&gt;"&amp;"N")/$C42,SUMIFS(Tree!$O:$O,Tree!$A:$A,Species_rpt!$B42,Tree!$D:$D,Species_rpt!N$3,Tree!$F:$F,"L",Tree!$K:$K,"&lt;&gt;"&amp;"N")/$C42))</f>
        <v/>
      </c>
      <c r="O42" s="297" t="str">
        <f>IF(OR($C42="",O$3=""),"",IF(O$3="Snag",SUMIFS(Tree!$O:$O,Tree!$A:$A,Species_rpt!$B42,Tree!$F:$F,"D",Tree!$K:$K,"&lt;&gt;"&amp;"N")/$C42,SUMIFS(Tree!$O:$O,Tree!$A:$A,Species_rpt!$B42,Tree!$D:$D,Species_rpt!O$3,Tree!$F:$F,"L",Tree!$K:$K,"&lt;&gt;"&amp;"N")/$C42))</f>
        <v/>
      </c>
      <c r="P42" s="298" t="str">
        <f t="shared" si="5"/>
        <v/>
      </c>
      <c r="Q42" s="83"/>
      <c r="R42" s="152" t="str">
        <f>IF(OR($C42="",R$3=""),"",IF(R$3="Snag",SUMIFS(Tree!$R:$R,Tree!$A:$A,Species_rpt!$B42,Tree!$F:$F,"D",Tree!$K:$K,"&lt;&gt;"&amp;"N")/$C42,SUMIFS(Tree!$R:$R,Tree!$A:$A,Species_rpt!$B42,Tree!$D:$D,Species_rpt!R$3,Tree!$F:$F,"L",Tree!$K:$K,"&lt;&gt;"&amp;"N")/$C42))</f>
        <v/>
      </c>
      <c r="S42" s="297" t="str">
        <f>IF(OR($C42="",S$3=""),"",IF(S$3="Snag",SUMIFS(Tree!$R:$R,Tree!$A:$A,Species_rpt!$B42,Tree!$F:$F,"D",Tree!$K:$K,"&lt;&gt;"&amp;"N")/$C42,SUMIFS(Tree!$R:$R,Tree!$A:$A,Species_rpt!$B42,Tree!$D:$D,Species_rpt!S$3,Tree!$F:$F,"L",Tree!$K:$K,"&lt;&gt;"&amp;"N")/$C42))</f>
        <v/>
      </c>
      <c r="T42" s="297" t="str">
        <f>IF(OR($C42="",T$3=""),"",IF(T$3="Snag",SUMIFS(Tree!$R:$R,Tree!$A:$A,Species_rpt!$B42,Tree!$F:$F,"D",Tree!$K:$K,"&lt;&gt;"&amp;"N")/$C42,SUMIFS(Tree!$R:$R,Tree!$A:$A,Species_rpt!$B42,Tree!$D:$D,Species_rpt!T$3,Tree!$F:$F,"L",Tree!$K:$K,"&lt;&gt;"&amp;"N")/$C42))</f>
        <v/>
      </c>
      <c r="U42" s="297" t="str">
        <f>IF(OR($C42="",U$3=""),"",IF(U$3="Snag",SUMIFS(Tree!$R:$R,Tree!$A:$A,Species_rpt!$B42,Tree!$F:$F,"D",Tree!$K:$K,"&lt;&gt;"&amp;"N")/$C42,SUMIFS(Tree!$R:$R,Tree!$A:$A,Species_rpt!$B42,Tree!$D:$D,Species_rpt!U$3,Tree!$F:$F,"L",Tree!$K:$K,"&lt;&gt;"&amp;"N")/$C42))</f>
        <v/>
      </c>
      <c r="V42" s="297" t="str">
        <f>IF(OR($C42="",V$3=""),"",IF(V$3="Snag",SUMIFS(Tree!$R:$R,Tree!$A:$A,Species_rpt!$B42,Tree!$F:$F,"D",Tree!$K:$K,"&lt;&gt;"&amp;"N")/$C42,SUMIFS(Tree!$R:$R,Tree!$A:$A,Species_rpt!$B42,Tree!$D:$D,Species_rpt!V$3,Tree!$F:$F,"L",Tree!$K:$K,"&lt;&gt;"&amp;"N")/$C42))</f>
        <v/>
      </c>
      <c r="W42" s="297" t="str">
        <f>IF(OR($C42="",W$3=""),"",IF(W$3="Snag",SUMIFS(Tree!$R:$R,Tree!$A:$A,Species_rpt!$B42,Tree!$F:$F,"D",Tree!$K:$K,"&lt;&gt;"&amp;"N")/$C42,SUMIFS(Tree!$R:$R,Tree!$A:$A,Species_rpt!$B42,Tree!$D:$D,Species_rpt!W$3,Tree!$F:$F,"L",Tree!$K:$K,"&lt;&gt;"&amp;"N")/$C42))</f>
        <v/>
      </c>
      <c r="X42" s="297" t="str">
        <f>IF(OR($C42="",X$3=""),"",IF(X$3="Snag",SUMIFS(Tree!$R:$R,Tree!$A:$A,Species_rpt!$B42,Tree!$F:$F,"D",Tree!$K:$K,"&lt;&gt;"&amp;"N")/$C42,SUMIFS(Tree!$R:$R,Tree!$A:$A,Species_rpt!$B42,Tree!$D:$D,Species_rpt!X$3,Tree!$F:$F,"L",Tree!$K:$K,"&lt;&gt;"&amp;"N")/$C42))</f>
        <v/>
      </c>
      <c r="Y42" s="297" t="str">
        <f>IF(OR($C42="",Y$3=""),"",IF(Y$3="Snag",SUMIFS(Tree!$R:$R,Tree!$A:$A,Species_rpt!$B42,Tree!$F:$F,"D",Tree!$K:$K,"&lt;&gt;"&amp;"N")/$C42,SUMIFS(Tree!$R:$R,Tree!$A:$A,Species_rpt!$B42,Tree!$D:$D,Species_rpt!Y$3,Tree!$F:$F,"L",Tree!$K:$K,"&lt;&gt;"&amp;"N")/$C42))</f>
        <v/>
      </c>
      <c r="Z42" s="297" t="str">
        <f>IF(OR($C42="",Z$3=""),"",IF(Z$3="Snag",SUMIFS(Tree!$R:$R,Tree!$A:$A,Species_rpt!$B42,Tree!$F:$F,"D",Tree!$K:$K,"&lt;&gt;"&amp;"N")/$C42,SUMIFS(Tree!$R:$R,Tree!$A:$A,Species_rpt!$B42,Tree!$D:$D,Species_rpt!Z$3,Tree!$F:$F,"L",Tree!$K:$K,"&lt;&gt;"&amp;"N")/$C42))</f>
        <v/>
      </c>
      <c r="AA42" s="297" t="str">
        <f>IF(OR($C42="",AA$3=""),"",IF(AA$3="Snag",SUMIFS(Tree!$R:$R,Tree!$A:$A,Species_rpt!$B42,Tree!$F:$F,"D",Tree!$K:$K,"&lt;&gt;"&amp;"N")/$C42,SUMIFS(Tree!$R:$R,Tree!$A:$A,Species_rpt!$B42,Tree!$D:$D,Species_rpt!AA$3,Tree!$F:$F,"L",Tree!$K:$K,"&lt;&gt;"&amp;"N")/$C42))</f>
        <v/>
      </c>
      <c r="AB42" s="297" t="str">
        <f>IF(OR($C42="",AB$3=""),"",IF(AB$3="Snag",SUMIFS(Tree!$R:$R,Tree!$A:$A,Species_rpt!$B42,Tree!$F:$F,"D",Tree!$K:$K,"&lt;&gt;"&amp;"N")/$C42,SUMIFS(Tree!$R:$R,Tree!$A:$A,Species_rpt!$B42,Tree!$D:$D,Species_rpt!AB$3,Tree!$F:$F,"L",Tree!$K:$K,"&lt;&gt;"&amp;"N")/$C42))</f>
        <v/>
      </c>
      <c r="AC42" s="298" t="str">
        <f t="shared" si="6"/>
        <v/>
      </c>
    </row>
    <row r="43" spans="2:29" x14ac:dyDescent="0.25">
      <c r="B43" s="201" t="str">
        <f>IF(Stand!C10="","",Stand!C10)</f>
        <v/>
      </c>
      <c r="C43" s="154" t="str">
        <f>IF(B11="","",VLOOKUP(B11,Stand!C:H,6,0))</f>
        <v/>
      </c>
      <c r="D43" s="28"/>
      <c r="E43" s="152" t="str">
        <f>IF(OR($C43="",E$3=""),"",IF(E$3="Snag",SUMIFS(Tree!$O:$O,Tree!$A:$A,Species_rpt!$B43,Tree!$F:$F,"D",Tree!$K:$K,"&lt;&gt;"&amp;"N")/$C43,SUMIFS(Tree!$O:$O,Tree!$A:$A,Species_rpt!$B43,Tree!$D:$D,Species_rpt!E$3,Tree!$F:$F,"L",Tree!$K:$K,"&lt;&gt;"&amp;"N")/$C43))</f>
        <v/>
      </c>
      <c r="F43" s="297" t="str">
        <f>IF(OR($C43="",F$3=""),"",IF(F$3="Snag",SUMIFS(Tree!$O:$O,Tree!$A:$A,Species_rpt!$B43,Tree!$F:$F,"D",Tree!$K:$K,"&lt;&gt;"&amp;"N")/$C43,SUMIFS(Tree!$O:$O,Tree!$A:$A,Species_rpt!$B43,Tree!$D:$D,Species_rpt!F$3,Tree!$F:$F,"L",Tree!$K:$K,"&lt;&gt;"&amp;"N")/$C43))</f>
        <v/>
      </c>
      <c r="G43" s="297" t="str">
        <f>IF(OR($C43="",G$3=""),"",IF(G$3="Snag",SUMIFS(Tree!$O:$O,Tree!$A:$A,Species_rpt!$B43,Tree!$F:$F,"D",Tree!$K:$K,"&lt;&gt;"&amp;"N")/$C43,SUMIFS(Tree!$O:$O,Tree!$A:$A,Species_rpt!$B43,Tree!$D:$D,Species_rpt!G$3,Tree!$F:$F,"L",Tree!$K:$K,"&lt;&gt;"&amp;"N")/$C43))</f>
        <v/>
      </c>
      <c r="H43" s="297" t="str">
        <f>IF(OR($C43="",H$3=""),"",IF(H$3="Snag",SUMIFS(Tree!$O:$O,Tree!$A:$A,Species_rpt!$B43,Tree!$F:$F,"D",Tree!$K:$K,"&lt;&gt;"&amp;"N")/$C43,SUMIFS(Tree!$O:$O,Tree!$A:$A,Species_rpt!$B43,Tree!$D:$D,Species_rpt!H$3,Tree!$F:$F,"L",Tree!$K:$K,"&lt;&gt;"&amp;"N")/$C43))</f>
        <v/>
      </c>
      <c r="I43" s="297" t="str">
        <f>IF(OR($C43="",I$3=""),"",IF(I$3="Snag",SUMIFS(Tree!$O:$O,Tree!$A:$A,Species_rpt!$B43,Tree!$F:$F,"D",Tree!$K:$K,"&lt;&gt;"&amp;"N")/$C43,SUMIFS(Tree!$O:$O,Tree!$A:$A,Species_rpt!$B43,Tree!$D:$D,Species_rpt!I$3,Tree!$F:$F,"L",Tree!$K:$K,"&lt;&gt;"&amp;"N")/$C43))</f>
        <v/>
      </c>
      <c r="J43" s="297" t="str">
        <f>IF(OR($C43="",J$3=""),"",IF(J$3="Snag",SUMIFS(Tree!$O:$O,Tree!$A:$A,Species_rpt!$B43,Tree!$F:$F,"D",Tree!$K:$K,"&lt;&gt;"&amp;"N")/$C43,SUMIFS(Tree!$O:$O,Tree!$A:$A,Species_rpt!$B43,Tree!$D:$D,Species_rpt!J$3,Tree!$F:$F,"L",Tree!$K:$K,"&lt;&gt;"&amp;"N")/$C43))</f>
        <v/>
      </c>
      <c r="K43" s="297" t="str">
        <f>IF(OR($C43="",K$3=""),"",IF(K$3="Snag",SUMIFS(Tree!$O:$O,Tree!$A:$A,Species_rpt!$B43,Tree!$F:$F,"D",Tree!$K:$K,"&lt;&gt;"&amp;"N")/$C43,SUMIFS(Tree!$O:$O,Tree!$A:$A,Species_rpt!$B43,Tree!$D:$D,Species_rpt!K$3,Tree!$F:$F,"L",Tree!$K:$K,"&lt;&gt;"&amp;"N")/$C43))</f>
        <v/>
      </c>
      <c r="L43" s="297" t="str">
        <f>IF(OR($C43="",L$3=""),"",IF(L$3="Snag",SUMIFS(Tree!$O:$O,Tree!$A:$A,Species_rpt!$B43,Tree!$F:$F,"D",Tree!$K:$K,"&lt;&gt;"&amp;"N")/$C43,SUMIFS(Tree!$O:$O,Tree!$A:$A,Species_rpt!$B43,Tree!$D:$D,Species_rpt!L$3,Tree!$F:$F,"L",Tree!$K:$K,"&lt;&gt;"&amp;"N")/$C43))</f>
        <v/>
      </c>
      <c r="M43" s="297" t="str">
        <f>IF(OR($C43="",M$3=""),"",IF(M$3="Snag",SUMIFS(Tree!$O:$O,Tree!$A:$A,Species_rpt!$B43,Tree!$F:$F,"D",Tree!$K:$K,"&lt;&gt;"&amp;"N")/$C43,SUMIFS(Tree!$O:$O,Tree!$A:$A,Species_rpt!$B43,Tree!$D:$D,Species_rpt!M$3,Tree!$F:$F,"L",Tree!$K:$K,"&lt;&gt;"&amp;"N")/$C43))</f>
        <v/>
      </c>
      <c r="N43" s="297" t="str">
        <f>IF(OR($C43="",N$3=""),"",IF(N$3="Snag",SUMIFS(Tree!$O:$O,Tree!$A:$A,Species_rpt!$B43,Tree!$F:$F,"D",Tree!$K:$K,"&lt;&gt;"&amp;"N")/$C43,SUMIFS(Tree!$O:$O,Tree!$A:$A,Species_rpt!$B43,Tree!$D:$D,Species_rpt!N$3,Tree!$F:$F,"L",Tree!$K:$K,"&lt;&gt;"&amp;"N")/$C43))</f>
        <v/>
      </c>
      <c r="O43" s="297" t="str">
        <f>IF(OR($C43="",O$3=""),"",IF(O$3="Snag",SUMIFS(Tree!$O:$O,Tree!$A:$A,Species_rpt!$B43,Tree!$F:$F,"D",Tree!$K:$K,"&lt;&gt;"&amp;"N")/$C43,SUMIFS(Tree!$O:$O,Tree!$A:$A,Species_rpt!$B43,Tree!$D:$D,Species_rpt!O$3,Tree!$F:$F,"L",Tree!$K:$K,"&lt;&gt;"&amp;"N")/$C43))</f>
        <v/>
      </c>
      <c r="P43" s="298" t="str">
        <f t="shared" si="5"/>
        <v/>
      </c>
      <c r="Q43" s="83"/>
      <c r="R43" s="152" t="str">
        <f>IF(OR($C43="",R$3=""),"",IF(R$3="Snag",SUMIFS(Tree!$R:$R,Tree!$A:$A,Species_rpt!$B43,Tree!$F:$F,"D",Tree!$K:$K,"&lt;&gt;"&amp;"N")/$C43,SUMIFS(Tree!$R:$R,Tree!$A:$A,Species_rpt!$B43,Tree!$D:$D,Species_rpt!R$3,Tree!$F:$F,"L",Tree!$K:$K,"&lt;&gt;"&amp;"N")/$C43))</f>
        <v/>
      </c>
      <c r="S43" s="297" t="str">
        <f>IF(OR($C43="",S$3=""),"",IF(S$3="Snag",SUMIFS(Tree!$R:$R,Tree!$A:$A,Species_rpt!$B43,Tree!$F:$F,"D",Tree!$K:$K,"&lt;&gt;"&amp;"N")/$C43,SUMIFS(Tree!$R:$R,Tree!$A:$A,Species_rpt!$B43,Tree!$D:$D,Species_rpt!S$3,Tree!$F:$F,"L",Tree!$K:$K,"&lt;&gt;"&amp;"N")/$C43))</f>
        <v/>
      </c>
      <c r="T43" s="297" t="str">
        <f>IF(OR($C43="",T$3=""),"",IF(T$3="Snag",SUMIFS(Tree!$R:$R,Tree!$A:$A,Species_rpt!$B43,Tree!$F:$F,"D",Tree!$K:$K,"&lt;&gt;"&amp;"N")/$C43,SUMIFS(Tree!$R:$R,Tree!$A:$A,Species_rpt!$B43,Tree!$D:$D,Species_rpt!T$3,Tree!$F:$F,"L",Tree!$K:$K,"&lt;&gt;"&amp;"N")/$C43))</f>
        <v/>
      </c>
      <c r="U43" s="297" t="str">
        <f>IF(OR($C43="",U$3=""),"",IF(U$3="Snag",SUMIFS(Tree!$R:$R,Tree!$A:$A,Species_rpt!$B43,Tree!$F:$F,"D",Tree!$K:$K,"&lt;&gt;"&amp;"N")/$C43,SUMIFS(Tree!$R:$R,Tree!$A:$A,Species_rpt!$B43,Tree!$D:$D,Species_rpt!U$3,Tree!$F:$F,"L",Tree!$K:$K,"&lt;&gt;"&amp;"N")/$C43))</f>
        <v/>
      </c>
      <c r="V43" s="297" t="str">
        <f>IF(OR($C43="",V$3=""),"",IF(V$3="Snag",SUMIFS(Tree!$R:$R,Tree!$A:$A,Species_rpt!$B43,Tree!$F:$F,"D",Tree!$K:$K,"&lt;&gt;"&amp;"N")/$C43,SUMIFS(Tree!$R:$R,Tree!$A:$A,Species_rpt!$B43,Tree!$D:$D,Species_rpt!V$3,Tree!$F:$F,"L",Tree!$K:$K,"&lt;&gt;"&amp;"N")/$C43))</f>
        <v/>
      </c>
      <c r="W43" s="297" t="str">
        <f>IF(OR($C43="",W$3=""),"",IF(W$3="Snag",SUMIFS(Tree!$R:$R,Tree!$A:$A,Species_rpt!$B43,Tree!$F:$F,"D",Tree!$K:$K,"&lt;&gt;"&amp;"N")/$C43,SUMIFS(Tree!$R:$R,Tree!$A:$A,Species_rpt!$B43,Tree!$D:$D,Species_rpt!W$3,Tree!$F:$F,"L",Tree!$K:$K,"&lt;&gt;"&amp;"N")/$C43))</f>
        <v/>
      </c>
      <c r="X43" s="297" t="str">
        <f>IF(OR($C43="",X$3=""),"",IF(X$3="Snag",SUMIFS(Tree!$R:$R,Tree!$A:$A,Species_rpt!$B43,Tree!$F:$F,"D",Tree!$K:$K,"&lt;&gt;"&amp;"N")/$C43,SUMIFS(Tree!$R:$R,Tree!$A:$A,Species_rpt!$B43,Tree!$D:$D,Species_rpt!X$3,Tree!$F:$F,"L",Tree!$K:$K,"&lt;&gt;"&amp;"N")/$C43))</f>
        <v/>
      </c>
      <c r="Y43" s="297" t="str">
        <f>IF(OR($C43="",Y$3=""),"",IF(Y$3="Snag",SUMIFS(Tree!$R:$R,Tree!$A:$A,Species_rpt!$B43,Tree!$F:$F,"D",Tree!$K:$K,"&lt;&gt;"&amp;"N")/$C43,SUMIFS(Tree!$R:$R,Tree!$A:$A,Species_rpt!$B43,Tree!$D:$D,Species_rpt!Y$3,Tree!$F:$F,"L",Tree!$K:$K,"&lt;&gt;"&amp;"N")/$C43))</f>
        <v/>
      </c>
      <c r="Z43" s="297" t="str">
        <f>IF(OR($C43="",Z$3=""),"",IF(Z$3="Snag",SUMIFS(Tree!$R:$R,Tree!$A:$A,Species_rpt!$B43,Tree!$F:$F,"D",Tree!$K:$K,"&lt;&gt;"&amp;"N")/$C43,SUMIFS(Tree!$R:$R,Tree!$A:$A,Species_rpt!$B43,Tree!$D:$D,Species_rpt!Z$3,Tree!$F:$F,"L",Tree!$K:$K,"&lt;&gt;"&amp;"N")/$C43))</f>
        <v/>
      </c>
      <c r="AA43" s="297" t="str">
        <f>IF(OR($C43="",AA$3=""),"",IF(AA$3="Snag",SUMIFS(Tree!$R:$R,Tree!$A:$A,Species_rpt!$B43,Tree!$F:$F,"D",Tree!$K:$K,"&lt;&gt;"&amp;"N")/$C43,SUMIFS(Tree!$R:$R,Tree!$A:$A,Species_rpt!$B43,Tree!$D:$D,Species_rpt!AA$3,Tree!$F:$F,"L",Tree!$K:$K,"&lt;&gt;"&amp;"N")/$C43))</f>
        <v/>
      </c>
      <c r="AB43" s="297" t="str">
        <f>IF(OR($C43="",AB$3=""),"",IF(AB$3="Snag",SUMIFS(Tree!$R:$R,Tree!$A:$A,Species_rpt!$B43,Tree!$F:$F,"D",Tree!$K:$K,"&lt;&gt;"&amp;"N")/$C43,SUMIFS(Tree!$R:$R,Tree!$A:$A,Species_rpt!$B43,Tree!$D:$D,Species_rpt!AB$3,Tree!$F:$F,"L",Tree!$K:$K,"&lt;&gt;"&amp;"N")/$C43))</f>
        <v/>
      </c>
      <c r="AC43" s="298" t="str">
        <f t="shared" si="6"/>
        <v/>
      </c>
    </row>
    <row r="44" spans="2:29" x14ac:dyDescent="0.25">
      <c r="B44" s="201" t="str">
        <f>IF(Stand!C11="","",Stand!C11)</f>
        <v/>
      </c>
      <c r="C44" s="154" t="str">
        <f>IF(B12="","",VLOOKUP(B12,Stand!C:H,6,0))</f>
        <v/>
      </c>
      <c r="D44" s="28"/>
      <c r="E44" s="152" t="str">
        <f>IF(OR($C44="",E$3=""),"",IF(E$3="Snag",SUMIFS(Tree!$O:$O,Tree!$A:$A,Species_rpt!$B44,Tree!$F:$F,"D",Tree!$K:$K,"&lt;&gt;"&amp;"N")/$C44,SUMIFS(Tree!$O:$O,Tree!$A:$A,Species_rpt!$B44,Tree!$D:$D,Species_rpt!E$3,Tree!$F:$F,"L",Tree!$K:$K,"&lt;&gt;"&amp;"N")/$C44))</f>
        <v/>
      </c>
      <c r="F44" s="297" t="str">
        <f>IF(OR($C44="",F$3=""),"",IF(F$3="Snag",SUMIFS(Tree!$O:$O,Tree!$A:$A,Species_rpt!$B44,Tree!$F:$F,"D",Tree!$K:$K,"&lt;&gt;"&amp;"N")/$C44,SUMIFS(Tree!$O:$O,Tree!$A:$A,Species_rpt!$B44,Tree!$D:$D,Species_rpt!F$3,Tree!$F:$F,"L",Tree!$K:$K,"&lt;&gt;"&amp;"N")/$C44))</f>
        <v/>
      </c>
      <c r="G44" s="297" t="str">
        <f>IF(OR($C44="",G$3=""),"",IF(G$3="Snag",SUMIFS(Tree!$O:$O,Tree!$A:$A,Species_rpt!$B44,Tree!$F:$F,"D",Tree!$K:$K,"&lt;&gt;"&amp;"N")/$C44,SUMIFS(Tree!$O:$O,Tree!$A:$A,Species_rpt!$B44,Tree!$D:$D,Species_rpt!G$3,Tree!$F:$F,"L",Tree!$K:$K,"&lt;&gt;"&amp;"N")/$C44))</f>
        <v/>
      </c>
      <c r="H44" s="297" t="str">
        <f>IF(OR($C44="",H$3=""),"",IF(H$3="Snag",SUMIFS(Tree!$O:$O,Tree!$A:$A,Species_rpt!$B44,Tree!$F:$F,"D",Tree!$K:$K,"&lt;&gt;"&amp;"N")/$C44,SUMIFS(Tree!$O:$O,Tree!$A:$A,Species_rpt!$B44,Tree!$D:$D,Species_rpt!H$3,Tree!$F:$F,"L",Tree!$K:$K,"&lt;&gt;"&amp;"N")/$C44))</f>
        <v/>
      </c>
      <c r="I44" s="297" t="str">
        <f>IF(OR($C44="",I$3=""),"",IF(I$3="Snag",SUMIFS(Tree!$O:$O,Tree!$A:$A,Species_rpt!$B44,Tree!$F:$F,"D",Tree!$K:$K,"&lt;&gt;"&amp;"N")/$C44,SUMIFS(Tree!$O:$O,Tree!$A:$A,Species_rpt!$B44,Tree!$D:$D,Species_rpt!I$3,Tree!$F:$F,"L",Tree!$K:$K,"&lt;&gt;"&amp;"N")/$C44))</f>
        <v/>
      </c>
      <c r="J44" s="297" t="str">
        <f>IF(OR($C44="",J$3=""),"",IF(J$3="Snag",SUMIFS(Tree!$O:$O,Tree!$A:$A,Species_rpt!$B44,Tree!$F:$F,"D",Tree!$K:$K,"&lt;&gt;"&amp;"N")/$C44,SUMIFS(Tree!$O:$O,Tree!$A:$A,Species_rpt!$B44,Tree!$D:$D,Species_rpt!J$3,Tree!$F:$F,"L",Tree!$K:$K,"&lt;&gt;"&amp;"N")/$C44))</f>
        <v/>
      </c>
      <c r="K44" s="297" t="str">
        <f>IF(OR($C44="",K$3=""),"",IF(K$3="Snag",SUMIFS(Tree!$O:$O,Tree!$A:$A,Species_rpt!$B44,Tree!$F:$F,"D",Tree!$K:$K,"&lt;&gt;"&amp;"N")/$C44,SUMIFS(Tree!$O:$O,Tree!$A:$A,Species_rpt!$B44,Tree!$D:$D,Species_rpt!K$3,Tree!$F:$F,"L",Tree!$K:$K,"&lt;&gt;"&amp;"N")/$C44))</f>
        <v/>
      </c>
      <c r="L44" s="297" t="str">
        <f>IF(OR($C44="",L$3=""),"",IF(L$3="Snag",SUMIFS(Tree!$O:$O,Tree!$A:$A,Species_rpt!$B44,Tree!$F:$F,"D",Tree!$K:$K,"&lt;&gt;"&amp;"N")/$C44,SUMIFS(Tree!$O:$O,Tree!$A:$A,Species_rpt!$B44,Tree!$D:$D,Species_rpt!L$3,Tree!$F:$F,"L",Tree!$K:$K,"&lt;&gt;"&amp;"N")/$C44))</f>
        <v/>
      </c>
      <c r="M44" s="297" t="str">
        <f>IF(OR($C44="",M$3=""),"",IF(M$3="Snag",SUMIFS(Tree!$O:$O,Tree!$A:$A,Species_rpt!$B44,Tree!$F:$F,"D",Tree!$K:$K,"&lt;&gt;"&amp;"N")/$C44,SUMIFS(Tree!$O:$O,Tree!$A:$A,Species_rpt!$B44,Tree!$D:$D,Species_rpt!M$3,Tree!$F:$F,"L",Tree!$K:$K,"&lt;&gt;"&amp;"N")/$C44))</f>
        <v/>
      </c>
      <c r="N44" s="297" t="str">
        <f>IF(OR($C44="",N$3=""),"",IF(N$3="Snag",SUMIFS(Tree!$O:$O,Tree!$A:$A,Species_rpt!$B44,Tree!$F:$F,"D",Tree!$K:$K,"&lt;&gt;"&amp;"N")/$C44,SUMIFS(Tree!$O:$O,Tree!$A:$A,Species_rpt!$B44,Tree!$D:$D,Species_rpt!N$3,Tree!$F:$F,"L",Tree!$K:$K,"&lt;&gt;"&amp;"N")/$C44))</f>
        <v/>
      </c>
      <c r="O44" s="297" t="str">
        <f>IF(OR($C44="",O$3=""),"",IF(O$3="Snag",SUMIFS(Tree!$O:$O,Tree!$A:$A,Species_rpt!$B44,Tree!$F:$F,"D",Tree!$K:$K,"&lt;&gt;"&amp;"N")/$C44,SUMIFS(Tree!$O:$O,Tree!$A:$A,Species_rpt!$B44,Tree!$D:$D,Species_rpt!O$3,Tree!$F:$F,"L",Tree!$K:$K,"&lt;&gt;"&amp;"N")/$C44))</f>
        <v/>
      </c>
      <c r="P44" s="298" t="str">
        <f t="shared" si="5"/>
        <v/>
      </c>
      <c r="Q44" s="83"/>
      <c r="R44" s="152" t="str">
        <f>IF(OR($C44="",R$3=""),"",IF(R$3="Snag",SUMIFS(Tree!$R:$R,Tree!$A:$A,Species_rpt!$B44,Tree!$F:$F,"D",Tree!$K:$K,"&lt;&gt;"&amp;"N")/$C44,SUMIFS(Tree!$R:$R,Tree!$A:$A,Species_rpt!$B44,Tree!$D:$D,Species_rpt!R$3,Tree!$F:$F,"L",Tree!$K:$K,"&lt;&gt;"&amp;"N")/$C44))</f>
        <v/>
      </c>
      <c r="S44" s="297" t="str">
        <f>IF(OR($C44="",S$3=""),"",IF(S$3="Snag",SUMIFS(Tree!$R:$R,Tree!$A:$A,Species_rpt!$B44,Tree!$F:$F,"D",Tree!$K:$K,"&lt;&gt;"&amp;"N")/$C44,SUMIFS(Tree!$R:$R,Tree!$A:$A,Species_rpt!$B44,Tree!$D:$D,Species_rpt!S$3,Tree!$F:$F,"L",Tree!$K:$K,"&lt;&gt;"&amp;"N")/$C44))</f>
        <v/>
      </c>
      <c r="T44" s="297" t="str">
        <f>IF(OR($C44="",T$3=""),"",IF(T$3="Snag",SUMIFS(Tree!$R:$R,Tree!$A:$A,Species_rpt!$B44,Tree!$F:$F,"D",Tree!$K:$K,"&lt;&gt;"&amp;"N")/$C44,SUMIFS(Tree!$R:$R,Tree!$A:$A,Species_rpt!$B44,Tree!$D:$D,Species_rpt!T$3,Tree!$F:$F,"L",Tree!$K:$K,"&lt;&gt;"&amp;"N")/$C44))</f>
        <v/>
      </c>
      <c r="U44" s="297" t="str">
        <f>IF(OR($C44="",U$3=""),"",IF(U$3="Snag",SUMIFS(Tree!$R:$R,Tree!$A:$A,Species_rpt!$B44,Tree!$F:$F,"D",Tree!$K:$K,"&lt;&gt;"&amp;"N")/$C44,SUMIFS(Tree!$R:$R,Tree!$A:$A,Species_rpt!$B44,Tree!$D:$D,Species_rpt!U$3,Tree!$F:$F,"L",Tree!$K:$K,"&lt;&gt;"&amp;"N")/$C44))</f>
        <v/>
      </c>
      <c r="V44" s="297" t="str">
        <f>IF(OR($C44="",V$3=""),"",IF(V$3="Snag",SUMIFS(Tree!$R:$R,Tree!$A:$A,Species_rpt!$B44,Tree!$F:$F,"D",Tree!$K:$K,"&lt;&gt;"&amp;"N")/$C44,SUMIFS(Tree!$R:$R,Tree!$A:$A,Species_rpt!$B44,Tree!$D:$D,Species_rpt!V$3,Tree!$F:$F,"L",Tree!$K:$K,"&lt;&gt;"&amp;"N")/$C44))</f>
        <v/>
      </c>
      <c r="W44" s="297" t="str">
        <f>IF(OR($C44="",W$3=""),"",IF(W$3="Snag",SUMIFS(Tree!$R:$R,Tree!$A:$A,Species_rpt!$B44,Tree!$F:$F,"D",Tree!$K:$K,"&lt;&gt;"&amp;"N")/$C44,SUMIFS(Tree!$R:$R,Tree!$A:$A,Species_rpt!$B44,Tree!$D:$D,Species_rpt!W$3,Tree!$F:$F,"L",Tree!$K:$K,"&lt;&gt;"&amp;"N")/$C44))</f>
        <v/>
      </c>
      <c r="X44" s="297" t="str">
        <f>IF(OR($C44="",X$3=""),"",IF(X$3="Snag",SUMIFS(Tree!$R:$R,Tree!$A:$A,Species_rpt!$B44,Tree!$F:$F,"D",Tree!$K:$K,"&lt;&gt;"&amp;"N")/$C44,SUMIFS(Tree!$R:$R,Tree!$A:$A,Species_rpt!$B44,Tree!$D:$D,Species_rpt!X$3,Tree!$F:$F,"L",Tree!$K:$K,"&lt;&gt;"&amp;"N")/$C44))</f>
        <v/>
      </c>
      <c r="Y44" s="297" t="str">
        <f>IF(OR($C44="",Y$3=""),"",IF(Y$3="Snag",SUMIFS(Tree!$R:$R,Tree!$A:$A,Species_rpt!$B44,Tree!$F:$F,"D",Tree!$K:$K,"&lt;&gt;"&amp;"N")/$C44,SUMIFS(Tree!$R:$R,Tree!$A:$A,Species_rpt!$B44,Tree!$D:$D,Species_rpt!Y$3,Tree!$F:$F,"L",Tree!$K:$K,"&lt;&gt;"&amp;"N")/$C44))</f>
        <v/>
      </c>
      <c r="Z44" s="297" t="str">
        <f>IF(OR($C44="",Z$3=""),"",IF(Z$3="Snag",SUMIFS(Tree!$R:$R,Tree!$A:$A,Species_rpt!$B44,Tree!$F:$F,"D",Tree!$K:$K,"&lt;&gt;"&amp;"N")/$C44,SUMIFS(Tree!$R:$R,Tree!$A:$A,Species_rpt!$B44,Tree!$D:$D,Species_rpt!Z$3,Tree!$F:$F,"L",Tree!$K:$K,"&lt;&gt;"&amp;"N")/$C44))</f>
        <v/>
      </c>
      <c r="AA44" s="297" t="str">
        <f>IF(OR($C44="",AA$3=""),"",IF(AA$3="Snag",SUMIFS(Tree!$R:$R,Tree!$A:$A,Species_rpt!$B44,Tree!$F:$F,"D",Tree!$K:$K,"&lt;&gt;"&amp;"N")/$C44,SUMIFS(Tree!$R:$R,Tree!$A:$A,Species_rpt!$B44,Tree!$D:$D,Species_rpt!AA$3,Tree!$F:$F,"L",Tree!$K:$K,"&lt;&gt;"&amp;"N")/$C44))</f>
        <v/>
      </c>
      <c r="AB44" s="297" t="str">
        <f>IF(OR($C44="",AB$3=""),"",IF(AB$3="Snag",SUMIFS(Tree!$R:$R,Tree!$A:$A,Species_rpt!$B44,Tree!$F:$F,"D",Tree!$K:$K,"&lt;&gt;"&amp;"N")/$C44,SUMIFS(Tree!$R:$R,Tree!$A:$A,Species_rpt!$B44,Tree!$D:$D,Species_rpt!AB$3,Tree!$F:$F,"L",Tree!$K:$K,"&lt;&gt;"&amp;"N")/$C44))</f>
        <v/>
      </c>
      <c r="AC44" s="298" t="str">
        <f t="shared" si="6"/>
        <v/>
      </c>
    </row>
    <row r="45" spans="2:29" x14ac:dyDescent="0.25">
      <c r="B45" s="201" t="str">
        <f>IF(Stand!C12="","",Stand!C12)</f>
        <v/>
      </c>
      <c r="C45" s="154" t="str">
        <f>IF(B13="","",VLOOKUP(B13,Stand!C:H,6,0))</f>
        <v/>
      </c>
      <c r="D45" s="28"/>
      <c r="E45" s="152" t="str">
        <f>IF(OR($C45="",E$3=""),"",IF(E$3="Snag",SUMIFS(Tree!$O:$O,Tree!$A:$A,Species_rpt!$B45,Tree!$F:$F,"D",Tree!$K:$K,"&lt;&gt;"&amp;"N")/$C45,SUMIFS(Tree!$O:$O,Tree!$A:$A,Species_rpt!$B45,Tree!$D:$D,Species_rpt!E$3,Tree!$F:$F,"L",Tree!$K:$K,"&lt;&gt;"&amp;"N")/$C45))</f>
        <v/>
      </c>
      <c r="F45" s="297" t="str">
        <f>IF(OR($C45="",F$3=""),"",IF(F$3="Snag",SUMIFS(Tree!$O:$O,Tree!$A:$A,Species_rpt!$B45,Tree!$F:$F,"D",Tree!$K:$K,"&lt;&gt;"&amp;"N")/$C45,SUMIFS(Tree!$O:$O,Tree!$A:$A,Species_rpt!$B45,Tree!$D:$D,Species_rpt!F$3,Tree!$F:$F,"L",Tree!$K:$K,"&lt;&gt;"&amp;"N")/$C45))</f>
        <v/>
      </c>
      <c r="G45" s="297" t="str">
        <f>IF(OR($C45="",G$3=""),"",IF(G$3="Snag",SUMIFS(Tree!$O:$O,Tree!$A:$A,Species_rpt!$B45,Tree!$F:$F,"D",Tree!$K:$K,"&lt;&gt;"&amp;"N")/$C45,SUMIFS(Tree!$O:$O,Tree!$A:$A,Species_rpt!$B45,Tree!$D:$D,Species_rpt!G$3,Tree!$F:$F,"L",Tree!$K:$K,"&lt;&gt;"&amp;"N")/$C45))</f>
        <v/>
      </c>
      <c r="H45" s="297" t="str">
        <f>IF(OR($C45="",H$3=""),"",IF(H$3="Snag",SUMIFS(Tree!$O:$O,Tree!$A:$A,Species_rpt!$B45,Tree!$F:$F,"D",Tree!$K:$K,"&lt;&gt;"&amp;"N")/$C45,SUMIFS(Tree!$O:$O,Tree!$A:$A,Species_rpt!$B45,Tree!$D:$D,Species_rpt!H$3,Tree!$F:$F,"L",Tree!$K:$K,"&lt;&gt;"&amp;"N")/$C45))</f>
        <v/>
      </c>
      <c r="I45" s="297" t="str">
        <f>IF(OR($C45="",I$3=""),"",IF(I$3="Snag",SUMIFS(Tree!$O:$O,Tree!$A:$A,Species_rpt!$B45,Tree!$F:$F,"D",Tree!$K:$K,"&lt;&gt;"&amp;"N")/$C45,SUMIFS(Tree!$O:$O,Tree!$A:$A,Species_rpt!$B45,Tree!$D:$D,Species_rpt!I$3,Tree!$F:$F,"L",Tree!$K:$K,"&lt;&gt;"&amp;"N")/$C45))</f>
        <v/>
      </c>
      <c r="J45" s="297" t="str">
        <f>IF(OR($C45="",J$3=""),"",IF(J$3="Snag",SUMIFS(Tree!$O:$O,Tree!$A:$A,Species_rpt!$B45,Tree!$F:$F,"D",Tree!$K:$K,"&lt;&gt;"&amp;"N")/$C45,SUMIFS(Tree!$O:$O,Tree!$A:$A,Species_rpt!$B45,Tree!$D:$D,Species_rpt!J$3,Tree!$F:$F,"L",Tree!$K:$K,"&lt;&gt;"&amp;"N")/$C45))</f>
        <v/>
      </c>
      <c r="K45" s="297" t="str">
        <f>IF(OR($C45="",K$3=""),"",IF(K$3="Snag",SUMIFS(Tree!$O:$O,Tree!$A:$A,Species_rpt!$B45,Tree!$F:$F,"D",Tree!$K:$K,"&lt;&gt;"&amp;"N")/$C45,SUMIFS(Tree!$O:$O,Tree!$A:$A,Species_rpt!$B45,Tree!$D:$D,Species_rpt!K$3,Tree!$F:$F,"L",Tree!$K:$K,"&lt;&gt;"&amp;"N")/$C45))</f>
        <v/>
      </c>
      <c r="L45" s="297" t="str">
        <f>IF(OR($C45="",L$3=""),"",IF(L$3="Snag",SUMIFS(Tree!$O:$O,Tree!$A:$A,Species_rpt!$B45,Tree!$F:$F,"D",Tree!$K:$K,"&lt;&gt;"&amp;"N")/$C45,SUMIFS(Tree!$O:$O,Tree!$A:$A,Species_rpt!$B45,Tree!$D:$D,Species_rpt!L$3,Tree!$F:$F,"L",Tree!$K:$K,"&lt;&gt;"&amp;"N")/$C45))</f>
        <v/>
      </c>
      <c r="M45" s="297" t="str">
        <f>IF(OR($C45="",M$3=""),"",IF(M$3="Snag",SUMIFS(Tree!$O:$O,Tree!$A:$A,Species_rpt!$B45,Tree!$F:$F,"D",Tree!$K:$K,"&lt;&gt;"&amp;"N")/$C45,SUMIFS(Tree!$O:$O,Tree!$A:$A,Species_rpt!$B45,Tree!$D:$D,Species_rpt!M$3,Tree!$F:$F,"L",Tree!$K:$K,"&lt;&gt;"&amp;"N")/$C45))</f>
        <v/>
      </c>
      <c r="N45" s="297" t="str">
        <f>IF(OR($C45="",N$3=""),"",IF(N$3="Snag",SUMIFS(Tree!$O:$O,Tree!$A:$A,Species_rpt!$B45,Tree!$F:$F,"D",Tree!$K:$K,"&lt;&gt;"&amp;"N")/$C45,SUMIFS(Tree!$O:$O,Tree!$A:$A,Species_rpt!$B45,Tree!$D:$D,Species_rpt!N$3,Tree!$F:$F,"L",Tree!$K:$K,"&lt;&gt;"&amp;"N")/$C45))</f>
        <v/>
      </c>
      <c r="O45" s="297" t="str">
        <f>IF(OR($C45="",O$3=""),"",IF(O$3="Snag",SUMIFS(Tree!$O:$O,Tree!$A:$A,Species_rpt!$B45,Tree!$F:$F,"D",Tree!$K:$K,"&lt;&gt;"&amp;"N")/$C45,SUMIFS(Tree!$O:$O,Tree!$A:$A,Species_rpt!$B45,Tree!$D:$D,Species_rpt!O$3,Tree!$F:$F,"L",Tree!$K:$K,"&lt;&gt;"&amp;"N")/$C45))</f>
        <v/>
      </c>
      <c r="P45" s="298" t="str">
        <f t="shared" si="5"/>
        <v/>
      </c>
      <c r="Q45" s="83"/>
      <c r="R45" s="152" t="str">
        <f>IF(OR($C45="",R$3=""),"",IF(R$3="Snag",SUMIFS(Tree!$R:$R,Tree!$A:$A,Species_rpt!$B45,Tree!$F:$F,"D",Tree!$K:$K,"&lt;&gt;"&amp;"N")/$C45,SUMIFS(Tree!$R:$R,Tree!$A:$A,Species_rpt!$B45,Tree!$D:$D,Species_rpt!R$3,Tree!$F:$F,"L",Tree!$K:$K,"&lt;&gt;"&amp;"N")/$C45))</f>
        <v/>
      </c>
      <c r="S45" s="297" t="str">
        <f>IF(OR($C45="",S$3=""),"",IF(S$3="Snag",SUMIFS(Tree!$R:$R,Tree!$A:$A,Species_rpt!$B45,Tree!$F:$F,"D",Tree!$K:$K,"&lt;&gt;"&amp;"N")/$C45,SUMIFS(Tree!$R:$R,Tree!$A:$A,Species_rpt!$B45,Tree!$D:$D,Species_rpt!S$3,Tree!$F:$F,"L",Tree!$K:$K,"&lt;&gt;"&amp;"N")/$C45))</f>
        <v/>
      </c>
      <c r="T45" s="297" t="str">
        <f>IF(OR($C45="",T$3=""),"",IF(T$3="Snag",SUMIFS(Tree!$R:$R,Tree!$A:$A,Species_rpt!$B45,Tree!$F:$F,"D",Tree!$K:$K,"&lt;&gt;"&amp;"N")/$C45,SUMIFS(Tree!$R:$R,Tree!$A:$A,Species_rpt!$B45,Tree!$D:$D,Species_rpt!T$3,Tree!$F:$F,"L",Tree!$K:$K,"&lt;&gt;"&amp;"N")/$C45))</f>
        <v/>
      </c>
      <c r="U45" s="297" t="str">
        <f>IF(OR($C45="",U$3=""),"",IF(U$3="Snag",SUMIFS(Tree!$R:$R,Tree!$A:$A,Species_rpt!$B45,Tree!$F:$F,"D",Tree!$K:$K,"&lt;&gt;"&amp;"N")/$C45,SUMIFS(Tree!$R:$R,Tree!$A:$A,Species_rpt!$B45,Tree!$D:$D,Species_rpt!U$3,Tree!$F:$F,"L",Tree!$K:$K,"&lt;&gt;"&amp;"N")/$C45))</f>
        <v/>
      </c>
      <c r="V45" s="297" t="str">
        <f>IF(OR($C45="",V$3=""),"",IF(V$3="Snag",SUMIFS(Tree!$R:$R,Tree!$A:$A,Species_rpt!$B45,Tree!$F:$F,"D",Tree!$K:$K,"&lt;&gt;"&amp;"N")/$C45,SUMIFS(Tree!$R:$R,Tree!$A:$A,Species_rpt!$B45,Tree!$D:$D,Species_rpt!V$3,Tree!$F:$F,"L",Tree!$K:$K,"&lt;&gt;"&amp;"N")/$C45))</f>
        <v/>
      </c>
      <c r="W45" s="297" t="str">
        <f>IF(OR($C45="",W$3=""),"",IF(W$3="Snag",SUMIFS(Tree!$R:$R,Tree!$A:$A,Species_rpt!$B45,Tree!$F:$F,"D",Tree!$K:$K,"&lt;&gt;"&amp;"N")/$C45,SUMIFS(Tree!$R:$R,Tree!$A:$A,Species_rpt!$B45,Tree!$D:$D,Species_rpt!W$3,Tree!$F:$F,"L",Tree!$K:$K,"&lt;&gt;"&amp;"N")/$C45))</f>
        <v/>
      </c>
      <c r="X45" s="297" t="str">
        <f>IF(OR($C45="",X$3=""),"",IF(X$3="Snag",SUMIFS(Tree!$R:$R,Tree!$A:$A,Species_rpt!$B45,Tree!$F:$F,"D",Tree!$K:$K,"&lt;&gt;"&amp;"N")/$C45,SUMIFS(Tree!$R:$R,Tree!$A:$A,Species_rpt!$B45,Tree!$D:$D,Species_rpt!X$3,Tree!$F:$F,"L",Tree!$K:$K,"&lt;&gt;"&amp;"N")/$C45))</f>
        <v/>
      </c>
      <c r="Y45" s="297" t="str">
        <f>IF(OR($C45="",Y$3=""),"",IF(Y$3="Snag",SUMIFS(Tree!$R:$R,Tree!$A:$A,Species_rpt!$B45,Tree!$F:$F,"D",Tree!$K:$K,"&lt;&gt;"&amp;"N")/$C45,SUMIFS(Tree!$R:$R,Tree!$A:$A,Species_rpt!$B45,Tree!$D:$D,Species_rpt!Y$3,Tree!$F:$F,"L",Tree!$K:$K,"&lt;&gt;"&amp;"N")/$C45))</f>
        <v/>
      </c>
      <c r="Z45" s="297" t="str">
        <f>IF(OR($C45="",Z$3=""),"",IF(Z$3="Snag",SUMIFS(Tree!$R:$R,Tree!$A:$A,Species_rpt!$B45,Tree!$F:$F,"D",Tree!$K:$K,"&lt;&gt;"&amp;"N")/$C45,SUMIFS(Tree!$R:$R,Tree!$A:$A,Species_rpt!$B45,Tree!$D:$D,Species_rpt!Z$3,Tree!$F:$F,"L",Tree!$K:$K,"&lt;&gt;"&amp;"N")/$C45))</f>
        <v/>
      </c>
      <c r="AA45" s="297" t="str">
        <f>IF(OR($C45="",AA$3=""),"",IF(AA$3="Snag",SUMIFS(Tree!$R:$R,Tree!$A:$A,Species_rpt!$B45,Tree!$F:$F,"D",Tree!$K:$K,"&lt;&gt;"&amp;"N")/$C45,SUMIFS(Tree!$R:$R,Tree!$A:$A,Species_rpt!$B45,Tree!$D:$D,Species_rpt!AA$3,Tree!$F:$F,"L",Tree!$K:$K,"&lt;&gt;"&amp;"N")/$C45))</f>
        <v/>
      </c>
      <c r="AB45" s="297" t="str">
        <f>IF(OR($C45="",AB$3=""),"",IF(AB$3="Snag",SUMIFS(Tree!$R:$R,Tree!$A:$A,Species_rpt!$B45,Tree!$F:$F,"D",Tree!$K:$K,"&lt;&gt;"&amp;"N")/$C45,SUMIFS(Tree!$R:$R,Tree!$A:$A,Species_rpt!$B45,Tree!$D:$D,Species_rpt!AB$3,Tree!$F:$F,"L",Tree!$K:$K,"&lt;&gt;"&amp;"N")/$C45))</f>
        <v/>
      </c>
      <c r="AC45" s="298" t="str">
        <f t="shared" si="6"/>
        <v/>
      </c>
    </row>
    <row r="46" spans="2:29" x14ac:dyDescent="0.25">
      <c r="B46" s="201" t="str">
        <f>IF(Stand!C13="","",Stand!C13)</f>
        <v/>
      </c>
      <c r="C46" s="154" t="str">
        <f>IF(B14="","",VLOOKUP(B14,Stand!C:H,6,0))</f>
        <v/>
      </c>
      <c r="D46" s="28"/>
      <c r="E46" s="152" t="str">
        <f>IF(OR($C46="",E$3=""),"",IF(E$3="Snag",SUMIFS(Tree!$O:$O,Tree!$A:$A,Species_rpt!$B46,Tree!$F:$F,"D",Tree!$K:$K,"&lt;&gt;"&amp;"N")/$C46,SUMIFS(Tree!$O:$O,Tree!$A:$A,Species_rpt!$B46,Tree!$D:$D,Species_rpt!E$3,Tree!$F:$F,"L",Tree!$K:$K,"&lt;&gt;"&amp;"N")/$C46))</f>
        <v/>
      </c>
      <c r="F46" s="297" t="str">
        <f>IF(OR($C46="",F$3=""),"",IF(F$3="Snag",SUMIFS(Tree!$O:$O,Tree!$A:$A,Species_rpt!$B46,Tree!$F:$F,"D",Tree!$K:$K,"&lt;&gt;"&amp;"N")/$C46,SUMIFS(Tree!$O:$O,Tree!$A:$A,Species_rpt!$B46,Tree!$D:$D,Species_rpt!F$3,Tree!$F:$F,"L",Tree!$K:$K,"&lt;&gt;"&amp;"N")/$C46))</f>
        <v/>
      </c>
      <c r="G46" s="297" t="str">
        <f>IF(OR($C46="",G$3=""),"",IF(G$3="Snag",SUMIFS(Tree!$O:$O,Tree!$A:$A,Species_rpt!$B46,Tree!$F:$F,"D",Tree!$K:$K,"&lt;&gt;"&amp;"N")/$C46,SUMIFS(Tree!$O:$O,Tree!$A:$A,Species_rpt!$B46,Tree!$D:$D,Species_rpt!G$3,Tree!$F:$F,"L",Tree!$K:$K,"&lt;&gt;"&amp;"N")/$C46))</f>
        <v/>
      </c>
      <c r="H46" s="297" t="str">
        <f>IF(OR($C46="",H$3=""),"",IF(H$3="Snag",SUMIFS(Tree!$O:$O,Tree!$A:$A,Species_rpt!$B46,Tree!$F:$F,"D",Tree!$K:$K,"&lt;&gt;"&amp;"N")/$C46,SUMIFS(Tree!$O:$O,Tree!$A:$A,Species_rpt!$B46,Tree!$D:$D,Species_rpt!H$3,Tree!$F:$F,"L",Tree!$K:$K,"&lt;&gt;"&amp;"N")/$C46))</f>
        <v/>
      </c>
      <c r="I46" s="297" t="str">
        <f>IF(OR($C46="",I$3=""),"",IF(I$3="Snag",SUMIFS(Tree!$O:$O,Tree!$A:$A,Species_rpt!$B46,Tree!$F:$F,"D",Tree!$K:$K,"&lt;&gt;"&amp;"N")/$C46,SUMIFS(Tree!$O:$O,Tree!$A:$A,Species_rpt!$B46,Tree!$D:$D,Species_rpt!I$3,Tree!$F:$F,"L",Tree!$K:$K,"&lt;&gt;"&amp;"N")/$C46))</f>
        <v/>
      </c>
      <c r="J46" s="297" t="str">
        <f>IF(OR($C46="",J$3=""),"",IF(J$3="Snag",SUMIFS(Tree!$O:$O,Tree!$A:$A,Species_rpt!$B46,Tree!$F:$F,"D",Tree!$K:$K,"&lt;&gt;"&amp;"N")/$C46,SUMIFS(Tree!$O:$O,Tree!$A:$A,Species_rpt!$B46,Tree!$D:$D,Species_rpt!J$3,Tree!$F:$F,"L",Tree!$K:$K,"&lt;&gt;"&amp;"N")/$C46))</f>
        <v/>
      </c>
      <c r="K46" s="297" t="str">
        <f>IF(OR($C46="",K$3=""),"",IF(K$3="Snag",SUMIFS(Tree!$O:$O,Tree!$A:$A,Species_rpt!$B46,Tree!$F:$F,"D",Tree!$K:$K,"&lt;&gt;"&amp;"N")/$C46,SUMIFS(Tree!$O:$O,Tree!$A:$A,Species_rpt!$B46,Tree!$D:$D,Species_rpt!K$3,Tree!$F:$F,"L",Tree!$K:$K,"&lt;&gt;"&amp;"N")/$C46))</f>
        <v/>
      </c>
      <c r="L46" s="297" t="str">
        <f>IF(OR($C46="",L$3=""),"",IF(L$3="Snag",SUMIFS(Tree!$O:$O,Tree!$A:$A,Species_rpt!$B46,Tree!$F:$F,"D",Tree!$K:$K,"&lt;&gt;"&amp;"N")/$C46,SUMIFS(Tree!$O:$O,Tree!$A:$A,Species_rpt!$B46,Tree!$D:$D,Species_rpt!L$3,Tree!$F:$F,"L",Tree!$K:$K,"&lt;&gt;"&amp;"N")/$C46))</f>
        <v/>
      </c>
      <c r="M46" s="297" t="str">
        <f>IF(OR($C46="",M$3=""),"",IF(M$3="Snag",SUMIFS(Tree!$O:$O,Tree!$A:$A,Species_rpt!$B46,Tree!$F:$F,"D",Tree!$K:$K,"&lt;&gt;"&amp;"N")/$C46,SUMIFS(Tree!$O:$O,Tree!$A:$A,Species_rpt!$B46,Tree!$D:$D,Species_rpt!M$3,Tree!$F:$F,"L",Tree!$K:$K,"&lt;&gt;"&amp;"N")/$C46))</f>
        <v/>
      </c>
      <c r="N46" s="297" t="str">
        <f>IF(OR($C46="",N$3=""),"",IF(N$3="Snag",SUMIFS(Tree!$O:$O,Tree!$A:$A,Species_rpt!$B46,Tree!$F:$F,"D",Tree!$K:$K,"&lt;&gt;"&amp;"N")/$C46,SUMIFS(Tree!$O:$O,Tree!$A:$A,Species_rpt!$B46,Tree!$D:$D,Species_rpt!N$3,Tree!$F:$F,"L",Tree!$K:$K,"&lt;&gt;"&amp;"N")/$C46))</f>
        <v/>
      </c>
      <c r="O46" s="297" t="str">
        <f>IF(OR($C46="",O$3=""),"",IF(O$3="Snag",SUMIFS(Tree!$O:$O,Tree!$A:$A,Species_rpt!$B46,Tree!$F:$F,"D",Tree!$K:$K,"&lt;&gt;"&amp;"N")/$C46,SUMIFS(Tree!$O:$O,Tree!$A:$A,Species_rpt!$B46,Tree!$D:$D,Species_rpt!O$3,Tree!$F:$F,"L",Tree!$K:$K,"&lt;&gt;"&amp;"N")/$C46))</f>
        <v/>
      </c>
      <c r="P46" s="298" t="str">
        <f t="shared" si="5"/>
        <v/>
      </c>
      <c r="Q46" s="83"/>
      <c r="R46" s="152" t="str">
        <f>IF(OR($C46="",R$3=""),"",IF(R$3="Snag",SUMIFS(Tree!$R:$R,Tree!$A:$A,Species_rpt!$B46,Tree!$F:$F,"D",Tree!$K:$K,"&lt;&gt;"&amp;"N")/$C46,SUMIFS(Tree!$R:$R,Tree!$A:$A,Species_rpt!$B46,Tree!$D:$D,Species_rpt!R$3,Tree!$F:$F,"L",Tree!$K:$K,"&lt;&gt;"&amp;"N")/$C46))</f>
        <v/>
      </c>
      <c r="S46" s="297" t="str">
        <f>IF(OR($C46="",S$3=""),"",IF(S$3="Snag",SUMIFS(Tree!$R:$R,Tree!$A:$A,Species_rpt!$B46,Tree!$F:$F,"D",Tree!$K:$K,"&lt;&gt;"&amp;"N")/$C46,SUMIFS(Tree!$R:$R,Tree!$A:$A,Species_rpt!$B46,Tree!$D:$D,Species_rpt!S$3,Tree!$F:$F,"L",Tree!$K:$K,"&lt;&gt;"&amp;"N")/$C46))</f>
        <v/>
      </c>
      <c r="T46" s="297" t="str">
        <f>IF(OR($C46="",T$3=""),"",IF(T$3="Snag",SUMIFS(Tree!$R:$R,Tree!$A:$A,Species_rpt!$B46,Tree!$F:$F,"D",Tree!$K:$K,"&lt;&gt;"&amp;"N")/$C46,SUMIFS(Tree!$R:$R,Tree!$A:$A,Species_rpt!$B46,Tree!$D:$D,Species_rpt!T$3,Tree!$F:$F,"L",Tree!$K:$K,"&lt;&gt;"&amp;"N")/$C46))</f>
        <v/>
      </c>
      <c r="U46" s="297" t="str">
        <f>IF(OR($C46="",U$3=""),"",IF(U$3="Snag",SUMIFS(Tree!$R:$R,Tree!$A:$A,Species_rpt!$B46,Tree!$F:$F,"D",Tree!$K:$K,"&lt;&gt;"&amp;"N")/$C46,SUMIFS(Tree!$R:$R,Tree!$A:$A,Species_rpt!$B46,Tree!$D:$D,Species_rpt!U$3,Tree!$F:$F,"L",Tree!$K:$K,"&lt;&gt;"&amp;"N")/$C46))</f>
        <v/>
      </c>
      <c r="V46" s="297" t="str">
        <f>IF(OR($C46="",V$3=""),"",IF(V$3="Snag",SUMIFS(Tree!$R:$R,Tree!$A:$A,Species_rpt!$B46,Tree!$F:$F,"D",Tree!$K:$K,"&lt;&gt;"&amp;"N")/$C46,SUMIFS(Tree!$R:$R,Tree!$A:$A,Species_rpt!$B46,Tree!$D:$D,Species_rpt!V$3,Tree!$F:$F,"L",Tree!$K:$K,"&lt;&gt;"&amp;"N")/$C46))</f>
        <v/>
      </c>
      <c r="W46" s="297" t="str">
        <f>IF(OR($C46="",W$3=""),"",IF(W$3="Snag",SUMIFS(Tree!$R:$R,Tree!$A:$A,Species_rpt!$B46,Tree!$F:$F,"D",Tree!$K:$K,"&lt;&gt;"&amp;"N")/$C46,SUMIFS(Tree!$R:$R,Tree!$A:$A,Species_rpt!$B46,Tree!$D:$D,Species_rpt!W$3,Tree!$F:$F,"L",Tree!$K:$K,"&lt;&gt;"&amp;"N")/$C46))</f>
        <v/>
      </c>
      <c r="X46" s="297" t="str">
        <f>IF(OR($C46="",X$3=""),"",IF(X$3="Snag",SUMIFS(Tree!$R:$R,Tree!$A:$A,Species_rpt!$B46,Tree!$F:$F,"D",Tree!$K:$K,"&lt;&gt;"&amp;"N")/$C46,SUMIFS(Tree!$R:$R,Tree!$A:$A,Species_rpt!$B46,Tree!$D:$D,Species_rpt!X$3,Tree!$F:$F,"L",Tree!$K:$K,"&lt;&gt;"&amp;"N")/$C46))</f>
        <v/>
      </c>
      <c r="Y46" s="297" t="str">
        <f>IF(OR($C46="",Y$3=""),"",IF(Y$3="Snag",SUMIFS(Tree!$R:$R,Tree!$A:$A,Species_rpt!$B46,Tree!$F:$F,"D",Tree!$K:$K,"&lt;&gt;"&amp;"N")/$C46,SUMIFS(Tree!$R:$R,Tree!$A:$A,Species_rpt!$B46,Tree!$D:$D,Species_rpt!Y$3,Tree!$F:$F,"L",Tree!$K:$K,"&lt;&gt;"&amp;"N")/$C46))</f>
        <v/>
      </c>
      <c r="Z46" s="297" t="str">
        <f>IF(OR($C46="",Z$3=""),"",IF(Z$3="Snag",SUMIFS(Tree!$R:$R,Tree!$A:$A,Species_rpt!$B46,Tree!$F:$F,"D",Tree!$K:$K,"&lt;&gt;"&amp;"N")/$C46,SUMIFS(Tree!$R:$R,Tree!$A:$A,Species_rpt!$B46,Tree!$D:$D,Species_rpt!Z$3,Tree!$F:$F,"L",Tree!$K:$K,"&lt;&gt;"&amp;"N")/$C46))</f>
        <v/>
      </c>
      <c r="AA46" s="297" t="str">
        <f>IF(OR($C46="",AA$3=""),"",IF(AA$3="Snag",SUMIFS(Tree!$R:$R,Tree!$A:$A,Species_rpt!$B46,Tree!$F:$F,"D",Tree!$K:$K,"&lt;&gt;"&amp;"N")/$C46,SUMIFS(Tree!$R:$R,Tree!$A:$A,Species_rpt!$B46,Tree!$D:$D,Species_rpt!AA$3,Tree!$F:$F,"L",Tree!$K:$K,"&lt;&gt;"&amp;"N")/$C46))</f>
        <v/>
      </c>
      <c r="AB46" s="297" t="str">
        <f>IF(OR($C46="",AB$3=""),"",IF(AB$3="Snag",SUMIFS(Tree!$R:$R,Tree!$A:$A,Species_rpt!$B46,Tree!$F:$F,"D",Tree!$K:$K,"&lt;&gt;"&amp;"N")/$C46,SUMIFS(Tree!$R:$R,Tree!$A:$A,Species_rpt!$B46,Tree!$D:$D,Species_rpt!AB$3,Tree!$F:$F,"L",Tree!$K:$K,"&lt;&gt;"&amp;"N")/$C46))</f>
        <v/>
      </c>
      <c r="AC46" s="298" t="str">
        <f t="shared" si="6"/>
        <v/>
      </c>
    </row>
    <row r="47" spans="2:29" x14ac:dyDescent="0.25">
      <c r="B47" s="201" t="str">
        <f>IF(Stand!C14="","",Stand!C14)</f>
        <v/>
      </c>
      <c r="C47" s="154" t="str">
        <f>IF(B15="","",VLOOKUP(B15,Stand!C:H,6,0))</f>
        <v/>
      </c>
      <c r="D47" s="28"/>
      <c r="E47" s="152" t="str">
        <f>IF(OR($C47="",E$3=""),"",IF(E$3="Snag",SUMIFS(Tree!$O:$O,Tree!$A:$A,Species_rpt!$B47,Tree!$F:$F,"D",Tree!$K:$K,"&lt;&gt;"&amp;"N")/$C47,SUMIFS(Tree!$O:$O,Tree!$A:$A,Species_rpt!$B47,Tree!$D:$D,Species_rpt!E$3,Tree!$F:$F,"L",Tree!$K:$K,"&lt;&gt;"&amp;"N")/$C47))</f>
        <v/>
      </c>
      <c r="F47" s="297" t="str">
        <f>IF(OR($C47="",F$3=""),"",IF(F$3="Snag",SUMIFS(Tree!$O:$O,Tree!$A:$A,Species_rpt!$B47,Tree!$F:$F,"D",Tree!$K:$K,"&lt;&gt;"&amp;"N")/$C47,SUMIFS(Tree!$O:$O,Tree!$A:$A,Species_rpt!$B47,Tree!$D:$D,Species_rpt!F$3,Tree!$F:$F,"L",Tree!$K:$K,"&lt;&gt;"&amp;"N")/$C47))</f>
        <v/>
      </c>
      <c r="G47" s="297" t="str">
        <f>IF(OR($C47="",G$3=""),"",IF(G$3="Snag",SUMIFS(Tree!$O:$O,Tree!$A:$A,Species_rpt!$B47,Tree!$F:$F,"D",Tree!$K:$K,"&lt;&gt;"&amp;"N")/$C47,SUMIFS(Tree!$O:$O,Tree!$A:$A,Species_rpt!$B47,Tree!$D:$D,Species_rpt!G$3,Tree!$F:$F,"L",Tree!$K:$K,"&lt;&gt;"&amp;"N")/$C47))</f>
        <v/>
      </c>
      <c r="H47" s="297" t="str">
        <f>IF(OR($C47="",H$3=""),"",IF(H$3="Snag",SUMIFS(Tree!$O:$O,Tree!$A:$A,Species_rpt!$B47,Tree!$F:$F,"D",Tree!$K:$K,"&lt;&gt;"&amp;"N")/$C47,SUMIFS(Tree!$O:$O,Tree!$A:$A,Species_rpt!$B47,Tree!$D:$D,Species_rpt!H$3,Tree!$F:$F,"L",Tree!$K:$K,"&lt;&gt;"&amp;"N")/$C47))</f>
        <v/>
      </c>
      <c r="I47" s="297" t="str">
        <f>IF(OR($C47="",I$3=""),"",IF(I$3="Snag",SUMIFS(Tree!$O:$O,Tree!$A:$A,Species_rpt!$B47,Tree!$F:$F,"D",Tree!$K:$K,"&lt;&gt;"&amp;"N")/$C47,SUMIFS(Tree!$O:$O,Tree!$A:$A,Species_rpt!$B47,Tree!$D:$D,Species_rpt!I$3,Tree!$F:$F,"L",Tree!$K:$K,"&lt;&gt;"&amp;"N")/$C47))</f>
        <v/>
      </c>
      <c r="J47" s="297" t="str">
        <f>IF(OR($C47="",J$3=""),"",IF(J$3="Snag",SUMIFS(Tree!$O:$O,Tree!$A:$A,Species_rpt!$B47,Tree!$F:$F,"D",Tree!$K:$K,"&lt;&gt;"&amp;"N")/$C47,SUMIFS(Tree!$O:$O,Tree!$A:$A,Species_rpt!$B47,Tree!$D:$D,Species_rpt!J$3,Tree!$F:$F,"L",Tree!$K:$K,"&lt;&gt;"&amp;"N")/$C47))</f>
        <v/>
      </c>
      <c r="K47" s="297" t="str">
        <f>IF(OR($C47="",K$3=""),"",IF(K$3="Snag",SUMIFS(Tree!$O:$O,Tree!$A:$A,Species_rpt!$B47,Tree!$F:$F,"D",Tree!$K:$K,"&lt;&gt;"&amp;"N")/$C47,SUMIFS(Tree!$O:$O,Tree!$A:$A,Species_rpt!$B47,Tree!$D:$D,Species_rpt!K$3,Tree!$F:$F,"L",Tree!$K:$K,"&lt;&gt;"&amp;"N")/$C47))</f>
        <v/>
      </c>
      <c r="L47" s="297" t="str">
        <f>IF(OR($C47="",L$3=""),"",IF(L$3="Snag",SUMIFS(Tree!$O:$O,Tree!$A:$A,Species_rpt!$B47,Tree!$F:$F,"D",Tree!$K:$K,"&lt;&gt;"&amp;"N")/$C47,SUMIFS(Tree!$O:$O,Tree!$A:$A,Species_rpt!$B47,Tree!$D:$D,Species_rpt!L$3,Tree!$F:$F,"L",Tree!$K:$K,"&lt;&gt;"&amp;"N")/$C47))</f>
        <v/>
      </c>
      <c r="M47" s="297" t="str">
        <f>IF(OR($C47="",M$3=""),"",IF(M$3="Snag",SUMIFS(Tree!$O:$O,Tree!$A:$A,Species_rpt!$B47,Tree!$F:$F,"D",Tree!$K:$K,"&lt;&gt;"&amp;"N")/$C47,SUMIFS(Tree!$O:$O,Tree!$A:$A,Species_rpt!$B47,Tree!$D:$D,Species_rpt!M$3,Tree!$F:$F,"L",Tree!$K:$K,"&lt;&gt;"&amp;"N")/$C47))</f>
        <v/>
      </c>
      <c r="N47" s="297" t="str">
        <f>IF(OR($C47="",N$3=""),"",IF(N$3="Snag",SUMIFS(Tree!$O:$O,Tree!$A:$A,Species_rpt!$B47,Tree!$F:$F,"D",Tree!$K:$K,"&lt;&gt;"&amp;"N")/$C47,SUMIFS(Tree!$O:$O,Tree!$A:$A,Species_rpt!$B47,Tree!$D:$D,Species_rpt!N$3,Tree!$F:$F,"L",Tree!$K:$K,"&lt;&gt;"&amp;"N")/$C47))</f>
        <v/>
      </c>
      <c r="O47" s="297" t="str">
        <f>IF(OR($C47="",O$3=""),"",IF(O$3="Snag",SUMIFS(Tree!$O:$O,Tree!$A:$A,Species_rpt!$B47,Tree!$F:$F,"D",Tree!$K:$K,"&lt;&gt;"&amp;"N")/$C47,SUMIFS(Tree!$O:$O,Tree!$A:$A,Species_rpt!$B47,Tree!$D:$D,Species_rpt!O$3,Tree!$F:$F,"L",Tree!$K:$K,"&lt;&gt;"&amp;"N")/$C47))</f>
        <v/>
      </c>
      <c r="P47" s="298" t="str">
        <f t="shared" si="5"/>
        <v/>
      </c>
      <c r="Q47" s="83"/>
      <c r="R47" s="152" t="str">
        <f>IF(OR($C47="",R$3=""),"",IF(R$3="Snag",SUMIFS(Tree!$R:$R,Tree!$A:$A,Species_rpt!$B47,Tree!$F:$F,"D",Tree!$K:$K,"&lt;&gt;"&amp;"N")/$C47,SUMIFS(Tree!$R:$R,Tree!$A:$A,Species_rpt!$B47,Tree!$D:$D,Species_rpt!R$3,Tree!$F:$F,"L",Tree!$K:$K,"&lt;&gt;"&amp;"N")/$C47))</f>
        <v/>
      </c>
      <c r="S47" s="297" t="str">
        <f>IF(OR($C47="",S$3=""),"",IF(S$3="Snag",SUMIFS(Tree!$R:$R,Tree!$A:$A,Species_rpt!$B47,Tree!$F:$F,"D",Tree!$K:$K,"&lt;&gt;"&amp;"N")/$C47,SUMIFS(Tree!$R:$R,Tree!$A:$A,Species_rpt!$B47,Tree!$D:$D,Species_rpt!S$3,Tree!$F:$F,"L",Tree!$K:$K,"&lt;&gt;"&amp;"N")/$C47))</f>
        <v/>
      </c>
      <c r="T47" s="297" t="str">
        <f>IF(OR($C47="",T$3=""),"",IF(T$3="Snag",SUMIFS(Tree!$R:$R,Tree!$A:$A,Species_rpt!$B47,Tree!$F:$F,"D",Tree!$K:$K,"&lt;&gt;"&amp;"N")/$C47,SUMIFS(Tree!$R:$R,Tree!$A:$A,Species_rpt!$B47,Tree!$D:$D,Species_rpt!T$3,Tree!$F:$F,"L",Tree!$K:$K,"&lt;&gt;"&amp;"N")/$C47))</f>
        <v/>
      </c>
      <c r="U47" s="297" t="str">
        <f>IF(OR($C47="",U$3=""),"",IF(U$3="Snag",SUMIFS(Tree!$R:$R,Tree!$A:$A,Species_rpt!$B47,Tree!$F:$F,"D",Tree!$K:$K,"&lt;&gt;"&amp;"N")/$C47,SUMIFS(Tree!$R:$R,Tree!$A:$A,Species_rpt!$B47,Tree!$D:$D,Species_rpt!U$3,Tree!$F:$F,"L",Tree!$K:$K,"&lt;&gt;"&amp;"N")/$C47))</f>
        <v/>
      </c>
      <c r="V47" s="297" t="str">
        <f>IF(OR($C47="",V$3=""),"",IF(V$3="Snag",SUMIFS(Tree!$R:$R,Tree!$A:$A,Species_rpt!$B47,Tree!$F:$F,"D",Tree!$K:$K,"&lt;&gt;"&amp;"N")/$C47,SUMIFS(Tree!$R:$R,Tree!$A:$A,Species_rpt!$B47,Tree!$D:$D,Species_rpt!V$3,Tree!$F:$F,"L",Tree!$K:$K,"&lt;&gt;"&amp;"N")/$C47))</f>
        <v/>
      </c>
      <c r="W47" s="297" t="str">
        <f>IF(OR($C47="",W$3=""),"",IF(W$3="Snag",SUMIFS(Tree!$R:$R,Tree!$A:$A,Species_rpt!$B47,Tree!$F:$F,"D",Tree!$K:$K,"&lt;&gt;"&amp;"N")/$C47,SUMIFS(Tree!$R:$R,Tree!$A:$A,Species_rpt!$B47,Tree!$D:$D,Species_rpt!W$3,Tree!$F:$F,"L",Tree!$K:$K,"&lt;&gt;"&amp;"N")/$C47))</f>
        <v/>
      </c>
      <c r="X47" s="297" t="str">
        <f>IF(OR($C47="",X$3=""),"",IF(X$3="Snag",SUMIFS(Tree!$R:$R,Tree!$A:$A,Species_rpt!$B47,Tree!$F:$F,"D",Tree!$K:$K,"&lt;&gt;"&amp;"N")/$C47,SUMIFS(Tree!$R:$R,Tree!$A:$A,Species_rpt!$B47,Tree!$D:$D,Species_rpt!X$3,Tree!$F:$F,"L",Tree!$K:$K,"&lt;&gt;"&amp;"N")/$C47))</f>
        <v/>
      </c>
      <c r="Y47" s="297" t="str">
        <f>IF(OR($C47="",Y$3=""),"",IF(Y$3="Snag",SUMIFS(Tree!$R:$R,Tree!$A:$A,Species_rpt!$B47,Tree!$F:$F,"D",Tree!$K:$K,"&lt;&gt;"&amp;"N")/$C47,SUMIFS(Tree!$R:$R,Tree!$A:$A,Species_rpt!$B47,Tree!$D:$D,Species_rpt!Y$3,Tree!$F:$F,"L",Tree!$K:$K,"&lt;&gt;"&amp;"N")/$C47))</f>
        <v/>
      </c>
      <c r="Z47" s="297" t="str">
        <f>IF(OR($C47="",Z$3=""),"",IF(Z$3="Snag",SUMIFS(Tree!$R:$R,Tree!$A:$A,Species_rpt!$B47,Tree!$F:$F,"D",Tree!$K:$K,"&lt;&gt;"&amp;"N")/$C47,SUMIFS(Tree!$R:$R,Tree!$A:$A,Species_rpt!$B47,Tree!$D:$D,Species_rpt!Z$3,Tree!$F:$F,"L",Tree!$K:$K,"&lt;&gt;"&amp;"N")/$C47))</f>
        <v/>
      </c>
      <c r="AA47" s="297" t="str">
        <f>IF(OR($C47="",AA$3=""),"",IF(AA$3="Snag",SUMIFS(Tree!$R:$R,Tree!$A:$A,Species_rpt!$B47,Tree!$F:$F,"D",Tree!$K:$K,"&lt;&gt;"&amp;"N")/$C47,SUMIFS(Tree!$R:$R,Tree!$A:$A,Species_rpt!$B47,Tree!$D:$D,Species_rpt!AA$3,Tree!$F:$F,"L",Tree!$K:$K,"&lt;&gt;"&amp;"N")/$C47))</f>
        <v/>
      </c>
      <c r="AB47" s="297" t="str">
        <f>IF(OR($C47="",AB$3=""),"",IF(AB$3="Snag",SUMIFS(Tree!$R:$R,Tree!$A:$A,Species_rpt!$B47,Tree!$F:$F,"D",Tree!$K:$K,"&lt;&gt;"&amp;"N")/$C47,SUMIFS(Tree!$R:$R,Tree!$A:$A,Species_rpt!$B47,Tree!$D:$D,Species_rpt!AB$3,Tree!$F:$F,"L",Tree!$K:$K,"&lt;&gt;"&amp;"N")/$C47))</f>
        <v/>
      </c>
      <c r="AC47" s="298" t="str">
        <f t="shared" si="6"/>
        <v/>
      </c>
    </row>
    <row r="48" spans="2:29" x14ac:dyDescent="0.25">
      <c r="B48" s="201" t="str">
        <f>IF(Stand!C15="","",Stand!C15)</f>
        <v/>
      </c>
      <c r="C48" s="154" t="str">
        <f>IF(B16="","",VLOOKUP(B16,Stand!C:H,6,0))</f>
        <v/>
      </c>
      <c r="D48" s="28"/>
      <c r="E48" s="152" t="str">
        <f>IF(OR($C48="",E$3=""),"",IF(E$3="Snag",SUMIFS(Tree!$O:$O,Tree!$A:$A,Species_rpt!$B48,Tree!$F:$F,"D",Tree!$K:$K,"&lt;&gt;"&amp;"N")/$C48,SUMIFS(Tree!$O:$O,Tree!$A:$A,Species_rpt!$B48,Tree!$D:$D,Species_rpt!E$3,Tree!$F:$F,"L",Tree!$K:$K,"&lt;&gt;"&amp;"N")/$C48))</f>
        <v/>
      </c>
      <c r="F48" s="297" t="str">
        <f>IF(OR($C48="",F$3=""),"",IF(F$3="Snag",SUMIFS(Tree!$O:$O,Tree!$A:$A,Species_rpt!$B48,Tree!$F:$F,"D",Tree!$K:$K,"&lt;&gt;"&amp;"N")/$C48,SUMIFS(Tree!$O:$O,Tree!$A:$A,Species_rpt!$B48,Tree!$D:$D,Species_rpt!F$3,Tree!$F:$F,"L",Tree!$K:$K,"&lt;&gt;"&amp;"N")/$C48))</f>
        <v/>
      </c>
      <c r="G48" s="297" t="str">
        <f>IF(OR($C48="",G$3=""),"",IF(G$3="Snag",SUMIFS(Tree!$O:$O,Tree!$A:$A,Species_rpt!$B48,Tree!$F:$F,"D",Tree!$K:$K,"&lt;&gt;"&amp;"N")/$C48,SUMIFS(Tree!$O:$O,Tree!$A:$A,Species_rpt!$B48,Tree!$D:$D,Species_rpt!G$3,Tree!$F:$F,"L",Tree!$K:$K,"&lt;&gt;"&amp;"N")/$C48))</f>
        <v/>
      </c>
      <c r="H48" s="297" t="str">
        <f>IF(OR($C48="",H$3=""),"",IF(H$3="Snag",SUMIFS(Tree!$O:$O,Tree!$A:$A,Species_rpt!$B48,Tree!$F:$F,"D",Tree!$K:$K,"&lt;&gt;"&amp;"N")/$C48,SUMIFS(Tree!$O:$O,Tree!$A:$A,Species_rpt!$B48,Tree!$D:$D,Species_rpt!H$3,Tree!$F:$F,"L",Tree!$K:$K,"&lt;&gt;"&amp;"N")/$C48))</f>
        <v/>
      </c>
      <c r="I48" s="297" t="str">
        <f>IF(OR($C48="",I$3=""),"",IF(I$3="Snag",SUMIFS(Tree!$O:$O,Tree!$A:$A,Species_rpt!$B48,Tree!$F:$F,"D",Tree!$K:$K,"&lt;&gt;"&amp;"N")/$C48,SUMIFS(Tree!$O:$O,Tree!$A:$A,Species_rpt!$B48,Tree!$D:$D,Species_rpt!I$3,Tree!$F:$F,"L",Tree!$K:$K,"&lt;&gt;"&amp;"N")/$C48))</f>
        <v/>
      </c>
      <c r="J48" s="297" t="str">
        <f>IF(OR($C48="",J$3=""),"",IF(J$3="Snag",SUMIFS(Tree!$O:$O,Tree!$A:$A,Species_rpt!$B48,Tree!$F:$F,"D",Tree!$K:$K,"&lt;&gt;"&amp;"N")/$C48,SUMIFS(Tree!$O:$O,Tree!$A:$A,Species_rpt!$B48,Tree!$D:$D,Species_rpt!J$3,Tree!$F:$F,"L",Tree!$K:$K,"&lt;&gt;"&amp;"N")/$C48))</f>
        <v/>
      </c>
      <c r="K48" s="297" t="str">
        <f>IF(OR($C48="",K$3=""),"",IF(K$3="Snag",SUMIFS(Tree!$O:$O,Tree!$A:$A,Species_rpt!$B48,Tree!$F:$F,"D",Tree!$K:$K,"&lt;&gt;"&amp;"N")/$C48,SUMIFS(Tree!$O:$O,Tree!$A:$A,Species_rpt!$B48,Tree!$D:$D,Species_rpt!K$3,Tree!$F:$F,"L",Tree!$K:$K,"&lt;&gt;"&amp;"N")/$C48))</f>
        <v/>
      </c>
      <c r="L48" s="297" t="str">
        <f>IF(OR($C48="",L$3=""),"",IF(L$3="Snag",SUMIFS(Tree!$O:$O,Tree!$A:$A,Species_rpt!$B48,Tree!$F:$F,"D",Tree!$K:$K,"&lt;&gt;"&amp;"N")/$C48,SUMIFS(Tree!$O:$O,Tree!$A:$A,Species_rpt!$B48,Tree!$D:$D,Species_rpt!L$3,Tree!$F:$F,"L",Tree!$K:$K,"&lt;&gt;"&amp;"N")/$C48))</f>
        <v/>
      </c>
      <c r="M48" s="297" t="str">
        <f>IF(OR($C48="",M$3=""),"",IF(M$3="Snag",SUMIFS(Tree!$O:$O,Tree!$A:$A,Species_rpt!$B48,Tree!$F:$F,"D",Tree!$K:$K,"&lt;&gt;"&amp;"N")/$C48,SUMIFS(Tree!$O:$O,Tree!$A:$A,Species_rpt!$B48,Tree!$D:$D,Species_rpt!M$3,Tree!$F:$F,"L",Tree!$K:$K,"&lt;&gt;"&amp;"N")/$C48))</f>
        <v/>
      </c>
      <c r="N48" s="297" t="str">
        <f>IF(OR($C48="",N$3=""),"",IF(N$3="Snag",SUMIFS(Tree!$O:$O,Tree!$A:$A,Species_rpt!$B48,Tree!$F:$F,"D",Tree!$K:$K,"&lt;&gt;"&amp;"N")/$C48,SUMIFS(Tree!$O:$O,Tree!$A:$A,Species_rpt!$B48,Tree!$D:$D,Species_rpt!N$3,Tree!$F:$F,"L",Tree!$K:$K,"&lt;&gt;"&amp;"N")/$C48))</f>
        <v/>
      </c>
      <c r="O48" s="297" t="str">
        <f>IF(OR($C48="",O$3=""),"",IF(O$3="Snag",SUMIFS(Tree!$O:$O,Tree!$A:$A,Species_rpt!$B48,Tree!$F:$F,"D",Tree!$K:$K,"&lt;&gt;"&amp;"N")/$C48,SUMIFS(Tree!$O:$O,Tree!$A:$A,Species_rpt!$B48,Tree!$D:$D,Species_rpt!O$3,Tree!$F:$F,"L",Tree!$K:$K,"&lt;&gt;"&amp;"N")/$C48))</f>
        <v/>
      </c>
      <c r="P48" s="298" t="str">
        <f t="shared" si="5"/>
        <v/>
      </c>
      <c r="Q48" s="83"/>
      <c r="R48" s="152" t="str">
        <f>IF(OR($C48="",R$3=""),"",IF(R$3="Snag",SUMIFS(Tree!$R:$R,Tree!$A:$A,Species_rpt!$B48,Tree!$F:$F,"D",Tree!$K:$K,"&lt;&gt;"&amp;"N")/$C48,SUMIFS(Tree!$R:$R,Tree!$A:$A,Species_rpt!$B48,Tree!$D:$D,Species_rpt!R$3,Tree!$F:$F,"L",Tree!$K:$K,"&lt;&gt;"&amp;"N")/$C48))</f>
        <v/>
      </c>
      <c r="S48" s="297" t="str">
        <f>IF(OR($C48="",S$3=""),"",IF(S$3="Snag",SUMIFS(Tree!$R:$R,Tree!$A:$A,Species_rpt!$B48,Tree!$F:$F,"D",Tree!$K:$K,"&lt;&gt;"&amp;"N")/$C48,SUMIFS(Tree!$R:$R,Tree!$A:$A,Species_rpt!$B48,Tree!$D:$D,Species_rpt!S$3,Tree!$F:$F,"L",Tree!$K:$K,"&lt;&gt;"&amp;"N")/$C48))</f>
        <v/>
      </c>
      <c r="T48" s="297" t="str">
        <f>IF(OR($C48="",T$3=""),"",IF(T$3="Snag",SUMIFS(Tree!$R:$R,Tree!$A:$A,Species_rpt!$B48,Tree!$F:$F,"D",Tree!$K:$K,"&lt;&gt;"&amp;"N")/$C48,SUMIFS(Tree!$R:$R,Tree!$A:$A,Species_rpt!$B48,Tree!$D:$D,Species_rpt!T$3,Tree!$F:$F,"L",Tree!$K:$K,"&lt;&gt;"&amp;"N")/$C48))</f>
        <v/>
      </c>
      <c r="U48" s="297" t="str">
        <f>IF(OR($C48="",U$3=""),"",IF(U$3="Snag",SUMIFS(Tree!$R:$R,Tree!$A:$A,Species_rpt!$B48,Tree!$F:$F,"D",Tree!$K:$K,"&lt;&gt;"&amp;"N")/$C48,SUMIFS(Tree!$R:$R,Tree!$A:$A,Species_rpt!$B48,Tree!$D:$D,Species_rpt!U$3,Tree!$F:$F,"L",Tree!$K:$K,"&lt;&gt;"&amp;"N")/$C48))</f>
        <v/>
      </c>
      <c r="V48" s="297" t="str">
        <f>IF(OR($C48="",V$3=""),"",IF(V$3="Snag",SUMIFS(Tree!$R:$R,Tree!$A:$A,Species_rpt!$B48,Tree!$F:$F,"D",Tree!$K:$K,"&lt;&gt;"&amp;"N")/$C48,SUMIFS(Tree!$R:$R,Tree!$A:$A,Species_rpt!$B48,Tree!$D:$D,Species_rpt!V$3,Tree!$F:$F,"L",Tree!$K:$K,"&lt;&gt;"&amp;"N")/$C48))</f>
        <v/>
      </c>
      <c r="W48" s="297" t="str">
        <f>IF(OR($C48="",W$3=""),"",IF(W$3="Snag",SUMIFS(Tree!$R:$R,Tree!$A:$A,Species_rpt!$B48,Tree!$F:$F,"D",Tree!$K:$K,"&lt;&gt;"&amp;"N")/$C48,SUMIFS(Tree!$R:$R,Tree!$A:$A,Species_rpt!$B48,Tree!$D:$D,Species_rpt!W$3,Tree!$F:$F,"L",Tree!$K:$K,"&lt;&gt;"&amp;"N")/$C48))</f>
        <v/>
      </c>
      <c r="X48" s="297" t="str">
        <f>IF(OR($C48="",X$3=""),"",IF(X$3="Snag",SUMIFS(Tree!$R:$R,Tree!$A:$A,Species_rpt!$B48,Tree!$F:$F,"D",Tree!$K:$K,"&lt;&gt;"&amp;"N")/$C48,SUMIFS(Tree!$R:$R,Tree!$A:$A,Species_rpt!$B48,Tree!$D:$D,Species_rpt!X$3,Tree!$F:$F,"L",Tree!$K:$K,"&lt;&gt;"&amp;"N")/$C48))</f>
        <v/>
      </c>
      <c r="Y48" s="297" t="str">
        <f>IF(OR($C48="",Y$3=""),"",IF(Y$3="Snag",SUMIFS(Tree!$R:$R,Tree!$A:$A,Species_rpt!$B48,Tree!$F:$F,"D",Tree!$K:$K,"&lt;&gt;"&amp;"N")/$C48,SUMIFS(Tree!$R:$R,Tree!$A:$A,Species_rpt!$B48,Tree!$D:$D,Species_rpt!Y$3,Tree!$F:$F,"L",Tree!$K:$K,"&lt;&gt;"&amp;"N")/$C48))</f>
        <v/>
      </c>
      <c r="Z48" s="297" t="str">
        <f>IF(OR($C48="",Z$3=""),"",IF(Z$3="Snag",SUMIFS(Tree!$R:$R,Tree!$A:$A,Species_rpt!$B48,Tree!$F:$F,"D",Tree!$K:$K,"&lt;&gt;"&amp;"N")/$C48,SUMIFS(Tree!$R:$R,Tree!$A:$A,Species_rpt!$B48,Tree!$D:$D,Species_rpt!Z$3,Tree!$F:$F,"L",Tree!$K:$K,"&lt;&gt;"&amp;"N")/$C48))</f>
        <v/>
      </c>
      <c r="AA48" s="297" t="str">
        <f>IF(OR($C48="",AA$3=""),"",IF(AA$3="Snag",SUMIFS(Tree!$R:$R,Tree!$A:$A,Species_rpt!$B48,Tree!$F:$F,"D",Tree!$K:$K,"&lt;&gt;"&amp;"N")/$C48,SUMIFS(Tree!$R:$R,Tree!$A:$A,Species_rpt!$B48,Tree!$D:$D,Species_rpt!AA$3,Tree!$F:$F,"L",Tree!$K:$K,"&lt;&gt;"&amp;"N")/$C48))</f>
        <v/>
      </c>
      <c r="AB48" s="297" t="str">
        <f>IF(OR($C48="",AB$3=""),"",IF(AB$3="Snag",SUMIFS(Tree!$R:$R,Tree!$A:$A,Species_rpt!$B48,Tree!$F:$F,"D",Tree!$K:$K,"&lt;&gt;"&amp;"N")/$C48,SUMIFS(Tree!$R:$R,Tree!$A:$A,Species_rpt!$B48,Tree!$D:$D,Species_rpt!AB$3,Tree!$F:$F,"L",Tree!$K:$K,"&lt;&gt;"&amp;"N")/$C48))</f>
        <v/>
      </c>
      <c r="AC48" s="298" t="str">
        <f t="shared" si="6"/>
        <v/>
      </c>
    </row>
    <row r="49" spans="2:29" x14ac:dyDescent="0.25">
      <c r="B49" s="201" t="str">
        <f>IF(Stand!C16="","",Stand!C16)</f>
        <v/>
      </c>
      <c r="C49" s="154" t="str">
        <f>IF(B17="","",VLOOKUP(B17,Stand!C:H,6,0))</f>
        <v/>
      </c>
      <c r="D49" s="28"/>
      <c r="E49" s="152" t="str">
        <f>IF(OR($C49="",E$3=""),"",IF(E$3="Snag",SUMIFS(Tree!$O:$O,Tree!$A:$A,Species_rpt!$B49,Tree!$F:$F,"D",Tree!$K:$K,"&lt;&gt;"&amp;"N")/$C49,SUMIFS(Tree!$O:$O,Tree!$A:$A,Species_rpt!$B49,Tree!$D:$D,Species_rpt!E$3,Tree!$F:$F,"L",Tree!$K:$K,"&lt;&gt;"&amp;"N")/$C49))</f>
        <v/>
      </c>
      <c r="F49" s="297" t="str">
        <f>IF(OR($C49="",F$3=""),"",IF(F$3="Snag",SUMIFS(Tree!$O:$O,Tree!$A:$A,Species_rpt!$B49,Tree!$F:$F,"D",Tree!$K:$K,"&lt;&gt;"&amp;"N")/$C49,SUMIFS(Tree!$O:$O,Tree!$A:$A,Species_rpt!$B49,Tree!$D:$D,Species_rpt!F$3,Tree!$F:$F,"L",Tree!$K:$K,"&lt;&gt;"&amp;"N")/$C49))</f>
        <v/>
      </c>
      <c r="G49" s="297" t="str">
        <f>IF(OR($C49="",G$3=""),"",IF(G$3="Snag",SUMIFS(Tree!$O:$O,Tree!$A:$A,Species_rpt!$B49,Tree!$F:$F,"D",Tree!$K:$K,"&lt;&gt;"&amp;"N")/$C49,SUMIFS(Tree!$O:$O,Tree!$A:$A,Species_rpt!$B49,Tree!$D:$D,Species_rpt!G$3,Tree!$F:$F,"L",Tree!$K:$K,"&lt;&gt;"&amp;"N")/$C49))</f>
        <v/>
      </c>
      <c r="H49" s="297" t="str">
        <f>IF(OR($C49="",H$3=""),"",IF(H$3="Snag",SUMIFS(Tree!$O:$O,Tree!$A:$A,Species_rpt!$B49,Tree!$F:$F,"D",Tree!$K:$K,"&lt;&gt;"&amp;"N")/$C49,SUMIFS(Tree!$O:$O,Tree!$A:$A,Species_rpt!$B49,Tree!$D:$D,Species_rpt!H$3,Tree!$F:$F,"L",Tree!$K:$K,"&lt;&gt;"&amp;"N")/$C49))</f>
        <v/>
      </c>
      <c r="I49" s="297" t="str">
        <f>IF(OR($C49="",I$3=""),"",IF(I$3="Snag",SUMIFS(Tree!$O:$O,Tree!$A:$A,Species_rpt!$B49,Tree!$F:$F,"D",Tree!$K:$K,"&lt;&gt;"&amp;"N")/$C49,SUMIFS(Tree!$O:$O,Tree!$A:$A,Species_rpt!$B49,Tree!$D:$D,Species_rpt!I$3,Tree!$F:$F,"L",Tree!$K:$K,"&lt;&gt;"&amp;"N")/$C49))</f>
        <v/>
      </c>
      <c r="J49" s="297" t="str">
        <f>IF(OR($C49="",J$3=""),"",IF(J$3="Snag",SUMIFS(Tree!$O:$O,Tree!$A:$A,Species_rpt!$B49,Tree!$F:$F,"D",Tree!$K:$K,"&lt;&gt;"&amp;"N")/$C49,SUMIFS(Tree!$O:$O,Tree!$A:$A,Species_rpt!$B49,Tree!$D:$D,Species_rpt!J$3,Tree!$F:$F,"L",Tree!$K:$K,"&lt;&gt;"&amp;"N")/$C49))</f>
        <v/>
      </c>
      <c r="K49" s="297" t="str">
        <f>IF(OR($C49="",K$3=""),"",IF(K$3="Snag",SUMIFS(Tree!$O:$O,Tree!$A:$A,Species_rpt!$B49,Tree!$F:$F,"D",Tree!$K:$K,"&lt;&gt;"&amp;"N")/$C49,SUMIFS(Tree!$O:$O,Tree!$A:$A,Species_rpt!$B49,Tree!$D:$D,Species_rpt!K$3,Tree!$F:$F,"L",Tree!$K:$K,"&lt;&gt;"&amp;"N")/$C49))</f>
        <v/>
      </c>
      <c r="L49" s="297" t="str">
        <f>IF(OR($C49="",L$3=""),"",IF(L$3="Snag",SUMIFS(Tree!$O:$O,Tree!$A:$A,Species_rpt!$B49,Tree!$F:$F,"D",Tree!$K:$K,"&lt;&gt;"&amp;"N")/$C49,SUMIFS(Tree!$O:$O,Tree!$A:$A,Species_rpt!$B49,Tree!$D:$D,Species_rpt!L$3,Tree!$F:$F,"L",Tree!$K:$K,"&lt;&gt;"&amp;"N")/$C49))</f>
        <v/>
      </c>
      <c r="M49" s="297" t="str">
        <f>IF(OR($C49="",M$3=""),"",IF(M$3="Snag",SUMIFS(Tree!$O:$O,Tree!$A:$A,Species_rpt!$B49,Tree!$F:$F,"D",Tree!$K:$K,"&lt;&gt;"&amp;"N")/$C49,SUMIFS(Tree!$O:$O,Tree!$A:$A,Species_rpt!$B49,Tree!$D:$D,Species_rpt!M$3,Tree!$F:$F,"L",Tree!$K:$K,"&lt;&gt;"&amp;"N")/$C49))</f>
        <v/>
      </c>
      <c r="N49" s="297" t="str">
        <f>IF(OR($C49="",N$3=""),"",IF(N$3="Snag",SUMIFS(Tree!$O:$O,Tree!$A:$A,Species_rpt!$B49,Tree!$F:$F,"D",Tree!$K:$K,"&lt;&gt;"&amp;"N")/$C49,SUMIFS(Tree!$O:$O,Tree!$A:$A,Species_rpt!$B49,Tree!$D:$D,Species_rpt!N$3,Tree!$F:$F,"L",Tree!$K:$K,"&lt;&gt;"&amp;"N")/$C49))</f>
        <v/>
      </c>
      <c r="O49" s="297" t="str">
        <f>IF(OR($C49="",O$3=""),"",IF(O$3="Snag",SUMIFS(Tree!$O:$O,Tree!$A:$A,Species_rpt!$B49,Tree!$F:$F,"D",Tree!$K:$K,"&lt;&gt;"&amp;"N")/$C49,SUMIFS(Tree!$O:$O,Tree!$A:$A,Species_rpt!$B49,Tree!$D:$D,Species_rpt!O$3,Tree!$F:$F,"L",Tree!$K:$K,"&lt;&gt;"&amp;"N")/$C49))</f>
        <v/>
      </c>
      <c r="P49" s="298" t="str">
        <f t="shared" si="5"/>
        <v/>
      </c>
      <c r="Q49" s="83"/>
      <c r="R49" s="152" t="str">
        <f>IF(OR($C49="",R$3=""),"",IF(R$3="Snag",SUMIFS(Tree!$R:$R,Tree!$A:$A,Species_rpt!$B49,Tree!$F:$F,"D",Tree!$K:$K,"&lt;&gt;"&amp;"N")/$C49,SUMIFS(Tree!$R:$R,Tree!$A:$A,Species_rpt!$B49,Tree!$D:$D,Species_rpt!R$3,Tree!$F:$F,"L",Tree!$K:$K,"&lt;&gt;"&amp;"N")/$C49))</f>
        <v/>
      </c>
      <c r="S49" s="297" t="str">
        <f>IF(OR($C49="",S$3=""),"",IF(S$3="Snag",SUMIFS(Tree!$R:$R,Tree!$A:$A,Species_rpt!$B49,Tree!$F:$F,"D",Tree!$K:$K,"&lt;&gt;"&amp;"N")/$C49,SUMIFS(Tree!$R:$R,Tree!$A:$A,Species_rpt!$B49,Tree!$D:$D,Species_rpt!S$3,Tree!$F:$F,"L",Tree!$K:$K,"&lt;&gt;"&amp;"N")/$C49))</f>
        <v/>
      </c>
      <c r="T49" s="297" t="str">
        <f>IF(OR($C49="",T$3=""),"",IF(T$3="Snag",SUMIFS(Tree!$R:$R,Tree!$A:$A,Species_rpt!$B49,Tree!$F:$F,"D",Tree!$K:$K,"&lt;&gt;"&amp;"N")/$C49,SUMIFS(Tree!$R:$R,Tree!$A:$A,Species_rpt!$B49,Tree!$D:$D,Species_rpt!T$3,Tree!$F:$F,"L",Tree!$K:$K,"&lt;&gt;"&amp;"N")/$C49))</f>
        <v/>
      </c>
      <c r="U49" s="297" t="str">
        <f>IF(OR($C49="",U$3=""),"",IF(U$3="Snag",SUMIFS(Tree!$R:$R,Tree!$A:$A,Species_rpt!$B49,Tree!$F:$F,"D",Tree!$K:$K,"&lt;&gt;"&amp;"N")/$C49,SUMIFS(Tree!$R:$R,Tree!$A:$A,Species_rpt!$B49,Tree!$D:$D,Species_rpt!U$3,Tree!$F:$F,"L",Tree!$K:$K,"&lt;&gt;"&amp;"N")/$C49))</f>
        <v/>
      </c>
      <c r="V49" s="297" t="str">
        <f>IF(OR($C49="",V$3=""),"",IF(V$3="Snag",SUMIFS(Tree!$R:$R,Tree!$A:$A,Species_rpt!$B49,Tree!$F:$F,"D",Tree!$K:$K,"&lt;&gt;"&amp;"N")/$C49,SUMIFS(Tree!$R:$R,Tree!$A:$A,Species_rpt!$B49,Tree!$D:$D,Species_rpt!V$3,Tree!$F:$F,"L",Tree!$K:$K,"&lt;&gt;"&amp;"N")/$C49))</f>
        <v/>
      </c>
      <c r="W49" s="297" t="str">
        <f>IF(OR($C49="",W$3=""),"",IF(W$3="Snag",SUMIFS(Tree!$R:$R,Tree!$A:$A,Species_rpt!$B49,Tree!$F:$F,"D",Tree!$K:$K,"&lt;&gt;"&amp;"N")/$C49,SUMIFS(Tree!$R:$R,Tree!$A:$A,Species_rpt!$B49,Tree!$D:$D,Species_rpt!W$3,Tree!$F:$F,"L",Tree!$K:$K,"&lt;&gt;"&amp;"N")/$C49))</f>
        <v/>
      </c>
      <c r="X49" s="297" t="str">
        <f>IF(OR($C49="",X$3=""),"",IF(X$3="Snag",SUMIFS(Tree!$R:$R,Tree!$A:$A,Species_rpt!$B49,Tree!$F:$F,"D",Tree!$K:$K,"&lt;&gt;"&amp;"N")/$C49,SUMIFS(Tree!$R:$R,Tree!$A:$A,Species_rpt!$B49,Tree!$D:$D,Species_rpt!X$3,Tree!$F:$F,"L",Tree!$K:$K,"&lt;&gt;"&amp;"N")/$C49))</f>
        <v/>
      </c>
      <c r="Y49" s="297" t="str">
        <f>IF(OR($C49="",Y$3=""),"",IF(Y$3="Snag",SUMIFS(Tree!$R:$R,Tree!$A:$A,Species_rpt!$B49,Tree!$F:$F,"D",Tree!$K:$K,"&lt;&gt;"&amp;"N")/$C49,SUMIFS(Tree!$R:$R,Tree!$A:$A,Species_rpt!$B49,Tree!$D:$D,Species_rpt!Y$3,Tree!$F:$F,"L",Tree!$K:$K,"&lt;&gt;"&amp;"N")/$C49))</f>
        <v/>
      </c>
      <c r="Z49" s="297" t="str">
        <f>IF(OR($C49="",Z$3=""),"",IF(Z$3="Snag",SUMIFS(Tree!$R:$R,Tree!$A:$A,Species_rpt!$B49,Tree!$F:$F,"D",Tree!$K:$K,"&lt;&gt;"&amp;"N")/$C49,SUMIFS(Tree!$R:$R,Tree!$A:$A,Species_rpt!$B49,Tree!$D:$D,Species_rpt!Z$3,Tree!$F:$F,"L",Tree!$K:$K,"&lt;&gt;"&amp;"N")/$C49))</f>
        <v/>
      </c>
      <c r="AA49" s="297" t="str">
        <f>IF(OR($C49="",AA$3=""),"",IF(AA$3="Snag",SUMIFS(Tree!$R:$R,Tree!$A:$A,Species_rpt!$B49,Tree!$F:$F,"D",Tree!$K:$K,"&lt;&gt;"&amp;"N")/$C49,SUMIFS(Tree!$R:$R,Tree!$A:$A,Species_rpt!$B49,Tree!$D:$D,Species_rpt!AA$3,Tree!$F:$F,"L",Tree!$K:$K,"&lt;&gt;"&amp;"N")/$C49))</f>
        <v/>
      </c>
      <c r="AB49" s="297" t="str">
        <f>IF(OR($C49="",AB$3=""),"",IF(AB$3="Snag",SUMIFS(Tree!$R:$R,Tree!$A:$A,Species_rpt!$B49,Tree!$F:$F,"D",Tree!$K:$K,"&lt;&gt;"&amp;"N")/$C49,SUMIFS(Tree!$R:$R,Tree!$A:$A,Species_rpt!$B49,Tree!$D:$D,Species_rpt!AB$3,Tree!$F:$F,"L",Tree!$K:$K,"&lt;&gt;"&amp;"N")/$C49))</f>
        <v/>
      </c>
      <c r="AC49" s="298" t="str">
        <f t="shared" si="6"/>
        <v/>
      </c>
    </row>
    <row r="50" spans="2:29" x14ac:dyDescent="0.25">
      <c r="B50" s="201" t="str">
        <f>IF(Stand!C17="","",Stand!C17)</f>
        <v/>
      </c>
      <c r="C50" s="154" t="str">
        <f>IF(B18="","",VLOOKUP(B18,Stand!C:H,6,0))</f>
        <v/>
      </c>
      <c r="D50" s="28"/>
      <c r="E50" s="152" t="str">
        <f>IF(OR($C50="",E$3=""),"",IF(E$3="Snag",SUMIFS(Tree!$O:$O,Tree!$A:$A,Species_rpt!$B50,Tree!$F:$F,"D",Tree!$K:$K,"&lt;&gt;"&amp;"N")/$C50,SUMIFS(Tree!$O:$O,Tree!$A:$A,Species_rpt!$B50,Tree!$D:$D,Species_rpt!E$3,Tree!$F:$F,"L",Tree!$K:$K,"&lt;&gt;"&amp;"N")/$C50))</f>
        <v/>
      </c>
      <c r="F50" s="297" t="str">
        <f>IF(OR($C50="",F$3=""),"",IF(F$3="Snag",SUMIFS(Tree!$O:$O,Tree!$A:$A,Species_rpt!$B50,Tree!$F:$F,"D",Tree!$K:$K,"&lt;&gt;"&amp;"N")/$C50,SUMIFS(Tree!$O:$O,Tree!$A:$A,Species_rpt!$B50,Tree!$D:$D,Species_rpt!F$3,Tree!$F:$F,"L",Tree!$K:$K,"&lt;&gt;"&amp;"N")/$C50))</f>
        <v/>
      </c>
      <c r="G50" s="297" t="str">
        <f>IF(OR($C50="",G$3=""),"",IF(G$3="Snag",SUMIFS(Tree!$O:$O,Tree!$A:$A,Species_rpt!$B50,Tree!$F:$F,"D",Tree!$K:$K,"&lt;&gt;"&amp;"N")/$C50,SUMIFS(Tree!$O:$O,Tree!$A:$A,Species_rpt!$B50,Tree!$D:$D,Species_rpt!G$3,Tree!$F:$F,"L",Tree!$K:$K,"&lt;&gt;"&amp;"N")/$C50))</f>
        <v/>
      </c>
      <c r="H50" s="297" t="str">
        <f>IF(OR($C50="",H$3=""),"",IF(H$3="Snag",SUMIFS(Tree!$O:$O,Tree!$A:$A,Species_rpt!$B50,Tree!$F:$F,"D",Tree!$K:$K,"&lt;&gt;"&amp;"N")/$C50,SUMIFS(Tree!$O:$O,Tree!$A:$A,Species_rpt!$B50,Tree!$D:$D,Species_rpt!H$3,Tree!$F:$F,"L",Tree!$K:$K,"&lt;&gt;"&amp;"N")/$C50))</f>
        <v/>
      </c>
      <c r="I50" s="297" t="str">
        <f>IF(OR($C50="",I$3=""),"",IF(I$3="Snag",SUMIFS(Tree!$O:$O,Tree!$A:$A,Species_rpt!$B50,Tree!$F:$F,"D",Tree!$K:$K,"&lt;&gt;"&amp;"N")/$C50,SUMIFS(Tree!$O:$O,Tree!$A:$A,Species_rpt!$B50,Tree!$D:$D,Species_rpt!I$3,Tree!$F:$F,"L",Tree!$K:$K,"&lt;&gt;"&amp;"N")/$C50))</f>
        <v/>
      </c>
      <c r="J50" s="297" t="str">
        <f>IF(OR($C50="",J$3=""),"",IF(J$3="Snag",SUMIFS(Tree!$O:$O,Tree!$A:$A,Species_rpt!$B50,Tree!$F:$F,"D",Tree!$K:$K,"&lt;&gt;"&amp;"N")/$C50,SUMIFS(Tree!$O:$O,Tree!$A:$A,Species_rpt!$B50,Tree!$D:$D,Species_rpt!J$3,Tree!$F:$F,"L",Tree!$K:$K,"&lt;&gt;"&amp;"N")/$C50))</f>
        <v/>
      </c>
      <c r="K50" s="297" t="str">
        <f>IF(OR($C50="",K$3=""),"",IF(K$3="Snag",SUMIFS(Tree!$O:$O,Tree!$A:$A,Species_rpt!$B50,Tree!$F:$F,"D",Tree!$K:$K,"&lt;&gt;"&amp;"N")/$C50,SUMIFS(Tree!$O:$O,Tree!$A:$A,Species_rpt!$B50,Tree!$D:$D,Species_rpt!K$3,Tree!$F:$F,"L",Tree!$K:$K,"&lt;&gt;"&amp;"N")/$C50))</f>
        <v/>
      </c>
      <c r="L50" s="297" t="str">
        <f>IF(OR($C50="",L$3=""),"",IF(L$3="Snag",SUMIFS(Tree!$O:$O,Tree!$A:$A,Species_rpt!$B50,Tree!$F:$F,"D",Tree!$K:$K,"&lt;&gt;"&amp;"N")/$C50,SUMIFS(Tree!$O:$O,Tree!$A:$A,Species_rpt!$B50,Tree!$D:$D,Species_rpt!L$3,Tree!$F:$F,"L",Tree!$K:$K,"&lt;&gt;"&amp;"N")/$C50))</f>
        <v/>
      </c>
      <c r="M50" s="297" t="str">
        <f>IF(OR($C50="",M$3=""),"",IF(M$3="Snag",SUMIFS(Tree!$O:$O,Tree!$A:$A,Species_rpt!$B50,Tree!$F:$F,"D",Tree!$K:$K,"&lt;&gt;"&amp;"N")/$C50,SUMIFS(Tree!$O:$O,Tree!$A:$A,Species_rpt!$B50,Tree!$D:$D,Species_rpt!M$3,Tree!$F:$F,"L",Tree!$K:$K,"&lt;&gt;"&amp;"N")/$C50))</f>
        <v/>
      </c>
      <c r="N50" s="297" t="str">
        <f>IF(OR($C50="",N$3=""),"",IF(N$3="Snag",SUMIFS(Tree!$O:$O,Tree!$A:$A,Species_rpt!$B50,Tree!$F:$F,"D",Tree!$K:$K,"&lt;&gt;"&amp;"N")/$C50,SUMIFS(Tree!$O:$O,Tree!$A:$A,Species_rpt!$B50,Tree!$D:$D,Species_rpt!N$3,Tree!$F:$F,"L",Tree!$K:$K,"&lt;&gt;"&amp;"N")/$C50))</f>
        <v/>
      </c>
      <c r="O50" s="297" t="str">
        <f>IF(OR($C50="",O$3=""),"",IF(O$3="Snag",SUMIFS(Tree!$O:$O,Tree!$A:$A,Species_rpt!$B50,Tree!$F:$F,"D",Tree!$K:$K,"&lt;&gt;"&amp;"N")/$C50,SUMIFS(Tree!$O:$O,Tree!$A:$A,Species_rpt!$B50,Tree!$D:$D,Species_rpt!O$3,Tree!$F:$F,"L",Tree!$K:$K,"&lt;&gt;"&amp;"N")/$C50))</f>
        <v/>
      </c>
      <c r="P50" s="298" t="str">
        <f t="shared" si="5"/>
        <v/>
      </c>
      <c r="Q50" s="83"/>
      <c r="R50" s="152" t="str">
        <f>IF(OR($C50="",R$3=""),"",IF(R$3="Snag",SUMIFS(Tree!$R:$R,Tree!$A:$A,Species_rpt!$B50,Tree!$F:$F,"D",Tree!$K:$K,"&lt;&gt;"&amp;"N")/$C50,SUMIFS(Tree!$R:$R,Tree!$A:$A,Species_rpt!$B50,Tree!$D:$D,Species_rpt!R$3,Tree!$F:$F,"L",Tree!$K:$K,"&lt;&gt;"&amp;"N")/$C50))</f>
        <v/>
      </c>
      <c r="S50" s="297" t="str">
        <f>IF(OR($C50="",S$3=""),"",IF(S$3="Snag",SUMIFS(Tree!$R:$R,Tree!$A:$A,Species_rpt!$B50,Tree!$F:$F,"D",Tree!$K:$K,"&lt;&gt;"&amp;"N")/$C50,SUMIFS(Tree!$R:$R,Tree!$A:$A,Species_rpt!$B50,Tree!$D:$D,Species_rpt!S$3,Tree!$F:$F,"L",Tree!$K:$K,"&lt;&gt;"&amp;"N")/$C50))</f>
        <v/>
      </c>
      <c r="T50" s="297" t="str">
        <f>IF(OR($C50="",T$3=""),"",IF(T$3="Snag",SUMIFS(Tree!$R:$R,Tree!$A:$A,Species_rpt!$B50,Tree!$F:$F,"D",Tree!$K:$K,"&lt;&gt;"&amp;"N")/$C50,SUMIFS(Tree!$R:$R,Tree!$A:$A,Species_rpt!$B50,Tree!$D:$D,Species_rpt!T$3,Tree!$F:$F,"L",Tree!$K:$K,"&lt;&gt;"&amp;"N")/$C50))</f>
        <v/>
      </c>
      <c r="U50" s="297" t="str">
        <f>IF(OR($C50="",U$3=""),"",IF(U$3="Snag",SUMIFS(Tree!$R:$R,Tree!$A:$A,Species_rpt!$B50,Tree!$F:$F,"D",Tree!$K:$K,"&lt;&gt;"&amp;"N")/$C50,SUMIFS(Tree!$R:$R,Tree!$A:$A,Species_rpt!$B50,Tree!$D:$D,Species_rpt!U$3,Tree!$F:$F,"L",Tree!$K:$K,"&lt;&gt;"&amp;"N")/$C50))</f>
        <v/>
      </c>
      <c r="V50" s="297" t="str">
        <f>IF(OR($C50="",V$3=""),"",IF(V$3="Snag",SUMIFS(Tree!$R:$R,Tree!$A:$A,Species_rpt!$B50,Tree!$F:$F,"D",Tree!$K:$K,"&lt;&gt;"&amp;"N")/$C50,SUMIFS(Tree!$R:$R,Tree!$A:$A,Species_rpt!$B50,Tree!$D:$D,Species_rpt!V$3,Tree!$F:$F,"L",Tree!$K:$K,"&lt;&gt;"&amp;"N")/$C50))</f>
        <v/>
      </c>
      <c r="W50" s="297" t="str">
        <f>IF(OR($C50="",W$3=""),"",IF(W$3="Snag",SUMIFS(Tree!$R:$R,Tree!$A:$A,Species_rpt!$B50,Tree!$F:$F,"D",Tree!$K:$K,"&lt;&gt;"&amp;"N")/$C50,SUMIFS(Tree!$R:$R,Tree!$A:$A,Species_rpt!$B50,Tree!$D:$D,Species_rpt!W$3,Tree!$F:$F,"L",Tree!$K:$K,"&lt;&gt;"&amp;"N")/$C50))</f>
        <v/>
      </c>
      <c r="X50" s="297" t="str">
        <f>IF(OR($C50="",X$3=""),"",IF(X$3="Snag",SUMIFS(Tree!$R:$R,Tree!$A:$A,Species_rpt!$B50,Tree!$F:$F,"D",Tree!$K:$K,"&lt;&gt;"&amp;"N")/$C50,SUMIFS(Tree!$R:$R,Tree!$A:$A,Species_rpt!$B50,Tree!$D:$D,Species_rpt!X$3,Tree!$F:$F,"L",Tree!$K:$K,"&lt;&gt;"&amp;"N")/$C50))</f>
        <v/>
      </c>
      <c r="Y50" s="297" t="str">
        <f>IF(OR($C50="",Y$3=""),"",IF(Y$3="Snag",SUMIFS(Tree!$R:$R,Tree!$A:$A,Species_rpt!$B50,Tree!$F:$F,"D",Tree!$K:$K,"&lt;&gt;"&amp;"N")/$C50,SUMIFS(Tree!$R:$R,Tree!$A:$A,Species_rpt!$B50,Tree!$D:$D,Species_rpt!Y$3,Tree!$F:$F,"L",Tree!$K:$K,"&lt;&gt;"&amp;"N")/$C50))</f>
        <v/>
      </c>
      <c r="Z50" s="297" t="str">
        <f>IF(OR($C50="",Z$3=""),"",IF(Z$3="Snag",SUMIFS(Tree!$R:$R,Tree!$A:$A,Species_rpt!$B50,Tree!$F:$F,"D",Tree!$K:$K,"&lt;&gt;"&amp;"N")/$C50,SUMIFS(Tree!$R:$R,Tree!$A:$A,Species_rpt!$B50,Tree!$D:$D,Species_rpt!Z$3,Tree!$F:$F,"L",Tree!$K:$K,"&lt;&gt;"&amp;"N")/$C50))</f>
        <v/>
      </c>
      <c r="AA50" s="297" t="str">
        <f>IF(OR($C50="",AA$3=""),"",IF(AA$3="Snag",SUMIFS(Tree!$R:$R,Tree!$A:$A,Species_rpt!$B50,Tree!$F:$F,"D",Tree!$K:$K,"&lt;&gt;"&amp;"N")/$C50,SUMIFS(Tree!$R:$R,Tree!$A:$A,Species_rpt!$B50,Tree!$D:$D,Species_rpt!AA$3,Tree!$F:$F,"L",Tree!$K:$K,"&lt;&gt;"&amp;"N")/$C50))</f>
        <v/>
      </c>
      <c r="AB50" s="297" t="str">
        <f>IF(OR($C50="",AB$3=""),"",IF(AB$3="Snag",SUMIFS(Tree!$R:$R,Tree!$A:$A,Species_rpt!$B50,Tree!$F:$F,"D",Tree!$K:$K,"&lt;&gt;"&amp;"N")/$C50,SUMIFS(Tree!$R:$R,Tree!$A:$A,Species_rpt!$B50,Tree!$D:$D,Species_rpt!AB$3,Tree!$F:$F,"L",Tree!$K:$K,"&lt;&gt;"&amp;"N")/$C50))</f>
        <v/>
      </c>
      <c r="AC50" s="298" t="str">
        <f t="shared" si="6"/>
        <v/>
      </c>
    </row>
    <row r="51" spans="2:29" x14ac:dyDescent="0.25">
      <c r="B51" s="201" t="str">
        <f>IF(Stand!C18="","",Stand!C18)</f>
        <v/>
      </c>
      <c r="C51" s="154" t="str">
        <f>IF(B19="","",VLOOKUP(B19,Stand!C:H,6,0))</f>
        <v/>
      </c>
      <c r="D51" s="28"/>
      <c r="E51" s="152" t="str">
        <f>IF(OR($C51="",E$3=""),"",IF(E$3="Snag",SUMIFS(Tree!$O:$O,Tree!$A:$A,Species_rpt!$B51,Tree!$F:$F,"D",Tree!$K:$K,"&lt;&gt;"&amp;"N")/$C51,SUMIFS(Tree!$O:$O,Tree!$A:$A,Species_rpt!$B51,Tree!$D:$D,Species_rpt!E$3,Tree!$F:$F,"L",Tree!$K:$K,"&lt;&gt;"&amp;"N")/$C51))</f>
        <v/>
      </c>
      <c r="F51" s="297" t="str">
        <f>IF(OR($C51="",F$3=""),"",IF(F$3="Snag",SUMIFS(Tree!$O:$O,Tree!$A:$A,Species_rpt!$B51,Tree!$F:$F,"D",Tree!$K:$K,"&lt;&gt;"&amp;"N")/$C51,SUMIFS(Tree!$O:$O,Tree!$A:$A,Species_rpt!$B51,Tree!$D:$D,Species_rpt!F$3,Tree!$F:$F,"L",Tree!$K:$K,"&lt;&gt;"&amp;"N")/$C51))</f>
        <v/>
      </c>
      <c r="G51" s="297" t="str">
        <f>IF(OR($C51="",G$3=""),"",IF(G$3="Snag",SUMIFS(Tree!$O:$O,Tree!$A:$A,Species_rpt!$B51,Tree!$F:$F,"D",Tree!$K:$K,"&lt;&gt;"&amp;"N")/$C51,SUMIFS(Tree!$O:$O,Tree!$A:$A,Species_rpt!$B51,Tree!$D:$D,Species_rpt!G$3,Tree!$F:$F,"L",Tree!$K:$K,"&lt;&gt;"&amp;"N")/$C51))</f>
        <v/>
      </c>
      <c r="H51" s="297" t="str">
        <f>IF(OR($C51="",H$3=""),"",IF(H$3="Snag",SUMIFS(Tree!$O:$O,Tree!$A:$A,Species_rpt!$B51,Tree!$F:$F,"D",Tree!$K:$K,"&lt;&gt;"&amp;"N")/$C51,SUMIFS(Tree!$O:$O,Tree!$A:$A,Species_rpt!$B51,Tree!$D:$D,Species_rpt!H$3,Tree!$F:$F,"L",Tree!$K:$K,"&lt;&gt;"&amp;"N")/$C51))</f>
        <v/>
      </c>
      <c r="I51" s="297" t="str">
        <f>IF(OR($C51="",I$3=""),"",IF(I$3="Snag",SUMIFS(Tree!$O:$O,Tree!$A:$A,Species_rpt!$B51,Tree!$F:$F,"D",Tree!$K:$K,"&lt;&gt;"&amp;"N")/$C51,SUMIFS(Tree!$O:$O,Tree!$A:$A,Species_rpt!$B51,Tree!$D:$D,Species_rpt!I$3,Tree!$F:$F,"L",Tree!$K:$K,"&lt;&gt;"&amp;"N")/$C51))</f>
        <v/>
      </c>
      <c r="J51" s="297" t="str">
        <f>IF(OR($C51="",J$3=""),"",IF(J$3="Snag",SUMIFS(Tree!$O:$O,Tree!$A:$A,Species_rpt!$B51,Tree!$F:$F,"D",Tree!$K:$K,"&lt;&gt;"&amp;"N")/$C51,SUMIFS(Tree!$O:$O,Tree!$A:$A,Species_rpt!$B51,Tree!$D:$D,Species_rpt!J$3,Tree!$F:$F,"L",Tree!$K:$K,"&lt;&gt;"&amp;"N")/$C51))</f>
        <v/>
      </c>
      <c r="K51" s="297" t="str">
        <f>IF(OR($C51="",K$3=""),"",IF(K$3="Snag",SUMIFS(Tree!$O:$O,Tree!$A:$A,Species_rpt!$B51,Tree!$F:$F,"D",Tree!$K:$K,"&lt;&gt;"&amp;"N")/$C51,SUMIFS(Tree!$O:$O,Tree!$A:$A,Species_rpt!$B51,Tree!$D:$D,Species_rpt!K$3,Tree!$F:$F,"L",Tree!$K:$K,"&lt;&gt;"&amp;"N")/$C51))</f>
        <v/>
      </c>
      <c r="L51" s="297" t="str">
        <f>IF(OR($C51="",L$3=""),"",IF(L$3="Snag",SUMIFS(Tree!$O:$O,Tree!$A:$A,Species_rpt!$B51,Tree!$F:$F,"D",Tree!$K:$K,"&lt;&gt;"&amp;"N")/$C51,SUMIFS(Tree!$O:$O,Tree!$A:$A,Species_rpt!$B51,Tree!$D:$D,Species_rpt!L$3,Tree!$F:$F,"L",Tree!$K:$K,"&lt;&gt;"&amp;"N")/$C51))</f>
        <v/>
      </c>
      <c r="M51" s="297" t="str">
        <f>IF(OR($C51="",M$3=""),"",IF(M$3="Snag",SUMIFS(Tree!$O:$O,Tree!$A:$A,Species_rpt!$B51,Tree!$F:$F,"D",Tree!$K:$K,"&lt;&gt;"&amp;"N")/$C51,SUMIFS(Tree!$O:$O,Tree!$A:$A,Species_rpt!$B51,Tree!$D:$D,Species_rpt!M$3,Tree!$F:$F,"L",Tree!$K:$K,"&lt;&gt;"&amp;"N")/$C51))</f>
        <v/>
      </c>
      <c r="N51" s="297" t="str">
        <f>IF(OR($C51="",N$3=""),"",IF(N$3="Snag",SUMIFS(Tree!$O:$O,Tree!$A:$A,Species_rpt!$B51,Tree!$F:$F,"D",Tree!$K:$K,"&lt;&gt;"&amp;"N")/$C51,SUMIFS(Tree!$O:$O,Tree!$A:$A,Species_rpt!$B51,Tree!$D:$D,Species_rpt!N$3,Tree!$F:$F,"L",Tree!$K:$K,"&lt;&gt;"&amp;"N")/$C51))</f>
        <v/>
      </c>
      <c r="O51" s="297" t="str">
        <f>IF(OR($C51="",O$3=""),"",IF(O$3="Snag",SUMIFS(Tree!$O:$O,Tree!$A:$A,Species_rpt!$B51,Tree!$F:$F,"D",Tree!$K:$K,"&lt;&gt;"&amp;"N")/$C51,SUMIFS(Tree!$O:$O,Tree!$A:$A,Species_rpt!$B51,Tree!$D:$D,Species_rpt!O$3,Tree!$F:$F,"L",Tree!$K:$K,"&lt;&gt;"&amp;"N")/$C51))</f>
        <v/>
      </c>
      <c r="P51" s="298" t="str">
        <f t="shared" si="5"/>
        <v/>
      </c>
      <c r="Q51" s="83"/>
      <c r="R51" s="152" t="str">
        <f>IF(OR($C51="",R$3=""),"",IF(R$3="Snag",SUMIFS(Tree!$R:$R,Tree!$A:$A,Species_rpt!$B51,Tree!$F:$F,"D",Tree!$K:$K,"&lt;&gt;"&amp;"N")/$C51,SUMIFS(Tree!$R:$R,Tree!$A:$A,Species_rpt!$B51,Tree!$D:$D,Species_rpt!R$3,Tree!$F:$F,"L",Tree!$K:$K,"&lt;&gt;"&amp;"N")/$C51))</f>
        <v/>
      </c>
      <c r="S51" s="297" t="str">
        <f>IF(OR($C51="",S$3=""),"",IF(S$3="Snag",SUMIFS(Tree!$R:$R,Tree!$A:$A,Species_rpt!$B51,Tree!$F:$F,"D",Tree!$K:$K,"&lt;&gt;"&amp;"N")/$C51,SUMIFS(Tree!$R:$R,Tree!$A:$A,Species_rpt!$B51,Tree!$D:$D,Species_rpt!S$3,Tree!$F:$F,"L",Tree!$K:$K,"&lt;&gt;"&amp;"N")/$C51))</f>
        <v/>
      </c>
      <c r="T51" s="297" t="str">
        <f>IF(OR($C51="",T$3=""),"",IF(T$3="Snag",SUMIFS(Tree!$R:$R,Tree!$A:$A,Species_rpt!$B51,Tree!$F:$F,"D",Tree!$K:$K,"&lt;&gt;"&amp;"N")/$C51,SUMIFS(Tree!$R:$R,Tree!$A:$A,Species_rpt!$B51,Tree!$D:$D,Species_rpt!T$3,Tree!$F:$F,"L",Tree!$K:$K,"&lt;&gt;"&amp;"N")/$C51))</f>
        <v/>
      </c>
      <c r="U51" s="297" t="str">
        <f>IF(OR($C51="",U$3=""),"",IF(U$3="Snag",SUMIFS(Tree!$R:$R,Tree!$A:$A,Species_rpt!$B51,Tree!$F:$F,"D",Tree!$K:$K,"&lt;&gt;"&amp;"N")/$C51,SUMIFS(Tree!$R:$R,Tree!$A:$A,Species_rpt!$B51,Tree!$D:$D,Species_rpt!U$3,Tree!$F:$F,"L",Tree!$K:$K,"&lt;&gt;"&amp;"N")/$C51))</f>
        <v/>
      </c>
      <c r="V51" s="297" t="str">
        <f>IF(OR($C51="",V$3=""),"",IF(V$3="Snag",SUMIFS(Tree!$R:$R,Tree!$A:$A,Species_rpt!$B51,Tree!$F:$F,"D",Tree!$K:$K,"&lt;&gt;"&amp;"N")/$C51,SUMIFS(Tree!$R:$R,Tree!$A:$A,Species_rpt!$B51,Tree!$D:$D,Species_rpt!V$3,Tree!$F:$F,"L",Tree!$K:$K,"&lt;&gt;"&amp;"N")/$C51))</f>
        <v/>
      </c>
      <c r="W51" s="297" t="str">
        <f>IF(OR($C51="",W$3=""),"",IF(W$3="Snag",SUMIFS(Tree!$R:$R,Tree!$A:$A,Species_rpt!$B51,Tree!$F:$F,"D",Tree!$K:$K,"&lt;&gt;"&amp;"N")/$C51,SUMIFS(Tree!$R:$R,Tree!$A:$A,Species_rpt!$B51,Tree!$D:$D,Species_rpt!W$3,Tree!$F:$F,"L",Tree!$K:$K,"&lt;&gt;"&amp;"N")/$C51))</f>
        <v/>
      </c>
      <c r="X51" s="297" t="str">
        <f>IF(OR($C51="",X$3=""),"",IF(X$3="Snag",SUMIFS(Tree!$R:$R,Tree!$A:$A,Species_rpt!$B51,Tree!$F:$F,"D",Tree!$K:$K,"&lt;&gt;"&amp;"N")/$C51,SUMIFS(Tree!$R:$R,Tree!$A:$A,Species_rpt!$B51,Tree!$D:$D,Species_rpt!X$3,Tree!$F:$F,"L",Tree!$K:$K,"&lt;&gt;"&amp;"N")/$C51))</f>
        <v/>
      </c>
      <c r="Y51" s="297" t="str">
        <f>IF(OR($C51="",Y$3=""),"",IF(Y$3="Snag",SUMIFS(Tree!$R:$R,Tree!$A:$A,Species_rpt!$B51,Tree!$F:$F,"D",Tree!$K:$K,"&lt;&gt;"&amp;"N")/$C51,SUMIFS(Tree!$R:$R,Tree!$A:$A,Species_rpt!$B51,Tree!$D:$D,Species_rpt!Y$3,Tree!$F:$F,"L",Tree!$K:$K,"&lt;&gt;"&amp;"N")/$C51))</f>
        <v/>
      </c>
      <c r="Z51" s="297" t="str">
        <f>IF(OR($C51="",Z$3=""),"",IF(Z$3="Snag",SUMIFS(Tree!$R:$R,Tree!$A:$A,Species_rpt!$B51,Tree!$F:$F,"D",Tree!$K:$K,"&lt;&gt;"&amp;"N")/$C51,SUMIFS(Tree!$R:$R,Tree!$A:$A,Species_rpt!$B51,Tree!$D:$D,Species_rpt!Z$3,Tree!$F:$F,"L",Tree!$K:$K,"&lt;&gt;"&amp;"N")/$C51))</f>
        <v/>
      </c>
      <c r="AA51" s="297" t="str">
        <f>IF(OR($C51="",AA$3=""),"",IF(AA$3="Snag",SUMIFS(Tree!$R:$R,Tree!$A:$A,Species_rpt!$B51,Tree!$F:$F,"D",Tree!$K:$K,"&lt;&gt;"&amp;"N")/$C51,SUMIFS(Tree!$R:$R,Tree!$A:$A,Species_rpt!$B51,Tree!$D:$D,Species_rpt!AA$3,Tree!$F:$F,"L",Tree!$K:$K,"&lt;&gt;"&amp;"N")/$C51))</f>
        <v/>
      </c>
      <c r="AB51" s="297" t="str">
        <f>IF(OR($C51="",AB$3=""),"",IF(AB$3="Snag",SUMIFS(Tree!$R:$R,Tree!$A:$A,Species_rpt!$B51,Tree!$F:$F,"D",Tree!$K:$K,"&lt;&gt;"&amp;"N")/$C51,SUMIFS(Tree!$R:$R,Tree!$A:$A,Species_rpt!$B51,Tree!$D:$D,Species_rpt!AB$3,Tree!$F:$F,"L",Tree!$K:$K,"&lt;&gt;"&amp;"N")/$C51))</f>
        <v/>
      </c>
      <c r="AC51" s="298" t="str">
        <f t="shared" si="6"/>
        <v/>
      </c>
    </row>
    <row r="52" spans="2:29" x14ac:dyDescent="0.25">
      <c r="B52" s="201" t="str">
        <f>IF(Stand!C19="","",Stand!C19)</f>
        <v/>
      </c>
      <c r="C52" s="154" t="str">
        <f>IF(B20="","",VLOOKUP(B20,Stand!C:H,6,0))</f>
        <v/>
      </c>
      <c r="D52" s="28"/>
      <c r="E52" s="152" t="str">
        <f>IF(OR($C52="",E$3=""),"",IF(E$3="Snag",SUMIFS(Tree!$O:$O,Tree!$A:$A,Species_rpt!$B52,Tree!$F:$F,"D",Tree!$K:$K,"&lt;&gt;"&amp;"N")/$C52,SUMIFS(Tree!$O:$O,Tree!$A:$A,Species_rpt!$B52,Tree!$D:$D,Species_rpt!E$3,Tree!$F:$F,"L",Tree!$K:$K,"&lt;&gt;"&amp;"N")/$C52))</f>
        <v/>
      </c>
      <c r="F52" s="297" t="str">
        <f>IF(OR($C52="",F$3=""),"",IF(F$3="Snag",SUMIFS(Tree!$O:$O,Tree!$A:$A,Species_rpt!$B52,Tree!$F:$F,"D",Tree!$K:$K,"&lt;&gt;"&amp;"N")/$C52,SUMIFS(Tree!$O:$O,Tree!$A:$A,Species_rpt!$B52,Tree!$D:$D,Species_rpt!F$3,Tree!$F:$F,"L",Tree!$K:$K,"&lt;&gt;"&amp;"N")/$C52))</f>
        <v/>
      </c>
      <c r="G52" s="297" t="str">
        <f>IF(OR($C52="",G$3=""),"",IF(G$3="Snag",SUMIFS(Tree!$O:$O,Tree!$A:$A,Species_rpt!$B52,Tree!$F:$F,"D",Tree!$K:$K,"&lt;&gt;"&amp;"N")/$C52,SUMIFS(Tree!$O:$O,Tree!$A:$A,Species_rpt!$B52,Tree!$D:$D,Species_rpt!G$3,Tree!$F:$F,"L",Tree!$K:$K,"&lt;&gt;"&amp;"N")/$C52))</f>
        <v/>
      </c>
      <c r="H52" s="297" t="str">
        <f>IF(OR($C52="",H$3=""),"",IF(H$3="Snag",SUMIFS(Tree!$O:$O,Tree!$A:$A,Species_rpt!$B52,Tree!$F:$F,"D",Tree!$K:$K,"&lt;&gt;"&amp;"N")/$C52,SUMIFS(Tree!$O:$O,Tree!$A:$A,Species_rpt!$B52,Tree!$D:$D,Species_rpt!H$3,Tree!$F:$F,"L",Tree!$K:$K,"&lt;&gt;"&amp;"N")/$C52))</f>
        <v/>
      </c>
      <c r="I52" s="297" t="str">
        <f>IF(OR($C52="",I$3=""),"",IF(I$3="Snag",SUMIFS(Tree!$O:$O,Tree!$A:$A,Species_rpt!$B52,Tree!$F:$F,"D",Tree!$K:$K,"&lt;&gt;"&amp;"N")/$C52,SUMIFS(Tree!$O:$O,Tree!$A:$A,Species_rpt!$B52,Tree!$D:$D,Species_rpt!I$3,Tree!$F:$F,"L",Tree!$K:$K,"&lt;&gt;"&amp;"N")/$C52))</f>
        <v/>
      </c>
      <c r="J52" s="297" t="str">
        <f>IF(OR($C52="",J$3=""),"",IF(J$3="Snag",SUMIFS(Tree!$O:$O,Tree!$A:$A,Species_rpt!$B52,Tree!$F:$F,"D",Tree!$K:$K,"&lt;&gt;"&amp;"N")/$C52,SUMIFS(Tree!$O:$O,Tree!$A:$A,Species_rpt!$B52,Tree!$D:$D,Species_rpt!J$3,Tree!$F:$F,"L",Tree!$K:$K,"&lt;&gt;"&amp;"N")/$C52))</f>
        <v/>
      </c>
      <c r="K52" s="297" t="str">
        <f>IF(OR($C52="",K$3=""),"",IF(K$3="Snag",SUMIFS(Tree!$O:$O,Tree!$A:$A,Species_rpt!$B52,Tree!$F:$F,"D",Tree!$K:$K,"&lt;&gt;"&amp;"N")/$C52,SUMIFS(Tree!$O:$O,Tree!$A:$A,Species_rpt!$B52,Tree!$D:$D,Species_rpt!K$3,Tree!$F:$F,"L",Tree!$K:$K,"&lt;&gt;"&amp;"N")/$C52))</f>
        <v/>
      </c>
      <c r="L52" s="297" t="str">
        <f>IF(OR($C52="",L$3=""),"",IF(L$3="Snag",SUMIFS(Tree!$O:$O,Tree!$A:$A,Species_rpt!$B52,Tree!$F:$F,"D",Tree!$K:$K,"&lt;&gt;"&amp;"N")/$C52,SUMIFS(Tree!$O:$O,Tree!$A:$A,Species_rpt!$B52,Tree!$D:$D,Species_rpt!L$3,Tree!$F:$F,"L",Tree!$K:$K,"&lt;&gt;"&amp;"N")/$C52))</f>
        <v/>
      </c>
      <c r="M52" s="297" t="str">
        <f>IF(OR($C52="",M$3=""),"",IF(M$3="Snag",SUMIFS(Tree!$O:$O,Tree!$A:$A,Species_rpt!$B52,Tree!$F:$F,"D",Tree!$K:$K,"&lt;&gt;"&amp;"N")/$C52,SUMIFS(Tree!$O:$O,Tree!$A:$A,Species_rpt!$B52,Tree!$D:$D,Species_rpt!M$3,Tree!$F:$F,"L",Tree!$K:$K,"&lt;&gt;"&amp;"N")/$C52))</f>
        <v/>
      </c>
      <c r="N52" s="297" t="str">
        <f>IF(OR($C52="",N$3=""),"",IF(N$3="Snag",SUMIFS(Tree!$O:$O,Tree!$A:$A,Species_rpt!$B52,Tree!$F:$F,"D",Tree!$K:$K,"&lt;&gt;"&amp;"N")/$C52,SUMIFS(Tree!$O:$O,Tree!$A:$A,Species_rpt!$B52,Tree!$D:$D,Species_rpt!N$3,Tree!$F:$F,"L",Tree!$K:$K,"&lt;&gt;"&amp;"N")/$C52))</f>
        <v/>
      </c>
      <c r="O52" s="297" t="str">
        <f>IF(OR($C52="",O$3=""),"",IF(O$3="Snag",SUMIFS(Tree!$O:$O,Tree!$A:$A,Species_rpt!$B52,Tree!$F:$F,"D",Tree!$K:$K,"&lt;&gt;"&amp;"N")/$C52,SUMIFS(Tree!$O:$O,Tree!$A:$A,Species_rpt!$B52,Tree!$D:$D,Species_rpt!O$3,Tree!$F:$F,"L",Tree!$K:$K,"&lt;&gt;"&amp;"N")/$C52))</f>
        <v/>
      </c>
      <c r="P52" s="298" t="str">
        <f t="shared" si="5"/>
        <v/>
      </c>
      <c r="Q52" s="83"/>
      <c r="R52" s="152" t="str">
        <f>IF(OR($C52="",R$3=""),"",IF(R$3="Snag",SUMIFS(Tree!$R:$R,Tree!$A:$A,Species_rpt!$B52,Tree!$F:$F,"D",Tree!$K:$K,"&lt;&gt;"&amp;"N")/$C52,SUMIFS(Tree!$R:$R,Tree!$A:$A,Species_rpt!$B52,Tree!$D:$D,Species_rpt!R$3,Tree!$F:$F,"L",Tree!$K:$K,"&lt;&gt;"&amp;"N")/$C52))</f>
        <v/>
      </c>
      <c r="S52" s="297" t="str">
        <f>IF(OR($C52="",S$3=""),"",IF(S$3="Snag",SUMIFS(Tree!$R:$R,Tree!$A:$A,Species_rpt!$B52,Tree!$F:$F,"D",Tree!$K:$K,"&lt;&gt;"&amp;"N")/$C52,SUMIFS(Tree!$R:$R,Tree!$A:$A,Species_rpt!$B52,Tree!$D:$D,Species_rpt!S$3,Tree!$F:$F,"L",Tree!$K:$K,"&lt;&gt;"&amp;"N")/$C52))</f>
        <v/>
      </c>
      <c r="T52" s="297" t="str">
        <f>IF(OR($C52="",T$3=""),"",IF(T$3="Snag",SUMIFS(Tree!$R:$R,Tree!$A:$A,Species_rpt!$B52,Tree!$F:$F,"D",Tree!$K:$K,"&lt;&gt;"&amp;"N")/$C52,SUMIFS(Tree!$R:$R,Tree!$A:$A,Species_rpt!$B52,Tree!$D:$D,Species_rpt!T$3,Tree!$F:$F,"L",Tree!$K:$K,"&lt;&gt;"&amp;"N")/$C52))</f>
        <v/>
      </c>
      <c r="U52" s="297" t="str">
        <f>IF(OR($C52="",U$3=""),"",IF(U$3="Snag",SUMIFS(Tree!$R:$R,Tree!$A:$A,Species_rpt!$B52,Tree!$F:$F,"D",Tree!$K:$K,"&lt;&gt;"&amp;"N")/$C52,SUMIFS(Tree!$R:$R,Tree!$A:$A,Species_rpt!$B52,Tree!$D:$D,Species_rpt!U$3,Tree!$F:$F,"L",Tree!$K:$K,"&lt;&gt;"&amp;"N")/$C52))</f>
        <v/>
      </c>
      <c r="V52" s="297" t="str">
        <f>IF(OR($C52="",V$3=""),"",IF(V$3="Snag",SUMIFS(Tree!$R:$R,Tree!$A:$A,Species_rpt!$B52,Tree!$F:$F,"D",Tree!$K:$K,"&lt;&gt;"&amp;"N")/$C52,SUMIFS(Tree!$R:$R,Tree!$A:$A,Species_rpt!$B52,Tree!$D:$D,Species_rpt!V$3,Tree!$F:$F,"L",Tree!$K:$K,"&lt;&gt;"&amp;"N")/$C52))</f>
        <v/>
      </c>
      <c r="W52" s="297" t="str">
        <f>IF(OR($C52="",W$3=""),"",IF(W$3="Snag",SUMIFS(Tree!$R:$R,Tree!$A:$A,Species_rpt!$B52,Tree!$F:$F,"D",Tree!$K:$K,"&lt;&gt;"&amp;"N")/$C52,SUMIFS(Tree!$R:$R,Tree!$A:$A,Species_rpt!$B52,Tree!$D:$D,Species_rpt!W$3,Tree!$F:$F,"L",Tree!$K:$K,"&lt;&gt;"&amp;"N")/$C52))</f>
        <v/>
      </c>
      <c r="X52" s="297" t="str">
        <f>IF(OR($C52="",X$3=""),"",IF(X$3="Snag",SUMIFS(Tree!$R:$R,Tree!$A:$A,Species_rpt!$B52,Tree!$F:$F,"D",Tree!$K:$K,"&lt;&gt;"&amp;"N")/$C52,SUMIFS(Tree!$R:$R,Tree!$A:$A,Species_rpt!$B52,Tree!$D:$D,Species_rpt!X$3,Tree!$F:$F,"L",Tree!$K:$K,"&lt;&gt;"&amp;"N")/$C52))</f>
        <v/>
      </c>
      <c r="Y52" s="297" t="str">
        <f>IF(OR($C52="",Y$3=""),"",IF(Y$3="Snag",SUMIFS(Tree!$R:$R,Tree!$A:$A,Species_rpt!$B52,Tree!$F:$F,"D",Tree!$K:$K,"&lt;&gt;"&amp;"N")/$C52,SUMIFS(Tree!$R:$R,Tree!$A:$A,Species_rpt!$B52,Tree!$D:$D,Species_rpt!Y$3,Tree!$F:$F,"L",Tree!$K:$K,"&lt;&gt;"&amp;"N")/$C52))</f>
        <v/>
      </c>
      <c r="Z52" s="297" t="str">
        <f>IF(OR($C52="",Z$3=""),"",IF(Z$3="Snag",SUMIFS(Tree!$R:$R,Tree!$A:$A,Species_rpt!$B52,Tree!$F:$F,"D",Tree!$K:$K,"&lt;&gt;"&amp;"N")/$C52,SUMIFS(Tree!$R:$R,Tree!$A:$A,Species_rpt!$B52,Tree!$D:$D,Species_rpt!Z$3,Tree!$F:$F,"L",Tree!$K:$K,"&lt;&gt;"&amp;"N")/$C52))</f>
        <v/>
      </c>
      <c r="AA52" s="297" t="str">
        <f>IF(OR($C52="",AA$3=""),"",IF(AA$3="Snag",SUMIFS(Tree!$R:$R,Tree!$A:$A,Species_rpt!$B52,Tree!$F:$F,"D",Tree!$K:$K,"&lt;&gt;"&amp;"N")/$C52,SUMIFS(Tree!$R:$R,Tree!$A:$A,Species_rpt!$B52,Tree!$D:$D,Species_rpt!AA$3,Tree!$F:$F,"L",Tree!$K:$K,"&lt;&gt;"&amp;"N")/$C52))</f>
        <v/>
      </c>
      <c r="AB52" s="297" t="str">
        <f>IF(OR($C52="",AB$3=""),"",IF(AB$3="Snag",SUMIFS(Tree!$R:$R,Tree!$A:$A,Species_rpt!$B52,Tree!$F:$F,"D",Tree!$K:$K,"&lt;&gt;"&amp;"N")/$C52,SUMIFS(Tree!$R:$R,Tree!$A:$A,Species_rpt!$B52,Tree!$D:$D,Species_rpt!AB$3,Tree!$F:$F,"L",Tree!$K:$K,"&lt;&gt;"&amp;"N")/$C52))</f>
        <v/>
      </c>
      <c r="AC52" s="298" t="str">
        <f t="shared" si="6"/>
        <v/>
      </c>
    </row>
    <row r="53" spans="2:29" x14ac:dyDescent="0.25">
      <c r="B53" s="201" t="str">
        <f>IF(Stand!C20="","",Stand!C20)</f>
        <v/>
      </c>
      <c r="C53" s="154" t="str">
        <f>IF(B21="","",VLOOKUP(B21,Stand!C:H,6,0))</f>
        <v/>
      </c>
      <c r="D53" s="28"/>
      <c r="E53" s="152" t="str">
        <f>IF(OR($C53="",E$3=""),"",IF(E$3="Snag",SUMIFS(Tree!$O:$O,Tree!$A:$A,Species_rpt!$B53,Tree!$F:$F,"D",Tree!$K:$K,"&lt;&gt;"&amp;"N")/$C53,SUMIFS(Tree!$O:$O,Tree!$A:$A,Species_rpt!$B53,Tree!$D:$D,Species_rpt!E$3,Tree!$F:$F,"L",Tree!$K:$K,"&lt;&gt;"&amp;"N")/$C53))</f>
        <v/>
      </c>
      <c r="F53" s="297" t="str">
        <f>IF(OR($C53="",F$3=""),"",IF(F$3="Snag",SUMIFS(Tree!$O:$O,Tree!$A:$A,Species_rpt!$B53,Tree!$F:$F,"D",Tree!$K:$K,"&lt;&gt;"&amp;"N")/$C53,SUMIFS(Tree!$O:$O,Tree!$A:$A,Species_rpt!$B53,Tree!$D:$D,Species_rpt!F$3,Tree!$F:$F,"L",Tree!$K:$K,"&lt;&gt;"&amp;"N")/$C53))</f>
        <v/>
      </c>
      <c r="G53" s="297" t="str">
        <f>IF(OR($C53="",G$3=""),"",IF(G$3="Snag",SUMIFS(Tree!$O:$O,Tree!$A:$A,Species_rpt!$B53,Tree!$F:$F,"D",Tree!$K:$K,"&lt;&gt;"&amp;"N")/$C53,SUMIFS(Tree!$O:$O,Tree!$A:$A,Species_rpt!$B53,Tree!$D:$D,Species_rpt!G$3,Tree!$F:$F,"L",Tree!$K:$K,"&lt;&gt;"&amp;"N")/$C53))</f>
        <v/>
      </c>
      <c r="H53" s="297" t="str">
        <f>IF(OR($C53="",H$3=""),"",IF(H$3="Snag",SUMIFS(Tree!$O:$O,Tree!$A:$A,Species_rpt!$B53,Tree!$F:$F,"D",Tree!$K:$K,"&lt;&gt;"&amp;"N")/$C53,SUMIFS(Tree!$O:$O,Tree!$A:$A,Species_rpt!$B53,Tree!$D:$D,Species_rpt!H$3,Tree!$F:$F,"L",Tree!$K:$K,"&lt;&gt;"&amp;"N")/$C53))</f>
        <v/>
      </c>
      <c r="I53" s="297" t="str">
        <f>IF(OR($C53="",I$3=""),"",IF(I$3="Snag",SUMIFS(Tree!$O:$O,Tree!$A:$A,Species_rpt!$B53,Tree!$F:$F,"D",Tree!$K:$K,"&lt;&gt;"&amp;"N")/$C53,SUMIFS(Tree!$O:$O,Tree!$A:$A,Species_rpt!$B53,Tree!$D:$D,Species_rpt!I$3,Tree!$F:$F,"L",Tree!$K:$K,"&lt;&gt;"&amp;"N")/$C53))</f>
        <v/>
      </c>
      <c r="J53" s="297" t="str">
        <f>IF(OR($C53="",J$3=""),"",IF(J$3="Snag",SUMIFS(Tree!$O:$O,Tree!$A:$A,Species_rpt!$B53,Tree!$F:$F,"D",Tree!$K:$K,"&lt;&gt;"&amp;"N")/$C53,SUMIFS(Tree!$O:$O,Tree!$A:$A,Species_rpt!$B53,Tree!$D:$D,Species_rpt!J$3,Tree!$F:$F,"L",Tree!$K:$K,"&lt;&gt;"&amp;"N")/$C53))</f>
        <v/>
      </c>
      <c r="K53" s="297" t="str">
        <f>IF(OR($C53="",K$3=""),"",IF(K$3="Snag",SUMIFS(Tree!$O:$O,Tree!$A:$A,Species_rpt!$B53,Tree!$F:$F,"D",Tree!$K:$K,"&lt;&gt;"&amp;"N")/$C53,SUMIFS(Tree!$O:$O,Tree!$A:$A,Species_rpt!$B53,Tree!$D:$D,Species_rpt!K$3,Tree!$F:$F,"L",Tree!$K:$K,"&lt;&gt;"&amp;"N")/$C53))</f>
        <v/>
      </c>
      <c r="L53" s="297" t="str">
        <f>IF(OR($C53="",L$3=""),"",IF(L$3="Snag",SUMIFS(Tree!$O:$O,Tree!$A:$A,Species_rpt!$B53,Tree!$F:$F,"D",Tree!$K:$K,"&lt;&gt;"&amp;"N")/$C53,SUMIFS(Tree!$O:$O,Tree!$A:$A,Species_rpt!$B53,Tree!$D:$D,Species_rpt!L$3,Tree!$F:$F,"L",Tree!$K:$K,"&lt;&gt;"&amp;"N")/$C53))</f>
        <v/>
      </c>
      <c r="M53" s="297" t="str">
        <f>IF(OR($C53="",M$3=""),"",IF(M$3="Snag",SUMIFS(Tree!$O:$O,Tree!$A:$A,Species_rpt!$B53,Tree!$F:$F,"D",Tree!$K:$K,"&lt;&gt;"&amp;"N")/$C53,SUMIFS(Tree!$O:$O,Tree!$A:$A,Species_rpt!$B53,Tree!$D:$D,Species_rpt!M$3,Tree!$F:$F,"L",Tree!$K:$K,"&lt;&gt;"&amp;"N")/$C53))</f>
        <v/>
      </c>
      <c r="N53" s="297" t="str">
        <f>IF(OR($C53="",N$3=""),"",IF(N$3="Snag",SUMIFS(Tree!$O:$O,Tree!$A:$A,Species_rpt!$B53,Tree!$F:$F,"D",Tree!$K:$K,"&lt;&gt;"&amp;"N")/$C53,SUMIFS(Tree!$O:$O,Tree!$A:$A,Species_rpt!$B53,Tree!$D:$D,Species_rpt!N$3,Tree!$F:$F,"L",Tree!$K:$K,"&lt;&gt;"&amp;"N")/$C53))</f>
        <v/>
      </c>
      <c r="O53" s="297" t="str">
        <f>IF(OR($C53="",O$3=""),"",IF(O$3="Snag",SUMIFS(Tree!$O:$O,Tree!$A:$A,Species_rpt!$B53,Tree!$F:$F,"D",Tree!$K:$K,"&lt;&gt;"&amp;"N")/$C53,SUMIFS(Tree!$O:$O,Tree!$A:$A,Species_rpt!$B53,Tree!$D:$D,Species_rpt!O$3,Tree!$F:$F,"L",Tree!$K:$K,"&lt;&gt;"&amp;"N")/$C53))</f>
        <v/>
      </c>
      <c r="P53" s="298" t="str">
        <f t="shared" si="5"/>
        <v/>
      </c>
      <c r="Q53" s="83"/>
      <c r="R53" s="152" t="str">
        <f>IF(OR($C53="",R$3=""),"",IF(R$3="Snag",SUMIFS(Tree!$R:$R,Tree!$A:$A,Species_rpt!$B53,Tree!$F:$F,"D",Tree!$K:$K,"&lt;&gt;"&amp;"N")/$C53,SUMIFS(Tree!$R:$R,Tree!$A:$A,Species_rpt!$B53,Tree!$D:$D,Species_rpt!R$3,Tree!$F:$F,"L",Tree!$K:$K,"&lt;&gt;"&amp;"N")/$C53))</f>
        <v/>
      </c>
      <c r="S53" s="297" t="str">
        <f>IF(OR($C53="",S$3=""),"",IF(S$3="Snag",SUMIFS(Tree!$R:$R,Tree!$A:$A,Species_rpt!$B53,Tree!$F:$F,"D",Tree!$K:$K,"&lt;&gt;"&amp;"N")/$C53,SUMIFS(Tree!$R:$R,Tree!$A:$A,Species_rpt!$B53,Tree!$D:$D,Species_rpt!S$3,Tree!$F:$F,"L",Tree!$K:$K,"&lt;&gt;"&amp;"N")/$C53))</f>
        <v/>
      </c>
      <c r="T53" s="297" t="str">
        <f>IF(OR($C53="",T$3=""),"",IF(T$3="Snag",SUMIFS(Tree!$R:$R,Tree!$A:$A,Species_rpt!$B53,Tree!$F:$F,"D",Tree!$K:$K,"&lt;&gt;"&amp;"N")/$C53,SUMIFS(Tree!$R:$R,Tree!$A:$A,Species_rpt!$B53,Tree!$D:$D,Species_rpt!T$3,Tree!$F:$F,"L",Tree!$K:$K,"&lt;&gt;"&amp;"N")/$C53))</f>
        <v/>
      </c>
      <c r="U53" s="297" t="str">
        <f>IF(OR($C53="",U$3=""),"",IF(U$3="Snag",SUMIFS(Tree!$R:$R,Tree!$A:$A,Species_rpt!$B53,Tree!$F:$F,"D",Tree!$K:$K,"&lt;&gt;"&amp;"N")/$C53,SUMIFS(Tree!$R:$R,Tree!$A:$A,Species_rpt!$B53,Tree!$D:$D,Species_rpt!U$3,Tree!$F:$F,"L",Tree!$K:$K,"&lt;&gt;"&amp;"N")/$C53))</f>
        <v/>
      </c>
      <c r="V53" s="297" t="str">
        <f>IF(OR($C53="",V$3=""),"",IF(V$3="Snag",SUMIFS(Tree!$R:$R,Tree!$A:$A,Species_rpt!$B53,Tree!$F:$F,"D",Tree!$K:$K,"&lt;&gt;"&amp;"N")/$C53,SUMIFS(Tree!$R:$R,Tree!$A:$A,Species_rpt!$B53,Tree!$D:$D,Species_rpt!V$3,Tree!$F:$F,"L",Tree!$K:$K,"&lt;&gt;"&amp;"N")/$C53))</f>
        <v/>
      </c>
      <c r="W53" s="297" t="str">
        <f>IF(OR($C53="",W$3=""),"",IF(W$3="Snag",SUMIFS(Tree!$R:$R,Tree!$A:$A,Species_rpt!$B53,Tree!$F:$F,"D",Tree!$K:$K,"&lt;&gt;"&amp;"N")/$C53,SUMIFS(Tree!$R:$R,Tree!$A:$A,Species_rpt!$B53,Tree!$D:$D,Species_rpt!W$3,Tree!$F:$F,"L",Tree!$K:$K,"&lt;&gt;"&amp;"N")/$C53))</f>
        <v/>
      </c>
      <c r="X53" s="297" t="str">
        <f>IF(OR($C53="",X$3=""),"",IF(X$3="Snag",SUMIFS(Tree!$R:$R,Tree!$A:$A,Species_rpt!$B53,Tree!$F:$F,"D",Tree!$K:$K,"&lt;&gt;"&amp;"N")/$C53,SUMIFS(Tree!$R:$R,Tree!$A:$A,Species_rpt!$B53,Tree!$D:$D,Species_rpt!X$3,Tree!$F:$F,"L",Tree!$K:$K,"&lt;&gt;"&amp;"N")/$C53))</f>
        <v/>
      </c>
      <c r="Y53" s="297" t="str">
        <f>IF(OR($C53="",Y$3=""),"",IF(Y$3="Snag",SUMIFS(Tree!$R:$R,Tree!$A:$A,Species_rpt!$B53,Tree!$F:$F,"D",Tree!$K:$K,"&lt;&gt;"&amp;"N")/$C53,SUMIFS(Tree!$R:$R,Tree!$A:$A,Species_rpt!$B53,Tree!$D:$D,Species_rpt!Y$3,Tree!$F:$F,"L",Tree!$K:$K,"&lt;&gt;"&amp;"N")/$C53))</f>
        <v/>
      </c>
      <c r="Z53" s="297" t="str">
        <f>IF(OR($C53="",Z$3=""),"",IF(Z$3="Snag",SUMIFS(Tree!$R:$R,Tree!$A:$A,Species_rpt!$B53,Tree!$F:$F,"D",Tree!$K:$K,"&lt;&gt;"&amp;"N")/$C53,SUMIFS(Tree!$R:$R,Tree!$A:$A,Species_rpt!$B53,Tree!$D:$D,Species_rpt!Z$3,Tree!$F:$F,"L",Tree!$K:$K,"&lt;&gt;"&amp;"N")/$C53))</f>
        <v/>
      </c>
      <c r="AA53" s="297" t="str">
        <f>IF(OR($C53="",AA$3=""),"",IF(AA$3="Snag",SUMIFS(Tree!$R:$R,Tree!$A:$A,Species_rpt!$B53,Tree!$F:$F,"D",Tree!$K:$K,"&lt;&gt;"&amp;"N")/$C53,SUMIFS(Tree!$R:$R,Tree!$A:$A,Species_rpt!$B53,Tree!$D:$D,Species_rpt!AA$3,Tree!$F:$F,"L",Tree!$K:$K,"&lt;&gt;"&amp;"N")/$C53))</f>
        <v/>
      </c>
      <c r="AB53" s="297" t="str">
        <f>IF(OR($C53="",AB$3=""),"",IF(AB$3="Snag",SUMIFS(Tree!$R:$R,Tree!$A:$A,Species_rpt!$B53,Tree!$F:$F,"D",Tree!$K:$K,"&lt;&gt;"&amp;"N")/$C53,SUMIFS(Tree!$R:$R,Tree!$A:$A,Species_rpt!$B53,Tree!$D:$D,Species_rpt!AB$3,Tree!$F:$F,"L",Tree!$K:$K,"&lt;&gt;"&amp;"N")/$C53))</f>
        <v/>
      </c>
      <c r="AC53" s="298" t="str">
        <f t="shared" si="6"/>
        <v/>
      </c>
    </row>
    <row r="54" spans="2:29" x14ac:dyDescent="0.25">
      <c r="B54" s="201" t="str">
        <f>IF(Stand!C21="","",Stand!C21)</f>
        <v/>
      </c>
      <c r="C54" s="154" t="str">
        <f>IF(B22="","",VLOOKUP(B22,Stand!C:H,6,0))</f>
        <v/>
      </c>
      <c r="D54" s="28"/>
      <c r="E54" s="152" t="str">
        <f>IF(OR($C54="",E$3=""),"",IF(E$3="Snag",SUMIFS(Tree!$O:$O,Tree!$A:$A,Species_rpt!$B54,Tree!$F:$F,"D",Tree!$K:$K,"&lt;&gt;"&amp;"N")/$C54,SUMIFS(Tree!$O:$O,Tree!$A:$A,Species_rpt!$B54,Tree!$D:$D,Species_rpt!E$3,Tree!$F:$F,"L",Tree!$K:$K,"&lt;&gt;"&amp;"N")/$C54))</f>
        <v/>
      </c>
      <c r="F54" s="297" t="str">
        <f>IF(OR($C54="",F$3=""),"",IF(F$3="Snag",SUMIFS(Tree!$O:$O,Tree!$A:$A,Species_rpt!$B54,Tree!$F:$F,"D",Tree!$K:$K,"&lt;&gt;"&amp;"N")/$C54,SUMIFS(Tree!$O:$O,Tree!$A:$A,Species_rpt!$B54,Tree!$D:$D,Species_rpt!F$3,Tree!$F:$F,"L",Tree!$K:$K,"&lt;&gt;"&amp;"N")/$C54))</f>
        <v/>
      </c>
      <c r="G54" s="297" t="str">
        <f>IF(OR($C54="",G$3=""),"",IF(G$3="Snag",SUMIFS(Tree!$O:$O,Tree!$A:$A,Species_rpt!$B54,Tree!$F:$F,"D",Tree!$K:$K,"&lt;&gt;"&amp;"N")/$C54,SUMIFS(Tree!$O:$O,Tree!$A:$A,Species_rpt!$B54,Tree!$D:$D,Species_rpt!G$3,Tree!$F:$F,"L",Tree!$K:$K,"&lt;&gt;"&amp;"N")/$C54))</f>
        <v/>
      </c>
      <c r="H54" s="297" t="str">
        <f>IF(OR($C54="",H$3=""),"",IF(H$3="Snag",SUMIFS(Tree!$O:$O,Tree!$A:$A,Species_rpt!$B54,Tree!$F:$F,"D",Tree!$K:$K,"&lt;&gt;"&amp;"N")/$C54,SUMIFS(Tree!$O:$O,Tree!$A:$A,Species_rpt!$B54,Tree!$D:$D,Species_rpt!H$3,Tree!$F:$F,"L",Tree!$K:$K,"&lt;&gt;"&amp;"N")/$C54))</f>
        <v/>
      </c>
      <c r="I54" s="297" t="str">
        <f>IF(OR($C54="",I$3=""),"",IF(I$3="Snag",SUMIFS(Tree!$O:$O,Tree!$A:$A,Species_rpt!$B54,Tree!$F:$F,"D",Tree!$K:$K,"&lt;&gt;"&amp;"N")/$C54,SUMIFS(Tree!$O:$O,Tree!$A:$A,Species_rpt!$B54,Tree!$D:$D,Species_rpt!I$3,Tree!$F:$F,"L",Tree!$K:$K,"&lt;&gt;"&amp;"N")/$C54))</f>
        <v/>
      </c>
      <c r="J54" s="297" t="str">
        <f>IF(OR($C54="",J$3=""),"",IF(J$3="Snag",SUMIFS(Tree!$O:$O,Tree!$A:$A,Species_rpt!$B54,Tree!$F:$F,"D",Tree!$K:$K,"&lt;&gt;"&amp;"N")/$C54,SUMIFS(Tree!$O:$O,Tree!$A:$A,Species_rpt!$B54,Tree!$D:$D,Species_rpt!J$3,Tree!$F:$F,"L",Tree!$K:$K,"&lt;&gt;"&amp;"N")/$C54))</f>
        <v/>
      </c>
      <c r="K54" s="297" t="str">
        <f>IF(OR($C54="",K$3=""),"",IF(K$3="Snag",SUMIFS(Tree!$O:$O,Tree!$A:$A,Species_rpt!$B54,Tree!$F:$F,"D",Tree!$K:$K,"&lt;&gt;"&amp;"N")/$C54,SUMIFS(Tree!$O:$O,Tree!$A:$A,Species_rpt!$B54,Tree!$D:$D,Species_rpt!K$3,Tree!$F:$F,"L",Tree!$K:$K,"&lt;&gt;"&amp;"N")/$C54))</f>
        <v/>
      </c>
      <c r="L54" s="297" t="str">
        <f>IF(OR($C54="",L$3=""),"",IF(L$3="Snag",SUMIFS(Tree!$O:$O,Tree!$A:$A,Species_rpt!$B54,Tree!$F:$F,"D",Tree!$K:$K,"&lt;&gt;"&amp;"N")/$C54,SUMIFS(Tree!$O:$O,Tree!$A:$A,Species_rpt!$B54,Tree!$D:$D,Species_rpt!L$3,Tree!$F:$F,"L",Tree!$K:$K,"&lt;&gt;"&amp;"N")/$C54))</f>
        <v/>
      </c>
      <c r="M54" s="297" t="str">
        <f>IF(OR($C54="",M$3=""),"",IF(M$3="Snag",SUMIFS(Tree!$O:$O,Tree!$A:$A,Species_rpt!$B54,Tree!$F:$F,"D",Tree!$K:$K,"&lt;&gt;"&amp;"N")/$C54,SUMIFS(Tree!$O:$O,Tree!$A:$A,Species_rpt!$B54,Tree!$D:$D,Species_rpt!M$3,Tree!$F:$F,"L",Tree!$K:$K,"&lt;&gt;"&amp;"N")/$C54))</f>
        <v/>
      </c>
      <c r="N54" s="297" t="str">
        <f>IF(OR($C54="",N$3=""),"",IF(N$3="Snag",SUMIFS(Tree!$O:$O,Tree!$A:$A,Species_rpt!$B54,Tree!$F:$F,"D",Tree!$K:$K,"&lt;&gt;"&amp;"N")/$C54,SUMIFS(Tree!$O:$O,Tree!$A:$A,Species_rpt!$B54,Tree!$D:$D,Species_rpt!N$3,Tree!$F:$F,"L",Tree!$K:$K,"&lt;&gt;"&amp;"N")/$C54))</f>
        <v/>
      </c>
      <c r="O54" s="297" t="str">
        <f>IF(OR($C54="",O$3=""),"",IF(O$3="Snag",SUMIFS(Tree!$O:$O,Tree!$A:$A,Species_rpt!$B54,Tree!$F:$F,"D",Tree!$K:$K,"&lt;&gt;"&amp;"N")/$C54,SUMIFS(Tree!$O:$O,Tree!$A:$A,Species_rpt!$B54,Tree!$D:$D,Species_rpt!O$3,Tree!$F:$F,"L",Tree!$K:$K,"&lt;&gt;"&amp;"N")/$C54))</f>
        <v/>
      </c>
      <c r="P54" s="298" t="str">
        <f t="shared" si="5"/>
        <v/>
      </c>
      <c r="Q54" s="83"/>
      <c r="R54" s="152" t="str">
        <f>IF(OR($C54="",R$3=""),"",IF(R$3="Snag",SUMIFS(Tree!$R:$R,Tree!$A:$A,Species_rpt!$B54,Tree!$F:$F,"D",Tree!$K:$K,"&lt;&gt;"&amp;"N")/$C54,SUMIFS(Tree!$R:$R,Tree!$A:$A,Species_rpt!$B54,Tree!$D:$D,Species_rpt!R$3,Tree!$F:$F,"L",Tree!$K:$K,"&lt;&gt;"&amp;"N")/$C54))</f>
        <v/>
      </c>
      <c r="S54" s="297" t="str">
        <f>IF(OR($C54="",S$3=""),"",IF(S$3="Snag",SUMIFS(Tree!$R:$R,Tree!$A:$A,Species_rpt!$B54,Tree!$F:$F,"D",Tree!$K:$K,"&lt;&gt;"&amp;"N")/$C54,SUMIFS(Tree!$R:$R,Tree!$A:$A,Species_rpt!$B54,Tree!$D:$D,Species_rpt!S$3,Tree!$F:$F,"L",Tree!$K:$K,"&lt;&gt;"&amp;"N")/$C54))</f>
        <v/>
      </c>
      <c r="T54" s="297" t="str">
        <f>IF(OR($C54="",T$3=""),"",IF(T$3="Snag",SUMIFS(Tree!$R:$R,Tree!$A:$A,Species_rpt!$B54,Tree!$F:$F,"D",Tree!$K:$K,"&lt;&gt;"&amp;"N")/$C54,SUMIFS(Tree!$R:$R,Tree!$A:$A,Species_rpt!$B54,Tree!$D:$D,Species_rpt!T$3,Tree!$F:$F,"L",Tree!$K:$K,"&lt;&gt;"&amp;"N")/$C54))</f>
        <v/>
      </c>
      <c r="U54" s="297" t="str">
        <f>IF(OR($C54="",U$3=""),"",IF(U$3="Snag",SUMIFS(Tree!$R:$R,Tree!$A:$A,Species_rpt!$B54,Tree!$F:$F,"D",Tree!$K:$K,"&lt;&gt;"&amp;"N")/$C54,SUMIFS(Tree!$R:$R,Tree!$A:$A,Species_rpt!$B54,Tree!$D:$D,Species_rpt!U$3,Tree!$F:$F,"L",Tree!$K:$K,"&lt;&gt;"&amp;"N")/$C54))</f>
        <v/>
      </c>
      <c r="V54" s="297" t="str">
        <f>IF(OR($C54="",V$3=""),"",IF(V$3="Snag",SUMIFS(Tree!$R:$R,Tree!$A:$A,Species_rpt!$B54,Tree!$F:$F,"D",Tree!$K:$K,"&lt;&gt;"&amp;"N")/$C54,SUMIFS(Tree!$R:$R,Tree!$A:$A,Species_rpt!$B54,Tree!$D:$D,Species_rpt!V$3,Tree!$F:$F,"L",Tree!$K:$K,"&lt;&gt;"&amp;"N")/$C54))</f>
        <v/>
      </c>
      <c r="W54" s="297" t="str">
        <f>IF(OR($C54="",W$3=""),"",IF(W$3="Snag",SUMIFS(Tree!$R:$R,Tree!$A:$A,Species_rpt!$B54,Tree!$F:$F,"D",Tree!$K:$K,"&lt;&gt;"&amp;"N")/$C54,SUMIFS(Tree!$R:$R,Tree!$A:$A,Species_rpt!$B54,Tree!$D:$D,Species_rpt!W$3,Tree!$F:$F,"L",Tree!$K:$K,"&lt;&gt;"&amp;"N")/$C54))</f>
        <v/>
      </c>
      <c r="X54" s="297" t="str">
        <f>IF(OR($C54="",X$3=""),"",IF(X$3="Snag",SUMIFS(Tree!$R:$R,Tree!$A:$A,Species_rpt!$B54,Tree!$F:$F,"D",Tree!$K:$K,"&lt;&gt;"&amp;"N")/$C54,SUMIFS(Tree!$R:$R,Tree!$A:$A,Species_rpt!$B54,Tree!$D:$D,Species_rpt!X$3,Tree!$F:$F,"L",Tree!$K:$K,"&lt;&gt;"&amp;"N")/$C54))</f>
        <v/>
      </c>
      <c r="Y54" s="297" t="str">
        <f>IF(OR($C54="",Y$3=""),"",IF(Y$3="Snag",SUMIFS(Tree!$R:$R,Tree!$A:$A,Species_rpt!$B54,Tree!$F:$F,"D",Tree!$K:$K,"&lt;&gt;"&amp;"N")/$C54,SUMIFS(Tree!$R:$R,Tree!$A:$A,Species_rpt!$B54,Tree!$D:$D,Species_rpt!Y$3,Tree!$F:$F,"L",Tree!$K:$K,"&lt;&gt;"&amp;"N")/$C54))</f>
        <v/>
      </c>
      <c r="Z54" s="297" t="str">
        <f>IF(OR($C54="",Z$3=""),"",IF(Z$3="Snag",SUMIFS(Tree!$R:$R,Tree!$A:$A,Species_rpt!$B54,Tree!$F:$F,"D",Tree!$K:$K,"&lt;&gt;"&amp;"N")/$C54,SUMIFS(Tree!$R:$R,Tree!$A:$A,Species_rpt!$B54,Tree!$D:$D,Species_rpt!Z$3,Tree!$F:$F,"L",Tree!$K:$K,"&lt;&gt;"&amp;"N")/$C54))</f>
        <v/>
      </c>
      <c r="AA54" s="297" t="str">
        <f>IF(OR($C54="",AA$3=""),"",IF(AA$3="Snag",SUMIFS(Tree!$R:$R,Tree!$A:$A,Species_rpt!$B54,Tree!$F:$F,"D",Tree!$K:$K,"&lt;&gt;"&amp;"N")/$C54,SUMIFS(Tree!$R:$R,Tree!$A:$A,Species_rpt!$B54,Tree!$D:$D,Species_rpt!AA$3,Tree!$F:$F,"L",Tree!$K:$K,"&lt;&gt;"&amp;"N")/$C54))</f>
        <v/>
      </c>
      <c r="AB54" s="297" t="str">
        <f>IF(OR($C54="",AB$3=""),"",IF(AB$3="Snag",SUMIFS(Tree!$R:$R,Tree!$A:$A,Species_rpt!$B54,Tree!$F:$F,"D",Tree!$K:$K,"&lt;&gt;"&amp;"N")/$C54,SUMIFS(Tree!$R:$R,Tree!$A:$A,Species_rpt!$B54,Tree!$D:$D,Species_rpt!AB$3,Tree!$F:$F,"L",Tree!$K:$K,"&lt;&gt;"&amp;"N")/$C54))</f>
        <v/>
      </c>
      <c r="AC54" s="298" t="str">
        <f t="shared" si="6"/>
        <v/>
      </c>
    </row>
    <row r="55" spans="2:29" x14ac:dyDescent="0.25">
      <c r="B55" s="201" t="str">
        <f>IF(Stand!C22="","",Stand!C22)</f>
        <v/>
      </c>
      <c r="C55" s="154" t="str">
        <f>IF(B23="","",VLOOKUP(B23,Stand!C:H,6,0))</f>
        <v/>
      </c>
      <c r="D55" s="28"/>
      <c r="E55" s="152" t="str">
        <f>IF(OR($C55="",E$3=""),"",IF(E$3="Snag",SUMIFS(Tree!$O:$O,Tree!$A:$A,Species_rpt!$B55,Tree!$F:$F,"D",Tree!$K:$K,"&lt;&gt;"&amp;"N")/$C55,SUMIFS(Tree!$O:$O,Tree!$A:$A,Species_rpt!$B55,Tree!$D:$D,Species_rpt!E$3,Tree!$F:$F,"L",Tree!$K:$K,"&lt;&gt;"&amp;"N")/$C55))</f>
        <v/>
      </c>
      <c r="F55" s="297" t="str">
        <f>IF(OR($C55="",F$3=""),"",IF(F$3="Snag",SUMIFS(Tree!$O:$O,Tree!$A:$A,Species_rpt!$B55,Tree!$F:$F,"D",Tree!$K:$K,"&lt;&gt;"&amp;"N")/$C55,SUMIFS(Tree!$O:$O,Tree!$A:$A,Species_rpt!$B55,Tree!$D:$D,Species_rpt!F$3,Tree!$F:$F,"L",Tree!$K:$K,"&lt;&gt;"&amp;"N")/$C55))</f>
        <v/>
      </c>
      <c r="G55" s="297" t="str">
        <f>IF(OR($C55="",G$3=""),"",IF(G$3="Snag",SUMIFS(Tree!$O:$O,Tree!$A:$A,Species_rpt!$B55,Tree!$F:$F,"D",Tree!$K:$K,"&lt;&gt;"&amp;"N")/$C55,SUMIFS(Tree!$O:$O,Tree!$A:$A,Species_rpt!$B55,Tree!$D:$D,Species_rpt!G$3,Tree!$F:$F,"L",Tree!$K:$K,"&lt;&gt;"&amp;"N")/$C55))</f>
        <v/>
      </c>
      <c r="H55" s="297" t="str">
        <f>IF(OR($C55="",H$3=""),"",IF(H$3="Snag",SUMIFS(Tree!$O:$O,Tree!$A:$A,Species_rpt!$B55,Tree!$F:$F,"D",Tree!$K:$K,"&lt;&gt;"&amp;"N")/$C55,SUMIFS(Tree!$O:$O,Tree!$A:$A,Species_rpt!$B55,Tree!$D:$D,Species_rpt!H$3,Tree!$F:$F,"L",Tree!$K:$K,"&lt;&gt;"&amp;"N")/$C55))</f>
        <v/>
      </c>
      <c r="I55" s="297" t="str">
        <f>IF(OR($C55="",I$3=""),"",IF(I$3="Snag",SUMIFS(Tree!$O:$O,Tree!$A:$A,Species_rpt!$B55,Tree!$F:$F,"D",Tree!$K:$K,"&lt;&gt;"&amp;"N")/$C55,SUMIFS(Tree!$O:$O,Tree!$A:$A,Species_rpt!$B55,Tree!$D:$D,Species_rpt!I$3,Tree!$F:$F,"L",Tree!$K:$K,"&lt;&gt;"&amp;"N")/$C55))</f>
        <v/>
      </c>
      <c r="J55" s="297" t="str">
        <f>IF(OR($C55="",J$3=""),"",IF(J$3="Snag",SUMIFS(Tree!$O:$O,Tree!$A:$A,Species_rpt!$B55,Tree!$F:$F,"D",Tree!$K:$K,"&lt;&gt;"&amp;"N")/$C55,SUMIFS(Tree!$O:$O,Tree!$A:$A,Species_rpt!$B55,Tree!$D:$D,Species_rpt!J$3,Tree!$F:$F,"L",Tree!$K:$K,"&lt;&gt;"&amp;"N")/$C55))</f>
        <v/>
      </c>
      <c r="K55" s="297" t="str">
        <f>IF(OR($C55="",K$3=""),"",IF(K$3="Snag",SUMIFS(Tree!$O:$O,Tree!$A:$A,Species_rpt!$B55,Tree!$F:$F,"D",Tree!$K:$K,"&lt;&gt;"&amp;"N")/$C55,SUMIFS(Tree!$O:$O,Tree!$A:$A,Species_rpt!$B55,Tree!$D:$D,Species_rpt!K$3,Tree!$F:$F,"L",Tree!$K:$K,"&lt;&gt;"&amp;"N")/$C55))</f>
        <v/>
      </c>
      <c r="L55" s="297" t="str">
        <f>IF(OR($C55="",L$3=""),"",IF(L$3="Snag",SUMIFS(Tree!$O:$O,Tree!$A:$A,Species_rpt!$B55,Tree!$F:$F,"D",Tree!$K:$K,"&lt;&gt;"&amp;"N")/$C55,SUMIFS(Tree!$O:$O,Tree!$A:$A,Species_rpt!$B55,Tree!$D:$D,Species_rpt!L$3,Tree!$F:$F,"L",Tree!$K:$K,"&lt;&gt;"&amp;"N")/$C55))</f>
        <v/>
      </c>
      <c r="M55" s="297" t="str">
        <f>IF(OR($C55="",M$3=""),"",IF(M$3="Snag",SUMIFS(Tree!$O:$O,Tree!$A:$A,Species_rpt!$B55,Tree!$F:$F,"D",Tree!$K:$K,"&lt;&gt;"&amp;"N")/$C55,SUMIFS(Tree!$O:$O,Tree!$A:$A,Species_rpt!$B55,Tree!$D:$D,Species_rpt!M$3,Tree!$F:$F,"L",Tree!$K:$K,"&lt;&gt;"&amp;"N")/$C55))</f>
        <v/>
      </c>
      <c r="N55" s="297" t="str">
        <f>IF(OR($C55="",N$3=""),"",IF(N$3="Snag",SUMIFS(Tree!$O:$O,Tree!$A:$A,Species_rpt!$B55,Tree!$F:$F,"D",Tree!$K:$K,"&lt;&gt;"&amp;"N")/$C55,SUMIFS(Tree!$O:$O,Tree!$A:$A,Species_rpt!$B55,Tree!$D:$D,Species_rpt!N$3,Tree!$F:$F,"L",Tree!$K:$K,"&lt;&gt;"&amp;"N")/$C55))</f>
        <v/>
      </c>
      <c r="O55" s="297" t="str">
        <f>IF(OR($C55="",O$3=""),"",IF(O$3="Snag",SUMIFS(Tree!$O:$O,Tree!$A:$A,Species_rpt!$B55,Tree!$F:$F,"D",Tree!$K:$K,"&lt;&gt;"&amp;"N")/$C55,SUMIFS(Tree!$O:$O,Tree!$A:$A,Species_rpt!$B55,Tree!$D:$D,Species_rpt!O$3,Tree!$F:$F,"L",Tree!$K:$K,"&lt;&gt;"&amp;"N")/$C55))</f>
        <v/>
      </c>
      <c r="P55" s="298" t="str">
        <f t="shared" si="5"/>
        <v/>
      </c>
      <c r="Q55" s="83"/>
      <c r="R55" s="152" t="str">
        <f>IF(OR($C55="",R$3=""),"",IF(R$3="Snag",SUMIFS(Tree!$R:$R,Tree!$A:$A,Species_rpt!$B55,Tree!$F:$F,"D",Tree!$K:$K,"&lt;&gt;"&amp;"N")/$C55,SUMIFS(Tree!$R:$R,Tree!$A:$A,Species_rpt!$B55,Tree!$D:$D,Species_rpt!R$3,Tree!$F:$F,"L",Tree!$K:$K,"&lt;&gt;"&amp;"N")/$C55))</f>
        <v/>
      </c>
      <c r="S55" s="297" t="str">
        <f>IF(OR($C55="",S$3=""),"",IF(S$3="Snag",SUMIFS(Tree!$R:$R,Tree!$A:$A,Species_rpt!$B55,Tree!$F:$F,"D",Tree!$K:$K,"&lt;&gt;"&amp;"N")/$C55,SUMIFS(Tree!$R:$R,Tree!$A:$A,Species_rpt!$B55,Tree!$D:$D,Species_rpt!S$3,Tree!$F:$F,"L",Tree!$K:$K,"&lt;&gt;"&amp;"N")/$C55))</f>
        <v/>
      </c>
      <c r="T55" s="297" t="str">
        <f>IF(OR($C55="",T$3=""),"",IF(T$3="Snag",SUMIFS(Tree!$R:$R,Tree!$A:$A,Species_rpt!$B55,Tree!$F:$F,"D",Tree!$K:$K,"&lt;&gt;"&amp;"N")/$C55,SUMIFS(Tree!$R:$R,Tree!$A:$A,Species_rpt!$B55,Tree!$D:$D,Species_rpt!T$3,Tree!$F:$F,"L",Tree!$K:$K,"&lt;&gt;"&amp;"N")/$C55))</f>
        <v/>
      </c>
      <c r="U55" s="297" t="str">
        <f>IF(OR($C55="",U$3=""),"",IF(U$3="Snag",SUMIFS(Tree!$R:$R,Tree!$A:$A,Species_rpt!$B55,Tree!$F:$F,"D",Tree!$K:$K,"&lt;&gt;"&amp;"N")/$C55,SUMIFS(Tree!$R:$R,Tree!$A:$A,Species_rpt!$B55,Tree!$D:$D,Species_rpt!U$3,Tree!$F:$F,"L",Tree!$K:$K,"&lt;&gt;"&amp;"N")/$C55))</f>
        <v/>
      </c>
      <c r="V55" s="297" t="str">
        <f>IF(OR($C55="",V$3=""),"",IF(V$3="Snag",SUMIFS(Tree!$R:$R,Tree!$A:$A,Species_rpt!$B55,Tree!$F:$F,"D",Tree!$K:$K,"&lt;&gt;"&amp;"N")/$C55,SUMIFS(Tree!$R:$R,Tree!$A:$A,Species_rpt!$B55,Tree!$D:$D,Species_rpt!V$3,Tree!$F:$F,"L",Tree!$K:$K,"&lt;&gt;"&amp;"N")/$C55))</f>
        <v/>
      </c>
      <c r="W55" s="297" t="str">
        <f>IF(OR($C55="",W$3=""),"",IF(W$3="Snag",SUMIFS(Tree!$R:$R,Tree!$A:$A,Species_rpt!$B55,Tree!$F:$F,"D",Tree!$K:$K,"&lt;&gt;"&amp;"N")/$C55,SUMIFS(Tree!$R:$R,Tree!$A:$A,Species_rpt!$B55,Tree!$D:$D,Species_rpt!W$3,Tree!$F:$F,"L",Tree!$K:$K,"&lt;&gt;"&amp;"N")/$C55))</f>
        <v/>
      </c>
      <c r="X55" s="297" t="str">
        <f>IF(OR($C55="",X$3=""),"",IF(X$3="Snag",SUMIFS(Tree!$R:$R,Tree!$A:$A,Species_rpt!$B55,Tree!$F:$F,"D",Tree!$K:$K,"&lt;&gt;"&amp;"N")/$C55,SUMIFS(Tree!$R:$R,Tree!$A:$A,Species_rpt!$B55,Tree!$D:$D,Species_rpt!X$3,Tree!$F:$F,"L",Tree!$K:$K,"&lt;&gt;"&amp;"N")/$C55))</f>
        <v/>
      </c>
      <c r="Y55" s="297" t="str">
        <f>IF(OR($C55="",Y$3=""),"",IF(Y$3="Snag",SUMIFS(Tree!$R:$R,Tree!$A:$A,Species_rpt!$B55,Tree!$F:$F,"D",Tree!$K:$K,"&lt;&gt;"&amp;"N")/$C55,SUMIFS(Tree!$R:$R,Tree!$A:$A,Species_rpt!$B55,Tree!$D:$D,Species_rpt!Y$3,Tree!$F:$F,"L",Tree!$K:$K,"&lt;&gt;"&amp;"N")/$C55))</f>
        <v/>
      </c>
      <c r="Z55" s="297" t="str">
        <f>IF(OR($C55="",Z$3=""),"",IF(Z$3="Snag",SUMIFS(Tree!$R:$R,Tree!$A:$A,Species_rpt!$B55,Tree!$F:$F,"D",Tree!$K:$K,"&lt;&gt;"&amp;"N")/$C55,SUMIFS(Tree!$R:$R,Tree!$A:$A,Species_rpt!$B55,Tree!$D:$D,Species_rpt!Z$3,Tree!$F:$F,"L",Tree!$K:$K,"&lt;&gt;"&amp;"N")/$C55))</f>
        <v/>
      </c>
      <c r="AA55" s="297" t="str">
        <f>IF(OR($C55="",AA$3=""),"",IF(AA$3="Snag",SUMIFS(Tree!$R:$R,Tree!$A:$A,Species_rpt!$B55,Tree!$F:$F,"D",Tree!$K:$K,"&lt;&gt;"&amp;"N")/$C55,SUMIFS(Tree!$R:$R,Tree!$A:$A,Species_rpt!$B55,Tree!$D:$D,Species_rpt!AA$3,Tree!$F:$F,"L",Tree!$K:$K,"&lt;&gt;"&amp;"N")/$C55))</f>
        <v/>
      </c>
      <c r="AB55" s="297" t="str">
        <f>IF(OR($C55="",AB$3=""),"",IF(AB$3="Snag",SUMIFS(Tree!$R:$R,Tree!$A:$A,Species_rpt!$B55,Tree!$F:$F,"D",Tree!$K:$K,"&lt;&gt;"&amp;"N")/$C55,SUMIFS(Tree!$R:$R,Tree!$A:$A,Species_rpt!$B55,Tree!$D:$D,Species_rpt!AB$3,Tree!$F:$F,"L",Tree!$K:$K,"&lt;&gt;"&amp;"N")/$C55))</f>
        <v/>
      </c>
      <c r="AC55" s="298" t="str">
        <f t="shared" si="6"/>
        <v/>
      </c>
    </row>
    <row r="56" spans="2:29" x14ac:dyDescent="0.25">
      <c r="B56" s="201" t="str">
        <f>IF(Stand!C23="","",Stand!C23)</f>
        <v/>
      </c>
      <c r="C56" s="154" t="str">
        <f>IF(B24="","",VLOOKUP(B24,Stand!C:H,6,0))</f>
        <v/>
      </c>
      <c r="D56" s="28"/>
      <c r="E56" s="152" t="str">
        <f>IF(OR($C56="",E$3=""),"",IF(E$3="Snag",SUMIFS(Tree!$O:$O,Tree!$A:$A,Species_rpt!$B56,Tree!$F:$F,"D",Tree!$K:$K,"&lt;&gt;"&amp;"N")/$C56,SUMIFS(Tree!$O:$O,Tree!$A:$A,Species_rpt!$B56,Tree!$D:$D,Species_rpt!E$3,Tree!$F:$F,"L",Tree!$K:$K,"&lt;&gt;"&amp;"N")/$C56))</f>
        <v/>
      </c>
      <c r="F56" s="297" t="str">
        <f>IF(OR($C56="",F$3=""),"",IF(F$3="Snag",SUMIFS(Tree!$O:$O,Tree!$A:$A,Species_rpt!$B56,Tree!$F:$F,"D",Tree!$K:$K,"&lt;&gt;"&amp;"N")/$C56,SUMIFS(Tree!$O:$O,Tree!$A:$A,Species_rpt!$B56,Tree!$D:$D,Species_rpt!F$3,Tree!$F:$F,"L",Tree!$K:$K,"&lt;&gt;"&amp;"N")/$C56))</f>
        <v/>
      </c>
      <c r="G56" s="297" t="str">
        <f>IF(OR($C56="",G$3=""),"",IF(G$3="Snag",SUMIFS(Tree!$O:$O,Tree!$A:$A,Species_rpt!$B56,Tree!$F:$F,"D",Tree!$K:$K,"&lt;&gt;"&amp;"N")/$C56,SUMIFS(Tree!$O:$O,Tree!$A:$A,Species_rpt!$B56,Tree!$D:$D,Species_rpt!G$3,Tree!$F:$F,"L",Tree!$K:$K,"&lt;&gt;"&amp;"N")/$C56))</f>
        <v/>
      </c>
      <c r="H56" s="297" t="str">
        <f>IF(OR($C56="",H$3=""),"",IF(H$3="Snag",SUMIFS(Tree!$O:$O,Tree!$A:$A,Species_rpt!$B56,Tree!$F:$F,"D",Tree!$K:$K,"&lt;&gt;"&amp;"N")/$C56,SUMIFS(Tree!$O:$O,Tree!$A:$A,Species_rpt!$B56,Tree!$D:$D,Species_rpt!H$3,Tree!$F:$F,"L",Tree!$K:$K,"&lt;&gt;"&amp;"N")/$C56))</f>
        <v/>
      </c>
      <c r="I56" s="297" t="str">
        <f>IF(OR($C56="",I$3=""),"",IF(I$3="Snag",SUMIFS(Tree!$O:$O,Tree!$A:$A,Species_rpt!$B56,Tree!$F:$F,"D",Tree!$K:$K,"&lt;&gt;"&amp;"N")/$C56,SUMIFS(Tree!$O:$O,Tree!$A:$A,Species_rpt!$B56,Tree!$D:$D,Species_rpt!I$3,Tree!$F:$F,"L",Tree!$K:$K,"&lt;&gt;"&amp;"N")/$C56))</f>
        <v/>
      </c>
      <c r="J56" s="297" t="str">
        <f>IF(OR($C56="",J$3=""),"",IF(J$3="Snag",SUMIFS(Tree!$O:$O,Tree!$A:$A,Species_rpt!$B56,Tree!$F:$F,"D",Tree!$K:$K,"&lt;&gt;"&amp;"N")/$C56,SUMIFS(Tree!$O:$O,Tree!$A:$A,Species_rpt!$B56,Tree!$D:$D,Species_rpt!J$3,Tree!$F:$F,"L",Tree!$K:$K,"&lt;&gt;"&amp;"N")/$C56))</f>
        <v/>
      </c>
      <c r="K56" s="297" t="str">
        <f>IF(OR($C56="",K$3=""),"",IF(K$3="Snag",SUMIFS(Tree!$O:$O,Tree!$A:$A,Species_rpt!$B56,Tree!$F:$F,"D",Tree!$K:$K,"&lt;&gt;"&amp;"N")/$C56,SUMIFS(Tree!$O:$O,Tree!$A:$A,Species_rpt!$B56,Tree!$D:$D,Species_rpt!K$3,Tree!$F:$F,"L",Tree!$K:$K,"&lt;&gt;"&amp;"N")/$C56))</f>
        <v/>
      </c>
      <c r="L56" s="297" t="str">
        <f>IF(OR($C56="",L$3=""),"",IF(L$3="Snag",SUMIFS(Tree!$O:$O,Tree!$A:$A,Species_rpt!$B56,Tree!$F:$F,"D",Tree!$K:$K,"&lt;&gt;"&amp;"N")/$C56,SUMIFS(Tree!$O:$O,Tree!$A:$A,Species_rpt!$B56,Tree!$D:$D,Species_rpt!L$3,Tree!$F:$F,"L",Tree!$K:$K,"&lt;&gt;"&amp;"N")/$C56))</f>
        <v/>
      </c>
      <c r="M56" s="297" t="str">
        <f>IF(OR($C56="",M$3=""),"",IF(M$3="Snag",SUMIFS(Tree!$O:$O,Tree!$A:$A,Species_rpt!$B56,Tree!$F:$F,"D",Tree!$K:$K,"&lt;&gt;"&amp;"N")/$C56,SUMIFS(Tree!$O:$O,Tree!$A:$A,Species_rpt!$B56,Tree!$D:$D,Species_rpt!M$3,Tree!$F:$F,"L",Tree!$K:$K,"&lt;&gt;"&amp;"N")/$C56))</f>
        <v/>
      </c>
      <c r="N56" s="297" t="str">
        <f>IF(OR($C56="",N$3=""),"",IF(N$3="Snag",SUMIFS(Tree!$O:$O,Tree!$A:$A,Species_rpt!$B56,Tree!$F:$F,"D",Tree!$K:$K,"&lt;&gt;"&amp;"N")/$C56,SUMIFS(Tree!$O:$O,Tree!$A:$A,Species_rpt!$B56,Tree!$D:$D,Species_rpt!N$3,Tree!$F:$F,"L",Tree!$K:$K,"&lt;&gt;"&amp;"N")/$C56))</f>
        <v/>
      </c>
      <c r="O56" s="297" t="str">
        <f>IF(OR($C56="",O$3=""),"",IF(O$3="Snag",SUMIFS(Tree!$O:$O,Tree!$A:$A,Species_rpt!$B56,Tree!$F:$F,"D",Tree!$K:$K,"&lt;&gt;"&amp;"N")/$C56,SUMIFS(Tree!$O:$O,Tree!$A:$A,Species_rpt!$B56,Tree!$D:$D,Species_rpt!O$3,Tree!$F:$F,"L",Tree!$K:$K,"&lt;&gt;"&amp;"N")/$C56))</f>
        <v/>
      </c>
      <c r="P56" s="298" t="str">
        <f t="shared" si="5"/>
        <v/>
      </c>
      <c r="Q56" s="83"/>
      <c r="R56" s="152" t="str">
        <f>IF(OR($C56="",R$3=""),"",IF(R$3="Snag",SUMIFS(Tree!$R:$R,Tree!$A:$A,Species_rpt!$B56,Tree!$F:$F,"D",Tree!$K:$K,"&lt;&gt;"&amp;"N")/$C56,SUMIFS(Tree!$R:$R,Tree!$A:$A,Species_rpt!$B56,Tree!$D:$D,Species_rpt!R$3,Tree!$F:$F,"L",Tree!$K:$K,"&lt;&gt;"&amp;"N")/$C56))</f>
        <v/>
      </c>
      <c r="S56" s="297" t="str">
        <f>IF(OR($C56="",S$3=""),"",IF(S$3="Snag",SUMIFS(Tree!$R:$R,Tree!$A:$A,Species_rpt!$B56,Tree!$F:$F,"D",Tree!$K:$K,"&lt;&gt;"&amp;"N")/$C56,SUMIFS(Tree!$R:$R,Tree!$A:$A,Species_rpt!$B56,Tree!$D:$D,Species_rpt!S$3,Tree!$F:$F,"L",Tree!$K:$K,"&lt;&gt;"&amp;"N")/$C56))</f>
        <v/>
      </c>
      <c r="T56" s="297" t="str">
        <f>IF(OR($C56="",T$3=""),"",IF(T$3="Snag",SUMIFS(Tree!$R:$R,Tree!$A:$A,Species_rpt!$B56,Tree!$F:$F,"D",Tree!$K:$K,"&lt;&gt;"&amp;"N")/$C56,SUMIFS(Tree!$R:$R,Tree!$A:$A,Species_rpt!$B56,Tree!$D:$D,Species_rpt!T$3,Tree!$F:$F,"L",Tree!$K:$K,"&lt;&gt;"&amp;"N")/$C56))</f>
        <v/>
      </c>
      <c r="U56" s="297" t="str">
        <f>IF(OR($C56="",U$3=""),"",IF(U$3="Snag",SUMIFS(Tree!$R:$R,Tree!$A:$A,Species_rpt!$B56,Tree!$F:$F,"D",Tree!$K:$K,"&lt;&gt;"&amp;"N")/$C56,SUMIFS(Tree!$R:$R,Tree!$A:$A,Species_rpt!$B56,Tree!$D:$D,Species_rpt!U$3,Tree!$F:$F,"L",Tree!$K:$K,"&lt;&gt;"&amp;"N")/$C56))</f>
        <v/>
      </c>
      <c r="V56" s="297" t="str">
        <f>IF(OR($C56="",V$3=""),"",IF(V$3="Snag",SUMIFS(Tree!$R:$R,Tree!$A:$A,Species_rpt!$B56,Tree!$F:$F,"D",Tree!$K:$K,"&lt;&gt;"&amp;"N")/$C56,SUMIFS(Tree!$R:$R,Tree!$A:$A,Species_rpt!$B56,Tree!$D:$D,Species_rpt!V$3,Tree!$F:$F,"L",Tree!$K:$K,"&lt;&gt;"&amp;"N")/$C56))</f>
        <v/>
      </c>
      <c r="W56" s="297" t="str">
        <f>IF(OR($C56="",W$3=""),"",IF(W$3="Snag",SUMIFS(Tree!$R:$R,Tree!$A:$A,Species_rpt!$B56,Tree!$F:$F,"D",Tree!$K:$K,"&lt;&gt;"&amp;"N")/$C56,SUMIFS(Tree!$R:$R,Tree!$A:$A,Species_rpt!$B56,Tree!$D:$D,Species_rpt!W$3,Tree!$F:$F,"L",Tree!$K:$K,"&lt;&gt;"&amp;"N")/$C56))</f>
        <v/>
      </c>
      <c r="X56" s="297" t="str">
        <f>IF(OR($C56="",X$3=""),"",IF(X$3="Snag",SUMIFS(Tree!$R:$R,Tree!$A:$A,Species_rpt!$B56,Tree!$F:$F,"D",Tree!$K:$K,"&lt;&gt;"&amp;"N")/$C56,SUMIFS(Tree!$R:$R,Tree!$A:$A,Species_rpt!$B56,Tree!$D:$D,Species_rpt!X$3,Tree!$F:$F,"L",Tree!$K:$K,"&lt;&gt;"&amp;"N")/$C56))</f>
        <v/>
      </c>
      <c r="Y56" s="297" t="str">
        <f>IF(OR($C56="",Y$3=""),"",IF(Y$3="Snag",SUMIFS(Tree!$R:$R,Tree!$A:$A,Species_rpt!$B56,Tree!$F:$F,"D",Tree!$K:$K,"&lt;&gt;"&amp;"N")/$C56,SUMIFS(Tree!$R:$R,Tree!$A:$A,Species_rpt!$B56,Tree!$D:$D,Species_rpt!Y$3,Tree!$F:$F,"L",Tree!$K:$K,"&lt;&gt;"&amp;"N")/$C56))</f>
        <v/>
      </c>
      <c r="Z56" s="297" t="str">
        <f>IF(OR($C56="",Z$3=""),"",IF(Z$3="Snag",SUMIFS(Tree!$R:$R,Tree!$A:$A,Species_rpt!$B56,Tree!$F:$F,"D",Tree!$K:$K,"&lt;&gt;"&amp;"N")/$C56,SUMIFS(Tree!$R:$R,Tree!$A:$A,Species_rpt!$B56,Tree!$D:$D,Species_rpt!Z$3,Tree!$F:$F,"L",Tree!$K:$K,"&lt;&gt;"&amp;"N")/$C56))</f>
        <v/>
      </c>
      <c r="AA56" s="297" t="str">
        <f>IF(OR($C56="",AA$3=""),"",IF(AA$3="Snag",SUMIFS(Tree!$R:$R,Tree!$A:$A,Species_rpt!$B56,Tree!$F:$F,"D",Tree!$K:$K,"&lt;&gt;"&amp;"N")/$C56,SUMIFS(Tree!$R:$R,Tree!$A:$A,Species_rpt!$B56,Tree!$D:$D,Species_rpt!AA$3,Tree!$F:$F,"L",Tree!$K:$K,"&lt;&gt;"&amp;"N")/$C56))</f>
        <v/>
      </c>
      <c r="AB56" s="297" t="str">
        <f>IF(OR($C56="",AB$3=""),"",IF(AB$3="Snag",SUMIFS(Tree!$R:$R,Tree!$A:$A,Species_rpt!$B56,Tree!$F:$F,"D",Tree!$K:$K,"&lt;&gt;"&amp;"N")/$C56,SUMIFS(Tree!$R:$R,Tree!$A:$A,Species_rpt!$B56,Tree!$D:$D,Species_rpt!AB$3,Tree!$F:$F,"L",Tree!$K:$K,"&lt;&gt;"&amp;"N")/$C56))</f>
        <v/>
      </c>
      <c r="AC56" s="298" t="str">
        <f t="shared" si="6"/>
        <v/>
      </c>
    </row>
    <row r="57" spans="2:29" x14ac:dyDescent="0.25">
      <c r="B57" s="201" t="str">
        <f>IF(Stand!C24="","",Stand!C24)</f>
        <v/>
      </c>
      <c r="C57" s="154" t="str">
        <f>IF(B25="","",VLOOKUP(B25,Stand!C:H,6,0))</f>
        <v/>
      </c>
      <c r="D57" s="28"/>
      <c r="E57" s="152" t="str">
        <f>IF(OR($C57="",E$3=""),"",IF(E$3="Snag",SUMIFS(Tree!$O:$O,Tree!$A:$A,Species_rpt!$B57,Tree!$F:$F,"D",Tree!$K:$K,"&lt;&gt;"&amp;"N")/$C57,SUMIFS(Tree!$O:$O,Tree!$A:$A,Species_rpt!$B57,Tree!$D:$D,Species_rpt!E$3,Tree!$F:$F,"L",Tree!$K:$K,"&lt;&gt;"&amp;"N")/$C57))</f>
        <v/>
      </c>
      <c r="F57" s="297" t="str">
        <f>IF(OR($C57="",F$3=""),"",IF(F$3="Snag",SUMIFS(Tree!$O:$O,Tree!$A:$A,Species_rpt!$B57,Tree!$F:$F,"D",Tree!$K:$K,"&lt;&gt;"&amp;"N")/$C57,SUMIFS(Tree!$O:$O,Tree!$A:$A,Species_rpt!$B57,Tree!$D:$D,Species_rpt!F$3,Tree!$F:$F,"L",Tree!$K:$K,"&lt;&gt;"&amp;"N")/$C57))</f>
        <v/>
      </c>
      <c r="G57" s="297" t="str">
        <f>IF(OR($C57="",G$3=""),"",IF(G$3="Snag",SUMIFS(Tree!$O:$O,Tree!$A:$A,Species_rpt!$B57,Tree!$F:$F,"D",Tree!$K:$K,"&lt;&gt;"&amp;"N")/$C57,SUMIFS(Tree!$O:$O,Tree!$A:$A,Species_rpt!$B57,Tree!$D:$D,Species_rpt!G$3,Tree!$F:$F,"L",Tree!$K:$K,"&lt;&gt;"&amp;"N")/$C57))</f>
        <v/>
      </c>
      <c r="H57" s="297" t="str">
        <f>IF(OR($C57="",H$3=""),"",IF(H$3="Snag",SUMIFS(Tree!$O:$O,Tree!$A:$A,Species_rpt!$B57,Tree!$F:$F,"D",Tree!$K:$K,"&lt;&gt;"&amp;"N")/$C57,SUMIFS(Tree!$O:$O,Tree!$A:$A,Species_rpt!$B57,Tree!$D:$D,Species_rpt!H$3,Tree!$F:$F,"L",Tree!$K:$K,"&lt;&gt;"&amp;"N")/$C57))</f>
        <v/>
      </c>
      <c r="I57" s="297" t="str">
        <f>IF(OR($C57="",I$3=""),"",IF(I$3="Snag",SUMIFS(Tree!$O:$O,Tree!$A:$A,Species_rpt!$B57,Tree!$F:$F,"D",Tree!$K:$K,"&lt;&gt;"&amp;"N")/$C57,SUMIFS(Tree!$O:$O,Tree!$A:$A,Species_rpt!$B57,Tree!$D:$D,Species_rpt!I$3,Tree!$F:$F,"L",Tree!$K:$K,"&lt;&gt;"&amp;"N")/$C57))</f>
        <v/>
      </c>
      <c r="J57" s="297" t="str">
        <f>IF(OR($C57="",J$3=""),"",IF(J$3="Snag",SUMIFS(Tree!$O:$O,Tree!$A:$A,Species_rpt!$B57,Tree!$F:$F,"D",Tree!$K:$K,"&lt;&gt;"&amp;"N")/$C57,SUMIFS(Tree!$O:$O,Tree!$A:$A,Species_rpt!$B57,Tree!$D:$D,Species_rpt!J$3,Tree!$F:$F,"L",Tree!$K:$K,"&lt;&gt;"&amp;"N")/$C57))</f>
        <v/>
      </c>
      <c r="K57" s="297" t="str">
        <f>IF(OR($C57="",K$3=""),"",IF(K$3="Snag",SUMIFS(Tree!$O:$O,Tree!$A:$A,Species_rpt!$B57,Tree!$F:$F,"D",Tree!$K:$K,"&lt;&gt;"&amp;"N")/$C57,SUMIFS(Tree!$O:$O,Tree!$A:$A,Species_rpt!$B57,Tree!$D:$D,Species_rpt!K$3,Tree!$F:$F,"L",Tree!$K:$K,"&lt;&gt;"&amp;"N")/$C57))</f>
        <v/>
      </c>
      <c r="L57" s="297" t="str">
        <f>IF(OR($C57="",L$3=""),"",IF(L$3="Snag",SUMIFS(Tree!$O:$O,Tree!$A:$A,Species_rpt!$B57,Tree!$F:$F,"D",Tree!$K:$K,"&lt;&gt;"&amp;"N")/$C57,SUMIFS(Tree!$O:$O,Tree!$A:$A,Species_rpt!$B57,Tree!$D:$D,Species_rpt!L$3,Tree!$F:$F,"L",Tree!$K:$K,"&lt;&gt;"&amp;"N")/$C57))</f>
        <v/>
      </c>
      <c r="M57" s="297" t="str">
        <f>IF(OR($C57="",M$3=""),"",IF(M$3="Snag",SUMIFS(Tree!$O:$O,Tree!$A:$A,Species_rpt!$B57,Tree!$F:$F,"D",Tree!$K:$K,"&lt;&gt;"&amp;"N")/$C57,SUMIFS(Tree!$O:$O,Tree!$A:$A,Species_rpt!$B57,Tree!$D:$D,Species_rpt!M$3,Tree!$F:$F,"L",Tree!$K:$K,"&lt;&gt;"&amp;"N")/$C57))</f>
        <v/>
      </c>
      <c r="N57" s="297" t="str">
        <f>IF(OR($C57="",N$3=""),"",IF(N$3="Snag",SUMIFS(Tree!$O:$O,Tree!$A:$A,Species_rpt!$B57,Tree!$F:$F,"D",Tree!$K:$K,"&lt;&gt;"&amp;"N")/$C57,SUMIFS(Tree!$O:$O,Tree!$A:$A,Species_rpt!$B57,Tree!$D:$D,Species_rpt!N$3,Tree!$F:$F,"L",Tree!$K:$K,"&lt;&gt;"&amp;"N")/$C57))</f>
        <v/>
      </c>
      <c r="O57" s="297" t="str">
        <f>IF(OR($C57="",O$3=""),"",IF(O$3="Snag",SUMIFS(Tree!$O:$O,Tree!$A:$A,Species_rpt!$B57,Tree!$F:$F,"D",Tree!$K:$K,"&lt;&gt;"&amp;"N")/$C57,SUMIFS(Tree!$O:$O,Tree!$A:$A,Species_rpt!$B57,Tree!$D:$D,Species_rpt!O$3,Tree!$F:$F,"L",Tree!$K:$K,"&lt;&gt;"&amp;"N")/$C57))</f>
        <v/>
      </c>
      <c r="P57" s="298" t="str">
        <f t="shared" si="5"/>
        <v/>
      </c>
      <c r="Q57" s="83"/>
      <c r="R57" s="152" t="str">
        <f>IF(OR($C57="",R$3=""),"",IF(R$3="Snag",SUMIFS(Tree!$R:$R,Tree!$A:$A,Species_rpt!$B57,Tree!$F:$F,"D",Tree!$K:$K,"&lt;&gt;"&amp;"N")/$C57,SUMIFS(Tree!$R:$R,Tree!$A:$A,Species_rpt!$B57,Tree!$D:$D,Species_rpt!R$3,Tree!$F:$F,"L",Tree!$K:$K,"&lt;&gt;"&amp;"N")/$C57))</f>
        <v/>
      </c>
      <c r="S57" s="297" t="str">
        <f>IF(OR($C57="",S$3=""),"",IF(S$3="Snag",SUMIFS(Tree!$R:$R,Tree!$A:$A,Species_rpt!$B57,Tree!$F:$F,"D",Tree!$K:$K,"&lt;&gt;"&amp;"N")/$C57,SUMIFS(Tree!$R:$R,Tree!$A:$A,Species_rpt!$B57,Tree!$D:$D,Species_rpt!S$3,Tree!$F:$F,"L",Tree!$K:$K,"&lt;&gt;"&amp;"N")/$C57))</f>
        <v/>
      </c>
      <c r="T57" s="297" t="str">
        <f>IF(OR($C57="",T$3=""),"",IF(T$3="Snag",SUMIFS(Tree!$R:$R,Tree!$A:$A,Species_rpt!$B57,Tree!$F:$F,"D",Tree!$K:$K,"&lt;&gt;"&amp;"N")/$C57,SUMIFS(Tree!$R:$R,Tree!$A:$A,Species_rpt!$B57,Tree!$D:$D,Species_rpt!T$3,Tree!$F:$F,"L",Tree!$K:$K,"&lt;&gt;"&amp;"N")/$C57))</f>
        <v/>
      </c>
      <c r="U57" s="297" t="str">
        <f>IF(OR($C57="",U$3=""),"",IF(U$3="Snag",SUMIFS(Tree!$R:$R,Tree!$A:$A,Species_rpt!$B57,Tree!$F:$F,"D",Tree!$K:$K,"&lt;&gt;"&amp;"N")/$C57,SUMIFS(Tree!$R:$R,Tree!$A:$A,Species_rpt!$B57,Tree!$D:$D,Species_rpt!U$3,Tree!$F:$F,"L",Tree!$K:$K,"&lt;&gt;"&amp;"N")/$C57))</f>
        <v/>
      </c>
      <c r="V57" s="297" t="str">
        <f>IF(OR($C57="",V$3=""),"",IF(V$3="Snag",SUMIFS(Tree!$R:$R,Tree!$A:$A,Species_rpt!$B57,Tree!$F:$F,"D",Tree!$K:$K,"&lt;&gt;"&amp;"N")/$C57,SUMIFS(Tree!$R:$R,Tree!$A:$A,Species_rpt!$B57,Tree!$D:$D,Species_rpt!V$3,Tree!$F:$F,"L",Tree!$K:$K,"&lt;&gt;"&amp;"N")/$C57))</f>
        <v/>
      </c>
      <c r="W57" s="297" t="str">
        <f>IF(OR($C57="",W$3=""),"",IF(W$3="Snag",SUMIFS(Tree!$R:$R,Tree!$A:$A,Species_rpt!$B57,Tree!$F:$F,"D",Tree!$K:$K,"&lt;&gt;"&amp;"N")/$C57,SUMIFS(Tree!$R:$R,Tree!$A:$A,Species_rpt!$B57,Tree!$D:$D,Species_rpt!W$3,Tree!$F:$F,"L",Tree!$K:$K,"&lt;&gt;"&amp;"N")/$C57))</f>
        <v/>
      </c>
      <c r="X57" s="297" t="str">
        <f>IF(OR($C57="",X$3=""),"",IF(X$3="Snag",SUMIFS(Tree!$R:$R,Tree!$A:$A,Species_rpt!$B57,Tree!$F:$F,"D",Tree!$K:$K,"&lt;&gt;"&amp;"N")/$C57,SUMIFS(Tree!$R:$R,Tree!$A:$A,Species_rpt!$B57,Tree!$D:$D,Species_rpt!X$3,Tree!$F:$F,"L",Tree!$K:$K,"&lt;&gt;"&amp;"N")/$C57))</f>
        <v/>
      </c>
      <c r="Y57" s="297" t="str">
        <f>IF(OR($C57="",Y$3=""),"",IF(Y$3="Snag",SUMIFS(Tree!$R:$R,Tree!$A:$A,Species_rpt!$B57,Tree!$F:$F,"D",Tree!$K:$K,"&lt;&gt;"&amp;"N")/$C57,SUMIFS(Tree!$R:$R,Tree!$A:$A,Species_rpt!$B57,Tree!$D:$D,Species_rpt!Y$3,Tree!$F:$F,"L",Tree!$K:$K,"&lt;&gt;"&amp;"N")/$C57))</f>
        <v/>
      </c>
      <c r="Z57" s="297" t="str">
        <f>IF(OR($C57="",Z$3=""),"",IF(Z$3="Snag",SUMIFS(Tree!$R:$R,Tree!$A:$A,Species_rpt!$B57,Tree!$F:$F,"D",Tree!$K:$K,"&lt;&gt;"&amp;"N")/$C57,SUMIFS(Tree!$R:$R,Tree!$A:$A,Species_rpt!$B57,Tree!$D:$D,Species_rpt!Z$3,Tree!$F:$F,"L",Tree!$K:$K,"&lt;&gt;"&amp;"N")/$C57))</f>
        <v/>
      </c>
      <c r="AA57" s="297" t="str">
        <f>IF(OR($C57="",AA$3=""),"",IF(AA$3="Snag",SUMIFS(Tree!$R:$R,Tree!$A:$A,Species_rpt!$B57,Tree!$F:$F,"D",Tree!$K:$K,"&lt;&gt;"&amp;"N")/$C57,SUMIFS(Tree!$R:$R,Tree!$A:$A,Species_rpt!$B57,Tree!$D:$D,Species_rpt!AA$3,Tree!$F:$F,"L",Tree!$K:$K,"&lt;&gt;"&amp;"N")/$C57))</f>
        <v/>
      </c>
      <c r="AB57" s="297" t="str">
        <f>IF(OR($C57="",AB$3=""),"",IF(AB$3="Snag",SUMIFS(Tree!$R:$R,Tree!$A:$A,Species_rpt!$B57,Tree!$F:$F,"D",Tree!$K:$K,"&lt;&gt;"&amp;"N")/$C57,SUMIFS(Tree!$R:$R,Tree!$A:$A,Species_rpt!$B57,Tree!$D:$D,Species_rpt!AB$3,Tree!$F:$F,"L",Tree!$K:$K,"&lt;&gt;"&amp;"N")/$C57))</f>
        <v/>
      </c>
      <c r="AC57" s="298" t="str">
        <f t="shared" si="6"/>
        <v/>
      </c>
    </row>
    <row r="58" spans="2:29" x14ac:dyDescent="0.25">
      <c r="B58" s="201" t="str">
        <f>IF(Stand!C25="","",Stand!C25)</f>
        <v/>
      </c>
      <c r="C58" s="154" t="str">
        <f>IF(B26="","",VLOOKUP(B26,Stand!C:H,6,0))</f>
        <v/>
      </c>
      <c r="D58" s="28"/>
      <c r="E58" s="152" t="str">
        <f>IF(OR($C58="",E$3=""),"",IF(E$3="Snag",SUMIFS(Tree!$O:$O,Tree!$A:$A,Species_rpt!$B58,Tree!$F:$F,"D",Tree!$K:$K,"&lt;&gt;"&amp;"N")/$C58,SUMIFS(Tree!$O:$O,Tree!$A:$A,Species_rpt!$B58,Tree!$D:$D,Species_rpt!E$3,Tree!$F:$F,"L",Tree!$K:$K,"&lt;&gt;"&amp;"N")/$C58))</f>
        <v/>
      </c>
      <c r="F58" s="297" t="str">
        <f>IF(OR($C58="",F$3=""),"",IF(F$3="Snag",SUMIFS(Tree!$O:$O,Tree!$A:$A,Species_rpt!$B58,Tree!$F:$F,"D",Tree!$K:$K,"&lt;&gt;"&amp;"N")/$C58,SUMIFS(Tree!$O:$O,Tree!$A:$A,Species_rpt!$B58,Tree!$D:$D,Species_rpt!F$3,Tree!$F:$F,"L",Tree!$K:$K,"&lt;&gt;"&amp;"N")/$C58))</f>
        <v/>
      </c>
      <c r="G58" s="297" t="str">
        <f>IF(OR($C58="",G$3=""),"",IF(G$3="Snag",SUMIFS(Tree!$O:$O,Tree!$A:$A,Species_rpt!$B58,Tree!$F:$F,"D",Tree!$K:$K,"&lt;&gt;"&amp;"N")/$C58,SUMIFS(Tree!$O:$O,Tree!$A:$A,Species_rpt!$B58,Tree!$D:$D,Species_rpt!G$3,Tree!$F:$F,"L",Tree!$K:$K,"&lt;&gt;"&amp;"N")/$C58))</f>
        <v/>
      </c>
      <c r="H58" s="297" t="str">
        <f>IF(OR($C58="",H$3=""),"",IF(H$3="Snag",SUMIFS(Tree!$O:$O,Tree!$A:$A,Species_rpt!$B58,Tree!$F:$F,"D",Tree!$K:$K,"&lt;&gt;"&amp;"N")/$C58,SUMIFS(Tree!$O:$O,Tree!$A:$A,Species_rpt!$B58,Tree!$D:$D,Species_rpt!H$3,Tree!$F:$F,"L",Tree!$K:$K,"&lt;&gt;"&amp;"N")/$C58))</f>
        <v/>
      </c>
      <c r="I58" s="297" t="str">
        <f>IF(OR($C58="",I$3=""),"",IF(I$3="Snag",SUMIFS(Tree!$O:$O,Tree!$A:$A,Species_rpt!$B58,Tree!$F:$F,"D",Tree!$K:$K,"&lt;&gt;"&amp;"N")/$C58,SUMIFS(Tree!$O:$O,Tree!$A:$A,Species_rpt!$B58,Tree!$D:$D,Species_rpt!I$3,Tree!$F:$F,"L",Tree!$K:$K,"&lt;&gt;"&amp;"N")/$C58))</f>
        <v/>
      </c>
      <c r="J58" s="297" t="str">
        <f>IF(OR($C58="",J$3=""),"",IF(J$3="Snag",SUMIFS(Tree!$O:$O,Tree!$A:$A,Species_rpt!$B58,Tree!$F:$F,"D",Tree!$K:$K,"&lt;&gt;"&amp;"N")/$C58,SUMIFS(Tree!$O:$O,Tree!$A:$A,Species_rpt!$B58,Tree!$D:$D,Species_rpt!J$3,Tree!$F:$F,"L",Tree!$K:$K,"&lt;&gt;"&amp;"N")/$C58))</f>
        <v/>
      </c>
      <c r="K58" s="297" t="str">
        <f>IF(OR($C58="",K$3=""),"",IF(K$3="Snag",SUMIFS(Tree!$O:$O,Tree!$A:$A,Species_rpt!$B58,Tree!$F:$F,"D",Tree!$K:$K,"&lt;&gt;"&amp;"N")/$C58,SUMIFS(Tree!$O:$O,Tree!$A:$A,Species_rpt!$B58,Tree!$D:$D,Species_rpt!K$3,Tree!$F:$F,"L",Tree!$K:$K,"&lt;&gt;"&amp;"N")/$C58))</f>
        <v/>
      </c>
      <c r="L58" s="297" t="str">
        <f>IF(OR($C58="",L$3=""),"",IF(L$3="Snag",SUMIFS(Tree!$O:$O,Tree!$A:$A,Species_rpt!$B58,Tree!$F:$F,"D",Tree!$K:$K,"&lt;&gt;"&amp;"N")/$C58,SUMIFS(Tree!$O:$O,Tree!$A:$A,Species_rpt!$B58,Tree!$D:$D,Species_rpt!L$3,Tree!$F:$F,"L",Tree!$K:$K,"&lt;&gt;"&amp;"N")/$C58))</f>
        <v/>
      </c>
      <c r="M58" s="297" t="str">
        <f>IF(OR($C58="",M$3=""),"",IF(M$3="Snag",SUMIFS(Tree!$O:$O,Tree!$A:$A,Species_rpt!$B58,Tree!$F:$F,"D",Tree!$K:$K,"&lt;&gt;"&amp;"N")/$C58,SUMIFS(Tree!$O:$O,Tree!$A:$A,Species_rpt!$B58,Tree!$D:$D,Species_rpt!M$3,Tree!$F:$F,"L",Tree!$K:$K,"&lt;&gt;"&amp;"N")/$C58))</f>
        <v/>
      </c>
      <c r="N58" s="297" t="str">
        <f>IF(OR($C58="",N$3=""),"",IF(N$3="Snag",SUMIFS(Tree!$O:$O,Tree!$A:$A,Species_rpt!$B58,Tree!$F:$F,"D",Tree!$K:$K,"&lt;&gt;"&amp;"N")/$C58,SUMIFS(Tree!$O:$O,Tree!$A:$A,Species_rpt!$B58,Tree!$D:$D,Species_rpt!N$3,Tree!$F:$F,"L",Tree!$K:$K,"&lt;&gt;"&amp;"N")/$C58))</f>
        <v/>
      </c>
      <c r="O58" s="297" t="str">
        <f>IF(OR($C58="",O$3=""),"",IF(O$3="Snag",SUMIFS(Tree!$O:$O,Tree!$A:$A,Species_rpt!$B58,Tree!$F:$F,"D",Tree!$K:$K,"&lt;&gt;"&amp;"N")/$C58,SUMIFS(Tree!$O:$O,Tree!$A:$A,Species_rpt!$B58,Tree!$D:$D,Species_rpt!O$3,Tree!$F:$F,"L",Tree!$K:$K,"&lt;&gt;"&amp;"N")/$C58))</f>
        <v/>
      </c>
      <c r="P58" s="298" t="str">
        <f t="shared" si="5"/>
        <v/>
      </c>
      <c r="Q58" s="83"/>
      <c r="R58" s="152" t="str">
        <f>IF(OR($C58="",R$3=""),"",IF(R$3="Snag",SUMIFS(Tree!$R:$R,Tree!$A:$A,Species_rpt!$B58,Tree!$F:$F,"D",Tree!$K:$K,"&lt;&gt;"&amp;"N")/$C58,SUMIFS(Tree!$R:$R,Tree!$A:$A,Species_rpt!$B58,Tree!$D:$D,Species_rpt!R$3,Tree!$F:$F,"L",Tree!$K:$K,"&lt;&gt;"&amp;"N")/$C58))</f>
        <v/>
      </c>
      <c r="S58" s="297" t="str">
        <f>IF(OR($C58="",S$3=""),"",IF(S$3="Snag",SUMIFS(Tree!$R:$R,Tree!$A:$A,Species_rpt!$B58,Tree!$F:$F,"D",Tree!$K:$K,"&lt;&gt;"&amp;"N")/$C58,SUMIFS(Tree!$R:$R,Tree!$A:$A,Species_rpt!$B58,Tree!$D:$D,Species_rpt!S$3,Tree!$F:$F,"L",Tree!$K:$K,"&lt;&gt;"&amp;"N")/$C58))</f>
        <v/>
      </c>
      <c r="T58" s="297" t="str">
        <f>IF(OR($C58="",T$3=""),"",IF(T$3="Snag",SUMIFS(Tree!$R:$R,Tree!$A:$A,Species_rpt!$B58,Tree!$F:$F,"D",Tree!$K:$K,"&lt;&gt;"&amp;"N")/$C58,SUMIFS(Tree!$R:$R,Tree!$A:$A,Species_rpt!$B58,Tree!$D:$D,Species_rpt!T$3,Tree!$F:$F,"L",Tree!$K:$K,"&lt;&gt;"&amp;"N")/$C58))</f>
        <v/>
      </c>
      <c r="U58" s="297" t="str">
        <f>IF(OR($C58="",U$3=""),"",IF(U$3="Snag",SUMIFS(Tree!$R:$R,Tree!$A:$A,Species_rpt!$B58,Tree!$F:$F,"D",Tree!$K:$K,"&lt;&gt;"&amp;"N")/$C58,SUMIFS(Tree!$R:$R,Tree!$A:$A,Species_rpt!$B58,Tree!$D:$D,Species_rpt!U$3,Tree!$F:$F,"L",Tree!$K:$K,"&lt;&gt;"&amp;"N")/$C58))</f>
        <v/>
      </c>
      <c r="V58" s="297" t="str">
        <f>IF(OR($C58="",V$3=""),"",IF(V$3="Snag",SUMIFS(Tree!$R:$R,Tree!$A:$A,Species_rpt!$B58,Tree!$F:$F,"D",Tree!$K:$K,"&lt;&gt;"&amp;"N")/$C58,SUMIFS(Tree!$R:$R,Tree!$A:$A,Species_rpt!$B58,Tree!$D:$D,Species_rpt!V$3,Tree!$F:$F,"L",Tree!$K:$K,"&lt;&gt;"&amp;"N")/$C58))</f>
        <v/>
      </c>
      <c r="W58" s="297" t="str">
        <f>IF(OR($C58="",W$3=""),"",IF(W$3="Snag",SUMIFS(Tree!$R:$R,Tree!$A:$A,Species_rpt!$B58,Tree!$F:$F,"D",Tree!$K:$K,"&lt;&gt;"&amp;"N")/$C58,SUMIFS(Tree!$R:$R,Tree!$A:$A,Species_rpt!$B58,Tree!$D:$D,Species_rpt!W$3,Tree!$F:$F,"L",Tree!$K:$K,"&lt;&gt;"&amp;"N")/$C58))</f>
        <v/>
      </c>
      <c r="X58" s="297" t="str">
        <f>IF(OR($C58="",X$3=""),"",IF(X$3="Snag",SUMIFS(Tree!$R:$R,Tree!$A:$A,Species_rpt!$B58,Tree!$F:$F,"D",Tree!$K:$K,"&lt;&gt;"&amp;"N")/$C58,SUMIFS(Tree!$R:$R,Tree!$A:$A,Species_rpt!$B58,Tree!$D:$D,Species_rpt!X$3,Tree!$F:$F,"L",Tree!$K:$K,"&lt;&gt;"&amp;"N")/$C58))</f>
        <v/>
      </c>
      <c r="Y58" s="297" t="str">
        <f>IF(OR($C58="",Y$3=""),"",IF(Y$3="Snag",SUMIFS(Tree!$R:$R,Tree!$A:$A,Species_rpt!$B58,Tree!$F:$F,"D",Tree!$K:$K,"&lt;&gt;"&amp;"N")/$C58,SUMIFS(Tree!$R:$R,Tree!$A:$A,Species_rpt!$B58,Tree!$D:$D,Species_rpt!Y$3,Tree!$F:$F,"L",Tree!$K:$K,"&lt;&gt;"&amp;"N")/$C58))</f>
        <v/>
      </c>
      <c r="Z58" s="297" t="str">
        <f>IF(OR($C58="",Z$3=""),"",IF(Z$3="Snag",SUMIFS(Tree!$R:$R,Tree!$A:$A,Species_rpt!$B58,Tree!$F:$F,"D",Tree!$K:$K,"&lt;&gt;"&amp;"N")/$C58,SUMIFS(Tree!$R:$R,Tree!$A:$A,Species_rpt!$B58,Tree!$D:$D,Species_rpt!Z$3,Tree!$F:$F,"L",Tree!$K:$K,"&lt;&gt;"&amp;"N")/$C58))</f>
        <v/>
      </c>
      <c r="AA58" s="297" t="str">
        <f>IF(OR($C58="",AA$3=""),"",IF(AA$3="Snag",SUMIFS(Tree!$R:$R,Tree!$A:$A,Species_rpt!$B58,Tree!$F:$F,"D",Tree!$K:$K,"&lt;&gt;"&amp;"N")/$C58,SUMIFS(Tree!$R:$R,Tree!$A:$A,Species_rpt!$B58,Tree!$D:$D,Species_rpt!AA$3,Tree!$F:$F,"L",Tree!$K:$K,"&lt;&gt;"&amp;"N")/$C58))</f>
        <v/>
      </c>
      <c r="AB58" s="297" t="str">
        <f>IF(OR($C58="",AB$3=""),"",IF(AB$3="Snag",SUMIFS(Tree!$R:$R,Tree!$A:$A,Species_rpt!$B58,Tree!$F:$F,"D",Tree!$K:$K,"&lt;&gt;"&amp;"N")/$C58,SUMIFS(Tree!$R:$R,Tree!$A:$A,Species_rpt!$B58,Tree!$D:$D,Species_rpt!AB$3,Tree!$F:$F,"L",Tree!$K:$K,"&lt;&gt;"&amp;"N")/$C58))</f>
        <v/>
      </c>
      <c r="AC58" s="298" t="str">
        <f t="shared" si="6"/>
        <v/>
      </c>
    </row>
    <row r="59" spans="2:29" x14ac:dyDescent="0.25">
      <c r="B59" s="201" t="str">
        <f>IF(Stand!C26="","",Stand!C26)</f>
        <v/>
      </c>
      <c r="C59" s="154" t="str">
        <f>IF(B27="","",VLOOKUP(B27,Stand!C:H,6,0))</f>
        <v/>
      </c>
      <c r="D59" s="28"/>
      <c r="E59" s="152" t="str">
        <f>IF(OR($C59="",E$3=""),"",IF(E$3="Snag",SUMIFS(Tree!$O:$O,Tree!$A:$A,Species_rpt!$B59,Tree!$F:$F,"D",Tree!$K:$K,"&lt;&gt;"&amp;"N")/$C59,SUMIFS(Tree!$O:$O,Tree!$A:$A,Species_rpt!$B59,Tree!$D:$D,Species_rpt!E$3,Tree!$F:$F,"L",Tree!$K:$K,"&lt;&gt;"&amp;"N")/$C59))</f>
        <v/>
      </c>
      <c r="F59" s="297" t="str">
        <f>IF(OR($C59="",F$3=""),"",IF(F$3="Snag",SUMIFS(Tree!$O:$O,Tree!$A:$A,Species_rpt!$B59,Tree!$F:$F,"D",Tree!$K:$K,"&lt;&gt;"&amp;"N")/$C59,SUMIFS(Tree!$O:$O,Tree!$A:$A,Species_rpt!$B59,Tree!$D:$D,Species_rpt!F$3,Tree!$F:$F,"L",Tree!$K:$K,"&lt;&gt;"&amp;"N")/$C59))</f>
        <v/>
      </c>
      <c r="G59" s="297" t="str">
        <f>IF(OR($C59="",G$3=""),"",IF(G$3="Snag",SUMIFS(Tree!$O:$O,Tree!$A:$A,Species_rpt!$B59,Tree!$F:$F,"D",Tree!$K:$K,"&lt;&gt;"&amp;"N")/$C59,SUMIFS(Tree!$O:$O,Tree!$A:$A,Species_rpt!$B59,Tree!$D:$D,Species_rpt!G$3,Tree!$F:$F,"L",Tree!$K:$K,"&lt;&gt;"&amp;"N")/$C59))</f>
        <v/>
      </c>
      <c r="H59" s="297" t="str">
        <f>IF(OR($C59="",H$3=""),"",IF(H$3="Snag",SUMIFS(Tree!$O:$O,Tree!$A:$A,Species_rpt!$B59,Tree!$F:$F,"D",Tree!$K:$K,"&lt;&gt;"&amp;"N")/$C59,SUMIFS(Tree!$O:$O,Tree!$A:$A,Species_rpt!$B59,Tree!$D:$D,Species_rpt!H$3,Tree!$F:$F,"L",Tree!$K:$K,"&lt;&gt;"&amp;"N")/$C59))</f>
        <v/>
      </c>
      <c r="I59" s="297" t="str">
        <f>IF(OR($C59="",I$3=""),"",IF(I$3="Snag",SUMIFS(Tree!$O:$O,Tree!$A:$A,Species_rpt!$B59,Tree!$F:$F,"D",Tree!$K:$K,"&lt;&gt;"&amp;"N")/$C59,SUMIFS(Tree!$O:$O,Tree!$A:$A,Species_rpt!$B59,Tree!$D:$D,Species_rpt!I$3,Tree!$F:$F,"L",Tree!$K:$K,"&lt;&gt;"&amp;"N")/$C59))</f>
        <v/>
      </c>
      <c r="J59" s="297" t="str">
        <f>IF(OR($C59="",J$3=""),"",IF(J$3="Snag",SUMIFS(Tree!$O:$O,Tree!$A:$A,Species_rpt!$B59,Tree!$F:$F,"D",Tree!$K:$K,"&lt;&gt;"&amp;"N")/$C59,SUMIFS(Tree!$O:$O,Tree!$A:$A,Species_rpt!$B59,Tree!$D:$D,Species_rpt!J$3,Tree!$F:$F,"L",Tree!$K:$K,"&lt;&gt;"&amp;"N")/$C59))</f>
        <v/>
      </c>
      <c r="K59" s="297" t="str">
        <f>IF(OR($C59="",K$3=""),"",IF(K$3="Snag",SUMIFS(Tree!$O:$O,Tree!$A:$A,Species_rpt!$B59,Tree!$F:$F,"D",Tree!$K:$K,"&lt;&gt;"&amp;"N")/$C59,SUMIFS(Tree!$O:$O,Tree!$A:$A,Species_rpt!$B59,Tree!$D:$D,Species_rpt!K$3,Tree!$F:$F,"L",Tree!$K:$K,"&lt;&gt;"&amp;"N")/$C59))</f>
        <v/>
      </c>
      <c r="L59" s="297" t="str">
        <f>IF(OR($C59="",L$3=""),"",IF(L$3="Snag",SUMIFS(Tree!$O:$O,Tree!$A:$A,Species_rpt!$B59,Tree!$F:$F,"D",Tree!$K:$K,"&lt;&gt;"&amp;"N")/$C59,SUMIFS(Tree!$O:$O,Tree!$A:$A,Species_rpt!$B59,Tree!$D:$D,Species_rpt!L$3,Tree!$F:$F,"L",Tree!$K:$K,"&lt;&gt;"&amp;"N")/$C59))</f>
        <v/>
      </c>
      <c r="M59" s="297" t="str">
        <f>IF(OR($C59="",M$3=""),"",IF(M$3="Snag",SUMIFS(Tree!$O:$O,Tree!$A:$A,Species_rpt!$B59,Tree!$F:$F,"D",Tree!$K:$K,"&lt;&gt;"&amp;"N")/$C59,SUMIFS(Tree!$O:$O,Tree!$A:$A,Species_rpt!$B59,Tree!$D:$D,Species_rpt!M$3,Tree!$F:$F,"L",Tree!$K:$K,"&lt;&gt;"&amp;"N")/$C59))</f>
        <v/>
      </c>
      <c r="N59" s="297" t="str">
        <f>IF(OR($C59="",N$3=""),"",IF(N$3="Snag",SUMIFS(Tree!$O:$O,Tree!$A:$A,Species_rpt!$B59,Tree!$F:$F,"D",Tree!$K:$K,"&lt;&gt;"&amp;"N")/$C59,SUMIFS(Tree!$O:$O,Tree!$A:$A,Species_rpt!$B59,Tree!$D:$D,Species_rpt!N$3,Tree!$F:$F,"L",Tree!$K:$K,"&lt;&gt;"&amp;"N")/$C59))</f>
        <v/>
      </c>
      <c r="O59" s="297" t="str">
        <f>IF(OR($C59="",O$3=""),"",IF(O$3="Snag",SUMIFS(Tree!$O:$O,Tree!$A:$A,Species_rpt!$B59,Tree!$F:$F,"D",Tree!$K:$K,"&lt;&gt;"&amp;"N")/$C59,SUMIFS(Tree!$O:$O,Tree!$A:$A,Species_rpt!$B59,Tree!$D:$D,Species_rpt!O$3,Tree!$F:$F,"L",Tree!$K:$K,"&lt;&gt;"&amp;"N")/$C59))</f>
        <v/>
      </c>
      <c r="P59" s="298" t="str">
        <f t="shared" si="5"/>
        <v/>
      </c>
      <c r="Q59" s="83"/>
      <c r="R59" s="152" t="str">
        <f>IF(OR($C59="",R$3=""),"",IF(R$3="Snag",SUMIFS(Tree!$R:$R,Tree!$A:$A,Species_rpt!$B59,Tree!$F:$F,"D",Tree!$K:$K,"&lt;&gt;"&amp;"N")/$C59,SUMIFS(Tree!$R:$R,Tree!$A:$A,Species_rpt!$B59,Tree!$D:$D,Species_rpt!R$3,Tree!$F:$F,"L",Tree!$K:$K,"&lt;&gt;"&amp;"N")/$C59))</f>
        <v/>
      </c>
      <c r="S59" s="297" t="str">
        <f>IF(OR($C59="",S$3=""),"",IF(S$3="Snag",SUMIFS(Tree!$R:$R,Tree!$A:$A,Species_rpt!$B59,Tree!$F:$F,"D",Tree!$K:$K,"&lt;&gt;"&amp;"N")/$C59,SUMIFS(Tree!$R:$R,Tree!$A:$A,Species_rpt!$B59,Tree!$D:$D,Species_rpt!S$3,Tree!$F:$F,"L",Tree!$K:$K,"&lt;&gt;"&amp;"N")/$C59))</f>
        <v/>
      </c>
      <c r="T59" s="297" t="str">
        <f>IF(OR($C59="",T$3=""),"",IF(T$3="Snag",SUMIFS(Tree!$R:$R,Tree!$A:$A,Species_rpt!$B59,Tree!$F:$F,"D",Tree!$K:$K,"&lt;&gt;"&amp;"N")/$C59,SUMIFS(Tree!$R:$R,Tree!$A:$A,Species_rpt!$B59,Tree!$D:$D,Species_rpt!T$3,Tree!$F:$F,"L",Tree!$K:$K,"&lt;&gt;"&amp;"N")/$C59))</f>
        <v/>
      </c>
      <c r="U59" s="297" t="str">
        <f>IF(OR($C59="",U$3=""),"",IF(U$3="Snag",SUMIFS(Tree!$R:$R,Tree!$A:$A,Species_rpt!$B59,Tree!$F:$F,"D",Tree!$K:$K,"&lt;&gt;"&amp;"N")/$C59,SUMIFS(Tree!$R:$R,Tree!$A:$A,Species_rpt!$B59,Tree!$D:$D,Species_rpt!U$3,Tree!$F:$F,"L",Tree!$K:$K,"&lt;&gt;"&amp;"N")/$C59))</f>
        <v/>
      </c>
      <c r="V59" s="297" t="str">
        <f>IF(OR($C59="",V$3=""),"",IF(V$3="Snag",SUMIFS(Tree!$R:$R,Tree!$A:$A,Species_rpt!$B59,Tree!$F:$F,"D",Tree!$K:$K,"&lt;&gt;"&amp;"N")/$C59,SUMIFS(Tree!$R:$R,Tree!$A:$A,Species_rpt!$B59,Tree!$D:$D,Species_rpt!V$3,Tree!$F:$F,"L",Tree!$K:$K,"&lt;&gt;"&amp;"N")/$C59))</f>
        <v/>
      </c>
      <c r="W59" s="297" t="str">
        <f>IF(OR($C59="",W$3=""),"",IF(W$3="Snag",SUMIFS(Tree!$R:$R,Tree!$A:$A,Species_rpt!$B59,Tree!$F:$F,"D",Tree!$K:$K,"&lt;&gt;"&amp;"N")/$C59,SUMIFS(Tree!$R:$R,Tree!$A:$A,Species_rpt!$B59,Tree!$D:$D,Species_rpt!W$3,Tree!$F:$F,"L",Tree!$K:$K,"&lt;&gt;"&amp;"N")/$C59))</f>
        <v/>
      </c>
      <c r="X59" s="297" t="str">
        <f>IF(OR($C59="",X$3=""),"",IF(X$3="Snag",SUMIFS(Tree!$R:$R,Tree!$A:$A,Species_rpt!$B59,Tree!$F:$F,"D",Tree!$K:$K,"&lt;&gt;"&amp;"N")/$C59,SUMIFS(Tree!$R:$R,Tree!$A:$A,Species_rpt!$B59,Tree!$D:$D,Species_rpt!X$3,Tree!$F:$F,"L",Tree!$K:$K,"&lt;&gt;"&amp;"N")/$C59))</f>
        <v/>
      </c>
      <c r="Y59" s="297" t="str">
        <f>IF(OR($C59="",Y$3=""),"",IF(Y$3="Snag",SUMIFS(Tree!$R:$R,Tree!$A:$A,Species_rpt!$B59,Tree!$F:$F,"D",Tree!$K:$K,"&lt;&gt;"&amp;"N")/$C59,SUMIFS(Tree!$R:$R,Tree!$A:$A,Species_rpt!$B59,Tree!$D:$D,Species_rpt!Y$3,Tree!$F:$F,"L",Tree!$K:$K,"&lt;&gt;"&amp;"N")/$C59))</f>
        <v/>
      </c>
      <c r="Z59" s="297" t="str">
        <f>IF(OR($C59="",Z$3=""),"",IF(Z$3="Snag",SUMIFS(Tree!$R:$R,Tree!$A:$A,Species_rpt!$B59,Tree!$F:$F,"D",Tree!$K:$K,"&lt;&gt;"&amp;"N")/$C59,SUMIFS(Tree!$R:$R,Tree!$A:$A,Species_rpt!$B59,Tree!$D:$D,Species_rpt!Z$3,Tree!$F:$F,"L",Tree!$K:$K,"&lt;&gt;"&amp;"N")/$C59))</f>
        <v/>
      </c>
      <c r="AA59" s="297" t="str">
        <f>IF(OR($C59="",AA$3=""),"",IF(AA$3="Snag",SUMIFS(Tree!$R:$R,Tree!$A:$A,Species_rpt!$B59,Tree!$F:$F,"D",Tree!$K:$K,"&lt;&gt;"&amp;"N")/$C59,SUMIFS(Tree!$R:$R,Tree!$A:$A,Species_rpt!$B59,Tree!$D:$D,Species_rpt!AA$3,Tree!$F:$F,"L",Tree!$K:$K,"&lt;&gt;"&amp;"N")/$C59))</f>
        <v/>
      </c>
      <c r="AB59" s="297" t="str">
        <f>IF(OR($C59="",AB$3=""),"",IF(AB$3="Snag",SUMIFS(Tree!$R:$R,Tree!$A:$A,Species_rpt!$B59,Tree!$F:$F,"D",Tree!$K:$K,"&lt;&gt;"&amp;"N")/$C59,SUMIFS(Tree!$R:$R,Tree!$A:$A,Species_rpt!$B59,Tree!$D:$D,Species_rpt!AB$3,Tree!$F:$F,"L",Tree!$K:$K,"&lt;&gt;"&amp;"N")/$C59))</f>
        <v/>
      </c>
      <c r="AC59" s="298" t="str">
        <f t="shared" si="6"/>
        <v/>
      </c>
    </row>
    <row r="60" spans="2:29" x14ac:dyDescent="0.25">
      <c r="B60" s="201" t="str">
        <f>IF(Stand!C27="","",Stand!C27)</f>
        <v/>
      </c>
      <c r="C60" s="154" t="str">
        <f>IF(B28="","",VLOOKUP(B28,Stand!C:H,6,0))</f>
        <v/>
      </c>
      <c r="D60" s="28"/>
      <c r="E60" s="152" t="str">
        <f>IF(OR($C60="",E$3=""),"",IF(E$3="Snag",SUMIFS(Tree!$O:$O,Tree!$A:$A,Species_rpt!$B60,Tree!$F:$F,"D",Tree!$K:$K,"&lt;&gt;"&amp;"N")/$C60,SUMIFS(Tree!$O:$O,Tree!$A:$A,Species_rpt!$B60,Tree!$D:$D,Species_rpt!E$3,Tree!$F:$F,"L",Tree!$K:$K,"&lt;&gt;"&amp;"N")/$C60))</f>
        <v/>
      </c>
      <c r="F60" s="297" t="str">
        <f>IF(OR($C60="",F$3=""),"",IF(F$3="Snag",SUMIFS(Tree!$O:$O,Tree!$A:$A,Species_rpt!$B60,Tree!$F:$F,"D",Tree!$K:$K,"&lt;&gt;"&amp;"N")/$C60,SUMIFS(Tree!$O:$O,Tree!$A:$A,Species_rpt!$B60,Tree!$D:$D,Species_rpt!F$3,Tree!$F:$F,"L",Tree!$K:$K,"&lt;&gt;"&amp;"N")/$C60))</f>
        <v/>
      </c>
      <c r="G60" s="297" t="str">
        <f>IF(OR($C60="",G$3=""),"",IF(G$3="Snag",SUMIFS(Tree!$O:$O,Tree!$A:$A,Species_rpt!$B60,Tree!$F:$F,"D",Tree!$K:$K,"&lt;&gt;"&amp;"N")/$C60,SUMIFS(Tree!$O:$O,Tree!$A:$A,Species_rpt!$B60,Tree!$D:$D,Species_rpt!G$3,Tree!$F:$F,"L",Tree!$K:$K,"&lt;&gt;"&amp;"N")/$C60))</f>
        <v/>
      </c>
      <c r="H60" s="297" t="str">
        <f>IF(OR($C60="",H$3=""),"",IF(H$3="Snag",SUMIFS(Tree!$O:$O,Tree!$A:$A,Species_rpt!$B60,Tree!$F:$F,"D",Tree!$K:$K,"&lt;&gt;"&amp;"N")/$C60,SUMIFS(Tree!$O:$O,Tree!$A:$A,Species_rpt!$B60,Tree!$D:$D,Species_rpt!H$3,Tree!$F:$F,"L",Tree!$K:$K,"&lt;&gt;"&amp;"N")/$C60))</f>
        <v/>
      </c>
      <c r="I60" s="297" t="str">
        <f>IF(OR($C60="",I$3=""),"",IF(I$3="Snag",SUMIFS(Tree!$O:$O,Tree!$A:$A,Species_rpt!$B60,Tree!$F:$F,"D",Tree!$K:$K,"&lt;&gt;"&amp;"N")/$C60,SUMIFS(Tree!$O:$O,Tree!$A:$A,Species_rpt!$B60,Tree!$D:$D,Species_rpt!I$3,Tree!$F:$F,"L",Tree!$K:$K,"&lt;&gt;"&amp;"N")/$C60))</f>
        <v/>
      </c>
      <c r="J60" s="297" t="str">
        <f>IF(OR($C60="",J$3=""),"",IF(J$3="Snag",SUMIFS(Tree!$O:$O,Tree!$A:$A,Species_rpt!$B60,Tree!$F:$F,"D",Tree!$K:$K,"&lt;&gt;"&amp;"N")/$C60,SUMIFS(Tree!$O:$O,Tree!$A:$A,Species_rpt!$B60,Tree!$D:$D,Species_rpt!J$3,Tree!$F:$F,"L",Tree!$K:$K,"&lt;&gt;"&amp;"N")/$C60))</f>
        <v/>
      </c>
      <c r="K60" s="297" t="str">
        <f>IF(OR($C60="",K$3=""),"",IF(K$3="Snag",SUMIFS(Tree!$O:$O,Tree!$A:$A,Species_rpt!$B60,Tree!$F:$F,"D",Tree!$K:$K,"&lt;&gt;"&amp;"N")/$C60,SUMIFS(Tree!$O:$O,Tree!$A:$A,Species_rpt!$B60,Tree!$D:$D,Species_rpt!K$3,Tree!$F:$F,"L",Tree!$K:$K,"&lt;&gt;"&amp;"N")/$C60))</f>
        <v/>
      </c>
      <c r="L60" s="297" t="str">
        <f>IF(OR($C60="",L$3=""),"",IF(L$3="Snag",SUMIFS(Tree!$O:$O,Tree!$A:$A,Species_rpt!$B60,Tree!$F:$F,"D",Tree!$K:$K,"&lt;&gt;"&amp;"N")/$C60,SUMIFS(Tree!$O:$O,Tree!$A:$A,Species_rpt!$B60,Tree!$D:$D,Species_rpt!L$3,Tree!$F:$F,"L",Tree!$K:$K,"&lt;&gt;"&amp;"N")/$C60))</f>
        <v/>
      </c>
      <c r="M60" s="297" t="str">
        <f>IF(OR($C60="",M$3=""),"",IF(M$3="Snag",SUMIFS(Tree!$O:$O,Tree!$A:$A,Species_rpt!$B60,Tree!$F:$F,"D",Tree!$K:$K,"&lt;&gt;"&amp;"N")/$C60,SUMIFS(Tree!$O:$O,Tree!$A:$A,Species_rpt!$B60,Tree!$D:$D,Species_rpt!M$3,Tree!$F:$F,"L",Tree!$K:$K,"&lt;&gt;"&amp;"N")/$C60))</f>
        <v/>
      </c>
      <c r="N60" s="297" t="str">
        <f>IF(OR($C60="",N$3=""),"",IF(N$3="Snag",SUMIFS(Tree!$O:$O,Tree!$A:$A,Species_rpt!$B60,Tree!$F:$F,"D",Tree!$K:$K,"&lt;&gt;"&amp;"N")/$C60,SUMIFS(Tree!$O:$O,Tree!$A:$A,Species_rpt!$B60,Tree!$D:$D,Species_rpt!N$3,Tree!$F:$F,"L",Tree!$K:$K,"&lt;&gt;"&amp;"N")/$C60))</f>
        <v/>
      </c>
      <c r="O60" s="297" t="str">
        <f>IF(OR($C60="",O$3=""),"",IF(O$3="Snag",SUMIFS(Tree!$O:$O,Tree!$A:$A,Species_rpt!$B60,Tree!$F:$F,"D",Tree!$K:$K,"&lt;&gt;"&amp;"N")/$C60,SUMIFS(Tree!$O:$O,Tree!$A:$A,Species_rpt!$B60,Tree!$D:$D,Species_rpt!O$3,Tree!$F:$F,"L",Tree!$K:$K,"&lt;&gt;"&amp;"N")/$C60))</f>
        <v/>
      </c>
      <c r="P60" s="298" t="str">
        <f t="shared" si="5"/>
        <v/>
      </c>
      <c r="Q60" s="83"/>
      <c r="R60" s="152" t="str">
        <f>IF(OR($C60="",R$3=""),"",IF(R$3="Snag",SUMIFS(Tree!$R:$R,Tree!$A:$A,Species_rpt!$B60,Tree!$F:$F,"D",Tree!$K:$K,"&lt;&gt;"&amp;"N")/$C60,SUMIFS(Tree!$R:$R,Tree!$A:$A,Species_rpt!$B60,Tree!$D:$D,Species_rpt!R$3,Tree!$F:$F,"L",Tree!$K:$K,"&lt;&gt;"&amp;"N")/$C60))</f>
        <v/>
      </c>
      <c r="S60" s="297" t="str">
        <f>IF(OR($C60="",S$3=""),"",IF(S$3="Snag",SUMIFS(Tree!$R:$R,Tree!$A:$A,Species_rpt!$B60,Tree!$F:$F,"D",Tree!$K:$K,"&lt;&gt;"&amp;"N")/$C60,SUMIFS(Tree!$R:$R,Tree!$A:$A,Species_rpt!$B60,Tree!$D:$D,Species_rpt!S$3,Tree!$F:$F,"L",Tree!$K:$K,"&lt;&gt;"&amp;"N")/$C60))</f>
        <v/>
      </c>
      <c r="T60" s="297" t="str">
        <f>IF(OR($C60="",T$3=""),"",IF(T$3="Snag",SUMIFS(Tree!$R:$R,Tree!$A:$A,Species_rpt!$B60,Tree!$F:$F,"D",Tree!$K:$K,"&lt;&gt;"&amp;"N")/$C60,SUMIFS(Tree!$R:$R,Tree!$A:$A,Species_rpt!$B60,Tree!$D:$D,Species_rpt!T$3,Tree!$F:$F,"L",Tree!$K:$K,"&lt;&gt;"&amp;"N")/$C60))</f>
        <v/>
      </c>
      <c r="U60" s="297" t="str">
        <f>IF(OR($C60="",U$3=""),"",IF(U$3="Snag",SUMIFS(Tree!$R:$R,Tree!$A:$A,Species_rpt!$B60,Tree!$F:$F,"D",Tree!$K:$K,"&lt;&gt;"&amp;"N")/$C60,SUMIFS(Tree!$R:$R,Tree!$A:$A,Species_rpt!$B60,Tree!$D:$D,Species_rpt!U$3,Tree!$F:$F,"L",Tree!$K:$K,"&lt;&gt;"&amp;"N")/$C60))</f>
        <v/>
      </c>
      <c r="V60" s="297" t="str">
        <f>IF(OR($C60="",V$3=""),"",IF(V$3="Snag",SUMIFS(Tree!$R:$R,Tree!$A:$A,Species_rpt!$B60,Tree!$F:$F,"D",Tree!$K:$K,"&lt;&gt;"&amp;"N")/$C60,SUMIFS(Tree!$R:$R,Tree!$A:$A,Species_rpt!$B60,Tree!$D:$D,Species_rpt!V$3,Tree!$F:$F,"L",Tree!$K:$K,"&lt;&gt;"&amp;"N")/$C60))</f>
        <v/>
      </c>
      <c r="W60" s="297" t="str">
        <f>IF(OR($C60="",W$3=""),"",IF(W$3="Snag",SUMIFS(Tree!$R:$R,Tree!$A:$A,Species_rpt!$B60,Tree!$F:$F,"D",Tree!$K:$K,"&lt;&gt;"&amp;"N")/$C60,SUMIFS(Tree!$R:$R,Tree!$A:$A,Species_rpt!$B60,Tree!$D:$D,Species_rpt!W$3,Tree!$F:$F,"L",Tree!$K:$K,"&lt;&gt;"&amp;"N")/$C60))</f>
        <v/>
      </c>
      <c r="X60" s="297" t="str">
        <f>IF(OR($C60="",X$3=""),"",IF(X$3="Snag",SUMIFS(Tree!$R:$R,Tree!$A:$A,Species_rpt!$B60,Tree!$F:$F,"D",Tree!$K:$K,"&lt;&gt;"&amp;"N")/$C60,SUMIFS(Tree!$R:$R,Tree!$A:$A,Species_rpt!$B60,Tree!$D:$D,Species_rpt!X$3,Tree!$F:$F,"L",Tree!$K:$K,"&lt;&gt;"&amp;"N")/$C60))</f>
        <v/>
      </c>
      <c r="Y60" s="297" t="str">
        <f>IF(OR($C60="",Y$3=""),"",IF(Y$3="Snag",SUMIFS(Tree!$R:$R,Tree!$A:$A,Species_rpt!$B60,Tree!$F:$F,"D",Tree!$K:$K,"&lt;&gt;"&amp;"N")/$C60,SUMIFS(Tree!$R:$R,Tree!$A:$A,Species_rpt!$B60,Tree!$D:$D,Species_rpt!Y$3,Tree!$F:$F,"L",Tree!$K:$K,"&lt;&gt;"&amp;"N")/$C60))</f>
        <v/>
      </c>
      <c r="Z60" s="297" t="str">
        <f>IF(OR($C60="",Z$3=""),"",IF(Z$3="Snag",SUMIFS(Tree!$R:$R,Tree!$A:$A,Species_rpt!$B60,Tree!$F:$F,"D",Tree!$K:$K,"&lt;&gt;"&amp;"N")/$C60,SUMIFS(Tree!$R:$R,Tree!$A:$A,Species_rpt!$B60,Tree!$D:$D,Species_rpt!Z$3,Tree!$F:$F,"L",Tree!$K:$K,"&lt;&gt;"&amp;"N")/$C60))</f>
        <v/>
      </c>
      <c r="AA60" s="297" t="str">
        <f>IF(OR($C60="",AA$3=""),"",IF(AA$3="Snag",SUMIFS(Tree!$R:$R,Tree!$A:$A,Species_rpt!$B60,Tree!$F:$F,"D",Tree!$K:$K,"&lt;&gt;"&amp;"N")/$C60,SUMIFS(Tree!$R:$R,Tree!$A:$A,Species_rpt!$B60,Tree!$D:$D,Species_rpt!AA$3,Tree!$F:$F,"L",Tree!$K:$K,"&lt;&gt;"&amp;"N")/$C60))</f>
        <v/>
      </c>
      <c r="AB60" s="297" t="str">
        <f>IF(OR($C60="",AB$3=""),"",IF(AB$3="Snag",SUMIFS(Tree!$R:$R,Tree!$A:$A,Species_rpt!$B60,Tree!$F:$F,"D",Tree!$K:$K,"&lt;&gt;"&amp;"N")/$C60,SUMIFS(Tree!$R:$R,Tree!$A:$A,Species_rpt!$B60,Tree!$D:$D,Species_rpt!AB$3,Tree!$F:$F,"L",Tree!$K:$K,"&lt;&gt;"&amp;"N")/$C60))</f>
        <v/>
      </c>
      <c r="AC60" s="298" t="str">
        <f t="shared" si="6"/>
        <v/>
      </c>
    </row>
    <row r="61" spans="2:29" x14ac:dyDescent="0.25">
      <c r="B61" s="201" t="str">
        <f>IF(Stand!C28="","",Stand!C28)</f>
        <v/>
      </c>
      <c r="C61" s="154" t="str">
        <f>IF(B29="","",VLOOKUP(B29,Stand!C:H,6,0))</f>
        <v/>
      </c>
      <c r="D61" s="28"/>
      <c r="E61" s="152" t="str">
        <f>IF(OR($C61="",E$3=""),"",IF(E$3="Snag",SUMIFS(Tree!$O:$O,Tree!$A:$A,Species_rpt!$B61,Tree!$F:$F,"D",Tree!$K:$K,"&lt;&gt;"&amp;"N")/$C61,SUMIFS(Tree!$O:$O,Tree!$A:$A,Species_rpt!$B61,Tree!$D:$D,Species_rpt!E$3,Tree!$F:$F,"L",Tree!$K:$K,"&lt;&gt;"&amp;"N")/$C61))</f>
        <v/>
      </c>
      <c r="F61" s="297" t="str">
        <f>IF(OR($C61="",F$3=""),"",IF(F$3="Snag",SUMIFS(Tree!$O:$O,Tree!$A:$A,Species_rpt!$B61,Tree!$F:$F,"D",Tree!$K:$K,"&lt;&gt;"&amp;"N")/$C61,SUMIFS(Tree!$O:$O,Tree!$A:$A,Species_rpt!$B61,Tree!$D:$D,Species_rpt!F$3,Tree!$F:$F,"L",Tree!$K:$K,"&lt;&gt;"&amp;"N")/$C61))</f>
        <v/>
      </c>
      <c r="G61" s="297" t="str">
        <f>IF(OR($C61="",G$3=""),"",IF(G$3="Snag",SUMIFS(Tree!$O:$O,Tree!$A:$A,Species_rpt!$B61,Tree!$F:$F,"D",Tree!$K:$K,"&lt;&gt;"&amp;"N")/$C61,SUMIFS(Tree!$O:$O,Tree!$A:$A,Species_rpt!$B61,Tree!$D:$D,Species_rpt!G$3,Tree!$F:$F,"L",Tree!$K:$K,"&lt;&gt;"&amp;"N")/$C61))</f>
        <v/>
      </c>
      <c r="H61" s="297" t="str">
        <f>IF(OR($C61="",H$3=""),"",IF(H$3="Snag",SUMIFS(Tree!$O:$O,Tree!$A:$A,Species_rpt!$B61,Tree!$F:$F,"D",Tree!$K:$K,"&lt;&gt;"&amp;"N")/$C61,SUMIFS(Tree!$O:$O,Tree!$A:$A,Species_rpt!$B61,Tree!$D:$D,Species_rpt!H$3,Tree!$F:$F,"L",Tree!$K:$K,"&lt;&gt;"&amp;"N")/$C61))</f>
        <v/>
      </c>
      <c r="I61" s="297" t="str">
        <f>IF(OR($C61="",I$3=""),"",IF(I$3="Snag",SUMIFS(Tree!$O:$O,Tree!$A:$A,Species_rpt!$B61,Tree!$F:$F,"D",Tree!$K:$K,"&lt;&gt;"&amp;"N")/$C61,SUMIFS(Tree!$O:$O,Tree!$A:$A,Species_rpt!$B61,Tree!$D:$D,Species_rpt!I$3,Tree!$F:$F,"L",Tree!$K:$K,"&lt;&gt;"&amp;"N")/$C61))</f>
        <v/>
      </c>
      <c r="J61" s="297" t="str">
        <f>IF(OR($C61="",J$3=""),"",IF(J$3="Snag",SUMIFS(Tree!$O:$O,Tree!$A:$A,Species_rpt!$B61,Tree!$F:$F,"D",Tree!$K:$K,"&lt;&gt;"&amp;"N")/$C61,SUMIFS(Tree!$O:$O,Tree!$A:$A,Species_rpt!$B61,Tree!$D:$D,Species_rpt!J$3,Tree!$F:$F,"L",Tree!$K:$K,"&lt;&gt;"&amp;"N")/$C61))</f>
        <v/>
      </c>
      <c r="K61" s="297" t="str">
        <f>IF(OR($C61="",K$3=""),"",IF(K$3="Snag",SUMIFS(Tree!$O:$O,Tree!$A:$A,Species_rpt!$B61,Tree!$F:$F,"D",Tree!$K:$K,"&lt;&gt;"&amp;"N")/$C61,SUMIFS(Tree!$O:$O,Tree!$A:$A,Species_rpt!$B61,Tree!$D:$D,Species_rpt!K$3,Tree!$F:$F,"L",Tree!$K:$K,"&lt;&gt;"&amp;"N")/$C61))</f>
        <v/>
      </c>
      <c r="L61" s="297" t="str">
        <f>IF(OR($C61="",L$3=""),"",IF(L$3="Snag",SUMIFS(Tree!$O:$O,Tree!$A:$A,Species_rpt!$B61,Tree!$F:$F,"D",Tree!$K:$K,"&lt;&gt;"&amp;"N")/$C61,SUMIFS(Tree!$O:$O,Tree!$A:$A,Species_rpt!$B61,Tree!$D:$D,Species_rpt!L$3,Tree!$F:$F,"L",Tree!$K:$K,"&lt;&gt;"&amp;"N")/$C61))</f>
        <v/>
      </c>
      <c r="M61" s="297" t="str">
        <f>IF(OR($C61="",M$3=""),"",IF(M$3="Snag",SUMIFS(Tree!$O:$O,Tree!$A:$A,Species_rpt!$B61,Tree!$F:$F,"D",Tree!$K:$K,"&lt;&gt;"&amp;"N")/$C61,SUMIFS(Tree!$O:$O,Tree!$A:$A,Species_rpt!$B61,Tree!$D:$D,Species_rpt!M$3,Tree!$F:$F,"L",Tree!$K:$K,"&lt;&gt;"&amp;"N")/$C61))</f>
        <v/>
      </c>
      <c r="N61" s="297" t="str">
        <f>IF(OR($C61="",N$3=""),"",IF(N$3="Snag",SUMIFS(Tree!$O:$O,Tree!$A:$A,Species_rpt!$B61,Tree!$F:$F,"D",Tree!$K:$K,"&lt;&gt;"&amp;"N")/$C61,SUMIFS(Tree!$O:$O,Tree!$A:$A,Species_rpt!$B61,Tree!$D:$D,Species_rpt!N$3,Tree!$F:$F,"L",Tree!$K:$K,"&lt;&gt;"&amp;"N")/$C61))</f>
        <v/>
      </c>
      <c r="O61" s="297" t="str">
        <f>IF(OR($C61="",O$3=""),"",IF(O$3="Snag",SUMIFS(Tree!$O:$O,Tree!$A:$A,Species_rpt!$B61,Tree!$F:$F,"D",Tree!$K:$K,"&lt;&gt;"&amp;"N")/$C61,SUMIFS(Tree!$O:$O,Tree!$A:$A,Species_rpt!$B61,Tree!$D:$D,Species_rpt!O$3,Tree!$F:$F,"L",Tree!$K:$K,"&lt;&gt;"&amp;"N")/$C61))</f>
        <v/>
      </c>
      <c r="P61" s="298" t="str">
        <f t="shared" si="5"/>
        <v/>
      </c>
      <c r="Q61" s="83"/>
      <c r="R61" s="152" t="str">
        <f>IF(OR($C61="",R$3=""),"",IF(R$3="Snag",SUMIFS(Tree!$R:$R,Tree!$A:$A,Species_rpt!$B61,Tree!$F:$F,"D",Tree!$K:$K,"&lt;&gt;"&amp;"N")/$C61,SUMIFS(Tree!$R:$R,Tree!$A:$A,Species_rpt!$B61,Tree!$D:$D,Species_rpt!R$3,Tree!$F:$F,"L",Tree!$K:$K,"&lt;&gt;"&amp;"N")/$C61))</f>
        <v/>
      </c>
      <c r="S61" s="297" t="str">
        <f>IF(OR($C61="",S$3=""),"",IF(S$3="Snag",SUMIFS(Tree!$R:$R,Tree!$A:$A,Species_rpt!$B61,Tree!$F:$F,"D",Tree!$K:$K,"&lt;&gt;"&amp;"N")/$C61,SUMIFS(Tree!$R:$R,Tree!$A:$A,Species_rpt!$B61,Tree!$D:$D,Species_rpt!S$3,Tree!$F:$F,"L",Tree!$K:$K,"&lt;&gt;"&amp;"N")/$C61))</f>
        <v/>
      </c>
      <c r="T61" s="297" t="str">
        <f>IF(OR($C61="",T$3=""),"",IF(T$3="Snag",SUMIFS(Tree!$R:$R,Tree!$A:$A,Species_rpt!$B61,Tree!$F:$F,"D",Tree!$K:$K,"&lt;&gt;"&amp;"N")/$C61,SUMIFS(Tree!$R:$R,Tree!$A:$A,Species_rpt!$B61,Tree!$D:$D,Species_rpt!T$3,Tree!$F:$F,"L",Tree!$K:$K,"&lt;&gt;"&amp;"N")/$C61))</f>
        <v/>
      </c>
      <c r="U61" s="297" t="str">
        <f>IF(OR($C61="",U$3=""),"",IF(U$3="Snag",SUMIFS(Tree!$R:$R,Tree!$A:$A,Species_rpt!$B61,Tree!$F:$F,"D",Tree!$K:$K,"&lt;&gt;"&amp;"N")/$C61,SUMIFS(Tree!$R:$R,Tree!$A:$A,Species_rpt!$B61,Tree!$D:$D,Species_rpt!U$3,Tree!$F:$F,"L",Tree!$K:$K,"&lt;&gt;"&amp;"N")/$C61))</f>
        <v/>
      </c>
      <c r="V61" s="297" t="str">
        <f>IF(OR($C61="",V$3=""),"",IF(V$3="Snag",SUMIFS(Tree!$R:$R,Tree!$A:$A,Species_rpt!$B61,Tree!$F:$F,"D",Tree!$K:$K,"&lt;&gt;"&amp;"N")/$C61,SUMIFS(Tree!$R:$R,Tree!$A:$A,Species_rpt!$B61,Tree!$D:$D,Species_rpt!V$3,Tree!$F:$F,"L",Tree!$K:$K,"&lt;&gt;"&amp;"N")/$C61))</f>
        <v/>
      </c>
      <c r="W61" s="297" t="str">
        <f>IF(OR($C61="",W$3=""),"",IF(W$3="Snag",SUMIFS(Tree!$R:$R,Tree!$A:$A,Species_rpt!$B61,Tree!$F:$F,"D",Tree!$K:$K,"&lt;&gt;"&amp;"N")/$C61,SUMIFS(Tree!$R:$R,Tree!$A:$A,Species_rpt!$B61,Tree!$D:$D,Species_rpt!W$3,Tree!$F:$F,"L",Tree!$K:$K,"&lt;&gt;"&amp;"N")/$C61))</f>
        <v/>
      </c>
      <c r="X61" s="297" t="str">
        <f>IF(OR($C61="",X$3=""),"",IF(X$3="Snag",SUMIFS(Tree!$R:$R,Tree!$A:$A,Species_rpt!$B61,Tree!$F:$F,"D",Tree!$K:$K,"&lt;&gt;"&amp;"N")/$C61,SUMIFS(Tree!$R:$R,Tree!$A:$A,Species_rpt!$B61,Tree!$D:$D,Species_rpt!X$3,Tree!$F:$F,"L",Tree!$K:$K,"&lt;&gt;"&amp;"N")/$C61))</f>
        <v/>
      </c>
      <c r="Y61" s="297" t="str">
        <f>IF(OR($C61="",Y$3=""),"",IF(Y$3="Snag",SUMIFS(Tree!$R:$R,Tree!$A:$A,Species_rpt!$B61,Tree!$F:$F,"D",Tree!$K:$K,"&lt;&gt;"&amp;"N")/$C61,SUMIFS(Tree!$R:$R,Tree!$A:$A,Species_rpt!$B61,Tree!$D:$D,Species_rpt!Y$3,Tree!$F:$F,"L",Tree!$K:$K,"&lt;&gt;"&amp;"N")/$C61))</f>
        <v/>
      </c>
      <c r="Z61" s="297" t="str">
        <f>IF(OR($C61="",Z$3=""),"",IF(Z$3="Snag",SUMIFS(Tree!$R:$R,Tree!$A:$A,Species_rpt!$B61,Tree!$F:$F,"D",Tree!$K:$K,"&lt;&gt;"&amp;"N")/$C61,SUMIFS(Tree!$R:$R,Tree!$A:$A,Species_rpt!$B61,Tree!$D:$D,Species_rpt!Z$3,Tree!$F:$F,"L",Tree!$K:$K,"&lt;&gt;"&amp;"N")/$C61))</f>
        <v/>
      </c>
      <c r="AA61" s="297" t="str">
        <f>IF(OR($C61="",AA$3=""),"",IF(AA$3="Snag",SUMIFS(Tree!$R:$R,Tree!$A:$A,Species_rpt!$B61,Tree!$F:$F,"D",Tree!$K:$K,"&lt;&gt;"&amp;"N")/$C61,SUMIFS(Tree!$R:$R,Tree!$A:$A,Species_rpt!$B61,Tree!$D:$D,Species_rpt!AA$3,Tree!$F:$F,"L",Tree!$K:$K,"&lt;&gt;"&amp;"N")/$C61))</f>
        <v/>
      </c>
      <c r="AB61" s="297" t="str">
        <f>IF(OR($C61="",AB$3=""),"",IF(AB$3="Snag",SUMIFS(Tree!$R:$R,Tree!$A:$A,Species_rpt!$B61,Tree!$F:$F,"D",Tree!$K:$K,"&lt;&gt;"&amp;"N")/$C61,SUMIFS(Tree!$R:$R,Tree!$A:$A,Species_rpt!$B61,Tree!$D:$D,Species_rpt!AB$3,Tree!$F:$F,"L",Tree!$K:$K,"&lt;&gt;"&amp;"N")/$C61))</f>
        <v/>
      </c>
      <c r="AC61" s="298" t="str">
        <f t="shared" si="6"/>
        <v/>
      </c>
    </row>
    <row r="62" spans="2:29" ht="13.8" thickBot="1" x14ac:dyDescent="0.3">
      <c r="B62" s="202" t="str">
        <f>IF(Stand!C29="","",Stand!C29)</f>
        <v/>
      </c>
      <c r="C62" s="165" t="str">
        <f>IF(B30="","",VLOOKUP(B30,Stand!C:H,6,0))</f>
        <v/>
      </c>
      <c r="D62" s="28"/>
      <c r="E62" s="299" t="str">
        <f>IF(OR($C62="",E$3=""),"",IF(E$3="Snag",SUMIFS(Tree!$O:$O,Tree!$A:$A,Species_rpt!$B62,Tree!$F:$F,"D",Tree!$K:$K,"&lt;&gt;"&amp;"N")/$C62,SUMIFS(Tree!$O:$O,Tree!$A:$A,Species_rpt!$B62,Tree!$D:$D,Species_rpt!E$3,Tree!$F:$F,"L",Tree!$K:$K,"&lt;&gt;"&amp;"N")/$C62))</f>
        <v/>
      </c>
      <c r="F62" s="300" t="str">
        <f>IF(OR($C62="",F$3=""),"",IF(F$3="Snag",SUMIFS(Tree!$O:$O,Tree!$A:$A,Species_rpt!$B62,Tree!$F:$F,"D",Tree!$K:$K,"&lt;&gt;"&amp;"N")/$C62,SUMIFS(Tree!$O:$O,Tree!$A:$A,Species_rpt!$B62,Tree!$D:$D,Species_rpt!F$3,Tree!$F:$F,"L",Tree!$K:$K,"&lt;&gt;"&amp;"N")/$C62))</f>
        <v/>
      </c>
      <c r="G62" s="300" t="str">
        <f>IF(OR($C62="",G$3=""),"",IF(G$3="Snag",SUMIFS(Tree!$O:$O,Tree!$A:$A,Species_rpt!$B62,Tree!$F:$F,"D",Tree!$K:$K,"&lt;&gt;"&amp;"N")/$C62,SUMIFS(Tree!$O:$O,Tree!$A:$A,Species_rpt!$B62,Tree!$D:$D,Species_rpt!G$3,Tree!$F:$F,"L",Tree!$K:$K,"&lt;&gt;"&amp;"N")/$C62))</f>
        <v/>
      </c>
      <c r="H62" s="300" t="str">
        <f>IF(OR($C62="",H$3=""),"",IF(H$3="Snag",SUMIFS(Tree!$O:$O,Tree!$A:$A,Species_rpt!$B62,Tree!$F:$F,"D",Tree!$K:$K,"&lt;&gt;"&amp;"N")/$C62,SUMIFS(Tree!$O:$O,Tree!$A:$A,Species_rpt!$B62,Tree!$D:$D,Species_rpt!H$3,Tree!$F:$F,"L",Tree!$K:$K,"&lt;&gt;"&amp;"N")/$C62))</f>
        <v/>
      </c>
      <c r="I62" s="300" t="str">
        <f>IF(OR($C62="",I$3=""),"",IF(I$3="Snag",SUMIFS(Tree!$O:$O,Tree!$A:$A,Species_rpt!$B62,Tree!$F:$F,"D",Tree!$K:$K,"&lt;&gt;"&amp;"N")/$C62,SUMIFS(Tree!$O:$O,Tree!$A:$A,Species_rpt!$B62,Tree!$D:$D,Species_rpt!I$3,Tree!$F:$F,"L",Tree!$K:$K,"&lt;&gt;"&amp;"N")/$C62))</f>
        <v/>
      </c>
      <c r="J62" s="300" t="str">
        <f>IF(OR($C62="",J$3=""),"",IF(J$3="Snag",SUMIFS(Tree!$O:$O,Tree!$A:$A,Species_rpt!$B62,Tree!$F:$F,"D",Tree!$K:$K,"&lt;&gt;"&amp;"N")/$C62,SUMIFS(Tree!$O:$O,Tree!$A:$A,Species_rpt!$B62,Tree!$D:$D,Species_rpt!J$3,Tree!$F:$F,"L",Tree!$K:$K,"&lt;&gt;"&amp;"N")/$C62))</f>
        <v/>
      </c>
      <c r="K62" s="300" t="str">
        <f>IF(OR($C62="",K$3=""),"",IF(K$3="Snag",SUMIFS(Tree!$O:$O,Tree!$A:$A,Species_rpt!$B62,Tree!$F:$F,"D",Tree!$K:$K,"&lt;&gt;"&amp;"N")/$C62,SUMIFS(Tree!$O:$O,Tree!$A:$A,Species_rpt!$B62,Tree!$D:$D,Species_rpt!K$3,Tree!$F:$F,"L",Tree!$K:$K,"&lt;&gt;"&amp;"N")/$C62))</f>
        <v/>
      </c>
      <c r="L62" s="300" t="str">
        <f>IF(OR($C62="",L$3=""),"",IF(L$3="Snag",SUMIFS(Tree!$O:$O,Tree!$A:$A,Species_rpt!$B62,Tree!$F:$F,"D",Tree!$K:$K,"&lt;&gt;"&amp;"N")/$C62,SUMIFS(Tree!$O:$O,Tree!$A:$A,Species_rpt!$B62,Tree!$D:$D,Species_rpt!L$3,Tree!$F:$F,"L",Tree!$K:$K,"&lt;&gt;"&amp;"N")/$C62))</f>
        <v/>
      </c>
      <c r="M62" s="300" t="str">
        <f>IF(OR($C62="",M$3=""),"",IF(M$3="Snag",SUMIFS(Tree!$O:$O,Tree!$A:$A,Species_rpt!$B62,Tree!$F:$F,"D",Tree!$K:$K,"&lt;&gt;"&amp;"N")/$C62,SUMIFS(Tree!$O:$O,Tree!$A:$A,Species_rpt!$B62,Tree!$D:$D,Species_rpt!M$3,Tree!$F:$F,"L",Tree!$K:$K,"&lt;&gt;"&amp;"N")/$C62))</f>
        <v/>
      </c>
      <c r="N62" s="300" t="str">
        <f>IF(OR($C62="",N$3=""),"",IF(N$3="Snag",SUMIFS(Tree!$O:$O,Tree!$A:$A,Species_rpt!$B62,Tree!$F:$F,"D",Tree!$K:$K,"&lt;&gt;"&amp;"N")/$C62,SUMIFS(Tree!$O:$O,Tree!$A:$A,Species_rpt!$B62,Tree!$D:$D,Species_rpt!N$3,Tree!$F:$F,"L",Tree!$K:$K,"&lt;&gt;"&amp;"N")/$C62))</f>
        <v/>
      </c>
      <c r="O62" s="300" t="str">
        <f>IF(OR($C62="",O$3=""),"",IF(O$3="Snag",SUMIFS(Tree!$O:$O,Tree!$A:$A,Species_rpt!$B62,Tree!$F:$F,"D",Tree!$K:$K,"&lt;&gt;"&amp;"N")/$C62,SUMIFS(Tree!$O:$O,Tree!$A:$A,Species_rpt!$B62,Tree!$D:$D,Species_rpt!O$3,Tree!$F:$F,"L",Tree!$K:$K,"&lt;&gt;"&amp;"N")/$C62))</f>
        <v/>
      </c>
      <c r="P62" s="306" t="str">
        <f t="shared" si="5"/>
        <v/>
      </c>
      <c r="Q62" s="83"/>
      <c r="R62" s="299" t="str">
        <f>IF(OR($C62="",R$3=""),"",IF(R$3="Snag",SUMIFS(Tree!$R:$R,Tree!$A:$A,Species_rpt!$B62,Tree!$F:$F,"D",Tree!$K:$K,"&lt;&gt;"&amp;"N")/$C62,SUMIFS(Tree!$R:$R,Tree!$A:$A,Species_rpt!$B62,Tree!$D:$D,Species_rpt!R$3,Tree!$F:$F,"L",Tree!$K:$K,"&lt;&gt;"&amp;"N")/$C62))</f>
        <v/>
      </c>
      <c r="S62" s="300" t="str">
        <f>IF(OR($C62="",S$3=""),"",IF(S$3="Snag",SUMIFS(Tree!$R:$R,Tree!$A:$A,Species_rpt!$B62,Tree!$F:$F,"D",Tree!$K:$K,"&lt;&gt;"&amp;"N")/$C62,SUMIFS(Tree!$R:$R,Tree!$A:$A,Species_rpt!$B62,Tree!$D:$D,Species_rpt!S$3,Tree!$F:$F,"L",Tree!$K:$K,"&lt;&gt;"&amp;"N")/$C62))</f>
        <v/>
      </c>
      <c r="T62" s="300" t="str">
        <f>IF(OR($C62="",T$3=""),"",IF(T$3="Snag",SUMIFS(Tree!$R:$R,Tree!$A:$A,Species_rpt!$B62,Tree!$F:$F,"D",Tree!$K:$K,"&lt;&gt;"&amp;"N")/$C62,SUMIFS(Tree!$R:$R,Tree!$A:$A,Species_rpt!$B62,Tree!$D:$D,Species_rpt!T$3,Tree!$F:$F,"L",Tree!$K:$K,"&lt;&gt;"&amp;"N")/$C62))</f>
        <v/>
      </c>
      <c r="U62" s="300" t="str">
        <f>IF(OR($C62="",U$3=""),"",IF(U$3="Snag",SUMIFS(Tree!$R:$R,Tree!$A:$A,Species_rpt!$B62,Tree!$F:$F,"D",Tree!$K:$K,"&lt;&gt;"&amp;"N")/$C62,SUMIFS(Tree!$R:$R,Tree!$A:$A,Species_rpt!$B62,Tree!$D:$D,Species_rpt!U$3,Tree!$F:$F,"L",Tree!$K:$K,"&lt;&gt;"&amp;"N")/$C62))</f>
        <v/>
      </c>
      <c r="V62" s="300" t="str">
        <f>IF(OR($C62="",V$3=""),"",IF(V$3="Snag",SUMIFS(Tree!$R:$R,Tree!$A:$A,Species_rpt!$B62,Tree!$F:$F,"D",Tree!$K:$K,"&lt;&gt;"&amp;"N")/$C62,SUMIFS(Tree!$R:$R,Tree!$A:$A,Species_rpt!$B62,Tree!$D:$D,Species_rpt!V$3,Tree!$F:$F,"L",Tree!$K:$K,"&lt;&gt;"&amp;"N")/$C62))</f>
        <v/>
      </c>
      <c r="W62" s="300" t="str">
        <f>IF(OR($C62="",W$3=""),"",IF(W$3="Snag",SUMIFS(Tree!$R:$R,Tree!$A:$A,Species_rpt!$B62,Tree!$F:$F,"D",Tree!$K:$K,"&lt;&gt;"&amp;"N")/$C62,SUMIFS(Tree!$R:$R,Tree!$A:$A,Species_rpt!$B62,Tree!$D:$D,Species_rpt!W$3,Tree!$F:$F,"L",Tree!$K:$K,"&lt;&gt;"&amp;"N")/$C62))</f>
        <v/>
      </c>
      <c r="X62" s="300" t="str">
        <f>IF(OR($C62="",X$3=""),"",IF(X$3="Snag",SUMIFS(Tree!$R:$R,Tree!$A:$A,Species_rpt!$B62,Tree!$F:$F,"D",Tree!$K:$K,"&lt;&gt;"&amp;"N")/$C62,SUMIFS(Tree!$R:$R,Tree!$A:$A,Species_rpt!$B62,Tree!$D:$D,Species_rpt!X$3,Tree!$F:$F,"L",Tree!$K:$K,"&lt;&gt;"&amp;"N")/$C62))</f>
        <v/>
      </c>
      <c r="Y62" s="300" t="str">
        <f>IF(OR($C62="",Y$3=""),"",IF(Y$3="Snag",SUMIFS(Tree!$R:$R,Tree!$A:$A,Species_rpt!$B62,Tree!$F:$F,"D",Tree!$K:$K,"&lt;&gt;"&amp;"N")/$C62,SUMIFS(Tree!$R:$R,Tree!$A:$A,Species_rpt!$B62,Tree!$D:$D,Species_rpt!Y$3,Tree!$F:$F,"L",Tree!$K:$K,"&lt;&gt;"&amp;"N")/$C62))</f>
        <v/>
      </c>
      <c r="Z62" s="300" t="str">
        <f>IF(OR($C62="",Z$3=""),"",IF(Z$3="Snag",SUMIFS(Tree!$R:$R,Tree!$A:$A,Species_rpt!$B62,Tree!$F:$F,"D",Tree!$K:$K,"&lt;&gt;"&amp;"N")/$C62,SUMIFS(Tree!$R:$R,Tree!$A:$A,Species_rpt!$B62,Tree!$D:$D,Species_rpt!Z$3,Tree!$F:$F,"L",Tree!$K:$K,"&lt;&gt;"&amp;"N")/$C62))</f>
        <v/>
      </c>
      <c r="AA62" s="300" t="str">
        <f>IF(OR($C62="",AA$3=""),"",IF(AA$3="Snag",SUMIFS(Tree!$R:$R,Tree!$A:$A,Species_rpt!$B62,Tree!$F:$F,"D",Tree!$K:$K,"&lt;&gt;"&amp;"N")/$C62,SUMIFS(Tree!$R:$R,Tree!$A:$A,Species_rpt!$B62,Tree!$D:$D,Species_rpt!AA$3,Tree!$F:$F,"L",Tree!$K:$K,"&lt;&gt;"&amp;"N")/$C62))</f>
        <v/>
      </c>
      <c r="AB62" s="300" t="str">
        <f>IF(OR($C62="",AB$3=""),"",IF(AB$3="Snag",SUMIFS(Tree!$R:$R,Tree!$A:$A,Species_rpt!$B62,Tree!$F:$F,"D",Tree!$K:$K,"&lt;&gt;"&amp;"N")/$C62,SUMIFS(Tree!$R:$R,Tree!$A:$A,Species_rpt!$B62,Tree!$D:$D,Species_rpt!AB$3,Tree!$F:$F,"L",Tree!$K:$K,"&lt;&gt;"&amp;"N")/$C62))</f>
        <v/>
      </c>
      <c r="AC62" s="306" t="str">
        <f t="shared" si="6"/>
        <v/>
      </c>
    </row>
  </sheetData>
  <mergeCells count="6">
    <mergeCell ref="B1:C2"/>
    <mergeCell ref="E2:P2"/>
    <mergeCell ref="R2:AC2"/>
    <mergeCell ref="B33:C34"/>
    <mergeCell ref="E34:P34"/>
    <mergeCell ref="R34:AC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05F0-1C46-41CF-BA7D-1233DCEFDDA7}">
  <sheetPr>
    <tabColor rgb="FFCCFFCC"/>
  </sheetPr>
  <dimension ref="A1:AF106"/>
  <sheetViews>
    <sheetView topLeftCell="A25" zoomScale="75" zoomScaleNormal="75" workbookViewId="0">
      <selection activeCell="T40" sqref="T40"/>
    </sheetView>
  </sheetViews>
  <sheetFormatPr defaultRowHeight="13.2" x14ac:dyDescent="0.25"/>
  <cols>
    <col min="1" max="1" width="2.77734375" style="61" customWidth="1"/>
    <col min="2" max="2" width="13.21875" customWidth="1"/>
    <col min="3" max="3" width="7.77734375" customWidth="1"/>
    <col min="4" max="4" width="7.6640625" customWidth="1"/>
    <col min="5" max="5" width="2.5546875" customWidth="1"/>
    <col min="17" max="17" width="10.77734375" customWidth="1"/>
    <col min="18" max="18" width="10.33203125" customWidth="1"/>
    <col min="19" max="19" width="3.21875" customWidth="1"/>
    <col min="32" max="32" width="12.21875" customWidth="1"/>
    <col min="33" max="33" width="3.21875" customWidth="1"/>
  </cols>
  <sheetData>
    <row r="1" spans="2:32" ht="13.05" customHeight="1" thickBot="1" x14ac:dyDescent="0.3">
      <c r="B1" s="623" t="s">
        <v>93</v>
      </c>
      <c r="C1" s="623"/>
      <c r="D1" s="623"/>
      <c r="E1" s="28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2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2:32" ht="18" thickBot="1" x14ac:dyDescent="0.35">
      <c r="B2" s="624"/>
      <c r="C2" s="624"/>
      <c r="D2" s="624"/>
      <c r="E2" s="28"/>
      <c r="F2" s="610" t="s">
        <v>94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6"/>
      <c r="S2" s="22"/>
      <c r="T2" s="627" t="s">
        <v>170</v>
      </c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6"/>
    </row>
    <row r="3" spans="2:32" ht="26.4" x14ac:dyDescent="0.25">
      <c r="B3" s="425" t="s">
        <v>82</v>
      </c>
      <c r="C3" s="150" t="s">
        <v>92</v>
      </c>
      <c r="D3" s="151" t="s">
        <v>5</v>
      </c>
      <c r="E3" s="14"/>
      <c r="F3" s="308" t="s">
        <v>30</v>
      </c>
      <c r="G3" s="309" t="s">
        <v>32</v>
      </c>
      <c r="H3" s="309" t="s">
        <v>31</v>
      </c>
      <c r="I3" s="309" t="s">
        <v>29</v>
      </c>
      <c r="J3" s="309" t="s">
        <v>56</v>
      </c>
      <c r="K3" s="309" t="s">
        <v>33</v>
      </c>
      <c r="L3" s="309" t="s">
        <v>47</v>
      </c>
      <c r="M3" s="309" t="s">
        <v>45</v>
      </c>
      <c r="N3" s="310" t="s">
        <v>75</v>
      </c>
      <c r="O3" s="203" t="s">
        <v>168</v>
      </c>
      <c r="P3" s="204" t="s">
        <v>79</v>
      </c>
      <c r="Q3" s="279" t="s">
        <v>169</v>
      </c>
      <c r="R3" s="280" t="s">
        <v>172</v>
      </c>
      <c r="S3" s="85"/>
      <c r="T3" s="249" t="str">
        <f>IF(F3="","",F3)</f>
        <v>DF</v>
      </c>
      <c r="U3" s="250" t="str">
        <f t="shared" ref="U3:AB3" si="0">IF(G3="","",G3)</f>
        <v>BM</v>
      </c>
      <c r="V3" s="250" t="str">
        <f t="shared" si="0"/>
        <v>WH</v>
      </c>
      <c r="W3" s="250" t="str">
        <f t="shared" si="0"/>
        <v>RA</v>
      </c>
      <c r="X3" s="250" t="str">
        <f t="shared" si="0"/>
        <v>SS</v>
      </c>
      <c r="Y3" s="250" t="str">
        <f t="shared" si="0"/>
        <v>RC</v>
      </c>
      <c r="Z3" s="250" t="str">
        <f t="shared" si="0"/>
        <v>LP</v>
      </c>
      <c r="AA3" s="250" t="str">
        <f t="shared" si="0"/>
        <v>GF</v>
      </c>
      <c r="AB3" s="250" t="str">
        <f t="shared" si="0"/>
        <v>MD</v>
      </c>
      <c r="AC3" s="251" t="s">
        <v>168</v>
      </c>
      <c r="AD3" s="252" t="s">
        <v>79</v>
      </c>
      <c r="AE3" s="253" t="s">
        <v>169</v>
      </c>
      <c r="AF3" s="248" t="s">
        <v>172</v>
      </c>
    </row>
    <row r="4" spans="2:32" x14ac:dyDescent="0.25">
      <c r="B4" s="201" t="str">
        <f>IF(Stand!C3="","",Stand!C3)</f>
        <v/>
      </c>
      <c r="C4" s="121" t="str" cm="1">
        <f t="array" ref="C4">IF(SUM(IF(B4=Stand_Biomass!$B$4:$B$30,Stand_Biomass!$C$4:$C$30))&gt;0,SUM(IF(B4=Stand_Biomass!$B$4:$B$30,Stand_Biomass!$C$4:$C$30)),"")</f>
        <v/>
      </c>
      <c r="D4" s="154" t="str">
        <f>IF(B4="","",VLOOKUP($B4,Stand!$C:$G,5,0))</f>
        <v/>
      </c>
      <c r="E4" s="28"/>
      <c r="F4" s="157" t="str">
        <f>IF($B4="","",IF(F$3="","",IF(F$3="Snag",(SUMIFS(Tree!$AY:$AY,Tree!$A:$A,Volume_rpt!$B4,Tree!$F:$F,"D",Tree!$K:$K,"&lt;&gt;"&amp;"Y")/$C4)/1000,(SUMIFS(Tree!$AY:$AY,Tree!$A:$A,Volume_rpt!$B4,Tree!$D:$D,Volume_rpt!F$3,Tree!$F:$F,"L",Tree!$K:$K,"&lt;&gt;"&amp;"Y")/$C4)/1000)))</f>
        <v/>
      </c>
      <c r="G4" s="122" t="str">
        <f>IF($B4="","",IF(G$3="","",IF(G$3="Snag",(SUMIFS(Tree!$AY:$AY,Tree!$A:$A,Volume_rpt!$B4,Tree!$F:$F,"D",Tree!$K:$K,"&lt;&gt;"&amp;"Y")/$C4)/1000,(SUMIFS(Tree!$AY:$AY,Tree!$A:$A,Volume_rpt!$B4,Tree!$D:$D,Volume_rpt!G$3,Tree!$F:$F,"L",Tree!$K:$K,"&lt;&gt;"&amp;"Y")/$C4)/1000)))</f>
        <v/>
      </c>
      <c r="H4" s="122" t="str">
        <f>IF($B4="","",IF(H$3="","",IF(H$3="Snag",(SUMIFS(Tree!$AY:$AY,Tree!$A:$A,Volume_rpt!$B4,Tree!$F:$F,"D",Tree!$K:$K,"&lt;&gt;"&amp;"Y")/$C4)/1000,(SUMIFS(Tree!$AY:$AY,Tree!$A:$A,Volume_rpt!$B4,Tree!$D:$D,Volume_rpt!H$3,Tree!$F:$F,"L",Tree!$K:$K,"&lt;&gt;"&amp;"Y")/$C4)/1000)))</f>
        <v/>
      </c>
      <c r="I4" s="122" t="str">
        <f>IF($B4="","",IF(I$3="","",IF(I$3="Snag",(SUMIFS(Tree!$AY:$AY,Tree!$A:$A,Volume_rpt!$B4,Tree!$F:$F,"D",Tree!$K:$K,"&lt;&gt;"&amp;"Y")/$C4)/1000,(SUMIFS(Tree!$AY:$AY,Tree!$A:$A,Volume_rpt!$B4,Tree!$D:$D,Volume_rpt!I$3,Tree!$F:$F,"L",Tree!$K:$K,"&lt;&gt;"&amp;"Y")/$C4)/1000)))</f>
        <v/>
      </c>
      <c r="J4" s="307" t="str">
        <f>IF($B4="","",IF(J$3="","",IF(J$3="Snag",(SUMIFS(Tree!$AY:$AY,Tree!$A:$A,Volume_rpt!$B4,Tree!$F:$F,"D",Tree!$K:$K,"&lt;&gt;"&amp;"Y")/$C4)/1000,(SUMIFS(Tree!$AY:$AY,Tree!$A:$A,Volume_rpt!$B4,Tree!$D:$D,Volume_rpt!J$3,Tree!$F:$F,"L",Tree!$K:$K,"&lt;&gt;"&amp;"Y")/$C4)/1000)))</f>
        <v/>
      </c>
      <c r="K4" s="307" t="str">
        <f>IF($B4="","",IF(K$3="","",IF(K$3="Snag",(SUMIFS(Tree!$AY:$AY,Tree!$A:$A,Volume_rpt!$B4,Tree!$F:$F,"D",Tree!$K:$K,"&lt;&gt;"&amp;"Y")/$C4)/1000,(SUMIFS(Tree!$AY:$AY,Tree!$A:$A,Volume_rpt!$B4,Tree!$D:$D,Volume_rpt!K$3,Tree!$F:$F,"L",Tree!$K:$K,"&lt;&gt;"&amp;"Y")/$C4)/1000)))</f>
        <v/>
      </c>
      <c r="L4" s="122" t="str">
        <f>IF($B4="","",IF(L$3="","",IF(L$3="Snag",(SUMIFS(Tree!$AY:$AY,Tree!$A:$A,Volume_rpt!$B4,Tree!$F:$F,"D",Tree!$K:$K,"&lt;&gt;"&amp;"Y")/$C4)/1000,(SUMIFS(Tree!$AY:$AY,Tree!$A:$A,Volume_rpt!$B4,Tree!$D:$D,Volume_rpt!L$3,Tree!$F:$F,"L",Tree!$K:$K,"&lt;&gt;"&amp;"Y")/$C4)/1000)))</f>
        <v/>
      </c>
      <c r="M4" s="122" t="str">
        <f>IF($B4="","",IF(M$3="","",IF(M$3="Snag",(SUMIFS(Tree!$AY:$AY,Tree!$A:$A,Volume_rpt!$B4,Tree!$F:$F,"D",Tree!$K:$K,"&lt;&gt;"&amp;"Y")/$C4)/1000,(SUMIFS(Tree!$AY:$AY,Tree!$A:$A,Volume_rpt!$B4,Tree!$D:$D,Volume_rpt!M$3,Tree!$F:$F,"L",Tree!$K:$K,"&lt;&gt;"&amp;"Y")/$C4)/1000)))</f>
        <v/>
      </c>
      <c r="N4" s="122" t="str">
        <f>IF($B4="","",IF(N$3="","",IF(N$3="Snag",(SUMIFS(Tree!$AY:$AY,Tree!$A:$A,Volume_rpt!$B4,Tree!$F:$F,"D",Tree!$K:$K,"&lt;&gt;"&amp;"Y")/$C4)/1000,(SUMIFS(Tree!$AY:$AY,Tree!$A:$A,Volume_rpt!$B4,Tree!$D:$D,Volume_rpt!N$3,Tree!$F:$F,"L",Tree!$K:$K,"&lt;&gt;"&amp;"Y")/$C4)/1000)))</f>
        <v/>
      </c>
      <c r="O4" s="179" t="str">
        <f>IF(B4="","",Q4-SUM(F4:N4))</f>
        <v/>
      </c>
      <c r="P4" s="220" t="str">
        <f>IF($B4="","",IF(P$3="","",IF(P$3="Snag",(SUMIFS(Tree!$AY:$AY,Tree!$A:$A,Volume_rpt!$B4,Tree!$F:$F,"D",Tree!$K:$K,"&lt;&gt;"&amp;"Y")/$C4)/1000,(SUMIFS(Tree!$AY:$AY,Tree!$A:$A,Volume_rpt!$B4,Tree!$D:$D,Volume_rpt!P$3,Tree!$F:$F,"L",Tree!$K:$K,"&lt;&gt;"&amp;"Y")/$C4)/1000)))</f>
        <v/>
      </c>
      <c r="Q4" s="157" t="str">
        <f>IF(B4="","",VLOOKUP(B4,Stand_Biomass!$B$37:$W$63,22,0))</f>
        <v/>
      </c>
      <c r="R4" s="193" t="str">
        <f>IF(B4="","",VLOOKUP($B4,Stand_Biomass!$B$37:$X$63,23,0))</f>
        <v/>
      </c>
      <c r="S4" s="86"/>
      <c r="T4" s="217" t="str">
        <f t="shared" ref="T4:AE19" si="1">IF($C4="","",IF(T$3="","",($D4*F4)))</f>
        <v/>
      </c>
      <c r="U4" s="218" t="str">
        <f t="shared" si="1"/>
        <v/>
      </c>
      <c r="V4" s="218" t="str">
        <f t="shared" si="1"/>
        <v/>
      </c>
      <c r="W4" s="218" t="str">
        <f t="shared" si="1"/>
        <v/>
      </c>
      <c r="X4" s="218" t="str">
        <f t="shared" si="1"/>
        <v/>
      </c>
      <c r="Y4" s="218" t="str">
        <f t="shared" si="1"/>
        <v/>
      </c>
      <c r="Z4" s="218" t="str">
        <f t="shared" si="1"/>
        <v/>
      </c>
      <c r="AA4" s="218" t="str">
        <f t="shared" si="1"/>
        <v/>
      </c>
      <c r="AB4" s="218" t="str">
        <f t="shared" si="1"/>
        <v/>
      </c>
      <c r="AC4" s="247" t="str">
        <f t="shared" si="1"/>
        <v/>
      </c>
      <c r="AD4" s="219" t="str">
        <f t="shared" si="1"/>
        <v/>
      </c>
      <c r="AE4" s="213" t="str">
        <f t="shared" si="1"/>
        <v/>
      </c>
      <c r="AF4" s="193" t="str">
        <f t="shared" ref="AF4" si="2">IF($C4="","",IF(Q4=0,"",IF(Q4&gt;R4,ROUND((R4+Q4)*D4,0)&amp;" - "&amp;ROUND($D4*(Q4-R4),0),ROUND((R4+Q4)*D4,0)&amp;" - "&amp;0)))</f>
        <v/>
      </c>
    </row>
    <row r="5" spans="2:32" x14ac:dyDescent="0.25">
      <c r="B5" s="201" t="str">
        <f>IF(Stand!C4="","",Stand!C4)</f>
        <v/>
      </c>
      <c r="C5" s="121" t="str" cm="1">
        <f t="array" ref="C5">IF(SUM(IF(B5=Stand_Biomass!$B$4:$B$30,Stand_Biomass!$C$4:$C$30))&gt;0,SUM(IF(B5=Stand_Biomass!$B$4:$B$30,Stand_Biomass!$C$4:$C$30)),"")</f>
        <v/>
      </c>
      <c r="D5" s="154" t="str">
        <f>IF(B5="","",VLOOKUP($B5,Stand!$C:$G,5,0))</f>
        <v/>
      </c>
      <c r="E5" s="28"/>
      <c r="F5" s="157" t="str">
        <f>IF($B5="","",IF(F$3="","",IF(F$3="Snag",(SUMIFS(Tree!$AY:$AY,Tree!$A:$A,#REF!,Tree!$F:$F,"D",Tree!$K:$K,"&lt;&gt;"&amp;"Y")/$C5)/1000,(SUMIFS(Tree!$AY:$AY,Tree!$A:$A,#REF!,Tree!$D:$D,#REF!,Tree!$F:$F,"L",Tree!$K:$K,"&lt;&gt;"&amp;"Y")/$C5)/1000)))</f>
        <v/>
      </c>
      <c r="G5" s="122" t="str">
        <f>IF($B5="","",IF(G$3="","",IF(G$3="Snag",(SUMIFS(Tree!$AY:$AY,Tree!$A:$A,#REF!,Tree!$F:$F,"D",Tree!$K:$K,"&lt;&gt;"&amp;"Y")/$C5)/1000,(SUMIFS(Tree!$AY:$AY,Tree!$A:$A,#REF!,Tree!$D:$D,#REF!,Tree!$F:$F,"L",Tree!$K:$K,"&lt;&gt;"&amp;"Y")/$C5)/1000)))</f>
        <v/>
      </c>
      <c r="H5" s="122" t="str">
        <f>IF($B5="","",IF(H$3="","",IF(H$3="Snag",(SUMIFS(Tree!$AY:$AY,Tree!$A:$A,#REF!,Tree!$F:$F,"D",Tree!$K:$K,"&lt;&gt;"&amp;"Y")/$C5)/1000,(SUMIFS(Tree!$AY:$AY,Tree!$A:$A,#REF!,Tree!$D:$D,#REF!,Tree!$F:$F,"L",Tree!$K:$K,"&lt;&gt;"&amp;"Y")/$C5)/1000)))</f>
        <v/>
      </c>
      <c r="I5" s="122" t="str">
        <f>IF($B5="","",IF(I$3="","",IF(I$3="Snag",(SUMIFS(Tree!$AY:$AY,Tree!$A:$A,#REF!,Tree!$F:$F,"D",Tree!$K:$K,"&lt;&gt;"&amp;"Y")/$C5)/1000,(SUMIFS(Tree!$AY:$AY,Tree!$A:$A,#REF!,Tree!$D:$D,#REF!,Tree!$F:$F,"L",Tree!$K:$K,"&lt;&gt;"&amp;"Y")/$C5)/1000)))</f>
        <v/>
      </c>
      <c r="J5" s="307" t="str">
        <f>IF($B5="","",IF(J$3="","",IF(J$3="Snag",(SUMIFS(Tree!$AY:$AY,Tree!$A:$A,#REF!,Tree!$F:$F,"D",Tree!$K:$K,"&lt;&gt;"&amp;"Y")/$C5)/1000,(SUMIFS(Tree!$AY:$AY,Tree!$A:$A,#REF!,Tree!$D:$D,#REF!,Tree!$F:$F,"L",Tree!$K:$K,"&lt;&gt;"&amp;"Y")/$C5)/1000)))</f>
        <v/>
      </c>
      <c r="K5" s="307" t="str">
        <f>IF($B5="","",IF(K$3="","",IF(K$3="Snag",(SUMIFS(Tree!$AY:$AY,Tree!$A:$A,#REF!,Tree!$F:$F,"D",Tree!$K:$K,"&lt;&gt;"&amp;"Y")/$C5)/1000,(SUMIFS(Tree!$AY:$AY,Tree!$A:$A,#REF!,Tree!$D:$D,#REF!,Tree!$F:$F,"L",Tree!$K:$K,"&lt;&gt;"&amp;"Y")/$C5)/1000)))</f>
        <v/>
      </c>
      <c r="L5" s="122" t="str">
        <f>IF($B5="","",IF(L$3="","",IF(L$3="Snag",(SUMIFS(Tree!$AY:$AY,Tree!$A:$A,#REF!,Tree!$F:$F,"D",Tree!$K:$K,"&lt;&gt;"&amp;"Y")/$C5)/1000,(SUMIFS(Tree!$AY:$AY,Tree!$A:$A,#REF!,Tree!$D:$D,#REF!,Tree!$F:$F,"L",Tree!$K:$K,"&lt;&gt;"&amp;"Y")/$C5)/1000)))</f>
        <v/>
      </c>
      <c r="M5" s="122" t="str">
        <f>IF($B5="","",IF(M$3="","",IF(M$3="Snag",(SUMIFS(Tree!$AY:$AY,Tree!$A:$A,#REF!,Tree!$F:$F,"D",Tree!$K:$K,"&lt;&gt;"&amp;"Y")/$C5)/1000,(SUMIFS(Tree!$AY:$AY,Tree!$A:$A,#REF!,Tree!$D:$D,#REF!,Tree!$F:$F,"L",Tree!$K:$K,"&lt;&gt;"&amp;"Y")/$C5)/1000)))</f>
        <v/>
      </c>
      <c r="N5" s="122" t="str">
        <f>IF($B5="","",IF(N$3="","",IF(N$3="Snag",(SUMIFS(Tree!$AY:$AY,Tree!$A:$A,#REF!,Tree!$F:$F,"D",Tree!$K:$K,"&lt;&gt;"&amp;"Y")/$C5)/1000,(SUMIFS(Tree!$AY:$AY,Tree!$A:$A,#REF!,Tree!$D:$D,#REF!,Tree!$F:$F,"L",Tree!$K:$K,"&lt;&gt;"&amp;"Y")/$C5)/1000)))</f>
        <v/>
      </c>
      <c r="O5" s="179" t="str">
        <f t="shared" ref="O5:O30" si="3">IF(B5="","",Q5-SUM(F5:N5))</f>
        <v/>
      </c>
      <c r="P5" s="220" t="str">
        <f>IF($B5="","",IF(P$3="","",IF(P$3="Snag",(SUMIFS(Tree!$AY:$AY,Tree!$A:$A,#REF!,Tree!$F:$F,"D",Tree!$K:$K,"&lt;&gt;"&amp;"Y")/$C5)/1000,(SUMIFS(Tree!$AY:$AY,Tree!$A:$A,#REF!,Tree!$D:$D,#REF!,Tree!$F:$F,"L",Tree!$K:$K,"&lt;&gt;"&amp;"Y")/$C5)/1000)))</f>
        <v/>
      </c>
      <c r="Q5" s="157" t="str">
        <f>IF(B5="","",VLOOKUP(B5,#REF!,22,0))</f>
        <v/>
      </c>
      <c r="R5" s="193" t="str">
        <f>IF(B5="","",VLOOKUP($B5,#REF!,23,0))</f>
        <v/>
      </c>
      <c r="S5" s="86"/>
      <c r="T5" s="157" t="str">
        <f t="shared" si="1"/>
        <v/>
      </c>
      <c r="U5" s="122" t="str">
        <f t="shared" si="1"/>
        <v/>
      </c>
      <c r="V5" s="122" t="str">
        <f t="shared" si="1"/>
        <v/>
      </c>
      <c r="W5" s="122" t="str">
        <f t="shared" si="1"/>
        <v/>
      </c>
      <c r="X5" s="122" t="str">
        <f t="shared" si="1"/>
        <v/>
      </c>
      <c r="Y5" s="122" t="str">
        <f t="shared" si="1"/>
        <v/>
      </c>
      <c r="Z5" s="122" t="str">
        <f t="shared" si="1"/>
        <v/>
      </c>
      <c r="AA5" s="122" t="str">
        <f t="shared" si="1"/>
        <v/>
      </c>
      <c r="AB5" s="122" t="str">
        <f t="shared" si="1"/>
        <v/>
      </c>
      <c r="AC5" s="193" t="str">
        <f t="shared" si="1"/>
        <v/>
      </c>
      <c r="AD5" s="212" t="str">
        <f t="shared" si="1"/>
        <v/>
      </c>
      <c r="AE5" s="213" t="str">
        <f t="shared" si="1"/>
        <v/>
      </c>
      <c r="AF5" s="193" t="str">
        <f>IF($C5="","",IF(Q5=0,"",IF(Q5&gt;R5,ROUND((R5+Q5)*D5,0)&amp;" - "&amp;ROUND($D5*(Q5-R5),0),ROUND((R5+Q5)*D5,0)&amp;" - "&amp;0)))</f>
        <v/>
      </c>
    </row>
    <row r="6" spans="2:32" x14ac:dyDescent="0.25">
      <c r="B6" s="201" t="str">
        <f>IF(Stand!C5="","",Stand!C5)</f>
        <v/>
      </c>
      <c r="C6" s="121" t="str" cm="1">
        <f t="array" ref="C6">IF(SUM(IF(B6=Stand_Biomass!$B$4:$B$30,Stand_Biomass!$C$4:$C$30))&gt;0,SUM(IF(B6=Stand_Biomass!$B$4:$B$30,Stand_Biomass!$C$4:$C$30)),"")</f>
        <v/>
      </c>
      <c r="D6" s="154" t="str">
        <f>IF(B6="","",VLOOKUP($B6,Stand!$C:$G,5,0))</f>
        <v/>
      </c>
      <c r="E6" s="28"/>
      <c r="F6" s="157" t="str">
        <f>IF($B6="","",IF(F$3="","",IF(F$3="Snag",(SUMIFS(Tree!$AY:$AY,Tree!$A:$A,#REF!,Tree!$F:$F,"D",Tree!$K:$K,"&lt;&gt;"&amp;"Y")/$C6)/1000,(SUMIFS(Tree!$AY:$AY,Tree!$A:$A,#REF!,Tree!$D:$D,#REF!,Tree!$F:$F,"L",Tree!$K:$K,"&lt;&gt;"&amp;"Y")/$C6)/1000)))</f>
        <v/>
      </c>
      <c r="G6" s="122" t="str">
        <f>IF($B6="","",IF(G$3="","",IF(G$3="Snag",(SUMIFS(Tree!$AY:$AY,Tree!$A:$A,#REF!,Tree!$F:$F,"D",Tree!$K:$K,"&lt;&gt;"&amp;"Y")/$C6)/1000,(SUMIFS(Tree!$AY:$AY,Tree!$A:$A,#REF!,Tree!$D:$D,#REF!,Tree!$F:$F,"L",Tree!$K:$K,"&lt;&gt;"&amp;"Y")/$C6)/1000)))</f>
        <v/>
      </c>
      <c r="H6" s="122" t="str">
        <f>IF($B6="","",IF(H$3="","",IF(H$3="Snag",(SUMIFS(Tree!$AY:$AY,Tree!$A:$A,#REF!,Tree!$F:$F,"D",Tree!$K:$K,"&lt;&gt;"&amp;"Y")/$C6)/1000,(SUMIFS(Tree!$AY:$AY,Tree!$A:$A,#REF!,Tree!$D:$D,#REF!,Tree!$F:$F,"L",Tree!$K:$K,"&lt;&gt;"&amp;"Y")/$C6)/1000)))</f>
        <v/>
      </c>
      <c r="I6" s="122" t="str">
        <f>IF($B6="","",IF(I$3="","",IF(I$3="Snag",(SUMIFS(Tree!$AY:$AY,Tree!$A:$A,#REF!,Tree!$F:$F,"D",Tree!$K:$K,"&lt;&gt;"&amp;"Y")/$C6)/1000,(SUMIFS(Tree!$AY:$AY,Tree!$A:$A,#REF!,Tree!$D:$D,#REF!,Tree!$F:$F,"L",Tree!$K:$K,"&lt;&gt;"&amp;"Y")/$C6)/1000)))</f>
        <v/>
      </c>
      <c r="J6" s="307" t="str">
        <f>IF($B6="","",IF(J$3="","",IF(J$3="Snag",(SUMIFS(Tree!$AY:$AY,Tree!$A:$A,#REF!,Tree!$F:$F,"D",Tree!$K:$K,"&lt;&gt;"&amp;"Y")/$C6)/1000,(SUMIFS(Tree!$AY:$AY,Tree!$A:$A,#REF!,Tree!$D:$D,#REF!,Tree!$F:$F,"L",Tree!$K:$K,"&lt;&gt;"&amp;"Y")/$C6)/1000)))</f>
        <v/>
      </c>
      <c r="K6" s="307" t="str">
        <f>IF($B6="","",IF(K$3="","",IF(K$3="Snag",(SUMIFS(Tree!$AY:$AY,Tree!$A:$A,#REF!,Tree!$F:$F,"D",Tree!$K:$K,"&lt;&gt;"&amp;"Y")/$C6)/1000,(SUMIFS(Tree!$AY:$AY,Tree!$A:$A,#REF!,Tree!$D:$D,#REF!,Tree!$F:$F,"L",Tree!$K:$K,"&lt;&gt;"&amp;"Y")/$C6)/1000)))</f>
        <v/>
      </c>
      <c r="L6" s="122" t="str">
        <f>IF($B6="","",IF(L$3="","",IF(L$3="Snag",(SUMIFS(Tree!$AY:$AY,Tree!$A:$A,#REF!,Tree!$F:$F,"D",Tree!$K:$K,"&lt;&gt;"&amp;"Y")/$C6)/1000,(SUMIFS(Tree!$AY:$AY,Tree!$A:$A,#REF!,Tree!$D:$D,#REF!,Tree!$F:$F,"L",Tree!$K:$K,"&lt;&gt;"&amp;"Y")/$C6)/1000)))</f>
        <v/>
      </c>
      <c r="M6" s="122" t="str">
        <f>IF($B6="","",IF(M$3="","",IF(M$3="Snag",(SUMIFS(Tree!$AY:$AY,Tree!$A:$A,#REF!,Tree!$F:$F,"D",Tree!$K:$K,"&lt;&gt;"&amp;"Y")/$C6)/1000,(SUMIFS(Tree!$AY:$AY,Tree!$A:$A,#REF!,Tree!$D:$D,#REF!,Tree!$F:$F,"L",Tree!$K:$K,"&lt;&gt;"&amp;"Y")/$C6)/1000)))</f>
        <v/>
      </c>
      <c r="N6" s="122" t="str">
        <f>IF($B6="","",IF(N$3="","",IF(N$3="Snag",(SUMIFS(Tree!$AY:$AY,Tree!$A:$A,#REF!,Tree!$F:$F,"D",Tree!$K:$K,"&lt;&gt;"&amp;"Y")/$C6)/1000,(SUMIFS(Tree!$AY:$AY,Tree!$A:$A,#REF!,Tree!$D:$D,#REF!,Tree!$F:$F,"L",Tree!$K:$K,"&lt;&gt;"&amp;"Y")/$C6)/1000)))</f>
        <v/>
      </c>
      <c r="O6" s="179" t="str">
        <f t="shared" si="3"/>
        <v/>
      </c>
      <c r="P6" s="220" t="str">
        <f>IF($B6="","",IF(P$3="","",IF(P$3="Snag",(SUMIFS(Tree!$AY:$AY,Tree!$A:$A,#REF!,Tree!$F:$F,"D",Tree!$K:$K,"&lt;&gt;"&amp;"Y")/$C6)/1000,(SUMIFS(Tree!$AY:$AY,Tree!$A:$A,#REF!,Tree!$D:$D,#REF!,Tree!$F:$F,"L",Tree!$K:$K,"&lt;&gt;"&amp;"Y")/$C6)/1000)))</f>
        <v/>
      </c>
      <c r="Q6" s="157" t="str">
        <f>IF(B6="","",VLOOKUP(B6,#REF!,22,0))</f>
        <v/>
      </c>
      <c r="R6" s="193" t="str">
        <f>IF(B6="","",VLOOKUP($B6,#REF!,23,0))</f>
        <v/>
      </c>
      <c r="S6" s="86"/>
      <c r="T6" s="157" t="str">
        <f t="shared" si="1"/>
        <v/>
      </c>
      <c r="U6" s="122" t="str">
        <f t="shared" si="1"/>
        <v/>
      </c>
      <c r="V6" s="122" t="str">
        <f t="shared" si="1"/>
        <v/>
      </c>
      <c r="W6" s="122" t="str">
        <f t="shared" si="1"/>
        <v/>
      </c>
      <c r="X6" s="122" t="str">
        <f t="shared" si="1"/>
        <v/>
      </c>
      <c r="Y6" s="122" t="str">
        <f t="shared" si="1"/>
        <v/>
      </c>
      <c r="Z6" s="122" t="str">
        <f t="shared" si="1"/>
        <v/>
      </c>
      <c r="AA6" s="122" t="str">
        <f t="shared" si="1"/>
        <v/>
      </c>
      <c r="AB6" s="122" t="str">
        <f t="shared" si="1"/>
        <v/>
      </c>
      <c r="AC6" s="193" t="str">
        <f t="shared" si="1"/>
        <v/>
      </c>
      <c r="AD6" s="212" t="str">
        <f t="shared" si="1"/>
        <v/>
      </c>
      <c r="AE6" s="213" t="str">
        <f t="shared" si="1"/>
        <v/>
      </c>
      <c r="AF6" s="193" t="str">
        <f t="shared" ref="AF6:AF30" si="4">IF($C6="","",IF(Q6=0,"",IF(Q6&gt;R6,ROUND((R6+Q6)*D6,0)&amp;" - "&amp;ROUND($D6*(Q6-R6),0),ROUND((R6+Q6)*D6,0)&amp;" - "&amp;0)))</f>
        <v/>
      </c>
    </row>
    <row r="7" spans="2:32" x14ac:dyDescent="0.25">
      <c r="B7" s="201" t="str">
        <f>IF(Stand!C6="","",Stand!C6)</f>
        <v/>
      </c>
      <c r="C7" s="121" t="str" cm="1">
        <f t="array" ref="C7">IF(SUM(IF(B7=Stand_Biomass!$B$4:$B$30,Stand_Biomass!$C$4:$C$30))&gt;0,SUM(IF(B7=Stand_Biomass!$B$4:$B$30,Stand_Biomass!$C$4:$C$30)),"")</f>
        <v/>
      </c>
      <c r="D7" s="154" t="str">
        <f>IF(B7="","",VLOOKUP($B7,Stand!$C:$G,5,0))</f>
        <v/>
      </c>
      <c r="E7" s="28"/>
      <c r="F7" s="157" t="str">
        <f>IF($B7="","",IF(F$3="","",IF(F$3="Snag",(SUMIFS(Tree!$AY:$AY,Tree!$A:$A,#REF!,Tree!$F:$F,"D",Tree!$K:$K,"&lt;&gt;"&amp;"Y")/$C7)/1000,(SUMIFS(Tree!$AY:$AY,Tree!$A:$A,#REF!,Tree!$D:$D,#REF!,Tree!$F:$F,"L",Tree!$K:$K,"&lt;&gt;"&amp;"Y")/$C7)/1000)))</f>
        <v/>
      </c>
      <c r="G7" s="122" t="str">
        <f>IF($B7="","",IF(G$3="","",IF(G$3="Snag",(SUMIFS(Tree!$AY:$AY,Tree!$A:$A,#REF!,Tree!$F:$F,"D",Tree!$K:$K,"&lt;&gt;"&amp;"Y")/$C7)/1000,(SUMIFS(Tree!$AY:$AY,Tree!$A:$A,#REF!,Tree!$D:$D,#REF!,Tree!$F:$F,"L",Tree!$K:$K,"&lt;&gt;"&amp;"Y")/$C7)/1000)))</f>
        <v/>
      </c>
      <c r="H7" s="122" t="str">
        <f>IF($B7="","",IF(H$3="","",IF(H$3="Snag",(SUMIFS(Tree!$AY:$AY,Tree!$A:$A,#REF!,Tree!$F:$F,"D",Tree!$K:$K,"&lt;&gt;"&amp;"Y")/$C7)/1000,(SUMIFS(Tree!$AY:$AY,Tree!$A:$A,#REF!,Tree!$D:$D,#REF!,Tree!$F:$F,"L",Tree!$K:$K,"&lt;&gt;"&amp;"Y")/$C7)/1000)))</f>
        <v/>
      </c>
      <c r="I7" s="122" t="str">
        <f>IF($B7="","",IF(I$3="","",IF(I$3="Snag",(SUMIFS(Tree!$AY:$AY,Tree!$A:$A,#REF!,Tree!$F:$F,"D",Tree!$K:$K,"&lt;&gt;"&amp;"Y")/$C7)/1000,(SUMIFS(Tree!$AY:$AY,Tree!$A:$A,#REF!,Tree!$D:$D,#REF!,Tree!$F:$F,"L",Tree!$K:$K,"&lt;&gt;"&amp;"Y")/$C7)/1000)))</f>
        <v/>
      </c>
      <c r="J7" s="307" t="str">
        <f>IF($B7="","",IF(J$3="","",IF(J$3="Snag",(SUMIFS(Tree!$AY:$AY,Tree!$A:$A,#REF!,Tree!$F:$F,"D",Tree!$K:$K,"&lt;&gt;"&amp;"Y")/$C7)/1000,(SUMIFS(Tree!$AY:$AY,Tree!$A:$A,#REF!,Tree!$D:$D,#REF!,Tree!$F:$F,"L",Tree!$K:$K,"&lt;&gt;"&amp;"Y")/$C7)/1000)))</f>
        <v/>
      </c>
      <c r="K7" s="307" t="str">
        <f>IF($B7="","",IF(K$3="","",IF(K$3="Snag",(SUMIFS(Tree!$AY:$AY,Tree!$A:$A,#REF!,Tree!$F:$F,"D",Tree!$K:$K,"&lt;&gt;"&amp;"Y")/$C7)/1000,(SUMIFS(Tree!$AY:$AY,Tree!$A:$A,#REF!,Tree!$D:$D,#REF!,Tree!$F:$F,"L",Tree!$K:$K,"&lt;&gt;"&amp;"Y")/$C7)/1000)))</f>
        <v/>
      </c>
      <c r="L7" s="122" t="str">
        <f>IF($B7="","",IF(L$3="","",IF(L$3="Snag",(SUMIFS(Tree!$AY:$AY,Tree!$A:$A,#REF!,Tree!$F:$F,"D",Tree!$K:$K,"&lt;&gt;"&amp;"Y")/$C7)/1000,(SUMIFS(Tree!$AY:$AY,Tree!$A:$A,#REF!,Tree!$D:$D,#REF!,Tree!$F:$F,"L",Tree!$K:$K,"&lt;&gt;"&amp;"Y")/$C7)/1000)))</f>
        <v/>
      </c>
      <c r="M7" s="122" t="str">
        <f>IF($B7="","",IF(M$3="","",IF(M$3="Snag",(SUMIFS(Tree!$AY:$AY,Tree!$A:$A,#REF!,Tree!$F:$F,"D",Tree!$K:$K,"&lt;&gt;"&amp;"Y")/$C7)/1000,(SUMIFS(Tree!$AY:$AY,Tree!$A:$A,#REF!,Tree!$D:$D,#REF!,Tree!$F:$F,"L",Tree!$K:$K,"&lt;&gt;"&amp;"Y")/$C7)/1000)))</f>
        <v/>
      </c>
      <c r="N7" s="122" t="str">
        <f>IF($B7="","",IF(N$3="","",IF(N$3="Snag",(SUMIFS(Tree!$AY:$AY,Tree!$A:$A,#REF!,Tree!$F:$F,"D",Tree!$K:$K,"&lt;&gt;"&amp;"Y")/$C7)/1000,(SUMIFS(Tree!$AY:$AY,Tree!$A:$A,#REF!,Tree!$D:$D,#REF!,Tree!$F:$F,"L",Tree!$K:$K,"&lt;&gt;"&amp;"Y")/$C7)/1000)))</f>
        <v/>
      </c>
      <c r="O7" s="179" t="str">
        <f t="shared" si="3"/>
        <v/>
      </c>
      <c r="P7" s="220" t="str">
        <f>IF($B7="","",IF(P$3="","",IF(P$3="Snag",(SUMIFS(Tree!$AY:$AY,Tree!$A:$A,#REF!,Tree!$F:$F,"D",Tree!$K:$K,"&lt;&gt;"&amp;"Y")/$C7)/1000,(SUMIFS(Tree!$AY:$AY,Tree!$A:$A,#REF!,Tree!$D:$D,#REF!,Tree!$F:$F,"L",Tree!$K:$K,"&lt;&gt;"&amp;"Y")/$C7)/1000)))</f>
        <v/>
      </c>
      <c r="Q7" s="157" t="str">
        <f>IF(B7="","",VLOOKUP(B7,#REF!,22,0))</f>
        <v/>
      </c>
      <c r="R7" s="193" t="str">
        <f>IF(B7="","",VLOOKUP($B7,#REF!,23,0))</f>
        <v/>
      </c>
      <c r="S7" s="86"/>
      <c r="T7" s="157" t="str">
        <f t="shared" si="1"/>
        <v/>
      </c>
      <c r="U7" s="122" t="str">
        <f t="shared" si="1"/>
        <v/>
      </c>
      <c r="V7" s="122" t="str">
        <f t="shared" si="1"/>
        <v/>
      </c>
      <c r="W7" s="122" t="str">
        <f t="shared" si="1"/>
        <v/>
      </c>
      <c r="X7" s="122" t="str">
        <f t="shared" si="1"/>
        <v/>
      </c>
      <c r="Y7" s="122" t="str">
        <f t="shared" si="1"/>
        <v/>
      </c>
      <c r="Z7" s="122" t="str">
        <f t="shared" si="1"/>
        <v/>
      </c>
      <c r="AA7" s="122" t="str">
        <f t="shared" si="1"/>
        <v/>
      </c>
      <c r="AB7" s="122" t="str">
        <f t="shared" si="1"/>
        <v/>
      </c>
      <c r="AC7" s="193" t="str">
        <f t="shared" si="1"/>
        <v/>
      </c>
      <c r="AD7" s="212" t="str">
        <f t="shared" si="1"/>
        <v/>
      </c>
      <c r="AE7" s="213" t="str">
        <f t="shared" si="1"/>
        <v/>
      </c>
      <c r="AF7" s="193" t="str">
        <f t="shared" si="4"/>
        <v/>
      </c>
    </row>
    <row r="8" spans="2:32" x14ac:dyDescent="0.25">
      <c r="B8" s="201" t="str">
        <f>IF(Stand!C7="","",Stand!C7)</f>
        <v/>
      </c>
      <c r="C8" s="121" t="str" cm="1">
        <f t="array" ref="C8">IF(SUM(IF(B8=Stand_Biomass!$B$4:$B$30,Stand_Biomass!$C$4:$C$30))&gt;0,SUM(IF(B8=Stand_Biomass!$B$4:$B$30,Stand_Biomass!$C$4:$C$30)),"")</f>
        <v/>
      </c>
      <c r="D8" s="154" t="str">
        <f>IF(B8="","",VLOOKUP($B8,Stand!$C:$G,5,0))</f>
        <v/>
      </c>
      <c r="E8" s="28"/>
      <c r="F8" s="157" t="str">
        <f>IF($B8="","",IF(F$3="","",IF(F$3="Snag",(SUMIFS(Tree!$AY:$AY,Tree!$A:$A,#REF!,Tree!$F:$F,"D",Tree!$K:$K,"&lt;&gt;"&amp;"Y")/$C8)/1000,(SUMIFS(Tree!$AY:$AY,Tree!$A:$A,#REF!,Tree!$D:$D,#REF!,Tree!$F:$F,"L",Tree!$K:$K,"&lt;&gt;"&amp;"Y")/$C8)/1000)))</f>
        <v/>
      </c>
      <c r="G8" s="122" t="str">
        <f>IF($B8="","",IF(G$3="","",IF(G$3="Snag",(SUMIFS(Tree!$AY:$AY,Tree!$A:$A,#REF!,Tree!$F:$F,"D",Tree!$K:$K,"&lt;&gt;"&amp;"Y")/$C8)/1000,(SUMIFS(Tree!$AY:$AY,Tree!$A:$A,#REF!,Tree!$D:$D,#REF!,Tree!$F:$F,"L",Tree!$K:$K,"&lt;&gt;"&amp;"Y")/$C8)/1000)))</f>
        <v/>
      </c>
      <c r="H8" s="122" t="str">
        <f>IF($B8="","",IF(H$3="","",IF(H$3="Snag",(SUMIFS(Tree!$AY:$AY,Tree!$A:$A,#REF!,Tree!$F:$F,"D",Tree!$K:$K,"&lt;&gt;"&amp;"Y")/$C8)/1000,(SUMIFS(Tree!$AY:$AY,Tree!$A:$A,#REF!,Tree!$D:$D,#REF!,Tree!$F:$F,"L",Tree!$K:$K,"&lt;&gt;"&amp;"Y")/$C8)/1000)))</f>
        <v/>
      </c>
      <c r="I8" s="122" t="str">
        <f>IF($B8="","",IF(I$3="","",IF(I$3="Snag",(SUMIFS(Tree!$AY:$AY,Tree!$A:$A,#REF!,Tree!$F:$F,"D",Tree!$K:$K,"&lt;&gt;"&amp;"Y")/$C8)/1000,(SUMIFS(Tree!$AY:$AY,Tree!$A:$A,#REF!,Tree!$D:$D,#REF!,Tree!$F:$F,"L",Tree!$K:$K,"&lt;&gt;"&amp;"Y")/$C8)/1000)))</f>
        <v/>
      </c>
      <c r="J8" s="122" t="str">
        <f>IF($B8="","",IF(J$3="","",IF(J$3="Snag",(SUMIFS(Tree!$AY:$AY,Tree!$A:$A,#REF!,Tree!$F:$F,"D",Tree!$K:$K,"&lt;&gt;"&amp;"Y")/$C8)/1000,(SUMIFS(Tree!$AY:$AY,Tree!$A:$A,#REF!,Tree!$D:$D,#REF!,Tree!$F:$F,"L",Tree!$K:$K,"&lt;&gt;"&amp;"Y")/$C8)/1000)))</f>
        <v/>
      </c>
      <c r="K8" s="122" t="str">
        <f>IF($B8="","",IF(K$3="","",IF(K$3="Snag",(SUMIFS(Tree!$AY:$AY,Tree!$A:$A,#REF!,Tree!$F:$F,"D",Tree!$K:$K,"&lt;&gt;"&amp;"Y")/$C8)/1000,(SUMIFS(Tree!$AY:$AY,Tree!$A:$A,#REF!,Tree!$D:$D,#REF!,Tree!$F:$F,"L",Tree!$K:$K,"&lt;&gt;"&amp;"Y")/$C8)/1000)))</f>
        <v/>
      </c>
      <c r="L8" s="122" t="str">
        <f>IF($B8="","",IF(L$3="","",IF(L$3="Snag",(SUMIFS(Tree!$AY:$AY,Tree!$A:$A,#REF!,Tree!$F:$F,"D",Tree!$K:$K,"&lt;&gt;"&amp;"Y")/$C8)/1000,(SUMIFS(Tree!$AY:$AY,Tree!$A:$A,#REF!,Tree!$D:$D,#REF!,Tree!$F:$F,"L",Tree!$K:$K,"&lt;&gt;"&amp;"Y")/$C8)/1000)))</f>
        <v/>
      </c>
      <c r="M8" s="122" t="str">
        <f>IF($B8="","",IF(M$3="","",IF(M$3="Snag",(SUMIFS(Tree!$AY:$AY,Tree!$A:$A,#REF!,Tree!$F:$F,"D",Tree!$K:$K,"&lt;&gt;"&amp;"Y")/$C8)/1000,(SUMIFS(Tree!$AY:$AY,Tree!$A:$A,#REF!,Tree!$D:$D,#REF!,Tree!$F:$F,"L",Tree!$K:$K,"&lt;&gt;"&amp;"Y")/$C8)/1000)))</f>
        <v/>
      </c>
      <c r="N8" s="122" t="str">
        <f>IF($B8="","",IF(N$3="","",IF(N$3="Snag",(SUMIFS(Tree!$AY:$AY,Tree!$A:$A,#REF!,Tree!$F:$F,"D",Tree!$K:$K,"&lt;&gt;"&amp;"Y")/$C8)/1000,(SUMIFS(Tree!$AY:$AY,Tree!$A:$A,#REF!,Tree!$D:$D,#REF!,Tree!$F:$F,"L",Tree!$K:$K,"&lt;&gt;"&amp;"Y")/$C8)/1000)))</f>
        <v/>
      </c>
      <c r="O8" s="179" t="str">
        <f t="shared" si="3"/>
        <v/>
      </c>
      <c r="P8" s="220" t="str">
        <f>IF($B8="","",IF(P$3="","",IF(P$3="Snag",(SUMIFS(Tree!$AY:$AY,Tree!$A:$A,#REF!,Tree!$F:$F,"D",Tree!$K:$K,"&lt;&gt;"&amp;"Y")/$C8)/1000,(SUMIFS(Tree!$AY:$AY,Tree!$A:$A,#REF!,Tree!$D:$D,#REF!,Tree!$F:$F,"L",Tree!$K:$K,"&lt;&gt;"&amp;"Y")/$C8)/1000)))</f>
        <v/>
      </c>
      <c r="Q8" s="157" t="str">
        <f>IF(B8="","",VLOOKUP(B8,#REF!,22,0))</f>
        <v/>
      </c>
      <c r="R8" s="193" t="str">
        <f>IF(B8="","",VLOOKUP($B8,#REF!,23,0))</f>
        <v/>
      </c>
      <c r="S8" s="86"/>
      <c r="T8" s="157" t="str">
        <f t="shared" si="1"/>
        <v/>
      </c>
      <c r="U8" s="122" t="str">
        <f t="shared" si="1"/>
        <v/>
      </c>
      <c r="V8" s="122" t="str">
        <f t="shared" si="1"/>
        <v/>
      </c>
      <c r="W8" s="122" t="str">
        <f t="shared" si="1"/>
        <v/>
      </c>
      <c r="X8" s="122" t="str">
        <f t="shared" si="1"/>
        <v/>
      </c>
      <c r="Y8" s="122" t="str">
        <f t="shared" si="1"/>
        <v/>
      </c>
      <c r="Z8" s="122" t="str">
        <f t="shared" si="1"/>
        <v/>
      </c>
      <c r="AA8" s="122" t="str">
        <f t="shared" si="1"/>
        <v/>
      </c>
      <c r="AB8" s="122" t="str">
        <f t="shared" si="1"/>
        <v/>
      </c>
      <c r="AC8" s="193" t="str">
        <f t="shared" si="1"/>
        <v/>
      </c>
      <c r="AD8" s="212" t="str">
        <f t="shared" si="1"/>
        <v/>
      </c>
      <c r="AE8" s="213" t="str">
        <f t="shared" si="1"/>
        <v/>
      </c>
      <c r="AF8" s="193" t="str">
        <f t="shared" si="4"/>
        <v/>
      </c>
    </row>
    <row r="9" spans="2:32" x14ac:dyDescent="0.25">
      <c r="B9" s="201" t="str">
        <f>IF(Stand!C8="","",Stand!C8)</f>
        <v/>
      </c>
      <c r="C9" s="121" t="str" cm="1">
        <f t="array" ref="C9">IF(SUM(IF(B9=Stand_Biomass!$B$4:$B$30,Stand_Biomass!$C$4:$C$30))&gt;0,SUM(IF(B9=Stand_Biomass!$B$4:$B$30,Stand_Biomass!$C$4:$C$30)),"")</f>
        <v/>
      </c>
      <c r="D9" s="154" t="str">
        <f>IF(B9="","",VLOOKUP($B9,Stand!$C:$G,5,0))</f>
        <v/>
      </c>
      <c r="E9" s="28"/>
      <c r="F9" s="157" t="str">
        <f>IF($B9="","",IF(F$3="","",IF(F$3="Snag",(SUMIFS(Tree!$AY:$AY,Tree!$A:$A,#REF!,Tree!$F:$F,"D",Tree!$K:$K,"&lt;&gt;"&amp;"Y")/$C9)/1000,(SUMIFS(Tree!$AY:$AY,Tree!$A:$A,#REF!,Tree!$D:$D,#REF!,Tree!$F:$F,"L",Tree!$K:$K,"&lt;&gt;"&amp;"Y")/$C9)/1000)))</f>
        <v/>
      </c>
      <c r="G9" s="122" t="str">
        <f>IF($B9="","",IF(G$3="","",IF(G$3="Snag",(SUMIFS(Tree!$AY:$AY,Tree!$A:$A,#REF!,Tree!$F:$F,"D",Tree!$K:$K,"&lt;&gt;"&amp;"Y")/$C9)/1000,(SUMIFS(Tree!$AY:$AY,Tree!$A:$A,#REF!,Tree!$D:$D,#REF!,Tree!$F:$F,"L",Tree!$K:$K,"&lt;&gt;"&amp;"Y")/$C9)/1000)))</f>
        <v/>
      </c>
      <c r="H9" s="122" t="str">
        <f>IF($B9="","",IF(H$3="","",IF(H$3="Snag",(SUMIFS(Tree!$AY:$AY,Tree!$A:$A,#REF!,Tree!$F:$F,"D",Tree!$K:$K,"&lt;&gt;"&amp;"Y")/$C9)/1000,(SUMIFS(Tree!$AY:$AY,Tree!$A:$A,#REF!,Tree!$D:$D,#REF!,Tree!$F:$F,"L",Tree!$K:$K,"&lt;&gt;"&amp;"Y")/$C9)/1000)))</f>
        <v/>
      </c>
      <c r="I9" s="122" t="str">
        <f>IF($B9="","",IF(I$3="","",IF(I$3="Snag",(SUMIFS(Tree!$AY:$AY,Tree!$A:$A,#REF!,Tree!$F:$F,"D",Tree!$K:$K,"&lt;&gt;"&amp;"Y")/$C9)/1000,(SUMIFS(Tree!$AY:$AY,Tree!$A:$A,#REF!,Tree!$D:$D,#REF!,Tree!$F:$F,"L",Tree!$K:$K,"&lt;&gt;"&amp;"Y")/$C9)/1000)))</f>
        <v/>
      </c>
      <c r="J9" s="122" t="str">
        <f>IF($B9="","",IF(J$3="","",IF(J$3="Snag",(SUMIFS(Tree!$AY:$AY,Tree!$A:$A,#REF!,Tree!$F:$F,"D",Tree!$K:$K,"&lt;&gt;"&amp;"Y")/$C9)/1000,(SUMIFS(Tree!$AY:$AY,Tree!$A:$A,#REF!,Tree!$D:$D,#REF!,Tree!$F:$F,"L",Tree!$K:$K,"&lt;&gt;"&amp;"Y")/$C9)/1000)))</f>
        <v/>
      </c>
      <c r="K9" s="122" t="str">
        <f>IF($B9="","",IF(K$3="","",IF(K$3="Snag",(SUMIFS(Tree!$AY:$AY,Tree!$A:$A,#REF!,Tree!$F:$F,"D",Tree!$K:$K,"&lt;&gt;"&amp;"Y")/$C9)/1000,(SUMIFS(Tree!$AY:$AY,Tree!$A:$A,#REF!,Tree!$D:$D,#REF!,Tree!$F:$F,"L",Tree!$K:$K,"&lt;&gt;"&amp;"Y")/$C9)/1000)))</f>
        <v/>
      </c>
      <c r="L9" s="122" t="str">
        <f>IF($B9="","",IF(L$3="","",IF(L$3="Snag",(SUMIFS(Tree!$AY:$AY,Tree!$A:$A,#REF!,Tree!$F:$F,"D",Tree!$K:$K,"&lt;&gt;"&amp;"Y")/$C9)/1000,(SUMIFS(Tree!$AY:$AY,Tree!$A:$A,#REF!,Tree!$D:$D,#REF!,Tree!$F:$F,"L",Tree!$K:$K,"&lt;&gt;"&amp;"Y")/$C9)/1000)))</f>
        <v/>
      </c>
      <c r="M9" s="122" t="str">
        <f>IF($B9="","",IF(M$3="","",IF(M$3="Snag",(SUMIFS(Tree!$AY:$AY,Tree!$A:$A,#REF!,Tree!$F:$F,"D",Tree!$K:$K,"&lt;&gt;"&amp;"Y")/$C9)/1000,(SUMIFS(Tree!$AY:$AY,Tree!$A:$A,#REF!,Tree!$D:$D,#REF!,Tree!$F:$F,"L",Tree!$K:$K,"&lt;&gt;"&amp;"Y")/$C9)/1000)))</f>
        <v/>
      </c>
      <c r="N9" s="122" t="str">
        <f>IF($B9="","",IF(N$3="","",IF(N$3="Snag",(SUMIFS(Tree!$AY:$AY,Tree!$A:$A,#REF!,Tree!$F:$F,"D",Tree!$K:$K,"&lt;&gt;"&amp;"Y")/$C9)/1000,(SUMIFS(Tree!$AY:$AY,Tree!$A:$A,#REF!,Tree!$D:$D,#REF!,Tree!$F:$F,"L",Tree!$K:$K,"&lt;&gt;"&amp;"Y")/$C9)/1000)))</f>
        <v/>
      </c>
      <c r="O9" s="179" t="str">
        <f t="shared" si="3"/>
        <v/>
      </c>
      <c r="P9" s="220" t="str">
        <f>IF($B9="","",IF(P$3="","",IF(P$3="Snag",(SUMIFS(Tree!$AY:$AY,Tree!$A:$A,#REF!,Tree!$F:$F,"D",Tree!$K:$K,"&lt;&gt;"&amp;"Y")/$C9)/1000,(SUMIFS(Tree!$AY:$AY,Tree!$A:$A,#REF!,Tree!$D:$D,#REF!,Tree!$F:$F,"L",Tree!$K:$K,"&lt;&gt;"&amp;"Y")/$C9)/1000)))</f>
        <v/>
      </c>
      <c r="Q9" s="157" t="str">
        <f>IF(B9="","",VLOOKUP(B9,#REF!,22,0))</f>
        <v/>
      </c>
      <c r="R9" s="193" t="str">
        <f>IF(B9="","",VLOOKUP($B9,#REF!,23,0))</f>
        <v/>
      </c>
      <c r="S9" s="86"/>
      <c r="T9" s="157" t="str">
        <f t="shared" si="1"/>
        <v/>
      </c>
      <c r="U9" s="122" t="str">
        <f t="shared" si="1"/>
        <v/>
      </c>
      <c r="V9" s="122" t="str">
        <f t="shared" si="1"/>
        <v/>
      </c>
      <c r="W9" s="122" t="str">
        <f t="shared" si="1"/>
        <v/>
      </c>
      <c r="X9" s="122" t="str">
        <f t="shared" si="1"/>
        <v/>
      </c>
      <c r="Y9" s="122" t="str">
        <f t="shared" si="1"/>
        <v/>
      </c>
      <c r="Z9" s="122" t="str">
        <f t="shared" si="1"/>
        <v/>
      </c>
      <c r="AA9" s="122" t="str">
        <f t="shared" si="1"/>
        <v/>
      </c>
      <c r="AB9" s="122" t="str">
        <f t="shared" si="1"/>
        <v/>
      </c>
      <c r="AC9" s="193" t="str">
        <f t="shared" si="1"/>
        <v/>
      </c>
      <c r="AD9" s="212" t="str">
        <f t="shared" si="1"/>
        <v/>
      </c>
      <c r="AE9" s="213" t="str">
        <f t="shared" si="1"/>
        <v/>
      </c>
      <c r="AF9" s="193" t="str">
        <f t="shared" si="4"/>
        <v/>
      </c>
    </row>
    <row r="10" spans="2:32" x14ac:dyDescent="0.25">
      <c r="B10" s="201" t="str">
        <f>IF(Stand!C9="","",Stand!C9)</f>
        <v/>
      </c>
      <c r="C10" s="121" t="str" cm="1">
        <f t="array" ref="C10">IF(SUM(IF(B10=Stand_Biomass!$B$4:$B$30,Stand_Biomass!$C$4:$C$30))&gt;0,SUM(IF(B10=Stand_Biomass!$B$4:$B$30,Stand_Biomass!$C$4:$C$30)),"")</f>
        <v/>
      </c>
      <c r="D10" s="154" t="str">
        <f>IF(B10="","",VLOOKUP($B10,Stand!$C:$G,5,0))</f>
        <v/>
      </c>
      <c r="E10" s="28"/>
      <c r="F10" s="157" t="str">
        <f>IF($B10="","",IF(F$3="","",IF(F$3="Snag",(SUMIFS(Tree!$AY:$AY,Tree!$A:$A,#REF!,Tree!$F:$F,"D",Tree!$K:$K,"&lt;&gt;"&amp;"Y")/$C10)/1000,(SUMIFS(Tree!$AY:$AY,Tree!$A:$A,#REF!,Tree!$D:$D,#REF!,Tree!$F:$F,"L",Tree!$K:$K,"&lt;&gt;"&amp;"Y")/$C10)/1000)))</f>
        <v/>
      </c>
      <c r="G10" s="122" t="str">
        <f>IF($B10="","",IF(G$3="","",IF(G$3="Snag",(SUMIFS(Tree!$AY:$AY,Tree!$A:$A,#REF!,Tree!$F:$F,"D",Tree!$K:$K,"&lt;&gt;"&amp;"Y")/$C10)/1000,(SUMIFS(Tree!$AY:$AY,Tree!$A:$A,#REF!,Tree!$D:$D,#REF!,Tree!$F:$F,"L",Tree!$K:$K,"&lt;&gt;"&amp;"Y")/$C10)/1000)))</f>
        <v/>
      </c>
      <c r="H10" s="122" t="str">
        <f>IF($B10="","",IF(H$3="","",IF(H$3="Snag",(SUMIFS(Tree!$AY:$AY,Tree!$A:$A,#REF!,Tree!$F:$F,"D",Tree!$K:$K,"&lt;&gt;"&amp;"Y")/$C10)/1000,(SUMIFS(Tree!$AY:$AY,Tree!$A:$A,#REF!,Tree!$D:$D,#REF!,Tree!$F:$F,"L",Tree!$K:$K,"&lt;&gt;"&amp;"Y")/$C10)/1000)))</f>
        <v/>
      </c>
      <c r="I10" s="122" t="str">
        <f>IF($B10="","",IF(I$3="","",IF(I$3="Snag",(SUMIFS(Tree!$AY:$AY,Tree!$A:$A,#REF!,Tree!$F:$F,"D",Tree!$K:$K,"&lt;&gt;"&amp;"Y")/$C10)/1000,(SUMIFS(Tree!$AY:$AY,Tree!$A:$A,#REF!,Tree!$D:$D,#REF!,Tree!$F:$F,"L",Tree!$K:$K,"&lt;&gt;"&amp;"Y")/$C10)/1000)))</f>
        <v/>
      </c>
      <c r="J10" s="122" t="str">
        <f>IF($B10="","",IF(J$3="","",IF(J$3="Snag",(SUMIFS(Tree!$AY:$AY,Tree!$A:$A,#REF!,Tree!$F:$F,"D",Tree!$K:$K,"&lt;&gt;"&amp;"Y")/$C10)/1000,(SUMIFS(Tree!$AY:$AY,Tree!$A:$A,#REF!,Tree!$D:$D,#REF!,Tree!$F:$F,"L",Tree!$K:$K,"&lt;&gt;"&amp;"Y")/$C10)/1000)))</f>
        <v/>
      </c>
      <c r="K10" s="122" t="str">
        <f>IF($B10="","",IF(K$3="","",IF(K$3="Snag",(SUMIFS(Tree!$AY:$AY,Tree!$A:$A,#REF!,Tree!$F:$F,"D",Tree!$K:$K,"&lt;&gt;"&amp;"Y")/$C10)/1000,(SUMIFS(Tree!$AY:$AY,Tree!$A:$A,#REF!,Tree!$D:$D,#REF!,Tree!$F:$F,"L",Tree!$K:$K,"&lt;&gt;"&amp;"Y")/$C10)/1000)))</f>
        <v/>
      </c>
      <c r="L10" s="122" t="str">
        <f>IF($B10="","",IF(L$3="","",IF(L$3="Snag",(SUMIFS(Tree!$AY:$AY,Tree!$A:$A,#REF!,Tree!$F:$F,"D",Tree!$K:$K,"&lt;&gt;"&amp;"Y")/$C10)/1000,(SUMIFS(Tree!$AY:$AY,Tree!$A:$A,#REF!,Tree!$D:$D,#REF!,Tree!$F:$F,"L",Tree!$K:$K,"&lt;&gt;"&amp;"Y")/$C10)/1000)))</f>
        <v/>
      </c>
      <c r="M10" s="122" t="str">
        <f>IF($B10="","",IF(M$3="","",IF(M$3="Snag",(SUMIFS(Tree!$AY:$AY,Tree!$A:$A,#REF!,Tree!$F:$F,"D",Tree!$K:$K,"&lt;&gt;"&amp;"Y")/$C10)/1000,(SUMIFS(Tree!$AY:$AY,Tree!$A:$A,#REF!,Tree!$D:$D,#REF!,Tree!$F:$F,"L",Tree!$K:$K,"&lt;&gt;"&amp;"Y")/$C10)/1000)))</f>
        <v/>
      </c>
      <c r="N10" s="122" t="str">
        <f>IF($B10="","",IF(N$3="","",IF(N$3="Snag",(SUMIFS(Tree!$AY:$AY,Tree!$A:$A,#REF!,Tree!$F:$F,"D",Tree!$K:$K,"&lt;&gt;"&amp;"Y")/$C10)/1000,(SUMIFS(Tree!$AY:$AY,Tree!$A:$A,#REF!,Tree!$D:$D,#REF!,Tree!$F:$F,"L",Tree!$K:$K,"&lt;&gt;"&amp;"Y")/$C10)/1000)))</f>
        <v/>
      </c>
      <c r="O10" s="179" t="str">
        <f t="shared" si="3"/>
        <v/>
      </c>
      <c r="P10" s="220" t="str">
        <f>IF($B10="","",IF(P$3="","",IF(P$3="Snag",(SUMIFS(Tree!$AY:$AY,Tree!$A:$A,#REF!,Tree!$F:$F,"D",Tree!$K:$K,"&lt;&gt;"&amp;"Y")/$C10)/1000,(SUMIFS(Tree!$AY:$AY,Tree!$A:$A,#REF!,Tree!$D:$D,#REF!,Tree!$F:$F,"L",Tree!$K:$K,"&lt;&gt;"&amp;"Y")/$C10)/1000)))</f>
        <v/>
      </c>
      <c r="Q10" s="157" t="str">
        <f>IF(B10="","",VLOOKUP(B10,#REF!,22,0))</f>
        <v/>
      </c>
      <c r="R10" s="193" t="str">
        <f>IF(B10="","",VLOOKUP($B10,#REF!,23,0))</f>
        <v/>
      </c>
      <c r="S10" s="86"/>
      <c r="T10" s="157" t="str">
        <f t="shared" si="1"/>
        <v/>
      </c>
      <c r="U10" s="122" t="str">
        <f t="shared" si="1"/>
        <v/>
      </c>
      <c r="V10" s="122" t="str">
        <f t="shared" si="1"/>
        <v/>
      </c>
      <c r="W10" s="122" t="str">
        <f t="shared" si="1"/>
        <v/>
      </c>
      <c r="X10" s="122" t="str">
        <f t="shared" si="1"/>
        <v/>
      </c>
      <c r="Y10" s="122" t="str">
        <f t="shared" si="1"/>
        <v/>
      </c>
      <c r="Z10" s="122" t="str">
        <f t="shared" si="1"/>
        <v/>
      </c>
      <c r="AA10" s="122" t="str">
        <f t="shared" si="1"/>
        <v/>
      </c>
      <c r="AB10" s="122" t="str">
        <f t="shared" si="1"/>
        <v/>
      </c>
      <c r="AC10" s="193" t="str">
        <f t="shared" si="1"/>
        <v/>
      </c>
      <c r="AD10" s="212" t="str">
        <f t="shared" si="1"/>
        <v/>
      </c>
      <c r="AE10" s="213" t="str">
        <f t="shared" si="1"/>
        <v/>
      </c>
      <c r="AF10" s="193" t="str">
        <f t="shared" si="4"/>
        <v/>
      </c>
    </row>
    <row r="11" spans="2:32" x14ac:dyDescent="0.25">
      <c r="B11" s="201" t="str">
        <f>IF(Stand!C10="","",Stand!C10)</f>
        <v/>
      </c>
      <c r="C11" s="121" t="str" cm="1">
        <f t="array" ref="C11">IF(SUM(IF(B11=Stand_Biomass!$B$4:$B$30,Stand_Biomass!$C$4:$C$30))&gt;0,SUM(IF(B11=Stand_Biomass!$B$4:$B$30,Stand_Biomass!$C$4:$C$30)),"")</f>
        <v/>
      </c>
      <c r="D11" s="154" t="str">
        <f>IF(B11="","",VLOOKUP($B11,Stand!$C:$G,5,0))</f>
        <v/>
      </c>
      <c r="E11" s="28"/>
      <c r="F11" s="157" t="str">
        <f>IF($B11="","",IF(F$3="","",IF(F$3="Snag",(SUMIFS(Tree!$AY:$AY,Tree!$A:$A,#REF!,Tree!$F:$F,"D",Tree!$K:$K,"&lt;&gt;"&amp;"Y")/$C11)/1000,(SUMIFS(Tree!$AY:$AY,Tree!$A:$A,#REF!,Tree!$D:$D,#REF!,Tree!$F:$F,"L",Tree!$K:$K,"&lt;&gt;"&amp;"Y")/$C11)/1000)))</f>
        <v/>
      </c>
      <c r="G11" s="122" t="str">
        <f>IF($B11="","",IF(G$3="","",IF(G$3="Snag",(SUMIFS(Tree!$AY:$AY,Tree!$A:$A,#REF!,Tree!$F:$F,"D",Tree!$K:$K,"&lt;&gt;"&amp;"Y")/$C11)/1000,(SUMIFS(Tree!$AY:$AY,Tree!$A:$A,#REF!,Tree!$D:$D,#REF!,Tree!$F:$F,"L",Tree!$K:$K,"&lt;&gt;"&amp;"Y")/$C11)/1000)))</f>
        <v/>
      </c>
      <c r="H11" s="122" t="str">
        <f>IF($B11="","",IF(H$3="","",IF(H$3="Snag",(SUMIFS(Tree!$AY:$AY,Tree!$A:$A,#REF!,Tree!$F:$F,"D",Tree!$K:$K,"&lt;&gt;"&amp;"Y")/$C11)/1000,(SUMIFS(Tree!$AY:$AY,Tree!$A:$A,#REF!,Tree!$D:$D,#REF!,Tree!$F:$F,"L",Tree!$K:$K,"&lt;&gt;"&amp;"Y")/$C11)/1000)))</f>
        <v/>
      </c>
      <c r="I11" s="122" t="str">
        <f>IF($B11="","",IF(I$3="","",IF(I$3="Snag",(SUMIFS(Tree!$AY:$AY,Tree!$A:$A,#REF!,Tree!$F:$F,"D",Tree!$K:$K,"&lt;&gt;"&amp;"Y")/$C11)/1000,(SUMIFS(Tree!$AY:$AY,Tree!$A:$A,#REF!,Tree!$D:$D,#REF!,Tree!$F:$F,"L",Tree!$K:$K,"&lt;&gt;"&amp;"Y")/$C11)/1000)))</f>
        <v/>
      </c>
      <c r="J11" s="122" t="str">
        <f>IF($B11="","",IF(J$3="","",IF(J$3="Snag",(SUMIFS(Tree!$AY:$AY,Tree!$A:$A,#REF!,Tree!$F:$F,"D",Tree!$K:$K,"&lt;&gt;"&amp;"Y")/$C11)/1000,(SUMIFS(Tree!$AY:$AY,Tree!$A:$A,#REF!,Tree!$D:$D,#REF!,Tree!$F:$F,"L",Tree!$K:$K,"&lt;&gt;"&amp;"Y")/$C11)/1000)))</f>
        <v/>
      </c>
      <c r="K11" s="122" t="str">
        <f>IF($B11="","",IF(K$3="","",IF(K$3="Snag",(SUMIFS(Tree!$AY:$AY,Tree!$A:$A,#REF!,Tree!$F:$F,"D",Tree!$K:$K,"&lt;&gt;"&amp;"Y")/$C11)/1000,(SUMIFS(Tree!$AY:$AY,Tree!$A:$A,#REF!,Tree!$D:$D,#REF!,Tree!$F:$F,"L",Tree!$K:$K,"&lt;&gt;"&amp;"Y")/$C11)/1000)))</f>
        <v/>
      </c>
      <c r="L11" s="122" t="str">
        <f>IF($B11="","",IF(L$3="","",IF(L$3="Snag",(SUMIFS(Tree!$AY:$AY,Tree!$A:$A,#REF!,Tree!$F:$F,"D",Tree!$K:$K,"&lt;&gt;"&amp;"Y")/$C11)/1000,(SUMIFS(Tree!$AY:$AY,Tree!$A:$A,#REF!,Tree!$D:$D,#REF!,Tree!$F:$F,"L",Tree!$K:$K,"&lt;&gt;"&amp;"Y")/$C11)/1000)))</f>
        <v/>
      </c>
      <c r="M11" s="122" t="str">
        <f>IF($B11="","",IF(M$3="","",IF(M$3="Snag",(SUMIFS(Tree!$AY:$AY,Tree!$A:$A,#REF!,Tree!$F:$F,"D",Tree!$K:$K,"&lt;&gt;"&amp;"Y")/$C11)/1000,(SUMIFS(Tree!$AY:$AY,Tree!$A:$A,#REF!,Tree!$D:$D,#REF!,Tree!$F:$F,"L",Tree!$K:$K,"&lt;&gt;"&amp;"Y")/$C11)/1000)))</f>
        <v/>
      </c>
      <c r="N11" s="122" t="str">
        <f>IF($B11="","",IF(N$3="","",IF(N$3="Snag",(SUMIFS(Tree!$AY:$AY,Tree!$A:$A,#REF!,Tree!$F:$F,"D",Tree!$K:$K,"&lt;&gt;"&amp;"Y")/$C11)/1000,(SUMIFS(Tree!$AY:$AY,Tree!$A:$A,#REF!,Tree!$D:$D,#REF!,Tree!$F:$F,"L",Tree!$K:$K,"&lt;&gt;"&amp;"Y")/$C11)/1000)))</f>
        <v/>
      </c>
      <c r="O11" s="179" t="str">
        <f t="shared" si="3"/>
        <v/>
      </c>
      <c r="P11" s="220" t="str">
        <f>IF($B11="","",IF(P$3="","",IF(P$3="Snag",(SUMIFS(Tree!$AY:$AY,Tree!$A:$A,#REF!,Tree!$F:$F,"D",Tree!$K:$K,"&lt;&gt;"&amp;"Y")/$C11)/1000,(SUMIFS(Tree!$AY:$AY,Tree!$A:$A,#REF!,Tree!$D:$D,#REF!,Tree!$F:$F,"L",Tree!$K:$K,"&lt;&gt;"&amp;"Y")/$C11)/1000)))</f>
        <v/>
      </c>
      <c r="Q11" s="157" t="str">
        <f>IF(B11="","",VLOOKUP(B11,#REF!,22,0))</f>
        <v/>
      </c>
      <c r="R11" s="193" t="str">
        <f>IF(B11="","",VLOOKUP($B11,#REF!,23,0))</f>
        <v/>
      </c>
      <c r="S11" s="86"/>
      <c r="T11" s="157" t="str">
        <f t="shared" si="1"/>
        <v/>
      </c>
      <c r="U11" s="122" t="str">
        <f t="shared" si="1"/>
        <v/>
      </c>
      <c r="V11" s="122" t="str">
        <f t="shared" si="1"/>
        <v/>
      </c>
      <c r="W11" s="122" t="str">
        <f t="shared" si="1"/>
        <v/>
      </c>
      <c r="X11" s="122" t="str">
        <f t="shared" si="1"/>
        <v/>
      </c>
      <c r="Y11" s="122" t="str">
        <f t="shared" si="1"/>
        <v/>
      </c>
      <c r="Z11" s="122" t="str">
        <f t="shared" si="1"/>
        <v/>
      </c>
      <c r="AA11" s="122" t="str">
        <f t="shared" si="1"/>
        <v/>
      </c>
      <c r="AB11" s="122" t="str">
        <f t="shared" si="1"/>
        <v/>
      </c>
      <c r="AC11" s="193" t="str">
        <f t="shared" si="1"/>
        <v/>
      </c>
      <c r="AD11" s="212" t="str">
        <f t="shared" si="1"/>
        <v/>
      </c>
      <c r="AE11" s="213" t="str">
        <f t="shared" si="1"/>
        <v/>
      </c>
      <c r="AF11" s="193" t="str">
        <f t="shared" si="4"/>
        <v/>
      </c>
    </row>
    <row r="12" spans="2:32" x14ac:dyDescent="0.25">
      <c r="B12" s="201" t="str">
        <f>IF(Stand!C11="","",Stand!C11)</f>
        <v/>
      </c>
      <c r="C12" s="121" t="str" cm="1">
        <f t="array" ref="C12">IF(SUM(IF(B12=Stand_Biomass!$B$4:$B$30,Stand_Biomass!$C$4:$C$30))&gt;0,SUM(IF(B12=Stand_Biomass!$B$4:$B$30,Stand_Biomass!$C$4:$C$30)),"")</f>
        <v/>
      </c>
      <c r="D12" s="154" t="str">
        <f>IF(B12="","",VLOOKUP($B12,Stand!$C:$G,5,0))</f>
        <v/>
      </c>
      <c r="E12" s="28"/>
      <c r="F12" s="157" t="str">
        <f>IF($B12="","",IF(F$3="","",IF(F$3="Snag",(SUMIFS(Tree!$AY:$AY,Tree!$A:$A,#REF!,Tree!$F:$F,"D",Tree!$K:$K,"&lt;&gt;"&amp;"Y")/$C12)/1000,(SUMIFS(Tree!$AY:$AY,Tree!$A:$A,#REF!,Tree!$D:$D,#REF!,Tree!$F:$F,"L",Tree!$K:$K,"&lt;&gt;"&amp;"Y")/$C12)/1000)))</f>
        <v/>
      </c>
      <c r="G12" s="122" t="str">
        <f>IF($B12="","",IF(G$3="","",IF(G$3="Snag",(SUMIFS(Tree!$AY:$AY,Tree!$A:$A,#REF!,Tree!$F:$F,"D",Tree!$K:$K,"&lt;&gt;"&amp;"Y")/$C12)/1000,(SUMIFS(Tree!$AY:$AY,Tree!$A:$A,#REF!,Tree!$D:$D,#REF!,Tree!$F:$F,"L",Tree!$K:$K,"&lt;&gt;"&amp;"Y")/$C12)/1000)))</f>
        <v/>
      </c>
      <c r="H12" s="122" t="str">
        <f>IF($B12="","",IF(H$3="","",IF(H$3="Snag",(SUMIFS(Tree!$AY:$AY,Tree!$A:$A,#REF!,Tree!$F:$F,"D",Tree!$K:$K,"&lt;&gt;"&amp;"Y")/$C12)/1000,(SUMIFS(Tree!$AY:$AY,Tree!$A:$A,#REF!,Tree!$D:$D,#REF!,Tree!$F:$F,"L",Tree!$K:$K,"&lt;&gt;"&amp;"Y")/$C12)/1000)))</f>
        <v/>
      </c>
      <c r="I12" s="122" t="str">
        <f>IF($B12="","",IF(I$3="","",IF(I$3="Snag",(SUMIFS(Tree!$AY:$AY,Tree!$A:$A,#REF!,Tree!$F:$F,"D",Tree!$K:$K,"&lt;&gt;"&amp;"Y")/$C12)/1000,(SUMIFS(Tree!$AY:$AY,Tree!$A:$A,#REF!,Tree!$D:$D,#REF!,Tree!$F:$F,"L",Tree!$K:$K,"&lt;&gt;"&amp;"Y")/$C12)/1000)))</f>
        <v/>
      </c>
      <c r="J12" s="122" t="str">
        <f>IF($B12="","",IF(J$3="","",IF(J$3="Snag",(SUMIFS(Tree!$AY:$AY,Tree!$A:$A,#REF!,Tree!$F:$F,"D",Tree!$K:$K,"&lt;&gt;"&amp;"Y")/$C12)/1000,(SUMIFS(Tree!$AY:$AY,Tree!$A:$A,#REF!,Tree!$D:$D,#REF!,Tree!$F:$F,"L",Tree!$K:$K,"&lt;&gt;"&amp;"Y")/$C12)/1000)))</f>
        <v/>
      </c>
      <c r="K12" s="122" t="str">
        <f>IF($B12="","",IF(K$3="","",IF(K$3="Snag",(SUMIFS(Tree!$AY:$AY,Tree!$A:$A,#REF!,Tree!$F:$F,"D",Tree!$K:$K,"&lt;&gt;"&amp;"Y")/$C12)/1000,(SUMIFS(Tree!$AY:$AY,Tree!$A:$A,#REF!,Tree!$D:$D,#REF!,Tree!$F:$F,"L",Tree!$K:$K,"&lt;&gt;"&amp;"Y")/$C12)/1000)))</f>
        <v/>
      </c>
      <c r="L12" s="122" t="str">
        <f>IF($B12="","",IF(L$3="","",IF(L$3="Snag",(SUMIFS(Tree!$AY:$AY,Tree!$A:$A,#REF!,Tree!$F:$F,"D",Tree!$K:$K,"&lt;&gt;"&amp;"Y")/$C12)/1000,(SUMIFS(Tree!$AY:$AY,Tree!$A:$A,#REF!,Tree!$D:$D,#REF!,Tree!$F:$F,"L",Tree!$K:$K,"&lt;&gt;"&amp;"Y")/$C12)/1000)))</f>
        <v/>
      </c>
      <c r="M12" s="122" t="str">
        <f>IF($B12="","",IF(M$3="","",IF(M$3="Snag",(SUMIFS(Tree!$AY:$AY,Tree!$A:$A,#REF!,Tree!$F:$F,"D",Tree!$K:$K,"&lt;&gt;"&amp;"Y")/$C12)/1000,(SUMIFS(Tree!$AY:$AY,Tree!$A:$A,#REF!,Tree!$D:$D,#REF!,Tree!$F:$F,"L",Tree!$K:$K,"&lt;&gt;"&amp;"Y")/$C12)/1000)))</f>
        <v/>
      </c>
      <c r="N12" s="122" t="str">
        <f>IF($B12="","",IF(N$3="","",IF(N$3="Snag",(SUMIFS(Tree!$AY:$AY,Tree!$A:$A,#REF!,Tree!$F:$F,"D",Tree!$K:$K,"&lt;&gt;"&amp;"Y")/$C12)/1000,(SUMIFS(Tree!$AY:$AY,Tree!$A:$A,#REF!,Tree!$D:$D,#REF!,Tree!$F:$F,"L",Tree!$K:$K,"&lt;&gt;"&amp;"Y")/$C12)/1000)))</f>
        <v/>
      </c>
      <c r="O12" s="179" t="str">
        <f t="shared" si="3"/>
        <v/>
      </c>
      <c r="P12" s="220" t="str">
        <f>IF($B12="","",IF(P$3="","",IF(P$3="Snag",(SUMIFS(Tree!$AY:$AY,Tree!$A:$A,#REF!,Tree!$F:$F,"D",Tree!$K:$K,"&lt;&gt;"&amp;"Y")/$C12)/1000,(SUMIFS(Tree!$AY:$AY,Tree!$A:$A,#REF!,Tree!$D:$D,#REF!,Tree!$F:$F,"L",Tree!$K:$K,"&lt;&gt;"&amp;"Y")/$C12)/1000)))</f>
        <v/>
      </c>
      <c r="Q12" s="157" t="str">
        <f>IF(B12="","",VLOOKUP(B12,#REF!,22,0))</f>
        <v/>
      </c>
      <c r="R12" s="193" t="str">
        <f>IF(B12="","",VLOOKUP($B12,#REF!,23,0))</f>
        <v/>
      </c>
      <c r="S12" s="86"/>
      <c r="T12" s="157" t="str">
        <f t="shared" si="1"/>
        <v/>
      </c>
      <c r="U12" s="122" t="str">
        <f t="shared" si="1"/>
        <v/>
      </c>
      <c r="V12" s="122" t="str">
        <f t="shared" si="1"/>
        <v/>
      </c>
      <c r="W12" s="122" t="str">
        <f t="shared" si="1"/>
        <v/>
      </c>
      <c r="X12" s="122" t="str">
        <f t="shared" si="1"/>
        <v/>
      </c>
      <c r="Y12" s="122" t="str">
        <f t="shared" si="1"/>
        <v/>
      </c>
      <c r="Z12" s="122" t="str">
        <f t="shared" si="1"/>
        <v/>
      </c>
      <c r="AA12" s="122" t="str">
        <f t="shared" si="1"/>
        <v/>
      </c>
      <c r="AB12" s="122" t="str">
        <f t="shared" si="1"/>
        <v/>
      </c>
      <c r="AC12" s="193" t="str">
        <f t="shared" si="1"/>
        <v/>
      </c>
      <c r="AD12" s="212" t="str">
        <f t="shared" si="1"/>
        <v/>
      </c>
      <c r="AE12" s="213" t="str">
        <f t="shared" si="1"/>
        <v/>
      </c>
      <c r="AF12" s="193" t="str">
        <f t="shared" si="4"/>
        <v/>
      </c>
    </row>
    <row r="13" spans="2:32" x14ac:dyDescent="0.25">
      <c r="B13" s="201" t="str">
        <f>IF(Stand!C12="","",Stand!C12)</f>
        <v/>
      </c>
      <c r="C13" s="121" t="str" cm="1">
        <f t="array" ref="C13">IF(SUM(IF(B13=Stand_Biomass!$B$4:$B$30,Stand_Biomass!$C$4:$C$30))&gt;0,SUM(IF(B13=Stand_Biomass!$B$4:$B$30,Stand_Biomass!$C$4:$C$30)),"")</f>
        <v/>
      </c>
      <c r="D13" s="154" t="str">
        <f>IF(B13="","",VLOOKUP($B13,Stand!$C:$G,5,0))</f>
        <v/>
      </c>
      <c r="E13" s="28"/>
      <c r="F13" s="157" t="str">
        <f>IF($B13="","",IF(F$3="","",IF(F$3="Snag",(SUMIFS(Tree!$AY:$AY,Tree!$A:$A,#REF!,Tree!$F:$F,"D",Tree!$K:$K,"&lt;&gt;"&amp;"Y")/$C13)/1000,(SUMIFS(Tree!$AY:$AY,Tree!$A:$A,#REF!,Tree!$D:$D,#REF!,Tree!$F:$F,"L",Tree!$K:$K,"&lt;&gt;"&amp;"Y")/$C13)/1000)))</f>
        <v/>
      </c>
      <c r="G13" s="122" t="str">
        <f>IF($B13="","",IF(G$3="","",IF(G$3="Snag",(SUMIFS(Tree!$AY:$AY,Tree!$A:$A,#REF!,Tree!$F:$F,"D",Tree!$K:$K,"&lt;&gt;"&amp;"Y")/$C13)/1000,(SUMIFS(Tree!$AY:$AY,Tree!$A:$A,#REF!,Tree!$D:$D,#REF!,Tree!$F:$F,"L",Tree!$K:$K,"&lt;&gt;"&amp;"Y")/$C13)/1000)))</f>
        <v/>
      </c>
      <c r="H13" s="122" t="str">
        <f>IF($B13="","",IF(H$3="","",IF(H$3="Snag",(SUMIFS(Tree!$AY:$AY,Tree!$A:$A,#REF!,Tree!$F:$F,"D",Tree!$K:$K,"&lt;&gt;"&amp;"Y")/$C13)/1000,(SUMIFS(Tree!$AY:$AY,Tree!$A:$A,#REF!,Tree!$D:$D,#REF!,Tree!$F:$F,"L",Tree!$K:$K,"&lt;&gt;"&amp;"Y")/$C13)/1000)))</f>
        <v/>
      </c>
      <c r="I13" s="122" t="str">
        <f>IF($B13="","",IF(I$3="","",IF(I$3="Snag",(SUMIFS(Tree!$AY:$AY,Tree!$A:$A,#REF!,Tree!$F:$F,"D",Tree!$K:$K,"&lt;&gt;"&amp;"Y")/$C13)/1000,(SUMIFS(Tree!$AY:$AY,Tree!$A:$A,#REF!,Tree!$D:$D,#REF!,Tree!$F:$F,"L",Tree!$K:$K,"&lt;&gt;"&amp;"Y")/$C13)/1000)))</f>
        <v/>
      </c>
      <c r="J13" s="122" t="str">
        <f>IF($B13="","",IF(J$3="","",IF(J$3="Snag",(SUMIFS(Tree!$AY:$AY,Tree!$A:$A,#REF!,Tree!$F:$F,"D",Tree!$K:$K,"&lt;&gt;"&amp;"Y")/$C13)/1000,(SUMIFS(Tree!$AY:$AY,Tree!$A:$A,#REF!,Tree!$D:$D,#REF!,Tree!$F:$F,"L",Tree!$K:$K,"&lt;&gt;"&amp;"Y")/$C13)/1000)))</f>
        <v/>
      </c>
      <c r="K13" s="122" t="str">
        <f>IF($B13="","",IF(K$3="","",IF(K$3="Snag",(SUMIFS(Tree!$AY:$AY,Tree!$A:$A,#REF!,Tree!$F:$F,"D",Tree!$K:$K,"&lt;&gt;"&amp;"Y")/$C13)/1000,(SUMIFS(Tree!$AY:$AY,Tree!$A:$A,#REF!,Tree!$D:$D,#REF!,Tree!$F:$F,"L",Tree!$K:$K,"&lt;&gt;"&amp;"Y")/$C13)/1000)))</f>
        <v/>
      </c>
      <c r="L13" s="122" t="str">
        <f>IF($B13="","",IF(L$3="","",IF(L$3="Snag",(SUMIFS(Tree!$AY:$AY,Tree!$A:$A,#REF!,Tree!$F:$F,"D",Tree!$K:$K,"&lt;&gt;"&amp;"Y")/$C13)/1000,(SUMIFS(Tree!$AY:$AY,Tree!$A:$A,#REF!,Tree!$D:$D,#REF!,Tree!$F:$F,"L",Tree!$K:$K,"&lt;&gt;"&amp;"Y")/$C13)/1000)))</f>
        <v/>
      </c>
      <c r="M13" s="122" t="str">
        <f>IF($B13="","",IF(M$3="","",IF(M$3="Snag",(SUMIFS(Tree!$AY:$AY,Tree!$A:$A,#REF!,Tree!$F:$F,"D",Tree!$K:$K,"&lt;&gt;"&amp;"Y")/$C13)/1000,(SUMIFS(Tree!$AY:$AY,Tree!$A:$A,#REF!,Tree!$D:$D,#REF!,Tree!$F:$F,"L",Tree!$K:$K,"&lt;&gt;"&amp;"Y")/$C13)/1000)))</f>
        <v/>
      </c>
      <c r="N13" s="122" t="str">
        <f>IF($B13="","",IF(N$3="","",IF(N$3="Snag",(SUMIFS(Tree!$AY:$AY,Tree!$A:$A,#REF!,Tree!$F:$F,"D",Tree!$K:$K,"&lt;&gt;"&amp;"Y")/$C13)/1000,(SUMIFS(Tree!$AY:$AY,Tree!$A:$A,#REF!,Tree!$D:$D,#REF!,Tree!$F:$F,"L",Tree!$K:$K,"&lt;&gt;"&amp;"Y")/$C13)/1000)))</f>
        <v/>
      </c>
      <c r="O13" s="179" t="str">
        <f t="shared" si="3"/>
        <v/>
      </c>
      <c r="P13" s="220" t="str">
        <f>IF($B13="","",IF(P$3="","",IF(P$3="Snag",(SUMIFS(Tree!$AY:$AY,Tree!$A:$A,#REF!,Tree!$F:$F,"D",Tree!$K:$K,"&lt;&gt;"&amp;"Y")/$C13)/1000,(SUMIFS(Tree!$AY:$AY,Tree!$A:$A,#REF!,Tree!$D:$D,#REF!,Tree!$F:$F,"L",Tree!$K:$K,"&lt;&gt;"&amp;"Y")/$C13)/1000)))</f>
        <v/>
      </c>
      <c r="Q13" s="157" t="str">
        <f>IF(B13="","",VLOOKUP(B13,#REF!,22,0))</f>
        <v/>
      </c>
      <c r="R13" s="193" t="str">
        <f>IF(B13="","",VLOOKUP($B13,#REF!,23,0))</f>
        <v/>
      </c>
      <c r="S13" s="86"/>
      <c r="T13" s="157" t="str">
        <f t="shared" si="1"/>
        <v/>
      </c>
      <c r="U13" s="122" t="str">
        <f t="shared" si="1"/>
        <v/>
      </c>
      <c r="V13" s="122" t="str">
        <f t="shared" si="1"/>
        <v/>
      </c>
      <c r="W13" s="122" t="str">
        <f t="shared" si="1"/>
        <v/>
      </c>
      <c r="X13" s="122" t="str">
        <f t="shared" si="1"/>
        <v/>
      </c>
      <c r="Y13" s="122" t="str">
        <f t="shared" si="1"/>
        <v/>
      </c>
      <c r="Z13" s="122" t="str">
        <f t="shared" si="1"/>
        <v/>
      </c>
      <c r="AA13" s="122" t="str">
        <f t="shared" si="1"/>
        <v/>
      </c>
      <c r="AB13" s="122" t="str">
        <f t="shared" si="1"/>
        <v/>
      </c>
      <c r="AC13" s="193" t="str">
        <f t="shared" si="1"/>
        <v/>
      </c>
      <c r="AD13" s="212" t="str">
        <f t="shared" si="1"/>
        <v/>
      </c>
      <c r="AE13" s="213" t="str">
        <f t="shared" si="1"/>
        <v/>
      </c>
      <c r="AF13" s="193" t="str">
        <f t="shared" si="4"/>
        <v/>
      </c>
    </row>
    <row r="14" spans="2:32" x14ac:dyDescent="0.25">
      <c r="B14" s="201" t="str">
        <f>IF(Stand!C13="","",Stand!C13)</f>
        <v/>
      </c>
      <c r="C14" s="121" t="str" cm="1">
        <f t="array" ref="C14">IF(SUM(IF(B14=Stand_Biomass!$B$4:$B$30,Stand_Biomass!$C$4:$C$30))&gt;0,SUM(IF(B14=Stand_Biomass!$B$4:$B$30,Stand_Biomass!$C$4:$C$30)),"")</f>
        <v/>
      </c>
      <c r="D14" s="154" t="str">
        <f>IF(B14="","",VLOOKUP($B14,Stand!$C:$G,5,0))</f>
        <v/>
      </c>
      <c r="E14" s="28"/>
      <c r="F14" s="157" t="str">
        <f>IF($B14="","",IF(F$3="","",IF(F$3="Snag",(SUMIFS(Tree!$AY:$AY,Tree!$A:$A,#REF!,Tree!$F:$F,"D",Tree!$K:$K,"&lt;&gt;"&amp;"Y")/$C14)/1000,(SUMIFS(Tree!$AY:$AY,Tree!$A:$A,#REF!,Tree!$D:$D,#REF!,Tree!$F:$F,"L",Tree!$K:$K,"&lt;&gt;"&amp;"Y")/$C14)/1000)))</f>
        <v/>
      </c>
      <c r="G14" s="122" t="str">
        <f>IF($B14="","",IF(G$3="","",IF(G$3="Snag",(SUMIFS(Tree!$AY:$AY,Tree!$A:$A,#REF!,Tree!$F:$F,"D",Tree!$K:$K,"&lt;&gt;"&amp;"Y")/$C14)/1000,(SUMIFS(Tree!$AY:$AY,Tree!$A:$A,#REF!,Tree!$D:$D,#REF!,Tree!$F:$F,"L",Tree!$K:$K,"&lt;&gt;"&amp;"Y")/$C14)/1000)))</f>
        <v/>
      </c>
      <c r="H14" s="122" t="str">
        <f>IF($B14="","",IF(H$3="","",IF(H$3="Snag",(SUMIFS(Tree!$AY:$AY,Tree!$A:$A,#REF!,Tree!$F:$F,"D",Tree!$K:$K,"&lt;&gt;"&amp;"Y")/$C14)/1000,(SUMIFS(Tree!$AY:$AY,Tree!$A:$A,#REF!,Tree!$D:$D,#REF!,Tree!$F:$F,"L",Tree!$K:$K,"&lt;&gt;"&amp;"Y")/$C14)/1000)))</f>
        <v/>
      </c>
      <c r="I14" s="122" t="str">
        <f>IF($B14="","",IF(I$3="","",IF(I$3="Snag",(SUMIFS(Tree!$AY:$AY,Tree!$A:$A,#REF!,Tree!$F:$F,"D",Tree!$K:$K,"&lt;&gt;"&amp;"Y")/$C14)/1000,(SUMIFS(Tree!$AY:$AY,Tree!$A:$A,#REF!,Tree!$D:$D,#REF!,Tree!$F:$F,"L",Tree!$K:$K,"&lt;&gt;"&amp;"Y")/$C14)/1000)))</f>
        <v/>
      </c>
      <c r="J14" s="122" t="str">
        <f>IF($B14="","",IF(J$3="","",IF(J$3="Snag",(SUMIFS(Tree!$AY:$AY,Tree!$A:$A,#REF!,Tree!$F:$F,"D",Tree!$K:$K,"&lt;&gt;"&amp;"Y")/$C14)/1000,(SUMIFS(Tree!$AY:$AY,Tree!$A:$A,#REF!,Tree!$D:$D,#REF!,Tree!$F:$F,"L",Tree!$K:$K,"&lt;&gt;"&amp;"Y")/$C14)/1000)))</f>
        <v/>
      </c>
      <c r="K14" s="122" t="str">
        <f>IF($B14="","",IF(K$3="","",IF(K$3="Snag",(SUMIFS(Tree!$AY:$AY,Tree!$A:$A,#REF!,Tree!$F:$F,"D",Tree!$K:$K,"&lt;&gt;"&amp;"Y")/$C14)/1000,(SUMIFS(Tree!$AY:$AY,Tree!$A:$A,#REF!,Tree!$D:$D,#REF!,Tree!$F:$F,"L",Tree!$K:$K,"&lt;&gt;"&amp;"Y")/$C14)/1000)))</f>
        <v/>
      </c>
      <c r="L14" s="122" t="str">
        <f>IF($B14="","",IF(L$3="","",IF(L$3="Snag",(SUMIFS(Tree!$AY:$AY,Tree!$A:$A,#REF!,Tree!$F:$F,"D",Tree!$K:$K,"&lt;&gt;"&amp;"Y")/$C14)/1000,(SUMIFS(Tree!$AY:$AY,Tree!$A:$A,#REF!,Tree!$D:$D,#REF!,Tree!$F:$F,"L",Tree!$K:$K,"&lt;&gt;"&amp;"Y")/$C14)/1000)))</f>
        <v/>
      </c>
      <c r="M14" s="122" t="str">
        <f>IF($B14="","",IF(M$3="","",IF(M$3="Snag",(SUMIFS(Tree!$AY:$AY,Tree!$A:$A,#REF!,Tree!$F:$F,"D",Tree!$K:$K,"&lt;&gt;"&amp;"Y")/$C14)/1000,(SUMIFS(Tree!$AY:$AY,Tree!$A:$A,#REF!,Tree!$D:$D,#REF!,Tree!$F:$F,"L",Tree!$K:$K,"&lt;&gt;"&amp;"Y")/$C14)/1000)))</f>
        <v/>
      </c>
      <c r="N14" s="122" t="str">
        <f>IF($B14="","",IF(N$3="","",IF(N$3="Snag",(SUMIFS(Tree!$AY:$AY,Tree!$A:$A,#REF!,Tree!$F:$F,"D",Tree!$K:$K,"&lt;&gt;"&amp;"Y")/$C14)/1000,(SUMIFS(Tree!$AY:$AY,Tree!$A:$A,#REF!,Tree!$D:$D,#REF!,Tree!$F:$F,"L",Tree!$K:$K,"&lt;&gt;"&amp;"Y")/$C14)/1000)))</f>
        <v/>
      </c>
      <c r="O14" s="179" t="str">
        <f t="shared" si="3"/>
        <v/>
      </c>
      <c r="P14" s="220" t="str">
        <f>IF($B14="","",IF(P$3="","",IF(P$3="Snag",(SUMIFS(Tree!$AY:$AY,Tree!$A:$A,#REF!,Tree!$F:$F,"D",Tree!$K:$K,"&lt;&gt;"&amp;"Y")/$C14)/1000,(SUMIFS(Tree!$AY:$AY,Tree!$A:$A,#REF!,Tree!$D:$D,#REF!,Tree!$F:$F,"L",Tree!$K:$K,"&lt;&gt;"&amp;"Y")/$C14)/1000)))</f>
        <v/>
      </c>
      <c r="Q14" s="157" t="str">
        <f>IF(B14="","",VLOOKUP(B14,#REF!,22,0))</f>
        <v/>
      </c>
      <c r="R14" s="193" t="str">
        <f>IF(B14="","",VLOOKUP($B14,#REF!,23,0))</f>
        <v/>
      </c>
      <c r="S14" s="86"/>
      <c r="T14" s="157" t="str">
        <f t="shared" si="1"/>
        <v/>
      </c>
      <c r="U14" s="122" t="str">
        <f t="shared" si="1"/>
        <v/>
      </c>
      <c r="V14" s="122" t="str">
        <f t="shared" si="1"/>
        <v/>
      </c>
      <c r="W14" s="122" t="str">
        <f t="shared" si="1"/>
        <v/>
      </c>
      <c r="X14" s="122" t="str">
        <f t="shared" si="1"/>
        <v/>
      </c>
      <c r="Y14" s="122" t="str">
        <f t="shared" si="1"/>
        <v/>
      </c>
      <c r="Z14" s="122" t="str">
        <f t="shared" si="1"/>
        <v/>
      </c>
      <c r="AA14" s="122" t="str">
        <f t="shared" si="1"/>
        <v/>
      </c>
      <c r="AB14" s="122" t="str">
        <f t="shared" si="1"/>
        <v/>
      </c>
      <c r="AC14" s="193" t="str">
        <f t="shared" si="1"/>
        <v/>
      </c>
      <c r="AD14" s="212" t="str">
        <f t="shared" si="1"/>
        <v/>
      </c>
      <c r="AE14" s="213" t="str">
        <f t="shared" si="1"/>
        <v/>
      </c>
      <c r="AF14" s="193" t="str">
        <f t="shared" si="4"/>
        <v/>
      </c>
    </row>
    <row r="15" spans="2:32" x14ac:dyDescent="0.25">
      <c r="B15" s="201" t="str">
        <f>IF(Stand!C14="","",Stand!C14)</f>
        <v/>
      </c>
      <c r="C15" s="121" t="str" cm="1">
        <f t="array" ref="C15">IF(SUM(IF(B15=Stand_Biomass!$B$4:$B$30,Stand_Biomass!$C$4:$C$30))&gt;0,SUM(IF(B15=Stand_Biomass!$B$4:$B$30,Stand_Biomass!$C$4:$C$30)),"")</f>
        <v/>
      </c>
      <c r="D15" s="154" t="str">
        <f>IF(B15="","",VLOOKUP($B15,Stand!$C:$G,5,0))</f>
        <v/>
      </c>
      <c r="E15" s="28"/>
      <c r="F15" s="157" t="str">
        <f>IF($B15="","",IF(F$3="","",IF(F$3="Snag",(SUMIFS(Tree!$AY:$AY,Tree!$A:$A,#REF!,Tree!$F:$F,"D",Tree!$K:$K,"&lt;&gt;"&amp;"Y")/$C15)/1000,(SUMIFS(Tree!$AY:$AY,Tree!$A:$A,#REF!,Tree!$D:$D,#REF!,Tree!$F:$F,"L",Tree!$K:$K,"&lt;&gt;"&amp;"Y")/$C15)/1000)))</f>
        <v/>
      </c>
      <c r="G15" s="122" t="str">
        <f>IF($B15="","",IF(G$3="","",IF(G$3="Snag",(SUMIFS(Tree!$AY:$AY,Tree!$A:$A,#REF!,Tree!$F:$F,"D",Tree!$K:$K,"&lt;&gt;"&amp;"Y")/$C15)/1000,(SUMIFS(Tree!$AY:$AY,Tree!$A:$A,#REF!,Tree!$D:$D,#REF!,Tree!$F:$F,"L",Tree!$K:$K,"&lt;&gt;"&amp;"Y")/$C15)/1000)))</f>
        <v/>
      </c>
      <c r="H15" s="122" t="str">
        <f>IF($B15="","",IF(H$3="","",IF(H$3="Snag",(SUMIFS(Tree!$AY:$AY,Tree!$A:$A,#REF!,Tree!$F:$F,"D",Tree!$K:$K,"&lt;&gt;"&amp;"Y")/$C15)/1000,(SUMIFS(Tree!$AY:$AY,Tree!$A:$A,#REF!,Tree!$D:$D,#REF!,Tree!$F:$F,"L",Tree!$K:$K,"&lt;&gt;"&amp;"Y")/$C15)/1000)))</f>
        <v/>
      </c>
      <c r="I15" s="122" t="str">
        <f>IF($B15="","",IF(I$3="","",IF(I$3="Snag",(SUMIFS(Tree!$AY:$AY,Tree!$A:$A,#REF!,Tree!$F:$F,"D",Tree!$K:$K,"&lt;&gt;"&amp;"Y")/$C15)/1000,(SUMIFS(Tree!$AY:$AY,Tree!$A:$A,#REF!,Tree!$D:$D,#REF!,Tree!$F:$F,"L",Tree!$K:$K,"&lt;&gt;"&amp;"Y")/$C15)/1000)))</f>
        <v/>
      </c>
      <c r="J15" s="122" t="str">
        <f>IF($B15="","",IF(J$3="","",IF(J$3="Snag",(SUMIFS(Tree!$AY:$AY,Tree!$A:$A,#REF!,Tree!$F:$F,"D",Tree!$K:$K,"&lt;&gt;"&amp;"Y")/$C15)/1000,(SUMIFS(Tree!$AY:$AY,Tree!$A:$A,#REF!,Tree!$D:$D,#REF!,Tree!$F:$F,"L",Tree!$K:$K,"&lt;&gt;"&amp;"Y")/$C15)/1000)))</f>
        <v/>
      </c>
      <c r="K15" s="122" t="str">
        <f>IF($B15="","",IF(K$3="","",IF(K$3="Snag",(SUMIFS(Tree!$AY:$AY,Tree!$A:$A,#REF!,Tree!$F:$F,"D",Tree!$K:$K,"&lt;&gt;"&amp;"Y")/$C15)/1000,(SUMIFS(Tree!$AY:$AY,Tree!$A:$A,#REF!,Tree!$D:$D,#REF!,Tree!$F:$F,"L",Tree!$K:$K,"&lt;&gt;"&amp;"Y")/$C15)/1000)))</f>
        <v/>
      </c>
      <c r="L15" s="122" t="str">
        <f>IF($B15="","",IF(L$3="","",IF(L$3="Snag",(SUMIFS(Tree!$AY:$AY,Tree!$A:$A,#REF!,Tree!$F:$F,"D",Tree!$K:$K,"&lt;&gt;"&amp;"Y")/$C15)/1000,(SUMIFS(Tree!$AY:$AY,Tree!$A:$A,#REF!,Tree!$D:$D,#REF!,Tree!$F:$F,"L",Tree!$K:$K,"&lt;&gt;"&amp;"Y")/$C15)/1000)))</f>
        <v/>
      </c>
      <c r="M15" s="122" t="str">
        <f>IF($B15="","",IF(M$3="","",IF(M$3="Snag",(SUMIFS(Tree!$AY:$AY,Tree!$A:$A,#REF!,Tree!$F:$F,"D",Tree!$K:$K,"&lt;&gt;"&amp;"Y")/$C15)/1000,(SUMIFS(Tree!$AY:$AY,Tree!$A:$A,#REF!,Tree!$D:$D,#REF!,Tree!$F:$F,"L",Tree!$K:$K,"&lt;&gt;"&amp;"Y")/$C15)/1000)))</f>
        <v/>
      </c>
      <c r="N15" s="122" t="str">
        <f>IF($B15="","",IF(N$3="","",IF(N$3="Snag",(SUMIFS(Tree!$AY:$AY,Tree!$A:$A,#REF!,Tree!$F:$F,"D",Tree!$K:$K,"&lt;&gt;"&amp;"Y")/$C15)/1000,(SUMIFS(Tree!$AY:$AY,Tree!$A:$A,#REF!,Tree!$D:$D,#REF!,Tree!$F:$F,"L",Tree!$K:$K,"&lt;&gt;"&amp;"Y")/$C15)/1000)))</f>
        <v/>
      </c>
      <c r="O15" s="179" t="str">
        <f t="shared" si="3"/>
        <v/>
      </c>
      <c r="P15" s="220" t="str">
        <f>IF($B15="","",IF(P$3="","",IF(P$3="Snag",(SUMIFS(Tree!$AY:$AY,Tree!$A:$A,#REF!,Tree!$F:$F,"D",Tree!$K:$K,"&lt;&gt;"&amp;"Y")/$C15)/1000,(SUMIFS(Tree!$AY:$AY,Tree!$A:$A,#REF!,Tree!$D:$D,#REF!,Tree!$F:$F,"L",Tree!$K:$K,"&lt;&gt;"&amp;"Y")/$C15)/1000)))</f>
        <v/>
      </c>
      <c r="Q15" s="157" t="str">
        <f>IF(B15="","",VLOOKUP(B15,#REF!,22,0))</f>
        <v/>
      </c>
      <c r="R15" s="193" t="str">
        <f>IF(B15="","",VLOOKUP($B15,#REF!,23,0))</f>
        <v/>
      </c>
      <c r="S15" s="86"/>
      <c r="T15" s="157" t="str">
        <f t="shared" si="1"/>
        <v/>
      </c>
      <c r="U15" s="122" t="str">
        <f t="shared" si="1"/>
        <v/>
      </c>
      <c r="V15" s="122" t="str">
        <f t="shared" si="1"/>
        <v/>
      </c>
      <c r="W15" s="122" t="str">
        <f t="shared" si="1"/>
        <v/>
      </c>
      <c r="X15" s="122" t="str">
        <f t="shared" si="1"/>
        <v/>
      </c>
      <c r="Y15" s="122" t="str">
        <f t="shared" si="1"/>
        <v/>
      </c>
      <c r="Z15" s="122" t="str">
        <f t="shared" si="1"/>
        <v/>
      </c>
      <c r="AA15" s="122" t="str">
        <f t="shared" si="1"/>
        <v/>
      </c>
      <c r="AB15" s="122" t="str">
        <f t="shared" si="1"/>
        <v/>
      </c>
      <c r="AC15" s="193" t="str">
        <f t="shared" si="1"/>
        <v/>
      </c>
      <c r="AD15" s="212" t="str">
        <f t="shared" si="1"/>
        <v/>
      </c>
      <c r="AE15" s="213" t="str">
        <f t="shared" si="1"/>
        <v/>
      </c>
      <c r="AF15" s="193" t="str">
        <f t="shared" si="4"/>
        <v/>
      </c>
    </row>
    <row r="16" spans="2:32" x14ac:dyDescent="0.25">
      <c r="B16" s="201" t="str">
        <f>IF(Stand!C15="","",Stand!C15)</f>
        <v/>
      </c>
      <c r="C16" s="121" t="str" cm="1">
        <f t="array" ref="C16">IF(SUM(IF(B16=Stand_Biomass!$B$4:$B$30,Stand_Biomass!$C$4:$C$30))&gt;0,SUM(IF(B16=Stand_Biomass!$B$4:$B$30,Stand_Biomass!$C$4:$C$30)),"")</f>
        <v/>
      </c>
      <c r="D16" s="154" t="str">
        <f>IF(B16="","",VLOOKUP($B16,Stand!$C:$G,5,0))</f>
        <v/>
      </c>
      <c r="E16" s="28"/>
      <c r="F16" s="157" t="str">
        <f>IF($B16="","",IF(F$3="","",IF(F$3="Snag",(SUMIFS(Tree!$AY:$AY,Tree!$A:$A,#REF!,Tree!$F:$F,"D",Tree!$K:$K,"&lt;&gt;"&amp;"Y")/$C16)/1000,(SUMIFS(Tree!$AY:$AY,Tree!$A:$A,#REF!,Tree!$D:$D,#REF!,Tree!$F:$F,"L",Tree!$K:$K,"&lt;&gt;"&amp;"Y")/$C16)/1000)))</f>
        <v/>
      </c>
      <c r="G16" s="122" t="str">
        <f>IF($B16="","",IF(G$3="","",IF(G$3="Snag",(SUMIFS(Tree!$AY:$AY,Tree!$A:$A,#REF!,Tree!$F:$F,"D",Tree!$K:$K,"&lt;&gt;"&amp;"Y")/$C16)/1000,(SUMIFS(Tree!$AY:$AY,Tree!$A:$A,#REF!,Tree!$D:$D,#REF!,Tree!$F:$F,"L",Tree!$K:$K,"&lt;&gt;"&amp;"Y")/$C16)/1000)))</f>
        <v/>
      </c>
      <c r="H16" s="122" t="str">
        <f>IF($B16="","",IF(H$3="","",IF(H$3="Snag",(SUMIFS(Tree!$AY:$AY,Tree!$A:$A,#REF!,Tree!$F:$F,"D",Tree!$K:$K,"&lt;&gt;"&amp;"Y")/$C16)/1000,(SUMIFS(Tree!$AY:$AY,Tree!$A:$A,#REF!,Tree!$D:$D,#REF!,Tree!$F:$F,"L",Tree!$K:$K,"&lt;&gt;"&amp;"Y")/$C16)/1000)))</f>
        <v/>
      </c>
      <c r="I16" s="122" t="str">
        <f>IF($B16="","",IF(I$3="","",IF(I$3="Snag",(SUMIFS(Tree!$AY:$AY,Tree!$A:$A,#REF!,Tree!$F:$F,"D",Tree!$K:$K,"&lt;&gt;"&amp;"Y")/$C16)/1000,(SUMIFS(Tree!$AY:$AY,Tree!$A:$A,#REF!,Tree!$D:$D,#REF!,Tree!$F:$F,"L",Tree!$K:$K,"&lt;&gt;"&amp;"Y")/$C16)/1000)))</f>
        <v/>
      </c>
      <c r="J16" s="122" t="str">
        <f>IF($B16="","",IF(J$3="","",IF(J$3="Snag",(SUMIFS(Tree!$AY:$AY,Tree!$A:$A,#REF!,Tree!$F:$F,"D",Tree!$K:$K,"&lt;&gt;"&amp;"Y")/$C16)/1000,(SUMIFS(Tree!$AY:$AY,Tree!$A:$A,#REF!,Tree!$D:$D,#REF!,Tree!$F:$F,"L",Tree!$K:$K,"&lt;&gt;"&amp;"Y")/$C16)/1000)))</f>
        <v/>
      </c>
      <c r="K16" s="122" t="str">
        <f>IF($B16="","",IF(K$3="","",IF(K$3="Snag",(SUMIFS(Tree!$AY:$AY,Tree!$A:$A,#REF!,Tree!$F:$F,"D",Tree!$K:$K,"&lt;&gt;"&amp;"Y")/$C16)/1000,(SUMIFS(Tree!$AY:$AY,Tree!$A:$A,#REF!,Tree!$D:$D,#REF!,Tree!$F:$F,"L",Tree!$K:$K,"&lt;&gt;"&amp;"Y")/$C16)/1000)))</f>
        <v/>
      </c>
      <c r="L16" s="122" t="str">
        <f>IF($B16="","",IF(L$3="","",IF(L$3="Snag",(SUMIFS(Tree!$AY:$AY,Tree!$A:$A,#REF!,Tree!$F:$F,"D",Tree!$K:$K,"&lt;&gt;"&amp;"Y")/$C16)/1000,(SUMIFS(Tree!$AY:$AY,Tree!$A:$A,#REF!,Tree!$D:$D,#REF!,Tree!$F:$F,"L",Tree!$K:$K,"&lt;&gt;"&amp;"Y")/$C16)/1000)))</f>
        <v/>
      </c>
      <c r="M16" s="122" t="str">
        <f>IF($B16="","",IF(M$3="","",IF(M$3="Snag",(SUMIFS(Tree!$AY:$AY,Tree!$A:$A,#REF!,Tree!$F:$F,"D",Tree!$K:$K,"&lt;&gt;"&amp;"Y")/$C16)/1000,(SUMIFS(Tree!$AY:$AY,Tree!$A:$A,#REF!,Tree!$D:$D,#REF!,Tree!$F:$F,"L",Tree!$K:$K,"&lt;&gt;"&amp;"Y")/$C16)/1000)))</f>
        <v/>
      </c>
      <c r="N16" s="122" t="str">
        <f>IF($B16="","",IF(N$3="","",IF(N$3="Snag",(SUMIFS(Tree!$AY:$AY,Tree!$A:$A,#REF!,Tree!$F:$F,"D",Tree!$K:$K,"&lt;&gt;"&amp;"Y")/$C16)/1000,(SUMIFS(Tree!$AY:$AY,Tree!$A:$A,#REF!,Tree!$D:$D,#REF!,Tree!$F:$F,"L",Tree!$K:$K,"&lt;&gt;"&amp;"Y")/$C16)/1000)))</f>
        <v/>
      </c>
      <c r="O16" s="179" t="str">
        <f t="shared" si="3"/>
        <v/>
      </c>
      <c r="P16" s="220" t="str">
        <f>IF($B16="","",IF(P$3="","",IF(P$3="Snag",(SUMIFS(Tree!$AY:$AY,Tree!$A:$A,#REF!,Tree!$F:$F,"D",Tree!$K:$K,"&lt;&gt;"&amp;"Y")/$C16)/1000,(SUMIFS(Tree!$AY:$AY,Tree!$A:$A,#REF!,Tree!$D:$D,#REF!,Tree!$F:$F,"L",Tree!$K:$K,"&lt;&gt;"&amp;"Y")/$C16)/1000)))</f>
        <v/>
      </c>
      <c r="Q16" s="157" t="str">
        <f>IF(B16="","",VLOOKUP(B16,#REF!,22,0))</f>
        <v/>
      </c>
      <c r="R16" s="193" t="str">
        <f>IF(B16="","",VLOOKUP($B16,#REF!,23,0))</f>
        <v/>
      </c>
      <c r="S16" s="86"/>
      <c r="T16" s="157" t="str">
        <f t="shared" si="1"/>
        <v/>
      </c>
      <c r="U16" s="122" t="str">
        <f t="shared" si="1"/>
        <v/>
      </c>
      <c r="V16" s="122" t="str">
        <f t="shared" si="1"/>
        <v/>
      </c>
      <c r="W16" s="122" t="str">
        <f t="shared" si="1"/>
        <v/>
      </c>
      <c r="X16" s="122" t="str">
        <f t="shared" si="1"/>
        <v/>
      </c>
      <c r="Y16" s="122" t="str">
        <f t="shared" si="1"/>
        <v/>
      </c>
      <c r="Z16" s="122" t="str">
        <f t="shared" si="1"/>
        <v/>
      </c>
      <c r="AA16" s="122" t="str">
        <f t="shared" si="1"/>
        <v/>
      </c>
      <c r="AB16" s="122" t="str">
        <f t="shared" si="1"/>
        <v/>
      </c>
      <c r="AC16" s="193" t="str">
        <f t="shared" si="1"/>
        <v/>
      </c>
      <c r="AD16" s="212" t="str">
        <f t="shared" si="1"/>
        <v/>
      </c>
      <c r="AE16" s="213" t="str">
        <f t="shared" si="1"/>
        <v/>
      </c>
      <c r="AF16" s="193" t="str">
        <f t="shared" si="4"/>
        <v/>
      </c>
    </row>
    <row r="17" spans="2:32" x14ac:dyDescent="0.25">
      <c r="B17" s="201" t="str">
        <f>IF(Stand!C16="","",Stand!C16)</f>
        <v/>
      </c>
      <c r="C17" s="121" t="str" cm="1">
        <f t="array" ref="C17">IF(SUM(IF(B17=Stand_Biomass!$B$4:$B$30,Stand_Biomass!$C$4:$C$30))&gt;0,SUM(IF(B17=Stand_Biomass!$B$4:$B$30,Stand_Biomass!$C$4:$C$30)),"")</f>
        <v/>
      </c>
      <c r="D17" s="154" t="str">
        <f>IF(B17="","",VLOOKUP($B17,Stand!$C:$G,5,0))</f>
        <v/>
      </c>
      <c r="E17" s="28"/>
      <c r="F17" s="157" t="str">
        <f>IF($B17="","",IF(F$3="","",IF(F$3="Snag",(SUMIFS(Tree!$AY:$AY,Tree!$A:$A,#REF!,Tree!$F:$F,"D",Tree!$K:$K,"&lt;&gt;"&amp;"Y")/$C17)/1000,(SUMIFS(Tree!$AY:$AY,Tree!$A:$A,#REF!,Tree!$D:$D,#REF!,Tree!$F:$F,"L",Tree!$K:$K,"&lt;&gt;"&amp;"Y")/$C17)/1000)))</f>
        <v/>
      </c>
      <c r="G17" s="122" t="str">
        <f>IF($B17="","",IF(G$3="","",IF(G$3="Snag",(SUMIFS(Tree!$AY:$AY,Tree!$A:$A,#REF!,Tree!$F:$F,"D",Tree!$K:$K,"&lt;&gt;"&amp;"Y")/$C17)/1000,(SUMIFS(Tree!$AY:$AY,Tree!$A:$A,#REF!,Tree!$D:$D,#REF!,Tree!$F:$F,"L",Tree!$K:$K,"&lt;&gt;"&amp;"Y")/$C17)/1000)))</f>
        <v/>
      </c>
      <c r="H17" s="122" t="str">
        <f>IF($B17="","",IF(H$3="","",IF(H$3="Snag",(SUMIFS(Tree!$AY:$AY,Tree!$A:$A,#REF!,Tree!$F:$F,"D",Tree!$K:$K,"&lt;&gt;"&amp;"Y")/$C17)/1000,(SUMIFS(Tree!$AY:$AY,Tree!$A:$A,#REF!,Tree!$D:$D,#REF!,Tree!$F:$F,"L",Tree!$K:$K,"&lt;&gt;"&amp;"Y")/$C17)/1000)))</f>
        <v/>
      </c>
      <c r="I17" s="122" t="str">
        <f>IF($B17="","",IF(I$3="","",IF(I$3="Snag",(SUMIFS(Tree!$AY:$AY,Tree!$A:$A,#REF!,Tree!$F:$F,"D",Tree!$K:$K,"&lt;&gt;"&amp;"Y")/$C17)/1000,(SUMIFS(Tree!$AY:$AY,Tree!$A:$A,#REF!,Tree!$D:$D,#REF!,Tree!$F:$F,"L",Tree!$K:$K,"&lt;&gt;"&amp;"Y")/$C17)/1000)))</f>
        <v/>
      </c>
      <c r="J17" s="122" t="str">
        <f>IF($B17="","",IF(J$3="","",IF(J$3="Snag",(SUMIFS(Tree!$AY:$AY,Tree!$A:$A,#REF!,Tree!$F:$F,"D",Tree!$K:$K,"&lt;&gt;"&amp;"Y")/$C17)/1000,(SUMIFS(Tree!$AY:$AY,Tree!$A:$A,#REF!,Tree!$D:$D,#REF!,Tree!$F:$F,"L",Tree!$K:$K,"&lt;&gt;"&amp;"Y")/$C17)/1000)))</f>
        <v/>
      </c>
      <c r="K17" s="122" t="str">
        <f>IF($B17="","",IF(K$3="","",IF(K$3="Snag",(SUMIFS(Tree!$AY:$AY,Tree!$A:$A,#REF!,Tree!$F:$F,"D",Tree!$K:$K,"&lt;&gt;"&amp;"Y")/$C17)/1000,(SUMIFS(Tree!$AY:$AY,Tree!$A:$A,#REF!,Tree!$D:$D,#REF!,Tree!$F:$F,"L",Tree!$K:$K,"&lt;&gt;"&amp;"Y")/$C17)/1000)))</f>
        <v/>
      </c>
      <c r="L17" s="122" t="str">
        <f>IF($B17="","",IF(L$3="","",IF(L$3="Snag",(SUMIFS(Tree!$AY:$AY,Tree!$A:$A,#REF!,Tree!$F:$F,"D",Tree!$K:$K,"&lt;&gt;"&amp;"Y")/$C17)/1000,(SUMIFS(Tree!$AY:$AY,Tree!$A:$A,#REF!,Tree!$D:$D,#REF!,Tree!$F:$F,"L",Tree!$K:$K,"&lt;&gt;"&amp;"Y")/$C17)/1000)))</f>
        <v/>
      </c>
      <c r="M17" s="122" t="str">
        <f>IF($B17="","",IF(M$3="","",IF(M$3="Snag",(SUMIFS(Tree!$AY:$AY,Tree!$A:$A,#REF!,Tree!$F:$F,"D",Tree!$K:$K,"&lt;&gt;"&amp;"Y")/$C17)/1000,(SUMIFS(Tree!$AY:$AY,Tree!$A:$A,#REF!,Tree!$D:$D,#REF!,Tree!$F:$F,"L",Tree!$K:$K,"&lt;&gt;"&amp;"Y")/$C17)/1000)))</f>
        <v/>
      </c>
      <c r="N17" s="122" t="str">
        <f>IF($B17="","",IF(N$3="","",IF(N$3="Snag",(SUMIFS(Tree!$AY:$AY,Tree!$A:$A,#REF!,Tree!$F:$F,"D",Tree!$K:$K,"&lt;&gt;"&amp;"Y")/$C17)/1000,(SUMIFS(Tree!$AY:$AY,Tree!$A:$A,#REF!,Tree!$D:$D,#REF!,Tree!$F:$F,"L",Tree!$K:$K,"&lt;&gt;"&amp;"Y")/$C17)/1000)))</f>
        <v/>
      </c>
      <c r="O17" s="179" t="str">
        <f t="shared" si="3"/>
        <v/>
      </c>
      <c r="P17" s="220" t="str">
        <f>IF($B17="","",IF(P$3="","",IF(P$3="Snag",(SUMIFS(Tree!$AY:$AY,Tree!$A:$A,#REF!,Tree!$F:$F,"D",Tree!$K:$K,"&lt;&gt;"&amp;"Y")/$C17)/1000,(SUMIFS(Tree!$AY:$AY,Tree!$A:$A,#REF!,Tree!$D:$D,#REF!,Tree!$F:$F,"L",Tree!$K:$K,"&lt;&gt;"&amp;"Y")/$C17)/1000)))</f>
        <v/>
      </c>
      <c r="Q17" s="157" t="str">
        <f>IF(B17="","",VLOOKUP(B17,#REF!,22,0))</f>
        <v/>
      </c>
      <c r="R17" s="193" t="str">
        <f>IF(B17="","",VLOOKUP($B17,#REF!,23,0))</f>
        <v/>
      </c>
      <c r="S17" s="86"/>
      <c r="T17" s="157" t="str">
        <f t="shared" si="1"/>
        <v/>
      </c>
      <c r="U17" s="122" t="str">
        <f t="shared" si="1"/>
        <v/>
      </c>
      <c r="V17" s="122" t="str">
        <f t="shared" si="1"/>
        <v/>
      </c>
      <c r="W17" s="122" t="str">
        <f t="shared" si="1"/>
        <v/>
      </c>
      <c r="X17" s="122" t="str">
        <f t="shared" si="1"/>
        <v/>
      </c>
      <c r="Y17" s="122" t="str">
        <f t="shared" si="1"/>
        <v/>
      </c>
      <c r="Z17" s="122" t="str">
        <f t="shared" si="1"/>
        <v/>
      </c>
      <c r="AA17" s="122" t="str">
        <f t="shared" si="1"/>
        <v/>
      </c>
      <c r="AB17" s="122" t="str">
        <f t="shared" si="1"/>
        <v/>
      </c>
      <c r="AC17" s="193" t="str">
        <f t="shared" si="1"/>
        <v/>
      </c>
      <c r="AD17" s="212" t="str">
        <f t="shared" si="1"/>
        <v/>
      </c>
      <c r="AE17" s="213" t="str">
        <f t="shared" si="1"/>
        <v/>
      </c>
      <c r="AF17" s="193" t="str">
        <f t="shared" si="4"/>
        <v/>
      </c>
    </row>
    <row r="18" spans="2:32" x14ac:dyDescent="0.25">
      <c r="B18" s="201" t="str">
        <f>IF(Stand!C17="","",Stand!C17)</f>
        <v/>
      </c>
      <c r="C18" s="121" t="str" cm="1">
        <f t="array" ref="C18">IF(SUM(IF(B18=Stand_Biomass!$B$4:$B$30,Stand_Biomass!$C$4:$C$30))&gt;0,SUM(IF(B18=Stand_Biomass!$B$4:$B$30,Stand_Biomass!$C$4:$C$30)),"")</f>
        <v/>
      </c>
      <c r="D18" s="154" t="str">
        <f>IF(B18="","",VLOOKUP($B18,Stand!$C:$G,5,0))</f>
        <v/>
      </c>
      <c r="E18" s="28"/>
      <c r="F18" s="157" t="str">
        <f>IF($B18="","",IF(F$3="","",IF(F$3="Snag",(SUMIFS(Tree!$AY:$AY,Tree!$A:$A,#REF!,Tree!$F:$F,"D",Tree!$K:$K,"&lt;&gt;"&amp;"Y")/$C18)/1000,(SUMIFS(Tree!$AY:$AY,Tree!$A:$A,#REF!,Tree!$D:$D,#REF!,Tree!$F:$F,"L",Tree!$K:$K,"&lt;&gt;"&amp;"Y")/$C18)/1000)))</f>
        <v/>
      </c>
      <c r="G18" s="122" t="str">
        <f>IF($B18="","",IF(G$3="","",IF(G$3="Snag",(SUMIFS(Tree!$AY:$AY,Tree!$A:$A,#REF!,Tree!$F:$F,"D",Tree!$K:$K,"&lt;&gt;"&amp;"Y")/$C18)/1000,(SUMIFS(Tree!$AY:$AY,Tree!$A:$A,#REF!,Tree!$D:$D,#REF!,Tree!$F:$F,"L",Tree!$K:$K,"&lt;&gt;"&amp;"Y")/$C18)/1000)))</f>
        <v/>
      </c>
      <c r="H18" s="122" t="str">
        <f>IF($B18="","",IF(H$3="","",IF(H$3="Snag",(SUMIFS(Tree!$AY:$AY,Tree!$A:$A,#REF!,Tree!$F:$F,"D",Tree!$K:$K,"&lt;&gt;"&amp;"Y")/$C18)/1000,(SUMIFS(Tree!$AY:$AY,Tree!$A:$A,#REF!,Tree!$D:$D,#REF!,Tree!$F:$F,"L",Tree!$K:$K,"&lt;&gt;"&amp;"Y")/$C18)/1000)))</f>
        <v/>
      </c>
      <c r="I18" s="122" t="str">
        <f>IF($B18="","",IF(I$3="","",IF(I$3="Snag",(SUMIFS(Tree!$AY:$AY,Tree!$A:$A,#REF!,Tree!$F:$F,"D",Tree!$K:$K,"&lt;&gt;"&amp;"Y")/$C18)/1000,(SUMIFS(Tree!$AY:$AY,Tree!$A:$A,#REF!,Tree!$D:$D,#REF!,Tree!$F:$F,"L",Tree!$K:$K,"&lt;&gt;"&amp;"Y")/$C18)/1000)))</f>
        <v/>
      </c>
      <c r="J18" s="122" t="str">
        <f>IF($B18="","",IF(J$3="","",IF(J$3="Snag",(SUMIFS(Tree!$AY:$AY,Tree!$A:$A,#REF!,Tree!$F:$F,"D",Tree!$K:$K,"&lt;&gt;"&amp;"Y")/$C18)/1000,(SUMIFS(Tree!$AY:$AY,Tree!$A:$A,#REF!,Tree!$D:$D,#REF!,Tree!$F:$F,"L",Tree!$K:$K,"&lt;&gt;"&amp;"Y")/$C18)/1000)))</f>
        <v/>
      </c>
      <c r="K18" s="122" t="str">
        <f>IF($B18="","",IF(K$3="","",IF(K$3="Snag",(SUMIFS(Tree!$AY:$AY,Tree!$A:$A,#REF!,Tree!$F:$F,"D",Tree!$K:$K,"&lt;&gt;"&amp;"Y")/$C18)/1000,(SUMIFS(Tree!$AY:$AY,Tree!$A:$A,#REF!,Tree!$D:$D,#REF!,Tree!$F:$F,"L",Tree!$K:$K,"&lt;&gt;"&amp;"Y")/$C18)/1000)))</f>
        <v/>
      </c>
      <c r="L18" s="122" t="str">
        <f>IF($B18="","",IF(L$3="","",IF(L$3="Snag",(SUMIFS(Tree!$AY:$AY,Tree!$A:$A,#REF!,Tree!$F:$F,"D",Tree!$K:$K,"&lt;&gt;"&amp;"Y")/$C18)/1000,(SUMIFS(Tree!$AY:$AY,Tree!$A:$A,#REF!,Tree!$D:$D,#REF!,Tree!$F:$F,"L",Tree!$K:$K,"&lt;&gt;"&amp;"Y")/$C18)/1000)))</f>
        <v/>
      </c>
      <c r="M18" s="122" t="str">
        <f>IF($B18="","",IF(M$3="","",IF(M$3="Snag",(SUMIFS(Tree!$AY:$AY,Tree!$A:$A,#REF!,Tree!$F:$F,"D",Tree!$K:$K,"&lt;&gt;"&amp;"Y")/$C18)/1000,(SUMIFS(Tree!$AY:$AY,Tree!$A:$A,#REF!,Tree!$D:$D,#REF!,Tree!$F:$F,"L",Tree!$K:$K,"&lt;&gt;"&amp;"Y")/$C18)/1000)))</f>
        <v/>
      </c>
      <c r="N18" s="122" t="str">
        <f>IF($B18="","",IF(N$3="","",IF(N$3="Snag",(SUMIFS(Tree!$AY:$AY,Tree!$A:$A,#REF!,Tree!$F:$F,"D",Tree!$K:$K,"&lt;&gt;"&amp;"Y")/$C18)/1000,(SUMIFS(Tree!$AY:$AY,Tree!$A:$A,#REF!,Tree!$D:$D,#REF!,Tree!$F:$F,"L",Tree!$K:$K,"&lt;&gt;"&amp;"Y")/$C18)/1000)))</f>
        <v/>
      </c>
      <c r="O18" s="179" t="str">
        <f t="shared" si="3"/>
        <v/>
      </c>
      <c r="P18" s="220" t="str">
        <f>IF($B18="","",IF(P$3="","",IF(P$3="Snag",(SUMIFS(Tree!$AY:$AY,Tree!$A:$A,#REF!,Tree!$F:$F,"D",Tree!$K:$K,"&lt;&gt;"&amp;"Y")/$C18)/1000,(SUMIFS(Tree!$AY:$AY,Tree!$A:$A,#REF!,Tree!$D:$D,#REF!,Tree!$F:$F,"L",Tree!$K:$K,"&lt;&gt;"&amp;"Y")/$C18)/1000)))</f>
        <v/>
      </c>
      <c r="Q18" s="157" t="str">
        <f>IF(B18="","",VLOOKUP(B18,#REF!,22,0))</f>
        <v/>
      </c>
      <c r="R18" s="193" t="str">
        <f>IF(B18="","",VLOOKUP($B18,#REF!,23,0))</f>
        <v/>
      </c>
      <c r="S18" s="86"/>
      <c r="T18" s="157" t="str">
        <f t="shared" si="1"/>
        <v/>
      </c>
      <c r="U18" s="122" t="str">
        <f t="shared" si="1"/>
        <v/>
      </c>
      <c r="V18" s="122" t="str">
        <f t="shared" si="1"/>
        <v/>
      </c>
      <c r="W18" s="122" t="str">
        <f t="shared" si="1"/>
        <v/>
      </c>
      <c r="X18" s="122" t="str">
        <f t="shared" si="1"/>
        <v/>
      </c>
      <c r="Y18" s="122" t="str">
        <f t="shared" si="1"/>
        <v/>
      </c>
      <c r="Z18" s="122" t="str">
        <f t="shared" si="1"/>
        <v/>
      </c>
      <c r="AA18" s="122" t="str">
        <f t="shared" si="1"/>
        <v/>
      </c>
      <c r="AB18" s="122" t="str">
        <f t="shared" si="1"/>
        <v/>
      </c>
      <c r="AC18" s="193" t="str">
        <f t="shared" si="1"/>
        <v/>
      </c>
      <c r="AD18" s="212" t="str">
        <f t="shared" si="1"/>
        <v/>
      </c>
      <c r="AE18" s="213" t="str">
        <f t="shared" si="1"/>
        <v/>
      </c>
      <c r="AF18" s="193" t="str">
        <f t="shared" si="4"/>
        <v/>
      </c>
    </row>
    <row r="19" spans="2:32" x14ac:dyDescent="0.25">
      <c r="B19" s="201" t="str">
        <f>IF(Stand!C18="","",Stand!C18)</f>
        <v/>
      </c>
      <c r="C19" s="121" t="str" cm="1">
        <f t="array" ref="C19">IF(SUM(IF(B19=Stand_Biomass!$B$4:$B$30,Stand_Biomass!$C$4:$C$30))&gt;0,SUM(IF(B19=Stand_Biomass!$B$4:$B$30,Stand_Biomass!$C$4:$C$30)),"")</f>
        <v/>
      </c>
      <c r="D19" s="154" t="str">
        <f>IF(B19="","",VLOOKUP($B19,Stand!$C:$G,5,0))</f>
        <v/>
      </c>
      <c r="E19" s="28"/>
      <c r="F19" s="157" t="str">
        <f>IF($B19="","",IF(F$3="","",IF(F$3="Snag",(SUMIFS(Tree!$AY:$AY,Tree!$A:$A,#REF!,Tree!$F:$F,"D",Tree!$K:$K,"&lt;&gt;"&amp;"Y")/$C19)/1000,(SUMIFS(Tree!$AY:$AY,Tree!$A:$A,#REF!,Tree!$D:$D,#REF!,Tree!$F:$F,"L",Tree!$K:$K,"&lt;&gt;"&amp;"Y")/$C19)/1000)))</f>
        <v/>
      </c>
      <c r="G19" s="122" t="str">
        <f>IF($B19="","",IF(G$3="","",IF(G$3="Snag",(SUMIFS(Tree!$AY:$AY,Tree!$A:$A,#REF!,Tree!$F:$F,"D",Tree!$K:$K,"&lt;&gt;"&amp;"Y")/$C19)/1000,(SUMIFS(Tree!$AY:$AY,Tree!$A:$A,#REF!,Tree!$D:$D,#REF!,Tree!$F:$F,"L",Tree!$K:$K,"&lt;&gt;"&amp;"Y")/$C19)/1000)))</f>
        <v/>
      </c>
      <c r="H19" s="122" t="str">
        <f>IF($B19="","",IF(H$3="","",IF(H$3="Snag",(SUMIFS(Tree!$AY:$AY,Tree!$A:$A,#REF!,Tree!$F:$F,"D",Tree!$K:$K,"&lt;&gt;"&amp;"Y")/$C19)/1000,(SUMIFS(Tree!$AY:$AY,Tree!$A:$A,#REF!,Tree!$D:$D,#REF!,Tree!$F:$F,"L",Tree!$K:$K,"&lt;&gt;"&amp;"Y")/$C19)/1000)))</f>
        <v/>
      </c>
      <c r="I19" s="122" t="str">
        <f>IF($B19="","",IF(I$3="","",IF(I$3="Snag",(SUMIFS(Tree!$AY:$AY,Tree!$A:$A,#REF!,Tree!$F:$F,"D",Tree!$K:$K,"&lt;&gt;"&amp;"Y")/$C19)/1000,(SUMIFS(Tree!$AY:$AY,Tree!$A:$A,#REF!,Tree!$D:$D,#REF!,Tree!$F:$F,"L",Tree!$K:$K,"&lt;&gt;"&amp;"Y")/$C19)/1000)))</f>
        <v/>
      </c>
      <c r="J19" s="122" t="str">
        <f>IF($B19="","",IF(J$3="","",IF(J$3="Snag",(SUMIFS(Tree!$AY:$AY,Tree!$A:$A,#REF!,Tree!$F:$F,"D",Tree!$K:$K,"&lt;&gt;"&amp;"Y")/$C19)/1000,(SUMIFS(Tree!$AY:$AY,Tree!$A:$A,#REF!,Tree!$D:$D,#REF!,Tree!$F:$F,"L",Tree!$K:$K,"&lt;&gt;"&amp;"Y")/$C19)/1000)))</f>
        <v/>
      </c>
      <c r="K19" s="122" t="str">
        <f>IF($B19="","",IF(K$3="","",IF(K$3="Snag",(SUMIFS(Tree!$AY:$AY,Tree!$A:$A,#REF!,Tree!$F:$F,"D",Tree!$K:$K,"&lt;&gt;"&amp;"Y")/$C19)/1000,(SUMIFS(Tree!$AY:$AY,Tree!$A:$A,#REF!,Tree!$D:$D,#REF!,Tree!$F:$F,"L",Tree!$K:$K,"&lt;&gt;"&amp;"Y")/$C19)/1000)))</f>
        <v/>
      </c>
      <c r="L19" s="122" t="str">
        <f>IF($B19="","",IF(L$3="","",IF(L$3="Snag",(SUMIFS(Tree!$AY:$AY,Tree!$A:$A,#REF!,Tree!$F:$F,"D",Tree!$K:$K,"&lt;&gt;"&amp;"Y")/$C19)/1000,(SUMIFS(Tree!$AY:$AY,Tree!$A:$A,#REF!,Tree!$D:$D,#REF!,Tree!$F:$F,"L",Tree!$K:$K,"&lt;&gt;"&amp;"Y")/$C19)/1000)))</f>
        <v/>
      </c>
      <c r="M19" s="122" t="str">
        <f>IF($B19="","",IF(M$3="","",IF(M$3="Snag",(SUMIFS(Tree!$AY:$AY,Tree!$A:$A,#REF!,Tree!$F:$F,"D",Tree!$K:$K,"&lt;&gt;"&amp;"Y")/$C19)/1000,(SUMIFS(Tree!$AY:$AY,Tree!$A:$A,#REF!,Tree!$D:$D,#REF!,Tree!$F:$F,"L",Tree!$K:$K,"&lt;&gt;"&amp;"Y")/$C19)/1000)))</f>
        <v/>
      </c>
      <c r="N19" s="122" t="str">
        <f>IF($B19="","",IF(N$3="","",IF(N$3="Snag",(SUMIFS(Tree!$AY:$AY,Tree!$A:$A,#REF!,Tree!$F:$F,"D",Tree!$K:$K,"&lt;&gt;"&amp;"Y")/$C19)/1000,(SUMIFS(Tree!$AY:$AY,Tree!$A:$A,#REF!,Tree!$D:$D,#REF!,Tree!$F:$F,"L",Tree!$K:$K,"&lt;&gt;"&amp;"Y")/$C19)/1000)))</f>
        <v/>
      </c>
      <c r="O19" s="179" t="str">
        <f t="shared" si="3"/>
        <v/>
      </c>
      <c r="P19" s="220" t="str">
        <f>IF($B19="","",IF(P$3="","",IF(P$3="Snag",(SUMIFS(Tree!$AY:$AY,Tree!$A:$A,#REF!,Tree!$F:$F,"D",Tree!$K:$K,"&lt;&gt;"&amp;"Y")/$C19)/1000,(SUMIFS(Tree!$AY:$AY,Tree!$A:$A,#REF!,Tree!$D:$D,#REF!,Tree!$F:$F,"L",Tree!$K:$K,"&lt;&gt;"&amp;"Y")/$C19)/1000)))</f>
        <v/>
      </c>
      <c r="Q19" s="157" t="str">
        <f>IF(B19="","",VLOOKUP(B19,#REF!,22,0))</f>
        <v/>
      </c>
      <c r="R19" s="193" t="str">
        <f>IF(B19="","",VLOOKUP($B19,#REF!,23,0))</f>
        <v/>
      </c>
      <c r="S19" s="86"/>
      <c r="T19" s="157" t="str">
        <f t="shared" si="1"/>
        <v/>
      </c>
      <c r="U19" s="122" t="str">
        <f t="shared" si="1"/>
        <v/>
      </c>
      <c r="V19" s="122" t="str">
        <f t="shared" si="1"/>
        <v/>
      </c>
      <c r="W19" s="122" t="str">
        <f t="shared" si="1"/>
        <v/>
      </c>
      <c r="X19" s="122" t="str">
        <f t="shared" si="1"/>
        <v/>
      </c>
      <c r="Y19" s="122" t="str">
        <f t="shared" si="1"/>
        <v/>
      </c>
      <c r="Z19" s="122" t="str">
        <f t="shared" si="1"/>
        <v/>
      </c>
      <c r="AA19" s="122" t="str">
        <f t="shared" si="1"/>
        <v/>
      </c>
      <c r="AB19" s="122" t="str">
        <f t="shared" si="1"/>
        <v/>
      </c>
      <c r="AC19" s="193" t="str">
        <f t="shared" si="1"/>
        <v/>
      </c>
      <c r="AD19" s="212" t="str">
        <f t="shared" si="1"/>
        <v/>
      </c>
      <c r="AE19" s="213" t="str">
        <f t="shared" si="1"/>
        <v/>
      </c>
      <c r="AF19" s="193" t="str">
        <f t="shared" si="4"/>
        <v/>
      </c>
    </row>
    <row r="20" spans="2:32" x14ac:dyDescent="0.25">
      <c r="B20" s="201" t="str">
        <f>IF(Stand!C19="","",Stand!C19)</f>
        <v/>
      </c>
      <c r="C20" s="121" t="str" cm="1">
        <f t="array" ref="C20">IF(SUM(IF(B20=Stand_Biomass!$B$4:$B$30,Stand_Biomass!$C$4:$C$30))&gt;0,SUM(IF(B20=Stand_Biomass!$B$4:$B$30,Stand_Biomass!$C$4:$C$30)),"")</f>
        <v/>
      </c>
      <c r="D20" s="154" t="str">
        <f>IF(B20="","",VLOOKUP($B20,Stand!$C:$G,5,0))</f>
        <v/>
      </c>
      <c r="E20" s="28"/>
      <c r="F20" s="157" t="str">
        <f>IF($B20="","",IF(F$3="","",IF(F$3="Snag",(SUMIFS(Tree!$AY:$AY,Tree!$A:$A,#REF!,Tree!$F:$F,"D",Tree!$K:$K,"&lt;&gt;"&amp;"Y")/$C20)/1000,(SUMIFS(Tree!$AY:$AY,Tree!$A:$A,#REF!,Tree!$D:$D,#REF!,Tree!$F:$F,"L",Tree!$K:$K,"&lt;&gt;"&amp;"Y")/$C20)/1000)))</f>
        <v/>
      </c>
      <c r="G20" s="122" t="str">
        <f>IF($B20="","",IF(G$3="","",IF(G$3="Snag",(SUMIFS(Tree!$AY:$AY,Tree!$A:$A,#REF!,Tree!$F:$F,"D",Tree!$K:$K,"&lt;&gt;"&amp;"Y")/$C20)/1000,(SUMIFS(Tree!$AY:$AY,Tree!$A:$A,#REF!,Tree!$D:$D,#REF!,Tree!$F:$F,"L",Tree!$K:$K,"&lt;&gt;"&amp;"Y")/$C20)/1000)))</f>
        <v/>
      </c>
      <c r="H20" s="122" t="str">
        <f>IF($B20="","",IF(H$3="","",IF(H$3="Snag",(SUMIFS(Tree!$AY:$AY,Tree!$A:$A,#REF!,Tree!$F:$F,"D",Tree!$K:$K,"&lt;&gt;"&amp;"Y")/$C20)/1000,(SUMIFS(Tree!$AY:$AY,Tree!$A:$A,#REF!,Tree!$D:$D,#REF!,Tree!$F:$F,"L",Tree!$K:$K,"&lt;&gt;"&amp;"Y")/$C20)/1000)))</f>
        <v/>
      </c>
      <c r="I20" s="122" t="str">
        <f>IF($B20="","",IF(I$3="","",IF(I$3="Snag",(SUMIFS(Tree!$AY:$AY,Tree!$A:$A,#REF!,Tree!$F:$F,"D",Tree!$K:$K,"&lt;&gt;"&amp;"Y")/$C20)/1000,(SUMIFS(Tree!$AY:$AY,Tree!$A:$A,#REF!,Tree!$D:$D,#REF!,Tree!$F:$F,"L",Tree!$K:$K,"&lt;&gt;"&amp;"Y")/$C20)/1000)))</f>
        <v/>
      </c>
      <c r="J20" s="122" t="str">
        <f>IF($B20="","",IF(J$3="","",IF(J$3="Snag",(SUMIFS(Tree!$AY:$AY,Tree!$A:$A,#REF!,Tree!$F:$F,"D",Tree!$K:$K,"&lt;&gt;"&amp;"Y")/$C20)/1000,(SUMIFS(Tree!$AY:$AY,Tree!$A:$A,#REF!,Tree!$D:$D,#REF!,Tree!$F:$F,"L",Tree!$K:$K,"&lt;&gt;"&amp;"Y")/$C20)/1000)))</f>
        <v/>
      </c>
      <c r="K20" s="122" t="str">
        <f>IF($B20="","",IF(K$3="","",IF(K$3="Snag",(SUMIFS(Tree!$AY:$AY,Tree!$A:$A,#REF!,Tree!$F:$F,"D",Tree!$K:$K,"&lt;&gt;"&amp;"Y")/$C20)/1000,(SUMIFS(Tree!$AY:$AY,Tree!$A:$A,#REF!,Tree!$D:$D,#REF!,Tree!$F:$F,"L",Tree!$K:$K,"&lt;&gt;"&amp;"Y")/$C20)/1000)))</f>
        <v/>
      </c>
      <c r="L20" s="122" t="str">
        <f>IF($B20="","",IF(L$3="","",IF(L$3="Snag",(SUMIFS(Tree!$AY:$AY,Tree!$A:$A,#REF!,Tree!$F:$F,"D",Tree!$K:$K,"&lt;&gt;"&amp;"Y")/$C20)/1000,(SUMIFS(Tree!$AY:$AY,Tree!$A:$A,#REF!,Tree!$D:$D,#REF!,Tree!$F:$F,"L",Tree!$K:$K,"&lt;&gt;"&amp;"Y")/$C20)/1000)))</f>
        <v/>
      </c>
      <c r="M20" s="122" t="str">
        <f>IF($B20="","",IF(M$3="","",IF(M$3="Snag",(SUMIFS(Tree!$AY:$AY,Tree!$A:$A,#REF!,Tree!$F:$F,"D",Tree!$K:$K,"&lt;&gt;"&amp;"Y")/$C20)/1000,(SUMIFS(Tree!$AY:$AY,Tree!$A:$A,#REF!,Tree!$D:$D,#REF!,Tree!$F:$F,"L",Tree!$K:$K,"&lt;&gt;"&amp;"Y")/$C20)/1000)))</f>
        <v/>
      </c>
      <c r="N20" s="122" t="str">
        <f>IF($B20="","",IF(N$3="","",IF(N$3="Snag",(SUMIFS(Tree!$AY:$AY,Tree!$A:$A,#REF!,Tree!$F:$F,"D",Tree!$K:$K,"&lt;&gt;"&amp;"Y")/$C20)/1000,(SUMIFS(Tree!$AY:$AY,Tree!$A:$A,#REF!,Tree!$D:$D,#REF!,Tree!$F:$F,"L",Tree!$K:$K,"&lt;&gt;"&amp;"Y")/$C20)/1000)))</f>
        <v/>
      </c>
      <c r="O20" s="179" t="str">
        <f t="shared" si="3"/>
        <v/>
      </c>
      <c r="P20" s="220" t="str">
        <f>IF($B20="","",IF(P$3="","",IF(P$3="Snag",(SUMIFS(Tree!$AY:$AY,Tree!$A:$A,#REF!,Tree!$F:$F,"D",Tree!$K:$K,"&lt;&gt;"&amp;"Y")/$C20)/1000,(SUMIFS(Tree!$AY:$AY,Tree!$A:$A,#REF!,Tree!$D:$D,#REF!,Tree!$F:$F,"L",Tree!$K:$K,"&lt;&gt;"&amp;"Y")/$C20)/1000)))</f>
        <v/>
      </c>
      <c r="Q20" s="157" t="str">
        <f>IF(B20="","",VLOOKUP(B20,#REF!,22,0))</f>
        <v/>
      </c>
      <c r="R20" s="193" t="str">
        <f>IF(B20="","",VLOOKUP($B20,#REF!,23,0))</f>
        <v/>
      </c>
      <c r="S20" s="86"/>
      <c r="T20" s="157" t="str">
        <f t="shared" ref="T20:AE30" si="5">IF($C20="","",IF(T$3="","",($D20*F20)))</f>
        <v/>
      </c>
      <c r="U20" s="122" t="str">
        <f t="shared" si="5"/>
        <v/>
      </c>
      <c r="V20" s="122" t="str">
        <f t="shared" si="5"/>
        <v/>
      </c>
      <c r="W20" s="122" t="str">
        <f t="shared" si="5"/>
        <v/>
      </c>
      <c r="X20" s="122" t="str">
        <f t="shared" si="5"/>
        <v/>
      </c>
      <c r="Y20" s="122" t="str">
        <f t="shared" si="5"/>
        <v/>
      </c>
      <c r="Z20" s="122" t="str">
        <f t="shared" si="5"/>
        <v/>
      </c>
      <c r="AA20" s="122" t="str">
        <f t="shared" si="5"/>
        <v/>
      </c>
      <c r="AB20" s="122" t="str">
        <f t="shared" si="5"/>
        <v/>
      </c>
      <c r="AC20" s="193" t="str">
        <f t="shared" si="5"/>
        <v/>
      </c>
      <c r="AD20" s="212" t="str">
        <f t="shared" si="5"/>
        <v/>
      </c>
      <c r="AE20" s="213" t="str">
        <f t="shared" si="5"/>
        <v/>
      </c>
      <c r="AF20" s="193" t="str">
        <f t="shared" si="4"/>
        <v/>
      </c>
    </row>
    <row r="21" spans="2:32" x14ac:dyDescent="0.25">
      <c r="B21" s="201" t="str">
        <f>IF(Stand!C20="","",Stand!C20)</f>
        <v/>
      </c>
      <c r="C21" s="121" t="str" cm="1">
        <f t="array" ref="C21">IF(SUM(IF(B21=Stand_Biomass!$B$4:$B$30,Stand_Biomass!$C$4:$C$30))&gt;0,SUM(IF(B21=Stand_Biomass!$B$4:$B$30,Stand_Biomass!$C$4:$C$30)),"")</f>
        <v/>
      </c>
      <c r="D21" s="154" t="str">
        <f>IF(B21="","",VLOOKUP($B21,Stand!$C:$G,5,0))</f>
        <v/>
      </c>
      <c r="E21" s="28"/>
      <c r="F21" s="157" t="str">
        <f>IF($B21="","",IF(F$3="","",IF(F$3="Snag",(SUMIFS(Tree!$AY:$AY,Tree!$A:$A,#REF!,Tree!$F:$F,"D",Tree!$K:$K,"&lt;&gt;"&amp;"Y")/$C21)/1000,(SUMIFS(Tree!$AY:$AY,Tree!$A:$A,#REF!,Tree!$D:$D,#REF!,Tree!$F:$F,"L",Tree!$K:$K,"&lt;&gt;"&amp;"Y")/$C21)/1000)))</f>
        <v/>
      </c>
      <c r="G21" s="122" t="str">
        <f>IF($B21="","",IF(G$3="","",IF(G$3="Snag",(SUMIFS(Tree!$AY:$AY,Tree!$A:$A,#REF!,Tree!$F:$F,"D",Tree!$K:$K,"&lt;&gt;"&amp;"Y")/$C21)/1000,(SUMIFS(Tree!$AY:$AY,Tree!$A:$A,#REF!,Tree!$D:$D,#REF!,Tree!$F:$F,"L",Tree!$K:$K,"&lt;&gt;"&amp;"Y")/$C21)/1000)))</f>
        <v/>
      </c>
      <c r="H21" s="122" t="str">
        <f>IF($B21="","",IF(H$3="","",IF(H$3="Snag",(SUMIFS(Tree!$AY:$AY,Tree!$A:$A,#REF!,Tree!$F:$F,"D",Tree!$K:$K,"&lt;&gt;"&amp;"Y")/$C21)/1000,(SUMIFS(Tree!$AY:$AY,Tree!$A:$A,#REF!,Tree!$D:$D,#REF!,Tree!$F:$F,"L",Tree!$K:$K,"&lt;&gt;"&amp;"Y")/$C21)/1000)))</f>
        <v/>
      </c>
      <c r="I21" s="122" t="str">
        <f>IF($B21="","",IF(I$3="","",IF(I$3="Snag",(SUMIFS(Tree!$AY:$AY,Tree!$A:$A,#REF!,Tree!$F:$F,"D",Tree!$K:$K,"&lt;&gt;"&amp;"Y")/$C21)/1000,(SUMIFS(Tree!$AY:$AY,Tree!$A:$A,#REF!,Tree!$D:$D,#REF!,Tree!$F:$F,"L",Tree!$K:$K,"&lt;&gt;"&amp;"Y")/$C21)/1000)))</f>
        <v/>
      </c>
      <c r="J21" s="122" t="str">
        <f>IF($B21="","",IF(J$3="","",IF(J$3="Snag",(SUMIFS(Tree!$AY:$AY,Tree!$A:$A,#REF!,Tree!$F:$F,"D",Tree!$K:$K,"&lt;&gt;"&amp;"Y")/$C21)/1000,(SUMIFS(Tree!$AY:$AY,Tree!$A:$A,#REF!,Tree!$D:$D,#REF!,Tree!$F:$F,"L",Tree!$K:$K,"&lt;&gt;"&amp;"Y")/$C21)/1000)))</f>
        <v/>
      </c>
      <c r="K21" s="122" t="str">
        <f>IF($B21="","",IF(K$3="","",IF(K$3="Snag",(SUMIFS(Tree!$AY:$AY,Tree!$A:$A,#REF!,Tree!$F:$F,"D",Tree!$K:$K,"&lt;&gt;"&amp;"Y")/$C21)/1000,(SUMIFS(Tree!$AY:$AY,Tree!$A:$A,#REF!,Tree!$D:$D,#REF!,Tree!$F:$F,"L",Tree!$K:$K,"&lt;&gt;"&amp;"Y")/$C21)/1000)))</f>
        <v/>
      </c>
      <c r="L21" s="122" t="str">
        <f>IF($B21="","",IF(L$3="","",IF(L$3="Snag",(SUMIFS(Tree!$AY:$AY,Tree!$A:$A,#REF!,Tree!$F:$F,"D",Tree!$K:$K,"&lt;&gt;"&amp;"Y")/$C21)/1000,(SUMIFS(Tree!$AY:$AY,Tree!$A:$A,#REF!,Tree!$D:$D,#REF!,Tree!$F:$F,"L",Tree!$K:$K,"&lt;&gt;"&amp;"Y")/$C21)/1000)))</f>
        <v/>
      </c>
      <c r="M21" s="122" t="str">
        <f>IF($B21="","",IF(M$3="","",IF(M$3="Snag",(SUMIFS(Tree!$AY:$AY,Tree!$A:$A,#REF!,Tree!$F:$F,"D",Tree!$K:$K,"&lt;&gt;"&amp;"Y")/$C21)/1000,(SUMIFS(Tree!$AY:$AY,Tree!$A:$A,#REF!,Tree!$D:$D,#REF!,Tree!$F:$F,"L",Tree!$K:$K,"&lt;&gt;"&amp;"Y")/$C21)/1000)))</f>
        <v/>
      </c>
      <c r="N21" s="122" t="str">
        <f>IF($B21="","",IF(N$3="","",IF(N$3="Snag",(SUMIFS(Tree!$AY:$AY,Tree!$A:$A,#REF!,Tree!$F:$F,"D",Tree!$K:$K,"&lt;&gt;"&amp;"Y")/$C21)/1000,(SUMIFS(Tree!$AY:$AY,Tree!$A:$A,#REF!,Tree!$D:$D,#REF!,Tree!$F:$F,"L",Tree!$K:$K,"&lt;&gt;"&amp;"Y")/$C21)/1000)))</f>
        <v/>
      </c>
      <c r="O21" s="179" t="str">
        <f t="shared" si="3"/>
        <v/>
      </c>
      <c r="P21" s="220" t="str">
        <f>IF($B21="","",IF(P$3="","",IF(P$3="Snag",(SUMIFS(Tree!$AY:$AY,Tree!$A:$A,#REF!,Tree!$F:$F,"D",Tree!$K:$K,"&lt;&gt;"&amp;"Y")/$C21)/1000,(SUMIFS(Tree!$AY:$AY,Tree!$A:$A,#REF!,Tree!$D:$D,#REF!,Tree!$F:$F,"L",Tree!$K:$K,"&lt;&gt;"&amp;"Y")/$C21)/1000)))</f>
        <v/>
      </c>
      <c r="Q21" s="157" t="str">
        <f>IF(B21="","",VLOOKUP(B21,#REF!,22,0))</f>
        <v/>
      </c>
      <c r="R21" s="193" t="str">
        <f>IF(B21="","",VLOOKUP($B21,#REF!,23,0))</f>
        <v/>
      </c>
      <c r="S21" s="86"/>
      <c r="T21" s="157" t="str">
        <f t="shared" si="5"/>
        <v/>
      </c>
      <c r="U21" s="122" t="str">
        <f t="shared" si="5"/>
        <v/>
      </c>
      <c r="V21" s="122" t="str">
        <f t="shared" si="5"/>
        <v/>
      </c>
      <c r="W21" s="122" t="str">
        <f t="shared" si="5"/>
        <v/>
      </c>
      <c r="X21" s="122" t="str">
        <f t="shared" si="5"/>
        <v/>
      </c>
      <c r="Y21" s="122" t="str">
        <f t="shared" si="5"/>
        <v/>
      </c>
      <c r="Z21" s="122" t="str">
        <f t="shared" si="5"/>
        <v/>
      </c>
      <c r="AA21" s="122" t="str">
        <f t="shared" si="5"/>
        <v/>
      </c>
      <c r="AB21" s="122" t="str">
        <f t="shared" si="5"/>
        <v/>
      </c>
      <c r="AC21" s="193" t="str">
        <f t="shared" si="5"/>
        <v/>
      </c>
      <c r="AD21" s="212" t="str">
        <f t="shared" si="5"/>
        <v/>
      </c>
      <c r="AE21" s="213" t="str">
        <f t="shared" si="5"/>
        <v/>
      </c>
      <c r="AF21" s="193" t="str">
        <f t="shared" si="4"/>
        <v/>
      </c>
    </row>
    <row r="22" spans="2:32" x14ac:dyDescent="0.25">
      <c r="B22" s="201" t="str">
        <f>IF(Stand!C21="","",Stand!C21)</f>
        <v/>
      </c>
      <c r="C22" s="121" t="str" cm="1">
        <f t="array" ref="C22">IF(SUM(IF(B22=Stand_Biomass!$B$4:$B$30,Stand_Biomass!$C$4:$C$30))&gt;0,SUM(IF(B22=Stand_Biomass!$B$4:$B$30,Stand_Biomass!$C$4:$C$30)),"")</f>
        <v/>
      </c>
      <c r="D22" s="154" t="str">
        <f>IF(B22="","",VLOOKUP($B22,Stand!$C:$G,5,0))</f>
        <v/>
      </c>
      <c r="E22" s="28"/>
      <c r="F22" s="157" t="str">
        <f>IF($B22="","",IF(F$3="","",IF(F$3="Snag",(SUMIFS(Tree!$AY:$AY,Tree!$A:$A,#REF!,Tree!$F:$F,"D",Tree!$K:$K,"&lt;&gt;"&amp;"Y")/$C22)/1000,(SUMIFS(Tree!$AY:$AY,Tree!$A:$A,#REF!,Tree!$D:$D,#REF!,Tree!$F:$F,"L",Tree!$K:$K,"&lt;&gt;"&amp;"Y")/$C22)/1000)))</f>
        <v/>
      </c>
      <c r="G22" s="122" t="str">
        <f>IF($B22="","",IF(G$3="","",IF(G$3="Snag",(SUMIFS(Tree!$AY:$AY,Tree!$A:$A,#REF!,Tree!$F:$F,"D",Tree!$K:$K,"&lt;&gt;"&amp;"Y")/$C22)/1000,(SUMIFS(Tree!$AY:$AY,Tree!$A:$A,#REF!,Tree!$D:$D,#REF!,Tree!$F:$F,"L",Tree!$K:$K,"&lt;&gt;"&amp;"Y")/$C22)/1000)))</f>
        <v/>
      </c>
      <c r="H22" s="122" t="str">
        <f>IF($B22="","",IF(H$3="","",IF(H$3="Snag",(SUMIFS(Tree!$AY:$AY,Tree!$A:$A,#REF!,Tree!$F:$F,"D",Tree!$K:$K,"&lt;&gt;"&amp;"Y")/$C22)/1000,(SUMIFS(Tree!$AY:$AY,Tree!$A:$A,#REF!,Tree!$D:$D,#REF!,Tree!$F:$F,"L",Tree!$K:$K,"&lt;&gt;"&amp;"Y")/$C22)/1000)))</f>
        <v/>
      </c>
      <c r="I22" s="122" t="str">
        <f>IF($B22="","",IF(I$3="","",IF(I$3="Snag",(SUMIFS(Tree!$AY:$AY,Tree!$A:$A,#REF!,Tree!$F:$F,"D",Tree!$K:$K,"&lt;&gt;"&amp;"Y")/$C22)/1000,(SUMIFS(Tree!$AY:$AY,Tree!$A:$A,#REF!,Tree!$D:$D,#REF!,Tree!$F:$F,"L",Tree!$K:$K,"&lt;&gt;"&amp;"Y")/$C22)/1000)))</f>
        <v/>
      </c>
      <c r="J22" s="122" t="str">
        <f>IF($B22="","",IF(J$3="","",IF(J$3="Snag",(SUMIFS(Tree!$AY:$AY,Tree!$A:$A,#REF!,Tree!$F:$F,"D",Tree!$K:$K,"&lt;&gt;"&amp;"Y")/$C22)/1000,(SUMIFS(Tree!$AY:$AY,Tree!$A:$A,#REF!,Tree!$D:$D,#REF!,Tree!$F:$F,"L",Tree!$K:$K,"&lt;&gt;"&amp;"Y")/$C22)/1000)))</f>
        <v/>
      </c>
      <c r="K22" s="122" t="str">
        <f>IF($B22="","",IF(K$3="","",IF(K$3="Snag",(SUMIFS(Tree!$AY:$AY,Tree!$A:$A,#REF!,Tree!$F:$F,"D",Tree!$K:$K,"&lt;&gt;"&amp;"Y")/$C22)/1000,(SUMIFS(Tree!$AY:$AY,Tree!$A:$A,#REF!,Tree!$D:$D,#REF!,Tree!$F:$F,"L",Tree!$K:$K,"&lt;&gt;"&amp;"Y")/$C22)/1000)))</f>
        <v/>
      </c>
      <c r="L22" s="122" t="str">
        <f>IF($B22="","",IF(L$3="","",IF(L$3="Snag",(SUMIFS(Tree!$AY:$AY,Tree!$A:$A,#REF!,Tree!$F:$F,"D",Tree!$K:$K,"&lt;&gt;"&amp;"Y")/$C22)/1000,(SUMIFS(Tree!$AY:$AY,Tree!$A:$A,#REF!,Tree!$D:$D,#REF!,Tree!$F:$F,"L",Tree!$K:$K,"&lt;&gt;"&amp;"Y")/$C22)/1000)))</f>
        <v/>
      </c>
      <c r="M22" s="122" t="str">
        <f>IF($B22="","",IF(M$3="","",IF(M$3="Snag",(SUMIFS(Tree!$AY:$AY,Tree!$A:$A,#REF!,Tree!$F:$F,"D",Tree!$K:$K,"&lt;&gt;"&amp;"Y")/$C22)/1000,(SUMIFS(Tree!$AY:$AY,Tree!$A:$A,#REF!,Tree!$D:$D,#REF!,Tree!$F:$F,"L",Tree!$K:$K,"&lt;&gt;"&amp;"Y")/$C22)/1000)))</f>
        <v/>
      </c>
      <c r="N22" s="122" t="str">
        <f>IF($B22="","",IF(N$3="","",IF(N$3="Snag",(SUMIFS(Tree!$AY:$AY,Tree!$A:$A,#REF!,Tree!$F:$F,"D",Tree!$K:$K,"&lt;&gt;"&amp;"Y")/$C22)/1000,(SUMIFS(Tree!$AY:$AY,Tree!$A:$A,#REF!,Tree!$D:$D,#REF!,Tree!$F:$F,"L",Tree!$K:$K,"&lt;&gt;"&amp;"Y")/$C22)/1000)))</f>
        <v/>
      </c>
      <c r="O22" s="179" t="str">
        <f t="shared" si="3"/>
        <v/>
      </c>
      <c r="P22" s="220" t="str">
        <f>IF($B22="","",IF(P$3="","",IF(P$3="Snag",(SUMIFS(Tree!$AY:$AY,Tree!$A:$A,#REF!,Tree!$F:$F,"D",Tree!$K:$K,"&lt;&gt;"&amp;"Y")/$C22)/1000,(SUMIFS(Tree!$AY:$AY,Tree!$A:$A,#REF!,Tree!$D:$D,#REF!,Tree!$F:$F,"L",Tree!$K:$K,"&lt;&gt;"&amp;"Y")/$C22)/1000)))</f>
        <v/>
      </c>
      <c r="Q22" s="157" t="str">
        <f>IF(B22="","",VLOOKUP(B22,#REF!,22,0))</f>
        <v/>
      </c>
      <c r="R22" s="193" t="str">
        <f>IF(B22="","",VLOOKUP($B22,#REF!,23,0))</f>
        <v/>
      </c>
      <c r="S22" s="86"/>
      <c r="T22" s="157" t="str">
        <f t="shared" si="5"/>
        <v/>
      </c>
      <c r="U22" s="122" t="str">
        <f t="shared" si="5"/>
        <v/>
      </c>
      <c r="V22" s="122" t="str">
        <f t="shared" si="5"/>
        <v/>
      </c>
      <c r="W22" s="122" t="str">
        <f t="shared" si="5"/>
        <v/>
      </c>
      <c r="X22" s="122" t="str">
        <f t="shared" si="5"/>
        <v/>
      </c>
      <c r="Y22" s="122" t="str">
        <f t="shared" si="5"/>
        <v/>
      </c>
      <c r="Z22" s="122" t="str">
        <f t="shared" si="5"/>
        <v/>
      </c>
      <c r="AA22" s="122" t="str">
        <f t="shared" si="5"/>
        <v/>
      </c>
      <c r="AB22" s="122" t="str">
        <f t="shared" si="5"/>
        <v/>
      </c>
      <c r="AC22" s="193" t="str">
        <f t="shared" si="5"/>
        <v/>
      </c>
      <c r="AD22" s="212" t="str">
        <f t="shared" si="5"/>
        <v/>
      </c>
      <c r="AE22" s="213" t="str">
        <f t="shared" si="5"/>
        <v/>
      </c>
      <c r="AF22" s="193" t="str">
        <f t="shared" si="4"/>
        <v/>
      </c>
    </row>
    <row r="23" spans="2:32" x14ac:dyDescent="0.25">
      <c r="B23" s="201" t="str">
        <f>IF(Stand!C22="","",Stand!C22)</f>
        <v/>
      </c>
      <c r="C23" s="121" t="str" cm="1">
        <f t="array" ref="C23">IF(SUM(IF(B23=Stand_Biomass!$B$4:$B$30,Stand_Biomass!$C$4:$C$30))&gt;0,SUM(IF(B23=Stand_Biomass!$B$4:$B$30,Stand_Biomass!$C$4:$C$30)),"")</f>
        <v/>
      </c>
      <c r="D23" s="154" t="str">
        <f>IF(B23="","",VLOOKUP($B23,Stand!$C:$G,5,0))</f>
        <v/>
      </c>
      <c r="E23" s="28"/>
      <c r="F23" s="157" t="str">
        <f>IF($B23="","",IF(F$3="","",IF(F$3="Snag",(SUMIFS(Tree!$AY:$AY,Tree!$A:$A,#REF!,Tree!$F:$F,"D",Tree!$K:$K,"&lt;&gt;"&amp;"Y")/$C23)/1000,(SUMIFS(Tree!$AY:$AY,Tree!$A:$A,#REF!,Tree!$D:$D,#REF!,Tree!$F:$F,"L",Tree!$K:$K,"&lt;&gt;"&amp;"Y")/$C23)/1000)))</f>
        <v/>
      </c>
      <c r="G23" s="122" t="str">
        <f>IF($B23="","",IF(G$3="","",IF(G$3="Snag",(SUMIFS(Tree!$AY:$AY,Tree!$A:$A,#REF!,Tree!$F:$F,"D",Tree!$K:$K,"&lt;&gt;"&amp;"Y")/$C23)/1000,(SUMIFS(Tree!$AY:$AY,Tree!$A:$A,#REF!,Tree!$D:$D,#REF!,Tree!$F:$F,"L",Tree!$K:$K,"&lt;&gt;"&amp;"Y")/$C23)/1000)))</f>
        <v/>
      </c>
      <c r="H23" s="122" t="str">
        <f>IF($B23="","",IF(H$3="","",IF(H$3="Snag",(SUMIFS(Tree!$AY:$AY,Tree!$A:$A,#REF!,Tree!$F:$F,"D",Tree!$K:$K,"&lt;&gt;"&amp;"Y")/$C23)/1000,(SUMIFS(Tree!$AY:$AY,Tree!$A:$A,#REF!,Tree!$D:$D,#REF!,Tree!$F:$F,"L",Tree!$K:$K,"&lt;&gt;"&amp;"Y")/$C23)/1000)))</f>
        <v/>
      </c>
      <c r="I23" s="122" t="str">
        <f>IF($B23="","",IF(I$3="","",IF(I$3="Snag",(SUMIFS(Tree!$AY:$AY,Tree!$A:$A,#REF!,Tree!$F:$F,"D",Tree!$K:$K,"&lt;&gt;"&amp;"Y")/$C23)/1000,(SUMIFS(Tree!$AY:$AY,Tree!$A:$A,#REF!,Tree!$D:$D,#REF!,Tree!$F:$F,"L",Tree!$K:$K,"&lt;&gt;"&amp;"Y")/$C23)/1000)))</f>
        <v/>
      </c>
      <c r="J23" s="122" t="str">
        <f>IF($B23="","",IF(J$3="","",IF(J$3="Snag",(SUMIFS(Tree!$AY:$AY,Tree!$A:$A,#REF!,Tree!$F:$F,"D",Tree!$K:$K,"&lt;&gt;"&amp;"Y")/$C23)/1000,(SUMIFS(Tree!$AY:$AY,Tree!$A:$A,#REF!,Tree!$D:$D,#REF!,Tree!$F:$F,"L",Tree!$K:$K,"&lt;&gt;"&amp;"Y")/$C23)/1000)))</f>
        <v/>
      </c>
      <c r="K23" s="122" t="str">
        <f>IF($B23="","",IF(K$3="","",IF(K$3="Snag",(SUMIFS(Tree!$AY:$AY,Tree!$A:$A,#REF!,Tree!$F:$F,"D",Tree!$K:$K,"&lt;&gt;"&amp;"Y")/$C23)/1000,(SUMIFS(Tree!$AY:$AY,Tree!$A:$A,#REF!,Tree!$D:$D,#REF!,Tree!$F:$F,"L",Tree!$K:$K,"&lt;&gt;"&amp;"Y")/$C23)/1000)))</f>
        <v/>
      </c>
      <c r="L23" s="122" t="str">
        <f>IF($B23="","",IF(L$3="","",IF(L$3="Snag",(SUMIFS(Tree!$AY:$AY,Tree!$A:$A,#REF!,Tree!$F:$F,"D",Tree!$K:$K,"&lt;&gt;"&amp;"Y")/$C23)/1000,(SUMIFS(Tree!$AY:$AY,Tree!$A:$A,#REF!,Tree!$D:$D,#REF!,Tree!$F:$F,"L",Tree!$K:$K,"&lt;&gt;"&amp;"Y")/$C23)/1000)))</f>
        <v/>
      </c>
      <c r="M23" s="122" t="str">
        <f>IF($B23="","",IF(M$3="","",IF(M$3="Snag",(SUMIFS(Tree!$AY:$AY,Tree!$A:$A,#REF!,Tree!$F:$F,"D",Tree!$K:$K,"&lt;&gt;"&amp;"Y")/$C23)/1000,(SUMIFS(Tree!$AY:$AY,Tree!$A:$A,#REF!,Tree!$D:$D,#REF!,Tree!$F:$F,"L",Tree!$K:$K,"&lt;&gt;"&amp;"Y")/$C23)/1000)))</f>
        <v/>
      </c>
      <c r="N23" s="122" t="str">
        <f>IF($B23="","",IF(N$3="","",IF(N$3="Snag",(SUMIFS(Tree!$AY:$AY,Tree!$A:$A,#REF!,Tree!$F:$F,"D",Tree!$K:$K,"&lt;&gt;"&amp;"Y")/$C23)/1000,(SUMIFS(Tree!$AY:$AY,Tree!$A:$A,#REF!,Tree!$D:$D,#REF!,Tree!$F:$F,"L",Tree!$K:$K,"&lt;&gt;"&amp;"Y")/$C23)/1000)))</f>
        <v/>
      </c>
      <c r="O23" s="179" t="str">
        <f t="shared" si="3"/>
        <v/>
      </c>
      <c r="P23" s="220" t="str">
        <f>IF($B23="","",IF(P$3="","",IF(P$3="Snag",(SUMIFS(Tree!$AY:$AY,Tree!$A:$A,#REF!,Tree!$F:$F,"D",Tree!$K:$K,"&lt;&gt;"&amp;"Y")/$C23)/1000,(SUMIFS(Tree!$AY:$AY,Tree!$A:$A,#REF!,Tree!$D:$D,#REF!,Tree!$F:$F,"L",Tree!$K:$K,"&lt;&gt;"&amp;"Y")/$C23)/1000)))</f>
        <v/>
      </c>
      <c r="Q23" s="157" t="str">
        <f>IF(B23="","",VLOOKUP(B23,#REF!,22,0))</f>
        <v/>
      </c>
      <c r="R23" s="193" t="str">
        <f>IF(B23="","",VLOOKUP($B23,#REF!,23,0))</f>
        <v/>
      </c>
      <c r="S23" s="86"/>
      <c r="T23" s="157" t="str">
        <f t="shared" si="5"/>
        <v/>
      </c>
      <c r="U23" s="122" t="str">
        <f t="shared" si="5"/>
        <v/>
      </c>
      <c r="V23" s="122" t="str">
        <f t="shared" si="5"/>
        <v/>
      </c>
      <c r="W23" s="122" t="str">
        <f t="shared" si="5"/>
        <v/>
      </c>
      <c r="X23" s="122" t="str">
        <f t="shared" si="5"/>
        <v/>
      </c>
      <c r="Y23" s="122" t="str">
        <f t="shared" si="5"/>
        <v/>
      </c>
      <c r="Z23" s="122" t="str">
        <f t="shared" si="5"/>
        <v/>
      </c>
      <c r="AA23" s="122" t="str">
        <f t="shared" si="5"/>
        <v/>
      </c>
      <c r="AB23" s="122" t="str">
        <f t="shared" si="5"/>
        <v/>
      </c>
      <c r="AC23" s="193" t="str">
        <f t="shared" si="5"/>
        <v/>
      </c>
      <c r="AD23" s="212" t="str">
        <f t="shared" si="5"/>
        <v/>
      </c>
      <c r="AE23" s="213" t="str">
        <f t="shared" si="5"/>
        <v/>
      </c>
      <c r="AF23" s="193" t="str">
        <f t="shared" si="4"/>
        <v/>
      </c>
    </row>
    <row r="24" spans="2:32" x14ac:dyDescent="0.25">
      <c r="B24" s="201" t="str">
        <f>IF(Stand!C23="","",Stand!C23)</f>
        <v/>
      </c>
      <c r="C24" s="121" t="str" cm="1">
        <f t="array" ref="C24">IF(SUM(IF(B24=Stand_Biomass!$B$4:$B$30,Stand_Biomass!$C$4:$C$30))&gt;0,SUM(IF(B24=Stand_Biomass!$B$4:$B$30,Stand_Biomass!$C$4:$C$30)),"")</f>
        <v/>
      </c>
      <c r="D24" s="154" t="str">
        <f>IF(B24="","",VLOOKUP($B24,Stand!$C:$G,5,0))</f>
        <v/>
      </c>
      <c r="E24" s="28"/>
      <c r="F24" s="157" t="str">
        <f>IF($B24="","",IF(F$3="","",IF(F$3="Snag",(SUMIFS(Tree!$AY:$AY,Tree!$A:$A,#REF!,Tree!$F:$F,"D",Tree!$K:$K,"&lt;&gt;"&amp;"Y")/$C24)/1000,(SUMIFS(Tree!$AY:$AY,Tree!$A:$A,#REF!,Tree!$D:$D,#REF!,Tree!$F:$F,"L",Tree!$K:$K,"&lt;&gt;"&amp;"Y")/$C24)/1000)))</f>
        <v/>
      </c>
      <c r="G24" s="122" t="str">
        <f>IF($B24="","",IF(G$3="","",IF(G$3="Snag",(SUMIFS(Tree!$AY:$AY,Tree!$A:$A,#REF!,Tree!$F:$F,"D",Tree!$K:$K,"&lt;&gt;"&amp;"Y")/$C24)/1000,(SUMIFS(Tree!$AY:$AY,Tree!$A:$A,#REF!,Tree!$D:$D,#REF!,Tree!$F:$F,"L",Tree!$K:$K,"&lt;&gt;"&amp;"Y")/$C24)/1000)))</f>
        <v/>
      </c>
      <c r="H24" s="122" t="str">
        <f>IF($B24="","",IF(H$3="","",IF(H$3="Snag",(SUMIFS(Tree!$AY:$AY,Tree!$A:$A,#REF!,Tree!$F:$F,"D",Tree!$K:$K,"&lt;&gt;"&amp;"Y")/$C24)/1000,(SUMIFS(Tree!$AY:$AY,Tree!$A:$A,#REF!,Tree!$D:$D,#REF!,Tree!$F:$F,"L",Tree!$K:$K,"&lt;&gt;"&amp;"Y")/$C24)/1000)))</f>
        <v/>
      </c>
      <c r="I24" s="122" t="str">
        <f>IF($B24="","",IF(I$3="","",IF(I$3="Snag",(SUMIFS(Tree!$AY:$AY,Tree!$A:$A,#REF!,Tree!$F:$F,"D",Tree!$K:$K,"&lt;&gt;"&amp;"Y")/$C24)/1000,(SUMIFS(Tree!$AY:$AY,Tree!$A:$A,#REF!,Tree!$D:$D,#REF!,Tree!$F:$F,"L",Tree!$K:$K,"&lt;&gt;"&amp;"Y")/$C24)/1000)))</f>
        <v/>
      </c>
      <c r="J24" s="122" t="str">
        <f>IF($B24="","",IF(J$3="","",IF(J$3="Snag",(SUMIFS(Tree!$AY:$AY,Tree!$A:$A,#REF!,Tree!$F:$F,"D",Tree!$K:$K,"&lt;&gt;"&amp;"Y")/$C24)/1000,(SUMIFS(Tree!$AY:$AY,Tree!$A:$A,#REF!,Tree!$D:$D,#REF!,Tree!$F:$F,"L",Tree!$K:$K,"&lt;&gt;"&amp;"Y")/$C24)/1000)))</f>
        <v/>
      </c>
      <c r="K24" s="122" t="str">
        <f>IF($B24="","",IF(K$3="","",IF(K$3="Snag",(SUMIFS(Tree!$AY:$AY,Tree!$A:$A,#REF!,Tree!$F:$F,"D",Tree!$K:$K,"&lt;&gt;"&amp;"Y")/$C24)/1000,(SUMIFS(Tree!$AY:$AY,Tree!$A:$A,#REF!,Tree!$D:$D,#REF!,Tree!$F:$F,"L",Tree!$K:$K,"&lt;&gt;"&amp;"Y")/$C24)/1000)))</f>
        <v/>
      </c>
      <c r="L24" s="122" t="str">
        <f>IF($B24="","",IF(L$3="","",IF(L$3="Snag",(SUMIFS(Tree!$AY:$AY,Tree!$A:$A,#REF!,Tree!$F:$F,"D",Tree!$K:$K,"&lt;&gt;"&amp;"Y")/$C24)/1000,(SUMIFS(Tree!$AY:$AY,Tree!$A:$A,#REF!,Tree!$D:$D,#REF!,Tree!$F:$F,"L",Tree!$K:$K,"&lt;&gt;"&amp;"Y")/$C24)/1000)))</f>
        <v/>
      </c>
      <c r="M24" s="122" t="str">
        <f>IF($B24="","",IF(M$3="","",IF(M$3="Snag",(SUMIFS(Tree!$AY:$AY,Tree!$A:$A,#REF!,Tree!$F:$F,"D",Tree!$K:$K,"&lt;&gt;"&amp;"Y")/$C24)/1000,(SUMIFS(Tree!$AY:$AY,Tree!$A:$A,#REF!,Tree!$D:$D,#REF!,Tree!$F:$F,"L",Tree!$K:$K,"&lt;&gt;"&amp;"Y")/$C24)/1000)))</f>
        <v/>
      </c>
      <c r="N24" s="122" t="str">
        <f>IF($B24="","",IF(N$3="","",IF(N$3="Snag",(SUMIFS(Tree!$AY:$AY,Tree!$A:$A,#REF!,Tree!$F:$F,"D",Tree!$K:$K,"&lt;&gt;"&amp;"Y")/$C24)/1000,(SUMIFS(Tree!$AY:$AY,Tree!$A:$A,#REF!,Tree!$D:$D,#REF!,Tree!$F:$F,"L",Tree!$K:$K,"&lt;&gt;"&amp;"Y")/$C24)/1000)))</f>
        <v/>
      </c>
      <c r="O24" s="179" t="str">
        <f t="shared" si="3"/>
        <v/>
      </c>
      <c r="P24" s="220" t="str">
        <f>IF($B24="","",IF(P$3="","",IF(P$3="Snag",(SUMIFS(Tree!$AY:$AY,Tree!$A:$A,#REF!,Tree!$F:$F,"D",Tree!$K:$K,"&lt;&gt;"&amp;"Y")/$C24)/1000,(SUMIFS(Tree!$AY:$AY,Tree!$A:$A,#REF!,Tree!$D:$D,#REF!,Tree!$F:$F,"L",Tree!$K:$K,"&lt;&gt;"&amp;"Y")/$C24)/1000)))</f>
        <v/>
      </c>
      <c r="Q24" s="157" t="str">
        <f>IF(B24="","",VLOOKUP(B24,#REF!,22,0))</f>
        <v/>
      </c>
      <c r="R24" s="193" t="str">
        <f>IF(B24="","",VLOOKUP($B24,#REF!,23,0))</f>
        <v/>
      </c>
      <c r="S24" s="86"/>
      <c r="T24" s="157" t="str">
        <f t="shared" si="5"/>
        <v/>
      </c>
      <c r="U24" s="122" t="str">
        <f t="shared" si="5"/>
        <v/>
      </c>
      <c r="V24" s="122" t="str">
        <f t="shared" si="5"/>
        <v/>
      </c>
      <c r="W24" s="122" t="str">
        <f t="shared" si="5"/>
        <v/>
      </c>
      <c r="X24" s="122" t="str">
        <f t="shared" si="5"/>
        <v/>
      </c>
      <c r="Y24" s="122" t="str">
        <f t="shared" si="5"/>
        <v/>
      </c>
      <c r="Z24" s="122" t="str">
        <f t="shared" si="5"/>
        <v/>
      </c>
      <c r="AA24" s="122" t="str">
        <f t="shared" si="5"/>
        <v/>
      </c>
      <c r="AB24" s="122" t="str">
        <f t="shared" si="5"/>
        <v/>
      </c>
      <c r="AC24" s="193" t="str">
        <f t="shared" si="5"/>
        <v/>
      </c>
      <c r="AD24" s="212" t="str">
        <f t="shared" si="5"/>
        <v/>
      </c>
      <c r="AE24" s="213" t="str">
        <f t="shared" si="5"/>
        <v/>
      </c>
      <c r="AF24" s="193" t="str">
        <f t="shared" si="4"/>
        <v/>
      </c>
    </row>
    <row r="25" spans="2:32" x14ac:dyDescent="0.25">
      <c r="B25" s="201" t="str">
        <f>IF(Stand!C24="","",Stand!C24)</f>
        <v/>
      </c>
      <c r="C25" s="121" t="str" cm="1">
        <f t="array" ref="C25">IF(SUM(IF(B25=Stand_Biomass!$B$4:$B$30,Stand_Biomass!$C$4:$C$30))&gt;0,SUM(IF(B25=Stand_Biomass!$B$4:$B$30,Stand_Biomass!$C$4:$C$30)),"")</f>
        <v/>
      </c>
      <c r="D25" s="154" t="str">
        <f>IF(B25="","",VLOOKUP($B25,Stand!$C:$G,5,0))</f>
        <v/>
      </c>
      <c r="E25" s="28"/>
      <c r="F25" s="157" t="str">
        <f>IF($B25="","",IF(F$3="","",IF(F$3="Snag",(SUMIFS(Tree!$AY:$AY,Tree!$A:$A,#REF!,Tree!$F:$F,"D",Tree!$K:$K,"&lt;&gt;"&amp;"Y")/$C25)/1000,(SUMIFS(Tree!$AY:$AY,Tree!$A:$A,#REF!,Tree!$D:$D,#REF!,Tree!$F:$F,"L",Tree!$K:$K,"&lt;&gt;"&amp;"Y")/$C25)/1000)))</f>
        <v/>
      </c>
      <c r="G25" s="122" t="str">
        <f>IF($B25="","",IF(G$3="","",IF(G$3="Snag",(SUMIFS(Tree!$AY:$AY,Tree!$A:$A,#REF!,Tree!$F:$F,"D",Tree!$K:$K,"&lt;&gt;"&amp;"Y")/$C25)/1000,(SUMIFS(Tree!$AY:$AY,Tree!$A:$A,#REF!,Tree!$D:$D,#REF!,Tree!$F:$F,"L",Tree!$K:$K,"&lt;&gt;"&amp;"Y")/$C25)/1000)))</f>
        <v/>
      </c>
      <c r="H25" s="122" t="str">
        <f>IF($B25="","",IF(H$3="","",IF(H$3="Snag",(SUMIFS(Tree!$AY:$AY,Tree!$A:$A,#REF!,Tree!$F:$F,"D",Tree!$K:$K,"&lt;&gt;"&amp;"Y")/$C25)/1000,(SUMIFS(Tree!$AY:$AY,Tree!$A:$A,#REF!,Tree!$D:$D,#REF!,Tree!$F:$F,"L",Tree!$K:$K,"&lt;&gt;"&amp;"Y")/$C25)/1000)))</f>
        <v/>
      </c>
      <c r="I25" s="122" t="str">
        <f>IF($B25="","",IF(I$3="","",IF(I$3="Snag",(SUMIFS(Tree!$AY:$AY,Tree!$A:$A,#REF!,Tree!$F:$F,"D",Tree!$K:$K,"&lt;&gt;"&amp;"Y")/$C25)/1000,(SUMIFS(Tree!$AY:$AY,Tree!$A:$A,#REF!,Tree!$D:$D,#REF!,Tree!$F:$F,"L",Tree!$K:$K,"&lt;&gt;"&amp;"Y")/$C25)/1000)))</f>
        <v/>
      </c>
      <c r="J25" s="122" t="str">
        <f>IF($B25="","",IF(J$3="","",IF(J$3="Snag",(SUMIFS(Tree!$AY:$AY,Tree!$A:$A,#REF!,Tree!$F:$F,"D",Tree!$K:$K,"&lt;&gt;"&amp;"Y")/$C25)/1000,(SUMIFS(Tree!$AY:$AY,Tree!$A:$A,#REF!,Tree!$D:$D,#REF!,Tree!$F:$F,"L",Tree!$K:$K,"&lt;&gt;"&amp;"Y")/$C25)/1000)))</f>
        <v/>
      </c>
      <c r="K25" s="122" t="str">
        <f>IF($B25="","",IF(K$3="","",IF(K$3="Snag",(SUMIFS(Tree!$AY:$AY,Tree!$A:$A,#REF!,Tree!$F:$F,"D",Tree!$K:$K,"&lt;&gt;"&amp;"Y")/$C25)/1000,(SUMIFS(Tree!$AY:$AY,Tree!$A:$A,#REF!,Tree!$D:$D,#REF!,Tree!$F:$F,"L",Tree!$K:$K,"&lt;&gt;"&amp;"Y")/$C25)/1000)))</f>
        <v/>
      </c>
      <c r="L25" s="122" t="str">
        <f>IF($B25="","",IF(L$3="","",IF(L$3="Snag",(SUMIFS(Tree!$AY:$AY,Tree!$A:$A,#REF!,Tree!$F:$F,"D",Tree!$K:$K,"&lt;&gt;"&amp;"Y")/$C25)/1000,(SUMIFS(Tree!$AY:$AY,Tree!$A:$A,#REF!,Tree!$D:$D,#REF!,Tree!$F:$F,"L",Tree!$K:$K,"&lt;&gt;"&amp;"Y")/$C25)/1000)))</f>
        <v/>
      </c>
      <c r="M25" s="122" t="str">
        <f>IF($B25="","",IF(M$3="","",IF(M$3="Snag",(SUMIFS(Tree!$AY:$AY,Tree!$A:$A,#REF!,Tree!$F:$F,"D",Tree!$K:$K,"&lt;&gt;"&amp;"Y")/$C25)/1000,(SUMIFS(Tree!$AY:$AY,Tree!$A:$A,#REF!,Tree!$D:$D,#REF!,Tree!$F:$F,"L",Tree!$K:$K,"&lt;&gt;"&amp;"Y")/$C25)/1000)))</f>
        <v/>
      </c>
      <c r="N25" s="122" t="str">
        <f>IF($B25="","",IF(N$3="","",IF(N$3="Snag",(SUMIFS(Tree!$AY:$AY,Tree!$A:$A,#REF!,Tree!$F:$F,"D",Tree!$K:$K,"&lt;&gt;"&amp;"Y")/$C25)/1000,(SUMIFS(Tree!$AY:$AY,Tree!$A:$A,#REF!,Tree!$D:$D,#REF!,Tree!$F:$F,"L",Tree!$K:$K,"&lt;&gt;"&amp;"Y")/$C25)/1000)))</f>
        <v/>
      </c>
      <c r="O25" s="179" t="str">
        <f t="shared" si="3"/>
        <v/>
      </c>
      <c r="P25" s="220" t="str">
        <f>IF($B25="","",IF(P$3="","",IF(P$3="Snag",(SUMIFS(Tree!$AY:$AY,Tree!$A:$A,#REF!,Tree!$F:$F,"D",Tree!$K:$K,"&lt;&gt;"&amp;"Y")/$C25)/1000,(SUMIFS(Tree!$AY:$AY,Tree!$A:$A,#REF!,Tree!$D:$D,#REF!,Tree!$F:$F,"L",Tree!$K:$K,"&lt;&gt;"&amp;"Y")/$C25)/1000)))</f>
        <v/>
      </c>
      <c r="Q25" s="157" t="str">
        <f>IF(B25="","",VLOOKUP(B25,#REF!,22,0))</f>
        <v/>
      </c>
      <c r="R25" s="193" t="str">
        <f>IF(B25="","",VLOOKUP($B25,#REF!,23,0))</f>
        <v/>
      </c>
      <c r="S25" s="86"/>
      <c r="T25" s="157" t="str">
        <f t="shared" si="5"/>
        <v/>
      </c>
      <c r="U25" s="122" t="str">
        <f t="shared" si="5"/>
        <v/>
      </c>
      <c r="V25" s="122" t="str">
        <f t="shared" si="5"/>
        <v/>
      </c>
      <c r="W25" s="122" t="str">
        <f t="shared" si="5"/>
        <v/>
      </c>
      <c r="X25" s="122" t="str">
        <f t="shared" si="5"/>
        <v/>
      </c>
      <c r="Y25" s="122" t="str">
        <f t="shared" si="5"/>
        <v/>
      </c>
      <c r="Z25" s="122" t="str">
        <f t="shared" si="5"/>
        <v/>
      </c>
      <c r="AA25" s="122" t="str">
        <f t="shared" si="5"/>
        <v/>
      </c>
      <c r="AB25" s="122" t="str">
        <f t="shared" si="5"/>
        <v/>
      </c>
      <c r="AC25" s="193" t="str">
        <f t="shared" si="5"/>
        <v/>
      </c>
      <c r="AD25" s="212" t="str">
        <f t="shared" si="5"/>
        <v/>
      </c>
      <c r="AE25" s="213" t="str">
        <f t="shared" si="5"/>
        <v/>
      </c>
      <c r="AF25" s="193" t="str">
        <f t="shared" si="4"/>
        <v/>
      </c>
    </row>
    <row r="26" spans="2:32" x14ac:dyDescent="0.25">
      <c r="B26" s="201" t="str">
        <f>IF(Stand!C25="","",Stand!C25)</f>
        <v/>
      </c>
      <c r="C26" s="121" t="str" cm="1">
        <f t="array" ref="C26">IF(SUM(IF(B26=Stand_Biomass!$B$4:$B$30,Stand_Biomass!$C$4:$C$30))&gt;0,SUM(IF(B26=Stand_Biomass!$B$4:$B$30,Stand_Biomass!$C$4:$C$30)),"")</f>
        <v/>
      </c>
      <c r="D26" s="154" t="str">
        <f>IF(B26="","",VLOOKUP($B26,Stand!$C:$G,5,0))</f>
        <v/>
      </c>
      <c r="E26" s="28"/>
      <c r="F26" s="157" t="str">
        <f>IF($B26="","",IF(F$3="","",IF(F$3="Snag",(SUMIFS(Tree!$AY:$AY,Tree!$A:$A,#REF!,Tree!$F:$F,"D",Tree!$K:$K,"&lt;&gt;"&amp;"Y")/$C26)/1000,(SUMIFS(Tree!$AY:$AY,Tree!$A:$A,#REF!,Tree!$D:$D,#REF!,Tree!$F:$F,"L",Tree!$K:$K,"&lt;&gt;"&amp;"Y")/$C26)/1000)))</f>
        <v/>
      </c>
      <c r="G26" s="122" t="str">
        <f>IF($B26="","",IF(G$3="","",IF(G$3="Snag",(SUMIFS(Tree!$AY:$AY,Tree!$A:$A,#REF!,Tree!$F:$F,"D",Tree!$K:$K,"&lt;&gt;"&amp;"Y")/$C26)/1000,(SUMIFS(Tree!$AY:$AY,Tree!$A:$A,#REF!,Tree!$D:$D,#REF!,Tree!$F:$F,"L",Tree!$K:$K,"&lt;&gt;"&amp;"Y")/$C26)/1000)))</f>
        <v/>
      </c>
      <c r="H26" s="122" t="str">
        <f>IF($B26="","",IF(H$3="","",IF(H$3="Snag",(SUMIFS(Tree!$AY:$AY,Tree!$A:$A,#REF!,Tree!$F:$F,"D",Tree!$K:$K,"&lt;&gt;"&amp;"Y")/$C26)/1000,(SUMIFS(Tree!$AY:$AY,Tree!$A:$A,#REF!,Tree!$D:$D,#REF!,Tree!$F:$F,"L",Tree!$K:$K,"&lt;&gt;"&amp;"Y")/$C26)/1000)))</f>
        <v/>
      </c>
      <c r="I26" s="122" t="str">
        <f>IF($B26="","",IF(I$3="","",IF(I$3="Snag",(SUMIFS(Tree!$AY:$AY,Tree!$A:$A,#REF!,Tree!$F:$F,"D",Tree!$K:$K,"&lt;&gt;"&amp;"Y")/$C26)/1000,(SUMIFS(Tree!$AY:$AY,Tree!$A:$A,#REF!,Tree!$D:$D,#REF!,Tree!$F:$F,"L",Tree!$K:$K,"&lt;&gt;"&amp;"Y")/$C26)/1000)))</f>
        <v/>
      </c>
      <c r="J26" s="122" t="str">
        <f>IF($B26="","",IF(J$3="","",IF(J$3="Snag",(SUMIFS(Tree!$AY:$AY,Tree!$A:$A,#REF!,Tree!$F:$F,"D",Tree!$K:$K,"&lt;&gt;"&amp;"Y")/$C26)/1000,(SUMIFS(Tree!$AY:$AY,Tree!$A:$A,#REF!,Tree!$D:$D,#REF!,Tree!$F:$F,"L",Tree!$K:$K,"&lt;&gt;"&amp;"Y")/$C26)/1000)))</f>
        <v/>
      </c>
      <c r="K26" s="122" t="str">
        <f>IF($B26="","",IF(K$3="","",IF(K$3="Snag",(SUMIFS(Tree!$AY:$AY,Tree!$A:$A,#REF!,Tree!$F:$F,"D",Tree!$K:$K,"&lt;&gt;"&amp;"Y")/$C26)/1000,(SUMIFS(Tree!$AY:$AY,Tree!$A:$A,#REF!,Tree!$D:$D,#REF!,Tree!$F:$F,"L",Tree!$K:$K,"&lt;&gt;"&amp;"Y")/$C26)/1000)))</f>
        <v/>
      </c>
      <c r="L26" s="122" t="str">
        <f>IF($B26="","",IF(L$3="","",IF(L$3="Snag",(SUMIFS(Tree!$AY:$AY,Tree!$A:$A,#REF!,Tree!$F:$F,"D",Tree!$K:$K,"&lt;&gt;"&amp;"Y")/$C26)/1000,(SUMIFS(Tree!$AY:$AY,Tree!$A:$A,#REF!,Tree!$D:$D,#REF!,Tree!$F:$F,"L",Tree!$K:$K,"&lt;&gt;"&amp;"Y")/$C26)/1000)))</f>
        <v/>
      </c>
      <c r="M26" s="122" t="str">
        <f>IF($B26="","",IF(M$3="","",IF(M$3="Snag",(SUMIFS(Tree!$AY:$AY,Tree!$A:$A,#REF!,Tree!$F:$F,"D",Tree!$K:$K,"&lt;&gt;"&amp;"Y")/$C26)/1000,(SUMIFS(Tree!$AY:$AY,Tree!$A:$A,#REF!,Tree!$D:$D,#REF!,Tree!$F:$F,"L",Tree!$K:$K,"&lt;&gt;"&amp;"Y")/$C26)/1000)))</f>
        <v/>
      </c>
      <c r="N26" s="122" t="str">
        <f>IF($B26="","",IF(N$3="","",IF(N$3="Snag",(SUMIFS(Tree!$AY:$AY,Tree!$A:$A,#REF!,Tree!$F:$F,"D",Tree!$K:$K,"&lt;&gt;"&amp;"Y")/$C26)/1000,(SUMIFS(Tree!$AY:$AY,Tree!$A:$A,#REF!,Tree!$D:$D,#REF!,Tree!$F:$F,"L",Tree!$K:$K,"&lt;&gt;"&amp;"Y")/$C26)/1000)))</f>
        <v/>
      </c>
      <c r="O26" s="179" t="str">
        <f t="shared" si="3"/>
        <v/>
      </c>
      <c r="P26" s="220" t="str">
        <f>IF($B26="","",IF(P$3="","",IF(P$3="Snag",(SUMIFS(Tree!$AY:$AY,Tree!$A:$A,#REF!,Tree!$F:$F,"D",Tree!$K:$K,"&lt;&gt;"&amp;"Y")/$C26)/1000,(SUMIFS(Tree!$AY:$AY,Tree!$A:$A,#REF!,Tree!$D:$D,#REF!,Tree!$F:$F,"L",Tree!$K:$K,"&lt;&gt;"&amp;"Y")/$C26)/1000)))</f>
        <v/>
      </c>
      <c r="Q26" s="157" t="str">
        <f>IF(B26="","",VLOOKUP(B26,#REF!,22,0))</f>
        <v/>
      </c>
      <c r="R26" s="193" t="str">
        <f>IF(B26="","",VLOOKUP($B26,#REF!,23,0))</f>
        <v/>
      </c>
      <c r="S26" s="86"/>
      <c r="T26" s="157" t="str">
        <f t="shared" si="5"/>
        <v/>
      </c>
      <c r="U26" s="122" t="str">
        <f t="shared" si="5"/>
        <v/>
      </c>
      <c r="V26" s="122" t="str">
        <f t="shared" si="5"/>
        <v/>
      </c>
      <c r="W26" s="122" t="str">
        <f t="shared" si="5"/>
        <v/>
      </c>
      <c r="X26" s="122" t="str">
        <f t="shared" si="5"/>
        <v/>
      </c>
      <c r="Y26" s="122" t="str">
        <f t="shared" si="5"/>
        <v/>
      </c>
      <c r="Z26" s="122" t="str">
        <f t="shared" si="5"/>
        <v/>
      </c>
      <c r="AA26" s="122" t="str">
        <f t="shared" si="5"/>
        <v/>
      </c>
      <c r="AB26" s="122" t="str">
        <f t="shared" si="5"/>
        <v/>
      </c>
      <c r="AC26" s="193" t="str">
        <f t="shared" si="5"/>
        <v/>
      </c>
      <c r="AD26" s="212" t="str">
        <f t="shared" si="5"/>
        <v/>
      </c>
      <c r="AE26" s="213" t="str">
        <f t="shared" si="5"/>
        <v/>
      </c>
      <c r="AF26" s="193" t="str">
        <f t="shared" si="4"/>
        <v/>
      </c>
    </row>
    <row r="27" spans="2:32" x14ac:dyDescent="0.25">
      <c r="B27" s="201" t="str">
        <f>IF(Stand!C26="","",Stand!C26)</f>
        <v/>
      </c>
      <c r="C27" s="121" t="str" cm="1">
        <f t="array" ref="C27">IF(SUM(IF(B27=Stand_Biomass!$B$4:$B$30,Stand_Biomass!$C$4:$C$30))&gt;0,SUM(IF(B27=Stand_Biomass!$B$4:$B$30,Stand_Biomass!$C$4:$C$30)),"")</f>
        <v/>
      </c>
      <c r="D27" s="154" t="str">
        <f>IF(B27="","",VLOOKUP($B27,Stand!$C:$G,5,0))</f>
        <v/>
      </c>
      <c r="E27" s="28"/>
      <c r="F27" s="157" t="str">
        <f>IF($B27="","",IF(F$3="","",IF(F$3="Snag",(SUMIFS(Tree!$AY:$AY,Tree!$A:$A,#REF!,Tree!$F:$F,"D",Tree!$K:$K,"&lt;&gt;"&amp;"Y")/$C27)/1000,(SUMIFS(Tree!$AY:$AY,Tree!$A:$A,#REF!,Tree!$D:$D,#REF!,Tree!$F:$F,"L",Tree!$K:$K,"&lt;&gt;"&amp;"Y")/$C27)/1000)))</f>
        <v/>
      </c>
      <c r="G27" s="122" t="str">
        <f>IF($B27="","",IF(G$3="","",IF(G$3="Snag",(SUMIFS(Tree!$AY:$AY,Tree!$A:$A,#REF!,Tree!$F:$F,"D",Tree!$K:$K,"&lt;&gt;"&amp;"Y")/$C27)/1000,(SUMIFS(Tree!$AY:$AY,Tree!$A:$A,#REF!,Tree!$D:$D,#REF!,Tree!$F:$F,"L",Tree!$K:$K,"&lt;&gt;"&amp;"Y")/$C27)/1000)))</f>
        <v/>
      </c>
      <c r="H27" s="122" t="str">
        <f>IF($B27="","",IF(H$3="","",IF(H$3="Snag",(SUMIFS(Tree!$AY:$AY,Tree!$A:$A,#REF!,Tree!$F:$F,"D",Tree!$K:$K,"&lt;&gt;"&amp;"Y")/$C27)/1000,(SUMIFS(Tree!$AY:$AY,Tree!$A:$A,#REF!,Tree!$D:$D,#REF!,Tree!$F:$F,"L",Tree!$K:$K,"&lt;&gt;"&amp;"Y")/$C27)/1000)))</f>
        <v/>
      </c>
      <c r="I27" s="122" t="str">
        <f>IF($B27="","",IF(I$3="","",IF(I$3="Snag",(SUMIFS(Tree!$AY:$AY,Tree!$A:$A,#REF!,Tree!$F:$F,"D",Tree!$K:$K,"&lt;&gt;"&amp;"Y")/$C27)/1000,(SUMIFS(Tree!$AY:$AY,Tree!$A:$A,#REF!,Tree!$D:$D,#REF!,Tree!$F:$F,"L",Tree!$K:$K,"&lt;&gt;"&amp;"Y")/$C27)/1000)))</f>
        <v/>
      </c>
      <c r="J27" s="122" t="str">
        <f>IF($B27="","",IF(J$3="","",IF(J$3="Snag",(SUMIFS(Tree!$AY:$AY,Tree!$A:$A,#REF!,Tree!$F:$F,"D",Tree!$K:$K,"&lt;&gt;"&amp;"Y")/$C27)/1000,(SUMIFS(Tree!$AY:$AY,Tree!$A:$A,#REF!,Tree!$D:$D,#REF!,Tree!$F:$F,"L",Tree!$K:$K,"&lt;&gt;"&amp;"Y")/$C27)/1000)))</f>
        <v/>
      </c>
      <c r="K27" s="122" t="str">
        <f>IF($B27="","",IF(K$3="","",IF(K$3="Snag",(SUMIFS(Tree!$AY:$AY,Tree!$A:$A,#REF!,Tree!$F:$F,"D",Tree!$K:$K,"&lt;&gt;"&amp;"Y")/$C27)/1000,(SUMIFS(Tree!$AY:$AY,Tree!$A:$A,#REF!,Tree!$D:$D,#REF!,Tree!$F:$F,"L",Tree!$K:$K,"&lt;&gt;"&amp;"Y")/$C27)/1000)))</f>
        <v/>
      </c>
      <c r="L27" s="122" t="str">
        <f>IF($B27="","",IF(L$3="","",IF(L$3="Snag",(SUMIFS(Tree!$AY:$AY,Tree!$A:$A,#REF!,Tree!$F:$F,"D",Tree!$K:$K,"&lt;&gt;"&amp;"Y")/$C27)/1000,(SUMIFS(Tree!$AY:$AY,Tree!$A:$A,#REF!,Tree!$D:$D,#REF!,Tree!$F:$F,"L",Tree!$K:$K,"&lt;&gt;"&amp;"Y")/$C27)/1000)))</f>
        <v/>
      </c>
      <c r="M27" s="122" t="str">
        <f>IF($B27="","",IF(M$3="","",IF(M$3="Snag",(SUMIFS(Tree!$AY:$AY,Tree!$A:$A,#REF!,Tree!$F:$F,"D",Tree!$K:$K,"&lt;&gt;"&amp;"Y")/$C27)/1000,(SUMIFS(Tree!$AY:$AY,Tree!$A:$A,#REF!,Tree!$D:$D,#REF!,Tree!$F:$F,"L",Tree!$K:$K,"&lt;&gt;"&amp;"Y")/$C27)/1000)))</f>
        <v/>
      </c>
      <c r="N27" s="122" t="str">
        <f>IF($B27="","",IF(N$3="","",IF(N$3="Snag",(SUMIFS(Tree!$AY:$AY,Tree!$A:$A,#REF!,Tree!$F:$F,"D",Tree!$K:$K,"&lt;&gt;"&amp;"Y")/$C27)/1000,(SUMIFS(Tree!$AY:$AY,Tree!$A:$A,#REF!,Tree!$D:$D,#REF!,Tree!$F:$F,"L",Tree!$K:$K,"&lt;&gt;"&amp;"Y")/$C27)/1000)))</f>
        <v/>
      </c>
      <c r="O27" s="179" t="str">
        <f t="shared" si="3"/>
        <v/>
      </c>
      <c r="P27" s="220" t="str">
        <f>IF($B27="","",IF(P$3="","",IF(P$3="Snag",(SUMIFS(Tree!$AY:$AY,Tree!$A:$A,#REF!,Tree!$F:$F,"D",Tree!$K:$K,"&lt;&gt;"&amp;"Y")/$C27)/1000,(SUMIFS(Tree!$AY:$AY,Tree!$A:$A,#REF!,Tree!$D:$D,#REF!,Tree!$F:$F,"L",Tree!$K:$K,"&lt;&gt;"&amp;"Y")/$C27)/1000)))</f>
        <v/>
      </c>
      <c r="Q27" s="157" t="str">
        <f>IF(B27="","",VLOOKUP(B27,#REF!,22,0))</f>
        <v/>
      </c>
      <c r="R27" s="193" t="str">
        <f>IF(B27="","",VLOOKUP($B27,#REF!,23,0))</f>
        <v/>
      </c>
      <c r="S27" s="86"/>
      <c r="T27" s="157" t="str">
        <f t="shared" si="5"/>
        <v/>
      </c>
      <c r="U27" s="122" t="str">
        <f t="shared" si="5"/>
        <v/>
      </c>
      <c r="V27" s="122" t="str">
        <f t="shared" si="5"/>
        <v/>
      </c>
      <c r="W27" s="122" t="str">
        <f t="shared" si="5"/>
        <v/>
      </c>
      <c r="X27" s="122" t="str">
        <f t="shared" si="5"/>
        <v/>
      </c>
      <c r="Y27" s="122" t="str">
        <f t="shared" si="5"/>
        <v/>
      </c>
      <c r="Z27" s="122" t="str">
        <f t="shared" si="5"/>
        <v/>
      </c>
      <c r="AA27" s="122" t="str">
        <f t="shared" si="5"/>
        <v/>
      </c>
      <c r="AB27" s="122" t="str">
        <f t="shared" si="5"/>
        <v/>
      </c>
      <c r="AC27" s="193" t="str">
        <f t="shared" si="5"/>
        <v/>
      </c>
      <c r="AD27" s="212" t="str">
        <f t="shared" si="5"/>
        <v/>
      </c>
      <c r="AE27" s="213" t="str">
        <f t="shared" si="5"/>
        <v/>
      </c>
      <c r="AF27" s="193" t="str">
        <f t="shared" si="4"/>
        <v/>
      </c>
    </row>
    <row r="28" spans="2:32" x14ac:dyDescent="0.25">
      <c r="B28" s="201" t="str">
        <f>IF(Stand!C27="","",Stand!C27)</f>
        <v/>
      </c>
      <c r="C28" s="121" t="str" cm="1">
        <f t="array" ref="C28">IF(SUM(IF(B28=Stand_Biomass!$B$4:$B$30,Stand_Biomass!$C$4:$C$30))&gt;0,SUM(IF(B28=Stand_Biomass!$B$4:$B$30,Stand_Biomass!$C$4:$C$30)),"")</f>
        <v/>
      </c>
      <c r="D28" s="154" t="str">
        <f>IF(B28="","",VLOOKUP($B28,Stand!$C:$G,5,0))</f>
        <v/>
      </c>
      <c r="E28" s="28"/>
      <c r="F28" s="157" t="str">
        <f>IF($B28="","",IF(F$3="","",IF(F$3="Snag",(SUMIFS(Tree!$AY:$AY,Tree!$A:$A,#REF!,Tree!$F:$F,"D",Tree!$K:$K,"&lt;&gt;"&amp;"Y")/$C28)/1000,(SUMIFS(Tree!$AY:$AY,Tree!$A:$A,#REF!,Tree!$D:$D,#REF!,Tree!$F:$F,"L",Tree!$K:$K,"&lt;&gt;"&amp;"Y")/$C28)/1000)))</f>
        <v/>
      </c>
      <c r="G28" s="122" t="str">
        <f>IF($B28="","",IF(G$3="","",IF(G$3="Snag",(SUMIFS(Tree!$AY:$AY,Tree!$A:$A,#REF!,Tree!$F:$F,"D",Tree!$K:$K,"&lt;&gt;"&amp;"Y")/$C28)/1000,(SUMIFS(Tree!$AY:$AY,Tree!$A:$A,#REF!,Tree!$D:$D,#REF!,Tree!$F:$F,"L",Tree!$K:$K,"&lt;&gt;"&amp;"Y")/$C28)/1000)))</f>
        <v/>
      </c>
      <c r="H28" s="122" t="str">
        <f>IF($B28="","",IF(H$3="","",IF(H$3="Snag",(SUMIFS(Tree!$AY:$AY,Tree!$A:$A,#REF!,Tree!$F:$F,"D",Tree!$K:$K,"&lt;&gt;"&amp;"Y")/$C28)/1000,(SUMIFS(Tree!$AY:$AY,Tree!$A:$A,#REF!,Tree!$D:$D,#REF!,Tree!$F:$F,"L",Tree!$K:$K,"&lt;&gt;"&amp;"Y")/$C28)/1000)))</f>
        <v/>
      </c>
      <c r="I28" s="122" t="str">
        <f>IF($B28="","",IF(I$3="","",IF(I$3="Snag",(SUMIFS(Tree!$AY:$AY,Tree!$A:$A,#REF!,Tree!$F:$F,"D",Tree!$K:$K,"&lt;&gt;"&amp;"Y")/$C28)/1000,(SUMIFS(Tree!$AY:$AY,Tree!$A:$A,#REF!,Tree!$D:$D,#REF!,Tree!$F:$F,"L",Tree!$K:$K,"&lt;&gt;"&amp;"Y")/$C28)/1000)))</f>
        <v/>
      </c>
      <c r="J28" s="122" t="str">
        <f>IF($B28="","",IF(J$3="","",IF(J$3="Snag",(SUMIFS(Tree!$AY:$AY,Tree!$A:$A,#REF!,Tree!$F:$F,"D",Tree!$K:$K,"&lt;&gt;"&amp;"Y")/$C28)/1000,(SUMIFS(Tree!$AY:$AY,Tree!$A:$A,#REF!,Tree!$D:$D,#REF!,Tree!$F:$F,"L",Tree!$K:$K,"&lt;&gt;"&amp;"Y")/$C28)/1000)))</f>
        <v/>
      </c>
      <c r="K28" s="122" t="str">
        <f>IF($B28="","",IF(K$3="","",IF(K$3="Snag",(SUMIFS(Tree!$AY:$AY,Tree!$A:$A,#REF!,Tree!$F:$F,"D",Tree!$K:$K,"&lt;&gt;"&amp;"Y")/$C28)/1000,(SUMIFS(Tree!$AY:$AY,Tree!$A:$A,#REF!,Tree!$D:$D,#REF!,Tree!$F:$F,"L",Tree!$K:$K,"&lt;&gt;"&amp;"Y")/$C28)/1000)))</f>
        <v/>
      </c>
      <c r="L28" s="122" t="str">
        <f>IF($B28="","",IF(L$3="","",IF(L$3="Snag",(SUMIFS(Tree!$AY:$AY,Tree!$A:$A,#REF!,Tree!$F:$F,"D",Tree!$K:$K,"&lt;&gt;"&amp;"Y")/$C28)/1000,(SUMIFS(Tree!$AY:$AY,Tree!$A:$A,#REF!,Tree!$D:$D,#REF!,Tree!$F:$F,"L",Tree!$K:$K,"&lt;&gt;"&amp;"Y")/$C28)/1000)))</f>
        <v/>
      </c>
      <c r="M28" s="122" t="str">
        <f>IF($B28="","",IF(M$3="","",IF(M$3="Snag",(SUMIFS(Tree!$AY:$AY,Tree!$A:$A,#REF!,Tree!$F:$F,"D",Tree!$K:$K,"&lt;&gt;"&amp;"Y")/$C28)/1000,(SUMIFS(Tree!$AY:$AY,Tree!$A:$A,#REF!,Tree!$D:$D,#REF!,Tree!$F:$F,"L",Tree!$K:$K,"&lt;&gt;"&amp;"Y")/$C28)/1000)))</f>
        <v/>
      </c>
      <c r="N28" s="122" t="str">
        <f>IF($B28="","",IF(N$3="","",IF(N$3="Snag",(SUMIFS(Tree!$AY:$AY,Tree!$A:$A,#REF!,Tree!$F:$F,"D",Tree!$K:$K,"&lt;&gt;"&amp;"Y")/$C28)/1000,(SUMIFS(Tree!$AY:$AY,Tree!$A:$A,#REF!,Tree!$D:$D,#REF!,Tree!$F:$F,"L",Tree!$K:$K,"&lt;&gt;"&amp;"Y")/$C28)/1000)))</f>
        <v/>
      </c>
      <c r="O28" s="179" t="str">
        <f t="shared" si="3"/>
        <v/>
      </c>
      <c r="P28" s="220" t="str">
        <f>IF($B28="","",IF(P$3="","",IF(P$3="Snag",(SUMIFS(Tree!$AY:$AY,Tree!$A:$A,#REF!,Tree!$F:$F,"D",Tree!$K:$K,"&lt;&gt;"&amp;"Y")/$C28)/1000,(SUMIFS(Tree!$AY:$AY,Tree!$A:$A,#REF!,Tree!$D:$D,#REF!,Tree!$F:$F,"L",Tree!$K:$K,"&lt;&gt;"&amp;"Y")/$C28)/1000)))</f>
        <v/>
      </c>
      <c r="Q28" s="157" t="str">
        <f>IF(B28="","",VLOOKUP(B28,#REF!,22,0))</f>
        <v/>
      </c>
      <c r="R28" s="193" t="str">
        <f>IF(B28="","",VLOOKUP($B28,#REF!,23,0))</f>
        <v/>
      </c>
      <c r="S28" s="86"/>
      <c r="T28" s="157" t="str">
        <f t="shared" si="5"/>
        <v/>
      </c>
      <c r="U28" s="122" t="str">
        <f t="shared" si="5"/>
        <v/>
      </c>
      <c r="V28" s="122" t="str">
        <f t="shared" si="5"/>
        <v/>
      </c>
      <c r="W28" s="122" t="str">
        <f t="shared" si="5"/>
        <v/>
      </c>
      <c r="X28" s="122" t="str">
        <f t="shared" si="5"/>
        <v/>
      </c>
      <c r="Y28" s="122" t="str">
        <f t="shared" si="5"/>
        <v/>
      </c>
      <c r="Z28" s="122" t="str">
        <f t="shared" si="5"/>
        <v/>
      </c>
      <c r="AA28" s="122" t="str">
        <f t="shared" si="5"/>
        <v/>
      </c>
      <c r="AB28" s="122" t="str">
        <f t="shared" si="5"/>
        <v/>
      </c>
      <c r="AC28" s="193" t="str">
        <f t="shared" si="5"/>
        <v/>
      </c>
      <c r="AD28" s="212" t="str">
        <f t="shared" si="5"/>
        <v/>
      </c>
      <c r="AE28" s="213" t="str">
        <f t="shared" si="5"/>
        <v/>
      </c>
      <c r="AF28" s="193" t="str">
        <f t="shared" si="4"/>
        <v/>
      </c>
    </row>
    <row r="29" spans="2:32" x14ac:dyDescent="0.25">
      <c r="B29" s="201" t="str">
        <f>IF(Stand!C28="","",Stand!C28)</f>
        <v/>
      </c>
      <c r="C29" s="121" t="str" cm="1">
        <f t="array" ref="C29">IF(SUM(IF(B29=Stand_Biomass!$B$4:$B$30,Stand_Biomass!$C$4:$C$30))&gt;0,SUM(IF(B29=Stand_Biomass!$B$4:$B$30,Stand_Biomass!$C$4:$C$30)),"")</f>
        <v/>
      </c>
      <c r="D29" s="154" t="str">
        <f>IF(B29="","",VLOOKUP($B29,Stand!$C:$G,5,0))</f>
        <v/>
      </c>
      <c r="E29" s="28"/>
      <c r="F29" s="157" t="str">
        <f>IF($B29="","",IF(F$3="","",IF(F$3="Snag",(SUMIFS(Tree!$AY:$AY,Tree!$A:$A,#REF!,Tree!$F:$F,"D",Tree!$K:$K,"&lt;&gt;"&amp;"Y")/$C29)/1000,(SUMIFS(Tree!$AY:$AY,Tree!$A:$A,#REF!,Tree!$D:$D,#REF!,Tree!$F:$F,"L",Tree!$K:$K,"&lt;&gt;"&amp;"Y")/$C29)/1000)))</f>
        <v/>
      </c>
      <c r="G29" s="122" t="str">
        <f>IF($B29="","",IF(G$3="","",IF(G$3="Snag",(SUMIFS(Tree!$AY:$AY,Tree!$A:$A,#REF!,Tree!$F:$F,"D",Tree!$K:$K,"&lt;&gt;"&amp;"Y")/$C29)/1000,(SUMIFS(Tree!$AY:$AY,Tree!$A:$A,#REF!,Tree!$D:$D,#REF!,Tree!$F:$F,"L",Tree!$K:$K,"&lt;&gt;"&amp;"Y")/$C29)/1000)))</f>
        <v/>
      </c>
      <c r="H29" s="122" t="str">
        <f>IF($B29="","",IF(H$3="","",IF(H$3="Snag",(SUMIFS(Tree!$AY:$AY,Tree!$A:$A,#REF!,Tree!$F:$F,"D",Tree!$K:$K,"&lt;&gt;"&amp;"Y")/$C29)/1000,(SUMIFS(Tree!$AY:$AY,Tree!$A:$A,#REF!,Tree!$D:$D,#REF!,Tree!$F:$F,"L",Tree!$K:$K,"&lt;&gt;"&amp;"Y")/$C29)/1000)))</f>
        <v/>
      </c>
      <c r="I29" s="122" t="str">
        <f>IF($B29="","",IF(I$3="","",IF(I$3="Snag",(SUMIFS(Tree!$AY:$AY,Tree!$A:$A,#REF!,Tree!$F:$F,"D",Tree!$K:$K,"&lt;&gt;"&amp;"Y")/$C29)/1000,(SUMIFS(Tree!$AY:$AY,Tree!$A:$A,#REF!,Tree!$D:$D,#REF!,Tree!$F:$F,"L",Tree!$K:$K,"&lt;&gt;"&amp;"Y")/$C29)/1000)))</f>
        <v/>
      </c>
      <c r="J29" s="122" t="str">
        <f>IF($B29="","",IF(J$3="","",IF(J$3="Snag",(SUMIFS(Tree!$AY:$AY,Tree!$A:$A,#REF!,Tree!$F:$F,"D",Tree!$K:$K,"&lt;&gt;"&amp;"Y")/$C29)/1000,(SUMIFS(Tree!$AY:$AY,Tree!$A:$A,#REF!,Tree!$D:$D,#REF!,Tree!$F:$F,"L",Tree!$K:$K,"&lt;&gt;"&amp;"Y")/$C29)/1000)))</f>
        <v/>
      </c>
      <c r="K29" s="122" t="str">
        <f>IF($B29="","",IF(K$3="","",IF(K$3="Snag",(SUMIFS(Tree!$AY:$AY,Tree!$A:$A,#REF!,Tree!$F:$F,"D",Tree!$K:$K,"&lt;&gt;"&amp;"Y")/$C29)/1000,(SUMIFS(Tree!$AY:$AY,Tree!$A:$A,#REF!,Tree!$D:$D,#REF!,Tree!$F:$F,"L",Tree!$K:$K,"&lt;&gt;"&amp;"Y")/$C29)/1000)))</f>
        <v/>
      </c>
      <c r="L29" s="122" t="str">
        <f>IF($B29="","",IF(L$3="","",IF(L$3="Snag",(SUMIFS(Tree!$AY:$AY,Tree!$A:$A,#REF!,Tree!$F:$F,"D",Tree!$K:$K,"&lt;&gt;"&amp;"Y")/$C29)/1000,(SUMIFS(Tree!$AY:$AY,Tree!$A:$A,#REF!,Tree!$D:$D,#REF!,Tree!$F:$F,"L",Tree!$K:$K,"&lt;&gt;"&amp;"Y")/$C29)/1000)))</f>
        <v/>
      </c>
      <c r="M29" s="122" t="str">
        <f>IF($B29="","",IF(M$3="","",IF(M$3="Snag",(SUMIFS(Tree!$AY:$AY,Tree!$A:$A,#REF!,Tree!$F:$F,"D",Tree!$K:$K,"&lt;&gt;"&amp;"Y")/$C29)/1000,(SUMIFS(Tree!$AY:$AY,Tree!$A:$A,#REF!,Tree!$D:$D,#REF!,Tree!$F:$F,"L",Tree!$K:$K,"&lt;&gt;"&amp;"Y")/$C29)/1000)))</f>
        <v/>
      </c>
      <c r="N29" s="122" t="str">
        <f>IF($B29="","",IF(N$3="","",IF(N$3="Snag",(SUMIFS(Tree!$AY:$AY,Tree!$A:$A,#REF!,Tree!$F:$F,"D",Tree!$K:$K,"&lt;&gt;"&amp;"Y")/$C29)/1000,(SUMIFS(Tree!$AY:$AY,Tree!$A:$A,#REF!,Tree!$D:$D,#REF!,Tree!$F:$F,"L",Tree!$K:$K,"&lt;&gt;"&amp;"Y")/$C29)/1000)))</f>
        <v/>
      </c>
      <c r="O29" s="179" t="str">
        <f t="shared" si="3"/>
        <v/>
      </c>
      <c r="P29" s="220" t="str">
        <f>IF($B29="","",IF(P$3="","",IF(P$3="Snag",(SUMIFS(Tree!$AY:$AY,Tree!$A:$A,#REF!,Tree!$F:$F,"D",Tree!$K:$K,"&lt;&gt;"&amp;"Y")/$C29)/1000,(SUMIFS(Tree!$AY:$AY,Tree!$A:$A,#REF!,Tree!$D:$D,#REF!,Tree!$F:$F,"L",Tree!$K:$K,"&lt;&gt;"&amp;"Y")/$C29)/1000)))</f>
        <v/>
      </c>
      <c r="Q29" s="157" t="str">
        <f>IF(B29="","",VLOOKUP(B29,#REF!,22,0))</f>
        <v/>
      </c>
      <c r="R29" s="193" t="str">
        <f>IF(B29="","",VLOOKUP($B29,#REF!,23,0))</f>
        <v/>
      </c>
      <c r="S29" s="86"/>
      <c r="T29" s="157" t="str">
        <f t="shared" si="5"/>
        <v/>
      </c>
      <c r="U29" s="122" t="str">
        <f t="shared" si="5"/>
        <v/>
      </c>
      <c r="V29" s="122" t="str">
        <f t="shared" si="5"/>
        <v/>
      </c>
      <c r="W29" s="122" t="str">
        <f t="shared" si="5"/>
        <v/>
      </c>
      <c r="X29" s="122" t="str">
        <f t="shared" si="5"/>
        <v/>
      </c>
      <c r="Y29" s="122" t="str">
        <f t="shared" si="5"/>
        <v/>
      </c>
      <c r="Z29" s="122" t="str">
        <f t="shared" si="5"/>
        <v/>
      </c>
      <c r="AA29" s="122" t="str">
        <f t="shared" si="5"/>
        <v/>
      </c>
      <c r="AB29" s="122" t="str">
        <f t="shared" si="5"/>
        <v/>
      </c>
      <c r="AC29" s="193" t="str">
        <f t="shared" si="5"/>
        <v/>
      </c>
      <c r="AD29" s="212" t="str">
        <f t="shared" si="5"/>
        <v/>
      </c>
      <c r="AE29" s="213" t="str">
        <f t="shared" si="5"/>
        <v/>
      </c>
      <c r="AF29" s="193" t="str">
        <f t="shared" si="4"/>
        <v/>
      </c>
    </row>
    <row r="30" spans="2:32" ht="13.8" thickBot="1" x14ac:dyDescent="0.3">
      <c r="B30" s="202" t="str">
        <f>IF(Stand!C29="","",Stand!C29)</f>
        <v/>
      </c>
      <c r="C30" s="164" t="str" cm="1">
        <f t="array" ref="C30">IF(SUM(IF(B30=Stand_Biomass!$B$4:$B$30,Stand_Biomass!$C$4:$C$30))&gt;0,SUM(IF(B30=Stand_Biomass!$B$4:$B$30,Stand_Biomass!$C$4:$C$30)),"")</f>
        <v/>
      </c>
      <c r="D30" s="165" t="str">
        <f>IF(B30="","",VLOOKUP($B30,Stand!$C:$G,5,0))</f>
        <v/>
      </c>
      <c r="E30" s="28"/>
      <c r="F30" s="166" t="str">
        <f>IF($B30="","",IF(F$3="","",IF(F$3="Snag",(SUMIFS(Tree!$AY:$AY,Tree!$A:$A,#REF!,Tree!$F:$F,"D",Tree!$K:$K,"&lt;&gt;"&amp;"Y")/$C30)/1000,(SUMIFS(Tree!$AY:$AY,Tree!$A:$A,#REF!,Tree!$D:$D,#REF!,Tree!$F:$F,"L",Tree!$K:$K,"&lt;&gt;"&amp;"Y")/$C30)/1000)))</f>
        <v/>
      </c>
      <c r="G30" s="163" t="str">
        <f>IF($B30="","",IF(G$3="","",IF(G$3="Snag",(SUMIFS(Tree!$AY:$AY,Tree!$A:$A,#REF!,Tree!$F:$F,"D",Tree!$K:$K,"&lt;&gt;"&amp;"Y")/$C30)/1000,(SUMIFS(Tree!$AY:$AY,Tree!$A:$A,#REF!,Tree!$D:$D,#REF!,Tree!$F:$F,"L",Tree!$K:$K,"&lt;&gt;"&amp;"Y")/$C30)/1000)))</f>
        <v/>
      </c>
      <c r="H30" s="163" t="str">
        <f>IF($B30="","",IF(H$3="","",IF(H$3="Snag",(SUMIFS(Tree!$AY:$AY,Tree!$A:$A,#REF!,Tree!$F:$F,"D",Tree!$K:$K,"&lt;&gt;"&amp;"Y")/$C30)/1000,(SUMIFS(Tree!$AY:$AY,Tree!$A:$A,#REF!,Tree!$D:$D,#REF!,Tree!$F:$F,"L",Tree!$K:$K,"&lt;&gt;"&amp;"Y")/$C30)/1000)))</f>
        <v/>
      </c>
      <c r="I30" s="163" t="str">
        <f>IF($B30="","",IF(I$3="","",IF(I$3="Snag",(SUMIFS(Tree!$AY:$AY,Tree!$A:$A,#REF!,Tree!$F:$F,"D",Tree!$K:$K,"&lt;&gt;"&amp;"Y")/$C30)/1000,(SUMIFS(Tree!$AY:$AY,Tree!$A:$A,#REF!,Tree!$D:$D,#REF!,Tree!$F:$F,"L",Tree!$K:$K,"&lt;&gt;"&amp;"Y")/$C30)/1000)))</f>
        <v/>
      </c>
      <c r="J30" s="163" t="str">
        <f>IF($B30="","",IF(J$3="","",IF(J$3="Snag",(SUMIFS(Tree!$AY:$AY,Tree!$A:$A,#REF!,Tree!$F:$F,"D",Tree!$K:$K,"&lt;&gt;"&amp;"Y")/$C30)/1000,(SUMIFS(Tree!$AY:$AY,Tree!$A:$A,#REF!,Tree!$D:$D,#REF!,Tree!$F:$F,"L",Tree!$K:$K,"&lt;&gt;"&amp;"Y")/$C30)/1000)))</f>
        <v/>
      </c>
      <c r="K30" s="163" t="str">
        <f>IF($B30="","",IF(K$3="","",IF(K$3="Snag",(SUMIFS(Tree!$AY:$AY,Tree!$A:$A,#REF!,Tree!$F:$F,"D",Tree!$K:$K,"&lt;&gt;"&amp;"Y")/$C30)/1000,(SUMIFS(Tree!$AY:$AY,Tree!$A:$A,#REF!,Tree!$D:$D,#REF!,Tree!$F:$F,"L",Tree!$K:$K,"&lt;&gt;"&amp;"Y")/$C30)/1000)))</f>
        <v/>
      </c>
      <c r="L30" s="163" t="str">
        <f>IF($B30="","",IF(L$3="","",IF(L$3="Snag",(SUMIFS(Tree!$AY:$AY,Tree!$A:$A,#REF!,Tree!$F:$F,"D",Tree!$K:$K,"&lt;&gt;"&amp;"Y")/$C30)/1000,(SUMIFS(Tree!$AY:$AY,Tree!$A:$A,#REF!,Tree!$D:$D,#REF!,Tree!$F:$F,"L",Tree!$K:$K,"&lt;&gt;"&amp;"Y")/$C30)/1000)))</f>
        <v/>
      </c>
      <c r="M30" s="163" t="str">
        <f>IF($B30="","",IF(M$3="","",IF(M$3="Snag",(SUMIFS(Tree!$AY:$AY,Tree!$A:$A,#REF!,Tree!$F:$F,"D",Tree!$K:$K,"&lt;&gt;"&amp;"Y")/$C30)/1000,(SUMIFS(Tree!$AY:$AY,Tree!$A:$A,#REF!,Tree!$D:$D,#REF!,Tree!$F:$F,"L",Tree!$K:$K,"&lt;&gt;"&amp;"Y")/$C30)/1000)))</f>
        <v/>
      </c>
      <c r="N30" s="163" t="str">
        <f>IF($B30="","",IF(N$3="","",IF(N$3="Snag",(SUMIFS(Tree!$AY:$AY,Tree!$A:$A,#REF!,Tree!$F:$F,"D",Tree!$K:$K,"&lt;&gt;"&amp;"Y")/$C30)/1000,(SUMIFS(Tree!$AY:$AY,Tree!$A:$A,#REF!,Tree!$D:$D,#REF!,Tree!$F:$F,"L",Tree!$K:$K,"&lt;&gt;"&amp;"Y")/$C30)/1000)))</f>
        <v/>
      </c>
      <c r="O30" s="214" t="str">
        <f t="shared" si="3"/>
        <v/>
      </c>
      <c r="P30" s="221" t="str">
        <f>IF($B30="","",IF(P$3="","",IF(P$3="Snag",(SUMIFS(Tree!$AY:$AY,Tree!$A:$A,#REF!,Tree!$F:$F,"D",Tree!$K:$K,"&lt;&gt;"&amp;"Y")/$C30)/1000,(SUMIFS(Tree!$AY:$AY,Tree!$A:$A,#REF!,Tree!$D:$D,#REF!,Tree!$F:$F,"L",Tree!$K:$K,"&lt;&gt;"&amp;"Y")/$C30)/1000)))</f>
        <v/>
      </c>
      <c r="Q30" s="166" t="str">
        <f>IF(B30="","",VLOOKUP(B30,#REF!,22,0))</f>
        <v/>
      </c>
      <c r="R30" s="195" t="str">
        <f>IF(B30="","",VLOOKUP($B30,#REF!,23,0))</f>
        <v/>
      </c>
      <c r="S30" s="86"/>
      <c r="T30" s="166" t="str">
        <f t="shared" si="5"/>
        <v/>
      </c>
      <c r="U30" s="163" t="str">
        <f t="shared" si="5"/>
        <v/>
      </c>
      <c r="V30" s="163" t="str">
        <f t="shared" si="5"/>
        <v/>
      </c>
      <c r="W30" s="163" t="str">
        <f t="shared" si="5"/>
        <v/>
      </c>
      <c r="X30" s="163" t="str">
        <f t="shared" si="5"/>
        <v/>
      </c>
      <c r="Y30" s="163" t="str">
        <f t="shared" si="5"/>
        <v/>
      </c>
      <c r="Z30" s="163" t="str">
        <f t="shared" si="5"/>
        <v/>
      </c>
      <c r="AA30" s="163" t="str">
        <f t="shared" si="5"/>
        <v/>
      </c>
      <c r="AB30" s="163" t="str">
        <f t="shared" si="5"/>
        <v/>
      </c>
      <c r="AC30" s="195" t="str">
        <f t="shared" si="5"/>
        <v/>
      </c>
      <c r="AD30" s="215" t="str">
        <f t="shared" si="5"/>
        <v/>
      </c>
      <c r="AE30" s="216" t="str">
        <f t="shared" si="5"/>
        <v/>
      </c>
      <c r="AF30" s="195" t="str">
        <f t="shared" si="4"/>
        <v/>
      </c>
    </row>
    <row r="31" spans="2:32" ht="13.8" thickBot="1" x14ac:dyDescent="0.3">
      <c r="B31" s="28"/>
      <c r="C31" s="28"/>
      <c r="D31" s="28"/>
      <c r="E31" s="2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2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ht="13.8" thickBot="1" x14ac:dyDescent="0.3">
      <c r="B32" s="231" t="s">
        <v>96</v>
      </c>
      <c r="C32" s="232">
        <f>SUM(C4:C30)</f>
        <v>0</v>
      </c>
      <c r="D32" s="233">
        <f>SUM(D4:D30)</f>
        <v>0</v>
      </c>
      <c r="E32" s="2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2"/>
      <c r="T32" s="227">
        <f t="shared" ref="T32:Y32" si="6">SUM(T4:T30)</f>
        <v>0</v>
      </c>
      <c r="U32" s="228">
        <f t="shared" si="6"/>
        <v>0</v>
      </c>
      <c r="V32" s="228">
        <f t="shared" si="6"/>
        <v>0</v>
      </c>
      <c r="W32" s="228">
        <f t="shared" si="6"/>
        <v>0</v>
      </c>
      <c r="X32" s="228">
        <f t="shared" si="6"/>
        <v>0</v>
      </c>
      <c r="Y32" s="228">
        <f t="shared" si="6"/>
        <v>0</v>
      </c>
      <c r="Z32" s="228"/>
      <c r="AA32" s="228"/>
      <c r="AB32" s="228"/>
      <c r="AC32" s="229">
        <f>SUM(AC4:AC30)</f>
        <v>0</v>
      </c>
      <c r="AD32" s="230">
        <f>SUM(AD4:AD30)</f>
        <v>0</v>
      </c>
      <c r="AE32" s="230">
        <f>SUM(AE4:AE30)</f>
        <v>0</v>
      </c>
      <c r="AF32" s="26"/>
    </row>
    <row r="33" spans="2:32" x14ac:dyDescent="0.25">
      <c r="B33" s="28"/>
      <c r="C33" s="28"/>
      <c r="D33" s="28"/>
      <c r="E33" s="2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2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2:32" x14ac:dyDescent="0.25">
      <c r="B34" s="28"/>
      <c r="C34" s="28"/>
      <c r="D34" s="28"/>
      <c r="E34" s="2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2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2:32" x14ac:dyDescent="0.25">
      <c r="B35" s="28"/>
      <c r="C35" s="28"/>
      <c r="D35" s="28"/>
      <c r="E35" s="2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2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2:32" s="276" customFormat="1" x14ac:dyDescent="0.25">
      <c r="B36" s="272"/>
      <c r="C36" s="272"/>
      <c r="D36" s="272"/>
      <c r="E36" s="272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4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</row>
    <row r="37" spans="2:32" ht="16.2" thickBot="1" x14ac:dyDescent="0.3">
      <c r="B37" s="617" t="s">
        <v>220</v>
      </c>
      <c r="C37" s="617"/>
      <c r="D37" s="61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2:32" ht="18" thickBot="1" x14ac:dyDescent="0.35">
      <c r="B38" s="617"/>
      <c r="C38" s="617"/>
      <c r="D38" s="617"/>
      <c r="E38" s="28"/>
      <c r="F38" s="610" t="s">
        <v>174</v>
      </c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9"/>
      <c r="S38" s="22"/>
      <c r="T38" s="620" t="s">
        <v>175</v>
      </c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2"/>
    </row>
    <row r="39" spans="2:32" ht="26.4" x14ac:dyDescent="0.25">
      <c r="B39" s="425" t="s">
        <v>82</v>
      </c>
      <c r="C39" s="150" t="s">
        <v>92</v>
      </c>
      <c r="D39" s="151" t="s">
        <v>5</v>
      </c>
      <c r="E39" s="14"/>
      <c r="F39" s="432" t="str">
        <f t="shared" ref="F39:N39" si="7">IF(F3="","",F3)</f>
        <v>DF</v>
      </c>
      <c r="G39" s="433" t="str">
        <f t="shared" si="7"/>
        <v>BM</v>
      </c>
      <c r="H39" s="433" t="str">
        <f t="shared" si="7"/>
        <v>WH</v>
      </c>
      <c r="I39" s="433" t="str">
        <f t="shared" si="7"/>
        <v>RA</v>
      </c>
      <c r="J39" s="433" t="str">
        <f t="shared" si="7"/>
        <v>SS</v>
      </c>
      <c r="K39" s="433" t="str">
        <f t="shared" si="7"/>
        <v>RC</v>
      </c>
      <c r="L39" s="433" t="str">
        <f t="shared" si="7"/>
        <v>LP</v>
      </c>
      <c r="M39" s="433" t="str">
        <f t="shared" si="7"/>
        <v>GF</v>
      </c>
      <c r="N39" s="433" t="str">
        <f t="shared" si="7"/>
        <v>MD</v>
      </c>
      <c r="O39" s="434" t="s">
        <v>168</v>
      </c>
      <c r="P39" s="435" t="s">
        <v>79</v>
      </c>
      <c r="Q39" s="444" t="s">
        <v>169</v>
      </c>
      <c r="R39" s="447" t="s">
        <v>172</v>
      </c>
      <c r="S39" s="85"/>
      <c r="T39" s="249" t="str">
        <f t="shared" ref="T39:AB39" si="8">IF(F39="","",F39)</f>
        <v>DF</v>
      </c>
      <c r="U39" s="250" t="str">
        <f t="shared" si="8"/>
        <v>BM</v>
      </c>
      <c r="V39" s="250" t="str">
        <f t="shared" si="8"/>
        <v>WH</v>
      </c>
      <c r="W39" s="250" t="str">
        <f t="shared" si="8"/>
        <v>RA</v>
      </c>
      <c r="X39" s="250" t="str">
        <f t="shared" si="8"/>
        <v>SS</v>
      </c>
      <c r="Y39" s="250" t="str">
        <f t="shared" si="8"/>
        <v>RC</v>
      </c>
      <c r="Z39" s="250" t="str">
        <f t="shared" si="8"/>
        <v>LP</v>
      </c>
      <c r="AA39" s="250" t="str">
        <f t="shared" si="8"/>
        <v>GF</v>
      </c>
      <c r="AB39" s="250" t="str">
        <f t="shared" si="8"/>
        <v>MD</v>
      </c>
      <c r="AC39" s="251" t="s">
        <v>168</v>
      </c>
      <c r="AD39" s="252" t="s">
        <v>79</v>
      </c>
      <c r="AE39" s="253" t="s">
        <v>169</v>
      </c>
      <c r="AF39" s="248" t="s">
        <v>172</v>
      </c>
    </row>
    <row r="40" spans="2:32" x14ac:dyDescent="0.25">
      <c r="B40" s="201" t="str">
        <f>IF(Stand!C3="","",Stand!C3)</f>
        <v/>
      </c>
      <c r="C40" s="208" t="str" cm="1">
        <f t="array" ref="C40">IF(SUM(IF(B40=Stand_Biomass!$B$4:$B$30,Stand_Biomass!$C$4:$C$30))&gt;0,SUM(IF(B40=Stand_Biomass!$B$4:$B$30,Stand_Biomass!$C$4:$C$30)),"")</f>
        <v/>
      </c>
      <c r="D40" s="209" t="str">
        <f>IF(B40="","",VLOOKUP($B40,Stand!$C:$G,5,0))</f>
        <v/>
      </c>
      <c r="E40" s="28"/>
      <c r="F40" s="217" t="str">
        <f>IF($B40="","",IF(F$39="","",IF(F$39="Snag",(SUMIFS(Tree!$AE:$AE,Tree!$A:$A,$B40,Tree!$F:$F,"D",Tree!$K:$K,"&lt;&gt;"&amp;"Y")/$C40),(SUMIFS(Tree!$AE:$AE,Tree!$A:$A,$B40,Tree!$D:$D,F$39,Tree!$F:$F,"L",Tree!$K:$K,"&lt;&gt;"&amp;"Y")/$C40))))</f>
        <v/>
      </c>
      <c r="G40" s="218" t="str">
        <f>IF($B40="","",IF(G$39="","",IF(G$39="Snag",(SUMIFS(Tree!$AE:$AE,Tree!$A:$A,$B40,Tree!$F:$F,"D",Tree!$K:$K,"&lt;&gt;"&amp;"Y")/$C40),(SUMIFS(Tree!$AE:$AE,Tree!$A:$A,$B40,Tree!$D:$D,G$39,Tree!$F:$F,"L",Tree!$K:$K,"&lt;&gt;"&amp;"Y")/$C40))))</f>
        <v/>
      </c>
      <c r="H40" s="218" t="str">
        <f>IF($B40="","",IF(H$39="","",IF(H$39="Snag",(SUMIFS(Tree!$AE:$AE,Tree!$A:$A,$B40,Tree!$F:$F,"D",Tree!$K:$K,"&lt;&gt;"&amp;"Y")/$C40),(SUMIFS(Tree!$AE:$AE,Tree!$A:$A,$B40,Tree!$D:$D,H$39,Tree!$F:$F,"L",Tree!$K:$K,"&lt;&gt;"&amp;"Y")/$C40))))</f>
        <v/>
      </c>
      <c r="I40" s="218" t="str">
        <f>IF($B40="","",IF(I$39="","",IF(I$39="Snag",(SUMIFS(Tree!$AE:$AE,Tree!$A:$A,$B40,Tree!$F:$F,"D",Tree!$K:$K,"&lt;&gt;"&amp;"Y")/$C40),(SUMIFS(Tree!$AE:$AE,Tree!$A:$A,$B40,Tree!$D:$D,I$39,Tree!$F:$F,"L",Tree!$K:$K,"&lt;&gt;"&amp;"Y")/$C40))))</f>
        <v/>
      </c>
      <c r="J40" s="218" t="str">
        <f>IF($B40="","",IF(J$39="","",IF(J$39="Snag",(SUMIFS(Tree!$AE:$AE,Tree!$A:$A,$B40,Tree!$F:$F,"D",Tree!$K:$K,"&lt;&gt;"&amp;"Y")/$C40),(SUMIFS(Tree!$AE:$AE,Tree!$A:$A,$B40,Tree!$D:$D,J$39,Tree!$F:$F,"L",Tree!$K:$K,"&lt;&gt;"&amp;"Y")/$C40))))</f>
        <v/>
      </c>
      <c r="K40" s="218" t="str">
        <f>IF($B40="","",IF(K$39="","",IF(K$39="Snag",(SUMIFS(Tree!$AE:$AE,Tree!$A:$A,$B40,Tree!$F:$F,"D",Tree!$K:$K,"&lt;&gt;"&amp;"Y")/$C40),(SUMIFS(Tree!$AE:$AE,Tree!$A:$A,$B40,Tree!$D:$D,K$39,Tree!$F:$F,"L",Tree!$K:$K,"&lt;&gt;"&amp;"Y")/$C40))))</f>
        <v/>
      </c>
      <c r="L40" s="218" t="str">
        <f>IF($B40="","",IF(L$39="","",IF(L$39="Snag",(SUMIFS(Tree!$AE:$AE,Tree!$A:$A,$B40,Tree!$F:$F,"D",Tree!$K:$K,"&lt;&gt;"&amp;"Y")/$C40),(SUMIFS(Tree!$AE:$AE,Tree!$A:$A,$B40,Tree!$D:$D,L$39,Tree!$F:$F,"L",Tree!$K:$K,"&lt;&gt;"&amp;"Y")/$C40))))</f>
        <v/>
      </c>
      <c r="M40" s="218" t="str">
        <f>IF($B40="","",IF(M$39="","",IF(M$39="Snag",(SUMIFS(Tree!$AE:$AE,Tree!$A:$A,$B40,Tree!$F:$F,"D",Tree!$K:$K,"&lt;&gt;"&amp;"Y")/$C40),(SUMIFS(Tree!$AE:$AE,Tree!$A:$A,$B40,Tree!$D:$D,M$39,Tree!$F:$F,"L",Tree!$K:$K,"&lt;&gt;"&amp;"Y")/$C40))))</f>
        <v/>
      </c>
      <c r="N40" s="218" t="str">
        <f>IF($B40="","",IF(N$39="","",IF(N$39="Snag",(SUMIFS(Tree!$AE:$AE,Tree!$A:$A,$B40,Tree!$F:$F,"D",Tree!$K:$K,"&lt;&gt;"&amp;"Y")/$C40),(SUMIFS(Tree!$AE:$AE,Tree!$A:$A,$B40,Tree!$D:$D,N$39,Tree!$F:$F,"L",Tree!$K:$K,"&lt;&gt;"&amp;"Y")/$C40))))</f>
        <v/>
      </c>
      <c r="O40" s="247" t="str">
        <f t="shared" ref="O40:O66" si="9">IF(B40="","",Q40-SUM(F40:N40))</f>
        <v/>
      </c>
      <c r="P40" s="294" t="str">
        <f>IF($B40="","",IF(P$39="","",IF(P$39="Snag",(SUMIFS(Tree!$AQ:$AQ,Tree!$A:$A,$B40,Tree!$F:$F,"D",Tree!$K:$K,"&lt;&gt;"&amp;"Y")/$C40),(SUMIFS(Tree!$AQ:$AQ,Tree!$A:$A,$B40,Tree!$D:$D,P$39,Tree!$F:$F,"L",Tree!$K:$K,"&lt;&gt;"&amp;"Y")/$C40))))</f>
        <v/>
      </c>
      <c r="Q40" s="445" t="str">
        <f>IF(B40="","",VLOOKUP(B40,Stand_Biomass!$B$37:$Q$63,12,0))</f>
        <v/>
      </c>
      <c r="R40" s="448" t="str">
        <f>IF(B40="","",VLOOKUP($B40,Stand_Biomass!$B$37:$X$63,21,0))</f>
        <v/>
      </c>
      <c r="S40" s="86"/>
      <c r="T40" s="217" t="str">
        <f>IF($C40="","",IF(T$39="","",($D40*F40)))</f>
        <v/>
      </c>
      <c r="U40" s="218" t="str">
        <f t="shared" ref="T40:AE61" si="10">IF($C40="","",IF(U$39="","",($D40*G40)))</f>
        <v/>
      </c>
      <c r="V40" s="218" t="str">
        <f t="shared" si="10"/>
        <v/>
      </c>
      <c r="W40" s="218" t="str">
        <f t="shared" si="10"/>
        <v/>
      </c>
      <c r="X40" s="218" t="str">
        <f t="shared" si="10"/>
        <v/>
      </c>
      <c r="Y40" s="218" t="str">
        <f t="shared" si="10"/>
        <v/>
      </c>
      <c r="Z40" s="218" t="str">
        <f t="shared" si="10"/>
        <v/>
      </c>
      <c r="AA40" s="218" t="str">
        <f t="shared" si="10"/>
        <v/>
      </c>
      <c r="AB40" s="218" t="str">
        <f t="shared" si="10"/>
        <v/>
      </c>
      <c r="AC40" s="247" t="str">
        <f t="shared" si="10"/>
        <v/>
      </c>
      <c r="AD40" s="219" t="str">
        <f t="shared" si="10"/>
        <v/>
      </c>
      <c r="AE40" s="213" t="str">
        <f t="shared" si="10"/>
        <v/>
      </c>
      <c r="AF40" s="193" t="str">
        <f t="shared" ref="AF40:AF66" si="11">IF($C40="","",IF(Q40=0,"",IF(Q40&gt;R40,ROUND((R40+Q40)*D40,0)&amp;" - "&amp;ROUND($D40*(Q40-R40),0),ROUND((R40+Q40)*D40,0)&amp;" - "&amp;0)))</f>
        <v/>
      </c>
    </row>
    <row r="41" spans="2:32" x14ac:dyDescent="0.25">
      <c r="B41" s="201" t="str">
        <f>IF(Stand!C4="","",Stand!C4)</f>
        <v/>
      </c>
      <c r="C41" s="208" t="str" cm="1">
        <f t="array" ref="C41">IF(SUM(IF(B41=Stand_Biomass!$B$4:$B$30,Stand_Biomass!$C$4:$C$30))&gt;0,SUM(IF(B41=Stand_Biomass!$B$4:$B$30,Stand_Biomass!$C$4:$C$30)),"")</f>
        <v/>
      </c>
      <c r="D41" s="209" t="str">
        <f>IF(B41="","",VLOOKUP($B41,Stand!$C:$G,5,0))</f>
        <v/>
      </c>
      <c r="E41" s="28"/>
      <c r="F41" s="157" t="str">
        <f>IF($B41="","",IF(F$39="","",IF(F$39="Snag",(SUMIFS(Tree!$AE:$AE,Tree!$A:$A,$B41,Tree!$F:$F,"D",Tree!$K:$K,"&lt;&gt;"&amp;"Y")/$C41),(SUMIFS(Tree!$AE:$AE,Tree!$A:$A,$B41,Tree!$D:$D,F$39,Tree!$F:$F,"L",Tree!$K:$K,"&lt;&gt;"&amp;"Y")/$C41))))</f>
        <v/>
      </c>
      <c r="G41" s="122" t="str">
        <f>IF($B41="","",IF(G$39="","",IF(G$39="Snag",(SUMIFS(Tree!$AE:$AE,Tree!$A:$A,$B41,Tree!$F:$F,"D",Tree!$K:$K,"&lt;&gt;"&amp;"Y")/$C41),(SUMIFS(Tree!$AE:$AE,Tree!$A:$A,$B41,Tree!$D:$D,G$39,Tree!$F:$F,"L",Tree!$K:$K,"&lt;&gt;"&amp;"Y")/$C41))))</f>
        <v/>
      </c>
      <c r="H41" s="122" t="str">
        <f>IF($B41="","",IF(H$39="","",IF(H$39="Snag",(SUMIFS(Tree!$AE:$AE,Tree!$A:$A,$B41,Tree!$F:$F,"D",Tree!$K:$K,"&lt;&gt;"&amp;"Y")/$C41),(SUMIFS(Tree!$AE:$AE,Tree!$A:$A,$B41,Tree!$D:$D,H$39,Tree!$F:$F,"L",Tree!$K:$K,"&lt;&gt;"&amp;"Y")/$C41))))</f>
        <v/>
      </c>
      <c r="I41" s="122" t="str">
        <f>IF($B41="","",IF(I$39="","",IF(I$39="Snag",(SUMIFS(Tree!$AE:$AE,Tree!$A:$A,$B41,Tree!$F:$F,"D",Tree!$K:$K,"&lt;&gt;"&amp;"Y")/$C41),(SUMIFS(Tree!$AE:$AE,Tree!$A:$A,$B41,Tree!$D:$D,I$39,Tree!$F:$F,"L",Tree!$K:$K,"&lt;&gt;"&amp;"Y")/$C41))))</f>
        <v/>
      </c>
      <c r="J41" s="122" t="str">
        <f>IF($B41="","",IF(J$39="","",IF(J$39="Snag",(SUMIFS(Tree!$AE:$AE,Tree!$A:$A,$B41,Tree!$F:$F,"D",Tree!$K:$K,"&lt;&gt;"&amp;"Y")/$C41),(SUMIFS(Tree!$AE:$AE,Tree!$A:$A,$B41,Tree!$D:$D,J$39,Tree!$F:$F,"L",Tree!$K:$K,"&lt;&gt;"&amp;"Y")/$C41))))</f>
        <v/>
      </c>
      <c r="K41" s="122" t="str">
        <f>IF($B41="","",IF(K$39="","",IF(K$39="Snag",(SUMIFS(Tree!$AE:$AE,Tree!$A:$A,$B41,Tree!$F:$F,"D",Tree!$K:$K,"&lt;&gt;"&amp;"Y")/$C41),(SUMIFS(Tree!$AE:$AE,Tree!$A:$A,$B41,Tree!$D:$D,K$39,Tree!$F:$F,"L",Tree!$K:$K,"&lt;&gt;"&amp;"Y")/$C41))))</f>
        <v/>
      </c>
      <c r="L41" s="122" t="str">
        <f>IF($B41="","",IF(L$39="","",IF(L$39="Snag",(SUMIFS(Tree!$AE:$AE,Tree!$A:$A,$B41,Tree!$F:$F,"D",Tree!$K:$K,"&lt;&gt;"&amp;"Y")/$C41),(SUMIFS(Tree!$AE:$AE,Tree!$A:$A,$B41,Tree!$D:$D,L$39,Tree!$F:$F,"L",Tree!$K:$K,"&lt;&gt;"&amp;"Y")/$C41))))</f>
        <v/>
      </c>
      <c r="M41" s="122" t="str">
        <f>IF($B41="","",IF(M$39="","",IF(M$39="Snag",(SUMIFS(Tree!$AE:$AE,Tree!$A:$A,$B41,Tree!$F:$F,"D",Tree!$K:$K,"&lt;&gt;"&amp;"Y")/$C41),(SUMIFS(Tree!$AE:$AE,Tree!$A:$A,$B41,Tree!$D:$D,M$39,Tree!$F:$F,"L",Tree!$K:$K,"&lt;&gt;"&amp;"Y")/$C41))))</f>
        <v/>
      </c>
      <c r="N41" s="122" t="str">
        <f>IF($B41="","",IF(N$39="","",IF(N$39="Snag",(SUMIFS(Tree!$AE:$AE,Tree!$A:$A,$B41,Tree!$F:$F,"D",Tree!$K:$K,"&lt;&gt;"&amp;"Y")/$C41),(SUMIFS(Tree!$AE:$AE,Tree!$A:$A,$B41,Tree!$D:$D,N$39,Tree!$F:$F,"L",Tree!$K:$K,"&lt;&gt;"&amp;"Y")/$C41))))</f>
        <v/>
      </c>
      <c r="O41" s="193" t="str">
        <f t="shared" si="9"/>
        <v/>
      </c>
      <c r="P41" s="292" t="str">
        <f>IF($B41="","",IF(P$39="","",IF(P$39="Snag",(SUMIFS(Tree!$AQ:$AQ,Tree!$A:$A,$B41,Tree!$F:$F,"D",Tree!$K:$K,"&lt;&gt;"&amp;"Y")/$C41),(SUMIFS(Tree!$AQ:$AQ,Tree!$A:$A,$B41,Tree!$D:$D,P$39,Tree!$F:$F,"L",Tree!$K:$K,"&lt;&gt;"&amp;"Y")/$C41))))</f>
        <v/>
      </c>
      <c r="Q41" s="445" t="str">
        <f>IF(B41="","",VLOOKUP(B41,#REF!,12,0))</f>
        <v/>
      </c>
      <c r="R41" s="448" t="str">
        <f>IF(B41="","",VLOOKUP($B41,#REF!,20,0))</f>
        <v/>
      </c>
      <c r="S41" s="86"/>
      <c r="T41" s="157" t="str">
        <f t="shared" si="10"/>
        <v/>
      </c>
      <c r="U41" s="122" t="str">
        <f t="shared" si="10"/>
        <v/>
      </c>
      <c r="V41" s="122" t="str">
        <f t="shared" si="10"/>
        <v/>
      </c>
      <c r="W41" s="122" t="str">
        <f t="shared" si="10"/>
        <v/>
      </c>
      <c r="X41" s="122" t="str">
        <f t="shared" si="10"/>
        <v/>
      </c>
      <c r="Y41" s="122" t="str">
        <f t="shared" si="10"/>
        <v/>
      </c>
      <c r="Z41" s="122" t="str">
        <f t="shared" si="10"/>
        <v/>
      </c>
      <c r="AA41" s="122" t="str">
        <f t="shared" si="10"/>
        <v/>
      </c>
      <c r="AB41" s="122" t="str">
        <f t="shared" si="10"/>
        <v/>
      </c>
      <c r="AC41" s="193" t="str">
        <f t="shared" si="10"/>
        <v/>
      </c>
      <c r="AD41" s="212" t="str">
        <f t="shared" si="10"/>
        <v/>
      </c>
      <c r="AE41" s="213" t="str">
        <f t="shared" si="10"/>
        <v/>
      </c>
      <c r="AF41" s="193" t="str">
        <f t="shared" si="11"/>
        <v/>
      </c>
    </row>
    <row r="42" spans="2:32" x14ac:dyDescent="0.25">
      <c r="B42" s="201" t="str">
        <f>IF(Stand!C5="","",Stand!C5)</f>
        <v/>
      </c>
      <c r="C42" s="208" t="str" cm="1">
        <f t="array" ref="C42">IF(SUM(IF(B42=Stand_Biomass!$B$4:$B$30,Stand_Biomass!$C$4:$C$30))&gt;0,SUM(IF(B42=Stand_Biomass!$B$4:$B$30,Stand_Biomass!$C$4:$C$30)),"")</f>
        <v/>
      </c>
      <c r="D42" s="209" t="str">
        <f>IF(B42="","",VLOOKUP($B42,Stand!$C:$G,5,0))</f>
        <v/>
      </c>
      <c r="E42" s="28"/>
      <c r="F42" s="157" t="str">
        <f>IF($B42="","",IF(F$39="","",IF(F$39="Snag",(SUMIFS(Tree!$AE:$AE,Tree!$A:$A,$B42,Tree!$F:$F,"D",Tree!$K:$K,"&lt;&gt;"&amp;"Y")/$C42),(SUMIFS(Tree!$AE:$AE,Tree!$A:$A,$B42,Tree!$D:$D,F$39,Tree!$F:$F,"L",Tree!$K:$K,"&lt;&gt;"&amp;"Y")/$C42))))</f>
        <v/>
      </c>
      <c r="G42" s="122" t="str">
        <f>IF($B42="","",IF(G$39="","",IF(G$39="Snag",(SUMIFS(Tree!$AE:$AE,Tree!$A:$A,$B42,Tree!$F:$F,"D",Tree!$K:$K,"&lt;&gt;"&amp;"Y")/$C42),(SUMIFS(Tree!$AE:$AE,Tree!$A:$A,$B42,Tree!$D:$D,G$39,Tree!$F:$F,"L",Tree!$K:$K,"&lt;&gt;"&amp;"Y")/$C42))))</f>
        <v/>
      </c>
      <c r="H42" s="122" t="str">
        <f>IF($B42="","",IF(H$39="","",IF(H$39="Snag",(SUMIFS(Tree!$AE:$AE,Tree!$A:$A,$B42,Tree!$F:$F,"D",Tree!$K:$K,"&lt;&gt;"&amp;"Y")/$C42),(SUMIFS(Tree!$AE:$AE,Tree!$A:$A,$B42,Tree!$D:$D,H$39,Tree!$F:$F,"L",Tree!$K:$K,"&lt;&gt;"&amp;"Y")/$C42))))</f>
        <v/>
      </c>
      <c r="I42" s="122" t="str">
        <f>IF($B42="","",IF(I$39="","",IF(I$39="Snag",(SUMIFS(Tree!$AE:$AE,Tree!$A:$A,$B42,Tree!$F:$F,"D",Tree!$K:$K,"&lt;&gt;"&amp;"Y")/$C42),(SUMIFS(Tree!$AE:$AE,Tree!$A:$A,$B42,Tree!$D:$D,I$39,Tree!$F:$F,"L",Tree!$K:$K,"&lt;&gt;"&amp;"Y")/$C42))))</f>
        <v/>
      </c>
      <c r="J42" s="122" t="str">
        <f>IF($B42="","",IF(J$39="","",IF(J$39="Snag",(SUMIFS(Tree!$AE:$AE,Tree!$A:$A,$B42,Tree!$F:$F,"D",Tree!$K:$K,"&lt;&gt;"&amp;"Y")/$C42),(SUMIFS(Tree!$AE:$AE,Tree!$A:$A,$B42,Tree!$D:$D,J$39,Tree!$F:$F,"L",Tree!$K:$K,"&lt;&gt;"&amp;"Y")/$C42))))</f>
        <v/>
      </c>
      <c r="K42" s="122" t="str">
        <f>IF($B42="","",IF(K$39="","",IF(K$39="Snag",(SUMIFS(Tree!$AE:$AE,Tree!$A:$A,$B42,Tree!$F:$F,"D",Tree!$K:$K,"&lt;&gt;"&amp;"Y")/$C42),(SUMIFS(Tree!$AE:$AE,Tree!$A:$A,$B42,Tree!$D:$D,K$39,Tree!$F:$F,"L",Tree!$K:$K,"&lt;&gt;"&amp;"Y")/$C42))))</f>
        <v/>
      </c>
      <c r="L42" s="122" t="str">
        <f>IF($B42="","",IF(L$39="","",IF(L$39="Snag",(SUMIFS(Tree!$AE:$AE,Tree!$A:$A,$B42,Tree!$F:$F,"D",Tree!$K:$K,"&lt;&gt;"&amp;"Y")/$C42),(SUMIFS(Tree!$AE:$AE,Tree!$A:$A,$B42,Tree!$D:$D,L$39,Tree!$F:$F,"L",Tree!$K:$K,"&lt;&gt;"&amp;"Y")/$C42))))</f>
        <v/>
      </c>
      <c r="M42" s="122" t="str">
        <f>IF($B42="","",IF(M$39="","",IF(M$39="Snag",(SUMIFS(Tree!$AE:$AE,Tree!$A:$A,$B42,Tree!$F:$F,"D",Tree!$K:$K,"&lt;&gt;"&amp;"Y")/$C42),(SUMIFS(Tree!$AE:$AE,Tree!$A:$A,$B42,Tree!$D:$D,M$39,Tree!$F:$F,"L",Tree!$K:$K,"&lt;&gt;"&amp;"Y")/$C42))))</f>
        <v/>
      </c>
      <c r="N42" s="122" t="str">
        <f>IF($B42="","",IF(N$39="","",IF(N$39="Snag",(SUMIFS(Tree!$AE:$AE,Tree!$A:$A,$B42,Tree!$F:$F,"D",Tree!$K:$K,"&lt;&gt;"&amp;"Y")/$C42),(SUMIFS(Tree!$AE:$AE,Tree!$A:$A,$B42,Tree!$D:$D,N$39,Tree!$F:$F,"L",Tree!$K:$K,"&lt;&gt;"&amp;"Y")/$C42))))</f>
        <v/>
      </c>
      <c r="O42" s="193" t="str">
        <f t="shared" si="9"/>
        <v/>
      </c>
      <c r="P42" s="292" t="str">
        <f>IF($B42="","",IF(P$39="","",IF(P$39="Snag",(SUMIFS(Tree!$AQ:$AQ,Tree!$A:$A,$B42,Tree!$F:$F,"D",Tree!$K:$K,"&lt;&gt;"&amp;"Y")/$C42),(SUMIFS(Tree!$AQ:$AQ,Tree!$A:$A,$B42,Tree!$D:$D,P$39,Tree!$F:$F,"L",Tree!$K:$K,"&lt;&gt;"&amp;"Y")/$C42))))</f>
        <v/>
      </c>
      <c r="Q42" s="445" t="str">
        <f>IF(B42="","",VLOOKUP(B42,#REF!,12,0))</f>
        <v/>
      </c>
      <c r="R42" s="448" t="str">
        <f>IF(B42="","",VLOOKUP($B42,#REF!,20,0))</f>
        <v/>
      </c>
      <c r="S42" s="86"/>
      <c r="T42" s="157" t="str">
        <f t="shared" si="10"/>
        <v/>
      </c>
      <c r="U42" s="122" t="str">
        <f t="shared" si="10"/>
        <v/>
      </c>
      <c r="V42" s="122" t="str">
        <f t="shared" si="10"/>
        <v/>
      </c>
      <c r="W42" s="122" t="str">
        <f t="shared" si="10"/>
        <v/>
      </c>
      <c r="X42" s="122" t="str">
        <f t="shared" si="10"/>
        <v/>
      </c>
      <c r="Y42" s="122" t="str">
        <f t="shared" si="10"/>
        <v/>
      </c>
      <c r="Z42" s="122" t="str">
        <f t="shared" si="10"/>
        <v/>
      </c>
      <c r="AA42" s="122" t="str">
        <f t="shared" si="10"/>
        <v/>
      </c>
      <c r="AB42" s="122" t="str">
        <f t="shared" si="10"/>
        <v/>
      </c>
      <c r="AC42" s="193" t="str">
        <f t="shared" si="10"/>
        <v/>
      </c>
      <c r="AD42" s="212" t="str">
        <f t="shared" si="10"/>
        <v/>
      </c>
      <c r="AE42" s="213" t="str">
        <f t="shared" si="10"/>
        <v/>
      </c>
      <c r="AF42" s="193" t="str">
        <f t="shared" si="11"/>
        <v/>
      </c>
    </row>
    <row r="43" spans="2:32" x14ac:dyDescent="0.25">
      <c r="B43" s="201" t="str">
        <f>IF(Stand!C6="","",Stand!C6)</f>
        <v/>
      </c>
      <c r="C43" s="208" t="str" cm="1">
        <f t="array" ref="C43">IF(SUM(IF(B43=Stand_Biomass!$B$4:$B$30,Stand_Biomass!$C$4:$C$30))&gt;0,SUM(IF(B43=Stand_Biomass!$B$4:$B$30,Stand_Biomass!$C$4:$C$30)),"")</f>
        <v/>
      </c>
      <c r="D43" s="209" t="str">
        <f>IF(B43="","",VLOOKUP($B43,Stand!$C:$G,5,0))</f>
        <v/>
      </c>
      <c r="E43" s="28"/>
      <c r="F43" s="157" t="str">
        <f>IF($B43="","",IF(F$39="","",IF(F$39="Snag",(SUMIFS(Tree!$AE:$AE,Tree!$A:$A,$B43,Tree!$F:$F,"D",Tree!$K:$K,"&lt;&gt;"&amp;"Y")/$C43),(SUMIFS(Tree!$AE:$AE,Tree!$A:$A,$B43,Tree!$D:$D,F$39,Tree!$F:$F,"L",Tree!$K:$K,"&lt;&gt;"&amp;"Y")/$C43))))</f>
        <v/>
      </c>
      <c r="G43" s="122" t="str">
        <f>IF($B43="","",IF(G$39="","",IF(G$39="Snag",(SUMIFS(Tree!$AE:$AE,Tree!$A:$A,$B43,Tree!$F:$F,"D",Tree!$K:$K,"&lt;&gt;"&amp;"Y")/$C43),(SUMIFS(Tree!$AE:$AE,Tree!$A:$A,$B43,Tree!$D:$D,G$39,Tree!$F:$F,"L",Tree!$K:$K,"&lt;&gt;"&amp;"Y")/$C43))))</f>
        <v/>
      </c>
      <c r="H43" s="122" t="str">
        <f>IF($B43="","",IF(H$39="","",IF(H$39="Snag",(SUMIFS(Tree!$AE:$AE,Tree!$A:$A,$B43,Tree!$F:$F,"D",Tree!$K:$K,"&lt;&gt;"&amp;"Y")/$C43),(SUMIFS(Tree!$AE:$AE,Tree!$A:$A,$B43,Tree!$D:$D,H$39,Tree!$F:$F,"L",Tree!$K:$K,"&lt;&gt;"&amp;"Y")/$C43))))</f>
        <v/>
      </c>
      <c r="I43" s="122" t="str">
        <f>IF($B43="","",IF(I$39="","",IF(I$39="Snag",(SUMIFS(Tree!$AE:$AE,Tree!$A:$A,$B43,Tree!$F:$F,"D",Tree!$K:$K,"&lt;&gt;"&amp;"Y")/$C43),(SUMIFS(Tree!$AE:$AE,Tree!$A:$A,$B43,Tree!$D:$D,I$39,Tree!$F:$F,"L",Tree!$K:$K,"&lt;&gt;"&amp;"Y")/$C43))))</f>
        <v/>
      </c>
      <c r="J43" s="122" t="str">
        <f>IF($B43="","",IF(J$39="","",IF(J$39="Snag",(SUMIFS(Tree!$AE:$AE,Tree!$A:$A,$B43,Tree!$F:$F,"D",Tree!$K:$K,"&lt;&gt;"&amp;"Y")/$C43),(SUMIFS(Tree!$AE:$AE,Tree!$A:$A,$B43,Tree!$D:$D,J$39,Tree!$F:$F,"L",Tree!$K:$K,"&lt;&gt;"&amp;"Y")/$C43))))</f>
        <v/>
      </c>
      <c r="K43" s="122" t="str">
        <f>IF($B43="","",IF(K$39="","",IF(K$39="Snag",(SUMIFS(Tree!$AE:$AE,Tree!$A:$A,$B43,Tree!$F:$F,"D",Tree!$K:$K,"&lt;&gt;"&amp;"Y")/$C43),(SUMIFS(Tree!$AE:$AE,Tree!$A:$A,$B43,Tree!$D:$D,K$39,Tree!$F:$F,"L",Tree!$K:$K,"&lt;&gt;"&amp;"Y")/$C43))))</f>
        <v/>
      </c>
      <c r="L43" s="122" t="str">
        <f>IF($B43="","",IF(L$39="","",IF(L$39="Snag",(SUMIFS(Tree!$AE:$AE,Tree!$A:$A,$B43,Tree!$F:$F,"D",Tree!$K:$K,"&lt;&gt;"&amp;"Y")/$C43),(SUMIFS(Tree!$AE:$AE,Tree!$A:$A,$B43,Tree!$D:$D,L$39,Tree!$F:$F,"L",Tree!$K:$K,"&lt;&gt;"&amp;"Y")/$C43))))</f>
        <v/>
      </c>
      <c r="M43" s="122" t="str">
        <f>IF($B43="","",IF(M$39="","",IF(M$39="Snag",(SUMIFS(Tree!$AE:$AE,Tree!$A:$A,$B43,Tree!$F:$F,"D",Tree!$K:$K,"&lt;&gt;"&amp;"Y")/$C43),(SUMIFS(Tree!$AE:$AE,Tree!$A:$A,$B43,Tree!$D:$D,M$39,Tree!$F:$F,"L",Tree!$K:$K,"&lt;&gt;"&amp;"Y")/$C43))))</f>
        <v/>
      </c>
      <c r="N43" s="122" t="str">
        <f>IF($B43="","",IF(N$39="","",IF(N$39="Snag",(SUMIFS(Tree!$AE:$AE,Tree!$A:$A,$B43,Tree!$F:$F,"D",Tree!$K:$K,"&lt;&gt;"&amp;"Y")/$C43),(SUMIFS(Tree!$AE:$AE,Tree!$A:$A,$B43,Tree!$D:$D,N$39,Tree!$F:$F,"L",Tree!$K:$K,"&lt;&gt;"&amp;"Y")/$C43))))</f>
        <v/>
      </c>
      <c r="O43" s="193" t="str">
        <f t="shared" si="9"/>
        <v/>
      </c>
      <c r="P43" s="292" t="str">
        <f>IF($B43="","",IF(P$39="","",IF(P$39="Snag",(SUMIFS(Tree!$AQ:$AQ,Tree!$A:$A,$B43,Tree!$F:$F,"D",Tree!$K:$K,"&lt;&gt;"&amp;"Y")/$C43),(SUMIFS(Tree!$AQ:$AQ,Tree!$A:$A,$B43,Tree!$D:$D,P$39,Tree!$F:$F,"L",Tree!$K:$K,"&lt;&gt;"&amp;"Y")/$C43))))</f>
        <v/>
      </c>
      <c r="Q43" s="445" t="str">
        <f>IF(B43="","",VLOOKUP(B43,#REF!,12,0))</f>
        <v/>
      </c>
      <c r="R43" s="448" t="str">
        <f>IF(B43="","",VLOOKUP($B43,#REF!,20,0))</f>
        <v/>
      </c>
      <c r="S43" s="86"/>
      <c r="T43" s="157" t="str">
        <f t="shared" si="10"/>
        <v/>
      </c>
      <c r="U43" s="122" t="str">
        <f t="shared" si="10"/>
        <v/>
      </c>
      <c r="V43" s="122" t="str">
        <f t="shared" si="10"/>
        <v/>
      </c>
      <c r="W43" s="122" t="str">
        <f t="shared" si="10"/>
        <v/>
      </c>
      <c r="X43" s="122" t="str">
        <f t="shared" si="10"/>
        <v/>
      </c>
      <c r="Y43" s="122" t="str">
        <f t="shared" si="10"/>
        <v/>
      </c>
      <c r="Z43" s="122" t="str">
        <f t="shared" si="10"/>
        <v/>
      </c>
      <c r="AA43" s="122" t="str">
        <f t="shared" si="10"/>
        <v/>
      </c>
      <c r="AB43" s="122" t="str">
        <f t="shared" si="10"/>
        <v/>
      </c>
      <c r="AC43" s="193" t="str">
        <f t="shared" si="10"/>
        <v/>
      </c>
      <c r="AD43" s="212" t="str">
        <f t="shared" si="10"/>
        <v/>
      </c>
      <c r="AE43" s="213" t="str">
        <f t="shared" si="10"/>
        <v/>
      </c>
      <c r="AF43" s="193" t="str">
        <f t="shared" si="11"/>
        <v/>
      </c>
    </row>
    <row r="44" spans="2:32" x14ac:dyDescent="0.25">
      <c r="B44" s="201" t="str">
        <f>IF(Stand!C7="","",Stand!C7)</f>
        <v/>
      </c>
      <c r="C44" s="208" t="str" cm="1">
        <f t="array" ref="C44">IF(SUM(IF(B44=Stand_Biomass!$B$4:$B$30,Stand_Biomass!$C$4:$C$30))&gt;0,SUM(IF(B44=Stand_Biomass!$B$4:$B$30,Stand_Biomass!$C$4:$C$30)),"")</f>
        <v/>
      </c>
      <c r="D44" s="209" t="str">
        <f>IF(B44="","",VLOOKUP($B44,Stand!$C:$G,5,0))</f>
        <v/>
      </c>
      <c r="E44" s="28"/>
      <c r="F44" s="157" t="str">
        <f>IF($B44="","",IF(F$39="","",IF(F$39="Snag",(SUMIFS(Tree!$AE:$AE,Tree!$A:$A,$B44,Tree!$F:$F,"D",Tree!$K:$K,"&lt;&gt;"&amp;"Y")/$C44),(SUMIFS(Tree!$AE:$AE,Tree!$A:$A,$B44,Tree!$D:$D,F$39,Tree!$F:$F,"L",Tree!$K:$K,"&lt;&gt;"&amp;"Y")/$C44))))</f>
        <v/>
      </c>
      <c r="G44" s="122" t="str">
        <f>IF($B44="","",IF(G$39="","",IF(G$39="Snag",(SUMIFS(Tree!$AE:$AE,Tree!$A:$A,$B44,Tree!$F:$F,"D",Tree!$K:$K,"&lt;&gt;"&amp;"Y")/$C44),(SUMIFS(Tree!$AE:$AE,Tree!$A:$A,$B44,Tree!$D:$D,G$39,Tree!$F:$F,"L",Tree!$K:$K,"&lt;&gt;"&amp;"Y")/$C44))))</f>
        <v/>
      </c>
      <c r="H44" s="122" t="str">
        <f>IF($B44="","",IF(H$39="","",IF(H$39="Snag",(SUMIFS(Tree!$AE:$AE,Tree!$A:$A,$B44,Tree!$F:$F,"D",Tree!$K:$K,"&lt;&gt;"&amp;"Y")/$C44),(SUMIFS(Tree!$AE:$AE,Tree!$A:$A,$B44,Tree!$D:$D,H$39,Tree!$F:$F,"L",Tree!$K:$K,"&lt;&gt;"&amp;"Y")/$C44))))</f>
        <v/>
      </c>
      <c r="I44" s="122" t="str">
        <f>IF($B44="","",IF(I$39="","",IF(I$39="Snag",(SUMIFS(Tree!$AE:$AE,Tree!$A:$A,$B44,Tree!$F:$F,"D",Tree!$K:$K,"&lt;&gt;"&amp;"Y")/$C44),(SUMIFS(Tree!$AE:$AE,Tree!$A:$A,$B44,Tree!$D:$D,I$39,Tree!$F:$F,"L",Tree!$K:$K,"&lt;&gt;"&amp;"Y")/$C44))))</f>
        <v/>
      </c>
      <c r="J44" s="122" t="str">
        <f>IF($B44="","",IF(J$39="","",IF(J$39="Snag",(SUMIFS(Tree!$AE:$AE,Tree!$A:$A,$B44,Tree!$F:$F,"D",Tree!$K:$K,"&lt;&gt;"&amp;"Y")/$C44),(SUMIFS(Tree!$AE:$AE,Tree!$A:$A,$B44,Tree!$D:$D,J$39,Tree!$F:$F,"L",Tree!$K:$K,"&lt;&gt;"&amp;"Y")/$C44))))</f>
        <v/>
      </c>
      <c r="K44" s="122" t="str">
        <f>IF($B44="","",IF(K$39="","",IF(K$39="Snag",(SUMIFS(Tree!$AE:$AE,Tree!$A:$A,$B44,Tree!$F:$F,"D",Tree!$K:$K,"&lt;&gt;"&amp;"Y")/$C44),(SUMIFS(Tree!$AE:$AE,Tree!$A:$A,$B44,Tree!$D:$D,K$39,Tree!$F:$F,"L",Tree!$K:$K,"&lt;&gt;"&amp;"Y")/$C44))))</f>
        <v/>
      </c>
      <c r="L44" s="122" t="str">
        <f>IF($B44="","",IF(L$39="","",IF(L$39="Snag",(SUMIFS(Tree!$AE:$AE,Tree!$A:$A,$B44,Tree!$F:$F,"D",Tree!$K:$K,"&lt;&gt;"&amp;"Y")/$C44),(SUMIFS(Tree!$AE:$AE,Tree!$A:$A,$B44,Tree!$D:$D,L$39,Tree!$F:$F,"L",Tree!$K:$K,"&lt;&gt;"&amp;"Y")/$C44))))</f>
        <v/>
      </c>
      <c r="M44" s="122" t="str">
        <f>IF($B44="","",IF(M$39="","",IF(M$39="Snag",(SUMIFS(Tree!$AE:$AE,Tree!$A:$A,$B44,Tree!$F:$F,"D",Tree!$K:$K,"&lt;&gt;"&amp;"Y")/$C44),(SUMIFS(Tree!$AE:$AE,Tree!$A:$A,$B44,Tree!$D:$D,M$39,Tree!$F:$F,"L",Tree!$K:$K,"&lt;&gt;"&amp;"Y")/$C44))))</f>
        <v/>
      </c>
      <c r="N44" s="122" t="str">
        <f>IF($B44="","",IF(N$39="","",IF(N$39="Snag",(SUMIFS(Tree!$AE:$AE,Tree!$A:$A,$B44,Tree!$F:$F,"D",Tree!$K:$K,"&lt;&gt;"&amp;"Y")/$C44),(SUMIFS(Tree!$AE:$AE,Tree!$A:$A,$B44,Tree!$D:$D,N$39,Tree!$F:$F,"L",Tree!$K:$K,"&lt;&gt;"&amp;"Y")/$C44))))</f>
        <v/>
      </c>
      <c r="O44" s="193" t="str">
        <f t="shared" si="9"/>
        <v/>
      </c>
      <c r="P44" s="292" t="str">
        <f>IF($B44="","",IF(P$39="","",IF(P$39="Snag",(SUMIFS(Tree!$AQ:$AQ,Tree!$A:$A,$B44,Tree!$F:$F,"D",Tree!$K:$K,"&lt;&gt;"&amp;"Y")/$C44),(SUMIFS(Tree!$AQ:$AQ,Tree!$A:$A,$B44,Tree!$D:$D,P$39,Tree!$F:$F,"L",Tree!$K:$K,"&lt;&gt;"&amp;"Y")/$C44))))</f>
        <v/>
      </c>
      <c r="Q44" s="445" t="str">
        <f>IF(B44="","",VLOOKUP(B44,#REF!,12,0))</f>
        <v/>
      </c>
      <c r="R44" s="448" t="str">
        <f>IF(B44="","",VLOOKUP($B44,#REF!,20,0))</f>
        <v/>
      </c>
      <c r="S44" s="86"/>
      <c r="T44" s="157" t="str">
        <f t="shared" si="10"/>
        <v/>
      </c>
      <c r="U44" s="122" t="str">
        <f t="shared" si="10"/>
        <v/>
      </c>
      <c r="V44" s="122" t="str">
        <f t="shared" si="10"/>
        <v/>
      </c>
      <c r="W44" s="122" t="str">
        <f t="shared" si="10"/>
        <v/>
      </c>
      <c r="X44" s="122" t="str">
        <f t="shared" si="10"/>
        <v/>
      </c>
      <c r="Y44" s="122" t="str">
        <f t="shared" si="10"/>
        <v/>
      </c>
      <c r="Z44" s="122" t="str">
        <f t="shared" si="10"/>
        <v/>
      </c>
      <c r="AA44" s="122" t="str">
        <f t="shared" si="10"/>
        <v/>
      </c>
      <c r="AB44" s="122" t="str">
        <f t="shared" si="10"/>
        <v/>
      </c>
      <c r="AC44" s="193" t="str">
        <f t="shared" si="10"/>
        <v/>
      </c>
      <c r="AD44" s="212" t="str">
        <f t="shared" si="10"/>
        <v/>
      </c>
      <c r="AE44" s="213" t="str">
        <f t="shared" si="10"/>
        <v/>
      </c>
      <c r="AF44" s="193" t="str">
        <f t="shared" si="11"/>
        <v/>
      </c>
    </row>
    <row r="45" spans="2:32" x14ac:dyDescent="0.25">
      <c r="B45" s="201" t="str">
        <f>IF(Stand!C8="","",Stand!C8)</f>
        <v/>
      </c>
      <c r="C45" s="208" t="str" cm="1">
        <f t="array" ref="C45">IF(SUM(IF(B45=Stand_Biomass!$B$4:$B$30,Stand_Biomass!$C$4:$C$30))&gt;0,SUM(IF(B45=Stand_Biomass!$B$4:$B$30,Stand_Biomass!$C$4:$C$30)),"")</f>
        <v/>
      </c>
      <c r="D45" s="209" t="str">
        <f>IF(B45="","",VLOOKUP($B45,Stand!$C:$G,5,0))</f>
        <v/>
      </c>
      <c r="E45" s="28"/>
      <c r="F45" s="157" t="str">
        <f>IF($B45="","",IF(F$39="","",IF(F$39="Snag",(SUMIFS(Tree!$AE:$AE,Tree!$A:$A,$B45,Tree!$F:$F,"D",Tree!$K:$K,"&lt;&gt;"&amp;"Y")/$C45),(SUMIFS(Tree!$AE:$AE,Tree!$A:$A,$B45,Tree!$D:$D,F$39,Tree!$F:$F,"L",Tree!$K:$K,"&lt;&gt;"&amp;"Y")/$C45))))</f>
        <v/>
      </c>
      <c r="G45" s="122" t="str">
        <f>IF($B45="","",IF(G$39="","",IF(G$39="Snag",(SUMIFS(Tree!$AE:$AE,Tree!$A:$A,$B45,Tree!$F:$F,"D",Tree!$K:$K,"&lt;&gt;"&amp;"Y")/$C45),(SUMIFS(Tree!$AE:$AE,Tree!$A:$A,$B45,Tree!$D:$D,G$39,Tree!$F:$F,"L",Tree!$K:$K,"&lt;&gt;"&amp;"Y")/$C45))))</f>
        <v/>
      </c>
      <c r="H45" s="122" t="str">
        <f>IF($B45="","",IF(H$39="","",IF(H$39="Snag",(SUMIFS(Tree!$AE:$AE,Tree!$A:$A,$B45,Tree!$F:$F,"D",Tree!$K:$K,"&lt;&gt;"&amp;"Y")/$C45),(SUMIFS(Tree!$AE:$AE,Tree!$A:$A,$B45,Tree!$D:$D,H$39,Tree!$F:$F,"L",Tree!$K:$K,"&lt;&gt;"&amp;"Y")/$C45))))</f>
        <v/>
      </c>
      <c r="I45" s="122" t="str">
        <f>IF($B45="","",IF(I$39="","",IF(I$39="Snag",(SUMIFS(Tree!$AE:$AE,Tree!$A:$A,$B45,Tree!$F:$F,"D",Tree!$K:$K,"&lt;&gt;"&amp;"Y")/$C45),(SUMIFS(Tree!$AE:$AE,Tree!$A:$A,$B45,Tree!$D:$D,I$39,Tree!$F:$F,"L",Tree!$K:$K,"&lt;&gt;"&amp;"Y")/$C45))))</f>
        <v/>
      </c>
      <c r="J45" s="122" t="str">
        <f>IF($B45="","",IF(J$39="","",IF(J$39="Snag",(SUMIFS(Tree!$AE:$AE,Tree!$A:$A,$B45,Tree!$F:$F,"D",Tree!$K:$K,"&lt;&gt;"&amp;"Y")/$C45),(SUMIFS(Tree!$AE:$AE,Tree!$A:$A,$B45,Tree!$D:$D,J$39,Tree!$F:$F,"L",Tree!$K:$K,"&lt;&gt;"&amp;"Y")/$C45))))</f>
        <v/>
      </c>
      <c r="K45" s="122" t="str">
        <f>IF($B45="","",IF(K$39="","",IF(K$39="Snag",(SUMIFS(Tree!$AE:$AE,Tree!$A:$A,$B45,Tree!$F:$F,"D",Tree!$K:$K,"&lt;&gt;"&amp;"Y")/$C45),(SUMIFS(Tree!$AE:$AE,Tree!$A:$A,$B45,Tree!$D:$D,K$39,Tree!$F:$F,"L",Tree!$K:$K,"&lt;&gt;"&amp;"Y")/$C45))))</f>
        <v/>
      </c>
      <c r="L45" s="122" t="str">
        <f>IF($B45="","",IF(L$39="","",IF(L$39="Snag",(SUMIFS(Tree!$AE:$AE,Tree!$A:$A,$B45,Tree!$F:$F,"D",Tree!$K:$K,"&lt;&gt;"&amp;"Y")/$C45),(SUMIFS(Tree!$AE:$AE,Tree!$A:$A,$B45,Tree!$D:$D,L$39,Tree!$F:$F,"L",Tree!$K:$K,"&lt;&gt;"&amp;"Y")/$C45))))</f>
        <v/>
      </c>
      <c r="M45" s="122" t="str">
        <f>IF($B45="","",IF(M$39="","",IF(M$39="Snag",(SUMIFS(Tree!$AE:$AE,Tree!$A:$A,$B45,Tree!$F:$F,"D",Tree!$K:$K,"&lt;&gt;"&amp;"Y")/$C45),(SUMIFS(Tree!$AE:$AE,Tree!$A:$A,$B45,Tree!$D:$D,M$39,Tree!$F:$F,"L",Tree!$K:$K,"&lt;&gt;"&amp;"Y")/$C45))))</f>
        <v/>
      </c>
      <c r="N45" s="122" t="str">
        <f>IF($B45="","",IF(N$39="","",IF(N$39="Snag",(SUMIFS(Tree!$AE:$AE,Tree!$A:$A,$B45,Tree!$F:$F,"D",Tree!$K:$K,"&lt;&gt;"&amp;"Y")/$C45),(SUMIFS(Tree!$AE:$AE,Tree!$A:$A,$B45,Tree!$D:$D,N$39,Tree!$F:$F,"L",Tree!$K:$K,"&lt;&gt;"&amp;"Y")/$C45))))</f>
        <v/>
      </c>
      <c r="O45" s="193" t="str">
        <f t="shared" si="9"/>
        <v/>
      </c>
      <c r="P45" s="292" t="str">
        <f>IF($B45="","",IF(P$39="","",IF(P$39="Snag",(SUMIFS(Tree!$AQ:$AQ,Tree!$A:$A,$B45,Tree!$F:$F,"D",Tree!$K:$K,"&lt;&gt;"&amp;"Y")/$C45),(SUMIFS(Tree!$AQ:$AQ,Tree!$A:$A,$B45,Tree!$D:$D,P$39,Tree!$F:$F,"L",Tree!$K:$K,"&lt;&gt;"&amp;"Y")/$C45))))</f>
        <v/>
      </c>
      <c r="Q45" s="445" t="str">
        <f>IF(B45="","",VLOOKUP(B45,#REF!,12,0))</f>
        <v/>
      </c>
      <c r="R45" s="448" t="str">
        <f>IF(B45="","",VLOOKUP($B45,#REF!,20,0))</f>
        <v/>
      </c>
      <c r="S45" s="86"/>
      <c r="T45" s="157" t="str">
        <f t="shared" si="10"/>
        <v/>
      </c>
      <c r="U45" s="122" t="str">
        <f t="shared" si="10"/>
        <v/>
      </c>
      <c r="V45" s="122" t="str">
        <f t="shared" si="10"/>
        <v/>
      </c>
      <c r="W45" s="122" t="str">
        <f t="shared" si="10"/>
        <v/>
      </c>
      <c r="X45" s="122" t="str">
        <f t="shared" si="10"/>
        <v/>
      </c>
      <c r="Y45" s="122" t="str">
        <f t="shared" si="10"/>
        <v/>
      </c>
      <c r="Z45" s="122" t="str">
        <f t="shared" si="10"/>
        <v/>
      </c>
      <c r="AA45" s="122" t="str">
        <f t="shared" si="10"/>
        <v/>
      </c>
      <c r="AB45" s="122" t="str">
        <f t="shared" si="10"/>
        <v/>
      </c>
      <c r="AC45" s="193" t="str">
        <f t="shared" si="10"/>
        <v/>
      </c>
      <c r="AD45" s="212" t="str">
        <f t="shared" si="10"/>
        <v/>
      </c>
      <c r="AE45" s="213" t="str">
        <f t="shared" si="10"/>
        <v/>
      </c>
      <c r="AF45" s="193" t="str">
        <f t="shared" si="11"/>
        <v/>
      </c>
    </row>
    <row r="46" spans="2:32" x14ac:dyDescent="0.25">
      <c r="B46" s="201" t="str">
        <f>IF(Stand!C9="","",Stand!C9)</f>
        <v/>
      </c>
      <c r="C46" s="208" t="str" cm="1">
        <f t="array" ref="C46">IF(SUM(IF(B46=Stand_Biomass!$B$4:$B$30,Stand_Biomass!$C$4:$C$30))&gt;0,SUM(IF(B46=Stand_Biomass!$B$4:$B$30,Stand_Biomass!$C$4:$C$30)),"")</f>
        <v/>
      </c>
      <c r="D46" s="209" t="str">
        <f>IF(B46="","",VLOOKUP($B46,Stand!$C:$G,5,0))</f>
        <v/>
      </c>
      <c r="E46" s="28"/>
      <c r="F46" s="157" t="str">
        <f>IF($B46="","",IF(F$39="","",IF(F$39="Snag",(SUMIFS(Tree!$AE:$AE,Tree!$A:$A,$B46,Tree!$F:$F,"D",Tree!$K:$K,"&lt;&gt;"&amp;"Y")/$C46),(SUMIFS(Tree!$AE:$AE,Tree!$A:$A,$B46,Tree!$D:$D,F$39,Tree!$F:$F,"L",Tree!$K:$K,"&lt;&gt;"&amp;"Y")/$C46))))</f>
        <v/>
      </c>
      <c r="G46" s="122" t="str">
        <f>IF($B46="","",IF(G$39="","",IF(G$39="Snag",(SUMIFS(Tree!$AE:$AE,Tree!$A:$A,$B46,Tree!$F:$F,"D",Tree!$K:$K,"&lt;&gt;"&amp;"Y")/$C46),(SUMIFS(Tree!$AE:$AE,Tree!$A:$A,$B46,Tree!$D:$D,G$39,Tree!$F:$F,"L",Tree!$K:$K,"&lt;&gt;"&amp;"Y")/$C46))))</f>
        <v/>
      </c>
      <c r="H46" s="122" t="str">
        <f>IF($B46="","",IF(H$39="","",IF(H$39="Snag",(SUMIFS(Tree!$AE:$AE,Tree!$A:$A,$B46,Tree!$F:$F,"D",Tree!$K:$K,"&lt;&gt;"&amp;"Y")/$C46),(SUMIFS(Tree!$AE:$AE,Tree!$A:$A,$B46,Tree!$D:$D,H$39,Tree!$F:$F,"L",Tree!$K:$K,"&lt;&gt;"&amp;"Y")/$C46))))</f>
        <v/>
      </c>
      <c r="I46" s="122" t="str">
        <f>IF($B46="","",IF(I$39="","",IF(I$39="Snag",(SUMIFS(Tree!$AE:$AE,Tree!$A:$A,$B46,Tree!$F:$F,"D",Tree!$K:$K,"&lt;&gt;"&amp;"Y")/$C46),(SUMIFS(Tree!$AE:$AE,Tree!$A:$A,$B46,Tree!$D:$D,I$39,Tree!$F:$F,"L",Tree!$K:$K,"&lt;&gt;"&amp;"Y")/$C46))))</f>
        <v/>
      </c>
      <c r="J46" s="122" t="str">
        <f>IF($B46="","",IF(J$39="","",IF(J$39="Snag",(SUMIFS(Tree!$AE:$AE,Tree!$A:$A,$B46,Tree!$F:$F,"D",Tree!$K:$K,"&lt;&gt;"&amp;"Y")/$C46),(SUMIFS(Tree!$AE:$AE,Tree!$A:$A,$B46,Tree!$D:$D,J$39,Tree!$F:$F,"L",Tree!$K:$K,"&lt;&gt;"&amp;"Y")/$C46))))</f>
        <v/>
      </c>
      <c r="K46" s="122" t="str">
        <f>IF($B46="","",IF(K$39="","",IF(K$39="Snag",(SUMIFS(Tree!$AE:$AE,Tree!$A:$A,$B46,Tree!$F:$F,"D",Tree!$K:$K,"&lt;&gt;"&amp;"Y")/$C46),(SUMIFS(Tree!$AE:$AE,Tree!$A:$A,$B46,Tree!$D:$D,K$39,Tree!$F:$F,"L",Tree!$K:$K,"&lt;&gt;"&amp;"Y")/$C46))))</f>
        <v/>
      </c>
      <c r="L46" s="122" t="str">
        <f>IF($B46="","",IF(L$39="","",IF(L$39="Snag",(SUMIFS(Tree!$AE:$AE,Tree!$A:$A,$B46,Tree!$F:$F,"D",Tree!$K:$K,"&lt;&gt;"&amp;"Y")/$C46),(SUMIFS(Tree!$AE:$AE,Tree!$A:$A,$B46,Tree!$D:$D,L$39,Tree!$F:$F,"L",Tree!$K:$K,"&lt;&gt;"&amp;"Y")/$C46))))</f>
        <v/>
      </c>
      <c r="M46" s="122" t="str">
        <f>IF($B46="","",IF(M$39="","",IF(M$39="Snag",(SUMIFS(Tree!$AE:$AE,Tree!$A:$A,$B46,Tree!$F:$F,"D",Tree!$K:$K,"&lt;&gt;"&amp;"Y")/$C46),(SUMIFS(Tree!$AE:$AE,Tree!$A:$A,$B46,Tree!$D:$D,M$39,Tree!$F:$F,"L",Tree!$K:$K,"&lt;&gt;"&amp;"Y")/$C46))))</f>
        <v/>
      </c>
      <c r="N46" s="122" t="str">
        <f>IF($B46="","",IF(N$39="","",IF(N$39="Snag",(SUMIFS(Tree!$AE:$AE,Tree!$A:$A,$B46,Tree!$F:$F,"D",Tree!$K:$K,"&lt;&gt;"&amp;"Y")/$C46),(SUMIFS(Tree!$AE:$AE,Tree!$A:$A,$B46,Tree!$D:$D,N$39,Tree!$F:$F,"L",Tree!$K:$K,"&lt;&gt;"&amp;"Y")/$C46))))</f>
        <v/>
      </c>
      <c r="O46" s="193" t="str">
        <f t="shared" si="9"/>
        <v/>
      </c>
      <c r="P46" s="292" t="str">
        <f>IF($B46="","",IF(P$39="","",IF(P$39="Snag",(SUMIFS(Tree!$AQ:$AQ,Tree!$A:$A,$B46,Tree!$F:$F,"D",Tree!$K:$K,"&lt;&gt;"&amp;"Y")/$C46),(SUMIFS(Tree!$AQ:$AQ,Tree!$A:$A,$B46,Tree!$D:$D,P$39,Tree!$F:$F,"L",Tree!$K:$K,"&lt;&gt;"&amp;"Y")/$C46))))</f>
        <v/>
      </c>
      <c r="Q46" s="445" t="str">
        <f>IF(B46="","",VLOOKUP(B46,#REF!,12,0))</f>
        <v/>
      </c>
      <c r="R46" s="448" t="str">
        <f>IF(B46="","",VLOOKUP($B46,#REF!,20,0))</f>
        <v/>
      </c>
      <c r="S46" s="86"/>
      <c r="T46" s="157" t="str">
        <f t="shared" si="10"/>
        <v/>
      </c>
      <c r="U46" s="122" t="str">
        <f t="shared" si="10"/>
        <v/>
      </c>
      <c r="V46" s="122" t="str">
        <f t="shared" si="10"/>
        <v/>
      </c>
      <c r="W46" s="122" t="str">
        <f t="shared" si="10"/>
        <v/>
      </c>
      <c r="X46" s="122" t="str">
        <f t="shared" si="10"/>
        <v/>
      </c>
      <c r="Y46" s="122" t="str">
        <f t="shared" si="10"/>
        <v/>
      </c>
      <c r="Z46" s="122" t="str">
        <f t="shared" si="10"/>
        <v/>
      </c>
      <c r="AA46" s="122" t="str">
        <f t="shared" si="10"/>
        <v/>
      </c>
      <c r="AB46" s="122" t="str">
        <f t="shared" si="10"/>
        <v/>
      </c>
      <c r="AC46" s="193" t="str">
        <f t="shared" si="10"/>
        <v/>
      </c>
      <c r="AD46" s="212" t="str">
        <f t="shared" si="10"/>
        <v/>
      </c>
      <c r="AE46" s="213" t="str">
        <f t="shared" si="10"/>
        <v/>
      </c>
      <c r="AF46" s="193" t="str">
        <f t="shared" si="11"/>
        <v/>
      </c>
    </row>
    <row r="47" spans="2:32" x14ac:dyDescent="0.25">
      <c r="B47" s="201" t="str">
        <f>IF(Stand!C10="","",Stand!C10)</f>
        <v/>
      </c>
      <c r="C47" s="208" t="str" cm="1">
        <f t="array" ref="C47">IF(SUM(IF(B47=Stand_Biomass!$B$4:$B$30,Stand_Biomass!$C$4:$C$30))&gt;0,SUM(IF(B47=Stand_Biomass!$B$4:$B$30,Stand_Biomass!$C$4:$C$30)),"")</f>
        <v/>
      </c>
      <c r="D47" s="209" t="str">
        <f>IF(B47="","",VLOOKUP($B47,Stand!$C:$G,5,0))</f>
        <v/>
      </c>
      <c r="E47" s="28"/>
      <c r="F47" s="157" t="str">
        <f>IF($B47="","",IF(F$39="","",IF(F$39="Snag",(SUMIFS(Tree!$AE:$AE,Tree!$A:$A,$B47,Tree!$F:$F,"D",Tree!$K:$K,"&lt;&gt;"&amp;"Y")/$C47),(SUMIFS(Tree!$AE:$AE,Tree!$A:$A,$B47,Tree!$D:$D,F$39,Tree!$F:$F,"L",Tree!$K:$K,"&lt;&gt;"&amp;"Y")/$C47))))</f>
        <v/>
      </c>
      <c r="G47" s="122" t="str">
        <f>IF($B47="","",IF(G$39="","",IF(G$39="Snag",(SUMIFS(Tree!$AE:$AE,Tree!$A:$A,$B47,Tree!$F:$F,"D",Tree!$K:$K,"&lt;&gt;"&amp;"Y")/$C47),(SUMIFS(Tree!$AE:$AE,Tree!$A:$A,$B47,Tree!$D:$D,G$39,Tree!$F:$F,"L",Tree!$K:$K,"&lt;&gt;"&amp;"Y")/$C47))))</f>
        <v/>
      </c>
      <c r="H47" s="122" t="str">
        <f>IF($B47="","",IF(H$39="","",IF(H$39="Snag",(SUMIFS(Tree!$AE:$AE,Tree!$A:$A,$B47,Tree!$F:$F,"D",Tree!$K:$K,"&lt;&gt;"&amp;"Y")/$C47),(SUMIFS(Tree!$AE:$AE,Tree!$A:$A,$B47,Tree!$D:$D,H$39,Tree!$F:$F,"L",Tree!$K:$K,"&lt;&gt;"&amp;"Y")/$C47))))</f>
        <v/>
      </c>
      <c r="I47" s="122" t="str">
        <f>IF($B47="","",IF(I$39="","",IF(I$39="Snag",(SUMIFS(Tree!$AE:$AE,Tree!$A:$A,$B47,Tree!$F:$F,"D",Tree!$K:$K,"&lt;&gt;"&amp;"Y")/$C47),(SUMIFS(Tree!$AE:$AE,Tree!$A:$A,$B47,Tree!$D:$D,I$39,Tree!$F:$F,"L",Tree!$K:$K,"&lt;&gt;"&amp;"Y")/$C47))))</f>
        <v/>
      </c>
      <c r="J47" s="122" t="str">
        <f>IF($B47="","",IF(J$39="","",IF(J$39="Snag",(SUMIFS(Tree!$AE:$AE,Tree!$A:$A,$B47,Tree!$F:$F,"D",Tree!$K:$K,"&lt;&gt;"&amp;"Y")/$C47),(SUMIFS(Tree!$AE:$AE,Tree!$A:$A,$B47,Tree!$D:$D,J$39,Tree!$F:$F,"L",Tree!$K:$K,"&lt;&gt;"&amp;"Y")/$C47))))</f>
        <v/>
      </c>
      <c r="K47" s="122" t="str">
        <f>IF($B47="","",IF(K$39="","",IF(K$39="Snag",(SUMIFS(Tree!$AE:$AE,Tree!$A:$A,$B47,Tree!$F:$F,"D",Tree!$K:$K,"&lt;&gt;"&amp;"Y")/$C47),(SUMIFS(Tree!$AE:$AE,Tree!$A:$A,$B47,Tree!$D:$D,K$39,Tree!$F:$F,"L",Tree!$K:$K,"&lt;&gt;"&amp;"Y")/$C47))))</f>
        <v/>
      </c>
      <c r="L47" s="122" t="str">
        <f>IF($B47="","",IF(L$39="","",IF(L$39="Snag",(SUMIFS(Tree!$AE:$AE,Tree!$A:$A,$B47,Tree!$F:$F,"D",Tree!$K:$K,"&lt;&gt;"&amp;"Y")/$C47),(SUMIFS(Tree!$AE:$AE,Tree!$A:$A,$B47,Tree!$D:$D,L$39,Tree!$F:$F,"L",Tree!$K:$K,"&lt;&gt;"&amp;"Y")/$C47))))</f>
        <v/>
      </c>
      <c r="M47" s="122" t="str">
        <f>IF($B47="","",IF(M$39="","",IF(M$39="Snag",(SUMIFS(Tree!$AE:$AE,Tree!$A:$A,$B47,Tree!$F:$F,"D",Tree!$K:$K,"&lt;&gt;"&amp;"Y")/$C47),(SUMIFS(Tree!$AE:$AE,Tree!$A:$A,$B47,Tree!$D:$D,M$39,Tree!$F:$F,"L",Tree!$K:$K,"&lt;&gt;"&amp;"Y")/$C47))))</f>
        <v/>
      </c>
      <c r="N47" s="122" t="str">
        <f>IF($B47="","",IF(N$39="","",IF(N$39="Snag",(SUMIFS(Tree!$AE:$AE,Tree!$A:$A,$B47,Tree!$F:$F,"D",Tree!$K:$K,"&lt;&gt;"&amp;"Y")/$C47),(SUMIFS(Tree!$AE:$AE,Tree!$A:$A,$B47,Tree!$D:$D,N$39,Tree!$F:$F,"L",Tree!$K:$K,"&lt;&gt;"&amp;"Y")/$C47))))</f>
        <v/>
      </c>
      <c r="O47" s="193" t="str">
        <f t="shared" si="9"/>
        <v/>
      </c>
      <c r="P47" s="292" t="str">
        <f>IF($B47="","",IF(P$39="","",IF(P$39="Snag",(SUMIFS(Tree!$AQ:$AQ,Tree!$A:$A,$B47,Tree!$F:$F,"D",Tree!$K:$K,"&lt;&gt;"&amp;"Y")/$C47),(SUMIFS(Tree!$AQ:$AQ,Tree!$A:$A,$B47,Tree!$D:$D,P$39,Tree!$F:$F,"L",Tree!$K:$K,"&lt;&gt;"&amp;"Y")/$C47))))</f>
        <v/>
      </c>
      <c r="Q47" s="445" t="str">
        <f>IF(B47="","",VLOOKUP(B47,#REF!,12,0))</f>
        <v/>
      </c>
      <c r="R47" s="448" t="str">
        <f>IF(B47="","",VLOOKUP($B47,#REF!,20,0))</f>
        <v/>
      </c>
      <c r="S47" s="86"/>
      <c r="T47" s="157" t="str">
        <f t="shared" si="10"/>
        <v/>
      </c>
      <c r="U47" s="122" t="str">
        <f t="shared" si="10"/>
        <v/>
      </c>
      <c r="V47" s="122" t="str">
        <f t="shared" si="10"/>
        <v/>
      </c>
      <c r="W47" s="122" t="str">
        <f t="shared" si="10"/>
        <v/>
      </c>
      <c r="X47" s="122" t="str">
        <f t="shared" si="10"/>
        <v/>
      </c>
      <c r="Y47" s="122" t="str">
        <f t="shared" si="10"/>
        <v/>
      </c>
      <c r="Z47" s="122" t="str">
        <f t="shared" si="10"/>
        <v/>
      </c>
      <c r="AA47" s="122" t="str">
        <f t="shared" si="10"/>
        <v/>
      </c>
      <c r="AB47" s="122" t="str">
        <f t="shared" si="10"/>
        <v/>
      </c>
      <c r="AC47" s="193" t="str">
        <f t="shared" si="10"/>
        <v/>
      </c>
      <c r="AD47" s="212" t="str">
        <f t="shared" si="10"/>
        <v/>
      </c>
      <c r="AE47" s="213" t="str">
        <f t="shared" si="10"/>
        <v/>
      </c>
      <c r="AF47" s="193" t="str">
        <f t="shared" si="11"/>
        <v/>
      </c>
    </row>
    <row r="48" spans="2:32" x14ac:dyDescent="0.25">
      <c r="B48" s="201" t="str">
        <f>IF(Stand!C11="","",Stand!C11)</f>
        <v/>
      </c>
      <c r="C48" s="208" t="str" cm="1">
        <f t="array" ref="C48">IF(SUM(IF(B48=Stand_Biomass!$B$4:$B$30,Stand_Biomass!$C$4:$C$30))&gt;0,SUM(IF(B48=Stand_Biomass!$B$4:$B$30,Stand_Biomass!$C$4:$C$30)),"")</f>
        <v/>
      </c>
      <c r="D48" s="209" t="str">
        <f>IF(B48="","",VLOOKUP($B48,Stand!$C:$G,5,0))</f>
        <v/>
      </c>
      <c r="E48" s="28"/>
      <c r="F48" s="157" t="str">
        <f>IF($B48="","",IF(F$39="","",IF(F$39="Snag",(SUMIFS(Tree!$AE:$AE,Tree!$A:$A,$B48,Tree!$F:$F,"D",Tree!$K:$K,"&lt;&gt;"&amp;"Y")/$C48),(SUMIFS(Tree!$AE:$AE,Tree!$A:$A,$B48,Tree!$D:$D,F$39,Tree!$F:$F,"L",Tree!$K:$K,"&lt;&gt;"&amp;"Y")/$C48))))</f>
        <v/>
      </c>
      <c r="G48" s="122" t="str">
        <f>IF($B48="","",IF(G$39="","",IF(G$39="Snag",(SUMIFS(Tree!$AE:$AE,Tree!$A:$A,$B48,Tree!$F:$F,"D",Tree!$K:$K,"&lt;&gt;"&amp;"Y")/$C48),(SUMIFS(Tree!$AE:$AE,Tree!$A:$A,$B48,Tree!$D:$D,G$39,Tree!$F:$F,"L",Tree!$K:$K,"&lt;&gt;"&amp;"Y")/$C48))))</f>
        <v/>
      </c>
      <c r="H48" s="122" t="str">
        <f>IF($B48="","",IF(H$39="","",IF(H$39="Snag",(SUMIFS(Tree!$AE:$AE,Tree!$A:$A,$B48,Tree!$F:$F,"D",Tree!$K:$K,"&lt;&gt;"&amp;"Y")/$C48),(SUMIFS(Tree!$AE:$AE,Tree!$A:$A,$B48,Tree!$D:$D,H$39,Tree!$F:$F,"L",Tree!$K:$K,"&lt;&gt;"&amp;"Y")/$C48))))</f>
        <v/>
      </c>
      <c r="I48" s="122" t="str">
        <f>IF($B48="","",IF(I$39="","",IF(I$39="Snag",(SUMIFS(Tree!$AE:$AE,Tree!$A:$A,$B48,Tree!$F:$F,"D",Tree!$K:$K,"&lt;&gt;"&amp;"Y")/$C48),(SUMIFS(Tree!$AE:$AE,Tree!$A:$A,$B48,Tree!$D:$D,I$39,Tree!$F:$F,"L",Tree!$K:$K,"&lt;&gt;"&amp;"Y")/$C48))))</f>
        <v/>
      </c>
      <c r="J48" s="122" t="str">
        <f>IF($B48="","",IF(J$39="","",IF(J$39="Snag",(SUMIFS(Tree!$AE:$AE,Tree!$A:$A,$B48,Tree!$F:$F,"D",Tree!$K:$K,"&lt;&gt;"&amp;"Y")/$C48),(SUMIFS(Tree!$AE:$AE,Tree!$A:$A,$B48,Tree!$D:$D,J$39,Tree!$F:$F,"L",Tree!$K:$K,"&lt;&gt;"&amp;"Y")/$C48))))</f>
        <v/>
      </c>
      <c r="K48" s="122" t="str">
        <f>IF($B48="","",IF(K$39="","",IF(K$39="Snag",(SUMIFS(Tree!$AE:$AE,Tree!$A:$A,$B48,Tree!$F:$F,"D",Tree!$K:$K,"&lt;&gt;"&amp;"Y")/$C48),(SUMIFS(Tree!$AE:$AE,Tree!$A:$A,$B48,Tree!$D:$D,K$39,Tree!$F:$F,"L",Tree!$K:$K,"&lt;&gt;"&amp;"Y")/$C48))))</f>
        <v/>
      </c>
      <c r="L48" s="122" t="str">
        <f>IF($B48="","",IF(L$39="","",IF(L$39="Snag",(SUMIFS(Tree!$AE:$AE,Tree!$A:$A,$B48,Tree!$F:$F,"D",Tree!$K:$K,"&lt;&gt;"&amp;"Y")/$C48),(SUMIFS(Tree!$AE:$AE,Tree!$A:$A,$B48,Tree!$D:$D,L$39,Tree!$F:$F,"L",Tree!$K:$K,"&lt;&gt;"&amp;"Y")/$C48))))</f>
        <v/>
      </c>
      <c r="M48" s="122" t="str">
        <f>IF($B48="","",IF(M$39="","",IF(M$39="Snag",(SUMIFS(Tree!$AE:$AE,Tree!$A:$A,$B48,Tree!$F:$F,"D",Tree!$K:$K,"&lt;&gt;"&amp;"Y")/$C48),(SUMIFS(Tree!$AE:$AE,Tree!$A:$A,$B48,Tree!$D:$D,M$39,Tree!$F:$F,"L",Tree!$K:$K,"&lt;&gt;"&amp;"Y")/$C48))))</f>
        <v/>
      </c>
      <c r="N48" s="122" t="str">
        <f>IF($B48="","",IF(N$39="","",IF(N$39="Snag",(SUMIFS(Tree!$AE:$AE,Tree!$A:$A,$B48,Tree!$F:$F,"D",Tree!$K:$K,"&lt;&gt;"&amp;"Y")/$C48),(SUMIFS(Tree!$AE:$AE,Tree!$A:$A,$B48,Tree!$D:$D,N$39,Tree!$F:$F,"L",Tree!$K:$K,"&lt;&gt;"&amp;"Y")/$C48))))</f>
        <v/>
      </c>
      <c r="O48" s="193" t="str">
        <f t="shared" si="9"/>
        <v/>
      </c>
      <c r="P48" s="292" t="str">
        <f>IF($B48="","",IF(P$39="","",IF(P$39="Snag",(SUMIFS(Tree!$AQ:$AQ,Tree!$A:$A,$B48,Tree!$F:$F,"D",Tree!$K:$K,"&lt;&gt;"&amp;"Y")/$C48),(SUMIFS(Tree!$AQ:$AQ,Tree!$A:$A,$B48,Tree!$D:$D,P$39,Tree!$F:$F,"L",Tree!$K:$K,"&lt;&gt;"&amp;"Y")/$C48))))</f>
        <v/>
      </c>
      <c r="Q48" s="445" t="str">
        <f>IF(B48="","",VLOOKUP(B48,#REF!,12,0))</f>
        <v/>
      </c>
      <c r="R48" s="448" t="str">
        <f>IF(B48="","",VLOOKUP($B48,#REF!,20,0))</f>
        <v/>
      </c>
      <c r="S48" s="86"/>
      <c r="T48" s="157" t="str">
        <f t="shared" si="10"/>
        <v/>
      </c>
      <c r="U48" s="122" t="str">
        <f t="shared" si="10"/>
        <v/>
      </c>
      <c r="V48" s="122" t="str">
        <f t="shared" si="10"/>
        <v/>
      </c>
      <c r="W48" s="122" t="str">
        <f t="shared" si="10"/>
        <v/>
      </c>
      <c r="X48" s="122" t="str">
        <f t="shared" si="10"/>
        <v/>
      </c>
      <c r="Y48" s="122" t="str">
        <f t="shared" si="10"/>
        <v/>
      </c>
      <c r="Z48" s="122" t="str">
        <f t="shared" si="10"/>
        <v/>
      </c>
      <c r="AA48" s="122" t="str">
        <f t="shared" si="10"/>
        <v/>
      </c>
      <c r="AB48" s="122" t="str">
        <f t="shared" si="10"/>
        <v/>
      </c>
      <c r="AC48" s="193" t="str">
        <f t="shared" si="10"/>
        <v/>
      </c>
      <c r="AD48" s="212" t="str">
        <f t="shared" si="10"/>
        <v/>
      </c>
      <c r="AE48" s="213" t="str">
        <f t="shared" si="10"/>
        <v/>
      </c>
      <c r="AF48" s="193" t="str">
        <f t="shared" si="11"/>
        <v/>
      </c>
    </row>
    <row r="49" spans="2:32" x14ac:dyDescent="0.25">
      <c r="B49" s="201" t="str">
        <f>IF(Stand!C12="","",Stand!C12)</f>
        <v/>
      </c>
      <c r="C49" s="208" t="str" cm="1">
        <f t="array" ref="C49">IF(SUM(IF(B49=Stand_Biomass!$B$4:$B$30,Stand_Biomass!$C$4:$C$30))&gt;0,SUM(IF(B49=Stand_Biomass!$B$4:$B$30,Stand_Biomass!$C$4:$C$30)),"")</f>
        <v/>
      </c>
      <c r="D49" s="209" t="str">
        <f>IF(B49="","",VLOOKUP($B49,Stand!$C:$G,5,0))</f>
        <v/>
      </c>
      <c r="E49" s="28"/>
      <c r="F49" s="157" t="str">
        <f>IF($B49="","",IF(F$39="","",IF(F$39="Snag",(SUMIFS(Tree!$AE:$AE,Tree!$A:$A,$B49,Tree!$F:$F,"D",Tree!$K:$K,"&lt;&gt;"&amp;"Y")/$C49),(SUMIFS(Tree!$AE:$AE,Tree!$A:$A,$B49,Tree!$D:$D,F$39,Tree!$F:$F,"L",Tree!$K:$K,"&lt;&gt;"&amp;"Y")/$C49))))</f>
        <v/>
      </c>
      <c r="G49" s="122" t="str">
        <f>IF($B49="","",IF(G$39="","",IF(G$39="Snag",(SUMIFS(Tree!$AE:$AE,Tree!$A:$A,$B49,Tree!$F:$F,"D",Tree!$K:$K,"&lt;&gt;"&amp;"Y")/$C49),(SUMIFS(Tree!$AE:$AE,Tree!$A:$A,$B49,Tree!$D:$D,G$39,Tree!$F:$F,"L",Tree!$K:$K,"&lt;&gt;"&amp;"Y")/$C49))))</f>
        <v/>
      </c>
      <c r="H49" s="122" t="str">
        <f>IF($B49="","",IF(H$39="","",IF(H$39="Snag",(SUMIFS(Tree!$AE:$AE,Tree!$A:$A,$B49,Tree!$F:$F,"D",Tree!$K:$K,"&lt;&gt;"&amp;"Y")/$C49),(SUMIFS(Tree!$AE:$AE,Tree!$A:$A,$B49,Tree!$D:$D,H$39,Tree!$F:$F,"L",Tree!$K:$K,"&lt;&gt;"&amp;"Y")/$C49))))</f>
        <v/>
      </c>
      <c r="I49" s="122" t="str">
        <f>IF($B49="","",IF(I$39="","",IF(I$39="Snag",(SUMIFS(Tree!$AE:$AE,Tree!$A:$A,$B49,Tree!$F:$F,"D",Tree!$K:$K,"&lt;&gt;"&amp;"Y")/$C49),(SUMIFS(Tree!$AE:$AE,Tree!$A:$A,$B49,Tree!$D:$D,I$39,Tree!$F:$F,"L",Tree!$K:$K,"&lt;&gt;"&amp;"Y")/$C49))))</f>
        <v/>
      </c>
      <c r="J49" s="122" t="str">
        <f>IF($B49="","",IF(J$39="","",IF(J$39="Snag",(SUMIFS(Tree!$AE:$AE,Tree!$A:$A,$B49,Tree!$F:$F,"D",Tree!$K:$K,"&lt;&gt;"&amp;"Y")/$C49),(SUMIFS(Tree!$AE:$AE,Tree!$A:$A,$B49,Tree!$D:$D,J$39,Tree!$F:$F,"L",Tree!$K:$K,"&lt;&gt;"&amp;"Y")/$C49))))</f>
        <v/>
      </c>
      <c r="K49" s="122" t="str">
        <f>IF($B49="","",IF(K$39="","",IF(K$39="Snag",(SUMIFS(Tree!$AE:$AE,Tree!$A:$A,$B49,Tree!$F:$F,"D",Tree!$K:$K,"&lt;&gt;"&amp;"Y")/$C49),(SUMIFS(Tree!$AE:$AE,Tree!$A:$A,$B49,Tree!$D:$D,K$39,Tree!$F:$F,"L",Tree!$K:$K,"&lt;&gt;"&amp;"Y")/$C49))))</f>
        <v/>
      </c>
      <c r="L49" s="122" t="str">
        <f>IF($B49="","",IF(L$39="","",IF(L$39="Snag",(SUMIFS(Tree!$AE:$AE,Tree!$A:$A,$B49,Tree!$F:$F,"D",Tree!$K:$K,"&lt;&gt;"&amp;"Y")/$C49),(SUMIFS(Tree!$AE:$AE,Tree!$A:$A,$B49,Tree!$D:$D,L$39,Tree!$F:$F,"L",Tree!$K:$K,"&lt;&gt;"&amp;"Y")/$C49))))</f>
        <v/>
      </c>
      <c r="M49" s="122" t="str">
        <f>IF($B49="","",IF(M$39="","",IF(M$39="Snag",(SUMIFS(Tree!$AE:$AE,Tree!$A:$A,$B49,Tree!$F:$F,"D",Tree!$K:$K,"&lt;&gt;"&amp;"Y")/$C49),(SUMIFS(Tree!$AE:$AE,Tree!$A:$A,$B49,Tree!$D:$D,M$39,Tree!$F:$F,"L",Tree!$K:$K,"&lt;&gt;"&amp;"Y")/$C49))))</f>
        <v/>
      </c>
      <c r="N49" s="122" t="str">
        <f>IF($B49="","",IF(N$39="","",IF(N$39="Snag",(SUMIFS(Tree!$AE:$AE,Tree!$A:$A,$B49,Tree!$F:$F,"D",Tree!$K:$K,"&lt;&gt;"&amp;"Y")/$C49),(SUMIFS(Tree!$AE:$AE,Tree!$A:$A,$B49,Tree!$D:$D,N$39,Tree!$F:$F,"L",Tree!$K:$K,"&lt;&gt;"&amp;"Y")/$C49))))</f>
        <v/>
      </c>
      <c r="O49" s="193" t="str">
        <f t="shared" si="9"/>
        <v/>
      </c>
      <c r="P49" s="292" t="str">
        <f>IF($B49="","",IF(P$39="","",IF(P$39="Snag",(SUMIFS(Tree!$AQ:$AQ,Tree!$A:$A,$B49,Tree!$F:$F,"D",Tree!$K:$K,"&lt;&gt;"&amp;"Y")/$C49),(SUMIFS(Tree!$AQ:$AQ,Tree!$A:$A,$B49,Tree!$D:$D,P$39,Tree!$F:$F,"L",Tree!$K:$K,"&lt;&gt;"&amp;"Y")/$C49))))</f>
        <v/>
      </c>
      <c r="Q49" s="445" t="str">
        <f>IF(B49="","",VLOOKUP(B49,#REF!,12,0))</f>
        <v/>
      </c>
      <c r="R49" s="448" t="str">
        <f>IF(B49="","",VLOOKUP($B49,#REF!,20,0))</f>
        <v/>
      </c>
      <c r="S49" s="86"/>
      <c r="T49" s="157" t="str">
        <f t="shared" si="10"/>
        <v/>
      </c>
      <c r="U49" s="122" t="str">
        <f t="shared" si="10"/>
        <v/>
      </c>
      <c r="V49" s="122" t="str">
        <f t="shared" si="10"/>
        <v/>
      </c>
      <c r="W49" s="122" t="str">
        <f t="shared" si="10"/>
        <v/>
      </c>
      <c r="X49" s="122" t="str">
        <f t="shared" si="10"/>
        <v/>
      </c>
      <c r="Y49" s="122" t="str">
        <f t="shared" si="10"/>
        <v/>
      </c>
      <c r="Z49" s="122" t="str">
        <f t="shared" si="10"/>
        <v/>
      </c>
      <c r="AA49" s="122" t="str">
        <f t="shared" si="10"/>
        <v/>
      </c>
      <c r="AB49" s="122" t="str">
        <f t="shared" si="10"/>
        <v/>
      </c>
      <c r="AC49" s="193" t="str">
        <f t="shared" si="10"/>
        <v/>
      </c>
      <c r="AD49" s="212" t="str">
        <f t="shared" si="10"/>
        <v/>
      </c>
      <c r="AE49" s="213" t="str">
        <f t="shared" si="10"/>
        <v/>
      </c>
      <c r="AF49" s="193" t="str">
        <f t="shared" si="11"/>
        <v/>
      </c>
    </row>
    <row r="50" spans="2:32" x14ac:dyDescent="0.25">
      <c r="B50" s="201" t="str">
        <f>IF(Stand!C13="","",Stand!C13)</f>
        <v/>
      </c>
      <c r="C50" s="208" t="str" cm="1">
        <f t="array" ref="C50">IF(SUM(IF(B50=Stand_Biomass!$B$4:$B$30,Stand_Biomass!$C$4:$C$30))&gt;0,SUM(IF(B50=Stand_Biomass!$B$4:$B$30,Stand_Biomass!$C$4:$C$30)),"")</f>
        <v/>
      </c>
      <c r="D50" s="209" t="str">
        <f>IF(B50="","",VLOOKUP($B50,Stand!$C:$G,5,0))</f>
        <v/>
      </c>
      <c r="E50" s="28"/>
      <c r="F50" s="157" t="str">
        <f>IF($B50="","",IF(F$39="","",IF(F$39="Snag",(SUMIFS(Tree!$AE:$AE,Tree!$A:$A,$B50,Tree!$F:$F,"D",Tree!$K:$K,"&lt;&gt;"&amp;"Y")/$C50),(SUMIFS(Tree!$AE:$AE,Tree!$A:$A,$B50,Tree!$D:$D,F$39,Tree!$F:$F,"L",Tree!$K:$K,"&lt;&gt;"&amp;"Y")/$C50))))</f>
        <v/>
      </c>
      <c r="G50" s="122" t="str">
        <f>IF($B50="","",IF(G$39="","",IF(G$39="Snag",(SUMIFS(Tree!$AE:$AE,Tree!$A:$A,$B50,Tree!$F:$F,"D",Tree!$K:$K,"&lt;&gt;"&amp;"Y")/$C50),(SUMIFS(Tree!$AE:$AE,Tree!$A:$A,$B50,Tree!$D:$D,G$39,Tree!$F:$F,"L",Tree!$K:$K,"&lt;&gt;"&amp;"Y")/$C50))))</f>
        <v/>
      </c>
      <c r="H50" s="122" t="str">
        <f>IF($B50="","",IF(H$39="","",IF(H$39="Snag",(SUMIFS(Tree!$AE:$AE,Tree!$A:$A,$B50,Tree!$F:$F,"D",Tree!$K:$K,"&lt;&gt;"&amp;"Y")/$C50),(SUMIFS(Tree!$AE:$AE,Tree!$A:$A,$B50,Tree!$D:$D,H$39,Tree!$F:$F,"L",Tree!$K:$K,"&lt;&gt;"&amp;"Y")/$C50))))</f>
        <v/>
      </c>
      <c r="I50" s="122" t="str">
        <f>IF($B50="","",IF(I$39="","",IF(I$39="Snag",(SUMIFS(Tree!$AE:$AE,Tree!$A:$A,$B50,Tree!$F:$F,"D",Tree!$K:$K,"&lt;&gt;"&amp;"Y")/$C50),(SUMIFS(Tree!$AE:$AE,Tree!$A:$A,$B50,Tree!$D:$D,I$39,Tree!$F:$F,"L",Tree!$K:$K,"&lt;&gt;"&amp;"Y")/$C50))))</f>
        <v/>
      </c>
      <c r="J50" s="122" t="str">
        <f>IF($B50="","",IF(J$39="","",IF(J$39="Snag",(SUMIFS(Tree!$AE:$AE,Tree!$A:$A,$B50,Tree!$F:$F,"D",Tree!$K:$K,"&lt;&gt;"&amp;"Y")/$C50),(SUMIFS(Tree!$AE:$AE,Tree!$A:$A,$B50,Tree!$D:$D,J$39,Tree!$F:$F,"L",Tree!$K:$K,"&lt;&gt;"&amp;"Y")/$C50))))</f>
        <v/>
      </c>
      <c r="K50" s="122" t="str">
        <f>IF($B50="","",IF(K$39="","",IF(K$39="Snag",(SUMIFS(Tree!$AE:$AE,Tree!$A:$A,$B50,Tree!$F:$F,"D",Tree!$K:$K,"&lt;&gt;"&amp;"Y")/$C50),(SUMIFS(Tree!$AE:$AE,Tree!$A:$A,$B50,Tree!$D:$D,K$39,Tree!$F:$F,"L",Tree!$K:$K,"&lt;&gt;"&amp;"Y")/$C50))))</f>
        <v/>
      </c>
      <c r="L50" s="122" t="str">
        <f>IF($B50="","",IF(L$39="","",IF(L$39="Snag",(SUMIFS(Tree!$AE:$AE,Tree!$A:$A,$B50,Tree!$F:$F,"D",Tree!$K:$K,"&lt;&gt;"&amp;"Y")/$C50),(SUMIFS(Tree!$AE:$AE,Tree!$A:$A,$B50,Tree!$D:$D,L$39,Tree!$F:$F,"L",Tree!$K:$K,"&lt;&gt;"&amp;"Y")/$C50))))</f>
        <v/>
      </c>
      <c r="M50" s="122" t="str">
        <f>IF($B50="","",IF(M$39="","",IF(M$39="Snag",(SUMIFS(Tree!$AE:$AE,Tree!$A:$A,$B50,Tree!$F:$F,"D",Tree!$K:$K,"&lt;&gt;"&amp;"Y")/$C50),(SUMIFS(Tree!$AE:$AE,Tree!$A:$A,$B50,Tree!$D:$D,M$39,Tree!$F:$F,"L",Tree!$K:$K,"&lt;&gt;"&amp;"Y")/$C50))))</f>
        <v/>
      </c>
      <c r="N50" s="122" t="str">
        <f>IF($B50="","",IF(N$39="","",IF(N$39="Snag",(SUMIFS(Tree!$AE:$AE,Tree!$A:$A,$B50,Tree!$F:$F,"D",Tree!$K:$K,"&lt;&gt;"&amp;"Y")/$C50),(SUMIFS(Tree!$AE:$AE,Tree!$A:$A,$B50,Tree!$D:$D,N$39,Tree!$F:$F,"L",Tree!$K:$K,"&lt;&gt;"&amp;"Y")/$C50))))</f>
        <v/>
      </c>
      <c r="O50" s="193" t="str">
        <f t="shared" si="9"/>
        <v/>
      </c>
      <c r="P50" s="292" t="str">
        <f>IF($B50="","",IF(P$39="","",IF(P$39="Snag",(SUMIFS(Tree!$AQ:$AQ,Tree!$A:$A,$B50,Tree!$F:$F,"D",Tree!$K:$K,"&lt;&gt;"&amp;"Y")/$C50),(SUMIFS(Tree!$AQ:$AQ,Tree!$A:$A,$B50,Tree!$D:$D,P$39,Tree!$F:$F,"L",Tree!$K:$K,"&lt;&gt;"&amp;"Y")/$C50))))</f>
        <v/>
      </c>
      <c r="Q50" s="445" t="str">
        <f>IF(B50="","",VLOOKUP(B50,#REF!,12,0))</f>
        <v/>
      </c>
      <c r="R50" s="448" t="str">
        <f>IF(B50="","",VLOOKUP($B50,#REF!,20,0))</f>
        <v/>
      </c>
      <c r="S50" s="86"/>
      <c r="T50" s="157" t="str">
        <f t="shared" si="10"/>
        <v/>
      </c>
      <c r="U50" s="122" t="str">
        <f t="shared" si="10"/>
        <v/>
      </c>
      <c r="V50" s="122" t="str">
        <f t="shared" si="10"/>
        <v/>
      </c>
      <c r="W50" s="122" t="str">
        <f t="shared" si="10"/>
        <v/>
      </c>
      <c r="X50" s="122" t="str">
        <f t="shared" si="10"/>
        <v/>
      </c>
      <c r="Y50" s="122" t="str">
        <f t="shared" si="10"/>
        <v/>
      </c>
      <c r="Z50" s="122" t="str">
        <f t="shared" si="10"/>
        <v/>
      </c>
      <c r="AA50" s="122" t="str">
        <f t="shared" si="10"/>
        <v/>
      </c>
      <c r="AB50" s="122" t="str">
        <f t="shared" si="10"/>
        <v/>
      </c>
      <c r="AC50" s="193" t="str">
        <f t="shared" si="10"/>
        <v/>
      </c>
      <c r="AD50" s="212" t="str">
        <f t="shared" si="10"/>
        <v/>
      </c>
      <c r="AE50" s="213" t="str">
        <f t="shared" si="10"/>
        <v/>
      </c>
      <c r="AF50" s="193" t="str">
        <f t="shared" si="11"/>
        <v/>
      </c>
    </row>
    <row r="51" spans="2:32" x14ac:dyDescent="0.25">
      <c r="B51" s="201" t="str">
        <f>IF(Stand!C14="","",Stand!C14)</f>
        <v/>
      </c>
      <c r="C51" s="208" t="str" cm="1">
        <f t="array" ref="C51">IF(SUM(IF(B51=Stand_Biomass!$B$4:$B$30,Stand_Biomass!$C$4:$C$30))&gt;0,SUM(IF(B51=Stand_Biomass!$B$4:$B$30,Stand_Biomass!$C$4:$C$30)),"")</f>
        <v/>
      </c>
      <c r="D51" s="209" t="str">
        <f>IF(B51="","",VLOOKUP($B51,Stand!$C:$G,5,0))</f>
        <v/>
      </c>
      <c r="E51" s="28"/>
      <c r="F51" s="157" t="str">
        <f>IF($B51="","",IF(F$39="","",IF(F$39="Snag",(SUMIFS(Tree!$AE:$AE,Tree!$A:$A,$B51,Tree!$F:$F,"D",Tree!$K:$K,"&lt;&gt;"&amp;"Y")/$C51),(SUMIFS(Tree!$AE:$AE,Tree!$A:$A,$B51,Tree!$D:$D,F$39,Tree!$F:$F,"L",Tree!$K:$K,"&lt;&gt;"&amp;"Y")/$C51))))</f>
        <v/>
      </c>
      <c r="G51" s="122" t="str">
        <f>IF($B51="","",IF(G$39="","",IF(G$39="Snag",(SUMIFS(Tree!$AE:$AE,Tree!$A:$A,$B51,Tree!$F:$F,"D",Tree!$K:$K,"&lt;&gt;"&amp;"Y")/$C51),(SUMIFS(Tree!$AE:$AE,Tree!$A:$A,$B51,Tree!$D:$D,G$39,Tree!$F:$F,"L",Tree!$K:$K,"&lt;&gt;"&amp;"Y")/$C51))))</f>
        <v/>
      </c>
      <c r="H51" s="122" t="str">
        <f>IF($B51="","",IF(H$39="","",IF(H$39="Snag",(SUMIFS(Tree!$AE:$AE,Tree!$A:$A,$B51,Tree!$F:$F,"D",Tree!$K:$K,"&lt;&gt;"&amp;"Y")/$C51),(SUMIFS(Tree!$AE:$AE,Tree!$A:$A,$B51,Tree!$D:$D,H$39,Tree!$F:$F,"L",Tree!$K:$K,"&lt;&gt;"&amp;"Y")/$C51))))</f>
        <v/>
      </c>
      <c r="I51" s="122" t="str">
        <f>IF($B51="","",IF(I$39="","",IF(I$39="Snag",(SUMIFS(Tree!$AE:$AE,Tree!$A:$A,$B51,Tree!$F:$F,"D",Tree!$K:$K,"&lt;&gt;"&amp;"Y")/$C51),(SUMIFS(Tree!$AE:$AE,Tree!$A:$A,$B51,Tree!$D:$D,I$39,Tree!$F:$F,"L",Tree!$K:$K,"&lt;&gt;"&amp;"Y")/$C51))))</f>
        <v/>
      </c>
      <c r="J51" s="122" t="str">
        <f>IF($B51="","",IF(J$39="","",IF(J$39="Snag",(SUMIFS(Tree!$AE:$AE,Tree!$A:$A,$B51,Tree!$F:$F,"D",Tree!$K:$K,"&lt;&gt;"&amp;"Y")/$C51),(SUMIFS(Tree!$AE:$AE,Tree!$A:$A,$B51,Tree!$D:$D,J$39,Tree!$F:$F,"L",Tree!$K:$K,"&lt;&gt;"&amp;"Y")/$C51))))</f>
        <v/>
      </c>
      <c r="K51" s="122" t="str">
        <f>IF($B51="","",IF(K$39="","",IF(K$39="Snag",(SUMIFS(Tree!$AE:$AE,Tree!$A:$A,$B51,Tree!$F:$F,"D",Tree!$K:$K,"&lt;&gt;"&amp;"Y")/$C51),(SUMIFS(Tree!$AE:$AE,Tree!$A:$A,$B51,Tree!$D:$D,K$39,Tree!$F:$F,"L",Tree!$K:$K,"&lt;&gt;"&amp;"Y")/$C51))))</f>
        <v/>
      </c>
      <c r="L51" s="122" t="str">
        <f>IF($B51="","",IF(L$39="","",IF(L$39="Snag",(SUMIFS(Tree!$AE:$AE,Tree!$A:$A,$B51,Tree!$F:$F,"D",Tree!$K:$K,"&lt;&gt;"&amp;"Y")/$C51),(SUMIFS(Tree!$AE:$AE,Tree!$A:$A,$B51,Tree!$D:$D,L$39,Tree!$F:$F,"L",Tree!$K:$K,"&lt;&gt;"&amp;"Y")/$C51))))</f>
        <v/>
      </c>
      <c r="M51" s="122" t="str">
        <f>IF($B51="","",IF(M$39="","",IF(M$39="Snag",(SUMIFS(Tree!$AE:$AE,Tree!$A:$A,$B51,Tree!$F:$F,"D",Tree!$K:$K,"&lt;&gt;"&amp;"Y")/$C51),(SUMIFS(Tree!$AE:$AE,Tree!$A:$A,$B51,Tree!$D:$D,M$39,Tree!$F:$F,"L",Tree!$K:$K,"&lt;&gt;"&amp;"Y")/$C51))))</f>
        <v/>
      </c>
      <c r="N51" s="122" t="str">
        <f>IF($B51="","",IF(N$39="","",IF(N$39="Snag",(SUMIFS(Tree!$AE:$AE,Tree!$A:$A,$B51,Tree!$F:$F,"D",Tree!$K:$K,"&lt;&gt;"&amp;"Y")/$C51),(SUMIFS(Tree!$AE:$AE,Tree!$A:$A,$B51,Tree!$D:$D,N$39,Tree!$F:$F,"L",Tree!$K:$K,"&lt;&gt;"&amp;"Y")/$C51))))</f>
        <v/>
      </c>
      <c r="O51" s="193" t="str">
        <f t="shared" si="9"/>
        <v/>
      </c>
      <c r="P51" s="292" t="str">
        <f>IF($B51="","",IF(P$39="","",IF(P$39="Snag",(SUMIFS(Tree!$AQ:$AQ,Tree!$A:$A,$B51,Tree!$F:$F,"D",Tree!$K:$K,"&lt;&gt;"&amp;"Y")/$C51),(SUMIFS(Tree!$AQ:$AQ,Tree!$A:$A,$B51,Tree!$D:$D,P$39,Tree!$F:$F,"L",Tree!$K:$K,"&lt;&gt;"&amp;"Y")/$C51))))</f>
        <v/>
      </c>
      <c r="Q51" s="445" t="str">
        <f>IF(B51="","",VLOOKUP(B51,#REF!,12,0))</f>
        <v/>
      </c>
      <c r="R51" s="448" t="str">
        <f>IF(B51="","",VLOOKUP($B51,#REF!,20,0))</f>
        <v/>
      </c>
      <c r="S51" s="86"/>
      <c r="T51" s="157" t="str">
        <f t="shared" si="10"/>
        <v/>
      </c>
      <c r="U51" s="122" t="str">
        <f t="shared" si="10"/>
        <v/>
      </c>
      <c r="V51" s="122" t="str">
        <f t="shared" si="10"/>
        <v/>
      </c>
      <c r="W51" s="122" t="str">
        <f t="shared" si="10"/>
        <v/>
      </c>
      <c r="X51" s="122" t="str">
        <f t="shared" si="10"/>
        <v/>
      </c>
      <c r="Y51" s="122" t="str">
        <f t="shared" si="10"/>
        <v/>
      </c>
      <c r="Z51" s="122" t="str">
        <f t="shared" si="10"/>
        <v/>
      </c>
      <c r="AA51" s="122" t="str">
        <f t="shared" si="10"/>
        <v/>
      </c>
      <c r="AB51" s="122" t="str">
        <f t="shared" si="10"/>
        <v/>
      </c>
      <c r="AC51" s="193" t="str">
        <f t="shared" si="10"/>
        <v/>
      </c>
      <c r="AD51" s="212" t="str">
        <f t="shared" si="10"/>
        <v/>
      </c>
      <c r="AE51" s="213" t="str">
        <f t="shared" si="10"/>
        <v/>
      </c>
      <c r="AF51" s="193" t="str">
        <f t="shared" si="11"/>
        <v/>
      </c>
    </row>
    <row r="52" spans="2:32" x14ac:dyDescent="0.25">
      <c r="B52" s="201" t="str">
        <f>IF(Stand!C15="","",Stand!C15)</f>
        <v/>
      </c>
      <c r="C52" s="208" t="str" cm="1">
        <f t="array" ref="C52">IF(SUM(IF(B52=Stand_Biomass!$B$4:$B$30,Stand_Biomass!$C$4:$C$30))&gt;0,SUM(IF(B52=Stand_Biomass!$B$4:$B$30,Stand_Biomass!$C$4:$C$30)),"")</f>
        <v/>
      </c>
      <c r="D52" s="209" t="str">
        <f>IF(B52="","",VLOOKUP($B52,Stand!$C:$G,5,0))</f>
        <v/>
      </c>
      <c r="E52" s="28"/>
      <c r="F52" s="157" t="str">
        <f>IF($B52="","",IF(F$39="","",IF(F$39="Snag",(SUMIFS(Tree!$AE:$AE,Tree!$A:$A,$B52,Tree!$F:$F,"D",Tree!$K:$K,"&lt;&gt;"&amp;"Y")/$C52),(SUMIFS(Tree!$AE:$AE,Tree!$A:$A,$B52,Tree!$D:$D,F$39,Tree!$F:$F,"L",Tree!$K:$K,"&lt;&gt;"&amp;"Y")/$C52))))</f>
        <v/>
      </c>
      <c r="G52" s="122" t="str">
        <f>IF($B52="","",IF(G$39="","",IF(G$39="Snag",(SUMIFS(Tree!$AE:$AE,Tree!$A:$A,$B52,Tree!$F:$F,"D",Tree!$K:$K,"&lt;&gt;"&amp;"Y")/$C52),(SUMIFS(Tree!$AE:$AE,Tree!$A:$A,$B52,Tree!$D:$D,G$39,Tree!$F:$F,"L",Tree!$K:$K,"&lt;&gt;"&amp;"Y")/$C52))))</f>
        <v/>
      </c>
      <c r="H52" s="122" t="str">
        <f>IF($B52="","",IF(H$39="","",IF(H$39="Snag",(SUMIFS(Tree!$AE:$AE,Tree!$A:$A,$B52,Tree!$F:$F,"D",Tree!$K:$K,"&lt;&gt;"&amp;"Y")/$C52),(SUMIFS(Tree!$AE:$AE,Tree!$A:$A,$B52,Tree!$D:$D,H$39,Tree!$F:$F,"L",Tree!$K:$K,"&lt;&gt;"&amp;"Y")/$C52))))</f>
        <v/>
      </c>
      <c r="I52" s="122" t="str">
        <f>IF($B52="","",IF(I$39="","",IF(I$39="Snag",(SUMIFS(Tree!$AE:$AE,Tree!$A:$A,$B52,Tree!$F:$F,"D",Tree!$K:$K,"&lt;&gt;"&amp;"Y")/$C52),(SUMIFS(Tree!$AE:$AE,Tree!$A:$A,$B52,Tree!$D:$D,I$39,Tree!$F:$F,"L",Tree!$K:$K,"&lt;&gt;"&amp;"Y")/$C52))))</f>
        <v/>
      </c>
      <c r="J52" s="122" t="str">
        <f>IF($B52="","",IF(J$39="","",IF(J$39="Snag",(SUMIFS(Tree!$AE:$AE,Tree!$A:$A,$B52,Tree!$F:$F,"D",Tree!$K:$K,"&lt;&gt;"&amp;"Y")/$C52),(SUMIFS(Tree!$AE:$AE,Tree!$A:$A,$B52,Tree!$D:$D,J$39,Tree!$F:$F,"L",Tree!$K:$K,"&lt;&gt;"&amp;"Y")/$C52))))</f>
        <v/>
      </c>
      <c r="K52" s="122" t="str">
        <f>IF($B52="","",IF(K$39="","",IF(K$39="Snag",(SUMIFS(Tree!$AE:$AE,Tree!$A:$A,$B52,Tree!$F:$F,"D",Tree!$K:$K,"&lt;&gt;"&amp;"Y")/$C52),(SUMIFS(Tree!$AE:$AE,Tree!$A:$A,$B52,Tree!$D:$D,K$39,Tree!$F:$F,"L",Tree!$K:$K,"&lt;&gt;"&amp;"Y")/$C52))))</f>
        <v/>
      </c>
      <c r="L52" s="122" t="str">
        <f>IF($B52="","",IF(L$39="","",IF(L$39="Snag",(SUMIFS(Tree!$AE:$AE,Tree!$A:$A,$B52,Tree!$F:$F,"D",Tree!$K:$K,"&lt;&gt;"&amp;"Y")/$C52),(SUMIFS(Tree!$AE:$AE,Tree!$A:$A,$B52,Tree!$D:$D,L$39,Tree!$F:$F,"L",Tree!$K:$K,"&lt;&gt;"&amp;"Y")/$C52))))</f>
        <v/>
      </c>
      <c r="M52" s="122" t="str">
        <f>IF($B52="","",IF(M$39="","",IF(M$39="Snag",(SUMIFS(Tree!$AE:$AE,Tree!$A:$A,$B52,Tree!$F:$F,"D",Tree!$K:$K,"&lt;&gt;"&amp;"Y")/$C52),(SUMIFS(Tree!$AE:$AE,Tree!$A:$A,$B52,Tree!$D:$D,M$39,Tree!$F:$F,"L",Tree!$K:$K,"&lt;&gt;"&amp;"Y")/$C52))))</f>
        <v/>
      </c>
      <c r="N52" s="122" t="str">
        <f>IF($B52="","",IF(N$39="","",IF(N$39="Snag",(SUMIFS(Tree!$AE:$AE,Tree!$A:$A,$B52,Tree!$F:$F,"D",Tree!$K:$K,"&lt;&gt;"&amp;"Y")/$C52),(SUMIFS(Tree!$AE:$AE,Tree!$A:$A,$B52,Tree!$D:$D,N$39,Tree!$F:$F,"L",Tree!$K:$K,"&lt;&gt;"&amp;"Y")/$C52))))</f>
        <v/>
      </c>
      <c r="O52" s="193" t="str">
        <f t="shared" si="9"/>
        <v/>
      </c>
      <c r="P52" s="292" t="str">
        <f>IF($B52="","",IF(P$39="","",IF(P$39="Snag",(SUMIFS(Tree!$AQ:$AQ,Tree!$A:$A,$B52,Tree!$F:$F,"D",Tree!$K:$K,"&lt;&gt;"&amp;"Y")/$C52),(SUMIFS(Tree!$AQ:$AQ,Tree!$A:$A,$B52,Tree!$D:$D,P$39,Tree!$F:$F,"L",Tree!$K:$K,"&lt;&gt;"&amp;"Y")/$C52))))</f>
        <v/>
      </c>
      <c r="Q52" s="445" t="str">
        <f>IF(B52="","",VLOOKUP(B52,#REF!,12,0))</f>
        <v/>
      </c>
      <c r="R52" s="448" t="str">
        <f>IF(B52="","",VLOOKUP($B52,#REF!,20,0))</f>
        <v/>
      </c>
      <c r="S52" s="86"/>
      <c r="T52" s="157" t="str">
        <f t="shared" si="10"/>
        <v/>
      </c>
      <c r="U52" s="122" t="str">
        <f t="shared" si="10"/>
        <v/>
      </c>
      <c r="V52" s="122" t="str">
        <f t="shared" si="10"/>
        <v/>
      </c>
      <c r="W52" s="122" t="str">
        <f t="shared" si="10"/>
        <v/>
      </c>
      <c r="X52" s="122" t="str">
        <f t="shared" si="10"/>
        <v/>
      </c>
      <c r="Y52" s="122" t="str">
        <f t="shared" si="10"/>
        <v/>
      </c>
      <c r="Z52" s="122" t="str">
        <f t="shared" si="10"/>
        <v/>
      </c>
      <c r="AA52" s="122" t="str">
        <f t="shared" si="10"/>
        <v/>
      </c>
      <c r="AB52" s="122" t="str">
        <f t="shared" si="10"/>
        <v/>
      </c>
      <c r="AC52" s="193" t="str">
        <f t="shared" si="10"/>
        <v/>
      </c>
      <c r="AD52" s="212" t="str">
        <f t="shared" si="10"/>
        <v/>
      </c>
      <c r="AE52" s="213" t="str">
        <f t="shared" si="10"/>
        <v/>
      </c>
      <c r="AF52" s="193" t="str">
        <f t="shared" si="11"/>
        <v/>
      </c>
    </row>
    <row r="53" spans="2:32" x14ac:dyDescent="0.25">
      <c r="B53" s="201" t="str">
        <f>IF(Stand!C16="","",Stand!C16)</f>
        <v/>
      </c>
      <c r="C53" s="208" t="str" cm="1">
        <f t="array" ref="C53">IF(SUM(IF(B53=Stand_Biomass!$B$4:$B$30,Stand_Biomass!$C$4:$C$30))&gt;0,SUM(IF(B53=Stand_Biomass!$B$4:$B$30,Stand_Biomass!$C$4:$C$30)),"")</f>
        <v/>
      </c>
      <c r="D53" s="209" t="str">
        <f>IF(B53="","",VLOOKUP($B53,Stand!$C:$G,5,0))</f>
        <v/>
      </c>
      <c r="E53" s="28"/>
      <c r="F53" s="157" t="str">
        <f>IF($B53="","",IF(F$39="","",IF(F$39="Snag",(SUMIFS(Tree!$AE:$AE,Tree!$A:$A,$B53,Tree!$F:$F,"D",Tree!$K:$K,"&lt;&gt;"&amp;"Y")/$C53),(SUMIFS(Tree!$AE:$AE,Tree!$A:$A,$B53,Tree!$D:$D,F$39,Tree!$F:$F,"L",Tree!$K:$K,"&lt;&gt;"&amp;"Y")/$C53))))</f>
        <v/>
      </c>
      <c r="G53" s="122" t="str">
        <f>IF($B53="","",IF(G$39="","",IF(G$39="Snag",(SUMIFS(Tree!$AE:$AE,Tree!$A:$A,$B53,Tree!$F:$F,"D",Tree!$K:$K,"&lt;&gt;"&amp;"Y")/$C53),(SUMIFS(Tree!$AE:$AE,Tree!$A:$A,$B53,Tree!$D:$D,G$39,Tree!$F:$F,"L",Tree!$K:$K,"&lt;&gt;"&amp;"Y")/$C53))))</f>
        <v/>
      </c>
      <c r="H53" s="122" t="str">
        <f>IF($B53="","",IF(H$39="","",IF(H$39="Snag",(SUMIFS(Tree!$AE:$AE,Tree!$A:$A,$B53,Tree!$F:$F,"D",Tree!$K:$K,"&lt;&gt;"&amp;"Y")/$C53),(SUMIFS(Tree!$AE:$AE,Tree!$A:$A,$B53,Tree!$D:$D,H$39,Tree!$F:$F,"L",Tree!$K:$K,"&lt;&gt;"&amp;"Y")/$C53))))</f>
        <v/>
      </c>
      <c r="I53" s="122" t="str">
        <f>IF($B53="","",IF(I$39="","",IF(I$39="Snag",(SUMIFS(Tree!$AE:$AE,Tree!$A:$A,$B53,Tree!$F:$F,"D",Tree!$K:$K,"&lt;&gt;"&amp;"Y")/$C53),(SUMIFS(Tree!$AE:$AE,Tree!$A:$A,$B53,Tree!$D:$D,I$39,Tree!$F:$F,"L",Tree!$K:$K,"&lt;&gt;"&amp;"Y")/$C53))))</f>
        <v/>
      </c>
      <c r="J53" s="122" t="str">
        <f>IF($B53="","",IF(J$39="","",IF(J$39="Snag",(SUMIFS(Tree!$AE:$AE,Tree!$A:$A,$B53,Tree!$F:$F,"D",Tree!$K:$K,"&lt;&gt;"&amp;"Y")/$C53),(SUMIFS(Tree!$AE:$AE,Tree!$A:$A,$B53,Tree!$D:$D,J$39,Tree!$F:$F,"L",Tree!$K:$K,"&lt;&gt;"&amp;"Y")/$C53))))</f>
        <v/>
      </c>
      <c r="K53" s="122" t="str">
        <f>IF($B53="","",IF(K$39="","",IF(K$39="Snag",(SUMIFS(Tree!$AE:$AE,Tree!$A:$A,$B53,Tree!$F:$F,"D",Tree!$K:$K,"&lt;&gt;"&amp;"Y")/$C53),(SUMIFS(Tree!$AE:$AE,Tree!$A:$A,$B53,Tree!$D:$D,K$39,Tree!$F:$F,"L",Tree!$K:$K,"&lt;&gt;"&amp;"Y")/$C53))))</f>
        <v/>
      </c>
      <c r="L53" s="122" t="str">
        <f>IF($B53="","",IF(L$39="","",IF(L$39="Snag",(SUMIFS(Tree!$AE:$AE,Tree!$A:$A,$B53,Tree!$F:$F,"D",Tree!$K:$K,"&lt;&gt;"&amp;"Y")/$C53),(SUMIFS(Tree!$AE:$AE,Tree!$A:$A,$B53,Tree!$D:$D,L$39,Tree!$F:$F,"L",Tree!$K:$K,"&lt;&gt;"&amp;"Y")/$C53))))</f>
        <v/>
      </c>
      <c r="M53" s="122" t="str">
        <f>IF($B53="","",IF(M$39="","",IF(M$39="Snag",(SUMIFS(Tree!$AE:$AE,Tree!$A:$A,$B53,Tree!$F:$F,"D",Tree!$K:$K,"&lt;&gt;"&amp;"Y")/$C53),(SUMIFS(Tree!$AE:$AE,Tree!$A:$A,$B53,Tree!$D:$D,M$39,Tree!$F:$F,"L",Tree!$K:$K,"&lt;&gt;"&amp;"Y")/$C53))))</f>
        <v/>
      </c>
      <c r="N53" s="122" t="str">
        <f>IF($B53="","",IF(N$39="","",IF(N$39="Snag",(SUMIFS(Tree!$AE:$AE,Tree!$A:$A,$B53,Tree!$F:$F,"D",Tree!$K:$K,"&lt;&gt;"&amp;"Y")/$C53),(SUMIFS(Tree!$AE:$AE,Tree!$A:$A,$B53,Tree!$D:$D,N$39,Tree!$F:$F,"L",Tree!$K:$K,"&lt;&gt;"&amp;"Y")/$C53))))</f>
        <v/>
      </c>
      <c r="O53" s="193" t="str">
        <f t="shared" si="9"/>
        <v/>
      </c>
      <c r="P53" s="292" t="str">
        <f>IF($B53="","",IF(P$39="","",IF(P$39="Snag",(SUMIFS(Tree!$AQ:$AQ,Tree!$A:$A,$B53,Tree!$F:$F,"D",Tree!$K:$K,"&lt;&gt;"&amp;"Y")/$C53),(SUMIFS(Tree!$AQ:$AQ,Tree!$A:$A,$B53,Tree!$D:$D,P$39,Tree!$F:$F,"L",Tree!$K:$K,"&lt;&gt;"&amp;"Y")/$C53))))</f>
        <v/>
      </c>
      <c r="Q53" s="445" t="str">
        <f>IF(B53="","",VLOOKUP(B53,#REF!,12,0))</f>
        <v/>
      </c>
      <c r="R53" s="448" t="str">
        <f>IF(B53="","",VLOOKUP($B53,#REF!,20,0))</f>
        <v/>
      </c>
      <c r="S53" s="86"/>
      <c r="T53" s="157" t="str">
        <f t="shared" si="10"/>
        <v/>
      </c>
      <c r="U53" s="122" t="str">
        <f t="shared" si="10"/>
        <v/>
      </c>
      <c r="V53" s="122" t="str">
        <f t="shared" si="10"/>
        <v/>
      </c>
      <c r="W53" s="122" t="str">
        <f t="shared" si="10"/>
        <v/>
      </c>
      <c r="X53" s="122" t="str">
        <f t="shared" si="10"/>
        <v/>
      </c>
      <c r="Y53" s="122" t="str">
        <f t="shared" si="10"/>
        <v/>
      </c>
      <c r="Z53" s="122" t="str">
        <f t="shared" si="10"/>
        <v/>
      </c>
      <c r="AA53" s="122" t="str">
        <f t="shared" si="10"/>
        <v/>
      </c>
      <c r="AB53" s="122" t="str">
        <f t="shared" si="10"/>
        <v/>
      </c>
      <c r="AC53" s="193" t="str">
        <f t="shared" si="10"/>
        <v/>
      </c>
      <c r="AD53" s="212" t="str">
        <f t="shared" si="10"/>
        <v/>
      </c>
      <c r="AE53" s="213" t="str">
        <f t="shared" si="10"/>
        <v/>
      </c>
      <c r="AF53" s="193" t="str">
        <f t="shared" si="11"/>
        <v/>
      </c>
    </row>
    <row r="54" spans="2:32" x14ac:dyDescent="0.25">
      <c r="B54" s="201" t="str">
        <f>IF(Stand!C17="","",Stand!C17)</f>
        <v/>
      </c>
      <c r="C54" s="208" t="str" cm="1">
        <f t="array" ref="C54">IF(SUM(IF(B54=Stand_Biomass!$B$4:$B$30,Stand_Biomass!$C$4:$C$30))&gt;0,SUM(IF(B54=Stand_Biomass!$B$4:$B$30,Stand_Biomass!$C$4:$C$30)),"")</f>
        <v/>
      </c>
      <c r="D54" s="209" t="str">
        <f>IF(B54="","",VLOOKUP($B54,Stand!$C:$G,5,0))</f>
        <v/>
      </c>
      <c r="E54" s="28"/>
      <c r="F54" s="157" t="str">
        <f>IF($B54="","",IF(F$39="","",IF(F$39="Snag",(SUMIFS(Tree!$AE:$AE,Tree!$A:$A,$B54,Tree!$F:$F,"D",Tree!$K:$K,"&lt;&gt;"&amp;"Y")/$C54),(SUMIFS(Tree!$AE:$AE,Tree!$A:$A,$B54,Tree!$D:$D,F$39,Tree!$F:$F,"L",Tree!$K:$K,"&lt;&gt;"&amp;"Y")/$C54))))</f>
        <v/>
      </c>
      <c r="G54" s="122" t="str">
        <f>IF($B54="","",IF(G$39="","",IF(G$39="Snag",(SUMIFS(Tree!$AE:$AE,Tree!$A:$A,$B54,Tree!$F:$F,"D",Tree!$K:$K,"&lt;&gt;"&amp;"Y")/$C54),(SUMIFS(Tree!$AE:$AE,Tree!$A:$A,$B54,Tree!$D:$D,G$39,Tree!$F:$F,"L",Tree!$K:$K,"&lt;&gt;"&amp;"Y")/$C54))))</f>
        <v/>
      </c>
      <c r="H54" s="122" t="str">
        <f>IF($B54="","",IF(H$39="","",IF(H$39="Snag",(SUMIFS(Tree!$AE:$AE,Tree!$A:$A,$B54,Tree!$F:$F,"D",Tree!$K:$K,"&lt;&gt;"&amp;"Y")/$C54),(SUMIFS(Tree!$AE:$AE,Tree!$A:$A,$B54,Tree!$D:$D,H$39,Tree!$F:$F,"L",Tree!$K:$K,"&lt;&gt;"&amp;"Y")/$C54))))</f>
        <v/>
      </c>
      <c r="I54" s="122" t="str">
        <f>IF($B54="","",IF(I$39="","",IF(I$39="Snag",(SUMIFS(Tree!$AE:$AE,Tree!$A:$A,$B54,Tree!$F:$F,"D",Tree!$K:$K,"&lt;&gt;"&amp;"Y")/$C54),(SUMIFS(Tree!$AE:$AE,Tree!$A:$A,$B54,Tree!$D:$D,I$39,Tree!$F:$F,"L",Tree!$K:$K,"&lt;&gt;"&amp;"Y")/$C54))))</f>
        <v/>
      </c>
      <c r="J54" s="122" t="str">
        <f>IF($B54="","",IF(J$39="","",IF(J$39="Snag",(SUMIFS(Tree!$AE:$AE,Tree!$A:$A,$B54,Tree!$F:$F,"D",Tree!$K:$K,"&lt;&gt;"&amp;"Y")/$C54),(SUMIFS(Tree!$AE:$AE,Tree!$A:$A,$B54,Tree!$D:$D,J$39,Tree!$F:$F,"L",Tree!$K:$K,"&lt;&gt;"&amp;"Y")/$C54))))</f>
        <v/>
      </c>
      <c r="K54" s="122" t="str">
        <f>IF($B54="","",IF(K$39="","",IF(K$39="Snag",(SUMIFS(Tree!$AE:$AE,Tree!$A:$A,$B54,Tree!$F:$F,"D",Tree!$K:$K,"&lt;&gt;"&amp;"Y")/$C54),(SUMIFS(Tree!$AE:$AE,Tree!$A:$A,$B54,Tree!$D:$D,K$39,Tree!$F:$F,"L",Tree!$K:$K,"&lt;&gt;"&amp;"Y")/$C54))))</f>
        <v/>
      </c>
      <c r="L54" s="122" t="str">
        <f>IF($B54="","",IF(L$39="","",IF(L$39="Snag",(SUMIFS(Tree!$AE:$AE,Tree!$A:$A,$B54,Tree!$F:$F,"D",Tree!$K:$K,"&lt;&gt;"&amp;"Y")/$C54),(SUMIFS(Tree!$AE:$AE,Tree!$A:$A,$B54,Tree!$D:$D,L$39,Tree!$F:$F,"L",Tree!$K:$K,"&lt;&gt;"&amp;"Y")/$C54))))</f>
        <v/>
      </c>
      <c r="M54" s="122" t="str">
        <f>IF($B54="","",IF(M$39="","",IF(M$39="Snag",(SUMIFS(Tree!$AE:$AE,Tree!$A:$A,$B54,Tree!$F:$F,"D",Tree!$K:$K,"&lt;&gt;"&amp;"Y")/$C54),(SUMIFS(Tree!$AE:$AE,Tree!$A:$A,$B54,Tree!$D:$D,M$39,Tree!$F:$F,"L",Tree!$K:$K,"&lt;&gt;"&amp;"Y")/$C54))))</f>
        <v/>
      </c>
      <c r="N54" s="122" t="str">
        <f>IF($B54="","",IF(N$39="","",IF(N$39="Snag",(SUMIFS(Tree!$AE:$AE,Tree!$A:$A,$B54,Tree!$F:$F,"D",Tree!$K:$K,"&lt;&gt;"&amp;"Y")/$C54),(SUMIFS(Tree!$AE:$AE,Tree!$A:$A,$B54,Tree!$D:$D,N$39,Tree!$F:$F,"L",Tree!$K:$K,"&lt;&gt;"&amp;"Y")/$C54))))</f>
        <v/>
      </c>
      <c r="O54" s="193" t="str">
        <f t="shared" si="9"/>
        <v/>
      </c>
      <c r="P54" s="292" t="str">
        <f>IF($B54="","",IF(P$39="","",IF(P$39="Snag",(SUMIFS(Tree!$AQ:$AQ,Tree!$A:$A,$B54,Tree!$F:$F,"D",Tree!$K:$K,"&lt;&gt;"&amp;"Y")/$C54),(SUMIFS(Tree!$AQ:$AQ,Tree!$A:$A,$B54,Tree!$D:$D,P$39,Tree!$F:$F,"L",Tree!$K:$K,"&lt;&gt;"&amp;"Y")/$C54))))</f>
        <v/>
      </c>
      <c r="Q54" s="445" t="str">
        <f>IF(B54="","",VLOOKUP(B54,#REF!,12,0))</f>
        <v/>
      </c>
      <c r="R54" s="448" t="str">
        <f>IF(B54="","",VLOOKUP($B54,#REF!,20,0))</f>
        <v/>
      </c>
      <c r="S54" s="86"/>
      <c r="T54" s="157" t="str">
        <f t="shared" si="10"/>
        <v/>
      </c>
      <c r="U54" s="122" t="str">
        <f t="shared" si="10"/>
        <v/>
      </c>
      <c r="V54" s="122" t="str">
        <f t="shared" si="10"/>
        <v/>
      </c>
      <c r="W54" s="122" t="str">
        <f t="shared" si="10"/>
        <v/>
      </c>
      <c r="X54" s="122" t="str">
        <f t="shared" si="10"/>
        <v/>
      </c>
      <c r="Y54" s="122" t="str">
        <f t="shared" si="10"/>
        <v/>
      </c>
      <c r="Z54" s="122" t="str">
        <f t="shared" si="10"/>
        <v/>
      </c>
      <c r="AA54" s="122" t="str">
        <f t="shared" si="10"/>
        <v/>
      </c>
      <c r="AB54" s="122" t="str">
        <f t="shared" si="10"/>
        <v/>
      </c>
      <c r="AC54" s="193" t="str">
        <f t="shared" si="10"/>
        <v/>
      </c>
      <c r="AD54" s="212" t="str">
        <f t="shared" si="10"/>
        <v/>
      </c>
      <c r="AE54" s="213" t="str">
        <f t="shared" si="10"/>
        <v/>
      </c>
      <c r="AF54" s="193" t="str">
        <f t="shared" si="11"/>
        <v/>
      </c>
    </row>
    <row r="55" spans="2:32" x14ac:dyDescent="0.25">
      <c r="B55" s="201" t="str">
        <f>IF(Stand!C18="","",Stand!C18)</f>
        <v/>
      </c>
      <c r="C55" s="208" t="str" cm="1">
        <f t="array" ref="C55">IF(SUM(IF(B55=Stand_Biomass!$B$4:$B$30,Stand_Biomass!$C$4:$C$30))&gt;0,SUM(IF(B55=Stand_Biomass!$B$4:$B$30,Stand_Biomass!$C$4:$C$30)),"")</f>
        <v/>
      </c>
      <c r="D55" s="209" t="str">
        <f>IF(B55="","",VLOOKUP($B55,Stand!$C:$G,5,0))</f>
        <v/>
      </c>
      <c r="E55" s="28"/>
      <c r="F55" s="157" t="str">
        <f>IF($B55="","",IF(F$39="","",IF(F$39="Snag",(SUMIFS(Tree!$AE:$AE,Tree!$A:$A,$B55,Tree!$F:$F,"D",Tree!$K:$K,"&lt;&gt;"&amp;"Y")/$C55),(SUMIFS(Tree!$AE:$AE,Tree!$A:$A,$B55,Tree!$D:$D,F$39,Tree!$F:$F,"L",Tree!$K:$K,"&lt;&gt;"&amp;"Y")/$C55))))</f>
        <v/>
      </c>
      <c r="G55" s="122" t="str">
        <f>IF($B55="","",IF(G$39="","",IF(G$39="Snag",(SUMIFS(Tree!$AE:$AE,Tree!$A:$A,$B55,Tree!$F:$F,"D",Tree!$K:$K,"&lt;&gt;"&amp;"Y")/$C55),(SUMIFS(Tree!$AE:$AE,Tree!$A:$A,$B55,Tree!$D:$D,G$39,Tree!$F:$F,"L",Tree!$K:$K,"&lt;&gt;"&amp;"Y")/$C55))))</f>
        <v/>
      </c>
      <c r="H55" s="122" t="str">
        <f>IF($B55="","",IF(H$39="","",IF(H$39="Snag",(SUMIFS(Tree!$AE:$AE,Tree!$A:$A,$B55,Tree!$F:$F,"D",Tree!$K:$K,"&lt;&gt;"&amp;"Y")/$C55),(SUMIFS(Tree!$AE:$AE,Tree!$A:$A,$B55,Tree!$D:$D,H$39,Tree!$F:$F,"L",Tree!$K:$K,"&lt;&gt;"&amp;"Y")/$C55))))</f>
        <v/>
      </c>
      <c r="I55" s="122" t="str">
        <f>IF($B55="","",IF(I$39="","",IF(I$39="Snag",(SUMIFS(Tree!$AE:$AE,Tree!$A:$A,$B55,Tree!$F:$F,"D",Tree!$K:$K,"&lt;&gt;"&amp;"Y")/$C55),(SUMIFS(Tree!$AE:$AE,Tree!$A:$A,$B55,Tree!$D:$D,I$39,Tree!$F:$F,"L",Tree!$K:$K,"&lt;&gt;"&amp;"Y")/$C55))))</f>
        <v/>
      </c>
      <c r="J55" s="122" t="str">
        <f>IF($B55="","",IF(J$39="","",IF(J$39="Snag",(SUMIFS(Tree!$AE:$AE,Tree!$A:$A,$B55,Tree!$F:$F,"D",Tree!$K:$K,"&lt;&gt;"&amp;"Y")/$C55),(SUMIFS(Tree!$AE:$AE,Tree!$A:$A,$B55,Tree!$D:$D,J$39,Tree!$F:$F,"L",Tree!$K:$K,"&lt;&gt;"&amp;"Y")/$C55))))</f>
        <v/>
      </c>
      <c r="K55" s="122" t="str">
        <f>IF($B55="","",IF(K$39="","",IF(K$39="Snag",(SUMIFS(Tree!$AE:$AE,Tree!$A:$A,$B55,Tree!$F:$F,"D",Tree!$K:$K,"&lt;&gt;"&amp;"Y")/$C55),(SUMIFS(Tree!$AE:$AE,Tree!$A:$A,$B55,Tree!$D:$D,K$39,Tree!$F:$F,"L",Tree!$K:$K,"&lt;&gt;"&amp;"Y")/$C55))))</f>
        <v/>
      </c>
      <c r="L55" s="122" t="str">
        <f>IF($B55="","",IF(L$39="","",IF(L$39="Snag",(SUMIFS(Tree!$AE:$AE,Tree!$A:$A,$B55,Tree!$F:$F,"D",Tree!$K:$K,"&lt;&gt;"&amp;"Y")/$C55),(SUMIFS(Tree!$AE:$AE,Tree!$A:$A,$B55,Tree!$D:$D,L$39,Tree!$F:$F,"L",Tree!$K:$K,"&lt;&gt;"&amp;"Y")/$C55))))</f>
        <v/>
      </c>
      <c r="M55" s="122" t="str">
        <f>IF($B55="","",IF(M$39="","",IF(M$39="Snag",(SUMIFS(Tree!$AE:$AE,Tree!$A:$A,$B55,Tree!$F:$F,"D",Tree!$K:$K,"&lt;&gt;"&amp;"Y")/$C55),(SUMIFS(Tree!$AE:$AE,Tree!$A:$A,$B55,Tree!$D:$D,M$39,Tree!$F:$F,"L",Tree!$K:$K,"&lt;&gt;"&amp;"Y")/$C55))))</f>
        <v/>
      </c>
      <c r="N55" s="122" t="str">
        <f>IF($B55="","",IF(N$39="","",IF(N$39="Snag",(SUMIFS(Tree!$AE:$AE,Tree!$A:$A,$B55,Tree!$F:$F,"D",Tree!$K:$K,"&lt;&gt;"&amp;"Y")/$C55),(SUMIFS(Tree!$AE:$AE,Tree!$A:$A,$B55,Tree!$D:$D,N$39,Tree!$F:$F,"L",Tree!$K:$K,"&lt;&gt;"&amp;"Y")/$C55))))</f>
        <v/>
      </c>
      <c r="O55" s="193" t="str">
        <f t="shared" si="9"/>
        <v/>
      </c>
      <c r="P55" s="292" t="str">
        <f>IF($B55="","",IF(P$39="","",IF(P$39="Snag",(SUMIFS(Tree!$AQ:$AQ,Tree!$A:$A,$B55,Tree!$F:$F,"D",Tree!$K:$K,"&lt;&gt;"&amp;"Y")/$C55),(SUMIFS(Tree!$AQ:$AQ,Tree!$A:$A,$B55,Tree!$D:$D,P$39,Tree!$F:$F,"L",Tree!$K:$K,"&lt;&gt;"&amp;"Y")/$C55))))</f>
        <v/>
      </c>
      <c r="Q55" s="445" t="str">
        <f>IF(B55="","",VLOOKUP(B55,#REF!,12,0))</f>
        <v/>
      </c>
      <c r="R55" s="448" t="str">
        <f>IF(B55="","",VLOOKUP($B55,#REF!,20,0))</f>
        <v/>
      </c>
      <c r="S55" s="86"/>
      <c r="T55" s="157" t="str">
        <f t="shared" si="10"/>
        <v/>
      </c>
      <c r="U55" s="122" t="str">
        <f t="shared" si="10"/>
        <v/>
      </c>
      <c r="V55" s="122" t="str">
        <f t="shared" si="10"/>
        <v/>
      </c>
      <c r="W55" s="122" t="str">
        <f t="shared" si="10"/>
        <v/>
      </c>
      <c r="X55" s="122" t="str">
        <f t="shared" si="10"/>
        <v/>
      </c>
      <c r="Y55" s="122" t="str">
        <f t="shared" si="10"/>
        <v/>
      </c>
      <c r="Z55" s="122" t="str">
        <f t="shared" si="10"/>
        <v/>
      </c>
      <c r="AA55" s="122" t="str">
        <f t="shared" si="10"/>
        <v/>
      </c>
      <c r="AB55" s="122" t="str">
        <f t="shared" si="10"/>
        <v/>
      </c>
      <c r="AC55" s="193" t="str">
        <f t="shared" si="10"/>
        <v/>
      </c>
      <c r="AD55" s="212" t="str">
        <f t="shared" si="10"/>
        <v/>
      </c>
      <c r="AE55" s="213" t="str">
        <f t="shared" si="10"/>
        <v/>
      </c>
      <c r="AF55" s="193" t="str">
        <f t="shared" si="11"/>
        <v/>
      </c>
    </row>
    <row r="56" spans="2:32" x14ac:dyDescent="0.25">
      <c r="B56" s="201" t="str">
        <f>IF(Stand!C19="","",Stand!C19)</f>
        <v/>
      </c>
      <c r="C56" s="208" t="str" cm="1">
        <f t="array" ref="C56">IF(SUM(IF(B56=Stand_Biomass!$B$4:$B$30,Stand_Biomass!$C$4:$C$30))&gt;0,SUM(IF(B56=Stand_Biomass!$B$4:$B$30,Stand_Biomass!$C$4:$C$30)),"")</f>
        <v/>
      </c>
      <c r="D56" s="209" t="str">
        <f>IF(B56="","",VLOOKUP($B56,Stand!$C:$G,5,0))</f>
        <v/>
      </c>
      <c r="E56" s="28"/>
      <c r="F56" s="157" t="str">
        <f>IF($B56="","",IF(F$39="","",IF(F$39="Snag",(SUMIFS(Tree!$AE:$AE,Tree!$A:$A,$B56,Tree!$F:$F,"D",Tree!$K:$K,"&lt;&gt;"&amp;"Y")/$C56),(SUMIFS(Tree!$AE:$AE,Tree!$A:$A,$B56,Tree!$D:$D,F$39,Tree!$F:$F,"L",Tree!$K:$K,"&lt;&gt;"&amp;"Y")/$C56))))</f>
        <v/>
      </c>
      <c r="G56" s="122" t="str">
        <f>IF($B56="","",IF(G$39="","",IF(G$39="Snag",(SUMIFS(Tree!$AE:$AE,Tree!$A:$A,$B56,Tree!$F:$F,"D",Tree!$K:$K,"&lt;&gt;"&amp;"Y")/$C56),(SUMIFS(Tree!$AE:$AE,Tree!$A:$A,$B56,Tree!$D:$D,G$39,Tree!$F:$F,"L",Tree!$K:$K,"&lt;&gt;"&amp;"Y")/$C56))))</f>
        <v/>
      </c>
      <c r="H56" s="122" t="str">
        <f>IF($B56="","",IF(H$39="","",IF(H$39="Snag",(SUMIFS(Tree!$AE:$AE,Tree!$A:$A,$B56,Tree!$F:$F,"D",Tree!$K:$K,"&lt;&gt;"&amp;"Y")/$C56),(SUMIFS(Tree!$AE:$AE,Tree!$A:$A,$B56,Tree!$D:$D,H$39,Tree!$F:$F,"L",Tree!$K:$K,"&lt;&gt;"&amp;"Y")/$C56))))</f>
        <v/>
      </c>
      <c r="I56" s="122" t="str">
        <f>IF($B56="","",IF(I$39="","",IF(I$39="Snag",(SUMIFS(Tree!$AE:$AE,Tree!$A:$A,$B56,Tree!$F:$F,"D",Tree!$K:$K,"&lt;&gt;"&amp;"Y")/$C56),(SUMIFS(Tree!$AE:$AE,Tree!$A:$A,$B56,Tree!$D:$D,I$39,Tree!$F:$F,"L",Tree!$K:$K,"&lt;&gt;"&amp;"Y")/$C56))))</f>
        <v/>
      </c>
      <c r="J56" s="122" t="str">
        <f>IF($B56="","",IF(J$39="","",IF(J$39="Snag",(SUMIFS(Tree!$AE:$AE,Tree!$A:$A,$B56,Tree!$F:$F,"D",Tree!$K:$K,"&lt;&gt;"&amp;"Y")/$C56),(SUMIFS(Tree!$AE:$AE,Tree!$A:$A,$B56,Tree!$D:$D,J$39,Tree!$F:$F,"L",Tree!$K:$K,"&lt;&gt;"&amp;"Y")/$C56))))</f>
        <v/>
      </c>
      <c r="K56" s="122" t="str">
        <f>IF($B56="","",IF(K$39="","",IF(K$39="Snag",(SUMIFS(Tree!$AE:$AE,Tree!$A:$A,$B56,Tree!$F:$F,"D",Tree!$K:$K,"&lt;&gt;"&amp;"Y")/$C56),(SUMIFS(Tree!$AE:$AE,Tree!$A:$A,$B56,Tree!$D:$D,K$39,Tree!$F:$F,"L",Tree!$K:$K,"&lt;&gt;"&amp;"Y")/$C56))))</f>
        <v/>
      </c>
      <c r="L56" s="122" t="str">
        <f>IF($B56="","",IF(L$39="","",IF(L$39="Snag",(SUMIFS(Tree!$AE:$AE,Tree!$A:$A,$B56,Tree!$F:$F,"D",Tree!$K:$K,"&lt;&gt;"&amp;"Y")/$C56),(SUMIFS(Tree!$AE:$AE,Tree!$A:$A,$B56,Tree!$D:$D,L$39,Tree!$F:$F,"L",Tree!$K:$K,"&lt;&gt;"&amp;"Y")/$C56))))</f>
        <v/>
      </c>
      <c r="M56" s="122" t="str">
        <f>IF($B56="","",IF(M$39="","",IF(M$39="Snag",(SUMIFS(Tree!$AE:$AE,Tree!$A:$A,$B56,Tree!$F:$F,"D",Tree!$K:$K,"&lt;&gt;"&amp;"Y")/$C56),(SUMIFS(Tree!$AE:$AE,Tree!$A:$A,$B56,Tree!$D:$D,M$39,Tree!$F:$F,"L",Tree!$K:$K,"&lt;&gt;"&amp;"Y")/$C56))))</f>
        <v/>
      </c>
      <c r="N56" s="122" t="str">
        <f>IF($B56="","",IF(N$39="","",IF(N$39="Snag",(SUMIFS(Tree!$AE:$AE,Tree!$A:$A,$B56,Tree!$F:$F,"D",Tree!$K:$K,"&lt;&gt;"&amp;"Y")/$C56),(SUMIFS(Tree!$AE:$AE,Tree!$A:$A,$B56,Tree!$D:$D,N$39,Tree!$F:$F,"L",Tree!$K:$K,"&lt;&gt;"&amp;"Y")/$C56))))</f>
        <v/>
      </c>
      <c r="O56" s="193" t="str">
        <f t="shared" si="9"/>
        <v/>
      </c>
      <c r="P56" s="292" t="str">
        <f>IF($B56="","",IF(P$39="","",IF(P$39="Snag",(SUMIFS(Tree!$AQ:$AQ,Tree!$A:$A,$B56,Tree!$F:$F,"D",Tree!$K:$K,"&lt;&gt;"&amp;"Y")/$C56),(SUMIFS(Tree!$AQ:$AQ,Tree!$A:$A,$B56,Tree!$D:$D,P$39,Tree!$F:$F,"L",Tree!$K:$K,"&lt;&gt;"&amp;"Y")/$C56))))</f>
        <v/>
      </c>
      <c r="Q56" s="445" t="str">
        <f>IF(B56="","",VLOOKUP(B56,#REF!,12,0))</f>
        <v/>
      </c>
      <c r="R56" s="448" t="str">
        <f>IF(B56="","",VLOOKUP($B56,#REF!,20,0))</f>
        <v/>
      </c>
      <c r="S56" s="86"/>
      <c r="T56" s="157" t="str">
        <f t="shared" si="10"/>
        <v/>
      </c>
      <c r="U56" s="122" t="str">
        <f t="shared" si="10"/>
        <v/>
      </c>
      <c r="V56" s="122" t="str">
        <f t="shared" si="10"/>
        <v/>
      </c>
      <c r="W56" s="122" t="str">
        <f t="shared" si="10"/>
        <v/>
      </c>
      <c r="X56" s="122" t="str">
        <f t="shared" si="10"/>
        <v/>
      </c>
      <c r="Y56" s="122" t="str">
        <f t="shared" si="10"/>
        <v/>
      </c>
      <c r="Z56" s="122" t="str">
        <f t="shared" si="10"/>
        <v/>
      </c>
      <c r="AA56" s="122" t="str">
        <f t="shared" si="10"/>
        <v/>
      </c>
      <c r="AB56" s="122" t="str">
        <f t="shared" si="10"/>
        <v/>
      </c>
      <c r="AC56" s="193" t="str">
        <f t="shared" si="10"/>
        <v/>
      </c>
      <c r="AD56" s="212" t="str">
        <f t="shared" si="10"/>
        <v/>
      </c>
      <c r="AE56" s="213" t="str">
        <f t="shared" si="10"/>
        <v/>
      </c>
      <c r="AF56" s="193" t="str">
        <f t="shared" si="11"/>
        <v/>
      </c>
    </row>
    <row r="57" spans="2:32" x14ac:dyDescent="0.25">
      <c r="B57" s="201" t="str">
        <f>IF(Stand!C20="","",Stand!C20)</f>
        <v/>
      </c>
      <c r="C57" s="208" t="str" cm="1">
        <f t="array" ref="C57">IF(SUM(IF(B57=Stand_Biomass!$B$4:$B$30,Stand_Biomass!$C$4:$C$30))&gt;0,SUM(IF(B57=Stand_Biomass!$B$4:$B$30,Stand_Biomass!$C$4:$C$30)),"")</f>
        <v/>
      </c>
      <c r="D57" s="209" t="str">
        <f>IF(B57="","",VLOOKUP($B57,Stand!$C:$G,5,0))</f>
        <v/>
      </c>
      <c r="E57" s="28"/>
      <c r="F57" s="157" t="str">
        <f>IF($B57="","",IF(F$39="","",IF(F$39="Snag",(SUMIFS(Tree!$AE:$AE,Tree!$A:$A,$B57,Tree!$F:$F,"D",Tree!$K:$K,"&lt;&gt;"&amp;"Y")/$C57),(SUMIFS(Tree!$AE:$AE,Tree!$A:$A,$B57,Tree!$D:$D,F$39,Tree!$F:$F,"L",Tree!$K:$K,"&lt;&gt;"&amp;"Y")/$C57))))</f>
        <v/>
      </c>
      <c r="G57" s="122" t="str">
        <f>IF($B57="","",IF(G$39="","",IF(G$39="Snag",(SUMIFS(Tree!$AE:$AE,Tree!$A:$A,$B57,Tree!$F:$F,"D",Tree!$K:$K,"&lt;&gt;"&amp;"Y")/$C57),(SUMIFS(Tree!$AE:$AE,Tree!$A:$A,$B57,Tree!$D:$D,G$39,Tree!$F:$F,"L",Tree!$K:$K,"&lt;&gt;"&amp;"Y")/$C57))))</f>
        <v/>
      </c>
      <c r="H57" s="122" t="str">
        <f>IF($B57="","",IF(H$39="","",IF(H$39="Snag",(SUMIFS(Tree!$AE:$AE,Tree!$A:$A,$B57,Tree!$F:$F,"D",Tree!$K:$K,"&lt;&gt;"&amp;"Y")/$C57),(SUMIFS(Tree!$AE:$AE,Tree!$A:$A,$B57,Tree!$D:$D,H$39,Tree!$F:$F,"L",Tree!$K:$K,"&lt;&gt;"&amp;"Y")/$C57))))</f>
        <v/>
      </c>
      <c r="I57" s="122" t="str">
        <f>IF($B57="","",IF(I$39="","",IF(I$39="Snag",(SUMIFS(Tree!$AE:$AE,Tree!$A:$A,$B57,Tree!$F:$F,"D",Tree!$K:$K,"&lt;&gt;"&amp;"Y")/$C57),(SUMIFS(Tree!$AE:$AE,Tree!$A:$A,$B57,Tree!$D:$D,I$39,Tree!$F:$F,"L",Tree!$K:$K,"&lt;&gt;"&amp;"Y")/$C57))))</f>
        <v/>
      </c>
      <c r="J57" s="122" t="str">
        <f>IF($B57="","",IF(J$39="","",IF(J$39="Snag",(SUMIFS(Tree!$AE:$AE,Tree!$A:$A,$B57,Tree!$F:$F,"D",Tree!$K:$K,"&lt;&gt;"&amp;"Y")/$C57),(SUMIFS(Tree!$AE:$AE,Tree!$A:$A,$B57,Tree!$D:$D,J$39,Tree!$F:$F,"L",Tree!$K:$K,"&lt;&gt;"&amp;"Y")/$C57))))</f>
        <v/>
      </c>
      <c r="K57" s="122" t="str">
        <f>IF($B57="","",IF(K$39="","",IF(K$39="Snag",(SUMIFS(Tree!$AE:$AE,Tree!$A:$A,$B57,Tree!$F:$F,"D",Tree!$K:$K,"&lt;&gt;"&amp;"Y")/$C57),(SUMIFS(Tree!$AE:$AE,Tree!$A:$A,$B57,Tree!$D:$D,K$39,Tree!$F:$F,"L",Tree!$K:$K,"&lt;&gt;"&amp;"Y")/$C57))))</f>
        <v/>
      </c>
      <c r="L57" s="122" t="str">
        <f>IF($B57="","",IF(L$39="","",IF(L$39="Snag",(SUMIFS(Tree!$AE:$AE,Tree!$A:$A,$B57,Tree!$F:$F,"D",Tree!$K:$K,"&lt;&gt;"&amp;"Y")/$C57),(SUMIFS(Tree!$AE:$AE,Tree!$A:$A,$B57,Tree!$D:$D,L$39,Tree!$F:$F,"L",Tree!$K:$K,"&lt;&gt;"&amp;"Y")/$C57))))</f>
        <v/>
      </c>
      <c r="M57" s="122" t="str">
        <f>IF($B57="","",IF(M$39="","",IF(M$39="Snag",(SUMIFS(Tree!$AE:$AE,Tree!$A:$A,$B57,Tree!$F:$F,"D",Tree!$K:$K,"&lt;&gt;"&amp;"Y")/$C57),(SUMIFS(Tree!$AE:$AE,Tree!$A:$A,$B57,Tree!$D:$D,M$39,Tree!$F:$F,"L",Tree!$K:$K,"&lt;&gt;"&amp;"Y")/$C57))))</f>
        <v/>
      </c>
      <c r="N57" s="122" t="str">
        <f>IF($B57="","",IF(N$39="","",IF(N$39="Snag",(SUMIFS(Tree!$AE:$AE,Tree!$A:$A,$B57,Tree!$F:$F,"D",Tree!$K:$K,"&lt;&gt;"&amp;"Y")/$C57),(SUMIFS(Tree!$AE:$AE,Tree!$A:$A,$B57,Tree!$D:$D,N$39,Tree!$F:$F,"L",Tree!$K:$K,"&lt;&gt;"&amp;"Y")/$C57))))</f>
        <v/>
      </c>
      <c r="O57" s="193" t="str">
        <f t="shared" si="9"/>
        <v/>
      </c>
      <c r="P57" s="292" t="str">
        <f>IF($B57="","",IF(P$39="","",IF(P$39="Snag",(SUMIFS(Tree!$AQ:$AQ,Tree!$A:$A,$B57,Tree!$F:$F,"D",Tree!$K:$K,"&lt;&gt;"&amp;"Y")/$C57),(SUMIFS(Tree!$AQ:$AQ,Tree!$A:$A,$B57,Tree!$D:$D,P$39,Tree!$F:$F,"L",Tree!$K:$K,"&lt;&gt;"&amp;"Y")/$C57))))</f>
        <v/>
      </c>
      <c r="Q57" s="445" t="str">
        <f>IF(B57="","",VLOOKUP(B57,#REF!,12,0))</f>
        <v/>
      </c>
      <c r="R57" s="448" t="str">
        <f>IF(B57="","",VLOOKUP($B57,#REF!,20,0))</f>
        <v/>
      </c>
      <c r="S57" s="86"/>
      <c r="T57" s="157" t="str">
        <f t="shared" si="10"/>
        <v/>
      </c>
      <c r="U57" s="122" t="str">
        <f t="shared" si="10"/>
        <v/>
      </c>
      <c r="V57" s="122" t="str">
        <f t="shared" si="10"/>
        <v/>
      </c>
      <c r="W57" s="122" t="str">
        <f t="shared" si="10"/>
        <v/>
      </c>
      <c r="X57" s="122" t="str">
        <f t="shared" si="10"/>
        <v/>
      </c>
      <c r="Y57" s="122" t="str">
        <f t="shared" si="10"/>
        <v/>
      </c>
      <c r="Z57" s="122" t="str">
        <f t="shared" si="10"/>
        <v/>
      </c>
      <c r="AA57" s="122" t="str">
        <f t="shared" si="10"/>
        <v/>
      </c>
      <c r="AB57" s="122" t="str">
        <f t="shared" si="10"/>
        <v/>
      </c>
      <c r="AC57" s="193" t="str">
        <f t="shared" si="10"/>
        <v/>
      </c>
      <c r="AD57" s="212" t="str">
        <f t="shared" si="10"/>
        <v/>
      </c>
      <c r="AE57" s="213" t="str">
        <f t="shared" si="10"/>
        <v/>
      </c>
      <c r="AF57" s="193" t="str">
        <f t="shared" si="11"/>
        <v/>
      </c>
    </row>
    <row r="58" spans="2:32" x14ac:dyDescent="0.25">
      <c r="B58" s="201" t="str">
        <f>IF(Stand!C21="","",Stand!C21)</f>
        <v/>
      </c>
      <c r="C58" s="208" t="str" cm="1">
        <f t="array" ref="C58">IF(SUM(IF(B58=Stand_Biomass!$B$4:$B$30,Stand_Biomass!$C$4:$C$30))&gt;0,SUM(IF(B58=Stand_Biomass!$B$4:$B$30,Stand_Biomass!$C$4:$C$30)),"")</f>
        <v/>
      </c>
      <c r="D58" s="209" t="str">
        <f>IF(B58="","",VLOOKUP($B58,Stand!$C:$G,5,0))</f>
        <v/>
      </c>
      <c r="E58" s="28"/>
      <c r="F58" s="157" t="str">
        <f>IF($B58="","",IF(F$39="","",IF(F$39="Snag",(SUMIFS(Tree!$AE:$AE,Tree!$A:$A,$B58,Tree!$F:$F,"D",Tree!$K:$K,"&lt;&gt;"&amp;"Y")/$C58),(SUMIFS(Tree!$AE:$AE,Tree!$A:$A,$B58,Tree!$D:$D,F$39,Tree!$F:$F,"L",Tree!$K:$K,"&lt;&gt;"&amp;"Y")/$C58))))</f>
        <v/>
      </c>
      <c r="G58" s="122" t="str">
        <f>IF($B58="","",IF(G$39="","",IF(G$39="Snag",(SUMIFS(Tree!$AE:$AE,Tree!$A:$A,$B58,Tree!$F:$F,"D",Tree!$K:$K,"&lt;&gt;"&amp;"Y")/$C58),(SUMIFS(Tree!$AE:$AE,Tree!$A:$A,$B58,Tree!$D:$D,G$39,Tree!$F:$F,"L",Tree!$K:$K,"&lt;&gt;"&amp;"Y")/$C58))))</f>
        <v/>
      </c>
      <c r="H58" s="122" t="str">
        <f>IF($B58="","",IF(H$39="","",IF(H$39="Snag",(SUMIFS(Tree!$AE:$AE,Tree!$A:$A,$B58,Tree!$F:$F,"D",Tree!$K:$K,"&lt;&gt;"&amp;"Y")/$C58),(SUMIFS(Tree!$AE:$AE,Tree!$A:$A,$B58,Tree!$D:$D,H$39,Tree!$F:$F,"L",Tree!$K:$K,"&lt;&gt;"&amp;"Y")/$C58))))</f>
        <v/>
      </c>
      <c r="I58" s="122" t="str">
        <f>IF($B58="","",IF(I$39="","",IF(I$39="Snag",(SUMIFS(Tree!$AE:$AE,Tree!$A:$A,$B58,Tree!$F:$F,"D",Tree!$K:$K,"&lt;&gt;"&amp;"Y")/$C58),(SUMIFS(Tree!$AE:$AE,Tree!$A:$A,$B58,Tree!$D:$D,I$39,Tree!$F:$F,"L",Tree!$K:$K,"&lt;&gt;"&amp;"Y")/$C58))))</f>
        <v/>
      </c>
      <c r="J58" s="122" t="str">
        <f>IF($B58="","",IF(J$39="","",IF(J$39="Snag",(SUMIFS(Tree!$AE:$AE,Tree!$A:$A,$B58,Tree!$F:$F,"D",Tree!$K:$K,"&lt;&gt;"&amp;"Y")/$C58),(SUMIFS(Tree!$AE:$AE,Tree!$A:$A,$B58,Tree!$D:$D,J$39,Tree!$F:$F,"L",Tree!$K:$K,"&lt;&gt;"&amp;"Y")/$C58))))</f>
        <v/>
      </c>
      <c r="K58" s="122" t="str">
        <f>IF($B58="","",IF(K$39="","",IF(K$39="Snag",(SUMIFS(Tree!$AE:$AE,Tree!$A:$A,$B58,Tree!$F:$F,"D",Tree!$K:$K,"&lt;&gt;"&amp;"Y")/$C58),(SUMIFS(Tree!$AE:$AE,Tree!$A:$A,$B58,Tree!$D:$D,K$39,Tree!$F:$F,"L",Tree!$K:$K,"&lt;&gt;"&amp;"Y")/$C58))))</f>
        <v/>
      </c>
      <c r="L58" s="122" t="str">
        <f>IF($B58="","",IF(L$39="","",IF(L$39="Snag",(SUMIFS(Tree!$AE:$AE,Tree!$A:$A,$B58,Tree!$F:$F,"D",Tree!$K:$K,"&lt;&gt;"&amp;"Y")/$C58),(SUMIFS(Tree!$AE:$AE,Tree!$A:$A,$B58,Tree!$D:$D,L$39,Tree!$F:$F,"L",Tree!$K:$K,"&lt;&gt;"&amp;"Y")/$C58))))</f>
        <v/>
      </c>
      <c r="M58" s="122" t="str">
        <f>IF($B58="","",IF(M$39="","",IF(M$39="Snag",(SUMIFS(Tree!$AE:$AE,Tree!$A:$A,$B58,Tree!$F:$F,"D",Tree!$K:$K,"&lt;&gt;"&amp;"Y")/$C58),(SUMIFS(Tree!$AE:$AE,Tree!$A:$A,$B58,Tree!$D:$D,M$39,Tree!$F:$F,"L",Tree!$K:$K,"&lt;&gt;"&amp;"Y")/$C58))))</f>
        <v/>
      </c>
      <c r="N58" s="122" t="str">
        <f>IF($B58="","",IF(N$39="","",IF(N$39="Snag",(SUMIFS(Tree!$AE:$AE,Tree!$A:$A,$B58,Tree!$F:$F,"D",Tree!$K:$K,"&lt;&gt;"&amp;"Y")/$C58),(SUMIFS(Tree!$AE:$AE,Tree!$A:$A,$B58,Tree!$D:$D,N$39,Tree!$F:$F,"L",Tree!$K:$K,"&lt;&gt;"&amp;"Y")/$C58))))</f>
        <v/>
      </c>
      <c r="O58" s="193" t="str">
        <f t="shared" si="9"/>
        <v/>
      </c>
      <c r="P58" s="292" t="str">
        <f>IF($B58="","",IF(P$39="","",IF(P$39="Snag",(SUMIFS(Tree!$AQ:$AQ,Tree!$A:$A,$B58,Tree!$F:$F,"D",Tree!$K:$K,"&lt;&gt;"&amp;"Y")/$C58),(SUMIFS(Tree!$AQ:$AQ,Tree!$A:$A,$B58,Tree!$D:$D,P$39,Tree!$F:$F,"L",Tree!$K:$K,"&lt;&gt;"&amp;"Y")/$C58))))</f>
        <v/>
      </c>
      <c r="Q58" s="445" t="str">
        <f>IF(B58="","",VLOOKUP(B58,#REF!,12,0))</f>
        <v/>
      </c>
      <c r="R58" s="448" t="str">
        <f>IF(B58="","",VLOOKUP($B58,#REF!,20,0))</f>
        <v/>
      </c>
      <c r="S58" s="86"/>
      <c r="T58" s="157" t="str">
        <f t="shared" si="10"/>
        <v/>
      </c>
      <c r="U58" s="122" t="str">
        <f t="shared" si="10"/>
        <v/>
      </c>
      <c r="V58" s="122" t="str">
        <f t="shared" si="10"/>
        <v/>
      </c>
      <c r="W58" s="122" t="str">
        <f t="shared" si="10"/>
        <v/>
      </c>
      <c r="X58" s="122" t="str">
        <f t="shared" si="10"/>
        <v/>
      </c>
      <c r="Y58" s="122" t="str">
        <f t="shared" si="10"/>
        <v/>
      </c>
      <c r="Z58" s="122" t="str">
        <f t="shared" si="10"/>
        <v/>
      </c>
      <c r="AA58" s="122" t="str">
        <f t="shared" si="10"/>
        <v/>
      </c>
      <c r="AB58" s="122" t="str">
        <f t="shared" si="10"/>
        <v/>
      </c>
      <c r="AC58" s="193" t="str">
        <f t="shared" si="10"/>
        <v/>
      </c>
      <c r="AD58" s="212" t="str">
        <f t="shared" si="10"/>
        <v/>
      </c>
      <c r="AE58" s="213" t="str">
        <f t="shared" si="10"/>
        <v/>
      </c>
      <c r="AF58" s="193" t="str">
        <f t="shared" si="11"/>
        <v/>
      </c>
    </row>
    <row r="59" spans="2:32" x14ac:dyDescent="0.25">
      <c r="B59" s="201" t="str">
        <f>IF(Stand!C22="","",Stand!C22)</f>
        <v/>
      </c>
      <c r="C59" s="208" t="str" cm="1">
        <f t="array" ref="C59">IF(SUM(IF(B59=Stand_Biomass!$B$4:$B$30,Stand_Biomass!$C$4:$C$30))&gt;0,SUM(IF(B59=Stand_Biomass!$B$4:$B$30,Stand_Biomass!$C$4:$C$30)),"")</f>
        <v/>
      </c>
      <c r="D59" s="209" t="str">
        <f>IF(B59="","",VLOOKUP($B59,Stand!$C:$G,5,0))</f>
        <v/>
      </c>
      <c r="E59" s="28"/>
      <c r="F59" s="157" t="str">
        <f>IF($B59="","",IF(F$39="","",IF(F$39="Snag",(SUMIFS(Tree!$AE:$AE,Tree!$A:$A,$B59,Tree!$F:$F,"D",Tree!$K:$K,"&lt;&gt;"&amp;"Y")/$C59),(SUMIFS(Tree!$AE:$AE,Tree!$A:$A,$B59,Tree!$D:$D,F$39,Tree!$F:$F,"L",Tree!$K:$K,"&lt;&gt;"&amp;"Y")/$C59))))</f>
        <v/>
      </c>
      <c r="G59" s="122" t="str">
        <f>IF($B59="","",IF(G$39="","",IF(G$39="Snag",(SUMIFS(Tree!$AE:$AE,Tree!$A:$A,$B59,Tree!$F:$F,"D",Tree!$K:$K,"&lt;&gt;"&amp;"Y")/$C59),(SUMIFS(Tree!$AE:$AE,Tree!$A:$A,$B59,Tree!$D:$D,G$39,Tree!$F:$F,"L",Tree!$K:$K,"&lt;&gt;"&amp;"Y")/$C59))))</f>
        <v/>
      </c>
      <c r="H59" s="122" t="str">
        <f>IF($B59="","",IF(H$39="","",IF(H$39="Snag",(SUMIFS(Tree!$AE:$AE,Tree!$A:$A,$B59,Tree!$F:$F,"D",Tree!$K:$K,"&lt;&gt;"&amp;"Y")/$C59),(SUMIFS(Tree!$AE:$AE,Tree!$A:$A,$B59,Tree!$D:$D,H$39,Tree!$F:$F,"L",Tree!$K:$K,"&lt;&gt;"&amp;"Y")/$C59))))</f>
        <v/>
      </c>
      <c r="I59" s="122" t="str">
        <f>IF($B59="","",IF(I$39="","",IF(I$39="Snag",(SUMIFS(Tree!$AE:$AE,Tree!$A:$A,$B59,Tree!$F:$F,"D",Tree!$K:$K,"&lt;&gt;"&amp;"Y")/$C59),(SUMIFS(Tree!$AE:$AE,Tree!$A:$A,$B59,Tree!$D:$D,I$39,Tree!$F:$F,"L",Tree!$K:$K,"&lt;&gt;"&amp;"Y")/$C59))))</f>
        <v/>
      </c>
      <c r="J59" s="122" t="str">
        <f>IF($B59="","",IF(J$39="","",IF(J$39="Snag",(SUMIFS(Tree!$AE:$AE,Tree!$A:$A,$B59,Tree!$F:$F,"D",Tree!$K:$K,"&lt;&gt;"&amp;"Y")/$C59),(SUMIFS(Tree!$AE:$AE,Tree!$A:$A,$B59,Tree!$D:$D,J$39,Tree!$F:$F,"L",Tree!$K:$K,"&lt;&gt;"&amp;"Y")/$C59))))</f>
        <v/>
      </c>
      <c r="K59" s="122" t="str">
        <f>IF($B59="","",IF(K$39="","",IF(K$39="Snag",(SUMIFS(Tree!$AE:$AE,Tree!$A:$A,$B59,Tree!$F:$F,"D",Tree!$K:$K,"&lt;&gt;"&amp;"Y")/$C59),(SUMIFS(Tree!$AE:$AE,Tree!$A:$A,$B59,Tree!$D:$D,K$39,Tree!$F:$F,"L",Tree!$K:$K,"&lt;&gt;"&amp;"Y")/$C59))))</f>
        <v/>
      </c>
      <c r="L59" s="122" t="str">
        <f>IF($B59="","",IF(L$39="","",IF(L$39="Snag",(SUMIFS(Tree!$AE:$AE,Tree!$A:$A,$B59,Tree!$F:$F,"D",Tree!$K:$K,"&lt;&gt;"&amp;"Y")/$C59),(SUMIFS(Tree!$AE:$AE,Tree!$A:$A,$B59,Tree!$D:$D,L$39,Tree!$F:$F,"L",Tree!$K:$K,"&lt;&gt;"&amp;"Y")/$C59))))</f>
        <v/>
      </c>
      <c r="M59" s="122" t="str">
        <f>IF($B59="","",IF(M$39="","",IF(M$39="Snag",(SUMIFS(Tree!$AE:$AE,Tree!$A:$A,$B59,Tree!$F:$F,"D",Tree!$K:$K,"&lt;&gt;"&amp;"Y")/$C59),(SUMIFS(Tree!$AE:$AE,Tree!$A:$A,$B59,Tree!$D:$D,M$39,Tree!$F:$F,"L",Tree!$K:$K,"&lt;&gt;"&amp;"Y")/$C59))))</f>
        <v/>
      </c>
      <c r="N59" s="122" t="str">
        <f>IF($B59="","",IF(N$39="","",IF(N$39="Snag",(SUMIFS(Tree!$AE:$AE,Tree!$A:$A,$B59,Tree!$F:$F,"D",Tree!$K:$K,"&lt;&gt;"&amp;"Y")/$C59),(SUMIFS(Tree!$AE:$AE,Tree!$A:$A,$B59,Tree!$D:$D,N$39,Tree!$F:$F,"L",Tree!$K:$K,"&lt;&gt;"&amp;"Y")/$C59))))</f>
        <v/>
      </c>
      <c r="O59" s="193" t="str">
        <f t="shared" si="9"/>
        <v/>
      </c>
      <c r="P59" s="292" t="str">
        <f>IF($B59="","",IF(P$39="","",IF(P$39="Snag",(SUMIFS(Tree!$AQ:$AQ,Tree!$A:$A,$B59,Tree!$F:$F,"D",Tree!$K:$K,"&lt;&gt;"&amp;"Y")/$C59),(SUMIFS(Tree!$AQ:$AQ,Tree!$A:$A,$B59,Tree!$D:$D,P$39,Tree!$F:$F,"L",Tree!$K:$K,"&lt;&gt;"&amp;"Y")/$C59))))</f>
        <v/>
      </c>
      <c r="Q59" s="445" t="str">
        <f>IF(B59="","",VLOOKUP(B59,#REF!,12,0))</f>
        <v/>
      </c>
      <c r="R59" s="448" t="str">
        <f>IF(B59="","",VLOOKUP($B59,#REF!,20,0))</f>
        <v/>
      </c>
      <c r="S59" s="86"/>
      <c r="T59" s="157" t="str">
        <f t="shared" si="10"/>
        <v/>
      </c>
      <c r="U59" s="122" t="str">
        <f t="shared" si="10"/>
        <v/>
      </c>
      <c r="V59" s="122" t="str">
        <f t="shared" si="10"/>
        <v/>
      </c>
      <c r="W59" s="122" t="str">
        <f t="shared" si="10"/>
        <v/>
      </c>
      <c r="X59" s="122" t="str">
        <f t="shared" si="10"/>
        <v/>
      </c>
      <c r="Y59" s="122" t="str">
        <f t="shared" si="10"/>
        <v/>
      </c>
      <c r="Z59" s="122" t="str">
        <f t="shared" si="10"/>
        <v/>
      </c>
      <c r="AA59" s="122" t="str">
        <f t="shared" si="10"/>
        <v/>
      </c>
      <c r="AB59" s="122" t="str">
        <f t="shared" si="10"/>
        <v/>
      </c>
      <c r="AC59" s="193" t="str">
        <f t="shared" si="10"/>
        <v/>
      </c>
      <c r="AD59" s="212" t="str">
        <f t="shared" si="10"/>
        <v/>
      </c>
      <c r="AE59" s="213" t="str">
        <f t="shared" si="10"/>
        <v/>
      </c>
      <c r="AF59" s="193" t="str">
        <f t="shared" si="11"/>
        <v/>
      </c>
    </row>
    <row r="60" spans="2:32" x14ac:dyDescent="0.25">
      <c r="B60" s="201" t="str">
        <f>IF(Stand!C23="","",Stand!C23)</f>
        <v/>
      </c>
      <c r="C60" s="208" t="str" cm="1">
        <f t="array" ref="C60">IF(SUM(IF(B60=Stand_Biomass!$B$4:$B$30,Stand_Biomass!$C$4:$C$30))&gt;0,SUM(IF(B60=Stand_Biomass!$B$4:$B$30,Stand_Biomass!$C$4:$C$30)),"")</f>
        <v/>
      </c>
      <c r="D60" s="209" t="str">
        <f>IF(B60="","",VLOOKUP($B60,Stand!$C:$G,5,0))</f>
        <v/>
      </c>
      <c r="E60" s="28"/>
      <c r="F60" s="157" t="str">
        <f>IF($B60="","",IF(F$39="","",IF(F$39="Snag",(SUMIFS(Tree!$AE:$AE,Tree!$A:$A,$B60,Tree!$F:$F,"D",Tree!$K:$K,"&lt;&gt;"&amp;"Y")/$C60),(SUMIFS(Tree!$AE:$AE,Tree!$A:$A,$B60,Tree!$D:$D,F$39,Tree!$F:$F,"L",Tree!$K:$K,"&lt;&gt;"&amp;"Y")/$C60))))</f>
        <v/>
      </c>
      <c r="G60" s="122" t="str">
        <f>IF($B60="","",IF(G$39="","",IF(G$39="Snag",(SUMIFS(Tree!$AE:$AE,Tree!$A:$A,$B60,Tree!$F:$F,"D",Tree!$K:$K,"&lt;&gt;"&amp;"Y")/$C60),(SUMIFS(Tree!$AE:$AE,Tree!$A:$A,$B60,Tree!$D:$D,G$39,Tree!$F:$F,"L",Tree!$K:$K,"&lt;&gt;"&amp;"Y")/$C60))))</f>
        <v/>
      </c>
      <c r="H60" s="122" t="str">
        <f>IF($B60="","",IF(H$39="","",IF(H$39="Snag",(SUMIFS(Tree!$AE:$AE,Tree!$A:$A,$B60,Tree!$F:$F,"D",Tree!$K:$K,"&lt;&gt;"&amp;"Y")/$C60),(SUMIFS(Tree!$AE:$AE,Tree!$A:$A,$B60,Tree!$D:$D,H$39,Tree!$F:$F,"L",Tree!$K:$K,"&lt;&gt;"&amp;"Y")/$C60))))</f>
        <v/>
      </c>
      <c r="I60" s="122" t="str">
        <f>IF($B60="","",IF(I$39="","",IF(I$39="Snag",(SUMIFS(Tree!$AE:$AE,Tree!$A:$A,$B60,Tree!$F:$F,"D",Tree!$K:$K,"&lt;&gt;"&amp;"Y")/$C60),(SUMIFS(Tree!$AE:$AE,Tree!$A:$A,$B60,Tree!$D:$D,I$39,Tree!$F:$F,"L",Tree!$K:$K,"&lt;&gt;"&amp;"Y")/$C60))))</f>
        <v/>
      </c>
      <c r="J60" s="122" t="str">
        <f>IF($B60="","",IF(J$39="","",IF(J$39="Snag",(SUMIFS(Tree!$AE:$AE,Tree!$A:$A,$B60,Tree!$F:$F,"D",Tree!$K:$K,"&lt;&gt;"&amp;"Y")/$C60),(SUMIFS(Tree!$AE:$AE,Tree!$A:$A,$B60,Tree!$D:$D,J$39,Tree!$F:$F,"L",Tree!$K:$K,"&lt;&gt;"&amp;"Y")/$C60))))</f>
        <v/>
      </c>
      <c r="K60" s="122" t="str">
        <f>IF($B60="","",IF(K$39="","",IF(K$39="Snag",(SUMIFS(Tree!$AE:$AE,Tree!$A:$A,$B60,Tree!$F:$F,"D",Tree!$K:$K,"&lt;&gt;"&amp;"Y")/$C60),(SUMIFS(Tree!$AE:$AE,Tree!$A:$A,$B60,Tree!$D:$D,K$39,Tree!$F:$F,"L",Tree!$K:$K,"&lt;&gt;"&amp;"Y")/$C60))))</f>
        <v/>
      </c>
      <c r="L60" s="122" t="str">
        <f>IF($B60="","",IF(L$39="","",IF(L$39="Snag",(SUMIFS(Tree!$AE:$AE,Tree!$A:$A,$B60,Tree!$F:$F,"D",Tree!$K:$K,"&lt;&gt;"&amp;"Y")/$C60),(SUMIFS(Tree!$AE:$AE,Tree!$A:$A,$B60,Tree!$D:$D,L$39,Tree!$F:$F,"L",Tree!$K:$K,"&lt;&gt;"&amp;"Y")/$C60))))</f>
        <v/>
      </c>
      <c r="M60" s="122" t="str">
        <f>IF($B60="","",IF(M$39="","",IF(M$39="Snag",(SUMIFS(Tree!$AE:$AE,Tree!$A:$A,$B60,Tree!$F:$F,"D",Tree!$K:$K,"&lt;&gt;"&amp;"Y")/$C60),(SUMIFS(Tree!$AE:$AE,Tree!$A:$A,$B60,Tree!$D:$D,M$39,Tree!$F:$F,"L",Tree!$K:$K,"&lt;&gt;"&amp;"Y")/$C60))))</f>
        <v/>
      </c>
      <c r="N60" s="122" t="str">
        <f>IF($B60="","",IF(N$39="","",IF(N$39="Snag",(SUMIFS(Tree!$AE:$AE,Tree!$A:$A,$B60,Tree!$F:$F,"D",Tree!$K:$K,"&lt;&gt;"&amp;"Y")/$C60),(SUMIFS(Tree!$AE:$AE,Tree!$A:$A,$B60,Tree!$D:$D,N$39,Tree!$F:$F,"L",Tree!$K:$K,"&lt;&gt;"&amp;"Y")/$C60))))</f>
        <v/>
      </c>
      <c r="O60" s="193" t="str">
        <f t="shared" si="9"/>
        <v/>
      </c>
      <c r="P60" s="292" t="str">
        <f>IF($B60="","",IF(P$39="","",IF(P$39="Snag",(SUMIFS(Tree!$AQ:$AQ,Tree!$A:$A,$B60,Tree!$F:$F,"D",Tree!$K:$K,"&lt;&gt;"&amp;"Y")/$C60),(SUMIFS(Tree!$AQ:$AQ,Tree!$A:$A,$B60,Tree!$D:$D,P$39,Tree!$F:$F,"L",Tree!$K:$K,"&lt;&gt;"&amp;"Y")/$C60))))</f>
        <v/>
      </c>
      <c r="Q60" s="445" t="str">
        <f>IF(B60="","",VLOOKUP(B60,#REF!,12,0))</f>
        <v/>
      </c>
      <c r="R60" s="448" t="str">
        <f>IF(B60="","",VLOOKUP($B60,#REF!,20,0))</f>
        <v/>
      </c>
      <c r="S60" s="86"/>
      <c r="T60" s="157" t="str">
        <f t="shared" si="10"/>
        <v/>
      </c>
      <c r="U60" s="122" t="str">
        <f t="shared" si="10"/>
        <v/>
      </c>
      <c r="V60" s="122" t="str">
        <f t="shared" si="10"/>
        <v/>
      </c>
      <c r="W60" s="122" t="str">
        <f t="shared" si="10"/>
        <v/>
      </c>
      <c r="X60" s="122" t="str">
        <f t="shared" si="10"/>
        <v/>
      </c>
      <c r="Y60" s="122" t="str">
        <f t="shared" si="10"/>
        <v/>
      </c>
      <c r="Z60" s="122" t="str">
        <f t="shared" si="10"/>
        <v/>
      </c>
      <c r="AA60" s="122" t="str">
        <f t="shared" si="10"/>
        <v/>
      </c>
      <c r="AB60" s="122" t="str">
        <f t="shared" si="10"/>
        <v/>
      </c>
      <c r="AC60" s="193" t="str">
        <f t="shared" si="10"/>
        <v/>
      </c>
      <c r="AD60" s="212" t="str">
        <f t="shared" si="10"/>
        <v/>
      </c>
      <c r="AE60" s="213" t="str">
        <f t="shared" si="10"/>
        <v/>
      </c>
      <c r="AF60" s="193" t="str">
        <f t="shared" si="11"/>
        <v/>
      </c>
    </row>
    <row r="61" spans="2:32" x14ac:dyDescent="0.25">
      <c r="B61" s="201" t="str">
        <f>IF(Stand!C24="","",Stand!C24)</f>
        <v/>
      </c>
      <c r="C61" s="208" t="str" cm="1">
        <f t="array" ref="C61">IF(SUM(IF(B61=Stand_Biomass!$B$4:$B$30,Stand_Biomass!$C$4:$C$30))&gt;0,SUM(IF(B61=Stand_Biomass!$B$4:$B$30,Stand_Biomass!$C$4:$C$30)),"")</f>
        <v/>
      </c>
      <c r="D61" s="209" t="str">
        <f>IF(B61="","",VLOOKUP($B61,Stand!$C:$G,5,0))</f>
        <v/>
      </c>
      <c r="E61" s="28"/>
      <c r="F61" s="157" t="str">
        <f>IF($B61="","",IF(F$39="","",IF(F$39="Snag",(SUMIFS(Tree!$AE:$AE,Tree!$A:$A,$B61,Tree!$F:$F,"D",Tree!$K:$K,"&lt;&gt;"&amp;"Y")/$C61),(SUMIFS(Tree!$AE:$AE,Tree!$A:$A,$B61,Tree!$D:$D,F$39,Tree!$F:$F,"L",Tree!$K:$K,"&lt;&gt;"&amp;"Y")/$C61))))</f>
        <v/>
      </c>
      <c r="G61" s="122" t="str">
        <f>IF($B61="","",IF(G$39="","",IF(G$39="Snag",(SUMIFS(Tree!$AE:$AE,Tree!$A:$A,$B61,Tree!$F:$F,"D",Tree!$K:$K,"&lt;&gt;"&amp;"Y")/$C61),(SUMIFS(Tree!$AE:$AE,Tree!$A:$A,$B61,Tree!$D:$D,G$39,Tree!$F:$F,"L",Tree!$K:$K,"&lt;&gt;"&amp;"Y")/$C61))))</f>
        <v/>
      </c>
      <c r="H61" s="122" t="str">
        <f>IF($B61="","",IF(H$39="","",IF(H$39="Snag",(SUMIFS(Tree!$AE:$AE,Tree!$A:$A,$B61,Tree!$F:$F,"D",Tree!$K:$K,"&lt;&gt;"&amp;"Y")/$C61),(SUMIFS(Tree!$AE:$AE,Tree!$A:$A,$B61,Tree!$D:$D,H$39,Tree!$F:$F,"L",Tree!$K:$K,"&lt;&gt;"&amp;"Y")/$C61))))</f>
        <v/>
      </c>
      <c r="I61" s="122" t="str">
        <f>IF($B61="","",IF(I$39="","",IF(I$39="Snag",(SUMIFS(Tree!$AE:$AE,Tree!$A:$A,$B61,Tree!$F:$F,"D",Tree!$K:$K,"&lt;&gt;"&amp;"Y")/$C61),(SUMIFS(Tree!$AE:$AE,Tree!$A:$A,$B61,Tree!$D:$D,I$39,Tree!$F:$F,"L",Tree!$K:$K,"&lt;&gt;"&amp;"Y")/$C61))))</f>
        <v/>
      </c>
      <c r="J61" s="122" t="str">
        <f>IF($B61="","",IF(J$39="","",IF(J$39="Snag",(SUMIFS(Tree!$AE:$AE,Tree!$A:$A,$B61,Tree!$F:$F,"D",Tree!$K:$K,"&lt;&gt;"&amp;"Y")/$C61),(SUMIFS(Tree!$AE:$AE,Tree!$A:$A,$B61,Tree!$D:$D,J$39,Tree!$F:$F,"L",Tree!$K:$K,"&lt;&gt;"&amp;"Y")/$C61))))</f>
        <v/>
      </c>
      <c r="K61" s="122" t="str">
        <f>IF($B61="","",IF(K$39="","",IF(K$39="Snag",(SUMIFS(Tree!$AE:$AE,Tree!$A:$A,$B61,Tree!$F:$F,"D",Tree!$K:$K,"&lt;&gt;"&amp;"Y")/$C61),(SUMIFS(Tree!$AE:$AE,Tree!$A:$A,$B61,Tree!$D:$D,K$39,Tree!$F:$F,"L",Tree!$K:$K,"&lt;&gt;"&amp;"Y")/$C61))))</f>
        <v/>
      </c>
      <c r="L61" s="122" t="str">
        <f>IF($B61="","",IF(L$39="","",IF(L$39="Snag",(SUMIFS(Tree!$AE:$AE,Tree!$A:$A,$B61,Tree!$F:$F,"D",Tree!$K:$K,"&lt;&gt;"&amp;"Y")/$C61),(SUMIFS(Tree!$AE:$AE,Tree!$A:$A,$B61,Tree!$D:$D,L$39,Tree!$F:$F,"L",Tree!$K:$K,"&lt;&gt;"&amp;"Y")/$C61))))</f>
        <v/>
      </c>
      <c r="M61" s="122" t="str">
        <f>IF($B61="","",IF(M$39="","",IF(M$39="Snag",(SUMIFS(Tree!$AE:$AE,Tree!$A:$A,$B61,Tree!$F:$F,"D",Tree!$K:$K,"&lt;&gt;"&amp;"Y")/$C61),(SUMIFS(Tree!$AE:$AE,Tree!$A:$A,$B61,Tree!$D:$D,M$39,Tree!$F:$F,"L",Tree!$K:$K,"&lt;&gt;"&amp;"Y")/$C61))))</f>
        <v/>
      </c>
      <c r="N61" s="122" t="str">
        <f>IF($B61="","",IF(N$39="","",IF(N$39="Snag",(SUMIFS(Tree!$AE:$AE,Tree!$A:$A,$B61,Tree!$F:$F,"D",Tree!$K:$K,"&lt;&gt;"&amp;"Y")/$C61),(SUMIFS(Tree!$AE:$AE,Tree!$A:$A,$B61,Tree!$D:$D,N$39,Tree!$F:$F,"L",Tree!$K:$K,"&lt;&gt;"&amp;"Y")/$C61))))</f>
        <v/>
      </c>
      <c r="O61" s="193" t="str">
        <f t="shared" si="9"/>
        <v/>
      </c>
      <c r="P61" s="292" t="str">
        <f>IF($B61="","",IF(P$39="","",IF(P$39="Snag",(SUMIFS(Tree!$AQ:$AQ,Tree!$A:$A,$B61,Tree!$F:$F,"D",Tree!$K:$K,"&lt;&gt;"&amp;"Y")/$C61),(SUMIFS(Tree!$AQ:$AQ,Tree!$A:$A,$B61,Tree!$D:$D,P$39,Tree!$F:$F,"L",Tree!$K:$K,"&lt;&gt;"&amp;"Y")/$C61))))</f>
        <v/>
      </c>
      <c r="Q61" s="445" t="str">
        <f>IF(B61="","",VLOOKUP(B61,#REF!,12,0))</f>
        <v/>
      </c>
      <c r="R61" s="448" t="str">
        <f>IF(B61="","",VLOOKUP($B61,#REF!,20,0))</f>
        <v/>
      </c>
      <c r="S61" s="86"/>
      <c r="T61" s="157" t="str">
        <f t="shared" si="10"/>
        <v/>
      </c>
      <c r="U61" s="122" t="str">
        <f t="shared" si="10"/>
        <v/>
      </c>
      <c r="V61" s="122" t="str">
        <f t="shared" si="10"/>
        <v/>
      </c>
      <c r="W61" s="122" t="str">
        <f t="shared" ref="W61:AE66" si="12">IF($C61="","",IF(W$39="","",($D61*I61)))</f>
        <v/>
      </c>
      <c r="X61" s="122" t="str">
        <f t="shared" si="12"/>
        <v/>
      </c>
      <c r="Y61" s="122" t="str">
        <f t="shared" si="12"/>
        <v/>
      </c>
      <c r="Z61" s="122" t="str">
        <f t="shared" si="12"/>
        <v/>
      </c>
      <c r="AA61" s="122" t="str">
        <f t="shared" si="12"/>
        <v/>
      </c>
      <c r="AB61" s="122" t="str">
        <f t="shared" si="12"/>
        <v/>
      </c>
      <c r="AC61" s="193" t="str">
        <f t="shared" si="12"/>
        <v/>
      </c>
      <c r="AD61" s="212" t="str">
        <f t="shared" si="12"/>
        <v/>
      </c>
      <c r="AE61" s="213" t="str">
        <f t="shared" si="12"/>
        <v/>
      </c>
      <c r="AF61" s="193" t="str">
        <f t="shared" si="11"/>
        <v/>
      </c>
    </row>
    <row r="62" spans="2:32" x14ac:dyDescent="0.25">
      <c r="B62" s="201" t="str">
        <f>IF(Stand!C25="","",Stand!C25)</f>
        <v/>
      </c>
      <c r="C62" s="208" t="str" cm="1">
        <f t="array" ref="C62">IF(SUM(IF(B62=Stand_Biomass!$B$4:$B$30,Stand_Biomass!$C$4:$C$30))&gt;0,SUM(IF(B62=Stand_Biomass!$B$4:$B$30,Stand_Biomass!$C$4:$C$30)),"")</f>
        <v/>
      </c>
      <c r="D62" s="209" t="str">
        <f>IF(B62="","",VLOOKUP($B62,Stand!$C:$G,5,0))</f>
        <v/>
      </c>
      <c r="E62" s="28"/>
      <c r="F62" s="157" t="str">
        <f>IF($B62="","",IF(F$39="","",IF(F$39="Snag",(SUMIFS(Tree!$AE:$AE,Tree!$A:$A,$B62,Tree!$F:$F,"D",Tree!$K:$K,"&lt;&gt;"&amp;"Y")/$C62),(SUMIFS(Tree!$AE:$AE,Tree!$A:$A,$B62,Tree!$D:$D,F$39,Tree!$F:$F,"L",Tree!$K:$K,"&lt;&gt;"&amp;"Y")/$C62))))</f>
        <v/>
      </c>
      <c r="G62" s="122" t="str">
        <f>IF($B62="","",IF(G$39="","",IF(G$39="Snag",(SUMIFS(Tree!$AE:$AE,Tree!$A:$A,$B62,Tree!$F:$F,"D",Tree!$K:$K,"&lt;&gt;"&amp;"Y")/$C62),(SUMIFS(Tree!$AE:$AE,Tree!$A:$A,$B62,Tree!$D:$D,G$39,Tree!$F:$F,"L",Tree!$K:$K,"&lt;&gt;"&amp;"Y")/$C62))))</f>
        <v/>
      </c>
      <c r="H62" s="122" t="str">
        <f>IF($B62="","",IF(H$39="","",IF(H$39="Snag",(SUMIFS(Tree!$AE:$AE,Tree!$A:$A,$B62,Tree!$F:$F,"D",Tree!$K:$K,"&lt;&gt;"&amp;"Y")/$C62),(SUMIFS(Tree!$AE:$AE,Tree!$A:$A,$B62,Tree!$D:$D,H$39,Tree!$F:$F,"L",Tree!$K:$K,"&lt;&gt;"&amp;"Y")/$C62))))</f>
        <v/>
      </c>
      <c r="I62" s="122" t="str">
        <f>IF($B62="","",IF(I$39="","",IF(I$39="Snag",(SUMIFS(Tree!$AE:$AE,Tree!$A:$A,$B62,Tree!$F:$F,"D",Tree!$K:$K,"&lt;&gt;"&amp;"Y")/$C62),(SUMIFS(Tree!$AE:$AE,Tree!$A:$A,$B62,Tree!$D:$D,I$39,Tree!$F:$F,"L",Tree!$K:$K,"&lt;&gt;"&amp;"Y")/$C62))))</f>
        <v/>
      </c>
      <c r="J62" s="122" t="str">
        <f>IF($B62="","",IF(J$39="","",IF(J$39="Snag",(SUMIFS(Tree!$AE:$AE,Tree!$A:$A,$B62,Tree!$F:$F,"D",Tree!$K:$K,"&lt;&gt;"&amp;"Y")/$C62),(SUMIFS(Tree!$AE:$AE,Tree!$A:$A,$B62,Tree!$D:$D,J$39,Tree!$F:$F,"L",Tree!$K:$K,"&lt;&gt;"&amp;"Y")/$C62))))</f>
        <v/>
      </c>
      <c r="K62" s="122" t="str">
        <f>IF($B62="","",IF(K$39="","",IF(K$39="Snag",(SUMIFS(Tree!$AE:$AE,Tree!$A:$A,$B62,Tree!$F:$F,"D",Tree!$K:$K,"&lt;&gt;"&amp;"Y")/$C62),(SUMIFS(Tree!$AE:$AE,Tree!$A:$A,$B62,Tree!$D:$D,K$39,Tree!$F:$F,"L",Tree!$K:$K,"&lt;&gt;"&amp;"Y")/$C62))))</f>
        <v/>
      </c>
      <c r="L62" s="122" t="str">
        <f>IF($B62="","",IF(L$39="","",IF(L$39="Snag",(SUMIFS(Tree!$AE:$AE,Tree!$A:$A,$B62,Tree!$F:$F,"D",Tree!$K:$K,"&lt;&gt;"&amp;"Y")/$C62),(SUMIFS(Tree!$AE:$AE,Tree!$A:$A,$B62,Tree!$D:$D,L$39,Tree!$F:$F,"L",Tree!$K:$K,"&lt;&gt;"&amp;"Y")/$C62))))</f>
        <v/>
      </c>
      <c r="M62" s="122" t="str">
        <f>IF($B62="","",IF(M$39="","",IF(M$39="Snag",(SUMIFS(Tree!$AE:$AE,Tree!$A:$A,$B62,Tree!$F:$F,"D",Tree!$K:$K,"&lt;&gt;"&amp;"Y")/$C62),(SUMIFS(Tree!$AE:$AE,Tree!$A:$A,$B62,Tree!$D:$D,M$39,Tree!$F:$F,"L",Tree!$K:$K,"&lt;&gt;"&amp;"Y")/$C62))))</f>
        <v/>
      </c>
      <c r="N62" s="122" t="str">
        <f>IF($B62="","",IF(N$39="","",IF(N$39="Snag",(SUMIFS(Tree!$AE:$AE,Tree!$A:$A,$B62,Tree!$F:$F,"D",Tree!$K:$K,"&lt;&gt;"&amp;"Y")/$C62),(SUMIFS(Tree!$AE:$AE,Tree!$A:$A,$B62,Tree!$D:$D,N$39,Tree!$F:$F,"L",Tree!$K:$K,"&lt;&gt;"&amp;"Y")/$C62))))</f>
        <v/>
      </c>
      <c r="O62" s="193" t="str">
        <f t="shared" si="9"/>
        <v/>
      </c>
      <c r="P62" s="292" t="str">
        <f>IF($B62="","",IF(P$39="","",IF(P$39="Snag",(SUMIFS(Tree!$AQ:$AQ,Tree!$A:$A,$B62,Tree!$F:$F,"D",Tree!$K:$K,"&lt;&gt;"&amp;"Y")/$C62),(SUMIFS(Tree!$AQ:$AQ,Tree!$A:$A,$B62,Tree!$D:$D,P$39,Tree!$F:$F,"L",Tree!$K:$K,"&lt;&gt;"&amp;"Y")/$C62))))</f>
        <v/>
      </c>
      <c r="Q62" s="445" t="str">
        <f>IF(B62="","",VLOOKUP(B62,#REF!,12,0))</f>
        <v/>
      </c>
      <c r="R62" s="448" t="str">
        <f>IF(B62="","",VLOOKUP($B62,#REF!,20,0))</f>
        <v/>
      </c>
      <c r="S62" s="86"/>
      <c r="T62" s="157" t="str">
        <f t="shared" ref="T62:V66" si="13">IF($C62="","",IF(T$39="","",($D62*F62)))</f>
        <v/>
      </c>
      <c r="U62" s="122" t="str">
        <f t="shared" si="13"/>
        <v/>
      </c>
      <c r="V62" s="122" t="str">
        <f t="shared" si="13"/>
        <v/>
      </c>
      <c r="W62" s="122" t="str">
        <f t="shared" si="12"/>
        <v/>
      </c>
      <c r="X62" s="122" t="str">
        <f t="shared" si="12"/>
        <v/>
      </c>
      <c r="Y62" s="122" t="str">
        <f t="shared" si="12"/>
        <v/>
      </c>
      <c r="Z62" s="122" t="str">
        <f t="shared" si="12"/>
        <v/>
      </c>
      <c r="AA62" s="122" t="str">
        <f t="shared" si="12"/>
        <v/>
      </c>
      <c r="AB62" s="122" t="str">
        <f t="shared" si="12"/>
        <v/>
      </c>
      <c r="AC62" s="193" t="str">
        <f t="shared" si="12"/>
        <v/>
      </c>
      <c r="AD62" s="212" t="str">
        <f t="shared" si="12"/>
        <v/>
      </c>
      <c r="AE62" s="213" t="str">
        <f t="shared" si="12"/>
        <v/>
      </c>
      <c r="AF62" s="193" t="str">
        <f t="shared" si="11"/>
        <v/>
      </c>
    </row>
    <row r="63" spans="2:32" x14ac:dyDescent="0.25">
      <c r="B63" s="201" t="str">
        <f>IF(Stand!C26="","",Stand!C26)</f>
        <v/>
      </c>
      <c r="C63" s="208" t="str" cm="1">
        <f t="array" ref="C63">IF(SUM(IF(B63=Stand_Biomass!$B$4:$B$30,Stand_Biomass!$C$4:$C$30))&gt;0,SUM(IF(B63=Stand_Biomass!$B$4:$B$30,Stand_Biomass!$C$4:$C$30)),"")</f>
        <v/>
      </c>
      <c r="D63" s="209" t="str">
        <f>IF(B63="","",VLOOKUP($B63,Stand!$C:$G,5,0))</f>
        <v/>
      </c>
      <c r="E63" s="28"/>
      <c r="F63" s="157" t="str">
        <f>IF($B63="","",IF(F$39="","",IF(F$39="Snag",(SUMIFS(Tree!$AE:$AE,Tree!$A:$A,$B63,Tree!$F:$F,"D",Tree!$K:$K,"&lt;&gt;"&amp;"Y")/$C63),(SUMIFS(Tree!$AE:$AE,Tree!$A:$A,$B63,Tree!$D:$D,F$39,Tree!$F:$F,"L",Tree!$K:$K,"&lt;&gt;"&amp;"Y")/$C63))))</f>
        <v/>
      </c>
      <c r="G63" s="122" t="str">
        <f>IF($B63="","",IF(G$39="","",IF(G$39="Snag",(SUMIFS(Tree!$AE:$AE,Tree!$A:$A,$B63,Tree!$F:$F,"D",Tree!$K:$K,"&lt;&gt;"&amp;"Y")/$C63),(SUMIFS(Tree!$AE:$AE,Tree!$A:$A,$B63,Tree!$D:$D,G$39,Tree!$F:$F,"L",Tree!$K:$K,"&lt;&gt;"&amp;"Y")/$C63))))</f>
        <v/>
      </c>
      <c r="H63" s="122" t="str">
        <f>IF($B63="","",IF(H$39="","",IF(H$39="Snag",(SUMIFS(Tree!$AE:$AE,Tree!$A:$A,$B63,Tree!$F:$F,"D",Tree!$K:$K,"&lt;&gt;"&amp;"Y")/$C63),(SUMIFS(Tree!$AE:$AE,Tree!$A:$A,$B63,Tree!$D:$D,H$39,Tree!$F:$F,"L",Tree!$K:$K,"&lt;&gt;"&amp;"Y")/$C63))))</f>
        <v/>
      </c>
      <c r="I63" s="122" t="str">
        <f>IF($B63="","",IF(I$39="","",IF(I$39="Snag",(SUMIFS(Tree!$AE:$AE,Tree!$A:$A,$B63,Tree!$F:$F,"D",Tree!$K:$K,"&lt;&gt;"&amp;"Y")/$C63),(SUMIFS(Tree!$AE:$AE,Tree!$A:$A,$B63,Tree!$D:$D,I$39,Tree!$F:$F,"L",Tree!$K:$K,"&lt;&gt;"&amp;"Y")/$C63))))</f>
        <v/>
      </c>
      <c r="J63" s="122" t="str">
        <f>IF($B63="","",IF(J$39="","",IF(J$39="Snag",(SUMIFS(Tree!$AE:$AE,Tree!$A:$A,$B63,Tree!$F:$F,"D",Tree!$K:$K,"&lt;&gt;"&amp;"Y")/$C63),(SUMIFS(Tree!$AE:$AE,Tree!$A:$A,$B63,Tree!$D:$D,J$39,Tree!$F:$F,"L",Tree!$K:$K,"&lt;&gt;"&amp;"Y")/$C63))))</f>
        <v/>
      </c>
      <c r="K63" s="122" t="str">
        <f>IF($B63="","",IF(K$39="","",IF(K$39="Snag",(SUMIFS(Tree!$AE:$AE,Tree!$A:$A,$B63,Tree!$F:$F,"D",Tree!$K:$K,"&lt;&gt;"&amp;"Y")/$C63),(SUMIFS(Tree!$AE:$AE,Tree!$A:$A,$B63,Tree!$D:$D,K$39,Tree!$F:$F,"L",Tree!$K:$K,"&lt;&gt;"&amp;"Y")/$C63))))</f>
        <v/>
      </c>
      <c r="L63" s="122" t="str">
        <f>IF($B63="","",IF(L$39="","",IF(L$39="Snag",(SUMIFS(Tree!$AE:$AE,Tree!$A:$A,$B63,Tree!$F:$F,"D",Tree!$K:$K,"&lt;&gt;"&amp;"Y")/$C63),(SUMIFS(Tree!$AE:$AE,Tree!$A:$A,$B63,Tree!$D:$D,L$39,Tree!$F:$F,"L",Tree!$K:$K,"&lt;&gt;"&amp;"Y")/$C63))))</f>
        <v/>
      </c>
      <c r="M63" s="122" t="str">
        <f>IF($B63="","",IF(M$39="","",IF(M$39="Snag",(SUMIFS(Tree!$AE:$AE,Tree!$A:$A,$B63,Tree!$F:$F,"D",Tree!$K:$K,"&lt;&gt;"&amp;"Y")/$C63),(SUMIFS(Tree!$AE:$AE,Tree!$A:$A,$B63,Tree!$D:$D,M$39,Tree!$F:$F,"L",Tree!$K:$K,"&lt;&gt;"&amp;"Y")/$C63))))</f>
        <v/>
      </c>
      <c r="N63" s="122" t="str">
        <f>IF($B63="","",IF(N$39="","",IF(N$39="Snag",(SUMIFS(Tree!$AE:$AE,Tree!$A:$A,$B63,Tree!$F:$F,"D",Tree!$K:$K,"&lt;&gt;"&amp;"Y")/$C63),(SUMIFS(Tree!$AE:$AE,Tree!$A:$A,$B63,Tree!$D:$D,N$39,Tree!$F:$F,"L",Tree!$K:$K,"&lt;&gt;"&amp;"Y")/$C63))))</f>
        <v/>
      </c>
      <c r="O63" s="193" t="str">
        <f t="shared" si="9"/>
        <v/>
      </c>
      <c r="P63" s="292" t="str">
        <f>IF($B63="","",IF(P$39="","",IF(P$39="Snag",(SUMIFS(Tree!$AQ:$AQ,Tree!$A:$A,$B63,Tree!$F:$F,"D",Tree!$K:$K,"&lt;&gt;"&amp;"Y")/$C63),(SUMIFS(Tree!$AQ:$AQ,Tree!$A:$A,$B63,Tree!$D:$D,P$39,Tree!$F:$F,"L",Tree!$K:$K,"&lt;&gt;"&amp;"Y")/$C63))))</f>
        <v/>
      </c>
      <c r="Q63" s="445" t="str">
        <f>IF(B63="","",VLOOKUP(B63,#REF!,12,0))</f>
        <v/>
      </c>
      <c r="R63" s="448" t="str">
        <f>IF(B63="","",VLOOKUP($B63,#REF!,20,0))</f>
        <v/>
      </c>
      <c r="S63" s="86"/>
      <c r="T63" s="157" t="str">
        <f t="shared" si="13"/>
        <v/>
      </c>
      <c r="U63" s="122" t="str">
        <f t="shared" si="13"/>
        <v/>
      </c>
      <c r="V63" s="122" t="str">
        <f t="shared" si="13"/>
        <v/>
      </c>
      <c r="W63" s="122" t="str">
        <f t="shared" si="12"/>
        <v/>
      </c>
      <c r="X63" s="122" t="str">
        <f t="shared" si="12"/>
        <v/>
      </c>
      <c r="Y63" s="122" t="str">
        <f t="shared" si="12"/>
        <v/>
      </c>
      <c r="Z63" s="122" t="str">
        <f t="shared" si="12"/>
        <v/>
      </c>
      <c r="AA63" s="122" t="str">
        <f t="shared" si="12"/>
        <v/>
      </c>
      <c r="AB63" s="122" t="str">
        <f t="shared" si="12"/>
        <v/>
      </c>
      <c r="AC63" s="193" t="str">
        <f t="shared" si="12"/>
        <v/>
      </c>
      <c r="AD63" s="212" t="str">
        <f t="shared" si="12"/>
        <v/>
      </c>
      <c r="AE63" s="213" t="str">
        <f t="shared" si="12"/>
        <v/>
      </c>
      <c r="AF63" s="193" t="str">
        <f t="shared" si="11"/>
        <v/>
      </c>
    </row>
    <row r="64" spans="2:32" x14ac:dyDescent="0.25">
      <c r="B64" s="201" t="str">
        <f>IF(Stand!C27="","",Stand!C27)</f>
        <v/>
      </c>
      <c r="C64" s="208" t="str" cm="1">
        <f t="array" ref="C64">IF(SUM(IF(B64=Stand_Biomass!$B$4:$B$30,Stand_Biomass!$C$4:$C$30))&gt;0,SUM(IF(B64=Stand_Biomass!$B$4:$B$30,Stand_Biomass!$C$4:$C$30)),"")</f>
        <v/>
      </c>
      <c r="D64" s="209" t="str">
        <f>IF(B64="","",VLOOKUP($B64,Stand!$C:$G,5,0))</f>
        <v/>
      </c>
      <c r="E64" s="28"/>
      <c r="F64" s="157" t="str">
        <f>IF($B64="","",IF(F$39="","",IF(F$39="Snag",(SUMIFS(Tree!$AE:$AE,Tree!$A:$A,$B64,Tree!$F:$F,"D",Tree!$K:$K,"&lt;&gt;"&amp;"Y")/$C64),(SUMIFS(Tree!$AE:$AE,Tree!$A:$A,$B64,Tree!$D:$D,F$39,Tree!$F:$F,"L",Tree!$K:$K,"&lt;&gt;"&amp;"Y")/$C64))))</f>
        <v/>
      </c>
      <c r="G64" s="122" t="str">
        <f>IF($B64="","",IF(G$39="","",IF(G$39="Snag",(SUMIFS(Tree!$AE:$AE,Tree!$A:$A,$B64,Tree!$F:$F,"D",Tree!$K:$K,"&lt;&gt;"&amp;"Y")/$C64),(SUMIFS(Tree!$AE:$AE,Tree!$A:$A,$B64,Tree!$D:$D,G$39,Tree!$F:$F,"L",Tree!$K:$K,"&lt;&gt;"&amp;"Y")/$C64))))</f>
        <v/>
      </c>
      <c r="H64" s="122" t="str">
        <f>IF($B64="","",IF(H$39="","",IF(H$39="Snag",(SUMIFS(Tree!$AE:$AE,Tree!$A:$A,$B64,Tree!$F:$F,"D",Tree!$K:$K,"&lt;&gt;"&amp;"Y")/$C64),(SUMIFS(Tree!$AE:$AE,Tree!$A:$A,$B64,Tree!$D:$D,H$39,Tree!$F:$F,"L",Tree!$K:$K,"&lt;&gt;"&amp;"Y")/$C64))))</f>
        <v/>
      </c>
      <c r="I64" s="122" t="str">
        <f>IF($B64="","",IF(I$39="","",IF(I$39="Snag",(SUMIFS(Tree!$AE:$AE,Tree!$A:$A,$B64,Tree!$F:$F,"D",Tree!$K:$K,"&lt;&gt;"&amp;"Y")/$C64),(SUMIFS(Tree!$AE:$AE,Tree!$A:$A,$B64,Tree!$D:$D,I$39,Tree!$F:$F,"L",Tree!$K:$K,"&lt;&gt;"&amp;"Y")/$C64))))</f>
        <v/>
      </c>
      <c r="J64" s="122" t="str">
        <f>IF($B64="","",IF(J$39="","",IF(J$39="Snag",(SUMIFS(Tree!$AE:$AE,Tree!$A:$A,$B64,Tree!$F:$F,"D",Tree!$K:$K,"&lt;&gt;"&amp;"Y")/$C64),(SUMIFS(Tree!$AE:$AE,Tree!$A:$A,$B64,Tree!$D:$D,J$39,Tree!$F:$F,"L",Tree!$K:$K,"&lt;&gt;"&amp;"Y")/$C64))))</f>
        <v/>
      </c>
      <c r="K64" s="122" t="str">
        <f>IF($B64="","",IF(K$39="","",IF(K$39="Snag",(SUMIFS(Tree!$AE:$AE,Tree!$A:$A,$B64,Tree!$F:$F,"D",Tree!$K:$K,"&lt;&gt;"&amp;"Y")/$C64),(SUMIFS(Tree!$AE:$AE,Tree!$A:$A,$B64,Tree!$D:$D,K$39,Tree!$F:$F,"L",Tree!$K:$K,"&lt;&gt;"&amp;"Y")/$C64))))</f>
        <v/>
      </c>
      <c r="L64" s="122" t="str">
        <f>IF($B64="","",IF(L$39="","",IF(L$39="Snag",(SUMIFS(Tree!$AE:$AE,Tree!$A:$A,$B64,Tree!$F:$F,"D",Tree!$K:$K,"&lt;&gt;"&amp;"Y")/$C64),(SUMIFS(Tree!$AE:$AE,Tree!$A:$A,$B64,Tree!$D:$D,L$39,Tree!$F:$F,"L",Tree!$K:$K,"&lt;&gt;"&amp;"Y")/$C64))))</f>
        <v/>
      </c>
      <c r="M64" s="122" t="str">
        <f>IF($B64="","",IF(M$39="","",IF(M$39="Snag",(SUMIFS(Tree!$AE:$AE,Tree!$A:$A,$B64,Tree!$F:$F,"D",Tree!$K:$K,"&lt;&gt;"&amp;"Y")/$C64),(SUMIFS(Tree!$AE:$AE,Tree!$A:$A,$B64,Tree!$D:$D,M$39,Tree!$F:$F,"L",Tree!$K:$K,"&lt;&gt;"&amp;"Y")/$C64))))</f>
        <v/>
      </c>
      <c r="N64" s="122" t="str">
        <f>IF($B64="","",IF(N$39="","",IF(N$39="Snag",(SUMIFS(Tree!$AE:$AE,Tree!$A:$A,$B64,Tree!$F:$F,"D",Tree!$K:$K,"&lt;&gt;"&amp;"Y")/$C64),(SUMIFS(Tree!$AE:$AE,Tree!$A:$A,$B64,Tree!$D:$D,N$39,Tree!$F:$F,"L",Tree!$K:$K,"&lt;&gt;"&amp;"Y")/$C64))))</f>
        <v/>
      </c>
      <c r="O64" s="193" t="str">
        <f t="shared" si="9"/>
        <v/>
      </c>
      <c r="P64" s="292" t="str">
        <f>IF($B64="","",IF(P$39="","",IF(P$39="Snag",(SUMIFS(Tree!$AQ:$AQ,Tree!$A:$A,$B64,Tree!$F:$F,"D",Tree!$K:$K,"&lt;&gt;"&amp;"Y")/$C64),(SUMIFS(Tree!$AQ:$AQ,Tree!$A:$A,$B64,Tree!$D:$D,P$39,Tree!$F:$F,"L",Tree!$K:$K,"&lt;&gt;"&amp;"Y")/$C64))))</f>
        <v/>
      </c>
      <c r="Q64" s="445" t="str">
        <f>IF(B64="","",VLOOKUP(B64,#REF!,12,0))</f>
        <v/>
      </c>
      <c r="R64" s="448" t="str">
        <f>IF(B64="","",VLOOKUP($B64,#REF!,20,0))</f>
        <v/>
      </c>
      <c r="S64" s="86"/>
      <c r="T64" s="157" t="str">
        <f t="shared" si="13"/>
        <v/>
      </c>
      <c r="U64" s="122" t="str">
        <f t="shared" si="13"/>
        <v/>
      </c>
      <c r="V64" s="122" t="str">
        <f t="shared" si="13"/>
        <v/>
      </c>
      <c r="W64" s="122" t="str">
        <f t="shared" si="12"/>
        <v/>
      </c>
      <c r="X64" s="122" t="str">
        <f t="shared" si="12"/>
        <v/>
      </c>
      <c r="Y64" s="122" t="str">
        <f t="shared" si="12"/>
        <v/>
      </c>
      <c r="Z64" s="122" t="str">
        <f t="shared" si="12"/>
        <v/>
      </c>
      <c r="AA64" s="122" t="str">
        <f t="shared" si="12"/>
        <v/>
      </c>
      <c r="AB64" s="122" t="str">
        <f t="shared" si="12"/>
        <v/>
      </c>
      <c r="AC64" s="193" t="str">
        <f t="shared" si="12"/>
        <v/>
      </c>
      <c r="AD64" s="212" t="str">
        <f t="shared" si="12"/>
        <v/>
      </c>
      <c r="AE64" s="213" t="str">
        <f t="shared" si="12"/>
        <v/>
      </c>
      <c r="AF64" s="193" t="str">
        <f t="shared" si="11"/>
        <v/>
      </c>
    </row>
    <row r="65" spans="2:32" x14ac:dyDescent="0.25">
      <c r="B65" s="201" t="str">
        <f>IF(Stand!C28="","",Stand!C28)</f>
        <v/>
      </c>
      <c r="C65" s="208" t="str" cm="1">
        <f t="array" ref="C65">IF(SUM(IF(B65=Stand_Biomass!$B$4:$B$30,Stand_Biomass!$C$4:$C$30))&gt;0,SUM(IF(B65=Stand_Biomass!$B$4:$B$30,Stand_Biomass!$C$4:$C$30)),"")</f>
        <v/>
      </c>
      <c r="D65" s="209" t="str">
        <f>IF(B65="","",VLOOKUP($B65,Stand!$C:$G,5,0))</f>
        <v/>
      </c>
      <c r="E65" s="28"/>
      <c r="F65" s="157" t="str">
        <f>IF($B65="","",IF(F$39="","",IF(F$39="Snag",(SUMIFS(Tree!$AE:$AE,Tree!$A:$A,$B65,Tree!$F:$F,"D",Tree!$K:$K,"&lt;&gt;"&amp;"Y")/$C65),(SUMIFS(Tree!$AE:$AE,Tree!$A:$A,$B65,Tree!$D:$D,F$39,Tree!$F:$F,"L",Tree!$K:$K,"&lt;&gt;"&amp;"Y")/$C65))))</f>
        <v/>
      </c>
      <c r="G65" s="122" t="str">
        <f>IF($B65="","",IF(G$39="","",IF(G$39="Snag",(SUMIFS(Tree!$AE:$AE,Tree!$A:$A,$B65,Tree!$F:$F,"D",Tree!$K:$K,"&lt;&gt;"&amp;"Y")/$C65),(SUMIFS(Tree!$AE:$AE,Tree!$A:$A,$B65,Tree!$D:$D,G$39,Tree!$F:$F,"L",Tree!$K:$K,"&lt;&gt;"&amp;"Y")/$C65))))</f>
        <v/>
      </c>
      <c r="H65" s="122" t="str">
        <f>IF($B65="","",IF(H$39="","",IF(H$39="Snag",(SUMIFS(Tree!$AE:$AE,Tree!$A:$A,$B65,Tree!$F:$F,"D",Tree!$K:$K,"&lt;&gt;"&amp;"Y")/$C65),(SUMIFS(Tree!$AE:$AE,Tree!$A:$A,$B65,Tree!$D:$D,H$39,Tree!$F:$F,"L",Tree!$K:$K,"&lt;&gt;"&amp;"Y")/$C65))))</f>
        <v/>
      </c>
      <c r="I65" s="122" t="str">
        <f>IF($B65="","",IF(I$39="","",IF(I$39="Snag",(SUMIFS(Tree!$AE:$AE,Tree!$A:$A,$B65,Tree!$F:$F,"D",Tree!$K:$K,"&lt;&gt;"&amp;"Y")/$C65),(SUMIFS(Tree!$AE:$AE,Tree!$A:$A,$B65,Tree!$D:$D,I$39,Tree!$F:$F,"L",Tree!$K:$K,"&lt;&gt;"&amp;"Y")/$C65))))</f>
        <v/>
      </c>
      <c r="J65" s="122" t="str">
        <f>IF($B65="","",IF(J$39="","",IF(J$39="Snag",(SUMIFS(Tree!$AE:$AE,Tree!$A:$A,$B65,Tree!$F:$F,"D",Tree!$K:$K,"&lt;&gt;"&amp;"Y")/$C65),(SUMIFS(Tree!$AE:$AE,Tree!$A:$A,$B65,Tree!$D:$D,J$39,Tree!$F:$F,"L",Tree!$K:$K,"&lt;&gt;"&amp;"Y")/$C65))))</f>
        <v/>
      </c>
      <c r="K65" s="122" t="str">
        <f>IF($B65="","",IF(K$39="","",IF(K$39="Snag",(SUMIFS(Tree!$AE:$AE,Tree!$A:$A,$B65,Tree!$F:$F,"D",Tree!$K:$K,"&lt;&gt;"&amp;"Y")/$C65),(SUMIFS(Tree!$AE:$AE,Tree!$A:$A,$B65,Tree!$D:$D,K$39,Tree!$F:$F,"L",Tree!$K:$K,"&lt;&gt;"&amp;"Y")/$C65))))</f>
        <v/>
      </c>
      <c r="L65" s="122" t="str">
        <f>IF($B65="","",IF(L$39="","",IF(L$39="Snag",(SUMIFS(Tree!$AE:$AE,Tree!$A:$A,$B65,Tree!$F:$F,"D",Tree!$K:$K,"&lt;&gt;"&amp;"Y")/$C65),(SUMIFS(Tree!$AE:$AE,Tree!$A:$A,$B65,Tree!$D:$D,L$39,Tree!$F:$F,"L",Tree!$K:$K,"&lt;&gt;"&amp;"Y")/$C65))))</f>
        <v/>
      </c>
      <c r="M65" s="122" t="str">
        <f>IF($B65="","",IF(M$39="","",IF(M$39="Snag",(SUMIFS(Tree!$AE:$AE,Tree!$A:$A,$B65,Tree!$F:$F,"D",Tree!$K:$K,"&lt;&gt;"&amp;"Y")/$C65),(SUMIFS(Tree!$AE:$AE,Tree!$A:$A,$B65,Tree!$D:$D,M$39,Tree!$F:$F,"L",Tree!$K:$K,"&lt;&gt;"&amp;"Y")/$C65))))</f>
        <v/>
      </c>
      <c r="N65" s="122" t="str">
        <f>IF($B65="","",IF(N$39="","",IF(N$39="Snag",(SUMIFS(Tree!$AE:$AE,Tree!$A:$A,$B65,Tree!$F:$F,"D",Tree!$K:$K,"&lt;&gt;"&amp;"Y")/$C65),(SUMIFS(Tree!$AE:$AE,Tree!$A:$A,$B65,Tree!$D:$D,N$39,Tree!$F:$F,"L",Tree!$K:$K,"&lt;&gt;"&amp;"Y")/$C65))))</f>
        <v/>
      </c>
      <c r="O65" s="193" t="str">
        <f t="shared" si="9"/>
        <v/>
      </c>
      <c r="P65" s="292" t="str">
        <f>IF($B65="","",IF(P$39="","",IF(P$39="Snag",(SUMIFS(Tree!$AQ:$AQ,Tree!$A:$A,$B65,Tree!$F:$F,"D",Tree!$K:$K,"&lt;&gt;"&amp;"Y")/$C65),(SUMIFS(Tree!$AQ:$AQ,Tree!$A:$A,$B65,Tree!$D:$D,P$39,Tree!$F:$F,"L",Tree!$K:$K,"&lt;&gt;"&amp;"Y")/$C65))))</f>
        <v/>
      </c>
      <c r="Q65" s="445" t="str">
        <f>IF(B65="","",VLOOKUP(B65,#REF!,12,0))</f>
        <v/>
      </c>
      <c r="R65" s="448" t="str">
        <f>IF(B65="","",VLOOKUP($B65,#REF!,20,0))</f>
        <v/>
      </c>
      <c r="S65" s="86"/>
      <c r="T65" s="157" t="str">
        <f t="shared" si="13"/>
        <v/>
      </c>
      <c r="U65" s="122" t="str">
        <f t="shared" si="13"/>
        <v/>
      </c>
      <c r="V65" s="122" t="str">
        <f t="shared" si="13"/>
        <v/>
      </c>
      <c r="W65" s="122" t="str">
        <f t="shared" si="12"/>
        <v/>
      </c>
      <c r="X65" s="122" t="str">
        <f t="shared" si="12"/>
        <v/>
      </c>
      <c r="Y65" s="122" t="str">
        <f t="shared" si="12"/>
        <v/>
      </c>
      <c r="Z65" s="122" t="str">
        <f t="shared" si="12"/>
        <v/>
      </c>
      <c r="AA65" s="122" t="str">
        <f t="shared" si="12"/>
        <v/>
      </c>
      <c r="AB65" s="122" t="str">
        <f t="shared" si="12"/>
        <v/>
      </c>
      <c r="AC65" s="193" t="str">
        <f t="shared" si="12"/>
        <v/>
      </c>
      <c r="AD65" s="212" t="str">
        <f t="shared" si="12"/>
        <v/>
      </c>
      <c r="AE65" s="213" t="str">
        <f t="shared" si="12"/>
        <v/>
      </c>
      <c r="AF65" s="193" t="str">
        <f t="shared" si="11"/>
        <v/>
      </c>
    </row>
    <row r="66" spans="2:32" ht="13.8" thickBot="1" x14ac:dyDescent="0.3">
      <c r="B66" s="202" t="str">
        <f>IF(Stand!C29="","",Stand!C29)</f>
        <v/>
      </c>
      <c r="C66" s="210" t="str" cm="1">
        <f t="array" ref="C66">IF(SUM(IF(B66=Stand_Biomass!$B$4:$B$30,Stand_Biomass!$C$4:$C$30))&gt;0,SUM(IF(B66=Stand_Biomass!$B$4:$B$30,Stand_Biomass!$C$4:$C$30)),"")</f>
        <v/>
      </c>
      <c r="D66" s="211" t="str">
        <f>IF(B66="","",VLOOKUP($B66,Stand!$C:$G,5,0))</f>
        <v/>
      </c>
      <c r="E66" s="28"/>
      <c r="F66" s="166" t="str">
        <f>IF($B66="","",IF(F$39="","",IF(F$39="Snag",(SUMIFS(Tree!$AE:$AE,Tree!$A:$A,$B66,Tree!$F:$F,"D",Tree!$K:$K,"&lt;&gt;"&amp;"Y")/$C66),(SUMIFS(Tree!$AE:$AE,Tree!$A:$A,$B66,Tree!$D:$D,F$39,Tree!$F:$F,"L",Tree!$K:$K,"&lt;&gt;"&amp;"Y")/$C66))))</f>
        <v/>
      </c>
      <c r="G66" s="163" t="str">
        <f>IF($B66="","",IF(G$39="","",IF(G$39="Snag",(SUMIFS(Tree!$AE:$AE,Tree!$A:$A,$B66,Tree!$F:$F,"D",Tree!$K:$K,"&lt;&gt;"&amp;"Y")/$C66),(SUMIFS(Tree!$AE:$AE,Tree!$A:$A,$B66,Tree!$D:$D,G$39,Tree!$F:$F,"L",Tree!$K:$K,"&lt;&gt;"&amp;"Y")/$C66))))</f>
        <v/>
      </c>
      <c r="H66" s="163" t="str">
        <f>IF($B66="","",IF(H$39="","",IF(H$39="Snag",(SUMIFS(Tree!$AE:$AE,Tree!$A:$A,$B66,Tree!$F:$F,"D",Tree!$K:$K,"&lt;&gt;"&amp;"Y")/$C66),(SUMIFS(Tree!$AE:$AE,Tree!$A:$A,$B66,Tree!$D:$D,H$39,Tree!$F:$F,"L",Tree!$K:$K,"&lt;&gt;"&amp;"Y")/$C66))))</f>
        <v/>
      </c>
      <c r="I66" s="163" t="str">
        <f>IF($B66="","",IF(I$39="","",IF(I$39="Snag",(SUMIFS(Tree!$AE:$AE,Tree!$A:$A,$B66,Tree!$F:$F,"D",Tree!$K:$K,"&lt;&gt;"&amp;"Y")/$C66),(SUMIFS(Tree!$AE:$AE,Tree!$A:$A,$B66,Tree!$D:$D,I$39,Tree!$F:$F,"L",Tree!$K:$K,"&lt;&gt;"&amp;"Y")/$C66))))</f>
        <v/>
      </c>
      <c r="J66" s="163" t="str">
        <f>IF($B66="","",IF(J$39="","",IF(J$39="Snag",(SUMIFS(Tree!$AE:$AE,Tree!$A:$A,$B66,Tree!$F:$F,"D",Tree!$K:$K,"&lt;&gt;"&amp;"Y")/$C66),(SUMIFS(Tree!$AE:$AE,Tree!$A:$A,$B66,Tree!$D:$D,J$39,Tree!$F:$F,"L",Tree!$K:$K,"&lt;&gt;"&amp;"Y")/$C66))))</f>
        <v/>
      </c>
      <c r="K66" s="163" t="str">
        <f>IF($B66="","",IF(K$39="","",IF(K$39="Snag",(SUMIFS(Tree!$AE:$AE,Tree!$A:$A,$B66,Tree!$F:$F,"D",Tree!$K:$K,"&lt;&gt;"&amp;"Y")/$C66),(SUMIFS(Tree!$AE:$AE,Tree!$A:$A,$B66,Tree!$D:$D,K$39,Tree!$F:$F,"L",Tree!$K:$K,"&lt;&gt;"&amp;"Y")/$C66))))</f>
        <v/>
      </c>
      <c r="L66" s="163" t="str">
        <f>IF($B66="","",IF(L$39="","",IF(L$39="Snag",(SUMIFS(Tree!$AE:$AE,Tree!$A:$A,$B66,Tree!$F:$F,"D",Tree!$K:$K,"&lt;&gt;"&amp;"Y")/$C66),(SUMIFS(Tree!$AE:$AE,Tree!$A:$A,$B66,Tree!$D:$D,L$39,Tree!$F:$F,"L",Tree!$K:$K,"&lt;&gt;"&amp;"Y")/$C66))))</f>
        <v/>
      </c>
      <c r="M66" s="163" t="str">
        <f>IF($B66="","",IF(M$39="","",IF(M$39="Snag",(SUMIFS(Tree!$AE:$AE,Tree!$A:$A,$B66,Tree!$F:$F,"D",Tree!$K:$K,"&lt;&gt;"&amp;"Y")/$C66),(SUMIFS(Tree!$AE:$AE,Tree!$A:$A,$B66,Tree!$D:$D,M$39,Tree!$F:$F,"L",Tree!$K:$K,"&lt;&gt;"&amp;"Y")/$C66))))</f>
        <v/>
      </c>
      <c r="N66" s="163" t="str">
        <f>IF($B66="","",IF(N$39="","",IF(N$39="Snag",(SUMIFS(Tree!$AE:$AE,Tree!$A:$A,$B66,Tree!$F:$F,"D",Tree!$K:$K,"&lt;&gt;"&amp;"Y")/$C66),(SUMIFS(Tree!$AE:$AE,Tree!$A:$A,$B66,Tree!$D:$D,N$39,Tree!$F:$F,"L",Tree!$K:$K,"&lt;&gt;"&amp;"Y")/$C66))))</f>
        <v/>
      </c>
      <c r="O66" s="195" t="str">
        <f t="shared" si="9"/>
        <v/>
      </c>
      <c r="P66" s="293" t="str">
        <f>IF($B66="","",IF(P$39="","",IF(P$39="Snag",(SUMIFS(Tree!$AQ:$AQ,Tree!$A:$A,$B66,Tree!$F:$F,"D",Tree!$K:$K,"&lt;&gt;"&amp;"Y")/$C66),(SUMIFS(Tree!$AQ:$AQ,Tree!$A:$A,$B66,Tree!$D:$D,P$39,Tree!$F:$F,"L",Tree!$K:$K,"&lt;&gt;"&amp;"Y")/$C66))))</f>
        <v/>
      </c>
      <c r="Q66" s="446" t="str">
        <f>IF(B66="","",VLOOKUP(B66,#REF!,12,0))</f>
        <v/>
      </c>
      <c r="R66" s="449" t="str">
        <f>IF(B66="","",VLOOKUP($B66,#REF!,20,0))</f>
        <v/>
      </c>
      <c r="S66" s="86"/>
      <c r="T66" s="166" t="str">
        <f t="shared" si="13"/>
        <v/>
      </c>
      <c r="U66" s="163" t="str">
        <f t="shared" si="13"/>
        <v/>
      </c>
      <c r="V66" s="163" t="str">
        <f t="shared" si="13"/>
        <v/>
      </c>
      <c r="W66" s="163" t="str">
        <f t="shared" si="12"/>
        <v/>
      </c>
      <c r="X66" s="163" t="str">
        <f t="shared" si="12"/>
        <v/>
      </c>
      <c r="Y66" s="163" t="str">
        <f t="shared" si="12"/>
        <v/>
      </c>
      <c r="Z66" s="163" t="str">
        <f t="shared" si="12"/>
        <v/>
      </c>
      <c r="AA66" s="163" t="str">
        <f t="shared" si="12"/>
        <v/>
      </c>
      <c r="AB66" s="163" t="str">
        <f t="shared" si="12"/>
        <v/>
      </c>
      <c r="AC66" s="195" t="str">
        <f t="shared" si="12"/>
        <v/>
      </c>
      <c r="AD66" s="215" t="str">
        <f t="shared" si="12"/>
        <v/>
      </c>
      <c r="AE66" s="216" t="str">
        <f t="shared" si="12"/>
        <v/>
      </c>
      <c r="AF66" s="195" t="str">
        <f t="shared" si="11"/>
        <v/>
      </c>
    </row>
    <row r="67" spans="2:32" ht="13.8" thickBot="1" x14ac:dyDescent="0.3">
      <c r="B67" s="28"/>
      <c r="C67" s="28"/>
      <c r="D67" s="28"/>
      <c r="E67" s="28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22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2:32" ht="13.8" thickBot="1" x14ac:dyDescent="0.3">
      <c r="B68" s="225" t="s">
        <v>96</v>
      </c>
      <c r="C68" s="226">
        <f>SUM(C40:C66)</f>
        <v>0</v>
      </c>
      <c r="D68" s="226">
        <f>SUM(D40:D66)</f>
        <v>0</v>
      </c>
      <c r="E68" s="28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22"/>
      <c r="T68" s="227">
        <f t="shared" ref="T68:Y68" si="14">SUM(T40:T66)</f>
        <v>0</v>
      </c>
      <c r="U68" s="228">
        <f t="shared" si="14"/>
        <v>0</v>
      </c>
      <c r="V68" s="228">
        <f t="shared" si="14"/>
        <v>0</v>
      </c>
      <c r="W68" s="228">
        <f t="shared" si="14"/>
        <v>0</v>
      </c>
      <c r="X68" s="228">
        <f t="shared" si="14"/>
        <v>0</v>
      </c>
      <c r="Y68" s="228">
        <f t="shared" si="14"/>
        <v>0</v>
      </c>
      <c r="Z68" s="228"/>
      <c r="AA68" s="228"/>
      <c r="AB68" s="228"/>
      <c r="AC68" s="229">
        <f>SUM(AC40:AC66)</f>
        <v>0</v>
      </c>
      <c r="AD68" s="230">
        <f>SUM(AD40:AD66)</f>
        <v>0</v>
      </c>
      <c r="AE68" s="230">
        <f>SUM(AE40:AE66)</f>
        <v>0</v>
      </c>
      <c r="AF68" s="26"/>
    </row>
    <row r="69" spans="2:32" s="61" customFormat="1" x14ac:dyDescent="0.25">
      <c r="B69" s="428"/>
      <c r="C69" s="429"/>
      <c r="D69" s="429"/>
      <c r="E69" s="430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436"/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8"/>
    </row>
    <row r="70" spans="2:32" x14ac:dyDescent="0.25">
      <c r="B70" s="29"/>
      <c r="C70" s="29"/>
      <c r="D70" s="29"/>
      <c r="E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</row>
    <row r="71" spans="2:32" s="61" customFormat="1" x14ac:dyDescent="0.25"/>
    <row r="72" spans="2:32" s="29" customFormat="1" x14ac:dyDescent="0.25">
      <c r="B72" s="430"/>
      <c r="C72" s="430"/>
      <c r="D72" s="430"/>
      <c r="E72" s="430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36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0"/>
    </row>
    <row r="73" spans="2:32" s="29" customFormat="1" x14ac:dyDescent="0.25">
      <c r="B73" s="430"/>
      <c r="C73" s="430"/>
      <c r="D73" s="430"/>
      <c r="E73" s="430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36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500"/>
      <c r="AE73" s="500"/>
      <c r="AF73" s="500"/>
    </row>
    <row r="74" spans="2:32" s="276" customFormat="1" x14ac:dyDescent="0.25">
      <c r="B74" s="272"/>
      <c r="C74" s="272"/>
      <c r="D74" s="272"/>
      <c r="E74" s="272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4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</row>
    <row r="75" spans="2:32" ht="16.2" thickBot="1" x14ac:dyDescent="0.3">
      <c r="B75" s="617" t="s">
        <v>294</v>
      </c>
      <c r="C75" s="617"/>
      <c r="D75" s="61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2:32" ht="18" thickBot="1" x14ac:dyDescent="0.35">
      <c r="B76" s="617"/>
      <c r="C76" s="617"/>
      <c r="D76" s="617"/>
      <c r="E76" s="28"/>
      <c r="F76" s="610" t="s">
        <v>295</v>
      </c>
      <c r="G76" s="618"/>
      <c r="H76" s="618"/>
      <c r="I76" s="618"/>
      <c r="J76" s="618"/>
      <c r="K76" s="618"/>
      <c r="L76" s="618"/>
      <c r="M76" s="618"/>
      <c r="N76" s="618"/>
      <c r="O76" s="618"/>
      <c r="P76" s="618"/>
      <c r="Q76" s="618"/>
      <c r="R76" s="619"/>
      <c r="S76" s="22"/>
      <c r="T76" s="620" t="s">
        <v>296</v>
      </c>
      <c r="U76" s="621"/>
      <c r="V76" s="621"/>
      <c r="W76" s="621"/>
      <c r="X76" s="621"/>
      <c r="Y76" s="621"/>
      <c r="Z76" s="621"/>
      <c r="AA76" s="621"/>
      <c r="AB76" s="621"/>
      <c r="AC76" s="621"/>
      <c r="AD76" s="621"/>
      <c r="AE76" s="621"/>
      <c r="AF76" s="622"/>
    </row>
    <row r="77" spans="2:32" ht="26.4" x14ac:dyDescent="0.25">
      <c r="B77" s="425" t="s">
        <v>82</v>
      </c>
      <c r="C77" s="150" t="s">
        <v>92</v>
      </c>
      <c r="D77" s="151" t="s">
        <v>5</v>
      </c>
      <c r="E77" s="14"/>
      <c r="F77" s="431" t="str">
        <f t="shared" ref="F77:N77" si="15">IF(F3="","",F3)</f>
        <v>DF</v>
      </c>
      <c r="G77" s="426" t="str">
        <f t="shared" si="15"/>
        <v>BM</v>
      </c>
      <c r="H77" s="426" t="str">
        <f t="shared" si="15"/>
        <v>WH</v>
      </c>
      <c r="I77" s="426" t="str">
        <f t="shared" si="15"/>
        <v>RA</v>
      </c>
      <c r="J77" s="426" t="str">
        <f t="shared" si="15"/>
        <v>SS</v>
      </c>
      <c r="K77" s="426" t="str">
        <f t="shared" si="15"/>
        <v>RC</v>
      </c>
      <c r="L77" s="426" t="str">
        <f t="shared" si="15"/>
        <v>LP</v>
      </c>
      <c r="M77" s="426" t="str">
        <f t="shared" si="15"/>
        <v>GF</v>
      </c>
      <c r="N77" s="426" t="str">
        <f t="shared" si="15"/>
        <v>MD</v>
      </c>
      <c r="O77" s="427" t="s">
        <v>168</v>
      </c>
      <c r="P77" s="440" t="s">
        <v>79</v>
      </c>
      <c r="Q77" s="444" t="s">
        <v>169</v>
      </c>
      <c r="R77" s="447" t="s">
        <v>172</v>
      </c>
      <c r="S77" s="85"/>
      <c r="T77" s="249" t="str">
        <f t="shared" ref="T77" si="16">IF(F77="","",F77)</f>
        <v>DF</v>
      </c>
      <c r="U77" s="250" t="str">
        <f t="shared" ref="U77" si="17">IF(G77="","",G77)</f>
        <v>BM</v>
      </c>
      <c r="V77" s="250" t="str">
        <f t="shared" ref="V77" si="18">IF(H77="","",H77)</f>
        <v>WH</v>
      </c>
      <c r="W77" s="250" t="str">
        <f t="shared" ref="W77" si="19">IF(I77="","",I77)</f>
        <v>RA</v>
      </c>
      <c r="X77" s="250" t="str">
        <f t="shared" ref="X77" si="20">IF(J77="","",J77)</f>
        <v>SS</v>
      </c>
      <c r="Y77" s="250" t="str">
        <f t="shared" ref="Y77" si="21">IF(K77="","",K77)</f>
        <v>RC</v>
      </c>
      <c r="Z77" s="250" t="str">
        <f t="shared" ref="Z77" si="22">IF(L77="","",L77)</f>
        <v>LP</v>
      </c>
      <c r="AA77" s="250" t="str">
        <f t="shared" ref="AA77" si="23">IF(M77="","",M77)</f>
        <v>GF</v>
      </c>
      <c r="AB77" s="250" t="str">
        <f t="shared" ref="AB77" si="24">IF(N77="","",N77)</f>
        <v>MD</v>
      </c>
      <c r="AC77" s="251" t="s">
        <v>168</v>
      </c>
      <c r="AD77" s="252" t="s">
        <v>79</v>
      </c>
      <c r="AE77" s="253" t="s">
        <v>169</v>
      </c>
      <c r="AF77" s="248" t="s">
        <v>172</v>
      </c>
    </row>
    <row r="78" spans="2:32" x14ac:dyDescent="0.25">
      <c r="B78" s="201" t="str">
        <f>IF(Stand!C3="","",Stand!C3)</f>
        <v/>
      </c>
      <c r="C78" s="208" t="str" cm="1">
        <f t="array" ref="C78">IF(SUM(IF(B78=Stand_Biomass!$B$4:$B$30,Stand_Biomass!$C$4:$C$30))&gt;0,SUM(IF(B78=Stand_Biomass!$B$4:$B$30,Stand_Biomass!$C$4:$C$30)),"")</f>
        <v/>
      </c>
      <c r="D78" s="209" t="str">
        <f>IF(B78="","",VLOOKUP($B78,Stand!$C:$G,5,0))</f>
        <v/>
      </c>
      <c r="E78" s="28"/>
      <c r="F78" s="212" t="e">
        <f>(IF($B40="","",IF(F$39="","",IF(F$39="Snag",(SUMIFS(Tree!$AE:$AE,Tree!$A:$A,$B40,Tree!$F:$F,"D",Tree!$K:$K,"&lt;&gt;"&amp;"Y")/$C40),(SUMIFS(Tree!$AE:$AE,Tree!$A:$A,$B40,Tree!$D:$D,F$39,Tree!$F:$F,"L",Tree!$K:$K,"&lt;&gt;"&amp;"Y")/$C40))))/2)</f>
        <v>#VALUE!</v>
      </c>
      <c r="G78" s="359" t="e">
        <f>(IF($B40="","",IF(G$39="","",IF(G$39="Snag",(SUMIFS(Tree!$AE:$AE,Tree!$A:$A,$B40,Tree!$F:$F,"D",Tree!$K:$K,"&lt;&gt;"&amp;"Y")/$C40),(SUMIFS(Tree!$AE:$AE,Tree!$A:$A,$B40,Tree!$D:$D,G$39,Tree!$F:$F,"L",Tree!$K:$K,"&lt;&gt;"&amp;"Y")/$C40))))/2)</f>
        <v>#VALUE!</v>
      </c>
      <c r="H78" s="359" t="e">
        <f>(IF($B40="","",IF(H$39="","",IF(H$39="Snag",(SUMIFS(Tree!$AE:$AE,Tree!$A:$A,$B40,Tree!$F:$F,"D",Tree!$K:$K,"&lt;&gt;"&amp;"Y")/$C40),(SUMIFS(Tree!$AE:$AE,Tree!$A:$A,$B40,Tree!$D:$D,H$39,Tree!$F:$F,"L",Tree!$K:$K,"&lt;&gt;"&amp;"Y")/$C40))))/2)</f>
        <v>#VALUE!</v>
      </c>
      <c r="I78" s="359" t="e">
        <f>(IF($B40="","",IF(I$39="","",IF(I$39="Snag",(SUMIFS(Tree!$AE:$AE,Tree!$A:$A,$B40,Tree!$F:$F,"D",Tree!$K:$K,"&lt;&gt;"&amp;"Y")/$C40),(SUMIFS(Tree!$AE:$AE,Tree!$A:$A,$B40,Tree!$D:$D,I$39,Tree!$F:$F,"L",Tree!$K:$K,"&lt;&gt;"&amp;"Y")/$C40))))/2)</f>
        <v>#VALUE!</v>
      </c>
      <c r="J78" s="359" t="e">
        <f>(IF($B40="","",IF(J$39="","",IF(J$39="Snag",(SUMIFS(Tree!$AE:$AE,Tree!$A:$A,$B40,Tree!$F:$F,"D",Tree!$K:$K,"&lt;&gt;"&amp;"Y")/$C40),(SUMIFS(Tree!$AE:$AE,Tree!$A:$A,$B40,Tree!$D:$D,J$39,Tree!$F:$F,"L",Tree!$K:$K,"&lt;&gt;"&amp;"Y")/$C40))))/2)</f>
        <v>#VALUE!</v>
      </c>
      <c r="K78" s="359" t="e">
        <f>(IF($B40="","",IF(K$39="","",IF(K$39="Snag",(SUMIFS(Tree!$AE:$AE,Tree!$A:$A,$B40,Tree!$F:$F,"D",Tree!$K:$K,"&lt;&gt;"&amp;"Y")/$C40),(SUMIFS(Tree!$AE:$AE,Tree!$A:$A,$B40,Tree!$D:$D,K$39,Tree!$F:$F,"L",Tree!$K:$K,"&lt;&gt;"&amp;"Y")/$C40))))/2)</f>
        <v>#VALUE!</v>
      </c>
      <c r="L78" s="359" t="e">
        <f>(IF($B40="","",IF(L$39="","",IF(L$39="Snag",(SUMIFS(Tree!$AE:$AE,Tree!$A:$A,$B40,Tree!$F:$F,"D",Tree!$K:$K,"&lt;&gt;"&amp;"Y")/$C40),(SUMIFS(Tree!$AE:$AE,Tree!$A:$A,$B40,Tree!$D:$D,L$39,Tree!$F:$F,"L",Tree!$K:$K,"&lt;&gt;"&amp;"Y")/$C40))))/2)</f>
        <v>#VALUE!</v>
      </c>
      <c r="M78" s="359" t="e">
        <f>(IF($B40="","",IF(M$39="","",IF(M$39="Snag",(SUMIFS(Tree!$AE:$AE,Tree!$A:$A,$B40,Tree!$F:$F,"D",Tree!$K:$K,"&lt;&gt;"&amp;"Y")/$C40),(SUMIFS(Tree!$AE:$AE,Tree!$A:$A,$B40,Tree!$D:$D,M$39,Tree!$F:$F,"L",Tree!$K:$K,"&lt;&gt;"&amp;"Y")/$C40))))/2)</f>
        <v>#VALUE!</v>
      </c>
      <c r="N78" s="359" t="e">
        <f>(IF($B40="","",IF(N$39="","",IF(N$39="Snag",(SUMIFS(Tree!$AE:$AE,Tree!$A:$A,$B40,Tree!$F:$F,"D",Tree!$K:$K,"&lt;&gt;"&amp;"Y")/$C40),(SUMIFS(Tree!$AE:$AE,Tree!$A:$A,$B40,Tree!$D:$D,N$39,Tree!$F:$F,"L",Tree!$K:$K,"&lt;&gt;"&amp;"Y")/$C40))))/2)</f>
        <v>#VALUE!</v>
      </c>
      <c r="O78" s="443" t="str">
        <f t="shared" ref="O78" si="25">IF(B78="","",Q78-SUM(F78:N78))</f>
        <v/>
      </c>
      <c r="P78" s="439" t="e">
        <f>(IF($B78="","",IF(P$39="","",IF(P$39="Snag",(SUMIFS(Tree!$AQ:$AQ,Tree!$A:$A,$B78,Tree!$F:$F,"D",Tree!$K:$K,"&lt;&gt;"&amp;"Y")/$C78),(SUMIFS(Tree!$AQ:$AQ,Tree!$A:$A,$B78,Tree!$D:$D,P$39,Tree!$F:$F,"L",Tree!$K:$K,"&lt;&gt;"&amp;"Y")/$C78))))/2)</f>
        <v>#VALUE!</v>
      </c>
      <c r="Q78" s="445" t="e">
        <f>(IF(B78="","",VLOOKUP(B78,Stand_Biomass!$B$37:$Q$63,12,0))/2)</f>
        <v>#VALUE!</v>
      </c>
      <c r="R78" s="448" t="e">
        <f>(IF(B78="","",VLOOKUP($B78,Stand_Biomass!$B$37:$X$63,21,0))/2)</f>
        <v>#VALUE!</v>
      </c>
      <c r="S78" s="86"/>
      <c r="T78" s="217" t="str">
        <f>IF($C78="","",IF(T$39="","",($D78*F78)))</f>
        <v/>
      </c>
      <c r="U78" s="218" t="str">
        <f t="shared" ref="U78:AE78" si="26">IF($C78="","",IF(U$39="","",($D78*G78)))</f>
        <v/>
      </c>
      <c r="V78" s="218" t="str">
        <f t="shared" si="26"/>
        <v/>
      </c>
      <c r="W78" s="218" t="str">
        <f t="shared" si="26"/>
        <v/>
      </c>
      <c r="X78" s="218" t="str">
        <f t="shared" si="26"/>
        <v/>
      </c>
      <c r="Y78" s="218" t="str">
        <f t="shared" si="26"/>
        <v/>
      </c>
      <c r="Z78" s="218" t="str">
        <f t="shared" si="26"/>
        <v/>
      </c>
      <c r="AA78" s="218" t="str">
        <f t="shared" si="26"/>
        <v/>
      </c>
      <c r="AB78" s="218" t="str">
        <f t="shared" si="26"/>
        <v/>
      </c>
      <c r="AC78" s="247" t="str">
        <f t="shared" si="26"/>
        <v/>
      </c>
      <c r="AD78" s="219" t="str">
        <f t="shared" si="26"/>
        <v/>
      </c>
      <c r="AE78" s="213" t="str">
        <f t="shared" si="26"/>
        <v/>
      </c>
      <c r="AF78" s="193" t="str">
        <f t="shared" ref="AF78:AF104" si="27">IF($C78="","",IF(Q78=0,"",IF(Q78&gt;R78,ROUND((R78+Q78)*D78,0)&amp;" - "&amp;ROUND($D78*(Q78-R78),0),ROUND((R78+Q78)*D78,0)&amp;" - "&amp;0)))</f>
        <v/>
      </c>
    </row>
    <row r="79" spans="2:32" x14ac:dyDescent="0.25">
      <c r="B79" s="201" t="str">
        <f>IF(Stand!C41="","",Stand!C41)</f>
        <v/>
      </c>
      <c r="C79" s="208" t="str" cm="1">
        <f t="array" ref="C79">IF(SUM(IF(B79=Stand_Biomass!$B$4:$B$30,Stand_Biomass!$C$4:$C$30))&gt;0,SUM(IF(B79=Stand_Biomass!$B$4:$B$30,Stand_Biomass!$C$4:$C$30)),"")</f>
        <v/>
      </c>
      <c r="D79" s="209" t="str">
        <f>IF(B79="","",VLOOKUP($B79,Stand!$C:$G,5,0))</f>
        <v/>
      </c>
      <c r="E79" s="28"/>
      <c r="F79" s="217" t="str">
        <f>IF($B79="","",IF(F$39="","",IF(F$39="Snag",(SUMIFS(Tree!$AE:$AE,Tree!$A:$A,$B79,Tree!$F:$F,"D",Tree!$K:$K,"&lt;&gt;"&amp;"Y")/$C79),(SUMIFS(Tree!$AE:$AE,Tree!$A:$A,$B79,Tree!$D:$D,F$39,Tree!$F:$F,"L",Tree!$K:$K,"&lt;&gt;"&amp;"Y")/$C79))))</f>
        <v/>
      </c>
      <c r="G79" s="218" t="str">
        <f>IF($B79="","",IF(G$39="","",IF(G$39="Snag",(SUMIFS(Tree!$AE:$AE,Tree!$A:$A,$B79,Tree!$F:$F,"D",Tree!$K:$K,"&lt;&gt;"&amp;"Y")/$C79),(SUMIFS(Tree!$AE:$AE,Tree!$A:$A,$B79,Tree!$D:$D,G$39,Tree!$F:$F,"L",Tree!$K:$K,"&lt;&gt;"&amp;"Y")/$C79))))</f>
        <v/>
      </c>
      <c r="H79" s="218" t="str">
        <f>IF($B79="","",IF(H$39="","",IF(H$39="Snag",(SUMIFS(Tree!$AE:$AE,Tree!$A:$A,$B79,Tree!$F:$F,"D",Tree!$K:$K,"&lt;&gt;"&amp;"Y")/$C79),(SUMIFS(Tree!$AE:$AE,Tree!$A:$A,$B79,Tree!$D:$D,H$39,Tree!$F:$F,"L",Tree!$K:$K,"&lt;&gt;"&amp;"Y")/$C79))))</f>
        <v/>
      </c>
      <c r="I79" s="218" t="str">
        <f>IF($B79="","",IF(I$39="","",IF(I$39="Snag",(SUMIFS(Tree!$AE:$AE,Tree!$A:$A,$B79,Tree!$F:$F,"D",Tree!$K:$K,"&lt;&gt;"&amp;"Y")/$C79),(SUMIFS(Tree!$AE:$AE,Tree!$A:$A,$B79,Tree!$D:$D,I$39,Tree!$F:$F,"L",Tree!$K:$K,"&lt;&gt;"&amp;"Y")/$C79))))</f>
        <v/>
      </c>
      <c r="J79" s="218" t="str">
        <f>IF($B79="","",IF(J$39="","",IF(J$39="Snag",(SUMIFS(Tree!$AE:$AE,Tree!$A:$A,$B79,Tree!$F:$F,"D",Tree!$K:$K,"&lt;&gt;"&amp;"Y")/$C79),(SUMIFS(Tree!$AE:$AE,Tree!$A:$A,$B79,Tree!$D:$D,J$39,Tree!$F:$F,"L",Tree!$K:$K,"&lt;&gt;"&amp;"Y")/$C79))))</f>
        <v/>
      </c>
      <c r="K79" s="218" t="str">
        <f>IF($B79="","",IF(K$39="","",IF(K$39="Snag",(SUMIFS(Tree!$AE:$AE,Tree!$A:$A,$B79,Tree!$F:$F,"D",Tree!$K:$K,"&lt;&gt;"&amp;"Y")/$C79),(SUMIFS(Tree!$AE:$AE,Tree!$A:$A,$B79,Tree!$D:$D,K$39,Tree!$F:$F,"L",Tree!$K:$K,"&lt;&gt;"&amp;"Y")/$C79))))</f>
        <v/>
      </c>
      <c r="L79" s="218" t="str">
        <f>IF($B79="","",IF(L$39="","",IF(L$39="Snag",(SUMIFS(Tree!$AE:$AE,Tree!$A:$A,$B79,Tree!$F:$F,"D",Tree!$K:$K,"&lt;&gt;"&amp;"Y")/$C79),(SUMIFS(Tree!$AE:$AE,Tree!$A:$A,$B79,Tree!$D:$D,L$39,Tree!$F:$F,"L",Tree!$K:$K,"&lt;&gt;"&amp;"Y")/$C79))))</f>
        <v/>
      </c>
      <c r="M79" s="218" t="str">
        <f>IF($B79="","",IF(M$39="","",IF(M$39="Snag",(SUMIFS(Tree!$AE:$AE,Tree!$A:$A,$B79,Tree!$F:$F,"D",Tree!$K:$K,"&lt;&gt;"&amp;"Y")/$C79),(SUMIFS(Tree!$AE:$AE,Tree!$A:$A,$B79,Tree!$D:$D,M$39,Tree!$F:$F,"L",Tree!$K:$K,"&lt;&gt;"&amp;"Y")/$C79))))</f>
        <v/>
      </c>
      <c r="N79" s="218" t="str">
        <f>IF($B79="","",IF(N$39="","",IF(N$39="Snag",(SUMIFS(Tree!$AE:$AE,Tree!$A:$A,$B79,Tree!$F:$F,"D",Tree!$K:$K,"&lt;&gt;"&amp;"Y")/$C79),(SUMIFS(Tree!$AE:$AE,Tree!$A:$A,$B79,Tree!$D:$D,N$39,Tree!$F:$F,"L",Tree!$K:$K,"&lt;&gt;"&amp;"Y")/$C79))))</f>
        <v/>
      </c>
      <c r="O79" s="247" t="str">
        <f t="shared" ref="O79:O104" si="28">IF(B79="","",Q79-SUM(F79:N79))</f>
        <v/>
      </c>
      <c r="P79" s="441" t="str">
        <f>IF($B79="","",IF(P$39="","",IF(P$39="Snag",(SUMIFS(Tree!$AQ:$AQ,Tree!$A:$A,$B79,Tree!$F:$F,"D",Tree!$K:$K,"&lt;&gt;"&amp;"Y")/$C79),(SUMIFS(Tree!$AQ:$AQ,Tree!$A:$A,$B79,Tree!$D:$D,P$39,Tree!$F:$F,"L",Tree!$K:$K,"&lt;&gt;"&amp;"Y")/$C79))))</f>
        <v/>
      </c>
      <c r="Q79" s="445" t="str">
        <f>IF(B79="","",VLOOKUP(B79,#REF!,12,0))</f>
        <v/>
      </c>
      <c r="R79" s="448" t="str">
        <f>IF(B79="","",VLOOKUP($B79,#REF!,20,0))</f>
        <v/>
      </c>
      <c r="S79" s="86"/>
      <c r="T79" s="157" t="str">
        <f t="shared" ref="T79:AE100" si="29">IF($C79="","",IF(T$39="","",($D79*F79)))</f>
        <v/>
      </c>
      <c r="U79" s="122" t="str">
        <f t="shared" si="29"/>
        <v/>
      </c>
      <c r="V79" s="122" t="str">
        <f t="shared" si="29"/>
        <v/>
      </c>
      <c r="W79" s="122" t="str">
        <f t="shared" si="29"/>
        <v/>
      </c>
      <c r="X79" s="122" t="str">
        <f t="shared" si="29"/>
        <v/>
      </c>
      <c r="Y79" s="122" t="str">
        <f t="shared" si="29"/>
        <v/>
      </c>
      <c r="Z79" s="122" t="str">
        <f t="shared" si="29"/>
        <v/>
      </c>
      <c r="AA79" s="122" t="str">
        <f t="shared" si="29"/>
        <v/>
      </c>
      <c r="AB79" s="122" t="str">
        <f t="shared" si="29"/>
        <v/>
      </c>
      <c r="AC79" s="193" t="str">
        <f t="shared" si="29"/>
        <v/>
      </c>
      <c r="AD79" s="212" t="str">
        <f t="shared" si="29"/>
        <v/>
      </c>
      <c r="AE79" s="213" t="str">
        <f t="shared" si="29"/>
        <v/>
      </c>
      <c r="AF79" s="193" t="str">
        <f t="shared" si="27"/>
        <v/>
      </c>
    </row>
    <row r="80" spans="2:32" x14ac:dyDescent="0.25">
      <c r="B80" s="201" t="str">
        <f>IF(Stand!C42="","",Stand!C42)</f>
        <v/>
      </c>
      <c r="C80" s="208" t="str" cm="1">
        <f t="array" ref="C80">IF(SUM(IF(B80=Stand_Biomass!$B$4:$B$30,Stand_Biomass!$C$4:$C$30))&gt;0,SUM(IF(B80=Stand_Biomass!$B$4:$B$30,Stand_Biomass!$C$4:$C$30)),"")</f>
        <v/>
      </c>
      <c r="D80" s="209" t="str">
        <f>IF(B80="","",VLOOKUP($B80,Stand!$C:$G,5,0))</f>
        <v/>
      </c>
      <c r="E80" s="28"/>
      <c r="F80" s="157" t="str">
        <f>IF($B80="","",IF(F$39="","",IF(F$39="Snag",(SUMIFS(Tree!$AE:$AE,Tree!$A:$A,$B80,Tree!$F:$F,"D",Tree!$K:$K,"&lt;&gt;"&amp;"Y")/$C80),(SUMIFS(Tree!$AE:$AE,Tree!$A:$A,$B80,Tree!$D:$D,F$39,Tree!$F:$F,"L",Tree!$K:$K,"&lt;&gt;"&amp;"Y")/$C80))))</f>
        <v/>
      </c>
      <c r="G80" s="122" t="str">
        <f>IF($B80="","",IF(G$39="","",IF(G$39="Snag",(SUMIFS(Tree!$AE:$AE,Tree!$A:$A,$B80,Tree!$F:$F,"D",Tree!$K:$K,"&lt;&gt;"&amp;"Y")/$C80),(SUMIFS(Tree!$AE:$AE,Tree!$A:$A,$B80,Tree!$D:$D,G$39,Tree!$F:$F,"L",Tree!$K:$K,"&lt;&gt;"&amp;"Y")/$C80))))</f>
        <v/>
      </c>
      <c r="H80" s="122" t="str">
        <f>IF($B80="","",IF(H$39="","",IF(H$39="Snag",(SUMIFS(Tree!$AE:$AE,Tree!$A:$A,$B80,Tree!$F:$F,"D",Tree!$K:$K,"&lt;&gt;"&amp;"Y")/$C80),(SUMIFS(Tree!$AE:$AE,Tree!$A:$A,$B80,Tree!$D:$D,H$39,Tree!$F:$F,"L",Tree!$K:$K,"&lt;&gt;"&amp;"Y")/$C80))))</f>
        <v/>
      </c>
      <c r="I80" s="122" t="str">
        <f>IF($B80="","",IF(I$39="","",IF(I$39="Snag",(SUMIFS(Tree!$AE:$AE,Tree!$A:$A,$B80,Tree!$F:$F,"D",Tree!$K:$K,"&lt;&gt;"&amp;"Y")/$C80),(SUMIFS(Tree!$AE:$AE,Tree!$A:$A,$B80,Tree!$D:$D,I$39,Tree!$F:$F,"L",Tree!$K:$K,"&lt;&gt;"&amp;"Y")/$C80))))</f>
        <v/>
      </c>
      <c r="J80" s="122" t="str">
        <f>IF($B80="","",IF(J$39="","",IF(J$39="Snag",(SUMIFS(Tree!$AE:$AE,Tree!$A:$A,$B80,Tree!$F:$F,"D",Tree!$K:$K,"&lt;&gt;"&amp;"Y")/$C80),(SUMIFS(Tree!$AE:$AE,Tree!$A:$A,$B80,Tree!$D:$D,J$39,Tree!$F:$F,"L",Tree!$K:$K,"&lt;&gt;"&amp;"Y")/$C80))))</f>
        <v/>
      </c>
      <c r="K80" s="122" t="str">
        <f>IF($B80="","",IF(K$39="","",IF(K$39="Snag",(SUMIFS(Tree!$AE:$AE,Tree!$A:$A,$B80,Tree!$F:$F,"D",Tree!$K:$K,"&lt;&gt;"&amp;"Y")/$C80),(SUMIFS(Tree!$AE:$AE,Tree!$A:$A,$B80,Tree!$D:$D,K$39,Tree!$F:$F,"L",Tree!$K:$K,"&lt;&gt;"&amp;"Y")/$C80))))</f>
        <v/>
      </c>
      <c r="L80" s="122" t="str">
        <f>IF($B80="","",IF(L$39="","",IF(L$39="Snag",(SUMIFS(Tree!$AE:$AE,Tree!$A:$A,$B80,Tree!$F:$F,"D",Tree!$K:$K,"&lt;&gt;"&amp;"Y")/$C80),(SUMIFS(Tree!$AE:$AE,Tree!$A:$A,$B80,Tree!$D:$D,L$39,Tree!$F:$F,"L",Tree!$K:$K,"&lt;&gt;"&amp;"Y")/$C80))))</f>
        <v/>
      </c>
      <c r="M80" s="122" t="str">
        <f>IF($B80="","",IF(M$39="","",IF(M$39="Snag",(SUMIFS(Tree!$AE:$AE,Tree!$A:$A,$B80,Tree!$F:$F,"D",Tree!$K:$K,"&lt;&gt;"&amp;"Y")/$C80),(SUMIFS(Tree!$AE:$AE,Tree!$A:$A,$B80,Tree!$D:$D,M$39,Tree!$F:$F,"L",Tree!$K:$K,"&lt;&gt;"&amp;"Y")/$C80))))</f>
        <v/>
      </c>
      <c r="N80" s="122" t="str">
        <f>IF($B80="","",IF(N$39="","",IF(N$39="Snag",(SUMIFS(Tree!$AE:$AE,Tree!$A:$A,$B80,Tree!$F:$F,"D",Tree!$K:$K,"&lt;&gt;"&amp;"Y")/$C80),(SUMIFS(Tree!$AE:$AE,Tree!$A:$A,$B80,Tree!$D:$D,N$39,Tree!$F:$F,"L",Tree!$K:$K,"&lt;&gt;"&amp;"Y")/$C80))))</f>
        <v/>
      </c>
      <c r="O80" s="193" t="str">
        <f t="shared" si="28"/>
        <v/>
      </c>
      <c r="P80" s="441" t="str">
        <f>IF($B80="","",IF(P$39="","",IF(P$39="Snag",(SUMIFS(Tree!$AQ:$AQ,Tree!$A:$A,$B80,Tree!$F:$F,"D",Tree!$K:$K,"&lt;&gt;"&amp;"Y")/$C80),(SUMIFS(Tree!$AQ:$AQ,Tree!$A:$A,$B80,Tree!$D:$D,P$39,Tree!$F:$F,"L",Tree!$K:$K,"&lt;&gt;"&amp;"Y")/$C80))))</f>
        <v/>
      </c>
      <c r="Q80" s="445" t="str">
        <f>IF(B80="","",VLOOKUP(B80,#REF!,12,0))</f>
        <v/>
      </c>
      <c r="R80" s="448" t="str">
        <f>IF(B80="","",VLOOKUP($B80,#REF!,20,0))</f>
        <v/>
      </c>
      <c r="S80" s="86"/>
      <c r="T80" s="157" t="str">
        <f t="shared" si="29"/>
        <v/>
      </c>
      <c r="U80" s="122" t="str">
        <f t="shared" si="29"/>
        <v/>
      </c>
      <c r="V80" s="122" t="str">
        <f t="shared" si="29"/>
        <v/>
      </c>
      <c r="W80" s="122" t="str">
        <f t="shared" si="29"/>
        <v/>
      </c>
      <c r="X80" s="122" t="str">
        <f t="shared" si="29"/>
        <v/>
      </c>
      <c r="Y80" s="122" t="str">
        <f t="shared" si="29"/>
        <v/>
      </c>
      <c r="Z80" s="122" t="str">
        <f t="shared" si="29"/>
        <v/>
      </c>
      <c r="AA80" s="122" t="str">
        <f t="shared" si="29"/>
        <v/>
      </c>
      <c r="AB80" s="122" t="str">
        <f t="shared" si="29"/>
        <v/>
      </c>
      <c r="AC80" s="193" t="str">
        <f t="shared" si="29"/>
        <v/>
      </c>
      <c r="AD80" s="212" t="str">
        <f t="shared" si="29"/>
        <v/>
      </c>
      <c r="AE80" s="213" t="str">
        <f t="shared" si="29"/>
        <v/>
      </c>
      <c r="AF80" s="193" t="str">
        <f t="shared" si="27"/>
        <v/>
      </c>
    </row>
    <row r="81" spans="2:32" x14ac:dyDescent="0.25">
      <c r="B81" s="201" t="str">
        <f>IF(Stand!C43="","",Stand!C43)</f>
        <v/>
      </c>
      <c r="C81" s="208" t="str" cm="1">
        <f t="array" ref="C81">IF(SUM(IF(B81=Stand_Biomass!$B$4:$B$30,Stand_Biomass!$C$4:$C$30))&gt;0,SUM(IF(B81=Stand_Biomass!$B$4:$B$30,Stand_Biomass!$C$4:$C$30)),"")</f>
        <v/>
      </c>
      <c r="D81" s="209" t="str">
        <f>IF(B81="","",VLOOKUP($B81,Stand!$C:$G,5,0))</f>
        <v/>
      </c>
      <c r="E81" s="28"/>
      <c r="F81" s="157" t="str">
        <f>IF($B81="","",IF(F$39="","",IF(F$39="Snag",(SUMIFS(Tree!$AE:$AE,Tree!$A:$A,$B81,Tree!$F:$F,"D",Tree!$K:$K,"&lt;&gt;"&amp;"Y")/$C81),(SUMIFS(Tree!$AE:$AE,Tree!$A:$A,$B81,Tree!$D:$D,F$39,Tree!$F:$F,"L",Tree!$K:$K,"&lt;&gt;"&amp;"Y")/$C81))))</f>
        <v/>
      </c>
      <c r="G81" s="122" t="str">
        <f>IF($B81="","",IF(G$39="","",IF(G$39="Snag",(SUMIFS(Tree!$AE:$AE,Tree!$A:$A,$B81,Tree!$F:$F,"D",Tree!$K:$K,"&lt;&gt;"&amp;"Y")/$C81),(SUMIFS(Tree!$AE:$AE,Tree!$A:$A,$B81,Tree!$D:$D,G$39,Tree!$F:$F,"L",Tree!$K:$K,"&lt;&gt;"&amp;"Y")/$C81))))</f>
        <v/>
      </c>
      <c r="H81" s="122" t="str">
        <f>IF($B81="","",IF(H$39="","",IF(H$39="Snag",(SUMIFS(Tree!$AE:$AE,Tree!$A:$A,$B81,Tree!$F:$F,"D",Tree!$K:$K,"&lt;&gt;"&amp;"Y")/$C81),(SUMIFS(Tree!$AE:$AE,Tree!$A:$A,$B81,Tree!$D:$D,H$39,Tree!$F:$F,"L",Tree!$K:$K,"&lt;&gt;"&amp;"Y")/$C81))))</f>
        <v/>
      </c>
      <c r="I81" s="122" t="str">
        <f>IF($B81="","",IF(I$39="","",IF(I$39="Snag",(SUMIFS(Tree!$AE:$AE,Tree!$A:$A,$B81,Tree!$F:$F,"D",Tree!$K:$K,"&lt;&gt;"&amp;"Y")/$C81),(SUMIFS(Tree!$AE:$AE,Tree!$A:$A,$B81,Tree!$D:$D,I$39,Tree!$F:$F,"L",Tree!$K:$K,"&lt;&gt;"&amp;"Y")/$C81))))</f>
        <v/>
      </c>
      <c r="J81" s="122" t="str">
        <f>IF($B81="","",IF(J$39="","",IF(J$39="Snag",(SUMIFS(Tree!$AE:$AE,Tree!$A:$A,$B81,Tree!$F:$F,"D",Tree!$K:$K,"&lt;&gt;"&amp;"Y")/$C81),(SUMIFS(Tree!$AE:$AE,Tree!$A:$A,$B81,Tree!$D:$D,J$39,Tree!$F:$F,"L",Tree!$K:$K,"&lt;&gt;"&amp;"Y")/$C81))))</f>
        <v/>
      </c>
      <c r="K81" s="122" t="str">
        <f>IF($B81="","",IF(K$39="","",IF(K$39="Snag",(SUMIFS(Tree!$AE:$AE,Tree!$A:$A,$B81,Tree!$F:$F,"D",Tree!$K:$K,"&lt;&gt;"&amp;"Y")/$C81),(SUMIFS(Tree!$AE:$AE,Tree!$A:$A,$B81,Tree!$D:$D,K$39,Tree!$F:$F,"L",Tree!$K:$K,"&lt;&gt;"&amp;"Y")/$C81))))</f>
        <v/>
      </c>
      <c r="L81" s="122" t="str">
        <f>IF($B81="","",IF(L$39="","",IF(L$39="Snag",(SUMIFS(Tree!$AE:$AE,Tree!$A:$A,$B81,Tree!$F:$F,"D",Tree!$K:$K,"&lt;&gt;"&amp;"Y")/$C81),(SUMIFS(Tree!$AE:$AE,Tree!$A:$A,$B81,Tree!$D:$D,L$39,Tree!$F:$F,"L",Tree!$K:$K,"&lt;&gt;"&amp;"Y")/$C81))))</f>
        <v/>
      </c>
      <c r="M81" s="122" t="str">
        <f>IF($B81="","",IF(M$39="","",IF(M$39="Snag",(SUMIFS(Tree!$AE:$AE,Tree!$A:$A,$B81,Tree!$F:$F,"D",Tree!$K:$K,"&lt;&gt;"&amp;"Y")/$C81),(SUMIFS(Tree!$AE:$AE,Tree!$A:$A,$B81,Tree!$D:$D,M$39,Tree!$F:$F,"L",Tree!$K:$K,"&lt;&gt;"&amp;"Y")/$C81))))</f>
        <v/>
      </c>
      <c r="N81" s="122" t="str">
        <f>IF($B81="","",IF(N$39="","",IF(N$39="Snag",(SUMIFS(Tree!$AE:$AE,Tree!$A:$A,$B81,Tree!$F:$F,"D",Tree!$K:$K,"&lt;&gt;"&amp;"Y")/$C81),(SUMIFS(Tree!$AE:$AE,Tree!$A:$A,$B81,Tree!$D:$D,N$39,Tree!$F:$F,"L",Tree!$K:$K,"&lt;&gt;"&amp;"Y")/$C81))))</f>
        <v/>
      </c>
      <c r="O81" s="193" t="str">
        <f t="shared" si="28"/>
        <v/>
      </c>
      <c r="P81" s="441" t="str">
        <f>IF($B81="","",IF(P$39="","",IF(P$39="Snag",(SUMIFS(Tree!$AQ:$AQ,Tree!$A:$A,$B81,Tree!$F:$F,"D",Tree!$K:$K,"&lt;&gt;"&amp;"Y")/$C81),(SUMIFS(Tree!$AQ:$AQ,Tree!$A:$A,$B81,Tree!$D:$D,P$39,Tree!$F:$F,"L",Tree!$K:$K,"&lt;&gt;"&amp;"Y")/$C81))))</f>
        <v/>
      </c>
      <c r="Q81" s="445" t="str">
        <f>IF(B81="","",VLOOKUP(B81,#REF!,12,0))</f>
        <v/>
      </c>
      <c r="R81" s="448" t="str">
        <f>IF(B81="","",VLOOKUP($B81,#REF!,20,0))</f>
        <v/>
      </c>
      <c r="S81" s="86"/>
      <c r="T81" s="157" t="str">
        <f t="shared" si="29"/>
        <v/>
      </c>
      <c r="U81" s="122" t="str">
        <f t="shared" si="29"/>
        <v/>
      </c>
      <c r="V81" s="122" t="str">
        <f t="shared" si="29"/>
        <v/>
      </c>
      <c r="W81" s="122" t="str">
        <f t="shared" si="29"/>
        <v/>
      </c>
      <c r="X81" s="122" t="str">
        <f t="shared" si="29"/>
        <v/>
      </c>
      <c r="Y81" s="122" t="str">
        <f t="shared" si="29"/>
        <v/>
      </c>
      <c r="Z81" s="122" t="str">
        <f t="shared" si="29"/>
        <v/>
      </c>
      <c r="AA81" s="122" t="str">
        <f t="shared" si="29"/>
        <v/>
      </c>
      <c r="AB81" s="122" t="str">
        <f t="shared" si="29"/>
        <v/>
      </c>
      <c r="AC81" s="193" t="str">
        <f t="shared" si="29"/>
        <v/>
      </c>
      <c r="AD81" s="212" t="str">
        <f t="shared" si="29"/>
        <v/>
      </c>
      <c r="AE81" s="213" t="str">
        <f t="shared" si="29"/>
        <v/>
      </c>
      <c r="AF81" s="193" t="str">
        <f t="shared" si="27"/>
        <v/>
      </c>
    </row>
    <row r="82" spans="2:32" x14ac:dyDescent="0.25">
      <c r="B82" s="201" t="str">
        <f>IF(Stand!C44="","",Stand!C44)</f>
        <v/>
      </c>
      <c r="C82" s="208" t="str" cm="1">
        <f t="array" ref="C82">IF(SUM(IF(B82=Stand_Biomass!$B$4:$B$30,Stand_Biomass!$C$4:$C$30))&gt;0,SUM(IF(B82=Stand_Biomass!$B$4:$B$30,Stand_Biomass!$C$4:$C$30)),"")</f>
        <v/>
      </c>
      <c r="D82" s="209" t="str">
        <f>IF(B82="","",VLOOKUP($B82,Stand!$C:$G,5,0))</f>
        <v/>
      </c>
      <c r="E82" s="28"/>
      <c r="F82" s="157" t="str">
        <f>IF($B82="","",IF(F$39="","",IF(F$39="Snag",(SUMIFS(Tree!$AE:$AE,Tree!$A:$A,$B82,Tree!$F:$F,"D",Tree!$K:$K,"&lt;&gt;"&amp;"Y")/$C82),(SUMIFS(Tree!$AE:$AE,Tree!$A:$A,$B82,Tree!$D:$D,F$39,Tree!$F:$F,"L",Tree!$K:$K,"&lt;&gt;"&amp;"Y")/$C82))))</f>
        <v/>
      </c>
      <c r="G82" s="122" t="str">
        <f>IF($B82="","",IF(G$39="","",IF(G$39="Snag",(SUMIFS(Tree!$AE:$AE,Tree!$A:$A,$B82,Tree!$F:$F,"D",Tree!$K:$K,"&lt;&gt;"&amp;"Y")/$C82),(SUMIFS(Tree!$AE:$AE,Tree!$A:$A,$B82,Tree!$D:$D,G$39,Tree!$F:$F,"L",Tree!$K:$K,"&lt;&gt;"&amp;"Y")/$C82))))</f>
        <v/>
      </c>
      <c r="H82" s="122" t="str">
        <f>IF($B82="","",IF(H$39="","",IF(H$39="Snag",(SUMIFS(Tree!$AE:$AE,Tree!$A:$A,$B82,Tree!$F:$F,"D",Tree!$K:$K,"&lt;&gt;"&amp;"Y")/$C82),(SUMIFS(Tree!$AE:$AE,Tree!$A:$A,$B82,Tree!$D:$D,H$39,Tree!$F:$F,"L",Tree!$K:$K,"&lt;&gt;"&amp;"Y")/$C82))))</f>
        <v/>
      </c>
      <c r="I82" s="122" t="str">
        <f>IF($B82="","",IF(I$39="","",IF(I$39="Snag",(SUMIFS(Tree!$AE:$AE,Tree!$A:$A,$B82,Tree!$F:$F,"D",Tree!$K:$K,"&lt;&gt;"&amp;"Y")/$C82),(SUMIFS(Tree!$AE:$AE,Tree!$A:$A,$B82,Tree!$D:$D,I$39,Tree!$F:$F,"L",Tree!$K:$K,"&lt;&gt;"&amp;"Y")/$C82))))</f>
        <v/>
      </c>
      <c r="J82" s="122" t="str">
        <f>IF($B82="","",IF(J$39="","",IF(J$39="Snag",(SUMIFS(Tree!$AE:$AE,Tree!$A:$A,$B82,Tree!$F:$F,"D",Tree!$K:$K,"&lt;&gt;"&amp;"Y")/$C82),(SUMIFS(Tree!$AE:$AE,Tree!$A:$A,$B82,Tree!$D:$D,J$39,Tree!$F:$F,"L",Tree!$K:$K,"&lt;&gt;"&amp;"Y")/$C82))))</f>
        <v/>
      </c>
      <c r="K82" s="122" t="str">
        <f>IF($B82="","",IF(K$39="","",IF(K$39="Snag",(SUMIFS(Tree!$AE:$AE,Tree!$A:$A,$B82,Tree!$F:$F,"D",Tree!$K:$K,"&lt;&gt;"&amp;"Y")/$C82),(SUMIFS(Tree!$AE:$AE,Tree!$A:$A,$B82,Tree!$D:$D,K$39,Tree!$F:$F,"L",Tree!$K:$K,"&lt;&gt;"&amp;"Y")/$C82))))</f>
        <v/>
      </c>
      <c r="L82" s="122" t="str">
        <f>IF($B82="","",IF(L$39="","",IF(L$39="Snag",(SUMIFS(Tree!$AE:$AE,Tree!$A:$A,$B82,Tree!$F:$F,"D",Tree!$K:$K,"&lt;&gt;"&amp;"Y")/$C82),(SUMIFS(Tree!$AE:$AE,Tree!$A:$A,$B82,Tree!$D:$D,L$39,Tree!$F:$F,"L",Tree!$K:$K,"&lt;&gt;"&amp;"Y")/$C82))))</f>
        <v/>
      </c>
      <c r="M82" s="122" t="str">
        <f>IF($B82="","",IF(M$39="","",IF(M$39="Snag",(SUMIFS(Tree!$AE:$AE,Tree!$A:$A,$B82,Tree!$F:$F,"D",Tree!$K:$K,"&lt;&gt;"&amp;"Y")/$C82),(SUMIFS(Tree!$AE:$AE,Tree!$A:$A,$B82,Tree!$D:$D,M$39,Tree!$F:$F,"L",Tree!$K:$K,"&lt;&gt;"&amp;"Y")/$C82))))</f>
        <v/>
      </c>
      <c r="N82" s="122" t="str">
        <f>IF($B82="","",IF(N$39="","",IF(N$39="Snag",(SUMIFS(Tree!$AE:$AE,Tree!$A:$A,$B82,Tree!$F:$F,"D",Tree!$K:$K,"&lt;&gt;"&amp;"Y")/$C82),(SUMIFS(Tree!$AE:$AE,Tree!$A:$A,$B82,Tree!$D:$D,N$39,Tree!$F:$F,"L",Tree!$K:$K,"&lt;&gt;"&amp;"Y")/$C82))))</f>
        <v/>
      </c>
      <c r="O82" s="193" t="str">
        <f t="shared" si="28"/>
        <v/>
      </c>
      <c r="P82" s="441" t="str">
        <f>IF($B82="","",IF(P$39="","",IF(P$39="Snag",(SUMIFS(Tree!$AQ:$AQ,Tree!$A:$A,$B82,Tree!$F:$F,"D",Tree!$K:$K,"&lt;&gt;"&amp;"Y")/$C82),(SUMIFS(Tree!$AQ:$AQ,Tree!$A:$A,$B82,Tree!$D:$D,P$39,Tree!$F:$F,"L",Tree!$K:$K,"&lt;&gt;"&amp;"Y")/$C82))))</f>
        <v/>
      </c>
      <c r="Q82" s="445" t="str">
        <f>IF(B82="","",VLOOKUP(B82,#REF!,12,0))</f>
        <v/>
      </c>
      <c r="R82" s="448" t="str">
        <f>IF(B82="","",VLOOKUP($B82,#REF!,20,0))</f>
        <v/>
      </c>
      <c r="S82" s="86"/>
      <c r="T82" s="157" t="str">
        <f t="shared" si="29"/>
        <v/>
      </c>
      <c r="U82" s="122" t="str">
        <f t="shared" si="29"/>
        <v/>
      </c>
      <c r="V82" s="122" t="str">
        <f t="shared" si="29"/>
        <v/>
      </c>
      <c r="W82" s="122" t="str">
        <f t="shared" si="29"/>
        <v/>
      </c>
      <c r="X82" s="122" t="str">
        <f t="shared" si="29"/>
        <v/>
      </c>
      <c r="Y82" s="122" t="str">
        <f t="shared" si="29"/>
        <v/>
      </c>
      <c r="Z82" s="122" t="str">
        <f t="shared" si="29"/>
        <v/>
      </c>
      <c r="AA82" s="122" t="str">
        <f t="shared" si="29"/>
        <v/>
      </c>
      <c r="AB82" s="122" t="str">
        <f t="shared" si="29"/>
        <v/>
      </c>
      <c r="AC82" s="193" t="str">
        <f t="shared" si="29"/>
        <v/>
      </c>
      <c r="AD82" s="212" t="str">
        <f t="shared" si="29"/>
        <v/>
      </c>
      <c r="AE82" s="213" t="str">
        <f t="shared" si="29"/>
        <v/>
      </c>
      <c r="AF82" s="193" t="str">
        <f t="shared" si="27"/>
        <v/>
      </c>
    </row>
    <row r="83" spans="2:32" x14ac:dyDescent="0.25">
      <c r="B83" s="201" t="str">
        <f>IF(Stand!C45="","",Stand!C45)</f>
        <v/>
      </c>
      <c r="C83" s="208" t="str" cm="1">
        <f t="array" ref="C83">IF(SUM(IF(B83=Stand_Biomass!$B$4:$B$30,Stand_Biomass!$C$4:$C$30))&gt;0,SUM(IF(B83=Stand_Biomass!$B$4:$B$30,Stand_Biomass!$C$4:$C$30)),"")</f>
        <v/>
      </c>
      <c r="D83" s="209" t="str">
        <f>IF(B83="","",VLOOKUP($B83,Stand!$C:$G,5,0))</f>
        <v/>
      </c>
      <c r="E83" s="28"/>
      <c r="F83" s="157" t="str">
        <f>IF($B83="","",IF(F$39="","",IF(F$39="Snag",(SUMIFS(Tree!$AE:$AE,Tree!$A:$A,$B83,Tree!$F:$F,"D",Tree!$K:$K,"&lt;&gt;"&amp;"Y")/$C83),(SUMIFS(Tree!$AE:$AE,Tree!$A:$A,$B83,Tree!$D:$D,F$39,Tree!$F:$F,"L",Tree!$K:$K,"&lt;&gt;"&amp;"Y")/$C83))))</f>
        <v/>
      </c>
      <c r="G83" s="122" t="str">
        <f>IF($B83="","",IF(G$39="","",IF(G$39="Snag",(SUMIFS(Tree!$AE:$AE,Tree!$A:$A,$B83,Tree!$F:$F,"D",Tree!$K:$K,"&lt;&gt;"&amp;"Y")/$C83),(SUMIFS(Tree!$AE:$AE,Tree!$A:$A,$B83,Tree!$D:$D,G$39,Tree!$F:$F,"L",Tree!$K:$K,"&lt;&gt;"&amp;"Y")/$C83))))</f>
        <v/>
      </c>
      <c r="H83" s="122" t="str">
        <f>IF($B83="","",IF(H$39="","",IF(H$39="Snag",(SUMIFS(Tree!$AE:$AE,Tree!$A:$A,$B83,Tree!$F:$F,"D",Tree!$K:$K,"&lt;&gt;"&amp;"Y")/$C83),(SUMIFS(Tree!$AE:$AE,Tree!$A:$A,$B83,Tree!$D:$D,H$39,Tree!$F:$F,"L",Tree!$K:$K,"&lt;&gt;"&amp;"Y")/$C83))))</f>
        <v/>
      </c>
      <c r="I83" s="122" t="str">
        <f>IF($B83="","",IF(I$39="","",IF(I$39="Snag",(SUMIFS(Tree!$AE:$AE,Tree!$A:$A,$B83,Tree!$F:$F,"D",Tree!$K:$K,"&lt;&gt;"&amp;"Y")/$C83),(SUMIFS(Tree!$AE:$AE,Tree!$A:$A,$B83,Tree!$D:$D,I$39,Tree!$F:$F,"L",Tree!$K:$K,"&lt;&gt;"&amp;"Y")/$C83))))</f>
        <v/>
      </c>
      <c r="J83" s="122" t="str">
        <f>IF($B83="","",IF(J$39="","",IF(J$39="Snag",(SUMIFS(Tree!$AE:$AE,Tree!$A:$A,$B83,Tree!$F:$F,"D",Tree!$K:$K,"&lt;&gt;"&amp;"Y")/$C83),(SUMIFS(Tree!$AE:$AE,Tree!$A:$A,$B83,Tree!$D:$D,J$39,Tree!$F:$F,"L",Tree!$K:$K,"&lt;&gt;"&amp;"Y")/$C83))))</f>
        <v/>
      </c>
      <c r="K83" s="122" t="str">
        <f>IF($B83="","",IF(K$39="","",IF(K$39="Snag",(SUMIFS(Tree!$AE:$AE,Tree!$A:$A,$B83,Tree!$F:$F,"D",Tree!$K:$K,"&lt;&gt;"&amp;"Y")/$C83),(SUMIFS(Tree!$AE:$AE,Tree!$A:$A,$B83,Tree!$D:$D,K$39,Tree!$F:$F,"L",Tree!$K:$K,"&lt;&gt;"&amp;"Y")/$C83))))</f>
        <v/>
      </c>
      <c r="L83" s="122" t="str">
        <f>IF($B83="","",IF(L$39="","",IF(L$39="Snag",(SUMIFS(Tree!$AE:$AE,Tree!$A:$A,$B83,Tree!$F:$F,"D",Tree!$K:$K,"&lt;&gt;"&amp;"Y")/$C83),(SUMIFS(Tree!$AE:$AE,Tree!$A:$A,$B83,Tree!$D:$D,L$39,Tree!$F:$F,"L",Tree!$K:$K,"&lt;&gt;"&amp;"Y")/$C83))))</f>
        <v/>
      </c>
      <c r="M83" s="122" t="str">
        <f>IF($B83="","",IF(M$39="","",IF(M$39="Snag",(SUMIFS(Tree!$AE:$AE,Tree!$A:$A,$B83,Tree!$F:$F,"D",Tree!$K:$K,"&lt;&gt;"&amp;"Y")/$C83),(SUMIFS(Tree!$AE:$AE,Tree!$A:$A,$B83,Tree!$D:$D,M$39,Tree!$F:$F,"L",Tree!$K:$K,"&lt;&gt;"&amp;"Y")/$C83))))</f>
        <v/>
      </c>
      <c r="N83" s="122" t="str">
        <f>IF($B83="","",IF(N$39="","",IF(N$39="Snag",(SUMIFS(Tree!$AE:$AE,Tree!$A:$A,$B83,Tree!$F:$F,"D",Tree!$K:$K,"&lt;&gt;"&amp;"Y")/$C83),(SUMIFS(Tree!$AE:$AE,Tree!$A:$A,$B83,Tree!$D:$D,N$39,Tree!$F:$F,"L",Tree!$K:$K,"&lt;&gt;"&amp;"Y")/$C83))))</f>
        <v/>
      </c>
      <c r="O83" s="193" t="str">
        <f t="shared" si="28"/>
        <v/>
      </c>
      <c r="P83" s="441" t="str">
        <f>IF($B83="","",IF(P$39="","",IF(P$39="Snag",(SUMIFS(Tree!$AQ:$AQ,Tree!$A:$A,$B83,Tree!$F:$F,"D",Tree!$K:$K,"&lt;&gt;"&amp;"Y")/$C83),(SUMIFS(Tree!$AQ:$AQ,Tree!$A:$A,$B83,Tree!$D:$D,P$39,Tree!$F:$F,"L",Tree!$K:$K,"&lt;&gt;"&amp;"Y")/$C83))))</f>
        <v/>
      </c>
      <c r="Q83" s="445" t="str">
        <f>IF(B83="","",VLOOKUP(B83,#REF!,12,0))</f>
        <v/>
      </c>
      <c r="R83" s="448" t="str">
        <f>IF(B83="","",VLOOKUP($B83,#REF!,20,0))</f>
        <v/>
      </c>
      <c r="S83" s="86"/>
      <c r="T83" s="157" t="str">
        <f t="shared" si="29"/>
        <v/>
      </c>
      <c r="U83" s="122" t="str">
        <f t="shared" si="29"/>
        <v/>
      </c>
      <c r="V83" s="122" t="str">
        <f t="shared" si="29"/>
        <v/>
      </c>
      <c r="W83" s="122" t="str">
        <f t="shared" si="29"/>
        <v/>
      </c>
      <c r="X83" s="122" t="str">
        <f t="shared" si="29"/>
        <v/>
      </c>
      <c r="Y83" s="122" t="str">
        <f t="shared" si="29"/>
        <v/>
      </c>
      <c r="Z83" s="122" t="str">
        <f t="shared" si="29"/>
        <v/>
      </c>
      <c r="AA83" s="122" t="str">
        <f t="shared" si="29"/>
        <v/>
      </c>
      <c r="AB83" s="122" t="str">
        <f t="shared" si="29"/>
        <v/>
      </c>
      <c r="AC83" s="193" t="str">
        <f t="shared" si="29"/>
        <v/>
      </c>
      <c r="AD83" s="212" t="str">
        <f t="shared" si="29"/>
        <v/>
      </c>
      <c r="AE83" s="213" t="str">
        <f t="shared" si="29"/>
        <v/>
      </c>
      <c r="AF83" s="193" t="str">
        <f t="shared" si="27"/>
        <v/>
      </c>
    </row>
    <row r="84" spans="2:32" x14ac:dyDescent="0.25">
      <c r="B84" s="201" t="str">
        <f>IF(Stand!C46="","",Stand!C46)</f>
        <v/>
      </c>
      <c r="C84" s="208" t="str" cm="1">
        <f t="array" ref="C84">IF(SUM(IF(B84=Stand_Biomass!$B$4:$B$30,Stand_Biomass!$C$4:$C$30))&gt;0,SUM(IF(B84=Stand_Biomass!$B$4:$B$30,Stand_Biomass!$C$4:$C$30)),"")</f>
        <v/>
      </c>
      <c r="D84" s="209" t="str">
        <f>IF(B84="","",VLOOKUP($B84,Stand!$C:$G,5,0))</f>
        <v/>
      </c>
      <c r="E84" s="28"/>
      <c r="F84" s="157" t="str">
        <f>IF($B84="","",IF(F$39="","",IF(F$39="Snag",(SUMIFS(Tree!$AE:$AE,Tree!$A:$A,$B84,Tree!$F:$F,"D",Tree!$K:$K,"&lt;&gt;"&amp;"Y")/$C84),(SUMIFS(Tree!$AE:$AE,Tree!$A:$A,$B84,Tree!$D:$D,F$39,Tree!$F:$F,"L",Tree!$K:$K,"&lt;&gt;"&amp;"Y")/$C84))))</f>
        <v/>
      </c>
      <c r="G84" s="122" t="str">
        <f>IF($B84="","",IF(G$39="","",IF(G$39="Snag",(SUMIFS(Tree!$AE:$AE,Tree!$A:$A,$B84,Tree!$F:$F,"D",Tree!$K:$K,"&lt;&gt;"&amp;"Y")/$C84),(SUMIFS(Tree!$AE:$AE,Tree!$A:$A,$B84,Tree!$D:$D,G$39,Tree!$F:$F,"L",Tree!$K:$K,"&lt;&gt;"&amp;"Y")/$C84))))</f>
        <v/>
      </c>
      <c r="H84" s="122" t="str">
        <f>IF($B84="","",IF(H$39="","",IF(H$39="Snag",(SUMIFS(Tree!$AE:$AE,Tree!$A:$A,$B84,Tree!$F:$F,"D",Tree!$K:$K,"&lt;&gt;"&amp;"Y")/$C84),(SUMIFS(Tree!$AE:$AE,Tree!$A:$A,$B84,Tree!$D:$D,H$39,Tree!$F:$F,"L",Tree!$K:$K,"&lt;&gt;"&amp;"Y")/$C84))))</f>
        <v/>
      </c>
      <c r="I84" s="122" t="str">
        <f>IF($B84="","",IF(I$39="","",IF(I$39="Snag",(SUMIFS(Tree!$AE:$AE,Tree!$A:$A,$B84,Tree!$F:$F,"D",Tree!$K:$K,"&lt;&gt;"&amp;"Y")/$C84),(SUMIFS(Tree!$AE:$AE,Tree!$A:$A,$B84,Tree!$D:$D,I$39,Tree!$F:$F,"L",Tree!$K:$K,"&lt;&gt;"&amp;"Y")/$C84))))</f>
        <v/>
      </c>
      <c r="J84" s="122" t="str">
        <f>IF($B84="","",IF(J$39="","",IF(J$39="Snag",(SUMIFS(Tree!$AE:$AE,Tree!$A:$A,$B84,Tree!$F:$F,"D",Tree!$K:$K,"&lt;&gt;"&amp;"Y")/$C84),(SUMIFS(Tree!$AE:$AE,Tree!$A:$A,$B84,Tree!$D:$D,J$39,Tree!$F:$F,"L",Tree!$K:$K,"&lt;&gt;"&amp;"Y")/$C84))))</f>
        <v/>
      </c>
      <c r="K84" s="122" t="str">
        <f>IF($B84="","",IF(K$39="","",IF(K$39="Snag",(SUMIFS(Tree!$AE:$AE,Tree!$A:$A,$B84,Tree!$F:$F,"D",Tree!$K:$K,"&lt;&gt;"&amp;"Y")/$C84),(SUMIFS(Tree!$AE:$AE,Tree!$A:$A,$B84,Tree!$D:$D,K$39,Tree!$F:$F,"L",Tree!$K:$K,"&lt;&gt;"&amp;"Y")/$C84))))</f>
        <v/>
      </c>
      <c r="L84" s="122" t="str">
        <f>IF($B84="","",IF(L$39="","",IF(L$39="Snag",(SUMIFS(Tree!$AE:$AE,Tree!$A:$A,$B84,Tree!$F:$F,"D",Tree!$K:$K,"&lt;&gt;"&amp;"Y")/$C84),(SUMIFS(Tree!$AE:$AE,Tree!$A:$A,$B84,Tree!$D:$D,L$39,Tree!$F:$F,"L",Tree!$K:$K,"&lt;&gt;"&amp;"Y")/$C84))))</f>
        <v/>
      </c>
      <c r="M84" s="122" t="str">
        <f>IF($B84="","",IF(M$39="","",IF(M$39="Snag",(SUMIFS(Tree!$AE:$AE,Tree!$A:$A,$B84,Tree!$F:$F,"D",Tree!$K:$K,"&lt;&gt;"&amp;"Y")/$C84),(SUMIFS(Tree!$AE:$AE,Tree!$A:$A,$B84,Tree!$D:$D,M$39,Tree!$F:$F,"L",Tree!$K:$K,"&lt;&gt;"&amp;"Y")/$C84))))</f>
        <v/>
      </c>
      <c r="N84" s="122" t="str">
        <f>IF($B84="","",IF(N$39="","",IF(N$39="Snag",(SUMIFS(Tree!$AE:$AE,Tree!$A:$A,$B84,Tree!$F:$F,"D",Tree!$K:$K,"&lt;&gt;"&amp;"Y")/$C84),(SUMIFS(Tree!$AE:$AE,Tree!$A:$A,$B84,Tree!$D:$D,N$39,Tree!$F:$F,"L",Tree!$K:$K,"&lt;&gt;"&amp;"Y")/$C84))))</f>
        <v/>
      </c>
      <c r="O84" s="193" t="str">
        <f t="shared" si="28"/>
        <v/>
      </c>
      <c r="P84" s="441" t="str">
        <f>IF($B84="","",IF(P$39="","",IF(P$39="Snag",(SUMIFS(Tree!$AQ:$AQ,Tree!$A:$A,$B84,Tree!$F:$F,"D",Tree!$K:$K,"&lt;&gt;"&amp;"Y")/$C84),(SUMIFS(Tree!$AQ:$AQ,Tree!$A:$A,$B84,Tree!$D:$D,P$39,Tree!$F:$F,"L",Tree!$K:$K,"&lt;&gt;"&amp;"Y")/$C84))))</f>
        <v/>
      </c>
      <c r="Q84" s="445" t="str">
        <f>IF(B84="","",VLOOKUP(B84,#REF!,12,0))</f>
        <v/>
      </c>
      <c r="R84" s="448" t="str">
        <f>IF(B84="","",VLOOKUP($B84,#REF!,20,0))</f>
        <v/>
      </c>
      <c r="S84" s="86"/>
      <c r="T84" s="157" t="str">
        <f t="shared" si="29"/>
        <v/>
      </c>
      <c r="U84" s="122" t="str">
        <f t="shared" si="29"/>
        <v/>
      </c>
      <c r="V84" s="122" t="str">
        <f t="shared" si="29"/>
        <v/>
      </c>
      <c r="W84" s="122" t="str">
        <f t="shared" si="29"/>
        <v/>
      </c>
      <c r="X84" s="122" t="str">
        <f t="shared" si="29"/>
        <v/>
      </c>
      <c r="Y84" s="122" t="str">
        <f t="shared" si="29"/>
        <v/>
      </c>
      <c r="Z84" s="122" t="str">
        <f t="shared" si="29"/>
        <v/>
      </c>
      <c r="AA84" s="122" t="str">
        <f t="shared" si="29"/>
        <v/>
      </c>
      <c r="AB84" s="122" t="str">
        <f t="shared" si="29"/>
        <v/>
      </c>
      <c r="AC84" s="193" t="str">
        <f t="shared" si="29"/>
        <v/>
      </c>
      <c r="AD84" s="212" t="str">
        <f t="shared" si="29"/>
        <v/>
      </c>
      <c r="AE84" s="213" t="str">
        <f t="shared" si="29"/>
        <v/>
      </c>
      <c r="AF84" s="193" t="str">
        <f t="shared" si="27"/>
        <v/>
      </c>
    </row>
    <row r="85" spans="2:32" x14ac:dyDescent="0.25">
      <c r="B85" s="201" t="str">
        <f>IF(Stand!C47="","",Stand!C47)</f>
        <v/>
      </c>
      <c r="C85" s="208" t="str" cm="1">
        <f t="array" ref="C85">IF(SUM(IF(B85=Stand_Biomass!$B$4:$B$30,Stand_Biomass!$C$4:$C$30))&gt;0,SUM(IF(B85=Stand_Biomass!$B$4:$B$30,Stand_Biomass!$C$4:$C$30)),"")</f>
        <v/>
      </c>
      <c r="D85" s="209" t="str">
        <f>IF(B85="","",VLOOKUP($B85,Stand!$C:$G,5,0))</f>
        <v/>
      </c>
      <c r="E85" s="28"/>
      <c r="F85" s="157" t="str">
        <f>IF($B85="","",IF(F$39="","",IF(F$39="Snag",(SUMIFS(Tree!$AE:$AE,Tree!$A:$A,$B85,Tree!$F:$F,"D",Tree!$K:$K,"&lt;&gt;"&amp;"Y")/$C85),(SUMIFS(Tree!$AE:$AE,Tree!$A:$A,$B85,Tree!$D:$D,F$39,Tree!$F:$F,"L",Tree!$K:$K,"&lt;&gt;"&amp;"Y")/$C85))))</f>
        <v/>
      </c>
      <c r="G85" s="122" t="str">
        <f>IF($B85="","",IF(G$39="","",IF(G$39="Snag",(SUMIFS(Tree!$AE:$AE,Tree!$A:$A,$B85,Tree!$F:$F,"D",Tree!$K:$K,"&lt;&gt;"&amp;"Y")/$C85),(SUMIFS(Tree!$AE:$AE,Tree!$A:$A,$B85,Tree!$D:$D,G$39,Tree!$F:$F,"L",Tree!$K:$K,"&lt;&gt;"&amp;"Y")/$C85))))</f>
        <v/>
      </c>
      <c r="H85" s="122" t="str">
        <f>IF($B85="","",IF(H$39="","",IF(H$39="Snag",(SUMIFS(Tree!$AE:$AE,Tree!$A:$A,$B85,Tree!$F:$F,"D",Tree!$K:$K,"&lt;&gt;"&amp;"Y")/$C85),(SUMIFS(Tree!$AE:$AE,Tree!$A:$A,$B85,Tree!$D:$D,H$39,Tree!$F:$F,"L",Tree!$K:$K,"&lt;&gt;"&amp;"Y")/$C85))))</f>
        <v/>
      </c>
      <c r="I85" s="122" t="str">
        <f>IF($B85="","",IF(I$39="","",IF(I$39="Snag",(SUMIFS(Tree!$AE:$AE,Tree!$A:$A,$B85,Tree!$F:$F,"D",Tree!$K:$K,"&lt;&gt;"&amp;"Y")/$C85),(SUMIFS(Tree!$AE:$AE,Tree!$A:$A,$B85,Tree!$D:$D,I$39,Tree!$F:$F,"L",Tree!$K:$K,"&lt;&gt;"&amp;"Y")/$C85))))</f>
        <v/>
      </c>
      <c r="J85" s="122" t="str">
        <f>IF($B85="","",IF(J$39="","",IF(J$39="Snag",(SUMIFS(Tree!$AE:$AE,Tree!$A:$A,$B85,Tree!$F:$F,"D",Tree!$K:$K,"&lt;&gt;"&amp;"Y")/$C85),(SUMIFS(Tree!$AE:$AE,Tree!$A:$A,$B85,Tree!$D:$D,J$39,Tree!$F:$F,"L",Tree!$K:$K,"&lt;&gt;"&amp;"Y")/$C85))))</f>
        <v/>
      </c>
      <c r="K85" s="122" t="str">
        <f>IF($B85="","",IF(K$39="","",IF(K$39="Snag",(SUMIFS(Tree!$AE:$AE,Tree!$A:$A,$B85,Tree!$F:$F,"D",Tree!$K:$K,"&lt;&gt;"&amp;"Y")/$C85),(SUMIFS(Tree!$AE:$AE,Tree!$A:$A,$B85,Tree!$D:$D,K$39,Tree!$F:$F,"L",Tree!$K:$K,"&lt;&gt;"&amp;"Y")/$C85))))</f>
        <v/>
      </c>
      <c r="L85" s="122" t="str">
        <f>IF($B85="","",IF(L$39="","",IF(L$39="Snag",(SUMIFS(Tree!$AE:$AE,Tree!$A:$A,$B85,Tree!$F:$F,"D",Tree!$K:$K,"&lt;&gt;"&amp;"Y")/$C85),(SUMIFS(Tree!$AE:$AE,Tree!$A:$A,$B85,Tree!$D:$D,L$39,Tree!$F:$F,"L",Tree!$K:$K,"&lt;&gt;"&amp;"Y")/$C85))))</f>
        <v/>
      </c>
      <c r="M85" s="122" t="str">
        <f>IF($B85="","",IF(M$39="","",IF(M$39="Snag",(SUMIFS(Tree!$AE:$AE,Tree!$A:$A,$B85,Tree!$F:$F,"D",Tree!$K:$K,"&lt;&gt;"&amp;"Y")/$C85),(SUMIFS(Tree!$AE:$AE,Tree!$A:$A,$B85,Tree!$D:$D,M$39,Tree!$F:$F,"L",Tree!$K:$K,"&lt;&gt;"&amp;"Y")/$C85))))</f>
        <v/>
      </c>
      <c r="N85" s="122" t="str">
        <f>IF($B85="","",IF(N$39="","",IF(N$39="Snag",(SUMIFS(Tree!$AE:$AE,Tree!$A:$A,$B85,Tree!$F:$F,"D",Tree!$K:$K,"&lt;&gt;"&amp;"Y")/$C85),(SUMIFS(Tree!$AE:$AE,Tree!$A:$A,$B85,Tree!$D:$D,N$39,Tree!$F:$F,"L",Tree!$K:$K,"&lt;&gt;"&amp;"Y")/$C85))))</f>
        <v/>
      </c>
      <c r="O85" s="193" t="str">
        <f t="shared" si="28"/>
        <v/>
      </c>
      <c r="P85" s="441" t="str">
        <f>IF($B85="","",IF(P$39="","",IF(P$39="Snag",(SUMIFS(Tree!$AQ:$AQ,Tree!$A:$A,$B85,Tree!$F:$F,"D",Tree!$K:$K,"&lt;&gt;"&amp;"Y")/$C85),(SUMIFS(Tree!$AQ:$AQ,Tree!$A:$A,$B85,Tree!$D:$D,P$39,Tree!$F:$F,"L",Tree!$K:$K,"&lt;&gt;"&amp;"Y")/$C85))))</f>
        <v/>
      </c>
      <c r="Q85" s="445" t="str">
        <f>IF(B85="","",VLOOKUP(B85,#REF!,12,0))</f>
        <v/>
      </c>
      <c r="R85" s="448" t="str">
        <f>IF(B85="","",VLOOKUP($B85,#REF!,20,0))</f>
        <v/>
      </c>
      <c r="S85" s="86"/>
      <c r="T85" s="157" t="str">
        <f t="shared" si="29"/>
        <v/>
      </c>
      <c r="U85" s="122" t="str">
        <f t="shared" si="29"/>
        <v/>
      </c>
      <c r="V85" s="122" t="str">
        <f t="shared" si="29"/>
        <v/>
      </c>
      <c r="W85" s="122" t="str">
        <f t="shared" si="29"/>
        <v/>
      </c>
      <c r="X85" s="122" t="str">
        <f t="shared" si="29"/>
        <v/>
      </c>
      <c r="Y85" s="122" t="str">
        <f t="shared" si="29"/>
        <v/>
      </c>
      <c r="Z85" s="122" t="str">
        <f t="shared" si="29"/>
        <v/>
      </c>
      <c r="AA85" s="122" t="str">
        <f t="shared" si="29"/>
        <v/>
      </c>
      <c r="AB85" s="122" t="str">
        <f t="shared" si="29"/>
        <v/>
      </c>
      <c r="AC85" s="193" t="str">
        <f t="shared" si="29"/>
        <v/>
      </c>
      <c r="AD85" s="212" t="str">
        <f t="shared" si="29"/>
        <v/>
      </c>
      <c r="AE85" s="213" t="str">
        <f t="shared" si="29"/>
        <v/>
      </c>
      <c r="AF85" s="193" t="str">
        <f t="shared" si="27"/>
        <v/>
      </c>
    </row>
    <row r="86" spans="2:32" x14ac:dyDescent="0.25">
      <c r="B86" s="201" t="str">
        <f>IF(Stand!C48="","",Stand!C48)</f>
        <v/>
      </c>
      <c r="C86" s="208" t="str" cm="1">
        <f t="array" ref="C86">IF(SUM(IF(B86=Stand_Biomass!$B$4:$B$30,Stand_Biomass!$C$4:$C$30))&gt;0,SUM(IF(B86=Stand_Biomass!$B$4:$B$30,Stand_Biomass!$C$4:$C$30)),"")</f>
        <v/>
      </c>
      <c r="D86" s="209" t="str">
        <f>IF(B86="","",VLOOKUP($B86,Stand!$C:$G,5,0))</f>
        <v/>
      </c>
      <c r="E86" s="28"/>
      <c r="F86" s="157" t="str">
        <f>IF($B86="","",IF(F$39="","",IF(F$39="Snag",(SUMIFS(Tree!$AE:$AE,Tree!$A:$A,$B86,Tree!$F:$F,"D",Tree!$K:$K,"&lt;&gt;"&amp;"Y")/$C86),(SUMIFS(Tree!$AE:$AE,Tree!$A:$A,$B86,Tree!$D:$D,F$39,Tree!$F:$F,"L",Tree!$K:$K,"&lt;&gt;"&amp;"Y")/$C86))))</f>
        <v/>
      </c>
      <c r="G86" s="122" t="str">
        <f>IF($B86="","",IF(G$39="","",IF(G$39="Snag",(SUMIFS(Tree!$AE:$AE,Tree!$A:$A,$B86,Tree!$F:$F,"D",Tree!$K:$K,"&lt;&gt;"&amp;"Y")/$C86),(SUMIFS(Tree!$AE:$AE,Tree!$A:$A,$B86,Tree!$D:$D,G$39,Tree!$F:$F,"L",Tree!$K:$K,"&lt;&gt;"&amp;"Y")/$C86))))</f>
        <v/>
      </c>
      <c r="H86" s="122" t="str">
        <f>IF($B86="","",IF(H$39="","",IF(H$39="Snag",(SUMIFS(Tree!$AE:$AE,Tree!$A:$A,$B86,Tree!$F:$F,"D",Tree!$K:$K,"&lt;&gt;"&amp;"Y")/$C86),(SUMIFS(Tree!$AE:$AE,Tree!$A:$A,$B86,Tree!$D:$D,H$39,Tree!$F:$F,"L",Tree!$K:$K,"&lt;&gt;"&amp;"Y")/$C86))))</f>
        <v/>
      </c>
      <c r="I86" s="122" t="str">
        <f>IF($B86="","",IF(I$39="","",IF(I$39="Snag",(SUMIFS(Tree!$AE:$AE,Tree!$A:$A,$B86,Tree!$F:$F,"D",Tree!$K:$K,"&lt;&gt;"&amp;"Y")/$C86),(SUMIFS(Tree!$AE:$AE,Tree!$A:$A,$B86,Tree!$D:$D,I$39,Tree!$F:$F,"L",Tree!$K:$K,"&lt;&gt;"&amp;"Y")/$C86))))</f>
        <v/>
      </c>
      <c r="J86" s="122" t="str">
        <f>IF($B86="","",IF(J$39="","",IF(J$39="Snag",(SUMIFS(Tree!$AE:$AE,Tree!$A:$A,$B86,Tree!$F:$F,"D",Tree!$K:$K,"&lt;&gt;"&amp;"Y")/$C86),(SUMIFS(Tree!$AE:$AE,Tree!$A:$A,$B86,Tree!$D:$D,J$39,Tree!$F:$F,"L",Tree!$K:$K,"&lt;&gt;"&amp;"Y")/$C86))))</f>
        <v/>
      </c>
      <c r="K86" s="122" t="str">
        <f>IF($B86="","",IF(K$39="","",IF(K$39="Snag",(SUMIFS(Tree!$AE:$AE,Tree!$A:$A,$B86,Tree!$F:$F,"D",Tree!$K:$K,"&lt;&gt;"&amp;"Y")/$C86),(SUMIFS(Tree!$AE:$AE,Tree!$A:$A,$B86,Tree!$D:$D,K$39,Tree!$F:$F,"L",Tree!$K:$K,"&lt;&gt;"&amp;"Y")/$C86))))</f>
        <v/>
      </c>
      <c r="L86" s="122" t="str">
        <f>IF($B86="","",IF(L$39="","",IF(L$39="Snag",(SUMIFS(Tree!$AE:$AE,Tree!$A:$A,$B86,Tree!$F:$F,"D",Tree!$K:$K,"&lt;&gt;"&amp;"Y")/$C86),(SUMIFS(Tree!$AE:$AE,Tree!$A:$A,$B86,Tree!$D:$D,L$39,Tree!$F:$F,"L",Tree!$K:$K,"&lt;&gt;"&amp;"Y")/$C86))))</f>
        <v/>
      </c>
      <c r="M86" s="122" t="str">
        <f>IF($B86="","",IF(M$39="","",IF(M$39="Snag",(SUMIFS(Tree!$AE:$AE,Tree!$A:$A,$B86,Tree!$F:$F,"D",Tree!$K:$K,"&lt;&gt;"&amp;"Y")/$C86),(SUMIFS(Tree!$AE:$AE,Tree!$A:$A,$B86,Tree!$D:$D,M$39,Tree!$F:$F,"L",Tree!$K:$K,"&lt;&gt;"&amp;"Y")/$C86))))</f>
        <v/>
      </c>
      <c r="N86" s="122" t="str">
        <f>IF($B86="","",IF(N$39="","",IF(N$39="Snag",(SUMIFS(Tree!$AE:$AE,Tree!$A:$A,$B86,Tree!$F:$F,"D",Tree!$K:$K,"&lt;&gt;"&amp;"Y")/$C86),(SUMIFS(Tree!$AE:$AE,Tree!$A:$A,$B86,Tree!$D:$D,N$39,Tree!$F:$F,"L",Tree!$K:$K,"&lt;&gt;"&amp;"Y")/$C86))))</f>
        <v/>
      </c>
      <c r="O86" s="193" t="str">
        <f t="shared" si="28"/>
        <v/>
      </c>
      <c r="P86" s="441" t="str">
        <f>IF($B86="","",IF(P$39="","",IF(P$39="Snag",(SUMIFS(Tree!$AQ:$AQ,Tree!$A:$A,$B86,Tree!$F:$F,"D",Tree!$K:$K,"&lt;&gt;"&amp;"Y")/$C86),(SUMIFS(Tree!$AQ:$AQ,Tree!$A:$A,$B86,Tree!$D:$D,P$39,Tree!$F:$F,"L",Tree!$K:$K,"&lt;&gt;"&amp;"Y")/$C86))))</f>
        <v/>
      </c>
      <c r="Q86" s="445" t="str">
        <f>IF(B86="","",VLOOKUP(B86,#REF!,12,0))</f>
        <v/>
      </c>
      <c r="R86" s="448" t="str">
        <f>IF(B86="","",VLOOKUP($B86,#REF!,20,0))</f>
        <v/>
      </c>
      <c r="S86" s="86"/>
      <c r="T86" s="157" t="str">
        <f t="shared" si="29"/>
        <v/>
      </c>
      <c r="U86" s="122" t="str">
        <f t="shared" si="29"/>
        <v/>
      </c>
      <c r="V86" s="122" t="str">
        <f t="shared" si="29"/>
        <v/>
      </c>
      <c r="W86" s="122" t="str">
        <f t="shared" si="29"/>
        <v/>
      </c>
      <c r="X86" s="122" t="str">
        <f t="shared" si="29"/>
        <v/>
      </c>
      <c r="Y86" s="122" t="str">
        <f t="shared" si="29"/>
        <v/>
      </c>
      <c r="Z86" s="122" t="str">
        <f t="shared" si="29"/>
        <v/>
      </c>
      <c r="AA86" s="122" t="str">
        <f t="shared" si="29"/>
        <v/>
      </c>
      <c r="AB86" s="122" t="str">
        <f t="shared" si="29"/>
        <v/>
      </c>
      <c r="AC86" s="193" t="str">
        <f t="shared" si="29"/>
        <v/>
      </c>
      <c r="AD86" s="212" t="str">
        <f t="shared" si="29"/>
        <v/>
      </c>
      <c r="AE86" s="213" t="str">
        <f t="shared" si="29"/>
        <v/>
      </c>
      <c r="AF86" s="193" t="str">
        <f t="shared" si="27"/>
        <v/>
      </c>
    </row>
    <row r="87" spans="2:32" x14ac:dyDescent="0.25">
      <c r="B87" s="201" t="str">
        <f>IF(Stand!C49="","",Stand!C49)</f>
        <v/>
      </c>
      <c r="C87" s="208" t="str" cm="1">
        <f t="array" ref="C87">IF(SUM(IF(B87=Stand_Biomass!$B$4:$B$30,Stand_Biomass!$C$4:$C$30))&gt;0,SUM(IF(B87=Stand_Biomass!$B$4:$B$30,Stand_Biomass!$C$4:$C$30)),"")</f>
        <v/>
      </c>
      <c r="D87" s="209" t="str">
        <f>IF(B87="","",VLOOKUP($B87,Stand!$C:$G,5,0))</f>
        <v/>
      </c>
      <c r="E87" s="28"/>
      <c r="F87" s="157" t="str">
        <f>IF($B87="","",IF(F$39="","",IF(F$39="Snag",(SUMIFS(Tree!$AE:$AE,Tree!$A:$A,$B87,Tree!$F:$F,"D",Tree!$K:$K,"&lt;&gt;"&amp;"Y")/$C87),(SUMIFS(Tree!$AE:$AE,Tree!$A:$A,$B87,Tree!$D:$D,F$39,Tree!$F:$F,"L",Tree!$K:$K,"&lt;&gt;"&amp;"Y")/$C87))))</f>
        <v/>
      </c>
      <c r="G87" s="122" t="str">
        <f>IF($B87="","",IF(G$39="","",IF(G$39="Snag",(SUMIFS(Tree!$AE:$AE,Tree!$A:$A,$B87,Tree!$F:$F,"D",Tree!$K:$K,"&lt;&gt;"&amp;"Y")/$C87),(SUMIFS(Tree!$AE:$AE,Tree!$A:$A,$B87,Tree!$D:$D,G$39,Tree!$F:$F,"L",Tree!$K:$K,"&lt;&gt;"&amp;"Y")/$C87))))</f>
        <v/>
      </c>
      <c r="H87" s="122" t="str">
        <f>IF($B87="","",IF(H$39="","",IF(H$39="Snag",(SUMIFS(Tree!$AE:$AE,Tree!$A:$A,$B87,Tree!$F:$F,"D",Tree!$K:$K,"&lt;&gt;"&amp;"Y")/$C87),(SUMIFS(Tree!$AE:$AE,Tree!$A:$A,$B87,Tree!$D:$D,H$39,Tree!$F:$F,"L",Tree!$K:$K,"&lt;&gt;"&amp;"Y")/$C87))))</f>
        <v/>
      </c>
      <c r="I87" s="122" t="str">
        <f>IF($B87="","",IF(I$39="","",IF(I$39="Snag",(SUMIFS(Tree!$AE:$AE,Tree!$A:$A,$B87,Tree!$F:$F,"D",Tree!$K:$K,"&lt;&gt;"&amp;"Y")/$C87),(SUMIFS(Tree!$AE:$AE,Tree!$A:$A,$B87,Tree!$D:$D,I$39,Tree!$F:$F,"L",Tree!$K:$K,"&lt;&gt;"&amp;"Y")/$C87))))</f>
        <v/>
      </c>
      <c r="J87" s="122" t="str">
        <f>IF($B87="","",IF(J$39="","",IF(J$39="Snag",(SUMIFS(Tree!$AE:$AE,Tree!$A:$A,$B87,Tree!$F:$F,"D",Tree!$K:$K,"&lt;&gt;"&amp;"Y")/$C87),(SUMIFS(Tree!$AE:$AE,Tree!$A:$A,$B87,Tree!$D:$D,J$39,Tree!$F:$F,"L",Tree!$K:$K,"&lt;&gt;"&amp;"Y")/$C87))))</f>
        <v/>
      </c>
      <c r="K87" s="122" t="str">
        <f>IF($B87="","",IF(K$39="","",IF(K$39="Snag",(SUMIFS(Tree!$AE:$AE,Tree!$A:$A,$B87,Tree!$F:$F,"D",Tree!$K:$K,"&lt;&gt;"&amp;"Y")/$C87),(SUMIFS(Tree!$AE:$AE,Tree!$A:$A,$B87,Tree!$D:$D,K$39,Tree!$F:$F,"L",Tree!$K:$K,"&lt;&gt;"&amp;"Y")/$C87))))</f>
        <v/>
      </c>
      <c r="L87" s="122" t="str">
        <f>IF($B87="","",IF(L$39="","",IF(L$39="Snag",(SUMIFS(Tree!$AE:$AE,Tree!$A:$A,$B87,Tree!$F:$F,"D",Tree!$K:$K,"&lt;&gt;"&amp;"Y")/$C87),(SUMIFS(Tree!$AE:$AE,Tree!$A:$A,$B87,Tree!$D:$D,L$39,Tree!$F:$F,"L",Tree!$K:$K,"&lt;&gt;"&amp;"Y")/$C87))))</f>
        <v/>
      </c>
      <c r="M87" s="122" t="str">
        <f>IF($B87="","",IF(M$39="","",IF(M$39="Snag",(SUMIFS(Tree!$AE:$AE,Tree!$A:$A,$B87,Tree!$F:$F,"D",Tree!$K:$K,"&lt;&gt;"&amp;"Y")/$C87),(SUMIFS(Tree!$AE:$AE,Tree!$A:$A,$B87,Tree!$D:$D,M$39,Tree!$F:$F,"L",Tree!$K:$K,"&lt;&gt;"&amp;"Y")/$C87))))</f>
        <v/>
      </c>
      <c r="N87" s="122" t="str">
        <f>IF($B87="","",IF(N$39="","",IF(N$39="Snag",(SUMIFS(Tree!$AE:$AE,Tree!$A:$A,$B87,Tree!$F:$F,"D",Tree!$K:$K,"&lt;&gt;"&amp;"Y")/$C87),(SUMIFS(Tree!$AE:$AE,Tree!$A:$A,$B87,Tree!$D:$D,N$39,Tree!$F:$F,"L",Tree!$K:$K,"&lt;&gt;"&amp;"Y")/$C87))))</f>
        <v/>
      </c>
      <c r="O87" s="193" t="str">
        <f t="shared" si="28"/>
        <v/>
      </c>
      <c r="P87" s="441" t="str">
        <f>IF($B87="","",IF(P$39="","",IF(P$39="Snag",(SUMIFS(Tree!$AQ:$AQ,Tree!$A:$A,$B87,Tree!$F:$F,"D",Tree!$K:$K,"&lt;&gt;"&amp;"Y")/$C87),(SUMIFS(Tree!$AQ:$AQ,Tree!$A:$A,$B87,Tree!$D:$D,P$39,Tree!$F:$F,"L",Tree!$K:$K,"&lt;&gt;"&amp;"Y")/$C87))))</f>
        <v/>
      </c>
      <c r="Q87" s="445" t="str">
        <f>IF(B87="","",VLOOKUP(B87,#REF!,12,0))</f>
        <v/>
      </c>
      <c r="R87" s="448" t="str">
        <f>IF(B87="","",VLOOKUP($B87,#REF!,20,0))</f>
        <v/>
      </c>
      <c r="S87" s="86"/>
      <c r="T87" s="157" t="str">
        <f t="shared" si="29"/>
        <v/>
      </c>
      <c r="U87" s="122" t="str">
        <f t="shared" si="29"/>
        <v/>
      </c>
      <c r="V87" s="122" t="str">
        <f t="shared" si="29"/>
        <v/>
      </c>
      <c r="W87" s="122" t="str">
        <f t="shared" si="29"/>
        <v/>
      </c>
      <c r="X87" s="122" t="str">
        <f t="shared" si="29"/>
        <v/>
      </c>
      <c r="Y87" s="122" t="str">
        <f t="shared" si="29"/>
        <v/>
      </c>
      <c r="Z87" s="122" t="str">
        <f t="shared" si="29"/>
        <v/>
      </c>
      <c r="AA87" s="122" t="str">
        <f t="shared" si="29"/>
        <v/>
      </c>
      <c r="AB87" s="122" t="str">
        <f t="shared" si="29"/>
        <v/>
      </c>
      <c r="AC87" s="193" t="str">
        <f t="shared" si="29"/>
        <v/>
      </c>
      <c r="AD87" s="212" t="str">
        <f t="shared" si="29"/>
        <v/>
      </c>
      <c r="AE87" s="213" t="str">
        <f t="shared" si="29"/>
        <v/>
      </c>
      <c r="AF87" s="193" t="str">
        <f t="shared" si="27"/>
        <v/>
      </c>
    </row>
    <row r="88" spans="2:32" x14ac:dyDescent="0.25">
      <c r="B88" s="201" t="str">
        <f>IF(Stand!C50="","",Stand!C50)</f>
        <v/>
      </c>
      <c r="C88" s="208" t="str" cm="1">
        <f t="array" ref="C88">IF(SUM(IF(B88=Stand_Biomass!$B$4:$B$30,Stand_Biomass!$C$4:$C$30))&gt;0,SUM(IF(B88=Stand_Biomass!$B$4:$B$30,Stand_Biomass!$C$4:$C$30)),"")</f>
        <v/>
      </c>
      <c r="D88" s="209" t="str">
        <f>IF(B88="","",VLOOKUP($B88,Stand!$C:$G,5,0))</f>
        <v/>
      </c>
      <c r="E88" s="28"/>
      <c r="F88" s="157" t="str">
        <f>IF($B88="","",IF(F$39="","",IF(F$39="Snag",(SUMIFS(Tree!$AE:$AE,Tree!$A:$A,$B88,Tree!$F:$F,"D",Tree!$K:$K,"&lt;&gt;"&amp;"Y")/$C88),(SUMIFS(Tree!$AE:$AE,Tree!$A:$A,$B88,Tree!$D:$D,F$39,Tree!$F:$F,"L",Tree!$K:$K,"&lt;&gt;"&amp;"Y")/$C88))))</f>
        <v/>
      </c>
      <c r="G88" s="122" t="str">
        <f>IF($B88="","",IF(G$39="","",IF(G$39="Snag",(SUMIFS(Tree!$AE:$AE,Tree!$A:$A,$B88,Tree!$F:$F,"D",Tree!$K:$K,"&lt;&gt;"&amp;"Y")/$C88),(SUMIFS(Tree!$AE:$AE,Tree!$A:$A,$B88,Tree!$D:$D,G$39,Tree!$F:$F,"L",Tree!$K:$K,"&lt;&gt;"&amp;"Y")/$C88))))</f>
        <v/>
      </c>
      <c r="H88" s="122" t="str">
        <f>IF($B88="","",IF(H$39="","",IF(H$39="Snag",(SUMIFS(Tree!$AE:$AE,Tree!$A:$A,$B88,Tree!$F:$F,"D",Tree!$K:$K,"&lt;&gt;"&amp;"Y")/$C88),(SUMIFS(Tree!$AE:$AE,Tree!$A:$A,$B88,Tree!$D:$D,H$39,Tree!$F:$F,"L",Tree!$K:$K,"&lt;&gt;"&amp;"Y")/$C88))))</f>
        <v/>
      </c>
      <c r="I88" s="122" t="str">
        <f>IF($B88="","",IF(I$39="","",IF(I$39="Snag",(SUMIFS(Tree!$AE:$AE,Tree!$A:$A,$B88,Tree!$F:$F,"D",Tree!$K:$K,"&lt;&gt;"&amp;"Y")/$C88),(SUMIFS(Tree!$AE:$AE,Tree!$A:$A,$B88,Tree!$D:$D,I$39,Tree!$F:$F,"L",Tree!$K:$K,"&lt;&gt;"&amp;"Y")/$C88))))</f>
        <v/>
      </c>
      <c r="J88" s="122" t="str">
        <f>IF($B88="","",IF(J$39="","",IF(J$39="Snag",(SUMIFS(Tree!$AE:$AE,Tree!$A:$A,$B88,Tree!$F:$F,"D",Tree!$K:$K,"&lt;&gt;"&amp;"Y")/$C88),(SUMIFS(Tree!$AE:$AE,Tree!$A:$A,$B88,Tree!$D:$D,J$39,Tree!$F:$F,"L",Tree!$K:$K,"&lt;&gt;"&amp;"Y")/$C88))))</f>
        <v/>
      </c>
      <c r="K88" s="122" t="str">
        <f>IF($B88="","",IF(K$39="","",IF(K$39="Snag",(SUMIFS(Tree!$AE:$AE,Tree!$A:$A,$B88,Tree!$F:$F,"D",Tree!$K:$K,"&lt;&gt;"&amp;"Y")/$C88),(SUMIFS(Tree!$AE:$AE,Tree!$A:$A,$B88,Tree!$D:$D,K$39,Tree!$F:$F,"L",Tree!$K:$K,"&lt;&gt;"&amp;"Y")/$C88))))</f>
        <v/>
      </c>
      <c r="L88" s="122" t="str">
        <f>IF($B88="","",IF(L$39="","",IF(L$39="Snag",(SUMIFS(Tree!$AE:$AE,Tree!$A:$A,$B88,Tree!$F:$F,"D",Tree!$K:$K,"&lt;&gt;"&amp;"Y")/$C88),(SUMIFS(Tree!$AE:$AE,Tree!$A:$A,$B88,Tree!$D:$D,L$39,Tree!$F:$F,"L",Tree!$K:$K,"&lt;&gt;"&amp;"Y")/$C88))))</f>
        <v/>
      </c>
      <c r="M88" s="122" t="str">
        <f>IF($B88="","",IF(M$39="","",IF(M$39="Snag",(SUMIFS(Tree!$AE:$AE,Tree!$A:$A,$B88,Tree!$F:$F,"D",Tree!$K:$K,"&lt;&gt;"&amp;"Y")/$C88),(SUMIFS(Tree!$AE:$AE,Tree!$A:$A,$B88,Tree!$D:$D,M$39,Tree!$F:$F,"L",Tree!$K:$K,"&lt;&gt;"&amp;"Y")/$C88))))</f>
        <v/>
      </c>
      <c r="N88" s="122" t="str">
        <f>IF($B88="","",IF(N$39="","",IF(N$39="Snag",(SUMIFS(Tree!$AE:$AE,Tree!$A:$A,$B88,Tree!$F:$F,"D",Tree!$K:$K,"&lt;&gt;"&amp;"Y")/$C88),(SUMIFS(Tree!$AE:$AE,Tree!$A:$A,$B88,Tree!$D:$D,N$39,Tree!$F:$F,"L",Tree!$K:$K,"&lt;&gt;"&amp;"Y")/$C88))))</f>
        <v/>
      </c>
      <c r="O88" s="193" t="str">
        <f t="shared" si="28"/>
        <v/>
      </c>
      <c r="P88" s="441" t="str">
        <f>IF($B88="","",IF(P$39="","",IF(P$39="Snag",(SUMIFS(Tree!$AQ:$AQ,Tree!$A:$A,$B88,Tree!$F:$F,"D",Tree!$K:$K,"&lt;&gt;"&amp;"Y")/$C88),(SUMIFS(Tree!$AQ:$AQ,Tree!$A:$A,$B88,Tree!$D:$D,P$39,Tree!$F:$F,"L",Tree!$K:$K,"&lt;&gt;"&amp;"Y")/$C88))))</f>
        <v/>
      </c>
      <c r="Q88" s="445" t="str">
        <f>IF(B88="","",VLOOKUP(B88,#REF!,12,0))</f>
        <v/>
      </c>
      <c r="R88" s="448" t="str">
        <f>IF(B88="","",VLOOKUP($B88,#REF!,20,0))</f>
        <v/>
      </c>
      <c r="S88" s="86"/>
      <c r="T88" s="157" t="str">
        <f t="shared" si="29"/>
        <v/>
      </c>
      <c r="U88" s="122" t="str">
        <f t="shared" si="29"/>
        <v/>
      </c>
      <c r="V88" s="122" t="str">
        <f t="shared" si="29"/>
        <v/>
      </c>
      <c r="W88" s="122" t="str">
        <f t="shared" si="29"/>
        <v/>
      </c>
      <c r="X88" s="122" t="str">
        <f t="shared" si="29"/>
        <v/>
      </c>
      <c r="Y88" s="122" t="str">
        <f t="shared" si="29"/>
        <v/>
      </c>
      <c r="Z88" s="122" t="str">
        <f t="shared" si="29"/>
        <v/>
      </c>
      <c r="AA88" s="122" t="str">
        <f t="shared" si="29"/>
        <v/>
      </c>
      <c r="AB88" s="122" t="str">
        <f t="shared" si="29"/>
        <v/>
      </c>
      <c r="AC88" s="193" t="str">
        <f t="shared" si="29"/>
        <v/>
      </c>
      <c r="AD88" s="212" t="str">
        <f t="shared" si="29"/>
        <v/>
      </c>
      <c r="AE88" s="213" t="str">
        <f t="shared" si="29"/>
        <v/>
      </c>
      <c r="AF88" s="193" t="str">
        <f t="shared" si="27"/>
        <v/>
      </c>
    </row>
    <row r="89" spans="2:32" x14ac:dyDescent="0.25">
      <c r="B89" s="201" t="str">
        <f>IF(Stand!C51="","",Stand!C51)</f>
        <v/>
      </c>
      <c r="C89" s="208" t="str" cm="1">
        <f t="array" ref="C89">IF(SUM(IF(B89=Stand_Biomass!$B$4:$B$30,Stand_Biomass!$C$4:$C$30))&gt;0,SUM(IF(B89=Stand_Biomass!$B$4:$B$30,Stand_Biomass!$C$4:$C$30)),"")</f>
        <v/>
      </c>
      <c r="D89" s="209" t="str">
        <f>IF(B89="","",VLOOKUP($B89,Stand!$C:$G,5,0))</f>
        <v/>
      </c>
      <c r="E89" s="28"/>
      <c r="F89" s="157" t="str">
        <f>IF($B89="","",IF(F$39="","",IF(F$39="Snag",(SUMIFS(Tree!$AE:$AE,Tree!$A:$A,$B89,Tree!$F:$F,"D",Tree!$K:$K,"&lt;&gt;"&amp;"Y")/$C89),(SUMIFS(Tree!$AE:$AE,Tree!$A:$A,$B89,Tree!$D:$D,F$39,Tree!$F:$F,"L",Tree!$K:$K,"&lt;&gt;"&amp;"Y")/$C89))))</f>
        <v/>
      </c>
      <c r="G89" s="122" t="str">
        <f>IF($B89="","",IF(G$39="","",IF(G$39="Snag",(SUMIFS(Tree!$AE:$AE,Tree!$A:$A,$B89,Tree!$F:$F,"D",Tree!$K:$K,"&lt;&gt;"&amp;"Y")/$C89),(SUMIFS(Tree!$AE:$AE,Tree!$A:$A,$B89,Tree!$D:$D,G$39,Tree!$F:$F,"L",Tree!$K:$K,"&lt;&gt;"&amp;"Y")/$C89))))</f>
        <v/>
      </c>
      <c r="H89" s="122" t="str">
        <f>IF($B89="","",IF(H$39="","",IF(H$39="Snag",(SUMIFS(Tree!$AE:$AE,Tree!$A:$A,$B89,Tree!$F:$F,"D",Tree!$K:$K,"&lt;&gt;"&amp;"Y")/$C89),(SUMIFS(Tree!$AE:$AE,Tree!$A:$A,$B89,Tree!$D:$D,H$39,Tree!$F:$F,"L",Tree!$K:$K,"&lt;&gt;"&amp;"Y")/$C89))))</f>
        <v/>
      </c>
      <c r="I89" s="122" t="str">
        <f>IF($B89="","",IF(I$39="","",IF(I$39="Snag",(SUMIFS(Tree!$AE:$AE,Tree!$A:$A,$B89,Tree!$F:$F,"D",Tree!$K:$K,"&lt;&gt;"&amp;"Y")/$C89),(SUMIFS(Tree!$AE:$AE,Tree!$A:$A,$B89,Tree!$D:$D,I$39,Tree!$F:$F,"L",Tree!$K:$K,"&lt;&gt;"&amp;"Y")/$C89))))</f>
        <v/>
      </c>
      <c r="J89" s="122" t="str">
        <f>IF($B89="","",IF(J$39="","",IF(J$39="Snag",(SUMIFS(Tree!$AE:$AE,Tree!$A:$A,$B89,Tree!$F:$F,"D",Tree!$K:$K,"&lt;&gt;"&amp;"Y")/$C89),(SUMIFS(Tree!$AE:$AE,Tree!$A:$A,$B89,Tree!$D:$D,J$39,Tree!$F:$F,"L",Tree!$K:$K,"&lt;&gt;"&amp;"Y")/$C89))))</f>
        <v/>
      </c>
      <c r="K89" s="122" t="str">
        <f>IF($B89="","",IF(K$39="","",IF(K$39="Snag",(SUMIFS(Tree!$AE:$AE,Tree!$A:$A,$B89,Tree!$F:$F,"D",Tree!$K:$K,"&lt;&gt;"&amp;"Y")/$C89),(SUMIFS(Tree!$AE:$AE,Tree!$A:$A,$B89,Tree!$D:$D,K$39,Tree!$F:$F,"L",Tree!$K:$K,"&lt;&gt;"&amp;"Y")/$C89))))</f>
        <v/>
      </c>
      <c r="L89" s="122" t="str">
        <f>IF($B89="","",IF(L$39="","",IF(L$39="Snag",(SUMIFS(Tree!$AE:$AE,Tree!$A:$A,$B89,Tree!$F:$F,"D",Tree!$K:$K,"&lt;&gt;"&amp;"Y")/$C89),(SUMIFS(Tree!$AE:$AE,Tree!$A:$A,$B89,Tree!$D:$D,L$39,Tree!$F:$F,"L",Tree!$K:$K,"&lt;&gt;"&amp;"Y")/$C89))))</f>
        <v/>
      </c>
      <c r="M89" s="122" t="str">
        <f>IF($B89="","",IF(M$39="","",IF(M$39="Snag",(SUMIFS(Tree!$AE:$AE,Tree!$A:$A,$B89,Tree!$F:$F,"D",Tree!$K:$K,"&lt;&gt;"&amp;"Y")/$C89),(SUMIFS(Tree!$AE:$AE,Tree!$A:$A,$B89,Tree!$D:$D,M$39,Tree!$F:$F,"L",Tree!$K:$K,"&lt;&gt;"&amp;"Y")/$C89))))</f>
        <v/>
      </c>
      <c r="N89" s="122" t="str">
        <f>IF($B89="","",IF(N$39="","",IF(N$39="Snag",(SUMIFS(Tree!$AE:$AE,Tree!$A:$A,$B89,Tree!$F:$F,"D",Tree!$K:$K,"&lt;&gt;"&amp;"Y")/$C89),(SUMIFS(Tree!$AE:$AE,Tree!$A:$A,$B89,Tree!$D:$D,N$39,Tree!$F:$F,"L",Tree!$K:$K,"&lt;&gt;"&amp;"Y")/$C89))))</f>
        <v/>
      </c>
      <c r="O89" s="193" t="str">
        <f t="shared" si="28"/>
        <v/>
      </c>
      <c r="P89" s="441" t="str">
        <f>IF($B89="","",IF(P$39="","",IF(P$39="Snag",(SUMIFS(Tree!$AQ:$AQ,Tree!$A:$A,$B89,Tree!$F:$F,"D",Tree!$K:$K,"&lt;&gt;"&amp;"Y")/$C89),(SUMIFS(Tree!$AQ:$AQ,Tree!$A:$A,$B89,Tree!$D:$D,P$39,Tree!$F:$F,"L",Tree!$K:$K,"&lt;&gt;"&amp;"Y")/$C89))))</f>
        <v/>
      </c>
      <c r="Q89" s="445" t="str">
        <f>IF(B89="","",VLOOKUP(B89,#REF!,12,0))</f>
        <v/>
      </c>
      <c r="R89" s="448" t="str">
        <f>IF(B89="","",VLOOKUP($B89,#REF!,20,0))</f>
        <v/>
      </c>
      <c r="S89" s="86"/>
      <c r="T89" s="157" t="str">
        <f t="shared" si="29"/>
        <v/>
      </c>
      <c r="U89" s="122" t="str">
        <f t="shared" si="29"/>
        <v/>
      </c>
      <c r="V89" s="122" t="str">
        <f t="shared" si="29"/>
        <v/>
      </c>
      <c r="W89" s="122" t="str">
        <f t="shared" si="29"/>
        <v/>
      </c>
      <c r="X89" s="122" t="str">
        <f t="shared" si="29"/>
        <v/>
      </c>
      <c r="Y89" s="122" t="str">
        <f t="shared" si="29"/>
        <v/>
      </c>
      <c r="Z89" s="122" t="str">
        <f t="shared" si="29"/>
        <v/>
      </c>
      <c r="AA89" s="122" t="str">
        <f t="shared" si="29"/>
        <v/>
      </c>
      <c r="AB89" s="122" t="str">
        <f t="shared" si="29"/>
        <v/>
      </c>
      <c r="AC89" s="193" t="str">
        <f t="shared" si="29"/>
        <v/>
      </c>
      <c r="AD89" s="212" t="str">
        <f t="shared" si="29"/>
        <v/>
      </c>
      <c r="AE89" s="213" t="str">
        <f t="shared" si="29"/>
        <v/>
      </c>
      <c r="AF89" s="193" t="str">
        <f t="shared" si="27"/>
        <v/>
      </c>
    </row>
    <row r="90" spans="2:32" x14ac:dyDescent="0.25">
      <c r="B90" s="201" t="str">
        <f>IF(Stand!C52="","",Stand!C52)</f>
        <v/>
      </c>
      <c r="C90" s="208" t="str" cm="1">
        <f t="array" ref="C90">IF(SUM(IF(B90=Stand_Biomass!$B$4:$B$30,Stand_Biomass!$C$4:$C$30))&gt;0,SUM(IF(B90=Stand_Biomass!$B$4:$B$30,Stand_Biomass!$C$4:$C$30)),"")</f>
        <v/>
      </c>
      <c r="D90" s="209" t="str">
        <f>IF(B90="","",VLOOKUP($B90,Stand!$C:$G,5,0))</f>
        <v/>
      </c>
      <c r="E90" s="28"/>
      <c r="F90" s="157" t="str">
        <f>IF($B90="","",IF(F$39="","",IF(F$39="Snag",(SUMIFS(Tree!$AE:$AE,Tree!$A:$A,$B90,Tree!$F:$F,"D",Tree!$K:$K,"&lt;&gt;"&amp;"Y")/$C90),(SUMIFS(Tree!$AE:$AE,Tree!$A:$A,$B90,Tree!$D:$D,F$39,Tree!$F:$F,"L",Tree!$K:$K,"&lt;&gt;"&amp;"Y")/$C90))))</f>
        <v/>
      </c>
      <c r="G90" s="122" t="str">
        <f>IF($B90="","",IF(G$39="","",IF(G$39="Snag",(SUMIFS(Tree!$AE:$AE,Tree!$A:$A,$B90,Tree!$F:$F,"D",Tree!$K:$K,"&lt;&gt;"&amp;"Y")/$C90),(SUMIFS(Tree!$AE:$AE,Tree!$A:$A,$B90,Tree!$D:$D,G$39,Tree!$F:$F,"L",Tree!$K:$K,"&lt;&gt;"&amp;"Y")/$C90))))</f>
        <v/>
      </c>
      <c r="H90" s="122" t="str">
        <f>IF($B90="","",IF(H$39="","",IF(H$39="Snag",(SUMIFS(Tree!$AE:$AE,Tree!$A:$A,$B90,Tree!$F:$F,"D",Tree!$K:$K,"&lt;&gt;"&amp;"Y")/$C90),(SUMIFS(Tree!$AE:$AE,Tree!$A:$A,$B90,Tree!$D:$D,H$39,Tree!$F:$F,"L",Tree!$K:$K,"&lt;&gt;"&amp;"Y")/$C90))))</f>
        <v/>
      </c>
      <c r="I90" s="122" t="str">
        <f>IF($B90="","",IF(I$39="","",IF(I$39="Snag",(SUMIFS(Tree!$AE:$AE,Tree!$A:$A,$B90,Tree!$F:$F,"D",Tree!$K:$K,"&lt;&gt;"&amp;"Y")/$C90),(SUMIFS(Tree!$AE:$AE,Tree!$A:$A,$B90,Tree!$D:$D,I$39,Tree!$F:$F,"L",Tree!$K:$K,"&lt;&gt;"&amp;"Y")/$C90))))</f>
        <v/>
      </c>
      <c r="J90" s="122" t="str">
        <f>IF($B90="","",IF(J$39="","",IF(J$39="Snag",(SUMIFS(Tree!$AE:$AE,Tree!$A:$A,$B90,Tree!$F:$F,"D",Tree!$K:$K,"&lt;&gt;"&amp;"Y")/$C90),(SUMIFS(Tree!$AE:$AE,Tree!$A:$A,$B90,Tree!$D:$D,J$39,Tree!$F:$F,"L",Tree!$K:$K,"&lt;&gt;"&amp;"Y")/$C90))))</f>
        <v/>
      </c>
      <c r="K90" s="122" t="str">
        <f>IF($B90="","",IF(K$39="","",IF(K$39="Snag",(SUMIFS(Tree!$AE:$AE,Tree!$A:$A,$B90,Tree!$F:$F,"D",Tree!$K:$K,"&lt;&gt;"&amp;"Y")/$C90),(SUMIFS(Tree!$AE:$AE,Tree!$A:$A,$B90,Tree!$D:$D,K$39,Tree!$F:$F,"L",Tree!$K:$K,"&lt;&gt;"&amp;"Y")/$C90))))</f>
        <v/>
      </c>
      <c r="L90" s="122" t="str">
        <f>IF($B90="","",IF(L$39="","",IF(L$39="Snag",(SUMIFS(Tree!$AE:$AE,Tree!$A:$A,$B90,Tree!$F:$F,"D",Tree!$K:$K,"&lt;&gt;"&amp;"Y")/$C90),(SUMIFS(Tree!$AE:$AE,Tree!$A:$A,$B90,Tree!$D:$D,L$39,Tree!$F:$F,"L",Tree!$K:$K,"&lt;&gt;"&amp;"Y")/$C90))))</f>
        <v/>
      </c>
      <c r="M90" s="122" t="str">
        <f>IF($B90="","",IF(M$39="","",IF(M$39="Snag",(SUMIFS(Tree!$AE:$AE,Tree!$A:$A,$B90,Tree!$F:$F,"D",Tree!$K:$K,"&lt;&gt;"&amp;"Y")/$C90),(SUMIFS(Tree!$AE:$AE,Tree!$A:$A,$B90,Tree!$D:$D,M$39,Tree!$F:$F,"L",Tree!$K:$K,"&lt;&gt;"&amp;"Y")/$C90))))</f>
        <v/>
      </c>
      <c r="N90" s="122" t="str">
        <f>IF($B90="","",IF(N$39="","",IF(N$39="Snag",(SUMIFS(Tree!$AE:$AE,Tree!$A:$A,$B90,Tree!$F:$F,"D",Tree!$K:$K,"&lt;&gt;"&amp;"Y")/$C90),(SUMIFS(Tree!$AE:$AE,Tree!$A:$A,$B90,Tree!$D:$D,N$39,Tree!$F:$F,"L",Tree!$K:$K,"&lt;&gt;"&amp;"Y")/$C90))))</f>
        <v/>
      </c>
      <c r="O90" s="193" t="str">
        <f t="shared" si="28"/>
        <v/>
      </c>
      <c r="P90" s="441" t="str">
        <f>IF($B90="","",IF(P$39="","",IF(P$39="Snag",(SUMIFS(Tree!$AQ:$AQ,Tree!$A:$A,$B90,Tree!$F:$F,"D",Tree!$K:$K,"&lt;&gt;"&amp;"Y")/$C90),(SUMIFS(Tree!$AQ:$AQ,Tree!$A:$A,$B90,Tree!$D:$D,P$39,Tree!$F:$F,"L",Tree!$K:$K,"&lt;&gt;"&amp;"Y")/$C90))))</f>
        <v/>
      </c>
      <c r="Q90" s="445" t="str">
        <f>IF(B90="","",VLOOKUP(B90,#REF!,12,0))</f>
        <v/>
      </c>
      <c r="R90" s="448" t="str">
        <f>IF(B90="","",VLOOKUP($B90,#REF!,20,0))</f>
        <v/>
      </c>
      <c r="S90" s="86"/>
      <c r="T90" s="157" t="str">
        <f t="shared" si="29"/>
        <v/>
      </c>
      <c r="U90" s="122" t="str">
        <f t="shared" si="29"/>
        <v/>
      </c>
      <c r="V90" s="122" t="str">
        <f t="shared" si="29"/>
        <v/>
      </c>
      <c r="W90" s="122" t="str">
        <f t="shared" si="29"/>
        <v/>
      </c>
      <c r="X90" s="122" t="str">
        <f t="shared" si="29"/>
        <v/>
      </c>
      <c r="Y90" s="122" t="str">
        <f t="shared" si="29"/>
        <v/>
      </c>
      <c r="Z90" s="122" t="str">
        <f t="shared" si="29"/>
        <v/>
      </c>
      <c r="AA90" s="122" t="str">
        <f t="shared" si="29"/>
        <v/>
      </c>
      <c r="AB90" s="122" t="str">
        <f t="shared" si="29"/>
        <v/>
      </c>
      <c r="AC90" s="193" t="str">
        <f t="shared" si="29"/>
        <v/>
      </c>
      <c r="AD90" s="212" t="str">
        <f t="shared" si="29"/>
        <v/>
      </c>
      <c r="AE90" s="213" t="str">
        <f t="shared" si="29"/>
        <v/>
      </c>
      <c r="AF90" s="193" t="str">
        <f t="shared" si="27"/>
        <v/>
      </c>
    </row>
    <row r="91" spans="2:32" x14ac:dyDescent="0.25">
      <c r="B91" s="201" t="str">
        <f>IF(Stand!C53="","",Stand!C53)</f>
        <v/>
      </c>
      <c r="C91" s="208" t="str" cm="1">
        <f t="array" ref="C91">IF(SUM(IF(B91=Stand_Biomass!$B$4:$B$30,Stand_Biomass!$C$4:$C$30))&gt;0,SUM(IF(B91=Stand_Biomass!$B$4:$B$30,Stand_Biomass!$C$4:$C$30)),"")</f>
        <v/>
      </c>
      <c r="D91" s="209" t="str">
        <f>IF(B91="","",VLOOKUP($B91,Stand!$C:$G,5,0))</f>
        <v/>
      </c>
      <c r="E91" s="28"/>
      <c r="F91" s="157" t="str">
        <f>IF($B91="","",IF(F$39="","",IF(F$39="Snag",(SUMIFS(Tree!$AE:$AE,Tree!$A:$A,$B91,Tree!$F:$F,"D",Tree!$K:$K,"&lt;&gt;"&amp;"Y")/$C91),(SUMIFS(Tree!$AE:$AE,Tree!$A:$A,$B91,Tree!$D:$D,F$39,Tree!$F:$F,"L",Tree!$K:$K,"&lt;&gt;"&amp;"Y")/$C91))))</f>
        <v/>
      </c>
      <c r="G91" s="122" t="str">
        <f>IF($B91="","",IF(G$39="","",IF(G$39="Snag",(SUMIFS(Tree!$AE:$AE,Tree!$A:$A,$B91,Tree!$F:$F,"D",Tree!$K:$K,"&lt;&gt;"&amp;"Y")/$C91),(SUMIFS(Tree!$AE:$AE,Tree!$A:$A,$B91,Tree!$D:$D,G$39,Tree!$F:$F,"L",Tree!$K:$K,"&lt;&gt;"&amp;"Y")/$C91))))</f>
        <v/>
      </c>
      <c r="H91" s="122" t="str">
        <f>IF($B91="","",IF(H$39="","",IF(H$39="Snag",(SUMIFS(Tree!$AE:$AE,Tree!$A:$A,$B91,Tree!$F:$F,"D",Tree!$K:$K,"&lt;&gt;"&amp;"Y")/$C91),(SUMIFS(Tree!$AE:$AE,Tree!$A:$A,$B91,Tree!$D:$D,H$39,Tree!$F:$F,"L",Tree!$K:$K,"&lt;&gt;"&amp;"Y")/$C91))))</f>
        <v/>
      </c>
      <c r="I91" s="122" t="str">
        <f>IF($B91="","",IF(I$39="","",IF(I$39="Snag",(SUMIFS(Tree!$AE:$AE,Tree!$A:$A,$B91,Tree!$F:$F,"D",Tree!$K:$K,"&lt;&gt;"&amp;"Y")/$C91),(SUMIFS(Tree!$AE:$AE,Tree!$A:$A,$B91,Tree!$D:$D,I$39,Tree!$F:$F,"L",Tree!$K:$K,"&lt;&gt;"&amp;"Y")/$C91))))</f>
        <v/>
      </c>
      <c r="J91" s="122" t="str">
        <f>IF($B91="","",IF(J$39="","",IF(J$39="Snag",(SUMIFS(Tree!$AE:$AE,Tree!$A:$A,$B91,Tree!$F:$F,"D",Tree!$K:$K,"&lt;&gt;"&amp;"Y")/$C91),(SUMIFS(Tree!$AE:$AE,Tree!$A:$A,$B91,Tree!$D:$D,J$39,Tree!$F:$F,"L",Tree!$K:$K,"&lt;&gt;"&amp;"Y")/$C91))))</f>
        <v/>
      </c>
      <c r="K91" s="122" t="str">
        <f>IF($B91="","",IF(K$39="","",IF(K$39="Snag",(SUMIFS(Tree!$AE:$AE,Tree!$A:$A,$B91,Tree!$F:$F,"D",Tree!$K:$K,"&lt;&gt;"&amp;"Y")/$C91),(SUMIFS(Tree!$AE:$AE,Tree!$A:$A,$B91,Tree!$D:$D,K$39,Tree!$F:$F,"L",Tree!$K:$K,"&lt;&gt;"&amp;"Y")/$C91))))</f>
        <v/>
      </c>
      <c r="L91" s="122" t="str">
        <f>IF($B91="","",IF(L$39="","",IF(L$39="Snag",(SUMIFS(Tree!$AE:$AE,Tree!$A:$A,$B91,Tree!$F:$F,"D",Tree!$K:$K,"&lt;&gt;"&amp;"Y")/$C91),(SUMIFS(Tree!$AE:$AE,Tree!$A:$A,$B91,Tree!$D:$D,L$39,Tree!$F:$F,"L",Tree!$K:$K,"&lt;&gt;"&amp;"Y")/$C91))))</f>
        <v/>
      </c>
      <c r="M91" s="122" t="str">
        <f>IF($B91="","",IF(M$39="","",IF(M$39="Snag",(SUMIFS(Tree!$AE:$AE,Tree!$A:$A,$B91,Tree!$F:$F,"D",Tree!$K:$K,"&lt;&gt;"&amp;"Y")/$C91),(SUMIFS(Tree!$AE:$AE,Tree!$A:$A,$B91,Tree!$D:$D,M$39,Tree!$F:$F,"L",Tree!$K:$K,"&lt;&gt;"&amp;"Y")/$C91))))</f>
        <v/>
      </c>
      <c r="N91" s="122" t="str">
        <f>IF($B91="","",IF(N$39="","",IF(N$39="Snag",(SUMIFS(Tree!$AE:$AE,Tree!$A:$A,$B91,Tree!$F:$F,"D",Tree!$K:$K,"&lt;&gt;"&amp;"Y")/$C91),(SUMIFS(Tree!$AE:$AE,Tree!$A:$A,$B91,Tree!$D:$D,N$39,Tree!$F:$F,"L",Tree!$K:$K,"&lt;&gt;"&amp;"Y")/$C91))))</f>
        <v/>
      </c>
      <c r="O91" s="193" t="str">
        <f t="shared" si="28"/>
        <v/>
      </c>
      <c r="P91" s="441" t="str">
        <f>IF($B91="","",IF(P$39="","",IF(P$39="Snag",(SUMIFS(Tree!$AQ:$AQ,Tree!$A:$A,$B91,Tree!$F:$F,"D",Tree!$K:$K,"&lt;&gt;"&amp;"Y")/$C91),(SUMIFS(Tree!$AQ:$AQ,Tree!$A:$A,$B91,Tree!$D:$D,P$39,Tree!$F:$F,"L",Tree!$K:$K,"&lt;&gt;"&amp;"Y")/$C91))))</f>
        <v/>
      </c>
      <c r="Q91" s="445" t="str">
        <f>IF(B91="","",VLOOKUP(B91,#REF!,12,0))</f>
        <v/>
      </c>
      <c r="R91" s="448" t="str">
        <f>IF(B91="","",VLOOKUP($B91,#REF!,20,0))</f>
        <v/>
      </c>
      <c r="S91" s="86"/>
      <c r="T91" s="157" t="str">
        <f t="shared" si="29"/>
        <v/>
      </c>
      <c r="U91" s="122" t="str">
        <f t="shared" si="29"/>
        <v/>
      </c>
      <c r="V91" s="122" t="str">
        <f t="shared" si="29"/>
        <v/>
      </c>
      <c r="W91" s="122" t="str">
        <f t="shared" si="29"/>
        <v/>
      </c>
      <c r="X91" s="122" t="str">
        <f t="shared" si="29"/>
        <v/>
      </c>
      <c r="Y91" s="122" t="str">
        <f t="shared" si="29"/>
        <v/>
      </c>
      <c r="Z91" s="122" t="str">
        <f t="shared" si="29"/>
        <v/>
      </c>
      <c r="AA91" s="122" t="str">
        <f t="shared" si="29"/>
        <v/>
      </c>
      <c r="AB91" s="122" t="str">
        <f t="shared" si="29"/>
        <v/>
      </c>
      <c r="AC91" s="193" t="str">
        <f t="shared" si="29"/>
        <v/>
      </c>
      <c r="AD91" s="212" t="str">
        <f t="shared" si="29"/>
        <v/>
      </c>
      <c r="AE91" s="213" t="str">
        <f t="shared" si="29"/>
        <v/>
      </c>
      <c r="AF91" s="193" t="str">
        <f t="shared" si="27"/>
        <v/>
      </c>
    </row>
    <row r="92" spans="2:32" x14ac:dyDescent="0.25">
      <c r="B92" s="201" t="str">
        <f>IF(Stand!C54="","",Stand!C54)</f>
        <v/>
      </c>
      <c r="C92" s="208" t="str" cm="1">
        <f t="array" ref="C92">IF(SUM(IF(B92=Stand_Biomass!$B$4:$B$30,Stand_Biomass!$C$4:$C$30))&gt;0,SUM(IF(B92=Stand_Biomass!$B$4:$B$30,Stand_Biomass!$C$4:$C$30)),"")</f>
        <v/>
      </c>
      <c r="D92" s="209" t="str">
        <f>IF(B92="","",VLOOKUP($B92,Stand!$C:$G,5,0))</f>
        <v/>
      </c>
      <c r="E92" s="28"/>
      <c r="F92" s="157" t="str">
        <f>IF($B92="","",IF(F$39="","",IF(F$39="Snag",(SUMIFS(Tree!$AE:$AE,Tree!$A:$A,$B92,Tree!$F:$F,"D",Tree!$K:$K,"&lt;&gt;"&amp;"Y")/$C92),(SUMIFS(Tree!$AE:$AE,Tree!$A:$A,$B92,Tree!$D:$D,F$39,Tree!$F:$F,"L",Tree!$K:$K,"&lt;&gt;"&amp;"Y")/$C92))))</f>
        <v/>
      </c>
      <c r="G92" s="122" t="str">
        <f>IF($B92="","",IF(G$39="","",IF(G$39="Snag",(SUMIFS(Tree!$AE:$AE,Tree!$A:$A,$B92,Tree!$F:$F,"D",Tree!$K:$K,"&lt;&gt;"&amp;"Y")/$C92),(SUMIFS(Tree!$AE:$AE,Tree!$A:$A,$B92,Tree!$D:$D,G$39,Tree!$F:$F,"L",Tree!$K:$K,"&lt;&gt;"&amp;"Y")/$C92))))</f>
        <v/>
      </c>
      <c r="H92" s="122" t="str">
        <f>IF($B92="","",IF(H$39="","",IF(H$39="Snag",(SUMIFS(Tree!$AE:$AE,Tree!$A:$A,$B92,Tree!$F:$F,"D",Tree!$K:$K,"&lt;&gt;"&amp;"Y")/$C92),(SUMIFS(Tree!$AE:$AE,Tree!$A:$A,$B92,Tree!$D:$D,H$39,Tree!$F:$F,"L",Tree!$K:$K,"&lt;&gt;"&amp;"Y")/$C92))))</f>
        <v/>
      </c>
      <c r="I92" s="122" t="str">
        <f>IF($B92="","",IF(I$39="","",IF(I$39="Snag",(SUMIFS(Tree!$AE:$AE,Tree!$A:$A,$B92,Tree!$F:$F,"D",Tree!$K:$K,"&lt;&gt;"&amp;"Y")/$C92),(SUMIFS(Tree!$AE:$AE,Tree!$A:$A,$B92,Tree!$D:$D,I$39,Tree!$F:$F,"L",Tree!$K:$K,"&lt;&gt;"&amp;"Y")/$C92))))</f>
        <v/>
      </c>
      <c r="J92" s="122" t="str">
        <f>IF($B92="","",IF(J$39="","",IF(J$39="Snag",(SUMIFS(Tree!$AE:$AE,Tree!$A:$A,$B92,Tree!$F:$F,"D",Tree!$K:$K,"&lt;&gt;"&amp;"Y")/$C92),(SUMIFS(Tree!$AE:$AE,Tree!$A:$A,$B92,Tree!$D:$D,J$39,Tree!$F:$F,"L",Tree!$K:$K,"&lt;&gt;"&amp;"Y")/$C92))))</f>
        <v/>
      </c>
      <c r="K92" s="122" t="str">
        <f>IF($B92="","",IF(K$39="","",IF(K$39="Snag",(SUMIFS(Tree!$AE:$AE,Tree!$A:$A,$B92,Tree!$F:$F,"D",Tree!$K:$K,"&lt;&gt;"&amp;"Y")/$C92),(SUMIFS(Tree!$AE:$AE,Tree!$A:$A,$B92,Tree!$D:$D,K$39,Tree!$F:$F,"L",Tree!$K:$K,"&lt;&gt;"&amp;"Y")/$C92))))</f>
        <v/>
      </c>
      <c r="L92" s="122" t="str">
        <f>IF($B92="","",IF(L$39="","",IF(L$39="Snag",(SUMIFS(Tree!$AE:$AE,Tree!$A:$A,$B92,Tree!$F:$F,"D",Tree!$K:$K,"&lt;&gt;"&amp;"Y")/$C92),(SUMIFS(Tree!$AE:$AE,Tree!$A:$A,$B92,Tree!$D:$D,L$39,Tree!$F:$F,"L",Tree!$K:$K,"&lt;&gt;"&amp;"Y")/$C92))))</f>
        <v/>
      </c>
      <c r="M92" s="122" t="str">
        <f>IF($B92="","",IF(M$39="","",IF(M$39="Snag",(SUMIFS(Tree!$AE:$AE,Tree!$A:$A,$B92,Tree!$F:$F,"D",Tree!$K:$K,"&lt;&gt;"&amp;"Y")/$C92),(SUMIFS(Tree!$AE:$AE,Tree!$A:$A,$B92,Tree!$D:$D,M$39,Tree!$F:$F,"L",Tree!$K:$K,"&lt;&gt;"&amp;"Y")/$C92))))</f>
        <v/>
      </c>
      <c r="N92" s="122" t="str">
        <f>IF($B92="","",IF(N$39="","",IF(N$39="Snag",(SUMIFS(Tree!$AE:$AE,Tree!$A:$A,$B92,Tree!$F:$F,"D",Tree!$K:$K,"&lt;&gt;"&amp;"Y")/$C92),(SUMIFS(Tree!$AE:$AE,Tree!$A:$A,$B92,Tree!$D:$D,N$39,Tree!$F:$F,"L",Tree!$K:$K,"&lt;&gt;"&amp;"Y")/$C92))))</f>
        <v/>
      </c>
      <c r="O92" s="193" t="str">
        <f t="shared" si="28"/>
        <v/>
      </c>
      <c r="P92" s="441" t="str">
        <f>IF($B92="","",IF(P$39="","",IF(P$39="Snag",(SUMIFS(Tree!$AQ:$AQ,Tree!$A:$A,$B92,Tree!$F:$F,"D",Tree!$K:$K,"&lt;&gt;"&amp;"Y")/$C92),(SUMIFS(Tree!$AQ:$AQ,Tree!$A:$A,$B92,Tree!$D:$D,P$39,Tree!$F:$F,"L",Tree!$K:$K,"&lt;&gt;"&amp;"Y")/$C92))))</f>
        <v/>
      </c>
      <c r="Q92" s="445" t="str">
        <f>IF(B92="","",VLOOKUP(B92,#REF!,12,0))</f>
        <v/>
      </c>
      <c r="R92" s="448" t="str">
        <f>IF(B92="","",VLOOKUP($B92,#REF!,20,0))</f>
        <v/>
      </c>
      <c r="S92" s="86"/>
      <c r="T92" s="157" t="str">
        <f t="shared" si="29"/>
        <v/>
      </c>
      <c r="U92" s="122" t="str">
        <f t="shared" si="29"/>
        <v/>
      </c>
      <c r="V92" s="122" t="str">
        <f t="shared" si="29"/>
        <v/>
      </c>
      <c r="W92" s="122" t="str">
        <f t="shared" si="29"/>
        <v/>
      </c>
      <c r="X92" s="122" t="str">
        <f t="shared" si="29"/>
        <v/>
      </c>
      <c r="Y92" s="122" t="str">
        <f t="shared" si="29"/>
        <v/>
      </c>
      <c r="Z92" s="122" t="str">
        <f t="shared" si="29"/>
        <v/>
      </c>
      <c r="AA92" s="122" t="str">
        <f t="shared" si="29"/>
        <v/>
      </c>
      <c r="AB92" s="122" t="str">
        <f t="shared" si="29"/>
        <v/>
      </c>
      <c r="AC92" s="193" t="str">
        <f t="shared" si="29"/>
        <v/>
      </c>
      <c r="AD92" s="212" t="str">
        <f t="shared" si="29"/>
        <v/>
      </c>
      <c r="AE92" s="213" t="str">
        <f t="shared" si="29"/>
        <v/>
      </c>
      <c r="AF92" s="193" t="str">
        <f t="shared" si="27"/>
        <v/>
      </c>
    </row>
    <row r="93" spans="2:32" x14ac:dyDescent="0.25">
      <c r="B93" s="201" t="str">
        <f>IF(Stand!C55="","",Stand!C55)</f>
        <v/>
      </c>
      <c r="C93" s="208" t="str" cm="1">
        <f t="array" ref="C93">IF(SUM(IF(B93=Stand_Biomass!$B$4:$B$30,Stand_Biomass!$C$4:$C$30))&gt;0,SUM(IF(B93=Stand_Biomass!$B$4:$B$30,Stand_Biomass!$C$4:$C$30)),"")</f>
        <v/>
      </c>
      <c r="D93" s="209" t="str">
        <f>IF(B93="","",VLOOKUP($B93,Stand!$C:$G,5,0))</f>
        <v/>
      </c>
      <c r="E93" s="28"/>
      <c r="F93" s="157" t="str">
        <f>IF($B93="","",IF(F$39="","",IF(F$39="Snag",(SUMIFS(Tree!$AE:$AE,Tree!$A:$A,$B93,Tree!$F:$F,"D",Tree!$K:$K,"&lt;&gt;"&amp;"Y")/$C93),(SUMIFS(Tree!$AE:$AE,Tree!$A:$A,$B93,Tree!$D:$D,F$39,Tree!$F:$F,"L",Tree!$K:$K,"&lt;&gt;"&amp;"Y")/$C93))))</f>
        <v/>
      </c>
      <c r="G93" s="122" t="str">
        <f>IF($B93="","",IF(G$39="","",IF(G$39="Snag",(SUMIFS(Tree!$AE:$AE,Tree!$A:$A,$B93,Tree!$F:$F,"D",Tree!$K:$K,"&lt;&gt;"&amp;"Y")/$C93),(SUMIFS(Tree!$AE:$AE,Tree!$A:$A,$B93,Tree!$D:$D,G$39,Tree!$F:$F,"L",Tree!$K:$K,"&lt;&gt;"&amp;"Y")/$C93))))</f>
        <v/>
      </c>
      <c r="H93" s="122" t="str">
        <f>IF($B93="","",IF(H$39="","",IF(H$39="Snag",(SUMIFS(Tree!$AE:$AE,Tree!$A:$A,$B93,Tree!$F:$F,"D",Tree!$K:$K,"&lt;&gt;"&amp;"Y")/$C93),(SUMIFS(Tree!$AE:$AE,Tree!$A:$A,$B93,Tree!$D:$D,H$39,Tree!$F:$F,"L",Tree!$K:$K,"&lt;&gt;"&amp;"Y")/$C93))))</f>
        <v/>
      </c>
      <c r="I93" s="122" t="str">
        <f>IF($B93="","",IF(I$39="","",IF(I$39="Snag",(SUMIFS(Tree!$AE:$AE,Tree!$A:$A,$B93,Tree!$F:$F,"D",Tree!$K:$K,"&lt;&gt;"&amp;"Y")/$C93),(SUMIFS(Tree!$AE:$AE,Tree!$A:$A,$B93,Tree!$D:$D,I$39,Tree!$F:$F,"L",Tree!$K:$K,"&lt;&gt;"&amp;"Y")/$C93))))</f>
        <v/>
      </c>
      <c r="J93" s="122" t="str">
        <f>IF($B93="","",IF(J$39="","",IF(J$39="Snag",(SUMIFS(Tree!$AE:$AE,Tree!$A:$A,$B93,Tree!$F:$F,"D",Tree!$K:$K,"&lt;&gt;"&amp;"Y")/$C93),(SUMIFS(Tree!$AE:$AE,Tree!$A:$A,$B93,Tree!$D:$D,J$39,Tree!$F:$F,"L",Tree!$K:$K,"&lt;&gt;"&amp;"Y")/$C93))))</f>
        <v/>
      </c>
      <c r="K93" s="122" t="str">
        <f>IF($B93="","",IF(K$39="","",IF(K$39="Snag",(SUMIFS(Tree!$AE:$AE,Tree!$A:$A,$B93,Tree!$F:$F,"D",Tree!$K:$K,"&lt;&gt;"&amp;"Y")/$C93),(SUMIFS(Tree!$AE:$AE,Tree!$A:$A,$B93,Tree!$D:$D,K$39,Tree!$F:$F,"L",Tree!$K:$K,"&lt;&gt;"&amp;"Y")/$C93))))</f>
        <v/>
      </c>
      <c r="L93" s="122" t="str">
        <f>IF($B93="","",IF(L$39="","",IF(L$39="Snag",(SUMIFS(Tree!$AE:$AE,Tree!$A:$A,$B93,Tree!$F:$F,"D",Tree!$K:$K,"&lt;&gt;"&amp;"Y")/$C93),(SUMIFS(Tree!$AE:$AE,Tree!$A:$A,$B93,Tree!$D:$D,L$39,Tree!$F:$F,"L",Tree!$K:$K,"&lt;&gt;"&amp;"Y")/$C93))))</f>
        <v/>
      </c>
      <c r="M93" s="122" t="str">
        <f>IF($B93="","",IF(M$39="","",IF(M$39="Snag",(SUMIFS(Tree!$AE:$AE,Tree!$A:$A,$B93,Tree!$F:$F,"D",Tree!$K:$K,"&lt;&gt;"&amp;"Y")/$C93),(SUMIFS(Tree!$AE:$AE,Tree!$A:$A,$B93,Tree!$D:$D,M$39,Tree!$F:$F,"L",Tree!$K:$K,"&lt;&gt;"&amp;"Y")/$C93))))</f>
        <v/>
      </c>
      <c r="N93" s="122" t="str">
        <f>IF($B93="","",IF(N$39="","",IF(N$39="Snag",(SUMIFS(Tree!$AE:$AE,Tree!$A:$A,$B93,Tree!$F:$F,"D",Tree!$K:$K,"&lt;&gt;"&amp;"Y")/$C93),(SUMIFS(Tree!$AE:$AE,Tree!$A:$A,$B93,Tree!$D:$D,N$39,Tree!$F:$F,"L",Tree!$K:$K,"&lt;&gt;"&amp;"Y")/$C93))))</f>
        <v/>
      </c>
      <c r="O93" s="193" t="str">
        <f t="shared" si="28"/>
        <v/>
      </c>
      <c r="P93" s="441" t="str">
        <f>IF($B93="","",IF(P$39="","",IF(P$39="Snag",(SUMIFS(Tree!$AQ:$AQ,Tree!$A:$A,$B93,Tree!$F:$F,"D",Tree!$K:$K,"&lt;&gt;"&amp;"Y")/$C93),(SUMIFS(Tree!$AQ:$AQ,Tree!$A:$A,$B93,Tree!$D:$D,P$39,Tree!$F:$F,"L",Tree!$K:$K,"&lt;&gt;"&amp;"Y")/$C93))))</f>
        <v/>
      </c>
      <c r="Q93" s="445" t="str">
        <f>IF(B93="","",VLOOKUP(B93,#REF!,12,0))</f>
        <v/>
      </c>
      <c r="R93" s="448" t="str">
        <f>IF(B93="","",VLOOKUP($B93,#REF!,20,0))</f>
        <v/>
      </c>
      <c r="S93" s="86"/>
      <c r="T93" s="157" t="str">
        <f t="shared" si="29"/>
        <v/>
      </c>
      <c r="U93" s="122" t="str">
        <f t="shared" si="29"/>
        <v/>
      </c>
      <c r="V93" s="122" t="str">
        <f t="shared" si="29"/>
        <v/>
      </c>
      <c r="W93" s="122" t="str">
        <f t="shared" si="29"/>
        <v/>
      </c>
      <c r="X93" s="122" t="str">
        <f t="shared" si="29"/>
        <v/>
      </c>
      <c r="Y93" s="122" t="str">
        <f t="shared" si="29"/>
        <v/>
      </c>
      <c r="Z93" s="122" t="str">
        <f t="shared" si="29"/>
        <v/>
      </c>
      <c r="AA93" s="122" t="str">
        <f t="shared" si="29"/>
        <v/>
      </c>
      <c r="AB93" s="122" t="str">
        <f t="shared" si="29"/>
        <v/>
      </c>
      <c r="AC93" s="193" t="str">
        <f t="shared" si="29"/>
        <v/>
      </c>
      <c r="AD93" s="212" t="str">
        <f t="shared" si="29"/>
        <v/>
      </c>
      <c r="AE93" s="213" t="str">
        <f t="shared" si="29"/>
        <v/>
      </c>
      <c r="AF93" s="193" t="str">
        <f t="shared" si="27"/>
        <v/>
      </c>
    </row>
    <row r="94" spans="2:32" x14ac:dyDescent="0.25">
      <c r="B94" s="201" t="str">
        <f>IF(Stand!C56="","",Stand!C56)</f>
        <v/>
      </c>
      <c r="C94" s="208" t="str" cm="1">
        <f t="array" ref="C94">IF(SUM(IF(B94=Stand_Biomass!$B$4:$B$30,Stand_Biomass!$C$4:$C$30))&gt;0,SUM(IF(B94=Stand_Biomass!$B$4:$B$30,Stand_Biomass!$C$4:$C$30)),"")</f>
        <v/>
      </c>
      <c r="D94" s="209" t="str">
        <f>IF(B94="","",VLOOKUP($B94,Stand!$C:$G,5,0))</f>
        <v/>
      </c>
      <c r="E94" s="28"/>
      <c r="F94" s="157" t="str">
        <f>IF($B94="","",IF(F$39="","",IF(F$39="Snag",(SUMIFS(Tree!$AE:$AE,Tree!$A:$A,$B94,Tree!$F:$F,"D",Tree!$K:$K,"&lt;&gt;"&amp;"Y")/$C94),(SUMIFS(Tree!$AE:$AE,Tree!$A:$A,$B94,Tree!$D:$D,F$39,Tree!$F:$F,"L",Tree!$K:$K,"&lt;&gt;"&amp;"Y")/$C94))))</f>
        <v/>
      </c>
      <c r="G94" s="122" t="str">
        <f>IF($B94="","",IF(G$39="","",IF(G$39="Snag",(SUMIFS(Tree!$AE:$AE,Tree!$A:$A,$B94,Tree!$F:$F,"D",Tree!$K:$K,"&lt;&gt;"&amp;"Y")/$C94),(SUMIFS(Tree!$AE:$AE,Tree!$A:$A,$B94,Tree!$D:$D,G$39,Tree!$F:$F,"L",Tree!$K:$K,"&lt;&gt;"&amp;"Y")/$C94))))</f>
        <v/>
      </c>
      <c r="H94" s="122" t="str">
        <f>IF($B94="","",IF(H$39="","",IF(H$39="Snag",(SUMIFS(Tree!$AE:$AE,Tree!$A:$A,$B94,Tree!$F:$F,"D",Tree!$K:$K,"&lt;&gt;"&amp;"Y")/$C94),(SUMIFS(Tree!$AE:$AE,Tree!$A:$A,$B94,Tree!$D:$D,H$39,Tree!$F:$F,"L",Tree!$K:$K,"&lt;&gt;"&amp;"Y")/$C94))))</f>
        <v/>
      </c>
      <c r="I94" s="122" t="str">
        <f>IF($B94="","",IF(I$39="","",IF(I$39="Snag",(SUMIFS(Tree!$AE:$AE,Tree!$A:$A,$B94,Tree!$F:$F,"D",Tree!$K:$K,"&lt;&gt;"&amp;"Y")/$C94),(SUMIFS(Tree!$AE:$AE,Tree!$A:$A,$B94,Tree!$D:$D,I$39,Tree!$F:$F,"L",Tree!$K:$K,"&lt;&gt;"&amp;"Y")/$C94))))</f>
        <v/>
      </c>
      <c r="J94" s="122" t="str">
        <f>IF($B94="","",IF(J$39="","",IF(J$39="Snag",(SUMIFS(Tree!$AE:$AE,Tree!$A:$A,$B94,Tree!$F:$F,"D",Tree!$K:$K,"&lt;&gt;"&amp;"Y")/$C94),(SUMIFS(Tree!$AE:$AE,Tree!$A:$A,$B94,Tree!$D:$D,J$39,Tree!$F:$F,"L",Tree!$K:$K,"&lt;&gt;"&amp;"Y")/$C94))))</f>
        <v/>
      </c>
      <c r="K94" s="122" t="str">
        <f>IF($B94="","",IF(K$39="","",IF(K$39="Snag",(SUMIFS(Tree!$AE:$AE,Tree!$A:$A,$B94,Tree!$F:$F,"D",Tree!$K:$K,"&lt;&gt;"&amp;"Y")/$C94),(SUMIFS(Tree!$AE:$AE,Tree!$A:$A,$B94,Tree!$D:$D,K$39,Tree!$F:$F,"L",Tree!$K:$K,"&lt;&gt;"&amp;"Y")/$C94))))</f>
        <v/>
      </c>
      <c r="L94" s="122" t="str">
        <f>IF($B94="","",IF(L$39="","",IF(L$39="Snag",(SUMIFS(Tree!$AE:$AE,Tree!$A:$A,$B94,Tree!$F:$F,"D",Tree!$K:$K,"&lt;&gt;"&amp;"Y")/$C94),(SUMIFS(Tree!$AE:$AE,Tree!$A:$A,$B94,Tree!$D:$D,L$39,Tree!$F:$F,"L",Tree!$K:$K,"&lt;&gt;"&amp;"Y")/$C94))))</f>
        <v/>
      </c>
      <c r="M94" s="122" t="str">
        <f>IF($B94="","",IF(M$39="","",IF(M$39="Snag",(SUMIFS(Tree!$AE:$AE,Tree!$A:$A,$B94,Tree!$F:$F,"D",Tree!$K:$K,"&lt;&gt;"&amp;"Y")/$C94),(SUMIFS(Tree!$AE:$AE,Tree!$A:$A,$B94,Tree!$D:$D,M$39,Tree!$F:$F,"L",Tree!$K:$K,"&lt;&gt;"&amp;"Y")/$C94))))</f>
        <v/>
      </c>
      <c r="N94" s="122" t="str">
        <f>IF($B94="","",IF(N$39="","",IF(N$39="Snag",(SUMIFS(Tree!$AE:$AE,Tree!$A:$A,$B94,Tree!$F:$F,"D",Tree!$K:$K,"&lt;&gt;"&amp;"Y")/$C94),(SUMIFS(Tree!$AE:$AE,Tree!$A:$A,$B94,Tree!$D:$D,N$39,Tree!$F:$F,"L",Tree!$K:$K,"&lt;&gt;"&amp;"Y")/$C94))))</f>
        <v/>
      </c>
      <c r="O94" s="193" t="str">
        <f t="shared" si="28"/>
        <v/>
      </c>
      <c r="P94" s="441" t="str">
        <f>IF($B94="","",IF(P$39="","",IF(P$39="Snag",(SUMIFS(Tree!$AQ:$AQ,Tree!$A:$A,$B94,Tree!$F:$F,"D",Tree!$K:$K,"&lt;&gt;"&amp;"Y")/$C94),(SUMIFS(Tree!$AQ:$AQ,Tree!$A:$A,$B94,Tree!$D:$D,P$39,Tree!$F:$F,"L",Tree!$K:$K,"&lt;&gt;"&amp;"Y")/$C94))))</f>
        <v/>
      </c>
      <c r="Q94" s="445" t="str">
        <f>IF(B94="","",VLOOKUP(B94,#REF!,12,0))</f>
        <v/>
      </c>
      <c r="R94" s="448" t="str">
        <f>IF(B94="","",VLOOKUP($B94,#REF!,20,0))</f>
        <v/>
      </c>
      <c r="S94" s="86"/>
      <c r="T94" s="157" t="str">
        <f t="shared" si="29"/>
        <v/>
      </c>
      <c r="U94" s="122" t="str">
        <f t="shared" si="29"/>
        <v/>
      </c>
      <c r="V94" s="122" t="str">
        <f t="shared" si="29"/>
        <v/>
      </c>
      <c r="W94" s="122" t="str">
        <f t="shared" si="29"/>
        <v/>
      </c>
      <c r="X94" s="122" t="str">
        <f t="shared" si="29"/>
        <v/>
      </c>
      <c r="Y94" s="122" t="str">
        <f t="shared" si="29"/>
        <v/>
      </c>
      <c r="Z94" s="122" t="str">
        <f t="shared" si="29"/>
        <v/>
      </c>
      <c r="AA94" s="122" t="str">
        <f t="shared" si="29"/>
        <v/>
      </c>
      <c r="AB94" s="122" t="str">
        <f t="shared" si="29"/>
        <v/>
      </c>
      <c r="AC94" s="193" t="str">
        <f t="shared" si="29"/>
        <v/>
      </c>
      <c r="AD94" s="212" t="str">
        <f t="shared" si="29"/>
        <v/>
      </c>
      <c r="AE94" s="213" t="str">
        <f t="shared" si="29"/>
        <v/>
      </c>
      <c r="AF94" s="193" t="str">
        <f t="shared" si="27"/>
        <v/>
      </c>
    </row>
    <row r="95" spans="2:32" x14ac:dyDescent="0.25">
      <c r="B95" s="201" t="str">
        <f>IF(Stand!C57="","",Stand!C57)</f>
        <v/>
      </c>
      <c r="C95" s="208" t="str" cm="1">
        <f t="array" ref="C95">IF(SUM(IF(B95=Stand_Biomass!$B$4:$B$30,Stand_Biomass!$C$4:$C$30))&gt;0,SUM(IF(B95=Stand_Biomass!$B$4:$B$30,Stand_Biomass!$C$4:$C$30)),"")</f>
        <v/>
      </c>
      <c r="D95" s="209" t="str">
        <f>IF(B95="","",VLOOKUP($B95,Stand!$C:$G,5,0))</f>
        <v/>
      </c>
      <c r="E95" s="28"/>
      <c r="F95" s="157" t="str">
        <f>IF($B95="","",IF(F$39="","",IF(F$39="Snag",(SUMIFS(Tree!$AE:$AE,Tree!$A:$A,$B95,Tree!$F:$F,"D",Tree!$K:$K,"&lt;&gt;"&amp;"Y")/$C95),(SUMIFS(Tree!$AE:$AE,Tree!$A:$A,$B95,Tree!$D:$D,F$39,Tree!$F:$F,"L",Tree!$K:$K,"&lt;&gt;"&amp;"Y")/$C95))))</f>
        <v/>
      </c>
      <c r="G95" s="122" t="str">
        <f>IF($B95="","",IF(G$39="","",IF(G$39="Snag",(SUMIFS(Tree!$AE:$AE,Tree!$A:$A,$B95,Tree!$F:$F,"D",Tree!$K:$K,"&lt;&gt;"&amp;"Y")/$C95),(SUMIFS(Tree!$AE:$AE,Tree!$A:$A,$B95,Tree!$D:$D,G$39,Tree!$F:$F,"L",Tree!$K:$K,"&lt;&gt;"&amp;"Y")/$C95))))</f>
        <v/>
      </c>
      <c r="H95" s="122" t="str">
        <f>IF($B95="","",IF(H$39="","",IF(H$39="Snag",(SUMIFS(Tree!$AE:$AE,Tree!$A:$A,$B95,Tree!$F:$F,"D",Tree!$K:$K,"&lt;&gt;"&amp;"Y")/$C95),(SUMIFS(Tree!$AE:$AE,Tree!$A:$A,$B95,Tree!$D:$D,H$39,Tree!$F:$F,"L",Tree!$K:$K,"&lt;&gt;"&amp;"Y")/$C95))))</f>
        <v/>
      </c>
      <c r="I95" s="122" t="str">
        <f>IF($B95="","",IF(I$39="","",IF(I$39="Snag",(SUMIFS(Tree!$AE:$AE,Tree!$A:$A,$B95,Tree!$F:$F,"D",Tree!$K:$K,"&lt;&gt;"&amp;"Y")/$C95),(SUMIFS(Tree!$AE:$AE,Tree!$A:$A,$B95,Tree!$D:$D,I$39,Tree!$F:$F,"L",Tree!$K:$K,"&lt;&gt;"&amp;"Y")/$C95))))</f>
        <v/>
      </c>
      <c r="J95" s="122" t="str">
        <f>IF($B95="","",IF(J$39="","",IF(J$39="Snag",(SUMIFS(Tree!$AE:$AE,Tree!$A:$A,$B95,Tree!$F:$F,"D",Tree!$K:$K,"&lt;&gt;"&amp;"Y")/$C95),(SUMIFS(Tree!$AE:$AE,Tree!$A:$A,$B95,Tree!$D:$D,J$39,Tree!$F:$F,"L",Tree!$K:$K,"&lt;&gt;"&amp;"Y")/$C95))))</f>
        <v/>
      </c>
      <c r="K95" s="122" t="str">
        <f>IF($B95="","",IF(K$39="","",IF(K$39="Snag",(SUMIFS(Tree!$AE:$AE,Tree!$A:$A,$B95,Tree!$F:$F,"D",Tree!$K:$K,"&lt;&gt;"&amp;"Y")/$C95),(SUMIFS(Tree!$AE:$AE,Tree!$A:$A,$B95,Tree!$D:$D,K$39,Tree!$F:$F,"L",Tree!$K:$K,"&lt;&gt;"&amp;"Y")/$C95))))</f>
        <v/>
      </c>
      <c r="L95" s="122" t="str">
        <f>IF($B95="","",IF(L$39="","",IF(L$39="Snag",(SUMIFS(Tree!$AE:$AE,Tree!$A:$A,$B95,Tree!$F:$F,"D",Tree!$K:$K,"&lt;&gt;"&amp;"Y")/$C95),(SUMIFS(Tree!$AE:$AE,Tree!$A:$A,$B95,Tree!$D:$D,L$39,Tree!$F:$F,"L",Tree!$K:$K,"&lt;&gt;"&amp;"Y")/$C95))))</f>
        <v/>
      </c>
      <c r="M95" s="122" t="str">
        <f>IF($B95="","",IF(M$39="","",IF(M$39="Snag",(SUMIFS(Tree!$AE:$AE,Tree!$A:$A,$B95,Tree!$F:$F,"D",Tree!$K:$K,"&lt;&gt;"&amp;"Y")/$C95),(SUMIFS(Tree!$AE:$AE,Tree!$A:$A,$B95,Tree!$D:$D,M$39,Tree!$F:$F,"L",Tree!$K:$K,"&lt;&gt;"&amp;"Y")/$C95))))</f>
        <v/>
      </c>
      <c r="N95" s="122" t="str">
        <f>IF($B95="","",IF(N$39="","",IF(N$39="Snag",(SUMIFS(Tree!$AE:$AE,Tree!$A:$A,$B95,Tree!$F:$F,"D",Tree!$K:$K,"&lt;&gt;"&amp;"Y")/$C95),(SUMIFS(Tree!$AE:$AE,Tree!$A:$A,$B95,Tree!$D:$D,N$39,Tree!$F:$F,"L",Tree!$K:$K,"&lt;&gt;"&amp;"Y")/$C95))))</f>
        <v/>
      </c>
      <c r="O95" s="193" t="str">
        <f t="shared" si="28"/>
        <v/>
      </c>
      <c r="P95" s="441" t="str">
        <f>IF($B95="","",IF(P$39="","",IF(P$39="Snag",(SUMIFS(Tree!$AQ:$AQ,Tree!$A:$A,$B95,Tree!$F:$F,"D",Tree!$K:$K,"&lt;&gt;"&amp;"Y")/$C95),(SUMIFS(Tree!$AQ:$AQ,Tree!$A:$A,$B95,Tree!$D:$D,P$39,Tree!$F:$F,"L",Tree!$K:$K,"&lt;&gt;"&amp;"Y")/$C95))))</f>
        <v/>
      </c>
      <c r="Q95" s="445" t="str">
        <f>IF(B95="","",VLOOKUP(B95,#REF!,12,0))</f>
        <v/>
      </c>
      <c r="R95" s="448" t="str">
        <f>IF(B95="","",VLOOKUP($B95,#REF!,20,0))</f>
        <v/>
      </c>
      <c r="S95" s="86"/>
      <c r="T95" s="157" t="str">
        <f t="shared" si="29"/>
        <v/>
      </c>
      <c r="U95" s="122" t="str">
        <f t="shared" si="29"/>
        <v/>
      </c>
      <c r="V95" s="122" t="str">
        <f t="shared" si="29"/>
        <v/>
      </c>
      <c r="W95" s="122" t="str">
        <f t="shared" si="29"/>
        <v/>
      </c>
      <c r="X95" s="122" t="str">
        <f t="shared" si="29"/>
        <v/>
      </c>
      <c r="Y95" s="122" t="str">
        <f t="shared" si="29"/>
        <v/>
      </c>
      <c r="Z95" s="122" t="str">
        <f t="shared" si="29"/>
        <v/>
      </c>
      <c r="AA95" s="122" t="str">
        <f t="shared" si="29"/>
        <v/>
      </c>
      <c r="AB95" s="122" t="str">
        <f t="shared" si="29"/>
        <v/>
      </c>
      <c r="AC95" s="193" t="str">
        <f t="shared" si="29"/>
        <v/>
      </c>
      <c r="AD95" s="212" t="str">
        <f t="shared" si="29"/>
        <v/>
      </c>
      <c r="AE95" s="213" t="str">
        <f t="shared" si="29"/>
        <v/>
      </c>
      <c r="AF95" s="193" t="str">
        <f t="shared" si="27"/>
        <v/>
      </c>
    </row>
    <row r="96" spans="2:32" x14ac:dyDescent="0.25">
      <c r="B96" s="201" t="str">
        <f>IF(Stand!C58="","",Stand!C58)</f>
        <v/>
      </c>
      <c r="C96" s="208" t="str" cm="1">
        <f t="array" ref="C96">IF(SUM(IF(B96=Stand_Biomass!$B$4:$B$30,Stand_Biomass!$C$4:$C$30))&gt;0,SUM(IF(B96=Stand_Biomass!$B$4:$B$30,Stand_Biomass!$C$4:$C$30)),"")</f>
        <v/>
      </c>
      <c r="D96" s="209" t="str">
        <f>IF(B96="","",VLOOKUP($B96,Stand!$C:$G,5,0))</f>
        <v/>
      </c>
      <c r="E96" s="28"/>
      <c r="F96" s="157" t="str">
        <f>IF($B96="","",IF(F$39="","",IF(F$39="Snag",(SUMIFS(Tree!$AE:$AE,Tree!$A:$A,$B96,Tree!$F:$F,"D",Tree!$K:$K,"&lt;&gt;"&amp;"Y")/$C96),(SUMIFS(Tree!$AE:$AE,Tree!$A:$A,$B96,Tree!$D:$D,F$39,Tree!$F:$F,"L",Tree!$K:$K,"&lt;&gt;"&amp;"Y")/$C96))))</f>
        <v/>
      </c>
      <c r="G96" s="122" t="str">
        <f>IF($B96="","",IF(G$39="","",IF(G$39="Snag",(SUMIFS(Tree!$AE:$AE,Tree!$A:$A,$B96,Tree!$F:$F,"D",Tree!$K:$K,"&lt;&gt;"&amp;"Y")/$C96),(SUMIFS(Tree!$AE:$AE,Tree!$A:$A,$B96,Tree!$D:$D,G$39,Tree!$F:$F,"L",Tree!$K:$K,"&lt;&gt;"&amp;"Y")/$C96))))</f>
        <v/>
      </c>
      <c r="H96" s="122" t="str">
        <f>IF($B96="","",IF(H$39="","",IF(H$39="Snag",(SUMIFS(Tree!$AE:$AE,Tree!$A:$A,$B96,Tree!$F:$F,"D",Tree!$K:$K,"&lt;&gt;"&amp;"Y")/$C96),(SUMIFS(Tree!$AE:$AE,Tree!$A:$A,$B96,Tree!$D:$D,H$39,Tree!$F:$F,"L",Tree!$K:$K,"&lt;&gt;"&amp;"Y")/$C96))))</f>
        <v/>
      </c>
      <c r="I96" s="122" t="str">
        <f>IF($B96="","",IF(I$39="","",IF(I$39="Snag",(SUMIFS(Tree!$AE:$AE,Tree!$A:$A,$B96,Tree!$F:$F,"D",Tree!$K:$K,"&lt;&gt;"&amp;"Y")/$C96),(SUMIFS(Tree!$AE:$AE,Tree!$A:$A,$B96,Tree!$D:$D,I$39,Tree!$F:$F,"L",Tree!$K:$K,"&lt;&gt;"&amp;"Y")/$C96))))</f>
        <v/>
      </c>
      <c r="J96" s="122" t="str">
        <f>IF($B96="","",IF(J$39="","",IF(J$39="Snag",(SUMIFS(Tree!$AE:$AE,Tree!$A:$A,$B96,Tree!$F:$F,"D",Tree!$K:$K,"&lt;&gt;"&amp;"Y")/$C96),(SUMIFS(Tree!$AE:$AE,Tree!$A:$A,$B96,Tree!$D:$D,J$39,Tree!$F:$F,"L",Tree!$K:$K,"&lt;&gt;"&amp;"Y")/$C96))))</f>
        <v/>
      </c>
      <c r="K96" s="122" t="str">
        <f>IF($B96="","",IF(K$39="","",IF(K$39="Snag",(SUMIFS(Tree!$AE:$AE,Tree!$A:$A,$B96,Tree!$F:$F,"D",Tree!$K:$K,"&lt;&gt;"&amp;"Y")/$C96),(SUMIFS(Tree!$AE:$AE,Tree!$A:$A,$B96,Tree!$D:$D,K$39,Tree!$F:$F,"L",Tree!$K:$K,"&lt;&gt;"&amp;"Y")/$C96))))</f>
        <v/>
      </c>
      <c r="L96" s="122" t="str">
        <f>IF($B96="","",IF(L$39="","",IF(L$39="Snag",(SUMIFS(Tree!$AE:$AE,Tree!$A:$A,$B96,Tree!$F:$F,"D",Tree!$K:$K,"&lt;&gt;"&amp;"Y")/$C96),(SUMIFS(Tree!$AE:$AE,Tree!$A:$A,$B96,Tree!$D:$D,L$39,Tree!$F:$F,"L",Tree!$K:$K,"&lt;&gt;"&amp;"Y")/$C96))))</f>
        <v/>
      </c>
      <c r="M96" s="122" t="str">
        <f>IF($B96="","",IF(M$39="","",IF(M$39="Snag",(SUMIFS(Tree!$AE:$AE,Tree!$A:$A,$B96,Tree!$F:$F,"D",Tree!$K:$K,"&lt;&gt;"&amp;"Y")/$C96),(SUMIFS(Tree!$AE:$AE,Tree!$A:$A,$B96,Tree!$D:$D,M$39,Tree!$F:$F,"L",Tree!$K:$K,"&lt;&gt;"&amp;"Y")/$C96))))</f>
        <v/>
      </c>
      <c r="N96" s="122" t="str">
        <f>IF($B96="","",IF(N$39="","",IF(N$39="Snag",(SUMIFS(Tree!$AE:$AE,Tree!$A:$A,$B96,Tree!$F:$F,"D",Tree!$K:$K,"&lt;&gt;"&amp;"Y")/$C96),(SUMIFS(Tree!$AE:$AE,Tree!$A:$A,$B96,Tree!$D:$D,N$39,Tree!$F:$F,"L",Tree!$K:$K,"&lt;&gt;"&amp;"Y")/$C96))))</f>
        <v/>
      </c>
      <c r="O96" s="193" t="str">
        <f t="shared" si="28"/>
        <v/>
      </c>
      <c r="P96" s="441" t="str">
        <f>IF($B96="","",IF(P$39="","",IF(P$39="Snag",(SUMIFS(Tree!$AQ:$AQ,Tree!$A:$A,$B96,Tree!$F:$F,"D",Tree!$K:$K,"&lt;&gt;"&amp;"Y")/$C96),(SUMIFS(Tree!$AQ:$AQ,Tree!$A:$A,$B96,Tree!$D:$D,P$39,Tree!$F:$F,"L",Tree!$K:$K,"&lt;&gt;"&amp;"Y")/$C96))))</f>
        <v/>
      </c>
      <c r="Q96" s="445" t="str">
        <f>IF(B96="","",VLOOKUP(B96,#REF!,12,0))</f>
        <v/>
      </c>
      <c r="R96" s="448" t="str">
        <f>IF(B96="","",VLOOKUP($B96,#REF!,20,0))</f>
        <v/>
      </c>
      <c r="S96" s="86"/>
      <c r="T96" s="157" t="str">
        <f t="shared" si="29"/>
        <v/>
      </c>
      <c r="U96" s="122" t="str">
        <f t="shared" si="29"/>
        <v/>
      </c>
      <c r="V96" s="122" t="str">
        <f t="shared" si="29"/>
        <v/>
      </c>
      <c r="W96" s="122" t="str">
        <f t="shared" si="29"/>
        <v/>
      </c>
      <c r="X96" s="122" t="str">
        <f t="shared" si="29"/>
        <v/>
      </c>
      <c r="Y96" s="122" t="str">
        <f t="shared" si="29"/>
        <v/>
      </c>
      <c r="Z96" s="122" t="str">
        <f t="shared" si="29"/>
        <v/>
      </c>
      <c r="AA96" s="122" t="str">
        <f t="shared" si="29"/>
        <v/>
      </c>
      <c r="AB96" s="122" t="str">
        <f t="shared" si="29"/>
        <v/>
      </c>
      <c r="AC96" s="193" t="str">
        <f t="shared" si="29"/>
        <v/>
      </c>
      <c r="AD96" s="212" t="str">
        <f t="shared" si="29"/>
        <v/>
      </c>
      <c r="AE96" s="213" t="str">
        <f t="shared" si="29"/>
        <v/>
      </c>
      <c r="AF96" s="193" t="str">
        <f t="shared" si="27"/>
        <v/>
      </c>
    </row>
    <row r="97" spans="2:32" x14ac:dyDescent="0.25">
      <c r="B97" s="201" t="str">
        <f>IF(Stand!C59="","",Stand!C59)</f>
        <v/>
      </c>
      <c r="C97" s="208" t="str" cm="1">
        <f t="array" ref="C97">IF(SUM(IF(B97=Stand_Biomass!$B$4:$B$30,Stand_Biomass!$C$4:$C$30))&gt;0,SUM(IF(B97=Stand_Biomass!$B$4:$B$30,Stand_Biomass!$C$4:$C$30)),"")</f>
        <v/>
      </c>
      <c r="D97" s="209" t="str">
        <f>IF(B97="","",VLOOKUP($B97,Stand!$C:$G,5,0))</f>
        <v/>
      </c>
      <c r="E97" s="28"/>
      <c r="F97" s="157" t="str">
        <f>IF($B97="","",IF(F$39="","",IF(F$39="Snag",(SUMIFS(Tree!$AE:$AE,Tree!$A:$A,$B97,Tree!$F:$F,"D",Tree!$K:$K,"&lt;&gt;"&amp;"Y")/$C97),(SUMIFS(Tree!$AE:$AE,Tree!$A:$A,$B97,Tree!$D:$D,F$39,Tree!$F:$F,"L",Tree!$K:$K,"&lt;&gt;"&amp;"Y")/$C97))))</f>
        <v/>
      </c>
      <c r="G97" s="122" t="str">
        <f>IF($B97="","",IF(G$39="","",IF(G$39="Snag",(SUMIFS(Tree!$AE:$AE,Tree!$A:$A,$B97,Tree!$F:$F,"D",Tree!$K:$K,"&lt;&gt;"&amp;"Y")/$C97),(SUMIFS(Tree!$AE:$AE,Tree!$A:$A,$B97,Tree!$D:$D,G$39,Tree!$F:$F,"L",Tree!$K:$K,"&lt;&gt;"&amp;"Y")/$C97))))</f>
        <v/>
      </c>
      <c r="H97" s="122" t="str">
        <f>IF($B97="","",IF(H$39="","",IF(H$39="Snag",(SUMIFS(Tree!$AE:$AE,Tree!$A:$A,$B97,Tree!$F:$F,"D",Tree!$K:$K,"&lt;&gt;"&amp;"Y")/$C97),(SUMIFS(Tree!$AE:$AE,Tree!$A:$A,$B97,Tree!$D:$D,H$39,Tree!$F:$F,"L",Tree!$K:$K,"&lt;&gt;"&amp;"Y")/$C97))))</f>
        <v/>
      </c>
      <c r="I97" s="122" t="str">
        <f>IF($B97="","",IF(I$39="","",IF(I$39="Snag",(SUMIFS(Tree!$AE:$AE,Tree!$A:$A,$B97,Tree!$F:$F,"D",Tree!$K:$K,"&lt;&gt;"&amp;"Y")/$C97),(SUMIFS(Tree!$AE:$AE,Tree!$A:$A,$B97,Tree!$D:$D,I$39,Tree!$F:$F,"L",Tree!$K:$K,"&lt;&gt;"&amp;"Y")/$C97))))</f>
        <v/>
      </c>
      <c r="J97" s="122" t="str">
        <f>IF($B97="","",IF(J$39="","",IF(J$39="Snag",(SUMIFS(Tree!$AE:$AE,Tree!$A:$A,$B97,Tree!$F:$F,"D",Tree!$K:$K,"&lt;&gt;"&amp;"Y")/$C97),(SUMIFS(Tree!$AE:$AE,Tree!$A:$A,$B97,Tree!$D:$D,J$39,Tree!$F:$F,"L",Tree!$K:$K,"&lt;&gt;"&amp;"Y")/$C97))))</f>
        <v/>
      </c>
      <c r="K97" s="122" t="str">
        <f>IF($B97="","",IF(K$39="","",IF(K$39="Snag",(SUMIFS(Tree!$AE:$AE,Tree!$A:$A,$B97,Tree!$F:$F,"D",Tree!$K:$K,"&lt;&gt;"&amp;"Y")/$C97),(SUMIFS(Tree!$AE:$AE,Tree!$A:$A,$B97,Tree!$D:$D,K$39,Tree!$F:$F,"L",Tree!$K:$K,"&lt;&gt;"&amp;"Y")/$C97))))</f>
        <v/>
      </c>
      <c r="L97" s="122" t="str">
        <f>IF($B97="","",IF(L$39="","",IF(L$39="Snag",(SUMIFS(Tree!$AE:$AE,Tree!$A:$A,$B97,Tree!$F:$F,"D",Tree!$K:$K,"&lt;&gt;"&amp;"Y")/$C97),(SUMIFS(Tree!$AE:$AE,Tree!$A:$A,$B97,Tree!$D:$D,L$39,Tree!$F:$F,"L",Tree!$K:$K,"&lt;&gt;"&amp;"Y")/$C97))))</f>
        <v/>
      </c>
      <c r="M97" s="122" t="str">
        <f>IF($B97="","",IF(M$39="","",IF(M$39="Snag",(SUMIFS(Tree!$AE:$AE,Tree!$A:$A,$B97,Tree!$F:$F,"D",Tree!$K:$K,"&lt;&gt;"&amp;"Y")/$C97),(SUMIFS(Tree!$AE:$AE,Tree!$A:$A,$B97,Tree!$D:$D,M$39,Tree!$F:$F,"L",Tree!$K:$K,"&lt;&gt;"&amp;"Y")/$C97))))</f>
        <v/>
      </c>
      <c r="N97" s="122" t="str">
        <f>IF($B97="","",IF(N$39="","",IF(N$39="Snag",(SUMIFS(Tree!$AE:$AE,Tree!$A:$A,$B97,Tree!$F:$F,"D",Tree!$K:$K,"&lt;&gt;"&amp;"Y")/$C97),(SUMIFS(Tree!$AE:$AE,Tree!$A:$A,$B97,Tree!$D:$D,N$39,Tree!$F:$F,"L",Tree!$K:$K,"&lt;&gt;"&amp;"Y")/$C97))))</f>
        <v/>
      </c>
      <c r="O97" s="193" t="str">
        <f t="shared" si="28"/>
        <v/>
      </c>
      <c r="P97" s="441" t="str">
        <f>IF($B97="","",IF(P$39="","",IF(P$39="Snag",(SUMIFS(Tree!$AQ:$AQ,Tree!$A:$A,$B97,Tree!$F:$F,"D",Tree!$K:$K,"&lt;&gt;"&amp;"Y")/$C97),(SUMIFS(Tree!$AQ:$AQ,Tree!$A:$A,$B97,Tree!$D:$D,P$39,Tree!$F:$F,"L",Tree!$K:$K,"&lt;&gt;"&amp;"Y")/$C97))))</f>
        <v/>
      </c>
      <c r="Q97" s="445" t="str">
        <f>IF(B97="","",VLOOKUP(B97,#REF!,12,0))</f>
        <v/>
      </c>
      <c r="R97" s="448" t="str">
        <f>IF(B97="","",VLOOKUP($B97,#REF!,20,0))</f>
        <v/>
      </c>
      <c r="S97" s="86"/>
      <c r="T97" s="157" t="str">
        <f t="shared" si="29"/>
        <v/>
      </c>
      <c r="U97" s="122" t="str">
        <f t="shared" si="29"/>
        <v/>
      </c>
      <c r="V97" s="122" t="str">
        <f t="shared" si="29"/>
        <v/>
      </c>
      <c r="W97" s="122" t="str">
        <f t="shared" si="29"/>
        <v/>
      </c>
      <c r="X97" s="122" t="str">
        <f t="shared" si="29"/>
        <v/>
      </c>
      <c r="Y97" s="122" t="str">
        <f t="shared" si="29"/>
        <v/>
      </c>
      <c r="Z97" s="122" t="str">
        <f t="shared" si="29"/>
        <v/>
      </c>
      <c r="AA97" s="122" t="str">
        <f t="shared" si="29"/>
        <v/>
      </c>
      <c r="AB97" s="122" t="str">
        <f t="shared" si="29"/>
        <v/>
      </c>
      <c r="AC97" s="193" t="str">
        <f t="shared" si="29"/>
        <v/>
      </c>
      <c r="AD97" s="212" t="str">
        <f t="shared" si="29"/>
        <v/>
      </c>
      <c r="AE97" s="213" t="str">
        <f t="shared" si="29"/>
        <v/>
      </c>
      <c r="AF97" s="193" t="str">
        <f t="shared" si="27"/>
        <v/>
      </c>
    </row>
    <row r="98" spans="2:32" x14ac:dyDescent="0.25">
      <c r="B98" s="201" t="str">
        <f>IF(Stand!C60="","",Stand!C60)</f>
        <v/>
      </c>
      <c r="C98" s="208" t="str" cm="1">
        <f t="array" ref="C98">IF(SUM(IF(B98=Stand_Biomass!$B$4:$B$30,Stand_Biomass!$C$4:$C$30))&gt;0,SUM(IF(B98=Stand_Biomass!$B$4:$B$30,Stand_Biomass!$C$4:$C$30)),"")</f>
        <v/>
      </c>
      <c r="D98" s="209" t="str">
        <f>IF(B98="","",VLOOKUP($B98,Stand!$C:$G,5,0))</f>
        <v/>
      </c>
      <c r="E98" s="28"/>
      <c r="F98" s="157" t="str">
        <f>IF($B98="","",IF(F$39="","",IF(F$39="Snag",(SUMIFS(Tree!$AE:$AE,Tree!$A:$A,$B98,Tree!$F:$F,"D",Tree!$K:$K,"&lt;&gt;"&amp;"Y")/$C98),(SUMIFS(Tree!$AE:$AE,Tree!$A:$A,$B98,Tree!$D:$D,F$39,Tree!$F:$F,"L",Tree!$K:$K,"&lt;&gt;"&amp;"Y")/$C98))))</f>
        <v/>
      </c>
      <c r="G98" s="122" t="str">
        <f>IF($B98="","",IF(G$39="","",IF(G$39="Snag",(SUMIFS(Tree!$AE:$AE,Tree!$A:$A,$B98,Tree!$F:$F,"D",Tree!$K:$K,"&lt;&gt;"&amp;"Y")/$C98),(SUMIFS(Tree!$AE:$AE,Tree!$A:$A,$B98,Tree!$D:$D,G$39,Tree!$F:$F,"L",Tree!$K:$K,"&lt;&gt;"&amp;"Y")/$C98))))</f>
        <v/>
      </c>
      <c r="H98" s="122" t="str">
        <f>IF($B98="","",IF(H$39="","",IF(H$39="Snag",(SUMIFS(Tree!$AE:$AE,Tree!$A:$A,$B98,Tree!$F:$F,"D",Tree!$K:$K,"&lt;&gt;"&amp;"Y")/$C98),(SUMIFS(Tree!$AE:$AE,Tree!$A:$A,$B98,Tree!$D:$D,H$39,Tree!$F:$F,"L",Tree!$K:$K,"&lt;&gt;"&amp;"Y")/$C98))))</f>
        <v/>
      </c>
      <c r="I98" s="122" t="str">
        <f>IF($B98="","",IF(I$39="","",IF(I$39="Snag",(SUMIFS(Tree!$AE:$AE,Tree!$A:$A,$B98,Tree!$F:$F,"D",Tree!$K:$K,"&lt;&gt;"&amp;"Y")/$C98),(SUMIFS(Tree!$AE:$AE,Tree!$A:$A,$B98,Tree!$D:$D,I$39,Tree!$F:$F,"L",Tree!$K:$K,"&lt;&gt;"&amp;"Y")/$C98))))</f>
        <v/>
      </c>
      <c r="J98" s="122" t="str">
        <f>IF($B98="","",IF(J$39="","",IF(J$39="Snag",(SUMIFS(Tree!$AE:$AE,Tree!$A:$A,$B98,Tree!$F:$F,"D",Tree!$K:$K,"&lt;&gt;"&amp;"Y")/$C98),(SUMIFS(Tree!$AE:$AE,Tree!$A:$A,$B98,Tree!$D:$D,J$39,Tree!$F:$F,"L",Tree!$K:$K,"&lt;&gt;"&amp;"Y")/$C98))))</f>
        <v/>
      </c>
      <c r="K98" s="122" t="str">
        <f>IF($B98="","",IF(K$39="","",IF(K$39="Snag",(SUMIFS(Tree!$AE:$AE,Tree!$A:$A,$B98,Tree!$F:$F,"D",Tree!$K:$K,"&lt;&gt;"&amp;"Y")/$C98),(SUMIFS(Tree!$AE:$AE,Tree!$A:$A,$B98,Tree!$D:$D,K$39,Tree!$F:$F,"L",Tree!$K:$K,"&lt;&gt;"&amp;"Y")/$C98))))</f>
        <v/>
      </c>
      <c r="L98" s="122" t="str">
        <f>IF($B98="","",IF(L$39="","",IF(L$39="Snag",(SUMIFS(Tree!$AE:$AE,Tree!$A:$A,$B98,Tree!$F:$F,"D",Tree!$K:$K,"&lt;&gt;"&amp;"Y")/$C98),(SUMIFS(Tree!$AE:$AE,Tree!$A:$A,$B98,Tree!$D:$D,L$39,Tree!$F:$F,"L",Tree!$K:$K,"&lt;&gt;"&amp;"Y")/$C98))))</f>
        <v/>
      </c>
      <c r="M98" s="122" t="str">
        <f>IF($B98="","",IF(M$39="","",IF(M$39="Snag",(SUMIFS(Tree!$AE:$AE,Tree!$A:$A,$B98,Tree!$F:$F,"D",Tree!$K:$K,"&lt;&gt;"&amp;"Y")/$C98),(SUMIFS(Tree!$AE:$AE,Tree!$A:$A,$B98,Tree!$D:$D,M$39,Tree!$F:$F,"L",Tree!$K:$K,"&lt;&gt;"&amp;"Y")/$C98))))</f>
        <v/>
      </c>
      <c r="N98" s="122" t="str">
        <f>IF($B98="","",IF(N$39="","",IF(N$39="Snag",(SUMIFS(Tree!$AE:$AE,Tree!$A:$A,$B98,Tree!$F:$F,"D",Tree!$K:$K,"&lt;&gt;"&amp;"Y")/$C98),(SUMIFS(Tree!$AE:$AE,Tree!$A:$A,$B98,Tree!$D:$D,N$39,Tree!$F:$F,"L",Tree!$K:$K,"&lt;&gt;"&amp;"Y")/$C98))))</f>
        <v/>
      </c>
      <c r="O98" s="193" t="str">
        <f t="shared" si="28"/>
        <v/>
      </c>
      <c r="P98" s="441" t="str">
        <f>IF($B98="","",IF(P$39="","",IF(P$39="Snag",(SUMIFS(Tree!$AQ:$AQ,Tree!$A:$A,$B98,Tree!$F:$F,"D",Tree!$K:$K,"&lt;&gt;"&amp;"Y")/$C98),(SUMIFS(Tree!$AQ:$AQ,Tree!$A:$A,$B98,Tree!$D:$D,P$39,Tree!$F:$F,"L",Tree!$K:$K,"&lt;&gt;"&amp;"Y")/$C98))))</f>
        <v/>
      </c>
      <c r="Q98" s="445" t="str">
        <f>IF(B98="","",VLOOKUP(B98,#REF!,12,0))</f>
        <v/>
      </c>
      <c r="R98" s="448" t="str">
        <f>IF(B98="","",VLOOKUP($B98,#REF!,20,0))</f>
        <v/>
      </c>
      <c r="S98" s="86"/>
      <c r="T98" s="157" t="str">
        <f t="shared" si="29"/>
        <v/>
      </c>
      <c r="U98" s="122" t="str">
        <f t="shared" si="29"/>
        <v/>
      </c>
      <c r="V98" s="122" t="str">
        <f t="shared" si="29"/>
        <v/>
      </c>
      <c r="W98" s="122" t="str">
        <f t="shared" si="29"/>
        <v/>
      </c>
      <c r="X98" s="122" t="str">
        <f t="shared" si="29"/>
        <v/>
      </c>
      <c r="Y98" s="122" t="str">
        <f t="shared" si="29"/>
        <v/>
      </c>
      <c r="Z98" s="122" t="str">
        <f t="shared" si="29"/>
        <v/>
      </c>
      <c r="AA98" s="122" t="str">
        <f t="shared" si="29"/>
        <v/>
      </c>
      <c r="AB98" s="122" t="str">
        <f t="shared" si="29"/>
        <v/>
      </c>
      <c r="AC98" s="193" t="str">
        <f t="shared" si="29"/>
        <v/>
      </c>
      <c r="AD98" s="212" t="str">
        <f t="shared" si="29"/>
        <v/>
      </c>
      <c r="AE98" s="213" t="str">
        <f t="shared" si="29"/>
        <v/>
      </c>
      <c r="AF98" s="193" t="str">
        <f t="shared" si="27"/>
        <v/>
      </c>
    </row>
    <row r="99" spans="2:32" x14ac:dyDescent="0.25">
      <c r="B99" s="201" t="str">
        <f>IF(Stand!C61="","",Stand!C61)</f>
        <v/>
      </c>
      <c r="C99" s="208" t="str" cm="1">
        <f t="array" ref="C99">IF(SUM(IF(B99=Stand_Biomass!$B$4:$B$30,Stand_Biomass!$C$4:$C$30))&gt;0,SUM(IF(B99=Stand_Biomass!$B$4:$B$30,Stand_Biomass!$C$4:$C$30)),"")</f>
        <v/>
      </c>
      <c r="D99" s="209" t="str">
        <f>IF(B99="","",VLOOKUP($B99,Stand!$C:$G,5,0))</f>
        <v/>
      </c>
      <c r="E99" s="28"/>
      <c r="F99" s="157" t="str">
        <f>IF($B99="","",IF(F$39="","",IF(F$39="Snag",(SUMIFS(Tree!$AE:$AE,Tree!$A:$A,$B99,Tree!$F:$F,"D",Tree!$K:$K,"&lt;&gt;"&amp;"Y")/$C99),(SUMIFS(Tree!$AE:$AE,Tree!$A:$A,$B99,Tree!$D:$D,F$39,Tree!$F:$F,"L",Tree!$K:$K,"&lt;&gt;"&amp;"Y")/$C99))))</f>
        <v/>
      </c>
      <c r="G99" s="122" t="str">
        <f>IF($B99="","",IF(G$39="","",IF(G$39="Snag",(SUMIFS(Tree!$AE:$AE,Tree!$A:$A,$B99,Tree!$F:$F,"D",Tree!$K:$K,"&lt;&gt;"&amp;"Y")/$C99),(SUMIFS(Tree!$AE:$AE,Tree!$A:$A,$B99,Tree!$D:$D,G$39,Tree!$F:$F,"L",Tree!$K:$K,"&lt;&gt;"&amp;"Y")/$C99))))</f>
        <v/>
      </c>
      <c r="H99" s="122" t="str">
        <f>IF($B99="","",IF(H$39="","",IF(H$39="Snag",(SUMIFS(Tree!$AE:$AE,Tree!$A:$A,$B99,Tree!$F:$F,"D",Tree!$K:$K,"&lt;&gt;"&amp;"Y")/$C99),(SUMIFS(Tree!$AE:$AE,Tree!$A:$A,$B99,Tree!$D:$D,H$39,Tree!$F:$F,"L",Tree!$K:$K,"&lt;&gt;"&amp;"Y")/$C99))))</f>
        <v/>
      </c>
      <c r="I99" s="122" t="str">
        <f>IF($B99="","",IF(I$39="","",IF(I$39="Snag",(SUMIFS(Tree!$AE:$AE,Tree!$A:$A,$B99,Tree!$F:$F,"D",Tree!$K:$K,"&lt;&gt;"&amp;"Y")/$C99),(SUMIFS(Tree!$AE:$AE,Tree!$A:$A,$B99,Tree!$D:$D,I$39,Tree!$F:$F,"L",Tree!$K:$K,"&lt;&gt;"&amp;"Y")/$C99))))</f>
        <v/>
      </c>
      <c r="J99" s="122" t="str">
        <f>IF($B99="","",IF(J$39="","",IF(J$39="Snag",(SUMIFS(Tree!$AE:$AE,Tree!$A:$A,$B99,Tree!$F:$F,"D",Tree!$K:$K,"&lt;&gt;"&amp;"Y")/$C99),(SUMIFS(Tree!$AE:$AE,Tree!$A:$A,$B99,Tree!$D:$D,J$39,Tree!$F:$F,"L",Tree!$K:$K,"&lt;&gt;"&amp;"Y")/$C99))))</f>
        <v/>
      </c>
      <c r="K99" s="122" t="str">
        <f>IF($B99="","",IF(K$39="","",IF(K$39="Snag",(SUMIFS(Tree!$AE:$AE,Tree!$A:$A,$B99,Tree!$F:$F,"D",Tree!$K:$K,"&lt;&gt;"&amp;"Y")/$C99),(SUMIFS(Tree!$AE:$AE,Tree!$A:$A,$B99,Tree!$D:$D,K$39,Tree!$F:$F,"L",Tree!$K:$K,"&lt;&gt;"&amp;"Y")/$C99))))</f>
        <v/>
      </c>
      <c r="L99" s="122" t="str">
        <f>IF($B99="","",IF(L$39="","",IF(L$39="Snag",(SUMIFS(Tree!$AE:$AE,Tree!$A:$A,$B99,Tree!$F:$F,"D",Tree!$K:$K,"&lt;&gt;"&amp;"Y")/$C99),(SUMIFS(Tree!$AE:$AE,Tree!$A:$A,$B99,Tree!$D:$D,L$39,Tree!$F:$F,"L",Tree!$K:$K,"&lt;&gt;"&amp;"Y")/$C99))))</f>
        <v/>
      </c>
      <c r="M99" s="122" t="str">
        <f>IF($B99="","",IF(M$39="","",IF(M$39="Snag",(SUMIFS(Tree!$AE:$AE,Tree!$A:$A,$B99,Tree!$F:$F,"D",Tree!$K:$K,"&lt;&gt;"&amp;"Y")/$C99),(SUMIFS(Tree!$AE:$AE,Tree!$A:$A,$B99,Tree!$D:$D,M$39,Tree!$F:$F,"L",Tree!$K:$K,"&lt;&gt;"&amp;"Y")/$C99))))</f>
        <v/>
      </c>
      <c r="N99" s="122" t="str">
        <f>IF($B99="","",IF(N$39="","",IF(N$39="Snag",(SUMIFS(Tree!$AE:$AE,Tree!$A:$A,$B99,Tree!$F:$F,"D",Tree!$K:$K,"&lt;&gt;"&amp;"Y")/$C99),(SUMIFS(Tree!$AE:$AE,Tree!$A:$A,$B99,Tree!$D:$D,N$39,Tree!$F:$F,"L",Tree!$K:$K,"&lt;&gt;"&amp;"Y")/$C99))))</f>
        <v/>
      </c>
      <c r="O99" s="193" t="str">
        <f t="shared" si="28"/>
        <v/>
      </c>
      <c r="P99" s="441" t="str">
        <f>IF($B99="","",IF(P$39="","",IF(P$39="Snag",(SUMIFS(Tree!$AQ:$AQ,Tree!$A:$A,$B99,Tree!$F:$F,"D",Tree!$K:$K,"&lt;&gt;"&amp;"Y")/$C99),(SUMIFS(Tree!$AQ:$AQ,Tree!$A:$A,$B99,Tree!$D:$D,P$39,Tree!$F:$F,"L",Tree!$K:$K,"&lt;&gt;"&amp;"Y")/$C99))))</f>
        <v/>
      </c>
      <c r="Q99" s="445" t="str">
        <f>IF(B99="","",VLOOKUP(B99,#REF!,12,0))</f>
        <v/>
      </c>
      <c r="R99" s="448" t="str">
        <f>IF(B99="","",VLOOKUP($B99,#REF!,20,0))</f>
        <v/>
      </c>
      <c r="S99" s="86"/>
      <c r="T99" s="157" t="str">
        <f t="shared" si="29"/>
        <v/>
      </c>
      <c r="U99" s="122" t="str">
        <f t="shared" si="29"/>
        <v/>
      </c>
      <c r="V99" s="122" t="str">
        <f t="shared" si="29"/>
        <v/>
      </c>
      <c r="W99" s="122" t="str">
        <f t="shared" si="29"/>
        <v/>
      </c>
      <c r="X99" s="122" t="str">
        <f t="shared" si="29"/>
        <v/>
      </c>
      <c r="Y99" s="122" t="str">
        <f t="shared" si="29"/>
        <v/>
      </c>
      <c r="Z99" s="122" t="str">
        <f t="shared" si="29"/>
        <v/>
      </c>
      <c r="AA99" s="122" t="str">
        <f t="shared" si="29"/>
        <v/>
      </c>
      <c r="AB99" s="122" t="str">
        <f t="shared" si="29"/>
        <v/>
      </c>
      <c r="AC99" s="193" t="str">
        <f t="shared" si="29"/>
        <v/>
      </c>
      <c r="AD99" s="212" t="str">
        <f t="shared" si="29"/>
        <v/>
      </c>
      <c r="AE99" s="213" t="str">
        <f t="shared" si="29"/>
        <v/>
      </c>
      <c r="AF99" s="193" t="str">
        <f t="shared" si="27"/>
        <v/>
      </c>
    </row>
    <row r="100" spans="2:32" x14ac:dyDescent="0.25">
      <c r="B100" s="201" t="str">
        <f>IF(Stand!C62="","",Stand!C62)</f>
        <v/>
      </c>
      <c r="C100" s="208" t="str" cm="1">
        <f t="array" ref="C100">IF(SUM(IF(B100=Stand_Biomass!$B$4:$B$30,Stand_Biomass!$C$4:$C$30))&gt;0,SUM(IF(B100=Stand_Biomass!$B$4:$B$30,Stand_Biomass!$C$4:$C$30)),"")</f>
        <v/>
      </c>
      <c r="D100" s="209" t="str">
        <f>IF(B100="","",VLOOKUP($B100,Stand!$C:$G,5,0))</f>
        <v/>
      </c>
      <c r="E100" s="28"/>
      <c r="F100" s="157" t="str">
        <f>IF($B100="","",IF(F$39="","",IF(F$39="Snag",(SUMIFS(Tree!$AE:$AE,Tree!$A:$A,$B100,Tree!$F:$F,"D",Tree!$K:$K,"&lt;&gt;"&amp;"Y")/$C100),(SUMIFS(Tree!$AE:$AE,Tree!$A:$A,$B100,Tree!$D:$D,F$39,Tree!$F:$F,"L",Tree!$K:$K,"&lt;&gt;"&amp;"Y")/$C100))))</f>
        <v/>
      </c>
      <c r="G100" s="122" t="str">
        <f>IF($B100="","",IF(G$39="","",IF(G$39="Snag",(SUMIFS(Tree!$AE:$AE,Tree!$A:$A,$B100,Tree!$F:$F,"D",Tree!$K:$K,"&lt;&gt;"&amp;"Y")/$C100),(SUMIFS(Tree!$AE:$AE,Tree!$A:$A,$B100,Tree!$D:$D,G$39,Tree!$F:$F,"L",Tree!$K:$K,"&lt;&gt;"&amp;"Y")/$C100))))</f>
        <v/>
      </c>
      <c r="H100" s="122" t="str">
        <f>IF($B100="","",IF(H$39="","",IF(H$39="Snag",(SUMIFS(Tree!$AE:$AE,Tree!$A:$A,$B100,Tree!$F:$F,"D",Tree!$K:$K,"&lt;&gt;"&amp;"Y")/$C100),(SUMIFS(Tree!$AE:$AE,Tree!$A:$A,$B100,Tree!$D:$D,H$39,Tree!$F:$F,"L",Tree!$K:$K,"&lt;&gt;"&amp;"Y")/$C100))))</f>
        <v/>
      </c>
      <c r="I100" s="122" t="str">
        <f>IF($B100="","",IF(I$39="","",IF(I$39="Snag",(SUMIFS(Tree!$AE:$AE,Tree!$A:$A,$B100,Tree!$F:$F,"D",Tree!$K:$K,"&lt;&gt;"&amp;"Y")/$C100),(SUMIFS(Tree!$AE:$AE,Tree!$A:$A,$B100,Tree!$D:$D,I$39,Tree!$F:$F,"L",Tree!$K:$K,"&lt;&gt;"&amp;"Y")/$C100))))</f>
        <v/>
      </c>
      <c r="J100" s="122" t="str">
        <f>IF($B100="","",IF(J$39="","",IF(J$39="Snag",(SUMIFS(Tree!$AE:$AE,Tree!$A:$A,$B100,Tree!$F:$F,"D",Tree!$K:$K,"&lt;&gt;"&amp;"Y")/$C100),(SUMIFS(Tree!$AE:$AE,Tree!$A:$A,$B100,Tree!$D:$D,J$39,Tree!$F:$F,"L",Tree!$K:$K,"&lt;&gt;"&amp;"Y")/$C100))))</f>
        <v/>
      </c>
      <c r="K100" s="122" t="str">
        <f>IF($B100="","",IF(K$39="","",IF(K$39="Snag",(SUMIFS(Tree!$AE:$AE,Tree!$A:$A,$B100,Tree!$F:$F,"D",Tree!$K:$K,"&lt;&gt;"&amp;"Y")/$C100),(SUMIFS(Tree!$AE:$AE,Tree!$A:$A,$B100,Tree!$D:$D,K$39,Tree!$F:$F,"L",Tree!$K:$K,"&lt;&gt;"&amp;"Y")/$C100))))</f>
        <v/>
      </c>
      <c r="L100" s="122" t="str">
        <f>IF($B100="","",IF(L$39="","",IF(L$39="Snag",(SUMIFS(Tree!$AE:$AE,Tree!$A:$A,$B100,Tree!$F:$F,"D",Tree!$K:$K,"&lt;&gt;"&amp;"Y")/$C100),(SUMIFS(Tree!$AE:$AE,Tree!$A:$A,$B100,Tree!$D:$D,L$39,Tree!$F:$F,"L",Tree!$K:$K,"&lt;&gt;"&amp;"Y")/$C100))))</f>
        <v/>
      </c>
      <c r="M100" s="122" t="str">
        <f>IF($B100="","",IF(M$39="","",IF(M$39="Snag",(SUMIFS(Tree!$AE:$AE,Tree!$A:$A,$B100,Tree!$F:$F,"D",Tree!$K:$K,"&lt;&gt;"&amp;"Y")/$C100),(SUMIFS(Tree!$AE:$AE,Tree!$A:$A,$B100,Tree!$D:$D,M$39,Tree!$F:$F,"L",Tree!$K:$K,"&lt;&gt;"&amp;"Y")/$C100))))</f>
        <v/>
      </c>
      <c r="N100" s="122" t="str">
        <f>IF($B100="","",IF(N$39="","",IF(N$39="Snag",(SUMIFS(Tree!$AE:$AE,Tree!$A:$A,$B100,Tree!$F:$F,"D",Tree!$K:$K,"&lt;&gt;"&amp;"Y")/$C100),(SUMIFS(Tree!$AE:$AE,Tree!$A:$A,$B100,Tree!$D:$D,N$39,Tree!$F:$F,"L",Tree!$K:$K,"&lt;&gt;"&amp;"Y")/$C100))))</f>
        <v/>
      </c>
      <c r="O100" s="193" t="str">
        <f t="shared" si="28"/>
        <v/>
      </c>
      <c r="P100" s="441" t="str">
        <f>IF($B100="","",IF(P$39="","",IF(P$39="Snag",(SUMIFS(Tree!$AQ:$AQ,Tree!$A:$A,$B100,Tree!$F:$F,"D",Tree!$K:$K,"&lt;&gt;"&amp;"Y")/$C100),(SUMIFS(Tree!$AQ:$AQ,Tree!$A:$A,$B100,Tree!$D:$D,P$39,Tree!$F:$F,"L",Tree!$K:$K,"&lt;&gt;"&amp;"Y")/$C100))))</f>
        <v/>
      </c>
      <c r="Q100" s="445" t="str">
        <f>IF(B100="","",VLOOKUP(B100,#REF!,12,0))</f>
        <v/>
      </c>
      <c r="R100" s="448" t="str">
        <f>IF(B100="","",VLOOKUP($B100,#REF!,20,0))</f>
        <v/>
      </c>
      <c r="S100" s="86"/>
      <c r="T100" s="157" t="str">
        <f t="shared" si="29"/>
        <v/>
      </c>
      <c r="U100" s="122" t="str">
        <f t="shared" si="29"/>
        <v/>
      </c>
      <c r="V100" s="122" t="str">
        <f t="shared" si="29"/>
        <v/>
      </c>
      <c r="W100" s="122" t="str">
        <f t="shared" ref="W100:W104" si="30">IF($C100="","",IF(W$39="","",($D100*I100)))</f>
        <v/>
      </c>
      <c r="X100" s="122" t="str">
        <f t="shared" ref="X100:X104" si="31">IF($C100="","",IF(X$39="","",($D100*J100)))</f>
        <v/>
      </c>
      <c r="Y100" s="122" t="str">
        <f t="shared" ref="Y100:Y104" si="32">IF($C100="","",IF(Y$39="","",($D100*K100)))</f>
        <v/>
      </c>
      <c r="Z100" s="122" t="str">
        <f t="shared" ref="Z100:Z104" si="33">IF($C100="","",IF(Z$39="","",($D100*L100)))</f>
        <v/>
      </c>
      <c r="AA100" s="122" t="str">
        <f t="shared" ref="AA100:AA104" si="34">IF($C100="","",IF(AA$39="","",($D100*M100)))</f>
        <v/>
      </c>
      <c r="AB100" s="122" t="str">
        <f t="shared" ref="AB100:AB104" si="35">IF($C100="","",IF(AB$39="","",($D100*N100)))</f>
        <v/>
      </c>
      <c r="AC100" s="193" t="str">
        <f t="shared" ref="AC100:AC104" si="36">IF($C100="","",IF(AC$39="","",($D100*O100)))</f>
        <v/>
      </c>
      <c r="AD100" s="212" t="str">
        <f t="shared" ref="AD100:AD104" si="37">IF($C100="","",IF(AD$39="","",($D100*P100)))</f>
        <v/>
      </c>
      <c r="AE100" s="213" t="str">
        <f t="shared" ref="AE100:AE104" si="38">IF($C100="","",IF(AE$39="","",($D100*Q100)))</f>
        <v/>
      </c>
      <c r="AF100" s="193" t="str">
        <f t="shared" si="27"/>
        <v/>
      </c>
    </row>
    <row r="101" spans="2:32" x14ac:dyDescent="0.25">
      <c r="B101" s="201" t="str">
        <f>IF(Stand!C63="","",Stand!C63)</f>
        <v/>
      </c>
      <c r="C101" s="208" t="str" cm="1">
        <f t="array" ref="C101">IF(SUM(IF(B101=Stand_Biomass!$B$4:$B$30,Stand_Biomass!$C$4:$C$30))&gt;0,SUM(IF(B101=Stand_Biomass!$B$4:$B$30,Stand_Biomass!$C$4:$C$30)),"")</f>
        <v/>
      </c>
      <c r="D101" s="209" t="str">
        <f>IF(B101="","",VLOOKUP($B101,Stand!$C:$G,5,0))</f>
        <v/>
      </c>
      <c r="E101" s="28"/>
      <c r="F101" s="157" t="str">
        <f>IF($B101="","",IF(F$39="","",IF(F$39="Snag",(SUMIFS(Tree!$AE:$AE,Tree!$A:$A,$B101,Tree!$F:$F,"D",Tree!$K:$K,"&lt;&gt;"&amp;"Y")/$C101),(SUMIFS(Tree!$AE:$AE,Tree!$A:$A,$B101,Tree!$D:$D,F$39,Tree!$F:$F,"L",Tree!$K:$K,"&lt;&gt;"&amp;"Y")/$C101))))</f>
        <v/>
      </c>
      <c r="G101" s="122" t="str">
        <f>IF($B101="","",IF(G$39="","",IF(G$39="Snag",(SUMIFS(Tree!$AE:$AE,Tree!$A:$A,$B101,Tree!$F:$F,"D",Tree!$K:$K,"&lt;&gt;"&amp;"Y")/$C101),(SUMIFS(Tree!$AE:$AE,Tree!$A:$A,$B101,Tree!$D:$D,G$39,Tree!$F:$F,"L",Tree!$K:$K,"&lt;&gt;"&amp;"Y")/$C101))))</f>
        <v/>
      </c>
      <c r="H101" s="122" t="str">
        <f>IF($B101="","",IF(H$39="","",IF(H$39="Snag",(SUMIFS(Tree!$AE:$AE,Tree!$A:$A,$B101,Tree!$F:$F,"D",Tree!$K:$K,"&lt;&gt;"&amp;"Y")/$C101),(SUMIFS(Tree!$AE:$AE,Tree!$A:$A,$B101,Tree!$D:$D,H$39,Tree!$F:$F,"L",Tree!$K:$K,"&lt;&gt;"&amp;"Y")/$C101))))</f>
        <v/>
      </c>
      <c r="I101" s="122" t="str">
        <f>IF($B101="","",IF(I$39="","",IF(I$39="Snag",(SUMIFS(Tree!$AE:$AE,Tree!$A:$A,$B101,Tree!$F:$F,"D",Tree!$K:$K,"&lt;&gt;"&amp;"Y")/$C101),(SUMIFS(Tree!$AE:$AE,Tree!$A:$A,$B101,Tree!$D:$D,I$39,Tree!$F:$F,"L",Tree!$K:$K,"&lt;&gt;"&amp;"Y")/$C101))))</f>
        <v/>
      </c>
      <c r="J101" s="122" t="str">
        <f>IF($B101="","",IF(J$39="","",IF(J$39="Snag",(SUMIFS(Tree!$AE:$AE,Tree!$A:$A,$B101,Tree!$F:$F,"D",Tree!$K:$K,"&lt;&gt;"&amp;"Y")/$C101),(SUMIFS(Tree!$AE:$AE,Tree!$A:$A,$B101,Tree!$D:$D,J$39,Tree!$F:$F,"L",Tree!$K:$K,"&lt;&gt;"&amp;"Y")/$C101))))</f>
        <v/>
      </c>
      <c r="K101" s="122" t="str">
        <f>IF($B101="","",IF(K$39="","",IF(K$39="Snag",(SUMIFS(Tree!$AE:$AE,Tree!$A:$A,$B101,Tree!$F:$F,"D",Tree!$K:$K,"&lt;&gt;"&amp;"Y")/$C101),(SUMIFS(Tree!$AE:$AE,Tree!$A:$A,$B101,Tree!$D:$D,K$39,Tree!$F:$F,"L",Tree!$K:$K,"&lt;&gt;"&amp;"Y")/$C101))))</f>
        <v/>
      </c>
      <c r="L101" s="122" t="str">
        <f>IF($B101="","",IF(L$39="","",IF(L$39="Snag",(SUMIFS(Tree!$AE:$AE,Tree!$A:$A,$B101,Tree!$F:$F,"D",Tree!$K:$K,"&lt;&gt;"&amp;"Y")/$C101),(SUMIFS(Tree!$AE:$AE,Tree!$A:$A,$B101,Tree!$D:$D,L$39,Tree!$F:$F,"L",Tree!$K:$K,"&lt;&gt;"&amp;"Y")/$C101))))</f>
        <v/>
      </c>
      <c r="M101" s="122" t="str">
        <f>IF($B101="","",IF(M$39="","",IF(M$39="Snag",(SUMIFS(Tree!$AE:$AE,Tree!$A:$A,$B101,Tree!$F:$F,"D",Tree!$K:$K,"&lt;&gt;"&amp;"Y")/$C101),(SUMIFS(Tree!$AE:$AE,Tree!$A:$A,$B101,Tree!$D:$D,M$39,Tree!$F:$F,"L",Tree!$K:$K,"&lt;&gt;"&amp;"Y")/$C101))))</f>
        <v/>
      </c>
      <c r="N101" s="122" t="str">
        <f>IF($B101="","",IF(N$39="","",IF(N$39="Snag",(SUMIFS(Tree!$AE:$AE,Tree!$A:$A,$B101,Tree!$F:$F,"D",Tree!$K:$K,"&lt;&gt;"&amp;"Y")/$C101),(SUMIFS(Tree!$AE:$AE,Tree!$A:$A,$B101,Tree!$D:$D,N$39,Tree!$F:$F,"L",Tree!$K:$K,"&lt;&gt;"&amp;"Y")/$C101))))</f>
        <v/>
      </c>
      <c r="O101" s="193" t="str">
        <f t="shared" si="28"/>
        <v/>
      </c>
      <c r="P101" s="441" t="str">
        <f>IF($B101="","",IF(P$39="","",IF(P$39="Snag",(SUMIFS(Tree!$AQ:$AQ,Tree!$A:$A,$B101,Tree!$F:$F,"D",Tree!$K:$K,"&lt;&gt;"&amp;"Y")/$C101),(SUMIFS(Tree!$AQ:$AQ,Tree!$A:$A,$B101,Tree!$D:$D,P$39,Tree!$F:$F,"L",Tree!$K:$K,"&lt;&gt;"&amp;"Y")/$C101))))</f>
        <v/>
      </c>
      <c r="Q101" s="445" t="str">
        <f>IF(B101="","",VLOOKUP(B101,#REF!,12,0))</f>
        <v/>
      </c>
      <c r="R101" s="448" t="str">
        <f>IF(B101="","",VLOOKUP($B101,#REF!,20,0))</f>
        <v/>
      </c>
      <c r="S101" s="86"/>
      <c r="T101" s="157" t="str">
        <f t="shared" ref="T101:T104" si="39">IF($C101="","",IF(T$39="","",($D101*F101)))</f>
        <v/>
      </c>
      <c r="U101" s="122" t="str">
        <f t="shared" ref="U101:U104" si="40">IF($C101="","",IF(U$39="","",($D101*G101)))</f>
        <v/>
      </c>
      <c r="V101" s="122" t="str">
        <f t="shared" ref="V101:V104" si="41">IF($C101="","",IF(V$39="","",($D101*H101)))</f>
        <v/>
      </c>
      <c r="W101" s="122" t="str">
        <f t="shared" si="30"/>
        <v/>
      </c>
      <c r="X101" s="122" t="str">
        <f t="shared" si="31"/>
        <v/>
      </c>
      <c r="Y101" s="122" t="str">
        <f t="shared" si="32"/>
        <v/>
      </c>
      <c r="Z101" s="122" t="str">
        <f t="shared" si="33"/>
        <v/>
      </c>
      <c r="AA101" s="122" t="str">
        <f t="shared" si="34"/>
        <v/>
      </c>
      <c r="AB101" s="122" t="str">
        <f t="shared" si="35"/>
        <v/>
      </c>
      <c r="AC101" s="193" t="str">
        <f t="shared" si="36"/>
        <v/>
      </c>
      <c r="AD101" s="212" t="str">
        <f t="shared" si="37"/>
        <v/>
      </c>
      <c r="AE101" s="213" t="str">
        <f t="shared" si="38"/>
        <v/>
      </c>
      <c r="AF101" s="193" t="str">
        <f t="shared" si="27"/>
        <v/>
      </c>
    </row>
    <row r="102" spans="2:32" x14ac:dyDescent="0.25">
      <c r="B102" s="201" t="str">
        <f>IF(Stand!C64="","",Stand!C64)</f>
        <v/>
      </c>
      <c r="C102" s="208" t="str" cm="1">
        <f t="array" ref="C102">IF(SUM(IF(B102=Stand_Biomass!$B$4:$B$30,Stand_Biomass!$C$4:$C$30))&gt;0,SUM(IF(B102=Stand_Biomass!$B$4:$B$30,Stand_Biomass!$C$4:$C$30)),"")</f>
        <v/>
      </c>
      <c r="D102" s="209" t="str">
        <f>IF(B102="","",VLOOKUP($B102,Stand!$C:$G,5,0))</f>
        <v/>
      </c>
      <c r="E102" s="28"/>
      <c r="F102" s="157" t="str">
        <f>IF($B102="","",IF(F$39="","",IF(F$39="Snag",(SUMIFS(Tree!$AE:$AE,Tree!$A:$A,$B102,Tree!$F:$F,"D",Tree!$K:$K,"&lt;&gt;"&amp;"Y")/$C102),(SUMIFS(Tree!$AE:$AE,Tree!$A:$A,$B102,Tree!$D:$D,F$39,Tree!$F:$F,"L",Tree!$K:$K,"&lt;&gt;"&amp;"Y")/$C102))))</f>
        <v/>
      </c>
      <c r="G102" s="122" t="str">
        <f>IF($B102="","",IF(G$39="","",IF(G$39="Snag",(SUMIFS(Tree!$AE:$AE,Tree!$A:$A,$B102,Tree!$F:$F,"D",Tree!$K:$K,"&lt;&gt;"&amp;"Y")/$C102),(SUMIFS(Tree!$AE:$AE,Tree!$A:$A,$B102,Tree!$D:$D,G$39,Tree!$F:$F,"L",Tree!$K:$K,"&lt;&gt;"&amp;"Y")/$C102))))</f>
        <v/>
      </c>
      <c r="H102" s="122" t="str">
        <f>IF($B102="","",IF(H$39="","",IF(H$39="Snag",(SUMIFS(Tree!$AE:$AE,Tree!$A:$A,$B102,Tree!$F:$F,"D",Tree!$K:$K,"&lt;&gt;"&amp;"Y")/$C102),(SUMIFS(Tree!$AE:$AE,Tree!$A:$A,$B102,Tree!$D:$D,H$39,Tree!$F:$F,"L",Tree!$K:$K,"&lt;&gt;"&amp;"Y")/$C102))))</f>
        <v/>
      </c>
      <c r="I102" s="122" t="str">
        <f>IF($B102="","",IF(I$39="","",IF(I$39="Snag",(SUMIFS(Tree!$AE:$AE,Tree!$A:$A,$B102,Tree!$F:$F,"D",Tree!$K:$K,"&lt;&gt;"&amp;"Y")/$C102),(SUMIFS(Tree!$AE:$AE,Tree!$A:$A,$B102,Tree!$D:$D,I$39,Tree!$F:$F,"L",Tree!$K:$K,"&lt;&gt;"&amp;"Y")/$C102))))</f>
        <v/>
      </c>
      <c r="J102" s="122" t="str">
        <f>IF($B102="","",IF(J$39="","",IF(J$39="Snag",(SUMIFS(Tree!$AE:$AE,Tree!$A:$A,$B102,Tree!$F:$F,"D",Tree!$K:$K,"&lt;&gt;"&amp;"Y")/$C102),(SUMIFS(Tree!$AE:$AE,Tree!$A:$A,$B102,Tree!$D:$D,J$39,Tree!$F:$F,"L",Tree!$K:$K,"&lt;&gt;"&amp;"Y")/$C102))))</f>
        <v/>
      </c>
      <c r="K102" s="122" t="str">
        <f>IF($B102="","",IF(K$39="","",IF(K$39="Snag",(SUMIFS(Tree!$AE:$AE,Tree!$A:$A,$B102,Tree!$F:$F,"D",Tree!$K:$K,"&lt;&gt;"&amp;"Y")/$C102),(SUMIFS(Tree!$AE:$AE,Tree!$A:$A,$B102,Tree!$D:$D,K$39,Tree!$F:$F,"L",Tree!$K:$K,"&lt;&gt;"&amp;"Y")/$C102))))</f>
        <v/>
      </c>
      <c r="L102" s="122" t="str">
        <f>IF($B102="","",IF(L$39="","",IF(L$39="Snag",(SUMIFS(Tree!$AE:$AE,Tree!$A:$A,$B102,Tree!$F:$F,"D",Tree!$K:$K,"&lt;&gt;"&amp;"Y")/$C102),(SUMIFS(Tree!$AE:$AE,Tree!$A:$A,$B102,Tree!$D:$D,L$39,Tree!$F:$F,"L",Tree!$K:$K,"&lt;&gt;"&amp;"Y")/$C102))))</f>
        <v/>
      </c>
      <c r="M102" s="122" t="str">
        <f>IF($B102="","",IF(M$39="","",IF(M$39="Snag",(SUMIFS(Tree!$AE:$AE,Tree!$A:$A,$B102,Tree!$F:$F,"D",Tree!$K:$K,"&lt;&gt;"&amp;"Y")/$C102),(SUMIFS(Tree!$AE:$AE,Tree!$A:$A,$B102,Tree!$D:$D,M$39,Tree!$F:$F,"L",Tree!$K:$K,"&lt;&gt;"&amp;"Y")/$C102))))</f>
        <v/>
      </c>
      <c r="N102" s="122" t="str">
        <f>IF($B102="","",IF(N$39="","",IF(N$39="Snag",(SUMIFS(Tree!$AE:$AE,Tree!$A:$A,$B102,Tree!$F:$F,"D",Tree!$K:$K,"&lt;&gt;"&amp;"Y")/$C102),(SUMIFS(Tree!$AE:$AE,Tree!$A:$A,$B102,Tree!$D:$D,N$39,Tree!$F:$F,"L",Tree!$K:$K,"&lt;&gt;"&amp;"Y")/$C102))))</f>
        <v/>
      </c>
      <c r="O102" s="193" t="str">
        <f t="shared" si="28"/>
        <v/>
      </c>
      <c r="P102" s="441" t="str">
        <f>IF($B102="","",IF(P$39="","",IF(P$39="Snag",(SUMIFS(Tree!$AQ:$AQ,Tree!$A:$A,$B102,Tree!$F:$F,"D",Tree!$K:$K,"&lt;&gt;"&amp;"Y")/$C102),(SUMIFS(Tree!$AQ:$AQ,Tree!$A:$A,$B102,Tree!$D:$D,P$39,Tree!$F:$F,"L",Tree!$K:$K,"&lt;&gt;"&amp;"Y")/$C102))))</f>
        <v/>
      </c>
      <c r="Q102" s="445" t="str">
        <f>IF(B102="","",VLOOKUP(B102,#REF!,12,0))</f>
        <v/>
      </c>
      <c r="R102" s="448" t="str">
        <f>IF(B102="","",VLOOKUP($B102,#REF!,20,0))</f>
        <v/>
      </c>
      <c r="S102" s="86"/>
      <c r="T102" s="157" t="str">
        <f t="shared" si="39"/>
        <v/>
      </c>
      <c r="U102" s="122" t="str">
        <f t="shared" si="40"/>
        <v/>
      </c>
      <c r="V102" s="122" t="str">
        <f t="shared" si="41"/>
        <v/>
      </c>
      <c r="W102" s="122" t="str">
        <f t="shared" si="30"/>
        <v/>
      </c>
      <c r="X102" s="122" t="str">
        <f t="shared" si="31"/>
        <v/>
      </c>
      <c r="Y102" s="122" t="str">
        <f t="shared" si="32"/>
        <v/>
      </c>
      <c r="Z102" s="122" t="str">
        <f t="shared" si="33"/>
        <v/>
      </c>
      <c r="AA102" s="122" t="str">
        <f t="shared" si="34"/>
        <v/>
      </c>
      <c r="AB102" s="122" t="str">
        <f t="shared" si="35"/>
        <v/>
      </c>
      <c r="AC102" s="193" t="str">
        <f t="shared" si="36"/>
        <v/>
      </c>
      <c r="AD102" s="212" t="str">
        <f t="shared" si="37"/>
        <v/>
      </c>
      <c r="AE102" s="213" t="str">
        <f t="shared" si="38"/>
        <v/>
      </c>
      <c r="AF102" s="193" t="str">
        <f t="shared" si="27"/>
        <v/>
      </c>
    </row>
    <row r="103" spans="2:32" x14ac:dyDescent="0.25">
      <c r="B103" s="201" t="str">
        <f>IF(Stand!C65="","",Stand!C65)</f>
        <v/>
      </c>
      <c r="C103" s="208" t="str" cm="1">
        <f t="array" ref="C103">IF(SUM(IF(B103=Stand_Biomass!$B$4:$B$30,Stand_Biomass!$C$4:$C$30))&gt;0,SUM(IF(B103=Stand_Biomass!$B$4:$B$30,Stand_Biomass!$C$4:$C$30)),"")</f>
        <v/>
      </c>
      <c r="D103" s="209" t="str">
        <f>IF(B103="","",VLOOKUP($B103,Stand!$C:$G,5,0))</f>
        <v/>
      </c>
      <c r="E103" s="28"/>
      <c r="F103" s="157" t="str">
        <f>IF($B103="","",IF(F$39="","",IF(F$39="Snag",(SUMIFS(Tree!$AE:$AE,Tree!$A:$A,$B103,Tree!$F:$F,"D",Tree!$K:$K,"&lt;&gt;"&amp;"Y")/$C103),(SUMIFS(Tree!$AE:$AE,Tree!$A:$A,$B103,Tree!$D:$D,F$39,Tree!$F:$F,"L",Tree!$K:$K,"&lt;&gt;"&amp;"Y")/$C103))))</f>
        <v/>
      </c>
      <c r="G103" s="122" t="str">
        <f>IF($B103="","",IF(G$39="","",IF(G$39="Snag",(SUMIFS(Tree!$AE:$AE,Tree!$A:$A,$B103,Tree!$F:$F,"D",Tree!$K:$K,"&lt;&gt;"&amp;"Y")/$C103),(SUMIFS(Tree!$AE:$AE,Tree!$A:$A,$B103,Tree!$D:$D,G$39,Tree!$F:$F,"L",Tree!$K:$K,"&lt;&gt;"&amp;"Y")/$C103))))</f>
        <v/>
      </c>
      <c r="H103" s="122" t="str">
        <f>IF($B103="","",IF(H$39="","",IF(H$39="Snag",(SUMIFS(Tree!$AE:$AE,Tree!$A:$A,$B103,Tree!$F:$F,"D",Tree!$K:$K,"&lt;&gt;"&amp;"Y")/$C103),(SUMIFS(Tree!$AE:$AE,Tree!$A:$A,$B103,Tree!$D:$D,H$39,Tree!$F:$F,"L",Tree!$K:$K,"&lt;&gt;"&amp;"Y")/$C103))))</f>
        <v/>
      </c>
      <c r="I103" s="122" t="str">
        <f>IF($B103="","",IF(I$39="","",IF(I$39="Snag",(SUMIFS(Tree!$AE:$AE,Tree!$A:$A,$B103,Tree!$F:$F,"D",Tree!$K:$K,"&lt;&gt;"&amp;"Y")/$C103),(SUMIFS(Tree!$AE:$AE,Tree!$A:$A,$B103,Tree!$D:$D,I$39,Tree!$F:$F,"L",Tree!$K:$K,"&lt;&gt;"&amp;"Y")/$C103))))</f>
        <v/>
      </c>
      <c r="J103" s="122" t="str">
        <f>IF($B103="","",IF(J$39="","",IF(J$39="Snag",(SUMIFS(Tree!$AE:$AE,Tree!$A:$A,$B103,Tree!$F:$F,"D",Tree!$K:$K,"&lt;&gt;"&amp;"Y")/$C103),(SUMIFS(Tree!$AE:$AE,Tree!$A:$A,$B103,Tree!$D:$D,J$39,Tree!$F:$F,"L",Tree!$K:$K,"&lt;&gt;"&amp;"Y")/$C103))))</f>
        <v/>
      </c>
      <c r="K103" s="122" t="str">
        <f>IF($B103="","",IF(K$39="","",IF(K$39="Snag",(SUMIFS(Tree!$AE:$AE,Tree!$A:$A,$B103,Tree!$F:$F,"D",Tree!$K:$K,"&lt;&gt;"&amp;"Y")/$C103),(SUMIFS(Tree!$AE:$AE,Tree!$A:$A,$B103,Tree!$D:$D,K$39,Tree!$F:$F,"L",Tree!$K:$K,"&lt;&gt;"&amp;"Y")/$C103))))</f>
        <v/>
      </c>
      <c r="L103" s="122" t="str">
        <f>IF($B103="","",IF(L$39="","",IF(L$39="Snag",(SUMIFS(Tree!$AE:$AE,Tree!$A:$A,$B103,Tree!$F:$F,"D",Tree!$K:$K,"&lt;&gt;"&amp;"Y")/$C103),(SUMIFS(Tree!$AE:$AE,Tree!$A:$A,$B103,Tree!$D:$D,L$39,Tree!$F:$F,"L",Tree!$K:$K,"&lt;&gt;"&amp;"Y")/$C103))))</f>
        <v/>
      </c>
      <c r="M103" s="122" t="str">
        <f>IF($B103="","",IF(M$39="","",IF(M$39="Snag",(SUMIFS(Tree!$AE:$AE,Tree!$A:$A,$B103,Tree!$F:$F,"D",Tree!$K:$K,"&lt;&gt;"&amp;"Y")/$C103),(SUMIFS(Tree!$AE:$AE,Tree!$A:$A,$B103,Tree!$D:$D,M$39,Tree!$F:$F,"L",Tree!$K:$K,"&lt;&gt;"&amp;"Y")/$C103))))</f>
        <v/>
      </c>
      <c r="N103" s="122" t="str">
        <f>IF($B103="","",IF(N$39="","",IF(N$39="Snag",(SUMIFS(Tree!$AE:$AE,Tree!$A:$A,$B103,Tree!$F:$F,"D",Tree!$K:$K,"&lt;&gt;"&amp;"Y")/$C103),(SUMIFS(Tree!$AE:$AE,Tree!$A:$A,$B103,Tree!$D:$D,N$39,Tree!$F:$F,"L",Tree!$K:$K,"&lt;&gt;"&amp;"Y")/$C103))))</f>
        <v/>
      </c>
      <c r="O103" s="193" t="str">
        <f t="shared" si="28"/>
        <v/>
      </c>
      <c r="P103" s="441" t="str">
        <f>IF($B103="","",IF(P$39="","",IF(P$39="Snag",(SUMIFS(Tree!$AQ:$AQ,Tree!$A:$A,$B103,Tree!$F:$F,"D",Tree!$K:$K,"&lt;&gt;"&amp;"Y")/$C103),(SUMIFS(Tree!$AQ:$AQ,Tree!$A:$A,$B103,Tree!$D:$D,P$39,Tree!$F:$F,"L",Tree!$K:$K,"&lt;&gt;"&amp;"Y")/$C103))))</f>
        <v/>
      </c>
      <c r="Q103" s="445" t="str">
        <f>IF(B103="","",VLOOKUP(B103,#REF!,12,0))</f>
        <v/>
      </c>
      <c r="R103" s="448" t="str">
        <f>IF(B103="","",VLOOKUP($B103,#REF!,20,0))</f>
        <v/>
      </c>
      <c r="S103" s="86"/>
      <c r="T103" s="157" t="str">
        <f t="shared" si="39"/>
        <v/>
      </c>
      <c r="U103" s="122" t="str">
        <f t="shared" si="40"/>
        <v/>
      </c>
      <c r="V103" s="122" t="str">
        <f t="shared" si="41"/>
        <v/>
      </c>
      <c r="W103" s="122" t="str">
        <f t="shared" si="30"/>
        <v/>
      </c>
      <c r="X103" s="122" t="str">
        <f t="shared" si="31"/>
        <v/>
      </c>
      <c r="Y103" s="122" t="str">
        <f t="shared" si="32"/>
        <v/>
      </c>
      <c r="Z103" s="122" t="str">
        <f t="shared" si="33"/>
        <v/>
      </c>
      <c r="AA103" s="122" t="str">
        <f t="shared" si="34"/>
        <v/>
      </c>
      <c r="AB103" s="122" t="str">
        <f t="shared" si="35"/>
        <v/>
      </c>
      <c r="AC103" s="193" t="str">
        <f t="shared" si="36"/>
        <v/>
      </c>
      <c r="AD103" s="212" t="str">
        <f t="shared" si="37"/>
        <v/>
      </c>
      <c r="AE103" s="213" t="str">
        <f t="shared" si="38"/>
        <v/>
      </c>
      <c r="AF103" s="193" t="str">
        <f t="shared" si="27"/>
        <v/>
      </c>
    </row>
    <row r="104" spans="2:32" ht="13.8" thickBot="1" x14ac:dyDescent="0.3">
      <c r="B104" s="202" t="str">
        <f>IF(Stand!C66="","",Stand!C66)</f>
        <v/>
      </c>
      <c r="C104" s="210" t="str" cm="1">
        <f t="array" ref="C104">IF(SUM(IF(B104=Stand_Biomass!$B$4:$B$30,Stand_Biomass!$C$4:$C$30))&gt;0,SUM(IF(B104=Stand_Biomass!$B$4:$B$30,Stand_Biomass!$C$4:$C$30)),"")</f>
        <v/>
      </c>
      <c r="D104" s="211" t="str">
        <f>IF(B104="","",VLOOKUP($B104,Stand!$C:$G,5,0))</f>
        <v/>
      </c>
      <c r="E104" s="28"/>
      <c r="F104" s="166" t="str">
        <f>IF($B104="","",IF(F$39="","",IF(F$39="Snag",(SUMIFS(Tree!$AE:$AE,Tree!$A:$A,$B104,Tree!$F:$F,"D",Tree!$K:$K,"&lt;&gt;"&amp;"Y")/$C104),(SUMIFS(Tree!$AE:$AE,Tree!$A:$A,$B104,Tree!$D:$D,F$39,Tree!$F:$F,"L",Tree!$K:$K,"&lt;&gt;"&amp;"Y")/$C104))))</f>
        <v/>
      </c>
      <c r="G104" s="163" t="str">
        <f>IF($B104="","",IF(G$39="","",IF(G$39="Snag",(SUMIFS(Tree!$AE:$AE,Tree!$A:$A,$B104,Tree!$F:$F,"D",Tree!$K:$K,"&lt;&gt;"&amp;"Y")/$C104),(SUMIFS(Tree!$AE:$AE,Tree!$A:$A,$B104,Tree!$D:$D,G$39,Tree!$F:$F,"L",Tree!$K:$K,"&lt;&gt;"&amp;"Y")/$C104))))</f>
        <v/>
      </c>
      <c r="H104" s="163" t="str">
        <f>IF($B104="","",IF(H$39="","",IF(H$39="Snag",(SUMIFS(Tree!$AE:$AE,Tree!$A:$A,$B104,Tree!$F:$F,"D",Tree!$K:$K,"&lt;&gt;"&amp;"Y")/$C104),(SUMIFS(Tree!$AE:$AE,Tree!$A:$A,$B104,Tree!$D:$D,H$39,Tree!$F:$F,"L",Tree!$K:$K,"&lt;&gt;"&amp;"Y")/$C104))))</f>
        <v/>
      </c>
      <c r="I104" s="163" t="str">
        <f>IF($B104="","",IF(I$39="","",IF(I$39="Snag",(SUMIFS(Tree!$AE:$AE,Tree!$A:$A,$B104,Tree!$F:$F,"D",Tree!$K:$K,"&lt;&gt;"&amp;"Y")/$C104),(SUMIFS(Tree!$AE:$AE,Tree!$A:$A,$B104,Tree!$D:$D,I$39,Tree!$F:$F,"L",Tree!$K:$K,"&lt;&gt;"&amp;"Y")/$C104))))</f>
        <v/>
      </c>
      <c r="J104" s="163" t="str">
        <f>IF($B104="","",IF(J$39="","",IF(J$39="Snag",(SUMIFS(Tree!$AE:$AE,Tree!$A:$A,$B104,Tree!$F:$F,"D",Tree!$K:$K,"&lt;&gt;"&amp;"Y")/$C104),(SUMIFS(Tree!$AE:$AE,Tree!$A:$A,$B104,Tree!$D:$D,J$39,Tree!$F:$F,"L",Tree!$K:$K,"&lt;&gt;"&amp;"Y")/$C104))))</f>
        <v/>
      </c>
      <c r="K104" s="163" t="str">
        <f>IF($B104="","",IF(K$39="","",IF(K$39="Snag",(SUMIFS(Tree!$AE:$AE,Tree!$A:$A,$B104,Tree!$F:$F,"D",Tree!$K:$K,"&lt;&gt;"&amp;"Y")/$C104),(SUMIFS(Tree!$AE:$AE,Tree!$A:$A,$B104,Tree!$D:$D,K$39,Tree!$F:$F,"L",Tree!$K:$K,"&lt;&gt;"&amp;"Y")/$C104))))</f>
        <v/>
      </c>
      <c r="L104" s="163" t="str">
        <f>IF($B104="","",IF(L$39="","",IF(L$39="Snag",(SUMIFS(Tree!$AE:$AE,Tree!$A:$A,$B104,Tree!$F:$F,"D",Tree!$K:$K,"&lt;&gt;"&amp;"Y")/$C104),(SUMIFS(Tree!$AE:$AE,Tree!$A:$A,$B104,Tree!$D:$D,L$39,Tree!$F:$F,"L",Tree!$K:$K,"&lt;&gt;"&amp;"Y")/$C104))))</f>
        <v/>
      </c>
      <c r="M104" s="163" t="str">
        <f>IF($B104="","",IF(M$39="","",IF(M$39="Snag",(SUMIFS(Tree!$AE:$AE,Tree!$A:$A,$B104,Tree!$F:$F,"D",Tree!$K:$K,"&lt;&gt;"&amp;"Y")/$C104),(SUMIFS(Tree!$AE:$AE,Tree!$A:$A,$B104,Tree!$D:$D,M$39,Tree!$F:$F,"L",Tree!$K:$K,"&lt;&gt;"&amp;"Y")/$C104))))</f>
        <v/>
      </c>
      <c r="N104" s="163" t="str">
        <f>IF($B104="","",IF(N$39="","",IF(N$39="Snag",(SUMIFS(Tree!$AE:$AE,Tree!$A:$A,$B104,Tree!$F:$F,"D",Tree!$K:$K,"&lt;&gt;"&amp;"Y")/$C104),(SUMIFS(Tree!$AE:$AE,Tree!$A:$A,$B104,Tree!$D:$D,N$39,Tree!$F:$F,"L",Tree!$K:$K,"&lt;&gt;"&amp;"Y")/$C104))))</f>
        <v/>
      </c>
      <c r="O104" s="195" t="str">
        <f t="shared" si="28"/>
        <v/>
      </c>
      <c r="P104" s="442" t="str">
        <f>IF($B104="","",IF(P$39="","",IF(P$39="Snag",(SUMIFS(Tree!$AQ:$AQ,Tree!$A:$A,$B104,Tree!$F:$F,"D",Tree!$K:$K,"&lt;&gt;"&amp;"Y")/$C104),(SUMIFS(Tree!$AQ:$AQ,Tree!$A:$A,$B104,Tree!$D:$D,P$39,Tree!$F:$F,"L",Tree!$K:$K,"&lt;&gt;"&amp;"Y")/$C104))))</f>
        <v/>
      </c>
      <c r="Q104" s="446" t="str">
        <f>IF(B104="","",VLOOKUP(B104,#REF!,12,0))</f>
        <v/>
      </c>
      <c r="R104" s="449" t="str">
        <f>IF(B104="","",VLOOKUP($B104,#REF!,20,0))</f>
        <v/>
      </c>
      <c r="S104" s="86"/>
      <c r="T104" s="166" t="str">
        <f t="shared" si="39"/>
        <v/>
      </c>
      <c r="U104" s="163" t="str">
        <f t="shared" si="40"/>
        <v/>
      </c>
      <c r="V104" s="163" t="str">
        <f t="shared" si="41"/>
        <v/>
      </c>
      <c r="W104" s="163" t="str">
        <f t="shared" si="30"/>
        <v/>
      </c>
      <c r="X104" s="163" t="str">
        <f t="shared" si="31"/>
        <v/>
      </c>
      <c r="Y104" s="163" t="str">
        <f t="shared" si="32"/>
        <v/>
      </c>
      <c r="Z104" s="163" t="str">
        <f t="shared" si="33"/>
        <v/>
      </c>
      <c r="AA104" s="163" t="str">
        <f t="shared" si="34"/>
        <v/>
      </c>
      <c r="AB104" s="163" t="str">
        <f t="shared" si="35"/>
        <v/>
      </c>
      <c r="AC104" s="195" t="str">
        <f t="shared" si="36"/>
        <v/>
      </c>
      <c r="AD104" s="215" t="str">
        <f t="shared" si="37"/>
        <v/>
      </c>
      <c r="AE104" s="216" t="str">
        <f t="shared" si="38"/>
        <v/>
      </c>
      <c r="AF104" s="195" t="str">
        <f t="shared" si="27"/>
        <v/>
      </c>
    </row>
    <row r="105" spans="2:32" ht="13.8" thickBot="1" x14ac:dyDescent="0.3">
      <c r="B105" s="28"/>
      <c r="C105" s="28"/>
      <c r="D105" s="28"/>
      <c r="E105" s="28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22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</row>
    <row r="106" spans="2:32" ht="13.8" thickBot="1" x14ac:dyDescent="0.3">
      <c r="B106" s="225" t="s">
        <v>96</v>
      </c>
      <c r="C106" s="226">
        <f>SUM(C78:C104)</f>
        <v>0</v>
      </c>
      <c r="D106" s="226">
        <f>SUM(D78:D104)</f>
        <v>0</v>
      </c>
      <c r="E106" s="28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22"/>
      <c r="T106" s="227">
        <f t="shared" ref="T106:Y106" si="42">SUM(T78:T104)</f>
        <v>0</v>
      </c>
      <c r="U106" s="228">
        <f t="shared" si="42"/>
        <v>0</v>
      </c>
      <c r="V106" s="228">
        <f t="shared" si="42"/>
        <v>0</v>
      </c>
      <c r="W106" s="228">
        <f t="shared" si="42"/>
        <v>0</v>
      </c>
      <c r="X106" s="228">
        <f t="shared" si="42"/>
        <v>0</v>
      </c>
      <c r="Y106" s="228">
        <f t="shared" si="42"/>
        <v>0</v>
      </c>
      <c r="Z106" s="228"/>
      <c r="AA106" s="228"/>
      <c r="AB106" s="228"/>
      <c r="AC106" s="229">
        <f>SUM(AC78:AC104)</f>
        <v>0</v>
      </c>
      <c r="AD106" s="230">
        <f>SUM(AD78:AD104)</f>
        <v>0</v>
      </c>
      <c r="AE106" s="230">
        <f>SUM(AE78:AE104)</f>
        <v>0</v>
      </c>
      <c r="AF106" s="26"/>
    </row>
  </sheetData>
  <mergeCells count="9">
    <mergeCell ref="B75:D76"/>
    <mergeCell ref="F76:R76"/>
    <mergeCell ref="T76:AF76"/>
    <mergeCell ref="B1:D2"/>
    <mergeCell ref="F2:R2"/>
    <mergeCell ref="T2:AF2"/>
    <mergeCell ref="B37:D38"/>
    <mergeCell ref="F38:R38"/>
    <mergeCell ref="T38:AF3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CFFFF"/>
  </sheetPr>
  <dimension ref="A1:Z61"/>
  <sheetViews>
    <sheetView topLeftCell="A40" workbookViewId="0">
      <selection activeCell="L15" sqref="L15"/>
    </sheetView>
  </sheetViews>
  <sheetFormatPr defaultColWidth="17.21875" defaultRowHeight="15" customHeight="1" x14ac:dyDescent="0.25"/>
  <cols>
    <col min="1" max="1" width="11.77734375" customWidth="1"/>
    <col min="2" max="10" width="7.77734375" customWidth="1"/>
    <col min="11" max="11" width="7.44140625" customWidth="1"/>
    <col min="12" max="13" width="5.77734375" customWidth="1"/>
    <col min="14" max="14" width="7" customWidth="1"/>
    <col min="15" max="15" width="7.77734375" customWidth="1"/>
    <col min="16" max="16" width="8.21875" customWidth="1"/>
    <col min="17" max="17" width="7.44140625" customWidth="1"/>
    <col min="18" max="18" width="7.21875" customWidth="1"/>
    <col min="19" max="24" width="7" customWidth="1"/>
    <col min="25" max="25" width="8.77734375" customWidth="1"/>
  </cols>
  <sheetData>
    <row r="1" spans="1:22" ht="12.75" customHeight="1" x14ac:dyDescent="0.25">
      <c r="A1" s="628" t="s">
        <v>229</v>
      </c>
      <c r="B1" s="628"/>
      <c r="C1" s="628"/>
      <c r="D1" s="628"/>
      <c r="E1" s="628"/>
      <c r="F1" s="628"/>
      <c r="G1" s="244"/>
      <c r="H1" s="244"/>
      <c r="I1" s="16"/>
      <c r="J1" s="16"/>
      <c r="K1" s="16"/>
      <c r="L1" s="16"/>
      <c r="M1" s="16"/>
      <c r="N1" s="16"/>
      <c r="O1" s="16"/>
      <c r="P1" s="1"/>
      <c r="Q1" s="21"/>
      <c r="R1" s="1"/>
      <c r="S1" s="1"/>
      <c r="T1" s="1"/>
      <c r="V1" s="1"/>
    </row>
    <row r="2" spans="1:22" ht="13.5" customHeight="1" x14ac:dyDescent="0.25">
      <c r="A2" s="628"/>
      <c r="B2" s="628"/>
      <c r="C2" s="628"/>
      <c r="D2" s="628"/>
      <c r="E2" s="628"/>
      <c r="F2" s="628"/>
      <c r="G2" s="244"/>
      <c r="H2" s="244"/>
      <c r="I2" s="16"/>
      <c r="J2" s="16"/>
      <c r="K2" s="16"/>
      <c r="L2" s="16"/>
      <c r="M2" s="16"/>
      <c r="N2" s="16"/>
      <c r="O2" s="16"/>
      <c r="P2" s="1"/>
      <c r="Q2" s="21"/>
      <c r="R2" s="1"/>
      <c r="S2" s="1"/>
      <c r="T2" s="1"/>
      <c r="V2" s="1"/>
    </row>
    <row r="3" spans="1:22" ht="13.5" customHeight="1" thickBot="1" x14ac:dyDescent="0.3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21"/>
      <c r="R3" s="1"/>
      <c r="S3" s="1"/>
      <c r="T3" s="1"/>
      <c r="V3" s="1"/>
    </row>
    <row r="4" spans="1:22" ht="13.5" customHeight="1" x14ac:dyDescent="0.25">
      <c r="A4" s="5" t="s">
        <v>9</v>
      </c>
      <c r="B4" s="629">
        <v>1</v>
      </c>
      <c r="C4" s="630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21"/>
      <c r="R4" s="1"/>
      <c r="S4" s="1"/>
      <c r="T4" s="1"/>
      <c r="V4" s="1"/>
    </row>
    <row r="5" spans="1:22" ht="13.5" customHeight="1" thickBot="1" x14ac:dyDescent="0.3">
      <c r="A5" s="5" t="s">
        <v>10</v>
      </c>
      <c r="B5" s="631" t="s">
        <v>253</v>
      </c>
      <c r="C5" s="63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21"/>
      <c r="R5" s="1"/>
      <c r="S5" s="1"/>
      <c r="T5" s="1"/>
      <c r="V5" s="1"/>
    </row>
    <row r="6" spans="1:22" ht="12.75" customHeight="1" x14ac:dyDescent="0.25">
      <c r="B6" s="1" t="s">
        <v>97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21"/>
    </row>
    <row r="7" spans="1:22" ht="13.5" customHeight="1" x14ac:dyDescent="0.25">
      <c r="C7" s="28"/>
      <c r="D7" s="28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21"/>
    </row>
    <row r="8" spans="1:22" ht="12.75" customHeight="1" thickBot="1" x14ac:dyDescent="0.3">
      <c r="A8" s="87" t="s">
        <v>160</v>
      </c>
      <c r="B8" s="23">
        <v>5</v>
      </c>
      <c r="C8" s="23">
        <v>10</v>
      </c>
      <c r="D8" s="23">
        <v>15</v>
      </c>
      <c r="E8" s="23">
        <v>20</v>
      </c>
      <c r="F8" s="23">
        <v>25</v>
      </c>
      <c r="G8" s="23">
        <v>30</v>
      </c>
      <c r="H8" s="23">
        <v>35</v>
      </c>
      <c r="I8" s="23">
        <v>40</v>
      </c>
      <c r="J8" s="23"/>
      <c r="K8" s="24"/>
      <c r="L8" s="16"/>
      <c r="M8" s="16"/>
      <c r="N8" s="16"/>
      <c r="O8" s="16"/>
      <c r="P8" s="1"/>
      <c r="Q8" s="21"/>
      <c r="R8" s="1"/>
      <c r="S8" s="1"/>
      <c r="T8" s="1"/>
      <c r="V8" s="1"/>
    </row>
    <row r="9" spans="1:22" ht="12.75" customHeight="1" thickBot="1" x14ac:dyDescent="0.3">
      <c r="A9" s="96" t="s">
        <v>161</v>
      </c>
      <c r="B9" s="88">
        <v>0</v>
      </c>
      <c r="C9" s="88">
        <v>5</v>
      </c>
      <c r="D9" s="88">
        <v>10</v>
      </c>
      <c r="E9" s="88">
        <v>15</v>
      </c>
      <c r="F9" s="88">
        <v>20</v>
      </c>
      <c r="G9" s="88">
        <v>25</v>
      </c>
      <c r="H9" s="88">
        <v>30</v>
      </c>
      <c r="I9" s="88">
        <v>35</v>
      </c>
      <c r="J9" s="88">
        <v>40</v>
      </c>
      <c r="K9" s="89" t="s">
        <v>95</v>
      </c>
      <c r="L9" s="16"/>
      <c r="M9" s="16"/>
      <c r="N9" s="16"/>
      <c r="O9" s="16"/>
      <c r="P9" s="1"/>
      <c r="Q9" s="21"/>
      <c r="R9" s="1"/>
      <c r="S9" s="1"/>
      <c r="T9" s="1"/>
      <c r="V9" s="1"/>
    </row>
    <row r="10" spans="1:22" ht="12.75" customHeight="1" x14ac:dyDescent="0.25">
      <c r="A10" s="339" t="s">
        <v>30</v>
      </c>
      <c r="B10" s="240" t="e">
        <f>IF($A10="Snag",IF($B$5="All",SUMIFS(Tree!$O:$O,Tree!$A:$A,$B$4,Tree!$F:$F,"D",Tree!$K:$K,"&lt;&gt;"&amp;"Y",Tree!$E:$E,"&gt;="&amp;B$9,Tree!$E:$E,"&lt;"&amp;B$8)/VLOOKUP($B$4,Stand!$C:$H,6,0),SUMIFS(Tree!$O:$O,Tree!$A:$A,$B$4,Tree!$B:$B,$B$5,Tree!$F:$F,"D",Tree!$K:$K,"&lt;&gt;"&amp;"Y",Tree!$E:$E,"&gt;="&amp;B$9,Tree!$E:$E,"&lt;"&amp;B$8)/VLOOKUP($B$4,Stand!$C:$H,6,0)),IF($B$5="All",SUMIFS(Tree!$O:$O,Tree!$A:$A,$B$4,Tree!$D:$D,$A10,Tree!$F:$F,"L",Tree!$K:$K,"&lt;&gt;"&amp;"Y",Tree!$E:$E,"&gt;="&amp;B$9,Tree!$E:$E,"&lt;"&amp;B$8)/VLOOKUP($B$4,Stand!$C:$H,6,0),SUMIFS(Tree!$O:$O,Tree!$A:$A,$B$4,Tree!$B:$B,$B$5,Tree!$D:$D,$A10,Tree!$F:$F,"L",Tree!$K:$K,"&lt;&gt;"&amp;"Y",Tree!$E:$E,"&gt;="&amp;B$9,Tree!$E:$E,"&lt;"&amp;B$8)))</f>
        <v>#N/A</v>
      </c>
      <c r="C10" s="234" t="e">
        <f>IF($A10="Snag",IF($B$5="All",SUMIFS(Tree!$O:$O,Tree!$A:$A,$B$4,Tree!$F:$F,"D",Tree!$K:$K,"&lt;&gt;"&amp;"Y",Tree!$E:$E,"&gt;="&amp;C$9,Tree!$E:$E,"&lt;"&amp;C$8)/VLOOKUP($B$4,Stand!$C:$H,6,0),SUMIFS(Tree!$O:$O,Tree!$A:$A,$B$4,Tree!$B:$B,$B$5,Tree!$F:$F,"D",Tree!$K:$K,"&lt;&gt;"&amp;"Y",Tree!$E:$E,"&gt;="&amp;C$9,Tree!$E:$E,"&lt;"&amp;C$8)/VLOOKUP($B$4,Stand!$C:$H,6,0)),IF($B$5="All",SUMIFS(Tree!$O:$O,Tree!$A:$A,$B$4,Tree!$D:$D,$A10,Tree!$F:$F,"L",Tree!$K:$K,"&lt;&gt;"&amp;"Y",Tree!$E:$E,"&gt;="&amp;C$9,Tree!$E:$E,"&lt;"&amp;C$8)/VLOOKUP($B$4,Stand!$C:$H,6,0),SUMIFS(Tree!$O:$O,Tree!$A:$A,$B$4,Tree!$B:$B,$B$5,Tree!$D:$D,$A10,Tree!$F:$F,"L",Tree!$K:$K,"&lt;&gt;"&amp;"Y",Tree!$E:$E,"&gt;="&amp;C$9,Tree!$E:$E,"&lt;"&amp;C$8)))</f>
        <v>#N/A</v>
      </c>
      <c r="D10" s="234" t="e">
        <f>IF($A10="Snag",IF($B$5="All",SUMIFS(Tree!$O:$O,Tree!$A:$A,$B$4,Tree!$F:$F,"D",Tree!$K:$K,"&lt;&gt;"&amp;"Y",Tree!$E:$E,"&gt;="&amp;D$9,Tree!$E:$E,"&lt;"&amp;D$8)/VLOOKUP($B$4,Stand!$C:$H,6,0),SUMIFS(Tree!$O:$O,Tree!$A:$A,$B$4,Tree!$B:$B,$B$5,Tree!$F:$F,"D",Tree!$K:$K,"&lt;&gt;"&amp;"Y",Tree!$E:$E,"&gt;="&amp;D$9,Tree!$E:$E,"&lt;"&amp;D$8)/VLOOKUP($B$4,Stand!$C:$H,6,0)),IF($B$5="All",SUMIFS(Tree!$O:$O,Tree!$A:$A,$B$4,Tree!$D:$D,$A10,Tree!$F:$F,"L",Tree!$K:$K,"&lt;&gt;"&amp;"Y",Tree!$E:$E,"&gt;="&amp;D$9,Tree!$E:$E,"&lt;"&amp;D$8)/VLOOKUP($B$4,Stand!$C:$H,6,0),SUMIFS(Tree!$O:$O,Tree!$A:$A,$B$4,Tree!$B:$B,$B$5,Tree!$D:$D,$A10,Tree!$F:$F,"L",Tree!$K:$K,"&lt;&gt;"&amp;"Y",Tree!$E:$E,"&gt;="&amp;D$9,Tree!$E:$E,"&lt;"&amp;D$8)))</f>
        <v>#N/A</v>
      </c>
      <c r="E10" s="234" t="e">
        <f>IF($A10="Snag",IF($B$5="All",SUMIFS(Tree!$O:$O,Tree!$A:$A,$B$4,Tree!$F:$F,"D",Tree!$K:$K,"&lt;&gt;"&amp;"Y",Tree!$E:$E,"&gt;="&amp;E$9,Tree!$E:$E,"&lt;"&amp;E$8)/VLOOKUP($B$4,Stand!$C:$H,6,0),SUMIFS(Tree!$O:$O,Tree!$A:$A,$B$4,Tree!$B:$B,$B$5,Tree!$F:$F,"D",Tree!$K:$K,"&lt;&gt;"&amp;"Y",Tree!$E:$E,"&gt;="&amp;E$9,Tree!$E:$E,"&lt;"&amp;E$8)/VLOOKUP($B$4,Stand!$C:$H,6,0)),IF($B$5="All",SUMIFS(Tree!$O:$O,Tree!$A:$A,$B$4,Tree!$D:$D,$A10,Tree!$F:$F,"L",Tree!$K:$K,"&lt;&gt;"&amp;"Y",Tree!$E:$E,"&gt;="&amp;E$9,Tree!$E:$E,"&lt;"&amp;E$8)/VLOOKUP($B$4,Stand!$C:$H,6,0),SUMIFS(Tree!$O:$O,Tree!$A:$A,$B$4,Tree!$B:$B,$B$5,Tree!$D:$D,$A10,Tree!$F:$F,"L",Tree!$K:$K,"&lt;&gt;"&amp;"Y",Tree!$E:$E,"&gt;="&amp;E$9,Tree!$E:$E,"&lt;"&amp;E$8)))</f>
        <v>#N/A</v>
      </c>
      <c r="F10" s="234" t="e">
        <f>IF($A10="Snag",IF($B$5="All",SUMIFS(Tree!$O:$O,Tree!$A:$A,$B$4,Tree!$F:$F,"D",Tree!$K:$K,"&lt;&gt;"&amp;"Y",Tree!$E:$E,"&gt;="&amp;F$9,Tree!$E:$E,"&lt;"&amp;F$8)/VLOOKUP($B$4,Stand!$C:$H,6,0),SUMIFS(Tree!$O:$O,Tree!$A:$A,$B$4,Tree!$B:$B,$B$5,Tree!$F:$F,"D",Tree!$K:$K,"&lt;&gt;"&amp;"Y",Tree!$E:$E,"&gt;="&amp;F$9,Tree!$E:$E,"&lt;"&amp;F$8)/VLOOKUP($B$4,Stand!$C:$H,6,0)),IF($B$5="All",SUMIFS(Tree!$O:$O,Tree!$A:$A,$B$4,Tree!$D:$D,$A10,Tree!$F:$F,"L",Tree!$K:$K,"&lt;&gt;"&amp;"Y",Tree!$E:$E,"&gt;="&amp;F$9,Tree!$E:$E,"&lt;"&amp;F$8)/VLOOKUP($B$4,Stand!$C:$H,6,0),SUMIFS(Tree!$O:$O,Tree!$A:$A,$B$4,Tree!$B:$B,$B$5,Tree!$D:$D,$A10,Tree!$F:$F,"L",Tree!$K:$K,"&lt;&gt;"&amp;"Y",Tree!$E:$E,"&gt;="&amp;F$9,Tree!$E:$E,"&lt;"&amp;F$8)))</f>
        <v>#N/A</v>
      </c>
      <c r="G10" s="234" t="e">
        <f>IF($A10="Snag",IF($B$5="All",SUMIFS(Tree!$O:$O,Tree!$A:$A,$B$4,Tree!$F:$F,"D",Tree!$K:$K,"&lt;&gt;"&amp;"Y",Tree!$E:$E,"&gt;="&amp;G$9,Tree!$E:$E,"&lt;"&amp;G$8)/VLOOKUP($B$4,Stand!$C:$H,6,0),SUMIFS(Tree!$O:$O,Tree!$A:$A,$B$4,Tree!$B:$B,$B$5,Tree!$F:$F,"D",Tree!$K:$K,"&lt;&gt;"&amp;"Y",Tree!$E:$E,"&gt;="&amp;G$9,Tree!$E:$E,"&lt;"&amp;G$8)/VLOOKUP($B$4,Stand!$C:$H,6,0)),IF($B$5="All",SUMIFS(Tree!$O:$O,Tree!$A:$A,$B$4,Tree!$D:$D,$A10,Tree!$F:$F,"L",Tree!$K:$K,"&lt;&gt;"&amp;"Y",Tree!$E:$E,"&gt;="&amp;G$9,Tree!$E:$E,"&lt;"&amp;G$8)/VLOOKUP($B$4,Stand!$C:$H,6,0),SUMIFS(Tree!$O:$O,Tree!$A:$A,$B$4,Tree!$B:$B,$B$5,Tree!$D:$D,$A10,Tree!$F:$F,"L",Tree!$K:$K,"&lt;&gt;"&amp;"Y",Tree!$E:$E,"&gt;="&amp;G$9,Tree!$E:$E,"&lt;"&amp;G$8)))</f>
        <v>#N/A</v>
      </c>
      <c r="H10" s="234" t="e">
        <f>IF($A10="Snag",IF($B$5="All",SUMIFS(Tree!$O:$O,Tree!$A:$A,$B$4,Tree!$F:$F,"D",Tree!$K:$K,"&lt;&gt;"&amp;"Y",Tree!$E:$E,"&gt;="&amp;H$9,Tree!$E:$E,"&lt;"&amp;H$8)/VLOOKUP($B$4,Stand!$C:$H,6,0),SUMIFS(Tree!$O:$O,Tree!$A:$A,$B$4,Tree!$B:$B,$B$5,Tree!$F:$F,"D",Tree!$K:$K,"&lt;&gt;"&amp;"Y",Tree!$E:$E,"&gt;="&amp;H$9,Tree!$E:$E,"&lt;"&amp;H$8)/VLOOKUP($B$4,Stand!$C:$H,6,0)),IF($B$5="All",SUMIFS(Tree!$O:$O,Tree!$A:$A,$B$4,Tree!$D:$D,$A10,Tree!$F:$F,"L",Tree!$K:$K,"&lt;&gt;"&amp;"Y",Tree!$E:$E,"&gt;="&amp;H$9,Tree!$E:$E,"&lt;"&amp;H$8)/VLOOKUP($B$4,Stand!$C:$H,6,0),SUMIFS(Tree!$O:$O,Tree!$A:$A,$B$4,Tree!$B:$B,$B$5,Tree!$D:$D,$A10,Tree!$F:$F,"L",Tree!$K:$K,"&lt;&gt;"&amp;"Y",Tree!$E:$E,"&gt;="&amp;H$9,Tree!$E:$E,"&lt;"&amp;H$8)))</f>
        <v>#N/A</v>
      </c>
      <c r="I10" s="234" t="e">
        <f>IF($A10="Snag",IF($B$5="All",SUMIFS(Tree!$O:$O,Tree!$A:$A,$B$4,Tree!$F:$F,"D",Tree!$K:$K,"&lt;&gt;"&amp;"Y",Tree!$E:$E,"&gt;="&amp;I$9,Tree!$E:$E,"&lt;"&amp;I$8)/VLOOKUP($B$4,Stand!$C:$H,6,0),SUMIFS(Tree!$O:$O,Tree!$A:$A,$B$4,Tree!$B:$B,$B$5,Tree!$F:$F,"D",Tree!$K:$K,"&lt;&gt;"&amp;"Y",Tree!$E:$E,"&gt;="&amp;I$9,Tree!$E:$E,"&lt;"&amp;I$8)/VLOOKUP($B$4,Stand!$C:$H,6,0)),IF($B$5="All",SUMIFS(Tree!$O:$O,Tree!$A:$A,$B$4,Tree!$D:$D,$A10,Tree!$F:$F,"L",Tree!$K:$K,"&lt;&gt;"&amp;"Y",Tree!$E:$E,"&gt;="&amp;I$9,Tree!$E:$E,"&lt;"&amp;I$8)/VLOOKUP($B$4,Stand!$C:$H,6,0),SUMIFS(Tree!$O:$O,Tree!$A:$A,$B$4,Tree!$B:$B,$B$5,Tree!$D:$D,$A10,Tree!$F:$F,"L",Tree!$K:$K,"&lt;&gt;"&amp;"Y",Tree!$E:$E,"&gt;="&amp;I$9,Tree!$E:$E,"&lt;"&amp;I$8)))</f>
        <v>#N/A</v>
      </c>
      <c r="J10" s="235" t="e">
        <f>IF($A10="Snag",IF($B$5="All",SUMIFS(Tree!$O:$O,Tree!$A:$A,$B$4,Tree!$F:$F,"D",Tree!$K:$K,"&lt;&gt;"&amp;"Y",Tree!$E:$E,"&gt;="&amp;J$9)/VLOOKUP($B$4,Stand!$C:$H,6,0),SUMIFS(Tree!$O:$O,Tree!$A:$A,$B$4,Tree!$B:$B,$B$5,Tree!$F:$F,"D",Tree!$K:$K,"&lt;&gt;"&amp;"Y",Tree!$E:$E,"&gt;="&amp;J$9)/VLOOKUP($B$4,Stand!$C:$H,6,0)),IF($B$5="All",SUMIFS(Tree!$O:$O,Tree!$A:$A,$B$4,Tree!$D:$D,$A10,Tree!$F:$F,"L",Tree!$K:$K,"&lt;&gt;"&amp;"Y",Tree!$E:$E,"&gt;="&amp;J$9)/VLOOKUP($B$4,Stand!$C:$H,6,0),SUMIFS(Tree!$O:$O,Tree!$A:$A,$B$4,Tree!$B:$B,$B$5,Tree!$D:$D,$A10,Tree!$F:$F,"L",Tree!$K:$K,"&lt;&gt;"&amp;"Y",Tree!$E:$E,"&gt;="&amp;J$9)))</f>
        <v>#N/A</v>
      </c>
      <c r="K10" s="93" t="e">
        <f>SUM(B10:J10)</f>
        <v>#N/A</v>
      </c>
      <c r="L10" s="16"/>
      <c r="M10" s="16"/>
      <c r="N10" s="16"/>
      <c r="O10" s="16"/>
      <c r="P10" s="1"/>
      <c r="Q10" s="21"/>
      <c r="R10" s="1"/>
      <c r="S10" s="1"/>
      <c r="T10" s="1"/>
      <c r="V10" s="1"/>
    </row>
    <row r="11" spans="1:22" ht="12.75" customHeight="1" x14ac:dyDescent="0.25">
      <c r="A11" s="340" t="s">
        <v>32</v>
      </c>
      <c r="B11" s="241" t="e">
        <f>IF($A11="Snag",IF($B$5="All",SUMIFS(Tree!$O:$O,Tree!$A:$A,$B$4,Tree!$F:$F,"D",Tree!$K:$K,"&lt;&gt;"&amp;"Y",Tree!$E:$E,"&gt;="&amp;B$9,Tree!$E:$E,"&lt;"&amp;B$8)/VLOOKUP($B$4,Stand!$C:$H,6,0),SUMIFS(Tree!$O:$O,Tree!$A:$A,$B$4,Tree!$B:$B,$B$5,Tree!$F:$F,"D",Tree!$K:$K,"&lt;&gt;"&amp;"Y",Tree!$E:$E,"&gt;="&amp;B$9,Tree!$E:$E,"&lt;"&amp;B$8)/VLOOKUP($B$4,Stand!$C:$H,6,0)),IF($B$5="All",SUMIFS(Tree!$O:$O,Tree!$A:$A,$B$4,Tree!$D:$D,$A11,Tree!$F:$F,"L",Tree!$K:$K,"&lt;&gt;"&amp;"Y",Tree!$E:$E,"&gt;="&amp;B$9,Tree!$E:$E,"&lt;"&amp;B$8)/VLOOKUP($B$4,Stand!$C:$H,6,0),SUMIFS(Tree!$O:$O,Tree!$A:$A,$B$4,Tree!$B:$B,$B$5,Tree!$D:$D,$A11,Tree!$F:$F,"L",Tree!$K:$K,"&lt;&gt;"&amp;"Y",Tree!$E:$E,"&gt;="&amp;B$9,Tree!$E:$E,"&lt;"&amp;B$8)))</f>
        <v>#N/A</v>
      </c>
      <c r="C11" s="236" t="e">
        <f>IF($A11="Snag",IF($B$5="All",SUMIFS(Tree!$O:$O,Tree!$A:$A,$B$4,Tree!$F:$F,"D",Tree!$K:$K,"&lt;&gt;"&amp;"Y",Tree!$E:$E,"&gt;="&amp;C$9,Tree!$E:$E,"&lt;"&amp;C$8)/VLOOKUP($B$4,Stand!$C:$H,6,0),SUMIFS(Tree!$O:$O,Tree!$A:$A,$B$4,Tree!$B:$B,$B$5,Tree!$F:$F,"D",Tree!$K:$K,"&lt;&gt;"&amp;"Y",Tree!$E:$E,"&gt;="&amp;C$9,Tree!$E:$E,"&lt;"&amp;C$8)/VLOOKUP($B$4,Stand!$C:$H,6,0)),IF($B$5="All",SUMIFS(Tree!$O:$O,Tree!$A:$A,$B$4,Tree!$D:$D,$A11,Tree!$F:$F,"L",Tree!$K:$K,"&lt;&gt;"&amp;"Y",Tree!$E:$E,"&gt;="&amp;C$9,Tree!$E:$E,"&lt;"&amp;C$8)/VLOOKUP($B$4,Stand!$C:$H,6,0),SUMIFS(Tree!$O:$O,Tree!$A:$A,$B$4,Tree!$B:$B,$B$5,Tree!$D:$D,$A11,Tree!$F:$F,"L",Tree!$K:$K,"&lt;&gt;"&amp;"Y",Tree!$E:$E,"&gt;="&amp;C$9,Tree!$E:$E,"&lt;"&amp;C$8)))</f>
        <v>#N/A</v>
      </c>
      <c r="D11" s="236" t="e">
        <f>IF($A11="Snag",IF($B$5="All",SUMIFS(Tree!$O:$O,Tree!$A:$A,$B$4,Tree!$F:$F,"D",Tree!$K:$K,"&lt;&gt;"&amp;"Y",Tree!$E:$E,"&gt;="&amp;D$9,Tree!$E:$E,"&lt;"&amp;D$8)/VLOOKUP($B$4,Stand!$C:$H,6,0),SUMIFS(Tree!$O:$O,Tree!$A:$A,$B$4,Tree!$B:$B,$B$5,Tree!$F:$F,"D",Tree!$K:$K,"&lt;&gt;"&amp;"Y",Tree!$E:$E,"&gt;="&amp;D$9,Tree!$E:$E,"&lt;"&amp;D$8)/VLOOKUP($B$4,Stand!$C:$H,6,0)),IF($B$5="All",SUMIFS(Tree!$O:$O,Tree!$A:$A,$B$4,Tree!$D:$D,$A11,Tree!$F:$F,"L",Tree!$K:$K,"&lt;&gt;"&amp;"Y",Tree!$E:$E,"&gt;="&amp;D$9,Tree!$E:$E,"&lt;"&amp;D$8)/VLOOKUP($B$4,Stand!$C:$H,6,0),SUMIFS(Tree!$O:$O,Tree!$A:$A,$B$4,Tree!$B:$B,$B$5,Tree!$D:$D,$A11,Tree!$F:$F,"L",Tree!$K:$K,"&lt;&gt;"&amp;"Y",Tree!$E:$E,"&gt;="&amp;D$9,Tree!$E:$E,"&lt;"&amp;D$8)))</f>
        <v>#N/A</v>
      </c>
      <c r="E11" s="236" t="e">
        <f>IF($A11="Snag",IF($B$5="All",SUMIFS(Tree!$O:$O,Tree!$A:$A,$B$4,Tree!$F:$F,"D",Tree!$K:$K,"&lt;&gt;"&amp;"Y",Tree!$E:$E,"&gt;="&amp;E$9,Tree!$E:$E,"&lt;"&amp;E$8)/VLOOKUP($B$4,Stand!$C:$H,6,0),SUMIFS(Tree!$O:$O,Tree!$A:$A,$B$4,Tree!$B:$B,$B$5,Tree!$F:$F,"D",Tree!$K:$K,"&lt;&gt;"&amp;"Y",Tree!$E:$E,"&gt;="&amp;E$9,Tree!$E:$E,"&lt;"&amp;E$8)/VLOOKUP($B$4,Stand!$C:$H,6,0)),IF($B$5="All",SUMIFS(Tree!$O:$O,Tree!$A:$A,$B$4,Tree!$D:$D,$A11,Tree!$F:$F,"L",Tree!$K:$K,"&lt;&gt;"&amp;"Y",Tree!$E:$E,"&gt;="&amp;E$9,Tree!$E:$E,"&lt;"&amp;E$8)/VLOOKUP($B$4,Stand!$C:$H,6,0),SUMIFS(Tree!$O:$O,Tree!$A:$A,$B$4,Tree!$B:$B,$B$5,Tree!$D:$D,$A11,Tree!$F:$F,"L",Tree!$K:$K,"&lt;&gt;"&amp;"Y",Tree!$E:$E,"&gt;="&amp;E$9,Tree!$E:$E,"&lt;"&amp;E$8)))</f>
        <v>#N/A</v>
      </c>
      <c r="F11" s="236" t="e">
        <f>IF($A11="Snag",IF($B$5="All",SUMIFS(Tree!$O:$O,Tree!$A:$A,$B$4,Tree!$F:$F,"D",Tree!$K:$K,"&lt;&gt;"&amp;"Y",Tree!$E:$E,"&gt;="&amp;F$9,Tree!$E:$E,"&lt;"&amp;F$8)/VLOOKUP($B$4,Stand!$C:$H,6,0),SUMIFS(Tree!$O:$O,Tree!$A:$A,$B$4,Tree!$B:$B,$B$5,Tree!$F:$F,"D",Tree!$K:$K,"&lt;&gt;"&amp;"Y",Tree!$E:$E,"&gt;="&amp;F$9,Tree!$E:$E,"&lt;"&amp;F$8)/VLOOKUP($B$4,Stand!$C:$H,6,0)),IF($B$5="All",SUMIFS(Tree!$O:$O,Tree!$A:$A,$B$4,Tree!$D:$D,$A11,Tree!$F:$F,"L",Tree!$K:$K,"&lt;&gt;"&amp;"Y",Tree!$E:$E,"&gt;="&amp;F$9,Tree!$E:$E,"&lt;"&amp;F$8)/VLOOKUP($B$4,Stand!$C:$H,6,0),SUMIFS(Tree!$O:$O,Tree!$A:$A,$B$4,Tree!$B:$B,$B$5,Tree!$D:$D,$A11,Tree!$F:$F,"L",Tree!$K:$K,"&lt;&gt;"&amp;"Y",Tree!$E:$E,"&gt;="&amp;F$9,Tree!$E:$E,"&lt;"&amp;F$8)))</f>
        <v>#N/A</v>
      </c>
      <c r="G11" s="236" t="e">
        <f>IF($A11="Snag",IF($B$5="All",SUMIFS(Tree!$O:$O,Tree!$A:$A,$B$4,Tree!$F:$F,"D",Tree!$K:$K,"&lt;&gt;"&amp;"Y",Tree!$E:$E,"&gt;="&amp;G$9,Tree!$E:$E,"&lt;"&amp;G$8)/VLOOKUP($B$4,Stand!$C:$H,6,0),SUMIFS(Tree!$O:$O,Tree!$A:$A,$B$4,Tree!$B:$B,$B$5,Tree!$F:$F,"D",Tree!$K:$K,"&lt;&gt;"&amp;"Y",Tree!$E:$E,"&gt;="&amp;G$9,Tree!$E:$E,"&lt;"&amp;G$8)/VLOOKUP($B$4,Stand!$C:$H,6,0)),IF($B$5="All",SUMIFS(Tree!$O:$O,Tree!$A:$A,$B$4,Tree!$D:$D,$A11,Tree!$F:$F,"L",Tree!$K:$K,"&lt;&gt;"&amp;"Y",Tree!$E:$E,"&gt;="&amp;G$9,Tree!$E:$E,"&lt;"&amp;G$8)/VLOOKUP($B$4,Stand!$C:$H,6,0),SUMIFS(Tree!$O:$O,Tree!$A:$A,$B$4,Tree!$B:$B,$B$5,Tree!$D:$D,$A11,Tree!$F:$F,"L",Tree!$K:$K,"&lt;&gt;"&amp;"Y",Tree!$E:$E,"&gt;="&amp;G$9,Tree!$E:$E,"&lt;"&amp;G$8)))</f>
        <v>#N/A</v>
      </c>
      <c r="H11" s="236" t="e">
        <f>IF($A11="Snag",IF($B$5="All",SUMIFS(Tree!$O:$O,Tree!$A:$A,$B$4,Tree!$F:$F,"D",Tree!$K:$K,"&lt;&gt;"&amp;"Y",Tree!$E:$E,"&gt;="&amp;H$9,Tree!$E:$E,"&lt;"&amp;H$8)/VLOOKUP($B$4,Stand!$C:$H,6,0),SUMIFS(Tree!$O:$O,Tree!$A:$A,$B$4,Tree!$B:$B,$B$5,Tree!$F:$F,"D",Tree!$K:$K,"&lt;&gt;"&amp;"Y",Tree!$E:$E,"&gt;="&amp;H$9,Tree!$E:$E,"&lt;"&amp;H$8)/VLOOKUP($B$4,Stand!$C:$H,6,0)),IF($B$5="All",SUMIFS(Tree!$O:$O,Tree!$A:$A,$B$4,Tree!$D:$D,$A11,Tree!$F:$F,"L",Tree!$K:$K,"&lt;&gt;"&amp;"Y",Tree!$E:$E,"&gt;="&amp;H$9,Tree!$E:$E,"&lt;"&amp;H$8)/VLOOKUP($B$4,Stand!$C:$H,6,0),SUMIFS(Tree!$O:$O,Tree!$A:$A,$B$4,Tree!$B:$B,$B$5,Tree!$D:$D,$A11,Tree!$F:$F,"L",Tree!$K:$K,"&lt;&gt;"&amp;"Y",Tree!$E:$E,"&gt;="&amp;H$9,Tree!$E:$E,"&lt;"&amp;H$8)))</f>
        <v>#N/A</v>
      </c>
      <c r="I11" s="236" t="e">
        <f>IF($A11="Snag",IF($B$5="All",SUMIFS(Tree!$O:$O,Tree!$A:$A,$B$4,Tree!$F:$F,"D",Tree!$K:$K,"&lt;&gt;"&amp;"Y",Tree!$E:$E,"&gt;="&amp;I$9,Tree!$E:$E,"&lt;"&amp;I$8)/VLOOKUP($B$4,Stand!$C:$H,6,0),SUMIFS(Tree!$O:$O,Tree!$A:$A,$B$4,Tree!$B:$B,$B$5,Tree!$F:$F,"D",Tree!$K:$K,"&lt;&gt;"&amp;"Y",Tree!$E:$E,"&gt;="&amp;I$9,Tree!$E:$E,"&lt;"&amp;I$8)/VLOOKUP($B$4,Stand!$C:$H,6,0)),IF($B$5="All",SUMIFS(Tree!$O:$O,Tree!$A:$A,$B$4,Tree!$D:$D,$A11,Tree!$F:$F,"L",Tree!$K:$K,"&lt;&gt;"&amp;"Y",Tree!$E:$E,"&gt;="&amp;I$9,Tree!$E:$E,"&lt;"&amp;I$8)/VLOOKUP($B$4,Stand!$C:$H,6,0),SUMIFS(Tree!$O:$O,Tree!$A:$A,$B$4,Tree!$B:$B,$B$5,Tree!$D:$D,$A11,Tree!$F:$F,"L",Tree!$K:$K,"&lt;&gt;"&amp;"Y",Tree!$E:$E,"&gt;="&amp;I$9,Tree!$E:$E,"&lt;"&amp;I$8)))</f>
        <v>#N/A</v>
      </c>
      <c r="J11" s="237" t="e">
        <f>IF($A11="Snag",IF($B$5="All",SUMIFS(Tree!$O:$O,Tree!$A:$A,$B$4,Tree!$F:$F,"D",Tree!$K:$K,"&lt;&gt;"&amp;"Y",Tree!$E:$E,"&gt;="&amp;J$9)/VLOOKUP($B$4,Stand!$C:$H,6,0),SUMIFS(Tree!$O:$O,Tree!$A:$A,$B$4,Tree!$B:$B,$B$5,Tree!$F:$F,"D",Tree!$K:$K,"&lt;&gt;"&amp;"Y",Tree!$E:$E,"&gt;="&amp;J$9)/VLOOKUP($B$4,Stand!$C:$H,6,0)),IF($B$5="All",SUMIFS(Tree!$O:$O,Tree!$A:$A,$B$4,Tree!$D:$D,$A11,Tree!$F:$F,"L",Tree!$K:$K,"&lt;&gt;"&amp;"Y",Tree!$E:$E,"&gt;="&amp;J$9)/VLOOKUP($B$4,Stand!$C:$H,6,0),SUMIFS(Tree!$O:$O,Tree!$A:$A,$B$4,Tree!$B:$B,$B$5,Tree!$D:$D,$A11,Tree!$F:$F,"L",Tree!$K:$K,"&lt;&gt;"&amp;"Y",Tree!$E:$E,"&gt;="&amp;J$9)))</f>
        <v>#N/A</v>
      </c>
      <c r="K11" s="94" t="e">
        <f t="shared" ref="K11:K20" si="0">SUM(B11:J11)</f>
        <v>#N/A</v>
      </c>
      <c r="L11" s="16"/>
      <c r="M11" s="16"/>
      <c r="N11" s="16"/>
      <c r="O11" s="16"/>
      <c r="P11" s="1"/>
      <c r="Q11" s="21"/>
      <c r="R11" s="1"/>
      <c r="S11" s="1"/>
      <c r="T11" s="1"/>
      <c r="V11" s="1"/>
    </row>
    <row r="12" spans="1:22" ht="12.75" customHeight="1" x14ac:dyDescent="0.25">
      <c r="A12" s="340" t="s">
        <v>31</v>
      </c>
      <c r="B12" s="241" t="e">
        <f>IF($A12="Snag",IF($B$5="All",SUMIFS(Tree!$O:$O,Tree!$A:$A,$B$4,Tree!$F:$F,"D",Tree!$K:$K,"&lt;&gt;"&amp;"Y",Tree!$E:$E,"&gt;="&amp;B$9,Tree!$E:$E,"&lt;"&amp;B$8)/VLOOKUP($B$4,Stand!$C:$H,6,0),SUMIFS(Tree!$O:$O,Tree!$A:$A,$B$4,Tree!$B:$B,$B$5,Tree!$F:$F,"D",Tree!$K:$K,"&lt;&gt;"&amp;"Y",Tree!$E:$E,"&gt;="&amp;B$9,Tree!$E:$E,"&lt;"&amp;B$8)/VLOOKUP($B$4,Stand!$C:$H,6,0)),IF($B$5="All",SUMIFS(Tree!$O:$O,Tree!$A:$A,$B$4,Tree!$D:$D,$A12,Tree!$F:$F,"L",Tree!$K:$K,"&lt;&gt;"&amp;"Y",Tree!$E:$E,"&gt;="&amp;B$9,Tree!$E:$E,"&lt;"&amp;B$8)/VLOOKUP($B$4,Stand!$C:$H,6,0),SUMIFS(Tree!$O:$O,Tree!$A:$A,$B$4,Tree!$B:$B,$B$5,Tree!$D:$D,$A12,Tree!$F:$F,"L",Tree!$K:$K,"&lt;&gt;"&amp;"Y",Tree!$E:$E,"&gt;="&amp;B$9,Tree!$E:$E,"&lt;"&amp;B$8)))</f>
        <v>#N/A</v>
      </c>
      <c r="C12" s="236" t="e">
        <f>IF($A12="Snag",IF($B$5="All",SUMIFS(Tree!$O:$O,Tree!$A:$A,$B$4,Tree!$F:$F,"D",Tree!$K:$K,"&lt;&gt;"&amp;"Y",Tree!$E:$E,"&gt;="&amp;C$9,Tree!$E:$E,"&lt;"&amp;C$8)/VLOOKUP($B$4,Stand!$C:$H,6,0),SUMIFS(Tree!$O:$O,Tree!$A:$A,$B$4,Tree!$B:$B,$B$5,Tree!$F:$F,"D",Tree!$K:$K,"&lt;&gt;"&amp;"Y",Tree!$E:$E,"&gt;="&amp;C$9,Tree!$E:$E,"&lt;"&amp;C$8)/VLOOKUP($B$4,Stand!$C:$H,6,0)),IF($B$5="All",SUMIFS(Tree!$O:$O,Tree!$A:$A,$B$4,Tree!$D:$D,$A12,Tree!$F:$F,"L",Tree!$K:$K,"&lt;&gt;"&amp;"Y",Tree!$E:$E,"&gt;="&amp;C$9,Tree!$E:$E,"&lt;"&amp;C$8)/VLOOKUP($B$4,Stand!$C:$H,6,0),SUMIFS(Tree!$O:$O,Tree!$A:$A,$B$4,Tree!$B:$B,$B$5,Tree!$D:$D,$A12,Tree!$F:$F,"L",Tree!$K:$K,"&lt;&gt;"&amp;"Y",Tree!$E:$E,"&gt;="&amp;C$9,Tree!$E:$E,"&lt;"&amp;C$8)))</f>
        <v>#N/A</v>
      </c>
      <c r="D12" s="236" t="e">
        <f>IF($A12="Snag",IF($B$5="All",SUMIFS(Tree!$O:$O,Tree!$A:$A,$B$4,Tree!$F:$F,"D",Tree!$K:$K,"&lt;&gt;"&amp;"Y",Tree!$E:$E,"&gt;="&amp;D$9,Tree!$E:$E,"&lt;"&amp;D$8)/VLOOKUP($B$4,Stand!$C:$H,6,0),SUMIFS(Tree!$O:$O,Tree!$A:$A,$B$4,Tree!$B:$B,$B$5,Tree!$F:$F,"D",Tree!$K:$K,"&lt;&gt;"&amp;"Y",Tree!$E:$E,"&gt;="&amp;D$9,Tree!$E:$E,"&lt;"&amp;D$8)/VLOOKUP($B$4,Stand!$C:$H,6,0)),IF($B$5="All",SUMIFS(Tree!$O:$O,Tree!$A:$A,$B$4,Tree!$D:$D,$A12,Tree!$F:$F,"L",Tree!$K:$K,"&lt;&gt;"&amp;"Y",Tree!$E:$E,"&gt;="&amp;D$9,Tree!$E:$E,"&lt;"&amp;D$8)/VLOOKUP($B$4,Stand!$C:$H,6,0),SUMIFS(Tree!$O:$O,Tree!$A:$A,$B$4,Tree!$B:$B,$B$5,Tree!$D:$D,$A12,Tree!$F:$F,"L",Tree!$K:$K,"&lt;&gt;"&amp;"Y",Tree!$E:$E,"&gt;="&amp;D$9,Tree!$E:$E,"&lt;"&amp;D$8)))</f>
        <v>#N/A</v>
      </c>
      <c r="E12" s="236" t="e">
        <f>IF($A12="Snag",IF($B$5="All",SUMIFS(Tree!$O:$O,Tree!$A:$A,$B$4,Tree!$F:$F,"D",Tree!$K:$K,"&lt;&gt;"&amp;"Y",Tree!$E:$E,"&gt;="&amp;E$9,Tree!$E:$E,"&lt;"&amp;E$8)/VLOOKUP($B$4,Stand!$C:$H,6,0),SUMIFS(Tree!$O:$O,Tree!$A:$A,$B$4,Tree!$B:$B,$B$5,Tree!$F:$F,"D",Tree!$K:$K,"&lt;&gt;"&amp;"Y",Tree!$E:$E,"&gt;="&amp;E$9,Tree!$E:$E,"&lt;"&amp;E$8)/VLOOKUP($B$4,Stand!$C:$H,6,0)),IF($B$5="All",SUMIFS(Tree!$O:$O,Tree!$A:$A,$B$4,Tree!$D:$D,$A12,Tree!$F:$F,"L",Tree!$K:$K,"&lt;&gt;"&amp;"Y",Tree!$E:$E,"&gt;="&amp;E$9,Tree!$E:$E,"&lt;"&amp;E$8)/VLOOKUP($B$4,Stand!$C:$H,6,0),SUMIFS(Tree!$O:$O,Tree!$A:$A,$B$4,Tree!$B:$B,$B$5,Tree!$D:$D,$A12,Tree!$F:$F,"L",Tree!$K:$K,"&lt;&gt;"&amp;"Y",Tree!$E:$E,"&gt;="&amp;E$9,Tree!$E:$E,"&lt;"&amp;E$8)))</f>
        <v>#N/A</v>
      </c>
      <c r="F12" s="236" t="e">
        <f>IF($A12="Snag",IF($B$5="All",SUMIFS(Tree!$O:$O,Tree!$A:$A,$B$4,Tree!$F:$F,"D",Tree!$K:$K,"&lt;&gt;"&amp;"Y",Tree!$E:$E,"&gt;="&amp;F$9,Tree!$E:$E,"&lt;"&amp;F$8)/VLOOKUP($B$4,Stand!$C:$H,6,0),SUMIFS(Tree!$O:$O,Tree!$A:$A,$B$4,Tree!$B:$B,$B$5,Tree!$F:$F,"D",Tree!$K:$K,"&lt;&gt;"&amp;"Y",Tree!$E:$E,"&gt;="&amp;F$9,Tree!$E:$E,"&lt;"&amp;F$8)/VLOOKUP($B$4,Stand!$C:$H,6,0)),IF($B$5="All",SUMIFS(Tree!$O:$O,Tree!$A:$A,$B$4,Tree!$D:$D,$A12,Tree!$F:$F,"L",Tree!$K:$K,"&lt;&gt;"&amp;"Y",Tree!$E:$E,"&gt;="&amp;F$9,Tree!$E:$E,"&lt;"&amp;F$8)/VLOOKUP($B$4,Stand!$C:$H,6,0),SUMIFS(Tree!$O:$O,Tree!$A:$A,$B$4,Tree!$B:$B,$B$5,Tree!$D:$D,$A12,Tree!$F:$F,"L",Tree!$K:$K,"&lt;&gt;"&amp;"Y",Tree!$E:$E,"&gt;="&amp;F$9,Tree!$E:$E,"&lt;"&amp;F$8)))</f>
        <v>#N/A</v>
      </c>
      <c r="G12" s="236" t="e">
        <f>IF($A12="Snag",IF($B$5="All",SUMIFS(Tree!$O:$O,Tree!$A:$A,$B$4,Tree!$F:$F,"D",Tree!$K:$K,"&lt;&gt;"&amp;"Y",Tree!$E:$E,"&gt;="&amp;G$9,Tree!$E:$E,"&lt;"&amp;G$8)/VLOOKUP($B$4,Stand!$C:$H,6,0),SUMIFS(Tree!$O:$O,Tree!$A:$A,$B$4,Tree!$B:$B,$B$5,Tree!$F:$F,"D",Tree!$K:$K,"&lt;&gt;"&amp;"Y",Tree!$E:$E,"&gt;="&amp;G$9,Tree!$E:$E,"&lt;"&amp;G$8)/VLOOKUP($B$4,Stand!$C:$H,6,0)),IF($B$5="All",SUMIFS(Tree!$O:$O,Tree!$A:$A,$B$4,Tree!$D:$D,$A12,Tree!$F:$F,"L",Tree!$K:$K,"&lt;&gt;"&amp;"Y",Tree!$E:$E,"&gt;="&amp;G$9,Tree!$E:$E,"&lt;"&amp;G$8)/VLOOKUP($B$4,Stand!$C:$H,6,0),SUMIFS(Tree!$O:$O,Tree!$A:$A,$B$4,Tree!$B:$B,$B$5,Tree!$D:$D,$A12,Tree!$F:$F,"L",Tree!$K:$K,"&lt;&gt;"&amp;"Y",Tree!$E:$E,"&gt;="&amp;G$9,Tree!$E:$E,"&lt;"&amp;G$8)))</f>
        <v>#N/A</v>
      </c>
      <c r="H12" s="236" t="e">
        <f>IF($A12="Snag",IF($B$5="All",SUMIFS(Tree!$O:$O,Tree!$A:$A,$B$4,Tree!$F:$F,"D",Tree!$K:$K,"&lt;&gt;"&amp;"Y",Tree!$E:$E,"&gt;="&amp;H$9,Tree!$E:$E,"&lt;"&amp;H$8)/VLOOKUP($B$4,Stand!$C:$H,6,0),SUMIFS(Tree!$O:$O,Tree!$A:$A,$B$4,Tree!$B:$B,$B$5,Tree!$F:$F,"D",Tree!$K:$K,"&lt;&gt;"&amp;"Y",Tree!$E:$E,"&gt;="&amp;H$9,Tree!$E:$E,"&lt;"&amp;H$8)/VLOOKUP($B$4,Stand!$C:$H,6,0)),IF($B$5="All",SUMIFS(Tree!$O:$O,Tree!$A:$A,$B$4,Tree!$D:$D,$A12,Tree!$F:$F,"L",Tree!$K:$K,"&lt;&gt;"&amp;"Y",Tree!$E:$E,"&gt;="&amp;H$9,Tree!$E:$E,"&lt;"&amp;H$8)/VLOOKUP($B$4,Stand!$C:$H,6,0),SUMIFS(Tree!$O:$O,Tree!$A:$A,$B$4,Tree!$B:$B,$B$5,Tree!$D:$D,$A12,Tree!$F:$F,"L",Tree!$K:$K,"&lt;&gt;"&amp;"Y",Tree!$E:$E,"&gt;="&amp;H$9,Tree!$E:$E,"&lt;"&amp;H$8)))</f>
        <v>#N/A</v>
      </c>
      <c r="I12" s="236" t="e">
        <f>IF($A12="Snag",IF($B$5="All",SUMIFS(Tree!$O:$O,Tree!$A:$A,$B$4,Tree!$F:$F,"D",Tree!$K:$K,"&lt;&gt;"&amp;"Y",Tree!$E:$E,"&gt;="&amp;I$9,Tree!$E:$E,"&lt;"&amp;I$8)/VLOOKUP($B$4,Stand!$C:$H,6,0),SUMIFS(Tree!$O:$O,Tree!$A:$A,$B$4,Tree!$B:$B,$B$5,Tree!$F:$F,"D",Tree!$K:$K,"&lt;&gt;"&amp;"Y",Tree!$E:$E,"&gt;="&amp;I$9,Tree!$E:$E,"&lt;"&amp;I$8)/VLOOKUP($B$4,Stand!$C:$H,6,0)),IF($B$5="All",SUMIFS(Tree!$O:$O,Tree!$A:$A,$B$4,Tree!$D:$D,$A12,Tree!$F:$F,"L",Tree!$K:$K,"&lt;&gt;"&amp;"Y",Tree!$E:$E,"&gt;="&amp;I$9,Tree!$E:$E,"&lt;"&amp;I$8)/VLOOKUP($B$4,Stand!$C:$H,6,0),SUMIFS(Tree!$O:$O,Tree!$A:$A,$B$4,Tree!$B:$B,$B$5,Tree!$D:$D,$A12,Tree!$F:$F,"L",Tree!$K:$K,"&lt;&gt;"&amp;"Y",Tree!$E:$E,"&gt;="&amp;I$9,Tree!$E:$E,"&lt;"&amp;I$8)))</f>
        <v>#N/A</v>
      </c>
      <c r="J12" s="237" t="e">
        <f>IF($A12="Snag",IF($B$5="All",SUMIFS(Tree!$O:$O,Tree!$A:$A,$B$4,Tree!$F:$F,"D",Tree!$K:$K,"&lt;&gt;"&amp;"Y",Tree!$E:$E,"&gt;="&amp;J$9)/VLOOKUP($B$4,Stand!$C:$H,6,0),SUMIFS(Tree!$O:$O,Tree!$A:$A,$B$4,Tree!$B:$B,$B$5,Tree!$F:$F,"D",Tree!$K:$K,"&lt;&gt;"&amp;"Y",Tree!$E:$E,"&gt;="&amp;J$9)/VLOOKUP($B$4,Stand!$C:$H,6,0)),IF($B$5="All",SUMIFS(Tree!$O:$O,Tree!$A:$A,$B$4,Tree!$D:$D,$A12,Tree!$F:$F,"L",Tree!$K:$K,"&lt;&gt;"&amp;"Y",Tree!$E:$E,"&gt;="&amp;J$9)/VLOOKUP($B$4,Stand!$C:$H,6,0),SUMIFS(Tree!$O:$O,Tree!$A:$A,$B$4,Tree!$B:$B,$B$5,Tree!$D:$D,$A12,Tree!$F:$F,"L",Tree!$K:$K,"&lt;&gt;"&amp;"Y",Tree!$E:$E,"&gt;="&amp;J$9)))</f>
        <v>#N/A</v>
      </c>
      <c r="K12" s="94" t="e">
        <f t="shared" si="0"/>
        <v>#N/A</v>
      </c>
      <c r="L12" s="16"/>
      <c r="M12" s="16"/>
      <c r="N12" s="16"/>
      <c r="O12" s="16"/>
      <c r="P12" s="1"/>
      <c r="Q12" s="21"/>
      <c r="R12" s="1"/>
      <c r="S12" s="1"/>
      <c r="T12" s="1"/>
      <c r="V12" s="1"/>
    </row>
    <row r="13" spans="1:22" ht="12.75" customHeight="1" x14ac:dyDescent="0.25">
      <c r="A13" s="340" t="s">
        <v>29</v>
      </c>
      <c r="B13" s="241" t="e">
        <f>IF($A13="Snag",IF($B$5="All",SUMIFS(Tree!$O:$O,Tree!$A:$A,$B$4,Tree!$F:$F,"D",Tree!$K:$K,"&lt;&gt;"&amp;"Y",Tree!$E:$E,"&gt;="&amp;B$9,Tree!$E:$E,"&lt;"&amp;B$8)/VLOOKUP($B$4,Stand!$C:$H,6,0),SUMIFS(Tree!$O:$O,Tree!$A:$A,$B$4,Tree!$B:$B,$B$5,Tree!$F:$F,"D",Tree!$K:$K,"&lt;&gt;"&amp;"Y",Tree!$E:$E,"&gt;="&amp;B$9,Tree!$E:$E,"&lt;"&amp;B$8)/VLOOKUP($B$4,Stand!$C:$H,6,0)),IF($B$5="All",SUMIFS(Tree!$O:$O,Tree!$A:$A,$B$4,Tree!$D:$D,$A13,Tree!$F:$F,"L",Tree!$K:$K,"&lt;&gt;"&amp;"Y",Tree!$E:$E,"&gt;="&amp;B$9,Tree!$E:$E,"&lt;"&amp;B$8)/VLOOKUP($B$4,Stand!$C:$H,6,0),SUMIFS(Tree!$O:$O,Tree!$A:$A,$B$4,Tree!$B:$B,$B$5,Tree!$D:$D,$A13,Tree!$F:$F,"L",Tree!$K:$K,"&lt;&gt;"&amp;"Y",Tree!$E:$E,"&gt;="&amp;B$9,Tree!$E:$E,"&lt;"&amp;B$8)))</f>
        <v>#N/A</v>
      </c>
      <c r="C13" s="236" t="e">
        <f>IF($A13="Snag",IF($B$5="All",SUMIFS(Tree!$O:$O,Tree!$A:$A,$B$4,Tree!$F:$F,"D",Tree!$K:$K,"&lt;&gt;"&amp;"Y",Tree!$E:$E,"&gt;="&amp;C$9,Tree!$E:$E,"&lt;"&amp;C$8)/VLOOKUP($B$4,Stand!$C:$H,6,0),SUMIFS(Tree!$O:$O,Tree!$A:$A,$B$4,Tree!$B:$B,$B$5,Tree!$F:$F,"D",Tree!$K:$K,"&lt;&gt;"&amp;"Y",Tree!$E:$E,"&gt;="&amp;C$9,Tree!$E:$E,"&lt;"&amp;C$8)/VLOOKUP($B$4,Stand!$C:$H,6,0)),IF($B$5="All",SUMIFS(Tree!$O:$O,Tree!$A:$A,$B$4,Tree!$D:$D,$A13,Tree!$F:$F,"L",Tree!$K:$K,"&lt;&gt;"&amp;"Y",Tree!$E:$E,"&gt;="&amp;C$9,Tree!$E:$E,"&lt;"&amp;C$8)/VLOOKUP($B$4,Stand!$C:$H,6,0),SUMIFS(Tree!$O:$O,Tree!$A:$A,$B$4,Tree!$B:$B,$B$5,Tree!$D:$D,$A13,Tree!$F:$F,"L",Tree!$K:$K,"&lt;&gt;"&amp;"Y",Tree!$E:$E,"&gt;="&amp;C$9,Tree!$E:$E,"&lt;"&amp;C$8)))</f>
        <v>#N/A</v>
      </c>
      <c r="D13" s="236" t="e">
        <f>IF($A13="Snag",IF($B$5="All",SUMIFS(Tree!$O:$O,Tree!$A:$A,$B$4,Tree!$F:$F,"D",Tree!$K:$K,"&lt;&gt;"&amp;"Y",Tree!$E:$E,"&gt;="&amp;D$9,Tree!$E:$E,"&lt;"&amp;D$8)/VLOOKUP($B$4,Stand!$C:$H,6,0),SUMIFS(Tree!$O:$O,Tree!$A:$A,$B$4,Tree!$B:$B,$B$5,Tree!$F:$F,"D",Tree!$K:$K,"&lt;&gt;"&amp;"Y",Tree!$E:$E,"&gt;="&amp;D$9,Tree!$E:$E,"&lt;"&amp;D$8)/VLOOKUP($B$4,Stand!$C:$H,6,0)),IF($B$5="All",SUMIFS(Tree!$O:$O,Tree!$A:$A,$B$4,Tree!$D:$D,$A13,Tree!$F:$F,"L",Tree!$K:$K,"&lt;&gt;"&amp;"Y",Tree!$E:$E,"&gt;="&amp;D$9,Tree!$E:$E,"&lt;"&amp;D$8)/VLOOKUP($B$4,Stand!$C:$H,6,0),SUMIFS(Tree!$O:$O,Tree!$A:$A,$B$4,Tree!$B:$B,$B$5,Tree!$D:$D,$A13,Tree!$F:$F,"L",Tree!$K:$K,"&lt;&gt;"&amp;"Y",Tree!$E:$E,"&gt;="&amp;D$9,Tree!$E:$E,"&lt;"&amp;D$8)))</f>
        <v>#N/A</v>
      </c>
      <c r="E13" s="236" t="e">
        <f>IF($A13="Snag",IF($B$5="All",SUMIFS(Tree!$O:$O,Tree!$A:$A,$B$4,Tree!$F:$F,"D",Tree!$K:$K,"&lt;&gt;"&amp;"Y",Tree!$E:$E,"&gt;="&amp;E$9,Tree!$E:$E,"&lt;"&amp;E$8)/VLOOKUP($B$4,Stand!$C:$H,6,0),SUMIFS(Tree!$O:$O,Tree!$A:$A,$B$4,Tree!$B:$B,$B$5,Tree!$F:$F,"D",Tree!$K:$K,"&lt;&gt;"&amp;"Y",Tree!$E:$E,"&gt;="&amp;E$9,Tree!$E:$E,"&lt;"&amp;E$8)/VLOOKUP($B$4,Stand!$C:$H,6,0)),IF($B$5="All",SUMIFS(Tree!$O:$O,Tree!$A:$A,$B$4,Tree!$D:$D,$A13,Tree!$F:$F,"L",Tree!$K:$K,"&lt;&gt;"&amp;"Y",Tree!$E:$E,"&gt;="&amp;E$9,Tree!$E:$E,"&lt;"&amp;E$8)/VLOOKUP($B$4,Stand!$C:$H,6,0),SUMIFS(Tree!$O:$O,Tree!$A:$A,$B$4,Tree!$B:$B,$B$5,Tree!$D:$D,$A13,Tree!$F:$F,"L",Tree!$K:$K,"&lt;&gt;"&amp;"Y",Tree!$E:$E,"&gt;="&amp;E$9,Tree!$E:$E,"&lt;"&amp;E$8)))</f>
        <v>#N/A</v>
      </c>
      <c r="F13" s="236" t="e">
        <f>IF($A13="Snag",IF($B$5="All",SUMIFS(Tree!$O:$O,Tree!$A:$A,$B$4,Tree!$F:$F,"D",Tree!$K:$K,"&lt;&gt;"&amp;"Y",Tree!$E:$E,"&gt;="&amp;F$9,Tree!$E:$E,"&lt;"&amp;F$8)/VLOOKUP($B$4,Stand!$C:$H,6,0),SUMIFS(Tree!$O:$O,Tree!$A:$A,$B$4,Tree!$B:$B,$B$5,Tree!$F:$F,"D",Tree!$K:$K,"&lt;&gt;"&amp;"Y",Tree!$E:$E,"&gt;="&amp;F$9,Tree!$E:$E,"&lt;"&amp;F$8)/VLOOKUP($B$4,Stand!$C:$H,6,0)),IF($B$5="All",SUMIFS(Tree!$O:$O,Tree!$A:$A,$B$4,Tree!$D:$D,$A13,Tree!$F:$F,"L",Tree!$K:$K,"&lt;&gt;"&amp;"Y",Tree!$E:$E,"&gt;="&amp;F$9,Tree!$E:$E,"&lt;"&amp;F$8)/VLOOKUP($B$4,Stand!$C:$H,6,0),SUMIFS(Tree!$O:$O,Tree!$A:$A,$B$4,Tree!$B:$B,$B$5,Tree!$D:$D,$A13,Tree!$F:$F,"L",Tree!$K:$K,"&lt;&gt;"&amp;"Y",Tree!$E:$E,"&gt;="&amp;F$9,Tree!$E:$E,"&lt;"&amp;F$8)))</f>
        <v>#N/A</v>
      </c>
      <c r="G13" s="236" t="e">
        <f>IF($A13="Snag",IF($B$5="All",SUMIFS(Tree!$O:$O,Tree!$A:$A,$B$4,Tree!$F:$F,"D",Tree!$K:$K,"&lt;&gt;"&amp;"Y",Tree!$E:$E,"&gt;="&amp;G$9,Tree!$E:$E,"&lt;"&amp;G$8)/VLOOKUP($B$4,Stand!$C:$H,6,0),SUMIFS(Tree!$O:$O,Tree!$A:$A,$B$4,Tree!$B:$B,$B$5,Tree!$F:$F,"D",Tree!$K:$K,"&lt;&gt;"&amp;"Y",Tree!$E:$E,"&gt;="&amp;G$9,Tree!$E:$E,"&lt;"&amp;G$8)/VLOOKUP($B$4,Stand!$C:$H,6,0)),IF($B$5="All",SUMIFS(Tree!$O:$O,Tree!$A:$A,$B$4,Tree!$D:$D,$A13,Tree!$F:$F,"L",Tree!$K:$K,"&lt;&gt;"&amp;"Y",Tree!$E:$E,"&gt;="&amp;G$9,Tree!$E:$E,"&lt;"&amp;G$8)/VLOOKUP($B$4,Stand!$C:$H,6,0),SUMIFS(Tree!$O:$O,Tree!$A:$A,$B$4,Tree!$B:$B,$B$5,Tree!$D:$D,$A13,Tree!$F:$F,"L",Tree!$K:$K,"&lt;&gt;"&amp;"Y",Tree!$E:$E,"&gt;="&amp;G$9,Tree!$E:$E,"&lt;"&amp;G$8)))</f>
        <v>#N/A</v>
      </c>
      <c r="H13" s="236" t="e">
        <f>IF($A13="Snag",IF($B$5="All",SUMIFS(Tree!$O:$O,Tree!$A:$A,$B$4,Tree!$F:$F,"D",Tree!$K:$K,"&lt;&gt;"&amp;"Y",Tree!$E:$E,"&gt;="&amp;H$9,Tree!$E:$E,"&lt;"&amp;H$8)/VLOOKUP($B$4,Stand!$C:$H,6,0),SUMIFS(Tree!$O:$O,Tree!$A:$A,$B$4,Tree!$B:$B,$B$5,Tree!$F:$F,"D",Tree!$K:$K,"&lt;&gt;"&amp;"Y",Tree!$E:$E,"&gt;="&amp;H$9,Tree!$E:$E,"&lt;"&amp;H$8)/VLOOKUP($B$4,Stand!$C:$H,6,0)),IF($B$5="All",SUMIFS(Tree!$O:$O,Tree!$A:$A,$B$4,Tree!$D:$D,$A13,Tree!$F:$F,"L",Tree!$K:$K,"&lt;&gt;"&amp;"Y",Tree!$E:$E,"&gt;="&amp;H$9,Tree!$E:$E,"&lt;"&amp;H$8)/VLOOKUP($B$4,Stand!$C:$H,6,0),SUMIFS(Tree!$O:$O,Tree!$A:$A,$B$4,Tree!$B:$B,$B$5,Tree!$D:$D,$A13,Tree!$F:$F,"L",Tree!$K:$K,"&lt;&gt;"&amp;"Y",Tree!$E:$E,"&gt;="&amp;H$9,Tree!$E:$E,"&lt;"&amp;H$8)))</f>
        <v>#N/A</v>
      </c>
      <c r="I13" s="236" t="e">
        <f>IF($A13="Snag",IF($B$5="All",SUMIFS(Tree!$O:$O,Tree!$A:$A,$B$4,Tree!$F:$F,"D",Tree!$K:$K,"&lt;&gt;"&amp;"Y",Tree!$E:$E,"&gt;="&amp;I$9,Tree!$E:$E,"&lt;"&amp;I$8)/VLOOKUP($B$4,Stand!$C:$H,6,0),SUMIFS(Tree!$O:$O,Tree!$A:$A,$B$4,Tree!$B:$B,$B$5,Tree!$F:$F,"D",Tree!$K:$K,"&lt;&gt;"&amp;"Y",Tree!$E:$E,"&gt;="&amp;I$9,Tree!$E:$E,"&lt;"&amp;I$8)/VLOOKUP($B$4,Stand!$C:$H,6,0)),IF($B$5="All",SUMIFS(Tree!$O:$O,Tree!$A:$A,$B$4,Tree!$D:$D,$A13,Tree!$F:$F,"L",Tree!$K:$K,"&lt;&gt;"&amp;"Y",Tree!$E:$E,"&gt;="&amp;I$9,Tree!$E:$E,"&lt;"&amp;I$8)/VLOOKUP($B$4,Stand!$C:$H,6,0),SUMIFS(Tree!$O:$O,Tree!$A:$A,$B$4,Tree!$B:$B,$B$5,Tree!$D:$D,$A13,Tree!$F:$F,"L",Tree!$K:$K,"&lt;&gt;"&amp;"Y",Tree!$E:$E,"&gt;="&amp;I$9,Tree!$E:$E,"&lt;"&amp;I$8)))</f>
        <v>#N/A</v>
      </c>
      <c r="J13" s="237" t="e">
        <f>IF($A13="Snag",IF($B$5="All",SUMIFS(Tree!$O:$O,Tree!$A:$A,$B$4,Tree!$F:$F,"D",Tree!$K:$K,"&lt;&gt;"&amp;"Y",Tree!$E:$E,"&gt;="&amp;J$9)/VLOOKUP($B$4,Stand!$C:$H,6,0),SUMIFS(Tree!$O:$O,Tree!$A:$A,$B$4,Tree!$B:$B,$B$5,Tree!$F:$F,"D",Tree!$K:$K,"&lt;&gt;"&amp;"Y",Tree!$E:$E,"&gt;="&amp;J$9)/VLOOKUP($B$4,Stand!$C:$H,6,0)),IF($B$5="All",SUMIFS(Tree!$O:$O,Tree!$A:$A,$B$4,Tree!$D:$D,$A13,Tree!$F:$F,"L",Tree!$K:$K,"&lt;&gt;"&amp;"Y",Tree!$E:$E,"&gt;="&amp;J$9)/VLOOKUP($B$4,Stand!$C:$H,6,0),SUMIFS(Tree!$O:$O,Tree!$A:$A,$B$4,Tree!$B:$B,$B$5,Tree!$D:$D,$A13,Tree!$F:$F,"L",Tree!$K:$K,"&lt;&gt;"&amp;"Y",Tree!$E:$E,"&gt;="&amp;J$9)))</f>
        <v>#N/A</v>
      </c>
      <c r="K13" s="94" t="e">
        <f t="shared" si="0"/>
        <v>#N/A</v>
      </c>
      <c r="L13" s="16"/>
      <c r="M13" s="16"/>
      <c r="N13" s="16"/>
      <c r="O13" s="16"/>
      <c r="P13" s="1"/>
      <c r="Q13" s="21"/>
      <c r="R13" s="1"/>
      <c r="S13" s="1"/>
      <c r="T13" s="1"/>
      <c r="V13" s="1"/>
    </row>
    <row r="14" spans="1:22" ht="12.75" customHeight="1" x14ac:dyDescent="0.25">
      <c r="A14" s="340" t="s">
        <v>56</v>
      </c>
      <c r="B14" s="241" t="e">
        <f>IF($A14="Snag",IF($B$5="All",SUMIFS(Tree!$O:$O,Tree!$A:$A,$B$4,Tree!$F:$F,"D",Tree!$K:$K,"&lt;&gt;"&amp;"Y",Tree!$E:$E,"&gt;="&amp;B$9,Tree!$E:$E,"&lt;"&amp;B$8)/VLOOKUP($B$4,Stand!$C:$H,6,0),SUMIFS(Tree!$O:$O,Tree!$A:$A,$B$4,Tree!$B:$B,$B$5,Tree!$F:$F,"D",Tree!$K:$K,"&lt;&gt;"&amp;"Y",Tree!$E:$E,"&gt;="&amp;B$9,Tree!$E:$E,"&lt;"&amp;B$8)/VLOOKUP($B$4,Stand!$C:$H,6,0)),IF($B$5="All",SUMIFS(Tree!$O:$O,Tree!$A:$A,$B$4,Tree!$D:$D,$A14,Tree!$F:$F,"L",Tree!$K:$K,"&lt;&gt;"&amp;"Y",Tree!$E:$E,"&gt;="&amp;B$9,Tree!$E:$E,"&lt;"&amp;B$8)/VLOOKUP($B$4,Stand!$C:$H,6,0),SUMIFS(Tree!$O:$O,Tree!$A:$A,$B$4,Tree!$B:$B,$B$5,Tree!$D:$D,$A14,Tree!$F:$F,"L",Tree!$K:$K,"&lt;&gt;"&amp;"Y",Tree!$E:$E,"&gt;="&amp;B$9,Tree!$E:$E,"&lt;"&amp;B$8)))</f>
        <v>#N/A</v>
      </c>
      <c r="C14" s="236" t="e">
        <f>IF($A14="Snag",IF($B$5="All",SUMIFS(Tree!$O:$O,Tree!$A:$A,$B$4,Tree!$F:$F,"D",Tree!$K:$K,"&lt;&gt;"&amp;"Y",Tree!$E:$E,"&gt;="&amp;C$9,Tree!$E:$E,"&lt;"&amp;C$8)/VLOOKUP($B$4,Stand!$C:$H,6,0),SUMIFS(Tree!$O:$O,Tree!$A:$A,$B$4,Tree!$B:$B,$B$5,Tree!$F:$F,"D",Tree!$K:$K,"&lt;&gt;"&amp;"Y",Tree!$E:$E,"&gt;="&amp;C$9,Tree!$E:$E,"&lt;"&amp;C$8)/VLOOKUP($B$4,Stand!$C:$H,6,0)),IF($B$5="All",SUMIFS(Tree!$O:$O,Tree!$A:$A,$B$4,Tree!$D:$D,$A14,Tree!$F:$F,"L",Tree!$K:$K,"&lt;&gt;"&amp;"Y",Tree!$E:$E,"&gt;="&amp;C$9,Tree!$E:$E,"&lt;"&amp;C$8)/VLOOKUP($B$4,Stand!$C:$H,6,0),SUMIFS(Tree!$O:$O,Tree!$A:$A,$B$4,Tree!$B:$B,$B$5,Tree!$D:$D,$A14,Tree!$F:$F,"L",Tree!$K:$K,"&lt;&gt;"&amp;"Y",Tree!$E:$E,"&gt;="&amp;C$9,Tree!$E:$E,"&lt;"&amp;C$8)))</f>
        <v>#N/A</v>
      </c>
      <c r="D14" s="236" t="e">
        <f>IF($A14="Snag",IF($B$5="All",SUMIFS(Tree!$O:$O,Tree!$A:$A,$B$4,Tree!$F:$F,"D",Tree!$K:$K,"&lt;&gt;"&amp;"Y",Tree!$E:$E,"&gt;="&amp;D$9,Tree!$E:$E,"&lt;"&amp;D$8)/VLOOKUP($B$4,Stand!$C:$H,6,0),SUMIFS(Tree!$O:$O,Tree!$A:$A,$B$4,Tree!$B:$B,$B$5,Tree!$F:$F,"D",Tree!$K:$K,"&lt;&gt;"&amp;"Y",Tree!$E:$E,"&gt;="&amp;D$9,Tree!$E:$E,"&lt;"&amp;D$8)/VLOOKUP($B$4,Stand!$C:$H,6,0)),IF($B$5="All",SUMIFS(Tree!$O:$O,Tree!$A:$A,$B$4,Tree!$D:$D,$A14,Tree!$F:$F,"L",Tree!$K:$K,"&lt;&gt;"&amp;"Y",Tree!$E:$E,"&gt;="&amp;D$9,Tree!$E:$E,"&lt;"&amp;D$8)/VLOOKUP($B$4,Stand!$C:$H,6,0),SUMIFS(Tree!$O:$O,Tree!$A:$A,$B$4,Tree!$B:$B,$B$5,Tree!$D:$D,$A14,Tree!$F:$F,"L",Tree!$K:$K,"&lt;&gt;"&amp;"Y",Tree!$E:$E,"&gt;="&amp;D$9,Tree!$E:$E,"&lt;"&amp;D$8)))</f>
        <v>#N/A</v>
      </c>
      <c r="E14" s="236" t="e">
        <f>IF($A14="Snag",IF($B$5="All",SUMIFS(Tree!$O:$O,Tree!$A:$A,$B$4,Tree!$F:$F,"D",Tree!$K:$K,"&lt;&gt;"&amp;"Y",Tree!$E:$E,"&gt;="&amp;E$9,Tree!$E:$E,"&lt;"&amp;E$8)/VLOOKUP($B$4,Stand!$C:$H,6,0),SUMIFS(Tree!$O:$O,Tree!$A:$A,$B$4,Tree!$B:$B,$B$5,Tree!$F:$F,"D",Tree!$K:$K,"&lt;&gt;"&amp;"Y",Tree!$E:$E,"&gt;="&amp;E$9,Tree!$E:$E,"&lt;"&amp;E$8)/VLOOKUP($B$4,Stand!$C:$H,6,0)),IF($B$5="All",SUMIFS(Tree!$O:$O,Tree!$A:$A,$B$4,Tree!$D:$D,$A14,Tree!$F:$F,"L",Tree!$K:$K,"&lt;&gt;"&amp;"Y",Tree!$E:$E,"&gt;="&amp;E$9,Tree!$E:$E,"&lt;"&amp;E$8)/VLOOKUP($B$4,Stand!$C:$H,6,0),SUMIFS(Tree!$O:$O,Tree!$A:$A,$B$4,Tree!$B:$B,$B$5,Tree!$D:$D,$A14,Tree!$F:$F,"L",Tree!$K:$K,"&lt;&gt;"&amp;"Y",Tree!$E:$E,"&gt;="&amp;E$9,Tree!$E:$E,"&lt;"&amp;E$8)))</f>
        <v>#N/A</v>
      </c>
      <c r="F14" s="236" t="e">
        <f>IF($A14="Snag",IF($B$5="All",SUMIFS(Tree!$O:$O,Tree!$A:$A,$B$4,Tree!$F:$F,"D",Tree!$K:$K,"&lt;&gt;"&amp;"Y",Tree!$E:$E,"&gt;="&amp;F$9,Tree!$E:$E,"&lt;"&amp;F$8)/VLOOKUP($B$4,Stand!$C:$H,6,0),SUMIFS(Tree!$O:$O,Tree!$A:$A,$B$4,Tree!$B:$B,$B$5,Tree!$F:$F,"D",Tree!$K:$K,"&lt;&gt;"&amp;"Y",Tree!$E:$E,"&gt;="&amp;F$9,Tree!$E:$E,"&lt;"&amp;F$8)/VLOOKUP($B$4,Stand!$C:$H,6,0)),IF($B$5="All",SUMIFS(Tree!$O:$O,Tree!$A:$A,$B$4,Tree!$D:$D,$A14,Tree!$F:$F,"L",Tree!$K:$K,"&lt;&gt;"&amp;"Y",Tree!$E:$E,"&gt;="&amp;F$9,Tree!$E:$E,"&lt;"&amp;F$8)/VLOOKUP($B$4,Stand!$C:$H,6,0),SUMIFS(Tree!$O:$O,Tree!$A:$A,$B$4,Tree!$B:$B,$B$5,Tree!$D:$D,$A14,Tree!$F:$F,"L",Tree!$K:$K,"&lt;&gt;"&amp;"Y",Tree!$E:$E,"&gt;="&amp;F$9,Tree!$E:$E,"&lt;"&amp;F$8)))</f>
        <v>#N/A</v>
      </c>
      <c r="G14" s="236" t="e">
        <f>IF($A14="Snag",IF($B$5="All",SUMIFS(Tree!$O:$O,Tree!$A:$A,$B$4,Tree!$F:$F,"D",Tree!$K:$K,"&lt;&gt;"&amp;"Y",Tree!$E:$E,"&gt;="&amp;G$9,Tree!$E:$E,"&lt;"&amp;G$8)/VLOOKUP($B$4,Stand!$C:$H,6,0),SUMIFS(Tree!$O:$O,Tree!$A:$A,$B$4,Tree!$B:$B,$B$5,Tree!$F:$F,"D",Tree!$K:$K,"&lt;&gt;"&amp;"Y",Tree!$E:$E,"&gt;="&amp;G$9,Tree!$E:$E,"&lt;"&amp;G$8)/VLOOKUP($B$4,Stand!$C:$H,6,0)),IF($B$5="All",SUMIFS(Tree!$O:$O,Tree!$A:$A,$B$4,Tree!$D:$D,$A14,Tree!$F:$F,"L",Tree!$K:$K,"&lt;&gt;"&amp;"Y",Tree!$E:$E,"&gt;="&amp;G$9,Tree!$E:$E,"&lt;"&amp;G$8)/VLOOKUP($B$4,Stand!$C:$H,6,0),SUMIFS(Tree!$O:$O,Tree!$A:$A,$B$4,Tree!$B:$B,$B$5,Tree!$D:$D,$A14,Tree!$F:$F,"L",Tree!$K:$K,"&lt;&gt;"&amp;"Y",Tree!$E:$E,"&gt;="&amp;G$9,Tree!$E:$E,"&lt;"&amp;G$8)))</f>
        <v>#N/A</v>
      </c>
      <c r="H14" s="236" t="e">
        <f>IF($A14="Snag",IF($B$5="All",SUMIFS(Tree!$O:$O,Tree!$A:$A,$B$4,Tree!$F:$F,"D",Tree!$K:$K,"&lt;&gt;"&amp;"Y",Tree!$E:$E,"&gt;="&amp;H$9,Tree!$E:$E,"&lt;"&amp;H$8)/VLOOKUP($B$4,Stand!$C:$H,6,0),SUMIFS(Tree!$O:$O,Tree!$A:$A,$B$4,Tree!$B:$B,$B$5,Tree!$F:$F,"D",Tree!$K:$K,"&lt;&gt;"&amp;"Y",Tree!$E:$E,"&gt;="&amp;H$9,Tree!$E:$E,"&lt;"&amp;H$8)/VLOOKUP($B$4,Stand!$C:$H,6,0)),IF($B$5="All",SUMIFS(Tree!$O:$O,Tree!$A:$A,$B$4,Tree!$D:$D,$A14,Tree!$F:$F,"L",Tree!$K:$K,"&lt;&gt;"&amp;"Y",Tree!$E:$E,"&gt;="&amp;H$9,Tree!$E:$E,"&lt;"&amp;H$8)/VLOOKUP($B$4,Stand!$C:$H,6,0),SUMIFS(Tree!$O:$O,Tree!$A:$A,$B$4,Tree!$B:$B,$B$5,Tree!$D:$D,$A14,Tree!$F:$F,"L",Tree!$K:$K,"&lt;&gt;"&amp;"Y",Tree!$E:$E,"&gt;="&amp;H$9,Tree!$E:$E,"&lt;"&amp;H$8)))</f>
        <v>#N/A</v>
      </c>
      <c r="I14" s="236" t="e">
        <f>IF($A14="Snag",IF($B$5="All",SUMIFS(Tree!$O:$O,Tree!$A:$A,$B$4,Tree!$F:$F,"D",Tree!$K:$K,"&lt;&gt;"&amp;"Y",Tree!$E:$E,"&gt;="&amp;I$9,Tree!$E:$E,"&lt;"&amp;I$8)/VLOOKUP($B$4,Stand!$C:$H,6,0),SUMIFS(Tree!$O:$O,Tree!$A:$A,$B$4,Tree!$B:$B,$B$5,Tree!$F:$F,"D",Tree!$K:$K,"&lt;&gt;"&amp;"Y",Tree!$E:$E,"&gt;="&amp;I$9,Tree!$E:$E,"&lt;"&amp;I$8)/VLOOKUP($B$4,Stand!$C:$H,6,0)),IF($B$5="All",SUMIFS(Tree!$O:$O,Tree!$A:$A,$B$4,Tree!$D:$D,$A14,Tree!$F:$F,"L",Tree!$K:$K,"&lt;&gt;"&amp;"Y",Tree!$E:$E,"&gt;="&amp;I$9,Tree!$E:$E,"&lt;"&amp;I$8)/VLOOKUP($B$4,Stand!$C:$H,6,0),SUMIFS(Tree!$O:$O,Tree!$A:$A,$B$4,Tree!$B:$B,$B$5,Tree!$D:$D,$A14,Tree!$F:$F,"L",Tree!$K:$K,"&lt;&gt;"&amp;"Y",Tree!$E:$E,"&gt;="&amp;I$9,Tree!$E:$E,"&lt;"&amp;I$8)))</f>
        <v>#N/A</v>
      </c>
      <c r="J14" s="237" t="e">
        <f>IF($A14="Snag",IF($B$5="All",SUMIFS(Tree!$O:$O,Tree!$A:$A,$B$4,Tree!$F:$F,"D",Tree!$K:$K,"&lt;&gt;"&amp;"Y",Tree!$E:$E,"&gt;="&amp;J$9)/VLOOKUP($B$4,Stand!$C:$H,6,0),SUMIFS(Tree!$O:$O,Tree!$A:$A,$B$4,Tree!$B:$B,$B$5,Tree!$F:$F,"D",Tree!$K:$K,"&lt;&gt;"&amp;"Y",Tree!$E:$E,"&gt;="&amp;J$9)/VLOOKUP($B$4,Stand!$C:$H,6,0)),IF($B$5="All",SUMIFS(Tree!$O:$O,Tree!$A:$A,$B$4,Tree!$D:$D,$A14,Tree!$F:$F,"L",Tree!$K:$K,"&lt;&gt;"&amp;"Y",Tree!$E:$E,"&gt;="&amp;J$9)/VLOOKUP($B$4,Stand!$C:$H,6,0),SUMIFS(Tree!$O:$O,Tree!$A:$A,$B$4,Tree!$B:$B,$B$5,Tree!$D:$D,$A14,Tree!$F:$F,"L",Tree!$K:$K,"&lt;&gt;"&amp;"Y",Tree!$E:$E,"&gt;="&amp;J$9)))</f>
        <v>#N/A</v>
      </c>
      <c r="K14" s="94" t="e">
        <f t="shared" si="0"/>
        <v>#N/A</v>
      </c>
      <c r="L14" s="16"/>
      <c r="M14" s="16"/>
      <c r="N14" s="16"/>
      <c r="O14" s="16"/>
      <c r="P14" s="1"/>
      <c r="Q14" s="21"/>
      <c r="R14" s="1"/>
      <c r="S14" s="1"/>
      <c r="T14" s="1"/>
      <c r="V14" s="1"/>
    </row>
    <row r="15" spans="1:22" ht="12.75" customHeight="1" x14ac:dyDescent="0.25">
      <c r="A15" s="340" t="s">
        <v>33</v>
      </c>
      <c r="B15" s="241" t="e">
        <f>IF($A15="Snag",IF($B$5="All",SUMIFS(Tree!$O:$O,Tree!$A:$A,$B$4,Tree!$F:$F,"D",Tree!$K:$K,"&lt;&gt;"&amp;"Y",Tree!$E:$E,"&gt;="&amp;B$9,Tree!$E:$E,"&lt;"&amp;B$8)/VLOOKUP($B$4,Stand!$C:$H,6,0),SUMIFS(Tree!$O:$O,Tree!$A:$A,$B$4,Tree!$B:$B,$B$5,Tree!$F:$F,"D",Tree!$K:$K,"&lt;&gt;"&amp;"Y",Tree!$E:$E,"&gt;="&amp;B$9,Tree!$E:$E,"&lt;"&amp;B$8)/VLOOKUP($B$4,Stand!$C:$H,6,0)),IF($B$5="All",SUMIFS(Tree!$O:$O,Tree!$A:$A,$B$4,Tree!$D:$D,$A15,Tree!$F:$F,"L",Tree!$K:$K,"&lt;&gt;"&amp;"Y",Tree!$E:$E,"&gt;="&amp;B$9,Tree!$E:$E,"&lt;"&amp;B$8)/VLOOKUP($B$4,Stand!$C:$H,6,0),SUMIFS(Tree!$O:$O,Tree!$A:$A,$B$4,Tree!$B:$B,$B$5,Tree!$D:$D,$A15,Tree!$F:$F,"L",Tree!$K:$K,"&lt;&gt;"&amp;"Y",Tree!$E:$E,"&gt;="&amp;B$9,Tree!$E:$E,"&lt;"&amp;B$8)))</f>
        <v>#N/A</v>
      </c>
      <c r="C15" s="236" t="e">
        <f>IF($A15="Snag",IF($B$5="All",SUMIFS(Tree!$O:$O,Tree!$A:$A,$B$4,Tree!$F:$F,"D",Tree!$K:$K,"&lt;&gt;"&amp;"Y",Tree!$E:$E,"&gt;="&amp;C$9,Tree!$E:$E,"&lt;"&amp;C$8)/VLOOKUP($B$4,Stand!$C:$H,6,0),SUMIFS(Tree!$O:$O,Tree!$A:$A,$B$4,Tree!$B:$B,$B$5,Tree!$F:$F,"D",Tree!$K:$K,"&lt;&gt;"&amp;"Y",Tree!$E:$E,"&gt;="&amp;C$9,Tree!$E:$E,"&lt;"&amp;C$8)/VLOOKUP($B$4,Stand!$C:$H,6,0)),IF($B$5="All",SUMIFS(Tree!$O:$O,Tree!$A:$A,$B$4,Tree!$D:$D,$A15,Tree!$F:$F,"L",Tree!$K:$K,"&lt;&gt;"&amp;"Y",Tree!$E:$E,"&gt;="&amp;C$9,Tree!$E:$E,"&lt;"&amp;C$8)/VLOOKUP($B$4,Stand!$C:$H,6,0),SUMIFS(Tree!$O:$O,Tree!$A:$A,$B$4,Tree!$B:$B,$B$5,Tree!$D:$D,$A15,Tree!$F:$F,"L",Tree!$K:$K,"&lt;&gt;"&amp;"Y",Tree!$E:$E,"&gt;="&amp;C$9,Tree!$E:$E,"&lt;"&amp;C$8)))</f>
        <v>#N/A</v>
      </c>
      <c r="D15" s="236" t="e">
        <f>IF($A15="Snag",IF($B$5="All",SUMIFS(Tree!$O:$O,Tree!$A:$A,$B$4,Tree!$F:$F,"D",Tree!$K:$K,"&lt;&gt;"&amp;"Y",Tree!$E:$E,"&gt;="&amp;D$9,Tree!$E:$E,"&lt;"&amp;D$8)/VLOOKUP($B$4,Stand!$C:$H,6,0),SUMIFS(Tree!$O:$O,Tree!$A:$A,$B$4,Tree!$B:$B,$B$5,Tree!$F:$F,"D",Tree!$K:$K,"&lt;&gt;"&amp;"Y",Tree!$E:$E,"&gt;="&amp;D$9,Tree!$E:$E,"&lt;"&amp;D$8)/VLOOKUP($B$4,Stand!$C:$H,6,0)),IF($B$5="All",SUMIFS(Tree!$O:$O,Tree!$A:$A,$B$4,Tree!$D:$D,$A15,Tree!$F:$F,"L",Tree!$K:$K,"&lt;&gt;"&amp;"Y",Tree!$E:$E,"&gt;="&amp;D$9,Tree!$E:$E,"&lt;"&amp;D$8)/VLOOKUP($B$4,Stand!$C:$H,6,0),SUMIFS(Tree!$O:$O,Tree!$A:$A,$B$4,Tree!$B:$B,$B$5,Tree!$D:$D,$A15,Tree!$F:$F,"L",Tree!$K:$K,"&lt;&gt;"&amp;"Y",Tree!$E:$E,"&gt;="&amp;D$9,Tree!$E:$E,"&lt;"&amp;D$8)))</f>
        <v>#N/A</v>
      </c>
      <c r="E15" s="236" t="e">
        <f>IF($A15="Snag",IF($B$5="All",SUMIFS(Tree!$O:$O,Tree!$A:$A,$B$4,Tree!$F:$F,"D",Tree!$K:$K,"&lt;&gt;"&amp;"Y",Tree!$E:$E,"&gt;="&amp;E$9,Tree!$E:$E,"&lt;"&amp;E$8)/VLOOKUP($B$4,Stand!$C:$H,6,0),SUMIFS(Tree!$O:$O,Tree!$A:$A,$B$4,Tree!$B:$B,$B$5,Tree!$F:$F,"D",Tree!$K:$K,"&lt;&gt;"&amp;"Y",Tree!$E:$E,"&gt;="&amp;E$9,Tree!$E:$E,"&lt;"&amp;E$8)/VLOOKUP($B$4,Stand!$C:$H,6,0)),IF($B$5="All",SUMIFS(Tree!$O:$O,Tree!$A:$A,$B$4,Tree!$D:$D,$A15,Tree!$F:$F,"L",Tree!$K:$K,"&lt;&gt;"&amp;"Y",Tree!$E:$E,"&gt;="&amp;E$9,Tree!$E:$E,"&lt;"&amp;E$8)/VLOOKUP($B$4,Stand!$C:$H,6,0),SUMIFS(Tree!$O:$O,Tree!$A:$A,$B$4,Tree!$B:$B,$B$5,Tree!$D:$D,$A15,Tree!$F:$F,"L",Tree!$K:$K,"&lt;&gt;"&amp;"Y",Tree!$E:$E,"&gt;="&amp;E$9,Tree!$E:$E,"&lt;"&amp;E$8)))</f>
        <v>#N/A</v>
      </c>
      <c r="F15" s="236" t="e">
        <f>IF($A15="Snag",IF($B$5="All",SUMIFS(Tree!$O:$O,Tree!$A:$A,$B$4,Tree!$F:$F,"D",Tree!$K:$K,"&lt;&gt;"&amp;"Y",Tree!$E:$E,"&gt;="&amp;F$9,Tree!$E:$E,"&lt;"&amp;F$8)/VLOOKUP($B$4,Stand!$C:$H,6,0),SUMIFS(Tree!$O:$O,Tree!$A:$A,$B$4,Tree!$B:$B,$B$5,Tree!$F:$F,"D",Tree!$K:$K,"&lt;&gt;"&amp;"Y",Tree!$E:$E,"&gt;="&amp;F$9,Tree!$E:$E,"&lt;"&amp;F$8)/VLOOKUP($B$4,Stand!$C:$H,6,0)),IF($B$5="All",SUMIFS(Tree!$O:$O,Tree!$A:$A,$B$4,Tree!$D:$D,$A15,Tree!$F:$F,"L",Tree!$K:$K,"&lt;&gt;"&amp;"Y",Tree!$E:$E,"&gt;="&amp;F$9,Tree!$E:$E,"&lt;"&amp;F$8)/VLOOKUP($B$4,Stand!$C:$H,6,0),SUMIFS(Tree!$O:$O,Tree!$A:$A,$B$4,Tree!$B:$B,$B$5,Tree!$D:$D,$A15,Tree!$F:$F,"L",Tree!$K:$K,"&lt;&gt;"&amp;"Y",Tree!$E:$E,"&gt;="&amp;F$9,Tree!$E:$E,"&lt;"&amp;F$8)))</f>
        <v>#N/A</v>
      </c>
      <c r="G15" s="236" t="e">
        <f>IF($A15="Snag",IF($B$5="All",SUMIFS(Tree!$O:$O,Tree!$A:$A,$B$4,Tree!$F:$F,"D",Tree!$K:$K,"&lt;&gt;"&amp;"Y",Tree!$E:$E,"&gt;="&amp;G$9,Tree!$E:$E,"&lt;"&amp;G$8)/VLOOKUP($B$4,Stand!$C:$H,6,0),SUMIFS(Tree!$O:$O,Tree!$A:$A,$B$4,Tree!$B:$B,$B$5,Tree!$F:$F,"D",Tree!$K:$K,"&lt;&gt;"&amp;"Y",Tree!$E:$E,"&gt;="&amp;G$9,Tree!$E:$E,"&lt;"&amp;G$8)/VLOOKUP($B$4,Stand!$C:$H,6,0)),IF($B$5="All",SUMIFS(Tree!$O:$O,Tree!$A:$A,$B$4,Tree!$D:$D,$A15,Tree!$F:$F,"L",Tree!$K:$K,"&lt;&gt;"&amp;"Y",Tree!$E:$E,"&gt;="&amp;G$9,Tree!$E:$E,"&lt;"&amp;G$8)/VLOOKUP($B$4,Stand!$C:$H,6,0),SUMIFS(Tree!$O:$O,Tree!$A:$A,$B$4,Tree!$B:$B,$B$5,Tree!$D:$D,$A15,Tree!$F:$F,"L",Tree!$K:$K,"&lt;&gt;"&amp;"Y",Tree!$E:$E,"&gt;="&amp;G$9,Tree!$E:$E,"&lt;"&amp;G$8)))</f>
        <v>#N/A</v>
      </c>
      <c r="H15" s="236" t="e">
        <f>IF($A15="Snag",IF($B$5="All",SUMIFS(Tree!$O:$O,Tree!$A:$A,$B$4,Tree!$F:$F,"D",Tree!$K:$K,"&lt;&gt;"&amp;"Y",Tree!$E:$E,"&gt;="&amp;H$9,Tree!$E:$E,"&lt;"&amp;H$8)/VLOOKUP($B$4,Stand!$C:$H,6,0),SUMIFS(Tree!$O:$O,Tree!$A:$A,$B$4,Tree!$B:$B,$B$5,Tree!$F:$F,"D",Tree!$K:$K,"&lt;&gt;"&amp;"Y",Tree!$E:$E,"&gt;="&amp;H$9,Tree!$E:$E,"&lt;"&amp;H$8)/VLOOKUP($B$4,Stand!$C:$H,6,0)),IF($B$5="All",SUMIFS(Tree!$O:$O,Tree!$A:$A,$B$4,Tree!$D:$D,$A15,Tree!$F:$F,"L",Tree!$K:$K,"&lt;&gt;"&amp;"Y",Tree!$E:$E,"&gt;="&amp;H$9,Tree!$E:$E,"&lt;"&amp;H$8)/VLOOKUP($B$4,Stand!$C:$H,6,0),SUMIFS(Tree!$O:$O,Tree!$A:$A,$B$4,Tree!$B:$B,$B$5,Tree!$D:$D,$A15,Tree!$F:$F,"L",Tree!$K:$K,"&lt;&gt;"&amp;"Y",Tree!$E:$E,"&gt;="&amp;H$9,Tree!$E:$E,"&lt;"&amp;H$8)))</f>
        <v>#N/A</v>
      </c>
      <c r="I15" s="236" t="e">
        <f>IF($A15="Snag",IF($B$5="All",SUMIFS(Tree!$O:$O,Tree!$A:$A,$B$4,Tree!$F:$F,"D",Tree!$K:$K,"&lt;&gt;"&amp;"Y",Tree!$E:$E,"&gt;="&amp;I$9,Tree!$E:$E,"&lt;"&amp;I$8)/VLOOKUP($B$4,Stand!$C:$H,6,0),SUMIFS(Tree!$O:$O,Tree!$A:$A,$B$4,Tree!$B:$B,$B$5,Tree!$F:$F,"D",Tree!$K:$K,"&lt;&gt;"&amp;"Y",Tree!$E:$E,"&gt;="&amp;I$9,Tree!$E:$E,"&lt;"&amp;I$8)/VLOOKUP($B$4,Stand!$C:$H,6,0)),IF($B$5="All",SUMIFS(Tree!$O:$O,Tree!$A:$A,$B$4,Tree!$D:$D,$A15,Tree!$F:$F,"L",Tree!$K:$K,"&lt;&gt;"&amp;"Y",Tree!$E:$E,"&gt;="&amp;I$9,Tree!$E:$E,"&lt;"&amp;I$8)/VLOOKUP($B$4,Stand!$C:$H,6,0),SUMIFS(Tree!$O:$O,Tree!$A:$A,$B$4,Tree!$B:$B,$B$5,Tree!$D:$D,$A15,Tree!$F:$F,"L",Tree!$K:$K,"&lt;&gt;"&amp;"Y",Tree!$E:$E,"&gt;="&amp;I$9,Tree!$E:$E,"&lt;"&amp;I$8)))</f>
        <v>#N/A</v>
      </c>
      <c r="J15" s="237" t="e">
        <f>IF($A15="Snag",IF($B$5="All",SUMIFS(Tree!$O:$O,Tree!$A:$A,$B$4,Tree!$F:$F,"D",Tree!$K:$K,"&lt;&gt;"&amp;"Y",Tree!$E:$E,"&gt;="&amp;J$9)/VLOOKUP($B$4,Stand!$C:$H,6,0),SUMIFS(Tree!$O:$O,Tree!$A:$A,$B$4,Tree!$B:$B,$B$5,Tree!$F:$F,"D",Tree!$K:$K,"&lt;&gt;"&amp;"Y",Tree!$E:$E,"&gt;="&amp;J$9)/VLOOKUP($B$4,Stand!$C:$H,6,0)),IF($B$5="All",SUMIFS(Tree!$O:$O,Tree!$A:$A,$B$4,Tree!$D:$D,$A15,Tree!$F:$F,"L",Tree!$K:$K,"&lt;&gt;"&amp;"Y",Tree!$E:$E,"&gt;="&amp;J$9)/VLOOKUP($B$4,Stand!$C:$H,6,0),SUMIFS(Tree!$O:$O,Tree!$A:$A,$B$4,Tree!$B:$B,$B$5,Tree!$D:$D,$A15,Tree!$F:$F,"L",Tree!$K:$K,"&lt;&gt;"&amp;"Y",Tree!$E:$E,"&gt;="&amp;J$9)))</f>
        <v>#N/A</v>
      </c>
      <c r="K15" s="94" t="e">
        <f t="shared" si="0"/>
        <v>#N/A</v>
      </c>
      <c r="L15" s="16"/>
      <c r="M15" s="16"/>
      <c r="N15" s="16"/>
      <c r="O15" s="16"/>
      <c r="P15" s="1"/>
      <c r="Q15" s="21"/>
      <c r="R15" s="1"/>
      <c r="S15" s="1"/>
      <c r="T15" s="1"/>
      <c r="V15" s="1"/>
    </row>
    <row r="16" spans="1:22" ht="12.75" customHeight="1" x14ac:dyDescent="0.25">
      <c r="A16" s="340" t="s">
        <v>47</v>
      </c>
      <c r="B16" s="241" t="e">
        <f>IF($A16="Snag",IF($B$5="All",SUMIFS(Tree!$O:$O,Tree!$A:$A,$B$4,Tree!$F:$F,"D",Tree!$K:$K,"&lt;&gt;"&amp;"Y",Tree!$E:$E,"&gt;="&amp;B$9,Tree!$E:$E,"&lt;"&amp;B$8)/VLOOKUP($B$4,Stand!$C:$H,6,0),SUMIFS(Tree!$O:$O,Tree!$A:$A,$B$4,Tree!$B:$B,$B$5,Tree!$F:$F,"D",Tree!$K:$K,"&lt;&gt;"&amp;"Y",Tree!$E:$E,"&gt;="&amp;B$9,Tree!$E:$E,"&lt;"&amp;B$8)/VLOOKUP($B$4,Stand!$C:$H,6,0)),IF($B$5="All",SUMIFS(Tree!$O:$O,Tree!$A:$A,$B$4,Tree!$D:$D,$A16,Tree!$F:$F,"L",Tree!$K:$K,"&lt;&gt;"&amp;"Y",Tree!$E:$E,"&gt;="&amp;B$9,Tree!$E:$E,"&lt;"&amp;B$8)/VLOOKUP($B$4,Stand!$C:$H,6,0),SUMIFS(Tree!$O:$O,Tree!$A:$A,$B$4,Tree!$B:$B,$B$5,Tree!$D:$D,$A16,Tree!$F:$F,"L",Tree!$K:$K,"&lt;&gt;"&amp;"Y",Tree!$E:$E,"&gt;="&amp;B$9,Tree!$E:$E,"&lt;"&amp;B$8)))</f>
        <v>#N/A</v>
      </c>
      <c r="C16" s="236" t="e">
        <f>IF($A16="Snag",IF($B$5="All",SUMIFS(Tree!$O:$O,Tree!$A:$A,$B$4,Tree!$F:$F,"D",Tree!$K:$K,"&lt;&gt;"&amp;"Y",Tree!$E:$E,"&gt;="&amp;C$9,Tree!$E:$E,"&lt;"&amp;C$8)/VLOOKUP($B$4,Stand!$C:$H,6,0),SUMIFS(Tree!$O:$O,Tree!$A:$A,$B$4,Tree!$B:$B,$B$5,Tree!$F:$F,"D",Tree!$K:$K,"&lt;&gt;"&amp;"Y",Tree!$E:$E,"&gt;="&amp;C$9,Tree!$E:$E,"&lt;"&amp;C$8)/VLOOKUP($B$4,Stand!$C:$H,6,0)),IF($B$5="All",SUMIFS(Tree!$O:$O,Tree!$A:$A,$B$4,Tree!$D:$D,$A16,Tree!$F:$F,"L",Tree!$K:$K,"&lt;&gt;"&amp;"Y",Tree!$E:$E,"&gt;="&amp;C$9,Tree!$E:$E,"&lt;"&amp;C$8)/VLOOKUP($B$4,Stand!$C:$H,6,0),SUMIFS(Tree!$O:$O,Tree!$A:$A,$B$4,Tree!$B:$B,$B$5,Tree!$D:$D,$A16,Tree!$F:$F,"L",Tree!$K:$K,"&lt;&gt;"&amp;"Y",Tree!$E:$E,"&gt;="&amp;C$9,Tree!$E:$E,"&lt;"&amp;C$8)))</f>
        <v>#N/A</v>
      </c>
      <c r="D16" s="236" t="e">
        <f>IF($A16="Snag",IF($B$5="All",SUMIFS(Tree!$O:$O,Tree!$A:$A,$B$4,Tree!$F:$F,"D",Tree!$K:$K,"&lt;&gt;"&amp;"Y",Tree!$E:$E,"&gt;="&amp;D$9,Tree!$E:$E,"&lt;"&amp;D$8)/VLOOKUP($B$4,Stand!$C:$H,6,0),SUMIFS(Tree!$O:$O,Tree!$A:$A,$B$4,Tree!$B:$B,$B$5,Tree!$F:$F,"D",Tree!$K:$K,"&lt;&gt;"&amp;"Y",Tree!$E:$E,"&gt;="&amp;D$9,Tree!$E:$E,"&lt;"&amp;D$8)/VLOOKUP($B$4,Stand!$C:$H,6,0)),IF($B$5="All",SUMIFS(Tree!$O:$O,Tree!$A:$A,$B$4,Tree!$D:$D,$A16,Tree!$F:$F,"L",Tree!$K:$K,"&lt;&gt;"&amp;"Y",Tree!$E:$E,"&gt;="&amp;D$9,Tree!$E:$E,"&lt;"&amp;D$8)/VLOOKUP($B$4,Stand!$C:$H,6,0),SUMIFS(Tree!$O:$O,Tree!$A:$A,$B$4,Tree!$B:$B,$B$5,Tree!$D:$D,$A16,Tree!$F:$F,"L",Tree!$K:$K,"&lt;&gt;"&amp;"Y",Tree!$E:$E,"&gt;="&amp;D$9,Tree!$E:$E,"&lt;"&amp;D$8)))</f>
        <v>#N/A</v>
      </c>
      <c r="E16" s="236" t="e">
        <f>IF($A16="Snag",IF($B$5="All",SUMIFS(Tree!$O:$O,Tree!$A:$A,$B$4,Tree!$F:$F,"D",Tree!$K:$K,"&lt;&gt;"&amp;"Y",Tree!$E:$E,"&gt;="&amp;E$9,Tree!$E:$E,"&lt;"&amp;E$8)/VLOOKUP($B$4,Stand!$C:$H,6,0),SUMIFS(Tree!$O:$O,Tree!$A:$A,$B$4,Tree!$B:$B,$B$5,Tree!$F:$F,"D",Tree!$K:$K,"&lt;&gt;"&amp;"Y",Tree!$E:$E,"&gt;="&amp;E$9,Tree!$E:$E,"&lt;"&amp;E$8)/VLOOKUP($B$4,Stand!$C:$H,6,0)),IF($B$5="All",SUMIFS(Tree!$O:$O,Tree!$A:$A,$B$4,Tree!$D:$D,$A16,Tree!$F:$F,"L",Tree!$K:$K,"&lt;&gt;"&amp;"Y",Tree!$E:$E,"&gt;="&amp;E$9,Tree!$E:$E,"&lt;"&amp;E$8)/VLOOKUP($B$4,Stand!$C:$H,6,0),SUMIFS(Tree!$O:$O,Tree!$A:$A,$B$4,Tree!$B:$B,$B$5,Tree!$D:$D,$A16,Tree!$F:$F,"L",Tree!$K:$K,"&lt;&gt;"&amp;"Y",Tree!$E:$E,"&gt;="&amp;E$9,Tree!$E:$E,"&lt;"&amp;E$8)))</f>
        <v>#N/A</v>
      </c>
      <c r="F16" s="236" t="e">
        <f>IF($A16="Snag",IF($B$5="All",SUMIFS(Tree!$O:$O,Tree!$A:$A,$B$4,Tree!$F:$F,"D",Tree!$K:$K,"&lt;&gt;"&amp;"Y",Tree!$E:$E,"&gt;="&amp;F$9,Tree!$E:$E,"&lt;"&amp;F$8)/VLOOKUP($B$4,Stand!$C:$H,6,0),SUMIFS(Tree!$O:$O,Tree!$A:$A,$B$4,Tree!$B:$B,$B$5,Tree!$F:$F,"D",Tree!$K:$K,"&lt;&gt;"&amp;"Y",Tree!$E:$E,"&gt;="&amp;F$9,Tree!$E:$E,"&lt;"&amp;F$8)/VLOOKUP($B$4,Stand!$C:$H,6,0)),IF($B$5="All",SUMIFS(Tree!$O:$O,Tree!$A:$A,$B$4,Tree!$D:$D,$A16,Tree!$F:$F,"L",Tree!$K:$K,"&lt;&gt;"&amp;"Y",Tree!$E:$E,"&gt;="&amp;F$9,Tree!$E:$E,"&lt;"&amp;F$8)/VLOOKUP($B$4,Stand!$C:$H,6,0),SUMIFS(Tree!$O:$O,Tree!$A:$A,$B$4,Tree!$B:$B,$B$5,Tree!$D:$D,$A16,Tree!$F:$F,"L",Tree!$K:$K,"&lt;&gt;"&amp;"Y",Tree!$E:$E,"&gt;="&amp;F$9,Tree!$E:$E,"&lt;"&amp;F$8)))</f>
        <v>#N/A</v>
      </c>
      <c r="G16" s="236" t="e">
        <f>IF($A16="Snag",IF($B$5="All",SUMIFS(Tree!$O:$O,Tree!$A:$A,$B$4,Tree!$F:$F,"D",Tree!$K:$K,"&lt;&gt;"&amp;"Y",Tree!$E:$E,"&gt;="&amp;G$9,Tree!$E:$E,"&lt;"&amp;G$8)/VLOOKUP($B$4,Stand!$C:$H,6,0),SUMIFS(Tree!$O:$O,Tree!$A:$A,$B$4,Tree!$B:$B,$B$5,Tree!$F:$F,"D",Tree!$K:$K,"&lt;&gt;"&amp;"Y",Tree!$E:$E,"&gt;="&amp;G$9,Tree!$E:$E,"&lt;"&amp;G$8)/VLOOKUP($B$4,Stand!$C:$H,6,0)),IF($B$5="All",SUMIFS(Tree!$O:$O,Tree!$A:$A,$B$4,Tree!$D:$D,$A16,Tree!$F:$F,"L",Tree!$K:$K,"&lt;&gt;"&amp;"Y",Tree!$E:$E,"&gt;="&amp;G$9,Tree!$E:$E,"&lt;"&amp;G$8)/VLOOKUP($B$4,Stand!$C:$H,6,0),SUMIFS(Tree!$O:$O,Tree!$A:$A,$B$4,Tree!$B:$B,$B$5,Tree!$D:$D,$A16,Tree!$F:$F,"L",Tree!$K:$K,"&lt;&gt;"&amp;"Y",Tree!$E:$E,"&gt;="&amp;G$9,Tree!$E:$E,"&lt;"&amp;G$8)))</f>
        <v>#N/A</v>
      </c>
      <c r="H16" s="236" t="e">
        <f>IF($A16="Snag",IF($B$5="All",SUMIFS(Tree!$O:$O,Tree!$A:$A,$B$4,Tree!$F:$F,"D",Tree!$K:$K,"&lt;&gt;"&amp;"Y",Tree!$E:$E,"&gt;="&amp;H$9,Tree!$E:$E,"&lt;"&amp;H$8)/VLOOKUP($B$4,Stand!$C:$H,6,0),SUMIFS(Tree!$O:$O,Tree!$A:$A,$B$4,Tree!$B:$B,$B$5,Tree!$F:$F,"D",Tree!$K:$K,"&lt;&gt;"&amp;"Y",Tree!$E:$E,"&gt;="&amp;H$9,Tree!$E:$E,"&lt;"&amp;H$8)/VLOOKUP($B$4,Stand!$C:$H,6,0)),IF($B$5="All",SUMIFS(Tree!$O:$O,Tree!$A:$A,$B$4,Tree!$D:$D,$A16,Tree!$F:$F,"L",Tree!$K:$K,"&lt;&gt;"&amp;"Y",Tree!$E:$E,"&gt;="&amp;H$9,Tree!$E:$E,"&lt;"&amp;H$8)/VLOOKUP($B$4,Stand!$C:$H,6,0),SUMIFS(Tree!$O:$O,Tree!$A:$A,$B$4,Tree!$B:$B,$B$5,Tree!$D:$D,$A16,Tree!$F:$F,"L",Tree!$K:$K,"&lt;&gt;"&amp;"Y",Tree!$E:$E,"&gt;="&amp;H$9,Tree!$E:$E,"&lt;"&amp;H$8)))</f>
        <v>#N/A</v>
      </c>
      <c r="I16" s="236" t="e">
        <f>IF($A16="Snag",IF($B$5="All",SUMIFS(Tree!$O:$O,Tree!$A:$A,$B$4,Tree!$F:$F,"D",Tree!$K:$K,"&lt;&gt;"&amp;"Y",Tree!$E:$E,"&gt;="&amp;I$9,Tree!$E:$E,"&lt;"&amp;I$8)/VLOOKUP($B$4,Stand!$C:$H,6,0),SUMIFS(Tree!$O:$O,Tree!$A:$A,$B$4,Tree!$B:$B,$B$5,Tree!$F:$F,"D",Tree!$K:$K,"&lt;&gt;"&amp;"Y",Tree!$E:$E,"&gt;="&amp;I$9,Tree!$E:$E,"&lt;"&amp;I$8)/VLOOKUP($B$4,Stand!$C:$H,6,0)),IF($B$5="All",SUMIFS(Tree!$O:$O,Tree!$A:$A,$B$4,Tree!$D:$D,$A16,Tree!$F:$F,"L",Tree!$K:$K,"&lt;&gt;"&amp;"Y",Tree!$E:$E,"&gt;="&amp;I$9,Tree!$E:$E,"&lt;"&amp;I$8)/VLOOKUP($B$4,Stand!$C:$H,6,0),SUMIFS(Tree!$O:$O,Tree!$A:$A,$B$4,Tree!$B:$B,$B$5,Tree!$D:$D,$A16,Tree!$F:$F,"L",Tree!$K:$K,"&lt;&gt;"&amp;"Y",Tree!$E:$E,"&gt;="&amp;I$9,Tree!$E:$E,"&lt;"&amp;I$8)))</f>
        <v>#N/A</v>
      </c>
      <c r="J16" s="237" t="e">
        <f>IF($A16="Snag",IF($B$5="All",SUMIFS(Tree!$O:$O,Tree!$A:$A,$B$4,Tree!$F:$F,"D",Tree!$K:$K,"&lt;&gt;"&amp;"Y",Tree!$E:$E,"&gt;="&amp;J$9)/VLOOKUP($B$4,Stand!$C:$H,6,0),SUMIFS(Tree!$O:$O,Tree!$A:$A,$B$4,Tree!$B:$B,$B$5,Tree!$F:$F,"D",Tree!$K:$K,"&lt;&gt;"&amp;"Y",Tree!$E:$E,"&gt;="&amp;J$9)/VLOOKUP($B$4,Stand!$C:$H,6,0)),IF($B$5="All",SUMIFS(Tree!$O:$O,Tree!$A:$A,$B$4,Tree!$D:$D,$A16,Tree!$F:$F,"L",Tree!$K:$K,"&lt;&gt;"&amp;"Y",Tree!$E:$E,"&gt;="&amp;J$9)/VLOOKUP($B$4,Stand!$C:$H,6,0),SUMIFS(Tree!$O:$O,Tree!$A:$A,$B$4,Tree!$B:$B,$B$5,Tree!$D:$D,$A16,Tree!$F:$F,"L",Tree!$K:$K,"&lt;&gt;"&amp;"Y",Tree!$E:$E,"&gt;="&amp;J$9)))</f>
        <v>#N/A</v>
      </c>
      <c r="K16" s="94" t="e">
        <f t="shared" si="0"/>
        <v>#N/A</v>
      </c>
      <c r="L16" s="16"/>
      <c r="M16" s="16"/>
      <c r="N16" s="16"/>
      <c r="O16" s="16"/>
      <c r="P16" s="1"/>
      <c r="Q16" s="21"/>
      <c r="R16" s="1"/>
      <c r="S16" s="1"/>
      <c r="T16" s="1"/>
      <c r="V16" s="1"/>
    </row>
    <row r="17" spans="1:26" ht="12.75" customHeight="1" x14ac:dyDescent="0.25">
      <c r="A17" s="340" t="s">
        <v>45</v>
      </c>
      <c r="B17" s="241" t="e">
        <f>IF($A17="Snag",IF($B$5="All",SUMIFS(Tree!$O:$O,Tree!$A:$A,$B$4,Tree!$F:$F,"D",Tree!$K:$K,"&lt;&gt;"&amp;"Y",Tree!$E:$E,"&gt;="&amp;B$9,Tree!$E:$E,"&lt;"&amp;B$8)/VLOOKUP($B$4,Stand!$C:$H,6,0),SUMIFS(Tree!$O:$O,Tree!$A:$A,$B$4,Tree!$B:$B,$B$5,Tree!$F:$F,"D",Tree!$K:$K,"&lt;&gt;"&amp;"Y",Tree!$E:$E,"&gt;="&amp;B$9,Tree!$E:$E,"&lt;"&amp;B$8)/VLOOKUP($B$4,Stand!$C:$H,6,0)),IF($B$5="All",SUMIFS(Tree!$O:$O,Tree!$A:$A,$B$4,Tree!$D:$D,$A17,Tree!$F:$F,"L",Tree!$K:$K,"&lt;&gt;"&amp;"Y",Tree!$E:$E,"&gt;="&amp;B$9,Tree!$E:$E,"&lt;"&amp;B$8)/VLOOKUP($B$4,Stand!$C:$H,6,0),SUMIFS(Tree!$O:$O,Tree!$A:$A,$B$4,Tree!$B:$B,$B$5,Tree!$D:$D,$A17,Tree!$F:$F,"L",Tree!$K:$K,"&lt;&gt;"&amp;"Y",Tree!$E:$E,"&gt;="&amp;B$9,Tree!$E:$E,"&lt;"&amp;B$8)))</f>
        <v>#N/A</v>
      </c>
      <c r="C17" s="236" t="e">
        <f>IF($A17="Snag",IF($B$5="All",SUMIFS(Tree!$O:$O,Tree!$A:$A,$B$4,Tree!$F:$F,"D",Tree!$K:$K,"&lt;&gt;"&amp;"Y",Tree!$E:$E,"&gt;="&amp;C$9,Tree!$E:$E,"&lt;"&amp;C$8)/VLOOKUP($B$4,Stand!$C:$H,6,0),SUMIFS(Tree!$O:$O,Tree!$A:$A,$B$4,Tree!$B:$B,$B$5,Tree!$F:$F,"D",Tree!$K:$K,"&lt;&gt;"&amp;"Y",Tree!$E:$E,"&gt;="&amp;C$9,Tree!$E:$E,"&lt;"&amp;C$8)/VLOOKUP($B$4,Stand!$C:$H,6,0)),IF($B$5="All",SUMIFS(Tree!$O:$O,Tree!$A:$A,$B$4,Tree!$D:$D,$A17,Tree!$F:$F,"L",Tree!$K:$K,"&lt;&gt;"&amp;"Y",Tree!$E:$E,"&gt;="&amp;C$9,Tree!$E:$E,"&lt;"&amp;C$8)/VLOOKUP($B$4,Stand!$C:$H,6,0),SUMIFS(Tree!$O:$O,Tree!$A:$A,$B$4,Tree!$B:$B,$B$5,Tree!$D:$D,$A17,Tree!$F:$F,"L",Tree!$K:$K,"&lt;&gt;"&amp;"Y",Tree!$E:$E,"&gt;="&amp;C$9,Tree!$E:$E,"&lt;"&amp;C$8)))</f>
        <v>#N/A</v>
      </c>
      <c r="D17" s="236" t="e">
        <f>IF($A17="Snag",IF($B$5="All",SUMIFS(Tree!$O:$O,Tree!$A:$A,$B$4,Tree!$F:$F,"D",Tree!$K:$K,"&lt;&gt;"&amp;"Y",Tree!$E:$E,"&gt;="&amp;D$9,Tree!$E:$E,"&lt;"&amp;D$8)/VLOOKUP($B$4,Stand!$C:$H,6,0),SUMIFS(Tree!$O:$O,Tree!$A:$A,$B$4,Tree!$B:$B,$B$5,Tree!$F:$F,"D",Tree!$K:$K,"&lt;&gt;"&amp;"Y",Tree!$E:$E,"&gt;="&amp;D$9,Tree!$E:$E,"&lt;"&amp;D$8)/VLOOKUP($B$4,Stand!$C:$H,6,0)),IF($B$5="All",SUMIFS(Tree!$O:$O,Tree!$A:$A,$B$4,Tree!$D:$D,$A17,Tree!$F:$F,"L",Tree!$K:$K,"&lt;&gt;"&amp;"Y",Tree!$E:$E,"&gt;="&amp;D$9,Tree!$E:$E,"&lt;"&amp;D$8)/VLOOKUP($B$4,Stand!$C:$H,6,0),SUMIFS(Tree!$O:$O,Tree!$A:$A,$B$4,Tree!$B:$B,$B$5,Tree!$D:$D,$A17,Tree!$F:$F,"L",Tree!$K:$K,"&lt;&gt;"&amp;"Y",Tree!$E:$E,"&gt;="&amp;D$9,Tree!$E:$E,"&lt;"&amp;D$8)))</f>
        <v>#N/A</v>
      </c>
      <c r="E17" s="236" t="e">
        <f>IF($A17="Snag",IF($B$5="All",SUMIFS(Tree!$O:$O,Tree!$A:$A,$B$4,Tree!$F:$F,"D",Tree!$K:$K,"&lt;&gt;"&amp;"Y",Tree!$E:$E,"&gt;="&amp;E$9,Tree!$E:$E,"&lt;"&amp;E$8)/VLOOKUP($B$4,Stand!$C:$H,6,0),SUMIFS(Tree!$O:$O,Tree!$A:$A,$B$4,Tree!$B:$B,$B$5,Tree!$F:$F,"D",Tree!$K:$K,"&lt;&gt;"&amp;"Y",Tree!$E:$E,"&gt;="&amp;E$9,Tree!$E:$E,"&lt;"&amp;E$8)/VLOOKUP($B$4,Stand!$C:$H,6,0)),IF($B$5="All",SUMIFS(Tree!$O:$O,Tree!$A:$A,$B$4,Tree!$D:$D,$A17,Tree!$F:$F,"L",Tree!$K:$K,"&lt;&gt;"&amp;"Y",Tree!$E:$E,"&gt;="&amp;E$9,Tree!$E:$E,"&lt;"&amp;E$8)/VLOOKUP($B$4,Stand!$C:$H,6,0),SUMIFS(Tree!$O:$O,Tree!$A:$A,$B$4,Tree!$B:$B,$B$5,Tree!$D:$D,$A17,Tree!$F:$F,"L",Tree!$K:$K,"&lt;&gt;"&amp;"Y",Tree!$E:$E,"&gt;="&amp;E$9,Tree!$E:$E,"&lt;"&amp;E$8)))</f>
        <v>#N/A</v>
      </c>
      <c r="F17" s="236" t="e">
        <f>IF($A17="Snag",IF($B$5="All",SUMIFS(Tree!$O:$O,Tree!$A:$A,$B$4,Tree!$F:$F,"D",Tree!$K:$K,"&lt;&gt;"&amp;"Y",Tree!$E:$E,"&gt;="&amp;F$9,Tree!$E:$E,"&lt;"&amp;F$8)/VLOOKUP($B$4,Stand!$C:$H,6,0),SUMIFS(Tree!$O:$O,Tree!$A:$A,$B$4,Tree!$B:$B,$B$5,Tree!$F:$F,"D",Tree!$K:$K,"&lt;&gt;"&amp;"Y",Tree!$E:$E,"&gt;="&amp;F$9,Tree!$E:$E,"&lt;"&amp;F$8)/VLOOKUP($B$4,Stand!$C:$H,6,0)),IF($B$5="All",SUMIFS(Tree!$O:$O,Tree!$A:$A,$B$4,Tree!$D:$D,$A17,Tree!$F:$F,"L",Tree!$K:$K,"&lt;&gt;"&amp;"Y",Tree!$E:$E,"&gt;="&amp;F$9,Tree!$E:$E,"&lt;"&amp;F$8)/VLOOKUP($B$4,Stand!$C:$H,6,0),SUMIFS(Tree!$O:$O,Tree!$A:$A,$B$4,Tree!$B:$B,$B$5,Tree!$D:$D,$A17,Tree!$F:$F,"L",Tree!$K:$K,"&lt;&gt;"&amp;"Y",Tree!$E:$E,"&gt;="&amp;F$9,Tree!$E:$E,"&lt;"&amp;F$8)))</f>
        <v>#N/A</v>
      </c>
      <c r="G17" s="236" t="e">
        <f>IF($A17="Snag",IF($B$5="All",SUMIFS(Tree!$O:$O,Tree!$A:$A,$B$4,Tree!$F:$F,"D",Tree!$K:$K,"&lt;&gt;"&amp;"Y",Tree!$E:$E,"&gt;="&amp;G$9,Tree!$E:$E,"&lt;"&amp;G$8)/VLOOKUP($B$4,Stand!$C:$H,6,0),SUMIFS(Tree!$O:$O,Tree!$A:$A,$B$4,Tree!$B:$B,$B$5,Tree!$F:$F,"D",Tree!$K:$K,"&lt;&gt;"&amp;"Y",Tree!$E:$E,"&gt;="&amp;G$9,Tree!$E:$E,"&lt;"&amp;G$8)/VLOOKUP($B$4,Stand!$C:$H,6,0)),IF($B$5="All",SUMIFS(Tree!$O:$O,Tree!$A:$A,$B$4,Tree!$D:$D,$A17,Tree!$F:$F,"L",Tree!$K:$K,"&lt;&gt;"&amp;"Y",Tree!$E:$E,"&gt;="&amp;G$9,Tree!$E:$E,"&lt;"&amp;G$8)/VLOOKUP($B$4,Stand!$C:$H,6,0),SUMIFS(Tree!$O:$O,Tree!$A:$A,$B$4,Tree!$B:$B,$B$5,Tree!$D:$D,$A17,Tree!$F:$F,"L",Tree!$K:$K,"&lt;&gt;"&amp;"Y",Tree!$E:$E,"&gt;="&amp;G$9,Tree!$E:$E,"&lt;"&amp;G$8)))</f>
        <v>#N/A</v>
      </c>
      <c r="H17" s="236" t="e">
        <f>IF($A17="Snag",IF($B$5="All",SUMIFS(Tree!$O:$O,Tree!$A:$A,$B$4,Tree!$F:$F,"D",Tree!$K:$K,"&lt;&gt;"&amp;"Y",Tree!$E:$E,"&gt;="&amp;H$9,Tree!$E:$E,"&lt;"&amp;H$8)/VLOOKUP($B$4,Stand!$C:$H,6,0),SUMIFS(Tree!$O:$O,Tree!$A:$A,$B$4,Tree!$B:$B,$B$5,Tree!$F:$F,"D",Tree!$K:$K,"&lt;&gt;"&amp;"Y",Tree!$E:$E,"&gt;="&amp;H$9,Tree!$E:$E,"&lt;"&amp;H$8)/VLOOKUP($B$4,Stand!$C:$H,6,0)),IF($B$5="All",SUMIFS(Tree!$O:$O,Tree!$A:$A,$B$4,Tree!$D:$D,$A17,Tree!$F:$F,"L",Tree!$K:$K,"&lt;&gt;"&amp;"Y",Tree!$E:$E,"&gt;="&amp;H$9,Tree!$E:$E,"&lt;"&amp;H$8)/VLOOKUP($B$4,Stand!$C:$H,6,0),SUMIFS(Tree!$O:$O,Tree!$A:$A,$B$4,Tree!$B:$B,$B$5,Tree!$D:$D,$A17,Tree!$F:$F,"L",Tree!$K:$K,"&lt;&gt;"&amp;"Y",Tree!$E:$E,"&gt;="&amp;H$9,Tree!$E:$E,"&lt;"&amp;H$8)))</f>
        <v>#N/A</v>
      </c>
      <c r="I17" s="236" t="e">
        <f>IF($A17="Snag",IF($B$5="All",SUMIFS(Tree!$O:$O,Tree!$A:$A,$B$4,Tree!$F:$F,"D",Tree!$K:$K,"&lt;&gt;"&amp;"Y",Tree!$E:$E,"&gt;="&amp;I$9,Tree!$E:$E,"&lt;"&amp;I$8)/VLOOKUP($B$4,Stand!$C:$H,6,0),SUMIFS(Tree!$O:$O,Tree!$A:$A,$B$4,Tree!$B:$B,$B$5,Tree!$F:$F,"D",Tree!$K:$K,"&lt;&gt;"&amp;"Y",Tree!$E:$E,"&gt;="&amp;I$9,Tree!$E:$E,"&lt;"&amp;I$8)/VLOOKUP($B$4,Stand!$C:$H,6,0)),IF($B$5="All",SUMIFS(Tree!$O:$O,Tree!$A:$A,$B$4,Tree!$D:$D,$A17,Tree!$F:$F,"L",Tree!$K:$K,"&lt;&gt;"&amp;"Y",Tree!$E:$E,"&gt;="&amp;I$9,Tree!$E:$E,"&lt;"&amp;I$8)/VLOOKUP($B$4,Stand!$C:$H,6,0),SUMIFS(Tree!$O:$O,Tree!$A:$A,$B$4,Tree!$B:$B,$B$5,Tree!$D:$D,$A17,Tree!$F:$F,"L",Tree!$K:$K,"&lt;&gt;"&amp;"Y",Tree!$E:$E,"&gt;="&amp;I$9,Tree!$E:$E,"&lt;"&amp;I$8)))</f>
        <v>#N/A</v>
      </c>
      <c r="J17" s="237" t="e">
        <f>IF($A17="Snag",IF($B$5="All",SUMIFS(Tree!$O:$O,Tree!$A:$A,$B$4,Tree!$F:$F,"D",Tree!$K:$K,"&lt;&gt;"&amp;"Y",Tree!$E:$E,"&gt;="&amp;J$9)/VLOOKUP($B$4,Stand!$C:$H,6,0),SUMIFS(Tree!$O:$O,Tree!$A:$A,$B$4,Tree!$B:$B,$B$5,Tree!$F:$F,"D",Tree!$K:$K,"&lt;&gt;"&amp;"Y",Tree!$E:$E,"&gt;="&amp;J$9)/VLOOKUP($B$4,Stand!$C:$H,6,0)),IF($B$5="All",SUMIFS(Tree!$O:$O,Tree!$A:$A,$B$4,Tree!$D:$D,$A17,Tree!$F:$F,"L",Tree!$K:$K,"&lt;&gt;"&amp;"Y",Tree!$E:$E,"&gt;="&amp;J$9)/VLOOKUP($B$4,Stand!$C:$H,6,0),SUMIFS(Tree!$O:$O,Tree!$A:$A,$B$4,Tree!$B:$B,$B$5,Tree!$D:$D,$A17,Tree!$F:$F,"L",Tree!$K:$K,"&lt;&gt;"&amp;"Y",Tree!$E:$E,"&gt;="&amp;J$9)))</f>
        <v>#N/A</v>
      </c>
      <c r="K17" s="94" t="e">
        <f t="shared" si="0"/>
        <v>#N/A</v>
      </c>
      <c r="L17" s="16"/>
      <c r="M17" s="16"/>
      <c r="N17" s="16"/>
      <c r="O17" s="16"/>
      <c r="P17" s="1"/>
      <c r="Q17" s="21"/>
      <c r="R17" s="1"/>
      <c r="S17" s="1"/>
      <c r="T17" s="1"/>
      <c r="V17" s="1"/>
    </row>
    <row r="18" spans="1:26" ht="12.75" customHeight="1" x14ac:dyDescent="0.25">
      <c r="A18" s="340" t="s">
        <v>75</v>
      </c>
      <c r="B18" s="241" t="e">
        <f>IF($A18="Snag",IF($B$5="All",SUMIFS(Tree!$O:$O,Tree!$A:$A,$B$4,Tree!$F:$F,"D",Tree!$K:$K,"&lt;&gt;"&amp;"Y",Tree!$E:$E,"&gt;="&amp;B$9,Tree!$E:$E,"&lt;"&amp;B$8)/VLOOKUP($B$4,Stand!$C:$H,6,0),SUMIFS(Tree!$O:$O,Tree!$A:$A,$B$4,Tree!$B:$B,$B$5,Tree!$F:$F,"D",Tree!$K:$K,"&lt;&gt;"&amp;"Y",Tree!$E:$E,"&gt;="&amp;B$9,Tree!$E:$E,"&lt;"&amp;B$8)/VLOOKUP($B$4,Stand!$C:$H,6,0)),IF($B$5="All",SUMIFS(Tree!$O:$O,Tree!$A:$A,$B$4,Tree!$D:$D,$A18,Tree!$F:$F,"L",Tree!$K:$K,"&lt;&gt;"&amp;"Y",Tree!$E:$E,"&gt;="&amp;B$9,Tree!$E:$E,"&lt;"&amp;B$8)/VLOOKUP($B$4,Stand!$C:$H,6,0),SUMIFS(Tree!$O:$O,Tree!$A:$A,$B$4,Tree!$B:$B,$B$5,Tree!$D:$D,$A18,Tree!$F:$F,"L",Tree!$K:$K,"&lt;&gt;"&amp;"Y",Tree!$E:$E,"&gt;="&amp;B$9,Tree!$E:$E,"&lt;"&amp;B$8)))</f>
        <v>#N/A</v>
      </c>
      <c r="C18" s="236" t="e">
        <f>IF($A18="Snag",IF($B$5="All",SUMIFS(Tree!$O:$O,Tree!$A:$A,$B$4,Tree!$F:$F,"D",Tree!$K:$K,"&lt;&gt;"&amp;"Y",Tree!$E:$E,"&gt;="&amp;C$9,Tree!$E:$E,"&lt;"&amp;C$8)/VLOOKUP($B$4,Stand!$C:$H,6,0),SUMIFS(Tree!$O:$O,Tree!$A:$A,$B$4,Tree!$B:$B,$B$5,Tree!$F:$F,"D",Tree!$K:$K,"&lt;&gt;"&amp;"Y",Tree!$E:$E,"&gt;="&amp;C$9,Tree!$E:$E,"&lt;"&amp;C$8)/VLOOKUP($B$4,Stand!$C:$H,6,0)),IF($B$5="All",SUMIFS(Tree!$O:$O,Tree!$A:$A,$B$4,Tree!$D:$D,$A18,Tree!$F:$F,"L",Tree!$K:$K,"&lt;&gt;"&amp;"Y",Tree!$E:$E,"&gt;="&amp;C$9,Tree!$E:$E,"&lt;"&amp;C$8)/VLOOKUP($B$4,Stand!$C:$H,6,0),SUMIFS(Tree!$O:$O,Tree!$A:$A,$B$4,Tree!$B:$B,$B$5,Tree!$D:$D,$A18,Tree!$F:$F,"L",Tree!$K:$K,"&lt;&gt;"&amp;"Y",Tree!$E:$E,"&gt;="&amp;C$9,Tree!$E:$E,"&lt;"&amp;C$8)))</f>
        <v>#N/A</v>
      </c>
      <c r="D18" s="236" t="e">
        <f>IF($A18="Snag",IF($B$5="All",SUMIFS(Tree!$O:$O,Tree!$A:$A,$B$4,Tree!$F:$F,"D",Tree!$K:$K,"&lt;&gt;"&amp;"Y",Tree!$E:$E,"&gt;="&amp;D$9,Tree!$E:$E,"&lt;"&amp;D$8)/VLOOKUP($B$4,Stand!$C:$H,6,0),SUMIFS(Tree!$O:$O,Tree!$A:$A,$B$4,Tree!$B:$B,$B$5,Tree!$F:$F,"D",Tree!$K:$K,"&lt;&gt;"&amp;"Y",Tree!$E:$E,"&gt;="&amp;D$9,Tree!$E:$E,"&lt;"&amp;D$8)/VLOOKUP($B$4,Stand!$C:$H,6,0)),IF($B$5="All",SUMIFS(Tree!$O:$O,Tree!$A:$A,$B$4,Tree!$D:$D,$A18,Tree!$F:$F,"L",Tree!$K:$K,"&lt;&gt;"&amp;"Y",Tree!$E:$E,"&gt;="&amp;D$9,Tree!$E:$E,"&lt;"&amp;D$8)/VLOOKUP($B$4,Stand!$C:$H,6,0),SUMIFS(Tree!$O:$O,Tree!$A:$A,$B$4,Tree!$B:$B,$B$5,Tree!$D:$D,$A18,Tree!$F:$F,"L",Tree!$K:$K,"&lt;&gt;"&amp;"Y",Tree!$E:$E,"&gt;="&amp;D$9,Tree!$E:$E,"&lt;"&amp;D$8)))</f>
        <v>#N/A</v>
      </c>
      <c r="E18" s="236" t="e">
        <f>IF($A18="Snag",IF($B$5="All",SUMIFS(Tree!$O:$O,Tree!$A:$A,$B$4,Tree!$F:$F,"D",Tree!$K:$K,"&lt;&gt;"&amp;"Y",Tree!$E:$E,"&gt;="&amp;E$9,Tree!$E:$E,"&lt;"&amp;E$8)/VLOOKUP($B$4,Stand!$C:$H,6,0),SUMIFS(Tree!$O:$O,Tree!$A:$A,$B$4,Tree!$B:$B,$B$5,Tree!$F:$F,"D",Tree!$K:$K,"&lt;&gt;"&amp;"Y",Tree!$E:$E,"&gt;="&amp;E$9,Tree!$E:$E,"&lt;"&amp;E$8)/VLOOKUP($B$4,Stand!$C:$H,6,0)),IF($B$5="All",SUMIFS(Tree!$O:$O,Tree!$A:$A,$B$4,Tree!$D:$D,$A18,Tree!$F:$F,"L",Tree!$K:$K,"&lt;&gt;"&amp;"Y",Tree!$E:$E,"&gt;="&amp;E$9,Tree!$E:$E,"&lt;"&amp;E$8)/VLOOKUP($B$4,Stand!$C:$H,6,0),SUMIFS(Tree!$O:$O,Tree!$A:$A,$B$4,Tree!$B:$B,$B$5,Tree!$D:$D,$A18,Tree!$F:$F,"L",Tree!$K:$K,"&lt;&gt;"&amp;"Y",Tree!$E:$E,"&gt;="&amp;E$9,Tree!$E:$E,"&lt;"&amp;E$8)))</f>
        <v>#N/A</v>
      </c>
      <c r="F18" s="236" t="e">
        <f>IF($A18="Snag",IF($B$5="All",SUMIFS(Tree!$O:$O,Tree!$A:$A,$B$4,Tree!$F:$F,"D",Tree!$K:$K,"&lt;&gt;"&amp;"Y",Tree!$E:$E,"&gt;="&amp;F$9,Tree!$E:$E,"&lt;"&amp;F$8)/VLOOKUP($B$4,Stand!$C:$H,6,0),SUMIFS(Tree!$O:$O,Tree!$A:$A,$B$4,Tree!$B:$B,$B$5,Tree!$F:$F,"D",Tree!$K:$K,"&lt;&gt;"&amp;"Y",Tree!$E:$E,"&gt;="&amp;F$9,Tree!$E:$E,"&lt;"&amp;F$8)/VLOOKUP($B$4,Stand!$C:$H,6,0)),IF($B$5="All",SUMIFS(Tree!$O:$O,Tree!$A:$A,$B$4,Tree!$D:$D,$A18,Tree!$F:$F,"L",Tree!$K:$K,"&lt;&gt;"&amp;"Y",Tree!$E:$E,"&gt;="&amp;F$9,Tree!$E:$E,"&lt;"&amp;F$8)/VLOOKUP($B$4,Stand!$C:$H,6,0),SUMIFS(Tree!$O:$O,Tree!$A:$A,$B$4,Tree!$B:$B,$B$5,Tree!$D:$D,$A18,Tree!$F:$F,"L",Tree!$K:$K,"&lt;&gt;"&amp;"Y",Tree!$E:$E,"&gt;="&amp;F$9,Tree!$E:$E,"&lt;"&amp;F$8)))</f>
        <v>#N/A</v>
      </c>
      <c r="G18" s="236" t="e">
        <f>IF($A18="Snag",IF($B$5="All",SUMIFS(Tree!$O:$O,Tree!$A:$A,$B$4,Tree!$F:$F,"D",Tree!$K:$K,"&lt;&gt;"&amp;"Y",Tree!$E:$E,"&gt;="&amp;G$9,Tree!$E:$E,"&lt;"&amp;G$8)/VLOOKUP($B$4,Stand!$C:$H,6,0),SUMIFS(Tree!$O:$O,Tree!$A:$A,$B$4,Tree!$B:$B,$B$5,Tree!$F:$F,"D",Tree!$K:$K,"&lt;&gt;"&amp;"Y",Tree!$E:$E,"&gt;="&amp;G$9,Tree!$E:$E,"&lt;"&amp;G$8)/VLOOKUP($B$4,Stand!$C:$H,6,0)),IF($B$5="All",SUMIFS(Tree!$O:$O,Tree!$A:$A,$B$4,Tree!$D:$D,$A18,Tree!$F:$F,"L",Tree!$K:$K,"&lt;&gt;"&amp;"Y",Tree!$E:$E,"&gt;="&amp;G$9,Tree!$E:$E,"&lt;"&amp;G$8)/VLOOKUP($B$4,Stand!$C:$H,6,0),SUMIFS(Tree!$O:$O,Tree!$A:$A,$B$4,Tree!$B:$B,$B$5,Tree!$D:$D,$A18,Tree!$F:$F,"L",Tree!$K:$K,"&lt;&gt;"&amp;"Y",Tree!$E:$E,"&gt;="&amp;G$9,Tree!$E:$E,"&lt;"&amp;G$8)))</f>
        <v>#N/A</v>
      </c>
      <c r="H18" s="236" t="e">
        <f>IF($A18="Snag",IF($B$5="All",SUMIFS(Tree!$O:$O,Tree!$A:$A,$B$4,Tree!$F:$F,"D",Tree!$K:$K,"&lt;&gt;"&amp;"Y",Tree!$E:$E,"&gt;="&amp;H$9,Tree!$E:$E,"&lt;"&amp;H$8)/VLOOKUP($B$4,Stand!$C:$H,6,0),SUMIFS(Tree!$O:$O,Tree!$A:$A,$B$4,Tree!$B:$B,$B$5,Tree!$F:$F,"D",Tree!$K:$K,"&lt;&gt;"&amp;"Y",Tree!$E:$E,"&gt;="&amp;H$9,Tree!$E:$E,"&lt;"&amp;H$8)/VLOOKUP($B$4,Stand!$C:$H,6,0)),IF($B$5="All",SUMIFS(Tree!$O:$O,Tree!$A:$A,$B$4,Tree!$D:$D,$A18,Tree!$F:$F,"L",Tree!$K:$K,"&lt;&gt;"&amp;"Y",Tree!$E:$E,"&gt;="&amp;H$9,Tree!$E:$E,"&lt;"&amp;H$8)/VLOOKUP($B$4,Stand!$C:$H,6,0),SUMIFS(Tree!$O:$O,Tree!$A:$A,$B$4,Tree!$B:$B,$B$5,Tree!$D:$D,$A18,Tree!$F:$F,"L",Tree!$K:$K,"&lt;&gt;"&amp;"Y",Tree!$E:$E,"&gt;="&amp;H$9,Tree!$E:$E,"&lt;"&amp;H$8)))</f>
        <v>#N/A</v>
      </c>
      <c r="I18" s="236" t="e">
        <f>IF($A18="Snag",IF($B$5="All",SUMIFS(Tree!$O:$O,Tree!$A:$A,$B$4,Tree!$F:$F,"D",Tree!$K:$K,"&lt;&gt;"&amp;"Y",Tree!$E:$E,"&gt;="&amp;I$9,Tree!$E:$E,"&lt;"&amp;I$8)/VLOOKUP($B$4,Stand!$C:$H,6,0),SUMIFS(Tree!$O:$O,Tree!$A:$A,$B$4,Tree!$B:$B,$B$5,Tree!$F:$F,"D",Tree!$K:$K,"&lt;&gt;"&amp;"Y",Tree!$E:$E,"&gt;="&amp;I$9,Tree!$E:$E,"&lt;"&amp;I$8)/VLOOKUP($B$4,Stand!$C:$H,6,0)),IF($B$5="All",SUMIFS(Tree!$O:$O,Tree!$A:$A,$B$4,Tree!$D:$D,$A18,Tree!$F:$F,"L",Tree!$K:$K,"&lt;&gt;"&amp;"Y",Tree!$E:$E,"&gt;="&amp;I$9,Tree!$E:$E,"&lt;"&amp;I$8)/VLOOKUP($B$4,Stand!$C:$H,6,0),SUMIFS(Tree!$O:$O,Tree!$A:$A,$B$4,Tree!$B:$B,$B$5,Tree!$D:$D,$A18,Tree!$F:$F,"L",Tree!$K:$K,"&lt;&gt;"&amp;"Y",Tree!$E:$E,"&gt;="&amp;I$9,Tree!$E:$E,"&lt;"&amp;I$8)))</f>
        <v>#N/A</v>
      </c>
      <c r="J18" s="237" t="e">
        <f>IF($A18="Snag",IF($B$5="All",SUMIFS(Tree!$O:$O,Tree!$A:$A,$B$4,Tree!$F:$F,"D",Tree!$K:$K,"&lt;&gt;"&amp;"Y",Tree!$E:$E,"&gt;="&amp;J$9)/VLOOKUP($B$4,Stand!$C:$H,6,0),SUMIFS(Tree!$O:$O,Tree!$A:$A,$B$4,Tree!$B:$B,$B$5,Tree!$F:$F,"D",Tree!$K:$K,"&lt;&gt;"&amp;"Y",Tree!$E:$E,"&gt;="&amp;J$9)/VLOOKUP($B$4,Stand!$C:$H,6,0)),IF($B$5="All",SUMIFS(Tree!$O:$O,Tree!$A:$A,$B$4,Tree!$D:$D,$A18,Tree!$F:$F,"L",Tree!$K:$K,"&lt;&gt;"&amp;"Y",Tree!$E:$E,"&gt;="&amp;J$9)/VLOOKUP($B$4,Stand!$C:$H,6,0),SUMIFS(Tree!$O:$O,Tree!$A:$A,$B$4,Tree!$B:$B,$B$5,Tree!$D:$D,$A18,Tree!$F:$F,"L",Tree!$K:$K,"&lt;&gt;"&amp;"Y",Tree!$E:$E,"&gt;="&amp;J$9)))</f>
        <v>#N/A</v>
      </c>
      <c r="K18" s="94" t="e">
        <f t="shared" ref="K18" si="1">SUM(B18:J18)</f>
        <v>#N/A</v>
      </c>
      <c r="L18" s="16"/>
      <c r="M18" s="16"/>
      <c r="N18" s="16"/>
      <c r="O18" s="16"/>
      <c r="P18" s="1"/>
      <c r="Q18" s="21"/>
      <c r="R18" s="1"/>
      <c r="S18" s="1"/>
      <c r="T18" s="1"/>
      <c r="V18" s="1"/>
    </row>
    <row r="19" spans="1:26" ht="12.75" customHeight="1" x14ac:dyDescent="0.25">
      <c r="A19" s="94" t="s">
        <v>173</v>
      </c>
      <c r="B19" s="241" t="e">
        <f t="shared" ref="B19:J19" si="2">B21-SUM(B10:B18)</f>
        <v>#N/A</v>
      </c>
      <c r="C19" s="236" t="e">
        <f t="shared" si="2"/>
        <v>#N/A</v>
      </c>
      <c r="D19" s="236" t="e">
        <f t="shared" si="2"/>
        <v>#N/A</v>
      </c>
      <c r="E19" s="236" t="e">
        <f t="shared" si="2"/>
        <v>#N/A</v>
      </c>
      <c r="F19" s="236" t="e">
        <f t="shared" si="2"/>
        <v>#N/A</v>
      </c>
      <c r="G19" s="236" t="e">
        <f t="shared" si="2"/>
        <v>#N/A</v>
      </c>
      <c r="H19" s="236" t="e">
        <f t="shared" si="2"/>
        <v>#N/A</v>
      </c>
      <c r="I19" s="236" t="e">
        <f t="shared" si="2"/>
        <v>#N/A</v>
      </c>
      <c r="J19" s="237" t="e">
        <f t="shared" si="2"/>
        <v>#N/A</v>
      </c>
      <c r="K19" s="94" t="e">
        <f t="shared" si="0"/>
        <v>#N/A</v>
      </c>
      <c r="L19" s="16"/>
      <c r="M19" s="16"/>
      <c r="N19" s="16"/>
      <c r="O19" s="16"/>
      <c r="P19" s="1"/>
      <c r="Q19" s="21"/>
      <c r="R19" s="1"/>
      <c r="S19" s="1"/>
      <c r="T19" s="1"/>
      <c r="V19" s="1"/>
    </row>
    <row r="20" spans="1:26" ht="12.75" customHeight="1" thickBot="1" x14ac:dyDescent="0.3">
      <c r="A20" s="95" t="s">
        <v>79</v>
      </c>
      <c r="B20" s="242" t="e">
        <f>IF($A20="Snag",IF($B$5="All",SUMIFS(Tree!$O:$O,Tree!$A:$A,$B$4,Tree!$F:$F,"D",Tree!$K:$K,"&lt;&gt;"&amp;"Y",Tree!$E:$E,"&gt;="&amp;B$9,Tree!$E:$E,"&lt;"&amp;B$8)/VLOOKUP($B$4,Stand!$C:$H,6,0),SUMIFS(Tree!$O:$O,Tree!$A:$A,$B$4,Tree!$B:$B,$B$5,Tree!$F:$F,"D",Tree!$K:$K,"&lt;&gt;"&amp;"Y",Tree!$E:$E,"&gt;="&amp;B$9,Tree!$E:$E,"&lt;"&amp;B$8)/VLOOKUP($B$4,Stand!$C:$H,6,0)),IF($B$5="All",SUMIFS(Tree!$O:$O,Tree!$A:$A,$B$4,Tree!$D:$D,$A20,Tree!$F:$F,"L",Tree!$K:$K,"&lt;&gt;"&amp;"Y",Tree!$E:$E,"&gt;="&amp;B$9,Tree!$E:$E,"&lt;"&amp;B$8)/VLOOKUP($B$4,Stand!$C:$H,6,0),SUMIFS(Tree!$O:$O,Tree!$A:$A,$B$4,Tree!$B:$B,$B$5,Tree!$D:$D,$A20,Tree!$F:$F,"L",Tree!$K:$K,"&lt;&gt;"&amp;"Y",Tree!$E:$E,"&gt;="&amp;B$9,Tree!$E:$E,"&lt;"&amp;B$8)))</f>
        <v>#N/A</v>
      </c>
      <c r="C20" s="238" t="e">
        <f>IF($A20="Snag",IF($B$5="All",SUMIFS(Tree!$O:$O,Tree!$A:$A,$B$4,Tree!$F:$F,"D",Tree!$K:$K,"&lt;&gt;"&amp;"Y",Tree!$E:$E,"&gt;="&amp;C$9,Tree!$E:$E,"&lt;"&amp;C$8)/VLOOKUP($B$4,Stand!$C:$H,6,0),SUMIFS(Tree!$O:$O,Tree!$A:$A,$B$4,Tree!$B:$B,$B$5,Tree!$F:$F,"D",Tree!$K:$K,"&lt;&gt;"&amp;"Y",Tree!$E:$E,"&gt;="&amp;C$9,Tree!$E:$E,"&lt;"&amp;C$8)/VLOOKUP($B$4,Stand!$C:$H,6,0)),IF($B$5="All",SUMIFS(Tree!$O:$O,Tree!$A:$A,$B$4,Tree!$D:$D,$A20,Tree!$F:$F,"L",Tree!$K:$K,"&lt;&gt;"&amp;"Y",Tree!$E:$E,"&gt;="&amp;C$9,Tree!$E:$E,"&lt;"&amp;C$8)/VLOOKUP($B$4,Stand!$C:$H,6,0),SUMIFS(Tree!$O:$O,Tree!$A:$A,$B$4,Tree!$B:$B,$B$5,Tree!$D:$D,$A20,Tree!$F:$F,"L",Tree!$K:$K,"&lt;&gt;"&amp;"Y",Tree!$E:$E,"&gt;="&amp;C$9,Tree!$E:$E,"&lt;"&amp;C$8)))</f>
        <v>#N/A</v>
      </c>
      <c r="D20" s="238" t="e">
        <f>IF($A20="Snag",IF($B$5="All",SUMIFS(Tree!$O:$O,Tree!$A:$A,$B$4,Tree!$F:$F,"D",Tree!$K:$K,"&lt;&gt;"&amp;"Y",Tree!$E:$E,"&gt;="&amp;D$9,Tree!$E:$E,"&lt;"&amp;D$8)/VLOOKUP($B$4,Stand!$C:$H,6,0),SUMIFS(Tree!$O:$O,Tree!$A:$A,$B$4,Tree!$B:$B,$B$5,Tree!$F:$F,"D",Tree!$K:$K,"&lt;&gt;"&amp;"Y",Tree!$E:$E,"&gt;="&amp;D$9,Tree!$E:$E,"&lt;"&amp;D$8)/VLOOKUP($B$4,Stand!$C:$H,6,0)),IF($B$5="All",SUMIFS(Tree!$O:$O,Tree!$A:$A,$B$4,Tree!$D:$D,$A20,Tree!$F:$F,"L",Tree!$K:$K,"&lt;&gt;"&amp;"Y",Tree!$E:$E,"&gt;="&amp;D$9,Tree!$E:$E,"&lt;"&amp;D$8)/VLOOKUP($B$4,Stand!$C:$H,6,0),SUMIFS(Tree!$O:$O,Tree!$A:$A,$B$4,Tree!$B:$B,$B$5,Tree!$D:$D,$A20,Tree!$F:$F,"L",Tree!$K:$K,"&lt;&gt;"&amp;"Y",Tree!$E:$E,"&gt;="&amp;D$9,Tree!$E:$E,"&lt;"&amp;D$8)))</f>
        <v>#N/A</v>
      </c>
      <c r="E20" s="238" t="e">
        <f>IF($A20="Snag",IF($B$5="All",SUMIFS(Tree!$O:$O,Tree!$A:$A,$B$4,Tree!$F:$F,"D",Tree!$K:$K,"&lt;&gt;"&amp;"Y",Tree!$E:$E,"&gt;="&amp;E$9,Tree!$E:$E,"&lt;"&amp;E$8)/VLOOKUP($B$4,Stand!$C:$H,6,0),SUMIFS(Tree!$O:$O,Tree!$A:$A,$B$4,Tree!$B:$B,$B$5,Tree!$F:$F,"D",Tree!$K:$K,"&lt;&gt;"&amp;"Y",Tree!$E:$E,"&gt;="&amp;E$9,Tree!$E:$E,"&lt;"&amp;E$8)/VLOOKUP($B$4,Stand!$C:$H,6,0)),IF($B$5="All",SUMIFS(Tree!$O:$O,Tree!$A:$A,$B$4,Tree!$D:$D,$A20,Tree!$F:$F,"L",Tree!$K:$K,"&lt;&gt;"&amp;"Y",Tree!$E:$E,"&gt;="&amp;E$9,Tree!$E:$E,"&lt;"&amp;E$8)/VLOOKUP($B$4,Stand!$C:$H,6,0),SUMIFS(Tree!$O:$O,Tree!$A:$A,$B$4,Tree!$B:$B,$B$5,Tree!$D:$D,$A20,Tree!$F:$F,"L",Tree!$K:$K,"&lt;&gt;"&amp;"Y",Tree!$E:$E,"&gt;="&amp;E$9,Tree!$E:$E,"&lt;"&amp;E$8)))</f>
        <v>#N/A</v>
      </c>
      <c r="F20" s="238" t="e">
        <f>IF($A20="Snag",IF($B$5="All",SUMIFS(Tree!$O:$O,Tree!$A:$A,$B$4,Tree!$F:$F,"D",Tree!$K:$K,"&lt;&gt;"&amp;"Y",Tree!$E:$E,"&gt;="&amp;F$9,Tree!$E:$E,"&lt;"&amp;F$8)/VLOOKUP($B$4,Stand!$C:$H,6,0),SUMIFS(Tree!$O:$O,Tree!$A:$A,$B$4,Tree!$B:$B,$B$5,Tree!$F:$F,"D",Tree!$K:$K,"&lt;&gt;"&amp;"Y",Tree!$E:$E,"&gt;="&amp;F$9,Tree!$E:$E,"&lt;"&amp;F$8)/VLOOKUP($B$4,Stand!$C:$H,6,0)),IF($B$5="All",SUMIFS(Tree!$O:$O,Tree!$A:$A,$B$4,Tree!$D:$D,$A20,Tree!$F:$F,"L",Tree!$K:$K,"&lt;&gt;"&amp;"Y",Tree!$E:$E,"&gt;="&amp;F$9,Tree!$E:$E,"&lt;"&amp;F$8)/VLOOKUP($B$4,Stand!$C:$H,6,0),SUMIFS(Tree!$O:$O,Tree!$A:$A,$B$4,Tree!$B:$B,$B$5,Tree!$D:$D,$A20,Tree!$F:$F,"L",Tree!$K:$K,"&lt;&gt;"&amp;"Y",Tree!$E:$E,"&gt;="&amp;F$9,Tree!$E:$E,"&lt;"&amp;F$8)))</f>
        <v>#N/A</v>
      </c>
      <c r="G20" s="238" t="e">
        <f>IF($A20="Snag",IF($B$5="All",SUMIFS(Tree!$O:$O,Tree!$A:$A,$B$4,Tree!$F:$F,"D",Tree!$K:$K,"&lt;&gt;"&amp;"Y",Tree!$E:$E,"&gt;="&amp;G$9,Tree!$E:$E,"&lt;"&amp;G$8)/VLOOKUP($B$4,Stand!$C:$H,6,0),SUMIFS(Tree!$O:$O,Tree!$A:$A,$B$4,Tree!$B:$B,$B$5,Tree!$F:$F,"D",Tree!$K:$K,"&lt;&gt;"&amp;"Y",Tree!$E:$E,"&gt;="&amp;G$9,Tree!$E:$E,"&lt;"&amp;G$8)/VLOOKUP($B$4,Stand!$C:$H,6,0)),IF($B$5="All",SUMIFS(Tree!$O:$O,Tree!$A:$A,$B$4,Tree!$D:$D,$A20,Tree!$F:$F,"L",Tree!$K:$K,"&lt;&gt;"&amp;"Y",Tree!$E:$E,"&gt;="&amp;G$9,Tree!$E:$E,"&lt;"&amp;G$8)/VLOOKUP($B$4,Stand!$C:$H,6,0),SUMIFS(Tree!$O:$O,Tree!$A:$A,$B$4,Tree!$B:$B,$B$5,Tree!$D:$D,$A20,Tree!$F:$F,"L",Tree!$K:$K,"&lt;&gt;"&amp;"Y",Tree!$E:$E,"&gt;="&amp;G$9,Tree!$E:$E,"&lt;"&amp;G$8)))</f>
        <v>#N/A</v>
      </c>
      <c r="H20" s="238" t="e">
        <f>IF($A20="Snag",IF($B$5="All",SUMIFS(Tree!$O:$O,Tree!$A:$A,$B$4,Tree!$F:$F,"D",Tree!$K:$K,"&lt;&gt;"&amp;"Y",Tree!$E:$E,"&gt;="&amp;H$9,Tree!$E:$E,"&lt;"&amp;H$8)/VLOOKUP($B$4,Stand!$C:$H,6,0),SUMIFS(Tree!$O:$O,Tree!$A:$A,$B$4,Tree!$B:$B,$B$5,Tree!$F:$F,"D",Tree!$K:$K,"&lt;&gt;"&amp;"Y",Tree!$E:$E,"&gt;="&amp;H$9,Tree!$E:$E,"&lt;"&amp;H$8)/VLOOKUP($B$4,Stand!$C:$H,6,0)),IF($B$5="All",SUMIFS(Tree!$O:$O,Tree!$A:$A,$B$4,Tree!$D:$D,$A20,Tree!$F:$F,"L",Tree!$K:$K,"&lt;&gt;"&amp;"Y",Tree!$E:$E,"&gt;="&amp;H$9,Tree!$E:$E,"&lt;"&amp;H$8)/VLOOKUP($B$4,Stand!$C:$H,6,0),SUMIFS(Tree!$O:$O,Tree!$A:$A,$B$4,Tree!$B:$B,$B$5,Tree!$D:$D,$A20,Tree!$F:$F,"L",Tree!$K:$K,"&lt;&gt;"&amp;"Y",Tree!$E:$E,"&gt;="&amp;H$9,Tree!$E:$E,"&lt;"&amp;H$8)))</f>
        <v>#N/A</v>
      </c>
      <c r="I20" s="238" t="e">
        <f>IF($A20="Snag",IF($B$5="All",SUMIFS(Tree!$O:$O,Tree!$A:$A,$B$4,Tree!$F:$F,"D",Tree!$K:$K,"&lt;&gt;"&amp;"Y",Tree!$E:$E,"&gt;="&amp;I$9,Tree!$E:$E,"&lt;"&amp;I$8)/VLOOKUP($B$4,Stand!$C:$H,6,0),SUMIFS(Tree!$O:$O,Tree!$A:$A,$B$4,Tree!$B:$B,$B$5,Tree!$F:$F,"D",Tree!$K:$K,"&lt;&gt;"&amp;"Y",Tree!$E:$E,"&gt;="&amp;I$9,Tree!$E:$E,"&lt;"&amp;I$8)/VLOOKUP($B$4,Stand!$C:$H,6,0)),IF($B$5="All",SUMIFS(Tree!$O:$O,Tree!$A:$A,$B$4,Tree!$D:$D,$A20,Tree!$F:$F,"L",Tree!$K:$K,"&lt;&gt;"&amp;"Y",Tree!$E:$E,"&gt;="&amp;I$9,Tree!$E:$E,"&lt;"&amp;I$8)/VLOOKUP($B$4,Stand!$C:$H,6,0),SUMIFS(Tree!$O:$O,Tree!$A:$A,$B$4,Tree!$B:$B,$B$5,Tree!$D:$D,$A20,Tree!$F:$F,"L",Tree!$K:$K,"&lt;&gt;"&amp;"Y",Tree!$E:$E,"&gt;="&amp;I$9,Tree!$E:$E,"&lt;"&amp;I$8)))</f>
        <v>#N/A</v>
      </c>
      <c r="J20" s="239" t="e">
        <f>IF($A20="Snag",IF($B$5="All",SUMIFS(Tree!$O:$O,Tree!$A:$A,$B$4,Tree!$F:$F,"D",Tree!$K:$K,"&lt;&gt;"&amp;"Y",Tree!$E:$E,"&gt;="&amp;J$9)/VLOOKUP($B$4,Stand!$C:$H,6,0),SUMIFS(Tree!$O:$O,Tree!$A:$A,$B$4,Tree!$B:$B,$B$5,Tree!$F:$F,"D",Tree!$K:$K,"&lt;&gt;"&amp;"Y",Tree!$E:$E,"&gt;="&amp;J$9)/VLOOKUP($B$4,Stand!$C:$H,6,0)),IF($B$5="All",SUMIFS(Tree!$O:$O,Tree!$A:$A,$B$4,Tree!$D:$D,$A20,Tree!$F:$F,"L",Tree!$K:$K,"&lt;&gt;"&amp;"Y",Tree!$E:$E,"&gt;="&amp;J$9)/VLOOKUP($B$4,Stand!$C:$H,6,0),SUMIFS(Tree!$O:$O,Tree!$A:$A,$B$4,Tree!$B:$B,$B$5,Tree!$D:$D,$A20,Tree!$F:$F,"L",Tree!$K:$K,"&lt;&gt;"&amp;"Y",Tree!$E:$E,"&gt;="&amp;J$9)))</f>
        <v>#N/A</v>
      </c>
      <c r="K20" s="95" t="e">
        <f t="shared" si="0"/>
        <v>#N/A</v>
      </c>
      <c r="L20" s="16"/>
      <c r="M20" s="16"/>
      <c r="N20" s="16"/>
      <c r="O20" s="16"/>
      <c r="P20" s="1"/>
      <c r="Q20" s="21"/>
      <c r="R20" s="1"/>
      <c r="S20" s="1"/>
      <c r="T20" s="1"/>
      <c r="V20" s="1"/>
    </row>
    <row r="21" spans="1:26" ht="12.75" customHeight="1" thickBot="1" x14ac:dyDescent="0.3">
      <c r="A21" s="243" t="s">
        <v>169</v>
      </c>
      <c r="B21" s="90" t="e">
        <f>IF($B$5="All",SUMIFS(Tree!$O:$O,Tree!$A:$A,$B$4,Tree!$F:$F,"L",Tree!$K:$K,"&lt;&gt;"&amp;"Y",Tree!$E:$E,"&gt;="&amp;B$9,Tree!$E:$E,"&lt;"&amp;B$8)/VLOOKUP($B$4,Stand!$C:$H,6,0),SUMIFS(Tree!$O:$O,Tree!$A:$A,$B$4,Tree!$B:$B,$B$5,Tree!$F:$F,"L",Tree!$K:$K,"&lt;&gt;"&amp;"Y",Tree!$E:$E,"&gt;="&amp;B$9,Tree!$E:$E,"&lt;"&amp;B$8))</f>
        <v>#N/A</v>
      </c>
      <c r="C21" s="91" t="e">
        <f>IF($B$5="All",SUMIFS(Tree!$O:$O,Tree!$A:$A,$B$4,Tree!$F:$F,"L",Tree!$K:$K,"&lt;&gt;"&amp;"Y",Tree!$E:$E,"&gt;="&amp;C$9,Tree!$E:$E,"&lt;"&amp;C$8)/VLOOKUP($B$4,Stand!$C:$H,6,0),SUMIFS(Tree!$O:$O,Tree!$A:$A,$B$4,Tree!$B:$B,$B$5,Tree!$F:$F,"L",Tree!$K:$K,"&lt;&gt;"&amp;"Y",Tree!$E:$E,"&gt;="&amp;C$9,Tree!$E:$E,"&lt;"&amp;C$8))</f>
        <v>#N/A</v>
      </c>
      <c r="D21" s="91" t="e">
        <f>IF($B$5="All",SUMIFS(Tree!$O:$O,Tree!$A:$A,$B$4,Tree!$F:$F,"L",Tree!$K:$K,"&lt;&gt;"&amp;"Y",Tree!$E:$E,"&gt;="&amp;D$9,Tree!$E:$E,"&lt;"&amp;D$8)/VLOOKUP($B$4,Stand!$C:$H,6,0),SUMIFS(Tree!$O:$O,Tree!$A:$A,$B$4,Tree!$B:$B,$B$5,Tree!$F:$F,"L",Tree!$K:$K,"&lt;&gt;"&amp;"Y",Tree!$E:$E,"&gt;="&amp;D$9,Tree!$E:$E,"&lt;"&amp;D$8))</f>
        <v>#N/A</v>
      </c>
      <c r="E21" s="91" t="e">
        <f>IF($B$5="All",SUMIFS(Tree!$O:$O,Tree!$A:$A,$B$4,Tree!$F:$F,"L",Tree!$K:$K,"&lt;&gt;"&amp;"Y",Tree!$E:$E,"&gt;="&amp;E$9,Tree!$E:$E,"&lt;"&amp;E$8)/VLOOKUP($B$4,Stand!$C:$H,6,0),SUMIFS(Tree!$O:$O,Tree!$A:$A,$B$4,Tree!$B:$B,$B$5,Tree!$F:$F,"L",Tree!$K:$K,"&lt;&gt;"&amp;"Y",Tree!$E:$E,"&gt;="&amp;E$9,Tree!$E:$E,"&lt;"&amp;E$8))</f>
        <v>#N/A</v>
      </c>
      <c r="F21" s="91" t="e">
        <f>IF($B$5="All",SUMIFS(Tree!$O:$O,Tree!$A:$A,$B$4,Tree!$F:$F,"L",Tree!$K:$K,"&lt;&gt;"&amp;"Y",Tree!$E:$E,"&gt;="&amp;F$9,Tree!$E:$E,"&lt;"&amp;F$8)/VLOOKUP($B$4,Stand!$C:$H,6,0),SUMIFS(Tree!$O:$O,Tree!$A:$A,$B$4,Tree!$B:$B,$B$5,Tree!$F:$F,"L",Tree!$K:$K,"&lt;&gt;"&amp;"Y",Tree!$E:$E,"&gt;="&amp;F$9,Tree!$E:$E,"&lt;"&amp;F$8))</f>
        <v>#N/A</v>
      </c>
      <c r="G21" s="91" t="e">
        <f>IF($B$5="All",SUMIFS(Tree!$O:$O,Tree!$A:$A,$B$4,Tree!$F:$F,"L",Tree!$K:$K,"&lt;&gt;"&amp;"Y",Tree!$E:$E,"&gt;="&amp;G$9,Tree!$E:$E,"&lt;"&amp;G$8)/VLOOKUP($B$4,Stand!$C:$H,6,0),SUMIFS(Tree!$O:$O,Tree!$A:$A,$B$4,Tree!$B:$B,$B$5,Tree!$F:$F,"L",Tree!$K:$K,"&lt;&gt;"&amp;"Y",Tree!$E:$E,"&gt;="&amp;G$9,Tree!$E:$E,"&lt;"&amp;G$8))</f>
        <v>#N/A</v>
      </c>
      <c r="H21" s="91" t="e">
        <f>IF($B$5="All",SUMIFS(Tree!$O:$O,Tree!$A:$A,$B$4,Tree!$F:$F,"L",Tree!$K:$K,"&lt;&gt;"&amp;"Y",Tree!$E:$E,"&gt;="&amp;H$9,Tree!$E:$E,"&lt;"&amp;H$8)/VLOOKUP($B$4,Stand!$C:$H,6,0),SUMIFS(Tree!$O:$O,Tree!$A:$A,$B$4,Tree!$B:$B,$B$5,Tree!$F:$F,"L",Tree!$K:$K,"&lt;&gt;"&amp;"Y",Tree!$E:$E,"&gt;="&amp;H$9,Tree!$E:$E,"&lt;"&amp;H$8))</f>
        <v>#N/A</v>
      </c>
      <c r="I21" s="91" t="e">
        <f>IF($B$5="All",SUMIFS(Tree!$O:$O,Tree!$A:$A,$B$4,Tree!$F:$F,"L",Tree!$K:$K,"&lt;&gt;"&amp;"Y",Tree!$E:$E,"&gt;="&amp;I$9,Tree!$E:$E,"&lt;"&amp;I$8)/VLOOKUP($B$4,Stand!$C:$H,6,0),SUMIFS(Tree!$O:$O,Tree!$A:$A,$B$4,Tree!$B:$B,$B$5,Tree!$F:$F,"L",Tree!$K:$K,"&lt;&gt;"&amp;"Y",Tree!$E:$E,"&gt;="&amp;I$9,Tree!$E:$E,"&lt;"&amp;I$8))</f>
        <v>#N/A</v>
      </c>
      <c r="J21" s="92" t="e">
        <f>IF($B$5="All",SUMIFS(Tree!$O:$O,Tree!$A:$A,$B$4,Tree!$F:$F,"L",Tree!$K:$K,"&lt;&gt;"&amp;"Y",Tree!$E:$E,"&gt;="&amp;J$9)/VLOOKUP($B$4,Stand!$C:$H,6,0),SUMIFS(Tree!$O:$O,Tree!$A:$A,$B$4,Tree!$B:$B,$B$5,Tree!$F:$F,"L",Tree!$K:$K,"&lt;&gt;"&amp;"Y",Tree!$E:$E,"&gt;="&amp;J$9))</f>
        <v>#N/A</v>
      </c>
      <c r="K21" s="61"/>
      <c r="L21" s="16"/>
      <c r="M21" s="16"/>
      <c r="N21" s="16"/>
      <c r="O21" s="16"/>
      <c r="P21" s="1"/>
      <c r="Q21" s="21"/>
      <c r="R21" s="1"/>
      <c r="S21" s="1"/>
      <c r="T21" s="1"/>
      <c r="V21" s="1"/>
    </row>
    <row r="22" spans="1:26" ht="12.75" customHeight="1" x14ac:dyDescent="0.25">
      <c r="L22" s="16"/>
      <c r="M22" s="16"/>
      <c r="N22" s="16"/>
      <c r="O22" s="16"/>
      <c r="P22" s="1"/>
      <c r="Q22" s="21"/>
      <c r="R22" s="1"/>
      <c r="S22" s="1"/>
      <c r="T22" s="1"/>
      <c r="V22" s="1"/>
    </row>
    <row r="23" spans="1:26" ht="12.75" customHeight="1" x14ac:dyDescent="0.25">
      <c r="A23" s="276"/>
      <c r="B23" s="277"/>
      <c r="C23" s="276"/>
      <c r="D23" s="276"/>
      <c r="E23" s="276"/>
      <c r="F23" s="276"/>
      <c r="G23" s="276"/>
      <c r="H23" s="278"/>
      <c r="I23" s="272"/>
      <c r="J23" s="272"/>
      <c r="K23" s="272"/>
      <c r="L23" s="272"/>
      <c r="M23" s="16"/>
      <c r="N23" s="16"/>
      <c r="O23" s="16"/>
      <c r="P23" s="16"/>
      <c r="Q23" s="21"/>
      <c r="R23" s="1"/>
      <c r="S23" s="1"/>
      <c r="T23" s="1"/>
      <c r="V23" s="1"/>
    </row>
    <row r="24" spans="1:26" ht="12.75" customHeight="1" x14ac:dyDescent="0.25">
      <c r="B24" s="1"/>
      <c r="S24" s="18"/>
      <c r="T24" s="18"/>
      <c r="U24" s="18"/>
      <c r="V24" s="18"/>
      <c r="W24" s="18"/>
      <c r="X24" s="18"/>
      <c r="Y24" s="18"/>
      <c r="Z24" s="18"/>
    </row>
    <row r="25" spans="1:26" s="61" customFormat="1" ht="12.75" customHeight="1" x14ac:dyDescent="0.25">
      <c r="A25" s="628" t="s">
        <v>221</v>
      </c>
      <c r="B25" s="628"/>
      <c r="C25" s="628"/>
      <c r="D25" s="628"/>
      <c r="E25" s="628"/>
      <c r="F25" s="628"/>
      <c r="S25" s="18"/>
      <c r="T25" s="18"/>
      <c r="U25" s="18"/>
      <c r="V25" s="18"/>
      <c r="W25" s="18"/>
      <c r="X25" s="18"/>
      <c r="Y25" s="18"/>
      <c r="Z25" s="18"/>
    </row>
    <row r="26" spans="1:26" s="61" customFormat="1" ht="12.75" customHeight="1" x14ac:dyDescent="0.25">
      <c r="A26" s="628"/>
      <c r="B26" s="628"/>
      <c r="C26" s="628"/>
      <c r="D26" s="628"/>
      <c r="E26" s="628"/>
      <c r="F26" s="628"/>
      <c r="S26" s="18"/>
      <c r="T26" s="18"/>
      <c r="U26" s="18"/>
      <c r="V26" s="18"/>
      <c r="W26" s="18"/>
      <c r="X26" s="18"/>
      <c r="Y26" s="18"/>
      <c r="Z26" s="18"/>
    </row>
    <row r="27" spans="1:26" s="61" customFormat="1" ht="12.75" customHeight="1" x14ac:dyDescent="0.25">
      <c r="B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 thickBot="1" x14ac:dyDescent="0.3">
      <c r="A28" s="87" t="s">
        <v>160</v>
      </c>
      <c r="B28" s="23">
        <v>5</v>
      </c>
      <c r="C28" s="23">
        <v>10</v>
      </c>
      <c r="D28" s="23">
        <v>15</v>
      </c>
      <c r="E28" s="23">
        <v>20</v>
      </c>
      <c r="F28" s="23">
        <v>25</v>
      </c>
      <c r="G28" s="23">
        <v>30</v>
      </c>
      <c r="H28" s="23">
        <v>35</v>
      </c>
      <c r="I28" s="23">
        <v>40</v>
      </c>
      <c r="J28" s="23"/>
      <c r="K28" s="24"/>
      <c r="S28" s="18"/>
      <c r="T28" s="18"/>
      <c r="U28" s="18"/>
      <c r="V28" s="18"/>
      <c r="W28" s="18"/>
      <c r="X28" s="18"/>
      <c r="Y28" s="18"/>
      <c r="Z28" s="18"/>
    </row>
    <row r="29" spans="1:26" ht="12.75" customHeight="1" thickBot="1" x14ac:dyDescent="0.3">
      <c r="A29" s="96" t="s">
        <v>161</v>
      </c>
      <c r="B29" s="88">
        <v>0</v>
      </c>
      <c r="C29" s="88">
        <v>5</v>
      </c>
      <c r="D29" s="88">
        <v>10</v>
      </c>
      <c r="E29" s="88">
        <v>15</v>
      </c>
      <c r="F29" s="88">
        <v>20</v>
      </c>
      <c r="G29" s="88">
        <v>25</v>
      </c>
      <c r="H29" s="88">
        <v>30</v>
      </c>
      <c r="I29" s="88">
        <v>35</v>
      </c>
      <c r="J29" s="88">
        <v>40</v>
      </c>
      <c r="K29" s="89" t="s">
        <v>95</v>
      </c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25">
      <c r="A30" s="254" t="str">
        <f t="shared" ref="A30:A38" si="3">IF(A10="","",A10)</f>
        <v>DF</v>
      </c>
      <c r="B30" s="257" t="e">
        <f>IF($A30="Snag",IF($B$5="All",SUMIFS(Tree!$AE:$AE,Tree!$A:$A,$B$4,Tree!$F:$F,"D",Tree!$K:$K,"&lt;&gt;"&amp;"Y",Tree!$E:$E,"&gt;="&amp;B$9,Tree!$E:$E,"&lt;"&amp;B$8)/VLOOKUP($B$4,Stand!$C:$H,6,0),SUMIFS(Tree!$AE:$AE,Tree!$A:$A,$B$4,Tree!$B:$B,$B$5,Tree!$F:$F,"D",Tree!$K:$K,"&lt;&gt;"&amp;"Y",Tree!$E:$E,"&gt;="&amp;B$9,Tree!$E:$E,"&lt;"&amp;B$8)/VLOOKUP($B$4,Stand!$C:$H,6,0)),IF($B$5="All",SUMIFS(Tree!$AE:$AE,Tree!$A:$A,$B$4,Tree!$D:$D,$A30,Tree!$F:$F,"L",Tree!$K:$K,"&lt;&gt;"&amp;"Y",Tree!$E:$E,"&gt;="&amp;B$9,Tree!$E:$E,"&lt;"&amp;B$8)/VLOOKUP($B$4,Stand!$C:$H,6,0),SUMIFS(Tree!$AE:$AE,Tree!$A:$A,$B$4,Tree!$B:$B,$B$5,Tree!$D:$D,$A30,Tree!$F:$F,"L",Tree!$K:$K,"&lt;&gt;"&amp;"Y",Tree!$E:$E,"&gt;="&amp;B$9,Tree!$E:$E,"&lt;"&amp;B$8)))</f>
        <v>#N/A</v>
      </c>
      <c r="C30" s="256" t="e">
        <f>IF($A30="Snag",IF($B$5="All",SUMIFS(Tree!$AE:$AE,Tree!$A:$A,$B$4,Tree!$F:$F,"D",Tree!$K:$K,"&lt;&gt;"&amp;"Y",Tree!$E:$E,"&gt;="&amp;C$9,Tree!$E:$E,"&lt;"&amp;C$8)/VLOOKUP($B$4,Stand!$C:$H,6,0),SUMIFS(Tree!$AE:$AE,Tree!$A:$A,$B$4,Tree!$B:$B,$B$5,Tree!$F:$F,"D",Tree!$K:$K,"&lt;&gt;"&amp;"Y",Tree!$E:$E,"&gt;="&amp;C$9,Tree!$E:$E,"&lt;"&amp;C$8)/VLOOKUP($B$4,Stand!$C:$H,6,0)),IF($B$5="All",SUMIFS(Tree!$AE:$AE,Tree!$A:$A,$B$4,Tree!$D:$D,$A30,Tree!$F:$F,"L",Tree!$K:$K,"&lt;&gt;"&amp;"Y",Tree!$E:$E,"&gt;="&amp;C$9,Tree!$E:$E,"&lt;"&amp;C$8)/VLOOKUP($B$4,Stand!$C:$H,6,0),SUMIFS(Tree!$AE:$AE,Tree!$A:$A,$B$4,Tree!$B:$B,$B$5,Tree!$D:$D,$A30,Tree!$F:$F,"L",Tree!$K:$K,"&lt;&gt;"&amp;"Y",Tree!$E:$E,"&gt;="&amp;C$9,Tree!$E:$E,"&lt;"&amp;C$8)))</f>
        <v>#N/A</v>
      </c>
      <c r="D30" s="256" t="e">
        <f>IF($A30="Snag",IF($B$5="All",SUMIFS(Tree!$AE:$AE,Tree!$A:$A,$B$4,Tree!$F:$F,"D",Tree!$K:$K,"&lt;&gt;"&amp;"Y",Tree!$E:$E,"&gt;="&amp;D$9,Tree!$E:$E,"&lt;"&amp;D$8)/VLOOKUP($B$4,Stand!$C:$H,6,0),SUMIFS(Tree!$AE:$AE,Tree!$A:$A,$B$4,Tree!$B:$B,$B$5,Tree!$F:$F,"D",Tree!$K:$K,"&lt;&gt;"&amp;"Y",Tree!$E:$E,"&gt;="&amp;D$9,Tree!$E:$E,"&lt;"&amp;D$8)/VLOOKUP($B$4,Stand!$C:$H,6,0)),IF($B$5="All",SUMIFS(Tree!$AE:$AE,Tree!$A:$A,$B$4,Tree!$D:$D,$A30,Tree!$F:$F,"L",Tree!$K:$K,"&lt;&gt;"&amp;"Y",Tree!$E:$E,"&gt;="&amp;D$9,Tree!$E:$E,"&lt;"&amp;D$8)/VLOOKUP($B$4,Stand!$C:$H,6,0),SUMIFS(Tree!$AE:$AE,Tree!$A:$A,$B$4,Tree!$B:$B,$B$5,Tree!$D:$D,$A30,Tree!$F:$F,"L",Tree!$K:$K,"&lt;&gt;"&amp;"Y",Tree!$E:$E,"&gt;="&amp;D$9,Tree!$E:$E,"&lt;"&amp;D$8)))</f>
        <v>#N/A</v>
      </c>
      <c r="E30" s="256" t="e">
        <f>IF($A30="Snag",IF($B$5="All",SUMIFS(Tree!$AE:$AE,Tree!$A:$A,$B$4,Tree!$F:$F,"D",Tree!$K:$K,"&lt;&gt;"&amp;"Y",Tree!$E:$E,"&gt;="&amp;E$9,Tree!$E:$E,"&lt;"&amp;E$8)/VLOOKUP($B$4,Stand!$C:$H,6,0),SUMIFS(Tree!$AE:$AE,Tree!$A:$A,$B$4,Tree!$B:$B,$B$5,Tree!$F:$F,"D",Tree!$K:$K,"&lt;&gt;"&amp;"Y",Tree!$E:$E,"&gt;="&amp;E$9,Tree!$E:$E,"&lt;"&amp;E$8)/VLOOKUP($B$4,Stand!$C:$H,6,0)),IF($B$5="All",SUMIFS(Tree!$AE:$AE,Tree!$A:$A,$B$4,Tree!$D:$D,$A30,Tree!$F:$F,"L",Tree!$K:$K,"&lt;&gt;"&amp;"Y",Tree!$E:$E,"&gt;="&amp;E$9,Tree!$E:$E,"&lt;"&amp;E$8)/VLOOKUP($B$4,Stand!$C:$H,6,0),SUMIFS(Tree!$AE:$AE,Tree!$A:$A,$B$4,Tree!$B:$B,$B$5,Tree!$D:$D,$A30,Tree!$F:$F,"L",Tree!$K:$K,"&lt;&gt;"&amp;"Y",Tree!$E:$E,"&gt;="&amp;E$9,Tree!$E:$E,"&lt;"&amp;E$8)))</f>
        <v>#N/A</v>
      </c>
      <c r="F30" s="256" t="e">
        <f>IF($A30="Snag",IF($B$5="All",SUMIFS(Tree!$AE:$AE,Tree!$A:$A,$B$4,Tree!$F:$F,"D",Tree!$K:$K,"&lt;&gt;"&amp;"Y",Tree!$E:$E,"&gt;="&amp;F$9,Tree!$E:$E,"&lt;"&amp;F$8)/VLOOKUP($B$4,Stand!$C:$H,6,0),SUMIFS(Tree!$AE:$AE,Tree!$A:$A,$B$4,Tree!$B:$B,$B$5,Tree!$F:$F,"D",Tree!$K:$K,"&lt;&gt;"&amp;"Y",Tree!$E:$E,"&gt;="&amp;F$9,Tree!$E:$E,"&lt;"&amp;F$8)/VLOOKUP($B$4,Stand!$C:$H,6,0)),IF($B$5="All",SUMIFS(Tree!$AE:$AE,Tree!$A:$A,$B$4,Tree!$D:$D,$A30,Tree!$F:$F,"L",Tree!$K:$K,"&lt;&gt;"&amp;"Y",Tree!$E:$E,"&gt;="&amp;F$9,Tree!$E:$E,"&lt;"&amp;F$8)/VLOOKUP($B$4,Stand!$C:$H,6,0),SUMIFS(Tree!$AE:$AE,Tree!$A:$A,$B$4,Tree!$B:$B,$B$5,Tree!$D:$D,$A30,Tree!$F:$F,"L",Tree!$K:$K,"&lt;&gt;"&amp;"Y",Tree!$E:$E,"&gt;="&amp;F$9,Tree!$E:$E,"&lt;"&amp;F$8)))</f>
        <v>#N/A</v>
      </c>
      <c r="G30" s="256" t="e">
        <f>IF($A30="Snag",IF($B$5="All",SUMIFS(Tree!$AE:$AE,Tree!$A:$A,$B$4,Tree!$F:$F,"D",Tree!$K:$K,"&lt;&gt;"&amp;"Y",Tree!$E:$E,"&gt;="&amp;G$9,Tree!$E:$E,"&lt;"&amp;G$8)/VLOOKUP($B$4,Stand!$C:$H,6,0),SUMIFS(Tree!$AE:$AE,Tree!$A:$A,$B$4,Tree!$B:$B,$B$5,Tree!$F:$F,"D",Tree!$K:$K,"&lt;&gt;"&amp;"Y",Tree!$E:$E,"&gt;="&amp;G$9,Tree!$E:$E,"&lt;"&amp;G$8)/VLOOKUP($B$4,Stand!$C:$H,6,0)),IF($B$5="All",SUMIFS(Tree!$AE:$AE,Tree!$A:$A,$B$4,Tree!$D:$D,$A30,Tree!$F:$F,"L",Tree!$K:$K,"&lt;&gt;"&amp;"Y",Tree!$E:$E,"&gt;="&amp;G$9,Tree!$E:$E,"&lt;"&amp;G$8)/VLOOKUP($B$4,Stand!$C:$H,6,0),SUMIFS(Tree!$AE:$AE,Tree!$A:$A,$B$4,Tree!$B:$B,$B$5,Tree!$D:$D,$A30,Tree!$F:$F,"L",Tree!$K:$K,"&lt;&gt;"&amp;"Y",Tree!$E:$E,"&gt;="&amp;G$9,Tree!$E:$E,"&lt;"&amp;G$8)))</f>
        <v>#N/A</v>
      </c>
      <c r="H30" s="256" t="e">
        <f>IF($A30="Snag",IF($B$5="All",SUMIFS(Tree!$AE:$AE,Tree!$A:$A,$B$4,Tree!$F:$F,"D",Tree!$K:$K,"&lt;&gt;"&amp;"Y",Tree!$E:$E,"&gt;="&amp;H$9,Tree!$E:$E,"&lt;"&amp;H$8)/VLOOKUP($B$4,Stand!$C:$H,6,0),SUMIFS(Tree!$AE:$AE,Tree!$A:$A,$B$4,Tree!$B:$B,$B$5,Tree!$F:$F,"D",Tree!$K:$K,"&lt;&gt;"&amp;"Y",Tree!$E:$E,"&gt;="&amp;H$9,Tree!$E:$E,"&lt;"&amp;H$8)/VLOOKUP($B$4,Stand!$C:$H,6,0)),IF($B$5="All",SUMIFS(Tree!$AE:$AE,Tree!$A:$A,$B$4,Tree!$D:$D,$A30,Tree!$F:$F,"L",Tree!$K:$K,"&lt;&gt;"&amp;"Y",Tree!$E:$E,"&gt;="&amp;H$9,Tree!$E:$E,"&lt;"&amp;H$8)/VLOOKUP($B$4,Stand!$C:$H,6,0),SUMIFS(Tree!$AE:$AE,Tree!$A:$A,$B$4,Tree!$B:$B,$B$5,Tree!$D:$D,$A30,Tree!$F:$F,"L",Tree!$K:$K,"&lt;&gt;"&amp;"Y",Tree!$E:$E,"&gt;="&amp;H$9,Tree!$E:$E,"&lt;"&amp;H$8)))</f>
        <v>#N/A</v>
      </c>
      <c r="I30" s="256" t="e">
        <f>IF($A30="Snag",IF($B$5="All",SUMIFS(Tree!$AE:$AE,Tree!$A:$A,$B$4,Tree!$F:$F,"D",Tree!$K:$K,"&lt;&gt;"&amp;"Y",Tree!$E:$E,"&gt;="&amp;I$9,Tree!$E:$E,"&lt;"&amp;I$8)/VLOOKUP($B$4,Stand!$C:$H,6,0),SUMIFS(Tree!$AE:$AE,Tree!$A:$A,$B$4,Tree!$B:$B,$B$5,Tree!$F:$F,"D",Tree!$K:$K,"&lt;&gt;"&amp;"Y",Tree!$E:$E,"&gt;="&amp;I$9,Tree!$E:$E,"&lt;"&amp;I$8)/VLOOKUP($B$4,Stand!$C:$H,6,0)),IF($B$5="All",SUMIFS(Tree!$AE:$AE,Tree!$A:$A,$B$4,Tree!$D:$D,$A30,Tree!$F:$F,"L",Tree!$K:$K,"&lt;&gt;"&amp;"Y",Tree!$E:$E,"&gt;="&amp;I$9,Tree!$E:$E,"&lt;"&amp;I$8)/VLOOKUP($B$4,Stand!$C:$H,6,0),SUMIFS(Tree!$AE:$AE,Tree!$A:$A,$B$4,Tree!$B:$B,$B$5,Tree!$D:$D,$A30,Tree!$F:$F,"L",Tree!$K:$K,"&lt;&gt;"&amp;"Y",Tree!$E:$E,"&gt;="&amp;I$9,Tree!$E:$E,"&lt;"&amp;I$8)))</f>
        <v>#N/A</v>
      </c>
      <c r="J30" s="258" t="e">
        <f>IF($A30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30,Tree!$F:$F,"L",Tree!$K:$K,"&lt;&gt;"&amp;"Y",Tree!$E:$E,"&gt;="&amp;J$9)/VLOOKUP($B$4,Stand!$C:$H,6,0),SUMIFS(Tree!$AE:$AE,Tree!$A:$A,$B$4,Tree!$B:$B,$B$5,Tree!$D:$D,$A30,Tree!$F:$F,"L",Tree!$K:$K,"&lt;&gt;"&amp;"Y",Tree!$E:$E,"&gt;="&amp;J$9)))</f>
        <v>#N/A</v>
      </c>
      <c r="K30" s="265" t="e">
        <f>SUM(B30:J30)</f>
        <v>#N/A</v>
      </c>
      <c r="S30" s="18"/>
      <c r="T30" s="18"/>
      <c r="U30" s="18"/>
      <c r="V30" s="18"/>
      <c r="W30" s="18"/>
      <c r="X30" s="18"/>
      <c r="Y30" s="18"/>
      <c r="Z30" s="18"/>
    </row>
    <row r="31" spans="1:26" ht="12.75" customHeight="1" x14ac:dyDescent="0.25">
      <c r="A31" s="255" t="str">
        <f t="shared" si="3"/>
        <v>BM</v>
      </c>
      <c r="B31" s="259" t="e">
        <f>IF($A31="Snag",IF($B$5="All",SUMIFS(Tree!$AE:$AE,Tree!$A:$A,$B$4,Tree!$F:$F,"D",Tree!$K:$K,"&lt;&gt;"&amp;"Y",Tree!$E:$E,"&gt;="&amp;B$9,Tree!$E:$E,"&lt;"&amp;B$8)/VLOOKUP($B$4,Stand!$C:$H,6,0),SUMIFS(Tree!$AE:$AE,Tree!$A:$A,$B$4,Tree!$B:$B,$B$5,Tree!$F:$F,"D",Tree!$K:$K,"&lt;&gt;"&amp;"Y",Tree!$E:$E,"&gt;="&amp;B$9,Tree!$E:$E,"&lt;"&amp;B$8)/VLOOKUP($B$4,Stand!$C:$H,6,0)),IF($B$5="All",SUMIFS(Tree!$AE:$AE,Tree!$A:$A,$B$4,Tree!$D:$D,$A31,Tree!$F:$F,"L",Tree!$K:$K,"&lt;&gt;"&amp;"Y",Tree!$E:$E,"&gt;="&amp;B$9,Tree!$E:$E,"&lt;"&amp;B$8)/VLOOKUP($B$4,Stand!$C:$H,6,0),SUMIFS(Tree!$AE:$AE,Tree!$A:$A,$B$4,Tree!$B:$B,$B$5,Tree!$D:$D,$A31,Tree!$F:$F,"L",Tree!$K:$K,"&lt;&gt;"&amp;"Y",Tree!$E:$E,"&gt;="&amp;B$9,Tree!$E:$E,"&lt;"&amp;B$8)))</f>
        <v>#N/A</v>
      </c>
      <c r="C31" s="260" t="e">
        <f>IF($A31="Snag",IF($B$5="All",SUMIFS(Tree!$AE:$AE,Tree!$A:$A,$B$4,Tree!$F:$F,"D",Tree!$K:$K,"&lt;&gt;"&amp;"Y",Tree!$E:$E,"&gt;="&amp;C$9,Tree!$E:$E,"&lt;"&amp;C$8)/VLOOKUP($B$4,Stand!$C:$H,6,0),SUMIFS(Tree!$AE:$AE,Tree!$A:$A,$B$4,Tree!$B:$B,$B$5,Tree!$F:$F,"D",Tree!$K:$K,"&lt;&gt;"&amp;"Y",Tree!$E:$E,"&gt;="&amp;C$9,Tree!$E:$E,"&lt;"&amp;C$8)/VLOOKUP($B$4,Stand!$C:$H,6,0)),IF($B$5="All",SUMIFS(Tree!$AE:$AE,Tree!$A:$A,$B$4,Tree!$D:$D,$A31,Tree!$F:$F,"L",Tree!$K:$K,"&lt;&gt;"&amp;"Y",Tree!$E:$E,"&gt;="&amp;C$9,Tree!$E:$E,"&lt;"&amp;C$8)/VLOOKUP($B$4,Stand!$C:$H,6,0),SUMIFS(Tree!$AE:$AE,Tree!$A:$A,$B$4,Tree!$B:$B,$B$5,Tree!$D:$D,$A31,Tree!$F:$F,"L",Tree!$K:$K,"&lt;&gt;"&amp;"Y",Tree!$E:$E,"&gt;="&amp;C$9,Tree!$E:$E,"&lt;"&amp;C$8)))</f>
        <v>#N/A</v>
      </c>
      <c r="D31" s="260" t="e">
        <f>IF($A31="Snag",IF($B$5="All",SUMIFS(Tree!$AE:$AE,Tree!$A:$A,$B$4,Tree!$F:$F,"D",Tree!$K:$K,"&lt;&gt;"&amp;"Y",Tree!$E:$E,"&gt;="&amp;D$9,Tree!$E:$E,"&lt;"&amp;D$8)/VLOOKUP($B$4,Stand!$C:$H,6,0),SUMIFS(Tree!$AE:$AE,Tree!$A:$A,$B$4,Tree!$B:$B,$B$5,Tree!$F:$F,"D",Tree!$K:$K,"&lt;&gt;"&amp;"Y",Tree!$E:$E,"&gt;="&amp;D$9,Tree!$E:$E,"&lt;"&amp;D$8)/VLOOKUP($B$4,Stand!$C:$H,6,0)),IF($B$5="All",SUMIFS(Tree!$AE:$AE,Tree!$A:$A,$B$4,Tree!$D:$D,$A31,Tree!$F:$F,"L",Tree!$K:$K,"&lt;&gt;"&amp;"Y",Tree!$E:$E,"&gt;="&amp;D$9,Tree!$E:$E,"&lt;"&amp;D$8)/VLOOKUP($B$4,Stand!$C:$H,6,0),SUMIFS(Tree!$AE:$AE,Tree!$A:$A,$B$4,Tree!$B:$B,$B$5,Tree!$D:$D,$A31,Tree!$F:$F,"L",Tree!$K:$K,"&lt;&gt;"&amp;"Y",Tree!$E:$E,"&gt;="&amp;D$9,Tree!$E:$E,"&lt;"&amp;D$8)))</f>
        <v>#N/A</v>
      </c>
      <c r="E31" s="260" t="e">
        <f>IF($A31="Snag",IF($B$5="All",SUMIFS(Tree!$AE:$AE,Tree!$A:$A,$B$4,Tree!$F:$F,"D",Tree!$K:$K,"&lt;&gt;"&amp;"Y",Tree!$E:$E,"&gt;="&amp;E$9,Tree!$E:$E,"&lt;"&amp;E$8)/VLOOKUP($B$4,Stand!$C:$H,6,0),SUMIFS(Tree!$AE:$AE,Tree!$A:$A,$B$4,Tree!$B:$B,$B$5,Tree!$F:$F,"D",Tree!$K:$K,"&lt;&gt;"&amp;"Y",Tree!$E:$E,"&gt;="&amp;E$9,Tree!$E:$E,"&lt;"&amp;E$8)/VLOOKUP($B$4,Stand!$C:$H,6,0)),IF($B$5="All",SUMIFS(Tree!$AE:$AE,Tree!$A:$A,$B$4,Tree!$D:$D,$A31,Tree!$F:$F,"L",Tree!$K:$K,"&lt;&gt;"&amp;"Y",Tree!$E:$E,"&gt;="&amp;E$9,Tree!$E:$E,"&lt;"&amp;E$8)/VLOOKUP($B$4,Stand!$C:$H,6,0),SUMIFS(Tree!$AE:$AE,Tree!$A:$A,$B$4,Tree!$B:$B,$B$5,Tree!$D:$D,$A31,Tree!$F:$F,"L",Tree!$K:$K,"&lt;&gt;"&amp;"Y",Tree!$E:$E,"&gt;="&amp;E$9,Tree!$E:$E,"&lt;"&amp;E$8)))</f>
        <v>#N/A</v>
      </c>
      <c r="F31" s="260" t="e">
        <f>IF($A31="Snag",IF($B$5="All",SUMIFS(Tree!$AE:$AE,Tree!$A:$A,$B$4,Tree!$F:$F,"D",Tree!$K:$K,"&lt;&gt;"&amp;"Y",Tree!$E:$E,"&gt;="&amp;F$9,Tree!$E:$E,"&lt;"&amp;F$8)/VLOOKUP($B$4,Stand!$C:$H,6,0),SUMIFS(Tree!$AE:$AE,Tree!$A:$A,$B$4,Tree!$B:$B,$B$5,Tree!$F:$F,"D",Tree!$K:$K,"&lt;&gt;"&amp;"Y",Tree!$E:$E,"&gt;="&amp;F$9,Tree!$E:$E,"&lt;"&amp;F$8)/VLOOKUP($B$4,Stand!$C:$H,6,0)),IF($B$5="All",SUMIFS(Tree!$AE:$AE,Tree!$A:$A,$B$4,Tree!$D:$D,$A31,Tree!$F:$F,"L",Tree!$K:$K,"&lt;&gt;"&amp;"Y",Tree!$E:$E,"&gt;="&amp;F$9,Tree!$E:$E,"&lt;"&amp;F$8)/VLOOKUP($B$4,Stand!$C:$H,6,0),SUMIFS(Tree!$AE:$AE,Tree!$A:$A,$B$4,Tree!$B:$B,$B$5,Tree!$D:$D,$A31,Tree!$F:$F,"L",Tree!$K:$K,"&lt;&gt;"&amp;"Y",Tree!$E:$E,"&gt;="&amp;F$9,Tree!$E:$E,"&lt;"&amp;F$8)))</f>
        <v>#N/A</v>
      </c>
      <c r="G31" s="260" t="e">
        <f>IF($A31="Snag",IF($B$5="All",SUMIFS(Tree!$AE:$AE,Tree!$A:$A,$B$4,Tree!$F:$F,"D",Tree!$K:$K,"&lt;&gt;"&amp;"Y",Tree!$E:$E,"&gt;="&amp;G$9,Tree!$E:$E,"&lt;"&amp;G$8)/VLOOKUP($B$4,Stand!$C:$H,6,0),SUMIFS(Tree!$AE:$AE,Tree!$A:$A,$B$4,Tree!$B:$B,$B$5,Tree!$F:$F,"D",Tree!$K:$K,"&lt;&gt;"&amp;"Y",Tree!$E:$E,"&gt;="&amp;G$9,Tree!$E:$E,"&lt;"&amp;G$8)/VLOOKUP($B$4,Stand!$C:$H,6,0)),IF($B$5="All",SUMIFS(Tree!$AE:$AE,Tree!$A:$A,$B$4,Tree!$D:$D,$A31,Tree!$F:$F,"L",Tree!$K:$K,"&lt;&gt;"&amp;"Y",Tree!$E:$E,"&gt;="&amp;G$9,Tree!$E:$E,"&lt;"&amp;G$8)/VLOOKUP($B$4,Stand!$C:$H,6,0),SUMIFS(Tree!$AE:$AE,Tree!$A:$A,$B$4,Tree!$B:$B,$B$5,Tree!$D:$D,$A31,Tree!$F:$F,"L",Tree!$K:$K,"&lt;&gt;"&amp;"Y",Tree!$E:$E,"&gt;="&amp;G$9,Tree!$E:$E,"&lt;"&amp;G$8)))</f>
        <v>#N/A</v>
      </c>
      <c r="H31" s="260" t="e">
        <f>IF($A31="Snag",IF($B$5="All",SUMIFS(Tree!$AE:$AE,Tree!$A:$A,$B$4,Tree!$F:$F,"D",Tree!$K:$K,"&lt;&gt;"&amp;"Y",Tree!$E:$E,"&gt;="&amp;H$9,Tree!$E:$E,"&lt;"&amp;H$8)/VLOOKUP($B$4,Stand!$C:$H,6,0),SUMIFS(Tree!$AE:$AE,Tree!$A:$A,$B$4,Tree!$B:$B,$B$5,Tree!$F:$F,"D",Tree!$K:$K,"&lt;&gt;"&amp;"Y",Tree!$E:$E,"&gt;="&amp;H$9,Tree!$E:$E,"&lt;"&amp;H$8)/VLOOKUP($B$4,Stand!$C:$H,6,0)),IF($B$5="All",SUMIFS(Tree!$AE:$AE,Tree!$A:$A,$B$4,Tree!$D:$D,$A31,Tree!$F:$F,"L",Tree!$K:$K,"&lt;&gt;"&amp;"Y",Tree!$E:$E,"&gt;="&amp;H$9,Tree!$E:$E,"&lt;"&amp;H$8)/VLOOKUP($B$4,Stand!$C:$H,6,0),SUMIFS(Tree!$AE:$AE,Tree!$A:$A,$B$4,Tree!$B:$B,$B$5,Tree!$D:$D,$A31,Tree!$F:$F,"L",Tree!$K:$K,"&lt;&gt;"&amp;"Y",Tree!$E:$E,"&gt;="&amp;H$9,Tree!$E:$E,"&lt;"&amp;H$8)))</f>
        <v>#N/A</v>
      </c>
      <c r="I31" s="260" t="e">
        <f>IF($A31="Snag",IF($B$5="All",SUMIFS(Tree!$AE:$AE,Tree!$A:$A,$B$4,Tree!$F:$F,"D",Tree!$K:$K,"&lt;&gt;"&amp;"Y",Tree!$E:$E,"&gt;="&amp;I$9,Tree!$E:$E,"&lt;"&amp;I$8)/VLOOKUP($B$4,Stand!$C:$H,6,0),SUMIFS(Tree!$AE:$AE,Tree!$A:$A,$B$4,Tree!$B:$B,$B$5,Tree!$F:$F,"D",Tree!$K:$K,"&lt;&gt;"&amp;"Y",Tree!$E:$E,"&gt;="&amp;I$9,Tree!$E:$E,"&lt;"&amp;I$8)/VLOOKUP($B$4,Stand!$C:$H,6,0)),IF($B$5="All",SUMIFS(Tree!$AE:$AE,Tree!$A:$A,$B$4,Tree!$D:$D,$A31,Tree!$F:$F,"L",Tree!$K:$K,"&lt;&gt;"&amp;"Y",Tree!$E:$E,"&gt;="&amp;I$9,Tree!$E:$E,"&lt;"&amp;I$8)/VLOOKUP($B$4,Stand!$C:$H,6,0),SUMIFS(Tree!$AE:$AE,Tree!$A:$A,$B$4,Tree!$B:$B,$B$5,Tree!$D:$D,$A31,Tree!$F:$F,"L",Tree!$K:$K,"&lt;&gt;"&amp;"Y",Tree!$E:$E,"&gt;="&amp;I$9,Tree!$E:$E,"&lt;"&amp;I$8)))</f>
        <v>#N/A</v>
      </c>
      <c r="J31" s="261" t="e">
        <f>IF($A31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31,Tree!$F:$F,"L",Tree!$K:$K,"&lt;&gt;"&amp;"Y",Tree!$E:$E,"&gt;="&amp;J$9)/VLOOKUP($B$4,Stand!$C:$H,6,0),SUMIFS(Tree!$AE:$AE,Tree!$A:$A,$B$4,Tree!$B:$B,$B$5,Tree!$D:$D,$A31,Tree!$F:$F,"L",Tree!$K:$K,"&lt;&gt;"&amp;"Y",Tree!$E:$E,"&gt;="&amp;J$9)))</f>
        <v>#N/A</v>
      </c>
      <c r="K31" s="266" t="e">
        <f t="shared" ref="K31:K40" si="4">SUM(B31:J31)</f>
        <v>#N/A</v>
      </c>
      <c r="S31" s="18"/>
      <c r="T31" s="18"/>
      <c r="U31" s="18"/>
      <c r="V31" s="18"/>
      <c r="W31" s="18"/>
      <c r="X31" s="18"/>
      <c r="Y31" s="18"/>
      <c r="Z31" s="18"/>
    </row>
    <row r="32" spans="1:26" ht="11.25" customHeight="1" x14ac:dyDescent="0.25">
      <c r="A32" s="255" t="str">
        <f t="shared" si="3"/>
        <v>WH</v>
      </c>
      <c r="B32" s="259" t="e">
        <f>IF($A32="Snag",IF($B$5="All",SUMIFS(Tree!$AE:$AE,Tree!$A:$A,$B$4,Tree!$F:$F,"D",Tree!$K:$K,"&lt;&gt;"&amp;"Y",Tree!$E:$E,"&gt;="&amp;B$9,Tree!$E:$E,"&lt;"&amp;B$8)/VLOOKUP($B$4,Stand!$C:$H,6,0),SUMIFS(Tree!$AE:$AE,Tree!$A:$A,$B$4,Tree!$B:$B,$B$5,Tree!$F:$F,"D",Tree!$K:$K,"&lt;&gt;"&amp;"Y",Tree!$E:$E,"&gt;="&amp;B$9,Tree!$E:$E,"&lt;"&amp;B$8)/VLOOKUP($B$4,Stand!$C:$H,6,0)),IF($B$5="All",SUMIFS(Tree!$AE:$AE,Tree!$A:$A,$B$4,Tree!$D:$D,$A32,Tree!$F:$F,"L",Tree!$K:$K,"&lt;&gt;"&amp;"Y",Tree!$E:$E,"&gt;="&amp;B$9,Tree!$E:$E,"&lt;"&amp;B$8)/VLOOKUP($B$4,Stand!$C:$H,6,0),SUMIFS(Tree!$AE:$AE,Tree!$A:$A,$B$4,Tree!$B:$B,$B$5,Tree!$D:$D,$A32,Tree!$F:$F,"L",Tree!$K:$K,"&lt;&gt;"&amp;"Y",Tree!$E:$E,"&gt;="&amp;B$9,Tree!$E:$E,"&lt;"&amp;B$8)))</f>
        <v>#N/A</v>
      </c>
      <c r="C32" s="260" t="e">
        <f>IF($A32="Snag",IF($B$5="All",SUMIFS(Tree!$AE:$AE,Tree!$A:$A,$B$4,Tree!$F:$F,"D",Tree!$K:$K,"&lt;&gt;"&amp;"Y",Tree!$E:$E,"&gt;="&amp;C$9,Tree!$E:$E,"&lt;"&amp;C$8)/VLOOKUP($B$4,Stand!$C:$H,6,0),SUMIFS(Tree!$AE:$AE,Tree!$A:$A,$B$4,Tree!$B:$B,$B$5,Tree!$F:$F,"D",Tree!$K:$K,"&lt;&gt;"&amp;"Y",Tree!$E:$E,"&gt;="&amp;C$9,Tree!$E:$E,"&lt;"&amp;C$8)/VLOOKUP($B$4,Stand!$C:$H,6,0)),IF($B$5="All",SUMIFS(Tree!$AE:$AE,Tree!$A:$A,$B$4,Tree!$D:$D,$A32,Tree!$F:$F,"L",Tree!$K:$K,"&lt;&gt;"&amp;"Y",Tree!$E:$E,"&gt;="&amp;C$9,Tree!$E:$E,"&lt;"&amp;C$8)/VLOOKUP($B$4,Stand!$C:$H,6,0),SUMIFS(Tree!$AE:$AE,Tree!$A:$A,$B$4,Tree!$B:$B,$B$5,Tree!$D:$D,$A32,Tree!$F:$F,"L",Tree!$K:$K,"&lt;&gt;"&amp;"Y",Tree!$E:$E,"&gt;="&amp;C$9,Tree!$E:$E,"&lt;"&amp;C$8)))</f>
        <v>#N/A</v>
      </c>
      <c r="D32" s="260" t="e">
        <f>IF($A32="Snag",IF($B$5="All",SUMIFS(Tree!$AE:$AE,Tree!$A:$A,$B$4,Tree!$F:$F,"D",Tree!$K:$K,"&lt;&gt;"&amp;"Y",Tree!$E:$E,"&gt;="&amp;D$9,Tree!$E:$E,"&lt;"&amp;D$8)/VLOOKUP($B$4,Stand!$C:$H,6,0),SUMIFS(Tree!$AE:$AE,Tree!$A:$A,$B$4,Tree!$B:$B,$B$5,Tree!$F:$F,"D",Tree!$K:$K,"&lt;&gt;"&amp;"Y",Tree!$E:$E,"&gt;="&amp;D$9,Tree!$E:$E,"&lt;"&amp;D$8)/VLOOKUP($B$4,Stand!$C:$H,6,0)),IF($B$5="All",SUMIFS(Tree!$AE:$AE,Tree!$A:$A,$B$4,Tree!$D:$D,$A32,Tree!$F:$F,"L",Tree!$K:$K,"&lt;&gt;"&amp;"Y",Tree!$E:$E,"&gt;="&amp;D$9,Tree!$E:$E,"&lt;"&amp;D$8)/VLOOKUP($B$4,Stand!$C:$H,6,0),SUMIFS(Tree!$AE:$AE,Tree!$A:$A,$B$4,Tree!$B:$B,$B$5,Tree!$D:$D,$A32,Tree!$F:$F,"L",Tree!$K:$K,"&lt;&gt;"&amp;"Y",Tree!$E:$E,"&gt;="&amp;D$9,Tree!$E:$E,"&lt;"&amp;D$8)))</f>
        <v>#N/A</v>
      </c>
      <c r="E32" s="260" t="e">
        <f>IF($A32="Snag",IF($B$5="All",SUMIFS(Tree!$AE:$AE,Tree!$A:$A,$B$4,Tree!$F:$F,"D",Tree!$K:$K,"&lt;&gt;"&amp;"Y",Tree!$E:$E,"&gt;="&amp;E$9,Tree!$E:$E,"&lt;"&amp;E$8)/VLOOKUP($B$4,Stand!$C:$H,6,0),SUMIFS(Tree!$AE:$AE,Tree!$A:$A,$B$4,Tree!$B:$B,$B$5,Tree!$F:$F,"D",Tree!$K:$K,"&lt;&gt;"&amp;"Y",Tree!$E:$E,"&gt;="&amp;E$9,Tree!$E:$E,"&lt;"&amp;E$8)/VLOOKUP($B$4,Stand!$C:$H,6,0)),IF($B$5="All",SUMIFS(Tree!$AE:$AE,Tree!$A:$A,$B$4,Tree!$D:$D,$A32,Tree!$F:$F,"L",Tree!$K:$K,"&lt;&gt;"&amp;"Y",Tree!$E:$E,"&gt;="&amp;E$9,Tree!$E:$E,"&lt;"&amp;E$8)/VLOOKUP($B$4,Stand!$C:$H,6,0),SUMIFS(Tree!$AE:$AE,Tree!$A:$A,$B$4,Tree!$B:$B,$B$5,Tree!$D:$D,$A32,Tree!$F:$F,"L",Tree!$K:$K,"&lt;&gt;"&amp;"Y",Tree!$E:$E,"&gt;="&amp;E$9,Tree!$E:$E,"&lt;"&amp;E$8)))</f>
        <v>#N/A</v>
      </c>
      <c r="F32" s="260" t="e">
        <f>IF($A32="Snag",IF($B$5="All",SUMIFS(Tree!$AE:$AE,Tree!$A:$A,$B$4,Tree!$F:$F,"D",Tree!$K:$K,"&lt;&gt;"&amp;"Y",Tree!$E:$E,"&gt;="&amp;F$9,Tree!$E:$E,"&lt;"&amp;F$8)/VLOOKUP($B$4,Stand!$C:$H,6,0),SUMIFS(Tree!$AE:$AE,Tree!$A:$A,$B$4,Tree!$B:$B,$B$5,Tree!$F:$F,"D",Tree!$K:$K,"&lt;&gt;"&amp;"Y",Tree!$E:$E,"&gt;="&amp;F$9,Tree!$E:$E,"&lt;"&amp;F$8)/VLOOKUP($B$4,Stand!$C:$H,6,0)),IF($B$5="All",SUMIFS(Tree!$AE:$AE,Tree!$A:$A,$B$4,Tree!$D:$D,$A32,Tree!$F:$F,"L",Tree!$K:$K,"&lt;&gt;"&amp;"Y",Tree!$E:$E,"&gt;="&amp;F$9,Tree!$E:$E,"&lt;"&amp;F$8)/VLOOKUP($B$4,Stand!$C:$H,6,0),SUMIFS(Tree!$AE:$AE,Tree!$A:$A,$B$4,Tree!$B:$B,$B$5,Tree!$D:$D,$A32,Tree!$F:$F,"L",Tree!$K:$K,"&lt;&gt;"&amp;"Y",Tree!$E:$E,"&gt;="&amp;F$9,Tree!$E:$E,"&lt;"&amp;F$8)))</f>
        <v>#N/A</v>
      </c>
      <c r="G32" s="260" t="e">
        <f>IF($A32="Snag",IF($B$5="All",SUMIFS(Tree!$AE:$AE,Tree!$A:$A,$B$4,Tree!$F:$F,"D",Tree!$K:$K,"&lt;&gt;"&amp;"Y",Tree!$E:$E,"&gt;="&amp;G$9,Tree!$E:$E,"&lt;"&amp;G$8)/VLOOKUP($B$4,Stand!$C:$H,6,0),SUMIFS(Tree!$AE:$AE,Tree!$A:$A,$B$4,Tree!$B:$B,$B$5,Tree!$F:$F,"D",Tree!$K:$K,"&lt;&gt;"&amp;"Y",Tree!$E:$E,"&gt;="&amp;G$9,Tree!$E:$E,"&lt;"&amp;G$8)/VLOOKUP($B$4,Stand!$C:$H,6,0)),IF($B$5="All",SUMIFS(Tree!$AE:$AE,Tree!$A:$A,$B$4,Tree!$D:$D,$A32,Tree!$F:$F,"L",Tree!$K:$K,"&lt;&gt;"&amp;"Y",Tree!$E:$E,"&gt;="&amp;G$9,Tree!$E:$E,"&lt;"&amp;G$8)/VLOOKUP($B$4,Stand!$C:$H,6,0),SUMIFS(Tree!$AE:$AE,Tree!$A:$A,$B$4,Tree!$B:$B,$B$5,Tree!$D:$D,$A32,Tree!$F:$F,"L",Tree!$K:$K,"&lt;&gt;"&amp;"Y",Tree!$E:$E,"&gt;="&amp;G$9,Tree!$E:$E,"&lt;"&amp;G$8)))</f>
        <v>#N/A</v>
      </c>
      <c r="H32" s="260" t="e">
        <f>IF($A32="Snag",IF($B$5="All",SUMIFS(Tree!$AE:$AE,Tree!$A:$A,$B$4,Tree!$F:$F,"D",Tree!$K:$K,"&lt;&gt;"&amp;"Y",Tree!$E:$E,"&gt;="&amp;H$9,Tree!$E:$E,"&lt;"&amp;H$8)/VLOOKUP($B$4,Stand!$C:$H,6,0),SUMIFS(Tree!$AE:$AE,Tree!$A:$A,$B$4,Tree!$B:$B,$B$5,Tree!$F:$F,"D",Tree!$K:$K,"&lt;&gt;"&amp;"Y",Tree!$E:$E,"&gt;="&amp;H$9,Tree!$E:$E,"&lt;"&amp;H$8)/VLOOKUP($B$4,Stand!$C:$H,6,0)),IF($B$5="All",SUMIFS(Tree!$AE:$AE,Tree!$A:$A,$B$4,Tree!$D:$D,$A32,Tree!$F:$F,"L",Tree!$K:$K,"&lt;&gt;"&amp;"Y",Tree!$E:$E,"&gt;="&amp;H$9,Tree!$E:$E,"&lt;"&amp;H$8)/VLOOKUP($B$4,Stand!$C:$H,6,0),SUMIFS(Tree!$AE:$AE,Tree!$A:$A,$B$4,Tree!$B:$B,$B$5,Tree!$D:$D,$A32,Tree!$F:$F,"L",Tree!$K:$K,"&lt;&gt;"&amp;"Y",Tree!$E:$E,"&gt;="&amp;H$9,Tree!$E:$E,"&lt;"&amp;H$8)))</f>
        <v>#N/A</v>
      </c>
      <c r="I32" s="260" t="e">
        <f>IF($A32="Snag",IF($B$5="All",SUMIFS(Tree!$AE:$AE,Tree!$A:$A,$B$4,Tree!$F:$F,"D",Tree!$K:$K,"&lt;&gt;"&amp;"Y",Tree!$E:$E,"&gt;="&amp;I$9,Tree!$E:$E,"&lt;"&amp;I$8)/VLOOKUP($B$4,Stand!$C:$H,6,0),SUMIFS(Tree!$AE:$AE,Tree!$A:$A,$B$4,Tree!$B:$B,$B$5,Tree!$F:$F,"D",Tree!$K:$K,"&lt;&gt;"&amp;"Y",Tree!$E:$E,"&gt;="&amp;I$9,Tree!$E:$E,"&lt;"&amp;I$8)/VLOOKUP($B$4,Stand!$C:$H,6,0)),IF($B$5="All",SUMIFS(Tree!$AE:$AE,Tree!$A:$A,$B$4,Tree!$D:$D,$A32,Tree!$F:$F,"L",Tree!$K:$K,"&lt;&gt;"&amp;"Y",Tree!$E:$E,"&gt;="&amp;I$9,Tree!$E:$E,"&lt;"&amp;I$8)/VLOOKUP($B$4,Stand!$C:$H,6,0),SUMIFS(Tree!$AE:$AE,Tree!$A:$A,$B$4,Tree!$B:$B,$B$5,Tree!$D:$D,$A32,Tree!$F:$F,"L",Tree!$K:$K,"&lt;&gt;"&amp;"Y",Tree!$E:$E,"&gt;="&amp;I$9,Tree!$E:$E,"&lt;"&amp;I$8)))</f>
        <v>#N/A</v>
      </c>
      <c r="J32" s="261" t="e">
        <f>IF($A32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32,Tree!$F:$F,"L",Tree!$K:$K,"&lt;&gt;"&amp;"Y",Tree!$E:$E,"&gt;="&amp;J$9)/VLOOKUP($B$4,Stand!$C:$H,6,0),SUMIFS(Tree!$AE:$AE,Tree!$A:$A,$B$4,Tree!$B:$B,$B$5,Tree!$D:$D,$A32,Tree!$F:$F,"L",Tree!$K:$K,"&lt;&gt;"&amp;"Y",Tree!$E:$E,"&gt;="&amp;J$9)))</f>
        <v>#N/A</v>
      </c>
      <c r="K32" s="266" t="e">
        <f t="shared" si="4"/>
        <v>#N/A</v>
      </c>
      <c r="S32" s="18"/>
      <c r="T32" s="18"/>
      <c r="U32" s="18"/>
      <c r="V32" s="18"/>
      <c r="W32" s="18"/>
      <c r="X32" s="18"/>
      <c r="Y32" s="18"/>
      <c r="Z32" s="18"/>
    </row>
    <row r="33" spans="1:24" ht="12.75" customHeight="1" x14ac:dyDescent="0.25">
      <c r="A33" s="255" t="str">
        <f t="shared" si="3"/>
        <v>RA</v>
      </c>
      <c r="B33" s="259" t="e">
        <f>IF($A33="Snag",IF($B$5="All",SUMIFS(Tree!$AE:$AE,Tree!$A:$A,$B$4,Tree!$F:$F,"D",Tree!$K:$K,"&lt;&gt;"&amp;"Y",Tree!$E:$E,"&gt;="&amp;B$9,Tree!$E:$E,"&lt;"&amp;B$8)/VLOOKUP($B$4,Stand!$C:$H,6,0),SUMIFS(Tree!$AE:$AE,Tree!$A:$A,$B$4,Tree!$B:$B,$B$5,Tree!$F:$F,"D",Tree!$K:$K,"&lt;&gt;"&amp;"Y",Tree!$E:$E,"&gt;="&amp;B$9,Tree!$E:$E,"&lt;"&amp;B$8)/VLOOKUP($B$4,Stand!$C:$H,6,0)),IF($B$5="All",SUMIFS(Tree!$AE:$AE,Tree!$A:$A,$B$4,Tree!$D:$D,$A33,Tree!$F:$F,"L",Tree!$K:$K,"&lt;&gt;"&amp;"Y",Tree!$E:$E,"&gt;="&amp;B$9,Tree!$E:$E,"&lt;"&amp;B$8)/VLOOKUP($B$4,Stand!$C:$H,6,0),SUMIFS(Tree!$AE:$AE,Tree!$A:$A,$B$4,Tree!$B:$B,$B$5,Tree!$D:$D,$A33,Tree!$F:$F,"L",Tree!$K:$K,"&lt;&gt;"&amp;"Y",Tree!$E:$E,"&gt;="&amp;B$9,Tree!$E:$E,"&lt;"&amp;B$8)))</f>
        <v>#N/A</v>
      </c>
      <c r="C33" s="260" t="e">
        <f>IF($A33="Snag",IF($B$5="All",SUMIFS(Tree!$AE:$AE,Tree!$A:$A,$B$4,Tree!$F:$F,"D",Tree!$K:$K,"&lt;&gt;"&amp;"Y",Tree!$E:$E,"&gt;="&amp;C$9,Tree!$E:$E,"&lt;"&amp;C$8)/VLOOKUP($B$4,Stand!$C:$H,6,0),SUMIFS(Tree!$AE:$AE,Tree!$A:$A,$B$4,Tree!$B:$B,$B$5,Tree!$F:$F,"D",Tree!$K:$K,"&lt;&gt;"&amp;"Y",Tree!$E:$E,"&gt;="&amp;C$9,Tree!$E:$E,"&lt;"&amp;C$8)/VLOOKUP($B$4,Stand!$C:$H,6,0)),IF($B$5="All",SUMIFS(Tree!$AE:$AE,Tree!$A:$A,$B$4,Tree!$D:$D,$A33,Tree!$F:$F,"L",Tree!$K:$K,"&lt;&gt;"&amp;"Y",Tree!$E:$E,"&gt;="&amp;C$9,Tree!$E:$E,"&lt;"&amp;C$8)/VLOOKUP($B$4,Stand!$C:$H,6,0),SUMIFS(Tree!$AE:$AE,Tree!$A:$A,$B$4,Tree!$B:$B,$B$5,Tree!$D:$D,$A33,Tree!$F:$F,"L",Tree!$K:$K,"&lt;&gt;"&amp;"Y",Tree!$E:$E,"&gt;="&amp;C$9,Tree!$E:$E,"&lt;"&amp;C$8)))</f>
        <v>#N/A</v>
      </c>
      <c r="D33" s="260" t="e">
        <f>IF($A33="Snag",IF($B$5="All",SUMIFS(Tree!$AE:$AE,Tree!$A:$A,$B$4,Tree!$F:$F,"D",Tree!$K:$K,"&lt;&gt;"&amp;"Y",Tree!$E:$E,"&gt;="&amp;D$9,Tree!$E:$E,"&lt;"&amp;D$8)/VLOOKUP($B$4,Stand!$C:$H,6,0),SUMIFS(Tree!$AE:$AE,Tree!$A:$A,$B$4,Tree!$B:$B,$B$5,Tree!$F:$F,"D",Tree!$K:$K,"&lt;&gt;"&amp;"Y",Tree!$E:$E,"&gt;="&amp;D$9,Tree!$E:$E,"&lt;"&amp;D$8)/VLOOKUP($B$4,Stand!$C:$H,6,0)),IF($B$5="All",SUMIFS(Tree!$AE:$AE,Tree!$A:$A,$B$4,Tree!$D:$D,$A33,Tree!$F:$F,"L",Tree!$K:$K,"&lt;&gt;"&amp;"Y",Tree!$E:$E,"&gt;="&amp;D$9,Tree!$E:$E,"&lt;"&amp;D$8)/VLOOKUP($B$4,Stand!$C:$H,6,0),SUMIFS(Tree!$AE:$AE,Tree!$A:$A,$B$4,Tree!$B:$B,$B$5,Tree!$D:$D,$A33,Tree!$F:$F,"L",Tree!$K:$K,"&lt;&gt;"&amp;"Y",Tree!$E:$E,"&gt;="&amp;D$9,Tree!$E:$E,"&lt;"&amp;D$8)))</f>
        <v>#N/A</v>
      </c>
      <c r="E33" s="260" t="e">
        <f>IF($A33="Snag",IF($B$5="All",SUMIFS(Tree!$AE:$AE,Tree!$A:$A,$B$4,Tree!$F:$F,"D",Tree!$K:$K,"&lt;&gt;"&amp;"Y",Tree!$E:$E,"&gt;="&amp;E$9,Tree!$E:$E,"&lt;"&amp;E$8)/VLOOKUP($B$4,Stand!$C:$H,6,0),SUMIFS(Tree!$AE:$AE,Tree!$A:$A,$B$4,Tree!$B:$B,$B$5,Tree!$F:$F,"D",Tree!$K:$K,"&lt;&gt;"&amp;"Y",Tree!$E:$E,"&gt;="&amp;E$9,Tree!$E:$E,"&lt;"&amp;E$8)/VLOOKUP($B$4,Stand!$C:$H,6,0)),IF($B$5="All",SUMIFS(Tree!$AE:$AE,Tree!$A:$A,$B$4,Tree!$D:$D,$A33,Tree!$F:$F,"L",Tree!$K:$K,"&lt;&gt;"&amp;"Y",Tree!$E:$E,"&gt;="&amp;E$9,Tree!$E:$E,"&lt;"&amp;E$8)/VLOOKUP($B$4,Stand!$C:$H,6,0),SUMIFS(Tree!$AE:$AE,Tree!$A:$A,$B$4,Tree!$B:$B,$B$5,Tree!$D:$D,$A33,Tree!$F:$F,"L",Tree!$K:$K,"&lt;&gt;"&amp;"Y",Tree!$E:$E,"&gt;="&amp;E$9,Tree!$E:$E,"&lt;"&amp;E$8)))</f>
        <v>#N/A</v>
      </c>
      <c r="F33" s="260" t="e">
        <f>IF($A33="Snag",IF($B$5="All",SUMIFS(Tree!$AE:$AE,Tree!$A:$A,$B$4,Tree!$F:$F,"D",Tree!$K:$K,"&lt;&gt;"&amp;"Y",Tree!$E:$E,"&gt;="&amp;F$9,Tree!$E:$E,"&lt;"&amp;F$8)/VLOOKUP($B$4,Stand!$C:$H,6,0),SUMIFS(Tree!$AE:$AE,Tree!$A:$A,$B$4,Tree!$B:$B,$B$5,Tree!$F:$F,"D",Tree!$K:$K,"&lt;&gt;"&amp;"Y",Tree!$E:$E,"&gt;="&amp;F$9,Tree!$E:$E,"&lt;"&amp;F$8)/VLOOKUP($B$4,Stand!$C:$H,6,0)),IF($B$5="All",SUMIFS(Tree!$AE:$AE,Tree!$A:$A,$B$4,Tree!$D:$D,$A33,Tree!$F:$F,"L",Tree!$K:$K,"&lt;&gt;"&amp;"Y",Tree!$E:$E,"&gt;="&amp;F$9,Tree!$E:$E,"&lt;"&amp;F$8)/VLOOKUP($B$4,Stand!$C:$H,6,0),SUMIFS(Tree!$AE:$AE,Tree!$A:$A,$B$4,Tree!$B:$B,$B$5,Tree!$D:$D,$A33,Tree!$F:$F,"L",Tree!$K:$K,"&lt;&gt;"&amp;"Y",Tree!$E:$E,"&gt;="&amp;F$9,Tree!$E:$E,"&lt;"&amp;F$8)))</f>
        <v>#N/A</v>
      </c>
      <c r="G33" s="260" t="e">
        <f>IF($A33="Snag",IF($B$5="All",SUMIFS(Tree!$AE:$AE,Tree!$A:$A,$B$4,Tree!$F:$F,"D",Tree!$K:$K,"&lt;&gt;"&amp;"Y",Tree!$E:$E,"&gt;="&amp;G$9,Tree!$E:$E,"&lt;"&amp;G$8)/VLOOKUP($B$4,Stand!$C:$H,6,0),SUMIFS(Tree!$AE:$AE,Tree!$A:$A,$B$4,Tree!$B:$B,$B$5,Tree!$F:$F,"D",Tree!$K:$K,"&lt;&gt;"&amp;"Y",Tree!$E:$E,"&gt;="&amp;G$9,Tree!$E:$E,"&lt;"&amp;G$8)/VLOOKUP($B$4,Stand!$C:$H,6,0)),IF($B$5="All",SUMIFS(Tree!$AE:$AE,Tree!$A:$A,$B$4,Tree!$D:$D,$A33,Tree!$F:$F,"L",Tree!$K:$K,"&lt;&gt;"&amp;"Y",Tree!$E:$E,"&gt;="&amp;G$9,Tree!$E:$E,"&lt;"&amp;G$8)/VLOOKUP($B$4,Stand!$C:$H,6,0),SUMIFS(Tree!$AE:$AE,Tree!$A:$A,$B$4,Tree!$B:$B,$B$5,Tree!$D:$D,$A33,Tree!$F:$F,"L",Tree!$K:$K,"&lt;&gt;"&amp;"Y",Tree!$E:$E,"&gt;="&amp;G$9,Tree!$E:$E,"&lt;"&amp;G$8)))</f>
        <v>#N/A</v>
      </c>
      <c r="H33" s="260" t="e">
        <f>IF($A33="Snag",IF($B$5="All",SUMIFS(Tree!$AE:$AE,Tree!$A:$A,$B$4,Tree!$F:$F,"D",Tree!$K:$K,"&lt;&gt;"&amp;"Y",Tree!$E:$E,"&gt;="&amp;H$9,Tree!$E:$E,"&lt;"&amp;H$8)/VLOOKUP($B$4,Stand!$C:$H,6,0),SUMIFS(Tree!$AE:$AE,Tree!$A:$A,$B$4,Tree!$B:$B,$B$5,Tree!$F:$F,"D",Tree!$K:$K,"&lt;&gt;"&amp;"Y",Tree!$E:$E,"&gt;="&amp;H$9,Tree!$E:$E,"&lt;"&amp;H$8)/VLOOKUP($B$4,Stand!$C:$H,6,0)),IF($B$5="All",SUMIFS(Tree!$AE:$AE,Tree!$A:$A,$B$4,Tree!$D:$D,$A33,Tree!$F:$F,"L",Tree!$K:$K,"&lt;&gt;"&amp;"Y",Tree!$E:$E,"&gt;="&amp;H$9,Tree!$E:$E,"&lt;"&amp;H$8)/VLOOKUP($B$4,Stand!$C:$H,6,0),SUMIFS(Tree!$AE:$AE,Tree!$A:$A,$B$4,Tree!$B:$B,$B$5,Tree!$D:$D,$A33,Tree!$F:$F,"L",Tree!$K:$K,"&lt;&gt;"&amp;"Y",Tree!$E:$E,"&gt;="&amp;H$9,Tree!$E:$E,"&lt;"&amp;H$8)))</f>
        <v>#N/A</v>
      </c>
      <c r="I33" s="260" t="e">
        <f>IF($A33="Snag",IF($B$5="All",SUMIFS(Tree!$AE:$AE,Tree!$A:$A,$B$4,Tree!$F:$F,"D",Tree!$K:$K,"&lt;&gt;"&amp;"Y",Tree!$E:$E,"&gt;="&amp;I$9,Tree!$E:$E,"&lt;"&amp;I$8)/VLOOKUP($B$4,Stand!$C:$H,6,0),SUMIFS(Tree!$AE:$AE,Tree!$A:$A,$B$4,Tree!$B:$B,$B$5,Tree!$F:$F,"D",Tree!$K:$K,"&lt;&gt;"&amp;"Y",Tree!$E:$E,"&gt;="&amp;I$9,Tree!$E:$E,"&lt;"&amp;I$8)/VLOOKUP($B$4,Stand!$C:$H,6,0)),IF($B$5="All",SUMIFS(Tree!$AE:$AE,Tree!$A:$A,$B$4,Tree!$D:$D,$A33,Tree!$F:$F,"L",Tree!$K:$K,"&lt;&gt;"&amp;"Y",Tree!$E:$E,"&gt;="&amp;I$9,Tree!$E:$E,"&lt;"&amp;I$8)/VLOOKUP($B$4,Stand!$C:$H,6,0),SUMIFS(Tree!$AE:$AE,Tree!$A:$A,$B$4,Tree!$B:$B,$B$5,Tree!$D:$D,$A33,Tree!$F:$F,"L",Tree!$K:$K,"&lt;&gt;"&amp;"Y",Tree!$E:$E,"&gt;="&amp;I$9,Tree!$E:$E,"&lt;"&amp;I$8)))</f>
        <v>#N/A</v>
      </c>
      <c r="J33" s="261" t="e">
        <f>IF($A33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33,Tree!$F:$F,"L",Tree!$K:$K,"&lt;&gt;"&amp;"Y",Tree!$E:$E,"&gt;="&amp;J$9)/VLOOKUP($B$4,Stand!$C:$H,6,0),SUMIFS(Tree!$AE:$AE,Tree!$A:$A,$B$4,Tree!$B:$B,$B$5,Tree!$D:$D,$A33,Tree!$F:$F,"L",Tree!$K:$K,"&lt;&gt;"&amp;"Y",Tree!$E:$E,"&gt;="&amp;J$9)))</f>
        <v>#N/A</v>
      </c>
      <c r="K33" s="266" t="e">
        <f t="shared" si="4"/>
        <v>#N/A</v>
      </c>
      <c r="S33" s="28"/>
      <c r="T33" s="28"/>
      <c r="U33" s="28"/>
      <c r="V33" s="28"/>
      <c r="X33" s="18"/>
    </row>
    <row r="34" spans="1:24" ht="12.75" customHeight="1" x14ac:dyDescent="0.25">
      <c r="A34" s="255" t="str">
        <f t="shared" si="3"/>
        <v>SS</v>
      </c>
      <c r="B34" s="259" t="e">
        <f>IF($A34="Snag",IF($B$5="All",SUMIFS(Tree!$AE:$AE,Tree!$A:$A,$B$4,Tree!$F:$F,"D",Tree!$K:$K,"&lt;&gt;"&amp;"Y",Tree!$E:$E,"&gt;="&amp;B$9,Tree!$E:$E,"&lt;"&amp;B$8)/VLOOKUP($B$4,Stand!$C:$H,6,0),SUMIFS(Tree!$AE:$AE,Tree!$A:$A,$B$4,Tree!$B:$B,$B$5,Tree!$F:$F,"D",Tree!$K:$K,"&lt;&gt;"&amp;"Y",Tree!$E:$E,"&gt;="&amp;B$9,Tree!$E:$E,"&lt;"&amp;B$8)/VLOOKUP($B$4,Stand!$C:$H,6,0)),IF($B$5="All",SUMIFS(Tree!$AE:$AE,Tree!$A:$A,$B$4,Tree!$D:$D,$A34,Tree!$F:$F,"L",Tree!$K:$K,"&lt;&gt;"&amp;"Y",Tree!$E:$E,"&gt;="&amp;B$9,Tree!$E:$E,"&lt;"&amp;B$8)/VLOOKUP($B$4,Stand!$C:$H,6,0),SUMIFS(Tree!$AE:$AE,Tree!$A:$A,$B$4,Tree!$B:$B,$B$5,Tree!$D:$D,$A34,Tree!$F:$F,"L",Tree!$K:$K,"&lt;&gt;"&amp;"Y",Tree!$E:$E,"&gt;="&amp;B$9,Tree!$E:$E,"&lt;"&amp;B$8)))</f>
        <v>#N/A</v>
      </c>
      <c r="C34" s="260" t="e">
        <f>IF($A34="Snag",IF($B$5="All",SUMIFS(Tree!$AE:$AE,Tree!$A:$A,$B$4,Tree!$F:$F,"D",Tree!$K:$K,"&lt;&gt;"&amp;"Y",Tree!$E:$E,"&gt;="&amp;C$9,Tree!$E:$E,"&lt;"&amp;C$8)/VLOOKUP($B$4,Stand!$C:$H,6,0),SUMIFS(Tree!$AE:$AE,Tree!$A:$A,$B$4,Tree!$B:$B,$B$5,Tree!$F:$F,"D",Tree!$K:$K,"&lt;&gt;"&amp;"Y",Tree!$E:$E,"&gt;="&amp;C$9,Tree!$E:$E,"&lt;"&amp;C$8)/VLOOKUP($B$4,Stand!$C:$H,6,0)),IF($B$5="All",SUMIFS(Tree!$AE:$AE,Tree!$A:$A,$B$4,Tree!$D:$D,$A34,Tree!$F:$F,"L",Tree!$K:$K,"&lt;&gt;"&amp;"Y",Tree!$E:$E,"&gt;="&amp;C$9,Tree!$E:$E,"&lt;"&amp;C$8)/VLOOKUP($B$4,Stand!$C:$H,6,0),SUMIFS(Tree!$AE:$AE,Tree!$A:$A,$B$4,Tree!$B:$B,$B$5,Tree!$D:$D,$A34,Tree!$F:$F,"L",Tree!$K:$K,"&lt;&gt;"&amp;"Y",Tree!$E:$E,"&gt;="&amp;C$9,Tree!$E:$E,"&lt;"&amp;C$8)))</f>
        <v>#N/A</v>
      </c>
      <c r="D34" s="260" t="e">
        <f>IF($A34="Snag",IF($B$5="All",SUMIFS(Tree!$AE:$AE,Tree!$A:$A,$B$4,Tree!$F:$F,"D",Tree!$K:$K,"&lt;&gt;"&amp;"Y",Tree!$E:$E,"&gt;="&amp;D$9,Tree!$E:$E,"&lt;"&amp;D$8)/VLOOKUP($B$4,Stand!$C:$H,6,0),SUMIFS(Tree!$AE:$AE,Tree!$A:$A,$B$4,Tree!$B:$B,$B$5,Tree!$F:$F,"D",Tree!$K:$K,"&lt;&gt;"&amp;"Y",Tree!$E:$E,"&gt;="&amp;D$9,Tree!$E:$E,"&lt;"&amp;D$8)/VLOOKUP($B$4,Stand!$C:$H,6,0)),IF($B$5="All",SUMIFS(Tree!$AE:$AE,Tree!$A:$A,$B$4,Tree!$D:$D,$A34,Tree!$F:$F,"L",Tree!$K:$K,"&lt;&gt;"&amp;"Y",Tree!$E:$E,"&gt;="&amp;D$9,Tree!$E:$E,"&lt;"&amp;D$8)/VLOOKUP($B$4,Stand!$C:$H,6,0),SUMIFS(Tree!$AE:$AE,Tree!$A:$A,$B$4,Tree!$B:$B,$B$5,Tree!$D:$D,$A34,Tree!$F:$F,"L",Tree!$K:$K,"&lt;&gt;"&amp;"Y",Tree!$E:$E,"&gt;="&amp;D$9,Tree!$E:$E,"&lt;"&amp;D$8)))</f>
        <v>#N/A</v>
      </c>
      <c r="E34" s="260" t="e">
        <f>IF($A34="Snag",IF($B$5="All",SUMIFS(Tree!$AE:$AE,Tree!$A:$A,$B$4,Tree!$F:$F,"D",Tree!$K:$K,"&lt;&gt;"&amp;"Y",Tree!$E:$E,"&gt;="&amp;E$9,Tree!$E:$E,"&lt;"&amp;E$8)/VLOOKUP($B$4,Stand!$C:$H,6,0),SUMIFS(Tree!$AE:$AE,Tree!$A:$A,$B$4,Tree!$B:$B,$B$5,Tree!$F:$F,"D",Tree!$K:$K,"&lt;&gt;"&amp;"Y",Tree!$E:$E,"&gt;="&amp;E$9,Tree!$E:$E,"&lt;"&amp;E$8)/VLOOKUP($B$4,Stand!$C:$H,6,0)),IF($B$5="All",SUMIFS(Tree!$AE:$AE,Tree!$A:$A,$B$4,Tree!$D:$D,$A34,Tree!$F:$F,"L",Tree!$K:$K,"&lt;&gt;"&amp;"Y",Tree!$E:$E,"&gt;="&amp;E$9,Tree!$E:$E,"&lt;"&amp;E$8)/VLOOKUP($B$4,Stand!$C:$H,6,0),SUMIFS(Tree!$AE:$AE,Tree!$A:$A,$B$4,Tree!$B:$B,$B$5,Tree!$D:$D,$A34,Tree!$F:$F,"L",Tree!$K:$K,"&lt;&gt;"&amp;"Y",Tree!$E:$E,"&gt;="&amp;E$9,Tree!$E:$E,"&lt;"&amp;E$8)))</f>
        <v>#N/A</v>
      </c>
      <c r="F34" s="260" t="e">
        <f>IF($A34="Snag",IF($B$5="All",SUMIFS(Tree!$AE:$AE,Tree!$A:$A,$B$4,Tree!$F:$F,"D",Tree!$K:$K,"&lt;&gt;"&amp;"Y",Tree!$E:$E,"&gt;="&amp;F$9,Tree!$E:$E,"&lt;"&amp;F$8)/VLOOKUP($B$4,Stand!$C:$H,6,0),SUMIFS(Tree!$AE:$AE,Tree!$A:$A,$B$4,Tree!$B:$B,$B$5,Tree!$F:$F,"D",Tree!$K:$K,"&lt;&gt;"&amp;"Y",Tree!$E:$E,"&gt;="&amp;F$9,Tree!$E:$E,"&lt;"&amp;F$8)/VLOOKUP($B$4,Stand!$C:$H,6,0)),IF($B$5="All",SUMIFS(Tree!$AE:$AE,Tree!$A:$A,$B$4,Tree!$D:$D,$A34,Tree!$F:$F,"L",Tree!$K:$K,"&lt;&gt;"&amp;"Y",Tree!$E:$E,"&gt;="&amp;F$9,Tree!$E:$E,"&lt;"&amp;F$8)/VLOOKUP($B$4,Stand!$C:$H,6,0),SUMIFS(Tree!$AE:$AE,Tree!$A:$A,$B$4,Tree!$B:$B,$B$5,Tree!$D:$D,$A34,Tree!$F:$F,"L",Tree!$K:$K,"&lt;&gt;"&amp;"Y",Tree!$E:$E,"&gt;="&amp;F$9,Tree!$E:$E,"&lt;"&amp;F$8)))</f>
        <v>#N/A</v>
      </c>
      <c r="G34" s="260" t="e">
        <f>IF($A34="Snag",IF($B$5="All",SUMIFS(Tree!$AE:$AE,Tree!$A:$A,$B$4,Tree!$F:$F,"D",Tree!$K:$K,"&lt;&gt;"&amp;"Y",Tree!$E:$E,"&gt;="&amp;G$9,Tree!$E:$E,"&lt;"&amp;G$8)/VLOOKUP($B$4,Stand!$C:$H,6,0),SUMIFS(Tree!$AE:$AE,Tree!$A:$A,$B$4,Tree!$B:$B,$B$5,Tree!$F:$F,"D",Tree!$K:$K,"&lt;&gt;"&amp;"Y",Tree!$E:$E,"&gt;="&amp;G$9,Tree!$E:$E,"&lt;"&amp;G$8)/VLOOKUP($B$4,Stand!$C:$H,6,0)),IF($B$5="All",SUMIFS(Tree!$AE:$AE,Tree!$A:$A,$B$4,Tree!$D:$D,$A34,Tree!$F:$F,"L",Tree!$K:$K,"&lt;&gt;"&amp;"Y",Tree!$E:$E,"&gt;="&amp;G$9,Tree!$E:$E,"&lt;"&amp;G$8)/VLOOKUP($B$4,Stand!$C:$H,6,0),SUMIFS(Tree!$AE:$AE,Tree!$A:$A,$B$4,Tree!$B:$B,$B$5,Tree!$D:$D,$A34,Tree!$F:$F,"L",Tree!$K:$K,"&lt;&gt;"&amp;"Y",Tree!$E:$E,"&gt;="&amp;G$9,Tree!$E:$E,"&lt;"&amp;G$8)))</f>
        <v>#N/A</v>
      </c>
      <c r="H34" s="260" t="e">
        <f>IF($A34="Snag",IF($B$5="All",SUMIFS(Tree!$AE:$AE,Tree!$A:$A,$B$4,Tree!$F:$F,"D",Tree!$K:$K,"&lt;&gt;"&amp;"Y",Tree!$E:$E,"&gt;="&amp;H$9,Tree!$E:$E,"&lt;"&amp;H$8)/VLOOKUP($B$4,Stand!$C:$H,6,0),SUMIFS(Tree!$AE:$AE,Tree!$A:$A,$B$4,Tree!$B:$B,$B$5,Tree!$F:$F,"D",Tree!$K:$K,"&lt;&gt;"&amp;"Y",Tree!$E:$E,"&gt;="&amp;H$9,Tree!$E:$E,"&lt;"&amp;H$8)/VLOOKUP($B$4,Stand!$C:$H,6,0)),IF($B$5="All",SUMIFS(Tree!$AE:$AE,Tree!$A:$A,$B$4,Tree!$D:$D,$A34,Tree!$F:$F,"L",Tree!$K:$K,"&lt;&gt;"&amp;"Y",Tree!$E:$E,"&gt;="&amp;H$9,Tree!$E:$E,"&lt;"&amp;H$8)/VLOOKUP($B$4,Stand!$C:$H,6,0),SUMIFS(Tree!$AE:$AE,Tree!$A:$A,$B$4,Tree!$B:$B,$B$5,Tree!$D:$D,$A34,Tree!$F:$F,"L",Tree!$K:$K,"&lt;&gt;"&amp;"Y",Tree!$E:$E,"&gt;="&amp;H$9,Tree!$E:$E,"&lt;"&amp;H$8)))</f>
        <v>#N/A</v>
      </c>
      <c r="I34" s="260" t="e">
        <f>IF($A34="Snag",IF($B$5="All",SUMIFS(Tree!$AE:$AE,Tree!$A:$A,$B$4,Tree!$F:$F,"D",Tree!$K:$K,"&lt;&gt;"&amp;"Y",Tree!$E:$E,"&gt;="&amp;I$9,Tree!$E:$E,"&lt;"&amp;I$8)/VLOOKUP($B$4,Stand!$C:$H,6,0),SUMIFS(Tree!$AE:$AE,Tree!$A:$A,$B$4,Tree!$B:$B,$B$5,Tree!$F:$F,"D",Tree!$K:$K,"&lt;&gt;"&amp;"Y",Tree!$E:$E,"&gt;="&amp;I$9,Tree!$E:$E,"&lt;"&amp;I$8)/VLOOKUP($B$4,Stand!$C:$H,6,0)),IF($B$5="All",SUMIFS(Tree!$AE:$AE,Tree!$A:$A,$B$4,Tree!$D:$D,$A34,Tree!$F:$F,"L",Tree!$K:$K,"&lt;&gt;"&amp;"Y",Tree!$E:$E,"&gt;="&amp;I$9,Tree!$E:$E,"&lt;"&amp;I$8)/VLOOKUP($B$4,Stand!$C:$H,6,0),SUMIFS(Tree!$AE:$AE,Tree!$A:$A,$B$4,Tree!$B:$B,$B$5,Tree!$D:$D,$A34,Tree!$F:$F,"L",Tree!$K:$K,"&lt;&gt;"&amp;"Y",Tree!$E:$E,"&gt;="&amp;I$9,Tree!$E:$E,"&lt;"&amp;I$8)))</f>
        <v>#N/A</v>
      </c>
      <c r="J34" s="261" t="e">
        <f>IF($A34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34,Tree!$F:$F,"L",Tree!$K:$K,"&lt;&gt;"&amp;"Y",Tree!$E:$E,"&gt;="&amp;J$9)/VLOOKUP($B$4,Stand!$C:$H,6,0),SUMIFS(Tree!$AE:$AE,Tree!$A:$A,$B$4,Tree!$B:$B,$B$5,Tree!$D:$D,$A34,Tree!$F:$F,"L",Tree!$K:$K,"&lt;&gt;"&amp;"Y",Tree!$E:$E,"&gt;="&amp;J$9)))</f>
        <v>#N/A</v>
      </c>
      <c r="K34" s="266" t="e">
        <f t="shared" si="4"/>
        <v>#N/A</v>
      </c>
      <c r="S34" s="28"/>
      <c r="T34" s="28"/>
      <c r="U34" s="28"/>
      <c r="V34" s="28"/>
      <c r="X34" s="18"/>
    </row>
    <row r="35" spans="1:24" ht="12.75" customHeight="1" x14ac:dyDescent="0.25">
      <c r="A35" s="255" t="str">
        <f t="shared" si="3"/>
        <v>RC</v>
      </c>
      <c r="B35" s="259" t="e">
        <f>IF($A35="Snag",IF($B$5="All",SUMIFS(Tree!$AE:$AE,Tree!$A:$A,$B$4,Tree!$F:$F,"D",Tree!$K:$K,"&lt;&gt;"&amp;"Y",Tree!$E:$E,"&gt;="&amp;B$9,Tree!$E:$E,"&lt;"&amp;B$8)/VLOOKUP($B$4,Stand!$C:$H,6,0),SUMIFS(Tree!$AE:$AE,Tree!$A:$A,$B$4,Tree!$B:$B,$B$5,Tree!$F:$F,"D",Tree!$K:$K,"&lt;&gt;"&amp;"Y",Tree!$E:$E,"&gt;="&amp;B$9,Tree!$E:$E,"&lt;"&amp;B$8)/VLOOKUP($B$4,Stand!$C:$H,6,0)),IF($B$5="All",SUMIFS(Tree!$AE:$AE,Tree!$A:$A,$B$4,Tree!$D:$D,$A35,Tree!$F:$F,"L",Tree!$K:$K,"&lt;&gt;"&amp;"Y",Tree!$E:$E,"&gt;="&amp;B$9,Tree!$E:$E,"&lt;"&amp;B$8)/VLOOKUP($B$4,Stand!$C:$H,6,0),SUMIFS(Tree!$AE:$AE,Tree!$A:$A,$B$4,Tree!$B:$B,$B$5,Tree!$D:$D,$A35,Tree!$F:$F,"L",Tree!$K:$K,"&lt;&gt;"&amp;"Y",Tree!$E:$E,"&gt;="&amp;B$9,Tree!$E:$E,"&lt;"&amp;B$8)))</f>
        <v>#N/A</v>
      </c>
      <c r="C35" s="260" t="e">
        <f>IF($A35="Snag",IF($B$5="All",SUMIFS(Tree!$AE:$AE,Tree!$A:$A,$B$4,Tree!$F:$F,"D",Tree!$K:$K,"&lt;&gt;"&amp;"Y",Tree!$E:$E,"&gt;="&amp;C$9,Tree!$E:$E,"&lt;"&amp;C$8)/VLOOKUP($B$4,Stand!$C:$H,6,0),SUMIFS(Tree!$AE:$AE,Tree!$A:$A,$B$4,Tree!$B:$B,$B$5,Tree!$F:$F,"D",Tree!$K:$K,"&lt;&gt;"&amp;"Y",Tree!$E:$E,"&gt;="&amp;C$9,Tree!$E:$E,"&lt;"&amp;C$8)/VLOOKUP($B$4,Stand!$C:$H,6,0)),IF($B$5="All",SUMIFS(Tree!$AE:$AE,Tree!$A:$A,$B$4,Tree!$D:$D,$A35,Tree!$F:$F,"L",Tree!$K:$K,"&lt;&gt;"&amp;"Y",Tree!$E:$E,"&gt;="&amp;C$9,Tree!$E:$E,"&lt;"&amp;C$8)/VLOOKUP($B$4,Stand!$C:$H,6,0),SUMIFS(Tree!$AE:$AE,Tree!$A:$A,$B$4,Tree!$B:$B,$B$5,Tree!$D:$D,$A35,Tree!$F:$F,"L",Tree!$K:$K,"&lt;&gt;"&amp;"Y",Tree!$E:$E,"&gt;="&amp;C$9,Tree!$E:$E,"&lt;"&amp;C$8)))</f>
        <v>#N/A</v>
      </c>
      <c r="D35" s="260" t="e">
        <f>IF($A35="Snag",IF($B$5="All",SUMIFS(Tree!$AE:$AE,Tree!$A:$A,$B$4,Tree!$F:$F,"D",Tree!$K:$K,"&lt;&gt;"&amp;"Y",Tree!$E:$E,"&gt;="&amp;D$9,Tree!$E:$E,"&lt;"&amp;D$8)/VLOOKUP($B$4,Stand!$C:$H,6,0),SUMIFS(Tree!$AE:$AE,Tree!$A:$A,$B$4,Tree!$B:$B,$B$5,Tree!$F:$F,"D",Tree!$K:$K,"&lt;&gt;"&amp;"Y",Tree!$E:$E,"&gt;="&amp;D$9,Tree!$E:$E,"&lt;"&amp;D$8)/VLOOKUP($B$4,Stand!$C:$H,6,0)),IF($B$5="All",SUMIFS(Tree!$AE:$AE,Tree!$A:$A,$B$4,Tree!$D:$D,$A35,Tree!$F:$F,"L",Tree!$K:$K,"&lt;&gt;"&amp;"Y",Tree!$E:$E,"&gt;="&amp;D$9,Tree!$E:$E,"&lt;"&amp;D$8)/VLOOKUP($B$4,Stand!$C:$H,6,0),SUMIFS(Tree!$AE:$AE,Tree!$A:$A,$B$4,Tree!$B:$B,$B$5,Tree!$D:$D,$A35,Tree!$F:$F,"L",Tree!$K:$K,"&lt;&gt;"&amp;"Y",Tree!$E:$E,"&gt;="&amp;D$9,Tree!$E:$E,"&lt;"&amp;D$8)))</f>
        <v>#N/A</v>
      </c>
      <c r="E35" s="260" t="e">
        <f>IF($A35="Snag",IF($B$5="All",SUMIFS(Tree!$AE:$AE,Tree!$A:$A,$B$4,Tree!$F:$F,"D",Tree!$K:$K,"&lt;&gt;"&amp;"Y",Tree!$E:$E,"&gt;="&amp;E$9,Tree!$E:$E,"&lt;"&amp;E$8)/VLOOKUP($B$4,Stand!$C:$H,6,0),SUMIFS(Tree!$AE:$AE,Tree!$A:$A,$B$4,Tree!$B:$B,$B$5,Tree!$F:$F,"D",Tree!$K:$K,"&lt;&gt;"&amp;"Y",Tree!$E:$E,"&gt;="&amp;E$9,Tree!$E:$E,"&lt;"&amp;E$8)/VLOOKUP($B$4,Stand!$C:$H,6,0)),IF($B$5="All",SUMIFS(Tree!$AE:$AE,Tree!$A:$A,$B$4,Tree!$D:$D,$A35,Tree!$F:$F,"L",Tree!$K:$K,"&lt;&gt;"&amp;"Y",Tree!$E:$E,"&gt;="&amp;E$9,Tree!$E:$E,"&lt;"&amp;E$8)/VLOOKUP($B$4,Stand!$C:$H,6,0),SUMIFS(Tree!$AE:$AE,Tree!$A:$A,$B$4,Tree!$B:$B,$B$5,Tree!$D:$D,$A35,Tree!$F:$F,"L",Tree!$K:$K,"&lt;&gt;"&amp;"Y",Tree!$E:$E,"&gt;="&amp;E$9,Tree!$E:$E,"&lt;"&amp;E$8)))</f>
        <v>#N/A</v>
      </c>
      <c r="F35" s="260" t="e">
        <f>IF($A35="Snag",IF($B$5="All",SUMIFS(Tree!$AE:$AE,Tree!$A:$A,$B$4,Tree!$F:$F,"D",Tree!$K:$K,"&lt;&gt;"&amp;"Y",Tree!$E:$E,"&gt;="&amp;F$9,Tree!$E:$E,"&lt;"&amp;F$8)/VLOOKUP($B$4,Stand!$C:$H,6,0),SUMIFS(Tree!$AE:$AE,Tree!$A:$A,$B$4,Tree!$B:$B,$B$5,Tree!$F:$F,"D",Tree!$K:$K,"&lt;&gt;"&amp;"Y",Tree!$E:$E,"&gt;="&amp;F$9,Tree!$E:$E,"&lt;"&amp;F$8)/VLOOKUP($B$4,Stand!$C:$H,6,0)),IF($B$5="All",SUMIFS(Tree!$AE:$AE,Tree!$A:$A,$B$4,Tree!$D:$D,$A35,Tree!$F:$F,"L",Tree!$K:$K,"&lt;&gt;"&amp;"Y",Tree!$E:$E,"&gt;="&amp;F$9,Tree!$E:$E,"&lt;"&amp;F$8)/VLOOKUP($B$4,Stand!$C:$H,6,0),SUMIFS(Tree!$AE:$AE,Tree!$A:$A,$B$4,Tree!$B:$B,$B$5,Tree!$D:$D,$A35,Tree!$F:$F,"L",Tree!$K:$K,"&lt;&gt;"&amp;"Y",Tree!$E:$E,"&gt;="&amp;F$9,Tree!$E:$E,"&lt;"&amp;F$8)))</f>
        <v>#N/A</v>
      </c>
      <c r="G35" s="260" t="e">
        <f>IF($A35="Snag",IF($B$5="All",SUMIFS(Tree!$AE:$AE,Tree!$A:$A,$B$4,Tree!$F:$F,"D",Tree!$K:$K,"&lt;&gt;"&amp;"Y",Tree!$E:$E,"&gt;="&amp;G$9,Tree!$E:$E,"&lt;"&amp;G$8)/VLOOKUP($B$4,Stand!$C:$H,6,0),SUMIFS(Tree!$AE:$AE,Tree!$A:$A,$B$4,Tree!$B:$B,$B$5,Tree!$F:$F,"D",Tree!$K:$K,"&lt;&gt;"&amp;"Y",Tree!$E:$E,"&gt;="&amp;G$9,Tree!$E:$E,"&lt;"&amp;G$8)/VLOOKUP($B$4,Stand!$C:$H,6,0)),IF($B$5="All",SUMIFS(Tree!$AE:$AE,Tree!$A:$A,$B$4,Tree!$D:$D,$A35,Tree!$F:$F,"L",Tree!$K:$K,"&lt;&gt;"&amp;"Y",Tree!$E:$E,"&gt;="&amp;G$9,Tree!$E:$E,"&lt;"&amp;G$8)/VLOOKUP($B$4,Stand!$C:$H,6,0),SUMIFS(Tree!$AE:$AE,Tree!$A:$A,$B$4,Tree!$B:$B,$B$5,Tree!$D:$D,$A35,Tree!$F:$F,"L",Tree!$K:$K,"&lt;&gt;"&amp;"Y",Tree!$E:$E,"&gt;="&amp;G$9,Tree!$E:$E,"&lt;"&amp;G$8)))</f>
        <v>#N/A</v>
      </c>
      <c r="H35" s="260" t="e">
        <f>IF($A35="Snag",IF($B$5="All",SUMIFS(Tree!$AE:$AE,Tree!$A:$A,$B$4,Tree!$F:$F,"D",Tree!$K:$K,"&lt;&gt;"&amp;"Y",Tree!$E:$E,"&gt;="&amp;H$9,Tree!$E:$E,"&lt;"&amp;H$8)/VLOOKUP($B$4,Stand!$C:$H,6,0),SUMIFS(Tree!$AE:$AE,Tree!$A:$A,$B$4,Tree!$B:$B,$B$5,Tree!$F:$F,"D",Tree!$K:$K,"&lt;&gt;"&amp;"Y",Tree!$E:$E,"&gt;="&amp;H$9,Tree!$E:$E,"&lt;"&amp;H$8)/VLOOKUP($B$4,Stand!$C:$H,6,0)),IF($B$5="All",SUMIFS(Tree!$AE:$AE,Tree!$A:$A,$B$4,Tree!$D:$D,$A35,Tree!$F:$F,"L",Tree!$K:$K,"&lt;&gt;"&amp;"Y",Tree!$E:$E,"&gt;="&amp;H$9,Tree!$E:$E,"&lt;"&amp;H$8)/VLOOKUP($B$4,Stand!$C:$H,6,0),SUMIFS(Tree!$AE:$AE,Tree!$A:$A,$B$4,Tree!$B:$B,$B$5,Tree!$D:$D,$A35,Tree!$F:$F,"L",Tree!$K:$K,"&lt;&gt;"&amp;"Y",Tree!$E:$E,"&gt;="&amp;H$9,Tree!$E:$E,"&lt;"&amp;H$8)))</f>
        <v>#N/A</v>
      </c>
      <c r="I35" s="260" t="e">
        <f>IF($A35="Snag",IF($B$5="All",SUMIFS(Tree!$AE:$AE,Tree!$A:$A,$B$4,Tree!$F:$F,"D",Tree!$K:$K,"&lt;&gt;"&amp;"Y",Tree!$E:$E,"&gt;="&amp;I$9,Tree!$E:$E,"&lt;"&amp;I$8)/VLOOKUP($B$4,Stand!$C:$H,6,0),SUMIFS(Tree!$AE:$AE,Tree!$A:$A,$B$4,Tree!$B:$B,$B$5,Tree!$F:$F,"D",Tree!$K:$K,"&lt;&gt;"&amp;"Y",Tree!$E:$E,"&gt;="&amp;I$9,Tree!$E:$E,"&lt;"&amp;I$8)/VLOOKUP($B$4,Stand!$C:$H,6,0)),IF($B$5="All",SUMIFS(Tree!$AE:$AE,Tree!$A:$A,$B$4,Tree!$D:$D,$A35,Tree!$F:$F,"L",Tree!$K:$K,"&lt;&gt;"&amp;"Y",Tree!$E:$E,"&gt;="&amp;I$9,Tree!$E:$E,"&lt;"&amp;I$8)/VLOOKUP($B$4,Stand!$C:$H,6,0),SUMIFS(Tree!$AE:$AE,Tree!$A:$A,$B$4,Tree!$B:$B,$B$5,Tree!$D:$D,$A35,Tree!$F:$F,"L",Tree!$K:$K,"&lt;&gt;"&amp;"Y",Tree!$E:$E,"&gt;="&amp;I$9,Tree!$E:$E,"&lt;"&amp;I$8)))</f>
        <v>#N/A</v>
      </c>
      <c r="J35" s="261" t="e">
        <f>IF($A35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35,Tree!$F:$F,"L",Tree!$K:$K,"&lt;&gt;"&amp;"Y",Tree!$E:$E,"&gt;="&amp;J$9)/VLOOKUP($B$4,Stand!$C:$H,6,0),SUMIFS(Tree!$AE:$AE,Tree!$A:$A,$B$4,Tree!$B:$B,$B$5,Tree!$D:$D,$A35,Tree!$F:$F,"L",Tree!$K:$K,"&lt;&gt;"&amp;"Y",Tree!$E:$E,"&gt;="&amp;J$9)))</f>
        <v>#N/A</v>
      </c>
      <c r="K35" s="266" t="e">
        <f t="shared" si="4"/>
        <v>#N/A</v>
      </c>
      <c r="S35" s="28"/>
      <c r="T35" s="28"/>
      <c r="U35" s="28"/>
      <c r="V35" s="28"/>
      <c r="X35" s="18"/>
    </row>
    <row r="36" spans="1:24" ht="12.75" customHeight="1" x14ac:dyDescent="0.25">
      <c r="A36" s="255" t="str">
        <f t="shared" si="3"/>
        <v>LP</v>
      </c>
      <c r="B36" s="259" t="e">
        <f>IF($A36="Snag",IF($B$5="All",SUMIFS(Tree!$AE:$AE,Tree!$A:$A,$B$4,Tree!$F:$F,"D",Tree!$K:$K,"&lt;&gt;"&amp;"Y",Tree!$E:$E,"&gt;="&amp;B$9,Tree!$E:$E,"&lt;"&amp;B$8)/VLOOKUP($B$4,Stand!$C:$H,6,0),SUMIFS(Tree!$AE:$AE,Tree!$A:$A,$B$4,Tree!$B:$B,$B$5,Tree!$F:$F,"D",Tree!$K:$K,"&lt;&gt;"&amp;"Y",Tree!$E:$E,"&gt;="&amp;B$9,Tree!$E:$E,"&lt;"&amp;B$8)/VLOOKUP($B$4,Stand!$C:$H,6,0)),IF($B$5="All",SUMIFS(Tree!$AE:$AE,Tree!$A:$A,$B$4,Tree!$D:$D,$A36,Tree!$F:$F,"L",Tree!$K:$K,"&lt;&gt;"&amp;"Y",Tree!$E:$E,"&gt;="&amp;B$9,Tree!$E:$E,"&lt;"&amp;B$8)/VLOOKUP($B$4,Stand!$C:$H,6,0),SUMIFS(Tree!$AE:$AE,Tree!$A:$A,$B$4,Tree!$B:$B,$B$5,Tree!$D:$D,$A36,Tree!$F:$F,"L",Tree!$K:$K,"&lt;&gt;"&amp;"Y",Tree!$E:$E,"&gt;="&amp;B$9,Tree!$E:$E,"&lt;"&amp;B$8)))</f>
        <v>#N/A</v>
      </c>
      <c r="C36" s="260" t="e">
        <f>IF($A36="Snag",IF($B$5="All",SUMIFS(Tree!$AE:$AE,Tree!$A:$A,$B$4,Tree!$F:$F,"D",Tree!$K:$K,"&lt;&gt;"&amp;"Y",Tree!$E:$E,"&gt;="&amp;C$9,Tree!$E:$E,"&lt;"&amp;C$8)/VLOOKUP($B$4,Stand!$C:$H,6,0),SUMIFS(Tree!$AE:$AE,Tree!$A:$A,$B$4,Tree!$B:$B,$B$5,Tree!$F:$F,"D",Tree!$K:$K,"&lt;&gt;"&amp;"Y",Tree!$E:$E,"&gt;="&amp;C$9,Tree!$E:$E,"&lt;"&amp;C$8)/VLOOKUP($B$4,Stand!$C:$H,6,0)),IF($B$5="All",SUMIFS(Tree!$AE:$AE,Tree!$A:$A,$B$4,Tree!$D:$D,$A36,Tree!$F:$F,"L",Tree!$K:$K,"&lt;&gt;"&amp;"Y",Tree!$E:$E,"&gt;="&amp;C$9,Tree!$E:$E,"&lt;"&amp;C$8)/VLOOKUP($B$4,Stand!$C:$H,6,0),SUMIFS(Tree!$AE:$AE,Tree!$A:$A,$B$4,Tree!$B:$B,$B$5,Tree!$D:$D,$A36,Tree!$F:$F,"L",Tree!$K:$K,"&lt;&gt;"&amp;"Y",Tree!$E:$E,"&gt;="&amp;C$9,Tree!$E:$E,"&lt;"&amp;C$8)))</f>
        <v>#N/A</v>
      </c>
      <c r="D36" s="260" t="e">
        <f>IF($A36="Snag",IF($B$5="All",SUMIFS(Tree!$AE:$AE,Tree!$A:$A,$B$4,Tree!$F:$F,"D",Tree!$K:$K,"&lt;&gt;"&amp;"Y",Tree!$E:$E,"&gt;="&amp;D$9,Tree!$E:$E,"&lt;"&amp;D$8)/VLOOKUP($B$4,Stand!$C:$H,6,0),SUMIFS(Tree!$AE:$AE,Tree!$A:$A,$B$4,Tree!$B:$B,$B$5,Tree!$F:$F,"D",Tree!$K:$K,"&lt;&gt;"&amp;"Y",Tree!$E:$E,"&gt;="&amp;D$9,Tree!$E:$E,"&lt;"&amp;D$8)/VLOOKUP($B$4,Stand!$C:$H,6,0)),IF($B$5="All",SUMIFS(Tree!$AE:$AE,Tree!$A:$A,$B$4,Tree!$D:$D,$A36,Tree!$F:$F,"L",Tree!$K:$K,"&lt;&gt;"&amp;"Y",Tree!$E:$E,"&gt;="&amp;D$9,Tree!$E:$E,"&lt;"&amp;D$8)/VLOOKUP($B$4,Stand!$C:$H,6,0),SUMIFS(Tree!$AE:$AE,Tree!$A:$A,$B$4,Tree!$B:$B,$B$5,Tree!$D:$D,$A36,Tree!$F:$F,"L",Tree!$K:$K,"&lt;&gt;"&amp;"Y",Tree!$E:$E,"&gt;="&amp;D$9,Tree!$E:$E,"&lt;"&amp;D$8)))</f>
        <v>#N/A</v>
      </c>
      <c r="E36" s="260" t="e">
        <f>IF($A36="Snag",IF($B$5="All",SUMIFS(Tree!$AE:$AE,Tree!$A:$A,$B$4,Tree!$F:$F,"D",Tree!$K:$K,"&lt;&gt;"&amp;"Y",Tree!$E:$E,"&gt;="&amp;E$9,Tree!$E:$E,"&lt;"&amp;E$8)/VLOOKUP($B$4,Stand!$C:$H,6,0),SUMIFS(Tree!$AE:$AE,Tree!$A:$A,$B$4,Tree!$B:$B,$B$5,Tree!$F:$F,"D",Tree!$K:$K,"&lt;&gt;"&amp;"Y",Tree!$E:$E,"&gt;="&amp;E$9,Tree!$E:$E,"&lt;"&amp;E$8)/VLOOKUP($B$4,Stand!$C:$H,6,0)),IF($B$5="All",SUMIFS(Tree!$AE:$AE,Tree!$A:$A,$B$4,Tree!$D:$D,$A36,Tree!$F:$F,"L",Tree!$K:$K,"&lt;&gt;"&amp;"Y",Tree!$E:$E,"&gt;="&amp;E$9,Tree!$E:$E,"&lt;"&amp;E$8)/VLOOKUP($B$4,Stand!$C:$H,6,0),SUMIFS(Tree!$AE:$AE,Tree!$A:$A,$B$4,Tree!$B:$B,$B$5,Tree!$D:$D,$A36,Tree!$F:$F,"L",Tree!$K:$K,"&lt;&gt;"&amp;"Y",Tree!$E:$E,"&gt;="&amp;E$9,Tree!$E:$E,"&lt;"&amp;E$8)))</f>
        <v>#N/A</v>
      </c>
      <c r="F36" s="260" t="e">
        <f>IF($A36="Snag",IF($B$5="All",SUMIFS(Tree!$AE:$AE,Tree!$A:$A,$B$4,Tree!$F:$F,"D",Tree!$K:$K,"&lt;&gt;"&amp;"Y",Tree!$E:$E,"&gt;="&amp;F$9,Tree!$E:$E,"&lt;"&amp;F$8)/VLOOKUP($B$4,Stand!$C:$H,6,0),SUMIFS(Tree!$AE:$AE,Tree!$A:$A,$B$4,Tree!$B:$B,$B$5,Tree!$F:$F,"D",Tree!$K:$K,"&lt;&gt;"&amp;"Y",Tree!$E:$E,"&gt;="&amp;F$9,Tree!$E:$E,"&lt;"&amp;F$8)/VLOOKUP($B$4,Stand!$C:$H,6,0)),IF($B$5="All",SUMIFS(Tree!$AE:$AE,Tree!$A:$A,$B$4,Tree!$D:$D,$A36,Tree!$F:$F,"L",Tree!$K:$K,"&lt;&gt;"&amp;"Y",Tree!$E:$E,"&gt;="&amp;F$9,Tree!$E:$E,"&lt;"&amp;F$8)/VLOOKUP($B$4,Stand!$C:$H,6,0),SUMIFS(Tree!$AE:$AE,Tree!$A:$A,$B$4,Tree!$B:$B,$B$5,Tree!$D:$D,$A36,Tree!$F:$F,"L",Tree!$K:$K,"&lt;&gt;"&amp;"Y",Tree!$E:$E,"&gt;="&amp;F$9,Tree!$E:$E,"&lt;"&amp;F$8)))</f>
        <v>#N/A</v>
      </c>
      <c r="G36" s="260" t="e">
        <f>IF($A36="Snag",IF($B$5="All",SUMIFS(Tree!$AE:$AE,Tree!$A:$A,$B$4,Tree!$F:$F,"D",Tree!$K:$K,"&lt;&gt;"&amp;"Y",Tree!$E:$E,"&gt;="&amp;G$9,Tree!$E:$E,"&lt;"&amp;G$8)/VLOOKUP($B$4,Stand!$C:$H,6,0),SUMIFS(Tree!$AE:$AE,Tree!$A:$A,$B$4,Tree!$B:$B,$B$5,Tree!$F:$F,"D",Tree!$K:$K,"&lt;&gt;"&amp;"Y",Tree!$E:$E,"&gt;="&amp;G$9,Tree!$E:$E,"&lt;"&amp;G$8)/VLOOKUP($B$4,Stand!$C:$H,6,0)),IF($B$5="All",SUMIFS(Tree!$AE:$AE,Tree!$A:$A,$B$4,Tree!$D:$D,$A36,Tree!$F:$F,"L",Tree!$K:$K,"&lt;&gt;"&amp;"Y",Tree!$E:$E,"&gt;="&amp;G$9,Tree!$E:$E,"&lt;"&amp;G$8)/VLOOKUP($B$4,Stand!$C:$H,6,0),SUMIFS(Tree!$AE:$AE,Tree!$A:$A,$B$4,Tree!$B:$B,$B$5,Tree!$D:$D,$A36,Tree!$F:$F,"L",Tree!$K:$K,"&lt;&gt;"&amp;"Y",Tree!$E:$E,"&gt;="&amp;G$9,Tree!$E:$E,"&lt;"&amp;G$8)))</f>
        <v>#N/A</v>
      </c>
      <c r="H36" s="260" t="e">
        <f>IF($A36="Snag",IF($B$5="All",SUMIFS(Tree!$AE:$AE,Tree!$A:$A,$B$4,Tree!$F:$F,"D",Tree!$K:$K,"&lt;&gt;"&amp;"Y",Tree!$E:$E,"&gt;="&amp;H$9,Tree!$E:$E,"&lt;"&amp;H$8)/VLOOKUP($B$4,Stand!$C:$H,6,0),SUMIFS(Tree!$AE:$AE,Tree!$A:$A,$B$4,Tree!$B:$B,$B$5,Tree!$F:$F,"D",Tree!$K:$K,"&lt;&gt;"&amp;"Y",Tree!$E:$E,"&gt;="&amp;H$9,Tree!$E:$E,"&lt;"&amp;H$8)/VLOOKUP($B$4,Stand!$C:$H,6,0)),IF($B$5="All",SUMIFS(Tree!$AE:$AE,Tree!$A:$A,$B$4,Tree!$D:$D,$A36,Tree!$F:$F,"L",Tree!$K:$K,"&lt;&gt;"&amp;"Y",Tree!$E:$E,"&gt;="&amp;H$9,Tree!$E:$E,"&lt;"&amp;H$8)/VLOOKUP($B$4,Stand!$C:$H,6,0),SUMIFS(Tree!$AE:$AE,Tree!$A:$A,$B$4,Tree!$B:$B,$B$5,Tree!$D:$D,$A36,Tree!$F:$F,"L",Tree!$K:$K,"&lt;&gt;"&amp;"Y",Tree!$E:$E,"&gt;="&amp;H$9,Tree!$E:$E,"&lt;"&amp;H$8)))</f>
        <v>#N/A</v>
      </c>
      <c r="I36" s="260" t="e">
        <f>IF($A36="Snag",IF($B$5="All",SUMIFS(Tree!$AE:$AE,Tree!$A:$A,$B$4,Tree!$F:$F,"D",Tree!$K:$K,"&lt;&gt;"&amp;"Y",Tree!$E:$E,"&gt;="&amp;I$9,Tree!$E:$E,"&lt;"&amp;I$8)/VLOOKUP($B$4,Stand!$C:$H,6,0),SUMIFS(Tree!$AE:$AE,Tree!$A:$A,$B$4,Tree!$B:$B,$B$5,Tree!$F:$F,"D",Tree!$K:$K,"&lt;&gt;"&amp;"Y",Tree!$E:$E,"&gt;="&amp;I$9,Tree!$E:$E,"&lt;"&amp;I$8)/VLOOKUP($B$4,Stand!$C:$H,6,0)),IF($B$5="All",SUMIFS(Tree!$AE:$AE,Tree!$A:$A,$B$4,Tree!$D:$D,$A36,Tree!$F:$F,"L",Tree!$K:$K,"&lt;&gt;"&amp;"Y",Tree!$E:$E,"&gt;="&amp;I$9,Tree!$E:$E,"&lt;"&amp;I$8)/VLOOKUP($B$4,Stand!$C:$H,6,0),SUMIFS(Tree!$AE:$AE,Tree!$A:$A,$B$4,Tree!$B:$B,$B$5,Tree!$D:$D,$A36,Tree!$F:$F,"L",Tree!$K:$K,"&lt;&gt;"&amp;"Y",Tree!$E:$E,"&gt;="&amp;I$9,Tree!$E:$E,"&lt;"&amp;I$8)))</f>
        <v>#N/A</v>
      </c>
      <c r="J36" s="261" t="e">
        <f>IF($A36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36,Tree!$F:$F,"L",Tree!$K:$K,"&lt;&gt;"&amp;"Y",Tree!$E:$E,"&gt;="&amp;J$9)/VLOOKUP($B$4,Stand!$C:$H,6,0),SUMIFS(Tree!$AE:$AE,Tree!$A:$A,$B$4,Tree!$B:$B,$B$5,Tree!$D:$D,$A36,Tree!$F:$F,"L",Tree!$K:$K,"&lt;&gt;"&amp;"Y",Tree!$E:$E,"&gt;="&amp;J$9)))</f>
        <v>#N/A</v>
      </c>
      <c r="K36" s="266" t="e">
        <f t="shared" si="4"/>
        <v>#N/A</v>
      </c>
      <c r="S36" s="28"/>
      <c r="T36" s="28"/>
      <c r="U36" s="28"/>
      <c r="V36" s="28"/>
      <c r="X36" s="18"/>
    </row>
    <row r="37" spans="1:24" s="61" customFormat="1" ht="12.75" customHeight="1" x14ac:dyDescent="0.25">
      <c r="A37" s="255" t="str">
        <f t="shared" si="3"/>
        <v>GF</v>
      </c>
      <c r="B37" s="259" t="e">
        <f>IF($A37="Snag",IF($B$5="All",SUMIFS(Tree!$AE:$AE,Tree!$A:$A,$B$4,Tree!$F:$F,"D",Tree!$K:$K,"&lt;&gt;"&amp;"Y",Tree!$E:$E,"&gt;="&amp;B$9,Tree!$E:$E,"&lt;"&amp;B$8)/VLOOKUP($B$4,Stand!$C:$H,6,0),SUMIFS(Tree!$AE:$AE,Tree!$A:$A,$B$4,Tree!$B:$B,$B$5,Tree!$F:$F,"D",Tree!$K:$K,"&lt;&gt;"&amp;"Y",Tree!$E:$E,"&gt;="&amp;B$9,Tree!$E:$E,"&lt;"&amp;B$8)/VLOOKUP($B$4,Stand!$C:$H,6,0)),IF($B$5="All",SUMIFS(Tree!$AE:$AE,Tree!$A:$A,$B$4,Tree!$D:$D,$A37,Tree!$F:$F,"L",Tree!$K:$K,"&lt;&gt;"&amp;"Y",Tree!$E:$E,"&gt;="&amp;B$9,Tree!$E:$E,"&lt;"&amp;B$8)/VLOOKUP($B$4,Stand!$C:$H,6,0),SUMIFS(Tree!$AE:$AE,Tree!$A:$A,$B$4,Tree!$B:$B,$B$5,Tree!$D:$D,$A37,Tree!$F:$F,"L",Tree!$K:$K,"&lt;&gt;"&amp;"Y",Tree!$E:$E,"&gt;="&amp;B$9,Tree!$E:$E,"&lt;"&amp;B$8)))</f>
        <v>#N/A</v>
      </c>
      <c r="C37" s="260" t="e">
        <f>IF($A37="Snag",IF($B$5="All",SUMIFS(Tree!$AE:$AE,Tree!$A:$A,$B$4,Tree!$F:$F,"D",Tree!$K:$K,"&lt;&gt;"&amp;"Y",Tree!$E:$E,"&gt;="&amp;C$9,Tree!$E:$E,"&lt;"&amp;C$8)/VLOOKUP($B$4,Stand!$C:$H,6,0),SUMIFS(Tree!$AE:$AE,Tree!$A:$A,$B$4,Tree!$B:$B,$B$5,Tree!$F:$F,"D",Tree!$K:$K,"&lt;&gt;"&amp;"Y",Tree!$E:$E,"&gt;="&amp;C$9,Tree!$E:$E,"&lt;"&amp;C$8)/VLOOKUP($B$4,Stand!$C:$H,6,0)),IF($B$5="All",SUMIFS(Tree!$AE:$AE,Tree!$A:$A,$B$4,Tree!$D:$D,$A37,Tree!$F:$F,"L",Tree!$K:$K,"&lt;&gt;"&amp;"Y",Tree!$E:$E,"&gt;="&amp;C$9,Tree!$E:$E,"&lt;"&amp;C$8)/VLOOKUP($B$4,Stand!$C:$H,6,0),SUMIFS(Tree!$AE:$AE,Tree!$A:$A,$B$4,Tree!$B:$B,$B$5,Tree!$D:$D,$A37,Tree!$F:$F,"L",Tree!$K:$K,"&lt;&gt;"&amp;"Y",Tree!$E:$E,"&gt;="&amp;C$9,Tree!$E:$E,"&lt;"&amp;C$8)))</f>
        <v>#N/A</v>
      </c>
      <c r="D37" s="260" t="e">
        <f>IF($A37="Snag",IF($B$5="All",SUMIFS(Tree!$AE:$AE,Tree!$A:$A,$B$4,Tree!$F:$F,"D",Tree!$K:$K,"&lt;&gt;"&amp;"Y",Tree!$E:$E,"&gt;="&amp;D$9,Tree!$E:$E,"&lt;"&amp;D$8)/VLOOKUP($B$4,Stand!$C:$H,6,0),SUMIFS(Tree!$AE:$AE,Tree!$A:$A,$B$4,Tree!$B:$B,$B$5,Tree!$F:$F,"D",Tree!$K:$K,"&lt;&gt;"&amp;"Y",Tree!$E:$E,"&gt;="&amp;D$9,Tree!$E:$E,"&lt;"&amp;D$8)/VLOOKUP($B$4,Stand!$C:$H,6,0)),IF($B$5="All",SUMIFS(Tree!$AE:$AE,Tree!$A:$A,$B$4,Tree!$D:$D,$A37,Tree!$F:$F,"L",Tree!$K:$K,"&lt;&gt;"&amp;"Y",Tree!$E:$E,"&gt;="&amp;D$9,Tree!$E:$E,"&lt;"&amp;D$8)/VLOOKUP($B$4,Stand!$C:$H,6,0),SUMIFS(Tree!$AE:$AE,Tree!$A:$A,$B$4,Tree!$B:$B,$B$5,Tree!$D:$D,$A37,Tree!$F:$F,"L",Tree!$K:$K,"&lt;&gt;"&amp;"Y",Tree!$E:$E,"&gt;="&amp;D$9,Tree!$E:$E,"&lt;"&amp;D$8)))</f>
        <v>#N/A</v>
      </c>
      <c r="E37" s="260" t="e">
        <f>IF($A37="Snag",IF($B$5="All",SUMIFS(Tree!$AE:$AE,Tree!$A:$A,$B$4,Tree!$F:$F,"D",Tree!$K:$K,"&lt;&gt;"&amp;"Y",Tree!$E:$E,"&gt;="&amp;E$9,Tree!$E:$E,"&lt;"&amp;E$8)/VLOOKUP($B$4,Stand!$C:$H,6,0),SUMIFS(Tree!$AE:$AE,Tree!$A:$A,$B$4,Tree!$B:$B,$B$5,Tree!$F:$F,"D",Tree!$K:$K,"&lt;&gt;"&amp;"Y",Tree!$E:$E,"&gt;="&amp;E$9,Tree!$E:$E,"&lt;"&amp;E$8)/VLOOKUP($B$4,Stand!$C:$H,6,0)),IF($B$5="All",SUMIFS(Tree!$AE:$AE,Tree!$A:$A,$B$4,Tree!$D:$D,$A37,Tree!$F:$F,"L",Tree!$K:$K,"&lt;&gt;"&amp;"Y",Tree!$E:$E,"&gt;="&amp;E$9,Tree!$E:$E,"&lt;"&amp;E$8)/VLOOKUP($B$4,Stand!$C:$H,6,0),SUMIFS(Tree!$AE:$AE,Tree!$A:$A,$B$4,Tree!$B:$B,$B$5,Tree!$D:$D,$A37,Tree!$F:$F,"L",Tree!$K:$K,"&lt;&gt;"&amp;"Y",Tree!$E:$E,"&gt;="&amp;E$9,Tree!$E:$E,"&lt;"&amp;E$8)))</f>
        <v>#N/A</v>
      </c>
      <c r="F37" s="260" t="e">
        <f>IF($A37="Snag",IF($B$5="All",SUMIFS(Tree!$AE:$AE,Tree!$A:$A,$B$4,Tree!$F:$F,"D",Tree!$K:$K,"&lt;&gt;"&amp;"Y",Tree!$E:$E,"&gt;="&amp;F$9,Tree!$E:$E,"&lt;"&amp;F$8)/VLOOKUP($B$4,Stand!$C:$H,6,0),SUMIFS(Tree!$AE:$AE,Tree!$A:$A,$B$4,Tree!$B:$B,$B$5,Tree!$F:$F,"D",Tree!$K:$K,"&lt;&gt;"&amp;"Y",Tree!$E:$E,"&gt;="&amp;F$9,Tree!$E:$E,"&lt;"&amp;F$8)/VLOOKUP($B$4,Stand!$C:$H,6,0)),IF($B$5="All",SUMIFS(Tree!$AE:$AE,Tree!$A:$A,$B$4,Tree!$D:$D,$A37,Tree!$F:$F,"L",Tree!$K:$K,"&lt;&gt;"&amp;"Y",Tree!$E:$E,"&gt;="&amp;F$9,Tree!$E:$E,"&lt;"&amp;F$8)/VLOOKUP($B$4,Stand!$C:$H,6,0),SUMIFS(Tree!$AE:$AE,Tree!$A:$A,$B$4,Tree!$B:$B,$B$5,Tree!$D:$D,$A37,Tree!$F:$F,"L",Tree!$K:$K,"&lt;&gt;"&amp;"Y",Tree!$E:$E,"&gt;="&amp;F$9,Tree!$E:$E,"&lt;"&amp;F$8)))</f>
        <v>#N/A</v>
      </c>
      <c r="G37" s="260" t="e">
        <f>IF($A37="Snag",IF($B$5="All",SUMIFS(Tree!$AE:$AE,Tree!$A:$A,$B$4,Tree!$F:$F,"D",Tree!$K:$K,"&lt;&gt;"&amp;"Y",Tree!$E:$E,"&gt;="&amp;G$9,Tree!$E:$E,"&lt;"&amp;G$8)/VLOOKUP($B$4,Stand!$C:$H,6,0),SUMIFS(Tree!$AE:$AE,Tree!$A:$A,$B$4,Tree!$B:$B,$B$5,Tree!$F:$F,"D",Tree!$K:$K,"&lt;&gt;"&amp;"Y",Tree!$E:$E,"&gt;="&amp;G$9,Tree!$E:$E,"&lt;"&amp;G$8)/VLOOKUP($B$4,Stand!$C:$H,6,0)),IF($B$5="All",SUMIFS(Tree!$AE:$AE,Tree!$A:$A,$B$4,Tree!$D:$D,$A37,Tree!$F:$F,"L",Tree!$K:$K,"&lt;&gt;"&amp;"Y",Tree!$E:$E,"&gt;="&amp;G$9,Tree!$E:$E,"&lt;"&amp;G$8)/VLOOKUP($B$4,Stand!$C:$H,6,0),SUMIFS(Tree!$AE:$AE,Tree!$A:$A,$B$4,Tree!$B:$B,$B$5,Tree!$D:$D,$A37,Tree!$F:$F,"L",Tree!$K:$K,"&lt;&gt;"&amp;"Y",Tree!$E:$E,"&gt;="&amp;G$9,Tree!$E:$E,"&lt;"&amp;G$8)))</f>
        <v>#N/A</v>
      </c>
      <c r="H37" s="260" t="e">
        <f>IF($A37="Snag",IF($B$5="All",SUMIFS(Tree!$AE:$AE,Tree!$A:$A,$B$4,Tree!$F:$F,"D",Tree!$K:$K,"&lt;&gt;"&amp;"Y",Tree!$E:$E,"&gt;="&amp;H$9,Tree!$E:$E,"&lt;"&amp;H$8)/VLOOKUP($B$4,Stand!$C:$H,6,0),SUMIFS(Tree!$AE:$AE,Tree!$A:$A,$B$4,Tree!$B:$B,$B$5,Tree!$F:$F,"D",Tree!$K:$K,"&lt;&gt;"&amp;"Y",Tree!$E:$E,"&gt;="&amp;H$9,Tree!$E:$E,"&lt;"&amp;H$8)/VLOOKUP($B$4,Stand!$C:$H,6,0)),IF($B$5="All",SUMIFS(Tree!$AE:$AE,Tree!$A:$A,$B$4,Tree!$D:$D,$A37,Tree!$F:$F,"L",Tree!$K:$K,"&lt;&gt;"&amp;"Y",Tree!$E:$E,"&gt;="&amp;H$9,Tree!$E:$E,"&lt;"&amp;H$8)/VLOOKUP($B$4,Stand!$C:$H,6,0),SUMIFS(Tree!$AE:$AE,Tree!$A:$A,$B$4,Tree!$B:$B,$B$5,Tree!$D:$D,$A37,Tree!$F:$F,"L",Tree!$K:$K,"&lt;&gt;"&amp;"Y",Tree!$E:$E,"&gt;="&amp;H$9,Tree!$E:$E,"&lt;"&amp;H$8)))</f>
        <v>#N/A</v>
      </c>
      <c r="I37" s="260" t="e">
        <f>IF($A37="Snag",IF($B$5="All",SUMIFS(Tree!$AE:$AE,Tree!$A:$A,$B$4,Tree!$F:$F,"D",Tree!$K:$K,"&lt;&gt;"&amp;"Y",Tree!$E:$E,"&gt;="&amp;I$9,Tree!$E:$E,"&lt;"&amp;I$8)/VLOOKUP($B$4,Stand!$C:$H,6,0),SUMIFS(Tree!$AE:$AE,Tree!$A:$A,$B$4,Tree!$B:$B,$B$5,Tree!$F:$F,"D",Tree!$K:$K,"&lt;&gt;"&amp;"Y",Tree!$E:$E,"&gt;="&amp;I$9,Tree!$E:$E,"&lt;"&amp;I$8)/VLOOKUP($B$4,Stand!$C:$H,6,0)),IF($B$5="All",SUMIFS(Tree!$AE:$AE,Tree!$A:$A,$B$4,Tree!$D:$D,$A37,Tree!$F:$F,"L",Tree!$K:$K,"&lt;&gt;"&amp;"Y",Tree!$E:$E,"&gt;="&amp;I$9,Tree!$E:$E,"&lt;"&amp;I$8)/VLOOKUP($B$4,Stand!$C:$H,6,0),SUMIFS(Tree!$AE:$AE,Tree!$A:$A,$B$4,Tree!$B:$B,$B$5,Tree!$D:$D,$A37,Tree!$F:$F,"L",Tree!$K:$K,"&lt;&gt;"&amp;"Y",Tree!$E:$E,"&gt;="&amp;I$9,Tree!$E:$E,"&lt;"&amp;I$8)))</f>
        <v>#N/A</v>
      </c>
      <c r="J37" s="261" t="e">
        <f>IF($A37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37,Tree!$F:$F,"L",Tree!$K:$K,"&lt;&gt;"&amp;"Y",Tree!$E:$E,"&gt;="&amp;J$9)/VLOOKUP($B$4,Stand!$C:$H,6,0),SUMIFS(Tree!$AE:$AE,Tree!$A:$A,$B$4,Tree!$B:$B,$B$5,Tree!$D:$D,$A37,Tree!$F:$F,"L",Tree!$K:$K,"&lt;&gt;"&amp;"Y",Tree!$E:$E,"&gt;="&amp;J$9)))</f>
        <v>#N/A</v>
      </c>
      <c r="K37" s="266" t="e">
        <f t="shared" si="4"/>
        <v>#N/A</v>
      </c>
      <c r="S37" s="28"/>
      <c r="T37" s="28"/>
      <c r="U37" s="28"/>
      <c r="V37" s="28"/>
      <c r="X37" s="18"/>
    </row>
    <row r="38" spans="1:24" ht="12.75" customHeight="1" x14ac:dyDescent="0.25">
      <c r="A38" s="255" t="str">
        <f t="shared" si="3"/>
        <v>MD</v>
      </c>
      <c r="B38" s="259" t="e">
        <f>IF($A38="Snag",IF($B$5="All",SUMIFS(Tree!$AE:$AE,Tree!$A:$A,$B$4,Tree!$F:$F,"D",Tree!$K:$K,"&lt;&gt;"&amp;"Y",Tree!$E:$E,"&gt;="&amp;B$9,Tree!$E:$E,"&lt;"&amp;B$8)/VLOOKUP($B$4,Stand!$C:$H,6,0),SUMIFS(Tree!$AE:$AE,Tree!$A:$A,$B$4,Tree!$B:$B,$B$5,Tree!$F:$F,"D",Tree!$K:$K,"&lt;&gt;"&amp;"Y",Tree!$E:$E,"&gt;="&amp;B$9,Tree!$E:$E,"&lt;"&amp;B$8)/VLOOKUP($B$4,Stand!$C:$H,6,0)),IF($B$5="All",SUMIFS(Tree!$AE:$AE,Tree!$A:$A,$B$4,Tree!$D:$D,$A38,Tree!$F:$F,"L",Tree!$K:$K,"&lt;&gt;"&amp;"Y",Tree!$E:$E,"&gt;="&amp;B$9,Tree!$E:$E,"&lt;"&amp;B$8)/VLOOKUP($B$4,Stand!$C:$H,6,0),SUMIFS(Tree!$AE:$AE,Tree!$A:$A,$B$4,Tree!$B:$B,$B$5,Tree!$D:$D,$A38,Tree!$F:$F,"L",Tree!$K:$K,"&lt;&gt;"&amp;"Y",Tree!$E:$E,"&gt;="&amp;B$9,Tree!$E:$E,"&lt;"&amp;B$8)))</f>
        <v>#N/A</v>
      </c>
      <c r="C38" s="260" t="e">
        <f>IF($A38="Snag",IF($B$5="All",SUMIFS(Tree!$AE:$AE,Tree!$A:$A,$B$4,Tree!$F:$F,"D",Tree!$K:$K,"&lt;&gt;"&amp;"Y",Tree!$E:$E,"&gt;="&amp;C$9,Tree!$E:$E,"&lt;"&amp;C$8)/VLOOKUP($B$4,Stand!$C:$H,6,0),SUMIFS(Tree!$AE:$AE,Tree!$A:$A,$B$4,Tree!$B:$B,$B$5,Tree!$F:$F,"D",Tree!$K:$K,"&lt;&gt;"&amp;"Y",Tree!$E:$E,"&gt;="&amp;C$9,Tree!$E:$E,"&lt;"&amp;C$8)/VLOOKUP($B$4,Stand!$C:$H,6,0)),IF($B$5="All",SUMIFS(Tree!$AE:$AE,Tree!$A:$A,$B$4,Tree!$D:$D,$A38,Tree!$F:$F,"L",Tree!$K:$K,"&lt;&gt;"&amp;"Y",Tree!$E:$E,"&gt;="&amp;C$9,Tree!$E:$E,"&lt;"&amp;C$8)/VLOOKUP($B$4,Stand!$C:$H,6,0),SUMIFS(Tree!$AE:$AE,Tree!$A:$A,$B$4,Tree!$B:$B,$B$5,Tree!$D:$D,$A38,Tree!$F:$F,"L",Tree!$K:$K,"&lt;&gt;"&amp;"Y",Tree!$E:$E,"&gt;="&amp;C$9,Tree!$E:$E,"&lt;"&amp;C$8)))</f>
        <v>#N/A</v>
      </c>
      <c r="D38" s="260" t="e">
        <f>IF($A38="Snag",IF($B$5="All",SUMIFS(Tree!$AE:$AE,Tree!$A:$A,$B$4,Tree!$F:$F,"D",Tree!$K:$K,"&lt;&gt;"&amp;"Y",Tree!$E:$E,"&gt;="&amp;D$9,Tree!$E:$E,"&lt;"&amp;D$8)/VLOOKUP($B$4,Stand!$C:$H,6,0),SUMIFS(Tree!$AE:$AE,Tree!$A:$A,$B$4,Tree!$B:$B,$B$5,Tree!$F:$F,"D",Tree!$K:$K,"&lt;&gt;"&amp;"Y",Tree!$E:$E,"&gt;="&amp;D$9,Tree!$E:$E,"&lt;"&amp;D$8)/VLOOKUP($B$4,Stand!$C:$H,6,0)),IF($B$5="All",SUMIFS(Tree!$AE:$AE,Tree!$A:$A,$B$4,Tree!$D:$D,$A38,Tree!$F:$F,"L",Tree!$K:$K,"&lt;&gt;"&amp;"Y",Tree!$E:$E,"&gt;="&amp;D$9,Tree!$E:$E,"&lt;"&amp;D$8)/VLOOKUP($B$4,Stand!$C:$H,6,0),SUMIFS(Tree!$AE:$AE,Tree!$A:$A,$B$4,Tree!$B:$B,$B$5,Tree!$D:$D,$A38,Tree!$F:$F,"L",Tree!$K:$K,"&lt;&gt;"&amp;"Y",Tree!$E:$E,"&gt;="&amp;D$9,Tree!$E:$E,"&lt;"&amp;D$8)))</f>
        <v>#N/A</v>
      </c>
      <c r="E38" s="260" t="e">
        <f>IF($A38="Snag",IF($B$5="All",SUMIFS(Tree!$AE:$AE,Tree!$A:$A,$B$4,Tree!$F:$F,"D",Tree!$K:$K,"&lt;&gt;"&amp;"Y",Tree!$E:$E,"&gt;="&amp;E$9,Tree!$E:$E,"&lt;"&amp;E$8)/VLOOKUP($B$4,Stand!$C:$H,6,0),SUMIFS(Tree!$AE:$AE,Tree!$A:$A,$B$4,Tree!$B:$B,$B$5,Tree!$F:$F,"D",Tree!$K:$K,"&lt;&gt;"&amp;"Y",Tree!$E:$E,"&gt;="&amp;E$9,Tree!$E:$E,"&lt;"&amp;E$8)/VLOOKUP($B$4,Stand!$C:$H,6,0)),IF($B$5="All",SUMIFS(Tree!$AE:$AE,Tree!$A:$A,$B$4,Tree!$D:$D,$A38,Tree!$F:$F,"L",Tree!$K:$K,"&lt;&gt;"&amp;"Y",Tree!$E:$E,"&gt;="&amp;E$9,Tree!$E:$E,"&lt;"&amp;E$8)/VLOOKUP($B$4,Stand!$C:$H,6,0),SUMIFS(Tree!$AE:$AE,Tree!$A:$A,$B$4,Tree!$B:$B,$B$5,Tree!$D:$D,$A38,Tree!$F:$F,"L",Tree!$K:$K,"&lt;&gt;"&amp;"Y",Tree!$E:$E,"&gt;="&amp;E$9,Tree!$E:$E,"&lt;"&amp;E$8)))</f>
        <v>#N/A</v>
      </c>
      <c r="F38" s="260" t="e">
        <f>IF($A38="Snag",IF($B$5="All",SUMIFS(Tree!$AE:$AE,Tree!$A:$A,$B$4,Tree!$F:$F,"D",Tree!$K:$K,"&lt;&gt;"&amp;"Y",Tree!$E:$E,"&gt;="&amp;F$9,Tree!$E:$E,"&lt;"&amp;F$8)/VLOOKUP($B$4,Stand!$C:$H,6,0),SUMIFS(Tree!$AE:$AE,Tree!$A:$A,$B$4,Tree!$B:$B,$B$5,Tree!$F:$F,"D",Tree!$K:$K,"&lt;&gt;"&amp;"Y",Tree!$E:$E,"&gt;="&amp;F$9,Tree!$E:$E,"&lt;"&amp;F$8)/VLOOKUP($B$4,Stand!$C:$H,6,0)),IF($B$5="All",SUMIFS(Tree!$AE:$AE,Tree!$A:$A,$B$4,Tree!$D:$D,$A38,Tree!$F:$F,"L",Tree!$K:$K,"&lt;&gt;"&amp;"Y",Tree!$E:$E,"&gt;="&amp;F$9,Tree!$E:$E,"&lt;"&amp;F$8)/VLOOKUP($B$4,Stand!$C:$H,6,0),SUMIFS(Tree!$AE:$AE,Tree!$A:$A,$B$4,Tree!$B:$B,$B$5,Tree!$D:$D,$A38,Tree!$F:$F,"L",Tree!$K:$K,"&lt;&gt;"&amp;"Y",Tree!$E:$E,"&gt;="&amp;F$9,Tree!$E:$E,"&lt;"&amp;F$8)))</f>
        <v>#N/A</v>
      </c>
      <c r="G38" s="260" t="e">
        <f>IF($A38="Snag",IF($B$5="All",SUMIFS(Tree!$AE:$AE,Tree!$A:$A,$B$4,Tree!$F:$F,"D",Tree!$K:$K,"&lt;&gt;"&amp;"Y",Tree!$E:$E,"&gt;="&amp;G$9,Tree!$E:$E,"&lt;"&amp;G$8)/VLOOKUP($B$4,Stand!$C:$H,6,0),SUMIFS(Tree!$AE:$AE,Tree!$A:$A,$B$4,Tree!$B:$B,$B$5,Tree!$F:$F,"D",Tree!$K:$K,"&lt;&gt;"&amp;"Y",Tree!$E:$E,"&gt;="&amp;G$9,Tree!$E:$E,"&lt;"&amp;G$8)/VLOOKUP($B$4,Stand!$C:$H,6,0)),IF($B$5="All",SUMIFS(Tree!$AE:$AE,Tree!$A:$A,$B$4,Tree!$D:$D,$A38,Tree!$F:$F,"L",Tree!$K:$K,"&lt;&gt;"&amp;"Y",Tree!$E:$E,"&gt;="&amp;G$9,Tree!$E:$E,"&lt;"&amp;G$8)/VLOOKUP($B$4,Stand!$C:$H,6,0),SUMIFS(Tree!$AE:$AE,Tree!$A:$A,$B$4,Tree!$B:$B,$B$5,Tree!$D:$D,$A38,Tree!$F:$F,"L",Tree!$K:$K,"&lt;&gt;"&amp;"Y",Tree!$E:$E,"&gt;="&amp;G$9,Tree!$E:$E,"&lt;"&amp;G$8)))</f>
        <v>#N/A</v>
      </c>
      <c r="H38" s="260" t="e">
        <f>IF($A38="Snag",IF($B$5="All",SUMIFS(Tree!$AE:$AE,Tree!$A:$A,$B$4,Tree!$F:$F,"D",Tree!$K:$K,"&lt;&gt;"&amp;"Y",Tree!$E:$E,"&gt;="&amp;H$9,Tree!$E:$E,"&lt;"&amp;H$8)/VLOOKUP($B$4,Stand!$C:$H,6,0),SUMIFS(Tree!$AE:$AE,Tree!$A:$A,$B$4,Tree!$B:$B,$B$5,Tree!$F:$F,"D",Tree!$K:$K,"&lt;&gt;"&amp;"Y",Tree!$E:$E,"&gt;="&amp;H$9,Tree!$E:$E,"&lt;"&amp;H$8)/VLOOKUP($B$4,Stand!$C:$H,6,0)),IF($B$5="All",SUMIFS(Tree!$AE:$AE,Tree!$A:$A,$B$4,Tree!$D:$D,$A38,Tree!$F:$F,"L",Tree!$K:$K,"&lt;&gt;"&amp;"Y",Tree!$E:$E,"&gt;="&amp;H$9,Tree!$E:$E,"&lt;"&amp;H$8)/VLOOKUP($B$4,Stand!$C:$H,6,0),SUMIFS(Tree!$AE:$AE,Tree!$A:$A,$B$4,Tree!$B:$B,$B$5,Tree!$D:$D,$A38,Tree!$F:$F,"L",Tree!$K:$K,"&lt;&gt;"&amp;"Y",Tree!$E:$E,"&gt;="&amp;H$9,Tree!$E:$E,"&lt;"&amp;H$8)))</f>
        <v>#N/A</v>
      </c>
      <c r="I38" s="260" t="e">
        <f>IF($A38="Snag",IF($B$5="All",SUMIFS(Tree!$AE:$AE,Tree!$A:$A,$B$4,Tree!$F:$F,"D",Tree!$K:$K,"&lt;&gt;"&amp;"Y",Tree!$E:$E,"&gt;="&amp;I$9,Tree!$E:$E,"&lt;"&amp;I$8)/VLOOKUP($B$4,Stand!$C:$H,6,0),SUMIFS(Tree!$AE:$AE,Tree!$A:$A,$B$4,Tree!$B:$B,$B$5,Tree!$F:$F,"D",Tree!$K:$K,"&lt;&gt;"&amp;"Y",Tree!$E:$E,"&gt;="&amp;I$9,Tree!$E:$E,"&lt;"&amp;I$8)/VLOOKUP($B$4,Stand!$C:$H,6,0)),IF($B$5="All",SUMIFS(Tree!$AE:$AE,Tree!$A:$A,$B$4,Tree!$D:$D,$A38,Tree!$F:$F,"L",Tree!$K:$K,"&lt;&gt;"&amp;"Y",Tree!$E:$E,"&gt;="&amp;I$9,Tree!$E:$E,"&lt;"&amp;I$8)/VLOOKUP($B$4,Stand!$C:$H,6,0),SUMIFS(Tree!$AE:$AE,Tree!$A:$A,$B$4,Tree!$B:$B,$B$5,Tree!$D:$D,$A38,Tree!$F:$F,"L",Tree!$K:$K,"&lt;&gt;"&amp;"Y",Tree!$E:$E,"&gt;="&amp;I$9,Tree!$E:$E,"&lt;"&amp;I$8)))</f>
        <v>#N/A</v>
      </c>
      <c r="J38" s="261" t="e">
        <f>IF($A38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38,Tree!$F:$F,"L",Tree!$K:$K,"&lt;&gt;"&amp;"Y",Tree!$E:$E,"&gt;="&amp;J$9)/VLOOKUP($B$4,Stand!$C:$H,6,0),SUMIFS(Tree!$AE:$AE,Tree!$A:$A,$B$4,Tree!$B:$B,$B$5,Tree!$D:$D,$A38,Tree!$F:$F,"L",Tree!$K:$K,"&lt;&gt;"&amp;"Y",Tree!$E:$E,"&gt;="&amp;J$9)))</f>
        <v>#N/A</v>
      </c>
      <c r="K38" s="266" t="e">
        <f t="shared" si="4"/>
        <v>#N/A</v>
      </c>
      <c r="S38" s="28"/>
      <c r="T38" s="28"/>
      <c r="U38" s="28"/>
      <c r="V38" s="28"/>
      <c r="X38" s="18"/>
    </row>
    <row r="39" spans="1:24" s="31" customFormat="1" ht="12.75" customHeight="1" x14ac:dyDescent="0.25">
      <c r="A39" s="94" t="s">
        <v>173</v>
      </c>
      <c r="B39" s="259" t="e">
        <f t="shared" ref="B39:I39" si="5">B41-SUM(B30:B38)</f>
        <v>#N/A</v>
      </c>
      <c r="C39" s="260" t="e">
        <f t="shared" si="5"/>
        <v>#N/A</v>
      </c>
      <c r="D39" s="260" t="e">
        <f t="shared" si="5"/>
        <v>#N/A</v>
      </c>
      <c r="E39" s="260" t="e">
        <f t="shared" si="5"/>
        <v>#N/A</v>
      </c>
      <c r="F39" s="260" t="e">
        <f t="shared" si="5"/>
        <v>#N/A</v>
      </c>
      <c r="G39" s="260" t="e">
        <f t="shared" si="5"/>
        <v>#N/A</v>
      </c>
      <c r="H39" s="260" t="e">
        <f t="shared" si="5"/>
        <v>#N/A</v>
      </c>
      <c r="I39" s="260" t="e">
        <f t="shared" si="5"/>
        <v>#N/A</v>
      </c>
      <c r="J39" s="261" t="e">
        <f>IF($A39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39,Tree!$F:$F,"L",Tree!$K:$K,"&lt;&gt;"&amp;"Y",Tree!$E:$E,"&gt;="&amp;J$9)/VLOOKUP($B$4,Stand!$C:$H,6,0),SUMIFS(Tree!$AE:$AE,Tree!$A:$A,$B$4,Tree!$B:$B,$B$5,Tree!$D:$D,$A39,Tree!$F:$F,"L",Tree!$K:$K,"&lt;&gt;"&amp;"Y",Tree!$E:$E,"&gt;="&amp;J$9)))</f>
        <v>#N/A</v>
      </c>
      <c r="K39" s="266" t="e">
        <f t="shared" si="4"/>
        <v>#N/A</v>
      </c>
      <c r="S39" s="28"/>
      <c r="T39" s="28"/>
      <c r="U39" s="28"/>
      <c r="V39" s="28"/>
      <c r="X39" s="18"/>
    </row>
    <row r="40" spans="1:24" ht="15" customHeight="1" thickBot="1" x14ac:dyDescent="0.3">
      <c r="A40" s="95" t="s">
        <v>79</v>
      </c>
      <c r="B40" s="262" t="e">
        <f>IF($A40="Snag",IF($B$5="All",SUMIFS(Tree!$AE:$AE,Tree!$A:$A,$B$4,Tree!$F:$F,"D",Tree!$K:$K,"&lt;&gt;"&amp;"Y",Tree!$E:$E,"&gt;="&amp;B$9,Tree!$E:$E,"&lt;"&amp;B$8)/VLOOKUP($B$4,Stand!$C:$H,6,0),SUMIFS(Tree!$AE:$AE,Tree!$A:$A,$B$4,Tree!$B:$B,$B$5,Tree!$F:$F,"D",Tree!$K:$K,"&lt;&gt;"&amp;"Y",Tree!$E:$E,"&gt;="&amp;B$9,Tree!$E:$E,"&lt;"&amp;B$8)/VLOOKUP($B$4,Stand!$C:$H,6,0)),IF($B$5="All",SUMIFS(Tree!$AE:$AE,Tree!$A:$A,$B$4,Tree!$D:$D,$A40,Tree!$F:$F,"L",Tree!$K:$K,"&lt;&gt;"&amp;"Y",Tree!$E:$E,"&gt;="&amp;B$9,Tree!$E:$E,"&lt;"&amp;B$8)/VLOOKUP($B$4,Stand!$C:$H,6,0),SUMIFS(Tree!$AE:$AE,Tree!$A:$A,$B$4,Tree!$B:$B,$B$5,Tree!$D:$D,$A40,Tree!$F:$F,"L",Tree!$K:$K,"&lt;&gt;"&amp;"Y",Tree!$E:$E,"&gt;="&amp;B$9,Tree!$E:$E,"&lt;"&amp;B$8)))</f>
        <v>#N/A</v>
      </c>
      <c r="C40" s="263" t="e">
        <f>IF($A40="Snag",IF($B$5="All",SUMIFS(Tree!$AE:$AE,Tree!$A:$A,$B$4,Tree!$F:$F,"D",Tree!$K:$K,"&lt;&gt;"&amp;"Y",Tree!$E:$E,"&gt;="&amp;C$9,Tree!$E:$E,"&lt;"&amp;C$8)/VLOOKUP($B$4,Stand!$C:$H,6,0),SUMIFS(Tree!$AE:$AE,Tree!$A:$A,$B$4,Tree!$B:$B,$B$5,Tree!$F:$F,"D",Tree!$K:$K,"&lt;&gt;"&amp;"Y",Tree!$E:$E,"&gt;="&amp;C$9,Tree!$E:$E,"&lt;"&amp;C$8)/VLOOKUP($B$4,Stand!$C:$H,6,0)),IF($B$5="All",SUMIFS(Tree!$AE:$AE,Tree!$A:$A,$B$4,Tree!$D:$D,$A40,Tree!$F:$F,"L",Tree!$K:$K,"&lt;&gt;"&amp;"Y",Tree!$E:$E,"&gt;="&amp;C$9,Tree!$E:$E,"&lt;"&amp;C$8)/VLOOKUP($B$4,Stand!$C:$H,6,0),SUMIFS(Tree!$AE:$AE,Tree!$A:$A,$B$4,Tree!$B:$B,$B$5,Tree!$D:$D,$A40,Tree!$F:$F,"L",Tree!$K:$K,"&lt;&gt;"&amp;"Y",Tree!$E:$E,"&gt;="&amp;C$9,Tree!$E:$E,"&lt;"&amp;C$8)))</f>
        <v>#N/A</v>
      </c>
      <c r="D40" s="263" t="e">
        <f>IF($A40="Snag",IF($B$5="All",SUMIFS(Tree!$AE:$AE,Tree!$A:$A,$B$4,Tree!$F:$F,"D",Tree!$K:$K,"&lt;&gt;"&amp;"Y",Tree!$E:$E,"&gt;="&amp;D$9,Tree!$E:$E,"&lt;"&amp;D$8)/VLOOKUP($B$4,Stand!$C:$H,6,0),SUMIFS(Tree!$AE:$AE,Tree!$A:$A,$B$4,Tree!$B:$B,$B$5,Tree!$F:$F,"D",Tree!$K:$K,"&lt;&gt;"&amp;"Y",Tree!$E:$E,"&gt;="&amp;D$9,Tree!$E:$E,"&lt;"&amp;D$8)/VLOOKUP($B$4,Stand!$C:$H,6,0)),IF($B$5="All",SUMIFS(Tree!$AE:$AE,Tree!$A:$A,$B$4,Tree!$D:$D,$A40,Tree!$F:$F,"L",Tree!$K:$K,"&lt;&gt;"&amp;"Y",Tree!$E:$E,"&gt;="&amp;D$9,Tree!$E:$E,"&lt;"&amp;D$8)/VLOOKUP($B$4,Stand!$C:$H,6,0),SUMIFS(Tree!$AE:$AE,Tree!$A:$A,$B$4,Tree!$B:$B,$B$5,Tree!$D:$D,$A40,Tree!$F:$F,"L",Tree!$K:$K,"&lt;&gt;"&amp;"Y",Tree!$E:$E,"&gt;="&amp;D$9,Tree!$E:$E,"&lt;"&amp;D$8)))</f>
        <v>#N/A</v>
      </c>
      <c r="E40" s="263" t="e">
        <f>IF($A40="Snag",IF($B$5="All",SUMIFS(Tree!$AE:$AE,Tree!$A:$A,$B$4,Tree!$F:$F,"D",Tree!$K:$K,"&lt;&gt;"&amp;"Y",Tree!$E:$E,"&gt;="&amp;E$9,Tree!$E:$E,"&lt;"&amp;E$8)/VLOOKUP($B$4,Stand!$C:$H,6,0),SUMIFS(Tree!$AE:$AE,Tree!$A:$A,$B$4,Tree!$B:$B,$B$5,Tree!$F:$F,"D",Tree!$K:$K,"&lt;&gt;"&amp;"Y",Tree!$E:$E,"&gt;="&amp;E$9,Tree!$E:$E,"&lt;"&amp;E$8)/VLOOKUP($B$4,Stand!$C:$H,6,0)),IF($B$5="All",SUMIFS(Tree!$AE:$AE,Tree!$A:$A,$B$4,Tree!$D:$D,$A40,Tree!$F:$F,"L",Tree!$K:$K,"&lt;&gt;"&amp;"Y",Tree!$E:$E,"&gt;="&amp;E$9,Tree!$E:$E,"&lt;"&amp;E$8)/VLOOKUP($B$4,Stand!$C:$H,6,0),SUMIFS(Tree!$AE:$AE,Tree!$A:$A,$B$4,Tree!$B:$B,$B$5,Tree!$D:$D,$A40,Tree!$F:$F,"L",Tree!$K:$K,"&lt;&gt;"&amp;"Y",Tree!$E:$E,"&gt;="&amp;E$9,Tree!$E:$E,"&lt;"&amp;E$8)))</f>
        <v>#N/A</v>
      </c>
      <c r="F40" s="263" t="e">
        <f>IF($A40="Snag",IF($B$5="All",SUMIFS(Tree!$AE:$AE,Tree!$A:$A,$B$4,Tree!$F:$F,"D",Tree!$K:$K,"&lt;&gt;"&amp;"Y",Tree!$E:$E,"&gt;="&amp;F$9,Tree!$E:$E,"&lt;"&amp;F$8)/VLOOKUP($B$4,Stand!$C:$H,6,0),SUMIFS(Tree!$AE:$AE,Tree!$A:$A,$B$4,Tree!$B:$B,$B$5,Tree!$F:$F,"D",Tree!$K:$K,"&lt;&gt;"&amp;"Y",Tree!$E:$E,"&gt;="&amp;F$9,Tree!$E:$E,"&lt;"&amp;F$8)/VLOOKUP($B$4,Stand!$C:$H,6,0)),IF($B$5="All",SUMIFS(Tree!$AE:$AE,Tree!$A:$A,$B$4,Tree!$D:$D,$A40,Tree!$F:$F,"L",Tree!$K:$K,"&lt;&gt;"&amp;"Y",Tree!$E:$E,"&gt;="&amp;F$9,Tree!$E:$E,"&lt;"&amp;F$8)/VLOOKUP($B$4,Stand!$C:$H,6,0),SUMIFS(Tree!$AE:$AE,Tree!$A:$A,$B$4,Tree!$B:$B,$B$5,Tree!$D:$D,$A40,Tree!$F:$F,"L",Tree!$K:$K,"&lt;&gt;"&amp;"Y",Tree!$E:$E,"&gt;="&amp;F$9,Tree!$E:$E,"&lt;"&amp;F$8)))</f>
        <v>#N/A</v>
      </c>
      <c r="G40" s="263" t="e">
        <f>IF($A40="Snag",IF($B$5="All",SUMIFS(Tree!$AE:$AE,Tree!$A:$A,$B$4,Tree!$F:$F,"D",Tree!$K:$K,"&lt;&gt;"&amp;"Y",Tree!$E:$E,"&gt;="&amp;G$9,Tree!$E:$E,"&lt;"&amp;G$8)/VLOOKUP($B$4,Stand!$C:$H,6,0),SUMIFS(Tree!$AE:$AE,Tree!$A:$A,$B$4,Tree!$B:$B,$B$5,Tree!$F:$F,"D",Tree!$K:$K,"&lt;&gt;"&amp;"Y",Tree!$E:$E,"&gt;="&amp;G$9,Tree!$E:$E,"&lt;"&amp;G$8)/VLOOKUP($B$4,Stand!$C:$H,6,0)),IF($B$5="All",SUMIFS(Tree!$AE:$AE,Tree!$A:$A,$B$4,Tree!$D:$D,$A40,Tree!$F:$F,"L",Tree!$K:$K,"&lt;&gt;"&amp;"Y",Tree!$E:$E,"&gt;="&amp;G$9,Tree!$E:$E,"&lt;"&amp;G$8)/VLOOKUP($B$4,Stand!$C:$H,6,0),SUMIFS(Tree!$AE:$AE,Tree!$A:$A,$B$4,Tree!$B:$B,$B$5,Tree!$D:$D,$A40,Tree!$F:$F,"L",Tree!$K:$K,"&lt;&gt;"&amp;"Y",Tree!$E:$E,"&gt;="&amp;G$9,Tree!$E:$E,"&lt;"&amp;G$8)))</f>
        <v>#N/A</v>
      </c>
      <c r="H40" s="263" t="e">
        <f>IF($A40="Snag",IF($B$5="All",SUMIFS(Tree!$AE:$AE,Tree!$A:$A,$B$4,Tree!$F:$F,"D",Tree!$K:$K,"&lt;&gt;"&amp;"Y",Tree!$E:$E,"&gt;="&amp;H$9,Tree!$E:$E,"&lt;"&amp;H$8)/VLOOKUP($B$4,Stand!$C:$H,6,0),SUMIFS(Tree!$AE:$AE,Tree!$A:$A,$B$4,Tree!$B:$B,$B$5,Tree!$F:$F,"D",Tree!$K:$K,"&lt;&gt;"&amp;"Y",Tree!$E:$E,"&gt;="&amp;H$9,Tree!$E:$E,"&lt;"&amp;H$8)/VLOOKUP($B$4,Stand!$C:$H,6,0)),IF($B$5="All",SUMIFS(Tree!$AE:$AE,Tree!$A:$A,$B$4,Tree!$D:$D,$A40,Tree!$F:$F,"L",Tree!$K:$K,"&lt;&gt;"&amp;"Y",Tree!$E:$E,"&gt;="&amp;H$9,Tree!$E:$E,"&lt;"&amp;H$8)/VLOOKUP($B$4,Stand!$C:$H,6,0),SUMIFS(Tree!$AE:$AE,Tree!$A:$A,$B$4,Tree!$B:$B,$B$5,Tree!$D:$D,$A40,Tree!$F:$F,"L",Tree!$K:$K,"&lt;&gt;"&amp;"Y",Tree!$E:$E,"&gt;="&amp;H$9,Tree!$E:$E,"&lt;"&amp;H$8)))</f>
        <v>#N/A</v>
      </c>
      <c r="I40" s="263" t="e">
        <f>IF($A40="Snag",IF($B$5="All",SUMIFS(Tree!$AE:$AE,Tree!$A:$A,$B$4,Tree!$F:$F,"D",Tree!$K:$K,"&lt;&gt;"&amp;"Y",Tree!$E:$E,"&gt;="&amp;I$9,Tree!$E:$E,"&lt;"&amp;I$8)/VLOOKUP($B$4,Stand!$C:$H,6,0),SUMIFS(Tree!$AE:$AE,Tree!$A:$A,$B$4,Tree!$B:$B,$B$5,Tree!$F:$F,"D",Tree!$K:$K,"&lt;&gt;"&amp;"Y",Tree!$E:$E,"&gt;="&amp;I$9,Tree!$E:$E,"&lt;"&amp;I$8)/VLOOKUP($B$4,Stand!$C:$H,6,0)),IF($B$5="All",SUMIFS(Tree!$AE:$AE,Tree!$A:$A,$B$4,Tree!$D:$D,$A40,Tree!$F:$F,"L",Tree!$K:$K,"&lt;&gt;"&amp;"Y",Tree!$E:$E,"&gt;="&amp;I$9,Tree!$E:$E,"&lt;"&amp;I$8)/VLOOKUP($B$4,Stand!$C:$H,6,0),SUMIFS(Tree!$AE:$AE,Tree!$A:$A,$B$4,Tree!$B:$B,$B$5,Tree!$D:$D,$A40,Tree!$F:$F,"L",Tree!$K:$K,"&lt;&gt;"&amp;"Y",Tree!$E:$E,"&gt;="&amp;I$9,Tree!$E:$E,"&lt;"&amp;I$8)))</f>
        <v>#N/A</v>
      </c>
      <c r="J40" s="264" t="e">
        <f>IF($A40="Snag",IF($B$5="All",SUMIFS(Tree!$AE:$AE,Tree!$A:$A,$B$4,Tree!$F:$F,"D",Tree!$K:$K,"&lt;&gt;"&amp;"Y",Tree!$E:$E,"&gt;="&amp;J$9)/VLOOKUP($B$4,Stand!$C:$H,6,0),SUMIFS(Tree!$AE:$AE,Tree!$A:$A,$B$4,Tree!$B:$B,$B$5,Tree!$F:$F,"D",Tree!$K:$K,"&lt;&gt;"&amp;"Y",Tree!$E:$E,"&gt;="&amp;J$9)/VLOOKUP($B$4,Stand!$C:$H,6,0)),IF($B$5="All",SUMIFS(Tree!$AE:$AE,Tree!$A:$A,$B$4,Tree!$D:$D,$A40,Tree!$F:$F,"L",Tree!$K:$K,"&lt;&gt;"&amp;"Y",Tree!$E:$E,"&gt;="&amp;J$9)/VLOOKUP($B$4,Stand!$C:$H,6,0),SUMIFS(Tree!$AE:$AE,Tree!$A:$A,$B$4,Tree!$B:$B,$B$5,Tree!$D:$D,$A40,Tree!$F:$F,"L",Tree!$K:$K,"&lt;&gt;"&amp;"Y",Tree!$E:$E,"&gt;="&amp;J$9)))</f>
        <v>#N/A</v>
      </c>
      <c r="K40" s="267" t="e">
        <f t="shared" si="4"/>
        <v>#N/A</v>
      </c>
      <c r="S40" s="28"/>
      <c r="T40" s="28"/>
      <c r="U40" s="28"/>
      <c r="V40" s="28"/>
      <c r="X40" s="61"/>
    </row>
    <row r="41" spans="1:24" ht="15" customHeight="1" thickBot="1" x14ac:dyDescent="0.3">
      <c r="A41" s="243" t="s">
        <v>169</v>
      </c>
      <c r="B41" s="268" t="e">
        <f>IF($B$5="All",SUMIFS(Tree!$AE:$AE,Tree!$A:$A,$B$4,Tree!$F:$F,"L",Tree!$K:$K,"&lt;&gt;"&amp;"Y",Tree!$E:$E,"&gt;="&amp;B$9,Tree!$E:$E,"&lt;"&amp;B$8)/VLOOKUP($B$4,Stand!$C:$H,6,0),SUMIFS(Tree!$AE:$AE,Tree!$A:$A,$B$4,Tree!$B:$B,$B$5,Tree!$F:$F,"L",Tree!$K:$K,"&lt;&gt;"&amp;"Y",Tree!$E:$E,"&gt;="&amp;B$9,Tree!$E:$E,"&lt;"&amp;B$8))</f>
        <v>#N/A</v>
      </c>
      <c r="C41" s="269" t="e">
        <f>IF($B$5="All",SUMIFS(Tree!$AE:$AE,Tree!$A:$A,$B$4,Tree!$F:$F,"L",Tree!$K:$K,"&lt;&gt;"&amp;"Y",Tree!$E:$E,"&gt;="&amp;C$9,Tree!$E:$E,"&lt;"&amp;C$8)/VLOOKUP($B$4,Stand!$C:$H,6,0),SUMIFS(Tree!$AE:$AE,Tree!$A:$A,$B$4,Tree!$B:$B,$B$5,Tree!$F:$F,"L",Tree!$K:$K,"&lt;&gt;"&amp;"Y",Tree!$E:$E,"&gt;="&amp;C$9,Tree!$E:$E,"&lt;"&amp;C$8))</f>
        <v>#N/A</v>
      </c>
      <c r="D41" s="269" t="e">
        <f>IF($B$5="All",SUMIFS(Tree!$AE:$AE,Tree!$A:$A,$B$4,Tree!$F:$F,"L",Tree!$K:$K,"&lt;&gt;"&amp;"Y",Tree!$E:$E,"&gt;="&amp;D$9,Tree!$E:$E,"&lt;"&amp;D$8)/VLOOKUP($B$4,Stand!$C:$H,6,0),SUMIFS(Tree!$AE:$AE,Tree!$A:$A,$B$4,Tree!$B:$B,$B$5,Tree!$F:$F,"L",Tree!$K:$K,"&lt;&gt;"&amp;"Y",Tree!$E:$E,"&gt;="&amp;D$9,Tree!$E:$E,"&lt;"&amp;D$8))</f>
        <v>#N/A</v>
      </c>
      <c r="E41" s="269" t="e">
        <f>IF($B$5="All",SUMIFS(Tree!$AE:$AE,Tree!$A:$A,$B$4,Tree!$F:$F,"L",Tree!$K:$K,"&lt;&gt;"&amp;"Y",Tree!$E:$E,"&gt;="&amp;E$9,Tree!$E:$E,"&lt;"&amp;E$8)/VLOOKUP($B$4,Stand!$C:$H,6,0),SUMIFS(Tree!$AE:$AE,Tree!$A:$A,$B$4,Tree!$B:$B,$B$5,Tree!$F:$F,"L",Tree!$K:$K,"&lt;&gt;"&amp;"Y",Tree!$E:$E,"&gt;="&amp;E$9,Tree!$E:$E,"&lt;"&amp;E$8))</f>
        <v>#N/A</v>
      </c>
      <c r="F41" s="269" t="e">
        <f>IF($B$5="All",SUMIFS(Tree!$AE:$AE,Tree!$A:$A,$B$4,Tree!$F:$F,"L",Tree!$K:$K,"&lt;&gt;"&amp;"Y",Tree!$E:$E,"&gt;="&amp;F$9,Tree!$E:$E,"&lt;"&amp;F$8)/VLOOKUP($B$4,Stand!$C:$H,6,0),SUMIFS(Tree!$AE:$AE,Tree!$A:$A,$B$4,Tree!$B:$B,$B$5,Tree!$F:$F,"L",Tree!$K:$K,"&lt;&gt;"&amp;"Y",Tree!$E:$E,"&gt;="&amp;F$9,Tree!$E:$E,"&lt;"&amp;F$8))</f>
        <v>#N/A</v>
      </c>
      <c r="G41" s="269" t="e">
        <f>IF($B$5="All",SUMIFS(Tree!$AE:$AE,Tree!$A:$A,$B$4,Tree!$F:$F,"L",Tree!$K:$K,"&lt;&gt;"&amp;"Y",Tree!$E:$E,"&gt;="&amp;G$9,Tree!$E:$E,"&lt;"&amp;G$8)/VLOOKUP($B$4,Stand!$C:$H,6,0),SUMIFS(Tree!$AE:$AE,Tree!$A:$A,$B$4,Tree!$B:$B,$B$5,Tree!$F:$F,"L",Tree!$K:$K,"&lt;&gt;"&amp;"Y",Tree!$E:$E,"&gt;="&amp;G$9,Tree!$E:$E,"&lt;"&amp;G$8))</f>
        <v>#N/A</v>
      </c>
      <c r="H41" s="269" t="e">
        <f>IF($B$5="All",SUMIFS(Tree!$AE:$AE,Tree!$A:$A,$B$4,Tree!$F:$F,"L",Tree!$K:$K,"&lt;&gt;"&amp;"Y",Tree!$E:$E,"&gt;="&amp;H$9,Tree!$E:$E,"&lt;"&amp;H$8)/VLOOKUP($B$4,Stand!$C:$H,6,0),SUMIFS(Tree!$AE:$AE,Tree!$A:$A,$B$4,Tree!$B:$B,$B$5,Tree!$F:$F,"L",Tree!$K:$K,"&lt;&gt;"&amp;"Y",Tree!$E:$E,"&gt;="&amp;H$9,Tree!$E:$E,"&lt;"&amp;H$8))</f>
        <v>#N/A</v>
      </c>
      <c r="I41" s="269" t="e">
        <f>IF($B$5="All",SUMIFS(Tree!$AE:$AE,Tree!$A:$A,$B$4,Tree!$F:$F,"L",Tree!$K:$K,"&lt;&gt;"&amp;"Y",Tree!$E:$E,"&gt;="&amp;I$9,Tree!$E:$E,"&lt;"&amp;I$8)/VLOOKUP($B$4,Stand!$C:$H,6,0),SUMIFS(Tree!$AE:$AE,Tree!$A:$A,$B$4,Tree!$B:$B,$B$5,Tree!$F:$F,"L",Tree!$K:$K,"&lt;&gt;"&amp;"Y",Tree!$E:$E,"&gt;="&amp;I$9,Tree!$E:$E,"&lt;"&amp;I$8))</f>
        <v>#N/A</v>
      </c>
      <c r="J41" s="270" t="e">
        <f>IF($B$5="All",SUMIFS(Tree!$AE:$AE,Tree!$A:$A,$B$4,Tree!$F:$F,"L",Tree!$K:$K,"&lt;&gt;"&amp;"Y",Tree!$E:$E,"&gt;="&amp;J$9)/VLOOKUP($B$4,Stand!$C:$H,6,0),SUMIFS(Tree!$AE:$AE,Tree!$A:$A,$B$4,Tree!$B:$B,$B$5,Tree!$F:$F,"L",Tree!$K:$K,"&lt;&gt;"&amp;"Y",Tree!$E:$E,"&gt;="&amp;J$9))</f>
        <v>#N/A</v>
      </c>
      <c r="K41" s="271"/>
    </row>
    <row r="43" spans="1:24" ht="15" customHeight="1" x14ac:dyDescent="0.2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</row>
    <row r="44" spans="1:24" ht="15" customHeight="1" x14ac:dyDescent="0.25">
      <c r="E44" s="61"/>
      <c r="F44" s="61"/>
    </row>
    <row r="45" spans="1:24" s="61" customFormat="1" ht="15" customHeight="1" x14ac:dyDescent="0.25">
      <c r="A45" s="628" t="s">
        <v>222</v>
      </c>
      <c r="B45" s="628"/>
      <c r="C45" s="628"/>
      <c r="D45" s="628"/>
      <c r="E45" s="628"/>
      <c r="F45" s="628"/>
    </row>
    <row r="46" spans="1:24" s="61" customFormat="1" ht="15" customHeight="1" x14ac:dyDescent="0.25">
      <c r="A46" s="628"/>
      <c r="B46" s="628"/>
      <c r="C46" s="628"/>
      <c r="D46" s="628"/>
      <c r="E46" s="628"/>
      <c r="F46" s="628"/>
    </row>
    <row r="47" spans="1:24" s="61" customFormat="1" ht="15" customHeight="1" x14ac:dyDescent="0.25"/>
    <row r="48" spans="1:24" ht="15" customHeight="1" thickBot="1" x14ac:dyDescent="0.3">
      <c r="A48" s="87" t="s">
        <v>160</v>
      </c>
      <c r="B48" s="23">
        <v>5</v>
      </c>
      <c r="C48" s="23">
        <v>10</v>
      </c>
      <c r="D48" s="23">
        <v>15</v>
      </c>
      <c r="E48" s="23">
        <v>20</v>
      </c>
      <c r="F48" s="23">
        <v>25</v>
      </c>
      <c r="G48" s="23">
        <v>30</v>
      </c>
      <c r="H48" s="23">
        <v>35</v>
      </c>
      <c r="I48" s="23">
        <v>40</v>
      </c>
      <c r="J48" s="23"/>
      <c r="K48" s="24"/>
    </row>
    <row r="49" spans="1:11" ht="15" customHeight="1" thickBot="1" x14ac:dyDescent="0.3">
      <c r="A49" s="96" t="s">
        <v>161</v>
      </c>
      <c r="B49" s="88">
        <v>0</v>
      </c>
      <c r="C49" s="88">
        <v>5</v>
      </c>
      <c r="D49" s="88">
        <v>10</v>
      </c>
      <c r="E49" s="88">
        <v>15</v>
      </c>
      <c r="F49" s="88">
        <v>20</v>
      </c>
      <c r="G49" s="88">
        <v>25</v>
      </c>
      <c r="H49" s="88">
        <v>30</v>
      </c>
      <c r="I49" s="88">
        <v>35</v>
      </c>
      <c r="J49" s="88">
        <v>40</v>
      </c>
      <c r="K49" s="89" t="s">
        <v>95</v>
      </c>
    </row>
    <row r="50" spans="1:11" ht="15" customHeight="1" x14ac:dyDescent="0.25">
      <c r="A50" s="254" t="str">
        <f t="shared" ref="A50:A58" si="6">IF(A30="","",A30)</f>
        <v>DF</v>
      </c>
      <c r="B50" s="257" t="e">
        <f>IF($A50="Snag",IF($B$5="All",SUMIFS(Tree!$AW:$AW,Tree!$A:$A,$B$4,Tree!$F:$F,"D",Tree!$K:$K,"&lt;&gt;"&amp;"Y",Tree!$E:$E,"&gt;="&amp;B$9,Tree!$E:$E,"&lt;"&amp;B$8)/VLOOKUP($B$4,Stand!$C:$H,6,0),SUMIFS(Tree!$AW:$AW,Tree!$A:$A,$B$4,Tree!$B:$B,$B$5,Tree!$F:$F,"D",Tree!$K:$K,"&lt;&gt;"&amp;"Y",Tree!$E:$E,"&gt;="&amp;B$9,Tree!$E:$E,"&lt;"&amp;B$8)/VLOOKUP($B$4,Stand!$C:$H,6,0)),IF($B$5="All",SUMIFS(Tree!$AW:$AW,Tree!$A:$A,$B$4,Tree!$D:$D,$A50,Tree!$F:$F,"L",Tree!$K:$K,"&lt;&gt;"&amp;"Y",Tree!$E:$E,"&gt;="&amp;B$9,Tree!$E:$E,"&lt;"&amp;B$8)/VLOOKUP($B$4,Stand!$C:$H,6,0),SUMIFS(Tree!$AW:$AW,Tree!$A:$A,$B$4,Tree!$B:$B,$B$5,Tree!$D:$D,$A50,Tree!$F:$F,"L",Tree!$K:$K,"&lt;&gt;"&amp;"Y",Tree!$E:$E,"&gt;="&amp;B$9,Tree!$E:$E,"&lt;"&amp;B$8)))/1000</f>
        <v>#N/A</v>
      </c>
      <c r="C50" s="256" t="e">
        <f>IF($A50="Snag",IF($B$5="All",SUMIFS(Tree!$AW:$AW,Tree!$A:$A,$B$4,Tree!$F:$F,"D",Tree!$K:$K,"&lt;&gt;"&amp;"Y",Tree!$E:$E,"&gt;="&amp;C$9,Tree!$E:$E,"&lt;"&amp;C$8)/VLOOKUP($B$4,Stand!$C:$H,6,0),SUMIFS(Tree!$AW:$AW,Tree!$A:$A,$B$4,Tree!$B:$B,$B$5,Tree!$F:$F,"D",Tree!$K:$K,"&lt;&gt;"&amp;"Y",Tree!$E:$E,"&gt;="&amp;C$9,Tree!$E:$E,"&lt;"&amp;C$8)/VLOOKUP($B$4,Stand!$C:$H,6,0)),IF($B$5="All",SUMIFS(Tree!$AW:$AW,Tree!$A:$A,$B$4,Tree!$D:$D,$A50,Tree!$F:$F,"L",Tree!$K:$K,"&lt;&gt;"&amp;"Y",Tree!$E:$E,"&gt;="&amp;C$9,Tree!$E:$E,"&lt;"&amp;C$8)/VLOOKUP($B$4,Stand!$C:$H,6,0),SUMIFS(Tree!$AW:$AW,Tree!$A:$A,$B$4,Tree!$B:$B,$B$5,Tree!$D:$D,$A50,Tree!$F:$F,"L",Tree!$K:$K,"&lt;&gt;"&amp;"Y",Tree!$E:$E,"&gt;="&amp;C$9,Tree!$E:$E,"&lt;"&amp;C$8)))/1000</f>
        <v>#N/A</v>
      </c>
      <c r="D50" s="256" t="e">
        <f>IF($A50="Snag",IF($B$5="All",SUMIFS(Tree!$AW:$AW,Tree!$A:$A,$B$4,Tree!$F:$F,"D",Tree!$K:$K,"&lt;&gt;"&amp;"Y",Tree!$E:$E,"&gt;="&amp;D$9,Tree!$E:$E,"&lt;"&amp;D$8)/VLOOKUP($B$4,Stand!$C:$H,6,0),SUMIFS(Tree!$AW:$AW,Tree!$A:$A,$B$4,Tree!$B:$B,$B$5,Tree!$F:$F,"D",Tree!$K:$K,"&lt;&gt;"&amp;"Y",Tree!$E:$E,"&gt;="&amp;D$9,Tree!$E:$E,"&lt;"&amp;D$8)/VLOOKUP($B$4,Stand!$C:$H,6,0)),IF($B$5="All",SUMIFS(Tree!$AW:$AW,Tree!$A:$A,$B$4,Tree!$D:$D,$A50,Tree!$F:$F,"L",Tree!$K:$K,"&lt;&gt;"&amp;"Y",Tree!$E:$E,"&gt;="&amp;D$9,Tree!$E:$E,"&lt;"&amp;D$8)/VLOOKUP($B$4,Stand!$C:$H,6,0),SUMIFS(Tree!$AW:$AW,Tree!$A:$A,$B$4,Tree!$B:$B,$B$5,Tree!$D:$D,$A50,Tree!$F:$F,"L",Tree!$K:$K,"&lt;&gt;"&amp;"Y",Tree!$E:$E,"&gt;="&amp;D$9,Tree!$E:$E,"&lt;"&amp;D$8)))/1000</f>
        <v>#N/A</v>
      </c>
      <c r="E50" s="256" t="e">
        <f>IF($A50="Snag",IF($B$5="All",SUMIFS(Tree!$AW:$AW,Tree!$A:$A,$B$4,Tree!$F:$F,"D",Tree!$K:$K,"&lt;&gt;"&amp;"Y",Tree!$E:$E,"&gt;="&amp;E$9,Tree!$E:$E,"&lt;"&amp;E$8)/VLOOKUP($B$4,Stand!$C:$H,6,0),SUMIFS(Tree!$AW:$AW,Tree!$A:$A,$B$4,Tree!$B:$B,$B$5,Tree!$F:$F,"D",Tree!$K:$K,"&lt;&gt;"&amp;"Y",Tree!$E:$E,"&gt;="&amp;E$9,Tree!$E:$E,"&lt;"&amp;E$8)/VLOOKUP($B$4,Stand!$C:$H,6,0)),IF($B$5="All",SUMIFS(Tree!$AW:$AW,Tree!$A:$A,$B$4,Tree!$D:$D,$A50,Tree!$F:$F,"L",Tree!$K:$K,"&lt;&gt;"&amp;"Y",Tree!$E:$E,"&gt;="&amp;E$9,Tree!$E:$E,"&lt;"&amp;E$8)/VLOOKUP($B$4,Stand!$C:$H,6,0),SUMIFS(Tree!$AW:$AW,Tree!$A:$A,$B$4,Tree!$B:$B,$B$5,Tree!$D:$D,$A50,Tree!$F:$F,"L",Tree!$K:$K,"&lt;&gt;"&amp;"Y",Tree!$E:$E,"&gt;="&amp;E$9,Tree!$E:$E,"&lt;"&amp;E$8)))/1000</f>
        <v>#N/A</v>
      </c>
      <c r="F50" s="256" t="e">
        <f>IF($A50="Snag",IF($B$5="All",SUMIFS(Tree!$AW:$AW,Tree!$A:$A,$B$4,Tree!$F:$F,"D",Tree!$K:$K,"&lt;&gt;"&amp;"Y",Tree!$E:$E,"&gt;="&amp;F$9,Tree!$E:$E,"&lt;"&amp;F$8)/VLOOKUP($B$4,Stand!$C:$H,6,0),SUMIFS(Tree!$AW:$AW,Tree!$A:$A,$B$4,Tree!$B:$B,$B$5,Tree!$F:$F,"D",Tree!$K:$K,"&lt;&gt;"&amp;"Y",Tree!$E:$E,"&gt;="&amp;F$9,Tree!$E:$E,"&lt;"&amp;F$8)/VLOOKUP($B$4,Stand!$C:$H,6,0)),IF($B$5="All",SUMIFS(Tree!$AW:$AW,Tree!$A:$A,$B$4,Tree!$D:$D,$A50,Tree!$F:$F,"L",Tree!$K:$K,"&lt;&gt;"&amp;"Y",Tree!$E:$E,"&gt;="&amp;F$9,Tree!$E:$E,"&lt;"&amp;F$8)/VLOOKUP($B$4,Stand!$C:$H,6,0),SUMIFS(Tree!$AW:$AW,Tree!$A:$A,$B$4,Tree!$B:$B,$B$5,Tree!$D:$D,$A50,Tree!$F:$F,"L",Tree!$K:$K,"&lt;&gt;"&amp;"Y",Tree!$E:$E,"&gt;="&amp;F$9,Tree!$E:$E,"&lt;"&amp;F$8)))/1000</f>
        <v>#N/A</v>
      </c>
      <c r="G50" s="256" t="e">
        <f>IF($A50="Snag",IF($B$5="All",SUMIFS(Tree!$AW:$AW,Tree!$A:$A,$B$4,Tree!$F:$F,"D",Tree!$K:$K,"&lt;&gt;"&amp;"Y",Tree!$E:$E,"&gt;="&amp;G$9,Tree!$E:$E,"&lt;"&amp;G$8)/VLOOKUP($B$4,Stand!$C:$H,6,0),SUMIFS(Tree!$AW:$AW,Tree!$A:$A,$B$4,Tree!$B:$B,$B$5,Tree!$F:$F,"D",Tree!$K:$K,"&lt;&gt;"&amp;"Y",Tree!$E:$E,"&gt;="&amp;G$9,Tree!$E:$E,"&lt;"&amp;G$8)/VLOOKUP($B$4,Stand!$C:$H,6,0)),IF($B$5="All",SUMIFS(Tree!$AW:$AW,Tree!$A:$A,$B$4,Tree!$D:$D,$A50,Tree!$F:$F,"L",Tree!$K:$K,"&lt;&gt;"&amp;"Y",Tree!$E:$E,"&gt;="&amp;G$9,Tree!$E:$E,"&lt;"&amp;G$8)/VLOOKUP($B$4,Stand!$C:$H,6,0),SUMIFS(Tree!$AW:$AW,Tree!$A:$A,$B$4,Tree!$B:$B,$B$5,Tree!$D:$D,$A50,Tree!$F:$F,"L",Tree!$K:$K,"&lt;&gt;"&amp;"Y",Tree!$E:$E,"&gt;="&amp;G$9,Tree!$E:$E,"&lt;"&amp;G$8)))/1000</f>
        <v>#N/A</v>
      </c>
      <c r="H50" s="256" t="e">
        <f>IF($A50="Snag",IF($B$5="All",SUMIFS(Tree!$AW:$AW,Tree!$A:$A,$B$4,Tree!$F:$F,"D",Tree!$K:$K,"&lt;&gt;"&amp;"Y",Tree!$E:$E,"&gt;="&amp;H$9,Tree!$E:$E,"&lt;"&amp;H$8)/VLOOKUP($B$4,Stand!$C:$H,6,0),SUMIFS(Tree!$AW:$AW,Tree!$A:$A,$B$4,Tree!$B:$B,$B$5,Tree!$F:$F,"D",Tree!$K:$K,"&lt;&gt;"&amp;"Y",Tree!$E:$E,"&gt;="&amp;H$9,Tree!$E:$E,"&lt;"&amp;H$8)/VLOOKUP($B$4,Stand!$C:$H,6,0)),IF($B$5="All",SUMIFS(Tree!$AW:$AW,Tree!$A:$A,$B$4,Tree!$D:$D,$A50,Tree!$F:$F,"L",Tree!$K:$K,"&lt;&gt;"&amp;"Y",Tree!$E:$E,"&gt;="&amp;H$9,Tree!$E:$E,"&lt;"&amp;H$8)/VLOOKUP($B$4,Stand!$C:$H,6,0),SUMIFS(Tree!$AW:$AW,Tree!$A:$A,$B$4,Tree!$B:$B,$B$5,Tree!$D:$D,$A50,Tree!$F:$F,"L",Tree!$K:$K,"&lt;&gt;"&amp;"Y",Tree!$E:$E,"&gt;="&amp;H$9,Tree!$E:$E,"&lt;"&amp;H$8)))/1000</f>
        <v>#N/A</v>
      </c>
      <c r="I50" s="256" t="e">
        <f>IF($A50="Snag",IF($B$5="All",SUMIFS(Tree!$AW:$AW,Tree!$A:$A,$B$4,Tree!$F:$F,"D",Tree!$K:$K,"&lt;&gt;"&amp;"Y",Tree!$E:$E,"&gt;="&amp;I$9,Tree!$E:$E,"&lt;"&amp;I$8)/VLOOKUP($B$4,Stand!$C:$H,6,0),SUMIFS(Tree!$AW:$AW,Tree!$A:$A,$B$4,Tree!$B:$B,$B$5,Tree!$F:$F,"D",Tree!$K:$K,"&lt;&gt;"&amp;"Y",Tree!$E:$E,"&gt;="&amp;I$9,Tree!$E:$E,"&lt;"&amp;I$8)/VLOOKUP($B$4,Stand!$C:$H,6,0)),IF($B$5="All",SUMIFS(Tree!$AW:$AW,Tree!$A:$A,$B$4,Tree!$D:$D,$A50,Tree!$F:$F,"L",Tree!$K:$K,"&lt;&gt;"&amp;"Y",Tree!$E:$E,"&gt;="&amp;I$9,Tree!$E:$E,"&lt;"&amp;I$8)/VLOOKUP($B$4,Stand!$C:$H,6,0),SUMIFS(Tree!$AW:$AW,Tree!$A:$A,$B$4,Tree!$B:$B,$B$5,Tree!$D:$D,$A50,Tree!$F:$F,"L",Tree!$K:$K,"&lt;&gt;"&amp;"Y",Tree!$E:$E,"&gt;="&amp;I$9,Tree!$E:$E,"&lt;"&amp;I$8)))/1000</f>
        <v>#N/A</v>
      </c>
      <c r="J50" s="258" t="e">
        <f>IF($A50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50,Tree!$F:$F,"L",Tree!$K:$K,"&lt;&gt;"&amp;"Y",Tree!$E:$E,"&gt;="&amp;J$9)/VLOOKUP($B$4,Stand!$C:$H,6,0),SUMIFS(Tree!$AW:$AW,Tree!$A:$A,$B$4,Tree!$B:$B,$B$5,Tree!$D:$D,$A50,Tree!$F:$F,"L",Tree!$K:$K,"&lt;&gt;"&amp;"Y",Tree!$E:$E,"&gt;="&amp;J$9)))/1000</f>
        <v>#N/A</v>
      </c>
      <c r="K50" s="265" t="e">
        <f>SUM(B50:J50)</f>
        <v>#N/A</v>
      </c>
    </row>
    <row r="51" spans="1:11" ht="15" customHeight="1" x14ac:dyDescent="0.25">
      <c r="A51" s="255" t="str">
        <f t="shared" si="6"/>
        <v>BM</v>
      </c>
      <c r="B51" s="259" t="e">
        <f>IF($A51="Snag",IF($B$5="All",SUMIFS(Tree!$AW:$AW,Tree!$A:$A,$B$4,Tree!$F:$F,"D",Tree!$K:$K,"&lt;&gt;"&amp;"Y",Tree!$E:$E,"&gt;="&amp;B$9,Tree!$E:$E,"&lt;"&amp;B$8)/VLOOKUP($B$4,Stand!$C:$H,6,0),SUMIFS(Tree!$AW:$AW,Tree!$A:$A,$B$4,Tree!$B:$B,$B$5,Tree!$F:$F,"D",Tree!$K:$K,"&lt;&gt;"&amp;"Y",Tree!$E:$E,"&gt;="&amp;B$9,Tree!$E:$E,"&lt;"&amp;B$8)/VLOOKUP($B$4,Stand!$C:$H,6,0)),IF($B$5="All",SUMIFS(Tree!$AW:$AW,Tree!$A:$A,$B$4,Tree!$D:$D,$A51,Tree!$F:$F,"L",Tree!$K:$K,"&lt;&gt;"&amp;"Y",Tree!$E:$E,"&gt;="&amp;B$9,Tree!$E:$E,"&lt;"&amp;B$8)/VLOOKUP($B$4,Stand!$C:$H,6,0),SUMIFS(Tree!$AW:$AW,Tree!$A:$A,$B$4,Tree!$B:$B,$B$5,Tree!$D:$D,$A51,Tree!$F:$F,"L",Tree!$K:$K,"&lt;&gt;"&amp;"Y",Tree!$E:$E,"&gt;="&amp;B$9,Tree!$E:$E,"&lt;"&amp;B$8)))/1000</f>
        <v>#N/A</v>
      </c>
      <c r="C51" s="260" t="e">
        <f>IF($A51="Snag",IF($B$5="All",SUMIFS(Tree!$AW:$AW,Tree!$A:$A,$B$4,Tree!$F:$F,"D",Tree!$K:$K,"&lt;&gt;"&amp;"Y",Tree!$E:$E,"&gt;="&amp;C$9,Tree!$E:$E,"&lt;"&amp;C$8)/VLOOKUP($B$4,Stand!$C:$H,6,0),SUMIFS(Tree!$AW:$AW,Tree!$A:$A,$B$4,Tree!$B:$B,$B$5,Tree!$F:$F,"D",Tree!$K:$K,"&lt;&gt;"&amp;"Y",Tree!$E:$E,"&gt;="&amp;C$9,Tree!$E:$E,"&lt;"&amp;C$8)/VLOOKUP($B$4,Stand!$C:$H,6,0)),IF($B$5="All",SUMIFS(Tree!$AW:$AW,Tree!$A:$A,$B$4,Tree!$D:$D,$A51,Tree!$F:$F,"L",Tree!$K:$K,"&lt;&gt;"&amp;"Y",Tree!$E:$E,"&gt;="&amp;C$9,Tree!$E:$E,"&lt;"&amp;C$8)/VLOOKUP($B$4,Stand!$C:$H,6,0),SUMIFS(Tree!$AW:$AW,Tree!$A:$A,$B$4,Tree!$B:$B,$B$5,Tree!$D:$D,$A51,Tree!$F:$F,"L",Tree!$K:$K,"&lt;&gt;"&amp;"Y",Tree!$E:$E,"&gt;="&amp;C$9,Tree!$E:$E,"&lt;"&amp;C$8)))/1000</f>
        <v>#N/A</v>
      </c>
      <c r="D51" s="260" t="e">
        <f>IF($A51="Snag",IF($B$5="All",SUMIFS(Tree!$AW:$AW,Tree!$A:$A,$B$4,Tree!$F:$F,"D",Tree!$K:$K,"&lt;&gt;"&amp;"Y",Tree!$E:$E,"&gt;="&amp;D$9,Tree!$E:$E,"&lt;"&amp;D$8)/VLOOKUP($B$4,Stand!$C:$H,6,0),SUMIFS(Tree!$AW:$AW,Tree!$A:$A,$B$4,Tree!$B:$B,$B$5,Tree!$F:$F,"D",Tree!$K:$K,"&lt;&gt;"&amp;"Y",Tree!$E:$E,"&gt;="&amp;D$9,Tree!$E:$E,"&lt;"&amp;D$8)/VLOOKUP($B$4,Stand!$C:$H,6,0)),IF($B$5="All",SUMIFS(Tree!$AW:$AW,Tree!$A:$A,$B$4,Tree!$D:$D,$A51,Tree!$F:$F,"L",Tree!$K:$K,"&lt;&gt;"&amp;"Y",Tree!$E:$E,"&gt;="&amp;D$9,Tree!$E:$E,"&lt;"&amp;D$8)/VLOOKUP($B$4,Stand!$C:$H,6,0),SUMIFS(Tree!$AW:$AW,Tree!$A:$A,$B$4,Tree!$B:$B,$B$5,Tree!$D:$D,$A51,Tree!$F:$F,"L",Tree!$K:$K,"&lt;&gt;"&amp;"Y",Tree!$E:$E,"&gt;="&amp;D$9,Tree!$E:$E,"&lt;"&amp;D$8)))/1000</f>
        <v>#N/A</v>
      </c>
      <c r="E51" s="260" t="e">
        <f>IF($A51="Snag",IF($B$5="All",SUMIFS(Tree!$AW:$AW,Tree!$A:$A,$B$4,Tree!$F:$F,"D",Tree!$K:$K,"&lt;&gt;"&amp;"Y",Tree!$E:$E,"&gt;="&amp;E$9,Tree!$E:$E,"&lt;"&amp;E$8)/VLOOKUP($B$4,Stand!$C:$H,6,0),SUMIFS(Tree!$AW:$AW,Tree!$A:$A,$B$4,Tree!$B:$B,$B$5,Tree!$F:$F,"D",Tree!$K:$K,"&lt;&gt;"&amp;"Y",Tree!$E:$E,"&gt;="&amp;E$9,Tree!$E:$E,"&lt;"&amp;E$8)/VLOOKUP($B$4,Stand!$C:$H,6,0)),IF($B$5="All",SUMIFS(Tree!$AW:$AW,Tree!$A:$A,$B$4,Tree!$D:$D,$A51,Tree!$F:$F,"L",Tree!$K:$K,"&lt;&gt;"&amp;"Y",Tree!$E:$E,"&gt;="&amp;E$9,Tree!$E:$E,"&lt;"&amp;E$8)/VLOOKUP($B$4,Stand!$C:$H,6,0),SUMIFS(Tree!$AW:$AW,Tree!$A:$A,$B$4,Tree!$B:$B,$B$5,Tree!$D:$D,$A51,Tree!$F:$F,"L",Tree!$K:$K,"&lt;&gt;"&amp;"Y",Tree!$E:$E,"&gt;="&amp;E$9,Tree!$E:$E,"&lt;"&amp;E$8)))/1000</f>
        <v>#N/A</v>
      </c>
      <c r="F51" s="260" t="e">
        <f>IF($A51="Snag",IF($B$5="All",SUMIFS(Tree!$AW:$AW,Tree!$A:$A,$B$4,Tree!$F:$F,"D",Tree!$K:$K,"&lt;&gt;"&amp;"Y",Tree!$E:$E,"&gt;="&amp;F$9,Tree!$E:$E,"&lt;"&amp;F$8)/VLOOKUP($B$4,Stand!$C:$H,6,0),SUMIFS(Tree!$AW:$AW,Tree!$A:$A,$B$4,Tree!$B:$B,$B$5,Tree!$F:$F,"D",Tree!$K:$K,"&lt;&gt;"&amp;"Y",Tree!$E:$E,"&gt;="&amp;F$9,Tree!$E:$E,"&lt;"&amp;F$8)/VLOOKUP($B$4,Stand!$C:$H,6,0)),IF($B$5="All",SUMIFS(Tree!$AW:$AW,Tree!$A:$A,$B$4,Tree!$D:$D,$A51,Tree!$F:$F,"L",Tree!$K:$K,"&lt;&gt;"&amp;"Y",Tree!$E:$E,"&gt;="&amp;F$9,Tree!$E:$E,"&lt;"&amp;F$8)/VLOOKUP($B$4,Stand!$C:$H,6,0),SUMIFS(Tree!$AW:$AW,Tree!$A:$A,$B$4,Tree!$B:$B,$B$5,Tree!$D:$D,$A51,Tree!$F:$F,"L",Tree!$K:$K,"&lt;&gt;"&amp;"Y",Tree!$E:$E,"&gt;="&amp;F$9,Tree!$E:$E,"&lt;"&amp;F$8)))/1000</f>
        <v>#N/A</v>
      </c>
      <c r="G51" s="260" t="e">
        <f>IF($A51="Snag",IF($B$5="All",SUMIFS(Tree!$AW:$AW,Tree!$A:$A,$B$4,Tree!$F:$F,"D",Tree!$K:$K,"&lt;&gt;"&amp;"Y",Tree!$E:$E,"&gt;="&amp;G$9,Tree!$E:$E,"&lt;"&amp;G$8)/VLOOKUP($B$4,Stand!$C:$H,6,0),SUMIFS(Tree!$AW:$AW,Tree!$A:$A,$B$4,Tree!$B:$B,$B$5,Tree!$F:$F,"D",Tree!$K:$K,"&lt;&gt;"&amp;"Y",Tree!$E:$E,"&gt;="&amp;G$9,Tree!$E:$E,"&lt;"&amp;G$8)/VLOOKUP($B$4,Stand!$C:$H,6,0)),IF($B$5="All",SUMIFS(Tree!$AW:$AW,Tree!$A:$A,$B$4,Tree!$D:$D,$A51,Tree!$F:$F,"L",Tree!$K:$K,"&lt;&gt;"&amp;"Y",Tree!$E:$E,"&gt;="&amp;G$9,Tree!$E:$E,"&lt;"&amp;G$8)/VLOOKUP($B$4,Stand!$C:$H,6,0),SUMIFS(Tree!$AW:$AW,Tree!$A:$A,$B$4,Tree!$B:$B,$B$5,Tree!$D:$D,$A51,Tree!$F:$F,"L",Tree!$K:$K,"&lt;&gt;"&amp;"Y",Tree!$E:$E,"&gt;="&amp;G$9,Tree!$E:$E,"&lt;"&amp;G$8)))/1000</f>
        <v>#N/A</v>
      </c>
      <c r="H51" s="260" t="e">
        <f>IF($A51="Snag",IF($B$5="All",SUMIFS(Tree!$AW:$AW,Tree!$A:$A,$B$4,Tree!$F:$F,"D",Tree!$K:$K,"&lt;&gt;"&amp;"Y",Tree!$E:$E,"&gt;="&amp;H$9,Tree!$E:$E,"&lt;"&amp;H$8)/VLOOKUP($B$4,Stand!$C:$H,6,0),SUMIFS(Tree!$AW:$AW,Tree!$A:$A,$B$4,Tree!$B:$B,$B$5,Tree!$F:$F,"D",Tree!$K:$K,"&lt;&gt;"&amp;"Y",Tree!$E:$E,"&gt;="&amp;H$9,Tree!$E:$E,"&lt;"&amp;H$8)/VLOOKUP($B$4,Stand!$C:$H,6,0)),IF($B$5="All",SUMIFS(Tree!$AW:$AW,Tree!$A:$A,$B$4,Tree!$D:$D,$A51,Tree!$F:$F,"L",Tree!$K:$K,"&lt;&gt;"&amp;"Y",Tree!$E:$E,"&gt;="&amp;H$9,Tree!$E:$E,"&lt;"&amp;H$8)/VLOOKUP($B$4,Stand!$C:$H,6,0),SUMIFS(Tree!$AW:$AW,Tree!$A:$A,$B$4,Tree!$B:$B,$B$5,Tree!$D:$D,$A51,Tree!$F:$F,"L",Tree!$K:$K,"&lt;&gt;"&amp;"Y",Tree!$E:$E,"&gt;="&amp;H$9,Tree!$E:$E,"&lt;"&amp;H$8)))/1000</f>
        <v>#N/A</v>
      </c>
      <c r="I51" s="260" t="e">
        <f>IF($A51="Snag",IF($B$5="All",SUMIFS(Tree!$AW:$AW,Tree!$A:$A,$B$4,Tree!$F:$F,"D",Tree!$K:$K,"&lt;&gt;"&amp;"Y",Tree!$E:$E,"&gt;="&amp;I$9,Tree!$E:$E,"&lt;"&amp;I$8)/VLOOKUP($B$4,Stand!$C:$H,6,0),SUMIFS(Tree!$AW:$AW,Tree!$A:$A,$B$4,Tree!$B:$B,$B$5,Tree!$F:$F,"D",Tree!$K:$K,"&lt;&gt;"&amp;"Y",Tree!$E:$E,"&gt;="&amp;I$9,Tree!$E:$E,"&lt;"&amp;I$8)/VLOOKUP($B$4,Stand!$C:$H,6,0)),IF($B$5="All",SUMIFS(Tree!$AW:$AW,Tree!$A:$A,$B$4,Tree!$D:$D,$A51,Tree!$F:$F,"L",Tree!$K:$K,"&lt;&gt;"&amp;"Y",Tree!$E:$E,"&gt;="&amp;I$9,Tree!$E:$E,"&lt;"&amp;I$8)/VLOOKUP($B$4,Stand!$C:$H,6,0),SUMIFS(Tree!$AW:$AW,Tree!$A:$A,$B$4,Tree!$B:$B,$B$5,Tree!$D:$D,$A51,Tree!$F:$F,"L",Tree!$K:$K,"&lt;&gt;"&amp;"Y",Tree!$E:$E,"&gt;="&amp;I$9,Tree!$E:$E,"&lt;"&amp;I$8)))/1000</f>
        <v>#N/A</v>
      </c>
      <c r="J51" s="261" t="e">
        <f>IF($A51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51,Tree!$F:$F,"L",Tree!$K:$K,"&lt;&gt;"&amp;"Y",Tree!$E:$E,"&gt;="&amp;J$9)/VLOOKUP($B$4,Stand!$C:$H,6,0),SUMIFS(Tree!$AW:$AW,Tree!$A:$A,$B$4,Tree!$B:$B,$B$5,Tree!$D:$D,$A51,Tree!$F:$F,"L",Tree!$K:$K,"&lt;&gt;"&amp;"Y",Tree!$E:$E,"&gt;="&amp;J$9)))/1000</f>
        <v>#N/A</v>
      </c>
      <c r="K51" s="266" t="e">
        <f t="shared" ref="K51:K60" si="7">SUM(B51:J51)</f>
        <v>#N/A</v>
      </c>
    </row>
    <row r="52" spans="1:11" ht="15" customHeight="1" x14ac:dyDescent="0.25">
      <c r="A52" s="255" t="str">
        <f t="shared" si="6"/>
        <v>WH</v>
      </c>
      <c r="B52" s="259" t="e">
        <f>IF($A52="Snag",IF($B$5="All",SUMIFS(Tree!$AW:$AW,Tree!$A:$A,$B$4,Tree!$F:$F,"D",Tree!$K:$K,"&lt;&gt;"&amp;"Y",Tree!$E:$E,"&gt;="&amp;B$9,Tree!$E:$E,"&lt;"&amp;B$8)/VLOOKUP($B$4,Stand!$C:$H,6,0),SUMIFS(Tree!$AW:$AW,Tree!$A:$A,$B$4,Tree!$B:$B,$B$5,Tree!$F:$F,"D",Tree!$K:$K,"&lt;&gt;"&amp;"Y",Tree!$E:$E,"&gt;="&amp;B$9,Tree!$E:$E,"&lt;"&amp;B$8)/VLOOKUP($B$4,Stand!$C:$H,6,0)),IF($B$5="All",SUMIFS(Tree!$AW:$AW,Tree!$A:$A,$B$4,Tree!$D:$D,$A52,Tree!$F:$F,"L",Tree!$K:$K,"&lt;&gt;"&amp;"Y",Tree!$E:$E,"&gt;="&amp;B$9,Tree!$E:$E,"&lt;"&amp;B$8)/VLOOKUP($B$4,Stand!$C:$H,6,0),SUMIFS(Tree!$AW:$AW,Tree!$A:$A,$B$4,Tree!$B:$B,$B$5,Tree!$D:$D,$A52,Tree!$F:$F,"L",Tree!$K:$K,"&lt;&gt;"&amp;"Y",Tree!$E:$E,"&gt;="&amp;B$9,Tree!$E:$E,"&lt;"&amp;B$8)))/1000</f>
        <v>#N/A</v>
      </c>
      <c r="C52" s="260" t="e">
        <f>IF($A52="Snag",IF($B$5="All",SUMIFS(Tree!$AW:$AW,Tree!$A:$A,$B$4,Tree!$F:$F,"D",Tree!$K:$K,"&lt;&gt;"&amp;"Y",Tree!$E:$E,"&gt;="&amp;C$9,Tree!$E:$E,"&lt;"&amp;C$8)/VLOOKUP($B$4,Stand!$C:$H,6,0),SUMIFS(Tree!$AW:$AW,Tree!$A:$A,$B$4,Tree!$B:$B,$B$5,Tree!$F:$F,"D",Tree!$K:$K,"&lt;&gt;"&amp;"Y",Tree!$E:$E,"&gt;="&amp;C$9,Tree!$E:$E,"&lt;"&amp;C$8)/VLOOKUP($B$4,Stand!$C:$H,6,0)),IF($B$5="All",SUMIFS(Tree!$AW:$AW,Tree!$A:$A,$B$4,Tree!$D:$D,$A52,Tree!$F:$F,"L",Tree!$K:$K,"&lt;&gt;"&amp;"Y",Tree!$E:$E,"&gt;="&amp;C$9,Tree!$E:$E,"&lt;"&amp;C$8)/VLOOKUP($B$4,Stand!$C:$H,6,0),SUMIFS(Tree!$AW:$AW,Tree!$A:$A,$B$4,Tree!$B:$B,$B$5,Tree!$D:$D,$A52,Tree!$F:$F,"L",Tree!$K:$K,"&lt;&gt;"&amp;"Y",Tree!$E:$E,"&gt;="&amp;C$9,Tree!$E:$E,"&lt;"&amp;C$8)))/1000</f>
        <v>#N/A</v>
      </c>
      <c r="D52" s="260" t="e">
        <f>IF($A52="Snag",IF($B$5="All",SUMIFS(Tree!$AW:$AW,Tree!$A:$A,$B$4,Tree!$F:$F,"D",Tree!$K:$K,"&lt;&gt;"&amp;"Y",Tree!$E:$E,"&gt;="&amp;D$9,Tree!$E:$E,"&lt;"&amp;D$8)/VLOOKUP($B$4,Stand!$C:$H,6,0),SUMIFS(Tree!$AW:$AW,Tree!$A:$A,$B$4,Tree!$B:$B,$B$5,Tree!$F:$F,"D",Tree!$K:$K,"&lt;&gt;"&amp;"Y",Tree!$E:$E,"&gt;="&amp;D$9,Tree!$E:$E,"&lt;"&amp;D$8)/VLOOKUP($B$4,Stand!$C:$H,6,0)),IF($B$5="All",SUMIFS(Tree!$AW:$AW,Tree!$A:$A,$B$4,Tree!$D:$D,$A52,Tree!$F:$F,"L",Tree!$K:$K,"&lt;&gt;"&amp;"Y",Tree!$E:$E,"&gt;="&amp;D$9,Tree!$E:$E,"&lt;"&amp;D$8)/VLOOKUP($B$4,Stand!$C:$H,6,0),SUMIFS(Tree!$AW:$AW,Tree!$A:$A,$B$4,Tree!$B:$B,$B$5,Tree!$D:$D,$A52,Tree!$F:$F,"L",Tree!$K:$K,"&lt;&gt;"&amp;"Y",Tree!$E:$E,"&gt;="&amp;D$9,Tree!$E:$E,"&lt;"&amp;D$8)))/1000</f>
        <v>#N/A</v>
      </c>
      <c r="E52" s="260" t="e">
        <f>IF($A52="Snag",IF($B$5="All",SUMIFS(Tree!$AW:$AW,Tree!$A:$A,$B$4,Tree!$F:$F,"D",Tree!$K:$K,"&lt;&gt;"&amp;"Y",Tree!$E:$E,"&gt;="&amp;E$9,Tree!$E:$E,"&lt;"&amp;E$8)/VLOOKUP($B$4,Stand!$C:$H,6,0),SUMIFS(Tree!$AW:$AW,Tree!$A:$A,$B$4,Tree!$B:$B,$B$5,Tree!$F:$F,"D",Tree!$K:$K,"&lt;&gt;"&amp;"Y",Tree!$E:$E,"&gt;="&amp;E$9,Tree!$E:$E,"&lt;"&amp;E$8)/VLOOKUP($B$4,Stand!$C:$H,6,0)),IF($B$5="All",SUMIFS(Tree!$AW:$AW,Tree!$A:$A,$B$4,Tree!$D:$D,$A52,Tree!$F:$F,"L",Tree!$K:$K,"&lt;&gt;"&amp;"Y",Tree!$E:$E,"&gt;="&amp;E$9,Tree!$E:$E,"&lt;"&amp;E$8)/VLOOKUP($B$4,Stand!$C:$H,6,0),SUMIFS(Tree!$AW:$AW,Tree!$A:$A,$B$4,Tree!$B:$B,$B$5,Tree!$D:$D,$A52,Tree!$F:$F,"L",Tree!$K:$K,"&lt;&gt;"&amp;"Y",Tree!$E:$E,"&gt;="&amp;E$9,Tree!$E:$E,"&lt;"&amp;E$8)))/1000</f>
        <v>#N/A</v>
      </c>
      <c r="F52" s="260" t="e">
        <f>IF($A52="Snag",IF($B$5="All",SUMIFS(Tree!$AW:$AW,Tree!$A:$A,$B$4,Tree!$F:$F,"D",Tree!$K:$K,"&lt;&gt;"&amp;"Y",Tree!$E:$E,"&gt;="&amp;F$9,Tree!$E:$E,"&lt;"&amp;F$8)/VLOOKUP($B$4,Stand!$C:$H,6,0),SUMIFS(Tree!$AW:$AW,Tree!$A:$A,$B$4,Tree!$B:$B,$B$5,Tree!$F:$F,"D",Tree!$K:$K,"&lt;&gt;"&amp;"Y",Tree!$E:$E,"&gt;="&amp;F$9,Tree!$E:$E,"&lt;"&amp;F$8)/VLOOKUP($B$4,Stand!$C:$H,6,0)),IF($B$5="All",SUMIFS(Tree!$AW:$AW,Tree!$A:$A,$B$4,Tree!$D:$D,$A52,Tree!$F:$F,"L",Tree!$K:$K,"&lt;&gt;"&amp;"Y",Tree!$E:$E,"&gt;="&amp;F$9,Tree!$E:$E,"&lt;"&amp;F$8)/VLOOKUP($B$4,Stand!$C:$H,6,0),SUMIFS(Tree!$AW:$AW,Tree!$A:$A,$B$4,Tree!$B:$B,$B$5,Tree!$D:$D,$A52,Tree!$F:$F,"L",Tree!$K:$K,"&lt;&gt;"&amp;"Y",Tree!$E:$E,"&gt;="&amp;F$9,Tree!$E:$E,"&lt;"&amp;F$8)))/1000</f>
        <v>#N/A</v>
      </c>
      <c r="G52" s="260" t="e">
        <f>IF($A52="Snag",IF($B$5="All",SUMIFS(Tree!$AW:$AW,Tree!$A:$A,$B$4,Tree!$F:$F,"D",Tree!$K:$K,"&lt;&gt;"&amp;"Y",Tree!$E:$E,"&gt;="&amp;G$9,Tree!$E:$E,"&lt;"&amp;G$8)/VLOOKUP($B$4,Stand!$C:$H,6,0),SUMIFS(Tree!$AW:$AW,Tree!$A:$A,$B$4,Tree!$B:$B,$B$5,Tree!$F:$F,"D",Tree!$K:$K,"&lt;&gt;"&amp;"Y",Tree!$E:$E,"&gt;="&amp;G$9,Tree!$E:$E,"&lt;"&amp;G$8)/VLOOKUP($B$4,Stand!$C:$H,6,0)),IF($B$5="All",SUMIFS(Tree!$AW:$AW,Tree!$A:$A,$B$4,Tree!$D:$D,$A52,Tree!$F:$F,"L",Tree!$K:$K,"&lt;&gt;"&amp;"Y",Tree!$E:$E,"&gt;="&amp;G$9,Tree!$E:$E,"&lt;"&amp;G$8)/VLOOKUP($B$4,Stand!$C:$H,6,0),SUMIFS(Tree!$AW:$AW,Tree!$A:$A,$B$4,Tree!$B:$B,$B$5,Tree!$D:$D,$A52,Tree!$F:$F,"L",Tree!$K:$K,"&lt;&gt;"&amp;"Y",Tree!$E:$E,"&gt;="&amp;G$9,Tree!$E:$E,"&lt;"&amp;G$8)))/1000</f>
        <v>#N/A</v>
      </c>
      <c r="H52" s="260" t="e">
        <f>IF($A52="Snag",IF($B$5="All",SUMIFS(Tree!$AW:$AW,Tree!$A:$A,$B$4,Tree!$F:$F,"D",Tree!$K:$K,"&lt;&gt;"&amp;"Y",Tree!$E:$E,"&gt;="&amp;H$9,Tree!$E:$E,"&lt;"&amp;H$8)/VLOOKUP($B$4,Stand!$C:$H,6,0),SUMIFS(Tree!$AW:$AW,Tree!$A:$A,$B$4,Tree!$B:$B,$B$5,Tree!$F:$F,"D",Tree!$K:$K,"&lt;&gt;"&amp;"Y",Tree!$E:$E,"&gt;="&amp;H$9,Tree!$E:$E,"&lt;"&amp;H$8)/VLOOKUP($B$4,Stand!$C:$H,6,0)),IF($B$5="All",SUMIFS(Tree!$AW:$AW,Tree!$A:$A,$B$4,Tree!$D:$D,$A52,Tree!$F:$F,"L",Tree!$K:$K,"&lt;&gt;"&amp;"Y",Tree!$E:$E,"&gt;="&amp;H$9,Tree!$E:$E,"&lt;"&amp;H$8)/VLOOKUP($B$4,Stand!$C:$H,6,0),SUMIFS(Tree!$AW:$AW,Tree!$A:$A,$B$4,Tree!$B:$B,$B$5,Tree!$D:$D,$A52,Tree!$F:$F,"L",Tree!$K:$K,"&lt;&gt;"&amp;"Y",Tree!$E:$E,"&gt;="&amp;H$9,Tree!$E:$E,"&lt;"&amp;H$8)))/1000</f>
        <v>#N/A</v>
      </c>
      <c r="I52" s="260" t="e">
        <f>IF($A52="Snag",IF($B$5="All",SUMIFS(Tree!$AW:$AW,Tree!$A:$A,$B$4,Tree!$F:$F,"D",Tree!$K:$K,"&lt;&gt;"&amp;"Y",Tree!$E:$E,"&gt;="&amp;I$9,Tree!$E:$E,"&lt;"&amp;I$8)/VLOOKUP($B$4,Stand!$C:$H,6,0),SUMIFS(Tree!$AW:$AW,Tree!$A:$A,$B$4,Tree!$B:$B,$B$5,Tree!$F:$F,"D",Tree!$K:$K,"&lt;&gt;"&amp;"Y",Tree!$E:$E,"&gt;="&amp;I$9,Tree!$E:$E,"&lt;"&amp;I$8)/VLOOKUP($B$4,Stand!$C:$H,6,0)),IF($B$5="All",SUMIFS(Tree!$AW:$AW,Tree!$A:$A,$B$4,Tree!$D:$D,$A52,Tree!$F:$F,"L",Tree!$K:$K,"&lt;&gt;"&amp;"Y",Tree!$E:$E,"&gt;="&amp;I$9,Tree!$E:$E,"&lt;"&amp;I$8)/VLOOKUP($B$4,Stand!$C:$H,6,0),SUMIFS(Tree!$AW:$AW,Tree!$A:$A,$B$4,Tree!$B:$B,$B$5,Tree!$D:$D,$A52,Tree!$F:$F,"L",Tree!$K:$K,"&lt;&gt;"&amp;"Y",Tree!$E:$E,"&gt;="&amp;I$9,Tree!$E:$E,"&lt;"&amp;I$8)))/1000</f>
        <v>#N/A</v>
      </c>
      <c r="J52" s="261" t="e">
        <f>IF($A52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52,Tree!$F:$F,"L",Tree!$K:$K,"&lt;&gt;"&amp;"Y",Tree!$E:$E,"&gt;="&amp;J$9)/VLOOKUP($B$4,Stand!$C:$H,6,0),SUMIFS(Tree!$AW:$AW,Tree!$A:$A,$B$4,Tree!$B:$B,$B$5,Tree!$D:$D,$A52,Tree!$F:$F,"L",Tree!$K:$K,"&lt;&gt;"&amp;"Y",Tree!$E:$E,"&gt;="&amp;J$9)))/1000</f>
        <v>#N/A</v>
      </c>
      <c r="K52" s="266" t="e">
        <f t="shared" si="7"/>
        <v>#N/A</v>
      </c>
    </row>
    <row r="53" spans="1:11" ht="15" customHeight="1" x14ac:dyDescent="0.25">
      <c r="A53" s="255" t="str">
        <f t="shared" si="6"/>
        <v>RA</v>
      </c>
      <c r="B53" s="259" t="e">
        <f>IF($A53="Snag",IF($B$5="All",SUMIFS(Tree!$AW:$AW,Tree!$A:$A,$B$4,Tree!$F:$F,"D",Tree!$K:$K,"&lt;&gt;"&amp;"Y",Tree!$E:$E,"&gt;="&amp;B$9,Tree!$E:$E,"&lt;"&amp;B$8)/VLOOKUP($B$4,Stand!$C:$H,6,0),SUMIFS(Tree!$AW:$AW,Tree!$A:$A,$B$4,Tree!$B:$B,$B$5,Tree!$F:$F,"D",Tree!$K:$K,"&lt;&gt;"&amp;"Y",Tree!$E:$E,"&gt;="&amp;B$9,Tree!$E:$E,"&lt;"&amp;B$8)/VLOOKUP($B$4,Stand!$C:$H,6,0)),IF($B$5="All",SUMIFS(Tree!$AW:$AW,Tree!$A:$A,$B$4,Tree!$D:$D,$A53,Tree!$F:$F,"L",Tree!$K:$K,"&lt;&gt;"&amp;"Y",Tree!$E:$E,"&gt;="&amp;B$9,Tree!$E:$E,"&lt;"&amp;B$8)/VLOOKUP($B$4,Stand!$C:$H,6,0),SUMIFS(Tree!$AW:$AW,Tree!$A:$A,$B$4,Tree!$B:$B,$B$5,Tree!$D:$D,$A53,Tree!$F:$F,"L",Tree!$K:$K,"&lt;&gt;"&amp;"Y",Tree!$E:$E,"&gt;="&amp;B$9,Tree!$E:$E,"&lt;"&amp;B$8)))/1000</f>
        <v>#N/A</v>
      </c>
      <c r="C53" s="260" t="e">
        <f>IF($A53="Snag",IF($B$5="All",SUMIFS(Tree!$AW:$AW,Tree!$A:$A,$B$4,Tree!$F:$F,"D",Tree!$K:$K,"&lt;&gt;"&amp;"Y",Tree!$E:$E,"&gt;="&amp;C$9,Tree!$E:$E,"&lt;"&amp;C$8)/VLOOKUP($B$4,Stand!$C:$H,6,0),SUMIFS(Tree!$AW:$AW,Tree!$A:$A,$B$4,Tree!$B:$B,$B$5,Tree!$F:$F,"D",Tree!$K:$K,"&lt;&gt;"&amp;"Y",Tree!$E:$E,"&gt;="&amp;C$9,Tree!$E:$E,"&lt;"&amp;C$8)/VLOOKUP($B$4,Stand!$C:$H,6,0)),IF($B$5="All",SUMIFS(Tree!$AW:$AW,Tree!$A:$A,$B$4,Tree!$D:$D,$A53,Tree!$F:$F,"L",Tree!$K:$K,"&lt;&gt;"&amp;"Y",Tree!$E:$E,"&gt;="&amp;C$9,Tree!$E:$E,"&lt;"&amp;C$8)/VLOOKUP($B$4,Stand!$C:$H,6,0),SUMIFS(Tree!$AW:$AW,Tree!$A:$A,$B$4,Tree!$B:$B,$B$5,Tree!$D:$D,$A53,Tree!$F:$F,"L",Tree!$K:$K,"&lt;&gt;"&amp;"Y",Tree!$E:$E,"&gt;="&amp;C$9,Tree!$E:$E,"&lt;"&amp;C$8)))/1000</f>
        <v>#N/A</v>
      </c>
      <c r="D53" s="260" t="e">
        <f>IF($A53="Snag",IF($B$5="All",SUMIFS(Tree!$AW:$AW,Tree!$A:$A,$B$4,Tree!$F:$F,"D",Tree!$K:$K,"&lt;&gt;"&amp;"Y",Tree!$E:$E,"&gt;="&amp;D$9,Tree!$E:$E,"&lt;"&amp;D$8)/VLOOKUP($B$4,Stand!$C:$H,6,0),SUMIFS(Tree!$AW:$AW,Tree!$A:$A,$B$4,Tree!$B:$B,$B$5,Tree!$F:$F,"D",Tree!$K:$K,"&lt;&gt;"&amp;"Y",Tree!$E:$E,"&gt;="&amp;D$9,Tree!$E:$E,"&lt;"&amp;D$8)/VLOOKUP($B$4,Stand!$C:$H,6,0)),IF($B$5="All",SUMIFS(Tree!$AW:$AW,Tree!$A:$A,$B$4,Tree!$D:$D,$A53,Tree!$F:$F,"L",Tree!$K:$K,"&lt;&gt;"&amp;"Y",Tree!$E:$E,"&gt;="&amp;D$9,Tree!$E:$E,"&lt;"&amp;D$8)/VLOOKUP($B$4,Stand!$C:$H,6,0),SUMIFS(Tree!$AW:$AW,Tree!$A:$A,$B$4,Tree!$B:$B,$B$5,Tree!$D:$D,$A53,Tree!$F:$F,"L",Tree!$K:$K,"&lt;&gt;"&amp;"Y",Tree!$E:$E,"&gt;="&amp;D$9,Tree!$E:$E,"&lt;"&amp;D$8)))/1000</f>
        <v>#N/A</v>
      </c>
      <c r="E53" s="260" t="e">
        <f>IF($A53="Snag",IF($B$5="All",SUMIFS(Tree!$AW:$AW,Tree!$A:$A,$B$4,Tree!$F:$F,"D",Tree!$K:$K,"&lt;&gt;"&amp;"Y",Tree!$E:$E,"&gt;="&amp;E$9,Tree!$E:$E,"&lt;"&amp;E$8)/VLOOKUP($B$4,Stand!$C:$H,6,0),SUMIFS(Tree!$AW:$AW,Tree!$A:$A,$B$4,Tree!$B:$B,$B$5,Tree!$F:$F,"D",Tree!$K:$K,"&lt;&gt;"&amp;"Y",Tree!$E:$E,"&gt;="&amp;E$9,Tree!$E:$E,"&lt;"&amp;E$8)/VLOOKUP($B$4,Stand!$C:$H,6,0)),IF($B$5="All",SUMIFS(Tree!$AW:$AW,Tree!$A:$A,$B$4,Tree!$D:$D,$A53,Tree!$F:$F,"L",Tree!$K:$K,"&lt;&gt;"&amp;"Y",Tree!$E:$E,"&gt;="&amp;E$9,Tree!$E:$E,"&lt;"&amp;E$8)/VLOOKUP($B$4,Stand!$C:$H,6,0),SUMIFS(Tree!$AW:$AW,Tree!$A:$A,$B$4,Tree!$B:$B,$B$5,Tree!$D:$D,$A53,Tree!$F:$F,"L",Tree!$K:$K,"&lt;&gt;"&amp;"Y",Tree!$E:$E,"&gt;="&amp;E$9,Tree!$E:$E,"&lt;"&amp;E$8)))/1000</f>
        <v>#N/A</v>
      </c>
      <c r="F53" s="260" t="e">
        <f>IF($A53="Snag",IF($B$5="All",SUMIFS(Tree!$AW:$AW,Tree!$A:$A,$B$4,Tree!$F:$F,"D",Tree!$K:$K,"&lt;&gt;"&amp;"Y",Tree!$E:$E,"&gt;="&amp;F$9,Tree!$E:$E,"&lt;"&amp;F$8)/VLOOKUP($B$4,Stand!$C:$H,6,0),SUMIFS(Tree!$AW:$AW,Tree!$A:$A,$B$4,Tree!$B:$B,$B$5,Tree!$F:$F,"D",Tree!$K:$K,"&lt;&gt;"&amp;"Y",Tree!$E:$E,"&gt;="&amp;F$9,Tree!$E:$E,"&lt;"&amp;F$8)/VLOOKUP($B$4,Stand!$C:$H,6,0)),IF($B$5="All",SUMIFS(Tree!$AW:$AW,Tree!$A:$A,$B$4,Tree!$D:$D,$A53,Tree!$F:$F,"L",Tree!$K:$K,"&lt;&gt;"&amp;"Y",Tree!$E:$E,"&gt;="&amp;F$9,Tree!$E:$E,"&lt;"&amp;F$8)/VLOOKUP($B$4,Stand!$C:$H,6,0),SUMIFS(Tree!$AW:$AW,Tree!$A:$A,$B$4,Tree!$B:$B,$B$5,Tree!$D:$D,$A53,Tree!$F:$F,"L",Tree!$K:$K,"&lt;&gt;"&amp;"Y",Tree!$E:$E,"&gt;="&amp;F$9,Tree!$E:$E,"&lt;"&amp;F$8)))/1000</f>
        <v>#N/A</v>
      </c>
      <c r="G53" s="260" t="e">
        <f>IF($A53="Snag",IF($B$5="All",SUMIFS(Tree!$AW:$AW,Tree!$A:$A,$B$4,Tree!$F:$F,"D",Tree!$K:$K,"&lt;&gt;"&amp;"Y",Tree!$E:$E,"&gt;="&amp;G$9,Tree!$E:$E,"&lt;"&amp;G$8)/VLOOKUP($B$4,Stand!$C:$H,6,0),SUMIFS(Tree!$AW:$AW,Tree!$A:$A,$B$4,Tree!$B:$B,$B$5,Tree!$F:$F,"D",Tree!$K:$K,"&lt;&gt;"&amp;"Y",Tree!$E:$E,"&gt;="&amp;G$9,Tree!$E:$E,"&lt;"&amp;G$8)/VLOOKUP($B$4,Stand!$C:$H,6,0)),IF($B$5="All",SUMIFS(Tree!$AW:$AW,Tree!$A:$A,$B$4,Tree!$D:$D,$A53,Tree!$F:$F,"L",Tree!$K:$K,"&lt;&gt;"&amp;"Y",Tree!$E:$E,"&gt;="&amp;G$9,Tree!$E:$E,"&lt;"&amp;G$8)/VLOOKUP($B$4,Stand!$C:$H,6,0),SUMIFS(Tree!$AW:$AW,Tree!$A:$A,$B$4,Tree!$B:$B,$B$5,Tree!$D:$D,$A53,Tree!$F:$F,"L",Tree!$K:$K,"&lt;&gt;"&amp;"Y",Tree!$E:$E,"&gt;="&amp;G$9,Tree!$E:$E,"&lt;"&amp;G$8)))/1000</f>
        <v>#N/A</v>
      </c>
      <c r="H53" s="260" t="e">
        <f>IF($A53="Snag",IF($B$5="All",SUMIFS(Tree!$AW:$AW,Tree!$A:$A,$B$4,Tree!$F:$F,"D",Tree!$K:$K,"&lt;&gt;"&amp;"Y",Tree!$E:$E,"&gt;="&amp;H$9,Tree!$E:$E,"&lt;"&amp;H$8)/VLOOKUP($B$4,Stand!$C:$H,6,0),SUMIFS(Tree!$AW:$AW,Tree!$A:$A,$B$4,Tree!$B:$B,$B$5,Tree!$F:$F,"D",Tree!$K:$K,"&lt;&gt;"&amp;"Y",Tree!$E:$E,"&gt;="&amp;H$9,Tree!$E:$E,"&lt;"&amp;H$8)/VLOOKUP($B$4,Stand!$C:$H,6,0)),IF($B$5="All",SUMIFS(Tree!$AW:$AW,Tree!$A:$A,$B$4,Tree!$D:$D,$A53,Tree!$F:$F,"L",Tree!$K:$K,"&lt;&gt;"&amp;"Y",Tree!$E:$E,"&gt;="&amp;H$9,Tree!$E:$E,"&lt;"&amp;H$8)/VLOOKUP($B$4,Stand!$C:$H,6,0),SUMIFS(Tree!$AW:$AW,Tree!$A:$A,$B$4,Tree!$B:$B,$B$5,Tree!$D:$D,$A53,Tree!$F:$F,"L",Tree!$K:$K,"&lt;&gt;"&amp;"Y",Tree!$E:$E,"&gt;="&amp;H$9,Tree!$E:$E,"&lt;"&amp;H$8)))/1000</f>
        <v>#N/A</v>
      </c>
      <c r="I53" s="260" t="e">
        <f>IF($A53="Snag",IF($B$5="All",SUMIFS(Tree!$AW:$AW,Tree!$A:$A,$B$4,Tree!$F:$F,"D",Tree!$K:$K,"&lt;&gt;"&amp;"Y",Tree!$E:$E,"&gt;="&amp;I$9,Tree!$E:$E,"&lt;"&amp;I$8)/VLOOKUP($B$4,Stand!$C:$H,6,0),SUMIFS(Tree!$AW:$AW,Tree!$A:$A,$B$4,Tree!$B:$B,$B$5,Tree!$F:$F,"D",Tree!$K:$K,"&lt;&gt;"&amp;"Y",Tree!$E:$E,"&gt;="&amp;I$9,Tree!$E:$E,"&lt;"&amp;I$8)/VLOOKUP($B$4,Stand!$C:$H,6,0)),IF($B$5="All",SUMIFS(Tree!$AW:$AW,Tree!$A:$A,$B$4,Tree!$D:$D,$A53,Tree!$F:$F,"L",Tree!$K:$K,"&lt;&gt;"&amp;"Y",Tree!$E:$E,"&gt;="&amp;I$9,Tree!$E:$E,"&lt;"&amp;I$8)/VLOOKUP($B$4,Stand!$C:$H,6,0),SUMIFS(Tree!$AW:$AW,Tree!$A:$A,$B$4,Tree!$B:$B,$B$5,Tree!$D:$D,$A53,Tree!$F:$F,"L",Tree!$K:$K,"&lt;&gt;"&amp;"Y",Tree!$E:$E,"&gt;="&amp;I$9,Tree!$E:$E,"&lt;"&amp;I$8)))/1000</f>
        <v>#N/A</v>
      </c>
      <c r="J53" s="261" t="e">
        <f>IF($A53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53,Tree!$F:$F,"L",Tree!$K:$K,"&lt;&gt;"&amp;"Y",Tree!$E:$E,"&gt;="&amp;J$9)/VLOOKUP($B$4,Stand!$C:$H,6,0),SUMIFS(Tree!$AW:$AW,Tree!$A:$A,$B$4,Tree!$B:$B,$B$5,Tree!$D:$D,$A53,Tree!$F:$F,"L",Tree!$K:$K,"&lt;&gt;"&amp;"Y",Tree!$E:$E,"&gt;="&amp;J$9)))/1000</f>
        <v>#N/A</v>
      </c>
      <c r="K53" s="266" t="e">
        <f t="shared" si="7"/>
        <v>#N/A</v>
      </c>
    </row>
    <row r="54" spans="1:11" ht="15" customHeight="1" x14ac:dyDescent="0.25">
      <c r="A54" s="255" t="str">
        <f t="shared" si="6"/>
        <v>SS</v>
      </c>
      <c r="B54" s="259" t="e">
        <f>IF($A54="Snag",IF($B$5="All",SUMIFS(Tree!$AW:$AW,Tree!$A:$A,$B$4,Tree!$F:$F,"D",Tree!$K:$K,"&lt;&gt;"&amp;"Y",Tree!$E:$E,"&gt;="&amp;B$9,Tree!$E:$E,"&lt;"&amp;B$8)/VLOOKUP($B$4,Stand!$C:$H,6,0),SUMIFS(Tree!$AW:$AW,Tree!$A:$A,$B$4,Tree!$B:$B,$B$5,Tree!$F:$F,"D",Tree!$K:$K,"&lt;&gt;"&amp;"Y",Tree!$E:$E,"&gt;="&amp;B$9,Tree!$E:$E,"&lt;"&amp;B$8)/VLOOKUP($B$4,Stand!$C:$H,6,0)),IF($B$5="All",SUMIFS(Tree!$AW:$AW,Tree!$A:$A,$B$4,Tree!$D:$D,$A54,Tree!$F:$F,"L",Tree!$K:$K,"&lt;&gt;"&amp;"Y",Tree!$E:$E,"&gt;="&amp;B$9,Tree!$E:$E,"&lt;"&amp;B$8)/VLOOKUP($B$4,Stand!$C:$H,6,0),SUMIFS(Tree!$AW:$AW,Tree!$A:$A,$B$4,Tree!$B:$B,$B$5,Tree!$D:$D,$A54,Tree!$F:$F,"L",Tree!$K:$K,"&lt;&gt;"&amp;"Y",Tree!$E:$E,"&gt;="&amp;B$9,Tree!$E:$E,"&lt;"&amp;B$8)))/1000</f>
        <v>#N/A</v>
      </c>
      <c r="C54" s="260" t="e">
        <f>IF($A54="Snag",IF($B$5="All",SUMIFS(Tree!$AW:$AW,Tree!$A:$A,$B$4,Tree!$F:$F,"D",Tree!$K:$K,"&lt;&gt;"&amp;"Y",Tree!$E:$E,"&gt;="&amp;C$9,Tree!$E:$E,"&lt;"&amp;C$8)/VLOOKUP($B$4,Stand!$C:$H,6,0),SUMIFS(Tree!$AW:$AW,Tree!$A:$A,$B$4,Tree!$B:$B,$B$5,Tree!$F:$F,"D",Tree!$K:$K,"&lt;&gt;"&amp;"Y",Tree!$E:$E,"&gt;="&amp;C$9,Tree!$E:$E,"&lt;"&amp;C$8)/VLOOKUP($B$4,Stand!$C:$H,6,0)),IF($B$5="All",SUMIFS(Tree!$AW:$AW,Tree!$A:$A,$B$4,Tree!$D:$D,$A54,Tree!$F:$F,"L",Tree!$K:$K,"&lt;&gt;"&amp;"Y",Tree!$E:$E,"&gt;="&amp;C$9,Tree!$E:$E,"&lt;"&amp;C$8)/VLOOKUP($B$4,Stand!$C:$H,6,0),SUMIFS(Tree!$AW:$AW,Tree!$A:$A,$B$4,Tree!$B:$B,$B$5,Tree!$D:$D,$A54,Tree!$F:$F,"L",Tree!$K:$K,"&lt;&gt;"&amp;"Y",Tree!$E:$E,"&gt;="&amp;C$9,Tree!$E:$E,"&lt;"&amp;C$8)))/1000</f>
        <v>#N/A</v>
      </c>
      <c r="D54" s="260" t="e">
        <f>IF($A54="Snag",IF($B$5="All",SUMIFS(Tree!$AW:$AW,Tree!$A:$A,$B$4,Tree!$F:$F,"D",Tree!$K:$K,"&lt;&gt;"&amp;"Y",Tree!$E:$E,"&gt;="&amp;D$9,Tree!$E:$E,"&lt;"&amp;D$8)/VLOOKUP($B$4,Stand!$C:$H,6,0),SUMIFS(Tree!$AW:$AW,Tree!$A:$A,$B$4,Tree!$B:$B,$B$5,Tree!$F:$F,"D",Tree!$K:$K,"&lt;&gt;"&amp;"Y",Tree!$E:$E,"&gt;="&amp;D$9,Tree!$E:$E,"&lt;"&amp;D$8)/VLOOKUP($B$4,Stand!$C:$H,6,0)),IF($B$5="All",SUMIFS(Tree!$AW:$AW,Tree!$A:$A,$B$4,Tree!$D:$D,$A54,Tree!$F:$F,"L",Tree!$K:$K,"&lt;&gt;"&amp;"Y",Tree!$E:$E,"&gt;="&amp;D$9,Tree!$E:$E,"&lt;"&amp;D$8)/VLOOKUP($B$4,Stand!$C:$H,6,0),SUMIFS(Tree!$AW:$AW,Tree!$A:$A,$B$4,Tree!$B:$B,$B$5,Tree!$D:$D,$A54,Tree!$F:$F,"L",Tree!$K:$K,"&lt;&gt;"&amp;"Y",Tree!$E:$E,"&gt;="&amp;D$9,Tree!$E:$E,"&lt;"&amp;D$8)))/1000</f>
        <v>#N/A</v>
      </c>
      <c r="E54" s="260" t="e">
        <f>IF($A54="Snag",IF($B$5="All",SUMIFS(Tree!$AW:$AW,Tree!$A:$A,$B$4,Tree!$F:$F,"D",Tree!$K:$K,"&lt;&gt;"&amp;"Y",Tree!$E:$E,"&gt;="&amp;E$9,Tree!$E:$E,"&lt;"&amp;E$8)/VLOOKUP($B$4,Stand!$C:$H,6,0),SUMIFS(Tree!$AW:$AW,Tree!$A:$A,$B$4,Tree!$B:$B,$B$5,Tree!$F:$F,"D",Tree!$K:$K,"&lt;&gt;"&amp;"Y",Tree!$E:$E,"&gt;="&amp;E$9,Tree!$E:$E,"&lt;"&amp;E$8)/VLOOKUP($B$4,Stand!$C:$H,6,0)),IF($B$5="All",SUMIFS(Tree!$AW:$AW,Tree!$A:$A,$B$4,Tree!$D:$D,$A54,Tree!$F:$F,"L",Tree!$K:$K,"&lt;&gt;"&amp;"Y",Tree!$E:$E,"&gt;="&amp;E$9,Tree!$E:$E,"&lt;"&amp;E$8)/VLOOKUP($B$4,Stand!$C:$H,6,0),SUMIFS(Tree!$AW:$AW,Tree!$A:$A,$B$4,Tree!$B:$B,$B$5,Tree!$D:$D,$A54,Tree!$F:$F,"L",Tree!$K:$K,"&lt;&gt;"&amp;"Y",Tree!$E:$E,"&gt;="&amp;E$9,Tree!$E:$E,"&lt;"&amp;E$8)))/1000</f>
        <v>#N/A</v>
      </c>
      <c r="F54" s="260" t="e">
        <f>IF($A54="Snag",IF($B$5="All",SUMIFS(Tree!$AW:$AW,Tree!$A:$A,$B$4,Tree!$F:$F,"D",Tree!$K:$K,"&lt;&gt;"&amp;"Y",Tree!$E:$E,"&gt;="&amp;F$9,Tree!$E:$E,"&lt;"&amp;F$8)/VLOOKUP($B$4,Stand!$C:$H,6,0),SUMIFS(Tree!$AW:$AW,Tree!$A:$A,$B$4,Tree!$B:$B,$B$5,Tree!$F:$F,"D",Tree!$K:$K,"&lt;&gt;"&amp;"Y",Tree!$E:$E,"&gt;="&amp;F$9,Tree!$E:$E,"&lt;"&amp;F$8)/VLOOKUP($B$4,Stand!$C:$H,6,0)),IF($B$5="All",SUMIFS(Tree!$AW:$AW,Tree!$A:$A,$B$4,Tree!$D:$D,$A54,Tree!$F:$F,"L",Tree!$K:$K,"&lt;&gt;"&amp;"Y",Tree!$E:$E,"&gt;="&amp;F$9,Tree!$E:$E,"&lt;"&amp;F$8)/VLOOKUP($B$4,Stand!$C:$H,6,0),SUMIFS(Tree!$AW:$AW,Tree!$A:$A,$B$4,Tree!$B:$B,$B$5,Tree!$D:$D,$A54,Tree!$F:$F,"L",Tree!$K:$K,"&lt;&gt;"&amp;"Y",Tree!$E:$E,"&gt;="&amp;F$9,Tree!$E:$E,"&lt;"&amp;F$8)))/1000</f>
        <v>#N/A</v>
      </c>
      <c r="G54" s="260" t="e">
        <f>IF($A54="Snag",IF($B$5="All",SUMIFS(Tree!$AW:$AW,Tree!$A:$A,$B$4,Tree!$F:$F,"D",Tree!$K:$K,"&lt;&gt;"&amp;"Y",Tree!$E:$E,"&gt;="&amp;G$9,Tree!$E:$E,"&lt;"&amp;G$8)/VLOOKUP($B$4,Stand!$C:$H,6,0),SUMIFS(Tree!$AW:$AW,Tree!$A:$A,$B$4,Tree!$B:$B,$B$5,Tree!$F:$F,"D",Tree!$K:$K,"&lt;&gt;"&amp;"Y",Tree!$E:$E,"&gt;="&amp;G$9,Tree!$E:$E,"&lt;"&amp;G$8)/VLOOKUP($B$4,Stand!$C:$H,6,0)),IF($B$5="All",SUMIFS(Tree!$AW:$AW,Tree!$A:$A,$B$4,Tree!$D:$D,$A54,Tree!$F:$F,"L",Tree!$K:$K,"&lt;&gt;"&amp;"Y",Tree!$E:$E,"&gt;="&amp;G$9,Tree!$E:$E,"&lt;"&amp;G$8)/VLOOKUP($B$4,Stand!$C:$H,6,0),SUMIFS(Tree!$AW:$AW,Tree!$A:$A,$B$4,Tree!$B:$B,$B$5,Tree!$D:$D,$A54,Tree!$F:$F,"L",Tree!$K:$K,"&lt;&gt;"&amp;"Y",Tree!$E:$E,"&gt;="&amp;G$9,Tree!$E:$E,"&lt;"&amp;G$8)))/1000</f>
        <v>#N/A</v>
      </c>
      <c r="H54" s="260" t="e">
        <f>IF($A54="Snag",IF($B$5="All",SUMIFS(Tree!$AW:$AW,Tree!$A:$A,$B$4,Tree!$F:$F,"D",Tree!$K:$K,"&lt;&gt;"&amp;"Y",Tree!$E:$E,"&gt;="&amp;H$9,Tree!$E:$E,"&lt;"&amp;H$8)/VLOOKUP($B$4,Stand!$C:$H,6,0),SUMIFS(Tree!$AW:$AW,Tree!$A:$A,$B$4,Tree!$B:$B,$B$5,Tree!$F:$F,"D",Tree!$K:$K,"&lt;&gt;"&amp;"Y",Tree!$E:$E,"&gt;="&amp;H$9,Tree!$E:$E,"&lt;"&amp;H$8)/VLOOKUP($B$4,Stand!$C:$H,6,0)),IF($B$5="All",SUMIFS(Tree!$AW:$AW,Tree!$A:$A,$B$4,Tree!$D:$D,$A54,Tree!$F:$F,"L",Tree!$K:$K,"&lt;&gt;"&amp;"Y",Tree!$E:$E,"&gt;="&amp;H$9,Tree!$E:$E,"&lt;"&amp;H$8)/VLOOKUP($B$4,Stand!$C:$H,6,0),SUMIFS(Tree!$AW:$AW,Tree!$A:$A,$B$4,Tree!$B:$B,$B$5,Tree!$D:$D,$A54,Tree!$F:$F,"L",Tree!$K:$K,"&lt;&gt;"&amp;"Y",Tree!$E:$E,"&gt;="&amp;H$9,Tree!$E:$E,"&lt;"&amp;H$8)))/1000</f>
        <v>#N/A</v>
      </c>
      <c r="I54" s="260" t="e">
        <f>IF($A54="Snag",IF($B$5="All",SUMIFS(Tree!$AW:$AW,Tree!$A:$A,$B$4,Tree!$F:$F,"D",Tree!$K:$K,"&lt;&gt;"&amp;"Y",Tree!$E:$E,"&gt;="&amp;I$9,Tree!$E:$E,"&lt;"&amp;I$8)/VLOOKUP($B$4,Stand!$C:$H,6,0),SUMIFS(Tree!$AW:$AW,Tree!$A:$A,$B$4,Tree!$B:$B,$B$5,Tree!$F:$F,"D",Tree!$K:$K,"&lt;&gt;"&amp;"Y",Tree!$E:$E,"&gt;="&amp;I$9,Tree!$E:$E,"&lt;"&amp;I$8)/VLOOKUP($B$4,Stand!$C:$H,6,0)),IF($B$5="All",SUMIFS(Tree!$AW:$AW,Tree!$A:$A,$B$4,Tree!$D:$D,$A54,Tree!$F:$F,"L",Tree!$K:$K,"&lt;&gt;"&amp;"Y",Tree!$E:$E,"&gt;="&amp;I$9,Tree!$E:$E,"&lt;"&amp;I$8)/VLOOKUP($B$4,Stand!$C:$H,6,0),SUMIFS(Tree!$AW:$AW,Tree!$A:$A,$B$4,Tree!$B:$B,$B$5,Tree!$D:$D,$A54,Tree!$F:$F,"L",Tree!$K:$K,"&lt;&gt;"&amp;"Y",Tree!$E:$E,"&gt;="&amp;I$9,Tree!$E:$E,"&lt;"&amp;I$8)))/1000</f>
        <v>#N/A</v>
      </c>
      <c r="J54" s="261" t="e">
        <f>IF($A54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54,Tree!$F:$F,"L",Tree!$K:$K,"&lt;&gt;"&amp;"Y",Tree!$E:$E,"&gt;="&amp;J$9)/VLOOKUP($B$4,Stand!$C:$H,6,0),SUMIFS(Tree!$AW:$AW,Tree!$A:$A,$B$4,Tree!$B:$B,$B$5,Tree!$D:$D,$A54,Tree!$F:$F,"L",Tree!$K:$K,"&lt;&gt;"&amp;"Y",Tree!$E:$E,"&gt;="&amp;J$9)))/1000</f>
        <v>#N/A</v>
      </c>
      <c r="K54" s="266" t="e">
        <f t="shared" si="7"/>
        <v>#N/A</v>
      </c>
    </row>
    <row r="55" spans="1:11" ht="15" customHeight="1" x14ac:dyDescent="0.25">
      <c r="A55" s="255" t="str">
        <f t="shared" si="6"/>
        <v>RC</v>
      </c>
      <c r="B55" s="259" t="e">
        <f>IF($A55="Snag",IF($B$5="All",SUMIFS(Tree!$AW:$AW,Tree!$A:$A,$B$4,Tree!$F:$F,"D",Tree!$K:$K,"&lt;&gt;"&amp;"Y",Tree!$E:$E,"&gt;="&amp;B$9,Tree!$E:$E,"&lt;"&amp;B$8)/VLOOKUP($B$4,Stand!$C:$H,6,0),SUMIFS(Tree!$AW:$AW,Tree!$A:$A,$B$4,Tree!$B:$B,$B$5,Tree!$F:$F,"D",Tree!$K:$K,"&lt;&gt;"&amp;"Y",Tree!$E:$E,"&gt;="&amp;B$9,Tree!$E:$E,"&lt;"&amp;B$8)/VLOOKUP($B$4,Stand!$C:$H,6,0)),IF($B$5="All",SUMIFS(Tree!$AW:$AW,Tree!$A:$A,$B$4,Tree!$D:$D,$A55,Tree!$F:$F,"L",Tree!$K:$K,"&lt;&gt;"&amp;"Y",Tree!$E:$E,"&gt;="&amp;B$9,Tree!$E:$E,"&lt;"&amp;B$8)/VLOOKUP($B$4,Stand!$C:$H,6,0),SUMIFS(Tree!$AW:$AW,Tree!$A:$A,$B$4,Tree!$B:$B,$B$5,Tree!$D:$D,$A55,Tree!$F:$F,"L",Tree!$K:$K,"&lt;&gt;"&amp;"Y",Tree!$E:$E,"&gt;="&amp;B$9,Tree!$E:$E,"&lt;"&amp;B$8)))/1000</f>
        <v>#N/A</v>
      </c>
      <c r="C55" s="260" t="e">
        <f>IF($A55="Snag",IF($B$5="All",SUMIFS(Tree!$AW:$AW,Tree!$A:$A,$B$4,Tree!$F:$F,"D",Tree!$K:$K,"&lt;&gt;"&amp;"Y",Tree!$E:$E,"&gt;="&amp;C$9,Tree!$E:$E,"&lt;"&amp;C$8)/VLOOKUP($B$4,Stand!$C:$H,6,0),SUMIFS(Tree!$AW:$AW,Tree!$A:$A,$B$4,Tree!$B:$B,$B$5,Tree!$F:$F,"D",Tree!$K:$K,"&lt;&gt;"&amp;"Y",Tree!$E:$E,"&gt;="&amp;C$9,Tree!$E:$E,"&lt;"&amp;C$8)/VLOOKUP($B$4,Stand!$C:$H,6,0)),IF($B$5="All",SUMIFS(Tree!$AW:$AW,Tree!$A:$A,$B$4,Tree!$D:$D,$A55,Tree!$F:$F,"L",Tree!$K:$K,"&lt;&gt;"&amp;"Y",Tree!$E:$E,"&gt;="&amp;C$9,Tree!$E:$E,"&lt;"&amp;C$8)/VLOOKUP($B$4,Stand!$C:$H,6,0),SUMIFS(Tree!$AW:$AW,Tree!$A:$A,$B$4,Tree!$B:$B,$B$5,Tree!$D:$D,$A55,Tree!$F:$F,"L",Tree!$K:$K,"&lt;&gt;"&amp;"Y",Tree!$E:$E,"&gt;="&amp;C$9,Tree!$E:$E,"&lt;"&amp;C$8)))/1000</f>
        <v>#N/A</v>
      </c>
      <c r="D55" s="260" t="e">
        <f>IF($A55="Snag",IF($B$5="All",SUMIFS(Tree!$AW:$AW,Tree!$A:$A,$B$4,Tree!$F:$F,"D",Tree!$K:$K,"&lt;&gt;"&amp;"Y",Tree!$E:$E,"&gt;="&amp;D$9,Tree!$E:$E,"&lt;"&amp;D$8)/VLOOKUP($B$4,Stand!$C:$H,6,0),SUMIFS(Tree!$AW:$AW,Tree!$A:$A,$B$4,Tree!$B:$B,$B$5,Tree!$F:$F,"D",Tree!$K:$K,"&lt;&gt;"&amp;"Y",Tree!$E:$E,"&gt;="&amp;D$9,Tree!$E:$E,"&lt;"&amp;D$8)/VLOOKUP($B$4,Stand!$C:$H,6,0)),IF($B$5="All",SUMIFS(Tree!$AW:$AW,Tree!$A:$A,$B$4,Tree!$D:$D,$A55,Tree!$F:$F,"L",Tree!$K:$K,"&lt;&gt;"&amp;"Y",Tree!$E:$E,"&gt;="&amp;D$9,Tree!$E:$E,"&lt;"&amp;D$8)/VLOOKUP($B$4,Stand!$C:$H,6,0),SUMIFS(Tree!$AW:$AW,Tree!$A:$A,$B$4,Tree!$B:$B,$B$5,Tree!$D:$D,$A55,Tree!$F:$F,"L",Tree!$K:$K,"&lt;&gt;"&amp;"Y",Tree!$E:$E,"&gt;="&amp;D$9,Tree!$E:$E,"&lt;"&amp;D$8)))/1000</f>
        <v>#N/A</v>
      </c>
      <c r="E55" s="260" t="e">
        <f>IF($A55="Snag",IF($B$5="All",SUMIFS(Tree!$AW:$AW,Tree!$A:$A,$B$4,Tree!$F:$F,"D",Tree!$K:$K,"&lt;&gt;"&amp;"Y",Tree!$E:$E,"&gt;="&amp;E$9,Tree!$E:$E,"&lt;"&amp;E$8)/VLOOKUP($B$4,Stand!$C:$H,6,0),SUMIFS(Tree!$AW:$AW,Tree!$A:$A,$B$4,Tree!$B:$B,$B$5,Tree!$F:$F,"D",Tree!$K:$K,"&lt;&gt;"&amp;"Y",Tree!$E:$E,"&gt;="&amp;E$9,Tree!$E:$E,"&lt;"&amp;E$8)/VLOOKUP($B$4,Stand!$C:$H,6,0)),IF($B$5="All",SUMIFS(Tree!$AW:$AW,Tree!$A:$A,$B$4,Tree!$D:$D,$A55,Tree!$F:$F,"L",Tree!$K:$K,"&lt;&gt;"&amp;"Y",Tree!$E:$E,"&gt;="&amp;E$9,Tree!$E:$E,"&lt;"&amp;E$8)/VLOOKUP($B$4,Stand!$C:$H,6,0),SUMIFS(Tree!$AW:$AW,Tree!$A:$A,$B$4,Tree!$B:$B,$B$5,Tree!$D:$D,$A55,Tree!$F:$F,"L",Tree!$K:$K,"&lt;&gt;"&amp;"Y",Tree!$E:$E,"&gt;="&amp;E$9,Tree!$E:$E,"&lt;"&amp;E$8)))/1000</f>
        <v>#N/A</v>
      </c>
      <c r="F55" s="260" t="e">
        <f>IF($A55="Snag",IF($B$5="All",SUMIFS(Tree!$AW:$AW,Tree!$A:$A,$B$4,Tree!$F:$F,"D",Tree!$K:$K,"&lt;&gt;"&amp;"Y",Tree!$E:$E,"&gt;="&amp;F$9,Tree!$E:$E,"&lt;"&amp;F$8)/VLOOKUP($B$4,Stand!$C:$H,6,0),SUMIFS(Tree!$AW:$AW,Tree!$A:$A,$B$4,Tree!$B:$B,$B$5,Tree!$F:$F,"D",Tree!$K:$K,"&lt;&gt;"&amp;"Y",Tree!$E:$E,"&gt;="&amp;F$9,Tree!$E:$E,"&lt;"&amp;F$8)/VLOOKUP($B$4,Stand!$C:$H,6,0)),IF($B$5="All",SUMIFS(Tree!$AW:$AW,Tree!$A:$A,$B$4,Tree!$D:$D,$A55,Tree!$F:$F,"L",Tree!$K:$K,"&lt;&gt;"&amp;"Y",Tree!$E:$E,"&gt;="&amp;F$9,Tree!$E:$E,"&lt;"&amp;F$8)/VLOOKUP($B$4,Stand!$C:$H,6,0),SUMIFS(Tree!$AW:$AW,Tree!$A:$A,$B$4,Tree!$B:$B,$B$5,Tree!$D:$D,$A55,Tree!$F:$F,"L",Tree!$K:$K,"&lt;&gt;"&amp;"Y",Tree!$E:$E,"&gt;="&amp;F$9,Tree!$E:$E,"&lt;"&amp;F$8)))/1000</f>
        <v>#N/A</v>
      </c>
      <c r="G55" s="260" t="e">
        <f>IF($A55="Snag",IF($B$5="All",SUMIFS(Tree!$AW:$AW,Tree!$A:$A,$B$4,Tree!$F:$F,"D",Tree!$K:$K,"&lt;&gt;"&amp;"Y",Tree!$E:$E,"&gt;="&amp;G$9,Tree!$E:$E,"&lt;"&amp;G$8)/VLOOKUP($B$4,Stand!$C:$H,6,0),SUMIFS(Tree!$AW:$AW,Tree!$A:$A,$B$4,Tree!$B:$B,$B$5,Tree!$F:$F,"D",Tree!$K:$K,"&lt;&gt;"&amp;"Y",Tree!$E:$E,"&gt;="&amp;G$9,Tree!$E:$E,"&lt;"&amp;G$8)/VLOOKUP($B$4,Stand!$C:$H,6,0)),IF($B$5="All",SUMIFS(Tree!$AW:$AW,Tree!$A:$A,$B$4,Tree!$D:$D,$A55,Tree!$F:$F,"L",Tree!$K:$K,"&lt;&gt;"&amp;"Y",Tree!$E:$E,"&gt;="&amp;G$9,Tree!$E:$E,"&lt;"&amp;G$8)/VLOOKUP($B$4,Stand!$C:$H,6,0),SUMIFS(Tree!$AW:$AW,Tree!$A:$A,$B$4,Tree!$B:$B,$B$5,Tree!$D:$D,$A55,Tree!$F:$F,"L",Tree!$K:$K,"&lt;&gt;"&amp;"Y",Tree!$E:$E,"&gt;="&amp;G$9,Tree!$E:$E,"&lt;"&amp;G$8)))/1000</f>
        <v>#N/A</v>
      </c>
      <c r="H55" s="260" t="e">
        <f>IF($A55="Snag",IF($B$5="All",SUMIFS(Tree!$AW:$AW,Tree!$A:$A,$B$4,Tree!$F:$F,"D",Tree!$K:$K,"&lt;&gt;"&amp;"Y",Tree!$E:$E,"&gt;="&amp;H$9,Tree!$E:$E,"&lt;"&amp;H$8)/VLOOKUP($B$4,Stand!$C:$H,6,0),SUMIFS(Tree!$AW:$AW,Tree!$A:$A,$B$4,Tree!$B:$B,$B$5,Tree!$F:$F,"D",Tree!$K:$K,"&lt;&gt;"&amp;"Y",Tree!$E:$E,"&gt;="&amp;H$9,Tree!$E:$E,"&lt;"&amp;H$8)/VLOOKUP($B$4,Stand!$C:$H,6,0)),IF($B$5="All",SUMIFS(Tree!$AW:$AW,Tree!$A:$A,$B$4,Tree!$D:$D,$A55,Tree!$F:$F,"L",Tree!$K:$K,"&lt;&gt;"&amp;"Y",Tree!$E:$E,"&gt;="&amp;H$9,Tree!$E:$E,"&lt;"&amp;H$8)/VLOOKUP($B$4,Stand!$C:$H,6,0),SUMIFS(Tree!$AW:$AW,Tree!$A:$A,$B$4,Tree!$B:$B,$B$5,Tree!$D:$D,$A55,Tree!$F:$F,"L",Tree!$K:$K,"&lt;&gt;"&amp;"Y",Tree!$E:$E,"&gt;="&amp;H$9,Tree!$E:$E,"&lt;"&amp;H$8)))/1000</f>
        <v>#N/A</v>
      </c>
      <c r="I55" s="260" t="e">
        <f>IF($A55="Snag",IF($B$5="All",SUMIFS(Tree!$AW:$AW,Tree!$A:$A,$B$4,Tree!$F:$F,"D",Tree!$K:$K,"&lt;&gt;"&amp;"Y",Tree!$E:$E,"&gt;="&amp;I$9,Tree!$E:$E,"&lt;"&amp;I$8)/VLOOKUP($B$4,Stand!$C:$H,6,0),SUMIFS(Tree!$AW:$AW,Tree!$A:$A,$B$4,Tree!$B:$B,$B$5,Tree!$F:$F,"D",Tree!$K:$K,"&lt;&gt;"&amp;"Y",Tree!$E:$E,"&gt;="&amp;I$9,Tree!$E:$E,"&lt;"&amp;I$8)/VLOOKUP($B$4,Stand!$C:$H,6,0)),IF($B$5="All",SUMIFS(Tree!$AW:$AW,Tree!$A:$A,$B$4,Tree!$D:$D,$A55,Tree!$F:$F,"L",Tree!$K:$K,"&lt;&gt;"&amp;"Y",Tree!$E:$E,"&gt;="&amp;I$9,Tree!$E:$E,"&lt;"&amp;I$8)/VLOOKUP($B$4,Stand!$C:$H,6,0),SUMIFS(Tree!$AW:$AW,Tree!$A:$A,$B$4,Tree!$B:$B,$B$5,Tree!$D:$D,$A55,Tree!$F:$F,"L",Tree!$K:$K,"&lt;&gt;"&amp;"Y",Tree!$E:$E,"&gt;="&amp;I$9,Tree!$E:$E,"&lt;"&amp;I$8)))/1000</f>
        <v>#N/A</v>
      </c>
      <c r="J55" s="261" t="e">
        <f>IF($A55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55,Tree!$F:$F,"L",Tree!$K:$K,"&lt;&gt;"&amp;"Y",Tree!$E:$E,"&gt;="&amp;J$9)/VLOOKUP($B$4,Stand!$C:$H,6,0),SUMIFS(Tree!$AW:$AW,Tree!$A:$A,$B$4,Tree!$B:$B,$B$5,Tree!$D:$D,$A55,Tree!$F:$F,"L",Tree!$K:$K,"&lt;&gt;"&amp;"Y",Tree!$E:$E,"&gt;="&amp;J$9)))/1000</f>
        <v>#N/A</v>
      </c>
      <c r="K55" s="266" t="e">
        <f t="shared" si="7"/>
        <v>#N/A</v>
      </c>
    </row>
    <row r="56" spans="1:11" ht="15" customHeight="1" x14ac:dyDescent="0.25">
      <c r="A56" s="255" t="str">
        <f t="shared" si="6"/>
        <v>LP</v>
      </c>
      <c r="B56" s="259" t="e">
        <f>IF($A56="Snag",IF($B$5="All",SUMIFS(Tree!$AW:$AW,Tree!$A:$A,$B$4,Tree!$F:$F,"D",Tree!$K:$K,"&lt;&gt;"&amp;"Y",Tree!$E:$E,"&gt;="&amp;B$9,Tree!$E:$E,"&lt;"&amp;B$8)/VLOOKUP($B$4,Stand!$C:$H,6,0),SUMIFS(Tree!$AW:$AW,Tree!$A:$A,$B$4,Tree!$B:$B,$B$5,Tree!$F:$F,"D",Tree!$K:$K,"&lt;&gt;"&amp;"Y",Tree!$E:$E,"&gt;="&amp;B$9,Tree!$E:$E,"&lt;"&amp;B$8)/VLOOKUP($B$4,Stand!$C:$H,6,0)),IF($B$5="All",SUMIFS(Tree!$AW:$AW,Tree!$A:$A,$B$4,Tree!$D:$D,$A56,Tree!$F:$F,"L",Tree!$K:$K,"&lt;&gt;"&amp;"Y",Tree!$E:$E,"&gt;="&amp;B$9,Tree!$E:$E,"&lt;"&amp;B$8)/VLOOKUP($B$4,Stand!$C:$H,6,0),SUMIFS(Tree!$AW:$AW,Tree!$A:$A,$B$4,Tree!$B:$B,$B$5,Tree!$D:$D,$A56,Tree!$F:$F,"L",Tree!$K:$K,"&lt;&gt;"&amp;"Y",Tree!$E:$E,"&gt;="&amp;B$9,Tree!$E:$E,"&lt;"&amp;B$8)))/1000</f>
        <v>#N/A</v>
      </c>
      <c r="C56" s="260" t="e">
        <f>IF($A56="Snag",IF($B$5="All",SUMIFS(Tree!$AW:$AW,Tree!$A:$A,$B$4,Tree!$F:$F,"D",Tree!$K:$K,"&lt;&gt;"&amp;"Y",Tree!$E:$E,"&gt;="&amp;C$9,Tree!$E:$E,"&lt;"&amp;C$8)/VLOOKUP($B$4,Stand!$C:$H,6,0),SUMIFS(Tree!$AW:$AW,Tree!$A:$A,$B$4,Tree!$B:$B,$B$5,Tree!$F:$F,"D",Tree!$K:$K,"&lt;&gt;"&amp;"Y",Tree!$E:$E,"&gt;="&amp;C$9,Tree!$E:$E,"&lt;"&amp;C$8)/VLOOKUP($B$4,Stand!$C:$H,6,0)),IF($B$5="All",SUMIFS(Tree!$AW:$AW,Tree!$A:$A,$B$4,Tree!$D:$D,$A56,Tree!$F:$F,"L",Tree!$K:$K,"&lt;&gt;"&amp;"Y",Tree!$E:$E,"&gt;="&amp;C$9,Tree!$E:$E,"&lt;"&amp;C$8)/VLOOKUP($B$4,Stand!$C:$H,6,0),SUMIFS(Tree!$AW:$AW,Tree!$A:$A,$B$4,Tree!$B:$B,$B$5,Tree!$D:$D,$A56,Tree!$F:$F,"L",Tree!$K:$K,"&lt;&gt;"&amp;"Y",Tree!$E:$E,"&gt;="&amp;C$9,Tree!$E:$E,"&lt;"&amp;C$8)))/1000</f>
        <v>#N/A</v>
      </c>
      <c r="D56" s="260" t="e">
        <f>IF($A56="Snag",IF($B$5="All",SUMIFS(Tree!$AW:$AW,Tree!$A:$A,$B$4,Tree!$F:$F,"D",Tree!$K:$K,"&lt;&gt;"&amp;"Y",Tree!$E:$E,"&gt;="&amp;D$9,Tree!$E:$E,"&lt;"&amp;D$8)/VLOOKUP($B$4,Stand!$C:$H,6,0),SUMIFS(Tree!$AW:$AW,Tree!$A:$A,$B$4,Tree!$B:$B,$B$5,Tree!$F:$F,"D",Tree!$K:$K,"&lt;&gt;"&amp;"Y",Tree!$E:$E,"&gt;="&amp;D$9,Tree!$E:$E,"&lt;"&amp;D$8)/VLOOKUP($B$4,Stand!$C:$H,6,0)),IF($B$5="All",SUMIFS(Tree!$AW:$AW,Tree!$A:$A,$B$4,Tree!$D:$D,$A56,Tree!$F:$F,"L",Tree!$K:$K,"&lt;&gt;"&amp;"Y",Tree!$E:$E,"&gt;="&amp;D$9,Tree!$E:$E,"&lt;"&amp;D$8)/VLOOKUP($B$4,Stand!$C:$H,6,0),SUMIFS(Tree!$AW:$AW,Tree!$A:$A,$B$4,Tree!$B:$B,$B$5,Tree!$D:$D,$A56,Tree!$F:$F,"L",Tree!$K:$K,"&lt;&gt;"&amp;"Y",Tree!$E:$E,"&gt;="&amp;D$9,Tree!$E:$E,"&lt;"&amp;D$8)))/1000</f>
        <v>#N/A</v>
      </c>
      <c r="E56" s="260" t="e">
        <f>IF($A56="Snag",IF($B$5="All",SUMIFS(Tree!$AW:$AW,Tree!$A:$A,$B$4,Tree!$F:$F,"D",Tree!$K:$K,"&lt;&gt;"&amp;"Y",Tree!$E:$E,"&gt;="&amp;E$9,Tree!$E:$E,"&lt;"&amp;E$8)/VLOOKUP($B$4,Stand!$C:$H,6,0),SUMIFS(Tree!$AW:$AW,Tree!$A:$A,$B$4,Tree!$B:$B,$B$5,Tree!$F:$F,"D",Tree!$K:$K,"&lt;&gt;"&amp;"Y",Tree!$E:$E,"&gt;="&amp;E$9,Tree!$E:$E,"&lt;"&amp;E$8)/VLOOKUP($B$4,Stand!$C:$H,6,0)),IF($B$5="All",SUMIFS(Tree!$AW:$AW,Tree!$A:$A,$B$4,Tree!$D:$D,$A56,Tree!$F:$F,"L",Tree!$K:$K,"&lt;&gt;"&amp;"Y",Tree!$E:$E,"&gt;="&amp;E$9,Tree!$E:$E,"&lt;"&amp;E$8)/VLOOKUP($B$4,Stand!$C:$H,6,0),SUMIFS(Tree!$AW:$AW,Tree!$A:$A,$B$4,Tree!$B:$B,$B$5,Tree!$D:$D,$A56,Tree!$F:$F,"L",Tree!$K:$K,"&lt;&gt;"&amp;"Y",Tree!$E:$E,"&gt;="&amp;E$9,Tree!$E:$E,"&lt;"&amp;E$8)))/1000</f>
        <v>#N/A</v>
      </c>
      <c r="F56" s="260" t="e">
        <f>IF($A56="Snag",IF($B$5="All",SUMIFS(Tree!$AW:$AW,Tree!$A:$A,$B$4,Tree!$F:$F,"D",Tree!$K:$K,"&lt;&gt;"&amp;"Y",Tree!$E:$E,"&gt;="&amp;F$9,Tree!$E:$E,"&lt;"&amp;F$8)/VLOOKUP($B$4,Stand!$C:$H,6,0),SUMIFS(Tree!$AW:$AW,Tree!$A:$A,$B$4,Tree!$B:$B,$B$5,Tree!$F:$F,"D",Tree!$K:$K,"&lt;&gt;"&amp;"Y",Tree!$E:$E,"&gt;="&amp;F$9,Tree!$E:$E,"&lt;"&amp;F$8)/VLOOKUP($B$4,Stand!$C:$H,6,0)),IF($B$5="All",SUMIFS(Tree!$AW:$AW,Tree!$A:$A,$B$4,Tree!$D:$D,$A56,Tree!$F:$F,"L",Tree!$K:$K,"&lt;&gt;"&amp;"Y",Tree!$E:$E,"&gt;="&amp;F$9,Tree!$E:$E,"&lt;"&amp;F$8)/VLOOKUP($B$4,Stand!$C:$H,6,0),SUMIFS(Tree!$AW:$AW,Tree!$A:$A,$B$4,Tree!$B:$B,$B$5,Tree!$D:$D,$A56,Tree!$F:$F,"L",Tree!$K:$K,"&lt;&gt;"&amp;"Y",Tree!$E:$E,"&gt;="&amp;F$9,Tree!$E:$E,"&lt;"&amp;F$8)))/1000</f>
        <v>#N/A</v>
      </c>
      <c r="G56" s="260" t="e">
        <f>IF($A56="Snag",IF($B$5="All",SUMIFS(Tree!$AW:$AW,Tree!$A:$A,$B$4,Tree!$F:$F,"D",Tree!$K:$K,"&lt;&gt;"&amp;"Y",Tree!$E:$E,"&gt;="&amp;G$9,Tree!$E:$E,"&lt;"&amp;G$8)/VLOOKUP($B$4,Stand!$C:$H,6,0),SUMIFS(Tree!$AW:$AW,Tree!$A:$A,$B$4,Tree!$B:$B,$B$5,Tree!$F:$F,"D",Tree!$K:$K,"&lt;&gt;"&amp;"Y",Tree!$E:$E,"&gt;="&amp;G$9,Tree!$E:$E,"&lt;"&amp;G$8)/VLOOKUP($B$4,Stand!$C:$H,6,0)),IF($B$5="All",SUMIFS(Tree!$AW:$AW,Tree!$A:$A,$B$4,Tree!$D:$D,$A56,Tree!$F:$F,"L",Tree!$K:$K,"&lt;&gt;"&amp;"Y",Tree!$E:$E,"&gt;="&amp;G$9,Tree!$E:$E,"&lt;"&amp;G$8)/VLOOKUP($B$4,Stand!$C:$H,6,0),SUMIFS(Tree!$AW:$AW,Tree!$A:$A,$B$4,Tree!$B:$B,$B$5,Tree!$D:$D,$A56,Tree!$F:$F,"L",Tree!$K:$K,"&lt;&gt;"&amp;"Y",Tree!$E:$E,"&gt;="&amp;G$9,Tree!$E:$E,"&lt;"&amp;G$8)))/1000</f>
        <v>#N/A</v>
      </c>
      <c r="H56" s="260" t="e">
        <f>IF($A56="Snag",IF($B$5="All",SUMIFS(Tree!$AW:$AW,Tree!$A:$A,$B$4,Tree!$F:$F,"D",Tree!$K:$K,"&lt;&gt;"&amp;"Y",Tree!$E:$E,"&gt;="&amp;H$9,Tree!$E:$E,"&lt;"&amp;H$8)/VLOOKUP($B$4,Stand!$C:$H,6,0),SUMIFS(Tree!$AW:$AW,Tree!$A:$A,$B$4,Tree!$B:$B,$B$5,Tree!$F:$F,"D",Tree!$K:$K,"&lt;&gt;"&amp;"Y",Tree!$E:$E,"&gt;="&amp;H$9,Tree!$E:$E,"&lt;"&amp;H$8)/VLOOKUP($B$4,Stand!$C:$H,6,0)),IF($B$5="All",SUMIFS(Tree!$AW:$AW,Tree!$A:$A,$B$4,Tree!$D:$D,$A56,Tree!$F:$F,"L",Tree!$K:$K,"&lt;&gt;"&amp;"Y",Tree!$E:$E,"&gt;="&amp;H$9,Tree!$E:$E,"&lt;"&amp;H$8)/VLOOKUP($B$4,Stand!$C:$H,6,0),SUMIFS(Tree!$AW:$AW,Tree!$A:$A,$B$4,Tree!$B:$B,$B$5,Tree!$D:$D,$A56,Tree!$F:$F,"L",Tree!$K:$K,"&lt;&gt;"&amp;"Y",Tree!$E:$E,"&gt;="&amp;H$9,Tree!$E:$E,"&lt;"&amp;H$8)))/1000</f>
        <v>#N/A</v>
      </c>
      <c r="I56" s="260" t="e">
        <f>IF($A56="Snag",IF($B$5="All",SUMIFS(Tree!$AW:$AW,Tree!$A:$A,$B$4,Tree!$F:$F,"D",Tree!$K:$K,"&lt;&gt;"&amp;"Y",Tree!$E:$E,"&gt;="&amp;I$9,Tree!$E:$E,"&lt;"&amp;I$8)/VLOOKUP($B$4,Stand!$C:$H,6,0),SUMIFS(Tree!$AW:$AW,Tree!$A:$A,$B$4,Tree!$B:$B,$B$5,Tree!$F:$F,"D",Tree!$K:$K,"&lt;&gt;"&amp;"Y",Tree!$E:$E,"&gt;="&amp;I$9,Tree!$E:$E,"&lt;"&amp;I$8)/VLOOKUP($B$4,Stand!$C:$H,6,0)),IF($B$5="All",SUMIFS(Tree!$AW:$AW,Tree!$A:$A,$B$4,Tree!$D:$D,$A56,Tree!$F:$F,"L",Tree!$K:$K,"&lt;&gt;"&amp;"Y",Tree!$E:$E,"&gt;="&amp;I$9,Tree!$E:$E,"&lt;"&amp;I$8)/VLOOKUP($B$4,Stand!$C:$H,6,0),SUMIFS(Tree!$AW:$AW,Tree!$A:$A,$B$4,Tree!$B:$B,$B$5,Tree!$D:$D,$A56,Tree!$F:$F,"L",Tree!$K:$K,"&lt;&gt;"&amp;"Y",Tree!$E:$E,"&gt;="&amp;I$9,Tree!$E:$E,"&lt;"&amp;I$8)))/1000</f>
        <v>#N/A</v>
      </c>
      <c r="J56" s="261" t="e">
        <f>IF($A56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56,Tree!$F:$F,"L",Tree!$K:$K,"&lt;&gt;"&amp;"Y",Tree!$E:$E,"&gt;="&amp;J$9)/VLOOKUP($B$4,Stand!$C:$H,6,0),SUMIFS(Tree!$AW:$AW,Tree!$A:$A,$B$4,Tree!$B:$B,$B$5,Tree!$D:$D,$A56,Tree!$F:$F,"L",Tree!$K:$K,"&lt;&gt;"&amp;"Y",Tree!$E:$E,"&gt;="&amp;J$9)))/1000</f>
        <v>#N/A</v>
      </c>
      <c r="K56" s="266" t="e">
        <f t="shared" si="7"/>
        <v>#N/A</v>
      </c>
    </row>
    <row r="57" spans="1:11" ht="15" customHeight="1" x14ac:dyDescent="0.25">
      <c r="A57" s="255" t="str">
        <f t="shared" si="6"/>
        <v>GF</v>
      </c>
      <c r="B57" s="259" t="e">
        <f>IF($A57="Snag",IF($B$5="All",SUMIFS(Tree!$AW:$AW,Tree!$A:$A,$B$4,Tree!$F:$F,"D",Tree!$K:$K,"&lt;&gt;"&amp;"Y",Tree!$E:$E,"&gt;="&amp;B$9,Tree!$E:$E,"&lt;"&amp;B$8)/VLOOKUP($B$4,Stand!$C:$H,6,0),SUMIFS(Tree!$AW:$AW,Tree!$A:$A,$B$4,Tree!$B:$B,$B$5,Tree!$F:$F,"D",Tree!$K:$K,"&lt;&gt;"&amp;"Y",Tree!$E:$E,"&gt;="&amp;B$9,Tree!$E:$E,"&lt;"&amp;B$8)/VLOOKUP($B$4,Stand!$C:$H,6,0)),IF($B$5="All",SUMIFS(Tree!$AW:$AW,Tree!$A:$A,$B$4,Tree!$D:$D,$A57,Tree!$F:$F,"L",Tree!$K:$K,"&lt;&gt;"&amp;"Y",Tree!$E:$E,"&gt;="&amp;B$9,Tree!$E:$E,"&lt;"&amp;B$8)/VLOOKUP($B$4,Stand!$C:$H,6,0),SUMIFS(Tree!$AW:$AW,Tree!$A:$A,$B$4,Tree!$B:$B,$B$5,Tree!$D:$D,$A57,Tree!$F:$F,"L",Tree!$K:$K,"&lt;&gt;"&amp;"Y",Tree!$E:$E,"&gt;="&amp;B$9,Tree!$E:$E,"&lt;"&amp;B$8)))/1000</f>
        <v>#N/A</v>
      </c>
      <c r="C57" s="260" t="e">
        <f>IF($A57="Snag",IF($B$5="All",SUMIFS(Tree!$AW:$AW,Tree!$A:$A,$B$4,Tree!$F:$F,"D",Tree!$K:$K,"&lt;&gt;"&amp;"Y",Tree!$E:$E,"&gt;="&amp;C$9,Tree!$E:$E,"&lt;"&amp;C$8)/VLOOKUP($B$4,Stand!$C:$H,6,0),SUMIFS(Tree!$AW:$AW,Tree!$A:$A,$B$4,Tree!$B:$B,$B$5,Tree!$F:$F,"D",Tree!$K:$K,"&lt;&gt;"&amp;"Y",Tree!$E:$E,"&gt;="&amp;C$9,Tree!$E:$E,"&lt;"&amp;C$8)/VLOOKUP($B$4,Stand!$C:$H,6,0)),IF($B$5="All",SUMIFS(Tree!$AW:$AW,Tree!$A:$A,$B$4,Tree!$D:$D,$A57,Tree!$F:$F,"L",Tree!$K:$K,"&lt;&gt;"&amp;"Y",Tree!$E:$E,"&gt;="&amp;C$9,Tree!$E:$E,"&lt;"&amp;C$8)/VLOOKUP($B$4,Stand!$C:$H,6,0),SUMIFS(Tree!$AW:$AW,Tree!$A:$A,$B$4,Tree!$B:$B,$B$5,Tree!$D:$D,$A57,Tree!$F:$F,"L",Tree!$K:$K,"&lt;&gt;"&amp;"Y",Tree!$E:$E,"&gt;="&amp;C$9,Tree!$E:$E,"&lt;"&amp;C$8)))/1000</f>
        <v>#N/A</v>
      </c>
      <c r="D57" s="260" t="e">
        <f>IF($A57="Snag",IF($B$5="All",SUMIFS(Tree!$AW:$AW,Tree!$A:$A,$B$4,Tree!$F:$F,"D",Tree!$K:$K,"&lt;&gt;"&amp;"Y",Tree!$E:$E,"&gt;="&amp;D$9,Tree!$E:$E,"&lt;"&amp;D$8)/VLOOKUP($B$4,Stand!$C:$H,6,0),SUMIFS(Tree!$AW:$AW,Tree!$A:$A,$B$4,Tree!$B:$B,$B$5,Tree!$F:$F,"D",Tree!$K:$K,"&lt;&gt;"&amp;"Y",Tree!$E:$E,"&gt;="&amp;D$9,Tree!$E:$E,"&lt;"&amp;D$8)/VLOOKUP($B$4,Stand!$C:$H,6,0)),IF($B$5="All",SUMIFS(Tree!$AW:$AW,Tree!$A:$A,$B$4,Tree!$D:$D,$A57,Tree!$F:$F,"L",Tree!$K:$K,"&lt;&gt;"&amp;"Y",Tree!$E:$E,"&gt;="&amp;D$9,Tree!$E:$E,"&lt;"&amp;D$8)/VLOOKUP($B$4,Stand!$C:$H,6,0),SUMIFS(Tree!$AW:$AW,Tree!$A:$A,$B$4,Tree!$B:$B,$B$5,Tree!$D:$D,$A57,Tree!$F:$F,"L",Tree!$K:$K,"&lt;&gt;"&amp;"Y",Tree!$E:$E,"&gt;="&amp;D$9,Tree!$E:$E,"&lt;"&amp;D$8)))/1000</f>
        <v>#N/A</v>
      </c>
      <c r="E57" s="260" t="e">
        <f>IF($A57="Snag",IF($B$5="All",SUMIFS(Tree!$AW:$AW,Tree!$A:$A,$B$4,Tree!$F:$F,"D",Tree!$K:$K,"&lt;&gt;"&amp;"Y",Tree!$E:$E,"&gt;="&amp;E$9,Tree!$E:$E,"&lt;"&amp;E$8)/VLOOKUP($B$4,Stand!$C:$H,6,0),SUMIFS(Tree!$AW:$AW,Tree!$A:$A,$B$4,Tree!$B:$B,$B$5,Tree!$F:$F,"D",Tree!$K:$K,"&lt;&gt;"&amp;"Y",Tree!$E:$E,"&gt;="&amp;E$9,Tree!$E:$E,"&lt;"&amp;E$8)/VLOOKUP($B$4,Stand!$C:$H,6,0)),IF($B$5="All",SUMIFS(Tree!$AW:$AW,Tree!$A:$A,$B$4,Tree!$D:$D,$A57,Tree!$F:$F,"L",Tree!$K:$K,"&lt;&gt;"&amp;"Y",Tree!$E:$E,"&gt;="&amp;E$9,Tree!$E:$E,"&lt;"&amp;E$8)/VLOOKUP($B$4,Stand!$C:$H,6,0),SUMIFS(Tree!$AW:$AW,Tree!$A:$A,$B$4,Tree!$B:$B,$B$5,Tree!$D:$D,$A57,Tree!$F:$F,"L",Tree!$K:$K,"&lt;&gt;"&amp;"Y",Tree!$E:$E,"&gt;="&amp;E$9,Tree!$E:$E,"&lt;"&amp;E$8)))/1000</f>
        <v>#N/A</v>
      </c>
      <c r="F57" s="260" t="e">
        <f>IF($A57="Snag",IF($B$5="All",SUMIFS(Tree!$AW:$AW,Tree!$A:$A,$B$4,Tree!$F:$F,"D",Tree!$K:$K,"&lt;&gt;"&amp;"Y",Tree!$E:$E,"&gt;="&amp;F$9,Tree!$E:$E,"&lt;"&amp;F$8)/VLOOKUP($B$4,Stand!$C:$H,6,0),SUMIFS(Tree!$AW:$AW,Tree!$A:$A,$B$4,Tree!$B:$B,$B$5,Tree!$F:$F,"D",Tree!$K:$K,"&lt;&gt;"&amp;"Y",Tree!$E:$E,"&gt;="&amp;F$9,Tree!$E:$E,"&lt;"&amp;F$8)/VLOOKUP($B$4,Stand!$C:$H,6,0)),IF($B$5="All",SUMIFS(Tree!$AW:$AW,Tree!$A:$A,$B$4,Tree!$D:$D,$A57,Tree!$F:$F,"L",Tree!$K:$K,"&lt;&gt;"&amp;"Y",Tree!$E:$E,"&gt;="&amp;F$9,Tree!$E:$E,"&lt;"&amp;F$8)/VLOOKUP($B$4,Stand!$C:$H,6,0),SUMIFS(Tree!$AW:$AW,Tree!$A:$A,$B$4,Tree!$B:$B,$B$5,Tree!$D:$D,$A57,Tree!$F:$F,"L",Tree!$K:$K,"&lt;&gt;"&amp;"Y",Tree!$E:$E,"&gt;="&amp;F$9,Tree!$E:$E,"&lt;"&amp;F$8)))/1000</f>
        <v>#N/A</v>
      </c>
      <c r="G57" s="260" t="e">
        <f>IF($A57="Snag",IF($B$5="All",SUMIFS(Tree!$AW:$AW,Tree!$A:$A,$B$4,Tree!$F:$F,"D",Tree!$K:$K,"&lt;&gt;"&amp;"Y",Tree!$E:$E,"&gt;="&amp;G$9,Tree!$E:$E,"&lt;"&amp;G$8)/VLOOKUP($B$4,Stand!$C:$H,6,0),SUMIFS(Tree!$AW:$AW,Tree!$A:$A,$B$4,Tree!$B:$B,$B$5,Tree!$F:$F,"D",Tree!$K:$K,"&lt;&gt;"&amp;"Y",Tree!$E:$E,"&gt;="&amp;G$9,Tree!$E:$E,"&lt;"&amp;G$8)/VLOOKUP($B$4,Stand!$C:$H,6,0)),IF($B$5="All",SUMIFS(Tree!$AW:$AW,Tree!$A:$A,$B$4,Tree!$D:$D,$A57,Tree!$F:$F,"L",Tree!$K:$K,"&lt;&gt;"&amp;"Y",Tree!$E:$E,"&gt;="&amp;G$9,Tree!$E:$E,"&lt;"&amp;G$8)/VLOOKUP($B$4,Stand!$C:$H,6,0),SUMIFS(Tree!$AW:$AW,Tree!$A:$A,$B$4,Tree!$B:$B,$B$5,Tree!$D:$D,$A57,Tree!$F:$F,"L",Tree!$K:$K,"&lt;&gt;"&amp;"Y",Tree!$E:$E,"&gt;="&amp;G$9,Tree!$E:$E,"&lt;"&amp;G$8)))/1000</f>
        <v>#N/A</v>
      </c>
      <c r="H57" s="260" t="e">
        <f>IF($A57="Snag",IF($B$5="All",SUMIFS(Tree!$AW:$AW,Tree!$A:$A,$B$4,Tree!$F:$F,"D",Tree!$K:$K,"&lt;&gt;"&amp;"Y",Tree!$E:$E,"&gt;="&amp;H$9,Tree!$E:$E,"&lt;"&amp;H$8)/VLOOKUP($B$4,Stand!$C:$H,6,0),SUMIFS(Tree!$AW:$AW,Tree!$A:$A,$B$4,Tree!$B:$B,$B$5,Tree!$F:$F,"D",Tree!$K:$K,"&lt;&gt;"&amp;"Y",Tree!$E:$E,"&gt;="&amp;H$9,Tree!$E:$E,"&lt;"&amp;H$8)/VLOOKUP($B$4,Stand!$C:$H,6,0)),IF($B$5="All",SUMIFS(Tree!$AW:$AW,Tree!$A:$A,$B$4,Tree!$D:$D,$A57,Tree!$F:$F,"L",Tree!$K:$K,"&lt;&gt;"&amp;"Y",Tree!$E:$E,"&gt;="&amp;H$9,Tree!$E:$E,"&lt;"&amp;H$8)/VLOOKUP($B$4,Stand!$C:$H,6,0),SUMIFS(Tree!$AW:$AW,Tree!$A:$A,$B$4,Tree!$B:$B,$B$5,Tree!$D:$D,$A57,Tree!$F:$F,"L",Tree!$K:$K,"&lt;&gt;"&amp;"Y",Tree!$E:$E,"&gt;="&amp;H$9,Tree!$E:$E,"&lt;"&amp;H$8)))/1000</f>
        <v>#N/A</v>
      </c>
      <c r="I57" s="260" t="e">
        <f>IF($A57="Snag",IF($B$5="All",SUMIFS(Tree!$AW:$AW,Tree!$A:$A,$B$4,Tree!$F:$F,"D",Tree!$K:$K,"&lt;&gt;"&amp;"Y",Tree!$E:$E,"&gt;="&amp;I$9,Tree!$E:$E,"&lt;"&amp;I$8)/VLOOKUP($B$4,Stand!$C:$H,6,0),SUMIFS(Tree!$AW:$AW,Tree!$A:$A,$B$4,Tree!$B:$B,$B$5,Tree!$F:$F,"D",Tree!$K:$K,"&lt;&gt;"&amp;"Y",Tree!$E:$E,"&gt;="&amp;I$9,Tree!$E:$E,"&lt;"&amp;I$8)/VLOOKUP($B$4,Stand!$C:$H,6,0)),IF($B$5="All",SUMIFS(Tree!$AW:$AW,Tree!$A:$A,$B$4,Tree!$D:$D,$A57,Tree!$F:$F,"L",Tree!$K:$K,"&lt;&gt;"&amp;"Y",Tree!$E:$E,"&gt;="&amp;I$9,Tree!$E:$E,"&lt;"&amp;I$8)/VLOOKUP($B$4,Stand!$C:$H,6,0),SUMIFS(Tree!$AW:$AW,Tree!$A:$A,$B$4,Tree!$B:$B,$B$5,Tree!$D:$D,$A57,Tree!$F:$F,"L",Tree!$K:$K,"&lt;&gt;"&amp;"Y",Tree!$E:$E,"&gt;="&amp;I$9,Tree!$E:$E,"&lt;"&amp;I$8)))/1000</f>
        <v>#N/A</v>
      </c>
      <c r="J57" s="261" t="e">
        <f>IF($A57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57,Tree!$F:$F,"L",Tree!$K:$K,"&lt;&gt;"&amp;"Y",Tree!$E:$E,"&gt;="&amp;J$9)/VLOOKUP($B$4,Stand!$C:$H,6,0),SUMIFS(Tree!$AW:$AW,Tree!$A:$A,$B$4,Tree!$B:$B,$B$5,Tree!$D:$D,$A57,Tree!$F:$F,"L",Tree!$K:$K,"&lt;&gt;"&amp;"Y",Tree!$E:$E,"&gt;="&amp;J$9)))/1000</f>
        <v>#N/A</v>
      </c>
      <c r="K57" s="266" t="e">
        <f t="shared" si="7"/>
        <v>#N/A</v>
      </c>
    </row>
    <row r="58" spans="1:11" ht="15" customHeight="1" x14ac:dyDescent="0.25">
      <c r="A58" s="255" t="str">
        <f t="shared" si="6"/>
        <v>MD</v>
      </c>
      <c r="B58" s="259" t="e">
        <f>IF($A58="Snag",IF($B$5="All",SUMIFS(Tree!$AW:$AW,Tree!$A:$A,$B$4,Tree!$F:$F,"D",Tree!$K:$K,"&lt;&gt;"&amp;"Y",Tree!$E:$E,"&gt;="&amp;B$9,Tree!$E:$E,"&lt;"&amp;B$8)/VLOOKUP($B$4,Stand!$C:$H,6,0),SUMIFS(Tree!$AW:$AW,Tree!$A:$A,$B$4,Tree!$B:$B,$B$5,Tree!$F:$F,"D",Tree!$K:$K,"&lt;&gt;"&amp;"Y",Tree!$E:$E,"&gt;="&amp;B$9,Tree!$E:$E,"&lt;"&amp;B$8)/VLOOKUP($B$4,Stand!$C:$H,6,0)),IF($B$5="All",SUMIFS(Tree!$AW:$AW,Tree!$A:$A,$B$4,Tree!$D:$D,$A58,Tree!$F:$F,"L",Tree!$K:$K,"&lt;&gt;"&amp;"Y",Tree!$E:$E,"&gt;="&amp;B$9,Tree!$E:$E,"&lt;"&amp;B$8)/VLOOKUP($B$4,Stand!$C:$H,6,0),SUMIFS(Tree!$AW:$AW,Tree!$A:$A,$B$4,Tree!$B:$B,$B$5,Tree!$D:$D,$A58,Tree!$F:$F,"L",Tree!$K:$K,"&lt;&gt;"&amp;"Y",Tree!$E:$E,"&gt;="&amp;B$9,Tree!$E:$E,"&lt;"&amp;B$8)))/1000</f>
        <v>#N/A</v>
      </c>
      <c r="C58" s="260" t="e">
        <f>IF($A58="Snag",IF($B$5="All",SUMIFS(Tree!$AW:$AW,Tree!$A:$A,$B$4,Tree!$F:$F,"D",Tree!$K:$K,"&lt;&gt;"&amp;"Y",Tree!$E:$E,"&gt;="&amp;C$9,Tree!$E:$E,"&lt;"&amp;C$8)/VLOOKUP($B$4,Stand!$C:$H,6,0),SUMIFS(Tree!$AW:$AW,Tree!$A:$A,$B$4,Tree!$B:$B,$B$5,Tree!$F:$F,"D",Tree!$K:$K,"&lt;&gt;"&amp;"Y",Tree!$E:$E,"&gt;="&amp;C$9,Tree!$E:$E,"&lt;"&amp;C$8)/VLOOKUP($B$4,Stand!$C:$H,6,0)),IF($B$5="All",SUMIFS(Tree!$AW:$AW,Tree!$A:$A,$B$4,Tree!$D:$D,$A58,Tree!$F:$F,"L",Tree!$K:$K,"&lt;&gt;"&amp;"Y",Tree!$E:$E,"&gt;="&amp;C$9,Tree!$E:$E,"&lt;"&amp;C$8)/VLOOKUP($B$4,Stand!$C:$H,6,0),SUMIFS(Tree!$AW:$AW,Tree!$A:$A,$B$4,Tree!$B:$B,$B$5,Tree!$D:$D,$A58,Tree!$F:$F,"L",Tree!$K:$K,"&lt;&gt;"&amp;"Y",Tree!$E:$E,"&gt;="&amp;C$9,Tree!$E:$E,"&lt;"&amp;C$8)))/1000</f>
        <v>#N/A</v>
      </c>
      <c r="D58" s="260" t="e">
        <f>IF($A58="Snag",IF($B$5="All",SUMIFS(Tree!$AW:$AW,Tree!$A:$A,$B$4,Tree!$F:$F,"D",Tree!$K:$K,"&lt;&gt;"&amp;"Y",Tree!$E:$E,"&gt;="&amp;D$9,Tree!$E:$E,"&lt;"&amp;D$8)/VLOOKUP($B$4,Stand!$C:$H,6,0),SUMIFS(Tree!$AW:$AW,Tree!$A:$A,$B$4,Tree!$B:$B,$B$5,Tree!$F:$F,"D",Tree!$K:$K,"&lt;&gt;"&amp;"Y",Tree!$E:$E,"&gt;="&amp;D$9,Tree!$E:$E,"&lt;"&amp;D$8)/VLOOKUP($B$4,Stand!$C:$H,6,0)),IF($B$5="All",SUMIFS(Tree!$AW:$AW,Tree!$A:$A,$B$4,Tree!$D:$D,$A58,Tree!$F:$F,"L",Tree!$K:$K,"&lt;&gt;"&amp;"Y",Tree!$E:$E,"&gt;="&amp;D$9,Tree!$E:$E,"&lt;"&amp;D$8)/VLOOKUP($B$4,Stand!$C:$H,6,0),SUMIFS(Tree!$AW:$AW,Tree!$A:$A,$B$4,Tree!$B:$B,$B$5,Tree!$D:$D,$A58,Tree!$F:$F,"L",Tree!$K:$K,"&lt;&gt;"&amp;"Y",Tree!$E:$E,"&gt;="&amp;D$9,Tree!$E:$E,"&lt;"&amp;D$8)))/1000</f>
        <v>#N/A</v>
      </c>
      <c r="E58" s="260" t="e">
        <f>IF($A58="Snag",IF($B$5="All",SUMIFS(Tree!$AW:$AW,Tree!$A:$A,$B$4,Tree!$F:$F,"D",Tree!$K:$K,"&lt;&gt;"&amp;"Y",Tree!$E:$E,"&gt;="&amp;E$9,Tree!$E:$E,"&lt;"&amp;E$8)/VLOOKUP($B$4,Stand!$C:$H,6,0),SUMIFS(Tree!$AW:$AW,Tree!$A:$A,$B$4,Tree!$B:$B,$B$5,Tree!$F:$F,"D",Tree!$K:$K,"&lt;&gt;"&amp;"Y",Tree!$E:$E,"&gt;="&amp;E$9,Tree!$E:$E,"&lt;"&amp;E$8)/VLOOKUP($B$4,Stand!$C:$H,6,0)),IF($B$5="All",SUMIFS(Tree!$AW:$AW,Tree!$A:$A,$B$4,Tree!$D:$D,$A58,Tree!$F:$F,"L",Tree!$K:$K,"&lt;&gt;"&amp;"Y",Tree!$E:$E,"&gt;="&amp;E$9,Tree!$E:$E,"&lt;"&amp;E$8)/VLOOKUP($B$4,Stand!$C:$H,6,0),SUMIFS(Tree!$AW:$AW,Tree!$A:$A,$B$4,Tree!$B:$B,$B$5,Tree!$D:$D,$A58,Tree!$F:$F,"L",Tree!$K:$K,"&lt;&gt;"&amp;"Y",Tree!$E:$E,"&gt;="&amp;E$9,Tree!$E:$E,"&lt;"&amp;E$8)))/1000</f>
        <v>#N/A</v>
      </c>
      <c r="F58" s="260" t="e">
        <f>IF($A58="Snag",IF($B$5="All",SUMIFS(Tree!$AW:$AW,Tree!$A:$A,$B$4,Tree!$F:$F,"D",Tree!$K:$K,"&lt;&gt;"&amp;"Y",Tree!$E:$E,"&gt;="&amp;F$9,Tree!$E:$E,"&lt;"&amp;F$8)/VLOOKUP($B$4,Stand!$C:$H,6,0),SUMIFS(Tree!$AW:$AW,Tree!$A:$A,$B$4,Tree!$B:$B,$B$5,Tree!$F:$F,"D",Tree!$K:$K,"&lt;&gt;"&amp;"Y",Tree!$E:$E,"&gt;="&amp;F$9,Tree!$E:$E,"&lt;"&amp;F$8)/VLOOKUP($B$4,Stand!$C:$H,6,0)),IF($B$5="All",SUMIFS(Tree!$AW:$AW,Tree!$A:$A,$B$4,Tree!$D:$D,$A58,Tree!$F:$F,"L",Tree!$K:$K,"&lt;&gt;"&amp;"Y",Tree!$E:$E,"&gt;="&amp;F$9,Tree!$E:$E,"&lt;"&amp;F$8)/VLOOKUP($B$4,Stand!$C:$H,6,0),SUMIFS(Tree!$AW:$AW,Tree!$A:$A,$B$4,Tree!$B:$B,$B$5,Tree!$D:$D,$A58,Tree!$F:$F,"L",Tree!$K:$K,"&lt;&gt;"&amp;"Y",Tree!$E:$E,"&gt;="&amp;F$9,Tree!$E:$E,"&lt;"&amp;F$8)))/1000</f>
        <v>#N/A</v>
      </c>
      <c r="G58" s="260" t="e">
        <f>IF($A58="Snag",IF($B$5="All",SUMIFS(Tree!$AW:$AW,Tree!$A:$A,$B$4,Tree!$F:$F,"D",Tree!$K:$K,"&lt;&gt;"&amp;"Y",Tree!$E:$E,"&gt;="&amp;G$9,Tree!$E:$E,"&lt;"&amp;G$8)/VLOOKUP($B$4,Stand!$C:$H,6,0),SUMIFS(Tree!$AW:$AW,Tree!$A:$A,$B$4,Tree!$B:$B,$B$5,Tree!$F:$F,"D",Tree!$K:$K,"&lt;&gt;"&amp;"Y",Tree!$E:$E,"&gt;="&amp;G$9,Tree!$E:$E,"&lt;"&amp;G$8)/VLOOKUP($B$4,Stand!$C:$H,6,0)),IF($B$5="All",SUMIFS(Tree!$AW:$AW,Tree!$A:$A,$B$4,Tree!$D:$D,$A58,Tree!$F:$F,"L",Tree!$K:$K,"&lt;&gt;"&amp;"Y",Tree!$E:$E,"&gt;="&amp;G$9,Tree!$E:$E,"&lt;"&amp;G$8)/VLOOKUP($B$4,Stand!$C:$H,6,0),SUMIFS(Tree!$AW:$AW,Tree!$A:$A,$B$4,Tree!$B:$B,$B$5,Tree!$D:$D,$A58,Tree!$F:$F,"L",Tree!$K:$K,"&lt;&gt;"&amp;"Y",Tree!$E:$E,"&gt;="&amp;G$9,Tree!$E:$E,"&lt;"&amp;G$8)))/1000</f>
        <v>#N/A</v>
      </c>
      <c r="H58" s="260" t="e">
        <f>IF($A58="Snag",IF($B$5="All",SUMIFS(Tree!$AW:$AW,Tree!$A:$A,$B$4,Tree!$F:$F,"D",Tree!$K:$K,"&lt;&gt;"&amp;"Y",Tree!$E:$E,"&gt;="&amp;H$9,Tree!$E:$E,"&lt;"&amp;H$8)/VLOOKUP($B$4,Stand!$C:$H,6,0),SUMIFS(Tree!$AW:$AW,Tree!$A:$A,$B$4,Tree!$B:$B,$B$5,Tree!$F:$F,"D",Tree!$K:$K,"&lt;&gt;"&amp;"Y",Tree!$E:$E,"&gt;="&amp;H$9,Tree!$E:$E,"&lt;"&amp;H$8)/VLOOKUP($B$4,Stand!$C:$H,6,0)),IF($B$5="All",SUMIFS(Tree!$AW:$AW,Tree!$A:$A,$B$4,Tree!$D:$D,$A58,Tree!$F:$F,"L",Tree!$K:$K,"&lt;&gt;"&amp;"Y",Tree!$E:$E,"&gt;="&amp;H$9,Tree!$E:$E,"&lt;"&amp;H$8)/VLOOKUP($B$4,Stand!$C:$H,6,0),SUMIFS(Tree!$AW:$AW,Tree!$A:$A,$B$4,Tree!$B:$B,$B$5,Tree!$D:$D,$A58,Tree!$F:$F,"L",Tree!$K:$K,"&lt;&gt;"&amp;"Y",Tree!$E:$E,"&gt;="&amp;H$9,Tree!$E:$E,"&lt;"&amp;H$8)))/1000</f>
        <v>#N/A</v>
      </c>
      <c r="I58" s="260" t="e">
        <f>IF($A58="Snag",IF($B$5="All",SUMIFS(Tree!$AW:$AW,Tree!$A:$A,$B$4,Tree!$F:$F,"D",Tree!$K:$K,"&lt;&gt;"&amp;"Y",Tree!$E:$E,"&gt;="&amp;I$9,Tree!$E:$E,"&lt;"&amp;I$8)/VLOOKUP($B$4,Stand!$C:$H,6,0),SUMIFS(Tree!$AW:$AW,Tree!$A:$A,$B$4,Tree!$B:$B,$B$5,Tree!$F:$F,"D",Tree!$K:$K,"&lt;&gt;"&amp;"Y",Tree!$E:$E,"&gt;="&amp;I$9,Tree!$E:$E,"&lt;"&amp;I$8)/VLOOKUP($B$4,Stand!$C:$H,6,0)),IF($B$5="All",SUMIFS(Tree!$AW:$AW,Tree!$A:$A,$B$4,Tree!$D:$D,$A58,Tree!$F:$F,"L",Tree!$K:$K,"&lt;&gt;"&amp;"Y",Tree!$E:$E,"&gt;="&amp;I$9,Tree!$E:$E,"&lt;"&amp;I$8)/VLOOKUP($B$4,Stand!$C:$H,6,0),SUMIFS(Tree!$AW:$AW,Tree!$A:$A,$B$4,Tree!$B:$B,$B$5,Tree!$D:$D,$A58,Tree!$F:$F,"L",Tree!$K:$K,"&lt;&gt;"&amp;"Y",Tree!$E:$E,"&gt;="&amp;I$9,Tree!$E:$E,"&lt;"&amp;I$8)))/1000</f>
        <v>#N/A</v>
      </c>
      <c r="J58" s="261" t="e">
        <f>IF($A58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58,Tree!$F:$F,"L",Tree!$K:$K,"&lt;&gt;"&amp;"Y",Tree!$E:$E,"&gt;="&amp;J$9)/VLOOKUP($B$4,Stand!$C:$H,6,0),SUMIFS(Tree!$AW:$AW,Tree!$A:$A,$B$4,Tree!$B:$B,$B$5,Tree!$D:$D,$A58,Tree!$F:$F,"L",Tree!$K:$K,"&lt;&gt;"&amp;"Y",Tree!$E:$E,"&gt;="&amp;J$9)))/1000</f>
        <v>#N/A</v>
      </c>
      <c r="K58" s="266" t="e">
        <f t="shared" si="7"/>
        <v>#N/A</v>
      </c>
    </row>
    <row r="59" spans="1:11" ht="15" customHeight="1" x14ac:dyDescent="0.25">
      <c r="A59" s="94" t="s">
        <v>173</v>
      </c>
      <c r="B59" s="259" t="e">
        <f t="shared" ref="B59:I59" si="8">B61-SUM(B50:B58)</f>
        <v>#N/A</v>
      </c>
      <c r="C59" s="260" t="e">
        <f t="shared" si="8"/>
        <v>#N/A</v>
      </c>
      <c r="D59" s="260" t="e">
        <f t="shared" si="8"/>
        <v>#N/A</v>
      </c>
      <c r="E59" s="260" t="e">
        <f t="shared" si="8"/>
        <v>#N/A</v>
      </c>
      <c r="F59" s="260" t="e">
        <f t="shared" si="8"/>
        <v>#N/A</v>
      </c>
      <c r="G59" s="260" t="e">
        <f t="shared" si="8"/>
        <v>#N/A</v>
      </c>
      <c r="H59" s="260" t="e">
        <f t="shared" si="8"/>
        <v>#N/A</v>
      </c>
      <c r="I59" s="260" t="e">
        <f t="shared" si="8"/>
        <v>#N/A</v>
      </c>
      <c r="J59" s="261" t="e">
        <f>IF($A59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59,Tree!$F:$F,"L",Tree!$K:$K,"&lt;&gt;"&amp;"Y",Tree!$E:$E,"&gt;="&amp;J$9)/VLOOKUP($B$4,Stand!$C:$H,6,0),SUMIFS(Tree!$AW:$AW,Tree!$A:$A,$B$4,Tree!$B:$B,$B$5,Tree!$D:$D,$A59,Tree!$F:$F,"L",Tree!$K:$K,"&lt;&gt;"&amp;"Y",Tree!$E:$E,"&gt;="&amp;J$9)))/1000</f>
        <v>#N/A</v>
      </c>
      <c r="K59" s="266" t="e">
        <f t="shared" si="7"/>
        <v>#N/A</v>
      </c>
    </row>
    <row r="60" spans="1:11" ht="15" customHeight="1" thickBot="1" x14ac:dyDescent="0.3">
      <c r="A60" s="95" t="s">
        <v>79</v>
      </c>
      <c r="B60" s="262" t="e">
        <f>IF($A60="Snag",IF($B$5="All",SUMIFS(Tree!$AW:$AW,Tree!$A:$A,$B$4,Tree!$F:$F,"D",Tree!$K:$K,"&lt;&gt;"&amp;"Y",Tree!$E:$E,"&gt;="&amp;B$9,Tree!$E:$E,"&lt;"&amp;B$8)/VLOOKUP($B$4,Stand!$C:$H,6,0),SUMIFS(Tree!$AW:$AW,Tree!$A:$A,$B$4,Tree!$B:$B,$B$5,Tree!$F:$F,"D",Tree!$K:$K,"&lt;&gt;"&amp;"Y",Tree!$E:$E,"&gt;="&amp;B$9,Tree!$E:$E,"&lt;"&amp;B$8)/VLOOKUP($B$4,Stand!$C:$H,6,0)),IF($B$5="All",SUMIFS(Tree!$AW:$AW,Tree!$A:$A,$B$4,Tree!$D:$D,$A60,Tree!$F:$F,"L",Tree!$K:$K,"&lt;&gt;"&amp;"Y",Tree!$E:$E,"&gt;="&amp;B$9,Tree!$E:$E,"&lt;"&amp;B$8)/VLOOKUP($B$4,Stand!$C:$H,6,0),SUMIFS(Tree!$AW:$AW,Tree!$A:$A,$B$4,Tree!$B:$B,$B$5,Tree!$D:$D,$A60,Tree!$F:$F,"L",Tree!$K:$K,"&lt;&gt;"&amp;"Y",Tree!$E:$E,"&gt;="&amp;B$9,Tree!$E:$E,"&lt;"&amp;B$8)))/1000</f>
        <v>#N/A</v>
      </c>
      <c r="C60" s="263" t="e">
        <f>IF($A60="Snag",IF($B$5="All",SUMIFS(Tree!$AW:$AW,Tree!$A:$A,$B$4,Tree!$F:$F,"D",Tree!$K:$K,"&lt;&gt;"&amp;"Y",Tree!$E:$E,"&gt;="&amp;C$9,Tree!$E:$E,"&lt;"&amp;C$8)/VLOOKUP($B$4,Stand!$C:$H,6,0),SUMIFS(Tree!$AW:$AW,Tree!$A:$A,$B$4,Tree!$B:$B,$B$5,Tree!$F:$F,"D",Tree!$K:$K,"&lt;&gt;"&amp;"Y",Tree!$E:$E,"&gt;="&amp;C$9,Tree!$E:$E,"&lt;"&amp;C$8)/VLOOKUP($B$4,Stand!$C:$H,6,0)),IF($B$5="All",SUMIFS(Tree!$AW:$AW,Tree!$A:$A,$B$4,Tree!$D:$D,$A60,Tree!$F:$F,"L",Tree!$K:$K,"&lt;&gt;"&amp;"Y",Tree!$E:$E,"&gt;="&amp;C$9,Tree!$E:$E,"&lt;"&amp;C$8)/VLOOKUP($B$4,Stand!$C:$H,6,0),SUMIFS(Tree!$AW:$AW,Tree!$A:$A,$B$4,Tree!$B:$B,$B$5,Tree!$D:$D,$A60,Tree!$F:$F,"L",Tree!$K:$K,"&lt;&gt;"&amp;"Y",Tree!$E:$E,"&gt;="&amp;C$9,Tree!$E:$E,"&lt;"&amp;C$8)))/1000</f>
        <v>#N/A</v>
      </c>
      <c r="D60" s="263" t="e">
        <f>IF($A60="Snag",IF($B$5="All",SUMIFS(Tree!$AW:$AW,Tree!$A:$A,$B$4,Tree!$F:$F,"D",Tree!$K:$K,"&lt;&gt;"&amp;"Y",Tree!$E:$E,"&gt;="&amp;D$9,Tree!$E:$E,"&lt;"&amp;D$8)/VLOOKUP($B$4,Stand!$C:$H,6,0),SUMIFS(Tree!$AW:$AW,Tree!$A:$A,$B$4,Tree!$B:$B,$B$5,Tree!$F:$F,"D",Tree!$K:$K,"&lt;&gt;"&amp;"Y",Tree!$E:$E,"&gt;="&amp;D$9,Tree!$E:$E,"&lt;"&amp;D$8)/VLOOKUP($B$4,Stand!$C:$H,6,0)),IF($B$5="All",SUMIFS(Tree!$AW:$AW,Tree!$A:$A,$B$4,Tree!$D:$D,$A60,Tree!$F:$F,"L",Tree!$K:$K,"&lt;&gt;"&amp;"Y",Tree!$E:$E,"&gt;="&amp;D$9,Tree!$E:$E,"&lt;"&amp;D$8)/VLOOKUP($B$4,Stand!$C:$H,6,0),SUMIFS(Tree!$AW:$AW,Tree!$A:$A,$B$4,Tree!$B:$B,$B$5,Tree!$D:$D,$A60,Tree!$F:$F,"L",Tree!$K:$K,"&lt;&gt;"&amp;"Y",Tree!$E:$E,"&gt;="&amp;D$9,Tree!$E:$E,"&lt;"&amp;D$8)))/1000</f>
        <v>#N/A</v>
      </c>
      <c r="E60" s="263" t="e">
        <f>IF($A60="Snag",IF($B$5="All",SUMIFS(Tree!$AW:$AW,Tree!$A:$A,$B$4,Tree!$F:$F,"D",Tree!$K:$K,"&lt;&gt;"&amp;"Y",Tree!$E:$E,"&gt;="&amp;E$9,Tree!$E:$E,"&lt;"&amp;E$8)/VLOOKUP($B$4,Stand!$C:$H,6,0),SUMIFS(Tree!$AW:$AW,Tree!$A:$A,$B$4,Tree!$B:$B,$B$5,Tree!$F:$F,"D",Tree!$K:$K,"&lt;&gt;"&amp;"Y",Tree!$E:$E,"&gt;="&amp;E$9,Tree!$E:$E,"&lt;"&amp;E$8)/VLOOKUP($B$4,Stand!$C:$H,6,0)),IF($B$5="All",SUMIFS(Tree!$AW:$AW,Tree!$A:$A,$B$4,Tree!$D:$D,$A60,Tree!$F:$F,"L",Tree!$K:$K,"&lt;&gt;"&amp;"Y",Tree!$E:$E,"&gt;="&amp;E$9,Tree!$E:$E,"&lt;"&amp;E$8)/VLOOKUP($B$4,Stand!$C:$H,6,0),SUMIFS(Tree!$AW:$AW,Tree!$A:$A,$B$4,Tree!$B:$B,$B$5,Tree!$D:$D,$A60,Tree!$F:$F,"L",Tree!$K:$K,"&lt;&gt;"&amp;"Y",Tree!$E:$E,"&gt;="&amp;E$9,Tree!$E:$E,"&lt;"&amp;E$8)))/1000</f>
        <v>#N/A</v>
      </c>
      <c r="F60" s="263" t="e">
        <f>IF($A60="Snag",IF($B$5="All",SUMIFS(Tree!$AW:$AW,Tree!$A:$A,$B$4,Tree!$F:$F,"D",Tree!$K:$K,"&lt;&gt;"&amp;"Y",Tree!$E:$E,"&gt;="&amp;F$9,Tree!$E:$E,"&lt;"&amp;F$8)/VLOOKUP($B$4,Stand!$C:$H,6,0),SUMIFS(Tree!$AW:$AW,Tree!$A:$A,$B$4,Tree!$B:$B,$B$5,Tree!$F:$F,"D",Tree!$K:$K,"&lt;&gt;"&amp;"Y",Tree!$E:$E,"&gt;="&amp;F$9,Tree!$E:$E,"&lt;"&amp;F$8)/VLOOKUP($B$4,Stand!$C:$H,6,0)),IF($B$5="All",SUMIFS(Tree!$AW:$AW,Tree!$A:$A,$B$4,Tree!$D:$D,$A60,Tree!$F:$F,"L",Tree!$K:$K,"&lt;&gt;"&amp;"Y",Tree!$E:$E,"&gt;="&amp;F$9,Tree!$E:$E,"&lt;"&amp;F$8)/VLOOKUP($B$4,Stand!$C:$H,6,0),SUMIFS(Tree!$AW:$AW,Tree!$A:$A,$B$4,Tree!$B:$B,$B$5,Tree!$D:$D,$A60,Tree!$F:$F,"L",Tree!$K:$K,"&lt;&gt;"&amp;"Y",Tree!$E:$E,"&gt;="&amp;F$9,Tree!$E:$E,"&lt;"&amp;F$8)))/1000</f>
        <v>#N/A</v>
      </c>
      <c r="G60" s="263" t="e">
        <f>IF($A60="Snag",IF($B$5="All",SUMIFS(Tree!$AW:$AW,Tree!$A:$A,$B$4,Tree!$F:$F,"D",Tree!$K:$K,"&lt;&gt;"&amp;"Y",Tree!$E:$E,"&gt;="&amp;G$9,Tree!$E:$E,"&lt;"&amp;G$8)/VLOOKUP($B$4,Stand!$C:$H,6,0),SUMIFS(Tree!$AW:$AW,Tree!$A:$A,$B$4,Tree!$B:$B,$B$5,Tree!$F:$F,"D",Tree!$K:$K,"&lt;&gt;"&amp;"Y",Tree!$E:$E,"&gt;="&amp;G$9,Tree!$E:$E,"&lt;"&amp;G$8)/VLOOKUP($B$4,Stand!$C:$H,6,0)),IF($B$5="All",SUMIFS(Tree!$AW:$AW,Tree!$A:$A,$B$4,Tree!$D:$D,$A60,Tree!$F:$F,"L",Tree!$K:$K,"&lt;&gt;"&amp;"Y",Tree!$E:$E,"&gt;="&amp;G$9,Tree!$E:$E,"&lt;"&amp;G$8)/VLOOKUP($B$4,Stand!$C:$H,6,0),SUMIFS(Tree!$AW:$AW,Tree!$A:$A,$B$4,Tree!$B:$B,$B$5,Tree!$D:$D,$A60,Tree!$F:$F,"L",Tree!$K:$K,"&lt;&gt;"&amp;"Y",Tree!$E:$E,"&gt;="&amp;G$9,Tree!$E:$E,"&lt;"&amp;G$8)))/1000</f>
        <v>#N/A</v>
      </c>
      <c r="H60" s="263" t="e">
        <f>IF($A60="Snag",IF($B$5="All",SUMIFS(Tree!$AW:$AW,Tree!$A:$A,$B$4,Tree!$F:$F,"D",Tree!$K:$K,"&lt;&gt;"&amp;"Y",Tree!$E:$E,"&gt;="&amp;H$9,Tree!$E:$E,"&lt;"&amp;H$8)/VLOOKUP($B$4,Stand!$C:$H,6,0),SUMIFS(Tree!$AW:$AW,Tree!$A:$A,$B$4,Tree!$B:$B,$B$5,Tree!$F:$F,"D",Tree!$K:$K,"&lt;&gt;"&amp;"Y",Tree!$E:$E,"&gt;="&amp;H$9,Tree!$E:$E,"&lt;"&amp;H$8)/VLOOKUP($B$4,Stand!$C:$H,6,0)),IF($B$5="All",SUMIFS(Tree!$AW:$AW,Tree!$A:$A,$B$4,Tree!$D:$D,$A60,Tree!$F:$F,"L",Tree!$K:$K,"&lt;&gt;"&amp;"Y",Tree!$E:$E,"&gt;="&amp;H$9,Tree!$E:$E,"&lt;"&amp;H$8)/VLOOKUP($B$4,Stand!$C:$H,6,0),SUMIFS(Tree!$AW:$AW,Tree!$A:$A,$B$4,Tree!$B:$B,$B$5,Tree!$D:$D,$A60,Tree!$F:$F,"L",Tree!$K:$K,"&lt;&gt;"&amp;"Y",Tree!$E:$E,"&gt;="&amp;H$9,Tree!$E:$E,"&lt;"&amp;H$8)))/1000</f>
        <v>#N/A</v>
      </c>
      <c r="I60" s="263" t="e">
        <f>IF($A60="Snag",IF($B$5="All",SUMIFS(Tree!$AW:$AW,Tree!$A:$A,$B$4,Tree!$F:$F,"D",Tree!$K:$K,"&lt;&gt;"&amp;"Y",Tree!$E:$E,"&gt;="&amp;I$9,Tree!$E:$E,"&lt;"&amp;I$8)/VLOOKUP($B$4,Stand!$C:$H,6,0),SUMIFS(Tree!$AW:$AW,Tree!$A:$A,$B$4,Tree!$B:$B,$B$5,Tree!$F:$F,"D",Tree!$K:$K,"&lt;&gt;"&amp;"Y",Tree!$E:$E,"&gt;="&amp;I$9,Tree!$E:$E,"&lt;"&amp;I$8)/VLOOKUP($B$4,Stand!$C:$H,6,0)),IF($B$5="All",SUMIFS(Tree!$AW:$AW,Tree!$A:$A,$B$4,Tree!$D:$D,$A60,Tree!$F:$F,"L",Tree!$K:$K,"&lt;&gt;"&amp;"Y",Tree!$E:$E,"&gt;="&amp;I$9,Tree!$E:$E,"&lt;"&amp;I$8)/VLOOKUP($B$4,Stand!$C:$H,6,0),SUMIFS(Tree!$AW:$AW,Tree!$A:$A,$B$4,Tree!$B:$B,$B$5,Tree!$D:$D,$A60,Tree!$F:$F,"L",Tree!$K:$K,"&lt;&gt;"&amp;"Y",Tree!$E:$E,"&gt;="&amp;I$9,Tree!$E:$E,"&lt;"&amp;I$8)))/1000</f>
        <v>#N/A</v>
      </c>
      <c r="J60" s="264" t="e">
        <f>IF($A60="Snag",IF($B$5="All",SUMIFS(Tree!$AW:$AW,Tree!$A:$A,$B$4,Tree!$F:$F,"D",Tree!$K:$K,"&lt;&gt;"&amp;"Y",Tree!$E:$E,"&gt;="&amp;J$9)/VLOOKUP($B$4,Stand!$C:$H,6,0),SUMIFS(Tree!$AW:$AW,Tree!$A:$A,$B$4,Tree!$B:$B,$B$5,Tree!$F:$F,"D",Tree!$K:$K,"&lt;&gt;"&amp;"Y",Tree!$E:$E,"&gt;="&amp;J$9)/VLOOKUP($B$4,Stand!$C:$H,6,0)),IF($B$5="All",SUMIFS(Tree!$AW:$AW,Tree!$A:$A,$B$4,Tree!$D:$D,$A60,Tree!$F:$F,"L",Tree!$K:$K,"&lt;&gt;"&amp;"Y",Tree!$E:$E,"&gt;="&amp;J$9)/VLOOKUP($B$4,Stand!$C:$H,6,0),SUMIFS(Tree!$AW:$AW,Tree!$A:$A,$B$4,Tree!$B:$B,$B$5,Tree!$D:$D,$A60,Tree!$F:$F,"L",Tree!$K:$K,"&lt;&gt;"&amp;"Y",Tree!$E:$E,"&gt;="&amp;J$9)))/1000</f>
        <v>#N/A</v>
      </c>
      <c r="K60" s="267" t="e">
        <f t="shared" si="7"/>
        <v>#N/A</v>
      </c>
    </row>
    <row r="61" spans="1:11" ht="15" customHeight="1" thickBot="1" x14ac:dyDescent="0.3">
      <c r="A61" s="243" t="s">
        <v>169</v>
      </c>
      <c r="B61" s="268" t="e">
        <f>IF($B$5="All",SUMIFS(Tree!$AW:$AW,Tree!$A:$A,$B$4,Tree!$F:$F,"L",Tree!$K:$K,"&lt;&gt;"&amp;"Y",Tree!$E:$E,"&gt;="&amp;B$9,Tree!$E:$E,"&lt;"&amp;B$8)/VLOOKUP($B$4,Stand!$C:$H,6,0),SUMIFS(Tree!$AW:$AW,Tree!$A:$A,$B$4,Tree!$B:$B,$B$5,Tree!$F:$F,"L",Tree!$K:$K,"&lt;&gt;"&amp;"Y",Tree!$E:$E,"&gt;="&amp;B$9,Tree!$E:$E,"&lt;"&amp;B$8))/1000</f>
        <v>#N/A</v>
      </c>
      <c r="C61" s="269" t="e">
        <f>IF($B$5="All",SUMIFS(Tree!$AW:$AW,Tree!$A:$A,$B$4,Tree!$F:$F,"L",Tree!$K:$K,"&lt;&gt;"&amp;"Y",Tree!$E:$E,"&gt;="&amp;C$9,Tree!$E:$E,"&lt;"&amp;C$8)/VLOOKUP($B$4,Stand!$C:$H,6,0),SUMIFS(Tree!$AW:$AW,Tree!$A:$A,$B$4,Tree!$B:$B,$B$5,Tree!$F:$F,"L",Tree!$K:$K,"&lt;&gt;"&amp;"Y",Tree!$E:$E,"&gt;="&amp;C$9,Tree!$E:$E,"&lt;"&amp;C$8))/1000</f>
        <v>#N/A</v>
      </c>
      <c r="D61" s="269" t="e">
        <f>IF($B$5="All",SUMIFS(Tree!$AW:$AW,Tree!$A:$A,$B$4,Tree!$F:$F,"L",Tree!$K:$K,"&lt;&gt;"&amp;"Y",Tree!$E:$E,"&gt;="&amp;D$9,Tree!$E:$E,"&lt;"&amp;D$8)/VLOOKUP($B$4,Stand!$C:$H,6,0),SUMIFS(Tree!$AW:$AW,Tree!$A:$A,$B$4,Tree!$B:$B,$B$5,Tree!$F:$F,"L",Tree!$K:$K,"&lt;&gt;"&amp;"Y",Tree!$E:$E,"&gt;="&amp;D$9,Tree!$E:$E,"&lt;"&amp;D$8))/1000</f>
        <v>#N/A</v>
      </c>
      <c r="E61" s="269" t="e">
        <f>IF($B$5="All",SUMIFS(Tree!$AW:$AW,Tree!$A:$A,$B$4,Tree!$F:$F,"L",Tree!$K:$K,"&lt;&gt;"&amp;"Y",Tree!$E:$E,"&gt;="&amp;E$9,Tree!$E:$E,"&lt;"&amp;E$8)/VLOOKUP($B$4,Stand!$C:$H,6,0),SUMIFS(Tree!$AW:$AW,Tree!$A:$A,$B$4,Tree!$B:$B,$B$5,Tree!$F:$F,"L",Tree!$K:$K,"&lt;&gt;"&amp;"Y",Tree!$E:$E,"&gt;="&amp;E$9,Tree!$E:$E,"&lt;"&amp;E$8))/1000</f>
        <v>#N/A</v>
      </c>
      <c r="F61" s="269" t="e">
        <f>IF($B$5="All",SUMIFS(Tree!$AW:$AW,Tree!$A:$A,$B$4,Tree!$F:$F,"L",Tree!$K:$K,"&lt;&gt;"&amp;"Y",Tree!$E:$E,"&gt;="&amp;F$9,Tree!$E:$E,"&lt;"&amp;F$8)/VLOOKUP($B$4,Stand!$C:$H,6,0),SUMIFS(Tree!$AW:$AW,Tree!$A:$A,$B$4,Tree!$B:$B,$B$5,Tree!$F:$F,"L",Tree!$K:$K,"&lt;&gt;"&amp;"Y",Tree!$E:$E,"&gt;="&amp;F$9,Tree!$E:$E,"&lt;"&amp;F$8))/1000</f>
        <v>#N/A</v>
      </c>
      <c r="G61" s="269" t="e">
        <f>IF($B$5="All",SUMIFS(Tree!$AW:$AW,Tree!$A:$A,$B$4,Tree!$F:$F,"L",Tree!$K:$K,"&lt;&gt;"&amp;"Y",Tree!$E:$E,"&gt;="&amp;G$9,Tree!$E:$E,"&lt;"&amp;G$8)/VLOOKUP($B$4,Stand!$C:$H,6,0),SUMIFS(Tree!$AW:$AW,Tree!$A:$A,$B$4,Tree!$B:$B,$B$5,Tree!$F:$F,"L",Tree!$K:$K,"&lt;&gt;"&amp;"Y",Tree!$E:$E,"&gt;="&amp;G$9,Tree!$E:$E,"&lt;"&amp;G$8))/1000</f>
        <v>#N/A</v>
      </c>
      <c r="H61" s="269" t="e">
        <f>IF($B$5="All",SUMIFS(Tree!$AW:$AW,Tree!$A:$A,$B$4,Tree!$F:$F,"L",Tree!$K:$K,"&lt;&gt;"&amp;"Y",Tree!$E:$E,"&gt;="&amp;H$9,Tree!$E:$E,"&lt;"&amp;H$8)/VLOOKUP($B$4,Stand!$C:$H,6,0),SUMIFS(Tree!$AW:$AW,Tree!$A:$A,$B$4,Tree!$B:$B,$B$5,Tree!$F:$F,"L",Tree!$K:$K,"&lt;&gt;"&amp;"Y",Tree!$E:$E,"&gt;="&amp;H$9,Tree!$E:$E,"&lt;"&amp;H$8))/1000</f>
        <v>#N/A</v>
      </c>
      <c r="I61" s="269" t="e">
        <f>IF($B$5="All",SUMIFS(Tree!$AW:$AW,Tree!$A:$A,$B$4,Tree!$F:$F,"L",Tree!$K:$K,"&lt;&gt;"&amp;"Y",Tree!$E:$E,"&gt;="&amp;I$9,Tree!$E:$E,"&lt;"&amp;I$8)/VLOOKUP($B$4,Stand!$C:$H,6,0),SUMIFS(Tree!$AW:$AW,Tree!$A:$A,$B$4,Tree!$B:$B,$B$5,Tree!$F:$F,"L",Tree!$K:$K,"&lt;&gt;"&amp;"Y",Tree!$E:$E,"&gt;="&amp;I$9,Tree!$E:$E,"&lt;"&amp;I$8))/1000</f>
        <v>#N/A</v>
      </c>
      <c r="J61" s="270" t="e">
        <f>IF($B$5="All",SUMIFS(Tree!$AW:$AW,Tree!$A:$A,$B$4,Tree!$F:$F,"L",Tree!$K:$K,"&lt;&gt;"&amp;"Y",Tree!$E:$E,"&gt;="&amp;J$9)/VLOOKUP($B$4,Stand!$C:$H,6,0),SUMIFS(Tree!$AW:$AW,Tree!$A:$A,$B$4,Tree!$B:$B,$B$5,Tree!$F:$F,"L",Tree!$K:$K,"&lt;&gt;"&amp;"Y",Tree!$E:$E,"&gt;="&amp;J$9))/1000</f>
        <v>#N/A</v>
      </c>
      <c r="K61" s="271"/>
    </row>
  </sheetData>
  <sheetProtection algorithmName="SHA-512" hashValue="NXf8oVQZNwJnTG7g+sdPmQUfpqRCwtDkY2g8eNmBgthv03FGEkvmoYNY23e2BKrddJfnIdAfOR5dM4NyH8R00A==" saltValue="zf8/XLBdSspv6dFH80VfTA==" spinCount="100000" sheet="1" objects="1" scenarios="1"/>
  <mergeCells count="5">
    <mergeCell ref="A25:F26"/>
    <mergeCell ref="A45:F46"/>
    <mergeCell ref="B4:C4"/>
    <mergeCell ref="B5:C5"/>
    <mergeCell ref="A1:F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rgb="FFFF0000"/>
  </sheetPr>
  <dimension ref="A1:U29"/>
  <sheetViews>
    <sheetView workbookViewId="0">
      <pane xSplit="2" ySplit="1" topLeftCell="C2" activePane="bottomRight" state="frozen"/>
      <selection pane="topRight"/>
      <selection pane="bottomLeft"/>
      <selection pane="bottomRight" activeCell="G2" sqref="G2"/>
    </sheetView>
  </sheetViews>
  <sheetFormatPr defaultColWidth="8.77734375" defaultRowHeight="13.2" x14ac:dyDescent="0.25"/>
  <cols>
    <col min="1" max="1" width="20" bestFit="1" customWidth="1"/>
    <col min="3" max="5" width="17.77734375" bestFit="1" customWidth="1"/>
    <col min="7" max="7" width="13.44140625" bestFit="1" customWidth="1"/>
    <col min="9" max="9" width="12.44140625" bestFit="1" customWidth="1"/>
    <col min="14" max="14" width="9.44140625" customWidth="1"/>
    <col min="15" max="19" width="8.77734375" style="38"/>
  </cols>
  <sheetData>
    <row r="1" spans="1:21" s="33" customFormat="1" x14ac:dyDescent="0.25">
      <c r="A1" s="35" t="s">
        <v>38</v>
      </c>
      <c r="B1" s="35" t="s">
        <v>8</v>
      </c>
      <c r="C1" s="36" t="s">
        <v>99</v>
      </c>
      <c r="D1" s="36" t="s">
        <v>100</v>
      </c>
      <c r="E1" s="36" t="s">
        <v>101</v>
      </c>
      <c r="F1" s="38"/>
      <c r="G1" s="40" t="s">
        <v>98</v>
      </c>
      <c r="I1" s="40" t="s">
        <v>112</v>
      </c>
      <c r="J1" s="40" t="s">
        <v>113</v>
      </c>
      <c r="K1" s="40" t="s">
        <v>114</v>
      </c>
      <c r="L1" s="40" t="s">
        <v>115</v>
      </c>
      <c r="M1" s="40" t="s">
        <v>116</v>
      </c>
      <c r="O1" s="40" t="s">
        <v>106</v>
      </c>
      <c r="P1" s="40" t="s">
        <v>107</v>
      </c>
      <c r="Q1" s="40" t="s">
        <v>108</v>
      </c>
      <c r="R1" s="40" t="s">
        <v>109</v>
      </c>
      <c r="S1" s="40" t="s">
        <v>110</v>
      </c>
      <c r="T1" s="39"/>
      <c r="U1" s="39"/>
    </row>
    <row r="2" spans="1:21" s="29" customFormat="1" x14ac:dyDescent="0.25">
      <c r="A2" s="29" t="s">
        <v>42</v>
      </c>
      <c r="B2" s="29" t="s">
        <v>30</v>
      </c>
      <c r="C2" s="41">
        <v>-2.7299370000000001</v>
      </c>
      <c r="D2" s="41">
        <v>1.909478</v>
      </c>
      <c r="E2" s="41">
        <v>1.0856809999999999</v>
      </c>
      <c r="G2" s="41">
        <v>28.08</v>
      </c>
      <c r="I2" s="41">
        <v>-4.3102999999999998</v>
      </c>
      <c r="J2" s="41">
        <v>2.4300000000000002</v>
      </c>
      <c r="K2" s="41"/>
      <c r="L2" s="41"/>
      <c r="M2" s="41"/>
      <c r="N2" s="44"/>
      <c r="O2" s="29">
        <v>-3.6941000000000002</v>
      </c>
      <c r="P2" s="29">
        <v>2.1381999999999999</v>
      </c>
    </row>
    <row r="3" spans="1:21" s="29" customFormat="1" x14ac:dyDescent="0.25">
      <c r="A3" s="29" t="s">
        <v>65</v>
      </c>
      <c r="B3" s="29" t="s">
        <v>32</v>
      </c>
      <c r="C3" s="41">
        <v>-2.770324</v>
      </c>
      <c r="D3" s="41">
        <v>1.885813</v>
      </c>
      <c r="E3" s="41">
        <v>1.119043</v>
      </c>
      <c r="G3" s="41">
        <v>27.46</v>
      </c>
      <c r="I3" s="42">
        <v>2.4691599999999999E-5</v>
      </c>
      <c r="J3" s="41">
        <v>-0.21235000000000001</v>
      </c>
      <c r="K3" s="41">
        <v>0.94782</v>
      </c>
      <c r="L3" s="41">
        <v>2.3543470000000002</v>
      </c>
      <c r="M3" s="41">
        <v>0.69586000000000003</v>
      </c>
      <c r="N3" s="44"/>
      <c r="O3" s="29">
        <v>4.0543553000000001</v>
      </c>
      <c r="P3" s="29">
        <v>2.1505000000000001</v>
      </c>
      <c r="Q3" s="29">
        <v>4.6761999999999997</v>
      </c>
      <c r="R3" s="29">
        <v>1.6299999999999999E-2</v>
      </c>
      <c r="S3" s="29">
        <v>2.0390000000000001</v>
      </c>
    </row>
    <row r="4" spans="1:21" s="29" customFormat="1" x14ac:dyDescent="0.25">
      <c r="A4" s="45" t="s">
        <v>261</v>
      </c>
      <c r="B4" s="29" t="s">
        <v>78</v>
      </c>
      <c r="C4" s="41">
        <v>-2.770324</v>
      </c>
      <c r="D4" s="41">
        <v>1.885813</v>
      </c>
      <c r="E4" s="41">
        <v>1.119043</v>
      </c>
      <c r="G4" s="41">
        <v>37.090000000000003</v>
      </c>
      <c r="I4" s="42">
        <v>2.4691599999999999E-5</v>
      </c>
      <c r="J4" s="41">
        <v>-0.21235000000000001</v>
      </c>
      <c r="K4" s="41">
        <v>0.94782</v>
      </c>
      <c r="L4" s="41">
        <v>2.3543470000000002</v>
      </c>
      <c r="M4" s="41">
        <v>0.69586000000000003</v>
      </c>
      <c r="N4" s="44"/>
      <c r="O4" s="29">
        <v>4.0543553000000001</v>
      </c>
      <c r="P4" s="29">
        <v>2.1505000000000001</v>
      </c>
      <c r="Q4" s="29">
        <v>4.6761999999999997</v>
      </c>
      <c r="R4" s="29">
        <v>1.6299999999999999E-2</v>
      </c>
      <c r="S4" s="29">
        <v>2.0390000000000001</v>
      </c>
    </row>
    <row r="5" spans="1:21" s="29" customFormat="1" x14ac:dyDescent="0.25">
      <c r="A5" s="29" t="s">
        <v>74</v>
      </c>
      <c r="B5" s="29" t="s">
        <v>75</v>
      </c>
      <c r="C5" s="41">
        <v>-2.770324</v>
      </c>
      <c r="D5" s="41">
        <v>1.885813</v>
      </c>
      <c r="E5" s="41">
        <v>1.119043</v>
      </c>
      <c r="G5" s="41">
        <v>36.19</v>
      </c>
      <c r="I5" s="42">
        <v>2.4691599999999999E-5</v>
      </c>
      <c r="J5" s="41">
        <v>-0.21235000000000001</v>
      </c>
      <c r="K5" s="41">
        <v>0.94782</v>
      </c>
      <c r="L5" s="41">
        <v>2.3543470000000002</v>
      </c>
      <c r="M5" s="41">
        <v>0.69586000000000003</v>
      </c>
      <c r="N5" s="44"/>
      <c r="O5" s="29">
        <v>3.0136552999999999</v>
      </c>
      <c r="P5" s="29">
        <v>2.4839000000000002</v>
      </c>
      <c r="Q5" s="29">
        <v>1.6012999999999999</v>
      </c>
      <c r="R5" s="29">
        <v>0.106</v>
      </c>
      <c r="S5" s="29">
        <v>1.3089999999999999</v>
      </c>
    </row>
    <row r="6" spans="1:21" s="29" customFormat="1" x14ac:dyDescent="0.25">
      <c r="A6" s="29" t="s">
        <v>77</v>
      </c>
      <c r="B6" s="29" t="s">
        <v>29</v>
      </c>
      <c r="C6" s="41">
        <v>-2.6727750000000001</v>
      </c>
      <c r="D6" s="41">
        <v>1.920617</v>
      </c>
      <c r="E6" s="41">
        <v>1.0740240000000001</v>
      </c>
      <c r="G6" s="41">
        <v>23.09</v>
      </c>
      <c r="I6" s="41">
        <v>-4.6424000000000003</v>
      </c>
      <c r="J6" s="41">
        <v>2.4617</v>
      </c>
      <c r="K6" s="41"/>
      <c r="L6" s="41"/>
      <c r="M6" s="41"/>
      <c r="N6" s="44"/>
      <c r="O6" s="29">
        <v>-4.5648</v>
      </c>
      <c r="P6" s="29">
        <v>2.6232000000000002</v>
      </c>
      <c r="Q6" s="29">
        <v>2.7637999999999998</v>
      </c>
      <c r="R6" s="29">
        <v>6.2E-2</v>
      </c>
      <c r="S6" s="29">
        <v>1.3364</v>
      </c>
    </row>
    <row r="7" spans="1:21" s="29" customFormat="1" x14ac:dyDescent="0.25">
      <c r="A7" s="29" t="s">
        <v>72</v>
      </c>
      <c r="B7" s="29" t="s">
        <v>73</v>
      </c>
      <c r="C7" s="41">
        <v>-2.6727750000000001</v>
      </c>
      <c r="D7" s="41">
        <v>1.920617</v>
      </c>
      <c r="E7" s="41">
        <v>1.0740240000000001</v>
      </c>
      <c r="G7" s="41">
        <v>31.2</v>
      </c>
      <c r="I7" s="41">
        <v>-1.2</v>
      </c>
      <c r="J7" s="41">
        <v>24</v>
      </c>
      <c r="K7" s="41"/>
      <c r="L7" s="41"/>
      <c r="M7" s="41"/>
      <c r="N7" s="44"/>
      <c r="O7" s="29">
        <v>-4.5648</v>
      </c>
      <c r="P7" s="29">
        <v>2.6232000000000002</v>
      </c>
      <c r="Q7" s="29">
        <v>2.7637999999999998</v>
      </c>
      <c r="R7" s="29">
        <v>6.2E-2</v>
      </c>
      <c r="S7" s="29">
        <v>1.3364</v>
      </c>
    </row>
    <row r="8" spans="1:21" s="29" customFormat="1" x14ac:dyDescent="0.25">
      <c r="A8" s="29" t="s">
        <v>70</v>
      </c>
      <c r="B8" s="29" t="s">
        <v>71</v>
      </c>
      <c r="C8" s="41">
        <v>-2.6727750000000001</v>
      </c>
      <c r="D8" s="41">
        <v>1.920617</v>
      </c>
      <c r="E8" s="41">
        <v>1.0740240000000001</v>
      </c>
      <c r="G8" s="41">
        <v>38.06</v>
      </c>
      <c r="I8" s="41">
        <v>-1.2</v>
      </c>
      <c r="J8" s="41">
        <v>24</v>
      </c>
      <c r="K8" s="41"/>
      <c r="L8" s="41"/>
      <c r="M8" s="41"/>
      <c r="N8" s="44"/>
      <c r="O8" s="29">
        <v>-4.5648</v>
      </c>
      <c r="P8" s="29">
        <v>2.6232000000000002</v>
      </c>
      <c r="Q8" s="29">
        <v>2.7637999999999998</v>
      </c>
      <c r="R8" s="29">
        <v>6.2E-2</v>
      </c>
      <c r="S8" s="29">
        <v>1.3364</v>
      </c>
    </row>
    <row r="9" spans="1:21" s="29" customFormat="1" x14ac:dyDescent="0.25">
      <c r="A9" s="29" t="s">
        <v>44</v>
      </c>
      <c r="B9" s="29" t="s">
        <v>45</v>
      </c>
      <c r="C9" s="41">
        <v>-2.7299370000000001</v>
      </c>
      <c r="D9" s="41">
        <v>1.909478</v>
      </c>
      <c r="E9" s="41">
        <v>1.0856809999999999</v>
      </c>
      <c r="G9" s="41">
        <v>21.84</v>
      </c>
      <c r="I9" s="41">
        <v>0.6</v>
      </c>
      <c r="J9" s="41">
        <v>16.399999999999999</v>
      </c>
      <c r="K9" s="41"/>
      <c r="L9" s="41"/>
      <c r="M9" s="41"/>
      <c r="N9" s="44"/>
      <c r="O9" s="29">
        <v>13</v>
      </c>
      <c r="P9" s="29">
        <v>12.4</v>
      </c>
    </row>
    <row r="10" spans="1:21" s="29" customFormat="1" x14ac:dyDescent="0.25">
      <c r="A10" s="29" t="s">
        <v>61</v>
      </c>
      <c r="B10" s="29" t="s">
        <v>62</v>
      </c>
      <c r="C10" s="41">
        <v>-2.6580249999999999</v>
      </c>
      <c r="D10" s="41">
        <v>1.7399249999999999</v>
      </c>
      <c r="E10" s="41">
        <v>1.1331869999999999</v>
      </c>
      <c r="G10" s="41">
        <v>23.09</v>
      </c>
      <c r="I10" s="41">
        <v>0.6</v>
      </c>
      <c r="J10" s="41">
        <v>16.399999999999999</v>
      </c>
      <c r="K10" s="41"/>
      <c r="L10" s="41"/>
      <c r="M10" s="41"/>
      <c r="N10" s="44"/>
      <c r="O10" s="29">
        <v>13</v>
      </c>
      <c r="P10" s="29">
        <v>12.4</v>
      </c>
    </row>
    <row r="11" spans="1:21" s="29" customFormat="1" x14ac:dyDescent="0.25">
      <c r="A11" s="29" t="s">
        <v>43</v>
      </c>
      <c r="B11" s="38" t="s">
        <v>34</v>
      </c>
      <c r="C11" s="37">
        <v>-2.6155910000000002</v>
      </c>
      <c r="D11" s="37">
        <v>1.847504</v>
      </c>
      <c r="E11" s="37">
        <v>1.085772</v>
      </c>
      <c r="F11" s="38"/>
      <c r="G11" s="37">
        <v>20.59</v>
      </c>
      <c r="H11" s="38"/>
      <c r="I11" s="37">
        <v>4.5</v>
      </c>
      <c r="J11" s="37">
        <v>9.3000000000000007</v>
      </c>
      <c r="K11" s="37"/>
      <c r="L11" s="37"/>
      <c r="M11" s="37"/>
      <c r="N11" s="32"/>
      <c r="O11" s="38">
        <v>16.8</v>
      </c>
      <c r="P11" s="38">
        <v>14.4</v>
      </c>
      <c r="Q11" s="38"/>
      <c r="R11" s="38"/>
      <c r="S11" s="38"/>
    </row>
    <row r="12" spans="1:21" x14ac:dyDescent="0.25">
      <c r="A12" s="29" t="s">
        <v>55</v>
      </c>
      <c r="B12" s="38" t="s">
        <v>56</v>
      </c>
      <c r="C12" s="37">
        <v>-2.5502989999999999</v>
      </c>
      <c r="D12" s="37">
        <v>1.8356779999999999</v>
      </c>
      <c r="E12" s="37">
        <v>1.0425990000000001</v>
      </c>
      <c r="F12" s="38"/>
      <c r="G12" s="37">
        <v>20.59</v>
      </c>
      <c r="I12" s="37">
        <v>1.3</v>
      </c>
      <c r="J12" s="37">
        <v>12.6</v>
      </c>
      <c r="K12" s="37"/>
      <c r="L12" s="37"/>
      <c r="M12" s="37"/>
      <c r="N12" s="32"/>
      <c r="O12" s="38">
        <v>9.6999999999999993</v>
      </c>
      <c r="P12" s="38">
        <v>22</v>
      </c>
      <c r="T12" s="29"/>
      <c r="U12" s="29"/>
    </row>
    <row r="13" spans="1:21" x14ac:dyDescent="0.25">
      <c r="A13" s="29" t="s">
        <v>59</v>
      </c>
      <c r="B13" s="38" t="s">
        <v>60</v>
      </c>
      <c r="C13" s="37">
        <v>-2.4801449999999998</v>
      </c>
      <c r="D13" s="37">
        <v>1.867286</v>
      </c>
      <c r="E13" s="37">
        <v>0.99435099999999998</v>
      </c>
      <c r="F13" s="38"/>
      <c r="G13" s="37">
        <v>22.46</v>
      </c>
      <c r="I13" s="37">
        <v>1.2</v>
      </c>
      <c r="J13" s="37">
        <v>11.2</v>
      </c>
      <c r="K13" s="37"/>
      <c r="L13" s="37"/>
      <c r="M13" s="37"/>
      <c r="N13" s="32"/>
      <c r="O13" s="38">
        <v>9.5</v>
      </c>
      <c r="P13" s="38">
        <v>16.8</v>
      </c>
      <c r="T13" s="29"/>
      <c r="U13" s="29"/>
    </row>
    <row r="14" spans="1:21" x14ac:dyDescent="0.25">
      <c r="A14" s="29" t="s">
        <v>53</v>
      </c>
      <c r="B14" s="29" t="s">
        <v>54</v>
      </c>
      <c r="C14" s="41">
        <v>-2.379642</v>
      </c>
      <c r="D14" s="41">
        <v>1.6822999999999999</v>
      </c>
      <c r="E14" s="41">
        <v>1.039712</v>
      </c>
      <c r="F14" s="29"/>
      <c r="G14" s="41">
        <v>37.44</v>
      </c>
      <c r="H14" s="29"/>
      <c r="I14" s="41">
        <v>0.33600000000000002</v>
      </c>
      <c r="J14" s="41">
        <v>5.8E-4</v>
      </c>
      <c r="K14" s="41"/>
      <c r="L14" s="41"/>
      <c r="M14" s="41"/>
      <c r="N14" s="32"/>
      <c r="O14" s="29">
        <v>0.19900000000000001</v>
      </c>
      <c r="P14" s="29">
        <v>3.81E-3</v>
      </c>
      <c r="Q14" s="29"/>
      <c r="R14" s="29"/>
      <c r="S14" s="29"/>
      <c r="T14" s="29"/>
      <c r="U14" s="29"/>
    </row>
    <row r="15" spans="1:21" x14ac:dyDescent="0.25">
      <c r="A15" s="29" t="s">
        <v>58</v>
      </c>
      <c r="B15" s="29" t="s">
        <v>33</v>
      </c>
      <c r="C15" s="41">
        <v>-2.4411930000000002</v>
      </c>
      <c r="D15" s="41">
        <v>1.720761</v>
      </c>
      <c r="E15" s="41">
        <v>1.049976</v>
      </c>
      <c r="F15" s="29"/>
      <c r="G15" s="41">
        <v>19.34</v>
      </c>
      <c r="H15" s="29"/>
      <c r="I15" s="41">
        <v>0.33600000000000002</v>
      </c>
      <c r="J15" s="41">
        <v>5.8E-4</v>
      </c>
      <c r="K15" s="41"/>
      <c r="L15" s="41"/>
      <c r="M15" s="41"/>
      <c r="N15" s="32"/>
      <c r="O15" s="29">
        <v>0.19900000000000001</v>
      </c>
      <c r="P15" s="29">
        <v>3.81E-3</v>
      </c>
      <c r="Q15" s="29"/>
      <c r="R15" s="29"/>
      <c r="S15" s="29"/>
      <c r="T15" s="29"/>
      <c r="U15" s="29"/>
    </row>
    <row r="16" spans="1:21" x14ac:dyDescent="0.25">
      <c r="A16" s="29" t="s">
        <v>46</v>
      </c>
      <c r="B16" s="38" t="s">
        <v>47</v>
      </c>
      <c r="C16" s="37">
        <v>-2.6155910000000002</v>
      </c>
      <c r="D16" s="37">
        <v>1.847504</v>
      </c>
      <c r="E16" s="37">
        <v>1.085772</v>
      </c>
      <c r="F16" s="38"/>
      <c r="G16" s="37">
        <v>23.71</v>
      </c>
      <c r="I16" s="37">
        <v>3.2</v>
      </c>
      <c r="J16" s="37">
        <v>9.1</v>
      </c>
      <c r="K16" s="37"/>
      <c r="L16" s="37"/>
      <c r="M16" s="37"/>
      <c r="N16" s="32"/>
      <c r="O16" s="29">
        <v>7.8</v>
      </c>
      <c r="P16" s="29">
        <v>12.3</v>
      </c>
      <c r="T16" s="29"/>
      <c r="U16" s="29"/>
    </row>
    <row r="17" spans="1:21" x14ac:dyDescent="0.25">
      <c r="A17" s="29" t="s">
        <v>63</v>
      </c>
      <c r="B17" s="38" t="s">
        <v>64</v>
      </c>
      <c r="C17" s="37">
        <v>-2.6727750000000001</v>
      </c>
      <c r="D17" s="37">
        <v>1.920617</v>
      </c>
      <c r="E17" s="37">
        <v>1.0740240000000001</v>
      </c>
      <c r="F17" s="38"/>
      <c r="G17" s="37">
        <v>21.84</v>
      </c>
      <c r="I17" s="37">
        <v>1.3</v>
      </c>
      <c r="J17" s="37">
        <v>27.6</v>
      </c>
      <c r="K17" s="37"/>
      <c r="L17" s="37"/>
      <c r="M17" s="37"/>
      <c r="N17" s="32"/>
      <c r="O17" s="29">
        <v>1.7</v>
      </c>
      <c r="P17" s="29">
        <v>26.2</v>
      </c>
      <c r="T17" s="29"/>
      <c r="U17" s="29"/>
    </row>
    <row r="18" spans="1:21" x14ac:dyDescent="0.25">
      <c r="A18" s="29" t="s">
        <v>66</v>
      </c>
      <c r="B18" s="38" t="s">
        <v>67</v>
      </c>
      <c r="C18" s="37">
        <v>-2.9450470000000002</v>
      </c>
      <c r="D18" s="37">
        <v>1.803973</v>
      </c>
      <c r="E18" s="37">
        <v>1.238853</v>
      </c>
      <c r="F18" s="38"/>
      <c r="G18" s="37">
        <v>19.34</v>
      </c>
      <c r="I18" s="37">
        <v>1.2</v>
      </c>
      <c r="J18" s="37">
        <v>15.5</v>
      </c>
      <c r="K18" s="37"/>
      <c r="L18" s="37"/>
      <c r="M18" s="37"/>
      <c r="N18" s="32"/>
      <c r="O18" s="29">
        <v>2.5</v>
      </c>
      <c r="P18" s="29">
        <v>36.799999999999997</v>
      </c>
      <c r="T18" s="29"/>
      <c r="U18" s="29"/>
    </row>
    <row r="19" spans="1:21" x14ac:dyDescent="0.25">
      <c r="A19" s="29" t="s">
        <v>52</v>
      </c>
      <c r="B19" s="38" t="s">
        <v>35</v>
      </c>
      <c r="C19" s="37">
        <v>-2.702922</v>
      </c>
      <c r="D19" s="37">
        <v>1.8426800000000001</v>
      </c>
      <c r="E19" s="37">
        <v>1.123661</v>
      </c>
      <c r="F19" s="38"/>
      <c r="G19" s="37">
        <v>24.96</v>
      </c>
      <c r="I19" s="37">
        <v>1</v>
      </c>
      <c r="J19" s="37">
        <v>15.6</v>
      </c>
      <c r="K19" s="37"/>
      <c r="L19" s="37"/>
      <c r="M19" s="37"/>
      <c r="N19" s="32"/>
      <c r="O19" s="29">
        <v>4.5</v>
      </c>
      <c r="P19" s="29">
        <v>22.7</v>
      </c>
      <c r="T19" s="29"/>
      <c r="U19" s="29"/>
    </row>
    <row r="20" spans="1:21" x14ac:dyDescent="0.25">
      <c r="A20" s="29" t="s">
        <v>40</v>
      </c>
      <c r="B20" s="38" t="s">
        <v>41</v>
      </c>
      <c r="C20" s="37">
        <v>-2.454348</v>
      </c>
      <c r="D20" s="37">
        <v>1.741044</v>
      </c>
      <c r="E20" s="37">
        <v>1.0584370000000001</v>
      </c>
      <c r="F20" s="38"/>
      <c r="G20" s="37">
        <v>26.21</v>
      </c>
      <c r="I20" s="37">
        <v>1.8</v>
      </c>
      <c r="J20" s="37">
        <v>9.6</v>
      </c>
      <c r="K20" s="37"/>
      <c r="L20" s="37"/>
      <c r="M20" s="37"/>
      <c r="N20" s="32"/>
      <c r="O20" s="29">
        <v>5.3</v>
      </c>
      <c r="P20" s="29">
        <v>9.6999999999999993</v>
      </c>
      <c r="T20" s="29"/>
      <c r="U20" s="29"/>
    </row>
    <row r="21" spans="1:21" x14ac:dyDescent="0.25">
      <c r="A21" s="29" t="s">
        <v>48</v>
      </c>
      <c r="B21" s="38" t="s">
        <v>49</v>
      </c>
      <c r="C21" s="37">
        <v>-2.6155910000000002</v>
      </c>
      <c r="D21" s="37">
        <v>1.847504</v>
      </c>
      <c r="E21" s="37">
        <v>1.085772</v>
      </c>
      <c r="F21" s="38"/>
      <c r="G21" s="37">
        <v>29.95</v>
      </c>
      <c r="I21" s="37">
        <v>2.4</v>
      </c>
      <c r="J21" s="37">
        <v>15</v>
      </c>
      <c r="K21" s="37"/>
      <c r="L21" s="37"/>
      <c r="M21" s="37"/>
      <c r="N21" s="32"/>
      <c r="O21" s="29">
        <v>20.399999999999999</v>
      </c>
      <c r="P21" s="29">
        <v>7.7</v>
      </c>
      <c r="T21" s="29"/>
      <c r="U21" s="29"/>
    </row>
    <row r="22" spans="1:21" s="29" customFormat="1" x14ac:dyDescent="0.25">
      <c r="A22" s="29" t="s">
        <v>50</v>
      </c>
      <c r="B22" s="29" t="s">
        <v>51</v>
      </c>
      <c r="C22" s="41">
        <v>-2.702922</v>
      </c>
      <c r="D22" s="41">
        <v>1.8426800000000001</v>
      </c>
      <c r="E22" s="41">
        <v>1.123661</v>
      </c>
      <c r="G22" s="41">
        <v>23.09</v>
      </c>
      <c r="I22" s="41">
        <v>-2.5000000000000001E-2</v>
      </c>
      <c r="J22" s="41">
        <v>1.34E-3</v>
      </c>
      <c r="K22" s="41"/>
      <c r="L22" s="41"/>
      <c r="M22" s="41"/>
      <c r="N22" s="32"/>
      <c r="O22" s="29">
        <v>4.7E-2</v>
      </c>
      <c r="P22" s="29">
        <v>4.13E-3</v>
      </c>
    </row>
    <row r="23" spans="1:21" x14ac:dyDescent="0.25">
      <c r="A23" s="29" t="s">
        <v>57</v>
      </c>
      <c r="B23" s="29" t="s">
        <v>31</v>
      </c>
      <c r="C23" s="41">
        <v>-2.702922</v>
      </c>
      <c r="D23" s="41">
        <v>1.8426800000000001</v>
      </c>
      <c r="E23" s="41">
        <v>1.123661</v>
      </c>
      <c r="F23" s="29"/>
      <c r="G23" s="41">
        <v>26.21</v>
      </c>
      <c r="H23" s="29"/>
      <c r="I23" s="41">
        <v>-2.5000000000000001E-2</v>
      </c>
      <c r="J23" s="41">
        <v>1.34E-3</v>
      </c>
      <c r="K23" s="41"/>
      <c r="L23" s="41"/>
      <c r="M23" s="41"/>
      <c r="N23" s="32"/>
      <c r="O23" s="29">
        <v>4.7E-2</v>
      </c>
      <c r="P23" s="29">
        <v>4.13E-3</v>
      </c>
      <c r="Q23" s="29"/>
      <c r="R23" s="29"/>
      <c r="S23" s="29"/>
      <c r="T23" s="29"/>
      <c r="U23" s="29"/>
    </row>
    <row r="24" spans="1:21" x14ac:dyDescent="0.25">
      <c r="A24" s="29" t="s">
        <v>68</v>
      </c>
      <c r="B24" s="38" t="s">
        <v>69</v>
      </c>
      <c r="C24" s="37">
        <v>-2.7578130000000001</v>
      </c>
      <c r="D24" s="37">
        <v>1.911681</v>
      </c>
      <c r="E24" s="37">
        <v>1.1054029999999999</v>
      </c>
      <c r="F24" s="38"/>
      <c r="G24" s="37">
        <v>29.33</v>
      </c>
      <c r="I24" s="37">
        <v>-1.2</v>
      </c>
      <c r="J24" s="37">
        <v>29.1</v>
      </c>
      <c r="K24" s="37"/>
      <c r="L24" s="37"/>
      <c r="M24" s="37"/>
      <c r="N24" s="32"/>
      <c r="O24" s="29">
        <v>-0.06</v>
      </c>
      <c r="P24" s="29">
        <v>45.1</v>
      </c>
      <c r="T24" s="29"/>
      <c r="U24" s="29"/>
    </row>
    <row r="25" spans="1:21" x14ac:dyDescent="0.25">
      <c r="A25" s="29" t="s">
        <v>76</v>
      </c>
      <c r="B25" s="38" t="s">
        <v>103</v>
      </c>
      <c r="C25" s="37">
        <v>-2.7578130000000001</v>
      </c>
      <c r="D25" s="37">
        <v>1.911681</v>
      </c>
      <c r="E25" s="37">
        <v>1.1054029999999999</v>
      </c>
      <c r="F25" s="38"/>
      <c r="G25" s="37">
        <v>29.95</v>
      </c>
      <c r="I25" s="37">
        <v>-1.2</v>
      </c>
      <c r="J25" s="37">
        <v>29.1</v>
      </c>
      <c r="K25" s="37"/>
      <c r="L25" s="37"/>
      <c r="M25" s="37"/>
      <c r="N25" s="32"/>
      <c r="O25" s="29">
        <v>-0.06</v>
      </c>
      <c r="P25" s="29">
        <v>45.1</v>
      </c>
      <c r="T25" s="29"/>
      <c r="U25" s="29"/>
    </row>
    <row r="26" spans="1:21" s="29" customFormat="1" x14ac:dyDescent="0.25">
      <c r="A26" s="29" t="s">
        <v>80</v>
      </c>
      <c r="B26" s="29" t="s">
        <v>81</v>
      </c>
      <c r="C26" s="41">
        <v>-2.6727750000000001</v>
      </c>
      <c r="D26" s="41">
        <v>1.920617</v>
      </c>
      <c r="E26" s="41">
        <v>1.0740240000000001</v>
      </c>
      <c r="G26" s="41">
        <v>32.450000000000003</v>
      </c>
      <c r="I26" s="41">
        <v>-1.2</v>
      </c>
      <c r="J26" s="41">
        <v>24</v>
      </c>
      <c r="K26" s="41"/>
      <c r="L26" s="41"/>
      <c r="M26" s="41"/>
      <c r="N26" s="44"/>
      <c r="O26" s="29">
        <v>-4.5648</v>
      </c>
      <c r="P26" s="29">
        <v>2.6232000000000002</v>
      </c>
      <c r="Q26" s="29">
        <v>2.7637999999999998</v>
      </c>
      <c r="R26" s="29">
        <v>6.2E-2</v>
      </c>
      <c r="S26" s="29">
        <v>1.3364</v>
      </c>
    </row>
    <row r="27" spans="1:21" s="29" customFormat="1" x14ac:dyDescent="0.25">
      <c r="A27" s="45" t="s">
        <v>104</v>
      </c>
      <c r="B27" s="45" t="s">
        <v>105</v>
      </c>
      <c r="C27" s="41">
        <v>-2.6727750000000001</v>
      </c>
      <c r="D27" s="41">
        <v>1.920617</v>
      </c>
      <c r="E27" s="41">
        <v>1.0740240000000001</v>
      </c>
      <c r="G27" s="41">
        <v>32.450000000000003</v>
      </c>
      <c r="I27" s="41">
        <v>-1.2</v>
      </c>
      <c r="J27" s="41">
        <v>24</v>
      </c>
      <c r="K27" s="41"/>
      <c r="L27" s="41"/>
      <c r="M27" s="41"/>
      <c r="N27" s="44"/>
      <c r="O27" s="29">
        <v>-4.5648</v>
      </c>
      <c r="P27" s="29">
        <v>2.6232000000000002</v>
      </c>
      <c r="Q27" s="29">
        <v>2.7637999999999998</v>
      </c>
      <c r="R27" s="29">
        <v>6.2E-2</v>
      </c>
      <c r="S27" s="29">
        <v>1.3364</v>
      </c>
    </row>
    <row r="28" spans="1:21" s="38" customFormat="1" x14ac:dyDescent="0.25">
      <c r="A28" s="43"/>
      <c r="B28" s="60"/>
      <c r="C28" s="37"/>
      <c r="D28" s="37"/>
      <c r="E28" s="37"/>
      <c r="G28" s="37"/>
      <c r="I28" s="37"/>
      <c r="J28" s="37"/>
      <c r="K28" s="37"/>
      <c r="L28" s="37"/>
      <c r="M28" s="37"/>
      <c r="T28" s="29"/>
      <c r="U28" s="29"/>
    </row>
    <row r="29" spans="1:21" x14ac:dyDescent="0.25">
      <c r="A29" s="38"/>
      <c r="B29" s="43"/>
      <c r="C29" s="37"/>
      <c r="D29" s="37"/>
      <c r="E29" s="37"/>
      <c r="F29" s="38"/>
      <c r="G29" s="37"/>
      <c r="T29" s="29"/>
    </row>
  </sheetData>
  <sheetProtection algorithmName="SHA-512" hashValue="00PgmibRvPuPA48my+ACl3pFp/t497lynOb2uS7CgbzJMvNPPVTHJkET9xvble7SN4+DtUP+YEsBD8KTQSrEnQ==" saltValue="evbxyPA4dIhdnLodf9j90w==" spinCount="100000" sheet="1" objects="1" scenarios="1"/>
  <sortState xmlns:xlrd2="http://schemas.microsoft.com/office/spreadsheetml/2017/richdata2" ref="A2:U17">
    <sortCondition ref="T2:T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E0C6-FDB5-4F63-A88D-16BE2C395D79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Field_Data_Sheet</vt:lpstr>
      <vt:lpstr>Stand</vt:lpstr>
      <vt:lpstr>Tree</vt:lpstr>
      <vt:lpstr>Plot</vt:lpstr>
      <vt:lpstr>Merchantability</vt:lpstr>
      <vt:lpstr>Pre-Harvest Plots_rpt</vt:lpstr>
      <vt:lpstr>Post-Harvest Plots_rpt</vt:lpstr>
      <vt:lpstr>Stand_Biomass</vt:lpstr>
      <vt:lpstr>Stand_Carbon</vt:lpstr>
      <vt:lpstr>Species_rpt</vt:lpstr>
      <vt:lpstr>Volume_rpt</vt:lpstr>
      <vt:lpstr>Stand_Table</vt:lpstr>
      <vt:lpstr>Species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and Jenna</dc:creator>
  <cp:lastModifiedBy>Spencer</cp:lastModifiedBy>
  <cp:lastPrinted>2021-01-10T06:24:38Z</cp:lastPrinted>
  <dcterms:created xsi:type="dcterms:W3CDTF">2016-04-29T18:18:03Z</dcterms:created>
  <dcterms:modified xsi:type="dcterms:W3CDTF">2021-04-28T23:27:51Z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333bcf9621e747a18d2dea863fa8c855</vt:lpwstr>
  </property>
</Properties>
</file>